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24519" fullCalcOnLoad="1"/>
</workbook>
</file>

<file path=xl/sharedStrings.xml><?xml version="1.0" encoding="utf-8"?>
<sst xmlns="http://schemas.openxmlformats.org/spreadsheetml/2006/main" count="157" uniqueCount="70">
  <si>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</si>
  <si>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</si>
  <si>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</si>
  <si>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</si>
  <si>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</si>
  <si>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</si>
  <si>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</si>
  <si>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</si>
  <si>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</si>
  <si>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</si>
  <si>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</si>
  <si>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</si>
  <si>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</si>
  <si>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</si>
  <si>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</si>
  <si>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</si>
  <si>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</si>
  <si>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</si>
  <si>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</si>
  <si>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</si>
  <si>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</si>
  <si>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</si>
  <si>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</si>
  <si>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</si>
  <si>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</si>
  <si>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</si>
  <si>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</si>
  <si>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</si>
  <si>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taxon_id_units</t>
  </si>
  <si>
    <t>title</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</si>
  <si>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</si>
  <si>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</si>
  <si>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</si>
  <si>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</si>
  <si>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</si>
  <si>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</si>
  <si>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</si>
  <si>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</si>
  <si>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</si>
  <si>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</si>
  <si>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</si>
  <si>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</si>
  <si>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</si>
  <si>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"not collected" or must equal "not provided" or must equal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</si>
  <si>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</si>
  <si>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"not collected" or must equal "not provided" or the value must be a string and must equal "TRUE" or must equal "FALSE".</t>
  </si>
  <si>
    <t>Height of land above sea level in meters at the sampling site. The value must be a string and must equal "not collected" or must equal "not provided" or must equal "restricted access" or the value must be a number and &gt;=-413.0. The default value is not provided.</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</si>
  <si>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</si>
  <si>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</si>
  <si>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</si>
  <si>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</si>
  <si>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</si>
  <si>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</si>
  <si>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</si>
  <si>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"not collected" or must equal "not provided" or must equal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</si>
  <si>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</si>
  <si>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</si>
  <si>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"not collected" or must equal "not provided" or must equal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</si>
  <si>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</si>
  <si>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"not collected" or must equal "not provided" or must equal "restricted access" or the value must be a number and &gt;=-180.00 and &lt;=180.00.</t>
  </si>
  <si>
    <t>Where the sample is stored (if there is any left). The value must be a string.</t>
  </si>
  <si>
    <t>Whether there is any raw specimen left to sample. The value must be a string and must equal "not collected" or must equal "not provided" or must equal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</si>
  <si>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</si>
  <si>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</si>
  <si>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"not collected" or must equal "not provided" or the value must be a integer and &gt;0.</t>
  </si>
  <si>
    <t>The value must be a string and must equal "Not applicable". The default value is Not applicable.</t>
  </si>
  <si>
    <t>Title of study. The value must be a string.</t>
  </si>
  <si>
    <t xml:space="preserve">collection_device:
  empty: false
  is_phi: false
  required: true
  type: string
collection_method:
  empty: false
  is_phi: false
  required: true
  type: string
collection_timestamp:
  anyof:
  - allowed:
    - not collected
    - not provided
    - restricted access
    type: string
  - regex: '^([0-9]{1,4})(?:-([0-9]{1,2})(?:-([0-9]{1,2})(?: ([0-9]{1,2})(?::([0-9]{1,2})(?::([0-9]{1,2}))?)?)?)?)?$'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not collected
    - not provided
    type: string
  - allowed:
    - 'TRUE'
    - 'FALSE'
    type: string
  empty: false
  field_desc: Whether the DNA been extracted from the sample.
  is_phi: false
  required: true
elevation:
  anyof:
  - allowed:
    - not collected
    - not provided
    - restricted access
    type: string
  - min: '-413.0'
    type: number
  default: not provided
  empty: false
  field_desc: Height of land above sea level in meters at the sampling site
  is_phi: false
  required: true
  units: elevation_units
elevation_units:
  allowed:
  - meters
  default: meters
  empty: false
  is_phi: false
  required: true
  type: string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not collected
    - not provided
    -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not collected
    - not provided
    -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longitude:
  anyof:
  - allowed:
    - not collected
    - not provided
    -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not collected
    - not provided
    -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anyof:
  - allowed:
    - not collected
    - not provided
    type: string
  - min_exclusive: '0'
    type: integer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units: taxon_id_units
taxon_id_units:
  allowed:
  - Not applicable
  default: Not applicable
  empty: false
  is_phi: false
  required: true
  type: string
title:
  empty: false
  field_desc: Title of study.
  is_phi: false
  required: true
  type: string
</t>
  </si>
  <si>
    <t xml:space="preserve">0:
  default_value: no_default
  field_desc: Title of study.
  field_name: title
  field_type: string
1:
  default_value: no_default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field_name: scientific_name
  field_type: string
2:
  allowed_missing_vals[]:
  - ebi_not_collected
  - ebi_not_provided
  data_type: integer
  default_value: no_default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field_name: taxon_id
  field_type: continuous
  maximum_comparison: no_comparison
  minimum_comparison: min_exclusive
  minimum_value: '0'
  units: Not applicable
3:
  default_value: no_default
  field_desc: A description of the sample that can include site, subject, and sample
    material.
  field_name: description
  field_type: string
4:
  default_value: no_default
  field_desc: The geographical origin of the sample as defined by the country or location
    as chosen from the GAZ ontology, e.g. USA:CA:San Diego .
  field_name: geo_loc_name
  field_type: string
5:
  default_value: no_default
  field_desc: Classification of the location where the sample was obtained, from the
    Environmental Ontology (ENVO).
  field_name: env_biome
  field_type: string
6:
  default_value: no_default
  field_desc: Classification of a specific feature in the biome, from the Environmental
    Ontology (ENVO).
  field_name: env_feature
  field_type: string
7:
  default_value: no_default
  field_desc: Classification of the material being sampled, from the Environmental
    Ontology (ENVO).
  field_name: env_material
  field_type: string
8:
  allowed_missing_vals[]:
  - ebi_not_collected
  - ebi_not_provided
  - ebi_restricted
  categorical_values: "air\r\nbuilt environment\r\nhost-associated\r\nhuman-associated\r\
    \nhuman-skin\r\nhuman-oral\r\nhuman-gut\r\nhuman-vaginal\r\nmicrobial mat/biofilm\r\
    \nmisc environment\r\nplant-associated\r\nsediment\r\nsoil\r\nwastewater/sludge\r\
    \nwater"
  default_value: no_default
  field_desc: Environment where the sample was obtained.
  field_name: env_package
  field_type: categorical
9:
  allowed_missing_vals[]:
  - ebi_not_collected
  - ebi_not_provided
  - ebi_restricted
  data_type: number
  default_value: no_default
  field_desc: Location of the sample site by latitude in decimal degrees, e.g. 32.72
    for San Diego, USA.
  field_name: latitude
  field_type: continuous
  maximum_comparison: max
  maximum_value: '90.00'
  minimum_comparison: min
  minimum_value: '-90.00'
  units: Decimal degrees
10:
  allowed_missing_vals[]:
  - ebi_not_collected
  - ebi_not_provided
  - ebi_restricted
  data_type: number
  default_value: no_default
  field_desc: Location of the sample site by longitude in decimal degrees, e.g. -117.16
    for San Diego, USA.
  field_name: longitude
  field_type: continuous
  maximum_comparison: max
  maximum_value: '180.00'
  minimum_comparison: min
  minimum_value: '-180.00'
  units: Decimal degrees
11:
  allowed_missing_vals[]:
  - ebi_not_collected
  - ebi_not_provided
  - ebi_restricted
  data_type: datetime
  default_value: no_default
  field_desc: The day and time of sampling as a single point in time expressed in
    24-hour time format, e.g. 2016-11-22.
  field_name: collection_timestamp
  field_type: continuous
  maximum_comparison: no_comparison
  minimum_comparison: no_comparison
12:
  allowed_missing_vals[]:
  - ebi_not_collected
  - ebi_not_provided
  default_value: no_default
  false_value: 'FALSE'
  field_desc: Whether the DNA been extracted from the sample.
  field_name: dna_extracted
  field_type: boolean
  true_value: 'TRUE'
13:
  default_value: no_default
  field_desc: Where the sample is stored (if there is any left).
  field_name: physical_specimen_location
  field_type: string
14:
  allowed_missing_vals[]:
  - ebi_not_collected
  - ebi_not_provided
  - ebi_restricted
  default_value: no_default
  false_value: 'FALSE'
  field_desc: Whether there is any raw specimen left to sample.
  field_name: physical_specimen_remaining
  field_type: boolean
  true_value: 'TRUE'
15:
  allowed_missing_default_select: ebi_not_provided
  allowed_missing_vals[]:
  - ebi_not_collected
  - ebi_not_provided
  - ebi_restricted
  data_type: number
  default_value: allowed_missing_default
  field_desc: Height of land above sea level in meters at the sampling site
  field_name: elevation
  field_type: continuous
  maximum_comparison: no_comparison
  minimum_comparison: min
  minimum_value: '-413.0'
  units: meters
16:
  categorical_values: "Host-associated\r\nFree-living"
  default_value: no_default
  field_name: empo_1
  field_type: categorical
17:
  categorical_values: "Animal\r\nFungus\r\nPlant\r\nSaline\r\nNon-saline"
  default_value: no_default
  field_name: empo_2
  field_type: categorical
18:
  categorical_values: "Plant secretion\r\nPlant rhizosphere\r\nPlant surface\r\nPlant\
    \ corpus\r\nFungus surface\r\nFungus corpus\r\nAnimal surface\r\nAnimal proximal\
    \ gut\r\nAnimal corpus\r\nAnimal distal gut\r\nAnimal secretion\r\nSub-surface\
    \ (non-saline)\r\nSurface (non-saline)\r\nWater (non-saline)\r\nSoil (non-saline)\r\
    \nAerosol (non-saline)\r\nSediment (non-saline)\r\nSurface (saline)\r\nWater (saline)\r\
    \nHypersaline (saline)\r\nAerosol (saline)\r\nSediment (saline)"
  default_value: no_default
  field_name: empo_3
  field_type: categorical
19:
  default_value: no_default
  field_desc: A label that applies to all samples belonging to one subject or one
    sample
  field_name: host_subject_id
  field_type: string
20:
  categorical_default_select: other
  categorical_values: other
  default_value: categorical_default
  field_name: sample_type
  field_type: categorical
21:
  default_value: no_default
  field_name: collection_device
  field_type: string
22:
  default_value: no_default
  field_name: collection_method
  field_type: string
</t>
  </si>
  <si>
    <t>This file was created by QIIMP v0.3 at 2018-07-06 17:02:25.</t>
  </si>
</sst>
</file>

<file path=xl/styles.xml><?xml version="1.0" encoding="utf-8"?>
<styleSheet xmlns="http://schemas.openxmlformats.org/spreadsheetml/2006/main">
  <numFmts count="1">
    <numFmt numFmtId="164" formatCode="@"/>
  </numFmts>
  <fonts count="4">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applyProtection="1">
      <protection locked="0"/>
    </xf>
    <xf numFmtId="0" fontId="1" fillId="0" borderId="0" xfId="0" applyFont="1" applyProtection="1">
      <protection locked="0"/>
    </xf>
    <xf numFmtId="0" fontId="2" fillId="0" borderId="0" xfId="0" applyFont="1"/>
    <xf numFmtId="0" fontId="1" fillId="0" borderId="0" xfId="0" applyFont="1" applyAlignment="1">
      <alignment horizontal="center"/>
    </xf>
    <xf numFmtId="0" fontId="3" fillId="0" borderId="0" xfId="0" applyFont="1"/>
    <xf numFmtId="0" fontId="0" fillId="0" borderId="0" xfId="0" applyAlignment="1">
      <alignment horizontal="left" vertical="top" wrapText="1"/>
    </xf>
  </cellXfs>
  <cellStyles count="1">
    <cellStyle name="Normal" xfId="0" builtinId="0"/>
  </cellStyles>
  <dxfs count="2">
    <dxf>
      <font>
        <color rgb="FFC6EFCE"/>
      </font>
      <fill>
        <patternFill>
          <bgColor rgb="FFC6EFCE"/>
        </patternFill>
      </fill>
    </dxf>
    <dxf>
      <font>
        <u/>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1002"/>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zeroHeight="1"/>
  <cols>
    <col min="1" max="1" width="0" hidden="1" customWidth="1"/>
    <col min="2" max="2" width="9.140625" style="1"/>
    <col min="3" max="3" width="9.140625" style="1"/>
    <col min="4" max="4" width="9.140625" style="1"/>
    <col min="5" max="5" width="9.140625" style="1"/>
    <col min="6" max="6" width="9.140625" style="1"/>
    <col min="7" max="7" width="9.140625" style="1"/>
    <col min="8" max="8" width="9.140625" style="2"/>
    <col min="9" max="9" width="9.140625" style="1"/>
    <col min="10" max="10" width="9.140625" style="1"/>
    <col min="11" max="11" width="9.140625" style="1"/>
    <col min="12" max="12" width="9.140625" style="1"/>
    <col min="13" max="13" width="9.140625" style="1"/>
    <col min="14" max="14" width="9.140625" style="1"/>
    <col min="15" max="15" width="9.140625" style="1"/>
    <col min="16" max="16" width="9.140625" style="1"/>
    <col min="17" max="17" width="9.140625" style="1"/>
    <col min="18" max="18" width="9.140625" style="1"/>
    <col min="19" max="19" width="9.140625" style="2"/>
    <col min="20" max="20" width="9.140625" style="1"/>
    <col min="21" max="21" width="9.140625" style="2"/>
    <col min="22" max="22" width="9.140625" style="1"/>
    <col min="23" max="23" width="9.140625" style="1"/>
    <col min="24" max="24" width="9.140625" style="1"/>
    <col min="25" max="25" width="9.140625" style="1"/>
    <col min="26" max="26" width="9.140625" style="1"/>
    <col min="27" max="27" width="9.140625" style="2"/>
    <col min="28" max="28" width="9.140625" style="1"/>
    <col min="29" max="29" width="9.140625" style="1"/>
  </cols>
  <sheetData>
    <row r="1" spans="1:29">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row>
    <row r="2" spans="1:29">
      <c r="A2">
        <f>IF(COUNTBLANK(B2:AC2)&lt;&gt;COLUMNS(B2:AC2),1,"")</f>
        <v>0</v>
      </c>
      <c r="H2" s="2">
        <f>IF(B2="", "", "not provided")</f>
        <v>0</v>
      </c>
      <c r="I2" s="1">
        <f>IF(B2="", "", "meters")</f>
        <v>0</v>
      </c>
      <c r="T2" s="1">
        <f>IF(B2="", "", "Decimal degrees")</f>
        <v>0</v>
      </c>
      <c r="V2" s="1">
        <f>IF(B2="", "", "Decimal degrees")</f>
        <v>0</v>
      </c>
      <c r="Y2" s="1">
        <f>IF(B2="", "", "other")</f>
        <v>0</v>
      </c>
      <c r="AB2" s="1">
        <f>IF(B2="", "", "Not applicable")</f>
        <v>0</v>
      </c>
    </row>
    <row r="3" spans="1:29">
      <c r="A3">
        <f>IF(COUNTBLANK(B3:AC3)&lt;&gt;COLUMNS(B3:AC3),2,"")</f>
        <v>0</v>
      </c>
      <c r="H3" s="2">
        <f>IF(B3="", "", "not provided")</f>
        <v>0</v>
      </c>
      <c r="I3" s="1">
        <f>IF(B3="", "", "meters")</f>
        <v>0</v>
      </c>
      <c r="T3" s="1">
        <f>IF(B3="", "", "Decimal degrees")</f>
        <v>0</v>
      </c>
      <c r="V3" s="1">
        <f>IF(B3="", "", "Decimal degrees")</f>
        <v>0</v>
      </c>
      <c r="Y3" s="1">
        <f>IF(B3="", "", "other")</f>
        <v>0</v>
      </c>
      <c r="AB3" s="1">
        <f>IF(B3="", "", "Not applicable")</f>
        <v>0</v>
      </c>
    </row>
    <row r="4" spans="1:29">
      <c r="A4">
        <f>IF(COUNTBLANK(B4:AC4)&lt;&gt;COLUMNS(B4:AC4),3,"")</f>
        <v>0</v>
      </c>
      <c r="H4" s="2">
        <f>IF(B4="", "", "not provided")</f>
        <v>0</v>
      </c>
      <c r="I4" s="1">
        <f>IF(B4="", "", "meters")</f>
        <v>0</v>
      </c>
      <c r="T4" s="1">
        <f>IF(B4="", "", "Decimal degrees")</f>
        <v>0</v>
      </c>
      <c r="V4" s="1">
        <f>IF(B4="", "", "Decimal degrees")</f>
        <v>0</v>
      </c>
      <c r="Y4" s="1">
        <f>IF(B4="", "", "other")</f>
        <v>0</v>
      </c>
      <c r="AB4" s="1">
        <f>IF(B4="", "", "Not applicable")</f>
        <v>0</v>
      </c>
    </row>
    <row r="5" spans="1:29">
      <c r="A5">
        <f>IF(COUNTBLANK(B5:AC5)&lt;&gt;COLUMNS(B5:AC5),4,"")</f>
        <v>0</v>
      </c>
      <c r="H5" s="2">
        <f>IF(B5="", "", "not provided")</f>
        <v>0</v>
      </c>
      <c r="I5" s="1">
        <f>IF(B5="", "", "meters")</f>
        <v>0</v>
      </c>
      <c r="T5" s="1">
        <f>IF(B5="", "", "Decimal degrees")</f>
        <v>0</v>
      </c>
      <c r="V5" s="1">
        <f>IF(B5="", "", "Decimal degrees")</f>
        <v>0</v>
      </c>
      <c r="Y5" s="1">
        <f>IF(B5="", "", "other")</f>
        <v>0</v>
      </c>
      <c r="AB5" s="1">
        <f>IF(B5="", "", "Not applicable")</f>
        <v>0</v>
      </c>
    </row>
    <row r="6" spans="1:29">
      <c r="A6">
        <f>IF(COUNTBLANK(B6:AC6)&lt;&gt;COLUMNS(B6:AC6),5,"")</f>
        <v>0</v>
      </c>
      <c r="H6" s="2">
        <f>IF(B6="", "", "not provided")</f>
        <v>0</v>
      </c>
      <c r="I6" s="1">
        <f>IF(B6="", "", "meters")</f>
        <v>0</v>
      </c>
      <c r="T6" s="1">
        <f>IF(B6="", "", "Decimal degrees")</f>
        <v>0</v>
      </c>
      <c r="V6" s="1">
        <f>IF(B6="", "", "Decimal degrees")</f>
        <v>0</v>
      </c>
      <c r="Y6" s="1">
        <f>IF(B6="", "", "other")</f>
        <v>0</v>
      </c>
      <c r="AB6" s="1">
        <f>IF(B6="", "", "Not applicable")</f>
        <v>0</v>
      </c>
    </row>
    <row r="7" spans="1:29">
      <c r="A7">
        <f>IF(COUNTBLANK(B7:AC7)&lt;&gt;COLUMNS(B7:AC7),6,"")</f>
        <v>0</v>
      </c>
      <c r="H7" s="2">
        <f>IF(B7="", "", "not provided")</f>
        <v>0</v>
      </c>
      <c r="I7" s="1">
        <f>IF(B7="", "", "meters")</f>
        <v>0</v>
      </c>
      <c r="T7" s="1">
        <f>IF(B7="", "", "Decimal degrees")</f>
        <v>0</v>
      </c>
      <c r="V7" s="1">
        <f>IF(B7="", "", "Decimal degrees")</f>
        <v>0</v>
      </c>
      <c r="Y7" s="1">
        <f>IF(B7="", "", "other")</f>
        <v>0</v>
      </c>
      <c r="AB7" s="1">
        <f>IF(B7="", "", "Not applicable")</f>
        <v>0</v>
      </c>
    </row>
    <row r="8" spans="1:29">
      <c r="A8">
        <f>IF(COUNTBLANK(B8:AC8)&lt;&gt;COLUMNS(B8:AC8),7,"")</f>
        <v>0</v>
      </c>
      <c r="H8" s="2">
        <f>IF(B8="", "", "not provided")</f>
        <v>0</v>
      </c>
      <c r="I8" s="1">
        <f>IF(B8="", "", "meters")</f>
        <v>0</v>
      </c>
      <c r="T8" s="1">
        <f>IF(B8="", "", "Decimal degrees")</f>
        <v>0</v>
      </c>
      <c r="V8" s="1">
        <f>IF(B8="", "", "Decimal degrees")</f>
        <v>0</v>
      </c>
      <c r="Y8" s="1">
        <f>IF(B8="", "", "other")</f>
        <v>0</v>
      </c>
      <c r="AB8" s="1">
        <f>IF(B8="", "", "Not applicable")</f>
        <v>0</v>
      </c>
    </row>
    <row r="9" spans="1:29">
      <c r="A9">
        <f>IF(COUNTBLANK(B9:AC9)&lt;&gt;COLUMNS(B9:AC9),8,"")</f>
        <v>0</v>
      </c>
      <c r="H9" s="2">
        <f>IF(B9="", "", "not provided")</f>
        <v>0</v>
      </c>
      <c r="I9" s="1">
        <f>IF(B9="", "", "meters")</f>
        <v>0</v>
      </c>
      <c r="T9" s="1">
        <f>IF(B9="", "", "Decimal degrees")</f>
        <v>0</v>
      </c>
      <c r="V9" s="1">
        <f>IF(B9="", "", "Decimal degrees")</f>
        <v>0</v>
      </c>
      <c r="Y9" s="1">
        <f>IF(B9="", "", "other")</f>
        <v>0</v>
      </c>
      <c r="AB9" s="1">
        <f>IF(B9="", "", "Not applicable")</f>
        <v>0</v>
      </c>
    </row>
    <row r="10" spans="1:29">
      <c r="A10">
        <f>IF(COUNTBLANK(B10:AC10)&lt;&gt;COLUMNS(B10:AC10),9,"")</f>
        <v>0</v>
      </c>
      <c r="H10" s="2">
        <f>IF(B10="", "", "not provided")</f>
        <v>0</v>
      </c>
      <c r="I10" s="1">
        <f>IF(B10="", "", "meters")</f>
        <v>0</v>
      </c>
      <c r="T10" s="1">
        <f>IF(B10="", "", "Decimal degrees")</f>
        <v>0</v>
      </c>
      <c r="V10" s="1">
        <f>IF(B10="", "", "Decimal degrees")</f>
        <v>0</v>
      </c>
      <c r="Y10" s="1">
        <f>IF(B10="", "", "other")</f>
        <v>0</v>
      </c>
      <c r="AB10" s="1">
        <f>IF(B10="", "", "Not applicable")</f>
        <v>0</v>
      </c>
    </row>
    <row r="11" spans="1:29">
      <c r="A11">
        <f>IF(COUNTBLANK(B11:AC11)&lt;&gt;COLUMNS(B11:AC11),10,"")</f>
        <v>0</v>
      </c>
      <c r="H11" s="2">
        <f>IF(B11="", "", "not provided")</f>
        <v>0</v>
      </c>
      <c r="I11" s="1">
        <f>IF(B11="", "", "meters")</f>
        <v>0</v>
      </c>
      <c r="T11" s="1">
        <f>IF(B11="", "", "Decimal degrees")</f>
        <v>0</v>
      </c>
      <c r="V11" s="1">
        <f>IF(B11="", "", "Decimal degrees")</f>
        <v>0</v>
      </c>
      <c r="Y11" s="1">
        <f>IF(B11="", "", "other")</f>
        <v>0</v>
      </c>
      <c r="AB11" s="1">
        <f>IF(B11="", "", "Not applicable")</f>
        <v>0</v>
      </c>
    </row>
    <row r="12" spans="1:29">
      <c r="A12">
        <f>IF(COUNTBLANK(B12:AC12)&lt;&gt;COLUMNS(B12:AC12),11,"")</f>
        <v>0</v>
      </c>
      <c r="H12" s="2">
        <f>IF(B12="", "", "not provided")</f>
        <v>0</v>
      </c>
      <c r="I12" s="1">
        <f>IF(B12="", "", "meters")</f>
        <v>0</v>
      </c>
      <c r="T12" s="1">
        <f>IF(B12="", "", "Decimal degrees")</f>
        <v>0</v>
      </c>
      <c r="V12" s="1">
        <f>IF(B12="", "", "Decimal degrees")</f>
        <v>0</v>
      </c>
      <c r="Y12" s="1">
        <f>IF(B12="", "", "other")</f>
        <v>0</v>
      </c>
      <c r="AB12" s="1">
        <f>IF(B12="", "", "Not applicable")</f>
        <v>0</v>
      </c>
    </row>
    <row r="13" spans="1:29">
      <c r="A13">
        <f>IF(COUNTBLANK(B13:AC13)&lt;&gt;COLUMNS(B13:AC13),12,"")</f>
        <v>0</v>
      </c>
      <c r="H13" s="2">
        <f>IF(B13="", "", "not provided")</f>
        <v>0</v>
      </c>
      <c r="I13" s="1">
        <f>IF(B13="", "", "meters")</f>
        <v>0</v>
      </c>
      <c r="T13" s="1">
        <f>IF(B13="", "", "Decimal degrees")</f>
        <v>0</v>
      </c>
      <c r="V13" s="1">
        <f>IF(B13="", "", "Decimal degrees")</f>
        <v>0</v>
      </c>
      <c r="Y13" s="1">
        <f>IF(B13="", "", "other")</f>
        <v>0</v>
      </c>
      <c r="AB13" s="1">
        <f>IF(B13="", "", "Not applicable")</f>
        <v>0</v>
      </c>
    </row>
    <row r="14" spans="1:29">
      <c r="A14">
        <f>IF(COUNTBLANK(B14:AC14)&lt;&gt;COLUMNS(B14:AC14),13,"")</f>
        <v>0</v>
      </c>
      <c r="H14" s="2">
        <f>IF(B14="", "", "not provided")</f>
        <v>0</v>
      </c>
      <c r="I14" s="1">
        <f>IF(B14="", "", "meters")</f>
        <v>0</v>
      </c>
      <c r="T14" s="1">
        <f>IF(B14="", "", "Decimal degrees")</f>
        <v>0</v>
      </c>
      <c r="V14" s="1">
        <f>IF(B14="", "", "Decimal degrees")</f>
        <v>0</v>
      </c>
      <c r="Y14" s="1">
        <f>IF(B14="", "", "other")</f>
        <v>0</v>
      </c>
      <c r="AB14" s="1">
        <f>IF(B14="", "", "Not applicable")</f>
        <v>0</v>
      </c>
    </row>
    <row r="15" spans="1:29">
      <c r="A15">
        <f>IF(COUNTBLANK(B15:AC15)&lt;&gt;COLUMNS(B15:AC15),14,"")</f>
        <v>0</v>
      </c>
      <c r="H15" s="2">
        <f>IF(B15="", "", "not provided")</f>
        <v>0</v>
      </c>
      <c r="I15" s="1">
        <f>IF(B15="", "", "meters")</f>
        <v>0</v>
      </c>
      <c r="T15" s="1">
        <f>IF(B15="", "", "Decimal degrees")</f>
        <v>0</v>
      </c>
      <c r="V15" s="1">
        <f>IF(B15="", "", "Decimal degrees")</f>
        <v>0</v>
      </c>
      <c r="Y15" s="1">
        <f>IF(B15="", "", "other")</f>
        <v>0</v>
      </c>
      <c r="AB15" s="1">
        <f>IF(B15="", "", "Not applicable")</f>
        <v>0</v>
      </c>
    </row>
    <row r="16" spans="1:29">
      <c r="A16">
        <f>IF(COUNTBLANK(B16:AC16)&lt;&gt;COLUMNS(B16:AC16),15,"")</f>
        <v>0</v>
      </c>
      <c r="H16" s="2">
        <f>IF(B16="", "", "not provided")</f>
        <v>0</v>
      </c>
      <c r="I16" s="1">
        <f>IF(B16="", "", "meters")</f>
        <v>0</v>
      </c>
      <c r="T16" s="1">
        <f>IF(B16="", "", "Decimal degrees")</f>
        <v>0</v>
      </c>
      <c r="V16" s="1">
        <f>IF(B16="", "", "Decimal degrees")</f>
        <v>0</v>
      </c>
      <c r="Y16" s="1">
        <f>IF(B16="", "", "other")</f>
        <v>0</v>
      </c>
      <c r="AB16" s="1">
        <f>IF(B16="", "", "Not applicable")</f>
        <v>0</v>
      </c>
    </row>
    <row r="17" spans="1:28">
      <c r="A17">
        <f>IF(COUNTBLANK(B17:AC17)&lt;&gt;COLUMNS(B17:AC17),16,"")</f>
        <v>0</v>
      </c>
      <c r="H17" s="2">
        <f>IF(B17="", "", "not provided")</f>
        <v>0</v>
      </c>
      <c r="I17" s="1">
        <f>IF(B17="", "", "meters")</f>
        <v>0</v>
      </c>
      <c r="T17" s="1">
        <f>IF(B17="", "", "Decimal degrees")</f>
        <v>0</v>
      </c>
      <c r="V17" s="1">
        <f>IF(B17="", "", "Decimal degrees")</f>
        <v>0</v>
      </c>
      <c r="Y17" s="1">
        <f>IF(B17="", "", "other")</f>
        <v>0</v>
      </c>
      <c r="AB17" s="1">
        <f>IF(B17="", "", "Not applicable")</f>
        <v>0</v>
      </c>
    </row>
    <row r="18" spans="1:28">
      <c r="A18">
        <f>IF(COUNTBLANK(B18:AC18)&lt;&gt;COLUMNS(B18:AC18),17,"")</f>
        <v>0</v>
      </c>
      <c r="H18" s="2">
        <f>IF(B18="", "", "not provided")</f>
        <v>0</v>
      </c>
      <c r="I18" s="1">
        <f>IF(B18="", "", "meters")</f>
        <v>0</v>
      </c>
      <c r="T18" s="1">
        <f>IF(B18="", "", "Decimal degrees")</f>
        <v>0</v>
      </c>
      <c r="V18" s="1">
        <f>IF(B18="", "", "Decimal degrees")</f>
        <v>0</v>
      </c>
      <c r="Y18" s="1">
        <f>IF(B18="", "", "other")</f>
        <v>0</v>
      </c>
      <c r="AB18" s="1">
        <f>IF(B18="", "", "Not applicable")</f>
        <v>0</v>
      </c>
    </row>
    <row r="19" spans="1:28">
      <c r="A19">
        <f>IF(COUNTBLANK(B19:AC19)&lt;&gt;COLUMNS(B19:AC19),18,"")</f>
        <v>0</v>
      </c>
      <c r="H19" s="2">
        <f>IF(B19="", "", "not provided")</f>
        <v>0</v>
      </c>
      <c r="I19" s="1">
        <f>IF(B19="", "", "meters")</f>
        <v>0</v>
      </c>
      <c r="T19" s="1">
        <f>IF(B19="", "", "Decimal degrees")</f>
        <v>0</v>
      </c>
      <c r="V19" s="1">
        <f>IF(B19="", "", "Decimal degrees")</f>
        <v>0</v>
      </c>
      <c r="Y19" s="1">
        <f>IF(B19="", "", "other")</f>
        <v>0</v>
      </c>
      <c r="AB19" s="1">
        <f>IF(B19="", "", "Not applicable")</f>
        <v>0</v>
      </c>
    </row>
    <row r="20" spans="1:28">
      <c r="A20">
        <f>IF(COUNTBLANK(B20:AC20)&lt;&gt;COLUMNS(B20:AC20),19,"")</f>
        <v>0</v>
      </c>
      <c r="H20" s="2">
        <f>IF(B20="", "", "not provided")</f>
        <v>0</v>
      </c>
      <c r="I20" s="1">
        <f>IF(B20="", "", "meters")</f>
        <v>0</v>
      </c>
      <c r="T20" s="1">
        <f>IF(B20="", "", "Decimal degrees")</f>
        <v>0</v>
      </c>
      <c r="V20" s="1">
        <f>IF(B20="", "", "Decimal degrees")</f>
        <v>0</v>
      </c>
      <c r="Y20" s="1">
        <f>IF(B20="", "", "other")</f>
        <v>0</v>
      </c>
      <c r="AB20" s="1">
        <f>IF(B20="", "", "Not applicable")</f>
        <v>0</v>
      </c>
    </row>
    <row r="21" spans="1:28">
      <c r="A21">
        <f>IF(COUNTBLANK(B21:AC21)&lt;&gt;COLUMNS(B21:AC21),20,"")</f>
        <v>0</v>
      </c>
      <c r="H21" s="2">
        <f>IF(B21="", "", "not provided")</f>
        <v>0</v>
      </c>
      <c r="I21" s="1">
        <f>IF(B21="", "", "meters")</f>
        <v>0</v>
      </c>
      <c r="T21" s="1">
        <f>IF(B21="", "", "Decimal degrees")</f>
        <v>0</v>
      </c>
      <c r="V21" s="1">
        <f>IF(B21="", "", "Decimal degrees")</f>
        <v>0</v>
      </c>
      <c r="Y21" s="1">
        <f>IF(B21="", "", "other")</f>
        <v>0</v>
      </c>
      <c r="AB21" s="1">
        <f>IF(B21="", "", "Not applicable")</f>
        <v>0</v>
      </c>
    </row>
    <row r="22" spans="1:28">
      <c r="A22">
        <f>IF(COUNTBLANK(B22:AC22)&lt;&gt;COLUMNS(B22:AC22),21,"")</f>
        <v>0</v>
      </c>
      <c r="H22" s="2">
        <f>IF(B22="", "", "not provided")</f>
        <v>0</v>
      </c>
      <c r="I22" s="1">
        <f>IF(B22="", "", "meters")</f>
        <v>0</v>
      </c>
      <c r="T22" s="1">
        <f>IF(B22="", "", "Decimal degrees")</f>
        <v>0</v>
      </c>
      <c r="V22" s="1">
        <f>IF(B22="", "", "Decimal degrees")</f>
        <v>0</v>
      </c>
      <c r="Y22" s="1">
        <f>IF(B22="", "", "other")</f>
        <v>0</v>
      </c>
      <c r="AB22" s="1">
        <f>IF(B22="", "", "Not applicable")</f>
        <v>0</v>
      </c>
    </row>
    <row r="23" spans="1:28">
      <c r="A23">
        <f>IF(COUNTBLANK(B23:AC23)&lt;&gt;COLUMNS(B23:AC23),22,"")</f>
        <v>0</v>
      </c>
      <c r="H23" s="2">
        <f>IF(B23="", "", "not provided")</f>
        <v>0</v>
      </c>
      <c r="I23" s="1">
        <f>IF(B23="", "", "meters")</f>
        <v>0</v>
      </c>
      <c r="T23" s="1">
        <f>IF(B23="", "", "Decimal degrees")</f>
        <v>0</v>
      </c>
      <c r="V23" s="1">
        <f>IF(B23="", "", "Decimal degrees")</f>
        <v>0</v>
      </c>
      <c r="Y23" s="1">
        <f>IF(B23="", "", "other")</f>
        <v>0</v>
      </c>
      <c r="AB23" s="1">
        <f>IF(B23="", "", "Not applicable")</f>
        <v>0</v>
      </c>
    </row>
    <row r="24" spans="1:28">
      <c r="A24">
        <f>IF(COUNTBLANK(B24:AC24)&lt;&gt;COLUMNS(B24:AC24),23,"")</f>
        <v>0</v>
      </c>
      <c r="H24" s="2">
        <f>IF(B24="", "", "not provided")</f>
        <v>0</v>
      </c>
      <c r="I24" s="1">
        <f>IF(B24="", "", "meters")</f>
        <v>0</v>
      </c>
      <c r="T24" s="1">
        <f>IF(B24="", "", "Decimal degrees")</f>
        <v>0</v>
      </c>
      <c r="V24" s="1">
        <f>IF(B24="", "", "Decimal degrees")</f>
        <v>0</v>
      </c>
      <c r="Y24" s="1">
        <f>IF(B24="", "", "other")</f>
        <v>0</v>
      </c>
      <c r="AB24" s="1">
        <f>IF(B24="", "", "Not applicable")</f>
        <v>0</v>
      </c>
    </row>
    <row r="25" spans="1:28">
      <c r="A25">
        <f>IF(COUNTBLANK(B25:AC25)&lt;&gt;COLUMNS(B25:AC25),24,"")</f>
        <v>0</v>
      </c>
      <c r="H25" s="2">
        <f>IF(B25="", "", "not provided")</f>
        <v>0</v>
      </c>
      <c r="I25" s="1">
        <f>IF(B25="", "", "meters")</f>
        <v>0</v>
      </c>
      <c r="T25" s="1">
        <f>IF(B25="", "", "Decimal degrees")</f>
        <v>0</v>
      </c>
      <c r="V25" s="1">
        <f>IF(B25="", "", "Decimal degrees")</f>
        <v>0</v>
      </c>
      <c r="Y25" s="1">
        <f>IF(B25="", "", "other")</f>
        <v>0</v>
      </c>
      <c r="AB25" s="1">
        <f>IF(B25="", "", "Not applicable")</f>
        <v>0</v>
      </c>
    </row>
    <row r="26" spans="1:28">
      <c r="A26">
        <f>IF(COUNTBLANK(B26:AC26)&lt;&gt;COLUMNS(B26:AC26),25,"")</f>
        <v>0</v>
      </c>
      <c r="H26" s="2">
        <f>IF(B26="", "", "not provided")</f>
        <v>0</v>
      </c>
      <c r="I26" s="1">
        <f>IF(B26="", "", "meters")</f>
        <v>0</v>
      </c>
      <c r="T26" s="1">
        <f>IF(B26="", "", "Decimal degrees")</f>
        <v>0</v>
      </c>
      <c r="V26" s="1">
        <f>IF(B26="", "", "Decimal degrees")</f>
        <v>0</v>
      </c>
      <c r="Y26" s="1">
        <f>IF(B26="", "", "other")</f>
        <v>0</v>
      </c>
      <c r="AB26" s="1">
        <f>IF(B26="", "", "Not applicable")</f>
        <v>0</v>
      </c>
    </row>
    <row r="27" spans="1:28">
      <c r="A27">
        <f>IF(COUNTBLANK(B27:AC27)&lt;&gt;COLUMNS(B27:AC27),26,"")</f>
        <v>0</v>
      </c>
      <c r="H27" s="2">
        <f>IF(B27="", "", "not provided")</f>
        <v>0</v>
      </c>
      <c r="I27" s="1">
        <f>IF(B27="", "", "meters")</f>
        <v>0</v>
      </c>
      <c r="T27" s="1">
        <f>IF(B27="", "", "Decimal degrees")</f>
        <v>0</v>
      </c>
      <c r="V27" s="1">
        <f>IF(B27="", "", "Decimal degrees")</f>
        <v>0</v>
      </c>
      <c r="Y27" s="1">
        <f>IF(B27="", "", "other")</f>
        <v>0</v>
      </c>
      <c r="AB27" s="1">
        <f>IF(B27="", "", "Not applicable")</f>
        <v>0</v>
      </c>
    </row>
    <row r="28" spans="1:28">
      <c r="A28">
        <f>IF(COUNTBLANK(B28:AC28)&lt;&gt;COLUMNS(B28:AC28),27,"")</f>
        <v>0</v>
      </c>
      <c r="H28" s="2">
        <f>IF(B28="", "", "not provided")</f>
        <v>0</v>
      </c>
      <c r="I28" s="1">
        <f>IF(B28="", "", "meters")</f>
        <v>0</v>
      </c>
      <c r="T28" s="1">
        <f>IF(B28="", "", "Decimal degrees")</f>
        <v>0</v>
      </c>
      <c r="V28" s="1">
        <f>IF(B28="", "", "Decimal degrees")</f>
        <v>0</v>
      </c>
      <c r="Y28" s="1">
        <f>IF(B28="", "", "other")</f>
        <v>0</v>
      </c>
      <c r="AB28" s="1">
        <f>IF(B28="", "", "Not applicable")</f>
        <v>0</v>
      </c>
    </row>
    <row r="29" spans="1:28">
      <c r="A29">
        <f>IF(COUNTBLANK(B29:AC29)&lt;&gt;COLUMNS(B29:AC29),28,"")</f>
        <v>0</v>
      </c>
      <c r="H29" s="2">
        <f>IF(B29="", "", "not provided")</f>
        <v>0</v>
      </c>
      <c r="I29" s="1">
        <f>IF(B29="", "", "meters")</f>
        <v>0</v>
      </c>
      <c r="T29" s="1">
        <f>IF(B29="", "", "Decimal degrees")</f>
        <v>0</v>
      </c>
      <c r="V29" s="1">
        <f>IF(B29="", "", "Decimal degrees")</f>
        <v>0</v>
      </c>
      <c r="Y29" s="1">
        <f>IF(B29="", "", "other")</f>
        <v>0</v>
      </c>
      <c r="AB29" s="1">
        <f>IF(B29="", "", "Not applicable")</f>
        <v>0</v>
      </c>
    </row>
    <row r="30" spans="1:28">
      <c r="A30">
        <f>IF(COUNTBLANK(B30:AC30)&lt;&gt;COLUMNS(B30:AC30),29,"")</f>
        <v>0</v>
      </c>
      <c r="H30" s="2">
        <f>IF(B30="", "", "not provided")</f>
        <v>0</v>
      </c>
      <c r="I30" s="1">
        <f>IF(B30="", "", "meters")</f>
        <v>0</v>
      </c>
      <c r="T30" s="1">
        <f>IF(B30="", "", "Decimal degrees")</f>
        <v>0</v>
      </c>
      <c r="V30" s="1">
        <f>IF(B30="", "", "Decimal degrees")</f>
        <v>0</v>
      </c>
      <c r="Y30" s="1">
        <f>IF(B30="", "", "other")</f>
        <v>0</v>
      </c>
      <c r="AB30" s="1">
        <f>IF(B30="", "", "Not applicable")</f>
        <v>0</v>
      </c>
    </row>
    <row r="31" spans="1:28">
      <c r="A31">
        <f>IF(COUNTBLANK(B31:AC31)&lt;&gt;COLUMNS(B31:AC31),30,"")</f>
        <v>0</v>
      </c>
      <c r="H31" s="2">
        <f>IF(B31="", "", "not provided")</f>
        <v>0</v>
      </c>
      <c r="I31" s="1">
        <f>IF(B31="", "", "meters")</f>
        <v>0</v>
      </c>
      <c r="T31" s="1">
        <f>IF(B31="", "", "Decimal degrees")</f>
        <v>0</v>
      </c>
      <c r="V31" s="1">
        <f>IF(B31="", "", "Decimal degrees")</f>
        <v>0</v>
      </c>
      <c r="Y31" s="1">
        <f>IF(B31="", "", "other")</f>
        <v>0</v>
      </c>
      <c r="AB31" s="1">
        <f>IF(B31="", "", "Not applicable")</f>
        <v>0</v>
      </c>
    </row>
    <row r="32" spans="1:28">
      <c r="A32">
        <f>IF(COUNTBLANK(B32:AC32)&lt;&gt;COLUMNS(B32:AC32),31,"")</f>
        <v>0</v>
      </c>
      <c r="H32" s="2">
        <f>IF(B32="", "", "not provided")</f>
        <v>0</v>
      </c>
      <c r="I32" s="1">
        <f>IF(B32="", "", "meters")</f>
        <v>0</v>
      </c>
      <c r="T32" s="1">
        <f>IF(B32="", "", "Decimal degrees")</f>
        <v>0</v>
      </c>
      <c r="V32" s="1">
        <f>IF(B32="", "", "Decimal degrees")</f>
        <v>0</v>
      </c>
      <c r="Y32" s="1">
        <f>IF(B32="", "", "other")</f>
        <v>0</v>
      </c>
      <c r="AB32" s="1">
        <f>IF(B32="", "", "Not applicable")</f>
        <v>0</v>
      </c>
    </row>
    <row r="33" spans="1:28">
      <c r="A33">
        <f>IF(COUNTBLANK(B33:AC33)&lt;&gt;COLUMNS(B33:AC33),32,"")</f>
        <v>0</v>
      </c>
      <c r="H33" s="2">
        <f>IF(B33="", "", "not provided")</f>
        <v>0</v>
      </c>
      <c r="I33" s="1">
        <f>IF(B33="", "", "meters")</f>
        <v>0</v>
      </c>
      <c r="T33" s="1">
        <f>IF(B33="", "", "Decimal degrees")</f>
        <v>0</v>
      </c>
      <c r="V33" s="1">
        <f>IF(B33="", "", "Decimal degrees")</f>
        <v>0</v>
      </c>
      <c r="Y33" s="1">
        <f>IF(B33="", "", "other")</f>
        <v>0</v>
      </c>
      <c r="AB33" s="1">
        <f>IF(B33="", "", "Not applicable")</f>
        <v>0</v>
      </c>
    </row>
    <row r="34" spans="1:28">
      <c r="A34">
        <f>IF(COUNTBLANK(B34:AC34)&lt;&gt;COLUMNS(B34:AC34),33,"")</f>
        <v>0</v>
      </c>
      <c r="H34" s="2">
        <f>IF(B34="", "", "not provided")</f>
        <v>0</v>
      </c>
      <c r="I34" s="1">
        <f>IF(B34="", "", "meters")</f>
        <v>0</v>
      </c>
      <c r="T34" s="1">
        <f>IF(B34="", "", "Decimal degrees")</f>
        <v>0</v>
      </c>
      <c r="V34" s="1">
        <f>IF(B34="", "", "Decimal degrees")</f>
        <v>0</v>
      </c>
      <c r="Y34" s="1">
        <f>IF(B34="", "", "other")</f>
        <v>0</v>
      </c>
      <c r="AB34" s="1">
        <f>IF(B34="", "", "Not applicable")</f>
        <v>0</v>
      </c>
    </row>
    <row r="35" spans="1:28">
      <c r="A35">
        <f>IF(COUNTBLANK(B35:AC35)&lt;&gt;COLUMNS(B35:AC35),34,"")</f>
        <v>0</v>
      </c>
      <c r="H35" s="2">
        <f>IF(B35="", "", "not provided")</f>
        <v>0</v>
      </c>
      <c r="I35" s="1">
        <f>IF(B35="", "", "meters")</f>
        <v>0</v>
      </c>
      <c r="T35" s="1">
        <f>IF(B35="", "", "Decimal degrees")</f>
        <v>0</v>
      </c>
      <c r="V35" s="1">
        <f>IF(B35="", "", "Decimal degrees")</f>
        <v>0</v>
      </c>
      <c r="Y35" s="1">
        <f>IF(B35="", "", "other")</f>
        <v>0</v>
      </c>
      <c r="AB35" s="1">
        <f>IF(B35="", "", "Not applicable")</f>
        <v>0</v>
      </c>
    </row>
    <row r="36" spans="1:28">
      <c r="A36">
        <f>IF(COUNTBLANK(B36:AC36)&lt;&gt;COLUMNS(B36:AC36),35,"")</f>
        <v>0</v>
      </c>
      <c r="H36" s="2">
        <f>IF(B36="", "", "not provided")</f>
        <v>0</v>
      </c>
      <c r="I36" s="1">
        <f>IF(B36="", "", "meters")</f>
        <v>0</v>
      </c>
      <c r="T36" s="1">
        <f>IF(B36="", "", "Decimal degrees")</f>
        <v>0</v>
      </c>
      <c r="V36" s="1">
        <f>IF(B36="", "", "Decimal degrees")</f>
        <v>0</v>
      </c>
      <c r="Y36" s="1">
        <f>IF(B36="", "", "other")</f>
        <v>0</v>
      </c>
      <c r="AB36" s="1">
        <f>IF(B36="", "", "Not applicable")</f>
        <v>0</v>
      </c>
    </row>
    <row r="37" spans="1:28">
      <c r="A37">
        <f>IF(COUNTBLANK(B37:AC37)&lt;&gt;COLUMNS(B37:AC37),36,"")</f>
        <v>0</v>
      </c>
      <c r="H37" s="2">
        <f>IF(B37="", "", "not provided")</f>
        <v>0</v>
      </c>
      <c r="I37" s="1">
        <f>IF(B37="", "", "meters")</f>
        <v>0</v>
      </c>
      <c r="T37" s="1">
        <f>IF(B37="", "", "Decimal degrees")</f>
        <v>0</v>
      </c>
      <c r="V37" s="1">
        <f>IF(B37="", "", "Decimal degrees")</f>
        <v>0</v>
      </c>
      <c r="Y37" s="1">
        <f>IF(B37="", "", "other")</f>
        <v>0</v>
      </c>
      <c r="AB37" s="1">
        <f>IF(B37="", "", "Not applicable")</f>
        <v>0</v>
      </c>
    </row>
    <row r="38" spans="1:28">
      <c r="A38">
        <f>IF(COUNTBLANK(B38:AC38)&lt;&gt;COLUMNS(B38:AC38),37,"")</f>
        <v>0</v>
      </c>
      <c r="H38" s="2">
        <f>IF(B38="", "", "not provided")</f>
        <v>0</v>
      </c>
      <c r="I38" s="1">
        <f>IF(B38="", "", "meters")</f>
        <v>0</v>
      </c>
      <c r="T38" s="1">
        <f>IF(B38="", "", "Decimal degrees")</f>
        <v>0</v>
      </c>
      <c r="V38" s="1">
        <f>IF(B38="", "", "Decimal degrees")</f>
        <v>0</v>
      </c>
      <c r="Y38" s="1">
        <f>IF(B38="", "", "other")</f>
        <v>0</v>
      </c>
      <c r="AB38" s="1">
        <f>IF(B38="", "", "Not applicable")</f>
        <v>0</v>
      </c>
    </row>
    <row r="39" spans="1:28">
      <c r="A39">
        <f>IF(COUNTBLANK(B39:AC39)&lt;&gt;COLUMNS(B39:AC39),38,"")</f>
        <v>0</v>
      </c>
      <c r="H39" s="2">
        <f>IF(B39="", "", "not provided")</f>
        <v>0</v>
      </c>
      <c r="I39" s="1">
        <f>IF(B39="", "", "meters")</f>
        <v>0</v>
      </c>
      <c r="T39" s="1">
        <f>IF(B39="", "", "Decimal degrees")</f>
        <v>0</v>
      </c>
      <c r="V39" s="1">
        <f>IF(B39="", "", "Decimal degrees")</f>
        <v>0</v>
      </c>
      <c r="Y39" s="1">
        <f>IF(B39="", "", "other")</f>
        <v>0</v>
      </c>
      <c r="AB39" s="1">
        <f>IF(B39="", "", "Not applicable")</f>
        <v>0</v>
      </c>
    </row>
    <row r="40" spans="1:28">
      <c r="A40">
        <f>IF(COUNTBLANK(B40:AC40)&lt;&gt;COLUMNS(B40:AC40),39,"")</f>
        <v>0</v>
      </c>
      <c r="H40" s="2">
        <f>IF(B40="", "", "not provided")</f>
        <v>0</v>
      </c>
      <c r="I40" s="1">
        <f>IF(B40="", "", "meters")</f>
        <v>0</v>
      </c>
      <c r="T40" s="1">
        <f>IF(B40="", "", "Decimal degrees")</f>
        <v>0</v>
      </c>
      <c r="V40" s="1">
        <f>IF(B40="", "", "Decimal degrees")</f>
        <v>0</v>
      </c>
      <c r="Y40" s="1">
        <f>IF(B40="", "", "other")</f>
        <v>0</v>
      </c>
      <c r="AB40" s="1">
        <f>IF(B40="", "", "Not applicable")</f>
        <v>0</v>
      </c>
    </row>
    <row r="41" spans="1:28">
      <c r="A41">
        <f>IF(COUNTBLANK(B41:AC41)&lt;&gt;COLUMNS(B41:AC41),40,"")</f>
        <v>0</v>
      </c>
      <c r="H41" s="2">
        <f>IF(B41="", "", "not provided")</f>
        <v>0</v>
      </c>
      <c r="I41" s="1">
        <f>IF(B41="", "", "meters")</f>
        <v>0</v>
      </c>
      <c r="T41" s="1">
        <f>IF(B41="", "", "Decimal degrees")</f>
        <v>0</v>
      </c>
      <c r="V41" s="1">
        <f>IF(B41="", "", "Decimal degrees")</f>
        <v>0</v>
      </c>
      <c r="Y41" s="1">
        <f>IF(B41="", "", "other")</f>
        <v>0</v>
      </c>
      <c r="AB41" s="1">
        <f>IF(B41="", "", "Not applicable")</f>
        <v>0</v>
      </c>
    </row>
    <row r="42" spans="1:28">
      <c r="A42">
        <f>IF(COUNTBLANK(B42:AC42)&lt;&gt;COLUMNS(B42:AC42),41,"")</f>
        <v>0</v>
      </c>
      <c r="H42" s="2">
        <f>IF(B42="", "", "not provided")</f>
        <v>0</v>
      </c>
      <c r="I42" s="1">
        <f>IF(B42="", "", "meters")</f>
        <v>0</v>
      </c>
      <c r="T42" s="1">
        <f>IF(B42="", "", "Decimal degrees")</f>
        <v>0</v>
      </c>
      <c r="V42" s="1">
        <f>IF(B42="", "", "Decimal degrees")</f>
        <v>0</v>
      </c>
      <c r="Y42" s="1">
        <f>IF(B42="", "", "other")</f>
        <v>0</v>
      </c>
      <c r="AB42" s="1">
        <f>IF(B42="", "", "Not applicable")</f>
        <v>0</v>
      </c>
    </row>
    <row r="43" spans="1:28">
      <c r="A43">
        <f>IF(COUNTBLANK(B43:AC43)&lt;&gt;COLUMNS(B43:AC43),42,"")</f>
        <v>0</v>
      </c>
      <c r="H43" s="2">
        <f>IF(B43="", "", "not provided")</f>
        <v>0</v>
      </c>
      <c r="I43" s="1">
        <f>IF(B43="", "", "meters")</f>
        <v>0</v>
      </c>
      <c r="T43" s="1">
        <f>IF(B43="", "", "Decimal degrees")</f>
        <v>0</v>
      </c>
      <c r="V43" s="1">
        <f>IF(B43="", "", "Decimal degrees")</f>
        <v>0</v>
      </c>
      <c r="Y43" s="1">
        <f>IF(B43="", "", "other")</f>
        <v>0</v>
      </c>
      <c r="AB43" s="1">
        <f>IF(B43="", "", "Not applicable")</f>
        <v>0</v>
      </c>
    </row>
    <row r="44" spans="1:28">
      <c r="A44">
        <f>IF(COUNTBLANK(B44:AC44)&lt;&gt;COLUMNS(B44:AC44),43,"")</f>
        <v>0</v>
      </c>
      <c r="H44" s="2">
        <f>IF(B44="", "", "not provided")</f>
        <v>0</v>
      </c>
      <c r="I44" s="1">
        <f>IF(B44="", "", "meters")</f>
        <v>0</v>
      </c>
      <c r="T44" s="1">
        <f>IF(B44="", "", "Decimal degrees")</f>
        <v>0</v>
      </c>
      <c r="V44" s="1">
        <f>IF(B44="", "", "Decimal degrees")</f>
        <v>0</v>
      </c>
      <c r="Y44" s="1">
        <f>IF(B44="", "", "other")</f>
        <v>0</v>
      </c>
      <c r="AB44" s="1">
        <f>IF(B44="", "", "Not applicable")</f>
        <v>0</v>
      </c>
    </row>
    <row r="45" spans="1:28">
      <c r="A45">
        <f>IF(COUNTBLANK(B45:AC45)&lt;&gt;COLUMNS(B45:AC45),44,"")</f>
        <v>0</v>
      </c>
      <c r="H45" s="2">
        <f>IF(B45="", "", "not provided")</f>
        <v>0</v>
      </c>
      <c r="I45" s="1">
        <f>IF(B45="", "", "meters")</f>
        <v>0</v>
      </c>
      <c r="T45" s="1">
        <f>IF(B45="", "", "Decimal degrees")</f>
        <v>0</v>
      </c>
      <c r="V45" s="1">
        <f>IF(B45="", "", "Decimal degrees")</f>
        <v>0</v>
      </c>
      <c r="Y45" s="1">
        <f>IF(B45="", "", "other")</f>
        <v>0</v>
      </c>
      <c r="AB45" s="1">
        <f>IF(B45="", "", "Not applicable")</f>
        <v>0</v>
      </c>
    </row>
    <row r="46" spans="1:28">
      <c r="A46">
        <f>IF(COUNTBLANK(B46:AC46)&lt;&gt;COLUMNS(B46:AC46),45,"")</f>
        <v>0</v>
      </c>
      <c r="H46" s="2">
        <f>IF(B46="", "", "not provided")</f>
        <v>0</v>
      </c>
      <c r="I46" s="1">
        <f>IF(B46="", "", "meters")</f>
        <v>0</v>
      </c>
      <c r="T46" s="1">
        <f>IF(B46="", "", "Decimal degrees")</f>
        <v>0</v>
      </c>
      <c r="V46" s="1">
        <f>IF(B46="", "", "Decimal degrees")</f>
        <v>0</v>
      </c>
      <c r="Y46" s="1">
        <f>IF(B46="", "", "other")</f>
        <v>0</v>
      </c>
      <c r="AB46" s="1">
        <f>IF(B46="", "", "Not applicable")</f>
        <v>0</v>
      </c>
    </row>
    <row r="47" spans="1:28">
      <c r="A47">
        <f>IF(COUNTBLANK(B47:AC47)&lt;&gt;COLUMNS(B47:AC47),46,"")</f>
        <v>0</v>
      </c>
      <c r="H47" s="2">
        <f>IF(B47="", "", "not provided")</f>
        <v>0</v>
      </c>
      <c r="I47" s="1">
        <f>IF(B47="", "", "meters")</f>
        <v>0</v>
      </c>
      <c r="T47" s="1">
        <f>IF(B47="", "", "Decimal degrees")</f>
        <v>0</v>
      </c>
      <c r="V47" s="1">
        <f>IF(B47="", "", "Decimal degrees")</f>
        <v>0</v>
      </c>
      <c r="Y47" s="1">
        <f>IF(B47="", "", "other")</f>
        <v>0</v>
      </c>
      <c r="AB47" s="1">
        <f>IF(B47="", "", "Not applicable")</f>
        <v>0</v>
      </c>
    </row>
    <row r="48" spans="1:28">
      <c r="A48">
        <f>IF(COUNTBLANK(B48:AC48)&lt;&gt;COLUMNS(B48:AC48),47,"")</f>
        <v>0</v>
      </c>
      <c r="H48" s="2">
        <f>IF(B48="", "", "not provided")</f>
        <v>0</v>
      </c>
      <c r="I48" s="1">
        <f>IF(B48="", "", "meters")</f>
        <v>0</v>
      </c>
      <c r="T48" s="1">
        <f>IF(B48="", "", "Decimal degrees")</f>
        <v>0</v>
      </c>
      <c r="V48" s="1">
        <f>IF(B48="", "", "Decimal degrees")</f>
        <v>0</v>
      </c>
      <c r="Y48" s="1">
        <f>IF(B48="", "", "other")</f>
        <v>0</v>
      </c>
      <c r="AB48" s="1">
        <f>IF(B48="", "", "Not applicable")</f>
        <v>0</v>
      </c>
    </row>
    <row r="49" spans="1:28">
      <c r="A49">
        <f>IF(COUNTBLANK(B49:AC49)&lt;&gt;COLUMNS(B49:AC49),48,"")</f>
        <v>0</v>
      </c>
      <c r="H49" s="2">
        <f>IF(B49="", "", "not provided")</f>
        <v>0</v>
      </c>
      <c r="I49" s="1">
        <f>IF(B49="", "", "meters")</f>
        <v>0</v>
      </c>
      <c r="T49" s="1">
        <f>IF(B49="", "", "Decimal degrees")</f>
        <v>0</v>
      </c>
      <c r="V49" s="1">
        <f>IF(B49="", "", "Decimal degrees")</f>
        <v>0</v>
      </c>
      <c r="Y49" s="1">
        <f>IF(B49="", "", "other")</f>
        <v>0</v>
      </c>
      <c r="AB49" s="1">
        <f>IF(B49="", "", "Not applicable")</f>
        <v>0</v>
      </c>
    </row>
    <row r="50" spans="1:28">
      <c r="A50">
        <f>IF(COUNTBLANK(B50:AC50)&lt;&gt;COLUMNS(B50:AC50),49,"")</f>
        <v>0</v>
      </c>
      <c r="H50" s="2">
        <f>IF(B50="", "", "not provided")</f>
        <v>0</v>
      </c>
      <c r="I50" s="1">
        <f>IF(B50="", "", "meters")</f>
        <v>0</v>
      </c>
      <c r="T50" s="1">
        <f>IF(B50="", "", "Decimal degrees")</f>
        <v>0</v>
      </c>
      <c r="V50" s="1">
        <f>IF(B50="", "", "Decimal degrees")</f>
        <v>0</v>
      </c>
      <c r="Y50" s="1">
        <f>IF(B50="", "", "other")</f>
        <v>0</v>
      </c>
      <c r="AB50" s="1">
        <f>IF(B50="", "", "Not applicable")</f>
        <v>0</v>
      </c>
    </row>
    <row r="51" spans="1:28">
      <c r="A51">
        <f>IF(COUNTBLANK(B51:AC51)&lt;&gt;COLUMNS(B51:AC51),50,"")</f>
        <v>0</v>
      </c>
      <c r="H51" s="2">
        <f>IF(B51="", "", "not provided")</f>
        <v>0</v>
      </c>
      <c r="I51" s="1">
        <f>IF(B51="", "", "meters")</f>
        <v>0</v>
      </c>
      <c r="T51" s="1">
        <f>IF(B51="", "", "Decimal degrees")</f>
        <v>0</v>
      </c>
      <c r="V51" s="1">
        <f>IF(B51="", "", "Decimal degrees")</f>
        <v>0</v>
      </c>
      <c r="Y51" s="1">
        <f>IF(B51="", "", "other")</f>
        <v>0</v>
      </c>
      <c r="AB51" s="1">
        <f>IF(B51="", "", "Not applicable")</f>
        <v>0</v>
      </c>
    </row>
    <row r="52" spans="1:28">
      <c r="A52">
        <f>IF(COUNTBLANK(B52:AC52)&lt;&gt;COLUMNS(B52:AC52),51,"")</f>
        <v>0</v>
      </c>
      <c r="H52" s="2">
        <f>IF(B52="", "", "not provided")</f>
        <v>0</v>
      </c>
      <c r="I52" s="1">
        <f>IF(B52="", "", "meters")</f>
        <v>0</v>
      </c>
      <c r="T52" s="1">
        <f>IF(B52="", "", "Decimal degrees")</f>
        <v>0</v>
      </c>
      <c r="V52" s="1">
        <f>IF(B52="", "", "Decimal degrees")</f>
        <v>0</v>
      </c>
      <c r="Y52" s="1">
        <f>IF(B52="", "", "other")</f>
        <v>0</v>
      </c>
      <c r="AB52" s="1">
        <f>IF(B52="", "", "Not applicable")</f>
        <v>0</v>
      </c>
    </row>
    <row r="53" spans="1:28">
      <c r="A53">
        <f>IF(COUNTBLANK(B53:AC53)&lt;&gt;COLUMNS(B53:AC53),52,"")</f>
        <v>0</v>
      </c>
      <c r="H53" s="2">
        <f>IF(B53="", "", "not provided")</f>
        <v>0</v>
      </c>
      <c r="I53" s="1">
        <f>IF(B53="", "", "meters")</f>
        <v>0</v>
      </c>
      <c r="T53" s="1">
        <f>IF(B53="", "", "Decimal degrees")</f>
        <v>0</v>
      </c>
      <c r="V53" s="1">
        <f>IF(B53="", "", "Decimal degrees")</f>
        <v>0</v>
      </c>
      <c r="Y53" s="1">
        <f>IF(B53="", "", "other")</f>
        <v>0</v>
      </c>
      <c r="AB53" s="1">
        <f>IF(B53="", "", "Not applicable")</f>
        <v>0</v>
      </c>
    </row>
    <row r="54" spans="1:28">
      <c r="A54">
        <f>IF(COUNTBLANK(B54:AC54)&lt;&gt;COLUMNS(B54:AC54),53,"")</f>
        <v>0</v>
      </c>
      <c r="H54" s="2">
        <f>IF(B54="", "", "not provided")</f>
        <v>0</v>
      </c>
      <c r="I54" s="1">
        <f>IF(B54="", "", "meters")</f>
        <v>0</v>
      </c>
      <c r="T54" s="1">
        <f>IF(B54="", "", "Decimal degrees")</f>
        <v>0</v>
      </c>
      <c r="V54" s="1">
        <f>IF(B54="", "", "Decimal degrees")</f>
        <v>0</v>
      </c>
      <c r="Y54" s="1">
        <f>IF(B54="", "", "other")</f>
        <v>0</v>
      </c>
      <c r="AB54" s="1">
        <f>IF(B54="", "", "Not applicable")</f>
        <v>0</v>
      </c>
    </row>
    <row r="55" spans="1:28">
      <c r="A55">
        <f>IF(COUNTBLANK(B55:AC55)&lt;&gt;COLUMNS(B55:AC55),54,"")</f>
        <v>0</v>
      </c>
      <c r="H55" s="2">
        <f>IF(B55="", "", "not provided")</f>
        <v>0</v>
      </c>
      <c r="I55" s="1">
        <f>IF(B55="", "", "meters")</f>
        <v>0</v>
      </c>
      <c r="T55" s="1">
        <f>IF(B55="", "", "Decimal degrees")</f>
        <v>0</v>
      </c>
      <c r="V55" s="1">
        <f>IF(B55="", "", "Decimal degrees")</f>
        <v>0</v>
      </c>
      <c r="Y55" s="1">
        <f>IF(B55="", "", "other")</f>
        <v>0</v>
      </c>
      <c r="AB55" s="1">
        <f>IF(B55="", "", "Not applicable")</f>
        <v>0</v>
      </c>
    </row>
    <row r="56" spans="1:28">
      <c r="A56">
        <f>IF(COUNTBLANK(B56:AC56)&lt;&gt;COLUMNS(B56:AC56),55,"")</f>
        <v>0</v>
      </c>
      <c r="H56" s="2">
        <f>IF(B56="", "", "not provided")</f>
        <v>0</v>
      </c>
      <c r="I56" s="1">
        <f>IF(B56="", "", "meters")</f>
        <v>0</v>
      </c>
      <c r="T56" s="1">
        <f>IF(B56="", "", "Decimal degrees")</f>
        <v>0</v>
      </c>
      <c r="V56" s="1">
        <f>IF(B56="", "", "Decimal degrees")</f>
        <v>0</v>
      </c>
      <c r="Y56" s="1">
        <f>IF(B56="", "", "other")</f>
        <v>0</v>
      </c>
      <c r="AB56" s="1">
        <f>IF(B56="", "", "Not applicable")</f>
        <v>0</v>
      </c>
    </row>
    <row r="57" spans="1:28">
      <c r="A57">
        <f>IF(COUNTBLANK(B57:AC57)&lt;&gt;COLUMNS(B57:AC57),56,"")</f>
        <v>0</v>
      </c>
      <c r="H57" s="2">
        <f>IF(B57="", "", "not provided")</f>
        <v>0</v>
      </c>
      <c r="I57" s="1">
        <f>IF(B57="", "", "meters")</f>
        <v>0</v>
      </c>
      <c r="T57" s="1">
        <f>IF(B57="", "", "Decimal degrees")</f>
        <v>0</v>
      </c>
      <c r="V57" s="1">
        <f>IF(B57="", "", "Decimal degrees")</f>
        <v>0</v>
      </c>
      <c r="Y57" s="1">
        <f>IF(B57="", "", "other")</f>
        <v>0</v>
      </c>
      <c r="AB57" s="1">
        <f>IF(B57="", "", "Not applicable")</f>
        <v>0</v>
      </c>
    </row>
    <row r="58" spans="1:28">
      <c r="A58">
        <f>IF(COUNTBLANK(B58:AC58)&lt;&gt;COLUMNS(B58:AC58),57,"")</f>
        <v>0</v>
      </c>
      <c r="H58" s="2">
        <f>IF(B58="", "", "not provided")</f>
        <v>0</v>
      </c>
      <c r="I58" s="1">
        <f>IF(B58="", "", "meters")</f>
        <v>0</v>
      </c>
      <c r="T58" s="1">
        <f>IF(B58="", "", "Decimal degrees")</f>
        <v>0</v>
      </c>
      <c r="V58" s="1">
        <f>IF(B58="", "", "Decimal degrees")</f>
        <v>0</v>
      </c>
      <c r="Y58" s="1">
        <f>IF(B58="", "", "other")</f>
        <v>0</v>
      </c>
      <c r="AB58" s="1">
        <f>IF(B58="", "", "Not applicable")</f>
        <v>0</v>
      </c>
    </row>
    <row r="59" spans="1:28">
      <c r="A59">
        <f>IF(COUNTBLANK(B59:AC59)&lt;&gt;COLUMNS(B59:AC59),58,"")</f>
        <v>0</v>
      </c>
      <c r="H59" s="2">
        <f>IF(B59="", "", "not provided")</f>
        <v>0</v>
      </c>
      <c r="I59" s="1">
        <f>IF(B59="", "", "meters")</f>
        <v>0</v>
      </c>
      <c r="T59" s="1">
        <f>IF(B59="", "", "Decimal degrees")</f>
        <v>0</v>
      </c>
      <c r="V59" s="1">
        <f>IF(B59="", "", "Decimal degrees")</f>
        <v>0</v>
      </c>
      <c r="Y59" s="1">
        <f>IF(B59="", "", "other")</f>
        <v>0</v>
      </c>
      <c r="AB59" s="1">
        <f>IF(B59="", "", "Not applicable")</f>
        <v>0</v>
      </c>
    </row>
    <row r="60" spans="1:28">
      <c r="A60">
        <f>IF(COUNTBLANK(B60:AC60)&lt;&gt;COLUMNS(B60:AC60),59,"")</f>
        <v>0</v>
      </c>
      <c r="H60" s="2">
        <f>IF(B60="", "", "not provided")</f>
        <v>0</v>
      </c>
      <c r="I60" s="1">
        <f>IF(B60="", "", "meters")</f>
        <v>0</v>
      </c>
      <c r="T60" s="1">
        <f>IF(B60="", "", "Decimal degrees")</f>
        <v>0</v>
      </c>
      <c r="V60" s="1">
        <f>IF(B60="", "", "Decimal degrees")</f>
        <v>0</v>
      </c>
      <c r="Y60" s="1">
        <f>IF(B60="", "", "other")</f>
        <v>0</v>
      </c>
      <c r="AB60" s="1">
        <f>IF(B60="", "", "Not applicable")</f>
        <v>0</v>
      </c>
    </row>
    <row r="61" spans="1:28">
      <c r="A61">
        <f>IF(COUNTBLANK(B61:AC61)&lt;&gt;COLUMNS(B61:AC61),60,"")</f>
        <v>0</v>
      </c>
      <c r="H61" s="2">
        <f>IF(B61="", "", "not provided")</f>
        <v>0</v>
      </c>
      <c r="I61" s="1">
        <f>IF(B61="", "", "meters")</f>
        <v>0</v>
      </c>
      <c r="T61" s="1">
        <f>IF(B61="", "", "Decimal degrees")</f>
        <v>0</v>
      </c>
      <c r="V61" s="1">
        <f>IF(B61="", "", "Decimal degrees")</f>
        <v>0</v>
      </c>
      <c r="Y61" s="1">
        <f>IF(B61="", "", "other")</f>
        <v>0</v>
      </c>
      <c r="AB61" s="1">
        <f>IF(B61="", "", "Not applicable")</f>
        <v>0</v>
      </c>
    </row>
    <row r="62" spans="1:28">
      <c r="A62">
        <f>IF(COUNTBLANK(B62:AC62)&lt;&gt;COLUMNS(B62:AC62),61,"")</f>
        <v>0</v>
      </c>
      <c r="H62" s="2">
        <f>IF(B62="", "", "not provided")</f>
        <v>0</v>
      </c>
      <c r="I62" s="1">
        <f>IF(B62="", "", "meters")</f>
        <v>0</v>
      </c>
      <c r="T62" s="1">
        <f>IF(B62="", "", "Decimal degrees")</f>
        <v>0</v>
      </c>
      <c r="V62" s="1">
        <f>IF(B62="", "", "Decimal degrees")</f>
        <v>0</v>
      </c>
      <c r="Y62" s="1">
        <f>IF(B62="", "", "other")</f>
        <v>0</v>
      </c>
      <c r="AB62" s="1">
        <f>IF(B62="", "", "Not applicable")</f>
        <v>0</v>
      </c>
    </row>
    <row r="63" spans="1:28">
      <c r="A63">
        <f>IF(COUNTBLANK(B63:AC63)&lt;&gt;COLUMNS(B63:AC63),62,"")</f>
        <v>0</v>
      </c>
      <c r="H63" s="2">
        <f>IF(B63="", "", "not provided")</f>
        <v>0</v>
      </c>
      <c r="I63" s="1">
        <f>IF(B63="", "", "meters")</f>
        <v>0</v>
      </c>
      <c r="T63" s="1">
        <f>IF(B63="", "", "Decimal degrees")</f>
        <v>0</v>
      </c>
      <c r="V63" s="1">
        <f>IF(B63="", "", "Decimal degrees")</f>
        <v>0</v>
      </c>
      <c r="Y63" s="1">
        <f>IF(B63="", "", "other")</f>
        <v>0</v>
      </c>
      <c r="AB63" s="1">
        <f>IF(B63="", "", "Not applicable")</f>
        <v>0</v>
      </c>
    </row>
    <row r="64" spans="1:28">
      <c r="A64">
        <f>IF(COUNTBLANK(B64:AC64)&lt;&gt;COLUMNS(B64:AC64),63,"")</f>
        <v>0</v>
      </c>
      <c r="H64" s="2">
        <f>IF(B64="", "", "not provided")</f>
        <v>0</v>
      </c>
      <c r="I64" s="1">
        <f>IF(B64="", "", "meters")</f>
        <v>0</v>
      </c>
      <c r="T64" s="1">
        <f>IF(B64="", "", "Decimal degrees")</f>
        <v>0</v>
      </c>
      <c r="V64" s="1">
        <f>IF(B64="", "", "Decimal degrees")</f>
        <v>0</v>
      </c>
      <c r="Y64" s="1">
        <f>IF(B64="", "", "other")</f>
        <v>0</v>
      </c>
      <c r="AB64" s="1">
        <f>IF(B64="", "", "Not applicable")</f>
        <v>0</v>
      </c>
    </row>
    <row r="65" spans="1:28">
      <c r="A65">
        <f>IF(COUNTBLANK(B65:AC65)&lt;&gt;COLUMNS(B65:AC65),64,"")</f>
        <v>0</v>
      </c>
      <c r="H65" s="2">
        <f>IF(B65="", "", "not provided")</f>
        <v>0</v>
      </c>
      <c r="I65" s="1">
        <f>IF(B65="", "", "meters")</f>
        <v>0</v>
      </c>
      <c r="T65" s="1">
        <f>IF(B65="", "", "Decimal degrees")</f>
        <v>0</v>
      </c>
      <c r="V65" s="1">
        <f>IF(B65="", "", "Decimal degrees")</f>
        <v>0</v>
      </c>
      <c r="Y65" s="1">
        <f>IF(B65="", "", "other")</f>
        <v>0</v>
      </c>
      <c r="AB65" s="1">
        <f>IF(B65="", "", "Not applicable")</f>
        <v>0</v>
      </c>
    </row>
    <row r="66" spans="1:28">
      <c r="A66">
        <f>IF(COUNTBLANK(B66:AC66)&lt;&gt;COLUMNS(B66:AC66),65,"")</f>
        <v>0</v>
      </c>
      <c r="H66" s="2">
        <f>IF(B66="", "", "not provided")</f>
        <v>0</v>
      </c>
      <c r="I66" s="1">
        <f>IF(B66="", "", "meters")</f>
        <v>0</v>
      </c>
      <c r="T66" s="1">
        <f>IF(B66="", "", "Decimal degrees")</f>
        <v>0</v>
      </c>
      <c r="V66" s="1">
        <f>IF(B66="", "", "Decimal degrees")</f>
        <v>0</v>
      </c>
      <c r="Y66" s="1">
        <f>IF(B66="", "", "other")</f>
        <v>0</v>
      </c>
      <c r="AB66" s="1">
        <f>IF(B66="", "", "Not applicable")</f>
        <v>0</v>
      </c>
    </row>
    <row r="67" spans="1:28">
      <c r="A67">
        <f>IF(COUNTBLANK(B67:AC67)&lt;&gt;COLUMNS(B67:AC67),66,"")</f>
        <v>0</v>
      </c>
      <c r="H67" s="2">
        <f>IF(B67="", "", "not provided")</f>
        <v>0</v>
      </c>
      <c r="I67" s="1">
        <f>IF(B67="", "", "meters")</f>
        <v>0</v>
      </c>
      <c r="T67" s="1">
        <f>IF(B67="", "", "Decimal degrees")</f>
        <v>0</v>
      </c>
      <c r="V67" s="1">
        <f>IF(B67="", "", "Decimal degrees")</f>
        <v>0</v>
      </c>
      <c r="Y67" s="1">
        <f>IF(B67="", "", "other")</f>
        <v>0</v>
      </c>
      <c r="AB67" s="1">
        <f>IF(B67="", "", "Not applicable")</f>
        <v>0</v>
      </c>
    </row>
    <row r="68" spans="1:28">
      <c r="A68">
        <f>IF(COUNTBLANK(B68:AC68)&lt;&gt;COLUMNS(B68:AC68),67,"")</f>
        <v>0</v>
      </c>
      <c r="H68" s="2">
        <f>IF(B68="", "", "not provided")</f>
        <v>0</v>
      </c>
      <c r="I68" s="1">
        <f>IF(B68="", "", "meters")</f>
        <v>0</v>
      </c>
      <c r="T68" s="1">
        <f>IF(B68="", "", "Decimal degrees")</f>
        <v>0</v>
      </c>
      <c r="V68" s="1">
        <f>IF(B68="", "", "Decimal degrees")</f>
        <v>0</v>
      </c>
      <c r="Y68" s="1">
        <f>IF(B68="", "", "other")</f>
        <v>0</v>
      </c>
      <c r="AB68" s="1">
        <f>IF(B68="", "", "Not applicable")</f>
        <v>0</v>
      </c>
    </row>
    <row r="69" spans="1:28">
      <c r="A69">
        <f>IF(COUNTBLANK(B69:AC69)&lt;&gt;COLUMNS(B69:AC69),68,"")</f>
        <v>0</v>
      </c>
      <c r="H69" s="2">
        <f>IF(B69="", "", "not provided")</f>
        <v>0</v>
      </c>
      <c r="I69" s="1">
        <f>IF(B69="", "", "meters")</f>
        <v>0</v>
      </c>
      <c r="T69" s="1">
        <f>IF(B69="", "", "Decimal degrees")</f>
        <v>0</v>
      </c>
      <c r="V69" s="1">
        <f>IF(B69="", "", "Decimal degrees")</f>
        <v>0</v>
      </c>
      <c r="Y69" s="1">
        <f>IF(B69="", "", "other")</f>
        <v>0</v>
      </c>
      <c r="AB69" s="1">
        <f>IF(B69="", "", "Not applicable")</f>
        <v>0</v>
      </c>
    </row>
    <row r="70" spans="1:28">
      <c r="A70">
        <f>IF(COUNTBLANK(B70:AC70)&lt;&gt;COLUMNS(B70:AC70),69,"")</f>
        <v>0</v>
      </c>
      <c r="H70" s="2">
        <f>IF(B70="", "", "not provided")</f>
        <v>0</v>
      </c>
      <c r="I70" s="1">
        <f>IF(B70="", "", "meters")</f>
        <v>0</v>
      </c>
      <c r="T70" s="1">
        <f>IF(B70="", "", "Decimal degrees")</f>
        <v>0</v>
      </c>
      <c r="V70" s="1">
        <f>IF(B70="", "", "Decimal degrees")</f>
        <v>0</v>
      </c>
      <c r="Y70" s="1">
        <f>IF(B70="", "", "other")</f>
        <v>0</v>
      </c>
      <c r="AB70" s="1">
        <f>IF(B70="", "", "Not applicable")</f>
        <v>0</v>
      </c>
    </row>
    <row r="71" spans="1:28">
      <c r="A71">
        <f>IF(COUNTBLANK(B71:AC71)&lt;&gt;COLUMNS(B71:AC71),70,"")</f>
        <v>0</v>
      </c>
      <c r="H71" s="2">
        <f>IF(B71="", "", "not provided")</f>
        <v>0</v>
      </c>
      <c r="I71" s="1">
        <f>IF(B71="", "", "meters")</f>
        <v>0</v>
      </c>
      <c r="T71" s="1">
        <f>IF(B71="", "", "Decimal degrees")</f>
        <v>0</v>
      </c>
      <c r="V71" s="1">
        <f>IF(B71="", "", "Decimal degrees")</f>
        <v>0</v>
      </c>
      <c r="Y71" s="1">
        <f>IF(B71="", "", "other")</f>
        <v>0</v>
      </c>
      <c r="AB71" s="1">
        <f>IF(B71="", "", "Not applicable")</f>
        <v>0</v>
      </c>
    </row>
    <row r="72" spans="1:28">
      <c r="A72">
        <f>IF(COUNTBLANK(B72:AC72)&lt;&gt;COLUMNS(B72:AC72),71,"")</f>
        <v>0</v>
      </c>
      <c r="H72" s="2">
        <f>IF(B72="", "", "not provided")</f>
        <v>0</v>
      </c>
      <c r="I72" s="1">
        <f>IF(B72="", "", "meters")</f>
        <v>0</v>
      </c>
      <c r="T72" s="1">
        <f>IF(B72="", "", "Decimal degrees")</f>
        <v>0</v>
      </c>
      <c r="V72" s="1">
        <f>IF(B72="", "", "Decimal degrees")</f>
        <v>0</v>
      </c>
      <c r="Y72" s="1">
        <f>IF(B72="", "", "other")</f>
        <v>0</v>
      </c>
      <c r="AB72" s="1">
        <f>IF(B72="", "", "Not applicable")</f>
        <v>0</v>
      </c>
    </row>
    <row r="73" spans="1:28">
      <c r="A73">
        <f>IF(COUNTBLANK(B73:AC73)&lt;&gt;COLUMNS(B73:AC73),72,"")</f>
        <v>0</v>
      </c>
      <c r="H73" s="2">
        <f>IF(B73="", "", "not provided")</f>
        <v>0</v>
      </c>
      <c r="I73" s="1">
        <f>IF(B73="", "", "meters")</f>
        <v>0</v>
      </c>
      <c r="T73" s="1">
        <f>IF(B73="", "", "Decimal degrees")</f>
        <v>0</v>
      </c>
      <c r="V73" s="1">
        <f>IF(B73="", "", "Decimal degrees")</f>
        <v>0</v>
      </c>
      <c r="Y73" s="1">
        <f>IF(B73="", "", "other")</f>
        <v>0</v>
      </c>
      <c r="AB73" s="1">
        <f>IF(B73="", "", "Not applicable")</f>
        <v>0</v>
      </c>
    </row>
    <row r="74" spans="1:28">
      <c r="A74">
        <f>IF(COUNTBLANK(B74:AC74)&lt;&gt;COLUMNS(B74:AC74),73,"")</f>
        <v>0</v>
      </c>
      <c r="H74" s="2">
        <f>IF(B74="", "", "not provided")</f>
        <v>0</v>
      </c>
      <c r="I74" s="1">
        <f>IF(B74="", "", "meters")</f>
        <v>0</v>
      </c>
      <c r="T74" s="1">
        <f>IF(B74="", "", "Decimal degrees")</f>
        <v>0</v>
      </c>
      <c r="V74" s="1">
        <f>IF(B74="", "", "Decimal degrees")</f>
        <v>0</v>
      </c>
      <c r="Y74" s="1">
        <f>IF(B74="", "", "other")</f>
        <v>0</v>
      </c>
      <c r="AB74" s="1">
        <f>IF(B74="", "", "Not applicable")</f>
        <v>0</v>
      </c>
    </row>
    <row r="75" spans="1:28">
      <c r="A75">
        <f>IF(COUNTBLANK(B75:AC75)&lt;&gt;COLUMNS(B75:AC75),74,"")</f>
        <v>0</v>
      </c>
      <c r="H75" s="2">
        <f>IF(B75="", "", "not provided")</f>
        <v>0</v>
      </c>
      <c r="I75" s="1">
        <f>IF(B75="", "", "meters")</f>
        <v>0</v>
      </c>
      <c r="T75" s="1">
        <f>IF(B75="", "", "Decimal degrees")</f>
        <v>0</v>
      </c>
      <c r="V75" s="1">
        <f>IF(B75="", "", "Decimal degrees")</f>
        <v>0</v>
      </c>
      <c r="Y75" s="1">
        <f>IF(B75="", "", "other")</f>
        <v>0</v>
      </c>
      <c r="AB75" s="1">
        <f>IF(B75="", "", "Not applicable")</f>
        <v>0</v>
      </c>
    </row>
    <row r="76" spans="1:28">
      <c r="A76">
        <f>IF(COUNTBLANK(B76:AC76)&lt;&gt;COLUMNS(B76:AC76),75,"")</f>
        <v>0</v>
      </c>
      <c r="H76" s="2">
        <f>IF(B76="", "", "not provided")</f>
        <v>0</v>
      </c>
      <c r="I76" s="1">
        <f>IF(B76="", "", "meters")</f>
        <v>0</v>
      </c>
      <c r="T76" s="1">
        <f>IF(B76="", "", "Decimal degrees")</f>
        <v>0</v>
      </c>
      <c r="V76" s="1">
        <f>IF(B76="", "", "Decimal degrees")</f>
        <v>0</v>
      </c>
      <c r="Y76" s="1">
        <f>IF(B76="", "", "other")</f>
        <v>0</v>
      </c>
      <c r="AB76" s="1">
        <f>IF(B76="", "", "Not applicable")</f>
        <v>0</v>
      </c>
    </row>
    <row r="77" spans="1:28">
      <c r="A77">
        <f>IF(COUNTBLANK(B77:AC77)&lt;&gt;COLUMNS(B77:AC77),76,"")</f>
        <v>0</v>
      </c>
      <c r="H77" s="2">
        <f>IF(B77="", "", "not provided")</f>
        <v>0</v>
      </c>
      <c r="I77" s="1">
        <f>IF(B77="", "", "meters")</f>
        <v>0</v>
      </c>
      <c r="T77" s="1">
        <f>IF(B77="", "", "Decimal degrees")</f>
        <v>0</v>
      </c>
      <c r="V77" s="1">
        <f>IF(B77="", "", "Decimal degrees")</f>
        <v>0</v>
      </c>
      <c r="Y77" s="1">
        <f>IF(B77="", "", "other")</f>
        <v>0</v>
      </c>
      <c r="AB77" s="1">
        <f>IF(B77="", "", "Not applicable")</f>
        <v>0</v>
      </c>
    </row>
    <row r="78" spans="1:28">
      <c r="A78">
        <f>IF(COUNTBLANK(B78:AC78)&lt;&gt;COLUMNS(B78:AC78),77,"")</f>
        <v>0</v>
      </c>
      <c r="H78" s="2">
        <f>IF(B78="", "", "not provided")</f>
        <v>0</v>
      </c>
      <c r="I78" s="1">
        <f>IF(B78="", "", "meters")</f>
        <v>0</v>
      </c>
      <c r="T78" s="1">
        <f>IF(B78="", "", "Decimal degrees")</f>
        <v>0</v>
      </c>
      <c r="V78" s="1">
        <f>IF(B78="", "", "Decimal degrees")</f>
        <v>0</v>
      </c>
      <c r="Y78" s="1">
        <f>IF(B78="", "", "other")</f>
        <v>0</v>
      </c>
      <c r="AB78" s="1">
        <f>IF(B78="", "", "Not applicable")</f>
        <v>0</v>
      </c>
    </row>
    <row r="79" spans="1:28">
      <c r="A79">
        <f>IF(COUNTBLANK(B79:AC79)&lt;&gt;COLUMNS(B79:AC79),78,"")</f>
        <v>0</v>
      </c>
      <c r="H79" s="2">
        <f>IF(B79="", "", "not provided")</f>
        <v>0</v>
      </c>
      <c r="I79" s="1">
        <f>IF(B79="", "", "meters")</f>
        <v>0</v>
      </c>
      <c r="T79" s="1">
        <f>IF(B79="", "", "Decimal degrees")</f>
        <v>0</v>
      </c>
      <c r="V79" s="1">
        <f>IF(B79="", "", "Decimal degrees")</f>
        <v>0</v>
      </c>
      <c r="Y79" s="1">
        <f>IF(B79="", "", "other")</f>
        <v>0</v>
      </c>
      <c r="AB79" s="1">
        <f>IF(B79="", "", "Not applicable")</f>
        <v>0</v>
      </c>
    </row>
    <row r="80" spans="1:28">
      <c r="A80">
        <f>IF(COUNTBLANK(B80:AC80)&lt;&gt;COLUMNS(B80:AC80),79,"")</f>
        <v>0</v>
      </c>
      <c r="H80" s="2">
        <f>IF(B80="", "", "not provided")</f>
        <v>0</v>
      </c>
      <c r="I80" s="1">
        <f>IF(B80="", "", "meters")</f>
        <v>0</v>
      </c>
      <c r="T80" s="1">
        <f>IF(B80="", "", "Decimal degrees")</f>
        <v>0</v>
      </c>
      <c r="V80" s="1">
        <f>IF(B80="", "", "Decimal degrees")</f>
        <v>0</v>
      </c>
      <c r="Y80" s="1">
        <f>IF(B80="", "", "other")</f>
        <v>0</v>
      </c>
      <c r="AB80" s="1">
        <f>IF(B80="", "", "Not applicable")</f>
        <v>0</v>
      </c>
    </row>
    <row r="81" spans="1:28">
      <c r="A81">
        <f>IF(COUNTBLANK(B81:AC81)&lt;&gt;COLUMNS(B81:AC81),80,"")</f>
        <v>0</v>
      </c>
      <c r="H81" s="2">
        <f>IF(B81="", "", "not provided")</f>
        <v>0</v>
      </c>
      <c r="I81" s="1">
        <f>IF(B81="", "", "meters")</f>
        <v>0</v>
      </c>
      <c r="T81" s="1">
        <f>IF(B81="", "", "Decimal degrees")</f>
        <v>0</v>
      </c>
      <c r="V81" s="1">
        <f>IF(B81="", "", "Decimal degrees")</f>
        <v>0</v>
      </c>
      <c r="Y81" s="1">
        <f>IF(B81="", "", "other")</f>
        <v>0</v>
      </c>
      <c r="AB81" s="1">
        <f>IF(B81="", "", "Not applicable")</f>
        <v>0</v>
      </c>
    </row>
    <row r="82" spans="1:28">
      <c r="A82">
        <f>IF(COUNTBLANK(B82:AC82)&lt;&gt;COLUMNS(B82:AC82),81,"")</f>
        <v>0</v>
      </c>
      <c r="H82" s="2">
        <f>IF(B82="", "", "not provided")</f>
        <v>0</v>
      </c>
      <c r="I82" s="1">
        <f>IF(B82="", "", "meters")</f>
        <v>0</v>
      </c>
      <c r="T82" s="1">
        <f>IF(B82="", "", "Decimal degrees")</f>
        <v>0</v>
      </c>
      <c r="V82" s="1">
        <f>IF(B82="", "", "Decimal degrees")</f>
        <v>0</v>
      </c>
      <c r="Y82" s="1">
        <f>IF(B82="", "", "other")</f>
        <v>0</v>
      </c>
      <c r="AB82" s="1">
        <f>IF(B82="", "", "Not applicable")</f>
        <v>0</v>
      </c>
    </row>
    <row r="83" spans="1:28">
      <c r="A83">
        <f>IF(COUNTBLANK(B83:AC83)&lt;&gt;COLUMNS(B83:AC83),82,"")</f>
        <v>0</v>
      </c>
      <c r="H83" s="2">
        <f>IF(B83="", "", "not provided")</f>
        <v>0</v>
      </c>
      <c r="I83" s="1">
        <f>IF(B83="", "", "meters")</f>
        <v>0</v>
      </c>
      <c r="T83" s="1">
        <f>IF(B83="", "", "Decimal degrees")</f>
        <v>0</v>
      </c>
      <c r="V83" s="1">
        <f>IF(B83="", "", "Decimal degrees")</f>
        <v>0</v>
      </c>
      <c r="Y83" s="1">
        <f>IF(B83="", "", "other")</f>
        <v>0</v>
      </c>
      <c r="AB83" s="1">
        <f>IF(B83="", "", "Not applicable")</f>
        <v>0</v>
      </c>
    </row>
    <row r="84" spans="1:28">
      <c r="A84">
        <f>IF(COUNTBLANK(B84:AC84)&lt;&gt;COLUMNS(B84:AC84),83,"")</f>
        <v>0</v>
      </c>
      <c r="H84" s="2">
        <f>IF(B84="", "", "not provided")</f>
        <v>0</v>
      </c>
      <c r="I84" s="1">
        <f>IF(B84="", "", "meters")</f>
        <v>0</v>
      </c>
      <c r="T84" s="1">
        <f>IF(B84="", "", "Decimal degrees")</f>
        <v>0</v>
      </c>
      <c r="V84" s="1">
        <f>IF(B84="", "", "Decimal degrees")</f>
        <v>0</v>
      </c>
      <c r="Y84" s="1">
        <f>IF(B84="", "", "other")</f>
        <v>0</v>
      </c>
      <c r="AB84" s="1">
        <f>IF(B84="", "", "Not applicable")</f>
        <v>0</v>
      </c>
    </row>
    <row r="85" spans="1:28">
      <c r="A85">
        <f>IF(COUNTBLANK(B85:AC85)&lt;&gt;COLUMNS(B85:AC85),84,"")</f>
        <v>0</v>
      </c>
      <c r="H85" s="2">
        <f>IF(B85="", "", "not provided")</f>
        <v>0</v>
      </c>
      <c r="I85" s="1">
        <f>IF(B85="", "", "meters")</f>
        <v>0</v>
      </c>
      <c r="T85" s="1">
        <f>IF(B85="", "", "Decimal degrees")</f>
        <v>0</v>
      </c>
      <c r="V85" s="1">
        <f>IF(B85="", "", "Decimal degrees")</f>
        <v>0</v>
      </c>
      <c r="Y85" s="1">
        <f>IF(B85="", "", "other")</f>
        <v>0</v>
      </c>
      <c r="AB85" s="1">
        <f>IF(B85="", "", "Not applicable")</f>
        <v>0</v>
      </c>
    </row>
    <row r="86" spans="1:28">
      <c r="A86">
        <f>IF(COUNTBLANK(B86:AC86)&lt;&gt;COLUMNS(B86:AC86),85,"")</f>
        <v>0</v>
      </c>
      <c r="H86" s="2">
        <f>IF(B86="", "", "not provided")</f>
        <v>0</v>
      </c>
      <c r="I86" s="1">
        <f>IF(B86="", "", "meters")</f>
        <v>0</v>
      </c>
      <c r="T86" s="1">
        <f>IF(B86="", "", "Decimal degrees")</f>
        <v>0</v>
      </c>
      <c r="V86" s="1">
        <f>IF(B86="", "", "Decimal degrees")</f>
        <v>0</v>
      </c>
      <c r="Y86" s="1">
        <f>IF(B86="", "", "other")</f>
        <v>0</v>
      </c>
      <c r="AB86" s="1">
        <f>IF(B86="", "", "Not applicable")</f>
        <v>0</v>
      </c>
    </row>
    <row r="87" spans="1:28">
      <c r="A87">
        <f>IF(COUNTBLANK(B87:AC87)&lt;&gt;COLUMNS(B87:AC87),86,"")</f>
        <v>0</v>
      </c>
      <c r="H87" s="2">
        <f>IF(B87="", "", "not provided")</f>
        <v>0</v>
      </c>
      <c r="I87" s="1">
        <f>IF(B87="", "", "meters")</f>
        <v>0</v>
      </c>
      <c r="T87" s="1">
        <f>IF(B87="", "", "Decimal degrees")</f>
        <v>0</v>
      </c>
      <c r="V87" s="1">
        <f>IF(B87="", "", "Decimal degrees")</f>
        <v>0</v>
      </c>
      <c r="Y87" s="1">
        <f>IF(B87="", "", "other")</f>
        <v>0</v>
      </c>
      <c r="AB87" s="1">
        <f>IF(B87="", "", "Not applicable")</f>
        <v>0</v>
      </c>
    </row>
    <row r="88" spans="1:28">
      <c r="A88">
        <f>IF(COUNTBLANK(B88:AC88)&lt;&gt;COLUMNS(B88:AC88),87,"")</f>
        <v>0</v>
      </c>
      <c r="H88" s="2">
        <f>IF(B88="", "", "not provided")</f>
        <v>0</v>
      </c>
      <c r="I88" s="1">
        <f>IF(B88="", "", "meters")</f>
        <v>0</v>
      </c>
      <c r="T88" s="1">
        <f>IF(B88="", "", "Decimal degrees")</f>
        <v>0</v>
      </c>
      <c r="V88" s="1">
        <f>IF(B88="", "", "Decimal degrees")</f>
        <v>0</v>
      </c>
      <c r="Y88" s="1">
        <f>IF(B88="", "", "other")</f>
        <v>0</v>
      </c>
      <c r="AB88" s="1">
        <f>IF(B88="", "", "Not applicable")</f>
        <v>0</v>
      </c>
    </row>
    <row r="89" spans="1:28">
      <c r="A89">
        <f>IF(COUNTBLANK(B89:AC89)&lt;&gt;COLUMNS(B89:AC89),88,"")</f>
        <v>0</v>
      </c>
      <c r="H89" s="2">
        <f>IF(B89="", "", "not provided")</f>
        <v>0</v>
      </c>
      <c r="I89" s="1">
        <f>IF(B89="", "", "meters")</f>
        <v>0</v>
      </c>
      <c r="T89" s="1">
        <f>IF(B89="", "", "Decimal degrees")</f>
        <v>0</v>
      </c>
      <c r="V89" s="1">
        <f>IF(B89="", "", "Decimal degrees")</f>
        <v>0</v>
      </c>
      <c r="Y89" s="1">
        <f>IF(B89="", "", "other")</f>
        <v>0</v>
      </c>
      <c r="AB89" s="1">
        <f>IF(B89="", "", "Not applicable")</f>
        <v>0</v>
      </c>
    </row>
    <row r="90" spans="1:28">
      <c r="A90">
        <f>IF(COUNTBLANK(B90:AC90)&lt;&gt;COLUMNS(B90:AC90),89,"")</f>
        <v>0</v>
      </c>
      <c r="H90" s="2">
        <f>IF(B90="", "", "not provided")</f>
        <v>0</v>
      </c>
      <c r="I90" s="1">
        <f>IF(B90="", "", "meters")</f>
        <v>0</v>
      </c>
      <c r="T90" s="1">
        <f>IF(B90="", "", "Decimal degrees")</f>
        <v>0</v>
      </c>
      <c r="V90" s="1">
        <f>IF(B90="", "", "Decimal degrees")</f>
        <v>0</v>
      </c>
      <c r="Y90" s="1">
        <f>IF(B90="", "", "other")</f>
        <v>0</v>
      </c>
      <c r="AB90" s="1">
        <f>IF(B90="", "", "Not applicable")</f>
        <v>0</v>
      </c>
    </row>
    <row r="91" spans="1:28">
      <c r="A91">
        <f>IF(COUNTBLANK(B91:AC91)&lt;&gt;COLUMNS(B91:AC91),90,"")</f>
        <v>0</v>
      </c>
      <c r="H91" s="2">
        <f>IF(B91="", "", "not provided")</f>
        <v>0</v>
      </c>
      <c r="I91" s="1">
        <f>IF(B91="", "", "meters")</f>
        <v>0</v>
      </c>
      <c r="T91" s="1">
        <f>IF(B91="", "", "Decimal degrees")</f>
        <v>0</v>
      </c>
      <c r="V91" s="1">
        <f>IF(B91="", "", "Decimal degrees")</f>
        <v>0</v>
      </c>
      <c r="Y91" s="1">
        <f>IF(B91="", "", "other")</f>
        <v>0</v>
      </c>
      <c r="AB91" s="1">
        <f>IF(B91="", "", "Not applicable")</f>
        <v>0</v>
      </c>
    </row>
    <row r="92" spans="1:28">
      <c r="A92">
        <f>IF(COUNTBLANK(B92:AC92)&lt;&gt;COLUMNS(B92:AC92),91,"")</f>
        <v>0</v>
      </c>
      <c r="H92" s="2">
        <f>IF(B92="", "", "not provided")</f>
        <v>0</v>
      </c>
      <c r="I92" s="1">
        <f>IF(B92="", "", "meters")</f>
        <v>0</v>
      </c>
      <c r="T92" s="1">
        <f>IF(B92="", "", "Decimal degrees")</f>
        <v>0</v>
      </c>
      <c r="V92" s="1">
        <f>IF(B92="", "", "Decimal degrees")</f>
        <v>0</v>
      </c>
      <c r="Y92" s="1">
        <f>IF(B92="", "", "other")</f>
        <v>0</v>
      </c>
      <c r="AB92" s="1">
        <f>IF(B92="", "", "Not applicable")</f>
        <v>0</v>
      </c>
    </row>
    <row r="93" spans="1:28">
      <c r="A93">
        <f>IF(COUNTBLANK(B93:AC93)&lt;&gt;COLUMNS(B93:AC93),92,"")</f>
        <v>0</v>
      </c>
      <c r="H93" s="2">
        <f>IF(B93="", "", "not provided")</f>
        <v>0</v>
      </c>
      <c r="I93" s="1">
        <f>IF(B93="", "", "meters")</f>
        <v>0</v>
      </c>
      <c r="T93" s="1">
        <f>IF(B93="", "", "Decimal degrees")</f>
        <v>0</v>
      </c>
      <c r="V93" s="1">
        <f>IF(B93="", "", "Decimal degrees")</f>
        <v>0</v>
      </c>
      <c r="Y93" s="1">
        <f>IF(B93="", "", "other")</f>
        <v>0</v>
      </c>
      <c r="AB93" s="1">
        <f>IF(B93="", "", "Not applicable")</f>
        <v>0</v>
      </c>
    </row>
    <row r="94" spans="1:28">
      <c r="A94">
        <f>IF(COUNTBLANK(B94:AC94)&lt;&gt;COLUMNS(B94:AC94),93,"")</f>
        <v>0</v>
      </c>
      <c r="H94" s="2">
        <f>IF(B94="", "", "not provided")</f>
        <v>0</v>
      </c>
      <c r="I94" s="1">
        <f>IF(B94="", "", "meters")</f>
        <v>0</v>
      </c>
      <c r="T94" s="1">
        <f>IF(B94="", "", "Decimal degrees")</f>
        <v>0</v>
      </c>
      <c r="V94" s="1">
        <f>IF(B94="", "", "Decimal degrees")</f>
        <v>0</v>
      </c>
      <c r="Y94" s="1">
        <f>IF(B94="", "", "other")</f>
        <v>0</v>
      </c>
      <c r="AB94" s="1">
        <f>IF(B94="", "", "Not applicable")</f>
        <v>0</v>
      </c>
    </row>
    <row r="95" spans="1:28">
      <c r="A95">
        <f>IF(COUNTBLANK(B95:AC95)&lt;&gt;COLUMNS(B95:AC95),94,"")</f>
        <v>0</v>
      </c>
      <c r="H95" s="2">
        <f>IF(B95="", "", "not provided")</f>
        <v>0</v>
      </c>
      <c r="I95" s="1">
        <f>IF(B95="", "", "meters")</f>
        <v>0</v>
      </c>
      <c r="T95" s="1">
        <f>IF(B95="", "", "Decimal degrees")</f>
        <v>0</v>
      </c>
      <c r="V95" s="1">
        <f>IF(B95="", "", "Decimal degrees")</f>
        <v>0</v>
      </c>
      <c r="Y95" s="1">
        <f>IF(B95="", "", "other")</f>
        <v>0</v>
      </c>
      <c r="AB95" s="1">
        <f>IF(B95="", "", "Not applicable")</f>
        <v>0</v>
      </c>
    </row>
    <row r="96" spans="1:28">
      <c r="A96">
        <f>IF(COUNTBLANK(B96:AC96)&lt;&gt;COLUMNS(B96:AC96),95,"")</f>
        <v>0</v>
      </c>
      <c r="H96" s="2">
        <f>IF(B96="", "", "not provided")</f>
        <v>0</v>
      </c>
      <c r="I96" s="1">
        <f>IF(B96="", "", "meters")</f>
        <v>0</v>
      </c>
      <c r="T96" s="1">
        <f>IF(B96="", "", "Decimal degrees")</f>
        <v>0</v>
      </c>
      <c r="V96" s="1">
        <f>IF(B96="", "", "Decimal degrees")</f>
        <v>0</v>
      </c>
      <c r="Y96" s="1">
        <f>IF(B96="", "", "other")</f>
        <v>0</v>
      </c>
      <c r="AB96" s="1">
        <f>IF(B96="", "", "Not applicable")</f>
        <v>0</v>
      </c>
    </row>
    <row r="97" spans="1:28">
      <c r="A97">
        <f>IF(COUNTBLANK(B97:AC97)&lt;&gt;COLUMNS(B97:AC97),96,"")</f>
        <v>0</v>
      </c>
      <c r="H97" s="2">
        <f>IF(B97="", "", "not provided")</f>
        <v>0</v>
      </c>
      <c r="I97" s="1">
        <f>IF(B97="", "", "meters")</f>
        <v>0</v>
      </c>
      <c r="T97" s="1">
        <f>IF(B97="", "", "Decimal degrees")</f>
        <v>0</v>
      </c>
      <c r="V97" s="1">
        <f>IF(B97="", "", "Decimal degrees")</f>
        <v>0</v>
      </c>
      <c r="Y97" s="1">
        <f>IF(B97="", "", "other")</f>
        <v>0</v>
      </c>
      <c r="AB97" s="1">
        <f>IF(B97="", "", "Not applicable")</f>
        <v>0</v>
      </c>
    </row>
    <row r="98" spans="1:28">
      <c r="A98">
        <f>IF(COUNTBLANK(B98:AC98)&lt;&gt;COLUMNS(B98:AC98),97,"")</f>
        <v>0</v>
      </c>
      <c r="H98" s="2">
        <f>IF(B98="", "", "not provided")</f>
        <v>0</v>
      </c>
      <c r="I98" s="1">
        <f>IF(B98="", "", "meters")</f>
        <v>0</v>
      </c>
      <c r="T98" s="1">
        <f>IF(B98="", "", "Decimal degrees")</f>
        <v>0</v>
      </c>
      <c r="V98" s="1">
        <f>IF(B98="", "", "Decimal degrees")</f>
        <v>0</v>
      </c>
      <c r="Y98" s="1">
        <f>IF(B98="", "", "other")</f>
        <v>0</v>
      </c>
      <c r="AB98" s="1">
        <f>IF(B98="", "", "Not applicable")</f>
        <v>0</v>
      </c>
    </row>
    <row r="99" spans="1:28">
      <c r="A99">
        <f>IF(COUNTBLANK(B99:AC99)&lt;&gt;COLUMNS(B99:AC99),98,"")</f>
        <v>0</v>
      </c>
      <c r="H99" s="2">
        <f>IF(B99="", "", "not provided")</f>
        <v>0</v>
      </c>
      <c r="I99" s="1">
        <f>IF(B99="", "", "meters")</f>
        <v>0</v>
      </c>
      <c r="T99" s="1">
        <f>IF(B99="", "", "Decimal degrees")</f>
        <v>0</v>
      </c>
      <c r="V99" s="1">
        <f>IF(B99="", "", "Decimal degrees")</f>
        <v>0</v>
      </c>
      <c r="Y99" s="1">
        <f>IF(B99="", "", "other")</f>
        <v>0</v>
      </c>
      <c r="AB99" s="1">
        <f>IF(B99="", "", "Not applicable")</f>
        <v>0</v>
      </c>
    </row>
    <row r="100" spans="1:28">
      <c r="A100">
        <f>IF(COUNTBLANK(B100:AC100)&lt;&gt;COLUMNS(B100:AC100),99,"")</f>
        <v>0</v>
      </c>
      <c r="H100" s="2">
        <f>IF(B100="", "", "not provided")</f>
        <v>0</v>
      </c>
      <c r="I100" s="1">
        <f>IF(B100="", "", "meters")</f>
        <v>0</v>
      </c>
      <c r="T100" s="1">
        <f>IF(B100="", "", "Decimal degrees")</f>
        <v>0</v>
      </c>
      <c r="V100" s="1">
        <f>IF(B100="", "", "Decimal degrees")</f>
        <v>0</v>
      </c>
      <c r="Y100" s="1">
        <f>IF(B100="", "", "other")</f>
        <v>0</v>
      </c>
      <c r="AB100" s="1">
        <f>IF(B100="", "", "Not applicable")</f>
        <v>0</v>
      </c>
    </row>
    <row r="101" spans="1:28">
      <c r="A101">
        <f>IF(COUNTBLANK(B101:AC101)&lt;&gt;COLUMNS(B101:AC101),100,"")</f>
        <v>0</v>
      </c>
      <c r="H101" s="2">
        <f>IF(B101="", "", "not provided")</f>
        <v>0</v>
      </c>
      <c r="I101" s="1">
        <f>IF(B101="", "", "meters")</f>
        <v>0</v>
      </c>
      <c r="T101" s="1">
        <f>IF(B101="", "", "Decimal degrees")</f>
        <v>0</v>
      </c>
      <c r="V101" s="1">
        <f>IF(B101="", "", "Decimal degrees")</f>
        <v>0</v>
      </c>
      <c r="Y101" s="1">
        <f>IF(B101="", "", "other")</f>
        <v>0</v>
      </c>
      <c r="AB101" s="1">
        <f>IF(B101="", "", "Not applicable")</f>
        <v>0</v>
      </c>
    </row>
    <row r="102" spans="1:28">
      <c r="A102">
        <f>IF(COUNTBLANK(B102:AC102)&lt;&gt;COLUMNS(B102:AC102),101,"")</f>
        <v>0</v>
      </c>
      <c r="H102" s="2">
        <f>IF(B102="", "", "not provided")</f>
        <v>0</v>
      </c>
      <c r="I102" s="1">
        <f>IF(B102="", "", "meters")</f>
        <v>0</v>
      </c>
      <c r="T102" s="1">
        <f>IF(B102="", "", "Decimal degrees")</f>
        <v>0</v>
      </c>
      <c r="V102" s="1">
        <f>IF(B102="", "", "Decimal degrees")</f>
        <v>0</v>
      </c>
      <c r="Y102" s="1">
        <f>IF(B102="", "", "other")</f>
        <v>0</v>
      </c>
      <c r="AB102" s="1">
        <f>IF(B102="", "", "Not applicable")</f>
        <v>0</v>
      </c>
    </row>
    <row r="103" spans="1:28">
      <c r="A103">
        <f>IF(COUNTBLANK(B103:AC103)&lt;&gt;COLUMNS(B103:AC103),102,"")</f>
        <v>0</v>
      </c>
      <c r="H103" s="2">
        <f>IF(B103="", "", "not provided")</f>
        <v>0</v>
      </c>
      <c r="I103" s="1">
        <f>IF(B103="", "", "meters")</f>
        <v>0</v>
      </c>
      <c r="T103" s="1">
        <f>IF(B103="", "", "Decimal degrees")</f>
        <v>0</v>
      </c>
      <c r="V103" s="1">
        <f>IF(B103="", "", "Decimal degrees")</f>
        <v>0</v>
      </c>
      <c r="Y103" s="1">
        <f>IF(B103="", "", "other")</f>
        <v>0</v>
      </c>
      <c r="AB103" s="1">
        <f>IF(B103="", "", "Not applicable")</f>
        <v>0</v>
      </c>
    </row>
    <row r="104" spans="1:28">
      <c r="A104">
        <f>IF(COUNTBLANK(B104:AC104)&lt;&gt;COLUMNS(B104:AC104),103,"")</f>
        <v>0</v>
      </c>
      <c r="H104" s="2">
        <f>IF(B104="", "", "not provided")</f>
        <v>0</v>
      </c>
      <c r="I104" s="1">
        <f>IF(B104="", "", "meters")</f>
        <v>0</v>
      </c>
      <c r="T104" s="1">
        <f>IF(B104="", "", "Decimal degrees")</f>
        <v>0</v>
      </c>
      <c r="V104" s="1">
        <f>IF(B104="", "", "Decimal degrees")</f>
        <v>0</v>
      </c>
      <c r="Y104" s="1">
        <f>IF(B104="", "", "other")</f>
        <v>0</v>
      </c>
      <c r="AB104" s="1">
        <f>IF(B104="", "", "Not applicable")</f>
        <v>0</v>
      </c>
    </row>
    <row r="105" spans="1:28">
      <c r="A105">
        <f>IF(COUNTBLANK(B105:AC105)&lt;&gt;COLUMNS(B105:AC105),104,"")</f>
        <v>0</v>
      </c>
      <c r="H105" s="2">
        <f>IF(B105="", "", "not provided")</f>
        <v>0</v>
      </c>
      <c r="I105" s="1">
        <f>IF(B105="", "", "meters")</f>
        <v>0</v>
      </c>
      <c r="T105" s="1">
        <f>IF(B105="", "", "Decimal degrees")</f>
        <v>0</v>
      </c>
      <c r="V105" s="1">
        <f>IF(B105="", "", "Decimal degrees")</f>
        <v>0</v>
      </c>
      <c r="Y105" s="1">
        <f>IF(B105="", "", "other")</f>
        <v>0</v>
      </c>
      <c r="AB105" s="1">
        <f>IF(B105="", "", "Not applicable")</f>
        <v>0</v>
      </c>
    </row>
    <row r="106" spans="1:28">
      <c r="A106">
        <f>IF(COUNTBLANK(B106:AC106)&lt;&gt;COLUMNS(B106:AC106),105,"")</f>
        <v>0</v>
      </c>
      <c r="H106" s="2">
        <f>IF(B106="", "", "not provided")</f>
        <v>0</v>
      </c>
      <c r="I106" s="1">
        <f>IF(B106="", "", "meters")</f>
        <v>0</v>
      </c>
      <c r="T106" s="1">
        <f>IF(B106="", "", "Decimal degrees")</f>
        <v>0</v>
      </c>
      <c r="V106" s="1">
        <f>IF(B106="", "", "Decimal degrees")</f>
        <v>0</v>
      </c>
      <c r="Y106" s="1">
        <f>IF(B106="", "", "other")</f>
        <v>0</v>
      </c>
      <c r="AB106" s="1">
        <f>IF(B106="", "", "Not applicable")</f>
        <v>0</v>
      </c>
    </row>
    <row r="107" spans="1:28">
      <c r="A107">
        <f>IF(COUNTBLANK(B107:AC107)&lt;&gt;COLUMNS(B107:AC107),106,"")</f>
        <v>0</v>
      </c>
      <c r="H107" s="2">
        <f>IF(B107="", "", "not provided")</f>
        <v>0</v>
      </c>
      <c r="I107" s="1">
        <f>IF(B107="", "", "meters")</f>
        <v>0</v>
      </c>
      <c r="T107" s="1">
        <f>IF(B107="", "", "Decimal degrees")</f>
        <v>0</v>
      </c>
      <c r="V107" s="1">
        <f>IF(B107="", "", "Decimal degrees")</f>
        <v>0</v>
      </c>
      <c r="Y107" s="1">
        <f>IF(B107="", "", "other")</f>
        <v>0</v>
      </c>
      <c r="AB107" s="1">
        <f>IF(B107="", "", "Not applicable")</f>
        <v>0</v>
      </c>
    </row>
    <row r="108" spans="1:28">
      <c r="A108">
        <f>IF(COUNTBLANK(B108:AC108)&lt;&gt;COLUMNS(B108:AC108),107,"")</f>
        <v>0</v>
      </c>
      <c r="H108" s="2">
        <f>IF(B108="", "", "not provided")</f>
        <v>0</v>
      </c>
      <c r="I108" s="1">
        <f>IF(B108="", "", "meters")</f>
        <v>0</v>
      </c>
      <c r="T108" s="1">
        <f>IF(B108="", "", "Decimal degrees")</f>
        <v>0</v>
      </c>
      <c r="V108" s="1">
        <f>IF(B108="", "", "Decimal degrees")</f>
        <v>0</v>
      </c>
      <c r="Y108" s="1">
        <f>IF(B108="", "", "other")</f>
        <v>0</v>
      </c>
      <c r="AB108" s="1">
        <f>IF(B108="", "", "Not applicable")</f>
        <v>0</v>
      </c>
    </row>
    <row r="109" spans="1:28">
      <c r="A109">
        <f>IF(COUNTBLANK(B109:AC109)&lt;&gt;COLUMNS(B109:AC109),108,"")</f>
        <v>0</v>
      </c>
      <c r="H109" s="2">
        <f>IF(B109="", "", "not provided")</f>
        <v>0</v>
      </c>
      <c r="I109" s="1">
        <f>IF(B109="", "", "meters")</f>
        <v>0</v>
      </c>
      <c r="T109" s="1">
        <f>IF(B109="", "", "Decimal degrees")</f>
        <v>0</v>
      </c>
      <c r="V109" s="1">
        <f>IF(B109="", "", "Decimal degrees")</f>
        <v>0</v>
      </c>
      <c r="Y109" s="1">
        <f>IF(B109="", "", "other")</f>
        <v>0</v>
      </c>
      <c r="AB109" s="1">
        <f>IF(B109="", "", "Not applicable")</f>
        <v>0</v>
      </c>
    </row>
    <row r="110" spans="1:28">
      <c r="A110">
        <f>IF(COUNTBLANK(B110:AC110)&lt;&gt;COLUMNS(B110:AC110),109,"")</f>
        <v>0</v>
      </c>
      <c r="H110" s="2">
        <f>IF(B110="", "", "not provided")</f>
        <v>0</v>
      </c>
      <c r="I110" s="1">
        <f>IF(B110="", "", "meters")</f>
        <v>0</v>
      </c>
      <c r="T110" s="1">
        <f>IF(B110="", "", "Decimal degrees")</f>
        <v>0</v>
      </c>
      <c r="V110" s="1">
        <f>IF(B110="", "", "Decimal degrees")</f>
        <v>0</v>
      </c>
      <c r="Y110" s="1">
        <f>IF(B110="", "", "other")</f>
        <v>0</v>
      </c>
      <c r="AB110" s="1">
        <f>IF(B110="", "", "Not applicable")</f>
        <v>0</v>
      </c>
    </row>
    <row r="111" spans="1:28">
      <c r="A111">
        <f>IF(COUNTBLANK(B111:AC111)&lt;&gt;COLUMNS(B111:AC111),110,"")</f>
        <v>0</v>
      </c>
      <c r="H111" s="2">
        <f>IF(B111="", "", "not provided")</f>
        <v>0</v>
      </c>
      <c r="I111" s="1">
        <f>IF(B111="", "", "meters")</f>
        <v>0</v>
      </c>
      <c r="T111" s="1">
        <f>IF(B111="", "", "Decimal degrees")</f>
        <v>0</v>
      </c>
      <c r="V111" s="1">
        <f>IF(B111="", "", "Decimal degrees")</f>
        <v>0</v>
      </c>
      <c r="Y111" s="1">
        <f>IF(B111="", "", "other")</f>
        <v>0</v>
      </c>
      <c r="AB111" s="1">
        <f>IF(B111="", "", "Not applicable")</f>
        <v>0</v>
      </c>
    </row>
    <row r="112" spans="1:28">
      <c r="A112">
        <f>IF(COUNTBLANK(B112:AC112)&lt;&gt;COLUMNS(B112:AC112),111,"")</f>
        <v>0</v>
      </c>
      <c r="H112" s="2">
        <f>IF(B112="", "", "not provided")</f>
        <v>0</v>
      </c>
      <c r="I112" s="1">
        <f>IF(B112="", "", "meters")</f>
        <v>0</v>
      </c>
      <c r="T112" s="1">
        <f>IF(B112="", "", "Decimal degrees")</f>
        <v>0</v>
      </c>
      <c r="V112" s="1">
        <f>IF(B112="", "", "Decimal degrees")</f>
        <v>0</v>
      </c>
      <c r="Y112" s="1">
        <f>IF(B112="", "", "other")</f>
        <v>0</v>
      </c>
      <c r="AB112" s="1">
        <f>IF(B112="", "", "Not applicable")</f>
        <v>0</v>
      </c>
    </row>
    <row r="113" spans="1:28">
      <c r="A113">
        <f>IF(COUNTBLANK(B113:AC113)&lt;&gt;COLUMNS(B113:AC113),112,"")</f>
        <v>0</v>
      </c>
      <c r="H113" s="2">
        <f>IF(B113="", "", "not provided")</f>
        <v>0</v>
      </c>
      <c r="I113" s="1">
        <f>IF(B113="", "", "meters")</f>
        <v>0</v>
      </c>
      <c r="T113" s="1">
        <f>IF(B113="", "", "Decimal degrees")</f>
        <v>0</v>
      </c>
      <c r="V113" s="1">
        <f>IF(B113="", "", "Decimal degrees")</f>
        <v>0</v>
      </c>
      <c r="Y113" s="1">
        <f>IF(B113="", "", "other")</f>
        <v>0</v>
      </c>
      <c r="AB113" s="1">
        <f>IF(B113="", "", "Not applicable")</f>
        <v>0</v>
      </c>
    </row>
    <row r="114" spans="1:28">
      <c r="A114">
        <f>IF(COUNTBLANK(B114:AC114)&lt;&gt;COLUMNS(B114:AC114),113,"")</f>
        <v>0</v>
      </c>
      <c r="H114" s="2">
        <f>IF(B114="", "", "not provided")</f>
        <v>0</v>
      </c>
      <c r="I114" s="1">
        <f>IF(B114="", "", "meters")</f>
        <v>0</v>
      </c>
      <c r="T114" s="1">
        <f>IF(B114="", "", "Decimal degrees")</f>
        <v>0</v>
      </c>
      <c r="V114" s="1">
        <f>IF(B114="", "", "Decimal degrees")</f>
        <v>0</v>
      </c>
      <c r="Y114" s="1">
        <f>IF(B114="", "", "other")</f>
        <v>0</v>
      </c>
      <c r="AB114" s="1">
        <f>IF(B114="", "", "Not applicable")</f>
        <v>0</v>
      </c>
    </row>
    <row r="115" spans="1:28">
      <c r="A115">
        <f>IF(COUNTBLANK(B115:AC115)&lt;&gt;COLUMNS(B115:AC115),114,"")</f>
        <v>0</v>
      </c>
      <c r="H115" s="2">
        <f>IF(B115="", "", "not provided")</f>
        <v>0</v>
      </c>
      <c r="I115" s="1">
        <f>IF(B115="", "", "meters")</f>
        <v>0</v>
      </c>
      <c r="T115" s="1">
        <f>IF(B115="", "", "Decimal degrees")</f>
        <v>0</v>
      </c>
      <c r="V115" s="1">
        <f>IF(B115="", "", "Decimal degrees")</f>
        <v>0</v>
      </c>
      <c r="Y115" s="1">
        <f>IF(B115="", "", "other")</f>
        <v>0</v>
      </c>
      <c r="AB115" s="1">
        <f>IF(B115="", "", "Not applicable")</f>
        <v>0</v>
      </c>
    </row>
    <row r="116" spans="1:28">
      <c r="A116">
        <f>IF(COUNTBLANK(B116:AC116)&lt;&gt;COLUMNS(B116:AC116),115,"")</f>
        <v>0</v>
      </c>
      <c r="H116" s="2">
        <f>IF(B116="", "", "not provided")</f>
        <v>0</v>
      </c>
      <c r="I116" s="1">
        <f>IF(B116="", "", "meters")</f>
        <v>0</v>
      </c>
      <c r="T116" s="1">
        <f>IF(B116="", "", "Decimal degrees")</f>
        <v>0</v>
      </c>
      <c r="V116" s="1">
        <f>IF(B116="", "", "Decimal degrees")</f>
        <v>0</v>
      </c>
      <c r="Y116" s="1">
        <f>IF(B116="", "", "other")</f>
        <v>0</v>
      </c>
      <c r="AB116" s="1">
        <f>IF(B116="", "", "Not applicable")</f>
        <v>0</v>
      </c>
    </row>
    <row r="117" spans="1:28">
      <c r="A117">
        <f>IF(COUNTBLANK(B117:AC117)&lt;&gt;COLUMNS(B117:AC117),116,"")</f>
        <v>0</v>
      </c>
      <c r="H117" s="2">
        <f>IF(B117="", "", "not provided")</f>
        <v>0</v>
      </c>
      <c r="I117" s="1">
        <f>IF(B117="", "", "meters")</f>
        <v>0</v>
      </c>
      <c r="T117" s="1">
        <f>IF(B117="", "", "Decimal degrees")</f>
        <v>0</v>
      </c>
      <c r="V117" s="1">
        <f>IF(B117="", "", "Decimal degrees")</f>
        <v>0</v>
      </c>
      <c r="Y117" s="1">
        <f>IF(B117="", "", "other")</f>
        <v>0</v>
      </c>
      <c r="AB117" s="1">
        <f>IF(B117="", "", "Not applicable")</f>
        <v>0</v>
      </c>
    </row>
    <row r="118" spans="1:28">
      <c r="A118">
        <f>IF(COUNTBLANK(B118:AC118)&lt;&gt;COLUMNS(B118:AC118),117,"")</f>
        <v>0</v>
      </c>
      <c r="H118" s="2">
        <f>IF(B118="", "", "not provided")</f>
        <v>0</v>
      </c>
      <c r="I118" s="1">
        <f>IF(B118="", "", "meters")</f>
        <v>0</v>
      </c>
      <c r="T118" s="1">
        <f>IF(B118="", "", "Decimal degrees")</f>
        <v>0</v>
      </c>
      <c r="V118" s="1">
        <f>IF(B118="", "", "Decimal degrees")</f>
        <v>0</v>
      </c>
      <c r="Y118" s="1">
        <f>IF(B118="", "", "other")</f>
        <v>0</v>
      </c>
      <c r="AB118" s="1">
        <f>IF(B118="", "", "Not applicable")</f>
        <v>0</v>
      </c>
    </row>
    <row r="119" spans="1:28">
      <c r="A119">
        <f>IF(COUNTBLANK(B119:AC119)&lt;&gt;COLUMNS(B119:AC119),118,"")</f>
        <v>0</v>
      </c>
      <c r="H119" s="2">
        <f>IF(B119="", "", "not provided")</f>
        <v>0</v>
      </c>
      <c r="I119" s="1">
        <f>IF(B119="", "", "meters")</f>
        <v>0</v>
      </c>
      <c r="T119" s="1">
        <f>IF(B119="", "", "Decimal degrees")</f>
        <v>0</v>
      </c>
      <c r="V119" s="1">
        <f>IF(B119="", "", "Decimal degrees")</f>
        <v>0</v>
      </c>
      <c r="Y119" s="1">
        <f>IF(B119="", "", "other")</f>
        <v>0</v>
      </c>
      <c r="AB119" s="1">
        <f>IF(B119="", "", "Not applicable")</f>
        <v>0</v>
      </c>
    </row>
    <row r="120" spans="1:28">
      <c r="A120">
        <f>IF(COUNTBLANK(B120:AC120)&lt;&gt;COLUMNS(B120:AC120),119,"")</f>
        <v>0</v>
      </c>
      <c r="H120" s="2">
        <f>IF(B120="", "", "not provided")</f>
        <v>0</v>
      </c>
      <c r="I120" s="1">
        <f>IF(B120="", "", "meters")</f>
        <v>0</v>
      </c>
      <c r="T120" s="1">
        <f>IF(B120="", "", "Decimal degrees")</f>
        <v>0</v>
      </c>
      <c r="V120" s="1">
        <f>IF(B120="", "", "Decimal degrees")</f>
        <v>0</v>
      </c>
      <c r="Y120" s="1">
        <f>IF(B120="", "", "other")</f>
        <v>0</v>
      </c>
      <c r="AB120" s="1">
        <f>IF(B120="", "", "Not applicable")</f>
        <v>0</v>
      </c>
    </row>
    <row r="121" spans="1:28">
      <c r="A121">
        <f>IF(COUNTBLANK(B121:AC121)&lt;&gt;COLUMNS(B121:AC121),120,"")</f>
        <v>0</v>
      </c>
      <c r="H121" s="2">
        <f>IF(B121="", "", "not provided")</f>
        <v>0</v>
      </c>
      <c r="I121" s="1">
        <f>IF(B121="", "", "meters")</f>
        <v>0</v>
      </c>
      <c r="T121" s="1">
        <f>IF(B121="", "", "Decimal degrees")</f>
        <v>0</v>
      </c>
      <c r="V121" s="1">
        <f>IF(B121="", "", "Decimal degrees")</f>
        <v>0</v>
      </c>
      <c r="Y121" s="1">
        <f>IF(B121="", "", "other")</f>
        <v>0</v>
      </c>
      <c r="AB121" s="1">
        <f>IF(B121="", "", "Not applicable")</f>
        <v>0</v>
      </c>
    </row>
    <row r="122" spans="1:28">
      <c r="A122">
        <f>IF(COUNTBLANK(B122:AC122)&lt;&gt;COLUMNS(B122:AC122),121,"")</f>
        <v>0</v>
      </c>
      <c r="H122" s="2">
        <f>IF(B122="", "", "not provided")</f>
        <v>0</v>
      </c>
      <c r="I122" s="1">
        <f>IF(B122="", "", "meters")</f>
        <v>0</v>
      </c>
      <c r="T122" s="1">
        <f>IF(B122="", "", "Decimal degrees")</f>
        <v>0</v>
      </c>
      <c r="V122" s="1">
        <f>IF(B122="", "", "Decimal degrees")</f>
        <v>0</v>
      </c>
      <c r="Y122" s="1">
        <f>IF(B122="", "", "other")</f>
        <v>0</v>
      </c>
      <c r="AB122" s="1">
        <f>IF(B122="", "", "Not applicable")</f>
        <v>0</v>
      </c>
    </row>
    <row r="123" spans="1:28">
      <c r="A123">
        <f>IF(COUNTBLANK(B123:AC123)&lt;&gt;COLUMNS(B123:AC123),122,"")</f>
        <v>0</v>
      </c>
      <c r="H123" s="2">
        <f>IF(B123="", "", "not provided")</f>
        <v>0</v>
      </c>
      <c r="I123" s="1">
        <f>IF(B123="", "", "meters")</f>
        <v>0</v>
      </c>
      <c r="T123" s="1">
        <f>IF(B123="", "", "Decimal degrees")</f>
        <v>0</v>
      </c>
      <c r="V123" s="1">
        <f>IF(B123="", "", "Decimal degrees")</f>
        <v>0</v>
      </c>
      <c r="Y123" s="1">
        <f>IF(B123="", "", "other")</f>
        <v>0</v>
      </c>
      <c r="AB123" s="1">
        <f>IF(B123="", "", "Not applicable")</f>
        <v>0</v>
      </c>
    </row>
    <row r="124" spans="1:28">
      <c r="A124">
        <f>IF(COUNTBLANK(B124:AC124)&lt;&gt;COLUMNS(B124:AC124),123,"")</f>
        <v>0</v>
      </c>
      <c r="H124" s="2">
        <f>IF(B124="", "", "not provided")</f>
        <v>0</v>
      </c>
      <c r="I124" s="1">
        <f>IF(B124="", "", "meters")</f>
        <v>0</v>
      </c>
      <c r="T124" s="1">
        <f>IF(B124="", "", "Decimal degrees")</f>
        <v>0</v>
      </c>
      <c r="V124" s="1">
        <f>IF(B124="", "", "Decimal degrees")</f>
        <v>0</v>
      </c>
      <c r="Y124" s="1">
        <f>IF(B124="", "", "other")</f>
        <v>0</v>
      </c>
      <c r="AB124" s="1">
        <f>IF(B124="", "", "Not applicable")</f>
        <v>0</v>
      </c>
    </row>
    <row r="125" spans="1:28">
      <c r="A125">
        <f>IF(COUNTBLANK(B125:AC125)&lt;&gt;COLUMNS(B125:AC125),124,"")</f>
        <v>0</v>
      </c>
      <c r="H125" s="2">
        <f>IF(B125="", "", "not provided")</f>
        <v>0</v>
      </c>
      <c r="I125" s="1">
        <f>IF(B125="", "", "meters")</f>
        <v>0</v>
      </c>
      <c r="T125" s="1">
        <f>IF(B125="", "", "Decimal degrees")</f>
        <v>0</v>
      </c>
      <c r="V125" s="1">
        <f>IF(B125="", "", "Decimal degrees")</f>
        <v>0</v>
      </c>
      <c r="Y125" s="1">
        <f>IF(B125="", "", "other")</f>
        <v>0</v>
      </c>
      <c r="AB125" s="1">
        <f>IF(B125="", "", "Not applicable")</f>
        <v>0</v>
      </c>
    </row>
    <row r="126" spans="1:28">
      <c r="A126">
        <f>IF(COUNTBLANK(B126:AC126)&lt;&gt;COLUMNS(B126:AC126),125,"")</f>
        <v>0</v>
      </c>
      <c r="H126" s="2">
        <f>IF(B126="", "", "not provided")</f>
        <v>0</v>
      </c>
      <c r="I126" s="1">
        <f>IF(B126="", "", "meters")</f>
        <v>0</v>
      </c>
      <c r="T126" s="1">
        <f>IF(B126="", "", "Decimal degrees")</f>
        <v>0</v>
      </c>
      <c r="V126" s="1">
        <f>IF(B126="", "", "Decimal degrees")</f>
        <v>0</v>
      </c>
      <c r="Y126" s="1">
        <f>IF(B126="", "", "other")</f>
        <v>0</v>
      </c>
      <c r="AB126" s="1">
        <f>IF(B126="", "", "Not applicable")</f>
        <v>0</v>
      </c>
    </row>
    <row r="127" spans="1:28">
      <c r="A127">
        <f>IF(COUNTBLANK(B127:AC127)&lt;&gt;COLUMNS(B127:AC127),126,"")</f>
        <v>0</v>
      </c>
      <c r="H127" s="2">
        <f>IF(B127="", "", "not provided")</f>
        <v>0</v>
      </c>
      <c r="I127" s="1">
        <f>IF(B127="", "", "meters")</f>
        <v>0</v>
      </c>
      <c r="T127" s="1">
        <f>IF(B127="", "", "Decimal degrees")</f>
        <v>0</v>
      </c>
      <c r="V127" s="1">
        <f>IF(B127="", "", "Decimal degrees")</f>
        <v>0</v>
      </c>
      <c r="Y127" s="1">
        <f>IF(B127="", "", "other")</f>
        <v>0</v>
      </c>
      <c r="AB127" s="1">
        <f>IF(B127="", "", "Not applicable")</f>
        <v>0</v>
      </c>
    </row>
    <row r="128" spans="1:28">
      <c r="A128">
        <f>IF(COUNTBLANK(B128:AC128)&lt;&gt;COLUMNS(B128:AC128),127,"")</f>
        <v>0</v>
      </c>
      <c r="H128" s="2">
        <f>IF(B128="", "", "not provided")</f>
        <v>0</v>
      </c>
      <c r="I128" s="1">
        <f>IF(B128="", "", "meters")</f>
        <v>0</v>
      </c>
      <c r="T128" s="1">
        <f>IF(B128="", "", "Decimal degrees")</f>
        <v>0</v>
      </c>
      <c r="V128" s="1">
        <f>IF(B128="", "", "Decimal degrees")</f>
        <v>0</v>
      </c>
      <c r="Y128" s="1">
        <f>IF(B128="", "", "other")</f>
        <v>0</v>
      </c>
      <c r="AB128" s="1">
        <f>IF(B128="", "", "Not applicable")</f>
        <v>0</v>
      </c>
    </row>
    <row r="129" spans="1:28">
      <c r="A129">
        <f>IF(COUNTBLANK(B129:AC129)&lt;&gt;COLUMNS(B129:AC129),128,"")</f>
        <v>0</v>
      </c>
      <c r="H129" s="2">
        <f>IF(B129="", "", "not provided")</f>
        <v>0</v>
      </c>
      <c r="I129" s="1">
        <f>IF(B129="", "", "meters")</f>
        <v>0</v>
      </c>
      <c r="T129" s="1">
        <f>IF(B129="", "", "Decimal degrees")</f>
        <v>0</v>
      </c>
      <c r="V129" s="1">
        <f>IF(B129="", "", "Decimal degrees")</f>
        <v>0</v>
      </c>
      <c r="Y129" s="1">
        <f>IF(B129="", "", "other")</f>
        <v>0</v>
      </c>
      <c r="AB129" s="1">
        <f>IF(B129="", "", "Not applicable")</f>
        <v>0</v>
      </c>
    </row>
    <row r="130" spans="1:28">
      <c r="A130">
        <f>IF(COUNTBLANK(B130:AC130)&lt;&gt;COLUMNS(B130:AC130),129,"")</f>
        <v>0</v>
      </c>
      <c r="H130" s="2">
        <f>IF(B130="", "", "not provided")</f>
        <v>0</v>
      </c>
      <c r="I130" s="1">
        <f>IF(B130="", "", "meters")</f>
        <v>0</v>
      </c>
      <c r="T130" s="1">
        <f>IF(B130="", "", "Decimal degrees")</f>
        <v>0</v>
      </c>
      <c r="V130" s="1">
        <f>IF(B130="", "", "Decimal degrees")</f>
        <v>0</v>
      </c>
      <c r="Y130" s="1">
        <f>IF(B130="", "", "other")</f>
        <v>0</v>
      </c>
      <c r="AB130" s="1">
        <f>IF(B130="", "", "Not applicable")</f>
        <v>0</v>
      </c>
    </row>
    <row r="131" spans="1:28">
      <c r="A131">
        <f>IF(COUNTBLANK(B131:AC131)&lt;&gt;COLUMNS(B131:AC131),130,"")</f>
        <v>0</v>
      </c>
      <c r="H131" s="2">
        <f>IF(B131="", "", "not provided")</f>
        <v>0</v>
      </c>
      <c r="I131" s="1">
        <f>IF(B131="", "", "meters")</f>
        <v>0</v>
      </c>
      <c r="T131" s="1">
        <f>IF(B131="", "", "Decimal degrees")</f>
        <v>0</v>
      </c>
      <c r="V131" s="1">
        <f>IF(B131="", "", "Decimal degrees")</f>
        <v>0</v>
      </c>
      <c r="Y131" s="1">
        <f>IF(B131="", "", "other")</f>
        <v>0</v>
      </c>
      <c r="AB131" s="1">
        <f>IF(B131="", "", "Not applicable")</f>
        <v>0</v>
      </c>
    </row>
    <row r="132" spans="1:28">
      <c r="A132">
        <f>IF(COUNTBLANK(B132:AC132)&lt;&gt;COLUMNS(B132:AC132),131,"")</f>
        <v>0</v>
      </c>
      <c r="H132" s="2">
        <f>IF(B132="", "", "not provided")</f>
        <v>0</v>
      </c>
      <c r="I132" s="1">
        <f>IF(B132="", "", "meters")</f>
        <v>0</v>
      </c>
      <c r="T132" s="1">
        <f>IF(B132="", "", "Decimal degrees")</f>
        <v>0</v>
      </c>
      <c r="V132" s="1">
        <f>IF(B132="", "", "Decimal degrees")</f>
        <v>0</v>
      </c>
      <c r="Y132" s="1">
        <f>IF(B132="", "", "other")</f>
        <v>0</v>
      </c>
      <c r="AB132" s="1">
        <f>IF(B132="", "", "Not applicable")</f>
        <v>0</v>
      </c>
    </row>
    <row r="133" spans="1:28">
      <c r="A133">
        <f>IF(COUNTBLANK(B133:AC133)&lt;&gt;COLUMNS(B133:AC133),132,"")</f>
        <v>0</v>
      </c>
      <c r="H133" s="2">
        <f>IF(B133="", "", "not provided")</f>
        <v>0</v>
      </c>
      <c r="I133" s="1">
        <f>IF(B133="", "", "meters")</f>
        <v>0</v>
      </c>
      <c r="T133" s="1">
        <f>IF(B133="", "", "Decimal degrees")</f>
        <v>0</v>
      </c>
      <c r="V133" s="1">
        <f>IF(B133="", "", "Decimal degrees")</f>
        <v>0</v>
      </c>
      <c r="Y133" s="1">
        <f>IF(B133="", "", "other")</f>
        <v>0</v>
      </c>
      <c r="AB133" s="1">
        <f>IF(B133="", "", "Not applicable")</f>
        <v>0</v>
      </c>
    </row>
    <row r="134" spans="1:28">
      <c r="A134">
        <f>IF(COUNTBLANK(B134:AC134)&lt;&gt;COLUMNS(B134:AC134),133,"")</f>
        <v>0</v>
      </c>
      <c r="H134" s="2">
        <f>IF(B134="", "", "not provided")</f>
        <v>0</v>
      </c>
      <c r="I134" s="1">
        <f>IF(B134="", "", "meters")</f>
        <v>0</v>
      </c>
      <c r="T134" s="1">
        <f>IF(B134="", "", "Decimal degrees")</f>
        <v>0</v>
      </c>
      <c r="V134" s="1">
        <f>IF(B134="", "", "Decimal degrees")</f>
        <v>0</v>
      </c>
      <c r="Y134" s="1">
        <f>IF(B134="", "", "other")</f>
        <v>0</v>
      </c>
      <c r="AB134" s="1">
        <f>IF(B134="", "", "Not applicable")</f>
        <v>0</v>
      </c>
    </row>
    <row r="135" spans="1:28">
      <c r="A135">
        <f>IF(COUNTBLANK(B135:AC135)&lt;&gt;COLUMNS(B135:AC135),134,"")</f>
        <v>0</v>
      </c>
      <c r="H135" s="2">
        <f>IF(B135="", "", "not provided")</f>
        <v>0</v>
      </c>
      <c r="I135" s="1">
        <f>IF(B135="", "", "meters")</f>
        <v>0</v>
      </c>
      <c r="T135" s="1">
        <f>IF(B135="", "", "Decimal degrees")</f>
        <v>0</v>
      </c>
      <c r="V135" s="1">
        <f>IF(B135="", "", "Decimal degrees")</f>
        <v>0</v>
      </c>
      <c r="Y135" s="1">
        <f>IF(B135="", "", "other")</f>
        <v>0</v>
      </c>
      <c r="AB135" s="1">
        <f>IF(B135="", "", "Not applicable")</f>
        <v>0</v>
      </c>
    </row>
    <row r="136" spans="1:28">
      <c r="A136">
        <f>IF(COUNTBLANK(B136:AC136)&lt;&gt;COLUMNS(B136:AC136),135,"")</f>
        <v>0</v>
      </c>
      <c r="H136" s="2">
        <f>IF(B136="", "", "not provided")</f>
        <v>0</v>
      </c>
      <c r="I136" s="1">
        <f>IF(B136="", "", "meters")</f>
        <v>0</v>
      </c>
      <c r="T136" s="1">
        <f>IF(B136="", "", "Decimal degrees")</f>
        <v>0</v>
      </c>
      <c r="V136" s="1">
        <f>IF(B136="", "", "Decimal degrees")</f>
        <v>0</v>
      </c>
      <c r="Y136" s="1">
        <f>IF(B136="", "", "other")</f>
        <v>0</v>
      </c>
      <c r="AB136" s="1">
        <f>IF(B136="", "", "Not applicable")</f>
        <v>0</v>
      </c>
    </row>
    <row r="137" spans="1:28">
      <c r="A137">
        <f>IF(COUNTBLANK(B137:AC137)&lt;&gt;COLUMNS(B137:AC137),136,"")</f>
        <v>0</v>
      </c>
      <c r="H137" s="2">
        <f>IF(B137="", "", "not provided")</f>
        <v>0</v>
      </c>
      <c r="I137" s="1">
        <f>IF(B137="", "", "meters")</f>
        <v>0</v>
      </c>
      <c r="T137" s="1">
        <f>IF(B137="", "", "Decimal degrees")</f>
        <v>0</v>
      </c>
      <c r="V137" s="1">
        <f>IF(B137="", "", "Decimal degrees")</f>
        <v>0</v>
      </c>
      <c r="Y137" s="1">
        <f>IF(B137="", "", "other")</f>
        <v>0</v>
      </c>
      <c r="AB137" s="1">
        <f>IF(B137="", "", "Not applicable")</f>
        <v>0</v>
      </c>
    </row>
    <row r="138" spans="1:28">
      <c r="A138">
        <f>IF(COUNTBLANK(B138:AC138)&lt;&gt;COLUMNS(B138:AC138),137,"")</f>
        <v>0</v>
      </c>
      <c r="H138" s="2">
        <f>IF(B138="", "", "not provided")</f>
        <v>0</v>
      </c>
      <c r="I138" s="1">
        <f>IF(B138="", "", "meters")</f>
        <v>0</v>
      </c>
      <c r="T138" s="1">
        <f>IF(B138="", "", "Decimal degrees")</f>
        <v>0</v>
      </c>
      <c r="V138" s="1">
        <f>IF(B138="", "", "Decimal degrees")</f>
        <v>0</v>
      </c>
      <c r="Y138" s="1">
        <f>IF(B138="", "", "other")</f>
        <v>0</v>
      </c>
      <c r="AB138" s="1">
        <f>IF(B138="", "", "Not applicable")</f>
        <v>0</v>
      </c>
    </row>
    <row r="139" spans="1:28">
      <c r="A139">
        <f>IF(COUNTBLANK(B139:AC139)&lt;&gt;COLUMNS(B139:AC139),138,"")</f>
        <v>0</v>
      </c>
      <c r="H139" s="2">
        <f>IF(B139="", "", "not provided")</f>
        <v>0</v>
      </c>
      <c r="I139" s="1">
        <f>IF(B139="", "", "meters")</f>
        <v>0</v>
      </c>
      <c r="T139" s="1">
        <f>IF(B139="", "", "Decimal degrees")</f>
        <v>0</v>
      </c>
      <c r="V139" s="1">
        <f>IF(B139="", "", "Decimal degrees")</f>
        <v>0</v>
      </c>
      <c r="Y139" s="1">
        <f>IF(B139="", "", "other")</f>
        <v>0</v>
      </c>
      <c r="AB139" s="1">
        <f>IF(B139="", "", "Not applicable")</f>
        <v>0</v>
      </c>
    </row>
    <row r="140" spans="1:28">
      <c r="A140">
        <f>IF(COUNTBLANK(B140:AC140)&lt;&gt;COLUMNS(B140:AC140),139,"")</f>
        <v>0</v>
      </c>
      <c r="H140" s="2">
        <f>IF(B140="", "", "not provided")</f>
        <v>0</v>
      </c>
      <c r="I140" s="1">
        <f>IF(B140="", "", "meters")</f>
        <v>0</v>
      </c>
      <c r="T140" s="1">
        <f>IF(B140="", "", "Decimal degrees")</f>
        <v>0</v>
      </c>
      <c r="V140" s="1">
        <f>IF(B140="", "", "Decimal degrees")</f>
        <v>0</v>
      </c>
      <c r="Y140" s="1">
        <f>IF(B140="", "", "other")</f>
        <v>0</v>
      </c>
      <c r="AB140" s="1">
        <f>IF(B140="", "", "Not applicable")</f>
        <v>0</v>
      </c>
    </row>
    <row r="141" spans="1:28">
      <c r="A141">
        <f>IF(COUNTBLANK(B141:AC141)&lt;&gt;COLUMNS(B141:AC141),140,"")</f>
        <v>0</v>
      </c>
      <c r="H141" s="2">
        <f>IF(B141="", "", "not provided")</f>
        <v>0</v>
      </c>
      <c r="I141" s="1">
        <f>IF(B141="", "", "meters")</f>
        <v>0</v>
      </c>
      <c r="T141" s="1">
        <f>IF(B141="", "", "Decimal degrees")</f>
        <v>0</v>
      </c>
      <c r="V141" s="1">
        <f>IF(B141="", "", "Decimal degrees")</f>
        <v>0</v>
      </c>
      <c r="Y141" s="1">
        <f>IF(B141="", "", "other")</f>
        <v>0</v>
      </c>
      <c r="AB141" s="1">
        <f>IF(B141="", "", "Not applicable")</f>
        <v>0</v>
      </c>
    </row>
    <row r="142" spans="1:28">
      <c r="A142">
        <f>IF(COUNTBLANK(B142:AC142)&lt;&gt;COLUMNS(B142:AC142),141,"")</f>
        <v>0</v>
      </c>
      <c r="H142" s="2">
        <f>IF(B142="", "", "not provided")</f>
        <v>0</v>
      </c>
      <c r="I142" s="1">
        <f>IF(B142="", "", "meters")</f>
        <v>0</v>
      </c>
      <c r="T142" s="1">
        <f>IF(B142="", "", "Decimal degrees")</f>
        <v>0</v>
      </c>
      <c r="V142" s="1">
        <f>IF(B142="", "", "Decimal degrees")</f>
        <v>0</v>
      </c>
      <c r="Y142" s="1">
        <f>IF(B142="", "", "other")</f>
        <v>0</v>
      </c>
      <c r="AB142" s="1">
        <f>IF(B142="", "", "Not applicable")</f>
        <v>0</v>
      </c>
    </row>
    <row r="143" spans="1:28">
      <c r="A143">
        <f>IF(COUNTBLANK(B143:AC143)&lt;&gt;COLUMNS(B143:AC143),142,"")</f>
        <v>0</v>
      </c>
      <c r="H143" s="2">
        <f>IF(B143="", "", "not provided")</f>
        <v>0</v>
      </c>
      <c r="I143" s="1">
        <f>IF(B143="", "", "meters")</f>
        <v>0</v>
      </c>
      <c r="T143" s="1">
        <f>IF(B143="", "", "Decimal degrees")</f>
        <v>0</v>
      </c>
      <c r="V143" s="1">
        <f>IF(B143="", "", "Decimal degrees")</f>
        <v>0</v>
      </c>
      <c r="Y143" s="1">
        <f>IF(B143="", "", "other")</f>
        <v>0</v>
      </c>
      <c r="AB143" s="1">
        <f>IF(B143="", "", "Not applicable")</f>
        <v>0</v>
      </c>
    </row>
    <row r="144" spans="1:28">
      <c r="A144">
        <f>IF(COUNTBLANK(B144:AC144)&lt;&gt;COLUMNS(B144:AC144),143,"")</f>
        <v>0</v>
      </c>
      <c r="H144" s="2">
        <f>IF(B144="", "", "not provided")</f>
        <v>0</v>
      </c>
      <c r="I144" s="1">
        <f>IF(B144="", "", "meters")</f>
        <v>0</v>
      </c>
      <c r="T144" s="1">
        <f>IF(B144="", "", "Decimal degrees")</f>
        <v>0</v>
      </c>
      <c r="V144" s="1">
        <f>IF(B144="", "", "Decimal degrees")</f>
        <v>0</v>
      </c>
      <c r="Y144" s="1">
        <f>IF(B144="", "", "other")</f>
        <v>0</v>
      </c>
      <c r="AB144" s="1">
        <f>IF(B144="", "", "Not applicable")</f>
        <v>0</v>
      </c>
    </row>
    <row r="145" spans="1:28">
      <c r="A145">
        <f>IF(COUNTBLANK(B145:AC145)&lt;&gt;COLUMNS(B145:AC145),144,"")</f>
        <v>0</v>
      </c>
      <c r="H145" s="2">
        <f>IF(B145="", "", "not provided")</f>
        <v>0</v>
      </c>
      <c r="I145" s="1">
        <f>IF(B145="", "", "meters")</f>
        <v>0</v>
      </c>
      <c r="T145" s="1">
        <f>IF(B145="", "", "Decimal degrees")</f>
        <v>0</v>
      </c>
      <c r="V145" s="1">
        <f>IF(B145="", "", "Decimal degrees")</f>
        <v>0</v>
      </c>
      <c r="Y145" s="1">
        <f>IF(B145="", "", "other")</f>
        <v>0</v>
      </c>
      <c r="AB145" s="1">
        <f>IF(B145="", "", "Not applicable")</f>
        <v>0</v>
      </c>
    </row>
    <row r="146" spans="1:28">
      <c r="A146">
        <f>IF(COUNTBLANK(B146:AC146)&lt;&gt;COLUMNS(B146:AC146),145,"")</f>
        <v>0</v>
      </c>
      <c r="H146" s="2">
        <f>IF(B146="", "", "not provided")</f>
        <v>0</v>
      </c>
      <c r="I146" s="1">
        <f>IF(B146="", "", "meters")</f>
        <v>0</v>
      </c>
      <c r="T146" s="1">
        <f>IF(B146="", "", "Decimal degrees")</f>
        <v>0</v>
      </c>
      <c r="V146" s="1">
        <f>IF(B146="", "", "Decimal degrees")</f>
        <v>0</v>
      </c>
      <c r="Y146" s="1">
        <f>IF(B146="", "", "other")</f>
        <v>0</v>
      </c>
      <c r="AB146" s="1">
        <f>IF(B146="", "", "Not applicable")</f>
        <v>0</v>
      </c>
    </row>
    <row r="147" spans="1:28">
      <c r="A147">
        <f>IF(COUNTBLANK(B147:AC147)&lt;&gt;COLUMNS(B147:AC147),146,"")</f>
        <v>0</v>
      </c>
      <c r="H147" s="2">
        <f>IF(B147="", "", "not provided")</f>
        <v>0</v>
      </c>
      <c r="I147" s="1">
        <f>IF(B147="", "", "meters")</f>
        <v>0</v>
      </c>
      <c r="T147" s="1">
        <f>IF(B147="", "", "Decimal degrees")</f>
        <v>0</v>
      </c>
      <c r="V147" s="1">
        <f>IF(B147="", "", "Decimal degrees")</f>
        <v>0</v>
      </c>
      <c r="Y147" s="1">
        <f>IF(B147="", "", "other")</f>
        <v>0</v>
      </c>
      <c r="AB147" s="1">
        <f>IF(B147="", "", "Not applicable")</f>
        <v>0</v>
      </c>
    </row>
    <row r="148" spans="1:28">
      <c r="A148">
        <f>IF(COUNTBLANK(B148:AC148)&lt;&gt;COLUMNS(B148:AC148),147,"")</f>
        <v>0</v>
      </c>
      <c r="H148" s="2">
        <f>IF(B148="", "", "not provided")</f>
        <v>0</v>
      </c>
      <c r="I148" s="1">
        <f>IF(B148="", "", "meters")</f>
        <v>0</v>
      </c>
      <c r="T148" s="1">
        <f>IF(B148="", "", "Decimal degrees")</f>
        <v>0</v>
      </c>
      <c r="V148" s="1">
        <f>IF(B148="", "", "Decimal degrees")</f>
        <v>0</v>
      </c>
      <c r="Y148" s="1">
        <f>IF(B148="", "", "other")</f>
        <v>0</v>
      </c>
      <c r="AB148" s="1">
        <f>IF(B148="", "", "Not applicable")</f>
        <v>0</v>
      </c>
    </row>
    <row r="149" spans="1:28">
      <c r="A149">
        <f>IF(COUNTBLANK(B149:AC149)&lt;&gt;COLUMNS(B149:AC149),148,"")</f>
        <v>0</v>
      </c>
      <c r="H149" s="2">
        <f>IF(B149="", "", "not provided")</f>
        <v>0</v>
      </c>
      <c r="I149" s="1">
        <f>IF(B149="", "", "meters")</f>
        <v>0</v>
      </c>
      <c r="T149" s="1">
        <f>IF(B149="", "", "Decimal degrees")</f>
        <v>0</v>
      </c>
      <c r="V149" s="1">
        <f>IF(B149="", "", "Decimal degrees")</f>
        <v>0</v>
      </c>
      <c r="Y149" s="1">
        <f>IF(B149="", "", "other")</f>
        <v>0</v>
      </c>
      <c r="AB149" s="1">
        <f>IF(B149="", "", "Not applicable")</f>
        <v>0</v>
      </c>
    </row>
    <row r="150" spans="1:28">
      <c r="A150">
        <f>IF(COUNTBLANK(B150:AC150)&lt;&gt;COLUMNS(B150:AC150),149,"")</f>
        <v>0</v>
      </c>
      <c r="H150" s="2">
        <f>IF(B150="", "", "not provided")</f>
        <v>0</v>
      </c>
      <c r="I150" s="1">
        <f>IF(B150="", "", "meters")</f>
        <v>0</v>
      </c>
      <c r="T150" s="1">
        <f>IF(B150="", "", "Decimal degrees")</f>
        <v>0</v>
      </c>
      <c r="V150" s="1">
        <f>IF(B150="", "", "Decimal degrees")</f>
        <v>0</v>
      </c>
      <c r="Y150" s="1">
        <f>IF(B150="", "", "other")</f>
        <v>0</v>
      </c>
      <c r="AB150" s="1">
        <f>IF(B150="", "", "Not applicable")</f>
        <v>0</v>
      </c>
    </row>
    <row r="151" spans="1:28">
      <c r="A151">
        <f>IF(COUNTBLANK(B151:AC151)&lt;&gt;COLUMNS(B151:AC151),150,"")</f>
        <v>0</v>
      </c>
      <c r="H151" s="2">
        <f>IF(B151="", "", "not provided")</f>
        <v>0</v>
      </c>
      <c r="I151" s="1">
        <f>IF(B151="", "", "meters")</f>
        <v>0</v>
      </c>
      <c r="T151" s="1">
        <f>IF(B151="", "", "Decimal degrees")</f>
        <v>0</v>
      </c>
      <c r="V151" s="1">
        <f>IF(B151="", "", "Decimal degrees")</f>
        <v>0</v>
      </c>
      <c r="Y151" s="1">
        <f>IF(B151="", "", "other")</f>
        <v>0</v>
      </c>
      <c r="AB151" s="1">
        <f>IF(B151="", "", "Not applicable")</f>
        <v>0</v>
      </c>
    </row>
    <row r="152" spans="1:28">
      <c r="A152">
        <f>IF(COUNTBLANK(B152:AC152)&lt;&gt;COLUMNS(B152:AC152),151,"")</f>
        <v>0</v>
      </c>
      <c r="H152" s="2">
        <f>IF(B152="", "", "not provided")</f>
        <v>0</v>
      </c>
      <c r="I152" s="1">
        <f>IF(B152="", "", "meters")</f>
        <v>0</v>
      </c>
      <c r="T152" s="1">
        <f>IF(B152="", "", "Decimal degrees")</f>
        <v>0</v>
      </c>
      <c r="V152" s="1">
        <f>IF(B152="", "", "Decimal degrees")</f>
        <v>0</v>
      </c>
      <c r="Y152" s="1">
        <f>IF(B152="", "", "other")</f>
        <v>0</v>
      </c>
      <c r="AB152" s="1">
        <f>IF(B152="", "", "Not applicable")</f>
        <v>0</v>
      </c>
    </row>
    <row r="153" spans="1:28">
      <c r="A153">
        <f>IF(COUNTBLANK(B153:AC153)&lt;&gt;COLUMNS(B153:AC153),152,"")</f>
        <v>0</v>
      </c>
      <c r="H153" s="2">
        <f>IF(B153="", "", "not provided")</f>
        <v>0</v>
      </c>
      <c r="I153" s="1">
        <f>IF(B153="", "", "meters")</f>
        <v>0</v>
      </c>
      <c r="T153" s="1">
        <f>IF(B153="", "", "Decimal degrees")</f>
        <v>0</v>
      </c>
      <c r="V153" s="1">
        <f>IF(B153="", "", "Decimal degrees")</f>
        <v>0</v>
      </c>
      <c r="Y153" s="1">
        <f>IF(B153="", "", "other")</f>
        <v>0</v>
      </c>
      <c r="AB153" s="1">
        <f>IF(B153="", "", "Not applicable")</f>
        <v>0</v>
      </c>
    </row>
    <row r="154" spans="1:28">
      <c r="A154">
        <f>IF(COUNTBLANK(B154:AC154)&lt;&gt;COLUMNS(B154:AC154),153,"")</f>
        <v>0</v>
      </c>
      <c r="H154" s="2">
        <f>IF(B154="", "", "not provided")</f>
        <v>0</v>
      </c>
      <c r="I154" s="1">
        <f>IF(B154="", "", "meters")</f>
        <v>0</v>
      </c>
      <c r="T154" s="1">
        <f>IF(B154="", "", "Decimal degrees")</f>
        <v>0</v>
      </c>
      <c r="V154" s="1">
        <f>IF(B154="", "", "Decimal degrees")</f>
        <v>0</v>
      </c>
      <c r="Y154" s="1">
        <f>IF(B154="", "", "other")</f>
        <v>0</v>
      </c>
      <c r="AB154" s="1">
        <f>IF(B154="", "", "Not applicable")</f>
        <v>0</v>
      </c>
    </row>
    <row r="155" spans="1:28">
      <c r="A155">
        <f>IF(COUNTBLANK(B155:AC155)&lt;&gt;COLUMNS(B155:AC155),154,"")</f>
        <v>0</v>
      </c>
      <c r="H155" s="2">
        <f>IF(B155="", "", "not provided")</f>
        <v>0</v>
      </c>
      <c r="I155" s="1">
        <f>IF(B155="", "", "meters")</f>
        <v>0</v>
      </c>
      <c r="T155" s="1">
        <f>IF(B155="", "", "Decimal degrees")</f>
        <v>0</v>
      </c>
      <c r="V155" s="1">
        <f>IF(B155="", "", "Decimal degrees")</f>
        <v>0</v>
      </c>
      <c r="Y155" s="1">
        <f>IF(B155="", "", "other")</f>
        <v>0</v>
      </c>
      <c r="AB155" s="1">
        <f>IF(B155="", "", "Not applicable")</f>
        <v>0</v>
      </c>
    </row>
    <row r="156" spans="1:28">
      <c r="A156">
        <f>IF(COUNTBLANK(B156:AC156)&lt;&gt;COLUMNS(B156:AC156),155,"")</f>
        <v>0</v>
      </c>
      <c r="H156" s="2">
        <f>IF(B156="", "", "not provided")</f>
        <v>0</v>
      </c>
      <c r="I156" s="1">
        <f>IF(B156="", "", "meters")</f>
        <v>0</v>
      </c>
      <c r="T156" s="1">
        <f>IF(B156="", "", "Decimal degrees")</f>
        <v>0</v>
      </c>
      <c r="V156" s="1">
        <f>IF(B156="", "", "Decimal degrees")</f>
        <v>0</v>
      </c>
      <c r="Y156" s="1">
        <f>IF(B156="", "", "other")</f>
        <v>0</v>
      </c>
      <c r="AB156" s="1">
        <f>IF(B156="", "", "Not applicable")</f>
        <v>0</v>
      </c>
    </row>
    <row r="157" spans="1:28">
      <c r="A157">
        <f>IF(COUNTBLANK(B157:AC157)&lt;&gt;COLUMNS(B157:AC157),156,"")</f>
        <v>0</v>
      </c>
      <c r="H157" s="2">
        <f>IF(B157="", "", "not provided")</f>
        <v>0</v>
      </c>
      <c r="I157" s="1">
        <f>IF(B157="", "", "meters")</f>
        <v>0</v>
      </c>
      <c r="T157" s="1">
        <f>IF(B157="", "", "Decimal degrees")</f>
        <v>0</v>
      </c>
      <c r="V157" s="1">
        <f>IF(B157="", "", "Decimal degrees")</f>
        <v>0</v>
      </c>
      <c r="Y157" s="1">
        <f>IF(B157="", "", "other")</f>
        <v>0</v>
      </c>
      <c r="AB157" s="1">
        <f>IF(B157="", "", "Not applicable")</f>
        <v>0</v>
      </c>
    </row>
    <row r="158" spans="1:28">
      <c r="A158">
        <f>IF(COUNTBLANK(B158:AC158)&lt;&gt;COLUMNS(B158:AC158),157,"")</f>
        <v>0</v>
      </c>
      <c r="H158" s="2">
        <f>IF(B158="", "", "not provided")</f>
        <v>0</v>
      </c>
      <c r="I158" s="1">
        <f>IF(B158="", "", "meters")</f>
        <v>0</v>
      </c>
      <c r="T158" s="1">
        <f>IF(B158="", "", "Decimal degrees")</f>
        <v>0</v>
      </c>
      <c r="V158" s="1">
        <f>IF(B158="", "", "Decimal degrees")</f>
        <v>0</v>
      </c>
      <c r="Y158" s="1">
        <f>IF(B158="", "", "other")</f>
        <v>0</v>
      </c>
      <c r="AB158" s="1">
        <f>IF(B158="", "", "Not applicable")</f>
        <v>0</v>
      </c>
    </row>
    <row r="159" spans="1:28">
      <c r="A159">
        <f>IF(COUNTBLANK(B159:AC159)&lt;&gt;COLUMNS(B159:AC159),158,"")</f>
        <v>0</v>
      </c>
      <c r="H159" s="2">
        <f>IF(B159="", "", "not provided")</f>
        <v>0</v>
      </c>
      <c r="I159" s="1">
        <f>IF(B159="", "", "meters")</f>
        <v>0</v>
      </c>
      <c r="T159" s="1">
        <f>IF(B159="", "", "Decimal degrees")</f>
        <v>0</v>
      </c>
      <c r="V159" s="1">
        <f>IF(B159="", "", "Decimal degrees")</f>
        <v>0</v>
      </c>
      <c r="Y159" s="1">
        <f>IF(B159="", "", "other")</f>
        <v>0</v>
      </c>
      <c r="AB159" s="1">
        <f>IF(B159="", "", "Not applicable")</f>
        <v>0</v>
      </c>
    </row>
    <row r="160" spans="1:28">
      <c r="A160">
        <f>IF(COUNTBLANK(B160:AC160)&lt;&gt;COLUMNS(B160:AC160),159,"")</f>
        <v>0</v>
      </c>
      <c r="H160" s="2">
        <f>IF(B160="", "", "not provided")</f>
        <v>0</v>
      </c>
      <c r="I160" s="1">
        <f>IF(B160="", "", "meters")</f>
        <v>0</v>
      </c>
      <c r="T160" s="1">
        <f>IF(B160="", "", "Decimal degrees")</f>
        <v>0</v>
      </c>
      <c r="V160" s="1">
        <f>IF(B160="", "", "Decimal degrees")</f>
        <v>0</v>
      </c>
      <c r="Y160" s="1">
        <f>IF(B160="", "", "other")</f>
        <v>0</v>
      </c>
      <c r="AB160" s="1">
        <f>IF(B160="", "", "Not applicable")</f>
        <v>0</v>
      </c>
    </row>
    <row r="161" spans="1:28">
      <c r="A161">
        <f>IF(COUNTBLANK(B161:AC161)&lt;&gt;COLUMNS(B161:AC161),160,"")</f>
        <v>0</v>
      </c>
      <c r="H161" s="2">
        <f>IF(B161="", "", "not provided")</f>
        <v>0</v>
      </c>
      <c r="I161" s="1">
        <f>IF(B161="", "", "meters")</f>
        <v>0</v>
      </c>
      <c r="T161" s="1">
        <f>IF(B161="", "", "Decimal degrees")</f>
        <v>0</v>
      </c>
      <c r="V161" s="1">
        <f>IF(B161="", "", "Decimal degrees")</f>
        <v>0</v>
      </c>
      <c r="Y161" s="1">
        <f>IF(B161="", "", "other")</f>
        <v>0</v>
      </c>
      <c r="AB161" s="1">
        <f>IF(B161="", "", "Not applicable")</f>
        <v>0</v>
      </c>
    </row>
    <row r="162" spans="1:28">
      <c r="A162">
        <f>IF(COUNTBLANK(B162:AC162)&lt;&gt;COLUMNS(B162:AC162),161,"")</f>
        <v>0</v>
      </c>
      <c r="H162" s="2">
        <f>IF(B162="", "", "not provided")</f>
        <v>0</v>
      </c>
      <c r="I162" s="1">
        <f>IF(B162="", "", "meters")</f>
        <v>0</v>
      </c>
      <c r="T162" s="1">
        <f>IF(B162="", "", "Decimal degrees")</f>
        <v>0</v>
      </c>
      <c r="V162" s="1">
        <f>IF(B162="", "", "Decimal degrees")</f>
        <v>0</v>
      </c>
      <c r="Y162" s="1">
        <f>IF(B162="", "", "other")</f>
        <v>0</v>
      </c>
      <c r="AB162" s="1">
        <f>IF(B162="", "", "Not applicable")</f>
        <v>0</v>
      </c>
    </row>
    <row r="163" spans="1:28">
      <c r="A163">
        <f>IF(COUNTBLANK(B163:AC163)&lt;&gt;COLUMNS(B163:AC163),162,"")</f>
        <v>0</v>
      </c>
      <c r="H163" s="2">
        <f>IF(B163="", "", "not provided")</f>
        <v>0</v>
      </c>
      <c r="I163" s="1">
        <f>IF(B163="", "", "meters")</f>
        <v>0</v>
      </c>
      <c r="T163" s="1">
        <f>IF(B163="", "", "Decimal degrees")</f>
        <v>0</v>
      </c>
      <c r="V163" s="1">
        <f>IF(B163="", "", "Decimal degrees")</f>
        <v>0</v>
      </c>
      <c r="Y163" s="1">
        <f>IF(B163="", "", "other")</f>
        <v>0</v>
      </c>
      <c r="AB163" s="1">
        <f>IF(B163="", "", "Not applicable")</f>
        <v>0</v>
      </c>
    </row>
    <row r="164" spans="1:28">
      <c r="A164">
        <f>IF(COUNTBLANK(B164:AC164)&lt;&gt;COLUMNS(B164:AC164),163,"")</f>
        <v>0</v>
      </c>
      <c r="H164" s="2">
        <f>IF(B164="", "", "not provided")</f>
        <v>0</v>
      </c>
      <c r="I164" s="1">
        <f>IF(B164="", "", "meters")</f>
        <v>0</v>
      </c>
      <c r="T164" s="1">
        <f>IF(B164="", "", "Decimal degrees")</f>
        <v>0</v>
      </c>
      <c r="V164" s="1">
        <f>IF(B164="", "", "Decimal degrees")</f>
        <v>0</v>
      </c>
      <c r="Y164" s="1">
        <f>IF(B164="", "", "other")</f>
        <v>0</v>
      </c>
      <c r="AB164" s="1">
        <f>IF(B164="", "", "Not applicable")</f>
        <v>0</v>
      </c>
    </row>
    <row r="165" spans="1:28">
      <c r="A165">
        <f>IF(COUNTBLANK(B165:AC165)&lt;&gt;COLUMNS(B165:AC165),164,"")</f>
        <v>0</v>
      </c>
      <c r="H165" s="2">
        <f>IF(B165="", "", "not provided")</f>
        <v>0</v>
      </c>
      <c r="I165" s="1">
        <f>IF(B165="", "", "meters")</f>
        <v>0</v>
      </c>
      <c r="T165" s="1">
        <f>IF(B165="", "", "Decimal degrees")</f>
        <v>0</v>
      </c>
      <c r="V165" s="1">
        <f>IF(B165="", "", "Decimal degrees")</f>
        <v>0</v>
      </c>
      <c r="Y165" s="1">
        <f>IF(B165="", "", "other")</f>
        <v>0</v>
      </c>
      <c r="AB165" s="1">
        <f>IF(B165="", "", "Not applicable")</f>
        <v>0</v>
      </c>
    </row>
    <row r="166" spans="1:28">
      <c r="A166">
        <f>IF(COUNTBLANK(B166:AC166)&lt;&gt;COLUMNS(B166:AC166),165,"")</f>
        <v>0</v>
      </c>
      <c r="H166" s="2">
        <f>IF(B166="", "", "not provided")</f>
        <v>0</v>
      </c>
      <c r="I166" s="1">
        <f>IF(B166="", "", "meters")</f>
        <v>0</v>
      </c>
      <c r="T166" s="1">
        <f>IF(B166="", "", "Decimal degrees")</f>
        <v>0</v>
      </c>
      <c r="V166" s="1">
        <f>IF(B166="", "", "Decimal degrees")</f>
        <v>0</v>
      </c>
      <c r="Y166" s="1">
        <f>IF(B166="", "", "other")</f>
        <v>0</v>
      </c>
      <c r="AB166" s="1">
        <f>IF(B166="", "", "Not applicable")</f>
        <v>0</v>
      </c>
    </row>
    <row r="167" spans="1:28">
      <c r="A167">
        <f>IF(COUNTBLANK(B167:AC167)&lt;&gt;COLUMNS(B167:AC167),166,"")</f>
        <v>0</v>
      </c>
      <c r="H167" s="2">
        <f>IF(B167="", "", "not provided")</f>
        <v>0</v>
      </c>
      <c r="I167" s="1">
        <f>IF(B167="", "", "meters")</f>
        <v>0</v>
      </c>
      <c r="T167" s="1">
        <f>IF(B167="", "", "Decimal degrees")</f>
        <v>0</v>
      </c>
      <c r="V167" s="1">
        <f>IF(B167="", "", "Decimal degrees")</f>
        <v>0</v>
      </c>
      <c r="Y167" s="1">
        <f>IF(B167="", "", "other")</f>
        <v>0</v>
      </c>
      <c r="AB167" s="1">
        <f>IF(B167="", "", "Not applicable")</f>
        <v>0</v>
      </c>
    </row>
    <row r="168" spans="1:28">
      <c r="A168">
        <f>IF(COUNTBLANK(B168:AC168)&lt;&gt;COLUMNS(B168:AC168),167,"")</f>
        <v>0</v>
      </c>
      <c r="H168" s="2">
        <f>IF(B168="", "", "not provided")</f>
        <v>0</v>
      </c>
      <c r="I168" s="1">
        <f>IF(B168="", "", "meters")</f>
        <v>0</v>
      </c>
      <c r="T168" s="1">
        <f>IF(B168="", "", "Decimal degrees")</f>
        <v>0</v>
      </c>
      <c r="V168" s="1">
        <f>IF(B168="", "", "Decimal degrees")</f>
        <v>0</v>
      </c>
      <c r="Y168" s="1">
        <f>IF(B168="", "", "other")</f>
        <v>0</v>
      </c>
      <c r="AB168" s="1">
        <f>IF(B168="", "", "Not applicable")</f>
        <v>0</v>
      </c>
    </row>
    <row r="169" spans="1:28">
      <c r="A169">
        <f>IF(COUNTBLANK(B169:AC169)&lt;&gt;COLUMNS(B169:AC169),168,"")</f>
        <v>0</v>
      </c>
      <c r="H169" s="2">
        <f>IF(B169="", "", "not provided")</f>
        <v>0</v>
      </c>
      <c r="I169" s="1">
        <f>IF(B169="", "", "meters")</f>
        <v>0</v>
      </c>
      <c r="T169" s="1">
        <f>IF(B169="", "", "Decimal degrees")</f>
        <v>0</v>
      </c>
      <c r="V169" s="1">
        <f>IF(B169="", "", "Decimal degrees")</f>
        <v>0</v>
      </c>
      <c r="Y169" s="1">
        <f>IF(B169="", "", "other")</f>
        <v>0</v>
      </c>
      <c r="AB169" s="1">
        <f>IF(B169="", "", "Not applicable")</f>
        <v>0</v>
      </c>
    </row>
    <row r="170" spans="1:28">
      <c r="A170">
        <f>IF(COUNTBLANK(B170:AC170)&lt;&gt;COLUMNS(B170:AC170),169,"")</f>
        <v>0</v>
      </c>
      <c r="H170" s="2">
        <f>IF(B170="", "", "not provided")</f>
        <v>0</v>
      </c>
      <c r="I170" s="1">
        <f>IF(B170="", "", "meters")</f>
        <v>0</v>
      </c>
      <c r="T170" s="1">
        <f>IF(B170="", "", "Decimal degrees")</f>
        <v>0</v>
      </c>
      <c r="V170" s="1">
        <f>IF(B170="", "", "Decimal degrees")</f>
        <v>0</v>
      </c>
      <c r="Y170" s="1">
        <f>IF(B170="", "", "other")</f>
        <v>0</v>
      </c>
      <c r="AB170" s="1">
        <f>IF(B170="", "", "Not applicable")</f>
        <v>0</v>
      </c>
    </row>
    <row r="171" spans="1:28">
      <c r="A171">
        <f>IF(COUNTBLANK(B171:AC171)&lt;&gt;COLUMNS(B171:AC171),170,"")</f>
        <v>0</v>
      </c>
      <c r="H171" s="2">
        <f>IF(B171="", "", "not provided")</f>
        <v>0</v>
      </c>
      <c r="I171" s="1">
        <f>IF(B171="", "", "meters")</f>
        <v>0</v>
      </c>
      <c r="T171" s="1">
        <f>IF(B171="", "", "Decimal degrees")</f>
        <v>0</v>
      </c>
      <c r="V171" s="1">
        <f>IF(B171="", "", "Decimal degrees")</f>
        <v>0</v>
      </c>
      <c r="Y171" s="1">
        <f>IF(B171="", "", "other")</f>
        <v>0</v>
      </c>
      <c r="AB171" s="1">
        <f>IF(B171="", "", "Not applicable")</f>
        <v>0</v>
      </c>
    </row>
    <row r="172" spans="1:28">
      <c r="A172">
        <f>IF(COUNTBLANK(B172:AC172)&lt;&gt;COLUMNS(B172:AC172),171,"")</f>
        <v>0</v>
      </c>
      <c r="H172" s="2">
        <f>IF(B172="", "", "not provided")</f>
        <v>0</v>
      </c>
      <c r="I172" s="1">
        <f>IF(B172="", "", "meters")</f>
        <v>0</v>
      </c>
      <c r="T172" s="1">
        <f>IF(B172="", "", "Decimal degrees")</f>
        <v>0</v>
      </c>
      <c r="V172" s="1">
        <f>IF(B172="", "", "Decimal degrees")</f>
        <v>0</v>
      </c>
      <c r="Y172" s="1">
        <f>IF(B172="", "", "other")</f>
        <v>0</v>
      </c>
      <c r="AB172" s="1">
        <f>IF(B172="", "", "Not applicable")</f>
        <v>0</v>
      </c>
    </row>
    <row r="173" spans="1:28">
      <c r="A173">
        <f>IF(COUNTBLANK(B173:AC173)&lt;&gt;COLUMNS(B173:AC173),172,"")</f>
        <v>0</v>
      </c>
      <c r="H173" s="2">
        <f>IF(B173="", "", "not provided")</f>
        <v>0</v>
      </c>
      <c r="I173" s="1">
        <f>IF(B173="", "", "meters")</f>
        <v>0</v>
      </c>
      <c r="T173" s="1">
        <f>IF(B173="", "", "Decimal degrees")</f>
        <v>0</v>
      </c>
      <c r="V173" s="1">
        <f>IF(B173="", "", "Decimal degrees")</f>
        <v>0</v>
      </c>
      <c r="Y173" s="1">
        <f>IF(B173="", "", "other")</f>
        <v>0</v>
      </c>
      <c r="AB173" s="1">
        <f>IF(B173="", "", "Not applicable")</f>
        <v>0</v>
      </c>
    </row>
    <row r="174" spans="1:28">
      <c r="A174">
        <f>IF(COUNTBLANK(B174:AC174)&lt;&gt;COLUMNS(B174:AC174),173,"")</f>
        <v>0</v>
      </c>
      <c r="H174" s="2">
        <f>IF(B174="", "", "not provided")</f>
        <v>0</v>
      </c>
      <c r="I174" s="1">
        <f>IF(B174="", "", "meters")</f>
        <v>0</v>
      </c>
      <c r="T174" s="1">
        <f>IF(B174="", "", "Decimal degrees")</f>
        <v>0</v>
      </c>
      <c r="V174" s="1">
        <f>IF(B174="", "", "Decimal degrees")</f>
        <v>0</v>
      </c>
      <c r="Y174" s="1">
        <f>IF(B174="", "", "other")</f>
        <v>0</v>
      </c>
      <c r="AB174" s="1">
        <f>IF(B174="", "", "Not applicable")</f>
        <v>0</v>
      </c>
    </row>
    <row r="175" spans="1:28">
      <c r="A175">
        <f>IF(COUNTBLANK(B175:AC175)&lt;&gt;COLUMNS(B175:AC175),174,"")</f>
        <v>0</v>
      </c>
      <c r="H175" s="2">
        <f>IF(B175="", "", "not provided")</f>
        <v>0</v>
      </c>
      <c r="I175" s="1">
        <f>IF(B175="", "", "meters")</f>
        <v>0</v>
      </c>
      <c r="T175" s="1">
        <f>IF(B175="", "", "Decimal degrees")</f>
        <v>0</v>
      </c>
      <c r="V175" s="1">
        <f>IF(B175="", "", "Decimal degrees")</f>
        <v>0</v>
      </c>
      <c r="Y175" s="1">
        <f>IF(B175="", "", "other")</f>
        <v>0</v>
      </c>
      <c r="AB175" s="1">
        <f>IF(B175="", "", "Not applicable")</f>
        <v>0</v>
      </c>
    </row>
    <row r="176" spans="1:28">
      <c r="A176">
        <f>IF(COUNTBLANK(B176:AC176)&lt;&gt;COLUMNS(B176:AC176),175,"")</f>
        <v>0</v>
      </c>
      <c r="H176" s="2">
        <f>IF(B176="", "", "not provided")</f>
        <v>0</v>
      </c>
      <c r="I176" s="1">
        <f>IF(B176="", "", "meters")</f>
        <v>0</v>
      </c>
      <c r="T176" s="1">
        <f>IF(B176="", "", "Decimal degrees")</f>
        <v>0</v>
      </c>
      <c r="V176" s="1">
        <f>IF(B176="", "", "Decimal degrees")</f>
        <v>0</v>
      </c>
      <c r="Y176" s="1">
        <f>IF(B176="", "", "other")</f>
        <v>0</v>
      </c>
      <c r="AB176" s="1">
        <f>IF(B176="", "", "Not applicable")</f>
        <v>0</v>
      </c>
    </row>
    <row r="177" spans="1:28">
      <c r="A177">
        <f>IF(COUNTBLANK(B177:AC177)&lt;&gt;COLUMNS(B177:AC177),176,"")</f>
        <v>0</v>
      </c>
      <c r="H177" s="2">
        <f>IF(B177="", "", "not provided")</f>
        <v>0</v>
      </c>
      <c r="I177" s="1">
        <f>IF(B177="", "", "meters")</f>
        <v>0</v>
      </c>
      <c r="T177" s="1">
        <f>IF(B177="", "", "Decimal degrees")</f>
        <v>0</v>
      </c>
      <c r="V177" s="1">
        <f>IF(B177="", "", "Decimal degrees")</f>
        <v>0</v>
      </c>
      <c r="Y177" s="1">
        <f>IF(B177="", "", "other")</f>
        <v>0</v>
      </c>
      <c r="AB177" s="1">
        <f>IF(B177="", "", "Not applicable")</f>
        <v>0</v>
      </c>
    </row>
    <row r="178" spans="1:28">
      <c r="A178">
        <f>IF(COUNTBLANK(B178:AC178)&lt;&gt;COLUMNS(B178:AC178),177,"")</f>
        <v>0</v>
      </c>
      <c r="H178" s="2">
        <f>IF(B178="", "", "not provided")</f>
        <v>0</v>
      </c>
      <c r="I178" s="1">
        <f>IF(B178="", "", "meters")</f>
        <v>0</v>
      </c>
      <c r="T178" s="1">
        <f>IF(B178="", "", "Decimal degrees")</f>
        <v>0</v>
      </c>
      <c r="V178" s="1">
        <f>IF(B178="", "", "Decimal degrees")</f>
        <v>0</v>
      </c>
      <c r="Y178" s="1">
        <f>IF(B178="", "", "other")</f>
        <v>0</v>
      </c>
      <c r="AB178" s="1">
        <f>IF(B178="", "", "Not applicable")</f>
        <v>0</v>
      </c>
    </row>
    <row r="179" spans="1:28">
      <c r="A179">
        <f>IF(COUNTBLANK(B179:AC179)&lt;&gt;COLUMNS(B179:AC179),178,"")</f>
        <v>0</v>
      </c>
      <c r="H179" s="2">
        <f>IF(B179="", "", "not provided")</f>
        <v>0</v>
      </c>
      <c r="I179" s="1">
        <f>IF(B179="", "", "meters")</f>
        <v>0</v>
      </c>
      <c r="T179" s="1">
        <f>IF(B179="", "", "Decimal degrees")</f>
        <v>0</v>
      </c>
      <c r="V179" s="1">
        <f>IF(B179="", "", "Decimal degrees")</f>
        <v>0</v>
      </c>
      <c r="Y179" s="1">
        <f>IF(B179="", "", "other")</f>
        <v>0</v>
      </c>
      <c r="AB179" s="1">
        <f>IF(B179="", "", "Not applicable")</f>
        <v>0</v>
      </c>
    </row>
    <row r="180" spans="1:28">
      <c r="A180">
        <f>IF(COUNTBLANK(B180:AC180)&lt;&gt;COLUMNS(B180:AC180),179,"")</f>
        <v>0</v>
      </c>
      <c r="H180" s="2">
        <f>IF(B180="", "", "not provided")</f>
        <v>0</v>
      </c>
      <c r="I180" s="1">
        <f>IF(B180="", "", "meters")</f>
        <v>0</v>
      </c>
      <c r="T180" s="1">
        <f>IF(B180="", "", "Decimal degrees")</f>
        <v>0</v>
      </c>
      <c r="V180" s="1">
        <f>IF(B180="", "", "Decimal degrees")</f>
        <v>0</v>
      </c>
      <c r="Y180" s="1">
        <f>IF(B180="", "", "other")</f>
        <v>0</v>
      </c>
      <c r="AB180" s="1">
        <f>IF(B180="", "", "Not applicable")</f>
        <v>0</v>
      </c>
    </row>
    <row r="181" spans="1:28">
      <c r="A181">
        <f>IF(COUNTBLANK(B181:AC181)&lt;&gt;COLUMNS(B181:AC181),180,"")</f>
        <v>0</v>
      </c>
      <c r="H181" s="2">
        <f>IF(B181="", "", "not provided")</f>
        <v>0</v>
      </c>
      <c r="I181" s="1">
        <f>IF(B181="", "", "meters")</f>
        <v>0</v>
      </c>
      <c r="T181" s="1">
        <f>IF(B181="", "", "Decimal degrees")</f>
        <v>0</v>
      </c>
      <c r="V181" s="1">
        <f>IF(B181="", "", "Decimal degrees")</f>
        <v>0</v>
      </c>
      <c r="Y181" s="1">
        <f>IF(B181="", "", "other")</f>
        <v>0</v>
      </c>
      <c r="AB181" s="1">
        <f>IF(B181="", "", "Not applicable")</f>
        <v>0</v>
      </c>
    </row>
    <row r="182" spans="1:28">
      <c r="A182">
        <f>IF(COUNTBLANK(B182:AC182)&lt;&gt;COLUMNS(B182:AC182),181,"")</f>
        <v>0</v>
      </c>
      <c r="H182" s="2">
        <f>IF(B182="", "", "not provided")</f>
        <v>0</v>
      </c>
      <c r="I182" s="1">
        <f>IF(B182="", "", "meters")</f>
        <v>0</v>
      </c>
      <c r="T182" s="1">
        <f>IF(B182="", "", "Decimal degrees")</f>
        <v>0</v>
      </c>
      <c r="V182" s="1">
        <f>IF(B182="", "", "Decimal degrees")</f>
        <v>0</v>
      </c>
      <c r="Y182" s="1">
        <f>IF(B182="", "", "other")</f>
        <v>0</v>
      </c>
      <c r="AB182" s="1">
        <f>IF(B182="", "", "Not applicable")</f>
        <v>0</v>
      </c>
    </row>
    <row r="183" spans="1:28">
      <c r="A183">
        <f>IF(COUNTBLANK(B183:AC183)&lt;&gt;COLUMNS(B183:AC183),182,"")</f>
        <v>0</v>
      </c>
      <c r="H183" s="2">
        <f>IF(B183="", "", "not provided")</f>
        <v>0</v>
      </c>
      <c r="I183" s="1">
        <f>IF(B183="", "", "meters")</f>
        <v>0</v>
      </c>
      <c r="T183" s="1">
        <f>IF(B183="", "", "Decimal degrees")</f>
        <v>0</v>
      </c>
      <c r="V183" s="1">
        <f>IF(B183="", "", "Decimal degrees")</f>
        <v>0</v>
      </c>
      <c r="Y183" s="1">
        <f>IF(B183="", "", "other")</f>
        <v>0</v>
      </c>
      <c r="AB183" s="1">
        <f>IF(B183="", "", "Not applicable")</f>
        <v>0</v>
      </c>
    </row>
    <row r="184" spans="1:28">
      <c r="A184">
        <f>IF(COUNTBLANK(B184:AC184)&lt;&gt;COLUMNS(B184:AC184),183,"")</f>
        <v>0</v>
      </c>
      <c r="H184" s="2">
        <f>IF(B184="", "", "not provided")</f>
        <v>0</v>
      </c>
      <c r="I184" s="1">
        <f>IF(B184="", "", "meters")</f>
        <v>0</v>
      </c>
      <c r="T184" s="1">
        <f>IF(B184="", "", "Decimal degrees")</f>
        <v>0</v>
      </c>
      <c r="V184" s="1">
        <f>IF(B184="", "", "Decimal degrees")</f>
        <v>0</v>
      </c>
      <c r="Y184" s="1">
        <f>IF(B184="", "", "other")</f>
        <v>0</v>
      </c>
      <c r="AB184" s="1">
        <f>IF(B184="", "", "Not applicable")</f>
        <v>0</v>
      </c>
    </row>
    <row r="185" spans="1:28">
      <c r="A185">
        <f>IF(COUNTBLANK(B185:AC185)&lt;&gt;COLUMNS(B185:AC185),184,"")</f>
        <v>0</v>
      </c>
      <c r="H185" s="2">
        <f>IF(B185="", "", "not provided")</f>
        <v>0</v>
      </c>
      <c r="I185" s="1">
        <f>IF(B185="", "", "meters")</f>
        <v>0</v>
      </c>
      <c r="T185" s="1">
        <f>IF(B185="", "", "Decimal degrees")</f>
        <v>0</v>
      </c>
      <c r="V185" s="1">
        <f>IF(B185="", "", "Decimal degrees")</f>
        <v>0</v>
      </c>
      <c r="Y185" s="1">
        <f>IF(B185="", "", "other")</f>
        <v>0</v>
      </c>
      <c r="AB185" s="1">
        <f>IF(B185="", "", "Not applicable")</f>
        <v>0</v>
      </c>
    </row>
    <row r="186" spans="1:28">
      <c r="A186">
        <f>IF(COUNTBLANK(B186:AC186)&lt;&gt;COLUMNS(B186:AC186),185,"")</f>
        <v>0</v>
      </c>
      <c r="H186" s="2">
        <f>IF(B186="", "", "not provided")</f>
        <v>0</v>
      </c>
      <c r="I186" s="1">
        <f>IF(B186="", "", "meters")</f>
        <v>0</v>
      </c>
      <c r="T186" s="1">
        <f>IF(B186="", "", "Decimal degrees")</f>
        <v>0</v>
      </c>
      <c r="V186" s="1">
        <f>IF(B186="", "", "Decimal degrees")</f>
        <v>0</v>
      </c>
      <c r="Y186" s="1">
        <f>IF(B186="", "", "other")</f>
        <v>0</v>
      </c>
      <c r="AB186" s="1">
        <f>IF(B186="", "", "Not applicable")</f>
        <v>0</v>
      </c>
    </row>
    <row r="187" spans="1:28">
      <c r="A187">
        <f>IF(COUNTBLANK(B187:AC187)&lt;&gt;COLUMNS(B187:AC187),186,"")</f>
        <v>0</v>
      </c>
      <c r="H187" s="2">
        <f>IF(B187="", "", "not provided")</f>
        <v>0</v>
      </c>
      <c r="I187" s="1">
        <f>IF(B187="", "", "meters")</f>
        <v>0</v>
      </c>
      <c r="T187" s="1">
        <f>IF(B187="", "", "Decimal degrees")</f>
        <v>0</v>
      </c>
      <c r="V187" s="1">
        <f>IF(B187="", "", "Decimal degrees")</f>
        <v>0</v>
      </c>
      <c r="Y187" s="1">
        <f>IF(B187="", "", "other")</f>
        <v>0</v>
      </c>
      <c r="AB187" s="1">
        <f>IF(B187="", "", "Not applicable")</f>
        <v>0</v>
      </c>
    </row>
    <row r="188" spans="1:28">
      <c r="A188">
        <f>IF(COUNTBLANK(B188:AC188)&lt;&gt;COLUMNS(B188:AC188),187,"")</f>
        <v>0</v>
      </c>
      <c r="H188" s="2">
        <f>IF(B188="", "", "not provided")</f>
        <v>0</v>
      </c>
      <c r="I188" s="1">
        <f>IF(B188="", "", "meters")</f>
        <v>0</v>
      </c>
      <c r="T188" s="1">
        <f>IF(B188="", "", "Decimal degrees")</f>
        <v>0</v>
      </c>
      <c r="V188" s="1">
        <f>IF(B188="", "", "Decimal degrees")</f>
        <v>0</v>
      </c>
      <c r="Y188" s="1">
        <f>IF(B188="", "", "other")</f>
        <v>0</v>
      </c>
      <c r="AB188" s="1">
        <f>IF(B188="", "", "Not applicable")</f>
        <v>0</v>
      </c>
    </row>
    <row r="189" spans="1:28">
      <c r="A189">
        <f>IF(COUNTBLANK(B189:AC189)&lt;&gt;COLUMNS(B189:AC189),188,"")</f>
        <v>0</v>
      </c>
      <c r="H189" s="2">
        <f>IF(B189="", "", "not provided")</f>
        <v>0</v>
      </c>
      <c r="I189" s="1">
        <f>IF(B189="", "", "meters")</f>
        <v>0</v>
      </c>
      <c r="T189" s="1">
        <f>IF(B189="", "", "Decimal degrees")</f>
        <v>0</v>
      </c>
      <c r="V189" s="1">
        <f>IF(B189="", "", "Decimal degrees")</f>
        <v>0</v>
      </c>
      <c r="Y189" s="1">
        <f>IF(B189="", "", "other")</f>
        <v>0</v>
      </c>
      <c r="AB189" s="1">
        <f>IF(B189="", "", "Not applicable")</f>
        <v>0</v>
      </c>
    </row>
    <row r="190" spans="1:28">
      <c r="A190">
        <f>IF(COUNTBLANK(B190:AC190)&lt;&gt;COLUMNS(B190:AC190),189,"")</f>
        <v>0</v>
      </c>
      <c r="H190" s="2">
        <f>IF(B190="", "", "not provided")</f>
        <v>0</v>
      </c>
      <c r="I190" s="1">
        <f>IF(B190="", "", "meters")</f>
        <v>0</v>
      </c>
      <c r="T190" s="1">
        <f>IF(B190="", "", "Decimal degrees")</f>
        <v>0</v>
      </c>
      <c r="V190" s="1">
        <f>IF(B190="", "", "Decimal degrees")</f>
        <v>0</v>
      </c>
      <c r="Y190" s="1">
        <f>IF(B190="", "", "other")</f>
        <v>0</v>
      </c>
      <c r="AB190" s="1">
        <f>IF(B190="", "", "Not applicable")</f>
        <v>0</v>
      </c>
    </row>
    <row r="191" spans="1:28">
      <c r="A191">
        <f>IF(COUNTBLANK(B191:AC191)&lt;&gt;COLUMNS(B191:AC191),190,"")</f>
        <v>0</v>
      </c>
      <c r="H191" s="2">
        <f>IF(B191="", "", "not provided")</f>
        <v>0</v>
      </c>
      <c r="I191" s="1">
        <f>IF(B191="", "", "meters")</f>
        <v>0</v>
      </c>
      <c r="T191" s="1">
        <f>IF(B191="", "", "Decimal degrees")</f>
        <v>0</v>
      </c>
      <c r="V191" s="1">
        <f>IF(B191="", "", "Decimal degrees")</f>
        <v>0</v>
      </c>
      <c r="Y191" s="1">
        <f>IF(B191="", "", "other")</f>
        <v>0</v>
      </c>
      <c r="AB191" s="1">
        <f>IF(B191="", "", "Not applicable")</f>
        <v>0</v>
      </c>
    </row>
    <row r="192" spans="1:28">
      <c r="A192">
        <f>IF(COUNTBLANK(B192:AC192)&lt;&gt;COLUMNS(B192:AC192),191,"")</f>
        <v>0</v>
      </c>
      <c r="H192" s="2">
        <f>IF(B192="", "", "not provided")</f>
        <v>0</v>
      </c>
      <c r="I192" s="1">
        <f>IF(B192="", "", "meters")</f>
        <v>0</v>
      </c>
      <c r="T192" s="1">
        <f>IF(B192="", "", "Decimal degrees")</f>
        <v>0</v>
      </c>
      <c r="V192" s="1">
        <f>IF(B192="", "", "Decimal degrees")</f>
        <v>0</v>
      </c>
      <c r="Y192" s="1">
        <f>IF(B192="", "", "other")</f>
        <v>0</v>
      </c>
      <c r="AB192" s="1">
        <f>IF(B192="", "", "Not applicable")</f>
        <v>0</v>
      </c>
    </row>
    <row r="193" spans="1:28">
      <c r="A193">
        <f>IF(COUNTBLANK(B193:AC193)&lt;&gt;COLUMNS(B193:AC193),192,"")</f>
        <v>0</v>
      </c>
      <c r="H193" s="2">
        <f>IF(B193="", "", "not provided")</f>
        <v>0</v>
      </c>
      <c r="I193" s="1">
        <f>IF(B193="", "", "meters")</f>
        <v>0</v>
      </c>
      <c r="T193" s="1">
        <f>IF(B193="", "", "Decimal degrees")</f>
        <v>0</v>
      </c>
      <c r="V193" s="1">
        <f>IF(B193="", "", "Decimal degrees")</f>
        <v>0</v>
      </c>
      <c r="Y193" s="1">
        <f>IF(B193="", "", "other")</f>
        <v>0</v>
      </c>
      <c r="AB193" s="1">
        <f>IF(B193="", "", "Not applicable")</f>
        <v>0</v>
      </c>
    </row>
    <row r="194" spans="1:28">
      <c r="A194">
        <f>IF(COUNTBLANK(B194:AC194)&lt;&gt;COLUMNS(B194:AC194),193,"")</f>
        <v>0</v>
      </c>
      <c r="H194" s="2">
        <f>IF(B194="", "", "not provided")</f>
        <v>0</v>
      </c>
      <c r="I194" s="1">
        <f>IF(B194="", "", "meters")</f>
        <v>0</v>
      </c>
      <c r="T194" s="1">
        <f>IF(B194="", "", "Decimal degrees")</f>
        <v>0</v>
      </c>
      <c r="V194" s="1">
        <f>IF(B194="", "", "Decimal degrees")</f>
        <v>0</v>
      </c>
      <c r="Y194" s="1">
        <f>IF(B194="", "", "other")</f>
        <v>0</v>
      </c>
      <c r="AB194" s="1">
        <f>IF(B194="", "", "Not applicable")</f>
        <v>0</v>
      </c>
    </row>
    <row r="195" spans="1:28">
      <c r="A195">
        <f>IF(COUNTBLANK(B195:AC195)&lt;&gt;COLUMNS(B195:AC195),194,"")</f>
        <v>0</v>
      </c>
      <c r="H195" s="2">
        <f>IF(B195="", "", "not provided")</f>
        <v>0</v>
      </c>
      <c r="I195" s="1">
        <f>IF(B195="", "", "meters")</f>
        <v>0</v>
      </c>
      <c r="T195" s="1">
        <f>IF(B195="", "", "Decimal degrees")</f>
        <v>0</v>
      </c>
      <c r="V195" s="1">
        <f>IF(B195="", "", "Decimal degrees")</f>
        <v>0</v>
      </c>
      <c r="Y195" s="1">
        <f>IF(B195="", "", "other")</f>
        <v>0</v>
      </c>
      <c r="AB195" s="1">
        <f>IF(B195="", "", "Not applicable")</f>
        <v>0</v>
      </c>
    </row>
    <row r="196" spans="1:28">
      <c r="A196">
        <f>IF(COUNTBLANK(B196:AC196)&lt;&gt;COLUMNS(B196:AC196),195,"")</f>
        <v>0</v>
      </c>
      <c r="H196" s="2">
        <f>IF(B196="", "", "not provided")</f>
        <v>0</v>
      </c>
      <c r="I196" s="1">
        <f>IF(B196="", "", "meters")</f>
        <v>0</v>
      </c>
      <c r="T196" s="1">
        <f>IF(B196="", "", "Decimal degrees")</f>
        <v>0</v>
      </c>
      <c r="V196" s="1">
        <f>IF(B196="", "", "Decimal degrees")</f>
        <v>0</v>
      </c>
      <c r="Y196" s="1">
        <f>IF(B196="", "", "other")</f>
        <v>0</v>
      </c>
      <c r="AB196" s="1">
        <f>IF(B196="", "", "Not applicable")</f>
        <v>0</v>
      </c>
    </row>
    <row r="197" spans="1:28">
      <c r="A197">
        <f>IF(COUNTBLANK(B197:AC197)&lt;&gt;COLUMNS(B197:AC197),196,"")</f>
        <v>0</v>
      </c>
      <c r="H197" s="2">
        <f>IF(B197="", "", "not provided")</f>
        <v>0</v>
      </c>
      <c r="I197" s="1">
        <f>IF(B197="", "", "meters")</f>
        <v>0</v>
      </c>
      <c r="T197" s="1">
        <f>IF(B197="", "", "Decimal degrees")</f>
        <v>0</v>
      </c>
      <c r="V197" s="1">
        <f>IF(B197="", "", "Decimal degrees")</f>
        <v>0</v>
      </c>
      <c r="Y197" s="1">
        <f>IF(B197="", "", "other")</f>
        <v>0</v>
      </c>
      <c r="AB197" s="1">
        <f>IF(B197="", "", "Not applicable")</f>
        <v>0</v>
      </c>
    </row>
    <row r="198" spans="1:28">
      <c r="A198">
        <f>IF(COUNTBLANK(B198:AC198)&lt;&gt;COLUMNS(B198:AC198),197,"")</f>
        <v>0</v>
      </c>
      <c r="H198" s="2">
        <f>IF(B198="", "", "not provided")</f>
        <v>0</v>
      </c>
      <c r="I198" s="1">
        <f>IF(B198="", "", "meters")</f>
        <v>0</v>
      </c>
      <c r="T198" s="1">
        <f>IF(B198="", "", "Decimal degrees")</f>
        <v>0</v>
      </c>
      <c r="V198" s="1">
        <f>IF(B198="", "", "Decimal degrees")</f>
        <v>0</v>
      </c>
      <c r="Y198" s="1">
        <f>IF(B198="", "", "other")</f>
        <v>0</v>
      </c>
      <c r="AB198" s="1">
        <f>IF(B198="", "", "Not applicable")</f>
        <v>0</v>
      </c>
    </row>
    <row r="199" spans="1:28">
      <c r="A199">
        <f>IF(COUNTBLANK(B199:AC199)&lt;&gt;COLUMNS(B199:AC199),198,"")</f>
        <v>0</v>
      </c>
      <c r="H199" s="2">
        <f>IF(B199="", "", "not provided")</f>
        <v>0</v>
      </c>
      <c r="I199" s="1">
        <f>IF(B199="", "", "meters")</f>
        <v>0</v>
      </c>
      <c r="T199" s="1">
        <f>IF(B199="", "", "Decimal degrees")</f>
        <v>0</v>
      </c>
      <c r="V199" s="1">
        <f>IF(B199="", "", "Decimal degrees")</f>
        <v>0</v>
      </c>
      <c r="Y199" s="1">
        <f>IF(B199="", "", "other")</f>
        <v>0</v>
      </c>
      <c r="AB199" s="1">
        <f>IF(B199="", "", "Not applicable")</f>
        <v>0</v>
      </c>
    </row>
    <row r="200" spans="1:28">
      <c r="A200">
        <f>IF(COUNTBLANK(B200:AC200)&lt;&gt;COLUMNS(B200:AC200),199,"")</f>
        <v>0</v>
      </c>
      <c r="H200" s="2">
        <f>IF(B200="", "", "not provided")</f>
        <v>0</v>
      </c>
      <c r="I200" s="1">
        <f>IF(B200="", "", "meters")</f>
        <v>0</v>
      </c>
      <c r="T200" s="1">
        <f>IF(B200="", "", "Decimal degrees")</f>
        <v>0</v>
      </c>
      <c r="V200" s="1">
        <f>IF(B200="", "", "Decimal degrees")</f>
        <v>0</v>
      </c>
      <c r="Y200" s="1">
        <f>IF(B200="", "", "other")</f>
        <v>0</v>
      </c>
      <c r="AB200" s="1">
        <f>IF(B200="", "", "Not applicable")</f>
        <v>0</v>
      </c>
    </row>
    <row r="201" spans="1:28">
      <c r="A201">
        <f>IF(COUNTBLANK(B201:AC201)&lt;&gt;COLUMNS(B201:AC201),200,"")</f>
        <v>0</v>
      </c>
      <c r="H201" s="2">
        <f>IF(B201="", "", "not provided")</f>
        <v>0</v>
      </c>
      <c r="I201" s="1">
        <f>IF(B201="", "", "meters")</f>
        <v>0</v>
      </c>
      <c r="T201" s="1">
        <f>IF(B201="", "", "Decimal degrees")</f>
        <v>0</v>
      </c>
      <c r="V201" s="1">
        <f>IF(B201="", "", "Decimal degrees")</f>
        <v>0</v>
      </c>
      <c r="Y201" s="1">
        <f>IF(B201="", "", "other")</f>
        <v>0</v>
      </c>
      <c r="AB201" s="1">
        <f>IF(B201="", "", "Not applicable")</f>
        <v>0</v>
      </c>
    </row>
    <row r="202" spans="1:28">
      <c r="A202">
        <f>IF(COUNTBLANK(B202:AC202)&lt;&gt;COLUMNS(B202:AC202),201,"")</f>
        <v>0</v>
      </c>
      <c r="H202" s="2">
        <f>IF(B202="", "", "not provided")</f>
        <v>0</v>
      </c>
      <c r="I202" s="1">
        <f>IF(B202="", "", "meters")</f>
        <v>0</v>
      </c>
      <c r="T202" s="1">
        <f>IF(B202="", "", "Decimal degrees")</f>
        <v>0</v>
      </c>
      <c r="V202" s="1">
        <f>IF(B202="", "", "Decimal degrees")</f>
        <v>0</v>
      </c>
      <c r="Y202" s="1">
        <f>IF(B202="", "", "other")</f>
        <v>0</v>
      </c>
      <c r="AB202" s="1">
        <f>IF(B202="", "", "Not applicable")</f>
        <v>0</v>
      </c>
    </row>
    <row r="203" spans="1:28">
      <c r="A203">
        <f>IF(COUNTBLANK(B203:AC203)&lt;&gt;COLUMNS(B203:AC203),202,"")</f>
        <v>0</v>
      </c>
      <c r="H203" s="2">
        <f>IF(B203="", "", "not provided")</f>
        <v>0</v>
      </c>
      <c r="I203" s="1">
        <f>IF(B203="", "", "meters")</f>
        <v>0</v>
      </c>
      <c r="T203" s="1">
        <f>IF(B203="", "", "Decimal degrees")</f>
        <v>0</v>
      </c>
      <c r="V203" s="1">
        <f>IF(B203="", "", "Decimal degrees")</f>
        <v>0</v>
      </c>
      <c r="Y203" s="1">
        <f>IF(B203="", "", "other")</f>
        <v>0</v>
      </c>
      <c r="AB203" s="1">
        <f>IF(B203="", "", "Not applicable")</f>
        <v>0</v>
      </c>
    </row>
    <row r="204" spans="1:28">
      <c r="A204">
        <f>IF(COUNTBLANK(B204:AC204)&lt;&gt;COLUMNS(B204:AC204),203,"")</f>
        <v>0</v>
      </c>
      <c r="H204" s="2">
        <f>IF(B204="", "", "not provided")</f>
        <v>0</v>
      </c>
      <c r="I204" s="1">
        <f>IF(B204="", "", "meters")</f>
        <v>0</v>
      </c>
      <c r="T204" s="1">
        <f>IF(B204="", "", "Decimal degrees")</f>
        <v>0</v>
      </c>
      <c r="V204" s="1">
        <f>IF(B204="", "", "Decimal degrees")</f>
        <v>0</v>
      </c>
      <c r="Y204" s="1">
        <f>IF(B204="", "", "other")</f>
        <v>0</v>
      </c>
      <c r="AB204" s="1">
        <f>IF(B204="", "", "Not applicable")</f>
        <v>0</v>
      </c>
    </row>
    <row r="205" spans="1:28">
      <c r="A205">
        <f>IF(COUNTBLANK(B205:AC205)&lt;&gt;COLUMNS(B205:AC205),204,"")</f>
        <v>0</v>
      </c>
      <c r="H205" s="2">
        <f>IF(B205="", "", "not provided")</f>
        <v>0</v>
      </c>
      <c r="I205" s="1">
        <f>IF(B205="", "", "meters")</f>
        <v>0</v>
      </c>
      <c r="T205" s="1">
        <f>IF(B205="", "", "Decimal degrees")</f>
        <v>0</v>
      </c>
      <c r="V205" s="1">
        <f>IF(B205="", "", "Decimal degrees")</f>
        <v>0</v>
      </c>
      <c r="Y205" s="1">
        <f>IF(B205="", "", "other")</f>
        <v>0</v>
      </c>
      <c r="AB205" s="1">
        <f>IF(B205="", "", "Not applicable")</f>
        <v>0</v>
      </c>
    </row>
    <row r="206" spans="1:28">
      <c r="A206">
        <f>IF(COUNTBLANK(B206:AC206)&lt;&gt;COLUMNS(B206:AC206),205,"")</f>
        <v>0</v>
      </c>
      <c r="H206" s="2">
        <f>IF(B206="", "", "not provided")</f>
        <v>0</v>
      </c>
      <c r="I206" s="1">
        <f>IF(B206="", "", "meters")</f>
        <v>0</v>
      </c>
      <c r="T206" s="1">
        <f>IF(B206="", "", "Decimal degrees")</f>
        <v>0</v>
      </c>
      <c r="V206" s="1">
        <f>IF(B206="", "", "Decimal degrees")</f>
        <v>0</v>
      </c>
      <c r="Y206" s="1">
        <f>IF(B206="", "", "other")</f>
        <v>0</v>
      </c>
      <c r="AB206" s="1">
        <f>IF(B206="", "", "Not applicable")</f>
        <v>0</v>
      </c>
    </row>
    <row r="207" spans="1:28">
      <c r="A207">
        <f>IF(COUNTBLANK(B207:AC207)&lt;&gt;COLUMNS(B207:AC207),206,"")</f>
        <v>0</v>
      </c>
      <c r="H207" s="2">
        <f>IF(B207="", "", "not provided")</f>
        <v>0</v>
      </c>
      <c r="I207" s="1">
        <f>IF(B207="", "", "meters")</f>
        <v>0</v>
      </c>
      <c r="T207" s="1">
        <f>IF(B207="", "", "Decimal degrees")</f>
        <v>0</v>
      </c>
      <c r="V207" s="1">
        <f>IF(B207="", "", "Decimal degrees")</f>
        <v>0</v>
      </c>
      <c r="Y207" s="1">
        <f>IF(B207="", "", "other")</f>
        <v>0</v>
      </c>
      <c r="AB207" s="1">
        <f>IF(B207="", "", "Not applicable")</f>
        <v>0</v>
      </c>
    </row>
    <row r="208" spans="1:28">
      <c r="A208">
        <f>IF(COUNTBLANK(B208:AC208)&lt;&gt;COLUMNS(B208:AC208),207,"")</f>
        <v>0</v>
      </c>
      <c r="H208" s="2">
        <f>IF(B208="", "", "not provided")</f>
        <v>0</v>
      </c>
      <c r="I208" s="1">
        <f>IF(B208="", "", "meters")</f>
        <v>0</v>
      </c>
      <c r="T208" s="1">
        <f>IF(B208="", "", "Decimal degrees")</f>
        <v>0</v>
      </c>
      <c r="V208" s="1">
        <f>IF(B208="", "", "Decimal degrees")</f>
        <v>0</v>
      </c>
      <c r="Y208" s="1">
        <f>IF(B208="", "", "other")</f>
        <v>0</v>
      </c>
      <c r="AB208" s="1">
        <f>IF(B208="", "", "Not applicable")</f>
        <v>0</v>
      </c>
    </row>
    <row r="209" spans="1:28">
      <c r="A209">
        <f>IF(COUNTBLANK(B209:AC209)&lt;&gt;COLUMNS(B209:AC209),208,"")</f>
        <v>0</v>
      </c>
      <c r="H209" s="2">
        <f>IF(B209="", "", "not provided")</f>
        <v>0</v>
      </c>
      <c r="I209" s="1">
        <f>IF(B209="", "", "meters")</f>
        <v>0</v>
      </c>
      <c r="T209" s="1">
        <f>IF(B209="", "", "Decimal degrees")</f>
        <v>0</v>
      </c>
      <c r="V209" s="1">
        <f>IF(B209="", "", "Decimal degrees")</f>
        <v>0</v>
      </c>
      <c r="Y209" s="1">
        <f>IF(B209="", "", "other")</f>
        <v>0</v>
      </c>
      <c r="AB209" s="1">
        <f>IF(B209="", "", "Not applicable")</f>
        <v>0</v>
      </c>
    </row>
    <row r="210" spans="1:28">
      <c r="A210">
        <f>IF(COUNTBLANK(B210:AC210)&lt;&gt;COLUMNS(B210:AC210),209,"")</f>
        <v>0</v>
      </c>
      <c r="H210" s="2">
        <f>IF(B210="", "", "not provided")</f>
        <v>0</v>
      </c>
      <c r="I210" s="1">
        <f>IF(B210="", "", "meters")</f>
        <v>0</v>
      </c>
      <c r="T210" s="1">
        <f>IF(B210="", "", "Decimal degrees")</f>
        <v>0</v>
      </c>
      <c r="V210" s="1">
        <f>IF(B210="", "", "Decimal degrees")</f>
        <v>0</v>
      </c>
      <c r="Y210" s="1">
        <f>IF(B210="", "", "other")</f>
        <v>0</v>
      </c>
      <c r="AB210" s="1">
        <f>IF(B210="", "", "Not applicable")</f>
        <v>0</v>
      </c>
    </row>
    <row r="211" spans="1:28">
      <c r="A211">
        <f>IF(COUNTBLANK(B211:AC211)&lt;&gt;COLUMNS(B211:AC211),210,"")</f>
        <v>0</v>
      </c>
      <c r="H211" s="2">
        <f>IF(B211="", "", "not provided")</f>
        <v>0</v>
      </c>
      <c r="I211" s="1">
        <f>IF(B211="", "", "meters")</f>
        <v>0</v>
      </c>
      <c r="T211" s="1">
        <f>IF(B211="", "", "Decimal degrees")</f>
        <v>0</v>
      </c>
      <c r="V211" s="1">
        <f>IF(B211="", "", "Decimal degrees")</f>
        <v>0</v>
      </c>
      <c r="Y211" s="1">
        <f>IF(B211="", "", "other")</f>
        <v>0</v>
      </c>
      <c r="AB211" s="1">
        <f>IF(B211="", "", "Not applicable")</f>
        <v>0</v>
      </c>
    </row>
    <row r="212" spans="1:28">
      <c r="A212">
        <f>IF(COUNTBLANK(B212:AC212)&lt;&gt;COLUMNS(B212:AC212),211,"")</f>
        <v>0</v>
      </c>
      <c r="H212" s="2">
        <f>IF(B212="", "", "not provided")</f>
        <v>0</v>
      </c>
      <c r="I212" s="1">
        <f>IF(B212="", "", "meters")</f>
        <v>0</v>
      </c>
      <c r="T212" s="1">
        <f>IF(B212="", "", "Decimal degrees")</f>
        <v>0</v>
      </c>
      <c r="V212" s="1">
        <f>IF(B212="", "", "Decimal degrees")</f>
        <v>0</v>
      </c>
      <c r="Y212" s="1">
        <f>IF(B212="", "", "other")</f>
        <v>0</v>
      </c>
      <c r="AB212" s="1">
        <f>IF(B212="", "", "Not applicable")</f>
        <v>0</v>
      </c>
    </row>
    <row r="213" spans="1:28">
      <c r="A213">
        <f>IF(COUNTBLANK(B213:AC213)&lt;&gt;COLUMNS(B213:AC213),212,"")</f>
        <v>0</v>
      </c>
      <c r="H213" s="2">
        <f>IF(B213="", "", "not provided")</f>
        <v>0</v>
      </c>
      <c r="I213" s="1">
        <f>IF(B213="", "", "meters")</f>
        <v>0</v>
      </c>
      <c r="T213" s="1">
        <f>IF(B213="", "", "Decimal degrees")</f>
        <v>0</v>
      </c>
      <c r="V213" s="1">
        <f>IF(B213="", "", "Decimal degrees")</f>
        <v>0</v>
      </c>
      <c r="Y213" s="1">
        <f>IF(B213="", "", "other")</f>
        <v>0</v>
      </c>
      <c r="AB213" s="1">
        <f>IF(B213="", "", "Not applicable")</f>
        <v>0</v>
      </c>
    </row>
    <row r="214" spans="1:28">
      <c r="A214">
        <f>IF(COUNTBLANK(B214:AC214)&lt;&gt;COLUMNS(B214:AC214),213,"")</f>
        <v>0</v>
      </c>
      <c r="H214" s="2">
        <f>IF(B214="", "", "not provided")</f>
        <v>0</v>
      </c>
      <c r="I214" s="1">
        <f>IF(B214="", "", "meters")</f>
        <v>0</v>
      </c>
      <c r="T214" s="1">
        <f>IF(B214="", "", "Decimal degrees")</f>
        <v>0</v>
      </c>
      <c r="V214" s="1">
        <f>IF(B214="", "", "Decimal degrees")</f>
        <v>0</v>
      </c>
      <c r="Y214" s="1">
        <f>IF(B214="", "", "other")</f>
        <v>0</v>
      </c>
      <c r="AB214" s="1">
        <f>IF(B214="", "", "Not applicable")</f>
        <v>0</v>
      </c>
    </row>
    <row r="215" spans="1:28">
      <c r="A215">
        <f>IF(COUNTBLANK(B215:AC215)&lt;&gt;COLUMNS(B215:AC215),214,"")</f>
        <v>0</v>
      </c>
      <c r="H215" s="2">
        <f>IF(B215="", "", "not provided")</f>
        <v>0</v>
      </c>
      <c r="I215" s="1">
        <f>IF(B215="", "", "meters")</f>
        <v>0</v>
      </c>
      <c r="T215" s="1">
        <f>IF(B215="", "", "Decimal degrees")</f>
        <v>0</v>
      </c>
      <c r="V215" s="1">
        <f>IF(B215="", "", "Decimal degrees")</f>
        <v>0</v>
      </c>
      <c r="Y215" s="1">
        <f>IF(B215="", "", "other")</f>
        <v>0</v>
      </c>
      <c r="AB215" s="1">
        <f>IF(B215="", "", "Not applicable")</f>
        <v>0</v>
      </c>
    </row>
    <row r="216" spans="1:28">
      <c r="A216">
        <f>IF(COUNTBLANK(B216:AC216)&lt;&gt;COLUMNS(B216:AC216),215,"")</f>
        <v>0</v>
      </c>
      <c r="H216" s="2">
        <f>IF(B216="", "", "not provided")</f>
        <v>0</v>
      </c>
      <c r="I216" s="1">
        <f>IF(B216="", "", "meters")</f>
        <v>0</v>
      </c>
      <c r="T216" s="1">
        <f>IF(B216="", "", "Decimal degrees")</f>
        <v>0</v>
      </c>
      <c r="V216" s="1">
        <f>IF(B216="", "", "Decimal degrees")</f>
        <v>0</v>
      </c>
      <c r="Y216" s="1">
        <f>IF(B216="", "", "other")</f>
        <v>0</v>
      </c>
      <c r="AB216" s="1">
        <f>IF(B216="", "", "Not applicable")</f>
        <v>0</v>
      </c>
    </row>
    <row r="217" spans="1:28">
      <c r="A217">
        <f>IF(COUNTBLANK(B217:AC217)&lt;&gt;COLUMNS(B217:AC217),216,"")</f>
        <v>0</v>
      </c>
      <c r="H217" s="2">
        <f>IF(B217="", "", "not provided")</f>
        <v>0</v>
      </c>
      <c r="I217" s="1">
        <f>IF(B217="", "", "meters")</f>
        <v>0</v>
      </c>
      <c r="T217" s="1">
        <f>IF(B217="", "", "Decimal degrees")</f>
        <v>0</v>
      </c>
      <c r="V217" s="1">
        <f>IF(B217="", "", "Decimal degrees")</f>
        <v>0</v>
      </c>
      <c r="Y217" s="1">
        <f>IF(B217="", "", "other")</f>
        <v>0</v>
      </c>
      <c r="AB217" s="1">
        <f>IF(B217="", "", "Not applicable")</f>
        <v>0</v>
      </c>
    </row>
    <row r="218" spans="1:28">
      <c r="A218">
        <f>IF(COUNTBLANK(B218:AC218)&lt;&gt;COLUMNS(B218:AC218),217,"")</f>
        <v>0</v>
      </c>
      <c r="H218" s="2">
        <f>IF(B218="", "", "not provided")</f>
        <v>0</v>
      </c>
      <c r="I218" s="1">
        <f>IF(B218="", "", "meters")</f>
        <v>0</v>
      </c>
      <c r="T218" s="1">
        <f>IF(B218="", "", "Decimal degrees")</f>
        <v>0</v>
      </c>
      <c r="V218" s="1">
        <f>IF(B218="", "", "Decimal degrees")</f>
        <v>0</v>
      </c>
      <c r="Y218" s="1">
        <f>IF(B218="", "", "other")</f>
        <v>0</v>
      </c>
      <c r="AB218" s="1">
        <f>IF(B218="", "", "Not applicable")</f>
        <v>0</v>
      </c>
    </row>
    <row r="219" spans="1:28">
      <c r="A219">
        <f>IF(COUNTBLANK(B219:AC219)&lt;&gt;COLUMNS(B219:AC219),218,"")</f>
        <v>0</v>
      </c>
      <c r="H219" s="2">
        <f>IF(B219="", "", "not provided")</f>
        <v>0</v>
      </c>
      <c r="I219" s="1">
        <f>IF(B219="", "", "meters")</f>
        <v>0</v>
      </c>
      <c r="T219" s="1">
        <f>IF(B219="", "", "Decimal degrees")</f>
        <v>0</v>
      </c>
      <c r="V219" s="1">
        <f>IF(B219="", "", "Decimal degrees")</f>
        <v>0</v>
      </c>
      <c r="Y219" s="1">
        <f>IF(B219="", "", "other")</f>
        <v>0</v>
      </c>
      <c r="AB219" s="1">
        <f>IF(B219="", "", "Not applicable")</f>
        <v>0</v>
      </c>
    </row>
    <row r="220" spans="1:28">
      <c r="A220">
        <f>IF(COUNTBLANK(B220:AC220)&lt;&gt;COLUMNS(B220:AC220),219,"")</f>
        <v>0</v>
      </c>
      <c r="H220" s="2">
        <f>IF(B220="", "", "not provided")</f>
        <v>0</v>
      </c>
      <c r="I220" s="1">
        <f>IF(B220="", "", "meters")</f>
        <v>0</v>
      </c>
      <c r="T220" s="1">
        <f>IF(B220="", "", "Decimal degrees")</f>
        <v>0</v>
      </c>
      <c r="V220" s="1">
        <f>IF(B220="", "", "Decimal degrees")</f>
        <v>0</v>
      </c>
      <c r="Y220" s="1">
        <f>IF(B220="", "", "other")</f>
        <v>0</v>
      </c>
      <c r="AB220" s="1">
        <f>IF(B220="", "", "Not applicable")</f>
        <v>0</v>
      </c>
    </row>
    <row r="221" spans="1:28">
      <c r="A221">
        <f>IF(COUNTBLANK(B221:AC221)&lt;&gt;COLUMNS(B221:AC221),220,"")</f>
        <v>0</v>
      </c>
      <c r="H221" s="2">
        <f>IF(B221="", "", "not provided")</f>
        <v>0</v>
      </c>
      <c r="I221" s="1">
        <f>IF(B221="", "", "meters")</f>
        <v>0</v>
      </c>
      <c r="T221" s="1">
        <f>IF(B221="", "", "Decimal degrees")</f>
        <v>0</v>
      </c>
      <c r="V221" s="1">
        <f>IF(B221="", "", "Decimal degrees")</f>
        <v>0</v>
      </c>
      <c r="Y221" s="1">
        <f>IF(B221="", "", "other")</f>
        <v>0</v>
      </c>
      <c r="AB221" s="1">
        <f>IF(B221="", "", "Not applicable")</f>
        <v>0</v>
      </c>
    </row>
    <row r="222" spans="1:28">
      <c r="A222">
        <f>IF(COUNTBLANK(B222:AC222)&lt;&gt;COLUMNS(B222:AC222),221,"")</f>
        <v>0</v>
      </c>
      <c r="H222" s="2">
        <f>IF(B222="", "", "not provided")</f>
        <v>0</v>
      </c>
      <c r="I222" s="1">
        <f>IF(B222="", "", "meters")</f>
        <v>0</v>
      </c>
      <c r="T222" s="1">
        <f>IF(B222="", "", "Decimal degrees")</f>
        <v>0</v>
      </c>
      <c r="V222" s="1">
        <f>IF(B222="", "", "Decimal degrees")</f>
        <v>0</v>
      </c>
      <c r="Y222" s="1">
        <f>IF(B222="", "", "other")</f>
        <v>0</v>
      </c>
      <c r="AB222" s="1">
        <f>IF(B222="", "", "Not applicable")</f>
        <v>0</v>
      </c>
    </row>
    <row r="223" spans="1:28">
      <c r="A223">
        <f>IF(COUNTBLANK(B223:AC223)&lt;&gt;COLUMNS(B223:AC223),222,"")</f>
        <v>0</v>
      </c>
      <c r="H223" s="2">
        <f>IF(B223="", "", "not provided")</f>
        <v>0</v>
      </c>
      <c r="I223" s="1">
        <f>IF(B223="", "", "meters")</f>
        <v>0</v>
      </c>
      <c r="T223" s="1">
        <f>IF(B223="", "", "Decimal degrees")</f>
        <v>0</v>
      </c>
      <c r="V223" s="1">
        <f>IF(B223="", "", "Decimal degrees")</f>
        <v>0</v>
      </c>
      <c r="Y223" s="1">
        <f>IF(B223="", "", "other")</f>
        <v>0</v>
      </c>
      <c r="AB223" s="1">
        <f>IF(B223="", "", "Not applicable")</f>
        <v>0</v>
      </c>
    </row>
    <row r="224" spans="1:28">
      <c r="A224">
        <f>IF(COUNTBLANK(B224:AC224)&lt;&gt;COLUMNS(B224:AC224),223,"")</f>
        <v>0</v>
      </c>
      <c r="H224" s="2">
        <f>IF(B224="", "", "not provided")</f>
        <v>0</v>
      </c>
      <c r="I224" s="1">
        <f>IF(B224="", "", "meters")</f>
        <v>0</v>
      </c>
      <c r="T224" s="1">
        <f>IF(B224="", "", "Decimal degrees")</f>
        <v>0</v>
      </c>
      <c r="V224" s="1">
        <f>IF(B224="", "", "Decimal degrees")</f>
        <v>0</v>
      </c>
      <c r="Y224" s="1">
        <f>IF(B224="", "", "other")</f>
        <v>0</v>
      </c>
      <c r="AB224" s="1">
        <f>IF(B224="", "", "Not applicable")</f>
        <v>0</v>
      </c>
    </row>
    <row r="225" spans="1:28">
      <c r="A225">
        <f>IF(COUNTBLANK(B225:AC225)&lt;&gt;COLUMNS(B225:AC225),224,"")</f>
        <v>0</v>
      </c>
      <c r="H225" s="2">
        <f>IF(B225="", "", "not provided")</f>
        <v>0</v>
      </c>
      <c r="I225" s="1">
        <f>IF(B225="", "", "meters")</f>
        <v>0</v>
      </c>
      <c r="T225" s="1">
        <f>IF(B225="", "", "Decimal degrees")</f>
        <v>0</v>
      </c>
      <c r="V225" s="1">
        <f>IF(B225="", "", "Decimal degrees")</f>
        <v>0</v>
      </c>
      <c r="Y225" s="1">
        <f>IF(B225="", "", "other")</f>
        <v>0</v>
      </c>
      <c r="AB225" s="1">
        <f>IF(B225="", "", "Not applicable")</f>
        <v>0</v>
      </c>
    </row>
    <row r="226" spans="1:28">
      <c r="A226">
        <f>IF(COUNTBLANK(B226:AC226)&lt;&gt;COLUMNS(B226:AC226),225,"")</f>
        <v>0</v>
      </c>
      <c r="H226" s="2">
        <f>IF(B226="", "", "not provided")</f>
        <v>0</v>
      </c>
      <c r="I226" s="1">
        <f>IF(B226="", "", "meters")</f>
        <v>0</v>
      </c>
      <c r="T226" s="1">
        <f>IF(B226="", "", "Decimal degrees")</f>
        <v>0</v>
      </c>
      <c r="V226" s="1">
        <f>IF(B226="", "", "Decimal degrees")</f>
        <v>0</v>
      </c>
      <c r="Y226" s="1">
        <f>IF(B226="", "", "other")</f>
        <v>0</v>
      </c>
      <c r="AB226" s="1">
        <f>IF(B226="", "", "Not applicable")</f>
        <v>0</v>
      </c>
    </row>
    <row r="227" spans="1:28">
      <c r="A227">
        <f>IF(COUNTBLANK(B227:AC227)&lt;&gt;COLUMNS(B227:AC227),226,"")</f>
        <v>0</v>
      </c>
      <c r="H227" s="2">
        <f>IF(B227="", "", "not provided")</f>
        <v>0</v>
      </c>
      <c r="I227" s="1">
        <f>IF(B227="", "", "meters")</f>
        <v>0</v>
      </c>
      <c r="T227" s="1">
        <f>IF(B227="", "", "Decimal degrees")</f>
        <v>0</v>
      </c>
      <c r="V227" s="1">
        <f>IF(B227="", "", "Decimal degrees")</f>
        <v>0</v>
      </c>
      <c r="Y227" s="1">
        <f>IF(B227="", "", "other")</f>
        <v>0</v>
      </c>
      <c r="AB227" s="1">
        <f>IF(B227="", "", "Not applicable")</f>
        <v>0</v>
      </c>
    </row>
    <row r="228" spans="1:28">
      <c r="A228">
        <f>IF(COUNTBLANK(B228:AC228)&lt;&gt;COLUMNS(B228:AC228),227,"")</f>
        <v>0</v>
      </c>
      <c r="H228" s="2">
        <f>IF(B228="", "", "not provided")</f>
        <v>0</v>
      </c>
      <c r="I228" s="1">
        <f>IF(B228="", "", "meters")</f>
        <v>0</v>
      </c>
      <c r="T228" s="1">
        <f>IF(B228="", "", "Decimal degrees")</f>
        <v>0</v>
      </c>
      <c r="V228" s="1">
        <f>IF(B228="", "", "Decimal degrees")</f>
        <v>0</v>
      </c>
      <c r="Y228" s="1">
        <f>IF(B228="", "", "other")</f>
        <v>0</v>
      </c>
      <c r="AB228" s="1">
        <f>IF(B228="", "", "Not applicable")</f>
        <v>0</v>
      </c>
    </row>
    <row r="229" spans="1:28">
      <c r="A229">
        <f>IF(COUNTBLANK(B229:AC229)&lt;&gt;COLUMNS(B229:AC229),228,"")</f>
        <v>0</v>
      </c>
      <c r="H229" s="2">
        <f>IF(B229="", "", "not provided")</f>
        <v>0</v>
      </c>
      <c r="I229" s="1">
        <f>IF(B229="", "", "meters")</f>
        <v>0</v>
      </c>
      <c r="T229" s="1">
        <f>IF(B229="", "", "Decimal degrees")</f>
        <v>0</v>
      </c>
      <c r="V229" s="1">
        <f>IF(B229="", "", "Decimal degrees")</f>
        <v>0</v>
      </c>
      <c r="Y229" s="1">
        <f>IF(B229="", "", "other")</f>
        <v>0</v>
      </c>
      <c r="AB229" s="1">
        <f>IF(B229="", "", "Not applicable")</f>
        <v>0</v>
      </c>
    </row>
    <row r="230" spans="1:28">
      <c r="A230">
        <f>IF(COUNTBLANK(B230:AC230)&lt;&gt;COLUMNS(B230:AC230),229,"")</f>
        <v>0</v>
      </c>
      <c r="H230" s="2">
        <f>IF(B230="", "", "not provided")</f>
        <v>0</v>
      </c>
      <c r="I230" s="1">
        <f>IF(B230="", "", "meters")</f>
        <v>0</v>
      </c>
      <c r="T230" s="1">
        <f>IF(B230="", "", "Decimal degrees")</f>
        <v>0</v>
      </c>
      <c r="V230" s="1">
        <f>IF(B230="", "", "Decimal degrees")</f>
        <v>0</v>
      </c>
      <c r="Y230" s="1">
        <f>IF(B230="", "", "other")</f>
        <v>0</v>
      </c>
      <c r="AB230" s="1">
        <f>IF(B230="", "", "Not applicable")</f>
        <v>0</v>
      </c>
    </row>
    <row r="231" spans="1:28">
      <c r="A231">
        <f>IF(COUNTBLANK(B231:AC231)&lt;&gt;COLUMNS(B231:AC231),230,"")</f>
        <v>0</v>
      </c>
      <c r="H231" s="2">
        <f>IF(B231="", "", "not provided")</f>
        <v>0</v>
      </c>
      <c r="I231" s="1">
        <f>IF(B231="", "", "meters")</f>
        <v>0</v>
      </c>
      <c r="T231" s="1">
        <f>IF(B231="", "", "Decimal degrees")</f>
        <v>0</v>
      </c>
      <c r="V231" s="1">
        <f>IF(B231="", "", "Decimal degrees")</f>
        <v>0</v>
      </c>
      <c r="Y231" s="1">
        <f>IF(B231="", "", "other")</f>
        <v>0</v>
      </c>
      <c r="AB231" s="1">
        <f>IF(B231="", "", "Not applicable")</f>
        <v>0</v>
      </c>
    </row>
    <row r="232" spans="1:28">
      <c r="A232">
        <f>IF(COUNTBLANK(B232:AC232)&lt;&gt;COLUMNS(B232:AC232),231,"")</f>
        <v>0</v>
      </c>
      <c r="H232" s="2">
        <f>IF(B232="", "", "not provided")</f>
        <v>0</v>
      </c>
      <c r="I232" s="1">
        <f>IF(B232="", "", "meters")</f>
        <v>0</v>
      </c>
      <c r="T232" s="1">
        <f>IF(B232="", "", "Decimal degrees")</f>
        <v>0</v>
      </c>
      <c r="V232" s="1">
        <f>IF(B232="", "", "Decimal degrees")</f>
        <v>0</v>
      </c>
      <c r="Y232" s="1">
        <f>IF(B232="", "", "other")</f>
        <v>0</v>
      </c>
      <c r="AB232" s="1">
        <f>IF(B232="", "", "Not applicable")</f>
        <v>0</v>
      </c>
    </row>
    <row r="233" spans="1:28">
      <c r="A233">
        <f>IF(COUNTBLANK(B233:AC233)&lt;&gt;COLUMNS(B233:AC233),232,"")</f>
        <v>0</v>
      </c>
      <c r="H233" s="2">
        <f>IF(B233="", "", "not provided")</f>
        <v>0</v>
      </c>
      <c r="I233" s="1">
        <f>IF(B233="", "", "meters")</f>
        <v>0</v>
      </c>
      <c r="T233" s="1">
        <f>IF(B233="", "", "Decimal degrees")</f>
        <v>0</v>
      </c>
      <c r="V233" s="1">
        <f>IF(B233="", "", "Decimal degrees")</f>
        <v>0</v>
      </c>
      <c r="Y233" s="1">
        <f>IF(B233="", "", "other")</f>
        <v>0</v>
      </c>
      <c r="AB233" s="1">
        <f>IF(B233="", "", "Not applicable")</f>
        <v>0</v>
      </c>
    </row>
    <row r="234" spans="1:28">
      <c r="A234">
        <f>IF(COUNTBLANK(B234:AC234)&lt;&gt;COLUMNS(B234:AC234),233,"")</f>
        <v>0</v>
      </c>
      <c r="H234" s="2">
        <f>IF(B234="", "", "not provided")</f>
        <v>0</v>
      </c>
      <c r="I234" s="1">
        <f>IF(B234="", "", "meters")</f>
        <v>0</v>
      </c>
      <c r="T234" s="1">
        <f>IF(B234="", "", "Decimal degrees")</f>
        <v>0</v>
      </c>
      <c r="V234" s="1">
        <f>IF(B234="", "", "Decimal degrees")</f>
        <v>0</v>
      </c>
      <c r="Y234" s="1">
        <f>IF(B234="", "", "other")</f>
        <v>0</v>
      </c>
      <c r="AB234" s="1">
        <f>IF(B234="", "", "Not applicable")</f>
        <v>0</v>
      </c>
    </row>
    <row r="235" spans="1:28">
      <c r="A235">
        <f>IF(COUNTBLANK(B235:AC235)&lt;&gt;COLUMNS(B235:AC235),234,"")</f>
        <v>0</v>
      </c>
      <c r="H235" s="2">
        <f>IF(B235="", "", "not provided")</f>
        <v>0</v>
      </c>
      <c r="I235" s="1">
        <f>IF(B235="", "", "meters")</f>
        <v>0</v>
      </c>
      <c r="T235" s="1">
        <f>IF(B235="", "", "Decimal degrees")</f>
        <v>0</v>
      </c>
      <c r="V235" s="1">
        <f>IF(B235="", "", "Decimal degrees")</f>
        <v>0</v>
      </c>
      <c r="Y235" s="1">
        <f>IF(B235="", "", "other")</f>
        <v>0</v>
      </c>
      <c r="AB235" s="1">
        <f>IF(B235="", "", "Not applicable")</f>
        <v>0</v>
      </c>
    </row>
    <row r="236" spans="1:28">
      <c r="A236">
        <f>IF(COUNTBLANK(B236:AC236)&lt;&gt;COLUMNS(B236:AC236),235,"")</f>
        <v>0</v>
      </c>
      <c r="H236" s="2">
        <f>IF(B236="", "", "not provided")</f>
        <v>0</v>
      </c>
      <c r="I236" s="1">
        <f>IF(B236="", "", "meters")</f>
        <v>0</v>
      </c>
      <c r="T236" s="1">
        <f>IF(B236="", "", "Decimal degrees")</f>
        <v>0</v>
      </c>
      <c r="V236" s="1">
        <f>IF(B236="", "", "Decimal degrees")</f>
        <v>0</v>
      </c>
      <c r="Y236" s="1">
        <f>IF(B236="", "", "other")</f>
        <v>0</v>
      </c>
      <c r="AB236" s="1">
        <f>IF(B236="", "", "Not applicable")</f>
        <v>0</v>
      </c>
    </row>
    <row r="237" spans="1:28">
      <c r="A237">
        <f>IF(COUNTBLANK(B237:AC237)&lt;&gt;COLUMNS(B237:AC237),236,"")</f>
        <v>0</v>
      </c>
      <c r="H237" s="2">
        <f>IF(B237="", "", "not provided")</f>
        <v>0</v>
      </c>
      <c r="I237" s="1">
        <f>IF(B237="", "", "meters")</f>
        <v>0</v>
      </c>
      <c r="T237" s="1">
        <f>IF(B237="", "", "Decimal degrees")</f>
        <v>0</v>
      </c>
      <c r="V237" s="1">
        <f>IF(B237="", "", "Decimal degrees")</f>
        <v>0</v>
      </c>
      <c r="Y237" s="1">
        <f>IF(B237="", "", "other")</f>
        <v>0</v>
      </c>
      <c r="AB237" s="1">
        <f>IF(B237="", "", "Not applicable")</f>
        <v>0</v>
      </c>
    </row>
    <row r="238" spans="1:28">
      <c r="A238">
        <f>IF(COUNTBLANK(B238:AC238)&lt;&gt;COLUMNS(B238:AC238),237,"")</f>
        <v>0</v>
      </c>
      <c r="H238" s="2">
        <f>IF(B238="", "", "not provided")</f>
        <v>0</v>
      </c>
      <c r="I238" s="1">
        <f>IF(B238="", "", "meters")</f>
        <v>0</v>
      </c>
      <c r="T238" s="1">
        <f>IF(B238="", "", "Decimal degrees")</f>
        <v>0</v>
      </c>
      <c r="V238" s="1">
        <f>IF(B238="", "", "Decimal degrees")</f>
        <v>0</v>
      </c>
      <c r="Y238" s="1">
        <f>IF(B238="", "", "other")</f>
        <v>0</v>
      </c>
      <c r="AB238" s="1">
        <f>IF(B238="", "", "Not applicable")</f>
        <v>0</v>
      </c>
    </row>
    <row r="239" spans="1:28">
      <c r="A239">
        <f>IF(COUNTBLANK(B239:AC239)&lt;&gt;COLUMNS(B239:AC239),238,"")</f>
        <v>0</v>
      </c>
      <c r="H239" s="2">
        <f>IF(B239="", "", "not provided")</f>
        <v>0</v>
      </c>
      <c r="I239" s="1">
        <f>IF(B239="", "", "meters")</f>
        <v>0</v>
      </c>
      <c r="T239" s="1">
        <f>IF(B239="", "", "Decimal degrees")</f>
        <v>0</v>
      </c>
      <c r="V239" s="1">
        <f>IF(B239="", "", "Decimal degrees")</f>
        <v>0</v>
      </c>
      <c r="Y239" s="1">
        <f>IF(B239="", "", "other")</f>
        <v>0</v>
      </c>
      <c r="AB239" s="1">
        <f>IF(B239="", "", "Not applicable")</f>
        <v>0</v>
      </c>
    </row>
    <row r="240" spans="1:28">
      <c r="A240">
        <f>IF(COUNTBLANK(B240:AC240)&lt;&gt;COLUMNS(B240:AC240),239,"")</f>
        <v>0</v>
      </c>
      <c r="H240" s="2">
        <f>IF(B240="", "", "not provided")</f>
        <v>0</v>
      </c>
      <c r="I240" s="1">
        <f>IF(B240="", "", "meters")</f>
        <v>0</v>
      </c>
      <c r="T240" s="1">
        <f>IF(B240="", "", "Decimal degrees")</f>
        <v>0</v>
      </c>
      <c r="V240" s="1">
        <f>IF(B240="", "", "Decimal degrees")</f>
        <v>0</v>
      </c>
      <c r="Y240" s="1">
        <f>IF(B240="", "", "other")</f>
        <v>0</v>
      </c>
      <c r="AB240" s="1">
        <f>IF(B240="", "", "Not applicable")</f>
        <v>0</v>
      </c>
    </row>
    <row r="241" spans="1:28">
      <c r="A241">
        <f>IF(COUNTBLANK(B241:AC241)&lt;&gt;COLUMNS(B241:AC241),240,"")</f>
        <v>0</v>
      </c>
      <c r="H241" s="2">
        <f>IF(B241="", "", "not provided")</f>
        <v>0</v>
      </c>
      <c r="I241" s="1">
        <f>IF(B241="", "", "meters")</f>
        <v>0</v>
      </c>
      <c r="T241" s="1">
        <f>IF(B241="", "", "Decimal degrees")</f>
        <v>0</v>
      </c>
      <c r="V241" s="1">
        <f>IF(B241="", "", "Decimal degrees")</f>
        <v>0</v>
      </c>
      <c r="Y241" s="1">
        <f>IF(B241="", "", "other")</f>
        <v>0</v>
      </c>
      <c r="AB241" s="1">
        <f>IF(B241="", "", "Not applicable")</f>
        <v>0</v>
      </c>
    </row>
    <row r="242" spans="1:28">
      <c r="A242">
        <f>IF(COUNTBLANK(B242:AC242)&lt;&gt;COLUMNS(B242:AC242),241,"")</f>
        <v>0</v>
      </c>
      <c r="H242" s="2">
        <f>IF(B242="", "", "not provided")</f>
        <v>0</v>
      </c>
      <c r="I242" s="1">
        <f>IF(B242="", "", "meters")</f>
        <v>0</v>
      </c>
      <c r="T242" s="1">
        <f>IF(B242="", "", "Decimal degrees")</f>
        <v>0</v>
      </c>
      <c r="V242" s="1">
        <f>IF(B242="", "", "Decimal degrees")</f>
        <v>0</v>
      </c>
      <c r="Y242" s="1">
        <f>IF(B242="", "", "other")</f>
        <v>0</v>
      </c>
      <c r="AB242" s="1">
        <f>IF(B242="", "", "Not applicable")</f>
        <v>0</v>
      </c>
    </row>
    <row r="243" spans="1:28">
      <c r="A243">
        <f>IF(COUNTBLANK(B243:AC243)&lt;&gt;COLUMNS(B243:AC243),242,"")</f>
        <v>0</v>
      </c>
      <c r="H243" s="2">
        <f>IF(B243="", "", "not provided")</f>
        <v>0</v>
      </c>
      <c r="I243" s="1">
        <f>IF(B243="", "", "meters")</f>
        <v>0</v>
      </c>
      <c r="T243" s="1">
        <f>IF(B243="", "", "Decimal degrees")</f>
        <v>0</v>
      </c>
      <c r="V243" s="1">
        <f>IF(B243="", "", "Decimal degrees")</f>
        <v>0</v>
      </c>
      <c r="Y243" s="1">
        <f>IF(B243="", "", "other")</f>
        <v>0</v>
      </c>
      <c r="AB243" s="1">
        <f>IF(B243="", "", "Not applicable")</f>
        <v>0</v>
      </c>
    </row>
    <row r="244" spans="1:28">
      <c r="A244">
        <f>IF(COUNTBLANK(B244:AC244)&lt;&gt;COLUMNS(B244:AC244),243,"")</f>
        <v>0</v>
      </c>
      <c r="H244" s="2">
        <f>IF(B244="", "", "not provided")</f>
        <v>0</v>
      </c>
      <c r="I244" s="1">
        <f>IF(B244="", "", "meters")</f>
        <v>0</v>
      </c>
      <c r="T244" s="1">
        <f>IF(B244="", "", "Decimal degrees")</f>
        <v>0</v>
      </c>
      <c r="V244" s="1">
        <f>IF(B244="", "", "Decimal degrees")</f>
        <v>0</v>
      </c>
      <c r="Y244" s="1">
        <f>IF(B244="", "", "other")</f>
        <v>0</v>
      </c>
      <c r="AB244" s="1">
        <f>IF(B244="", "", "Not applicable")</f>
        <v>0</v>
      </c>
    </row>
    <row r="245" spans="1:28">
      <c r="A245">
        <f>IF(COUNTBLANK(B245:AC245)&lt;&gt;COLUMNS(B245:AC245),244,"")</f>
        <v>0</v>
      </c>
      <c r="H245" s="2">
        <f>IF(B245="", "", "not provided")</f>
        <v>0</v>
      </c>
      <c r="I245" s="1">
        <f>IF(B245="", "", "meters")</f>
        <v>0</v>
      </c>
      <c r="T245" s="1">
        <f>IF(B245="", "", "Decimal degrees")</f>
        <v>0</v>
      </c>
      <c r="V245" s="1">
        <f>IF(B245="", "", "Decimal degrees")</f>
        <v>0</v>
      </c>
      <c r="Y245" s="1">
        <f>IF(B245="", "", "other")</f>
        <v>0</v>
      </c>
      <c r="AB245" s="1">
        <f>IF(B245="", "", "Not applicable")</f>
        <v>0</v>
      </c>
    </row>
    <row r="246" spans="1:28">
      <c r="A246">
        <f>IF(COUNTBLANK(B246:AC246)&lt;&gt;COLUMNS(B246:AC246),245,"")</f>
        <v>0</v>
      </c>
      <c r="H246" s="2">
        <f>IF(B246="", "", "not provided")</f>
        <v>0</v>
      </c>
      <c r="I246" s="1">
        <f>IF(B246="", "", "meters")</f>
        <v>0</v>
      </c>
      <c r="T246" s="1">
        <f>IF(B246="", "", "Decimal degrees")</f>
        <v>0</v>
      </c>
      <c r="V246" s="1">
        <f>IF(B246="", "", "Decimal degrees")</f>
        <v>0</v>
      </c>
      <c r="Y246" s="1">
        <f>IF(B246="", "", "other")</f>
        <v>0</v>
      </c>
      <c r="AB246" s="1">
        <f>IF(B246="", "", "Not applicable")</f>
        <v>0</v>
      </c>
    </row>
    <row r="247" spans="1:28">
      <c r="A247">
        <f>IF(COUNTBLANK(B247:AC247)&lt;&gt;COLUMNS(B247:AC247),246,"")</f>
        <v>0</v>
      </c>
      <c r="H247" s="2">
        <f>IF(B247="", "", "not provided")</f>
        <v>0</v>
      </c>
      <c r="I247" s="1">
        <f>IF(B247="", "", "meters")</f>
        <v>0</v>
      </c>
      <c r="T247" s="1">
        <f>IF(B247="", "", "Decimal degrees")</f>
        <v>0</v>
      </c>
      <c r="V247" s="1">
        <f>IF(B247="", "", "Decimal degrees")</f>
        <v>0</v>
      </c>
      <c r="Y247" s="1">
        <f>IF(B247="", "", "other")</f>
        <v>0</v>
      </c>
      <c r="AB247" s="1">
        <f>IF(B247="", "", "Not applicable")</f>
        <v>0</v>
      </c>
    </row>
    <row r="248" spans="1:28">
      <c r="A248">
        <f>IF(COUNTBLANK(B248:AC248)&lt;&gt;COLUMNS(B248:AC248),247,"")</f>
        <v>0</v>
      </c>
      <c r="H248" s="2">
        <f>IF(B248="", "", "not provided")</f>
        <v>0</v>
      </c>
      <c r="I248" s="1">
        <f>IF(B248="", "", "meters")</f>
        <v>0</v>
      </c>
      <c r="T248" s="1">
        <f>IF(B248="", "", "Decimal degrees")</f>
        <v>0</v>
      </c>
      <c r="V248" s="1">
        <f>IF(B248="", "", "Decimal degrees")</f>
        <v>0</v>
      </c>
      <c r="Y248" s="1">
        <f>IF(B248="", "", "other")</f>
        <v>0</v>
      </c>
      <c r="AB248" s="1">
        <f>IF(B248="", "", "Not applicable")</f>
        <v>0</v>
      </c>
    </row>
    <row r="249" spans="1:28">
      <c r="A249">
        <f>IF(COUNTBLANK(B249:AC249)&lt;&gt;COLUMNS(B249:AC249),248,"")</f>
        <v>0</v>
      </c>
      <c r="H249" s="2">
        <f>IF(B249="", "", "not provided")</f>
        <v>0</v>
      </c>
      <c r="I249" s="1">
        <f>IF(B249="", "", "meters")</f>
        <v>0</v>
      </c>
      <c r="T249" s="1">
        <f>IF(B249="", "", "Decimal degrees")</f>
        <v>0</v>
      </c>
      <c r="V249" s="1">
        <f>IF(B249="", "", "Decimal degrees")</f>
        <v>0</v>
      </c>
      <c r="Y249" s="1">
        <f>IF(B249="", "", "other")</f>
        <v>0</v>
      </c>
      <c r="AB249" s="1">
        <f>IF(B249="", "", "Not applicable")</f>
        <v>0</v>
      </c>
    </row>
    <row r="250" spans="1:28">
      <c r="A250">
        <f>IF(COUNTBLANK(B250:AC250)&lt;&gt;COLUMNS(B250:AC250),249,"")</f>
        <v>0</v>
      </c>
      <c r="H250" s="2">
        <f>IF(B250="", "", "not provided")</f>
        <v>0</v>
      </c>
      <c r="I250" s="1">
        <f>IF(B250="", "", "meters")</f>
        <v>0</v>
      </c>
      <c r="T250" s="1">
        <f>IF(B250="", "", "Decimal degrees")</f>
        <v>0</v>
      </c>
      <c r="V250" s="1">
        <f>IF(B250="", "", "Decimal degrees")</f>
        <v>0</v>
      </c>
      <c r="Y250" s="1">
        <f>IF(B250="", "", "other")</f>
        <v>0</v>
      </c>
      <c r="AB250" s="1">
        <f>IF(B250="", "", "Not applicable")</f>
        <v>0</v>
      </c>
    </row>
    <row r="251" spans="1:28">
      <c r="A251">
        <f>IF(COUNTBLANK(B251:AC251)&lt;&gt;COLUMNS(B251:AC251),250,"")</f>
        <v>0</v>
      </c>
      <c r="H251" s="2">
        <f>IF(B251="", "", "not provided")</f>
        <v>0</v>
      </c>
      <c r="I251" s="1">
        <f>IF(B251="", "", "meters")</f>
        <v>0</v>
      </c>
      <c r="T251" s="1">
        <f>IF(B251="", "", "Decimal degrees")</f>
        <v>0</v>
      </c>
      <c r="V251" s="1">
        <f>IF(B251="", "", "Decimal degrees")</f>
        <v>0</v>
      </c>
      <c r="Y251" s="1">
        <f>IF(B251="", "", "other")</f>
        <v>0</v>
      </c>
      <c r="AB251" s="1">
        <f>IF(B251="", "", "Not applicable")</f>
        <v>0</v>
      </c>
    </row>
    <row r="252" spans="1:28">
      <c r="A252">
        <f>IF(COUNTBLANK(B252:AC252)&lt;&gt;COLUMNS(B252:AC252),251,"")</f>
        <v>0</v>
      </c>
      <c r="H252" s="2">
        <f>IF(B252="", "", "not provided")</f>
        <v>0</v>
      </c>
      <c r="I252" s="1">
        <f>IF(B252="", "", "meters")</f>
        <v>0</v>
      </c>
      <c r="T252" s="1">
        <f>IF(B252="", "", "Decimal degrees")</f>
        <v>0</v>
      </c>
      <c r="V252" s="1">
        <f>IF(B252="", "", "Decimal degrees")</f>
        <v>0</v>
      </c>
      <c r="Y252" s="1">
        <f>IF(B252="", "", "other")</f>
        <v>0</v>
      </c>
      <c r="AB252" s="1">
        <f>IF(B252="", "", "Not applicable")</f>
        <v>0</v>
      </c>
    </row>
    <row r="253" spans="1:28">
      <c r="A253">
        <f>IF(COUNTBLANK(B253:AC253)&lt;&gt;COLUMNS(B253:AC253),252,"")</f>
        <v>0</v>
      </c>
      <c r="H253" s="2">
        <f>IF(B253="", "", "not provided")</f>
        <v>0</v>
      </c>
      <c r="I253" s="1">
        <f>IF(B253="", "", "meters")</f>
        <v>0</v>
      </c>
      <c r="T253" s="1">
        <f>IF(B253="", "", "Decimal degrees")</f>
        <v>0</v>
      </c>
      <c r="V253" s="1">
        <f>IF(B253="", "", "Decimal degrees")</f>
        <v>0</v>
      </c>
      <c r="Y253" s="1">
        <f>IF(B253="", "", "other")</f>
        <v>0</v>
      </c>
      <c r="AB253" s="1">
        <f>IF(B253="", "", "Not applicable")</f>
        <v>0</v>
      </c>
    </row>
    <row r="254" spans="1:28">
      <c r="A254">
        <f>IF(COUNTBLANK(B254:AC254)&lt;&gt;COLUMNS(B254:AC254),253,"")</f>
        <v>0</v>
      </c>
      <c r="H254" s="2">
        <f>IF(B254="", "", "not provided")</f>
        <v>0</v>
      </c>
      <c r="I254" s="1">
        <f>IF(B254="", "", "meters")</f>
        <v>0</v>
      </c>
      <c r="T254" s="1">
        <f>IF(B254="", "", "Decimal degrees")</f>
        <v>0</v>
      </c>
      <c r="V254" s="1">
        <f>IF(B254="", "", "Decimal degrees")</f>
        <v>0</v>
      </c>
      <c r="Y254" s="1">
        <f>IF(B254="", "", "other")</f>
        <v>0</v>
      </c>
      <c r="AB254" s="1">
        <f>IF(B254="", "", "Not applicable")</f>
        <v>0</v>
      </c>
    </row>
    <row r="255" spans="1:28">
      <c r="A255">
        <f>IF(COUNTBLANK(B255:AC255)&lt;&gt;COLUMNS(B255:AC255),254,"")</f>
        <v>0</v>
      </c>
      <c r="H255" s="2">
        <f>IF(B255="", "", "not provided")</f>
        <v>0</v>
      </c>
      <c r="I255" s="1">
        <f>IF(B255="", "", "meters")</f>
        <v>0</v>
      </c>
      <c r="T255" s="1">
        <f>IF(B255="", "", "Decimal degrees")</f>
        <v>0</v>
      </c>
      <c r="V255" s="1">
        <f>IF(B255="", "", "Decimal degrees")</f>
        <v>0</v>
      </c>
      <c r="Y255" s="1">
        <f>IF(B255="", "", "other")</f>
        <v>0</v>
      </c>
      <c r="AB255" s="1">
        <f>IF(B255="", "", "Not applicable")</f>
        <v>0</v>
      </c>
    </row>
    <row r="256" spans="1:28">
      <c r="A256">
        <f>IF(COUNTBLANK(B256:AC256)&lt;&gt;COLUMNS(B256:AC256),255,"")</f>
        <v>0</v>
      </c>
      <c r="H256" s="2">
        <f>IF(B256="", "", "not provided")</f>
        <v>0</v>
      </c>
      <c r="I256" s="1">
        <f>IF(B256="", "", "meters")</f>
        <v>0</v>
      </c>
      <c r="T256" s="1">
        <f>IF(B256="", "", "Decimal degrees")</f>
        <v>0</v>
      </c>
      <c r="V256" s="1">
        <f>IF(B256="", "", "Decimal degrees")</f>
        <v>0</v>
      </c>
      <c r="Y256" s="1">
        <f>IF(B256="", "", "other")</f>
        <v>0</v>
      </c>
      <c r="AB256" s="1">
        <f>IF(B256="", "", "Not applicable")</f>
        <v>0</v>
      </c>
    </row>
    <row r="257" spans="1:28">
      <c r="A257">
        <f>IF(COUNTBLANK(B257:AC257)&lt;&gt;COLUMNS(B257:AC257),256,"")</f>
        <v>0</v>
      </c>
      <c r="H257" s="2">
        <f>IF(B257="", "", "not provided")</f>
        <v>0</v>
      </c>
      <c r="I257" s="1">
        <f>IF(B257="", "", "meters")</f>
        <v>0</v>
      </c>
      <c r="T257" s="1">
        <f>IF(B257="", "", "Decimal degrees")</f>
        <v>0</v>
      </c>
      <c r="V257" s="1">
        <f>IF(B257="", "", "Decimal degrees")</f>
        <v>0</v>
      </c>
      <c r="Y257" s="1">
        <f>IF(B257="", "", "other")</f>
        <v>0</v>
      </c>
      <c r="AB257" s="1">
        <f>IF(B257="", "", "Not applicable")</f>
        <v>0</v>
      </c>
    </row>
    <row r="258" spans="1:28">
      <c r="A258">
        <f>IF(COUNTBLANK(B258:AC258)&lt;&gt;COLUMNS(B258:AC258),257,"")</f>
        <v>0</v>
      </c>
      <c r="H258" s="2">
        <f>IF(B258="", "", "not provided")</f>
        <v>0</v>
      </c>
      <c r="I258" s="1">
        <f>IF(B258="", "", "meters")</f>
        <v>0</v>
      </c>
      <c r="T258" s="1">
        <f>IF(B258="", "", "Decimal degrees")</f>
        <v>0</v>
      </c>
      <c r="V258" s="1">
        <f>IF(B258="", "", "Decimal degrees")</f>
        <v>0</v>
      </c>
      <c r="Y258" s="1">
        <f>IF(B258="", "", "other")</f>
        <v>0</v>
      </c>
      <c r="AB258" s="1">
        <f>IF(B258="", "", "Not applicable")</f>
        <v>0</v>
      </c>
    </row>
    <row r="259" spans="1:28">
      <c r="A259">
        <f>IF(COUNTBLANK(B259:AC259)&lt;&gt;COLUMNS(B259:AC259),258,"")</f>
        <v>0</v>
      </c>
      <c r="H259" s="2">
        <f>IF(B259="", "", "not provided")</f>
        <v>0</v>
      </c>
      <c r="I259" s="1">
        <f>IF(B259="", "", "meters")</f>
        <v>0</v>
      </c>
      <c r="T259" s="1">
        <f>IF(B259="", "", "Decimal degrees")</f>
        <v>0</v>
      </c>
      <c r="V259" s="1">
        <f>IF(B259="", "", "Decimal degrees")</f>
        <v>0</v>
      </c>
      <c r="Y259" s="1">
        <f>IF(B259="", "", "other")</f>
        <v>0</v>
      </c>
      <c r="AB259" s="1">
        <f>IF(B259="", "", "Not applicable")</f>
        <v>0</v>
      </c>
    </row>
    <row r="260" spans="1:28">
      <c r="A260">
        <f>IF(COUNTBLANK(B260:AC260)&lt;&gt;COLUMNS(B260:AC260),259,"")</f>
        <v>0</v>
      </c>
      <c r="H260" s="2">
        <f>IF(B260="", "", "not provided")</f>
        <v>0</v>
      </c>
      <c r="I260" s="1">
        <f>IF(B260="", "", "meters")</f>
        <v>0</v>
      </c>
      <c r="T260" s="1">
        <f>IF(B260="", "", "Decimal degrees")</f>
        <v>0</v>
      </c>
      <c r="V260" s="1">
        <f>IF(B260="", "", "Decimal degrees")</f>
        <v>0</v>
      </c>
      <c r="Y260" s="1">
        <f>IF(B260="", "", "other")</f>
        <v>0</v>
      </c>
      <c r="AB260" s="1">
        <f>IF(B260="", "", "Not applicable")</f>
        <v>0</v>
      </c>
    </row>
    <row r="261" spans="1:28">
      <c r="A261">
        <f>IF(COUNTBLANK(B261:AC261)&lt;&gt;COLUMNS(B261:AC261),260,"")</f>
        <v>0</v>
      </c>
      <c r="H261" s="2">
        <f>IF(B261="", "", "not provided")</f>
        <v>0</v>
      </c>
      <c r="I261" s="1">
        <f>IF(B261="", "", "meters")</f>
        <v>0</v>
      </c>
      <c r="T261" s="1">
        <f>IF(B261="", "", "Decimal degrees")</f>
        <v>0</v>
      </c>
      <c r="V261" s="1">
        <f>IF(B261="", "", "Decimal degrees")</f>
        <v>0</v>
      </c>
      <c r="Y261" s="1">
        <f>IF(B261="", "", "other")</f>
        <v>0</v>
      </c>
      <c r="AB261" s="1">
        <f>IF(B261="", "", "Not applicable")</f>
        <v>0</v>
      </c>
    </row>
    <row r="262" spans="1:28">
      <c r="A262">
        <f>IF(COUNTBLANK(B262:AC262)&lt;&gt;COLUMNS(B262:AC262),261,"")</f>
        <v>0</v>
      </c>
      <c r="H262" s="2">
        <f>IF(B262="", "", "not provided")</f>
        <v>0</v>
      </c>
      <c r="I262" s="1">
        <f>IF(B262="", "", "meters")</f>
        <v>0</v>
      </c>
      <c r="T262" s="1">
        <f>IF(B262="", "", "Decimal degrees")</f>
        <v>0</v>
      </c>
      <c r="V262" s="1">
        <f>IF(B262="", "", "Decimal degrees")</f>
        <v>0</v>
      </c>
      <c r="Y262" s="1">
        <f>IF(B262="", "", "other")</f>
        <v>0</v>
      </c>
      <c r="AB262" s="1">
        <f>IF(B262="", "", "Not applicable")</f>
        <v>0</v>
      </c>
    </row>
    <row r="263" spans="1:28">
      <c r="A263">
        <f>IF(COUNTBLANK(B263:AC263)&lt;&gt;COLUMNS(B263:AC263),262,"")</f>
        <v>0</v>
      </c>
      <c r="H263" s="2">
        <f>IF(B263="", "", "not provided")</f>
        <v>0</v>
      </c>
      <c r="I263" s="1">
        <f>IF(B263="", "", "meters")</f>
        <v>0</v>
      </c>
      <c r="T263" s="1">
        <f>IF(B263="", "", "Decimal degrees")</f>
        <v>0</v>
      </c>
      <c r="V263" s="1">
        <f>IF(B263="", "", "Decimal degrees")</f>
        <v>0</v>
      </c>
      <c r="Y263" s="1">
        <f>IF(B263="", "", "other")</f>
        <v>0</v>
      </c>
      <c r="AB263" s="1">
        <f>IF(B263="", "", "Not applicable")</f>
        <v>0</v>
      </c>
    </row>
    <row r="264" spans="1:28">
      <c r="A264">
        <f>IF(COUNTBLANK(B264:AC264)&lt;&gt;COLUMNS(B264:AC264),263,"")</f>
        <v>0</v>
      </c>
      <c r="H264" s="2">
        <f>IF(B264="", "", "not provided")</f>
        <v>0</v>
      </c>
      <c r="I264" s="1">
        <f>IF(B264="", "", "meters")</f>
        <v>0</v>
      </c>
      <c r="T264" s="1">
        <f>IF(B264="", "", "Decimal degrees")</f>
        <v>0</v>
      </c>
      <c r="V264" s="1">
        <f>IF(B264="", "", "Decimal degrees")</f>
        <v>0</v>
      </c>
      <c r="Y264" s="1">
        <f>IF(B264="", "", "other")</f>
        <v>0</v>
      </c>
      <c r="AB264" s="1">
        <f>IF(B264="", "", "Not applicable")</f>
        <v>0</v>
      </c>
    </row>
    <row r="265" spans="1:28">
      <c r="A265">
        <f>IF(COUNTBLANK(B265:AC265)&lt;&gt;COLUMNS(B265:AC265),264,"")</f>
        <v>0</v>
      </c>
      <c r="H265" s="2">
        <f>IF(B265="", "", "not provided")</f>
        <v>0</v>
      </c>
      <c r="I265" s="1">
        <f>IF(B265="", "", "meters")</f>
        <v>0</v>
      </c>
      <c r="T265" s="1">
        <f>IF(B265="", "", "Decimal degrees")</f>
        <v>0</v>
      </c>
      <c r="V265" s="1">
        <f>IF(B265="", "", "Decimal degrees")</f>
        <v>0</v>
      </c>
      <c r="Y265" s="1">
        <f>IF(B265="", "", "other")</f>
        <v>0</v>
      </c>
      <c r="AB265" s="1">
        <f>IF(B265="", "", "Not applicable")</f>
        <v>0</v>
      </c>
    </row>
    <row r="266" spans="1:28">
      <c r="A266">
        <f>IF(COUNTBLANK(B266:AC266)&lt;&gt;COLUMNS(B266:AC266),265,"")</f>
        <v>0</v>
      </c>
      <c r="H266" s="2">
        <f>IF(B266="", "", "not provided")</f>
        <v>0</v>
      </c>
      <c r="I266" s="1">
        <f>IF(B266="", "", "meters")</f>
        <v>0</v>
      </c>
      <c r="T266" s="1">
        <f>IF(B266="", "", "Decimal degrees")</f>
        <v>0</v>
      </c>
      <c r="V266" s="1">
        <f>IF(B266="", "", "Decimal degrees")</f>
        <v>0</v>
      </c>
      <c r="Y266" s="1">
        <f>IF(B266="", "", "other")</f>
        <v>0</v>
      </c>
      <c r="AB266" s="1">
        <f>IF(B266="", "", "Not applicable")</f>
        <v>0</v>
      </c>
    </row>
    <row r="267" spans="1:28">
      <c r="A267">
        <f>IF(COUNTBLANK(B267:AC267)&lt;&gt;COLUMNS(B267:AC267),266,"")</f>
        <v>0</v>
      </c>
      <c r="H267" s="2">
        <f>IF(B267="", "", "not provided")</f>
        <v>0</v>
      </c>
      <c r="I267" s="1">
        <f>IF(B267="", "", "meters")</f>
        <v>0</v>
      </c>
      <c r="T267" s="1">
        <f>IF(B267="", "", "Decimal degrees")</f>
        <v>0</v>
      </c>
      <c r="V267" s="1">
        <f>IF(B267="", "", "Decimal degrees")</f>
        <v>0</v>
      </c>
      <c r="Y267" s="1">
        <f>IF(B267="", "", "other")</f>
        <v>0</v>
      </c>
      <c r="AB267" s="1">
        <f>IF(B267="", "", "Not applicable")</f>
        <v>0</v>
      </c>
    </row>
    <row r="268" spans="1:28">
      <c r="A268">
        <f>IF(COUNTBLANK(B268:AC268)&lt;&gt;COLUMNS(B268:AC268),267,"")</f>
        <v>0</v>
      </c>
      <c r="H268" s="2">
        <f>IF(B268="", "", "not provided")</f>
        <v>0</v>
      </c>
      <c r="I268" s="1">
        <f>IF(B268="", "", "meters")</f>
        <v>0</v>
      </c>
      <c r="T268" s="1">
        <f>IF(B268="", "", "Decimal degrees")</f>
        <v>0</v>
      </c>
      <c r="V268" s="1">
        <f>IF(B268="", "", "Decimal degrees")</f>
        <v>0</v>
      </c>
      <c r="Y268" s="1">
        <f>IF(B268="", "", "other")</f>
        <v>0</v>
      </c>
      <c r="AB268" s="1">
        <f>IF(B268="", "", "Not applicable")</f>
        <v>0</v>
      </c>
    </row>
    <row r="269" spans="1:28">
      <c r="A269">
        <f>IF(COUNTBLANK(B269:AC269)&lt;&gt;COLUMNS(B269:AC269),268,"")</f>
        <v>0</v>
      </c>
      <c r="H269" s="2">
        <f>IF(B269="", "", "not provided")</f>
        <v>0</v>
      </c>
      <c r="I269" s="1">
        <f>IF(B269="", "", "meters")</f>
        <v>0</v>
      </c>
      <c r="T269" s="1">
        <f>IF(B269="", "", "Decimal degrees")</f>
        <v>0</v>
      </c>
      <c r="V269" s="1">
        <f>IF(B269="", "", "Decimal degrees")</f>
        <v>0</v>
      </c>
      <c r="Y269" s="1">
        <f>IF(B269="", "", "other")</f>
        <v>0</v>
      </c>
      <c r="AB269" s="1">
        <f>IF(B269="", "", "Not applicable")</f>
        <v>0</v>
      </c>
    </row>
    <row r="270" spans="1:28">
      <c r="A270">
        <f>IF(COUNTBLANK(B270:AC270)&lt;&gt;COLUMNS(B270:AC270),269,"")</f>
        <v>0</v>
      </c>
      <c r="H270" s="2">
        <f>IF(B270="", "", "not provided")</f>
        <v>0</v>
      </c>
      <c r="I270" s="1">
        <f>IF(B270="", "", "meters")</f>
        <v>0</v>
      </c>
      <c r="T270" s="1">
        <f>IF(B270="", "", "Decimal degrees")</f>
        <v>0</v>
      </c>
      <c r="V270" s="1">
        <f>IF(B270="", "", "Decimal degrees")</f>
        <v>0</v>
      </c>
      <c r="Y270" s="1">
        <f>IF(B270="", "", "other")</f>
        <v>0</v>
      </c>
      <c r="AB270" s="1">
        <f>IF(B270="", "", "Not applicable")</f>
        <v>0</v>
      </c>
    </row>
    <row r="271" spans="1:28">
      <c r="A271">
        <f>IF(COUNTBLANK(B271:AC271)&lt;&gt;COLUMNS(B271:AC271),270,"")</f>
        <v>0</v>
      </c>
      <c r="H271" s="2">
        <f>IF(B271="", "", "not provided")</f>
        <v>0</v>
      </c>
      <c r="I271" s="1">
        <f>IF(B271="", "", "meters")</f>
        <v>0</v>
      </c>
      <c r="T271" s="1">
        <f>IF(B271="", "", "Decimal degrees")</f>
        <v>0</v>
      </c>
      <c r="V271" s="1">
        <f>IF(B271="", "", "Decimal degrees")</f>
        <v>0</v>
      </c>
      <c r="Y271" s="1">
        <f>IF(B271="", "", "other")</f>
        <v>0</v>
      </c>
      <c r="AB271" s="1">
        <f>IF(B271="", "", "Not applicable")</f>
        <v>0</v>
      </c>
    </row>
    <row r="272" spans="1:28">
      <c r="A272">
        <f>IF(COUNTBLANK(B272:AC272)&lt;&gt;COLUMNS(B272:AC272),271,"")</f>
        <v>0</v>
      </c>
      <c r="H272" s="2">
        <f>IF(B272="", "", "not provided")</f>
        <v>0</v>
      </c>
      <c r="I272" s="1">
        <f>IF(B272="", "", "meters")</f>
        <v>0</v>
      </c>
      <c r="T272" s="1">
        <f>IF(B272="", "", "Decimal degrees")</f>
        <v>0</v>
      </c>
      <c r="V272" s="1">
        <f>IF(B272="", "", "Decimal degrees")</f>
        <v>0</v>
      </c>
      <c r="Y272" s="1">
        <f>IF(B272="", "", "other")</f>
        <v>0</v>
      </c>
      <c r="AB272" s="1">
        <f>IF(B272="", "", "Not applicable")</f>
        <v>0</v>
      </c>
    </row>
    <row r="273" spans="1:28">
      <c r="A273">
        <f>IF(COUNTBLANK(B273:AC273)&lt;&gt;COLUMNS(B273:AC273),272,"")</f>
        <v>0</v>
      </c>
      <c r="H273" s="2">
        <f>IF(B273="", "", "not provided")</f>
        <v>0</v>
      </c>
      <c r="I273" s="1">
        <f>IF(B273="", "", "meters")</f>
        <v>0</v>
      </c>
      <c r="T273" s="1">
        <f>IF(B273="", "", "Decimal degrees")</f>
        <v>0</v>
      </c>
      <c r="V273" s="1">
        <f>IF(B273="", "", "Decimal degrees")</f>
        <v>0</v>
      </c>
      <c r="Y273" s="1">
        <f>IF(B273="", "", "other")</f>
        <v>0</v>
      </c>
      <c r="AB273" s="1">
        <f>IF(B273="", "", "Not applicable")</f>
        <v>0</v>
      </c>
    </row>
    <row r="274" spans="1:28">
      <c r="A274">
        <f>IF(COUNTBLANK(B274:AC274)&lt;&gt;COLUMNS(B274:AC274),273,"")</f>
        <v>0</v>
      </c>
      <c r="H274" s="2">
        <f>IF(B274="", "", "not provided")</f>
        <v>0</v>
      </c>
      <c r="I274" s="1">
        <f>IF(B274="", "", "meters")</f>
        <v>0</v>
      </c>
      <c r="T274" s="1">
        <f>IF(B274="", "", "Decimal degrees")</f>
        <v>0</v>
      </c>
      <c r="V274" s="1">
        <f>IF(B274="", "", "Decimal degrees")</f>
        <v>0</v>
      </c>
      <c r="Y274" s="1">
        <f>IF(B274="", "", "other")</f>
        <v>0</v>
      </c>
      <c r="AB274" s="1">
        <f>IF(B274="", "", "Not applicable")</f>
        <v>0</v>
      </c>
    </row>
    <row r="275" spans="1:28">
      <c r="A275">
        <f>IF(COUNTBLANK(B275:AC275)&lt;&gt;COLUMNS(B275:AC275),274,"")</f>
        <v>0</v>
      </c>
      <c r="H275" s="2">
        <f>IF(B275="", "", "not provided")</f>
        <v>0</v>
      </c>
      <c r="I275" s="1">
        <f>IF(B275="", "", "meters")</f>
        <v>0</v>
      </c>
      <c r="T275" s="1">
        <f>IF(B275="", "", "Decimal degrees")</f>
        <v>0</v>
      </c>
      <c r="V275" s="1">
        <f>IF(B275="", "", "Decimal degrees")</f>
        <v>0</v>
      </c>
      <c r="Y275" s="1">
        <f>IF(B275="", "", "other")</f>
        <v>0</v>
      </c>
      <c r="AB275" s="1">
        <f>IF(B275="", "", "Not applicable")</f>
        <v>0</v>
      </c>
    </row>
    <row r="276" spans="1:28">
      <c r="A276">
        <f>IF(COUNTBLANK(B276:AC276)&lt;&gt;COLUMNS(B276:AC276),275,"")</f>
        <v>0</v>
      </c>
      <c r="H276" s="2">
        <f>IF(B276="", "", "not provided")</f>
        <v>0</v>
      </c>
      <c r="I276" s="1">
        <f>IF(B276="", "", "meters")</f>
        <v>0</v>
      </c>
      <c r="T276" s="1">
        <f>IF(B276="", "", "Decimal degrees")</f>
        <v>0</v>
      </c>
      <c r="V276" s="1">
        <f>IF(B276="", "", "Decimal degrees")</f>
        <v>0</v>
      </c>
      <c r="Y276" s="1">
        <f>IF(B276="", "", "other")</f>
        <v>0</v>
      </c>
      <c r="AB276" s="1">
        <f>IF(B276="", "", "Not applicable")</f>
        <v>0</v>
      </c>
    </row>
    <row r="277" spans="1:28">
      <c r="A277">
        <f>IF(COUNTBLANK(B277:AC277)&lt;&gt;COLUMNS(B277:AC277),276,"")</f>
        <v>0</v>
      </c>
      <c r="H277" s="2">
        <f>IF(B277="", "", "not provided")</f>
        <v>0</v>
      </c>
      <c r="I277" s="1">
        <f>IF(B277="", "", "meters")</f>
        <v>0</v>
      </c>
      <c r="T277" s="1">
        <f>IF(B277="", "", "Decimal degrees")</f>
        <v>0</v>
      </c>
      <c r="V277" s="1">
        <f>IF(B277="", "", "Decimal degrees")</f>
        <v>0</v>
      </c>
      <c r="Y277" s="1">
        <f>IF(B277="", "", "other")</f>
        <v>0</v>
      </c>
      <c r="AB277" s="1">
        <f>IF(B277="", "", "Not applicable")</f>
        <v>0</v>
      </c>
    </row>
    <row r="278" spans="1:28">
      <c r="A278">
        <f>IF(COUNTBLANK(B278:AC278)&lt;&gt;COLUMNS(B278:AC278),277,"")</f>
        <v>0</v>
      </c>
      <c r="H278" s="2">
        <f>IF(B278="", "", "not provided")</f>
        <v>0</v>
      </c>
      <c r="I278" s="1">
        <f>IF(B278="", "", "meters")</f>
        <v>0</v>
      </c>
      <c r="T278" s="1">
        <f>IF(B278="", "", "Decimal degrees")</f>
        <v>0</v>
      </c>
      <c r="V278" s="1">
        <f>IF(B278="", "", "Decimal degrees")</f>
        <v>0</v>
      </c>
      <c r="Y278" s="1">
        <f>IF(B278="", "", "other")</f>
        <v>0</v>
      </c>
      <c r="AB278" s="1">
        <f>IF(B278="", "", "Not applicable")</f>
        <v>0</v>
      </c>
    </row>
    <row r="279" spans="1:28">
      <c r="A279">
        <f>IF(COUNTBLANK(B279:AC279)&lt;&gt;COLUMNS(B279:AC279),278,"")</f>
        <v>0</v>
      </c>
      <c r="H279" s="2">
        <f>IF(B279="", "", "not provided")</f>
        <v>0</v>
      </c>
      <c r="I279" s="1">
        <f>IF(B279="", "", "meters")</f>
        <v>0</v>
      </c>
      <c r="T279" s="1">
        <f>IF(B279="", "", "Decimal degrees")</f>
        <v>0</v>
      </c>
      <c r="V279" s="1">
        <f>IF(B279="", "", "Decimal degrees")</f>
        <v>0</v>
      </c>
      <c r="Y279" s="1">
        <f>IF(B279="", "", "other")</f>
        <v>0</v>
      </c>
      <c r="AB279" s="1">
        <f>IF(B279="", "", "Not applicable")</f>
        <v>0</v>
      </c>
    </row>
    <row r="280" spans="1:28">
      <c r="A280">
        <f>IF(COUNTBLANK(B280:AC280)&lt;&gt;COLUMNS(B280:AC280),279,"")</f>
        <v>0</v>
      </c>
      <c r="H280" s="2">
        <f>IF(B280="", "", "not provided")</f>
        <v>0</v>
      </c>
      <c r="I280" s="1">
        <f>IF(B280="", "", "meters")</f>
        <v>0</v>
      </c>
      <c r="T280" s="1">
        <f>IF(B280="", "", "Decimal degrees")</f>
        <v>0</v>
      </c>
      <c r="V280" s="1">
        <f>IF(B280="", "", "Decimal degrees")</f>
        <v>0</v>
      </c>
      <c r="Y280" s="1">
        <f>IF(B280="", "", "other")</f>
        <v>0</v>
      </c>
      <c r="AB280" s="1">
        <f>IF(B280="", "", "Not applicable")</f>
        <v>0</v>
      </c>
    </row>
    <row r="281" spans="1:28">
      <c r="A281">
        <f>IF(COUNTBLANK(B281:AC281)&lt;&gt;COLUMNS(B281:AC281),280,"")</f>
        <v>0</v>
      </c>
      <c r="H281" s="2">
        <f>IF(B281="", "", "not provided")</f>
        <v>0</v>
      </c>
      <c r="I281" s="1">
        <f>IF(B281="", "", "meters")</f>
        <v>0</v>
      </c>
      <c r="T281" s="1">
        <f>IF(B281="", "", "Decimal degrees")</f>
        <v>0</v>
      </c>
      <c r="V281" s="1">
        <f>IF(B281="", "", "Decimal degrees")</f>
        <v>0</v>
      </c>
      <c r="Y281" s="1">
        <f>IF(B281="", "", "other")</f>
        <v>0</v>
      </c>
      <c r="AB281" s="1">
        <f>IF(B281="", "", "Not applicable")</f>
        <v>0</v>
      </c>
    </row>
    <row r="282" spans="1:28">
      <c r="A282">
        <f>IF(COUNTBLANK(B282:AC282)&lt;&gt;COLUMNS(B282:AC282),281,"")</f>
        <v>0</v>
      </c>
      <c r="H282" s="2">
        <f>IF(B282="", "", "not provided")</f>
        <v>0</v>
      </c>
      <c r="I282" s="1">
        <f>IF(B282="", "", "meters")</f>
        <v>0</v>
      </c>
      <c r="T282" s="1">
        <f>IF(B282="", "", "Decimal degrees")</f>
        <v>0</v>
      </c>
      <c r="V282" s="1">
        <f>IF(B282="", "", "Decimal degrees")</f>
        <v>0</v>
      </c>
      <c r="Y282" s="1">
        <f>IF(B282="", "", "other")</f>
        <v>0</v>
      </c>
      <c r="AB282" s="1">
        <f>IF(B282="", "", "Not applicable")</f>
        <v>0</v>
      </c>
    </row>
    <row r="283" spans="1:28">
      <c r="A283">
        <f>IF(COUNTBLANK(B283:AC283)&lt;&gt;COLUMNS(B283:AC283),282,"")</f>
        <v>0</v>
      </c>
      <c r="H283" s="2">
        <f>IF(B283="", "", "not provided")</f>
        <v>0</v>
      </c>
      <c r="I283" s="1">
        <f>IF(B283="", "", "meters")</f>
        <v>0</v>
      </c>
      <c r="T283" s="1">
        <f>IF(B283="", "", "Decimal degrees")</f>
        <v>0</v>
      </c>
      <c r="V283" s="1">
        <f>IF(B283="", "", "Decimal degrees")</f>
        <v>0</v>
      </c>
      <c r="Y283" s="1">
        <f>IF(B283="", "", "other")</f>
        <v>0</v>
      </c>
      <c r="AB283" s="1">
        <f>IF(B283="", "", "Not applicable")</f>
        <v>0</v>
      </c>
    </row>
    <row r="284" spans="1:28">
      <c r="A284">
        <f>IF(COUNTBLANK(B284:AC284)&lt;&gt;COLUMNS(B284:AC284),283,"")</f>
        <v>0</v>
      </c>
      <c r="H284" s="2">
        <f>IF(B284="", "", "not provided")</f>
        <v>0</v>
      </c>
      <c r="I284" s="1">
        <f>IF(B284="", "", "meters")</f>
        <v>0</v>
      </c>
      <c r="T284" s="1">
        <f>IF(B284="", "", "Decimal degrees")</f>
        <v>0</v>
      </c>
      <c r="V284" s="1">
        <f>IF(B284="", "", "Decimal degrees")</f>
        <v>0</v>
      </c>
      <c r="Y284" s="1">
        <f>IF(B284="", "", "other")</f>
        <v>0</v>
      </c>
      <c r="AB284" s="1">
        <f>IF(B284="", "", "Not applicable")</f>
        <v>0</v>
      </c>
    </row>
    <row r="285" spans="1:28">
      <c r="A285">
        <f>IF(COUNTBLANK(B285:AC285)&lt;&gt;COLUMNS(B285:AC285),284,"")</f>
        <v>0</v>
      </c>
      <c r="H285" s="2">
        <f>IF(B285="", "", "not provided")</f>
        <v>0</v>
      </c>
      <c r="I285" s="1">
        <f>IF(B285="", "", "meters")</f>
        <v>0</v>
      </c>
      <c r="T285" s="1">
        <f>IF(B285="", "", "Decimal degrees")</f>
        <v>0</v>
      </c>
      <c r="V285" s="1">
        <f>IF(B285="", "", "Decimal degrees")</f>
        <v>0</v>
      </c>
      <c r="Y285" s="1">
        <f>IF(B285="", "", "other")</f>
        <v>0</v>
      </c>
      <c r="AB285" s="1">
        <f>IF(B285="", "", "Not applicable")</f>
        <v>0</v>
      </c>
    </row>
    <row r="286" spans="1:28">
      <c r="A286">
        <f>IF(COUNTBLANK(B286:AC286)&lt;&gt;COLUMNS(B286:AC286),285,"")</f>
        <v>0</v>
      </c>
      <c r="H286" s="2">
        <f>IF(B286="", "", "not provided")</f>
        <v>0</v>
      </c>
      <c r="I286" s="1">
        <f>IF(B286="", "", "meters")</f>
        <v>0</v>
      </c>
      <c r="T286" s="1">
        <f>IF(B286="", "", "Decimal degrees")</f>
        <v>0</v>
      </c>
      <c r="V286" s="1">
        <f>IF(B286="", "", "Decimal degrees")</f>
        <v>0</v>
      </c>
      <c r="Y286" s="1">
        <f>IF(B286="", "", "other")</f>
        <v>0</v>
      </c>
      <c r="AB286" s="1">
        <f>IF(B286="", "", "Not applicable")</f>
        <v>0</v>
      </c>
    </row>
    <row r="287" spans="1:28">
      <c r="A287">
        <f>IF(COUNTBLANK(B287:AC287)&lt;&gt;COLUMNS(B287:AC287),286,"")</f>
        <v>0</v>
      </c>
      <c r="H287" s="2">
        <f>IF(B287="", "", "not provided")</f>
        <v>0</v>
      </c>
      <c r="I287" s="1">
        <f>IF(B287="", "", "meters")</f>
        <v>0</v>
      </c>
      <c r="T287" s="1">
        <f>IF(B287="", "", "Decimal degrees")</f>
        <v>0</v>
      </c>
      <c r="V287" s="1">
        <f>IF(B287="", "", "Decimal degrees")</f>
        <v>0</v>
      </c>
      <c r="Y287" s="1">
        <f>IF(B287="", "", "other")</f>
        <v>0</v>
      </c>
      <c r="AB287" s="1">
        <f>IF(B287="", "", "Not applicable")</f>
        <v>0</v>
      </c>
    </row>
    <row r="288" spans="1:28">
      <c r="A288">
        <f>IF(COUNTBLANK(B288:AC288)&lt;&gt;COLUMNS(B288:AC288),287,"")</f>
        <v>0</v>
      </c>
      <c r="H288" s="2">
        <f>IF(B288="", "", "not provided")</f>
        <v>0</v>
      </c>
      <c r="I288" s="1">
        <f>IF(B288="", "", "meters")</f>
        <v>0</v>
      </c>
      <c r="T288" s="1">
        <f>IF(B288="", "", "Decimal degrees")</f>
        <v>0</v>
      </c>
      <c r="V288" s="1">
        <f>IF(B288="", "", "Decimal degrees")</f>
        <v>0</v>
      </c>
      <c r="Y288" s="1">
        <f>IF(B288="", "", "other")</f>
        <v>0</v>
      </c>
      <c r="AB288" s="1">
        <f>IF(B288="", "", "Not applicable")</f>
        <v>0</v>
      </c>
    </row>
    <row r="289" spans="1:28">
      <c r="A289">
        <f>IF(COUNTBLANK(B289:AC289)&lt;&gt;COLUMNS(B289:AC289),288,"")</f>
        <v>0</v>
      </c>
      <c r="H289" s="2">
        <f>IF(B289="", "", "not provided")</f>
        <v>0</v>
      </c>
      <c r="I289" s="1">
        <f>IF(B289="", "", "meters")</f>
        <v>0</v>
      </c>
      <c r="T289" s="1">
        <f>IF(B289="", "", "Decimal degrees")</f>
        <v>0</v>
      </c>
      <c r="V289" s="1">
        <f>IF(B289="", "", "Decimal degrees")</f>
        <v>0</v>
      </c>
      <c r="Y289" s="1">
        <f>IF(B289="", "", "other")</f>
        <v>0</v>
      </c>
      <c r="AB289" s="1">
        <f>IF(B289="", "", "Not applicable")</f>
        <v>0</v>
      </c>
    </row>
    <row r="290" spans="1:28">
      <c r="A290">
        <f>IF(COUNTBLANK(B290:AC290)&lt;&gt;COLUMNS(B290:AC290),289,"")</f>
        <v>0</v>
      </c>
      <c r="H290" s="2">
        <f>IF(B290="", "", "not provided")</f>
        <v>0</v>
      </c>
      <c r="I290" s="1">
        <f>IF(B290="", "", "meters")</f>
        <v>0</v>
      </c>
      <c r="T290" s="1">
        <f>IF(B290="", "", "Decimal degrees")</f>
        <v>0</v>
      </c>
      <c r="V290" s="1">
        <f>IF(B290="", "", "Decimal degrees")</f>
        <v>0</v>
      </c>
      <c r="Y290" s="1">
        <f>IF(B290="", "", "other")</f>
        <v>0</v>
      </c>
      <c r="AB290" s="1">
        <f>IF(B290="", "", "Not applicable")</f>
        <v>0</v>
      </c>
    </row>
    <row r="291" spans="1:28">
      <c r="A291">
        <f>IF(COUNTBLANK(B291:AC291)&lt;&gt;COLUMNS(B291:AC291),290,"")</f>
        <v>0</v>
      </c>
      <c r="H291" s="2">
        <f>IF(B291="", "", "not provided")</f>
        <v>0</v>
      </c>
      <c r="I291" s="1">
        <f>IF(B291="", "", "meters")</f>
        <v>0</v>
      </c>
      <c r="T291" s="1">
        <f>IF(B291="", "", "Decimal degrees")</f>
        <v>0</v>
      </c>
      <c r="V291" s="1">
        <f>IF(B291="", "", "Decimal degrees")</f>
        <v>0</v>
      </c>
      <c r="Y291" s="1">
        <f>IF(B291="", "", "other")</f>
        <v>0</v>
      </c>
      <c r="AB291" s="1">
        <f>IF(B291="", "", "Not applicable")</f>
        <v>0</v>
      </c>
    </row>
    <row r="292" spans="1:28">
      <c r="A292">
        <f>IF(COUNTBLANK(B292:AC292)&lt;&gt;COLUMNS(B292:AC292),291,"")</f>
        <v>0</v>
      </c>
      <c r="H292" s="2">
        <f>IF(B292="", "", "not provided")</f>
        <v>0</v>
      </c>
      <c r="I292" s="1">
        <f>IF(B292="", "", "meters")</f>
        <v>0</v>
      </c>
      <c r="T292" s="1">
        <f>IF(B292="", "", "Decimal degrees")</f>
        <v>0</v>
      </c>
      <c r="V292" s="1">
        <f>IF(B292="", "", "Decimal degrees")</f>
        <v>0</v>
      </c>
      <c r="Y292" s="1">
        <f>IF(B292="", "", "other")</f>
        <v>0</v>
      </c>
      <c r="AB292" s="1">
        <f>IF(B292="", "", "Not applicable")</f>
        <v>0</v>
      </c>
    </row>
    <row r="293" spans="1:28">
      <c r="A293">
        <f>IF(COUNTBLANK(B293:AC293)&lt;&gt;COLUMNS(B293:AC293),292,"")</f>
        <v>0</v>
      </c>
      <c r="H293" s="2">
        <f>IF(B293="", "", "not provided")</f>
        <v>0</v>
      </c>
      <c r="I293" s="1">
        <f>IF(B293="", "", "meters")</f>
        <v>0</v>
      </c>
      <c r="T293" s="1">
        <f>IF(B293="", "", "Decimal degrees")</f>
        <v>0</v>
      </c>
      <c r="V293" s="1">
        <f>IF(B293="", "", "Decimal degrees")</f>
        <v>0</v>
      </c>
      <c r="Y293" s="1">
        <f>IF(B293="", "", "other")</f>
        <v>0</v>
      </c>
      <c r="AB293" s="1">
        <f>IF(B293="", "", "Not applicable")</f>
        <v>0</v>
      </c>
    </row>
    <row r="294" spans="1:28">
      <c r="A294">
        <f>IF(COUNTBLANK(B294:AC294)&lt;&gt;COLUMNS(B294:AC294),293,"")</f>
        <v>0</v>
      </c>
      <c r="H294" s="2">
        <f>IF(B294="", "", "not provided")</f>
        <v>0</v>
      </c>
      <c r="I294" s="1">
        <f>IF(B294="", "", "meters")</f>
        <v>0</v>
      </c>
      <c r="T294" s="1">
        <f>IF(B294="", "", "Decimal degrees")</f>
        <v>0</v>
      </c>
      <c r="V294" s="1">
        <f>IF(B294="", "", "Decimal degrees")</f>
        <v>0</v>
      </c>
      <c r="Y294" s="1">
        <f>IF(B294="", "", "other")</f>
        <v>0</v>
      </c>
      <c r="AB294" s="1">
        <f>IF(B294="", "", "Not applicable")</f>
        <v>0</v>
      </c>
    </row>
    <row r="295" spans="1:28">
      <c r="A295">
        <f>IF(COUNTBLANK(B295:AC295)&lt;&gt;COLUMNS(B295:AC295),294,"")</f>
        <v>0</v>
      </c>
      <c r="H295" s="2">
        <f>IF(B295="", "", "not provided")</f>
        <v>0</v>
      </c>
      <c r="I295" s="1">
        <f>IF(B295="", "", "meters")</f>
        <v>0</v>
      </c>
      <c r="T295" s="1">
        <f>IF(B295="", "", "Decimal degrees")</f>
        <v>0</v>
      </c>
      <c r="V295" s="1">
        <f>IF(B295="", "", "Decimal degrees")</f>
        <v>0</v>
      </c>
      <c r="Y295" s="1">
        <f>IF(B295="", "", "other")</f>
        <v>0</v>
      </c>
      <c r="AB295" s="1">
        <f>IF(B295="", "", "Not applicable")</f>
        <v>0</v>
      </c>
    </row>
    <row r="296" spans="1:28">
      <c r="A296">
        <f>IF(COUNTBLANK(B296:AC296)&lt;&gt;COLUMNS(B296:AC296),295,"")</f>
        <v>0</v>
      </c>
      <c r="H296" s="2">
        <f>IF(B296="", "", "not provided")</f>
        <v>0</v>
      </c>
      <c r="I296" s="1">
        <f>IF(B296="", "", "meters")</f>
        <v>0</v>
      </c>
      <c r="T296" s="1">
        <f>IF(B296="", "", "Decimal degrees")</f>
        <v>0</v>
      </c>
      <c r="V296" s="1">
        <f>IF(B296="", "", "Decimal degrees")</f>
        <v>0</v>
      </c>
      <c r="Y296" s="1">
        <f>IF(B296="", "", "other")</f>
        <v>0</v>
      </c>
      <c r="AB296" s="1">
        <f>IF(B296="", "", "Not applicable")</f>
        <v>0</v>
      </c>
    </row>
    <row r="297" spans="1:28">
      <c r="A297">
        <f>IF(COUNTBLANK(B297:AC297)&lt;&gt;COLUMNS(B297:AC297),296,"")</f>
        <v>0</v>
      </c>
      <c r="H297" s="2">
        <f>IF(B297="", "", "not provided")</f>
        <v>0</v>
      </c>
      <c r="I297" s="1">
        <f>IF(B297="", "", "meters")</f>
        <v>0</v>
      </c>
      <c r="T297" s="1">
        <f>IF(B297="", "", "Decimal degrees")</f>
        <v>0</v>
      </c>
      <c r="V297" s="1">
        <f>IF(B297="", "", "Decimal degrees")</f>
        <v>0</v>
      </c>
      <c r="Y297" s="1">
        <f>IF(B297="", "", "other")</f>
        <v>0</v>
      </c>
      <c r="AB297" s="1">
        <f>IF(B297="", "", "Not applicable")</f>
        <v>0</v>
      </c>
    </row>
    <row r="298" spans="1:28">
      <c r="A298">
        <f>IF(COUNTBLANK(B298:AC298)&lt;&gt;COLUMNS(B298:AC298),297,"")</f>
        <v>0</v>
      </c>
      <c r="H298" s="2">
        <f>IF(B298="", "", "not provided")</f>
        <v>0</v>
      </c>
      <c r="I298" s="1">
        <f>IF(B298="", "", "meters")</f>
        <v>0</v>
      </c>
      <c r="T298" s="1">
        <f>IF(B298="", "", "Decimal degrees")</f>
        <v>0</v>
      </c>
      <c r="V298" s="1">
        <f>IF(B298="", "", "Decimal degrees")</f>
        <v>0</v>
      </c>
      <c r="Y298" s="1">
        <f>IF(B298="", "", "other")</f>
        <v>0</v>
      </c>
      <c r="AB298" s="1">
        <f>IF(B298="", "", "Not applicable")</f>
        <v>0</v>
      </c>
    </row>
    <row r="299" spans="1:28">
      <c r="A299">
        <f>IF(COUNTBLANK(B299:AC299)&lt;&gt;COLUMNS(B299:AC299),298,"")</f>
        <v>0</v>
      </c>
      <c r="H299" s="2">
        <f>IF(B299="", "", "not provided")</f>
        <v>0</v>
      </c>
      <c r="I299" s="1">
        <f>IF(B299="", "", "meters")</f>
        <v>0</v>
      </c>
      <c r="T299" s="1">
        <f>IF(B299="", "", "Decimal degrees")</f>
        <v>0</v>
      </c>
      <c r="V299" s="1">
        <f>IF(B299="", "", "Decimal degrees")</f>
        <v>0</v>
      </c>
      <c r="Y299" s="1">
        <f>IF(B299="", "", "other")</f>
        <v>0</v>
      </c>
      <c r="AB299" s="1">
        <f>IF(B299="", "", "Not applicable")</f>
        <v>0</v>
      </c>
    </row>
    <row r="300" spans="1:28">
      <c r="A300">
        <f>IF(COUNTBLANK(B300:AC300)&lt;&gt;COLUMNS(B300:AC300),299,"")</f>
        <v>0</v>
      </c>
      <c r="H300" s="2">
        <f>IF(B300="", "", "not provided")</f>
        <v>0</v>
      </c>
      <c r="I300" s="1">
        <f>IF(B300="", "", "meters")</f>
        <v>0</v>
      </c>
      <c r="T300" s="1">
        <f>IF(B300="", "", "Decimal degrees")</f>
        <v>0</v>
      </c>
      <c r="V300" s="1">
        <f>IF(B300="", "", "Decimal degrees")</f>
        <v>0</v>
      </c>
      <c r="Y300" s="1">
        <f>IF(B300="", "", "other")</f>
        <v>0</v>
      </c>
      <c r="AB300" s="1">
        <f>IF(B300="", "", "Not applicable")</f>
        <v>0</v>
      </c>
    </row>
    <row r="301" spans="1:28">
      <c r="A301">
        <f>IF(COUNTBLANK(B301:AC301)&lt;&gt;COLUMNS(B301:AC301),300,"")</f>
        <v>0</v>
      </c>
      <c r="H301" s="2">
        <f>IF(B301="", "", "not provided")</f>
        <v>0</v>
      </c>
      <c r="I301" s="1">
        <f>IF(B301="", "", "meters")</f>
        <v>0</v>
      </c>
      <c r="T301" s="1">
        <f>IF(B301="", "", "Decimal degrees")</f>
        <v>0</v>
      </c>
      <c r="V301" s="1">
        <f>IF(B301="", "", "Decimal degrees")</f>
        <v>0</v>
      </c>
      <c r="Y301" s="1">
        <f>IF(B301="", "", "other")</f>
        <v>0</v>
      </c>
      <c r="AB301" s="1">
        <f>IF(B301="", "", "Not applicable")</f>
        <v>0</v>
      </c>
    </row>
    <row r="302" spans="1:28">
      <c r="A302">
        <f>IF(COUNTBLANK(B302:AC302)&lt;&gt;COLUMNS(B302:AC302),301,"")</f>
        <v>0</v>
      </c>
      <c r="H302" s="2">
        <f>IF(B302="", "", "not provided")</f>
        <v>0</v>
      </c>
      <c r="I302" s="1">
        <f>IF(B302="", "", "meters")</f>
        <v>0</v>
      </c>
      <c r="T302" s="1">
        <f>IF(B302="", "", "Decimal degrees")</f>
        <v>0</v>
      </c>
      <c r="V302" s="1">
        <f>IF(B302="", "", "Decimal degrees")</f>
        <v>0</v>
      </c>
      <c r="Y302" s="1">
        <f>IF(B302="", "", "other")</f>
        <v>0</v>
      </c>
      <c r="AB302" s="1">
        <f>IF(B302="", "", "Not applicable")</f>
        <v>0</v>
      </c>
    </row>
    <row r="303" spans="1:28">
      <c r="A303">
        <f>IF(COUNTBLANK(B303:AC303)&lt;&gt;COLUMNS(B303:AC303),302,"")</f>
        <v>0</v>
      </c>
      <c r="H303" s="2">
        <f>IF(B303="", "", "not provided")</f>
        <v>0</v>
      </c>
      <c r="I303" s="1">
        <f>IF(B303="", "", "meters")</f>
        <v>0</v>
      </c>
      <c r="T303" s="1">
        <f>IF(B303="", "", "Decimal degrees")</f>
        <v>0</v>
      </c>
      <c r="V303" s="1">
        <f>IF(B303="", "", "Decimal degrees")</f>
        <v>0</v>
      </c>
      <c r="Y303" s="1">
        <f>IF(B303="", "", "other")</f>
        <v>0</v>
      </c>
      <c r="AB303" s="1">
        <f>IF(B303="", "", "Not applicable")</f>
        <v>0</v>
      </c>
    </row>
    <row r="304" spans="1:28">
      <c r="A304">
        <f>IF(COUNTBLANK(B304:AC304)&lt;&gt;COLUMNS(B304:AC304),303,"")</f>
        <v>0</v>
      </c>
      <c r="H304" s="2">
        <f>IF(B304="", "", "not provided")</f>
        <v>0</v>
      </c>
      <c r="I304" s="1">
        <f>IF(B304="", "", "meters")</f>
        <v>0</v>
      </c>
      <c r="T304" s="1">
        <f>IF(B304="", "", "Decimal degrees")</f>
        <v>0</v>
      </c>
      <c r="V304" s="1">
        <f>IF(B304="", "", "Decimal degrees")</f>
        <v>0</v>
      </c>
      <c r="Y304" s="1">
        <f>IF(B304="", "", "other")</f>
        <v>0</v>
      </c>
      <c r="AB304" s="1">
        <f>IF(B304="", "", "Not applicable")</f>
        <v>0</v>
      </c>
    </row>
    <row r="305" spans="1:28">
      <c r="A305">
        <f>IF(COUNTBLANK(B305:AC305)&lt;&gt;COLUMNS(B305:AC305),304,"")</f>
        <v>0</v>
      </c>
      <c r="H305" s="2">
        <f>IF(B305="", "", "not provided")</f>
        <v>0</v>
      </c>
      <c r="I305" s="1">
        <f>IF(B305="", "", "meters")</f>
        <v>0</v>
      </c>
      <c r="T305" s="1">
        <f>IF(B305="", "", "Decimal degrees")</f>
        <v>0</v>
      </c>
      <c r="V305" s="1">
        <f>IF(B305="", "", "Decimal degrees")</f>
        <v>0</v>
      </c>
      <c r="Y305" s="1">
        <f>IF(B305="", "", "other")</f>
        <v>0</v>
      </c>
      <c r="AB305" s="1">
        <f>IF(B305="", "", "Not applicable")</f>
        <v>0</v>
      </c>
    </row>
    <row r="306" spans="1:28">
      <c r="A306">
        <f>IF(COUNTBLANK(B306:AC306)&lt;&gt;COLUMNS(B306:AC306),305,"")</f>
        <v>0</v>
      </c>
      <c r="H306" s="2">
        <f>IF(B306="", "", "not provided")</f>
        <v>0</v>
      </c>
      <c r="I306" s="1">
        <f>IF(B306="", "", "meters")</f>
        <v>0</v>
      </c>
      <c r="T306" s="1">
        <f>IF(B306="", "", "Decimal degrees")</f>
        <v>0</v>
      </c>
      <c r="V306" s="1">
        <f>IF(B306="", "", "Decimal degrees")</f>
        <v>0</v>
      </c>
      <c r="Y306" s="1">
        <f>IF(B306="", "", "other")</f>
        <v>0</v>
      </c>
      <c r="AB306" s="1">
        <f>IF(B306="", "", "Not applicable")</f>
        <v>0</v>
      </c>
    </row>
    <row r="307" spans="1:28">
      <c r="A307">
        <f>IF(COUNTBLANK(B307:AC307)&lt;&gt;COLUMNS(B307:AC307),306,"")</f>
        <v>0</v>
      </c>
      <c r="H307" s="2">
        <f>IF(B307="", "", "not provided")</f>
        <v>0</v>
      </c>
      <c r="I307" s="1">
        <f>IF(B307="", "", "meters")</f>
        <v>0</v>
      </c>
      <c r="T307" s="1">
        <f>IF(B307="", "", "Decimal degrees")</f>
        <v>0</v>
      </c>
      <c r="V307" s="1">
        <f>IF(B307="", "", "Decimal degrees")</f>
        <v>0</v>
      </c>
      <c r="Y307" s="1">
        <f>IF(B307="", "", "other")</f>
        <v>0</v>
      </c>
      <c r="AB307" s="1">
        <f>IF(B307="", "", "Not applicable")</f>
        <v>0</v>
      </c>
    </row>
    <row r="308" spans="1:28">
      <c r="A308">
        <f>IF(COUNTBLANK(B308:AC308)&lt;&gt;COLUMNS(B308:AC308),307,"")</f>
        <v>0</v>
      </c>
      <c r="H308" s="2">
        <f>IF(B308="", "", "not provided")</f>
        <v>0</v>
      </c>
      <c r="I308" s="1">
        <f>IF(B308="", "", "meters")</f>
        <v>0</v>
      </c>
      <c r="T308" s="1">
        <f>IF(B308="", "", "Decimal degrees")</f>
        <v>0</v>
      </c>
      <c r="V308" s="1">
        <f>IF(B308="", "", "Decimal degrees")</f>
        <v>0</v>
      </c>
      <c r="Y308" s="1">
        <f>IF(B308="", "", "other")</f>
        <v>0</v>
      </c>
      <c r="AB308" s="1">
        <f>IF(B308="", "", "Not applicable")</f>
        <v>0</v>
      </c>
    </row>
    <row r="309" spans="1:28">
      <c r="A309">
        <f>IF(COUNTBLANK(B309:AC309)&lt;&gt;COLUMNS(B309:AC309),308,"")</f>
        <v>0</v>
      </c>
      <c r="H309" s="2">
        <f>IF(B309="", "", "not provided")</f>
        <v>0</v>
      </c>
      <c r="I309" s="1">
        <f>IF(B309="", "", "meters")</f>
        <v>0</v>
      </c>
      <c r="T309" s="1">
        <f>IF(B309="", "", "Decimal degrees")</f>
        <v>0</v>
      </c>
      <c r="V309" s="1">
        <f>IF(B309="", "", "Decimal degrees")</f>
        <v>0</v>
      </c>
      <c r="Y309" s="1">
        <f>IF(B309="", "", "other")</f>
        <v>0</v>
      </c>
      <c r="AB309" s="1">
        <f>IF(B309="", "", "Not applicable")</f>
        <v>0</v>
      </c>
    </row>
    <row r="310" spans="1:28">
      <c r="A310">
        <f>IF(COUNTBLANK(B310:AC310)&lt;&gt;COLUMNS(B310:AC310),309,"")</f>
        <v>0</v>
      </c>
      <c r="H310" s="2">
        <f>IF(B310="", "", "not provided")</f>
        <v>0</v>
      </c>
      <c r="I310" s="1">
        <f>IF(B310="", "", "meters")</f>
        <v>0</v>
      </c>
      <c r="T310" s="1">
        <f>IF(B310="", "", "Decimal degrees")</f>
        <v>0</v>
      </c>
      <c r="V310" s="1">
        <f>IF(B310="", "", "Decimal degrees")</f>
        <v>0</v>
      </c>
      <c r="Y310" s="1">
        <f>IF(B310="", "", "other")</f>
        <v>0</v>
      </c>
      <c r="AB310" s="1">
        <f>IF(B310="", "", "Not applicable")</f>
        <v>0</v>
      </c>
    </row>
    <row r="311" spans="1:28">
      <c r="A311">
        <f>IF(COUNTBLANK(B311:AC311)&lt;&gt;COLUMNS(B311:AC311),310,"")</f>
        <v>0</v>
      </c>
      <c r="H311" s="2">
        <f>IF(B311="", "", "not provided")</f>
        <v>0</v>
      </c>
      <c r="I311" s="1">
        <f>IF(B311="", "", "meters")</f>
        <v>0</v>
      </c>
      <c r="T311" s="1">
        <f>IF(B311="", "", "Decimal degrees")</f>
        <v>0</v>
      </c>
      <c r="V311" s="1">
        <f>IF(B311="", "", "Decimal degrees")</f>
        <v>0</v>
      </c>
      <c r="Y311" s="1">
        <f>IF(B311="", "", "other")</f>
        <v>0</v>
      </c>
      <c r="AB311" s="1">
        <f>IF(B311="", "", "Not applicable")</f>
        <v>0</v>
      </c>
    </row>
    <row r="312" spans="1:28">
      <c r="A312">
        <f>IF(COUNTBLANK(B312:AC312)&lt;&gt;COLUMNS(B312:AC312),311,"")</f>
        <v>0</v>
      </c>
      <c r="H312" s="2">
        <f>IF(B312="", "", "not provided")</f>
        <v>0</v>
      </c>
      <c r="I312" s="1">
        <f>IF(B312="", "", "meters")</f>
        <v>0</v>
      </c>
      <c r="T312" s="1">
        <f>IF(B312="", "", "Decimal degrees")</f>
        <v>0</v>
      </c>
      <c r="V312" s="1">
        <f>IF(B312="", "", "Decimal degrees")</f>
        <v>0</v>
      </c>
      <c r="Y312" s="1">
        <f>IF(B312="", "", "other")</f>
        <v>0</v>
      </c>
      <c r="AB312" s="1">
        <f>IF(B312="", "", "Not applicable")</f>
        <v>0</v>
      </c>
    </row>
    <row r="313" spans="1:28">
      <c r="A313">
        <f>IF(COUNTBLANK(B313:AC313)&lt;&gt;COLUMNS(B313:AC313),312,"")</f>
        <v>0</v>
      </c>
      <c r="H313" s="2">
        <f>IF(B313="", "", "not provided")</f>
        <v>0</v>
      </c>
      <c r="I313" s="1">
        <f>IF(B313="", "", "meters")</f>
        <v>0</v>
      </c>
      <c r="T313" s="1">
        <f>IF(B313="", "", "Decimal degrees")</f>
        <v>0</v>
      </c>
      <c r="V313" s="1">
        <f>IF(B313="", "", "Decimal degrees")</f>
        <v>0</v>
      </c>
      <c r="Y313" s="1">
        <f>IF(B313="", "", "other")</f>
        <v>0</v>
      </c>
      <c r="AB313" s="1">
        <f>IF(B313="", "", "Not applicable")</f>
        <v>0</v>
      </c>
    </row>
    <row r="314" spans="1:28">
      <c r="A314">
        <f>IF(COUNTBLANK(B314:AC314)&lt;&gt;COLUMNS(B314:AC314),313,"")</f>
        <v>0</v>
      </c>
      <c r="H314" s="2">
        <f>IF(B314="", "", "not provided")</f>
        <v>0</v>
      </c>
      <c r="I314" s="1">
        <f>IF(B314="", "", "meters")</f>
        <v>0</v>
      </c>
      <c r="T314" s="1">
        <f>IF(B314="", "", "Decimal degrees")</f>
        <v>0</v>
      </c>
      <c r="V314" s="1">
        <f>IF(B314="", "", "Decimal degrees")</f>
        <v>0</v>
      </c>
      <c r="Y314" s="1">
        <f>IF(B314="", "", "other")</f>
        <v>0</v>
      </c>
      <c r="AB314" s="1">
        <f>IF(B314="", "", "Not applicable")</f>
        <v>0</v>
      </c>
    </row>
    <row r="315" spans="1:28">
      <c r="A315">
        <f>IF(COUNTBLANK(B315:AC315)&lt;&gt;COLUMNS(B315:AC315),314,"")</f>
        <v>0</v>
      </c>
      <c r="H315" s="2">
        <f>IF(B315="", "", "not provided")</f>
        <v>0</v>
      </c>
      <c r="I315" s="1">
        <f>IF(B315="", "", "meters")</f>
        <v>0</v>
      </c>
      <c r="T315" s="1">
        <f>IF(B315="", "", "Decimal degrees")</f>
        <v>0</v>
      </c>
      <c r="V315" s="1">
        <f>IF(B315="", "", "Decimal degrees")</f>
        <v>0</v>
      </c>
      <c r="Y315" s="1">
        <f>IF(B315="", "", "other")</f>
        <v>0</v>
      </c>
      <c r="AB315" s="1">
        <f>IF(B315="", "", "Not applicable")</f>
        <v>0</v>
      </c>
    </row>
    <row r="316" spans="1:28">
      <c r="A316">
        <f>IF(COUNTBLANK(B316:AC316)&lt;&gt;COLUMNS(B316:AC316),315,"")</f>
        <v>0</v>
      </c>
      <c r="H316" s="2">
        <f>IF(B316="", "", "not provided")</f>
        <v>0</v>
      </c>
      <c r="I316" s="1">
        <f>IF(B316="", "", "meters")</f>
        <v>0</v>
      </c>
      <c r="T316" s="1">
        <f>IF(B316="", "", "Decimal degrees")</f>
        <v>0</v>
      </c>
      <c r="V316" s="1">
        <f>IF(B316="", "", "Decimal degrees")</f>
        <v>0</v>
      </c>
      <c r="Y316" s="1">
        <f>IF(B316="", "", "other")</f>
        <v>0</v>
      </c>
      <c r="AB316" s="1">
        <f>IF(B316="", "", "Not applicable")</f>
        <v>0</v>
      </c>
    </row>
    <row r="317" spans="1:28">
      <c r="A317">
        <f>IF(COUNTBLANK(B317:AC317)&lt;&gt;COLUMNS(B317:AC317),316,"")</f>
        <v>0</v>
      </c>
      <c r="H317" s="2">
        <f>IF(B317="", "", "not provided")</f>
        <v>0</v>
      </c>
      <c r="I317" s="1">
        <f>IF(B317="", "", "meters")</f>
        <v>0</v>
      </c>
      <c r="T317" s="1">
        <f>IF(B317="", "", "Decimal degrees")</f>
        <v>0</v>
      </c>
      <c r="V317" s="1">
        <f>IF(B317="", "", "Decimal degrees")</f>
        <v>0</v>
      </c>
      <c r="Y317" s="1">
        <f>IF(B317="", "", "other")</f>
        <v>0</v>
      </c>
      <c r="AB317" s="1">
        <f>IF(B317="", "", "Not applicable")</f>
        <v>0</v>
      </c>
    </row>
    <row r="318" spans="1:28">
      <c r="A318">
        <f>IF(COUNTBLANK(B318:AC318)&lt;&gt;COLUMNS(B318:AC318),317,"")</f>
        <v>0</v>
      </c>
      <c r="H318" s="2">
        <f>IF(B318="", "", "not provided")</f>
        <v>0</v>
      </c>
      <c r="I318" s="1">
        <f>IF(B318="", "", "meters")</f>
        <v>0</v>
      </c>
      <c r="T318" s="1">
        <f>IF(B318="", "", "Decimal degrees")</f>
        <v>0</v>
      </c>
      <c r="V318" s="1">
        <f>IF(B318="", "", "Decimal degrees")</f>
        <v>0</v>
      </c>
      <c r="Y318" s="1">
        <f>IF(B318="", "", "other")</f>
        <v>0</v>
      </c>
      <c r="AB318" s="1">
        <f>IF(B318="", "", "Not applicable")</f>
        <v>0</v>
      </c>
    </row>
    <row r="319" spans="1:28">
      <c r="A319">
        <f>IF(COUNTBLANK(B319:AC319)&lt;&gt;COLUMNS(B319:AC319),318,"")</f>
        <v>0</v>
      </c>
      <c r="H319" s="2">
        <f>IF(B319="", "", "not provided")</f>
        <v>0</v>
      </c>
      <c r="I319" s="1">
        <f>IF(B319="", "", "meters")</f>
        <v>0</v>
      </c>
      <c r="T319" s="1">
        <f>IF(B319="", "", "Decimal degrees")</f>
        <v>0</v>
      </c>
      <c r="V319" s="1">
        <f>IF(B319="", "", "Decimal degrees")</f>
        <v>0</v>
      </c>
      <c r="Y319" s="1">
        <f>IF(B319="", "", "other")</f>
        <v>0</v>
      </c>
      <c r="AB319" s="1">
        <f>IF(B319="", "", "Not applicable")</f>
        <v>0</v>
      </c>
    </row>
    <row r="320" spans="1:28">
      <c r="A320">
        <f>IF(COUNTBLANK(B320:AC320)&lt;&gt;COLUMNS(B320:AC320),319,"")</f>
        <v>0</v>
      </c>
      <c r="H320" s="2">
        <f>IF(B320="", "", "not provided")</f>
        <v>0</v>
      </c>
      <c r="I320" s="1">
        <f>IF(B320="", "", "meters")</f>
        <v>0</v>
      </c>
      <c r="T320" s="1">
        <f>IF(B320="", "", "Decimal degrees")</f>
        <v>0</v>
      </c>
      <c r="V320" s="1">
        <f>IF(B320="", "", "Decimal degrees")</f>
        <v>0</v>
      </c>
      <c r="Y320" s="1">
        <f>IF(B320="", "", "other")</f>
        <v>0</v>
      </c>
      <c r="AB320" s="1">
        <f>IF(B320="", "", "Not applicable")</f>
        <v>0</v>
      </c>
    </row>
    <row r="321" spans="1:28">
      <c r="A321">
        <f>IF(COUNTBLANK(B321:AC321)&lt;&gt;COLUMNS(B321:AC321),320,"")</f>
        <v>0</v>
      </c>
      <c r="H321" s="2">
        <f>IF(B321="", "", "not provided")</f>
        <v>0</v>
      </c>
      <c r="I321" s="1">
        <f>IF(B321="", "", "meters")</f>
        <v>0</v>
      </c>
      <c r="T321" s="1">
        <f>IF(B321="", "", "Decimal degrees")</f>
        <v>0</v>
      </c>
      <c r="V321" s="1">
        <f>IF(B321="", "", "Decimal degrees")</f>
        <v>0</v>
      </c>
      <c r="Y321" s="1">
        <f>IF(B321="", "", "other")</f>
        <v>0</v>
      </c>
      <c r="AB321" s="1">
        <f>IF(B321="", "", "Not applicable")</f>
        <v>0</v>
      </c>
    </row>
    <row r="322" spans="1:28">
      <c r="A322">
        <f>IF(COUNTBLANK(B322:AC322)&lt;&gt;COLUMNS(B322:AC322),321,"")</f>
        <v>0</v>
      </c>
      <c r="H322" s="2">
        <f>IF(B322="", "", "not provided")</f>
        <v>0</v>
      </c>
      <c r="I322" s="1">
        <f>IF(B322="", "", "meters")</f>
        <v>0</v>
      </c>
      <c r="T322" s="1">
        <f>IF(B322="", "", "Decimal degrees")</f>
        <v>0</v>
      </c>
      <c r="V322" s="1">
        <f>IF(B322="", "", "Decimal degrees")</f>
        <v>0</v>
      </c>
      <c r="Y322" s="1">
        <f>IF(B322="", "", "other")</f>
        <v>0</v>
      </c>
      <c r="AB322" s="1">
        <f>IF(B322="", "", "Not applicable")</f>
        <v>0</v>
      </c>
    </row>
    <row r="323" spans="1:28">
      <c r="A323">
        <f>IF(COUNTBLANK(B323:AC323)&lt;&gt;COLUMNS(B323:AC323),322,"")</f>
        <v>0</v>
      </c>
      <c r="H323" s="2">
        <f>IF(B323="", "", "not provided")</f>
        <v>0</v>
      </c>
      <c r="I323" s="1">
        <f>IF(B323="", "", "meters")</f>
        <v>0</v>
      </c>
      <c r="T323" s="1">
        <f>IF(B323="", "", "Decimal degrees")</f>
        <v>0</v>
      </c>
      <c r="V323" s="1">
        <f>IF(B323="", "", "Decimal degrees")</f>
        <v>0</v>
      </c>
      <c r="Y323" s="1">
        <f>IF(B323="", "", "other")</f>
        <v>0</v>
      </c>
      <c r="AB323" s="1">
        <f>IF(B323="", "", "Not applicable")</f>
        <v>0</v>
      </c>
    </row>
    <row r="324" spans="1:28">
      <c r="A324">
        <f>IF(COUNTBLANK(B324:AC324)&lt;&gt;COLUMNS(B324:AC324),323,"")</f>
        <v>0</v>
      </c>
      <c r="H324" s="2">
        <f>IF(B324="", "", "not provided")</f>
        <v>0</v>
      </c>
      <c r="I324" s="1">
        <f>IF(B324="", "", "meters")</f>
        <v>0</v>
      </c>
      <c r="T324" s="1">
        <f>IF(B324="", "", "Decimal degrees")</f>
        <v>0</v>
      </c>
      <c r="V324" s="1">
        <f>IF(B324="", "", "Decimal degrees")</f>
        <v>0</v>
      </c>
      <c r="Y324" s="1">
        <f>IF(B324="", "", "other")</f>
        <v>0</v>
      </c>
      <c r="AB324" s="1">
        <f>IF(B324="", "", "Not applicable")</f>
        <v>0</v>
      </c>
    </row>
    <row r="325" spans="1:28">
      <c r="A325">
        <f>IF(COUNTBLANK(B325:AC325)&lt;&gt;COLUMNS(B325:AC325),324,"")</f>
        <v>0</v>
      </c>
      <c r="H325" s="2">
        <f>IF(B325="", "", "not provided")</f>
        <v>0</v>
      </c>
      <c r="I325" s="1">
        <f>IF(B325="", "", "meters")</f>
        <v>0</v>
      </c>
      <c r="T325" s="1">
        <f>IF(B325="", "", "Decimal degrees")</f>
        <v>0</v>
      </c>
      <c r="V325" s="1">
        <f>IF(B325="", "", "Decimal degrees")</f>
        <v>0</v>
      </c>
      <c r="Y325" s="1">
        <f>IF(B325="", "", "other")</f>
        <v>0</v>
      </c>
      <c r="AB325" s="1">
        <f>IF(B325="", "", "Not applicable")</f>
        <v>0</v>
      </c>
    </row>
    <row r="326" spans="1:28">
      <c r="A326">
        <f>IF(COUNTBLANK(B326:AC326)&lt;&gt;COLUMNS(B326:AC326),325,"")</f>
        <v>0</v>
      </c>
      <c r="H326" s="2">
        <f>IF(B326="", "", "not provided")</f>
        <v>0</v>
      </c>
      <c r="I326" s="1">
        <f>IF(B326="", "", "meters")</f>
        <v>0</v>
      </c>
      <c r="T326" s="1">
        <f>IF(B326="", "", "Decimal degrees")</f>
        <v>0</v>
      </c>
      <c r="V326" s="1">
        <f>IF(B326="", "", "Decimal degrees")</f>
        <v>0</v>
      </c>
      <c r="Y326" s="1">
        <f>IF(B326="", "", "other")</f>
        <v>0</v>
      </c>
      <c r="AB326" s="1">
        <f>IF(B326="", "", "Not applicable")</f>
        <v>0</v>
      </c>
    </row>
    <row r="327" spans="1:28">
      <c r="A327">
        <f>IF(COUNTBLANK(B327:AC327)&lt;&gt;COLUMNS(B327:AC327),326,"")</f>
        <v>0</v>
      </c>
      <c r="H327" s="2">
        <f>IF(B327="", "", "not provided")</f>
        <v>0</v>
      </c>
      <c r="I327" s="1">
        <f>IF(B327="", "", "meters")</f>
        <v>0</v>
      </c>
      <c r="T327" s="1">
        <f>IF(B327="", "", "Decimal degrees")</f>
        <v>0</v>
      </c>
      <c r="V327" s="1">
        <f>IF(B327="", "", "Decimal degrees")</f>
        <v>0</v>
      </c>
      <c r="Y327" s="1">
        <f>IF(B327="", "", "other")</f>
        <v>0</v>
      </c>
      <c r="AB327" s="1">
        <f>IF(B327="", "", "Not applicable")</f>
        <v>0</v>
      </c>
    </row>
    <row r="328" spans="1:28">
      <c r="A328">
        <f>IF(COUNTBLANK(B328:AC328)&lt;&gt;COLUMNS(B328:AC328),327,"")</f>
        <v>0</v>
      </c>
      <c r="H328" s="2">
        <f>IF(B328="", "", "not provided")</f>
        <v>0</v>
      </c>
      <c r="I328" s="1">
        <f>IF(B328="", "", "meters")</f>
        <v>0</v>
      </c>
      <c r="T328" s="1">
        <f>IF(B328="", "", "Decimal degrees")</f>
        <v>0</v>
      </c>
      <c r="V328" s="1">
        <f>IF(B328="", "", "Decimal degrees")</f>
        <v>0</v>
      </c>
      <c r="Y328" s="1">
        <f>IF(B328="", "", "other")</f>
        <v>0</v>
      </c>
      <c r="AB328" s="1">
        <f>IF(B328="", "", "Not applicable")</f>
        <v>0</v>
      </c>
    </row>
    <row r="329" spans="1:28">
      <c r="A329">
        <f>IF(COUNTBLANK(B329:AC329)&lt;&gt;COLUMNS(B329:AC329),328,"")</f>
        <v>0</v>
      </c>
      <c r="H329" s="2">
        <f>IF(B329="", "", "not provided")</f>
        <v>0</v>
      </c>
      <c r="I329" s="1">
        <f>IF(B329="", "", "meters")</f>
        <v>0</v>
      </c>
      <c r="T329" s="1">
        <f>IF(B329="", "", "Decimal degrees")</f>
        <v>0</v>
      </c>
      <c r="V329" s="1">
        <f>IF(B329="", "", "Decimal degrees")</f>
        <v>0</v>
      </c>
      <c r="Y329" s="1">
        <f>IF(B329="", "", "other")</f>
        <v>0</v>
      </c>
      <c r="AB329" s="1">
        <f>IF(B329="", "", "Not applicable")</f>
        <v>0</v>
      </c>
    </row>
    <row r="330" spans="1:28">
      <c r="A330">
        <f>IF(COUNTBLANK(B330:AC330)&lt;&gt;COLUMNS(B330:AC330),329,"")</f>
        <v>0</v>
      </c>
      <c r="H330" s="2">
        <f>IF(B330="", "", "not provided")</f>
        <v>0</v>
      </c>
      <c r="I330" s="1">
        <f>IF(B330="", "", "meters")</f>
        <v>0</v>
      </c>
      <c r="T330" s="1">
        <f>IF(B330="", "", "Decimal degrees")</f>
        <v>0</v>
      </c>
      <c r="V330" s="1">
        <f>IF(B330="", "", "Decimal degrees")</f>
        <v>0</v>
      </c>
      <c r="Y330" s="1">
        <f>IF(B330="", "", "other")</f>
        <v>0</v>
      </c>
      <c r="AB330" s="1">
        <f>IF(B330="", "", "Not applicable")</f>
        <v>0</v>
      </c>
    </row>
    <row r="331" spans="1:28">
      <c r="A331">
        <f>IF(COUNTBLANK(B331:AC331)&lt;&gt;COLUMNS(B331:AC331),330,"")</f>
        <v>0</v>
      </c>
      <c r="H331" s="2">
        <f>IF(B331="", "", "not provided")</f>
        <v>0</v>
      </c>
      <c r="I331" s="1">
        <f>IF(B331="", "", "meters")</f>
        <v>0</v>
      </c>
      <c r="T331" s="1">
        <f>IF(B331="", "", "Decimal degrees")</f>
        <v>0</v>
      </c>
      <c r="V331" s="1">
        <f>IF(B331="", "", "Decimal degrees")</f>
        <v>0</v>
      </c>
      <c r="Y331" s="1">
        <f>IF(B331="", "", "other")</f>
        <v>0</v>
      </c>
      <c r="AB331" s="1">
        <f>IF(B331="", "", "Not applicable")</f>
        <v>0</v>
      </c>
    </row>
    <row r="332" spans="1:28">
      <c r="A332">
        <f>IF(COUNTBLANK(B332:AC332)&lt;&gt;COLUMNS(B332:AC332),331,"")</f>
        <v>0</v>
      </c>
      <c r="H332" s="2">
        <f>IF(B332="", "", "not provided")</f>
        <v>0</v>
      </c>
      <c r="I332" s="1">
        <f>IF(B332="", "", "meters")</f>
        <v>0</v>
      </c>
      <c r="T332" s="1">
        <f>IF(B332="", "", "Decimal degrees")</f>
        <v>0</v>
      </c>
      <c r="V332" s="1">
        <f>IF(B332="", "", "Decimal degrees")</f>
        <v>0</v>
      </c>
      <c r="Y332" s="1">
        <f>IF(B332="", "", "other")</f>
        <v>0</v>
      </c>
      <c r="AB332" s="1">
        <f>IF(B332="", "", "Not applicable")</f>
        <v>0</v>
      </c>
    </row>
    <row r="333" spans="1:28">
      <c r="A333">
        <f>IF(COUNTBLANK(B333:AC333)&lt;&gt;COLUMNS(B333:AC333),332,"")</f>
        <v>0</v>
      </c>
      <c r="H333" s="2">
        <f>IF(B333="", "", "not provided")</f>
        <v>0</v>
      </c>
      <c r="I333" s="1">
        <f>IF(B333="", "", "meters")</f>
        <v>0</v>
      </c>
      <c r="T333" s="1">
        <f>IF(B333="", "", "Decimal degrees")</f>
        <v>0</v>
      </c>
      <c r="V333" s="1">
        <f>IF(B333="", "", "Decimal degrees")</f>
        <v>0</v>
      </c>
      <c r="Y333" s="1">
        <f>IF(B333="", "", "other")</f>
        <v>0</v>
      </c>
      <c r="AB333" s="1">
        <f>IF(B333="", "", "Not applicable")</f>
        <v>0</v>
      </c>
    </row>
    <row r="334" spans="1:28">
      <c r="A334">
        <f>IF(COUNTBLANK(B334:AC334)&lt;&gt;COLUMNS(B334:AC334),333,"")</f>
        <v>0</v>
      </c>
      <c r="H334" s="2">
        <f>IF(B334="", "", "not provided")</f>
        <v>0</v>
      </c>
      <c r="I334" s="1">
        <f>IF(B334="", "", "meters")</f>
        <v>0</v>
      </c>
      <c r="T334" s="1">
        <f>IF(B334="", "", "Decimal degrees")</f>
        <v>0</v>
      </c>
      <c r="V334" s="1">
        <f>IF(B334="", "", "Decimal degrees")</f>
        <v>0</v>
      </c>
      <c r="Y334" s="1">
        <f>IF(B334="", "", "other")</f>
        <v>0</v>
      </c>
      <c r="AB334" s="1">
        <f>IF(B334="", "", "Not applicable")</f>
        <v>0</v>
      </c>
    </row>
    <row r="335" spans="1:28">
      <c r="A335">
        <f>IF(COUNTBLANK(B335:AC335)&lt;&gt;COLUMNS(B335:AC335),334,"")</f>
        <v>0</v>
      </c>
      <c r="H335" s="2">
        <f>IF(B335="", "", "not provided")</f>
        <v>0</v>
      </c>
      <c r="I335" s="1">
        <f>IF(B335="", "", "meters")</f>
        <v>0</v>
      </c>
      <c r="T335" s="1">
        <f>IF(B335="", "", "Decimal degrees")</f>
        <v>0</v>
      </c>
      <c r="V335" s="1">
        <f>IF(B335="", "", "Decimal degrees")</f>
        <v>0</v>
      </c>
      <c r="Y335" s="1">
        <f>IF(B335="", "", "other")</f>
        <v>0</v>
      </c>
      <c r="AB335" s="1">
        <f>IF(B335="", "", "Not applicable")</f>
        <v>0</v>
      </c>
    </row>
    <row r="336" spans="1:28">
      <c r="A336">
        <f>IF(COUNTBLANK(B336:AC336)&lt;&gt;COLUMNS(B336:AC336),335,"")</f>
        <v>0</v>
      </c>
      <c r="H336" s="2">
        <f>IF(B336="", "", "not provided")</f>
        <v>0</v>
      </c>
      <c r="I336" s="1">
        <f>IF(B336="", "", "meters")</f>
        <v>0</v>
      </c>
      <c r="T336" s="1">
        <f>IF(B336="", "", "Decimal degrees")</f>
        <v>0</v>
      </c>
      <c r="V336" s="1">
        <f>IF(B336="", "", "Decimal degrees")</f>
        <v>0</v>
      </c>
      <c r="Y336" s="1">
        <f>IF(B336="", "", "other")</f>
        <v>0</v>
      </c>
      <c r="AB336" s="1">
        <f>IF(B336="", "", "Not applicable")</f>
        <v>0</v>
      </c>
    </row>
    <row r="337" spans="1:28">
      <c r="A337">
        <f>IF(COUNTBLANK(B337:AC337)&lt;&gt;COLUMNS(B337:AC337),336,"")</f>
        <v>0</v>
      </c>
      <c r="H337" s="2">
        <f>IF(B337="", "", "not provided")</f>
        <v>0</v>
      </c>
      <c r="I337" s="1">
        <f>IF(B337="", "", "meters")</f>
        <v>0</v>
      </c>
      <c r="T337" s="1">
        <f>IF(B337="", "", "Decimal degrees")</f>
        <v>0</v>
      </c>
      <c r="V337" s="1">
        <f>IF(B337="", "", "Decimal degrees")</f>
        <v>0</v>
      </c>
      <c r="Y337" s="1">
        <f>IF(B337="", "", "other")</f>
        <v>0</v>
      </c>
      <c r="AB337" s="1">
        <f>IF(B337="", "", "Not applicable")</f>
        <v>0</v>
      </c>
    </row>
    <row r="338" spans="1:28">
      <c r="A338">
        <f>IF(COUNTBLANK(B338:AC338)&lt;&gt;COLUMNS(B338:AC338),337,"")</f>
        <v>0</v>
      </c>
      <c r="H338" s="2">
        <f>IF(B338="", "", "not provided")</f>
        <v>0</v>
      </c>
      <c r="I338" s="1">
        <f>IF(B338="", "", "meters")</f>
        <v>0</v>
      </c>
      <c r="T338" s="1">
        <f>IF(B338="", "", "Decimal degrees")</f>
        <v>0</v>
      </c>
      <c r="V338" s="1">
        <f>IF(B338="", "", "Decimal degrees")</f>
        <v>0</v>
      </c>
      <c r="Y338" s="1">
        <f>IF(B338="", "", "other")</f>
        <v>0</v>
      </c>
      <c r="AB338" s="1">
        <f>IF(B338="", "", "Not applicable")</f>
        <v>0</v>
      </c>
    </row>
    <row r="339" spans="1:28">
      <c r="A339">
        <f>IF(COUNTBLANK(B339:AC339)&lt;&gt;COLUMNS(B339:AC339),338,"")</f>
        <v>0</v>
      </c>
      <c r="H339" s="2">
        <f>IF(B339="", "", "not provided")</f>
        <v>0</v>
      </c>
      <c r="I339" s="1">
        <f>IF(B339="", "", "meters")</f>
        <v>0</v>
      </c>
      <c r="T339" s="1">
        <f>IF(B339="", "", "Decimal degrees")</f>
        <v>0</v>
      </c>
      <c r="V339" s="1">
        <f>IF(B339="", "", "Decimal degrees")</f>
        <v>0</v>
      </c>
      <c r="Y339" s="1">
        <f>IF(B339="", "", "other")</f>
        <v>0</v>
      </c>
      <c r="AB339" s="1">
        <f>IF(B339="", "", "Not applicable")</f>
        <v>0</v>
      </c>
    </row>
    <row r="340" spans="1:28">
      <c r="A340">
        <f>IF(COUNTBLANK(B340:AC340)&lt;&gt;COLUMNS(B340:AC340),339,"")</f>
        <v>0</v>
      </c>
      <c r="H340" s="2">
        <f>IF(B340="", "", "not provided")</f>
        <v>0</v>
      </c>
      <c r="I340" s="1">
        <f>IF(B340="", "", "meters")</f>
        <v>0</v>
      </c>
      <c r="T340" s="1">
        <f>IF(B340="", "", "Decimal degrees")</f>
        <v>0</v>
      </c>
      <c r="V340" s="1">
        <f>IF(B340="", "", "Decimal degrees")</f>
        <v>0</v>
      </c>
      <c r="Y340" s="1">
        <f>IF(B340="", "", "other")</f>
        <v>0</v>
      </c>
      <c r="AB340" s="1">
        <f>IF(B340="", "", "Not applicable")</f>
        <v>0</v>
      </c>
    </row>
    <row r="341" spans="1:28">
      <c r="A341">
        <f>IF(COUNTBLANK(B341:AC341)&lt;&gt;COLUMNS(B341:AC341),340,"")</f>
        <v>0</v>
      </c>
      <c r="H341" s="2">
        <f>IF(B341="", "", "not provided")</f>
        <v>0</v>
      </c>
      <c r="I341" s="1">
        <f>IF(B341="", "", "meters")</f>
        <v>0</v>
      </c>
      <c r="T341" s="1">
        <f>IF(B341="", "", "Decimal degrees")</f>
        <v>0</v>
      </c>
      <c r="V341" s="1">
        <f>IF(B341="", "", "Decimal degrees")</f>
        <v>0</v>
      </c>
      <c r="Y341" s="1">
        <f>IF(B341="", "", "other")</f>
        <v>0</v>
      </c>
      <c r="AB341" s="1">
        <f>IF(B341="", "", "Not applicable")</f>
        <v>0</v>
      </c>
    </row>
    <row r="342" spans="1:28">
      <c r="A342">
        <f>IF(COUNTBLANK(B342:AC342)&lt;&gt;COLUMNS(B342:AC342),341,"")</f>
        <v>0</v>
      </c>
      <c r="H342" s="2">
        <f>IF(B342="", "", "not provided")</f>
        <v>0</v>
      </c>
      <c r="I342" s="1">
        <f>IF(B342="", "", "meters")</f>
        <v>0</v>
      </c>
      <c r="T342" s="1">
        <f>IF(B342="", "", "Decimal degrees")</f>
        <v>0</v>
      </c>
      <c r="V342" s="1">
        <f>IF(B342="", "", "Decimal degrees")</f>
        <v>0</v>
      </c>
      <c r="Y342" s="1">
        <f>IF(B342="", "", "other")</f>
        <v>0</v>
      </c>
      <c r="AB342" s="1">
        <f>IF(B342="", "", "Not applicable")</f>
        <v>0</v>
      </c>
    </row>
    <row r="343" spans="1:28">
      <c r="A343">
        <f>IF(COUNTBLANK(B343:AC343)&lt;&gt;COLUMNS(B343:AC343),342,"")</f>
        <v>0</v>
      </c>
      <c r="H343" s="2">
        <f>IF(B343="", "", "not provided")</f>
        <v>0</v>
      </c>
      <c r="I343" s="1">
        <f>IF(B343="", "", "meters")</f>
        <v>0</v>
      </c>
      <c r="T343" s="1">
        <f>IF(B343="", "", "Decimal degrees")</f>
        <v>0</v>
      </c>
      <c r="V343" s="1">
        <f>IF(B343="", "", "Decimal degrees")</f>
        <v>0</v>
      </c>
      <c r="Y343" s="1">
        <f>IF(B343="", "", "other")</f>
        <v>0</v>
      </c>
      <c r="AB343" s="1">
        <f>IF(B343="", "", "Not applicable")</f>
        <v>0</v>
      </c>
    </row>
    <row r="344" spans="1:28">
      <c r="A344">
        <f>IF(COUNTBLANK(B344:AC344)&lt;&gt;COLUMNS(B344:AC344),343,"")</f>
        <v>0</v>
      </c>
      <c r="H344" s="2">
        <f>IF(B344="", "", "not provided")</f>
        <v>0</v>
      </c>
      <c r="I344" s="1">
        <f>IF(B344="", "", "meters")</f>
        <v>0</v>
      </c>
      <c r="T344" s="1">
        <f>IF(B344="", "", "Decimal degrees")</f>
        <v>0</v>
      </c>
      <c r="V344" s="1">
        <f>IF(B344="", "", "Decimal degrees")</f>
        <v>0</v>
      </c>
      <c r="Y344" s="1">
        <f>IF(B344="", "", "other")</f>
        <v>0</v>
      </c>
      <c r="AB344" s="1">
        <f>IF(B344="", "", "Not applicable")</f>
        <v>0</v>
      </c>
    </row>
    <row r="345" spans="1:28">
      <c r="A345">
        <f>IF(COUNTBLANK(B345:AC345)&lt;&gt;COLUMNS(B345:AC345),344,"")</f>
        <v>0</v>
      </c>
      <c r="H345" s="2">
        <f>IF(B345="", "", "not provided")</f>
        <v>0</v>
      </c>
      <c r="I345" s="1">
        <f>IF(B345="", "", "meters")</f>
        <v>0</v>
      </c>
      <c r="T345" s="1">
        <f>IF(B345="", "", "Decimal degrees")</f>
        <v>0</v>
      </c>
      <c r="V345" s="1">
        <f>IF(B345="", "", "Decimal degrees")</f>
        <v>0</v>
      </c>
      <c r="Y345" s="1">
        <f>IF(B345="", "", "other")</f>
        <v>0</v>
      </c>
      <c r="AB345" s="1">
        <f>IF(B345="", "", "Not applicable")</f>
        <v>0</v>
      </c>
    </row>
    <row r="346" spans="1:28">
      <c r="A346">
        <f>IF(COUNTBLANK(B346:AC346)&lt;&gt;COLUMNS(B346:AC346),345,"")</f>
        <v>0</v>
      </c>
      <c r="H346" s="2">
        <f>IF(B346="", "", "not provided")</f>
        <v>0</v>
      </c>
      <c r="I346" s="1">
        <f>IF(B346="", "", "meters")</f>
        <v>0</v>
      </c>
      <c r="T346" s="1">
        <f>IF(B346="", "", "Decimal degrees")</f>
        <v>0</v>
      </c>
      <c r="V346" s="1">
        <f>IF(B346="", "", "Decimal degrees")</f>
        <v>0</v>
      </c>
      <c r="Y346" s="1">
        <f>IF(B346="", "", "other")</f>
        <v>0</v>
      </c>
      <c r="AB346" s="1">
        <f>IF(B346="", "", "Not applicable")</f>
        <v>0</v>
      </c>
    </row>
    <row r="347" spans="1:28">
      <c r="A347">
        <f>IF(COUNTBLANK(B347:AC347)&lt;&gt;COLUMNS(B347:AC347),346,"")</f>
        <v>0</v>
      </c>
      <c r="H347" s="2">
        <f>IF(B347="", "", "not provided")</f>
        <v>0</v>
      </c>
      <c r="I347" s="1">
        <f>IF(B347="", "", "meters")</f>
        <v>0</v>
      </c>
      <c r="T347" s="1">
        <f>IF(B347="", "", "Decimal degrees")</f>
        <v>0</v>
      </c>
      <c r="V347" s="1">
        <f>IF(B347="", "", "Decimal degrees")</f>
        <v>0</v>
      </c>
      <c r="Y347" s="1">
        <f>IF(B347="", "", "other")</f>
        <v>0</v>
      </c>
      <c r="AB347" s="1">
        <f>IF(B347="", "", "Not applicable")</f>
        <v>0</v>
      </c>
    </row>
    <row r="348" spans="1:28">
      <c r="A348">
        <f>IF(COUNTBLANK(B348:AC348)&lt;&gt;COLUMNS(B348:AC348),347,"")</f>
        <v>0</v>
      </c>
      <c r="H348" s="2">
        <f>IF(B348="", "", "not provided")</f>
        <v>0</v>
      </c>
      <c r="I348" s="1">
        <f>IF(B348="", "", "meters")</f>
        <v>0</v>
      </c>
      <c r="T348" s="1">
        <f>IF(B348="", "", "Decimal degrees")</f>
        <v>0</v>
      </c>
      <c r="V348" s="1">
        <f>IF(B348="", "", "Decimal degrees")</f>
        <v>0</v>
      </c>
      <c r="Y348" s="1">
        <f>IF(B348="", "", "other")</f>
        <v>0</v>
      </c>
      <c r="AB348" s="1">
        <f>IF(B348="", "", "Not applicable")</f>
        <v>0</v>
      </c>
    </row>
    <row r="349" spans="1:28">
      <c r="A349">
        <f>IF(COUNTBLANK(B349:AC349)&lt;&gt;COLUMNS(B349:AC349),348,"")</f>
        <v>0</v>
      </c>
      <c r="H349" s="2">
        <f>IF(B349="", "", "not provided")</f>
        <v>0</v>
      </c>
      <c r="I349" s="1">
        <f>IF(B349="", "", "meters")</f>
        <v>0</v>
      </c>
      <c r="T349" s="1">
        <f>IF(B349="", "", "Decimal degrees")</f>
        <v>0</v>
      </c>
      <c r="V349" s="1">
        <f>IF(B349="", "", "Decimal degrees")</f>
        <v>0</v>
      </c>
      <c r="Y349" s="1">
        <f>IF(B349="", "", "other")</f>
        <v>0</v>
      </c>
      <c r="AB349" s="1">
        <f>IF(B349="", "", "Not applicable")</f>
        <v>0</v>
      </c>
    </row>
    <row r="350" spans="1:28">
      <c r="A350">
        <f>IF(COUNTBLANK(B350:AC350)&lt;&gt;COLUMNS(B350:AC350),349,"")</f>
        <v>0</v>
      </c>
      <c r="H350" s="2">
        <f>IF(B350="", "", "not provided")</f>
        <v>0</v>
      </c>
      <c r="I350" s="1">
        <f>IF(B350="", "", "meters")</f>
        <v>0</v>
      </c>
      <c r="T350" s="1">
        <f>IF(B350="", "", "Decimal degrees")</f>
        <v>0</v>
      </c>
      <c r="V350" s="1">
        <f>IF(B350="", "", "Decimal degrees")</f>
        <v>0</v>
      </c>
      <c r="Y350" s="1">
        <f>IF(B350="", "", "other")</f>
        <v>0</v>
      </c>
      <c r="AB350" s="1">
        <f>IF(B350="", "", "Not applicable")</f>
        <v>0</v>
      </c>
    </row>
    <row r="351" spans="1:28">
      <c r="A351">
        <f>IF(COUNTBLANK(B351:AC351)&lt;&gt;COLUMNS(B351:AC351),350,"")</f>
        <v>0</v>
      </c>
      <c r="H351" s="2">
        <f>IF(B351="", "", "not provided")</f>
        <v>0</v>
      </c>
      <c r="I351" s="1">
        <f>IF(B351="", "", "meters")</f>
        <v>0</v>
      </c>
      <c r="T351" s="1">
        <f>IF(B351="", "", "Decimal degrees")</f>
        <v>0</v>
      </c>
      <c r="V351" s="1">
        <f>IF(B351="", "", "Decimal degrees")</f>
        <v>0</v>
      </c>
      <c r="Y351" s="1">
        <f>IF(B351="", "", "other")</f>
        <v>0</v>
      </c>
      <c r="AB351" s="1">
        <f>IF(B351="", "", "Not applicable")</f>
        <v>0</v>
      </c>
    </row>
    <row r="352" spans="1:28">
      <c r="A352">
        <f>IF(COUNTBLANK(B352:AC352)&lt;&gt;COLUMNS(B352:AC352),351,"")</f>
        <v>0</v>
      </c>
      <c r="H352" s="2">
        <f>IF(B352="", "", "not provided")</f>
        <v>0</v>
      </c>
      <c r="I352" s="1">
        <f>IF(B352="", "", "meters")</f>
        <v>0</v>
      </c>
      <c r="T352" s="1">
        <f>IF(B352="", "", "Decimal degrees")</f>
        <v>0</v>
      </c>
      <c r="V352" s="1">
        <f>IF(B352="", "", "Decimal degrees")</f>
        <v>0</v>
      </c>
      <c r="Y352" s="1">
        <f>IF(B352="", "", "other")</f>
        <v>0</v>
      </c>
      <c r="AB352" s="1">
        <f>IF(B352="", "", "Not applicable")</f>
        <v>0</v>
      </c>
    </row>
    <row r="353" spans="1:28">
      <c r="A353">
        <f>IF(COUNTBLANK(B353:AC353)&lt;&gt;COLUMNS(B353:AC353),352,"")</f>
        <v>0</v>
      </c>
      <c r="H353" s="2">
        <f>IF(B353="", "", "not provided")</f>
        <v>0</v>
      </c>
      <c r="I353" s="1">
        <f>IF(B353="", "", "meters")</f>
        <v>0</v>
      </c>
      <c r="T353" s="1">
        <f>IF(B353="", "", "Decimal degrees")</f>
        <v>0</v>
      </c>
      <c r="V353" s="1">
        <f>IF(B353="", "", "Decimal degrees")</f>
        <v>0</v>
      </c>
      <c r="Y353" s="1">
        <f>IF(B353="", "", "other")</f>
        <v>0</v>
      </c>
      <c r="AB353" s="1">
        <f>IF(B353="", "", "Not applicable")</f>
        <v>0</v>
      </c>
    </row>
    <row r="354" spans="1:28">
      <c r="A354">
        <f>IF(COUNTBLANK(B354:AC354)&lt;&gt;COLUMNS(B354:AC354),353,"")</f>
        <v>0</v>
      </c>
      <c r="H354" s="2">
        <f>IF(B354="", "", "not provided")</f>
        <v>0</v>
      </c>
      <c r="I354" s="1">
        <f>IF(B354="", "", "meters")</f>
        <v>0</v>
      </c>
      <c r="T354" s="1">
        <f>IF(B354="", "", "Decimal degrees")</f>
        <v>0</v>
      </c>
      <c r="V354" s="1">
        <f>IF(B354="", "", "Decimal degrees")</f>
        <v>0</v>
      </c>
      <c r="Y354" s="1">
        <f>IF(B354="", "", "other")</f>
        <v>0</v>
      </c>
      <c r="AB354" s="1">
        <f>IF(B354="", "", "Not applicable")</f>
        <v>0</v>
      </c>
    </row>
    <row r="355" spans="1:28">
      <c r="A355">
        <f>IF(COUNTBLANK(B355:AC355)&lt;&gt;COLUMNS(B355:AC355),354,"")</f>
        <v>0</v>
      </c>
      <c r="H355" s="2">
        <f>IF(B355="", "", "not provided")</f>
        <v>0</v>
      </c>
      <c r="I355" s="1">
        <f>IF(B355="", "", "meters")</f>
        <v>0</v>
      </c>
      <c r="T355" s="1">
        <f>IF(B355="", "", "Decimal degrees")</f>
        <v>0</v>
      </c>
      <c r="V355" s="1">
        <f>IF(B355="", "", "Decimal degrees")</f>
        <v>0</v>
      </c>
      <c r="Y355" s="1">
        <f>IF(B355="", "", "other")</f>
        <v>0</v>
      </c>
      <c r="AB355" s="1">
        <f>IF(B355="", "", "Not applicable")</f>
        <v>0</v>
      </c>
    </row>
    <row r="356" spans="1:28">
      <c r="A356">
        <f>IF(COUNTBLANK(B356:AC356)&lt;&gt;COLUMNS(B356:AC356),355,"")</f>
        <v>0</v>
      </c>
      <c r="H356" s="2">
        <f>IF(B356="", "", "not provided")</f>
        <v>0</v>
      </c>
      <c r="I356" s="1">
        <f>IF(B356="", "", "meters")</f>
        <v>0</v>
      </c>
      <c r="T356" s="1">
        <f>IF(B356="", "", "Decimal degrees")</f>
        <v>0</v>
      </c>
      <c r="V356" s="1">
        <f>IF(B356="", "", "Decimal degrees")</f>
        <v>0</v>
      </c>
      <c r="Y356" s="1">
        <f>IF(B356="", "", "other")</f>
        <v>0</v>
      </c>
      <c r="AB356" s="1">
        <f>IF(B356="", "", "Not applicable")</f>
        <v>0</v>
      </c>
    </row>
    <row r="357" spans="1:28">
      <c r="A357">
        <f>IF(COUNTBLANK(B357:AC357)&lt;&gt;COLUMNS(B357:AC357),356,"")</f>
        <v>0</v>
      </c>
      <c r="H357" s="2">
        <f>IF(B357="", "", "not provided")</f>
        <v>0</v>
      </c>
      <c r="I357" s="1">
        <f>IF(B357="", "", "meters")</f>
        <v>0</v>
      </c>
      <c r="T357" s="1">
        <f>IF(B357="", "", "Decimal degrees")</f>
        <v>0</v>
      </c>
      <c r="V357" s="1">
        <f>IF(B357="", "", "Decimal degrees")</f>
        <v>0</v>
      </c>
      <c r="Y357" s="1">
        <f>IF(B357="", "", "other")</f>
        <v>0</v>
      </c>
      <c r="AB357" s="1">
        <f>IF(B357="", "", "Not applicable")</f>
        <v>0</v>
      </c>
    </row>
    <row r="358" spans="1:28">
      <c r="A358">
        <f>IF(COUNTBLANK(B358:AC358)&lt;&gt;COLUMNS(B358:AC358),357,"")</f>
        <v>0</v>
      </c>
      <c r="H358" s="2">
        <f>IF(B358="", "", "not provided")</f>
        <v>0</v>
      </c>
      <c r="I358" s="1">
        <f>IF(B358="", "", "meters")</f>
        <v>0</v>
      </c>
      <c r="T358" s="1">
        <f>IF(B358="", "", "Decimal degrees")</f>
        <v>0</v>
      </c>
      <c r="V358" s="1">
        <f>IF(B358="", "", "Decimal degrees")</f>
        <v>0</v>
      </c>
      <c r="Y358" s="1">
        <f>IF(B358="", "", "other")</f>
        <v>0</v>
      </c>
      <c r="AB358" s="1">
        <f>IF(B358="", "", "Not applicable")</f>
        <v>0</v>
      </c>
    </row>
    <row r="359" spans="1:28">
      <c r="A359">
        <f>IF(COUNTBLANK(B359:AC359)&lt;&gt;COLUMNS(B359:AC359),358,"")</f>
        <v>0</v>
      </c>
      <c r="H359" s="2">
        <f>IF(B359="", "", "not provided")</f>
        <v>0</v>
      </c>
      <c r="I359" s="1">
        <f>IF(B359="", "", "meters")</f>
        <v>0</v>
      </c>
      <c r="T359" s="1">
        <f>IF(B359="", "", "Decimal degrees")</f>
        <v>0</v>
      </c>
      <c r="V359" s="1">
        <f>IF(B359="", "", "Decimal degrees")</f>
        <v>0</v>
      </c>
      <c r="Y359" s="1">
        <f>IF(B359="", "", "other")</f>
        <v>0</v>
      </c>
      <c r="AB359" s="1">
        <f>IF(B359="", "", "Not applicable")</f>
        <v>0</v>
      </c>
    </row>
    <row r="360" spans="1:28">
      <c r="A360">
        <f>IF(COUNTBLANK(B360:AC360)&lt;&gt;COLUMNS(B360:AC360),359,"")</f>
        <v>0</v>
      </c>
      <c r="H360" s="2">
        <f>IF(B360="", "", "not provided")</f>
        <v>0</v>
      </c>
      <c r="I360" s="1">
        <f>IF(B360="", "", "meters")</f>
        <v>0</v>
      </c>
      <c r="T360" s="1">
        <f>IF(B360="", "", "Decimal degrees")</f>
        <v>0</v>
      </c>
      <c r="V360" s="1">
        <f>IF(B360="", "", "Decimal degrees")</f>
        <v>0</v>
      </c>
      <c r="Y360" s="1">
        <f>IF(B360="", "", "other")</f>
        <v>0</v>
      </c>
      <c r="AB360" s="1">
        <f>IF(B360="", "", "Not applicable")</f>
        <v>0</v>
      </c>
    </row>
    <row r="361" spans="1:28">
      <c r="A361">
        <f>IF(COUNTBLANK(B361:AC361)&lt;&gt;COLUMNS(B361:AC361),360,"")</f>
        <v>0</v>
      </c>
      <c r="H361" s="2">
        <f>IF(B361="", "", "not provided")</f>
        <v>0</v>
      </c>
      <c r="I361" s="1">
        <f>IF(B361="", "", "meters")</f>
        <v>0</v>
      </c>
      <c r="T361" s="1">
        <f>IF(B361="", "", "Decimal degrees")</f>
        <v>0</v>
      </c>
      <c r="V361" s="1">
        <f>IF(B361="", "", "Decimal degrees")</f>
        <v>0</v>
      </c>
      <c r="Y361" s="1">
        <f>IF(B361="", "", "other")</f>
        <v>0</v>
      </c>
      <c r="AB361" s="1">
        <f>IF(B361="", "", "Not applicable")</f>
        <v>0</v>
      </c>
    </row>
    <row r="362" spans="1:28">
      <c r="A362">
        <f>IF(COUNTBLANK(B362:AC362)&lt;&gt;COLUMNS(B362:AC362),361,"")</f>
        <v>0</v>
      </c>
      <c r="H362" s="2">
        <f>IF(B362="", "", "not provided")</f>
        <v>0</v>
      </c>
      <c r="I362" s="1">
        <f>IF(B362="", "", "meters")</f>
        <v>0</v>
      </c>
      <c r="T362" s="1">
        <f>IF(B362="", "", "Decimal degrees")</f>
        <v>0</v>
      </c>
      <c r="V362" s="1">
        <f>IF(B362="", "", "Decimal degrees")</f>
        <v>0</v>
      </c>
      <c r="Y362" s="1">
        <f>IF(B362="", "", "other")</f>
        <v>0</v>
      </c>
      <c r="AB362" s="1">
        <f>IF(B362="", "", "Not applicable")</f>
        <v>0</v>
      </c>
    </row>
    <row r="363" spans="1:28">
      <c r="A363">
        <f>IF(COUNTBLANK(B363:AC363)&lt;&gt;COLUMNS(B363:AC363),362,"")</f>
        <v>0</v>
      </c>
      <c r="H363" s="2">
        <f>IF(B363="", "", "not provided")</f>
        <v>0</v>
      </c>
      <c r="I363" s="1">
        <f>IF(B363="", "", "meters")</f>
        <v>0</v>
      </c>
      <c r="T363" s="1">
        <f>IF(B363="", "", "Decimal degrees")</f>
        <v>0</v>
      </c>
      <c r="V363" s="1">
        <f>IF(B363="", "", "Decimal degrees")</f>
        <v>0</v>
      </c>
      <c r="Y363" s="1">
        <f>IF(B363="", "", "other")</f>
        <v>0</v>
      </c>
      <c r="AB363" s="1">
        <f>IF(B363="", "", "Not applicable")</f>
        <v>0</v>
      </c>
    </row>
    <row r="364" spans="1:28">
      <c r="A364">
        <f>IF(COUNTBLANK(B364:AC364)&lt;&gt;COLUMNS(B364:AC364),363,"")</f>
        <v>0</v>
      </c>
      <c r="H364" s="2">
        <f>IF(B364="", "", "not provided")</f>
        <v>0</v>
      </c>
      <c r="I364" s="1">
        <f>IF(B364="", "", "meters")</f>
        <v>0</v>
      </c>
      <c r="T364" s="1">
        <f>IF(B364="", "", "Decimal degrees")</f>
        <v>0</v>
      </c>
      <c r="V364" s="1">
        <f>IF(B364="", "", "Decimal degrees")</f>
        <v>0</v>
      </c>
      <c r="Y364" s="1">
        <f>IF(B364="", "", "other")</f>
        <v>0</v>
      </c>
      <c r="AB364" s="1">
        <f>IF(B364="", "", "Not applicable")</f>
        <v>0</v>
      </c>
    </row>
    <row r="365" spans="1:28">
      <c r="A365">
        <f>IF(COUNTBLANK(B365:AC365)&lt;&gt;COLUMNS(B365:AC365),364,"")</f>
        <v>0</v>
      </c>
      <c r="H365" s="2">
        <f>IF(B365="", "", "not provided")</f>
        <v>0</v>
      </c>
      <c r="I365" s="1">
        <f>IF(B365="", "", "meters")</f>
        <v>0</v>
      </c>
      <c r="T365" s="1">
        <f>IF(B365="", "", "Decimal degrees")</f>
        <v>0</v>
      </c>
      <c r="V365" s="1">
        <f>IF(B365="", "", "Decimal degrees")</f>
        <v>0</v>
      </c>
      <c r="Y365" s="1">
        <f>IF(B365="", "", "other")</f>
        <v>0</v>
      </c>
      <c r="AB365" s="1">
        <f>IF(B365="", "", "Not applicable")</f>
        <v>0</v>
      </c>
    </row>
    <row r="366" spans="1:28">
      <c r="A366">
        <f>IF(COUNTBLANK(B366:AC366)&lt;&gt;COLUMNS(B366:AC366),365,"")</f>
        <v>0</v>
      </c>
      <c r="H366" s="2">
        <f>IF(B366="", "", "not provided")</f>
        <v>0</v>
      </c>
      <c r="I366" s="1">
        <f>IF(B366="", "", "meters")</f>
        <v>0</v>
      </c>
      <c r="T366" s="1">
        <f>IF(B366="", "", "Decimal degrees")</f>
        <v>0</v>
      </c>
      <c r="V366" s="1">
        <f>IF(B366="", "", "Decimal degrees")</f>
        <v>0</v>
      </c>
      <c r="Y366" s="1">
        <f>IF(B366="", "", "other")</f>
        <v>0</v>
      </c>
      <c r="AB366" s="1">
        <f>IF(B366="", "", "Not applicable")</f>
        <v>0</v>
      </c>
    </row>
    <row r="367" spans="1:28">
      <c r="A367">
        <f>IF(COUNTBLANK(B367:AC367)&lt;&gt;COLUMNS(B367:AC367),366,"")</f>
        <v>0</v>
      </c>
      <c r="H367" s="2">
        <f>IF(B367="", "", "not provided")</f>
        <v>0</v>
      </c>
      <c r="I367" s="1">
        <f>IF(B367="", "", "meters")</f>
        <v>0</v>
      </c>
      <c r="T367" s="1">
        <f>IF(B367="", "", "Decimal degrees")</f>
        <v>0</v>
      </c>
      <c r="V367" s="1">
        <f>IF(B367="", "", "Decimal degrees")</f>
        <v>0</v>
      </c>
      <c r="Y367" s="1">
        <f>IF(B367="", "", "other")</f>
        <v>0</v>
      </c>
      <c r="AB367" s="1">
        <f>IF(B367="", "", "Not applicable")</f>
        <v>0</v>
      </c>
    </row>
    <row r="368" spans="1:28">
      <c r="A368">
        <f>IF(COUNTBLANK(B368:AC368)&lt;&gt;COLUMNS(B368:AC368),367,"")</f>
        <v>0</v>
      </c>
      <c r="H368" s="2">
        <f>IF(B368="", "", "not provided")</f>
        <v>0</v>
      </c>
      <c r="I368" s="1">
        <f>IF(B368="", "", "meters")</f>
        <v>0</v>
      </c>
      <c r="T368" s="1">
        <f>IF(B368="", "", "Decimal degrees")</f>
        <v>0</v>
      </c>
      <c r="V368" s="1">
        <f>IF(B368="", "", "Decimal degrees")</f>
        <v>0</v>
      </c>
      <c r="Y368" s="1">
        <f>IF(B368="", "", "other")</f>
        <v>0</v>
      </c>
      <c r="AB368" s="1">
        <f>IF(B368="", "", "Not applicable")</f>
        <v>0</v>
      </c>
    </row>
    <row r="369" spans="1:28">
      <c r="A369">
        <f>IF(COUNTBLANK(B369:AC369)&lt;&gt;COLUMNS(B369:AC369),368,"")</f>
        <v>0</v>
      </c>
      <c r="H369" s="2">
        <f>IF(B369="", "", "not provided")</f>
        <v>0</v>
      </c>
      <c r="I369" s="1">
        <f>IF(B369="", "", "meters")</f>
        <v>0</v>
      </c>
      <c r="T369" s="1">
        <f>IF(B369="", "", "Decimal degrees")</f>
        <v>0</v>
      </c>
      <c r="V369" s="1">
        <f>IF(B369="", "", "Decimal degrees")</f>
        <v>0</v>
      </c>
      <c r="Y369" s="1">
        <f>IF(B369="", "", "other")</f>
        <v>0</v>
      </c>
      <c r="AB369" s="1">
        <f>IF(B369="", "", "Not applicable")</f>
        <v>0</v>
      </c>
    </row>
    <row r="370" spans="1:28">
      <c r="A370">
        <f>IF(COUNTBLANK(B370:AC370)&lt;&gt;COLUMNS(B370:AC370),369,"")</f>
        <v>0</v>
      </c>
      <c r="H370" s="2">
        <f>IF(B370="", "", "not provided")</f>
        <v>0</v>
      </c>
      <c r="I370" s="1">
        <f>IF(B370="", "", "meters")</f>
        <v>0</v>
      </c>
      <c r="T370" s="1">
        <f>IF(B370="", "", "Decimal degrees")</f>
        <v>0</v>
      </c>
      <c r="V370" s="1">
        <f>IF(B370="", "", "Decimal degrees")</f>
        <v>0</v>
      </c>
      <c r="Y370" s="1">
        <f>IF(B370="", "", "other")</f>
        <v>0</v>
      </c>
      <c r="AB370" s="1">
        <f>IF(B370="", "", "Not applicable")</f>
        <v>0</v>
      </c>
    </row>
    <row r="371" spans="1:28">
      <c r="A371">
        <f>IF(COUNTBLANK(B371:AC371)&lt;&gt;COLUMNS(B371:AC371),370,"")</f>
        <v>0</v>
      </c>
      <c r="H371" s="2">
        <f>IF(B371="", "", "not provided")</f>
        <v>0</v>
      </c>
      <c r="I371" s="1">
        <f>IF(B371="", "", "meters")</f>
        <v>0</v>
      </c>
      <c r="T371" s="1">
        <f>IF(B371="", "", "Decimal degrees")</f>
        <v>0</v>
      </c>
      <c r="V371" s="1">
        <f>IF(B371="", "", "Decimal degrees")</f>
        <v>0</v>
      </c>
      <c r="Y371" s="1">
        <f>IF(B371="", "", "other")</f>
        <v>0</v>
      </c>
      <c r="AB371" s="1">
        <f>IF(B371="", "", "Not applicable")</f>
        <v>0</v>
      </c>
    </row>
    <row r="372" spans="1:28">
      <c r="A372">
        <f>IF(COUNTBLANK(B372:AC372)&lt;&gt;COLUMNS(B372:AC372),371,"")</f>
        <v>0</v>
      </c>
      <c r="H372" s="2">
        <f>IF(B372="", "", "not provided")</f>
        <v>0</v>
      </c>
      <c r="I372" s="1">
        <f>IF(B372="", "", "meters")</f>
        <v>0</v>
      </c>
      <c r="T372" s="1">
        <f>IF(B372="", "", "Decimal degrees")</f>
        <v>0</v>
      </c>
      <c r="V372" s="1">
        <f>IF(B372="", "", "Decimal degrees")</f>
        <v>0</v>
      </c>
      <c r="Y372" s="1">
        <f>IF(B372="", "", "other")</f>
        <v>0</v>
      </c>
      <c r="AB372" s="1">
        <f>IF(B372="", "", "Not applicable")</f>
        <v>0</v>
      </c>
    </row>
    <row r="373" spans="1:28">
      <c r="A373">
        <f>IF(COUNTBLANK(B373:AC373)&lt;&gt;COLUMNS(B373:AC373),372,"")</f>
        <v>0</v>
      </c>
      <c r="H373" s="2">
        <f>IF(B373="", "", "not provided")</f>
        <v>0</v>
      </c>
      <c r="I373" s="1">
        <f>IF(B373="", "", "meters")</f>
        <v>0</v>
      </c>
      <c r="T373" s="1">
        <f>IF(B373="", "", "Decimal degrees")</f>
        <v>0</v>
      </c>
      <c r="V373" s="1">
        <f>IF(B373="", "", "Decimal degrees")</f>
        <v>0</v>
      </c>
      <c r="Y373" s="1">
        <f>IF(B373="", "", "other")</f>
        <v>0</v>
      </c>
      <c r="AB373" s="1">
        <f>IF(B373="", "", "Not applicable")</f>
        <v>0</v>
      </c>
    </row>
    <row r="374" spans="1:28">
      <c r="A374">
        <f>IF(COUNTBLANK(B374:AC374)&lt;&gt;COLUMNS(B374:AC374),373,"")</f>
        <v>0</v>
      </c>
      <c r="H374" s="2">
        <f>IF(B374="", "", "not provided")</f>
        <v>0</v>
      </c>
      <c r="I374" s="1">
        <f>IF(B374="", "", "meters")</f>
        <v>0</v>
      </c>
      <c r="T374" s="1">
        <f>IF(B374="", "", "Decimal degrees")</f>
        <v>0</v>
      </c>
      <c r="V374" s="1">
        <f>IF(B374="", "", "Decimal degrees")</f>
        <v>0</v>
      </c>
      <c r="Y374" s="1">
        <f>IF(B374="", "", "other")</f>
        <v>0</v>
      </c>
      <c r="AB374" s="1">
        <f>IF(B374="", "", "Not applicable")</f>
        <v>0</v>
      </c>
    </row>
    <row r="375" spans="1:28">
      <c r="A375">
        <f>IF(COUNTBLANK(B375:AC375)&lt;&gt;COLUMNS(B375:AC375),374,"")</f>
        <v>0</v>
      </c>
      <c r="H375" s="2">
        <f>IF(B375="", "", "not provided")</f>
        <v>0</v>
      </c>
      <c r="I375" s="1">
        <f>IF(B375="", "", "meters")</f>
        <v>0</v>
      </c>
      <c r="T375" s="1">
        <f>IF(B375="", "", "Decimal degrees")</f>
        <v>0</v>
      </c>
      <c r="V375" s="1">
        <f>IF(B375="", "", "Decimal degrees")</f>
        <v>0</v>
      </c>
      <c r="Y375" s="1">
        <f>IF(B375="", "", "other")</f>
        <v>0</v>
      </c>
      <c r="AB375" s="1">
        <f>IF(B375="", "", "Not applicable")</f>
        <v>0</v>
      </c>
    </row>
    <row r="376" spans="1:28">
      <c r="A376">
        <f>IF(COUNTBLANK(B376:AC376)&lt;&gt;COLUMNS(B376:AC376),375,"")</f>
        <v>0</v>
      </c>
      <c r="H376" s="2">
        <f>IF(B376="", "", "not provided")</f>
        <v>0</v>
      </c>
      <c r="I376" s="1">
        <f>IF(B376="", "", "meters")</f>
        <v>0</v>
      </c>
      <c r="T376" s="1">
        <f>IF(B376="", "", "Decimal degrees")</f>
        <v>0</v>
      </c>
      <c r="V376" s="1">
        <f>IF(B376="", "", "Decimal degrees")</f>
        <v>0</v>
      </c>
      <c r="Y376" s="1">
        <f>IF(B376="", "", "other")</f>
        <v>0</v>
      </c>
      <c r="AB376" s="1">
        <f>IF(B376="", "", "Not applicable")</f>
        <v>0</v>
      </c>
    </row>
    <row r="377" spans="1:28">
      <c r="A377">
        <f>IF(COUNTBLANK(B377:AC377)&lt;&gt;COLUMNS(B377:AC377),376,"")</f>
        <v>0</v>
      </c>
      <c r="H377" s="2">
        <f>IF(B377="", "", "not provided")</f>
        <v>0</v>
      </c>
      <c r="I377" s="1">
        <f>IF(B377="", "", "meters")</f>
        <v>0</v>
      </c>
      <c r="T377" s="1">
        <f>IF(B377="", "", "Decimal degrees")</f>
        <v>0</v>
      </c>
      <c r="V377" s="1">
        <f>IF(B377="", "", "Decimal degrees")</f>
        <v>0</v>
      </c>
      <c r="Y377" s="1">
        <f>IF(B377="", "", "other")</f>
        <v>0</v>
      </c>
      <c r="AB377" s="1">
        <f>IF(B377="", "", "Not applicable")</f>
        <v>0</v>
      </c>
    </row>
    <row r="378" spans="1:28">
      <c r="A378">
        <f>IF(COUNTBLANK(B378:AC378)&lt;&gt;COLUMNS(B378:AC378),377,"")</f>
        <v>0</v>
      </c>
      <c r="H378" s="2">
        <f>IF(B378="", "", "not provided")</f>
        <v>0</v>
      </c>
      <c r="I378" s="1">
        <f>IF(B378="", "", "meters")</f>
        <v>0</v>
      </c>
      <c r="T378" s="1">
        <f>IF(B378="", "", "Decimal degrees")</f>
        <v>0</v>
      </c>
      <c r="V378" s="1">
        <f>IF(B378="", "", "Decimal degrees")</f>
        <v>0</v>
      </c>
      <c r="Y378" s="1">
        <f>IF(B378="", "", "other")</f>
        <v>0</v>
      </c>
      <c r="AB378" s="1">
        <f>IF(B378="", "", "Not applicable")</f>
        <v>0</v>
      </c>
    </row>
    <row r="379" spans="1:28">
      <c r="A379">
        <f>IF(COUNTBLANK(B379:AC379)&lt;&gt;COLUMNS(B379:AC379),378,"")</f>
        <v>0</v>
      </c>
      <c r="H379" s="2">
        <f>IF(B379="", "", "not provided")</f>
        <v>0</v>
      </c>
      <c r="I379" s="1">
        <f>IF(B379="", "", "meters")</f>
        <v>0</v>
      </c>
      <c r="T379" s="1">
        <f>IF(B379="", "", "Decimal degrees")</f>
        <v>0</v>
      </c>
      <c r="V379" s="1">
        <f>IF(B379="", "", "Decimal degrees")</f>
        <v>0</v>
      </c>
      <c r="Y379" s="1">
        <f>IF(B379="", "", "other")</f>
        <v>0</v>
      </c>
      <c r="AB379" s="1">
        <f>IF(B379="", "", "Not applicable")</f>
        <v>0</v>
      </c>
    </row>
    <row r="380" spans="1:28">
      <c r="A380">
        <f>IF(COUNTBLANK(B380:AC380)&lt;&gt;COLUMNS(B380:AC380),379,"")</f>
        <v>0</v>
      </c>
      <c r="H380" s="2">
        <f>IF(B380="", "", "not provided")</f>
        <v>0</v>
      </c>
      <c r="I380" s="1">
        <f>IF(B380="", "", "meters")</f>
        <v>0</v>
      </c>
      <c r="T380" s="1">
        <f>IF(B380="", "", "Decimal degrees")</f>
        <v>0</v>
      </c>
      <c r="V380" s="1">
        <f>IF(B380="", "", "Decimal degrees")</f>
        <v>0</v>
      </c>
      <c r="Y380" s="1">
        <f>IF(B380="", "", "other")</f>
        <v>0</v>
      </c>
      <c r="AB380" s="1">
        <f>IF(B380="", "", "Not applicable")</f>
        <v>0</v>
      </c>
    </row>
    <row r="381" spans="1:28">
      <c r="A381">
        <f>IF(COUNTBLANK(B381:AC381)&lt;&gt;COLUMNS(B381:AC381),380,"")</f>
        <v>0</v>
      </c>
      <c r="H381" s="2">
        <f>IF(B381="", "", "not provided")</f>
        <v>0</v>
      </c>
      <c r="I381" s="1">
        <f>IF(B381="", "", "meters")</f>
        <v>0</v>
      </c>
      <c r="T381" s="1">
        <f>IF(B381="", "", "Decimal degrees")</f>
        <v>0</v>
      </c>
      <c r="V381" s="1">
        <f>IF(B381="", "", "Decimal degrees")</f>
        <v>0</v>
      </c>
      <c r="Y381" s="1">
        <f>IF(B381="", "", "other")</f>
        <v>0</v>
      </c>
      <c r="AB381" s="1">
        <f>IF(B381="", "", "Not applicable")</f>
        <v>0</v>
      </c>
    </row>
    <row r="382" spans="1:28">
      <c r="A382">
        <f>IF(COUNTBLANK(B382:AC382)&lt;&gt;COLUMNS(B382:AC382),381,"")</f>
        <v>0</v>
      </c>
      <c r="H382" s="2">
        <f>IF(B382="", "", "not provided")</f>
        <v>0</v>
      </c>
      <c r="I382" s="1">
        <f>IF(B382="", "", "meters")</f>
        <v>0</v>
      </c>
      <c r="T382" s="1">
        <f>IF(B382="", "", "Decimal degrees")</f>
        <v>0</v>
      </c>
      <c r="V382" s="1">
        <f>IF(B382="", "", "Decimal degrees")</f>
        <v>0</v>
      </c>
      <c r="Y382" s="1">
        <f>IF(B382="", "", "other")</f>
        <v>0</v>
      </c>
      <c r="AB382" s="1">
        <f>IF(B382="", "", "Not applicable")</f>
        <v>0</v>
      </c>
    </row>
    <row r="383" spans="1:28">
      <c r="A383">
        <f>IF(COUNTBLANK(B383:AC383)&lt;&gt;COLUMNS(B383:AC383),382,"")</f>
        <v>0</v>
      </c>
      <c r="H383" s="2">
        <f>IF(B383="", "", "not provided")</f>
        <v>0</v>
      </c>
      <c r="I383" s="1">
        <f>IF(B383="", "", "meters")</f>
        <v>0</v>
      </c>
      <c r="T383" s="1">
        <f>IF(B383="", "", "Decimal degrees")</f>
        <v>0</v>
      </c>
      <c r="V383" s="1">
        <f>IF(B383="", "", "Decimal degrees")</f>
        <v>0</v>
      </c>
      <c r="Y383" s="1">
        <f>IF(B383="", "", "other")</f>
        <v>0</v>
      </c>
      <c r="AB383" s="1">
        <f>IF(B383="", "", "Not applicable")</f>
        <v>0</v>
      </c>
    </row>
    <row r="384" spans="1:28">
      <c r="A384">
        <f>IF(COUNTBLANK(B384:AC384)&lt;&gt;COLUMNS(B384:AC384),383,"")</f>
        <v>0</v>
      </c>
      <c r="H384" s="2">
        <f>IF(B384="", "", "not provided")</f>
        <v>0</v>
      </c>
      <c r="I384" s="1">
        <f>IF(B384="", "", "meters")</f>
        <v>0</v>
      </c>
      <c r="T384" s="1">
        <f>IF(B384="", "", "Decimal degrees")</f>
        <v>0</v>
      </c>
      <c r="V384" s="1">
        <f>IF(B384="", "", "Decimal degrees")</f>
        <v>0</v>
      </c>
      <c r="Y384" s="1">
        <f>IF(B384="", "", "other")</f>
        <v>0</v>
      </c>
      <c r="AB384" s="1">
        <f>IF(B384="", "", "Not applicable")</f>
        <v>0</v>
      </c>
    </row>
    <row r="385" spans="1:28">
      <c r="A385">
        <f>IF(COUNTBLANK(B385:AC385)&lt;&gt;COLUMNS(B385:AC385),384,"")</f>
        <v>0</v>
      </c>
      <c r="H385" s="2">
        <f>IF(B385="", "", "not provided")</f>
        <v>0</v>
      </c>
      <c r="I385" s="1">
        <f>IF(B385="", "", "meters")</f>
        <v>0</v>
      </c>
      <c r="T385" s="1">
        <f>IF(B385="", "", "Decimal degrees")</f>
        <v>0</v>
      </c>
      <c r="V385" s="1">
        <f>IF(B385="", "", "Decimal degrees")</f>
        <v>0</v>
      </c>
      <c r="Y385" s="1">
        <f>IF(B385="", "", "other")</f>
        <v>0</v>
      </c>
      <c r="AB385" s="1">
        <f>IF(B385="", "", "Not applicable")</f>
        <v>0</v>
      </c>
    </row>
    <row r="386" spans="1:28">
      <c r="A386">
        <f>IF(COUNTBLANK(B386:AC386)&lt;&gt;COLUMNS(B386:AC386),385,"")</f>
        <v>0</v>
      </c>
      <c r="H386" s="2">
        <f>IF(B386="", "", "not provided")</f>
        <v>0</v>
      </c>
      <c r="I386" s="1">
        <f>IF(B386="", "", "meters")</f>
        <v>0</v>
      </c>
      <c r="T386" s="1">
        <f>IF(B386="", "", "Decimal degrees")</f>
        <v>0</v>
      </c>
      <c r="V386" s="1">
        <f>IF(B386="", "", "Decimal degrees")</f>
        <v>0</v>
      </c>
      <c r="Y386" s="1">
        <f>IF(B386="", "", "other")</f>
        <v>0</v>
      </c>
      <c r="AB386" s="1">
        <f>IF(B386="", "", "Not applicable")</f>
        <v>0</v>
      </c>
    </row>
    <row r="387" spans="1:28">
      <c r="A387">
        <f>IF(COUNTBLANK(B387:AC387)&lt;&gt;COLUMNS(B387:AC387),386,"")</f>
        <v>0</v>
      </c>
      <c r="H387" s="2">
        <f>IF(B387="", "", "not provided")</f>
        <v>0</v>
      </c>
      <c r="I387" s="1">
        <f>IF(B387="", "", "meters")</f>
        <v>0</v>
      </c>
      <c r="T387" s="1">
        <f>IF(B387="", "", "Decimal degrees")</f>
        <v>0</v>
      </c>
      <c r="V387" s="1">
        <f>IF(B387="", "", "Decimal degrees")</f>
        <v>0</v>
      </c>
      <c r="Y387" s="1">
        <f>IF(B387="", "", "other")</f>
        <v>0</v>
      </c>
      <c r="AB387" s="1">
        <f>IF(B387="", "", "Not applicable")</f>
        <v>0</v>
      </c>
    </row>
    <row r="388" spans="1:28">
      <c r="A388">
        <f>IF(COUNTBLANK(B388:AC388)&lt;&gt;COLUMNS(B388:AC388),387,"")</f>
        <v>0</v>
      </c>
      <c r="H388" s="2">
        <f>IF(B388="", "", "not provided")</f>
        <v>0</v>
      </c>
      <c r="I388" s="1">
        <f>IF(B388="", "", "meters")</f>
        <v>0</v>
      </c>
      <c r="T388" s="1">
        <f>IF(B388="", "", "Decimal degrees")</f>
        <v>0</v>
      </c>
      <c r="V388" s="1">
        <f>IF(B388="", "", "Decimal degrees")</f>
        <v>0</v>
      </c>
      <c r="Y388" s="1">
        <f>IF(B388="", "", "other")</f>
        <v>0</v>
      </c>
      <c r="AB388" s="1">
        <f>IF(B388="", "", "Not applicable")</f>
        <v>0</v>
      </c>
    </row>
    <row r="389" spans="1:28">
      <c r="A389">
        <f>IF(COUNTBLANK(B389:AC389)&lt;&gt;COLUMNS(B389:AC389),388,"")</f>
        <v>0</v>
      </c>
      <c r="H389" s="2">
        <f>IF(B389="", "", "not provided")</f>
        <v>0</v>
      </c>
      <c r="I389" s="1">
        <f>IF(B389="", "", "meters")</f>
        <v>0</v>
      </c>
      <c r="T389" s="1">
        <f>IF(B389="", "", "Decimal degrees")</f>
        <v>0</v>
      </c>
      <c r="V389" s="1">
        <f>IF(B389="", "", "Decimal degrees")</f>
        <v>0</v>
      </c>
      <c r="Y389" s="1">
        <f>IF(B389="", "", "other")</f>
        <v>0</v>
      </c>
      <c r="AB389" s="1">
        <f>IF(B389="", "", "Not applicable")</f>
        <v>0</v>
      </c>
    </row>
    <row r="390" spans="1:28">
      <c r="A390">
        <f>IF(COUNTBLANK(B390:AC390)&lt;&gt;COLUMNS(B390:AC390),389,"")</f>
        <v>0</v>
      </c>
      <c r="H390" s="2">
        <f>IF(B390="", "", "not provided")</f>
        <v>0</v>
      </c>
      <c r="I390" s="1">
        <f>IF(B390="", "", "meters")</f>
        <v>0</v>
      </c>
      <c r="T390" s="1">
        <f>IF(B390="", "", "Decimal degrees")</f>
        <v>0</v>
      </c>
      <c r="V390" s="1">
        <f>IF(B390="", "", "Decimal degrees")</f>
        <v>0</v>
      </c>
      <c r="Y390" s="1">
        <f>IF(B390="", "", "other")</f>
        <v>0</v>
      </c>
      <c r="AB390" s="1">
        <f>IF(B390="", "", "Not applicable")</f>
        <v>0</v>
      </c>
    </row>
    <row r="391" spans="1:28">
      <c r="A391">
        <f>IF(COUNTBLANK(B391:AC391)&lt;&gt;COLUMNS(B391:AC391),390,"")</f>
        <v>0</v>
      </c>
      <c r="H391" s="2">
        <f>IF(B391="", "", "not provided")</f>
        <v>0</v>
      </c>
      <c r="I391" s="1">
        <f>IF(B391="", "", "meters")</f>
        <v>0</v>
      </c>
      <c r="T391" s="1">
        <f>IF(B391="", "", "Decimal degrees")</f>
        <v>0</v>
      </c>
      <c r="V391" s="1">
        <f>IF(B391="", "", "Decimal degrees")</f>
        <v>0</v>
      </c>
      <c r="Y391" s="1">
        <f>IF(B391="", "", "other")</f>
        <v>0</v>
      </c>
      <c r="AB391" s="1">
        <f>IF(B391="", "", "Not applicable")</f>
        <v>0</v>
      </c>
    </row>
    <row r="392" spans="1:28">
      <c r="A392">
        <f>IF(COUNTBLANK(B392:AC392)&lt;&gt;COLUMNS(B392:AC392),391,"")</f>
        <v>0</v>
      </c>
      <c r="H392" s="2">
        <f>IF(B392="", "", "not provided")</f>
        <v>0</v>
      </c>
      <c r="I392" s="1">
        <f>IF(B392="", "", "meters")</f>
        <v>0</v>
      </c>
      <c r="T392" s="1">
        <f>IF(B392="", "", "Decimal degrees")</f>
        <v>0</v>
      </c>
      <c r="V392" s="1">
        <f>IF(B392="", "", "Decimal degrees")</f>
        <v>0</v>
      </c>
      <c r="Y392" s="1">
        <f>IF(B392="", "", "other")</f>
        <v>0</v>
      </c>
      <c r="AB392" s="1">
        <f>IF(B392="", "", "Not applicable")</f>
        <v>0</v>
      </c>
    </row>
    <row r="393" spans="1:28">
      <c r="A393">
        <f>IF(COUNTBLANK(B393:AC393)&lt;&gt;COLUMNS(B393:AC393),392,"")</f>
        <v>0</v>
      </c>
      <c r="H393" s="2">
        <f>IF(B393="", "", "not provided")</f>
        <v>0</v>
      </c>
      <c r="I393" s="1">
        <f>IF(B393="", "", "meters")</f>
        <v>0</v>
      </c>
      <c r="T393" s="1">
        <f>IF(B393="", "", "Decimal degrees")</f>
        <v>0</v>
      </c>
      <c r="V393" s="1">
        <f>IF(B393="", "", "Decimal degrees")</f>
        <v>0</v>
      </c>
      <c r="Y393" s="1">
        <f>IF(B393="", "", "other")</f>
        <v>0</v>
      </c>
      <c r="AB393" s="1">
        <f>IF(B393="", "", "Not applicable")</f>
        <v>0</v>
      </c>
    </row>
    <row r="394" spans="1:28">
      <c r="A394">
        <f>IF(COUNTBLANK(B394:AC394)&lt;&gt;COLUMNS(B394:AC394),393,"")</f>
        <v>0</v>
      </c>
      <c r="H394" s="2">
        <f>IF(B394="", "", "not provided")</f>
        <v>0</v>
      </c>
      <c r="I394" s="1">
        <f>IF(B394="", "", "meters")</f>
        <v>0</v>
      </c>
      <c r="T394" s="1">
        <f>IF(B394="", "", "Decimal degrees")</f>
        <v>0</v>
      </c>
      <c r="V394" s="1">
        <f>IF(B394="", "", "Decimal degrees")</f>
        <v>0</v>
      </c>
      <c r="Y394" s="1">
        <f>IF(B394="", "", "other")</f>
        <v>0</v>
      </c>
      <c r="AB394" s="1">
        <f>IF(B394="", "", "Not applicable")</f>
        <v>0</v>
      </c>
    </row>
    <row r="395" spans="1:28">
      <c r="A395">
        <f>IF(COUNTBLANK(B395:AC395)&lt;&gt;COLUMNS(B395:AC395),394,"")</f>
        <v>0</v>
      </c>
      <c r="H395" s="2">
        <f>IF(B395="", "", "not provided")</f>
        <v>0</v>
      </c>
      <c r="I395" s="1">
        <f>IF(B395="", "", "meters")</f>
        <v>0</v>
      </c>
      <c r="T395" s="1">
        <f>IF(B395="", "", "Decimal degrees")</f>
        <v>0</v>
      </c>
      <c r="V395" s="1">
        <f>IF(B395="", "", "Decimal degrees")</f>
        <v>0</v>
      </c>
      <c r="Y395" s="1">
        <f>IF(B395="", "", "other")</f>
        <v>0</v>
      </c>
      <c r="AB395" s="1">
        <f>IF(B395="", "", "Not applicable")</f>
        <v>0</v>
      </c>
    </row>
    <row r="396" spans="1:28">
      <c r="A396">
        <f>IF(COUNTBLANK(B396:AC396)&lt;&gt;COLUMNS(B396:AC396),395,"")</f>
        <v>0</v>
      </c>
      <c r="H396" s="2">
        <f>IF(B396="", "", "not provided")</f>
        <v>0</v>
      </c>
      <c r="I396" s="1">
        <f>IF(B396="", "", "meters")</f>
        <v>0</v>
      </c>
      <c r="T396" s="1">
        <f>IF(B396="", "", "Decimal degrees")</f>
        <v>0</v>
      </c>
      <c r="V396" s="1">
        <f>IF(B396="", "", "Decimal degrees")</f>
        <v>0</v>
      </c>
      <c r="Y396" s="1">
        <f>IF(B396="", "", "other")</f>
        <v>0</v>
      </c>
      <c r="AB396" s="1">
        <f>IF(B396="", "", "Not applicable")</f>
        <v>0</v>
      </c>
    </row>
    <row r="397" spans="1:28">
      <c r="A397">
        <f>IF(COUNTBLANK(B397:AC397)&lt;&gt;COLUMNS(B397:AC397),396,"")</f>
        <v>0</v>
      </c>
      <c r="H397" s="2">
        <f>IF(B397="", "", "not provided")</f>
        <v>0</v>
      </c>
      <c r="I397" s="1">
        <f>IF(B397="", "", "meters")</f>
        <v>0</v>
      </c>
      <c r="T397" s="1">
        <f>IF(B397="", "", "Decimal degrees")</f>
        <v>0</v>
      </c>
      <c r="V397" s="1">
        <f>IF(B397="", "", "Decimal degrees")</f>
        <v>0</v>
      </c>
      <c r="Y397" s="1">
        <f>IF(B397="", "", "other")</f>
        <v>0</v>
      </c>
      <c r="AB397" s="1">
        <f>IF(B397="", "", "Not applicable")</f>
        <v>0</v>
      </c>
    </row>
    <row r="398" spans="1:28">
      <c r="A398">
        <f>IF(COUNTBLANK(B398:AC398)&lt;&gt;COLUMNS(B398:AC398),397,"")</f>
        <v>0</v>
      </c>
      <c r="H398" s="2">
        <f>IF(B398="", "", "not provided")</f>
        <v>0</v>
      </c>
      <c r="I398" s="1">
        <f>IF(B398="", "", "meters")</f>
        <v>0</v>
      </c>
      <c r="T398" s="1">
        <f>IF(B398="", "", "Decimal degrees")</f>
        <v>0</v>
      </c>
      <c r="V398" s="1">
        <f>IF(B398="", "", "Decimal degrees")</f>
        <v>0</v>
      </c>
      <c r="Y398" s="1">
        <f>IF(B398="", "", "other")</f>
        <v>0</v>
      </c>
      <c r="AB398" s="1">
        <f>IF(B398="", "", "Not applicable")</f>
        <v>0</v>
      </c>
    </row>
    <row r="399" spans="1:28">
      <c r="A399">
        <f>IF(COUNTBLANK(B399:AC399)&lt;&gt;COLUMNS(B399:AC399),398,"")</f>
        <v>0</v>
      </c>
      <c r="H399" s="2">
        <f>IF(B399="", "", "not provided")</f>
        <v>0</v>
      </c>
      <c r="I399" s="1">
        <f>IF(B399="", "", "meters")</f>
        <v>0</v>
      </c>
      <c r="T399" s="1">
        <f>IF(B399="", "", "Decimal degrees")</f>
        <v>0</v>
      </c>
      <c r="V399" s="1">
        <f>IF(B399="", "", "Decimal degrees")</f>
        <v>0</v>
      </c>
      <c r="Y399" s="1">
        <f>IF(B399="", "", "other")</f>
        <v>0</v>
      </c>
      <c r="AB399" s="1">
        <f>IF(B399="", "", "Not applicable")</f>
        <v>0</v>
      </c>
    </row>
    <row r="400" spans="1:28">
      <c r="A400">
        <f>IF(COUNTBLANK(B400:AC400)&lt;&gt;COLUMNS(B400:AC400),399,"")</f>
        <v>0</v>
      </c>
      <c r="H400" s="2">
        <f>IF(B400="", "", "not provided")</f>
        <v>0</v>
      </c>
      <c r="I400" s="1">
        <f>IF(B400="", "", "meters")</f>
        <v>0</v>
      </c>
      <c r="T400" s="1">
        <f>IF(B400="", "", "Decimal degrees")</f>
        <v>0</v>
      </c>
      <c r="V400" s="1">
        <f>IF(B400="", "", "Decimal degrees")</f>
        <v>0</v>
      </c>
      <c r="Y400" s="1">
        <f>IF(B400="", "", "other")</f>
        <v>0</v>
      </c>
      <c r="AB400" s="1">
        <f>IF(B400="", "", "Not applicable")</f>
        <v>0</v>
      </c>
    </row>
    <row r="401" spans="1:28">
      <c r="A401">
        <f>IF(COUNTBLANK(B401:AC401)&lt;&gt;COLUMNS(B401:AC401),400,"")</f>
        <v>0</v>
      </c>
      <c r="H401" s="2">
        <f>IF(B401="", "", "not provided")</f>
        <v>0</v>
      </c>
      <c r="I401" s="1">
        <f>IF(B401="", "", "meters")</f>
        <v>0</v>
      </c>
      <c r="T401" s="1">
        <f>IF(B401="", "", "Decimal degrees")</f>
        <v>0</v>
      </c>
      <c r="V401" s="1">
        <f>IF(B401="", "", "Decimal degrees")</f>
        <v>0</v>
      </c>
      <c r="Y401" s="1">
        <f>IF(B401="", "", "other")</f>
        <v>0</v>
      </c>
      <c r="AB401" s="1">
        <f>IF(B401="", "", "Not applicable")</f>
        <v>0</v>
      </c>
    </row>
    <row r="402" spans="1:28">
      <c r="A402">
        <f>IF(COUNTBLANK(B402:AC402)&lt;&gt;COLUMNS(B402:AC402),401,"")</f>
        <v>0</v>
      </c>
      <c r="H402" s="2">
        <f>IF(B402="", "", "not provided")</f>
        <v>0</v>
      </c>
      <c r="I402" s="1">
        <f>IF(B402="", "", "meters")</f>
        <v>0</v>
      </c>
      <c r="T402" s="1">
        <f>IF(B402="", "", "Decimal degrees")</f>
        <v>0</v>
      </c>
      <c r="V402" s="1">
        <f>IF(B402="", "", "Decimal degrees")</f>
        <v>0</v>
      </c>
      <c r="Y402" s="1">
        <f>IF(B402="", "", "other")</f>
        <v>0</v>
      </c>
      <c r="AB402" s="1">
        <f>IF(B402="", "", "Not applicable")</f>
        <v>0</v>
      </c>
    </row>
    <row r="403" spans="1:28">
      <c r="A403">
        <f>IF(COUNTBLANK(B403:AC403)&lt;&gt;COLUMNS(B403:AC403),402,"")</f>
        <v>0</v>
      </c>
      <c r="H403" s="2">
        <f>IF(B403="", "", "not provided")</f>
        <v>0</v>
      </c>
      <c r="I403" s="1">
        <f>IF(B403="", "", "meters")</f>
        <v>0</v>
      </c>
      <c r="T403" s="1">
        <f>IF(B403="", "", "Decimal degrees")</f>
        <v>0</v>
      </c>
      <c r="V403" s="1">
        <f>IF(B403="", "", "Decimal degrees")</f>
        <v>0</v>
      </c>
      <c r="Y403" s="1">
        <f>IF(B403="", "", "other")</f>
        <v>0</v>
      </c>
      <c r="AB403" s="1">
        <f>IF(B403="", "", "Not applicable")</f>
        <v>0</v>
      </c>
    </row>
    <row r="404" spans="1:28">
      <c r="A404">
        <f>IF(COUNTBLANK(B404:AC404)&lt;&gt;COLUMNS(B404:AC404),403,"")</f>
        <v>0</v>
      </c>
      <c r="H404" s="2">
        <f>IF(B404="", "", "not provided")</f>
        <v>0</v>
      </c>
      <c r="I404" s="1">
        <f>IF(B404="", "", "meters")</f>
        <v>0</v>
      </c>
      <c r="T404" s="1">
        <f>IF(B404="", "", "Decimal degrees")</f>
        <v>0</v>
      </c>
      <c r="V404" s="1">
        <f>IF(B404="", "", "Decimal degrees")</f>
        <v>0</v>
      </c>
      <c r="Y404" s="1">
        <f>IF(B404="", "", "other")</f>
        <v>0</v>
      </c>
      <c r="AB404" s="1">
        <f>IF(B404="", "", "Not applicable")</f>
        <v>0</v>
      </c>
    </row>
    <row r="405" spans="1:28">
      <c r="A405">
        <f>IF(COUNTBLANK(B405:AC405)&lt;&gt;COLUMNS(B405:AC405),404,"")</f>
        <v>0</v>
      </c>
      <c r="H405" s="2">
        <f>IF(B405="", "", "not provided")</f>
        <v>0</v>
      </c>
      <c r="I405" s="1">
        <f>IF(B405="", "", "meters")</f>
        <v>0</v>
      </c>
      <c r="T405" s="1">
        <f>IF(B405="", "", "Decimal degrees")</f>
        <v>0</v>
      </c>
      <c r="V405" s="1">
        <f>IF(B405="", "", "Decimal degrees")</f>
        <v>0</v>
      </c>
      <c r="Y405" s="1">
        <f>IF(B405="", "", "other")</f>
        <v>0</v>
      </c>
      <c r="AB405" s="1">
        <f>IF(B405="", "", "Not applicable")</f>
        <v>0</v>
      </c>
    </row>
    <row r="406" spans="1:28">
      <c r="A406">
        <f>IF(COUNTBLANK(B406:AC406)&lt;&gt;COLUMNS(B406:AC406),405,"")</f>
        <v>0</v>
      </c>
      <c r="H406" s="2">
        <f>IF(B406="", "", "not provided")</f>
        <v>0</v>
      </c>
      <c r="I406" s="1">
        <f>IF(B406="", "", "meters")</f>
        <v>0</v>
      </c>
      <c r="T406" s="1">
        <f>IF(B406="", "", "Decimal degrees")</f>
        <v>0</v>
      </c>
      <c r="V406" s="1">
        <f>IF(B406="", "", "Decimal degrees")</f>
        <v>0</v>
      </c>
      <c r="Y406" s="1">
        <f>IF(B406="", "", "other")</f>
        <v>0</v>
      </c>
      <c r="AB406" s="1">
        <f>IF(B406="", "", "Not applicable")</f>
        <v>0</v>
      </c>
    </row>
    <row r="407" spans="1:28">
      <c r="A407">
        <f>IF(COUNTBLANK(B407:AC407)&lt;&gt;COLUMNS(B407:AC407),406,"")</f>
        <v>0</v>
      </c>
      <c r="H407" s="2">
        <f>IF(B407="", "", "not provided")</f>
        <v>0</v>
      </c>
      <c r="I407" s="1">
        <f>IF(B407="", "", "meters")</f>
        <v>0</v>
      </c>
      <c r="T407" s="1">
        <f>IF(B407="", "", "Decimal degrees")</f>
        <v>0</v>
      </c>
      <c r="V407" s="1">
        <f>IF(B407="", "", "Decimal degrees")</f>
        <v>0</v>
      </c>
      <c r="Y407" s="1">
        <f>IF(B407="", "", "other")</f>
        <v>0</v>
      </c>
      <c r="AB407" s="1">
        <f>IF(B407="", "", "Not applicable")</f>
        <v>0</v>
      </c>
    </row>
    <row r="408" spans="1:28">
      <c r="A408">
        <f>IF(COUNTBLANK(B408:AC408)&lt;&gt;COLUMNS(B408:AC408),407,"")</f>
        <v>0</v>
      </c>
      <c r="H408" s="2">
        <f>IF(B408="", "", "not provided")</f>
        <v>0</v>
      </c>
      <c r="I408" s="1">
        <f>IF(B408="", "", "meters")</f>
        <v>0</v>
      </c>
      <c r="T408" s="1">
        <f>IF(B408="", "", "Decimal degrees")</f>
        <v>0</v>
      </c>
      <c r="V408" s="1">
        <f>IF(B408="", "", "Decimal degrees")</f>
        <v>0</v>
      </c>
      <c r="Y408" s="1">
        <f>IF(B408="", "", "other")</f>
        <v>0</v>
      </c>
      <c r="AB408" s="1">
        <f>IF(B408="", "", "Not applicable")</f>
        <v>0</v>
      </c>
    </row>
    <row r="409" spans="1:28">
      <c r="A409">
        <f>IF(COUNTBLANK(B409:AC409)&lt;&gt;COLUMNS(B409:AC409),408,"")</f>
        <v>0</v>
      </c>
      <c r="H409" s="2">
        <f>IF(B409="", "", "not provided")</f>
        <v>0</v>
      </c>
      <c r="I409" s="1">
        <f>IF(B409="", "", "meters")</f>
        <v>0</v>
      </c>
      <c r="T409" s="1">
        <f>IF(B409="", "", "Decimal degrees")</f>
        <v>0</v>
      </c>
      <c r="V409" s="1">
        <f>IF(B409="", "", "Decimal degrees")</f>
        <v>0</v>
      </c>
      <c r="Y409" s="1">
        <f>IF(B409="", "", "other")</f>
        <v>0</v>
      </c>
      <c r="AB409" s="1">
        <f>IF(B409="", "", "Not applicable")</f>
        <v>0</v>
      </c>
    </row>
    <row r="410" spans="1:28">
      <c r="A410">
        <f>IF(COUNTBLANK(B410:AC410)&lt;&gt;COLUMNS(B410:AC410),409,"")</f>
        <v>0</v>
      </c>
      <c r="H410" s="2">
        <f>IF(B410="", "", "not provided")</f>
        <v>0</v>
      </c>
      <c r="I410" s="1">
        <f>IF(B410="", "", "meters")</f>
        <v>0</v>
      </c>
      <c r="T410" s="1">
        <f>IF(B410="", "", "Decimal degrees")</f>
        <v>0</v>
      </c>
      <c r="V410" s="1">
        <f>IF(B410="", "", "Decimal degrees")</f>
        <v>0</v>
      </c>
      <c r="Y410" s="1">
        <f>IF(B410="", "", "other")</f>
        <v>0</v>
      </c>
      <c r="AB410" s="1">
        <f>IF(B410="", "", "Not applicable")</f>
        <v>0</v>
      </c>
    </row>
    <row r="411" spans="1:28">
      <c r="A411">
        <f>IF(COUNTBLANK(B411:AC411)&lt;&gt;COLUMNS(B411:AC411),410,"")</f>
        <v>0</v>
      </c>
      <c r="H411" s="2">
        <f>IF(B411="", "", "not provided")</f>
        <v>0</v>
      </c>
      <c r="I411" s="1">
        <f>IF(B411="", "", "meters")</f>
        <v>0</v>
      </c>
      <c r="T411" s="1">
        <f>IF(B411="", "", "Decimal degrees")</f>
        <v>0</v>
      </c>
      <c r="V411" s="1">
        <f>IF(B411="", "", "Decimal degrees")</f>
        <v>0</v>
      </c>
      <c r="Y411" s="1">
        <f>IF(B411="", "", "other")</f>
        <v>0</v>
      </c>
      <c r="AB411" s="1">
        <f>IF(B411="", "", "Not applicable")</f>
        <v>0</v>
      </c>
    </row>
    <row r="412" spans="1:28">
      <c r="A412">
        <f>IF(COUNTBLANK(B412:AC412)&lt;&gt;COLUMNS(B412:AC412),411,"")</f>
        <v>0</v>
      </c>
      <c r="H412" s="2">
        <f>IF(B412="", "", "not provided")</f>
        <v>0</v>
      </c>
      <c r="I412" s="1">
        <f>IF(B412="", "", "meters")</f>
        <v>0</v>
      </c>
      <c r="T412" s="1">
        <f>IF(B412="", "", "Decimal degrees")</f>
        <v>0</v>
      </c>
      <c r="V412" s="1">
        <f>IF(B412="", "", "Decimal degrees")</f>
        <v>0</v>
      </c>
      <c r="Y412" s="1">
        <f>IF(B412="", "", "other")</f>
        <v>0</v>
      </c>
      <c r="AB412" s="1">
        <f>IF(B412="", "", "Not applicable")</f>
        <v>0</v>
      </c>
    </row>
    <row r="413" spans="1:28">
      <c r="A413">
        <f>IF(COUNTBLANK(B413:AC413)&lt;&gt;COLUMNS(B413:AC413),412,"")</f>
        <v>0</v>
      </c>
      <c r="H413" s="2">
        <f>IF(B413="", "", "not provided")</f>
        <v>0</v>
      </c>
      <c r="I413" s="1">
        <f>IF(B413="", "", "meters")</f>
        <v>0</v>
      </c>
      <c r="T413" s="1">
        <f>IF(B413="", "", "Decimal degrees")</f>
        <v>0</v>
      </c>
      <c r="V413" s="1">
        <f>IF(B413="", "", "Decimal degrees")</f>
        <v>0</v>
      </c>
      <c r="Y413" s="1">
        <f>IF(B413="", "", "other")</f>
        <v>0</v>
      </c>
      <c r="AB413" s="1">
        <f>IF(B413="", "", "Not applicable")</f>
        <v>0</v>
      </c>
    </row>
    <row r="414" spans="1:28">
      <c r="A414">
        <f>IF(COUNTBLANK(B414:AC414)&lt;&gt;COLUMNS(B414:AC414),413,"")</f>
        <v>0</v>
      </c>
      <c r="H414" s="2">
        <f>IF(B414="", "", "not provided")</f>
        <v>0</v>
      </c>
      <c r="I414" s="1">
        <f>IF(B414="", "", "meters")</f>
        <v>0</v>
      </c>
      <c r="T414" s="1">
        <f>IF(B414="", "", "Decimal degrees")</f>
        <v>0</v>
      </c>
      <c r="V414" s="1">
        <f>IF(B414="", "", "Decimal degrees")</f>
        <v>0</v>
      </c>
      <c r="Y414" s="1">
        <f>IF(B414="", "", "other")</f>
        <v>0</v>
      </c>
      <c r="AB414" s="1">
        <f>IF(B414="", "", "Not applicable")</f>
        <v>0</v>
      </c>
    </row>
    <row r="415" spans="1:28">
      <c r="A415">
        <f>IF(COUNTBLANK(B415:AC415)&lt;&gt;COLUMNS(B415:AC415),414,"")</f>
        <v>0</v>
      </c>
      <c r="H415" s="2">
        <f>IF(B415="", "", "not provided")</f>
        <v>0</v>
      </c>
      <c r="I415" s="1">
        <f>IF(B415="", "", "meters")</f>
        <v>0</v>
      </c>
      <c r="T415" s="1">
        <f>IF(B415="", "", "Decimal degrees")</f>
        <v>0</v>
      </c>
      <c r="V415" s="1">
        <f>IF(B415="", "", "Decimal degrees")</f>
        <v>0</v>
      </c>
      <c r="Y415" s="1">
        <f>IF(B415="", "", "other")</f>
        <v>0</v>
      </c>
      <c r="AB415" s="1">
        <f>IF(B415="", "", "Not applicable")</f>
        <v>0</v>
      </c>
    </row>
    <row r="416" spans="1:28">
      <c r="A416">
        <f>IF(COUNTBLANK(B416:AC416)&lt;&gt;COLUMNS(B416:AC416),415,"")</f>
        <v>0</v>
      </c>
      <c r="H416" s="2">
        <f>IF(B416="", "", "not provided")</f>
        <v>0</v>
      </c>
      <c r="I416" s="1">
        <f>IF(B416="", "", "meters")</f>
        <v>0</v>
      </c>
      <c r="T416" s="1">
        <f>IF(B416="", "", "Decimal degrees")</f>
        <v>0</v>
      </c>
      <c r="V416" s="1">
        <f>IF(B416="", "", "Decimal degrees")</f>
        <v>0</v>
      </c>
      <c r="Y416" s="1">
        <f>IF(B416="", "", "other")</f>
        <v>0</v>
      </c>
      <c r="AB416" s="1">
        <f>IF(B416="", "", "Not applicable")</f>
        <v>0</v>
      </c>
    </row>
    <row r="417" spans="1:28">
      <c r="A417">
        <f>IF(COUNTBLANK(B417:AC417)&lt;&gt;COLUMNS(B417:AC417),416,"")</f>
        <v>0</v>
      </c>
      <c r="H417" s="2">
        <f>IF(B417="", "", "not provided")</f>
        <v>0</v>
      </c>
      <c r="I417" s="1">
        <f>IF(B417="", "", "meters")</f>
        <v>0</v>
      </c>
      <c r="T417" s="1">
        <f>IF(B417="", "", "Decimal degrees")</f>
        <v>0</v>
      </c>
      <c r="V417" s="1">
        <f>IF(B417="", "", "Decimal degrees")</f>
        <v>0</v>
      </c>
      <c r="Y417" s="1">
        <f>IF(B417="", "", "other")</f>
        <v>0</v>
      </c>
      <c r="AB417" s="1">
        <f>IF(B417="", "", "Not applicable")</f>
        <v>0</v>
      </c>
    </row>
    <row r="418" spans="1:28">
      <c r="A418">
        <f>IF(COUNTBLANK(B418:AC418)&lt;&gt;COLUMNS(B418:AC418),417,"")</f>
        <v>0</v>
      </c>
      <c r="H418" s="2">
        <f>IF(B418="", "", "not provided")</f>
        <v>0</v>
      </c>
      <c r="I418" s="1">
        <f>IF(B418="", "", "meters")</f>
        <v>0</v>
      </c>
      <c r="T418" s="1">
        <f>IF(B418="", "", "Decimal degrees")</f>
        <v>0</v>
      </c>
      <c r="V418" s="1">
        <f>IF(B418="", "", "Decimal degrees")</f>
        <v>0</v>
      </c>
      <c r="Y418" s="1">
        <f>IF(B418="", "", "other")</f>
        <v>0</v>
      </c>
      <c r="AB418" s="1">
        <f>IF(B418="", "", "Not applicable")</f>
        <v>0</v>
      </c>
    </row>
    <row r="419" spans="1:28">
      <c r="A419">
        <f>IF(COUNTBLANK(B419:AC419)&lt;&gt;COLUMNS(B419:AC419),418,"")</f>
        <v>0</v>
      </c>
      <c r="H419" s="2">
        <f>IF(B419="", "", "not provided")</f>
        <v>0</v>
      </c>
      <c r="I419" s="1">
        <f>IF(B419="", "", "meters")</f>
        <v>0</v>
      </c>
      <c r="T419" s="1">
        <f>IF(B419="", "", "Decimal degrees")</f>
        <v>0</v>
      </c>
      <c r="V419" s="1">
        <f>IF(B419="", "", "Decimal degrees")</f>
        <v>0</v>
      </c>
      <c r="Y419" s="1">
        <f>IF(B419="", "", "other")</f>
        <v>0</v>
      </c>
      <c r="AB419" s="1">
        <f>IF(B419="", "", "Not applicable")</f>
        <v>0</v>
      </c>
    </row>
    <row r="420" spans="1:28">
      <c r="A420">
        <f>IF(COUNTBLANK(B420:AC420)&lt;&gt;COLUMNS(B420:AC420),419,"")</f>
        <v>0</v>
      </c>
      <c r="H420" s="2">
        <f>IF(B420="", "", "not provided")</f>
        <v>0</v>
      </c>
      <c r="I420" s="1">
        <f>IF(B420="", "", "meters")</f>
        <v>0</v>
      </c>
      <c r="T420" s="1">
        <f>IF(B420="", "", "Decimal degrees")</f>
        <v>0</v>
      </c>
      <c r="V420" s="1">
        <f>IF(B420="", "", "Decimal degrees")</f>
        <v>0</v>
      </c>
      <c r="Y420" s="1">
        <f>IF(B420="", "", "other")</f>
        <v>0</v>
      </c>
      <c r="AB420" s="1">
        <f>IF(B420="", "", "Not applicable")</f>
        <v>0</v>
      </c>
    </row>
    <row r="421" spans="1:28">
      <c r="A421">
        <f>IF(COUNTBLANK(B421:AC421)&lt;&gt;COLUMNS(B421:AC421),420,"")</f>
        <v>0</v>
      </c>
      <c r="H421" s="2">
        <f>IF(B421="", "", "not provided")</f>
        <v>0</v>
      </c>
      <c r="I421" s="1">
        <f>IF(B421="", "", "meters")</f>
        <v>0</v>
      </c>
      <c r="T421" s="1">
        <f>IF(B421="", "", "Decimal degrees")</f>
        <v>0</v>
      </c>
      <c r="V421" s="1">
        <f>IF(B421="", "", "Decimal degrees")</f>
        <v>0</v>
      </c>
      <c r="Y421" s="1">
        <f>IF(B421="", "", "other")</f>
        <v>0</v>
      </c>
      <c r="AB421" s="1">
        <f>IF(B421="", "", "Not applicable")</f>
        <v>0</v>
      </c>
    </row>
    <row r="422" spans="1:28">
      <c r="A422">
        <f>IF(COUNTBLANK(B422:AC422)&lt;&gt;COLUMNS(B422:AC422),421,"")</f>
        <v>0</v>
      </c>
      <c r="H422" s="2">
        <f>IF(B422="", "", "not provided")</f>
        <v>0</v>
      </c>
      <c r="I422" s="1">
        <f>IF(B422="", "", "meters")</f>
        <v>0</v>
      </c>
      <c r="T422" s="1">
        <f>IF(B422="", "", "Decimal degrees")</f>
        <v>0</v>
      </c>
      <c r="V422" s="1">
        <f>IF(B422="", "", "Decimal degrees")</f>
        <v>0</v>
      </c>
      <c r="Y422" s="1">
        <f>IF(B422="", "", "other")</f>
        <v>0</v>
      </c>
      <c r="AB422" s="1">
        <f>IF(B422="", "", "Not applicable")</f>
        <v>0</v>
      </c>
    </row>
    <row r="423" spans="1:28">
      <c r="A423">
        <f>IF(COUNTBLANK(B423:AC423)&lt;&gt;COLUMNS(B423:AC423),422,"")</f>
        <v>0</v>
      </c>
      <c r="H423" s="2">
        <f>IF(B423="", "", "not provided")</f>
        <v>0</v>
      </c>
      <c r="I423" s="1">
        <f>IF(B423="", "", "meters")</f>
        <v>0</v>
      </c>
      <c r="T423" s="1">
        <f>IF(B423="", "", "Decimal degrees")</f>
        <v>0</v>
      </c>
      <c r="V423" s="1">
        <f>IF(B423="", "", "Decimal degrees")</f>
        <v>0</v>
      </c>
      <c r="Y423" s="1">
        <f>IF(B423="", "", "other")</f>
        <v>0</v>
      </c>
      <c r="AB423" s="1">
        <f>IF(B423="", "", "Not applicable")</f>
        <v>0</v>
      </c>
    </row>
    <row r="424" spans="1:28">
      <c r="A424">
        <f>IF(COUNTBLANK(B424:AC424)&lt;&gt;COLUMNS(B424:AC424),423,"")</f>
        <v>0</v>
      </c>
      <c r="H424" s="2">
        <f>IF(B424="", "", "not provided")</f>
        <v>0</v>
      </c>
      <c r="I424" s="1">
        <f>IF(B424="", "", "meters")</f>
        <v>0</v>
      </c>
      <c r="T424" s="1">
        <f>IF(B424="", "", "Decimal degrees")</f>
        <v>0</v>
      </c>
      <c r="V424" s="1">
        <f>IF(B424="", "", "Decimal degrees")</f>
        <v>0</v>
      </c>
      <c r="Y424" s="1">
        <f>IF(B424="", "", "other")</f>
        <v>0</v>
      </c>
      <c r="AB424" s="1">
        <f>IF(B424="", "", "Not applicable")</f>
        <v>0</v>
      </c>
    </row>
    <row r="425" spans="1:28">
      <c r="A425">
        <f>IF(COUNTBLANK(B425:AC425)&lt;&gt;COLUMNS(B425:AC425),424,"")</f>
        <v>0</v>
      </c>
      <c r="H425" s="2">
        <f>IF(B425="", "", "not provided")</f>
        <v>0</v>
      </c>
      <c r="I425" s="1">
        <f>IF(B425="", "", "meters")</f>
        <v>0</v>
      </c>
      <c r="T425" s="1">
        <f>IF(B425="", "", "Decimal degrees")</f>
        <v>0</v>
      </c>
      <c r="V425" s="1">
        <f>IF(B425="", "", "Decimal degrees")</f>
        <v>0</v>
      </c>
      <c r="Y425" s="1">
        <f>IF(B425="", "", "other")</f>
        <v>0</v>
      </c>
      <c r="AB425" s="1">
        <f>IF(B425="", "", "Not applicable")</f>
        <v>0</v>
      </c>
    </row>
    <row r="426" spans="1:28">
      <c r="A426">
        <f>IF(COUNTBLANK(B426:AC426)&lt;&gt;COLUMNS(B426:AC426),425,"")</f>
        <v>0</v>
      </c>
      <c r="H426" s="2">
        <f>IF(B426="", "", "not provided")</f>
        <v>0</v>
      </c>
      <c r="I426" s="1">
        <f>IF(B426="", "", "meters")</f>
        <v>0</v>
      </c>
      <c r="T426" s="1">
        <f>IF(B426="", "", "Decimal degrees")</f>
        <v>0</v>
      </c>
      <c r="V426" s="1">
        <f>IF(B426="", "", "Decimal degrees")</f>
        <v>0</v>
      </c>
      <c r="Y426" s="1">
        <f>IF(B426="", "", "other")</f>
        <v>0</v>
      </c>
      <c r="AB426" s="1">
        <f>IF(B426="", "", "Not applicable")</f>
        <v>0</v>
      </c>
    </row>
    <row r="427" spans="1:28">
      <c r="A427">
        <f>IF(COUNTBLANK(B427:AC427)&lt;&gt;COLUMNS(B427:AC427),426,"")</f>
        <v>0</v>
      </c>
      <c r="H427" s="2">
        <f>IF(B427="", "", "not provided")</f>
        <v>0</v>
      </c>
      <c r="I427" s="1">
        <f>IF(B427="", "", "meters")</f>
        <v>0</v>
      </c>
      <c r="T427" s="1">
        <f>IF(B427="", "", "Decimal degrees")</f>
        <v>0</v>
      </c>
      <c r="V427" s="1">
        <f>IF(B427="", "", "Decimal degrees")</f>
        <v>0</v>
      </c>
      <c r="Y427" s="1">
        <f>IF(B427="", "", "other")</f>
        <v>0</v>
      </c>
      <c r="AB427" s="1">
        <f>IF(B427="", "", "Not applicable")</f>
        <v>0</v>
      </c>
    </row>
    <row r="428" spans="1:28">
      <c r="A428">
        <f>IF(COUNTBLANK(B428:AC428)&lt;&gt;COLUMNS(B428:AC428),427,"")</f>
        <v>0</v>
      </c>
      <c r="H428" s="2">
        <f>IF(B428="", "", "not provided")</f>
        <v>0</v>
      </c>
      <c r="I428" s="1">
        <f>IF(B428="", "", "meters")</f>
        <v>0</v>
      </c>
      <c r="T428" s="1">
        <f>IF(B428="", "", "Decimal degrees")</f>
        <v>0</v>
      </c>
      <c r="V428" s="1">
        <f>IF(B428="", "", "Decimal degrees")</f>
        <v>0</v>
      </c>
      <c r="Y428" s="1">
        <f>IF(B428="", "", "other")</f>
        <v>0</v>
      </c>
      <c r="AB428" s="1">
        <f>IF(B428="", "", "Not applicable")</f>
        <v>0</v>
      </c>
    </row>
    <row r="429" spans="1:28">
      <c r="A429">
        <f>IF(COUNTBLANK(B429:AC429)&lt;&gt;COLUMNS(B429:AC429),428,"")</f>
        <v>0</v>
      </c>
      <c r="H429" s="2">
        <f>IF(B429="", "", "not provided")</f>
        <v>0</v>
      </c>
      <c r="I429" s="1">
        <f>IF(B429="", "", "meters")</f>
        <v>0</v>
      </c>
      <c r="T429" s="1">
        <f>IF(B429="", "", "Decimal degrees")</f>
        <v>0</v>
      </c>
      <c r="V429" s="1">
        <f>IF(B429="", "", "Decimal degrees")</f>
        <v>0</v>
      </c>
      <c r="Y429" s="1">
        <f>IF(B429="", "", "other")</f>
        <v>0</v>
      </c>
      <c r="AB429" s="1">
        <f>IF(B429="", "", "Not applicable")</f>
        <v>0</v>
      </c>
    </row>
    <row r="430" spans="1:28">
      <c r="A430">
        <f>IF(COUNTBLANK(B430:AC430)&lt;&gt;COLUMNS(B430:AC430),429,"")</f>
        <v>0</v>
      </c>
      <c r="H430" s="2">
        <f>IF(B430="", "", "not provided")</f>
        <v>0</v>
      </c>
      <c r="I430" s="1">
        <f>IF(B430="", "", "meters")</f>
        <v>0</v>
      </c>
      <c r="T430" s="1">
        <f>IF(B430="", "", "Decimal degrees")</f>
        <v>0</v>
      </c>
      <c r="V430" s="1">
        <f>IF(B430="", "", "Decimal degrees")</f>
        <v>0</v>
      </c>
      <c r="Y430" s="1">
        <f>IF(B430="", "", "other")</f>
        <v>0</v>
      </c>
      <c r="AB430" s="1">
        <f>IF(B430="", "", "Not applicable")</f>
        <v>0</v>
      </c>
    </row>
    <row r="431" spans="1:28">
      <c r="A431">
        <f>IF(COUNTBLANK(B431:AC431)&lt;&gt;COLUMNS(B431:AC431),430,"")</f>
        <v>0</v>
      </c>
      <c r="H431" s="2">
        <f>IF(B431="", "", "not provided")</f>
        <v>0</v>
      </c>
      <c r="I431" s="1">
        <f>IF(B431="", "", "meters")</f>
        <v>0</v>
      </c>
      <c r="T431" s="1">
        <f>IF(B431="", "", "Decimal degrees")</f>
        <v>0</v>
      </c>
      <c r="V431" s="1">
        <f>IF(B431="", "", "Decimal degrees")</f>
        <v>0</v>
      </c>
      <c r="Y431" s="1">
        <f>IF(B431="", "", "other")</f>
        <v>0</v>
      </c>
      <c r="AB431" s="1">
        <f>IF(B431="", "", "Not applicable")</f>
        <v>0</v>
      </c>
    </row>
    <row r="432" spans="1:28">
      <c r="A432">
        <f>IF(COUNTBLANK(B432:AC432)&lt;&gt;COLUMNS(B432:AC432),431,"")</f>
        <v>0</v>
      </c>
      <c r="H432" s="2">
        <f>IF(B432="", "", "not provided")</f>
        <v>0</v>
      </c>
      <c r="I432" s="1">
        <f>IF(B432="", "", "meters")</f>
        <v>0</v>
      </c>
      <c r="T432" s="1">
        <f>IF(B432="", "", "Decimal degrees")</f>
        <v>0</v>
      </c>
      <c r="V432" s="1">
        <f>IF(B432="", "", "Decimal degrees")</f>
        <v>0</v>
      </c>
      <c r="Y432" s="1">
        <f>IF(B432="", "", "other")</f>
        <v>0</v>
      </c>
      <c r="AB432" s="1">
        <f>IF(B432="", "", "Not applicable")</f>
        <v>0</v>
      </c>
    </row>
    <row r="433" spans="1:28">
      <c r="A433">
        <f>IF(COUNTBLANK(B433:AC433)&lt;&gt;COLUMNS(B433:AC433),432,"")</f>
        <v>0</v>
      </c>
      <c r="H433" s="2">
        <f>IF(B433="", "", "not provided")</f>
        <v>0</v>
      </c>
      <c r="I433" s="1">
        <f>IF(B433="", "", "meters")</f>
        <v>0</v>
      </c>
      <c r="T433" s="1">
        <f>IF(B433="", "", "Decimal degrees")</f>
        <v>0</v>
      </c>
      <c r="V433" s="1">
        <f>IF(B433="", "", "Decimal degrees")</f>
        <v>0</v>
      </c>
      <c r="Y433" s="1">
        <f>IF(B433="", "", "other")</f>
        <v>0</v>
      </c>
      <c r="AB433" s="1">
        <f>IF(B433="", "", "Not applicable")</f>
        <v>0</v>
      </c>
    </row>
    <row r="434" spans="1:28">
      <c r="A434">
        <f>IF(COUNTBLANK(B434:AC434)&lt;&gt;COLUMNS(B434:AC434),433,"")</f>
        <v>0</v>
      </c>
      <c r="H434" s="2">
        <f>IF(B434="", "", "not provided")</f>
        <v>0</v>
      </c>
      <c r="I434" s="1">
        <f>IF(B434="", "", "meters")</f>
        <v>0</v>
      </c>
      <c r="T434" s="1">
        <f>IF(B434="", "", "Decimal degrees")</f>
        <v>0</v>
      </c>
      <c r="V434" s="1">
        <f>IF(B434="", "", "Decimal degrees")</f>
        <v>0</v>
      </c>
      <c r="Y434" s="1">
        <f>IF(B434="", "", "other")</f>
        <v>0</v>
      </c>
      <c r="AB434" s="1">
        <f>IF(B434="", "", "Not applicable")</f>
        <v>0</v>
      </c>
    </row>
    <row r="435" spans="1:28">
      <c r="A435">
        <f>IF(COUNTBLANK(B435:AC435)&lt;&gt;COLUMNS(B435:AC435),434,"")</f>
        <v>0</v>
      </c>
      <c r="H435" s="2">
        <f>IF(B435="", "", "not provided")</f>
        <v>0</v>
      </c>
      <c r="I435" s="1">
        <f>IF(B435="", "", "meters")</f>
        <v>0</v>
      </c>
      <c r="T435" s="1">
        <f>IF(B435="", "", "Decimal degrees")</f>
        <v>0</v>
      </c>
      <c r="V435" s="1">
        <f>IF(B435="", "", "Decimal degrees")</f>
        <v>0</v>
      </c>
      <c r="Y435" s="1">
        <f>IF(B435="", "", "other")</f>
        <v>0</v>
      </c>
      <c r="AB435" s="1">
        <f>IF(B435="", "", "Not applicable")</f>
        <v>0</v>
      </c>
    </row>
    <row r="436" spans="1:28">
      <c r="A436">
        <f>IF(COUNTBLANK(B436:AC436)&lt;&gt;COLUMNS(B436:AC436),435,"")</f>
        <v>0</v>
      </c>
      <c r="H436" s="2">
        <f>IF(B436="", "", "not provided")</f>
        <v>0</v>
      </c>
      <c r="I436" s="1">
        <f>IF(B436="", "", "meters")</f>
        <v>0</v>
      </c>
      <c r="T436" s="1">
        <f>IF(B436="", "", "Decimal degrees")</f>
        <v>0</v>
      </c>
      <c r="V436" s="1">
        <f>IF(B436="", "", "Decimal degrees")</f>
        <v>0</v>
      </c>
      <c r="Y436" s="1">
        <f>IF(B436="", "", "other")</f>
        <v>0</v>
      </c>
      <c r="AB436" s="1">
        <f>IF(B436="", "", "Not applicable")</f>
        <v>0</v>
      </c>
    </row>
    <row r="437" spans="1:28">
      <c r="A437">
        <f>IF(COUNTBLANK(B437:AC437)&lt;&gt;COLUMNS(B437:AC437),436,"")</f>
        <v>0</v>
      </c>
      <c r="H437" s="2">
        <f>IF(B437="", "", "not provided")</f>
        <v>0</v>
      </c>
      <c r="I437" s="1">
        <f>IF(B437="", "", "meters")</f>
        <v>0</v>
      </c>
      <c r="T437" s="1">
        <f>IF(B437="", "", "Decimal degrees")</f>
        <v>0</v>
      </c>
      <c r="V437" s="1">
        <f>IF(B437="", "", "Decimal degrees")</f>
        <v>0</v>
      </c>
      <c r="Y437" s="1">
        <f>IF(B437="", "", "other")</f>
        <v>0</v>
      </c>
      <c r="AB437" s="1">
        <f>IF(B437="", "", "Not applicable")</f>
        <v>0</v>
      </c>
    </row>
    <row r="438" spans="1:28">
      <c r="A438">
        <f>IF(COUNTBLANK(B438:AC438)&lt;&gt;COLUMNS(B438:AC438),437,"")</f>
        <v>0</v>
      </c>
      <c r="H438" s="2">
        <f>IF(B438="", "", "not provided")</f>
        <v>0</v>
      </c>
      <c r="I438" s="1">
        <f>IF(B438="", "", "meters")</f>
        <v>0</v>
      </c>
      <c r="T438" s="1">
        <f>IF(B438="", "", "Decimal degrees")</f>
        <v>0</v>
      </c>
      <c r="V438" s="1">
        <f>IF(B438="", "", "Decimal degrees")</f>
        <v>0</v>
      </c>
      <c r="Y438" s="1">
        <f>IF(B438="", "", "other")</f>
        <v>0</v>
      </c>
      <c r="AB438" s="1">
        <f>IF(B438="", "", "Not applicable")</f>
        <v>0</v>
      </c>
    </row>
    <row r="439" spans="1:28">
      <c r="A439">
        <f>IF(COUNTBLANK(B439:AC439)&lt;&gt;COLUMNS(B439:AC439),438,"")</f>
        <v>0</v>
      </c>
      <c r="H439" s="2">
        <f>IF(B439="", "", "not provided")</f>
        <v>0</v>
      </c>
      <c r="I439" s="1">
        <f>IF(B439="", "", "meters")</f>
        <v>0</v>
      </c>
      <c r="T439" s="1">
        <f>IF(B439="", "", "Decimal degrees")</f>
        <v>0</v>
      </c>
      <c r="V439" s="1">
        <f>IF(B439="", "", "Decimal degrees")</f>
        <v>0</v>
      </c>
      <c r="Y439" s="1">
        <f>IF(B439="", "", "other")</f>
        <v>0</v>
      </c>
      <c r="AB439" s="1">
        <f>IF(B439="", "", "Not applicable")</f>
        <v>0</v>
      </c>
    </row>
    <row r="440" spans="1:28">
      <c r="A440">
        <f>IF(COUNTBLANK(B440:AC440)&lt;&gt;COLUMNS(B440:AC440),439,"")</f>
        <v>0</v>
      </c>
      <c r="H440" s="2">
        <f>IF(B440="", "", "not provided")</f>
        <v>0</v>
      </c>
      <c r="I440" s="1">
        <f>IF(B440="", "", "meters")</f>
        <v>0</v>
      </c>
      <c r="T440" s="1">
        <f>IF(B440="", "", "Decimal degrees")</f>
        <v>0</v>
      </c>
      <c r="V440" s="1">
        <f>IF(B440="", "", "Decimal degrees")</f>
        <v>0</v>
      </c>
      <c r="Y440" s="1">
        <f>IF(B440="", "", "other")</f>
        <v>0</v>
      </c>
      <c r="AB440" s="1">
        <f>IF(B440="", "", "Not applicable")</f>
        <v>0</v>
      </c>
    </row>
    <row r="441" spans="1:28">
      <c r="A441">
        <f>IF(COUNTBLANK(B441:AC441)&lt;&gt;COLUMNS(B441:AC441),440,"")</f>
        <v>0</v>
      </c>
      <c r="H441" s="2">
        <f>IF(B441="", "", "not provided")</f>
        <v>0</v>
      </c>
      <c r="I441" s="1">
        <f>IF(B441="", "", "meters")</f>
        <v>0</v>
      </c>
      <c r="T441" s="1">
        <f>IF(B441="", "", "Decimal degrees")</f>
        <v>0</v>
      </c>
      <c r="V441" s="1">
        <f>IF(B441="", "", "Decimal degrees")</f>
        <v>0</v>
      </c>
      <c r="Y441" s="1">
        <f>IF(B441="", "", "other")</f>
        <v>0</v>
      </c>
      <c r="AB441" s="1">
        <f>IF(B441="", "", "Not applicable")</f>
        <v>0</v>
      </c>
    </row>
    <row r="442" spans="1:28">
      <c r="A442">
        <f>IF(COUNTBLANK(B442:AC442)&lt;&gt;COLUMNS(B442:AC442),441,"")</f>
        <v>0</v>
      </c>
      <c r="H442" s="2">
        <f>IF(B442="", "", "not provided")</f>
        <v>0</v>
      </c>
      <c r="I442" s="1">
        <f>IF(B442="", "", "meters")</f>
        <v>0</v>
      </c>
      <c r="T442" s="1">
        <f>IF(B442="", "", "Decimal degrees")</f>
        <v>0</v>
      </c>
      <c r="V442" s="1">
        <f>IF(B442="", "", "Decimal degrees")</f>
        <v>0</v>
      </c>
      <c r="Y442" s="1">
        <f>IF(B442="", "", "other")</f>
        <v>0</v>
      </c>
      <c r="AB442" s="1">
        <f>IF(B442="", "", "Not applicable")</f>
        <v>0</v>
      </c>
    </row>
    <row r="443" spans="1:28">
      <c r="A443">
        <f>IF(COUNTBLANK(B443:AC443)&lt;&gt;COLUMNS(B443:AC443),442,"")</f>
        <v>0</v>
      </c>
      <c r="H443" s="2">
        <f>IF(B443="", "", "not provided")</f>
        <v>0</v>
      </c>
      <c r="I443" s="1">
        <f>IF(B443="", "", "meters")</f>
        <v>0</v>
      </c>
      <c r="T443" s="1">
        <f>IF(B443="", "", "Decimal degrees")</f>
        <v>0</v>
      </c>
      <c r="V443" s="1">
        <f>IF(B443="", "", "Decimal degrees")</f>
        <v>0</v>
      </c>
      <c r="Y443" s="1">
        <f>IF(B443="", "", "other")</f>
        <v>0</v>
      </c>
      <c r="AB443" s="1">
        <f>IF(B443="", "", "Not applicable")</f>
        <v>0</v>
      </c>
    </row>
    <row r="444" spans="1:28">
      <c r="A444">
        <f>IF(COUNTBLANK(B444:AC444)&lt;&gt;COLUMNS(B444:AC444),443,"")</f>
        <v>0</v>
      </c>
      <c r="H444" s="2">
        <f>IF(B444="", "", "not provided")</f>
        <v>0</v>
      </c>
      <c r="I444" s="1">
        <f>IF(B444="", "", "meters")</f>
        <v>0</v>
      </c>
      <c r="T444" s="1">
        <f>IF(B444="", "", "Decimal degrees")</f>
        <v>0</v>
      </c>
      <c r="V444" s="1">
        <f>IF(B444="", "", "Decimal degrees")</f>
        <v>0</v>
      </c>
      <c r="Y444" s="1">
        <f>IF(B444="", "", "other")</f>
        <v>0</v>
      </c>
      <c r="AB444" s="1">
        <f>IF(B444="", "", "Not applicable")</f>
        <v>0</v>
      </c>
    </row>
    <row r="445" spans="1:28">
      <c r="A445">
        <f>IF(COUNTBLANK(B445:AC445)&lt;&gt;COLUMNS(B445:AC445),444,"")</f>
        <v>0</v>
      </c>
      <c r="H445" s="2">
        <f>IF(B445="", "", "not provided")</f>
        <v>0</v>
      </c>
      <c r="I445" s="1">
        <f>IF(B445="", "", "meters")</f>
        <v>0</v>
      </c>
      <c r="T445" s="1">
        <f>IF(B445="", "", "Decimal degrees")</f>
        <v>0</v>
      </c>
      <c r="V445" s="1">
        <f>IF(B445="", "", "Decimal degrees")</f>
        <v>0</v>
      </c>
      <c r="Y445" s="1">
        <f>IF(B445="", "", "other")</f>
        <v>0</v>
      </c>
      <c r="AB445" s="1">
        <f>IF(B445="", "", "Not applicable")</f>
        <v>0</v>
      </c>
    </row>
    <row r="446" spans="1:28">
      <c r="A446">
        <f>IF(COUNTBLANK(B446:AC446)&lt;&gt;COLUMNS(B446:AC446),445,"")</f>
        <v>0</v>
      </c>
      <c r="H446" s="2">
        <f>IF(B446="", "", "not provided")</f>
        <v>0</v>
      </c>
      <c r="I446" s="1">
        <f>IF(B446="", "", "meters")</f>
        <v>0</v>
      </c>
      <c r="T446" s="1">
        <f>IF(B446="", "", "Decimal degrees")</f>
        <v>0</v>
      </c>
      <c r="V446" s="1">
        <f>IF(B446="", "", "Decimal degrees")</f>
        <v>0</v>
      </c>
      <c r="Y446" s="1">
        <f>IF(B446="", "", "other")</f>
        <v>0</v>
      </c>
      <c r="AB446" s="1">
        <f>IF(B446="", "", "Not applicable")</f>
        <v>0</v>
      </c>
    </row>
    <row r="447" spans="1:28">
      <c r="A447">
        <f>IF(COUNTBLANK(B447:AC447)&lt;&gt;COLUMNS(B447:AC447),446,"")</f>
        <v>0</v>
      </c>
      <c r="H447" s="2">
        <f>IF(B447="", "", "not provided")</f>
        <v>0</v>
      </c>
      <c r="I447" s="1">
        <f>IF(B447="", "", "meters")</f>
        <v>0</v>
      </c>
      <c r="T447" s="1">
        <f>IF(B447="", "", "Decimal degrees")</f>
        <v>0</v>
      </c>
      <c r="V447" s="1">
        <f>IF(B447="", "", "Decimal degrees")</f>
        <v>0</v>
      </c>
      <c r="Y447" s="1">
        <f>IF(B447="", "", "other")</f>
        <v>0</v>
      </c>
      <c r="AB447" s="1">
        <f>IF(B447="", "", "Not applicable")</f>
        <v>0</v>
      </c>
    </row>
    <row r="448" spans="1:28">
      <c r="A448">
        <f>IF(COUNTBLANK(B448:AC448)&lt;&gt;COLUMNS(B448:AC448),447,"")</f>
        <v>0</v>
      </c>
      <c r="H448" s="2">
        <f>IF(B448="", "", "not provided")</f>
        <v>0</v>
      </c>
      <c r="I448" s="1">
        <f>IF(B448="", "", "meters")</f>
        <v>0</v>
      </c>
      <c r="T448" s="1">
        <f>IF(B448="", "", "Decimal degrees")</f>
        <v>0</v>
      </c>
      <c r="V448" s="1">
        <f>IF(B448="", "", "Decimal degrees")</f>
        <v>0</v>
      </c>
      <c r="Y448" s="1">
        <f>IF(B448="", "", "other")</f>
        <v>0</v>
      </c>
      <c r="AB448" s="1">
        <f>IF(B448="", "", "Not applicable")</f>
        <v>0</v>
      </c>
    </row>
    <row r="449" spans="1:28">
      <c r="A449">
        <f>IF(COUNTBLANK(B449:AC449)&lt;&gt;COLUMNS(B449:AC449),448,"")</f>
        <v>0</v>
      </c>
      <c r="H449" s="2">
        <f>IF(B449="", "", "not provided")</f>
        <v>0</v>
      </c>
      <c r="I449" s="1">
        <f>IF(B449="", "", "meters")</f>
        <v>0</v>
      </c>
      <c r="T449" s="1">
        <f>IF(B449="", "", "Decimal degrees")</f>
        <v>0</v>
      </c>
      <c r="V449" s="1">
        <f>IF(B449="", "", "Decimal degrees")</f>
        <v>0</v>
      </c>
      <c r="Y449" s="1">
        <f>IF(B449="", "", "other")</f>
        <v>0</v>
      </c>
      <c r="AB449" s="1">
        <f>IF(B449="", "", "Not applicable")</f>
        <v>0</v>
      </c>
    </row>
    <row r="450" spans="1:28">
      <c r="A450">
        <f>IF(COUNTBLANK(B450:AC450)&lt;&gt;COLUMNS(B450:AC450),449,"")</f>
        <v>0</v>
      </c>
      <c r="H450" s="2">
        <f>IF(B450="", "", "not provided")</f>
        <v>0</v>
      </c>
      <c r="I450" s="1">
        <f>IF(B450="", "", "meters")</f>
        <v>0</v>
      </c>
      <c r="T450" s="1">
        <f>IF(B450="", "", "Decimal degrees")</f>
        <v>0</v>
      </c>
      <c r="V450" s="1">
        <f>IF(B450="", "", "Decimal degrees")</f>
        <v>0</v>
      </c>
      <c r="Y450" s="1">
        <f>IF(B450="", "", "other")</f>
        <v>0</v>
      </c>
      <c r="AB450" s="1">
        <f>IF(B450="", "", "Not applicable")</f>
        <v>0</v>
      </c>
    </row>
    <row r="451" spans="1:28">
      <c r="A451">
        <f>IF(COUNTBLANK(B451:AC451)&lt;&gt;COLUMNS(B451:AC451),450,"")</f>
        <v>0</v>
      </c>
      <c r="H451" s="2">
        <f>IF(B451="", "", "not provided")</f>
        <v>0</v>
      </c>
      <c r="I451" s="1">
        <f>IF(B451="", "", "meters")</f>
        <v>0</v>
      </c>
      <c r="T451" s="1">
        <f>IF(B451="", "", "Decimal degrees")</f>
        <v>0</v>
      </c>
      <c r="V451" s="1">
        <f>IF(B451="", "", "Decimal degrees")</f>
        <v>0</v>
      </c>
      <c r="Y451" s="1">
        <f>IF(B451="", "", "other")</f>
        <v>0</v>
      </c>
      <c r="AB451" s="1">
        <f>IF(B451="", "", "Not applicable")</f>
        <v>0</v>
      </c>
    </row>
    <row r="452" spans="1:28">
      <c r="A452">
        <f>IF(COUNTBLANK(B452:AC452)&lt;&gt;COLUMNS(B452:AC452),451,"")</f>
        <v>0</v>
      </c>
      <c r="H452" s="2">
        <f>IF(B452="", "", "not provided")</f>
        <v>0</v>
      </c>
      <c r="I452" s="1">
        <f>IF(B452="", "", "meters")</f>
        <v>0</v>
      </c>
      <c r="T452" s="1">
        <f>IF(B452="", "", "Decimal degrees")</f>
        <v>0</v>
      </c>
      <c r="V452" s="1">
        <f>IF(B452="", "", "Decimal degrees")</f>
        <v>0</v>
      </c>
      <c r="Y452" s="1">
        <f>IF(B452="", "", "other")</f>
        <v>0</v>
      </c>
      <c r="AB452" s="1">
        <f>IF(B452="", "", "Not applicable")</f>
        <v>0</v>
      </c>
    </row>
    <row r="453" spans="1:28">
      <c r="A453">
        <f>IF(COUNTBLANK(B453:AC453)&lt;&gt;COLUMNS(B453:AC453),452,"")</f>
        <v>0</v>
      </c>
      <c r="H453" s="2">
        <f>IF(B453="", "", "not provided")</f>
        <v>0</v>
      </c>
      <c r="I453" s="1">
        <f>IF(B453="", "", "meters")</f>
        <v>0</v>
      </c>
      <c r="T453" s="1">
        <f>IF(B453="", "", "Decimal degrees")</f>
        <v>0</v>
      </c>
      <c r="V453" s="1">
        <f>IF(B453="", "", "Decimal degrees")</f>
        <v>0</v>
      </c>
      <c r="Y453" s="1">
        <f>IF(B453="", "", "other")</f>
        <v>0</v>
      </c>
      <c r="AB453" s="1">
        <f>IF(B453="", "", "Not applicable")</f>
        <v>0</v>
      </c>
    </row>
    <row r="454" spans="1:28">
      <c r="A454">
        <f>IF(COUNTBLANK(B454:AC454)&lt;&gt;COLUMNS(B454:AC454),453,"")</f>
        <v>0</v>
      </c>
      <c r="H454" s="2">
        <f>IF(B454="", "", "not provided")</f>
        <v>0</v>
      </c>
      <c r="I454" s="1">
        <f>IF(B454="", "", "meters")</f>
        <v>0</v>
      </c>
      <c r="T454" s="1">
        <f>IF(B454="", "", "Decimal degrees")</f>
        <v>0</v>
      </c>
      <c r="V454" s="1">
        <f>IF(B454="", "", "Decimal degrees")</f>
        <v>0</v>
      </c>
      <c r="Y454" s="1">
        <f>IF(B454="", "", "other")</f>
        <v>0</v>
      </c>
      <c r="AB454" s="1">
        <f>IF(B454="", "", "Not applicable")</f>
        <v>0</v>
      </c>
    </row>
    <row r="455" spans="1:28">
      <c r="A455">
        <f>IF(COUNTBLANK(B455:AC455)&lt;&gt;COLUMNS(B455:AC455),454,"")</f>
        <v>0</v>
      </c>
      <c r="H455" s="2">
        <f>IF(B455="", "", "not provided")</f>
        <v>0</v>
      </c>
      <c r="I455" s="1">
        <f>IF(B455="", "", "meters")</f>
        <v>0</v>
      </c>
      <c r="T455" s="1">
        <f>IF(B455="", "", "Decimal degrees")</f>
        <v>0</v>
      </c>
      <c r="V455" s="1">
        <f>IF(B455="", "", "Decimal degrees")</f>
        <v>0</v>
      </c>
      <c r="Y455" s="1">
        <f>IF(B455="", "", "other")</f>
        <v>0</v>
      </c>
      <c r="AB455" s="1">
        <f>IF(B455="", "", "Not applicable")</f>
        <v>0</v>
      </c>
    </row>
    <row r="456" spans="1:28">
      <c r="A456">
        <f>IF(COUNTBLANK(B456:AC456)&lt;&gt;COLUMNS(B456:AC456),455,"")</f>
        <v>0</v>
      </c>
      <c r="H456" s="2">
        <f>IF(B456="", "", "not provided")</f>
        <v>0</v>
      </c>
      <c r="I456" s="1">
        <f>IF(B456="", "", "meters")</f>
        <v>0</v>
      </c>
      <c r="T456" s="1">
        <f>IF(B456="", "", "Decimal degrees")</f>
        <v>0</v>
      </c>
      <c r="V456" s="1">
        <f>IF(B456="", "", "Decimal degrees")</f>
        <v>0</v>
      </c>
      <c r="Y456" s="1">
        <f>IF(B456="", "", "other")</f>
        <v>0</v>
      </c>
      <c r="AB456" s="1">
        <f>IF(B456="", "", "Not applicable")</f>
        <v>0</v>
      </c>
    </row>
    <row r="457" spans="1:28">
      <c r="A457">
        <f>IF(COUNTBLANK(B457:AC457)&lt;&gt;COLUMNS(B457:AC457),456,"")</f>
        <v>0</v>
      </c>
      <c r="H457" s="2">
        <f>IF(B457="", "", "not provided")</f>
        <v>0</v>
      </c>
      <c r="I457" s="1">
        <f>IF(B457="", "", "meters")</f>
        <v>0</v>
      </c>
      <c r="T457" s="1">
        <f>IF(B457="", "", "Decimal degrees")</f>
        <v>0</v>
      </c>
      <c r="V457" s="1">
        <f>IF(B457="", "", "Decimal degrees")</f>
        <v>0</v>
      </c>
      <c r="Y457" s="1">
        <f>IF(B457="", "", "other")</f>
        <v>0</v>
      </c>
      <c r="AB457" s="1">
        <f>IF(B457="", "", "Not applicable")</f>
        <v>0</v>
      </c>
    </row>
    <row r="458" spans="1:28">
      <c r="A458">
        <f>IF(COUNTBLANK(B458:AC458)&lt;&gt;COLUMNS(B458:AC458),457,"")</f>
        <v>0</v>
      </c>
      <c r="H458" s="2">
        <f>IF(B458="", "", "not provided")</f>
        <v>0</v>
      </c>
      <c r="I458" s="1">
        <f>IF(B458="", "", "meters")</f>
        <v>0</v>
      </c>
      <c r="T458" s="1">
        <f>IF(B458="", "", "Decimal degrees")</f>
        <v>0</v>
      </c>
      <c r="V458" s="1">
        <f>IF(B458="", "", "Decimal degrees")</f>
        <v>0</v>
      </c>
      <c r="Y458" s="1">
        <f>IF(B458="", "", "other")</f>
        <v>0</v>
      </c>
      <c r="AB458" s="1">
        <f>IF(B458="", "", "Not applicable")</f>
        <v>0</v>
      </c>
    </row>
    <row r="459" spans="1:28">
      <c r="A459">
        <f>IF(COUNTBLANK(B459:AC459)&lt;&gt;COLUMNS(B459:AC459),458,"")</f>
        <v>0</v>
      </c>
      <c r="H459" s="2">
        <f>IF(B459="", "", "not provided")</f>
        <v>0</v>
      </c>
      <c r="I459" s="1">
        <f>IF(B459="", "", "meters")</f>
        <v>0</v>
      </c>
      <c r="T459" s="1">
        <f>IF(B459="", "", "Decimal degrees")</f>
        <v>0</v>
      </c>
      <c r="V459" s="1">
        <f>IF(B459="", "", "Decimal degrees")</f>
        <v>0</v>
      </c>
      <c r="Y459" s="1">
        <f>IF(B459="", "", "other")</f>
        <v>0</v>
      </c>
      <c r="AB459" s="1">
        <f>IF(B459="", "", "Not applicable")</f>
        <v>0</v>
      </c>
    </row>
    <row r="460" spans="1:28">
      <c r="A460">
        <f>IF(COUNTBLANK(B460:AC460)&lt;&gt;COLUMNS(B460:AC460),459,"")</f>
        <v>0</v>
      </c>
      <c r="H460" s="2">
        <f>IF(B460="", "", "not provided")</f>
        <v>0</v>
      </c>
      <c r="I460" s="1">
        <f>IF(B460="", "", "meters")</f>
        <v>0</v>
      </c>
      <c r="T460" s="1">
        <f>IF(B460="", "", "Decimal degrees")</f>
        <v>0</v>
      </c>
      <c r="V460" s="1">
        <f>IF(B460="", "", "Decimal degrees")</f>
        <v>0</v>
      </c>
      <c r="Y460" s="1">
        <f>IF(B460="", "", "other")</f>
        <v>0</v>
      </c>
      <c r="AB460" s="1">
        <f>IF(B460="", "", "Not applicable")</f>
        <v>0</v>
      </c>
    </row>
    <row r="461" spans="1:28">
      <c r="A461">
        <f>IF(COUNTBLANK(B461:AC461)&lt;&gt;COLUMNS(B461:AC461),460,"")</f>
        <v>0</v>
      </c>
      <c r="H461" s="2">
        <f>IF(B461="", "", "not provided")</f>
        <v>0</v>
      </c>
      <c r="I461" s="1">
        <f>IF(B461="", "", "meters")</f>
        <v>0</v>
      </c>
      <c r="T461" s="1">
        <f>IF(B461="", "", "Decimal degrees")</f>
        <v>0</v>
      </c>
      <c r="V461" s="1">
        <f>IF(B461="", "", "Decimal degrees")</f>
        <v>0</v>
      </c>
      <c r="Y461" s="1">
        <f>IF(B461="", "", "other")</f>
        <v>0</v>
      </c>
      <c r="AB461" s="1">
        <f>IF(B461="", "", "Not applicable")</f>
        <v>0</v>
      </c>
    </row>
    <row r="462" spans="1:28">
      <c r="A462">
        <f>IF(COUNTBLANK(B462:AC462)&lt;&gt;COLUMNS(B462:AC462),461,"")</f>
        <v>0</v>
      </c>
      <c r="H462" s="2">
        <f>IF(B462="", "", "not provided")</f>
        <v>0</v>
      </c>
      <c r="I462" s="1">
        <f>IF(B462="", "", "meters")</f>
        <v>0</v>
      </c>
      <c r="T462" s="1">
        <f>IF(B462="", "", "Decimal degrees")</f>
        <v>0</v>
      </c>
      <c r="V462" s="1">
        <f>IF(B462="", "", "Decimal degrees")</f>
        <v>0</v>
      </c>
      <c r="Y462" s="1">
        <f>IF(B462="", "", "other")</f>
        <v>0</v>
      </c>
      <c r="AB462" s="1">
        <f>IF(B462="", "", "Not applicable")</f>
        <v>0</v>
      </c>
    </row>
    <row r="463" spans="1:28">
      <c r="A463">
        <f>IF(COUNTBLANK(B463:AC463)&lt;&gt;COLUMNS(B463:AC463),462,"")</f>
        <v>0</v>
      </c>
      <c r="H463" s="2">
        <f>IF(B463="", "", "not provided")</f>
        <v>0</v>
      </c>
      <c r="I463" s="1">
        <f>IF(B463="", "", "meters")</f>
        <v>0</v>
      </c>
      <c r="T463" s="1">
        <f>IF(B463="", "", "Decimal degrees")</f>
        <v>0</v>
      </c>
      <c r="V463" s="1">
        <f>IF(B463="", "", "Decimal degrees")</f>
        <v>0</v>
      </c>
      <c r="Y463" s="1">
        <f>IF(B463="", "", "other")</f>
        <v>0</v>
      </c>
      <c r="AB463" s="1">
        <f>IF(B463="", "", "Not applicable")</f>
        <v>0</v>
      </c>
    </row>
    <row r="464" spans="1:28">
      <c r="A464">
        <f>IF(COUNTBLANK(B464:AC464)&lt;&gt;COLUMNS(B464:AC464),463,"")</f>
        <v>0</v>
      </c>
      <c r="H464" s="2">
        <f>IF(B464="", "", "not provided")</f>
        <v>0</v>
      </c>
      <c r="I464" s="1">
        <f>IF(B464="", "", "meters")</f>
        <v>0</v>
      </c>
      <c r="T464" s="1">
        <f>IF(B464="", "", "Decimal degrees")</f>
        <v>0</v>
      </c>
      <c r="V464" s="1">
        <f>IF(B464="", "", "Decimal degrees")</f>
        <v>0</v>
      </c>
      <c r="Y464" s="1">
        <f>IF(B464="", "", "other")</f>
        <v>0</v>
      </c>
      <c r="AB464" s="1">
        <f>IF(B464="", "", "Not applicable")</f>
        <v>0</v>
      </c>
    </row>
    <row r="465" spans="1:28">
      <c r="A465">
        <f>IF(COUNTBLANK(B465:AC465)&lt;&gt;COLUMNS(B465:AC465),464,"")</f>
        <v>0</v>
      </c>
      <c r="H465" s="2">
        <f>IF(B465="", "", "not provided")</f>
        <v>0</v>
      </c>
      <c r="I465" s="1">
        <f>IF(B465="", "", "meters")</f>
        <v>0</v>
      </c>
      <c r="T465" s="1">
        <f>IF(B465="", "", "Decimal degrees")</f>
        <v>0</v>
      </c>
      <c r="V465" s="1">
        <f>IF(B465="", "", "Decimal degrees")</f>
        <v>0</v>
      </c>
      <c r="Y465" s="1">
        <f>IF(B465="", "", "other")</f>
        <v>0</v>
      </c>
      <c r="AB465" s="1">
        <f>IF(B465="", "", "Not applicable")</f>
        <v>0</v>
      </c>
    </row>
    <row r="466" spans="1:28">
      <c r="A466">
        <f>IF(COUNTBLANK(B466:AC466)&lt;&gt;COLUMNS(B466:AC466),465,"")</f>
        <v>0</v>
      </c>
      <c r="H466" s="2">
        <f>IF(B466="", "", "not provided")</f>
        <v>0</v>
      </c>
      <c r="I466" s="1">
        <f>IF(B466="", "", "meters")</f>
        <v>0</v>
      </c>
      <c r="T466" s="1">
        <f>IF(B466="", "", "Decimal degrees")</f>
        <v>0</v>
      </c>
      <c r="V466" s="1">
        <f>IF(B466="", "", "Decimal degrees")</f>
        <v>0</v>
      </c>
      <c r="Y466" s="1">
        <f>IF(B466="", "", "other")</f>
        <v>0</v>
      </c>
      <c r="AB466" s="1">
        <f>IF(B466="", "", "Not applicable")</f>
        <v>0</v>
      </c>
    </row>
    <row r="467" spans="1:28">
      <c r="A467">
        <f>IF(COUNTBLANK(B467:AC467)&lt;&gt;COLUMNS(B467:AC467),466,"")</f>
        <v>0</v>
      </c>
      <c r="H467" s="2">
        <f>IF(B467="", "", "not provided")</f>
        <v>0</v>
      </c>
      <c r="I467" s="1">
        <f>IF(B467="", "", "meters")</f>
        <v>0</v>
      </c>
      <c r="T467" s="1">
        <f>IF(B467="", "", "Decimal degrees")</f>
        <v>0</v>
      </c>
      <c r="V467" s="1">
        <f>IF(B467="", "", "Decimal degrees")</f>
        <v>0</v>
      </c>
      <c r="Y467" s="1">
        <f>IF(B467="", "", "other")</f>
        <v>0</v>
      </c>
      <c r="AB467" s="1">
        <f>IF(B467="", "", "Not applicable")</f>
        <v>0</v>
      </c>
    </row>
    <row r="468" spans="1:28">
      <c r="A468">
        <f>IF(COUNTBLANK(B468:AC468)&lt;&gt;COLUMNS(B468:AC468),467,"")</f>
        <v>0</v>
      </c>
      <c r="H468" s="2">
        <f>IF(B468="", "", "not provided")</f>
        <v>0</v>
      </c>
      <c r="I468" s="1">
        <f>IF(B468="", "", "meters")</f>
        <v>0</v>
      </c>
      <c r="T468" s="1">
        <f>IF(B468="", "", "Decimal degrees")</f>
        <v>0</v>
      </c>
      <c r="V468" s="1">
        <f>IF(B468="", "", "Decimal degrees")</f>
        <v>0</v>
      </c>
      <c r="Y468" s="1">
        <f>IF(B468="", "", "other")</f>
        <v>0</v>
      </c>
      <c r="AB468" s="1">
        <f>IF(B468="", "", "Not applicable")</f>
        <v>0</v>
      </c>
    </row>
    <row r="469" spans="1:28">
      <c r="A469">
        <f>IF(COUNTBLANK(B469:AC469)&lt;&gt;COLUMNS(B469:AC469),468,"")</f>
        <v>0</v>
      </c>
      <c r="H469" s="2">
        <f>IF(B469="", "", "not provided")</f>
        <v>0</v>
      </c>
      <c r="I469" s="1">
        <f>IF(B469="", "", "meters")</f>
        <v>0</v>
      </c>
      <c r="T469" s="1">
        <f>IF(B469="", "", "Decimal degrees")</f>
        <v>0</v>
      </c>
      <c r="V469" s="1">
        <f>IF(B469="", "", "Decimal degrees")</f>
        <v>0</v>
      </c>
      <c r="Y469" s="1">
        <f>IF(B469="", "", "other")</f>
        <v>0</v>
      </c>
      <c r="AB469" s="1">
        <f>IF(B469="", "", "Not applicable")</f>
        <v>0</v>
      </c>
    </row>
    <row r="470" spans="1:28">
      <c r="A470">
        <f>IF(COUNTBLANK(B470:AC470)&lt;&gt;COLUMNS(B470:AC470),469,"")</f>
        <v>0</v>
      </c>
      <c r="H470" s="2">
        <f>IF(B470="", "", "not provided")</f>
        <v>0</v>
      </c>
      <c r="I470" s="1">
        <f>IF(B470="", "", "meters")</f>
        <v>0</v>
      </c>
      <c r="T470" s="1">
        <f>IF(B470="", "", "Decimal degrees")</f>
        <v>0</v>
      </c>
      <c r="V470" s="1">
        <f>IF(B470="", "", "Decimal degrees")</f>
        <v>0</v>
      </c>
      <c r="Y470" s="1">
        <f>IF(B470="", "", "other")</f>
        <v>0</v>
      </c>
      <c r="AB470" s="1">
        <f>IF(B470="", "", "Not applicable")</f>
        <v>0</v>
      </c>
    </row>
    <row r="471" spans="1:28">
      <c r="A471">
        <f>IF(COUNTBLANK(B471:AC471)&lt;&gt;COLUMNS(B471:AC471),470,"")</f>
        <v>0</v>
      </c>
      <c r="H471" s="2">
        <f>IF(B471="", "", "not provided")</f>
        <v>0</v>
      </c>
      <c r="I471" s="1">
        <f>IF(B471="", "", "meters")</f>
        <v>0</v>
      </c>
      <c r="T471" s="1">
        <f>IF(B471="", "", "Decimal degrees")</f>
        <v>0</v>
      </c>
      <c r="V471" s="1">
        <f>IF(B471="", "", "Decimal degrees")</f>
        <v>0</v>
      </c>
      <c r="Y471" s="1">
        <f>IF(B471="", "", "other")</f>
        <v>0</v>
      </c>
      <c r="AB471" s="1">
        <f>IF(B471="", "", "Not applicable")</f>
        <v>0</v>
      </c>
    </row>
    <row r="472" spans="1:28">
      <c r="A472">
        <f>IF(COUNTBLANK(B472:AC472)&lt;&gt;COLUMNS(B472:AC472),471,"")</f>
        <v>0</v>
      </c>
      <c r="H472" s="2">
        <f>IF(B472="", "", "not provided")</f>
        <v>0</v>
      </c>
      <c r="I472" s="1">
        <f>IF(B472="", "", "meters")</f>
        <v>0</v>
      </c>
      <c r="T472" s="1">
        <f>IF(B472="", "", "Decimal degrees")</f>
        <v>0</v>
      </c>
      <c r="V472" s="1">
        <f>IF(B472="", "", "Decimal degrees")</f>
        <v>0</v>
      </c>
      <c r="Y472" s="1">
        <f>IF(B472="", "", "other")</f>
        <v>0</v>
      </c>
      <c r="AB472" s="1">
        <f>IF(B472="", "", "Not applicable")</f>
        <v>0</v>
      </c>
    </row>
    <row r="473" spans="1:28">
      <c r="A473">
        <f>IF(COUNTBLANK(B473:AC473)&lt;&gt;COLUMNS(B473:AC473),472,"")</f>
        <v>0</v>
      </c>
      <c r="H473" s="2">
        <f>IF(B473="", "", "not provided")</f>
        <v>0</v>
      </c>
      <c r="I473" s="1">
        <f>IF(B473="", "", "meters")</f>
        <v>0</v>
      </c>
      <c r="T473" s="1">
        <f>IF(B473="", "", "Decimal degrees")</f>
        <v>0</v>
      </c>
      <c r="V473" s="1">
        <f>IF(B473="", "", "Decimal degrees")</f>
        <v>0</v>
      </c>
      <c r="Y473" s="1">
        <f>IF(B473="", "", "other")</f>
        <v>0</v>
      </c>
      <c r="AB473" s="1">
        <f>IF(B473="", "", "Not applicable")</f>
        <v>0</v>
      </c>
    </row>
    <row r="474" spans="1:28">
      <c r="A474">
        <f>IF(COUNTBLANK(B474:AC474)&lt;&gt;COLUMNS(B474:AC474),473,"")</f>
        <v>0</v>
      </c>
      <c r="H474" s="2">
        <f>IF(B474="", "", "not provided")</f>
        <v>0</v>
      </c>
      <c r="I474" s="1">
        <f>IF(B474="", "", "meters")</f>
        <v>0</v>
      </c>
      <c r="T474" s="1">
        <f>IF(B474="", "", "Decimal degrees")</f>
        <v>0</v>
      </c>
      <c r="V474" s="1">
        <f>IF(B474="", "", "Decimal degrees")</f>
        <v>0</v>
      </c>
      <c r="Y474" s="1">
        <f>IF(B474="", "", "other")</f>
        <v>0</v>
      </c>
      <c r="AB474" s="1">
        <f>IF(B474="", "", "Not applicable")</f>
        <v>0</v>
      </c>
    </row>
    <row r="475" spans="1:28">
      <c r="A475">
        <f>IF(COUNTBLANK(B475:AC475)&lt;&gt;COLUMNS(B475:AC475),474,"")</f>
        <v>0</v>
      </c>
      <c r="H475" s="2">
        <f>IF(B475="", "", "not provided")</f>
        <v>0</v>
      </c>
      <c r="I475" s="1">
        <f>IF(B475="", "", "meters")</f>
        <v>0</v>
      </c>
      <c r="T475" s="1">
        <f>IF(B475="", "", "Decimal degrees")</f>
        <v>0</v>
      </c>
      <c r="V475" s="1">
        <f>IF(B475="", "", "Decimal degrees")</f>
        <v>0</v>
      </c>
      <c r="Y475" s="1">
        <f>IF(B475="", "", "other")</f>
        <v>0</v>
      </c>
      <c r="AB475" s="1">
        <f>IF(B475="", "", "Not applicable")</f>
        <v>0</v>
      </c>
    </row>
    <row r="476" spans="1:28">
      <c r="A476">
        <f>IF(COUNTBLANK(B476:AC476)&lt;&gt;COLUMNS(B476:AC476),475,"")</f>
        <v>0</v>
      </c>
      <c r="H476" s="2">
        <f>IF(B476="", "", "not provided")</f>
        <v>0</v>
      </c>
      <c r="I476" s="1">
        <f>IF(B476="", "", "meters")</f>
        <v>0</v>
      </c>
      <c r="T476" s="1">
        <f>IF(B476="", "", "Decimal degrees")</f>
        <v>0</v>
      </c>
      <c r="V476" s="1">
        <f>IF(B476="", "", "Decimal degrees")</f>
        <v>0</v>
      </c>
      <c r="Y476" s="1">
        <f>IF(B476="", "", "other")</f>
        <v>0</v>
      </c>
      <c r="AB476" s="1">
        <f>IF(B476="", "", "Not applicable")</f>
        <v>0</v>
      </c>
    </row>
    <row r="477" spans="1:28">
      <c r="A477">
        <f>IF(COUNTBLANK(B477:AC477)&lt;&gt;COLUMNS(B477:AC477),476,"")</f>
        <v>0</v>
      </c>
      <c r="H477" s="2">
        <f>IF(B477="", "", "not provided")</f>
        <v>0</v>
      </c>
      <c r="I477" s="1">
        <f>IF(B477="", "", "meters")</f>
        <v>0</v>
      </c>
      <c r="T477" s="1">
        <f>IF(B477="", "", "Decimal degrees")</f>
        <v>0</v>
      </c>
      <c r="V477" s="1">
        <f>IF(B477="", "", "Decimal degrees")</f>
        <v>0</v>
      </c>
      <c r="Y477" s="1">
        <f>IF(B477="", "", "other")</f>
        <v>0</v>
      </c>
      <c r="AB477" s="1">
        <f>IF(B477="", "", "Not applicable")</f>
        <v>0</v>
      </c>
    </row>
    <row r="478" spans="1:28">
      <c r="A478">
        <f>IF(COUNTBLANK(B478:AC478)&lt;&gt;COLUMNS(B478:AC478),477,"")</f>
        <v>0</v>
      </c>
      <c r="H478" s="2">
        <f>IF(B478="", "", "not provided")</f>
        <v>0</v>
      </c>
      <c r="I478" s="1">
        <f>IF(B478="", "", "meters")</f>
        <v>0</v>
      </c>
      <c r="T478" s="1">
        <f>IF(B478="", "", "Decimal degrees")</f>
        <v>0</v>
      </c>
      <c r="V478" s="1">
        <f>IF(B478="", "", "Decimal degrees")</f>
        <v>0</v>
      </c>
      <c r="Y478" s="1">
        <f>IF(B478="", "", "other")</f>
        <v>0</v>
      </c>
      <c r="AB478" s="1">
        <f>IF(B478="", "", "Not applicable")</f>
        <v>0</v>
      </c>
    </row>
    <row r="479" spans="1:28">
      <c r="A479">
        <f>IF(COUNTBLANK(B479:AC479)&lt;&gt;COLUMNS(B479:AC479),478,"")</f>
        <v>0</v>
      </c>
      <c r="H479" s="2">
        <f>IF(B479="", "", "not provided")</f>
        <v>0</v>
      </c>
      <c r="I479" s="1">
        <f>IF(B479="", "", "meters")</f>
        <v>0</v>
      </c>
      <c r="T479" s="1">
        <f>IF(B479="", "", "Decimal degrees")</f>
        <v>0</v>
      </c>
      <c r="V479" s="1">
        <f>IF(B479="", "", "Decimal degrees")</f>
        <v>0</v>
      </c>
      <c r="Y479" s="1">
        <f>IF(B479="", "", "other")</f>
        <v>0</v>
      </c>
      <c r="AB479" s="1">
        <f>IF(B479="", "", "Not applicable")</f>
        <v>0</v>
      </c>
    </row>
    <row r="480" spans="1:28">
      <c r="A480">
        <f>IF(COUNTBLANK(B480:AC480)&lt;&gt;COLUMNS(B480:AC480),479,"")</f>
        <v>0</v>
      </c>
      <c r="H480" s="2">
        <f>IF(B480="", "", "not provided")</f>
        <v>0</v>
      </c>
      <c r="I480" s="1">
        <f>IF(B480="", "", "meters")</f>
        <v>0</v>
      </c>
      <c r="T480" s="1">
        <f>IF(B480="", "", "Decimal degrees")</f>
        <v>0</v>
      </c>
      <c r="V480" s="1">
        <f>IF(B480="", "", "Decimal degrees")</f>
        <v>0</v>
      </c>
      <c r="Y480" s="1">
        <f>IF(B480="", "", "other")</f>
        <v>0</v>
      </c>
      <c r="AB480" s="1">
        <f>IF(B480="", "", "Not applicable")</f>
        <v>0</v>
      </c>
    </row>
    <row r="481" spans="1:28">
      <c r="A481">
        <f>IF(COUNTBLANK(B481:AC481)&lt;&gt;COLUMNS(B481:AC481),480,"")</f>
        <v>0</v>
      </c>
      <c r="H481" s="2">
        <f>IF(B481="", "", "not provided")</f>
        <v>0</v>
      </c>
      <c r="I481" s="1">
        <f>IF(B481="", "", "meters")</f>
        <v>0</v>
      </c>
      <c r="T481" s="1">
        <f>IF(B481="", "", "Decimal degrees")</f>
        <v>0</v>
      </c>
      <c r="V481" s="1">
        <f>IF(B481="", "", "Decimal degrees")</f>
        <v>0</v>
      </c>
      <c r="Y481" s="1">
        <f>IF(B481="", "", "other")</f>
        <v>0</v>
      </c>
      <c r="AB481" s="1">
        <f>IF(B481="", "", "Not applicable")</f>
        <v>0</v>
      </c>
    </row>
    <row r="482" spans="1:28">
      <c r="A482">
        <f>IF(COUNTBLANK(B482:AC482)&lt;&gt;COLUMNS(B482:AC482),481,"")</f>
        <v>0</v>
      </c>
      <c r="H482" s="2">
        <f>IF(B482="", "", "not provided")</f>
        <v>0</v>
      </c>
      <c r="I482" s="1">
        <f>IF(B482="", "", "meters")</f>
        <v>0</v>
      </c>
      <c r="T482" s="1">
        <f>IF(B482="", "", "Decimal degrees")</f>
        <v>0</v>
      </c>
      <c r="V482" s="1">
        <f>IF(B482="", "", "Decimal degrees")</f>
        <v>0</v>
      </c>
      <c r="Y482" s="1">
        <f>IF(B482="", "", "other")</f>
        <v>0</v>
      </c>
      <c r="AB482" s="1">
        <f>IF(B482="", "", "Not applicable")</f>
        <v>0</v>
      </c>
    </row>
    <row r="483" spans="1:28">
      <c r="A483">
        <f>IF(COUNTBLANK(B483:AC483)&lt;&gt;COLUMNS(B483:AC483),482,"")</f>
        <v>0</v>
      </c>
      <c r="H483" s="2">
        <f>IF(B483="", "", "not provided")</f>
        <v>0</v>
      </c>
      <c r="I483" s="1">
        <f>IF(B483="", "", "meters")</f>
        <v>0</v>
      </c>
      <c r="T483" s="1">
        <f>IF(B483="", "", "Decimal degrees")</f>
        <v>0</v>
      </c>
      <c r="V483" s="1">
        <f>IF(B483="", "", "Decimal degrees")</f>
        <v>0</v>
      </c>
      <c r="Y483" s="1">
        <f>IF(B483="", "", "other")</f>
        <v>0</v>
      </c>
      <c r="AB483" s="1">
        <f>IF(B483="", "", "Not applicable")</f>
        <v>0</v>
      </c>
    </row>
    <row r="484" spans="1:28">
      <c r="A484">
        <f>IF(COUNTBLANK(B484:AC484)&lt;&gt;COLUMNS(B484:AC484),483,"")</f>
        <v>0</v>
      </c>
      <c r="H484" s="2">
        <f>IF(B484="", "", "not provided")</f>
        <v>0</v>
      </c>
      <c r="I484" s="1">
        <f>IF(B484="", "", "meters")</f>
        <v>0</v>
      </c>
      <c r="T484" s="1">
        <f>IF(B484="", "", "Decimal degrees")</f>
        <v>0</v>
      </c>
      <c r="V484" s="1">
        <f>IF(B484="", "", "Decimal degrees")</f>
        <v>0</v>
      </c>
      <c r="Y484" s="1">
        <f>IF(B484="", "", "other")</f>
        <v>0</v>
      </c>
      <c r="AB484" s="1">
        <f>IF(B484="", "", "Not applicable")</f>
        <v>0</v>
      </c>
    </row>
    <row r="485" spans="1:28">
      <c r="A485">
        <f>IF(COUNTBLANK(B485:AC485)&lt;&gt;COLUMNS(B485:AC485),484,"")</f>
        <v>0</v>
      </c>
      <c r="H485" s="2">
        <f>IF(B485="", "", "not provided")</f>
        <v>0</v>
      </c>
      <c r="I485" s="1">
        <f>IF(B485="", "", "meters")</f>
        <v>0</v>
      </c>
      <c r="T485" s="1">
        <f>IF(B485="", "", "Decimal degrees")</f>
        <v>0</v>
      </c>
      <c r="V485" s="1">
        <f>IF(B485="", "", "Decimal degrees")</f>
        <v>0</v>
      </c>
      <c r="Y485" s="1">
        <f>IF(B485="", "", "other")</f>
        <v>0</v>
      </c>
      <c r="AB485" s="1">
        <f>IF(B485="", "", "Not applicable")</f>
        <v>0</v>
      </c>
    </row>
    <row r="486" spans="1:28">
      <c r="A486">
        <f>IF(COUNTBLANK(B486:AC486)&lt;&gt;COLUMNS(B486:AC486),485,"")</f>
        <v>0</v>
      </c>
      <c r="H486" s="2">
        <f>IF(B486="", "", "not provided")</f>
        <v>0</v>
      </c>
      <c r="I486" s="1">
        <f>IF(B486="", "", "meters")</f>
        <v>0</v>
      </c>
      <c r="T486" s="1">
        <f>IF(B486="", "", "Decimal degrees")</f>
        <v>0</v>
      </c>
      <c r="V486" s="1">
        <f>IF(B486="", "", "Decimal degrees")</f>
        <v>0</v>
      </c>
      <c r="Y486" s="1">
        <f>IF(B486="", "", "other")</f>
        <v>0</v>
      </c>
      <c r="AB486" s="1">
        <f>IF(B486="", "", "Not applicable")</f>
        <v>0</v>
      </c>
    </row>
    <row r="487" spans="1:28">
      <c r="A487">
        <f>IF(COUNTBLANK(B487:AC487)&lt;&gt;COLUMNS(B487:AC487),486,"")</f>
        <v>0</v>
      </c>
      <c r="H487" s="2">
        <f>IF(B487="", "", "not provided")</f>
        <v>0</v>
      </c>
      <c r="I487" s="1">
        <f>IF(B487="", "", "meters")</f>
        <v>0</v>
      </c>
      <c r="T487" s="1">
        <f>IF(B487="", "", "Decimal degrees")</f>
        <v>0</v>
      </c>
      <c r="V487" s="1">
        <f>IF(B487="", "", "Decimal degrees")</f>
        <v>0</v>
      </c>
      <c r="Y487" s="1">
        <f>IF(B487="", "", "other")</f>
        <v>0</v>
      </c>
      <c r="AB487" s="1">
        <f>IF(B487="", "", "Not applicable")</f>
        <v>0</v>
      </c>
    </row>
    <row r="488" spans="1:28">
      <c r="A488">
        <f>IF(COUNTBLANK(B488:AC488)&lt;&gt;COLUMNS(B488:AC488),487,"")</f>
        <v>0</v>
      </c>
      <c r="H488" s="2">
        <f>IF(B488="", "", "not provided")</f>
        <v>0</v>
      </c>
      <c r="I488" s="1">
        <f>IF(B488="", "", "meters")</f>
        <v>0</v>
      </c>
      <c r="T488" s="1">
        <f>IF(B488="", "", "Decimal degrees")</f>
        <v>0</v>
      </c>
      <c r="V488" s="1">
        <f>IF(B488="", "", "Decimal degrees")</f>
        <v>0</v>
      </c>
      <c r="Y488" s="1">
        <f>IF(B488="", "", "other")</f>
        <v>0</v>
      </c>
      <c r="AB488" s="1">
        <f>IF(B488="", "", "Not applicable")</f>
        <v>0</v>
      </c>
    </row>
    <row r="489" spans="1:28">
      <c r="A489">
        <f>IF(COUNTBLANK(B489:AC489)&lt;&gt;COLUMNS(B489:AC489),488,"")</f>
        <v>0</v>
      </c>
      <c r="H489" s="2">
        <f>IF(B489="", "", "not provided")</f>
        <v>0</v>
      </c>
      <c r="I489" s="1">
        <f>IF(B489="", "", "meters")</f>
        <v>0</v>
      </c>
      <c r="T489" s="1">
        <f>IF(B489="", "", "Decimal degrees")</f>
        <v>0</v>
      </c>
      <c r="V489" s="1">
        <f>IF(B489="", "", "Decimal degrees")</f>
        <v>0</v>
      </c>
      <c r="Y489" s="1">
        <f>IF(B489="", "", "other")</f>
        <v>0</v>
      </c>
      <c r="AB489" s="1">
        <f>IF(B489="", "", "Not applicable")</f>
        <v>0</v>
      </c>
    </row>
    <row r="490" spans="1:28">
      <c r="A490">
        <f>IF(COUNTBLANK(B490:AC490)&lt;&gt;COLUMNS(B490:AC490),489,"")</f>
        <v>0</v>
      </c>
      <c r="H490" s="2">
        <f>IF(B490="", "", "not provided")</f>
        <v>0</v>
      </c>
      <c r="I490" s="1">
        <f>IF(B490="", "", "meters")</f>
        <v>0</v>
      </c>
      <c r="T490" s="1">
        <f>IF(B490="", "", "Decimal degrees")</f>
        <v>0</v>
      </c>
      <c r="V490" s="1">
        <f>IF(B490="", "", "Decimal degrees")</f>
        <v>0</v>
      </c>
      <c r="Y490" s="1">
        <f>IF(B490="", "", "other")</f>
        <v>0</v>
      </c>
      <c r="AB490" s="1">
        <f>IF(B490="", "", "Not applicable")</f>
        <v>0</v>
      </c>
    </row>
    <row r="491" spans="1:28">
      <c r="A491">
        <f>IF(COUNTBLANK(B491:AC491)&lt;&gt;COLUMNS(B491:AC491),490,"")</f>
        <v>0</v>
      </c>
      <c r="H491" s="2">
        <f>IF(B491="", "", "not provided")</f>
        <v>0</v>
      </c>
      <c r="I491" s="1">
        <f>IF(B491="", "", "meters")</f>
        <v>0</v>
      </c>
      <c r="T491" s="1">
        <f>IF(B491="", "", "Decimal degrees")</f>
        <v>0</v>
      </c>
      <c r="V491" s="1">
        <f>IF(B491="", "", "Decimal degrees")</f>
        <v>0</v>
      </c>
      <c r="Y491" s="1">
        <f>IF(B491="", "", "other")</f>
        <v>0</v>
      </c>
      <c r="AB491" s="1">
        <f>IF(B491="", "", "Not applicable")</f>
        <v>0</v>
      </c>
    </row>
    <row r="492" spans="1:28">
      <c r="A492">
        <f>IF(COUNTBLANK(B492:AC492)&lt;&gt;COLUMNS(B492:AC492),491,"")</f>
        <v>0</v>
      </c>
      <c r="H492" s="2">
        <f>IF(B492="", "", "not provided")</f>
        <v>0</v>
      </c>
      <c r="I492" s="1">
        <f>IF(B492="", "", "meters")</f>
        <v>0</v>
      </c>
      <c r="T492" s="1">
        <f>IF(B492="", "", "Decimal degrees")</f>
        <v>0</v>
      </c>
      <c r="V492" s="1">
        <f>IF(B492="", "", "Decimal degrees")</f>
        <v>0</v>
      </c>
      <c r="Y492" s="1">
        <f>IF(B492="", "", "other")</f>
        <v>0</v>
      </c>
      <c r="AB492" s="1">
        <f>IF(B492="", "", "Not applicable")</f>
        <v>0</v>
      </c>
    </row>
    <row r="493" spans="1:28">
      <c r="A493">
        <f>IF(COUNTBLANK(B493:AC493)&lt;&gt;COLUMNS(B493:AC493),492,"")</f>
        <v>0</v>
      </c>
      <c r="H493" s="2">
        <f>IF(B493="", "", "not provided")</f>
        <v>0</v>
      </c>
      <c r="I493" s="1">
        <f>IF(B493="", "", "meters")</f>
        <v>0</v>
      </c>
      <c r="T493" s="1">
        <f>IF(B493="", "", "Decimal degrees")</f>
        <v>0</v>
      </c>
      <c r="V493" s="1">
        <f>IF(B493="", "", "Decimal degrees")</f>
        <v>0</v>
      </c>
      <c r="Y493" s="1">
        <f>IF(B493="", "", "other")</f>
        <v>0</v>
      </c>
      <c r="AB493" s="1">
        <f>IF(B493="", "", "Not applicable")</f>
        <v>0</v>
      </c>
    </row>
    <row r="494" spans="1:28">
      <c r="A494">
        <f>IF(COUNTBLANK(B494:AC494)&lt;&gt;COLUMNS(B494:AC494),493,"")</f>
        <v>0</v>
      </c>
      <c r="H494" s="2">
        <f>IF(B494="", "", "not provided")</f>
        <v>0</v>
      </c>
      <c r="I494" s="1">
        <f>IF(B494="", "", "meters")</f>
        <v>0</v>
      </c>
      <c r="T494" s="1">
        <f>IF(B494="", "", "Decimal degrees")</f>
        <v>0</v>
      </c>
      <c r="V494" s="1">
        <f>IF(B494="", "", "Decimal degrees")</f>
        <v>0</v>
      </c>
      <c r="Y494" s="1">
        <f>IF(B494="", "", "other")</f>
        <v>0</v>
      </c>
      <c r="AB494" s="1">
        <f>IF(B494="", "", "Not applicable")</f>
        <v>0</v>
      </c>
    </row>
    <row r="495" spans="1:28">
      <c r="A495">
        <f>IF(COUNTBLANK(B495:AC495)&lt;&gt;COLUMNS(B495:AC495),494,"")</f>
        <v>0</v>
      </c>
      <c r="H495" s="2">
        <f>IF(B495="", "", "not provided")</f>
        <v>0</v>
      </c>
      <c r="I495" s="1">
        <f>IF(B495="", "", "meters")</f>
        <v>0</v>
      </c>
      <c r="T495" s="1">
        <f>IF(B495="", "", "Decimal degrees")</f>
        <v>0</v>
      </c>
      <c r="V495" s="1">
        <f>IF(B495="", "", "Decimal degrees")</f>
        <v>0</v>
      </c>
      <c r="Y495" s="1">
        <f>IF(B495="", "", "other")</f>
        <v>0</v>
      </c>
      <c r="AB495" s="1">
        <f>IF(B495="", "", "Not applicable")</f>
        <v>0</v>
      </c>
    </row>
    <row r="496" spans="1:28">
      <c r="A496">
        <f>IF(COUNTBLANK(B496:AC496)&lt;&gt;COLUMNS(B496:AC496),495,"")</f>
        <v>0</v>
      </c>
      <c r="H496" s="2">
        <f>IF(B496="", "", "not provided")</f>
        <v>0</v>
      </c>
      <c r="I496" s="1">
        <f>IF(B496="", "", "meters")</f>
        <v>0</v>
      </c>
      <c r="T496" s="1">
        <f>IF(B496="", "", "Decimal degrees")</f>
        <v>0</v>
      </c>
      <c r="V496" s="1">
        <f>IF(B496="", "", "Decimal degrees")</f>
        <v>0</v>
      </c>
      <c r="Y496" s="1">
        <f>IF(B496="", "", "other")</f>
        <v>0</v>
      </c>
      <c r="AB496" s="1">
        <f>IF(B496="", "", "Not applicable")</f>
        <v>0</v>
      </c>
    </row>
    <row r="497" spans="1:28">
      <c r="A497">
        <f>IF(COUNTBLANK(B497:AC497)&lt;&gt;COLUMNS(B497:AC497),496,"")</f>
        <v>0</v>
      </c>
      <c r="H497" s="2">
        <f>IF(B497="", "", "not provided")</f>
        <v>0</v>
      </c>
      <c r="I497" s="1">
        <f>IF(B497="", "", "meters")</f>
        <v>0</v>
      </c>
      <c r="T497" s="1">
        <f>IF(B497="", "", "Decimal degrees")</f>
        <v>0</v>
      </c>
      <c r="V497" s="1">
        <f>IF(B497="", "", "Decimal degrees")</f>
        <v>0</v>
      </c>
      <c r="Y497" s="1">
        <f>IF(B497="", "", "other")</f>
        <v>0</v>
      </c>
      <c r="AB497" s="1">
        <f>IF(B497="", "", "Not applicable")</f>
        <v>0</v>
      </c>
    </row>
    <row r="498" spans="1:28">
      <c r="A498">
        <f>IF(COUNTBLANK(B498:AC498)&lt;&gt;COLUMNS(B498:AC498),497,"")</f>
        <v>0</v>
      </c>
      <c r="H498" s="2">
        <f>IF(B498="", "", "not provided")</f>
        <v>0</v>
      </c>
      <c r="I498" s="1">
        <f>IF(B498="", "", "meters")</f>
        <v>0</v>
      </c>
      <c r="T498" s="1">
        <f>IF(B498="", "", "Decimal degrees")</f>
        <v>0</v>
      </c>
      <c r="V498" s="1">
        <f>IF(B498="", "", "Decimal degrees")</f>
        <v>0</v>
      </c>
      <c r="Y498" s="1">
        <f>IF(B498="", "", "other")</f>
        <v>0</v>
      </c>
      <c r="AB498" s="1">
        <f>IF(B498="", "", "Not applicable")</f>
        <v>0</v>
      </c>
    </row>
    <row r="499" spans="1:28">
      <c r="A499">
        <f>IF(COUNTBLANK(B499:AC499)&lt;&gt;COLUMNS(B499:AC499),498,"")</f>
        <v>0</v>
      </c>
      <c r="H499" s="2">
        <f>IF(B499="", "", "not provided")</f>
        <v>0</v>
      </c>
      <c r="I499" s="1">
        <f>IF(B499="", "", "meters")</f>
        <v>0</v>
      </c>
      <c r="T499" s="1">
        <f>IF(B499="", "", "Decimal degrees")</f>
        <v>0</v>
      </c>
      <c r="V499" s="1">
        <f>IF(B499="", "", "Decimal degrees")</f>
        <v>0</v>
      </c>
      <c r="Y499" s="1">
        <f>IF(B499="", "", "other")</f>
        <v>0</v>
      </c>
      <c r="AB499" s="1">
        <f>IF(B499="", "", "Not applicable")</f>
        <v>0</v>
      </c>
    </row>
    <row r="500" spans="1:28">
      <c r="A500">
        <f>IF(COUNTBLANK(B500:AC500)&lt;&gt;COLUMNS(B500:AC500),499,"")</f>
        <v>0</v>
      </c>
      <c r="H500" s="2">
        <f>IF(B500="", "", "not provided")</f>
        <v>0</v>
      </c>
      <c r="I500" s="1">
        <f>IF(B500="", "", "meters")</f>
        <v>0</v>
      </c>
      <c r="T500" s="1">
        <f>IF(B500="", "", "Decimal degrees")</f>
        <v>0</v>
      </c>
      <c r="V500" s="1">
        <f>IF(B500="", "", "Decimal degrees")</f>
        <v>0</v>
      </c>
      <c r="Y500" s="1">
        <f>IF(B500="", "", "other")</f>
        <v>0</v>
      </c>
      <c r="AB500" s="1">
        <f>IF(B500="", "", "Not applicable")</f>
        <v>0</v>
      </c>
    </row>
    <row r="501" spans="1:28">
      <c r="A501">
        <f>IF(COUNTBLANK(B501:AC501)&lt;&gt;COLUMNS(B501:AC501),500,"")</f>
        <v>0</v>
      </c>
      <c r="H501" s="2">
        <f>IF(B501="", "", "not provided")</f>
        <v>0</v>
      </c>
      <c r="I501" s="1">
        <f>IF(B501="", "", "meters")</f>
        <v>0</v>
      </c>
      <c r="T501" s="1">
        <f>IF(B501="", "", "Decimal degrees")</f>
        <v>0</v>
      </c>
      <c r="V501" s="1">
        <f>IF(B501="", "", "Decimal degrees")</f>
        <v>0</v>
      </c>
      <c r="Y501" s="1">
        <f>IF(B501="", "", "other")</f>
        <v>0</v>
      </c>
      <c r="AB501" s="1">
        <f>IF(B501="", "", "Not applicable")</f>
        <v>0</v>
      </c>
    </row>
    <row r="502" spans="1:28">
      <c r="A502">
        <f>IF(COUNTBLANK(B502:AC502)&lt;&gt;COLUMNS(B502:AC502),501,"")</f>
        <v>0</v>
      </c>
      <c r="H502" s="2">
        <f>IF(B502="", "", "not provided")</f>
        <v>0</v>
      </c>
      <c r="I502" s="1">
        <f>IF(B502="", "", "meters")</f>
        <v>0</v>
      </c>
      <c r="T502" s="1">
        <f>IF(B502="", "", "Decimal degrees")</f>
        <v>0</v>
      </c>
      <c r="V502" s="1">
        <f>IF(B502="", "", "Decimal degrees")</f>
        <v>0</v>
      </c>
      <c r="Y502" s="1">
        <f>IF(B502="", "", "other")</f>
        <v>0</v>
      </c>
      <c r="AB502" s="1">
        <f>IF(B502="", "", "Not applicable")</f>
        <v>0</v>
      </c>
    </row>
    <row r="503" spans="1:28">
      <c r="A503">
        <f>IF(COUNTBLANK(B503:AC503)&lt;&gt;COLUMNS(B503:AC503),502,"")</f>
        <v>0</v>
      </c>
      <c r="H503" s="2">
        <f>IF(B503="", "", "not provided")</f>
        <v>0</v>
      </c>
      <c r="I503" s="1">
        <f>IF(B503="", "", "meters")</f>
        <v>0</v>
      </c>
      <c r="T503" s="1">
        <f>IF(B503="", "", "Decimal degrees")</f>
        <v>0</v>
      </c>
      <c r="V503" s="1">
        <f>IF(B503="", "", "Decimal degrees")</f>
        <v>0</v>
      </c>
      <c r="Y503" s="1">
        <f>IF(B503="", "", "other")</f>
        <v>0</v>
      </c>
      <c r="AB503" s="1">
        <f>IF(B503="", "", "Not applicable")</f>
        <v>0</v>
      </c>
    </row>
    <row r="504" spans="1:28">
      <c r="A504">
        <f>IF(COUNTBLANK(B504:AC504)&lt;&gt;COLUMNS(B504:AC504),503,"")</f>
        <v>0</v>
      </c>
      <c r="H504" s="2">
        <f>IF(B504="", "", "not provided")</f>
        <v>0</v>
      </c>
      <c r="I504" s="1">
        <f>IF(B504="", "", "meters")</f>
        <v>0</v>
      </c>
      <c r="T504" s="1">
        <f>IF(B504="", "", "Decimal degrees")</f>
        <v>0</v>
      </c>
      <c r="V504" s="1">
        <f>IF(B504="", "", "Decimal degrees")</f>
        <v>0</v>
      </c>
      <c r="Y504" s="1">
        <f>IF(B504="", "", "other")</f>
        <v>0</v>
      </c>
      <c r="AB504" s="1">
        <f>IF(B504="", "", "Not applicable")</f>
        <v>0</v>
      </c>
    </row>
    <row r="505" spans="1:28">
      <c r="A505">
        <f>IF(COUNTBLANK(B505:AC505)&lt;&gt;COLUMNS(B505:AC505),504,"")</f>
        <v>0</v>
      </c>
      <c r="H505" s="2">
        <f>IF(B505="", "", "not provided")</f>
        <v>0</v>
      </c>
      <c r="I505" s="1">
        <f>IF(B505="", "", "meters")</f>
        <v>0</v>
      </c>
      <c r="T505" s="1">
        <f>IF(B505="", "", "Decimal degrees")</f>
        <v>0</v>
      </c>
      <c r="V505" s="1">
        <f>IF(B505="", "", "Decimal degrees")</f>
        <v>0</v>
      </c>
      <c r="Y505" s="1">
        <f>IF(B505="", "", "other")</f>
        <v>0</v>
      </c>
      <c r="AB505" s="1">
        <f>IF(B505="", "", "Not applicable")</f>
        <v>0</v>
      </c>
    </row>
    <row r="506" spans="1:28">
      <c r="A506">
        <f>IF(COUNTBLANK(B506:AC506)&lt;&gt;COLUMNS(B506:AC506),505,"")</f>
        <v>0</v>
      </c>
      <c r="H506" s="2">
        <f>IF(B506="", "", "not provided")</f>
        <v>0</v>
      </c>
      <c r="I506" s="1">
        <f>IF(B506="", "", "meters")</f>
        <v>0</v>
      </c>
      <c r="T506" s="1">
        <f>IF(B506="", "", "Decimal degrees")</f>
        <v>0</v>
      </c>
      <c r="V506" s="1">
        <f>IF(B506="", "", "Decimal degrees")</f>
        <v>0</v>
      </c>
      <c r="Y506" s="1">
        <f>IF(B506="", "", "other")</f>
        <v>0</v>
      </c>
      <c r="AB506" s="1">
        <f>IF(B506="", "", "Not applicable")</f>
        <v>0</v>
      </c>
    </row>
    <row r="507" spans="1:28">
      <c r="A507">
        <f>IF(COUNTBLANK(B507:AC507)&lt;&gt;COLUMNS(B507:AC507),506,"")</f>
        <v>0</v>
      </c>
      <c r="H507" s="2">
        <f>IF(B507="", "", "not provided")</f>
        <v>0</v>
      </c>
      <c r="I507" s="1">
        <f>IF(B507="", "", "meters")</f>
        <v>0</v>
      </c>
      <c r="T507" s="1">
        <f>IF(B507="", "", "Decimal degrees")</f>
        <v>0</v>
      </c>
      <c r="V507" s="1">
        <f>IF(B507="", "", "Decimal degrees")</f>
        <v>0</v>
      </c>
      <c r="Y507" s="1">
        <f>IF(B507="", "", "other")</f>
        <v>0</v>
      </c>
      <c r="AB507" s="1">
        <f>IF(B507="", "", "Not applicable")</f>
        <v>0</v>
      </c>
    </row>
    <row r="508" spans="1:28">
      <c r="A508">
        <f>IF(COUNTBLANK(B508:AC508)&lt;&gt;COLUMNS(B508:AC508),507,"")</f>
        <v>0</v>
      </c>
      <c r="H508" s="2">
        <f>IF(B508="", "", "not provided")</f>
        <v>0</v>
      </c>
      <c r="I508" s="1">
        <f>IF(B508="", "", "meters")</f>
        <v>0</v>
      </c>
      <c r="T508" s="1">
        <f>IF(B508="", "", "Decimal degrees")</f>
        <v>0</v>
      </c>
      <c r="V508" s="1">
        <f>IF(B508="", "", "Decimal degrees")</f>
        <v>0</v>
      </c>
      <c r="Y508" s="1">
        <f>IF(B508="", "", "other")</f>
        <v>0</v>
      </c>
      <c r="AB508" s="1">
        <f>IF(B508="", "", "Not applicable")</f>
        <v>0</v>
      </c>
    </row>
    <row r="509" spans="1:28">
      <c r="A509">
        <f>IF(COUNTBLANK(B509:AC509)&lt;&gt;COLUMNS(B509:AC509),508,"")</f>
        <v>0</v>
      </c>
      <c r="H509" s="2">
        <f>IF(B509="", "", "not provided")</f>
        <v>0</v>
      </c>
      <c r="I509" s="1">
        <f>IF(B509="", "", "meters")</f>
        <v>0</v>
      </c>
      <c r="T509" s="1">
        <f>IF(B509="", "", "Decimal degrees")</f>
        <v>0</v>
      </c>
      <c r="V509" s="1">
        <f>IF(B509="", "", "Decimal degrees")</f>
        <v>0</v>
      </c>
      <c r="Y509" s="1">
        <f>IF(B509="", "", "other")</f>
        <v>0</v>
      </c>
      <c r="AB509" s="1">
        <f>IF(B509="", "", "Not applicable")</f>
        <v>0</v>
      </c>
    </row>
    <row r="510" spans="1:28">
      <c r="A510">
        <f>IF(COUNTBLANK(B510:AC510)&lt;&gt;COLUMNS(B510:AC510),509,"")</f>
        <v>0</v>
      </c>
      <c r="H510" s="2">
        <f>IF(B510="", "", "not provided")</f>
        <v>0</v>
      </c>
      <c r="I510" s="1">
        <f>IF(B510="", "", "meters")</f>
        <v>0</v>
      </c>
      <c r="T510" s="1">
        <f>IF(B510="", "", "Decimal degrees")</f>
        <v>0</v>
      </c>
      <c r="V510" s="1">
        <f>IF(B510="", "", "Decimal degrees")</f>
        <v>0</v>
      </c>
      <c r="Y510" s="1">
        <f>IF(B510="", "", "other")</f>
        <v>0</v>
      </c>
      <c r="AB510" s="1">
        <f>IF(B510="", "", "Not applicable")</f>
        <v>0</v>
      </c>
    </row>
    <row r="511" spans="1:28">
      <c r="A511">
        <f>IF(COUNTBLANK(B511:AC511)&lt;&gt;COLUMNS(B511:AC511),510,"")</f>
        <v>0</v>
      </c>
      <c r="H511" s="2">
        <f>IF(B511="", "", "not provided")</f>
        <v>0</v>
      </c>
      <c r="I511" s="1">
        <f>IF(B511="", "", "meters")</f>
        <v>0</v>
      </c>
      <c r="T511" s="1">
        <f>IF(B511="", "", "Decimal degrees")</f>
        <v>0</v>
      </c>
      <c r="V511" s="1">
        <f>IF(B511="", "", "Decimal degrees")</f>
        <v>0</v>
      </c>
      <c r="Y511" s="1">
        <f>IF(B511="", "", "other")</f>
        <v>0</v>
      </c>
      <c r="AB511" s="1">
        <f>IF(B511="", "", "Not applicable")</f>
        <v>0</v>
      </c>
    </row>
    <row r="512" spans="1:28">
      <c r="A512">
        <f>IF(COUNTBLANK(B512:AC512)&lt;&gt;COLUMNS(B512:AC512),511,"")</f>
        <v>0</v>
      </c>
      <c r="H512" s="2">
        <f>IF(B512="", "", "not provided")</f>
        <v>0</v>
      </c>
      <c r="I512" s="1">
        <f>IF(B512="", "", "meters")</f>
        <v>0</v>
      </c>
      <c r="T512" s="1">
        <f>IF(B512="", "", "Decimal degrees")</f>
        <v>0</v>
      </c>
      <c r="V512" s="1">
        <f>IF(B512="", "", "Decimal degrees")</f>
        <v>0</v>
      </c>
      <c r="Y512" s="1">
        <f>IF(B512="", "", "other")</f>
        <v>0</v>
      </c>
      <c r="AB512" s="1">
        <f>IF(B512="", "", "Not applicable")</f>
        <v>0</v>
      </c>
    </row>
    <row r="513" spans="1:28">
      <c r="A513">
        <f>IF(COUNTBLANK(B513:AC513)&lt;&gt;COLUMNS(B513:AC513),512,"")</f>
        <v>0</v>
      </c>
      <c r="H513" s="2">
        <f>IF(B513="", "", "not provided")</f>
        <v>0</v>
      </c>
      <c r="I513" s="1">
        <f>IF(B513="", "", "meters")</f>
        <v>0</v>
      </c>
      <c r="T513" s="1">
        <f>IF(B513="", "", "Decimal degrees")</f>
        <v>0</v>
      </c>
      <c r="V513" s="1">
        <f>IF(B513="", "", "Decimal degrees")</f>
        <v>0</v>
      </c>
      <c r="Y513" s="1">
        <f>IF(B513="", "", "other")</f>
        <v>0</v>
      </c>
      <c r="AB513" s="1">
        <f>IF(B513="", "", "Not applicable")</f>
        <v>0</v>
      </c>
    </row>
    <row r="514" spans="1:28">
      <c r="A514">
        <f>IF(COUNTBLANK(B514:AC514)&lt;&gt;COLUMNS(B514:AC514),513,"")</f>
        <v>0</v>
      </c>
      <c r="H514" s="2">
        <f>IF(B514="", "", "not provided")</f>
        <v>0</v>
      </c>
      <c r="I514" s="1">
        <f>IF(B514="", "", "meters")</f>
        <v>0</v>
      </c>
      <c r="T514" s="1">
        <f>IF(B514="", "", "Decimal degrees")</f>
        <v>0</v>
      </c>
      <c r="V514" s="1">
        <f>IF(B514="", "", "Decimal degrees")</f>
        <v>0</v>
      </c>
      <c r="Y514" s="1">
        <f>IF(B514="", "", "other")</f>
        <v>0</v>
      </c>
      <c r="AB514" s="1">
        <f>IF(B514="", "", "Not applicable")</f>
        <v>0</v>
      </c>
    </row>
    <row r="515" spans="1:28">
      <c r="A515">
        <f>IF(COUNTBLANK(B515:AC515)&lt;&gt;COLUMNS(B515:AC515),514,"")</f>
        <v>0</v>
      </c>
      <c r="H515" s="2">
        <f>IF(B515="", "", "not provided")</f>
        <v>0</v>
      </c>
      <c r="I515" s="1">
        <f>IF(B515="", "", "meters")</f>
        <v>0</v>
      </c>
      <c r="T515" s="1">
        <f>IF(B515="", "", "Decimal degrees")</f>
        <v>0</v>
      </c>
      <c r="V515" s="1">
        <f>IF(B515="", "", "Decimal degrees")</f>
        <v>0</v>
      </c>
      <c r="Y515" s="1">
        <f>IF(B515="", "", "other")</f>
        <v>0</v>
      </c>
      <c r="AB515" s="1">
        <f>IF(B515="", "", "Not applicable")</f>
        <v>0</v>
      </c>
    </row>
    <row r="516" spans="1:28">
      <c r="A516">
        <f>IF(COUNTBLANK(B516:AC516)&lt;&gt;COLUMNS(B516:AC516),515,"")</f>
        <v>0</v>
      </c>
      <c r="H516" s="2">
        <f>IF(B516="", "", "not provided")</f>
        <v>0</v>
      </c>
      <c r="I516" s="1">
        <f>IF(B516="", "", "meters")</f>
        <v>0</v>
      </c>
      <c r="T516" s="1">
        <f>IF(B516="", "", "Decimal degrees")</f>
        <v>0</v>
      </c>
      <c r="V516" s="1">
        <f>IF(B516="", "", "Decimal degrees")</f>
        <v>0</v>
      </c>
      <c r="Y516" s="1">
        <f>IF(B516="", "", "other")</f>
        <v>0</v>
      </c>
      <c r="AB516" s="1">
        <f>IF(B516="", "", "Not applicable")</f>
        <v>0</v>
      </c>
    </row>
    <row r="517" spans="1:28">
      <c r="A517">
        <f>IF(COUNTBLANK(B517:AC517)&lt;&gt;COLUMNS(B517:AC517),516,"")</f>
        <v>0</v>
      </c>
      <c r="H517" s="2">
        <f>IF(B517="", "", "not provided")</f>
        <v>0</v>
      </c>
      <c r="I517" s="1">
        <f>IF(B517="", "", "meters")</f>
        <v>0</v>
      </c>
      <c r="T517" s="1">
        <f>IF(B517="", "", "Decimal degrees")</f>
        <v>0</v>
      </c>
      <c r="V517" s="1">
        <f>IF(B517="", "", "Decimal degrees")</f>
        <v>0</v>
      </c>
      <c r="Y517" s="1">
        <f>IF(B517="", "", "other")</f>
        <v>0</v>
      </c>
      <c r="AB517" s="1">
        <f>IF(B517="", "", "Not applicable")</f>
        <v>0</v>
      </c>
    </row>
    <row r="518" spans="1:28">
      <c r="A518">
        <f>IF(COUNTBLANK(B518:AC518)&lt;&gt;COLUMNS(B518:AC518),517,"")</f>
        <v>0</v>
      </c>
      <c r="H518" s="2">
        <f>IF(B518="", "", "not provided")</f>
        <v>0</v>
      </c>
      <c r="I518" s="1">
        <f>IF(B518="", "", "meters")</f>
        <v>0</v>
      </c>
      <c r="T518" s="1">
        <f>IF(B518="", "", "Decimal degrees")</f>
        <v>0</v>
      </c>
      <c r="V518" s="1">
        <f>IF(B518="", "", "Decimal degrees")</f>
        <v>0</v>
      </c>
      <c r="Y518" s="1">
        <f>IF(B518="", "", "other")</f>
        <v>0</v>
      </c>
      <c r="AB518" s="1">
        <f>IF(B518="", "", "Not applicable")</f>
        <v>0</v>
      </c>
    </row>
    <row r="519" spans="1:28">
      <c r="A519">
        <f>IF(COUNTBLANK(B519:AC519)&lt;&gt;COLUMNS(B519:AC519),518,"")</f>
        <v>0</v>
      </c>
      <c r="H519" s="2">
        <f>IF(B519="", "", "not provided")</f>
        <v>0</v>
      </c>
      <c r="I519" s="1">
        <f>IF(B519="", "", "meters")</f>
        <v>0</v>
      </c>
      <c r="T519" s="1">
        <f>IF(B519="", "", "Decimal degrees")</f>
        <v>0</v>
      </c>
      <c r="V519" s="1">
        <f>IF(B519="", "", "Decimal degrees")</f>
        <v>0</v>
      </c>
      <c r="Y519" s="1">
        <f>IF(B519="", "", "other")</f>
        <v>0</v>
      </c>
      <c r="AB519" s="1">
        <f>IF(B519="", "", "Not applicable")</f>
        <v>0</v>
      </c>
    </row>
    <row r="520" spans="1:28">
      <c r="A520">
        <f>IF(COUNTBLANK(B520:AC520)&lt;&gt;COLUMNS(B520:AC520),519,"")</f>
        <v>0</v>
      </c>
      <c r="H520" s="2">
        <f>IF(B520="", "", "not provided")</f>
        <v>0</v>
      </c>
      <c r="I520" s="1">
        <f>IF(B520="", "", "meters")</f>
        <v>0</v>
      </c>
      <c r="T520" s="1">
        <f>IF(B520="", "", "Decimal degrees")</f>
        <v>0</v>
      </c>
      <c r="V520" s="1">
        <f>IF(B520="", "", "Decimal degrees")</f>
        <v>0</v>
      </c>
      <c r="Y520" s="1">
        <f>IF(B520="", "", "other")</f>
        <v>0</v>
      </c>
      <c r="AB520" s="1">
        <f>IF(B520="", "", "Not applicable")</f>
        <v>0</v>
      </c>
    </row>
    <row r="521" spans="1:28">
      <c r="A521">
        <f>IF(COUNTBLANK(B521:AC521)&lt;&gt;COLUMNS(B521:AC521),520,"")</f>
        <v>0</v>
      </c>
      <c r="H521" s="2">
        <f>IF(B521="", "", "not provided")</f>
        <v>0</v>
      </c>
      <c r="I521" s="1">
        <f>IF(B521="", "", "meters")</f>
        <v>0</v>
      </c>
      <c r="T521" s="1">
        <f>IF(B521="", "", "Decimal degrees")</f>
        <v>0</v>
      </c>
      <c r="V521" s="1">
        <f>IF(B521="", "", "Decimal degrees")</f>
        <v>0</v>
      </c>
      <c r="Y521" s="1">
        <f>IF(B521="", "", "other")</f>
        <v>0</v>
      </c>
      <c r="AB521" s="1">
        <f>IF(B521="", "", "Not applicable")</f>
        <v>0</v>
      </c>
    </row>
    <row r="522" spans="1:28">
      <c r="A522">
        <f>IF(COUNTBLANK(B522:AC522)&lt;&gt;COLUMNS(B522:AC522),521,"")</f>
        <v>0</v>
      </c>
      <c r="H522" s="2">
        <f>IF(B522="", "", "not provided")</f>
        <v>0</v>
      </c>
      <c r="I522" s="1">
        <f>IF(B522="", "", "meters")</f>
        <v>0</v>
      </c>
      <c r="T522" s="1">
        <f>IF(B522="", "", "Decimal degrees")</f>
        <v>0</v>
      </c>
      <c r="V522" s="1">
        <f>IF(B522="", "", "Decimal degrees")</f>
        <v>0</v>
      </c>
      <c r="Y522" s="1">
        <f>IF(B522="", "", "other")</f>
        <v>0</v>
      </c>
      <c r="AB522" s="1">
        <f>IF(B522="", "", "Not applicable")</f>
        <v>0</v>
      </c>
    </row>
    <row r="523" spans="1:28">
      <c r="A523">
        <f>IF(COUNTBLANK(B523:AC523)&lt;&gt;COLUMNS(B523:AC523),522,"")</f>
        <v>0</v>
      </c>
      <c r="H523" s="2">
        <f>IF(B523="", "", "not provided")</f>
        <v>0</v>
      </c>
      <c r="I523" s="1">
        <f>IF(B523="", "", "meters")</f>
        <v>0</v>
      </c>
      <c r="T523" s="1">
        <f>IF(B523="", "", "Decimal degrees")</f>
        <v>0</v>
      </c>
      <c r="V523" s="1">
        <f>IF(B523="", "", "Decimal degrees")</f>
        <v>0</v>
      </c>
      <c r="Y523" s="1">
        <f>IF(B523="", "", "other")</f>
        <v>0</v>
      </c>
      <c r="AB523" s="1">
        <f>IF(B523="", "", "Not applicable")</f>
        <v>0</v>
      </c>
    </row>
    <row r="524" spans="1:28">
      <c r="A524">
        <f>IF(COUNTBLANK(B524:AC524)&lt;&gt;COLUMNS(B524:AC524),523,"")</f>
        <v>0</v>
      </c>
      <c r="H524" s="2">
        <f>IF(B524="", "", "not provided")</f>
        <v>0</v>
      </c>
      <c r="I524" s="1">
        <f>IF(B524="", "", "meters")</f>
        <v>0</v>
      </c>
      <c r="T524" s="1">
        <f>IF(B524="", "", "Decimal degrees")</f>
        <v>0</v>
      </c>
      <c r="V524" s="1">
        <f>IF(B524="", "", "Decimal degrees")</f>
        <v>0</v>
      </c>
      <c r="Y524" s="1">
        <f>IF(B524="", "", "other")</f>
        <v>0</v>
      </c>
      <c r="AB524" s="1">
        <f>IF(B524="", "", "Not applicable")</f>
        <v>0</v>
      </c>
    </row>
    <row r="525" spans="1:28">
      <c r="A525">
        <f>IF(COUNTBLANK(B525:AC525)&lt;&gt;COLUMNS(B525:AC525),524,"")</f>
        <v>0</v>
      </c>
      <c r="H525" s="2">
        <f>IF(B525="", "", "not provided")</f>
        <v>0</v>
      </c>
      <c r="I525" s="1">
        <f>IF(B525="", "", "meters")</f>
        <v>0</v>
      </c>
      <c r="T525" s="1">
        <f>IF(B525="", "", "Decimal degrees")</f>
        <v>0</v>
      </c>
      <c r="V525" s="1">
        <f>IF(B525="", "", "Decimal degrees")</f>
        <v>0</v>
      </c>
      <c r="Y525" s="1">
        <f>IF(B525="", "", "other")</f>
        <v>0</v>
      </c>
      <c r="AB525" s="1">
        <f>IF(B525="", "", "Not applicable")</f>
        <v>0</v>
      </c>
    </row>
    <row r="526" spans="1:28">
      <c r="A526">
        <f>IF(COUNTBLANK(B526:AC526)&lt;&gt;COLUMNS(B526:AC526),525,"")</f>
        <v>0</v>
      </c>
      <c r="H526" s="2">
        <f>IF(B526="", "", "not provided")</f>
        <v>0</v>
      </c>
      <c r="I526" s="1">
        <f>IF(B526="", "", "meters")</f>
        <v>0</v>
      </c>
      <c r="T526" s="1">
        <f>IF(B526="", "", "Decimal degrees")</f>
        <v>0</v>
      </c>
      <c r="V526" s="1">
        <f>IF(B526="", "", "Decimal degrees")</f>
        <v>0</v>
      </c>
      <c r="Y526" s="1">
        <f>IF(B526="", "", "other")</f>
        <v>0</v>
      </c>
      <c r="AB526" s="1">
        <f>IF(B526="", "", "Not applicable")</f>
        <v>0</v>
      </c>
    </row>
    <row r="527" spans="1:28">
      <c r="A527">
        <f>IF(COUNTBLANK(B527:AC527)&lt;&gt;COLUMNS(B527:AC527),526,"")</f>
        <v>0</v>
      </c>
      <c r="H527" s="2">
        <f>IF(B527="", "", "not provided")</f>
        <v>0</v>
      </c>
      <c r="I527" s="1">
        <f>IF(B527="", "", "meters")</f>
        <v>0</v>
      </c>
      <c r="T527" s="1">
        <f>IF(B527="", "", "Decimal degrees")</f>
        <v>0</v>
      </c>
      <c r="V527" s="1">
        <f>IF(B527="", "", "Decimal degrees")</f>
        <v>0</v>
      </c>
      <c r="Y527" s="1">
        <f>IF(B527="", "", "other")</f>
        <v>0</v>
      </c>
      <c r="AB527" s="1">
        <f>IF(B527="", "", "Not applicable")</f>
        <v>0</v>
      </c>
    </row>
    <row r="528" spans="1:28">
      <c r="A528">
        <f>IF(COUNTBLANK(B528:AC528)&lt;&gt;COLUMNS(B528:AC528),527,"")</f>
        <v>0</v>
      </c>
      <c r="H528" s="2">
        <f>IF(B528="", "", "not provided")</f>
        <v>0</v>
      </c>
      <c r="I528" s="1">
        <f>IF(B528="", "", "meters")</f>
        <v>0</v>
      </c>
      <c r="T528" s="1">
        <f>IF(B528="", "", "Decimal degrees")</f>
        <v>0</v>
      </c>
      <c r="V528" s="1">
        <f>IF(B528="", "", "Decimal degrees")</f>
        <v>0</v>
      </c>
      <c r="Y528" s="1">
        <f>IF(B528="", "", "other")</f>
        <v>0</v>
      </c>
      <c r="AB528" s="1">
        <f>IF(B528="", "", "Not applicable")</f>
        <v>0</v>
      </c>
    </row>
    <row r="529" spans="1:28">
      <c r="A529">
        <f>IF(COUNTBLANK(B529:AC529)&lt;&gt;COLUMNS(B529:AC529),528,"")</f>
        <v>0</v>
      </c>
      <c r="H529" s="2">
        <f>IF(B529="", "", "not provided")</f>
        <v>0</v>
      </c>
      <c r="I529" s="1">
        <f>IF(B529="", "", "meters")</f>
        <v>0</v>
      </c>
      <c r="T529" s="1">
        <f>IF(B529="", "", "Decimal degrees")</f>
        <v>0</v>
      </c>
      <c r="V529" s="1">
        <f>IF(B529="", "", "Decimal degrees")</f>
        <v>0</v>
      </c>
      <c r="Y529" s="1">
        <f>IF(B529="", "", "other")</f>
        <v>0</v>
      </c>
      <c r="AB529" s="1">
        <f>IF(B529="", "", "Not applicable")</f>
        <v>0</v>
      </c>
    </row>
    <row r="530" spans="1:28">
      <c r="A530">
        <f>IF(COUNTBLANK(B530:AC530)&lt;&gt;COLUMNS(B530:AC530),529,"")</f>
        <v>0</v>
      </c>
      <c r="H530" s="2">
        <f>IF(B530="", "", "not provided")</f>
        <v>0</v>
      </c>
      <c r="I530" s="1">
        <f>IF(B530="", "", "meters")</f>
        <v>0</v>
      </c>
      <c r="T530" s="1">
        <f>IF(B530="", "", "Decimal degrees")</f>
        <v>0</v>
      </c>
      <c r="V530" s="1">
        <f>IF(B530="", "", "Decimal degrees")</f>
        <v>0</v>
      </c>
      <c r="Y530" s="1">
        <f>IF(B530="", "", "other")</f>
        <v>0</v>
      </c>
      <c r="AB530" s="1">
        <f>IF(B530="", "", "Not applicable")</f>
        <v>0</v>
      </c>
    </row>
    <row r="531" spans="1:28">
      <c r="A531">
        <f>IF(COUNTBLANK(B531:AC531)&lt;&gt;COLUMNS(B531:AC531),530,"")</f>
        <v>0</v>
      </c>
      <c r="H531" s="2">
        <f>IF(B531="", "", "not provided")</f>
        <v>0</v>
      </c>
      <c r="I531" s="1">
        <f>IF(B531="", "", "meters")</f>
        <v>0</v>
      </c>
      <c r="T531" s="1">
        <f>IF(B531="", "", "Decimal degrees")</f>
        <v>0</v>
      </c>
      <c r="V531" s="1">
        <f>IF(B531="", "", "Decimal degrees")</f>
        <v>0</v>
      </c>
      <c r="Y531" s="1">
        <f>IF(B531="", "", "other")</f>
        <v>0</v>
      </c>
      <c r="AB531" s="1">
        <f>IF(B531="", "", "Not applicable")</f>
        <v>0</v>
      </c>
    </row>
    <row r="532" spans="1:28">
      <c r="A532">
        <f>IF(COUNTBLANK(B532:AC532)&lt;&gt;COLUMNS(B532:AC532),531,"")</f>
        <v>0</v>
      </c>
      <c r="H532" s="2">
        <f>IF(B532="", "", "not provided")</f>
        <v>0</v>
      </c>
      <c r="I532" s="1">
        <f>IF(B532="", "", "meters")</f>
        <v>0</v>
      </c>
      <c r="T532" s="1">
        <f>IF(B532="", "", "Decimal degrees")</f>
        <v>0</v>
      </c>
      <c r="V532" s="1">
        <f>IF(B532="", "", "Decimal degrees")</f>
        <v>0</v>
      </c>
      <c r="Y532" s="1">
        <f>IF(B532="", "", "other")</f>
        <v>0</v>
      </c>
      <c r="AB532" s="1">
        <f>IF(B532="", "", "Not applicable")</f>
        <v>0</v>
      </c>
    </row>
    <row r="533" spans="1:28">
      <c r="A533">
        <f>IF(COUNTBLANK(B533:AC533)&lt;&gt;COLUMNS(B533:AC533),532,"")</f>
        <v>0</v>
      </c>
      <c r="H533" s="2">
        <f>IF(B533="", "", "not provided")</f>
        <v>0</v>
      </c>
      <c r="I533" s="1">
        <f>IF(B533="", "", "meters")</f>
        <v>0</v>
      </c>
      <c r="T533" s="1">
        <f>IF(B533="", "", "Decimal degrees")</f>
        <v>0</v>
      </c>
      <c r="V533" s="1">
        <f>IF(B533="", "", "Decimal degrees")</f>
        <v>0</v>
      </c>
      <c r="Y533" s="1">
        <f>IF(B533="", "", "other")</f>
        <v>0</v>
      </c>
      <c r="AB533" s="1">
        <f>IF(B533="", "", "Not applicable")</f>
        <v>0</v>
      </c>
    </row>
    <row r="534" spans="1:28">
      <c r="A534">
        <f>IF(COUNTBLANK(B534:AC534)&lt;&gt;COLUMNS(B534:AC534),533,"")</f>
        <v>0</v>
      </c>
      <c r="H534" s="2">
        <f>IF(B534="", "", "not provided")</f>
        <v>0</v>
      </c>
      <c r="I534" s="1">
        <f>IF(B534="", "", "meters")</f>
        <v>0</v>
      </c>
      <c r="T534" s="1">
        <f>IF(B534="", "", "Decimal degrees")</f>
        <v>0</v>
      </c>
      <c r="V534" s="1">
        <f>IF(B534="", "", "Decimal degrees")</f>
        <v>0</v>
      </c>
      <c r="Y534" s="1">
        <f>IF(B534="", "", "other")</f>
        <v>0</v>
      </c>
      <c r="AB534" s="1">
        <f>IF(B534="", "", "Not applicable")</f>
        <v>0</v>
      </c>
    </row>
    <row r="535" spans="1:28">
      <c r="A535">
        <f>IF(COUNTBLANK(B535:AC535)&lt;&gt;COLUMNS(B535:AC535),534,"")</f>
        <v>0</v>
      </c>
      <c r="H535" s="2">
        <f>IF(B535="", "", "not provided")</f>
        <v>0</v>
      </c>
      <c r="I535" s="1">
        <f>IF(B535="", "", "meters")</f>
        <v>0</v>
      </c>
      <c r="T535" s="1">
        <f>IF(B535="", "", "Decimal degrees")</f>
        <v>0</v>
      </c>
      <c r="V535" s="1">
        <f>IF(B535="", "", "Decimal degrees")</f>
        <v>0</v>
      </c>
      <c r="Y535" s="1">
        <f>IF(B535="", "", "other")</f>
        <v>0</v>
      </c>
      <c r="AB535" s="1">
        <f>IF(B535="", "", "Not applicable")</f>
        <v>0</v>
      </c>
    </row>
    <row r="536" spans="1:28">
      <c r="A536">
        <f>IF(COUNTBLANK(B536:AC536)&lt;&gt;COLUMNS(B536:AC536),535,"")</f>
        <v>0</v>
      </c>
      <c r="H536" s="2">
        <f>IF(B536="", "", "not provided")</f>
        <v>0</v>
      </c>
      <c r="I536" s="1">
        <f>IF(B536="", "", "meters")</f>
        <v>0</v>
      </c>
      <c r="T536" s="1">
        <f>IF(B536="", "", "Decimal degrees")</f>
        <v>0</v>
      </c>
      <c r="V536" s="1">
        <f>IF(B536="", "", "Decimal degrees")</f>
        <v>0</v>
      </c>
      <c r="Y536" s="1">
        <f>IF(B536="", "", "other")</f>
        <v>0</v>
      </c>
      <c r="AB536" s="1">
        <f>IF(B536="", "", "Not applicable")</f>
        <v>0</v>
      </c>
    </row>
    <row r="537" spans="1:28">
      <c r="A537">
        <f>IF(COUNTBLANK(B537:AC537)&lt;&gt;COLUMNS(B537:AC537),536,"")</f>
        <v>0</v>
      </c>
      <c r="H537" s="2">
        <f>IF(B537="", "", "not provided")</f>
        <v>0</v>
      </c>
      <c r="I537" s="1">
        <f>IF(B537="", "", "meters")</f>
        <v>0</v>
      </c>
      <c r="T537" s="1">
        <f>IF(B537="", "", "Decimal degrees")</f>
        <v>0</v>
      </c>
      <c r="V537" s="1">
        <f>IF(B537="", "", "Decimal degrees")</f>
        <v>0</v>
      </c>
      <c r="Y537" s="1">
        <f>IF(B537="", "", "other")</f>
        <v>0</v>
      </c>
      <c r="AB537" s="1">
        <f>IF(B537="", "", "Not applicable")</f>
        <v>0</v>
      </c>
    </row>
    <row r="538" spans="1:28">
      <c r="A538">
        <f>IF(COUNTBLANK(B538:AC538)&lt;&gt;COLUMNS(B538:AC538),537,"")</f>
        <v>0</v>
      </c>
      <c r="H538" s="2">
        <f>IF(B538="", "", "not provided")</f>
        <v>0</v>
      </c>
      <c r="I538" s="1">
        <f>IF(B538="", "", "meters")</f>
        <v>0</v>
      </c>
      <c r="T538" s="1">
        <f>IF(B538="", "", "Decimal degrees")</f>
        <v>0</v>
      </c>
      <c r="V538" s="1">
        <f>IF(B538="", "", "Decimal degrees")</f>
        <v>0</v>
      </c>
      <c r="Y538" s="1">
        <f>IF(B538="", "", "other")</f>
        <v>0</v>
      </c>
      <c r="AB538" s="1">
        <f>IF(B538="", "", "Not applicable")</f>
        <v>0</v>
      </c>
    </row>
    <row r="539" spans="1:28">
      <c r="A539">
        <f>IF(COUNTBLANK(B539:AC539)&lt;&gt;COLUMNS(B539:AC539),538,"")</f>
        <v>0</v>
      </c>
      <c r="H539" s="2">
        <f>IF(B539="", "", "not provided")</f>
        <v>0</v>
      </c>
      <c r="I539" s="1">
        <f>IF(B539="", "", "meters")</f>
        <v>0</v>
      </c>
      <c r="T539" s="1">
        <f>IF(B539="", "", "Decimal degrees")</f>
        <v>0</v>
      </c>
      <c r="V539" s="1">
        <f>IF(B539="", "", "Decimal degrees")</f>
        <v>0</v>
      </c>
      <c r="Y539" s="1">
        <f>IF(B539="", "", "other")</f>
        <v>0</v>
      </c>
      <c r="AB539" s="1">
        <f>IF(B539="", "", "Not applicable")</f>
        <v>0</v>
      </c>
    </row>
    <row r="540" spans="1:28">
      <c r="A540">
        <f>IF(COUNTBLANK(B540:AC540)&lt;&gt;COLUMNS(B540:AC540),539,"")</f>
        <v>0</v>
      </c>
      <c r="H540" s="2">
        <f>IF(B540="", "", "not provided")</f>
        <v>0</v>
      </c>
      <c r="I540" s="1">
        <f>IF(B540="", "", "meters")</f>
        <v>0</v>
      </c>
      <c r="T540" s="1">
        <f>IF(B540="", "", "Decimal degrees")</f>
        <v>0</v>
      </c>
      <c r="V540" s="1">
        <f>IF(B540="", "", "Decimal degrees")</f>
        <v>0</v>
      </c>
      <c r="Y540" s="1">
        <f>IF(B540="", "", "other")</f>
        <v>0</v>
      </c>
      <c r="AB540" s="1">
        <f>IF(B540="", "", "Not applicable")</f>
        <v>0</v>
      </c>
    </row>
    <row r="541" spans="1:28">
      <c r="A541">
        <f>IF(COUNTBLANK(B541:AC541)&lt;&gt;COLUMNS(B541:AC541),540,"")</f>
        <v>0</v>
      </c>
      <c r="H541" s="2">
        <f>IF(B541="", "", "not provided")</f>
        <v>0</v>
      </c>
      <c r="I541" s="1">
        <f>IF(B541="", "", "meters")</f>
        <v>0</v>
      </c>
      <c r="T541" s="1">
        <f>IF(B541="", "", "Decimal degrees")</f>
        <v>0</v>
      </c>
      <c r="V541" s="1">
        <f>IF(B541="", "", "Decimal degrees")</f>
        <v>0</v>
      </c>
      <c r="Y541" s="1">
        <f>IF(B541="", "", "other")</f>
        <v>0</v>
      </c>
      <c r="AB541" s="1">
        <f>IF(B541="", "", "Not applicable")</f>
        <v>0</v>
      </c>
    </row>
    <row r="542" spans="1:28">
      <c r="A542">
        <f>IF(COUNTBLANK(B542:AC542)&lt;&gt;COLUMNS(B542:AC542),541,"")</f>
        <v>0</v>
      </c>
      <c r="H542" s="2">
        <f>IF(B542="", "", "not provided")</f>
        <v>0</v>
      </c>
      <c r="I542" s="1">
        <f>IF(B542="", "", "meters")</f>
        <v>0</v>
      </c>
      <c r="T542" s="1">
        <f>IF(B542="", "", "Decimal degrees")</f>
        <v>0</v>
      </c>
      <c r="V542" s="1">
        <f>IF(B542="", "", "Decimal degrees")</f>
        <v>0</v>
      </c>
      <c r="Y542" s="1">
        <f>IF(B542="", "", "other")</f>
        <v>0</v>
      </c>
      <c r="AB542" s="1">
        <f>IF(B542="", "", "Not applicable")</f>
        <v>0</v>
      </c>
    </row>
    <row r="543" spans="1:28">
      <c r="A543">
        <f>IF(COUNTBLANK(B543:AC543)&lt;&gt;COLUMNS(B543:AC543),542,"")</f>
        <v>0</v>
      </c>
      <c r="H543" s="2">
        <f>IF(B543="", "", "not provided")</f>
        <v>0</v>
      </c>
      <c r="I543" s="1">
        <f>IF(B543="", "", "meters")</f>
        <v>0</v>
      </c>
      <c r="T543" s="1">
        <f>IF(B543="", "", "Decimal degrees")</f>
        <v>0</v>
      </c>
      <c r="V543" s="1">
        <f>IF(B543="", "", "Decimal degrees")</f>
        <v>0</v>
      </c>
      <c r="Y543" s="1">
        <f>IF(B543="", "", "other")</f>
        <v>0</v>
      </c>
      <c r="AB543" s="1">
        <f>IF(B543="", "", "Not applicable")</f>
        <v>0</v>
      </c>
    </row>
    <row r="544" spans="1:28">
      <c r="A544">
        <f>IF(COUNTBLANK(B544:AC544)&lt;&gt;COLUMNS(B544:AC544),543,"")</f>
        <v>0</v>
      </c>
      <c r="H544" s="2">
        <f>IF(B544="", "", "not provided")</f>
        <v>0</v>
      </c>
      <c r="I544" s="1">
        <f>IF(B544="", "", "meters")</f>
        <v>0</v>
      </c>
      <c r="T544" s="1">
        <f>IF(B544="", "", "Decimal degrees")</f>
        <v>0</v>
      </c>
      <c r="V544" s="1">
        <f>IF(B544="", "", "Decimal degrees")</f>
        <v>0</v>
      </c>
      <c r="Y544" s="1">
        <f>IF(B544="", "", "other")</f>
        <v>0</v>
      </c>
      <c r="AB544" s="1">
        <f>IF(B544="", "", "Not applicable")</f>
        <v>0</v>
      </c>
    </row>
    <row r="545" spans="1:28">
      <c r="A545">
        <f>IF(COUNTBLANK(B545:AC545)&lt;&gt;COLUMNS(B545:AC545),544,"")</f>
        <v>0</v>
      </c>
      <c r="H545" s="2">
        <f>IF(B545="", "", "not provided")</f>
        <v>0</v>
      </c>
      <c r="I545" s="1">
        <f>IF(B545="", "", "meters")</f>
        <v>0</v>
      </c>
      <c r="T545" s="1">
        <f>IF(B545="", "", "Decimal degrees")</f>
        <v>0</v>
      </c>
      <c r="V545" s="1">
        <f>IF(B545="", "", "Decimal degrees")</f>
        <v>0</v>
      </c>
      <c r="Y545" s="1">
        <f>IF(B545="", "", "other")</f>
        <v>0</v>
      </c>
      <c r="AB545" s="1">
        <f>IF(B545="", "", "Not applicable")</f>
        <v>0</v>
      </c>
    </row>
    <row r="546" spans="1:28">
      <c r="A546">
        <f>IF(COUNTBLANK(B546:AC546)&lt;&gt;COLUMNS(B546:AC546),545,"")</f>
        <v>0</v>
      </c>
      <c r="H546" s="2">
        <f>IF(B546="", "", "not provided")</f>
        <v>0</v>
      </c>
      <c r="I546" s="1">
        <f>IF(B546="", "", "meters")</f>
        <v>0</v>
      </c>
      <c r="T546" s="1">
        <f>IF(B546="", "", "Decimal degrees")</f>
        <v>0</v>
      </c>
      <c r="V546" s="1">
        <f>IF(B546="", "", "Decimal degrees")</f>
        <v>0</v>
      </c>
      <c r="Y546" s="1">
        <f>IF(B546="", "", "other")</f>
        <v>0</v>
      </c>
      <c r="AB546" s="1">
        <f>IF(B546="", "", "Not applicable")</f>
        <v>0</v>
      </c>
    </row>
    <row r="547" spans="1:28">
      <c r="A547">
        <f>IF(COUNTBLANK(B547:AC547)&lt;&gt;COLUMNS(B547:AC547),546,"")</f>
        <v>0</v>
      </c>
      <c r="H547" s="2">
        <f>IF(B547="", "", "not provided")</f>
        <v>0</v>
      </c>
      <c r="I547" s="1">
        <f>IF(B547="", "", "meters")</f>
        <v>0</v>
      </c>
      <c r="T547" s="1">
        <f>IF(B547="", "", "Decimal degrees")</f>
        <v>0</v>
      </c>
      <c r="V547" s="1">
        <f>IF(B547="", "", "Decimal degrees")</f>
        <v>0</v>
      </c>
      <c r="Y547" s="1">
        <f>IF(B547="", "", "other")</f>
        <v>0</v>
      </c>
      <c r="AB547" s="1">
        <f>IF(B547="", "", "Not applicable")</f>
        <v>0</v>
      </c>
    </row>
    <row r="548" spans="1:28">
      <c r="A548">
        <f>IF(COUNTBLANK(B548:AC548)&lt;&gt;COLUMNS(B548:AC548),547,"")</f>
        <v>0</v>
      </c>
      <c r="H548" s="2">
        <f>IF(B548="", "", "not provided")</f>
        <v>0</v>
      </c>
      <c r="I548" s="1">
        <f>IF(B548="", "", "meters")</f>
        <v>0</v>
      </c>
      <c r="T548" s="1">
        <f>IF(B548="", "", "Decimal degrees")</f>
        <v>0</v>
      </c>
      <c r="V548" s="1">
        <f>IF(B548="", "", "Decimal degrees")</f>
        <v>0</v>
      </c>
      <c r="Y548" s="1">
        <f>IF(B548="", "", "other")</f>
        <v>0</v>
      </c>
      <c r="AB548" s="1">
        <f>IF(B548="", "", "Not applicable")</f>
        <v>0</v>
      </c>
    </row>
    <row r="549" spans="1:28">
      <c r="A549">
        <f>IF(COUNTBLANK(B549:AC549)&lt;&gt;COLUMNS(B549:AC549),548,"")</f>
        <v>0</v>
      </c>
      <c r="H549" s="2">
        <f>IF(B549="", "", "not provided")</f>
        <v>0</v>
      </c>
      <c r="I549" s="1">
        <f>IF(B549="", "", "meters")</f>
        <v>0</v>
      </c>
      <c r="T549" s="1">
        <f>IF(B549="", "", "Decimal degrees")</f>
        <v>0</v>
      </c>
      <c r="V549" s="1">
        <f>IF(B549="", "", "Decimal degrees")</f>
        <v>0</v>
      </c>
      <c r="Y549" s="1">
        <f>IF(B549="", "", "other")</f>
        <v>0</v>
      </c>
      <c r="AB549" s="1">
        <f>IF(B549="", "", "Not applicable")</f>
        <v>0</v>
      </c>
    </row>
    <row r="550" spans="1:28">
      <c r="A550">
        <f>IF(COUNTBLANK(B550:AC550)&lt;&gt;COLUMNS(B550:AC550),549,"")</f>
        <v>0</v>
      </c>
      <c r="H550" s="2">
        <f>IF(B550="", "", "not provided")</f>
        <v>0</v>
      </c>
      <c r="I550" s="1">
        <f>IF(B550="", "", "meters")</f>
        <v>0</v>
      </c>
      <c r="T550" s="1">
        <f>IF(B550="", "", "Decimal degrees")</f>
        <v>0</v>
      </c>
      <c r="V550" s="1">
        <f>IF(B550="", "", "Decimal degrees")</f>
        <v>0</v>
      </c>
      <c r="Y550" s="1">
        <f>IF(B550="", "", "other")</f>
        <v>0</v>
      </c>
      <c r="AB550" s="1">
        <f>IF(B550="", "", "Not applicable")</f>
        <v>0</v>
      </c>
    </row>
    <row r="551" spans="1:28">
      <c r="A551">
        <f>IF(COUNTBLANK(B551:AC551)&lt;&gt;COLUMNS(B551:AC551),550,"")</f>
        <v>0</v>
      </c>
      <c r="H551" s="2">
        <f>IF(B551="", "", "not provided")</f>
        <v>0</v>
      </c>
      <c r="I551" s="1">
        <f>IF(B551="", "", "meters")</f>
        <v>0</v>
      </c>
      <c r="T551" s="1">
        <f>IF(B551="", "", "Decimal degrees")</f>
        <v>0</v>
      </c>
      <c r="V551" s="1">
        <f>IF(B551="", "", "Decimal degrees")</f>
        <v>0</v>
      </c>
      <c r="Y551" s="1">
        <f>IF(B551="", "", "other")</f>
        <v>0</v>
      </c>
      <c r="AB551" s="1">
        <f>IF(B551="", "", "Not applicable")</f>
        <v>0</v>
      </c>
    </row>
    <row r="552" spans="1:28">
      <c r="A552">
        <f>IF(COUNTBLANK(B552:AC552)&lt;&gt;COLUMNS(B552:AC552),551,"")</f>
        <v>0</v>
      </c>
      <c r="H552" s="2">
        <f>IF(B552="", "", "not provided")</f>
        <v>0</v>
      </c>
      <c r="I552" s="1">
        <f>IF(B552="", "", "meters")</f>
        <v>0</v>
      </c>
      <c r="T552" s="1">
        <f>IF(B552="", "", "Decimal degrees")</f>
        <v>0</v>
      </c>
      <c r="V552" s="1">
        <f>IF(B552="", "", "Decimal degrees")</f>
        <v>0</v>
      </c>
      <c r="Y552" s="1">
        <f>IF(B552="", "", "other")</f>
        <v>0</v>
      </c>
      <c r="AB552" s="1">
        <f>IF(B552="", "", "Not applicable")</f>
        <v>0</v>
      </c>
    </row>
    <row r="553" spans="1:28">
      <c r="A553">
        <f>IF(COUNTBLANK(B553:AC553)&lt;&gt;COLUMNS(B553:AC553),552,"")</f>
        <v>0</v>
      </c>
      <c r="H553" s="2">
        <f>IF(B553="", "", "not provided")</f>
        <v>0</v>
      </c>
      <c r="I553" s="1">
        <f>IF(B553="", "", "meters")</f>
        <v>0</v>
      </c>
      <c r="T553" s="1">
        <f>IF(B553="", "", "Decimal degrees")</f>
        <v>0</v>
      </c>
      <c r="V553" s="1">
        <f>IF(B553="", "", "Decimal degrees")</f>
        <v>0</v>
      </c>
      <c r="Y553" s="1">
        <f>IF(B553="", "", "other")</f>
        <v>0</v>
      </c>
      <c r="AB553" s="1">
        <f>IF(B553="", "", "Not applicable")</f>
        <v>0</v>
      </c>
    </row>
    <row r="554" spans="1:28">
      <c r="A554">
        <f>IF(COUNTBLANK(B554:AC554)&lt;&gt;COLUMNS(B554:AC554),553,"")</f>
        <v>0</v>
      </c>
      <c r="H554" s="2">
        <f>IF(B554="", "", "not provided")</f>
        <v>0</v>
      </c>
      <c r="I554" s="1">
        <f>IF(B554="", "", "meters")</f>
        <v>0</v>
      </c>
      <c r="T554" s="1">
        <f>IF(B554="", "", "Decimal degrees")</f>
        <v>0</v>
      </c>
      <c r="V554" s="1">
        <f>IF(B554="", "", "Decimal degrees")</f>
        <v>0</v>
      </c>
      <c r="Y554" s="1">
        <f>IF(B554="", "", "other")</f>
        <v>0</v>
      </c>
      <c r="AB554" s="1">
        <f>IF(B554="", "", "Not applicable")</f>
        <v>0</v>
      </c>
    </row>
    <row r="555" spans="1:28">
      <c r="A555">
        <f>IF(COUNTBLANK(B555:AC555)&lt;&gt;COLUMNS(B555:AC555),554,"")</f>
        <v>0</v>
      </c>
      <c r="H555" s="2">
        <f>IF(B555="", "", "not provided")</f>
        <v>0</v>
      </c>
      <c r="I555" s="1">
        <f>IF(B555="", "", "meters")</f>
        <v>0</v>
      </c>
      <c r="T555" s="1">
        <f>IF(B555="", "", "Decimal degrees")</f>
        <v>0</v>
      </c>
      <c r="V555" s="1">
        <f>IF(B555="", "", "Decimal degrees")</f>
        <v>0</v>
      </c>
      <c r="Y555" s="1">
        <f>IF(B555="", "", "other")</f>
        <v>0</v>
      </c>
      <c r="AB555" s="1">
        <f>IF(B555="", "", "Not applicable")</f>
        <v>0</v>
      </c>
    </row>
    <row r="556" spans="1:28">
      <c r="A556">
        <f>IF(COUNTBLANK(B556:AC556)&lt;&gt;COLUMNS(B556:AC556),555,"")</f>
        <v>0</v>
      </c>
      <c r="H556" s="2">
        <f>IF(B556="", "", "not provided")</f>
        <v>0</v>
      </c>
      <c r="I556" s="1">
        <f>IF(B556="", "", "meters")</f>
        <v>0</v>
      </c>
      <c r="T556" s="1">
        <f>IF(B556="", "", "Decimal degrees")</f>
        <v>0</v>
      </c>
      <c r="V556" s="1">
        <f>IF(B556="", "", "Decimal degrees")</f>
        <v>0</v>
      </c>
      <c r="Y556" s="1">
        <f>IF(B556="", "", "other")</f>
        <v>0</v>
      </c>
      <c r="AB556" s="1">
        <f>IF(B556="", "", "Not applicable")</f>
        <v>0</v>
      </c>
    </row>
    <row r="557" spans="1:28">
      <c r="A557">
        <f>IF(COUNTBLANK(B557:AC557)&lt;&gt;COLUMNS(B557:AC557),556,"")</f>
        <v>0</v>
      </c>
      <c r="H557" s="2">
        <f>IF(B557="", "", "not provided")</f>
        <v>0</v>
      </c>
      <c r="I557" s="1">
        <f>IF(B557="", "", "meters")</f>
        <v>0</v>
      </c>
      <c r="T557" s="1">
        <f>IF(B557="", "", "Decimal degrees")</f>
        <v>0</v>
      </c>
      <c r="V557" s="1">
        <f>IF(B557="", "", "Decimal degrees")</f>
        <v>0</v>
      </c>
      <c r="Y557" s="1">
        <f>IF(B557="", "", "other")</f>
        <v>0</v>
      </c>
      <c r="AB557" s="1">
        <f>IF(B557="", "", "Not applicable")</f>
        <v>0</v>
      </c>
    </row>
    <row r="558" spans="1:28">
      <c r="A558">
        <f>IF(COUNTBLANK(B558:AC558)&lt;&gt;COLUMNS(B558:AC558),557,"")</f>
        <v>0</v>
      </c>
      <c r="H558" s="2">
        <f>IF(B558="", "", "not provided")</f>
        <v>0</v>
      </c>
      <c r="I558" s="1">
        <f>IF(B558="", "", "meters")</f>
        <v>0</v>
      </c>
      <c r="T558" s="1">
        <f>IF(B558="", "", "Decimal degrees")</f>
        <v>0</v>
      </c>
      <c r="V558" s="1">
        <f>IF(B558="", "", "Decimal degrees")</f>
        <v>0</v>
      </c>
      <c r="Y558" s="1">
        <f>IF(B558="", "", "other")</f>
        <v>0</v>
      </c>
      <c r="AB558" s="1">
        <f>IF(B558="", "", "Not applicable")</f>
        <v>0</v>
      </c>
    </row>
    <row r="559" spans="1:28">
      <c r="A559">
        <f>IF(COUNTBLANK(B559:AC559)&lt;&gt;COLUMNS(B559:AC559),558,"")</f>
        <v>0</v>
      </c>
      <c r="H559" s="2">
        <f>IF(B559="", "", "not provided")</f>
        <v>0</v>
      </c>
      <c r="I559" s="1">
        <f>IF(B559="", "", "meters")</f>
        <v>0</v>
      </c>
      <c r="T559" s="1">
        <f>IF(B559="", "", "Decimal degrees")</f>
        <v>0</v>
      </c>
      <c r="V559" s="1">
        <f>IF(B559="", "", "Decimal degrees")</f>
        <v>0</v>
      </c>
      <c r="Y559" s="1">
        <f>IF(B559="", "", "other")</f>
        <v>0</v>
      </c>
      <c r="AB559" s="1">
        <f>IF(B559="", "", "Not applicable")</f>
        <v>0</v>
      </c>
    </row>
    <row r="560" spans="1:28">
      <c r="A560">
        <f>IF(COUNTBLANK(B560:AC560)&lt;&gt;COLUMNS(B560:AC560),559,"")</f>
        <v>0</v>
      </c>
      <c r="H560" s="2">
        <f>IF(B560="", "", "not provided")</f>
        <v>0</v>
      </c>
      <c r="I560" s="1">
        <f>IF(B560="", "", "meters")</f>
        <v>0</v>
      </c>
      <c r="T560" s="1">
        <f>IF(B560="", "", "Decimal degrees")</f>
        <v>0</v>
      </c>
      <c r="V560" s="1">
        <f>IF(B560="", "", "Decimal degrees")</f>
        <v>0</v>
      </c>
      <c r="Y560" s="1">
        <f>IF(B560="", "", "other")</f>
        <v>0</v>
      </c>
      <c r="AB560" s="1">
        <f>IF(B560="", "", "Not applicable")</f>
        <v>0</v>
      </c>
    </row>
    <row r="561" spans="1:28">
      <c r="A561">
        <f>IF(COUNTBLANK(B561:AC561)&lt;&gt;COLUMNS(B561:AC561),560,"")</f>
        <v>0</v>
      </c>
      <c r="H561" s="2">
        <f>IF(B561="", "", "not provided")</f>
        <v>0</v>
      </c>
      <c r="I561" s="1">
        <f>IF(B561="", "", "meters")</f>
        <v>0</v>
      </c>
      <c r="T561" s="1">
        <f>IF(B561="", "", "Decimal degrees")</f>
        <v>0</v>
      </c>
      <c r="V561" s="1">
        <f>IF(B561="", "", "Decimal degrees")</f>
        <v>0</v>
      </c>
      <c r="Y561" s="1">
        <f>IF(B561="", "", "other")</f>
        <v>0</v>
      </c>
      <c r="AB561" s="1">
        <f>IF(B561="", "", "Not applicable")</f>
        <v>0</v>
      </c>
    </row>
    <row r="562" spans="1:28">
      <c r="A562">
        <f>IF(COUNTBLANK(B562:AC562)&lt;&gt;COLUMNS(B562:AC562),561,"")</f>
        <v>0</v>
      </c>
      <c r="H562" s="2">
        <f>IF(B562="", "", "not provided")</f>
        <v>0</v>
      </c>
      <c r="I562" s="1">
        <f>IF(B562="", "", "meters")</f>
        <v>0</v>
      </c>
      <c r="T562" s="1">
        <f>IF(B562="", "", "Decimal degrees")</f>
        <v>0</v>
      </c>
      <c r="V562" s="1">
        <f>IF(B562="", "", "Decimal degrees")</f>
        <v>0</v>
      </c>
      <c r="Y562" s="1">
        <f>IF(B562="", "", "other")</f>
        <v>0</v>
      </c>
      <c r="AB562" s="1">
        <f>IF(B562="", "", "Not applicable")</f>
        <v>0</v>
      </c>
    </row>
    <row r="563" spans="1:28">
      <c r="A563">
        <f>IF(COUNTBLANK(B563:AC563)&lt;&gt;COLUMNS(B563:AC563),562,"")</f>
        <v>0</v>
      </c>
      <c r="H563" s="2">
        <f>IF(B563="", "", "not provided")</f>
        <v>0</v>
      </c>
      <c r="I563" s="1">
        <f>IF(B563="", "", "meters")</f>
        <v>0</v>
      </c>
      <c r="T563" s="1">
        <f>IF(B563="", "", "Decimal degrees")</f>
        <v>0</v>
      </c>
      <c r="V563" s="1">
        <f>IF(B563="", "", "Decimal degrees")</f>
        <v>0</v>
      </c>
      <c r="Y563" s="1">
        <f>IF(B563="", "", "other")</f>
        <v>0</v>
      </c>
      <c r="AB563" s="1">
        <f>IF(B563="", "", "Not applicable")</f>
        <v>0</v>
      </c>
    </row>
    <row r="564" spans="1:28">
      <c r="A564">
        <f>IF(COUNTBLANK(B564:AC564)&lt;&gt;COLUMNS(B564:AC564),563,"")</f>
        <v>0</v>
      </c>
      <c r="H564" s="2">
        <f>IF(B564="", "", "not provided")</f>
        <v>0</v>
      </c>
      <c r="I564" s="1">
        <f>IF(B564="", "", "meters")</f>
        <v>0</v>
      </c>
      <c r="T564" s="1">
        <f>IF(B564="", "", "Decimal degrees")</f>
        <v>0</v>
      </c>
      <c r="V564" s="1">
        <f>IF(B564="", "", "Decimal degrees")</f>
        <v>0</v>
      </c>
      <c r="Y564" s="1">
        <f>IF(B564="", "", "other")</f>
        <v>0</v>
      </c>
      <c r="AB564" s="1">
        <f>IF(B564="", "", "Not applicable")</f>
        <v>0</v>
      </c>
    </row>
    <row r="565" spans="1:28">
      <c r="A565">
        <f>IF(COUNTBLANK(B565:AC565)&lt;&gt;COLUMNS(B565:AC565),564,"")</f>
        <v>0</v>
      </c>
      <c r="H565" s="2">
        <f>IF(B565="", "", "not provided")</f>
        <v>0</v>
      </c>
      <c r="I565" s="1">
        <f>IF(B565="", "", "meters")</f>
        <v>0</v>
      </c>
      <c r="T565" s="1">
        <f>IF(B565="", "", "Decimal degrees")</f>
        <v>0</v>
      </c>
      <c r="V565" s="1">
        <f>IF(B565="", "", "Decimal degrees")</f>
        <v>0</v>
      </c>
      <c r="Y565" s="1">
        <f>IF(B565="", "", "other")</f>
        <v>0</v>
      </c>
      <c r="AB565" s="1">
        <f>IF(B565="", "", "Not applicable")</f>
        <v>0</v>
      </c>
    </row>
    <row r="566" spans="1:28">
      <c r="A566">
        <f>IF(COUNTBLANK(B566:AC566)&lt;&gt;COLUMNS(B566:AC566),565,"")</f>
        <v>0</v>
      </c>
      <c r="H566" s="2">
        <f>IF(B566="", "", "not provided")</f>
        <v>0</v>
      </c>
      <c r="I566" s="1">
        <f>IF(B566="", "", "meters")</f>
        <v>0</v>
      </c>
      <c r="T566" s="1">
        <f>IF(B566="", "", "Decimal degrees")</f>
        <v>0</v>
      </c>
      <c r="V566" s="1">
        <f>IF(B566="", "", "Decimal degrees")</f>
        <v>0</v>
      </c>
      <c r="Y566" s="1">
        <f>IF(B566="", "", "other")</f>
        <v>0</v>
      </c>
      <c r="AB566" s="1">
        <f>IF(B566="", "", "Not applicable")</f>
        <v>0</v>
      </c>
    </row>
    <row r="567" spans="1:28">
      <c r="A567">
        <f>IF(COUNTBLANK(B567:AC567)&lt;&gt;COLUMNS(B567:AC567),566,"")</f>
        <v>0</v>
      </c>
      <c r="H567" s="2">
        <f>IF(B567="", "", "not provided")</f>
        <v>0</v>
      </c>
      <c r="I567" s="1">
        <f>IF(B567="", "", "meters")</f>
        <v>0</v>
      </c>
      <c r="T567" s="1">
        <f>IF(B567="", "", "Decimal degrees")</f>
        <v>0</v>
      </c>
      <c r="V567" s="1">
        <f>IF(B567="", "", "Decimal degrees")</f>
        <v>0</v>
      </c>
      <c r="Y567" s="1">
        <f>IF(B567="", "", "other")</f>
        <v>0</v>
      </c>
      <c r="AB567" s="1">
        <f>IF(B567="", "", "Not applicable")</f>
        <v>0</v>
      </c>
    </row>
    <row r="568" spans="1:28">
      <c r="A568">
        <f>IF(COUNTBLANK(B568:AC568)&lt;&gt;COLUMNS(B568:AC568),567,"")</f>
        <v>0</v>
      </c>
      <c r="H568" s="2">
        <f>IF(B568="", "", "not provided")</f>
        <v>0</v>
      </c>
      <c r="I568" s="1">
        <f>IF(B568="", "", "meters")</f>
        <v>0</v>
      </c>
      <c r="T568" s="1">
        <f>IF(B568="", "", "Decimal degrees")</f>
        <v>0</v>
      </c>
      <c r="V568" s="1">
        <f>IF(B568="", "", "Decimal degrees")</f>
        <v>0</v>
      </c>
      <c r="Y568" s="1">
        <f>IF(B568="", "", "other")</f>
        <v>0</v>
      </c>
      <c r="AB568" s="1">
        <f>IF(B568="", "", "Not applicable")</f>
        <v>0</v>
      </c>
    </row>
    <row r="569" spans="1:28">
      <c r="A569">
        <f>IF(COUNTBLANK(B569:AC569)&lt;&gt;COLUMNS(B569:AC569),568,"")</f>
        <v>0</v>
      </c>
      <c r="H569" s="2">
        <f>IF(B569="", "", "not provided")</f>
        <v>0</v>
      </c>
      <c r="I569" s="1">
        <f>IF(B569="", "", "meters")</f>
        <v>0</v>
      </c>
      <c r="T569" s="1">
        <f>IF(B569="", "", "Decimal degrees")</f>
        <v>0</v>
      </c>
      <c r="V569" s="1">
        <f>IF(B569="", "", "Decimal degrees")</f>
        <v>0</v>
      </c>
      <c r="Y569" s="1">
        <f>IF(B569="", "", "other")</f>
        <v>0</v>
      </c>
      <c r="AB569" s="1">
        <f>IF(B569="", "", "Not applicable")</f>
        <v>0</v>
      </c>
    </row>
    <row r="570" spans="1:28">
      <c r="A570">
        <f>IF(COUNTBLANK(B570:AC570)&lt;&gt;COLUMNS(B570:AC570),569,"")</f>
        <v>0</v>
      </c>
      <c r="H570" s="2">
        <f>IF(B570="", "", "not provided")</f>
        <v>0</v>
      </c>
      <c r="I570" s="1">
        <f>IF(B570="", "", "meters")</f>
        <v>0</v>
      </c>
      <c r="T570" s="1">
        <f>IF(B570="", "", "Decimal degrees")</f>
        <v>0</v>
      </c>
      <c r="V570" s="1">
        <f>IF(B570="", "", "Decimal degrees")</f>
        <v>0</v>
      </c>
      <c r="Y570" s="1">
        <f>IF(B570="", "", "other")</f>
        <v>0</v>
      </c>
      <c r="AB570" s="1">
        <f>IF(B570="", "", "Not applicable")</f>
        <v>0</v>
      </c>
    </row>
    <row r="571" spans="1:28">
      <c r="A571">
        <f>IF(COUNTBLANK(B571:AC571)&lt;&gt;COLUMNS(B571:AC571),570,"")</f>
        <v>0</v>
      </c>
      <c r="H571" s="2">
        <f>IF(B571="", "", "not provided")</f>
        <v>0</v>
      </c>
      <c r="I571" s="1">
        <f>IF(B571="", "", "meters")</f>
        <v>0</v>
      </c>
      <c r="T571" s="1">
        <f>IF(B571="", "", "Decimal degrees")</f>
        <v>0</v>
      </c>
      <c r="V571" s="1">
        <f>IF(B571="", "", "Decimal degrees")</f>
        <v>0</v>
      </c>
      <c r="Y571" s="1">
        <f>IF(B571="", "", "other")</f>
        <v>0</v>
      </c>
      <c r="AB571" s="1">
        <f>IF(B571="", "", "Not applicable")</f>
        <v>0</v>
      </c>
    </row>
    <row r="572" spans="1:28">
      <c r="A572">
        <f>IF(COUNTBLANK(B572:AC572)&lt;&gt;COLUMNS(B572:AC572),571,"")</f>
        <v>0</v>
      </c>
      <c r="H572" s="2">
        <f>IF(B572="", "", "not provided")</f>
        <v>0</v>
      </c>
      <c r="I572" s="1">
        <f>IF(B572="", "", "meters")</f>
        <v>0</v>
      </c>
      <c r="T572" s="1">
        <f>IF(B572="", "", "Decimal degrees")</f>
        <v>0</v>
      </c>
      <c r="V572" s="1">
        <f>IF(B572="", "", "Decimal degrees")</f>
        <v>0</v>
      </c>
      <c r="Y572" s="1">
        <f>IF(B572="", "", "other")</f>
        <v>0</v>
      </c>
      <c r="AB572" s="1">
        <f>IF(B572="", "", "Not applicable")</f>
        <v>0</v>
      </c>
    </row>
    <row r="573" spans="1:28">
      <c r="A573">
        <f>IF(COUNTBLANK(B573:AC573)&lt;&gt;COLUMNS(B573:AC573),572,"")</f>
        <v>0</v>
      </c>
      <c r="H573" s="2">
        <f>IF(B573="", "", "not provided")</f>
        <v>0</v>
      </c>
      <c r="I573" s="1">
        <f>IF(B573="", "", "meters")</f>
        <v>0</v>
      </c>
      <c r="T573" s="1">
        <f>IF(B573="", "", "Decimal degrees")</f>
        <v>0</v>
      </c>
      <c r="V573" s="1">
        <f>IF(B573="", "", "Decimal degrees")</f>
        <v>0</v>
      </c>
      <c r="Y573" s="1">
        <f>IF(B573="", "", "other")</f>
        <v>0</v>
      </c>
      <c r="AB573" s="1">
        <f>IF(B573="", "", "Not applicable")</f>
        <v>0</v>
      </c>
    </row>
    <row r="574" spans="1:28">
      <c r="A574">
        <f>IF(COUNTBLANK(B574:AC574)&lt;&gt;COLUMNS(B574:AC574),573,"")</f>
        <v>0</v>
      </c>
      <c r="H574" s="2">
        <f>IF(B574="", "", "not provided")</f>
        <v>0</v>
      </c>
      <c r="I574" s="1">
        <f>IF(B574="", "", "meters")</f>
        <v>0</v>
      </c>
      <c r="T574" s="1">
        <f>IF(B574="", "", "Decimal degrees")</f>
        <v>0</v>
      </c>
      <c r="V574" s="1">
        <f>IF(B574="", "", "Decimal degrees")</f>
        <v>0</v>
      </c>
      <c r="Y574" s="1">
        <f>IF(B574="", "", "other")</f>
        <v>0</v>
      </c>
      <c r="AB574" s="1">
        <f>IF(B574="", "", "Not applicable")</f>
        <v>0</v>
      </c>
    </row>
    <row r="575" spans="1:28">
      <c r="A575">
        <f>IF(COUNTBLANK(B575:AC575)&lt;&gt;COLUMNS(B575:AC575),574,"")</f>
        <v>0</v>
      </c>
      <c r="H575" s="2">
        <f>IF(B575="", "", "not provided")</f>
        <v>0</v>
      </c>
      <c r="I575" s="1">
        <f>IF(B575="", "", "meters")</f>
        <v>0</v>
      </c>
      <c r="T575" s="1">
        <f>IF(B575="", "", "Decimal degrees")</f>
        <v>0</v>
      </c>
      <c r="V575" s="1">
        <f>IF(B575="", "", "Decimal degrees")</f>
        <v>0</v>
      </c>
      <c r="Y575" s="1">
        <f>IF(B575="", "", "other")</f>
        <v>0</v>
      </c>
      <c r="AB575" s="1">
        <f>IF(B575="", "", "Not applicable")</f>
        <v>0</v>
      </c>
    </row>
    <row r="576" spans="1:28">
      <c r="A576">
        <f>IF(COUNTBLANK(B576:AC576)&lt;&gt;COLUMNS(B576:AC576),575,"")</f>
        <v>0</v>
      </c>
      <c r="H576" s="2">
        <f>IF(B576="", "", "not provided")</f>
        <v>0</v>
      </c>
      <c r="I576" s="1">
        <f>IF(B576="", "", "meters")</f>
        <v>0</v>
      </c>
      <c r="T576" s="1">
        <f>IF(B576="", "", "Decimal degrees")</f>
        <v>0</v>
      </c>
      <c r="V576" s="1">
        <f>IF(B576="", "", "Decimal degrees")</f>
        <v>0</v>
      </c>
      <c r="Y576" s="1">
        <f>IF(B576="", "", "other")</f>
        <v>0</v>
      </c>
      <c r="AB576" s="1">
        <f>IF(B576="", "", "Not applicable")</f>
        <v>0</v>
      </c>
    </row>
    <row r="577" spans="1:28">
      <c r="A577">
        <f>IF(COUNTBLANK(B577:AC577)&lt;&gt;COLUMNS(B577:AC577),576,"")</f>
        <v>0</v>
      </c>
      <c r="H577" s="2">
        <f>IF(B577="", "", "not provided")</f>
        <v>0</v>
      </c>
      <c r="I577" s="1">
        <f>IF(B577="", "", "meters")</f>
        <v>0</v>
      </c>
      <c r="T577" s="1">
        <f>IF(B577="", "", "Decimal degrees")</f>
        <v>0</v>
      </c>
      <c r="V577" s="1">
        <f>IF(B577="", "", "Decimal degrees")</f>
        <v>0</v>
      </c>
      <c r="Y577" s="1">
        <f>IF(B577="", "", "other")</f>
        <v>0</v>
      </c>
      <c r="AB577" s="1">
        <f>IF(B577="", "", "Not applicable")</f>
        <v>0</v>
      </c>
    </row>
    <row r="578" spans="1:28">
      <c r="A578">
        <f>IF(COUNTBLANK(B578:AC578)&lt;&gt;COLUMNS(B578:AC578),577,"")</f>
        <v>0</v>
      </c>
      <c r="H578" s="2">
        <f>IF(B578="", "", "not provided")</f>
        <v>0</v>
      </c>
      <c r="I578" s="1">
        <f>IF(B578="", "", "meters")</f>
        <v>0</v>
      </c>
      <c r="T578" s="1">
        <f>IF(B578="", "", "Decimal degrees")</f>
        <v>0</v>
      </c>
      <c r="V578" s="1">
        <f>IF(B578="", "", "Decimal degrees")</f>
        <v>0</v>
      </c>
      <c r="Y578" s="1">
        <f>IF(B578="", "", "other")</f>
        <v>0</v>
      </c>
      <c r="AB578" s="1">
        <f>IF(B578="", "", "Not applicable")</f>
        <v>0</v>
      </c>
    </row>
    <row r="579" spans="1:28">
      <c r="A579">
        <f>IF(COUNTBLANK(B579:AC579)&lt;&gt;COLUMNS(B579:AC579),578,"")</f>
        <v>0</v>
      </c>
      <c r="H579" s="2">
        <f>IF(B579="", "", "not provided")</f>
        <v>0</v>
      </c>
      <c r="I579" s="1">
        <f>IF(B579="", "", "meters")</f>
        <v>0</v>
      </c>
      <c r="T579" s="1">
        <f>IF(B579="", "", "Decimal degrees")</f>
        <v>0</v>
      </c>
      <c r="V579" s="1">
        <f>IF(B579="", "", "Decimal degrees")</f>
        <v>0</v>
      </c>
      <c r="Y579" s="1">
        <f>IF(B579="", "", "other")</f>
        <v>0</v>
      </c>
      <c r="AB579" s="1">
        <f>IF(B579="", "", "Not applicable")</f>
        <v>0</v>
      </c>
    </row>
    <row r="580" spans="1:28">
      <c r="A580">
        <f>IF(COUNTBLANK(B580:AC580)&lt;&gt;COLUMNS(B580:AC580),579,"")</f>
        <v>0</v>
      </c>
      <c r="H580" s="2">
        <f>IF(B580="", "", "not provided")</f>
        <v>0</v>
      </c>
      <c r="I580" s="1">
        <f>IF(B580="", "", "meters")</f>
        <v>0</v>
      </c>
      <c r="T580" s="1">
        <f>IF(B580="", "", "Decimal degrees")</f>
        <v>0</v>
      </c>
      <c r="V580" s="1">
        <f>IF(B580="", "", "Decimal degrees")</f>
        <v>0</v>
      </c>
      <c r="Y580" s="1">
        <f>IF(B580="", "", "other")</f>
        <v>0</v>
      </c>
      <c r="AB580" s="1">
        <f>IF(B580="", "", "Not applicable")</f>
        <v>0</v>
      </c>
    </row>
    <row r="581" spans="1:28">
      <c r="A581">
        <f>IF(COUNTBLANK(B581:AC581)&lt;&gt;COLUMNS(B581:AC581),580,"")</f>
        <v>0</v>
      </c>
      <c r="H581" s="2">
        <f>IF(B581="", "", "not provided")</f>
        <v>0</v>
      </c>
      <c r="I581" s="1">
        <f>IF(B581="", "", "meters")</f>
        <v>0</v>
      </c>
      <c r="T581" s="1">
        <f>IF(B581="", "", "Decimal degrees")</f>
        <v>0</v>
      </c>
      <c r="V581" s="1">
        <f>IF(B581="", "", "Decimal degrees")</f>
        <v>0</v>
      </c>
      <c r="Y581" s="1">
        <f>IF(B581="", "", "other")</f>
        <v>0</v>
      </c>
      <c r="AB581" s="1">
        <f>IF(B581="", "", "Not applicable")</f>
        <v>0</v>
      </c>
    </row>
    <row r="582" spans="1:28">
      <c r="A582">
        <f>IF(COUNTBLANK(B582:AC582)&lt;&gt;COLUMNS(B582:AC582),581,"")</f>
        <v>0</v>
      </c>
      <c r="H582" s="2">
        <f>IF(B582="", "", "not provided")</f>
        <v>0</v>
      </c>
      <c r="I582" s="1">
        <f>IF(B582="", "", "meters")</f>
        <v>0</v>
      </c>
      <c r="T582" s="1">
        <f>IF(B582="", "", "Decimal degrees")</f>
        <v>0</v>
      </c>
      <c r="V582" s="1">
        <f>IF(B582="", "", "Decimal degrees")</f>
        <v>0</v>
      </c>
      <c r="Y582" s="1">
        <f>IF(B582="", "", "other")</f>
        <v>0</v>
      </c>
      <c r="AB582" s="1">
        <f>IF(B582="", "", "Not applicable")</f>
        <v>0</v>
      </c>
    </row>
    <row r="583" spans="1:28">
      <c r="A583">
        <f>IF(COUNTBLANK(B583:AC583)&lt;&gt;COLUMNS(B583:AC583),582,"")</f>
        <v>0</v>
      </c>
      <c r="H583" s="2">
        <f>IF(B583="", "", "not provided")</f>
        <v>0</v>
      </c>
      <c r="I583" s="1">
        <f>IF(B583="", "", "meters")</f>
        <v>0</v>
      </c>
      <c r="T583" s="1">
        <f>IF(B583="", "", "Decimal degrees")</f>
        <v>0</v>
      </c>
      <c r="V583" s="1">
        <f>IF(B583="", "", "Decimal degrees")</f>
        <v>0</v>
      </c>
      <c r="Y583" s="1">
        <f>IF(B583="", "", "other")</f>
        <v>0</v>
      </c>
      <c r="AB583" s="1">
        <f>IF(B583="", "", "Not applicable")</f>
        <v>0</v>
      </c>
    </row>
    <row r="584" spans="1:28">
      <c r="A584">
        <f>IF(COUNTBLANK(B584:AC584)&lt;&gt;COLUMNS(B584:AC584),583,"")</f>
        <v>0</v>
      </c>
      <c r="H584" s="2">
        <f>IF(B584="", "", "not provided")</f>
        <v>0</v>
      </c>
      <c r="I584" s="1">
        <f>IF(B584="", "", "meters")</f>
        <v>0</v>
      </c>
      <c r="T584" s="1">
        <f>IF(B584="", "", "Decimal degrees")</f>
        <v>0</v>
      </c>
      <c r="V584" s="1">
        <f>IF(B584="", "", "Decimal degrees")</f>
        <v>0</v>
      </c>
      <c r="Y584" s="1">
        <f>IF(B584="", "", "other")</f>
        <v>0</v>
      </c>
      <c r="AB584" s="1">
        <f>IF(B584="", "", "Not applicable")</f>
        <v>0</v>
      </c>
    </row>
    <row r="585" spans="1:28">
      <c r="A585">
        <f>IF(COUNTBLANK(B585:AC585)&lt;&gt;COLUMNS(B585:AC585),584,"")</f>
        <v>0</v>
      </c>
      <c r="H585" s="2">
        <f>IF(B585="", "", "not provided")</f>
        <v>0</v>
      </c>
      <c r="I585" s="1">
        <f>IF(B585="", "", "meters")</f>
        <v>0</v>
      </c>
      <c r="T585" s="1">
        <f>IF(B585="", "", "Decimal degrees")</f>
        <v>0</v>
      </c>
      <c r="V585" s="1">
        <f>IF(B585="", "", "Decimal degrees")</f>
        <v>0</v>
      </c>
      <c r="Y585" s="1">
        <f>IF(B585="", "", "other")</f>
        <v>0</v>
      </c>
      <c r="AB585" s="1">
        <f>IF(B585="", "", "Not applicable")</f>
        <v>0</v>
      </c>
    </row>
    <row r="586" spans="1:28">
      <c r="A586">
        <f>IF(COUNTBLANK(B586:AC586)&lt;&gt;COLUMNS(B586:AC586),585,"")</f>
        <v>0</v>
      </c>
      <c r="H586" s="2">
        <f>IF(B586="", "", "not provided")</f>
        <v>0</v>
      </c>
      <c r="I586" s="1">
        <f>IF(B586="", "", "meters")</f>
        <v>0</v>
      </c>
      <c r="T586" s="1">
        <f>IF(B586="", "", "Decimal degrees")</f>
        <v>0</v>
      </c>
      <c r="V586" s="1">
        <f>IF(B586="", "", "Decimal degrees")</f>
        <v>0</v>
      </c>
      <c r="Y586" s="1">
        <f>IF(B586="", "", "other")</f>
        <v>0</v>
      </c>
      <c r="AB586" s="1">
        <f>IF(B586="", "", "Not applicable")</f>
        <v>0</v>
      </c>
    </row>
    <row r="587" spans="1:28">
      <c r="A587">
        <f>IF(COUNTBLANK(B587:AC587)&lt;&gt;COLUMNS(B587:AC587),586,"")</f>
        <v>0</v>
      </c>
      <c r="H587" s="2">
        <f>IF(B587="", "", "not provided")</f>
        <v>0</v>
      </c>
      <c r="I587" s="1">
        <f>IF(B587="", "", "meters")</f>
        <v>0</v>
      </c>
      <c r="T587" s="1">
        <f>IF(B587="", "", "Decimal degrees")</f>
        <v>0</v>
      </c>
      <c r="V587" s="1">
        <f>IF(B587="", "", "Decimal degrees")</f>
        <v>0</v>
      </c>
      <c r="Y587" s="1">
        <f>IF(B587="", "", "other")</f>
        <v>0</v>
      </c>
      <c r="AB587" s="1">
        <f>IF(B587="", "", "Not applicable")</f>
        <v>0</v>
      </c>
    </row>
    <row r="588" spans="1:28">
      <c r="A588">
        <f>IF(COUNTBLANK(B588:AC588)&lt;&gt;COLUMNS(B588:AC588),587,"")</f>
        <v>0</v>
      </c>
      <c r="H588" s="2">
        <f>IF(B588="", "", "not provided")</f>
        <v>0</v>
      </c>
      <c r="I588" s="1">
        <f>IF(B588="", "", "meters")</f>
        <v>0</v>
      </c>
      <c r="T588" s="1">
        <f>IF(B588="", "", "Decimal degrees")</f>
        <v>0</v>
      </c>
      <c r="V588" s="1">
        <f>IF(B588="", "", "Decimal degrees")</f>
        <v>0</v>
      </c>
      <c r="Y588" s="1">
        <f>IF(B588="", "", "other")</f>
        <v>0</v>
      </c>
      <c r="AB588" s="1">
        <f>IF(B588="", "", "Not applicable")</f>
        <v>0</v>
      </c>
    </row>
    <row r="589" spans="1:28">
      <c r="A589">
        <f>IF(COUNTBLANK(B589:AC589)&lt;&gt;COLUMNS(B589:AC589),588,"")</f>
        <v>0</v>
      </c>
      <c r="H589" s="2">
        <f>IF(B589="", "", "not provided")</f>
        <v>0</v>
      </c>
      <c r="I589" s="1">
        <f>IF(B589="", "", "meters")</f>
        <v>0</v>
      </c>
      <c r="T589" s="1">
        <f>IF(B589="", "", "Decimal degrees")</f>
        <v>0</v>
      </c>
      <c r="V589" s="1">
        <f>IF(B589="", "", "Decimal degrees")</f>
        <v>0</v>
      </c>
      <c r="Y589" s="1">
        <f>IF(B589="", "", "other")</f>
        <v>0</v>
      </c>
      <c r="AB589" s="1">
        <f>IF(B589="", "", "Not applicable")</f>
        <v>0</v>
      </c>
    </row>
    <row r="590" spans="1:28">
      <c r="A590">
        <f>IF(COUNTBLANK(B590:AC590)&lt;&gt;COLUMNS(B590:AC590),589,"")</f>
        <v>0</v>
      </c>
      <c r="H590" s="2">
        <f>IF(B590="", "", "not provided")</f>
        <v>0</v>
      </c>
      <c r="I590" s="1">
        <f>IF(B590="", "", "meters")</f>
        <v>0</v>
      </c>
      <c r="T590" s="1">
        <f>IF(B590="", "", "Decimal degrees")</f>
        <v>0</v>
      </c>
      <c r="V590" s="1">
        <f>IF(B590="", "", "Decimal degrees")</f>
        <v>0</v>
      </c>
      <c r="Y590" s="1">
        <f>IF(B590="", "", "other")</f>
        <v>0</v>
      </c>
      <c r="AB590" s="1">
        <f>IF(B590="", "", "Not applicable")</f>
        <v>0</v>
      </c>
    </row>
    <row r="591" spans="1:28">
      <c r="A591">
        <f>IF(COUNTBLANK(B591:AC591)&lt;&gt;COLUMNS(B591:AC591),590,"")</f>
        <v>0</v>
      </c>
      <c r="H591" s="2">
        <f>IF(B591="", "", "not provided")</f>
        <v>0</v>
      </c>
      <c r="I591" s="1">
        <f>IF(B591="", "", "meters")</f>
        <v>0</v>
      </c>
      <c r="T591" s="1">
        <f>IF(B591="", "", "Decimal degrees")</f>
        <v>0</v>
      </c>
      <c r="V591" s="1">
        <f>IF(B591="", "", "Decimal degrees")</f>
        <v>0</v>
      </c>
      <c r="Y591" s="1">
        <f>IF(B591="", "", "other")</f>
        <v>0</v>
      </c>
      <c r="AB591" s="1">
        <f>IF(B591="", "", "Not applicable")</f>
        <v>0</v>
      </c>
    </row>
    <row r="592" spans="1:28">
      <c r="A592">
        <f>IF(COUNTBLANK(B592:AC592)&lt;&gt;COLUMNS(B592:AC592),591,"")</f>
        <v>0</v>
      </c>
      <c r="H592" s="2">
        <f>IF(B592="", "", "not provided")</f>
        <v>0</v>
      </c>
      <c r="I592" s="1">
        <f>IF(B592="", "", "meters")</f>
        <v>0</v>
      </c>
      <c r="T592" s="1">
        <f>IF(B592="", "", "Decimal degrees")</f>
        <v>0</v>
      </c>
      <c r="V592" s="1">
        <f>IF(B592="", "", "Decimal degrees")</f>
        <v>0</v>
      </c>
      <c r="Y592" s="1">
        <f>IF(B592="", "", "other")</f>
        <v>0</v>
      </c>
      <c r="AB592" s="1">
        <f>IF(B592="", "", "Not applicable")</f>
        <v>0</v>
      </c>
    </row>
    <row r="593" spans="1:28">
      <c r="A593">
        <f>IF(COUNTBLANK(B593:AC593)&lt;&gt;COLUMNS(B593:AC593),592,"")</f>
        <v>0</v>
      </c>
      <c r="H593" s="2">
        <f>IF(B593="", "", "not provided")</f>
        <v>0</v>
      </c>
      <c r="I593" s="1">
        <f>IF(B593="", "", "meters")</f>
        <v>0</v>
      </c>
      <c r="T593" s="1">
        <f>IF(B593="", "", "Decimal degrees")</f>
        <v>0</v>
      </c>
      <c r="V593" s="1">
        <f>IF(B593="", "", "Decimal degrees")</f>
        <v>0</v>
      </c>
      <c r="Y593" s="1">
        <f>IF(B593="", "", "other")</f>
        <v>0</v>
      </c>
      <c r="AB593" s="1">
        <f>IF(B593="", "", "Not applicable")</f>
        <v>0</v>
      </c>
    </row>
    <row r="594" spans="1:28">
      <c r="A594">
        <f>IF(COUNTBLANK(B594:AC594)&lt;&gt;COLUMNS(B594:AC594),593,"")</f>
        <v>0</v>
      </c>
      <c r="H594" s="2">
        <f>IF(B594="", "", "not provided")</f>
        <v>0</v>
      </c>
      <c r="I594" s="1">
        <f>IF(B594="", "", "meters")</f>
        <v>0</v>
      </c>
      <c r="T594" s="1">
        <f>IF(B594="", "", "Decimal degrees")</f>
        <v>0</v>
      </c>
      <c r="V594" s="1">
        <f>IF(B594="", "", "Decimal degrees")</f>
        <v>0</v>
      </c>
      <c r="Y594" s="1">
        <f>IF(B594="", "", "other")</f>
        <v>0</v>
      </c>
      <c r="AB594" s="1">
        <f>IF(B594="", "", "Not applicable")</f>
        <v>0</v>
      </c>
    </row>
    <row r="595" spans="1:28">
      <c r="A595">
        <f>IF(COUNTBLANK(B595:AC595)&lt;&gt;COLUMNS(B595:AC595),594,"")</f>
        <v>0</v>
      </c>
      <c r="H595" s="2">
        <f>IF(B595="", "", "not provided")</f>
        <v>0</v>
      </c>
      <c r="I595" s="1">
        <f>IF(B595="", "", "meters")</f>
        <v>0</v>
      </c>
      <c r="T595" s="1">
        <f>IF(B595="", "", "Decimal degrees")</f>
        <v>0</v>
      </c>
      <c r="V595" s="1">
        <f>IF(B595="", "", "Decimal degrees")</f>
        <v>0</v>
      </c>
      <c r="Y595" s="1">
        <f>IF(B595="", "", "other")</f>
        <v>0</v>
      </c>
      <c r="AB595" s="1">
        <f>IF(B595="", "", "Not applicable")</f>
        <v>0</v>
      </c>
    </row>
    <row r="596" spans="1:28">
      <c r="A596">
        <f>IF(COUNTBLANK(B596:AC596)&lt;&gt;COLUMNS(B596:AC596),595,"")</f>
        <v>0</v>
      </c>
      <c r="H596" s="2">
        <f>IF(B596="", "", "not provided")</f>
        <v>0</v>
      </c>
      <c r="I596" s="1">
        <f>IF(B596="", "", "meters")</f>
        <v>0</v>
      </c>
      <c r="T596" s="1">
        <f>IF(B596="", "", "Decimal degrees")</f>
        <v>0</v>
      </c>
      <c r="V596" s="1">
        <f>IF(B596="", "", "Decimal degrees")</f>
        <v>0</v>
      </c>
      <c r="Y596" s="1">
        <f>IF(B596="", "", "other")</f>
        <v>0</v>
      </c>
      <c r="AB596" s="1">
        <f>IF(B596="", "", "Not applicable")</f>
        <v>0</v>
      </c>
    </row>
    <row r="597" spans="1:28">
      <c r="A597">
        <f>IF(COUNTBLANK(B597:AC597)&lt;&gt;COLUMNS(B597:AC597),596,"")</f>
        <v>0</v>
      </c>
      <c r="H597" s="2">
        <f>IF(B597="", "", "not provided")</f>
        <v>0</v>
      </c>
      <c r="I597" s="1">
        <f>IF(B597="", "", "meters")</f>
        <v>0</v>
      </c>
      <c r="T597" s="1">
        <f>IF(B597="", "", "Decimal degrees")</f>
        <v>0</v>
      </c>
      <c r="V597" s="1">
        <f>IF(B597="", "", "Decimal degrees")</f>
        <v>0</v>
      </c>
      <c r="Y597" s="1">
        <f>IF(B597="", "", "other")</f>
        <v>0</v>
      </c>
      <c r="AB597" s="1">
        <f>IF(B597="", "", "Not applicable")</f>
        <v>0</v>
      </c>
    </row>
    <row r="598" spans="1:28">
      <c r="A598">
        <f>IF(COUNTBLANK(B598:AC598)&lt;&gt;COLUMNS(B598:AC598),597,"")</f>
        <v>0</v>
      </c>
      <c r="H598" s="2">
        <f>IF(B598="", "", "not provided")</f>
        <v>0</v>
      </c>
      <c r="I598" s="1">
        <f>IF(B598="", "", "meters")</f>
        <v>0</v>
      </c>
      <c r="T598" s="1">
        <f>IF(B598="", "", "Decimal degrees")</f>
        <v>0</v>
      </c>
      <c r="V598" s="1">
        <f>IF(B598="", "", "Decimal degrees")</f>
        <v>0</v>
      </c>
      <c r="Y598" s="1">
        <f>IF(B598="", "", "other")</f>
        <v>0</v>
      </c>
      <c r="AB598" s="1">
        <f>IF(B598="", "", "Not applicable")</f>
        <v>0</v>
      </c>
    </row>
    <row r="599" spans="1:28">
      <c r="A599">
        <f>IF(COUNTBLANK(B599:AC599)&lt;&gt;COLUMNS(B599:AC599),598,"")</f>
        <v>0</v>
      </c>
      <c r="H599" s="2">
        <f>IF(B599="", "", "not provided")</f>
        <v>0</v>
      </c>
      <c r="I599" s="1">
        <f>IF(B599="", "", "meters")</f>
        <v>0</v>
      </c>
      <c r="T599" s="1">
        <f>IF(B599="", "", "Decimal degrees")</f>
        <v>0</v>
      </c>
      <c r="V599" s="1">
        <f>IF(B599="", "", "Decimal degrees")</f>
        <v>0</v>
      </c>
      <c r="Y599" s="1">
        <f>IF(B599="", "", "other")</f>
        <v>0</v>
      </c>
      <c r="AB599" s="1">
        <f>IF(B599="", "", "Not applicable")</f>
        <v>0</v>
      </c>
    </row>
    <row r="600" spans="1:28">
      <c r="A600">
        <f>IF(COUNTBLANK(B600:AC600)&lt;&gt;COLUMNS(B600:AC600),599,"")</f>
        <v>0</v>
      </c>
      <c r="H600" s="2">
        <f>IF(B600="", "", "not provided")</f>
        <v>0</v>
      </c>
      <c r="I600" s="1">
        <f>IF(B600="", "", "meters")</f>
        <v>0</v>
      </c>
      <c r="T600" s="1">
        <f>IF(B600="", "", "Decimal degrees")</f>
        <v>0</v>
      </c>
      <c r="V600" s="1">
        <f>IF(B600="", "", "Decimal degrees")</f>
        <v>0</v>
      </c>
      <c r="Y600" s="1">
        <f>IF(B600="", "", "other")</f>
        <v>0</v>
      </c>
      <c r="AB600" s="1">
        <f>IF(B600="", "", "Not applicable")</f>
        <v>0</v>
      </c>
    </row>
    <row r="601" spans="1:28">
      <c r="A601">
        <f>IF(COUNTBLANK(B601:AC601)&lt;&gt;COLUMNS(B601:AC601),600,"")</f>
        <v>0</v>
      </c>
      <c r="H601" s="2">
        <f>IF(B601="", "", "not provided")</f>
        <v>0</v>
      </c>
      <c r="I601" s="1">
        <f>IF(B601="", "", "meters")</f>
        <v>0</v>
      </c>
      <c r="T601" s="1">
        <f>IF(B601="", "", "Decimal degrees")</f>
        <v>0</v>
      </c>
      <c r="V601" s="1">
        <f>IF(B601="", "", "Decimal degrees")</f>
        <v>0</v>
      </c>
      <c r="Y601" s="1">
        <f>IF(B601="", "", "other")</f>
        <v>0</v>
      </c>
      <c r="AB601" s="1">
        <f>IF(B601="", "", "Not applicable")</f>
        <v>0</v>
      </c>
    </row>
    <row r="602" spans="1:28">
      <c r="A602">
        <f>IF(COUNTBLANK(B602:AC602)&lt;&gt;COLUMNS(B602:AC602),601,"")</f>
        <v>0</v>
      </c>
      <c r="H602" s="2">
        <f>IF(B602="", "", "not provided")</f>
        <v>0</v>
      </c>
      <c r="I602" s="1">
        <f>IF(B602="", "", "meters")</f>
        <v>0</v>
      </c>
      <c r="T602" s="1">
        <f>IF(B602="", "", "Decimal degrees")</f>
        <v>0</v>
      </c>
      <c r="V602" s="1">
        <f>IF(B602="", "", "Decimal degrees")</f>
        <v>0</v>
      </c>
      <c r="Y602" s="1">
        <f>IF(B602="", "", "other")</f>
        <v>0</v>
      </c>
      <c r="AB602" s="1">
        <f>IF(B602="", "", "Not applicable")</f>
        <v>0</v>
      </c>
    </row>
    <row r="603" spans="1:28">
      <c r="A603">
        <f>IF(COUNTBLANK(B603:AC603)&lt;&gt;COLUMNS(B603:AC603),602,"")</f>
        <v>0</v>
      </c>
      <c r="H603" s="2">
        <f>IF(B603="", "", "not provided")</f>
        <v>0</v>
      </c>
      <c r="I603" s="1">
        <f>IF(B603="", "", "meters")</f>
        <v>0</v>
      </c>
      <c r="T603" s="1">
        <f>IF(B603="", "", "Decimal degrees")</f>
        <v>0</v>
      </c>
      <c r="V603" s="1">
        <f>IF(B603="", "", "Decimal degrees")</f>
        <v>0</v>
      </c>
      <c r="Y603" s="1">
        <f>IF(B603="", "", "other")</f>
        <v>0</v>
      </c>
      <c r="AB603" s="1">
        <f>IF(B603="", "", "Not applicable")</f>
        <v>0</v>
      </c>
    </row>
    <row r="604" spans="1:28">
      <c r="A604">
        <f>IF(COUNTBLANK(B604:AC604)&lt;&gt;COLUMNS(B604:AC604),603,"")</f>
        <v>0</v>
      </c>
      <c r="H604" s="2">
        <f>IF(B604="", "", "not provided")</f>
        <v>0</v>
      </c>
      <c r="I604" s="1">
        <f>IF(B604="", "", "meters")</f>
        <v>0</v>
      </c>
      <c r="T604" s="1">
        <f>IF(B604="", "", "Decimal degrees")</f>
        <v>0</v>
      </c>
      <c r="V604" s="1">
        <f>IF(B604="", "", "Decimal degrees")</f>
        <v>0</v>
      </c>
      <c r="Y604" s="1">
        <f>IF(B604="", "", "other")</f>
        <v>0</v>
      </c>
      <c r="AB604" s="1">
        <f>IF(B604="", "", "Not applicable")</f>
        <v>0</v>
      </c>
    </row>
    <row r="605" spans="1:28">
      <c r="A605">
        <f>IF(COUNTBLANK(B605:AC605)&lt;&gt;COLUMNS(B605:AC605),604,"")</f>
        <v>0</v>
      </c>
      <c r="H605" s="2">
        <f>IF(B605="", "", "not provided")</f>
        <v>0</v>
      </c>
      <c r="I605" s="1">
        <f>IF(B605="", "", "meters")</f>
        <v>0</v>
      </c>
      <c r="T605" s="1">
        <f>IF(B605="", "", "Decimal degrees")</f>
        <v>0</v>
      </c>
      <c r="V605" s="1">
        <f>IF(B605="", "", "Decimal degrees")</f>
        <v>0</v>
      </c>
      <c r="Y605" s="1">
        <f>IF(B605="", "", "other")</f>
        <v>0</v>
      </c>
      <c r="AB605" s="1">
        <f>IF(B605="", "", "Not applicable")</f>
        <v>0</v>
      </c>
    </row>
    <row r="606" spans="1:28">
      <c r="A606">
        <f>IF(COUNTBLANK(B606:AC606)&lt;&gt;COLUMNS(B606:AC606),605,"")</f>
        <v>0</v>
      </c>
      <c r="H606" s="2">
        <f>IF(B606="", "", "not provided")</f>
        <v>0</v>
      </c>
      <c r="I606" s="1">
        <f>IF(B606="", "", "meters")</f>
        <v>0</v>
      </c>
      <c r="T606" s="1">
        <f>IF(B606="", "", "Decimal degrees")</f>
        <v>0</v>
      </c>
      <c r="V606" s="1">
        <f>IF(B606="", "", "Decimal degrees")</f>
        <v>0</v>
      </c>
      <c r="Y606" s="1">
        <f>IF(B606="", "", "other")</f>
        <v>0</v>
      </c>
      <c r="AB606" s="1">
        <f>IF(B606="", "", "Not applicable")</f>
        <v>0</v>
      </c>
    </row>
    <row r="607" spans="1:28">
      <c r="A607">
        <f>IF(COUNTBLANK(B607:AC607)&lt;&gt;COLUMNS(B607:AC607),606,"")</f>
        <v>0</v>
      </c>
      <c r="H607" s="2">
        <f>IF(B607="", "", "not provided")</f>
        <v>0</v>
      </c>
      <c r="I607" s="1">
        <f>IF(B607="", "", "meters")</f>
        <v>0</v>
      </c>
      <c r="T607" s="1">
        <f>IF(B607="", "", "Decimal degrees")</f>
        <v>0</v>
      </c>
      <c r="V607" s="1">
        <f>IF(B607="", "", "Decimal degrees")</f>
        <v>0</v>
      </c>
      <c r="Y607" s="1">
        <f>IF(B607="", "", "other")</f>
        <v>0</v>
      </c>
      <c r="AB607" s="1">
        <f>IF(B607="", "", "Not applicable")</f>
        <v>0</v>
      </c>
    </row>
    <row r="608" spans="1:28">
      <c r="A608">
        <f>IF(COUNTBLANK(B608:AC608)&lt;&gt;COLUMNS(B608:AC608),607,"")</f>
        <v>0</v>
      </c>
      <c r="H608" s="2">
        <f>IF(B608="", "", "not provided")</f>
        <v>0</v>
      </c>
      <c r="I608" s="1">
        <f>IF(B608="", "", "meters")</f>
        <v>0</v>
      </c>
      <c r="T608" s="1">
        <f>IF(B608="", "", "Decimal degrees")</f>
        <v>0</v>
      </c>
      <c r="V608" s="1">
        <f>IF(B608="", "", "Decimal degrees")</f>
        <v>0</v>
      </c>
      <c r="Y608" s="1">
        <f>IF(B608="", "", "other")</f>
        <v>0</v>
      </c>
      <c r="AB608" s="1">
        <f>IF(B608="", "", "Not applicable")</f>
        <v>0</v>
      </c>
    </row>
    <row r="609" spans="1:28">
      <c r="A609">
        <f>IF(COUNTBLANK(B609:AC609)&lt;&gt;COLUMNS(B609:AC609),608,"")</f>
        <v>0</v>
      </c>
      <c r="H609" s="2">
        <f>IF(B609="", "", "not provided")</f>
        <v>0</v>
      </c>
      <c r="I609" s="1">
        <f>IF(B609="", "", "meters")</f>
        <v>0</v>
      </c>
      <c r="T609" s="1">
        <f>IF(B609="", "", "Decimal degrees")</f>
        <v>0</v>
      </c>
      <c r="V609" s="1">
        <f>IF(B609="", "", "Decimal degrees")</f>
        <v>0</v>
      </c>
      <c r="Y609" s="1">
        <f>IF(B609="", "", "other")</f>
        <v>0</v>
      </c>
      <c r="AB609" s="1">
        <f>IF(B609="", "", "Not applicable")</f>
        <v>0</v>
      </c>
    </row>
    <row r="610" spans="1:28">
      <c r="A610">
        <f>IF(COUNTBLANK(B610:AC610)&lt;&gt;COLUMNS(B610:AC610),609,"")</f>
        <v>0</v>
      </c>
      <c r="H610" s="2">
        <f>IF(B610="", "", "not provided")</f>
        <v>0</v>
      </c>
      <c r="I610" s="1">
        <f>IF(B610="", "", "meters")</f>
        <v>0</v>
      </c>
      <c r="T610" s="1">
        <f>IF(B610="", "", "Decimal degrees")</f>
        <v>0</v>
      </c>
      <c r="V610" s="1">
        <f>IF(B610="", "", "Decimal degrees")</f>
        <v>0</v>
      </c>
      <c r="Y610" s="1">
        <f>IF(B610="", "", "other")</f>
        <v>0</v>
      </c>
      <c r="AB610" s="1">
        <f>IF(B610="", "", "Not applicable")</f>
        <v>0</v>
      </c>
    </row>
    <row r="611" spans="1:28">
      <c r="A611">
        <f>IF(COUNTBLANK(B611:AC611)&lt;&gt;COLUMNS(B611:AC611),610,"")</f>
        <v>0</v>
      </c>
      <c r="H611" s="2">
        <f>IF(B611="", "", "not provided")</f>
        <v>0</v>
      </c>
      <c r="I611" s="1">
        <f>IF(B611="", "", "meters")</f>
        <v>0</v>
      </c>
      <c r="T611" s="1">
        <f>IF(B611="", "", "Decimal degrees")</f>
        <v>0</v>
      </c>
      <c r="V611" s="1">
        <f>IF(B611="", "", "Decimal degrees")</f>
        <v>0</v>
      </c>
      <c r="Y611" s="1">
        <f>IF(B611="", "", "other")</f>
        <v>0</v>
      </c>
      <c r="AB611" s="1">
        <f>IF(B611="", "", "Not applicable")</f>
        <v>0</v>
      </c>
    </row>
    <row r="612" spans="1:28">
      <c r="A612">
        <f>IF(COUNTBLANK(B612:AC612)&lt;&gt;COLUMNS(B612:AC612),611,"")</f>
        <v>0</v>
      </c>
      <c r="H612" s="2">
        <f>IF(B612="", "", "not provided")</f>
        <v>0</v>
      </c>
      <c r="I612" s="1">
        <f>IF(B612="", "", "meters")</f>
        <v>0</v>
      </c>
      <c r="T612" s="1">
        <f>IF(B612="", "", "Decimal degrees")</f>
        <v>0</v>
      </c>
      <c r="V612" s="1">
        <f>IF(B612="", "", "Decimal degrees")</f>
        <v>0</v>
      </c>
      <c r="Y612" s="1">
        <f>IF(B612="", "", "other")</f>
        <v>0</v>
      </c>
      <c r="AB612" s="1">
        <f>IF(B612="", "", "Not applicable")</f>
        <v>0</v>
      </c>
    </row>
    <row r="613" spans="1:28">
      <c r="A613">
        <f>IF(COUNTBLANK(B613:AC613)&lt;&gt;COLUMNS(B613:AC613),612,"")</f>
        <v>0</v>
      </c>
      <c r="H613" s="2">
        <f>IF(B613="", "", "not provided")</f>
        <v>0</v>
      </c>
      <c r="I613" s="1">
        <f>IF(B613="", "", "meters")</f>
        <v>0</v>
      </c>
      <c r="T613" s="1">
        <f>IF(B613="", "", "Decimal degrees")</f>
        <v>0</v>
      </c>
      <c r="V613" s="1">
        <f>IF(B613="", "", "Decimal degrees")</f>
        <v>0</v>
      </c>
      <c r="Y613" s="1">
        <f>IF(B613="", "", "other")</f>
        <v>0</v>
      </c>
      <c r="AB613" s="1">
        <f>IF(B613="", "", "Not applicable")</f>
        <v>0</v>
      </c>
    </row>
    <row r="614" spans="1:28">
      <c r="A614">
        <f>IF(COUNTBLANK(B614:AC614)&lt;&gt;COLUMNS(B614:AC614),613,"")</f>
        <v>0</v>
      </c>
      <c r="H614" s="2">
        <f>IF(B614="", "", "not provided")</f>
        <v>0</v>
      </c>
      <c r="I614" s="1">
        <f>IF(B614="", "", "meters")</f>
        <v>0</v>
      </c>
      <c r="T614" s="1">
        <f>IF(B614="", "", "Decimal degrees")</f>
        <v>0</v>
      </c>
      <c r="V614" s="1">
        <f>IF(B614="", "", "Decimal degrees")</f>
        <v>0</v>
      </c>
      <c r="Y614" s="1">
        <f>IF(B614="", "", "other")</f>
        <v>0</v>
      </c>
      <c r="AB614" s="1">
        <f>IF(B614="", "", "Not applicable")</f>
        <v>0</v>
      </c>
    </row>
    <row r="615" spans="1:28">
      <c r="A615">
        <f>IF(COUNTBLANK(B615:AC615)&lt;&gt;COLUMNS(B615:AC615),614,"")</f>
        <v>0</v>
      </c>
      <c r="H615" s="2">
        <f>IF(B615="", "", "not provided")</f>
        <v>0</v>
      </c>
      <c r="I615" s="1">
        <f>IF(B615="", "", "meters")</f>
        <v>0</v>
      </c>
      <c r="T615" s="1">
        <f>IF(B615="", "", "Decimal degrees")</f>
        <v>0</v>
      </c>
      <c r="V615" s="1">
        <f>IF(B615="", "", "Decimal degrees")</f>
        <v>0</v>
      </c>
      <c r="Y615" s="1">
        <f>IF(B615="", "", "other")</f>
        <v>0</v>
      </c>
      <c r="AB615" s="1">
        <f>IF(B615="", "", "Not applicable")</f>
        <v>0</v>
      </c>
    </row>
    <row r="616" spans="1:28">
      <c r="A616">
        <f>IF(COUNTBLANK(B616:AC616)&lt;&gt;COLUMNS(B616:AC616),615,"")</f>
        <v>0</v>
      </c>
      <c r="H616" s="2">
        <f>IF(B616="", "", "not provided")</f>
        <v>0</v>
      </c>
      <c r="I616" s="1">
        <f>IF(B616="", "", "meters")</f>
        <v>0</v>
      </c>
      <c r="T616" s="1">
        <f>IF(B616="", "", "Decimal degrees")</f>
        <v>0</v>
      </c>
      <c r="V616" s="1">
        <f>IF(B616="", "", "Decimal degrees")</f>
        <v>0</v>
      </c>
      <c r="Y616" s="1">
        <f>IF(B616="", "", "other")</f>
        <v>0</v>
      </c>
      <c r="AB616" s="1">
        <f>IF(B616="", "", "Not applicable")</f>
        <v>0</v>
      </c>
    </row>
    <row r="617" spans="1:28">
      <c r="A617">
        <f>IF(COUNTBLANK(B617:AC617)&lt;&gt;COLUMNS(B617:AC617),616,"")</f>
        <v>0</v>
      </c>
      <c r="H617" s="2">
        <f>IF(B617="", "", "not provided")</f>
        <v>0</v>
      </c>
      <c r="I617" s="1">
        <f>IF(B617="", "", "meters")</f>
        <v>0</v>
      </c>
      <c r="T617" s="1">
        <f>IF(B617="", "", "Decimal degrees")</f>
        <v>0</v>
      </c>
      <c r="V617" s="1">
        <f>IF(B617="", "", "Decimal degrees")</f>
        <v>0</v>
      </c>
      <c r="Y617" s="1">
        <f>IF(B617="", "", "other")</f>
        <v>0</v>
      </c>
      <c r="AB617" s="1">
        <f>IF(B617="", "", "Not applicable")</f>
        <v>0</v>
      </c>
    </row>
    <row r="618" spans="1:28">
      <c r="A618">
        <f>IF(COUNTBLANK(B618:AC618)&lt;&gt;COLUMNS(B618:AC618),617,"")</f>
        <v>0</v>
      </c>
      <c r="H618" s="2">
        <f>IF(B618="", "", "not provided")</f>
        <v>0</v>
      </c>
      <c r="I618" s="1">
        <f>IF(B618="", "", "meters")</f>
        <v>0</v>
      </c>
      <c r="T618" s="1">
        <f>IF(B618="", "", "Decimal degrees")</f>
        <v>0</v>
      </c>
      <c r="V618" s="1">
        <f>IF(B618="", "", "Decimal degrees")</f>
        <v>0</v>
      </c>
      <c r="Y618" s="1">
        <f>IF(B618="", "", "other")</f>
        <v>0</v>
      </c>
      <c r="AB618" s="1">
        <f>IF(B618="", "", "Not applicable")</f>
        <v>0</v>
      </c>
    </row>
    <row r="619" spans="1:28">
      <c r="A619">
        <f>IF(COUNTBLANK(B619:AC619)&lt;&gt;COLUMNS(B619:AC619),618,"")</f>
        <v>0</v>
      </c>
      <c r="H619" s="2">
        <f>IF(B619="", "", "not provided")</f>
        <v>0</v>
      </c>
      <c r="I619" s="1">
        <f>IF(B619="", "", "meters")</f>
        <v>0</v>
      </c>
      <c r="T619" s="1">
        <f>IF(B619="", "", "Decimal degrees")</f>
        <v>0</v>
      </c>
      <c r="V619" s="1">
        <f>IF(B619="", "", "Decimal degrees")</f>
        <v>0</v>
      </c>
      <c r="Y619" s="1">
        <f>IF(B619="", "", "other")</f>
        <v>0</v>
      </c>
      <c r="AB619" s="1">
        <f>IF(B619="", "", "Not applicable")</f>
        <v>0</v>
      </c>
    </row>
    <row r="620" spans="1:28">
      <c r="A620">
        <f>IF(COUNTBLANK(B620:AC620)&lt;&gt;COLUMNS(B620:AC620),619,"")</f>
        <v>0</v>
      </c>
      <c r="H620" s="2">
        <f>IF(B620="", "", "not provided")</f>
        <v>0</v>
      </c>
      <c r="I620" s="1">
        <f>IF(B620="", "", "meters")</f>
        <v>0</v>
      </c>
      <c r="T620" s="1">
        <f>IF(B620="", "", "Decimal degrees")</f>
        <v>0</v>
      </c>
      <c r="V620" s="1">
        <f>IF(B620="", "", "Decimal degrees")</f>
        <v>0</v>
      </c>
      <c r="Y620" s="1">
        <f>IF(B620="", "", "other")</f>
        <v>0</v>
      </c>
      <c r="AB620" s="1">
        <f>IF(B620="", "", "Not applicable")</f>
        <v>0</v>
      </c>
    </row>
    <row r="621" spans="1:28">
      <c r="A621">
        <f>IF(COUNTBLANK(B621:AC621)&lt;&gt;COLUMNS(B621:AC621),620,"")</f>
        <v>0</v>
      </c>
      <c r="H621" s="2">
        <f>IF(B621="", "", "not provided")</f>
        <v>0</v>
      </c>
      <c r="I621" s="1">
        <f>IF(B621="", "", "meters")</f>
        <v>0</v>
      </c>
      <c r="T621" s="1">
        <f>IF(B621="", "", "Decimal degrees")</f>
        <v>0</v>
      </c>
      <c r="V621" s="1">
        <f>IF(B621="", "", "Decimal degrees")</f>
        <v>0</v>
      </c>
      <c r="Y621" s="1">
        <f>IF(B621="", "", "other")</f>
        <v>0</v>
      </c>
      <c r="AB621" s="1">
        <f>IF(B621="", "", "Not applicable")</f>
        <v>0</v>
      </c>
    </row>
    <row r="622" spans="1:28">
      <c r="A622">
        <f>IF(COUNTBLANK(B622:AC622)&lt;&gt;COLUMNS(B622:AC622),621,"")</f>
        <v>0</v>
      </c>
      <c r="H622" s="2">
        <f>IF(B622="", "", "not provided")</f>
        <v>0</v>
      </c>
      <c r="I622" s="1">
        <f>IF(B622="", "", "meters")</f>
        <v>0</v>
      </c>
      <c r="T622" s="1">
        <f>IF(B622="", "", "Decimal degrees")</f>
        <v>0</v>
      </c>
      <c r="V622" s="1">
        <f>IF(B622="", "", "Decimal degrees")</f>
        <v>0</v>
      </c>
      <c r="Y622" s="1">
        <f>IF(B622="", "", "other")</f>
        <v>0</v>
      </c>
      <c r="AB622" s="1">
        <f>IF(B622="", "", "Not applicable")</f>
        <v>0</v>
      </c>
    </row>
    <row r="623" spans="1:28">
      <c r="A623">
        <f>IF(COUNTBLANK(B623:AC623)&lt;&gt;COLUMNS(B623:AC623),622,"")</f>
        <v>0</v>
      </c>
      <c r="H623" s="2">
        <f>IF(B623="", "", "not provided")</f>
        <v>0</v>
      </c>
      <c r="I623" s="1">
        <f>IF(B623="", "", "meters")</f>
        <v>0</v>
      </c>
      <c r="T623" s="1">
        <f>IF(B623="", "", "Decimal degrees")</f>
        <v>0</v>
      </c>
      <c r="V623" s="1">
        <f>IF(B623="", "", "Decimal degrees")</f>
        <v>0</v>
      </c>
      <c r="Y623" s="1">
        <f>IF(B623="", "", "other")</f>
        <v>0</v>
      </c>
      <c r="AB623" s="1">
        <f>IF(B623="", "", "Not applicable")</f>
        <v>0</v>
      </c>
    </row>
    <row r="624" spans="1:28">
      <c r="A624">
        <f>IF(COUNTBLANK(B624:AC624)&lt;&gt;COLUMNS(B624:AC624),623,"")</f>
        <v>0</v>
      </c>
      <c r="H624" s="2">
        <f>IF(B624="", "", "not provided")</f>
        <v>0</v>
      </c>
      <c r="I624" s="1">
        <f>IF(B624="", "", "meters")</f>
        <v>0</v>
      </c>
      <c r="T624" s="1">
        <f>IF(B624="", "", "Decimal degrees")</f>
        <v>0</v>
      </c>
      <c r="V624" s="1">
        <f>IF(B624="", "", "Decimal degrees")</f>
        <v>0</v>
      </c>
      <c r="Y624" s="1">
        <f>IF(B624="", "", "other")</f>
        <v>0</v>
      </c>
      <c r="AB624" s="1">
        <f>IF(B624="", "", "Not applicable")</f>
        <v>0</v>
      </c>
    </row>
    <row r="625" spans="1:28">
      <c r="A625">
        <f>IF(COUNTBLANK(B625:AC625)&lt;&gt;COLUMNS(B625:AC625),624,"")</f>
        <v>0</v>
      </c>
      <c r="H625" s="2">
        <f>IF(B625="", "", "not provided")</f>
        <v>0</v>
      </c>
      <c r="I625" s="1">
        <f>IF(B625="", "", "meters")</f>
        <v>0</v>
      </c>
      <c r="T625" s="1">
        <f>IF(B625="", "", "Decimal degrees")</f>
        <v>0</v>
      </c>
      <c r="V625" s="1">
        <f>IF(B625="", "", "Decimal degrees")</f>
        <v>0</v>
      </c>
      <c r="Y625" s="1">
        <f>IF(B625="", "", "other")</f>
        <v>0</v>
      </c>
      <c r="AB625" s="1">
        <f>IF(B625="", "", "Not applicable")</f>
        <v>0</v>
      </c>
    </row>
    <row r="626" spans="1:28">
      <c r="A626">
        <f>IF(COUNTBLANK(B626:AC626)&lt;&gt;COLUMNS(B626:AC626),625,"")</f>
        <v>0</v>
      </c>
      <c r="H626" s="2">
        <f>IF(B626="", "", "not provided")</f>
        <v>0</v>
      </c>
      <c r="I626" s="1">
        <f>IF(B626="", "", "meters")</f>
        <v>0</v>
      </c>
      <c r="T626" s="1">
        <f>IF(B626="", "", "Decimal degrees")</f>
        <v>0</v>
      </c>
      <c r="V626" s="1">
        <f>IF(B626="", "", "Decimal degrees")</f>
        <v>0</v>
      </c>
      <c r="Y626" s="1">
        <f>IF(B626="", "", "other")</f>
        <v>0</v>
      </c>
      <c r="AB626" s="1">
        <f>IF(B626="", "", "Not applicable")</f>
        <v>0</v>
      </c>
    </row>
    <row r="627" spans="1:28">
      <c r="A627">
        <f>IF(COUNTBLANK(B627:AC627)&lt;&gt;COLUMNS(B627:AC627),626,"")</f>
        <v>0</v>
      </c>
      <c r="H627" s="2">
        <f>IF(B627="", "", "not provided")</f>
        <v>0</v>
      </c>
      <c r="I627" s="1">
        <f>IF(B627="", "", "meters")</f>
        <v>0</v>
      </c>
      <c r="T627" s="1">
        <f>IF(B627="", "", "Decimal degrees")</f>
        <v>0</v>
      </c>
      <c r="V627" s="1">
        <f>IF(B627="", "", "Decimal degrees")</f>
        <v>0</v>
      </c>
      <c r="Y627" s="1">
        <f>IF(B627="", "", "other")</f>
        <v>0</v>
      </c>
      <c r="AB627" s="1">
        <f>IF(B627="", "", "Not applicable")</f>
        <v>0</v>
      </c>
    </row>
    <row r="628" spans="1:28">
      <c r="A628">
        <f>IF(COUNTBLANK(B628:AC628)&lt;&gt;COLUMNS(B628:AC628),627,"")</f>
        <v>0</v>
      </c>
      <c r="H628" s="2">
        <f>IF(B628="", "", "not provided")</f>
        <v>0</v>
      </c>
      <c r="I628" s="1">
        <f>IF(B628="", "", "meters")</f>
        <v>0</v>
      </c>
      <c r="T628" s="1">
        <f>IF(B628="", "", "Decimal degrees")</f>
        <v>0</v>
      </c>
      <c r="V628" s="1">
        <f>IF(B628="", "", "Decimal degrees")</f>
        <v>0</v>
      </c>
      <c r="Y628" s="1">
        <f>IF(B628="", "", "other")</f>
        <v>0</v>
      </c>
      <c r="AB628" s="1">
        <f>IF(B628="", "", "Not applicable")</f>
        <v>0</v>
      </c>
    </row>
    <row r="629" spans="1:28">
      <c r="A629">
        <f>IF(COUNTBLANK(B629:AC629)&lt;&gt;COLUMNS(B629:AC629),628,"")</f>
        <v>0</v>
      </c>
      <c r="H629" s="2">
        <f>IF(B629="", "", "not provided")</f>
        <v>0</v>
      </c>
      <c r="I629" s="1">
        <f>IF(B629="", "", "meters")</f>
        <v>0</v>
      </c>
      <c r="T629" s="1">
        <f>IF(B629="", "", "Decimal degrees")</f>
        <v>0</v>
      </c>
      <c r="V629" s="1">
        <f>IF(B629="", "", "Decimal degrees")</f>
        <v>0</v>
      </c>
      <c r="Y629" s="1">
        <f>IF(B629="", "", "other")</f>
        <v>0</v>
      </c>
      <c r="AB629" s="1">
        <f>IF(B629="", "", "Not applicable")</f>
        <v>0</v>
      </c>
    </row>
    <row r="630" spans="1:28">
      <c r="A630">
        <f>IF(COUNTBLANK(B630:AC630)&lt;&gt;COLUMNS(B630:AC630),629,"")</f>
        <v>0</v>
      </c>
      <c r="H630" s="2">
        <f>IF(B630="", "", "not provided")</f>
        <v>0</v>
      </c>
      <c r="I630" s="1">
        <f>IF(B630="", "", "meters")</f>
        <v>0</v>
      </c>
      <c r="T630" s="1">
        <f>IF(B630="", "", "Decimal degrees")</f>
        <v>0</v>
      </c>
      <c r="V630" s="1">
        <f>IF(B630="", "", "Decimal degrees")</f>
        <v>0</v>
      </c>
      <c r="Y630" s="1">
        <f>IF(B630="", "", "other")</f>
        <v>0</v>
      </c>
      <c r="AB630" s="1">
        <f>IF(B630="", "", "Not applicable")</f>
        <v>0</v>
      </c>
    </row>
    <row r="631" spans="1:28">
      <c r="A631">
        <f>IF(COUNTBLANK(B631:AC631)&lt;&gt;COLUMNS(B631:AC631),630,"")</f>
        <v>0</v>
      </c>
      <c r="H631" s="2">
        <f>IF(B631="", "", "not provided")</f>
        <v>0</v>
      </c>
      <c r="I631" s="1">
        <f>IF(B631="", "", "meters")</f>
        <v>0</v>
      </c>
      <c r="T631" s="1">
        <f>IF(B631="", "", "Decimal degrees")</f>
        <v>0</v>
      </c>
      <c r="V631" s="1">
        <f>IF(B631="", "", "Decimal degrees")</f>
        <v>0</v>
      </c>
      <c r="Y631" s="1">
        <f>IF(B631="", "", "other")</f>
        <v>0</v>
      </c>
      <c r="AB631" s="1">
        <f>IF(B631="", "", "Not applicable")</f>
        <v>0</v>
      </c>
    </row>
    <row r="632" spans="1:28">
      <c r="A632">
        <f>IF(COUNTBLANK(B632:AC632)&lt;&gt;COLUMNS(B632:AC632),631,"")</f>
        <v>0</v>
      </c>
      <c r="H632" s="2">
        <f>IF(B632="", "", "not provided")</f>
        <v>0</v>
      </c>
      <c r="I632" s="1">
        <f>IF(B632="", "", "meters")</f>
        <v>0</v>
      </c>
      <c r="T632" s="1">
        <f>IF(B632="", "", "Decimal degrees")</f>
        <v>0</v>
      </c>
      <c r="V632" s="1">
        <f>IF(B632="", "", "Decimal degrees")</f>
        <v>0</v>
      </c>
      <c r="Y632" s="1">
        <f>IF(B632="", "", "other")</f>
        <v>0</v>
      </c>
      <c r="AB632" s="1">
        <f>IF(B632="", "", "Not applicable")</f>
        <v>0</v>
      </c>
    </row>
    <row r="633" spans="1:28">
      <c r="A633">
        <f>IF(COUNTBLANK(B633:AC633)&lt;&gt;COLUMNS(B633:AC633),632,"")</f>
        <v>0</v>
      </c>
      <c r="H633" s="2">
        <f>IF(B633="", "", "not provided")</f>
        <v>0</v>
      </c>
      <c r="I633" s="1">
        <f>IF(B633="", "", "meters")</f>
        <v>0</v>
      </c>
      <c r="T633" s="1">
        <f>IF(B633="", "", "Decimal degrees")</f>
        <v>0</v>
      </c>
      <c r="V633" s="1">
        <f>IF(B633="", "", "Decimal degrees")</f>
        <v>0</v>
      </c>
      <c r="Y633" s="1">
        <f>IF(B633="", "", "other")</f>
        <v>0</v>
      </c>
      <c r="AB633" s="1">
        <f>IF(B633="", "", "Not applicable")</f>
        <v>0</v>
      </c>
    </row>
    <row r="634" spans="1:28">
      <c r="A634">
        <f>IF(COUNTBLANK(B634:AC634)&lt;&gt;COLUMNS(B634:AC634),633,"")</f>
        <v>0</v>
      </c>
      <c r="H634" s="2">
        <f>IF(B634="", "", "not provided")</f>
        <v>0</v>
      </c>
      <c r="I634" s="1">
        <f>IF(B634="", "", "meters")</f>
        <v>0</v>
      </c>
      <c r="T634" s="1">
        <f>IF(B634="", "", "Decimal degrees")</f>
        <v>0</v>
      </c>
      <c r="V634" s="1">
        <f>IF(B634="", "", "Decimal degrees")</f>
        <v>0</v>
      </c>
      <c r="Y634" s="1">
        <f>IF(B634="", "", "other")</f>
        <v>0</v>
      </c>
      <c r="AB634" s="1">
        <f>IF(B634="", "", "Not applicable")</f>
        <v>0</v>
      </c>
    </row>
    <row r="635" spans="1:28">
      <c r="A635">
        <f>IF(COUNTBLANK(B635:AC635)&lt;&gt;COLUMNS(B635:AC635),634,"")</f>
        <v>0</v>
      </c>
      <c r="H635" s="2">
        <f>IF(B635="", "", "not provided")</f>
        <v>0</v>
      </c>
      <c r="I635" s="1">
        <f>IF(B635="", "", "meters")</f>
        <v>0</v>
      </c>
      <c r="T635" s="1">
        <f>IF(B635="", "", "Decimal degrees")</f>
        <v>0</v>
      </c>
      <c r="V635" s="1">
        <f>IF(B635="", "", "Decimal degrees")</f>
        <v>0</v>
      </c>
      <c r="Y635" s="1">
        <f>IF(B635="", "", "other")</f>
        <v>0</v>
      </c>
      <c r="AB635" s="1">
        <f>IF(B635="", "", "Not applicable")</f>
        <v>0</v>
      </c>
    </row>
    <row r="636" spans="1:28">
      <c r="A636">
        <f>IF(COUNTBLANK(B636:AC636)&lt;&gt;COLUMNS(B636:AC636),635,"")</f>
        <v>0</v>
      </c>
      <c r="H636" s="2">
        <f>IF(B636="", "", "not provided")</f>
        <v>0</v>
      </c>
      <c r="I636" s="1">
        <f>IF(B636="", "", "meters")</f>
        <v>0</v>
      </c>
      <c r="T636" s="1">
        <f>IF(B636="", "", "Decimal degrees")</f>
        <v>0</v>
      </c>
      <c r="V636" s="1">
        <f>IF(B636="", "", "Decimal degrees")</f>
        <v>0</v>
      </c>
      <c r="Y636" s="1">
        <f>IF(B636="", "", "other")</f>
        <v>0</v>
      </c>
      <c r="AB636" s="1">
        <f>IF(B636="", "", "Not applicable")</f>
        <v>0</v>
      </c>
    </row>
    <row r="637" spans="1:28">
      <c r="A637">
        <f>IF(COUNTBLANK(B637:AC637)&lt;&gt;COLUMNS(B637:AC637),636,"")</f>
        <v>0</v>
      </c>
      <c r="H637" s="2">
        <f>IF(B637="", "", "not provided")</f>
        <v>0</v>
      </c>
      <c r="I637" s="1">
        <f>IF(B637="", "", "meters")</f>
        <v>0</v>
      </c>
      <c r="T637" s="1">
        <f>IF(B637="", "", "Decimal degrees")</f>
        <v>0</v>
      </c>
      <c r="V637" s="1">
        <f>IF(B637="", "", "Decimal degrees")</f>
        <v>0</v>
      </c>
      <c r="Y637" s="1">
        <f>IF(B637="", "", "other")</f>
        <v>0</v>
      </c>
      <c r="AB637" s="1">
        <f>IF(B637="", "", "Not applicable")</f>
        <v>0</v>
      </c>
    </row>
    <row r="638" spans="1:28">
      <c r="A638">
        <f>IF(COUNTBLANK(B638:AC638)&lt;&gt;COLUMNS(B638:AC638),637,"")</f>
        <v>0</v>
      </c>
      <c r="H638" s="2">
        <f>IF(B638="", "", "not provided")</f>
        <v>0</v>
      </c>
      <c r="I638" s="1">
        <f>IF(B638="", "", "meters")</f>
        <v>0</v>
      </c>
      <c r="T638" s="1">
        <f>IF(B638="", "", "Decimal degrees")</f>
        <v>0</v>
      </c>
      <c r="V638" s="1">
        <f>IF(B638="", "", "Decimal degrees")</f>
        <v>0</v>
      </c>
      <c r="Y638" s="1">
        <f>IF(B638="", "", "other")</f>
        <v>0</v>
      </c>
      <c r="AB638" s="1">
        <f>IF(B638="", "", "Not applicable")</f>
        <v>0</v>
      </c>
    </row>
    <row r="639" spans="1:28">
      <c r="A639">
        <f>IF(COUNTBLANK(B639:AC639)&lt;&gt;COLUMNS(B639:AC639),638,"")</f>
        <v>0</v>
      </c>
      <c r="H639" s="2">
        <f>IF(B639="", "", "not provided")</f>
        <v>0</v>
      </c>
      <c r="I639" s="1">
        <f>IF(B639="", "", "meters")</f>
        <v>0</v>
      </c>
      <c r="T639" s="1">
        <f>IF(B639="", "", "Decimal degrees")</f>
        <v>0</v>
      </c>
      <c r="V639" s="1">
        <f>IF(B639="", "", "Decimal degrees")</f>
        <v>0</v>
      </c>
      <c r="Y639" s="1">
        <f>IF(B639="", "", "other")</f>
        <v>0</v>
      </c>
      <c r="AB639" s="1">
        <f>IF(B639="", "", "Not applicable")</f>
        <v>0</v>
      </c>
    </row>
    <row r="640" spans="1:28">
      <c r="A640">
        <f>IF(COUNTBLANK(B640:AC640)&lt;&gt;COLUMNS(B640:AC640),639,"")</f>
        <v>0</v>
      </c>
      <c r="H640" s="2">
        <f>IF(B640="", "", "not provided")</f>
        <v>0</v>
      </c>
      <c r="I640" s="1">
        <f>IF(B640="", "", "meters")</f>
        <v>0</v>
      </c>
      <c r="T640" s="1">
        <f>IF(B640="", "", "Decimal degrees")</f>
        <v>0</v>
      </c>
      <c r="V640" s="1">
        <f>IF(B640="", "", "Decimal degrees")</f>
        <v>0</v>
      </c>
      <c r="Y640" s="1">
        <f>IF(B640="", "", "other")</f>
        <v>0</v>
      </c>
      <c r="AB640" s="1">
        <f>IF(B640="", "", "Not applicable")</f>
        <v>0</v>
      </c>
    </row>
    <row r="641" spans="1:28">
      <c r="A641">
        <f>IF(COUNTBLANK(B641:AC641)&lt;&gt;COLUMNS(B641:AC641),640,"")</f>
        <v>0</v>
      </c>
      <c r="H641" s="2">
        <f>IF(B641="", "", "not provided")</f>
        <v>0</v>
      </c>
      <c r="I641" s="1">
        <f>IF(B641="", "", "meters")</f>
        <v>0</v>
      </c>
      <c r="T641" s="1">
        <f>IF(B641="", "", "Decimal degrees")</f>
        <v>0</v>
      </c>
      <c r="V641" s="1">
        <f>IF(B641="", "", "Decimal degrees")</f>
        <v>0</v>
      </c>
      <c r="Y641" s="1">
        <f>IF(B641="", "", "other")</f>
        <v>0</v>
      </c>
      <c r="AB641" s="1">
        <f>IF(B641="", "", "Not applicable")</f>
        <v>0</v>
      </c>
    </row>
    <row r="642" spans="1:28">
      <c r="A642">
        <f>IF(COUNTBLANK(B642:AC642)&lt;&gt;COLUMNS(B642:AC642),641,"")</f>
        <v>0</v>
      </c>
      <c r="H642" s="2">
        <f>IF(B642="", "", "not provided")</f>
        <v>0</v>
      </c>
      <c r="I642" s="1">
        <f>IF(B642="", "", "meters")</f>
        <v>0</v>
      </c>
      <c r="T642" s="1">
        <f>IF(B642="", "", "Decimal degrees")</f>
        <v>0</v>
      </c>
      <c r="V642" s="1">
        <f>IF(B642="", "", "Decimal degrees")</f>
        <v>0</v>
      </c>
      <c r="Y642" s="1">
        <f>IF(B642="", "", "other")</f>
        <v>0</v>
      </c>
      <c r="AB642" s="1">
        <f>IF(B642="", "", "Not applicable")</f>
        <v>0</v>
      </c>
    </row>
    <row r="643" spans="1:28">
      <c r="A643">
        <f>IF(COUNTBLANK(B643:AC643)&lt;&gt;COLUMNS(B643:AC643),642,"")</f>
        <v>0</v>
      </c>
      <c r="H643" s="2">
        <f>IF(B643="", "", "not provided")</f>
        <v>0</v>
      </c>
      <c r="I643" s="1">
        <f>IF(B643="", "", "meters")</f>
        <v>0</v>
      </c>
      <c r="T643" s="1">
        <f>IF(B643="", "", "Decimal degrees")</f>
        <v>0</v>
      </c>
      <c r="V643" s="1">
        <f>IF(B643="", "", "Decimal degrees")</f>
        <v>0</v>
      </c>
      <c r="Y643" s="1">
        <f>IF(B643="", "", "other")</f>
        <v>0</v>
      </c>
      <c r="AB643" s="1">
        <f>IF(B643="", "", "Not applicable")</f>
        <v>0</v>
      </c>
    </row>
    <row r="644" spans="1:28">
      <c r="A644">
        <f>IF(COUNTBLANK(B644:AC644)&lt;&gt;COLUMNS(B644:AC644),643,"")</f>
        <v>0</v>
      </c>
      <c r="H644" s="2">
        <f>IF(B644="", "", "not provided")</f>
        <v>0</v>
      </c>
      <c r="I644" s="1">
        <f>IF(B644="", "", "meters")</f>
        <v>0</v>
      </c>
      <c r="T644" s="1">
        <f>IF(B644="", "", "Decimal degrees")</f>
        <v>0</v>
      </c>
      <c r="V644" s="1">
        <f>IF(B644="", "", "Decimal degrees")</f>
        <v>0</v>
      </c>
      <c r="Y644" s="1">
        <f>IF(B644="", "", "other")</f>
        <v>0</v>
      </c>
      <c r="AB644" s="1">
        <f>IF(B644="", "", "Not applicable")</f>
        <v>0</v>
      </c>
    </row>
    <row r="645" spans="1:28">
      <c r="A645">
        <f>IF(COUNTBLANK(B645:AC645)&lt;&gt;COLUMNS(B645:AC645),644,"")</f>
        <v>0</v>
      </c>
      <c r="H645" s="2">
        <f>IF(B645="", "", "not provided")</f>
        <v>0</v>
      </c>
      <c r="I645" s="1">
        <f>IF(B645="", "", "meters")</f>
        <v>0</v>
      </c>
      <c r="T645" s="1">
        <f>IF(B645="", "", "Decimal degrees")</f>
        <v>0</v>
      </c>
      <c r="V645" s="1">
        <f>IF(B645="", "", "Decimal degrees")</f>
        <v>0</v>
      </c>
      <c r="Y645" s="1">
        <f>IF(B645="", "", "other")</f>
        <v>0</v>
      </c>
      <c r="AB645" s="1">
        <f>IF(B645="", "", "Not applicable")</f>
        <v>0</v>
      </c>
    </row>
    <row r="646" spans="1:28">
      <c r="A646">
        <f>IF(COUNTBLANK(B646:AC646)&lt;&gt;COLUMNS(B646:AC646),645,"")</f>
        <v>0</v>
      </c>
      <c r="H646" s="2">
        <f>IF(B646="", "", "not provided")</f>
        <v>0</v>
      </c>
      <c r="I646" s="1">
        <f>IF(B646="", "", "meters")</f>
        <v>0</v>
      </c>
      <c r="T646" s="1">
        <f>IF(B646="", "", "Decimal degrees")</f>
        <v>0</v>
      </c>
      <c r="V646" s="1">
        <f>IF(B646="", "", "Decimal degrees")</f>
        <v>0</v>
      </c>
      <c r="Y646" s="1">
        <f>IF(B646="", "", "other")</f>
        <v>0</v>
      </c>
      <c r="AB646" s="1">
        <f>IF(B646="", "", "Not applicable")</f>
        <v>0</v>
      </c>
    </row>
    <row r="647" spans="1:28">
      <c r="A647">
        <f>IF(COUNTBLANK(B647:AC647)&lt;&gt;COLUMNS(B647:AC647),646,"")</f>
        <v>0</v>
      </c>
      <c r="H647" s="2">
        <f>IF(B647="", "", "not provided")</f>
        <v>0</v>
      </c>
      <c r="I647" s="1">
        <f>IF(B647="", "", "meters")</f>
        <v>0</v>
      </c>
      <c r="T647" s="1">
        <f>IF(B647="", "", "Decimal degrees")</f>
        <v>0</v>
      </c>
      <c r="V647" s="1">
        <f>IF(B647="", "", "Decimal degrees")</f>
        <v>0</v>
      </c>
      <c r="Y647" s="1">
        <f>IF(B647="", "", "other")</f>
        <v>0</v>
      </c>
      <c r="AB647" s="1">
        <f>IF(B647="", "", "Not applicable")</f>
        <v>0</v>
      </c>
    </row>
    <row r="648" spans="1:28">
      <c r="A648">
        <f>IF(COUNTBLANK(B648:AC648)&lt;&gt;COLUMNS(B648:AC648),647,"")</f>
        <v>0</v>
      </c>
      <c r="H648" s="2">
        <f>IF(B648="", "", "not provided")</f>
        <v>0</v>
      </c>
      <c r="I648" s="1">
        <f>IF(B648="", "", "meters")</f>
        <v>0</v>
      </c>
      <c r="T648" s="1">
        <f>IF(B648="", "", "Decimal degrees")</f>
        <v>0</v>
      </c>
      <c r="V648" s="1">
        <f>IF(B648="", "", "Decimal degrees")</f>
        <v>0</v>
      </c>
      <c r="Y648" s="1">
        <f>IF(B648="", "", "other")</f>
        <v>0</v>
      </c>
      <c r="AB648" s="1">
        <f>IF(B648="", "", "Not applicable")</f>
        <v>0</v>
      </c>
    </row>
    <row r="649" spans="1:28">
      <c r="A649">
        <f>IF(COUNTBLANK(B649:AC649)&lt;&gt;COLUMNS(B649:AC649),648,"")</f>
        <v>0</v>
      </c>
      <c r="H649" s="2">
        <f>IF(B649="", "", "not provided")</f>
        <v>0</v>
      </c>
      <c r="I649" s="1">
        <f>IF(B649="", "", "meters")</f>
        <v>0</v>
      </c>
      <c r="T649" s="1">
        <f>IF(B649="", "", "Decimal degrees")</f>
        <v>0</v>
      </c>
      <c r="V649" s="1">
        <f>IF(B649="", "", "Decimal degrees")</f>
        <v>0</v>
      </c>
      <c r="Y649" s="1">
        <f>IF(B649="", "", "other")</f>
        <v>0</v>
      </c>
      <c r="AB649" s="1">
        <f>IF(B649="", "", "Not applicable")</f>
        <v>0</v>
      </c>
    </row>
    <row r="650" spans="1:28">
      <c r="A650">
        <f>IF(COUNTBLANK(B650:AC650)&lt;&gt;COLUMNS(B650:AC650),649,"")</f>
        <v>0</v>
      </c>
      <c r="H650" s="2">
        <f>IF(B650="", "", "not provided")</f>
        <v>0</v>
      </c>
      <c r="I650" s="1">
        <f>IF(B650="", "", "meters")</f>
        <v>0</v>
      </c>
      <c r="T650" s="1">
        <f>IF(B650="", "", "Decimal degrees")</f>
        <v>0</v>
      </c>
      <c r="V650" s="1">
        <f>IF(B650="", "", "Decimal degrees")</f>
        <v>0</v>
      </c>
      <c r="Y650" s="1">
        <f>IF(B650="", "", "other")</f>
        <v>0</v>
      </c>
      <c r="AB650" s="1">
        <f>IF(B650="", "", "Not applicable")</f>
        <v>0</v>
      </c>
    </row>
    <row r="651" spans="1:28">
      <c r="A651">
        <f>IF(COUNTBLANK(B651:AC651)&lt;&gt;COLUMNS(B651:AC651),650,"")</f>
        <v>0</v>
      </c>
      <c r="H651" s="2">
        <f>IF(B651="", "", "not provided")</f>
        <v>0</v>
      </c>
      <c r="I651" s="1">
        <f>IF(B651="", "", "meters")</f>
        <v>0</v>
      </c>
      <c r="T651" s="1">
        <f>IF(B651="", "", "Decimal degrees")</f>
        <v>0</v>
      </c>
      <c r="V651" s="1">
        <f>IF(B651="", "", "Decimal degrees")</f>
        <v>0</v>
      </c>
      <c r="Y651" s="1">
        <f>IF(B651="", "", "other")</f>
        <v>0</v>
      </c>
      <c r="AB651" s="1">
        <f>IF(B651="", "", "Not applicable")</f>
        <v>0</v>
      </c>
    </row>
    <row r="652" spans="1:28">
      <c r="A652">
        <f>IF(COUNTBLANK(B652:AC652)&lt;&gt;COLUMNS(B652:AC652),651,"")</f>
        <v>0</v>
      </c>
      <c r="H652" s="2">
        <f>IF(B652="", "", "not provided")</f>
        <v>0</v>
      </c>
      <c r="I652" s="1">
        <f>IF(B652="", "", "meters")</f>
        <v>0</v>
      </c>
      <c r="T652" s="1">
        <f>IF(B652="", "", "Decimal degrees")</f>
        <v>0</v>
      </c>
      <c r="V652" s="1">
        <f>IF(B652="", "", "Decimal degrees")</f>
        <v>0</v>
      </c>
      <c r="Y652" s="1">
        <f>IF(B652="", "", "other")</f>
        <v>0</v>
      </c>
      <c r="AB652" s="1">
        <f>IF(B652="", "", "Not applicable")</f>
        <v>0</v>
      </c>
    </row>
    <row r="653" spans="1:28">
      <c r="A653">
        <f>IF(COUNTBLANK(B653:AC653)&lt;&gt;COLUMNS(B653:AC653),652,"")</f>
        <v>0</v>
      </c>
      <c r="H653" s="2">
        <f>IF(B653="", "", "not provided")</f>
        <v>0</v>
      </c>
      <c r="I653" s="1">
        <f>IF(B653="", "", "meters")</f>
        <v>0</v>
      </c>
      <c r="T653" s="1">
        <f>IF(B653="", "", "Decimal degrees")</f>
        <v>0</v>
      </c>
      <c r="V653" s="1">
        <f>IF(B653="", "", "Decimal degrees")</f>
        <v>0</v>
      </c>
      <c r="Y653" s="1">
        <f>IF(B653="", "", "other")</f>
        <v>0</v>
      </c>
      <c r="AB653" s="1">
        <f>IF(B653="", "", "Not applicable")</f>
        <v>0</v>
      </c>
    </row>
    <row r="654" spans="1:28">
      <c r="A654">
        <f>IF(COUNTBLANK(B654:AC654)&lt;&gt;COLUMNS(B654:AC654),653,"")</f>
        <v>0</v>
      </c>
      <c r="H654" s="2">
        <f>IF(B654="", "", "not provided")</f>
        <v>0</v>
      </c>
      <c r="I654" s="1">
        <f>IF(B654="", "", "meters")</f>
        <v>0</v>
      </c>
      <c r="T654" s="1">
        <f>IF(B654="", "", "Decimal degrees")</f>
        <v>0</v>
      </c>
      <c r="V654" s="1">
        <f>IF(B654="", "", "Decimal degrees")</f>
        <v>0</v>
      </c>
      <c r="Y654" s="1">
        <f>IF(B654="", "", "other")</f>
        <v>0</v>
      </c>
      <c r="AB654" s="1">
        <f>IF(B654="", "", "Not applicable")</f>
        <v>0</v>
      </c>
    </row>
    <row r="655" spans="1:28">
      <c r="A655">
        <f>IF(COUNTBLANK(B655:AC655)&lt;&gt;COLUMNS(B655:AC655),654,"")</f>
        <v>0</v>
      </c>
      <c r="H655" s="2">
        <f>IF(B655="", "", "not provided")</f>
        <v>0</v>
      </c>
      <c r="I655" s="1">
        <f>IF(B655="", "", "meters")</f>
        <v>0</v>
      </c>
      <c r="T655" s="1">
        <f>IF(B655="", "", "Decimal degrees")</f>
        <v>0</v>
      </c>
      <c r="V655" s="1">
        <f>IF(B655="", "", "Decimal degrees")</f>
        <v>0</v>
      </c>
      <c r="Y655" s="1">
        <f>IF(B655="", "", "other")</f>
        <v>0</v>
      </c>
      <c r="AB655" s="1">
        <f>IF(B655="", "", "Not applicable")</f>
        <v>0</v>
      </c>
    </row>
    <row r="656" spans="1:28">
      <c r="A656">
        <f>IF(COUNTBLANK(B656:AC656)&lt;&gt;COLUMNS(B656:AC656),655,"")</f>
        <v>0</v>
      </c>
      <c r="H656" s="2">
        <f>IF(B656="", "", "not provided")</f>
        <v>0</v>
      </c>
      <c r="I656" s="1">
        <f>IF(B656="", "", "meters")</f>
        <v>0</v>
      </c>
      <c r="T656" s="1">
        <f>IF(B656="", "", "Decimal degrees")</f>
        <v>0</v>
      </c>
      <c r="V656" s="1">
        <f>IF(B656="", "", "Decimal degrees")</f>
        <v>0</v>
      </c>
      <c r="Y656" s="1">
        <f>IF(B656="", "", "other")</f>
        <v>0</v>
      </c>
      <c r="AB656" s="1">
        <f>IF(B656="", "", "Not applicable")</f>
        <v>0</v>
      </c>
    </row>
    <row r="657" spans="1:28">
      <c r="A657">
        <f>IF(COUNTBLANK(B657:AC657)&lt;&gt;COLUMNS(B657:AC657),656,"")</f>
        <v>0</v>
      </c>
      <c r="H657" s="2">
        <f>IF(B657="", "", "not provided")</f>
        <v>0</v>
      </c>
      <c r="I657" s="1">
        <f>IF(B657="", "", "meters")</f>
        <v>0</v>
      </c>
      <c r="T657" s="1">
        <f>IF(B657="", "", "Decimal degrees")</f>
        <v>0</v>
      </c>
      <c r="V657" s="1">
        <f>IF(B657="", "", "Decimal degrees")</f>
        <v>0</v>
      </c>
      <c r="Y657" s="1">
        <f>IF(B657="", "", "other")</f>
        <v>0</v>
      </c>
      <c r="AB657" s="1">
        <f>IF(B657="", "", "Not applicable")</f>
        <v>0</v>
      </c>
    </row>
    <row r="658" spans="1:28">
      <c r="A658">
        <f>IF(COUNTBLANK(B658:AC658)&lt;&gt;COLUMNS(B658:AC658),657,"")</f>
        <v>0</v>
      </c>
      <c r="H658" s="2">
        <f>IF(B658="", "", "not provided")</f>
        <v>0</v>
      </c>
      <c r="I658" s="1">
        <f>IF(B658="", "", "meters")</f>
        <v>0</v>
      </c>
      <c r="T658" s="1">
        <f>IF(B658="", "", "Decimal degrees")</f>
        <v>0</v>
      </c>
      <c r="V658" s="1">
        <f>IF(B658="", "", "Decimal degrees")</f>
        <v>0</v>
      </c>
      <c r="Y658" s="1">
        <f>IF(B658="", "", "other")</f>
        <v>0</v>
      </c>
      <c r="AB658" s="1">
        <f>IF(B658="", "", "Not applicable")</f>
        <v>0</v>
      </c>
    </row>
    <row r="659" spans="1:28">
      <c r="A659">
        <f>IF(COUNTBLANK(B659:AC659)&lt;&gt;COLUMNS(B659:AC659),658,"")</f>
        <v>0</v>
      </c>
      <c r="H659" s="2">
        <f>IF(B659="", "", "not provided")</f>
        <v>0</v>
      </c>
      <c r="I659" s="1">
        <f>IF(B659="", "", "meters")</f>
        <v>0</v>
      </c>
      <c r="T659" s="1">
        <f>IF(B659="", "", "Decimal degrees")</f>
        <v>0</v>
      </c>
      <c r="V659" s="1">
        <f>IF(B659="", "", "Decimal degrees")</f>
        <v>0</v>
      </c>
      <c r="Y659" s="1">
        <f>IF(B659="", "", "other")</f>
        <v>0</v>
      </c>
      <c r="AB659" s="1">
        <f>IF(B659="", "", "Not applicable")</f>
        <v>0</v>
      </c>
    </row>
    <row r="660" spans="1:28">
      <c r="A660">
        <f>IF(COUNTBLANK(B660:AC660)&lt;&gt;COLUMNS(B660:AC660),659,"")</f>
        <v>0</v>
      </c>
      <c r="H660" s="2">
        <f>IF(B660="", "", "not provided")</f>
        <v>0</v>
      </c>
      <c r="I660" s="1">
        <f>IF(B660="", "", "meters")</f>
        <v>0</v>
      </c>
      <c r="T660" s="1">
        <f>IF(B660="", "", "Decimal degrees")</f>
        <v>0</v>
      </c>
      <c r="V660" s="1">
        <f>IF(B660="", "", "Decimal degrees")</f>
        <v>0</v>
      </c>
      <c r="Y660" s="1">
        <f>IF(B660="", "", "other")</f>
        <v>0</v>
      </c>
      <c r="AB660" s="1">
        <f>IF(B660="", "", "Not applicable")</f>
        <v>0</v>
      </c>
    </row>
    <row r="661" spans="1:28">
      <c r="A661">
        <f>IF(COUNTBLANK(B661:AC661)&lt;&gt;COLUMNS(B661:AC661),660,"")</f>
        <v>0</v>
      </c>
      <c r="H661" s="2">
        <f>IF(B661="", "", "not provided")</f>
        <v>0</v>
      </c>
      <c r="I661" s="1">
        <f>IF(B661="", "", "meters")</f>
        <v>0</v>
      </c>
      <c r="T661" s="1">
        <f>IF(B661="", "", "Decimal degrees")</f>
        <v>0</v>
      </c>
      <c r="V661" s="1">
        <f>IF(B661="", "", "Decimal degrees")</f>
        <v>0</v>
      </c>
      <c r="Y661" s="1">
        <f>IF(B661="", "", "other")</f>
        <v>0</v>
      </c>
      <c r="AB661" s="1">
        <f>IF(B661="", "", "Not applicable")</f>
        <v>0</v>
      </c>
    </row>
    <row r="662" spans="1:28">
      <c r="A662">
        <f>IF(COUNTBLANK(B662:AC662)&lt;&gt;COLUMNS(B662:AC662),661,"")</f>
        <v>0</v>
      </c>
      <c r="H662" s="2">
        <f>IF(B662="", "", "not provided")</f>
        <v>0</v>
      </c>
      <c r="I662" s="1">
        <f>IF(B662="", "", "meters")</f>
        <v>0</v>
      </c>
      <c r="T662" s="1">
        <f>IF(B662="", "", "Decimal degrees")</f>
        <v>0</v>
      </c>
      <c r="V662" s="1">
        <f>IF(B662="", "", "Decimal degrees")</f>
        <v>0</v>
      </c>
      <c r="Y662" s="1">
        <f>IF(B662="", "", "other")</f>
        <v>0</v>
      </c>
      <c r="AB662" s="1">
        <f>IF(B662="", "", "Not applicable")</f>
        <v>0</v>
      </c>
    </row>
    <row r="663" spans="1:28">
      <c r="A663">
        <f>IF(COUNTBLANK(B663:AC663)&lt;&gt;COLUMNS(B663:AC663),662,"")</f>
        <v>0</v>
      </c>
      <c r="H663" s="2">
        <f>IF(B663="", "", "not provided")</f>
        <v>0</v>
      </c>
      <c r="I663" s="1">
        <f>IF(B663="", "", "meters")</f>
        <v>0</v>
      </c>
      <c r="T663" s="1">
        <f>IF(B663="", "", "Decimal degrees")</f>
        <v>0</v>
      </c>
      <c r="V663" s="1">
        <f>IF(B663="", "", "Decimal degrees")</f>
        <v>0</v>
      </c>
      <c r="Y663" s="1">
        <f>IF(B663="", "", "other")</f>
        <v>0</v>
      </c>
      <c r="AB663" s="1">
        <f>IF(B663="", "", "Not applicable")</f>
        <v>0</v>
      </c>
    </row>
    <row r="664" spans="1:28">
      <c r="A664">
        <f>IF(COUNTBLANK(B664:AC664)&lt;&gt;COLUMNS(B664:AC664),663,"")</f>
        <v>0</v>
      </c>
      <c r="H664" s="2">
        <f>IF(B664="", "", "not provided")</f>
        <v>0</v>
      </c>
      <c r="I664" s="1">
        <f>IF(B664="", "", "meters")</f>
        <v>0</v>
      </c>
      <c r="T664" s="1">
        <f>IF(B664="", "", "Decimal degrees")</f>
        <v>0</v>
      </c>
      <c r="V664" s="1">
        <f>IF(B664="", "", "Decimal degrees")</f>
        <v>0</v>
      </c>
      <c r="Y664" s="1">
        <f>IF(B664="", "", "other")</f>
        <v>0</v>
      </c>
      <c r="AB664" s="1">
        <f>IF(B664="", "", "Not applicable")</f>
        <v>0</v>
      </c>
    </row>
    <row r="665" spans="1:28">
      <c r="A665">
        <f>IF(COUNTBLANK(B665:AC665)&lt;&gt;COLUMNS(B665:AC665),664,"")</f>
        <v>0</v>
      </c>
      <c r="H665" s="2">
        <f>IF(B665="", "", "not provided")</f>
        <v>0</v>
      </c>
      <c r="I665" s="1">
        <f>IF(B665="", "", "meters")</f>
        <v>0</v>
      </c>
      <c r="T665" s="1">
        <f>IF(B665="", "", "Decimal degrees")</f>
        <v>0</v>
      </c>
      <c r="V665" s="1">
        <f>IF(B665="", "", "Decimal degrees")</f>
        <v>0</v>
      </c>
      <c r="Y665" s="1">
        <f>IF(B665="", "", "other")</f>
        <v>0</v>
      </c>
      <c r="AB665" s="1">
        <f>IF(B665="", "", "Not applicable")</f>
        <v>0</v>
      </c>
    </row>
    <row r="666" spans="1:28">
      <c r="A666">
        <f>IF(COUNTBLANK(B666:AC666)&lt;&gt;COLUMNS(B666:AC666),665,"")</f>
        <v>0</v>
      </c>
      <c r="H666" s="2">
        <f>IF(B666="", "", "not provided")</f>
        <v>0</v>
      </c>
      <c r="I666" s="1">
        <f>IF(B666="", "", "meters")</f>
        <v>0</v>
      </c>
      <c r="T666" s="1">
        <f>IF(B666="", "", "Decimal degrees")</f>
        <v>0</v>
      </c>
      <c r="V666" s="1">
        <f>IF(B666="", "", "Decimal degrees")</f>
        <v>0</v>
      </c>
      <c r="Y666" s="1">
        <f>IF(B666="", "", "other")</f>
        <v>0</v>
      </c>
      <c r="AB666" s="1">
        <f>IF(B666="", "", "Not applicable")</f>
        <v>0</v>
      </c>
    </row>
    <row r="667" spans="1:28">
      <c r="A667">
        <f>IF(COUNTBLANK(B667:AC667)&lt;&gt;COLUMNS(B667:AC667),666,"")</f>
        <v>0</v>
      </c>
      <c r="H667" s="2">
        <f>IF(B667="", "", "not provided")</f>
        <v>0</v>
      </c>
      <c r="I667" s="1">
        <f>IF(B667="", "", "meters")</f>
        <v>0</v>
      </c>
      <c r="T667" s="1">
        <f>IF(B667="", "", "Decimal degrees")</f>
        <v>0</v>
      </c>
      <c r="V667" s="1">
        <f>IF(B667="", "", "Decimal degrees")</f>
        <v>0</v>
      </c>
      <c r="Y667" s="1">
        <f>IF(B667="", "", "other")</f>
        <v>0</v>
      </c>
      <c r="AB667" s="1">
        <f>IF(B667="", "", "Not applicable")</f>
        <v>0</v>
      </c>
    </row>
    <row r="668" spans="1:28">
      <c r="A668">
        <f>IF(COUNTBLANK(B668:AC668)&lt;&gt;COLUMNS(B668:AC668),667,"")</f>
        <v>0</v>
      </c>
      <c r="H668" s="2">
        <f>IF(B668="", "", "not provided")</f>
        <v>0</v>
      </c>
      <c r="I668" s="1">
        <f>IF(B668="", "", "meters")</f>
        <v>0</v>
      </c>
      <c r="T668" s="1">
        <f>IF(B668="", "", "Decimal degrees")</f>
        <v>0</v>
      </c>
      <c r="V668" s="1">
        <f>IF(B668="", "", "Decimal degrees")</f>
        <v>0</v>
      </c>
      <c r="Y668" s="1">
        <f>IF(B668="", "", "other")</f>
        <v>0</v>
      </c>
      <c r="AB668" s="1">
        <f>IF(B668="", "", "Not applicable")</f>
        <v>0</v>
      </c>
    </row>
    <row r="669" spans="1:28">
      <c r="A669">
        <f>IF(COUNTBLANK(B669:AC669)&lt;&gt;COLUMNS(B669:AC669),668,"")</f>
        <v>0</v>
      </c>
      <c r="H669" s="2">
        <f>IF(B669="", "", "not provided")</f>
        <v>0</v>
      </c>
      <c r="I669" s="1">
        <f>IF(B669="", "", "meters")</f>
        <v>0</v>
      </c>
      <c r="T669" s="1">
        <f>IF(B669="", "", "Decimal degrees")</f>
        <v>0</v>
      </c>
      <c r="V669" s="1">
        <f>IF(B669="", "", "Decimal degrees")</f>
        <v>0</v>
      </c>
      <c r="Y669" s="1">
        <f>IF(B669="", "", "other")</f>
        <v>0</v>
      </c>
      <c r="AB669" s="1">
        <f>IF(B669="", "", "Not applicable")</f>
        <v>0</v>
      </c>
    </row>
    <row r="670" spans="1:28">
      <c r="A670">
        <f>IF(COUNTBLANK(B670:AC670)&lt;&gt;COLUMNS(B670:AC670),669,"")</f>
        <v>0</v>
      </c>
      <c r="H670" s="2">
        <f>IF(B670="", "", "not provided")</f>
        <v>0</v>
      </c>
      <c r="I670" s="1">
        <f>IF(B670="", "", "meters")</f>
        <v>0</v>
      </c>
      <c r="T670" s="1">
        <f>IF(B670="", "", "Decimal degrees")</f>
        <v>0</v>
      </c>
      <c r="V670" s="1">
        <f>IF(B670="", "", "Decimal degrees")</f>
        <v>0</v>
      </c>
      <c r="Y670" s="1">
        <f>IF(B670="", "", "other")</f>
        <v>0</v>
      </c>
      <c r="AB670" s="1">
        <f>IF(B670="", "", "Not applicable")</f>
        <v>0</v>
      </c>
    </row>
    <row r="671" spans="1:28">
      <c r="A671">
        <f>IF(COUNTBLANK(B671:AC671)&lt;&gt;COLUMNS(B671:AC671),670,"")</f>
        <v>0</v>
      </c>
      <c r="H671" s="2">
        <f>IF(B671="", "", "not provided")</f>
        <v>0</v>
      </c>
      <c r="I671" s="1">
        <f>IF(B671="", "", "meters")</f>
        <v>0</v>
      </c>
      <c r="T671" s="1">
        <f>IF(B671="", "", "Decimal degrees")</f>
        <v>0</v>
      </c>
      <c r="V671" s="1">
        <f>IF(B671="", "", "Decimal degrees")</f>
        <v>0</v>
      </c>
      <c r="Y671" s="1">
        <f>IF(B671="", "", "other")</f>
        <v>0</v>
      </c>
      <c r="AB671" s="1">
        <f>IF(B671="", "", "Not applicable")</f>
        <v>0</v>
      </c>
    </row>
    <row r="672" spans="1:28">
      <c r="A672">
        <f>IF(COUNTBLANK(B672:AC672)&lt;&gt;COLUMNS(B672:AC672),671,"")</f>
        <v>0</v>
      </c>
      <c r="H672" s="2">
        <f>IF(B672="", "", "not provided")</f>
        <v>0</v>
      </c>
      <c r="I672" s="1">
        <f>IF(B672="", "", "meters")</f>
        <v>0</v>
      </c>
      <c r="T672" s="1">
        <f>IF(B672="", "", "Decimal degrees")</f>
        <v>0</v>
      </c>
      <c r="V672" s="1">
        <f>IF(B672="", "", "Decimal degrees")</f>
        <v>0</v>
      </c>
      <c r="Y672" s="1">
        <f>IF(B672="", "", "other")</f>
        <v>0</v>
      </c>
      <c r="AB672" s="1">
        <f>IF(B672="", "", "Not applicable")</f>
        <v>0</v>
      </c>
    </row>
    <row r="673" spans="1:28">
      <c r="A673">
        <f>IF(COUNTBLANK(B673:AC673)&lt;&gt;COLUMNS(B673:AC673),672,"")</f>
        <v>0</v>
      </c>
      <c r="H673" s="2">
        <f>IF(B673="", "", "not provided")</f>
        <v>0</v>
      </c>
      <c r="I673" s="1">
        <f>IF(B673="", "", "meters")</f>
        <v>0</v>
      </c>
      <c r="T673" s="1">
        <f>IF(B673="", "", "Decimal degrees")</f>
        <v>0</v>
      </c>
      <c r="V673" s="1">
        <f>IF(B673="", "", "Decimal degrees")</f>
        <v>0</v>
      </c>
      <c r="Y673" s="1">
        <f>IF(B673="", "", "other")</f>
        <v>0</v>
      </c>
      <c r="AB673" s="1">
        <f>IF(B673="", "", "Not applicable")</f>
        <v>0</v>
      </c>
    </row>
    <row r="674" spans="1:28">
      <c r="A674">
        <f>IF(COUNTBLANK(B674:AC674)&lt;&gt;COLUMNS(B674:AC674),673,"")</f>
        <v>0</v>
      </c>
      <c r="H674" s="2">
        <f>IF(B674="", "", "not provided")</f>
        <v>0</v>
      </c>
      <c r="I674" s="1">
        <f>IF(B674="", "", "meters")</f>
        <v>0</v>
      </c>
      <c r="T674" s="1">
        <f>IF(B674="", "", "Decimal degrees")</f>
        <v>0</v>
      </c>
      <c r="V674" s="1">
        <f>IF(B674="", "", "Decimal degrees")</f>
        <v>0</v>
      </c>
      <c r="Y674" s="1">
        <f>IF(B674="", "", "other")</f>
        <v>0</v>
      </c>
      <c r="AB674" s="1">
        <f>IF(B674="", "", "Not applicable")</f>
        <v>0</v>
      </c>
    </row>
    <row r="675" spans="1:28">
      <c r="A675">
        <f>IF(COUNTBLANK(B675:AC675)&lt;&gt;COLUMNS(B675:AC675),674,"")</f>
        <v>0</v>
      </c>
      <c r="H675" s="2">
        <f>IF(B675="", "", "not provided")</f>
        <v>0</v>
      </c>
      <c r="I675" s="1">
        <f>IF(B675="", "", "meters")</f>
        <v>0</v>
      </c>
      <c r="T675" s="1">
        <f>IF(B675="", "", "Decimal degrees")</f>
        <v>0</v>
      </c>
      <c r="V675" s="1">
        <f>IF(B675="", "", "Decimal degrees")</f>
        <v>0</v>
      </c>
      <c r="Y675" s="1">
        <f>IF(B675="", "", "other")</f>
        <v>0</v>
      </c>
      <c r="AB675" s="1">
        <f>IF(B675="", "", "Not applicable")</f>
        <v>0</v>
      </c>
    </row>
    <row r="676" spans="1:28">
      <c r="A676">
        <f>IF(COUNTBLANK(B676:AC676)&lt;&gt;COLUMNS(B676:AC676),675,"")</f>
        <v>0</v>
      </c>
      <c r="H676" s="2">
        <f>IF(B676="", "", "not provided")</f>
        <v>0</v>
      </c>
      <c r="I676" s="1">
        <f>IF(B676="", "", "meters")</f>
        <v>0</v>
      </c>
      <c r="T676" s="1">
        <f>IF(B676="", "", "Decimal degrees")</f>
        <v>0</v>
      </c>
      <c r="V676" s="1">
        <f>IF(B676="", "", "Decimal degrees")</f>
        <v>0</v>
      </c>
      <c r="Y676" s="1">
        <f>IF(B676="", "", "other")</f>
        <v>0</v>
      </c>
      <c r="AB676" s="1">
        <f>IF(B676="", "", "Not applicable")</f>
        <v>0</v>
      </c>
    </row>
    <row r="677" spans="1:28">
      <c r="A677">
        <f>IF(COUNTBLANK(B677:AC677)&lt;&gt;COLUMNS(B677:AC677),676,"")</f>
        <v>0</v>
      </c>
      <c r="H677" s="2">
        <f>IF(B677="", "", "not provided")</f>
        <v>0</v>
      </c>
      <c r="I677" s="1">
        <f>IF(B677="", "", "meters")</f>
        <v>0</v>
      </c>
      <c r="T677" s="1">
        <f>IF(B677="", "", "Decimal degrees")</f>
        <v>0</v>
      </c>
      <c r="V677" s="1">
        <f>IF(B677="", "", "Decimal degrees")</f>
        <v>0</v>
      </c>
      <c r="Y677" s="1">
        <f>IF(B677="", "", "other")</f>
        <v>0</v>
      </c>
      <c r="AB677" s="1">
        <f>IF(B677="", "", "Not applicable")</f>
        <v>0</v>
      </c>
    </row>
    <row r="678" spans="1:28">
      <c r="A678">
        <f>IF(COUNTBLANK(B678:AC678)&lt;&gt;COLUMNS(B678:AC678),677,"")</f>
        <v>0</v>
      </c>
      <c r="H678" s="2">
        <f>IF(B678="", "", "not provided")</f>
        <v>0</v>
      </c>
      <c r="I678" s="1">
        <f>IF(B678="", "", "meters")</f>
        <v>0</v>
      </c>
      <c r="T678" s="1">
        <f>IF(B678="", "", "Decimal degrees")</f>
        <v>0</v>
      </c>
      <c r="V678" s="1">
        <f>IF(B678="", "", "Decimal degrees")</f>
        <v>0</v>
      </c>
      <c r="Y678" s="1">
        <f>IF(B678="", "", "other")</f>
        <v>0</v>
      </c>
      <c r="AB678" s="1">
        <f>IF(B678="", "", "Not applicable")</f>
        <v>0</v>
      </c>
    </row>
    <row r="679" spans="1:28">
      <c r="A679">
        <f>IF(COUNTBLANK(B679:AC679)&lt;&gt;COLUMNS(B679:AC679),678,"")</f>
        <v>0</v>
      </c>
      <c r="H679" s="2">
        <f>IF(B679="", "", "not provided")</f>
        <v>0</v>
      </c>
      <c r="I679" s="1">
        <f>IF(B679="", "", "meters")</f>
        <v>0</v>
      </c>
      <c r="T679" s="1">
        <f>IF(B679="", "", "Decimal degrees")</f>
        <v>0</v>
      </c>
      <c r="V679" s="1">
        <f>IF(B679="", "", "Decimal degrees")</f>
        <v>0</v>
      </c>
      <c r="Y679" s="1">
        <f>IF(B679="", "", "other")</f>
        <v>0</v>
      </c>
      <c r="AB679" s="1">
        <f>IF(B679="", "", "Not applicable")</f>
        <v>0</v>
      </c>
    </row>
    <row r="680" spans="1:28">
      <c r="A680">
        <f>IF(COUNTBLANK(B680:AC680)&lt;&gt;COLUMNS(B680:AC680),679,"")</f>
        <v>0</v>
      </c>
      <c r="H680" s="2">
        <f>IF(B680="", "", "not provided")</f>
        <v>0</v>
      </c>
      <c r="I680" s="1">
        <f>IF(B680="", "", "meters")</f>
        <v>0</v>
      </c>
      <c r="T680" s="1">
        <f>IF(B680="", "", "Decimal degrees")</f>
        <v>0</v>
      </c>
      <c r="V680" s="1">
        <f>IF(B680="", "", "Decimal degrees")</f>
        <v>0</v>
      </c>
      <c r="Y680" s="1">
        <f>IF(B680="", "", "other")</f>
        <v>0</v>
      </c>
      <c r="AB680" s="1">
        <f>IF(B680="", "", "Not applicable")</f>
        <v>0</v>
      </c>
    </row>
    <row r="681" spans="1:28">
      <c r="A681">
        <f>IF(COUNTBLANK(B681:AC681)&lt;&gt;COLUMNS(B681:AC681),680,"")</f>
        <v>0</v>
      </c>
      <c r="H681" s="2">
        <f>IF(B681="", "", "not provided")</f>
        <v>0</v>
      </c>
      <c r="I681" s="1">
        <f>IF(B681="", "", "meters")</f>
        <v>0</v>
      </c>
      <c r="T681" s="1">
        <f>IF(B681="", "", "Decimal degrees")</f>
        <v>0</v>
      </c>
      <c r="V681" s="1">
        <f>IF(B681="", "", "Decimal degrees")</f>
        <v>0</v>
      </c>
      <c r="Y681" s="1">
        <f>IF(B681="", "", "other")</f>
        <v>0</v>
      </c>
      <c r="AB681" s="1">
        <f>IF(B681="", "", "Not applicable")</f>
        <v>0</v>
      </c>
    </row>
    <row r="682" spans="1:28">
      <c r="A682">
        <f>IF(COUNTBLANK(B682:AC682)&lt;&gt;COLUMNS(B682:AC682),681,"")</f>
        <v>0</v>
      </c>
      <c r="H682" s="2">
        <f>IF(B682="", "", "not provided")</f>
        <v>0</v>
      </c>
      <c r="I682" s="1">
        <f>IF(B682="", "", "meters")</f>
        <v>0</v>
      </c>
      <c r="T682" s="1">
        <f>IF(B682="", "", "Decimal degrees")</f>
        <v>0</v>
      </c>
      <c r="V682" s="1">
        <f>IF(B682="", "", "Decimal degrees")</f>
        <v>0</v>
      </c>
      <c r="Y682" s="1">
        <f>IF(B682="", "", "other")</f>
        <v>0</v>
      </c>
      <c r="AB682" s="1">
        <f>IF(B682="", "", "Not applicable")</f>
        <v>0</v>
      </c>
    </row>
    <row r="683" spans="1:28">
      <c r="A683">
        <f>IF(COUNTBLANK(B683:AC683)&lt;&gt;COLUMNS(B683:AC683),682,"")</f>
        <v>0</v>
      </c>
      <c r="H683" s="2">
        <f>IF(B683="", "", "not provided")</f>
        <v>0</v>
      </c>
      <c r="I683" s="1">
        <f>IF(B683="", "", "meters")</f>
        <v>0</v>
      </c>
      <c r="T683" s="1">
        <f>IF(B683="", "", "Decimal degrees")</f>
        <v>0</v>
      </c>
      <c r="V683" s="1">
        <f>IF(B683="", "", "Decimal degrees")</f>
        <v>0</v>
      </c>
      <c r="Y683" s="1">
        <f>IF(B683="", "", "other")</f>
        <v>0</v>
      </c>
      <c r="AB683" s="1">
        <f>IF(B683="", "", "Not applicable")</f>
        <v>0</v>
      </c>
    </row>
    <row r="684" spans="1:28">
      <c r="A684">
        <f>IF(COUNTBLANK(B684:AC684)&lt;&gt;COLUMNS(B684:AC684),683,"")</f>
        <v>0</v>
      </c>
      <c r="H684" s="2">
        <f>IF(B684="", "", "not provided")</f>
        <v>0</v>
      </c>
      <c r="I684" s="1">
        <f>IF(B684="", "", "meters")</f>
        <v>0</v>
      </c>
      <c r="T684" s="1">
        <f>IF(B684="", "", "Decimal degrees")</f>
        <v>0</v>
      </c>
      <c r="V684" s="1">
        <f>IF(B684="", "", "Decimal degrees")</f>
        <v>0</v>
      </c>
      <c r="Y684" s="1">
        <f>IF(B684="", "", "other")</f>
        <v>0</v>
      </c>
      <c r="AB684" s="1">
        <f>IF(B684="", "", "Not applicable")</f>
        <v>0</v>
      </c>
    </row>
    <row r="685" spans="1:28">
      <c r="A685">
        <f>IF(COUNTBLANK(B685:AC685)&lt;&gt;COLUMNS(B685:AC685),684,"")</f>
        <v>0</v>
      </c>
      <c r="H685" s="2">
        <f>IF(B685="", "", "not provided")</f>
        <v>0</v>
      </c>
      <c r="I685" s="1">
        <f>IF(B685="", "", "meters")</f>
        <v>0</v>
      </c>
      <c r="T685" s="1">
        <f>IF(B685="", "", "Decimal degrees")</f>
        <v>0</v>
      </c>
      <c r="V685" s="1">
        <f>IF(B685="", "", "Decimal degrees")</f>
        <v>0</v>
      </c>
      <c r="Y685" s="1">
        <f>IF(B685="", "", "other")</f>
        <v>0</v>
      </c>
      <c r="AB685" s="1">
        <f>IF(B685="", "", "Not applicable")</f>
        <v>0</v>
      </c>
    </row>
    <row r="686" spans="1:28">
      <c r="A686">
        <f>IF(COUNTBLANK(B686:AC686)&lt;&gt;COLUMNS(B686:AC686),685,"")</f>
        <v>0</v>
      </c>
      <c r="H686" s="2">
        <f>IF(B686="", "", "not provided")</f>
        <v>0</v>
      </c>
      <c r="I686" s="1">
        <f>IF(B686="", "", "meters")</f>
        <v>0</v>
      </c>
      <c r="T686" s="1">
        <f>IF(B686="", "", "Decimal degrees")</f>
        <v>0</v>
      </c>
      <c r="V686" s="1">
        <f>IF(B686="", "", "Decimal degrees")</f>
        <v>0</v>
      </c>
      <c r="Y686" s="1">
        <f>IF(B686="", "", "other")</f>
        <v>0</v>
      </c>
      <c r="AB686" s="1">
        <f>IF(B686="", "", "Not applicable")</f>
        <v>0</v>
      </c>
    </row>
    <row r="687" spans="1:28">
      <c r="A687">
        <f>IF(COUNTBLANK(B687:AC687)&lt;&gt;COLUMNS(B687:AC687),686,"")</f>
        <v>0</v>
      </c>
      <c r="H687" s="2">
        <f>IF(B687="", "", "not provided")</f>
        <v>0</v>
      </c>
      <c r="I687" s="1">
        <f>IF(B687="", "", "meters")</f>
        <v>0</v>
      </c>
      <c r="T687" s="1">
        <f>IF(B687="", "", "Decimal degrees")</f>
        <v>0</v>
      </c>
      <c r="V687" s="1">
        <f>IF(B687="", "", "Decimal degrees")</f>
        <v>0</v>
      </c>
      <c r="Y687" s="1">
        <f>IF(B687="", "", "other")</f>
        <v>0</v>
      </c>
      <c r="AB687" s="1">
        <f>IF(B687="", "", "Not applicable")</f>
        <v>0</v>
      </c>
    </row>
    <row r="688" spans="1:28">
      <c r="A688">
        <f>IF(COUNTBLANK(B688:AC688)&lt;&gt;COLUMNS(B688:AC688),687,"")</f>
        <v>0</v>
      </c>
      <c r="H688" s="2">
        <f>IF(B688="", "", "not provided")</f>
        <v>0</v>
      </c>
      <c r="I688" s="1">
        <f>IF(B688="", "", "meters")</f>
        <v>0</v>
      </c>
      <c r="T688" s="1">
        <f>IF(B688="", "", "Decimal degrees")</f>
        <v>0</v>
      </c>
      <c r="V688" s="1">
        <f>IF(B688="", "", "Decimal degrees")</f>
        <v>0</v>
      </c>
      <c r="Y688" s="1">
        <f>IF(B688="", "", "other")</f>
        <v>0</v>
      </c>
      <c r="AB688" s="1">
        <f>IF(B688="", "", "Not applicable")</f>
        <v>0</v>
      </c>
    </row>
    <row r="689" spans="1:28">
      <c r="A689">
        <f>IF(COUNTBLANK(B689:AC689)&lt;&gt;COLUMNS(B689:AC689),688,"")</f>
        <v>0</v>
      </c>
      <c r="H689" s="2">
        <f>IF(B689="", "", "not provided")</f>
        <v>0</v>
      </c>
      <c r="I689" s="1">
        <f>IF(B689="", "", "meters")</f>
        <v>0</v>
      </c>
      <c r="T689" s="1">
        <f>IF(B689="", "", "Decimal degrees")</f>
        <v>0</v>
      </c>
      <c r="V689" s="1">
        <f>IF(B689="", "", "Decimal degrees")</f>
        <v>0</v>
      </c>
      <c r="Y689" s="1">
        <f>IF(B689="", "", "other")</f>
        <v>0</v>
      </c>
      <c r="AB689" s="1">
        <f>IF(B689="", "", "Not applicable")</f>
        <v>0</v>
      </c>
    </row>
    <row r="690" spans="1:28">
      <c r="A690">
        <f>IF(COUNTBLANK(B690:AC690)&lt;&gt;COLUMNS(B690:AC690),689,"")</f>
        <v>0</v>
      </c>
      <c r="H690" s="2">
        <f>IF(B690="", "", "not provided")</f>
        <v>0</v>
      </c>
      <c r="I690" s="1">
        <f>IF(B690="", "", "meters")</f>
        <v>0</v>
      </c>
      <c r="T690" s="1">
        <f>IF(B690="", "", "Decimal degrees")</f>
        <v>0</v>
      </c>
      <c r="V690" s="1">
        <f>IF(B690="", "", "Decimal degrees")</f>
        <v>0</v>
      </c>
      <c r="Y690" s="1">
        <f>IF(B690="", "", "other")</f>
        <v>0</v>
      </c>
      <c r="AB690" s="1">
        <f>IF(B690="", "", "Not applicable")</f>
        <v>0</v>
      </c>
    </row>
    <row r="691" spans="1:28">
      <c r="A691">
        <f>IF(COUNTBLANK(B691:AC691)&lt;&gt;COLUMNS(B691:AC691),690,"")</f>
        <v>0</v>
      </c>
      <c r="H691" s="2">
        <f>IF(B691="", "", "not provided")</f>
        <v>0</v>
      </c>
      <c r="I691" s="1">
        <f>IF(B691="", "", "meters")</f>
        <v>0</v>
      </c>
      <c r="T691" s="1">
        <f>IF(B691="", "", "Decimal degrees")</f>
        <v>0</v>
      </c>
      <c r="V691" s="1">
        <f>IF(B691="", "", "Decimal degrees")</f>
        <v>0</v>
      </c>
      <c r="Y691" s="1">
        <f>IF(B691="", "", "other")</f>
        <v>0</v>
      </c>
      <c r="AB691" s="1">
        <f>IF(B691="", "", "Not applicable")</f>
        <v>0</v>
      </c>
    </row>
    <row r="692" spans="1:28">
      <c r="A692">
        <f>IF(COUNTBLANK(B692:AC692)&lt;&gt;COLUMNS(B692:AC692),691,"")</f>
        <v>0</v>
      </c>
      <c r="H692" s="2">
        <f>IF(B692="", "", "not provided")</f>
        <v>0</v>
      </c>
      <c r="I692" s="1">
        <f>IF(B692="", "", "meters")</f>
        <v>0</v>
      </c>
      <c r="T692" s="1">
        <f>IF(B692="", "", "Decimal degrees")</f>
        <v>0</v>
      </c>
      <c r="V692" s="1">
        <f>IF(B692="", "", "Decimal degrees")</f>
        <v>0</v>
      </c>
      <c r="Y692" s="1">
        <f>IF(B692="", "", "other")</f>
        <v>0</v>
      </c>
      <c r="AB692" s="1">
        <f>IF(B692="", "", "Not applicable")</f>
        <v>0</v>
      </c>
    </row>
    <row r="693" spans="1:28">
      <c r="A693">
        <f>IF(COUNTBLANK(B693:AC693)&lt;&gt;COLUMNS(B693:AC693),692,"")</f>
        <v>0</v>
      </c>
      <c r="H693" s="2">
        <f>IF(B693="", "", "not provided")</f>
        <v>0</v>
      </c>
      <c r="I693" s="1">
        <f>IF(B693="", "", "meters")</f>
        <v>0</v>
      </c>
      <c r="T693" s="1">
        <f>IF(B693="", "", "Decimal degrees")</f>
        <v>0</v>
      </c>
      <c r="V693" s="1">
        <f>IF(B693="", "", "Decimal degrees")</f>
        <v>0</v>
      </c>
      <c r="Y693" s="1">
        <f>IF(B693="", "", "other")</f>
        <v>0</v>
      </c>
      <c r="AB693" s="1">
        <f>IF(B693="", "", "Not applicable")</f>
        <v>0</v>
      </c>
    </row>
    <row r="694" spans="1:28">
      <c r="A694">
        <f>IF(COUNTBLANK(B694:AC694)&lt;&gt;COLUMNS(B694:AC694),693,"")</f>
        <v>0</v>
      </c>
      <c r="H694" s="2">
        <f>IF(B694="", "", "not provided")</f>
        <v>0</v>
      </c>
      <c r="I694" s="1">
        <f>IF(B694="", "", "meters")</f>
        <v>0</v>
      </c>
      <c r="T694" s="1">
        <f>IF(B694="", "", "Decimal degrees")</f>
        <v>0</v>
      </c>
      <c r="V694" s="1">
        <f>IF(B694="", "", "Decimal degrees")</f>
        <v>0</v>
      </c>
      <c r="Y694" s="1">
        <f>IF(B694="", "", "other")</f>
        <v>0</v>
      </c>
      <c r="AB694" s="1">
        <f>IF(B694="", "", "Not applicable")</f>
        <v>0</v>
      </c>
    </row>
    <row r="695" spans="1:28">
      <c r="A695">
        <f>IF(COUNTBLANK(B695:AC695)&lt;&gt;COLUMNS(B695:AC695),694,"")</f>
        <v>0</v>
      </c>
      <c r="H695" s="2">
        <f>IF(B695="", "", "not provided")</f>
        <v>0</v>
      </c>
      <c r="I695" s="1">
        <f>IF(B695="", "", "meters")</f>
        <v>0</v>
      </c>
      <c r="T695" s="1">
        <f>IF(B695="", "", "Decimal degrees")</f>
        <v>0</v>
      </c>
      <c r="V695" s="1">
        <f>IF(B695="", "", "Decimal degrees")</f>
        <v>0</v>
      </c>
      <c r="Y695" s="1">
        <f>IF(B695="", "", "other")</f>
        <v>0</v>
      </c>
      <c r="AB695" s="1">
        <f>IF(B695="", "", "Not applicable")</f>
        <v>0</v>
      </c>
    </row>
    <row r="696" spans="1:28">
      <c r="A696">
        <f>IF(COUNTBLANK(B696:AC696)&lt;&gt;COLUMNS(B696:AC696),695,"")</f>
        <v>0</v>
      </c>
      <c r="H696" s="2">
        <f>IF(B696="", "", "not provided")</f>
        <v>0</v>
      </c>
      <c r="I696" s="1">
        <f>IF(B696="", "", "meters")</f>
        <v>0</v>
      </c>
      <c r="T696" s="1">
        <f>IF(B696="", "", "Decimal degrees")</f>
        <v>0</v>
      </c>
      <c r="V696" s="1">
        <f>IF(B696="", "", "Decimal degrees")</f>
        <v>0</v>
      </c>
      <c r="Y696" s="1">
        <f>IF(B696="", "", "other")</f>
        <v>0</v>
      </c>
      <c r="AB696" s="1">
        <f>IF(B696="", "", "Not applicable")</f>
        <v>0</v>
      </c>
    </row>
    <row r="697" spans="1:28">
      <c r="A697">
        <f>IF(COUNTBLANK(B697:AC697)&lt;&gt;COLUMNS(B697:AC697),696,"")</f>
        <v>0</v>
      </c>
      <c r="H697" s="2">
        <f>IF(B697="", "", "not provided")</f>
        <v>0</v>
      </c>
      <c r="I697" s="1">
        <f>IF(B697="", "", "meters")</f>
        <v>0</v>
      </c>
      <c r="T697" s="1">
        <f>IF(B697="", "", "Decimal degrees")</f>
        <v>0</v>
      </c>
      <c r="V697" s="1">
        <f>IF(B697="", "", "Decimal degrees")</f>
        <v>0</v>
      </c>
      <c r="Y697" s="1">
        <f>IF(B697="", "", "other")</f>
        <v>0</v>
      </c>
      <c r="AB697" s="1">
        <f>IF(B697="", "", "Not applicable")</f>
        <v>0</v>
      </c>
    </row>
    <row r="698" spans="1:28">
      <c r="A698">
        <f>IF(COUNTBLANK(B698:AC698)&lt;&gt;COLUMNS(B698:AC698),697,"")</f>
        <v>0</v>
      </c>
      <c r="H698" s="2">
        <f>IF(B698="", "", "not provided")</f>
        <v>0</v>
      </c>
      <c r="I698" s="1">
        <f>IF(B698="", "", "meters")</f>
        <v>0</v>
      </c>
      <c r="T698" s="1">
        <f>IF(B698="", "", "Decimal degrees")</f>
        <v>0</v>
      </c>
      <c r="V698" s="1">
        <f>IF(B698="", "", "Decimal degrees")</f>
        <v>0</v>
      </c>
      <c r="Y698" s="1">
        <f>IF(B698="", "", "other")</f>
        <v>0</v>
      </c>
      <c r="AB698" s="1">
        <f>IF(B698="", "", "Not applicable")</f>
        <v>0</v>
      </c>
    </row>
    <row r="699" spans="1:28">
      <c r="A699">
        <f>IF(COUNTBLANK(B699:AC699)&lt;&gt;COLUMNS(B699:AC699),698,"")</f>
        <v>0</v>
      </c>
      <c r="H699" s="2">
        <f>IF(B699="", "", "not provided")</f>
        <v>0</v>
      </c>
      <c r="I699" s="1">
        <f>IF(B699="", "", "meters")</f>
        <v>0</v>
      </c>
      <c r="T699" s="1">
        <f>IF(B699="", "", "Decimal degrees")</f>
        <v>0</v>
      </c>
      <c r="V699" s="1">
        <f>IF(B699="", "", "Decimal degrees")</f>
        <v>0</v>
      </c>
      <c r="Y699" s="1">
        <f>IF(B699="", "", "other")</f>
        <v>0</v>
      </c>
      <c r="AB699" s="1">
        <f>IF(B699="", "", "Not applicable")</f>
        <v>0</v>
      </c>
    </row>
    <row r="700" spans="1:28">
      <c r="A700">
        <f>IF(COUNTBLANK(B700:AC700)&lt;&gt;COLUMNS(B700:AC700),699,"")</f>
        <v>0</v>
      </c>
      <c r="H700" s="2">
        <f>IF(B700="", "", "not provided")</f>
        <v>0</v>
      </c>
      <c r="I700" s="1">
        <f>IF(B700="", "", "meters")</f>
        <v>0</v>
      </c>
      <c r="T700" s="1">
        <f>IF(B700="", "", "Decimal degrees")</f>
        <v>0</v>
      </c>
      <c r="V700" s="1">
        <f>IF(B700="", "", "Decimal degrees")</f>
        <v>0</v>
      </c>
      <c r="Y700" s="1">
        <f>IF(B700="", "", "other")</f>
        <v>0</v>
      </c>
      <c r="AB700" s="1">
        <f>IF(B700="", "", "Not applicable")</f>
        <v>0</v>
      </c>
    </row>
    <row r="701" spans="1:28">
      <c r="A701">
        <f>IF(COUNTBLANK(B701:AC701)&lt;&gt;COLUMNS(B701:AC701),700,"")</f>
        <v>0</v>
      </c>
      <c r="H701" s="2">
        <f>IF(B701="", "", "not provided")</f>
        <v>0</v>
      </c>
      <c r="I701" s="1">
        <f>IF(B701="", "", "meters")</f>
        <v>0</v>
      </c>
      <c r="T701" s="1">
        <f>IF(B701="", "", "Decimal degrees")</f>
        <v>0</v>
      </c>
      <c r="V701" s="1">
        <f>IF(B701="", "", "Decimal degrees")</f>
        <v>0</v>
      </c>
      <c r="Y701" s="1">
        <f>IF(B701="", "", "other")</f>
        <v>0</v>
      </c>
      <c r="AB701" s="1">
        <f>IF(B701="", "", "Not applicable")</f>
        <v>0</v>
      </c>
    </row>
    <row r="702" spans="1:28">
      <c r="A702">
        <f>IF(COUNTBLANK(B702:AC702)&lt;&gt;COLUMNS(B702:AC702),701,"")</f>
        <v>0</v>
      </c>
      <c r="H702" s="2">
        <f>IF(B702="", "", "not provided")</f>
        <v>0</v>
      </c>
      <c r="I702" s="1">
        <f>IF(B702="", "", "meters")</f>
        <v>0</v>
      </c>
      <c r="T702" s="1">
        <f>IF(B702="", "", "Decimal degrees")</f>
        <v>0</v>
      </c>
      <c r="V702" s="1">
        <f>IF(B702="", "", "Decimal degrees")</f>
        <v>0</v>
      </c>
      <c r="Y702" s="1">
        <f>IF(B702="", "", "other")</f>
        <v>0</v>
      </c>
      <c r="AB702" s="1">
        <f>IF(B702="", "", "Not applicable")</f>
        <v>0</v>
      </c>
    </row>
    <row r="703" spans="1:28">
      <c r="A703">
        <f>IF(COUNTBLANK(B703:AC703)&lt;&gt;COLUMNS(B703:AC703),702,"")</f>
        <v>0</v>
      </c>
      <c r="H703" s="2">
        <f>IF(B703="", "", "not provided")</f>
        <v>0</v>
      </c>
      <c r="I703" s="1">
        <f>IF(B703="", "", "meters")</f>
        <v>0</v>
      </c>
      <c r="T703" s="1">
        <f>IF(B703="", "", "Decimal degrees")</f>
        <v>0</v>
      </c>
      <c r="V703" s="1">
        <f>IF(B703="", "", "Decimal degrees")</f>
        <v>0</v>
      </c>
      <c r="Y703" s="1">
        <f>IF(B703="", "", "other")</f>
        <v>0</v>
      </c>
      <c r="AB703" s="1">
        <f>IF(B703="", "", "Not applicable")</f>
        <v>0</v>
      </c>
    </row>
    <row r="704" spans="1:28">
      <c r="A704">
        <f>IF(COUNTBLANK(B704:AC704)&lt;&gt;COLUMNS(B704:AC704),703,"")</f>
        <v>0</v>
      </c>
      <c r="H704" s="2">
        <f>IF(B704="", "", "not provided")</f>
        <v>0</v>
      </c>
      <c r="I704" s="1">
        <f>IF(B704="", "", "meters")</f>
        <v>0</v>
      </c>
      <c r="T704" s="1">
        <f>IF(B704="", "", "Decimal degrees")</f>
        <v>0</v>
      </c>
      <c r="V704" s="1">
        <f>IF(B704="", "", "Decimal degrees")</f>
        <v>0</v>
      </c>
      <c r="Y704" s="1">
        <f>IF(B704="", "", "other")</f>
        <v>0</v>
      </c>
      <c r="AB704" s="1">
        <f>IF(B704="", "", "Not applicable")</f>
        <v>0</v>
      </c>
    </row>
    <row r="705" spans="1:28">
      <c r="A705">
        <f>IF(COUNTBLANK(B705:AC705)&lt;&gt;COLUMNS(B705:AC705),704,"")</f>
        <v>0</v>
      </c>
      <c r="H705" s="2">
        <f>IF(B705="", "", "not provided")</f>
        <v>0</v>
      </c>
      <c r="I705" s="1">
        <f>IF(B705="", "", "meters")</f>
        <v>0</v>
      </c>
      <c r="T705" s="1">
        <f>IF(B705="", "", "Decimal degrees")</f>
        <v>0</v>
      </c>
      <c r="V705" s="1">
        <f>IF(B705="", "", "Decimal degrees")</f>
        <v>0</v>
      </c>
      <c r="Y705" s="1">
        <f>IF(B705="", "", "other")</f>
        <v>0</v>
      </c>
      <c r="AB705" s="1">
        <f>IF(B705="", "", "Not applicable")</f>
        <v>0</v>
      </c>
    </row>
    <row r="706" spans="1:28">
      <c r="A706">
        <f>IF(COUNTBLANK(B706:AC706)&lt;&gt;COLUMNS(B706:AC706),705,"")</f>
        <v>0</v>
      </c>
      <c r="H706" s="2">
        <f>IF(B706="", "", "not provided")</f>
        <v>0</v>
      </c>
      <c r="I706" s="1">
        <f>IF(B706="", "", "meters")</f>
        <v>0</v>
      </c>
      <c r="T706" s="1">
        <f>IF(B706="", "", "Decimal degrees")</f>
        <v>0</v>
      </c>
      <c r="V706" s="1">
        <f>IF(B706="", "", "Decimal degrees")</f>
        <v>0</v>
      </c>
      <c r="Y706" s="1">
        <f>IF(B706="", "", "other")</f>
        <v>0</v>
      </c>
      <c r="AB706" s="1">
        <f>IF(B706="", "", "Not applicable")</f>
        <v>0</v>
      </c>
    </row>
    <row r="707" spans="1:28">
      <c r="A707">
        <f>IF(COUNTBLANK(B707:AC707)&lt;&gt;COLUMNS(B707:AC707),706,"")</f>
        <v>0</v>
      </c>
      <c r="H707" s="2">
        <f>IF(B707="", "", "not provided")</f>
        <v>0</v>
      </c>
      <c r="I707" s="1">
        <f>IF(B707="", "", "meters")</f>
        <v>0</v>
      </c>
      <c r="T707" s="1">
        <f>IF(B707="", "", "Decimal degrees")</f>
        <v>0</v>
      </c>
      <c r="V707" s="1">
        <f>IF(B707="", "", "Decimal degrees")</f>
        <v>0</v>
      </c>
      <c r="Y707" s="1">
        <f>IF(B707="", "", "other")</f>
        <v>0</v>
      </c>
      <c r="AB707" s="1">
        <f>IF(B707="", "", "Not applicable")</f>
        <v>0</v>
      </c>
    </row>
    <row r="708" spans="1:28">
      <c r="A708">
        <f>IF(COUNTBLANK(B708:AC708)&lt;&gt;COLUMNS(B708:AC708),707,"")</f>
        <v>0</v>
      </c>
      <c r="H708" s="2">
        <f>IF(B708="", "", "not provided")</f>
        <v>0</v>
      </c>
      <c r="I708" s="1">
        <f>IF(B708="", "", "meters")</f>
        <v>0</v>
      </c>
      <c r="T708" s="1">
        <f>IF(B708="", "", "Decimal degrees")</f>
        <v>0</v>
      </c>
      <c r="V708" s="1">
        <f>IF(B708="", "", "Decimal degrees")</f>
        <v>0</v>
      </c>
      <c r="Y708" s="1">
        <f>IF(B708="", "", "other")</f>
        <v>0</v>
      </c>
      <c r="AB708" s="1">
        <f>IF(B708="", "", "Not applicable")</f>
        <v>0</v>
      </c>
    </row>
    <row r="709" spans="1:28">
      <c r="A709">
        <f>IF(COUNTBLANK(B709:AC709)&lt;&gt;COLUMNS(B709:AC709),708,"")</f>
        <v>0</v>
      </c>
      <c r="H709" s="2">
        <f>IF(B709="", "", "not provided")</f>
        <v>0</v>
      </c>
      <c r="I709" s="1">
        <f>IF(B709="", "", "meters")</f>
        <v>0</v>
      </c>
      <c r="T709" s="1">
        <f>IF(B709="", "", "Decimal degrees")</f>
        <v>0</v>
      </c>
      <c r="V709" s="1">
        <f>IF(B709="", "", "Decimal degrees")</f>
        <v>0</v>
      </c>
      <c r="Y709" s="1">
        <f>IF(B709="", "", "other")</f>
        <v>0</v>
      </c>
      <c r="AB709" s="1">
        <f>IF(B709="", "", "Not applicable")</f>
        <v>0</v>
      </c>
    </row>
    <row r="710" spans="1:28">
      <c r="A710">
        <f>IF(COUNTBLANK(B710:AC710)&lt;&gt;COLUMNS(B710:AC710),709,"")</f>
        <v>0</v>
      </c>
      <c r="H710" s="2">
        <f>IF(B710="", "", "not provided")</f>
        <v>0</v>
      </c>
      <c r="I710" s="1">
        <f>IF(B710="", "", "meters")</f>
        <v>0</v>
      </c>
      <c r="T710" s="1">
        <f>IF(B710="", "", "Decimal degrees")</f>
        <v>0</v>
      </c>
      <c r="V710" s="1">
        <f>IF(B710="", "", "Decimal degrees")</f>
        <v>0</v>
      </c>
      <c r="Y710" s="1">
        <f>IF(B710="", "", "other")</f>
        <v>0</v>
      </c>
      <c r="AB710" s="1">
        <f>IF(B710="", "", "Not applicable")</f>
        <v>0</v>
      </c>
    </row>
    <row r="711" spans="1:28">
      <c r="A711">
        <f>IF(COUNTBLANK(B711:AC711)&lt;&gt;COLUMNS(B711:AC711),710,"")</f>
        <v>0</v>
      </c>
      <c r="H711" s="2">
        <f>IF(B711="", "", "not provided")</f>
        <v>0</v>
      </c>
      <c r="I711" s="1">
        <f>IF(B711="", "", "meters")</f>
        <v>0</v>
      </c>
      <c r="T711" s="1">
        <f>IF(B711="", "", "Decimal degrees")</f>
        <v>0</v>
      </c>
      <c r="V711" s="1">
        <f>IF(B711="", "", "Decimal degrees")</f>
        <v>0</v>
      </c>
      <c r="Y711" s="1">
        <f>IF(B711="", "", "other")</f>
        <v>0</v>
      </c>
      <c r="AB711" s="1">
        <f>IF(B711="", "", "Not applicable")</f>
        <v>0</v>
      </c>
    </row>
    <row r="712" spans="1:28">
      <c r="A712">
        <f>IF(COUNTBLANK(B712:AC712)&lt;&gt;COLUMNS(B712:AC712),711,"")</f>
        <v>0</v>
      </c>
      <c r="H712" s="2">
        <f>IF(B712="", "", "not provided")</f>
        <v>0</v>
      </c>
      <c r="I712" s="1">
        <f>IF(B712="", "", "meters")</f>
        <v>0</v>
      </c>
      <c r="T712" s="1">
        <f>IF(B712="", "", "Decimal degrees")</f>
        <v>0</v>
      </c>
      <c r="V712" s="1">
        <f>IF(B712="", "", "Decimal degrees")</f>
        <v>0</v>
      </c>
      <c r="Y712" s="1">
        <f>IF(B712="", "", "other")</f>
        <v>0</v>
      </c>
      <c r="AB712" s="1">
        <f>IF(B712="", "", "Not applicable")</f>
        <v>0</v>
      </c>
    </row>
    <row r="713" spans="1:28">
      <c r="A713">
        <f>IF(COUNTBLANK(B713:AC713)&lt;&gt;COLUMNS(B713:AC713),712,"")</f>
        <v>0</v>
      </c>
      <c r="H713" s="2">
        <f>IF(B713="", "", "not provided")</f>
        <v>0</v>
      </c>
      <c r="I713" s="1">
        <f>IF(B713="", "", "meters")</f>
        <v>0</v>
      </c>
      <c r="T713" s="1">
        <f>IF(B713="", "", "Decimal degrees")</f>
        <v>0</v>
      </c>
      <c r="V713" s="1">
        <f>IF(B713="", "", "Decimal degrees")</f>
        <v>0</v>
      </c>
      <c r="Y713" s="1">
        <f>IF(B713="", "", "other")</f>
        <v>0</v>
      </c>
      <c r="AB713" s="1">
        <f>IF(B713="", "", "Not applicable")</f>
        <v>0</v>
      </c>
    </row>
    <row r="714" spans="1:28">
      <c r="A714">
        <f>IF(COUNTBLANK(B714:AC714)&lt;&gt;COLUMNS(B714:AC714),713,"")</f>
        <v>0</v>
      </c>
      <c r="H714" s="2">
        <f>IF(B714="", "", "not provided")</f>
        <v>0</v>
      </c>
      <c r="I714" s="1">
        <f>IF(B714="", "", "meters")</f>
        <v>0</v>
      </c>
      <c r="T714" s="1">
        <f>IF(B714="", "", "Decimal degrees")</f>
        <v>0</v>
      </c>
      <c r="V714" s="1">
        <f>IF(B714="", "", "Decimal degrees")</f>
        <v>0</v>
      </c>
      <c r="Y714" s="1">
        <f>IF(B714="", "", "other")</f>
        <v>0</v>
      </c>
      <c r="AB714" s="1">
        <f>IF(B714="", "", "Not applicable")</f>
        <v>0</v>
      </c>
    </row>
    <row r="715" spans="1:28">
      <c r="A715">
        <f>IF(COUNTBLANK(B715:AC715)&lt;&gt;COLUMNS(B715:AC715),714,"")</f>
        <v>0</v>
      </c>
      <c r="H715" s="2">
        <f>IF(B715="", "", "not provided")</f>
        <v>0</v>
      </c>
      <c r="I715" s="1">
        <f>IF(B715="", "", "meters")</f>
        <v>0</v>
      </c>
      <c r="T715" s="1">
        <f>IF(B715="", "", "Decimal degrees")</f>
        <v>0</v>
      </c>
      <c r="V715" s="1">
        <f>IF(B715="", "", "Decimal degrees")</f>
        <v>0</v>
      </c>
      <c r="Y715" s="1">
        <f>IF(B715="", "", "other")</f>
        <v>0</v>
      </c>
      <c r="AB715" s="1">
        <f>IF(B715="", "", "Not applicable")</f>
        <v>0</v>
      </c>
    </row>
    <row r="716" spans="1:28">
      <c r="A716">
        <f>IF(COUNTBLANK(B716:AC716)&lt;&gt;COLUMNS(B716:AC716),715,"")</f>
        <v>0</v>
      </c>
      <c r="H716" s="2">
        <f>IF(B716="", "", "not provided")</f>
        <v>0</v>
      </c>
      <c r="I716" s="1">
        <f>IF(B716="", "", "meters")</f>
        <v>0</v>
      </c>
      <c r="T716" s="1">
        <f>IF(B716="", "", "Decimal degrees")</f>
        <v>0</v>
      </c>
      <c r="V716" s="1">
        <f>IF(B716="", "", "Decimal degrees")</f>
        <v>0</v>
      </c>
      <c r="Y716" s="1">
        <f>IF(B716="", "", "other")</f>
        <v>0</v>
      </c>
      <c r="AB716" s="1">
        <f>IF(B716="", "", "Not applicable")</f>
        <v>0</v>
      </c>
    </row>
    <row r="717" spans="1:28">
      <c r="A717">
        <f>IF(COUNTBLANK(B717:AC717)&lt;&gt;COLUMNS(B717:AC717),716,"")</f>
        <v>0</v>
      </c>
      <c r="H717" s="2">
        <f>IF(B717="", "", "not provided")</f>
        <v>0</v>
      </c>
      <c r="I717" s="1">
        <f>IF(B717="", "", "meters")</f>
        <v>0</v>
      </c>
      <c r="T717" s="1">
        <f>IF(B717="", "", "Decimal degrees")</f>
        <v>0</v>
      </c>
      <c r="V717" s="1">
        <f>IF(B717="", "", "Decimal degrees")</f>
        <v>0</v>
      </c>
      <c r="Y717" s="1">
        <f>IF(B717="", "", "other")</f>
        <v>0</v>
      </c>
      <c r="AB717" s="1">
        <f>IF(B717="", "", "Not applicable")</f>
        <v>0</v>
      </c>
    </row>
    <row r="718" spans="1:28">
      <c r="A718">
        <f>IF(COUNTBLANK(B718:AC718)&lt;&gt;COLUMNS(B718:AC718),717,"")</f>
        <v>0</v>
      </c>
      <c r="H718" s="2">
        <f>IF(B718="", "", "not provided")</f>
        <v>0</v>
      </c>
      <c r="I718" s="1">
        <f>IF(B718="", "", "meters")</f>
        <v>0</v>
      </c>
      <c r="T718" s="1">
        <f>IF(B718="", "", "Decimal degrees")</f>
        <v>0</v>
      </c>
      <c r="V718" s="1">
        <f>IF(B718="", "", "Decimal degrees")</f>
        <v>0</v>
      </c>
      <c r="Y718" s="1">
        <f>IF(B718="", "", "other")</f>
        <v>0</v>
      </c>
      <c r="AB718" s="1">
        <f>IF(B718="", "", "Not applicable")</f>
        <v>0</v>
      </c>
    </row>
    <row r="719" spans="1:28">
      <c r="A719">
        <f>IF(COUNTBLANK(B719:AC719)&lt;&gt;COLUMNS(B719:AC719),718,"")</f>
        <v>0</v>
      </c>
      <c r="H719" s="2">
        <f>IF(B719="", "", "not provided")</f>
        <v>0</v>
      </c>
      <c r="I719" s="1">
        <f>IF(B719="", "", "meters")</f>
        <v>0</v>
      </c>
      <c r="T719" s="1">
        <f>IF(B719="", "", "Decimal degrees")</f>
        <v>0</v>
      </c>
      <c r="V719" s="1">
        <f>IF(B719="", "", "Decimal degrees")</f>
        <v>0</v>
      </c>
      <c r="Y719" s="1">
        <f>IF(B719="", "", "other")</f>
        <v>0</v>
      </c>
      <c r="AB719" s="1">
        <f>IF(B719="", "", "Not applicable")</f>
        <v>0</v>
      </c>
    </row>
    <row r="720" spans="1:28">
      <c r="A720">
        <f>IF(COUNTBLANK(B720:AC720)&lt;&gt;COLUMNS(B720:AC720),719,"")</f>
        <v>0</v>
      </c>
      <c r="H720" s="2">
        <f>IF(B720="", "", "not provided")</f>
        <v>0</v>
      </c>
      <c r="I720" s="1">
        <f>IF(B720="", "", "meters")</f>
        <v>0</v>
      </c>
      <c r="T720" s="1">
        <f>IF(B720="", "", "Decimal degrees")</f>
        <v>0</v>
      </c>
      <c r="V720" s="1">
        <f>IF(B720="", "", "Decimal degrees")</f>
        <v>0</v>
      </c>
      <c r="Y720" s="1">
        <f>IF(B720="", "", "other")</f>
        <v>0</v>
      </c>
      <c r="AB720" s="1">
        <f>IF(B720="", "", "Not applicable")</f>
        <v>0</v>
      </c>
    </row>
    <row r="721" spans="1:28">
      <c r="A721">
        <f>IF(COUNTBLANK(B721:AC721)&lt;&gt;COLUMNS(B721:AC721),720,"")</f>
        <v>0</v>
      </c>
      <c r="H721" s="2">
        <f>IF(B721="", "", "not provided")</f>
        <v>0</v>
      </c>
      <c r="I721" s="1">
        <f>IF(B721="", "", "meters")</f>
        <v>0</v>
      </c>
      <c r="T721" s="1">
        <f>IF(B721="", "", "Decimal degrees")</f>
        <v>0</v>
      </c>
      <c r="V721" s="1">
        <f>IF(B721="", "", "Decimal degrees")</f>
        <v>0</v>
      </c>
      <c r="Y721" s="1">
        <f>IF(B721="", "", "other")</f>
        <v>0</v>
      </c>
      <c r="AB721" s="1">
        <f>IF(B721="", "", "Not applicable")</f>
        <v>0</v>
      </c>
    </row>
    <row r="722" spans="1:28">
      <c r="A722">
        <f>IF(COUNTBLANK(B722:AC722)&lt;&gt;COLUMNS(B722:AC722),721,"")</f>
        <v>0</v>
      </c>
      <c r="H722" s="2">
        <f>IF(B722="", "", "not provided")</f>
        <v>0</v>
      </c>
      <c r="I722" s="1">
        <f>IF(B722="", "", "meters")</f>
        <v>0</v>
      </c>
      <c r="T722" s="1">
        <f>IF(B722="", "", "Decimal degrees")</f>
        <v>0</v>
      </c>
      <c r="V722" s="1">
        <f>IF(B722="", "", "Decimal degrees")</f>
        <v>0</v>
      </c>
      <c r="Y722" s="1">
        <f>IF(B722="", "", "other")</f>
        <v>0</v>
      </c>
      <c r="AB722" s="1">
        <f>IF(B722="", "", "Not applicable")</f>
        <v>0</v>
      </c>
    </row>
    <row r="723" spans="1:28">
      <c r="A723">
        <f>IF(COUNTBLANK(B723:AC723)&lt;&gt;COLUMNS(B723:AC723),722,"")</f>
        <v>0</v>
      </c>
      <c r="H723" s="2">
        <f>IF(B723="", "", "not provided")</f>
        <v>0</v>
      </c>
      <c r="I723" s="1">
        <f>IF(B723="", "", "meters")</f>
        <v>0</v>
      </c>
      <c r="T723" s="1">
        <f>IF(B723="", "", "Decimal degrees")</f>
        <v>0</v>
      </c>
      <c r="V723" s="1">
        <f>IF(B723="", "", "Decimal degrees")</f>
        <v>0</v>
      </c>
      <c r="Y723" s="1">
        <f>IF(B723="", "", "other")</f>
        <v>0</v>
      </c>
      <c r="AB723" s="1">
        <f>IF(B723="", "", "Not applicable")</f>
        <v>0</v>
      </c>
    </row>
    <row r="724" spans="1:28">
      <c r="A724">
        <f>IF(COUNTBLANK(B724:AC724)&lt;&gt;COLUMNS(B724:AC724),723,"")</f>
        <v>0</v>
      </c>
      <c r="H724" s="2">
        <f>IF(B724="", "", "not provided")</f>
        <v>0</v>
      </c>
      <c r="I724" s="1">
        <f>IF(B724="", "", "meters")</f>
        <v>0</v>
      </c>
      <c r="T724" s="1">
        <f>IF(B724="", "", "Decimal degrees")</f>
        <v>0</v>
      </c>
      <c r="V724" s="1">
        <f>IF(B724="", "", "Decimal degrees")</f>
        <v>0</v>
      </c>
      <c r="Y724" s="1">
        <f>IF(B724="", "", "other")</f>
        <v>0</v>
      </c>
      <c r="AB724" s="1">
        <f>IF(B724="", "", "Not applicable")</f>
        <v>0</v>
      </c>
    </row>
    <row r="725" spans="1:28">
      <c r="A725">
        <f>IF(COUNTBLANK(B725:AC725)&lt;&gt;COLUMNS(B725:AC725),724,"")</f>
        <v>0</v>
      </c>
      <c r="H725" s="2">
        <f>IF(B725="", "", "not provided")</f>
        <v>0</v>
      </c>
      <c r="I725" s="1">
        <f>IF(B725="", "", "meters")</f>
        <v>0</v>
      </c>
      <c r="T725" s="1">
        <f>IF(B725="", "", "Decimal degrees")</f>
        <v>0</v>
      </c>
      <c r="V725" s="1">
        <f>IF(B725="", "", "Decimal degrees")</f>
        <v>0</v>
      </c>
      <c r="Y725" s="1">
        <f>IF(B725="", "", "other")</f>
        <v>0</v>
      </c>
      <c r="AB725" s="1">
        <f>IF(B725="", "", "Not applicable")</f>
        <v>0</v>
      </c>
    </row>
    <row r="726" spans="1:28">
      <c r="A726">
        <f>IF(COUNTBLANK(B726:AC726)&lt;&gt;COLUMNS(B726:AC726),725,"")</f>
        <v>0</v>
      </c>
      <c r="H726" s="2">
        <f>IF(B726="", "", "not provided")</f>
        <v>0</v>
      </c>
      <c r="I726" s="1">
        <f>IF(B726="", "", "meters")</f>
        <v>0</v>
      </c>
      <c r="T726" s="1">
        <f>IF(B726="", "", "Decimal degrees")</f>
        <v>0</v>
      </c>
      <c r="V726" s="1">
        <f>IF(B726="", "", "Decimal degrees")</f>
        <v>0</v>
      </c>
      <c r="Y726" s="1">
        <f>IF(B726="", "", "other")</f>
        <v>0</v>
      </c>
      <c r="AB726" s="1">
        <f>IF(B726="", "", "Not applicable")</f>
        <v>0</v>
      </c>
    </row>
    <row r="727" spans="1:28">
      <c r="A727">
        <f>IF(COUNTBLANK(B727:AC727)&lt;&gt;COLUMNS(B727:AC727),726,"")</f>
        <v>0</v>
      </c>
      <c r="H727" s="2">
        <f>IF(B727="", "", "not provided")</f>
        <v>0</v>
      </c>
      <c r="I727" s="1">
        <f>IF(B727="", "", "meters")</f>
        <v>0</v>
      </c>
      <c r="T727" s="1">
        <f>IF(B727="", "", "Decimal degrees")</f>
        <v>0</v>
      </c>
      <c r="V727" s="1">
        <f>IF(B727="", "", "Decimal degrees")</f>
        <v>0</v>
      </c>
      <c r="Y727" s="1">
        <f>IF(B727="", "", "other")</f>
        <v>0</v>
      </c>
      <c r="AB727" s="1">
        <f>IF(B727="", "", "Not applicable")</f>
        <v>0</v>
      </c>
    </row>
    <row r="728" spans="1:28">
      <c r="A728">
        <f>IF(COUNTBLANK(B728:AC728)&lt;&gt;COLUMNS(B728:AC728),727,"")</f>
        <v>0</v>
      </c>
      <c r="H728" s="2">
        <f>IF(B728="", "", "not provided")</f>
        <v>0</v>
      </c>
      <c r="I728" s="1">
        <f>IF(B728="", "", "meters")</f>
        <v>0</v>
      </c>
      <c r="T728" s="1">
        <f>IF(B728="", "", "Decimal degrees")</f>
        <v>0</v>
      </c>
      <c r="V728" s="1">
        <f>IF(B728="", "", "Decimal degrees")</f>
        <v>0</v>
      </c>
      <c r="Y728" s="1">
        <f>IF(B728="", "", "other")</f>
        <v>0</v>
      </c>
      <c r="AB728" s="1">
        <f>IF(B728="", "", "Not applicable")</f>
        <v>0</v>
      </c>
    </row>
    <row r="729" spans="1:28">
      <c r="A729">
        <f>IF(COUNTBLANK(B729:AC729)&lt;&gt;COLUMNS(B729:AC729),728,"")</f>
        <v>0</v>
      </c>
      <c r="H729" s="2">
        <f>IF(B729="", "", "not provided")</f>
        <v>0</v>
      </c>
      <c r="I729" s="1">
        <f>IF(B729="", "", "meters")</f>
        <v>0</v>
      </c>
      <c r="T729" s="1">
        <f>IF(B729="", "", "Decimal degrees")</f>
        <v>0</v>
      </c>
      <c r="V729" s="1">
        <f>IF(B729="", "", "Decimal degrees")</f>
        <v>0</v>
      </c>
      <c r="Y729" s="1">
        <f>IF(B729="", "", "other")</f>
        <v>0</v>
      </c>
      <c r="AB729" s="1">
        <f>IF(B729="", "", "Not applicable")</f>
        <v>0</v>
      </c>
    </row>
    <row r="730" spans="1:28">
      <c r="A730">
        <f>IF(COUNTBLANK(B730:AC730)&lt;&gt;COLUMNS(B730:AC730),729,"")</f>
        <v>0</v>
      </c>
      <c r="H730" s="2">
        <f>IF(B730="", "", "not provided")</f>
        <v>0</v>
      </c>
      <c r="I730" s="1">
        <f>IF(B730="", "", "meters")</f>
        <v>0</v>
      </c>
      <c r="T730" s="1">
        <f>IF(B730="", "", "Decimal degrees")</f>
        <v>0</v>
      </c>
      <c r="V730" s="1">
        <f>IF(B730="", "", "Decimal degrees")</f>
        <v>0</v>
      </c>
      <c r="Y730" s="1">
        <f>IF(B730="", "", "other")</f>
        <v>0</v>
      </c>
      <c r="AB730" s="1">
        <f>IF(B730="", "", "Not applicable")</f>
        <v>0</v>
      </c>
    </row>
    <row r="731" spans="1:28">
      <c r="A731">
        <f>IF(COUNTBLANK(B731:AC731)&lt;&gt;COLUMNS(B731:AC731),730,"")</f>
        <v>0</v>
      </c>
      <c r="H731" s="2">
        <f>IF(B731="", "", "not provided")</f>
        <v>0</v>
      </c>
      <c r="I731" s="1">
        <f>IF(B731="", "", "meters")</f>
        <v>0</v>
      </c>
      <c r="T731" s="1">
        <f>IF(B731="", "", "Decimal degrees")</f>
        <v>0</v>
      </c>
      <c r="V731" s="1">
        <f>IF(B731="", "", "Decimal degrees")</f>
        <v>0</v>
      </c>
      <c r="Y731" s="1">
        <f>IF(B731="", "", "other")</f>
        <v>0</v>
      </c>
      <c r="AB731" s="1">
        <f>IF(B731="", "", "Not applicable")</f>
        <v>0</v>
      </c>
    </row>
    <row r="732" spans="1:28">
      <c r="A732">
        <f>IF(COUNTBLANK(B732:AC732)&lt;&gt;COLUMNS(B732:AC732),731,"")</f>
        <v>0</v>
      </c>
      <c r="H732" s="2">
        <f>IF(B732="", "", "not provided")</f>
        <v>0</v>
      </c>
      <c r="I732" s="1">
        <f>IF(B732="", "", "meters")</f>
        <v>0</v>
      </c>
      <c r="T732" s="1">
        <f>IF(B732="", "", "Decimal degrees")</f>
        <v>0</v>
      </c>
      <c r="V732" s="1">
        <f>IF(B732="", "", "Decimal degrees")</f>
        <v>0</v>
      </c>
      <c r="Y732" s="1">
        <f>IF(B732="", "", "other")</f>
        <v>0</v>
      </c>
      <c r="AB732" s="1">
        <f>IF(B732="", "", "Not applicable")</f>
        <v>0</v>
      </c>
    </row>
    <row r="733" spans="1:28">
      <c r="A733">
        <f>IF(COUNTBLANK(B733:AC733)&lt;&gt;COLUMNS(B733:AC733),732,"")</f>
        <v>0</v>
      </c>
      <c r="H733" s="2">
        <f>IF(B733="", "", "not provided")</f>
        <v>0</v>
      </c>
      <c r="I733" s="1">
        <f>IF(B733="", "", "meters")</f>
        <v>0</v>
      </c>
      <c r="T733" s="1">
        <f>IF(B733="", "", "Decimal degrees")</f>
        <v>0</v>
      </c>
      <c r="V733" s="1">
        <f>IF(B733="", "", "Decimal degrees")</f>
        <v>0</v>
      </c>
      <c r="Y733" s="1">
        <f>IF(B733="", "", "other")</f>
        <v>0</v>
      </c>
      <c r="AB733" s="1">
        <f>IF(B733="", "", "Not applicable")</f>
        <v>0</v>
      </c>
    </row>
    <row r="734" spans="1:28">
      <c r="A734">
        <f>IF(COUNTBLANK(B734:AC734)&lt;&gt;COLUMNS(B734:AC734),733,"")</f>
        <v>0</v>
      </c>
      <c r="H734" s="2">
        <f>IF(B734="", "", "not provided")</f>
        <v>0</v>
      </c>
      <c r="I734" s="1">
        <f>IF(B734="", "", "meters")</f>
        <v>0</v>
      </c>
      <c r="T734" s="1">
        <f>IF(B734="", "", "Decimal degrees")</f>
        <v>0</v>
      </c>
      <c r="V734" s="1">
        <f>IF(B734="", "", "Decimal degrees")</f>
        <v>0</v>
      </c>
      <c r="Y734" s="1">
        <f>IF(B734="", "", "other")</f>
        <v>0</v>
      </c>
      <c r="AB734" s="1">
        <f>IF(B734="", "", "Not applicable")</f>
        <v>0</v>
      </c>
    </row>
    <row r="735" spans="1:28">
      <c r="A735">
        <f>IF(COUNTBLANK(B735:AC735)&lt;&gt;COLUMNS(B735:AC735),734,"")</f>
        <v>0</v>
      </c>
      <c r="H735" s="2">
        <f>IF(B735="", "", "not provided")</f>
        <v>0</v>
      </c>
      <c r="I735" s="1">
        <f>IF(B735="", "", "meters")</f>
        <v>0</v>
      </c>
      <c r="T735" s="1">
        <f>IF(B735="", "", "Decimal degrees")</f>
        <v>0</v>
      </c>
      <c r="V735" s="1">
        <f>IF(B735="", "", "Decimal degrees")</f>
        <v>0</v>
      </c>
      <c r="Y735" s="1">
        <f>IF(B735="", "", "other")</f>
        <v>0</v>
      </c>
      <c r="AB735" s="1">
        <f>IF(B735="", "", "Not applicable")</f>
        <v>0</v>
      </c>
    </row>
    <row r="736" spans="1:28">
      <c r="A736">
        <f>IF(COUNTBLANK(B736:AC736)&lt;&gt;COLUMNS(B736:AC736),735,"")</f>
        <v>0</v>
      </c>
      <c r="H736" s="2">
        <f>IF(B736="", "", "not provided")</f>
        <v>0</v>
      </c>
      <c r="I736" s="1">
        <f>IF(B736="", "", "meters")</f>
        <v>0</v>
      </c>
      <c r="T736" s="1">
        <f>IF(B736="", "", "Decimal degrees")</f>
        <v>0</v>
      </c>
      <c r="V736" s="1">
        <f>IF(B736="", "", "Decimal degrees")</f>
        <v>0</v>
      </c>
      <c r="Y736" s="1">
        <f>IF(B736="", "", "other")</f>
        <v>0</v>
      </c>
      <c r="AB736" s="1">
        <f>IF(B736="", "", "Not applicable")</f>
        <v>0</v>
      </c>
    </row>
    <row r="737" spans="1:28">
      <c r="A737">
        <f>IF(COUNTBLANK(B737:AC737)&lt;&gt;COLUMNS(B737:AC737),736,"")</f>
        <v>0</v>
      </c>
      <c r="H737" s="2">
        <f>IF(B737="", "", "not provided")</f>
        <v>0</v>
      </c>
      <c r="I737" s="1">
        <f>IF(B737="", "", "meters")</f>
        <v>0</v>
      </c>
      <c r="T737" s="1">
        <f>IF(B737="", "", "Decimal degrees")</f>
        <v>0</v>
      </c>
      <c r="V737" s="1">
        <f>IF(B737="", "", "Decimal degrees")</f>
        <v>0</v>
      </c>
      <c r="Y737" s="1">
        <f>IF(B737="", "", "other")</f>
        <v>0</v>
      </c>
      <c r="AB737" s="1">
        <f>IF(B737="", "", "Not applicable")</f>
        <v>0</v>
      </c>
    </row>
    <row r="738" spans="1:28">
      <c r="A738">
        <f>IF(COUNTBLANK(B738:AC738)&lt;&gt;COLUMNS(B738:AC738),737,"")</f>
        <v>0</v>
      </c>
      <c r="H738" s="2">
        <f>IF(B738="", "", "not provided")</f>
        <v>0</v>
      </c>
      <c r="I738" s="1">
        <f>IF(B738="", "", "meters")</f>
        <v>0</v>
      </c>
      <c r="T738" s="1">
        <f>IF(B738="", "", "Decimal degrees")</f>
        <v>0</v>
      </c>
      <c r="V738" s="1">
        <f>IF(B738="", "", "Decimal degrees")</f>
        <v>0</v>
      </c>
      <c r="Y738" s="1">
        <f>IF(B738="", "", "other")</f>
        <v>0</v>
      </c>
      <c r="AB738" s="1">
        <f>IF(B738="", "", "Not applicable")</f>
        <v>0</v>
      </c>
    </row>
    <row r="739" spans="1:28">
      <c r="A739">
        <f>IF(COUNTBLANK(B739:AC739)&lt;&gt;COLUMNS(B739:AC739),738,"")</f>
        <v>0</v>
      </c>
      <c r="H739" s="2">
        <f>IF(B739="", "", "not provided")</f>
        <v>0</v>
      </c>
      <c r="I739" s="1">
        <f>IF(B739="", "", "meters")</f>
        <v>0</v>
      </c>
      <c r="T739" s="1">
        <f>IF(B739="", "", "Decimal degrees")</f>
        <v>0</v>
      </c>
      <c r="V739" s="1">
        <f>IF(B739="", "", "Decimal degrees")</f>
        <v>0</v>
      </c>
      <c r="Y739" s="1">
        <f>IF(B739="", "", "other")</f>
        <v>0</v>
      </c>
      <c r="AB739" s="1">
        <f>IF(B739="", "", "Not applicable")</f>
        <v>0</v>
      </c>
    </row>
    <row r="740" spans="1:28">
      <c r="A740">
        <f>IF(COUNTBLANK(B740:AC740)&lt;&gt;COLUMNS(B740:AC740),739,"")</f>
        <v>0</v>
      </c>
      <c r="H740" s="2">
        <f>IF(B740="", "", "not provided")</f>
        <v>0</v>
      </c>
      <c r="I740" s="1">
        <f>IF(B740="", "", "meters")</f>
        <v>0</v>
      </c>
      <c r="T740" s="1">
        <f>IF(B740="", "", "Decimal degrees")</f>
        <v>0</v>
      </c>
      <c r="V740" s="1">
        <f>IF(B740="", "", "Decimal degrees")</f>
        <v>0</v>
      </c>
      <c r="Y740" s="1">
        <f>IF(B740="", "", "other")</f>
        <v>0</v>
      </c>
      <c r="AB740" s="1">
        <f>IF(B740="", "", "Not applicable")</f>
        <v>0</v>
      </c>
    </row>
    <row r="741" spans="1:28">
      <c r="A741">
        <f>IF(COUNTBLANK(B741:AC741)&lt;&gt;COLUMNS(B741:AC741),740,"")</f>
        <v>0</v>
      </c>
      <c r="H741" s="2">
        <f>IF(B741="", "", "not provided")</f>
        <v>0</v>
      </c>
      <c r="I741" s="1">
        <f>IF(B741="", "", "meters")</f>
        <v>0</v>
      </c>
      <c r="T741" s="1">
        <f>IF(B741="", "", "Decimal degrees")</f>
        <v>0</v>
      </c>
      <c r="V741" s="1">
        <f>IF(B741="", "", "Decimal degrees")</f>
        <v>0</v>
      </c>
      <c r="Y741" s="1">
        <f>IF(B741="", "", "other")</f>
        <v>0</v>
      </c>
      <c r="AB741" s="1">
        <f>IF(B741="", "", "Not applicable")</f>
        <v>0</v>
      </c>
    </row>
    <row r="742" spans="1:28">
      <c r="A742">
        <f>IF(COUNTBLANK(B742:AC742)&lt;&gt;COLUMNS(B742:AC742),741,"")</f>
        <v>0</v>
      </c>
      <c r="H742" s="2">
        <f>IF(B742="", "", "not provided")</f>
        <v>0</v>
      </c>
      <c r="I742" s="1">
        <f>IF(B742="", "", "meters")</f>
        <v>0</v>
      </c>
      <c r="T742" s="1">
        <f>IF(B742="", "", "Decimal degrees")</f>
        <v>0</v>
      </c>
      <c r="V742" s="1">
        <f>IF(B742="", "", "Decimal degrees")</f>
        <v>0</v>
      </c>
      <c r="Y742" s="1">
        <f>IF(B742="", "", "other")</f>
        <v>0</v>
      </c>
      <c r="AB742" s="1">
        <f>IF(B742="", "", "Not applicable")</f>
        <v>0</v>
      </c>
    </row>
    <row r="743" spans="1:28">
      <c r="A743">
        <f>IF(COUNTBLANK(B743:AC743)&lt;&gt;COLUMNS(B743:AC743),742,"")</f>
        <v>0</v>
      </c>
      <c r="H743" s="2">
        <f>IF(B743="", "", "not provided")</f>
        <v>0</v>
      </c>
      <c r="I743" s="1">
        <f>IF(B743="", "", "meters")</f>
        <v>0</v>
      </c>
      <c r="T743" s="1">
        <f>IF(B743="", "", "Decimal degrees")</f>
        <v>0</v>
      </c>
      <c r="V743" s="1">
        <f>IF(B743="", "", "Decimal degrees")</f>
        <v>0</v>
      </c>
      <c r="Y743" s="1">
        <f>IF(B743="", "", "other")</f>
        <v>0</v>
      </c>
      <c r="AB743" s="1">
        <f>IF(B743="", "", "Not applicable")</f>
        <v>0</v>
      </c>
    </row>
    <row r="744" spans="1:28">
      <c r="A744">
        <f>IF(COUNTBLANK(B744:AC744)&lt;&gt;COLUMNS(B744:AC744),743,"")</f>
        <v>0</v>
      </c>
      <c r="H744" s="2">
        <f>IF(B744="", "", "not provided")</f>
        <v>0</v>
      </c>
      <c r="I744" s="1">
        <f>IF(B744="", "", "meters")</f>
        <v>0</v>
      </c>
      <c r="T744" s="1">
        <f>IF(B744="", "", "Decimal degrees")</f>
        <v>0</v>
      </c>
      <c r="V744" s="1">
        <f>IF(B744="", "", "Decimal degrees")</f>
        <v>0</v>
      </c>
      <c r="Y744" s="1">
        <f>IF(B744="", "", "other")</f>
        <v>0</v>
      </c>
      <c r="AB744" s="1">
        <f>IF(B744="", "", "Not applicable")</f>
        <v>0</v>
      </c>
    </row>
    <row r="745" spans="1:28">
      <c r="A745">
        <f>IF(COUNTBLANK(B745:AC745)&lt;&gt;COLUMNS(B745:AC745),744,"")</f>
        <v>0</v>
      </c>
      <c r="H745" s="2">
        <f>IF(B745="", "", "not provided")</f>
        <v>0</v>
      </c>
      <c r="I745" s="1">
        <f>IF(B745="", "", "meters")</f>
        <v>0</v>
      </c>
      <c r="T745" s="1">
        <f>IF(B745="", "", "Decimal degrees")</f>
        <v>0</v>
      </c>
      <c r="V745" s="1">
        <f>IF(B745="", "", "Decimal degrees")</f>
        <v>0</v>
      </c>
      <c r="Y745" s="1">
        <f>IF(B745="", "", "other")</f>
        <v>0</v>
      </c>
      <c r="AB745" s="1">
        <f>IF(B745="", "", "Not applicable")</f>
        <v>0</v>
      </c>
    </row>
    <row r="746" spans="1:28">
      <c r="A746">
        <f>IF(COUNTBLANK(B746:AC746)&lt;&gt;COLUMNS(B746:AC746),745,"")</f>
        <v>0</v>
      </c>
      <c r="H746" s="2">
        <f>IF(B746="", "", "not provided")</f>
        <v>0</v>
      </c>
      <c r="I746" s="1">
        <f>IF(B746="", "", "meters")</f>
        <v>0</v>
      </c>
      <c r="T746" s="1">
        <f>IF(B746="", "", "Decimal degrees")</f>
        <v>0</v>
      </c>
      <c r="V746" s="1">
        <f>IF(B746="", "", "Decimal degrees")</f>
        <v>0</v>
      </c>
      <c r="Y746" s="1">
        <f>IF(B746="", "", "other")</f>
        <v>0</v>
      </c>
      <c r="AB746" s="1">
        <f>IF(B746="", "", "Not applicable")</f>
        <v>0</v>
      </c>
    </row>
    <row r="747" spans="1:28">
      <c r="A747">
        <f>IF(COUNTBLANK(B747:AC747)&lt;&gt;COLUMNS(B747:AC747),746,"")</f>
        <v>0</v>
      </c>
      <c r="H747" s="2">
        <f>IF(B747="", "", "not provided")</f>
        <v>0</v>
      </c>
      <c r="I747" s="1">
        <f>IF(B747="", "", "meters")</f>
        <v>0</v>
      </c>
      <c r="T747" s="1">
        <f>IF(B747="", "", "Decimal degrees")</f>
        <v>0</v>
      </c>
      <c r="V747" s="1">
        <f>IF(B747="", "", "Decimal degrees")</f>
        <v>0</v>
      </c>
      <c r="Y747" s="1">
        <f>IF(B747="", "", "other")</f>
        <v>0</v>
      </c>
      <c r="AB747" s="1">
        <f>IF(B747="", "", "Not applicable")</f>
        <v>0</v>
      </c>
    </row>
    <row r="748" spans="1:28">
      <c r="A748">
        <f>IF(COUNTBLANK(B748:AC748)&lt;&gt;COLUMNS(B748:AC748),747,"")</f>
        <v>0</v>
      </c>
      <c r="H748" s="2">
        <f>IF(B748="", "", "not provided")</f>
        <v>0</v>
      </c>
      <c r="I748" s="1">
        <f>IF(B748="", "", "meters")</f>
        <v>0</v>
      </c>
      <c r="T748" s="1">
        <f>IF(B748="", "", "Decimal degrees")</f>
        <v>0</v>
      </c>
      <c r="V748" s="1">
        <f>IF(B748="", "", "Decimal degrees")</f>
        <v>0</v>
      </c>
      <c r="Y748" s="1">
        <f>IF(B748="", "", "other")</f>
        <v>0</v>
      </c>
      <c r="AB748" s="1">
        <f>IF(B748="", "", "Not applicable")</f>
        <v>0</v>
      </c>
    </row>
    <row r="749" spans="1:28">
      <c r="A749">
        <f>IF(COUNTBLANK(B749:AC749)&lt;&gt;COLUMNS(B749:AC749),748,"")</f>
        <v>0</v>
      </c>
      <c r="H749" s="2">
        <f>IF(B749="", "", "not provided")</f>
        <v>0</v>
      </c>
      <c r="I749" s="1">
        <f>IF(B749="", "", "meters")</f>
        <v>0</v>
      </c>
      <c r="T749" s="1">
        <f>IF(B749="", "", "Decimal degrees")</f>
        <v>0</v>
      </c>
      <c r="V749" s="1">
        <f>IF(B749="", "", "Decimal degrees")</f>
        <v>0</v>
      </c>
      <c r="Y749" s="1">
        <f>IF(B749="", "", "other")</f>
        <v>0</v>
      </c>
      <c r="AB749" s="1">
        <f>IF(B749="", "", "Not applicable")</f>
        <v>0</v>
      </c>
    </row>
    <row r="750" spans="1:28">
      <c r="A750">
        <f>IF(COUNTBLANK(B750:AC750)&lt;&gt;COLUMNS(B750:AC750),749,"")</f>
        <v>0</v>
      </c>
      <c r="H750" s="2">
        <f>IF(B750="", "", "not provided")</f>
        <v>0</v>
      </c>
      <c r="I750" s="1">
        <f>IF(B750="", "", "meters")</f>
        <v>0</v>
      </c>
      <c r="T750" s="1">
        <f>IF(B750="", "", "Decimal degrees")</f>
        <v>0</v>
      </c>
      <c r="V750" s="1">
        <f>IF(B750="", "", "Decimal degrees")</f>
        <v>0</v>
      </c>
      <c r="Y750" s="1">
        <f>IF(B750="", "", "other")</f>
        <v>0</v>
      </c>
      <c r="AB750" s="1">
        <f>IF(B750="", "", "Not applicable")</f>
        <v>0</v>
      </c>
    </row>
    <row r="751" spans="1:28">
      <c r="A751">
        <f>IF(COUNTBLANK(B751:AC751)&lt;&gt;COLUMNS(B751:AC751),750,"")</f>
        <v>0</v>
      </c>
      <c r="H751" s="2">
        <f>IF(B751="", "", "not provided")</f>
        <v>0</v>
      </c>
      <c r="I751" s="1">
        <f>IF(B751="", "", "meters")</f>
        <v>0</v>
      </c>
      <c r="T751" s="1">
        <f>IF(B751="", "", "Decimal degrees")</f>
        <v>0</v>
      </c>
      <c r="V751" s="1">
        <f>IF(B751="", "", "Decimal degrees")</f>
        <v>0</v>
      </c>
      <c r="Y751" s="1">
        <f>IF(B751="", "", "other")</f>
        <v>0</v>
      </c>
      <c r="AB751" s="1">
        <f>IF(B751="", "", "Not applicable")</f>
        <v>0</v>
      </c>
    </row>
    <row r="752" spans="1:28">
      <c r="A752">
        <f>IF(COUNTBLANK(B752:AC752)&lt;&gt;COLUMNS(B752:AC752),751,"")</f>
        <v>0</v>
      </c>
      <c r="H752" s="2">
        <f>IF(B752="", "", "not provided")</f>
        <v>0</v>
      </c>
      <c r="I752" s="1">
        <f>IF(B752="", "", "meters")</f>
        <v>0</v>
      </c>
      <c r="T752" s="1">
        <f>IF(B752="", "", "Decimal degrees")</f>
        <v>0</v>
      </c>
      <c r="V752" s="1">
        <f>IF(B752="", "", "Decimal degrees")</f>
        <v>0</v>
      </c>
      <c r="Y752" s="1">
        <f>IF(B752="", "", "other")</f>
        <v>0</v>
      </c>
      <c r="AB752" s="1">
        <f>IF(B752="", "", "Not applicable")</f>
        <v>0</v>
      </c>
    </row>
    <row r="753" spans="1:28">
      <c r="A753">
        <f>IF(COUNTBLANK(B753:AC753)&lt;&gt;COLUMNS(B753:AC753),752,"")</f>
        <v>0</v>
      </c>
      <c r="H753" s="2">
        <f>IF(B753="", "", "not provided")</f>
        <v>0</v>
      </c>
      <c r="I753" s="1">
        <f>IF(B753="", "", "meters")</f>
        <v>0</v>
      </c>
      <c r="T753" s="1">
        <f>IF(B753="", "", "Decimal degrees")</f>
        <v>0</v>
      </c>
      <c r="V753" s="1">
        <f>IF(B753="", "", "Decimal degrees")</f>
        <v>0</v>
      </c>
      <c r="Y753" s="1">
        <f>IF(B753="", "", "other")</f>
        <v>0</v>
      </c>
      <c r="AB753" s="1">
        <f>IF(B753="", "", "Not applicable")</f>
        <v>0</v>
      </c>
    </row>
    <row r="754" spans="1:28">
      <c r="A754">
        <f>IF(COUNTBLANK(B754:AC754)&lt;&gt;COLUMNS(B754:AC754),753,"")</f>
        <v>0</v>
      </c>
      <c r="H754" s="2">
        <f>IF(B754="", "", "not provided")</f>
        <v>0</v>
      </c>
      <c r="I754" s="1">
        <f>IF(B754="", "", "meters")</f>
        <v>0</v>
      </c>
      <c r="T754" s="1">
        <f>IF(B754="", "", "Decimal degrees")</f>
        <v>0</v>
      </c>
      <c r="V754" s="1">
        <f>IF(B754="", "", "Decimal degrees")</f>
        <v>0</v>
      </c>
      <c r="Y754" s="1">
        <f>IF(B754="", "", "other")</f>
        <v>0</v>
      </c>
      <c r="AB754" s="1">
        <f>IF(B754="", "", "Not applicable")</f>
        <v>0</v>
      </c>
    </row>
    <row r="755" spans="1:28">
      <c r="A755">
        <f>IF(COUNTBLANK(B755:AC755)&lt;&gt;COLUMNS(B755:AC755),754,"")</f>
        <v>0</v>
      </c>
      <c r="H755" s="2">
        <f>IF(B755="", "", "not provided")</f>
        <v>0</v>
      </c>
      <c r="I755" s="1">
        <f>IF(B755="", "", "meters")</f>
        <v>0</v>
      </c>
      <c r="T755" s="1">
        <f>IF(B755="", "", "Decimal degrees")</f>
        <v>0</v>
      </c>
      <c r="V755" s="1">
        <f>IF(B755="", "", "Decimal degrees")</f>
        <v>0</v>
      </c>
      <c r="Y755" s="1">
        <f>IF(B755="", "", "other")</f>
        <v>0</v>
      </c>
      <c r="AB755" s="1">
        <f>IF(B755="", "", "Not applicable")</f>
        <v>0</v>
      </c>
    </row>
    <row r="756" spans="1:28">
      <c r="A756">
        <f>IF(COUNTBLANK(B756:AC756)&lt;&gt;COLUMNS(B756:AC756),755,"")</f>
        <v>0</v>
      </c>
      <c r="H756" s="2">
        <f>IF(B756="", "", "not provided")</f>
        <v>0</v>
      </c>
      <c r="I756" s="1">
        <f>IF(B756="", "", "meters")</f>
        <v>0</v>
      </c>
      <c r="T756" s="1">
        <f>IF(B756="", "", "Decimal degrees")</f>
        <v>0</v>
      </c>
      <c r="V756" s="1">
        <f>IF(B756="", "", "Decimal degrees")</f>
        <v>0</v>
      </c>
      <c r="Y756" s="1">
        <f>IF(B756="", "", "other")</f>
        <v>0</v>
      </c>
      <c r="AB756" s="1">
        <f>IF(B756="", "", "Not applicable")</f>
        <v>0</v>
      </c>
    </row>
    <row r="757" spans="1:28">
      <c r="A757">
        <f>IF(COUNTBLANK(B757:AC757)&lt;&gt;COLUMNS(B757:AC757),756,"")</f>
        <v>0</v>
      </c>
      <c r="H757" s="2">
        <f>IF(B757="", "", "not provided")</f>
        <v>0</v>
      </c>
      <c r="I757" s="1">
        <f>IF(B757="", "", "meters")</f>
        <v>0</v>
      </c>
      <c r="T757" s="1">
        <f>IF(B757="", "", "Decimal degrees")</f>
        <v>0</v>
      </c>
      <c r="V757" s="1">
        <f>IF(B757="", "", "Decimal degrees")</f>
        <v>0</v>
      </c>
      <c r="Y757" s="1">
        <f>IF(B757="", "", "other")</f>
        <v>0</v>
      </c>
      <c r="AB757" s="1">
        <f>IF(B757="", "", "Not applicable")</f>
        <v>0</v>
      </c>
    </row>
    <row r="758" spans="1:28">
      <c r="A758">
        <f>IF(COUNTBLANK(B758:AC758)&lt;&gt;COLUMNS(B758:AC758),757,"")</f>
        <v>0</v>
      </c>
      <c r="H758" s="2">
        <f>IF(B758="", "", "not provided")</f>
        <v>0</v>
      </c>
      <c r="I758" s="1">
        <f>IF(B758="", "", "meters")</f>
        <v>0</v>
      </c>
      <c r="T758" s="1">
        <f>IF(B758="", "", "Decimal degrees")</f>
        <v>0</v>
      </c>
      <c r="V758" s="1">
        <f>IF(B758="", "", "Decimal degrees")</f>
        <v>0</v>
      </c>
      <c r="Y758" s="1">
        <f>IF(B758="", "", "other")</f>
        <v>0</v>
      </c>
      <c r="AB758" s="1">
        <f>IF(B758="", "", "Not applicable")</f>
        <v>0</v>
      </c>
    </row>
    <row r="759" spans="1:28">
      <c r="A759">
        <f>IF(COUNTBLANK(B759:AC759)&lt;&gt;COLUMNS(B759:AC759),758,"")</f>
        <v>0</v>
      </c>
      <c r="H759" s="2">
        <f>IF(B759="", "", "not provided")</f>
        <v>0</v>
      </c>
      <c r="I759" s="1">
        <f>IF(B759="", "", "meters")</f>
        <v>0</v>
      </c>
      <c r="T759" s="1">
        <f>IF(B759="", "", "Decimal degrees")</f>
        <v>0</v>
      </c>
      <c r="V759" s="1">
        <f>IF(B759="", "", "Decimal degrees")</f>
        <v>0</v>
      </c>
      <c r="Y759" s="1">
        <f>IF(B759="", "", "other")</f>
        <v>0</v>
      </c>
      <c r="AB759" s="1">
        <f>IF(B759="", "", "Not applicable")</f>
        <v>0</v>
      </c>
    </row>
    <row r="760" spans="1:28">
      <c r="A760">
        <f>IF(COUNTBLANK(B760:AC760)&lt;&gt;COLUMNS(B760:AC760),759,"")</f>
        <v>0</v>
      </c>
      <c r="H760" s="2">
        <f>IF(B760="", "", "not provided")</f>
        <v>0</v>
      </c>
      <c r="I760" s="1">
        <f>IF(B760="", "", "meters")</f>
        <v>0</v>
      </c>
      <c r="T760" s="1">
        <f>IF(B760="", "", "Decimal degrees")</f>
        <v>0</v>
      </c>
      <c r="V760" s="1">
        <f>IF(B760="", "", "Decimal degrees")</f>
        <v>0</v>
      </c>
      <c r="Y760" s="1">
        <f>IF(B760="", "", "other")</f>
        <v>0</v>
      </c>
      <c r="AB760" s="1">
        <f>IF(B760="", "", "Not applicable")</f>
        <v>0</v>
      </c>
    </row>
    <row r="761" spans="1:28">
      <c r="A761">
        <f>IF(COUNTBLANK(B761:AC761)&lt;&gt;COLUMNS(B761:AC761),760,"")</f>
        <v>0</v>
      </c>
      <c r="H761" s="2">
        <f>IF(B761="", "", "not provided")</f>
        <v>0</v>
      </c>
      <c r="I761" s="1">
        <f>IF(B761="", "", "meters")</f>
        <v>0</v>
      </c>
      <c r="T761" s="1">
        <f>IF(B761="", "", "Decimal degrees")</f>
        <v>0</v>
      </c>
      <c r="V761" s="1">
        <f>IF(B761="", "", "Decimal degrees")</f>
        <v>0</v>
      </c>
      <c r="Y761" s="1">
        <f>IF(B761="", "", "other")</f>
        <v>0</v>
      </c>
      <c r="AB761" s="1">
        <f>IF(B761="", "", "Not applicable")</f>
        <v>0</v>
      </c>
    </row>
    <row r="762" spans="1:28">
      <c r="A762">
        <f>IF(COUNTBLANK(B762:AC762)&lt;&gt;COLUMNS(B762:AC762),761,"")</f>
        <v>0</v>
      </c>
      <c r="H762" s="2">
        <f>IF(B762="", "", "not provided")</f>
        <v>0</v>
      </c>
      <c r="I762" s="1">
        <f>IF(B762="", "", "meters")</f>
        <v>0</v>
      </c>
      <c r="T762" s="1">
        <f>IF(B762="", "", "Decimal degrees")</f>
        <v>0</v>
      </c>
      <c r="V762" s="1">
        <f>IF(B762="", "", "Decimal degrees")</f>
        <v>0</v>
      </c>
      <c r="Y762" s="1">
        <f>IF(B762="", "", "other")</f>
        <v>0</v>
      </c>
      <c r="AB762" s="1">
        <f>IF(B762="", "", "Not applicable")</f>
        <v>0</v>
      </c>
    </row>
    <row r="763" spans="1:28">
      <c r="A763">
        <f>IF(COUNTBLANK(B763:AC763)&lt;&gt;COLUMNS(B763:AC763),762,"")</f>
        <v>0</v>
      </c>
      <c r="H763" s="2">
        <f>IF(B763="", "", "not provided")</f>
        <v>0</v>
      </c>
      <c r="I763" s="1">
        <f>IF(B763="", "", "meters")</f>
        <v>0</v>
      </c>
      <c r="T763" s="1">
        <f>IF(B763="", "", "Decimal degrees")</f>
        <v>0</v>
      </c>
      <c r="V763" s="1">
        <f>IF(B763="", "", "Decimal degrees")</f>
        <v>0</v>
      </c>
      <c r="Y763" s="1">
        <f>IF(B763="", "", "other")</f>
        <v>0</v>
      </c>
      <c r="AB763" s="1">
        <f>IF(B763="", "", "Not applicable")</f>
        <v>0</v>
      </c>
    </row>
    <row r="764" spans="1:28">
      <c r="A764">
        <f>IF(COUNTBLANK(B764:AC764)&lt;&gt;COLUMNS(B764:AC764),763,"")</f>
        <v>0</v>
      </c>
      <c r="H764" s="2">
        <f>IF(B764="", "", "not provided")</f>
        <v>0</v>
      </c>
      <c r="I764" s="1">
        <f>IF(B764="", "", "meters")</f>
        <v>0</v>
      </c>
      <c r="T764" s="1">
        <f>IF(B764="", "", "Decimal degrees")</f>
        <v>0</v>
      </c>
      <c r="V764" s="1">
        <f>IF(B764="", "", "Decimal degrees")</f>
        <v>0</v>
      </c>
      <c r="Y764" s="1">
        <f>IF(B764="", "", "other")</f>
        <v>0</v>
      </c>
      <c r="AB764" s="1">
        <f>IF(B764="", "", "Not applicable")</f>
        <v>0</v>
      </c>
    </row>
    <row r="765" spans="1:28">
      <c r="A765">
        <f>IF(COUNTBLANK(B765:AC765)&lt;&gt;COLUMNS(B765:AC765),764,"")</f>
        <v>0</v>
      </c>
      <c r="H765" s="2">
        <f>IF(B765="", "", "not provided")</f>
        <v>0</v>
      </c>
      <c r="I765" s="1">
        <f>IF(B765="", "", "meters")</f>
        <v>0</v>
      </c>
      <c r="T765" s="1">
        <f>IF(B765="", "", "Decimal degrees")</f>
        <v>0</v>
      </c>
      <c r="V765" s="1">
        <f>IF(B765="", "", "Decimal degrees")</f>
        <v>0</v>
      </c>
      <c r="Y765" s="1">
        <f>IF(B765="", "", "other")</f>
        <v>0</v>
      </c>
      <c r="AB765" s="1">
        <f>IF(B765="", "", "Not applicable")</f>
        <v>0</v>
      </c>
    </row>
    <row r="766" spans="1:28">
      <c r="A766">
        <f>IF(COUNTBLANK(B766:AC766)&lt;&gt;COLUMNS(B766:AC766),765,"")</f>
        <v>0</v>
      </c>
      <c r="H766" s="2">
        <f>IF(B766="", "", "not provided")</f>
        <v>0</v>
      </c>
      <c r="I766" s="1">
        <f>IF(B766="", "", "meters")</f>
        <v>0</v>
      </c>
      <c r="T766" s="1">
        <f>IF(B766="", "", "Decimal degrees")</f>
        <v>0</v>
      </c>
      <c r="V766" s="1">
        <f>IF(B766="", "", "Decimal degrees")</f>
        <v>0</v>
      </c>
      <c r="Y766" s="1">
        <f>IF(B766="", "", "other")</f>
        <v>0</v>
      </c>
      <c r="AB766" s="1">
        <f>IF(B766="", "", "Not applicable")</f>
        <v>0</v>
      </c>
    </row>
    <row r="767" spans="1:28">
      <c r="A767">
        <f>IF(COUNTBLANK(B767:AC767)&lt;&gt;COLUMNS(B767:AC767),766,"")</f>
        <v>0</v>
      </c>
      <c r="H767" s="2">
        <f>IF(B767="", "", "not provided")</f>
        <v>0</v>
      </c>
      <c r="I767" s="1">
        <f>IF(B767="", "", "meters")</f>
        <v>0</v>
      </c>
      <c r="T767" s="1">
        <f>IF(B767="", "", "Decimal degrees")</f>
        <v>0</v>
      </c>
      <c r="V767" s="1">
        <f>IF(B767="", "", "Decimal degrees")</f>
        <v>0</v>
      </c>
      <c r="Y767" s="1">
        <f>IF(B767="", "", "other")</f>
        <v>0</v>
      </c>
      <c r="AB767" s="1">
        <f>IF(B767="", "", "Not applicable")</f>
        <v>0</v>
      </c>
    </row>
    <row r="768" spans="1:28">
      <c r="A768">
        <f>IF(COUNTBLANK(B768:AC768)&lt;&gt;COLUMNS(B768:AC768),767,"")</f>
        <v>0</v>
      </c>
      <c r="H768" s="2">
        <f>IF(B768="", "", "not provided")</f>
        <v>0</v>
      </c>
      <c r="I768" s="1">
        <f>IF(B768="", "", "meters")</f>
        <v>0</v>
      </c>
      <c r="T768" s="1">
        <f>IF(B768="", "", "Decimal degrees")</f>
        <v>0</v>
      </c>
      <c r="V768" s="1">
        <f>IF(B768="", "", "Decimal degrees")</f>
        <v>0</v>
      </c>
      <c r="Y768" s="1">
        <f>IF(B768="", "", "other")</f>
        <v>0</v>
      </c>
      <c r="AB768" s="1">
        <f>IF(B768="", "", "Not applicable")</f>
        <v>0</v>
      </c>
    </row>
    <row r="769" spans="1:28">
      <c r="A769">
        <f>IF(COUNTBLANK(B769:AC769)&lt;&gt;COLUMNS(B769:AC769),768,"")</f>
        <v>0</v>
      </c>
      <c r="H769" s="2">
        <f>IF(B769="", "", "not provided")</f>
        <v>0</v>
      </c>
      <c r="I769" s="1">
        <f>IF(B769="", "", "meters")</f>
        <v>0</v>
      </c>
      <c r="T769" s="1">
        <f>IF(B769="", "", "Decimal degrees")</f>
        <v>0</v>
      </c>
      <c r="V769" s="1">
        <f>IF(B769="", "", "Decimal degrees")</f>
        <v>0</v>
      </c>
      <c r="Y769" s="1">
        <f>IF(B769="", "", "other")</f>
        <v>0</v>
      </c>
      <c r="AB769" s="1">
        <f>IF(B769="", "", "Not applicable")</f>
        <v>0</v>
      </c>
    </row>
    <row r="770" spans="1:28">
      <c r="A770">
        <f>IF(COUNTBLANK(B770:AC770)&lt;&gt;COLUMNS(B770:AC770),769,"")</f>
        <v>0</v>
      </c>
      <c r="H770" s="2">
        <f>IF(B770="", "", "not provided")</f>
        <v>0</v>
      </c>
      <c r="I770" s="1">
        <f>IF(B770="", "", "meters")</f>
        <v>0</v>
      </c>
      <c r="T770" s="1">
        <f>IF(B770="", "", "Decimal degrees")</f>
        <v>0</v>
      </c>
      <c r="V770" s="1">
        <f>IF(B770="", "", "Decimal degrees")</f>
        <v>0</v>
      </c>
      <c r="Y770" s="1">
        <f>IF(B770="", "", "other")</f>
        <v>0</v>
      </c>
      <c r="AB770" s="1">
        <f>IF(B770="", "", "Not applicable")</f>
        <v>0</v>
      </c>
    </row>
    <row r="771" spans="1:28">
      <c r="A771">
        <f>IF(COUNTBLANK(B771:AC771)&lt;&gt;COLUMNS(B771:AC771),770,"")</f>
        <v>0</v>
      </c>
      <c r="H771" s="2">
        <f>IF(B771="", "", "not provided")</f>
        <v>0</v>
      </c>
      <c r="I771" s="1">
        <f>IF(B771="", "", "meters")</f>
        <v>0</v>
      </c>
      <c r="T771" s="1">
        <f>IF(B771="", "", "Decimal degrees")</f>
        <v>0</v>
      </c>
      <c r="V771" s="1">
        <f>IF(B771="", "", "Decimal degrees")</f>
        <v>0</v>
      </c>
      <c r="Y771" s="1">
        <f>IF(B771="", "", "other")</f>
        <v>0</v>
      </c>
      <c r="AB771" s="1">
        <f>IF(B771="", "", "Not applicable")</f>
        <v>0</v>
      </c>
    </row>
    <row r="772" spans="1:28">
      <c r="A772">
        <f>IF(COUNTBLANK(B772:AC772)&lt;&gt;COLUMNS(B772:AC772),771,"")</f>
        <v>0</v>
      </c>
      <c r="H772" s="2">
        <f>IF(B772="", "", "not provided")</f>
        <v>0</v>
      </c>
      <c r="I772" s="1">
        <f>IF(B772="", "", "meters")</f>
        <v>0</v>
      </c>
      <c r="T772" s="1">
        <f>IF(B772="", "", "Decimal degrees")</f>
        <v>0</v>
      </c>
      <c r="V772" s="1">
        <f>IF(B772="", "", "Decimal degrees")</f>
        <v>0</v>
      </c>
      <c r="Y772" s="1">
        <f>IF(B772="", "", "other")</f>
        <v>0</v>
      </c>
      <c r="AB772" s="1">
        <f>IF(B772="", "", "Not applicable")</f>
        <v>0</v>
      </c>
    </row>
    <row r="773" spans="1:28">
      <c r="A773">
        <f>IF(COUNTBLANK(B773:AC773)&lt;&gt;COLUMNS(B773:AC773),772,"")</f>
        <v>0</v>
      </c>
      <c r="H773" s="2">
        <f>IF(B773="", "", "not provided")</f>
        <v>0</v>
      </c>
      <c r="I773" s="1">
        <f>IF(B773="", "", "meters")</f>
        <v>0</v>
      </c>
      <c r="T773" s="1">
        <f>IF(B773="", "", "Decimal degrees")</f>
        <v>0</v>
      </c>
      <c r="V773" s="1">
        <f>IF(B773="", "", "Decimal degrees")</f>
        <v>0</v>
      </c>
      <c r="Y773" s="1">
        <f>IF(B773="", "", "other")</f>
        <v>0</v>
      </c>
      <c r="AB773" s="1">
        <f>IF(B773="", "", "Not applicable")</f>
        <v>0</v>
      </c>
    </row>
    <row r="774" spans="1:28">
      <c r="A774">
        <f>IF(COUNTBLANK(B774:AC774)&lt;&gt;COLUMNS(B774:AC774),773,"")</f>
        <v>0</v>
      </c>
      <c r="H774" s="2">
        <f>IF(B774="", "", "not provided")</f>
        <v>0</v>
      </c>
      <c r="I774" s="1">
        <f>IF(B774="", "", "meters")</f>
        <v>0</v>
      </c>
      <c r="T774" s="1">
        <f>IF(B774="", "", "Decimal degrees")</f>
        <v>0</v>
      </c>
      <c r="V774" s="1">
        <f>IF(B774="", "", "Decimal degrees")</f>
        <v>0</v>
      </c>
      <c r="Y774" s="1">
        <f>IF(B774="", "", "other")</f>
        <v>0</v>
      </c>
      <c r="AB774" s="1">
        <f>IF(B774="", "", "Not applicable")</f>
        <v>0</v>
      </c>
    </row>
    <row r="775" spans="1:28">
      <c r="A775">
        <f>IF(COUNTBLANK(B775:AC775)&lt;&gt;COLUMNS(B775:AC775),774,"")</f>
        <v>0</v>
      </c>
      <c r="H775" s="2">
        <f>IF(B775="", "", "not provided")</f>
        <v>0</v>
      </c>
      <c r="I775" s="1">
        <f>IF(B775="", "", "meters")</f>
        <v>0</v>
      </c>
      <c r="T775" s="1">
        <f>IF(B775="", "", "Decimal degrees")</f>
        <v>0</v>
      </c>
      <c r="V775" s="1">
        <f>IF(B775="", "", "Decimal degrees")</f>
        <v>0</v>
      </c>
      <c r="Y775" s="1">
        <f>IF(B775="", "", "other")</f>
        <v>0</v>
      </c>
      <c r="AB775" s="1">
        <f>IF(B775="", "", "Not applicable")</f>
        <v>0</v>
      </c>
    </row>
    <row r="776" spans="1:28">
      <c r="A776">
        <f>IF(COUNTBLANK(B776:AC776)&lt;&gt;COLUMNS(B776:AC776),775,"")</f>
        <v>0</v>
      </c>
      <c r="H776" s="2">
        <f>IF(B776="", "", "not provided")</f>
        <v>0</v>
      </c>
      <c r="I776" s="1">
        <f>IF(B776="", "", "meters")</f>
        <v>0</v>
      </c>
      <c r="T776" s="1">
        <f>IF(B776="", "", "Decimal degrees")</f>
        <v>0</v>
      </c>
      <c r="V776" s="1">
        <f>IF(B776="", "", "Decimal degrees")</f>
        <v>0</v>
      </c>
      <c r="Y776" s="1">
        <f>IF(B776="", "", "other")</f>
        <v>0</v>
      </c>
      <c r="AB776" s="1">
        <f>IF(B776="", "", "Not applicable")</f>
        <v>0</v>
      </c>
    </row>
    <row r="777" spans="1:28">
      <c r="A777">
        <f>IF(COUNTBLANK(B777:AC777)&lt;&gt;COLUMNS(B777:AC777),776,"")</f>
        <v>0</v>
      </c>
      <c r="H777" s="2">
        <f>IF(B777="", "", "not provided")</f>
        <v>0</v>
      </c>
      <c r="I777" s="1">
        <f>IF(B777="", "", "meters")</f>
        <v>0</v>
      </c>
      <c r="T777" s="1">
        <f>IF(B777="", "", "Decimal degrees")</f>
        <v>0</v>
      </c>
      <c r="V777" s="1">
        <f>IF(B777="", "", "Decimal degrees")</f>
        <v>0</v>
      </c>
      <c r="Y777" s="1">
        <f>IF(B777="", "", "other")</f>
        <v>0</v>
      </c>
      <c r="AB777" s="1">
        <f>IF(B777="", "", "Not applicable")</f>
        <v>0</v>
      </c>
    </row>
    <row r="778" spans="1:28">
      <c r="A778">
        <f>IF(COUNTBLANK(B778:AC778)&lt;&gt;COLUMNS(B778:AC778),777,"")</f>
        <v>0</v>
      </c>
      <c r="H778" s="2">
        <f>IF(B778="", "", "not provided")</f>
        <v>0</v>
      </c>
      <c r="I778" s="1">
        <f>IF(B778="", "", "meters")</f>
        <v>0</v>
      </c>
      <c r="T778" s="1">
        <f>IF(B778="", "", "Decimal degrees")</f>
        <v>0</v>
      </c>
      <c r="V778" s="1">
        <f>IF(B778="", "", "Decimal degrees")</f>
        <v>0</v>
      </c>
      <c r="Y778" s="1">
        <f>IF(B778="", "", "other")</f>
        <v>0</v>
      </c>
      <c r="AB778" s="1">
        <f>IF(B778="", "", "Not applicable")</f>
        <v>0</v>
      </c>
    </row>
    <row r="779" spans="1:28">
      <c r="A779">
        <f>IF(COUNTBLANK(B779:AC779)&lt;&gt;COLUMNS(B779:AC779),778,"")</f>
        <v>0</v>
      </c>
      <c r="H779" s="2">
        <f>IF(B779="", "", "not provided")</f>
        <v>0</v>
      </c>
      <c r="I779" s="1">
        <f>IF(B779="", "", "meters")</f>
        <v>0</v>
      </c>
      <c r="T779" s="1">
        <f>IF(B779="", "", "Decimal degrees")</f>
        <v>0</v>
      </c>
      <c r="V779" s="1">
        <f>IF(B779="", "", "Decimal degrees")</f>
        <v>0</v>
      </c>
      <c r="Y779" s="1">
        <f>IF(B779="", "", "other")</f>
        <v>0</v>
      </c>
      <c r="AB779" s="1">
        <f>IF(B779="", "", "Not applicable")</f>
        <v>0</v>
      </c>
    </row>
    <row r="780" spans="1:28">
      <c r="A780">
        <f>IF(COUNTBLANK(B780:AC780)&lt;&gt;COLUMNS(B780:AC780),779,"")</f>
        <v>0</v>
      </c>
      <c r="H780" s="2">
        <f>IF(B780="", "", "not provided")</f>
        <v>0</v>
      </c>
      <c r="I780" s="1">
        <f>IF(B780="", "", "meters")</f>
        <v>0</v>
      </c>
      <c r="T780" s="1">
        <f>IF(B780="", "", "Decimal degrees")</f>
        <v>0</v>
      </c>
      <c r="V780" s="1">
        <f>IF(B780="", "", "Decimal degrees")</f>
        <v>0</v>
      </c>
      <c r="Y780" s="1">
        <f>IF(B780="", "", "other")</f>
        <v>0</v>
      </c>
      <c r="AB780" s="1">
        <f>IF(B780="", "", "Not applicable")</f>
        <v>0</v>
      </c>
    </row>
    <row r="781" spans="1:28">
      <c r="A781">
        <f>IF(COUNTBLANK(B781:AC781)&lt;&gt;COLUMNS(B781:AC781),780,"")</f>
        <v>0</v>
      </c>
      <c r="H781" s="2">
        <f>IF(B781="", "", "not provided")</f>
        <v>0</v>
      </c>
      <c r="I781" s="1">
        <f>IF(B781="", "", "meters")</f>
        <v>0</v>
      </c>
      <c r="T781" s="1">
        <f>IF(B781="", "", "Decimal degrees")</f>
        <v>0</v>
      </c>
      <c r="V781" s="1">
        <f>IF(B781="", "", "Decimal degrees")</f>
        <v>0</v>
      </c>
      <c r="Y781" s="1">
        <f>IF(B781="", "", "other")</f>
        <v>0</v>
      </c>
      <c r="AB781" s="1">
        <f>IF(B781="", "", "Not applicable")</f>
        <v>0</v>
      </c>
    </row>
    <row r="782" spans="1:28">
      <c r="A782">
        <f>IF(COUNTBLANK(B782:AC782)&lt;&gt;COLUMNS(B782:AC782),781,"")</f>
        <v>0</v>
      </c>
      <c r="H782" s="2">
        <f>IF(B782="", "", "not provided")</f>
        <v>0</v>
      </c>
      <c r="I782" s="1">
        <f>IF(B782="", "", "meters")</f>
        <v>0</v>
      </c>
      <c r="T782" s="1">
        <f>IF(B782="", "", "Decimal degrees")</f>
        <v>0</v>
      </c>
      <c r="V782" s="1">
        <f>IF(B782="", "", "Decimal degrees")</f>
        <v>0</v>
      </c>
      <c r="Y782" s="1">
        <f>IF(B782="", "", "other")</f>
        <v>0</v>
      </c>
      <c r="AB782" s="1">
        <f>IF(B782="", "", "Not applicable")</f>
        <v>0</v>
      </c>
    </row>
    <row r="783" spans="1:28">
      <c r="A783">
        <f>IF(COUNTBLANK(B783:AC783)&lt;&gt;COLUMNS(B783:AC783),782,"")</f>
        <v>0</v>
      </c>
      <c r="H783" s="2">
        <f>IF(B783="", "", "not provided")</f>
        <v>0</v>
      </c>
      <c r="I783" s="1">
        <f>IF(B783="", "", "meters")</f>
        <v>0</v>
      </c>
      <c r="T783" s="1">
        <f>IF(B783="", "", "Decimal degrees")</f>
        <v>0</v>
      </c>
      <c r="V783" s="1">
        <f>IF(B783="", "", "Decimal degrees")</f>
        <v>0</v>
      </c>
      <c r="Y783" s="1">
        <f>IF(B783="", "", "other")</f>
        <v>0</v>
      </c>
      <c r="AB783" s="1">
        <f>IF(B783="", "", "Not applicable")</f>
        <v>0</v>
      </c>
    </row>
    <row r="784" spans="1:28">
      <c r="A784">
        <f>IF(COUNTBLANK(B784:AC784)&lt;&gt;COLUMNS(B784:AC784),783,"")</f>
        <v>0</v>
      </c>
      <c r="H784" s="2">
        <f>IF(B784="", "", "not provided")</f>
        <v>0</v>
      </c>
      <c r="I784" s="1">
        <f>IF(B784="", "", "meters")</f>
        <v>0</v>
      </c>
      <c r="T784" s="1">
        <f>IF(B784="", "", "Decimal degrees")</f>
        <v>0</v>
      </c>
      <c r="V784" s="1">
        <f>IF(B784="", "", "Decimal degrees")</f>
        <v>0</v>
      </c>
      <c r="Y784" s="1">
        <f>IF(B784="", "", "other")</f>
        <v>0</v>
      </c>
      <c r="AB784" s="1">
        <f>IF(B784="", "", "Not applicable")</f>
        <v>0</v>
      </c>
    </row>
    <row r="785" spans="1:28">
      <c r="A785">
        <f>IF(COUNTBLANK(B785:AC785)&lt;&gt;COLUMNS(B785:AC785),784,"")</f>
        <v>0</v>
      </c>
      <c r="H785" s="2">
        <f>IF(B785="", "", "not provided")</f>
        <v>0</v>
      </c>
      <c r="I785" s="1">
        <f>IF(B785="", "", "meters")</f>
        <v>0</v>
      </c>
      <c r="T785" s="1">
        <f>IF(B785="", "", "Decimal degrees")</f>
        <v>0</v>
      </c>
      <c r="V785" s="1">
        <f>IF(B785="", "", "Decimal degrees")</f>
        <v>0</v>
      </c>
      <c r="Y785" s="1">
        <f>IF(B785="", "", "other")</f>
        <v>0</v>
      </c>
      <c r="AB785" s="1">
        <f>IF(B785="", "", "Not applicable")</f>
        <v>0</v>
      </c>
    </row>
    <row r="786" spans="1:28">
      <c r="A786">
        <f>IF(COUNTBLANK(B786:AC786)&lt;&gt;COLUMNS(B786:AC786),785,"")</f>
        <v>0</v>
      </c>
      <c r="H786" s="2">
        <f>IF(B786="", "", "not provided")</f>
        <v>0</v>
      </c>
      <c r="I786" s="1">
        <f>IF(B786="", "", "meters")</f>
        <v>0</v>
      </c>
      <c r="T786" s="1">
        <f>IF(B786="", "", "Decimal degrees")</f>
        <v>0</v>
      </c>
      <c r="V786" s="1">
        <f>IF(B786="", "", "Decimal degrees")</f>
        <v>0</v>
      </c>
      <c r="Y786" s="1">
        <f>IF(B786="", "", "other")</f>
        <v>0</v>
      </c>
      <c r="AB786" s="1">
        <f>IF(B786="", "", "Not applicable")</f>
        <v>0</v>
      </c>
    </row>
    <row r="787" spans="1:28">
      <c r="A787">
        <f>IF(COUNTBLANK(B787:AC787)&lt;&gt;COLUMNS(B787:AC787),786,"")</f>
        <v>0</v>
      </c>
      <c r="H787" s="2">
        <f>IF(B787="", "", "not provided")</f>
        <v>0</v>
      </c>
      <c r="I787" s="1">
        <f>IF(B787="", "", "meters")</f>
        <v>0</v>
      </c>
      <c r="T787" s="1">
        <f>IF(B787="", "", "Decimal degrees")</f>
        <v>0</v>
      </c>
      <c r="V787" s="1">
        <f>IF(B787="", "", "Decimal degrees")</f>
        <v>0</v>
      </c>
      <c r="Y787" s="1">
        <f>IF(B787="", "", "other")</f>
        <v>0</v>
      </c>
      <c r="AB787" s="1">
        <f>IF(B787="", "", "Not applicable")</f>
        <v>0</v>
      </c>
    </row>
    <row r="788" spans="1:28">
      <c r="A788">
        <f>IF(COUNTBLANK(B788:AC788)&lt;&gt;COLUMNS(B788:AC788),787,"")</f>
        <v>0</v>
      </c>
      <c r="H788" s="2">
        <f>IF(B788="", "", "not provided")</f>
        <v>0</v>
      </c>
      <c r="I788" s="1">
        <f>IF(B788="", "", "meters")</f>
        <v>0</v>
      </c>
      <c r="T788" s="1">
        <f>IF(B788="", "", "Decimal degrees")</f>
        <v>0</v>
      </c>
      <c r="V788" s="1">
        <f>IF(B788="", "", "Decimal degrees")</f>
        <v>0</v>
      </c>
      <c r="Y788" s="1">
        <f>IF(B788="", "", "other")</f>
        <v>0</v>
      </c>
      <c r="AB788" s="1">
        <f>IF(B788="", "", "Not applicable")</f>
        <v>0</v>
      </c>
    </row>
    <row r="789" spans="1:28">
      <c r="A789">
        <f>IF(COUNTBLANK(B789:AC789)&lt;&gt;COLUMNS(B789:AC789),788,"")</f>
        <v>0</v>
      </c>
      <c r="H789" s="2">
        <f>IF(B789="", "", "not provided")</f>
        <v>0</v>
      </c>
      <c r="I789" s="1">
        <f>IF(B789="", "", "meters")</f>
        <v>0</v>
      </c>
      <c r="T789" s="1">
        <f>IF(B789="", "", "Decimal degrees")</f>
        <v>0</v>
      </c>
      <c r="V789" s="1">
        <f>IF(B789="", "", "Decimal degrees")</f>
        <v>0</v>
      </c>
      <c r="Y789" s="1">
        <f>IF(B789="", "", "other")</f>
        <v>0</v>
      </c>
      <c r="AB789" s="1">
        <f>IF(B789="", "", "Not applicable")</f>
        <v>0</v>
      </c>
    </row>
    <row r="790" spans="1:28">
      <c r="A790">
        <f>IF(COUNTBLANK(B790:AC790)&lt;&gt;COLUMNS(B790:AC790),789,"")</f>
        <v>0</v>
      </c>
      <c r="H790" s="2">
        <f>IF(B790="", "", "not provided")</f>
        <v>0</v>
      </c>
      <c r="I790" s="1">
        <f>IF(B790="", "", "meters")</f>
        <v>0</v>
      </c>
      <c r="T790" s="1">
        <f>IF(B790="", "", "Decimal degrees")</f>
        <v>0</v>
      </c>
      <c r="V790" s="1">
        <f>IF(B790="", "", "Decimal degrees")</f>
        <v>0</v>
      </c>
      <c r="Y790" s="1">
        <f>IF(B790="", "", "other")</f>
        <v>0</v>
      </c>
      <c r="AB790" s="1">
        <f>IF(B790="", "", "Not applicable")</f>
        <v>0</v>
      </c>
    </row>
    <row r="791" spans="1:28">
      <c r="A791">
        <f>IF(COUNTBLANK(B791:AC791)&lt;&gt;COLUMNS(B791:AC791),790,"")</f>
        <v>0</v>
      </c>
      <c r="H791" s="2">
        <f>IF(B791="", "", "not provided")</f>
        <v>0</v>
      </c>
      <c r="I791" s="1">
        <f>IF(B791="", "", "meters")</f>
        <v>0</v>
      </c>
      <c r="T791" s="1">
        <f>IF(B791="", "", "Decimal degrees")</f>
        <v>0</v>
      </c>
      <c r="V791" s="1">
        <f>IF(B791="", "", "Decimal degrees")</f>
        <v>0</v>
      </c>
      <c r="Y791" s="1">
        <f>IF(B791="", "", "other")</f>
        <v>0</v>
      </c>
      <c r="AB791" s="1">
        <f>IF(B791="", "", "Not applicable")</f>
        <v>0</v>
      </c>
    </row>
    <row r="792" spans="1:28">
      <c r="A792">
        <f>IF(COUNTBLANK(B792:AC792)&lt;&gt;COLUMNS(B792:AC792),791,"")</f>
        <v>0</v>
      </c>
      <c r="H792" s="2">
        <f>IF(B792="", "", "not provided")</f>
        <v>0</v>
      </c>
      <c r="I792" s="1">
        <f>IF(B792="", "", "meters")</f>
        <v>0</v>
      </c>
      <c r="T792" s="1">
        <f>IF(B792="", "", "Decimal degrees")</f>
        <v>0</v>
      </c>
      <c r="V792" s="1">
        <f>IF(B792="", "", "Decimal degrees")</f>
        <v>0</v>
      </c>
      <c r="Y792" s="1">
        <f>IF(B792="", "", "other")</f>
        <v>0</v>
      </c>
      <c r="AB792" s="1">
        <f>IF(B792="", "", "Not applicable")</f>
        <v>0</v>
      </c>
    </row>
    <row r="793" spans="1:28">
      <c r="A793">
        <f>IF(COUNTBLANK(B793:AC793)&lt;&gt;COLUMNS(B793:AC793),792,"")</f>
        <v>0</v>
      </c>
      <c r="H793" s="2">
        <f>IF(B793="", "", "not provided")</f>
        <v>0</v>
      </c>
      <c r="I793" s="1">
        <f>IF(B793="", "", "meters")</f>
        <v>0</v>
      </c>
      <c r="T793" s="1">
        <f>IF(B793="", "", "Decimal degrees")</f>
        <v>0</v>
      </c>
      <c r="V793" s="1">
        <f>IF(B793="", "", "Decimal degrees")</f>
        <v>0</v>
      </c>
      <c r="Y793" s="1">
        <f>IF(B793="", "", "other")</f>
        <v>0</v>
      </c>
      <c r="AB793" s="1">
        <f>IF(B793="", "", "Not applicable")</f>
        <v>0</v>
      </c>
    </row>
    <row r="794" spans="1:28">
      <c r="A794">
        <f>IF(COUNTBLANK(B794:AC794)&lt;&gt;COLUMNS(B794:AC794),793,"")</f>
        <v>0</v>
      </c>
      <c r="H794" s="2">
        <f>IF(B794="", "", "not provided")</f>
        <v>0</v>
      </c>
      <c r="I794" s="1">
        <f>IF(B794="", "", "meters")</f>
        <v>0</v>
      </c>
      <c r="T794" s="1">
        <f>IF(B794="", "", "Decimal degrees")</f>
        <v>0</v>
      </c>
      <c r="V794" s="1">
        <f>IF(B794="", "", "Decimal degrees")</f>
        <v>0</v>
      </c>
      <c r="Y794" s="1">
        <f>IF(B794="", "", "other")</f>
        <v>0</v>
      </c>
      <c r="AB794" s="1">
        <f>IF(B794="", "", "Not applicable")</f>
        <v>0</v>
      </c>
    </row>
    <row r="795" spans="1:28">
      <c r="A795">
        <f>IF(COUNTBLANK(B795:AC795)&lt;&gt;COLUMNS(B795:AC795),794,"")</f>
        <v>0</v>
      </c>
      <c r="H795" s="2">
        <f>IF(B795="", "", "not provided")</f>
        <v>0</v>
      </c>
      <c r="I795" s="1">
        <f>IF(B795="", "", "meters")</f>
        <v>0</v>
      </c>
      <c r="T795" s="1">
        <f>IF(B795="", "", "Decimal degrees")</f>
        <v>0</v>
      </c>
      <c r="V795" s="1">
        <f>IF(B795="", "", "Decimal degrees")</f>
        <v>0</v>
      </c>
      <c r="Y795" s="1">
        <f>IF(B795="", "", "other")</f>
        <v>0</v>
      </c>
      <c r="AB795" s="1">
        <f>IF(B795="", "", "Not applicable")</f>
        <v>0</v>
      </c>
    </row>
    <row r="796" spans="1:28">
      <c r="A796">
        <f>IF(COUNTBLANK(B796:AC796)&lt;&gt;COLUMNS(B796:AC796),795,"")</f>
        <v>0</v>
      </c>
      <c r="H796" s="2">
        <f>IF(B796="", "", "not provided")</f>
        <v>0</v>
      </c>
      <c r="I796" s="1">
        <f>IF(B796="", "", "meters")</f>
        <v>0</v>
      </c>
      <c r="T796" s="1">
        <f>IF(B796="", "", "Decimal degrees")</f>
        <v>0</v>
      </c>
      <c r="V796" s="1">
        <f>IF(B796="", "", "Decimal degrees")</f>
        <v>0</v>
      </c>
      <c r="Y796" s="1">
        <f>IF(B796="", "", "other")</f>
        <v>0</v>
      </c>
      <c r="AB796" s="1">
        <f>IF(B796="", "", "Not applicable")</f>
        <v>0</v>
      </c>
    </row>
    <row r="797" spans="1:28">
      <c r="A797">
        <f>IF(COUNTBLANK(B797:AC797)&lt;&gt;COLUMNS(B797:AC797),796,"")</f>
        <v>0</v>
      </c>
      <c r="H797" s="2">
        <f>IF(B797="", "", "not provided")</f>
        <v>0</v>
      </c>
      <c r="I797" s="1">
        <f>IF(B797="", "", "meters")</f>
        <v>0</v>
      </c>
      <c r="T797" s="1">
        <f>IF(B797="", "", "Decimal degrees")</f>
        <v>0</v>
      </c>
      <c r="V797" s="1">
        <f>IF(B797="", "", "Decimal degrees")</f>
        <v>0</v>
      </c>
      <c r="Y797" s="1">
        <f>IF(B797="", "", "other")</f>
        <v>0</v>
      </c>
      <c r="AB797" s="1">
        <f>IF(B797="", "", "Not applicable")</f>
        <v>0</v>
      </c>
    </row>
    <row r="798" spans="1:28">
      <c r="A798">
        <f>IF(COUNTBLANK(B798:AC798)&lt;&gt;COLUMNS(B798:AC798),797,"")</f>
        <v>0</v>
      </c>
      <c r="H798" s="2">
        <f>IF(B798="", "", "not provided")</f>
        <v>0</v>
      </c>
      <c r="I798" s="1">
        <f>IF(B798="", "", "meters")</f>
        <v>0</v>
      </c>
      <c r="T798" s="1">
        <f>IF(B798="", "", "Decimal degrees")</f>
        <v>0</v>
      </c>
      <c r="V798" s="1">
        <f>IF(B798="", "", "Decimal degrees")</f>
        <v>0</v>
      </c>
      <c r="Y798" s="1">
        <f>IF(B798="", "", "other")</f>
        <v>0</v>
      </c>
      <c r="AB798" s="1">
        <f>IF(B798="", "", "Not applicable")</f>
        <v>0</v>
      </c>
    </row>
    <row r="799" spans="1:28">
      <c r="A799">
        <f>IF(COUNTBLANK(B799:AC799)&lt;&gt;COLUMNS(B799:AC799),798,"")</f>
        <v>0</v>
      </c>
      <c r="H799" s="2">
        <f>IF(B799="", "", "not provided")</f>
        <v>0</v>
      </c>
      <c r="I799" s="1">
        <f>IF(B799="", "", "meters")</f>
        <v>0</v>
      </c>
      <c r="T799" s="1">
        <f>IF(B799="", "", "Decimal degrees")</f>
        <v>0</v>
      </c>
      <c r="V799" s="1">
        <f>IF(B799="", "", "Decimal degrees")</f>
        <v>0</v>
      </c>
      <c r="Y799" s="1">
        <f>IF(B799="", "", "other")</f>
        <v>0</v>
      </c>
      <c r="AB799" s="1">
        <f>IF(B799="", "", "Not applicable")</f>
        <v>0</v>
      </c>
    </row>
    <row r="800" spans="1:28">
      <c r="A800">
        <f>IF(COUNTBLANK(B800:AC800)&lt;&gt;COLUMNS(B800:AC800),799,"")</f>
        <v>0</v>
      </c>
      <c r="H800" s="2">
        <f>IF(B800="", "", "not provided")</f>
        <v>0</v>
      </c>
      <c r="I800" s="1">
        <f>IF(B800="", "", "meters")</f>
        <v>0</v>
      </c>
      <c r="T800" s="1">
        <f>IF(B800="", "", "Decimal degrees")</f>
        <v>0</v>
      </c>
      <c r="V800" s="1">
        <f>IF(B800="", "", "Decimal degrees")</f>
        <v>0</v>
      </c>
      <c r="Y800" s="1">
        <f>IF(B800="", "", "other")</f>
        <v>0</v>
      </c>
      <c r="AB800" s="1">
        <f>IF(B800="", "", "Not applicable")</f>
        <v>0</v>
      </c>
    </row>
    <row r="801" spans="1:28">
      <c r="A801">
        <f>IF(COUNTBLANK(B801:AC801)&lt;&gt;COLUMNS(B801:AC801),800,"")</f>
        <v>0</v>
      </c>
      <c r="H801" s="2">
        <f>IF(B801="", "", "not provided")</f>
        <v>0</v>
      </c>
      <c r="I801" s="1">
        <f>IF(B801="", "", "meters")</f>
        <v>0</v>
      </c>
      <c r="T801" s="1">
        <f>IF(B801="", "", "Decimal degrees")</f>
        <v>0</v>
      </c>
      <c r="V801" s="1">
        <f>IF(B801="", "", "Decimal degrees")</f>
        <v>0</v>
      </c>
      <c r="Y801" s="1">
        <f>IF(B801="", "", "other")</f>
        <v>0</v>
      </c>
      <c r="AB801" s="1">
        <f>IF(B801="", "", "Not applicable")</f>
        <v>0</v>
      </c>
    </row>
    <row r="802" spans="1:28">
      <c r="A802">
        <f>IF(COUNTBLANK(B802:AC802)&lt;&gt;COLUMNS(B802:AC802),801,"")</f>
        <v>0</v>
      </c>
      <c r="H802" s="2">
        <f>IF(B802="", "", "not provided")</f>
        <v>0</v>
      </c>
      <c r="I802" s="1">
        <f>IF(B802="", "", "meters")</f>
        <v>0</v>
      </c>
      <c r="T802" s="1">
        <f>IF(B802="", "", "Decimal degrees")</f>
        <v>0</v>
      </c>
      <c r="V802" s="1">
        <f>IF(B802="", "", "Decimal degrees")</f>
        <v>0</v>
      </c>
      <c r="Y802" s="1">
        <f>IF(B802="", "", "other")</f>
        <v>0</v>
      </c>
      <c r="AB802" s="1">
        <f>IF(B802="", "", "Not applicable")</f>
        <v>0</v>
      </c>
    </row>
    <row r="803" spans="1:28">
      <c r="A803">
        <f>IF(COUNTBLANK(B803:AC803)&lt;&gt;COLUMNS(B803:AC803),802,"")</f>
        <v>0</v>
      </c>
      <c r="H803" s="2">
        <f>IF(B803="", "", "not provided")</f>
        <v>0</v>
      </c>
      <c r="I803" s="1">
        <f>IF(B803="", "", "meters")</f>
        <v>0</v>
      </c>
      <c r="T803" s="1">
        <f>IF(B803="", "", "Decimal degrees")</f>
        <v>0</v>
      </c>
      <c r="V803" s="1">
        <f>IF(B803="", "", "Decimal degrees")</f>
        <v>0</v>
      </c>
      <c r="Y803" s="1">
        <f>IF(B803="", "", "other")</f>
        <v>0</v>
      </c>
      <c r="AB803" s="1">
        <f>IF(B803="", "", "Not applicable")</f>
        <v>0</v>
      </c>
    </row>
    <row r="804" spans="1:28">
      <c r="A804">
        <f>IF(COUNTBLANK(B804:AC804)&lt;&gt;COLUMNS(B804:AC804),803,"")</f>
        <v>0</v>
      </c>
      <c r="H804" s="2">
        <f>IF(B804="", "", "not provided")</f>
        <v>0</v>
      </c>
      <c r="I804" s="1">
        <f>IF(B804="", "", "meters")</f>
        <v>0</v>
      </c>
      <c r="T804" s="1">
        <f>IF(B804="", "", "Decimal degrees")</f>
        <v>0</v>
      </c>
      <c r="V804" s="1">
        <f>IF(B804="", "", "Decimal degrees")</f>
        <v>0</v>
      </c>
      <c r="Y804" s="1">
        <f>IF(B804="", "", "other")</f>
        <v>0</v>
      </c>
      <c r="AB804" s="1">
        <f>IF(B804="", "", "Not applicable")</f>
        <v>0</v>
      </c>
    </row>
    <row r="805" spans="1:28">
      <c r="A805">
        <f>IF(COUNTBLANK(B805:AC805)&lt;&gt;COLUMNS(B805:AC805),804,"")</f>
        <v>0</v>
      </c>
      <c r="H805" s="2">
        <f>IF(B805="", "", "not provided")</f>
        <v>0</v>
      </c>
      <c r="I805" s="1">
        <f>IF(B805="", "", "meters")</f>
        <v>0</v>
      </c>
      <c r="T805" s="1">
        <f>IF(B805="", "", "Decimal degrees")</f>
        <v>0</v>
      </c>
      <c r="V805" s="1">
        <f>IF(B805="", "", "Decimal degrees")</f>
        <v>0</v>
      </c>
      <c r="Y805" s="1">
        <f>IF(B805="", "", "other")</f>
        <v>0</v>
      </c>
      <c r="AB805" s="1">
        <f>IF(B805="", "", "Not applicable")</f>
        <v>0</v>
      </c>
    </row>
    <row r="806" spans="1:28">
      <c r="A806">
        <f>IF(COUNTBLANK(B806:AC806)&lt;&gt;COLUMNS(B806:AC806),805,"")</f>
        <v>0</v>
      </c>
      <c r="H806" s="2">
        <f>IF(B806="", "", "not provided")</f>
        <v>0</v>
      </c>
      <c r="I806" s="1">
        <f>IF(B806="", "", "meters")</f>
        <v>0</v>
      </c>
      <c r="T806" s="1">
        <f>IF(B806="", "", "Decimal degrees")</f>
        <v>0</v>
      </c>
      <c r="V806" s="1">
        <f>IF(B806="", "", "Decimal degrees")</f>
        <v>0</v>
      </c>
      <c r="Y806" s="1">
        <f>IF(B806="", "", "other")</f>
        <v>0</v>
      </c>
      <c r="AB806" s="1">
        <f>IF(B806="", "", "Not applicable")</f>
        <v>0</v>
      </c>
    </row>
    <row r="807" spans="1:28">
      <c r="A807">
        <f>IF(COUNTBLANK(B807:AC807)&lt;&gt;COLUMNS(B807:AC807),806,"")</f>
        <v>0</v>
      </c>
      <c r="H807" s="2">
        <f>IF(B807="", "", "not provided")</f>
        <v>0</v>
      </c>
      <c r="I807" s="1">
        <f>IF(B807="", "", "meters")</f>
        <v>0</v>
      </c>
      <c r="T807" s="1">
        <f>IF(B807="", "", "Decimal degrees")</f>
        <v>0</v>
      </c>
      <c r="V807" s="1">
        <f>IF(B807="", "", "Decimal degrees")</f>
        <v>0</v>
      </c>
      <c r="Y807" s="1">
        <f>IF(B807="", "", "other")</f>
        <v>0</v>
      </c>
      <c r="AB807" s="1">
        <f>IF(B807="", "", "Not applicable")</f>
        <v>0</v>
      </c>
    </row>
    <row r="808" spans="1:28">
      <c r="A808">
        <f>IF(COUNTBLANK(B808:AC808)&lt;&gt;COLUMNS(B808:AC808),807,"")</f>
        <v>0</v>
      </c>
      <c r="H808" s="2">
        <f>IF(B808="", "", "not provided")</f>
        <v>0</v>
      </c>
      <c r="I808" s="1">
        <f>IF(B808="", "", "meters")</f>
        <v>0</v>
      </c>
      <c r="T808" s="1">
        <f>IF(B808="", "", "Decimal degrees")</f>
        <v>0</v>
      </c>
      <c r="V808" s="1">
        <f>IF(B808="", "", "Decimal degrees")</f>
        <v>0</v>
      </c>
      <c r="Y808" s="1">
        <f>IF(B808="", "", "other")</f>
        <v>0</v>
      </c>
      <c r="AB808" s="1">
        <f>IF(B808="", "", "Not applicable")</f>
        <v>0</v>
      </c>
    </row>
    <row r="809" spans="1:28">
      <c r="A809">
        <f>IF(COUNTBLANK(B809:AC809)&lt;&gt;COLUMNS(B809:AC809),808,"")</f>
        <v>0</v>
      </c>
      <c r="H809" s="2">
        <f>IF(B809="", "", "not provided")</f>
        <v>0</v>
      </c>
      <c r="I809" s="1">
        <f>IF(B809="", "", "meters")</f>
        <v>0</v>
      </c>
      <c r="T809" s="1">
        <f>IF(B809="", "", "Decimal degrees")</f>
        <v>0</v>
      </c>
      <c r="V809" s="1">
        <f>IF(B809="", "", "Decimal degrees")</f>
        <v>0</v>
      </c>
      <c r="Y809" s="1">
        <f>IF(B809="", "", "other")</f>
        <v>0</v>
      </c>
      <c r="AB809" s="1">
        <f>IF(B809="", "", "Not applicable")</f>
        <v>0</v>
      </c>
    </row>
    <row r="810" spans="1:28">
      <c r="A810">
        <f>IF(COUNTBLANK(B810:AC810)&lt;&gt;COLUMNS(B810:AC810),809,"")</f>
        <v>0</v>
      </c>
      <c r="H810" s="2">
        <f>IF(B810="", "", "not provided")</f>
        <v>0</v>
      </c>
      <c r="I810" s="1">
        <f>IF(B810="", "", "meters")</f>
        <v>0</v>
      </c>
      <c r="T810" s="1">
        <f>IF(B810="", "", "Decimal degrees")</f>
        <v>0</v>
      </c>
      <c r="V810" s="1">
        <f>IF(B810="", "", "Decimal degrees")</f>
        <v>0</v>
      </c>
      <c r="Y810" s="1">
        <f>IF(B810="", "", "other")</f>
        <v>0</v>
      </c>
      <c r="AB810" s="1">
        <f>IF(B810="", "", "Not applicable")</f>
        <v>0</v>
      </c>
    </row>
    <row r="811" spans="1:28">
      <c r="A811">
        <f>IF(COUNTBLANK(B811:AC811)&lt;&gt;COLUMNS(B811:AC811),810,"")</f>
        <v>0</v>
      </c>
      <c r="H811" s="2">
        <f>IF(B811="", "", "not provided")</f>
        <v>0</v>
      </c>
      <c r="I811" s="1">
        <f>IF(B811="", "", "meters")</f>
        <v>0</v>
      </c>
      <c r="T811" s="1">
        <f>IF(B811="", "", "Decimal degrees")</f>
        <v>0</v>
      </c>
      <c r="V811" s="1">
        <f>IF(B811="", "", "Decimal degrees")</f>
        <v>0</v>
      </c>
      <c r="Y811" s="1">
        <f>IF(B811="", "", "other")</f>
        <v>0</v>
      </c>
      <c r="AB811" s="1">
        <f>IF(B811="", "", "Not applicable")</f>
        <v>0</v>
      </c>
    </row>
    <row r="812" spans="1:28">
      <c r="A812">
        <f>IF(COUNTBLANK(B812:AC812)&lt;&gt;COLUMNS(B812:AC812),811,"")</f>
        <v>0</v>
      </c>
      <c r="H812" s="2">
        <f>IF(B812="", "", "not provided")</f>
        <v>0</v>
      </c>
      <c r="I812" s="1">
        <f>IF(B812="", "", "meters")</f>
        <v>0</v>
      </c>
      <c r="T812" s="1">
        <f>IF(B812="", "", "Decimal degrees")</f>
        <v>0</v>
      </c>
      <c r="V812" s="1">
        <f>IF(B812="", "", "Decimal degrees")</f>
        <v>0</v>
      </c>
      <c r="Y812" s="1">
        <f>IF(B812="", "", "other")</f>
        <v>0</v>
      </c>
      <c r="AB812" s="1">
        <f>IF(B812="", "", "Not applicable")</f>
        <v>0</v>
      </c>
    </row>
    <row r="813" spans="1:28">
      <c r="A813">
        <f>IF(COUNTBLANK(B813:AC813)&lt;&gt;COLUMNS(B813:AC813),812,"")</f>
        <v>0</v>
      </c>
      <c r="H813" s="2">
        <f>IF(B813="", "", "not provided")</f>
        <v>0</v>
      </c>
      <c r="I813" s="1">
        <f>IF(B813="", "", "meters")</f>
        <v>0</v>
      </c>
      <c r="T813" s="1">
        <f>IF(B813="", "", "Decimal degrees")</f>
        <v>0</v>
      </c>
      <c r="V813" s="1">
        <f>IF(B813="", "", "Decimal degrees")</f>
        <v>0</v>
      </c>
      <c r="Y813" s="1">
        <f>IF(B813="", "", "other")</f>
        <v>0</v>
      </c>
      <c r="AB813" s="1">
        <f>IF(B813="", "", "Not applicable")</f>
        <v>0</v>
      </c>
    </row>
    <row r="814" spans="1:28">
      <c r="A814">
        <f>IF(COUNTBLANK(B814:AC814)&lt;&gt;COLUMNS(B814:AC814),813,"")</f>
        <v>0</v>
      </c>
      <c r="H814" s="2">
        <f>IF(B814="", "", "not provided")</f>
        <v>0</v>
      </c>
      <c r="I814" s="1">
        <f>IF(B814="", "", "meters")</f>
        <v>0</v>
      </c>
      <c r="T814" s="1">
        <f>IF(B814="", "", "Decimal degrees")</f>
        <v>0</v>
      </c>
      <c r="V814" s="1">
        <f>IF(B814="", "", "Decimal degrees")</f>
        <v>0</v>
      </c>
      <c r="Y814" s="1">
        <f>IF(B814="", "", "other")</f>
        <v>0</v>
      </c>
      <c r="AB814" s="1">
        <f>IF(B814="", "", "Not applicable")</f>
        <v>0</v>
      </c>
    </row>
    <row r="815" spans="1:28">
      <c r="A815">
        <f>IF(COUNTBLANK(B815:AC815)&lt;&gt;COLUMNS(B815:AC815),814,"")</f>
        <v>0</v>
      </c>
      <c r="H815" s="2">
        <f>IF(B815="", "", "not provided")</f>
        <v>0</v>
      </c>
      <c r="I815" s="1">
        <f>IF(B815="", "", "meters")</f>
        <v>0</v>
      </c>
      <c r="T815" s="1">
        <f>IF(B815="", "", "Decimal degrees")</f>
        <v>0</v>
      </c>
      <c r="V815" s="1">
        <f>IF(B815="", "", "Decimal degrees")</f>
        <v>0</v>
      </c>
      <c r="Y815" s="1">
        <f>IF(B815="", "", "other")</f>
        <v>0</v>
      </c>
      <c r="AB815" s="1">
        <f>IF(B815="", "", "Not applicable")</f>
        <v>0</v>
      </c>
    </row>
    <row r="816" spans="1:28">
      <c r="A816">
        <f>IF(COUNTBLANK(B816:AC816)&lt;&gt;COLUMNS(B816:AC816),815,"")</f>
        <v>0</v>
      </c>
      <c r="H816" s="2">
        <f>IF(B816="", "", "not provided")</f>
        <v>0</v>
      </c>
      <c r="I816" s="1">
        <f>IF(B816="", "", "meters")</f>
        <v>0</v>
      </c>
      <c r="T816" s="1">
        <f>IF(B816="", "", "Decimal degrees")</f>
        <v>0</v>
      </c>
      <c r="V816" s="1">
        <f>IF(B816="", "", "Decimal degrees")</f>
        <v>0</v>
      </c>
      <c r="Y816" s="1">
        <f>IF(B816="", "", "other")</f>
        <v>0</v>
      </c>
      <c r="AB816" s="1">
        <f>IF(B816="", "", "Not applicable")</f>
        <v>0</v>
      </c>
    </row>
    <row r="817" spans="1:28">
      <c r="A817">
        <f>IF(COUNTBLANK(B817:AC817)&lt;&gt;COLUMNS(B817:AC817),816,"")</f>
        <v>0</v>
      </c>
      <c r="H817" s="2">
        <f>IF(B817="", "", "not provided")</f>
        <v>0</v>
      </c>
      <c r="I817" s="1">
        <f>IF(B817="", "", "meters")</f>
        <v>0</v>
      </c>
      <c r="T817" s="1">
        <f>IF(B817="", "", "Decimal degrees")</f>
        <v>0</v>
      </c>
      <c r="V817" s="1">
        <f>IF(B817="", "", "Decimal degrees")</f>
        <v>0</v>
      </c>
      <c r="Y817" s="1">
        <f>IF(B817="", "", "other")</f>
        <v>0</v>
      </c>
      <c r="AB817" s="1">
        <f>IF(B817="", "", "Not applicable")</f>
        <v>0</v>
      </c>
    </row>
    <row r="818" spans="1:28">
      <c r="A818">
        <f>IF(COUNTBLANK(B818:AC818)&lt;&gt;COLUMNS(B818:AC818),817,"")</f>
        <v>0</v>
      </c>
      <c r="H818" s="2">
        <f>IF(B818="", "", "not provided")</f>
        <v>0</v>
      </c>
      <c r="I818" s="1">
        <f>IF(B818="", "", "meters")</f>
        <v>0</v>
      </c>
      <c r="T818" s="1">
        <f>IF(B818="", "", "Decimal degrees")</f>
        <v>0</v>
      </c>
      <c r="V818" s="1">
        <f>IF(B818="", "", "Decimal degrees")</f>
        <v>0</v>
      </c>
      <c r="Y818" s="1">
        <f>IF(B818="", "", "other")</f>
        <v>0</v>
      </c>
      <c r="AB818" s="1">
        <f>IF(B818="", "", "Not applicable")</f>
        <v>0</v>
      </c>
    </row>
    <row r="819" spans="1:28">
      <c r="A819">
        <f>IF(COUNTBLANK(B819:AC819)&lt;&gt;COLUMNS(B819:AC819),818,"")</f>
        <v>0</v>
      </c>
      <c r="H819" s="2">
        <f>IF(B819="", "", "not provided")</f>
        <v>0</v>
      </c>
      <c r="I819" s="1">
        <f>IF(B819="", "", "meters")</f>
        <v>0</v>
      </c>
      <c r="T819" s="1">
        <f>IF(B819="", "", "Decimal degrees")</f>
        <v>0</v>
      </c>
      <c r="V819" s="1">
        <f>IF(B819="", "", "Decimal degrees")</f>
        <v>0</v>
      </c>
      <c r="Y819" s="1">
        <f>IF(B819="", "", "other")</f>
        <v>0</v>
      </c>
      <c r="AB819" s="1">
        <f>IF(B819="", "", "Not applicable")</f>
        <v>0</v>
      </c>
    </row>
    <row r="820" spans="1:28">
      <c r="A820">
        <f>IF(COUNTBLANK(B820:AC820)&lt;&gt;COLUMNS(B820:AC820),819,"")</f>
        <v>0</v>
      </c>
      <c r="H820" s="2">
        <f>IF(B820="", "", "not provided")</f>
        <v>0</v>
      </c>
      <c r="I820" s="1">
        <f>IF(B820="", "", "meters")</f>
        <v>0</v>
      </c>
      <c r="T820" s="1">
        <f>IF(B820="", "", "Decimal degrees")</f>
        <v>0</v>
      </c>
      <c r="V820" s="1">
        <f>IF(B820="", "", "Decimal degrees")</f>
        <v>0</v>
      </c>
      <c r="Y820" s="1">
        <f>IF(B820="", "", "other")</f>
        <v>0</v>
      </c>
      <c r="AB820" s="1">
        <f>IF(B820="", "", "Not applicable")</f>
        <v>0</v>
      </c>
    </row>
    <row r="821" spans="1:28">
      <c r="A821">
        <f>IF(COUNTBLANK(B821:AC821)&lt;&gt;COLUMNS(B821:AC821),820,"")</f>
        <v>0</v>
      </c>
      <c r="H821" s="2">
        <f>IF(B821="", "", "not provided")</f>
        <v>0</v>
      </c>
      <c r="I821" s="1">
        <f>IF(B821="", "", "meters")</f>
        <v>0</v>
      </c>
      <c r="T821" s="1">
        <f>IF(B821="", "", "Decimal degrees")</f>
        <v>0</v>
      </c>
      <c r="V821" s="1">
        <f>IF(B821="", "", "Decimal degrees")</f>
        <v>0</v>
      </c>
      <c r="Y821" s="1">
        <f>IF(B821="", "", "other")</f>
        <v>0</v>
      </c>
      <c r="AB821" s="1">
        <f>IF(B821="", "", "Not applicable")</f>
        <v>0</v>
      </c>
    </row>
    <row r="822" spans="1:28">
      <c r="A822">
        <f>IF(COUNTBLANK(B822:AC822)&lt;&gt;COLUMNS(B822:AC822),821,"")</f>
        <v>0</v>
      </c>
      <c r="H822" s="2">
        <f>IF(B822="", "", "not provided")</f>
        <v>0</v>
      </c>
      <c r="I822" s="1">
        <f>IF(B822="", "", "meters")</f>
        <v>0</v>
      </c>
      <c r="T822" s="1">
        <f>IF(B822="", "", "Decimal degrees")</f>
        <v>0</v>
      </c>
      <c r="V822" s="1">
        <f>IF(B822="", "", "Decimal degrees")</f>
        <v>0</v>
      </c>
      <c r="Y822" s="1">
        <f>IF(B822="", "", "other")</f>
        <v>0</v>
      </c>
      <c r="AB822" s="1">
        <f>IF(B822="", "", "Not applicable")</f>
        <v>0</v>
      </c>
    </row>
    <row r="823" spans="1:28">
      <c r="A823">
        <f>IF(COUNTBLANK(B823:AC823)&lt;&gt;COLUMNS(B823:AC823),822,"")</f>
        <v>0</v>
      </c>
      <c r="H823" s="2">
        <f>IF(B823="", "", "not provided")</f>
        <v>0</v>
      </c>
      <c r="I823" s="1">
        <f>IF(B823="", "", "meters")</f>
        <v>0</v>
      </c>
      <c r="T823" s="1">
        <f>IF(B823="", "", "Decimal degrees")</f>
        <v>0</v>
      </c>
      <c r="V823" s="1">
        <f>IF(B823="", "", "Decimal degrees")</f>
        <v>0</v>
      </c>
      <c r="Y823" s="1">
        <f>IF(B823="", "", "other")</f>
        <v>0</v>
      </c>
      <c r="AB823" s="1">
        <f>IF(B823="", "", "Not applicable")</f>
        <v>0</v>
      </c>
    </row>
    <row r="824" spans="1:28">
      <c r="A824">
        <f>IF(COUNTBLANK(B824:AC824)&lt;&gt;COLUMNS(B824:AC824),823,"")</f>
        <v>0</v>
      </c>
      <c r="H824" s="2">
        <f>IF(B824="", "", "not provided")</f>
        <v>0</v>
      </c>
      <c r="I824" s="1">
        <f>IF(B824="", "", "meters")</f>
        <v>0</v>
      </c>
      <c r="T824" s="1">
        <f>IF(B824="", "", "Decimal degrees")</f>
        <v>0</v>
      </c>
      <c r="V824" s="1">
        <f>IF(B824="", "", "Decimal degrees")</f>
        <v>0</v>
      </c>
      <c r="Y824" s="1">
        <f>IF(B824="", "", "other")</f>
        <v>0</v>
      </c>
      <c r="AB824" s="1">
        <f>IF(B824="", "", "Not applicable")</f>
        <v>0</v>
      </c>
    </row>
    <row r="825" spans="1:28">
      <c r="A825">
        <f>IF(COUNTBLANK(B825:AC825)&lt;&gt;COLUMNS(B825:AC825),824,"")</f>
        <v>0</v>
      </c>
      <c r="H825" s="2">
        <f>IF(B825="", "", "not provided")</f>
        <v>0</v>
      </c>
      <c r="I825" s="1">
        <f>IF(B825="", "", "meters")</f>
        <v>0</v>
      </c>
      <c r="T825" s="1">
        <f>IF(B825="", "", "Decimal degrees")</f>
        <v>0</v>
      </c>
      <c r="V825" s="1">
        <f>IF(B825="", "", "Decimal degrees")</f>
        <v>0</v>
      </c>
      <c r="Y825" s="1">
        <f>IF(B825="", "", "other")</f>
        <v>0</v>
      </c>
      <c r="AB825" s="1">
        <f>IF(B825="", "", "Not applicable")</f>
        <v>0</v>
      </c>
    </row>
    <row r="826" spans="1:28">
      <c r="A826">
        <f>IF(COUNTBLANK(B826:AC826)&lt;&gt;COLUMNS(B826:AC826),825,"")</f>
        <v>0</v>
      </c>
      <c r="H826" s="2">
        <f>IF(B826="", "", "not provided")</f>
        <v>0</v>
      </c>
      <c r="I826" s="1">
        <f>IF(B826="", "", "meters")</f>
        <v>0</v>
      </c>
      <c r="T826" s="1">
        <f>IF(B826="", "", "Decimal degrees")</f>
        <v>0</v>
      </c>
      <c r="V826" s="1">
        <f>IF(B826="", "", "Decimal degrees")</f>
        <v>0</v>
      </c>
      <c r="Y826" s="1">
        <f>IF(B826="", "", "other")</f>
        <v>0</v>
      </c>
      <c r="AB826" s="1">
        <f>IF(B826="", "", "Not applicable")</f>
        <v>0</v>
      </c>
    </row>
    <row r="827" spans="1:28">
      <c r="A827">
        <f>IF(COUNTBLANK(B827:AC827)&lt;&gt;COLUMNS(B827:AC827),826,"")</f>
        <v>0</v>
      </c>
      <c r="H827" s="2">
        <f>IF(B827="", "", "not provided")</f>
        <v>0</v>
      </c>
      <c r="I827" s="1">
        <f>IF(B827="", "", "meters")</f>
        <v>0</v>
      </c>
      <c r="T827" s="1">
        <f>IF(B827="", "", "Decimal degrees")</f>
        <v>0</v>
      </c>
      <c r="V827" s="1">
        <f>IF(B827="", "", "Decimal degrees")</f>
        <v>0</v>
      </c>
      <c r="Y827" s="1">
        <f>IF(B827="", "", "other")</f>
        <v>0</v>
      </c>
      <c r="AB827" s="1">
        <f>IF(B827="", "", "Not applicable")</f>
        <v>0</v>
      </c>
    </row>
    <row r="828" spans="1:28">
      <c r="A828">
        <f>IF(COUNTBLANK(B828:AC828)&lt;&gt;COLUMNS(B828:AC828),827,"")</f>
        <v>0</v>
      </c>
      <c r="H828" s="2">
        <f>IF(B828="", "", "not provided")</f>
        <v>0</v>
      </c>
      <c r="I828" s="1">
        <f>IF(B828="", "", "meters")</f>
        <v>0</v>
      </c>
      <c r="T828" s="1">
        <f>IF(B828="", "", "Decimal degrees")</f>
        <v>0</v>
      </c>
      <c r="V828" s="1">
        <f>IF(B828="", "", "Decimal degrees")</f>
        <v>0</v>
      </c>
      <c r="Y828" s="1">
        <f>IF(B828="", "", "other")</f>
        <v>0</v>
      </c>
      <c r="AB828" s="1">
        <f>IF(B828="", "", "Not applicable")</f>
        <v>0</v>
      </c>
    </row>
    <row r="829" spans="1:28">
      <c r="A829">
        <f>IF(COUNTBLANK(B829:AC829)&lt;&gt;COLUMNS(B829:AC829),828,"")</f>
        <v>0</v>
      </c>
      <c r="H829" s="2">
        <f>IF(B829="", "", "not provided")</f>
        <v>0</v>
      </c>
      <c r="I829" s="1">
        <f>IF(B829="", "", "meters")</f>
        <v>0</v>
      </c>
      <c r="T829" s="1">
        <f>IF(B829="", "", "Decimal degrees")</f>
        <v>0</v>
      </c>
      <c r="V829" s="1">
        <f>IF(B829="", "", "Decimal degrees")</f>
        <v>0</v>
      </c>
      <c r="Y829" s="1">
        <f>IF(B829="", "", "other")</f>
        <v>0</v>
      </c>
      <c r="AB829" s="1">
        <f>IF(B829="", "", "Not applicable")</f>
        <v>0</v>
      </c>
    </row>
    <row r="830" spans="1:28">
      <c r="A830">
        <f>IF(COUNTBLANK(B830:AC830)&lt;&gt;COLUMNS(B830:AC830),829,"")</f>
        <v>0</v>
      </c>
      <c r="H830" s="2">
        <f>IF(B830="", "", "not provided")</f>
        <v>0</v>
      </c>
      <c r="I830" s="1">
        <f>IF(B830="", "", "meters")</f>
        <v>0</v>
      </c>
      <c r="T830" s="1">
        <f>IF(B830="", "", "Decimal degrees")</f>
        <v>0</v>
      </c>
      <c r="V830" s="1">
        <f>IF(B830="", "", "Decimal degrees")</f>
        <v>0</v>
      </c>
      <c r="Y830" s="1">
        <f>IF(B830="", "", "other")</f>
        <v>0</v>
      </c>
      <c r="AB830" s="1">
        <f>IF(B830="", "", "Not applicable")</f>
        <v>0</v>
      </c>
    </row>
    <row r="831" spans="1:28">
      <c r="A831">
        <f>IF(COUNTBLANK(B831:AC831)&lt;&gt;COLUMNS(B831:AC831),830,"")</f>
        <v>0</v>
      </c>
      <c r="H831" s="2">
        <f>IF(B831="", "", "not provided")</f>
        <v>0</v>
      </c>
      <c r="I831" s="1">
        <f>IF(B831="", "", "meters")</f>
        <v>0</v>
      </c>
      <c r="T831" s="1">
        <f>IF(B831="", "", "Decimal degrees")</f>
        <v>0</v>
      </c>
      <c r="V831" s="1">
        <f>IF(B831="", "", "Decimal degrees")</f>
        <v>0</v>
      </c>
      <c r="Y831" s="1">
        <f>IF(B831="", "", "other")</f>
        <v>0</v>
      </c>
      <c r="AB831" s="1">
        <f>IF(B831="", "", "Not applicable")</f>
        <v>0</v>
      </c>
    </row>
    <row r="832" spans="1:28">
      <c r="A832">
        <f>IF(COUNTBLANK(B832:AC832)&lt;&gt;COLUMNS(B832:AC832),831,"")</f>
        <v>0</v>
      </c>
      <c r="H832" s="2">
        <f>IF(B832="", "", "not provided")</f>
        <v>0</v>
      </c>
      <c r="I832" s="1">
        <f>IF(B832="", "", "meters")</f>
        <v>0</v>
      </c>
      <c r="T832" s="1">
        <f>IF(B832="", "", "Decimal degrees")</f>
        <v>0</v>
      </c>
      <c r="V832" s="1">
        <f>IF(B832="", "", "Decimal degrees")</f>
        <v>0</v>
      </c>
      <c r="Y832" s="1">
        <f>IF(B832="", "", "other")</f>
        <v>0</v>
      </c>
      <c r="AB832" s="1">
        <f>IF(B832="", "", "Not applicable")</f>
        <v>0</v>
      </c>
    </row>
    <row r="833" spans="1:28">
      <c r="A833">
        <f>IF(COUNTBLANK(B833:AC833)&lt;&gt;COLUMNS(B833:AC833),832,"")</f>
        <v>0</v>
      </c>
      <c r="H833" s="2">
        <f>IF(B833="", "", "not provided")</f>
        <v>0</v>
      </c>
      <c r="I833" s="1">
        <f>IF(B833="", "", "meters")</f>
        <v>0</v>
      </c>
      <c r="T833" s="1">
        <f>IF(B833="", "", "Decimal degrees")</f>
        <v>0</v>
      </c>
      <c r="V833" s="1">
        <f>IF(B833="", "", "Decimal degrees")</f>
        <v>0</v>
      </c>
      <c r="Y833" s="1">
        <f>IF(B833="", "", "other")</f>
        <v>0</v>
      </c>
      <c r="AB833" s="1">
        <f>IF(B833="", "", "Not applicable")</f>
        <v>0</v>
      </c>
    </row>
    <row r="834" spans="1:28">
      <c r="A834">
        <f>IF(COUNTBLANK(B834:AC834)&lt;&gt;COLUMNS(B834:AC834),833,"")</f>
        <v>0</v>
      </c>
      <c r="H834" s="2">
        <f>IF(B834="", "", "not provided")</f>
        <v>0</v>
      </c>
      <c r="I834" s="1">
        <f>IF(B834="", "", "meters")</f>
        <v>0</v>
      </c>
      <c r="T834" s="1">
        <f>IF(B834="", "", "Decimal degrees")</f>
        <v>0</v>
      </c>
      <c r="V834" s="1">
        <f>IF(B834="", "", "Decimal degrees")</f>
        <v>0</v>
      </c>
      <c r="Y834" s="1">
        <f>IF(B834="", "", "other")</f>
        <v>0</v>
      </c>
      <c r="AB834" s="1">
        <f>IF(B834="", "", "Not applicable")</f>
        <v>0</v>
      </c>
    </row>
    <row r="835" spans="1:28">
      <c r="A835">
        <f>IF(COUNTBLANK(B835:AC835)&lt;&gt;COLUMNS(B835:AC835),834,"")</f>
        <v>0</v>
      </c>
      <c r="H835" s="2">
        <f>IF(B835="", "", "not provided")</f>
        <v>0</v>
      </c>
      <c r="I835" s="1">
        <f>IF(B835="", "", "meters")</f>
        <v>0</v>
      </c>
      <c r="T835" s="1">
        <f>IF(B835="", "", "Decimal degrees")</f>
        <v>0</v>
      </c>
      <c r="V835" s="1">
        <f>IF(B835="", "", "Decimal degrees")</f>
        <v>0</v>
      </c>
      <c r="Y835" s="1">
        <f>IF(B835="", "", "other")</f>
        <v>0</v>
      </c>
      <c r="AB835" s="1">
        <f>IF(B835="", "", "Not applicable")</f>
        <v>0</v>
      </c>
    </row>
    <row r="836" spans="1:28">
      <c r="A836">
        <f>IF(COUNTBLANK(B836:AC836)&lt;&gt;COLUMNS(B836:AC836),835,"")</f>
        <v>0</v>
      </c>
      <c r="H836" s="2">
        <f>IF(B836="", "", "not provided")</f>
        <v>0</v>
      </c>
      <c r="I836" s="1">
        <f>IF(B836="", "", "meters")</f>
        <v>0</v>
      </c>
      <c r="T836" s="1">
        <f>IF(B836="", "", "Decimal degrees")</f>
        <v>0</v>
      </c>
      <c r="V836" s="1">
        <f>IF(B836="", "", "Decimal degrees")</f>
        <v>0</v>
      </c>
      <c r="Y836" s="1">
        <f>IF(B836="", "", "other")</f>
        <v>0</v>
      </c>
      <c r="AB836" s="1">
        <f>IF(B836="", "", "Not applicable")</f>
        <v>0</v>
      </c>
    </row>
    <row r="837" spans="1:28">
      <c r="A837">
        <f>IF(COUNTBLANK(B837:AC837)&lt;&gt;COLUMNS(B837:AC837),836,"")</f>
        <v>0</v>
      </c>
      <c r="H837" s="2">
        <f>IF(B837="", "", "not provided")</f>
        <v>0</v>
      </c>
      <c r="I837" s="1">
        <f>IF(B837="", "", "meters")</f>
        <v>0</v>
      </c>
      <c r="T837" s="1">
        <f>IF(B837="", "", "Decimal degrees")</f>
        <v>0</v>
      </c>
      <c r="V837" s="1">
        <f>IF(B837="", "", "Decimal degrees")</f>
        <v>0</v>
      </c>
      <c r="Y837" s="1">
        <f>IF(B837="", "", "other")</f>
        <v>0</v>
      </c>
      <c r="AB837" s="1">
        <f>IF(B837="", "", "Not applicable")</f>
        <v>0</v>
      </c>
    </row>
    <row r="838" spans="1:28">
      <c r="A838">
        <f>IF(COUNTBLANK(B838:AC838)&lt;&gt;COLUMNS(B838:AC838),837,"")</f>
        <v>0</v>
      </c>
      <c r="H838" s="2">
        <f>IF(B838="", "", "not provided")</f>
        <v>0</v>
      </c>
      <c r="I838" s="1">
        <f>IF(B838="", "", "meters")</f>
        <v>0</v>
      </c>
      <c r="T838" s="1">
        <f>IF(B838="", "", "Decimal degrees")</f>
        <v>0</v>
      </c>
      <c r="V838" s="1">
        <f>IF(B838="", "", "Decimal degrees")</f>
        <v>0</v>
      </c>
      <c r="Y838" s="1">
        <f>IF(B838="", "", "other")</f>
        <v>0</v>
      </c>
      <c r="AB838" s="1">
        <f>IF(B838="", "", "Not applicable")</f>
        <v>0</v>
      </c>
    </row>
    <row r="839" spans="1:28">
      <c r="A839">
        <f>IF(COUNTBLANK(B839:AC839)&lt;&gt;COLUMNS(B839:AC839),838,"")</f>
        <v>0</v>
      </c>
      <c r="H839" s="2">
        <f>IF(B839="", "", "not provided")</f>
        <v>0</v>
      </c>
      <c r="I839" s="1">
        <f>IF(B839="", "", "meters")</f>
        <v>0</v>
      </c>
      <c r="T839" s="1">
        <f>IF(B839="", "", "Decimal degrees")</f>
        <v>0</v>
      </c>
      <c r="V839" s="1">
        <f>IF(B839="", "", "Decimal degrees")</f>
        <v>0</v>
      </c>
      <c r="Y839" s="1">
        <f>IF(B839="", "", "other")</f>
        <v>0</v>
      </c>
      <c r="AB839" s="1">
        <f>IF(B839="", "", "Not applicable")</f>
        <v>0</v>
      </c>
    </row>
    <row r="840" spans="1:28">
      <c r="A840">
        <f>IF(COUNTBLANK(B840:AC840)&lt;&gt;COLUMNS(B840:AC840),839,"")</f>
        <v>0</v>
      </c>
      <c r="H840" s="2">
        <f>IF(B840="", "", "not provided")</f>
        <v>0</v>
      </c>
      <c r="I840" s="1">
        <f>IF(B840="", "", "meters")</f>
        <v>0</v>
      </c>
      <c r="T840" s="1">
        <f>IF(B840="", "", "Decimal degrees")</f>
        <v>0</v>
      </c>
      <c r="V840" s="1">
        <f>IF(B840="", "", "Decimal degrees")</f>
        <v>0</v>
      </c>
      <c r="Y840" s="1">
        <f>IF(B840="", "", "other")</f>
        <v>0</v>
      </c>
      <c r="AB840" s="1">
        <f>IF(B840="", "", "Not applicable")</f>
        <v>0</v>
      </c>
    </row>
    <row r="841" spans="1:28">
      <c r="A841">
        <f>IF(COUNTBLANK(B841:AC841)&lt;&gt;COLUMNS(B841:AC841),840,"")</f>
        <v>0</v>
      </c>
      <c r="H841" s="2">
        <f>IF(B841="", "", "not provided")</f>
        <v>0</v>
      </c>
      <c r="I841" s="1">
        <f>IF(B841="", "", "meters")</f>
        <v>0</v>
      </c>
      <c r="T841" s="1">
        <f>IF(B841="", "", "Decimal degrees")</f>
        <v>0</v>
      </c>
      <c r="V841" s="1">
        <f>IF(B841="", "", "Decimal degrees")</f>
        <v>0</v>
      </c>
      <c r="Y841" s="1">
        <f>IF(B841="", "", "other")</f>
        <v>0</v>
      </c>
      <c r="AB841" s="1">
        <f>IF(B841="", "", "Not applicable")</f>
        <v>0</v>
      </c>
    </row>
    <row r="842" spans="1:28">
      <c r="A842">
        <f>IF(COUNTBLANK(B842:AC842)&lt;&gt;COLUMNS(B842:AC842),841,"")</f>
        <v>0</v>
      </c>
      <c r="H842" s="2">
        <f>IF(B842="", "", "not provided")</f>
        <v>0</v>
      </c>
      <c r="I842" s="1">
        <f>IF(B842="", "", "meters")</f>
        <v>0</v>
      </c>
      <c r="T842" s="1">
        <f>IF(B842="", "", "Decimal degrees")</f>
        <v>0</v>
      </c>
      <c r="V842" s="1">
        <f>IF(B842="", "", "Decimal degrees")</f>
        <v>0</v>
      </c>
      <c r="Y842" s="1">
        <f>IF(B842="", "", "other")</f>
        <v>0</v>
      </c>
      <c r="AB842" s="1">
        <f>IF(B842="", "", "Not applicable")</f>
        <v>0</v>
      </c>
    </row>
    <row r="843" spans="1:28">
      <c r="A843">
        <f>IF(COUNTBLANK(B843:AC843)&lt;&gt;COLUMNS(B843:AC843),842,"")</f>
        <v>0</v>
      </c>
      <c r="H843" s="2">
        <f>IF(B843="", "", "not provided")</f>
        <v>0</v>
      </c>
      <c r="I843" s="1">
        <f>IF(B843="", "", "meters")</f>
        <v>0</v>
      </c>
      <c r="T843" s="1">
        <f>IF(B843="", "", "Decimal degrees")</f>
        <v>0</v>
      </c>
      <c r="V843" s="1">
        <f>IF(B843="", "", "Decimal degrees")</f>
        <v>0</v>
      </c>
      <c r="Y843" s="1">
        <f>IF(B843="", "", "other")</f>
        <v>0</v>
      </c>
      <c r="AB843" s="1">
        <f>IF(B843="", "", "Not applicable")</f>
        <v>0</v>
      </c>
    </row>
    <row r="844" spans="1:28">
      <c r="A844">
        <f>IF(COUNTBLANK(B844:AC844)&lt;&gt;COLUMNS(B844:AC844),843,"")</f>
        <v>0</v>
      </c>
      <c r="H844" s="2">
        <f>IF(B844="", "", "not provided")</f>
        <v>0</v>
      </c>
      <c r="I844" s="1">
        <f>IF(B844="", "", "meters")</f>
        <v>0</v>
      </c>
      <c r="T844" s="1">
        <f>IF(B844="", "", "Decimal degrees")</f>
        <v>0</v>
      </c>
      <c r="V844" s="1">
        <f>IF(B844="", "", "Decimal degrees")</f>
        <v>0</v>
      </c>
      <c r="Y844" s="1">
        <f>IF(B844="", "", "other")</f>
        <v>0</v>
      </c>
      <c r="AB844" s="1">
        <f>IF(B844="", "", "Not applicable")</f>
        <v>0</v>
      </c>
    </row>
    <row r="845" spans="1:28">
      <c r="A845">
        <f>IF(COUNTBLANK(B845:AC845)&lt;&gt;COLUMNS(B845:AC845),844,"")</f>
        <v>0</v>
      </c>
      <c r="H845" s="2">
        <f>IF(B845="", "", "not provided")</f>
        <v>0</v>
      </c>
      <c r="I845" s="1">
        <f>IF(B845="", "", "meters")</f>
        <v>0</v>
      </c>
      <c r="T845" s="1">
        <f>IF(B845="", "", "Decimal degrees")</f>
        <v>0</v>
      </c>
      <c r="V845" s="1">
        <f>IF(B845="", "", "Decimal degrees")</f>
        <v>0</v>
      </c>
      <c r="Y845" s="1">
        <f>IF(B845="", "", "other")</f>
        <v>0</v>
      </c>
      <c r="AB845" s="1">
        <f>IF(B845="", "", "Not applicable")</f>
        <v>0</v>
      </c>
    </row>
    <row r="846" spans="1:28">
      <c r="A846">
        <f>IF(COUNTBLANK(B846:AC846)&lt;&gt;COLUMNS(B846:AC846),845,"")</f>
        <v>0</v>
      </c>
      <c r="H846" s="2">
        <f>IF(B846="", "", "not provided")</f>
        <v>0</v>
      </c>
      <c r="I846" s="1">
        <f>IF(B846="", "", "meters")</f>
        <v>0</v>
      </c>
      <c r="T846" s="1">
        <f>IF(B846="", "", "Decimal degrees")</f>
        <v>0</v>
      </c>
      <c r="V846" s="1">
        <f>IF(B846="", "", "Decimal degrees")</f>
        <v>0</v>
      </c>
      <c r="Y846" s="1">
        <f>IF(B846="", "", "other")</f>
        <v>0</v>
      </c>
      <c r="AB846" s="1">
        <f>IF(B846="", "", "Not applicable")</f>
        <v>0</v>
      </c>
    </row>
    <row r="847" spans="1:28">
      <c r="A847">
        <f>IF(COUNTBLANK(B847:AC847)&lt;&gt;COLUMNS(B847:AC847),846,"")</f>
        <v>0</v>
      </c>
      <c r="H847" s="2">
        <f>IF(B847="", "", "not provided")</f>
        <v>0</v>
      </c>
      <c r="I847" s="1">
        <f>IF(B847="", "", "meters")</f>
        <v>0</v>
      </c>
      <c r="T847" s="1">
        <f>IF(B847="", "", "Decimal degrees")</f>
        <v>0</v>
      </c>
      <c r="V847" s="1">
        <f>IF(B847="", "", "Decimal degrees")</f>
        <v>0</v>
      </c>
      <c r="Y847" s="1">
        <f>IF(B847="", "", "other")</f>
        <v>0</v>
      </c>
      <c r="AB847" s="1">
        <f>IF(B847="", "", "Not applicable")</f>
        <v>0</v>
      </c>
    </row>
    <row r="848" spans="1:28">
      <c r="A848">
        <f>IF(COUNTBLANK(B848:AC848)&lt;&gt;COLUMNS(B848:AC848),847,"")</f>
        <v>0</v>
      </c>
      <c r="H848" s="2">
        <f>IF(B848="", "", "not provided")</f>
        <v>0</v>
      </c>
      <c r="I848" s="1">
        <f>IF(B848="", "", "meters")</f>
        <v>0</v>
      </c>
      <c r="T848" s="1">
        <f>IF(B848="", "", "Decimal degrees")</f>
        <v>0</v>
      </c>
      <c r="V848" s="1">
        <f>IF(B848="", "", "Decimal degrees")</f>
        <v>0</v>
      </c>
      <c r="Y848" s="1">
        <f>IF(B848="", "", "other")</f>
        <v>0</v>
      </c>
      <c r="AB848" s="1">
        <f>IF(B848="", "", "Not applicable")</f>
        <v>0</v>
      </c>
    </row>
    <row r="849" spans="1:28">
      <c r="A849">
        <f>IF(COUNTBLANK(B849:AC849)&lt;&gt;COLUMNS(B849:AC849),848,"")</f>
        <v>0</v>
      </c>
      <c r="H849" s="2">
        <f>IF(B849="", "", "not provided")</f>
        <v>0</v>
      </c>
      <c r="I849" s="1">
        <f>IF(B849="", "", "meters")</f>
        <v>0</v>
      </c>
      <c r="T849" s="1">
        <f>IF(B849="", "", "Decimal degrees")</f>
        <v>0</v>
      </c>
      <c r="V849" s="1">
        <f>IF(B849="", "", "Decimal degrees")</f>
        <v>0</v>
      </c>
      <c r="Y849" s="1">
        <f>IF(B849="", "", "other")</f>
        <v>0</v>
      </c>
      <c r="AB849" s="1">
        <f>IF(B849="", "", "Not applicable")</f>
        <v>0</v>
      </c>
    </row>
    <row r="850" spans="1:28">
      <c r="A850">
        <f>IF(COUNTBLANK(B850:AC850)&lt;&gt;COLUMNS(B850:AC850),849,"")</f>
        <v>0</v>
      </c>
      <c r="H850" s="2">
        <f>IF(B850="", "", "not provided")</f>
        <v>0</v>
      </c>
      <c r="I850" s="1">
        <f>IF(B850="", "", "meters")</f>
        <v>0</v>
      </c>
      <c r="T850" s="1">
        <f>IF(B850="", "", "Decimal degrees")</f>
        <v>0</v>
      </c>
      <c r="V850" s="1">
        <f>IF(B850="", "", "Decimal degrees")</f>
        <v>0</v>
      </c>
      <c r="Y850" s="1">
        <f>IF(B850="", "", "other")</f>
        <v>0</v>
      </c>
      <c r="AB850" s="1">
        <f>IF(B850="", "", "Not applicable")</f>
        <v>0</v>
      </c>
    </row>
    <row r="851" spans="1:28">
      <c r="A851">
        <f>IF(COUNTBLANK(B851:AC851)&lt;&gt;COLUMNS(B851:AC851),850,"")</f>
        <v>0</v>
      </c>
      <c r="H851" s="2">
        <f>IF(B851="", "", "not provided")</f>
        <v>0</v>
      </c>
      <c r="I851" s="1">
        <f>IF(B851="", "", "meters")</f>
        <v>0</v>
      </c>
      <c r="T851" s="1">
        <f>IF(B851="", "", "Decimal degrees")</f>
        <v>0</v>
      </c>
      <c r="V851" s="1">
        <f>IF(B851="", "", "Decimal degrees")</f>
        <v>0</v>
      </c>
      <c r="Y851" s="1">
        <f>IF(B851="", "", "other")</f>
        <v>0</v>
      </c>
      <c r="AB851" s="1">
        <f>IF(B851="", "", "Not applicable")</f>
        <v>0</v>
      </c>
    </row>
    <row r="852" spans="1:28">
      <c r="A852">
        <f>IF(COUNTBLANK(B852:AC852)&lt;&gt;COLUMNS(B852:AC852),851,"")</f>
        <v>0</v>
      </c>
      <c r="H852" s="2">
        <f>IF(B852="", "", "not provided")</f>
        <v>0</v>
      </c>
      <c r="I852" s="1">
        <f>IF(B852="", "", "meters")</f>
        <v>0</v>
      </c>
      <c r="T852" s="1">
        <f>IF(B852="", "", "Decimal degrees")</f>
        <v>0</v>
      </c>
      <c r="V852" s="1">
        <f>IF(B852="", "", "Decimal degrees")</f>
        <v>0</v>
      </c>
      <c r="Y852" s="1">
        <f>IF(B852="", "", "other")</f>
        <v>0</v>
      </c>
      <c r="AB852" s="1">
        <f>IF(B852="", "", "Not applicable")</f>
        <v>0</v>
      </c>
    </row>
    <row r="853" spans="1:28">
      <c r="A853">
        <f>IF(COUNTBLANK(B853:AC853)&lt;&gt;COLUMNS(B853:AC853),852,"")</f>
        <v>0</v>
      </c>
      <c r="H853" s="2">
        <f>IF(B853="", "", "not provided")</f>
        <v>0</v>
      </c>
      <c r="I853" s="1">
        <f>IF(B853="", "", "meters")</f>
        <v>0</v>
      </c>
      <c r="T853" s="1">
        <f>IF(B853="", "", "Decimal degrees")</f>
        <v>0</v>
      </c>
      <c r="V853" s="1">
        <f>IF(B853="", "", "Decimal degrees")</f>
        <v>0</v>
      </c>
      <c r="Y853" s="1">
        <f>IF(B853="", "", "other")</f>
        <v>0</v>
      </c>
      <c r="AB853" s="1">
        <f>IF(B853="", "", "Not applicable")</f>
        <v>0</v>
      </c>
    </row>
    <row r="854" spans="1:28">
      <c r="A854">
        <f>IF(COUNTBLANK(B854:AC854)&lt;&gt;COLUMNS(B854:AC854),853,"")</f>
        <v>0</v>
      </c>
      <c r="H854" s="2">
        <f>IF(B854="", "", "not provided")</f>
        <v>0</v>
      </c>
      <c r="I854" s="1">
        <f>IF(B854="", "", "meters")</f>
        <v>0</v>
      </c>
      <c r="T854" s="1">
        <f>IF(B854="", "", "Decimal degrees")</f>
        <v>0</v>
      </c>
      <c r="V854" s="1">
        <f>IF(B854="", "", "Decimal degrees")</f>
        <v>0</v>
      </c>
      <c r="Y854" s="1">
        <f>IF(B854="", "", "other")</f>
        <v>0</v>
      </c>
      <c r="AB854" s="1">
        <f>IF(B854="", "", "Not applicable")</f>
        <v>0</v>
      </c>
    </row>
    <row r="855" spans="1:28">
      <c r="A855">
        <f>IF(COUNTBLANK(B855:AC855)&lt;&gt;COLUMNS(B855:AC855),854,"")</f>
        <v>0</v>
      </c>
      <c r="H855" s="2">
        <f>IF(B855="", "", "not provided")</f>
        <v>0</v>
      </c>
      <c r="I855" s="1">
        <f>IF(B855="", "", "meters")</f>
        <v>0</v>
      </c>
      <c r="T855" s="1">
        <f>IF(B855="", "", "Decimal degrees")</f>
        <v>0</v>
      </c>
      <c r="V855" s="1">
        <f>IF(B855="", "", "Decimal degrees")</f>
        <v>0</v>
      </c>
      <c r="Y855" s="1">
        <f>IF(B855="", "", "other")</f>
        <v>0</v>
      </c>
      <c r="AB855" s="1">
        <f>IF(B855="", "", "Not applicable")</f>
        <v>0</v>
      </c>
    </row>
    <row r="856" spans="1:28">
      <c r="A856">
        <f>IF(COUNTBLANK(B856:AC856)&lt;&gt;COLUMNS(B856:AC856),855,"")</f>
        <v>0</v>
      </c>
      <c r="H856" s="2">
        <f>IF(B856="", "", "not provided")</f>
        <v>0</v>
      </c>
      <c r="I856" s="1">
        <f>IF(B856="", "", "meters")</f>
        <v>0</v>
      </c>
      <c r="T856" s="1">
        <f>IF(B856="", "", "Decimal degrees")</f>
        <v>0</v>
      </c>
      <c r="V856" s="1">
        <f>IF(B856="", "", "Decimal degrees")</f>
        <v>0</v>
      </c>
      <c r="Y856" s="1">
        <f>IF(B856="", "", "other")</f>
        <v>0</v>
      </c>
      <c r="AB856" s="1">
        <f>IF(B856="", "", "Not applicable")</f>
        <v>0</v>
      </c>
    </row>
    <row r="857" spans="1:28">
      <c r="A857">
        <f>IF(COUNTBLANK(B857:AC857)&lt;&gt;COLUMNS(B857:AC857),856,"")</f>
        <v>0</v>
      </c>
      <c r="H857" s="2">
        <f>IF(B857="", "", "not provided")</f>
        <v>0</v>
      </c>
      <c r="I857" s="1">
        <f>IF(B857="", "", "meters")</f>
        <v>0</v>
      </c>
      <c r="T857" s="1">
        <f>IF(B857="", "", "Decimal degrees")</f>
        <v>0</v>
      </c>
      <c r="V857" s="1">
        <f>IF(B857="", "", "Decimal degrees")</f>
        <v>0</v>
      </c>
      <c r="Y857" s="1">
        <f>IF(B857="", "", "other")</f>
        <v>0</v>
      </c>
      <c r="AB857" s="1">
        <f>IF(B857="", "", "Not applicable")</f>
        <v>0</v>
      </c>
    </row>
    <row r="858" spans="1:28">
      <c r="A858">
        <f>IF(COUNTBLANK(B858:AC858)&lt;&gt;COLUMNS(B858:AC858),857,"")</f>
        <v>0</v>
      </c>
      <c r="H858" s="2">
        <f>IF(B858="", "", "not provided")</f>
        <v>0</v>
      </c>
      <c r="I858" s="1">
        <f>IF(B858="", "", "meters")</f>
        <v>0</v>
      </c>
      <c r="T858" s="1">
        <f>IF(B858="", "", "Decimal degrees")</f>
        <v>0</v>
      </c>
      <c r="V858" s="1">
        <f>IF(B858="", "", "Decimal degrees")</f>
        <v>0</v>
      </c>
      <c r="Y858" s="1">
        <f>IF(B858="", "", "other")</f>
        <v>0</v>
      </c>
      <c r="AB858" s="1">
        <f>IF(B858="", "", "Not applicable")</f>
        <v>0</v>
      </c>
    </row>
    <row r="859" spans="1:28">
      <c r="A859">
        <f>IF(COUNTBLANK(B859:AC859)&lt;&gt;COLUMNS(B859:AC859),858,"")</f>
        <v>0</v>
      </c>
      <c r="H859" s="2">
        <f>IF(B859="", "", "not provided")</f>
        <v>0</v>
      </c>
      <c r="I859" s="1">
        <f>IF(B859="", "", "meters")</f>
        <v>0</v>
      </c>
      <c r="T859" s="1">
        <f>IF(B859="", "", "Decimal degrees")</f>
        <v>0</v>
      </c>
      <c r="V859" s="1">
        <f>IF(B859="", "", "Decimal degrees")</f>
        <v>0</v>
      </c>
      <c r="Y859" s="1">
        <f>IF(B859="", "", "other")</f>
        <v>0</v>
      </c>
      <c r="AB859" s="1">
        <f>IF(B859="", "", "Not applicable")</f>
        <v>0</v>
      </c>
    </row>
    <row r="860" spans="1:28">
      <c r="A860">
        <f>IF(COUNTBLANK(B860:AC860)&lt;&gt;COLUMNS(B860:AC860),859,"")</f>
        <v>0</v>
      </c>
      <c r="H860" s="2">
        <f>IF(B860="", "", "not provided")</f>
        <v>0</v>
      </c>
      <c r="I860" s="1">
        <f>IF(B860="", "", "meters")</f>
        <v>0</v>
      </c>
      <c r="T860" s="1">
        <f>IF(B860="", "", "Decimal degrees")</f>
        <v>0</v>
      </c>
      <c r="V860" s="1">
        <f>IF(B860="", "", "Decimal degrees")</f>
        <v>0</v>
      </c>
      <c r="Y860" s="1">
        <f>IF(B860="", "", "other")</f>
        <v>0</v>
      </c>
      <c r="AB860" s="1">
        <f>IF(B860="", "", "Not applicable")</f>
        <v>0</v>
      </c>
    </row>
    <row r="861" spans="1:28">
      <c r="A861">
        <f>IF(COUNTBLANK(B861:AC861)&lt;&gt;COLUMNS(B861:AC861),860,"")</f>
        <v>0</v>
      </c>
      <c r="H861" s="2">
        <f>IF(B861="", "", "not provided")</f>
        <v>0</v>
      </c>
      <c r="I861" s="1">
        <f>IF(B861="", "", "meters")</f>
        <v>0</v>
      </c>
      <c r="T861" s="1">
        <f>IF(B861="", "", "Decimal degrees")</f>
        <v>0</v>
      </c>
      <c r="V861" s="1">
        <f>IF(B861="", "", "Decimal degrees")</f>
        <v>0</v>
      </c>
      <c r="Y861" s="1">
        <f>IF(B861="", "", "other")</f>
        <v>0</v>
      </c>
      <c r="AB861" s="1">
        <f>IF(B861="", "", "Not applicable")</f>
        <v>0</v>
      </c>
    </row>
    <row r="862" spans="1:28">
      <c r="A862">
        <f>IF(COUNTBLANK(B862:AC862)&lt;&gt;COLUMNS(B862:AC862),861,"")</f>
        <v>0</v>
      </c>
      <c r="H862" s="2">
        <f>IF(B862="", "", "not provided")</f>
        <v>0</v>
      </c>
      <c r="I862" s="1">
        <f>IF(B862="", "", "meters")</f>
        <v>0</v>
      </c>
      <c r="T862" s="1">
        <f>IF(B862="", "", "Decimal degrees")</f>
        <v>0</v>
      </c>
      <c r="V862" s="1">
        <f>IF(B862="", "", "Decimal degrees")</f>
        <v>0</v>
      </c>
      <c r="Y862" s="1">
        <f>IF(B862="", "", "other")</f>
        <v>0</v>
      </c>
      <c r="AB862" s="1">
        <f>IF(B862="", "", "Not applicable")</f>
        <v>0</v>
      </c>
    </row>
    <row r="863" spans="1:28">
      <c r="A863">
        <f>IF(COUNTBLANK(B863:AC863)&lt;&gt;COLUMNS(B863:AC863),862,"")</f>
        <v>0</v>
      </c>
      <c r="H863" s="2">
        <f>IF(B863="", "", "not provided")</f>
        <v>0</v>
      </c>
      <c r="I863" s="1">
        <f>IF(B863="", "", "meters")</f>
        <v>0</v>
      </c>
      <c r="T863" s="1">
        <f>IF(B863="", "", "Decimal degrees")</f>
        <v>0</v>
      </c>
      <c r="V863" s="1">
        <f>IF(B863="", "", "Decimal degrees")</f>
        <v>0</v>
      </c>
      <c r="Y863" s="1">
        <f>IF(B863="", "", "other")</f>
        <v>0</v>
      </c>
      <c r="AB863" s="1">
        <f>IF(B863="", "", "Not applicable")</f>
        <v>0</v>
      </c>
    </row>
    <row r="864" spans="1:28">
      <c r="A864">
        <f>IF(COUNTBLANK(B864:AC864)&lt;&gt;COLUMNS(B864:AC864),863,"")</f>
        <v>0</v>
      </c>
      <c r="H864" s="2">
        <f>IF(B864="", "", "not provided")</f>
        <v>0</v>
      </c>
      <c r="I864" s="1">
        <f>IF(B864="", "", "meters")</f>
        <v>0</v>
      </c>
      <c r="T864" s="1">
        <f>IF(B864="", "", "Decimal degrees")</f>
        <v>0</v>
      </c>
      <c r="V864" s="1">
        <f>IF(B864="", "", "Decimal degrees")</f>
        <v>0</v>
      </c>
      <c r="Y864" s="1">
        <f>IF(B864="", "", "other")</f>
        <v>0</v>
      </c>
      <c r="AB864" s="1">
        <f>IF(B864="", "", "Not applicable")</f>
        <v>0</v>
      </c>
    </row>
    <row r="865" spans="1:28">
      <c r="A865">
        <f>IF(COUNTBLANK(B865:AC865)&lt;&gt;COLUMNS(B865:AC865),864,"")</f>
        <v>0</v>
      </c>
      <c r="H865" s="2">
        <f>IF(B865="", "", "not provided")</f>
        <v>0</v>
      </c>
      <c r="I865" s="1">
        <f>IF(B865="", "", "meters")</f>
        <v>0</v>
      </c>
      <c r="T865" s="1">
        <f>IF(B865="", "", "Decimal degrees")</f>
        <v>0</v>
      </c>
      <c r="V865" s="1">
        <f>IF(B865="", "", "Decimal degrees")</f>
        <v>0</v>
      </c>
      <c r="Y865" s="1">
        <f>IF(B865="", "", "other")</f>
        <v>0</v>
      </c>
      <c r="AB865" s="1">
        <f>IF(B865="", "", "Not applicable")</f>
        <v>0</v>
      </c>
    </row>
    <row r="866" spans="1:28">
      <c r="A866">
        <f>IF(COUNTBLANK(B866:AC866)&lt;&gt;COLUMNS(B866:AC866),865,"")</f>
        <v>0</v>
      </c>
      <c r="H866" s="2">
        <f>IF(B866="", "", "not provided")</f>
        <v>0</v>
      </c>
      <c r="I866" s="1">
        <f>IF(B866="", "", "meters")</f>
        <v>0</v>
      </c>
      <c r="T866" s="1">
        <f>IF(B866="", "", "Decimal degrees")</f>
        <v>0</v>
      </c>
      <c r="V866" s="1">
        <f>IF(B866="", "", "Decimal degrees")</f>
        <v>0</v>
      </c>
      <c r="Y866" s="1">
        <f>IF(B866="", "", "other")</f>
        <v>0</v>
      </c>
      <c r="AB866" s="1">
        <f>IF(B866="", "", "Not applicable")</f>
        <v>0</v>
      </c>
    </row>
    <row r="867" spans="1:28">
      <c r="A867">
        <f>IF(COUNTBLANK(B867:AC867)&lt;&gt;COLUMNS(B867:AC867),866,"")</f>
        <v>0</v>
      </c>
      <c r="H867" s="2">
        <f>IF(B867="", "", "not provided")</f>
        <v>0</v>
      </c>
      <c r="I867" s="1">
        <f>IF(B867="", "", "meters")</f>
        <v>0</v>
      </c>
      <c r="T867" s="1">
        <f>IF(B867="", "", "Decimal degrees")</f>
        <v>0</v>
      </c>
      <c r="V867" s="1">
        <f>IF(B867="", "", "Decimal degrees")</f>
        <v>0</v>
      </c>
      <c r="Y867" s="1">
        <f>IF(B867="", "", "other")</f>
        <v>0</v>
      </c>
      <c r="AB867" s="1">
        <f>IF(B867="", "", "Not applicable")</f>
        <v>0</v>
      </c>
    </row>
    <row r="868" spans="1:28">
      <c r="A868">
        <f>IF(COUNTBLANK(B868:AC868)&lt;&gt;COLUMNS(B868:AC868),867,"")</f>
        <v>0</v>
      </c>
      <c r="H868" s="2">
        <f>IF(B868="", "", "not provided")</f>
        <v>0</v>
      </c>
      <c r="I868" s="1">
        <f>IF(B868="", "", "meters")</f>
        <v>0</v>
      </c>
      <c r="T868" s="1">
        <f>IF(B868="", "", "Decimal degrees")</f>
        <v>0</v>
      </c>
      <c r="V868" s="1">
        <f>IF(B868="", "", "Decimal degrees")</f>
        <v>0</v>
      </c>
      <c r="Y868" s="1">
        <f>IF(B868="", "", "other")</f>
        <v>0</v>
      </c>
      <c r="AB868" s="1">
        <f>IF(B868="", "", "Not applicable")</f>
        <v>0</v>
      </c>
    </row>
    <row r="869" spans="1:28">
      <c r="A869">
        <f>IF(COUNTBLANK(B869:AC869)&lt;&gt;COLUMNS(B869:AC869),868,"")</f>
        <v>0</v>
      </c>
      <c r="H869" s="2">
        <f>IF(B869="", "", "not provided")</f>
        <v>0</v>
      </c>
      <c r="I869" s="1">
        <f>IF(B869="", "", "meters")</f>
        <v>0</v>
      </c>
      <c r="T869" s="1">
        <f>IF(B869="", "", "Decimal degrees")</f>
        <v>0</v>
      </c>
      <c r="V869" s="1">
        <f>IF(B869="", "", "Decimal degrees")</f>
        <v>0</v>
      </c>
      <c r="Y869" s="1">
        <f>IF(B869="", "", "other")</f>
        <v>0</v>
      </c>
      <c r="AB869" s="1">
        <f>IF(B869="", "", "Not applicable")</f>
        <v>0</v>
      </c>
    </row>
    <row r="870" spans="1:28">
      <c r="A870">
        <f>IF(COUNTBLANK(B870:AC870)&lt;&gt;COLUMNS(B870:AC870),869,"")</f>
        <v>0</v>
      </c>
      <c r="H870" s="2">
        <f>IF(B870="", "", "not provided")</f>
        <v>0</v>
      </c>
      <c r="I870" s="1">
        <f>IF(B870="", "", "meters")</f>
        <v>0</v>
      </c>
      <c r="T870" s="1">
        <f>IF(B870="", "", "Decimal degrees")</f>
        <v>0</v>
      </c>
      <c r="V870" s="1">
        <f>IF(B870="", "", "Decimal degrees")</f>
        <v>0</v>
      </c>
      <c r="Y870" s="1">
        <f>IF(B870="", "", "other")</f>
        <v>0</v>
      </c>
      <c r="AB870" s="1">
        <f>IF(B870="", "", "Not applicable")</f>
        <v>0</v>
      </c>
    </row>
    <row r="871" spans="1:28">
      <c r="A871">
        <f>IF(COUNTBLANK(B871:AC871)&lt;&gt;COLUMNS(B871:AC871),870,"")</f>
        <v>0</v>
      </c>
      <c r="H871" s="2">
        <f>IF(B871="", "", "not provided")</f>
        <v>0</v>
      </c>
      <c r="I871" s="1">
        <f>IF(B871="", "", "meters")</f>
        <v>0</v>
      </c>
      <c r="T871" s="1">
        <f>IF(B871="", "", "Decimal degrees")</f>
        <v>0</v>
      </c>
      <c r="V871" s="1">
        <f>IF(B871="", "", "Decimal degrees")</f>
        <v>0</v>
      </c>
      <c r="Y871" s="1">
        <f>IF(B871="", "", "other")</f>
        <v>0</v>
      </c>
      <c r="AB871" s="1">
        <f>IF(B871="", "", "Not applicable")</f>
        <v>0</v>
      </c>
    </row>
    <row r="872" spans="1:28">
      <c r="A872">
        <f>IF(COUNTBLANK(B872:AC872)&lt;&gt;COLUMNS(B872:AC872),871,"")</f>
        <v>0</v>
      </c>
      <c r="H872" s="2">
        <f>IF(B872="", "", "not provided")</f>
        <v>0</v>
      </c>
      <c r="I872" s="1">
        <f>IF(B872="", "", "meters")</f>
        <v>0</v>
      </c>
      <c r="T872" s="1">
        <f>IF(B872="", "", "Decimal degrees")</f>
        <v>0</v>
      </c>
      <c r="V872" s="1">
        <f>IF(B872="", "", "Decimal degrees")</f>
        <v>0</v>
      </c>
      <c r="Y872" s="1">
        <f>IF(B872="", "", "other")</f>
        <v>0</v>
      </c>
      <c r="AB872" s="1">
        <f>IF(B872="", "", "Not applicable")</f>
        <v>0</v>
      </c>
    </row>
    <row r="873" spans="1:28">
      <c r="A873">
        <f>IF(COUNTBLANK(B873:AC873)&lt;&gt;COLUMNS(B873:AC873),872,"")</f>
        <v>0</v>
      </c>
      <c r="H873" s="2">
        <f>IF(B873="", "", "not provided")</f>
        <v>0</v>
      </c>
      <c r="I873" s="1">
        <f>IF(B873="", "", "meters")</f>
        <v>0</v>
      </c>
      <c r="T873" s="1">
        <f>IF(B873="", "", "Decimal degrees")</f>
        <v>0</v>
      </c>
      <c r="V873" s="1">
        <f>IF(B873="", "", "Decimal degrees")</f>
        <v>0</v>
      </c>
      <c r="Y873" s="1">
        <f>IF(B873="", "", "other")</f>
        <v>0</v>
      </c>
      <c r="AB873" s="1">
        <f>IF(B873="", "", "Not applicable")</f>
        <v>0</v>
      </c>
    </row>
    <row r="874" spans="1:28">
      <c r="A874">
        <f>IF(COUNTBLANK(B874:AC874)&lt;&gt;COLUMNS(B874:AC874),873,"")</f>
        <v>0</v>
      </c>
      <c r="H874" s="2">
        <f>IF(B874="", "", "not provided")</f>
        <v>0</v>
      </c>
      <c r="I874" s="1">
        <f>IF(B874="", "", "meters")</f>
        <v>0</v>
      </c>
      <c r="T874" s="1">
        <f>IF(B874="", "", "Decimal degrees")</f>
        <v>0</v>
      </c>
      <c r="V874" s="1">
        <f>IF(B874="", "", "Decimal degrees")</f>
        <v>0</v>
      </c>
      <c r="Y874" s="1">
        <f>IF(B874="", "", "other")</f>
        <v>0</v>
      </c>
      <c r="AB874" s="1">
        <f>IF(B874="", "", "Not applicable")</f>
        <v>0</v>
      </c>
    </row>
    <row r="875" spans="1:28">
      <c r="A875">
        <f>IF(COUNTBLANK(B875:AC875)&lt;&gt;COLUMNS(B875:AC875),874,"")</f>
        <v>0</v>
      </c>
      <c r="H875" s="2">
        <f>IF(B875="", "", "not provided")</f>
        <v>0</v>
      </c>
      <c r="I875" s="1">
        <f>IF(B875="", "", "meters")</f>
        <v>0</v>
      </c>
      <c r="T875" s="1">
        <f>IF(B875="", "", "Decimal degrees")</f>
        <v>0</v>
      </c>
      <c r="V875" s="1">
        <f>IF(B875="", "", "Decimal degrees")</f>
        <v>0</v>
      </c>
      <c r="Y875" s="1">
        <f>IF(B875="", "", "other")</f>
        <v>0</v>
      </c>
      <c r="AB875" s="1">
        <f>IF(B875="", "", "Not applicable")</f>
        <v>0</v>
      </c>
    </row>
    <row r="876" spans="1:28">
      <c r="A876">
        <f>IF(COUNTBLANK(B876:AC876)&lt;&gt;COLUMNS(B876:AC876),875,"")</f>
        <v>0</v>
      </c>
      <c r="H876" s="2">
        <f>IF(B876="", "", "not provided")</f>
        <v>0</v>
      </c>
      <c r="I876" s="1">
        <f>IF(B876="", "", "meters")</f>
        <v>0</v>
      </c>
      <c r="T876" s="1">
        <f>IF(B876="", "", "Decimal degrees")</f>
        <v>0</v>
      </c>
      <c r="V876" s="1">
        <f>IF(B876="", "", "Decimal degrees")</f>
        <v>0</v>
      </c>
      <c r="Y876" s="1">
        <f>IF(B876="", "", "other")</f>
        <v>0</v>
      </c>
      <c r="AB876" s="1">
        <f>IF(B876="", "", "Not applicable")</f>
        <v>0</v>
      </c>
    </row>
    <row r="877" spans="1:28">
      <c r="A877">
        <f>IF(COUNTBLANK(B877:AC877)&lt;&gt;COLUMNS(B877:AC877),876,"")</f>
        <v>0</v>
      </c>
      <c r="H877" s="2">
        <f>IF(B877="", "", "not provided")</f>
        <v>0</v>
      </c>
      <c r="I877" s="1">
        <f>IF(B877="", "", "meters")</f>
        <v>0</v>
      </c>
      <c r="T877" s="1">
        <f>IF(B877="", "", "Decimal degrees")</f>
        <v>0</v>
      </c>
      <c r="V877" s="1">
        <f>IF(B877="", "", "Decimal degrees")</f>
        <v>0</v>
      </c>
      <c r="Y877" s="1">
        <f>IF(B877="", "", "other")</f>
        <v>0</v>
      </c>
      <c r="AB877" s="1">
        <f>IF(B877="", "", "Not applicable")</f>
        <v>0</v>
      </c>
    </row>
    <row r="878" spans="1:28">
      <c r="A878">
        <f>IF(COUNTBLANK(B878:AC878)&lt;&gt;COLUMNS(B878:AC878),877,"")</f>
        <v>0</v>
      </c>
      <c r="H878" s="2">
        <f>IF(B878="", "", "not provided")</f>
        <v>0</v>
      </c>
      <c r="I878" s="1">
        <f>IF(B878="", "", "meters")</f>
        <v>0</v>
      </c>
      <c r="T878" s="1">
        <f>IF(B878="", "", "Decimal degrees")</f>
        <v>0</v>
      </c>
      <c r="V878" s="1">
        <f>IF(B878="", "", "Decimal degrees")</f>
        <v>0</v>
      </c>
      <c r="Y878" s="1">
        <f>IF(B878="", "", "other")</f>
        <v>0</v>
      </c>
      <c r="AB878" s="1">
        <f>IF(B878="", "", "Not applicable")</f>
        <v>0</v>
      </c>
    </row>
    <row r="879" spans="1:28">
      <c r="A879">
        <f>IF(COUNTBLANK(B879:AC879)&lt;&gt;COLUMNS(B879:AC879),878,"")</f>
        <v>0</v>
      </c>
      <c r="H879" s="2">
        <f>IF(B879="", "", "not provided")</f>
        <v>0</v>
      </c>
      <c r="I879" s="1">
        <f>IF(B879="", "", "meters")</f>
        <v>0</v>
      </c>
      <c r="T879" s="1">
        <f>IF(B879="", "", "Decimal degrees")</f>
        <v>0</v>
      </c>
      <c r="V879" s="1">
        <f>IF(B879="", "", "Decimal degrees")</f>
        <v>0</v>
      </c>
      <c r="Y879" s="1">
        <f>IF(B879="", "", "other")</f>
        <v>0</v>
      </c>
      <c r="AB879" s="1">
        <f>IF(B879="", "", "Not applicable")</f>
        <v>0</v>
      </c>
    </row>
    <row r="880" spans="1:28">
      <c r="A880">
        <f>IF(COUNTBLANK(B880:AC880)&lt;&gt;COLUMNS(B880:AC880),879,"")</f>
        <v>0</v>
      </c>
      <c r="H880" s="2">
        <f>IF(B880="", "", "not provided")</f>
        <v>0</v>
      </c>
      <c r="I880" s="1">
        <f>IF(B880="", "", "meters")</f>
        <v>0</v>
      </c>
      <c r="T880" s="1">
        <f>IF(B880="", "", "Decimal degrees")</f>
        <v>0</v>
      </c>
      <c r="V880" s="1">
        <f>IF(B880="", "", "Decimal degrees")</f>
        <v>0</v>
      </c>
      <c r="Y880" s="1">
        <f>IF(B880="", "", "other")</f>
        <v>0</v>
      </c>
      <c r="AB880" s="1">
        <f>IF(B880="", "", "Not applicable")</f>
        <v>0</v>
      </c>
    </row>
    <row r="881" spans="1:28">
      <c r="A881">
        <f>IF(COUNTBLANK(B881:AC881)&lt;&gt;COLUMNS(B881:AC881),880,"")</f>
        <v>0</v>
      </c>
      <c r="H881" s="2">
        <f>IF(B881="", "", "not provided")</f>
        <v>0</v>
      </c>
      <c r="I881" s="1">
        <f>IF(B881="", "", "meters")</f>
        <v>0</v>
      </c>
      <c r="T881" s="1">
        <f>IF(B881="", "", "Decimal degrees")</f>
        <v>0</v>
      </c>
      <c r="V881" s="1">
        <f>IF(B881="", "", "Decimal degrees")</f>
        <v>0</v>
      </c>
      <c r="Y881" s="1">
        <f>IF(B881="", "", "other")</f>
        <v>0</v>
      </c>
      <c r="AB881" s="1">
        <f>IF(B881="", "", "Not applicable")</f>
        <v>0</v>
      </c>
    </row>
    <row r="882" spans="1:28">
      <c r="A882">
        <f>IF(COUNTBLANK(B882:AC882)&lt;&gt;COLUMNS(B882:AC882),881,"")</f>
        <v>0</v>
      </c>
      <c r="H882" s="2">
        <f>IF(B882="", "", "not provided")</f>
        <v>0</v>
      </c>
      <c r="I882" s="1">
        <f>IF(B882="", "", "meters")</f>
        <v>0</v>
      </c>
      <c r="T882" s="1">
        <f>IF(B882="", "", "Decimal degrees")</f>
        <v>0</v>
      </c>
      <c r="V882" s="1">
        <f>IF(B882="", "", "Decimal degrees")</f>
        <v>0</v>
      </c>
      <c r="Y882" s="1">
        <f>IF(B882="", "", "other")</f>
        <v>0</v>
      </c>
      <c r="AB882" s="1">
        <f>IF(B882="", "", "Not applicable")</f>
        <v>0</v>
      </c>
    </row>
    <row r="883" spans="1:28">
      <c r="A883">
        <f>IF(COUNTBLANK(B883:AC883)&lt;&gt;COLUMNS(B883:AC883),882,"")</f>
        <v>0</v>
      </c>
      <c r="H883" s="2">
        <f>IF(B883="", "", "not provided")</f>
        <v>0</v>
      </c>
      <c r="I883" s="1">
        <f>IF(B883="", "", "meters")</f>
        <v>0</v>
      </c>
      <c r="T883" s="1">
        <f>IF(B883="", "", "Decimal degrees")</f>
        <v>0</v>
      </c>
      <c r="V883" s="1">
        <f>IF(B883="", "", "Decimal degrees")</f>
        <v>0</v>
      </c>
      <c r="Y883" s="1">
        <f>IF(B883="", "", "other")</f>
        <v>0</v>
      </c>
      <c r="AB883" s="1">
        <f>IF(B883="", "", "Not applicable")</f>
        <v>0</v>
      </c>
    </row>
    <row r="884" spans="1:28">
      <c r="A884">
        <f>IF(COUNTBLANK(B884:AC884)&lt;&gt;COLUMNS(B884:AC884),883,"")</f>
        <v>0</v>
      </c>
      <c r="H884" s="2">
        <f>IF(B884="", "", "not provided")</f>
        <v>0</v>
      </c>
      <c r="I884" s="1">
        <f>IF(B884="", "", "meters")</f>
        <v>0</v>
      </c>
      <c r="T884" s="1">
        <f>IF(B884="", "", "Decimal degrees")</f>
        <v>0</v>
      </c>
      <c r="V884" s="1">
        <f>IF(B884="", "", "Decimal degrees")</f>
        <v>0</v>
      </c>
      <c r="Y884" s="1">
        <f>IF(B884="", "", "other")</f>
        <v>0</v>
      </c>
      <c r="AB884" s="1">
        <f>IF(B884="", "", "Not applicable")</f>
        <v>0</v>
      </c>
    </row>
    <row r="885" spans="1:28">
      <c r="A885">
        <f>IF(COUNTBLANK(B885:AC885)&lt;&gt;COLUMNS(B885:AC885),884,"")</f>
        <v>0</v>
      </c>
      <c r="H885" s="2">
        <f>IF(B885="", "", "not provided")</f>
        <v>0</v>
      </c>
      <c r="I885" s="1">
        <f>IF(B885="", "", "meters")</f>
        <v>0</v>
      </c>
      <c r="T885" s="1">
        <f>IF(B885="", "", "Decimal degrees")</f>
        <v>0</v>
      </c>
      <c r="V885" s="1">
        <f>IF(B885="", "", "Decimal degrees")</f>
        <v>0</v>
      </c>
      <c r="Y885" s="1">
        <f>IF(B885="", "", "other")</f>
        <v>0</v>
      </c>
      <c r="AB885" s="1">
        <f>IF(B885="", "", "Not applicable")</f>
        <v>0</v>
      </c>
    </row>
    <row r="886" spans="1:28">
      <c r="A886">
        <f>IF(COUNTBLANK(B886:AC886)&lt;&gt;COLUMNS(B886:AC886),885,"")</f>
        <v>0</v>
      </c>
      <c r="H886" s="2">
        <f>IF(B886="", "", "not provided")</f>
        <v>0</v>
      </c>
      <c r="I886" s="1">
        <f>IF(B886="", "", "meters")</f>
        <v>0</v>
      </c>
      <c r="T886" s="1">
        <f>IF(B886="", "", "Decimal degrees")</f>
        <v>0</v>
      </c>
      <c r="V886" s="1">
        <f>IF(B886="", "", "Decimal degrees")</f>
        <v>0</v>
      </c>
      <c r="Y886" s="1">
        <f>IF(B886="", "", "other")</f>
        <v>0</v>
      </c>
      <c r="AB886" s="1">
        <f>IF(B886="", "", "Not applicable")</f>
        <v>0</v>
      </c>
    </row>
    <row r="887" spans="1:28">
      <c r="A887">
        <f>IF(COUNTBLANK(B887:AC887)&lt;&gt;COLUMNS(B887:AC887),886,"")</f>
        <v>0</v>
      </c>
      <c r="H887" s="2">
        <f>IF(B887="", "", "not provided")</f>
        <v>0</v>
      </c>
      <c r="I887" s="1">
        <f>IF(B887="", "", "meters")</f>
        <v>0</v>
      </c>
      <c r="T887" s="1">
        <f>IF(B887="", "", "Decimal degrees")</f>
        <v>0</v>
      </c>
      <c r="V887" s="1">
        <f>IF(B887="", "", "Decimal degrees")</f>
        <v>0</v>
      </c>
      <c r="Y887" s="1">
        <f>IF(B887="", "", "other")</f>
        <v>0</v>
      </c>
      <c r="AB887" s="1">
        <f>IF(B887="", "", "Not applicable")</f>
        <v>0</v>
      </c>
    </row>
    <row r="888" spans="1:28">
      <c r="A888">
        <f>IF(COUNTBLANK(B888:AC888)&lt;&gt;COLUMNS(B888:AC888),887,"")</f>
        <v>0</v>
      </c>
      <c r="H888" s="2">
        <f>IF(B888="", "", "not provided")</f>
        <v>0</v>
      </c>
      <c r="I888" s="1">
        <f>IF(B888="", "", "meters")</f>
        <v>0</v>
      </c>
      <c r="T888" s="1">
        <f>IF(B888="", "", "Decimal degrees")</f>
        <v>0</v>
      </c>
      <c r="V888" s="1">
        <f>IF(B888="", "", "Decimal degrees")</f>
        <v>0</v>
      </c>
      <c r="Y888" s="1">
        <f>IF(B888="", "", "other")</f>
        <v>0</v>
      </c>
      <c r="AB888" s="1">
        <f>IF(B888="", "", "Not applicable")</f>
        <v>0</v>
      </c>
    </row>
    <row r="889" spans="1:28">
      <c r="A889">
        <f>IF(COUNTBLANK(B889:AC889)&lt;&gt;COLUMNS(B889:AC889),888,"")</f>
        <v>0</v>
      </c>
      <c r="H889" s="2">
        <f>IF(B889="", "", "not provided")</f>
        <v>0</v>
      </c>
      <c r="I889" s="1">
        <f>IF(B889="", "", "meters")</f>
        <v>0</v>
      </c>
      <c r="T889" s="1">
        <f>IF(B889="", "", "Decimal degrees")</f>
        <v>0</v>
      </c>
      <c r="V889" s="1">
        <f>IF(B889="", "", "Decimal degrees")</f>
        <v>0</v>
      </c>
      <c r="Y889" s="1">
        <f>IF(B889="", "", "other")</f>
        <v>0</v>
      </c>
      <c r="AB889" s="1">
        <f>IF(B889="", "", "Not applicable")</f>
        <v>0</v>
      </c>
    </row>
    <row r="890" spans="1:28">
      <c r="A890">
        <f>IF(COUNTBLANK(B890:AC890)&lt;&gt;COLUMNS(B890:AC890),889,"")</f>
        <v>0</v>
      </c>
      <c r="H890" s="2">
        <f>IF(B890="", "", "not provided")</f>
        <v>0</v>
      </c>
      <c r="I890" s="1">
        <f>IF(B890="", "", "meters")</f>
        <v>0</v>
      </c>
      <c r="T890" s="1">
        <f>IF(B890="", "", "Decimal degrees")</f>
        <v>0</v>
      </c>
      <c r="V890" s="1">
        <f>IF(B890="", "", "Decimal degrees")</f>
        <v>0</v>
      </c>
      <c r="Y890" s="1">
        <f>IF(B890="", "", "other")</f>
        <v>0</v>
      </c>
      <c r="AB890" s="1">
        <f>IF(B890="", "", "Not applicable")</f>
        <v>0</v>
      </c>
    </row>
    <row r="891" spans="1:28">
      <c r="A891">
        <f>IF(COUNTBLANK(B891:AC891)&lt;&gt;COLUMNS(B891:AC891),890,"")</f>
        <v>0</v>
      </c>
      <c r="H891" s="2">
        <f>IF(B891="", "", "not provided")</f>
        <v>0</v>
      </c>
      <c r="I891" s="1">
        <f>IF(B891="", "", "meters")</f>
        <v>0</v>
      </c>
      <c r="T891" s="1">
        <f>IF(B891="", "", "Decimal degrees")</f>
        <v>0</v>
      </c>
      <c r="V891" s="1">
        <f>IF(B891="", "", "Decimal degrees")</f>
        <v>0</v>
      </c>
      <c r="Y891" s="1">
        <f>IF(B891="", "", "other")</f>
        <v>0</v>
      </c>
      <c r="AB891" s="1">
        <f>IF(B891="", "", "Not applicable")</f>
        <v>0</v>
      </c>
    </row>
    <row r="892" spans="1:28">
      <c r="A892">
        <f>IF(COUNTBLANK(B892:AC892)&lt;&gt;COLUMNS(B892:AC892),891,"")</f>
        <v>0</v>
      </c>
      <c r="H892" s="2">
        <f>IF(B892="", "", "not provided")</f>
        <v>0</v>
      </c>
      <c r="I892" s="1">
        <f>IF(B892="", "", "meters")</f>
        <v>0</v>
      </c>
      <c r="T892" s="1">
        <f>IF(B892="", "", "Decimal degrees")</f>
        <v>0</v>
      </c>
      <c r="V892" s="1">
        <f>IF(B892="", "", "Decimal degrees")</f>
        <v>0</v>
      </c>
      <c r="Y892" s="1">
        <f>IF(B892="", "", "other")</f>
        <v>0</v>
      </c>
      <c r="AB892" s="1">
        <f>IF(B892="", "", "Not applicable")</f>
        <v>0</v>
      </c>
    </row>
    <row r="893" spans="1:28">
      <c r="A893">
        <f>IF(COUNTBLANK(B893:AC893)&lt;&gt;COLUMNS(B893:AC893),892,"")</f>
        <v>0</v>
      </c>
      <c r="H893" s="2">
        <f>IF(B893="", "", "not provided")</f>
        <v>0</v>
      </c>
      <c r="I893" s="1">
        <f>IF(B893="", "", "meters")</f>
        <v>0</v>
      </c>
      <c r="T893" s="1">
        <f>IF(B893="", "", "Decimal degrees")</f>
        <v>0</v>
      </c>
      <c r="V893" s="1">
        <f>IF(B893="", "", "Decimal degrees")</f>
        <v>0</v>
      </c>
      <c r="Y893" s="1">
        <f>IF(B893="", "", "other")</f>
        <v>0</v>
      </c>
      <c r="AB893" s="1">
        <f>IF(B893="", "", "Not applicable")</f>
        <v>0</v>
      </c>
    </row>
    <row r="894" spans="1:28">
      <c r="A894">
        <f>IF(COUNTBLANK(B894:AC894)&lt;&gt;COLUMNS(B894:AC894),893,"")</f>
        <v>0</v>
      </c>
      <c r="H894" s="2">
        <f>IF(B894="", "", "not provided")</f>
        <v>0</v>
      </c>
      <c r="I894" s="1">
        <f>IF(B894="", "", "meters")</f>
        <v>0</v>
      </c>
      <c r="T894" s="1">
        <f>IF(B894="", "", "Decimal degrees")</f>
        <v>0</v>
      </c>
      <c r="V894" s="1">
        <f>IF(B894="", "", "Decimal degrees")</f>
        <v>0</v>
      </c>
      <c r="Y894" s="1">
        <f>IF(B894="", "", "other")</f>
        <v>0</v>
      </c>
      <c r="AB894" s="1">
        <f>IF(B894="", "", "Not applicable")</f>
        <v>0</v>
      </c>
    </row>
    <row r="895" spans="1:28">
      <c r="A895">
        <f>IF(COUNTBLANK(B895:AC895)&lt;&gt;COLUMNS(B895:AC895),894,"")</f>
        <v>0</v>
      </c>
      <c r="H895" s="2">
        <f>IF(B895="", "", "not provided")</f>
        <v>0</v>
      </c>
      <c r="I895" s="1">
        <f>IF(B895="", "", "meters")</f>
        <v>0</v>
      </c>
      <c r="T895" s="1">
        <f>IF(B895="", "", "Decimal degrees")</f>
        <v>0</v>
      </c>
      <c r="V895" s="1">
        <f>IF(B895="", "", "Decimal degrees")</f>
        <v>0</v>
      </c>
      <c r="Y895" s="1">
        <f>IF(B895="", "", "other")</f>
        <v>0</v>
      </c>
      <c r="AB895" s="1">
        <f>IF(B895="", "", "Not applicable")</f>
        <v>0</v>
      </c>
    </row>
    <row r="896" spans="1:28">
      <c r="A896">
        <f>IF(COUNTBLANK(B896:AC896)&lt;&gt;COLUMNS(B896:AC896),895,"")</f>
        <v>0</v>
      </c>
      <c r="H896" s="2">
        <f>IF(B896="", "", "not provided")</f>
        <v>0</v>
      </c>
      <c r="I896" s="1">
        <f>IF(B896="", "", "meters")</f>
        <v>0</v>
      </c>
      <c r="T896" s="1">
        <f>IF(B896="", "", "Decimal degrees")</f>
        <v>0</v>
      </c>
      <c r="V896" s="1">
        <f>IF(B896="", "", "Decimal degrees")</f>
        <v>0</v>
      </c>
      <c r="Y896" s="1">
        <f>IF(B896="", "", "other")</f>
        <v>0</v>
      </c>
      <c r="AB896" s="1">
        <f>IF(B896="", "", "Not applicable")</f>
        <v>0</v>
      </c>
    </row>
    <row r="897" spans="1:28">
      <c r="A897">
        <f>IF(COUNTBLANK(B897:AC897)&lt;&gt;COLUMNS(B897:AC897),896,"")</f>
        <v>0</v>
      </c>
      <c r="H897" s="2">
        <f>IF(B897="", "", "not provided")</f>
        <v>0</v>
      </c>
      <c r="I897" s="1">
        <f>IF(B897="", "", "meters")</f>
        <v>0</v>
      </c>
      <c r="T897" s="1">
        <f>IF(B897="", "", "Decimal degrees")</f>
        <v>0</v>
      </c>
      <c r="V897" s="1">
        <f>IF(B897="", "", "Decimal degrees")</f>
        <v>0</v>
      </c>
      <c r="Y897" s="1">
        <f>IF(B897="", "", "other")</f>
        <v>0</v>
      </c>
      <c r="AB897" s="1">
        <f>IF(B897="", "", "Not applicable")</f>
        <v>0</v>
      </c>
    </row>
    <row r="898" spans="1:28">
      <c r="A898">
        <f>IF(COUNTBLANK(B898:AC898)&lt;&gt;COLUMNS(B898:AC898),897,"")</f>
        <v>0</v>
      </c>
      <c r="H898" s="2">
        <f>IF(B898="", "", "not provided")</f>
        <v>0</v>
      </c>
      <c r="I898" s="1">
        <f>IF(B898="", "", "meters")</f>
        <v>0</v>
      </c>
      <c r="T898" s="1">
        <f>IF(B898="", "", "Decimal degrees")</f>
        <v>0</v>
      </c>
      <c r="V898" s="1">
        <f>IF(B898="", "", "Decimal degrees")</f>
        <v>0</v>
      </c>
      <c r="Y898" s="1">
        <f>IF(B898="", "", "other")</f>
        <v>0</v>
      </c>
      <c r="AB898" s="1">
        <f>IF(B898="", "", "Not applicable")</f>
        <v>0</v>
      </c>
    </row>
    <row r="899" spans="1:28">
      <c r="A899">
        <f>IF(COUNTBLANK(B899:AC899)&lt;&gt;COLUMNS(B899:AC899),898,"")</f>
        <v>0</v>
      </c>
      <c r="H899" s="2">
        <f>IF(B899="", "", "not provided")</f>
        <v>0</v>
      </c>
      <c r="I899" s="1">
        <f>IF(B899="", "", "meters")</f>
        <v>0</v>
      </c>
      <c r="T899" s="1">
        <f>IF(B899="", "", "Decimal degrees")</f>
        <v>0</v>
      </c>
      <c r="V899" s="1">
        <f>IF(B899="", "", "Decimal degrees")</f>
        <v>0</v>
      </c>
      <c r="Y899" s="1">
        <f>IF(B899="", "", "other")</f>
        <v>0</v>
      </c>
      <c r="AB899" s="1">
        <f>IF(B899="", "", "Not applicable")</f>
        <v>0</v>
      </c>
    </row>
    <row r="900" spans="1:28">
      <c r="A900">
        <f>IF(COUNTBLANK(B900:AC900)&lt;&gt;COLUMNS(B900:AC900),899,"")</f>
        <v>0</v>
      </c>
      <c r="H900" s="2">
        <f>IF(B900="", "", "not provided")</f>
        <v>0</v>
      </c>
      <c r="I900" s="1">
        <f>IF(B900="", "", "meters")</f>
        <v>0</v>
      </c>
      <c r="T900" s="1">
        <f>IF(B900="", "", "Decimal degrees")</f>
        <v>0</v>
      </c>
      <c r="V900" s="1">
        <f>IF(B900="", "", "Decimal degrees")</f>
        <v>0</v>
      </c>
      <c r="Y900" s="1">
        <f>IF(B900="", "", "other")</f>
        <v>0</v>
      </c>
      <c r="AB900" s="1">
        <f>IF(B900="", "", "Not applicable")</f>
        <v>0</v>
      </c>
    </row>
    <row r="901" spans="1:28">
      <c r="A901">
        <f>IF(COUNTBLANK(B901:AC901)&lt;&gt;COLUMNS(B901:AC901),900,"")</f>
        <v>0</v>
      </c>
      <c r="H901" s="2">
        <f>IF(B901="", "", "not provided")</f>
        <v>0</v>
      </c>
      <c r="I901" s="1">
        <f>IF(B901="", "", "meters")</f>
        <v>0</v>
      </c>
      <c r="T901" s="1">
        <f>IF(B901="", "", "Decimal degrees")</f>
        <v>0</v>
      </c>
      <c r="V901" s="1">
        <f>IF(B901="", "", "Decimal degrees")</f>
        <v>0</v>
      </c>
      <c r="Y901" s="1">
        <f>IF(B901="", "", "other")</f>
        <v>0</v>
      </c>
      <c r="AB901" s="1">
        <f>IF(B901="", "", "Not applicable")</f>
        <v>0</v>
      </c>
    </row>
    <row r="902" spans="1:28">
      <c r="A902">
        <f>IF(COUNTBLANK(B902:AC902)&lt;&gt;COLUMNS(B902:AC902),901,"")</f>
        <v>0</v>
      </c>
      <c r="H902" s="2">
        <f>IF(B902="", "", "not provided")</f>
        <v>0</v>
      </c>
      <c r="I902" s="1">
        <f>IF(B902="", "", "meters")</f>
        <v>0</v>
      </c>
      <c r="T902" s="1">
        <f>IF(B902="", "", "Decimal degrees")</f>
        <v>0</v>
      </c>
      <c r="V902" s="1">
        <f>IF(B902="", "", "Decimal degrees")</f>
        <v>0</v>
      </c>
      <c r="Y902" s="1">
        <f>IF(B902="", "", "other")</f>
        <v>0</v>
      </c>
      <c r="AB902" s="1">
        <f>IF(B902="", "", "Not applicable")</f>
        <v>0</v>
      </c>
    </row>
    <row r="903" spans="1:28">
      <c r="A903">
        <f>IF(COUNTBLANK(B903:AC903)&lt;&gt;COLUMNS(B903:AC903),902,"")</f>
        <v>0</v>
      </c>
      <c r="H903" s="2">
        <f>IF(B903="", "", "not provided")</f>
        <v>0</v>
      </c>
      <c r="I903" s="1">
        <f>IF(B903="", "", "meters")</f>
        <v>0</v>
      </c>
      <c r="T903" s="1">
        <f>IF(B903="", "", "Decimal degrees")</f>
        <v>0</v>
      </c>
      <c r="V903" s="1">
        <f>IF(B903="", "", "Decimal degrees")</f>
        <v>0</v>
      </c>
      <c r="Y903" s="1">
        <f>IF(B903="", "", "other")</f>
        <v>0</v>
      </c>
      <c r="AB903" s="1">
        <f>IF(B903="", "", "Not applicable")</f>
        <v>0</v>
      </c>
    </row>
    <row r="904" spans="1:28">
      <c r="A904">
        <f>IF(COUNTBLANK(B904:AC904)&lt;&gt;COLUMNS(B904:AC904),903,"")</f>
        <v>0</v>
      </c>
      <c r="H904" s="2">
        <f>IF(B904="", "", "not provided")</f>
        <v>0</v>
      </c>
      <c r="I904" s="1">
        <f>IF(B904="", "", "meters")</f>
        <v>0</v>
      </c>
      <c r="T904" s="1">
        <f>IF(B904="", "", "Decimal degrees")</f>
        <v>0</v>
      </c>
      <c r="V904" s="1">
        <f>IF(B904="", "", "Decimal degrees")</f>
        <v>0</v>
      </c>
      <c r="Y904" s="1">
        <f>IF(B904="", "", "other")</f>
        <v>0</v>
      </c>
      <c r="AB904" s="1">
        <f>IF(B904="", "", "Not applicable")</f>
        <v>0</v>
      </c>
    </row>
    <row r="905" spans="1:28">
      <c r="A905">
        <f>IF(COUNTBLANK(B905:AC905)&lt;&gt;COLUMNS(B905:AC905),904,"")</f>
        <v>0</v>
      </c>
      <c r="H905" s="2">
        <f>IF(B905="", "", "not provided")</f>
        <v>0</v>
      </c>
      <c r="I905" s="1">
        <f>IF(B905="", "", "meters")</f>
        <v>0</v>
      </c>
      <c r="T905" s="1">
        <f>IF(B905="", "", "Decimal degrees")</f>
        <v>0</v>
      </c>
      <c r="V905" s="1">
        <f>IF(B905="", "", "Decimal degrees")</f>
        <v>0</v>
      </c>
      <c r="Y905" s="1">
        <f>IF(B905="", "", "other")</f>
        <v>0</v>
      </c>
      <c r="AB905" s="1">
        <f>IF(B905="", "", "Not applicable")</f>
        <v>0</v>
      </c>
    </row>
    <row r="906" spans="1:28">
      <c r="A906">
        <f>IF(COUNTBLANK(B906:AC906)&lt;&gt;COLUMNS(B906:AC906),905,"")</f>
        <v>0</v>
      </c>
      <c r="H906" s="2">
        <f>IF(B906="", "", "not provided")</f>
        <v>0</v>
      </c>
      <c r="I906" s="1">
        <f>IF(B906="", "", "meters")</f>
        <v>0</v>
      </c>
      <c r="T906" s="1">
        <f>IF(B906="", "", "Decimal degrees")</f>
        <v>0</v>
      </c>
      <c r="V906" s="1">
        <f>IF(B906="", "", "Decimal degrees")</f>
        <v>0</v>
      </c>
      <c r="Y906" s="1">
        <f>IF(B906="", "", "other")</f>
        <v>0</v>
      </c>
      <c r="AB906" s="1">
        <f>IF(B906="", "", "Not applicable")</f>
        <v>0</v>
      </c>
    </row>
    <row r="907" spans="1:28">
      <c r="A907">
        <f>IF(COUNTBLANK(B907:AC907)&lt;&gt;COLUMNS(B907:AC907),906,"")</f>
        <v>0</v>
      </c>
      <c r="H907" s="2">
        <f>IF(B907="", "", "not provided")</f>
        <v>0</v>
      </c>
      <c r="I907" s="1">
        <f>IF(B907="", "", "meters")</f>
        <v>0</v>
      </c>
      <c r="T907" s="1">
        <f>IF(B907="", "", "Decimal degrees")</f>
        <v>0</v>
      </c>
      <c r="V907" s="1">
        <f>IF(B907="", "", "Decimal degrees")</f>
        <v>0</v>
      </c>
      <c r="Y907" s="1">
        <f>IF(B907="", "", "other")</f>
        <v>0</v>
      </c>
      <c r="AB907" s="1">
        <f>IF(B907="", "", "Not applicable")</f>
        <v>0</v>
      </c>
    </row>
    <row r="908" spans="1:28">
      <c r="A908">
        <f>IF(COUNTBLANK(B908:AC908)&lt;&gt;COLUMNS(B908:AC908),907,"")</f>
        <v>0</v>
      </c>
      <c r="H908" s="2">
        <f>IF(B908="", "", "not provided")</f>
        <v>0</v>
      </c>
      <c r="I908" s="1">
        <f>IF(B908="", "", "meters")</f>
        <v>0</v>
      </c>
      <c r="T908" s="1">
        <f>IF(B908="", "", "Decimal degrees")</f>
        <v>0</v>
      </c>
      <c r="V908" s="1">
        <f>IF(B908="", "", "Decimal degrees")</f>
        <v>0</v>
      </c>
      <c r="Y908" s="1">
        <f>IF(B908="", "", "other")</f>
        <v>0</v>
      </c>
      <c r="AB908" s="1">
        <f>IF(B908="", "", "Not applicable")</f>
        <v>0</v>
      </c>
    </row>
    <row r="909" spans="1:28">
      <c r="A909">
        <f>IF(COUNTBLANK(B909:AC909)&lt;&gt;COLUMNS(B909:AC909),908,"")</f>
        <v>0</v>
      </c>
      <c r="H909" s="2">
        <f>IF(B909="", "", "not provided")</f>
        <v>0</v>
      </c>
      <c r="I909" s="1">
        <f>IF(B909="", "", "meters")</f>
        <v>0</v>
      </c>
      <c r="T909" s="1">
        <f>IF(B909="", "", "Decimal degrees")</f>
        <v>0</v>
      </c>
      <c r="V909" s="1">
        <f>IF(B909="", "", "Decimal degrees")</f>
        <v>0</v>
      </c>
      <c r="Y909" s="1">
        <f>IF(B909="", "", "other")</f>
        <v>0</v>
      </c>
      <c r="AB909" s="1">
        <f>IF(B909="", "", "Not applicable")</f>
        <v>0</v>
      </c>
    </row>
    <row r="910" spans="1:28">
      <c r="A910">
        <f>IF(COUNTBLANK(B910:AC910)&lt;&gt;COLUMNS(B910:AC910),909,"")</f>
        <v>0</v>
      </c>
      <c r="H910" s="2">
        <f>IF(B910="", "", "not provided")</f>
        <v>0</v>
      </c>
      <c r="I910" s="1">
        <f>IF(B910="", "", "meters")</f>
        <v>0</v>
      </c>
      <c r="T910" s="1">
        <f>IF(B910="", "", "Decimal degrees")</f>
        <v>0</v>
      </c>
      <c r="V910" s="1">
        <f>IF(B910="", "", "Decimal degrees")</f>
        <v>0</v>
      </c>
      <c r="Y910" s="1">
        <f>IF(B910="", "", "other")</f>
        <v>0</v>
      </c>
      <c r="AB910" s="1">
        <f>IF(B910="", "", "Not applicable")</f>
        <v>0</v>
      </c>
    </row>
    <row r="911" spans="1:28">
      <c r="A911">
        <f>IF(COUNTBLANK(B911:AC911)&lt;&gt;COLUMNS(B911:AC911),910,"")</f>
        <v>0</v>
      </c>
      <c r="H911" s="2">
        <f>IF(B911="", "", "not provided")</f>
        <v>0</v>
      </c>
      <c r="I911" s="1">
        <f>IF(B911="", "", "meters")</f>
        <v>0</v>
      </c>
      <c r="T911" s="1">
        <f>IF(B911="", "", "Decimal degrees")</f>
        <v>0</v>
      </c>
      <c r="V911" s="1">
        <f>IF(B911="", "", "Decimal degrees")</f>
        <v>0</v>
      </c>
      <c r="Y911" s="1">
        <f>IF(B911="", "", "other")</f>
        <v>0</v>
      </c>
      <c r="AB911" s="1">
        <f>IF(B911="", "", "Not applicable")</f>
        <v>0</v>
      </c>
    </row>
    <row r="912" spans="1:28">
      <c r="A912">
        <f>IF(COUNTBLANK(B912:AC912)&lt;&gt;COLUMNS(B912:AC912),911,"")</f>
        <v>0</v>
      </c>
      <c r="H912" s="2">
        <f>IF(B912="", "", "not provided")</f>
        <v>0</v>
      </c>
      <c r="I912" s="1">
        <f>IF(B912="", "", "meters")</f>
        <v>0</v>
      </c>
      <c r="T912" s="1">
        <f>IF(B912="", "", "Decimal degrees")</f>
        <v>0</v>
      </c>
      <c r="V912" s="1">
        <f>IF(B912="", "", "Decimal degrees")</f>
        <v>0</v>
      </c>
      <c r="Y912" s="1">
        <f>IF(B912="", "", "other")</f>
        <v>0</v>
      </c>
      <c r="AB912" s="1">
        <f>IF(B912="", "", "Not applicable")</f>
        <v>0</v>
      </c>
    </row>
    <row r="913" spans="1:28">
      <c r="A913">
        <f>IF(COUNTBLANK(B913:AC913)&lt;&gt;COLUMNS(B913:AC913),912,"")</f>
        <v>0</v>
      </c>
      <c r="H913" s="2">
        <f>IF(B913="", "", "not provided")</f>
        <v>0</v>
      </c>
      <c r="I913" s="1">
        <f>IF(B913="", "", "meters")</f>
        <v>0</v>
      </c>
      <c r="T913" s="1">
        <f>IF(B913="", "", "Decimal degrees")</f>
        <v>0</v>
      </c>
      <c r="V913" s="1">
        <f>IF(B913="", "", "Decimal degrees")</f>
        <v>0</v>
      </c>
      <c r="Y913" s="1">
        <f>IF(B913="", "", "other")</f>
        <v>0</v>
      </c>
      <c r="AB913" s="1">
        <f>IF(B913="", "", "Not applicable")</f>
        <v>0</v>
      </c>
    </row>
    <row r="914" spans="1:28">
      <c r="A914">
        <f>IF(COUNTBLANK(B914:AC914)&lt;&gt;COLUMNS(B914:AC914),913,"")</f>
        <v>0</v>
      </c>
      <c r="H914" s="2">
        <f>IF(B914="", "", "not provided")</f>
        <v>0</v>
      </c>
      <c r="I914" s="1">
        <f>IF(B914="", "", "meters")</f>
        <v>0</v>
      </c>
      <c r="T914" s="1">
        <f>IF(B914="", "", "Decimal degrees")</f>
        <v>0</v>
      </c>
      <c r="V914" s="1">
        <f>IF(B914="", "", "Decimal degrees")</f>
        <v>0</v>
      </c>
      <c r="Y914" s="1">
        <f>IF(B914="", "", "other")</f>
        <v>0</v>
      </c>
      <c r="AB914" s="1">
        <f>IF(B914="", "", "Not applicable")</f>
        <v>0</v>
      </c>
    </row>
    <row r="915" spans="1:28">
      <c r="A915">
        <f>IF(COUNTBLANK(B915:AC915)&lt;&gt;COLUMNS(B915:AC915),914,"")</f>
        <v>0</v>
      </c>
      <c r="H915" s="2">
        <f>IF(B915="", "", "not provided")</f>
        <v>0</v>
      </c>
      <c r="I915" s="1">
        <f>IF(B915="", "", "meters")</f>
        <v>0</v>
      </c>
      <c r="T915" s="1">
        <f>IF(B915="", "", "Decimal degrees")</f>
        <v>0</v>
      </c>
      <c r="V915" s="1">
        <f>IF(B915="", "", "Decimal degrees")</f>
        <v>0</v>
      </c>
      <c r="Y915" s="1">
        <f>IF(B915="", "", "other")</f>
        <v>0</v>
      </c>
      <c r="AB915" s="1">
        <f>IF(B915="", "", "Not applicable")</f>
        <v>0</v>
      </c>
    </row>
    <row r="916" spans="1:28">
      <c r="A916">
        <f>IF(COUNTBLANK(B916:AC916)&lt;&gt;COLUMNS(B916:AC916),915,"")</f>
        <v>0</v>
      </c>
      <c r="H916" s="2">
        <f>IF(B916="", "", "not provided")</f>
        <v>0</v>
      </c>
      <c r="I916" s="1">
        <f>IF(B916="", "", "meters")</f>
        <v>0</v>
      </c>
      <c r="T916" s="1">
        <f>IF(B916="", "", "Decimal degrees")</f>
        <v>0</v>
      </c>
      <c r="V916" s="1">
        <f>IF(B916="", "", "Decimal degrees")</f>
        <v>0</v>
      </c>
      <c r="Y916" s="1">
        <f>IF(B916="", "", "other")</f>
        <v>0</v>
      </c>
      <c r="AB916" s="1">
        <f>IF(B916="", "", "Not applicable")</f>
        <v>0</v>
      </c>
    </row>
    <row r="917" spans="1:28">
      <c r="A917">
        <f>IF(COUNTBLANK(B917:AC917)&lt;&gt;COLUMNS(B917:AC917),916,"")</f>
        <v>0</v>
      </c>
      <c r="H917" s="2">
        <f>IF(B917="", "", "not provided")</f>
        <v>0</v>
      </c>
      <c r="I917" s="1">
        <f>IF(B917="", "", "meters")</f>
        <v>0</v>
      </c>
      <c r="T917" s="1">
        <f>IF(B917="", "", "Decimal degrees")</f>
        <v>0</v>
      </c>
      <c r="V917" s="1">
        <f>IF(B917="", "", "Decimal degrees")</f>
        <v>0</v>
      </c>
      <c r="Y917" s="1">
        <f>IF(B917="", "", "other")</f>
        <v>0</v>
      </c>
      <c r="AB917" s="1">
        <f>IF(B917="", "", "Not applicable")</f>
        <v>0</v>
      </c>
    </row>
    <row r="918" spans="1:28">
      <c r="A918">
        <f>IF(COUNTBLANK(B918:AC918)&lt;&gt;COLUMNS(B918:AC918),917,"")</f>
        <v>0</v>
      </c>
      <c r="H918" s="2">
        <f>IF(B918="", "", "not provided")</f>
        <v>0</v>
      </c>
      <c r="I918" s="1">
        <f>IF(B918="", "", "meters")</f>
        <v>0</v>
      </c>
      <c r="T918" s="1">
        <f>IF(B918="", "", "Decimal degrees")</f>
        <v>0</v>
      </c>
      <c r="V918" s="1">
        <f>IF(B918="", "", "Decimal degrees")</f>
        <v>0</v>
      </c>
      <c r="Y918" s="1">
        <f>IF(B918="", "", "other")</f>
        <v>0</v>
      </c>
      <c r="AB918" s="1">
        <f>IF(B918="", "", "Not applicable")</f>
        <v>0</v>
      </c>
    </row>
    <row r="919" spans="1:28">
      <c r="A919">
        <f>IF(COUNTBLANK(B919:AC919)&lt;&gt;COLUMNS(B919:AC919),918,"")</f>
        <v>0</v>
      </c>
      <c r="H919" s="2">
        <f>IF(B919="", "", "not provided")</f>
        <v>0</v>
      </c>
      <c r="I919" s="1">
        <f>IF(B919="", "", "meters")</f>
        <v>0</v>
      </c>
      <c r="T919" s="1">
        <f>IF(B919="", "", "Decimal degrees")</f>
        <v>0</v>
      </c>
      <c r="V919" s="1">
        <f>IF(B919="", "", "Decimal degrees")</f>
        <v>0</v>
      </c>
      <c r="Y919" s="1">
        <f>IF(B919="", "", "other")</f>
        <v>0</v>
      </c>
      <c r="AB919" s="1">
        <f>IF(B919="", "", "Not applicable")</f>
        <v>0</v>
      </c>
    </row>
    <row r="920" spans="1:28">
      <c r="A920">
        <f>IF(COUNTBLANK(B920:AC920)&lt;&gt;COLUMNS(B920:AC920),919,"")</f>
        <v>0</v>
      </c>
      <c r="H920" s="2">
        <f>IF(B920="", "", "not provided")</f>
        <v>0</v>
      </c>
      <c r="I920" s="1">
        <f>IF(B920="", "", "meters")</f>
        <v>0</v>
      </c>
      <c r="T920" s="1">
        <f>IF(B920="", "", "Decimal degrees")</f>
        <v>0</v>
      </c>
      <c r="V920" s="1">
        <f>IF(B920="", "", "Decimal degrees")</f>
        <v>0</v>
      </c>
      <c r="Y920" s="1">
        <f>IF(B920="", "", "other")</f>
        <v>0</v>
      </c>
      <c r="AB920" s="1">
        <f>IF(B920="", "", "Not applicable")</f>
        <v>0</v>
      </c>
    </row>
    <row r="921" spans="1:28">
      <c r="A921">
        <f>IF(COUNTBLANK(B921:AC921)&lt;&gt;COLUMNS(B921:AC921),920,"")</f>
        <v>0</v>
      </c>
      <c r="H921" s="2">
        <f>IF(B921="", "", "not provided")</f>
        <v>0</v>
      </c>
      <c r="I921" s="1">
        <f>IF(B921="", "", "meters")</f>
        <v>0</v>
      </c>
      <c r="T921" s="1">
        <f>IF(B921="", "", "Decimal degrees")</f>
        <v>0</v>
      </c>
      <c r="V921" s="1">
        <f>IF(B921="", "", "Decimal degrees")</f>
        <v>0</v>
      </c>
      <c r="Y921" s="1">
        <f>IF(B921="", "", "other")</f>
        <v>0</v>
      </c>
      <c r="AB921" s="1">
        <f>IF(B921="", "", "Not applicable")</f>
        <v>0</v>
      </c>
    </row>
    <row r="922" spans="1:28">
      <c r="A922">
        <f>IF(COUNTBLANK(B922:AC922)&lt;&gt;COLUMNS(B922:AC922),921,"")</f>
        <v>0</v>
      </c>
      <c r="H922" s="2">
        <f>IF(B922="", "", "not provided")</f>
        <v>0</v>
      </c>
      <c r="I922" s="1">
        <f>IF(B922="", "", "meters")</f>
        <v>0</v>
      </c>
      <c r="T922" s="1">
        <f>IF(B922="", "", "Decimal degrees")</f>
        <v>0</v>
      </c>
      <c r="V922" s="1">
        <f>IF(B922="", "", "Decimal degrees")</f>
        <v>0</v>
      </c>
      <c r="Y922" s="1">
        <f>IF(B922="", "", "other")</f>
        <v>0</v>
      </c>
      <c r="AB922" s="1">
        <f>IF(B922="", "", "Not applicable")</f>
        <v>0</v>
      </c>
    </row>
    <row r="923" spans="1:28">
      <c r="A923">
        <f>IF(COUNTBLANK(B923:AC923)&lt;&gt;COLUMNS(B923:AC923),922,"")</f>
        <v>0</v>
      </c>
      <c r="H923" s="2">
        <f>IF(B923="", "", "not provided")</f>
        <v>0</v>
      </c>
      <c r="I923" s="1">
        <f>IF(B923="", "", "meters")</f>
        <v>0</v>
      </c>
      <c r="T923" s="1">
        <f>IF(B923="", "", "Decimal degrees")</f>
        <v>0</v>
      </c>
      <c r="V923" s="1">
        <f>IF(B923="", "", "Decimal degrees")</f>
        <v>0</v>
      </c>
      <c r="Y923" s="1">
        <f>IF(B923="", "", "other")</f>
        <v>0</v>
      </c>
      <c r="AB923" s="1">
        <f>IF(B923="", "", "Not applicable")</f>
        <v>0</v>
      </c>
    </row>
    <row r="924" spans="1:28">
      <c r="A924">
        <f>IF(COUNTBLANK(B924:AC924)&lt;&gt;COLUMNS(B924:AC924),923,"")</f>
        <v>0</v>
      </c>
      <c r="H924" s="2">
        <f>IF(B924="", "", "not provided")</f>
        <v>0</v>
      </c>
      <c r="I924" s="1">
        <f>IF(B924="", "", "meters")</f>
        <v>0</v>
      </c>
      <c r="T924" s="1">
        <f>IF(B924="", "", "Decimal degrees")</f>
        <v>0</v>
      </c>
      <c r="V924" s="1">
        <f>IF(B924="", "", "Decimal degrees")</f>
        <v>0</v>
      </c>
      <c r="Y924" s="1">
        <f>IF(B924="", "", "other")</f>
        <v>0</v>
      </c>
      <c r="AB924" s="1">
        <f>IF(B924="", "", "Not applicable")</f>
        <v>0</v>
      </c>
    </row>
    <row r="925" spans="1:28">
      <c r="A925">
        <f>IF(COUNTBLANK(B925:AC925)&lt;&gt;COLUMNS(B925:AC925),924,"")</f>
        <v>0</v>
      </c>
      <c r="H925" s="2">
        <f>IF(B925="", "", "not provided")</f>
        <v>0</v>
      </c>
      <c r="I925" s="1">
        <f>IF(B925="", "", "meters")</f>
        <v>0</v>
      </c>
      <c r="T925" s="1">
        <f>IF(B925="", "", "Decimal degrees")</f>
        <v>0</v>
      </c>
      <c r="V925" s="1">
        <f>IF(B925="", "", "Decimal degrees")</f>
        <v>0</v>
      </c>
      <c r="Y925" s="1">
        <f>IF(B925="", "", "other")</f>
        <v>0</v>
      </c>
      <c r="AB925" s="1">
        <f>IF(B925="", "", "Not applicable")</f>
        <v>0</v>
      </c>
    </row>
    <row r="926" spans="1:28">
      <c r="A926">
        <f>IF(COUNTBLANK(B926:AC926)&lt;&gt;COLUMNS(B926:AC926),925,"")</f>
        <v>0</v>
      </c>
      <c r="H926" s="2">
        <f>IF(B926="", "", "not provided")</f>
        <v>0</v>
      </c>
      <c r="I926" s="1">
        <f>IF(B926="", "", "meters")</f>
        <v>0</v>
      </c>
      <c r="T926" s="1">
        <f>IF(B926="", "", "Decimal degrees")</f>
        <v>0</v>
      </c>
      <c r="V926" s="1">
        <f>IF(B926="", "", "Decimal degrees")</f>
        <v>0</v>
      </c>
      <c r="Y926" s="1">
        <f>IF(B926="", "", "other")</f>
        <v>0</v>
      </c>
      <c r="AB926" s="1">
        <f>IF(B926="", "", "Not applicable")</f>
        <v>0</v>
      </c>
    </row>
    <row r="927" spans="1:28">
      <c r="A927">
        <f>IF(COUNTBLANK(B927:AC927)&lt;&gt;COLUMNS(B927:AC927),926,"")</f>
        <v>0</v>
      </c>
      <c r="H927" s="2">
        <f>IF(B927="", "", "not provided")</f>
        <v>0</v>
      </c>
      <c r="I927" s="1">
        <f>IF(B927="", "", "meters")</f>
        <v>0</v>
      </c>
      <c r="T927" s="1">
        <f>IF(B927="", "", "Decimal degrees")</f>
        <v>0</v>
      </c>
      <c r="V927" s="1">
        <f>IF(B927="", "", "Decimal degrees")</f>
        <v>0</v>
      </c>
      <c r="Y927" s="1">
        <f>IF(B927="", "", "other")</f>
        <v>0</v>
      </c>
      <c r="AB927" s="1">
        <f>IF(B927="", "", "Not applicable")</f>
        <v>0</v>
      </c>
    </row>
    <row r="928" spans="1:28">
      <c r="A928">
        <f>IF(COUNTBLANK(B928:AC928)&lt;&gt;COLUMNS(B928:AC928),927,"")</f>
        <v>0</v>
      </c>
      <c r="H928" s="2">
        <f>IF(B928="", "", "not provided")</f>
        <v>0</v>
      </c>
      <c r="I928" s="1">
        <f>IF(B928="", "", "meters")</f>
        <v>0</v>
      </c>
      <c r="T928" s="1">
        <f>IF(B928="", "", "Decimal degrees")</f>
        <v>0</v>
      </c>
      <c r="V928" s="1">
        <f>IF(B928="", "", "Decimal degrees")</f>
        <v>0</v>
      </c>
      <c r="Y928" s="1">
        <f>IF(B928="", "", "other")</f>
        <v>0</v>
      </c>
      <c r="AB928" s="1">
        <f>IF(B928="", "", "Not applicable")</f>
        <v>0</v>
      </c>
    </row>
    <row r="929" spans="1:28">
      <c r="A929">
        <f>IF(COUNTBLANK(B929:AC929)&lt;&gt;COLUMNS(B929:AC929),928,"")</f>
        <v>0</v>
      </c>
      <c r="H929" s="2">
        <f>IF(B929="", "", "not provided")</f>
        <v>0</v>
      </c>
      <c r="I929" s="1">
        <f>IF(B929="", "", "meters")</f>
        <v>0</v>
      </c>
      <c r="T929" s="1">
        <f>IF(B929="", "", "Decimal degrees")</f>
        <v>0</v>
      </c>
      <c r="V929" s="1">
        <f>IF(B929="", "", "Decimal degrees")</f>
        <v>0</v>
      </c>
      <c r="Y929" s="1">
        <f>IF(B929="", "", "other")</f>
        <v>0</v>
      </c>
      <c r="AB929" s="1">
        <f>IF(B929="", "", "Not applicable")</f>
        <v>0</v>
      </c>
    </row>
    <row r="930" spans="1:28">
      <c r="A930">
        <f>IF(COUNTBLANK(B930:AC930)&lt;&gt;COLUMNS(B930:AC930),929,"")</f>
        <v>0</v>
      </c>
      <c r="H930" s="2">
        <f>IF(B930="", "", "not provided")</f>
        <v>0</v>
      </c>
      <c r="I930" s="1">
        <f>IF(B930="", "", "meters")</f>
        <v>0</v>
      </c>
      <c r="T930" s="1">
        <f>IF(B930="", "", "Decimal degrees")</f>
        <v>0</v>
      </c>
      <c r="V930" s="1">
        <f>IF(B930="", "", "Decimal degrees")</f>
        <v>0</v>
      </c>
      <c r="Y930" s="1">
        <f>IF(B930="", "", "other")</f>
        <v>0</v>
      </c>
      <c r="AB930" s="1">
        <f>IF(B930="", "", "Not applicable")</f>
        <v>0</v>
      </c>
    </row>
    <row r="931" spans="1:28">
      <c r="A931">
        <f>IF(COUNTBLANK(B931:AC931)&lt;&gt;COLUMNS(B931:AC931),930,"")</f>
        <v>0</v>
      </c>
      <c r="H931" s="2">
        <f>IF(B931="", "", "not provided")</f>
        <v>0</v>
      </c>
      <c r="I931" s="1">
        <f>IF(B931="", "", "meters")</f>
        <v>0</v>
      </c>
      <c r="T931" s="1">
        <f>IF(B931="", "", "Decimal degrees")</f>
        <v>0</v>
      </c>
      <c r="V931" s="1">
        <f>IF(B931="", "", "Decimal degrees")</f>
        <v>0</v>
      </c>
      <c r="Y931" s="1">
        <f>IF(B931="", "", "other")</f>
        <v>0</v>
      </c>
      <c r="AB931" s="1">
        <f>IF(B931="", "", "Not applicable")</f>
        <v>0</v>
      </c>
    </row>
    <row r="932" spans="1:28">
      <c r="A932">
        <f>IF(COUNTBLANK(B932:AC932)&lt;&gt;COLUMNS(B932:AC932),931,"")</f>
        <v>0</v>
      </c>
      <c r="H932" s="2">
        <f>IF(B932="", "", "not provided")</f>
        <v>0</v>
      </c>
      <c r="I932" s="1">
        <f>IF(B932="", "", "meters")</f>
        <v>0</v>
      </c>
      <c r="T932" s="1">
        <f>IF(B932="", "", "Decimal degrees")</f>
        <v>0</v>
      </c>
      <c r="V932" s="1">
        <f>IF(B932="", "", "Decimal degrees")</f>
        <v>0</v>
      </c>
      <c r="Y932" s="1">
        <f>IF(B932="", "", "other")</f>
        <v>0</v>
      </c>
      <c r="AB932" s="1">
        <f>IF(B932="", "", "Not applicable")</f>
        <v>0</v>
      </c>
    </row>
    <row r="933" spans="1:28">
      <c r="A933">
        <f>IF(COUNTBLANK(B933:AC933)&lt;&gt;COLUMNS(B933:AC933),932,"")</f>
        <v>0</v>
      </c>
      <c r="H933" s="2">
        <f>IF(B933="", "", "not provided")</f>
        <v>0</v>
      </c>
      <c r="I933" s="1">
        <f>IF(B933="", "", "meters")</f>
        <v>0</v>
      </c>
      <c r="T933" s="1">
        <f>IF(B933="", "", "Decimal degrees")</f>
        <v>0</v>
      </c>
      <c r="V933" s="1">
        <f>IF(B933="", "", "Decimal degrees")</f>
        <v>0</v>
      </c>
      <c r="Y933" s="1">
        <f>IF(B933="", "", "other")</f>
        <v>0</v>
      </c>
      <c r="AB933" s="1">
        <f>IF(B933="", "", "Not applicable")</f>
        <v>0</v>
      </c>
    </row>
    <row r="934" spans="1:28">
      <c r="A934">
        <f>IF(COUNTBLANK(B934:AC934)&lt;&gt;COLUMNS(B934:AC934),933,"")</f>
        <v>0</v>
      </c>
      <c r="H934" s="2">
        <f>IF(B934="", "", "not provided")</f>
        <v>0</v>
      </c>
      <c r="I934" s="1">
        <f>IF(B934="", "", "meters")</f>
        <v>0</v>
      </c>
      <c r="T934" s="1">
        <f>IF(B934="", "", "Decimal degrees")</f>
        <v>0</v>
      </c>
      <c r="V934" s="1">
        <f>IF(B934="", "", "Decimal degrees")</f>
        <v>0</v>
      </c>
      <c r="Y934" s="1">
        <f>IF(B934="", "", "other")</f>
        <v>0</v>
      </c>
      <c r="AB934" s="1">
        <f>IF(B934="", "", "Not applicable")</f>
        <v>0</v>
      </c>
    </row>
    <row r="935" spans="1:28">
      <c r="A935">
        <f>IF(COUNTBLANK(B935:AC935)&lt;&gt;COLUMNS(B935:AC935),934,"")</f>
        <v>0</v>
      </c>
      <c r="H935" s="2">
        <f>IF(B935="", "", "not provided")</f>
        <v>0</v>
      </c>
      <c r="I935" s="1">
        <f>IF(B935="", "", "meters")</f>
        <v>0</v>
      </c>
      <c r="T935" s="1">
        <f>IF(B935="", "", "Decimal degrees")</f>
        <v>0</v>
      </c>
      <c r="V935" s="1">
        <f>IF(B935="", "", "Decimal degrees")</f>
        <v>0</v>
      </c>
      <c r="Y935" s="1">
        <f>IF(B935="", "", "other")</f>
        <v>0</v>
      </c>
      <c r="AB935" s="1">
        <f>IF(B935="", "", "Not applicable")</f>
        <v>0</v>
      </c>
    </row>
    <row r="936" spans="1:28">
      <c r="A936">
        <f>IF(COUNTBLANK(B936:AC936)&lt;&gt;COLUMNS(B936:AC936),935,"")</f>
        <v>0</v>
      </c>
      <c r="H936" s="2">
        <f>IF(B936="", "", "not provided")</f>
        <v>0</v>
      </c>
      <c r="I936" s="1">
        <f>IF(B936="", "", "meters")</f>
        <v>0</v>
      </c>
      <c r="T936" s="1">
        <f>IF(B936="", "", "Decimal degrees")</f>
        <v>0</v>
      </c>
      <c r="V936" s="1">
        <f>IF(B936="", "", "Decimal degrees")</f>
        <v>0</v>
      </c>
      <c r="Y936" s="1">
        <f>IF(B936="", "", "other")</f>
        <v>0</v>
      </c>
      <c r="AB936" s="1">
        <f>IF(B936="", "", "Not applicable")</f>
        <v>0</v>
      </c>
    </row>
    <row r="937" spans="1:28">
      <c r="A937">
        <f>IF(COUNTBLANK(B937:AC937)&lt;&gt;COLUMNS(B937:AC937),936,"")</f>
        <v>0</v>
      </c>
      <c r="H937" s="2">
        <f>IF(B937="", "", "not provided")</f>
        <v>0</v>
      </c>
      <c r="I937" s="1">
        <f>IF(B937="", "", "meters")</f>
        <v>0</v>
      </c>
      <c r="T937" s="1">
        <f>IF(B937="", "", "Decimal degrees")</f>
        <v>0</v>
      </c>
      <c r="V937" s="1">
        <f>IF(B937="", "", "Decimal degrees")</f>
        <v>0</v>
      </c>
      <c r="Y937" s="1">
        <f>IF(B937="", "", "other")</f>
        <v>0</v>
      </c>
      <c r="AB937" s="1">
        <f>IF(B937="", "", "Not applicable")</f>
        <v>0</v>
      </c>
    </row>
    <row r="938" spans="1:28">
      <c r="A938">
        <f>IF(COUNTBLANK(B938:AC938)&lt;&gt;COLUMNS(B938:AC938),937,"")</f>
        <v>0</v>
      </c>
      <c r="H938" s="2">
        <f>IF(B938="", "", "not provided")</f>
        <v>0</v>
      </c>
      <c r="I938" s="1">
        <f>IF(B938="", "", "meters")</f>
        <v>0</v>
      </c>
      <c r="T938" s="1">
        <f>IF(B938="", "", "Decimal degrees")</f>
        <v>0</v>
      </c>
      <c r="V938" s="1">
        <f>IF(B938="", "", "Decimal degrees")</f>
        <v>0</v>
      </c>
      <c r="Y938" s="1">
        <f>IF(B938="", "", "other")</f>
        <v>0</v>
      </c>
      <c r="AB938" s="1">
        <f>IF(B938="", "", "Not applicable")</f>
        <v>0</v>
      </c>
    </row>
    <row r="939" spans="1:28">
      <c r="A939">
        <f>IF(COUNTBLANK(B939:AC939)&lt;&gt;COLUMNS(B939:AC939),938,"")</f>
        <v>0</v>
      </c>
      <c r="H939" s="2">
        <f>IF(B939="", "", "not provided")</f>
        <v>0</v>
      </c>
      <c r="I939" s="1">
        <f>IF(B939="", "", "meters")</f>
        <v>0</v>
      </c>
      <c r="T939" s="1">
        <f>IF(B939="", "", "Decimal degrees")</f>
        <v>0</v>
      </c>
      <c r="V939" s="1">
        <f>IF(B939="", "", "Decimal degrees")</f>
        <v>0</v>
      </c>
      <c r="Y939" s="1">
        <f>IF(B939="", "", "other")</f>
        <v>0</v>
      </c>
      <c r="AB939" s="1">
        <f>IF(B939="", "", "Not applicable")</f>
        <v>0</v>
      </c>
    </row>
    <row r="940" spans="1:28">
      <c r="A940">
        <f>IF(COUNTBLANK(B940:AC940)&lt;&gt;COLUMNS(B940:AC940),939,"")</f>
        <v>0</v>
      </c>
      <c r="H940" s="2">
        <f>IF(B940="", "", "not provided")</f>
        <v>0</v>
      </c>
      <c r="I940" s="1">
        <f>IF(B940="", "", "meters")</f>
        <v>0</v>
      </c>
      <c r="T940" s="1">
        <f>IF(B940="", "", "Decimal degrees")</f>
        <v>0</v>
      </c>
      <c r="V940" s="1">
        <f>IF(B940="", "", "Decimal degrees")</f>
        <v>0</v>
      </c>
      <c r="Y940" s="1">
        <f>IF(B940="", "", "other")</f>
        <v>0</v>
      </c>
      <c r="AB940" s="1">
        <f>IF(B940="", "", "Not applicable")</f>
        <v>0</v>
      </c>
    </row>
    <row r="941" spans="1:28">
      <c r="A941">
        <f>IF(COUNTBLANK(B941:AC941)&lt;&gt;COLUMNS(B941:AC941),940,"")</f>
        <v>0</v>
      </c>
      <c r="H941" s="2">
        <f>IF(B941="", "", "not provided")</f>
        <v>0</v>
      </c>
      <c r="I941" s="1">
        <f>IF(B941="", "", "meters")</f>
        <v>0</v>
      </c>
      <c r="T941" s="1">
        <f>IF(B941="", "", "Decimal degrees")</f>
        <v>0</v>
      </c>
      <c r="V941" s="1">
        <f>IF(B941="", "", "Decimal degrees")</f>
        <v>0</v>
      </c>
      <c r="Y941" s="1">
        <f>IF(B941="", "", "other")</f>
        <v>0</v>
      </c>
      <c r="AB941" s="1">
        <f>IF(B941="", "", "Not applicable")</f>
        <v>0</v>
      </c>
    </row>
    <row r="942" spans="1:28">
      <c r="A942">
        <f>IF(COUNTBLANK(B942:AC942)&lt;&gt;COLUMNS(B942:AC942),941,"")</f>
        <v>0</v>
      </c>
      <c r="H942" s="2">
        <f>IF(B942="", "", "not provided")</f>
        <v>0</v>
      </c>
      <c r="I942" s="1">
        <f>IF(B942="", "", "meters")</f>
        <v>0</v>
      </c>
      <c r="T942" s="1">
        <f>IF(B942="", "", "Decimal degrees")</f>
        <v>0</v>
      </c>
      <c r="V942" s="1">
        <f>IF(B942="", "", "Decimal degrees")</f>
        <v>0</v>
      </c>
      <c r="Y942" s="1">
        <f>IF(B942="", "", "other")</f>
        <v>0</v>
      </c>
      <c r="AB942" s="1">
        <f>IF(B942="", "", "Not applicable")</f>
        <v>0</v>
      </c>
    </row>
    <row r="943" spans="1:28">
      <c r="A943">
        <f>IF(COUNTBLANK(B943:AC943)&lt;&gt;COLUMNS(B943:AC943),942,"")</f>
        <v>0</v>
      </c>
      <c r="H943" s="2">
        <f>IF(B943="", "", "not provided")</f>
        <v>0</v>
      </c>
      <c r="I943" s="1">
        <f>IF(B943="", "", "meters")</f>
        <v>0</v>
      </c>
      <c r="T943" s="1">
        <f>IF(B943="", "", "Decimal degrees")</f>
        <v>0</v>
      </c>
      <c r="V943" s="1">
        <f>IF(B943="", "", "Decimal degrees")</f>
        <v>0</v>
      </c>
      <c r="Y943" s="1">
        <f>IF(B943="", "", "other")</f>
        <v>0</v>
      </c>
      <c r="AB943" s="1">
        <f>IF(B943="", "", "Not applicable")</f>
        <v>0</v>
      </c>
    </row>
    <row r="944" spans="1:28">
      <c r="A944">
        <f>IF(COUNTBLANK(B944:AC944)&lt;&gt;COLUMNS(B944:AC944),943,"")</f>
        <v>0</v>
      </c>
      <c r="H944" s="2">
        <f>IF(B944="", "", "not provided")</f>
        <v>0</v>
      </c>
      <c r="I944" s="1">
        <f>IF(B944="", "", "meters")</f>
        <v>0</v>
      </c>
      <c r="T944" s="1">
        <f>IF(B944="", "", "Decimal degrees")</f>
        <v>0</v>
      </c>
      <c r="V944" s="1">
        <f>IF(B944="", "", "Decimal degrees")</f>
        <v>0</v>
      </c>
      <c r="Y944" s="1">
        <f>IF(B944="", "", "other")</f>
        <v>0</v>
      </c>
      <c r="AB944" s="1">
        <f>IF(B944="", "", "Not applicable")</f>
        <v>0</v>
      </c>
    </row>
    <row r="945" spans="1:28">
      <c r="A945">
        <f>IF(COUNTBLANK(B945:AC945)&lt;&gt;COLUMNS(B945:AC945),944,"")</f>
        <v>0</v>
      </c>
      <c r="H945" s="2">
        <f>IF(B945="", "", "not provided")</f>
        <v>0</v>
      </c>
      <c r="I945" s="1">
        <f>IF(B945="", "", "meters")</f>
        <v>0</v>
      </c>
      <c r="T945" s="1">
        <f>IF(B945="", "", "Decimal degrees")</f>
        <v>0</v>
      </c>
      <c r="V945" s="1">
        <f>IF(B945="", "", "Decimal degrees")</f>
        <v>0</v>
      </c>
      <c r="Y945" s="1">
        <f>IF(B945="", "", "other")</f>
        <v>0</v>
      </c>
      <c r="AB945" s="1">
        <f>IF(B945="", "", "Not applicable")</f>
        <v>0</v>
      </c>
    </row>
    <row r="946" spans="1:28">
      <c r="A946">
        <f>IF(COUNTBLANK(B946:AC946)&lt;&gt;COLUMNS(B946:AC946),945,"")</f>
        <v>0</v>
      </c>
      <c r="H946" s="2">
        <f>IF(B946="", "", "not provided")</f>
        <v>0</v>
      </c>
      <c r="I946" s="1">
        <f>IF(B946="", "", "meters")</f>
        <v>0</v>
      </c>
      <c r="T946" s="1">
        <f>IF(B946="", "", "Decimal degrees")</f>
        <v>0</v>
      </c>
      <c r="V946" s="1">
        <f>IF(B946="", "", "Decimal degrees")</f>
        <v>0</v>
      </c>
      <c r="Y946" s="1">
        <f>IF(B946="", "", "other")</f>
        <v>0</v>
      </c>
      <c r="AB946" s="1">
        <f>IF(B946="", "", "Not applicable")</f>
        <v>0</v>
      </c>
    </row>
    <row r="947" spans="1:28">
      <c r="A947">
        <f>IF(COUNTBLANK(B947:AC947)&lt;&gt;COLUMNS(B947:AC947),946,"")</f>
        <v>0</v>
      </c>
      <c r="H947" s="2">
        <f>IF(B947="", "", "not provided")</f>
        <v>0</v>
      </c>
      <c r="I947" s="1">
        <f>IF(B947="", "", "meters")</f>
        <v>0</v>
      </c>
      <c r="T947" s="1">
        <f>IF(B947="", "", "Decimal degrees")</f>
        <v>0</v>
      </c>
      <c r="V947" s="1">
        <f>IF(B947="", "", "Decimal degrees")</f>
        <v>0</v>
      </c>
      <c r="Y947" s="1">
        <f>IF(B947="", "", "other")</f>
        <v>0</v>
      </c>
      <c r="AB947" s="1">
        <f>IF(B947="", "", "Not applicable")</f>
        <v>0</v>
      </c>
    </row>
    <row r="948" spans="1:28">
      <c r="A948">
        <f>IF(COUNTBLANK(B948:AC948)&lt;&gt;COLUMNS(B948:AC948),947,"")</f>
        <v>0</v>
      </c>
      <c r="H948" s="2">
        <f>IF(B948="", "", "not provided")</f>
        <v>0</v>
      </c>
      <c r="I948" s="1">
        <f>IF(B948="", "", "meters")</f>
        <v>0</v>
      </c>
      <c r="T948" s="1">
        <f>IF(B948="", "", "Decimal degrees")</f>
        <v>0</v>
      </c>
      <c r="V948" s="1">
        <f>IF(B948="", "", "Decimal degrees")</f>
        <v>0</v>
      </c>
      <c r="Y948" s="1">
        <f>IF(B948="", "", "other")</f>
        <v>0</v>
      </c>
      <c r="AB948" s="1">
        <f>IF(B948="", "", "Not applicable")</f>
        <v>0</v>
      </c>
    </row>
    <row r="949" spans="1:28">
      <c r="A949">
        <f>IF(COUNTBLANK(B949:AC949)&lt;&gt;COLUMNS(B949:AC949),948,"")</f>
        <v>0</v>
      </c>
      <c r="H949" s="2">
        <f>IF(B949="", "", "not provided")</f>
        <v>0</v>
      </c>
      <c r="I949" s="1">
        <f>IF(B949="", "", "meters")</f>
        <v>0</v>
      </c>
      <c r="T949" s="1">
        <f>IF(B949="", "", "Decimal degrees")</f>
        <v>0</v>
      </c>
      <c r="V949" s="1">
        <f>IF(B949="", "", "Decimal degrees")</f>
        <v>0</v>
      </c>
      <c r="Y949" s="1">
        <f>IF(B949="", "", "other")</f>
        <v>0</v>
      </c>
      <c r="AB949" s="1">
        <f>IF(B949="", "", "Not applicable")</f>
        <v>0</v>
      </c>
    </row>
    <row r="950" spans="1:28">
      <c r="A950">
        <f>IF(COUNTBLANK(B950:AC950)&lt;&gt;COLUMNS(B950:AC950),949,"")</f>
        <v>0</v>
      </c>
      <c r="H950" s="2">
        <f>IF(B950="", "", "not provided")</f>
        <v>0</v>
      </c>
      <c r="I950" s="1">
        <f>IF(B950="", "", "meters")</f>
        <v>0</v>
      </c>
      <c r="T950" s="1">
        <f>IF(B950="", "", "Decimal degrees")</f>
        <v>0</v>
      </c>
      <c r="V950" s="1">
        <f>IF(B950="", "", "Decimal degrees")</f>
        <v>0</v>
      </c>
      <c r="Y950" s="1">
        <f>IF(B950="", "", "other")</f>
        <v>0</v>
      </c>
      <c r="AB950" s="1">
        <f>IF(B950="", "", "Not applicable")</f>
        <v>0</v>
      </c>
    </row>
    <row r="951" spans="1:28">
      <c r="A951">
        <f>IF(COUNTBLANK(B951:AC951)&lt;&gt;COLUMNS(B951:AC951),950,"")</f>
        <v>0</v>
      </c>
      <c r="H951" s="2">
        <f>IF(B951="", "", "not provided")</f>
        <v>0</v>
      </c>
      <c r="I951" s="1">
        <f>IF(B951="", "", "meters")</f>
        <v>0</v>
      </c>
      <c r="T951" s="1">
        <f>IF(B951="", "", "Decimal degrees")</f>
        <v>0</v>
      </c>
      <c r="V951" s="1">
        <f>IF(B951="", "", "Decimal degrees")</f>
        <v>0</v>
      </c>
      <c r="Y951" s="1">
        <f>IF(B951="", "", "other")</f>
        <v>0</v>
      </c>
      <c r="AB951" s="1">
        <f>IF(B951="", "", "Not applicable")</f>
        <v>0</v>
      </c>
    </row>
    <row r="952" spans="1:28">
      <c r="A952">
        <f>IF(COUNTBLANK(B952:AC952)&lt;&gt;COLUMNS(B952:AC952),951,"")</f>
        <v>0</v>
      </c>
      <c r="H952" s="2">
        <f>IF(B952="", "", "not provided")</f>
        <v>0</v>
      </c>
      <c r="I952" s="1">
        <f>IF(B952="", "", "meters")</f>
        <v>0</v>
      </c>
      <c r="T952" s="1">
        <f>IF(B952="", "", "Decimal degrees")</f>
        <v>0</v>
      </c>
      <c r="V952" s="1">
        <f>IF(B952="", "", "Decimal degrees")</f>
        <v>0</v>
      </c>
      <c r="Y952" s="1">
        <f>IF(B952="", "", "other")</f>
        <v>0</v>
      </c>
      <c r="AB952" s="1">
        <f>IF(B952="", "", "Not applicable")</f>
        <v>0</v>
      </c>
    </row>
    <row r="953" spans="1:28">
      <c r="A953">
        <f>IF(COUNTBLANK(B953:AC953)&lt;&gt;COLUMNS(B953:AC953),952,"")</f>
        <v>0</v>
      </c>
      <c r="H953" s="2">
        <f>IF(B953="", "", "not provided")</f>
        <v>0</v>
      </c>
      <c r="I953" s="1">
        <f>IF(B953="", "", "meters")</f>
        <v>0</v>
      </c>
      <c r="T953" s="1">
        <f>IF(B953="", "", "Decimal degrees")</f>
        <v>0</v>
      </c>
      <c r="V953" s="1">
        <f>IF(B953="", "", "Decimal degrees")</f>
        <v>0</v>
      </c>
      <c r="Y953" s="1">
        <f>IF(B953="", "", "other")</f>
        <v>0</v>
      </c>
      <c r="AB953" s="1">
        <f>IF(B953="", "", "Not applicable")</f>
        <v>0</v>
      </c>
    </row>
    <row r="954" spans="1:28">
      <c r="A954">
        <f>IF(COUNTBLANK(B954:AC954)&lt;&gt;COLUMNS(B954:AC954),953,"")</f>
        <v>0</v>
      </c>
      <c r="H954" s="2">
        <f>IF(B954="", "", "not provided")</f>
        <v>0</v>
      </c>
      <c r="I954" s="1">
        <f>IF(B954="", "", "meters")</f>
        <v>0</v>
      </c>
      <c r="T954" s="1">
        <f>IF(B954="", "", "Decimal degrees")</f>
        <v>0</v>
      </c>
      <c r="V954" s="1">
        <f>IF(B954="", "", "Decimal degrees")</f>
        <v>0</v>
      </c>
      <c r="Y954" s="1">
        <f>IF(B954="", "", "other")</f>
        <v>0</v>
      </c>
      <c r="AB954" s="1">
        <f>IF(B954="", "", "Not applicable")</f>
        <v>0</v>
      </c>
    </row>
    <row r="955" spans="1:28">
      <c r="A955">
        <f>IF(COUNTBLANK(B955:AC955)&lt;&gt;COLUMNS(B955:AC955),954,"")</f>
        <v>0</v>
      </c>
      <c r="H955" s="2">
        <f>IF(B955="", "", "not provided")</f>
        <v>0</v>
      </c>
      <c r="I955" s="1">
        <f>IF(B955="", "", "meters")</f>
        <v>0</v>
      </c>
      <c r="T955" s="1">
        <f>IF(B955="", "", "Decimal degrees")</f>
        <v>0</v>
      </c>
      <c r="V955" s="1">
        <f>IF(B955="", "", "Decimal degrees")</f>
        <v>0</v>
      </c>
      <c r="Y955" s="1">
        <f>IF(B955="", "", "other")</f>
        <v>0</v>
      </c>
      <c r="AB955" s="1">
        <f>IF(B955="", "", "Not applicable")</f>
        <v>0</v>
      </c>
    </row>
    <row r="956" spans="1:28">
      <c r="A956">
        <f>IF(COUNTBLANK(B956:AC956)&lt;&gt;COLUMNS(B956:AC956),955,"")</f>
        <v>0</v>
      </c>
      <c r="H956" s="2">
        <f>IF(B956="", "", "not provided")</f>
        <v>0</v>
      </c>
      <c r="I956" s="1">
        <f>IF(B956="", "", "meters")</f>
        <v>0</v>
      </c>
      <c r="T956" s="1">
        <f>IF(B956="", "", "Decimal degrees")</f>
        <v>0</v>
      </c>
      <c r="V956" s="1">
        <f>IF(B956="", "", "Decimal degrees")</f>
        <v>0</v>
      </c>
      <c r="Y956" s="1">
        <f>IF(B956="", "", "other")</f>
        <v>0</v>
      </c>
      <c r="AB956" s="1">
        <f>IF(B956="", "", "Not applicable")</f>
        <v>0</v>
      </c>
    </row>
    <row r="957" spans="1:28">
      <c r="A957">
        <f>IF(COUNTBLANK(B957:AC957)&lt;&gt;COLUMNS(B957:AC957),956,"")</f>
        <v>0</v>
      </c>
      <c r="H957" s="2">
        <f>IF(B957="", "", "not provided")</f>
        <v>0</v>
      </c>
      <c r="I957" s="1">
        <f>IF(B957="", "", "meters")</f>
        <v>0</v>
      </c>
      <c r="T957" s="1">
        <f>IF(B957="", "", "Decimal degrees")</f>
        <v>0</v>
      </c>
      <c r="V957" s="1">
        <f>IF(B957="", "", "Decimal degrees")</f>
        <v>0</v>
      </c>
      <c r="Y957" s="1">
        <f>IF(B957="", "", "other")</f>
        <v>0</v>
      </c>
      <c r="AB957" s="1">
        <f>IF(B957="", "", "Not applicable")</f>
        <v>0</v>
      </c>
    </row>
    <row r="958" spans="1:28">
      <c r="A958">
        <f>IF(COUNTBLANK(B958:AC958)&lt;&gt;COLUMNS(B958:AC958),957,"")</f>
        <v>0</v>
      </c>
      <c r="H958" s="2">
        <f>IF(B958="", "", "not provided")</f>
        <v>0</v>
      </c>
      <c r="I958" s="1">
        <f>IF(B958="", "", "meters")</f>
        <v>0</v>
      </c>
      <c r="T958" s="1">
        <f>IF(B958="", "", "Decimal degrees")</f>
        <v>0</v>
      </c>
      <c r="V958" s="1">
        <f>IF(B958="", "", "Decimal degrees")</f>
        <v>0</v>
      </c>
      <c r="Y958" s="1">
        <f>IF(B958="", "", "other")</f>
        <v>0</v>
      </c>
      <c r="AB958" s="1">
        <f>IF(B958="", "", "Not applicable")</f>
        <v>0</v>
      </c>
    </row>
    <row r="959" spans="1:28">
      <c r="A959">
        <f>IF(COUNTBLANK(B959:AC959)&lt;&gt;COLUMNS(B959:AC959),958,"")</f>
        <v>0</v>
      </c>
      <c r="H959" s="2">
        <f>IF(B959="", "", "not provided")</f>
        <v>0</v>
      </c>
      <c r="I959" s="1">
        <f>IF(B959="", "", "meters")</f>
        <v>0</v>
      </c>
      <c r="T959" s="1">
        <f>IF(B959="", "", "Decimal degrees")</f>
        <v>0</v>
      </c>
      <c r="V959" s="1">
        <f>IF(B959="", "", "Decimal degrees")</f>
        <v>0</v>
      </c>
      <c r="Y959" s="1">
        <f>IF(B959="", "", "other")</f>
        <v>0</v>
      </c>
      <c r="AB959" s="1">
        <f>IF(B959="", "", "Not applicable")</f>
        <v>0</v>
      </c>
    </row>
    <row r="960" spans="1:28">
      <c r="A960">
        <f>IF(COUNTBLANK(B960:AC960)&lt;&gt;COLUMNS(B960:AC960),959,"")</f>
        <v>0</v>
      </c>
      <c r="H960" s="2">
        <f>IF(B960="", "", "not provided")</f>
        <v>0</v>
      </c>
      <c r="I960" s="1">
        <f>IF(B960="", "", "meters")</f>
        <v>0</v>
      </c>
      <c r="T960" s="1">
        <f>IF(B960="", "", "Decimal degrees")</f>
        <v>0</v>
      </c>
      <c r="V960" s="1">
        <f>IF(B960="", "", "Decimal degrees")</f>
        <v>0</v>
      </c>
      <c r="Y960" s="1">
        <f>IF(B960="", "", "other")</f>
        <v>0</v>
      </c>
      <c r="AB960" s="1">
        <f>IF(B960="", "", "Not applicable")</f>
        <v>0</v>
      </c>
    </row>
    <row r="961" spans="1:28">
      <c r="A961">
        <f>IF(COUNTBLANK(B961:AC961)&lt;&gt;COLUMNS(B961:AC961),960,"")</f>
        <v>0</v>
      </c>
      <c r="H961" s="2">
        <f>IF(B961="", "", "not provided")</f>
        <v>0</v>
      </c>
      <c r="I961" s="1">
        <f>IF(B961="", "", "meters")</f>
        <v>0</v>
      </c>
      <c r="T961" s="1">
        <f>IF(B961="", "", "Decimal degrees")</f>
        <v>0</v>
      </c>
      <c r="V961" s="1">
        <f>IF(B961="", "", "Decimal degrees")</f>
        <v>0</v>
      </c>
      <c r="Y961" s="1">
        <f>IF(B961="", "", "other")</f>
        <v>0</v>
      </c>
      <c r="AB961" s="1">
        <f>IF(B961="", "", "Not applicable")</f>
        <v>0</v>
      </c>
    </row>
    <row r="962" spans="1:28">
      <c r="A962">
        <f>IF(COUNTBLANK(B962:AC962)&lt;&gt;COLUMNS(B962:AC962),961,"")</f>
        <v>0</v>
      </c>
      <c r="H962" s="2">
        <f>IF(B962="", "", "not provided")</f>
        <v>0</v>
      </c>
      <c r="I962" s="1">
        <f>IF(B962="", "", "meters")</f>
        <v>0</v>
      </c>
      <c r="T962" s="1">
        <f>IF(B962="", "", "Decimal degrees")</f>
        <v>0</v>
      </c>
      <c r="V962" s="1">
        <f>IF(B962="", "", "Decimal degrees")</f>
        <v>0</v>
      </c>
      <c r="Y962" s="1">
        <f>IF(B962="", "", "other")</f>
        <v>0</v>
      </c>
      <c r="AB962" s="1">
        <f>IF(B962="", "", "Not applicable")</f>
        <v>0</v>
      </c>
    </row>
    <row r="963" spans="1:28">
      <c r="A963">
        <f>IF(COUNTBLANK(B963:AC963)&lt;&gt;COLUMNS(B963:AC963),962,"")</f>
        <v>0</v>
      </c>
      <c r="H963" s="2">
        <f>IF(B963="", "", "not provided")</f>
        <v>0</v>
      </c>
      <c r="I963" s="1">
        <f>IF(B963="", "", "meters")</f>
        <v>0</v>
      </c>
      <c r="T963" s="1">
        <f>IF(B963="", "", "Decimal degrees")</f>
        <v>0</v>
      </c>
      <c r="V963" s="1">
        <f>IF(B963="", "", "Decimal degrees")</f>
        <v>0</v>
      </c>
      <c r="Y963" s="1">
        <f>IF(B963="", "", "other")</f>
        <v>0</v>
      </c>
      <c r="AB963" s="1">
        <f>IF(B963="", "", "Not applicable")</f>
        <v>0</v>
      </c>
    </row>
    <row r="964" spans="1:28">
      <c r="A964">
        <f>IF(COUNTBLANK(B964:AC964)&lt;&gt;COLUMNS(B964:AC964),963,"")</f>
        <v>0</v>
      </c>
      <c r="H964" s="2">
        <f>IF(B964="", "", "not provided")</f>
        <v>0</v>
      </c>
      <c r="I964" s="1">
        <f>IF(B964="", "", "meters")</f>
        <v>0</v>
      </c>
      <c r="T964" s="1">
        <f>IF(B964="", "", "Decimal degrees")</f>
        <v>0</v>
      </c>
      <c r="V964" s="1">
        <f>IF(B964="", "", "Decimal degrees")</f>
        <v>0</v>
      </c>
      <c r="Y964" s="1">
        <f>IF(B964="", "", "other")</f>
        <v>0</v>
      </c>
      <c r="AB964" s="1">
        <f>IF(B964="", "", "Not applicable")</f>
        <v>0</v>
      </c>
    </row>
    <row r="965" spans="1:28">
      <c r="A965">
        <f>IF(COUNTBLANK(B965:AC965)&lt;&gt;COLUMNS(B965:AC965),964,"")</f>
        <v>0</v>
      </c>
      <c r="H965" s="2">
        <f>IF(B965="", "", "not provided")</f>
        <v>0</v>
      </c>
      <c r="I965" s="1">
        <f>IF(B965="", "", "meters")</f>
        <v>0</v>
      </c>
      <c r="T965" s="1">
        <f>IF(B965="", "", "Decimal degrees")</f>
        <v>0</v>
      </c>
      <c r="V965" s="1">
        <f>IF(B965="", "", "Decimal degrees")</f>
        <v>0</v>
      </c>
      <c r="Y965" s="1">
        <f>IF(B965="", "", "other")</f>
        <v>0</v>
      </c>
      <c r="AB965" s="1">
        <f>IF(B965="", "", "Not applicable")</f>
        <v>0</v>
      </c>
    </row>
    <row r="966" spans="1:28">
      <c r="A966">
        <f>IF(COUNTBLANK(B966:AC966)&lt;&gt;COLUMNS(B966:AC966),965,"")</f>
        <v>0</v>
      </c>
      <c r="H966" s="2">
        <f>IF(B966="", "", "not provided")</f>
        <v>0</v>
      </c>
      <c r="I966" s="1">
        <f>IF(B966="", "", "meters")</f>
        <v>0</v>
      </c>
      <c r="T966" s="1">
        <f>IF(B966="", "", "Decimal degrees")</f>
        <v>0</v>
      </c>
      <c r="V966" s="1">
        <f>IF(B966="", "", "Decimal degrees")</f>
        <v>0</v>
      </c>
      <c r="Y966" s="1">
        <f>IF(B966="", "", "other")</f>
        <v>0</v>
      </c>
      <c r="AB966" s="1">
        <f>IF(B966="", "", "Not applicable")</f>
        <v>0</v>
      </c>
    </row>
    <row r="967" spans="1:28">
      <c r="A967">
        <f>IF(COUNTBLANK(B967:AC967)&lt;&gt;COLUMNS(B967:AC967),966,"")</f>
        <v>0</v>
      </c>
      <c r="H967" s="2">
        <f>IF(B967="", "", "not provided")</f>
        <v>0</v>
      </c>
      <c r="I967" s="1">
        <f>IF(B967="", "", "meters")</f>
        <v>0</v>
      </c>
      <c r="T967" s="1">
        <f>IF(B967="", "", "Decimal degrees")</f>
        <v>0</v>
      </c>
      <c r="V967" s="1">
        <f>IF(B967="", "", "Decimal degrees")</f>
        <v>0</v>
      </c>
      <c r="Y967" s="1">
        <f>IF(B967="", "", "other")</f>
        <v>0</v>
      </c>
      <c r="AB967" s="1">
        <f>IF(B967="", "", "Not applicable")</f>
        <v>0</v>
      </c>
    </row>
    <row r="968" spans="1:28">
      <c r="A968">
        <f>IF(COUNTBLANK(B968:AC968)&lt;&gt;COLUMNS(B968:AC968),967,"")</f>
        <v>0</v>
      </c>
      <c r="H968" s="2">
        <f>IF(B968="", "", "not provided")</f>
        <v>0</v>
      </c>
      <c r="I968" s="1">
        <f>IF(B968="", "", "meters")</f>
        <v>0</v>
      </c>
      <c r="T968" s="1">
        <f>IF(B968="", "", "Decimal degrees")</f>
        <v>0</v>
      </c>
      <c r="V968" s="1">
        <f>IF(B968="", "", "Decimal degrees")</f>
        <v>0</v>
      </c>
      <c r="Y968" s="1">
        <f>IF(B968="", "", "other")</f>
        <v>0</v>
      </c>
      <c r="AB968" s="1">
        <f>IF(B968="", "", "Not applicable")</f>
        <v>0</v>
      </c>
    </row>
    <row r="969" spans="1:28">
      <c r="A969">
        <f>IF(COUNTBLANK(B969:AC969)&lt;&gt;COLUMNS(B969:AC969),968,"")</f>
        <v>0</v>
      </c>
      <c r="H969" s="2">
        <f>IF(B969="", "", "not provided")</f>
        <v>0</v>
      </c>
      <c r="I969" s="1">
        <f>IF(B969="", "", "meters")</f>
        <v>0</v>
      </c>
      <c r="T969" s="1">
        <f>IF(B969="", "", "Decimal degrees")</f>
        <v>0</v>
      </c>
      <c r="V969" s="1">
        <f>IF(B969="", "", "Decimal degrees")</f>
        <v>0</v>
      </c>
      <c r="Y969" s="1">
        <f>IF(B969="", "", "other")</f>
        <v>0</v>
      </c>
      <c r="AB969" s="1">
        <f>IF(B969="", "", "Not applicable")</f>
        <v>0</v>
      </c>
    </row>
    <row r="970" spans="1:28">
      <c r="A970">
        <f>IF(COUNTBLANK(B970:AC970)&lt;&gt;COLUMNS(B970:AC970),969,"")</f>
        <v>0</v>
      </c>
      <c r="H970" s="2">
        <f>IF(B970="", "", "not provided")</f>
        <v>0</v>
      </c>
      <c r="I970" s="1">
        <f>IF(B970="", "", "meters")</f>
        <v>0</v>
      </c>
      <c r="T970" s="1">
        <f>IF(B970="", "", "Decimal degrees")</f>
        <v>0</v>
      </c>
      <c r="V970" s="1">
        <f>IF(B970="", "", "Decimal degrees")</f>
        <v>0</v>
      </c>
      <c r="Y970" s="1">
        <f>IF(B970="", "", "other")</f>
        <v>0</v>
      </c>
      <c r="AB970" s="1">
        <f>IF(B970="", "", "Not applicable")</f>
        <v>0</v>
      </c>
    </row>
    <row r="971" spans="1:28">
      <c r="A971">
        <f>IF(COUNTBLANK(B971:AC971)&lt;&gt;COLUMNS(B971:AC971),970,"")</f>
        <v>0</v>
      </c>
      <c r="H971" s="2">
        <f>IF(B971="", "", "not provided")</f>
        <v>0</v>
      </c>
      <c r="I971" s="1">
        <f>IF(B971="", "", "meters")</f>
        <v>0</v>
      </c>
      <c r="T971" s="1">
        <f>IF(B971="", "", "Decimal degrees")</f>
        <v>0</v>
      </c>
      <c r="V971" s="1">
        <f>IF(B971="", "", "Decimal degrees")</f>
        <v>0</v>
      </c>
      <c r="Y971" s="1">
        <f>IF(B971="", "", "other")</f>
        <v>0</v>
      </c>
      <c r="AB971" s="1">
        <f>IF(B971="", "", "Not applicable")</f>
        <v>0</v>
      </c>
    </row>
    <row r="972" spans="1:28">
      <c r="A972">
        <f>IF(COUNTBLANK(B972:AC972)&lt;&gt;COLUMNS(B972:AC972),971,"")</f>
        <v>0</v>
      </c>
      <c r="H972" s="2">
        <f>IF(B972="", "", "not provided")</f>
        <v>0</v>
      </c>
      <c r="I972" s="1">
        <f>IF(B972="", "", "meters")</f>
        <v>0</v>
      </c>
      <c r="T972" s="1">
        <f>IF(B972="", "", "Decimal degrees")</f>
        <v>0</v>
      </c>
      <c r="V972" s="1">
        <f>IF(B972="", "", "Decimal degrees")</f>
        <v>0</v>
      </c>
      <c r="Y972" s="1">
        <f>IF(B972="", "", "other")</f>
        <v>0</v>
      </c>
      <c r="AB972" s="1">
        <f>IF(B972="", "", "Not applicable")</f>
        <v>0</v>
      </c>
    </row>
    <row r="973" spans="1:28">
      <c r="A973">
        <f>IF(COUNTBLANK(B973:AC973)&lt;&gt;COLUMNS(B973:AC973),972,"")</f>
        <v>0</v>
      </c>
      <c r="H973" s="2">
        <f>IF(B973="", "", "not provided")</f>
        <v>0</v>
      </c>
      <c r="I973" s="1">
        <f>IF(B973="", "", "meters")</f>
        <v>0</v>
      </c>
      <c r="T973" s="1">
        <f>IF(B973="", "", "Decimal degrees")</f>
        <v>0</v>
      </c>
      <c r="V973" s="1">
        <f>IF(B973="", "", "Decimal degrees")</f>
        <v>0</v>
      </c>
      <c r="Y973" s="1">
        <f>IF(B973="", "", "other")</f>
        <v>0</v>
      </c>
      <c r="AB973" s="1">
        <f>IF(B973="", "", "Not applicable")</f>
        <v>0</v>
      </c>
    </row>
    <row r="974" spans="1:28">
      <c r="A974">
        <f>IF(COUNTBLANK(B974:AC974)&lt;&gt;COLUMNS(B974:AC974),973,"")</f>
        <v>0</v>
      </c>
      <c r="H974" s="2">
        <f>IF(B974="", "", "not provided")</f>
        <v>0</v>
      </c>
      <c r="I974" s="1">
        <f>IF(B974="", "", "meters")</f>
        <v>0</v>
      </c>
      <c r="T974" s="1">
        <f>IF(B974="", "", "Decimal degrees")</f>
        <v>0</v>
      </c>
      <c r="V974" s="1">
        <f>IF(B974="", "", "Decimal degrees")</f>
        <v>0</v>
      </c>
      <c r="Y974" s="1">
        <f>IF(B974="", "", "other")</f>
        <v>0</v>
      </c>
      <c r="AB974" s="1">
        <f>IF(B974="", "", "Not applicable")</f>
        <v>0</v>
      </c>
    </row>
    <row r="975" spans="1:28">
      <c r="A975">
        <f>IF(COUNTBLANK(B975:AC975)&lt;&gt;COLUMNS(B975:AC975),974,"")</f>
        <v>0</v>
      </c>
      <c r="H975" s="2">
        <f>IF(B975="", "", "not provided")</f>
        <v>0</v>
      </c>
      <c r="I975" s="1">
        <f>IF(B975="", "", "meters")</f>
        <v>0</v>
      </c>
      <c r="T975" s="1">
        <f>IF(B975="", "", "Decimal degrees")</f>
        <v>0</v>
      </c>
      <c r="V975" s="1">
        <f>IF(B975="", "", "Decimal degrees")</f>
        <v>0</v>
      </c>
      <c r="Y975" s="1">
        <f>IF(B975="", "", "other")</f>
        <v>0</v>
      </c>
      <c r="AB975" s="1">
        <f>IF(B975="", "", "Not applicable")</f>
        <v>0</v>
      </c>
    </row>
    <row r="976" spans="1:28">
      <c r="A976">
        <f>IF(COUNTBLANK(B976:AC976)&lt;&gt;COLUMNS(B976:AC976),975,"")</f>
        <v>0</v>
      </c>
      <c r="H976" s="2">
        <f>IF(B976="", "", "not provided")</f>
        <v>0</v>
      </c>
      <c r="I976" s="1">
        <f>IF(B976="", "", "meters")</f>
        <v>0</v>
      </c>
      <c r="T976" s="1">
        <f>IF(B976="", "", "Decimal degrees")</f>
        <v>0</v>
      </c>
      <c r="V976" s="1">
        <f>IF(B976="", "", "Decimal degrees")</f>
        <v>0</v>
      </c>
      <c r="Y976" s="1">
        <f>IF(B976="", "", "other")</f>
        <v>0</v>
      </c>
      <c r="AB976" s="1">
        <f>IF(B976="", "", "Not applicable")</f>
        <v>0</v>
      </c>
    </row>
    <row r="977" spans="1:28">
      <c r="A977">
        <f>IF(COUNTBLANK(B977:AC977)&lt;&gt;COLUMNS(B977:AC977),976,"")</f>
        <v>0</v>
      </c>
      <c r="H977" s="2">
        <f>IF(B977="", "", "not provided")</f>
        <v>0</v>
      </c>
      <c r="I977" s="1">
        <f>IF(B977="", "", "meters")</f>
        <v>0</v>
      </c>
      <c r="T977" s="1">
        <f>IF(B977="", "", "Decimal degrees")</f>
        <v>0</v>
      </c>
      <c r="V977" s="1">
        <f>IF(B977="", "", "Decimal degrees")</f>
        <v>0</v>
      </c>
      <c r="Y977" s="1">
        <f>IF(B977="", "", "other")</f>
        <v>0</v>
      </c>
      <c r="AB977" s="1">
        <f>IF(B977="", "", "Not applicable")</f>
        <v>0</v>
      </c>
    </row>
    <row r="978" spans="1:28">
      <c r="A978">
        <f>IF(COUNTBLANK(B978:AC978)&lt;&gt;COLUMNS(B978:AC978),977,"")</f>
        <v>0</v>
      </c>
      <c r="H978" s="2">
        <f>IF(B978="", "", "not provided")</f>
        <v>0</v>
      </c>
      <c r="I978" s="1">
        <f>IF(B978="", "", "meters")</f>
        <v>0</v>
      </c>
      <c r="T978" s="1">
        <f>IF(B978="", "", "Decimal degrees")</f>
        <v>0</v>
      </c>
      <c r="V978" s="1">
        <f>IF(B978="", "", "Decimal degrees")</f>
        <v>0</v>
      </c>
      <c r="Y978" s="1">
        <f>IF(B978="", "", "other")</f>
        <v>0</v>
      </c>
      <c r="AB978" s="1">
        <f>IF(B978="", "", "Not applicable")</f>
        <v>0</v>
      </c>
    </row>
    <row r="979" spans="1:28">
      <c r="A979">
        <f>IF(COUNTBLANK(B979:AC979)&lt;&gt;COLUMNS(B979:AC979),978,"")</f>
        <v>0</v>
      </c>
      <c r="H979" s="2">
        <f>IF(B979="", "", "not provided")</f>
        <v>0</v>
      </c>
      <c r="I979" s="1">
        <f>IF(B979="", "", "meters")</f>
        <v>0</v>
      </c>
      <c r="T979" s="1">
        <f>IF(B979="", "", "Decimal degrees")</f>
        <v>0</v>
      </c>
      <c r="V979" s="1">
        <f>IF(B979="", "", "Decimal degrees")</f>
        <v>0</v>
      </c>
      <c r="Y979" s="1">
        <f>IF(B979="", "", "other")</f>
        <v>0</v>
      </c>
      <c r="AB979" s="1">
        <f>IF(B979="", "", "Not applicable")</f>
        <v>0</v>
      </c>
    </row>
    <row r="980" spans="1:28">
      <c r="A980">
        <f>IF(COUNTBLANK(B980:AC980)&lt;&gt;COLUMNS(B980:AC980),979,"")</f>
        <v>0</v>
      </c>
      <c r="H980" s="2">
        <f>IF(B980="", "", "not provided")</f>
        <v>0</v>
      </c>
      <c r="I980" s="1">
        <f>IF(B980="", "", "meters")</f>
        <v>0</v>
      </c>
      <c r="T980" s="1">
        <f>IF(B980="", "", "Decimal degrees")</f>
        <v>0</v>
      </c>
      <c r="V980" s="1">
        <f>IF(B980="", "", "Decimal degrees")</f>
        <v>0</v>
      </c>
      <c r="Y980" s="1">
        <f>IF(B980="", "", "other")</f>
        <v>0</v>
      </c>
      <c r="AB980" s="1">
        <f>IF(B980="", "", "Not applicable")</f>
        <v>0</v>
      </c>
    </row>
    <row r="981" spans="1:28">
      <c r="A981">
        <f>IF(COUNTBLANK(B981:AC981)&lt;&gt;COLUMNS(B981:AC981),980,"")</f>
        <v>0</v>
      </c>
      <c r="H981" s="2">
        <f>IF(B981="", "", "not provided")</f>
        <v>0</v>
      </c>
      <c r="I981" s="1">
        <f>IF(B981="", "", "meters")</f>
        <v>0</v>
      </c>
      <c r="T981" s="1">
        <f>IF(B981="", "", "Decimal degrees")</f>
        <v>0</v>
      </c>
      <c r="V981" s="1">
        <f>IF(B981="", "", "Decimal degrees")</f>
        <v>0</v>
      </c>
      <c r="Y981" s="1">
        <f>IF(B981="", "", "other")</f>
        <v>0</v>
      </c>
      <c r="AB981" s="1">
        <f>IF(B981="", "", "Not applicable")</f>
        <v>0</v>
      </c>
    </row>
    <row r="982" spans="1:28">
      <c r="A982">
        <f>IF(COUNTBLANK(B982:AC982)&lt;&gt;COLUMNS(B982:AC982),981,"")</f>
        <v>0</v>
      </c>
      <c r="H982" s="2">
        <f>IF(B982="", "", "not provided")</f>
        <v>0</v>
      </c>
      <c r="I982" s="1">
        <f>IF(B982="", "", "meters")</f>
        <v>0</v>
      </c>
      <c r="T982" s="1">
        <f>IF(B982="", "", "Decimal degrees")</f>
        <v>0</v>
      </c>
      <c r="V982" s="1">
        <f>IF(B982="", "", "Decimal degrees")</f>
        <v>0</v>
      </c>
      <c r="Y982" s="1">
        <f>IF(B982="", "", "other")</f>
        <v>0</v>
      </c>
      <c r="AB982" s="1">
        <f>IF(B982="", "", "Not applicable")</f>
        <v>0</v>
      </c>
    </row>
    <row r="983" spans="1:28">
      <c r="A983">
        <f>IF(COUNTBLANK(B983:AC983)&lt;&gt;COLUMNS(B983:AC983),982,"")</f>
        <v>0</v>
      </c>
      <c r="H983" s="2">
        <f>IF(B983="", "", "not provided")</f>
        <v>0</v>
      </c>
      <c r="I983" s="1">
        <f>IF(B983="", "", "meters")</f>
        <v>0</v>
      </c>
      <c r="T983" s="1">
        <f>IF(B983="", "", "Decimal degrees")</f>
        <v>0</v>
      </c>
      <c r="V983" s="1">
        <f>IF(B983="", "", "Decimal degrees")</f>
        <v>0</v>
      </c>
      <c r="Y983" s="1">
        <f>IF(B983="", "", "other")</f>
        <v>0</v>
      </c>
      <c r="AB983" s="1">
        <f>IF(B983="", "", "Not applicable")</f>
        <v>0</v>
      </c>
    </row>
    <row r="984" spans="1:28">
      <c r="A984">
        <f>IF(COUNTBLANK(B984:AC984)&lt;&gt;COLUMNS(B984:AC984),983,"")</f>
        <v>0</v>
      </c>
      <c r="H984" s="2">
        <f>IF(B984="", "", "not provided")</f>
        <v>0</v>
      </c>
      <c r="I984" s="1">
        <f>IF(B984="", "", "meters")</f>
        <v>0</v>
      </c>
      <c r="T984" s="1">
        <f>IF(B984="", "", "Decimal degrees")</f>
        <v>0</v>
      </c>
      <c r="V984" s="1">
        <f>IF(B984="", "", "Decimal degrees")</f>
        <v>0</v>
      </c>
      <c r="Y984" s="1">
        <f>IF(B984="", "", "other")</f>
        <v>0</v>
      </c>
      <c r="AB984" s="1">
        <f>IF(B984="", "", "Not applicable")</f>
        <v>0</v>
      </c>
    </row>
    <row r="985" spans="1:28">
      <c r="A985">
        <f>IF(COUNTBLANK(B985:AC985)&lt;&gt;COLUMNS(B985:AC985),984,"")</f>
        <v>0</v>
      </c>
      <c r="H985" s="2">
        <f>IF(B985="", "", "not provided")</f>
        <v>0</v>
      </c>
      <c r="I985" s="1">
        <f>IF(B985="", "", "meters")</f>
        <v>0</v>
      </c>
      <c r="T985" s="1">
        <f>IF(B985="", "", "Decimal degrees")</f>
        <v>0</v>
      </c>
      <c r="V985" s="1">
        <f>IF(B985="", "", "Decimal degrees")</f>
        <v>0</v>
      </c>
      <c r="Y985" s="1">
        <f>IF(B985="", "", "other")</f>
        <v>0</v>
      </c>
      <c r="AB985" s="1">
        <f>IF(B985="", "", "Not applicable")</f>
        <v>0</v>
      </c>
    </row>
    <row r="986" spans="1:28">
      <c r="A986">
        <f>IF(COUNTBLANK(B986:AC986)&lt;&gt;COLUMNS(B986:AC986),985,"")</f>
        <v>0</v>
      </c>
      <c r="H986" s="2">
        <f>IF(B986="", "", "not provided")</f>
        <v>0</v>
      </c>
      <c r="I986" s="1">
        <f>IF(B986="", "", "meters")</f>
        <v>0</v>
      </c>
      <c r="T986" s="1">
        <f>IF(B986="", "", "Decimal degrees")</f>
        <v>0</v>
      </c>
      <c r="V986" s="1">
        <f>IF(B986="", "", "Decimal degrees")</f>
        <v>0</v>
      </c>
      <c r="Y986" s="1">
        <f>IF(B986="", "", "other")</f>
        <v>0</v>
      </c>
      <c r="AB986" s="1">
        <f>IF(B986="", "", "Not applicable")</f>
        <v>0</v>
      </c>
    </row>
    <row r="987" spans="1:28">
      <c r="A987">
        <f>IF(COUNTBLANK(B987:AC987)&lt;&gt;COLUMNS(B987:AC987),986,"")</f>
        <v>0</v>
      </c>
      <c r="H987" s="2">
        <f>IF(B987="", "", "not provided")</f>
        <v>0</v>
      </c>
      <c r="I987" s="1">
        <f>IF(B987="", "", "meters")</f>
        <v>0</v>
      </c>
      <c r="T987" s="1">
        <f>IF(B987="", "", "Decimal degrees")</f>
        <v>0</v>
      </c>
      <c r="V987" s="1">
        <f>IF(B987="", "", "Decimal degrees")</f>
        <v>0</v>
      </c>
      <c r="Y987" s="1">
        <f>IF(B987="", "", "other")</f>
        <v>0</v>
      </c>
      <c r="AB987" s="1">
        <f>IF(B987="", "", "Not applicable")</f>
        <v>0</v>
      </c>
    </row>
    <row r="988" spans="1:28">
      <c r="A988">
        <f>IF(COUNTBLANK(B988:AC988)&lt;&gt;COLUMNS(B988:AC988),987,"")</f>
        <v>0</v>
      </c>
      <c r="H988" s="2">
        <f>IF(B988="", "", "not provided")</f>
        <v>0</v>
      </c>
      <c r="I988" s="1">
        <f>IF(B988="", "", "meters")</f>
        <v>0</v>
      </c>
      <c r="T988" s="1">
        <f>IF(B988="", "", "Decimal degrees")</f>
        <v>0</v>
      </c>
      <c r="V988" s="1">
        <f>IF(B988="", "", "Decimal degrees")</f>
        <v>0</v>
      </c>
      <c r="Y988" s="1">
        <f>IF(B988="", "", "other")</f>
        <v>0</v>
      </c>
      <c r="AB988" s="1">
        <f>IF(B988="", "", "Not applicable")</f>
        <v>0</v>
      </c>
    </row>
    <row r="989" spans="1:28">
      <c r="A989">
        <f>IF(COUNTBLANK(B989:AC989)&lt;&gt;COLUMNS(B989:AC989),988,"")</f>
        <v>0</v>
      </c>
      <c r="H989" s="2">
        <f>IF(B989="", "", "not provided")</f>
        <v>0</v>
      </c>
      <c r="I989" s="1">
        <f>IF(B989="", "", "meters")</f>
        <v>0</v>
      </c>
      <c r="T989" s="1">
        <f>IF(B989="", "", "Decimal degrees")</f>
        <v>0</v>
      </c>
      <c r="V989" s="1">
        <f>IF(B989="", "", "Decimal degrees")</f>
        <v>0</v>
      </c>
      <c r="Y989" s="1">
        <f>IF(B989="", "", "other")</f>
        <v>0</v>
      </c>
      <c r="AB989" s="1">
        <f>IF(B989="", "", "Not applicable")</f>
        <v>0</v>
      </c>
    </row>
    <row r="990" spans="1:28">
      <c r="A990">
        <f>IF(COUNTBLANK(B990:AC990)&lt;&gt;COLUMNS(B990:AC990),989,"")</f>
        <v>0</v>
      </c>
      <c r="H990" s="2">
        <f>IF(B990="", "", "not provided")</f>
        <v>0</v>
      </c>
      <c r="I990" s="1">
        <f>IF(B990="", "", "meters")</f>
        <v>0</v>
      </c>
      <c r="T990" s="1">
        <f>IF(B990="", "", "Decimal degrees")</f>
        <v>0</v>
      </c>
      <c r="V990" s="1">
        <f>IF(B990="", "", "Decimal degrees")</f>
        <v>0</v>
      </c>
      <c r="Y990" s="1">
        <f>IF(B990="", "", "other")</f>
        <v>0</v>
      </c>
      <c r="AB990" s="1">
        <f>IF(B990="", "", "Not applicable")</f>
        <v>0</v>
      </c>
    </row>
    <row r="991" spans="1:28">
      <c r="A991">
        <f>IF(COUNTBLANK(B991:AC991)&lt;&gt;COLUMNS(B991:AC991),990,"")</f>
        <v>0</v>
      </c>
      <c r="H991" s="2">
        <f>IF(B991="", "", "not provided")</f>
        <v>0</v>
      </c>
      <c r="I991" s="1">
        <f>IF(B991="", "", "meters")</f>
        <v>0</v>
      </c>
      <c r="T991" s="1">
        <f>IF(B991="", "", "Decimal degrees")</f>
        <v>0</v>
      </c>
      <c r="V991" s="1">
        <f>IF(B991="", "", "Decimal degrees")</f>
        <v>0</v>
      </c>
      <c r="Y991" s="1">
        <f>IF(B991="", "", "other")</f>
        <v>0</v>
      </c>
      <c r="AB991" s="1">
        <f>IF(B991="", "", "Not applicable")</f>
        <v>0</v>
      </c>
    </row>
    <row r="992" spans="1:28">
      <c r="A992">
        <f>IF(COUNTBLANK(B992:AC992)&lt;&gt;COLUMNS(B992:AC992),991,"")</f>
        <v>0</v>
      </c>
      <c r="H992" s="2">
        <f>IF(B992="", "", "not provided")</f>
        <v>0</v>
      </c>
      <c r="I992" s="1">
        <f>IF(B992="", "", "meters")</f>
        <v>0</v>
      </c>
      <c r="T992" s="1">
        <f>IF(B992="", "", "Decimal degrees")</f>
        <v>0</v>
      </c>
      <c r="V992" s="1">
        <f>IF(B992="", "", "Decimal degrees")</f>
        <v>0</v>
      </c>
      <c r="Y992" s="1">
        <f>IF(B992="", "", "other")</f>
        <v>0</v>
      </c>
      <c r="AB992" s="1">
        <f>IF(B992="", "", "Not applicable")</f>
        <v>0</v>
      </c>
    </row>
    <row r="993" spans="1:28">
      <c r="A993">
        <f>IF(COUNTBLANK(B993:AC993)&lt;&gt;COLUMNS(B993:AC993),992,"")</f>
        <v>0</v>
      </c>
      <c r="H993" s="2">
        <f>IF(B993="", "", "not provided")</f>
        <v>0</v>
      </c>
      <c r="I993" s="1">
        <f>IF(B993="", "", "meters")</f>
        <v>0</v>
      </c>
      <c r="T993" s="1">
        <f>IF(B993="", "", "Decimal degrees")</f>
        <v>0</v>
      </c>
      <c r="V993" s="1">
        <f>IF(B993="", "", "Decimal degrees")</f>
        <v>0</v>
      </c>
      <c r="Y993" s="1">
        <f>IF(B993="", "", "other")</f>
        <v>0</v>
      </c>
      <c r="AB993" s="1">
        <f>IF(B993="", "", "Not applicable")</f>
        <v>0</v>
      </c>
    </row>
    <row r="994" spans="1:28">
      <c r="A994">
        <f>IF(COUNTBLANK(B994:AC994)&lt;&gt;COLUMNS(B994:AC994),993,"")</f>
        <v>0</v>
      </c>
      <c r="H994" s="2">
        <f>IF(B994="", "", "not provided")</f>
        <v>0</v>
      </c>
      <c r="I994" s="1">
        <f>IF(B994="", "", "meters")</f>
        <v>0</v>
      </c>
      <c r="T994" s="1">
        <f>IF(B994="", "", "Decimal degrees")</f>
        <v>0</v>
      </c>
      <c r="V994" s="1">
        <f>IF(B994="", "", "Decimal degrees")</f>
        <v>0</v>
      </c>
      <c r="Y994" s="1">
        <f>IF(B994="", "", "other")</f>
        <v>0</v>
      </c>
      <c r="AB994" s="1">
        <f>IF(B994="", "", "Not applicable")</f>
        <v>0</v>
      </c>
    </row>
    <row r="995" spans="1:28">
      <c r="A995">
        <f>IF(COUNTBLANK(B995:AC995)&lt;&gt;COLUMNS(B995:AC995),994,"")</f>
        <v>0</v>
      </c>
      <c r="H995" s="2">
        <f>IF(B995="", "", "not provided")</f>
        <v>0</v>
      </c>
      <c r="I995" s="1">
        <f>IF(B995="", "", "meters")</f>
        <v>0</v>
      </c>
      <c r="T995" s="1">
        <f>IF(B995="", "", "Decimal degrees")</f>
        <v>0</v>
      </c>
      <c r="V995" s="1">
        <f>IF(B995="", "", "Decimal degrees")</f>
        <v>0</v>
      </c>
      <c r="Y995" s="1">
        <f>IF(B995="", "", "other")</f>
        <v>0</v>
      </c>
      <c r="AB995" s="1">
        <f>IF(B995="", "", "Not applicable")</f>
        <v>0</v>
      </c>
    </row>
    <row r="996" spans="1:28">
      <c r="A996">
        <f>IF(COUNTBLANK(B996:AC996)&lt;&gt;COLUMNS(B996:AC996),995,"")</f>
        <v>0</v>
      </c>
      <c r="H996" s="2">
        <f>IF(B996="", "", "not provided")</f>
        <v>0</v>
      </c>
      <c r="I996" s="1">
        <f>IF(B996="", "", "meters")</f>
        <v>0</v>
      </c>
      <c r="T996" s="1">
        <f>IF(B996="", "", "Decimal degrees")</f>
        <v>0</v>
      </c>
      <c r="V996" s="1">
        <f>IF(B996="", "", "Decimal degrees")</f>
        <v>0</v>
      </c>
      <c r="Y996" s="1">
        <f>IF(B996="", "", "other")</f>
        <v>0</v>
      </c>
      <c r="AB996" s="1">
        <f>IF(B996="", "", "Not applicable")</f>
        <v>0</v>
      </c>
    </row>
    <row r="997" spans="1:28">
      <c r="A997">
        <f>IF(COUNTBLANK(B997:AC997)&lt;&gt;COLUMNS(B997:AC997),996,"")</f>
        <v>0</v>
      </c>
      <c r="H997" s="2">
        <f>IF(B997="", "", "not provided")</f>
        <v>0</v>
      </c>
      <c r="I997" s="1">
        <f>IF(B997="", "", "meters")</f>
        <v>0</v>
      </c>
      <c r="T997" s="1">
        <f>IF(B997="", "", "Decimal degrees")</f>
        <v>0</v>
      </c>
      <c r="V997" s="1">
        <f>IF(B997="", "", "Decimal degrees")</f>
        <v>0</v>
      </c>
      <c r="Y997" s="1">
        <f>IF(B997="", "", "other")</f>
        <v>0</v>
      </c>
      <c r="AB997" s="1">
        <f>IF(B997="", "", "Not applicable")</f>
        <v>0</v>
      </c>
    </row>
    <row r="998" spans="1:28">
      <c r="A998">
        <f>IF(COUNTBLANK(B998:AC998)&lt;&gt;COLUMNS(B998:AC998),997,"")</f>
        <v>0</v>
      </c>
      <c r="H998" s="2">
        <f>IF(B998="", "", "not provided")</f>
        <v>0</v>
      </c>
      <c r="I998" s="1">
        <f>IF(B998="", "", "meters")</f>
        <v>0</v>
      </c>
      <c r="T998" s="1">
        <f>IF(B998="", "", "Decimal degrees")</f>
        <v>0</v>
      </c>
      <c r="V998" s="1">
        <f>IF(B998="", "", "Decimal degrees")</f>
        <v>0</v>
      </c>
      <c r="Y998" s="1">
        <f>IF(B998="", "", "other")</f>
        <v>0</v>
      </c>
      <c r="AB998" s="1">
        <f>IF(B998="", "", "Not applicable")</f>
        <v>0</v>
      </c>
    </row>
    <row r="999" spans="1:28">
      <c r="A999">
        <f>IF(COUNTBLANK(B999:AC999)&lt;&gt;COLUMNS(B999:AC999),998,"")</f>
        <v>0</v>
      </c>
      <c r="H999" s="2">
        <f>IF(B999="", "", "not provided")</f>
        <v>0</v>
      </c>
      <c r="I999" s="1">
        <f>IF(B999="", "", "meters")</f>
        <v>0</v>
      </c>
      <c r="T999" s="1">
        <f>IF(B999="", "", "Decimal degrees")</f>
        <v>0</v>
      </c>
      <c r="V999" s="1">
        <f>IF(B999="", "", "Decimal degrees")</f>
        <v>0</v>
      </c>
      <c r="Y999" s="1">
        <f>IF(B999="", "", "other")</f>
        <v>0</v>
      </c>
      <c r="AB999" s="1">
        <f>IF(B999="", "", "Not applicable")</f>
        <v>0</v>
      </c>
    </row>
    <row r="1000" spans="1:28">
      <c r="A1000">
        <f>IF(COUNTBLANK(B1000:AC1000)&lt;&gt;COLUMNS(B1000:AC1000),999,"")</f>
        <v>0</v>
      </c>
      <c r="H1000" s="2">
        <f>IF(B1000="", "", "not provided")</f>
        <v>0</v>
      </c>
      <c r="I1000" s="1">
        <f>IF(B1000="", "", "meters")</f>
        <v>0</v>
      </c>
      <c r="T1000" s="1">
        <f>IF(B1000="", "", "Decimal degrees")</f>
        <v>0</v>
      </c>
      <c r="V1000" s="1">
        <f>IF(B1000="", "", "Decimal degrees")</f>
        <v>0</v>
      </c>
      <c r="Y1000" s="1">
        <f>IF(B1000="", "", "other")</f>
        <v>0</v>
      </c>
      <c r="AB1000" s="1">
        <f>IF(B1000="", "", "Not applicable")</f>
        <v>0</v>
      </c>
    </row>
    <row r="1001" spans="1:28">
      <c r="A1001">
        <f>IF(COUNTBLANK(B1001:AC1001)&lt;&gt;COLUMNS(B1001:AC1001),1000,"")</f>
        <v>0</v>
      </c>
      <c r="H1001" s="2">
        <f>IF(B1001="", "", "not provided")</f>
        <v>0</v>
      </c>
      <c r="I1001" s="1">
        <f>IF(B1001="", "", "meters")</f>
        <v>0</v>
      </c>
      <c r="T1001" s="1">
        <f>IF(B1001="", "", "Decimal degrees")</f>
        <v>0</v>
      </c>
      <c r="V1001" s="1">
        <f>IF(B1001="", "", "Decimal degrees")</f>
        <v>0</v>
      </c>
      <c r="Y1001" s="1">
        <f>IF(B1001="", "", "other")</f>
        <v>0</v>
      </c>
      <c r="AB1001" s="1">
        <f>IF(B1001="", "", "Not applicable")</f>
        <v>0</v>
      </c>
    </row>
    <row r="1002" spans="1:28">
      <c r="B1002" s="3" t="s">
        <v>2</v>
      </c>
    </row>
  </sheetData>
  <sheetProtection password="EE32" sheet="1" objects="1" scenarios="1" formatCells="0" formatColumns="0" formatRows="0"/>
  <dataValidations count="28">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device" error="The collection_device value entered is not valid. The value must be a string." promptTitle="Enter collection_device" prompt="The value must be a string." sqref="C2:C1001">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2:D1001">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not collected&quot; or must equal[text truncated: please refer to Data Dictionary sheet for full requirements]." sqref="E2:E1001">
      <formula1>(OR(AND(IF(E2="",FALSE,TRUE),OR(exact(E2,"not collected"),exact(E2,"not provided"),exact(E2,"restricted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2:F1001">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not collected&quot; or must equal &quot;not provided&quot; or the value must be a string and must equal &quot;TRUE&quot; or must equal &quot;FALSE&quot;." promptTitle="Enter dna_extracted" prompt="Whether the DNA been extracted from the sample. The value must be a string and must equal &quot;not collected&quot; or must equal &quot;not provided&quot; or the value must be a string and must equal &quot;TRUE&quot; or must equal &quot;FALSE&quot;." sqref="G2:G1001">
      <formula1>"not collected,not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not collected&quot; or must equal [text truncated: please refer to Data Dictionary sheet for full requirements]." promptTitle="Enter elevation" prompt="Height of land above sea level in meters at the sampling site. The value must be a string and must equal &quot;not collected&quot; or must equal &quot;not provided&quot; or must equal &quot;restricted a[text truncated: please refer to Data Dictionary sheet for full requirements]." sqref="H2:H1001">
      <formula1>(OR(AND(IF(H2="",FALSE,TRUE),OR(exact(H2,"not collected"),exact(H2,"not provided"),exact(H2,"restricted access"))),AND(IF(H2="",FALSE,ISNUMBER(VALUE(H2))),H2&gt;=-413.0)))</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2:I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J2:J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K2:K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al [text truncated: please refer to Data Dictionary sheet for full requirements]." promptTitle="Enter empo_3" prompt="The value must be a string and must equal &quot;Plant secretion&quot; or must equal &quot;Plant rhizosphere&quot; or must equal &quot;Plant surface&quot; or must equal &quot;Plant corpus&quot; or must equal &quot;Fungus su[text truncated: please refer to Data Dictionary sheet for full requirements]." sqref="L2:L1001">
      <formula1>(AND(IF(L2="",FALSE,TRUE),OR(exact(L2,"Plant secretion"),exact(L2,"Plant rhizosphere"),exact(L2,"Plant surface"),exact(L2,"Plant corpus"),exact(L2,"Fungus surface"),exact(L2,"Fungus corpus"),exact(L2,"Animal surface"),exact(L2,"Animal proximal gut"),exact(L2,"Animal corpus"),exact(L2,"Animal distal gut"),exact(L2,"Animal secretion"),exact(L2,"Sub-surface (non-saline)"),exact(L2,"Surface (non-saline)"),exact(L2,"Water (non-saline)"),exact(L2,"Soil (non-saline)"),exact(L2,"Aerosol (non-saline)"),exact(L2,"Sediment (non-saline)"),exact(L2,"Surface (saline)"),exact(L2,"Water (saline)"),exact(L2,"Hypersaline (saline)"),exact(L2,"Aerosol (saline)"),exact(L2,"Sediment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2:M1001">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2:N1001">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2:O1001">
      <formula1>(IF(O2="",FALSE,TRUE))</formula1>
    </dataValidation>
    <dataValidation type="list" allowBlank="1" showInputMessage="1" showErrorMessage="1" errorTitle="Invalid env_package" error="The env_package value entered is not valid. Environment where the sample was obtained. The value must be a string and must equal &quot;not collected&quot; or must equal &quot;not provided&quot; or [text truncated: please refer to Data Dictionary sheet for full requirements]." promptTitle="Enter env_package" prompt="Environment where the sample was obtained. The value must be a string and must equal &quot;not collected&quot; or must equal &quot;not provided&quot; or must equal &quot;restricted access&quot; or the value [text truncated: please refer to Data Dictionary sheet for full requirements]." sqref="P2:P1001">
      <formula1>"not collected,not provided,restricted access,air,built environment,host-associated,human-associated,human-skin,human-oral,human-gut,human-vaginal,microbial mat/biofilm,misc environment,plant-associated,sediment,soil,wastewater/sludge,water"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2:Q1001">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2:R1001">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no[text truncated: please refer to Data Dictionary sheet for full requirements]." promptTitle="Enter latitude" prompt="Location of the sample site by latitude in decimal degrees, e.g. 32.72 for San Diego, USA. The value must be a string and must equal &quot;not collected&quot; or must equal &quot;not provided&quot;[text truncated: please refer to Data Dictionary sheet for full requirements]." sqref="S2:S1001">
      <formula1>(OR(AND(IF(S2="",FALSE,TRUE),OR(exact(S2,"not collected"),exact(S2,"not provided"),exact(S2,"restricted access"))),AND(IF(S2="",FALSE,ISNUMBER(VALUE(S2))),S2&gt;=-90.00,S2&lt;=90.00)))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2:T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not collected&quot; or must equal &quot;not provid[text truncated: please refer to Data Dictionary sheet for full requirements]." sqref="U2:U1001">
      <formula1>(OR(AND(IF(U2="",FALSE,TRUE),OR(exact(U2,"not collected"),exact(U2,"not provided"),exact(U2,"restricted access"))),AND(IF(U2="",FALSE,ISNUMBER(VALUE(U2))),U2&gt;=-180.00,U2&lt;=180.00)))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V2:V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W2:W1001">
      <formula1>(IF(W2="",FALSE,TRUE))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not collected&quot; or must e[text truncated: please refer to Data Dictionary sheet for full requirements]." promptTitle="Enter value" prompt="Whether there is any raw specimen left to sample. The value must be a string and must equal &quot;not collected&quot; or must equal &quot;not provided&quot; or must equal &quot;restricted access&quot; or the value must be a string and must equal &quot;TRUE&quot; or must equal &quot;FALSE&quot;." sqref="X2:X1001">
      <formula1>"not collected,not provided,restricted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Y2:Y1001">
      <formula1>"other"</formula1>
    </dataValidation>
    <dataValidation type="custom"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Z2:Z1001">
      <formula1>(IF(Z2="",FALSE,TRUE))</formula1>
    </dataValidation>
    <dataValidation type="custom"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A2:AA1001">
      <formula1>(OR(AND(IF(AA2="",FALSE,TRUE),OR(exact(AA2,"not collected"),exact(AA2,"not provided"))),AND(IF(AA2="",FALSE,IF(ISERROR(INT(AA2)),FALSE,INT(AA2)=AA2)),AA2&gt;0)))</formula1>
    </dataValidation>
    <dataValidation type="list" allowBlank="1" showInputMessage="1" showErrorMessage="1" errorTitle="Invalid taxon_id_units" error="The taxon_id_units value entered is not valid. The value must be a string and must equal &quot;Not applicable&quot;. The default value is Not applicable." promptTitle="Enter taxon_id_units" prompt="The value must be a string and must equal &quot;Not applicable&quot;. The default value is Not applicable." sqref="AB2:AB1001">
      <formula1>"Not applicable"</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C2:AC1001">
      <formula1>(IF(AC2="",FALSE,TRUE))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O1006"/>
  <sheetViews>
    <sheetView workbookViewId="0">
      <pane xSplit="1" ySplit="1" topLeftCell="B2" activePane="bottomRight" state="frozen"/>
      <selection pane="topRight" activeCell="B1" sqref="B1"/>
      <selection pane="bottomLeft" activeCell="A2" sqref="A2"/>
      <selection pane="bottomRight"/>
    </sheetView>
  </sheetViews>
  <sheetFormatPr defaultRowHeight="15" zeroHeight="1"/>
  <cols>
    <col min="2" max="2" width="9.140625" style="4"/>
    <col min="3" max="3" width="9.140625" style="4"/>
    <col min="4" max="4" width="9.140625" style="4"/>
    <col min="5" max="5" width="9.140625" style="4"/>
    <col min="6" max="6" width="9.140625" style="4"/>
    <col min="7" max="7" width="9.140625" style="4"/>
    <col min="8" max="8" width="9.140625" style="4"/>
    <col min="9" max="9" width="9.140625" style="4"/>
    <col min="10" max="10" width="9.140625" style="4"/>
    <col min="11" max="11" width="9.140625" style="4"/>
    <col min="12" max="12" width="9.140625" style="4"/>
    <col min="13" max="13" width="9.140625" style="4"/>
    <col min="14" max="14" width="9.140625" style="4"/>
    <col min="15" max="15" width="9.140625" style="4"/>
    <col min="16" max="16" width="9.140625" style="4"/>
    <col min="17" max="17" width="9.140625" style="4"/>
    <col min="18" max="18" width="9.140625" style="4"/>
    <col min="19" max="19" width="9.140625" style="4"/>
    <col min="20" max="20" width="9.140625" style="4"/>
    <col min="21" max="21" width="9.140625" style="4"/>
    <col min="22" max="22" width="9.140625" style="4"/>
    <col min="23" max="23" width="9.140625" style="4"/>
    <col min="24" max="24" width="9.140625" style="4"/>
    <col min="25" max="25" width="9.140625" style="4"/>
    <col min="26" max="26" width="9.140625" style="4"/>
    <col min="27" max="27" width="9.140625" style="4"/>
    <col min="28" max="28" width="9.140625" style="4"/>
    <col min="29" max="29" width="9.140625" style="4"/>
    <col min="33" max="39" width="0" hidden="1" customWidth="1"/>
    <col min="40" max="67" width="0" hidden="1" customWidth="1"/>
  </cols>
  <sheetData>
    <row r="1" spans="1:67">
      <c r="A1" s="3" t="s">
        <v>1</v>
      </c>
      <c r="B1" s="3">
        <f>IF(B2=" ", " ", INDEX($AN$1:$BO$1, 1, MATCH(COLUMNS($AN$1006:AN1006),$AN$1006:$BO$1006,0)))</f>
        <v>0</v>
      </c>
      <c r="C1" s="3">
        <f>IF(C2=" ", " ", INDEX($AN$1:$BO$1, 1, MATCH(COLUMNS($AN$1006:AO1006),$AN$1006:$BO$1006,0)))</f>
        <v>0</v>
      </c>
      <c r="D1" s="3">
        <f>IF(D2=" ", " ", INDEX($AN$1:$BO$1, 1, MATCH(COLUMNS($AN$1006:AP1006),$AN$1006:$BO$1006,0)))</f>
        <v>0</v>
      </c>
      <c r="E1" s="3">
        <f>IF(E2=" ", " ", INDEX($AN$1:$BO$1, 1, MATCH(COLUMNS($AN$1006:AQ1006),$AN$1006:$BO$1006,0)))</f>
        <v>0</v>
      </c>
      <c r="F1" s="3">
        <f>IF(F2=" ", " ", INDEX($AN$1:$BO$1, 1, MATCH(COLUMNS($AN$1006:AR1006),$AN$1006:$BO$1006,0)))</f>
        <v>0</v>
      </c>
      <c r="G1" s="3">
        <f>IF(G2=" ", " ", INDEX($AN$1:$BO$1, 1, MATCH(COLUMNS($AN$1006:AS1006),$AN$1006:$BO$1006,0)))</f>
        <v>0</v>
      </c>
      <c r="H1" s="3">
        <f>IF(H2=" ", " ", INDEX($AN$1:$BO$1, 1, MATCH(COLUMNS($AN$1006:AT1006),$AN$1006:$BO$1006,0)))</f>
        <v>0</v>
      </c>
      <c r="I1" s="3">
        <f>IF(I2=" ", " ", INDEX($AN$1:$BO$1, 1, MATCH(COLUMNS($AN$1006:AU1006),$AN$1006:$BO$1006,0)))</f>
        <v>0</v>
      </c>
      <c r="J1" s="3">
        <f>IF(J2=" ", " ", INDEX($AN$1:$BO$1, 1, MATCH(COLUMNS($AN$1006:AV1006),$AN$1006:$BO$1006,0)))</f>
        <v>0</v>
      </c>
      <c r="K1" s="3">
        <f>IF(K2=" ", " ", INDEX($AN$1:$BO$1, 1, MATCH(COLUMNS($AN$1006:AW1006),$AN$1006:$BO$1006,0)))</f>
        <v>0</v>
      </c>
      <c r="L1" s="3">
        <f>IF(L2=" ", " ", INDEX($AN$1:$BO$1, 1, MATCH(COLUMNS($AN$1006:AX1006),$AN$1006:$BO$1006,0)))</f>
        <v>0</v>
      </c>
      <c r="M1" s="3">
        <f>IF(M2=" ", " ", INDEX($AN$1:$BO$1, 1, MATCH(COLUMNS($AN$1006:AY1006),$AN$1006:$BO$1006,0)))</f>
        <v>0</v>
      </c>
      <c r="N1" s="3">
        <f>IF(N2=" ", " ", INDEX($AN$1:$BO$1, 1, MATCH(COLUMNS($AN$1006:AZ1006),$AN$1006:$BO$1006,0)))</f>
        <v>0</v>
      </c>
      <c r="O1" s="3">
        <f>IF(O2=" ", " ", INDEX($AN$1:$BO$1, 1, MATCH(COLUMNS($AN$1006:BA1006),$AN$1006:$BO$1006,0)))</f>
        <v>0</v>
      </c>
      <c r="P1" s="3">
        <f>IF(P2=" ", " ", INDEX($AN$1:$BO$1, 1, MATCH(COLUMNS($AN$1006:BB1006),$AN$1006:$BO$1006,0)))</f>
        <v>0</v>
      </c>
      <c r="Q1" s="3">
        <f>IF(Q2=" ", " ", INDEX($AN$1:$BO$1, 1, MATCH(COLUMNS($AN$1006:BC1006),$AN$1006:$BO$1006,0)))</f>
        <v>0</v>
      </c>
      <c r="R1" s="3">
        <f>IF(R2=" ", " ", INDEX($AN$1:$BO$1, 1, MATCH(COLUMNS($AN$1006:BD1006),$AN$1006:$BO$1006,0)))</f>
        <v>0</v>
      </c>
      <c r="S1" s="3">
        <f>IF(S2=" ", " ", INDEX($AN$1:$BO$1, 1, MATCH(COLUMNS($AN$1006:BE1006),$AN$1006:$BO$1006,0)))</f>
        <v>0</v>
      </c>
      <c r="T1" s="3">
        <f>IF(T2=" ", " ", INDEX($AN$1:$BO$1, 1, MATCH(COLUMNS($AN$1006:BF1006),$AN$1006:$BO$1006,0)))</f>
        <v>0</v>
      </c>
      <c r="U1" s="3">
        <f>IF(U2=" ", " ", INDEX($AN$1:$BO$1, 1, MATCH(COLUMNS($AN$1006:BG1006),$AN$1006:$BO$1006,0)))</f>
        <v>0</v>
      </c>
      <c r="V1" s="3">
        <f>IF(V2=" ", " ", INDEX($AN$1:$BO$1, 1, MATCH(COLUMNS($AN$1006:BH1006),$AN$1006:$BO$1006,0)))</f>
        <v>0</v>
      </c>
      <c r="W1" s="3">
        <f>IF(W2=" ", " ", INDEX($AN$1:$BO$1, 1, MATCH(COLUMNS($AN$1006:BI1006),$AN$1006:$BO$1006,0)))</f>
        <v>0</v>
      </c>
      <c r="X1" s="3">
        <f>IF(X2=" ", " ", INDEX($AN$1:$BO$1, 1, MATCH(COLUMNS($AN$1006:BJ1006),$AN$1006:$BO$1006,0)))</f>
        <v>0</v>
      </c>
      <c r="Y1" s="3">
        <f>IF(Y2=" ", " ", INDEX($AN$1:$BO$1, 1, MATCH(COLUMNS($AN$1006:BK1006),$AN$1006:$BO$1006,0)))</f>
        <v>0</v>
      </c>
      <c r="Z1" s="3">
        <f>IF(Z2=" ", " ", INDEX($AN$1:$BO$1, 1, MATCH(COLUMNS($AN$1006:BL1006),$AN$1006:$BO$1006,0)))</f>
        <v>0</v>
      </c>
      <c r="AA1" s="3">
        <f>IF(AA2=" ", " ", INDEX($AN$1:$BO$1, 1, MATCH(COLUMNS($AN$1006:BM1006),$AN$1006:$BO$1006,0)))</f>
        <v>0</v>
      </c>
      <c r="AB1" s="3">
        <f>IF(AB2=" ", " ", INDEX($AN$1:$BO$1, 1, MATCH(COLUMNS($AN$1006:BN1006),$AN$1006:$BO$1006,0)))</f>
        <v>0</v>
      </c>
      <c r="AC1" s="3">
        <f>IF(AC2=" ", " ", INDEX($AN$1:$BO$1, 1, MATCH(COLUMNS($AN$1006:BO1006),$AN$1006:$BO$1006,0)))</f>
        <v>0</v>
      </c>
      <c r="AG1" s="3" t="s">
        <v>34</v>
      </c>
      <c r="AH1" s="3" t="s">
        <v>33</v>
      </c>
      <c r="AI1" s="3" t="s">
        <v>32</v>
      </c>
      <c r="AJ1" s="3" t="s">
        <v>31</v>
      </c>
      <c r="AK1" s="3" t="s">
        <v>30</v>
      </c>
      <c r="AL1" s="3" t="s">
        <v>1</v>
      </c>
      <c r="AN1" s="3" t="s">
        <v>1</v>
      </c>
      <c r="AO1" s="3" t="s">
        <v>3</v>
      </c>
      <c r="AP1" s="3" t="s">
        <v>4</v>
      </c>
      <c r="AQ1" s="3" t="s">
        <v>5</v>
      </c>
      <c r="AR1" s="3" t="s">
        <v>6</v>
      </c>
      <c r="AS1" s="3" t="s">
        <v>7</v>
      </c>
      <c r="AT1" s="3" t="s">
        <v>8</v>
      </c>
      <c r="AU1" s="3" t="s">
        <v>9</v>
      </c>
      <c r="AV1" s="3" t="s">
        <v>10</v>
      </c>
      <c r="AW1" s="3" t="s">
        <v>11</v>
      </c>
      <c r="AX1" s="3" t="s">
        <v>12</v>
      </c>
      <c r="AY1" s="3" t="s">
        <v>13</v>
      </c>
      <c r="AZ1" s="3" t="s">
        <v>14</v>
      </c>
      <c r="BA1" s="3" t="s">
        <v>15</v>
      </c>
      <c r="BB1" s="3" t="s">
        <v>16</v>
      </c>
      <c r="BC1" s="3" t="s">
        <v>17</v>
      </c>
      <c r="BD1" s="3" t="s">
        <v>18</v>
      </c>
      <c r="BE1" s="3" t="s">
        <v>19</v>
      </c>
      <c r="BF1" s="3" t="s">
        <v>20</v>
      </c>
      <c r="BG1" s="3" t="s">
        <v>21</v>
      </c>
      <c r="BH1" s="3" t="s">
        <v>22</v>
      </c>
      <c r="BI1" s="3" t="s">
        <v>23</v>
      </c>
      <c r="BJ1" s="3" t="s">
        <v>24</v>
      </c>
      <c r="BK1" s="3" t="s">
        <v>25</v>
      </c>
      <c r="BL1" s="3" t="s">
        <v>26</v>
      </c>
      <c r="BM1" s="3" t="s">
        <v>27</v>
      </c>
      <c r="BN1" s="3" t="s">
        <v>28</v>
      </c>
      <c r="BO1" s="3" t="s">
        <v>29</v>
      </c>
    </row>
    <row r="2" spans="1:67">
      <c r="A2" s="5">
        <f>IF(B2=" "," ",HYPERLINK(CONCATENATE("#metadata!",ADDRESS(INDEX($AI$2:$AI$1001,MATCH(ROWS($AG$2:AG2),$AG$2:$AG$1001,0),0),1)),INDEX($AL$2:$AL$1001,MATCH(ROWS($AG$2:AG2),$AG$2:$AG$1001,0),0)))</f>
        <v>0</v>
      </c>
      <c r="B2" s="4">
        <f>IF(OR(INDEX($AH$2:$AH$1001,MATCH(ROWS($AG$2:AG2),$AG$2:$AG$1001,0),1)&gt;=100000,INDEX($AN$1005:$BO$1005,1,MATCH(COLUMNS($AN$1006:AN1006),$AN$1006:$BO$1006,0))&gt;=100000), " ",IF(INDEX($AN$2:$BO$1001,MATCH(ROWS($AG$2:AG2),$AG$2:$AG$1001,0),MATCH(COLUMNS($AN$1006:AN1006),$AN$1006:$BO$1006,0)), HYPERLINK("#",""), HYPERLINK(CONCATENATE("#Metadata!", ADDRESS(INDEX($AI$2:$AI$1001,MATCH(ROWS($AG$2:AG2),$AG$2:$AG$1001,0),0), INDEX($AN$1004:$BO$1004,1,MATCH(COLUMNS($AN$1006:AN1006),$AN$1006:$BO$1006,0)))),"Fix")))</f>
        <v>0</v>
      </c>
      <c r="C2" s="4">
        <f>IF(OR(INDEX($AH$2:$AH$1001,MATCH(ROWS($AG$2:AG2),$AG$2:$AG$1001,0),1)&gt;=100000,INDEX($AN$1005:$BO$1005,1,MATCH(COLUMNS($AN$1006:AO1006),$AN$1006:$BO$1006,0))&gt;=100000), " ",IF(INDEX($AN$2:$BO$1001,MATCH(ROWS($AG$2:AG2),$AG$2:$AG$1001,0),MATCH(COLUMNS($AN$1006:AO1006),$AN$1006:$BO$1006,0)), HYPERLINK("#",""), HYPERLINK(CONCATENATE("#Metadata!", ADDRESS(INDEX($AI$2:$AI$1001,MATCH(ROWS($AG$2:AG2),$AG$2:$AG$1001,0),0), INDEX($AN$1004:$BO$1004,1,MATCH(COLUMNS($AN$1006:AO1006),$AN$1006:$BO$1006,0)))),"Fix")))</f>
        <v>0</v>
      </c>
      <c r="D2" s="4">
        <f>IF(OR(INDEX($AH$2:$AH$1001,MATCH(ROWS($AG$2:AG2),$AG$2:$AG$1001,0),1)&gt;=100000,INDEX($AN$1005:$BO$1005,1,MATCH(COLUMNS($AN$1006:AP1006),$AN$1006:$BO$1006,0))&gt;=100000), " ",IF(INDEX($AN$2:$BO$1001,MATCH(ROWS($AG$2:AG2),$AG$2:$AG$1001,0),MATCH(COLUMNS($AN$1006:AP1006),$AN$1006:$BO$1006,0)), HYPERLINK("#",""), HYPERLINK(CONCATENATE("#Metadata!", ADDRESS(INDEX($AI$2:$AI$1001,MATCH(ROWS($AG$2:AG2),$AG$2:$AG$1001,0),0), INDEX($AN$1004:$BO$1004,1,MATCH(COLUMNS($AN$1006:AP1006),$AN$1006:$BO$1006,0)))),"Fix")))</f>
        <v>0</v>
      </c>
      <c r="E2" s="4">
        <f>IF(OR(INDEX($AH$2:$AH$1001,MATCH(ROWS($AG$2:AG2),$AG$2:$AG$1001,0),1)&gt;=100000,INDEX($AN$1005:$BO$1005,1,MATCH(COLUMNS($AN$1006:AQ1006),$AN$1006:$BO$1006,0))&gt;=100000), " ",IF(INDEX($AN$2:$BO$1001,MATCH(ROWS($AG$2:AG2),$AG$2:$AG$1001,0),MATCH(COLUMNS($AN$1006:AQ1006),$AN$1006:$BO$1006,0)), HYPERLINK("#",""), HYPERLINK(CONCATENATE("#Metadata!", ADDRESS(INDEX($AI$2:$AI$1001,MATCH(ROWS($AG$2:AG2),$AG$2:$AG$1001,0),0), INDEX($AN$1004:$BO$1004,1,MATCH(COLUMNS($AN$1006:AQ1006),$AN$1006:$BO$1006,0)))),"Fix")))</f>
        <v>0</v>
      </c>
      <c r="F2" s="4">
        <f>IF(OR(INDEX($AH$2:$AH$1001,MATCH(ROWS($AG$2:AG2),$AG$2:$AG$1001,0),1)&gt;=100000,INDEX($AN$1005:$BO$1005,1,MATCH(COLUMNS($AN$1006:AR1006),$AN$1006:$BO$1006,0))&gt;=100000), " ",IF(INDEX($AN$2:$BO$1001,MATCH(ROWS($AG$2:AG2),$AG$2:$AG$1001,0),MATCH(COLUMNS($AN$1006:AR1006),$AN$1006:$BO$1006,0)), HYPERLINK("#",""), HYPERLINK(CONCATENATE("#Metadata!", ADDRESS(INDEX($AI$2:$AI$1001,MATCH(ROWS($AG$2:AG2),$AG$2:$AG$1001,0),0), INDEX($AN$1004:$BO$1004,1,MATCH(COLUMNS($AN$1006:AR1006),$AN$1006:$BO$1006,0)))),"Fix")))</f>
        <v>0</v>
      </c>
      <c r="G2" s="4">
        <f>IF(OR(INDEX($AH$2:$AH$1001,MATCH(ROWS($AG$2:AG2),$AG$2:$AG$1001,0),1)&gt;=100000,INDEX($AN$1005:$BO$1005,1,MATCH(COLUMNS($AN$1006:AS1006),$AN$1006:$BO$1006,0))&gt;=100000), " ",IF(INDEX($AN$2:$BO$1001,MATCH(ROWS($AG$2:AG2),$AG$2:$AG$1001,0),MATCH(COLUMNS($AN$1006:AS1006),$AN$1006:$BO$1006,0)), HYPERLINK("#",""), HYPERLINK(CONCATENATE("#Metadata!", ADDRESS(INDEX($AI$2:$AI$1001,MATCH(ROWS($AG$2:AG2),$AG$2:$AG$1001,0),0), INDEX($AN$1004:$BO$1004,1,MATCH(COLUMNS($AN$1006:AS1006),$AN$1006:$BO$1006,0)))),"Fix")))</f>
        <v>0</v>
      </c>
      <c r="H2" s="4">
        <f>IF(OR(INDEX($AH$2:$AH$1001,MATCH(ROWS($AG$2:AG2),$AG$2:$AG$1001,0),1)&gt;=100000,INDEX($AN$1005:$BO$1005,1,MATCH(COLUMNS($AN$1006:AT1006),$AN$1006:$BO$1006,0))&gt;=100000), " ",IF(INDEX($AN$2:$BO$1001,MATCH(ROWS($AG$2:AG2),$AG$2:$AG$1001,0),MATCH(COLUMNS($AN$1006:AT1006),$AN$1006:$BO$1006,0)), HYPERLINK("#",""), HYPERLINK(CONCATENATE("#Metadata!", ADDRESS(INDEX($AI$2:$AI$1001,MATCH(ROWS($AG$2:AG2),$AG$2:$AG$1001,0),0), INDEX($AN$1004:$BO$1004,1,MATCH(COLUMNS($AN$1006:AT1006),$AN$1006:$BO$1006,0)))),"Fix")))</f>
        <v>0</v>
      </c>
      <c r="I2" s="4">
        <f>IF(OR(INDEX($AH$2:$AH$1001,MATCH(ROWS($AG$2:AG2),$AG$2:$AG$1001,0),1)&gt;=100000,INDEX($AN$1005:$BO$1005,1,MATCH(COLUMNS($AN$1006:AU1006),$AN$1006:$BO$1006,0))&gt;=100000), " ",IF(INDEX($AN$2:$BO$1001,MATCH(ROWS($AG$2:AG2),$AG$2:$AG$1001,0),MATCH(COLUMNS($AN$1006:AU1006),$AN$1006:$BO$1006,0)), HYPERLINK("#",""), HYPERLINK(CONCATENATE("#Metadata!", ADDRESS(INDEX($AI$2:$AI$1001,MATCH(ROWS($AG$2:AG2),$AG$2:$AG$1001,0),0), INDEX($AN$1004:$BO$1004,1,MATCH(COLUMNS($AN$1006:AU1006),$AN$1006:$BO$1006,0)))),"Fix")))</f>
        <v>0</v>
      </c>
      <c r="J2" s="4">
        <f>IF(OR(INDEX($AH$2:$AH$1001,MATCH(ROWS($AG$2:AG2),$AG$2:$AG$1001,0),1)&gt;=100000,INDEX($AN$1005:$BO$1005,1,MATCH(COLUMNS($AN$1006:AV1006),$AN$1006:$BO$1006,0))&gt;=100000), " ",IF(INDEX($AN$2:$BO$1001,MATCH(ROWS($AG$2:AG2),$AG$2:$AG$1001,0),MATCH(COLUMNS($AN$1006:AV1006),$AN$1006:$BO$1006,0)), HYPERLINK("#",""), HYPERLINK(CONCATENATE("#Metadata!", ADDRESS(INDEX($AI$2:$AI$1001,MATCH(ROWS($AG$2:AG2),$AG$2:$AG$1001,0),0), INDEX($AN$1004:$BO$1004,1,MATCH(COLUMNS($AN$1006:AV1006),$AN$1006:$BO$1006,0)))),"Fix")))</f>
        <v>0</v>
      </c>
      <c r="K2" s="4">
        <f>IF(OR(INDEX($AH$2:$AH$1001,MATCH(ROWS($AG$2:AG2),$AG$2:$AG$1001,0),1)&gt;=100000,INDEX($AN$1005:$BO$1005,1,MATCH(COLUMNS($AN$1006:AW1006),$AN$1006:$BO$1006,0))&gt;=100000), " ",IF(INDEX($AN$2:$BO$1001,MATCH(ROWS($AG$2:AG2),$AG$2:$AG$1001,0),MATCH(COLUMNS($AN$1006:AW1006),$AN$1006:$BO$1006,0)), HYPERLINK("#",""), HYPERLINK(CONCATENATE("#Metadata!", ADDRESS(INDEX($AI$2:$AI$1001,MATCH(ROWS($AG$2:AG2),$AG$2:$AG$1001,0),0), INDEX($AN$1004:$BO$1004,1,MATCH(COLUMNS($AN$1006:AW1006),$AN$1006:$BO$1006,0)))),"Fix")))</f>
        <v>0</v>
      </c>
      <c r="L2" s="4">
        <f>IF(OR(INDEX($AH$2:$AH$1001,MATCH(ROWS($AG$2:AG2),$AG$2:$AG$1001,0),1)&gt;=100000,INDEX($AN$1005:$BO$1005,1,MATCH(COLUMNS($AN$1006:AX1006),$AN$1006:$BO$1006,0))&gt;=100000), " ",IF(INDEX($AN$2:$BO$1001,MATCH(ROWS($AG$2:AG2),$AG$2:$AG$1001,0),MATCH(COLUMNS($AN$1006:AX1006),$AN$1006:$BO$1006,0)), HYPERLINK("#",""), HYPERLINK(CONCATENATE("#Metadata!", ADDRESS(INDEX($AI$2:$AI$1001,MATCH(ROWS($AG$2:AG2),$AG$2:$AG$1001,0),0), INDEX($AN$1004:$BO$1004,1,MATCH(COLUMNS($AN$1006:AX1006),$AN$1006:$BO$1006,0)))),"Fix")))</f>
        <v>0</v>
      </c>
      <c r="M2" s="4">
        <f>IF(OR(INDEX($AH$2:$AH$1001,MATCH(ROWS($AG$2:AG2),$AG$2:$AG$1001,0),1)&gt;=100000,INDEX($AN$1005:$BO$1005,1,MATCH(COLUMNS($AN$1006:AY1006),$AN$1006:$BO$1006,0))&gt;=100000), " ",IF(INDEX($AN$2:$BO$1001,MATCH(ROWS($AG$2:AG2),$AG$2:$AG$1001,0),MATCH(COLUMNS($AN$1006:AY1006),$AN$1006:$BO$1006,0)), HYPERLINK("#",""), HYPERLINK(CONCATENATE("#Metadata!", ADDRESS(INDEX($AI$2:$AI$1001,MATCH(ROWS($AG$2:AG2),$AG$2:$AG$1001,0),0), INDEX($AN$1004:$BO$1004,1,MATCH(COLUMNS($AN$1006:AY1006),$AN$1006:$BO$1006,0)))),"Fix")))</f>
        <v>0</v>
      </c>
      <c r="N2" s="4">
        <f>IF(OR(INDEX($AH$2:$AH$1001,MATCH(ROWS($AG$2:AG2),$AG$2:$AG$1001,0),1)&gt;=100000,INDEX($AN$1005:$BO$1005,1,MATCH(COLUMNS($AN$1006:AZ1006),$AN$1006:$BO$1006,0))&gt;=100000), " ",IF(INDEX($AN$2:$BO$1001,MATCH(ROWS($AG$2:AG2),$AG$2:$AG$1001,0),MATCH(COLUMNS($AN$1006:AZ1006),$AN$1006:$BO$1006,0)), HYPERLINK("#",""), HYPERLINK(CONCATENATE("#Metadata!", ADDRESS(INDEX($AI$2:$AI$1001,MATCH(ROWS($AG$2:AG2),$AG$2:$AG$1001,0),0), INDEX($AN$1004:$BO$1004,1,MATCH(COLUMNS($AN$1006:AZ1006),$AN$1006:$BO$1006,0)))),"Fix")))</f>
        <v>0</v>
      </c>
      <c r="O2" s="4">
        <f>IF(OR(INDEX($AH$2:$AH$1001,MATCH(ROWS($AG$2:AG2),$AG$2:$AG$1001,0),1)&gt;=100000,INDEX($AN$1005:$BO$1005,1,MATCH(COLUMNS($AN$1006:BA1006),$AN$1006:$BO$1006,0))&gt;=100000), " ",IF(INDEX($AN$2:$BO$1001,MATCH(ROWS($AG$2:AG2),$AG$2:$AG$1001,0),MATCH(COLUMNS($AN$1006:BA1006),$AN$1006:$BO$1006,0)), HYPERLINK("#",""), HYPERLINK(CONCATENATE("#Metadata!", ADDRESS(INDEX($AI$2:$AI$1001,MATCH(ROWS($AG$2:AG2),$AG$2:$AG$1001,0),0), INDEX($AN$1004:$BO$1004,1,MATCH(COLUMNS($AN$1006:BA1006),$AN$1006:$BO$1006,0)))),"Fix")))</f>
        <v>0</v>
      </c>
      <c r="P2" s="4">
        <f>IF(OR(INDEX($AH$2:$AH$1001,MATCH(ROWS($AG$2:AG2),$AG$2:$AG$1001,0),1)&gt;=100000,INDEX($AN$1005:$BO$1005,1,MATCH(COLUMNS($AN$1006:BB1006),$AN$1006:$BO$1006,0))&gt;=100000), " ",IF(INDEX($AN$2:$BO$1001,MATCH(ROWS($AG$2:AG2),$AG$2:$AG$1001,0),MATCH(COLUMNS($AN$1006:BB1006),$AN$1006:$BO$1006,0)), HYPERLINK("#",""), HYPERLINK(CONCATENATE("#Metadata!", ADDRESS(INDEX($AI$2:$AI$1001,MATCH(ROWS($AG$2:AG2),$AG$2:$AG$1001,0),0), INDEX($AN$1004:$BO$1004,1,MATCH(COLUMNS($AN$1006:BB1006),$AN$1006:$BO$1006,0)))),"Fix")))</f>
        <v>0</v>
      </c>
      <c r="Q2" s="4">
        <f>IF(OR(INDEX($AH$2:$AH$1001,MATCH(ROWS($AG$2:AG2),$AG$2:$AG$1001,0),1)&gt;=100000,INDEX($AN$1005:$BO$1005,1,MATCH(COLUMNS($AN$1006:BC1006),$AN$1006:$BO$1006,0))&gt;=100000), " ",IF(INDEX($AN$2:$BO$1001,MATCH(ROWS($AG$2:AG2),$AG$2:$AG$1001,0),MATCH(COLUMNS($AN$1006:BC1006),$AN$1006:$BO$1006,0)), HYPERLINK("#",""), HYPERLINK(CONCATENATE("#Metadata!", ADDRESS(INDEX($AI$2:$AI$1001,MATCH(ROWS($AG$2:AG2),$AG$2:$AG$1001,0),0), INDEX($AN$1004:$BO$1004,1,MATCH(COLUMNS($AN$1006:BC1006),$AN$1006:$BO$1006,0)))),"Fix")))</f>
        <v>0</v>
      </c>
      <c r="R2" s="4">
        <f>IF(OR(INDEX($AH$2:$AH$1001,MATCH(ROWS($AG$2:AG2),$AG$2:$AG$1001,0),1)&gt;=100000,INDEX($AN$1005:$BO$1005,1,MATCH(COLUMNS($AN$1006:BD1006),$AN$1006:$BO$1006,0))&gt;=100000), " ",IF(INDEX($AN$2:$BO$1001,MATCH(ROWS($AG$2:AG2),$AG$2:$AG$1001,0),MATCH(COLUMNS($AN$1006:BD1006),$AN$1006:$BO$1006,0)), HYPERLINK("#",""), HYPERLINK(CONCATENATE("#Metadata!", ADDRESS(INDEX($AI$2:$AI$1001,MATCH(ROWS($AG$2:AG2),$AG$2:$AG$1001,0),0), INDEX($AN$1004:$BO$1004,1,MATCH(COLUMNS($AN$1006:BD1006),$AN$1006:$BO$1006,0)))),"Fix")))</f>
        <v>0</v>
      </c>
      <c r="S2" s="4">
        <f>IF(OR(INDEX($AH$2:$AH$1001,MATCH(ROWS($AG$2:AG2),$AG$2:$AG$1001,0),1)&gt;=100000,INDEX($AN$1005:$BO$1005,1,MATCH(COLUMNS($AN$1006:BE1006),$AN$1006:$BO$1006,0))&gt;=100000), " ",IF(INDEX($AN$2:$BO$1001,MATCH(ROWS($AG$2:AG2),$AG$2:$AG$1001,0),MATCH(COLUMNS($AN$1006:BE1006),$AN$1006:$BO$1006,0)), HYPERLINK("#",""), HYPERLINK(CONCATENATE("#Metadata!", ADDRESS(INDEX($AI$2:$AI$1001,MATCH(ROWS($AG$2:AG2),$AG$2:$AG$1001,0),0), INDEX($AN$1004:$BO$1004,1,MATCH(COLUMNS($AN$1006:BE1006),$AN$1006:$BO$1006,0)))),"Fix")))</f>
        <v>0</v>
      </c>
      <c r="T2" s="4">
        <f>IF(OR(INDEX($AH$2:$AH$1001,MATCH(ROWS($AG$2:AG2),$AG$2:$AG$1001,0),1)&gt;=100000,INDEX($AN$1005:$BO$1005,1,MATCH(COLUMNS($AN$1006:BF1006),$AN$1006:$BO$1006,0))&gt;=100000), " ",IF(INDEX($AN$2:$BO$1001,MATCH(ROWS($AG$2:AG2),$AG$2:$AG$1001,0),MATCH(COLUMNS($AN$1006:BF1006),$AN$1006:$BO$1006,0)), HYPERLINK("#",""), HYPERLINK(CONCATENATE("#Metadata!", ADDRESS(INDEX($AI$2:$AI$1001,MATCH(ROWS($AG$2:AG2),$AG$2:$AG$1001,0),0), INDEX($AN$1004:$BO$1004,1,MATCH(COLUMNS($AN$1006:BF1006),$AN$1006:$BO$1006,0)))),"Fix")))</f>
        <v>0</v>
      </c>
      <c r="U2" s="4">
        <f>IF(OR(INDEX($AH$2:$AH$1001,MATCH(ROWS($AG$2:AG2),$AG$2:$AG$1001,0),1)&gt;=100000,INDEX($AN$1005:$BO$1005,1,MATCH(COLUMNS($AN$1006:BG1006),$AN$1006:$BO$1006,0))&gt;=100000), " ",IF(INDEX($AN$2:$BO$1001,MATCH(ROWS($AG$2:AG2),$AG$2:$AG$1001,0),MATCH(COLUMNS($AN$1006:BG1006),$AN$1006:$BO$1006,0)), HYPERLINK("#",""), HYPERLINK(CONCATENATE("#Metadata!", ADDRESS(INDEX($AI$2:$AI$1001,MATCH(ROWS($AG$2:AG2),$AG$2:$AG$1001,0),0), INDEX($AN$1004:$BO$1004,1,MATCH(COLUMNS($AN$1006:BG1006),$AN$1006:$BO$1006,0)))),"Fix")))</f>
        <v>0</v>
      </c>
      <c r="V2" s="4">
        <f>IF(OR(INDEX($AH$2:$AH$1001,MATCH(ROWS($AG$2:AG2),$AG$2:$AG$1001,0),1)&gt;=100000,INDEX($AN$1005:$BO$1005,1,MATCH(COLUMNS($AN$1006:BH1006),$AN$1006:$BO$1006,0))&gt;=100000), " ",IF(INDEX($AN$2:$BO$1001,MATCH(ROWS($AG$2:AG2),$AG$2:$AG$1001,0),MATCH(COLUMNS($AN$1006:BH1006),$AN$1006:$BO$1006,0)), HYPERLINK("#",""), HYPERLINK(CONCATENATE("#Metadata!", ADDRESS(INDEX($AI$2:$AI$1001,MATCH(ROWS($AG$2:AG2),$AG$2:$AG$1001,0),0), INDEX($AN$1004:$BO$1004,1,MATCH(COLUMNS($AN$1006:BH1006),$AN$1006:$BO$1006,0)))),"Fix")))</f>
        <v>0</v>
      </c>
      <c r="W2" s="4">
        <f>IF(OR(INDEX($AH$2:$AH$1001,MATCH(ROWS($AG$2:AG2),$AG$2:$AG$1001,0),1)&gt;=100000,INDEX($AN$1005:$BO$1005,1,MATCH(COLUMNS($AN$1006:BI1006),$AN$1006:$BO$1006,0))&gt;=100000), " ",IF(INDEX($AN$2:$BO$1001,MATCH(ROWS($AG$2:AG2),$AG$2:$AG$1001,0),MATCH(COLUMNS($AN$1006:BI1006),$AN$1006:$BO$1006,0)), HYPERLINK("#",""), HYPERLINK(CONCATENATE("#Metadata!", ADDRESS(INDEX($AI$2:$AI$1001,MATCH(ROWS($AG$2:AG2),$AG$2:$AG$1001,0),0), INDEX($AN$1004:$BO$1004,1,MATCH(COLUMNS($AN$1006:BI1006),$AN$1006:$BO$1006,0)))),"Fix")))</f>
        <v>0</v>
      </c>
      <c r="X2" s="4">
        <f>IF(OR(INDEX($AH$2:$AH$1001,MATCH(ROWS($AG$2:AG2),$AG$2:$AG$1001,0),1)&gt;=100000,INDEX($AN$1005:$BO$1005,1,MATCH(COLUMNS($AN$1006:BJ1006),$AN$1006:$BO$1006,0))&gt;=100000), " ",IF(INDEX($AN$2:$BO$1001,MATCH(ROWS($AG$2:AG2),$AG$2:$AG$1001,0),MATCH(COLUMNS($AN$1006:BJ1006),$AN$1006:$BO$1006,0)), HYPERLINK("#",""), HYPERLINK(CONCATENATE("#Metadata!", ADDRESS(INDEX($AI$2:$AI$1001,MATCH(ROWS($AG$2:AG2),$AG$2:$AG$1001,0),0), INDEX($AN$1004:$BO$1004,1,MATCH(COLUMNS($AN$1006:BJ1006),$AN$1006:$BO$1006,0)))),"Fix")))</f>
        <v>0</v>
      </c>
      <c r="Y2" s="4">
        <f>IF(OR(INDEX($AH$2:$AH$1001,MATCH(ROWS($AG$2:AG2),$AG$2:$AG$1001,0),1)&gt;=100000,INDEX($AN$1005:$BO$1005,1,MATCH(COLUMNS($AN$1006:BK1006),$AN$1006:$BO$1006,0))&gt;=100000), " ",IF(INDEX($AN$2:$BO$1001,MATCH(ROWS($AG$2:AG2),$AG$2:$AG$1001,0),MATCH(COLUMNS($AN$1006:BK1006),$AN$1006:$BO$1006,0)), HYPERLINK("#",""), HYPERLINK(CONCATENATE("#Metadata!", ADDRESS(INDEX($AI$2:$AI$1001,MATCH(ROWS($AG$2:AG2),$AG$2:$AG$1001,0),0), INDEX($AN$1004:$BO$1004,1,MATCH(COLUMNS($AN$1006:BK1006),$AN$1006:$BO$1006,0)))),"Fix")))</f>
        <v>0</v>
      </c>
      <c r="Z2" s="4">
        <f>IF(OR(INDEX($AH$2:$AH$1001,MATCH(ROWS($AG$2:AG2),$AG$2:$AG$1001,0),1)&gt;=100000,INDEX($AN$1005:$BO$1005,1,MATCH(COLUMNS($AN$1006:BL1006),$AN$1006:$BO$1006,0))&gt;=100000), " ",IF(INDEX($AN$2:$BO$1001,MATCH(ROWS($AG$2:AG2),$AG$2:$AG$1001,0),MATCH(COLUMNS($AN$1006:BL1006),$AN$1006:$BO$1006,0)), HYPERLINK("#",""), HYPERLINK(CONCATENATE("#Metadata!", ADDRESS(INDEX($AI$2:$AI$1001,MATCH(ROWS($AG$2:AG2),$AG$2:$AG$1001,0),0), INDEX($AN$1004:$BO$1004,1,MATCH(COLUMNS($AN$1006:BL1006),$AN$1006:$BO$1006,0)))),"Fix")))</f>
        <v>0</v>
      </c>
      <c r="AA2" s="4">
        <f>IF(OR(INDEX($AH$2:$AH$1001,MATCH(ROWS($AG$2:AG2),$AG$2:$AG$1001,0),1)&gt;=100000,INDEX($AN$1005:$BO$1005,1,MATCH(COLUMNS($AN$1006:BM1006),$AN$1006:$BO$1006,0))&gt;=100000), " ",IF(INDEX($AN$2:$BO$1001,MATCH(ROWS($AG$2:AG2),$AG$2:$AG$1001,0),MATCH(COLUMNS($AN$1006:BM1006),$AN$1006:$BO$1006,0)), HYPERLINK("#",""), HYPERLINK(CONCATENATE("#Metadata!", ADDRESS(INDEX($AI$2:$AI$1001,MATCH(ROWS($AG$2:AG2),$AG$2:$AG$1001,0),0), INDEX($AN$1004:$BO$1004,1,MATCH(COLUMNS($AN$1006:BM1006),$AN$1006:$BO$1006,0)))),"Fix")))</f>
        <v>0</v>
      </c>
      <c r="AB2" s="4">
        <f>IF(OR(INDEX($AH$2:$AH$1001,MATCH(ROWS($AG$2:AG2),$AG$2:$AG$1001,0),1)&gt;=100000,INDEX($AN$1005:$BO$1005,1,MATCH(COLUMNS($AN$1006:BN1006),$AN$1006:$BO$1006,0))&gt;=100000), " ",IF(INDEX($AN$2:$BO$1001,MATCH(ROWS($AG$2:AG2),$AG$2:$AG$1001,0),MATCH(COLUMNS($AN$1006:BN1006),$AN$1006:$BO$1006,0)), HYPERLINK("#",""), HYPERLINK(CONCATENATE("#Metadata!", ADDRESS(INDEX($AI$2:$AI$1001,MATCH(ROWS($AG$2:AG2),$AG$2:$AG$1001,0),0), INDEX($AN$1004:$BO$1004,1,MATCH(COLUMNS($AN$1006:BN1006),$AN$1006:$BO$1006,0)))),"Fix")))</f>
        <v>0</v>
      </c>
      <c r="AC2" s="4">
        <f>IF(OR(INDEX($AH$2:$AH$1001,MATCH(ROWS($AG$2:AG2),$AG$2:$AG$1001,0),1)&gt;=100000,INDEX($AN$1005:$BO$1005,1,MATCH(COLUMNS($AN$1006:BO1006),$AN$1006:$BO$1006,0))&gt;=100000), " ",IF(INDEX($AN$2:$BO$1001,MATCH(ROWS($AG$2:AG2),$AG$2:$AG$1001,0),MATCH(COLUMNS($AN$1006:BO1006),$AN$1006:$BO$1006,0)), HYPERLINK("#",""), HYPERLINK(CONCATENATE("#Metadata!", ADDRESS(INDEX($AI$2:$AI$1001,MATCH(ROWS($AG$2:AG2),$AG$2:$AG$1001,0),0), INDEX($AN$1004:$BO$1004,1,MATCH(COLUMNS($AN$1006:BO1006),$AN$1006:$BO$1006,0)))),"Fix")))</f>
        <v>0</v>
      </c>
      <c r="AG2">
        <f t="array" ref="AG2:AG1001">COUNTIF(AH$2:AH$1001,"&lt;="&amp;$AH2:$AH1001)</f>
        <v>0</v>
      </c>
      <c r="AH2">
        <f t="array" ref="AH2:AH1001">INT(AJ2:AJ1001)*100000+$AI$2:$AI$1001</f>
        <v>0</v>
      </c>
      <c r="AI2">
        <f t="array" ref="AI2:AI1001">ROW(Metadata!B2:B1001)</f>
        <v>0</v>
      </c>
      <c r="AJ2">
        <f>IF(AK2,TRUE,AND(AN2:BO2))</f>
        <v>0</v>
      </c>
      <c r="AK2">
        <f>COUNTBLANK(Metadata!B2:AC2)=COLUMNS(Metadata!B2:AC2)</f>
        <v>0</v>
      </c>
      <c r="AL2">
        <f t="array" ref="AL2:AL1001">IF(Metadata!B2:B1001="","",Metadata!B2:B1001)</f>
        <v>0</v>
      </c>
      <c r="AN2">
        <f>AND(IF(Metadata!B2="",FALSE,TRUE),COUNTIF(Metadata!B:B, Metadata!B2) = 1,NOT(ISERROR(SUMPRODUCT(SEARCH(MID(Metadata!B2,ROW(INDIRECT("1:"&amp;LEN(Metadata!B2))), 1),"0123456789abcdefghijklmnopqrstuvwxyzABCDEFGHIJKLMNOPQRSTUVWXYZ.")))))</f>
        <v>0</v>
      </c>
      <c r="AO2">
        <f>IF(Metadata!C2="",FALSE,TRUE)</f>
        <v>0</v>
      </c>
      <c r="AP2">
        <f>IF(Metadata!D2="",FALSE,TRUE)</f>
        <v>0</v>
      </c>
      <c r="AQ2">
        <f>OR(AND(IF(Metadata!E2="",FALSE,TRUE),OR(exact(Metadata!E2,"not collected"),exact(Metadata!E2,"not provided"),exact(Metadata!E2,"restricted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R2">
        <f>IF(Metadata!F2="",FALSE,TRUE)</f>
        <v>0</v>
      </c>
      <c r="AS2">
        <f>OR(AND(IF(Metadata!G2="",FALSE,TRUE),OR(exact(Metadata!G2,"not collected"),exact(Metadata!G2,"not provided"))),AND(IF(Metadata!G2="",FALSE,TRUE),OR(exact(Metadata!G2,"TRUE"),exact(Metadata!G2,"FALSE"))))</f>
        <v>0</v>
      </c>
      <c r="AT2">
        <f>OR(AND(IF(Metadata!H2="",FALSE,TRUE),OR(exact(Metadata!H2,"not collected"),exact(Metadata!H2,"not provided"),exact(Metadata!H2,"restricted access"))),AND(IF(Metadata!H2="",FALSE,ISNUMBER(VALUE(Metadata!H2))),Metadata!H2&gt;=-413.0))</f>
        <v>0</v>
      </c>
      <c r="AU2">
        <f>AND(IF(Metadata!I2="",FALSE,TRUE),exact(Metadata!I2,"meters"))</f>
        <v>0</v>
      </c>
      <c r="AV2">
        <f>AND(IF(Metadata!J2="",FALSE,TRUE),OR(exact(Metadata!J2,"Host-associated"),exact(Metadata!J2,"Free-living")))</f>
        <v>0</v>
      </c>
      <c r="AW2">
        <f>AND(IF(Metadata!K2="",FALSE,TRUE),OR(exact(Metadata!K2,"Animal"),exact(Metadata!K2,"Fungus"),exact(Metadata!K2,"Plant"),exact(Metadata!K2,"Saline"),exact(Metadata!K2,"Non-saline")))</f>
        <v>0</v>
      </c>
      <c r="AX2">
        <f>AND(IF(Metadata!L2="",FALSE,TRUE),OR(exact(Metadata!L2,"Plant secretion"),exact(Metadata!L2,"Plant rhizosphere"),exact(Metadata!L2,"Plant surface"),exact(Metadata!L2,"Plant corpus"),exact(Metadata!L2,"Fungus surface"),exact(Metadata!L2,"Fungus corpus"),exact(Metadata!L2,"Animal surface"),exact(Metadata!L2,"Animal proximal gut"),exact(Metadata!L2,"Animal corpus"),exact(Metadata!L2,"Animal distal gut"),exact(Metadata!L2,"Animal secretion"),exact(Metadata!L2,"Sub-surface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0</v>
      </c>
      <c r="AY2">
        <f>IF(Metadata!M2="",FALSE,TRUE)</f>
        <v>0</v>
      </c>
      <c r="AZ2">
        <f>IF(Metadata!N2="",FALSE,TRUE)</f>
        <v>0</v>
      </c>
      <c r="BA2">
        <f>IF(Metadata!O2="",FALSE,TRUE)</f>
        <v>0</v>
      </c>
      <c r="BB2">
        <f>OR(AND(IF(Metadata!P2="",FALSE,TRUE),OR(exact(Metadata!P2,"not collected"),exact(Metadata!P2,"not provided"),exact(Metadata!P2,"restricted access"))),AND(IF(Metadata!P2="",FALSE,TRUE),OR(exact(Metadata!P2,"air"),exact(Metadata!P2,"built environment"),exact(Metadata!P2,"host-associated"),exact(Metadata!P2,"human-associated"),exact(Metadata!P2,"human-skin"),exact(Metadata!P2,"human-oral"),exact(Metadata!P2,"human-gut"),exact(Metadata!P2,"human-vaginal"),exact(Metadata!P2,"microbial mat/biofilm"),exact(Metadata!P2,"misc environment"),exact(Metadata!P2,"plant-associated"),exact(Metadata!P2,"sediment"),exact(Metadata!P2,"soil"),exact(Metadata!P2,"wastewater/sludge"),exact(Metadata!P2,"water"))))</f>
        <v>0</v>
      </c>
      <c r="BC2">
        <f>IF(Metadata!Q2="",FALSE,TRUE)</f>
        <v>0</v>
      </c>
      <c r="BD2">
        <f>IF(Metadata!R2="",FALSE,TRUE)</f>
        <v>0</v>
      </c>
      <c r="BE2">
        <f>OR(AND(IF(Metadata!S2="",FALSE,TRUE),OR(exact(Metadata!S2,"not collected"),exact(Metadata!S2,"not provided"),exact(Metadata!S2,"restricted access"))),AND(IF(Metadata!S2="",FALSE,ISNUMBER(VALUE(Metadata!S2))),Metadata!S2&gt;=-90.00,Metadata!S2&lt;=90.00))</f>
        <v>0</v>
      </c>
      <c r="BF2">
        <f>AND(IF(Metadata!T2="",FALSE,TRUE),exact(Metadata!T2,"Decimal degrees"))</f>
        <v>0</v>
      </c>
      <c r="BG2">
        <f>OR(AND(IF(Metadata!U2="",FALSE,TRUE),OR(exact(Metadata!U2,"not collected"),exact(Metadata!U2,"not provided"),exact(Metadata!U2,"restricted access"))),AND(IF(Metadata!U2="",FALSE,ISNUMBER(VALUE(Metadata!U2))),Metadata!U2&gt;=-180.00,Metadata!U2&lt;=180.00))</f>
        <v>0</v>
      </c>
      <c r="BH2">
        <f>AND(IF(Metadata!V2="",FALSE,TRUE),exact(Metadata!V2,"Decimal degrees"))</f>
        <v>0</v>
      </c>
      <c r="BI2">
        <f>IF(Metadata!W2="",FALSE,TRUE)</f>
        <v>0</v>
      </c>
      <c r="BJ2">
        <f>OR(AND(IF(Metadata!X2="",FALSE,TRUE),OR(exact(Metadata!X2,"not collected"),exact(Metadata!X2,"not provided"),exact(Metadata!X2,"restricted access"))),AND(IF(Metadata!X2="",FALSE,TRUE),OR(exact(Metadata!X2,"TRUE"),exact(Metadata!X2,"FALSE"))))</f>
        <v>0</v>
      </c>
      <c r="BK2">
        <f>AND(IF(Metadata!Y2="",FALSE,TRUE),exact(Metadata!Y2,"other"))</f>
        <v>0</v>
      </c>
      <c r="BL2">
        <f>IF(Metadata!Z2="",FALSE,TRUE)</f>
        <v>0</v>
      </c>
      <c r="BM2">
        <f>OR(AND(IF(Metadata!AA2="",FALSE,TRUE),OR(exact(Metadata!AA2,"not collected"),exact(Metadata!AA2,"not provided"))),AND(IF(Metadata!AA2="",FALSE,IF(ISERROR(INT(Metadata!AA2)),FALSE,INT(Metadata!AA2)=Metadata!AA2)),Metadata!AA2&gt;0))</f>
        <v>0</v>
      </c>
      <c r="BN2">
        <f>AND(IF(Metadata!AB2="",FALSE,TRUE),exact(Metadata!AB2,"Not applicable"))</f>
        <v>0</v>
      </c>
      <c r="BO2">
        <f>IF(Metadata!AC2="",FALSE,TRUE)</f>
        <v>0</v>
      </c>
    </row>
    <row r="3" spans="1:67">
      <c r="A3" s="5">
        <f>IF(B3=" "," ",HYPERLINK(CONCATENATE("#metadata!",ADDRESS(INDEX($AI$2:$AI$1001,MATCH(ROWS($AG$2:AG3),$AG$2:$AG$1001,0),0),1)),INDEX($AL$2:$AL$1001,MATCH(ROWS($AG$2:AG3),$AG$2:$AG$1001,0),0)))</f>
        <v>0</v>
      </c>
      <c r="B3" s="4">
        <f>IF(OR(INDEX($AH$2:$AH$1001,MATCH(ROWS($AG$2:AG3),$AG$2:$AG$1001,0),1)&gt;=100000,INDEX($AN$1005:$BO$1005,1,MATCH(COLUMNS($AN$1006:AN1006),$AN$1006:$BO$1006,0))&gt;=100000), " ",IF(INDEX($AN$2:$BO$1001,MATCH(ROWS($AG$2:AG3),$AG$2:$AG$1001,0),MATCH(COLUMNS($AN$1006:AN1006),$AN$1006:$BO$1006,0)), HYPERLINK("#",""), HYPERLINK(CONCATENATE("#Metadata!", ADDRESS(INDEX($AI$2:$AI$1001,MATCH(ROWS($AG$2:AG3),$AG$2:$AG$1001,0),0), INDEX($AN$1004:$BO$1004,1,MATCH(COLUMNS($AN$1006:AN1006),$AN$1006:$BO$1006,0)))),"Fix")))</f>
        <v>0</v>
      </c>
      <c r="C3" s="4">
        <f>IF(OR(INDEX($AH$2:$AH$1001,MATCH(ROWS($AG$2:AG3),$AG$2:$AG$1001,0),1)&gt;=100000,INDEX($AN$1005:$BO$1005,1,MATCH(COLUMNS($AN$1006:AO1006),$AN$1006:$BO$1006,0))&gt;=100000), " ",IF(INDEX($AN$2:$BO$1001,MATCH(ROWS($AG$2:AG3),$AG$2:$AG$1001,0),MATCH(COLUMNS($AN$1006:AO1006),$AN$1006:$BO$1006,0)), HYPERLINK("#",""), HYPERLINK(CONCATENATE("#Metadata!", ADDRESS(INDEX($AI$2:$AI$1001,MATCH(ROWS($AG$2:AG3),$AG$2:$AG$1001,0),0), INDEX($AN$1004:$BO$1004,1,MATCH(COLUMNS($AN$1006:AO1006),$AN$1006:$BO$1006,0)))),"Fix")))</f>
        <v>0</v>
      </c>
      <c r="D3" s="4">
        <f>IF(OR(INDEX($AH$2:$AH$1001,MATCH(ROWS($AG$2:AG3),$AG$2:$AG$1001,0),1)&gt;=100000,INDEX($AN$1005:$BO$1005,1,MATCH(COLUMNS($AN$1006:AP1006),$AN$1006:$BO$1006,0))&gt;=100000), " ",IF(INDEX($AN$2:$BO$1001,MATCH(ROWS($AG$2:AG3),$AG$2:$AG$1001,0),MATCH(COLUMNS($AN$1006:AP1006),$AN$1006:$BO$1006,0)), HYPERLINK("#",""), HYPERLINK(CONCATENATE("#Metadata!", ADDRESS(INDEX($AI$2:$AI$1001,MATCH(ROWS($AG$2:AG3),$AG$2:$AG$1001,0),0), INDEX($AN$1004:$BO$1004,1,MATCH(COLUMNS($AN$1006:AP1006),$AN$1006:$BO$1006,0)))),"Fix")))</f>
        <v>0</v>
      </c>
      <c r="E3" s="4">
        <f>IF(OR(INDEX($AH$2:$AH$1001,MATCH(ROWS($AG$2:AG3),$AG$2:$AG$1001,0),1)&gt;=100000,INDEX($AN$1005:$BO$1005,1,MATCH(COLUMNS($AN$1006:AQ1006),$AN$1006:$BO$1006,0))&gt;=100000), " ",IF(INDEX($AN$2:$BO$1001,MATCH(ROWS($AG$2:AG3),$AG$2:$AG$1001,0),MATCH(COLUMNS($AN$1006:AQ1006),$AN$1006:$BO$1006,0)), HYPERLINK("#",""), HYPERLINK(CONCATENATE("#Metadata!", ADDRESS(INDEX($AI$2:$AI$1001,MATCH(ROWS($AG$2:AG3),$AG$2:$AG$1001,0),0), INDEX($AN$1004:$BO$1004,1,MATCH(COLUMNS($AN$1006:AQ1006),$AN$1006:$BO$1006,0)))),"Fix")))</f>
        <v>0</v>
      </c>
      <c r="F3" s="4">
        <f>IF(OR(INDEX($AH$2:$AH$1001,MATCH(ROWS($AG$2:AG3),$AG$2:$AG$1001,0),1)&gt;=100000,INDEX($AN$1005:$BO$1005,1,MATCH(COLUMNS($AN$1006:AR1006),$AN$1006:$BO$1006,0))&gt;=100000), " ",IF(INDEX($AN$2:$BO$1001,MATCH(ROWS($AG$2:AG3),$AG$2:$AG$1001,0),MATCH(COLUMNS($AN$1006:AR1006),$AN$1006:$BO$1006,0)), HYPERLINK("#",""), HYPERLINK(CONCATENATE("#Metadata!", ADDRESS(INDEX($AI$2:$AI$1001,MATCH(ROWS($AG$2:AG3),$AG$2:$AG$1001,0),0), INDEX($AN$1004:$BO$1004,1,MATCH(COLUMNS($AN$1006:AR1006),$AN$1006:$BO$1006,0)))),"Fix")))</f>
        <v>0</v>
      </c>
      <c r="G3" s="4">
        <f>IF(OR(INDEX($AH$2:$AH$1001,MATCH(ROWS($AG$2:AG3),$AG$2:$AG$1001,0),1)&gt;=100000,INDEX($AN$1005:$BO$1005,1,MATCH(COLUMNS($AN$1006:AS1006),$AN$1006:$BO$1006,0))&gt;=100000), " ",IF(INDEX($AN$2:$BO$1001,MATCH(ROWS($AG$2:AG3),$AG$2:$AG$1001,0),MATCH(COLUMNS($AN$1006:AS1006),$AN$1006:$BO$1006,0)), HYPERLINK("#",""), HYPERLINK(CONCATENATE("#Metadata!", ADDRESS(INDEX($AI$2:$AI$1001,MATCH(ROWS($AG$2:AG3),$AG$2:$AG$1001,0),0), INDEX($AN$1004:$BO$1004,1,MATCH(COLUMNS($AN$1006:AS1006),$AN$1006:$BO$1006,0)))),"Fix")))</f>
        <v>0</v>
      </c>
      <c r="H3" s="4">
        <f>IF(OR(INDEX($AH$2:$AH$1001,MATCH(ROWS($AG$2:AG3),$AG$2:$AG$1001,0),1)&gt;=100000,INDEX($AN$1005:$BO$1005,1,MATCH(COLUMNS($AN$1006:AT1006),$AN$1006:$BO$1006,0))&gt;=100000), " ",IF(INDEX($AN$2:$BO$1001,MATCH(ROWS($AG$2:AG3),$AG$2:$AG$1001,0),MATCH(COLUMNS($AN$1006:AT1006),$AN$1006:$BO$1006,0)), HYPERLINK("#",""), HYPERLINK(CONCATENATE("#Metadata!", ADDRESS(INDEX($AI$2:$AI$1001,MATCH(ROWS($AG$2:AG3),$AG$2:$AG$1001,0),0), INDEX($AN$1004:$BO$1004,1,MATCH(COLUMNS($AN$1006:AT1006),$AN$1006:$BO$1006,0)))),"Fix")))</f>
        <v>0</v>
      </c>
      <c r="I3" s="4">
        <f>IF(OR(INDEX($AH$2:$AH$1001,MATCH(ROWS($AG$2:AG3),$AG$2:$AG$1001,0),1)&gt;=100000,INDEX($AN$1005:$BO$1005,1,MATCH(COLUMNS($AN$1006:AU1006),$AN$1006:$BO$1006,0))&gt;=100000), " ",IF(INDEX($AN$2:$BO$1001,MATCH(ROWS($AG$2:AG3),$AG$2:$AG$1001,0),MATCH(COLUMNS($AN$1006:AU1006),$AN$1006:$BO$1006,0)), HYPERLINK("#",""), HYPERLINK(CONCATENATE("#Metadata!", ADDRESS(INDEX($AI$2:$AI$1001,MATCH(ROWS($AG$2:AG3),$AG$2:$AG$1001,0),0), INDEX($AN$1004:$BO$1004,1,MATCH(COLUMNS($AN$1006:AU1006),$AN$1006:$BO$1006,0)))),"Fix")))</f>
        <v>0</v>
      </c>
      <c r="J3" s="4">
        <f>IF(OR(INDEX($AH$2:$AH$1001,MATCH(ROWS($AG$2:AG3),$AG$2:$AG$1001,0),1)&gt;=100000,INDEX($AN$1005:$BO$1005,1,MATCH(COLUMNS($AN$1006:AV1006),$AN$1006:$BO$1006,0))&gt;=100000), " ",IF(INDEX($AN$2:$BO$1001,MATCH(ROWS($AG$2:AG3),$AG$2:$AG$1001,0),MATCH(COLUMNS($AN$1006:AV1006),$AN$1006:$BO$1006,0)), HYPERLINK("#",""), HYPERLINK(CONCATENATE("#Metadata!", ADDRESS(INDEX($AI$2:$AI$1001,MATCH(ROWS($AG$2:AG3),$AG$2:$AG$1001,0),0), INDEX($AN$1004:$BO$1004,1,MATCH(COLUMNS($AN$1006:AV1006),$AN$1006:$BO$1006,0)))),"Fix")))</f>
        <v>0</v>
      </c>
      <c r="K3" s="4">
        <f>IF(OR(INDEX($AH$2:$AH$1001,MATCH(ROWS($AG$2:AG3),$AG$2:$AG$1001,0),1)&gt;=100000,INDEX($AN$1005:$BO$1005,1,MATCH(COLUMNS($AN$1006:AW1006),$AN$1006:$BO$1006,0))&gt;=100000), " ",IF(INDEX($AN$2:$BO$1001,MATCH(ROWS($AG$2:AG3),$AG$2:$AG$1001,0),MATCH(COLUMNS($AN$1006:AW1006),$AN$1006:$BO$1006,0)), HYPERLINK("#",""), HYPERLINK(CONCATENATE("#Metadata!", ADDRESS(INDEX($AI$2:$AI$1001,MATCH(ROWS($AG$2:AG3),$AG$2:$AG$1001,0),0), INDEX($AN$1004:$BO$1004,1,MATCH(COLUMNS($AN$1006:AW1006),$AN$1006:$BO$1006,0)))),"Fix")))</f>
        <v>0</v>
      </c>
      <c r="L3" s="4">
        <f>IF(OR(INDEX($AH$2:$AH$1001,MATCH(ROWS($AG$2:AG3),$AG$2:$AG$1001,0),1)&gt;=100000,INDEX($AN$1005:$BO$1005,1,MATCH(COLUMNS($AN$1006:AX1006),$AN$1006:$BO$1006,0))&gt;=100000), " ",IF(INDEX($AN$2:$BO$1001,MATCH(ROWS($AG$2:AG3),$AG$2:$AG$1001,0),MATCH(COLUMNS($AN$1006:AX1006),$AN$1006:$BO$1006,0)), HYPERLINK("#",""), HYPERLINK(CONCATENATE("#Metadata!", ADDRESS(INDEX($AI$2:$AI$1001,MATCH(ROWS($AG$2:AG3),$AG$2:$AG$1001,0),0), INDEX($AN$1004:$BO$1004,1,MATCH(COLUMNS($AN$1006:AX1006),$AN$1006:$BO$1006,0)))),"Fix")))</f>
        <v>0</v>
      </c>
      <c r="M3" s="4">
        <f>IF(OR(INDEX($AH$2:$AH$1001,MATCH(ROWS($AG$2:AG3),$AG$2:$AG$1001,0),1)&gt;=100000,INDEX($AN$1005:$BO$1005,1,MATCH(COLUMNS($AN$1006:AY1006),$AN$1006:$BO$1006,0))&gt;=100000), " ",IF(INDEX($AN$2:$BO$1001,MATCH(ROWS($AG$2:AG3),$AG$2:$AG$1001,0),MATCH(COLUMNS($AN$1006:AY1006),$AN$1006:$BO$1006,0)), HYPERLINK("#",""), HYPERLINK(CONCATENATE("#Metadata!", ADDRESS(INDEX($AI$2:$AI$1001,MATCH(ROWS($AG$2:AG3),$AG$2:$AG$1001,0),0), INDEX($AN$1004:$BO$1004,1,MATCH(COLUMNS($AN$1006:AY1006),$AN$1006:$BO$1006,0)))),"Fix")))</f>
        <v>0</v>
      </c>
      <c r="N3" s="4">
        <f>IF(OR(INDEX($AH$2:$AH$1001,MATCH(ROWS($AG$2:AG3),$AG$2:$AG$1001,0),1)&gt;=100000,INDEX($AN$1005:$BO$1005,1,MATCH(COLUMNS($AN$1006:AZ1006),$AN$1006:$BO$1006,0))&gt;=100000), " ",IF(INDEX($AN$2:$BO$1001,MATCH(ROWS($AG$2:AG3),$AG$2:$AG$1001,0),MATCH(COLUMNS($AN$1006:AZ1006),$AN$1006:$BO$1006,0)), HYPERLINK("#",""), HYPERLINK(CONCATENATE("#Metadata!", ADDRESS(INDEX($AI$2:$AI$1001,MATCH(ROWS($AG$2:AG3),$AG$2:$AG$1001,0),0), INDEX($AN$1004:$BO$1004,1,MATCH(COLUMNS($AN$1006:AZ1006),$AN$1006:$BO$1006,0)))),"Fix")))</f>
        <v>0</v>
      </c>
      <c r="O3" s="4">
        <f>IF(OR(INDEX($AH$2:$AH$1001,MATCH(ROWS($AG$2:AG3),$AG$2:$AG$1001,0),1)&gt;=100000,INDEX($AN$1005:$BO$1005,1,MATCH(COLUMNS($AN$1006:BA1006),$AN$1006:$BO$1006,0))&gt;=100000), " ",IF(INDEX($AN$2:$BO$1001,MATCH(ROWS($AG$2:AG3),$AG$2:$AG$1001,0),MATCH(COLUMNS($AN$1006:BA1006),$AN$1006:$BO$1006,0)), HYPERLINK("#",""), HYPERLINK(CONCATENATE("#Metadata!", ADDRESS(INDEX($AI$2:$AI$1001,MATCH(ROWS($AG$2:AG3),$AG$2:$AG$1001,0),0), INDEX($AN$1004:$BO$1004,1,MATCH(COLUMNS($AN$1006:BA1006),$AN$1006:$BO$1006,0)))),"Fix")))</f>
        <v>0</v>
      </c>
      <c r="P3" s="4">
        <f>IF(OR(INDEX($AH$2:$AH$1001,MATCH(ROWS($AG$2:AG3),$AG$2:$AG$1001,0),1)&gt;=100000,INDEX($AN$1005:$BO$1005,1,MATCH(COLUMNS($AN$1006:BB1006),$AN$1006:$BO$1006,0))&gt;=100000), " ",IF(INDEX($AN$2:$BO$1001,MATCH(ROWS($AG$2:AG3),$AG$2:$AG$1001,0),MATCH(COLUMNS($AN$1006:BB1006),$AN$1006:$BO$1006,0)), HYPERLINK("#",""), HYPERLINK(CONCATENATE("#Metadata!", ADDRESS(INDEX($AI$2:$AI$1001,MATCH(ROWS($AG$2:AG3),$AG$2:$AG$1001,0),0), INDEX($AN$1004:$BO$1004,1,MATCH(COLUMNS($AN$1006:BB1006),$AN$1006:$BO$1006,0)))),"Fix")))</f>
        <v>0</v>
      </c>
      <c r="Q3" s="4">
        <f>IF(OR(INDEX($AH$2:$AH$1001,MATCH(ROWS($AG$2:AG3),$AG$2:$AG$1001,0),1)&gt;=100000,INDEX($AN$1005:$BO$1005,1,MATCH(COLUMNS($AN$1006:BC1006),$AN$1006:$BO$1006,0))&gt;=100000), " ",IF(INDEX($AN$2:$BO$1001,MATCH(ROWS($AG$2:AG3),$AG$2:$AG$1001,0),MATCH(COLUMNS($AN$1006:BC1006),$AN$1006:$BO$1006,0)), HYPERLINK("#",""), HYPERLINK(CONCATENATE("#Metadata!", ADDRESS(INDEX($AI$2:$AI$1001,MATCH(ROWS($AG$2:AG3),$AG$2:$AG$1001,0),0), INDEX($AN$1004:$BO$1004,1,MATCH(COLUMNS($AN$1006:BC1006),$AN$1006:$BO$1006,0)))),"Fix")))</f>
        <v>0</v>
      </c>
      <c r="R3" s="4">
        <f>IF(OR(INDEX($AH$2:$AH$1001,MATCH(ROWS($AG$2:AG3),$AG$2:$AG$1001,0),1)&gt;=100000,INDEX($AN$1005:$BO$1005,1,MATCH(COLUMNS($AN$1006:BD1006),$AN$1006:$BO$1006,0))&gt;=100000), " ",IF(INDEX($AN$2:$BO$1001,MATCH(ROWS($AG$2:AG3),$AG$2:$AG$1001,0),MATCH(COLUMNS($AN$1006:BD1006),$AN$1006:$BO$1006,0)), HYPERLINK("#",""), HYPERLINK(CONCATENATE("#Metadata!", ADDRESS(INDEX($AI$2:$AI$1001,MATCH(ROWS($AG$2:AG3),$AG$2:$AG$1001,0),0), INDEX($AN$1004:$BO$1004,1,MATCH(COLUMNS($AN$1006:BD1006),$AN$1006:$BO$1006,0)))),"Fix")))</f>
        <v>0</v>
      </c>
      <c r="S3" s="4">
        <f>IF(OR(INDEX($AH$2:$AH$1001,MATCH(ROWS($AG$2:AG3),$AG$2:$AG$1001,0),1)&gt;=100000,INDEX($AN$1005:$BO$1005,1,MATCH(COLUMNS($AN$1006:BE1006),$AN$1006:$BO$1006,0))&gt;=100000), " ",IF(INDEX($AN$2:$BO$1001,MATCH(ROWS($AG$2:AG3),$AG$2:$AG$1001,0),MATCH(COLUMNS($AN$1006:BE1006),$AN$1006:$BO$1006,0)), HYPERLINK("#",""), HYPERLINK(CONCATENATE("#Metadata!", ADDRESS(INDEX($AI$2:$AI$1001,MATCH(ROWS($AG$2:AG3),$AG$2:$AG$1001,0),0), INDEX($AN$1004:$BO$1004,1,MATCH(COLUMNS($AN$1006:BE1006),$AN$1006:$BO$1006,0)))),"Fix")))</f>
        <v>0</v>
      </c>
      <c r="T3" s="4">
        <f>IF(OR(INDEX($AH$2:$AH$1001,MATCH(ROWS($AG$2:AG3),$AG$2:$AG$1001,0),1)&gt;=100000,INDEX($AN$1005:$BO$1005,1,MATCH(COLUMNS($AN$1006:BF1006),$AN$1006:$BO$1006,0))&gt;=100000), " ",IF(INDEX($AN$2:$BO$1001,MATCH(ROWS($AG$2:AG3),$AG$2:$AG$1001,0),MATCH(COLUMNS($AN$1006:BF1006),$AN$1006:$BO$1006,0)), HYPERLINK("#",""), HYPERLINK(CONCATENATE("#Metadata!", ADDRESS(INDEX($AI$2:$AI$1001,MATCH(ROWS($AG$2:AG3),$AG$2:$AG$1001,0),0), INDEX($AN$1004:$BO$1004,1,MATCH(COLUMNS($AN$1006:BF1006),$AN$1006:$BO$1006,0)))),"Fix")))</f>
        <v>0</v>
      </c>
      <c r="U3" s="4">
        <f>IF(OR(INDEX($AH$2:$AH$1001,MATCH(ROWS($AG$2:AG3),$AG$2:$AG$1001,0),1)&gt;=100000,INDEX($AN$1005:$BO$1005,1,MATCH(COLUMNS($AN$1006:BG1006),$AN$1006:$BO$1006,0))&gt;=100000), " ",IF(INDEX($AN$2:$BO$1001,MATCH(ROWS($AG$2:AG3),$AG$2:$AG$1001,0),MATCH(COLUMNS($AN$1006:BG1006),$AN$1006:$BO$1006,0)), HYPERLINK("#",""), HYPERLINK(CONCATENATE("#Metadata!", ADDRESS(INDEX($AI$2:$AI$1001,MATCH(ROWS($AG$2:AG3),$AG$2:$AG$1001,0),0), INDEX($AN$1004:$BO$1004,1,MATCH(COLUMNS($AN$1006:BG1006),$AN$1006:$BO$1006,0)))),"Fix")))</f>
        <v>0</v>
      </c>
      <c r="V3" s="4">
        <f>IF(OR(INDEX($AH$2:$AH$1001,MATCH(ROWS($AG$2:AG3),$AG$2:$AG$1001,0),1)&gt;=100000,INDEX($AN$1005:$BO$1005,1,MATCH(COLUMNS($AN$1006:BH1006),$AN$1006:$BO$1006,0))&gt;=100000), " ",IF(INDEX($AN$2:$BO$1001,MATCH(ROWS($AG$2:AG3),$AG$2:$AG$1001,0),MATCH(COLUMNS($AN$1006:BH1006),$AN$1006:$BO$1006,0)), HYPERLINK("#",""), HYPERLINK(CONCATENATE("#Metadata!", ADDRESS(INDEX($AI$2:$AI$1001,MATCH(ROWS($AG$2:AG3),$AG$2:$AG$1001,0),0), INDEX($AN$1004:$BO$1004,1,MATCH(COLUMNS($AN$1006:BH1006),$AN$1006:$BO$1006,0)))),"Fix")))</f>
        <v>0</v>
      </c>
      <c r="W3" s="4">
        <f>IF(OR(INDEX($AH$2:$AH$1001,MATCH(ROWS($AG$2:AG3),$AG$2:$AG$1001,0),1)&gt;=100000,INDEX($AN$1005:$BO$1005,1,MATCH(COLUMNS($AN$1006:BI1006),$AN$1006:$BO$1006,0))&gt;=100000), " ",IF(INDEX($AN$2:$BO$1001,MATCH(ROWS($AG$2:AG3),$AG$2:$AG$1001,0),MATCH(COLUMNS($AN$1006:BI1006),$AN$1006:$BO$1006,0)), HYPERLINK("#",""), HYPERLINK(CONCATENATE("#Metadata!", ADDRESS(INDEX($AI$2:$AI$1001,MATCH(ROWS($AG$2:AG3),$AG$2:$AG$1001,0),0), INDEX($AN$1004:$BO$1004,1,MATCH(COLUMNS($AN$1006:BI1006),$AN$1006:$BO$1006,0)))),"Fix")))</f>
        <v>0</v>
      </c>
      <c r="X3" s="4">
        <f>IF(OR(INDEX($AH$2:$AH$1001,MATCH(ROWS($AG$2:AG3),$AG$2:$AG$1001,0),1)&gt;=100000,INDEX($AN$1005:$BO$1005,1,MATCH(COLUMNS($AN$1006:BJ1006),$AN$1006:$BO$1006,0))&gt;=100000), " ",IF(INDEX($AN$2:$BO$1001,MATCH(ROWS($AG$2:AG3),$AG$2:$AG$1001,0),MATCH(COLUMNS($AN$1006:BJ1006),$AN$1006:$BO$1006,0)), HYPERLINK("#",""), HYPERLINK(CONCATENATE("#Metadata!", ADDRESS(INDEX($AI$2:$AI$1001,MATCH(ROWS($AG$2:AG3),$AG$2:$AG$1001,0),0), INDEX($AN$1004:$BO$1004,1,MATCH(COLUMNS($AN$1006:BJ1006),$AN$1006:$BO$1006,0)))),"Fix")))</f>
        <v>0</v>
      </c>
      <c r="Y3" s="4">
        <f>IF(OR(INDEX($AH$2:$AH$1001,MATCH(ROWS($AG$2:AG3),$AG$2:$AG$1001,0),1)&gt;=100000,INDEX($AN$1005:$BO$1005,1,MATCH(COLUMNS($AN$1006:BK1006),$AN$1006:$BO$1006,0))&gt;=100000), " ",IF(INDEX($AN$2:$BO$1001,MATCH(ROWS($AG$2:AG3),$AG$2:$AG$1001,0),MATCH(COLUMNS($AN$1006:BK1006),$AN$1006:$BO$1006,0)), HYPERLINK("#",""), HYPERLINK(CONCATENATE("#Metadata!", ADDRESS(INDEX($AI$2:$AI$1001,MATCH(ROWS($AG$2:AG3),$AG$2:$AG$1001,0),0), INDEX($AN$1004:$BO$1004,1,MATCH(COLUMNS($AN$1006:BK1006),$AN$1006:$BO$1006,0)))),"Fix")))</f>
        <v>0</v>
      </c>
      <c r="Z3" s="4">
        <f>IF(OR(INDEX($AH$2:$AH$1001,MATCH(ROWS($AG$2:AG3),$AG$2:$AG$1001,0),1)&gt;=100000,INDEX($AN$1005:$BO$1005,1,MATCH(COLUMNS($AN$1006:BL1006),$AN$1006:$BO$1006,0))&gt;=100000), " ",IF(INDEX($AN$2:$BO$1001,MATCH(ROWS($AG$2:AG3),$AG$2:$AG$1001,0),MATCH(COLUMNS($AN$1006:BL1006),$AN$1006:$BO$1006,0)), HYPERLINK("#",""), HYPERLINK(CONCATENATE("#Metadata!", ADDRESS(INDEX($AI$2:$AI$1001,MATCH(ROWS($AG$2:AG3),$AG$2:$AG$1001,0),0), INDEX($AN$1004:$BO$1004,1,MATCH(COLUMNS($AN$1006:BL1006),$AN$1006:$BO$1006,0)))),"Fix")))</f>
        <v>0</v>
      </c>
      <c r="AA3" s="4">
        <f>IF(OR(INDEX($AH$2:$AH$1001,MATCH(ROWS($AG$2:AG3),$AG$2:$AG$1001,0),1)&gt;=100000,INDEX($AN$1005:$BO$1005,1,MATCH(COLUMNS($AN$1006:BM1006),$AN$1006:$BO$1006,0))&gt;=100000), " ",IF(INDEX($AN$2:$BO$1001,MATCH(ROWS($AG$2:AG3),$AG$2:$AG$1001,0),MATCH(COLUMNS($AN$1006:BM1006),$AN$1006:$BO$1006,0)), HYPERLINK("#",""), HYPERLINK(CONCATENATE("#Metadata!", ADDRESS(INDEX($AI$2:$AI$1001,MATCH(ROWS($AG$2:AG3),$AG$2:$AG$1001,0),0), INDEX($AN$1004:$BO$1004,1,MATCH(COLUMNS($AN$1006:BM1006),$AN$1006:$BO$1006,0)))),"Fix")))</f>
        <v>0</v>
      </c>
      <c r="AB3" s="4">
        <f>IF(OR(INDEX($AH$2:$AH$1001,MATCH(ROWS($AG$2:AG3),$AG$2:$AG$1001,0),1)&gt;=100000,INDEX($AN$1005:$BO$1005,1,MATCH(COLUMNS($AN$1006:BN1006),$AN$1006:$BO$1006,0))&gt;=100000), " ",IF(INDEX($AN$2:$BO$1001,MATCH(ROWS($AG$2:AG3),$AG$2:$AG$1001,0),MATCH(COLUMNS($AN$1006:BN1006),$AN$1006:$BO$1006,0)), HYPERLINK("#",""), HYPERLINK(CONCATENATE("#Metadata!", ADDRESS(INDEX($AI$2:$AI$1001,MATCH(ROWS($AG$2:AG3),$AG$2:$AG$1001,0),0), INDEX($AN$1004:$BO$1004,1,MATCH(COLUMNS($AN$1006:BN1006),$AN$1006:$BO$1006,0)))),"Fix")))</f>
        <v>0</v>
      </c>
      <c r="AC3" s="4">
        <f>IF(OR(INDEX($AH$2:$AH$1001,MATCH(ROWS($AG$2:AG3),$AG$2:$AG$1001,0),1)&gt;=100000,INDEX($AN$1005:$BO$1005,1,MATCH(COLUMNS($AN$1006:BO1006),$AN$1006:$BO$1006,0))&gt;=100000), " ",IF(INDEX($AN$2:$BO$1001,MATCH(ROWS($AG$2:AG3),$AG$2:$AG$1001,0),MATCH(COLUMNS($AN$1006:BO1006),$AN$1006:$BO$1006,0)), HYPERLINK("#",""), HYPERLINK(CONCATENATE("#Metadata!", ADDRESS(INDEX($AI$2:$AI$1001,MATCH(ROWS($AG$2:AG3),$AG$2:$AG$1001,0),0), INDEX($AN$1004:$BO$1004,1,MATCH(COLUMNS($AN$1006:BO1006),$AN$1006:$BO$1006,0)))),"Fix")))</f>
        <v>0</v>
      </c>
      <c r="AG3">
        <v>0</v>
      </c>
      <c r="AH3">
        <v>0</v>
      </c>
      <c r="AI3">
        <v>0</v>
      </c>
      <c r="AJ3">
        <f>IF(AK3,TRUE,AND(AN3:BO3))</f>
        <v>0</v>
      </c>
      <c r="AK3">
        <f>COUNTBLANK(Metadata!B3:AC3)=COLUMNS(Metadata!B3:AC3)</f>
        <v>0</v>
      </c>
      <c r="AL3">
        <v>0</v>
      </c>
      <c r="AN3">
        <f>AND(IF(Metadata!B3="",FALSE,TRUE),COUNTIF(Metadata!B:B, Metadata!B3) = 1,NOT(ISERROR(SUMPRODUCT(SEARCH(MID(Metadata!B3,ROW(INDIRECT("1:"&amp;LEN(Metadata!B3))), 1),"0123456789abcdefghijklmnopqrstuvwxyzABCDEFGHIJKLMNOPQRSTUVWXYZ.")))))</f>
        <v>0</v>
      </c>
      <c r="AO3">
        <f>IF(Metadata!C3="",FALSE,TRUE)</f>
        <v>0</v>
      </c>
      <c r="AP3">
        <f>IF(Metadata!D3="",FALSE,TRUE)</f>
        <v>0</v>
      </c>
      <c r="AQ3">
        <f>OR(AND(IF(Metadata!E3="",FALSE,TRUE),OR(exact(Metadata!E3,"not collected"),exact(Metadata!E3,"not provided"),exact(Metadata!E3,"restricted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R3">
        <f>IF(Metadata!F3="",FALSE,TRUE)</f>
        <v>0</v>
      </c>
      <c r="AS3">
        <f>OR(AND(IF(Metadata!G3="",FALSE,TRUE),OR(exact(Metadata!G3,"not collected"),exact(Metadata!G3,"not provided"))),AND(IF(Metadata!G3="",FALSE,TRUE),OR(exact(Metadata!G3,"TRUE"),exact(Metadata!G3,"FALSE"))))</f>
        <v>0</v>
      </c>
      <c r="AT3">
        <f>OR(AND(IF(Metadata!H3="",FALSE,TRUE),OR(exact(Metadata!H3,"not collected"),exact(Metadata!H3,"not provided"),exact(Metadata!H3,"restricted access"))),AND(IF(Metadata!H3="",FALSE,ISNUMBER(VALUE(Metadata!H3))),Metadata!H3&gt;=-413.0))</f>
        <v>0</v>
      </c>
      <c r="AU3">
        <f>AND(IF(Metadata!I3="",FALSE,TRUE),exact(Metadata!I3,"meters"))</f>
        <v>0</v>
      </c>
      <c r="AV3">
        <f>AND(IF(Metadata!J3="",FALSE,TRUE),OR(exact(Metadata!J3,"Host-associated"),exact(Metadata!J3,"Free-living")))</f>
        <v>0</v>
      </c>
      <c r="AW3">
        <f>AND(IF(Metadata!K3="",FALSE,TRUE),OR(exact(Metadata!K3,"Animal"),exact(Metadata!K3,"Fungus"),exact(Metadata!K3,"Plant"),exact(Metadata!K3,"Saline"),exact(Metadata!K3,"Non-saline")))</f>
        <v>0</v>
      </c>
      <c r="AX3">
        <f>AND(IF(Metadata!L3="",FALSE,TRUE),OR(exact(Metadata!L3,"Plant secretion"),exact(Metadata!L3,"Plant rhizosphere"),exact(Metadata!L3,"Plant surface"),exact(Metadata!L3,"Plant corpus"),exact(Metadata!L3,"Fungus surface"),exact(Metadata!L3,"Fungus corpus"),exact(Metadata!L3,"Animal surface"),exact(Metadata!L3,"Animal proximal gut"),exact(Metadata!L3,"Animal corpus"),exact(Metadata!L3,"Animal distal gut"),exact(Metadata!L3,"Animal secretion"),exact(Metadata!L3,"Sub-surface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0</v>
      </c>
      <c r="AY3">
        <f>IF(Metadata!M3="",FALSE,TRUE)</f>
        <v>0</v>
      </c>
      <c r="AZ3">
        <f>IF(Metadata!N3="",FALSE,TRUE)</f>
        <v>0</v>
      </c>
      <c r="BA3">
        <f>IF(Metadata!O3="",FALSE,TRUE)</f>
        <v>0</v>
      </c>
      <c r="BB3">
        <f>OR(AND(IF(Metadata!P3="",FALSE,TRUE),OR(exact(Metadata!P3,"not collected"),exact(Metadata!P3,"not provided"),exact(Metadata!P3,"restricted access"))),AND(IF(Metadata!P3="",FALSE,TRUE),OR(exact(Metadata!P3,"air"),exact(Metadata!P3,"built environment"),exact(Metadata!P3,"host-associated"),exact(Metadata!P3,"human-associated"),exact(Metadata!P3,"human-skin"),exact(Metadata!P3,"human-oral"),exact(Metadata!P3,"human-gut"),exact(Metadata!P3,"human-vaginal"),exact(Metadata!P3,"microbial mat/biofilm"),exact(Metadata!P3,"misc environment"),exact(Metadata!P3,"plant-associated"),exact(Metadata!P3,"sediment"),exact(Metadata!P3,"soil"),exact(Metadata!P3,"wastewater/sludge"),exact(Metadata!P3,"water"))))</f>
        <v>0</v>
      </c>
      <c r="BC3">
        <f>IF(Metadata!Q3="",FALSE,TRUE)</f>
        <v>0</v>
      </c>
      <c r="BD3">
        <f>IF(Metadata!R3="",FALSE,TRUE)</f>
        <v>0</v>
      </c>
      <c r="BE3">
        <f>OR(AND(IF(Metadata!S3="",FALSE,TRUE),OR(exact(Metadata!S3,"not collected"),exact(Metadata!S3,"not provided"),exact(Metadata!S3,"restricted access"))),AND(IF(Metadata!S3="",FALSE,ISNUMBER(VALUE(Metadata!S3))),Metadata!S3&gt;=-90.00,Metadata!S3&lt;=90.00))</f>
        <v>0</v>
      </c>
      <c r="BF3">
        <f>AND(IF(Metadata!T3="",FALSE,TRUE),exact(Metadata!T3,"Decimal degrees"))</f>
        <v>0</v>
      </c>
      <c r="BG3">
        <f>OR(AND(IF(Metadata!U3="",FALSE,TRUE),OR(exact(Metadata!U3,"not collected"),exact(Metadata!U3,"not provided"),exact(Metadata!U3,"restricted access"))),AND(IF(Metadata!U3="",FALSE,ISNUMBER(VALUE(Metadata!U3))),Metadata!U3&gt;=-180.00,Metadata!U3&lt;=180.00))</f>
        <v>0</v>
      </c>
      <c r="BH3">
        <f>AND(IF(Metadata!V3="",FALSE,TRUE),exact(Metadata!V3,"Decimal degrees"))</f>
        <v>0</v>
      </c>
      <c r="BI3">
        <f>IF(Metadata!W3="",FALSE,TRUE)</f>
        <v>0</v>
      </c>
      <c r="BJ3">
        <f>OR(AND(IF(Metadata!X3="",FALSE,TRUE),OR(exact(Metadata!X3,"not collected"),exact(Metadata!X3,"not provided"),exact(Metadata!X3,"restricted access"))),AND(IF(Metadata!X3="",FALSE,TRUE),OR(exact(Metadata!X3,"TRUE"),exact(Metadata!X3,"FALSE"))))</f>
        <v>0</v>
      </c>
      <c r="BK3">
        <f>AND(IF(Metadata!Y3="",FALSE,TRUE),exact(Metadata!Y3,"other"))</f>
        <v>0</v>
      </c>
      <c r="BL3">
        <f>IF(Metadata!Z3="",FALSE,TRUE)</f>
        <v>0</v>
      </c>
      <c r="BM3">
        <f>OR(AND(IF(Metadata!AA3="",FALSE,TRUE),OR(exact(Metadata!AA3,"not collected"),exact(Metadata!AA3,"not provided"))),AND(IF(Metadata!AA3="",FALSE,IF(ISERROR(INT(Metadata!AA3)),FALSE,INT(Metadata!AA3)=Metadata!AA3)),Metadata!AA3&gt;0))</f>
        <v>0</v>
      </c>
      <c r="BN3">
        <f>AND(IF(Metadata!AB3="",FALSE,TRUE),exact(Metadata!AB3,"Not applicable"))</f>
        <v>0</v>
      </c>
      <c r="BO3">
        <f>IF(Metadata!AC3="",FALSE,TRUE)</f>
        <v>0</v>
      </c>
    </row>
    <row r="4" spans="1:67">
      <c r="A4" s="5">
        <f>IF(B4=" "," ",HYPERLINK(CONCATENATE("#metadata!",ADDRESS(INDEX($AI$2:$AI$1001,MATCH(ROWS($AG$2:AG4),$AG$2:$AG$1001,0),0),1)),INDEX($AL$2:$AL$1001,MATCH(ROWS($AG$2:AG4),$AG$2:$AG$1001,0),0)))</f>
        <v>0</v>
      </c>
      <c r="B4" s="4">
        <f>IF(OR(INDEX($AH$2:$AH$1001,MATCH(ROWS($AG$2:AG4),$AG$2:$AG$1001,0),1)&gt;=100000,INDEX($AN$1005:$BO$1005,1,MATCH(COLUMNS($AN$1006:AN1006),$AN$1006:$BO$1006,0))&gt;=100000), " ",IF(INDEX($AN$2:$BO$1001,MATCH(ROWS($AG$2:AG4),$AG$2:$AG$1001,0),MATCH(COLUMNS($AN$1006:AN1006),$AN$1006:$BO$1006,0)), HYPERLINK("#",""), HYPERLINK(CONCATENATE("#Metadata!", ADDRESS(INDEX($AI$2:$AI$1001,MATCH(ROWS($AG$2:AG4),$AG$2:$AG$1001,0),0), INDEX($AN$1004:$BO$1004,1,MATCH(COLUMNS($AN$1006:AN1006),$AN$1006:$BO$1006,0)))),"Fix")))</f>
        <v>0</v>
      </c>
      <c r="C4" s="4">
        <f>IF(OR(INDEX($AH$2:$AH$1001,MATCH(ROWS($AG$2:AG4),$AG$2:$AG$1001,0),1)&gt;=100000,INDEX($AN$1005:$BO$1005,1,MATCH(COLUMNS($AN$1006:AO1006),$AN$1006:$BO$1006,0))&gt;=100000), " ",IF(INDEX($AN$2:$BO$1001,MATCH(ROWS($AG$2:AG4),$AG$2:$AG$1001,0),MATCH(COLUMNS($AN$1006:AO1006),$AN$1006:$BO$1006,0)), HYPERLINK("#",""), HYPERLINK(CONCATENATE("#Metadata!", ADDRESS(INDEX($AI$2:$AI$1001,MATCH(ROWS($AG$2:AG4),$AG$2:$AG$1001,0),0), INDEX($AN$1004:$BO$1004,1,MATCH(COLUMNS($AN$1006:AO1006),$AN$1006:$BO$1006,0)))),"Fix")))</f>
        <v>0</v>
      </c>
      <c r="D4" s="4">
        <f>IF(OR(INDEX($AH$2:$AH$1001,MATCH(ROWS($AG$2:AG4),$AG$2:$AG$1001,0),1)&gt;=100000,INDEX($AN$1005:$BO$1005,1,MATCH(COLUMNS($AN$1006:AP1006),$AN$1006:$BO$1006,0))&gt;=100000), " ",IF(INDEX($AN$2:$BO$1001,MATCH(ROWS($AG$2:AG4),$AG$2:$AG$1001,0),MATCH(COLUMNS($AN$1006:AP1006),$AN$1006:$BO$1006,0)), HYPERLINK("#",""), HYPERLINK(CONCATENATE("#Metadata!", ADDRESS(INDEX($AI$2:$AI$1001,MATCH(ROWS($AG$2:AG4),$AG$2:$AG$1001,0),0), INDEX($AN$1004:$BO$1004,1,MATCH(COLUMNS($AN$1006:AP1006),$AN$1006:$BO$1006,0)))),"Fix")))</f>
        <v>0</v>
      </c>
      <c r="E4" s="4">
        <f>IF(OR(INDEX($AH$2:$AH$1001,MATCH(ROWS($AG$2:AG4),$AG$2:$AG$1001,0),1)&gt;=100000,INDEX($AN$1005:$BO$1005,1,MATCH(COLUMNS($AN$1006:AQ1006),$AN$1006:$BO$1006,0))&gt;=100000), " ",IF(INDEX($AN$2:$BO$1001,MATCH(ROWS($AG$2:AG4),$AG$2:$AG$1001,0),MATCH(COLUMNS($AN$1006:AQ1006),$AN$1006:$BO$1006,0)), HYPERLINK("#",""), HYPERLINK(CONCATENATE("#Metadata!", ADDRESS(INDEX($AI$2:$AI$1001,MATCH(ROWS($AG$2:AG4),$AG$2:$AG$1001,0),0), INDEX($AN$1004:$BO$1004,1,MATCH(COLUMNS($AN$1006:AQ1006),$AN$1006:$BO$1006,0)))),"Fix")))</f>
        <v>0</v>
      </c>
      <c r="F4" s="4">
        <f>IF(OR(INDEX($AH$2:$AH$1001,MATCH(ROWS($AG$2:AG4),$AG$2:$AG$1001,0),1)&gt;=100000,INDEX($AN$1005:$BO$1005,1,MATCH(COLUMNS($AN$1006:AR1006),$AN$1006:$BO$1006,0))&gt;=100000), " ",IF(INDEX($AN$2:$BO$1001,MATCH(ROWS($AG$2:AG4),$AG$2:$AG$1001,0),MATCH(COLUMNS($AN$1006:AR1006),$AN$1006:$BO$1006,0)), HYPERLINK("#",""), HYPERLINK(CONCATENATE("#Metadata!", ADDRESS(INDEX($AI$2:$AI$1001,MATCH(ROWS($AG$2:AG4),$AG$2:$AG$1001,0),0), INDEX($AN$1004:$BO$1004,1,MATCH(COLUMNS($AN$1006:AR1006),$AN$1006:$BO$1006,0)))),"Fix")))</f>
        <v>0</v>
      </c>
      <c r="G4" s="4">
        <f>IF(OR(INDEX($AH$2:$AH$1001,MATCH(ROWS($AG$2:AG4),$AG$2:$AG$1001,0),1)&gt;=100000,INDEX($AN$1005:$BO$1005,1,MATCH(COLUMNS($AN$1006:AS1006),$AN$1006:$BO$1006,0))&gt;=100000), " ",IF(INDEX($AN$2:$BO$1001,MATCH(ROWS($AG$2:AG4),$AG$2:$AG$1001,0),MATCH(COLUMNS($AN$1006:AS1006),$AN$1006:$BO$1006,0)), HYPERLINK("#",""), HYPERLINK(CONCATENATE("#Metadata!", ADDRESS(INDEX($AI$2:$AI$1001,MATCH(ROWS($AG$2:AG4),$AG$2:$AG$1001,0),0), INDEX($AN$1004:$BO$1004,1,MATCH(COLUMNS($AN$1006:AS1006),$AN$1006:$BO$1006,0)))),"Fix")))</f>
        <v>0</v>
      </c>
      <c r="H4" s="4">
        <f>IF(OR(INDEX($AH$2:$AH$1001,MATCH(ROWS($AG$2:AG4),$AG$2:$AG$1001,0),1)&gt;=100000,INDEX($AN$1005:$BO$1005,1,MATCH(COLUMNS($AN$1006:AT1006),$AN$1006:$BO$1006,0))&gt;=100000), " ",IF(INDEX($AN$2:$BO$1001,MATCH(ROWS($AG$2:AG4),$AG$2:$AG$1001,0),MATCH(COLUMNS($AN$1006:AT1006),$AN$1006:$BO$1006,0)), HYPERLINK("#",""), HYPERLINK(CONCATENATE("#Metadata!", ADDRESS(INDEX($AI$2:$AI$1001,MATCH(ROWS($AG$2:AG4),$AG$2:$AG$1001,0),0), INDEX($AN$1004:$BO$1004,1,MATCH(COLUMNS($AN$1006:AT1006),$AN$1006:$BO$1006,0)))),"Fix")))</f>
        <v>0</v>
      </c>
      <c r="I4" s="4">
        <f>IF(OR(INDEX($AH$2:$AH$1001,MATCH(ROWS($AG$2:AG4),$AG$2:$AG$1001,0),1)&gt;=100000,INDEX($AN$1005:$BO$1005,1,MATCH(COLUMNS($AN$1006:AU1006),$AN$1006:$BO$1006,0))&gt;=100000), " ",IF(INDEX($AN$2:$BO$1001,MATCH(ROWS($AG$2:AG4),$AG$2:$AG$1001,0),MATCH(COLUMNS($AN$1006:AU1006),$AN$1006:$BO$1006,0)), HYPERLINK("#",""), HYPERLINK(CONCATENATE("#Metadata!", ADDRESS(INDEX($AI$2:$AI$1001,MATCH(ROWS($AG$2:AG4),$AG$2:$AG$1001,0),0), INDEX($AN$1004:$BO$1004,1,MATCH(COLUMNS($AN$1006:AU1006),$AN$1006:$BO$1006,0)))),"Fix")))</f>
        <v>0</v>
      </c>
      <c r="J4" s="4">
        <f>IF(OR(INDEX($AH$2:$AH$1001,MATCH(ROWS($AG$2:AG4),$AG$2:$AG$1001,0),1)&gt;=100000,INDEX($AN$1005:$BO$1005,1,MATCH(COLUMNS($AN$1006:AV1006),$AN$1006:$BO$1006,0))&gt;=100000), " ",IF(INDEX($AN$2:$BO$1001,MATCH(ROWS($AG$2:AG4),$AG$2:$AG$1001,0),MATCH(COLUMNS($AN$1006:AV1006),$AN$1006:$BO$1006,0)), HYPERLINK("#",""), HYPERLINK(CONCATENATE("#Metadata!", ADDRESS(INDEX($AI$2:$AI$1001,MATCH(ROWS($AG$2:AG4),$AG$2:$AG$1001,0),0), INDEX($AN$1004:$BO$1004,1,MATCH(COLUMNS($AN$1006:AV1006),$AN$1006:$BO$1006,0)))),"Fix")))</f>
        <v>0</v>
      </c>
      <c r="K4" s="4">
        <f>IF(OR(INDEX($AH$2:$AH$1001,MATCH(ROWS($AG$2:AG4),$AG$2:$AG$1001,0),1)&gt;=100000,INDEX($AN$1005:$BO$1005,1,MATCH(COLUMNS($AN$1006:AW1006),$AN$1006:$BO$1006,0))&gt;=100000), " ",IF(INDEX($AN$2:$BO$1001,MATCH(ROWS($AG$2:AG4),$AG$2:$AG$1001,0),MATCH(COLUMNS($AN$1006:AW1006),$AN$1006:$BO$1006,0)), HYPERLINK("#",""), HYPERLINK(CONCATENATE("#Metadata!", ADDRESS(INDEX($AI$2:$AI$1001,MATCH(ROWS($AG$2:AG4),$AG$2:$AG$1001,0),0), INDEX($AN$1004:$BO$1004,1,MATCH(COLUMNS($AN$1006:AW1006),$AN$1006:$BO$1006,0)))),"Fix")))</f>
        <v>0</v>
      </c>
      <c r="L4" s="4">
        <f>IF(OR(INDEX($AH$2:$AH$1001,MATCH(ROWS($AG$2:AG4),$AG$2:$AG$1001,0),1)&gt;=100000,INDEX($AN$1005:$BO$1005,1,MATCH(COLUMNS($AN$1006:AX1006),$AN$1006:$BO$1006,0))&gt;=100000), " ",IF(INDEX($AN$2:$BO$1001,MATCH(ROWS($AG$2:AG4),$AG$2:$AG$1001,0),MATCH(COLUMNS($AN$1006:AX1006),$AN$1006:$BO$1006,0)), HYPERLINK("#",""), HYPERLINK(CONCATENATE("#Metadata!", ADDRESS(INDEX($AI$2:$AI$1001,MATCH(ROWS($AG$2:AG4),$AG$2:$AG$1001,0),0), INDEX($AN$1004:$BO$1004,1,MATCH(COLUMNS($AN$1006:AX1006),$AN$1006:$BO$1006,0)))),"Fix")))</f>
        <v>0</v>
      </c>
      <c r="M4" s="4">
        <f>IF(OR(INDEX($AH$2:$AH$1001,MATCH(ROWS($AG$2:AG4),$AG$2:$AG$1001,0),1)&gt;=100000,INDEX($AN$1005:$BO$1005,1,MATCH(COLUMNS($AN$1006:AY1006),$AN$1006:$BO$1006,0))&gt;=100000), " ",IF(INDEX($AN$2:$BO$1001,MATCH(ROWS($AG$2:AG4),$AG$2:$AG$1001,0),MATCH(COLUMNS($AN$1006:AY1006),$AN$1006:$BO$1006,0)), HYPERLINK("#",""), HYPERLINK(CONCATENATE("#Metadata!", ADDRESS(INDEX($AI$2:$AI$1001,MATCH(ROWS($AG$2:AG4),$AG$2:$AG$1001,0),0), INDEX($AN$1004:$BO$1004,1,MATCH(COLUMNS($AN$1006:AY1006),$AN$1006:$BO$1006,0)))),"Fix")))</f>
        <v>0</v>
      </c>
      <c r="N4" s="4">
        <f>IF(OR(INDEX($AH$2:$AH$1001,MATCH(ROWS($AG$2:AG4),$AG$2:$AG$1001,0),1)&gt;=100000,INDEX($AN$1005:$BO$1005,1,MATCH(COLUMNS($AN$1006:AZ1006),$AN$1006:$BO$1006,0))&gt;=100000), " ",IF(INDEX($AN$2:$BO$1001,MATCH(ROWS($AG$2:AG4),$AG$2:$AG$1001,0),MATCH(COLUMNS($AN$1006:AZ1006),$AN$1006:$BO$1006,0)), HYPERLINK("#",""), HYPERLINK(CONCATENATE("#Metadata!", ADDRESS(INDEX($AI$2:$AI$1001,MATCH(ROWS($AG$2:AG4),$AG$2:$AG$1001,0),0), INDEX($AN$1004:$BO$1004,1,MATCH(COLUMNS($AN$1006:AZ1006),$AN$1006:$BO$1006,0)))),"Fix")))</f>
        <v>0</v>
      </c>
      <c r="O4" s="4">
        <f>IF(OR(INDEX($AH$2:$AH$1001,MATCH(ROWS($AG$2:AG4),$AG$2:$AG$1001,0),1)&gt;=100000,INDEX($AN$1005:$BO$1005,1,MATCH(COLUMNS($AN$1006:BA1006),$AN$1006:$BO$1006,0))&gt;=100000), " ",IF(INDEX($AN$2:$BO$1001,MATCH(ROWS($AG$2:AG4),$AG$2:$AG$1001,0),MATCH(COLUMNS($AN$1006:BA1006),$AN$1006:$BO$1006,0)), HYPERLINK("#",""), HYPERLINK(CONCATENATE("#Metadata!", ADDRESS(INDEX($AI$2:$AI$1001,MATCH(ROWS($AG$2:AG4),$AG$2:$AG$1001,0),0), INDEX($AN$1004:$BO$1004,1,MATCH(COLUMNS($AN$1006:BA1006),$AN$1006:$BO$1006,0)))),"Fix")))</f>
        <v>0</v>
      </c>
      <c r="P4" s="4">
        <f>IF(OR(INDEX($AH$2:$AH$1001,MATCH(ROWS($AG$2:AG4),$AG$2:$AG$1001,0),1)&gt;=100000,INDEX($AN$1005:$BO$1005,1,MATCH(COLUMNS($AN$1006:BB1006),$AN$1006:$BO$1006,0))&gt;=100000), " ",IF(INDEX($AN$2:$BO$1001,MATCH(ROWS($AG$2:AG4),$AG$2:$AG$1001,0),MATCH(COLUMNS($AN$1006:BB1006),$AN$1006:$BO$1006,0)), HYPERLINK("#",""), HYPERLINK(CONCATENATE("#Metadata!", ADDRESS(INDEX($AI$2:$AI$1001,MATCH(ROWS($AG$2:AG4),$AG$2:$AG$1001,0),0), INDEX($AN$1004:$BO$1004,1,MATCH(COLUMNS($AN$1006:BB1006),$AN$1006:$BO$1006,0)))),"Fix")))</f>
        <v>0</v>
      </c>
      <c r="Q4" s="4">
        <f>IF(OR(INDEX($AH$2:$AH$1001,MATCH(ROWS($AG$2:AG4),$AG$2:$AG$1001,0),1)&gt;=100000,INDEX($AN$1005:$BO$1005,1,MATCH(COLUMNS($AN$1006:BC1006),$AN$1006:$BO$1006,0))&gt;=100000), " ",IF(INDEX($AN$2:$BO$1001,MATCH(ROWS($AG$2:AG4),$AG$2:$AG$1001,0),MATCH(COLUMNS($AN$1006:BC1006),$AN$1006:$BO$1006,0)), HYPERLINK("#",""), HYPERLINK(CONCATENATE("#Metadata!", ADDRESS(INDEX($AI$2:$AI$1001,MATCH(ROWS($AG$2:AG4),$AG$2:$AG$1001,0),0), INDEX($AN$1004:$BO$1004,1,MATCH(COLUMNS($AN$1006:BC1006),$AN$1006:$BO$1006,0)))),"Fix")))</f>
        <v>0</v>
      </c>
      <c r="R4" s="4">
        <f>IF(OR(INDEX($AH$2:$AH$1001,MATCH(ROWS($AG$2:AG4),$AG$2:$AG$1001,0),1)&gt;=100000,INDEX($AN$1005:$BO$1005,1,MATCH(COLUMNS($AN$1006:BD1006),$AN$1006:$BO$1006,0))&gt;=100000), " ",IF(INDEX($AN$2:$BO$1001,MATCH(ROWS($AG$2:AG4),$AG$2:$AG$1001,0),MATCH(COLUMNS($AN$1006:BD1006),$AN$1006:$BO$1006,0)), HYPERLINK("#",""), HYPERLINK(CONCATENATE("#Metadata!", ADDRESS(INDEX($AI$2:$AI$1001,MATCH(ROWS($AG$2:AG4),$AG$2:$AG$1001,0),0), INDEX($AN$1004:$BO$1004,1,MATCH(COLUMNS($AN$1006:BD1006),$AN$1006:$BO$1006,0)))),"Fix")))</f>
        <v>0</v>
      </c>
      <c r="S4" s="4">
        <f>IF(OR(INDEX($AH$2:$AH$1001,MATCH(ROWS($AG$2:AG4),$AG$2:$AG$1001,0),1)&gt;=100000,INDEX($AN$1005:$BO$1005,1,MATCH(COLUMNS($AN$1006:BE1006),$AN$1006:$BO$1006,0))&gt;=100000), " ",IF(INDEX($AN$2:$BO$1001,MATCH(ROWS($AG$2:AG4),$AG$2:$AG$1001,0),MATCH(COLUMNS($AN$1006:BE1006),$AN$1006:$BO$1006,0)), HYPERLINK("#",""), HYPERLINK(CONCATENATE("#Metadata!", ADDRESS(INDEX($AI$2:$AI$1001,MATCH(ROWS($AG$2:AG4),$AG$2:$AG$1001,0),0), INDEX($AN$1004:$BO$1004,1,MATCH(COLUMNS($AN$1006:BE1006),$AN$1006:$BO$1006,0)))),"Fix")))</f>
        <v>0</v>
      </c>
      <c r="T4" s="4">
        <f>IF(OR(INDEX($AH$2:$AH$1001,MATCH(ROWS($AG$2:AG4),$AG$2:$AG$1001,0),1)&gt;=100000,INDEX($AN$1005:$BO$1005,1,MATCH(COLUMNS($AN$1006:BF1006),$AN$1006:$BO$1006,0))&gt;=100000), " ",IF(INDEX($AN$2:$BO$1001,MATCH(ROWS($AG$2:AG4),$AG$2:$AG$1001,0),MATCH(COLUMNS($AN$1006:BF1006),$AN$1006:$BO$1006,0)), HYPERLINK("#",""), HYPERLINK(CONCATENATE("#Metadata!", ADDRESS(INDEX($AI$2:$AI$1001,MATCH(ROWS($AG$2:AG4),$AG$2:$AG$1001,0),0), INDEX($AN$1004:$BO$1004,1,MATCH(COLUMNS($AN$1006:BF1006),$AN$1006:$BO$1006,0)))),"Fix")))</f>
        <v>0</v>
      </c>
      <c r="U4" s="4">
        <f>IF(OR(INDEX($AH$2:$AH$1001,MATCH(ROWS($AG$2:AG4),$AG$2:$AG$1001,0),1)&gt;=100000,INDEX($AN$1005:$BO$1005,1,MATCH(COLUMNS($AN$1006:BG1006),$AN$1006:$BO$1006,0))&gt;=100000), " ",IF(INDEX($AN$2:$BO$1001,MATCH(ROWS($AG$2:AG4),$AG$2:$AG$1001,0),MATCH(COLUMNS($AN$1006:BG1006),$AN$1006:$BO$1006,0)), HYPERLINK("#",""), HYPERLINK(CONCATENATE("#Metadata!", ADDRESS(INDEX($AI$2:$AI$1001,MATCH(ROWS($AG$2:AG4),$AG$2:$AG$1001,0),0), INDEX($AN$1004:$BO$1004,1,MATCH(COLUMNS($AN$1006:BG1006),$AN$1006:$BO$1006,0)))),"Fix")))</f>
        <v>0</v>
      </c>
      <c r="V4" s="4">
        <f>IF(OR(INDEX($AH$2:$AH$1001,MATCH(ROWS($AG$2:AG4),$AG$2:$AG$1001,0),1)&gt;=100000,INDEX($AN$1005:$BO$1005,1,MATCH(COLUMNS($AN$1006:BH1006),$AN$1006:$BO$1006,0))&gt;=100000), " ",IF(INDEX($AN$2:$BO$1001,MATCH(ROWS($AG$2:AG4),$AG$2:$AG$1001,0),MATCH(COLUMNS($AN$1006:BH1006),$AN$1006:$BO$1006,0)), HYPERLINK("#",""), HYPERLINK(CONCATENATE("#Metadata!", ADDRESS(INDEX($AI$2:$AI$1001,MATCH(ROWS($AG$2:AG4),$AG$2:$AG$1001,0),0), INDEX($AN$1004:$BO$1004,1,MATCH(COLUMNS($AN$1006:BH1006),$AN$1006:$BO$1006,0)))),"Fix")))</f>
        <v>0</v>
      </c>
      <c r="W4" s="4">
        <f>IF(OR(INDEX($AH$2:$AH$1001,MATCH(ROWS($AG$2:AG4),$AG$2:$AG$1001,0),1)&gt;=100000,INDEX($AN$1005:$BO$1005,1,MATCH(COLUMNS($AN$1006:BI1006),$AN$1006:$BO$1006,0))&gt;=100000), " ",IF(INDEX($AN$2:$BO$1001,MATCH(ROWS($AG$2:AG4),$AG$2:$AG$1001,0),MATCH(COLUMNS($AN$1006:BI1006),$AN$1006:$BO$1006,0)), HYPERLINK("#",""), HYPERLINK(CONCATENATE("#Metadata!", ADDRESS(INDEX($AI$2:$AI$1001,MATCH(ROWS($AG$2:AG4),$AG$2:$AG$1001,0),0), INDEX($AN$1004:$BO$1004,1,MATCH(COLUMNS($AN$1006:BI1006),$AN$1006:$BO$1006,0)))),"Fix")))</f>
        <v>0</v>
      </c>
      <c r="X4" s="4">
        <f>IF(OR(INDEX($AH$2:$AH$1001,MATCH(ROWS($AG$2:AG4),$AG$2:$AG$1001,0),1)&gt;=100000,INDEX($AN$1005:$BO$1005,1,MATCH(COLUMNS($AN$1006:BJ1006),$AN$1006:$BO$1006,0))&gt;=100000), " ",IF(INDEX($AN$2:$BO$1001,MATCH(ROWS($AG$2:AG4),$AG$2:$AG$1001,0),MATCH(COLUMNS($AN$1006:BJ1006),$AN$1006:$BO$1006,0)), HYPERLINK("#",""), HYPERLINK(CONCATENATE("#Metadata!", ADDRESS(INDEX($AI$2:$AI$1001,MATCH(ROWS($AG$2:AG4),$AG$2:$AG$1001,0),0), INDEX($AN$1004:$BO$1004,1,MATCH(COLUMNS($AN$1006:BJ1006),$AN$1006:$BO$1006,0)))),"Fix")))</f>
        <v>0</v>
      </c>
      <c r="Y4" s="4">
        <f>IF(OR(INDEX($AH$2:$AH$1001,MATCH(ROWS($AG$2:AG4),$AG$2:$AG$1001,0),1)&gt;=100000,INDEX($AN$1005:$BO$1005,1,MATCH(COLUMNS($AN$1006:BK1006),$AN$1006:$BO$1006,0))&gt;=100000), " ",IF(INDEX($AN$2:$BO$1001,MATCH(ROWS($AG$2:AG4),$AG$2:$AG$1001,0),MATCH(COLUMNS($AN$1006:BK1006),$AN$1006:$BO$1006,0)), HYPERLINK("#",""), HYPERLINK(CONCATENATE("#Metadata!", ADDRESS(INDEX($AI$2:$AI$1001,MATCH(ROWS($AG$2:AG4),$AG$2:$AG$1001,0),0), INDEX($AN$1004:$BO$1004,1,MATCH(COLUMNS($AN$1006:BK1006),$AN$1006:$BO$1006,0)))),"Fix")))</f>
        <v>0</v>
      </c>
      <c r="Z4" s="4">
        <f>IF(OR(INDEX($AH$2:$AH$1001,MATCH(ROWS($AG$2:AG4),$AG$2:$AG$1001,0),1)&gt;=100000,INDEX($AN$1005:$BO$1005,1,MATCH(COLUMNS($AN$1006:BL1006),$AN$1006:$BO$1006,0))&gt;=100000), " ",IF(INDEX($AN$2:$BO$1001,MATCH(ROWS($AG$2:AG4),$AG$2:$AG$1001,0),MATCH(COLUMNS($AN$1006:BL1006),$AN$1006:$BO$1006,0)), HYPERLINK("#",""), HYPERLINK(CONCATENATE("#Metadata!", ADDRESS(INDEX($AI$2:$AI$1001,MATCH(ROWS($AG$2:AG4),$AG$2:$AG$1001,0),0), INDEX($AN$1004:$BO$1004,1,MATCH(COLUMNS($AN$1006:BL1006),$AN$1006:$BO$1006,0)))),"Fix")))</f>
        <v>0</v>
      </c>
      <c r="AA4" s="4">
        <f>IF(OR(INDEX($AH$2:$AH$1001,MATCH(ROWS($AG$2:AG4),$AG$2:$AG$1001,0),1)&gt;=100000,INDEX($AN$1005:$BO$1005,1,MATCH(COLUMNS($AN$1006:BM1006),$AN$1006:$BO$1006,0))&gt;=100000), " ",IF(INDEX($AN$2:$BO$1001,MATCH(ROWS($AG$2:AG4),$AG$2:$AG$1001,0),MATCH(COLUMNS($AN$1006:BM1006),$AN$1006:$BO$1006,0)), HYPERLINK("#",""), HYPERLINK(CONCATENATE("#Metadata!", ADDRESS(INDEX($AI$2:$AI$1001,MATCH(ROWS($AG$2:AG4),$AG$2:$AG$1001,0),0), INDEX($AN$1004:$BO$1004,1,MATCH(COLUMNS($AN$1006:BM1006),$AN$1006:$BO$1006,0)))),"Fix")))</f>
        <v>0</v>
      </c>
      <c r="AB4" s="4">
        <f>IF(OR(INDEX($AH$2:$AH$1001,MATCH(ROWS($AG$2:AG4),$AG$2:$AG$1001,0),1)&gt;=100000,INDEX($AN$1005:$BO$1005,1,MATCH(COLUMNS($AN$1006:BN1006),$AN$1006:$BO$1006,0))&gt;=100000), " ",IF(INDEX($AN$2:$BO$1001,MATCH(ROWS($AG$2:AG4),$AG$2:$AG$1001,0),MATCH(COLUMNS($AN$1006:BN1006),$AN$1006:$BO$1006,0)), HYPERLINK("#",""), HYPERLINK(CONCATENATE("#Metadata!", ADDRESS(INDEX($AI$2:$AI$1001,MATCH(ROWS($AG$2:AG4),$AG$2:$AG$1001,0),0), INDEX($AN$1004:$BO$1004,1,MATCH(COLUMNS($AN$1006:BN1006),$AN$1006:$BO$1006,0)))),"Fix")))</f>
        <v>0</v>
      </c>
      <c r="AC4" s="4">
        <f>IF(OR(INDEX($AH$2:$AH$1001,MATCH(ROWS($AG$2:AG4),$AG$2:$AG$1001,0),1)&gt;=100000,INDEX($AN$1005:$BO$1005,1,MATCH(COLUMNS($AN$1006:BO1006),$AN$1006:$BO$1006,0))&gt;=100000), " ",IF(INDEX($AN$2:$BO$1001,MATCH(ROWS($AG$2:AG4),$AG$2:$AG$1001,0),MATCH(COLUMNS($AN$1006:BO1006),$AN$1006:$BO$1006,0)), HYPERLINK("#",""), HYPERLINK(CONCATENATE("#Metadata!", ADDRESS(INDEX($AI$2:$AI$1001,MATCH(ROWS($AG$2:AG4),$AG$2:$AG$1001,0),0), INDEX($AN$1004:$BO$1004,1,MATCH(COLUMNS($AN$1006:BO1006),$AN$1006:$BO$1006,0)))),"Fix")))</f>
        <v>0</v>
      </c>
      <c r="AG4">
        <v>0</v>
      </c>
      <c r="AH4">
        <v>0</v>
      </c>
      <c r="AI4">
        <v>0</v>
      </c>
      <c r="AJ4">
        <f>IF(AK4,TRUE,AND(AN4:BO4))</f>
        <v>0</v>
      </c>
      <c r="AK4">
        <f>COUNTBLANK(Metadata!B4:AC4)=COLUMNS(Metadata!B4:AC4)</f>
        <v>0</v>
      </c>
      <c r="AL4">
        <v>0</v>
      </c>
      <c r="AN4">
        <f>AND(IF(Metadata!B4="",FALSE,TRUE),COUNTIF(Metadata!B:B, Metadata!B4) = 1,NOT(ISERROR(SUMPRODUCT(SEARCH(MID(Metadata!B4,ROW(INDIRECT("1:"&amp;LEN(Metadata!B4))), 1),"0123456789abcdefghijklmnopqrstuvwxyzABCDEFGHIJKLMNOPQRSTUVWXYZ.")))))</f>
        <v>0</v>
      </c>
      <c r="AO4">
        <f>IF(Metadata!C4="",FALSE,TRUE)</f>
        <v>0</v>
      </c>
      <c r="AP4">
        <f>IF(Metadata!D4="",FALSE,TRUE)</f>
        <v>0</v>
      </c>
      <c r="AQ4">
        <f>OR(AND(IF(Metadata!E4="",FALSE,TRUE),OR(exact(Metadata!E4,"not collected"),exact(Metadata!E4,"not provided"),exact(Metadata!E4,"restricted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R4">
        <f>IF(Metadata!F4="",FALSE,TRUE)</f>
        <v>0</v>
      </c>
      <c r="AS4">
        <f>OR(AND(IF(Metadata!G4="",FALSE,TRUE),OR(exact(Metadata!G4,"not collected"),exact(Metadata!G4,"not provided"))),AND(IF(Metadata!G4="",FALSE,TRUE),OR(exact(Metadata!G4,"TRUE"),exact(Metadata!G4,"FALSE"))))</f>
        <v>0</v>
      </c>
      <c r="AT4">
        <f>OR(AND(IF(Metadata!H4="",FALSE,TRUE),OR(exact(Metadata!H4,"not collected"),exact(Metadata!H4,"not provided"),exact(Metadata!H4,"restricted access"))),AND(IF(Metadata!H4="",FALSE,ISNUMBER(VALUE(Metadata!H4))),Metadata!H4&gt;=-413.0))</f>
        <v>0</v>
      </c>
      <c r="AU4">
        <f>AND(IF(Metadata!I4="",FALSE,TRUE),exact(Metadata!I4,"meters"))</f>
        <v>0</v>
      </c>
      <c r="AV4">
        <f>AND(IF(Metadata!J4="",FALSE,TRUE),OR(exact(Metadata!J4,"Host-associated"),exact(Metadata!J4,"Free-living")))</f>
        <v>0</v>
      </c>
      <c r="AW4">
        <f>AND(IF(Metadata!K4="",FALSE,TRUE),OR(exact(Metadata!K4,"Animal"),exact(Metadata!K4,"Fungus"),exact(Metadata!K4,"Plant"),exact(Metadata!K4,"Saline"),exact(Metadata!K4,"Non-saline")))</f>
        <v>0</v>
      </c>
      <c r="AX4">
        <f>AND(IF(Metadata!L4="",FALSE,TRUE),OR(exact(Metadata!L4,"Plant secretion"),exact(Metadata!L4,"Plant rhizosphere"),exact(Metadata!L4,"Plant surface"),exact(Metadata!L4,"Plant corpus"),exact(Metadata!L4,"Fungus surface"),exact(Metadata!L4,"Fungus corpus"),exact(Metadata!L4,"Animal surface"),exact(Metadata!L4,"Animal proximal gut"),exact(Metadata!L4,"Animal corpus"),exact(Metadata!L4,"Animal distal gut"),exact(Metadata!L4,"Animal secretion"),exact(Metadata!L4,"Sub-surface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0</v>
      </c>
      <c r="AY4">
        <f>IF(Metadata!M4="",FALSE,TRUE)</f>
        <v>0</v>
      </c>
      <c r="AZ4">
        <f>IF(Metadata!N4="",FALSE,TRUE)</f>
        <v>0</v>
      </c>
      <c r="BA4">
        <f>IF(Metadata!O4="",FALSE,TRUE)</f>
        <v>0</v>
      </c>
      <c r="BB4">
        <f>OR(AND(IF(Metadata!P4="",FALSE,TRUE),OR(exact(Metadata!P4,"not collected"),exact(Metadata!P4,"not provided"),exact(Metadata!P4,"restricted access"))),AND(IF(Metadata!P4="",FALSE,TRUE),OR(exact(Metadata!P4,"air"),exact(Metadata!P4,"built environment"),exact(Metadata!P4,"host-associated"),exact(Metadata!P4,"human-associated"),exact(Metadata!P4,"human-skin"),exact(Metadata!P4,"human-oral"),exact(Metadata!P4,"human-gut"),exact(Metadata!P4,"human-vaginal"),exact(Metadata!P4,"microbial mat/biofilm"),exact(Metadata!P4,"misc environment"),exact(Metadata!P4,"plant-associated"),exact(Metadata!P4,"sediment"),exact(Metadata!P4,"soil"),exact(Metadata!P4,"wastewater/sludge"),exact(Metadata!P4,"water"))))</f>
        <v>0</v>
      </c>
      <c r="BC4">
        <f>IF(Metadata!Q4="",FALSE,TRUE)</f>
        <v>0</v>
      </c>
      <c r="BD4">
        <f>IF(Metadata!R4="",FALSE,TRUE)</f>
        <v>0</v>
      </c>
      <c r="BE4">
        <f>OR(AND(IF(Metadata!S4="",FALSE,TRUE),OR(exact(Metadata!S4,"not collected"),exact(Metadata!S4,"not provided"),exact(Metadata!S4,"restricted access"))),AND(IF(Metadata!S4="",FALSE,ISNUMBER(VALUE(Metadata!S4))),Metadata!S4&gt;=-90.00,Metadata!S4&lt;=90.00))</f>
        <v>0</v>
      </c>
      <c r="BF4">
        <f>AND(IF(Metadata!T4="",FALSE,TRUE),exact(Metadata!T4,"Decimal degrees"))</f>
        <v>0</v>
      </c>
      <c r="BG4">
        <f>OR(AND(IF(Metadata!U4="",FALSE,TRUE),OR(exact(Metadata!U4,"not collected"),exact(Metadata!U4,"not provided"),exact(Metadata!U4,"restricted access"))),AND(IF(Metadata!U4="",FALSE,ISNUMBER(VALUE(Metadata!U4))),Metadata!U4&gt;=-180.00,Metadata!U4&lt;=180.00))</f>
        <v>0</v>
      </c>
      <c r="BH4">
        <f>AND(IF(Metadata!V4="",FALSE,TRUE),exact(Metadata!V4,"Decimal degrees"))</f>
        <v>0</v>
      </c>
      <c r="BI4">
        <f>IF(Metadata!W4="",FALSE,TRUE)</f>
        <v>0</v>
      </c>
      <c r="BJ4">
        <f>OR(AND(IF(Metadata!X4="",FALSE,TRUE),OR(exact(Metadata!X4,"not collected"),exact(Metadata!X4,"not provided"),exact(Metadata!X4,"restricted access"))),AND(IF(Metadata!X4="",FALSE,TRUE),OR(exact(Metadata!X4,"TRUE"),exact(Metadata!X4,"FALSE"))))</f>
        <v>0</v>
      </c>
      <c r="BK4">
        <f>AND(IF(Metadata!Y4="",FALSE,TRUE),exact(Metadata!Y4,"other"))</f>
        <v>0</v>
      </c>
      <c r="BL4">
        <f>IF(Metadata!Z4="",FALSE,TRUE)</f>
        <v>0</v>
      </c>
      <c r="BM4">
        <f>OR(AND(IF(Metadata!AA4="",FALSE,TRUE),OR(exact(Metadata!AA4,"not collected"),exact(Metadata!AA4,"not provided"))),AND(IF(Metadata!AA4="",FALSE,IF(ISERROR(INT(Metadata!AA4)),FALSE,INT(Metadata!AA4)=Metadata!AA4)),Metadata!AA4&gt;0))</f>
        <v>0</v>
      </c>
      <c r="BN4">
        <f>AND(IF(Metadata!AB4="",FALSE,TRUE),exact(Metadata!AB4,"Not applicable"))</f>
        <v>0</v>
      </c>
      <c r="BO4">
        <f>IF(Metadata!AC4="",FALSE,TRUE)</f>
        <v>0</v>
      </c>
    </row>
    <row r="5" spans="1:67">
      <c r="A5" s="5">
        <f>IF(B5=" "," ",HYPERLINK(CONCATENATE("#metadata!",ADDRESS(INDEX($AI$2:$AI$1001,MATCH(ROWS($AG$2:AG5),$AG$2:$AG$1001,0),0),1)),INDEX($AL$2:$AL$1001,MATCH(ROWS($AG$2:AG5),$AG$2:$AG$1001,0),0)))</f>
        <v>0</v>
      </c>
      <c r="B5" s="4">
        <f>IF(OR(INDEX($AH$2:$AH$1001,MATCH(ROWS($AG$2:AG5),$AG$2:$AG$1001,0),1)&gt;=100000,INDEX($AN$1005:$BO$1005,1,MATCH(COLUMNS($AN$1006:AN1006),$AN$1006:$BO$1006,0))&gt;=100000), " ",IF(INDEX($AN$2:$BO$1001,MATCH(ROWS($AG$2:AG5),$AG$2:$AG$1001,0),MATCH(COLUMNS($AN$1006:AN1006),$AN$1006:$BO$1006,0)), HYPERLINK("#",""), HYPERLINK(CONCATENATE("#Metadata!", ADDRESS(INDEX($AI$2:$AI$1001,MATCH(ROWS($AG$2:AG5),$AG$2:$AG$1001,0),0), INDEX($AN$1004:$BO$1004,1,MATCH(COLUMNS($AN$1006:AN1006),$AN$1006:$BO$1006,0)))),"Fix")))</f>
        <v>0</v>
      </c>
      <c r="C5" s="4">
        <f>IF(OR(INDEX($AH$2:$AH$1001,MATCH(ROWS($AG$2:AG5),$AG$2:$AG$1001,0),1)&gt;=100000,INDEX($AN$1005:$BO$1005,1,MATCH(COLUMNS($AN$1006:AO1006),$AN$1006:$BO$1006,0))&gt;=100000), " ",IF(INDEX($AN$2:$BO$1001,MATCH(ROWS($AG$2:AG5),$AG$2:$AG$1001,0),MATCH(COLUMNS($AN$1006:AO1006),$AN$1006:$BO$1006,0)), HYPERLINK("#",""), HYPERLINK(CONCATENATE("#Metadata!", ADDRESS(INDEX($AI$2:$AI$1001,MATCH(ROWS($AG$2:AG5),$AG$2:$AG$1001,0),0), INDEX($AN$1004:$BO$1004,1,MATCH(COLUMNS($AN$1006:AO1006),$AN$1006:$BO$1006,0)))),"Fix")))</f>
        <v>0</v>
      </c>
      <c r="D5" s="4">
        <f>IF(OR(INDEX($AH$2:$AH$1001,MATCH(ROWS($AG$2:AG5),$AG$2:$AG$1001,0),1)&gt;=100000,INDEX($AN$1005:$BO$1005,1,MATCH(COLUMNS($AN$1006:AP1006),$AN$1006:$BO$1006,0))&gt;=100000), " ",IF(INDEX($AN$2:$BO$1001,MATCH(ROWS($AG$2:AG5),$AG$2:$AG$1001,0),MATCH(COLUMNS($AN$1006:AP1006),$AN$1006:$BO$1006,0)), HYPERLINK("#",""), HYPERLINK(CONCATENATE("#Metadata!", ADDRESS(INDEX($AI$2:$AI$1001,MATCH(ROWS($AG$2:AG5),$AG$2:$AG$1001,0),0), INDEX($AN$1004:$BO$1004,1,MATCH(COLUMNS($AN$1006:AP1006),$AN$1006:$BO$1006,0)))),"Fix")))</f>
        <v>0</v>
      </c>
      <c r="E5" s="4">
        <f>IF(OR(INDEX($AH$2:$AH$1001,MATCH(ROWS($AG$2:AG5),$AG$2:$AG$1001,0),1)&gt;=100000,INDEX($AN$1005:$BO$1005,1,MATCH(COLUMNS($AN$1006:AQ1006),$AN$1006:$BO$1006,0))&gt;=100000), " ",IF(INDEX($AN$2:$BO$1001,MATCH(ROWS($AG$2:AG5),$AG$2:$AG$1001,0),MATCH(COLUMNS($AN$1006:AQ1006),$AN$1006:$BO$1006,0)), HYPERLINK("#",""), HYPERLINK(CONCATENATE("#Metadata!", ADDRESS(INDEX($AI$2:$AI$1001,MATCH(ROWS($AG$2:AG5),$AG$2:$AG$1001,0),0), INDEX($AN$1004:$BO$1004,1,MATCH(COLUMNS($AN$1006:AQ1006),$AN$1006:$BO$1006,0)))),"Fix")))</f>
        <v>0</v>
      </c>
      <c r="F5" s="4">
        <f>IF(OR(INDEX($AH$2:$AH$1001,MATCH(ROWS($AG$2:AG5),$AG$2:$AG$1001,0),1)&gt;=100000,INDEX($AN$1005:$BO$1005,1,MATCH(COLUMNS($AN$1006:AR1006),$AN$1006:$BO$1006,0))&gt;=100000), " ",IF(INDEX($AN$2:$BO$1001,MATCH(ROWS($AG$2:AG5),$AG$2:$AG$1001,0),MATCH(COLUMNS($AN$1006:AR1006),$AN$1006:$BO$1006,0)), HYPERLINK("#",""), HYPERLINK(CONCATENATE("#Metadata!", ADDRESS(INDEX($AI$2:$AI$1001,MATCH(ROWS($AG$2:AG5),$AG$2:$AG$1001,0),0), INDEX($AN$1004:$BO$1004,1,MATCH(COLUMNS($AN$1006:AR1006),$AN$1006:$BO$1006,0)))),"Fix")))</f>
        <v>0</v>
      </c>
      <c r="G5" s="4">
        <f>IF(OR(INDEX($AH$2:$AH$1001,MATCH(ROWS($AG$2:AG5),$AG$2:$AG$1001,0),1)&gt;=100000,INDEX($AN$1005:$BO$1005,1,MATCH(COLUMNS($AN$1006:AS1006),$AN$1006:$BO$1006,0))&gt;=100000), " ",IF(INDEX($AN$2:$BO$1001,MATCH(ROWS($AG$2:AG5),$AG$2:$AG$1001,0),MATCH(COLUMNS($AN$1006:AS1006),$AN$1006:$BO$1006,0)), HYPERLINK("#",""), HYPERLINK(CONCATENATE("#Metadata!", ADDRESS(INDEX($AI$2:$AI$1001,MATCH(ROWS($AG$2:AG5),$AG$2:$AG$1001,0),0), INDEX($AN$1004:$BO$1004,1,MATCH(COLUMNS($AN$1006:AS1006),$AN$1006:$BO$1006,0)))),"Fix")))</f>
        <v>0</v>
      </c>
      <c r="H5" s="4">
        <f>IF(OR(INDEX($AH$2:$AH$1001,MATCH(ROWS($AG$2:AG5),$AG$2:$AG$1001,0),1)&gt;=100000,INDEX($AN$1005:$BO$1005,1,MATCH(COLUMNS($AN$1006:AT1006),$AN$1006:$BO$1006,0))&gt;=100000), " ",IF(INDEX($AN$2:$BO$1001,MATCH(ROWS($AG$2:AG5),$AG$2:$AG$1001,0),MATCH(COLUMNS($AN$1006:AT1006),$AN$1006:$BO$1006,0)), HYPERLINK("#",""), HYPERLINK(CONCATENATE("#Metadata!", ADDRESS(INDEX($AI$2:$AI$1001,MATCH(ROWS($AG$2:AG5),$AG$2:$AG$1001,0),0), INDEX($AN$1004:$BO$1004,1,MATCH(COLUMNS($AN$1006:AT1006),$AN$1006:$BO$1006,0)))),"Fix")))</f>
        <v>0</v>
      </c>
      <c r="I5" s="4">
        <f>IF(OR(INDEX($AH$2:$AH$1001,MATCH(ROWS($AG$2:AG5),$AG$2:$AG$1001,0),1)&gt;=100000,INDEX($AN$1005:$BO$1005,1,MATCH(COLUMNS($AN$1006:AU1006),$AN$1006:$BO$1006,0))&gt;=100000), " ",IF(INDEX($AN$2:$BO$1001,MATCH(ROWS($AG$2:AG5),$AG$2:$AG$1001,0),MATCH(COLUMNS($AN$1006:AU1006),$AN$1006:$BO$1006,0)), HYPERLINK("#",""), HYPERLINK(CONCATENATE("#Metadata!", ADDRESS(INDEX($AI$2:$AI$1001,MATCH(ROWS($AG$2:AG5),$AG$2:$AG$1001,0),0), INDEX($AN$1004:$BO$1004,1,MATCH(COLUMNS($AN$1006:AU1006),$AN$1006:$BO$1006,0)))),"Fix")))</f>
        <v>0</v>
      </c>
      <c r="J5" s="4">
        <f>IF(OR(INDEX($AH$2:$AH$1001,MATCH(ROWS($AG$2:AG5),$AG$2:$AG$1001,0),1)&gt;=100000,INDEX($AN$1005:$BO$1005,1,MATCH(COLUMNS($AN$1006:AV1006),$AN$1006:$BO$1006,0))&gt;=100000), " ",IF(INDEX($AN$2:$BO$1001,MATCH(ROWS($AG$2:AG5),$AG$2:$AG$1001,0),MATCH(COLUMNS($AN$1006:AV1006),$AN$1006:$BO$1006,0)), HYPERLINK("#",""), HYPERLINK(CONCATENATE("#Metadata!", ADDRESS(INDEX($AI$2:$AI$1001,MATCH(ROWS($AG$2:AG5),$AG$2:$AG$1001,0),0), INDEX($AN$1004:$BO$1004,1,MATCH(COLUMNS($AN$1006:AV1006),$AN$1006:$BO$1006,0)))),"Fix")))</f>
        <v>0</v>
      </c>
      <c r="K5" s="4">
        <f>IF(OR(INDEX($AH$2:$AH$1001,MATCH(ROWS($AG$2:AG5),$AG$2:$AG$1001,0),1)&gt;=100000,INDEX($AN$1005:$BO$1005,1,MATCH(COLUMNS($AN$1006:AW1006),$AN$1006:$BO$1006,0))&gt;=100000), " ",IF(INDEX($AN$2:$BO$1001,MATCH(ROWS($AG$2:AG5),$AG$2:$AG$1001,0),MATCH(COLUMNS($AN$1006:AW1006),$AN$1006:$BO$1006,0)), HYPERLINK("#",""), HYPERLINK(CONCATENATE("#Metadata!", ADDRESS(INDEX($AI$2:$AI$1001,MATCH(ROWS($AG$2:AG5),$AG$2:$AG$1001,0),0), INDEX($AN$1004:$BO$1004,1,MATCH(COLUMNS($AN$1006:AW1006),$AN$1006:$BO$1006,0)))),"Fix")))</f>
        <v>0</v>
      </c>
      <c r="L5" s="4">
        <f>IF(OR(INDEX($AH$2:$AH$1001,MATCH(ROWS($AG$2:AG5),$AG$2:$AG$1001,0),1)&gt;=100000,INDEX($AN$1005:$BO$1005,1,MATCH(COLUMNS($AN$1006:AX1006),$AN$1006:$BO$1006,0))&gt;=100000), " ",IF(INDEX($AN$2:$BO$1001,MATCH(ROWS($AG$2:AG5),$AG$2:$AG$1001,0),MATCH(COLUMNS($AN$1006:AX1006),$AN$1006:$BO$1006,0)), HYPERLINK("#",""), HYPERLINK(CONCATENATE("#Metadata!", ADDRESS(INDEX($AI$2:$AI$1001,MATCH(ROWS($AG$2:AG5),$AG$2:$AG$1001,0),0), INDEX($AN$1004:$BO$1004,1,MATCH(COLUMNS($AN$1006:AX1006),$AN$1006:$BO$1006,0)))),"Fix")))</f>
        <v>0</v>
      </c>
      <c r="M5" s="4">
        <f>IF(OR(INDEX($AH$2:$AH$1001,MATCH(ROWS($AG$2:AG5),$AG$2:$AG$1001,0),1)&gt;=100000,INDEX($AN$1005:$BO$1005,1,MATCH(COLUMNS($AN$1006:AY1006),$AN$1006:$BO$1006,0))&gt;=100000), " ",IF(INDEX($AN$2:$BO$1001,MATCH(ROWS($AG$2:AG5),$AG$2:$AG$1001,0),MATCH(COLUMNS($AN$1006:AY1006),$AN$1006:$BO$1006,0)), HYPERLINK("#",""), HYPERLINK(CONCATENATE("#Metadata!", ADDRESS(INDEX($AI$2:$AI$1001,MATCH(ROWS($AG$2:AG5),$AG$2:$AG$1001,0),0), INDEX($AN$1004:$BO$1004,1,MATCH(COLUMNS($AN$1006:AY1006),$AN$1006:$BO$1006,0)))),"Fix")))</f>
        <v>0</v>
      </c>
      <c r="N5" s="4">
        <f>IF(OR(INDEX($AH$2:$AH$1001,MATCH(ROWS($AG$2:AG5),$AG$2:$AG$1001,0),1)&gt;=100000,INDEX($AN$1005:$BO$1005,1,MATCH(COLUMNS($AN$1006:AZ1006),$AN$1006:$BO$1006,0))&gt;=100000), " ",IF(INDEX($AN$2:$BO$1001,MATCH(ROWS($AG$2:AG5),$AG$2:$AG$1001,0),MATCH(COLUMNS($AN$1006:AZ1006),$AN$1006:$BO$1006,0)), HYPERLINK("#",""), HYPERLINK(CONCATENATE("#Metadata!", ADDRESS(INDEX($AI$2:$AI$1001,MATCH(ROWS($AG$2:AG5),$AG$2:$AG$1001,0),0), INDEX($AN$1004:$BO$1004,1,MATCH(COLUMNS($AN$1006:AZ1006),$AN$1006:$BO$1006,0)))),"Fix")))</f>
        <v>0</v>
      </c>
      <c r="O5" s="4">
        <f>IF(OR(INDEX($AH$2:$AH$1001,MATCH(ROWS($AG$2:AG5),$AG$2:$AG$1001,0),1)&gt;=100000,INDEX($AN$1005:$BO$1005,1,MATCH(COLUMNS($AN$1006:BA1006),$AN$1006:$BO$1006,0))&gt;=100000), " ",IF(INDEX($AN$2:$BO$1001,MATCH(ROWS($AG$2:AG5),$AG$2:$AG$1001,0),MATCH(COLUMNS($AN$1006:BA1006),$AN$1006:$BO$1006,0)), HYPERLINK("#",""), HYPERLINK(CONCATENATE("#Metadata!", ADDRESS(INDEX($AI$2:$AI$1001,MATCH(ROWS($AG$2:AG5),$AG$2:$AG$1001,0),0), INDEX($AN$1004:$BO$1004,1,MATCH(COLUMNS($AN$1006:BA1006),$AN$1006:$BO$1006,0)))),"Fix")))</f>
        <v>0</v>
      </c>
      <c r="P5" s="4">
        <f>IF(OR(INDEX($AH$2:$AH$1001,MATCH(ROWS($AG$2:AG5),$AG$2:$AG$1001,0),1)&gt;=100000,INDEX($AN$1005:$BO$1005,1,MATCH(COLUMNS($AN$1006:BB1006),$AN$1006:$BO$1006,0))&gt;=100000), " ",IF(INDEX($AN$2:$BO$1001,MATCH(ROWS($AG$2:AG5),$AG$2:$AG$1001,0),MATCH(COLUMNS($AN$1006:BB1006),$AN$1006:$BO$1006,0)), HYPERLINK("#",""), HYPERLINK(CONCATENATE("#Metadata!", ADDRESS(INDEX($AI$2:$AI$1001,MATCH(ROWS($AG$2:AG5),$AG$2:$AG$1001,0),0), INDEX($AN$1004:$BO$1004,1,MATCH(COLUMNS($AN$1006:BB1006),$AN$1006:$BO$1006,0)))),"Fix")))</f>
        <v>0</v>
      </c>
      <c r="Q5" s="4">
        <f>IF(OR(INDEX($AH$2:$AH$1001,MATCH(ROWS($AG$2:AG5),$AG$2:$AG$1001,0),1)&gt;=100000,INDEX($AN$1005:$BO$1005,1,MATCH(COLUMNS($AN$1006:BC1006),$AN$1006:$BO$1006,0))&gt;=100000), " ",IF(INDEX($AN$2:$BO$1001,MATCH(ROWS($AG$2:AG5),$AG$2:$AG$1001,0),MATCH(COLUMNS($AN$1006:BC1006),$AN$1006:$BO$1006,0)), HYPERLINK("#",""), HYPERLINK(CONCATENATE("#Metadata!", ADDRESS(INDEX($AI$2:$AI$1001,MATCH(ROWS($AG$2:AG5),$AG$2:$AG$1001,0),0), INDEX($AN$1004:$BO$1004,1,MATCH(COLUMNS($AN$1006:BC1006),$AN$1006:$BO$1006,0)))),"Fix")))</f>
        <v>0</v>
      </c>
      <c r="R5" s="4">
        <f>IF(OR(INDEX($AH$2:$AH$1001,MATCH(ROWS($AG$2:AG5),$AG$2:$AG$1001,0),1)&gt;=100000,INDEX($AN$1005:$BO$1005,1,MATCH(COLUMNS($AN$1006:BD1006),$AN$1006:$BO$1006,0))&gt;=100000), " ",IF(INDEX($AN$2:$BO$1001,MATCH(ROWS($AG$2:AG5),$AG$2:$AG$1001,0),MATCH(COLUMNS($AN$1006:BD1006),$AN$1006:$BO$1006,0)), HYPERLINK("#",""), HYPERLINK(CONCATENATE("#Metadata!", ADDRESS(INDEX($AI$2:$AI$1001,MATCH(ROWS($AG$2:AG5),$AG$2:$AG$1001,0),0), INDEX($AN$1004:$BO$1004,1,MATCH(COLUMNS($AN$1006:BD1006),$AN$1006:$BO$1006,0)))),"Fix")))</f>
        <v>0</v>
      </c>
      <c r="S5" s="4">
        <f>IF(OR(INDEX($AH$2:$AH$1001,MATCH(ROWS($AG$2:AG5),$AG$2:$AG$1001,0),1)&gt;=100000,INDEX($AN$1005:$BO$1005,1,MATCH(COLUMNS($AN$1006:BE1006),$AN$1006:$BO$1006,0))&gt;=100000), " ",IF(INDEX($AN$2:$BO$1001,MATCH(ROWS($AG$2:AG5),$AG$2:$AG$1001,0),MATCH(COLUMNS($AN$1006:BE1006),$AN$1006:$BO$1006,0)), HYPERLINK("#",""), HYPERLINK(CONCATENATE("#Metadata!", ADDRESS(INDEX($AI$2:$AI$1001,MATCH(ROWS($AG$2:AG5),$AG$2:$AG$1001,0),0), INDEX($AN$1004:$BO$1004,1,MATCH(COLUMNS($AN$1006:BE1006),$AN$1006:$BO$1006,0)))),"Fix")))</f>
        <v>0</v>
      </c>
      <c r="T5" s="4">
        <f>IF(OR(INDEX($AH$2:$AH$1001,MATCH(ROWS($AG$2:AG5),$AG$2:$AG$1001,0),1)&gt;=100000,INDEX($AN$1005:$BO$1005,1,MATCH(COLUMNS($AN$1006:BF1006),$AN$1006:$BO$1006,0))&gt;=100000), " ",IF(INDEX($AN$2:$BO$1001,MATCH(ROWS($AG$2:AG5),$AG$2:$AG$1001,0),MATCH(COLUMNS($AN$1006:BF1006),$AN$1006:$BO$1006,0)), HYPERLINK("#",""), HYPERLINK(CONCATENATE("#Metadata!", ADDRESS(INDEX($AI$2:$AI$1001,MATCH(ROWS($AG$2:AG5),$AG$2:$AG$1001,0),0), INDEX($AN$1004:$BO$1004,1,MATCH(COLUMNS($AN$1006:BF1006),$AN$1006:$BO$1006,0)))),"Fix")))</f>
        <v>0</v>
      </c>
      <c r="U5" s="4">
        <f>IF(OR(INDEX($AH$2:$AH$1001,MATCH(ROWS($AG$2:AG5),$AG$2:$AG$1001,0),1)&gt;=100000,INDEX($AN$1005:$BO$1005,1,MATCH(COLUMNS($AN$1006:BG1006),$AN$1006:$BO$1006,0))&gt;=100000), " ",IF(INDEX($AN$2:$BO$1001,MATCH(ROWS($AG$2:AG5),$AG$2:$AG$1001,0),MATCH(COLUMNS($AN$1006:BG1006),$AN$1006:$BO$1006,0)), HYPERLINK("#",""), HYPERLINK(CONCATENATE("#Metadata!", ADDRESS(INDEX($AI$2:$AI$1001,MATCH(ROWS($AG$2:AG5),$AG$2:$AG$1001,0),0), INDEX($AN$1004:$BO$1004,1,MATCH(COLUMNS($AN$1006:BG1006),$AN$1006:$BO$1006,0)))),"Fix")))</f>
        <v>0</v>
      </c>
      <c r="V5" s="4">
        <f>IF(OR(INDEX($AH$2:$AH$1001,MATCH(ROWS($AG$2:AG5),$AG$2:$AG$1001,0),1)&gt;=100000,INDEX($AN$1005:$BO$1005,1,MATCH(COLUMNS($AN$1006:BH1006),$AN$1006:$BO$1006,0))&gt;=100000), " ",IF(INDEX($AN$2:$BO$1001,MATCH(ROWS($AG$2:AG5),$AG$2:$AG$1001,0),MATCH(COLUMNS($AN$1006:BH1006),$AN$1006:$BO$1006,0)), HYPERLINK("#",""), HYPERLINK(CONCATENATE("#Metadata!", ADDRESS(INDEX($AI$2:$AI$1001,MATCH(ROWS($AG$2:AG5),$AG$2:$AG$1001,0),0), INDEX($AN$1004:$BO$1004,1,MATCH(COLUMNS($AN$1006:BH1006),$AN$1006:$BO$1006,0)))),"Fix")))</f>
        <v>0</v>
      </c>
      <c r="W5" s="4">
        <f>IF(OR(INDEX($AH$2:$AH$1001,MATCH(ROWS($AG$2:AG5),$AG$2:$AG$1001,0),1)&gt;=100000,INDEX($AN$1005:$BO$1005,1,MATCH(COLUMNS($AN$1006:BI1006),$AN$1006:$BO$1006,0))&gt;=100000), " ",IF(INDEX($AN$2:$BO$1001,MATCH(ROWS($AG$2:AG5),$AG$2:$AG$1001,0),MATCH(COLUMNS($AN$1006:BI1006),$AN$1006:$BO$1006,0)), HYPERLINK("#",""), HYPERLINK(CONCATENATE("#Metadata!", ADDRESS(INDEX($AI$2:$AI$1001,MATCH(ROWS($AG$2:AG5),$AG$2:$AG$1001,0),0), INDEX($AN$1004:$BO$1004,1,MATCH(COLUMNS($AN$1006:BI1006),$AN$1006:$BO$1006,0)))),"Fix")))</f>
        <v>0</v>
      </c>
      <c r="X5" s="4">
        <f>IF(OR(INDEX($AH$2:$AH$1001,MATCH(ROWS($AG$2:AG5),$AG$2:$AG$1001,0),1)&gt;=100000,INDEX($AN$1005:$BO$1005,1,MATCH(COLUMNS($AN$1006:BJ1006),$AN$1006:$BO$1006,0))&gt;=100000), " ",IF(INDEX($AN$2:$BO$1001,MATCH(ROWS($AG$2:AG5),$AG$2:$AG$1001,0),MATCH(COLUMNS($AN$1006:BJ1006),$AN$1006:$BO$1006,0)), HYPERLINK("#",""), HYPERLINK(CONCATENATE("#Metadata!", ADDRESS(INDEX($AI$2:$AI$1001,MATCH(ROWS($AG$2:AG5),$AG$2:$AG$1001,0),0), INDEX($AN$1004:$BO$1004,1,MATCH(COLUMNS($AN$1006:BJ1006),$AN$1006:$BO$1006,0)))),"Fix")))</f>
        <v>0</v>
      </c>
      <c r="Y5" s="4">
        <f>IF(OR(INDEX($AH$2:$AH$1001,MATCH(ROWS($AG$2:AG5),$AG$2:$AG$1001,0),1)&gt;=100000,INDEX($AN$1005:$BO$1005,1,MATCH(COLUMNS($AN$1006:BK1006),$AN$1006:$BO$1006,0))&gt;=100000), " ",IF(INDEX($AN$2:$BO$1001,MATCH(ROWS($AG$2:AG5),$AG$2:$AG$1001,0),MATCH(COLUMNS($AN$1006:BK1006),$AN$1006:$BO$1006,0)), HYPERLINK("#",""), HYPERLINK(CONCATENATE("#Metadata!", ADDRESS(INDEX($AI$2:$AI$1001,MATCH(ROWS($AG$2:AG5),$AG$2:$AG$1001,0),0), INDEX($AN$1004:$BO$1004,1,MATCH(COLUMNS($AN$1006:BK1006),$AN$1006:$BO$1006,0)))),"Fix")))</f>
        <v>0</v>
      </c>
      <c r="Z5" s="4">
        <f>IF(OR(INDEX($AH$2:$AH$1001,MATCH(ROWS($AG$2:AG5),$AG$2:$AG$1001,0),1)&gt;=100000,INDEX($AN$1005:$BO$1005,1,MATCH(COLUMNS($AN$1006:BL1006),$AN$1006:$BO$1006,0))&gt;=100000), " ",IF(INDEX($AN$2:$BO$1001,MATCH(ROWS($AG$2:AG5),$AG$2:$AG$1001,0),MATCH(COLUMNS($AN$1006:BL1006),$AN$1006:$BO$1006,0)), HYPERLINK("#",""), HYPERLINK(CONCATENATE("#Metadata!", ADDRESS(INDEX($AI$2:$AI$1001,MATCH(ROWS($AG$2:AG5),$AG$2:$AG$1001,0),0), INDEX($AN$1004:$BO$1004,1,MATCH(COLUMNS($AN$1006:BL1006),$AN$1006:$BO$1006,0)))),"Fix")))</f>
        <v>0</v>
      </c>
      <c r="AA5" s="4">
        <f>IF(OR(INDEX($AH$2:$AH$1001,MATCH(ROWS($AG$2:AG5),$AG$2:$AG$1001,0),1)&gt;=100000,INDEX($AN$1005:$BO$1005,1,MATCH(COLUMNS($AN$1006:BM1006),$AN$1006:$BO$1006,0))&gt;=100000), " ",IF(INDEX($AN$2:$BO$1001,MATCH(ROWS($AG$2:AG5),$AG$2:$AG$1001,0),MATCH(COLUMNS($AN$1006:BM1006),$AN$1006:$BO$1006,0)), HYPERLINK("#",""), HYPERLINK(CONCATENATE("#Metadata!", ADDRESS(INDEX($AI$2:$AI$1001,MATCH(ROWS($AG$2:AG5),$AG$2:$AG$1001,0),0), INDEX($AN$1004:$BO$1004,1,MATCH(COLUMNS($AN$1006:BM1006),$AN$1006:$BO$1006,0)))),"Fix")))</f>
        <v>0</v>
      </c>
      <c r="AB5" s="4">
        <f>IF(OR(INDEX($AH$2:$AH$1001,MATCH(ROWS($AG$2:AG5),$AG$2:$AG$1001,0),1)&gt;=100000,INDEX($AN$1005:$BO$1005,1,MATCH(COLUMNS($AN$1006:BN1006),$AN$1006:$BO$1006,0))&gt;=100000), " ",IF(INDEX($AN$2:$BO$1001,MATCH(ROWS($AG$2:AG5),$AG$2:$AG$1001,0),MATCH(COLUMNS($AN$1006:BN1006),$AN$1006:$BO$1006,0)), HYPERLINK("#",""), HYPERLINK(CONCATENATE("#Metadata!", ADDRESS(INDEX($AI$2:$AI$1001,MATCH(ROWS($AG$2:AG5),$AG$2:$AG$1001,0),0), INDEX($AN$1004:$BO$1004,1,MATCH(COLUMNS($AN$1006:BN1006),$AN$1006:$BO$1006,0)))),"Fix")))</f>
        <v>0</v>
      </c>
      <c r="AC5" s="4">
        <f>IF(OR(INDEX($AH$2:$AH$1001,MATCH(ROWS($AG$2:AG5),$AG$2:$AG$1001,0),1)&gt;=100000,INDEX($AN$1005:$BO$1005,1,MATCH(COLUMNS($AN$1006:BO1006),$AN$1006:$BO$1006,0))&gt;=100000), " ",IF(INDEX($AN$2:$BO$1001,MATCH(ROWS($AG$2:AG5),$AG$2:$AG$1001,0),MATCH(COLUMNS($AN$1006:BO1006),$AN$1006:$BO$1006,0)), HYPERLINK("#",""), HYPERLINK(CONCATENATE("#Metadata!", ADDRESS(INDEX($AI$2:$AI$1001,MATCH(ROWS($AG$2:AG5),$AG$2:$AG$1001,0),0), INDEX($AN$1004:$BO$1004,1,MATCH(COLUMNS($AN$1006:BO1006),$AN$1006:$BO$1006,0)))),"Fix")))</f>
        <v>0</v>
      </c>
      <c r="AG5">
        <v>0</v>
      </c>
      <c r="AH5">
        <v>0</v>
      </c>
      <c r="AI5">
        <v>0</v>
      </c>
      <c r="AJ5">
        <f>IF(AK5,TRUE,AND(AN5:BO5))</f>
        <v>0</v>
      </c>
      <c r="AK5">
        <f>COUNTBLANK(Metadata!B5:AC5)=COLUMNS(Metadata!B5:AC5)</f>
        <v>0</v>
      </c>
      <c r="AL5">
        <v>0</v>
      </c>
      <c r="AN5">
        <f>AND(IF(Metadata!B5="",FALSE,TRUE),COUNTIF(Metadata!B:B, Metadata!B5) = 1,NOT(ISERROR(SUMPRODUCT(SEARCH(MID(Metadata!B5,ROW(INDIRECT("1:"&amp;LEN(Metadata!B5))), 1),"0123456789abcdefghijklmnopqrstuvwxyzABCDEFGHIJKLMNOPQRSTUVWXYZ.")))))</f>
        <v>0</v>
      </c>
      <c r="AO5">
        <f>IF(Metadata!C5="",FALSE,TRUE)</f>
        <v>0</v>
      </c>
      <c r="AP5">
        <f>IF(Metadata!D5="",FALSE,TRUE)</f>
        <v>0</v>
      </c>
      <c r="AQ5">
        <f>OR(AND(IF(Metadata!E5="",FALSE,TRUE),OR(exact(Metadata!E5,"not collected"),exact(Metadata!E5,"not provided"),exact(Metadata!E5,"restricted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R5">
        <f>IF(Metadata!F5="",FALSE,TRUE)</f>
        <v>0</v>
      </c>
      <c r="AS5">
        <f>OR(AND(IF(Metadata!G5="",FALSE,TRUE),OR(exact(Metadata!G5,"not collected"),exact(Metadata!G5,"not provided"))),AND(IF(Metadata!G5="",FALSE,TRUE),OR(exact(Metadata!G5,"TRUE"),exact(Metadata!G5,"FALSE"))))</f>
        <v>0</v>
      </c>
      <c r="AT5">
        <f>OR(AND(IF(Metadata!H5="",FALSE,TRUE),OR(exact(Metadata!H5,"not collected"),exact(Metadata!H5,"not provided"),exact(Metadata!H5,"restricted access"))),AND(IF(Metadata!H5="",FALSE,ISNUMBER(VALUE(Metadata!H5))),Metadata!H5&gt;=-413.0))</f>
        <v>0</v>
      </c>
      <c r="AU5">
        <f>AND(IF(Metadata!I5="",FALSE,TRUE),exact(Metadata!I5,"meters"))</f>
        <v>0</v>
      </c>
      <c r="AV5">
        <f>AND(IF(Metadata!J5="",FALSE,TRUE),OR(exact(Metadata!J5,"Host-associated"),exact(Metadata!J5,"Free-living")))</f>
        <v>0</v>
      </c>
      <c r="AW5">
        <f>AND(IF(Metadata!K5="",FALSE,TRUE),OR(exact(Metadata!K5,"Animal"),exact(Metadata!K5,"Fungus"),exact(Metadata!K5,"Plant"),exact(Metadata!K5,"Saline"),exact(Metadata!K5,"Non-saline")))</f>
        <v>0</v>
      </c>
      <c r="AX5">
        <f>AND(IF(Metadata!L5="",FALSE,TRUE),OR(exact(Metadata!L5,"Plant secretion"),exact(Metadata!L5,"Plant rhizosphere"),exact(Metadata!L5,"Plant surface"),exact(Metadata!L5,"Plant corpus"),exact(Metadata!L5,"Fungus surface"),exact(Metadata!L5,"Fungus corpus"),exact(Metadata!L5,"Animal surface"),exact(Metadata!L5,"Animal proximal gut"),exact(Metadata!L5,"Animal corpus"),exact(Metadata!L5,"Animal distal gut"),exact(Metadata!L5,"Animal secretion"),exact(Metadata!L5,"Sub-surface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0</v>
      </c>
      <c r="AY5">
        <f>IF(Metadata!M5="",FALSE,TRUE)</f>
        <v>0</v>
      </c>
      <c r="AZ5">
        <f>IF(Metadata!N5="",FALSE,TRUE)</f>
        <v>0</v>
      </c>
      <c r="BA5">
        <f>IF(Metadata!O5="",FALSE,TRUE)</f>
        <v>0</v>
      </c>
      <c r="BB5">
        <f>OR(AND(IF(Metadata!P5="",FALSE,TRUE),OR(exact(Metadata!P5,"not collected"),exact(Metadata!P5,"not provided"),exact(Metadata!P5,"restricted access"))),AND(IF(Metadata!P5="",FALSE,TRUE),OR(exact(Metadata!P5,"air"),exact(Metadata!P5,"built environment"),exact(Metadata!P5,"host-associated"),exact(Metadata!P5,"human-associated"),exact(Metadata!P5,"human-skin"),exact(Metadata!P5,"human-oral"),exact(Metadata!P5,"human-gut"),exact(Metadata!P5,"human-vaginal"),exact(Metadata!P5,"microbial mat/biofilm"),exact(Metadata!P5,"misc environment"),exact(Metadata!P5,"plant-associated"),exact(Metadata!P5,"sediment"),exact(Metadata!P5,"soil"),exact(Metadata!P5,"wastewater/sludge"),exact(Metadata!P5,"water"))))</f>
        <v>0</v>
      </c>
      <c r="BC5">
        <f>IF(Metadata!Q5="",FALSE,TRUE)</f>
        <v>0</v>
      </c>
      <c r="BD5">
        <f>IF(Metadata!R5="",FALSE,TRUE)</f>
        <v>0</v>
      </c>
      <c r="BE5">
        <f>OR(AND(IF(Metadata!S5="",FALSE,TRUE),OR(exact(Metadata!S5,"not collected"),exact(Metadata!S5,"not provided"),exact(Metadata!S5,"restricted access"))),AND(IF(Metadata!S5="",FALSE,ISNUMBER(VALUE(Metadata!S5))),Metadata!S5&gt;=-90.00,Metadata!S5&lt;=90.00))</f>
        <v>0</v>
      </c>
      <c r="BF5">
        <f>AND(IF(Metadata!T5="",FALSE,TRUE),exact(Metadata!T5,"Decimal degrees"))</f>
        <v>0</v>
      </c>
      <c r="BG5">
        <f>OR(AND(IF(Metadata!U5="",FALSE,TRUE),OR(exact(Metadata!U5,"not collected"),exact(Metadata!U5,"not provided"),exact(Metadata!U5,"restricted access"))),AND(IF(Metadata!U5="",FALSE,ISNUMBER(VALUE(Metadata!U5))),Metadata!U5&gt;=-180.00,Metadata!U5&lt;=180.00))</f>
        <v>0</v>
      </c>
      <c r="BH5">
        <f>AND(IF(Metadata!V5="",FALSE,TRUE),exact(Metadata!V5,"Decimal degrees"))</f>
        <v>0</v>
      </c>
      <c r="BI5">
        <f>IF(Metadata!W5="",FALSE,TRUE)</f>
        <v>0</v>
      </c>
      <c r="BJ5">
        <f>OR(AND(IF(Metadata!X5="",FALSE,TRUE),OR(exact(Metadata!X5,"not collected"),exact(Metadata!X5,"not provided"),exact(Metadata!X5,"restricted access"))),AND(IF(Metadata!X5="",FALSE,TRUE),OR(exact(Metadata!X5,"TRUE"),exact(Metadata!X5,"FALSE"))))</f>
        <v>0</v>
      </c>
      <c r="BK5">
        <f>AND(IF(Metadata!Y5="",FALSE,TRUE),exact(Metadata!Y5,"other"))</f>
        <v>0</v>
      </c>
      <c r="BL5">
        <f>IF(Metadata!Z5="",FALSE,TRUE)</f>
        <v>0</v>
      </c>
      <c r="BM5">
        <f>OR(AND(IF(Metadata!AA5="",FALSE,TRUE),OR(exact(Metadata!AA5,"not collected"),exact(Metadata!AA5,"not provided"))),AND(IF(Metadata!AA5="",FALSE,IF(ISERROR(INT(Metadata!AA5)),FALSE,INT(Metadata!AA5)=Metadata!AA5)),Metadata!AA5&gt;0))</f>
        <v>0</v>
      </c>
      <c r="BN5">
        <f>AND(IF(Metadata!AB5="",FALSE,TRUE),exact(Metadata!AB5,"Not applicable"))</f>
        <v>0</v>
      </c>
      <c r="BO5">
        <f>IF(Metadata!AC5="",FALSE,TRUE)</f>
        <v>0</v>
      </c>
    </row>
    <row r="6" spans="1:67">
      <c r="A6" s="5">
        <f>IF(B6=" "," ",HYPERLINK(CONCATENATE("#metadata!",ADDRESS(INDEX($AI$2:$AI$1001,MATCH(ROWS($AG$2:AG6),$AG$2:$AG$1001,0),0),1)),INDEX($AL$2:$AL$1001,MATCH(ROWS($AG$2:AG6),$AG$2:$AG$1001,0),0)))</f>
        <v>0</v>
      </c>
      <c r="B6" s="4">
        <f>IF(OR(INDEX($AH$2:$AH$1001,MATCH(ROWS($AG$2:AG6),$AG$2:$AG$1001,0),1)&gt;=100000,INDEX($AN$1005:$BO$1005,1,MATCH(COLUMNS($AN$1006:AN1006),$AN$1006:$BO$1006,0))&gt;=100000), " ",IF(INDEX($AN$2:$BO$1001,MATCH(ROWS($AG$2:AG6),$AG$2:$AG$1001,0),MATCH(COLUMNS($AN$1006:AN1006),$AN$1006:$BO$1006,0)), HYPERLINK("#",""), HYPERLINK(CONCATENATE("#Metadata!", ADDRESS(INDEX($AI$2:$AI$1001,MATCH(ROWS($AG$2:AG6),$AG$2:$AG$1001,0),0), INDEX($AN$1004:$BO$1004,1,MATCH(COLUMNS($AN$1006:AN1006),$AN$1006:$BO$1006,0)))),"Fix")))</f>
        <v>0</v>
      </c>
      <c r="C6" s="4">
        <f>IF(OR(INDEX($AH$2:$AH$1001,MATCH(ROWS($AG$2:AG6),$AG$2:$AG$1001,0),1)&gt;=100000,INDEX($AN$1005:$BO$1005,1,MATCH(COLUMNS($AN$1006:AO1006),$AN$1006:$BO$1006,0))&gt;=100000), " ",IF(INDEX($AN$2:$BO$1001,MATCH(ROWS($AG$2:AG6),$AG$2:$AG$1001,0),MATCH(COLUMNS($AN$1006:AO1006),$AN$1006:$BO$1006,0)), HYPERLINK("#",""), HYPERLINK(CONCATENATE("#Metadata!", ADDRESS(INDEX($AI$2:$AI$1001,MATCH(ROWS($AG$2:AG6),$AG$2:$AG$1001,0),0), INDEX($AN$1004:$BO$1004,1,MATCH(COLUMNS($AN$1006:AO1006),$AN$1006:$BO$1006,0)))),"Fix")))</f>
        <v>0</v>
      </c>
      <c r="D6" s="4">
        <f>IF(OR(INDEX($AH$2:$AH$1001,MATCH(ROWS($AG$2:AG6),$AG$2:$AG$1001,0),1)&gt;=100000,INDEX($AN$1005:$BO$1005,1,MATCH(COLUMNS($AN$1006:AP1006),$AN$1006:$BO$1006,0))&gt;=100000), " ",IF(INDEX($AN$2:$BO$1001,MATCH(ROWS($AG$2:AG6),$AG$2:$AG$1001,0),MATCH(COLUMNS($AN$1006:AP1006),$AN$1006:$BO$1006,0)), HYPERLINK("#",""), HYPERLINK(CONCATENATE("#Metadata!", ADDRESS(INDEX($AI$2:$AI$1001,MATCH(ROWS($AG$2:AG6),$AG$2:$AG$1001,0),0), INDEX($AN$1004:$BO$1004,1,MATCH(COLUMNS($AN$1006:AP1006),$AN$1006:$BO$1006,0)))),"Fix")))</f>
        <v>0</v>
      </c>
      <c r="E6" s="4">
        <f>IF(OR(INDEX($AH$2:$AH$1001,MATCH(ROWS($AG$2:AG6),$AG$2:$AG$1001,0),1)&gt;=100000,INDEX($AN$1005:$BO$1005,1,MATCH(COLUMNS($AN$1006:AQ1006),$AN$1006:$BO$1006,0))&gt;=100000), " ",IF(INDEX($AN$2:$BO$1001,MATCH(ROWS($AG$2:AG6),$AG$2:$AG$1001,0),MATCH(COLUMNS($AN$1006:AQ1006),$AN$1006:$BO$1006,0)), HYPERLINK("#",""), HYPERLINK(CONCATENATE("#Metadata!", ADDRESS(INDEX($AI$2:$AI$1001,MATCH(ROWS($AG$2:AG6),$AG$2:$AG$1001,0),0), INDEX($AN$1004:$BO$1004,1,MATCH(COLUMNS($AN$1006:AQ1006),$AN$1006:$BO$1006,0)))),"Fix")))</f>
        <v>0</v>
      </c>
      <c r="F6" s="4">
        <f>IF(OR(INDEX($AH$2:$AH$1001,MATCH(ROWS($AG$2:AG6),$AG$2:$AG$1001,0),1)&gt;=100000,INDEX($AN$1005:$BO$1005,1,MATCH(COLUMNS($AN$1006:AR1006),$AN$1006:$BO$1006,0))&gt;=100000), " ",IF(INDEX($AN$2:$BO$1001,MATCH(ROWS($AG$2:AG6),$AG$2:$AG$1001,0),MATCH(COLUMNS($AN$1006:AR1006),$AN$1006:$BO$1006,0)), HYPERLINK("#",""), HYPERLINK(CONCATENATE("#Metadata!", ADDRESS(INDEX($AI$2:$AI$1001,MATCH(ROWS($AG$2:AG6),$AG$2:$AG$1001,0),0), INDEX($AN$1004:$BO$1004,1,MATCH(COLUMNS($AN$1006:AR1006),$AN$1006:$BO$1006,0)))),"Fix")))</f>
        <v>0</v>
      </c>
      <c r="G6" s="4">
        <f>IF(OR(INDEX($AH$2:$AH$1001,MATCH(ROWS($AG$2:AG6),$AG$2:$AG$1001,0),1)&gt;=100000,INDEX($AN$1005:$BO$1005,1,MATCH(COLUMNS($AN$1006:AS1006),$AN$1006:$BO$1006,0))&gt;=100000), " ",IF(INDEX($AN$2:$BO$1001,MATCH(ROWS($AG$2:AG6),$AG$2:$AG$1001,0),MATCH(COLUMNS($AN$1006:AS1006),$AN$1006:$BO$1006,0)), HYPERLINK("#",""), HYPERLINK(CONCATENATE("#Metadata!", ADDRESS(INDEX($AI$2:$AI$1001,MATCH(ROWS($AG$2:AG6),$AG$2:$AG$1001,0),0), INDEX($AN$1004:$BO$1004,1,MATCH(COLUMNS($AN$1006:AS1006),$AN$1006:$BO$1006,0)))),"Fix")))</f>
        <v>0</v>
      </c>
      <c r="H6" s="4">
        <f>IF(OR(INDEX($AH$2:$AH$1001,MATCH(ROWS($AG$2:AG6),$AG$2:$AG$1001,0),1)&gt;=100000,INDEX($AN$1005:$BO$1005,1,MATCH(COLUMNS($AN$1006:AT1006),$AN$1006:$BO$1006,0))&gt;=100000), " ",IF(INDEX($AN$2:$BO$1001,MATCH(ROWS($AG$2:AG6),$AG$2:$AG$1001,0),MATCH(COLUMNS($AN$1006:AT1006),$AN$1006:$BO$1006,0)), HYPERLINK("#",""), HYPERLINK(CONCATENATE("#Metadata!", ADDRESS(INDEX($AI$2:$AI$1001,MATCH(ROWS($AG$2:AG6),$AG$2:$AG$1001,0),0), INDEX($AN$1004:$BO$1004,1,MATCH(COLUMNS($AN$1006:AT1006),$AN$1006:$BO$1006,0)))),"Fix")))</f>
        <v>0</v>
      </c>
      <c r="I6" s="4">
        <f>IF(OR(INDEX($AH$2:$AH$1001,MATCH(ROWS($AG$2:AG6),$AG$2:$AG$1001,0),1)&gt;=100000,INDEX($AN$1005:$BO$1005,1,MATCH(COLUMNS($AN$1006:AU1006),$AN$1006:$BO$1006,0))&gt;=100000), " ",IF(INDEX($AN$2:$BO$1001,MATCH(ROWS($AG$2:AG6),$AG$2:$AG$1001,0),MATCH(COLUMNS($AN$1006:AU1006),$AN$1006:$BO$1006,0)), HYPERLINK("#",""), HYPERLINK(CONCATENATE("#Metadata!", ADDRESS(INDEX($AI$2:$AI$1001,MATCH(ROWS($AG$2:AG6),$AG$2:$AG$1001,0),0), INDEX($AN$1004:$BO$1004,1,MATCH(COLUMNS($AN$1006:AU1006),$AN$1006:$BO$1006,0)))),"Fix")))</f>
        <v>0</v>
      </c>
      <c r="J6" s="4">
        <f>IF(OR(INDEX($AH$2:$AH$1001,MATCH(ROWS($AG$2:AG6),$AG$2:$AG$1001,0),1)&gt;=100000,INDEX($AN$1005:$BO$1005,1,MATCH(COLUMNS($AN$1006:AV1006),$AN$1006:$BO$1006,0))&gt;=100000), " ",IF(INDEX($AN$2:$BO$1001,MATCH(ROWS($AG$2:AG6),$AG$2:$AG$1001,0),MATCH(COLUMNS($AN$1006:AV1006),$AN$1006:$BO$1006,0)), HYPERLINK("#",""), HYPERLINK(CONCATENATE("#Metadata!", ADDRESS(INDEX($AI$2:$AI$1001,MATCH(ROWS($AG$2:AG6),$AG$2:$AG$1001,0),0), INDEX($AN$1004:$BO$1004,1,MATCH(COLUMNS($AN$1006:AV1006),$AN$1006:$BO$1006,0)))),"Fix")))</f>
        <v>0</v>
      </c>
      <c r="K6" s="4">
        <f>IF(OR(INDEX($AH$2:$AH$1001,MATCH(ROWS($AG$2:AG6),$AG$2:$AG$1001,0),1)&gt;=100000,INDEX($AN$1005:$BO$1005,1,MATCH(COLUMNS($AN$1006:AW1006),$AN$1006:$BO$1006,0))&gt;=100000), " ",IF(INDEX($AN$2:$BO$1001,MATCH(ROWS($AG$2:AG6),$AG$2:$AG$1001,0),MATCH(COLUMNS($AN$1006:AW1006),$AN$1006:$BO$1006,0)), HYPERLINK("#",""), HYPERLINK(CONCATENATE("#Metadata!", ADDRESS(INDEX($AI$2:$AI$1001,MATCH(ROWS($AG$2:AG6),$AG$2:$AG$1001,0),0), INDEX($AN$1004:$BO$1004,1,MATCH(COLUMNS($AN$1006:AW1006),$AN$1006:$BO$1006,0)))),"Fix")))</f>
        <v>0</v>
      </c>
      <c r="L6" s="4">
        <f>IF(OR(INDEX($AH$2:$AH$1001,MATCH(ROWS($AG$2:AG6),$AG$2:$AG$1001,0),1)&gt;=100000,INDEX($AN$1005:$BO$1005,1,MATCH(COLUMNS($AN$1006:AX1006),$AN$1006:$BO$1006,0))&gt;=100000), " ",IF(INDEX($AN$2:$BO$1001,MATCH(ROWS($AG$2:AG6),$AG$2:$AG$1001,0),MATCH(COLUMNS($AN$1006:AX1006),$AN$1006:$BO$1006,0)), HYPERLINK("#",""), HYPERLINK(CONCATENATE("#Metadata!", ADDRESS(INDEX($AI$2:$AI$1001,MATCH(ROWS($AG$2:AG6),$AG$2:$AG$1001,0),0), INDEX($AN$1004:$BO$1004,1,MATCH(COLUMNS($AN$1006:AX1006),$AN$1006:$BO$1006,0)))),"Fix")))</f>
        <v>0</v>
      </c>
      <c r="M6" s="4">
        <f>IF(OR(INDEX($AH$2:$AH$1001,MATCH(ROWS($AG$2:AG6),$AG$2:$AG$1001,0),1)&gt;=100000,INDEX($AN$1005:$BO$1005,1,MATCH(COLUMNS($AN$1006:AY1006),$AN$1006:$BO$1006,0))&gt;=100000), " ",IF(INDEX($AN$2:$BO$1001,MATCH(ROWS($AG$2:AG6),$AG$2:$AG$1001,0),MATCH(COLUMNS($AN$1006:AY1006),$AN$1006:$BO$1006,0)), HYPERLINK("#",""), HYPERLINK(CONCATENATE("#Metadata!", ADDRESS(INDEX($AI$2:$AI$1001,MATCH(ROWS($AG$2:AG6),$AG$2:$AG$1001,0),0), INDEX($AN$1004:$BO$1004,1,MATCH(COLUMNS($AN$1006:AY1006),$AN$1006:$BO$1006,0)))),"Fix")))</f>
        <v>0</v>
      </c>
      <c r="N6" s="4">
        <f>IF(OR(INDEX($AH$2:$AH$1001,MATCH(ROWS($AG$2:AG6),$AG$2:$AG$1001,0),1)&gt;=100000,INDEX($AN$1005:$BO$1005,1,MATCH(COLUMNS($AN$1006:AZ1006),$AN$1006:$BO$1006,0))&gt;=100000), " ",IF(INDEX($AN$2:$BO$1001,MATCH(ROWS($AG$2:AG6),$AG$2:$AG$1001,0),MATCH(COLUMNS($AN$1006:AZ1006),$AN$1006:$BO$1006,0)), HYPERLINK("#",""), HYPERLINK(CONCATENATE("#Metadata!", ADDRESS(INDEX($AI$2:$AI$1001,MATCH(ROWS($AG$2:AG6),$AG$2:$AG$1001,0),0), INDEX($AN$1004:$BO$1004,1,MATCH(COLUMNS($AN$1006:AZ1006),$AN$1006:$BO$1006,0)))),"Fix")))</f>
        <v>0</v>
      </c>
      <c r="O6" s="4">
        <f>IF(OR(INDEX($AH$2:$AH$1001,MATCH(ROWS($AG$2:AG6),$AG$2:$AG$1001,0),1)&gt;=100000,INDEX($AN$1005:$BO$1005,1,MATCH(COLUMNS($AN$1006:BA1006),$AN$1006:$BO$1006,0))&gt;=100000), " ",IF(INDEX($AN$2:$BO$1001,MATCH(ROWS($AG$2:AG6),$AG$2:$AG$1001,0),MATCH(COLUMNS($AN$1006:BA1006),$AN$1006:$BO$1006,0)), HYPERLINK("#",""), HYPERLINK(CONCATENATE("#Metadata!", ADDRESS(INDEX($AI$2:$AI$1001,MATCH(ROWS($AG$2:AG6),$AG$2:$AG$1001,0),0), INDEX($AN$1004:$BO$1004,1,MATCH(COLUMNS($AN$1006:BA1006),$AN$1006:$BO$1006,0)))),"Fix")))</f>
        <v>0</v>
      </c>
      <c r="P6" s="4">
        <f>IF(OR(INDEX($AH$2:$AH$1001,MATCH(ROWS($AG$2:AG6),$AG$2:$AG$1001,0),1)&gt;=100000,INDEX($AN$1005:$BO$1005,1,MATCH(COLUMNS($AN$1006:BB1006),$AN$1006:$BO$1006,0))&gt;=100000), " ",IF(INDEX($AN$2:$BO$1001,MATCH(ROWS($AG$2:AG6),$AG$2:$AG$1001,0),MATCH(COLUMNS($AN$1006:BB1006),$AN$1006:$BO$1006,0)), HYPERLINK("#",""), HYPERLINK(CONCATENATE("#Metadata!", ADDRESS(INDEX($AI$2:$AI$1001,MATCH(ROWS($AG$2:AG6),$AG$2:$AG$1001,0),0), INDEX($AN$1004:$BO$1004,1,MATCH(COLUMNS($AN$1006:BB1006),$AN$1006:$BO$1006,0)))),"Fix")))</f>
        <v>0</v>
      </c>
      <c r="Q6" s="4">
        <f>IF(OR(INDEX($AH$2:$AH$1001,MATCH(ROWS($AG$2:AG6),$AG$2:$AG$1001,0),1)&gt;=100000,INDEX($AN$1005:$BO$1005,1,MATCH(COLUMNS($AN$1006:BC1006),$AN$1006:$BO$1006,0))&gt;=100000), " ",IF(INDEX($AN$2:$BO$1001,MATCH(ROWS($AG$2:AG6),$AG$2:$AG$1001,0),MATCH(COLUMNS($AN$1006:BC1006),$AN$1006:$BO$1006,0)), HYPERLINK("#",""), HYPERLINK(CONCATENATE("#Metadata!", ADDRESS(INDEX($AI$2:$AI$1001,MATCH(ROWS($AG$2:AG6),$AG$2:$AG$1001,0),0), INDEX($AN$1004:$BO$1004,1,MATCH(COLUMNS($AN$1006:BC1006),$AN$1006:$BO$1006,0)))),"Fix")))</f>
        <v>0</v>
      </c>
      <c r="R6" s="4">
        <f>IF(OR(INDEX($AH$2:$AH$1001,MATCH(ROWS($AG$2:AG6),$AG$2:$AG$1001,0),1)&gt;=100000,INDEX($AN$1005:$BO$1005,1,MATCH(COLUMNS($AN$1006:BD1006),$AN$1006:$BO$1006,0))&gt;=100000), " ",IF(INDEX($AN$2:$BO$1001,MATCH(ROWS($AG$2:AG6),$AG$2:$AG$1001,0),MATCH(COLUMNS($AN$1006:BD1006),$AN$1006:$BO$1006,0)), HYPERLINK("#",""), HYPERLINK(CONCATENATE("#Metadata!", ADDRESS(INDEX($AI$2:$AI$1001,MATCH(ROWS($AG$2:AG6),$AG$2:$AG$1001,0),0), INDEX($AN$1004:$BO$1004,1,MATCH(COLUMNS($AN$1006:BD1006),$AN$1006:$BO$1006,0)))),"Fix")))</f>
        <v>0</v>
      </c>
      <c r="S6" s="4">
        <f>IF(OR(INDEX($AH$2:$AH$1001,MATCH(ROWS($AG$2:AG6),$AG$2:$AG$1001,0),1)&gt;=100000,INDEX($AN$1005:$BO$1005,1,MATCH(COLUMNS($AN$1006:BE1006),$AN$1006:$BO$1006,0))&gt;=100000), " ",IF(INDEX($AN$2:$BO$1001,MATCH(ROWS($AG$2:AG6),$AG$2:$AG$1001,0),MATCH(COLUMNS($AN$1006:BE1006),$AN$1006:$BO$1006,0)), HYPERLINK("#",""), HYPERLINK(CONCATENATE("#Metadata!", ADDRESS(INDEX($AI$2:$AI$1001,MATCH(ROWS($AG$2:AG6),$AG$2:$AG$1001,0),0), INDEX($AN$1004:$BO$1004,1,MATCH(COLUMNS($AN$1006:BE1006),$AN$1006:$BO$1006,0)))),"Fix")))</f>
        <v>0</v>
      </c>
      <c r="T6" s="4">
        <f>IF(OR(INDEX($AH$2:$AH$1001,MATCH(ROWS($AG$2:AG6),$AG$2:$AG$1001,0),1)&gt;=100000,INDEX($AN$1005:$BO$1005,1,MATCH(COLUMNS($AN$1006:BF1006),$AN$1006:$BO$1006,0))&gt;=100000), " ",IF(INDEX($AN$2:$BO$1001,MATCH(ROWS($AG$2:AG6),$AG$2:$AG$1001,0),MATCH(COLUMNS($AN$1006:BF1006),$AN$1006:$BO$1006,0)), HYPERLINK("#",""), HYPERLINK(CONCATENATE("#Metadata!", ADDRESS(INDEX($AI$2:$AI$1001,MATCH(ROWS($AG$2:AG6),$AG$2:$AG$1001,0),0), INDEX($AN$1004:$BO$1004,1,MATCH(COLUMNS($AN$1006:BF1006),$AN$1006:$BO$1006,0)))),"Fix")))</f>
        <v>0</v>
      </c>
      <c r="U6" s="4">
        <f>IF(OR(INDEX($AH$2:$AH$1001,MATCH(ROWS($AG$2:AG6),$AG$2:$AG$1001,0),1)&gt;=100000,INDEX($AN$1005:$BO$1005,1,MATCH(COLUMNS($AN$1006:BG1006),$AN$1006:$BO$1006,0))&gt;=100000), " ",IF(INDEX($AN$2:$BO$1001,MATCH(ROWS($AG$2:AG6),$AG$2:$AG$1001,0),MATCH(COLUMNS($AN$1006:BG1006),$AN$1006:$BO$1006,0)), HYPERLINK("#",""), HYPERLINK(CONCATENATE("#Metadata!", ADDRESS(INDEX($AI$2:$AI$1001,MATCH(ROWS($AG$2:AG6),$AG$2:$AG$1001,0),0), INDEX($AN$1004:$BO$1004,1,MATCH(COLUMNS($AN$1006:BG1006),$AN$1006:$BO$1006,0)))),"Fix")))</f>
        <v>0</v>
      </c>
      <c r="V6" s="4">
        <f>IF(OR(INDEX($AH$2:$AH$1001,MATCH(ROWS($AG$2:AG6),$AG$2:$AG$1001,0),1)&gt;=100000,INDEX($AN$1005:$BO$1005,1,MATCH(COLUMNS($AN$1006:BH1006),$AN$1006:$BO$1006,0))&gt;=100000), " ",IF(INDEX($AN$2:$BO$1001,MATCH(ROWS($AG$2:AG6),$AG$2:$AG$1001,0),MATCH(COLUMNS($AN$1006:BH1006),$AN$1006:$BO$1006,0)), HYPERLINK("#",""), HYPERLINK(CONCATENATE("#Metadata!", ADDRESS(INDEX($AI$2:$AI$1001,MATCH(ROWS($AG$2:AG6),$AG$2:$AG$1001,0),0), INDEX($AN$1004:$BO$1004,1,MATCH(COLUMNS($AN$1006:BH1006),$AN$1006:$BO$1006,0)))),"Fix")))</f>
        <v>0</v>
      </c>
      <c r="W6" s="4">
        <f>IF(OR(INDEX($AH$2:$AH$1001,MATCH(ROWS($AG$2:AG6),$AG$2:$AG$1001,0),1)&gt;=100000,INDEX($AN$1005:$BO$1005,1,MATCH(COLUMNS($AN$1006:BI1006),$AN$1006:$BO$1006,0))&gt;=100000), " ",IF(INDEX($AN$2:$BO$1001,MATCH(ROWS($AG$2:AG6),$AG$2:$AG$1001,0),MATCH(COLUMNS($AN$1006:BI1006),$AN$1006:$BO$1006,0)), HYPERLINK("#",""), HYPERLINK(CONCATENATE("#Metadata!", ADDRESS(INDEX($AI$2:$AI$1001,MATCH(ROWS($AG$2:AG6),$AG$2:$AG$1001,0),0), INDEX($AN$1004:$BO$1004,1,MATCH(COLUMNS($AN$1006:BI1006),$AN$1006:$BO$1006,0)))),"Fix")))</f>
        <v>0</v>
      </c>
      <c r="X6" s="4">
        <f>IF(OR(INDEX($AH$2:$AH$1001,MATCH(ROWS($AG$2:AG6),$AG$2:$AG$1001,0),1)&gt;=100000,INDEX($AN$1005:$BO$1005,1,MATCH(COLUMNS($AN$1006:BJ1006),$AN$1006:$BO$1006,0))&gt;=100000), " ",IF(INDEX($AN$2:$BO$1001,MATCH(ROWS($AG$2:AG6),$AG$2:$AG$1001,0),MATCH(COLUMNS($AN$1006:BJ1006),$AN$1006:$BO$1006,0)), HYPERLINK("#",""), HYPERLINK(CONCATENATE("#Metadata!", ADDRESS(INDEX($AI$2:$AI$1001,MATCH(ROWS($AG$2:AG6),$AG$2:$AG$1001,0),0), INDEX($AN$1004:$BO$1004,1,MATCH(COLUMNS($AN$1006:BJ1006),$AN$1006:$BO$1006,0)))),"Fix")))</f>
        <v>0</v>
      </c>
      <c r="Y6" s="4">
        <f>IF(OR(INDEX($AH$2:$AH$1001,MATCH(ROWS($AG$2:AG6),$AG$2:$AG$1001,0),1)&gt;=100000,INDEX($AN$1005:$BO$1005,1,MATCH(COLUMNS($AN$1006:BK1006),$AN$1006:$BO$1006,0))&gt;=100000), " ",IF(INDEX($AN$2:$BO$1001,MATCH(ROWS($AG$2:AG6),$AG$2:$AG$1001,0),MATCH(COLUMNS($AN$1006:BK1006),$AN$1006:$BO$1006,0)), HYPERLINK("#",""), HYPERLINK(CONCATENATE("#Metadata!", ADDRESS(INDEX($AI$2:$AI$1001,MATCH(ROWS($AG$2:AG6),$AG$2:$AG$1001,0),0), INDEX($AN$1004:$BO$1004,1,MATCH(COLUMNS($AN$1006:BK1006),$AN$1006:$BO$1006,0)))),"Fix")))</f>
        <v>0</v>
      </c>
      <c r="Z6" s="4">
        <f>IF(OR(INDEX($AH$2:$AH$1001,MATCH(ROWS($AG$2:AG6),$AG$2:$AG$1001,0),1)&gt;=100000,INDEX($AN$1005:$BO$1005,1,MATCH(COLUMNS($AN$1006:BL1006),$AN$1006:$BO$1006,0))&gt;=100000), " ",IF(INDEX($AN$2:$BO$1001,MATCH(ROWS($AG$2:AG6),$AG$2:$AG$1001,0),MATCH(COLUMNS($AN$1006:BL1006),$AN$1006:$BO$1006,0)), HYPERLINK("#",""), HYPERLINK(CONCATENATE("#Metadata!", ADDRESS(INDEX($AI$2:$AI$1001,MATCH(ROWS($AG$2:AG6),$AG$2:$AG$1001,0),0), INDEX($AN$1004:$BO$1004,1,MATCH(COLUMNS($AN$1006:BL1006),$AN$1006:$BO$1006,0)))),"Fix")))</f>
        <v>0</v>
      </c>
      <c r="AA6" s="4">
        <f>IF(OR(INDEX($AH$2:$AH$1001,MATCH(ROWS($AG$2:AG6),$AG$2:$AG$1001,0),1)&gt;=100000,INDEX($AN$1005:$BO$1005,1,MATCH(COLUMNS($AN$1006:BM1006),$AN$1006:$BO$1006,0))&gt;=100000), " ",IF(INDEX($AN$2:$BO$1001,MATCH(ROWS($AG$2:AG6),$AG$2:$AG$1001,0),MATCH(COLUMNS($AN$1006:BM1006),$AN$1006:$BO$1006,0)), HYPERLINK("#",""), HYPERLINK(CONCATENATE("#Metadata!", ADDRESS(INDEX($AI$2:$AI$1001,MATCH(ROWS($AG$2:AG6),$AG$2:$AG$1001,0),0), INDEX($AN$1004:$BO$1004,1,MATCH(COLUMNS($AN$1006:BM1006),$AN$1006:$BO$1006,0)))),"Fix")))</f>
        <v>0</v>
      </c>
      <c r="AB6" s="4">
        <f>IF(OR(INDEX($AH$2:$AH$1001,MATCH(ROWS($AG$2:AG6),$AG$2:$AG$1001,0),1)&gt;=100000,INDEX($AN$1005:$BO$1005,1,MATCH(COLUMNS($AN$1006:BN1006),$AN$1006:$BO$1006,0))&gt;=100000), " ",IF(INDEX($AN$2:$BO$1001,MATCH(ROWS($AG$2:AG6),$AG$2:$AG$1001,0),MATCH(COLUMNS($AN$1006:BN1006),$AN$1006:$BO$1006,0)), HYPERLINK("#",""), HYPERLINK(CONCATENATE("#Metadata!", ADDRESS(INDEX($AI$2:$AI$1001,MATCH(ROWS($AG$2:AG6),$AG$2:$AG$1001,0),0), INDEX($AN$1004:$BO$1004,1,MATCH(COLUMNS($AN$1006:BN1006),$AN$1006:$BO$1006,0)))),"Fix")))</f>
        <v>0</v>
      </c>
      <c r="AC6" s="4">
        <f>IF(OR(INDEX($AH$2:$AH$1001,MATCH(ROWS($AG$2:AG6),$AG$2:$AG$1001,0),1)&gt;=100000,INDEX($AN$1005:$BO$1005,1,MATCH(COLUMNS($AN$1006:BO1006),$AN$1006:$BO$1006,0))&gt;=100000), " ",IF(INDEX($AN$2:$BO$1001,MATCH(ROWS($AG$2:AG6),$AG$2:$AG$1001,0),MATCH(COLUMNS($AN$1006:BO1006),$AN$1006:$BO$1006,0)), HYPERLINK("#",""), HYPERLINK(CONCATENATE("#Metadata!", ADDRESS(INDEX($AI$2:$AI$1001,MATCH(ROWS($AG$2:AG6),$AG$2:$AG$1001,0),0), INDEX($AN$1004:$BO$1004,1,MATCH(COLUMNS($AN$1006:BO1006),$AN$1006:$BO$1006,0)))),"Fix")))</f>
        <v>0</v>
      </c>
      <c r="AG6">
        <v>0</v>
      </c>
      <c r="AH6">
        <v>0</v>
      </c>
      <c r="AI6">
        <v>0</v>
      </c>
      <c r="AJ6">
        <f>IF(AK6,TRUE,AND(AN6:BO6))</f>
        <v>0</v>
      </c>
      <c r="AK6">
        <f>COUNTBLANK(Metadata!B6:AC6)=COLUMNS(Metadata!B6:AC6)</f>
        <v>0</v>
      </c>
      <c r="AL6">
        <v>0</v>
      </c>
      <c r="AN6">
        <f>AND(IF(Metadata!B6="",FALSE,TRUE),COUNTIF(Metadata!B:B, Metadata!B6) = 1,NOT(ISERROR(SUMPRODUCT(SEARCH(MID(Metadata!B6,ROW(INDIRECT("1:"&amp;LEN(Metadata!B6))), 1),"0123456789abcdefghijklmnopqrstuvwxyzABCDEFGHIJKLMNOPQRSTUVWXYZ.")))))</f>
        <v>0</v>
      </c>
      <c r="AO6">
        <f>IF(Metadata!C6="",FALSE,TRUE)</f>
        <v>0</v>
      </c>
      <c r="AP6">
        <f>IF(Metadata!D6="",FALSE,TRUE)</f>
        <v>0</v>
      </c>
      <c r="AQ6">
        <f>OR(AND(IF(Metadata!E6="",FALSE,TRUE),OR(exact(Metadata!E6,"not collected"),exact(Metadata!E6,"not provided"),exact(Metadata!E6,"restricted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R6">
        <f>IF(Metadata!F6="",FALSE,TRUE)</f>
        <v>0</v>
      </c>
      <c r="AS6">
        <f>OR(AND(IF(Metadata!G6="",FALSE,TRUE),OR(exact(Metadata!G6,"not collected"),exact(Metadata!G6,"not provided"))),AND(IF(Metadata!G6="",FALSE,TRUE),OR(exact(Metadata!G6,"TRUE"),exact(Metadata!G6,"FALSE"))))</f>
        <v>0</v>
      </c>
      <c r="AT6">
        <f>OR(AND(IF(Metadata!H6="",FALSE,TRUE),OR(exact(Metadata!H6,"not collected"),exact(Metadata!H6,"not provided"),exact(Metadata!H6,"restricted access"))),AND(IF(Metadata!H6="",FALSE,ISNUMBER(VALUE(Metadata!H6))),Metadata!H6&gt;=-413.0))</f>
        <v>0</v>
      </c>
      <c r="AU6">
        <f>AND(IF(Metadata!I6="",FALSE,TRUE),exact(Metadata!I6,"meters"))</f>
        <v>0</v>
      </c>
      <c r="AV6">
        <f>AND(IF(Metadata!J6="",FALSE,TRUE),OR(exact(Metadata!J6,"Host-associated"),exact(Metadata!J6,"Free-living")))</f>
        <v>0</v>
      </c>
      <c r="AW6">
        <f>AND(IF(Metadata!K6="",FALSE,TRUE),OR(exact(Metadata!K6,"Animal"),exact(Metadata!K6,"Fungus"),exact(Metadata!K6,"Plant"),exact(Metadata!K6,"Saline"),exact(Metadata!K6,"Non-saline")))</f>
        <v>0</v>
      </c>
      <c r="AX6">
        <f>AND(IF(Metadata!L6="",FALSE,TRUE),OR(exact(Metadata!L6,"Plant secretion"),exact(Metadata!L6,"Plant rhizosphere"),exact(Metadata!L6,"Plant surface"),exact(Metadata!L6,"Plant corpus"),exact(Metadata!L6,"Fungus surface"),exact(Metadata!L6,"Fungus corpus"),exact(Metadata!L6,"Animal surface"),exact(Metadata!L6,"Animal proximal gut"),exact(Metadata!L6,"Animal corpus"),exact(Metadata!L6,"Animal distal gut"),exact(Metadata!L6,"Animal secretion"),exact(Metadata!L6,"Sub-surface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0</v>
      </c>
      <c r="AY6">
        <f>IF(Metadata!M6="",FALSE,TRUE)</f>
        <v>0</v>
      </c>
      <c r="AZ6">
        <f>IF(Metadata!N6="",FALSE,TRUE)</f>
        <v>0</v>
      </c>
      <c r="BA6">
        <f>IF(Metadata!O6="",FALSE,TRUE)</f>
        <v>0</v>
      </c>
      <c r="BB6">
        <f>OR(AND(IF(Metadata!P6="",FALSE,TRUE),OR(exact(Metadata!P6,"not collected"),exact(Metadata!P6,"not provided"),exact(Metadata!P6,"restricted access"))),AND(IF(Metadata!P6="",FALSE,TRUE),OR(exact(Metadata!P6,"air"),exact(Metadata!P6,"built environment"),exact(Metadata!P6,"host-associated"),exact(Metadata!P6,"human-associated"),exact(Metadata!P6,"human-skin"),exact(Metadata!P6,"human-oral"),exact(Metadata!P6,"human-gut"),exact(Metadata!P6,"human-vaginal"),exact(Metadata!P6,"microbial mat/biofilm"),exact(Metadata!P6,"misc environment"),exact(Metadata!P6,"plant-associated"),exact(Metadata!P6,"sediment"),exact(Metadata!P6,"soil"),exact(Metadata!P6,"wastewater/sludge"),exact(Metadata!P6,"water"))))</f>
        <v>0</v>
      </c>
      <c r="BC6">
        <f>IF(Metadata!Q6="",FALSE,TRUE)</f>
        <v>0</v>
      </c>
      <c r="BD6">
        <f>IF(Metadata!R6="",FALSE,TRUE)</f>
        <v>0</v>
      </c>
      <c r="BE6">
        <f>OR(AND(IF(Metadata!S6="",FALSE,TRUE),OR(exact(Metadata!S6,"not collected"),exact(Metadata!S6,"not provided"),exact(Metadata!S6,"restricted access"))),AND(IF(Metadata!S6="",FALSE,ISNUMBER(VALUE(Metadata!S6))),Metadata!S6&gt;=-90.00,Metadata!S6&lt;=90.00))</f>
        <v>0</v>
      </c>
      <c r="BF6">
        <f>AND(IF(Metadata!T6="",FALSE,TRUE),exact(Metadata!T6,"Decimal degrees"))</f>
        <v>0</v>
      </c>
      <c r="BG6">
        <f>OR(AND(IF(Metadata!U6="",FALSE,TRUE),OR(exact(Metadata!U6,"not collected"),exact(Metadata!U6,"not provided"),exact(Metadata!U6,"restricted access"))),AND(IF(Metadata!U6="",FALSE,ISNUMBER(VALUE(Metadata!U6))),Metadata!U6&gt;=-180.00,Metadata!U6&lt;=180.00))</f>
        <v>0</v>
      </c>
      <c r="BH6">
        <f>AND(IF(Metadata!V6="",FALSE,TRUE),exact(Metadata!V6,"Decimal degrees"))</f>
        <v>0</v>
      </c>
      <c r="BI6">
        <f>IF(Metadata!W6="",FALSE,TRUE)</f>
        <v>0</v>
      </c>
      <c r="BJ6">
        <f>OR(AND(IF(Metadata!X6="",FALSE,TRUE),OR(exact(Metadata!X6,"not collected"),exact(Metadata!X6,"not provided"),exact(Metadata!X6,"restricted access"))),AND(IF(Metadata!X6="",FALSE,TRUE),OR(exact(Metadata!X6,"TRUE"),exact(Metadata!X6,"FALSE"))))</f>
        <v>0</v>
      </c>
      <c r="BK6">
        <f>AND(IF(Metadata!Y6="",FALSE,TRUE),exact(Metadata!Y6,"other"))</f>
        <v>0</v>
      </c>
      <c r="BL6">
        <f>IF(Metadata!Z6="",FALSE,TRUE)</f>
        <v>0</v>
      </c>
      <c r="BM6">
        <f>OR(AND(IF(Metadata!AA6="",FALSE,TRUE),OR(exact(Metadata!AA6,"not collected"),exact(Metadata!AA6,"not provided"))),AND(IF(Metadata!AA6="",FALSE,IF(ISERROR(INT(Metadata!AA6)),FALSE,INT(Metadata!AA6)=Metadata!AA6)),Metadata!AA6&gt;0))</f>
        <v>0</v>
      </c>
      <c r="BN6">
        <f>AND(IF(Metadata!AB6="",FALSE,TRUE),exact(Metadata!AB6,"Not applicable"))</f>
        <v>0</v>
      </c>
      <c r="BO6">
        <f>IF(Metadata!AC6="",FALSE,TRUE)</f>
        <v>0</v>
      </c>
    </row>
    <row r="7" spans="1:67">
      <c r="A7" s="5">
        <f>IF(B7=" "," ",HYPERLINK(CONCATENATE("#metadata!",ADDRESS(INDEX($AI$2:$AI$1001,MATCH(ROWS($AG$2:AG7),$AG$2:$AG$1001,0),0),1)),INDEX($AL$2:$AL$1001,MATCH(ROWS($AG$2:AG7),$AG$2:$AG$1001,0),0)))</f>
        <v>0</v>
      </c>
      <c r="B7" s="4">
        <f>IF(OR(INDEX($AH$2:$AH$1001,MATCH(ROWS($AG$2:AG7),$AG$2:$AG$1001,0),1)&gt;=100000,INDEX($AN$1005:$BO$1005,1,MATCH(COLUMNS($AN$1006:AN1006),$AN$1006:$BO$1006,0))&gt;=100000), " ",IF(INDEX($AN$2:$BO$1001,MATCH(ROWS($AG$2:AG7),$AG$2:$AG$1001,0),MATCH(COLUMNS($AN$1006:AN1006),$AN$1006:$BO$1006,0)), HYPERLINK("#",""), HYPERLINK(CONCATENATE("#Metadata!", ADDRESS(INDEX($AI$2:$AI$1001,MATCH(ROWS($AG$2:AG7),$AG$2:$AG$1001,0),0), INDEX($AN$1004:$BO$1004,1,MATCH(COLUMNS($AN$1006:AN1006),$AN$1006:$BO$1006,0)))),"Fix")))</f>
        <v>0</v>
      </c>
      <c r="C7" s="4">
        <f>IF(OR(INDEX($AH$2:$AH$1001,MATCH(ROWS($AG$2:AG7),$AG$2:$AG$1001,0),1)&gt;=100000,INDEX($AN$1005:$BO$1005,1,MATCH(COLUMNS($AN$1006:AO1006),$AN$1006:$BO$1006,0))&gt;=100000), " ",IF(INDEX($AN$2:$BO$1001,MATCH(ROWS($AG$2:AG7),$AG$2:$AG$1001,0),MATCH(COLUMNS($AN$1006:AO1006),$AN$1006:$BO$1006,0)), HYPERLINK("#",""), HYPERLINK(CONCATENATE("#Metadata!", ADDRESS(INDEX($AI$2:$AI$1001,MATCH(ROWS($AG$2:AG7),$AG$2:$AG$1001,0),0), INDEX($AN$1004:$BO$1004,1,MATCH(COLUMNS($AN$1006:AO1006),$AN$1006:$BO$1006,0)))),"Fix")))</f>
        <v>0</v>
      </c>
      <c r="D7" s="4">
        <f>IF(OR(INDEX($AH$2:$AH$1001,MATCH(ROWS($AG$2:AG7),$AG$2:$AG$1001,0),1)&gt;=100000,INDEX($AN$1005:$BO$1005,1,MATCH(COLUMNS($AN$1006:AP1006),$AN$1006:$BO$1006,0))&gt;=100000), " ",IF(INDEX($AN$2:$BO$1001,MATCH(ROWS($AG$2:AG7),$AG$2:$AG$1001,0),MATCH(COLUMNS($AN$1006:AP1006),$AN$1006:$BO$1006,0)), HYPERLINK("#",""), HYPERLINK(CONCATENATE("#Metadata!", ADDRESS(INDEX($AI$2:$AI$1001,MATCH(ROWS($AG$2:AG7),$AG$2:$AG$1001,0),0), INDEX($AN$1004:$BO$1004,1,MATCH(COLUMNS($AN$1006:AP1006),$AN$1006:$BO$1006,0)))),"Fix")))</f>
        <v>0</v>
      </c>
      <c r="E7" s="4">
        <f>IF(OR(INDEX($AH$2:$AH$1001,MATCH(ROWS($AG$2:AG7),$AG$2:$AG$1001,0),1)&gt;=100000,INDEX($AN$1005:$BO$1005,1,MATCH(COLUMNS($AN$1006:AQ1006),$AN$1006:$BO$1006,0))&gt;=100000), " ",IF(INDEX($AN$2:$BO$1001,MATCH(ROWS($AG$2:AG7),$AG$2:$AG$1001,0),MATCH(COLUMNS($AN$1006:AQ1006),$AN$1006:$BO$1006,0)), HYPERLINK("#",""), HYPERLINK(CONCATENATE("#Metadata!", ADDRESS(INDEX($AI$2:$AI$1001,MATCH(ROWS($AG$2:AG7),$AG$2:$AG$1001,0),0), INDEX($AN$1004:$BO$1004,1,MATCH(COLUMNS($AN$1006:AQ1006),$AN$1006:$BO$1006,0)))),"Fix")))</f>
        <v>0</v>
      </c>
      <c r="F7" s="4">
        <f>IF(OR(INDEX($AH$2:$AH$1001,MATCH(ROWS($AG$2:AG7),$AG$2:$AG$1001,0),1)&gt;=100000,INDEX($AN$1005:$BO$1005,1,MATCH(COLUMNS($AN$1006:AR1006),$AN$1006:$BO$1006,0))&gt;=100000), " ",IF(INDEX($AN$2:$BO$1001,MATCH(ROWS($AG$2:AG7),$AG$2:$AG$1001,0),MATCH(COLUMNS($AN$1006:AR1006),$AN$1006:$BO$1006,0)), HYPERLINK("#",""), HYPERLINK(CONCATENATE("#Metadata!", ADDRESS(INDEX($AI$2:$AI$1001,MATCH(ROWS($AG$2:AG7),$AG$2:$AG$1001,0),0), INDEX($AN$1004:$BO$1004,1,MATCH(COLUMNS($AN$1006:AR1006),$AN$1006:$BO$1006,0)))),"Fix")))</f>
        <v>0</v>
      </c>
      <c r="G7" s="4">
        <f>IF(OR(INDEX($AH$2:$AH$1001,MATCH(ROWS($AG$2:AG7),$AG$2:$AG$1001,0),1)&gt;=100000,INDEX($AN$1005:$BO$1005,1,MATCH(COLUMNS($AN$1006:AS1006),$AN$1006:$BO$1006,0))&gt;=100000), " ",IF(INDEX($AN$2:$BO$1001,MATCH(ROWS($AG$2:AG7),$AG$2:$AG$1001,0),MATCH(COLUMNS($AN$1006:AS1006),$AN$1006:$BO$1006,0)), HYPERLINK("#",""), HYPERLINK(CONCATENATE("#Metadata!", ADDRESS(INDEX($AI$2:$AI$1001,MATCH(ROWS($AG$2:AG7),$AG$2:$AG$1001,0),0), INDEX($AN$1004:$BO$1004,1,MATCH(COLUMNS($AN$1006:AS1006),$AN$1006:$BO$1006,0)))),"Fix")))</f>
        <v>0</v>
      </c>
      <c r="H7" s="4">
        <f>IF(OR(INDEX($AH$2:$AH$1001,MATCH(ROWS($AG$2:AG7),$AG$2:$AG$1001,0),1)&gt;=100000,INDEX($AN$1005:$BO$1005,1,MATCH(COLUMNS($AN$1006:AT1006),$AN$1006:$BO$1006,0))&gt;=100000), " ",IF(INDEX($AN$2:$BO$1001,MATCH(ROWS($AG$2:AG7),$AG$2:$AG$1001,0),MATCH(COLUMNS($AN$1006:AT1006),$AN$1006:$BO$1006,0)), HYPERLINK("#",""), HYPERLINK(CONCATENATE("#Metadata!", ADDRESS(INDEX($AI$2:$AI$1001,MATCH(ROWS($AG$2:AG7),$AG$2:$AG$1001,0),0), INDEX($AN$1004:$BO$1004,1,MATCH(COLUMNS($AN$1006:AT1006),$AN$1006:$BO$1006,0)))),"Fix")))</f>
        <v>0</v>
      </c>
      <c r="I7" s="4">
        <f>IF(OR(INDEX($AH$2:$AH$1001,MATCH(ROWS($AG$2:AG7),$AG$2:$AG$1001,0),1)&gt;=100000,INDEX($AN$1005:$BO$1005,1,MATCH(COLUMNS($AN$1006:AU1006),$AN$1006:$BO$1006,0))&gt;=100000), " ",IF(INDEX($AN$2:$BO$1001,MATCH(ROWS($AG$2:AG7),$AG$2:$AG$1001,0),MATCH(COLUMNS($AN$1006:AU1006),$AN$1006:$BO$1006,0)), HYPERLINK("#",""), HYPERLINK(CONCATENATE("#Metadata!", ADDRESS(INDEX($AI$2:$AI$1001,MATCH(ROWS($AG$2:AG7),$AG$2:$AG$1001,0),0), INDEX($AN$1004:$BO$1004,1,MATCH(COLUMNS($AN$1006:AU1006),$AN$1006:$BO$1006,0)))),"Fix")))</f>
        <v>0</v>
      </c>
      <c r="J7" s="4">
        <f>IF(OR(INDEX($AH$2:$AH$1001,MATCH(ROWS($AG$2:AG7),$AG$2:$AG$1001,0),1)&gt;=100000,INDEX($AN$1005:$BO$1005,1,MATCH(COLUMNS($AN$1006:AV1006),$AN$1006:$BO$1006,0))&gt;=100000), " ",IF(INDEX($AN$2:$BO$1001,MATCH(ROWS($AG$2:AG7),$AG$2:$AG$1001,0),MATCH(COLUMNS($AN$1006:AV1006),$AN$1006:$BO$1006,0)), HYPERLINK("#",""), HYPERLINK(CONCATENATE("#Metadata!", ADDRESS(INDEX($AI$2:$AI$1001,MATCH(ROWS($AG$2:AG7),$AG$2:$AG$1001,0),0), INDEX($AN$1004:$BO$1004,1,MATCH(COLUMNS($AN$1006:AV1006),$AN$1006:$BO$1006,0)))),"Fix")))</f>
        <v>0</v>
      </c>
      <c r="K7" s="4">
        <f>IF(OR(INDEX($AH$2:$AH$1001,MATCH(ROWS($AG$2:AG7),$AG$2:$AG$1001,0),1)&gt;=100000,INDEX($AN$1005:$BO$1005,1,MATCH(COLUMNS($AN$1006:AW1006),$AN$1006:$BO$1006,0))&gt;=100000), " ",IF(INDEX($AN$2:$BO$1001,MATCH(ROWS($AG$2:AG7),$AG$2:$AG$1001,0),MATCH(COLUMNS($AN$1006:AW1006),$AN$1006:$BO$1006,0)), HYPERLINK("#",""), HYPERLINK(CONCATENATE("#Metadata!", ADDRESS(INDEX($AI$2:$AI$1001,MATCH(ROWS($AG$2:AG7),$AG$2:$AG$1001,0),0), INDEX($AN$1004:$BO$1004,1,MATCH(COLUMNS($AN$1006:AW1006),$AN$1006:$BO$1006,0)))),"Fix")))</f>
        <v>0</v>
      </c>
      <c r="L7" s="4">
        <f>IF(OR(INDEX($AH$2:$AH$1001,MATCH(ROWS($AG$2:AG7),$AG$2:$AG$1001,0),1)&gt;=100000,INDEX($AN$1005:$BO$1005,1,MATCH(COLUMNS($AN$1006:AX1006),$AN$1006:$BO$1006,0))&gt;=100000), " ",IF(INDEX($AN$2:$BO$1001,MATCH(ROWS($AG$2:AG7),$AG$2:$AG$1001,0),MATCH(COLUMNS($AN$1006:AX1006),$AN$1006:$BO$1006,0)), HYPERLINK("#",""), HYPERLINK(CONCATENATE("#Metadata!", ADDRESS(INDEX($AI$2:$AI$1001,MATCH(ROWS($AG$2:AG7),$AG$2:$AG$1001,0),0), INDEX($AN$1004:$BO$1004,1,MATCH(COLUMNS($AN$1006:AX1006),$AN$1006:$BO$1006,0)))),"Fix")))</f>
        <v>0</v>
      </c>
      <c r="M7" s="4">
        <f>IF(OR(INDEX($AH$2:$AH$1001,MATCH(ROWS($AG$2:AG7),$AG$2:$AG$1001,0),1)&gt;=100000,INDEX($AN$1005:$BO$1005,1,MATCH(COLUMNS($AN$1006:AY1006),$AN$1006:$BO$1006,0))&gt;=100000), " ",IF(INDEX($AN$2:$BO$1001,MATCH(ROWS($AG$2:AG7),$AG$2:$AG$1001,0),MATCH(COLUMNS($AN$1006:AY1006),$AN$1006:$BO$1006,0)), HYPERLINK("#",""), HYPERLINK(CONCATENATE("#Metadata!", ADDRESS(INDEX($AI$2:$AI$1001,MATCH(ROWS($AG$2:AG7),$AG$2:$AG$1001,0),0), INDEX($AN$1004:$BO$1004,1,MATCH(COLUMNS($AN$1006:AY1006),$AN$1006:$BO$1006,0)))),"Fix")))</f>
        <v>0</v>
      </c>
      <c r="N7" s="4">
        <f>IF(OR(INDEX($AH$2:$AH$1001,MATCH(ROWS($AG$2:AG7),$AG$2:$AG$1001,0),1)&gt;=100000,INDEX($AN$1005:$BO$1005,1,MATCH(COLUMNS($AN$1006:AZ1006),$AN$1006:$BO$1006,0))&gt;=100000), " ",IF(INDEX($AN$2:$BO$1001,MATCH(ROWS($AG$2:AG7),$AG$2:$AG$1001,0),MATCH(COLUMNS($AN$1006:AZ1006),$AN$1006:$BO$1006,0)), HYPERLINK("#",""), HYPERLINK(CONCATENATE("#Metadata!", ADDRESS(INDEX($AI$2:$AI$1001,MATCH(ROWS($AG$2:AG7),$AG$2:$AG$1001,0),0), INDEX($AN$1004:$BO$1004,1,MATCH(COLUMNS($AN$1006:AZ1006),$AN$1006:$BO$1006,0)))),"Fix")))</f>
        <v>0</v>
      </c>
      <c r="O7" s="4">
        <f>IF(OR(INDEX($AH$2:$AH$1001,MATCH(ROWS($AG$2:AG7),$AG$2:$AG$1001,0),1)&gt;=100000,INDEX($AN$1005:$BO$1005,1,MATCH(COLUMNS($AN$1006:BA1006),$AN$1006:$BO$1006,0))&gt;=100000), " ",IF(INDEX($AN$2:$BO$1001,MATCH(ROWS($AG$2:AG7),$AG$2:$AG$1001,0),MATCH(COLUMNS($AN$1006:BA1006),$AN$1006:$BO$1006,0)), HYPERLINK("#",""), HYPERLINK(CONCATENATE("#Metadata!", ADDRESS(INDEX($AI$2:$AI$1001,MATCH(ROWS($AG$2:AG7),$AG$2:$AG$1001,0),0), INDEX($AN$1004:$BO$1004,1,MATCH(COLUMNS($AN$1006:BA1006),$AN$1006:$BO$1006,0)))),"Fix")))</f>
        <v>0</v>
      </c>
      <c r="P7" s="4">
        <f>IF(OR(INDEX($AH$2:$AH$1001,MATCH(ROWS($AG$2:AG7),$AG$2:$AG$1001,0),1)&gt;=100000,INDEX($AN$1005:$BO$1005,1,MATCH(COLUMNS($AN$1006:BB1006),$AN$1006:$BO$1006,0))&gt;=100000), " ",IF(INDEX($AN$2:$BO$1001,MATCH(ROWS($AG$2:AG7),$AG$2:$AG$1001,0),MATCH(COLUMNS($AN$1006:BB1006),$AN$1006:$BO$1006,0)), HYPERLINK("#",""), HYPERLINK(CONCATENATE("#Metadata!", ADDRESS(INDEX($AI$2:$AI$1001,MATCH(ROWS($AG$2:AG7),$AG$2:$AG$1001,0),0), INDEX($AN$1004:$BO$1004,1,MATCH(COLUMNS($AN$1006:BB1006),$AN$1006:$BO$1006,0)))),"Fix")))</f>
        <v>0</v>
      </c>
      <c r="Q7" s="4">
        <f>IF(OR(INDEX($AH$2:$AH$1001,MATCH(ROWS($AG$2:AG7),$AG$2:$AG$1001,0),1)&gt;=100000,INDEX($AN$1005:$BO$1005,1,MATCH(COLUMNS($AN$1006:BC1006),$AN$1006:$BO$1006,0))&gt;=100000), " ",IF(INDEX($AN$2:$BO$1001,MATCH(ROWS($AG$2:AG7),$AG$2:$AG$1001,0),MATCH(COLUMNS($AN$1006:BC1006),$AN$1006:$BO$1006,0)), HYPERLINK("#",""), HYPERLINK(CONCATENATE("#Metadata!", ADDRESS(INDEX($AI$2:$AI$1001,MATCH(ROWS($AG$2:AG7),$AG$2:$AG$1001,0),0), INDEX($AN$1004:$BO$1004,1,MATCH(COLUMNS($AN$1006:BC1006),$AN$1006:$BO$1006,0)))),"Fix")))</f>
        <v>0</v>
      </c>
      <c r="R7" s="4">
        <f>IF(OR(INDEX($AH$2:$AH$1001,MATCH(ROWS($AG$2:AG7),$AG$2:$AG$1001,0),1)&gt;=100000,INDEX($AN$1005:$BO$1005,1,MATCH(COLUMNS($AN$1006:BD1006),$AN$1006:$BO$1006,0))&gt;=100000), " ",IF(INDEX($AN$2:$BO$1001,MATCH(ROWS($AG$2:AG7),$AG$2:$AG$1001,0),MATCH(COLUMNS($AN$1006:BD1006),$AN$1006:$BO$1006,0)), HYPERLINK("#",""), HYPERLINK(CONCATENATE("#Metadata!", ADDRESS(INDEX($AI$2:$AI$1001,MATCH(ROWS($AG$2:AG7),$AG$2:$AG$1001,0),0), INDEX($AN$1004:$BO$1004,1,MATCH(COLUMNS($AN$1006:BD1006),$AN$1006:$BO$1006,0)))),"Fix")))</f>
        <v>0</v>
      </c>
      <c r="S7" s="4">
        <f>IF(OR(INDEX($AH$2:$AH$1001,MATCH(ROWS($AG$2:AG7),$AG$2:$AG$1001,0),1)&gt;=100000,INDEX($AN$1005:$BO$1005,1,MATCH(COLUMNS($AN$1006:BE1006),$AN$1006:$BO$1006,0))&gt;=100000), " ",IF(INDEX($AN$2:$BO$1001,MATCH(ROWS($AG$2:AG7),$AG$2:$AG$1001,0),MATCH(COLUMNS($AN$1006:BE1006),$AN$1006:$BO$1006,0)), HYPERLINK("#",""), HYPERLINK(CONCATENATE("#Metadata!", ADDRESS(INDEX($AI$2:$AI$1001,MATCH(ROWS($AG$2:AG7),$AG$2:$AG$1001,0),0), INDEX($AN$1004:$BO$1004,1,MATCH(COLUMNS($AN$1006:BE1006),$AN$1006:$BO$1006,0)))),"Fix")))</f>
        <v>0</v>
      </c>
      <c r="T7" s="4">
        <f>IF(OR(INDEX($AH$2:$AH$1001,MATCH(ROWS($AG$2:AG7),$AG$2:$AG$1001,0),1)&gt;=100000,INDEX($AN$1005:$BO$1005,1,MATCH(COLUMNS($AN$1006:BF1006),$AN$1006:$BO$1006,0))&gt;=100000), " ",IF(INDEX($AN$2:$BO$1001,MATCH(ROWS($AG$2:AG7),$AG$2:$AG$1001,0),MATCH(COLUMNS($AN$1006:BF1006),$AN$1006:$BO$1006,0)), HYPERLINK("#",""), HYPERLINK(CONCATENATE("#Metadata!", ADDRESS(INDEX($AI$2:$AI$1001,MATCH(ROWS($AG$2:AG7),$AG$2:$AG$1001,0),0), INDEX($AN$1004:$BO$1004,1,MATCH(COLUMNS($AN$1006:BF1006),$AN$1006:$BO$1006,0)))),"Fix")))</f>
        <v>0</v>
      </c>
      <c r="U7" s="4">
        <f>IF(OR(INDEX($AH$2:$AH$1001,MATCH(ROWS($AG$2:AG7),$AG$2:$AG$1001,0),1)&gt;=100000,INDEX($AN$1005:$BO$1005,1,MATCH(COLUMNS($AN$1006:BG1006),$AN$1006:$BO$1006,0))&gt;=100000), " ",IF(INDEX($AN$2:$BO$1001,MATCH(ROWS($AG$2:AG7),$AG$2:$AG$1001,0),MATCH(COLUMNS($AN$1006:BG1006),$AN$1006:$BO$1006,0)), HYPERLINK("#",""), HYPERLINK(CONCATENATE("#Metadata!", ADDRESS(INDEX($AI$2:$AI$1001,MATCH(ROWS($AG$2:AG7),$AG$2:$AG$1001,0),0), INDEX($AN$1004:$BO$1004,1,MATCH(COLUMNS($AN$1006:BG1006),$AN$1006:$BO$1006,0)))),"Fix")))</f>
        <v>0</v>
      </c>
      <c r="V7" s="4">
        <f>IF(OR(INDEX($AH$2:$AH$1001,MATCH(ROWS($AG$2:AG7),$AG$2:$AG$1001,0),1)&gt;=100000,INDEX($AN$1005:$BO$1005,1,MATCH(COLUMNS($AN$1006:BH1006),$AN$1006:$BO$1006,0))&gt;=100000), " ",IF(INDEX($AN$2:$BO$1001,MATCH(ROWS($AG$2:AG7),$AG$2:$AG$1001,0),MATCH(COLUMNS($AN$1006:BH1006),$AN$1006:$BO$1006,0)), HYPERLINK("#",""), HYPERLINK(CONCATENATE("#Metadata!", ADDRESS(INDEX($AI$2:$AI$1001,MATCH(ROWS($AG$2:AG7),$AG$2:$AG$1001,0),0), INDEX($AN$1004:$BO$1004,1,MATCH(COLUMNS($AN$1006:BH1006),$AN$1006:$BO$1006,0)))),"Fix")))</f>
        <v>0</v>
      </c>
      <c r="W7" s="4">
        <f>IF(OR(INDEX($AH$2:$AH$1001,MATCH(ROWS($AG$2:AG7),$AG$2:$AG$1001,0),1)&gt;=100000,INDEX($AN$1005:$BO$1005,1,MATCH(COLUMNS($AN$1006:BI1006),$AN$1006:$BO$1006,0))&gt;=100000), " ",IF(INDEX($AN$2:$BO$1001,MATCH(ROWS($AG$2:AG7),$AG$2:$AG$1001,0),MATCH(COLUMNS($AN$1006:BI1006),$AN$1006:$BO$1006,0)), HYPERLINK("#",""), HYPERLINK(CONCATENATE("#Metadata!", ADDRESS(INDEX($AI$2:$AI$1001,MATCH(ROWS($AG$2:AG7),$AG$2:$AG$1001,0),0), INDEX($AN$1004:$BO$1004,1,MATCH(COLUMNS($AN$1006:BI1006),$AN$1006:$BO$1006,0)))),"Fix")))</f>
        <v>0</v>
      </c>
      <c r="X7" s="4">
        <f>IF(OR(INDEX($AH$2:$AH$1001,MATCH(ROWS($AG$2:AG7),$AG$2:$AG$1001,0),1)&gt;=100000,INDEX($AN$1005:$BO$1005,1,MATCH(COLUMNS($AN$1006:BJ1006),$AN$1006:$BO$1006,0))&gt;=100000), " ",IF(INDEX($AN$2:$BO$1001,MATCH(ROWS($AG$2:AG7),$AG$2:$AG$1001,0),MATCH(COLUMNS($AN$1006:BJ1006),$AN$1006:$BO$1006,0)), HYPERLINK("#",""), HYPERLINK(CONCATENATE("#Metadata!", ADDRESS(INDEX($AI$2:$AI$1001,MATCH(ROWS($AG$2:AG7),$AG$2:$AG$1001,0),0), INDEX($AN$1004:$BO$1004,1,MATCH(COLUMNS($AN$1006:BJ1006),$AN$1006:$BO$1006,0)))),"Fix")))</f>
        <v>0</v>
      </c>
      <c r="Y7" s="4">
        <f>IF(OR(INDEX($AH$2:$AH$1001,MATCH(ROWS($AG$2:AG7),$AG$2:$AG$1001,0),1)&gt;=100000,INDEX($AN$1005:$BO$1005,1,MATCH(COLUMNS($AN$1006:BK1006),$AN$1006:$BO$1006,0))&gt;=100000), " ",IF(INDEX($AN$2:$BO$1001,MATCH(ROWS($AG$2:AG7),$AG$2:$AG$1001,0),MATCH(COLUMNS($AN$1006:BK1006),$AN$1006:$BO$1006,0)), HYPERLINK("#",""), HYPERLINK(CONCATENATE("#Metadata!", ADDRESS(INDEX($AI$2:$AI$1001,MATCH(ROWS($AG$2:AG7),$AG$2:$AG$1001,0),0), INDEX($AN$1004:$BO$1004,1,MATCH(COLUMNS($AN$1006:BK1006),$AN$1006:$BO$1006,0)))),"Fix")))</f>
        <v>0</v>
      </c>
      <c r="Z7" s="4">
        <f>IF(OR(INDEX($AH$2:$AH$1001,MATCH(ROWS($AG$2:AG7),$AG$2:$AG$1001,0),1)&gt;=100000,INDEX($AN$1005:$BO$1005,1,MATCH(COLUMNS($AN$1006:BL1006),$AN$1006:$BO$1006,0))&gt;=100000), " ",IF(INDEX($AN$2:$BO$1001,MATCH(ROWS($AG$2:AG7),$AG$2:$AG$1001,0),MATCH(COLUMNS($AN$1006:BL1006),$AN$1006:$BO$1006,0)), HYPERLINK("#",""), HYPERLINK(CONCATENATE("#Metadata!", ADDRESS(INDEX($AI$2:$AI$1001,MATCH(ROWS($AG$2:AG7),$AG$2:$AG$1001,0),0), INDEX($AN$1004:$BO$1004,1,MATCH(COLUMNS($AN$1006:BL1006),$AN$1006:$BO$1006,0)))),"Fix")))</f>
        <v>0</v>
      </c>
      <c r="AA7" s="4">
        <f>IF(OR(INDEX($AH$2:$AH$1001,MATCH(ROWS($AG$2:AG7),$AG$2:$AG$1001,0),1)&gt;=100000,INDEX($AN$1005:$BO$1005,1,MATCH(COLUMNS($AN$1006:BM1006),$AN$1006:$BO$1006,0))&gt;=100000), " ",IF(INDEX($AN$2:$BO$1001,MATCH(ROWS($AG$2:AG7),$AG$2:$AG$1001,0),MATCH(COLUMNS($AN$1006:BM1006),$AN$1006:$BO$1006,0)), HYPERLINK("#",""), HYPERLINK(CONCATENATE("#Metadata!", ADDRESS(INDEX($AI$2:$AI$1001,MATCH(ROWS($AG$2:AG7),$AG$2:$AG$1001,0),0), INDEX($AN$1004:$BO$1004,1,MATCH(COLUMNS($AN$1006:BM1006),$AN$1006:$BO$1006,0)))),"Fix")))</f>
        <v>0</v>
      </c>
      <c r="AB7" s="4">
        <f>IF(OR(INDEX($AH$2:$AH$1001,MATCH(ROWS($AG$2:AG7),$AG$2:$AG$1001,0),1)&gt;=100000,INDEX($AN$1005:$BO$1005,1,MATCH(COLUMNS($AN$1006:BN1006),$AN$1006:$BO$1006,0))&gt;=100000), " ",IF(INDEX($AN$2:$BO$1001,MATCH(ROWS($AG$2:AG7),$AG$2:$AG$1001,0),MATCH(COLUMNS($AN$1006:BN1006),$AN$1006:$BO$1006,0)), HYPERLINK("#",""), HYPERLINK(CONCATENATE("#Metadata!", ADDRESS(INDEX($AI$2:$AI$1001,MATCH(ROWS($AG$2:AG7),$AG$2:$AG$1001,0),0), INDEX($AN$1004:$BO$1004,1,MATCH(COLUMNS($AN$1006:BN1006),$AN$1006:$BO$1006,0)))),"Fix")))</f>
        <v>0</v>
      </c>
      <c r="AC7" s="4">
        <f>IF(OR(INDEX($AH$2:$AH$1001,MATCH(ROWS($AG$2:AG7),$AG$2:$AG$1001,0),1)&gt;=100000,INDEX($AN$1005:$BO$1005,1,MATCH(COLUMNS($AN$1006:BO1006),$AN$1006:$BO$1006,0))&gt;=100000), " ",IF(INDEX($AN$2:$BO$1001,MATCH(ROWS($AG$2:AG7),$AG$2:$AG$1001,0),MATCH(COLUMNS($AN$1006:BO1006),$AN$1006:$BO$1006,0)), HYPERLINK("#",""), HYPERLINK(CONCATENATE("#Metadata!", ADDRESS(INDEX($AI$2:$AI$1001,MATCH(ROWS($AG$2:AG7),$AG$2:$AG$1001,0),0), INDEX($AN$1004:$BO$1004,1,MATCH(COLUMNS($AN$1006:BO1006),$AN$1006:$BO$1006,0)))),"Fix")))</f>
        <v>0</v>
      </c>
      <c r="AG7">
        <v>0</v>
      </c>
      <c r="AH7">
        <v>0</v>
      </c>
      <c r="AI7">
        <v>0</v>
      </c>
      <c r="AJ7">
        <f>IF(AK7,TRUE,AND(AN7:BO7))</f>
        <v>0</v>
      </c>
      <c r="AK7">
        <f>COUNTBLANK(Metadata!B7:AC7)=COLUMNS(Metadata!B7:AC7)</f>
        <v>0</v>
      </c>
      <c r="AL7">
        <v>0</v>
      </c>
      <c r="AN7">
        <f>AND(IF(Metadata!B7="",FALSE,TRUE),COUNTIF(Metadata!B:B, Metadata!B7) = 1,NOT(ISERROR(SUMPRODUCT(SEARCH(MID(Metadata!B7,ROW(INDIRECT("1:"&amp;LEN(Metadata!B7))), 1),"0123456789abcdefghijklmnopqrstuvwxyzABCDEFGHIJKLMNOPQRSTUVWXYZ.")))))</f>
        <v>0</v>
      </c>
      <c r="AO7">
        <f>IF(Metadata!C7="",FALSE,TRUE)</f>
        <v>0</v>
      </c>
      <c r="AP7">
        <f>IF(Metadata!D7="",FALSE,TRUE)</f>
        <v>0</v>
      </c>
      <c r="AQ7">
        <f>OR(AND(IF(Metadata!E7="",FALSE,TRUE),OR(exact(Metadata!E7,"not collected"),exact(Metadata!E7,"not provided"),exact(Metadata!E7,"restricted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R7">
        <f>IF(Metadata!F7="",FALSE,TRUE)</f>
        <v>0</v>
      </c>
      <c r="AS7">
        <f>OR(AND(IF(Metadata!G7="",FALSE,TRUE),OR(exact(Metadata!G7,"not collected"),exact(Metadata!G7,"not provided"))),AND(IF(Metadata!G7="",FALSE,TRUE),OR(exact(Metadata!G7,"TRUE"),exact(Metadata!G7,"FALSE"))))</f>
        <v>0</v>
      </c>
      <c r="AT7">
        <f>OR(AND(IF(Metadata!H7="",FALSE,TRUE),OR(exact(Metadata!H7,"not collected"),exact(Metadata!H7,"not provided"),exact(Metadata!H7,"restricted access"))),AND(IF(Metadata!H7="",FALSE,ISNUMBER(VALUE(Metadata!H7))),Metadata!H7&gt;=-413.0))</f>
        <v>0</v>
      </c>
      <c r="AU7">
        <f>AND(IF(Metadata!I7="",FALSE,TRUE),exact(Metadata!I7,"meters"))</f>
        <v>0</v>
      </c>
      <c r="AV7">
        <f>AND(IF(Metadata!J7="",FALSE,TRUE),OR(exact(Metadata!J7,"Host-associated"),exact(Metadata!J7,"Free-living")))</f>
        <v>0</v>
      </c>
      <c r="AW7">
        <f>AND(IF(Metadata!K7="",FALSE,TRUE),OR(exact(Metadata!K7,"Animal"),exact(Metadata!K7,"Fungus"),exact(Metadata!K7,"Plant"),exact(Metadata!K7,"Saline"),exact(Metadata!K7,"Non-saline")))</f>
        <v>0</v>
      </c>
      <c r="AX7">
        <f>AND(IF(Metadata!L7="",FALSE,TRUE),OR(exact(Metadata!L7,"Plant secretion"),exact(Metadata!L7,"Plant rhizosphere"),exact(Metadata!L7,"Plant surface"),exact(Metadata!L7,"Plant corpus"),exact(Metadata!L7,"Fungus surface"),exact(Metadata!L7,"Fungus corpus"),exact(Metadata!L7,"Animal surface"),exact(Metadata!L7,"Animal proximal gut"),exact(Metadata!L7,"Animal corpus"),exact(Metadata!L7,"Animal distal gut"),exact(Metadata!L7,"Animal secretion"),exact(Metadata!L7,"Sub-surface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0</v>
      </c>
      <c r="AY7">
        <f>IF(Metadata!M7="",FALSE,TRUE)</f>
        <v>0</v>
      </c>
      <c r="AZ7">
        <f>IF(Metadata!N7="",FALSE,TRUE)</f>
        <v>0</v>
      </c>
      <c r="BA7">
        <f>IF(Metadata!O7="",FALSE,TRUE)</f>
        <v>0</v>
      </c>
      <c r="BB7">
        <f>OR(AND(IF(Metadata!P7="",FALSE,TRUE),OR(exact(Metadata!P7,"not collected"),exact(Metadata!P7,"not provided"),exact(Metadata!P7,"restricted access"))),AND(IF(Metadata!P7="",FALSE,TRUE),OR(exact(Metadata!P7,"air"),exact(Metadata!P7,"built environment"),exact(Metadata!P7,"host-associated"),exact(Metadata!P7,"human-associated"),exact(Metadata!P7,"human-skin"),exact(Metadata!P7,"human-oral"),exact(Metadata!P7,"human-gut"),exact(Metadata!P7,"human-vaginal"),exact(Metadata!P7,"microbial mat/biofilm"),exact(Metadata!P7,"misc environment"),exact(Metadata!P7,"plant-associated"),exact(Metadata!P7,"sediment"),exact(Metadata!P7,"soil"),exact(Metadata!P7,"wastewater/sludge"),exact(Metadata!P7,"water"))))</f>
        <v>0</v>
      </c>
      <c r="BC7">
        <f>IF(Metadata!Q7="",FALSE,TRUE)</f>
        <v>0</v>
      </c>
      <c r="BD7">
        <f>IF(Metadata!R7="",FALSE,TRUE)</f>
        <v>0</v>
      </c>
      <c r="BE7">
        <f>OR(AND(IF(Metadata!S7="",FALSE,TRUE),OR(exact(Metadata!S7,"not collected"),exact(Metadata!S7,"not provided"),exact(Metadata!S7,"restricted access"))),AND(IF(Metadata!S7="",FALSE,ISNUMBER(VALUE(Metadata!S7))),Metadata!S7&gt;=-90.00,Metadata!S7&lt;=90.00))</f>
        <v>0</v>
      </c>
      <c r="BF7">
        <f>AND(IF(Metadata!T7="",FALSE,TRUE),exact(Metadata!T7,"Decimal degrees"))</f>
        <v>0</v>
      </c>
      <c r="BG7">
        <f>OR(AND(IF(Metadata!U7="",FALSE,TRUE),OR(exact(Metadata!U7,"not collected"),exact(Metadata!U7,"not provided"),exact(Metadata!U7,"restricted access"))),AND(IF(Metadata!U7="",FALSE,ISNUMBER(VALUE(Metadata!U7))),Metadata!U7&gt;=-180.00,Metadata!U7&lt;=180.00))</f>
        <v>0</v>
      </c>
      <c r="BH7">
        <f>AND(IF(Metadata!V7="",FALSE,TRUE),exact(Metadata!V7,"Decimal degrees"))</f>
        <v>0</v>
      </c>
      <c r="BI7">
        <f>IF(Metadata!W7="",FALSE,TRUE)</f>
        <v>0</v>
      </c>
      <c r="BJ7">
        <f>OR(AND(IF(Metadata!X7="",FALSE,TRUE),OR(exact(Metadata!X7,"not collected"),exact(Metadata!X7,"not provided"),exact(Metadata!X7,"restricted access"))),AND(IF(Metadata!X7="",FALSE,TRUE),OR(exact(Metadata!X7,"TRUE"),exact(Metadata!X7,"FALSE"))))</f>
        <v>0</v>
      </c>
      <c r="BK7">
        <f>AND(IF(Metadata!Y7="",FALSE,TRUE),exact(Metadata!Y7,"other"))</f>
        <v>0</v>
      </c>
      <c r="BL7">
        <f>IF(Metadata!Z7="",FALSE,TRUE)</f>
        <v>0</v>
      </c>
      <c r="BM7">
        <f>OR(AND(IF(Metadata!AA7="",FALSE,TRUE),OR(exact(Metadata!AA7,"not collected"),exact(Metadata!AA7,"not provided"))),AND(IF(Metadata!AA7="",FALSE,IF(ISERROR(INT(Metadata!AA7)),FALSE,INT(Metadata!AA7)=Metadata!AA7)),Metadata!AA7&gt;0))</f>
        <v>0</v>
      </c>
      <c r="BN7">
        <f>AND(IF(Metadata!AB7="",FALSE,TRUE),exact(Metadata!AB7,"Not applicable"))</f>
        <v>0</v>
      </c>
      <c r="BO7">
        <f>IF(Metadata!AC7="",FALSE,TRUE)</f>
        <v>0</v>
      </c>
    </row>
    <row r="8" spans="1:67">
      <c r="A8" s="5">
        <f>IF(B8=" "," ",HYPERLINK(CONCATENATE("#metadata!",ADDRESS(INDEX($AI$2:$AI$1001,MATCH(ROWS($AG$2:AG8),$AG$2:$AG$1001,0),0),1)),INDEX($AL$2:$AL$1001,MATCH(ROWS($AG$2:AG8),$AG$2:$AG$1001,0),0)))</f>
        <v>0</v>
      </c>
      <c r="B8" s="4">
        <f>IF(OR(INDEX($AH$2:$AH$1001,MATCH(ROWS($AG$2:AG8),$AG$2:$AG$1001,0),1)&gt;=100000,INDEX($AN$1005:$BO$1005,1,MATCH(COLUMNS($AN$1006:AN1006),$AN$1006:$BO$1006,0))&gt;=100000), " ",IF(INDEX($AN$2:$BO$1001,MATCH(ROWS($AG$2:AG8),$AG$2:$AG$1001,0),MATCH(COLUMNS($AN$1006:AN1006),$AN$1006:$BO$1006,0)), HYPERLINK("#",""), HYPERLINK(CONCATENATE("#Metadata!", ADDRESS(INDEX($AI$2:$AI$1001,MATCH(ROWS($AG$2:AG8),$AG$2:$AG$1001,0),0), INDEX($AN$1004:$BO$1004,1,MATCH(COLUMNS($AN$1006:AN1006),$AN$1006:$BO$1006,0)))),"Fix")))</f>
        <v>0</v>
      </c>
      <c r="C8" s="4">
        <f>IF(OR(INDEX($AH$2:$AH$1001,MATCH(ROWS($AG$2:AG8),$AG$2:$AG$1001,0),1)&gt;=100000,INDEX($AN$1005:$BO$1005,1,MATCH(COLUMNS($AN$1006:AO1006),$AN$1006:$BO$1006,0))&gt;=100000), " ",IF(INDEX($AN$2:$BO$1001,MATCH(ROWS($AG$2:AG8),$AG$2:$AG$1001,0),MATCH(COLUMNS($AN$1006:AO1006),$AN$1006:$BO$1006,0)), HYPERLINK("#",""), HYPERLINK(CONCATENATE("#Metadata!", ADDRESS(INDEX($AI$2:$AI$1001,MATCH(ROWS($AG$2:AG8),$AG$2:$AG$1001,0),0), INDEX($AN$1004:$BO$1004,1,MATCH(COLUMNS($AN$1006:AO1006),$AN$1006:$BO$1006,0)))),"Fix")))</f>
        <v>0</v>
      </c>
      <c r="D8" s="4">
        <f>IF(OR(INDEX($AH$2:$AH$1001,MATCH(ROWS($AG$2:AG8),$AG$2:$AG$1001,0),1)&gt;=100000,INDEX($AN$1005:$BO$1005,1,MATCH(COLUMNS($AN$1006:AP1006),$AN$1006:$BO$1006,0))&gt;=100000), " ",IF(INDEX($AN$2:$BO$1001,MATCH(ROWS($AG$2:AG8),$AG$2:$AG$1001,0),MATCH(COLUMNS($AN$1006:AP1006),$AN$1006:$BO$1006,0)), HYPERLINK("#",""), HYPERLINK(CONCATENATE("#Metadata!", ADDRESS(INDEX($AI$2:$AI$1001,MATCH(ROWS($AG$2:AG8),$AG$2:$AG$1001,0),0), INDEX($AN$1004:$BO$1004,1,MATCH(COLUMNS($AN$1006:AP1006),$AN$1006:$BO$1006,0)))),"Fix")))</f>
        <v>0</v>
      </c>
      <c r="E8" s="4">
        <f>IF(OR(INDEX($AH$2:$AH$1001,MATCH(ROWS($AG$2:AG8),$AG$2:$AG$1001,0),1)&gt;=100000,INDEX($AN$1005:$BO$1005,1,MATCH(COLUMNS($AN$1006:AQ1006),$AN$1006:$BO$1006,0))&gt;=100000), " ",IF(INDEX($AN$2:$BO$1001,MATCH(ROWS($AG$2:AG8),$AG$2:$AG$1001,0),MATCH(COLUMNS($AN$1006:AQ1006),$AN$1006:$BO$1006,0)), HYPERLINK("#",""), HYPERLINK(CONCATENATE("#Metadata!", ADDRESS(INDEX($AI$2:$AI$1001,MATCH(ROWS($AG$2:AG8),$AG$2:$AG$1001,0),0), INDEX($AN$1004:$BO$1004,1,MATCH(COLUMNS($AN$1006:AQ1006),$AN$1006:$BO$1006,0)))),"Fix")))</f>
        <v>0</v>
      </c>
      <c r="F8" s="4">
        <f>IF(OR(INDEX($AH$2:$AH$1001,MATCH(ROWS($AG$2:AG8),$AG$2:$AG$1001,0),1)&gt;=100000,INDEX($AN$1005:$BO$1005,1,MATCH(COLUMNS($AN$1006:AR1006),$AN$1006:$BO$1006,0))&gt;=100000), " ",IF(INDEX($AN$2:$BO$1001,MATCH(ROWS($AG$2:AG8),$AG$2:$AG$1001,0),MATCH(COLUMNS($AN$1006:AR1006),$AN$1006:$BO$1006,0)), HYPERLINK("#",""), HYPERLINK(CONCATENATE("#Metadata!", ADDRESS(INDEX($AI$2:$AI$1001,MATCH(ROWS($AG$2:AG8),$AG$2:$AG$1001,0),0), INDEX($AN$1004:$BO$1004,1,MATCH(COLUMNS($AN$1006:AR1006),$AN$1006:$BO$1006,0)))),"Fix")))</f>
        <v>0</v>
      </c>
      <c r="G8" s="4">
        <f>IF(OR(INDEX($AH$2:$AH$1001,MATCH(ROWS($AG$2:AG8),$AG$2:$AG$1001,0),1)&gt;=100000,INDEX($AN$1005:$BO$1005,1,MATCH(COLUMNS($AN$1006:AS1006),$AN$1006:$BO$1006,0))&gt;=100000), " ",IF(INDEX($AN$2:$BO$1001,MATCH(ROWS($AG$2:AG8),$AG$2:$AG$1001,0),MATCH(COLUMNS($AN$1006:AS1006),$AN$1006:$BO$1006,0)), HYPERLINK("#",""), HYPERLINK(CONCATENATE("#Metadata!", ADDRESS(INDEX($AI$2:$AI$1001,MATCH(ROWS($AG$2:AG8),$AG$2:$AG$1001,0),0), INDEX($AN$1004:$BO$1004,1,MATCH(COLUMNS($AN$1006:AS1006),$AN$1006:$BO$1006,0)))),"Fix")))</f>
        <v>0</v>
      </c>
      <c r="H8" s="4">
        <f>IF(OR(INDEX($AH$2:$AH$1001,MATCH(ROWS($AG$2:AG8),$AG$2:$AG$1001,0),1)&gt;=100000,INDEX($AN$1005:$BO$1005,1,MATCH(COLUMNS($AN$1006:AT1006),$AN$1006:$BO$1006,0))&gt;=100000), " ",IF(INDEX($AN$2:$BO$1001,MATCH(ROWS($AG$2:AG8),$AG$2:$AG$1001,0),MATCH(COLUMNS($AN$1006:AT1006),$AN$1006:$BO$1006,0)), HYPERLINK("#",""), HYPERLINK(CONCATENATE("#Metadata!", ADDRESS(INDEX($AI$2:$AI$1001,MATCH(ROWS($AG$2:AG8),$AG$2:$AG$1001,0),0), INDEX($AN$1004:$BO$1004,1,MATCH(COLUMNS($AN$1006:AT1006),$AN$1006:$BO$1006,0)))),"Fix")))</f>
        <v>0</v>
      </c>
      <c r="I8" s="4">
        <f>IF(OR(INDEX($AH$2:$AH$1001,MATCH(ROWS($AG$2:AG8),$AG$2:$AG$1001,0),1)&gt;=100000,INDEX($AN$1005:$BO$1005,1,MATCH(COLUMNS($AN$1006:AU1006),$AN$1006:$BO$1006,0))&gt;=100000), " ",IF(INDEX($AN$2:$BO$1001,MATCH(ROWS($AG$2:AG8),$AG$2:$AG$1001,0),MATCH(COLUMNS($AN$1006:AU1006),$AN$1006:$BO$1006,0)), HYPERLINK("#",""), HYPERLINK(CONCATENATE("#Metadata!", ADDRESS(INDEX($AI$2:$AI$1001,MATCH(ROWS($AG$2:AG8),$AG$2:$AG$1001,0),0), INDEX($AN$1004:$BO$1004,1,MATCH(COLUMNS($AN$1006:AU1006),$AN$1006:$BO$1006,0)))),"Fix")))</f>
        <v>0</v>
      </c>
      <c r="J8" s="4">
        <f>IF(OR(INDEX($AH$2:$AH$1001,MATCH(ROWS($AG$2:AG8),$AG$2:$AG$1001,0),1)&gt;=100000,INDEX($AN$1005:$BO$1005,1,MATCH(COLUMNS($AN$1006:AV1006),$AN$1006:$BO$1006,0))&gt;=100000), " ",IF(INDEX($AN$2:$BO$1001,MATCH(ROWS($AG$2:AG8),$AG$2:$AG$1001,0),MATCH(COLUMNS($AN$1006:AV1006),$AN$1006:$BO$1006,0)), HYPERLINK("#",""), HYPERLINK(CONCATENATE("#Metadata!", ADDRESS(INDEX($AI$2:$AI$1001,MATCH(ROWS($AG$2:AG8),$AG$2:$AG$1001,0),0), INDEX($AN$1004:$BO$1004,1,MATCH(COLUMNS($AN$1006:AV1006),$AN$1006:$BO$1006,0)))),"Fix")))</f>
        <v>0</v>
      </c>
      <c r="K8" s="4">
        <f>IF(OR(INDEX($AH$2:$AH$1001,MATCH(ROWS($AG$2:AG8),$AG$2:$AG$1001,0),1)&gt;=100000,INDEX($AN$1005:$BO$1005,1,MATCH(COLUMNS($AN$1006:AW1006),$AN$1006:$BO$1006,0))&gt;=100000), " ",IF(INDEX($AN$2:$BO$1001,MATCH(ROWS($AG$2:AG8),$AG$2:$AG$1001,0),MATCH(COLUMNS($AN$1006:AW1006),$AN$1006:$BO$1006,0)), HYPERLINK("#",""), HYPERLINK(CONCATENATE("#Metadata!", ADDRESS(INDEX($AI$2:$AI$1001,MATCH(ROWS($AG$2:AG8),$AG$2:$AG$1001,0),0), INDEX($AN$1004:$BO$1004,1,MATCH(COLUMNS($AN$1006:AW1006),$AN$1006:$BO$1006,0)))),"Fix")))</f>
        <v>0</v>
      </c>
      <c r="L8" s="4">
        <f>IF(OR(INDEX($AH$2:$AH$1001,MATCH(ROWS($AG$2:AG8),$AG$2:$AG$1001,0),1)&gt;=100000,INDEX($AN$1005:$BO$1005,1,MATCH(COLUMNS($AN$1006:AX1006),$AN$1006:$BO$1006,0))&gt;=100000), " ",IF(INDEX($AN$2:$BO$1001,MATCH(ROWS($AG$2:AG8),$AG$2:$AG$1001,0),MATCH(COLUMNS($AN$1006:AX1006),$AN$1006:$BO$1006,0)), HYPERLINK("#",""), HYPERLINK(CONCATENATE("#Metadata!", ADDRESS(INDEX($AI$2:$AI$1001,MATCH(ROWS($AG$2:AG8),$AG$2:$AG$1001,0),0), INDEX($AN$1004:$BO$1004,1,MATCH(COLUMNS($AN$1006:AX1006),$AN$1006:$BO$1006,0)))),"Fix")))</f>
        <v>0</v>
      </c>
      <c r="M8" s="4">
        <f>IF(OR(INDEX($AH$2:$AH$1001,MATCH(ROWS($AG$2:AG8),$AG$2:$AG$1001,0),1)&gt;=100000,INDEX($AN$1005:$BO$1005,1,MATCH(COLUMNS($AN$1006:AY1006),$AN$1006:$BO$1006,0))&gt;=100000), " ",IF(INDEX($AN$2:$BO$1001,MATCH(ROWS($AG$2:AG8),$AG$2:$AG$1001,0),MATCH(COLUMNS($AN$1006:AY1006),$AN$1006:$BO$1006,0)), HYPERLINK("#",""), HYPERLINK(CONCATENATE("#Metadata!", ADDRESS(INDEX($AI$2:$AI$1001,MATCH(ROWS($AG$2:AG8),$AG$2:$AG$1001,0),0), INDEX($AN$1004:$BO$1004,1,MATCH(COLUMNS($AN$1006:AY1006),$AN$1006:$BO$1006,0)))),"Fix")))</f>
        <v>0</v>
      </c>
      <c r="N8" s="4">
        <f>IF(OR(INDEX($AH$2:$AH$1001,MATCH(ROWS($AG$2:AG8),$AG$2:$AG$1001,0),1)&gt;=100000,INDEX($AN$1005:$BO$1005,1,MATCH(COLUMNS($AN$1006:AZ1006),$AN$1006:$BO$1006,0))&gt;=100000), " ",IF(INDEX($AN$2:$BO$1001,MATCH(ROWS($AG$2:AG8),$AG$2:$AG$1001,0),MATCH(COLUMNS($AN$1006:AZ1006),$AN$1006:$BO$1006,0)), HYPERLINK("#",""), HYPERLINK(CONCATENATE("#Metadata!", ADDRESS(INDEX($AI$2:$AI$1001,MATCH(ROWS($AG$2:AG8),$AG$2:$AG$1001,0),0), INDEX($AN$1004:$BO$1004,1,MATCH(COLUMNS($AN$1006:AZ1006),$AN$1006:$BO$1006,0)))),"Fix")))</f>
        <v>0</v>
      </c>
      <c r="O8" s="4">
        <f>IF(OR(INDEX($AH$2:$AH$1001,MATCH(ROWS($AG$2:AG8),$AG$2:$AG$1001,0),1)&gt;=100000,INDEX($AN$1005:$BO$1005,1,MATCH(COLUMNS($AN$1006:BA1006),$AN$1006:$BO$1006,0))&gt;=100000), " ",IF(INDEX($AN$2:$BO$1001,MATCH(ROWS($AG$2:AG8),$AG$2:$AG$1001,0),MATCH(COLUMNS($AN$1006:BA1006),$AN$1006:$BO$1006,0)), HYPERLINK("#",""), HYPERLINK(CONCATENATE("#Metadata!", ADDRESS(INDEX($AI$2:$AI$1001,MATCH(ROWS($AG$2:AG8),$AG$2:$AG$1001,0),0), INDEX($AN$1004:$BO$1004,1,MATCH(COLUMNS($AN$1006:BA1006),$AN$1006:$BO$1006,0)))),"Fix")))</f>
        <v>0</v>
      </c>
      <c r="P8" s="4">
        <f>IF(OR(INDEX($AH$2:$AH$1001,MATCH(ROWS($AG$2:AG8),$AG$2:$AG$1001,0),1)&gt;=100000,INDEX($AN$1005:$BO$1005,1,MATCH(COLUMNS($AN$1006:BB1006),$AN$1006:$BO$1006,0))&gt;=100000), " ",IF(INDEX($AN$2:$BO$1001,MATCH(ROWS($AG$2:AG8),$AG$2:$AG$1001,0),MATCH(COLUMNS($AN$1006:BB1006),$AN$1006:$BO$1006,0)), HYPERLINK("#",""), HYPERLINK(CONCATENATE("#Metadata!", ADDRESS(INDEX($AI$2:$AI$1001,MATCH(ROWS($AG$2:AG8),$AG$2:$AG$1001,0),0), INDEX($AN$1004:$BO$1004,1,MATCH(COLUMNS($AN$1006:BB1006),$AN$1006:$BO$1006,0)))),"Fix")))</f>
        <v>0</v>
      </c>
      <c r="Q8" s="4">
        <f>IF(OR(INDEX($AH$2:$AH$1001,MATCH(ROWS($AG$2:AG8),$AG$2:$AG$1001,0),1)&gt;=100000,INDEX($AN$1005:$BO$1005,1,MATCH(COLUMNS($AN$1006:BC1006),$AN$1006:$BO$1006,0))&gt;=100000), " ",IF(INDEX($AN$2:$BO$1001,MATCH(ROWS($AG$2:AG8),$AG$2:$AG$1001,0),MATCH(COLUMNS($AN$1006:BC1006),$AN$1006:$BO$1006,0)), HYPERLINK("#",""), HYPERLINK(CONCATENATE("#Metadata!", ADDRESS(INDEX($AI$2:$AI$1001,MATCH(ROWS($AG$2:AG8),$AG$2:$AG$1001,0),0), INDEX($AN$1004:$BO$1004,1,MATCH(COLUMNS($AN$1006:BC1006),$AN$1006:$BO$1006,0)))),"Fix")))</f>
        <v>0</v>
      </c>
      <c r="R8" s="4">
        <f>IF(OR(INDEX($AH$2:$AH$1001,MATCH(ROWS($AG$2:AG8),$AG$2:$AG$1001,0),1)&gt;=100000,INDEX($AN$1005:$BO$1005,1,MATCH(COLUMNS($AN$1006:BD1006),$AN$1006:$BO$1006,0))&gt;=100000), " ",IF(INDEX($AN$2:$BO$1001,MATCH(ROWS($AG$2:AG8),$AG$2:$AG$1001,0),MATCH(COLUMNS($AN$1006:BD1006),$AN$1006:$BO$1006,0)), HYPERLINK("#",""), HYPERLINK(CONCATENATE("#Metadata!", ADDRESS(INDEX($AI$2:$AI$1001,MATCH(ROWS($AG$2:AG8),$AG$2:$AG$1001,0),0), INDEX($AN$1004:$BO$1004,1,MATCH(COLUMNS($AN$1006:BD1006),$AN$1006:$BO$1006,0)))),"Fix")))</f>
        <v>0</v>
      </c>
      <c r="S8" s="4">
        <f>IF(OR(INDEX($AH$2:$AH$1001,MATCH(ROWS($AG$2:AG8),$AG$2:$AG$1001,0),1)&gt;=100000,INDEX($AN$1005:$BO$1005,1,MATCH(COLUMNS($AN$1006:BE1006),$AN$1006:$BO$1006,0))&gt;=100000), " ",IF(INDEX($AN$2:$BO$1001,MATCH(ROWS($AG$2:AG8),$AG$2:$AG$1001,0),MATCH(COLUMNS($AN$1006:BE1006),$AN$1006:$BO$1006,0)), HYPERLINK("#",""), HYPERLINK(CONCATENATE("#Metadata!", ADDRESS(INDEX($AI$2:$AI$1001,MATCH(ROWS($AG$2:AG8),$AG$2:$AG$1001,0),0), INDEX($AN$1004:$BO$1004,1,MATCH(COLUMNS($AN$1006:BE1006),$AN$1006:$BO$1006,0)))),"Fix")))</f>
        <v>0</v>
      </c>
      <c r="T8" s="4">
        <f>IF(OR(INDEX($AH$2:$AH$1001,MATCH(ROWS($AG$2:AG8),$AG$2:$AG$1001,0),1)&gt;=100000,INDEX($AN$1005:$BO$1005,1,MATCH(COLUMNS($AN$1006:BF1006),$AN$1006:$BO$1006,0))&gt;=100000), " ",IF(INDEX($AN$2:$BO$1001,MATCH(ROWS($AG$2:AG8),$AG$2:$AG$1001,0),MATCH(COLUMNS($AN$1006:BF1006),$AN$1006:$BO$1006,0)), HYPERLINK("#",""), HYPERLINK(CONCATENATE("#Metadata!", ADDRESS(INDEX($AI$2:$AI$1001,MATCH(ROWS($AG$2:AG8),$AG$2:$AG$1001,0),0), INDEX($AN$1004:$BO$1004,1,MATCH(COLUMNS($AN$1006:BF1006),$AN$1006:$BO$1006,0)))),"Fix")))</f>
        <v>0</v>
      </c>
      <c r="U8" s="4">
        <f>IF(OR(INDEX($AH$2:$AH$1001,MATCH(ROWS($AG$2:AG8),$AG$2:$AG$1001,0),1)&gt;=100000,INDEX($AN$1005:$BO$1005,1,MATCH(COLUMNS($AN$1006:BG1006),$AN$1006:$BO$1006,0))&gt;=100000), " ",IF(INDEX($AN$2:$BO$1001,MATCH(ROWS($AG$2:AG8),$AG$2:$AG$1001,0),MATCH(COLUMNS($AN$1006:BG1006),$AN$1006:$BO$1006,0)), HYPERLINK("#",""), HYPERLINK(CONCATENATE("#Metadata!", ADDRESS(INDEX($AI$2:$AI$1001,MATCH(ROWS($AG$2:AG8),$AG$2:$AG$1001,0),0), INDEX($AN$1004:$BO$1004,1,MATCH(COLUMNS($AN$1006:BG1006),$AN$1006:$BO$1006,0)))),"Fix")))</f>
        <v>0</v>
      </c>
      <c r="V8" s="4">
        <f>IF(OR(INDEX($AH$2:$AH$1001,MATCH(ROWS($AG$2:AG8),$AG$2:$AG$1001,0),1)&gt;=100000,INDEX($AN$1005:$BO$1005,1,MATCH(COLUMNS($AN$1006:BH1006),$AN$1006:$BO$1006,0))&gt;=100000), " ",IF(INDEX($AN$2:$BO$1001,MATCH(ROWS($AG$2:AG8),$AG$2:$AG$1001,0),MATCH(COLUMNS($AN$1006:BH1006),$AN$1006:$BO$1006,0)), HYPERLINK("#",""), HYPERLINK(CONCATENATE("#Metadata!", ADDRESS(INDEX($AI$2:$AI$1001,MATCH(ROWS($AG$2:AG8),$AG$2:$AG$1001,0),0), INDEX($AN$1004:$BO$1004,1,MATCH(COLUMNS($AN$1006:BH1006),$AN$1006:$BO$1006,0)))),"Fix")))</f>
        <v>0</v>
      </c>
      <c r="W8" s="4">
        <f>IF(OR(INDEX($AH$2:$AH$1001,MATCH(ROWS($AG$2:AG8),$AG$2:$AG$1001,0),1)&gt;=100000,INDEX($AN$1005:$BO$1005,1,MATCH(COLUMNS($AN$1006:BI1006),$AN$1006:$BO$1006,0))&gt;=100000), " ",IF(INDEX($AN$2:$BO$1001,MATCH(ROWS($AG$2:AG8),$AG$2:$AG$1001,0),MATCH(COLUMNS($AN$1006:BI1006),$AN$1006:$BO$1006,0)), HYPERLINK("#",""), HYPERLINK(CONCATENATE("#Metadata!", ADDRESS(INDEX($AI$2:$AI$1001,MATCH(ROWS($AG$2:AG8),$AG$2:$AG$1001,0),0), INDEX($AN$1004:$BO$1004,1,MATCH(COLUMNS($AN$1006:BI1006),$AN$1006:$BO$1006,0)))),"Fix")))</f>
        <v>0</v>
      </c>
      <c r="X8" s="4">
        <f>IF(OR(INDEX($AH$2:$AH$1001,MATCH(ROWS($AG$2:AG8),$AG$2:$AG$1001,0),1)&gt;=100000,INDEX($AN$1005:$BO$1005,1,MATCH(COLUMNS($AN$1006:BJ1006),$AN$1006:$BO$1006,0))&gt;=100000), " ",IF(INDEX($AN$2:$BO$1001,MATCH(ROWS($AG$2:AG8),$AG$2:$AG$1001,0),MATCH(COLUMNS($AN$1006:BJ1006),$AN$1006:$BO$1006,0)), HYPERLINK("#",""), HYPERLINK(CONCATENATE("#Metadata!", ADDRESS(INDEX($AI$2:$AI$1001,MATCH(ROWS($AG$2:AG8),$AG$2:$AG$1001,0),0), INDEX($AN$1004:$BO$1004,1,MATCH(COLUMNS($AN$1006:BJ1006),$AN$1006:$BO$1006,0)))),"Fix")))</f>
        <v>0</v>
      </c>
      <c r="Y8" s="4">
        <f>IF(OR(INDEX($AH$2:$AH$1001,MATCH(ROWS($AG$2:AG8),$AG$2:$AG$1001,0),1)&gt;=100000,INDEX($AN$1005:$BO$1005,1,MATCH(COLUMNS($AN$1006:BK1006),$AN$1006:$BO$1006,0))&gt;=100000), " ",IF(INDEX($AN$2:$BO$1001,MATCH(ROWS($AG$2:AG8),$AG$2:$AG$1001,0),MATCH(COLUMNS($AN$1006:BK1006),$AN$1006:$BO$1006,0)), HYPERLINK("#",""), HYPERLINK(CONCATENATE("#Metadata!", ADDRESS(INDEX($AI$2:$AI$1001,MATCH(ROWS($AG$2:AG8),$AG$2:$AG$1001,0),0), INDEX($AN$1004:$BO$1004,1,MATCH(COLUMNS($AN$1006:BK1006),$AN$1006:$BO$1006,0)))),"Fix")))</f>
        <v>0</v>
      </c>
      <c r="Z8" s="4">
        <f>IF(OR(INDEX($AH$2:$AH$1001,MATCH(ROWS($AG$2:AG8),$AG$2:$AG$1001,0),1)&gt;=100000,INDEX($AN$1005:$BO$1005,1,MATCH(COLUMNS($AN$1006:BL1006),$AN$1006:$BO$1006,0))&gt;=100000), " ",IF(INDEX($AN$2:$BO$1001,MATCH(ROWS($AG$2:AG8),$AG$2:$AG$1001,0),MATCH(COLUMNS($AN$1006:BL1006),$AN$1006:$BO$1006,0)), HYPERLINK("#",""), HYPERLINK(CONCATENATE("#Metadata!", ADDRESS(INDEX($AI$2:$AI$1001,MATCH(ROWS($AG$2:AG8),$AG$2:$AG$1001,0),0), INDEX($AN$1004:$BO$1004,1,MATCH(COLUMNS($AN$1006:BL1006),$AN$1006:$BO$1006,0)))),"Fix")))</f>
        <v>0</v>
      </c>
      <c r="AA8" s="4">
        <f>IF(OR(INDEX($AH$2:$AH$1001,MATCH(ROWS($AG$2:AG8),$AG$2:$AG$1001,0),1)&gt;=100000,INDEX($AN$1005:$BO$1005,1,MATCH(COLUMNS($AN$1006:BM1006),$AN$1006:$BO$1006,0))&gt;=100000), " ",IF(INDEX($AN$2:$BO$1001,MATCH(ROWS($AG$2:AG8),$AG$2:$AG$1001,0),MATCH(COLUMNS($AN$1006:BM1006),$AN$1006:$BO$1006,0)), HYPERLINK("#",""), HYPERLINK(CONCATENATE("#Metadata!", ADDRESS(INDEX($AI$2:$AI$1001,MATCH(ROWS($AG$2:AG8),$AG$2:$AG$1001,0),0), INDEX($AN$1004:$BO$1004,1,MATCH(COLUMNS($AN$1006:BM1006),$AN$1006:$BO$1006,0)))),"Fix")))</f>
        <v>0</v>
      </c>
      <c r="AB8" s="4">
        <f>IF(OR(INDEX($AH$2:$AH$1001,MATCH(ROWS($AG$2:AG8),$AG$2:$AG$1001,0),1)&gt;=100000,INDEX($AN$1005:$BO$1005,1,MATCH(COLUMNS($AN$1006:BN1006),$AN$1006:$BO$1006,0))&gt;=100000), " ",IF(INDEX($AN$2:$BO$1001,MATCH(ROWS($AG$2:AG8),$AG$2:$AG$1001,0),MATCH(COLUMNS($AN$1006:BN1006),$AN$1006:$BO$1006,0)), HYPERLINK("#",""), HYPERLINK(CONCATENATE("#Metadata!", ADDRESS(INDEX($AI$2:$AI$1001,MATCH(ROWS($AG$2:AG8),$AG$2:$AG$1001,0),0), INDEX($AN$1004:$BO$1004,1,MATCH(COLUMNS($AN$1006:BN1006),$AN$1006:$BO$1006,0)))),"Fix")))</f>
        <v>0</v>
      </c>
      <c r="AC8" s="4">
        <f>IF(OR(INDEX($AH$2:$AH$1001,MATCH(ROWS($AG$2:AG8),$AG$2:$AG$1001,0),1)&gt;=100000,INDEX($AN$1005:$BO$1005,1,MATCH(COLUMNS($AN$1006:BO1006),$AN$1006:$BO$1006,0))&gt;=100000), " ",IF(INDEX($AN$2:$BO$1001,MATCH(ROWS($AG$2:AG8),$AG$2:$AG$1001,0),MATCH(COLUMNS($AN$1006:BO1006),$AN$1006:$BO$1006,0)), HYPERLINK("#",""), HYPERLINK(CONCATENATE("#Metadata!", ADDRESS(INDEX($AI$2:$AI$1001,MATCH(ROWS($AG$2:AG8),$AG$2:$AG$1001,0),0), INDEX($AN$1004:$BO$1004,1,MATCH(COLUMNS($AN$1006:BO1006),$AN$1006:$BO$1006,0)))),"Fix")))</f>
        <v>0</v>
      </c>
      <c r="AG8">
        <v>0</v>
      </c>
      <c r="AH8">
        <v>0</v>
      </c>
      <c r="AI8">
        <v>0</v>
      </c>
      <c r="AJ8">
        <f>IF(AK8,TRUE,AND(AN8:BO8))</f>
        <v>0</v>
      </c>
      <c r="AK8">
        <f>COUNTBLANK(Metadata!B8:AC8)=COLUMNS(Metadata!B8:AC8)</f>
        <v>0</v>
      </c>
      <c r="AL8">
        <v>0</v>
      </c>
      <c r="AN8">
        <f>AND(IF(Metadata!B8="",FALSE,TRUE),COUNTIF(Metadata!B:B, Metadata!B8) = 1,NOT(ISERROR(SUMPRODUCT(SEARCH(MID(Metadata!B8,ROW(INDIRECT("1:"&amp;LEN(Metadata!B8))), 1),"0123456789abcdefghijklmnopqrstuvwxyzABCDEFGHIJKLMNOPQRSTUVWXYZ.")))))</f>
        <v>0</v>
      </c>
      <c r="AO8">
        <f>IF(Metadata!C8="",FALSE,TRUE)</f>
        <v>0</v>
      </c>
      <c r="AP8">
        <f>IF(Metadata!D8="",FALSE,TRUE)</f>
        <v>0</v>
      </c>
      <c r="AQ8">
        <f>OR(AND(IF(Metadata!E8="",FALSE,TRUE),OR(exact(Metadata!E8,"not collected"),exact(Metadata!E8,"not provided"),exact(Metadata!E8,"restricted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R8">
        <f>IF(Metadata!F8="",FALSE,TRUE)</f>
        <v>0</v>
      </c>
      <c r="AS8">
        <f>OR(AND(IF(Metadata!G8="",FALSE,TRUE),OR(exact(Metadata!G8,"not collected"),exact(Metadata!G8,"not provided"))),AND(IF(Metadata!G8="",FALSE,TRUE),OR(exact(Metadata!G8,"TRUE"),exact(Metadata!G8,"FALSE"))))</f>
        <v>0</v>
      </c>
      <c r="AT8">
        <f>OR(AND(IF(Metadata!H8="",FALSE,TRUE),OR(exact(Metadata!H8,"not collected"),exact(Metadata!H8,"not provided"),exact(Metadata!H8,"restricted access"))),AND(IF(Metadata!H8="",FALSE,ISNUMBER(VALUE(Metadata!H8))),Metadata!H8&gt;=-413.0))</f>
        <v>0</v>
      </c>
      <c r="AU8">
        <f>AND(IF(Metadata!I8="",FALSE,TRUE),exact(Metadata!I8,"meters"))</f>
        <v>0</v>
      </c>
      <c r="AV8">
        <f>AND(IF(Metadata!J8="",FALSE,TRUE),OR(exact(Metadata!J8,"Host-associated"),exact(Metadata!J8,"Free-living")))</f>
        <v>0</v>
      </c>
      <c r="AW8">
        <f>AND(IF(Metadata!K8="",FALSE,TRUE),OR(exact(Metadata!K8,"Animal"),exact(Metadata!K8,"Fungus"),exact(Metadata!K8,"Plant"),exact(Metadata!K8,"Saline"),exact(Metadata!K8,"Non-saline")))</f>
        <v>0</v>
      </c>
      <c r="AX8">
        <f>AND(IF(Metadata!L8="",FALSE,TRUE),OR(exact(Metadata!L8,"Plant secretion"),exact(Metadata!L8,"Plant rhizosphere"),exact(Metadata!L8,"Plant surface"),exact(Metadata!L8,"Plant corpus"),exact(Metadata!L8,"Fungus surface"),exact(Metadata!L8,"Fungus corpus"),exact(Metadata!L8,"Animal surface"),exact(Metadata!L8,"Animal proximal gut"),exact(Metadata!L8,"Animal corpus"),exact(Metadata!L8,"Animal distal gut"),exact(Metadata!L8,"Animal secretion"),exact(Metadata!L8,"Sub-surface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0</v>
      </c>
      <c r="AY8">
        <f>IF(Metadata!M8="",FALSE,TRUE)</f>
        <v>0</v>
      </c>
      <c r="AZ8">
        <f>IF(Metadata!N8="",FALSE,TRUE)</f>
        <v>0</v>
      </c>
      <c r="BA8">
        <f>IF(Metadata!O8="",FALSE,TRUE)</f>
        <v>0</v>
      </c>
      <c r="BB8">
        <f>OR(AND(IF(Metadata!P8="",FALSE,TRUE),OR(exact(Metadata!P8,"not collected"),exact(Metadata!P8,"not provided"),exact(Metadata!P8,"restricted access"))),AND(IF(Metadata!P8="",FALSE,TRUE),OR(exact(Metadata!P8,"air"),exact(Metadata!P8,"built environment"),exact(Metadata!P8,"host-associated"),exact(Metadata!P8,"human-associated"),exact(Metadata!P8,"human-skin"),exact(Metadata!P8,"human-oral"),exact(Metadata!P8,"human-gut"),exact(Metadata!P8,"human-vaginal"),exact(Metadata!P8,"microbial mat/biofilm"),exact(Metadata!P8,"misc environment"),exact(Metadata!P8,"plant-associated"),exact(Metadata!P8,"sediment"),exact(Metadata!P8,"soil"),exact(Metadata!P8,"wastewater/sludge"),exact(Metadata!P8,"water"))))</f>
        <v>0</v>
      </c>
      <c r="BC8">
        <f>IF(Metadata!Q8="",FALSE,TRUE)</f>
        <v>0</v>
      </c>
      <c r="BD8">
        <f>IF(Metadata!R8="",FALSE,TRUE)</f>
        <v>0</v>
      </c>
      <c r="BE8">
        <f>OR(AND(IF(Metadata!S8="",FALSE,TRUE),OR(exact(Metadata!S8,"not collected"),exact(Metadata!S8,"not provided"),exact(Metadata!S8,"restricted access"))),AND(IF(Metadata!S8="",FALSE,ISNUMBER(VALUE(Metadata!S8))),Metadata!S8&gt;=-90.00,Metadata!S8&lt;=90.00))</f>
        <v>0</v>
      </c>
      <c r="BF8">
        <f>AND(IF(Metadata!T8="",FALSE,TRUE),exact(Metadata!T8,"Decimal degrees"))</f>
        <v>0</v>
      </c>
      <c r="BG8">
        <f>OR(AND(IF(Metadata!U8="",FALSE,TRUE),OR(exact(Metadata!U8,"not collected"),exact(Metadata!U8,"not provided"),exact(Metadata!U8,"restricted access"))),AND(IF(Metadata!U8="",FALSE,ISNUMBER(VALUE(Metadata!U8))),Metadata!U8&gt;=-180.00,Metadata!U8&lt;=180.00))</f>
        <v>0</v>
      </c>
      <c r="BH8">
        <f>AND(IF(Metadata!V8="",FALSE,TRUE),exact(Metadata!V8,"Decimal degrees"))</f>
        <v>0</v>
      </c>
      <c r="BI8">
        <f>IF(Metadata!W8="",FALSE,TRUE)</f>
        <v>0</v>
      </c>
      <c r="BJ8">
        <f>OR(AND(IF(Metadata!X8="",FALSE,TRUE),OR(exact(Metadata!X8,"not collected"),exact(Metadata!X8,"not provided"),exact(Metadata!X8,"restricted access"))),AND(IF(Metadata!X8="",FALSE,TRUE),OR(exact(Metadata!X8,"TRUE"),exact(Metadata!X8,"FALSE"))))</f>
        <v>0</v>
      </c>
      <c r="BK8">
        <f>AND(IF(Metadata!Y8="",FALSE,TRUE),exact(Metadata!Y8,"other"))</f>
        <v>0</v>
      </c>
      <c r="BL8">
        <f>IF(Metadata!Z8="",FALSE,TRUE)</f>
        <v>0</v>
      </c>
      <c r="BM8">
        <f>OR(AND(IF(Metadata!AA8="",FALSE,TRUE),OR(exact(Metadata!AA8,"not collected"),exact(Metadata!AA8,"not provided"))),AND(IF(Metadata!AA8="",FALSE,IF(ISERROR(INT(Metadata!AA8)),FALSE,INT(Metadata!AA8)=Metadata!AA8)),Metadata!AA8&gt;0))</f>
        <v>0</v>
      </c>
      <c r="BN8">
        <f>AND(IF(Metadata!AB8="",FALSE,TRUE),exact(Metadata!AB8,"Not applicable"))</f>
        <v>0</v>
      </c>
      <c r="BO8">
        <f>IF(Metadata!AC8="",FALSE,TRUE)</f>
        <v>0</v>
      </c>
    </row>
    <row r="9" spans="1:67">
      <c r="A9" s="5">
        <f>IF(B9=" "," ",HYPERLINK(CONCATENATE("#metadata!",ADDRESS(INDEX($AI$2:$AI$1001,MATCH(ROWS($AG$2:AG9),$AG$2:$AG$1001,0),0),1)),INDEX($AL$2:$AL$1001,MATCH(ROWS($AG$2:AG9),$AG$2:$AG$1001,0),0)))</f>
        <v>0</v>
      </c>
      <c r="B9" s="4">
        <f>IF(OR(INDEX($AH$2:$AH$1001,MATCH(ROWS($AG$2:AG9),$AG$2:$AG$1001,0),1)&gt;=100000,INDEX($AN$1005:$BO$1005,1,MATCH(COLUMNS($AN$1006:AN1006),$AN$1006:$BO$1006,0))&gt;=100000), " ",IF(INDEX($AN$2:$BO$1001,MATCH(ROWS($AG$2:AG9),$AG$2:$AG$1001,0),MATCH(COLUMNS($AN$1006:AN1006),$AN$1006:$BO$1006,0)), HYPERLINK("#",""), HYPERLINK(CONCATENATE("#Metadata!", ADDRESS(INDEX($AI$2:$AI$1001,MATCH(ROWS($AG$2:AG9),$AG$2:$AG$1001,0),0), INDEX($AN$1004:$BO$1004,1,MATCH(COLUMNS($AN$1006:AN1006),$AN$1006:$BO$1006,0)))),"Fix")))</f>
        <v>0</v>
      </c>
      <c r="C9" s="4">
        <f>IF(OR(INDEX($AH$2:$AH$1001,MATCH(ROWS($AG$2:AG9),$AG$2:$AG$1001,0),1)&gt;=100000,INDEX($AN$1005:$BO$1005,1,MATCH(COLUMNS($AN$1006:AO1006),$AN$1006:$BO$1006,0))&gt;=100000), " ",IF(INDEX($AN$2:$BO$1001,MATCH(ROWS($AG$2:AG9),$AG$2:$AG$1001,0),MATCH(COLUMNS($AN$1006:AO1006),$AN$1006:$BO$1006,0)), HYPERLINK("#",""), HYPERLINK(CONCATENATE("#Metadata!", ADDRESS(INDEX($AI$2:$AI$1001,MATCH(ROWS($AG$2:AG9),$AG$2:$AG$1001,0),0), INDEX($AN$1004:$BO$1004,1,MATCH(COLUMNS($AN$1006:AO1006),$AN$1006:$BO$1006,0)))),"Fix")))</f>
        <v>0</v>
      </c>
      <c r="D9" s="4">
        <f>IF(OR(INDEX($AH$2:$AH$1001,MATCH(ROWS($AG$2:AG9),$AG$2:$AG$1001,0),1)&gt;=100000,INDEX($AN$1005:$BO$1005,1,MATCH(COLUMNS($AN$1006:AP1006),$AN$1006:$BO$1006,0))&gt;=100000), " ",IF(INDEX($AN$2:$BO$1001,MATCH(ROWS($AG$2:AG9),$AG$2:$AG$1001,0),MATCH(COLUMNS($AN$1006:AP1006),$AN$1006:$BO$1006,0)), HYPERLINK("#",""), HYPERLINK(CONCATENATE("#Metadata!", ADDRESS(INDEX($AI$2:$AI$1001,MATCH(ROWS($AG$2:AG9),$AG$2:$AG$1001,0),0), INDEX($AN$1004:$BO$1004,1,MATCH(COLUMNS($AN$1006:AP1006),$AN$1006:$BO$1006,0)))),"Fix")))</f>
        <v>0</v>
      </c>
      <c r="E9" s="4">
        <f>IF(OR(INDEX($AH$2:$AH$1001,MATCH(ROWS($AG$2:AG9),$AG$2:$AG$1001,0),1)&gt;=100000,INDEX($AN$1005:$BO$1005,1,MATCH(COLUMNS($AN$1006:AQ1006),$AN$1006:$BO$1006,0))&gt;=100000), " ",IF(INDEX($AN$2:$BO$1001,MATCH(ROWS($AG$2:AG9),$AG$2:$AG$1001,0),MATCH(COLUMNS($AN$1006:AQ1006),$AN$1006:$BO$1006,0)), HYPERLINK("#",""), HYPERLINK(CONCATENATE("#Metadata!", ADDRESS(INDEX($AI$2:$AI$1001,MATCH(ROWS($AG$2:AG9),$AG$2:$AG$1001,0),0), INDEX($AN$1004:$BO$1004,1,MATCH(COLUMNS($AN$1006:AQ1006),$AN$1006:$BO$1006,0)))),"Fix")))</f>
        <v>0</v>
      </c>
      <c r="F9" s="4">
        <f>IF(OR(INDEX($AH$2:$AH$1001,MATCH(ROWS($AG$2:AG9),$AG$2:$AG$1001,0),1)&gt;=100000,INDEX($AN$1005:$BO$1005,1,MATCH(COLUMNS($AN$1006:AR1006),$AN$1006:$BO$1006,0))&gt;=100000), " ",IF(INDEX($AN$2:$BO$1001,MATCH(ROWS($AG$2:AG9),$AG$2:$AG$1001,0),MATCH(COLUMNS($AN$1006:AR1006),$AN$1006:$BO$1006,0)), HYPERLINK("#",""), HYPERLINK(CONCATENATE("#Metadata!", ADDRESS(INDEX($AI$2:$AI$1001,MATCH(ROWS($AG$2:AG9),$AG$2:$AG$1001,0),0), INDEX($AN$1004:$BO$1004,1,MATCH(COLUMNS($AN$1006:AR1006),$AN$1006:$BO$1006,0)))),"Fix")))</f>
        <v>0</v>
      </c>
      <c r="G9" s="4">
        <f>IF(OR(INDEX($AH$2:$AH$1001,MATCH(ROWS($AG$2:AG9),$AG$2:$AG$1001,0),1)&gt;=100000,INDEX($AN$1005:$BO$1005,1,MATCH(COLUMNS($AN$1006:AS1006),$AN$1006:$BO$1006,0))&gt;=100000), " ",IF(INDEX($AN$2:$BO$1001,MATCH(ROWS($AG$2:AG9),$AG$2:$AG$1001,0),MATCH(COLUMNS($AN$1006:AS1006),$AN$1006:$BO$1006,0)), HYPERLINK("#",""), HYPERLINK(CONCATENATE("#Metadata!", ADDRESS(INDEX($AI$2:$AI$1001,MATCH(ROWS($AG$2:AG9),$AG$2:$AG$1001,0),0), INDEX($AN$1004:$BO$1004,1,MATCH(COLUMNS($AN$1006:AS1006),$AN$1006:$BO$1006,0)))),"Fix")))</f>
        <v>0</v>
      </c>
      <c r="H9" s="4">
        <f>IF(OR(INDEX($AH$2:$AH$1001,MATCH(ROWS($AG$2:AG9),$AG$2:$AG$1001,0),1)&gt;=100000,INDEX($AN$1005:$BO$1005,1,MATCH(COLUMNS($AN$1006:AT1006),$AN$1006:$BO$1006,0))&gt;=100000), " ",IF(INDEX($AN$2:$BO$1001,MATCH(ROWS($AG$2:AG9),$AG$2:$AG$1001,0),MATCH(COLUMNS($AN$1006:AT1006),$AN$1006:$BO$1006,0)), HYPERLINK("#",""), HYPERLINK(CONCATENATE("#Metadata!", ADDRESS(INDEX($AI$2:$AI$1001,MATCH(ROWS($AG$2:AG9),$AG$2:$AG$1001,0),0), INDEX($AN$1004:$BO$1004,1,MATCH(COLUMNS($AN$1006:AT1006),$AN$1006:$BO$1006,0)))),"Fix")))</f>
        <v>0</v>
      </c>
      <c r="I9" s="4">
        <f>IF(OR(INDEX($AH$2:$AH$1001,MATCH(ROWS($AG$2:AG9),$AG$2:$AG$1001,0),1)&gt;=100000,INDEX($AN$1005:$BO$1005,1,MATCH(COLUMNS($AN$1006:AU1006),$AN$1006:$BO$1006,0))&gt;=100000), " ",IF(INDEX($AN$2:$BO$1001,MATCH(ROWS($AG$2:AG9),$AG$2:$AG$1001,0),MATCH(COLUMNS($AN$1006:AU1006),$AN$1006:$BO$1006,0)), HYPERLINK("#",""), HYPERLINK(CONCATENATE("#Metadata!", ADDRESS(INDEX($AI$2:$AI$1001,MATCH(ROWS($AG$2:AG9),$AG$2:$AG$1001,0),0), INDEX($AN$1004:$BO$1004,1,MATCH(COLUMNS($AN$1006:AU1006),$AN$1006:$BO$1006,0)))),"Fix")))</f>
        <v>0</v>
      </c>
      <c r="J9" s="4">
        <f>IF(OR(INDEX($AH$2:$AH$1001,MATCH(ROWS($AG$2:AG9),$AG$2:$AG$1001,0),1)&gt;=100000,INDEX($AN$1005:$BO$1005,1,MATCH(COLUMNS($AN$1006:AV1006),$AN$1006:$BO$1006,0))&gt;=100000), " ",IF(INDEX($AN$2:$BO$1001,MATCH(ROWS($AG$2:AG9),$AG$2:$AG$1001,0),MATCH(COLUMNS($AN$1006:AV1006),$AN$1006:$BO$1006,0)), HYPERLINK("#",""), HYPERLINK(CONCATENATE("#Metadata!", ADDRESS(INDEX($AI$2:$AI$1001,MATCH(ROWS($AG$2:AG9),$AG$2:$AG$1001,0),0), INDEX($AN$1004:$BO$1004,1,MATCH(COLUMNS($AN$1006:AV1006),$AN$1006:$BO$1006,0)))),"Fix")))</f>
        <v>0</v>
      </c>
      <c r="K9" s="4">
        <f>IF(OR(INDEX($AH$2:$AH$1001,MATCH(ROWS($AG$2:AG9),$AG$2:$AG$1001,0),1)&gt;=100000,INDEX($AN$1005:$BO$1005,1,MATCH(COLUMNS($AN$1006:AW1006),$AN$1006:$BO$1006,0))&gt;=100000), " ",IF(INDEX($AN$2:$BO$1001,MATCH(ROWS($AG$2:AG9),$AG$2:$AG$1001,0),MATCH(COLUMNS($AN$1006:AW1006),$AN$1006:$BO$1006,0)), HYPERLINK("#",""), HYPERLINK(CONCATENATE("#Metadata!", ADDRESS(INDEX($AI$2:$AI$1001,MATCH(ROWS($AG$2:AG9),$AG$2:$AG$1001,0),0), INDEX($AN$1004:$BO$1004,1,MATCH(COLUMNS($AN$1006:AW1006),$AN$1006:$BO$1006,0)))),"Fix")))</f>
        <v>0</v>
      </c>
      <c r="L9" s="4">
        <f>IF(OR(INDEX($AH$2:$AH$1001,MATCH(ROWS($AG$2:AG9),$AG$2:$AG$1001,0),1)&gt;=100000,INDEX($AN$1005:$BO$1005,1,MATCH(COLUMNS($AN$1006:AX1006),$AN$1006:$BO$1006,0))&gt;=100000), " ",IF(INDEX($AN$2:$BO$1001,MATCH(ROWS($AG$2:AG9),$AG$2:$AG$1001,0),MATCH(COLUMNS($AN$1006:AX1006),$AN$1006:$BO$1006,0)), HYPERLINK("#",""), HYPERLINK(CONCATENATE("#Metadata!", ADDRESS(INDEX($AI$2:$AI$1001,MATCH(ROWS($AG$2:AG9),$AG$2:$AG$1001,0),0), INDEX($AN$1004:$BO$1004,1,MATCH(COLUMNS($AN$1006:AX1006),$AN$1006:$BO$1006,0)))),"Fix")))</f>
        <v>0</v>
      </c>
      <c r="M9" s="4">
        <f>IF(OR(INDEX($AH$2:$AH$1001,MATCH(ROWS($AG$2:AG9),$AG$2:$AG$1001,0),1)&gt;=100000,INDEX($AN$1005:$BO$1005,1,MATCH(COLUMNS($AN$1006:AY1006),$AN$1006:$BO$1006,0))&gt;=100000), " ",IF(INDEX($AN$2:$BO$1001,MATCH(ROWS($AG$2:AG9),$AG$2:$AG$1001,0),MATCH(COLUMNS($AN$1006:AY1006),$AN$1006:$BO$1006,0)), HYPERLINK("#",""), HYPERLINK(CONCATENATE("#Metadata!", ADDRESS(INDEX($AI$2:$AI$1001,MATCH(ROWS($AG$2:AG9),$AG$2:$AG$1001,0),0), INDEX($AN$1004:$BO$1004,1,MATCH(COLUMNS($AN$1006:AY1006),$AN$1006:$BO$1006,0)))),"Fix")))</f>
        <v>0</v>
      </c>
      <c r="N9" s="4">
        <f>IF(OR(INDEX($AH$2:$AH$1001,MATCH(ROWS($AG$2:AG9),$AG$2:$AG$1001,0),1)&gt;=100000,INDEX($AN$1005:$BO$1005,1,MATCH(COLUMNS($AN$1006:AZ1006),$AN$1006:$BO$1006,0))&gt;=100000), " ",IF(INDEX($AN$2:$BO$1001,MATCH(ROWS($AG$2:AG9),$AG$2:$AG$1001,0),MATCH(COLUMNS($AN$1006:AZ1006),$AN$1006:$BO$1006,0)), HYPERLINK("#",""), HYPERLINK(CONCATENATE("#Metadata!", ADDRESS(INDEX($AI$2:$AI$1001,MATCH(ROWS($AG$2:AG9),$AG$2:$AG$1001,0),0), INDEX($AN$1004:$BO$1004,1,MATCH(COLUMNS($AN$1006:AZ1006),$AN$1006:$BO$1006,0)))),"Fix")))</f>
        <v>0</v>
      </c>
      <c r="O9" s="4">
        <f>IF(OR(INDEX($AH$2:$AH$1001,MATCH(ROWS($AG$2:AG9),$AG$2:$AG$1001,0),1)&gt;=100000,INDEX($AN$1005:$BO$1005,1,MATCH(COLUMNS($AN$1006:BA1006),$AN$1006:$BO$1006,0))&gt;=100000), " ",IF(INDEX($AN$2:$BO$1001,MATCH(ROWS($AG$2:AG9),$AG$2:$AG$1001,0),MATCH(COLUMNS($AN$1006:BA1006),$AN$1006:$BO$1006,0)), HYPERLINK("#",""), HYPERLINK(CONCATENATE("#Metadata!", ADDRESS(INDEX($AI$2:$AI$1001,MATCH(ROWS($AG$2:AG9),$AG$2:$AG$1001,0),0), INDEX($AN$1004:$BO$1004,1,MATCH(COLUMNS($AN$1006:BA1006),$AN$1006:$BO$1006,0)))),"Fix")))</f>
        <v>0</v>
      </c>
      <c r="P9" s="4">
        <f>IF(OR(INDEX($AH$2:$AH$1001,MATCH(ROWS($AG$2:AG9),$AG$2:$AG$1001,0),1)&gt;=100000,INDEX($AN$1005:$BO$1005,1,MATCH(COLUMNS($AN$1006:BB1006),$AN$1006:$BO$1006,0))&gt;=100000), " ",IF(INDEX($AN$2:$BO$1001,MATCH(ROWS($AG$2:AG9),$AG$2:$AG$1001,0),MATCH(COLUMNS($AN$1006:BB1006),$AN$1006:$BO$1006,0)), HYPERLINK("#",""), HYPERLINK(CONCATENATE("#Metadata!", ADDRESS(INDEX($AI$2:$AI$1001,MATCH(ROWS($AG$2:AG9),$AG$2:$AG$1001,0),0), INDEX($AN$1004:$BO$1004,1,MATCH(COLUMNS($AN$1006:BB1006),$AN$1006:$BO$1006,0)))),"Fix")))</f>
        <v>0</v>
      </c>
      <c r="Q9" s="4">
        <f>IF(OR(INDEX($AH$2:$AH$1001,MATCH(ROWS($AG$2:AG9),$AG$2:$AG$1001,0),1)&gt;=100000,INDEX($AN$1005:$BO$1005,1,MATCH(COLUMNS($AN$1006:BC1006),$AN$1006:$BO$1006,0))&gt;=100000), " ",IF(INDEX($AN$2:$BO$1001,MATCH(ROWS($AG$2:AG9),$AG$2:$AG$1001,0),MATCH(COLUMNS($AN$1006:BC1006),$AN$1006:$BO$1006,0)), HYPERLINK("#",""), HYPERLINK(CONCATENATE("#Metadata!", ADDRESS(INDEX($AI$2:$AI$1001,MATCH(ROWS($AG$2:AG9),$AG$2:$AG$1001,0),0), INDEX($AN$1004:$BO$1004,1,MATCH(COLUMNS($AN$1006:BC1006),$AN$1006:$BO$1006,0)))),"Fix")))</f>
        <v>0</v>
      </c>
      <c r="R9" s="4">
        <f>IF(OR(INDEX($AH$2:$AH$1001,MATCH(ROWS($AG$2:AG9),$AG$2:$AG$1001,0),1)&gt;=100000,INDEX($AN$1005:$BO$1005,1,MATCH(COLUMNS($AN$1006:BD1006),$AN$1006:$BO$1006,0))&gt;=100000), " ",IF(INDEX($AN$2:$BO$1001,MATCH(ROWS($AG$2:AG9),$AG$2:$AG$1001,0),MATCH(COLUMNS($AN$1006:BD1006),$AN$1006:$BO$1006,0)), HYPERLINK("#",""), HYPERLINK(CONCATENATE("#Metadata!", ADDRESS(INDEX($AI$2:$AI$1001,MATCH(ROWS($AG$2:AG9),$AG$2:$AG$1001,0),0), INDEX($AN$1004:$BO$1004,1,MATCH(COLUMNS($AN$1006:BD1006),$AN$1006:$BO$1006,0)))),"Fix")))</f>
        <v>0</v>
      </c>
      <c r="S9" s="4">
        <f>IF(OR(INDEX($AH$2:$AH$1001,MATCH(ROWS($AG$2:AG9),$AG$2:$AG$1001,0),1)&gt;=100000,INDEX($AN$1005:$BO$1005,1,MATCH(COLUMNS($AN$1006:BE1006),$AN$1006:$BO$1006,0))&gt;=100000), " ",IF(INDEX($AN$2:$BO$1001,MATCH(ROWS($AG$2:AG9),$AG$2:$AG$1001,0),MATCH(COLUMNS($AN$1006:BE1006),$AN$1006:$BO$1006,0)), HYPERLINK("#",""), HYPERLINK(CONCATENATE("#Metadata!", ADDRESS(INDEX($AI$2:$AI$1001,MATCH(ROWS($AG$2:AG9),$AG$2:$AG$1001,0),0), INDEX($AN$1004:$BO$1004,1,MATCH(COLUMNS($AN$1006:BE1006),$AN$1006:$BO$1006,0)))),"Fix")))</f>
        <v>0</v>
      </c>
      <c r="T9" s="4">
        <f>IF(OR(INDEX($AH$2:$AH$1001,MATCH(ROWS($AG$2:AG9),$AG$2:$AG$1001,0),1)&gt;=100000,INDEX($AN$1005:$BO$1005,1,MATCH(COLUMNS($AN$1006:BF1006),$AN$1006:$BO$1006,0))&gt;=100000), " ",IF(INDEX($AN$2:$BO$1001,MATCH(ROWS($AG$2:AG9),$AG$2:$AG$1001,0),MATCH(COLUMNS($AN$1006:BF1006),$AN$1006:$BO$1006,0)), HYPERLINK("#",""), HYPERLINK(CONCATENATE("#Metadata!", ADDRESS(INDEX($AI$2:$AI$1001,MATCH(ROWS($AG$2:AG9),$AG$2:$AG$1001,0),0), INDEX($AN$1004:$BO$1004,1,MATCH(COLUMNS($AN$1006:BF1006),$AN$1006:$BO$1006,0)))),"Fix")))</f>
        <v>0</v>
      </c>
      <c r="U9" s="4">
        <f>IF(OR(INDEX($AH$2:$AH$1001,MATCH(ROWS($AG$2:AG9),$AG$2:$AG$1001,0),1)&gt;=100000,INDEX($AN$1005:$BO$1005,1,MATCH(COLUMNS($AN$1006:BG1006),$AN$1006:$BO$1006,0))&gt;=100000), " ",IF(INDEX($AN$2:$BO$1001,MATCH(ROWS($AG$2:AG9),$AG$2:$AG$1001,0),MATCH(COLUMNS($AN$1006:BG1006),$AN$1006:$BO$1006,0)), HYPERLINK("#",""), HYPERLINK(CONCATENATE("#Metadata!", ADDRESS(INDEX($AI$2:$AI$1001,MATCH(ROWS($AG$2:AG9),$AG$2:$AG$1001,0),0), INDEX($AN$1004:$BO$1004,1,MATCH(COLUMNS($AN$1006:BG1006),$AN$1006:$BO$1006,0)))),"Fix")))</f>
        <v>0</v>
      </c>
      <c r="V9" s="4">
        <f>IF(OR(INDEX($AH$2:$AH$1001,MATCH(ROWS($AG$2:AG9),$AG$2:$AG$1001,0),1)&gt;=100000,INDEX($AN$1005:$BO$1005,1,MATCH(COLUMNS($AN$1006:BH1006),$AN$1006:$BO$1006,0))&gt;=100000), " ",IF(INDEX($AN$2:$BO$1001,MATCH(ROWS($AG$2:AG9),$AG$2:$AG$1001,0),MATCH(COLUMNS($AN$1006:BH1006),$AN$1006:$BO$1006,0)), HYPERLINK("#",""), HYPERLINK(CONCATENATE("#Metadata!", ADDRESS(INDEX($AI$2:$AI$1001,MATCH(ROWS($AG$2:AG9),$AG$2:$AG$1001,0),0), INDEX($AN$1004:$BO$1004,1,MATCH(COLUMNS($AN$1006:BH1006),$AN$1006:$BO$1006,0)))),"Fix")))</f>
        <v>0</v>
      </c>
      <c r="W9" s="4">
        <f>IF(OR(INDEX($AH$2:$AH$1001,MATCH(ROWS($AG$2:AG9),$AG$2:$AG$1001,0),1)&gt;=100000,INDEX($AN$1005:$BO$1005,1,MATCH(COLUMNS($AN$1006:BI1006),$AN$1006:$BO$1006,0))&gt;=100000), " ",IF(INDEX($AN$2:$BO$1001,MATCH(ROWS($AG$2:AG9),$AG$2:$AG$1001,0),MATCH(COLUMNS($AN$1006:BI1006),$AN$1006:$BO$1006,0)), HYPERLINK("#",""), HYPERLINK(CONCATENATE("#Metadata!", ADDRESS(INDEX($AI$2:$AI$1001,MATCH(ROWS($AG$2:AG9),$AG$2:$AG$1001,0),0), INDEX($AN$1004:$BO$1004,1,MATCH(COLUMNS($AN$1006:BI1006),$AN$1006:$BO$1006,0)))),"Fix")))</f>
        <v>0</v>
      </c>
      <c r="X9" s="4">
        <f>IF(OR(INDEX($AH$2:$AH$1001,MATCH(ROWS($AG$2:AG9),$AG$2:$AG$1001,0),1)&gt;=100000,INDEX($AN$1005:$BO$1005,1,MATCH(COLUMNS($AN$1006:BJ1006),$AN$1006:$BO$1006,0))&gt;=100000), " ",IF(INDEX($AN$2:$BO$1001,MATCH(ROWS($AG$2:AG9),$AG$2:$AG$1001,0),MATCH(COLUMNS($AN$1006:BJ1006),$AN$1006:$BO$1006,0)), HYPERLINK("#",""), HYPERLINK(CONCATENATE("#Metadata!", ADDRESS(INDEX($AI$2:$AI$1001,MATCH(ROWS($AG$2:AG9),$AG$2:$AG$1001,0),0), INDEX($AN$1004:$BO$1004,1,MATCH(COLUMNS($AN$1006:BJ1006),$AN$1006:$BO$1006,0)))),"Fix")))</f>
        <v>0</v>
      </c>
      <c r="Y9" s="4">
        <f>IF(OR(INDEX($AH$2:$AH$1001,MATCH(ROWS($AG$2:AG9),$AG$2:$AG$1001,0),1)&gt;=100000,INDEX($AN$1005:$BO$1005,1,MATCH(COLUMNS($AN$1006:BK1006),$AN$1006:$BO$1006,0))&gt;=100000), " ",IF(INDEX($AN$2:$BO$1001,MATCH(ROWS($AG$2:AG9),$AG$2:$AG$1001,0),MATCH(COLUMNS($AN$1006:BK1006),$AN$1006:$BO$1006,0)), HYPERLINK("#",""), HYPERLINK(CONCATENATE("#Metadata!", ADDRESS(INDEX($AI$2:$AI$1001,MATCH(ROWS($AG$2:AG9),$AG$2:$AG$1001,0),0), INDEX($AN$1004:$BO$1004,1,MATCH(COLUMNS($AN$1006:BK1006),$AN$1006:$BO$1006,0)))),"Fix")))</f>
        <v>0</v>
      </c>
      <c r="Z9" s="4">
        <f>IF(OR(INDEX($AH$2:$AH$1001,MATCH(ROWS($AG$2:AG9),$AG$2:$AG$1001,0),1)&gt;=100000,INDEX($AN$1005:$BO$1005,1,MATCH(COLUMNS($AN$1006:BL1006),$AN$1006:$BO$1006,0))&gt;=100000), " ",IF(INDEX($AN$2:$BO$1001,MATCH(ROWS($AG$2:AG9),$AG$2:$AG$1001,0),MATCH(COLUMNS($AN$1006:BL1006),$AN$1006:$BO$1006,0)), HYPERLINK("#",""), HYPERLINK(CONCATENATE("#Metadata!", ADDRESS(INDEX($AI$2:$AI$1001,MATCH(ROWS($AG$2:AG9),$AG$2:$AG$1001,0),0), INDEX($AN$1004:$BO$1004,1,MATCH(COLUMNS($AN$1006:BL1006),$AN$1006:$BO$1006,0)))),"Fix")))</f>
        <v>0</v>
      </c>
      <c r="AA9" s="4">
        <f>IF(OR(INDEX($AH$2:$AH$1001,MATCH(ROWS($AG$2:AG9),$AG$2:$AG$1001,0),1)&gt;=100000,INDEX($AN$1005:$BO$1005,1,MATCH(COLUMNS($AN$1006:BM1006),$AN$1006:$BO$1006,0))&gt;=100000), " ",IF(INDEX($AN$2:$BO$1001,MATCH(ROWS($AG$2:AG9),$AG$2:$AG$1001,0),MATCH(COLUMNS($AN$1006:BM1006),$AN$1006:$BO$1006,0)), HYPERLINK("#",""), HYPERLINK(CONCATENATE("#Metadata!", ADDRESS(INDEX($AI$2:$AI$1001,MATCH(ROWS($AG$2:AG9),$AG$2:$AG$1001,0),0), INDEX($AN$1004:$BO$1004,1,MATCH(COLUMNS($AN$1006:BM1006),$AN$1006:$BO$1006,0)))),"Fix")))</f>
        <v>0</v>
      </c>
      <c r="AB9" s="4">
        <f>IF(OR(INDEX($AH$2:$AH$1001,MATCH(ROWS($AG$2:AG9),$AG$2:$AG$1001,0),1)&gt;=100000,INDEX($AN$1005:$BO$1005,1,MATCH(COLUMNS($AN$1006:BN1006),$AN$1006:$BO$1006,0))&gt;=100000), " ",IF(INDEX($AN$2:$BO$1001,MATCH(ROWS($AG$2:AG9),$AG$2:$AG$1001,0),MATCH(COLUMNS($AN$1006:BN1006),$AN$1006:$BO$1006,0)), HYPERLINK("#",""), HYPERLINK(CONCATENATE("#Metadata!", ADDRESS(INDEX($AI$2:$AI$1001,MATCH(ROWS($AG$2:AG9),$AG$2:$AG$1001,0),0), INDEX($AN$1004:$BO$1004,1,MATCH(COLUMNS($AN$1006:BN1006),$AN$1006:$BO$1006,0)))),"Fix")))</f>
        <v>0</v>
      </c>
      <c r="AC9" s="4">
        <f>IF(OR(INDEX($AH$2:$AH$1001,MATCH(ROWS($AG$2:AG9),$AG$2:$AG$1001,0),1)&gt;=100000,INDEX($AN$1005:$BO$1005,1,MATCH(COLUMNS($AN$1006:BO1006),$AN$1006:$BO$1006,0))&gt;=100000), " ",IF(INDEX($AN$2:$BO$1001,MATCH(ROWS($AG$2:AG9),$AG$2:$AG$1001,0),MATCH(COLUMNS($AN$1006:BO1006),$AN$1006:$BO$1006,0)), HYPERLINK("#",""), HYPERLINK(CONCATENATE("#Metadata!", ADDRESS(INDEX($AI$2:$AI$1001,MATCH(ROWS($AG$2:AG9),$AG$2:$AG$1001,0),0), INDEX($AN$1004:$BO$1004,1,MATCH(COLUMNS($AN$1006:BO1006),$AN$1006:$BO$1006,0)))),"Fix")))</f>
        <v>0</v>
      </c>
      <c r="AG9">
        <v>0</v>
      </c>
      <c r="AH9">
        <v>0</v>
      </c>
      <c r="AI9">
        <v>0</v>
      </c>
      <c r="AJ9">
        <f>IF(AK9,TRUE,AND(AN9:BO9))</f>
        <v>0</v>
      </c>
      <c r="AK9">
        <f>COUNTBLANK(Metadata!B9:AC9)=COLUMNS(Metadata!B9:AC9)</f>
        <v>0</v>
      </c>
      <c r="AL9">
        <v>0</v>
      </c>
      <c r="AN9">
        <f>AND(IF(Metadata!B9="",FALSE,TRUE),COUNTIF(Metadata!B:B, Metadata!B9) = 1,NOT(ISERROR(SUMPRODUCT(SEARCH(MID(Metadata!B9,ROW(INDIRECT("1:"&amp;LEN(Metadata!B9))), 1),"0123456789abcdefghijklmnopqrstuvwxyzABCDEFGHIJKLMNOPQRSTUVWXYZ.")))))</f>
        <v>0</v>
      </c>
      <c r="AO9">
        <f>IF(Metadata!C9="",FALSE,TRUE)</f>
        <v>0</v>
      </c>
      <c r="AP9">
        <f>IF(Metadata!D9="",FALSE,TRUE)</f>
        <v>0</v>
      </c>
      <c r="AQ9">
        <f>OR(AND(IF(Metadata!E9="",FALSE,TRUE),OR(exact(Metadata!E9,"not collected"),exact(Metadata!E9,"not provided"),exact(Metadata!E9,"restricted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R9">
        <f>IF(Metadata!F9="",FALSE,TRUE)</f>
        <v>0</v>
      </c>
      <c r="AS9">
        <f>OR(AND(IF(Metadata!G9="",FALSE,TRUE),OR(exact(Metadata!G9,"not collected"),exact(Metadata!G9,"not provided"))),AND(IF(Metadata!G9="",FALSE,TRUE),OR(exact(Metadata!G9,"TRUE"),exact(Metadata!G9,"FALSE"))))</f>
        <v>0</v>
      </c>
      <c r="AT9">
        <f>OR(AND(IF(Metadata!H9="",FALSE,TRUE),OR(exact(Metadata!H9,"not collected"),exact(Metadata!H9,"not provided"),exact(Metadata!H9,"restricted access"))),AND(IF(Metadata!H9="",FALSE,ISNUMBER(VALUE(Metadata!H9))),Metadata!H9&gt;=-413.0))</f>
        <v>0</v>
      </c>
      <c r="AU9">
        <f>AND(IF(Metadata!I9="",FALSE,TRUE),exact(Metadata!I9,"meters"))</f>
        <v>0</v>
      </c>
      <c r="AV9">
        <f>AND(IF(Metadata!J9="",FALSE,TRUE),OR(exact(Metadata!J9,"Host-associated"),exact(Metadata!J9,"Free-living")))</f>
        <v>0</v>
      </c>
      <c r="AW9">
        <f>AND(IF(Metadata!K9="",FALSE,TRUE),OR(exact(Metadata!K9,"Animal"),exact(Metadata!K9,"Fungus"),exact(Metadata!K9,"Plant"),exact(Metadata!K9,"Saline"),exact(Metadata!K9,"Non-saline")))</f>
        <v>0</v>
      </c>
      <c r="AX9">
        <f>AND(IF(Metadata!L9="",FALSE,TRUE),OR(exact(Metadata!L9,"Plant secretion"),exact(Metadata!L9,"Plant rhizosphere"),exact(Metadata!L9,"Plant surface"),exact(Metadata!L9,"Plant corpus"),exact(Metadata!L9,"Fungus surface"),exact(Metadata!L9,"Fungus corpus"),exact(Metadata!L9,"Animal surface"),exact(Metadata!L9,"Animal proximal gut"),exact(Metadata!L9,"Animal corpus"),exact(Metadata!L9,"Animal distal gut"),exact(Metadata!L9,"Animal secretion"),exact(Metadata!L9,"Sub-surface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0</v>
      </c>
      <c r="AY9">
        <f>IF(Metadata!M9="",FALSE,TRUE)</f>
        <v>0</v>
      </c>
      <c r="AZ9">
        <f>IF(Metadata!N9="",FALSE,TRUE)</f>
        <v>0</v>
      </c>
      <c r="BA9">
        <f>IF(Metadata!O9="",FALSE,TRUE)</f>
        <v>0</v>
      </c>
      <c r="BB9">
        <f>OR(AND(IF(Metadata!P9="",FALSE,TRUE),OR(exact(Metadata!P9,"not collected"),exact(Metadata!P9,"not provided"),exact(Metadata!P9,"restricted access"))),AND(IF(Metadata!P9="",FALSE,TRUE),OR(exact(Metadata!P9,"air"),exact(Metadata!P9,"built environment"),exact(Metadata!P9,"host-associated"),exact(Metadata!P9,"human-associated"),exact(Metadata!P9,"human-skin"),exact(Metadata!P9,"human-oral"),exact(Metadata!P9,"human-gut"),exact(Metadata!P9,"human-vaginal"),exact(Metadata!P9,"microbial mat/biofilm"),exact(Metadata!P9,"misc environment"),exact(Metadata!P9,"plant-associated"),exact(Metadata!P9,"sediment"),exact(Metadata!P9,"soil"),exact(Metadata!P9,"wastewater/sludge"),exact(Metadata!P9,"water"))))</f>
        <v>0</v>
      </c>
      <c r="BC9">
        <f>IF(Metadata!Q9="",FALSE,TRUE)</f>
        <v>0</v>
      </c>
      <c r="BD9">
        <f>IF(Metadata!R9="",FALSE,TRUE)</f>
        <v>0</v>
      </c>
      <c r="BE9">
        <f>OR(AND(IF(Metadata!S9="",FALSE,TRUE),OR(exact(Metadata!S9,"not collected"),exact(Metadata!S9,"not provided"),exact(Metadata!S9,"restricted access"))),AND(IF(Metadata!S9="",FALSE,ISNUMBER(VALUE(Metadata!S9))),Metadata!S9&gt;=-90.00,Metadata!S9&lt;=90.00))</f>
        <v>0</v>
      </c>
      <c r="BF9">
        <f>AND(IF(Metadata!T9="",FALSE,TRUE),exact(Metadata!T9,"Decimal degrees"))</f>
        <v>0</v>
      </c>
      <c r="BG9">
        <f>OR(AND(IF(Metadata!U9="",FALSE,TRUE),OR(exact(Metadata!U9,"not collected"),exact(Metadata!U9,"not provided"),exact(Metadata!U9,"restricted access"))),AND(IF(Metadata!U9="",FALSE,ISNUMBER(VALUE(Metadata!U9))),Metadata!U9&gt;=-180.00,Metadata!U9&lt;=180.00))</f>
        <v>0</v>
      </c>
      <c r="BH9">
        <f>AND(IF(Metadata!V9="",FALSE,TRUE),exact(Metadata!V9,"Decimal degrees"))</f>
        <v>0</v>
      </c>
      <c r="BI9">
        <f>IF(Metadata!W9="",FALSE,TRUE)</f>
        <v>0</v>
      </c>
      <c r="BJ9">
        <f>OR(AND(IF(Metadata!X9="",FALSE,TRUE),OR(exact(Metadata!X9,"not collected"),exact(Metadata!X9,"not provided"),exact(Metadata!X9,"restricted access"))),AND(IF(Metadata!X9="",FALSE,TRUE),OR(exact(Metadata!X9,"TRUE"),exact(Metadata!X9,"FALSE"))))</f>
        <v>0</v>
      </c>
      <c r="BK9">
        <f>AND(IF(Metadata!Y9="",FALSE,TRUE),exact(Metadata!Y9,"other"))</f>
        <v>0</v>
      </c>
      <c r="BL9">
        <f>IF(Metadata!Z9="",FALSE,TRUE)</f>
        <v>0</v>
      </c>
      <c r="BM9">
        <f>OR(AND(IF(Metadata!AA9="",FALSE,TRUE),OR(exact(Metadata!AA9,"not collected"),exact(Metadata!AA9,"not provided"))),AND(IF(Metadata!AA9="",FALSE,IF(ISERROR(INT(Metadata!AA9)),FALSE,INT(Metadata!AA9)=Metadata!AA9)),Metadata!AA9&gt;0))</f>
        <v>0</v>
      </c>
      <c r="BN9">
        <f>AND(IF(Metadata!AB9="",FALSE,TRUE),exact(Metadata!AB9,"Not applicable"))</f>
        <v>0</v>
      </c>
      <c r="BO9">
        <f>IF(Metadata!AC9="",FALSE,TRUE)</f>
        <v>0</v>
      </c>
    </row>
    <row r="10" spans="1:67">
      <c r="A10" s="5">
        <f>IF(B10=" "," ",HYPERLINK(CONCATENATE("#metadata!",ADDRESS(INDEX($AI$2:$AI$1001,MATCH(ROWS($AG$2:AG10),$AG$2:$AG$1001,0),0),1)),INDEX($AL$2:$AL$1001,MATCH(ROWS($AG$2:AG10),$AG$2:$AG$1001,0),0)))</f>
        <v>0</v>
      </c>
      <c r="B10" s="4">
        <f>IF(OR(INDEX($AH$2:$AH$1001,MATCH(ROWS($AG$2:AG10),$AG$2:$AG$1001,0),1)&gt;=100000,INDEX($AN$1005:$BO$1005,1,MATCH(COLUMNS($AN$1006:AN1006),$AN$1006:$BO$1006,0))&gt;=100000), " ",IF(INDEX($AN$2:$BO$1001,MATCH(ROWS($AG$2:AG10),$AG$2:$AG$1001,0),MATCH(COLUMNS($AN$1006:AN1006),$AN$1006:$BO$1006,0)), HYPERLINK("#",""), HYPERLINK(CONCATENATE("#Metadata!", ADDRESS(INDEX($AI$2:$AI$1001,MATCH(ROWS($AG$2:AG10),$AG$2:$AG$1001,0),0), INDEX($AN$1004:$BO$1004,1,MATCH(COLUMNS($AN$1006:AN1006),$AN$1006:$BO$1006,0)))),"Fix")))</f>
        <v>0</v>
      </c>
      <c r="C10" s="4">
        <f>IF(OR(INDEX($AH$2:$AH$1001,MATCH(ROWS($AG$2:AG10),$AG$2:$AG$1001,0),1)&gt;=100000,INDEX($AN$1005:$BO$1005,1,MATCH(COLUMNS($AN$1006:AO1006),$AN$1006:$BO$1006,0))&gt;=100000), " ",IF(INDEX($AN$2:$BO$1001,MATCH(ROWS($AG$2:AG10),$AG$2:$AG$1001,0),MATCH(COLUMNS($AN$1006:AO1006),$AN$1006:$BO$1006,0)), HYPERLINK("#",""), HYPERLINK(CONCATENATE("#Metadata!", ADDRESS(INDEX($AI$2:$AI$1001,MATCH(ROWS($AG$2:AG10),$AG$2:$AG$1001,0),0), INDEX($AN$1004:$BO$1004,1,MATCH(COLUMNS($AN$1006:AO1006),$AN$1006:$BO$1006,0)))),"Fix")))</f>
        <v>0</v>
      </c>
      <c r="D10" s="4">
        <f>IF(OR(INDEX($AH$2:$AH$1001,MATCH(ROWS($AG$2:AG10),$AG$2:$AG$1001,0),1)&gt;=100000,INDEX($AN$1005:$BO$1005,1,MATCH(COLUMNS($AN$1006:AP1006),$AN$1006:$BO$1006,0))&gt;=100000), " ",IF(INDEX($AN$2:$BO$1001,MATCH(ROWS($AG$2:AG10),$AG$2:$AG$1001,0),MATCH(COLUMNS($AN$1006:AP1006),$AN$1006:$BO$1006,0)), HYPERLINK("#",""), HYPERLINK(CONCATENATE("#Metadata!", ADDRESS(INDEX($AI$2:$AI$1001,MATCH(ROWS($AG$2:AG10),$AG$2:$AG$1001,0),0), INDEX($AN$1004:$BO$1004,1,MATCH(COLUMNS($AN$1006:AP1006),$AN$1006:$BO$1006,0)))),"Fix")))</f>
        <v>0</v>
      </c>
      <c r="E10" s="4">
        <f>IF(OR(INDEX($AH$2:$AH$1001,MATCH(ROWS($AG$2:AG10),$AG$2:$AG$1001,0),1)&gt;=100000,INDEX($AN$1005:$BO$1005,1,MATCH(COLUMNS($AN$1006:AQ1006),$AN$1006:$BO$1006,0))&gt;=100000), " ",IF(INDEX($AN$2:$BO$1001,MATCH(ROWS($AG$2:AG10),$AG$2:$AG$1001,0),MATCH(COLUMNS($AN$1006:AQ1006),$AN$1006:$BO$1006,0)), HYPERLINK("#",""), HYPERLINK(CONCATENATE("#Metadata!", ADDRESS(INDEX($AI$2:$AI$1001,MATCH(ROWS($AG$2:AG10),$AG$2:$AG$1001,0),0), INDEX($AN$1004:$BO$1004,1,MATCH(COLUMNS($AN$1006:AQ1006),$AN$1006:$BO$1006,0)))),"Fix")))</f>
        <v>0</v>
      </c>
      <c r="F10" s="4">
        <f>IF(OR(INDEX($AH$2:$AH$1001,MATCH(ROWS($AG$2:AG10),$AG$2:$AG$1001,0),1)&gt;=100000,INDEX($AN$1005:$BO$1005,1,MATCH(COLUMNS($AN$1006:AR1006),$AN$1006:$BO$1006,0))&gt;=100000), " ",IF(INDEX($AN$2:$BO$1001,MATCH(ROWS($AG$2:AG10),$AG$2:$AG$1001,0),MATCH(COLUMNS($AN$1006:AR1006),$AN$1006:$BO$1006,0)), HYPERLINK("#",""), HYPERLINK(CONCATENATE("#Metadata!", ADDRESS(INDEX($AI$2:$AI$1001,MATCH(ROWS($AG$2:AG10),$AG$2:$AG$1001,0),0), INDEX($AN$1004:$BO$1004,1,MATCH(COLUMNS($AN$1006:AR1006),$AN$1006:$BO$1006,0)))),"Fix")))</f>
        <v>0</v>
      </c>
      <c r="G10" s="4">
        <f>IF(OR(INDEX($AH$2:$AH$1001,MATCH(ROWS($AG$2:AG10),$AG$2:$AG$1001,0),1)&gt;=100000,INDEX($AN$1005:$BO$1005,1,MATCH(COLUMNS($AN$1006:AS1006),$AN$1006:$BO$1006,0))&gt;=100000), " ",IF(INDEX($AN$2:$BO$1001,MATCH(ROWS($AG$2:AG10),$AG$2:$AG$1001,0),MATCH(COLUMNS($AN$1006:AS1006),$AN$1006:$BO$1006,0)), HYPERLINK("#",""), HYPERLINK(CONCATENATE("#Metadata!", ADDRESS(INDEX($AI$2:$AI$1001,MATCH(ROWS($AG$2:AG10),$AG$2:$AG$1001,0),0), INDEX($AN$1004:$BO$1004,1,MATCH(COLUMNS($AN$1006:AS1006),$AN$1006:$BO$1006,0)))),"Fix")))</f>
        <v>0</v>
      </c>
      <c r="H10" s="4">
        <f>IF(OR(INDEX($AH$2:$AH$1001,MATCH(ROWS($AG$2:AG10),$AG$2:$AG$1001,0),1)&gt;=100000,INDEX($AN$1005:$BO$1005,1,MATCH(COLUMNS($AN$1006:AT1006),$AN$1006:$BO$1006,0))&gt;=100000), " ",IF(INDEX($AN$2:$BO$1001,MATCH(ROWS($AG$2:AG10),$AG$2:$AG$1001,0),MATCH(COLUMNS($AN$1006:AT1006),$AN$1006:$BO$1006,0)), HYPERLINK("#",""), HYPERLINK(CONCATENATE("#Metadata!", ADDRESS(INDEX($AI$2:$AI$1001,MATCH(ROWS($AG$2:AG10),$AG$2:$AG$1001,0),0), INDEX($AN$1004:$BO$1004,1,MATCH(COLUMNS($AN$1006:AT1006),$AN$1006:$BO$1006,0)))),"Fix")))</f>
        <v>0</v>
      </c>
      <c r="I10" s="4">
        <f>IF(OR(INDEX($AH$2:$AH$1001,MATCH(ROWS($AG$2:AG10),$AG$2:$AG$1001,0),1)&gt;=100000,INDEX($AN$1005:$BO$1005,1,MATCH(COLUMNS($AN$1006:AU1006),$AN$1006:$BO$1006,0))&gt;=100000), " ",IF(INDEX($AN$2:$BO$1001,MATCH(ROWS($AG$2:AG10),$AG$2:$AG$1001,0),MATCH(COLUMNS($AN$1006:AU1006),$AN$1006:$BO$1006,0)), HYPERLINK("#",""), HYPERLINK(CONCATENATE("#Metadata!", ADDRESS(INDEX($AI$2:$AI$1001,MATCH(ROWS($AG$2:AG10),$AG$2:$AG$1001,0),0), INDEX($AN$1004:$BO$1004,1,MATCH(COLUMNS($AN$1006:AU1006),$AN$1006:$BO$1006,0)))),"Fix")))</f>
        <v>0</v>
      </c>
      <c r="J10" s="4">
        <f>IF(OR(INDEX($AH$2:$AH$1001,MATCH(ROWS($AG$2:AG10),$AG$2:$AG$1001,0),1)&gt;=100000,INDEX($AN$1005:$BO$1005,1,MATCH(COLUMNS($AN$1006:AV1006),$AN$1006:$BO$1006,0))&gt;=100000), " ",IF(INDEX($AN$2:$BO$1001,MATCH(ROWS($AG$2:AG10),$AG$2:$AG$1001,0),MATCH(COLUMNS($AN$1006:AV1006),$AN$1006:$BO$1006,0)), HYPERLINK("#",""), HYPERLINK(CONCATENATE("#Metadata!", ADDRESS(INDEX($AI$2:$AI$1001,MATCH(ROWS($AG$2:AG10),$AG$2:$AG$1001,0),0), INDEX($AN$1004:$BO$1004,1,MATCH(COLUMNS($AN$1006:AV1006),$AN$1006:$BO$1006,0)))),"Fix")))</f>
        <v>0</v>
      </c>
      <c r="K10" s="4">
        <f>IF(OR(INDEX($AH$2:$AH$1001,MATCH(ROWS($AG$2:AG10),$AG$2:$AG$1001,0),1)&gt;=100000,INDEX($AN$1005:$BO$1005,1,MATCH(COLUMNS($AN$1006:AW1006),$AN$1006:$BO$1006,0))&gt;=100000), " ",IF(INDEX($AN$2:$BO$1001,MATCH(ROWS($AG$2:AG10),$AG$2:$AG$1001,0),MATCH(COLUMNS($AN$1006:AW1006),$AN$1006:$BO$1006,0)), HYPERLINK("#",""), HYPERLINK(CONCATENATE("#Metadata!", ADDRESS(INDEX($AI$2:$AI$1001,MATCH(ROWS($AG$2:AG10),$AG$2:$AG$1001,0),0), INDEX($AN$1004:$BO$1004,1,MATCH(COLUMNS($AN$1006:AW1006),$AN$1006:$BO$1006,0)))),"Fix")))</f>
        <v>0</v>
      </c>
      <c r="L10" s="4">
        <f>IF(OR(INDEX($AH$2:$AH$1001,MATCH(ROWS($AG$2:AG10),$AG$2:$AG$1001,0),1)&gt;=100000,INDEX($AN$1005:$BO$1005,1,MATCH(COLUMNS($AN$1006:AX1006),$AN$1006:$BO$1006,0))&gt;=100000), " ",IF(INDEX($AN$2:$BO$1001,MATCH(ROWS($AG$2:AG10),$AG$2:$AG$1001,0),MATCH(COLUMNS($AN$1006:AX1006),$AN$1006:$BO$1006,0)), HYPERLINK("#",""), HYPERLINK(CONCATENATE("#Metadata!", ADDRESS(INDEX($AI$2:$AI$1001,MATCH(ROWS($AG$2:AG10),$AG$2:$AG$1001,0),0), INDEX($AN$1004:$BO$1004,1,MATCH(COLUMNS($AN$1006:AX1006),$AN$1006:$BO$1006,0)))),"Fix")))</f>
        <v>0</v>
      </c>
      <c r="M10" s="4">
        <f>IF(OR(INDEX($AH$2:$AH$1001,MATCH(ROWS($AG$2:AG10),$AG$2:$AG$1001,0),1)&gt;=100000,INDEX($AN$1005:$BO$1005,1,MATCH(COLUMNS($AN$1006:AY1006),$AN$1006:$BO$1006,0))&gt;=100000), " ",IF(INDEX($AN$2:$BO$1001,MATCH(ROWS($AG$2:AG10),$AG$2:$AG$1001,0),MATCH(COLUMNS($AN$1006:AY1006),$AN$1006:$BO$1006,0)), HYPERLINK("#",""), HYPERLINK(CONCATENATE("#Metadata!", ADDRESS(INDEX($AI$2:$AI$1001,MATCH(ROWS($AG$2:AG10),$AG$2:$AG$1001,0),0), INDEX($AN$1004:$BO$1004,1,MATCH(COLUMNS($AN$1006:AY1006),$AN$1006:$BO$1006,0)))),"Fix")))</f>
        <v>0</v>
      </c>
      <c r="N10" s="4">
        <f>IF(OR(INDEX($AH$2:$AH$1001,MATCH(ROWS($AG$2:AG10),$AG$2:$AG$1001,0),1)&gt;=100000,INDEX($AN$1005:$BO$1005,1,MATCH(COLUMNS($AN$1006:AZ1006),$AN$1006:$BO$1006,0))&gt;=100000), " ",IF(INDEX($AN$2:$BO$1001,MATCH(ROWS($AG$2:AG10),$AG$2:$AG$1001,0),MATCH(COLUMNS($AN$1006:AZ1006),$AN$1006:$BO$1006,0)), HYPERLINK("#",""), HYPERLINK(CONCATENATE("#Metadata!", ADDRESS(INDEX($AI$2:$AI$1001,MATCH(ROWS($AG$2:AG10),$AG$2:$AG$1001,0),0), INDEX($AN$1004:$BO$1004,1,MATCH(COLUMNS($AN$1006:AZ1006),$AN$1006:$BO$1006,0)))),"Fix")))</f>
        <v>0</v>
      </c>
      <c r="O10" s="4">
        <f>IF(OR(INDEX($AH$2:$AH$1001,MATCH(ROWS($AG$2:AG10),$AG$2:$AG$1001,0),1)&gt;=100000,INDEX($AN$1005:$BO$1005,1,MATCH(COLUMNS($AN$1006:BA1006),$AN$1006:$BO$1006,0))&gt;=100000), " ",IF(INDEX($AN$2:$BO$1001,MATCH(ROWS($AG$2:AG10),$AG$2:$AG$1001,0),MATCH(COLUMNS($AN$1006:BA1006),$AN$1006:$BO$1006,0)), HYPERLINK("#",""), HYPERLINK(CONCATENATE("#Metadata!", ADDRESS(INDEX($AI$2:$AI$1001,MATCH(ROWS($AG$2:AG10),$AG$2:$AG$1001,0),0), INDEX($AN$1004:$BO$1004,1,MATCH(COLUMNS($AN$1006:BA1006),$AN$1006:$BO$1006,0)))),"Fix")))</f>
        <v>0</v>
      </c>
      <c r="P10" s="4">
        <f>IF(OR(INDEX($AH$2:$AH$1001,MATCH(ROWS($AG$2:AG10),$AG$2:$AG$1001,0),1)&gt;=100000,INDEX($AN$1005:$BO$1005,1,MATCH(COLUMNS($AN$1006:BB1006),$AN$1006:$BO$1006,0))&gt;=100000), " ",IF(INDEX($AN$2:$BO$1001,MATCH(ROWS($AG$2:AG10),$AG$2:$AG$1001,0),MATCH(COLUMNS($AN$1006:BB1006),$AN$1006:$BO$1006,0)), HYPERLINK("#",""), HYPERLINK(CONCATENATE("#Metadata!", ADDRESS(INDEX($AI$2:$AI$1001,MATCH(ROWS($AG$2:AG10),$AG$2:$AG$1001,0),0), INDEX($AN$1004:$BO$1004,1,MATCH(COLUMNS($AN$1006:BB1006),$AN$1006:$BO$1006,0)))),"Fix")))</f>
        <v>0</v>
      </c>
      <c r="Q10" s="4">
        <f>IF(OR(INDEX($AH$2:$AH$1001,MATCH(ROWS($AG$2:AG10),$AG$2:$AG$1001,0),1)&gt;=100000,INDEX($AN$1005:$BO$1005,1,MATCH(COLUMNS($AN$1006:BC1006),$AN$1006:$BO$1006,0))&gt;=100000), " ",IF(INDEX($AN$2:$BO$1001,MATCH(ROWS($AG$2:AG10),$AG$2:$AG$1001,0),MATCH(COLUMNS($AN$1006:BC1006),$AN$1006:$BO$1006,0)), HYPERLINK("#",""), HYPERLINK(CONCATENATE("#Metadata!", ADDRESS(INDEX($AI$2:$AI$1001,MATCH(ROWS($AG$2:AG10),$AG$2:$AG$1001,0),0), INDEX($AN$1004:$BO$1004,1,MATCH(COLUMNS($AN$1006:BC1006),$AN$1006:$BO$1006,0)))),"Fix")))</f>
        <v>0</v>
      </c>
      <c r="R10" s="4">
        <f>IF(OR(INDEX($AH$2:$AH$1001,MATCH(ROWS($AG$2:AG10),$AG$2:$AG$1001,0),1)&gt;=100000,INDEX($AN$1005:$BO$1005,1,MATCH(COLUMNS($AN$1006:BD1006),$AN$1006:$BO$1006,0))&gt;=100000), " ",IF(INDEX($AN$2:$BO$1001,MATCH(ROWS($AG$2:AG10),$AG$2:$AG$1001,0),MATCH(COLUMNS($AN$1006:BD1006),$AN$1006:$BO$1006,0)), HYPERLINK("#",""), HYPERLINK(CONCATENATE("#Metadata!", ADDRESS(INDEX($AI$2:$AI$1001,MATCH(ROWS($AG$2:AG10),$AG$2:$AG$1001,0),0), INDEX($AN$1004:$BO$1004,1,MATCH(COLUMNS($AN$1006:BD1006),$AN$1006:$BO$1006,0)))),"Fix")))</f>
        <v>0</v>
      </c>
      <c r="S10" s="4">
        <f>IF(OR(INDEX($AH$2:$AH$1001,MATCH(ROWS($AG$2:AG10),$AG$2:$AG$1001,0),1)&gt;=100000,INDEX($AN$1005:$BO$1005,1,MATCH(COLUMNS($AN$1006:BE1006),$AN$1006:$BO$1006,0))&gt;=100000), " ",IF(INDEX($AN$2:$BO$1001,MATCH(ROWS($AG$2:AG10),$AG$2:$AG$1001,0),MATCH(COLUMNS($AN$1006:BE1006),$AN$1006:$BO$1006,0)), HYPERLINK("#",""), HYPERLINK(CONCATENATE("#Metadata!", ADDRESS(INDEX($AI$2:$AI$1001,MATCH(ROWS($AG$2:AG10),$AG$2:$AG$1001,0),0), INDEX($AN$1004:$BO$1004,1,MATCH(COLUMNS($AN$1006:BE1006),$AN$1006:$BO$1006,0)))),"Fix")))</f>
        <v>0</v>
      </c>
      <c r="T10" s="4">
        <f>IF(OR(INDEX($AH$2:$AH$1001,MATCH(ROWS($AG$2:AG10),$AG$2:$AG$1001,0),1)&gt;=100000,INDEX($AN$1005:$BO$1005,1,MATCH(COLUMNS($AN$1006:BF1006),$AN$1006:$BO$1006,0))&gt;=100000), " ",IF(INDEX($AN$2:$BO$1001,MATCH(ROWS($AG$2:AG10),$AG$2:$AG$1001,0),MATCH(COLUMNS($AN$1006:BF1006),$AN$1006:$BO$1006,0)), HYPERLINK("#",""), HYPERLINK(CONCATENATE("#Metadata!", ADDRESS(INDEX($AI$2:$AI$1001,MATCH(ROWS($AG$2:AG10),$AG$2:$AG$1001,0),0), INDEX($AN$1004:$BO$1004,1,MATCH(COLUMNS($AN$1006:BF1006),$AN$1006:$BO$1006,0)))),"Fix")))</f>
        <v>0</v>
      </c>
      <c r="U10" s="4">
        <f>IF(OR(INDEX($AH$2:$AH$1001,MATCH(ROWS($AG$2:AG10),$AG$2:$AG$1001,0),1)&gt;=100000,INDEX($AN$1005:$BO$1005,1,MATCH(COLUMNS($AN$1006:BG1006),$AN$1006:$BO$1006,0))&gt;=100000), " ",IF(INDEX($AN$2:$BO$1001,MATCH(ROWS($AG$2:AG10),$AG$2:$AG$1001,0),MATCH(COLUMNS($AN$1006:BG1006),$AN$1006:$BO$1006,0)), HYPERLINK("#",""), HYPERLINK(CONCATENATE("#Metadata!", ADDRESS(INDEX($AI$2:$AI$1001,MATCH(ROWS($AG$2:AG10),$AG$2:$AG$1001,0),0), INDEX($AN$1004:$BO$1004,1,MATCH(COLUMNS($AN$1006:BG1006),$AN$1006:$BO$1006,0)))),"Fix")))</f>
        <v>0</v>
      </c>
      <c r="V10" s="4">
        <f>IF(OR(INDEX($AH$2:$AH$1001,MATCH(ROWS($AG$2:AG10),$AG$2:$AG$1001,0),1)&gt;=100000,INDEX($AN$1005:$BO$1005,1,MATCH(COLUMNS($AN$1006:BH1006),$AN$1006:$BO$1006,0))&gt;=100000), " ",IF(INDEX($AN$2:$BO$1001,MATCH(ROWS($AG$2:AG10),$AG$2:$AG$1001,0),MATCH(COLUMNS($AN$1006:BH1006),$AN$1006:$BO$1006,0)), HYPERLINK("#",""), HYPERLINK(CONCATENATE("#Metadata!", ADDRESS(INDEX($AI$2:$AI$1001,MATCH(ROWS($AG$2:AG10),$AG$2:$AG$1001,0),0), INDEX($AN$1004:$BO$1004,1,MATCH(COLUMNS($AN$1006:BH1006),$AN$1006:$BO$1006,0)))),"Fix")))</f>
        <v>0</v>
      </c>
      <c r="W10" s="4">
        <f>IF(OR(INDEX($AH$2:$AH$1001,MATCH(ROWS($AG$2:AG10),$AG$2:$AG$1001,0),1)&gt;=100000,INDEX($AN$1005:$BO$1005,1,MATCH(COLUMNS($AN$1006:BI1006),$AN$1006:$BO$1006,0))&gt;=100000), " ",IF(INDEX($AN$2:$BO$1001,MATCH(ROWS($AG$2:AG10),$AG$2:$AG$1001,0),MATCH(COLUMNS($AN$1006:BI1006),$AN$1006:$BO$1006,0)), HYPERLINK("#",""), HYPERLINK(CONCATENATE("#Metadata!", ADDRESS(INDEX($AI$2:$AI$1001,MATCH(ROWS($AG$2:AG10),$AG$2:$AG$1001,0),0), INDEX($AN$1004:$BO$1004,1,MATCH(COLUMNS($AN$1006:BI1006),$AN$1006:$BO$1006,0)))),"Fix")))</f>
        <v>0</v>
      </c>
      <c r="X10" s="4">
        <f>IF(OR(INDEX($AH$2:$AH$1001,MATCH(ROWS($AG$2:AG10),$AG$2:$AG$1001,0),1)&gt;=100000,INDEX($AN$1005:$BO$1005,1,MATCH(COLUMNS($AN$1006:BJ1006),$AN$1006:$BO$1006,0))&gt;=100000), " ",IF(INDEX($AN$2:$BO$1001,MATCH(ROWS($AG$2:AG10),$AG$2:$AG$1001,0),MATCH(COLUMNS($AN$1006:BJ1006),$AN$1006:$BO$1006,0)), HYPERLINK("#",""), HYPERLINK(CONCATENATE("#Metadata!", ADDRESS(INDEX($AI$2:$AI$1001,MATCH(ROWS($AG$2:AG10),$AG$2:$AG$1001,0),0), INDEX($AN$1004:$BO$1004,1,MATCH(COLUMNS($AN$1006:BJ1006),$AN$1006:$BO$1006,0)))),"Fix")))</f>
        <v>0</v>
      </c>
      <c r="Y10" s="4">
        <f>IF(OR(INDEX($AH$2:$AH$1001,MATCH(ROWS($AG$2:AG10),$AG$2:$AG$1001,0),1)&gt;=100000,INDEX($AN$1005:$BO$1005,1,MATCH(COLUMNS($AN$1006:BK1006),$AN$1006:$BO$1006,0))&gt;=100000), " ",IF(INDEX($AN$2:$BO$1001,MATCH(ROWS($AG$2:AG10),$AG$2:$AG$1001,0),MATCH(COLUMNS($AN$1006:BK1006),$AN$1006:$BO$1006,0)), HYPERLINK("#",""), HYPERLINK(CONCATENATE("#Metadata!", ADDRESS(INDEX($AI$2:$AI$1001,MATCH(ROWS($AG$2:AG10),$AG$2:$AG$1001,0),0), INDEX($AN$1004:$BO$1004,1,MATCH(COLUMNS($AN$1006:BK1006),$AN$1006:$BO$1006,0)))),"Fix")))</f>
        <v>0</v>
      </c>
      <c r="Z10" s="4">
        <f>IF(OR(INDEX($AH$2:$AH$1001,MATCH(ROWS($AG$2:AG10),$AG$2:$AG$1001,0),1)&gt;=100000,INDEX($AN$1005:$BO$1005,1,MATCH(COLUMNS($AN$1006:BL1006),$AN$1006:$BO$1006,0))&gt;=100000), " ",IF(INDEX($AN$2:$BO$1001,MATCH(ROWS($AG$2:AG10),$AG$2:$AG$1001,0),MATCH(COLUMNS($AN$1006:BL1006),$AN$1006:$BO$1006,0)), HYPERLINK("#",""), HYPERLINK(CONCATENATE("#Metadata!", ADDRESS(INDEX($AI$2:$AI$1001,MATCH(ROWS($AG$2:AG10),$AG$2:$AG$1001,0),0), INDEX($AN$1004:$BO$1004,1,MATCH(COLUMNS($AN$1006:BL1006),$AN$1006:$BO$1006,0)))),"Fix")))</f>
        <v>0</v>
      </c>
      <c r="AA10" s="4">
        <f>IF(OR(INDEX($AH$2:$AH$1001,MATCH(ROWS($AG$2:AG10),$AG$2:$AG$1001,0),1)&gt;=100000,INDEX($AN$1005:$BO$1005,1,MATCH(COLUMNS($AN$1006:BM1006),$AN$1006:$BO$1006,0))&gt;=100000), " ",IF(INDEX($AN$2:$BO$1001,MATCH(ROWS($AG$2:AG10),$AG$2:$AG$1001,0),MATCH(COLUMNS($AN$1006:BM1006),$AN$1006:$BO$1006,0)), HYPERLINK("#",""), HYPERLINK(CONCATENATE("#Metadata!", ADDRESS(INDEX($AI$2:$AI$1001,MATCH(ROWS($AG$2:AG10),$AG$2:$AG$1001,0),0), INDEX($AN$1004:$BO$1004,1,MATCH(COLUMNS($AN$1006:BM1006),$AN$1006:$BO$1006,0)))),"Fix")))</f>
        <v>0</v>
      </c>
      <c r="AB10" s="4">
        <f>IF(OR(INDEX($AH$2:$AH$1001,MATCH(ROWS($AG$2:AG10),$AG$2:$AG$1001,0),1)&gt;=100000,INDEX($AN$1005:$BO$1005,1,MATCH(COLUMNS($AN$1006:BN1006),$AN$1006:$BO$1006,0))&gt;=100000), " ",IF(INDEX($AN$2:$BO$1001,MATCH(ROWS($AG$2:AG10),$AG$2:$AG$1001,0),MATCH(COLUMNS($AN$1006:BN1006),$AN$1006:$BO$1006,0)), HYPERLINK("#",""), HYPERLINK(CONCATENATE("#Metadata!", ADDRESS(INDEX($AI$2:$AI$1001,MATCH(ROWS($AG$2:AG10),$AG$2:$AG$1001,0),0), INDEX($AN$1004:$BO$1004,1,MATCH(COLUMNS($AN$1006:BN1006),$AN$1006:$BO$1006,0)))),"Fix")))</f>
        <v>0</v>
      </c>
      <c r="AC10" s="4">
        <f>IF(OR(INDEX($AH$2:$AH$1001,MATCH(ROWS($AG$2:AG10),$AG$2:$AG$1001,0),1)&gt;=100000,INDEX($AN$1005:$BO$1005,1,MATCH(COLUMNS($AN$1006:BO1006),$AN$1006:$BO$1006,0))&gt;=100000), " ",IF(INDEX($AN$2:$BO$1001,MATCH(ROWS($AG$2:AG10),$AG$2:$AG$1001,0),MATCH(COLUMNS($AN$1006:BO1006),$AN$1006:$BO$1006,0)), HYPERLINK("#",""), HYPERLINK(CONCATENATE("#Metadata!", ADDRESS(INDEX($AI$2:$AI$1001,MATCH(ROWS($AG$2:AG10),$AG$2:$AG$1001,0),0), INDEX($AN$1004:$BO$1004,1,MATCH(COLUMNS($AN$1006:BO1006),$AN$1006:$BO$1006,0)))),"Fix")))</f>
        <v>0</v>
      </c>
      <c r="AG10">
        <v>0</v>
      </c>
      <c r="AH10">
        <v>0</v>
      </c>
      <c r="AI10">
        <v>0</v>
      </c>
      <c r="AJ10">
        <f>IF(AK10,TRUE,AND(AN10:BO10))</f>
        <v>0</v>
      </c>
      <c r="AK10">
        <f>COUNTBLANK(Metadata!B10:AC10)=COLUMNS(Metadata!B10:AC10)</f>
        <v>0</v>
      </c>
      <c r="AL10">
        <v>0</v>
      </c>
      <c r="AN10">
        <f>AND(IF(Metadata!B10="",FALSE,TRUE),COUNTIF(Metadata!B:B, Metadata!B10) = 1,NOT(ISERROR(SUMPRODUCT(SEARCH(MID(Metadata!B10,ROW(INDIRECT("1:"&amp;LEN(Metadata!B10))), 1),"0123456789abcdefghijklmnopqrstuvwxyzABCDEFGHIJKLMNOPQRSTUVWXYZ.")))))</f>
        <v>0</v>
      </c>
      <c r="AO10">
        <f>IF(Metadata!C10="",FALSE,TRUE)</f>
        <v>0</v>
      </c>
      <c r="AP10">
        <f>IF(Metadata!D10="",FALSE,TRUE)</f>
        <v>0</v>
      </c>
      <c r="AQ10">
        <f>OR(AND(IF(Metadata!E10="",FALSE,TRUE),OR(exact(Metadata!E10,"not collected"),exact(Metadata!E10,"not provided"),exact(Metadata!E10,"restricted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R10">
        <f>IF(Metadata!F10="",FALSE,TRUE)</f>
        <v>0</v>
      </c>
      <c r="AS10">
        <f>OR(AND(IF(Metadata!G10="",FALSE,TRUE),OR(exact(Metadata!G10,"not collected"),exact(Metadata!G10,"not provided"))),AND(IF(Metadata!G10="",FALSE,TRUE),OR(exact(Metadata!G10,"TRUE"),exact(Metadata!G10,"FALSE"))))</f>
        <v>0</v>
      </c>
      <c r="AT10">
        <f>OR(AND(IF(Metadata!H10="",FALSE,TRUE),OR(exact(Metadata!H10,"not collected"),exact(Metadata!H10,"not provided"),exact(Metadata!H10,"restricted access"))),AND(IF(Metadata!H10="",FALSE,ISNUMBER(VALUE(Metadata!H10))),Metadata!H10&gt;=-413.0))</f>
        <v>0</v>
      </c>
      <c r="AU10">
        <f>AND(IF(Metadata!I10="",FALSE,TRUE),exact(Metadata!I10,"meters"))</f>
        <v>0</v>
      </c>
      <c r="AV10">
        <f>AND(IF(Metadata!J10="",FALSE,TRUE),OR(exact(Metadata!J10,"Host-associated"),exact(Metadata!J10,"Free-living")))</f>
        <v>0</v>
      </c>
      <c r="AW10">
        <f>AND(IF(Metadata!K10="",FALSE,TRUE),OR(exact(Metadata!K10,"Animal"),exact(Metadata!K10,"Fungus"),exact(Metadata!K10,"Plant"),exact(Metadata!K10,"Saline"),exact(Metadata!K10,"Non-saline")))</f>
        <v>0</v>
      </c>
      <c r="AX10">
        <f>AND(IF(Metadata!L10="",FALSE,TRUE),OR(exact(Metadata!L10,"Plant secretion"),exact(Metadata!L10,"Plant rhizosphere"),exact(Metadata!L10,"Plant surface"),exact(Metadata!L10,"Plant corpus"),exact(Metadata!L10,"Fungus surface"),exact(Metadata!L10,"Fungus corpus"),exact(Metadata!L10,"Animal surface"),exact(Metadata!L10,"Animal proximal gut"),exact(Metadata!L10,"Animal corpus"),exact(Metadata!L10,"Animal distal gut"),exact(Metadata!L10,"Animal secretion"),exact(Metadata!L10,"Sub-surface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0</v>
      </c>
      <c r="AY10">
        <f>IF(Metadata!M10="",FALSE,TRUE)</f>
        <v>0</v>
      </c>
      <c r="AZ10">
        <f>IF(Metadata!N10="",FALSE,TRUE)</f>
        <v>0</v>
      </c>
      <c r="BA10">
        <f>IF(Metadata!O10="",FALSE,TRUE)</f>
        <v>0</v>
      </c>
      <c r="BB10">
        <f>OR(AND(IF(Metadata!P10="",FALSE,TRUE),OR(exact(Metadata!P10,"not collected"),exact(Metadata!P10,"not provided"),exact(Metadata!P10,"restricted access"))),AND(IF(Metadata!P10="",FALSE,TRUE),OR(exact(Metadata!P10,"air"),exact(Metadata!P10,"built environment"),exact(Metadata!P10,"host-associated"),exact(Metadata!P10,"human-associated"),exact(Metadata!P10,"human-skin"),exact(Metadata!P10,"human-oral"),exact(Metadata!P10,"human-gut"),exact(Metadata!P10,"human-vaginal"),exact(Metadata!P10,"microbial mat/biofilm"),exact(Metadata!P10,"misc environment"),exact(Metadata!P10,"plant-associated"),exact(Metadata!P10,"sediment"),exact(Metadata!P10,"soil"),exact(Metadata!P10,"wastewater/sludge"),exact(Metadata!P10,"water"))))</f>
        <v>0</v>
      </c>
      <c r="BC10">
        <f>IF(Metadata!Q10="",FALSE,TRUE)</f>
        <v>0</v>
      </c>
      <c r="BD10">
        <f>IF(Metadata!R10="",FALSE,TRUE)</f>
        <v>0</v>
      </c>
      <c r="BE10">
        <f>OR(AND(IF(Metadata!S10="",FALSE,TRUE),OR(exact(Metadata!S10,"not collected"),exact(Metadata!S10,"not provided"),exact(Metadata!S10,"restricted access"))),AND(IF(Metadata!S10="",FALSE,ISNUMBER(VALUE(Metadata!S10))),Metadata!S10&gt;=-90.00,Metadata!S10&lt;=90.00))</f>
        <v>0</v>
      </c>
      <c r="BF10">
        <f>AND(IF(Metadata!T10="",FALSE,TRUE),exact(Metadata!T10,"Decimal degrees"))</f>
        <v>0</v>
      </c>
      <c r="BG10">
        <f>OR(AND(IF(Metadata!U10="",FALSE,TRUE),OR(exact(Metadata!U10,"not collected"),exact(Metadata!U10,"not provided"),exact(Metadata!U10,"restricted access"))),AND(IF(Metadata!U10="",FALSE,ISNUMBER(VALUE(Metadata!U10))),Metadata!U10&gt;=-180.00,Metadata!U10&lt;=180.00))</f>
        <v>0</v>
      </c>
      <c r="BH10">
        <f>AND(IF(Metadata!V10="",FALSE,TRUE),exact(Metadata!V10,"Decimal degrees"))</f>
        <v>0</v>
      </c>
      <c r="BI10">
        <f>IF(Metadata!W10="",FALSE,TRUE)</f>
        <v>0</v>
      </c>
      <c r="BJ10">
        <f>OR(AND(IF(Metadata!X10="",FALSE,TRUE),OR(exact(Metadata!X10,"not collected"),exact(Metadata!X10,"not provided"),exact(Metadata!X10,"restricted access"))),AND(IF(Metadata!X10="",FALSE,TRUE),OR(exact(Metadata!X10,"TRUE"),exact(Metadata!X10,"FALSE"))))</f>
        <v>0</v>
      </c>
      <c r="BK10">
        <f>AND(IF(Metadata!Y10="",FALSE,TRUE),exact(Metadata!Y10,"other"))</f>
        <v>0</v>
      </c>
      <c r="BL10">
        <f>IF(Metadata!Z10="",FALSE,TRUE)</f>
        <v>0</v>
      </c>
      <c r="BM10">
        <f>OR(AND(IF(Metadata!AA10="",FALSE,TRUE),OR(exact(Metadata!AA10,"not collected"),exact(Metadata!AA10,"not provided"))),AND(IF(Metadata!AA10="",FALSE,IF(ISERROR(INT(Metadata!AA10)),FALSE,INT(Metadata!AA10)=Metadata!AA10)),Metadata!AA10&gt;0))</f>
        <v>0</v>
      </c>
      <c r="BN10">
        <f>AND(IF(Metadata!AB10="",FALSE,TRUE),exact(Metadata!AB10,"Not applicable"))</f>
        <v>0</v>
      </c>
      <c r="BO10">
        <f>IF(Metadata!AC10="",FALSE,TRUE)</f>
        <v>0</v>
      </c>
    </row>
    <row r="11" spans="1:67">
      <c r="A11" s="5">
        <f>IF(B11=" "," ",HYPERLINK(CONCATENATE("#metadata!",ADDRESS(INDEX($AI$2:$AI$1001,MATCH(ROWS($AG$2:AG11),$AG$2:$AG$1001,0),0),1)),INDEX($AL$2:$AL$1001,MATCH(ROWS($AG$2:AG11),$AG$2:$AG$1001,0),0)))</f>
        <v>0</v>
      </c>
      <c r="B11" s="4">
        <f>IF(OR(INDEX($AH$2:$AH$1001,MATCH(ROWS($AG$2:AG11),$AG$2:$AG$1001,0),1)&gt;=100000,INDEX($AN$1005:$BO$1005,1,MATCH(COLUMNS($AN$1006:AN1006),$AN$1006:$BO$1006,0))&gt;=100000), " ",IF(INDEX($AN$2:$BO$1001,MATCH(ROWS($AG$2:AG11),$AG$2:$AG$1001,0),MATCH(COLUMNS($AN$1006:AN1006),$AN$1006:$BO$1006,0)), HYPERLINK("#",""), HYPERLINK(CONCATENATE("#Metadata!", ADDRESS(INDEX($AI$2:$AI$1001,MATCH(ROWS($AG$2:AG11),$AG$2:$AG$1001,0),0), INDEX($AN$1004:$BO$1004,1,MATCH(COLUMNS($AN$1006:AN1006),$AN$1006:$BO$1006,0)))),"Fix")))</f>
        <v>0</v>
      </c>
      <c r="C11" s="4">
        <f>IF(OR(INDEX($AH$2:$AH$1001,MATCH(ROWS($AG$2:AG11),$AG$2:$AG$1001,0),1)&gt;=100000,INDEX($AN$1005:$BO$1005,1,MATCH(COLUMNS($AN$1006:AO1006),$AN$1006:$BO$1006,0))&gt;=100000), " ",IF(INDEX($AN$2:$BO$1001,MATCH(ROWS($AG$2:AG11),$AG$2:$AG$1001,0),MATCH(COLUMNS($AN$1006:AO1006),$AN$1006:$BO$1006,0)), HYPERLINK("#",""), HYPERLINK(CONCATENATE("#Metadata!", ADDRESS(INDEX($AI$2:$AI$1001,MATCH(ROWS($AG$2:AG11),$AG$2:$AG$1001,0),0), INDEX($AN$1004:$BO$1004,1,MATCH(COLUMNS($AN$1006:AO1006),$AN$1006:$BO$1006,0)))),"Fix")))</f>
        <v>0</v>
      </c>
      <c r="D11" s="4">
        <f>IF(OR(INDEX($AH$2:$AH$1001,MATCH(ROWS($AG$2:AG11),$AG$2:$AG$1001,0),1)&gt;=100000,INDEX($AN$1005:$BO$1005,1,MATCH(COLUMNS($AN$1006:AP1006),$AN$1006:$BO$1006,0))&gt;=100000), " ",IF(INDEX($AN$2:$BO$1001,MATCH(ROWS($AG$2:AG11),$AG$2:$AG$1001,0),MATCH(COLUMNS($AN$1006:AP1006),$AN$1006:$BO$1006,0)), HYPERLINK("#",""), HYPERLINK(CONCATENATE("#Metadata!", ADDRESS(INDEX($AI$2:$AI$1001,MATCH(ROWS($AG$2:AG11),$AG$2:$AG$1001,0),0), INDEX($AN$1004:$BO$1004,1,MATCH(COLUMNS($AN$1006:AP1006),$AN$1006:$BO$1006,0)))),"Fix")))</f>
        <v>0</v>
      </c>
      <c r="E11" s="4">
        <f>IF(OR(INDEX($AH$2:$AH$1001,MATCH(ROWS($AG$2:AG11),$AG$2:$AG$1001,0),1)&gt;=100000,INDEX($AN$1005:$BO$1005,1,MATCH(COLUMNS($AN$1006:AQ1006),$AN$1006:$BO$1006,0))&gt;=100000), " ",IF(INDEX($AN$2:$BO$1001,MATCH(ROWS($AG$2:AG11),$AG$2:$AG$1001,0),MATCH(COLUMNS($AN$1006:AQ1006),$AN$1006:$BO$1006,0)), HYPERLINK("#",""), HYPERLINK(CONCATENATE("#Metadata!", ADDRESS(INDEX($AI$2:$AI$1001,MATCH(ROWS($AG$2:AG11),$AG$2:$AG$1001,0),0), INDEX($AN$1004:$BO$1004,1,MATCH(COLUMNS($AN$1006:AQ1006),$AN$1006:$BO$1006,0)))),"Fix")))</f>
        <v>0</v>
      </c>
      <c r="F11" s="4">
        <f>IF(OR(INDEX($AH$2:$AH$1001,MATCH(ROWS($AG$2:AG11),$AG$2:$AG$1001,0),1)&gt;=100000,INDEX($AN$1005:$BO$1005,1,MATCH(COLUMNS($AN$1006:AR1006),$AN$1006:$BO$1006,0))&gt;=100000), " ",IF(INDEX($AN$2:$BO$1001,MATCH(ROWS($AG$2:AG11),$AG$2:$AG$1001,0),MATCH(COLUMNS($AN$1006:AR1006),$AN$1006:$BO$1006,0)), HYPERLINK("#",""), HYPERLINK(CONCATENATE("#Metadata!", ADDRESS(INDEX($AI$2:$AI$1001,MATCH(ROWS($AG$2:AG11),$AG$2:$AG$1001,0),0), INDEX($AN$1004:$BO$1004,1,MATCH(COLUMNS($AN$1006:AR1006),$AN$1006:$BO$1006,0)))),"Fix")))</f>
        <v>0</v>
      </c>
      <c r="G11" s="4">
        <f>IF(OR(INDEX($AH$2:$AH$1001,MATCH(ROWS($AG$2:AG11),$AG$2:$AG$1001,0),1)&gt;=100000,INDEX($AN$1005:$BO$1005,1,MATCH(COLUMNS($AN$1006:AS1006),$AN$1006:$BO$1006,0))&gt;=100000), " ",IF(INDEX($AN$2:$BO$1001,MATCH(ROWS($AG$2:AG11),$AG$2:$AG$1001,0),MATCH(COLUMNS($AN$1006:AS1006),$AN$1006:$BO$1006,0)), HYPERLINK("#",""), HYPERLINK(CONCATENATE("#Metadata!", ADDRESS(INDEX($AI$2:$AI$1001,MATCH(ROWS($AG$2:AG11),$AG$2:$AG$1001,0),0), INDEX($AN$1004:$BO$1004,1,MATCH(COLUMNS($AN$1006:AS1006),$AN$1006:$BO$1006,0)))),"Fix")))</f>
        <v>0</v>
      </c>
      <c r="H11" s="4">
        <f>IF(OR(INDEX($AH$2:$AH$1001,MATCH(ROWS($AG$2:AG11),$AG$2:$AG$1001,0),1)&gt;=100000,INDEX($AN$1005:$BO$1005,1,MATCH(COLUMNS($AN$1006:AT1006),$AN$1006:$BO$1006,0))&gt;=100000), " ",IF(INDEX($AN$2:$BO$1001,MATCH(ROWS($AG$2:AG11),$AG$2:$AG$1001,0),MATCH(COLUMNS($AN$1006:AT1006),$AN$1006:$BO$1006,0)), HYPERLINK("#",""), HYPERLINK(CONCATENATE("#Metadata!", ADDRESS(INDEX($AI$2:$AI$1001,MATCH(ROWS($AG$2:AG11),$AG$2:$AG$1001,0),0), INDEX($AN$1004:$BO$1004,1,MATCH(COLUMNS($AN$1006:AT1006),$AN$1006:$BO$1006,0)))),"Fix")))</f>
        <v>0</v>
      </c>
      <c r="I11" s="4">
        <f>IF(OR(INDEX($AH$2:$AH$1001,MATCH(ROWS($AG$2:AG11),$AG$2:$AG$1001,0),1)&gt;=100000,INDEX($AN$1005:$BO$1005,1,MATCH(COLUMNS($AN$1006:AU1006),$AN$1006:$BO$1006,0))&gt;=100000), " ",IF(INDEX($AN$2:$BO$1001,MATCH(ROWS($AG$2:AG11),$AG$2:$AG$1001,0),MATCH(COLUMNS($AN$1006:AU1006),$AN$1006:$BO$1006,0)), HYPERLINK("#",""), HYPERLINK(CONCATENATE("#Metadata!", ADDRESS(INDEX($AI$2:$AI$1001,MATCH(ROWS($AG$2:AG11),$AG$2:$AG$1001,0),0), INDEX($AN$1004:$BO$1004,1,MATCH(COLUMNS($AN$1006:AU1006),$AN$1006:$BO$1006,0)))),"Fix")))</f>
        <v>0</v>
      </c>
      <c r="J11" s="4">
        <f>IF(OR(INDEX($AH$2:$AH$1001,MATCH(ROWS($AG$2:AG11),$AG$2:$AG$1001,0),1)&gt;=100000,INDEX($AN$1005:$BO$1005,1,MATCH(COLUMNS($AN$1006:AV1006),$AN$1006:$BO$1006,0))&gt;=100000), " ",IF(INDEX($AN$2:$BO$1001,MATCH(ROWS($AG$2:AG11),$AG$2:$AG$1001,0),MATCH(COLUMNS($AN$1006:AV1006),$AN$1006:$BO$1006,0)), HYPERLINK("#",""), HYPERLINK(CONCATENATE("#Metadata!", ADDRESS(INDEX($AI$2:$AI$1001,MATCH(ROWS($AG$2:AG11),$AG$2:$AG$1001,0),0), INDEX($AN$1004:$BO$1004,1,MATCH(COLUMNS($AN$1006:AV1006),$AN$1006:$BO$1006,0)))),"Fix")))</f>
        <v>0</v>
      </c>
      <c r="K11" s="4">
        <f>IF(OR(INDEX($AH$2:$AH$1001,MATCH(ROWS($AG$2:AG11),$AG$2:$AG$1001,0),1)&gt;=100000,INDEX($AN$1005:$BO$1005,1,MATCH(COLUMNS($AN$1006:AW1006),$AN$1006:$BO$1006,0))&gt;=100000), " ",IF(INDEX($AN$2:$BO$1001,MATCH(ROWS($AG$2:AG11),$AG$2:$AG$1001,0),MATCH(COLUMNS($AN$1006:AW1006),$AN$1006:$BO$1006,0)), HYPERLINK("#",""), HYPERLINK(CONCATENATE("#Metadata!", ADDRESS(INDEX($AI$2:$AI$1001,MATCH(ROWS($AG$2:AG11),$AG$2:$AG$1001,0),0), INDEX($AN$1004:$BO$1004,1,MATCH(COLUMNS($AN$1006:AW1006),$AN$1006:$BO$1006,0)))),"Fix")))</f>
        <v>0</v>
      </c>
      <c r="L11" s="4">
        <f>IF(OR(INDEX($AH$2:$AH$1001,MATCH(ROWS($AG$2:AG11),$AG$2:$AG$1001,0),1)&gt;=100000,INDEX($AN$1005:$BO$1005,1,MATCH(COLUMNS($AN$1006:AX1006),$AN$1006:$BO$1006,0))&gt;=100000), " ",IF(INDEX($AN$2:$BO$1001,MATCH(ROWS($AG$2:AG11),$AG$2:$AG$1001,0),MATCH(COLUMNS($AN$1006:AX1006),$AN$1006:$BO$1006,0)), HYPERLINK("#",""), HYPERLINK(CONCATENATE("#Metadata!", ADDRESS(INDEX($AI$2:$AI$1001,MATCH(ROWS($AG$2:AG11),$AG$2:$AG$1001,0),0), INDEX($AN$1004:$BO$1004,1,MATCH(COLUMNS($AN$1006:AX1006),$AN$1006:$BO$1006,0)))),"Fix")))</f>
        <v>0</v>
      </c>
      <c r="M11" s="4">
        <f>IF(OR(INDEX($AH$2:$AH$1001,MATCH(ROWS($AG$2:AG11),$AG$2:$AG$1001,0),1)&gt;=100000,INDEX($AN$1005:$BO$1005,1,MATCH(COLUMNS($AN$1006:AY1006),$AN$1006:$BO$1006,0))&gt;=100000), " ",IF(INDEX($AN$2:$BO$1001,MATCH(ROWS($AG$2:AG11),$AG$2:$AG$1001,0),MATCH(COLUMNS($AN$1006:AY1006),$AN$1006:$BO$1006,0)), HYPERLINK("#",""), HYPERLINK(CONCATENATE("#Metadata!", ADDRESS(INDEX($AI$2:$AI$1001,MATCH(ROWS($AG$2:AG11),$AG$2:$AG$1001,0),0), INDEX($AN$1004:$BO$1004,1,MATCH(COLUMNS($AN$1006:AY1006),$AN$1006:$BO$1006,0)))),"Fix")))</f>
        <v>0</v>
      </c>
      <c r="N11" s="4">
        <f>IF(OR(INDEX($AH$2:$AH$1001,MATCH(ROWS($AG$2:AG11),$AG$2:$AG$1001,0),1)&gt;=100000,INDEX($AN$1005:$BO$1005,1,MATCH(COLUMNS($AN$1006:AZ1006),$AN$1006:$BO$1006,0))&gt;=100000), " ",IF(INDEX($AN$2:$BO$1001,MATCH(ROWS($AG$2:AG11),$AG$2:$AG$1001,0),MATCH(COLUMNS($AN$1006:AZ1006),$AN$1006:$BO$1006,0)), HYPERLINK("#",""), HYPERLINK(CONCATENATE("#Metadata!", ADDRESS(INDEX($AI$2:$AI$1001,MATCH(ROWS($AG$2:AG11),$AG$2:$AG$1001,0),0), INDEX($AN$1004:$BO$1004,1,MATCH(COLUMNS($AN$1006:AZ1006),$AN$1006:$BO$1006,0)))),"Fix")))</f>
        <v>0</v>
      </c>
      <c r="O11" s="4">
        <f>IF(OR(INDEX($AH$2:$AH$1001,MATCH(ROWS($AG$2:AG11),$AG$2:$AG$1001,0),1)&gt;=100000,INDEX($AN$1005:$BO$1005,1,MATCH(COLUMNS($AN$1006:BA1006),$AN$1006:$BO$1006,0))&gt;=100000), " ",IF(INDEX($AN$2:$BO$1001,MATCH(ROWS($AG$2:AG11),$AG$2:$AG$1001,0),MATCH(COLUMNS($AN$1006:BA1006),$AN$1006:$BO$1006,0)), HYPERLINK("#",""), HYPERLINK(CONCATENATE("#Metadata!", ADDRESS(INDEX($AI$2:$AI$1001,MATCH(ROWS($AG$2:AG11),$AG$2:$AG$1001,0),0), INDEX($AN$1004:$BO$1004,1,MATCH(COLUMNS($AN$1006:BA1006),$AN$1006:$BO$1006,0)))),"Fix")))</f>
        <v>0</v>
      </c>
      <c r="P11" s="4">
        <f>IF(OR(INDEX($AH$2:$AH$1001,MATCH(ROWS($AG$2:AG11),$AG$2:$AG$1001,0),1)&gt;=100000,INDEX($AN$1005:$BO$1005,1,MATCH(COLUMNS($AN$1006:BB1006),$AN$1006:$BO$1006,0))&gt;=100000), " ",IF(INDEX($AN$2:$BO$1001,MATCH(ROWS($AG$2:AG11),$AG$2:$AG$1001,0),MATCH(COLUMNS($AN$1006:BB1006),$AN$1006:$BO$1006,0)), HYPERLINK("#",""), HYPERLINK(CONCATENATE("#Metadata!", ADDRESS(INDEX($AI$2:$AI$1001,MATCH(ROWS($AG$2:AG11),$AG$2:$AG$1001,0),0), INDEX($AN$1004:$BO$1004,1,MATCH(COLUMNS($AN$1006:BB1006),$AN$1006:$BO$1006,0)))),"Fix")))</f>
        <v>0</v>
      </c>
      <c r="Q11" s="4">
        <f>IF(OR(INDEX($AH$2:$AH$1001,MATCH(ROWS($AG$2:AG11),$AG$2:$AG$1001,0),1)&gt;=100000,INDEX($AN$1005:$BO$1005,1,MATCH(COLUMNS($AN$1006:BC1006),$AN$1006:$BO$1006,0))&gt;=100000), " ",IF(INDEX($AN$2:$BO$1001,MATCH(ROWS($AG$2:AG11),$AG$2:$AG$1001,0),MATCH(COLUMNS($AN$1006:BC1006),$AN$1006:$BO$1006,0)), HYPERLINK("#",""), HYPERLINK(CONCATENATE("#Metadata!", ADDRESS(INDEX($AI$2:$AI$1001,MATCH(ROWS($AG$2:AG11),$AG$2:$AG$1001,0),0), INDEX($AN$1004:$BO$1004,1,MATCH(COLUMNS($AN$1006:BC1006),$AN$1006:$BO$1006,0)))),"Fix")))</f>
        <v>0</v>
      </c>
      <c r="R11" s="4">
        <f>IF(OR(INDEX($AH$2:$AH$1001,MATCH(ROWS($AG$2:AG11),$AG$2:$AG$1001,0),1)&gt;=100000,INDEX($AN$1005:$BO$1005,1,MATCH(COLUMNS($AN$1006:BD1006),$AN$1006:$BO$1006,0))&gt;=100000), " ",IF(INDEX($AN$2:$BO$1001,MATCH(ROWS($AG$2:AG11),$AG$2:$AG$1001,0),MATCH(COLUMNS($AN$1006:BD1006),$AN$1006:$BO$1006,0)), HYPERLINK("#",""), HYPERLINK(CONCATENATE("#Metadata!", ADDRESS(INDEX($AI$2:$AI$1001,MATCH(ROWS($AG$2:AG11),$AG$2:$AG$1001,0),0), INDEX($AN$1004:$BO$1004,1,MATCH(COLUMNS($AN$1006:BD1006),$AN$1006:$BO$1006,0)))),"Fix")))</f>
        <v>0</v>
      </c>
      <c r="S11" s="4">
        <f>IF(OR(INDEX($AH$2:$AH$1001,MATCH(ROWS($AG$2:AG11),$AG$2:$AG$1001,0),1)&gt;=100000,INDEX($AN$1005:$BO$1005,1,MATCH(COLUMNS($AN$1006:BE1006),$AN$1006:$BO$1006,0))&gt;=100000), " ",IF(INDEX($AN$2:$BO$1001,MATCH(ROWS($AG$2:AG11),$AG$2:$AG$1001,0),MATCH(COLUMNS($AN$1006:BE1006),$AN$1006:$BO$1006,0)), HYPERLINK("#",""), HYPERLINK(CONCATENATE("#Metadata!", ADDRESS(INDEX($AI$2:$AI$1001,MATCH(ROWS($AG$2:AG11),$AG$2:$AG$1001,0),0), INDEX($AN$1004:$BO$1004,1,MATCH(COLUMNS($AN$1006:BE1006),$AN$1006:$BO$1006,0)))),"Fix")))</f>
        <v>0</v>
      </c>
      <c r="T11" s="4">
        <f>IF(OR(INDEX($AH$2:$AH$1001,MATCH(ROWS($AG$2:AG11),$AG$2:$AG$1001,0),1)&gt;=100000,INDEX($AN$1005:$BO$1005,1,MATCH(COLUMNS($AN$1006:BF1006),$AN$1006:$BO$1006,0))&gt;=100000), " ",IF(INDEX($AN$2:$BO$1001,MATCH(ROWS($AG$2:AG11),$AG$2:$AG$1001,0),MATCH(COLUMNS($AN$1006:BF1006),$AN$1006:$BO$1006,0)), HYPERLINK("#",""), HYPERLINK(CONCATENATE("#Metadata!", ADDRESS(INDEX($AI$2:$AI$1001,MATCH(ROWS($AG$2:AG11),$AG$2:$AG$1001,0),0), INDEX($AN$1004:$BO$1004,1,MATCH(COLUMNS($AN$1006:BF1006),$AN$1006:$BO$1006,0)))),"Fix")))</f>
        <v>0</v>
      </c>
      <c r="U11" s="4">
        <f>IF(OR(INDEX($AH$2:$AH$1001,MATCH(ROWS($AG$2:AG11),$AG$2:$AG$1001,0),1)&gt;=100000,INDEX($AN$1005:$BO$1005,1,MATCH(COLUMNS($AN$1006:BG1006),$AN$1006:$BO$1006,0))&gt;=100000), " ",IF(INDEX($AN$2:$BO$1001,MATCH(ROWS($AG$2:AG11),$AG$2:$AG$1001,0),MATCH(COLUMNS($AN$1006:BG1006),$AN$1006:$BO$1006,0)), HYPERLINK("#",""), HYPERLINK(CONCATENATE("#Metadata!", ADDRESS(INDEX($AI$2:$AI$1001,MATCH(ROWS($AG$2:AG11),$AG$2:$AG$1001,0),0), INDEX($AN$1004:$BO$1004,1,MATCH(COLUMNS($AN$1006:BG1006),$AN$1006:$BO$1006,0)))),"Fix")))</f>
        <v>0</v>
      </c>
      <c r="V11" s="4">
        <f>IF(OR(INDEX($AH$2:$AH$1001,MATCH(ROWS($AG$2:AG11),$AG$2:$AG$1001,0),1)&gt;=100000,INDEX($AN$1005:$BO$1005,1,MATCH(COLUMNS($AN$1006:BH1006),$AN$1006:$BO$1006,0))&gt;=100000), " ",IF(INDEX($AN$2:$BO$1001,MATCH(ROWS($AG$2:AG11),$AG$2:$AG$1001,0),MATCH(COLUMNS($AN$1006:BH1006),$AN$1006:$BO$1006,0)), HYPERLINK("#",""), HYPERLINK(CONCATENATE("#Metadata!", ADDRESS(INDEX($AI$2:$AI$1001,MATCH(ROWS($AG$2:AG11),$AG$2:$AG$1001,0),0), INDEX($AN$1004:$BO$1004,1,MATCH(COLUMNS($AN$1006:BH1006),$AN$1006:$BO$1006,0)))),"Fix")))</f>
        <v>0</v>
      </c>
      <c r="W11" s="4">
        <f>IF(OR(INDEX($AH$2:$AH$1001,MATCH(ROWS($AG$2:AG11),$AG$2:$AG$1001,0),1)&gt;=100000,INDEX($AN$1005:$BO$1005,1,MATCH(COLUMNS($AN$1006:BI1006),$AN$1006:$BO$1006,0))&gt;=100000), " ",IF(INDEX($AN$2:$BO$1001,MATCH(ROWS($AG$2:AG11),$AG$2:$AG$1001,0),MATCH(COLUMNS($AN$1006:BI1006),$AN$1006:$BO$1006,0)), HYPERLINK("#",""), HYPERLINK(CONCATENATE("#Metadata!", ADDRESS(INDEX($AI$2:$AI$1001,MATCH(ROWS($AG$2:AG11),$AG$2:$AG$1001,0),0), INDEX($AN$1004:$BO$1004,1,MATCH(COLUMNS($AN$1006:BI1006),$AN$1006:$BO$1006,0)))),"Fix")))</f>
        <v>0</v>
      </c>
      <c r="X11" s="4">
        <f>IF(OR(INDEX($AH$2:$AH$1001,MATCH(ROWS($AG$2:AG11),$AG$2:$AG$1001,0),1)&gt;=100000,INDEX($AN$1005:$BO$1005,1,MATCH(COLUMNS($AN$1006:BJ1006),$AN$1006:$BO$1006,0))&gt;=100000), " ",IF(INDEX($AN$2:$BO$1001,MATCH(ROWS($AG$2:AG11),$AG$2:$AG$1001,0),MATCH(COLUMNS($AN$1006:BJ1006),$AN$1006:$BO$1006,0)), HYPERLINK("#",""), HYPERLINK(CONCATENATE("#Metadata!", ADDRESS(INDEX($AI$2:$AI$1001,MATCH(ROWS($AG$2:AG11),$AG$2:$AG$1001,0),0), INDEX($AN$1004:$BO$1004,1,MATCH(COLUMNS($AN$1006:BJ1006),$AN$1006:$BO$1006,0)))),"Fix")))</f>
        <v>0</v>
      </c>
      <c r="Y11" s="4">
        <f>IF(OR(INDEX($AH$2:$AH$1001,MATCH(ROWS($AG$2:AG11),$AG$2:$AG$1001,0),1)&gt;=100000,INDEX($AN$1005:$BO$1005,1,MATCH(COLUMNS($AN$1006:BK1006),$AN$1006:$BO$1006,0))&gt;=100000), " ",IF(INDEX($AN$2:$BO$1001,MATCH(ROWS($AG$2:AG11),$AG$2:$AG$1001,0),MATCH(COLUMNS($AN$1006:BK1006),$AN$1006:$BO$1006,0)), HYPERLINK("#",""), HYPERLINK(CONCATENATE("#Metadata!", ADDRESS(INDEX($AI$2:$AI$1001,MATCH(ROWS($AG$2:AG11),$AG$2:$AG$1001,0),0), INDEX($AN$1004:$BO$1004,1,MATCH(COLUMNS($AN$1006:BK1006),$AN$1006:$BO$1006,0)))),"Fix")))</f>
        <v>0</v>
      </c>
      <c r="Z11" s="4">
        <f>IF(OR(INDEX($AH$2:$AH$1001,MATCH(ROWS($AG$2:AG11),$AG$2:$AG$1001,0),1)&gt;=100000,INDEX($AN$1005:$BO$1005,1,MATCH(COLUMNS($AN$1006:BL1006),$AN$1006:$BO$1006,0))&gt;=100000), " ",IF(INDEX($AN$2:$BO$1001,MATCH(ROWS($AG$2:AG11),$AG$2:$AG$1001,0),MATCH(COLUMNS($AN$1006:BL1006),$AN$1006:$BO$1006,0)), HYPERLINK("#",""), HYPERLINK(CONCATENATE("#Metadata!", ADDRESS(INDEX($AI$2:$AI$1001,MATCH(ROWS($AG$2:AG11),$AG$2:$AG$1001,0),0), INDEX($AN$1004:$BO$1004,1,MATCH(COLUMNS($AN$1006:BL1006),$AN$1006:$BO$1006,0)))),"Fix")))</f>
        <v>0</v>
      </c>
      <c r="AA11" s="4">
        <f>IF(OR(INDEX($AH$2:$AH$1001,MATCH(ROWS($AG$2:AG11),$AG$2:$AG$1001,0),1)&gt;=100000,INDEX($AN$1005:$BO$1005,1,MATCH(COLUMNS($AN$1006:BM1006),$AN$1006:$BO$1006,0))&gt;=100000), " ",IF(INDEX($AN$2:$BO$1001,MATCH(ROWS($AG$2:AG11),$AG$2:$AG$1001,0),MATCH(COLUMNS($AN$1006:BM1006),$AN$1006:$BO$1006,0)), HYPERLINK("#",""), HYPERLINK(CONCATENATE("#Metadata!", ADDRESS(INDEX($AI$2:$AI$1001,MATCH(ROWS($AG$2:AG11),$AG$2:$AG$1001,0),0), INDEX($AN$1004:$BO$1004,1,MATCH(COLUMNS($AN$1006:BM1006),$AN$1006:$BO$1006,0)))),"Fix")))</f>
        <v>0</v>
      </c>
      <c r="AB11" s="4">
        <f>IF(OR(INDEX($AH$2:$AH$1001,MATCH(ROWS($AG$2:AG11),$AG$2:$AG$1001,0),1)&gt;=100000,INDEX($AN$1005:$BO$1005,1,MATCH(COLUMNS($AN$1006:BN1006),$AN$1006:$BO$1006,0))&gt;=100000), " ",IF(INDEX($AN$2:$BO$1001,MATCH(ROWS($AG$2:AG11),$AG$2:$AG$1001,0),MATCH(COLUMNS($AN$1006:BN1006),$AN$1006:$BO$1006,0)), HYPERLINK("#",""), HYPERLINK(CONCATENATE("#Metadata!", ADDRESS(INDEX($AI$2:$AI$1001,MATCH(ROWS($AG$2:AG11),$AG$2:$AG$1001,0),0), INDEX($AN$1004:$BO$1004,1,MATCH(COLUMNS($AN$1006:BN1006),$AN$1006:$BO$1006,0)))),"Fix")))</f>
        <v>0</v>
      </c>
      <c r="AC11" s="4">
        <f>IF(OR(INDEX($AH$2:$AH$1001,MATCH(ROWS($AG$2:AG11),$AG$2:$AG$1001,0),1)&gt;=100000,INDEX($AN$1005:$BO$1005,1,MATCH(COLUMNS($AN$1006:BO1006),$AN$1006:$BO$1006,0))&gt;=100000), " ",IF(INDEX($AN$2:$BO$1001,MATCH(ROWS($AG$2:AG11),$AG$2:$AG$1001,0),MATCH(COLUMNS($AN$1006:BO1006),$AN$1006:$BO$1006,0)), HYPERLINK("#",""), HYPERLINK(CONCATENATE("#Metadata!", ADDRESS(INDEX($AI$2:$AI$1001,MATCH(ROWS($AG$2:AG11),$AG$2:$AG$1001,0),0), INDEX($AN$1004:$BO$1004,1,MATCH(COLUMNS($AN$1006:BO1006),$AN$1006:$BO$1006,0)))),"Fix")))</f>
        <v>0</v>
      </c>
      <c r="AG11">
        <v>0</v>
      </c>
      <c r="AH11">
        <v>0</v>
      </c>
      <c r="AI11">
        <v>0</v>
      </c>
      <c r="AJ11">
        <f>IF(AK11,TRUE,AND(AN11:BO11))</f>
        <v>0</v>
      </c>
      <c r="AK11">
        <f>COUNTBLANK(Metadata!B11:AC11)=COLUMNS(Metadata!B11:AC11)</f>
        <v>0</v>
      </c>
      <c r="AL11">
        <v>0</v>
      </c>
      <c r="AN11">
        <f>AND(IF(Metadata!B11="",FALSE,TRUE),COUNTIF(Metadata!B:B, Metadata!B11) = 1,NOT(ISERROR(SUMPRODUCT(SEARCH(MID(Metadata!B11,ROW(INDIRECT("1:"&amp;LEN(Metadata!B11))), 1),"0123456789abcdefghijklmnopqrstuvwxyzABCDEFGHIJKLMNOPQRSTUVWXYZ.")))))</f>
        <v>0</v>
      </c>
      <c r="AO11">
        <f>IF(Metadata!C11="",FALSE,TRUE)</f>
        <v>0</v>
      </c>
      <c r="AP11">
        <f>IF(Metadata!D11="",FALSE,TRUE)</f>
        <v>0</v>
      </c>
      <c r="AQ11">
        <f>OR(AND(IF(Metadata!E11="",FALSE,TRUE),OR(exact(Metadata!E11,"not collected"),exact(Metadata!E11,"not provided"),exact(Metadata!E11,"restricted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R11">
        <f>IF(Metadata!F11="",FALSE,TRUE)</f>
        <v>0</v>
      </c>
      <c r="AS11">
        <f>OR(AND(IF(Metadata!G11="",FALSE,TRUE),OR(exact(Metadata!G11,"not collected"),exact(Metadata!G11,"not provided"))),AND(IF(Metadata!G11="",FALSE,TRUE),OR(exact(Metadata!G11,"TRUE"),exact(Metadata!G11,"FALSE"))))</f>
        <v>0</v>
      </c>
      <c r="AT11">
        <f>OR(AND(IF(Metadata!H11="",FALSE,TRUE),OR(exact(Metadata!H11,"not collected"),exact(Metadata!H11,"not provided"),exact(Metadata!H11,"restricted access"))),AND(IF(Metadata!H11="",FALSE,ISNUMBER(VALUE(Metadata!H11))),Metadata!H11&gt;=-413.0))</f>
        <v>0</v>
      </c>
      <c r="AU11">
        <f>AND(IF(Metadata!I11="",FALSE,TRUE),exact(Metadata!I11,"meters"))</f>
        <v>0</v>
      </c>
      <c r="AV11">
        <f>AND(IF(Metadata!J11="",FALSE,TRUE),OR(exact(Metadata!J11,"Host-associated"),exact(Metadata!J11,"Free-living")))</f>
        <v>0</v>
      </c>
      <c r="AW11">
        <f>AND(IF(Metadata!K11="",FALSE,TRUE),OR(exact(Metadata!K11,"Animal"),exact(Metadata!K11,"Fungus"),exact(Metadata!K11,"Plant"),exact(Metadata!K11,"Saline"),exact(Metadata!K11,"Non-saline")))</f>
        <v>0</v>
      </c>
      <c r="AX11">
        <f>AND(IF(Metadata!L11="",FALSE,TRUE),OR(exact(Metadata!L11,"Plant secretion"),exact(Metadata!L11,"Plant rhizosphere"),exact(Metadata!L11,"Plant surface"),exact(Metadata!L11,"Plant corpus"),exact(Metadata!L11,"Fungus surface"),exact(Metadata!L11,"Fungus corpus"),exact(Metadata!L11,"Animal surface"),exact(Metadata!L11,"Animal proximal gut"),exact(Metadata!L11,"Animal corpus"),exact(Metadata!L11,"Animal distal gut"),exact(Metadata!L11,"Animal secretion"),exact(Metadata!L11,"Sub-surface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0</v>
      </c>
      <c r="AY11">
        <f>IF(Metadata!M11="",FALSE,TRUE)</f>
        <v>0</v>
      </c>
      <c r="AZ11">
        <f>IF(Metadata!N11="",FALSE,TRUE)</f>
        <v>0</v>
      </c>
      <c r="BA11">
        <f>IF(Metadata!O11="",FALSE,TRUE)</f>
        <v>0</v>
      </c>
      <c r="BB11">
        <f>OR(AND(IF(Metadata!P11="",FALSE,TRUE),OR(exact(Metadata!P11,"not collected"),exact(Metadata!P11,"not provided"),exact(Metadata!P11,"restricted access"))),AND(IF(Metadata!P11="",FALSE,TRUE),OR(exact(Metadata!P11,"air"),exact(Metadata!P11,"built environment"),exact(Metadata!P11,"host-associated"),exact(Metadata!P11,"human-associated"),exact(Metadata!P11,"human-skin"),exact(Metadata!P11,"human-oral"),exact(Metadata!P11,"human-gut"),exact(Metadata!P11,"human-vaginal"),exact(Metadata!P11,"microbial mat/biofilm"),exact(Metadata!P11,"misc environment"),exact(Metadata!P11,"plant-associated"),exact(Metadata!P11,"sediment"),exact(Metadata!P11,"soil"),exact(Metadata!P11,"wastewater/sludge"),exact(Metadata!P11,"water"))))</f>
        <v>0</v>
      </c>
      <c r="BC11">
        <f>IF(Metadata!Q11="",FALSE,TRUE)</f>
        <v>0</v>
      </c>
      <c r="BD11">
        <f>IF(Metadata!R11="",FALSE,TRUE)</f>
        <v>0</v>
      </c>
      <c r="BE11">
        <f>OR(AND(IF(Metadata!S11="",FALSE,TRUE),OR(exact(Metadata!S11,"not collected"),exact(Metadata!S11,"not provided"),exact(Metadata!S11,"restricted access"))),AND(IF(Metadata!S11="",FALSE,ISNUMBER(VALUE(Metadata!S11))),Metadata!S11&gt;=-90.00,Metadata!S11&lt;=90.00))</f>
        <v>0</v>
      </c>
      <c r="BF11">
        <f>AND(IF(Metadata!T11="",FALSE,TRUE),exact(Metadata!T11,"Decimal degrees"))</f>
        <v>0</v>
      </c>
      <c r="BG11">
        <f>OR(AND(IF(Metadata!U11="",FALSE,TRUE),OR(exact(Metadata!U11,"not collected"),exact(Metadata!U11,"not provided"),exact(Metadata!U11,"restricted access"))),AND(IF(Metadata!U11="",FALSE,ISNUMBER(VALUE(Metadata!U11))),Metadata!U11&gt;=-180.00,Metadata!U11&lt;=180.00))</f>
        <v>0</v>
      </c>
      <c r="BH11">
        <f>AND(IF(Metadata!V11="",FALSE,TRUE),exact(Metadata!V11,"Decimal degrees"))</f>
        <v>0</v>
      </c>
      <c r="BI11">
        <f>IF(Metadata!W11="",FALSE,TRUE)</f>
        <v>0</v>
      </c>
      <c r="BJ11">
        <f>OR(AND(IF(Metadata!X11="",FALSE,TRUE),OR(exact(Metadata!X11,"not collected"),exact(Metadata!X11,"not provided"),exact(Metadata!X11,"restricted access"))),AND(IF(Metadata!X11="",FALSE,TRUE),OR(exact(Metadata!X11,"TRUE"),exact(Metadata!X11,"FALSE"))))</f>
        <v>0</v>
      </c>
      <c r="BK11">
        <f>AND(IF(Metadata!Y11="",FALSE,TRUE),exact(Metadata!Y11,"other"))</f>
        <v>0</v>
      </c>
      <c r="BL11">
        <f>IF(Metadata!Z11="",FALSE,TRUE)</f>
        <v>0</v>
      </c>
      <c r="BM11">
        <f>OR(AND(IF(Metadata!AA11="",FALSE,TRUE),OR(exact(Metadata!AA11,"not collected"),exact(Metadata!AA11,"not provided"))),AND(IF(Metadata!AA11="",FALSE,IF(ISERROR(INT(Metadata!AA11)),FALSE,INT(Metadata!AA11)=Metadata!AA11)),Metadata!AA11&gt;0))</f>
        <v>0</v>
      </c>
      <c r="BN11">
        <f>AND(IF(Metadata!AB11="",FALSE,TRUE),exact(Metadata!AB11,"Not applicable"))</f>
        <v>0</v>
      </c>
      <c r="BO11">
        <f>IF(Metadata!AC11="",FALSE,TRUE)</f>
        <v>0</v>
      </c>
    </row>
    <row r="12" spans="1:67">
      <c r="A12" s="5">
        <f>IF(B12=" "," ",HYPERLINK(CONCATENATE("#metadata!",ADDRESS(INDEX($AI$2:$AI$1001,MATCH(ROWS($AG$2:AG12),$AG$2:$AG$1001,0),0),1)),INDEX($AL$2:$AL$1001,MATCH(ROWS($AG$2:AG12),$AG$2:$AG$1001,0),0)))</f>
        <v>0</v>
      </c>
      <c r="B12" s="4">
        <f>IF(OR(INDEX($AH$2:$AH$1001,MATCH(ROWS($AG$2:AG12),$AG$2:$AG$1001,0),1)&gt;=100000,INDEX($AN$1005:$BO$1005,1,MATCH(COLUMNS($AN$1006:AN1006),$AN$1006:$BO$1006,0))&gt;=100000), " ",IF(INDEX($AN$2:$BO$1001,MATCH(ROWS($AG$2:AG12),$AG$2:$AG$1001,0),MATCH(COLUMNS($AN$1006:AN1006),$AN$1006:$BO$1006,0)), HYPERLINK("#",""), HYPERLINK(CONCATENATE("#Metadata!", ADDRESS(INDEX($AI$2:$AI$1001,MATCH(ROWS($AG$2:AG12),$AG$2:$AG$1001,0),0), INDEX($AN$1004:$BO$1004,1,MATCH(COLUMNS($AN$1006:AN1006),$AN$1006:$BO$1006,0)))),"Fix")))</f>
        <v>0</v>
      </c>
      <c r="C12" s="4">
        <f>IF(OR(INDEX($AH$2:$AH$1001,MATCH(ROWS($AG$2:AG12),$AG$2:$AG$1001,0),1)&gt;=100000,INDEX($AN$1005:$BO$1005,1,MATCH(COLUMNS($AN$1006:AO1006),$AN$1006:$BO$1006,0))&gt;=100000), " ",IF(INDEX($AN$2:$BO$1001,MATCH(ROWS($AG$2:AG12),$AG$2:$AG$1001,0),MATCH(COLUMNS($AN$1006:AO1006),$AN$1006:$BO$1006,0)), HYPERLINK("#",""), HYPERLINK(CONCATENATE("#Metadata!", ADDRESS(INDEX($AI$2:$AI$1001,MATCH(ROWS($AG$2:AG12),$AG$2:$AG$1001,0),0), INDEX($AN$1004:$BO$1004,1,MATCH(COLUMNS($AN$1006:AO1006),$AN$1006:$BO$1006,0)))),"Fix")))</f>
        <v>0</v>
      </c>
      <c r="D12" s="4">
        <f>IF(OR(INDEX($AH$2:$AH$1001,MATCH(ROWS($AG$2:AG12),$AG$2:$AG$1001,0),1)&gt;=100000,INDEX($AN$1005:$BO$1005,1,MATCH(COLUMNS($AN$1006:AP1006),$AN$1006:$BO$1006,0))&gt;=100000), " ",IF(INDEX($AN$2:$BO$1001,MATCH(ROWS($AG$2:AG12),$AG$2:$AG$1001,0),MATCH(COLUMNS($AN$1006:AP1006),$AN$1006:$BO$1006,0)), HYPERLINK("#",""), HYPERLINK(CONCATENATE("#Metadata!", ADDRESS(INDEX($AI$2:$AI$1001,MATCH(ROWS($AG$2:AG12),$AG$2:$AG$1001,0),0), INDEX($AN$1004:$BO$1004,1,MATCH(COLUMNS($AN$1006:AP1006),$AN$1006:$BO$1006,0)))),"Fix")))</f>
        <v>0</v>
      </c>
      <c r="E12" s="4">
        <f>IF(OR(INDEX($AH$2:$AH$1001,MATCH(ROWS($AG$2:AG12),$AG$2:$AG$1001,0),1)&gt;=100000,INDEX($AN$1005:$BO$1005,1,MATCH(COLUMNS($AN$1006:AQ1006),$AN$1006:$BO$1006,0))&gt;=100000), " ",IF(INDEX($AN$2:$BO$1001,MATCH(ROWS($AG$2:AG12),$AG$2:$AG$1001,0),MATCH(COLUMNS($AN$1006:AQ1006),$AN$1006:$BO$1006,0)), HYPERLINK("#",""), HYPERLINK(CONCATENATE("#Metadata!", ADDRESS(INDEX($AI$2:$AI$1001,MATCH(ROWS($AG$2:AG12),$AG$2:$AG$1001,0),0), INDEX($AN$1004:$BO$1004,1,MATCH(COLUMNS($AN$1006:AQ1006),$AN$1006:$BO$1006,0)))),"Fix")))</f>
        <v>0</v>
      </c>
      <c r="F12" s="4">
        <f>IF(OR(INDEX($AH$2:$AH$1001,MATCH(ROWS($AG$2:AG12),$AG$2:$AG$1001,0),1)&gt;=100000,INDEX($AN$1005:$BO$1005,1,MATCH(COLUMNS($AN$1006:AR1006),$AN$1006:$BO$1006,0))&gt;=100000), " ",IF(INDEX($AN$2:$BO$1001,MATCH(ROWS($AG$2:AG12),$AG$2:$AG$1001,0),MATCH(COLUMNS($AN$1006:AR1006),$AN$1006:$BO$1006,0)), HYPERLINK("#",""), HYPERLINK(CONCATENATE("#Metadata!", ADDRESS(INDEX($AI$2:$AI$1001,MATCH(ROWS($AG$2:AG12),$AG$2:$AG$1001,0),0), INDEX($AN$1004:$BO$1004,1,MATCH(COLUMNS($AN$1006:AR1006),$AN$1006:$BO$1006,0)))),"Fix")))</f>
        <v>0</v>
      </c>
      <c r="G12" s="4">
        <f>IF(OR(INDEX($AH$2:$AH$1001,MATCH(ROWS($AG$2:AG12),$AG$2:$AG$1001,0),1)&gt;=100000,INDEX($AN$1005:$BO$1005,1,MATCH(COLUMNS($AN$1006:AS1006),$AN$1006:$BO$1006,0))&gt;=100000), " ",IF(INDEX($AN$2:$BO$1001,MATCH(ROWS($AG$2:AG12),$AG$2:$AG$1001,0),MATCH(COLUMNS($AN$1006:AS1006),$AN$1006:$BO$1006,0)), HYPERLINK("#",""), HYPERLINK(CONCATENATE("#Metadata!", ADDRESS(INDEX($AI$2:$AI$1001,MATCH(ROWS($AG$2:AG12),$AG$2:$AG$1001,0),0), INDEX($AN$1004:$BO$1004,1,MATCH(COLUMNS($AN$1006:AS1006),$AN$1006:$BO$1006,0)))),"Fix")))</f>
        <v>0</v>
      </c>
      <c r="H12" s="4">
        <f>IF(OR(INDEX($AH$2:$AH$1001,MATCH(ROWS($AG$2:AG12),$AG$2:$AG$1001,0),1)&gt;=100000,INDEX($AN$1005:$BO$1005,1,MATCH(COLUMNS($AN$1006:AT1006),$AN$1006:$BO$1006,0))&gt;=100000), " ",IF(INDEX($AN$2:$BO$1001,MATCH(ROWS($AG$2:AG12),$AG$2:$AG$1001,0),MATCH(COLUMNS($AN$1006:AT1006),$AN$1006:$BO$1006,0)), HYPERLINK("#",""), HYPERLINK(CONCATENATE("#Metadata!", ADDRESS(INDEX($AI$2:$AI$1001,MATCH(ROWS($AG$2:AG12),$AG$2:$AG$1001,0),0), INDEX($AN$1004:$BO$1004,1,MATCH(COLUMNS($AN$1006:AT1006),$AN$1006:$BO$1006,0)))),"Fix")))</f>
        <v>0</v>
      </c>
      <c r="I12" s="4">
        <f>IF(OR(INDEX($AH$2:$AH$1001,MATCH(ROWS($AG$2:AG12),$AG$2:$AG$1001,0),1)&gt;=100000,INDEX($AN$1005:$BO$1005,1,MATCH(COLUMNS($AN$1006:AU1006),$AN$1006:$BO$1006,0))&gt;=100000), " ",IF(INDEX($AN$2:$BO$1001,MATCH(ROWS($AG$2:AG12),$AG$2:$AG$1001,0),MATCH(COLUMNS($AN$1006:AU1006),$AN$1006:$BO$1006,0)), HYPERLINK("#",""), HYPERLINK(CONCATENATE("#Metadata!", ADDRESS(INDEX($AI$2:$AI$1001,MATCH(ROWS($AG$2:AG12),$AG$2:$AG$1001,0),0), INDEX($AN$1004:$BO$1004,1,MATCH(COLUMNS($AN$1006:AU1006),$AN$1006:$BO$1006,0)))),"Fix")))</f>
        <v>0</v>
      </c>
      <c r="J12" s="4">
        <f>IF(OR(INDEX($AH$2:$AH$1001,MATCH(ROWS($AG$2:AG12),$AG$2:$AG$1001,0),1)&gt;=100000,INDEX($AN$1005:$BO$1005,1,MATCH(COLUMNS($AN$1006:AV1006),$AN$1006:$BO$1006,0))&gt;=100000), " ",IF(INDEX($AN$2:$BO$1001,MATCH(ROWS($AG$2:AG12),$AG$2:$AG$1001,0),MATCH(COLUMNS($AN$1006:AV1006),$AN$1006:$BO$1006,0)), HYPERLINK("#",""), HYPERLINK(CONCATENATE("#Metadata!", ADDRESS(INDEX($AI$2:$AI$1001,MATCH(ROWS($AG$2:AG12),$AG$2:$AG$1001,0),0), INDEX($AN$1004:$BO$1004,1,MATCH(COLUMNS($AN$1006:AV1006),$AN$1006:$BO$1006,0)))),"Fix")))</f>
        <v>0</v>
      </c>
      <c r="K12" s="4">
        <f>IF(OR(INDEX($AH$2:$AH$1001,MATCH(ROWS($AG$2:AG12),$AG$2:$AG$1001,0),1)&gt;=100000,INDEX($AN$1005:$BO$1005,1,MATCH(COLUMNS($AN$1006:AW1006),$AN$1006:$BO$1006,0))&gt;=100000), " ",IF(INDEX($AN$2:$BO$1001,MATCH(ROWS($AG$2:AG12),$AG$2:$AG$1001,0),MATCH(COLUMNS($AN$1006:AW1006),$AN$1006:$BO$1006,0)), HYPERLINK("#",""), HYPERLINK(CONCATENATE("#Metadata!", ADDRESS(INDEX($AI$2:$AI$1001,MATCH(ROWS($AG$2:AG12),$AG$2:$AG$1001,0),0), INDEX($AN$1004:$BO$1004,1,MATCH(COLUMNS($AN$1006:AW1006),$AN$1006:$BO$1006,0)))),"Fix")))</f>
        <v>0</v>
      </c>
      <c r="L12" s="4">
        <f>IF(OR(INDEX($AH$2:$AH$1001,MATCH(ROWS($AG$2:AG12),$AG$2:$AG$1001,0),1)&gt;=100000,INDEX($AN$1005:$BO$1005,1,MATCH(COLUMNS($AN$1006:AX1006),$AN$1006:$BO$1006,0))&gt;=100000), " ",IF(INDEX($AN$2:$BO$1001,MATCH(ROWS($AG$2:AG12),$AG$2:$AG$1001,0),MATCH(COLUMNS($AN$1006:AX1006),$AN$1006:$BO$1006,0)), HYPERLINK("#",""), HYPERLINK(CONCATENATE("#Metadata!", ADDRESS(INDEX($AI$2:$AI$1001,MATCH(ROWS($AG$2:AG12),$AG$2:$AG$1001,0),0), INDEX($AN$1004:$BO$1004,1,MATCH(COLUMNS($AN$1006:AX1006),$AN$1006:$BO$1006,0)))),"Fix")))</f>
        <v>0</v>
      </c>
      <c r="M12" s="4">
        <f>IF(OR(INDEX($AH$2:$AH$1001,MATCH(ROWS($AG$2:AG12),$AG$2:$AG$1001,0),1)&gt;=100000,INDEX($AN$1005:$BO$1005,1,MATCH(COLUMNS($AN$1006:AY1006),$AN$1006:$BO$1006,0))&gt;=100000), " ",IF(INDEX($AN$2:$BO$1001,MATCH(ROWS($AG$2:AG12),$AG$2:$AG$1001,0),MATCH(COLUMNS($AN$1006:AY1006),$AN$1006:$BO$1006,0)), HYPERLINK("#",""), HYPERLINK(CONCATENATE("#Metadata!", ADDRESS(INDEX($AI$2:$AI$1001,MATCH(ROWS($AG$2:AG12),$AG$2:$AG$1001,0),0), INDEX($AN$1004:$BO$1004,1,MATCH(COLUMNS($AN$1006:AY1006),$AN$1006:$BO$1006,0)))),"Fix")))</f>
        <v>0</v>
      </c>
      <c r="N12" s="4">
        <f>IF(OR(INDEX($AH$2:$AH$1001,MATCH(ROWS($AG$2:AG12),$AG$2:$AG$1001,0),1)&gt;=100000,INDEX($AN$1005:$BO$1005,1,MATCH(COLUMNS($AN$1006:AZ1006),$AN$1006:$BO$1006,0))&gt;=100000), " ",IF(INDEX($AN$2:$BO$1001,MATCH(ROWS($AG$2:AG12),$AG$2:$AG$1001,0),MATCH(COLUMNS($AN$1006:AZ1006),$AN$1006:$BO$1006,0)), HYPERLINK("#",""), HYPERLINK(CONCATENATE("#Metadata!", ADDRESS(INDEX($AI$2:$AI$1001,MATCH(ROWS($AG$2:AG12),$AG$2:$AG$1001,0),0), INDEX($AN$1004:$BO$1004,1,MATCH(COLUMNS($AN$1006:AZ1006),$AN$1006:$BO$1006,0)))),"Fix")))</f>
        <v>0</v>
      </c>
      <c r="O12" s="4">
        <f>IF(OR(INDEX($AH$2:$AH$1001,MATCH(ROWS($AG$2:AG12),$AG$2:$AG$1001,0),1)&gt;=100000,INDEX($AN$1005:$BO$1005,1,MATCH(COLUMNS($AN$1006:BA1006),$AN$1006:$BO$1006,0))&gt;=100000), " ",IF(INDEX($AN$2:$BO$1001,MATCH(ROWS($AG$2:AG12),$AG$2:$AG$1001,0),MATCH(COLUMNS($AN$1006:BA1006),$AN$1006:$BO$1006,0)), HYPERLINK("#",""), HYPERLINK(CONCATENATE("#Metadata!", ADDRESS(INDEX($AI$2:$AI$1001,MATCH(ROWS($AG$2:AG12),$AG$2:$AG$1001,0),0), INDEX($AN$1004:$BO$1004,1,MATCH(COLUMNS($AN$1006:BA1006),$AN$1006:$BO$1006,0)))),"Fix")))</f>
        <v>0</v>
      </c>
      <c r="P12" s="4">
        <f>IF(OR(INDEX($AH$2:$AH$1001,MATCH(ROWS($AG$2:AG12),$AG$2:$AG$1001,0),1)&gt;=100000,INDEX($AN$1005:$BO$1005,1,MATCH(COLUMNS($AN$1006:BB1006),$AN$1006:$BO$1006,0))&gt;=100000), " ",IF(INDEX($AN$2:$BO$1001,MATCH(ROWS($AG$2:AG12),$AG$2:$AG$1001,0),MATCH(COLUMNS($AN$1006:BB1006),$AN$1006:$BO$1006,0)), HYPERLINK("#",""), HYPERLINK(CONCATENATE("#Metadata!", ADDRESS(INDEX($AI$2:$AI$1001,MATCH(ROWS($AG$2:AG12),$AG$2:$AG$1001,0),0), INDEX($AN$1004:$BO$1004,1,MATCH(COLUMNS($AN$1006:BB1006),$AN$1006:$BO$1006,0)))),"Fix")))</f>
        <v>0</v>
      </c>
      <c r="Q12" s="4">
        <f>IF(OR(INDEX($AH$2:$AH$1001,MATCH(ROWS($AG$2:AG12),$AG$2:$AG$1001,0),1)&gt;=100000,INDEX($AN$1005:$BO$1005,1,MATCH(COLUMNS($AN$1006:BC1006),$AN$1006:$BO$1006,0))&gt;=100000), " ",IF(INDEX($AN$2:$BO$1001,MATCH(ROWS($AG$2:AG12),$AG$2:$AG$1001,0),MATCH(COLUMNS($AN$1006:BC1006),$AN$1006:$BO$1006,0)), HYPERLINK("#",""), HYPERLINK(CONCATENATE("#Metadata!", ADDRESS(INDEX($AI$2:$AI$1001,MATCH(ROWS($AG$2:AG12),$AG$2:$AG$1001,0),0), INDEX($AN$1004:$BO$1004,1,MATCH(COLUMNS($AN$1006:BC1006),$AN$1006:$BO$1006,0)))),"Fix")))</f>
        <v>0</v>
      </c>
      <c r="R12" s="4">
        <f>IF(OR(INDEX($AH$2:$AH$1001,MATCH(ROWS($AG$2:AG12),$AG$2:$AG$1001,0),1)&gt;=100000,INDEX($AN$1005:$BO$1005,1,MATCH(COLUMNS($AN$1006:BD1006),$AN$1006:$BO$1006,0))&gt;=100000), " ",IF(INDEX($AN$2:$BO$1001,MATCH(ROWS($AG$2:AG12),$AG$2:$AG$1001,0),MATCH(COLUMNS($AN$1006:BD1006),$AN$1006:$BO$1006,0)), HYPERLINK("#",""), HYPERLINK(CONCATENATE("#Metadata!", ADDRESS(INDEX($AI$2:$AI$1001,MATCH(ROWS($AG$2:AG12),$AG$2:$AG$1001,0),0), INDEX($AN$1004:$BO$1004,1,MATCH(COLUMNS($AN$1006:BD1006),$AN$1006:$BO$1006,0)))),"Fix")))</f>
        <v>0</v>
      </c>
      <c r="S12" s="4">
        <f>IF(OR(INDEX($AH$2:$AH$1001,MATCH(ROWS($AG$2:AG12),$AG$2:$AG$1001,0),1)&gt;=100000,INDEX($AN$1005:$BO$1005,1,MATCH(COLUMNS($AN$1006:BE1006),$AN$1006:$BO$1006,0))&gt;=100000), " ",IF(INDEX($AN$2:$BO$1001,MATCH(ROWS($AG$2:AG12),$AG$2:$AG$1001,0),MATCH(COLUMNS($AN$1006:BE1006),$AN$1006:$BO$1006,0)), HYPERLINK("#",""), HYPERLINK(CONCATENATE("#Metadata!", ADDRESS(INDEX($AI$2:$AI$1001,MATCH(ROWS($AG$2:AG12),$AG$2:$AG$1001,0),0), INDEX($AN$1004:$BO$1004,1,MATCH(COLUMNS($AN$1006:BE1006),$AN$1006:$BO$1006,0)))),"Fix")))</f>
        <v>0</v>
      </c>
      <c r="T12" s="4">
        <f>IF(OR(INDEX($AH$2:$AH$1001,MATCH(ROWS($AG$2:AG12),$AG$2:$AG$1001,0),1)&gt;=100000,INDEX($AN$1005:$BO$1005,1,MATCH(COLUMNS($AN$1006:BF1006),$AN$1006:$BO$1006,0))&gt;=100000), " ",IF(INDEX($AN$2:$BO$1001,MATCH(ROWS($AG$2:AG12),$AG$2:$AG$1001,0),MATCH(COLUMNS($AN$1006:BF1006),$AN$1006:$BO$1006,0)), HYPERLINK("#",""), HYPERLINK(CONCATENATE("#Metadata!", ADDRESS(INDEX($AI$2:$AI$1001,MATCH(ROWS($AG$2:AG12),$AG$2:$AG$1001,0),0), INDEX($AN$1004:$BO$1004,1,MATCH(COLUMNS($AN$1006:BF1006),$AN$1006:$BO$1006,0)))),"Fix")))</f>
        <v>0</v>
      </c>
      <c r="U12" s="4">
        <f>IF(OR(INDEX($AH$2:$AH$1001,MATCH(ROWS($AG$2:AG12),$AG$2:$AG$1001,0),1)&gt;=100000,INDEX($AN$1005:$BO$1005,1,MATCH(COLUMNS($AN$1006:BG1006),$AN$1006:$BO$1006,0))&gt;=100000), " ",IF(INDEX($AN$2:$BO$1001,MATCH(ROWS($AG$2:AG12),$AG$2:$AG$1001,0),MATCH(COLUMNS($AN$1006:BG1006),$AN$1006:$BO$1006,0)), HYPERLINK("#",""), HYPERLINK(CONCATENATE("#Metadata!", ADDRESS(INDEX($AI$2:$AI$1001,MATCH(ROWS($AG$2:AG12),$AG$2:$AG$1001,0),0), INDEX($AN$1004:$BO$1004,1,MATCH(COLUMNS($AN$1006:BG1006),$AN$1006:$BO$1006,0)))),"Fix")))</f>
        <v>0</v>
      </c>
      <c r="V12" s="4">
        <f>IF(OR(INDEX($AH$2:$AH$1001,MATCH(ROWS($AG$2:AG12),$AG$2:$AG$1001,0),1)&gt;=100000,INDEX($AN$1005:$BO$1005,1,MATCH(COLUMNS($AN$1006:BH1006),$AN$1006:$BO$1006,0))&gt;=100000), " ",IF(INDEX($AN$2:$BO$1001,MATCH(ROWS($AG$2:AG12),$AG$2:$AG$1001,0),MATCH(COLUMNS($AN$1006:BH1006),$AN$1006:$BO$1006,0)), HYPERLINK("#",""), HYPERLINK(CONCATENATE("#Metadata!", ADDRESS(INDEX($AI$2:$AI$1001,MATCH(ROWS($AG$2:AG12),$AG$2:$AG$1001,0),0), INDEX($AN$1004:$BO$1004,1,MATCH(COLUMNS($AN$1006:BH1006),$AN$1006:$BO$1006,0)))),"Fix")))</f>
        <v>0</v>
      </c>
      <c r="W12" s="4">
        <f>IF(OR(INDEX($AH$2:$AH$1001,MATCH(ROWS($AG$2:AG12),$AG$2:$AG$1001,0),1)&gt;=100000,INDEX($AN$1005:$BO$1005,1,MATCH(COLUMNS($AN$1006:BI1006),$AN$1006:$BO$1006,0))&gt;=100000), " ",IF(INDEX($AN$2:$BO$1001,MATCH(ROWS($AG$2:AG12),$AG$2:$AG$1001,0),MATCH(COLUMNS($AN$1006:BI1006),$AN$1006:$BO$1006,0)), HYPERLINK("#",""), HYPERLINK(CONCATENATE("#Metadata!", ADDRESS(INDEX($AI$2:$AI$1001,MATCH(ROWS($AG$2:AG12),$AG$2:$AG$1001,0),0), INDEX($AN$1004:$BO$1004,1,MATCH(COLUMNS($AN$1006:BI1006),$AN$1006:$BO$1006,0)))),"Fix")))</f>
        <v>0</v>
      </c>
      <c r="X12" s="4">
        <f>IF(OR(INDEX($AH$2:$AH$1001,MATCH(ROWS($AG$2:AG12),$AG$2:$AG$1001,0),1)&gt;=100000,INDEX($AN$1005:$BO$1005,1,MATCH(COLUMNS($AN$1006:BJ1006),$AN$1006:$BO$1006,0))&gt;=100000), " ",IF(INDEX($AN$2:$BO$1001,MATCH(ROWS($AG$2:AG12),$AG$2:$AG$1001,0),MATCH(COLUMNS($AN$1006:BJ1006),$AN$1006:$BO$1006,0)), HYPERLINK("#",""), HYPERLINK(CONCATENATE("#Metadata!", ADDRESS(INDEX($AI$2:$AI$1001,MATCH(ROWS($AG$2:AG12),$AG$2:$AG$1001,0),0), INDEX($AN$1004:$BO$1004,1,MATCH(COLUMNS($AN$1006:BJ1006),$AN$1006:$BO$1006,0)))),"Fix")))</f>
        <v>0</v>
      </c>
      <c r="Y12" s="4">
        <f>IF(OR(INDEX($AH$2:$AH$1001,MATCH(ROWS($AG$2:AG12),$AG$2:$AG$1001,0),1)&gt;=100000,INDEX($AN$1005:$BO$1005,1,MATCH(COLUMNS($AN$1006:BK1006),$AN$1006:$BO$1006,0))&gt;=100000), " ",IF(INDEX($AN$2:$BO$1001,MATCH(ROWS($AG$2:AG12),$AG$2:$AG$1001,0),MATCH(COLUMNS($AN$1006:BK1006),$AN$1006:$BO$1006,0)), HYPERLINK("#",""), HYPERLINK(CONCATENATE("#Metadata!", ADDRESS(INDEX($AI$2:$AI$1001,MATCH(ROWS($AG$2:AG12),$AG$2:$AG$1001,0),0), INDEX($AN$1004:$BO$1004,1,MATCH(COLUMNS($AN$1006:BK1006),$AN$1006:$BO$1006,0)))),"Fix")))</f>
        <v>0</v>
      </c>
      <c r="Z12" s="4">
        <f>IF(OR(INDEX($AH$2:$AH$1001,MATCH(ROWS($AG$2:AG12),$AG$2:$AG$1001,0),1)&gt;=100000,INDEX($AN$1005:$BO$1005,1,MATCH(COLUMNS($AN$1006:BL1006),$AN$1006:$BO$1006,0))&gt;=100000), " ",IF(INDEX($AN$2:$BO$1001,MATCH(ROWS($AG$2:AG12),$AG$2:$AG$1001,0),MATCH(COLUMNS($AN$1006:BL1006),$AN$1006:$BO$1006,0)), HYPERLINK("#",""), HYPERLINK(CONCATENATE("#Metadata!", ADDRESS(INDEX($AI$2:$AI$1001,MATCH(ROWS($AG$2:AG12),$AG$2:$AG$1001,0),0), INDEX($AN$1004:$BO$1004,1,MATCH(COLUMNS($AN$1006:BL1006),$AN$1006:$BO$1006,0)))),"Fix")))</f>
        <v>0</v>
      </c>
      <c r="AA12" s="4">
        <f>IF(OR(INDEX($AH$2:$AH$1001,MATCH(ROWS($AG$2:AG12),$AG$2:$AG$1001,0),1)&gt;=100000,INDEX($AN$1005:$BO$1005,1,MATCH(COLUMNS($AN$1006:BM1006),$AN$1006:$BO$1006,0))&gt;=100000), " ",IF(INDEX($AN$2:$BO$1001,MATCH(ROWS($AG$2:AG12),$AG$2:$AG$1001,0),MATCH(COLUMNS($AN$1006:BM1006),$AN$1006:$BO$1006,0)), HYPERLINK("#",""), HYPERLINK(CONCATENATE("#Metadata!", ADDRESS(INDEX($AI$2:$AI$1001,MATCH(ROWS($AG$2:AG12),$AG$2:$AG$1001,0),0), INDEX($AN$1004:$BO$1004,1,MATCH(COLUMNS($AN$1006:BM1006),$AN$1006:$BO$1006,0)))),"Fix")))</f>
        <v>0</v>
      </c>
      <c r="AB12" s="4">
        <f>IF(OR(INDEX($AH$2:$AH$1001,MATCH(ROWS($AG$2:AG12),$AG$2:$AG$1001,0),1)&gt;=100000,INDEX($AN$1005:$BO$1005,1,MATCH(COLUMNS($AN$1006:BN1006),$AN$1006:$BO$1006,0))&gt;=100000), " ",IF(INDEX($AN$2:$BO$1001,MATCH(ROWS($AG$2:AG12),$AG$2:$AG$1001,0),MATCH(COLUMNS($AN$1006:BN1006),$AN$1006:$BO$1006,0)), HYPERLINK("#",""), HYPERLINK(CONCATENATE("#Metadata!", ADDRESS(INDEX($AI$2:$AI$1001,MATCH(ROWS($AG$2:AG12),$AG$2:$AG$1001,0),0), INDEX($AN$1004:$BO$1004,1,MATCH(COLUMNS($AN$1006:BN1006),$AN$1006:$BO$1006,0)))),"Fix")))</f>
        <v>0</v>
      </c>
      <c r="AC12" s="4">
        <f>IF(OR(INDEX($AH$2:$AH$1001,MATCH(ROWS($AG$2:AG12),$AG$2:$AG$1001,0),1)&gt;=100000,INDEX($AN$1005:$BO$1005,1,MATCH(COLUMNS($AN$1006:BO1006),$AN$1006:$BO$1006,0))&gt;=100000), " ",IF(INDEX($AN$2:$BO$1001,MATCH(ROWS($AG$2:AG12),$AG$2:$AG$1001,0),MATCH(COLUMNS($AN$1006:BO1006),$AN$1006:$BO$1006,0)), HYPERLINK("#",""), HYPERLINK(CONCATENATE("#Metadata!", ADDRESS(INDEX($AI$2:$AI$1001,MATCH(ROWS($AG$2:AG12),$AG$2:$AG$1001,0),0), INDEX($AN$1004:$BO$1004,1,MATCH(COLUMNS($AN$1006:BO1006),$AN$1006:$BO$1006,0)))),"Fix")))</f>
        <v>0</v>
      </c>
      <c r="AG12">
        <v>0</v>
      </c>
      <c r="AH12">
        <v>0</v>
      </c>
      <c r="AI12">
        <v>0</v>
      </c>
      <c r="AJ12">
        <f>IF(AK12,TRUE,AND(AN12:BO12))</f>
        <v>0</v>
      </c>
      <c r="AK12">
        <f>COUNTBLANK(Metadata!B12:AC12)=COLUMNS(Metadata!B12:AC12)</f>
        <v>0</v>
      </c>
      <c r="AL12">
        <v>0</v>
      </c>
      <c r="AN12">
        <f>AND(IF(Metadata!B12="",FALSE,TRUE),COUNTIF(Metadata!B:B, Metadata!B12) = 1,NOT(ISERROR(SUMPRODUCT(SEARCH(MID(Metadata!B12,ROW(INDIRECT("1:"&amp;LEN(Metadata!B12))), 1),"0123456789abcdefghijklmnopqrstuvwxyzABCDEFGHIJKLMNOPQRSTUVWXYZ.")))))</f>
        <v>0</v>
      </c>
      <c r="AO12">
        <f>IF(Metadata!C12="",FALSE,TRUE)</f>
        <v>0</v>
      </c>
      <c r="AP12">
        <f>IF(Metadata!D12="",FALSE,TRUE)</f>
        <v>0</v>
      </c>
      <c r="AQ12">
        <f>OR(AND(IF(Metadata!E12="",FALSE,TRUE),OR(exact(Metadata!E12,"not collected"),exact(Metadata!E12,"not provided"),exact(Metadata!E12,"restricted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R12">
        <f>IF(Metadata!F12="",FALSE,TRUE)</f>
        <v>0</v>
      </c>
      <c r="AS12">
        <f>OR(AND(IF(Metadata!G12="",FALSE,TRUE),OR(exact(Metadata!G12,"not collected"),exact(Metadata!G12,"not provided"))),AND(IF(Metadata!G12="",FALSE,TRUE),OR(exact(Metadata!G12,"TRUE"),exact(Metadata!G12,"FALSE"))))</f>
        <v>0</v>
      </c>
      <c r="AT12">
        <f>OR(AND(IF(Metadata!H12="",FALSE,TRUE),OR(exact(Metadata!H12,"not collected"),exact(Metadata!H12,"not provided"),exact(Metadata!H12,"restricted access"))),AND(IF(Metadata!H12="",FALSE,ISNUMBER(VALUE(Metadata!H12))),Metadata!H12&gt;=-413.0))</f>
        <v>0</v>
      </c>
      <c r="AU12">
        <f>AND(IF(Metadata!I12="",FALSE,TRUE),exact(Metadata!I12,"meters"))</f>
        <v>0</v>
      </c>
      <c r="AV12">
        <f>AND(IF(Metadata!J12="",FALSE,TRUE),OR(exact(Metadata!J12,"Host-associated"),exact(Metadata!J12,"Free-living")))</f>
        <v>0</v>
      </c>
      <c r="AW12">
        <f>AND(IF(Metadata!K12="",FALSE,TRUE),OR(exact(Metadata!K12,"Animal"),exact(Metadata!K12,"Fungus"),exact(Metadata!K12,"Plant"),exact(Metadata!K12,"Saline"),exact(Metadata!K12,"Non-saline")))</f>
        <v>0</v>
      </c>
      <c r="AX12">
        <f>AND(IF(Metadata!L12="",FALSE,TRUE),OR(exact(Metadata!L12,"Plant secretion"),exact(Metadata!L12,"Plant rhizosphere"),exact(Metadata!L12,"Plant surface"),exact(Metadata!L12,"Plant corpus"),exact(Metadata!L12,"Fungus surface"),exact(Metadata!L12,"Fungus corpus"),exact(Metadata!L12,"Animal surface"),exact(Metadata!L12,"Animal proximal gut"),exact(Metadata!L12,"Animal corpus"),exact(Metadata!L12,"Animal distal gut"),exact(Metadata!L12,"Animal secretion"),exact(Metadata!L12,"Sub-surface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0</v>
      </c>
      <c r="AY12">
        <f>IF(Metadata!M12="",FALSE,TRUE)</f>
        <v>0</v>
      </c>
      <c r="AZ12">
        <f>IF(Metadata!N12="",FALSE,TRUE)</f>
        <v>0</v>
      </c>
      <c r="BA12">
        <f>IF(Metadata!O12="",FALSE,TRUE)</f>
        <v>0</v>
      </c>
      <c r="BB12">
        <f>OR(AND(IF(Metadata!P12="",FALSE,TRUE),OR(exact(Metadata!P12,"not collected"),exact(Metadata!P12,"not provided"),exact(Metadata!P12,"restricted access"))),AND(IF(Metadata!P12="",FALSE,TRUE),OR(exact(Metadata!P12,"air"),exact(Metadata!P12,"built environment"),exact(Metadata!P12,"host-associated"),exact(Metadata!P12,"human-associated"),exact(Metadata!P12,"human-skin"),exact(Metadata!P12,"human-oral"),exact(Metadata!P12,"human-gut"),exact(Metadata!P12,"human-vaginal"),exact(Metadata!P12,"microbial mat/biofilm"),exact(Metadata!P12,"misc environment"),exact(Metadata!P12,"plant-associated"),exact(Metadata!P12,"sediment"),exact(Metadata!P12,"soil"),exact(Metadata!P12,"wastewater/sludge"),exact(Metadata!P12,"water"))))</f>
        <v>0</v>
      </c>
      <c r="BC12">
        <f>IF(Metadata!Q12="",FALSE,TRUE)</f>
        <v>0</v>
      </c>
      <c r="BD12">
        <f>IF(Metadata!R12="",FALSE,TRUE)</f>
        <v>0</v>
      </c>
      <c r="BE12">
        <f>OR(AND(IF(Metadata!S12="",FALSE,TRUE),OR(exact(Metadata!S12,"not collected"),exact(Metadata!S12,"not provided"),exact(Metadata!S12,"restricted access"))),AND(IF(Metadata!S12="",FALSE,ISNUMBER(VALUE(Metadata!S12))),Metadata!S12&gt;=-90.00,Metadata!S12&lt;=90.00))</f>
        <v>0</v>
      </c>
      <c r="BF12">
        <f>AND(IF(Metadata!T12="",FALSE,TRUE),exact(Metadata!T12,"Decimal degrees"))</f>
        <v>0</v>
      </c>
      <c r="BG12">
        <f>OR(AND(IF(Metadata!U12="",FALSE,TRUE),OR(exact(Metadata!U12,"not collected"),exact(Metadata!U12,"not provided"),exact(Metadata!U12,"restricted access"))),AND(IF(Metadata!U12="",FALSE,ISNUMBER(VALUE(Metadata!U12))),Metadata!U12&gt;=-180.00,Metadata!U12&lt;=180.00))</f>
        <v>0</v>
      </c>
      <c r="BH12">
        <f>AND(IF(Metadata!V12="",FALSE,TRUE),exact(Metadata!V12,"Decimal degrees"))</f>
        <v>0</v>
      </c>
      <c r="BI12">
        <f>IF(Metadata!W12="",FALSE,TRUE)</f>
        <v>0</v>
      </c>
      <c r="BJ12">
        <f>OR(AND(IF(Metadata!X12="",FALSE,TRUE),OR(exact(Metadata!X12,"not collected"),exact(Metadata!X12,"not provided"),exact(Metadata!X12,"restricted access"))),AND(IF(Metadata!X12="",FALSE,TRUE),OR(exact(Metadata!X12,"TRUE"),exact(Metadata!X12,"FALSE"))))</f>
        <v>0</v>
      </c>
      <c r="BK12">
        <f>AND(IF(Metadata!Y12="",FALSE,TRUE),exact(Metadata!Y12,"other"))</f>
        <v>0</v>
      </c>
      <c r="BL12">
        <f>IF(Metadata!Z12="",FALSE,TRUE)</f>
        <v>0</v>
      </c>
      <c r="BM12">
        <f>OR(AND(IF(Metadata!AA12="",FALSE,TRUE),OR(exact(Metadata!AA12,"not collected"),exact(Metadata!AA12,"not provided"))),AND(IF(Metadata!AA12="",FALSE,IF(ISERROR(INT(Metadata!AA12)),FALSE,INT(Metadata!AA12)=Metadata!AA12)),Metadata!AA12&gt;0))</f>
        <v>0</v>
      </c>
      <c r="BN12">
        <f>AND(IF(Metadata!AB12="",FALSE,TRUE),exact(Metadata!AB12,"Not applicable"))</f>
        <v>0</v>
      </c>
      <c r="BO12">
        <f>IF(Metadata!AC12="",FALSE,TRUE)</f>
        <v>0</v>
      </c>
    </row>
    <row r="13" spans="1:67">
      <c r="A13" s="5">
        <f>IF(B13=" "," ",HYPERLINK(CONCATENATE("#metadata!",ADDRESS(INDEX($AI$2:$AI$1001,MATCH(ROWS($AG$2:AG13),$AG$2:$AG$1001,0),0),1)),INDEX($AL$2:$AL$1001,MATCH(ROWS($AG$2:AG13),$AG$2:$AG$1001,0),0)))</f>
        <v>0</v>
      </c>
      <c r="B13" s="4">
        <f>IF(OR(INDEX($AH$2:$AH$1001,MATCH(ROWS($AG$2:AG13),$AG$2:$AG$1001,0),1)&gt;=100000,INDEX($AN$1005:$BO$1005,1,MATCH(COLUMNS($AN$1006:AN1006),$AN$1006:$BO$1006,0))&gt;=100000), " ",IF(INDEX($AN$2:$BO$1001,MATCH(ROWS($AG$2:AG13),$AG$2:$AG$1001,0),MATCH(COLUMNS($AN$1006:AN1006),$AN$1006:$BO$1006,0)), HYPERLINK("#",""), HYPERLINK(CONCATENATE("#Metadata!", ADDRESS(INDEX($AI$2:$AI$1001,MATCH(ROWS($AG$2:AG13),$AG$2:$AG$1001,0),0), INDEX($AN$1004:$BO$1004,1,MATCH(COLUMNS($AN$1006:AN1006),$AN$1006:$BO$1006,0)))),"Fix")))</f>
        <v>0</v>
      </c>
      <c r="C13" s="4">
        <f>IF(OR(INDEX($AH$2:$AH$1001,MATCH(ROWS($AG$2:AG13),$AG$2:$AG$1001,0),1)&gt;=100000,INDEX($AN$1005:$BO$1005,1,MATCH(COLUMNS($AN$1006:AO1006),$AN$1006:$BO$1006,0))&gt;=100000), " ",IF(INDEX($AN$2:$BO$1001,MATCH(ROWS($AG$2:AG13),$AG$2:$AG$1001,0),MATCH(COLUMNS($AN$1006:AO1006),$AN$1006:$BO$1006,0)), HYPERLINK("#",""), HYPERLINK(CONCATENATE("#Metadata!", ADDRESS(INDEX($AI$2:$AI$1001,MATCH(ROWS($AG$2:AG13),$AG$2:$AG$1001,0),0), INDEX($AN$1004:$BO$1004,1,MATCH(COLUMNS($AN$1006:AO1006),$AN$1006:$BO$1006,0)))),"Fix")))</f>
        <v>0</v>
      </c>
      <c r="D13" s="4">
        <f>IF(OR(INDEX($AH$2:$AH$1001,MATCH(ROWS($AG$2:AG13),$AG$2:$AG$1001,0),1)&gt;=100000,INDEX($AN$1005:$BO$1005,1,MATCH(COLUMNS($AN$1006:AP1006),$AN$1006:$BO$1006,0))&gt;=100000), " ",IF(INDEX($AN$2:$BO$1001,MATCH(ROWS($AG$2:AG13),$AG$2:$AG$1001,0),MATCH(COLUMNS($AN$1006:AP1006),$AN$1006:$BO$1006,0)), HYPERLINK("#",""), HYPERLINK(CONCATENATE("#Metadata!", ADDRESS(INDEX($AI$2:$AI$1001,MATCH(ROWS($AG$2:AG13),$AG$2:$AG$1001,0),0), INDEX($AN$1004:$BO$1004,1,MATCH(COLUMNS($AN$1006:AP1006),$AN$1006:$BO$1006,0)))),"Fix")))</f>
        <v>0</v>
      </c>
      <c r="E13" s="4">
        <f>IF(OR(INDEX($AH$2:$AH$1001,MATCH(ROWS($AG$2:AG13),$AG$2:$AG$1001,0),1)&gt;=100000,INDEX($AN$1005:$BO$1005,1,MATCH(COLUMNS($AN$1006:AQ1006),$AN$1006:$BO$1006,0))&gt;=100000), " ",IF(INDEX($AN$2:$BO$1001,MATCH(ROWS($AG$2:AG13),$AG$2:$AG$1001,0),MATCH(COLUMNS($AN$1006:AQ1006),$AN$1006:$BO$1006,0)), HYPERLINK("#",""), HYPERLINK(CONCATENATE("#Metadata!", ADDRESS(INDEX($AI$2:$AI$1001,MATCH(ROWS($AG$2:AG13),$AG$2:$AG$1001,0),0), INDEX($AN$1004:$BO$1004,1,MATCH(COLUMNS($AN$1006:AQ1006),$AN$1006:$BO$1006,0)))),"Fix")))</f>
        <v>0</v>
      </c>
      <c r="F13" s="4">
        <f>IF(OR(INDEX($AH$2:$AH$1001,MATCH(ROWS($AG$2:AG13),$AG$2:$AG$1001,0),1)&gt;=100000,INDEX($AN$1005:$BO$1005,1,MATCH(COLUMNS($AN$1006:AR1006),$AN$1006:$BO$1006,0))&gt;=100000), " ",IF(INDEX($AN$2:$BO$1001,MATCH(ROWS($AG$2:AG13),$AG$2:$AG$1001,0),MATCH(COLUMNS($AN$1006:AR1006),$AN$1006:$BO$1006,0)), HYPERLINK("#",""), HYPERLINK(CONCATENATE("#Metadata!", ADDRESS(INDEX($AI$2:$AI$1001,MATCH(ROWS($AG$2:AG13),$AG$2:$AG$1001,0),0), INDEX($AN$1004:$BO$1004,1,MATCH(COLUMNS($AN$1006:AR1006),$AN$1006:$BO$1006,0)))),"Fix")))</f>
        <v>0</v>
      </c>
      <c r="G13" s="4">
        <f>IF(OR(INDEX($AH$2:$AH$1001,MATCH(ROWS($AG$2:AG13),$AG$2:$AG$1001,0),1)&gt;=100000,INDEX($AN$1005:$BO$1005,1,MATCH(COLUMNS($AN$1006:AS1006),$AN$1006:$BO$1006,0))&gt;=100000), " ",IF(INDEX($AN$2:$BO$1001,MATCH(ROWS($AG$2:AG13),$AG$2:$AG$1001,0),MATCH(COLUMNS($AN$1006:AS1006),$AN$1006:$BO$1006,0)), HYPERLINK("#",""), HYPERLINK(CONCATENATE("#Metadata!", ADDRESS(INDEX($AI$2:$AI$1001,MATCH(ROWS($AG$2:AG13),$AG$2:$AG$1001,0),0), INDEX($AN$1004:$BO$1004,1,MATCH(COLUMNS($AN$1006:AS1006),$AN$1006:$BO$1006,0)))),"Fix")))</f>
        <v>0</v>
      </c>
      <c r="H13" s="4">
        <f>IF(OR(INDEX($AH$2:$AH$1001,MATCH(ROWS($AG$2:AG13),$AG$2:$AG$1001,0),1)&gt;=100000,INDEX($AN$1005:$BO$1005,1,MATCH(COLUMNS($AN$1006:AT1006),$AN$1006:$BO$1006,0))&gt;=100000), " ",IF(INDEX($AN$2:$BO$1001,MATCH(ROWS($AG$2:AG13),$AG$2:$AG$1001,0),MATCH(COLUMNS($AN$1006:AT1006),$AN$1006:$BO$1006,0)), HYPERLINK("#",""), HYPERLINK(CONCATENATE("#Metadata!", ADDRESS(INDEX($AI$2:$AI$1001,MATCH(ROWS($AG$2:AG13),$AG$2:$AG$1001,0),0), INDEX($AN$1004:$BO$1004,1,MATCH(COLUMNS($AN$1006:AT1006),$AN$1006:$BO$1006,0)))),"Fix")))</f>
        <v>0</v>
      </c>
      <c r="I13" s="4">
        <f>IF(OR(INDEX($AH$2:$AH$1001,MATCH(ROWS($AG$2:AG13),$AG$2:$AG$1001,0),1)&gt;=100000,INDEX($AN$1005:$BO$1005,1,MATCH(COLUMNS($AN$1006:AU1006),$AN$1006:$BO$1006,0))&gt;=100000), " ",IF(INDEX($AN$2:$BO$1001,MATCH(ROWS($AG$2:AG13),$AG$2:$AG$1001,0),MATCH(COLUMNS($AN$1006:AU1006),$AN$1006:$BO$1006,0)), HYPERLINK("#",""), HYPERLINK(CONCATENATE("#Metadata!", ADDRESS(INDEX($AI$2:$AI$1001,MATCH(ROWS($AG$2:AG13),$AG$2:$AG$1001,0),0), INDEX($AN$1004:$BO$1004,1,MATCH(COLUMNS($AN$1006:AU1006),$AN$1006:$BO$1006,0)))),"Fix")))</f>
        <v>0</v>
      </c>
      <c r="J13" s="4">
        <f>IF(OR(INDEX($AH$2:$AH$1001,MATCH(ROWS($AG$2:AG13),$AG$2:$AG$1001,0),1)&gt;=100000,INDEX($AN$1005:$BO$1005,1,MATCH(COLUMNS($AN$1006:AV1006),$AN$1006:$BO$1006,0))&gt;=100000), " ",IF(INDEX($AN$2:$BO$1001,MATCH(ROWS($AG$2:AG13),$AG$2:$AG$1001,0),MATCH(COLUMNS($AN$1006:AV1006),$AN$1006:$BO$1006,0)), HYPERLINK("#",""), HYPERLINK(CONCATENATE("#Metadata!", ADDRESS(INDEX($AI$2:$AI$1001,MATCH(ROWS($AG$2:AG13),$AG$2:$AG$1001,0),0), INDEX($AN$1004:$BO$1004,1,MATCH(COLUMNS($AN$1006:AV1006),$AN$1006:$BO$1006,0)))),"Fix")))</f>
        <v>0</v>
      </c>
      <c r="K13" s="4">
        <f>IF(OR(INDEX($AH$2:$AH$1001,MATCH(ROWS($AG$2:AG13),$AG$2:$AG$1001,0),1)&gt;=100000,INDEX($AN$1005:$BO$1005,1,MATCH(COLUMNS($AN$1006:AW1006),$AN$1006:$BO$1006,0))&gt;=100000), " ",IF(INDEX($AN$2:$BO$1001,MATCH(ROWS($AG$2:AG13),$AG$2:$AG$1001,0),MATCH(COLUMNS($AN$1006:AW1006),$AN$1006:$BO$1006,0)), HYPERLINK("#",""), HYPERLINK(CONCATENATE("#Metadata!", ADDRESS(INDEX($AI$2:$AI$1001,MATCH(ROWS($AG$2:AG13),$AG$2:$AG$1001,0),0), INDEX($AN$1004:$BO$1004,1,MATCH(COLUMNS($AN$1006:AW1006),$AN$1006:$BO$1006,0)))),"Fix")))</f>
        <v>0</v>
      </c>
      <c r="L13" s="4">
        <f>IF(OR(INDEX($AH$2:$AH$1001,MATCH(ROWS($AG$2:AG13),$AG$2:$AG$1001,0),1)&gt;=100000,INDEX($AN$1005:$BO$1005,1,MATCH(COLUMNS($AN$1006:AX1006),$AN$1006:$BO$1006,0))&gt;=100000), " ",IF(INDEX($AN$2:$BO$1001,MATCH(ROWS($AG$2:AG13),$AG$2:$AG$1001,0),MATCH(COLUMNS($AN$1006:AX1006),$AN$1006:$BO$1006,0)), HYPERLINK("#",""), HYPERLINK(CONCATENATE("#Metadata!", ADDRESS(INDEX($AI$2:$AI$1001,MATCH(ROWS($AG$2:AG13),$AG$2:$AG$1001,0),0), INDEX($AN$1004:$BO$1004,1,MATCH(COLUMNS($AN$1006:AX1006),$AN$1006:$BO$1006,0)))),"Fix")))</f>
        <v>0</v>
      </c>
      <c r="M13" s="4">
        <f>IF(OR(INDEX($AH$2:$AH$1001,MATCH(ROWS($AG$2:AG13),$AG$2:$AG$1001,0),1)&gt;=100000,INDEX($AN$1005:$BO$1005,1,MATCH(COLUMNS($AN$1006:AY1006),$AN$1006:$BO$1006,0))&gt;=100000), " ",IF(INDEX($AN$2:$BO$1001,MATCH(ROWS($AG$2:AG13),$AG$2:$AG$1001,0),MATCH(COLUMNS($AN$1006:AY1006),$AN$1006:$BO$1006,0)), HYPERLINK("#",""), HYPERLINK(CONCATENATE("#Metadata!", ADDRESS(INDEX($AI$2:$AI$1001,MATCH(ROWS($AG$2:AG13),$AG$2:$AG$1001,0),0), INDEX($AN$1004:$BO$1004,1,MATCH(COLUMNS($AN$1006:AY1006),$AN$1006:$BO$1006,0)))),"Fix")))</f>
        <v>0</v>
      </c>
      <c r="N13" s="4">
        <f>IF(OR(INDEX($AH$2:$AH$1001,MATCH(ROWS($AG$2:AG13),$AG$2:$AG$1001,0),1)&gt;=100000,INDEX($AN$1005:$BO$1005,1,MATCH(COLUMNS($AN$1006:AZ1006),$AN$1006:$BO$1006,0))&gt;=100000), " ",IF(INDEX($AN$2:$BO$1001,MATCH(ROWS($AG$2:AG13),$AG$2:$AG$1001,0),MATCH(COLUMNS($AN$1006:AZ1006),$AN$1006:$BO$1006,0)), HYPERLINK("#",""), HYPERLINK(CONCATENATE("#Metadata!", ADDRESS(INDEX($AI$2:$AI$1001,MATCH(ROWS($AG$2:AG13),$AG$2:$AG$1001,0),0), INDEX($AN$1004:$BO$1004,1,MATCH(COLUMNS($AN$1006:AZ1006),$AN$1006:$BO$1006,0)))),"Fix")))</f>
        <v>0</v>
      </c>
      <c r="O13" s="4">
        <f>IF(OR(INDEX($AH$2:$AH$1001,MATCH(ROWS($AG$2:AG13),$AG$2:$AG$1001,0),1)&gt;=100000,INDEX($AN$1005:$BO$1005,1,MATCH(COLUMNS($AN$1006:BA1006),$AN$1006:$BO$1006,0))&gt;=100000), " ",IF(INDEX($AN$2:$BO$1001,MATCH(ROWS($AG$2:AG13),$AG$2:$AG$1001,0),MATCH(COLUMNS($AN$1006:BA1006),$AN$1006:$BO$1006,0)), HYPERLINK("#",""), HYPERLINK(CONCATENATE("#Metadata!", ADDRESS(INDEX($AI$2:$AI$1001,MATCH(ROWS($AG$2:AG13),$AG$2:$AG$1001,0),0), INDEX($AN$1004:$BO$1004,1,MATCH(COLUMNS($AN$1006:BA1006),$AN$1006:$BO$1006,0)))),"Fix")))</f>
        <v>0</v>
      </c>
      <c r="P13" s="4">
        <f>IF(OR(INDEX($AH$2:$AH$1001,MATCH(ROWS($AG$2:AG13),$AG$2:$AG$1001,0),1)&gt;=100000,INDEX($AN$1005:$BO$1005,1,MATCH(COLUMNS($AN$1006:BB1006),$AN$1006:$BO$1006,0))&gt;=100000), " ",IF(INDEX($AN$2:$BO$1001,MATCH(ROWS($AG$2:AG13),$AG$2:$AG$1001,0),MATCH(COLUMNS($AN$1006:BB1006),$AN$1006:$BO$1006,0)), HYPERLINK("#",""), HYPERLINK(CONCATENATE("#Metadata!", ADDRESS(INDEX($AI$2:$AI$1001,MATCH(ROWS($AG$2:AG13),$AG$2:$AG$1001,0),0), INDEX($AN$1004:$BO$1004,1,MATCH(COLUMNS($AN$1006:BB1006),$AN$1006:$BO$1006,0)))),"Fix")))</f>
        <v>0</v>
      </c>
      <c r="Q13" s="4">
        <f>IF(OR(INDEX($AH$2:$AH$1001,MATCH(ROWS($AG$2:AG13),$AG$2:$AG$1001,0),1)&gt;=100000,INDEX($AN$1005:$BO$1005,1,MATCH(COLUMNS($AN$1006:BC1006),$AN$1006:$BO$1006,0))&gt;=100000), " ",IF(INDEX($AN$2:$BO$1001,MATCH(ROWS($AG$2:AG13),$AG$2:$AG$1001,0),MATCH(COLUMNS($AN$1006:BC1006),$AN$1006:$BO$1006,0)), HYPERLINK("#",""), HYPERLINK(CONCATENATE("#Metadata!", ADDRESS(INDEX($AI$2:$AI$1001,MATCH(ROWS($AG$2:AG13),$AG$2:$AG$1001,0),0), INDEX($AN$1004:$BO$1004,1,MATCH(COLUMNS($AN$1006:BC1006),$AN$1006:$BO$1006,0)))),"Fix")))</f>
        <v>0</v>
      </c>
      <c r="R13" s="4">
        <f>IF(OR(INDEX($AH$2:$AH$1001,MATCH(ROWS($AG$2:AG13),$AG$2:$AG$1001,0),1)&gt;=100000,INDEX($AN$1005:$BO$1005,1,MATCH(COLUMNS($AN$1006:BD1006),$AN$1006:$BO$1006,0))&gt;=100000), " ",IF(INDEX($AN$2:$BO$1001,MATCH(ROWS($AG$2:AG13),$AG$2:$AG$1001,0),MATCH(COLUMNS($AN$1006:BD1006),$AN$1006:$BO$1006,0)), HYPERLINK("#",""), HYPERLINK(CONCATENATE("#Metadata!", ADDRESS(INDEX($AI$2:$AI$1001,MATCH(ROWS($AG$2:AG13),$AG$2:$AG$1001,0),0), INDEX($AN$1004:$BO$1004,1,MATCH(COLUMNS($AN$1006:BD1006),$AN$1006:$BO$1006,0)))),"Fix")))</f>
        <v>0</v>
      </c>
      <c r="S13" s="4">
        <f>IF(OR(INDEX($AH$2:$AH$1001,MATCH(ROWS($AG$2:AG13),$AG$2:$AG$1001,0),1)&gt;=100000,INDEX($AN$1005:$BO$1005,1,MATCH(COLUMNS($AN$1006:BE1006),$AN$1006:$BO$1006,0))&gt;=100000), " ",IF(INDEX($AN$2:$BO$1001,MATCH(ROWS($AG$2:AG13),$AG$2:$AG$1001,0),MATCH(COLUMNS($AN$1006:BE1006),$AN$1006:$BO$1006,0)), HYPERLINK("#",""), HYPERLINK(CONCATENATE("#Metadata!", ADDRESS(INDEX($AI$2:$AI$1001,MATCH(ROWS($AG$2:AG13),$AG$2:$AG$1001,0),0), INDEX($AN$1004:$BO$1004,1,MATCH(COLUMNS($AN$1006:BE1006),$AN$1006:$BO$1006,0)))),"Fix")))</f>
        <v>0</v>
      </c>
      <c r="T13" s="4">
        <f>IF(OR(INDEX($AH$2:$AH$1001,MATCH(ROWS($AG$2:AG13),$AG$2:$AG$1001,0),1)&gt;=100000,INDEX($AN$1005:$BO$1005,1,MATCH(COLUMNS($AN$1006:BF1006),$AN$1006:$BO$1006,0))&gt;=100000), " ",IF(INDEX($AN$2:$BO$1001,MATCH(ROWS($AG$2:AG13),$AG$2:$AG$1001,0),MATCH(COLUMNS($AN$1006:BF1006),$AN$1006:$BO$1006,0)), HYPERLINK("#",""), HYPERLINK(CONCATENATE("#Metadata!", ADDRESS(INDEX($AI$2:$AI$1001,MATCH(ROWS($AG$2:AG13),$AG$2:$AG$1001,0),0), INDEX($AN$1004:$BO$1004,1,MATCH(COLUMNS($AN$1006:BF1006),$AN$1006:$BO$1006,0)))),"Fix")))</f>
        <v>0</v>
      </c>
      <c r="U13" s="4">
        <f>IF(OR(INDEX($AH$2:$AH$1001,MATCH(ROWS($AG$2:AG13),$AG$2:$AG$1001,0),1)&gt;=100000,INDEX($AN$1005:$BO$1005,1,MATCH(COLUMNS($AN$1006:BG1006),$AN$1006:$BO$1006,0))&gt;=100000), " ",IF(INDEX($AN$2:$BO$1001,MATCH(ROWS($AG$2:AG13),$AG$2:$AG$1001,0),MATCH(COLUMNS($AN$1006:BG1006),$AN$1006:$BO$1006,0)), HYPERLINK("#",""), HYPERLINK(CONCATENATE("#Metadata!", ADDRESS(INDEX($AI$2:$AI$1001,MATCH(ROWS($AG$2:AG13),$AG$2:$AG$1001,0),0), INDEX($AN$1004:$BO$1004,1,MATCH(COLUMNS($AN$1006:BG1006),$AN$1006:$BO$1006,0)))),"Fix")))</f>
        <v>0</v>
      </c>
      <c r="V13" s="4">
        <f>IF(OR(INDEX($AH$2:$AH$1001,MATCH(ROWS($AG$2:AG13),$AG$2:$AG$1001,0),1)&gt;=100000,INDEX($AN$1005:$BO$1005,1,MATCH(COLUMNS($AN$1006:BH1006),$AN$1006:$BO$1006,0))&gt;=100000), " ",IF(INDEX($AN$2:$BO$1001,MATCH(ROWS($AG$2:AG13),$AG$2:$AG$1001,0),MATCH(COLUMNS($AN$1006:BH1006),$AN$1006:$BO$1006,0)), HYPERLINK("#",""), HYPERLINK(CONCATENATE("#Metadata!", ADDRESS(INDEX($AI$2:$AI$1001,MATCH(ROWS($AG$2:AG13),$AG$2:$AG$1001,0),0), INDEX($AN$1004:$BO$1004,1,MATCH(COLUMNS($AN$1006:BH1006),$AN$1006:$BO$1006,0)))),"Fix")))</f>
        <v>0</v>
      </c>
      <c r="W13" s="4">
        <f>IF(OR(INDEX($AH$2:$AH$1001,MATCH(ROWS($AG$2:AG13),$AG$2:$AG$1001,0),1)&gt;=100000,INDEX($AN$1005:$BO$1005,1,MATCH(COLUMNS($AN$1006:BI1006),$AN$1006:$BO$1006,0))&gt;=100000), " ",IF(INDEX($AN$2:$BO$1001,MATCH(ROWS($AG$2:AG13),$AG$2:$AG$1001,0),MATCH(COLUMNS($AN$1006:BI1006),$AN$1006:$BO$1006,0)), HYPERLINK("#",""), HYPERLINK(CONCATENATE("#Metadata!", ADDRESS(INDEX($AI$2:$AI$1001,MATCH(ROWS($AG$2:AG13),$AG$2:$AG$1001,0),0), INDEX($AN$1004:$BO$1004,1,MATCH(COLUMNS($AN$1006:BI1006),$AN$1006:$BO$1006,0)))),"Fix")))</f>
        <v>0</v>
      </c>
      <c r="X13" s="4">
        <f>IF(OR(INDEX($AH$2:$AH$1001,MATCH(ROWS($AG$2:AG13),$AG$2:$AG$1001,0),1)&gt;=100000,INDEX($AN$1005:$BO$1005,1,MATCH(COLUMNS($AN$1006:BJ1006),$AN$1006:$BO$1006,0))&gt;=100000), " ",IF(INDEX($AN$2:$BO$1001,MATCH(ROWS($AG$2:AG13),$AG$2:$AG$1001,0),MATCH(COLUMNS($AN$1006:BJ1006),$AN$1006:$BO$1006,0)), HYPERLINK("#",""), HYPERLINK(CONCATENATE("#Metadata!", ADDRESS(INDEX($AI$2:$AI$1001,MATCH(ROWS($AG$2:AG13),$AG$2:$AG$1001,0),0), INDEX($AN$1004:$BO$1004,1,MATCH(COLUMNS($AN$1006:BJ1006),$AN$1006:$BO$1006,0)))),"Fix")))</f>
        <v>0</v>
      </c>
      <c r="Y13" s="4">
        <f>IF(OR(INDEX($AH$2:$AH$1001,MATCH(ROWS($AG$2:AG13),$AG$2:$AG$1001,0),1)&gt;=100000,INDEX($AN$1005:$BO$1005,1,MATCH(COLUMNS($AN$1006:BK1006),$AN$1006:$BO$1006,0))&gt;=100000), " ",IF(INDEX($AN$2:$BO$1001,MATCH(ROWS($AG$2:AG13),$AG$2:$AG$1001,0),MATCH(COLUMNS($AN$1006:BK1006),$AN$1006:$BO$1006,0)), HYPERLINK("#",""), HYPERLINK(CONCATENATE("#Metadata!", ADDRESS(INDEX($AI$2:$AI$1001,MATCH(ROWS($AG$2:AG13),$AG$2:$AG$1001,0),0), INDEX($AN$1004:$BO$1004,1,MATCH(COLUMNS($AN$1006:BK1006),$AN$1006:$BO$1006,0)))),"Fix")))</f>
        <v>0</v>
      </c>
      <c r="Z13" s="4">
        <f>IF(OR(INDEX($AH$2:$AH$1001,MATCH(ROWS($AG$2:AG13),$AG$2:$AG$1001,0),1)&gt;=100000,INDEX($AN$1005:$BO$1005,1,MATCH(COLUMNS($AN$1006:BL1006),$AN$1006:$BO$1006,0))&gt;=100000), " ",IF(INDEX($AN$2:$BO$1001,MATCH(ROWS($AG$2:AG13),$AG$2:$AG$1001,0),MATCH(COLUMNS($AN$1006:BL1006),$AN$1006:$BO$1006,0)), HYPERLINK("#",""), HYPERLINK(CONCATENATE("#Metadata!", ADDRESS(INDEX($AI$2:$AI$1001,MATCH(ROWS($AG$2:AG13),$AG$2:$AG$1001,0),0), INDEX($AN$1004:$BO$1004,1,MATCH(COLUMNS($AN$1006:BL1006),$AN$1006:$BO$1006,0)))),"Fix")))</f>
        <v>0</v>
      </c>
      <c r="AA13" s="4">
        <f>IF(OR(INDEX($AH$2:$AH$1001,MATCH(ROWS($AG$2:AG13),$AG$2:$AG$1001,0),1)&gt;=100000,INDEX($AN$1005:$BO$1005,1,MATCH(COLUMNS($AN$1006:BM1006),$AN$1006:$BO$1006,0))&gt;=100000), " ",IF(INDEX($AN$2:$BO$1001,MATCH(ROWS($AG$2:AG13),$AG$2:$AG$1001,0),MATCH(COLUMNS($AN$1006:BM1006),$AN$1006:$BO$1006,0)), HYPERLINK("#",""), HYPERLINK(CONCATENATE("#Metadata!", ADDRESS(INDEX($AI$2:$AI$1001,MATCH(ROWS($AG$2:AG13),$AG$2:$AG$1001,0),0), INDEX($AN$1004:$BO$1004,1,MATCH(COLUMNS($AN$1006:BM1006),$AN$1006:$BO$1006,0)))),"Fix")))</f>
        <v>0</v>
      </c>
      <c r="AB13" s="4">
        <f>IF(OR(INDEX($AH$2:$AH$1001,MATCH(ROWS($AG$2:AG13),$AG$2:$AG$1001,0),1)&gt;=100000,INDEX($AN$1005:$BO$1005,1,MATCH(COLUMNS($AN$1006:BN1006),$AN$1006:$BO$1006,0))&gt;=100000), " ",IF(INDEX($AN$2:$BO$1001,MATCH(ROWS($AG$2:AG13),$AG$2:$AG$1001,0),MATCH(COLUMNS($AN$1006:BN1006),$AN$1006:$BO$1006,0)), HYPERLINK("#",""), HYPERLINK(CONCATENATE("#Metadata!", ADDRESS(INDEX($AI$2:$AI$1001,MATCH(ROWS($AG$2:AG13),$AG$2:$AG$1001,0),0), INDEX($AN$1004:$BO$1004,1,MATCH(COLUMNS($AN$1006:BN1006),$AN$1006:$BO$1006,0)))),"Fix")))</f>
        <v>0</v>
      </c>
      <c r="AC13" s="4">
        <f>IF(OR(INDEX($AH$2:$AH$1001,MATCH(ROWS($AG$2:AG13),$AG$2:$AG$1001,0),1)&gt;=100000,INDEX($AN$1005:$BO$1005,1,MATCH(COLUMNS($AN$1006:BO1006),$AN$1006:$BO$1006,0))&gt;=100000), " ",IF(INDEX($AN$2:$BO$1001,MATCH(ROWS($AG$2:AG13),$AG$2:$AG$1001,0),MATCH(COLUMNS($AN$1006:BO1006),$AN$1006:$BO$1006,0)), HYPERLINK("#",""), HYPERLINK(CONCATENATE("#Metadata!", ADDRESS(INDEX($AI$2:$AI$1001,MATCH(ROWS($AG$2:AG13),$AG$2:$AG$1001,0),0), INDEX($AN$1004:$BO$1004,1,MATCH(COLUMNS($AN$1006:BO1006),$AN$1006:$BO$1006,0)))),"Fix")))</f>
        <v>0</v>
      </c>
      <c r="AG13">
        <v>0</v>
      </c>
      <c r="AH13">
        <v>0</v>
      </c>
      <c r="AI13">
        <v>0</v>
      </c>
      <c r="AJ13">
        <f>IF(AK13,TRUE,AND(AN13:BO13))</f>
        <v>0</v>
      </c>
      <c r="AK13">
        <f>COUNTBLANK(Metadata!B13:AC13)=COLUMNS(Metadata!B13:AC13)</f>
        <v>0</v>
      </c>
      <c r="AL13">
        <v>0</v>
      </c>
      <c r="AN13">
        <f>AND(IF(Metadata!B13="",FALSE,TRUE),COUNTIF(Metadata!B:B, Metadata!B13) = 1,NOT(ISERROR(SUMPRODUCT(SEARCH(MID(Metadata!B13,ROW(INDIRECT("1:"&amp;LEN(Metadata!B13))), 1),"0123456789abcdefghijklmnopqrstuvwxyzABCDEFGHIJKLMNOPQRSTUVWXYZ.")))))</f>
        <v>0</v>
      </c>
      <c r="AO13">
        <f>IF(Metadata!C13="",FALSE,TRUE)</f>
        <v>0</v>
      </c>
      <c r="AP13">
        <f>IF(Metadata!D13="",FALSE,TRUE)</f>
        <v>0</v>
      </c>
      <c r="AQ13">
        <f>OR(AND(IF(Metadata!E13="",FALSE,TRUE),OR(exact(Metadata!E13,"not collected"),exact(Metadata!E13,"not provided"),exact(Metadata!E13,"restricted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R13">
        <f>IF(Metadata!F13="",FALSE,TRUE)</f>
        <v>0</v>
      </c>
      <c r="AS13">
        <f>OR(AND(IF(Metadata!G13="",FALSE,TRUE),OR(exact(Metadata!G13,"not collected"),exact(Metadata!G13,"not provided"))),AND(IF(Metadata!G13="",FALSE,TRUE),OR(exact(Metadata!G13,"TRUE"),exact(Metadata!G13,"FALSE"))))</f>
        <v>0</v>
      </c>
      <c r="AT13">
        <f>OR(AND(IF(Metadata!H13="",FALSE,TRUE),OR(exact(Metadata!H13,"not collected"),exact(Metadata!H13,"not provided"),exact(Metadata!H13,"restricted access"))),AND(IF(Metadata!H13="",FALSE,ISNUMBER(VALUE(Metadata!H13))),Metadata!H13&gt;=-413.0))</f>
        <v>0</v>
      </c>
      <c r="AU13">
        <f>AND(IF(Metadata!I13="",FALSE,TRUE),exact(Metadata!I13,"meters"))</f>
        <v>0</v>
      </c>
      <c r="AV13">
        <f>AND(IF(Metadata!J13="",FALSE,TRUE),OR(exact(Metadata!J13,"Host-associated"),exact(Metadata!J13,"Free-living")))</f>
        <v>0</v>
      </c>
      <c r="AW13">
        <f>AND(IF(Metadata!K13="",FALSE,TRUE),OR(exact(Metadata!K13,"Animal"),exact(Metadata!K13,"Fungus"),exact(Metadata!K13,"Plant"),exact(Metadata!K13,"Saline"),exact(Metadata!K13,"Non-saline")))</f>
        <v>0</v>
      </c>
      <c r="AX13">
        <f>AND(IF(Metadata!L13="",FALSE,TRUE),OR(exact(Metadata!L13,"Plant secretion"),exact(Metadata!L13,"Plant rhizosphere"),exact(Metadata!L13,"Plant surface"),exact(Metadata!L13,"Plant corpus"),exact(Metadata!L13,"Fungus surface"),exact(Metadata!L13,"Fungus corpus"),exact(Metadata!L13,"Animal surface"),exact(Metadata!L13,"Animal proximal gut"),exact(Metadata!L13,"Animal corpus"),exact(Metadata!L13,"Animal distal gut"),exact(Metadata!L13,"Animal secretion"),exact(Metadata!L13,"Sub-surface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0</v>
      </c>
      <c r="AY13">
        <f>IF(Metadata!M13="",FALSE,TRUE)</f>
        <v>0</v>
      </c>
      <c r="AZ13">
        <f>IF(Metadata!N13="",FALSE,TRUE)</f>
        <v>0</v>
      </c>
      <c r="BA13">
        <f>IF(Metadata!O13="",FALSE,TRUE)</f>
        <v>0</v>
      </c>
      <c r="BB13">
        <f>OR(AND(IF(Metadata!P13="",FALSE,TRUE),OR(exact(Metadata!P13,"not collected"),exact(Metadata!P13,"not provided"),exact(Metadata!P13,"restricted access"))),AND(IF(Metadata!P13="",FALSE,TRUE),OR(exact(Metadata!P13,"air"),exact(Metadata!P13,"built environment"),exact(Metadata!P13,"host-associated"),exact(Metadata!P13,"human-associated"),exact(Metadata!P13,"human-skin"),exact(Metadata!P13,"human-oral"),exact(Metadata!P13,"human-gut"),exact(Metadata!P13,"human-vaginal"),exact(Metadata!P13,"microbial mat/biofilm"),exact(Metadata!P13,"misc environment"),exact(Metadata!P13,"plant-associated"),exact(Metadata!P13,"sediment"),exact(Metadata!P13,"soil"),exact(Metadata!P13,"wastewater/sludge"),exact(Metadata!P13,"water"))))</f>
        <v>0</v>
      </c>
      <c r="BC13">
        <f>IF(Metadata!Q13="",FALSE,TRUE)</f>
        <v>0</v>
      </c>
      <c r="BD13">
        <f>IF(Metadata!R13="",FALSE,TRUE)</f>
        <v>0</v>
      </c>
      <c r="BE13">
        <f>OR(AND(IF(Metadata!S13="",FALSE,TRUE),OR(exact(Metadata!S13,"not collected"),exact(Metadata!S13,"not provided"),exact(Metadata!S13,"restricted access"))),AND(IF(Metadata!S13="",FALSE,ISNUMBER(VALUE(Metadata!S13))),Metadata!S13&gt;=-90.00,Metadata!S13&lt;=90.00))</f>
        <v>0</v>
      </c>
      <c r="BF13">
        <f>AND(IF(Metadata!T13="",FALSE,TRUE),exact(Metadata!T13,"Decimal degrees"))</f>
        <v>0</v>
      </c>
      <c r="BG13">
        <f>OR(AND(IF(Metadata!U13="",FALSE,TRUE),OR(exact(Metadata!U13,"not collected"),exact(Metadata!U13,"not provided"),exact(Metadata!U13,"restricted access"))),AND(IF(Metadata!U13="",FALSE,ISNUMBER(VALUE(Metadata!U13))),Metadata!U13&gt;=-180.00,Metadata!U13&lt;=180.00))</f>
        <v>0</v>
      </c>
      <c r="BH13">
        <f>AND(IF(Metadata!V13="",FALSE,TRUE),exact(Metadata!V13,"Decimal degrees"))</f>
        <v>0</v>
      </c>
      <c r="BI13">
        <f>IF(Metadata!W13="",FALSE,TRUE)</f>
        <v>0</v>
      </c>
      <c r="BJ13">
        <f>OR(AND(IF(Metadata!X13="",FALSE,TRUE),OR(exact(Metadata!X13,"not collected"),exact(Metadata!X13,"not provided"),exact(Metadata!X13,"restricted access"))),AND(IF(Metadata!X13="",FALSE,TRUE),OR(exact(Metadata!X13,"TRUE"),exact(Metadata!X13,"FALSE"))))</f>
        <v>0</v>
      </c>
      <c r="BK13">
        <f>AND(IF(Metadata!Y13="",FALSE,TRUE),exact(Metadata!Y13,"other"))</f>
        <v>0</v>
      </c>
      <c r="BL13">
        <f>IF(Metadata!Z13="",FALSE,TRUE)</f>
        <v>0</v>
      </c>
      <c r="BM13">
        <f>OR(AND(IF(Metadata!AA13="",FALSE,TRUE),OR(exact(Metadata!AA13,"not collected"),exact(Metadata!AA13,"not provided"))),AND(IF(Metadata!AA13="",FALSE,IF(ISERROR(INT(Metadata!AA13)),FALSE,INT(Metadata!AA13)=Metadata!AA13)),Metadata!AA13&gt;0))</f>
        <v>0</v>
      </c>
      <c r="BN13">
        <f>AND(IF(Metadata!AB13="",FALSE,TRUE),exact(Metadata!AB13,"Not applicable"))</f>
        <v>0</v>
      </c>
      <c r="BO13">
        <f>IF(Metadata!AC13="",FALSE,TRUE)</f>
        <v>0</v>
      </c>
    </row>
    <row r="14" spans="1:67">
      <c r="A14" s="5">
        <f>IF(B14=" "," ",HYPERLINK(CONCATENATE("#metadata!",ADDRESS(INDEX($AI$2:$AI$1001,MATCH(ROWS($AG$2:AG14),$AG$2:$AG$1001,0),0),1)),INDEX($AL$2:$AL$1001,MATCH(ROWS($AG$2:AG14),$AG$2:$AG$1001,0),0)))</f>
        <v>0</v>
      </c>
      <c r="B14" s="4">
        <f>IF(OR(INDEX($AH$2:$AH$1001,MATCH(ROWS($AG$2:AG14),$AG$2:$AG$1001,0),1)&gt;=100000,INDEX($AN$1005:$BO$1005,1,MATCH(COLUMNS($AN$1006:AN1006),$AN$1006:$BO$1006,0))&gt;=100000), " ",IF(INDEX($AN$2:$BO$1001,MATCH(ROWS($AG$2:AG14),$AG$2:$AG$1001,0),MATCH(COLUMNS($AN$1006:AN1006),$AN$1006:$BO$1006,0)), HYPERLINK("#",""), HYPERLINK(CONCATENATE("#Metadata!", ADDRESS(INDEX($AI$2:$AI$1001,MATCH(ROWS($AG$2:AG14),$AG$2:$AG$1001,0),0), INDEX($AN$1004:$BO$1004,1,MATCH(COLUMNS($AN$1006:AN1006),$AN$1006:$BO$1006,0)))),"Fix")))</f>
        <v>0</v>
      </c>
      <c r="C14" s="4">
        <f>IF(OR(INDEX($AH$2:$AH$1001,MATCH(ROWS($AG$2:AG14),$AG$2:$AG$1001,0),1)&gt;=100000,INDEX($AN$1005:$BO$1005,1,MATCH(COLUMNS($AN$1006:AO1006),$AN$1006:$BO$1006,0))&gt;=100000), " ",IF(INDEX($AN$2:$BO$1001,MATCH(ROWS($AG$2:AG14),$AG$2:$AG$1001,0),MATCH(COLUMNS($AN$1006:AO1006),$AN$1006:$BO$1006,0)), HYPERLINK("#",""), HYPERLINK(CONCATENATE("#Metadata!", ADDRESS(INDEX($AI$2:$AI$1001,MATCH(ROWS($AG$2:AG14),$AG$2:$AG$1001,0),0), INDEX($AN$1004:$BO$1004,1,MATCH(COLUMNS($AN$1006:AO1006),$AN$1006:$BO$1006,0)))),"Fix")))</f>
        <v>0</v>
      </c>
      <c r="D14" s="4">
        <f>IF(OR(INDEX($AH$2:$AH$1001,MATCH(ROWS($AG$2:AG14),$AG$2:$AG$1001,0),1)&gt;=100000,INDEX($AN$1005:$BO$1005,1,MATCH(COLUMNS($AN$1006:AP1006),$AN$1006:$BO$1006,0))&gt;=100000), " ",IF(INDEX($AN$2:$BO$1001,MATCH(ROWS($AG$2:AG14),$AG$2:$AG$1001,0),MATCH(COLUMNS($AN$1006:AP1006),$AN$1006:$BO$1006,0)), HYPERLINK("#",""), HYPERLINK(CONCATENATE("#Metadata!", ADDRESS(INDEX($AI$2:$AI$1001,MATCH(ROWS($AG$2:AG14),$AG$2:$AG$1001,0),0), INDEX($AN$1004:$BO$1004,1,MATCH(COLUMNS($AN$1006:AP1006),$AN$1006:$BO$1006,0)))),"Fix")))</f>
        <v>0</v>
      </c>
      <c r="E14" s="4">
        <f>IF(OR(INDEX($AH$2:$AH$1001,MATCH(ROWS($AG$2:AG14),$AG$2:$AG$1001,0),1)&gt;=100000,INDEX($AN$1005:$BO$1005,1,MATCH(COLUMNS($AN$1006:AQ1006),$AN$1006:$BO$1006,0))&gt;=100000), " ",IF(INDEX($AN$2:$BO$1001,MATCH(ROWS($AG$2:AG14),$AG$2:$AG$1001,0),MATCH(COLUMNS($AN$1006:AQ1006),$AN$1006:$BO$1006,0)), HYPERLINK("#",""), HYPERLINK(CONCATENATE("#Metadata!", ADDRESS(INDEX($AI$2:$AI$1001,MATCH(ROWS($AG$2:AG14),$AG$2:$AG$1001,0),0), INDEX($AN$1004:$BO$1004,1,MATCH(COLUMNS($AN$1006:AQ1006),$AN$1006:$BO$1006,0)))),"Fix")))</f>
        <v>0</v>
      </c>
      <c r="F14" s="4">
        <f>IF(OR(INDEX($AH$2:$AH$1001,MATCH(ROWS($AG$2:AG14),$AG$2:$AG$1001,0),1)&gt;=100000,INDEX($AN$1005:$BO$1005,1,MATCH(COLUMNS($AN$1006:AR1006),$AN$1006:$BO$1006,0))&gt;=100000), " ",IF(INDEX($AN$2:$BO$1001,MATCH(ROWS($AG$2:AG14),$AG$2:$AG$1001,0),MATCH(COLUMNS($AN$1006:AR1006),$AN$1006:$BO$1006,0)), HYPERLINK("#",""), HYPERLINK(CONCATENATE("#Metadata!", ADDRESS(INDEX($AI$2:$AI$1001,MATCH(ROWS($AG$2:AG14),$AG$2:$AG$1001,0),0), INDEX($AN$1004:$BO$1004,1,MATCH(COLUMNS($AN$1006:AR1006),$AN$1006:$BO$1006,0)))),"Fix")))</f>
        <v>0</v>
      </c>
      <c r="G14" s="4">
        <f>IF(OR(INDEX($AH$2:$AH$1001,MATCH(ROWS($AG$2:AG14),$AG$2:$AG$1001,0),1)&gt;=100000,INDEX($AN$1005:$BO$1005,1,MATCH(COLUMNS($AN$1006:AS1006),$AN$1006:$BO$1006,0))&gt;=100000), " ",IF(INDEX($AN$2:$BO$1001,MATCH(ROWS($AG$2:AG14),$AG$2:$AG$1001,0),MATCH(COLUMNS($AN$1006:AS1006),$AN$1006:$BO$1006,0)), HYPERLINK("#",""), HYPERLINK(CONCATENATE("#Metadata!", ADDRESS(INDEX($AI$2:$AI$1001,MATCH(ROWS($AG$2:AG14),$AG$2:$AG$1001,0),0), INDEX($AN$1004:$BO$1004,1,MATCH(COLUMNS($AN$1006:AS1006),$AN$1006:$BO$1006,0)))),"Fix")))</f>
        <v>0</v>
      </c>
      <c r="H14" s="4">
        <f>IF(OR(INDEX($AH$2:$AH$1001,MATCH(ROWS($AG$2:AG14),$AG$2:$AG$1001,0),1)&gt;=100000,INDEX($AN$1005:$BO$1005,1,MATCH(COLUMNS($AN$1006:AT1006),$AN$1006:$BO$1006,0))&gt;=100000), " ",IF(INDEX($AN$2:$BO$1001,MATCH(ROWS($AG$2:AG14),$AG$2:$AG$1001,0),MATCH(COLUMNS($AN$1006:AT1006),$AN$1006:$BO$1006,0)), HYPERLINK("#",""), HYPERLINK(CONCATENATE("#Metadata!", ADDRESS(INDEX($AI$2:$AI$1001,MATCH(ROWS($AG$2:AG14),$AG$2:$AG$1001,0),0), INDEX($AN$1004:$BO$1004,1,MATCH(COLUMNS($AN$1006:AT1006),$AN$1006:$BO$1006,0)))),"Fix")))</f>
        <v>0</v>
      </c>
      <c r="I14" s="4">
        <f>IF(OR(INDEX($AH$2:$AH$1001,MATCH(ROWS($AG$2:AG14),$AG$2:$AG$1001,0),1)&gt;=100000,INDEX($AN$1005:$BO$1005,1,MATCH(COLUMNS($AN$1006:AU1006),$AN$1006:$BO$1006,0))&gt;=100000), " ",IF(INDEX($AN$2:$BO$1001,MATCH(ROWS($AG$2:AG14),$AG$2:$AG$1001,0),MATCH(COLUMNS($AN$1006:AU1006),$AN$1006:$BO$1006,0)), HYPERLINK("#",""), HYPERLINK(CONCATENATE("#Metadata!", ADDRESS(INDEX($AI$2:$AI$1001,MATCH(ROWS($AG$2:AG14),$AG$2:$AG$1001,0),0), INDEX($AN$1004:$BO$1004,1,MATCH(COLUMNS($AN$1006:AU1006),$AN$1006:$BO$1006,0)))),"Fix")))</f>
        <v>0</v>
      </c>
      <c r="J14" s="4">
        <f>IF(OR(INDEX($AH$2:$AH$1001,MATCH(ROWS($AG$2:AG14),$AG$2:$AG$1001,0),1)&gt;=100000,INDEX($AN$1005:$BO$1005,1,MATCH(COLUMNS($AN$1006:AV1006),$AN$1006:$BO$1006,0))&gt;=100000), " ",IF(INDEX($AN$2:$BO$1001,MATCH(ROWS($AG$2:AG14),$AG$2:$AG$1001,0),MATCH(COLUMNS($AN$1006:AV1006),$AN$1006:$BO$1006,0)), HYPERLINK("#",""), HYPERLINK(CONCATENATE("#Metadata!", ADDRESS(INDEX($AI$2:$AI$1001,MATCH(ROWS($AG$2:AG14),$AG$2:$AG$1001,0),0), INDEX($AN$1004:$BO$1004,1,MATCH(COLUMNS($AN$1006:AV1006),$AN$1006:$BO$1006,0)))),"Fix")))</f>
        <v>0</v>
      </c>
      <c r="K14" s="4">
        <f>IF(OR(INDEX($AH$2:$AH$1001,MATCH(ROWS($AG$2:AG14),$AG$2:$AG$1001,0),1)&gt;=100000,INDEX($AN$1005:$BO$1005,1,MATCH(COLUMNS($AN$1006:AW1006),$AN$1006:$BO$1006,0))&gt;=100000), " ",IF(INDEX($AN$2:$BO$1001,MATCH(ROWS($AG$2:AG14),$AG$2:$AG$1001,0),MATCH(COLUMNS($AN$1006:AW1006),$AN$1006:$BO$1006,0)), HYPERLINK("#",""), HYPERLINK(CONCATENATE("#Metadata!", ADDRESS(INDEX($AI$2:$AI$1001,MATCH(ROWS($AG$2:AG14),$AG$2:$AG$1001,0),0), INDEX($AN$1004:$BO$1004,1,MATCH(COLUMNS($AN$1006:AW1006),$AN$1006:$BO$1006,0)))),"Fix")))</f>
        <v>0</v>
      </c>
      <c r="L14" s="4">
        <f>IF(OR(INDEX($AH$2:$AH$1001,MATCH(ROWS($AG$2:AG14),$AG$2:$AG$1001,0),1)&gt;=100000,INDEX($AN$1005:$BO$1005,1,MATCH(COLUMNS($AN$1006:AX1006),$AN$1006:$BO$1006,0))&gt;=100000), " ",IF(INDEX($AN$2:$BO$1001,MATCH(ROWS($AG$2:AG14),$AG$2:$AG$1001,0),MATCH(COLUMNS($AN$1006:AX1006),$AN$1006:$BO$1006,0)), HYPERLINK("#",""), HYPERLINK(CONCATENATE("#Metadata!", ADDRESS(INDEX($AI$2:$AI$1001,MATCH(ROWS($AG$2:AG14),$AG$2:$AG$1001,0),0), INDEX($AN$1004:$BO$1004,1,MATCH(COLUMNS($AN$1006:AX1006),$AN$1006:$BO$1006,0)))),"Fix")))</f>
        <v>0</v>
      </c>
      <c r="M14" s="4">
        <f>IF(OR(INDEX($AH$2:$AH$1001,MATCH(ROWS($AG$2:AG14),$AG$2:$AG$1001,0),1)&gt;=100000,INDEX($AN$1005:$BO$1005,1,MATCH(COLUMNS($AN$1006:AY1006),$AN$1006:$BO$1006,0))&gt;=100000), " ",IF(INDEX($AN$2:$BO$1001,MATCH(ROWS($AG$2:AG14),$AG$2:$AG$1001,0),MATCH(COLUMNS($AN$1006:AY1006),$AN$1006:$BO$1006,0)), HYPERLINK("#",""), HYPERLINK(CONCATENATE("#Metadata!", ADDRESS(INDEX($AI$2:$AI$1001,MATCH(ROWS($AG$2:AG14),$AG$2:$AG$1001,0),0), INDEX($AN$1004:$BO$1004,1,MATCH(COLUMNS($AN$1006:AY1006),$AN$1006:$BO$1006,0)))),"Fix")))</f>
        <v>0</v>
      </c>
      <c r="N14" s="4">
        <f>IF(OR(INDEX($AH$2:$AH$1001,MATCH(ROWS($AG$2:AG14),$AG$2:$AG$1001,0),1)&gt;=100000,INDEX($AN$1005:$BO$1005,1,MATCH(COLUMNS($AN$1006:AZ1006),$AN$1006:$BO$1006,0))&gt;=100000), " ",IF(INDEX($AN$2:$BO$1001,MATCH(ROWS($AG$2:AG14),$AG$2:$AG$1001,0),MATCH(COLUMNS($AN$1006:AZ1006),$AN$1006:$BO$1006,0)), HYPERLINK("#",""), HYPERLINK(CONCATENATE("#Metadata!", ADDRESS(INDEX($AI$2:$AI$1001,MATCH(ROWS($AG$2:AG14),$AG$2:$AG$1001,0),0), INDEX($AN$1004:$BO$1004,1,MATCH(COLUMNS($AN$1006:AZ1006),$AN$1006:$BO$1006,0)))),"Fix")))</f>
        <v>0</v>
      </c>
      <c r="O14" s="4">
        <f>IF(OR(INDEX($AH$2:$AH$1001,MATCH(ROWS($AG$2:AG14),$AG$2:$AG$1001,0),1)&gt;=100000,INDEX($AN$1005:$BO$1005,1,MATCH(COLUMNS($AN$1006:BA1006),$AN$1006:$BO$1006,0))&gt;=100000), " ",IF(INDEX($AN$2:$BO$1001,MATCH(ROWS($AG$2:AG14),$AG$2:$AG$1001,0),MATCH(COLUMNS($AN$1006:BA1006),$AN$1006:$BO$1006,0)), HYPERLINK("#",""), HYPERLINK(CONCATENATE("#Metadata!", ADDRESS(INDEX($AI$2:$AI$1001,MATCH(ROWS($AG$2:AG14),$AG$2:$AG$1001,0),0), INDEX($AN$1004:$BO$1004,1,MATCH(COLUMNS($AN$1006:BA1006),$AN$1006:$BO$1006,0)))),"Fix")))</f>
        <v>0</v>
      </c>
      <c r="P14" s="4">
        <f>IF(OR(INDEX($AH$2:$AH$1001,MATCH(ROWS($AG$2:AG14),$AG$2:$AG$1001,0),1)&gt;=100000,INDEX($AN$1005:$BO$1005,1,MATCH(COLUMNS($AN$1006:BB1006),$AN$1006:$BO$1006,0))&gt;=100000), " ",IF(INDEX($AN$2:$BO$1001,MATCH(ROWS($AG$2:AG14),$AG$2:$AG$1001,0),MATCH(COLUMNS($AN$1006:BB1006),$AN$1006:$BO$1006,0)), HYPERLINK("#",""), HYPERLINK(CONCATENATE("#Metadata!", ADDRESS(INDEX($AI$2:$AI$1001,MATCH(ROWS($AG$2:AG14),$AG$2:$AG$1001,0),0), INDEX($AN$1004:$BO$1004,1,MATCH(COLUMNS($AN$1006:BB1006),$AN$1006:$BO$1006,0)))),"Fix")))</f>
        <v>0</v>
      </c>
      <c r="Q14" s="4">
        <f>IF(OR(INDEX($AH$2:$AH$1001,MATCH(ROWS($AG$2:AG14),$AG$2:$AG$1001,0),1)&gt;=100000,INDEX($AN$1005:$BO$1005,1,MATCH(COLUMNS($AN$1006:BC1006),$AN$1006:$BO$1006,0))&gt;=100000), " ",IF(INDEX($AN$2:$BO$1001,MATCH(ROWS($AG$2:AG14),$AG$2:$AG$1001,0),MATCH(COLUMNS($AN$1006:BC1006),$AN$1006:$BO$1006,0)), HYPERLINK("#",""), HYPERLINK(CONCATENATE("#Metadata!", ADDRESS(INDEX($AI$2:$AI$1001,MATCH(ROWS($AG$2:AG14),$AG$2:$AG$1001,0),0), INDEX($AN$1004:$BO$1004,1,MATCH(COLUMNS($AN$1006:BC1006),$AN$1006:$BO$1006,0)))),"Fix")))</f>
        <v>0</v>
      </c>
      <c r="R14" s="4">
        <f>IF(OR(INDEX($AH$2:$AH$1001,MATCH(ROWS($AG$2:AG14),$AG$2:$AG$1001,0),1)&gt;=100000,INDEX($AN$1005:$BO$1005,1,MATCH(COLUMNS($AN$1006:BD1006),$AN$1006:$BO$1006,0))&gt;=100000), " ",IF(INDEX($AN$2:$BO$1001,MATCH(ROWS($AG$2:AG14),$AG$2:$AG$1001,0),MATCH(COLUMNS($AN$1006:BD1006),$AN$1006:$BO$1006,0)), HYPERLINK("#",""), HYPERLINK(CONCATENATE("#Metadata!", ADDRESS(INDEX($AI$2:$AI$1001,MATCH(ROWS($AG$2:AG14),$AG$2:$AG$1001,0),0), INDEX($AN$1004:$BO$1004,1,MATCH(COLUMNS($AN$1006:BD1006),$AN$1006:$BO$1006,0)))),"Fix")))</f>
        <v>0</v>
      </c>
      <c r="S14" s="4">
        <f>IF(OR(INDEX($AH$2:$AH$1001,MATCH(ROWS($AG$2:AG14),$AG$2:$AG$1001,0),1)&gt;=100000,INDEX($AN$1005:$BO$1005,1,MATCH(COLUMNS($AN$1006:BE1006),$AN$1006:$BO$1006,0))&gt;=100000), " ",IF(INDEX($AN$2:$BO$1001,MATCH(ROWS($AG$2:AG14),$AG$2:$AG$1001,0),MATCH(COLUMNS($AN$1006:BE1006),$AN$1006:$BO$1006,0)), HYPERLINK("#",""), HYPERLINK(CONCATENATE("#Metadata!", ADDRESS(INDEX($AI$2:$AI$1001,MATCH(ROWS($AG$2:AG14),$AG$2:$AG$1001,0),0), INDEX($AN$1004:$BO$1004,1,MATCH(COLUMNS($AN$1006:BE1006),$AN$1006:$BO$1006,0)))),"Fix")))</f>
        <v>0</v>
      </c>
      <c r="T14" s="4">
        <f>IF(OR(INDEX($AH$2:$AH$1001,MATCH(ROWS($AG$2:AG14),$AG$2:$AG$1001,0),1)&gt;=100000,INDEX($AN$1005:$BO$1005,1,MATCH(COLUMNS($AN$1006:BF1006),$AN$1006:$BO$1006,0))&gt;=100000), " ",IF(INDEX($AN$2:$BO$1001,MATCH(ROWS($AG$2:AG14),$AG$2:$AG$1001,0),MATCH(COLUMNS($AN$1006:BF1006),$AN$1006:$BO$1006,0)), HYPERLINK("#",""), HYPERLINK(CONCATENATE("#Metadata!", ADDRESS(INDEX($AI$2:$AI$1001,MATCH(ROWS($AG$2:AG14),$AG$2:$AG$1001,0),0), INDEX($AN$1004:$BO$1004,1,MATCH(COLUMNS($AN$1006:BF1006),$AN$1006:$BO$1006,0)))),"Fix")))</f>
        <v>0</v>
      </c>
      <c r="U14" s="4">
        <f>IF(OR(INDEX($AH$2:$AH$1001,MATCH(ROWS($AG$2:AG14),$AG$2:$AG$1001,0),1)&gt;=100000,INDEX($AN$1005:$BO$1005,1,MATCH(COLUMNS($AN$1006:BG1006),$AN$1006:$BO$1006,0))&gt;=100000), " ",IF(INDEX($AN$2:$BO$1001,MATCH(ROWS($AG$2:AG14),$AG$2:$AG$1001,0),MATCH(COLUMNS($AN$1006:BG1006),$AN$1006:$BO$1006,0)), HYPERLINK("#",""), HYPERLINK(CONCATENATE("#Metadata!", ADDRESS(INDEX($AI$2:$AI$1001,MATCH(ROWS($AG$2:AG14),$AG$2:$AG$1001,0),0), INDEX($AN$1004:$BO$1004,1,MATCH(COLUMNS($AN$1006:BG1006),$AN$1006:$BO$1006,0)))),"Fix")))</f>
        <v>0</v>
      </c>
      <c r="V14" s="4">
        <f>IF(OR(INDEX($AH$2:$AH$1001,MATCH(ROWS($AG$2:AG14),$AG$2:$AG$1001,0),1)&gt;=100000,INDEX($AN$1005:$BO$1005,1,MATCH(COLUMNS($AN$1006:BH1006),$AN$1006:$BO$1006,0))&gt;=100000), " ",IF(INDEX($AN$2:$BO$1001,MATCH(ROWS($AG$2:AG14),$AG$2:$AG$1001,0),MATCH(COLUMNS($AN$1006:BH1006),$AN$1006:$BO$1006,0)), HYPERLINK("#",""), HYPERLINK(CONCATENATE("#Metadata!", ADDRESS(INDEX($AI$2:$AI$1001,MATCH(ROWS($AG$2:AG14),$AG$2:$AG$1001,0),0), INDEX($AN$1004:$BO$1004,1,MATCH(COLUMNS($AN$1006:BH1006),$AN$1006:$BO$1006,0)))),"Fix")))</f>
        <v>0</v>
      </c>
      <c r="W14" s="4">
        <f>IF(OR(INDEX($AH$2:$AH$1001,MATCH(ROWS($AG$2:AG14),$AG$2:$AG$1001,0),1)&gt;=100000,INDEX($AN$1005:$BO$1005,1,MATCH(COLUMNS($AN$1006:BI1006),$AN$1006:$BO$1006,0))&gt;=100000), " ",IF(INDEX($AN$2:$BO$1001,MATCH(ROWS($AG$2:AG14),$AG$2:$AG$1001,0),MATCH(COLUMNS($AN$1006:BI1006),$AN$1006:$BO$1006,0)), HYPERLINK("#",""), HYPERLINK(CONCATENATE("#Metadata!", ADDRESS(INDEX($AI$2:$AI$1001,MATCH(ROWS($AG$2:AG14),$AG$2:$AG$1001,0),0), INDEX($AN$1004:$BO$1004,1,MATCH(COLUMNS($AN$1006:BI1006),$AN$1006:$BO$1006,0)))),"Fix")))</f>
        <v>0</v>
      </c>
      <c r="X14" s="4">
        <f>IF(OR(INDEX($AH$2:$AH$1001,MATCH(ROWS($AG$2:AG14),$AG$2:$AG$1001,0),1)&gt;=100000,INDEX($AN$1005:$BO$1005,1,MATCH(COLUMNS($AN$1006:BJ1006),$AN$1006:$BO$1006,0))&gt;=100000), " ",IF(INDEX($AN$2:$BO$1001,MATCH(ROWS($AG$2:AG14),$AG$2:$AG$1001,0),MATCH(COLUMNS($AN$1006:BJ1006),$AN$1006:$BO$1006,0)), HYPERLINK("#",""), HYPERLINK(CONCATENATE("#Metadata!", ADDRESS(INDEX($AI$2:$AI$1001,MATCH(ROWS($AG$2:AG14),$AG$2:$AG$1001,0),0), INDEX($AN$1004:$BO$1004,1,MATCH(COLUMNS($AN$1006:BJ1006),$AN$1006:$BO$1006,0)))),"Fix")))</f>
        <v>0</v>
      </c>
      <c r="Y14" s="4">
        <f>IF(OR(INDEX($AH$2:$AH$1001,MATCH(ROWS($AG$2:AG14),$AG$2:$AG$1001,0),1)&gt;=100000,INDEX($AN$1005:$BO$1005,1,MATCH(COLUMNS($AN$1006:BK1006),$AN$1006:$BO$1006,0))&gt;=100000), " ",IF(INDEX($AN$2:$BO$1001,MATCH(ROWS($AG$2:AG14),$AG$2:$AG$1001,0),MATCH(COLUMNS($AN$1006:BK1006),$AN$1006:$BO$1006,0)), HYPERLINK("#",""), HYPERLINK(CONCATENATE("#Metadata!", ADDRESS(INDEX($AI$2:$AI$1001,MATCH(ROWS($AG$2:AG14),$AG$2:$AG$1001,0),0), INDEX($AN$1004:$BO$1004,1,MATCH(COLUMNS($AN$1006:BK1006),$AN$1006:$BO$1006,0)))),"Fix")))</f>
        <v>0</v>
      </c>
      <c r="Z14" s="4">
        <f>IF(OR(INDEX($AH$2:$AH$1001,MATCH(ROWS($AG$2:AG14),$AG$2:$AG$1001,0),1)&gt;=100000,INDEX($AN$1005:$BO$1005,1,MATCH(COLUMNS($AN$1006:BL1006),$AN$1006:$BO$1006,0))&gt;=100000), " ",IF(INDEX($AN$2:$BO$1001,MATCH(ROWS($AG$2:AG14),$AG$2:$AG$1001,0),MATCH(COLUMNS($AN$1006:BL1006),$AN$1006:$BO$1006,0)), HYPERLINK("#",""), HYPERLINK(CONCATENATE("#Metadata!", ADDRESS(INDEX($AI$2:$AI$1001,MATCH(ROWS($AG$2:AG14),$AG$2:$AG$1001,0),0), INDEX($AN$1004:$BO$1004,1,MATCH(COLUMNS($AN$1006:BL1006),$AN$1006:$BO$1006,0)))),"Fix")))</f>
        <v>0</v>
      </c>
      <c r="AA14" s="4">
        <f>IF(OR(INDEX($AH$2:$AH$1001,MATCH(ROWS($AG$2:AG14),$AG$2:$AG$1001,0),1)&gt;=100000,INDEX($AN$1005:$BO$1005,1,MATCH(COLUMNS($AN$1006:BM1006),$AN$1006:$BO$1006,0))&gt;=100000), " ",IF(INDEX($AN$2:$BO$1001,MATCH(ROWS($AG$2:AG14),$AG$2:$AG$1001,0),MATCH(COLUMNS($AN$1006:BM1006),$AN$1006:$BO$1006,0)), HYPERLINK("#",""), HYPERLINK(CONCATENATE("#Metadata!", ADDRESS(INDEX($AI$2:$AI$1001,MATCH(ROWS($AG$2:AG14),$AG$2:$AG$1001,0),0), INDEX($AN$1004:$BO$1004,1,MATCH(COLUMNS($AN$1006:BM1006),$AN$1006:$BO$1006,0)))),"Fix")))</f>
        <v>0</v>
      </c>
      <c r="AB14" s="4">
        <f>IF(OR(INDEX($AH$2:$AH$1001,MATCH(ROWS($AG$2:AG14),$AG$2:$AG$1001,0),1)&gt;=100000,INDEX($AN$1005:$BO$1005,1,MATCH(COLUMNS($AN$1006:BN1006),$AN$1006:$BO$1006,0))&gt;=100000), " ",IF(INDEX($AN$2:$BO$1001,MATCH(ROWS($AG$2:AG14),$AG$2:$AG$1001,0),MATCH(COLUMNS($AN$1006:BN1006),$AN$1006:$BO$1006,0)), HYPERLINK("#",""), HYPERLINK(CONCATENATE("#Metadata!", ADDRESS(INDEX($AI$2:$AI$1001,MATCH(ROWS($AG$2:AG14),$AG$2:$AG$1001,0),0), INDEX($AN$1004:$BO$1004,1,MATCH(COLUMNS($AN$1006:BN1006),$AN$1006:$BO$1006,0)))),"Fix")))</f>
        <v>0</v>
      </c>
      <c r="AC14" s="4">
        <f>IF(OR(INDEX($AH$2:$AH$1001,MATCH(ROWS($AG$2:AG14),$AG$2:$AG$1001,0),1)&gt;=100000,INDEX($AN$1005:$BO$1005,1,MATCH(COLUMNS($AN$1006:BO1006),$AN$1006:$BO$1006,0))&gt;=100000), " ",IF(INDEX($AN$2:$BO$1001,MATCH(ROWS($AG$2:AG14),$AG$2:$AG$1001,0),MATCH(COLUMNS($AN$1006:BO1006),$AN$1006:$BO$1006,0)), HYPERLINK("#",""), HYPERLINK(CONCATENATE("#Metadata!", ADDRESS(INDEX($AI$2:$AI$1001,MATCH(ROWS($AG$2:AG14),$AG$2:$AG$1001,0),0), INDEX($AN$1004:$BO$1004,1,MATCH(COLUMNS($AN$1006:BO1006),$AN$1006:$BO$1006,0)))),"Fix")))</f>
        <v>0</v>
      </c>
      <c r="AG14">
        <v>0</v>
      </c>
      <c r="AH14">
        <v>0</v>
      </c>
      <c r="AI14">
        <v>0</v>
      </c>
      <c r="AJ14">
        <f>IF(AK14,TRUE,AND(AN14:BO14))</f>
        <v>0</v>
      </c>
      <c r="AK14">
        <f>COUNTBLANK(Metadata!B14:AC14)=COLUMNS(Metadata!B14:AC14)</f>
        <v>0</v>
      </c>
      <c r="AL14">
        <v>0</v>
      </c>
      <c r="AN14">
        <f>AND(IF(Metadata!B14="",FALSE,TRUE),COUNTIF(Metadata!B:B, Metadata!B14) = 1,NOT(ISERROR(SUMPRODUCT(SEARCH(MID(Metadata!B14,ROW(INDIRECT("1:"&amp;LEN(Metadata!B14))), 1),"0123456789abcdefghijklmnopqrstuvwxyzABCDEFGHIJKLMNOPQRSTUVWXYZ.")))))</f>
        <v>0</v>
      </c>
      <c r="AO14">
        <f>IF(Metadata!C14="",FALSE,TRUE)</f>
        <v>0</v>
      </c>
      <c r="AP14">
        <f>IF(Metadata!D14="",FALSE,TRUE)</f>
        <v>0</v>
      </c>
      <c r="AQ14">
        <f>OR(AND(IF(Metadata!E14="",FALSE,TRUE),OR(exact(Metadata!E14,"not collected"),exact(Metadata!E14,"not provided"),exact(Metadata!E14,"restricted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R14">
        <f>IF(Metadata!F14="",FALSE,TRUE)</f>
        <v>0</v>
      </c>
      <c r="AS14">
        <f>OR(AND(IF(Metadata!G14="",FALSE,TRUE),OR(exact(Metadata!G14,"not collected"),exact(Metadata!G14,"not provided"))),AND(IF(Metadata!G14="",FALSE,TRUE),OR(exact(Metadata!G14,"TRUE"),exact(Metadata!G14,"FALSE"))))</f>
        <v>0</v>
      </c>
      <c r="AT14">
        <f>OR(AND(IF(Metadata!H14="",FALSE,TRUE),OR(exact(Metadata!H14,"not collected"),exact(Metadata!H14,"not provided"),exact(Metadata!H14,"restricted access"))),AND(IF(Metadata!H14="",FALSE,ISNUMBER(VALUE(Metadata!H14))),Metadata!H14&gt;=-413.0))</f>
        <v>0</v>
      </c>
      <c r="AU14">
        <f>AND(IF(Metadata!I14="",FALSE,TRUE),exact(Metadata!I14,"meters"))</f>
        <v>0</v>
      </c>
      <c r="AV14">
        <f>AND(IF(Metadata!J14="",FALSE,TRUE),OR(exact(Metadata!J14,"Host-associated"),exact(Metadata!J14,"Free-living")))</f>
        <v>0</v>
      </c>
      <c r="AW14">
        <f>AND(IF(Metadata!K14="",FALSE,TRUE),OR(exact(Metadata!K14,"Animal"),exact(Metadata!K14,"Fungus"),exact(Metadata!K14,"Plant"),exact(Metadata!K14,"Saline"),exact(Metadata!K14,"Non-saline")))</f>
        <v>0</v>
      </c>
      <c r="AX14">
        <f>AND(IF(Metadata!L14="",FALSE,TRUE),OR(exact(Metadata!L14,"Plant secretion"),exact(Metadata!L14,"Plant rhizosphere"),exact(Metadata!L14,"Plant surface"),exact(Metadata!L14,"Plant corpus"),exact(Metadata!L14,"Fungus surface"),exact(Metadata!L14,"Fungus corpus"),exact(Metadata!L14,"Animal surface"),exact(Metadata!L14,"Animal proximal gut"),exact(Metadata!L14,"Animal corpus"),exact(Metadata!L14,"Animal distal gut"),exact(Metadata!L14,"Animal secretion"),exact(Metadata!L14,"Sub-surface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0</v>
      </c>
      <c r="AY14">
        <f>IF(Metadata!M14="",FALSE,TRUE)</f>
        <v>0</v>
      </c>
      <c r="AZ14">
        <f>IF(Metadata!N14="",FALSE,TRUE)</f>
        <v>0</v>
      </c>
      <c r="BA14">
        <f>IF(Metadata!O14="",FALSE,TRUE)</f>
        <v>0</v>
      </c>
      <c r="BB14">
        <f>OR(AND(IF(Metadata!P14="",FALSE,TRUE),OR(exact(Metadata!P14,"not collected"),exact(Metadata!P14,"not provided"),exact(Metadata!P14,"restricted access"))),AND(IF(Metadata!P14="",FALSE,TRUE),OR(exact(Metadata!P14,"air"),exact(Metadata!P14,"built environment"),exact(Metadata!P14,"host-associated"),exact(Metadata!P14,"human-associated"),exact(Metadata!P14,"human-skin"),exact(Metadata!P14,"human-oral"),exact(Metadata!P14,"human-gut"),exact(Metadata!P14,"human-vaginal"),exact(Metadata!P14,"microbial mat/biofilm"),exact(Metadata!P14,"misc environment"),exact(Metadata!P14,"plant-associated"),exact(Metadata!P14,"sediment"),exact(Metadata!P14,"soil"),exact(Metadata!P14,"wastewater/sludge"),exact(Metadata!P14,"water"))))</f>
        <v>0</v>
      </c>
      <c r="BC14">
        <f>IF(Metadata!Q14="",FALSE,TRUE)</f>
        <v>0</v>
      </c>
      <c r="BD14">
        <f>IF(Metadata!R14="",FALSE,TRUE)</f>
        <v>0</v>
      </c>
      <c r="BE14">
        <f>OR(AND(IF(Metadata!S14="",FALSE,TRUE),OR(exact(Metadata!S14,"not collected"),exact(Metadata!S14,"not provided"),exact(Metadata!S14,"restricted access"))),AND(IF(Metadata!S14="",FALSE,ISNUMBER(VALUE(Metadata!S14))),Metadata!S14&gt;=-90.00,Metadata!S14&lt;=90.00))</f>
        <v>0</v>
      </c>
      <c r="BF14">
        <f>AND(IF(Metadata!T14="",FALSE,TRUE),exact(Metadata!T14,"Decimal degrees"))</f>
        <v>0</v>
      </c>
      <c r="BG14">
        <f>OR(AND(IF(Metadata!U14="",FALSE,TRUE),OR(exact(Metadata!U14,"not collected"),exact(Metadata!U14,"not provided"),exact(Metadata!U14,"restricted access"))),AND(IF(Metadata!U14="",FALSE,ISNUMBER(VALUE(Metadata!U14))),Metadata!U14&gt;=-180.00,Metadata!U14&lt;=180.00))</f>
        <v>0</v>
      </c>
      <c r="BH14">
        <f>AND(IF(Metadata!V14="",FALSE,TRUE),exact(Metadata!V14,"Decimal degrees"))</f>
        <v>0</v>
      </c>
      <c r="BI14">
        <f>IF(Metadata!W14="",FALSE,TRUE)</f>
        <v>0</v>
      </c>
      <c r="BJ14">
        <f>OR(AND(IF(Metadata!X14="",FALSE,TRUE),OR(exact(Metadata!X14,"not collected"),exact(Metadata!X14,"not provided"),exact(Metadata!X14,"restricted access"))),AND(IF(Metadata!X14="",FALSE,TRUE),OR(exact(Metadata!X14,"TRUE"),exact(Metadata!X14,"FALSE"))))</f>
        <v>0</v>
      </c>
      <c r="BK14">
        <f>AND(IF(Metadata!Y14="",FALSE,TRUE),exact(Metadata!Y14,"other"))</f>
        <v>0</v>
      </c>
      <c r="BL14">
        <f>IF(Metadata!Z14="",FALSE,TRUE)</f>
        <v>0</v>
      </c>
      <c r="BM14">
        <f>OR(AND(IF(Metadata!AA14="",FALSE,TRUE),OR(exact(Metadata!AA14,"not collected"),exact(Metadata!AA14,"not provided"))),AND(IF(Metadata!AA14="",FALSE,IF(ISERROR(INT(Metadata!AA14)),FALSE,INT(Metadata!AA14)=Metadata!AA14)),Metadata!AA14&gt;0))</f>
        <v>0</v>
      </c>
      <c r="BN14">
        <f>AND(IF(Metadata!AB14="",FALSE,TRUE),exact(Metadata!AB14,"Not applicable"))</f>
        <v>0</v>
      </c>
      <c r="BO14">
        <f>IF(Metadata!AC14="",FALSE,TRUE)</f>
        <v>0</v>
      </c>
    </row>
    <row r="15" spans="1:67">
      <c r="A15" s="5">
        <f>IF(B15=" "," ",HYPERLINK(CONCATENATE("#metadata!",ADDRESS(INDEX($AI$2:$AI$1001,MATCH(ROWS($AG$2:AG15),$AG$2:$AG$1001,0),0),1)),INDEX($AL$2:$AL$1001,MATCH(ROWS($AG$2:AG15),$AG$2:$AG$1001,0),0)))</f>
        <v>0</v>
      </c>
      <c r="B15" s="4">
        <f>IF(OR(INDEX($AH$2:$AH$1001,MATCH(ROWS($AG$2:AG15),$AG$2:$AG$1001,0),1)&gt;=100000,INDEX($AN$1005:$BO$1005,1,MATCH(COLUMNS($AN$1006:AN1006),$AN$1006:$BO$1006,0))&gt;=100000), " ",IF(INDEX($AN$2:$BO$1001,MATCH(ROWS($AG$2:AG15),$AG$2:$AG$1001,0),MATCH(COLUMNS($AN$1006:AN1006),$AN$1006:$BO$1006,0)), HYPERLINK("#",""), HYPERLINK(CONCATENATE("#Metadata!", ADDRESS(INDEX($AI$2:$AI$1001,MATCH(ROWS($AG$2:AG15),$AG$2:$AG$1001,0),0), INDEX($AN$1004:$BO$1004,1,MATCH(COLUMNS($AN$1006:AN1006),$AN$1006:$BO$1006,0)))),"Fix")))</f>
        <v>0</v>
      </c>
      <c r="C15" s="4">
        <f>IF(OR(INDEX($AH$2:$AH$1001,MATCH(ROWS($AG$2:AG15),$AG$2:$AG$1001,0),1)&gt;=100000,INDEX($AN$1005:$BO$1005,1,MATCH(COLUMNS($AN$1006:AO1006),$AN$1006:$BO$1006,0))&gt;=100000), " ",IF(INDEX($AN$2:$BO$1001,MATCH(ROWS($AG$2:AG15),$AG$2:$AG$1001,0),MATCH(COLUMNS($AN$1006:AO1006),$AN$1006:$BO$1006,0)), HYPERLINK("#",""), HYPERLINK(CONCATENATE("#Metadata!", ADDRESS(INDEX($AI$2:$AI$1001,MATCH(ROWS($AG$2:AG15),$AG$2:$AG$1001,0),0), INDEX($AN$1004:$BO$1004,1,MATCH(COLUMNS($AN$1006:AO1006),$AN$1006:$BO$1006,0)))),"Fix")))</f>
        <v>0</v>
      </c>
      <c r="D15" s="4">
        <f>IF(OR(INDEX($AH$2:$AH$1001,MATCH(ROWS($AG$2:AG15),$AG$2:$AG$1001,0),1)&gt;=100000,INDEX($AN$1005:$BO$1005,1,MATCH(COLUMNS($AN$1006:AP1006),$AN$1006:$BO$1006,0))&gt;=100000), " ",IF(INDEX($AN$2:$BO$1001,MATCH(ROWS($AG$2:AG15),$AG$2:$AG$1001,0),MATCH(COLUMNS($AN$1006:AP1006),$AN$1006:$BO$1006,0)), HYPERLINK("#",""), HYPERLINK(CONCATENATE("#Metadata!", ADDRESS(INDEX($AI$2:$AI$1001,MATCH(ROWS($AG$2:AG15),$AG$2:$AG$1001,0),0), INDEX($AN$1004:$BO$1004,1,MATCH(COLUMNS($AN$1006:AP1006),$AN$1006:$BO$1006,0)))),"Fix")))</f>
        <v>0</v>
      </c>
      <c r="E15" s="4">
        <f>IF(OR(INDEX($AH$2:$AH$1001,MATCH(ROWS($AG$2:AG15),$AG$2:$AG$1001,0),1)&gt;=100000,INDEX($AN$1005:$BO$1005,1,MATCH(COLUMNS($AN$1006:AQ1006),$AN$1006:$BO$1006,0))&gt;=100000), " ",IF(INDEX($AN$2:$BO$1001,MATCH(ROWS($AG$2:AG15),$AG$2:$AG$1001,0),MATCH(COLUMNS($AN$1006:AQ1006),$AN$1006:$BO$1006,0)), HYPERLINK("#",""), HYPERLINK(CONCATENATE("#Metadata!", ADDRESS(INDEX($AI$2:$AI$1001,MATCH(ROWS($AG$2:AG15),$AG$2:$AG$1001,0),0), INDEX($AN$1004:$BO$1004,1,MATCH(COLUMNS($AN$1006:AQ1006),$AN$1006:$BO$1006,0)))),"Fix")))</f>
        <v>0</v>
      </c>
      <c r="F15" s="4">
        <f>IF(OR(INDEX($AH$2:$AH$1001,MATCH(ROWS($AG$2:AG15),$AG$2:$AG$1001,0),1)&gt;=100000,INDEX($AN$1005:$BO$1005,1,MATCH(COLUMNS($AN$1006:AR1006),$AN$1006:$BO$1006,0))&gt;=100000), " ",IF(INDEX($AN$2:$BO$1001,MATCH(ROWS($AG$2:AG15),$AG$2:$AG$1001,0),MATCH(COLUMNS($AN$1006:AR1006),$AN$1006:$BO$1006,0)), HYPERLINK("#",""), HYPERLINK(CONCATENATE("#Metadata!", ADDRESS(INDEX($AI$2:$AI$1001,MATCH(ROWS($AG$2:AG15),$AG$2:$AG$1001,0),0), INDEX($AN$1004:$BO$1004,1,MATCH(COLUMNS($AN$1006:AR1006),$AN$1006:$BO$1006,0)))),"Fix")))</f>
        <v>0</v>
      </c>
      <c r="G15" s="4">
        <f>IF(OR(INDEX($AH$2:$AH$1001,MATCH(ROWS($AG$2:AG15),$AG$2:$AG$1001,0),1)&gt;=100000,INDEX($AN$1005:$BO$1005,1,MATCH(COLUMNS($AN$1006:AS1006),$AN$1006:$BO$1006,0))&gt;=100000), " ",IF(INDEX($AN$2:$BO$1001,MATCH(ROWS($AG$2:AG15),$AG$2:$AG$1001,0),MATCH(COLUMNS($AN$1006:AS1006),$AN$1006:$BO$1006,0)), HYPERLINK("#",""), HYPERLINK(CONCATENATE("#Metadata!", ADDRESS(INDEX($AI$2:$AI$1001,MATCH(ROWS($AG$2:AG15),$AG$2:$AG$1001,0),0), INDEX($AN$1004:$BO$1004,1,MATCH(COLUMNS($AN$1006:AS1006),$AN$1006:$BO$1006,0)))),"Fix")))</f>
        <v>0</v>
      </c>
      <c r="H15" s="4">
        <f>IF(OR(INDEX($AH$2:$AH$1001,MATCH(ROWS($AG$2:AG15),$AG$2:$AG$1001,0),1)&gt;=100000,INDEX($AN$1005:$BO$1005,1,MATCH(COLUMNS($AN$1006:AT1006),$AN$1006:$BO$1006,0))&gt;=100000), " ",IF(INDEX($AN$2:$BO$1001,MATCH(ROWS($AG$2:AG15),$AG$2:$AG$1001,0),MATCH(COLUMNS($AN$1006:AT1006),$AN$1006:$BO$1006,0)), HYPERLINK("#",""), HYPERLINK(CONCATENATE("#Metadata!", ADDRESS(INDEX($AI$2:$AI$1001,MATCH(ROWS($AG$2:AG15),$AG$2:$AG$1001,0),0), INDEX($AN$1004:$BO$1004,1,MATCH(COLUMNS($AN$1006:AT1006),$AN$1006:$BO$1006,0)))),"Fix")))</f>
        <v>0</v>
      </c>
      <c r="I15" s="4">
        <f>IF(OR(INDEX($AH$2:$AH$1001,MATCH(ROWS($AG$2:AG15),$AG$2:$AG$1001,0),1)&gt;=100000,INDEX($AN$1005:$BO$1005,1,MATCH(COLUMNS($AN$1006:AU1006),$AN$1006:$BO$1006,0))&gt;=100000), " ",IF(INDEX($AN$2:$BO$1001,MATCH(ROWS($AG$2:AG15),$AG$2:$AG$1001,0),MATCH(COLUMNS($AN$1006:AU1006),$AN$1006:$BO$1006,0)), HYPERLINK("#",""), HYPERLINK(CONCATENATE("#Metadata!", ADDRESS(INDEX($AI$2:$AI$1001,MATCH(ROWS($AG$2:AG15),$AG$2:$AG$1001,0),0), INDEX($AN$1004:$BO$1004,1,MATCH(COLUMNS($AN$1006:AU1006),$AN$1006:$BO$1006,0)))),"Fix")))</f>
        <v>0</v>
      </c>
      <c r="J15" s="4">
        <f>IF(OR(INDEX($AH$2:$AH$1001,MATCH(ROWS($AG$2:AG15),$AG$2:$AG$1001,0),1)&gt;=100000,INDEX($AN$1005:$BO$1005,1,MATCH(COLUMNS($AN$1006:AV1006),$AN$1006:$BO$1006,0))&gt;=100000), " ",IF(INDEX($AN$2:$BO$1001,MATCH(ROWS($AG$2:AG15),$AG$2:$AG$1001,0),MATCH(COLUMNS($AN$1006:AV1006),$AN$1006:$BO$1006,0)), HYPERLINK("#",""), HYPERLINK(CONCATENATE("#Metadata!", ADDRESS(INDEX($AI$2:$AI$1001,MATCH(ROWS($AG$2:AG15),$AG$2:$AG$1001,0),0), INDEX($AN$1004:$BO$1004,1,MATCH(COLUMNS($AN$1006:AV1006),$AN$1006:$BO$1006,0)))),"Fix")))</f>
        <v>0</v>
      </c>
      <c r="K15" s="4">
        <f>IF(OR(INDEX($AH$2:$AH$1001,MATCH(ROWS($AG$2:AG15),$AG$2:$AG$1001,0),1)&gt;=100000,INDEX($AN$1005:$BO$1005,1,MATCH(COLUMNS($AN$1006:AW1006),$AN$1006:$BO$1006,0))&gt;=100000), " ",IF(INDEX($AN$2:$BO$1001,MATCH(ROWS($AG$2:AG15),$AG$2:$AG$1001,0),MATCH(COLUMNS($AN$1006:AW1006),$AN$1006:$BO$1006,0)), HYPERLINK("#",""), HYPERLINK(CONCATENATE("#Metadata!", ADDRESS(INDEX($AI$2:$AI$1001,MATCH(ROWS($AG$2:AG15),$AG$2:$AG$1001,0),0), INDEX($AN$1004:$BO$1004,1,MATCH(COLUMNS($AN$1006:AW1006),$AN$1006:$BO$1006,0)))),"Fix")))</f>
        <v>0</v>
      </c>
      <c r="L15" s="4">
        <f>IF(OR(INDEX($AH$2:$AH$1001,MATCH(ROWS($AG$2:AG15),$AG$2:$AG$1001,0),1)&gt;=100000,INDEX($AN$1005:$BO$1005,1,MATCH(COLUMNS($AN$1006:AX1006),$AN$1006:$BO$1006,0))&gt;=100000), " ",IF(INDEX($AN$2:$BO$1001,MATCH(ROWS($AG$2:AG15),$AG$2:$AG$1001,0),MATCH(COLUMNS($AN$1006:AX1006),$AN$1006:$BO$1006,0)), HYPERLINK("#",""), HYPERLINK(CONCATENATE("#Metadata!", ADDRESS(INDEX($AI$2:$AI$1001,MATCH(ROWS($AG$2:AG15),$AG$2:$AG$1001,0),0), INDEX($AN$1004:$BO$1004,1,MATCH(COLUMNS($AN$1006:AX1006),$AN$1006:$BO$1006,0)))),"Fix")))</f>
        <v>0</v>
      </c>
      <c r="M15" s="4">
        <f>IF(OR(INDEX($AH$2:$AH$1001,MATCH(ROWS($AG$2:AG15),$AG$2:$AG$1001,0),1)&gt;=100000,INDEX($AN$1005:$BO$1005,1,MATCH(COLUMNS($AN$1006:AY1006),$AN$1006:$BO$1006,0))&gt;=100000), " ",IF(INDEX($AN$2:$BO$1001,MATCH(ROWS($AG$2:AG15),$AG$2:$AG$1001,0),MATCH(COLUMNS($AN$1006:AY1006),$AN$1006:$BO$1006,0)), HYPERLINK("#",""), HYPERLINK(CONCATENATE("#Metadata!", ADDRESS(INDEX($AI$2:$AI$1001,MATCH(ROWS($AG$2:AG15),$AG$2:$AG$1001,0),0), INDEX($AN$1004:$BO$1004,1,MATCH(COLUMNS($AN$1006:AY1006),$AN$1006:$BO$1006,0)))),"Fix")))</f>
        <v>0</v>
      </c>
      <c r="N15" s="4">
        <f>IF(OR(INDEX($AH$2:$AH$1001,MATCH(ROWS($AG$2:AG15),$AG$2:$AG$1001,0),1)&gt;=100000,INDEX($AN$1005:$BO$1005,1,MATCH(COLUMNS($AN$1006:AZ1006),$AN$1006:$BO$1006,0))&gt;=100000), " ",IF(INDEX($AN$2:$BO$1001,MATCH(ROWS($AG$2:AG15),$AG$2:$AG$1001,0),MATCH(COLUMNS($AN$1006:AZ1006),$AN$1006:$BO$1006,0)), HYPERLINK("#",""), HYPERLINK(CONCATENATE("#Metadata!", ADDRESS(INDEX($AI$2:$AI$1001,MATCH(ROWS($AG$2:AG15),$AG$2:$AG$1001,0),0), INDEX($AN$1004:$BO$1004,1,MATCH(COLUMNS($AN$1006:AZ1006),$AN$1006:$BO$1006,0)))),"Fix")))</f>
        <v>0</v>
      </c>
      <c r="O15" s="4">
        <f>IF(OR(INDEX($AH$2:$AH$1001,MATCH(ROWS($AG$2:AG15),$AG$2:$AG$1001,0),1)&gt;=100000,INDEX($AN$1005:$BO$1005,1,MATCH(COLUMNS($AN$1006:BA1006),$AN$1006:$BO$1006,0))&gt;=100000), " ",IF(INDEX($AN$2:$BO$1001,MATCH(ROWS($AG$2:AG15),$AG$2:$AG$1001,0),MATCH(COLUMNS($AN$1006:BA1006),$AN$1006:$BO$1006,0)), HYPERLINK("#",""), HYPERLINK(CONCATENATE("#Metadata!", ADDRESS(INDEX($AI$2:$AI$1001,MATCH(ROWS($AG$2:AG15),$AG$2:$AG$1001,0),0), INDEX($AN$1004:$BO$1004,1,MATCH(COLUMNS($AN$1006:BA1006),$AN$1006:$BO$1006,0)))),"Fix")))</f>
        <v>0</v>
      </c>
      <c r="P15" s="4">
        <f>IF(OR(INDEX($AH$2:$AH$1001,MATCH(ROWS($AG$2:AG15),$AG$2:$AG$1001,0),1)&gt;=100000,INDEX($AN$1005:$BO$1005,1,MATCH(COLUMNS($AN$1006:BB1006),$AN$1006:$BO$1006,0))&gt;=100000), " ",IF(INDEX($AN$2:$BO$1001,MATCH(ROWS($AG$2:AG15),$AG$2:$AG$1001,0),MATCH(COLUMNS($AN$1006:BB1006),$AN$1006:$BO$1006,0)), HYPERLINK("#",""), HYPERLINK(CONCATENATE("#Metadata!", ADDRESS(INDEX($AI$2:$AI$1001,MATCH(ROWS($AG$2:AG15),$AG$2:$AG$1001,0),0), INDEX($AN$1004:$BO$1004,1,MATCH(COLUMNS($AN$1006:BB1006),$AN$1006:$BO$1006,0)))),"Fix")))</f>
        <v>0</v>
      </c>
      <c r="Q15" s="4">
        <f>IF(OR(INDEX($AH$2:$AH$1001,MATCH(ROWS($AG$2:AG15),$AG$2:$AG$1001,0),1)&gt;=100000,INDEX($AN$1005:$BO$1005,1,MATCH(COLUMNS($AN$1006:BC1006),$AN$1006:$BO$1006,0))&gt;=100000), " ",IF(INDEX($AN$2:$BO$1001,MATCH(ROWS($AG$2:AG15),$AG$2:$AG$1001,0),MATCH(COLUMNS($AN$1006:BC1006),$AN$1006:$BO$1006,0)), HYPERLINK("#",""), HYPERLINK(CONCATENATE("#Metadata!", ADDRESS(INDEX($AI$2:$AI$1001,MATCH(ROWS($AG$2:AG15),$AG$2:$AG$1001,0),0), INDEX($AN$1004:$BO$1004,1,MATCH(COLUMNS($AN$1006:BC1006),$AN$1006:$BO$1006,0)))),"Fix")))</f>
        <v>0</v>
      </c>
      <c r="R15" s="4">
        <f>IF(OR(INDEX($AH$2:$AH$1001,MATCH(ROWS($AG$2:AG15),$AG$2:$AG$1001,0),1)&gt;=100000,INDEX($AN$1005:$BO$1005,1,MATCH(COLUMNS($AN$1006:BD1006),$AN$1006:$BO$1006,0))&gt;=100000), " ",IF(INDEX($AN$2:$BO$1001,MATCH(ROWS($AG$2:AG15),$AG$2:$AG$1001,0),MATCH(COLUMNS($AN$1006:BD1006),$AN$1006:$BO$1006,0)), HYPERLINK("#",""), HYPERLINK(CONCATENATE("#Metadata!", ADDRESS(INDEX($AI$2:$AI$1001,MATCH(ROWS($AG$2:AG15),$AG$2:$AG$1001,0),0), INDEX($AN$1004:$BO$1004,1,MATCH(COLUMNS($AN$1006:BD1006),$AN$1006:$BO$1006,0)))),"Fix")))</f>
        <v>0</v>
      </c>
      <c r="S15" s="4">
        <f>IF(OR(INDEX($AH$2:$AH$1001,MATCH(ROWS($AG$2:AG15),$AG$2:$AG$1001,0),1)&gt;=100000,INDEX($AN$1005:$BO$1005,1,MATCH(COLUMNS($AN$1006:BE1006),$AN$1006:$BO$1006,0))&gt;=100000), " ",IF(INDEX($AN$2:$BO$1001,MATCH(ROWS($AG$2:AG15),$AG$2:$AG$1001,0),MATCH(COLUMNS($AN$1006:BE1006),$AN$1006:$BO$1006,0)), HYPERLINK("#",""), HYPERLINK(CONCATENATE("#Metadata!", ADDRESS(INDEX($AI$2:$AI$1001,MATCH(ROWS($AG$2:AG15),$AG$2:$AG$1001,0),0), INDEX($AN$1004:$BO$1004,1,MATCH(COLUMNS($AN$1006:BE1006),$AN$1006:$BO$1006,0)))),"Fix")))</f>
        <v>0</v>
      </c>
      <c r="T15" s="4">
        <f>IF(OR(INDEX($AH$2:$AH$1001,MATCH(ROWS($AG$2:AG15),$AG$2:$AG$1001,0),1)&gt;=100000,INDEX($AN$1005:$BO$1005,1,MATCH(COLUMNS($AN$1006:BF1006),$AN$1006:$BO$1006,0))&gt;=100000), " ",IF(INDEX($AN$2:$BO$1001,MATCH(ROWS($AG$2:AG15),$AG$2:$AG$1001,0),MATCH(COLUMNS($AN$1006:BF1006),$AN$1006:$BO$1006,0)), HYPERLINK("#",""), HYPERLINK(CONCATENATE("#Metadata!", ADDRESS(INDEX($AI$2:$AI$1001,MATCH(ROWS($AG$2:AG15),$AG$2:$AG$1001,0),0), INDEX($AN$1004:$BO$1004,1,MATCH(COLUMNS($AN$1006:BF1006),$AN$1006:$BO$1006,0)))),"Fix")))</f>
        <v>0</v>
      </c>
      <c r="U15" s="4">
        <f>IF(OR(INDEX($AH$2:$AH$1001,MATCH(ROWS($AG$2:AG15),$AG$2:$AG$1001,0),1)&gt;=100000,INDEX($AN$1005:$BO$1005,1,MATCH(COLUMNS($AN$1006:BG1006),$AN$1006:$BO$1006,0))&gt;=100000), " ",IF(INDEX($AN$2:$BO$1001,MATCH(ROWS($AG$2:AG15),$AG$2:$AG$1001,0),MATCH(COLUMNS($AN$1006:BG1006),$AN$1006:$BO$1006,0)), HYPERLINK("#",""), HYPERLINK(CONCATENATE("#Metadata!", ADDRESS(INDEX($AI$2:$AI$1001,MATCH(ROWS($AG$2:AG15),$AG$2:$AG$1001,0),0), INDEX($AN$1004:$BO$1004,1,MATCH(COLUMNS($AN$1006:BG1006),$AN$1006:$BO$1006,0)))),"Fix")))</f>
        <v>0</v>
      </c>
      <c r="V15" s="4">
        <f>IF(OR(INDEX($AH$2:$AH$1001,MATCH(ROWS($AG$2:AG15),$AG$2:$AG$1001,0),1)&gt;=100000,INDEX($AN$1005:$BO$1005,1,MATCH(COLUMNS($AN$1006:BH1006),$AN$1006:$BO$1006,0))&gt;=100000), " ",IF(INDEX($AN$2:$BO$1001,MATCH(ROWS($AG$2:AG15),$AG$2:$AG$1001,0),MATCH(COLUMNS($AN$1006:BH1006),$AN$1006:$BO$1006,0)), HYPERLINK("#",""), HYPERLINK(CONCATENATE("#Metadata!", ADDRESS(INDEX($AI$2:$AI$1001,MATCH(ROWS($AG$2:AG15),$AG$2:$AG$1001,0),0), INDEX($AN$1004:$BO$1004,1,MATCH(COLUMNS($AN$1006:BH1006),$AN$1006:$BO$1006,0)))),"Fix")))</f>
        <v>0</v>
      </c>
      <c r="W15" s="4">
        <f>IF(OR(INDEX($AH$2:$AH$1001,MATCH(ROWS($AG$2:AG15),$AG$2:$AG$1001,0),1)&gt;=100000,INDEX($AN$1005:$BO$1005,1,MATCH(COLUMNS($AN$1006:BI1006),$AN$1006:$BO$1006,0))&gt;=100000), " ",IF(INDEX($AN$2:$BO$1001,MATCH(ROWS($AG$2:AG15),$AG$2:$AG$1001,0),MATCH(COLUMNS($AN$1006:BI1006),$AN$1006:$BO$1006,0)), HYPERLINK("#",""), HYPERLINK(CONCATENATE("#Metadata!", ADDRESS(INDEX($AI$2:$AI$1001,MATCH(ROWS($AG$2:AG15),$AG$2:$AG$1001,0),0), INDEX($AN$1004:$BO$1004,1,MATCH(COLUMNS($AN$1006:BI1006),$AN$1006:$BO$1006,0)))),"Fix")))</f>
        <v>0</v>
      </c>
      <c r="X15" s="4">
        <f>IF(OR(INDEX($AH$2:$AH$1001,MATCH(ROWS($AG$2:AG15),$AG$2:$AG$1001,0),1)&gt;=100000,INDEX($AN$1005:$BO$1005,1,MATCH(COLUMNS($AN$1006:BJ1006),$AN$1006:$BO$1006,0))&gt;=100000), " ",IF(INDEX($AN$2:$BO$1001,MATCH(ROWS($AG$2:AG15),$AG$2:$AG$1001,0),MATCH(COLUMNS($AN$1006:BJ1006),$AN$1006:$BO$1006,0)), HYPERLINK("#",""), HYPERLINK(CONCATENATE("#Metadata!", ADDRESS(INDEX($AI$2:$AI$1001,MATCH(ROWS($AG$2:AG15),$AG$2:$AG$1001,0),0), INDEX($AN$1004:$BO$1004,1,MATCH(COLUMNS($AN$1006:BJ1006),$AN$1006:$BO$1006,0)))),"Fix")))</f>
        <v>0</v>
      </c>
      <c r="Y15" s="4">
        <f>IF(OR(INDEX($AH$2:$AH$1001,MATCH(ROWS($AG$2:AG15),$AG$2:$AG$1001,0),1)&gt;=100000,INDEX($AN$1005:$BO$1005,1,MATCH(COLUMNS($AN$1006:BK1006),$AN$1006:$BO$1006,0))&gt;=100000), " ",IF(INDEX($AN$2:$BO$1001,MATCH(ROWS($AG$2:AG15),$AG$2:$AG$1001,0),MATCH(COLUMNS($AN$1006:BK1006),$AN$1006:$BO$1006,0)), HYPERLINK("#",""), HYPERLINK(CONCATENATE("#Metadata!", ADDRESS(INDEX($AI$2:$AI$1001,MATCH(ROWS($AG$2:AG15),$AG$2:$AG$1001,0),0), INDEX($AN$1004:$BO$1004,1,MATCH(COLUMNS($AN$1006:BK1006),$AN$1006:$BO$1006,0)))),"Fix")))</f>
        <v>0</v>
      </c>
      <c r="Z15" s="4">
        <f>IF(OR(INDEX($AH$2:$AH$1001,MATCH(ROWS($AG$2:AG15),$AG$2:$AG$1001,0),1)&gt;=100000,INDEX($AN$1005:$BO$1005,1,MATCH(COLUMNS($AN$1006:BL1006),$AN$1006:$BO$1006,0))&gt;=100000), " ",IF(INDEX($AN$2:$BO$1001,MATCH(ROWS($AG$2:AG15),$AG$2:$AG$1001,0),MATCH(COLUMNS($AN$1006:BL1006),$AN$1006:$BO$1006,0)), HYPERLINK("#",""), HYPERLINK(CONCATENATE("#Metadata!", ADDRESS(INDEX($AI$2:$AI$1001,MATCH(ROWS($AG$2:AG15),$AG$2:$AG$1001,0),0), INDEX($AN$1004:$BO$1004,1,MATCH(COLUMNS($AN$1006:BL1006),$AN$1006:$BO$1006,0)))),"Fix")))</f>
        <v>0</v>
      </c>
      <c r="AA15" s="4">
        <f>IF(OR(INDEX($AH$2:$AH$1001,MATCH(ROWS($AG$2:AG15),$AG$2:$AG$1001,0),1)&gt;=100000,INDEX($AN$1005:$BO$1005,1,MATCH(COLUMNS($AN$1006:BM1006),$AN$1006:$BO$1006,0))&gt;=100000), " ",IF(INDEX($AN$2:$BO$1001,MATCH(ROWS($AG$2:AG15),$AG$2:$AG$1001,0),MATCH(COLUMNS($AN$1006:BM1006),$AN$1006:$BO$1006,0)), HYPERLINK("#",""), HYPERLINK(CONCATENATE("#Metadata!", ADDRESS(INDEX($AI$2:$AI$1001,MATCH(ROWS($AG$2:AG15),$AG$2:$AG$1001,0),0), INDEX($AN$1004:$BO$1004,1,MATCH(COLUMNS($AN$1006:BM1006),$AN$1006:$BO$1006,0)))),"Fix")))</f>
        <v>0</v>
      </c>
      <c r="AB15" s="4">
        <f>IF(OR(INDEX($AH$2:$AH$1001,MATCH(ROWS($AG$2:AG15),$AG$2:$AG$1001,0),1)&gt;=100000,INDEX($AN$1005:$BO$1005,1,MATCH(COLUMNS($AN$1006:BN1006),$AN$1006:$BO$1006,0))&gt;=100000), " ",IF(INDEX($AN$2:$BO$1001,MATCH(ROWS($AG$2:AG15),$AG$2:$AG$1001,0),MATCH(COLUMNS($AN$1006:BN1006),$AN$1006:$BO$1006,0)), HYPERLINK("#",""), HYPERLINK(CONCATENATE("#Metadata!", ADDRESS(INDEX($AI$2:$AI$1001,MATCH(ROWS($AG$2:AG15),$AG$2:$AG$1001,0),0), INDEX($AN$1004:$BO$1004,1,MATCH(COLUMNS($AN$1006:BN1006),$AN$1006:$BO$1006,0)))),"Fix")))</f>
        <v>0</v>
      </c>
      <c r="AC15" s="4">
        <f>IF(OR(INDEX($AH$2:$AH$1001,MATCH(ROWS($AG$2:AG15),$AG$2:$AG$1001,0),1)&gt;=100000,INDEX($AN$1005:$BO$1005,1,MATCH(COLUMNS($AN$1006:BO1006),$AN$1006:$BO$1006,0))&gt;=100000), " ",IF(INDEX($AN$2:$BO$1001,MATCH(ROWS($AG$2:AG15),$AG$2:$AG$1001,0),MATCH(COLUMNS($AN$1006:BO1006),$AN$1006:$BO$1006,0)), HYPERLINK("#",""), HYPERLINK(CONCATENATE("#Metadata!", ADDRESS(INDEX($AI$2:$AI$1001,MATCH(ROWS($AG$2:AG15),$AG$2:$AG$1001,0),0), INDEX($AN$1004:$BO$1004,1,MATCH(COLUMNS($AN$1006:BO1006),$AN$1006:$BO$1006,0)))),"Fix")))</f>
        <v>0</v>
      </c>
      <c r="AG15">
        <v>0</v>
      </c>
      <c r="AH15">
        <v>0</v>
      </c>
      <c r="AI15">
        <v>0</v>
      </c>
      <c r="AJ15">
        <f>IF(AK15,TRUE,AND(AN15:BO15))</f>
        <v>0</v>
      </c>
      <c r="AK15">
        <f>COUNTBLANK(Metadata!B15:AC15)=COLUMNS(Metadata!B15:AC15)</f>
        <v>0</v>
      </c>
      <c r="AL15">
        <v>0</v>
      </c>
      <c r="AN15">
        <f>AND(IF(Metadata!B15="",FALSE,TRUE),COUNTIF(Metadata!B:B, Metadata!B15) = 1,NOT(ISERROR(SUMPRODUCT(SEARCH(MID(Metadata!B15,ROW(INDIRECT("1:"&amp;LEN(Metadata!B15))), 1),"0123456789abcdefghijklmnopqrstuvwxyzABCDEFGHIJKLMNOPQRSTUVWXYZ.")))))</f>
        <v>0</v>
      </c>
      <c r="AO15">
        <f>IF(Metadata!C15="",FALSE,TRUE)</f>
        <v>0</v>
      </c>
      <c r="AP15">
        <f>IF(Metadata!D15="",FALSE,TRUE)</f>
        <v>0</v>
      </c>
      <c r="AQ15">
        <f>OR(AND(IF(Metadata!E15="",FALSE,TRUE),OR(exact(Metadata!E15,"not collected"),exact(Metadata!E15,"not provided"),exact(Metadata!E15,"restricted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R15">
        <f>IF(Metadata!F15="",FALSE,TRUE)</f>
        <v>0</v>
      </c>
      <c r="AS15">
        <f>OR(AND(IF(Metadata!G15="",FALSE,TRUE),OR(exact(Metadata!G15,"not collected"),exact(Metadata!G15,"not provided"))),AND(IF(Metadata!G15="",FALSE,TRUE),OR(exact(Metadata!G15,"TRUE"),exact(Metadata!G15,"FALSE"))))</f>
        <v>0</v>
      </c>
      <c r="AT15">
        <f>OR(AND(IF(Metadata!H15="",FALSE,TRUE),OR(exact(Metadata!H15,"not collected"),exact(Metadata!H15,"not provided"),exact(Metadata!H15,"restricted access"))),AND(IF(Metadata!H15="",FALSE,ISNUMBER(VALUE(Metadata!H15))),Metadata!H15&gt;=-413.0))</f>
        <v>0</v>
      </c>
      <c r="AU15">
        <f>AND(IF(Metadata!I15="",FALSE,TRUE),exact(Metadata!I15,"meters"))</f>
        <v>0</v>
      </c>
      <c r="AV15">
        <f>AND(IF(Metadata!J15="",FALSE,TRUE),OR(exact(Metadata!J15,"Host-associated"),exact(Metadata!J15,"Free-living")))</f>
        <v>0</v>
      </c>
      <c r="AW15">
        <f>AND(IF(Metadata!K15="",FALSE,TRUE),OR(exact(Metadata!K15,"Animal"),exact(Metadata!K15,"Fungus"),exact(Metadata!K15,"Plant"),exact(Metadata!K15,"Saline"),exact(Metadata!K15,"Non-saline")))</f>
        <v>0</v>
      </c>
      <c r="AX15">
        <f>AND(IF(Metadata!L15="",FALSE,TRUE),OR(exact(Metadata!L15,"Plant secretion"),exact(Metadata!L15,"Plant rhizosphere"),exact(Metadata!L15,"Plant surface"),exact(Metadata!L15,"Plant corpus"),exact(Metadata!L15,"Fungus surface"),exact(Metadata!L15,"Fungus corpus"),exact(Metadata!L15,"Animal surface"),exact(Metadata!L15,"Animal proximal gut"),exact(Metadata!L15,"Animal corpus"),exact(Metadata!L15,"Animal distal gut"),exact(Metadata!L15,"Animal secretion"),exact(Metadata!L15,"Sub-surface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0</v>
      </c>
      <c r="AY15">
        <f>IF(Metadata!M15="",FALSE,TRUE)</f>
        <v>0</v>
      </c>
      <c r="AZ15">
        <f>IF(Metadata!N15="",FALSE,TRUE)</f>
        <v>0</v>
      </c>
      <c r="BA15">
        <f>IF(Metadata!O15="",FALSE,TRUE)</f>
        <v>0</v>
      </c>
      <c r="BB15">
        <f>OR(AND(IF(Metadata!P15="",FALSE,TRUE),OR(exact(Metadata!P15,"not collected"),exact(Metadata!P15,"not provided"),exact(Metadata!P15,"restricted access"))),AND(IF(Metadata!P15="",FALSE,TRUE),OR(exact(Metadata!P15,"air"),exact(Metadata!P15,"built environment"),exact(Metadata!P15,"host-associated"),exact(Metadata!P15,"human-associated"),exact(Metadata!P15,"human-skin"),exact(Metadata!P15,"human-oral"),exact(Metadata!P15,"human-gut"),exact(Metadata!P15,"human-vaginal"),exact(Metadata!P15,"microbial mat/biofilm"),exact(Metadata!P15,"misc environment"),exact(Metadata!P15,"plant-associated"),exact(Metadata!P15,"sediment"),exact(Metadata!P15,"soil"),exact(Metadata!P15,"wastewater/sludge"),exact(Metadata!P15,"water"))))</f>
        <v>0</v>
      </c>
      <c r="BC15">
        <f>IF(Metadata!Q15="",FALSE,TRUE)</f>
        <v>0</v>
      </c>
      <c r="BD15">
        <f>IF(Metadata!R15="",FALSE,TRUE)</f>
        <v>0</v>
      </c>
      <c r="BE15">
        <f>OR(AND(IF(Metadata!S15="",FALSE,TRUE),OR(exact(Metadata!S15,"not collected"),exact(Metadata!S15,"not provided"),exact(Metadata!S15,"restricted access"))),AND(IF(Metadata!S15="",FALSE,ISNUMBER(VALUE(Metadata!S15))),Metadata!S15&gt;=-90.00,Metadata!S15&lt;=90.00))</f>
        <v>0</v>
      </c>
      <c r="BF15">
        <f>AND(IF(Metadata!T15="",FALSE,TRUE),exact(Metadata!T15,"Decimal degrees"))</f>
        <v>0</v>
      </c>
      <c r="BG15">
        <f>OR(AND(IF(Metadata!U15="",FALSE,TRUE),OR(exact(Metadata!U15,"not collected"),exact(Metadata!U15,"not provided"),exact(Metadata!U15,"restricted access"))),AND(IF(Metadata!U15="",FALSE,ISNUMBER(VALUE(Metadata!U15))),Metadata!U15&gt;=-180.00,Metadata!U15&lt;=180.00))</f>
        <v>0</v>
      </c>
      <c r="BH15">
        <f>AND(IF(Metadata!V15="",FALSE,TRUE),exact(Metadata!V15,"Decimal degrees"))</f>
        <v>0</v>
      </c>
      <c r="BI15">
        <f>IF(Metadata!W15="",FALSE,TRUE)</f>
        <v>0</v>
      </c>
      <c r="BJ15">
        <f>OR(AND(IF(Metadata!X15="",FALSE,TRUE),OR(exact(Metadata!X15,"not collected"),exact(Metadata!X15,"not provided"),exact(Metadata!X15,"restricted access"))),AND(IF(Metadata!X15="",FALSE,TRUE),OR(exact(Metadata!X15,"TRUE"),exact(Metadata!X15,"FALSE"))))</f>
        <v>0</v>
      </c>
      <c r="BK15">
        <f>AND(IF(Metadata!Y15="",FALSE,TRUE),exact(Metadata!Y15,"other"))</f>
        <v>0</v>
      </c>
      <c r="BL15">
        <f>IF(Metadata!Z15="",FALSE,TRUE)</f>
        <v>0</v>
      </c>
      <c r="BM15">
        <f>OR(AND(IF(Metadata!AA15="",FALSE,TRUE),OR(exact(Metadata!AA15,"not collected"),exact(Metadata!AA15,"not provided"))),AND(IF(Metadata!AA15="",FALSE,IF(ISERROR(INT(Metadata!AA15)),FALSE,INT(Metadata!AA15)=Metadata!AA15)),Metadata!AA15&gt;0))</f>
        <v>0</v>
      </c>
      <c r="BN15">
        <f>AND(IF(Metadata!AB15="",FALSE,TRUE),exact(Metadata!AB15,"Not applicable"))</f>
        <v>0</v>
      </c>
      <c r="BO15">
        <f>IF(Metadata!AC15="",FALSE,TRUE)</f>
        <v>0</v>
      </c>
    </row>
    <row r="16" spans="1:67">
      <c r="A16" s="5">
        <f>IF(B16=" "," ",HYPERLINK(CONCATENATE("#metadata!",ADDRESS(INDEX($AI$2:$AI$1001,MATCH(ROWS($AG$2:AG16),$AG$2:$AG$1001,0),0),1)),INDEX($AL$2:$AL$1001,MATCH(ROWS($AG$2:AG16),$AG$2:$AG$1001,0),0)))</f>
        <v>0</v>
      </c>
      <c r="B16" s="4">
        <f>IF(OR(INDEX($AH$2:$AH$1001,MATCH(ROWS($AG$2:AG16),$AG$2:$AG$1001,0),1)&gt;=100000,INDEX($AN$1005:$BO$1005,1,MATCH(COLUMNS($AN$1006:AN1006),$AN$1006:$BO$1006,0))&gt;=100000), " ",IF(INDEX($AN$2:$BO$1001,MATCH(ROWS($AG$2:AG16),$AG$2:$AG$1001,0),MATCH(COLUMNS($AN$1006:AN1006),$AN$1006:$BO$1006,0)), HYPERLINK("#",""), HYPERLINK(CONCATENATE("#Metadata!", ADDRESS(INDEX($AI$2:$AI$1001,MATCH(ROWS($AG$2:AG16),$AG$2:$AG$1001,0),0), INDEX($AN$1004:$BO$1004,1,MATCH(COLUMNS($AN$1006:AN1006),$AN$1006:$BO$1006,0)))),"Fix")))</f>
        <v>0</v>
      </c>
      <c r="C16" s="4">
        <f>IF(OR(INDEX($AH$2:$AH$1001,MATCH(ROWS($AG$2:AG16),$AG$2:$AG$1001,0),1)&gt;=100000,INDEX($AN$1005:$BO$1005,1,MATCH(COLUMNS($AN$1006:AO1006),$AN$1006:$BO$1006,0))&gt;=100000), " ",IF(INDEX($AN$2:$BO$1001,MATCH(ROWS($AG$2:AG16),$AG$2:$AG$1001,0),MATCH(COLUMNS($AN$1006:AO1006),$AN$1006:$BO$1006,0)), HYPERLINK("#",""), HYPERLINK(CONCATENATE("#Metadata!", ADDRESS(INDEX($AI$2:$AI$1001,MATCH(ROWS($AG$2:AG16),$AG$2:$AG$1001,0),0), INDEX($AN$1004:$BO$1004,1,MATCH(COLUMNS($AN$1006:AO1006),$AN$1006:$BO$1006,0)))),"Fix")))</f>
        <v>0</v>
      </c>
      <c r="D16" s="4">
        <f>IF(OR(INDEX($AH$2:$AH$1001,MATCH(ROWS($AG$2:AG16),$AG$2:$AG$1001,0),1)&gt;=100000,INDEX($AN$1005:$BO$1005,1,MATCH(COLUMNS($AN$1006:AP1006),$AN$1006:$BO$1006,0))&gt;=100000), " ",IF(INDEX($AN$2:$BO$1001,MATCH(ROWS($AG$2:AG16),$AG$2:$AG$1001,0),MATCH(COLUMNS($AN$1006:AP1006),$AN$1006:$BO$1006,0)), HYPERLINK("#",""), HYPERLINK(CONCATENATE("#Metadata!", ADDRESS(INDEX($AI$2:$AI$1001,MATCH(ROWS($AG$2:AG16),$AG$2:$AG$1001,0),0), INDEX($AN$1004:$BO$1004,1,MATCH(COLUMNS($AN$1006:AP1006),$AN$1006:$BO$1006,0)))),"Fix")))</f>
        <v>0</v>
      </c>
      <c r="E16" s="4">
        <f>IF(OR(INDEX($AH$2:$AH$1001,MATCH(ROWS($AG$2:AG16),$AG$2:$AG$1001,0),1)&gt;=100000,INDEX($AN$1005:$BO$1005,1,MATCH(COLUMNS($AN$1006:AQ1006),$AN$1006:$BO$1006,0))&gt;=100000), " ",IF(INDEX($AN$2:$BO$1001,MATCH(ROWS($AG$2:AG16),$AG$2:$AG$1001,0),MATCH(COLUMNS($AN$1006:AQ1006),$AN$1006:$BO$1006,0)), HYPERLINK("#",""), HYPERLINK(CONCATENATE("#Metadata!", ADDRESS(INDEX($AI$2:$AI$1001,MATCH(ROWS($AG$2:AG16),$AG$2:$AG$1001,0),0), INDEX($AN$1004:$BO$1004,1,MATCH(COLUMNS($AN$1006:AQ1006),$AN$1006:$BO$1006,0)))),"Fix")))</f>
        <v>0</v>
      </c>
      <c r="F16" s="4">
        <f>IF(OR(INDEX($AH$2:$AH$1001,MATCH(ROWS($AG$2:AG16),$AG$2:$AG$1001,0),1)&gt;=100000,INDEX($AN$1005:$BO$1005,1,MATCH(COLUMNS($AN$1006:AR1006),$AN$1006:$BO$1006,0))&gt;=100000), " ",IF(INDEX($AN$2:$BO$1001,MATCH(ROWS($AG$2:AG16),$AG$2:$AG$1001,0),MATCH(COLUMNS($AN$1006:AR1006),$AN$1006:$BO$1006,0)), HYPERLINK("#",""), HYPERLINK(CONCATENATE("#Metadata!", ADDRESS(INDEX($AI$2:$AI$1001,MATCH(ROWS($AG$2:AG16),$AG$2:$AG$1001,0),0), INDEX($AN$1004:$BO$1004,1,MATCH(COLUMNS($AN$1006:AR1006),$AN$1006:$BO$1006,0)))),"Fix")))</f>
        <v>0</v>
      </c>
      <c r="G16" s="4">
        <f>IF(OR(INDEX($AH$2:$AH$1001,MATCH(ROWS($AG$2:AG16),$AG$2:$AG$1001,0),1)&gt;=100000,INDEX($AN$1005:$BO$1005,1,MATCH(COLUMNS($AN$1006:AS1006),$AN$1006:$BO$1006,0))&gt;=100000), " ",IF(INDEX($AN$2:$BO$1001,MATCH(ROWS($AG$2:AG16),$AG$2:$AG$1001,0),MATCH(COLUMNS($AN$1006:AS1006),$AN$1006:$BO$1006,0)), HYPERLINK("#",""), HYPERLINK(CONCATENATE("#Metadata!", ADDRESS(INDEX($AI$2:$AI$1001,MATCH(ROWS($AG$2:AG16),$AG$2:$AG$1001,0),0), INDEX($AN$1004:$BO$1004,1,MATCH(COLUMNS($AN$1006:AS1006),$AN$1006:$BO$1006,0)))),"Fix")))</f>
        <v>0</v>
      </c>
      <c r="H16" s="4">
        <f>IF(OR(INDEX($AH$2:$AH$1001,MATCH(ROWS($AG$2:AG16),$AG$2:$AG$1001,0),1)&gt;=100000,INDEX($AN$1005:$BO$1005,1,MATCH(COLUMNS($AN$1006:AT1006),$AN$1006:$BO$1006,0))&gt;=100000), " ",IF(INDEX($AN$2:$BO$1001,MATCH(ROWS($AG$2:AG16),$AG$2:$AG$1001,0),MATCH(COLUMNS($AN$1006:AT1006),$AN$1006:$BO$1006,0)), HYPERLINK("#",""), HYPERLINK(CONCATENATE("#Metadata!", ADDRESS(INDEX($AI$2:$AI$1001,MATCH(ROWS($AG$2:AG16),$AG$2:$AG$1001,0),0), INDEX($AN$1004:$BO$1004,1,MATCH(COLUMNS($AN$1006:AT1006),$AN$1006:$BO$1006,0)))),"Fix")))</f>
        <v>0</v>
      </c>
      <c r="I16" s="4">
        <f>IF(OR(INDEX($AH$2:$AH$1001,MATCH(ROWS($AG$2:AG16),$AG$2:$AG$1001,0),1)&gt;=100000,INDEX($AN$1005:$BO$1005,1,MATCH(COLUMNS($AN$1006:AU1006),$AN$1006:$BO$1006,0))&gt;=100000), " ",IF(INDEX($AN$2:$BO$1001,MATCH(ROWS($AG$2:AG16),$AG$2:$AG$1001,0),MATCH(COLUMNS($AN$1006:AU1006),$AN$1006:$BO$1006,0)), HYPERLINK("#",""), HYPERLINK(CONCATENATE("#Metadata!", ADDRESS(INDEX($AI$2:$AI$1001,MATCH(ROWS($AG$2:AG16),$AG$2:$AG$1001,0),0), INDEX($AN$1004:$BO$1004,1,MATCH(COLUMNS($AN$1006:AU1006),$AN$1006:$BO$1006,0)))),"Fix")))</f>
        <v>0</v>
      </c>
      <c r="J16" s="4">
        <f>IF(OR(INDEX($AH$2:$AH$1001,MATCH(ROWS($AG$2:AG16),$AG$2:$AG$1001,0),1)&gt;=100000,INDEX($AN$1005:$BO$1005,1,MATCH(COLUMNS($AN$1006:AV1006),$AN$1006:$BO$1006,0))&gt;=100000), " ",IF(INDEX($AN$2:$BO$1001,MATCH(ROWS($AG$2:AG16),$AG$2:$AG$1001,0),MATCH(COLUMNS($AN$1006:AV1006),$AN$1006:$BO$1006,0)), HYPERLINK("#",""), HYPERLINK(CONCATENATE("#Metadata!", ADDRESS(INDEX($AI$2:$AI$1001,MATCH(ROWS($AG$2:AG16),$AG$2:$AG$1001,0),0), INDEX($AN$1004:$BO$1004,1,MATCH(COLUMNS($AN$1006:AV1006),$AN$1006:$BO$1006,0)))),"Fix")))</f>
        <v>0</v>
      </c>
      <c r="K16" s="4">
        <f>IF(OR(INDEX($AH$2:$AH$1001,MATCH(ROWS($AG$2:AG16),$AG$2:$AG$1001,0),1)&gt;=100000,INDEX($AN$1005:$BO$1005,1,MATCH(COLUMNS($AN$1006:AW1006),$AN$1006:$BO$1006,0))&gt;=100000), " ",IF(INDEX($AN$2:$BO$1001,MATCH(ROWS($AG$2:AG16),$AG$2:$AG$1001,0),MATCH(COLUMNS($AN$1006:AW1006),$AN$1006:$BO$1006,0)), HYPERLINK("#",""), HYPERLINK(CONCATENATE("#Metadata!", ADDRESS(INDEX($AI$2:$AI$1001,MATCH(ROWS($AG$2:AG16),$AG$2:$AG$1001,0),0), INDEX($AN$1004:$BO$1004,1,MATCH(COLUMNS($AN$1006:AW1006),$AN$1006:$BO$1006,0)))),"Fix")))</f>
        <v>0</v>
      </c>
      <c r="L16" s="4">
        <f>IF(OR(INDEX($AH$2:$AH$1001,MATCH(ROWS($AG$2:AG16),$AG$2:$AG$1001,0),1)&gt;=100000,INDEX($AN$1005:$BO$1005,1,MATCH(COLUMNS($AN$1006:AX1006),$AN$1006:$BO$1006,0))&gt;=100000), " ",IF(INDEX($AN$2:$BO$1001,MATCH(ROWS($AG$2:AG16),$AG$2:$AG$1001,0),MATCH(COLUMNS($AN$1006:AX1006),$AN$1006:$BO$1006,0)), HYPERLINK("#",""), HYPERLINK(CONCATENATE("#Metadata!", ADDRESS(INDEX($AI$2:$AI$1001,MATCH(ROWS($AG$2:AG16),$AG$2:$AG$1001,0),0), INDEX($AN$1004:$BO$1004,1,MATCH(COLUMNS($AN$1006:AX1006),$AN$1006:$BO$1006,0)))),"Fix")))</f>
        <v>0</v>
      </c>
      <c r="M16" s="4">
        <f>IF(OR(INDEX($AH$2:$AH$1001,MATCH(ROWS($AG$2:AG16),$AG$2:$AG$1001,0),1)&gt;=100000,INDEX($AN$1005:$BO$1005,1,MATCH(COLUMNS($AN$1006:AY1006),$AN$1006:$BO$1006,0))&gt;=100000), " ",IF(INDEX($AN$2:$BO$1001,MATCH(ROWS($AG$2:AG16),$AG$2:$AG$1001,0),MATCH(COLUMNS($AN$1006:AY1006),$AN$1006:$BO$1006,0)), HYPERLINK("#",""), HYPERLINK(CONCATENATE("#Metadata!", ADDRESS(INDEX($AI$2:$AI$1001,MATCH(ROWS($AG$2:AG16),$AG$2:$AG$1001,0),0), INDEX($AN$1004:$BO$1004,1,MATCH(COLUMNS($AN$1006:AY1006),$AN$1006:$BO$1006,0)))),"Fix")))</f>
        <v>0</v>
      </c>
      <c r="N16" s="4">
        <f>IF(OR(INDEX($AH$2:$AH$1001,MATCH(ROWS($AG$2:AG16),$AG$2:$AG$1001,0),1)&gt;=100000,INDEX($AN$1005:$BO$1005,1,MATCH(COLUMNS($AN$1006:AZ1006),$AN$1006:$BO$1006,0))&gt;=100000), " ",IF(INDEX($AN$2:$BO$1001,MATCH(ROWS($AG$2:AG16),$AG$2:$AG$1001,0),MATCH(COLUMNS($AN$1006:AZ1006),$AN$1006:$BO$1006,0)), HYPERLINK("#",""), HYPERLINK(CONCATENATE("#Metadata!", ADDRESS(INDEX($AI$2:$AI$1001,MATCH(ROWS($AG$2:AG16),$AG$2:$AG$1001,0),0), INDEX($AN$1004:$BO$1004,1,MATCH(COLUMNS($AN$1006:AZ1006),$AN$1006:$BO$1006,0)))),"Fix")))</f>
        <v>0</v>
      </c>
      <c r="O16" s="4">
        <f>IF(OR(INDEX($AH$2:$AH$1001,MATCH(ROWS($AG$2:AG16),$AG$2:$AG$1001,0),1)&gt;=100000,INDEX($AN$1005:$BO$1005,1,MATCH(COLUMNS($AN$1006:BA1006),$AN$1006:$BO$1006,0))&gt;=100000), " ",IF(INDEX($AN$2:$BO$1001,MATCH(ROWS($AG$2:AG16),$AG$2:$AG$1001,0),MATCH(COLUMNS($AN$1006:BA1006),$AN$1006:$BO$1006,0)), HYPERLINK("#",""), HYPERLINK(CONCATENATE("#Metadata!", ADDRESS(INDEX($AI$2:$AI$1001,MATCH(ROWS($AG$2:AG16),$AG$2:$AG$1001,0),0), INDEX($AN$1004:$BO$1004,1,MATCH(COLUMNS($AN$1006:BA1006),$AN$1006:$BO$1006,0)))),"Fix")))</f>
        <v>0</v>
      </c>
      <c r="P16" s="4">
        <f>IF(OR(INDEX($AH$2:$AH$1001,MATCH(ROWS($AG$2:AG16),$AG$2:$AG$1001,0),1)&gt;=100000,INDEX($AN$1005:$BO$1005,1,MATCH(COLUMNS($AN$1006:BB1006),$AN$1006:$BO$1006,0))&gt;=100000), " ",IF(INDEX($AN$2:$BO$1001,MATCH(ROWS($AG$2:AG16),$AG$2:$AG$1001,0),MATCH(COLUMNS($AN$1006:BB1006),$AN$1006:$BO$1006,0)), HYPERLINK("#",""), HYPERLINK(CONCATENATE("#Metadata!", ADDRESS(INDEX($AI$2:$AI$1001,MATCH(ROWS($AG$2:AG16),$AG$2:$AG$1001,0),0), INDEX($AN$1004:$BO$1004,1,MATCH(COLUMNS($AN$1006:BB1006),$AN$1006:$BO$1006,0)))),"Fix")))</f>
        <v>0</v>
      </c>
      <c r="Q16" s="4">
        <f>IF(OR(INDEX($AH$2:$AH$1001,MATCH(ROWS($AG$2:AG16),$AG$2:$AG$1001,0),1)&gt;=100000,INDEX($AN$1005:$BO$1005,1,MATCH(COLUMNS($AN$1006:BC1006),$AN$1006:$BO$1006,0))&gt;=100000), " ",IF(INDEX($AN$2:$BO$1001,MATCH(ROWS($AG$2:AG16),$AG$2:$AG$1001,0),MATCH(COLUMNS($AN$1006:BC1006),$AN$1006:$BO$1006,0)), HYPERLINK("#",""), HYPERLINK(CONCATENATE("#Metadata!", ADDRESS(INDEX($AI$2:$AI$1001,MATCH(ROWS($AG$2:AG16),$AG$2:$AG$1001,0),0), INDEX($AN$1004:$BO$1004,1,MATCH(COLUMNS($AN$1006:BC1006),$AN$1006:$BO$1006,0)))),"Fix")))</f>
        <v>0</v>
      </c>
      <c r="R16" s="4">
        <f>IF(OR(INDEX($AH$2:$AH$1001,MATCH(ROWS($AG$2:AG16),$AG$2:$AG$1001,0),1)&gt;=100000,INDEX($AN$1005:$BO$1005,1,MATCH(COLUMNS($AN$1006:BD1006),$AN$1006:$BO$1006,0))&gt;=100000), " ",IF(INDEX($AN$2:$BO$1001,MATCH(ROWS($AG$2:AG16),$AG$2:$AG$1001,0),MATCH(COLUMNS($AN$1006:BD1006),$AN$1006:$BO$1006,0)), HYPERLINK("#",""), HYPERLINK(CONCATENATE("#Metadata!", ADDRESS(INDEX($AI$2:$AI$1001,MATCH(ROWS($AG$2:AG16),$AG$2:$AG$1001,0),0), INDEX($AN$1004:$BO$1004,1,MATCH(COLUMNS($AN$1006:BD1006),$AN$1006:$BO$1006,0)))),"Fix")))</f>
        <v>0</v>
      </c>
      <c r="S16" s="4">
        <f>IF(OR(INDEX($AH$2:$AH$1001,MATCH(ROWS($AG$2:AG16),$AG$2:$AG$1001,0),1)&gt;=100000,INDEX($AN$1005:$BO$1005,1,MATCH(COLUMNS($AN$1006:BE1006),$AN$1006:$BO$1006,0))&gt;=100000), " ",IF(INDEX($AN$2:$BO$1001,MATCH(ROWS($AG$2:AG16),$AG$2:$AG$1001,0),MATCH(COLUMNS($AN$1006:BE1006),$AN$1006:$BO$1006,0)), HYPERLINK("#",""), HYPERLINK(CONCATENATE("#Metadata!", ADDRESS(INDEX($AI$2:$AI$1001,MATCH(ROWS($AG$2:AG16),$AG$2:$AG$1001,0),0), INDEX($AN$1004:$BO$1004,1,MATCH(COLUMNS($AN$1006:BE1006),$AN$1006:$BO$1006,0)))),"Fix")))</f>
        <v>0</v>
      </c>
      <c r="T16" s="4">
        <f>IF(OR(INDEX($AH$2:$AH$1001,MATCH(ROWS($AG$2:AG16),$AG$2:$AG$1001,0),1)&gt;=100000,INDEX($AN$1005:$BO$1005,1,MATCH(COLUMNS($AN$1006:BF1006),$AN$1006:$BO$1006,0))&gt;=100000), " ",IF(INDEX($AN$2:$BO$1001,MATCH(ROWS($AG$2:AG16),$AG$2:$AG$1001,0),MATCH(COLUMNS($AN$1006:BF1006),$AN$1006:$BO$1006,0)), HYPERLINK("#",""), HYPERLINK(CONCATENATE("#Metadata!", ADDRESS(INDEX($AI$2:$AI$1001,MATCH(ROWS($AG$2:AG16),$AG$2:$AG$1001,0),0), INDEX($AN$1004:$BO$1004,1,MATCH(COLUMNS($AN$1006:BF1006),$AN$1006:$BO$1006,0)))),"Fix")))</f>
        <v>0</v>
      </c>
      <c r="U16" s="4">
        <f>IF(OR(INDEX($AH$2:$AH$1001,MATCH(ROWS($AG$2:AG16),$AG$2:$AG$1001,0),1)&gt;=100000,INDEX($AN$1005:$BO$1005,1,MATCH(COLUMNS($AN$1006:BG1006),$AN$1006:$BO$1006,0))&gt;=100000), " ",IF(INDEX($AN$2:$BO$1001,MATCH(ROWS($AG$2:AG16),$AG$2:$AG$1001,0),MATCH(COLUMNS($AN$1006:BG1006),$AN$1006:$BO$1006,0)), HYPERLINK("#",""), HYPERLINK(CONCATENATE("#Metadata!", ADDRESS(INDEX($AI$2:$AI$1001,MATCH(ROWS($AG$2:AG16),$AG$2:$AG$1001,0),0), INDEX($AN$1004:$BO$1004,1,MATCH(COLUMNS($AN$1006:BG1006),$AN$1006:$BO$1006,0)))),"Fix")))</f>
        <v>0</v>
      </c>
      <c r="V16" s="4">
        <f>IF(OR(INDEX($AH$2:$AH$1001,MATCH(ROWS($AG$2:AG16),$AG$2:$AG$1001,0),1)&gt;=100000,INDEX($AN$1005:$BO$1005,1,MATCH(COLUMNS($AN$1006:BH1006),$AN$1006:$BO$1006,0))&gt;=100000), " ",IF(INDEX($AN$2:$BO$1001,MATCH(ROWS($AG$2:AG16),$AG$2:$AG$1001,0),MATCH(COLUMNS($AN$1006:BH1006),$AN$1006:$BO$1006,0)), HYPERLINK("#",""), HYPERLINK(CONCATENATE("#Metadata!", ADDRESS(INDEX($AI$2:$AI$1001,MATCH(ROWS($AG$2:AG16),$AG$2:$AG$1001,0),0), INDEX($AN$1004:$BO$1004,1,MATCH(COLUMNS($AN$1006:BH1006),$AN$1006:$BO$1006,0)))),"Fix")))</f>
        <v>0</v>
      </c>
      <c r="W16" s="4">
        <f>IF(OR(INDEX($AH$2:$AH$1001,MATCH(ROWS($AG$2:AG16),$AG$2:$AG$1001,0),1)&gt;=100000,INDEX($AN$1005:$BO$1005,1,MATCH(COLUMNS($AN$1006:BI1006),$AN$1006:$BO$1006,0))&gt;=100000), " ",IF(INDEX($AN$2:$BO$1001,MATCH(ROWS($AG$2:AG16),$AG$2:$AG$1001,0),MATCH(COLUMNS($AN$1006:BI1006),$AN$1006:$BO$1006,0)), HYPERLINK("#",""), HYPERLINK(CONCATENATE("#Metadata!", ADDRESS(INDEX($AI$2:$AI$1001,MATCH(ROWS($AG$2:AG16),$AG$2:$AG$1001,0),0), INDEX($AN$1004:$BO$1004,1,MATCH(COLUMNS($AN$1006:BI1006),$AN$1006:$BO$1006,0)))),"Fix")))</f>
        <v>0</v>
      </c>
      <c r="X16" s="4">
        <f>IF(OR(INDEX($AH$2:$AH$1001,MATCH(ROWS($AG$2:AG16),$AG$2:$AG$1001,0),1)&gt;=100000,INDEX($AN$1005:$BO$1005,1,MATCH(COLUMNS($AN$1006:BJ1006),$AN$1006:$BO$1006,0))&gt;=100000), " ",IF(INDEX($AN$2:$BO$1001,MATCH(ROWS($AG$2:AG16),$AG$2:$AG$1001,0),MATCH(COLUMNS($AN$1006:BJ1006),$AN$1006:$BO$1006,0)), HYPERLINK("#",""), HYPERLINK(CONCATENATE("#Metadata!", ADDRESS(INDEX($AI$2:$AI$1001,MATCH(ROWS($AG$2:AG16),$AG$2:$AG$1001,0),0), INDEX($AN$1004:$BO$1004,1,MATCH(COLUMNS($AN$1006:BJ1006),$AN$1006:$BO$1006,0)))),"Fix")))</f>
        <v>0</v>
      </c>
      <c r="Y16" s="4">
        <f>IF(OR(INDEX($AH$2:$AH$1001,MATCH(ROWS($AG$2:AG16),$AG$2:$AG$1001,0),1)&gt;=100000,INDEX($AN$1005:$BO$1005,1,MATCH(COLUMNS($AN$1006:BK1006),$AN$1006:$BO$1006,0))&gt;=100000), " ",IF(INDEX($AN$2:$BO$1001,MATCH(ROWS($AG$2:AG16),$AG$2:$AG$1001,0),MATCH(COLUMNS($AN$1006:BK1006),$AN$1006:$BO$1006,0)), HYPERLINK("#",""), HYPERLINK(CONCATENATE("#Metadata!", ADDRESS(INDEX($AI$2:$AI$1001,MATCH(ROWS($AG$2:AG16),$AG$2:$AG$1001,0),0), INDEX($AN$1004:$BO$1004,1,MATCH(COLUMNS($AN$1006:BK1006),$AN$1006:$BO$1006,0)))),"Fix")))</f>
        <v>0</v>
      </c>
      <c r="Z16" s="4">
        <f>IF(OR(INDEX($AH$2:$AH$1001,MATCH(ROWS($AG$2:AG16),$AG$2:$AG$1001,0),1)&gt;=100000,INDEX($AN$1005:$BO$1005,1,MATCH(COLUMNS($AN$1006:BL1006),$AN$1006:$BO$1006,0))&gt;=100000), " ",IF(INDEX($AN$2:$BO$1001,MATCH(ROWS($AG$2:AG16),$AG$2:$AG$1001,0),MATCH(COLUMNS($AN$1006:BL1006),$AN$1006:$BO$1006,0)), HYPERLINK("#",""), HYPERLINK(CONCATENATE("#Metadata!", ADDRESS(INDEX($AI$2:$AI$1001,MATCH(ROWS($AG$2:AG16),$AG$2:$AG$1001,0),0), INDEX($AN$1004:$BO$1004,1,MATCH(COLUMNS($AN$1006:BL1006),$AN$1006:$BO$1006,0)))),"Fix")))</f>
        <v>0</v>
      </c>
      <c r="AA16" s="4">
        <f>IF(OR(INDEX($AH$2:$AH$1001,MATCH(ROWS($AG$2:AG16),$AG$2:$AG$1001,0),1)&gt;=100000,INDEX($AN$1005:$BO$1005,1,MATCH(COLUMNS($AN$1006:BM1006),$AN$1006:$BO$1006,0))&gt;=100000), " ",IF(INDEX($AN$2:$BO$1001,MATCH(ROWS($AG$2:AG16),$AG$2:$AG$1001,0),MATCH(COLUMNS($AN$1006:BM1006),$AN$1006:$BO$1006,0)), HYPERLINK("#",""), HYPERLINK(CONCATENATE("#Metadata!", ADDRESS(INDEX($AI$2:$AI$1001,MATCH(ROWS($AG$2:AG16),$AG$2:$AG$1001,0),0), INDEX($AN$1004:$BO$1004,1,MATCH(COLUMNS($AN$1006:BM1006),$AN$1006:$BO$1006,0)))),"Fix")))</f>
        <v>0</v>
      </c>
      <c r="AB16" s="4">
        <f>IF(OR(INDEX($AH$2:$AH$1001,MATCH(ROWS($AG$2:AG16),$AG$2:$AG$1001,0),1)&gt;=100000,INDEX($AN$1005:$BO$1005,1,MATCH(COLUMNS($AN$1006:BN1006),$AN$1006:$BO$1006,0))&gt;=100000), " ",IF(INDEX($AN$2:$BO$1001,MATCH(ROWS($AG$2:AG16),$AG$2:$AG$1001,0),MATCH(COLUMNS($AN$1006:BN1006),$AN$1006:$BO$1006,0)), HYPERLINK("#",""), HYPERLINK(CONCATENATE("#Metadata!", ADDRESS(INDEX($AI$2:$AI$1001,MATCH(ROWS($AG$2:AG16),$AG$2:$AG$1001,0),0), INDEX($AN$1004:$BO$1004,1,MATCH(COLUMNS($AN$1006:BN1006),$AN$1006:$BO$1006,0)))),"Fix")))</f>
        <v>0</v>
      </c>
      <c r="AC16" s="4">
        <f>IF(OR(INDEX($AH$2:$AH$1001,MATCH(ROWS($AG$2:AG16),$AG$2:$AG$1001,0),1)&gt;=100000,INDEX($AN$1005:$BO$1005,1,MATCH(COLUMNS($AN$1006:BO1006),$AN$1006:$BO$1006,0))&gt;=100000), " ",IF(INDEX($AN$2:$BO$1001,MATCH(ROWS($AG$2:AG16),$AG$2:$AG$1001,0),MATCH(COLUMNS($AN$1006:BO1006),$AN$1006:$BO$1006,0)), HYPERLINK("#",""), HYPERLINK(CONCATENATE("#Metadata!", ADDRESS(INDEX($AI$2:$AI$1001,MATCH(ROWS($AG$2:AG16),$AG$2:$AG$1001,0),0), INDEX($AN$1004:$BO$1004,1,MATCH(COLUMNS($AN$1006:BO1006),$AN$1006:$BO$1006,0)))),"Fix")))</f>
        <v>0</v>
      </c>
      <c r="AG16">
        <v>0</v>
      </c>
      <c r="AH16">
        <v>0</v>
      </c>
      <c r="AI16">
        <v>0</v>
      </c>
      <c r="AJ16">
        <f>IF(AK16,TRUE,AND(AN16:BO16))</f>
        <v>0</v>
      </c>
      <c r="AK16">
        <f>COUNTBLANK(Metadata!B16:AC16)=COLUMNS(Metadata!B16:AC16)</f>
        <v>0</v>
      </c>
      <c r="AL16">
        <v>0</v>
      </c>
      <c r="AN16">
        <f>AND(IF(Metadata!B16="",FALSE,TRUE),COUNTIF(Metadata!B:B, Metadata!B16) = 1,NOT(ISERROR(SUMPRODUCT(SEARCH(MID(Metadata!B16,ROW(INDIRECT("1:"&amp;LEN(Metadata!B16))), 1),"0123456789abcdefghijklmnopqrstuvwxyzABCDEFGHIJKLMNOPQRSTUVWXYZ.")))))</f>
        <v>0</v>
      </c>
      <c r="AO16">
        <f>IF(Metadata!C16="",FALSE,TRUE)</f>
        <v>0</v>
      </c>
      <c r="AP16">
        <f>IF(Metadata!D16="",FALSE,TRUE)</f>
        <v>0</v>
      </c>
      <c r="AQ16">
        <f>OR(AND(IF(Metadata!E16="",FALSE,TRUE),OR(exact(Metadata!E16,"not collected"),exact(Metadata!E16,"not provided"),exact(Metadata!E16,"restricted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R16">
        <f>IF(Metadata!F16="",FALSE,TRUE)</f>
        <v>0</v>
      </c>
      <c r="AS16">
        <f>OR(AND(IF(Metadata!G16="",FALSE,TRUE),OR(exact(Metadata!G16,"not collected"),exact(Metadata!G16,"not provided"))),AND(IF(Metadata!G16="",FALSE,TRUE),OR(exact(Metadata!G16,"TRUE"),exact(Metadata!G16,"FALSE"))))</f>
        <v>0</v>
      </c>
      <c r="AT16">
        <f>OR(AND(IF(Metadata!H16="",FALSE,TRUE),OR(exact(Metadata!H16,"not collected"),exact(Metadata!H16,"not provided"),exact(Metadata!H16,"restricted access"))),AND(IF(Metadata!H16="",FALSE,ISNUMBER(VALUE(Metadata!H16))),Metadata!H16&gt;=-413.0))</f>
        <v>0</v>
      </c>
      <c r="AU16">
        <f>AND(IF(Metadata!I16="",FALSE,TRUE),exact(Metadata!I16,"meters"))</f>
        <v>0</v>
      </c>
      <c r="AV16">
        <f>AND(IF(Metadata!J16="",FALSE,TRUE),OR(exact(Metadata!J16,"Host-associated"),exact(Metadata!J16,"Free-living")))</f>
        <v>0</v>
      </c>
      <c r="AW16">
        <f>AND(IF(Metadata!K16="",FALSE,TRUE),OR(exact(Metadata!K16,"Animal"),exact(Metadata!K16,"Fungus"),exact(Metadata!K16,"Plant"),exact(Metadata!K16,"Saline"),exact(Metadata!K16,"Non-saline")))</f>
        <v>0</v>
      </c>
      <c r="AX16">
        <f>AND(IF(Metadata!L16="",FALSE,TRUE),OR(exact(Metadata!L16,"Plant secretion"),exact(Metadata!L16,"Plant rhizosphere"),exact(Metadata!L16,"Plant surface"),exact(Metadata!L16,"Plant corpus"),exact(Metadata!L16,"Fungus surface"),exact(Metadata!L16,"Fungus corpus"),exact(Metadata!L16,"Animal surface"),exact(Metadata!L16,"Animal proximal gut"),exact(Metadata!L16,"Animal corpus"),exact(Metadata!L16,"Animal distal gut"),exact(Metadata!L16,"Animal secretion"),exact(Metadata!L16,"Sub-surface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0</v>
      </c>
      <c r="AY16">
        <f>IF(Metadata!M16="",FALSE,TRUE)</f>
        <v>0</v>
      </c>
      <c r="AZ16">
        <f>IF(Metadata!N16="",FALSE,TRUE)</f>
        <v>0</v>
      </c>
      <c r="BA16">
        <f>IF(Metadata!O16="",FALSE,TRUE)</f>
        <v>0</v>
      </c>
      <c r="BB16">
        <f>OR(AND(IF(Metadata!P16="",FALSE,TRUE),OR(exact(Metadata!P16,"not collected"),exact(Metadata!P16,"not provided"),exact(Metadata!P16,"restricted access"))),AND(IF(Metadata!P16="",FALSE,TRUE),OR(exact(Metadata!P16,"air"),exact(Metadata!P16,"built environment"),exact(Metadata!P16,"host-associated"),exact(Metadata!P16,"human-associated"),exact(Metadata!P16,"human-skin"),exact(Metadata!P16,"human-oral"),exact(Metadata!P16,"human-gut"),exact(Metadata!P16,"human-vaginal"),exact(Metadata!P16,"microbial mat/biofilm"),exact(Metadata!P16,"misc environment"),exact(Metadata!P16,"plant-associated"),exact(Metadata!P16,"sediment"),exact(Metadata!P16,"soil"),exact(Metadata!P16,"wastewater/sludge"),exact(Metadata!P16,"water"))))</f>
        <v>0</v>
      </c>
      <c r="BC16">
        <f>IF(Metadata!Q16="",FALSE,TRUE)</f>
        <v>0</v>
      </c>
      <c r="BD16">
        <f>IF(Metadata!R16="",FALSE,TRUE)</f>
        <v>0</v>
      </c>
      <c r="BE16">
        <f>OR(AND(IF(Metadata!S16="",FALSE,TRUE),OR(exact(Metadata!S16,"not collected"),exact(Metadata!S16,"not provided"),exact(Metadata!S16,"restricted access"))),AND(IF(Metadata!S16="",FALSE,ISNUMBER(VALUE(Metadata!S16))),Metadata!S16&gt;=-90.00,Metadata!S16&lt;=90.00))</f>
        <v>0</v>
      </c>
      <c r="BF16">
        <f>AND(IF(Metadata!T16="",FALSE,TRUE),exact(Metadata!T16,"Decimal degrees"))</f>
        <v>0</v>
      </c>
      <c r="BG16">
        <f>OR(AND(IF(Metadata!U16="",FALSE,TRUE),OR(exact(Metadata!U16,"not collected"),exact(Metadata!U16,"not provided"),exact(Metadata!U16,"restricted access"))),AND(IF(Metadata!U16="",FALSE,ISNUMBER(VALUE(Metadata!U16))),Metadata!U16&gt;=-180.00,Metadata!U16&lt;=180.00))</f>
        <v>0</v>
      </c>
      <c r="BH16">
        <f>AND(IF(Metadata!V16="",FALSE,TRUE),exact(Metadata!V16,"Decimal degrees"))</f>
        <v>0</v>
      </c>
      <c r="BI16">
        <f>IF(Metadata!W16="",FALSE,TRUE)</f>
        <v>0</v>
      </c>
      <c r="BJ16">
        <f>OR(AND(IF(Metadata!X16="",FALSE,TRUE),OR(exact(Metadata!X16,"not collected"),exact(Metadata!X16,"not provided"),exact(Metadata!X16,"restricted access"))),AND(IF(Metadata!X16="",FALSE,TRUE),OR(exact(Metadata!X16,"TRUE"),exact(Metadata!X16,"FALSE"))))</f>
        <v>0</v>
      </c>
      <c r="BK16">
        <f>AND(IF(Metadata!Y16="",FALSE,TRUE),exact(Metadata!Y16,"other"))</f>
        <v>0</v>
      </c>
      <c r="BL16">
        <f>IF(Metadata!Z16="",FALSE,TRUE)</f>
        <v>0</v>
      </c>
      <c r="BM16">
        <f>OR(AND(IF(Metadata!AA16="",FALSE,TRUE),OR(exact(Metadata!AA16,"not collected"),exact(Metadata!AA16,"not provided"))),AND(IF(Metadata!AA16="",FALSE,IF(ISERROR(INT(Metadata!AA16)),FALSE,INT(Metadata!AA16)=Metadata!AA16)),Metadata!AA16&gt;0))</f>
        <v>0</v>
      </c>
      <c r="BN16">
        <f>AND(IF(Metadata!AB16="",FALSE,TRUE),exact(Metadata!AB16,"Not applicable"))</f>
        <v>0</v>
      </c>
      <c r="BO16">
        <f>IF(Metadata!AC16="",FALSE,TRUE)</f>
        <v>0</v>
      </c>
    </row>
    <row r="17" spans="1:67">
      <c r="A17" s="5">
        <f>IF(B17=" "," ",HYPERLINK(CONCATENATE("#metadata!",ADDRESS(INDEX($AI$2:$AI$1001,MATCH(ROWS($AG$2:AG17),$AG$2:$AG$1001,0),0),1)),INDEX($AL$2:$AL$1001,MATCH(ROWS($AG$2:AG17),$AG$2:$AG$1001,0),0)))</f>
        <v>0</v>
      </c>
      <c r="B17" s="4">
        <f>IF(OR(INDEX($AH$2:$AH$1001,MATCH(ROWS($AG$2:AG17),$AG$2:$AG$1001,0),1)&gt;=100000,INDEX($AN$1005:$BO$1005,1,MATCH(COLUMNS($AN$1006:AN1006),$AN$1006:$BO$1006,0))&gt;=100000), " ",IF(INDEX($AN$2:$BO$1001,MATCH(ROWS($AG$2:AG17),$AG$2:$AG$1001,0),MATCH(COLUMNS($AN$1006:AN1006),$AN$1006:$BO$1006,0)), HYPERLINK("#",""), HYPERLINK(CONCATENATE("#Metadata!", ADDRESS(INDEX($AI$2:$AI$1001,MATCH(ROWS($AG$2:AG17),$AG$2:$AG$1001,0),0), INDEX($AN$1004:$BO$1004,1,MATCH(COLUMNS($AN$1006:AN1006),$AN$1006:$BO$1006,0)))),"Fix")))</f>
        <v>0</v>
      </c>
      <c r="C17" s="4">
        <f>IF(OR(INDEX($AH$2:$AH$1001,MATCH(ROWS($AG$2:AG17),$AG$2:$AG$1001,0),1)&gt;=100000,INDEX($AN$1005:$BO$1005,1,MATCH(COLUMNS($AN$1006:AO1006),$AN$1006:$BO$1006,0))&gt;=100000), " ",IF(INDEX($AN$2:$BO$1001,MATCH(ROWS($AG$2:AG17),$AG$2:$AG$1001,0),MATCH(COLUMNS($AN$1006:AO1006),$AN$1006:$BO$1006,0)), HYPERLINK("#",""), HYPERLINK(CONCATENATE("#Metadata!", ADDRESS(INDEX($AI$2:$AI$1001,MATCH(ROWS($AG$2:AG17),$AG$2:$AG$1001,0),0), INDEX($AN$1004:$BO$1004,1,MATCH(COLUMNS($AN$1006:AO1006),$AN$1006:$BO$1006,0)))),"Fix")))</f>
        <v>0</v>
      </c>
      <c r="D17" s="4">
        <f>IF(OR(INDEX($AH$2:$AH$1001,MATCH(ROWS($AG$2:AG17),$AG$2:$AG$1001,0),1)&gt;=100000,INDEX($AN$1005:$BO$1005,1,MATCH(COLUMNS($AN$1006:AP1006),$AN$1006:$BO$1006,0))&gt;=100000), " ",IF(INDEX($AN$2:$BO$1001,MATCH(ROWS($AG$2:AG17),$AG$2:$AG$1001,0),MATCH(COLUMNS($AN$1006:AP1006),$AN$1006:$BO$1006,0)), HYPERLINK("#",""), HYPERLINK(CONCATENATE("#Metadata!", ADDRESS(INDEX($AI$2:$AI$1001,MATCH(ROWS($AG$2:AG17),$AG$2:$AG$1001,0),0), INDEX($AN$1004:$BO$1004,1,MATCH(COLUMNS($AN$1006:AP1006),$AN$1006:$BO$1006,0)))),"Fix")))</f>
        <v>0</v>
      </c>
      <c r="E17" s="4">
        <f>IF(OR(INDEX($AH$2:$AH$1001,MATCH(ROWS($AG$2:AG17),$AG$2:$AG$1001,0),1)&gt;=100000,INDEX($AN$1005:$BO$1005,1,MATCH(COLUMNS($AN$1006:AQ1006),$AN$1006:$BO$1006,0))&gt;=100000), " ",IF(INDEX($AN$2:$BO$1001,MATCH(ROWS($AG$2:AG17),$AG$2:$AG$1001,0),MATCH(COLUMNS($AN$1006:AQ1006),$AN$1006:$BO$1006,0)), HYPERLINK("#",""), HYPERLINK(CONCATENATE("#Metadata!", ADDRESS(INDEX($AI$2:$AI$1001,MATCH(ROWS($AG$2:AG17),$AG$2:$AG$1001,0),0), INDEX($AN$1004:$BO$1004,1,MATCH(COLUMNS($AN$1006:AQ1006),$AN$1006:$BO$1006,0)))),"Fix")))</f>
        <v>0</v>
      </c>
      <c r="F17" s="4">
        <f>IF(OR(INDEX($AH$2:$AH$1001,MATCH(ROWS($AG$2:AG17),$AG$2:$AG$1001,0),1)&gt;=100000,INDEX($AN$1005:$BO$1005,1,MATCH(COLUMNS($AN$1006:AR1006),$AN$1006:$BO$1006,0))&gt;=100000), " ",IF(INDEX($AN$2:$BO$1001,MATCH(ROWS($AG$2:AG17),$AG$2:$AG$1001,0),MATCH(COLUMNS($AN$1006:AR1006),$AN$1006:$BO$1006,0)), HYPERLINK("#",""), HYPERLINK(CONCATENATE("#Metadata!", ADDRESS(INDEX($AI$2:$AI$1001,MATCH(ROWS($AG$2:AG17),$AG$2:$AG$1001,0),0), INDEX($AN$1004:$BO$1004,1,MATCH(COLUMNS($AN$1006:AR1006),$AN$1006:$BO$1006,0)))),"Fix")))</f>
        <v>0</v>
      </c>
      <c r="G17" s="4">
        <f>IF(OR(INDEX($AH$2:$AH$1001,MATCH(ROWS($AG$2:AG17),$AG$2:$AG$1001,0),1)&gt;=100000,INDEX($AN$1005:$BO$1005,1,MATCH(COLUMNS($AN$1006:AS1006),$AN$1006:$BO$1006,0))&gt;=100000), " ",IF(INDEX($AN$2:$BO$1001,MATCH(ROWS($AG$2:AG17),$AG$2:$AG$1001,0),MATCH(COLUMNS($AN$1006:AS1006),$AN$1006:$BO$1006,0)), HYPERLINK("#",""), HYPERLINK(CONCATENATE("#Metadata!", ADDRESS(INDEX($AI$2:$AI$1001,MATCH(ROWS($AG$2:AG17),$AG$2:$AG$1001,0),0), INDEX($AN$1004:$BO$1004,1,MATCH(COLUMNS($AN$1006:AS1006),$AN$1006:$BO$1006,0)))),"Fix")))</f>
        <v>0</v>
      </c>
      <c r="H17" s="4">
        <f>IF(OR(INDEX($AH$2:$AH$1001,MATCH(ROWS($AG$2:AG17),$AG$2:$AG$1001,0),1)&gt;=100000,INDEX($AN$1005:$BO$1005,1,MATCH(COLUMNS($AN$1006:AT1006),$AN$1006:$BO$1006,0))&gt;=100000), " ",IF(INDEX($AN$2:$BO$1001,MATCH(ROWS($AG$2:AG17),$AG$2:$AG$1001,0),MATCH(COLUMNS($AN$1006:AT1006),$AN$1006:$BO$1006,0)), HYPERLINK("#",""), HYPERLINK(CONCATENATE("#Metadata!", ADDRESS(INDEX($AI$2:$AI$1001,MATCH(ROWS($AG$2:AG17),$AG$2:$AG$1001,0),0), INDEX($AN$1004:$BO$1004,1,MATCH(COLUMNS($AN$1006:AT1006),$AN$1006:$BO$1006,0)))),"Fix")))</f>
        <v>0</v>
      </c>
      <c r="I17" s="4">
        <f>IF(OR(INDEX($AH$2:$AH$1001,MATCH(ROWS($AG$2:AG17),$AG$2:$AG$1001,0),1)&gt;=100000,INDEX($AN$1005:$BO$1005,1,MATCH(COLUMNS($AN$1006:AU1006),$AN$1006:$BO$1006,0))&gt;=100000), " ",IF(INDEX($AN$2:$BO$1001,MATCH(ROWS($AG$2:AG17),$AG$2:$AG$1001,0),MATCH(COLUMNS($AN$1006:AU1006),$AN$1006:$BO$1006,0)), HYPERLINK("#",""), HYPERLINK(CONCATENATE("#Metadata!", ADDRESS(INDEX($AI$2:$AI$1001,MATCH(ROWS($AG$2:AG17),$AG$2:$AG$1001,0),0), INDEX($AN$1004:$BO$1004,1,MATCH(COLUMNS($AN$1006:AU1006),$AN$1006:$BO$1006,0)))),"Fix")))</f>
        <v>0</v>
      </c>
      <c r="J17" s="4">
        <f>IF(OR(INDEX($AH$2:$AH$1001,MATCH(ROWS($AG$2:AG17),$AG$2:$AG$1001,0),1)&gt;=100000,INDEX($AN$1005:$BO$1005,1,MATCH(COLUMNS($AN$1006:AV1006),$AN$1006:$BO$1006,0))&gt;=100000), " ",IF(INDEX($AN$2:$BO$1001,MATCH(ROWS($AG$2:AG17),$AG$2:$AG$1001,0),MATCH(COLUMNS($AN$1006:AV1006),$AN$1006:$BO$1006,0)), HYPERLINK("#",""), HYPERLINK(CONCATENATE("#Metadata!", ADDRESS(INDEX($AI$2:$AI$1001,MATCH(ROWS($AG$2:AG17),$AG$2:$AG$1001,0),0), INDEX($AN$1004:$BO$1004,1,MATCH(COLUMNS($AN$1006:AV1006),$AN$1006:$BO$1006,0)))),"Fix")))</f>
        <v>0</v>
      </c>
      <c r="K17" s="4">
        <f>IF(OR(INDEX($AH$2:$AH$1001,MATCH(ROWS($AG$2:AG17),$AG$2:$AG$1001,0),1)&gt;=100000,INDEX($AN$1005:$BO$1005,1,MATCH(COLUMNS($AN$1006:AW1006),$AN$1006:$BO$1006,0))&gt;=100000), " ",IF(INDEX($AN$2:$BO$1001,MATCH(ROWS($AG$2:AG17),$AG$2:$AG$1001,0),MATCH(COLUMNS($AN$1006:AW1006),$AN$1006:$BO$1006,0)), HYPERLINK("#",""), HYPERLINK(CONCATENATE("#Metadata!", ADDRESS(INDEX($AI$2:$AI$1001,MATCH(ROWS($AG$2:AG17),$AG$2:$AG$1001,0),0), INDEX($AN$1004:$BO$1004,1,MATCH(COLUMNS($AN$1006:AW1006),$AN$1006:$BO$1006,0)))),"Fix")))</f>
        <v>0</v>
      </c>
      <c r="L17" s="4">
        <f>IF(OR(INDEX($AH$2:$AH$1001,MATCH(ROWS($AG$2:AG17),$AG$2:$AG$1001,0),1)&gt;=100000,INDEX($AN$1005:$BO$1005,1,MATCH(COLUMNS($AN$1006:AX1006),$AN$1006:$BO$1006,0))&gt;=100000), " ",IF(INDEX($AN$2:$BO$1001,MATCH(ROWS($AG$2:AG17),$AG$2:$AG$1001,0),MATCH(COLUMNS($AN$1006:AX1006),$AN$1006:$BO$1006,0)), HYPERLINK("#",""), HYPERLINK(CONCATENATE("#Metadata!", ADDRESS(INDEX($AI$2:$AI$1001,MATCH(ROWS($AG$2:AG17),$AG$2:$AG$1001,0),0), INDEX($AN$1004:$BO$1004,1,MATCH(COLUMNS($AN$1006:AX1006),$AN$1006:$BO$1006,0)))),"Fix")))</f>
        <v>0</v>
      </c>
      <c r="M17" s="4">
        <f>IF(OR(INDEX($AH$2:$AH$1001,MATCH(ROWS($AG$2:AG17),$AG$2:$AG$1001,0),1)&gt;=100000,INDEX($AN$1005:$BO$1005,1,MATCH(COLUMNS($AN$1006:AY1006),$AN$1006:$BO$1006,0))&gt;=100000), " ",IF(INDEX($AN$2:$BO$1001,MATCH(ROWS($AG$2:AG17),$AG$2:$AG$1001,0),MATCH(COLUMNS($AN$1006:AY1006),$AN$1006:$BO$1006,0)), HYPERLINK("#",""), HYPERLINK(CONCATENATE("#Metadata!", ADDRESS(INDEX($AI$2:$AI$1001,MATCH(ROWS($AG$2:AG17),$AG$2:$AG$1001,0),0), INDEX($AN$1004:$BO$1004,1,MATCH(COLUMNS($AN$1006:AY1006),$AN$1006:$BO$1006,0)))),"Fix")))</f>
        <v>0</v>
      </c>
      <c r="N17" s="4">
        <f>IF(OR(INDEX($AH$2:$AH$1001,MATCH(ROWS($AG$2:AG17),$AG$2:$AG$1001,0),1)&gt;=100000,INDEX($AN$1005:$BO$1005,1,MATCH(COLUMNS($AN$1006:AZ1006),$AN$1006:$BO$1006,0))&gt;=100000), " ",IF(INDEX($AN$2:$BO$1001,MATCH(ROWS($AG$2:AG17),$AG$2:$AG$1001,0),MATCH(COLUMNS($AN$1006:AZ1006),$AN$1006:$BO$1006,0)), HYPERLINK("#",""), HYPERLINK(CONCATENATE("#Metadata!", ADDRESS(INDEX($AI$2:$AI$1001,MATCH(ROWS($AG$2:AG17),$AG$2:$AG$1001,0),0), INDEX($AN$1004:$BO$1004,1,MATCH(COLUMNS($AN$1006:AZ1006),$AN$1006:$BO$1006,0)))),"Fix")))</f>
        <v>0</v>
      </c>
      <c r="O17" s="4">
        <f>IF(OR(INDEX($AH$2:$AH$1001,MATCH(ROWS($AG$2:AG17),$AG$2:$AG$1001,0),1)&gt;=100000,INDEX($AN$1005:$BO$1005,1,MATCH(COLUMNS($AN$1006:BA1006),$AN$1006:$BO$1006,0))&gt;=100000), " ",IF(INDEX($AN$2:$BO$1001,MATCH(ROWS($AG$2:AG17),$AG$2:$AG$1001,0),MATCH(COLUMNS($AN$1006:BA1006),$AN$1006:$BO$1006,0)), HYPERLINK("#",""), HYPERLINK(CONCATENATE("#Metadata!", ADDRESS(INDEX($AI$2:$AI$1001,MATCH(ROWS($AG$2:AG17),$AG$2:$AG$1001,0),0), INDEX($AN$1004:$BO$1004,1,MATCH(COLUMNS($AN$1006:BA1006),$AN$1006:$BO$1006,0)))),"Fix")))</f>
        <v>0</v>
      </c>
      <c r="P17" s="4">
        <f>IF(OR(INDEX($AH$2:$AH$1001,MATCH(ROWS($AG$2:AG17),$AG$2:$AG$1001,0),1)&gt;=100000,INDEX($AN$1005:$BO$1005,1,MATCH(COLUMNS($AN$1006:BB1006),$AN$1006:$BO$1006,0))&gt;=100000), " ",IF(INDEX($AN$2:$BO$1001,MATCH(ROWS($AG$2:AG17),$AG$2:$AG$1001,0),MATCH(COLUMNS($AN$1006:BB1006),$AN$1006:$BO$1006,0)), HYPERLINK("#",""), HYPERLINK(CONCATENATE("#Metadata!", ADDRESS(INDEX($AI$2:$AI$1001,MATCH(ROWS($AG$2:AG17),$AG$2:$AG$1001,0),0), INDEX($AN$1004:$BO$1004,1,MATCH(COLUMNS($AN$1006:BB1006),$AN$1006:$BO$1006,0)))),"Fix")))</f>
        <v>0</v>
      </c>
      <c r="Q17" s="4">
        <f>IF(OR(INDEX($AH$2:$AH$1001,MATCH(ROWS($AG$2:AG17),$AG$2:$AG$1001,0),1)&gt;=100000,INDEX($AN$1005:$BO$1005,1,MATCH(COLUMNS($AN$1006:BC1006),$AN$1006:$BO$1006,0))&gt;=100000), " ",IF(INDEX($AN$2:$BO$1001,MATCH(ROWS($AG$2:AG17),$AG$2:$AG$1001,0),MATCH(COLUMNS($AN$1006:BC1006),$AN$1006:$BO$1006,0)), HYPERLINK("#",""), HYPERLINK(CONCATENATE("#Metadata!", ADDRESS(INDEX($AI$2:$AI$1001,MATCH(ROWS($AG$2:AG17),$AG$2:$AG$1001,0),0), INDEX($AN$1004:$BO$1004,1,MATCH(COLUMNS($AN$1006:BC1006),$AN$1006:$BO$1006,0)))),"Fix")))</f>
        <v>0</v>
      </c>
      <c r="R17" s="4">
        <f>IF(OR(INDEX($AH$2:$AH$1001,MATCH(ROWS($AG$2:AG17),$AG$2:$AG$1001,0),1)&gt;=100000,INDEX($AN$1005:$BO$1005,1,MATCH(COLUMNS($AN$1006:BD1006),$AN$1006:$BO$1006,0))&gt;=100000), " ",IF(INDEX($AN$2:$BO$1001,MATCH(ROWS($AG$2:AG17),$AG$2:$AG$1001,0),MATCH(COLUMNS($AN$1006:BD1006),$AN$1006:$BO$1006,0)), HYPERLINK("#",""), HYPERLINK(CONCATENATE("#Metadata!", ADDRESS(INDEX($AI$2:$AI$1001,MATCH(ROWS($AG$2:AG17),$AG$2:$AG$1001,0),0), INDEX($AN$1004:$BO$1004,1,MATCH(COLUMNS($AN$1006:BD1006),$AN$1006:$BO$1006,0)))),"Fix")))</f>
        <v>0</v>
      </c>
      <c r="S17" s="4">
        <f>IF(OR(INDEX($AH$2:$AH$1001,MATCH(ROWS($AG$2:AG17),$AG$2:$AG$1001,0),1)&gt;=100000,INDEX($AN$1005:$BO$1005,1,MATCH(COLUMNS($AN$1006:BE1006),$AN$1006:$BO$1006,0))&gt;=100000), " ",IF(INDEX($AN$2:$BO$1001,MATCH(ROWS($AG$2:AG17),$AG$2:$AG$1001,0),MATCH(COLUMNS($AN$1006:BE1006),$AN$1006:$BO$1006,0)), HYPERLINK("#",""), HYPERLINK(CONCATENATE("#Metadata!", ADDRESS(INDEX($AI$2:$AI$1001,MATCH(ROWS($AG$2:AG17),$AG$2:$AG$1001,0),0), INDEX($AN$1004:$BO$1004,1,MATCH(COLUMNS($AN$1006:BE1006),$AN$1006:$BO$1006,0)))),"Fix")))</f>
        <v>0</v>
      </c>
      <c r="T17" s="4">
        <f>IF(OR(INDEX($AH$2:$AH$1001,MATCH(ROWS($AG$2:AG17),$AG$2:$AG$1001,0),1)&gt;=100000,INDEX($AN$1005:$BO$1005,1,MATCH(COLUMNS($AN$1006:BF1006),$AN$1006:$BO$1006,0))&gt;=100000), " ",IF(INDEX($AN$2:$BO$1001,MATCH(ROWS($AG$2:AG17),$AG$2:$AG$1001,0),MATCH(COLUMNS($AN$1006:BF1006),$AN$1006:$BO$1006,0)), HYPERLINK("#",""), HYPERLINK(CONCATENATE("#Metadata!", ADDRESS(INDEX($AI$2:$AI$1001,MATCH(ROWS($AG$2:AG17),$AG$2:$AG$1001,0),0), INDEX($AN$1004:$BO$1004,1,MATCH(COLUMNS($AN$1006:BF1006),$AN$1006:$BO$1006,0)))),"Fix")))</f>
        <v>0</v>
      </c>
      <c r="U17" s="4">
        <f>IF(OR(INDEX($AH$2:$AH$1001,MATCH(ROWS($AG$2:AG17),$AG$2:$AG$1001,0),1)&gt;=100000,INDEX($AN$1005:$BO$1005,1,MATCH(COLUMNS($AN$1006:BG1006),$AN$1006:$BO$1006,0))&gt;=100000), " ",IF(INDEX($AN$2:$BO$1001,MATCH(ROWS($AG$2:AG17),$AG$2:$AG$1001,0),MATCH(COLUMNS($AN$1006:BG1006),$AN$1006:$BO$1006,0)), HYPERLINK("#",""), HYPERLINK(CONCATENATE("#Metadata!", ADDRESS(INDEX($AI$2:$AI$1001,MATCH(ROWS($AG$2:AG17),$AG$2:$AG$1001,0),0), INDEX($AN$1004:$BO$1004,1,MATCH(COLUMNS($AN$1006:BG1006),$AN$1006:$BO$1006,0)))),"Fix")))</f>
        <v>0</v>
      </c>
      <c r="V17" s="4">
        <f>IF(OR(INDEX($AH$2:$AH$1001,MATCH(ROWS($AG$2:AG17),$AG$2:$AG$1001,0),1)&gt;=100000,INDEX($AN$1005:$BO$1005,1,MATCH(COLUMNS($AN$1006:BH1006),$AN$1006:$BO$1006,0))&gt;=100000), " ",IF(INDEX($AN$2:$BO$1001,MATCH(ROWS($AG$2:AG17),$AG$2:$AG$1001,0),MATCH(COLUMNS($AN$1006:BH1006),$AN$1006:$BO$1006,0)), HYPERLINK("#",""), HYPERLINK(CONCATENATE("#Metadata!", ADDRESS(INDEX($AI$2:$AI$1001,MATCH(ROWS($AG$2:AG17),$AG$2:$AG$1001,0),0), INDEX($AN$1004:$BO$1004,1,MATCH(COLUMNS($AN$1006:BH1006),$AN$1006:$BO$1006,0)))),"Fix")))</f>
        <v>0</v>
      </c>
      <c r="W17" s="4">
        <f>IF(OR(INDEX($AH$2:$AH$1001,MATCH(ROWS($AG$2:AG17),$AG$2:$AG$1001,0),1)&gt;=100000,INDEX($AN$1005:$BO$1005,1,MATCH(COLUMNS($AN$1006:BI1006),$AN$1006:$BO$1006,0))&gt;=100000), " ",IF(INDEX($AN$2:$BO$1001,MATCH(ROWS($AG$2:AG17),$AG$2:$AG$1001,0),MATCH(COLUMNS($AN$1006:BI1006),$AN$1006:$BO$1006,0)), HYPERLINK("#",""), HYPERLINK(CONCATENATE("#Metadata!", ADDRESS(INDEX($AI$2:$AI$1001,MATCH(ROWS($AG$2:AG17),$AG$2:$AG$1001,0),0), INDEX($AN$1004:$BO$1004,1,MATCH(COLUMNS($AN$1006:BI1006),$AN$1006:$BO$1006,0)))),"Fix")))</f>
        <v>0</v>
      </c>
      <c r="X17" s="4">
        <f>IF(OR(INDEX($AH$2:$AH$1001,MATCH(ROWS($AG$2:AG17),$AG$2:$AG$1001,0),1)&gt;=100000,INDEX($AN$1005:$BO$1005,1,MATCH(COLUMNS($AN$1006:BJ1006),$AN$1006:$BO$1006,0))&gt;=100000), " ",IF(INDEX($AN$2:$BO$1001,MATCH(ROWS($AG$2:AG17),$AG$2:$AG$1001,0),MATCH(COLUMNS($AN$1006:BJ1006),$AN$1006:$BO$1006,0)), HYPERLINK("#",""), HYPERLINK(CONCATENATE("#Metadata!", ADDRESS(INDEX($AI$2:$AI$1001,MATCH(ROWS($AG$2:AG17),$AG$2:$AG$1001,0),0), INDEX($AN$1004:$BO$1004,1,MATCH(COLUMNS($AN$1006:BJ1006),$AN$1006:$BO$1006,0)))),"Fix")))</f>
        <v>0</v>
      </c>
      <c r="Y17" s="4">
        <f>IF(OR(INDEX($AH$2:$AH$1001,MATCH(ROWS($AG$2:AG17),$AG$2:$AG$1001,0),1)&gt;=100000,INDEX($AN$1005:$BO$1005,1,MATCH(COLUMNS($AN$1006:BK1006),$AN$1006:$BO$1006,0))&gt;=100000), " ",IF(INDEX($AN$2:$BO$1001,MATCH(ROWS($AG$2:AG17),$AG$2:$AG$1001,0),MATCH(COLUMNS($AN$1006:BK1006),$AN$1006:$BO$1006,0)), HYPERLINK("#",""), HYPERLINK(CONCATENATE("#Metadata!", ADDRESS(INDEX($AI$2:$AI$1001,MATCH(ROWS($AG$2:AG17),$AG$2:$AG$1001,0),0), INDEX($AN$1004:$BO$1004,1,MATCH(COLUMNS($AN$1006:BK1006),$AN$1006:$BO$1006,0)))),"Fix")))</f>
        <v>0</v>
      </c>
      <c r="Z17" s="4">
        <f>IF(OR(INDEX($AH$2:$AH$1001,MATCH(ROWS($AG$2:AG17),$AG$2:$AG$1001,0),1)&gt;=100000,INDEX($AN$1005:$BO$1005,1,MATCH(COLUMNS($AN$1006:BL1006),$AN$1006:$BO$1006,0))&gt;=100000), " ",IF(INDEX($AN$2:$BO$1001,MATCH(ROWS($AG$2:AG17),$AG$2:$AG$1001,0),MATCH(COLUMNS($AN$1006:BL1006),$AN$1006:$BO$1006,0)), HYPERLINK("#",""), HYPERLINK(CONCATENATE("#Metadata!", ADDRESS(INDEX($AI$2:$AI$1001,MATCH(ROWS($AG$2:AG17),$AG$2:$AG$1001,0),0), INDEX($AN$1004:$BO$1004,1,MATCH(COLUMNS($AN$1006:BL1006),$AN$1006:$BO$1006,0)))),"Fix")))</f>
        <v>0</v>
      </c>
      <c r="AA17" s="4">
        <f>IF(OR(INDEX($AH$2:$AH$1001,MATCH(ROWS($AG$2:AG17),$AG$2:$AG$1001,0),1)&gt;=100000,INDEX($AN$1005:$BO$1005,1,MATCH(COLUMNS($AN$1006:BM1006),$AN$1006:$BO$1006,0))&gt;=100000), " ",IF(INDEX($AN$2:$BO$1001,MATCH(ROWS($AG$2:AG17),$AG$2:$AG$1001,0),MATCH(COLUMNS($AN$1006:BM1006),$AN$1006:$BO$1006,0)), HYPERLINK("#",""), HYPERLINK(CONCATENATE("#Metadata!", ADDRESS(INDEX($AI$2:$AI$1001,MATCH(ROWS($AG$2:AG17),$AG$2:$AG$1001,0),0), INDEX($AN$1004:$BO$1004,1,MATCH(COLUMNS($AN$1006:BM1006),$AN$1006:$BO$1006,0)))),"Fix")))</f>
        <v>0</v>
      </c>
      <c r="AB17" s="4">
        <f>IF(OR(INDEX($AH$2:$AH$1001,MATCH(ROWS($AG$2:AG17),$AG$2:$AG$1001,0),1)&gt;=100000,INDEX($AN$1005:$BO$1005,1,MATCH(COLUMNS($AN$1006:BN1006),$AN$1006:$BO$1006,0))&gt;=100000), " ",IF(INDEX($AN$2:$BO$1001,MATCH(ROWS($AG$2:AG17),$AG$2:$AG$1001,0),MATCH(COLUMNS($AN$1006:BN1006),$AN$1006:$BO$1006,0)), HYPERLINK("#",""), HYPERLINK(CONCATENATE("#Metadata!", ADDRESS(INDEX($AI$2:$AI$1001,MATCH(ROWS($AG$2:AG17),$AG$2:$AG$1001,0),0), INDEX($AN$1004:$BO$1004,1,MATCH(COLUMNS($AN$1006:BN1006),$AN$1006:$BO$1006,0)))),"Fix")))</f>
        <v>0</v>
      </c>
      <c r="AC17" s="4">
        <f>IF(OR(INDEX($AH$2:$AH$1001,MATCH(ROWS($AG$2:AG17),$AG$2:$AG$1001,0),1)&gt;=100000,INDEX($AN$1005:$BO$1005,1,MATCH(COLUMNS($AN$1006:BO1006),$AN$1006:$BO$1006,0))&gt;=100000), " ",IF(INDEX($AN$2:$BO$1001,MATCH(ROWS($AG$2:AG17),$AG$2:$AG$1001,0),MATCH(COLUMNS($AN$1006:BO1006),$AN$1006:$BO$1006,0)), HYPERLINK("#",""), HYPERLINK(CONCATENATE("#Metadata!", ADDRESS(INDEX($AI$2:$AI$1001,MATCH(ROWS($AG$2:AG17),$AG$2:$AG$1001,0),0), INDEX($AN$1004:$BO$1004,1,MATCH(COLUMNS($AN$1006:BO1006),$AN$1006:$BO$1006,0)))),"Fix")))</f>
        <v>0</v>
      </c>
      <c r="AG17">
        <v>0</v>
      </c>
      <c r="AH17">
        <v>0</v>
      </c>
      <c r="AI17">
        <v>0</v>
      </c>
      <c r="AJ17">
        <f>IF(AK17,TRUE,AND(AN17:BO17))</f>
        <v>0</v>
      </c>
      <c r="AK17">
        <f>COUNTBLANK(Metadata!B17:AC17)=COLUMNS(Metadata!B17:AC17)</f>
        <v>0</v>
      </c>
      <c r="AL17">
        <v>0</v>
      </c>
      <c r="AN17">
        <f>AND(IF(Metadata!B17="",FALSE,TRUE),COUNTIF(Metadata!B:B, Metadata!B17) = 1,NOT(ISERROR(SUMPRODUCT(SEARCH(MID(Metadata!B17,ROW(INDIRECT("1:"&amp;LEN(Metadata!B17))), 1),"0123456789abcdefghijklmnopqrstuvwxyzABCDEFGHIJKLMNOPQRSTUVWXYZ.")))))</f>
        <v>0</v>
      </c>
      <c r="AO17">
        <f>IF(Metadata!C17="",FALSE,TRUE)</f>
        <v>0</v>
      </c>
      <c r="AP17">
        <f>IF(Metadata!D17="",FALSE,TRUE)</f>
        <v>0</v>
      </c>
      <c r="AQ17">
        <f>OR(AND(IF(Metadata!E17="",FALSE,TRUE),OR(exact(Metadata!E17,"not collected"),exact(Metadata!E17,"not provided"),exact(Metadata!E17,"restricted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R17">
        <f>IF(Metadata!F17="",FALSE,TRUE)</f>
        <v>0</v>
      </c>
      <c r="AS17">
        <f>OR(AND(IF(Metadata!G17="",FALSE,TRUE),OR(exact(Metadata!G17,"not collected"),exact(Metadata!G17,"not provided"))),AND(IF(Metadata!G17="",FALSE,TRUE),OR(exact(Metadata!G17,"TRUE"),exact(Metadata!G17,"FALSE"))))</f>
        <v>0</v>
      </c>
      <c r="AT17">
        <f>OR(AND(IF(Metadata!H17="",FALSE,TRUE),OR(exact(Metadata!H17,"not collected"),exact(Metadata!H17,"not provided"),exact(Metadata!H17,"restricted access"))),AND(IF(Metadata!H17="",FALSE,ISNUMBER(VALUE(Metadata!H17))),Metadata!H17&gt;=-413.0))</f>
        <v>0</v>
      </c>
      <c r="AU17">
        <f>AND(IF(Metadata!I17="",FALSE,TRUE),exact(Metadata!I17,"meters"))</f>
        <v>0</v>
      </c>
      <c r="AV17">
        <f>AND(IF(Metadata!J17="",FALSE,TRUE),OR(exact(Metadata!J17,"Host-associated"),exact(Metadata!J17,"Free-living")))</f>
        <v>0</v>
      </c>
      <c r="AW17">
        <f>AND(IF(Metadata!K17="",FALSE,TRUE),OR(exact(Metadata!K17,"Animal"),exact(Metadata!K17,"Fungus"),exact(Metadata!K17,"Plant"),exact(Metadata!K17,"Saline"),exact(Metadata!K17,"Non-saline")))</f>
        <v>0</v>
      </c>
      <c r="AX17">
        <f>AND(IF(Metadata!L17="",FALSE,TRUE),OR(exact(Metadata!L17,"Plant secretion"),exact(Metadata!L17,"Plant rhizosphere"),exact(Metadata!L17,"Plant surface"),exact(Metadata!L17,"Plant corpus"),exact(Metadata!L17,"Fungus surface"),exact(Metadata!L17,"Fungus corpus"),exact(Metadata!L17,"Animal surface"),exact(Metadata!L17,"Animal proximal gut"),exact(Metadata!L17,"Animal corpus"),exact(Metadata!L17,"Animal distal gut"),exact(Metadata!L17,"Animal secretion"),exact(Metadata!L17,"Sub-surface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0</v>
      </c>
      <c r="AY17">
        <f>IF(Metadata!M17="",FALSE,TRUE)</f>
        <v>0</v>
      </c>
      <c r="AZ17">
        <f>IF(Metadata!N17="",FALSE,TRUE)</f>
        <v>0</v>
      </c>
      <c r="BA17">
        <f>IF(Metadata!O17="",FALSE,TRUE)</f>
        <v>0</v>
      </c>
      <c r="BB17">
        <f>OR(AND(IF(Metadata!P17="",FALSE,TRUE),OR(exact(Metadata!P17,"not collected"),exact(Metadata!P17,"not provided"),exact(Metadata!P17,"restricted access"))),AND(IF(Metadata!P17="",FALSE,TRUE),OR(exact(Metadata!P17,"air"),exact(Metadata!P17,"built environment"),exact(Metadata!P17,"host-associated"),exact(Metadata!P17,"human-associated"),exact(Metadata!P17,"human-skin"),exact(Metadata!P17,"human-oral"),exact(Metadata!P17,"human-gut"),exact(Metadata!P17,"human-vaginal"),exact(Metadata!P17,"microbial mat/biofilm"),exact(Metadata!P17,"misc environment"),exact(Metadata!P17,"plant-associated"),exact(Metadata!P17,"sediment"),exact(Metadata!P17,"soil"),exact(Metadata!P17,"wastewater/sludge"),exact(Metadata!P17,"water"))))</f>
        <v>0</v>
      </c>
      <c r="BC17">
        <f>IF(Metadata!Q17="",FALSE,TRUE)</f>
        <v>0</v>
      </c>
      <c r="BD17">
        <f>IF(Metadata!R17="",FALSE,TRUE)</f>
        <v>0</v>
      </c>
      <c r="BE17">
        <f>OR(AND(IF(Metadata!S17="",FALSE,TRUE),OR(exact(Metadata!S17,"not collected"),exact(Metadata!S17,"not provided"),exact(Metadata!S17,"restricted access"))),AND(IF(Metadata!S17="",FALSE,ISNUMBER(VALUE(Metadata!S17))),Metadata!S17&gt;=-90.00,Metadata!S17&lt;=90.00))</f>
        <v>0</v>
      </c>
      <c r="BF17">
        <f>AND(IF(Metadata!T17="",FALSE,TRUE),exact(Metadata!T17,"Decimal degrees"))</f>
        <v>0</v>
      </c>
      <c r="BG17">
        <f>OR(AND(IF(Metadata!U17="",FALSE,TRUE),OR(exact(Metadata!U17,"not collected"),exact(Metadata!U17,"not provided"),exact(Metadata!U17,"restricted access"))),AND(IF(Metadata!U17="",FALSE,ISNUMBER(VALUE(Metadata!U17))),Metadata!U17&gt;=-180.00,Metadata!U17&lt;=180.00))</f>
        <v>0</v>
      </c>
      <c r="BH17">
        <f>AND(IF(Metadata!V17="",FALSE,TRUE),exact(Metadata!V17,"Decimal degrees"))</f>
        <v>0</v>
      </c>
      <c r="BI17">
        <f>IF(Metadata!W17="",FALSE,TRUE)</f>
        <v>0</v>
      </c>
      <c r="BJ17">
        <f>OR(AND(IF(Metadata!X17="",FALSE,TRUE),OR(exact(Metadata!X17,"not collected"),exact(Metadata!X17,"not provided"),exact(Metadata!X17,"restricted access"))),AND(IF(Metadata!X17="",FALSE,TRUE),OR(exact(Metadata!X17,"TRUE"),exact(Metadata!X17,"FALSE"))))</f>
        <v>0</v>
      </c>
      <c r="BK17">
        <f>AND(IF(Metadata!Y17="",FALSE,TRUE),exact(Metadata!Y17,"other"))</f>
        <v>0</v>
      </c>
      <c r="BL17">
        <f>IF(Metadata!Z17="",FALSE,TRUE)</f>
        <v>0</v>
      </c>
      <c r="BM17">
        <f>OR(AND(IF(Metadata!AA17="",FALSE,TRUE),OR(exact(Metadata!AA17,"not collected"),exact(Metadata!AA17,"not provided"))),AND(IF(Metadata!AA17="",FALSE,IF(ISERROR(INT(Metadata!AA17)),FALSE,INT(Metadata!AA17)=Metadata!AA17)),Metadata!AA17&gt;0))</f>
        <v>0</v>
      </c>
      <c r="BN17">
        <f>AND(IF(Metadata!AB17="",FALSE,TRUE),exact(Metadata!AB17,"Not applicable"))</f>
        <v>0</v>
      </c>
      <c r="BO17">
        <f>IF(Metadata!AC17="",FALSE,TRUE)</f>
        <v>0</v>
      </c>
    </row>
    <row r="18" spans="1:67">
      <c r="A18" s="5">
        <f>IF(B18=" "," ",HYPERLINK(CONCATENATE("#metadata!",ADDRESS(INDEX($AI$2:$AI$1001,MATCH(ROWS($AG$2:AG18),$AG$2:$AG$1001,0),0),1)),INDEX($AL$2:$AL$1001,MATCH(ROWS($AG$2:AG18),$AG$2:$AG$1001,0),0)))</f>
        <v>0</v>
      </c>
      <c r="B18" s="4">
        <f>IF(OR(INDEX($AH$2:$AH$1001,MATCH(ROWS($AG$2:AG18),$AG$2:$AG$1001,0),1)&gt;=100000,INDEX($AN$1005:$BO$1005,1,MATCH(COLUMNS($AN$1006:AN1006),$AN$1006:$BO$1006,0))&gt;=100000), " ",IF(INDEX($AN$2:$BO$1001,MATCH(ROWS($AG$2:AG18),$AG$2:$AG$1001,0),MATCH(COLUMNS($AN$1006:AN1006),$AN$1006:$BO$1006,0)), HYPERLINK("#",""), HYPERLINK(CONCATENATE("#Metadata!", ADDRESS(INDEX($AI$2:$AI$1001,MATCH(ROWS($AG$2:AG18),$AG$2:$AG$1001,0),0), INDEX($AN$1004:$BO$1004,1,MATCH(COLUMNS($AN$1006:AN1006),$AN$1006:$BO$1006,0)))),"Fix")))</f>
        <v>0</v>
      </c>
      <c r="C18" s="4">
        <f>IF(OR(INDEX($AH$2:$AH$1001,MATCH(ROWS($AG$2:AG18),$AG$2:$AG$1001,0),1)&gt;=100000,INDEX($AN$1005:$BO$1005,1,MATCH(COLUMNS($AN$1006:AO1006),$AN$1006:$BO$1006,0))&gt;=100000), " ",IF(INDEX($AN$2:$BO$1001,MATCH(ROWS($AG$2:AG18),$AG$2:$AG$1001,0),MATCH(COLUMNS($AN$1006:AO1006),$AN$1006:$BO$1006,0)), HYPERLINK("#",""), HYPERLINK(CONCATENATE("#Metadata!", ADDRESS(INDEX($AI$2:$AI$1001,MATCH(ROWS($AG$2:AG18),$AG$2:$AG$1001,0),0), INDEX($AN$1004:$BO$1004,1,MATCH(COLUMNS($AN$1006:AO1006),$AN$1006:$BO$1006,0)))),"Fix")))</f>
        <v>0</v>
      </c>
      <c r="D18" s="4">
        <f>IF(OR(INDEX($AH$2:$AH$1001,MATCH(ROWS($AG$2:AG18),$AG$2:$AG$1001,0),1)&gt;=100000,INDEX($AN$1005:$BO$1005,1,MATCH(COLUMNS($AN$1006:AP1006),$AN$1006:$BO$1006,0))&gt;=100000), " ",IF(INDEX($AN$2:$BO$1001,MATCH(ROWS($AG$2:AG18),$AG$2:$AG$1001,0),MATCH(COLUMNS($AN$1006:AP1006),$AN$1006:$BO$1006,0)), HYPERLINK("#",""), HYPERLINK(CONCATENATE("#Metadata!", ADDRESS(INDEX($AI$2:$AI$1001,MATCH(ROWS($AG$2:AG18),$AG$2:$AG$1001,0),0), INDEX($AN$1004:$BO$1004,1,MATCH(COLUMNS($AN$1006:AP1006),$AN$1006:$BO$1006,0)))),"Fix")))</f>
        <v>0</v>
      </c>
      <c r="E18" s="4">
        <f>IF(OR(INDEX($AH$2:$AH$1001,MATCH(ROWS($AG$2:AG18),$AG$2:$AG$1001,0),1)&gt;=100000,INDEX($AN$1005:$BO$1005,1,MATCH(COLUMNS($AN$1006:AQ1006),$AN$1006:$BO$1006,0))&gt;=100000), " ",IF(INDEX($AN$2:$BO$1001,MATCH(ROWS($AG$2:AG18),$AG$2:$AG$1001,0),MATCH(COLUMNS($AN$1006:AQ1006),$AN$1006:$BO$1006,0)), HYPERLINK("#",""), HYPERLINK(CONCATENATE("#Metadata!", ADDRESS(INDEX($AI$2:$AI$1001,MATCH(ROWS($AG$2:AG18),$AG$2:$AG$1001,0),0), INDEX($AN$1004:$BO$1004,1,MATCH(COLUMNS($AN$1006:AQ1006),$AN$1006:$BO$1006,0)))),"Fix")))</f>
        <v>0</v>
      </c>
      <c r="F18" s="4">
        <f>IF(OR(INDEX($AH$2:$AH$1001,MATCH(ROWS($AG$2:AG18),$AG$2:$AG$1001,0),1)&gt;=100000,INDEX($AN$1005:$BO$1005,1,MATCH(COLUMNS($AN$1006:AR1006),$AN$1006:$BO$1006,0))&gt;=100000), " ",IF(INDEX($AN$2:$BO$1001,MATCH(ROWS($AG$2:AG18),$AG$2:$AG$1001,0),MATCH(COLUMNS($AN$1006:AR1006),$AN$1006:$BO$1006,0)), HYPERLINK("#",""), HYPERLINK(CONCATENATE("#Metadata!", ADDRESS(INDEX($AI$2:$AI$1001,MATCH(ROWS($AG$2:AG18),$AG$2:$AG$1001,0),0), INDEX($AN$1004:$BO$1004,1,MATCH(COLUMNS($AN$1006:AR1006),$AN$1006:$BO$1006,0)))),"Fix")))</f>
        <v>0</v>
      </c>
      <c r="G18" s="4">
        <f>IF(OR(INDEX($AH$2:$AH$1001,MATCH(ROWS($AG$2:AG18),$AG$2:$AG$1001,0),1)&gt;=100000,INDEX($AN$1005:$BO$1005,1,MATCH(COLUMNS($AN$1006:AS1006),$AN$1006:$BO$1006,0))&gt;=100000), " ",IF(INDEX($AN$2:$BO$1001,MATCH(ROWS($AG$2:AG18),$AG$2:$AG$1001,0),MATCH(COLUMNS($AN$1006:AS1006),$AN$1006:$BO$1006,0)), HYPERLINK("#",""), HYPERLINK(CONCATENATE("#Metadata!", ADDRESS(INDEX($AI$2:$AI$1001,MATCH(ROWS($AG$2:AG18),$AG$2:$AG$1001,0),0), INDEX($AN$1004:$BO$1004,1,MATCH(COLUMNS($AN$1006:AS1006),$AN$1006:$BO$1006,0)))),"Fix")))</f>
        <v>0</v>
      </c>
      <c r="H18" s="4">
        <f>IF(OR(INDEX($AH$2:$AH$1001,MATCH(ROWS($AG$2:AG18),$AG$2:$AG$1001,0),1)&gt;=100000,INDEX($AN$1005:$BO$1005,1,MATCH(COLUMNS($AN$1006:AT1006),$AN$1006:$BO$1006,0))&gt;=100000), " ",IF(INDEX($AN$2:$BO$1001,MATCH(ROWS($AG$2:AG18),$AG$2:$AG$1001,0),MATCH(COLUMNS($AN$1006:AT1006),$AN$1006:$BO$1006,0)), HYPERLINK("#",""), HYPERLINK(CONCATENATE("#Metadata!", ADDRESS(INDEX($AI$2:$AI$1001,MATCH(ROWS($AG$2:AG18),$AG$2:$AG$1001,0),0), INDEX($AN$1004:$BO$1004,1,MATCH(COLUMNS($AN$1006:AT1006),$AN$1006:$BO$1006,0)))),"Fix")))</f>
        <v>0</v>
      </c>
      <c r="I18" s="4">
        <f>IF(OR(INDEX($AH$2:$AH$1001,MATCH(ROWS($AG$2:AG18),$AG$2:$AG$1001,0),1)&gt;=100000,INDEX($AN$1005:$BO$1005,1,MATCH(COLUMNS($AN$1006:AU1006),$AN$1006:$BO$1006,0))&gt;=100000), " ",IF(INDEX($AN$2:$BO$1001,MATCH(ROWS($AG$2:AG18),$AG$2:$AG$1001,0),MATCH(COLUMNS($AN$1006:AU1006),$AN$1006:$BO$1006,0)), HYPERLINK("#",""), HYPERLINK(CONCATENATE("#Metadata!", ADDRESS(INDEX($AI$2:$AI$1001,MATCH(ROWS($AG$2:AG18),$AG$2:$AG$1001,0),0), INDEX($AN$1004:$BO$1004,1,MATCH(COLUMNS($AN$1006:AU1006),$AN$1006:$BO$1006,0)))),"Fix")))</f>
        <v>0</v>
      </c>
      <c r="J18" s="4">
        <f>IF(OR(INDEX($AH$2:$AH$1001,MATCH(ROWS($AG$2:AG18),$AG$2:$AG$1001,0),1)&gt;=100000,INDEX($AN$1005:$BO$1005,1,MATCH(COLUMNS($AN$1006:AV1006),$AN$1006:$BO$1006,0))&gt;=100000), " ",IF(INDEX($AN$2:$BO$1001,MATCH(ROWS($AG$2:AG18),$AG$2:$AG$1001,0),MATCH(COLUMNS($AN$1006:AV1006),$AN$1006:$BO$1006,0)), HYPERLINK("#",""), HYPERLINK(CONCATENATE("#Metadata!", ADDRESS(INDEX($AI$2:$AI$1001,MATCH(ROWS($AG$2:AG18),$AG$2:$AG$1001,0),0), INDEX($AN$1004:$BO$1004,1,MATCH(COLUMNS($AN$1006:AV1006),$AN$1006:$BO$1006,0)))),"Fix")))</f>
        <v>0</v>
      </c>
      <c r="K18" s="4">
        <f>IF(OR(INDEX($AH$2:$AH$1001,MATCH(ROWS($AG$2:AG18),$AG$2:$AG$1001,0),1)&gt;=100000,INDEX($AN$1005:$BO$1005,1,MATCH(COLUMNS($AN$1006:AW1006),$AN$1006:$BO$1006,0))&gt;=100000), " ",IF(INDEX($AN$2:$BO$1001,MATCH(ROWS($AG$2:AG18),$AG$2:$AG$1001,0),MATCH(COLUMNS($AN$1006:AW1006),$AN$1006:$BO$1006,0)), HYPERLINK("#",""), HYPERLINK(CONCATENATE("#Metadata!", ADDRESS(INDEX($AI$2:$AI$1001,MATCH(ROWS($AG$2:AG18),$AG$2:$AG$1001,0),0), INDEX($AN$1004:$BO$1004,1,MATCH(COLUMNS($AN$1006:AW1006),$AN$1006:$BO$1006,0)))),"Fix")))</f>
        <v>0</v>
      </c>
      <c r="L18" s="4">
        <f>IF(OR(INDEX($AH$2:$AH$1001,MATCH(ROWS($AG$2:AG18),$AG$2:$AG$1001,0),1)&gt;=100000,INDEX($AN$1005:$BO$1005,1,MATCH(COLUMNS($AN$1006:AX1006),$AN$1006:$BO$1006,0))&gt;=100000), " ",IF(INDEX($AN$2:$BO$1001,MATCH(ROWS($AG$2:AG18),$AG$2:$AG$1001,0),MATCH(COLUMNS($AN$1006:AX1006),$AN$1006:$BO$1006,0)), HYPERLINK("#",""), HYPERLINK(CONCATENATE("#Metadata!", ADDRESS(INDEX($AI$2:$AI$1001,MATCH(ROWS($AG$2:AG18),$AG$2:$AG$1001,0),0), INDEX($AN$1004:$BO$1004,1,MATCH(COLUMNS($AN$1006:AX1006),$AN$1006:$BO$1006,0)))),"Fix")))</f>
        <v>0</v>
      </c>
      <c r="M18" s="4">
        <f>IF(OR(INDEX($AH$2:$AH$1001,MATCH(ROWS($AG$2:AG18),$AG$2:$AG$1001,0),1)&gt;=100000,INDEX($AN$1005:$BO$1005,1,MATCH(COLUMNS($AN$1006:AY1006),$AN$1006:$BO$1006,0))&gt;=100000), " ",IF(INDEX($AN$2:$BO$1001,MATCH(ROWS($AG$2:AG18),$AG$2:$AG$1001,0),MATCH(COLUMNS($AN$1006:AY1006),$AN$1006:$BO$1006,0)), HYPERLINK("#",""), HYPERLINK(CONCATENATE("#Metadata!", ADDRESS(INDEX($AI$2:$AI$1001,MATCH(ROWS($AG$2:AG18),$AG$2:$AG$1001,0),0), INDEX($AN$1004:$BO$1004,1,MATCH(COLUMNS($AN$1006:AY1006),$AN$1006:$BO$1006,0)))),"Fix")))</f>
        <v>0</v>
      </c>
      <c r="N18" s="4">
        <f>IF(OR(INDEX($AH$2:$AH$1001,MATCH(ROWS($AG$2:AG18),$AG$2:$AG$1001,0),1)&gt;=100000,INDEX($AN$1005:$BO$1005,1,MATCH(COLUMNS($AN$1006:AZ1006),$AN$1006:$BO$1006,0))&gt;=100000), " ",IF(INDEX($AN$2:$BO$1001,MATCH(ROWS($AG$2:AG18),$AG$2:$AG$1001,0),MATCH(COLUMNS($AN$1006:AZ1006),$AN$1006:$BO$1006,0)), HYPERLINK("#",""), HYPERLINK(CONCATENATE("#Metadata!", ADDRESS(INDEX($AI$2:$AI$1001,MATCH(ROWS($AG$2:AG18),$AG$2:$AG$1001,0),0), INDEX($AN$1004:$BO$1004,1,MATCH(COLUMNS($AN$1006:AZ1006),$AN$1006:$BO$1006,0)))),"Fix")))</f>
        <v>0</v>
      </c>
      <c r="O18" s="4">
        <f>IF(OR(INDEX($AH$2:$AH$1001,MATCH(ROWS($AG$2:AG18),$AG$2:$AG$1001,0),1)&gt;=100000,INDEX($AN$1005:$BO$1005,1,MATCH(COLUMNS($AN$1006:BA1006),$AN$1006:$BO$1006,0))&gt;=100000), " ",IF(INDEX($AN$2:$BO$1001,MATCH(ROWS($AG$2:AG18),$AG$2:$AG$1001,0),MATCH(COLUMNS($AN$1006:BA1006),$AN$1006:$BO$1006,0)), HYPERLINK("#",""), HYPERLINK(CONCATENATE("#Metadata!", ADDRESS(INDEX($AI$2:$AI$1001,MATCH(ROWS($AG$2:AG18),$AG$2:$AG$1001,0),0), INDEX($AN$1004:$BO$1004,1,MATCH(COLUMNS($AN$1006:BA1006),$AN$1006:$BO$1006,0)))),"Fix")))</f>
        <v>0</v>
      </c>
      <c r="P18" s="4">
        <f>IF(OR(INDEX($AH$2:$AH$1001,MATCH(ROWS($AG$2:AG18),$AG$2:$AG$1001,0),1)&gt;=100000,INDEX($AN$1005:$BO$1005,1,MATCH(COLUMNS($AN$1006:BB1006),$AN$1006:$BO$1006,0))&gt;=100000), " ",IF(INDEX($AN$2:$BO$1001,MATCH(ROWS($AG$2:AG18),$AG$2:$AG$1001,0),MATCH(COLUMNS($AN$1006:BB1006),$AN$1006:$BO$1006,0)), HYPERLINK("#",""), HYPERLINK(CONCATENATE("#Metadata!", ADDRESS(INDEX($AI$2:$AI$1001,MATCH(ROWS($AG$2:AG18),$AG$2:$AG$1001,0),0), INDEX($AN$1004:$BO$1004,1,MATCH(COLUMNS($AN$1006:BB1006),$AN$1006:$BO$1006,0)))),"Fix")))</f>
        <v>0</v>
      </c>
      <c r="Q18" s="4">
        <f>IF(OR(INDEX($AH$2:$AH$1001,MATCH(ROWS($AG$2:AG18),$AG$2:$AG$1001,0),1)&gt;=100000,INDEX($AN$1005:$BO$1005,1,MATCH(COLUMNS($AN$1006:BC1006),$AN$1006:$BO$1006,0))&gt;=100000), " ",IF(INDEX($AN$2:$BO$1001,MATCH(ROWS($AG$2:AG18),$AG$2:$AG$1001,0),MATCH(COLUMNS($AN$1006:BC1006),$AN$1006:$BO$1006,0)), HYPERLINK("#",""), HYPERLINK(CONCATENATE("#Metadata!", ADDRESS(INDEX($AI$2:$AI$1001,MATCH(ROWS($AG$2:AG18),$AG$2:$AG$1001,0),0), INDEX($AN$1004:$BO$1004,1,MATCH(COLUMNS($AN$1006:BC1006),$AN$1006:$BO$1006,0)))),"Fix")))</f>
        <v>0</v>
      </c>
      <c r="R18" s="4">
        <f>IF(OR(INDEX($AH$2:$AH$1001,MATCH(ROWS($AG$2:AG18),$AG$2:$AG$1001,0),1)&gt;=100000,INDEX($AN$1005:$BO$1005,1,MATCH(COLUMNS($AN$1006:BD1006),$AN$1006:$BO$1006,0))&gt;=100000), " ",IF(INDEX($AN$2:$BO$1001,MATCH(ROWS($AG$2:AG18),$AG$2:$AG$1001,0),MATCH(COLUMNS($AN$1006:BD1006),$AN$1006:$BO$1006,0)), HYPERLINK("#",""), HYPERLINK(CONCATENATE("#Metadata!", ADDRESS(INDEX($AI$2:$AI$1001,MATCH(ROWS($AG$2:AG18),$AG$2:$AG$1001,0),0), INDEX($AN$1004:$BO$1004,1,MATCH(COLUMNS($AN$1006:BD1006),$AN$1006:$BO$1006,0)))),"Fix")))</f>
        <v>0</v>
      </c>
      <c r="S18" s="4">
        <f>IF(OR(INDEX($AH$2:$AH$1001,MATCH(ROWS($AG$2:AG18),$AG$2:$AG$1001,0),1)&gt;=100000,INDEX($AN$1005:$BO$1005,1,MATCH(COLUMNS($AN$1006:BE1006),$AN$1006:$BO$1006,0))&gt;=100000), " ",IF(INDEX($AN$2:$BO$1001,MATCH(ROWS($AG$2:AG18),$AG$2:$AG$1001,0),MATCH(COLUMNS($AN$1006:BE1006),$AN$1006:$BO$1006,0)), HYPERLINK("#",""), HYPERLINK(CONCATENATE("#Metadata!", ADDRESS(INDEX($AI$2:$AI$1001,MATCH(ROWS($AG$2:AG18),$AG$2:$AG$1001,0),0), INDEX($AN$1004:$BO$1004,1,MATCH(COLUMNS($AN$1006:BE1006),$AN$1006:$BO$1006,0)))),"Fix")))</f>
        <v>0</v>
      </c>
      <c r="T18" s="4">
        <f>IF(OR(INDEX($AH$2:$AH$1001,MATCH(ROWS($AG$2:AG18),$AG$2:$AG$1001,0),1)&gt;=100000,INDEX($AN$1005:$BO$1005,1,MATCH(COLUMNS($AN$1006:BF1006),$AN$1006:$BO$1006,0))&gt;=100000), " ",IF(INDEX($AN$2:$BO$1001,MATCH(ROWS($AG$2:AG18),$AG$2:$AG$1001,0),MATCH(COLUMNS($AN$1006:BF1006),$AN$1006:$BO$1006,0)), HYPERLINK("#",""), HYPERLINK(CONCATENATE("#Metadata!", ADDRESS(INDEX($AI$2:$AI$1001,MATCH(ROWS($AG$2:AG18),$AG$2:$AG$1001,0),0), INDEX($AN$1004:$BO$1004,1,MATCH(COLUMNS($AN$1006:BF1006),$AN$1006:$BO$1006,0)))),"Fix")))</f>
        <v>0</v>
      </c>
      <c r="U18" s="4">
        <f>IF(OR(INDEX($AH$2:$AH$1001,MATCH(ROWS($AG$2:AG18),$AG$2:$AG$1001,0),1)&gt;=100000,INDEX($AN$1005:$BO$1005,1,MATCH(COLUMNS($AN$1006:BG1006),$AN$1006:$BO$1006,0))&gt;=100000), " ",IF(INDEX($AN$2:$BO$1001,MATCH(ROWS($AG$2:AG18),$AG$2:$AG$1001,0),MATCH(COLUMNS($AN$1006:BG1006),$AN$1006:$BO$1006,0)), HYPERLINK("#",""), HYPERLINK(CONCATENATE("#Metadata!", ADDRESS(INDEX($AI$2:$AI$1001,MATCH(ROWS($AG$2:AG18),$AG$2:$AG$1001,0),0), INDEX($AN$1004:$BO$1004,1,MATCH(COLUMNS($AN$1006:BG1006),$AN$1006:$BO$1006,0)))),"Fix")))</f>
        <v>0</v>
      </c>
      <c r="V18" s="4">
        <f>IF(OR(INDEX($AH$2:$AH$1001,MATCH(ROWS($AG$2:AG18),$AG$2:$AG$1001,0),1)&gt;=100000,INDEX($AN$1005:$BO$1005,1,MATCH(COLUMNS($AN$1006:BH1006),$AN$1006:$BO$1006,0))&gt;=100000), " ",IF(INDEX($AN$2:$BO$1001,MATCH(ROWS($AG$2:AG18),$AG$2:$AG$1001,0),MATCH(COLUMNS($AN$1006:BH1006),$AN$1006:$BO$1006,0)), HYPERLINK("#",""), HYPERLINK(CONCATENATE("#Metadata!", ADDRESS(INDEX($AI$2:$AI$1001,MATCH(ROWS($AG$2:AG18),$AG$2:$AG$1001,0),0), INDEX($AN$1004:$BO$1004,1,MATCH(COLUMNS($AN$1006:BH1006),$AN$1006:$BO$1006,0)))),"Fix")))</f>
        <v>0</v>
      </c>
      <c r="W18" s="4">
        <f>IF(OR(INDEX($AH$2:$AH$1001,MATCH(ROWS($AG$2:AG18),$AG$2:$AG$1001,0),1)&gt;=100000,INDEX($AN$1005:$BO$1005,1,MATCH(COLUMNS($AN$1006:BI1006),$AN$1006:$BO$1006,0))&gt;=100000), " ",IF(INDEX($AN$2:$BO$1001,MATCH(ROWS($AG$2:AG18),$AG$2:$AG$1001,0),MATCH(COLUMNS($AN$1006:BI1006),$AN$1006:$BO$1006,0)), HYPERLINK("#",""), HYPERLINK(CONCATENATE("#Metadata!", ADDRESS(INDEX($AI$2:$AI$1001,MATCH(ROWS($AG$2:AG18),$AG$2:$AG$1001,0),0), INDEX($AN$1004:$BO$1004,1,MATCH(COLUMNS($AN$1006:BI1006),$AN$1006:$BO$1006,0)))),"Fix")))</f>
        <v>0</v>
      </c>
      <c r="X18" s="4">
        <f>IF(OR(INDEX($AH$2:$AH$1001,MATCH(ROWS($AG$2:AG18),$AG$2:$AG$1001,0),1)&gt;=100000,INDEX($AN$1005:$BO$1005,1,MATCH(COLUMNS($AN$1006:BJ1006),$AN$1006:$BO$1006,0))&gt;=100000), " ",IF(INDEX($AN$2:$BO$1001,MATCH(ROWS($AG$2:AG18),$AG$2:$AG$1001,0),MATCH(COLUMNS($AN$1006:BJ1006),$AN$1006:$BO$1006,0)), HYPERLINK("#",""), HYPERLINK(CONCATENATE("#Metadata!", ADDRESS(INDEX($AI$2:$AI$1001,MATCH(ROWS($AG$2:AG18),$AG$2:$AG$1001,0),0), INDEX($AN$1004:$BO$1004,1,MATCH(COLUMNS($AN$1006:BJ1006),$AN$1006:$BO$1006,0)))),"Fix")))</f>
        <v>0</v>
      </c>
      <c r="Y18" s="4">
        <f>IF(OR(INDEX($AH$2:$AH$1001,MATCH(ROWS($AG$2:AG18),$AG$2:$AG$1001,0),1)&gt;=100000,INDEX($AN$1005:$BO$1005,1,MATCH(COLUMNS($AN$1006:BK1006),$AN$1006:$BO$1006,0))&gt;=100000), " ",IF(INDEX($AN$2:$BO$1001,MATCH(ROWS($AG$2:AG18),$AG$2:$AG$1001,0),MATCH(COLUMNS($AN$1006:BK1006),$AN$1006:$BO$1006,0)), HYPERLINK("#",""), HYPERLINK(CONCATENATE("#Metadata!", ADDRESS(INDEX($AI$2:$AI$1001,MATCH(ROWS($AG$2:AG18),$AG$2:$AG$1001,0),0), INDEX($AN$1004:$BO$1004,1,MATCH(COLUMNS($AN$1006:BK1006),$AN$1006:$BO$1006,0)))),"Fix")))</f>
        <v>0</v>
      </c>
      <c r="Z18" s="4">
        <f>IF(OR(INDEX($AH$2:$AH$1001,MATCH(ROWS($AG$2:AG18),$AG$2:$AG$1001,0),1)&gt;=100000,INDEX($AN$1005:$BO$1005,1,MATCH(COLUMNS($AN$1006:BL1006),$AN$1006:$BO$1006,0))&gt;=100000), " ",IF(INDEX($AN$2:$BO$1001,MATCH(ROWS($AG$2:AG18),$AG$2:$AG$1001,0),MATCH(COLUMNS($AN$1006:BL1006),$AN$1006:$BO$1006,0)), HYPERLINK("#",""), HYPERLINK(CONCATENATE("#Metadata!", ADDRESS(INDEX($AI$2:$AI$1001,MATCH(ROWS($AG$2:AG18),$AG$2:$AG$1001,0),0), INDEX($AN$1004:$BO$1004,1,MATCH(COLUMNS($AN$1006:BL1006),$AN$1006:$BO$1006,0)))),"Fix")))</f>
        <v>0</v>
      </c>
      <c r="AA18" s="4">
        <f>IF(OR(INDEX($AH$2:$AH$1001,MATCH(ROWS($AG$2:AG18),$AG$2:$AG$1001,0),1)&gt;=100000,INDEX($AN$1005:$BO$1005,1,MATCH(COLUMNS($AN$1006:BM1006),$AN$1006:$BO$1006,0))&gt;=100000), " ",IF(INDEX($AN$2:$BO$1001,MATCH(ROWS($AG$2:AG18),$AG$2:$AG$1001,0),MATCH(COLUMNS($AN$1006:BM1006),$AN$1006:$BO$1006,0)), HYPERLINK("#",""), HYPERLINK(CONCATENATE("#Metadata!", ADDRESS(INDEX($AI$2:$AI$1001,MATCH(ROWS($AG$2:AG18),$AG$2:$AG$1001,0),0), INDEX($AN$1004:$BO$1004,1,MATCH(COLUMNS($AN$1006:BM1006),$AN$1006:$BO$1006,0)))),"Fix")))</f>
        <v>0</v>
      </c>
      <c r="AB18" s="4">
        <f>IF(OR(INDEX($AH$2:$AH$1001,MATCH(ROWS($AG$2:AG18),$AG$2:$AG$1001,0),1)&gt;=100000,INDEX($AN$1005:$BO$1005,1,MATCH(COLUMNS($AN$1006:BN1006),$AN$1006:$BO$1006,0))&gt;=100000), " ",IF(INDEX($AN$2:$BO$1001,MATCH(ROWS($AG$2:AG18),$AG$2:$AG$1001,0),MATCH(COLUMNS($AN$1006:BN1006),$AN$1006:$BO$1006,0)), HYPERLINK("#",""), HYPERLINK(CONCATENATE("#Metadata!", ADDRESS(INDEX($AI$2:$AI$1001,MATCH(ROWS($AG$2:AG18),$AG$2:$AG$1001,0),0), INDEX($AN$1004:$BO$1004,1,MATCH(COLUMNS($AN$1006:BN1006),$AN$1006:$BO$1006,0)))),"Fix")))</f>
        <v>0</v>
      </c>
      <c r="AC18" s="4">
        <f>IF(OR(INDEX($AH$2:$AH$1001,MATCH(ROWS($AG$2:AG18),$AG$2:$AG$1001,0),1)&gt;=100000,INDEX($AN$1005:$BO$1005,1,MATCH(COLUMNS($AN$1006:BO1006),$AN$1006:$BO$1006,0))&gt;=100000), " ",IF(INDEX($AN$2:$BO$1001,MATCH(ROWS($AG$2:AG18),$AG$2:$AG$1001,0),MATCH(COLUMNS($AN$1006:BO1006),$AN$1006:$BO$1006,0)), HYPERLINK("#",""), HYPERLINK(CONCATENATE("#Metadata!", ADDRESS(INDEX($AI$2:$AI$1001,MATCH(ROWS($AG$2:AG18),$AG$2:$AG$1001,0),0), INDEX($AN$1004:$BO$1004,1,MATCH(COLUMNS($AN$1006:BO1006),$AN$1006:$BO$1006,0)))),"Fix")))</f>
        <v>0</v>
      </c>
      <c r="AG18">
        <v>0</v>
      </c>
      <c r="AH18">
        <v>0</v>
      </c>
      <c r="AI18">
        <v>0</v>
      </c>
      <c r="AJ18">
        <f>IF(AK18,TRUE,AND(AN18:BO18))</f>
        <v>0</v>
      </c>
      <c r="AK18">
        <f>COUNTBLANK(Metadata!B18:AC18)=COLUMNS(Metadata!B18:AC18)</f>
        <v>0</v>
      </c>
      <c r="AL18">
        <v>0</v>
      </c>
      <c r="AN18">
        <f>AND(IF(Metadata!B18="",FALSE,TRUE),COUNTIF(Metadata!B:B, Metadata!B18) = 1,NOT(ISERROR(SUMPRODUCT(SEARCH(MID(Metadata!B18,ROW(INDIRECT("1:"&amp;LEN(Metadata!B18))), 1),"0123456789abcdefghijklmnopqrstuvwxyzABCDEFGHIJKLMNOPQRSTUVWXYZ.")))))</f>
        <v>0</v>
      </c>
      <c r="AO18">
        <f>IF(Metadata!C18="",FALSE,TRUE)</f>
        <v>0</v>
      </c>
      <c r="AP18">
        <f>IF(Metadata!D18="",FALSE,TRUE)</f>
        <v>0</v>
      </c>
      <c r="AQ18">
        <f>OR(AND(IF(Metadata!E18="",FALSE,TRUE),OR(exact(Metadata!E18,"not collected"),exact(Metadata!E18,"not provided"),exact(Metadata!E18,"restricted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R18">
        <f>IF(Metadata!F18="",FALSE,TRUE)</f>
        <v>0</v>
      </c>
      <c r="AS18">
        <f>OR(AND(IF(Metadata!G18="",FALSE,TRUE),OR(exact(Metadata!G18,"not collected"),exact(Metadata!G18,"not provided"))),AND(IF(Metadata!G18="",FALSE,TRUE),OR(exact(Metadata!G18,"TRUE"),exact(Metadata!G18,"FALSE"))))</f>
        <v>0</v>
      </c>
      <c r="AT18">
        <f>OR(AND(IF(Metadata!H18="",FALSE,TRUE),OR(exact(Metadata!H18,"not collected"),exact(Metadata!H18,"not provided"),exact(Metadata!H18,"restricted access"))),AND(IF(Metadata!H18="",FALSE,ISNUMBER(VALUE(Metadata!H18))),Metadata!H18&gt;=-413.0))</f>
        <v>0</v>
      </c>
      <c r="AU18">
        <f>AND(IF(Metadata!I18="",FALSE,TRUE),exact(Metadata!I18,"meters"))</f>
        <v>0</v>
      </c>
      <c r="AV18">
        <f>AND(IF(Metadata!J18="",FALSE,TRUE),OR(exact(Metadata!J18,"Host-associated"),exact(Metadata!J18,"Free-living")))</f>
        <v>0</v>
      </c>
      <c r="AW18">
        <f>AND(IF(Metadata!K18="",FALSE,TRUE),OR(exact(Metadata!K18,"Animal"),exact(Metadata!K18,"Fungus"),exact(Metadata!K18,"Plant"),exact(Metadata!K18,"Saline"),exact(Metadata!K18,"Non-saline")))</f>
        <v>0</v>
      </c>
      <c r="AX18">
        <f>AND(IF(Metadata!L18="",FALSE,TRUE),OR(exact(Metadata!L18,"Plant secretion"),exact(Metadata!L18,"Plant rhizosphere"),exact(Metadata!L18,"Plant surface"),exact(Metadata!L18,"Plant corpus"),exact(Metadata!L18,"Fungus surface"),exact(Metadata!L18,"Fungus corpus"),exact(Metadata!L18,"Animal surface"),exact(Metadata!L18,"Animal proximal gut"),exact(Metadata!L18,"Animal corpus"),exact(Metadata!L18,"Animal distal gut"),exact(Metadata!L18,"Animal secretion"),exact(Metadata!L18,"Sub-surface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0</v>
      </c>
      <c r="AY18">
        <f>IF(Metadata!M18="",FALSE,TRUE)</f>
        <v>0</v>
      </c>
      <c r="AZ18">
        <f>IF(Metadata!N18="",FALSE,TRUE)</f>
        <v>0</v>
      </c>
      <c r="BA18">
        <f>IF(Metadata!O18="",FALSE,TRUE)</f>
        <v>0</v>
      </c>
      <c r="BB18">
        <f>OR(AND(IF(Metadata!P18="",FALSE,TRUE),OR(exact(Metadata!P18,"not collected"),exact(Metadata!P18,"not provided"),exact(Metadata!P18,"restricted access"))),AND(IF(Metadata!P18="",FALSE,TRUE),OR(exact(Metadata!P18,"air"),exact(Metadata!P18,"built environment"),exact(Metadata!P18,"host-associated"),exact(Metadata!P18,"human-associated"),exact(Metadata!P18,"human-skin"),exact(Metadata!P18,"human-oral"),exact(Metadata!P18,"human-gut"),exact(Metadata!P18,"human-vaginal"),exact(Metadata!P18,"microbial mat/biofilm"),exact(Metadata!P18,"misc environment"),exact(Metadata!P18,"plant-associated"),exact(Metadata!P18,"sediment"),exact(Metadata!P18,"soil"),exact(Metadata!P18,"wastewater/sludge"),exact(Metadata!P18,"water"))))</f>
        <v>0</v>
      </c>
      <c r="BC18">
        <f>IF(Metadata!Q18="",FALSE,TRUE)</f>
        <v>0</v>
      </c>
      <c r="BD18">
        <f>IF(Metadata!R18="",FALSE,TRUE)</f>
        <v>0</v>
      </c>
      <c r="BE18">
        <f>OR(AND(IF(Metadata!S18="",FALSE,TRUE),OR(exact(Metadata!S18,"not collected"),exact(Metadata!S18,"not provided"),exact(Metadata!S18,"restricted access"))),AND(IF(Metadata!S18="",FALSE,ISNUMBER(VALUE(Metadata!S18))),Metadata!S18&gt;=-90.00,Metadata!S18&lt;=90.00))</f>
        <v>0</v>
      </c>
      <c r="BF18">
        <f>AND(IF(Metadata!T18="",FALSE,TRUE),exact(Metadata!T18,"Decimal degrees"))</f>
        <v>0</v>
      </c>
      <c r="BG18">
        <f>OR(AND(IF(Metadata!U18="",FALSE,TRUE),OR(exact(Metadata!U18,"not collected"),exact(Metadata!U18,"not provided"),exact(Metadata!U18,"restricted access"))),AND(IF(Metadata!U18="",FALSE,ISNUMBER(VALUE(Metadata!U18))),Metadata!U18&gt;=-180.00,Metadata!U18&lt;=180.00))</f>
        <v>0</v>
      </c>
      <c r="BH18">
        <f>AND(IF(Metadata!V18="",FALSE,TRUE),exact(Metadata!V18,"Decimal degrees"))</f>
        <v>0</v>
      </c>
      <c r="BI18">
        <f>IF(Metadata!W18="",FALSE,TRUE)</f>
        <v>0</v>
      </c>
      <c r="BJ18">
        <f>OR(AND(IF(Metadata!X18="",FALSE,TRUE),OR(exact(Metadata!X18,"not collected"),exact(Metadata!X18,"not provided"),exact(Metadata!X18,"restricted access"))),AND(IF(Metadata!X18="",FALSE,TRUE),OR(exact(Metadata!X18,"TRUE"),exact(Metadata!X18,"FALSE"))))</f>
        <v>0</v>
      </c>
      <c r="BK18">
        <f>AND(IF(Metadata!Y18="",FALSE,TRUE),exact(Metadata!Y18,"other"))</f>
        <v>0</v>
      </c>
      <c r="BL18">
        <f>IF(Metadata!Z18="",FALSE,TRUE)</f>
        <v>0</v>
      </c>
      <c r="BM18">
        <f>OR(AND(IF(Metadata!AA18="",FALSE,TRUE),OR(exact(Metadata!AA18,"not collected"),exact(Metadata!AA18,"not provided"))),AND(IF(Metadata!AA18="",FALSE,IF(ISERROR(INT(Metadata!AA18)),FALSE,INT(Metadata!AA18)=Metadata!AA18)),Metadata!AA18&gt;0))</f>
        <v>0</v>
      </c>
      <c r="BN18">
        <f>AND(IF(Metadata!AB18="",FALSE,TRUE),exact(Metadata!AB18,"Not applicable"))</f>
        <v>0</v>
      </c>
      <c r="BO18">
        <f>IF(Metadata!AC18="",FALSE,TRUE)</f>
        <v>0</v>
      </c>
    </row>
    <row r="19" spans="1:67">
      <c r="A19" s="5">
        <f>IF(B19=" "," ",HYPERLINK(CONCATENATE("#metadata!",ADDRESS(INDEX($AI$2:$AI$1001,MATCH(ROWS($AG$2:AG19),$AG$2:$AG$1001,0),0),1)),INDEX($AL$2:$AL$1001,MATCH(ROWS($AG$2:AG19),$AG$2:$AG$1001,0),0)))</f>
        <v>0</v>
      </c>
      <c r="B19" s="4">
        <f>IF(OR(INDEX($AH$2:$AH$1001,MATCH(ROWS($AG$2:AG19),$AG$2:$AG$1001,0),1)&gt;=100000,INDEX($AN$1005:$BO$1005,1,MATCH(COLUMNS($AN$1006:AN1006),$AN$1006:$BO$1006,0))&gt;=100000), " ",IF(INDEX($AN$2:$BO$1001,MATCH(ROWS($AG$2:AG19),$AG$2:$AG$1001,0),MATCH(COLUMNS($AN$1006:AN1006),$AN$1006:$BO$1006,0)), HYPERLINK("#",""), HYPERLINK(CONCATENATE("#Metadata!", ADDRESS(INDEX($AI$2:$AI$1001,MATCH(ROWS($AG$2:AG19),$AG$2:$AG$1001,0),0), INDEX($AN$1004:$BO$1004,1,MATCH(COLUMNS($AN$1006:AN1006),$AN$1006:$BO$1006,0)))),"Fix")))</f>
        <v>0</v>
      </c>
      <c r="C19" s="4">
        <f>IF(OR(INDEX($AH$2:$AH$1001,MATCH(ROWS($AG$2:AG19),$AG$2:$AG$1001,0),1)&gt;=100000,INDEX($AN$1005:$BO$1005,1,MATCH(COLUMNS($AN$1006:AO1006),$AN$1006:$BO$1006,0))&gt;=100000), " ",IF(INDEX($AN$2:$BO$1001,MATCH(ROWS($AG$2:AG19),$AG$2:$AG$1001,0),MATCH(COLUMNS($AN$1006:AO1006),$AN$1006:$BO$1006,0)), HYPERLINK("#",""), HYPERLINK(CONCATENATE("#Metadata!", ADDRESS(INDEX($AI$2:$AI$1001,MATCH(ROWS($AG$2:AG19),$AG$2:$AG$1001,0),0), INDEX($AN$1004:$BO$1004,1,MATCH(COLUMNS($AN$1006:AO1006),$AN$1006:$BO$1006,0)))),"Fix")))</f>
        <v>0</v>
      </c>
      <c r="D19" s="4">
        <f>IF(OR(INDEX($AH$2:$AH$1001,MATCH(ROWS($AG$2:AG19),$AG$2:$AG$1001,0),1)&gt;=100000,INDEX($AN$1005:$BO$1005,1,MATCH(COLUMNS($AN$1006:AP1006),$AN$1006:$BO$1006,0))&gt;=100000), " ",IF(INDEX($AN$2:$BO$1001,MATCH(ROWS($AG$2:AG19),$AG$2:$AG$1001,0),MATCH(COLUMNS($AN$1006:AP1006),$AN$1006:$BO$1006,0)), HYPERLINK("#",""), HYPERLINK(CONCATENATE("#Metadata!", ADDRESS(INDEX($AI$2:$AI$1001,MATCH(ROWS($AG$2:AG19),$AG$2:$AG$1001,0),0), INDEX($AN$1004:$BO$1004,1,MATCH(COLUMNS($AN$1006:AP1006),$AN$1006:$BO$1006,0)))),"Fix")))</f>
        <v>0</v>
      </c>
      <c r="E19" s="4">
        <f>IF(OR(INDEX($AH$2:$AH$1001,MATCH(ROWS($AG$2:AG19),$AG$2:$AG$1001,0),1)&gt;=100000,INDEX($AN$1005:$BO$1005,1,MATCH(COLUMNS($AN$1006:AQ1006),$AN$1006:$BO$1006,0))&gt;=100000), " ",IF(INDEX($AN$2:$BO$1001,MATCH(ROWS($AG$2:AG19),$AG$2:$AG$1001,0),MATCH(COLUMNS($AN$1006:AQ1006),$AN$1006:$BO$1006,0)), HYPERLINK("#",""), HYPERLINK(CONCATENATE("#Metadata!", ADDRESS(INDEX($AI$2:$AI$1001,MATCH(ROWS($AG$2:AG19),$AG$2:$AG$1001,0),0), INDEX($AN$1004:$BO$1004,1,MATCH(COLUMNS($AN$1006:AQ1006),$AN$1006:$BO$1006,0)))),"Fix")))</f>
        <v>0</v>
      </c>
      <c r="F19" s="4">
        <f>IF(OR(INDEX($AH$2:$AH$1001,MATCH(ROWS($AG$2:AG19),$AG$2:$AG$1001,0),1)&gt;=100000,INDEX($AN$1005:$BO$1005,1,MATCH(COLUMNS($AN$1006:AR1006),$AN$1006:$BO$1006,0))&gt;=100000), " ",IF(INDEX($AN$2:$BO$1001,MATCH(ROWS($AG$2:AG19),$AG$2:$AG$1001,0),MATCH(COLUMNS($AN$1006:AR1006),$AN$1006:$BO$1006,0)), HYPERLINK("#",""), HYPERLINK(CONCATENATE("#Metadata!", ADDRESS(INDEX($AI$2:$AI$1001,MATCH(ROWS($AG$2:AG19),$AG$2:$AG$1001,0),0), INDEX($AN$1004:$BO$1004,1,MATCH(COLUMNS($AN$1006:AR1006),$AN$1006:$BO$1006,0)))),"Fix")))</f>
        <v>0</v>
      </c>
      <c r="G19" s="4">
        <f>IF(OR(INDEX($AH$2:$AH$1001,MATCH(ROWS($AG$2:AG19),$AG$2:$AG$1001,0),1)&gt;=100000,INDEX($AN$1005:$BO$1005,1,MATCH(COLUMNS($AN$1006:AS1006),$AN$1006:$BO$1006,0))&gt;=100000), " ",IF(INDEX($AN$2:$BO$1001,MATCH(ROWS($AG$2:AG19),$AG$2:$AG$1001,0),MATCH(COLUMNS($AN$1006:AS1006),$AN$1006:$BO$1006,0)), HYPERLINK("#",""), HYPERLINK(CONCATENATE("#Metadata!", ADDRESS(INDEX($AI$2:$AI$1001,MATCH(ROWS($AG$2:AG19),$AG$2:$AG$1001,0),0), INDEX($AN$1004:$BO$1004,1,MATCH(COLUMNS($AN$1006:AS1006),$AN$1006:$BO$1006,0)))),"Fix")))</f>
        <v>0</v>
      </c>
      <c r="H19" s="4">
        <f>IF(OR(INDEX($AH$2:$AH$1001,MATCH(ROWS($AG$2:AG19),$AG$2:$AG$1001,0),1)&gt;=100000,INDEX($AN$1005:$BO$1005,1,MATCH(COLUMNS($AN$1006:AT1006),$AN$1006:$BO$1006,0))&gt;=100000), " ",IF(INDEX($AN$2:$BO$1001,MATCH(ROWS($AG$2:AG19),$AG$2:$AG$1001,0),MATCH(COLUMNS($AN$1006:AT1006),$AN$1006:$BO$1006,0)), HYPERLINK("#",""), HYPERLINK(CONCATENATE("#Metadata!", ADDRESS(INDEX($AI$2:$AI$1001,MATCH(ROWS($AG$2:AG19),$AG$2:$AG$1001,0),0), INDEX($AN$1004:$BO$1004,1,MATCH(COLUMNS($AN$1006:AT1006),$AN$1006:$BO$1006,0)))),"Fix")))</f>
        <v>0</v>
      </c>
      <c r="I19" s="4">
        <f>IF(OR(INDEX($AH$2:$AH$1001,MATCH(ROWS($AG$2:AG19),$AG$2:$AG$1001,0),1)&gt;=100000,INDEX($AN$1005:$BO$1005,1,MATCH(COLUMNS($AN$1006:AU1006),$AN$1006:$BO$1006,0))&gt;=100000), " ",IF(INDEX($AN$2:$BO$1001,MATCH(ROWS($AG$2:AG19),$AG$2:$AG$1001,0),MATCH(COLUMNS($AN$1006:AU1006),$AN$1006:$BO$1006,0)), HYPERLINK("#",""), HYPERLINK(CONCATENATE("#Metadata!", ADDRESS(INDEX($AI$2:$AI$1001,MATCH(ROWS($AG$2:AG19),$AG$2:$AG$1001,0),0), INDEX($AN$1004:$BO$1004,1,MATCH(COLUMNS($AN$1006:AU1006),$AN$1006:$BO$1006,0)))),"Fix")))</f>
        <v>0</v>
      </c>
      <c r="J19" s="4">
        <f>IF(OR(INDEX($AH$2:$AH$1001,MATCH(ROWS($AG$2:AG19),$AG$2:$AG$1001,0),1)&gt;=100000,INDEX($AN$1005:$BO$1005,1,MATCH(COLUMNS($AN$1006:AV1006),$AN$1006:$BO$1006,0))&gt;=100000), " ",IF(INDEX($AN$2:$BO$1001,MATCH(ROWS($AG$2:AG19),$AG$2:$AG$1001,0),MATCH(COLUMNS($AN$1006:AV1006),$AN$1006:$BO$1006,0)), HYPERLINK("#",""), HYPERLINK(CONCATENATE("#Metadata!", ADDRESS(INDEX($AI$2:$AI$1001,MATCH(ROWS($AG$2:AG19),$AG$2:$AG$1001,0),0), INDEX($AN$1004:$BO$1004,1,MATCH(COLUMNS($AN$1006:AV1006),$AN$1006:$BO$1006,0)))),"Fix")))</f>
        <v>0</v>
      </c>
      <c r="K19" s="4">
        <f>IF(OR(INDEX($AH$2:$AH$1001,MATCH(ROWS($AG$2:AG19),$AG$2:$AG$1001,0),1)&gt;=100000,INDEX($AN$1005:$BO$1005,1,MATCH(COLUMNS($AN$1006:AW1006),$AN$1006:$BO$1006,0))&gt;=100000), " ",IF(INDEX($AN$2:$BO$1001,MATCH(ROWS($AG$2:AG19),$AG$2:$AG$1001,0),MATCH(COLUMNS($AN$1006:AW1006),$AN$1006:$BO$1006,0)), HYPERLINK("#",""), HYPERLINK(CONCATENATE("#Metadata!", ADDRESS(INDEX($AI$2:$AI$1001,MATCH(ROWS($AG$2:AG19),$AG$2:$AG$1001,0),0), INDEX($AN$1004:$BO$1004,1,MATCH(COLUMNS($AN$1006:AW1006),$AN$1006:$BO$1006,0)))),"Fix")))</f>
        <v>0</v>
      </c>
      <c r="L19" s="4">
        <f>IF(OR(INDEX($AH$2:$AH$1001,MATCH(ROWS($AG$2:AG19),$AG$2:$AG$1001,0),1)&gt;=100000,INDEX($AN$1005:$BO$1005,1,MATCH(COLUMNS($AN$1006:AX1006),$AN$1006:$BO$1006,0))&gt;=100000), " ",IF(INDEX($AN$2:$BO$1001,MATCH(ROWS($AG$2:AG19),$AG$2:$AG$1001,0),MATCH(COLUMNS($AN$1006:AX1006),$AN$1006:$BO$1006,0)), HYPERLINK("#",""), HYPERLINK(CONCATENATE("#Metadata!", ADDRESS(INDEX($AI$2:$AI$1001,MATCH(ROWS($AG$2:AG19),$AG$2:$AG$1001,0),0), INDEX($AN$1004:$BO$1004,1,MATCH(COLUMNS($AN$1006:AX1006),$AN$1006:$BO$1006,0)))),"Fix")))</f>
        <v>0</v>
      </c>
      <c r="M19" s="4">
        <f>IF(OR(INDEX($AH$2:$AH$1001,MATCH(ROWS($AG$2:AG19),$AG$2:$AG$1001,0),1)&gt;=100000,INDEX($AN$1005:$BO$1005,1,MATCH(COLUMNS($AN$1006:AY1006),$AN$1006:$BO$1006,0))&gt;=100000), " ",IF(INDEX($AN$2:$BO$1001,MATCH(ROWS($AG$2:AG19),$AG$2:$AG$1001,0),MATCH(COLUMNS($AN$1006:AY1006),$AN$1006:$BO$1006,0)), HYPERLINK("#",""), HYPERLINK(CONCATENATE("#Metadata!", ADDRESS(INDEX($AI$2:$AI$1001,MATCH(ROWS($AG$2:AG19),$AG$2:$AG$1001,0),0), INDEX($AN$1004:$BO$1004,1,MATCH(COLUMNS($AN$1006:AY1006),$AN$1006:$BO$1006,0)))),"Fix")))</f>
        <v>0</v>
      </c>
      <c r="N19" s="4">
        <f>IF(OR(INDEX($AH$2:$AH$1001,MATCH(ROWS($AG$2:AG19),$AG$2:$AG$1001,0),1)&gt;=100000,INDEX($AN$1005:$BO$1005,1,MATCH(COLUMNS($AN$1006:AZ1006),$AN$1006:$BO$1006,0))&gt;=100000), " ",IF(INDEX($AN$2:$BO$1001,MATCH(ROWS($AG$2:AG19),$AG$2:$AG$1001,0),MATCH(COLUMNS($AN$1006:AZ1006),$AN$1006:$BO$1006,0)), HYPERLINK("#",""), HYPERLINK(CONCATENATE("#Metadata!", ADDRESS(INDEX($AI$2:$AI$1001,MATCH(ROWS($AG$2:AG19),$AG$2:$AG$1001,0),0), INDEX($AN$1004:$BO$1004,1,MATCH(COLUMNS($AN$1006:AZ1006),$AN$1006:$BO$1006,0)))),"Fix")))</f>
        <v>0</v>
      </c>
      <c r="O19" s="4">
        <f>IF(OR(INDEX($AH$2:$AH$1001,MATCH(ROWS($AG$2:AG19),$AG$2:$AG$1001,0),1)&gt;=100000,INDEX($AN$1005:$BO$1005,1,MATCH(COLUMNS($AN$1006:BA1006),$AN$1006:$BO$1006,0))&gt;=100000), " ",IF(INDEX($AN$2:$BO$1001,MATCH(ROWS($AG$2:AG19),$AG$2:$AG$1001,0),MATCH(COLUMNS($AN$1006:BA1006),$AN$1006:$BO$1006,0)), HYPERLINK("#",""), HYPERLINK(CONCATENATE("#Metadata!", ADDRESS(INDEX($AI$2:$AI$1001,MATCH(ROWS($AG$2:AG19),$AG$2:$AG$1001,0),0), INDEX($AN$1004:$BO$1004,1,MATCH(COLUMNS($AN$1006:BA1006),$AN$1006:$BO$1006,0)))),"Fix")))</f>
        <v>0</v>
      </c>
      <c r="P19" s="4">
        <f>IF(OR(INDEX($AH$2:$AH$1001,MATCH(ROWS($AG$2:AG19),$AG$2:$AG$1001,0),1)&gt;=100000,INDEX($AN$1005:$BO$1005,1,MATCH(COLUMNS($AN$1006:BB1006),$AN$1006:$BO$1006,0))&gt;=100000), " ",IF(INDEX($AN$2:$BO$1001,MATCH(ROWS($AG$2:AG19),$AG$2:$AG$1001,0),MATCH(COLUMNS($AN$1006:BB1006),$AN$1006:$BO$1006,0)), HYPERLINK("#",""), HYPERLINK(CONCATENATE("#Metadata!", ADDRESS(INDEX($AI$2:$AI$1001,MATCH(ROWS($AG$2:AG19),$AG$2:$AG$1001,0),0), INDEX($AN$1004:$BO$1004,1,MATCH(COLUMNS($AN$1006:BB1006),$AN$1006:$BO$1006,0)))),"Fix")))</f>
        <v>0</v>
      </c>
      <c r="Q19" s="4">
        <f>IF(OR(INDEX($AH$2:$AH$1001,MATCH(ROWS($AG$2:AG19),$AG$2:$AG$1001,0),1)&gt;=100000,INDEX($AN$1005:$BO$1005,1,MATCH(COLUMNS($AN$1006:BC1006),$AN$1006:$BO$1006,0))&gt;=100000), " ",IF(INDEX($AN$2:$BO$1001,MATCH(ROWS($AG$2:AG19),$AG$2:$AG$1001,0),MATCH(COLUMNS($AN$1006:BC1006),$AN$1006:$BO$1006,0)), HYPERLINK("#",""), HYPERLINK(CONCATENATE("#Metadata!", ADDRESS(INDEX($AI$2:$AI$1001,MATCH(ROWS($AG$2:AG19),$AG$2:$AG$1001,0),0), INDEX($AN$1004:$BO$1004,1,MATCH(COLUMNS($AN$1006:BC1006),$AN$1006:$BO$1006,0)))),"Fix")))</f>
        <v>0</v>
      </c>
      <c r="R19" s="4">
        <f>IF(OR(INDEX($AH$2:$AH$1001,MATCH(ROWS($AG$2:AG19),$AG$2:$AG$1001,0),1)&gt;=100000,INDEX($AN$1005:$BO$1005,1,MATCH(COLUMNS($AN$1006:BD1006),$AN$1006:$BO$1006,0))&gt;=100000), " ",IF(INDEX($AN$2:$BO$1001,MATCH(ROWS($AG$2:AG19),$AG$2:$AG$1001,0),MATCH(COLUMNS($AN$1006:BD1006),$AN$1006:$BO$1006,0)), HYPERLINK("#",""), HYPERLINK(CONCATENATE("#Metadata!", ADDRESS(INDEX($AI$2:$AI$1001,MATCH(ROWS($AG$2:AG19),$AG$2:$AG$1001,0),0), INDEX($AN$1004:$BO$1004,1,MATCH(COLUMNS($AN$1006:BD1006),$AN$1006:$BO$1006,0)))),"Fix")))</f>
        <v>0</v>
      </c>
      <c r="S19" s="4">
        <f>IF(OR(INDEX($AH$2:$AH$1001,MATCH(ROWS($AG$2:AG19),$AG$2:$AG$1001,0),1)&gt;=100000,INDEX($AN$1005:$BO$1005,1,MATCH(COLUMNS($AN$1006:BE1006),$AN$1006:$BO$1006,0))&gt;=100000), " ",IF(INDEX($AN$2:$BO$1001,MATCH(ROWS($AG$2:AG19),$AG$2:$AG$1001,0),MATCH(COLUMNS($AN$1006:BE1006),$AN$1006:$BO$1006,0)), HYPERLINK("#",""), HYPERLINK(CONCATENATE("#Metadata!", ADDRESS(INDEX($AI$2:$AI$1001,MATCH(ROWS($AG$2:AG19),$AG$2:$AG$1001,0),0), INDEX($AN$1004:$BO$1004,1,MATCH(COLUMNS($AN$1006:BE1006),$AN$1006:$BO$1006,0)))),"Fix")))</f>
        <v>0</v>
      </c>
      <c r="T19" s="4">
        <f>IF(OR(INDEX($AH$2:$AH$1001,MATCH(ROWS($AG$2:AG19),$AG$2:$AG$1001,0),1)&gt;=100000,INDEX($AN$1005:$BO$1005,1,MATCH(COLUMNS($AN$1006:BF1006),$AN$1006:$BO$1006,0))&gt;=100000), " ",IF(INDEX($AN$2:$BO$1001,MATCH(ROWS($AG$2:AG19),$AG$2:$AG$1001,0),MATCH(COLUMNS($AN$1006:BF1006),$AN$1006:$BO$1006,0)), HYPERLINK("#",""), HYPERLINK(CONCATENATE("#Metadata!", ADDRESS(INDEX($AI$2:$AI$1001,MATCH(ROWS($AG$2:AG19),$AG$2:$AG$1001,0),0), INDEX($AN$1004:$BO$1004,1,MATCH(COLUMNS($AN$1006:BF1006),$AN$1006:$BO$1006,0)))),"Fix")))</f>
        <v>0</v>
      </c>
      <c r="U19" s="4">
        <f>IF(OR(INDEX($AH$2:$AH$1001,MATCH(ROWS($AG$2:AG19),$AG$2:$AG$1001,0),1)&gt;=100000,INDEX($AN$1005:$BO$1005,1,MATCH(COLUMNS($AN$1006:BG1006),$AN$1006:$BO$1006,0))&gt;=100000), " ",IF(INDEX($AN$2:$BO$1001,MATCH(ROWS($AG$2:AG19),$AG$2:$AG$1001,0),MATCH(COLUMNS($AN$1006:BG1006),$AN$1006:$BO$1006,0)), HYPERLINK("#",""), HYPERLINK(CONCATENATE("#Metadata!", ADDRESS(INDEX($AI$2:$AI$1001,MATCH(ROWS($AG$2:AG19),$AG$2:$AG$1001,0),0), INDEX($AN$1004:$BO$1004,1,MATCH(COLUMNS($AN$1006:BG1006),$AN$1006:$BO$1006,0)))),"Fix")))</f>
        <v>0</v>
      </c>
      <c r="V19" s="4">
        <f>IF(OR(INDEX($AH$2:$AH$1001,MATCH(ROWS($AG$2:AG19),$AG$2:$AG$1001,0),1)&gt;=100000,INDEX($AN$1005:$BO$1005,1,MATCH(COLUMNS($AN$1006:BH1006),$AN$1006:$BO$1006,0))&gt;=100000), " ",IF(INDEX($AN$2:$BO$1001,MATCH(ROWS($AG$2:AG19),$AG$2:$AG$1001,0),MATCH(COLUMNS($AN$1006:BH1006),$AN$1006:$BO$1006,0)), HYPERLINK("#",""), HYPERLINK(CONCATENATE("#Metadata!", ADDRESS(INDEX($AI$2:$AI$1001,MATCH(ROWS($AG$2:AG19),$AG$2:$AG$1001,0),0), INDEX($AN$1004:$BO$1004,1,MATCH(COLUMNS($AN$1006:BH1006),$AN$1006:$BO$1006,0)))),"Fix")))</f>
        <v>0</v>
      </c>
      <c r="W19" s="4">
        <f>IF(OR(INDEX($AH$2:$AH$1001,MATCH(ROWS($AG$2:AG19),$AG$2:$AG$1001,0),1)&gt;=100000,INDEX($AN$1005:$BO$1005,1,MATCH(COLUMNS($AN$1006:BI1006),$AN$1006:$BO$1006,0))&gt;=100000), " ",IF(INDEX($AN$2:$BO$1001,MATCH(ROWS($AG$2:AG19),$AG$2:$AG$1001,0),MATCH(COLUMNS($AN$1006:BI1006),$AN$1006:$BO$1006,0)), HYPERLINK("#",""), HYPERLINK(CONCATENATE("#Metadata!", ADDRESS(INDEX($AI$2:$AI$1001,MATCH(ROWS($AG$2:AG19),$AG$2:$AG$1001,0),0), INDEX($AN$1004:$BO$1004,1,MATCH(COLUMNS($AN$1006:BI1006),$AN$1006:$BO$1006,0)))),"Fix")))</f>
        <v>0</v>
      </c>
      <c r="X19" s="4">
        <f>IF(OR(INDEX($AH$2:$AH$1001,MATCH(ROWS($AG$2:AG19),$AG$2:$AG$1001,0),1)&gt;=100000,INDEX($AN$1005:$BO$1005,1,MATCH(COLUMNS($AN$1006:BJ1006),$AN$1006:$BO$1006,0))&gt;=100000), " ",IF(INDEX($AN$2:$BO$1001,MATCH(ROWS($AG$2:AG19),$AG$2:$AG$1001,0),MATCH(COLUMNS($AN$1006:BJ1006),$AN$1006:$BO$1006,0)), HYPERLINK("#",""), HYPERLINK(CONCATENATE("#Metadata!", ADDRESS(INDEX($AI$2:$AI$1001,MATCH(ROWS($AG$2:AG19),$AG$2:$AG$1001,0),0), INDEX($AN$1004:$BO$1004,1,MATCH(COLUMNS($AN$1006:BJ1006),$AN$1006:$BO$1006,0)))),"Fix")))</f>
        <v>0</v>
      </c>
      <c r="Y19" s="4">
        <f>IF(OR(INDEX($AH$2:$AH$1001,MATCH(ROWS($AG$2:AG19),$AG$2:$AG$1001,0),1)&gt;=100000,INDEX($AN$1005:$BO$1005,1,MATCH(COLUMNS($AN$1006:BK1006),$AN$1006:$BO$1006,0))&gt;=100000), " ",IF(INDEX($AN$2:$BO$1001,MATCH(ROWS($AG$2:AG19),$AG$2:$AG$1001,0),MATCH(COLUMNS($AN$1006:BK1006),$AN$1006:$BO$1006,0)), HYPERLINK("#",""), HYPERLINK(CONCATENATE("#Metadata!", ADDRESS(INDEX($AI$2:$AI$1001,MATCH(ROWS($AG$2:AG19),$AG$2:$AG$1001,0),0), INDEX($AN$1004:$BO$1004,1,MATCH(COLUMNS($AN$1006:BK1006),$AN$1006:$BO$1006,0)))),"Fix")))</f>
        <v>0</v>
      </c>
      <c r="Z19" s="4">
        <f>IF(OR(INDEX($AH$2:$AH$1001,MATCH(ROWS($AG$2:AG19),$AG$2:$AG$1001,0),1)&gt;=100000,INDEX($AN$1005:$BO$1005,1,MATCH(COLUMNS($AN$1006:BL1006),$AN$1006:$BO$1006,0))&gt;=100000), " ",IF(INDEX($AN$2:$BO$1001,MATCH(ROWS($AG$2:AG19),$AG$2:$AG$1001,0),MATCH(COLUMNS($AN$1006:BL1006),$AN$1006:$BO$1006,0)), HYPERLINK("#",""), HYPERLINK(CONCATENATE("#Metadata!", ADDRESS(INDEX($AI$2:$AI$1001,MATCH(ROWS($AG$2:AG19),$AG$2:$AG$1001,0),0), INDEX($AN$1004:$BO$1004,1,MATCH(COLUMNS($AN$1006:BL1006),$AN$1006:$BO$1006,0)))),"Fix")))</f>
        <v>0</v>
      </c>
      <c r="AA19" s="4">
        <f>IF(OR(INDEX($AH$2:$AH$1001,MATCH(ROWS($AG$2:AG19),$AG$2:$AG$1001,0),1)&gt;=100000,INDEX($AN$1005:$BO$1005,1,MATCH(COLUMNS($AN$1006:BM1006),$AN$1006:$BO$1006,0))&gt;=100000), " ",IF(INDEX($AN$2:$BO$1001,MATCH(ROWS($AG$2:AG19),$AG$2:$AG$1001,0),MATCH(COLUMNS($AN$1006:BM1006),$AN$1006:$BO$1006,0)), HYPERLINK("#",""), HYPERLINK(CONCATENATE("#Metadata!", ADDRESS(INDEX($AI$2:$AI$1001,MATCH(ROWS($AG$2:AG19),$AG$2:$AG$1001,0),0), INDEX($AN$1004:$BO$1004,1,MATCH(COLUMNS($AN$1006:BM1006),$AN$1006:$BO$1006,0)))),"Fix")))</f>
        <v>0</v>
      </c>
      <c r="AB19" s="4">
        <f>IF(OR(INDEX($AH$2:$AH$1001,MATCH(ROWS($AG$2:AG19),$AG$2:$AG$1001,0),1)&gt;=100000,INDEX($AN$1005:$BO$1005,1,MATCH(COLUMNS($AN$1006:BN1006),$AN$1006:$BO$1006,0))&gt;=100000), " ",IF(INDEX($AN$2:$BO$1001,MATCH(ROWS($AG$2:AG19),$AG$2:$AG$1001,0),MATCH(COLUMNS($AN$1006:BN1006),$AN$1006:$BO$1006,0)), HYPERLINK("#",""), HYPERLINK(CONCATENATE("#Metadata!", ADDRESS(INDEX($AI$2:$AI$1001,MATCH(ROWS($AG$2:AG19),$AG$2:$AG$1001,0),0), INDEX($AN$1004:$BO$1004,1,MATCH(COLUMNS($AN$1006:BN1006),$AN$1006:$BO$1006,0)))),"Fix")))</f>
        <v>0</v>
      </c>
      <c r="AC19" s="4">
        <f>IF(OR(INDEX($AH$2:$AH$1001,MATCH(ROWS($AG$2:AG19),$AG$2:$AG$1001,0),1)&gt;=100000,INDEX($AN$1005:$BO$1005,1,MATCH(COLUMNS($AN$1006:BO1006),$AN$1006:$BO$1006,0))&gt;=100000), " ",IF(INDEX($AN$2:$BO$1001,MATCH(ROWS($AG$2:AG19),$AG$2:$AG$1001,0),MATCH(COLUMNS($AN$1006:BO1006),$AN$1006:$BO$1006,0)), HYPERLINK("#",""), HYPERLINK(CONCATENATE("#Metadata!", ADDRESS(INDEX($AI$2:$AI$1001,MATCH(ROWS($AG$2:AG19),$AG$2:$AG$1001,0),0), INDEX($AN$1004:$BO$1004,1,MATCH(COLUMNS($AN$1006:BO1006),$AN$1006:$BO$1006,0)))),"Fix")))</f>
        <v>0</v>
      </c>
      <c r="AG19">
        <v>0</v>
      </c>
      <c r="AH19">
        <v>0</v>
      </c>
      <c r="AI19">
        <v>0</v>
      </c>
      <c r="AJ19">
        <f>IF(AK19,TRUE,AND(AN19:BO19))</f>
        <v>0</v>
      </c>
      <c r="AK19">
        <f>COUNTBLANK(Metadata!B19:AC19)=COLUMNS(Metadata!B19:AC19)</f>
        <v>0</v>
      </c>
      <c r="AL19">
        <v>0</v>
      </c>
      <c r="AN19">
        <f>AND(IF(Metadata!B19="",FALSE,TRUE),COUNTIF(Metadata!B:B, Metadata!B19) = 1,NOT(ISERROR(SUMPRODUCT(SEARCH(MID(Metadata!B19,ROW(INDIRECT("1:"&amp;LEN(Metadata!B19))), 1),"0123456789abcdefghijklmnopqrstuvwxyzABCDEFGHIJKLMNOPQRSTUVWXYZ.")))))</f>
        <v>0</v>
      </c>
      <c r="AO19">
        <f>IF(Metadata!C19="",FALSE,TRUE)</f>
        <v>0</v>
      </c>
      <c r="AP19">
        <f>IF(Metadata!D19="",FALSE,TRUE)</f>
        <v>0</v>
      </c>
      <c r="AQ19">
        <f>OR(AND(IF(Metadata!E19="",FALSE,TRUE),OR(exact(Metadata!E19,"not collected"),exact(Metadata!E19,"not provided"),exact(Metadata!E19,"restricted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R19">
        <f>IF(Metadata!F19="",FALSE,TRUE)</f>
        <v>0</v>
      </c>
      <c r="AS19">
        <f>OR(AND(IF(Metadata!G19="",FALSE,TRUE),OR(exact(Metadata!G19,"not collected"),exact(Metadata!G19,"not provided"))),AND(IF(Metadata!G19="",FALSE,TRUE),OR(exact(Metadata!G19,"TRUE"),exact(Metadata!G19,"FALSE"))))</f>
        <v>0</v>
      </c>
      <c r="AT19">
        <f>OR(AND(IF(Metadata!H19="",FALSE,TRUE),OR(exact(Metadata!H19,"not collected"),exact(Metadata!H19,"not provided"),exact(Metadata!H19,"restricted access"))),AND(IF(Metadata!H19="",FALSE,ISNUMBER(VALUE(Metadata!H19))),Metadata!H19&gt;=-413.0))</f>
        <v>0</v>
      </c>
      <c r="AU19">
        <f>AND(IF(Metadata!I19="",FALSE,TRUE),exact(Metadata!I19,"meters"))</f>
        <v>0</v>
      </c>
      <c r="AV19">
        <f>AND(IF(Metadata!J19="",FALSE,TRUE),OR(exact(Metadata!J19,"Host-associated"),exact(Metadata!J19,"Free-living")))</f>
        <v>0</v>
      </c>
      <c r="AW19">
        <f>AND(IF(Metadata!K19="",FALSE,TRUE),OR(exact(Metadata!K19,"Animal"),exact(Metadata!K19,"Fungus"),exact(Metadata!K19,"Plant"),exact(Metadata!K19,"Saline"),exact(Metadata!K19,"Non-saline")))</f>
        <v>0</v>
      </c>
      <c r="AX19">
        <f>AND(IF(Metadata!L19="",FALSE,TRUE),OR(exact(Metadata!L19,"Plant secretion"),exact(Metadata!L19,"Plant rhizosphere"),exact(Metadata!L19,"Plant surface"),exact(Metadata!L19,"Plant corpus"),exact(Metadata!L19,"Fungus surface"),exact(Metadata!L19,"Fungus corpus"),exact(Metadata!L19,"Animal surface"),exact(Metadata!L19,"Animal proximal gut"),exact(Metadata!L19,"Animal corpus"),exact(Metadata!L19,"Animal distal gut"),exact(Metadata!L19,"Animal secretion"),exact(Metadata!L19,"Sub-surface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0</v>
      </c>
      <c r="AY19">
        <f>IF(Metadata!M19="",FALSE,TRUE)</f>
        <v>0</v>
      </c>
      <c r="AZ19">
        <f>IF(Metadata!N19="",FALSE,TRUE)</f>
        <v>0</v>
      </c>
      <c r="BA19">
        <f>IF(Metadata!O19="",FALSE,TRUE)</f>
        <v>0</v>
      </c>
      <c r="BB19">
        <f>OR(AND(IF(Metadata!P19="",FALSE,TRUE),OR(exact(Metadata!P19,"not collected"),exact(Metadata!P19,"not provided"),exact(Metadata!P19,"restricted access"))),AND(IF(Metadata!P19="",FALSE,TRUE),OR(exact(Metadata!P19,"air"),exact(Metadata!P19,"built environment"),exact(Metadata!P19,"host-associated"),exact(Metadata!P19,"human-associated"),exact(Metadata!P19,"human-skin"),exact(Metadata!P19,"human-oral"),exact(Metadata!P19,"human-gut"),exact(Metadata!P19,"human-vaginal"),exact(Metadata!P19,"microbial mat/biofilm"),exact(Metadata!P19,"misc environment"),exact(Metadata!P19,"plant-associated"),exact(Metadata!P19,"sediment"),exact(Metadata!P19,"soil"),exact(Metadata!P19,"wastewater/sludge"),exact(Metadata!P19,"water"))))</f>
        <v>0</v>
      </c>
      <c r="BC19">
        <f>IF(Metadata!Q19="",FALSE,TRUE)</f>
        <v>0</v>
      </c>
      <c r="BD19">
        <f>IF(Metadata!R19="",FALSE,TRUE)</f>
        <v>0</v>
      </c>
      <c r="BE19">
        <f>OR(AND(IF(Metadata!S19="",FALSE,TRUE),OR(exact(Metadata!S19,"not collected"),exact(Metadata!S19,"not provided"),exact(Metadata!S19,"restricted access"))),AND(IF(Metadata!S19="",FALSE,ISNUMBER(VALUE(Metadata!S19))),Metadata!S19&gt;=-90.00,Metadata!S19&lt;=90.00))</f>
        <v>0</v>
      </c>
      <c r="BF19">
        <f>AND(IF(Metadata!T19="",FALSE,TRUE),exact(Metadata!T19,"Decimal degrees"))</f>
        <v>0</v>
      </c>
      <c r="BG19">
        <f>OR(AND(IF(Metadata!U19="",FALSE,TRUE),OR(exact(Metadata!U19,"not collected"),exact(Metadata!U19,"not provided"),exact(Metadata!U19,"restricted access"))),AND(IF(Metadata!U19="",FALSE,ISNUMBER(VALUE(Metadata!U19))),Metadata!U19&gt;=-180.00,Metadata!U19&lt;=180.00))</f>
        <v>0</v>
      </c>
      <c r="BH19">
        <f>AND(IF(Metadata!V19="",FALSE,TRUE),exact(Metadata!V19,"Decimal degrees"))</f>
        <v>0</v>
      </c>
      <c r="BI19">
        <f>IF(Metadata!W19="",FALSE,TRUE)</f>
        <v>0</v>
      </c>
      <c r="BJ19">
        <f>OR(AND(IF(Metadata!X19="",FALSE,TRUE),OR(exact(Metadata!X19,"not collected"),exact(Metadata!X19,"not provided"),exact(Metadata!X19,"restricted access"))),AND(IF(Metadata!X19="",FALSE,TRUE),OR(exact(Metadata!X19,"TRUE"),exact(Metadata!X19,"FALSE"))))</f>
        <v>0</v>
      </c>
      <c r="BK19">
        <f>AND(IF(Metadata!Y19="",FALSE,TRUE),exact(Metadata!Y19,"other"))</f>
        <v>0</v>
      </c>
      <c r="BL19">
        <f>IF(Metadata!Z19="",FALSE,TRUE)</f>
        <v>0</v>
      </c>
      <c r="BM19">
        <f>OR(AND(IF(Metadata!AA19="",FALSE,TRUE),OR(exact(Metadata!AA19,"not collected"),exact(Metadata!AA19,"not provided"))),AND(IF(Metadata!AA19="",FALSE,IF(ISERROR(INT(Metadata!AA19)),FALSE,INT(Metadata!AA19)=Metadata!AA19)),Metadata!AA19&gt;0))</f>
        <v>0</v>
      </c>
      <c r="BN19">
        <f>AND(IF(Metadata!AB19="",FALSE,TRUE),exact(Metadata!AB19,"Not applicable"))</f>
        <v>0</v>
      </c>
      <c r="BO19">
        <f>IF(Metadata!AC19="",FALSE,TRUE)</f>
        <v>0</v>
      </c>
    </row>
    <row r="20" spans="1:67">
      <c r="A20" s="5">
        <f>IF(B20=" "," ",HYPERLINK(CONCATENATE("#metadata!",ADDRESS(INDEX($AI$2:$AI$1001,MATCH(ROWS($AG$2:AG20),$AG$2:$AG$1001,0),0),1)),INDEX($AL$2:$AL$1001,MATCH(ROWS($AG$2:AG20),$AG$2:$AG$1001,0),0)))</f>
        <v>0</v>
      </c>
      <c r="B20" s="4">
        <f>IF(OR(INDEX($AH$2:$AH$1001,MATCH(ROWS($AG$2:AG20),$AG$2:$AG$1001,0),1)&gt;=100000,INDEX($AN$1005:$BO$1005,1,MATCH(COLUMNS($AN$1006:AN1006),$AN$1006:$BO$1006,0))&gt;=100000), " ",IF(INDEX($AN$2:$BO$1001,MATCH(ROWS($AG$2:AG20),$AG$2:$AG$1001,0),MATCH(COLUMNS($AN$1006:AN1006),$AN$1006:$BO$1006,0)), HYPERLINK("#",""), HYPERLINK(CONCATENATE("#Metadata!", ADDRESS(INDEX($AI$2:$AI$1001,MATCH(ROWS($AG$2:AG20),$AG$2:$AG$1001,0),0), INDEX($AN$1004:$BO$1004,1,MATCH(COLUMNS($AN$1006:AN1006),$AN$1006:$BO$1006,0)))),"Fix")))</f>
        <v>0</v>
      </c>
      <c r="C20" s="4">
        <f>IF(OR(INDEX($AH$2:$AH$1001,MATCH(ROWS($AG$2:AG20),$AG$2:$AG$1001,0),1)&gt;=100000,INDEX($AN$1005:$BO$1005,1,MATCH(COLUMNS($AN$1006:AO1006),$AN$1006:$BO$1006,0))&gt;=100000), " ",IF(INDEX($AN$2:$BO$1001,MATCH(ROWS($AG$2:AG20),$AG$2:$AG$1001,0),MATCH(COLUMNS($AN$1006:AO1006),$AN$1006:$BO$1006,0)), HYPERLINK("#",""), HYPERLINK(CONCATENATE("#Metadata!", ADDRESS(INDEX($AI$2:$AI$1001,MATCH(ROWS($AG$2:AG20),$AG$2:$AG$1001,0),0), INDEX($AN$1004:$BO$1004,1,MATCH(COLUMNS($AN$1006:AO1006),$AN$1006:$BO$1006,0)))),"Fix")))</f>
        <v>0</v>
      </c>
      <c r="D20" s="4">
        <f>IF(OR(INDEX($AH$2:$AH$1001,MATCH(ROWS($AG$2:AG20),$AG$2:$AG$1001,0),1)&gt;=100000,INDEX($AN$1005:$BO$1005,1,MATCH(COLUMNS($AN$1006:AP1006),$AN$1006:$BO$1006,0))&gt;=100000), " ",IF(INDEX($AN$2:$BO$1001,MATCH(ROWS($AG$2:AG20),$AG$2:$AG$1001,0),MATCH(COLUMNS($AN$1006:AP1006),$AN$1006:$BO$1006,0)), HYPERLINK("#",""), HYPERLINK(CONCATENATE("#Metadata!", ADDRESS(INDEX($AI$2:$AI$1001,MATCH(ROWS($AG$2:AG20),$AG$2:$AG$1001,0),0), INDEX($AN$1004:$BO$1004,1,MATCH(COLUMNS($AN$1006:AP1006),$AN$1006:$BO$1006,0)))),"Fix")))</f>
        <v>0</v>
      </c>
      <c r="E20" s="4">
        <f>IF(OR(INDEX($AH$2:$AH$1001,MATCH(ROWS($AG$2:AG20),$AG$2:$AG$1001,0),1)&gt;=100000,INDEX($AN$1005:$BO$1005,1,MATCH(COLUMNS($AN$1006:AQ1006),$AN$1006:$BO$1006,0))&gt;=100000), " ",IF(INDEX($AN$2:$BO$1001,MATCH(ROWS($AG$2:AG20),$AG$2:$AG$1001,0),MATCH(COLUMNS($AN$1006:AQ1006),$AN$1006:$BO$1006,0)), HYPERLINK("#",""), HYPERLINK(CONCATENATE("#Metadata!", ADDRESS(INDEX($AI$2:$AI$1001,MATCH(ROWS($AG$2:AG20),$AG$2:$AG$1001,0),0), INDEX($AN$1004:$BO$1004,1,MATCH(COLUMNS($AN$1006:AQ1006),$AN$1006:$BO$1006,0)))),"Fix")))</f>
        <v>0</v>
      </c>
      <c r="F20" s="4">
        <f>IF(OR(INDEX($AH$2:$AH$1001,MATCH(ROWS($AG$2:AG20),$AG$2:$AG$1001,0),1)&gt;=100000,INDEX($AN$1005:$BO$1005,1,MATCH(COLUMNS($AN$1006:AR1006),$AN$1006:$BO$1006,0))&gt;=100000), " ",IF(INDEX($AN$2:$BO$1001,MATCH(ROWS($AG$2:AG20),$AG$2:$AG$1001,0),MATCH(COLUMNS($AN$1006:AR1006),$AN$1006:$BO$1006,0)), HYPERLINK("#",""), HYPERLINK(CONCATENATE("#Metadata!", ADDRESS(INDEX($AI$2:$AI$1001,MATCH(ROWS($AG$2:AG20),$AG$2:$AG$1001,0),0), INDEX($AN$1004:$BO$1004,1,MATCH(COLUMNS($AN$1006:AR1006),$AN$1006:$BO$1006,0)))),"Fix")))</f>
        <v>0</v>
      </c>
      <c r="G20" s="4">
        <f>IF(OR(INDEX($AH$2:$AH$1001,MATCH(ROWS($AG$2:AG20),$AG$2:$AG$1001,0),1)&gt;=100000,INDEX($AN$1005:$BO$1005,1,MATCH(COLUMNS($AN$1006:AS1006),$AN$1006:$BO$1006,0))&gt;=100000), " ",IF(INDEX($AN$2:$BO$1001,MATCH(ROWS($AG$2:AG20),$AG$2:$AG$1001,0),MATCH(COLUMNS($AN$1006:AS1006),$AN$1006:$BO$1006,0)), HYPERLINK("#",""), HYPERLINK(CONCATENATE("#Metadata!", ADDRESS(INDEX($AI$2:$AI$1001,MATCH(ROWS($AG$2:AG20),$AG$2:$AG$1001,0),0), INDEX($AN$1004:$BO$1004,1,MATCH(COLUMNS($AN$1006:AS1006),$AN$1006:$BO$1006,0)))),"Fix")))</f>
        <v>0</v>
      </c>
      <c r="H20" s="4">
        <f>IF(OR(INDEX($AH$2:$AH$1001,MATCH(ROWS($AG$2:AG20),$AG$2:$AG$1001,0),1)&gt;=100000,INDEX($AN$1005:$BO$1005,1,MATCH(COLUMNS($AN$1006:AT1006),$AN$1006:$BO$1006,0))&gt;=100000), " ",IF(INDEX($AN$2:$BO$1001,MATCH(ROWS($AG$2:AG20),$AG$2:$AG$1001,0),MATCH(COLUMNS($AN$1006:AT1006),$AN$1006:$BO$1006,0)), HYPERLINK("#",""), HYPERLINK(CONCATENATE("#Metadata!", ADDRESS(INDEX($AI$2:$AI$1001,MATCH(ROWS($AG$2:AG20),$AG$2:$AG$1001,0),0), INDEX($AN$1004:$BO$1004,1,MATCH(COLUMNS($AN$1006:AT1006),$AN$1006:$BO$1006,0)))),"Fix")))</f>
        <v>0</v>
      </c>
      <c r="I20" s="4">
        <f>IF(OR(INDEX($AH$2:$AH$1001,MATCH(ROWS($AG$2:AG20),$AG$2:$AG$1001,0),1)&gt;=100000,INDEX($AN$1005:$BO$1005,1,MATCH(COLUMNS($AN$1006:AU1006),$AN$1006:$BO$1006,0))&gt;=100000), " ",IF(INDEX($AN$2:$BO$1001,MATCH(ROWS($AG$2:AG20),$AG$2:$AG$1001,0),MATCH(COLUMNS($AN$1006:AU1006),$AN$1006:$BO$1006,0)), HYPERLINK("#",""), HYPERLINK(CONCATENATE("#Metadata!", ADDRESS(INDEX($AI$2:$AI$1001,MATCH(ROWS($AG$2:AG20),$AG$2:$AG$1001,0),0), INDEX($AN$1004:$BO$1004,1,MATCH(COLUMNS($AN$1006:AU1006),$AN$1006:$BO$1006,0)))),"Fix")))</f>
        <v>0</v>
      </c>
      <c r="J20" s="4">
        <f>IF(OR(INDEX($AH$2:$AH$1001,MATCH(ROWS($AG$2:AG20),$AG$2:$AG$1001,0),1)&gt;=100000,INDEX($AN$1005:$BO$1005,1,MATCH(COLUMNS($AN$1006:AV1006),$AN$1006:$BO$1006,0))&gt;=100000), " ",IF(INDEX($AN$2:$BO$1001,MATCH(ROWS($AG$2:AG20),$AG$2:$AG$1001,0),MATCH(COLUMNS($AN$1006:AV1006),$AN$1006:$BO$1006,0)), HYPERLINK("#",""), HYPERLINK(CONCATENATE("#Metadata!", ADDRESS(INDEX($AI$2:$AI$1001,MATCH(ROWS($AG$2:AG20),$AG$2:$AG$1001,0),0), INDEX($AN$1004:$BO$1004,1,MATCH(COLUMNS($AN$1006:AV1006),$AN$1006:$BO$1006,0)))),"Fix")))</f>
        <v>0</v>
      </c>
      <c r="K20" s="4">
        <f>IF(OR(INDEX($AH$2:$AH$1001,MATCH(ROWS($AG$2:AG20),$AG$2:$AG$1001,0),1)&gt;=100000,INDEX($AN$1005:$BO$1005,1,MATCH(COLUMNS($AN$1006:AW1006),$AN$1006:$BO$1006,0))&gt;=100000), " ",IF(INDEX($AN$2:$BO$1001,MATCH(ROWS($AG$2:AG20),$AG$2:$AG$1001,0),MATCH(COLUMNS($AN$1006:AW1006),$AN$1006:$BO$1006,0)), HYPERLINK("#",""), HYPERLINK(CONCATENATE("#Metadata!", ADDRESS(INDEX($AI$2:$AI$1001,MATCH(ROWS($AG$2:AG20),$AG$2:$AG$1001,0),0), INDEX($AN$1004:$BO$1004,1,MATCH(COLUMNS($AN$1006:AW1006),$AN$1006:$BO$1006,0)))),"Fix")))</f>
        <v>0</v>
      </c>
      <c r="L20" s="4">
        <f>IF(OR(INDEX($AH$2:$AH$1001,MATCH(ROWS($AG$2:AG20),$AG$2:$AG$1001,0),1)&gt;=100000,INDEX($AN$1005:$BO$1005,1,MATCH(COLUMNS($AN$1006:AX1006),$AN$1006:$BO$1006,0))&gt;=100000), " ",IF(INDEX($AN$2:$BO$1001,MATCH(ROWS($AG$2:AG20),$AG$2:$AG$1001,0),MATCH(COLUMNS($AN$1006:AX1006),$AN$1006:$BO$1006,0)), HYPERLINK("#",""), HYPERLINK(CONCATENATE("#Metadata!", ADDRESS(INDEX($AI$2:$AI$1001,MATCH(ROWS($AG$2:AG20),$AG$2:$AG$1001,0),0), INDEX($AN$1004:$BO$1004,1,MATCH(COLUMNS($AN$1006:AX1006),$AN$1006:$BO$1006,0)))),"Fix")))</f>
        <v>0</v>
      </c>
      <c r="M20" s="4">
        <f>IF(OR(INDEX($AH$2:$AH$1001,MATCH(ROWS($AG$2:AG20),$AG$2:$AG$1001,0),1)&gt;=100000,INDEX($AN$1005:$BO$1005,1,MATCH(COLUMNS($AN$1006:AY1006),$AN$1006:$BO$1006,0))&gt;=100000), " ",IF(INDEX($AN$2:$BO$1001,MATCH(ROWS($AG$2:AG20),$AG$2:$AG$1001,0),MATCH(COLUMNS($AN$1006:AY1006),$AN$1006:$BO$1006,0)), HYPERLINK("#",""), HYPERLINK(CONCATENATE("#Metadata!", ADDRESS(INDEX($AI$2:$AI$1001,MATCH(ROWS($AG$2:AG20),$AG$2:$AG$1001,0),0), INDEX($AN$1004:$BO$1004,1,MATCH(COLUMNS($AN$1006:AY1006),$AN$1006:$BO$1006,0)))),"Fix")))</f>
        <v>0</v>
      </c>
      <c r="N20" s="4">
        <f>IF(OR(INDEX($AH$2:$AH$1001,MATCH(ROWS($AG$2:AG20),$AG$2:$AG$1001,0),1)&gt;=100000,INDEX($AN$1005:$BO$1005,1,MATCH(COLUMNS($AN$1006:AZ1006),$AN$1006:$BO$1006,0))&gt;=100000), " ",IF(INDEX($AN$2:$BO$1001,MATCH(ROWS($AG$2:AG20),$AG$2:$AG$1001,0),MATCH(COLUMNS($AN$1006:AZ1006),$AN$1006:$BO$1006,0)), HYPERLINK("#",""), HYPERLINK(CONCATENATE("#Metadata!", ADDRESS(INDEX($AI$2:$AI$1001,MATCH(ROWS($AG$2:AG20),$AG$2:$AG$1001,0),0), INDEX($AN$1004:$BO$1004,1,MATCH(COLUMNS($AN$1006:AZ1006),$AN$1006:$BO$1006,0)))),"Fix")))</f>
        <v>0</v>
      </c>
      <c r="O20" s="4">
        <f>IF(OR(INDEX($AH$2:$AH$1001,MATCH(ROWS($AG$2:AG20),$AG$2:$AG$1001,0),1)&gt;=100000,INDEX($AN$1005:$BO$1005,1,MATCH(COLUMNS($AN$1006:BA1006),$AN$1006:$BO$1006,0))&gt;=100000), " ",IF(INDEX($AN$2:$BO$1001,MATCH(ROWS($AG$2:AG20),$AG$2:$AG$1001,0),MATCH(COLUMNS($AN$1006:BA1006),$AN$1006:$BO$1006,0)), HYPERLINK("#",""), HYPERLINK(CONCATENATE("#Metadata!", ADDRESS(INDEX($AI$2:$AI$1001,MATCH(ROWS($AG$2:AG20),$AG$2:$AG$1001,0),0), INDEX($AN$1004:$BO$1004,1,MATCH(COLUMNS($AN$1006:BA1006),$AN$1006:$BO$1006,0)))),"Fix")))</f>
        <v>0</v>
      </c>
      <c r="P20" s="4">
        <f>IF(OR(INDEX($AH$2:$AH$1001,MATCH(ROWS($AG$2:AG20),$AG$2:$AG$1001,0),1)&gt;=100000,INDEX($AN$1005:$BO$1005,1,MATCH(COLUMNS($AN$1006:BB1006),$AN$1006:$BO$1006,0))&gt;=100000), " ",IF(INDEX($AN$2:$BO$1001,MATCH(ROWS($AG$2:AG20),$AG$2:$AG$1001,0),MATCH(COLUMNS($AN$1006:BB1006),$AN$1006:$BO$1006,0)), HYPERLINK("#",""), HYPERLINK(CONCATENATE("#Metadata!", ADDRESS(INDEX($AI$2:$AI$1001,MATCH(ROWS($AG$2:AG20),$AG$2:$AG$1001,0),0), INDEX($AN$1004:$BO$1004,1,MATCH(COLUMNS($AN$1006:BB1006),$AN$1006:$BO$1006,0)))),"Fix")))</f>
        <v>0</v>
      </c>
      <c r="Q20" s="4">
        <f>IF(OR(INDEX($AH$2:$AH$1001,MATCH(ROWS($AG$2:AG20),$AG$2:$AG$1001,0),1)&gt;=100000,INDEX($AN$1005:$BO$1005,1,MATCH(COLUMNS($AN$1006:BC1006),$AN$1006:$BO$1006,0))&gt;=100000), " ",IF(INDEX($AN$2:$BO$1001,MATCH(ROWS($AG$2:AG20),$AG$2:$AG$1001,0),MATCH(COLUMNS($AN$1006:BC1006),$AN$1006:$BO$1006,0)), HYPERLINK("#",""), HYPERLINK(CONCATENATE("#Metadata!", ADDRESS(INDEX($AI$2:$AI$1001,MATCH(ROWS($AG$2:AG20),$AG$2:$AG$1001,0),0), INDEX($AN$1004:$BO$1004,1,MATCH(COLUMNS($AN$1006:BC1006),$AN$1006:$BO$1006,0)))),"Fix")))</f>
        <v>0</v>
      </c>
      <c r="R20" s="4">
        <f>IF(OR(INDEX($AH$2:$AH$1001,MATCH(ROWS($AG$2:AG20),$AG$2:$AG$1001,0),1)&gt;=100000,INDEX($AN$1005:$BO$1005,1,MATCH(COLUMNS($AN$1006:BD1006),$AN$1006:$BO$1006,0))&gt;=100000), " ",IF(INDEX($AN$2:$BO$1001,MATCH(ROWS($AG$2:AG20),$AG$2:$AG$1001,0),MATCH(COLUMNS($AN$1006:BD1006),$AN$1006:$BO$1006,0)), HYPERLINK("#",""), HYPERLINK(CONCATENATE("#Metadata!", ADDRESS(INDEX($AI$2:$AI$1001,MATCH(ROWS($AG$2:AG20),$AG$2:$AG$1001,0),0), INDEX($AN$1004:$BO$1004,1,MATCH(COLUMNS($AN$1006:BD1006),$AN$1006:$BO$1006,0)))),"Fix")))</f>
        <v>0</v>
      </c>
      <c r="S20" s="4">
        <f>IF(OR(INDEX($AH$2:$AH$1001,MATCH(ROWS($AG$2:AG20),$AG$2:$AG$1001,0),1)&gt;=100000,INDEX($AN$1005:$BO$1005,1,MATCH(COLUMNS($AN$1006:BE1006),$AN$1006:$BO$1006,0))&gt;=100000), " ",IF(INDEX($AN$2:$BO$1001,MATCH(ROWS($AG$2:AG20),$AG$2:$AG$1001,0),MATCH(COLUMNS($AN$1006:BE1006),$AN$1006:$BO$1006,0)), HYPERLINK("#",""), HYPERLINK(CONCATENATE("#Metadata!", ADDRESS(INDEX($AI$2:$AI$1001,MATCH(ROWS($AG$2:AG20),$AG$2:$AG$1001,0),0), INDEX($AN$1004:$BO$1004,1,MATCH(COLUMNS($AN$1006:BE1006),$AN$1006:$BO$1006,0)))),"Fix")))</f>
        <v>0</v>
      </c>
      <c r="T20" s="4">
        <f>IF(OR(INDEX($AH$2:$AH$1001,MATCH(ROWS($AG$2:AG20),$AG$2:$AG$1001,0),1)&gt;=100000,INDEX($AN$1005:$BO$1005,1,MATCH(COLUMNS($AN$1006:BF1006),$AN$1006:$BO$1006,0))&gt;=100000), " ",IF(INDEX($AN$2:$BO$1001,MATCH(ROWS($AG$2:AG20),$AG$2:$AG$1001,0),MATCH(COLUMNS($AN$1006:BF1006),$AN$1006:$BO$1006,0)), HYPERLINK("#",""), HYPERLINK(CONCATENATE("#Metadata!", ADDRESS(INDEX($AI$2:$AI$1001,MATCH(ROWS($AG$2:AG20),$AG$2:$AG$1001,0),0), INDEX($AN$1004:$BO$1004,1,MATCH(COLUMNS($AN$1006:BF1006),$AN$1006:$BO$1006,0)))),"Fix")))</f>
        <v>0</v>
      </c>
      <c r="U20" s="4">
        <f>IF(OR(INDEX($AH$2:$AH$1001,MATCH(ROWS($AG$2:AG20),$AG$2:$AG$1001,0),1)&gt;=100000,INDEX($AN$1005:$BO$1005,1,MATCH(COLUMNS($AN$1006:BG1006),$AN$1006:$BO$1006,0))&gt;=100000), " ",IF(INDEX($AN$2:$BO$1001,MATCH(ROWS($AG$2:AG20),$AG$2:$AG$1001,0),MATCH(COLUMNS($AN$1006:BG1006),$AN$1006:$BO$1006,0)), HYPERLINK("#",""), HYPERLINK(CONCATENATE("#Metadata!", ADDRESS(INDEX($AI$2:$AI$1001,MATCH(ROWS($AG$2:AG20),$AG$2:$AG$1001,0),0), INDEX($AN$1004:$BO$1004,1,MATCH(COLUMNS($AN$1006:BG1006),$AN$1006:$BO$1006,0)))),"Fix")))</f>
        <v>0</v>
      </c>
      <c r="V20" s="4">
        <f>IF(OR(INDEX($AH$2:$AH$1001,MATCH(ROWS($AG$2:AG20),$AG$2:$AG$1001,0),1)&gt;=100000,INDEX($AN$1005:$BO$1005,1,MATCH(COLUMNS($AN$1006:BH1006),$AN$1006:$BO$1006,0))&gt;=100000), " ",IF(INDEX($AN$2:$BO$1001,MATCH(ROWS($AG$2:AG20),$AG$2:$AG$1001,0),MATCH(COLUMNS($AN$1006:BH1006),$AN$1006:$BO$1006,0)), HYPERLINK("#",""), HYPERLINK(CONCATENATE("#Metadata!", ADDRESS(INDEX($AI$2:$AI$1001,MATCH(ROWS($AG$2:AG20),$AG$2:$AG$1001,0),0), INDEX($AN$1004:$BO$1004,1,MATCH(COLUMNS($AN$1006:BH1006),$AN$1006:$BO$1006,0)))),"Fix")))</f>
        <v>0</v>
      </c>
      <c r="W20" s="4">
        <f>IF(OR(INDEX($AH$2:$AH$1001,MATCH(ROWS($AG$2:AG20),$AG$2:$AG$1001,0),1)&gt;=100000,INDEX($AN$1005:$BO$1005,1,MATCH(COLUMNS($AN$1006:BI1006),$AN$1006:$BO$1006,0))&gt;=100000), " ",IF(INDEX($AN$2:$BO$1001,MATCH(ROWS($AG$2:AG20),$AG$2:$AG$1001,0),MATCH(COLUMNS($AN$1006:BI1006),$AN$1006:$BO$1006,0)), HYPERLINK("#",""), HYPERLINK(CONCATENATE("#Metadata!", ADDRESS(INDEX($AI$2:$AI$1001,MATCH(ROWS($AG$2:AG20),$AG$2:$AG$1001,0),0), INDEX($AN$1004:$BO$1004,1,MATCH(COLUMNS($AN$1006:BI1006),$AN$1006:$BO$1006,0)))),"Fix")))</f>
        <v>0</v>
      </c>
      <c r="X20" s="4">
        <f>IF(OR(INDEX($AH$2:$AH$1001,MATCH(ROWS($AG$2:AG20),$AG$2:$AG$1001,0),1)&gt;=100000,INDEX($AN$1005:$BO$1005,1,MATCH(COLUMNS($AN$1006:BJ1006),$AN$1006:$BO$1006,0))&gt;=100000), " ",IF(INDEX($AN$2:$BO$1001,MATCH(ROWS($AG$2:AG20),$AG$2:$AG$1001,0),MATCH(COLUMNS($AN$1006:BJ1006),$AN$1006:$BO$1006,0)), HYPERLINK("#",""), HYPERLINK(CONCATENATE("#Metadata!", ADDRESS(INDEX($AI$2:$AI$1001,MATCH(ROWS($AG$2:AG20),$AG$2:$AG$1001,0),0), INDEX($AN$1004:$BO$1004,1,MATCH(COLUMNS($AN$1006:BJ1006),$AN$1006:$BO$1006,0)))),"Fix")))</f>
        <v>0</v>
      </c>
      <c r="Y20" s="4">
        <f>IF(OR(INDEX($AH$2:$AH$1001,MATCH(ROWS($AG$2:AG20),$AG$2:$AG$1001,0),1)&gt;=100000,INDEX($AN$1005:$BO$1005,1,MATCH(COLUMNS($AN$1006:BK1006),$AN$1006:$BO$1006,0))&gt;=100000), " ",IF(INDEX($AN$2:$BO$1001,MATCH(ROWS($AG$2:AG20),$AG$2:$AG$1001,0),MATCH(COLUMNS($AN$1006:BK1006),$AN$1006:$BO$1006,0)), HYPERLINK("#",""), HYPERLINK(CONCATENATE("#Metadata!", ADDRESS(INDEX($AI$2:$AI$1001,MATCH(ROWS($AG$2:AG20),$AG$2:$AG$1001,0),0), INDEX($AN$1004:$BO$1004,1,MATCH(COLUMNS($AN$1006:BK1006),$AN$1006:$BO$1006,0)))),"Fix")))</f>
        <v>0</v>
      </c>
      <c r="Z20" s="4">
        <f>IF(OR(INDEX($AH$2:$AH$1001,MATCH(ROWS($AG$2:AG20),$AG$2:$AG$1001,0),1)&gt;=100000,INDEX($AN$1005:$BO$1005,1,MATCH(COLUMNS($AN$1006:BL1006),$AN$1006:$BO$1006,0))&gt;=100000), " ",IF(INDEX($AN$2:$BO$1001,MATCH(ROWS($AG$2:AG20),$AG$2:$AG$1001,0),MATCH(COLUMNS($AN$1006:BL1006),$AN$1006:$BO$1006,0)), HYPERLINK("#",""), HYPERLINK(CONCATENATE("#Metadata!", ADDRESS(INDEX($AI$2:$AI$1001,MATCH(ROWS($AG$2:AG20),$AG$2:$AG$1001,0),0), INDEX($AN$1004:$BO$1004,1,MATCH(COLUMNS($AN$1006:BL1006),$AN$1006:$BO$1006,0)))),"Fix")))</f>
        <v>0</v>
      </c>
      <c r="AA20" s="4">
        <f>IF(OR(INDEX($AH$2:$AH$1001,MATCH(ROWS($AG$2:AG20),$AG$2:$AG$1001,0),1)&gt;=100000,INDEX($AN$1005:$BO$1005,1,MATCH(COLUMNS($AN$1006:BM1006),$AN$1006:$BO$1006,0))&gt;=100000), " ",IF(INDEX($AN$2:$BO$1001,MATCH(ROWS($AG$2:AG20),$AG$2:$AG$1001,0),MATCH(COLUMNS($AN$1006:BM1006),$AN$1006:$BO$1006,0)), HYPERLINK("#",""), HYPERLINK(CONCATENATE("#Metadata!", ADDRESS(INDEX($AI$2:$AI$1001,MATCH(ROWS($AG$2:AG20),$AG$2:$AG$1001,0),0), INDEX($AN$1004:$BO$1004,1,MATCH(COLUMNS($AN$1006:BM1006),$AN$1006:$BO$1006,0)))),"Fix")))</f>
        <v>0</v>
      </c>
      <c r="AB20" s="4">
        <f>IF(OR(INDEX($AH$2:$AH$1001,MATCH(ROWS($AG$2:AG20),$AG$2:$AG$1001,0),1)&gt;=100000,INDEX($AN$1005:$BO$1005,1,MATCH(COLUMNS($AN$1006:BN1006),$AN$1006:$BO$1006,0))&gt;=100000), " ",IF(INDEX($AN$2:$BO$1001,MATCH(ROWS($AG$2:AG20),$AG$2:$AG$1001,0),MATCH(COLUMNS($AN$1006:BN1006),$AN$1006:$BO$1006,0)), HYPERLINK("#",""), HYPERLINK(CONCATENATE("#Metadata!", ADDRESS(INDEX($AI$2:$AI$1001,MATCH(ROWS($AG$2:AG20),$AG$2:$AG$1001,0),0), INDEX($AN$1004:$BO$1004,1,MATCH(COLUMNS($AN$1006:BN1006),$AN$1006:$BO$1006,0)))),"Fix")))</f>
        <v>0</v>
      </c>
      <c r="AC20" s="4">
        <f>IF(OR(INDEX($AH$2:$AH$1001,MATCH(ROWS($AG$2:AG20),$AG$2:$AG$1001,0),1)&gt;=100000,INDEX($AN$1005:$BO$1005,1,MATCH(COLUMNS($AN$1006:BO1006),$AN$1006:$BO$1006,0))&gt;=100000), " ",IF(INDEX($AN$2:$BO$1001,MATCH(ROWS($AG$2:AG20),$AG$2:$AG$1001,0),MATCH(COLUMNS($AN$1006:BO1006),$AN$1006:$BO$1006,0)), HYPERLINK("#",""), HYPERLINK(CONCATENATE("#Metadata!", ADDRESS(INDEX($AI$2:$AI$1001,MATCH(ROWS($AG$2:AG20),$AG$2:$AG$1001,0),0), INDEX($AN$1004:$BO$1004,1,MATCH(COLUMNS($AN$1006:BO1006),$AN$1006:$BO$1006,0)))),"Fix")))</f>
        <v>0</v>
      </c>
      <c r="AG20">
        <v>0</v>
      </c>
      <c r="AH20">
        <v>0</v>
      </c>
      <c r="AI20">
        <v>0</v>
      </c>
      <c r="AJ20">
        <f>IF(AK20,TRUE,AND(AN20:BO20))</f>
        <v>0</v>
      </c>
      <c r="AK20">
        <f>COUNTBLANK(Metadata!B20:AC20)=COLUMNS(Metadata!B20:AC20)</f>
        <v>0</v>
      </c>
      <c r="AL20">
        <v>0</v>
      </c>
      <c r="AN20">
        <f>AND(IF(Metadata!B20="",FALSE,TRUE),COUNTIF(Metadata!B:B, Metadata!B20) = 1,NOT(ISERROR(SUMPRODUCT(SEARCH(MID(Metadata!B20,ROW(INDIRECT("1:"&amp;LEN(Metadata!B20))), 1),"0123456789abcdefghijklmnopqrstuvwxyzABCDEFGHIJKLMNOPQRSTUVWXYZ.")))))</f>
        <v>0</v>
      </c>
      <c r="AO20">
        <f>IF(Metadata!C20="",FALSE,TRUE)</f>
        <v>0</v>
      </c>
      <c r="AP20">
        <f>IF(Metadata!D20="",FALSE,TRUE)</f>
        <v>0</v>
      </c>
      <c r="AQ20">
        <f>OR(AND(IF(Metadata!E20="",FALSE,TRUE),OR(exact(Metadata!E20,"not collected"),exact(Metadata!E20,"not provided"),exact(Metadata!E20,"restricted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R20">
        <f>IF(Metadata!F20="",FALSE,TRUE)</f>
        <v>0</v>
      </c>
      <c r="AS20">
        <f>OR(AND(IF(Metadata!G20="",FALSE,TRUE),OR(exact(Metadata!G20,"not collected"),exact(Metadata!G20,"not provided"))),AND(IF(Metadata!G20="",FALSE,TRUE),OR(exact(Metadata!G20,"TRUE"),exact(Metadata!G20,"FALSE"))))</f>
        <v>0</v>
      </c>
      <c r="AT20">
        <f>OR(AND(IF(Metadata!H20="",FALSE,TRUE),OR(exact(Metadata!H20,"not collected"),exact(Metadata!H20,"not provided"),exact(Metadata!H20,"restricted access"))),AND(IF(Metadata!H20="",FALSE,ISNUMBER(VALUE(Metadata!H20))),Metadata!H20&gt;=-413.0))</f>
        <v>0</v>
      </c>
      <c r="AU20">
        <f>AND(IF(Metadata!I20="",FALSE,TRUE),exact(Metadata!I20,"meters"))</f>
        <v>0</v>
      </c>
      <c r="AV20">
        <f>AND(IF(Metadata!J20="",FALSE,TRUE),OR(exact(Metadata!J20,"Host-associated"),exact(Metadata!J20,"Free-living")))</f>
        <v>0</v>
      </c>
      <c r="AW20">
        <f>AND(IF(Metadata!K20="",FALSE,TRUE),OR(exact(Metadata!K20,"Animal"),exact(Metadata!K20,"Fungus"),exact(Metadata!K20,"Plant"),exact(Metadata!K20,"Saline"),exact(Metadata!K20,"Non-saline")))</f>
        <v>0</v>
      </c>
      <c r="AX20">
        <f>AND(IF(Metadata!L20="",FALSE,TRUE),OR(exact(Metadata!L20,"Plant secretion"),exact(Metadata!L20,"Plant rhizosphere"),exact(Metadata!L20,"Plant surface"),exact(Metadata!L20,"Plant corpus"),exact(Metadata!L20,"Fungus surface"),exact(Metadata!L20,"Fungus corpus"),exact(Metadata!L20,"Animal surface"),exact(Metadata!L20,"Animal proximal gut"),exact(Metadata!L20,"Animal corpus"),exact(Metadata!L20,"Animal distal gut"),exact(Metadata!L20,"Animal secretion"),exact(Metadata!L20,"Sub-surface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0</v>
      </c>
      <c r="AY20">
        <f>IF(Metadata!M20="",FALSE,TRUE)</f>
        <v>0</v>
      </c>
      <c r="AZ20">
        <f>IF(Metadata!N20="",FALSE,TRUE)</f>
        <v>0</v>
      </c>
      <c r="BA20">
        <f>IF(Metadata!O20="",FALSE,TRUE)</f>
        <v>0</v>
      </c>
      <c r="BB20">
        <f>OR(AND(IF(Metadata!P20="",FALSE,TRUE),OR(exact(Metadata!P20,"not collected"),exact(Metadata!P20,"not provided"),exact(Metadata!P20,"restricted access"))),AND(IF(Metadata!P20="",FALSE,TRUE),OR(exact(Metadata!P20,"air"),exact(Metadata!P20,"built environment"),exact(Metadata!P20,"host-associated"),exact(Metadata!P20,"human-associated"),exact(Metadata!P20,"human-skin"),exact(Metadata!P20,"human-oral"),exact(Metadata!P20,"human-gut"),exact(Metadata!P20,"human-vaginal"),exact(Metadata!P20,"microbial mat/biofilm"),exact(Metadata!P20,"misc environment"),exact(Metadata!P20,"plant-associated"),exact(Metadata!P20,"sediment"),exact(Metadata!P20,"soil"),exact(Metadata!P20,"wastewater/sludge"),exact(Metadata!P20,"water"))))</f>
        <v>0</v>
      </c>
      <c r="BC20">
        <f>IF(Metadata!Q20="",FALSE,TRUE)</f>
        <v>0</v>
      </c>
      <c r="BD20">
        <f>IF(Metadata!R20="",FALSE,TRUE)</f>
        <v>0</v>
      </c>
      <c r="BE20">
        <f>OR(AND(IF(Metadata!S20="",FALSE,TRUE),OR(exact(Metadata!S20,"not collected"),exact(Metadata!S20,"not provided"),exact(Metadata!S20,"restricted access"))),AND(IF(Metadata!S20="",FALSE,ISNUMBER(VALUE(Metadata!S20))),Metadata!S20&gt;=-90.00,Metadata!S20&lt;=90.00))</f>
        <v>0</v>
      </c>
      <c r="BF20">
        <f>AND(IF(Metadata!T20="",FALSE,TRUE),exact(Metadata!T20,"Decimal degrees"))</f>
        <v>0</v>
      </c>
      <c r="BG20">
        <f>OR(AND(IF(Metadata!U20="",FALSE,TRUE),OR(exact(Metadata!U20,"not collected"),exact(Metadata!U20,"not provided"),exact(Metadata!U20,"restricted access"))),AND(IF(Metadata!U20="",FALSE,ISNUMBER(VALUE(Metadata!U20))),Metadata!U20&gt;=-180.00,Metadata!U20&lt;=180.00))</f>
        <v>0</v>
      </c>
      <c r="BH20">
        <f>AND(IF(Metadata!V20="",FALSE,TRUE),exact(Metadata!V20,"Decimal degrees"))</f>
        <v>0</v>
      </c>
      <c r="BI20">
        <f>IF(Metadata!W20="",FALSE,TRUE)</f>
        <v>0</v>
      </c>
      <c r="BJ20">
        <f>OR(AND(IF(Metadata!X20="",FALSE,TRUE),OR(exact(Metadata!X20,"not collected"),exact(Metadata!X20,"not provided"),exact(Metadata!X20,"restricted access"))),AND(IF(Metadata!X20="",FALSE,TRUE),OR(exact(Metadata!X20,"TRUE"),exact(Metadata!X20,"FALSE"))))</f>
        <v>0</v>
      </c>
      <c r="BK20">
        <f>AND(IF(Metadata!Y20="",FALSE,TRUE),exact(Metadata!Y20,"other"))</f>
        <v>0</v>
      </c>
      <c r="BL20">
        <f>IF(Metadata!Z20="",FALSE,TRUE)</f>
        <v>0</v>
      </c>
      <c r="BM20">
        <f>OR(AND(IF(Metadata!AA20="",FALSE,TRUE),OR(exact(Metadata!AA20,"not collected"),exact(Metadata!AA20,"not provided"))),AND(IF(Metadata!AA20="",FALSE,IF(ISERROR(INT(Metadata!AA20)),FALSE,INT(Metadata!AA20)=Metadata!AA20)),Metadata!AA20&gt;0))</f>
        <v>0</v>
      </c>
      <c r="BN20">
        <f>AND(IF(Metadata!AB20="",FALSE,TRUE),exact(Metadata!AB20,"Not applicable"))</f>
        <v>0</v>
      </c>
      <c r="BO20">
        <f>IF(Metadata!AC20="",FALSE,TRUE)</f>
        <v>0</v>
      </c>
    </row>
    <row r="21" spans="1:67">
      <c r="A21" s="5">
        <f>IF(B21=" "," ",HYPERLINK(CONCATENATE("#metadata!",ADDRESS(INDEX($AI$2:$AI$1001,MATCH(ROWS($AG$2:AG21),$AG$2:$AG$1001,0),0),1)),INDEX($AL$2:$AL$1001,MATCH(ROWS($AG$2:AG21),$AG$2:$AG$1001,0),0)))</f>
        <v>0</v>
      </c>
      <c r="B21" s="4">
        <f>IF(OR(INDEX($AH$2:$AH$1001,MATCH(ROWS($AG$2:AG21),$AG$2:$AG$1001,0),1)&gt;=100000,INDEX($AN$1005:$BO$1005,1,MATCH(COLUMNS($AN$1006:AN1006),$AN$1006:$BO$1006,0))&gt;=100000), " ",IF(INDEX($AN$2:$BO$1001,MATCH(ROWS($AG$2:AG21),$AG$2:$AG$1001,0),MATCH(COLUMNS($AN$1006:AN1006),$AN$1006:$BO$1006,0)), HYPERLINK("#",""), HYPERLINK(CONCATENATE("#Metadata!", ADDRESS(INDEX($AI$2:$AI$1001,MATCH(ROWS($AG$2:AG21),$AG$2:$AG$1001,0),0), INDEX($AN$1004:$BO$1004,1,MATCH(COLUMNS($AN$1006:AN1006),$AN$1006:$BO$1006,0)))),"Fix")))</f>
        <v>0</v>
      </c>
      <c r="C21" s="4">
        <f>IF(OR(INDEX($AH$2:$AH$1001,MATCH(ROWS($AG$2:AG21),$AG$2:$AG$1001,0),1)&gt;=100000,INDEX($AN$1005:$BO$1005,1,MATCH(COLUMNS($AN$1006:AO1006),$AN$1006:$BO$1006,0))&gt;=100000), " ",IF(INDEX($AN$2:$BO$1001,MATCH(ROWS($AG$2:AG21),$AG$2:$AG$1001,0),MATCH(COLUMNS($AN$1006:AO1006),$AN$1006:$BO$1006,0)), HYPERLINK("#",""), HYPERLINK(CONCATENATE("#Metadata!", ADDRESS(INDEX($AI$2:$AI$1001,MATCH(ROWS($AG$2:AG21),$AG$2:$AG$1001,0),0), INDEX($AN$1004:$BO$1004,1,MATCH(COLUMNS($AN$1006:AO1006),$AN$1006:$BO$1006,0)))),"Fix")))</f>
        <v>0</v>
      </c>
      <c r="D21" s="4">
        <f>IF(OR(INDEX($AH$2:$AH$1001,MATCH(ROWS($AG$2:AG21),$AG$2:$AG$1001,0),1)&gt;=100000,INDEX($AN$1005:$BO$1005,1,MATCH(COLUMNS($AN$1006:AP1006),$AN$1006:$BO$1006,0))&gt;=100000), " ",IF(INDEX($AN$2:$BO$1001,MATCH(ROWS($AG$2:AG21),$AG$2:$AG$1001,0),MATCH(COLUMNS($AN$1006:AP1006),$AN$1006:$BO$1006,0)), HYPERLINK("#",""), HYPERLINK(CONCATENATE("#Metadata!", ADDRESS(INDEX($AI$2:$AI$1001,MATCH(ROWS($AG$2:AG21),$AG$2:$AG$1001,0),0), INDEX($AN$1004:$BO$1004,1,MATCH(COLUMNS($AN$1006:AP1006),$AN$1006:$BO$1006,0)))),"Fix")))</f>
        <v>0</v>
      </c>
      <c r="E21" s="4">
        <f>IF(OR(INDEX($AH$2:$AH$1001,MATCH(ROWS($AG$2:AG21),$AG$2:$AG$1001,0),1)&gt;=100000,INDEX($AN$1005:$BO$1005,1,MATCH(COLUMNS($AN$1006:AQ1006),$AN$1006:$BO$1006,0))&gt;=100000), " ",IF(INDEX($AN$2:$BO$1001,MATCH(ROWS($AG$2:AG21),$AG$2:$AG$1001,0),MATCH(COLUMNS($AN$1006:AQ1006),$AN$1006:$BO$1006,0)), HYPERLINK("#",""), HYPERLINK(CONCATENATE("#Metadata!", ADDRESS(INDEX($AI$2:$AI$1001,MATCH(ROWS($AG$2:AG21),$AG$2:$AG$1001,0),0), INDEX($AN$1004:$BO$1004,1,MATCH(COLUMNS($AN$1006:AQ1006),$AN$1006:$BO$1006,0)))),"Fix")))</f>
        <v>0</v>
      </c>
      <c r="F21" s="4">
        <f>IF(OR(INDEX($AH$2:$AH$1001,MATCH(ROWS($AG$2:AG21),$AG$2:$AG$1001,0),1)&gt;=100000,INDEX($AN$1005:$BO$1005,1,MATCH(COLUMNS($AN$1006:AR1006),$AN$1006:$BO$1006,0))&gt;=100000), " ",IF(INDEX($AN$2:$BO$1001,MATCH(ROWS($AG$2:AG21),$AG$2:$AG$1001,0),MATCH(COLUMNS($AN$1006:AR1006),$AN$1006:$BO$1006,0)), HYPERLINK("#",""), HYPERLINK(CONCATENATE("#Metadata!", ADDRESS(INDEX($AI$2:$AI$1001,MATCH(ROWS($AG$2:AG21),$AG$2:$AG$1001,0),0), INDEX($AN$1004:$BO$1004,1,MATCH(COLUMNS($AN$1006:AR1006),$AN$1006:$BO$1006,0)))),"Fix")))</f>
        <v>0</v>
      </c>
      <c r="G21" s="4">
        <f>IF(OR(INDEX($AH$2:$AH$1001,MATCH(ROWS($AG$2:AG21),$AG$2:$AG$1001,0),1)&gt;=100000,INDEX($AN$1005:$BO$1005,1,MATCH(COLUMNS($AN$1006:AS1006),$AN$1006:$BO$1006,0))&gt;=100000), " ",IF(INDEX($AN$2:$BO$1001,MATCH(ROWS($AG$2:AG21),$AG$2:$AG$1001,0),MATCH(COLUMNS($AN$1006:AS1006),$AN$1006:$BO$1006,0)), HYPERLINK("#",""), HYPERLINK(CONCATENATE("#Metadata!", ADDRESS(INDEX($AI$2:$AI$1001,MATCH(ROWS($AG$2:AG21),$AG$2:$AG$1001,0),0), INDEX($AN$1004:$BO$1004,1,MATCH(COLUMNS($AN$1006:AS1006),$AN$1006:$BO$1006,0)))),"Fix")))</f>
        <v>0</v>
      </c>
      <c r="H21" s="4">
        <f>IF(OR(INDEX($AH$2:$AH$1001,MATCH(ROWS($AG$2:AG21),$AG$2:$AG$1001,0),1)&gt;=100000,INDEX($AN$1005:$BO$1005,1,MATCH(COLUMNS($AN$1006:AT1006),$AN$1006:$BO$1006,0))&gt;=100000), " ",IF(INDEX($AN$2:$BO$1001,MATCH(ROWS($AG$2:AG21),$AG$2:$AG$1001,0),MATCH(COLUMNS($AN$1006:AT1006),$AN$1006:$BO$1006,0)), HYPERLINK("#",""), HYPERLINK(CONCATENATE("#Metadata!", ADDRESS(INDEX($AI$2:$AI$1001,MATCH(ROWS($AG$2:AG21),$AG$2:$AG$1001,0),0), INDEX($AN$1004:$BO$1004,1,MATCH(COLUMNS($AN$1006:AT1006),$AN$1006:$BO$1006,0)))),"Fix")))</f>
        <v>0</v>
      </c>
      <c r="I21" s="4">
        <f>IF(OR(INDEX($AH$2:$AH$1001,MATCH(ROWS($AG$2:AG21),$AG$2:$AG$1001,0),1)&gt;=100000,INDEX($AN$1005:$BO$1005,1,MATCH(COLUMNS($AN$1006:AU1006),$AN$1006:$BO$1006,0))&gt;=100000), " ",IF(INDEX($AN$2:$BO$1001,MATCH(ROWS($AG$2:AG21),$AG$2:$AG$1001,0),MATCH(COLUMNS($AN$1006:AU1006),$AN$1006:$BO$1006,0)), HYPERLINK("#",""), HYPERLINK(CONCATENATE("#Metadata!", ADDRESS(INDEX($AI$2:$AI$1001,MATCH(ROWS($AG$2:AG21),$AG$2:$AG$1001,0),0), INDEX($AN$1004:$BO$1004,1,MATCH(COLUMNS($AN$1006:AU1006),$AN$1006:$BO$1006,0)))),"Fix")))</f>
        <v>0</v>
      </c>
      <c r="J21" s="4">
        <f>IF(OR(INDEX($AH$2:$AH$1001,MATCH(ROWS($AG$2:AG21),$AG$2:$AG$1001,0),1)&gt;=100000,INDEX($AN$1005:$BO$1005,1,MATCH(COLUMNS($AN$1006:AV1006),$AN$1006:$BO$1006,0))&gt;=100000), " ",IF(INDEX($AN$2:$BO$1001,MATCH(ROWS($AG$2:AG21),$AG$2:$AG$1001,0),MATCH(COLUMNS($AN$1006:AV1006),$AN$1006:$BO$1006,0)), HYPERLINK("#",""), HYPERLINK(CONCATENATE("#Metadata!", ADDRESS(INDEX($AI$2:$AI$1001,MATCH(ROWS($AG$2:AG21),$AG$2:$AG$1001,0),0), INDEX($AN$1004:$BO$1004,1,MATCH(COLUMNS($AN$1006:AV1006),$AN$1006:$BO$1006,0)))),"Fix")))</f>
        <v>0</v>
      </c>
      <c r="K21" s="4">
        <f>IF(OR(INDEX($AH$2:$AH$1001,MATCH(ROWS($AG$2:AG21),$AG$2:$AG$1001,0),1)&gt;=100000,INDEX($AN$1005:$BO$1005,1,MATCH(COLUMNS($AN$1006:AW1006),$AN$1006:$BO$1006,0))&gt;=100000), " ",IF(INDEX($AN$2:$BO$1001,MATCH(ROWS($AG$2:AG21),$AG$2:$AG$1001,0),MATCH(COLUMNS($AN$1006:AW1006),$AN$1006:$BO$1006,0)), HYPERLINK("#",""), HYPERLINK(CONCATENATE("#Metadata!", ADDRESS(INDEX($AI$2:$AI$1001,MATCH(ROWS($AG$2:AG21),$AG$2:$AG$1001,0),0), INDEX($AN$1004:$BO$1004,1,MATCH(COLUMNS($AN$1006:AW1006),$AN$1006:$BO$1006,0)))),"Fix")))</f>
        <v>0</v>
      </c>
      <c r="L21" s="4">
        <f>IF(OR(INDEX($AH$2:$AH$1001,MATCH(ROWS($AG$2:AG21),$AG$2:$AG$1001,0),1)&gt;=100000,INDEX($AN$1005:$BO$1005,1,MATCH(COLUMNS($AN$1006:AX1006),$AN$1006:$BO$1006,0))&gt;=100000), " ",IF(INDEX($AN$2:$BO$1001,MATCH(ROWS($AG$2:AG21),$AG$2:$AG$1001,0),MATCH(COLUMNS($AN$1006:AX1006),$AN$1006:$BO$1006,0)), HYPERLINK("#",""), HYPERLINK(CONCATENATE("#Metadata!", ADDRESS(INDEX($AI$2:$AI$1001,MATCH(ROWS($AG$2:AG21),$AG$2:$AG$1001,0),0), INDEX($AN$1004:$BO$1004,1,MATCH(COLUMNS($AN$1006:AX1006),$AN$1006:$BO$1006,0)))),"Fix")))</f>
        <v>0</v>
      </c>
      <c r="M21" s="4">
        <f>IF(OR(INDEX($AH$2:$AH$1001,MATCH(ROWS($AG$2:AG21),$AG$2:$AG$1001,0),1)&gt;=100000,INDEX($AN$1005:$BO$1005,1,MATCH(COLUMNS($AN$1006:AY1006),$AN$1006:$BO$1006,0))&gt;=100000), " ",IF(INDEX($AN$2:$BO$1001,MATCH(ROWS($AG$2:AG21),$AG$2:$AG$1001,0),MATCH(COLUMNS($AN$1006:AY1006),$AN$1006:$BO$1006,0)), HYPERLINK("#",""), HYPERLINK(CONCATENATE("#Metadata!", ADDRESS(INDEX($AI$2:$AI$1001,MATCH(ROWS($AG$2:AG21),$AG$2:$AG$1001,0),0), INDEX($AN$1004:$BO$1004,1,MATCH(COLUMNS($AN$1006:AY1006),$AN$1006:$BO$1006,0)))),"Fix")))</f>
        <v>0</v>
      </c>
      <c r="N21" s="4">
        <f>IF(OR(INDEX($AH$2:$AH$1001,MATCH(ROWS($AG$2:AG21),$AG$2:$AG$1001,0),1)&gt;=100000,INDEX($AN$1005:$BO$1005,1,MATCH(COLUMNS($AN$1006:AZ1006),$AN$1006:$BO$1006,0))&gt;=100000), " ",IF(INDEX($AN$2:$BO$1001,MATCH(ROWS($AG$2:AG21),$AG$2:$AG$1001,0),MATCH(COLUMNS($AN$1006:AZ1006),$AN$1006:$BO$1006,0)), HYPERLINK("#",""), HYPERLINK(CONCATENATE("#Metadata!", ADDRESS(INDEX($AI$2:$AI$1001,MATCH(ROWS($AG$2:AG21),$AG$2:$AG$1001,0),0), INDEX($AN$1004:$BO$1004,1,MATCH(COLUMNS($AN$1006:AZ1006),$AN$1006:$BO$1006,0)))),"Fix")))</f>
        <v>0</v>
      </c>
      <c r="O21" s="4">
        <f>IF(OR(INDEX($AH$2:$AH$1001,MATCH(ROWS($AG$2:AG21),$AG$2:$AG$1001,0),1)&gt;=100000,INDEX($AN$1005:$BO$1005,1,MATCH(COLUMNS($AN$1006:BA1006),$AN$1006:$BO$1006,0))&gt;=100000), " ",IF(INDEX($AN$2:$BO$1001,MATCH(ROWS($AG$2:AG21),$AG$2:$AG$1001,0),MATCH(COLUMNS($AN$1006:BA1006),$AN$1006:$BO$1006,0)), HYPERLINK("#",""), HYPERLINK(CONCATENATE("#Metadata!", ADDRESS(INDEX($AI$2:$AI$1001,MATCH(ROWS($AG$2:AG21),$AG$2:$AG$1001,0),0), INDEX($AN$1004:$BO$1004,1,MATCH(COLUMNS($AN$1006:BA1006),$AN$1006:$BO$1006,0)))),"Fix")))</f>
        <v>0</v>
      </c>
      <c r="P21" s="4">
        <f>IF(OR(INDEX($AH$2:$AH$1001,MATCH(ROWS($AG$2:AG21),$AG$2:$AG$1001,0),1)&gt;=100000,INDEX($AN$1005:$BO$1005,1,MATCH(COLUMNS($AN$1006:BB1006),$AN$1006:$BO$1006,0))&gt;=100000), " ",IF(INDEX($AN$2:$BO$1001,MATCH(ROWS($AG$2:AG21),$AG$2:$AG$1001,0),MATCH(COLUMNS($AN$1006:BB1006),$AN$1006:$BO$1006,0)), HYPERLINK("#",""), HYPERLINK(CONCATENATE("#Metadata!", ADDRESS(INDEX($AI$2:$AI$1001,MATCH(ROWS($AG$2:AG21),$AG$2:$AG$1001,0),0), INDEX($AN$1004:$BO$1004,1,MATCH(COLUMNS($AN$1006:BB1006),$AN$1006:$BO$1006,0)))),"Fix")))</f>
        <v>0</v>
      </c>
      <c r="Q21" s="4">
        <f>IF(OR(INDEX($AH$2:$AH$1001,MATCH(ROWS($AG$2:AG21),$AG$2:$AG$1001,0),1)&gt;=100000,INDEX($AN$1005:$BO$1005,1,MATCH(COLUMNS($AN$1006:BC1006),$AN$1006:$BO$1006,0))&gt;=100000), " ",IF(INDEX($AN$2:$BO$1001,MATCH(ROWS($AG$2:AG21),$AG$2:$AG$1001,0),MATCH(COLUMNS($AN$1006:BC1006),$AN$1006:$BO$1006,0)), HYPERLINK("#",""), HYPERLINK(CONCATENATE("#Metadata!", ADDRESS(INDEX($AI$2:$AI$1001,MATCH(ROWS($AG$2:AG21),$AG$2:$AG$1001,0),0), INDEX($AN$1004:$BO$1004,1,MATCH(COLUMNS($AN$1006:BC1006),$AN$1006:$BO$1006,0)))),"Fix")))</f>
        <v>0</v>
      </c>
      <c r="R21" s="4">
        <f>IF(OR(INDEX($AH$2:$AH$1001,MATCH(ROWS($AG$2:AG21),$AG$2:$AG$1001,0),1)&gt;=100000,INDEX($AN$1005:$BO$1005,1,MATCH(COLUMNS($AN$1006:BD1006),$AN$1006:$BO$1006,0))&gt;=100000), " ",IF(INDEX($AN$2:$BO$1001,MATCH(ROWS($AG$2:AG21),$AG$2:$AG$1001,0),MATCH(COLUMNS($AN$1006:BD1006),$AN$1006:$BO$1006,0)), HYPERLINK("#",""), HYPERLINK(CONCATENATE("#Metadata!", ADDRESS(INDEX($AI$2:$AI$1001,MATCH(ROWS($AG$2:AG21),$AG$2:$AG$1001,0),0), INDEX($AN$1004:$BO$1004,1,MATCH(COLUMNS($AN$1006:BD1006),$AN$1006:$BO$1006,0)))),"Fix")))</f>
        <v>0</v>
      </c>
      <c r="S21" s="4">
        <f>IF(OR(INDEX($AH$2:$AH$1001,MATCH(ROWS($AG$2:AG21),$AG$2:$AG$1001,0),1)&gt;=100000,INDEX($AN$1005:$BO$1005,1,MATCH(COLUMNS($AN$1006:BE1006),$AN$1006:$BO$1006,0))&gt;=100000), " ",IF(INDEX($AN$2:$BO$1001,MATCH(ROWS($AG$2:AG21),$AG$2:$AG$1001,0),MATCH(COLUMNS($AN$1006:BE1006),$AN$1006:$BO$1006,0)), HYPERLINK("#",""), HYPERLINK(CONCATENATE("#Metadata!", ADDRESS(INDEX($AI$2:$AI$1001,MATCH(ROWS($AG$2:AG21),$AG$2:$AG$1001,0),0), INDEX($AN$1004:$BO$1004,1,MATCH(COLUMNS($AN$1006:BE1006),$AN$1006:$BO$1006,0)))),"Fix")))</f>
        <v>0</v>
      </c>
      <c r="T21" s="4">
        <f>IF(OR(INDEX($AH$2:$AH$1001,MATCH(ROWS($AG$2:AG21),$AG$2:$AG$1001,0),1)&gt;=100000,INDEX($AN$1005:$BO$1005,1,MATCH(COLUMNS($AN$1006:BF1006),$AN$1006:$BO$1006,0))&gt;=100000), " ",IF(INDEX($AN$2:$BO$1001,MATCH(ROWS($AG$2:AG21),$AG$2:$AG$1001,0),MATCH(COLUMNS($AN$1006:BF1006),$AN$1006:$BO$1006,0)), HYPERLINK("#",""), HYPERLINK(CONCATENATE("#Metadata!", ADDRESS(INDEX($AI$2:$AI$1001,MATCH(ROWS($AG$2:AG21),$AG$2:$AG$1001,0),0), INDEX($AN$1004:$BO$1004,1,MATCH(COLUMNS($AN$1006:BF1006),$AN$1006:$BO$1006,0)))),"Fix")))</f>
        <v>0</v>
      </c>
      <c r="U21" s="4">
        <f>IF(OR(INDEX($AH$2:$AH$1001,MATCH(ROWS($AG$2:AG21),$AG$2:$AG$1001,0),1)&gt;=100000,INDEX($AN$1005:$BO$1005,1,MATCH(COLUMNS($AN$1006:BG1006),$AN$1006:$BO$1006,0))&gt;=100000), " ",IF(INDEX($AN$2:$BO$1001,MATCH(ROWS($AG$2:AG21),$AG$2:$AG$1001,0),MATCH(COLUMNS($AN$1006:BG1006),$AN$1006:$BO$1006,0)), HYPERLINK("#",""), HYPERLINK(CONCATENATE("#Metadata!", ADDRESS(INDEX($AI$2:$AI$1001,MATCH(ROWS($AG$2:AG21),$AG$2:$AG$1001,0),0), INDEX($AN$1004:$BO$1004,1,MATCH(COLUMNS($AN$1006:BG1006),$AN$1006:$BO$1006,0)))),"Fix")))</f>
        <v>0</v>
      </c>
      <c r="V21" s="4">
        <f>IF(OR(INDEX($AH$2:$AH$1001,MATCH(ROWS($AG$2:AG21),$AG$2:$AG$1001,0),1)&gt;=100000,INDEX($AN$1005:$BO$1005,1,MATCH(COLUMNS($AN$1006:BH1006),$AN$1006:$BO$1006,0))&gt;=100000), " ",IF(INDEX($AN$2:$BO$1001,MATCH(ROWS($AG$2:AG21),$AG$2:$AG$1001,0),MATCH(COLUMNS($AN$1006:BH1006),$AN$1006:$BO$1006,0)), HYPERLINK("#",""), HYPERLINK(CONCATENATE("#Metadata!", ADDRESS(INDEX($AI$2:$AI$1001,MATCH(ROWS($AG$2:AG21),$AG$2:$AG$1001,0),0), INDEX($AN$1004:$BO$1004,1,MATCH(COLUMNS($AN$1006:BH1006),$AN$1006:$BO$1006,0)))),"Fix")))</f>
        <v>0</v>
      </c>
      <c r="W21" s="4">
        <f>IF(OR(INDEX($AH$2:$AH$1001,MATCH(ROWS($AG$2:AG21),$AG$2:$AG$1001,0),1)&gt;=100000,INDEX($AN$1005:$BO$1005,1,MATCH(COLUMNS($AN$1006:BI1006),$AN$1006:$BO$1006,0))&gt;=100000), " ",IF(INDEX($AN$2:$BO$1001,MATCH(ROWS($AG$2:AG21),$AG$2:$AG$1001,0),MATCH(COLUMNS($AN$1006:BI1006),$AN$1006:$BO$1006,0)), HYPERLINK("#",""), HYPERLINK(CONCATENATE("#Metadata!", ADDRESS(INDEX($AI$2:$AI$1001,MATCH(ROWS($AG$2:AG21),$AG$2:$AG$1001,0),0), INDEX($AN$1004:$BO$1004,1,MATCH(COLUMNS($AN$1006:BI1006),$AN$1006:$BO$1006,0)))),"Fix")))</f>
        <v>0</v>
      </c>
      <c r="X21" s="4">
        <f>IF(OR(INDEX($AH$2:$AH$1001,MATCH(ROWS($AG$2:AG21),$AG$2:$AG$1001,0),1)&gt;=100000,INDEX($AN$1005:$BO$1005,1,MATCH(COLUMNS($AN$1006:BJ1006),$AN$1006:$BO$1006,0))&gt;=100000), " ",IF(INDEX($AN$2:$BO$1001,MATCH(ROWS($AG$2:AG21),$AG$2:$AG$1001,0),MATCH(COLUMNS($AN$1006:BJ1006),$AN$1006:$BO$1006,0)), HYPERLINK("#",""), HYPERLINK(CONCATENATE("#Metadata!", ADDRESS(INDEX($AI$2:$AI$1001,MATCH(ROWS($AG$2:AG21),$AG$2:$AG$1001,0),0), INDEX($AN$1004:$BO$1004,1,MATCH(COLUMNS($AN$1006:BJ1006),$AN$1006:$BO$1006,0)))),"Fix")))</f>
        <v>0</v>
      </c>
      <c r="Y21" s="4">
        <f>IF(OR(INDEX($AH$2:$AH$1001,MATCH(ROWS($AG$2:AG21),$AG$2:$AG$1001,0),1)&gt;=100000,INDEX($AN$1005:$BO$1005,1,MATCH(COLUMNS($AN$1006:BK1006),$AN$1006:$BO$1006,0))&gt;=100000), " ",IF(INDEX($AN$2:$BO$1001,MATCH(ROWS($AG$2:AG21),$AG$2:$AG$1001,0),MATCH(COLUMNS($AN$1006:BK1006),$AN$1006:$BO$1006,0)), HYPERLINK("#",""), HYPERLINK(CONCATENATE("#Metadata!", ADDRESS(INDEX($AI$2:$AI$1001,MATCH(ROWS($AG$2:AG21),$AG$2:$AG$1001,0),0), INDEX($AN$1004:$BO$1004,1,MATCH(COLUMNS($AN$1006:BK1006),$AN$1006:$BO$1006,0)))),"Fix")))</f>
        <v>0</v>
      </c>
      <c r="Z21" s="4">
        <f>IF(OR(INDEX($AH$2:$AH$1001,MATCH(ROWS($AG$2:AG21),$AG$2:$AG$1001,0),1)&gt;=100000,INDEX($AN$1005:$BO$1005,1,MATCH(COLUMNS($AN$1006:BL1006),$AN$1006:$BO$1006,0))&gt;=100000), " ",IF(INDEX($AN$2:$BO$1001,MATCH(ROWS($AG$2:AG21),$AG$2:$AG$1001,0),MATCH(COLUMNS($AN$1006:BL1006),$AN$1006:$BO$1006,0)), HYPERLINK("#",""), HYPERLINK(CONCATENATE("#Metadata!", ADDRESS(INDEX($AI$2:$AI$1001,MATCH(ROWS($AG$2:AG21),$AG$2:$AG$1001,0),0), INDEX($AN$1004:$BO$1004,1,MATCH(COLUMNS($AN$1006:BL1006),$AN$1006:$BO$1006,0)))),"Fix")))</f>
        <v>0</v>
      </c>
      <c r="AA21" s="4">
        <f>IF(OR(INDEX($AH$2:$AH$1001,MATCH(ROWS($AG$2:AG21),$AG$2:$AG$1001,0),1)&gt;=100000,INDEX($AN$1005:$BO$1005,1,MATCH(COLUMNS($AN$1006:BM1006),$AN$1006:$BO$1006,0))&gt;=100000), " ",IF(INDEX($AN$2:$BO$1001,MATCH(ROWS($AG$2:AG21),$AG$2:$AG$1001,0),MATCH(COLUMNS($AN$1006:BM1006),$AN$1006:$BO$1006,0)), HYPERLINK("#",""), HYPERLINK(CONCATENATE("#Metadata!", ADDRESS(INDEX($AI$2:$AI$1001,MATCH(ROWS($AG$2:AG21),$AG$2:$AG$1001,0),0), INDEX($AN$1004:$BO$1004,1,MATCH(COLUMNS($AN$1006:BM1006),$AN$1006:$BO$1006,0)))),"Fix")))</f>
        <v>0</v>
      </c>
      <c r="AB21" s="4">
        <f>IF(OR(INDEX($AH$2:$AH$1001,MATCH(ROWS($AG$2:AG21),$AG$2:$AG$1001,0),1)&gt;=100000,INDEX($AN$1005:$BO$1005,1,MATCH(COLUMNS($AN$1006:BN1006),$AN$1006:$BO$1006,0))&gt;=100000), " ",IF(INDEX($AN$2:$BO$1001,MATCH(ROWS($AG$2:AG21),$AG$2:$AG$1001,0),MATCH(COLUMNS($AN$1006:BN1006),$AN$1006:$BO$1006,0)), HYPERLINK("#",""), HYPERLINK(CONCATENATE("#Metadata!", ADDRESS(INDEX($AI$2:$AI$1001,MATCH(ROWS($AG$2:AG21),$AG$2:$AG$1001,0),0), INDEX($AN$1004:$BO$1004,1,MATCH(COLUMNS($AN$1006:BN1006),$AN$1006:$BO$1006,0)))),"Fix")))</f>
        <v>0</v>
      </c>
      <c r="AC21" s="4">
        <f>IF(OR(INDEX($AH$2:$AH$1001,MATCH(ROWS($AG$2:AG21),$AG$2:$AG$1001,0),1)&gt;=100000,INDEX($AN$1005:$BO$1005,1,MATCH(COLUMNS($AN$1006:BO1006),$AN$1006:$BO$1006,0))&gt;=100000), " ",IF(INDEX($AN$2:$BO$1001,MATCH(ROWS($AG$2:AG21),$AG$2:$AG$1001,0),MATCH(COLUMNS($AN$1006:BO1006),$AN$1006:$BO$1006,0)), HYPERLINK("#",""), HYPERLINK(CONCATENATE("#Metadata!", ADDRESS(INDEX($AI$2:$AI$1001,MATCH(ROWS($AG$2:AG21),$AG$2:$AG$1001,0),0), INDEX($AN$1004:$BO$1004,1,MATCH(COLUMNS($AN$1006:BO1006),$AN$1006:$BO$1006,0)))),"Fix")))</f>
        <v>0</v>
      </c>
      <c r="AG21">
        <v>0</v>
      </c>
      <c r="AH21">
        <v>0</v>
      </c>
      <c r="AI21">
        <v>0</v>
      </c>
      <c r="AJ21">
        <f>IF(AK21,TRUE,AND(AN21:BO21))</f>
        <v>0</v>
      </c>
      <c r="AK21">
        <f>COUNTBLANK(Metadata!B21:AC21)=COLUMNS(Metadata!B21:AC21)</f>
        <v>0</v>
      </c>
      <c r="AL21">
        <v>0</v>
      </c>
      <c r="AN21">
        <f>AND(IF(Metadata!B21="",FALSE,TRUE),COUNTIF(Metadata!B:B, Metadata!B21) = 1,NOT(ISERROR(SUMPRODUCT(SEARCH(MID(Metadata!B21,ROW(INDIRECT("1:"&amp;LEN(Metadata!B21))), 1),"0123456789abcdefghijklmnopqrstuvwxyzABCDEFGHIJKLMNOPQRSTUVWXYZ.")))))</f>
        <v>0</v>
      </c>
      <c r="AO21">
        <f>IF(Metadata!C21="",FALSE,TRUE)</f>
        <v>0</v>
      </c>
      <c r="AP21">
        <f>IF(Metadata!D21="",FALSE,TRUE)</f>
        <v>0</v>
      </c>
      <c r="AQ21">
        <f>OR(AND(IF(Metadata!E21="",FALSE,TRUE),OR(exact(Metadata!E21,"not collected"),exact(Metadata!E21,"not provided"),exact(Metadata!E21,"restricted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R21">
        <f>IF(Metadata!F21="",FALSE,TRUE)</f>
        <v>0</v>
      </c>
      <c r="AS21">
        <f>OR(AND(IF(Metadata!G21="",FALSE,TRUE),OR(exact(Metadata!G21,"not collected"),exact(Metadata!G21,"not provided"))),AND(IF(Metadata!G21="",FALSE,TRUE),OR(exact(Metadata!G21,"TRUE"),exact(Metadata!G21,"FALSE"))))</f>
        <v>0</v>
      </c>
      <c r="AT21">
        <f>OR(AND(IF(Metadata!H21="",FALSE,TRUE),OR(exact(Metadata!H21,"not collected"),exact(Metadata!H21,"not provided"),exact(Metadata!H21,"restricted access"))),AND(IF(Metadata!H21="",FALSE,ISNUMBER(VALUE(Metadata!H21))),Metadata!H21&gt;=-413.0))</f>
        <v>0</v>
      </c>
      <c r="AU21">
        <f>AND(IF(Metadata!I21="",FALSE,TRUE),exact(Metadata!I21,"meters"))</f>
        <v>0</v>
      </c>
      <c r="AV21">
        <f>AND(IF(Metadata!J21="",FALSE,TRUE),OR(exact(Metadata!J21,"Host-associated"),exact(Metadata!J21,"Free-living")))</f>
        <v>0</v>
      </c>
      <c r="AW21">
        <f>AND(IF(Metadata!K21="",FALSE,TRUE),OR(exact(Metadata!K21,"Animal"),exact(Metadata!K21,"Fungus"),exact(Metadata!K21,"Plant"),exact(Metadata!K21,"Saline"),exact(Metadata!K21,"Non-saline")))</f>
        <v>0</v>
      </c>
      <c r="AX21">
        <f>AND(IF(Metadata!L21="",FALSE,TRUE),OR(exact(Metadata!L21,"Plant secretion"),exact(Metadata!L21,"Plant rhizosphere"),exact(Metadata!L21,"Plant surface"),exact(Metadata!L21,"Plant corpus"),exact(Metadata!L21,"Fungus surface"),exact(Metadata!L21,"Fungus corpus"),exact(Metadata!L21,"Animal surface"),exact(Metadata!L21,"Animal proximal gut"),exact(Metadata!L21,"Animal corpus"),exact(Metadata!L21,"Animal distal gut"),exact(Metadata!L21,"Animal secretion"),exact(Metadata!L21,"Sub-surface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0</v>
      </c>
      <c r="AY21">
        <f>IF(Metadata!M21="",FALSE,TRUE)</f>
        <v>0</v>
      </c>
      <c r="AZ21">
        <f>IF(Metadata!N21="",FALSE,TRUE)</f>
        <v>0</v>
      </c>
      <c r="BA21">
        <f>IF(Metadata!O21="",FALSE,TRUE)</f>
        <v>0</v>
      </c>
      <c r="BB21">
        <f>OR(AND(IF(Metadata!P21="",FALSE,TRUE),OR(exact(Metadata!P21,"not collected"),exact(Metadata!P21,"not provided"),exact(Metadata!P21,"restricted access"))),AND(IF(Metadata!P21="",FALSE,TRUE),OR(exact(Metadata!P21,"air"),exact(Metadata!P21,"built environment"),exact(Metadata!P21,"host-associated"),exact(Metadata!P21,"human-associated"),exact(Metadata!P21,"human-skin"),exact(Metadata!P21,"human-oral"),exact(Metadata!P21,"human-gut"),exact(Metadata!P21,"human-vaginal"),exact(Metadata!P21,"microbial mat/biofilm"),exact(Metadata!P21,"misc environment"),exact(Metadata!P21,"plant-associated"),exact(Metadata!P21,"sediment"),exact(Metadata!P21,"soil"),exact(Metadata!P21,"wastewater/sludge"),exact(Metadata!P21,"water"))))</f>
        <v>0</v>
      </c>
      <c r="BC21">
        <f>IF(Metadata!Q21="",FALSE,TRUE)</f>
        <v>0</v>
      </c>
      <c r="BD21">
        <f>IF(Metadata!R21="",FALSE,TRUE)</f>
        <v>0</v>
      </c>
      <c r="BE21">
        <f>OR(AND(IF(Metadata!S21="",FALSE,TRUE),OR(exact(Metadata!S21,"not collected"),exact(Metadata!S21,"not provided"),exact(Metadata!S21,"restricted access"))),AND(IF(Metadata!S21="",FALSE,ISNUMBER(VALUE(Metadata!S21))),Metadata!S21&gt;=-90.00,Metadata!S21&lt;=90.00))</f>
        <v>0</v>
      </c>
      <c r="BF21">
        <f>AND(IF(Metadata!T21="",FALSE,TRUE),exact(Metadata!T21,"Decimal degrees"))</f>
        <v>0</v>
      </c>
      <c r="BG21">
        <f>OR(AND(IF(Metadata!U21="",FALSE,TRUE),OR(exact(Metadata!U21,"not collected"),exact(Metadata!U21,"not provided"),exact(Metadata!U21,"restricted access"))),AND(IF(Metadata!U21="",FALSE,ISNUMBER(VALUE(Metadata!U21))),Metadata!U21&gt;=-180.00,Metadata!U21&lt;=180.00))</f>
        <v>0</v>
      </c>
      <c r="BH21">
        <f>AND(IF(Metadata!V21="",FALSE,TRUE),exact(Metadata!V21,"Decimal degrees"))</f>
        <v>0</v>
      </c>
      <c r="BI21">
        <f>IF(Metadata!W21="",FALSE,TRUE)</f>
        <v>0</v>
      </c>
      <c r="BJ21">
        <f>OR(AND(IF(Metadata!X21="",FALSE,TRUE),OR(exact(Metadata!X21,"not collected"),exact(Metadata!X21,"not provided"),exact(Metadata!X21,"restricted access"))),AND(IF(Metadata!X21="",FALSE,TRUE),OR(exact(Metadata!X21,"TRUE"),exact(Metadata!X21,"FALSE"))))</f>
        <v>0</v>
      </c>
      <c r="BK21">
        <f>AND(IF(Metadata!Y21="",FALSE,TRUE),exact(Metadata!Y21,"other"))</f>
        <v>0</v>
      </c>
      <c r="BL21">
        <f>IF(Metadata!Z21="",FALSE,TRUE)</f>
        <v>0</v>
      </c>
      <c r="BM21">
        <f>OR(AND(IF(Metadata!AA21="",FALSE,TRUE),OR(exact(Metadata!AA21,"not collected"),exact(Metadata!AA21,"not provided"))),AND(IF(Metadata!AA21="",FALSE,IF(ISERROR(INT(Metadata!AA21)),FALSE,INT(Metadata!AA21)=Metadata!AA21)),Metadata!AA21&gt;0))</f>
        <v>0</v>
      </c>
      <c r="BN21">
        <f>AND(IF(Metadata!AB21="",FALSE,TRUE),exact(Metadata!AB21,"Not applicable"))</f>
        <v>0</v>
      </c>
      <c r="BO21">
        <f>IF(Metadata!AC21="",FALSE,TRUE)</f>
        <v>0</v>
      </c>
    </row>
    <row r="22" spans="1:67">
      <c r="A22" s="5">
        <f>IF(B22=" "," ",HYPERLINK(CONCATENATE("#metadata!",ADDRESS(INDEX($AI$2:$AI$1001,MATCH(ROWS($AG$2:AG22),$AG$2:$AG$1001,0),0),1)),INDEX($AL$2:$AL$1001,MATCH(ROWS($AG$2:AG22),$AG$2:$AG$1001,0),0)))</f>
        <v>0</v>
      </c>
      <c r="B22" s="4">
        <f>IF(OR(INDEX($AH$2:$AH$1001,MATCH(ROWS($AG$2:AG22),$AG$2:$AG$1001,0),1)&gt;=100000,INDEX($AN$1005:$BO$1005,1,MATCH(COLUMNS($AN$1006:AN1006),$AN$1006:$BO$1006,0))&gt;=100000), " ",IF(INDEX($AN$2:$BO$1001,MATCH(ROWS($AG$2:AG22),$AG$2:$AG$1001,0),MATCH(COLUMNS($AN$1006:AN1006),$AN$1006:$BO$1006,0)), HYPERLINK("#",""), HYPERLINK(CONCATENATE("#Metadata!", ADDRESS(INDEX($AI$2:$AI$1001,MATCH(ROWS($AG$2:AG22),$AG$2:$AG$1001,0),0), INDEX($AN$1004:$BO$1004,1,MATCH(COLUMNS($AN$1006:AN1006),$AN$1006:$BO$1006,0)))),"Fix")))</f>
        <v>0</v>
      </c>
      <c r="C22" s="4">
        <f>IF(OR(INDEX($AH$2:$AH$1001,MATCH(ROWS($AG$2:AG22),$AG$2:$AG$1001,0),1)&gt;=100000,INDEX($AN$1005:$BO$1005,1,MATCH(COLUMNS($AN$1006:AO1006),$AN$1006:$BO$1006,0))&gt;=100000), " ",IF(INDEX($AN$2:$BO$1001,MATCH(ROWS($AG$2:AG22),$AG$2:$AG$1001,0),MATCH(COLUMNS($AN$1006:AO1006),$AN$1006:$BO$1006,0)), HYPERLINK("#",""), HYPERLINK(CONCATENATE("#Metadata!", ADDRESS(INDEX($AI$2:$AI$1001,MATCH(ROWS($AG$2:AG22),$AG$2:$AG$1001,0),0), INDEX($AN$1004:$BO$1004,1,MATCH(COLUMNS($AN$1006:AO1006),$AN$1006:$BO$1006,0)))),"Fix")))</f>
        <v>0</v>
      </c>
      <c r="D22" s="4">
        <f>IF(OR(INDEX($AH$2:$AH$1001,MATCH(ROWS($AG$2:AG22),$AG$2:$AG$1001,0),1)&gt;=100000,INDEX($AN$1005:$BO$1005,1,MATCH(COLUMNS($AN$1006:AP1006),$AN$1006:$BO$1006,0))&gt;=100000), " ",IF(INDEX($AN$2:$BO$1001,MATCH(ROWS($AG$2:AG22),$AG$2:$AG$1001,0),MATCH(COLUMNS($AN$1006:AP1006),$AN$1006:$BO$1006,0)), HYPERLINK("#",""), HYPERLINK(CONCATENATE("#Metadata!", ADDRESS(INDEX($AI$2:$AI$1001,MATCH(ROWS($AG$2:AG22),$AG$2:$AG$1001,0),0), INDEX($AN$1004:$BO$1004,1,MATCH(COLUMNS($AN$1006:AP1006),$AN$1006:$BO$1006,0)))),"Fix")))</f>
        <v>0</v>
      </c>
      <c r="E22" s="4">
        <f>IF(OR(INDEX($AH$2:$AH$1001,MATCH(ROWS($AG$2:AG22),$AG$2:$AG$1001,0),1)&gt;=100000,INDEX($AN$1005:$BO$1005,1,MATCH(COLUMNS($AN$1006:AQ1006),$AN$1006:$BO$1006,0))&gt;=100000), " ",IF(INDEX($AN$2:$BO$1001,MATCH(ROWS($AG$2:AG22),$AG$2:$AG$1001,0),MATCH(COLUMNS($AN$1006:AQ1006),$AN$1006:$BO$1006,0)), HYPERLINK("#",""), HYPERLINK(CONCATENATE("#Metadata!", ADDRESS(INDEX($AI$2:$AI$1001,MATCH(ROWS($AG$2:AG22),$AG$2:$AG$1001,0),0), INDEX($AN$1004:$BO$1004,1,MATCH(COLUMNS($AN$1006:AQ1006),$AN$1006:$BO$1006,0)))),"Fix")))</f>
        <v>0</v>
      </c>
      <c r="F22" s="4">
        <f>IF(OR(INDEX($AH$2:$AH$1001,MATCH(ROWS($AG$2:AG22),$AG$2:$AG$1001,0),1)&gt;=100000,INDEX($AN$1005:$BO$1005,1,MATCH(COLUMNS($AN$1006:AR1006),$AN$1006:$BO$1006,0))&gt;=100000), " ",IF(INDEX($AN$2:$BO$1001,MATCH(ROWS($AG$2:AG22),$AG$2:$AG$1001,0),MATCH(COLUMNS($AN$1006:AR1006),$AN$1006:$BO$1006,0)), HYPERLINK("#",""), HYPERLINK(CONCATENATE("#Metadata!", ADDRESS(INDEX($AI$2:$AI$1001,MATCH(ROWS($AG$2:AG22),$AG$2:$AG$1001,0),0), INDEX($AN$1004:$BO$1004,1,MATCH(COLUMNS($AN$1006:AR1006),$AN$1006:$BO$1006,0)))),"Fix")))</f>
        <v>0</v>
      </c>
      <c r="G22" s="4">
        <f>IF(OR(INDEX($AH$2:$AH$1001,MATCH(ROWS($AG$2:AG22),$AG$2:$AG$1001,0),1)&gt;=100000,INDEX($AN$1005:$BO$1005,1,MATCH(COLUMNS($AN$1006:AS1006),$AN$1006:$BO$1006,0))&gt;=100000), " ",IF(INDEX($AN$2:$BO$1001,MATCH(ROWS($AG$2:AG22),$AG$2:$AG$1001,0),MATCH(COLUMNS($AN$1006:AS1006),$AN$1006:$BO$1006,0)), HYPERLINK("#",""), HYPERLINK(CONCATENATE("#Metadata!", ADDRESS(INDEX($AI$2:$AI$1001,MATCH(ROWS($AG$2:AG22),$AG$2:$AG$1001,0),0), INDEX($AN$1004:$BO$1004,1,MATCH(COLUMNS($AN$1006:AS1006),$AN$1006:$BO$1006,0)))),"Fix")))</f>
        <v>0</v>
      </c>
      <c r="H22" s="4">
        <f>IF(OR(INDEX($AH$2:$AH$1001,MATCH(ROWS($AG$2:AG22),$AG$2:$AG$1001,0),1)&gt;=100000,INDEX($AN$1005:$BO$1005,1,MATCH(COLUMNS($AN$1006:AT1006),$AN$1006:$BO$1006,0))&gt;=100000), " ",IF(INDEX($AN$2:$BO$1001,MATCH(ROWS($AG$2:AG22),$AG$2:$AG$1001,0),MATCH(COLUMNS($AN$1006:AT1006),$AN$1006:$BO$1006,0)), HYPERLINK("#",""), HYPERLINK(CONCATENATE("#Metadata!", ADDRESS(INDEX($AI$2:$AI$1001,MATCH(ROWS($AG$2:AG22),$AG$2:$AG$1001,0),0), INDEX($AN$1004:$BO$1004,1,MATCH(COLUMNS($AN$1006:AT1006),$AN$1006:$BO$1006,0)))),"Fix")))</f>
        <v>0</v>
      </c>
      <c r="I22" s="4">
        <f>IF(OR(INDEX($AH$2:$AH$1001,MATCH(ROWS($AG$2:AG22),$AG$2:$AG$1001,0),1)&gt;=100000,INDEX($AN$1005:$BO$1005,1,MATCH(COLUMNS($AN$1006:AU1006),$AN$1006:$BO$1006,0))&gt;=100000), " ",IF(INDEX($AN$2:$BO$1001,MATCH(ROWS($AG$2:AG22),$AG$2:$AG$1001,0),MATCH(COLUMNS($AN$1006:AU1006),$AN$1006:$BO$1006,0)), HYPERLINK("#",""), HYPERLINK(CONCATENATE("#Metadata!", ADDRESS(INDEX($AI$2:$AI$1001,MATCH(ROWS($AG$2:AG22),$AG$2:$AG$1001,0),0), INDEX($AN$1004:$BO$1004,1,MATCH(COLUMNS($AN$1006:AU1006),$AN$1006:$BO$1006,0)))),"Fix")))</f>
        <v>0</v>
      </c>
      <c r="J22" s="4">
        <f>IF(OR(INDEX($AH$2:$AH$1001,MATCH(ROWS($AG$2:AG22),$AG$2:$AG$1001,0),1)&gt;=100000,INDEX($AN$1005:$BO$1005,1,MATCH(COLUMNS($AN$1006:AV1006),$AN$1006:$BO$1006,0))&gt;=100000), " ",IF(INDEX($AN$2:$BO$1001,MATCH(ROWS($AG$2:AG22),$AG$2:$AG$1001,0),MATCH(COLUMNS($AN$1006:AV1006),$AN$1006:$BO$1006,0)), HYPERLINK("#",""), HYPERLINK(CONCATENATE("#Metadata!", ADDRESS(INDEX($AI$2:$AI$1001,MATCH(ROWS($AG$2:AG22),$AG$2:$AG$1001,0),0), INDEX($AN$1004:$BO$1004,1,MATCH(COLUMNS($AN$1006:AV1006),$AN$1006:$BO$1006,0)))),"Fix")))</f>
        <v>0</v>
      </c>
      <c r="K22" s="4">
        <f>IF(OR(INDEX($AH$2:$AH$1001,MATCH(ROWS($AG$2:AG22),$AG$2:$AG$1001,0),1)&gt;=100000,INDEX($AN$1005:$BO$1005,1,MATCH(COLUMNS($AN$1006:AW1006),$AN$1006:$BO$1006,0))&gt;=100000), " ",IF(INDEX($AN$2:$BO$1001,MATCH(ROWS($AG$2:AG22),$AG$2:$AG$1001,0),MATCH(COLUMNS($AN$1006:AW1006),$AN$1006:$BO$1006,0)), HYPERLINK("#",""), HYPERLINK(CONCATENATE("#Metadata!", ADDRESS(INDEX($AI$2:$AI$1001,MATCH(ROWS($AG$2:AG22),$AG$2:$AG$1001,0),0), INDEX($AN$1004:$BO$1004,1,MATCH(COLUMNS($AN$1006:AW1006),$AN$1006:$BO$1006,0)))),"Fix")))</f>
        <v>0</v>
      </c>
      <c r="L22" s="4">
        <f>IF(OR(INDEX($AH$2:$AH$1001,MATCH(ROWS($AG$2:AG22),$AG$2:$AG$1001,0),1)&gt;=100000,INDEX($AN$1005:$BO$1005,1,MATCH(COLUMNS($AN$1006:AX1006),$AN$1006:$BO$1006,0))&gt;=100000), " ",IF(INDEX($AN$2:$BO$1001,MATCH(ROWS($AG$2:AG22),$AG$2:$AG$1001,0),MATCH(COLUMNS($AN$1006:AX1006),$AN$1006:$BO$1006,0)), HYPERLINK("#",""), HYPERLINK(CONCATENATE("#Metadata!", ADDRESS(INDEX($AI$2:$AI$1001,MATCH(ROWS($AG$2:AG22),$AG$2:$AG$1001,0),0), INDEX($AN$1004:$BO$1004,1,MATCH(COLUMNS($AN$1006:AX1006),$AN$1006:$BO$1006,0)))),"Fix")))</f>
        <v>0</v>
      </c>
      <c r="M22" s="4">
        <f>IF(OR(INDEX($AH$2:$AH$1001,MATCH(ROWS($AG$2:AG22),$AG$2:$AG$1001,0),1)&gt;=100000,INDEX($AN$1005:$BO$1005,1,MATCH(COLUMNS($AN$1006:AY1006),$AN$1006:$BO$1006,0))&gt;=100000), " ",IF(INDEX($AN$2:$BO$1001,MATCH(ROWS($AG$2:AG22),$AG$2:$AG$1001,0),MATCH(COLUMNS($AN$1006:AY1006),$AN$1006:$BO$1006,0)), HYPERLINK("#",""), HYPERLINK(CONCATENATE("#Metadata!", ADDRESS(INDEX($AI$2:$AI$1001,MATCH(ROWS($AG$2:AG22),$AG$2:$AG$1001,0),0), INDEX($AN$1004:$BO$1004,1,MATCH(COLUMNS($AN$1006:AY1006),$AN$1006:$BO$1006,0)))),"Fix")))</f>
        <v>0</v>
      </c>
      <c r="N22" s="4">
        <f>IF(OR(INDEX($AH$2:$AH$1001,MATCH(ROWS($AG$2:AG22),$AG$2:$AG$1001,0),1)&gt;=100000,INDEX($AN$1005:$BO$1005,1,MATCH(COLUMNS($AN$1006:AZ1006),$AN$1006:$BO$1006,0))&gt;=100000), " ",IF(INDEX($AN$2:$BO$1001,MATCH(ROWS($AG$2:AG22),$AG$2:$AG$1001,0),MATCH(COLUMNS($AN$1006:AZ1006),$AN$1006:$BO$1006,0)), HYPERLINK("#",""), HYPERLINK(CONCATENATE("#Metadata!", ADDRESS(INDEX($AI$2:$AI$1001,MATCH(ROWS($AG$2:AG22),$AG$2:$AG$1001,0),0), INDEX($AN$1004:$BO$1004,1,MATCH(COLUMNS($AN$1006:AZ1006),$AN$1006:$BO$1006,0)))),"Fix")))</f>
        <v>0</v>
      </c>
      <c r="O22" s="4">
        <f>IF(OR(INDEX($AH$2:$AH$1001,MATCH(ROWS($AG$2:AG22),$AG$2:$AG$1001,0),1)&gt;=100000,INDEX($AN$1005:$BO$1005,1,MATCH(COLUMNS($AN$1006:BA1006),$AN$1006:$BO$1006,0))&gt;=100000), " ",IF(INDEX($AN$2:$BO$1001,MATCH(ROWS($AG$2:AG22),$AG$2:$AG$1001,0),MATCH(COLUMNS($AN$1006:BA1006),$AN$1006:$BO$1006,0)), HYPERLINK("#",""), HYPERLINK(CONCATENATE("#Metadata!", ADDRESS(INDEX($AI$2:$AI$1001,MATCH(ROWS($AG$2:AG22),$AG$2:$AG$1001,0),0), INDEX($AN$1004:$BO$1004,1,MATCH(COLUMNS($AN$1006:BA1006),$AN$1006:$BO$1006,0)))),"Fix")))</f>
        <v>0</v>
      </c>
      <c r="P22" s="4">
        <f>IF(OR(INDEX($AH$2:$AH$1001,MATCH(ROWS($AG$2:AG22),$AG$2:$AG$1001,0),1)&gt;=100000,INDEX($AN$1005:$BO$1005,1,MATCH(COLUMNS($AN$1006:BB1006),$AN$1006:$BO$1006,0))&gt;=100000), " ",IF(INDEX($AN$2:$BO$1001,MATCH(ROWS($AG$2:AG22),$AG$2:$AG$1001,0),MATCH(COLUMNS($AN$1006:BB1006),$AN$1006:$BO$1006,0)), HYPERLINK("#",""), HYPERLINK(CONCATENATE("#Metadata!", ADDRESS(INDEX($AI$2:$AI$1001,MATCH(ROWS($AG$2:AG22),$AG$2:$AG$1001,0),0), INDEX($AN$1004:$BO$1004,1,MATCH(COLUMNS($AN$1006:BB1006),$AN$1006:$BO$1006,0)))),"Fix")))</f>
        <v>0</v>
      </c>
      <c r="Q22" s="4">
        <f>IF(OR(INDEX($AH$2:$AH$1001,MATCH(ROWS($AG$2:AG22),$AG$2:$AG$1001,0),1)&gt;=100000,INDEX($AN$1005:$BO$1005,1,MATCH(COLUMNS($AN$1006:BC1006),$AN$1006:$BO$1006,0))&gt;=100000), " ",IF(INDEX($AN$2:$BO$1001,MATCH(ROWS($AG$2:AG22),$AG$2:$AG$1001,0),MATCH(COLUMNS($AN$1006:BC1006),$AN$1006:$BO$1006,0)), HYPERLINK("#",""), HYPERLINK(CONCATENATE("#Metadata!", ADDRESS(INDEX($AI$2:$AI$1001,MATCH(ROWS($AG$2:AG22),$AG$2:$AG$1001,0),0), INDEX($AN$1004:$BO$1004,1,MATCH(COLUMNS($AN$1006:BC1006),$AN$1006:$BO$1006,0)))),"Fix")))</f>
        <v>0</v>
      </c>
      <c r="R22" s="4">
        <f>IF(OR(INDEX($AH$2:$AH$1001,MATCH(ROWS($AG$2:AG22),$AG$2:$AG$1001,0),1)&gt;=100000,INDEX($AN$1005:$BO$1005,1,MATCH(COLUMNS($AN$1006:BD1006),$AN$1006:$BO$1006,0))&gt;=100000), " ",IF(INDEX($AN$2:$BO$1001,MATCH(ROWS($AG$2:AG22),$AG$2:$AG$1001,0),MATCH(COLUMNS($AN$1006:BD1006),$AN$1006:$BO$1006,0)), HYPERLINK("#",""), HYPERLINK(CONCATENATE("#Metadata!", ADDRESS(INDEX($AI$2:$AI$1001,MATCH(ROWS($AG$2:AG22),$AG$2:$AG$1001,0),0), INDEX($AN$1004:$BO$1004,1,MATCH(COLUMNS($AN$1006:BD1006),$AN$1006:$BO$1006,0)))),"Fix")))</f>
        <v>0</v>
      </c>
      <c r="S22" s="4">
        <f>IF(OR(INDEX($AH$2:$AH$1001,MATCH(ROWS($AG$2:AG22),$AG$2:$AG$1001,0),1)&gt;=100000,INDEX($AN$1005:$BO$1005,1,MATCH(COLUMNS($AN$1006:BE1006),$AN$1006:$BO$1006,0))&gt;=100000), " ",IF(INDEX($AN$2:$BO$1001,MATCH(ROWS($AG$2:AG22),$AG$2:$AG$1001,0),MATCH(COLUMNS($AN$1006:BE1006),$AN$1006:$BO$1006,0)), HYPERLINK("#",""), HYPERLINK(CONCATENATE("#Metadata!", ADDRESS(INDEX($AI$2:$AI$1001,MATCH(ROWS($AG$2:AG22),$AG$2:$AG$1001,0),0), INDEX($AN$1004:$BO$1004,1,MATCH(COLUMNS($AN$1006:BE1006),$AN$1006:$BO$1006,0)))),"Fix")))</f>
        <v>0</v>
      </c>
      <c r="T22" s="4">
        <f>IF(OR(INDEX($AH$2:$AH$1001,MATCH(ROWS($AG$2:AG22),$AG$2:$AG$1001,0),1)&gt;=100000,INDEX($AN$1005:$BO$1005,1,MATCH(COLUMNS($AN$1006:BF1006),$AN$1006:$BO$1006,0))&gt;=100000), " ",IF(INDEX($AN$2:$BO$1001,MATCH(ROWS($AG$2:AG22),$AG$2:$AG$1001,0),MATCH(COLUMNS($AN$1006:BF1006),$AN$1006:$BO$1006,0)), HYPERLINK("#",""), HYPERLINK(CONCATENATE("#Metadata!", ADDRESS(INDEX($AI$2:$AI$1001,MATCH(ROWS($AG$2:AG22),$AG$2:$AG$1001,0),0), INDEX($AN$1004:$BO$1004,1,MATCH(COLUMNS($AN$1006:BF1006),$AN$1006:$BO$1006,0)))),"Fix")))</f>
        <v>0</v>
      </c>
      <c r="U22" s="4">
        <f>IF(OR(INDEX($AH$2:$AH$1001,MATCH(ROWS($AG$2:AG22),$AG$2:$AG$1001,0),1)&gt;=100000,INDEX($AN$1005:$BO$1005,1,MATCH(COLUMNS($AN$1006:BG1006),$AN$1006:$BO$1006,0))&gt;=100000), " ",IF(INDEX($AN$2:$BO$1001,MATCH(ROWS($AG$2:AG22),$AG$2:$AG$1001,0),MATCH(COLUMNS($AN$1006:BG1006),$AN$1006:$BO$1006,0)), HYPERLINK("#",""), HYPERLINK(CONCATENATE("#Metadata!", ADDRESS(INDEX($AI$2:$AI$1001,MATCH(ROWS($AG$2:AG22),$AG$2:$AG$1001,0),0), INDEX($AN$1004:$BO$1004,1,MATCH(COLUMNS($AN$1006:BG1006),$AN$1006:$BO$1006,0)))),"Fix")))</f>
        <v>0</v>
      </c>
      <c r="V22" s="4">
        <f>IF(OR(INDEX($AH$2:$AH$1001,MATCH(ROWS($AG$2:AG22),$AG$2:$AG$1001,0),1)&gt;=100000,INDEX($AN$1005:$BO$1005,1,MATCH(COLUMNS($AN$1006:BH1006),$AN$1006:$BO$1006,0))&gt;=100000), " ",IF(INDEX($AN$2:$BO$1001,MATCH(ROWS($AG$2:AG22),$AG$2:$AG$1001,0),MATCH(COLUMNS($AN$1006:BH1006),$AN$1006:$BO$1006,0)), HYPERLINK("#",""), HYPERLINK(CONCATENATE("#Metadata!", ADDRESS(INDEX($AI$2:$AI$1001,MATCH(ROWS($AG$2:AG22),$AG$2:$AG$1001,0),0), INDEX($AN$1004:$BO$1004,1,MATCH(COLUMNS($AN$1006:BH1006),$AN$1006:$BO$1006,0)))),"Fix")))</f>
        <v>0</v>
      </c>
      <c r="W22" s="4">
        <f>IF(OR(INDEX($AH$2:$AH$1001,MATCH(ROWS($AG$2:AG22),$AG$2:$AG$1001,0),1)&gt;=100000,INDEX($AN$1005:$BO$1005,1,MATCH(COLUMNS($AN$1006:BI1006),$AN$1006:$BO$1006,0))&gt;=100000), " ",IF(INDEX($AN$2:$BO$1001,MATCH(ROWS($AG$2:AG22),$AG$2:$AG$1001,0),MATCH(COLUMNS($AN$1006:BI1006),$AN$1006:$BO$1006,0)), HYPERLINK("#",""), HYPERLINK(CONCATENATE("#Metadata!", ADDRESS(INDEX($AI$2:$AI$1001,MATCH(ROWS($AG$2:AG22),$AG$2:$AG$1001,0),0), INDEX($AN$1004:$BO$1004,1,MATCH(COLUMNS($AN$1006:BI1006),$AN$1006:$BO$1006,0)))),"Fix")))</f>
        <v>0</v>
      </c>
      <c r="X22" s="4">
        <f>IF(OR(INDEX($AH$2:$AH$1001,MATCH(ROWS($AG$2:AG22),$AG$2:$AG$1001,0),1)&gt;=100000,INDEX($AN$1005:$BO$1005,1,MATCH(COLUMNS($AN$1006:BJ1006),$AN$1006:$BO$1006,0))&gt;=100000), " ",IF(INDEX($AN$2:$BO$1001,MATCH(ROWS($AG$2:AG22),$AG$2:$AG$1001,0),MATCH(COLUMNS($AN$1006:BJ1006),$AN$1006:$BO$1006,0)), HYPERLINK("#",""), HYPERLINK(CONCATENATE("#Metadata!", ADDRESS(INDEX($AI$2:$AI$1001,MATCH(ROWS($AG$2:AG22),$AG$2:$AG$1001,0),0), INDEX($AN$1004:$BO$1004,1,MATCH(COLUMNS($AN$1006:BJ1006),$AN$1006:$BO$1006,0)))),"Fix")))</f>
        <v>0</v>
      </c>
      <c r="Y22" s="4">
        <f>IF(OR(INDEX($AH$2:$AH$1001,MATCH(ROWS($AG$2:AG22),$AG$2:$AG$1001,0),1)&gt;=100000,INDEX($AN$1005:$BO$1005,1,MATCH(COLUMNS($AN$1006:BK1006),$AN$1006:$BO$1006,0))&gt;=100000), " ",IF(INDEX($AN$2:$BO$1001,MATCH(ROWS($AG$2:AG22),$AG$2:$AG$1001,0),MATCH(COLUMNS($AN$1006:BK1006),$AN$1006:$BO$1006,0)), HYPERLINK("#",""), HYPERLINK(CONCATENATE("#Metadata!", ADDRESS(INDEX($AI$2:$AI$1001,MATCH(ROWS($AG$2:AG22),$AG$2:$AG$1001,0),0), INDEX($AN$1004:$BO$1004,1,MATCH(COLUMNS($AN$1006:BK1006),$AN$1006:$BO$1006,0)))),"Fix")))</f>
        <v>0</v>
      </c>
      <c r="Z22" s="4">
        <f>IF(OR(INDEX($AH$2:$AH$1001,MATCH(ROWS($AG$2:AG22),$AG$2:$AG$1001,0),1)&gt;=100000,INDEX($AN$1005:$BO$1005,1,MATCH(COLUMNS($AN$1006:BL1006),$AN$1006:$BO$1006,0))&gt;=100000), " ",IF(INDEX($AN$2:$BO$1001,MATCH(ROWS($AG$2:AG22),$AG$2:$AG$1001,0),MATCH(COLUMNS($AN$1006:BL1006),$AN$1006:$BO$1006,0)), HYPERLINK("#",""), HYPERLINK(CONCATENATE("#Metadata!", ADDRESS(INDEX($AI$2:$AI$1001,MATCH(ROWS($AG$2:AG22),$AG$2:$AG$1001,0),0), INDEX($AN$1004:$BO$1004,1,MATCH(COLUMNS($AN$1006:BL1006),$AN$1006:$BO$1006,0)))),"Fix")))</f>
        <v>0</v>
      </c>
      <c r="AA22" s="4">
        <f>IF(OR(INDEX($AH$2:$AH$1001,MATCH(ROWS($AG$2:AG22),$AG$2:$AG$1001,0),1)&gt;=100000,INDEX($AN$1005:$BO$1005,1,MATCH(COLUMNS($AN$1006:BM1006),$AN$1006:$BO$1006,0))&gt;=100000), " ",IF(INDEX($AN$2:$BO$1001,MATCH(ROWS($AG$2:AG22),$AG$2:$AG$1001,0),MATCH(COLUMNS($AN$1006:BM1006),$AN$1006:$BO$1006,0)), HYPERLINK("#",""), HYPERLINK(CONCATENATE("#Metadata!", ADDRESS(INDEX($AI$2:$AI$1001,MATCH(ROWS($AG$2:AG22),$AG$2:$AG$1001,0),0), INDEX($AN$1004:$BO$1004,1,MATCH(COLUMNS($AN$1006:BM1006),$AN$1006:$BO$1006,0)))),"Fix")))</f>
        <v>0</v>
      </c>
      <c r="AB22" s="4">
        <f>IF(OR(INDEX($AH$2:$AH$1001,MATCH(ROWS($AG$2:AG22),$AG$2:$AG$1001,0),1)&gt;=100000,INDEX($AN$1005:$BO$1005,1,MATCH(COLUMNS($AN$1006:BN1006),$AN$1006:$BO$1006,0))&gt;=100000), " ",IF(INDEX($AN$2:$BO$1001,MATCH(ROWS($AG$2:AG22),$AG$2:$AG$1001,0),MATCH(COLUMNS($AN$1006:BN1006),$AN$1006:$BO$1006,0)), HYPERLINK("#",""), HYPERLINK(CONCATENATE("#Metadata!", ADDRESS(INDEX($AI$2:$AI$1001,MATCH(ROWS($AG$2:AG22),$AG$2:$AG$1001,0),0), INDEX($AN$1004:$BO$1004,1,MATCH(COLUMNS($AN$1006:BN1006),$AN$1006:$BO$1006,0)))),"Fix")))</f>
        <v>0</v>
      </c>
      <c r="AC22" s="4">
        <f>IF(OR(INDEX($AH$2:$AH$1001,MATCH(ROWS($AG$2:AG22),$AG$2:$AG$1001,0),1)&gt;=100000,INDEX($AN$1005:$BO$1005,1,MATCH(COLUMNS($AN$1006:BO1006),$AN$1006:$BO$1006,0))&gt;=100000), " ",IF(INDEX($AN$2:$BO$1001,MATCH(ROWS($AG$2:AG22),$AG$2:$AG$1001,0),MATCH(COLUMNS($AN$1006:BO1006),$AN$1006:$BO$1006,0)), HYPERLINK("#",""), HYPERLINK(CONCATENATE("#Metadata!", ADDRESS(INDEX($AI$2:$AI$1001,MATCH(ROWS($AG$2:AG22),$AG$2:$AG$1001,0),0), INDEX($AN$1004:$BO$1004,1,MATCH(COLUMNS($AN$1006:BO1006),$AN$1006:$BO$1006,0)))),"Fix")))</f>
        <v>0</v>
      </c>
      <c r="AG22">
        <v>0</v>
      </c>
      <c r="AH22">
        <v>0</v>
      </c>
      <c r="AI22">
        <v>0</v>
      </c>
      <c r="AJ22">
        <f>IF(AK22,TRUE,AND(AN22:BO22))</f>
        <v>0</v>
      </c>
      <c r="AK22">
        <f>COUNTBLANK(Metadata!B22:AC22)=COLUMNS(Metadata!B22:AC22)</f>
        <v>0</v>
      </c>
      <c r="AL22">
        <v>0</v>
      </c>
      <c r="AN22">
        <f>AND(IF(Metadata!B22="",FALSE,TRUE),COUNTIF(Metadata!B:B, Metadata!B22) = 1,NOT(ISERROR(SUMPRODUCT(SEARCH(MID(Metadata!B22,ROW(INDIRECT("1:"&amp;LEN(Metadata!B22))), 1),"0123456789abcdefghijklmnopqrstuvwxyzABCDEFGHIJKLMNOPQRSTUVWXYZ.")))))</f>
        <v>0</v>
      </c>
      <c r="AO22">
        <f>IF(Metadata!C22="",FALSE,TRUE)</f>
        <v>0</v>
      </c>
      <c r="AP22">
        <f>IF(Metadata!D22="",FALSE,TRUE)</f>
        <v>0</v>
      </c>
      <c r="AQ22">
        <f>OR(AND(IF(Metadata!E22="",FALSE,TRUE),OR(exact(Metadata!E22,"not collected"),exact(Metadata!E22,"not provided"),exact(Metadata!E22,"restricted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R22">
        <f>IF(Metadata!F22="",FALSE,TRUE)</f>
        <v>0</v>
      </c>
      <c r="AS22">
        <f>OR(AND(IF(Metadata!G22="",FALSE,TRUE),OR(exact(Metadata!G22,"not collected"),exact(Metadata!G22,"not provided"))),AND(IF(Metadata!G22="",FALSE,TRUE),OR(exact(Metadata!G22,"TRUE"),exact(Metadata!G22,"FALSE"))))</f>
        <v>0</v>
      </c>
      <c r="AT22">
        <f>OR(AND(IF(Metadata!H22="",FALSE,TRUE),OR(exact(Metadata!H22,"not collected"),exact(Metadata!H22,"not provided"),exact(Metadata!H22,"restricted access"))),AND(IF(Metadata!H22="",FALSE,ISNUMBER(VALUE(Metadata!H22))),Metadata!H22&gt;=-413.0))</f>
        <v>0</v>
      </c>
      <c r="AU22">
        <f>AND(IF(Metadata!I22="",FALSE,TRUE),exact(Metadata!I22,"meters"))</f>
        <v>0</v>
      </c>
      <c r="AV22">
        <f>AND(IF(Metadata!J22="",FALSE,TRUE),OR(exact(Metadata!J22,"Host-associated"),exact(Metadata!J22,"Free-living")))</f>
        <v>0</v>
      </c>
      <c r="AW22">
        <f>AND(IF(Metadata!K22="",FALSE,TRUE),OR(exact(Metadata!K22,"Animal"),exact(Metadata!K22,"Fungus"),exact(Metadata!K22,"Plant"),exact(Metadata!K22,"Saline"),exact(Metadata!K22,"Non-saline")))</f>
        <v>0</v>
      </c>
      <c r="AX22">
        <f>AND(IF(Metadata!L22="",FALSE,TRUE),OR(exact(Metadata!L22,"Plant secretion"),exact(Metadata!L22,"Plant rhizosphere"),exact(Metadata!L22,"Plant surface"),exact(Metadata!L22,"Plant corpus"),exact(Metadata!L22,"Fungus surface"),exact(Metadata!L22,"Fungus corpus"),exact(Metadata!L22,"Animal surface"),exact(Metadata!L22,"Animal proximal gut"),exact(Metadata!L22,"Animal corpus"),exact(Metadata!L22,"Animal distal gut"),exact(Metadata!L22,"Animal secretion"),exact(Metadata!L22,"Sub-surface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0</v>
      </c>
      <c r="AY22">
        <f>IF(Metadata!M22="",FALSE,TRUE)</f>
        <v>0</v>
      </c>
      <c r="AZ22">
        <f>IF(Metadata!N22="",FALSE,TRUE)</f>
        <v>0</v>
      </c>
      <c r="BA22">
        <f>IF(Metadata!O22="",FALSE,TRUE)</f>
        <v>0</v>
      </c>
      <c r="BB22">
        <f>OR(AND(IF(Metadata!P22="",FALSE,TRUE),OR(exact(Metadata!P22,"not collected"),exact(Metadata!P22,"not provided"),exact(Metadata!P22,"restricted access"))),AND(IF(Metadata!P22="",FALSE,TRUE),OR(exact(Metadata!P22,"air"),exact(Metadata!P22,"built environment"),exact(Metadata!P22,"host-associated"),exact(Metadata!P22,"human-associated"),exact(Metadata!P22,"human-skin"),exact(Metadata!P22,"human-oral"),exact(Metadata!P22,"human-gut"),exact(Metadata!P22,"human-vaginal"),exact(Metadata!P22,"microbial mat/biofilm"),exact(Metadata!P22,"misc environment"),exact(Metadata!P22,"plant-associated"),exact(Metadata!P22,"sediment"),exact(Metadata!P22,"soil"),exact(Metadata!P22,"wastewater/sludge"),exact(Metadata!P22,"water"))))</f>
        <v>0</v>
      </c>
      <c r="BC22">
        <f>IF(Metadata!Q22="",FALSE,TRUE)</f>
        <v>0</v>
      </c>
      <c r="BD22">
        <f>IF(Metadata!R22="",FALSE,TRUE)</f>
        <v>0</v>
      </c>
      <c r="BE22">
        <f>OR(AND(IF(Metadata!S22="",FALSE,TRUE),OR(exact(Metadata!S22,"not collected"),exact(Metadata!S22,"not provided"),exact(Metadata!S22,"restricted access"))),AND(IF(Metadata!S22="",FALSE,ISNUMBER(VALUE(Metadata!S22))),Metadata!S22&gt;=-90.00,Metadata!S22&lt;=90.00))</f>
        <v>0</v>
      </c>
      <c r="BF22">
        <f>AND(IF(Metadata!T22="",FALSE,TRUE),exact(Metadata!T22,"Decimal degrees"))</f>
        <v>0</v>
      </c>
      <c r="BG22">
        <f>OR(AND(IF(Metadata!U22="",FALSE,TRUE),OR(exact(Metadata!U22,"not collected"),exact(Metadata!U22,"not provided"),exact(Metadata!U22,"restricted access"))),AND(IF(Metadata!U22="",FALSE,ISNUMBER(VALUE(Metadata!U22))),Metadata!U22&gt;=-180.00,Metadata!U22&lt;=180.00))</f>
        <v>0</v>
      </c>
      <c r="BH22">
        <f>AND(IF(Metadata!V22="",FALSE,TRUE),exact(Metadata!V22,"Decimal degrees"))</f>
        <v>0</v>
      </c>
      <c r="BI22">
        <f>IF(Metadata!W22="",FALSE,TRUE)</f>
        <v>0</v>
      </c>
      <c r="BJ22">
        <f>OR(AND(IF(Metadata!X22="",FALSE,TRUE),OR(exact(Metadata!X22,"not collected"),exact(Metadata!X22,"not provided"),exact(Metadata!X22,"restricted access"))),AND(IF(Metadata!X22="",FALSE,TRUE),OR(exact(Metadata!X22,"TRUE"),exact(Metadata!X22,"FALSE"))))</f>
        <v>0</v>
      </c>
      <c r="BK22">
        <f>AND(IF(Metadata!Y22="",FALSE,TRUE),exact(Metadata!Y22,"other"))</f>
        <v>0</v>
      </c>
      <c r="BL22">
        <f>IF(Metadata!Z22="",FALSE,TRUE)</f>
        <v>0</v>
      </c>
      <c r="BM22">
        <f>OR(AND(IF(Metadata!AA22="",FALSE,TRUE),OR(exact(Metadata!AA22,"not collected"),exact(Metadata!AA22,"not provided"))),AND(IF(Metadata!AA22="",FALSE,IF(ISERROR(INT(Metadata!AA22)),FALSE,INT(Metadata!AA22)=Metadata!AA22)),Metadata!AA22&gt;0))</f>
        <v>0</v>
      </c>
      <c r="BN22">
        <f>AND(IF(Metadata!AB22="",FALSE,TRUE),exact(Metadata!AB22,"Not applicable"))</f>
        <v>0</v>
      </c>
      <c r="BO22">
        <f>IF(Metadata!AC22="",FALSE,TRUE)</f>
        <v>0</v>
      </c>
    </row>
    <row r="23" spans="1:67">
      <c r="A23" s="5">
        <f>IF(B23=" "," ",HYPERLINK(CONCATENATE("#metadata!",ADDRESS(INDEX($AI$2:$AI$1001,MATCH(ROWS($AG$2:AG23),$AG$2:$AG$1001,0),0),1)),INDEX($AL$2:$AL$1001,MATCH(ROWS($AG$2:AG23),$AG$2:$AG$1001,0),0)))</f>
        <v>0</v>
      </c>
      <c r="B23" s="4">
        <f>IF(OR(INDEX($AH$2:$AH$1001,MATCH(ROWS($AG$2:AG23),$AG$2:$AG$1001,0),1)&gt;=100000,INDEX($AN$1005:$BO$1005,1,MATCH(COLUMNS($AN$1006:AN1006),$AN$1006:$BO$1006,0))&gt;=100000), " ",IF(INDEX($AN$2:$BO$1001,MATCH(ROWS($AG$2:AG23),$AG$2:$AG$1001,0),MATCH(COLUMNS($AN$1006:AN1006),$AN$1006:$BO$1006,0)), HYPERLINK("#",""), HYPERLINK(CONCATENATE("#Metadata!", ADDRESS(INDEX($AI$2:$AI$1001,MATCH(ROWS($AG$2:AG23),$AG$2:$AG$1001,0),0), INDEX($AN$1004:$BO$1004,1,MATCH(COLUMNS($AN$1006:AN1006),$AN$1006:$BO$1006,0)))),"Fix")))</f>
        <v>0</v>
      </c>
      <c r="C23" s="4">
        <f>IF(OR(INDEX($AH$2:$AH$1001,MATCH(ROWS($AG$2:AG23),$AG$2:$AG$1001,0),1)&gt;=100000,INDEX($AN$1005:$BO$1005,1,MATCH(COLUMNS($AN$1006:AO1006),$AN$1006:$BO$1006,0))&gt;=100000), " ",IF(INDEX($AN$2:$BO$1001,MATCH(ROWS($AG$2:AG23),$AG$2:$AG$1001,0),MATCH(COLUMNS($AN$1006:AO1006),$AN$1006:$BO$1006,0)), HYPERLINK("#",""), HYPERLINK(CONCATENATE("#Metadata!", ADDRESS(INDEX($AI$2:$AI$1001,MATCH(ROWS($AG$2:AG23),$AG$2:$AG$1001,0),0), INDEX($AN$1004:$BO$1004,1,MATCH(COLUMNS($AN$1006:AO1006),$AN$1006:$BO$1006,0)))),"Fix")))</f>
        <v>0</v>
      </c>
      <c r="D23" s="4">
        <f>IF(OR(INDEX($AH$2:$AH$1001,MATCH(ROWS($AG$2:AG23),$AG$2:$AG$1001,0),1)&gt;=100000,INDEX($AN$1005:$BO$1005,1,MATCH(COLUMNS($AN$1006:AP1006),$AN$1006:$BO$1006,0))&gt;=100000), " ",IF(INDEX($AN$2:$BO$1001,MATCH(ROWS($AG$2:AG23),$AG$2:$AG$1001,0),MATCH(COLUMNS($AN$1006:AP1006),$AN$1006:$BO$1006,0)), HYPERLINK("#",""), HYPERLINK(CONCATENATE("#Metadata!", ADDRESS(INDEX($AI$2:$AI$1001,MATCH(ROWS($AG$2:AG23),$AG$2:$AG$1001,0),0), INDEX($AN$1004:$BO$1004,1,MATCH(COLUMNS($AN$1006:AP1006),$AN$1006:$BO$1006,0)))),"Fix")))</f>
        <v>0</v>
      </c>
      <c r="E23" s="4">
        <f>IF(OR(INDEX($AH$2:$AH$1001,MATCH(ROWS($AG$2:AG23),$AG$2:$AG$1001,0),1)&gt;=100000,INDEX($AN$1005:$BO$1005,1,MATCH(COLUMNS($AN$1006:AQ1006),$AN$1006:$BO$1006,0))&gt;=100000), " ",IF(INDEX($AN$2:$BO$1001,MATCH(ROWS($AG$2:AG23),$AG$2:$AG$1001,0),MATCH(COLUMNS($AN$1006:AQ1006),$AN$1006:$BO$1006,0)), HYPERLINK("#",""), HYPERLINK(CONCATENATE("#Metadata!", ADDRESS(INDEX($AI$2:$AI$1001,MATCH(ROWS($AG$2:AG23),$AG$2:$AG$1001,0),0), INDEX($AN$1004:$BO$1004,1,MATCH(COLUMNS($AN$1006:AQ1006),$AN$1006:$BO$1006,0)))),"Fix")))</f>
        <v>0</v>
      </c>
      <c r="F23" s="4">
        <f>IF(OR(INDEX($AH$2:$AH$1001,MATCH(ROWS($AG$2:AG23),$AG$2:$AG$1001,0),1)&gt;=100000,INDEX($AN$1005:$BO$1005,1,MATCH(COLUMNS($AN$1006:AR1006),$AN$1006:$BO$1006,0))&gt;=100000), " ",IF(INDEX($AN$2:$BO$1001,MATCH(ROWS($AG$2:AG23),$AG$2:$AG$1001,0),MATCH(COLUMNS($AN$1006:AR1006),$AN$1006:$BO$1006,0)), HYPERLINK("#",""), HYPERLINK(CONCATENATE("#Metadata!", ADDRESS(INDEX($AI$2:$AI$1001,MATCH(ROWS($AG$2:AG23),$AG$2:$AG$1001,0),0), INDEX($AN$1004:$BO$1004,1,MATCH(COLUMNS($AN$1006:AR1006),$AN$1006:$BO$1006,0)))),"Fix")))</f>
        <v>0</v>
      </c>
      <c r="G23" s="4">
        <f>IF(OR(INDEX($AH$2:$AH$1001,MATCH(ROWS($AG$2:AG23),$AG$2:$AG$1001,0),1)&gt;=100000,INDEX($AN$1005:$BO$1005,1,MATCH(COLUMNS($AN$1006:AS1006),$AN$1006:$BO$1006,0))&gt;=100000), " ",IF(INDEX($AN$2:$BO$1001,MATCH(ROWS($AG$2:AG23),$AG$2:$AG$1001,0),MATCH(COLUMNS($AN$1006:AS1006),$AN$1006:$BO$1006,0)), HYPERLINK("#",""), HYPERLINK(CONCATENATE("#Metadata!", ADDRESS(INDEX($AI$2:$AI$1001,MATCH(ROWS($AG$2:AG23),$AG$2:$AG$1001,0),0), INDEX($AN$1004:$BO$1004,1,MATCH(COLUMNS($AN$1006:AS1006),$AN$1006:$BO$1006,0)))),"Fix")))</f>
        <v>0</v>
      </c>
      <c r="H23" s="4">
        <f>IF(OR(INDEX($AH$2:$AH$1001,MATCH(ROWS($AG$2:AG23),$AG$2:$AG$1001,0),1)&gt;=100000,INDEX($AN$1005:$BO$1005,1,MATCH(COLUMNS($AN$1006:AT1006),$AN$1006:$BO$1006,0))&gt;=100000), " ",IF(INDEX($AN$2:$BO$1001,MATCH(ROWS($AG$2:AG23),$AG$2:$AG$1001,0),MATCH(COLUMNS($AN$1006:AT1006),$AN$1006:$BO$1006,0)), HYPERLINK("#",""), HYPERLINK(CONCATENATE("#Metadata!", ADDRESS(INDEX($AI$2:$AI$1001,MATCH(ROWS($AG$2:AG23),$AG$2:$AG$1001,0),0), INDEX($AN$1004:$BO$1004,1,MATCH(COLUMNS($AN$1006:AT1006),$AN$1006:$BO$1006,0)))),"Fix")))</f>
        <v>0</v>
      </c>
      <c r="I23" s="4">
        <f>IF(OR(INDEX($AH$2:$AH$1001,MATCH(ROWS($AG$2:AG23),$AG$2:$AG$1001,0),1)&gt;=100000,INDEX($AN$1005:$BO$1005,1,MATCH(COLUMNS($AN$1006:AU1006),$AN$1006:$BO$1006,0))&gt;=100000), " ",IF(INDEX($AN$2:$BO$1001,MATCH(ROWS($AG$2:AG23),$AG$2:$AG$1001,0),MATCH(COLUMNS($AN$1006:AU1006),$AN$1006:$BO$1006,0)), HYPERLINK("#",""), HYPERLINK(CONCATENATE("#Metadata!", ADDRESS(INDEX($AI$2:$AI$1001,MATCH(ROWS($AG$2:AG23),$AG$2:$AG$1001,0),0), INDEX($AN$1004:$BO$1004,1,MATCH(COLUMNS($AN$1006:AU1006),$AN$1006:$BO$1006,0)))),"Fix")))</f>
        <v>0</v>
      </c>
      <c r="J23" s="4">
        <f>IF(OR(INDEX($AH$2:$AH$1001,MATCH(ROWS($AG$2:AG23),$AG$2:$AG$1001,0),1)&gt;=100000,INDEX($AN$1005:$BO$1005,1,MATCH(COLUMNS($AN$1006:AV1006),$AN$1006:$BO$1006,0))&gt;=100000), " ",IF(INDEX($AN$2:$BO$1001,MATCH(ROWS($AG$2:AG23),$AG$2:$AG$1001,0),MATCH(COLUMNS($AN$1006:AV1006),$AN$1006:$BO$1006,0)), HYPERLINK("#",""), HYPERLINK(CONCATENATE("#Metadata!", ADDRESS(INDEX($AI$2:$AI$1001,MATCH(ROWS($AG$2:AG23),$AG$2:$AG$1001,0),0), INDEX($AN$1004:$BO$1004,1,MATCH(COLUMNS($AN$1006:AV1006),$AN$1006:$BO$1006,0)))),"Fix")))</f>
        <v>0</v>
      </c>
      <c r="K23" s="4">
        <f>IF(OR(INDEX($AH$2:$AH$1001,MATCH(ROWS($AG$2:AG23),$AG$2:$AG$1001,0),1)&gt;=100000,INDEX($AN$1005:$BO$1005,1,MATCH(COLUMNS($AN$1006:AW1006),$AN$1006:$BO$1006,0))&gt;=100000), " ",IF(INDEX($AN$2:$BO$1001,MATCH(ROWS($AG$2:AG23),$AG$2:$AG$1001,0),MATCH(COLUMNS($AN$1006:AW1006),$AN$1006:$BO$1006,0)), HYPERLINK("#",""), HYPERLINK(CONCATENATE("#Metadata!", ADDRESS(INDEX($AI$2:$AI$1001,MATCH(ROWS($AG$2:AG23),$AG$2:$AG$1001,0),0), INDEX($AN$1004:$BO$1004,1,MATCH(COLUMNS($AN$1006:AW1006),$AN$1006:$BO$1006,0)))),"Fix")))</f>
        <v>0</v>
      </c>
      <c r="L23" s="4">
        <f>IF(OR(INDEX($AH$2:$AH$1001,MATCH(ROWS($AG$2:AG23),$AG$2:$AG$1001,0),1)&gt;=100000,INDEX($AN$1005:$BO$1005,1,MATCH(COLUMNS($AN$1006:AX1006),$AN$1006:$BO$1006,0))&gt;=100000), " ",IF(INDEX($AN$2:$BO$1001,MATCH(ROWS($AG$2:AG23),$AG$2:$AG$1001,0),MATCH(COLUMNS($AN$1006:AX1006),$AN$1006:$BO$1006,0)), HYPERLINK("#",""), HYPERLINK(CONCATENATE("#Metadata!", ADDRESS(INDEX($AI$2:$AI$1001,MATCH(ROWS($AG$2:AG23),$AG$2:$AG$1001,0),0), INDEX($AN$1004:$BO$1004,1,MATCH(COLUMNS($AN$1006:AX1006),$AN$1006:$BO$1006,0)))),"Fix")))</f>
        <v>0</v>
      </c>
      <c r="M23" s="4">
        <f>IF(OR(INDEX($AH$2:$AH$1001,MATCH(ROWS($AG$2:AG23),$AG$2:$AG$1001,0),1)&gt;=100000,INDEX($AN$1005:$BO$1005,1,MATCH(COLUMNS($AN$1006:AY1006),$AN$1006:$BO$1006,0))&gt;=100000), " ",IF(INDEX($AN$2:$BO$1001,MATCH(ROWS($AG$2:AG23),$AG$2:$AG$1001,0),MATCH(COLUMNS($AN$1006:AY1006),$AN$1006:$BO$1006,0)), HYPERLINK("#",""), HYPERLINK(CONCATENATE("#Metadata!", ADDRESS(INDEX($AI$2:$AI$1001,MATCH(ROWS($AG$2:AG23),$AG$2:$AG$1001,0),0), INDEX($AN$1004:$BO$1004,1,MATCH(COLUMNS($AN$1006:AY1006),$AN$1006:$BO$1006,0)))),"Fix")))</f>
        <v>0</v>
      </c>
      <c r="N23" s="4">
        <f>IF(OR(INDEX($AH$2:$AH$1001,MATCH(ROWS($AG$2:AG23),$AG$2:$AG$1001,0),1)&gt;=100000,INDEX($AN$1005:$BO$1005,1,MATCH(COLUMNS($AN$1006:AZ1006),$AN$1006:$BO$1006,0))&gt;=100000), " ",IF(INDEX($AN$2:$BO$1001,MATCH(ROWS($AG$2:AG23),$AG$2:$AG$1001,0),MATCH(COLUMNS($AN$1006:AZ1006),$AN$1006:$BO$1006,0)), HYPERLINK("#",""), HYPERLINK(CONCATENATE("#Metadata!", ADDRESS(INDEX($AI$2:$AI$1001,MATCH(ROWS($AG$2:AG23),$AG$2:$AG$1001,0),0), INDEX($AN$1004:$BO$1004,1,MATCH(COLUMNS($AN$1006:AZ1006),$AN$1006:$BO$1006,0)))),"Fix")))</f>
        <v>0</v>
      </c>
      <c r="O23" s="4">
        <f>IF(OR(INDEX($AH$2:$AH$1001,MATCH(ROWS($AG$2:AG23),$AG$2:$AG$1001,0),1)&gt;=100000,INDEX($AN$1005:$BO$1005,1,MATCH(COLUMNS($AN$1006:BA1006),$AN$1006:$BO$1006,0))&gt;=100000), " ",IF(INDEX($AN$2:$BO$1001,MATCH(ROWS($AG$2:AG23),$AG$2:$AG$1001,0),MATCH(COLUMNS($AN$1006:BA1006),$AN$1006:$BO$1006,0)), HYPERLINK("#",""), HYPERLINK(CONCATENATE("#Metadata!", ADDRESS(INDEX($AI$2:$AI$1001,MATCH(ROWS($AG$2:AG23),$AG$2:$AG$1001,0),0), INDEX($AN$1004:$BO$1004,1,MATCH(COLUMNS($AN$1006:BA1006),$AN$1006:$BO$1006,0)))),"Fix")))</f>
        <v>0</v>
      </c>
      <c r="P23" s="4">
        <f>IF(OR(INDEX($AH$2:$AH$1001,MATCH(ROWS($AG$2:AG23),$AG$2:$AG$1001,0),1)&gt;=100000,INDEX($AN$1005:$BO$1005,1,MATCH(COLUMNS($AN$1006:BB1006),$AN$1006:$BO$1006,0))&gt;=100000), " ",IF(INDEX($AN$2:$BO$1001,MATCH(ROWS($AG$2:AG23),$AG$2:$AG$1001,0),MATCH(COLUMNS($AN$1006:BB1006),$AN$1006:$BO$1006,0)), HYPERLINK("#",""), HYPERLINK(CONCATENATE("#Metadata!", ADDRESS(INDEX($AI$2:$AI$1001,MATCH(ROWS($AG$2:AG23),$AG$2:$AG$1001,0),0), INDEX($AN$1004:$BO$1004,1,MATCH(COLUMNS($AN$1006:BB1006),$AN$1006:$BO$1006,0)))),"Fix")))</f>
        <v>0</v>
      </c>
      <c r="Q23" s="4">
        <f>IF(OR(INDEX($AH$2:$AH$1001,MATCH(ROWS($AG$2:AG23),$AG$2:$AG$1001,0),1)&gt;=100000,INDEX($AN$1005:$BO$1005,1,MATCH(COLUMNS($AN$1006:BC1006),$AN$1006:$BO$1006,0))&gt;=100000), " ",IF(INDEX($AN$2:$BO$1001,MATCH(ROWS($AG$2:AG23),$AG$2:$AG$1001,0),MATCH(COLUMNS($AN$1006:BC1006),$AN$1006:$BO$1006,0)), HYPERLINK("#",""), HYPERLINK(CONCATENATE("#Metadata!", ADDRESS(INDEX($AI$2:$AI$1001,MATCH(ROWS($AG$2:AG23),$AG$2:$AG$1001,0),0), INDEX($AN$1004:$BO$1004,1,MATCH(COLUMNS($AN$1006:BC1006),$AN$1006:$BO$1006,0)))),"Fix")))</f>
        <v>0</v>
      </c>
      <c r="R23" s="4">
        <f>IF(OR(INDEX($AH$2:$AH$1001,MATCH(ROWS($AG$2:AG23),$AG$2:$AG$1001,0),1)&gt;=100000,INDEX($AN$1005:$BO$1005,1,MATCH(COLUMNS($AN$1006:BD1006),$AN$1006:$BO$1006,0))&gt;=100000), " ",IF(INDEX($AN$2:$BO$1001,MATCH(ROWS($AG$2:AG23),$AG$2:$AG$1001,0),MATCH(COLUMNS($AN$1006:BD1006),$AN$1006:$BO$1006,0)), HYPERLINK("#",""), HYPERLINK(CONCATENATE("#Metadata!", ADDRESS(INDEX($AI$2:$AI$1001,MATCH(ROWS($AG$2:AG23),$AG$2:$AG$1001,0),0), INDEX($AN$1004:$BO$1004,1,MATCH(COLUMNS($AN$1006:BD1006),$AN$1006:$BO$1006,0)))),"Fix")))</f>
        <v>0</v>
      </c>
      <c r="S23" s="4">
        <f>IF(OR(INDEX($AH$2:$AH$1001,MATCH(ROWS($AG$2:AG23),$AG$2:$AG$1001,0),1)&gt;=100000,INDEX($AN$1005:$BO$1005,1,MATCH(COLUMNS($AN$1006:BE1006),$AN$1006:$BO$1006,0))&gt;=100000), " ",IF(INDEX($AN$2:$BO$1001,MATCH(ROWS($AG$2:AG23),$AG$2:$AG$1001,0),MATCH(COLUMNS($AN$1006:BE1006),$AN$1006:$BO$1006,0)), HYPERLINK("#",""), HYPERLINK(CONCATENATE("#Metadata!", ADDRESS(INDEX($AI$2:$AI$1001,MATCH(ROWS($AG$2:AG23),$AG$2:$AG$1001,0),0), INDEX($AN$1004:$BO$1004,1,MATCH(COLUMNS($AN$1006:BE1006),$AN$1006:$BO$1006,0)))),"Fix")))</f>
        <v>0</v>
      </c>
      <c r="T23" s="4">
        <f>IF(OR(INDEX($AH$2:$AH$1001,MATCH(ROWS($AG$2:AG23),$AG$2:$AG$1001,0),1)&gt;=100000,INDEX($AN$1005:$BO$1005,1,MATCH(COLUMNS($AN$1006:BF1006),$AN$1006:$BO$1006,0))&gt;=100000), " ",IF(INDEX($AN$2:$BO$1001,MATCH(ROWS($AG$2:AG23),$AG$2:$AG$1001,0),MATCH(COLUMNS($AN$1006:BF1006),$AN$1006:$BO$1006,0)), HYPERLINK("#",""), HYPERLINK(CONCATENATE("#Metadata!", ADDRESS(INDEX($AI$2:$AI$1001,MATCH(ROWS($AG$2:AG23),$AG$2:$AG$1001,0),0), INDEX($AN$1004:$BO$1004,1,MATCH(COLUMNS($AN$1006:BF1006),$AN$1006:$BO$1006,0)))),"Fix")))</f>
        <v>0</v>
      </c>
      <c r="U23" s="4">
        <f>IF(OR(INDEX($AH$2:$AH$1001,MATCH(ROWS($AG$2:AG23),$AG$2:$AG$1001,0),1)&gt;=100000,INDEX($AN$1005:$BO$1005,1,MATCH(COLUMNS($AN$1006:BG1006),$AN$1006:$BO$1006,0))&gt;=100000), " ",IF(INDEX($AN$2:$BO$1001,MATCH(ROWS($AG$2:AG23),$AG$2:$AG$1001,0),MATCH(COLUMNS($AN$1006:BG1006),$AN$1006:$BO$1006,0)), HYPERLINK("#",""), HYPERLINK(CONCATENATE("#Metadata!", ADDRESS(INDEX($AI$2:$AI$1001,MATCH(ROWS($AG$2:AG23),$AG$2:$AG$1001,0),0), INDEX($AN$1004:$BO$1004,1,MATCH(COLUMNS($AN$1006:BG1006),$AN$1006:$BO$1006,0)))),"Fix")))</f>
        <v>0</v>
      </c>
      <c r="V23" s="4">
        <f>IF(OR(INDEX($AH$2:$AH$1001,MATCH(ROWS($AG$2:AG23),$AG$2:$AG$1001,0),1)&gt;=100000,INDEX($AN$1005:$BO$1005,1,MATCH(COLUMNS($AN$1006:BH1006),$AN$1006:$BO$1006,0))&gt;=100000), " ",IF(INDEX($AN$2:$BO$1001,MATCH(ROWS($AG$2:AG23),$AG$2:$AG$1001,0),MATCH(COLUMNS($AN$1006:BH1006),$AN$1006:$BO$1006,0)), HYPERLINK("#",""), HYPERLINK(CONCATENATE("#Metadata!", ADDRESS(INDEX($AI$2:$AI$1001,MATCH(ROWS($AG$2:AG23),$AG$2:$AG$1001,0),0), INDEX($AN$1004:$BO$1004,1,MATCH(COLUMNS($AN$1006:BH1006),$AN$1006:$BO$1006,0)))),"Fix")))</f>
        <v>0</v>
      </c>
      <c r="W23" s="4">
        <f>IF(OR(INDEX($AH$2:$AH$1001,MATCH(ROWS($AG$2:AG23),$AG$2:$AG$1001,0),1)&gt;=100000,INDEX($AN$1005:$BO$1005,1,MATCH(COLUMNS($AN$1006:BI1006),$AN$1006:$BO$1006,0))&gt;=100000), " ",IF(INDEX($AN$2:$BO$1001,MATCH(ROWS($AG$2:AG23),$AG$2:$AG$1001,0),MATCH(COLUMNS($AN$1006:BI1006),$AN$1006:$BO$1006,0)), HYPERLINK("#",""), HYPERLINK(CONCATENATE("#Metadata!", ADDRESS(INDEX($AI$2:$AI$1001,MATCH(ROWS($AG$2:AG23),$AG$2:$AG$1001,0),0), INDEX($AN$1004:$BO$1004,1,MATCH(COLUMNS($AN$1006:BI1006),$AN$1006:$BO$1006,0)))),"Fix")))</f>
        <v>0</v>
      </c>
      <c r="X23" s="4">
        <f>IF(OR(INDEX($AH$2:$AH$1001,MATCH(ROWS($AG$2:AG23),$AG$2:$AG$1001,0),1)&gt;=100000,INDEX($AN$1005:$BO$1005,1,MATCH(COLUMNS($AN$1006:BJ1006),$AN$1006:$BO$1006,0))&gt;=100000), " ",IF(INDEX($AN$2:$BO$1001,MATCH(ROWS($AG$2:AG23),$AG$2:$AG$1001,0),MATCH(COLUMNS($AN$1006:BJ1006),$AN$1006:$BO$1006,0)), HYPERLINK("#",""), HYPERLINK(CONCATENATE("#Metadata!", ADDRESS(INDEX($AI$2:$AI$1001,MATCH(ROWS($AG$2:AG23),$AG$2:$AG$1001,0),0), INDEX($AN$1004:$BO$1004,1,MATCH(COLUMNS($AN$1006:BJ1006),$AN$1006:$BO$1006,0)))),"Fix")))</f>
        <v>0</v>
      </c>
      <c r="Y23" s="4">
        <f>IF(OR(INDEX($AH$2:$AH$1001,MATCH(ROWS($AG$2:AG23),$AG$2:$AG$1001,0),1)&gt;=100000,INDEX($AN$1005:$BO$1005,1,MATCH(COLUMNS($AN$1006:BK1006),$AN$1006:$BO$1006,0))&gt;=100000), " ",IF(INDEX($AN$2:$BO$1001,MATCH(ROWS($AG$2:AG23),$AG$2:$AG$1001,0),MATCH(COLUMNS($AN$1006:BK1006),$AN$1006:$BO$1006,0)), HYPERLINK("#",""), HYPERLINK(CONCATENATE("#Metadata!", ADDRESS(INDEX($AI$2:$AI$1001,MATCH(ROWS($AG$2:AG23),$AG$2:$AG$1001,0),0), INDEX($AN$1004:$BO$1004,1,MATCH(COLUMNS($AN$1006:BK1006),$AN$1006:$BO$1006,0)))),"Fix")))</f>
        <v>0</v>
      </c>
      <c r="Z23" s="4">
        <f>IF(OR(INDEX($AH$2:$AH$1001,MATCH(ROWS($AG$2:AG23),$AG$2:$AG$1001,0),1)&gt;=100000,INDEX($AN$1005:$BO$1005,1,MATCH(COLUMNS($AN$1006:BL1006),$AN$1006:$BO$1006,0))&gt;=100000), " ",IF(INDEX($AN$2:$BO$1001,MATCH(ROWS($AG$2:AG23),$AG$2:$AG$1001,0),MATCH(COLUMNS($AN$1006:BL1006),$AN$1006:$BO$1006,0)), HYPERLINK("#",""), HYPERLINK(CONCATENATE("#Metadata!", ADDRESS(INDEX($AI$2:$AI$1001,MATCH(ROWS($AG$2:AG23),$AG$2:$AG$1001,0),0), INDEX($AN$1004:$BO$1004,1,MATCH(COLUMNS($AN$1006:BL1006),$AN$1006:$BO$1006,0)))),"Fix")))</f>
        <v>0</v>
      </c>
      <c r="AA23" s="4">
        <f>IF(OR(INDEX($AH$2:$AH$1001,MATCH(ROWS($AG$2:AG23),$AG$2:$AG$1001,0),1)&gt;=100000,INDEX($AN$1005:$BO$1005,1,MATCH(COLUMNS($AN$1006:BM1006),$AN$1006:$BO$1006,0))&gt;=100000), " ",IF(INDEX($AN$2:$BO$1001,MATCH(ROWS($AG$2:AG23),$AG$2:$AG$1001,0),MATCH(COLUMNS($AN$1006:BM1006),$AN$1006:$BO$1006,0)), HYPERLINK("#",""), HYPERLINK(CONCATENATE("#Metadata!", ADDRESS(INDEX($AI$2:$AI$1001,MATCH(ROWS($AG$2:AG23),$AG$2:$AG$1001,0),0), INDEX($AN$1004:$BO$1004,1,MATCH(COLUMNS($AN$1006:BM1006),$AN$1006:$BO$1006,0)))),"Fix")))</f>
        <v>0</v>
      </c>
      <c r="AB23" s="4">
        <f>IF(OR(INDEX($AH$2:$AH$1001,MATCH(ROWS($AG$2:AG23),$AG$2:$AG$1001,0),1)&gt;=100000,INDEX($AN$1005:$BO$1005,1,MATCH(COLUMNS($AN$1006:BN1006),$AN$1006:$BO$1006,0))&gt;=100000), " ",IF(INDEX($AN$2:$BO$1001,MATCH(ROWS($AG$2:AG23),$AG$2:$AG$1001,0),MATCH(COLUMNS($AN$1006:BN1006),$AN$1006:$BO$1006,0)), HYPERLINK("#",""), HYPERLINK(CONCATENATE("#Metadata!", ADDRESS(INDEX($AI$2:$AI$1001,MATCH(ROWS($AG$2:AG23),$AG$2:$AG$1001,0),0), INDEX($AN$1004:$BO$1004,1,MATCH(COLUMNS($AN$1006:BN1006),$AN$1006:$BO$1006,0)))),"Fix")))</f>
        <v>0</v>
      </c>
      <c r="AC23" s="4">
        <f>IF(OR(INDEX($AH$2:$AH$1001,MATCH(ROWS($AG$2:AG23),$AG$2:$AG$1001,0),1)&gt;=100000,INDEX($AN$1005:$BO$1005,1,MATCH(COLUMNS($AN$1006:BO1006),$AN$1006:$BO$1006,0))&gt;=100000), " ",IF(INDEX($AN$2:$BO$1001,MATCH(ROWS($AG$2:AG23),$AG$2:$AG$1001,0),MATCH(COLUMNS($AN$1006:BO1006),$AN$1006:$BO$1006,0)), HYPERLINK("#",""), HYPERLINK(CONCATENATE("#Metadata!", ADDRESS(INDEX($AI$2:$AI$1001,MATCH(ROWS($AG$2:AG23),$AG$2:$AG$1001,0),0), INDEX($AN$1004:$BO$1004,1,MATCH(COLUMNS($AN$1006:BO1006),$AN$1006:$BO$1006,0)))),"Fix")))</f>
        <v>0</v>
      </c>
      <c r="AG23">
        <v>0</v>
      </c>
      <c r="AH23">
        <v>0</v>
      </c>
      <c r="AI23">
        <v>0</v>
      </c>
      <c r="AJ23">
        <f>IF(AK23,TRUE,AND(AN23:BO23))</f>
        <v>0</v>
      </c>
      <c r="AK23">
        <f>COUNTBLANK(Metadata!B23:AC23)=COLUMNS(Metadata!B23:AC23)</f>
        <v>0</v>
      </c>
      <c r="AL23">
        <v>0</v>
      </c>
      <c r="AN23">
        <f>AND(IF(Metadata!B23="",FALSE,TRUE),COUNTIF(Metadata!B:B, Metadata!B23) = 1,NOT(ISERROR(SUMPRODUCT(SEARCH(MID(Metadata!B23,ROW(INDIRECT("1:"&amp;LEN(Metadata!B23))), 1),"0123456789abcdefghijklmnopqrstuvwxyzABCDEFGHIJKLMNOPQRSTUVWXYZ.")))))</f>
        <v>0</v>
      </c>
      <c r="AO23">
        <f>IF(Metadata!C23="",FALSE,TRUE)</f>
        <v>0</v>
      </c>
      <c r="AP23">
        <f>IF(Metadata!D23="",FALSE,TRUE)</f>
        <v>0</v>
      </c>
      <c r="AQ23">
        <f>OR(AND(IF(Metadata!E23="",FALSE,TRUE),OR(exact(Metadata!E23,"not collected"),exact(Metadata!E23,"not provided"),exact(Metadata!E23,"restricted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R23">
        <f>IF(Metadata!F23="",FALSE,TRUE)</f>
        <v>0</v>
      </c>
      <c r="AS23">
        <f>OR(AND(IF(Metadata!G23="",FALSE,TRUE),OR(exact(Metadata!G23,"not collected"),exact(Metadata!G23,"not provided"))),AND(IF(Metadata!G23="",FALSE,TRUE),OR(exact(Metadata!G23,"TRUE"),exact(Metadata!G23,"FALSE"))))</f>
        <v>0</v>
      </c>
      <c r="AT23">
        <f>OR(AND(IF(Metadata!H23="",FALSE,TRUE),OR(exact(Metadata!H23,"not collected"),exact(Metadata!H23,"not provided"),exact(Metadata!H23,"restricted access"))),AND(IF(Metadata!H23="",FALSE,ISNUMBER(VALUE(Metadata!H23))),Metadata!H23&gt;=-413.0))</f>
        <v>0</v>
      </c>
      <c r="AU23">
        <f>AND(IF(Metadata!I23="",FALSE,TRUE),exact(Metadata!I23,"meters"))</f>
        <v>0</v>
      </c>
      <c r="AV23">
        <f>AND(IF(Metadata!J23="",FALSE,TRUE),OR(exact(Metadata!J23,"Host-associated"),exact(Metadata!J23,"Free-living")))</f>
        <v>0</v>
      </c>
      <c r="AW23">
        <f>AND(IF(Metadata!K23="",FALSE,TRUE),OR(exact(Metadata!K23,"Animal"),exact(Metadata!K23,"Fungus"),exact(Metadata!K23,"Plant"),exact(Metadata!K23,"Saline"),exact(Metadata!K23,"Non-saline")))</f>
        <v>0</v>
      </c>
      <c r="AX23">
        <f>AND(IF(Metadata!L23="",FALSE,TRUE),OR(exact(Metadata!L23,"Plant secretion"),exact(Metadata!L23,"Plant rhizosphere"),exact(Metadata!L23,"Plant surface"),exact(Metadata!L23,"Plant corpus"),exact(Metadata!L23,"Fungus surface"),exact(Metadata!L23,"Fungus corpus"),exact(Metadata!L23,"Animal surface"),exact(Metadata!L23,"Animal proximal gut"),exact(Metadata!L23,"Animal corpus"),exact(Metadata!L23,"Animal distal gut"),exact(Metadata!L23,"Animal secretion"),exact(Metadata!L23,"Sub-surface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0</v>
      </c>
      <c r="AY23">
        <f>IF(Metadata!M23="",FALSE,TRUE)</f>
        <v>0</v>
      </c>
      <c r="AZ23">
        <f>IF(Metadata!N23="",FALSE,TRUE)</f>
        <v>0</v>
      </c>
      <c r="BA23">
        <f>IF(Metadata!O23="",FALSE,TRUE)</f>
        <v>0</v>
      </c>
      <c r="BB23">
        <f>OR(AND(IF(Metadata!P23="",FALSE,TRUE),OR(exact(Metadata!P23,"not collected"),exact(Metadata!P23,"not provided"),exact(Metadata!P23,"restricted access"))),AND(IF(Metadata!P23="",FALSE,TRUE),OR(exact(Metadata!P23,"air"),exact(Metadata!P23,"built environment"),exact(Metadata!P23,"host-associated"),exact(Metadata!P23,"human-associated"),exact(Metadata!P23,"human-skin"),exact(Metadata!P23,"human-oral"),exact(Metadata!P23,"human-gut"),exact(Metadata!P23,"human-vaginal"),exact(Metadata!P23,"microbial mat/biofilm"),exact(Metadata!P23,"misc environment"),exact(Metadata!P23,"plant-associated"),exact(Metadata!P23,"sediment"),exact(Metadata!P23,"soil"),exact(Metadata!P23,"wastewater/sludge"),exact(Metadata!P23,"water"))))</f>
        <v>0</v>
      </c>
      <c r="BC23">
        <f>IF(Metadata!Q23="",FALSE,TRUE)</f>
        <v>0</v>
      </c>
      <c r="BD23">
        <f>IF(Metadata!R23="",FALSE,TRUE)</f>
        <v>0</v>
      </c>
      <c r="BE23">
        <f>OR(AND(IF(Metadata!S23="",FALSE,TRUE),OR(exact(Metadata!S23,"not collected"),exact(Metadata!S23,"not provided"),exact(Metadata!S23,"restricted access"))),AND(IF(Metadata!S23="",FALSE,ISNUMBER(VALUE(Metadata!S23))),Metadata!S23&gt;=-90.00,Metadata!S23&lt;=90.00))</f>
        <v>0</v>
      </c>
      <c r="BF23">
        <f>AND(IF(Metadata!T23="",FALSE,TRUE),exact(Metadata!T23,"Decimal degrees"))</f>
        <v>0</v>
      </c>
      <c r="BG23">
        <f>OR(AND(IF(Metadata!U23="",FALSE,TRUE),OR(exact(Metadata!U23,"not collected"),exact(Metadata!U23,"not provided"),exact(Metadata!U23,"restricted access"))),AND(IF(Metadata!U23="",FALSE,ISNUMBER(VALUE(Metadata!U23))),Metadata!U23&gt;=-180.00,Metadata!U23&lt;=180.00))</f>
        <v>0</v>
      </c>
      <c r="BH23">
        <f>AND(IF(Metadata!V23="",FALSE,TRUE),exact(Metadata!V23,"Decimal degrees"))</f>
        <v>0</v>
      </c>
      <c r="BI23">
        <f>IF(Metadata!W23="",FALSE,TRUE)</f>
        <v>0</v>
      </c>
      <c r="BJ23">
        <f>OR(AND(IF(Metadata!X23="",FALSE,TRUE),OR(exact(Metadata!X23,"not collected"),exact(Metadata!X23,"not provided"),exact(Metadata!X23,"restricted access"))),AND(IF(Metadata!X23="",FALSE,TRUE),OR(exact(Metadata!X23,"TRUE"),exact(Metadata!X23,"FALSE"))))</f>
        <v>0</v>
      </c>
      <c r="BK23">
        <f>AND(IF(Metadata!Y23="",FALSE,TRUE),exact(Metadata!Y23,"other"))</f>
        <v>0</v>
      </c>
      <c r="BL23">
        <f>IF(Metadata!Z23="",FALSE,TRUE)</f>
        <v>0</v>
      </c>
      <c r="BM23">
        <f>OR(AND(IF(Metadata!AA23="",FALSE,TRUE),OR(exact(Metadata!AA23,"not collected"),exact(Metadata!AA23,"not provided"))),AND(IF(Metadata!AA23="",FALSE,IF(ISERROR(INT(Metadata!AA23)),FALSE,INT(Metadata!AA23)=Metadata!AA23)),Metadata!AA23&gt;0))</f>
        <v>0</v>
      </c>
      <c r="BN23">
        <f>AND(IF(Metadata!AB23="",FALSE,TRUE),exact(Metadata!AB23,"Not applicable"))</f>
        <v>0</v>
      </c>
      <c r="BO23">
        <f>IF(Metadata!AC23="",FALSE,TRUE)</f>
        <v>0</v>
      </c>
    </row>
    <row r="24" spans="1:67">
      <c r="A24" s="5">
        <f>IF(B24=" "," ",HYPERLINK(CONCATENATE("#metadata!",ADDRESS(INDEX($AI$2:$AI$1001,MATCH(ROWS($AG$2:AG24),$AG$2:$AG$1001,0),0),1)),INDEX($AL$2:$AL$1001,MATCH(ROWS($AG$2:AG24),$AG$2:$AG$1001,0),0)))</f>
        <v>0</v>
      </c>
      <c r="B24" s="4">
        <f>IF(OR(INDEX($AH$2:$AH$1001,MATCH(ROWS($AG$2:AG24),$AG$2:$AG$1001,0),1)&gt;=100000,INDEX($AN$1005:$BO$1005,1,MATCH(COLUMNS($AN$1006:AN1006),$AN$1006:$BO$1006,0))&gt;=100000), " ",IF(INDEX($AN$2:$BO$1001,MATCH(ROWS($AG$2:AG24),$AG$2:$AG$1001,0),MATCH(COLUMNS($AN$1006:AN1006),$AN$1006:$BO$1006,0)), HYPERLINK("#",""), HYPERLINK(CONCATENATE("#Metadata!", ADDRESS(INDEX($AI$2:$AI$1001,MATCH(ROWS($AG$2:AG24),$AG$2:$AG$1001,0),0), INDEX($AN$1004:$BO$1004,1,MATCH(COLUMNS($AN$1006:AN1006),$AN$1006:$BO$1006,0)))),"Fix")))</f>
        <v>0</v>
      </c>
      <c r="C24" s="4">
        <f>IF(OR(INDEX($AH$2:$AH$1001,MATCH(ROWS($AG$2:AG24),$AG$2:$AG$1001,0),1)&gt;=100000,INDEX($AN$1005:$BO$1005,1,MATCH(COLUMNS($AN$1006:AO1006),$AN$1006:$BO$1006,0))&gt;=100000), " ",IF(INDEX($AN$2:$BO$1001,MATCH(ROWS($AG$2:AG24),$AG$2:$AG$1001,0),MATCH(COLUMNS($AN$1006:AO1006),$AN$1006:$BO$1006,0)), HYPERLINK("#",""), HYPERLINK(CONCATENATE("#Metadata!", ADDRESS(INDEX($AI$2:$AI$1001,MATCH(ROWS($AG$2:AG24),$AG$2:$AG$1001,0),0), INDEX($AN$1004:$BO$1004,1,MATCH(COLUMNS($AN$1006:AO1006),$AN$1006:$BO$1006,0)))),"Fix")))</f>
        <v>0</v>
      </c>
      <c r="D24" s="4">
        <f>IF(OR(INDEX($AH$2:$AH$1001,MATCH(ROWS($AG$2:AG24),$AG$2:$AG$1001,0),1)&gt;=100000,INDEX($AN$1005:$BO$1005,1,MATCH(COLUMNS($AN$1006:AP1006),$AN$1006:$BO$1006,0))&gt;=100000), " ",IF(INDEX($AN$2:$BO$1001,MATCH(ROWS($AG$2:AG24),$AG$2:$AG$1001,0),MATCH(COLUMNS($AN$1006:AP1006),$AN$1006:$BO$1006,0)), HYPERLINK("#",""), HYPERLINK(CONCATENATE("#Metadata!", ADDRESS(INDEX($AI$2:$AI$1001,MATCH(ROWS($AG$2:AG24),$AG$2:$AG$1001,0),0), INDEX($AN$1004:$BO$1004,1,MATCH(COLUMNS($AN$1006:AP1006),$AN$1006:$BO$1006,0)))),"Fix")))</f>
        <v>0</v>
      </c>
      <c r="E24" s="4">
        <f>IF(OR(INDEX($AH$2:$AH$1001,MATCH(ROWS($AG$2:AG24),$AG$2:$AG$1001,0),1)&gt;=100000,INDEX($AN$1005:$BO$1005,1,MATCH(COLUMNS($AN$1006:AQ1006),$AN$1006:$BO$1006,0))&gt;=100000), " ",IF(INDEX($AN$2:$BO$1001,MATCH(ROWS($AG$2:AG24),$AG$2:$AG$1001,0),MATCH(COLUMNS($AN$1006:AQ1006),$AN$1006:$BO$1006,0)), HYPERLINK("#",""), HYPERLINK(CONCATENATE("#Metadata!", ADDRESS(INDEX($AI$2:$AI$1001,MATCH(ROWS($AG$2:AG24),$AG$2:$AG$1001,0),0), INDEX($AN$1004:$BO$1004,1,MATCH(COLUMNS($AN$1006:AQ1006),$AN$1006:$BO$1006,0)))),"Fix")))</f>
        <v>0</v>
      </c>
      <c r="F24" s="4">
        <f>IF(OR(INDEX($AH$2:$AH$1001,MATCH(ROWS($AG$2:AG24),$AG$2:$AG$1001,0),1)&gt;=100000,INDEX($AN$1005:$BO$1005,1,MATCH(COLUMNS($AN$1006:AR1006),$AN$1006:$BO$1006,0))&gt;=100000), " ",IF(INDEX($AN$2:$BO$1001,MATCH(ROWS($AG$2:AG24),$AG$2:$AG$1001,0),MATCH(COLUMNS($AN$1006:AR1006),$AN$1006:$BO$1006,0)), HYPERLINK("#",""), HYPERLINK(CONCATENATE("#Metadata!", ADDRESS(INDEX($AI$2:$AI$1001,MATCH(ROWS($AG$2:AG24),$AG$2:$AG$1001,0),0), INDEX($AN$1004:$BO$1004,1,MATCH(COLUMNS($AN$1006:AR1006),$AN$1006:$BO$1006,0)))),"Fix")))</f>
        <v>0</v>
      </c>
      <c r="G24" s="4">
        <f>IF(OR(INDEX($AH$2:$AH$1001,MATCH(ROWS($AG$2:AG24),$AG$2:$AG$1001,0),1)&gt;=100000,INDEX($AN$1005:$BO$1005,1,MATCH(COLUMNS($AN$1006:AS1006),$AN$1006:$BO$1006,0))&gt;=100000), " ",IF(INDEX($AN$2:$BO$1001,MATCH(ROWS($AG$2:AG24),$AG$2:$AG$1001,0),MATCH(COLUMNS($AN$1006:AS1006),$AN$1006:$BO$1006,0)), HYPERLINK("#",""), HYPERLINK(CONCATENATE("#Metadata!", ADDRESS(INDEX($AI$2:$AI$1001,MATCH(ROWS($AG$2:AG24),$AG$2:$AG$1001,0),0), INDEX($AN$1004:$BO$1004,1,MATCH(COLUMNS($AN$1006:AS1006),$AN$1006:$BO$1006,0)))),"Fix")))</f>
        <v>0</v>
      </c>
      <c r="H24" s="4">
        <f>IF(OR(INDEX($AH$2:$AH$1001,MATCH(ROWS($AG$2:AG24),$AG$2:$AG$1001,0),1)&gt;=100000,INDEX($AN$1005:$BO$1005,1,MATCH(COLUMNS($AN$1006:AT1006),$AN$1006:$BO$1006,0))&gt;=100000), " ",IF(INDEX($AN$2:$BO$1001,MATCH(ROWS($AG$2:AG24),$AG$2:$AG$1001,0),MATCH(COLUMNS($AN$1006:AT1006),$AN$1006:$BO$1006,0)), HYPERLINK("#",""), HYPERLINK(CONCATENATE("#Metadata!", ADDRESS(INDEX($AI$2:$AI$1001,MATCH(ROWS($AG$2:AG24),$AG$2:$AG$1001,0),0), INDEX($AN$1004:$BO$1004,1,MATCH(COLUMNS($AN$1006:AT1006),$AN$1006:$BO$1006,0)))),"Fix")))</f>
        <v>0</v>
      </c>
      <c r="I24" s="4">
        <f>IF(OR(INDEX($AH$2:$AH$1001,MATCH(ROWS($AG$2:AG24),$AG$2:$AG$1001,0),1)&gt;=100000,INDEX($AN$1005:$BO$1005,1,MATCH(COLUMNS($AN$1006:AU1006),$AN$1006:$BO$1006,0))&gt;=100000), " ",IF(INDEX($AN$2:$BO$1001,MATCH(ROWS($AG$2:AG24),$AG$2:$AG$1001,0),MATCH(COLUMNS($AN$1006:AU1006),$AN$1006:$BO$1006,0)), HYPERLINK("#",""), HYPERLINK(CONCATENATE("#Metadata!", ADDRESS(INDEX($AI$2:$AI$1001,MATCH(ROWS($AG$2:AG24),$AG$2:$AG$1001,0),0), INDEX($AN$1004:$BO$1004,1,MATCH(COLUMNS($AN$1006:AU1006),$AN$1006:$BO$1006,0)))),"Fix")))</f>
        <v>0</v>
      </c>
      <c r="J24" s="4">
        <f>IF(OR(INDEX($AH$2:$AH$1001,MATCH(ROWS($AG$2:AG24),$AG$2:$AG$1001,0),1)&gt;=100000,INDEX($AN$1005:$BO$1005,1,MATCH(COLUMNS($AN$1006:AV1006),$AN$1006:$BO$1006,0))&gt;=100000), " ",IF(INDEX($AN$2:$BO$1001,MATCH(ROWS($AG$2:AG24),$AG$2:$AG$1001,0),MATCH(COLUMNS($AN$1006:AV1006),$AN$1006:$BO$1006,0)), HYPERLINK("#",""), HYPERLINK(CONCATENATE("#Metadata!", ADDRESS(INDEX($AI$2:$AI$1001,MATCH(ROWS($AG$2:AG24),$AG$2:$AG$1001,0),0), INDEX($AN$1004:$BO$1004,1,MATCH(COLUMNS($AN$1006:AV1006),$AN$1006:$BO$1006,0)))),"Fix")))</f>
        <v>0</v>
      </c>
      <c r="K24" s="4">
        <f>IF(OR(INDEX($AH$2:$AH$1001,MATCH(ROWS($AG$2:AG24),$AG$2:$AG$1001,0),1)&gt;=100000,INDEX($AN$1005:$BO$1005,1,MATCH(COLUMNS($AN$1006:AW1006),$AN$1006:$BO$1006,0))&gt;=100000), " ",IF(INDEX($AN$2:$BO$1001,MATCH(ROWS($AG$2:AG24),$AG$2:$AG$1001,0),MATCH(COLUMNS($AN$1006:AW1006),$AN$1006:$BO$1006,0)), HYPERLINK("#",""), HYPERLINK(CONCATENATE("#Metadata!", ADDRESS(INDEX($AI$2:$AI$1001,MATCH(ROWS($AG$2:AG24),$AG$2:$AG$1001,0),0), INDEX($AN$1004:$BO$1004,1,MATCH(COLUMNS($AN$1006:AW1006),$AN$1006:$BO$1006,0)))),"Fix")))</f>
        <v>0</v>
      </c>
      <c r="L24" s="4">
        <f>IF(OR(INDEX($AH$2:$AH$1001,MATCH(ROWS($AG$2:AG24),$AG$2:$AG$1001,0),1)&gt;=100000,INDEX($AN$1005:$BO$1005,1,MATCH(COLUMNS($AN$1006:AX1006),$AN$1006:$BO$1006,0))&gt;=100000), " ",IF(INDEX($AN$2:$BO$1001,MATCH(ROWS($AG$2:AG24),$AG$2:$AG$1001,0),MATCH(COLUMNS($AN$1006:AX1006),$AN$1006:$BO$1006,0)), HYPERLINK("#",""), HYPERLINK(CONCATENATE("#Metadata!", ADDRESS(INDEX($AI$2:$AI$1001,MATCH(ROWS($AG$2:AG24),$AG$2:$AG$1001,0),0), INDEX($AN$1004:$BO$1004,1,MATCH(COLUMNS($AN$1006:AX1006),$AN$1006:$BO$1006,0)))),"Fix")))</f>
        <v>0</v>
      </c>
      <c r="M24" s="4">
        <f>IF(OR(INDEX($AH$2:$AH$1001,MATCH(ROWS($AG$2:AG24),$AG$2:$AG$1001,0),1)&gt;=100000,INDEX($AN$1005:$BO$1005,1,MATCH(COLUMNS($AN$1006:AY1006),$AN$1006:$BO$1006,0))&gt;=100000), " ",IF(INDEX($AN$2:$BO$1001,MATCH(ROWS($AG$2:AG24),$AG$2:$AG$1001,0),MATCH(COLUMNS($AN$1006:AY1006),$AN$1006:$BO$1006,0)), HYPERLINK("#",""), HYPERLINK(CONCATENATE("#Metadata!", ADDRESS(INDEX($AI$2:$AI$1001,MATCH(ROWS($AG$2:AG24),$AG$2:$AG$1001,0),0), INDEX($AN$1004:$BO$1004,1,MATCH(COLUMNS($AN$1006:AY1006),$AN$1006:$BO$1006,0)))),"Fix")))</f>
        <v>0</v>
      </c>
      <c r="N24" s="4">
        <f>IF(OR(INDEX($AH$2:$AH$1001,MATCH(ROWS($AG$2:AG24),$AG$2:$AG$1001,0),1)&gt;=100000,INDEX($AN$1005:$BO$1005,1,MATCH(COLUMNS($AN$1006:AZ1006),$AN$1006:$BO$1006,0))&gt;=100000), " ",IF(INDEX($AN$2:$BO$1001,MATCH(ROWS($AG$2:AG24),$AG$2:$AG$1001,0),MATCH(COLUMNS($AN$1006:AZ1006),$AN$1006:$BO$1006,0)), HYPERLINK("#",""), HYPERLINK(CONCATENATE("#Metadata!", ADDRESS(INDEX($AI$2:$AI$1001,MATCH(ROWS($AG$2:AG24),$AG$2:$AG$1001,0),0), INDEX($AN$1004:$BO$1004,1,MATCH(COLUMNS($AN$1006:AZ1006),$AN$1006:$BO$1006,0)))),"Fix")))</f>
        <v>0</v>
      </c>
      <c r="O24" s="4">
        <f>IF(OR(INDEX($AH$2:$AH$1001,MATCH(ROWS($AG$2:AG24),$AG$2:$AG$1001,0),1)&gt;=100000,INDEX($AN$1005:$BO$1005,1,MATCH(COLUMNS($AN$1006:BA1006),$AN$1006:$BO$1006,0))&gt;=100000), " ",IF(INDEX($AN$2:$BO$1001,MATCH(ROWS($AG$2:AG24),$AG$2:$AG$1001,0),MATCH(COLUMNS($AN$1006:BA1006),$AN$1006:$BO$1006,0)), HYPERLINK("#",""), HYPERLINK(CONCATENATE("#Metadata!", ADDRESS(INDEX($AI$2:$AI$1001,MATCH(ROWS($AG$2:AG24),$AG$2:$AG$1001,0),0), INDEX($AN$1004:$BO$1004,1,MATCH(COLUMNS($AN$1006:BA1006),$AN$1006:$BO$1006,0)))),"Fix")))</f>
        <v>0</v>
      </c>
      <c r="P24" s="4">
        <f>IF(OR(INDEX($AH$2:$AH$1001,MATCH(ROWS($AG$2:AG24),$AG$2:$AG$1001,0),1)&gt;=100000,INDEX($AN$1005:$BO$1005,1,MATCH(COLUMNS($AN$1006:BB1006),$AN$1006:$BO$1006,0))&gt;=100000), " ",IF(INDEX($AN$2:$BO$1001,MATCH(ROWS($AG$2:AG24),$AG$2:$AG$1001,0),MATCH(COLUMNS($AN$1006:BB1006),$AN$1006:$BO$1006,0)), HYPERLINK("#",""), HYPERLINK(CONCATENATE("#Metadata!", ADDRESS(INDEX($AI$2:$AI$1001,MATCH(ROWS($AG$2:AG24),$AG$2:$AG$1001,0),0), INDEX($AN$1004:$BO$1004,1,MATCH(COLUMNS($AN$1006:BB1006),$AN$1006:$BO$1006,0)))),"Fix")))</f>
        <v>0</v>
      </c>
      <c r="Q24" s="4">
        <f>IF(OR(INDEX($AH$2:$AH$1001,MATCH(ROWS($AG$2:AG24),$AG$2:$AG$1001,0),1)&gt;=100000,INDEX($AN$1005:$BO$1005,1,MATCH(COLUMNS($AN$1006:BC1006),$AN$1006:$BO$1006,0))&gt;=100000), " ",IF(INDEX($AN$2:$BO$1001,MATCH(ROWS($AG$2:AG24),$AG$2:$AG$1001,0),MATCH(COLUMNS($AN$1006:BC1006),$AN$1006:$BO$1006,0)), HYPERLINK("#",""), HYPERLINK(CONCATENATE("#Metadata!", ADDRESS(INDEX($AI$2:$AI$1001,MATCH(ROWS($AG$2:AG24),$AG$2:$AG$1001,0),0), INDEX($AN$1004:$BO$1004,1,MATCH(COLUMNS($AN$1006:BC1006),$AN$1006:$BO$1006,0)))),"Fix")))</f>
        <v>0</v>
      </c>
      <c r="R24" s="4">
        <f>IF(OR(INDEX($AH$2:$AH$1001,MATCH(ROWS($AG$2:AG24),$AG$2:$AG$1001,0),1)&gt;=100000,INDEX($AN$1005:$BO$1005,1,MATCH(COLUMNS($AN$1006:BD1006),$AN$1006:$BO$1006,0))&gt;=100000), " ",IF(INDEX($AN$2:$BO$1001,MATCH(ROWS($AG$2:AG24),$AG$2:$AG$1001,0),MATCH(COLUMNS($AN$1006:BD1006),$AN$1006:$BO$1006,0)), HYPERLINK("#",""), HYPERLINK(CONCATENATE("#Metadata!", ADDRESS(INDEX($AI$2:$AI$1001,MATCH(ROWS($AG$2:AG24),$AG$2:$AG$1001,0),0), INDEX($AN$1004:$BO$1004,1,MATCH(COLUMNS($AN$1006:BD1006),$AN$1006:$BO$1006,0)))),"Fix")))</f>
        <v>0</v>
      </c>
      <c r="S24" s="4">
        <f>IF(OR(INDEX($AH$2:$AH$1001,MATCH(ROWS($AG$2:AG24),$AG$2:$AG$1001,0),1)&gt;=100000,INDEX($AN$1005:$BO$1005,1,MATCH(COLUMNS($AN$1006:BE1006),$AN$1006:$BO$1006,0))&gt;=100000), " ",IF(INDEX($AN$2:$BO$1001,MATCH(ROWS($AG$2:AG24),$AG$2:$AG$1001,0),MATCH(COLUMNS($AN$1006:BE1006),$AN$1006:$BO$1006,0)), HYPERLINK("#",""), HYPERLINK(CONCATENATE("#Metadata!", ADDRESS(INDEX($AI$2:$AI$1001,MATCH(ROWS($AG$2:AG24),$AG$2:$AG$1001,0),0), INDEX($AN$1004:$BO$1004,1,MATCH(COLUMNS($AN$1006:BE1006),$AN$1006:$BO$1006,0)))),"Fix")))</f>
        <v>0</v>
      </c>
      <c r="T24" s="4">
        <f>IF(OR(INDEX($AH$2:$AH$1001,MATCH(ROWS($AG$2:AG24),$AG$2:$AG$1001,0),1)&gt;=100000,INDEX($AN$1005:$BO$1005,1,MATCH(COLUMNS($AN$1006:BF1006),$AN$1006:$BO$1006,0))&gt;=100000), " ",IF(INDEX($AN$2:$BO$1001,MATCH(ROWS($AG$2:AG24),$AG$2:$AG$1001,0),MATCH(COLUMNS($AN$1006:BF1006),$AN$1006:$BO$1006,0)), HYPERLINK("#",""), HYPERLINK(CONCATENATE("#Metadata!", ADDRESS(INDEX($AI$2:$AI$1001,MATCH(ROWS($AG$2:AG24),$AG$2:$AG$1001,0),0), INDEX($AN$1004:$BO$1004,1,MATCH(COLUMNS($AN$1006:BF1006),$AN$1006:$BO$1006,0)))),"Fix")))</f>
        <v>0</v>
      </c>
      <c r="U24" s="4">
        <f>IF(OR(INDEX($AH$2:$AH$1001,MATCH(ROWS($AG$2:AG24),$AG$2:$AG$1001,0),1)&gt;=100000,INDEX($AN$1005:$BO$1005,1,MATCH(COLUMNS($AN$1006:BG1006),$AN$1006:$BO$1006,0))&gt;=100000), " ",IF(INDEX($AN$2:$BO$1001,MATCH(ROWS($AG$2:AG24),$AG$2:$AG$1001,0),MATCH(COLUMNS($AN$1006:BG1006),$AN$1006:$BO$1006,0)), HYPERLINK("#",""), HYPERLINK(CONCATENATE("#Metadata!", ADDRESS(INDEX($AI$2:$AI$1001,MATCH(ROWS($AG$2:AG24),$AG$2:$AG$1001,0),0), INDEX($AN$1004:$BO$1004,1,MATCH(COLUMNS($AN$1006:BG1006),$AN$1006:$BO$1006,0)))),"Fix")))</f>
        <v>0</v>
      </c>
      <c r="V24" s="4">
        <f>IF(OR(INDEX($AH$2:$AH$1001,MATCH(ROWS($AG$2:AG24),$AG$2:$AG$1001,0),1)&gt;=100000,INDEX($AN$1005:$BO$1005,1,MATCH(COLUMNS($AN$1006:BH1006),$AN$1006:$BO$1006,0))&gt;=100000), " ",IF(INDEX($AN$2:$BO$1001,MATCH(ROWS($AG$2:AG24),$AG$2:$AG$1001,0),MATCH(COLUMNS($AN$1006:BH1006),$AN$1006:$BO$1006,0)), HYPERLINK("#",""), HYPERLINK(CONCATENATE("#Metadata!", ADDRESS(INDEX($AI$2:$AI$1001,MATCH(ROWS($AG$2:AG24),$AG$2:$AG$1001,0),0), INDEX($AN$1004:$BO$1004,1,MATCH(COLUMNS($AN$1006:BH1006),$AN$1006:$BO$1006,0)))),"Fix")))</f>
        <v>0</v>
      </c>
      <c r="W24" s="4">
        <f>IF(OR(INDEX($AH$2:$AH$1001,MATCH(ROWS($AG$2:AG24),$AG$2:$AG$1001,0),1)&gt;=100000,INDEX($AN$1005:$BO$1005,1,MATCH(COLUMNS($AN$1006:BI1006),$AN$1006:$BO$1006,0))&gt;=100000), " ",IF(INDEX($AN$2:$BO$1001,MATCH(ROWS($AG$2:AG24),$AG$2:$AG$1001,0),MATCH(COLUMNS($AN$1006:BI1006),$AN$1006:$BO$1006,0)), HYPERLINK("#",""), HYPERLINK(CONCATENATE("#Metadata!", ADDRESS(INDEX($AI$2:$AI$1001,MATCH(ROWS($AG$2:AG24),$AG$2:$AG$1001,0),0), INDEX($AN$1004:$BO$1004,1,MATCH(COLUMNS($AN$1006:BI1006),$AN$1006:$BO$1006,0)))),"Fix")))</f>
        <v>0</v>
      </c>
      <c r="X24" s="4">
        <f>IF(OR(INDEX($AH$2:$AH$1001,MATCH(ROWS($AG$2:AG24),$AG$2:$AG$1001,0),1)&gt;=100000,INDEX($AN$1005:$BO$1005,1,MATCH(COLUMNS($AN$1006:BJ1006),$AN$1006:$BO$1006,0))&gt;=100000), " ",IF(INDEX($AN$2:$BO$1001,MATCH(ROWS($AG$2:AG24),$AG$2:$AG$1001,0),MATCH(COLUMNS($AN$1006:BJ1006),$AN$1006:$BO$1006,0)), HYPERLINK("#",""), HYPERLINK(CONCATENATE("#Metadata!", ADDRESS(INDEX($AI$2:$AI$1001,MATCH(ROWS($AG$2:AG24),$AG$2:$AG$1001,0),0), INDEX($AN$1004:$BO$1004,1,MATCH(COLUMNS($AN$1006:BJ1006),$AN$1006:$BO$1006,0)))),"Fix")))</f>
        <v>0</v>
      </c>
      <c r="Y24" s="4">
        <f>IF(OR(INDEX($AH$2:$AH$1001,MATCH(ROWS($AG$2:AG24),$AG$2:$AG$1001,0),1)&gt;=100000,INDEX($AN$1005:$BO$1005,1,MATCH(COLUMNS($AN$1006:BK1006),$AN$1006:$BO$1006,0))&gt;=100000), " ",IF(INDEX($AN$2:$BO$1001,MATCH(ROWS($AG$2:AG24),$AG$2:$AG$1001,0),MATCH(COLUMNS($AN$1006:BK1006),$AN$1006:$BO$1006,0)), HYPERLINK("#",""), HYPERLINK(CONCATENATE("#Metadata!", ADDRESS(INDEX($AI$2:$AI$1001,MATCH(ROWS($AG$2:AG24),$AG$2:$AG$1001,0),0), INDEX($AN$1004:$BO$1004,1,MATCH(COLUMNS($AN$1006:BK1006),$AN$1006:$BO$1006,0)))),"Fix")))</f>
        <v>0</v>
      </c>
      <c r="Z24" s="4">
        <f>IF(OR(INDEX($AH$2:$AH$1001,MATCH(ROWS($AG$2:AG24),$AG$2:$AG$1001,0),1)&gt;=100000,INDEX($AN$1005:$BO$1005,1,MATCH(COLUMNS($AN$1006:BL1006),$AN$1006:$BO$1006,0))&gt;=100000), " ",IF(INDEX($AN$2:$BO$1001,MATCH(ROWS($AG$2:AG24),$AG$2:$AG$1001,0),MATCH(COLUMNS($AN$1006:BL1006),$AN$1006:$BO$1006,0)), HYPERLINK("#",""), HYPERLINK(CONCATENATE("#Metadata!", ADDRESS(INDEX($AI$2:$AI$1001,MATCH(ROWS($AG$2:AG24),$AG$2:$AG$1001,0),0), INDEX($AN$1004:$BO$1004,1,MATCH(COLUMNS($AN$1006:BL1006),$AN$1006:$BO$1006,0)))),"Fix")))</f>
        <v>0</v>
      </c>
      <c r="AA24" s="4">
        <f>IF(OR(INDEX($AH$2:$AH$1001,MATCH(ROWS($AG$2:AG24),$AG$2:$AG$1001,0),1)&gt;=100000,INDEX($AN$1005:$BO$1005,1,MATCH(COLUMNS($AN$1006:BM1006),$AN$1006:$BO$1006,0))&gt;=100000), " ",IF(INDEX($AN$2:$BO$1001,MATCH(ROWS($AG$2:AG24),$AG$2:$AG$1001,0),MATCH(COLUMNS($AN$1006:BM1006),$AN$1006:$BO$1006,0)), HYPERLINK("#",""), HYPERLINK(CONCATENATE("#Metadata!", ADDRESS(INDEX($AI$2:$AI$1001,MATCH(ROWS($AG$2:AG24),$AG$2:$AG$1001,0),0), INDEX($AN$1004:$BO$1004,1,MATCH(COLUMNS($AN$1006:BM1006),$AN$1006:$BO$1006,0)))),"Fix")))</f>
        <v>0</v>
      </c>
      <c r="AB24" s="4">
        <f>IF(OR(INDEX($AH$2:$AH$1001,MATCH(ROWS($AG$2:AG24),$AG$2:$AG$1001,0),1)&gt;=100000,INDEX($AN$1005:$BO$1005,1,MATCH(COLUMNS($AN$1006:BN1006),$AN$1006:$BO$1006,0))&gt;=100000), " ",IF(INDEX($AN$2:$BO$1001,MATCH(ROWS($AG$2:AG24),$AG$2:$AG$1001,0),MATCH(COLUMNS($AN$1006:BN1006),$AN$1006:$BO$1006,0)), HYPERLINK("#",""), HYPERLINK(CONCATENATE("#Metadata!", ADDRESS(INDEX($AI$2:$AI$1001,MATCH(ROWS($AG$2:AG24),$AG$2:$AG$1001,0),0), INDEX($AN$1004:$BO$1004,1,MATCH(COLUMNS($AN$1006:BN1006),$AN$1006:$BO$1006,0)))),"Fix")))</f>
        <v>0</v>
      </c>
      <c r="AC24" s="4">
        <f>IF(OR(INDEX($AH$2:$AH$1001,MATCH(ROWS($AG$2:AG24),$AG$2:$AG$1001,0),1)&gt;=100000,INDEX($AN$1005:$BO$1005,1,MATCH(COLUMNS($AN$1006:BO1006),$AN$1006:$BO$1006,0))&gt;=100000), " ",IF(INDEX($AN$2:$BO$1001,MATCH(ROWS($AG$2:AG24),$AG$2:$AG$1001,0),MATCH(COLUMNS($AN$1006:BO1006),$AN$1006:$BO$1006,0)), HYPERLINK("#",""), HYPERLINK(CONCATENATE("#Metadata!", ADDRESS(INDEX($AI$2:$AI$1001,MATCH(ROWS($AG$2:AG24),$AG$2:$AG$1001,0),0), INDEX($AN$1004:$BO$1004,1,MATCH(COLUMNS($AN$1006:BO1006),$AN$1006:$BO$1006,0)))),"Fix")))</f>
        <v>0</v>
      </c>
      <c r="AG24">
        <v>0</v>
      </c>
      <c r="AH24">
        <v>0</v>
      </c>
      <c r="AI24">
        <v>0</v>
      </c>
      <c r="AJ24">
        <f>IF(AK24,TRUE,AND(AN24:BO24))</f>
        <v>0</v>
      </c>
      <c r="AK24">
        <f>COUNTBLANK(Metadata!B24:AC24)=COLUMNS(Metadata!B24:AC24)</f>
        <v>0</v>
      </c>
      <c r="AL24">
        <v>0</v>
      </c>
      <c r="AN24">
        <f>AND(IF(Metadata!B24="",FALSE,TRUE),COUNTIF(Metadata!B:B, Metadata!B24) = 1,NOT(ISERROR(SUMPRODUCT(SEARCH(MID(Metadata!B24,ROW(INDIRECT("1:"&amp;LEN(Metadata!B24))), 1),"0123456789abcdefghijklmnopqrstuvwxyzABCDEFGHIJKLMNOPQRSTUVWXYZ.")))))</f>
        <v>0</v>
      </c>
      <c r="AO24">
        <f>IF(Metadata!C24="",FALSE,TRUE)</f>
        <v>0</v>
      </c>
      <c r="AP24">
        <f>IF(Metadata!D24="",FALSE,TRUE)</f>
        <v>0</v>
      </c>
      <c r="AQ24">
        <f>OR(AND(IF(Metadata!E24="",FALSE,TRUE),OR(exact(Metadata!E24,"not collected"),exact(Metadata!E24,"not provided"),exact(Metadata!E24,"restricted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R24">
        <f>IF(Metadata!F24="",FALSE,TRUE)</f>
        <v>0</v>
      </c>
      <c r="AS24">
        <f>OR(AND(IF(Metadata!G24="",FALSE,TRUE),OR(exact(Metadata!G24,"not collected"),exact(Metadata!G24,"not provided"))),AND(IF(Metadata!G24="",FALSE,TRUE),OR(exact(Metadata!G24,"TRUE"),exact(Metadata!G24,"FALSE"))))</f>
        <v>0</v>
      </c>
      <c r="AT24">
        <f>OR(AND(IF(Metadata!H24="",FALSE,TRUE),OR(exact(Metadata!H24,"not collected"),exact(Metadata!H24,"not provided"),exact(Metadata!H24,"restricted access"))),AND(IF(Metadata!H24="",FALSE,ISNUMBER(VALUE(Metadata!H24))),Metadata!H24&gt;=-413.0))</f>
        <v>0</v>
      </c>
      <c r="AU24">
        <f>AND(IF(Metadata!I24="",FALSE,TRUE),exact(Metadata!I24,"meters"))</f>
        <v>0</v>
      </c>
      <c r="AV24">
        <f>AND(IF(Metadata!J24="",FALSE,TRUE),OR(exact(Metadata!J24,"Host-associated"),exact(Metadata!J24,"Free-living")))</f>
        <v>0</v>
      </c>
      <c r="AW24">
        <f>AND(IF(Metadata!K24="",FALSE,TRUE),OR(exact(Metadata!K24,"Animal"),exact(Metadata!K24,"Fungus"),exact(Metadata!K24,"Plant"),exact(Metadata!K24,"Saline"),exact(Metadata!K24,"Non-saline")))</f>
        <v>0</v>
      </c>
      <c r="AX24">
        <f>AND(IF(Metadata!L24="",FALSE,TRUE),OR(exact(Metadata!L24,"Plant secretion"),exact(Metadata!L24,"Plant rhizosphere"),exact(Metadata!L24,"Plant surface"),exact(Metadata!L24,"Plant corpus"),exact(Metadata!L24,"Fungus surface"),exact(Metadata!L24,"Fungus corpus"),exact(Metadata!L24,"Animal surface"),exact(Metadata!L24,"Animal proximal gut"),exact(Metadata!L24,"Animal corpus"),exact(Metadata!L24,"Animal distal gut"),exact(Metadata!L24,"Animal secretion"),exact(Metadata!L24,"Sub-surface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0</v>
      </c>
      <c r="AY24">
        <f>IF(Metadata!M24="",FALSE,TRUE)</f>
        <v>0</v>
      </c>
      <c r="AZ24">
        <f>IF(Metadata!N24="",FALSE,TRUE)</f>
        <v>0</v>
      </c>
      <c r="BA24">
        <f>IF(Metadata!O24="",FALSE,TRUE)</f>
        <v>0</v>
      </c>
      <c r="BB24">
        <f>OR(AND(IF(Metadata!P24="",FALSE,TRUE),OR(exact(Metadata!P24,"not collected"),exact(Metadata!P24,"not provided"),exact(Metadata!P24,"restricted access"))),AND(IF(Metadata!P24="",FALSE,TRUE),OR(exact(Metadata!P24,"air"),exact(Metadata!P24,"built environment"),exact(Metadata!P24,"host-associated"),exact(Metadata!P24,"human-associated"),exact(Metadata!P24,"human-skin"),exact(Metadata!P24,"human-oral"),exact(Metadata!P24,"human-gut"),exact(Metadata!P24,"human-vaginal"),exact(Metadata!P24,"microbial mat/biofilm"),exact(Metadata!P24,"misc environment"),exact(Metadata!P24,"plant-associated"),exact(Metadata!P24,"sediment"),exact(Metadata!P24,"soil"),exact(Metadata!P24,"wastewater/sludge"),exact(Metadata!P24,"water"))))</f>
        <v>0</v>
      </c>
      <c r="BC24">
        <f>IF(Metadata!Q24="",FALSE,TRUE)</f>
        <v>0</v>
      </c>
      <c r="BD24">
        <f>IF(Metadata!R24="",FALSE,TRUE)</f>
        <v>0</v>
      </c>
      <c r="BE24">
        <f>OR(AND(IF(Metadata!S24="",FALSE,TRUE),OR(exact(Metadata!S24,"not collected"),exact(Metadata!S24,"not provided"),exact(Metadata!S24,"restricted access"))),AND(IF(Metadata!S24="",FALSE,ISNUMBER(VALUE(Metadata!S24))),Metadata!S24&gt;=-90.00,Metadata!S24&lt;=90.00))</f>
        <v>0</v>
      </c>
      <c r="BF24">
        <f>AND(IF(Metadata!T24="",FALSE,TRUE),exact(Metadata!T24,"Decimal degrees"))</f>
        <v>0</v>
      </c>
      <c r="BG24">
        <f>OR(AND(IF(Metadata!U24="",FALSE,TRUE),OR(exact(Metadata!U24,"not collected"),exact(Metadata!U24,"not provided"),exact(Metadata!U24,"restricted access"))),AND(IF(Metadata!U24="",FALSE,ISNUMBER(VALUE(Metadata!U24))),Metadata!U24&gt;=-180.00,Metadata!U24&lt;=180.00))</f>
        <v>0</v>
      </c>
      <c r="BH24">
        <f>AND(IF(Metadata!V24="",FALSE,TRUE),exact(Metadata!V24,"Decimal degrees"))</f>
        <v>0</v>
      </c>
      <c r="BI24">
        <f>IF(Metadata!W24="",FALSE,TRUE)</f>
        <v>0</v>
      </c>
      <c r="BJ24">
        <f>OR(AND(IF(Metadata!X24="",FALSE,TRUE),OR(exact(Metadata!X24,"not collected"),exact(Metadata!X24,"not provided"),exact(Metadata!X24,"restricted access"))),AND(IF(Metadata!X24="",FALSE,TRUE),OR(exact(Metadata!X24,"TRUE"),exact(Metadata!X24,"FALSE"))))</f>
        <v>0</v>
      </c>
      <c r="BK24">
        <f>AND(IF(Metadata!Y24="",FALSE,TRUE),exact(Metadata!Y24,"other"))</f>
        <v>0</v>
      </c>
      <c r="BL24">
        <f>IF(Metadata!Z24="",FALSE,TRUE)</f>
        <v>0</v>
      </c>
      <c r="BM24">
        <f>OR(AND(IF(Metadata!AA24="",FALSE,TRUE),OR(exact(Metadata!AA24,"not collected"),exact(Metadata!AA24,"not provided"))),AND(IF(Metadata!AA24="",FALSE,IF(ISERROR(INT(Metadata!AA24)),FALSE,INT(Metadata!AA24)=Metadata!AA24)),Metadata!AA24&gt;0))</f>
        <v>0</v>
      </c>
      <c r="BN24">
        <f>AND(IF(Metadata!AB24="",FALSE,TRUE),exact(Metadata!AB24,"Not applicable"))</f>
        <v>0</v>
      </c>
      <c r="BO24">
        <f>IF(Metadata!AC24="",FALSE,TRUE)</f>
        <v>0</v>
      </c>
    </row>
    <row r="25" spans="1:67">
      <c r="A25" s="5">
        <f>IF(B25=" "," ",HYPERLINK(CONCATENATE("#metadata!",ADDRESS(INDEX($AI$2:$AI$1001,MATCH(ROWS($AG$2:AG25),$AG$2:$AG$1001,0),0),1)),INDEX($AL$2:$AL$1001,MATCH(ROWS($AG$2:AG25),$AG$2:$AG$1001,0),0)))</f>
        <v>0</v>
      </c>
      <c r="B25" s="4">
        <f>IF(OR(INDEX($AH$2:$AH$1001,MATCH(ROWS($AG$2:AG25),$AG$2:$AG$1001,0),1)&gt;=100000,INDEX($AN$1005:$BO$1005,1,MATCH(COLUMNS($AN$1006:AN1006),$AN$1006:$BO$1006,0))&gt;=100000), " ",IF(INDEX($AN$2:$BO$1001,MATCH(ROWS($AG$2:AG25),$AG$2:$AG$1001,0),MATCH(COLUMNS($AN$1006:AN1006),$AN$1006:$BO$1006,0)), HYPERLINK("#",""), HYPERLINK(CONCATENATE("#Metadata!", ADDRESS(INDEX($AI$2:$AI$1001,MATCH(ROWS($AG$2:AG25),$AG$2:$AG$1001,0),0), INDEX($AN$1004:$BO$1004,1,MATCH(COLUMNS($AN$1006:AN1006),$AN$1006:$BO$1006,0)))),"Fix")))</f>
        <v>0</v>
      </c>
      <c r="C25" s="4">
        <f>IF(OR(INDEX($AH$2:$AH$1001,MATCH(ROWS($AG$2:AG25),$AG$2:$AG$1001,0),1)&gt;=100000,INDEX($AN$1005:$BO$1005,1,MATCH(COLUMNS($AN$1006:AO1006),$AN$1006:$BO$1006,0))&gt;=100000), " ",IF(INDEX($AN$2:$BO$1001,MATCH(ROWS($AG$2:AG25),$AG$2:$AG$1001,0),MATCH(COLUMNS($AN$1006:AO1006),$AN$1006:$BO$1006,0)), HYPERLINK("#",""), HYPERLINK(CONCATENATE("#Metadata!", ADDRESS(INDEX($AI$2:$AI$1001,MATCH(ROWS($AG$2:AG25),$AG$2:$AG$1001,0),0), INDEX($AN$1004:$BO$1004,1,MATCH(COLUMNS($AN$1006:AO1006),$AN$1006:$BO$1006,0)))),"Fix")))</f>
        <v>0</v>
      </c>
      <c r="D25" s="4">
        <f>IF(OR(INDEX($AH$2:$AH$1001,MATCH(ROWS($AG$2:AG25),$AG$2:$AG$1001,0),1)&gt;=100000,INDEX($AN$1005:$BO$1005,1,MATCH(COLUMNS($AN$1006:AP1006),$AN$1006:$BO$1006,0))&gt;=100000), " ",IF(INDEX($AN$2:$BO$1001,MATCH(ROWS($AG$2:AG25),$AG$2:$AG$1001,0),MATCH(COLUMNS($AN$1006:AP1006),$AN$1006:$BO$1006,0)), HYPERLINK("#",""), HYPERLINK(CONCATENATE("#Metadata!", ADDRESS(INDEX($AI$2:$AI$1001,MATCH(ROWS($AG$2:AG25),$AG$2:$AG$1001,0),0), INDEX($AN$1004:$BO$1004,1,MATCH(COLUMNS($AN$1006:AP1006),$AN$1006:$BO$1006,0)))),"Fix")))</f>
        <v>0</v>
      </c>
      <c r="E25" s="4">
        <f>IF(OR(INDEX($AH$2:$AH$1001,MATCH(ROWS($AG$2:AG25),$AG$2:$AG$1001,0),1)&gt;=100000,INDEX($AN$1005:$BO$1005,1,MATCH(COLUMNS($AN$1006:AQ1006),$AN$1006:$BO$1006,0))&gt;=100000), " ",IF(INDEX($AN$2:$BO$1001,MATCH(ROWS($AG$2:AG25),$AG$2:$AG$1001,0),MATCH(COLUMNS($AN$1006:AQ1006),$AN$1006:$BO$1006,0)), HYPERLINK("#",""), HYPERLINK(CONCATENATE("#Metadata!", ADDRESS(INDEX($AI$2:$AI$1001,MATCH(ROWS($AG$2:AG25),$AG$2:$AG$1001,0),0), INDEX($AN$1004:$BO$1004,1,MATCH(COLUMNS($AN$1006:AQ1006),$AN$1006:$BO$1006,0)))),"Fix")))</f>
        <v>0</v>
      </c>
      <c r="F25" s="4">
        <f>IF(OR(INDEX($AH$2:$AH$1001,MATCH(ROWS($AG$2:AG25),$AG$2:$AG$1001,0),1)&gt;=100000,INDEX($AN$1005:$BO$1005,1,MATCH(COLUMNS($AN$1006:AR1006),$AN$1006:$BO$1006,0))&gt;=100000), " ",IF(INDEX($AN$2:$BO$1001,MATCH(ROWS($AG$2:AG25),$AG$2:$AG$1001,0),MATCH(COLUMNS($AN$1006:AR1006),$AN$1006:$BO$1006,0)), HYPERLINK("#",""), HYPERLINK(CONCATENATE("#Metadata!", ADDRESS(INDEX($AI$2:$AI$1001,MATCH(ROWS($AG$2:AG25),$AG$2:$AG$1001,0),0), INDEX($AN$1004:$BO$1004,1,MATCH(COLUMNS($AN$1006:AR1006),$AN$1006:$BO$1006,0)))),"Fix")))</f>
        <v>0</v>
      </c>
      <c r="G25" s="4">
        <f>IF(OR(INDEX($AH$2:$AH$1001,MATCH(ROWS($AG$2:AG25),$AG$2:$AG$1001,0),1)&gt;=100000,INDEX($AN$1005:$BO$1005,1,MATCH(COLUMNS($AN$1006:AS1006),$AN$1006:$BO$1006,0))&gt;=100000), " ",IF(INDEX($AN$2:$BO$1001,MATCH(ROWS($AG$2:AG25),$AG$2:$AG$1001,0),MATCH(COLUMNS($AN$1006:AS1006),$AN$1006:$BO$1006,0)), HYPERLINK("#",""), HYPERLINK(CONCATENATE("#Metadata!", ADDRESS(INDEX($AI$2:$AI$1001,MATCH(ROWS($AG$2:AG25),$AG$2:$AG$1001,0),0), INDEX($AN$1004:$BO$1004,1,MATCH(COLUMNS($AN$1006:AS1006),$AN$1006:$BO$1006,0)))),"Fix")))</f>
        <v>0</v>
      </c>
      <c r="H25" s="4">
        <f>IF(OR(INDEX($AH$2:$AH$1001,MATCH(ROWS($AG$2:AG25),$AG$2:$AG$1001,0),1)&gt;=100000,INDEX($AN$1005:$BO$1005,1,MATCH(COLUMNS($AN$1006:AT1006),$AN$1006:$BO$1006,0))&gt;=100000), " ",IF(INDEX($AN$2:$BO$1001,MATCH(ROWS($AG$2:AG25),$AG$2:$AG$1001,0),MATCH(COLUMNS($AN$1006:AT1006),$AN$1006:$BO$1006,0)), HYPERLINK("#",""), HYPERLINK(CONCATENATE("#Metadata!", ADDRESS(INDEX($AI$2:$AI$1001,MATCH(ROWS($AG$2:AG25),$AG$2:$AG$1001,0),0), INDEX($AN$1004:$BO$1004,1,MATCH(COLUMNS($AN$1006:AT1006),$AN$1006:$BO$1006,0)))),"Fix")))</f>
        <v>0</v>
      </c>
      <c r="I25" s="4">
        <f>IF(OR(INDEX($AH$2:$AH$1001,MATCH(ROWS($AG$2:AG25),$AG$2:$AG$1001,0),1)&gt;=100000,INDEX($AN$1005:$BO$1005,1,MATCH(COLUMNS($AN$1006:AU1006),$AN$1006:$BO$1006,0))&gt;=100000), " ",IF(INDEX($AN$2:$BO$1001,MATCH(ROWS($AG$2:AG25),$AG$2:$AG$1001,0),MATCH(COLUMNS($AN$1006:AU1006),$AN$1006:$BO$1006,0)), HYPERLINK("#",""), HYPERLINK(CONCATENATE("#Metadata!", ADDRESS(INDEX($AI$2:$AI$1001,MATCH(ROWS($AG$2:AG25),$AG$2:$AG$1001,0),0), INDEX($AN$1004:$BO$1004,1,MATCH(COLUMNS($AN$1006:AU1006),$AN$1006:$BO$1006,0)))),"Fix")))</f>
        <v>0</v>
      </c>
      <c r="J25" s="4">
        <f>IF(OR(INDEX($AH$2:$AH$1001,MATCH(ROWS($AG$2:AG25),$AG$2:$AG$1001,0),1)&gt;=100000,INDEX($AN$1005:$BO$1005,1,MATCH(COLUMNS($AN$1006:AV1006),$AN$1006:$BO$1006,0))&gt;=100000), " ",IF(INDEX($AN$2:$BO$1001,MATCH(ROWS($AG$2:AG25),$AG$2:$AG$1001,0),MATCH(COLUMNS($AN$1006:AV1006),$AN$1006:$BO$1006,0)), HYPERLINK("#",""), HYPERLINK(CONCATENATE("#Metadata!", ADDRESS(INDEX($AI$2:$AI$1001,MATCH(ROWS($AG$2:AG25),$AG$2:$AG$1001,0),0), INDEX($AN$1004:$BO$1004,1,MATCH(COLUMNS($AN$1006:AV1006),$AN$1006:$BO$1006,0)))),"Fix")))</f>
        <v>0</v>
      </c>
      <c r="K25" s="4">
        <f>IF(OR(INDEX($AH$2:$AH$1001,MATCH(ROWS($AG$2:AG25),$AG$2:$AG$1001,0),1)&gt;=100000,INDEX($AN$1005:$BO$1005,1,MATCH(COLUMNS($AN$1006:AW1006),$AN$1006:$BO$1006,0))&gt;=100000), " ",IF(INDEX($AN$2:$BO$1001,MATCH(ROWS($AG$2:AG25),$AG$2:$AG$1001,0),MATCH(COLUMNS($AN$1006:AW1006),$AN$1006:$BO$1006,0)), HYPERLINK("#",""), HYPERLINK(CONCATENATE("#Metadata!", ADDRESS(INDEX($AI$2:$AI$1001,MATCH(ROWS($AG$2:AG25),$AG$2:$AG$1001,0),0), INDEX($AN$1004:$BO$1004,1,MATCH(COLUMNS($AN$1006:AW1006),$AN$1006:$BO$1006,0)))),"Fix")))</f>
        <v>0</v>
      </c>
      <c r="L25" s="4">
        <f>IF(OR(INDEX($AH$2:$AH$1001,MATCH(ROWS($AG$2:AG25),$AG$2:$AG$1001,0),1)&gt;=100000,INDEX($AN$1005:$BO$1005,1,MATCH(COLUMNS($AN$1006:AX1006),$AN$1006:$BO$1006,0))&gt;=100000), " ",IF(INDEX($AN$2:$BO$1001,MATCH(ROWS($AG$2:AG25),$AG$2:$AG$1001,0),MATCH(COLUMNS($AN$1006:AX1006),$AN$1006:$BO$1006,0)), HYPERLINK("#",""), HYPERLINK(CONCATENATE("#Metadata!", ADDRESS(INDEX($AI$2:$AI$1001,MATCH(ROWS($AG$2:AG25),$AG$2:$AG$1001,0),0), INDEX($AN$1004:$BO$1004,1,MATCH(COLUMNS($AN$1006:AX1006),$AN$1006:$BO$1006,0)))),"Fix")))</f>
        <v>0</v>
      </c>
      <c r="M25" s="4">
        <f>IF(OR(INDEX($AH$2:$AH$1001,MATCH(ROWS($AG$2:AG25),$AG$2:$AG$1001,0),1)&gt;=100000,INDEX($AN$1005:$BO$1005,1,MATCH(COLUMNS($AN$1006:AY1006),$AN$1006:$BO$1006,0))&gt;=100000), " ",IF(INDEX($AN$2:$BO$1001,MATCH(ROWS($AG$2:AG25),$AG$2:$AG$1001,0),MATCH(COLUMNS($AN$1006:AY1006),$AN$1006:$BO$1006,0)), HYPERLINK("#",""), HYPERLINK(CONCATENATE("#Metadata!", ADDRESS(INDEX($AI$2:$AI$1001,MATCH(ROWS($AG$2:AG25),$AG$2:$AG$1001,0),0), INDEX($AN$1004:$BO$1004,1,MATCH(COLUMNS($AN$1006:AY1006),$AN$1006:$BO$1006,0)))),"Fix")))</f>
        <v>0</v>
      </c>
      <c r="N25" s="4">
        <f>IF(OR(INDEX($AH$2:$AH$1001,MATCH(ROWS($AG$2:AG25),$AG$2:$AG$1001,0),1)&gt;=100000,INDEX($AN$1005:$BO$1005,1,MATCH(COLUMNS($AN$1006:AZ1006),$AN$1006:$BO$1006,0))&gt;=100000), " ",IF(INDEX($AN$2:$BO$1001,MATCH(ROWS($AG$2:AG25),$AG$2:$AG$1001,0),MATCH(COLUMNS($AN$1006:AZ1006),$AN$1006:$BO$1006,0)), HYPERLINK("#",""), HYPERLINK(CONCATENATE("#Metadata!", ADDRESS(INDEX($AI$2:$AI$1001,MATCH(ROWS($AG$2:AG25),$AG$2:$AG$1001,0),0), INDEX($AN$1004:$BO$1004,1,MATCH(COLUMNS($AN$1006:AZ1006),$AN$1006:$BO$1006,0)))),"Fix")))</f>
        <v>0</v>
      </c>
      <c r="O25" s="4">
        <f>IF(OR(INDEX($AH$2:$AH$1001,MATCH(ROWS($AG$2:AG25),$AG$2:$AG$1001,0),1)&gt;=100000,INDEX($AN$1005:$BO$1005,1,MATCH(COLUMNS($AN$1006:BA1006),$AN$1006:$BO$1006,0))&gt;=100000), " ",IF(INDEX($AN$2:$BO$1001,MATCH(ROWS($AG$2:AG25),$AG$2:$AG$1001,0),MATCH(COLUMNS($AN$1006:BA1006),$AN$1006:$BO$1006,0)), HYPERLINK("#",""), HYPERLINK(CONCATENATE("#Metadata!", ADDRESS(INDEX($AI$2:$AI$1001,MATCH(ROWS($AG$2:AG25),$AG$2:$AG$1001,0),0), INDEX($AN$1004:$BO$1004,1,MATCH(COLUMNS($AN$1006:BA1006),$AN$1006:$BO$1006,0)))),"Fix")))</f>
        <v>0</v>
      </c>
      <c r="P25" s="4">
        <f>IF(OR(INDEX($AH$2:$AH$1001,MATCH(ROWS($AG$2:AG25),$AG$2:$AG$1001,0),1)&gt;=100000,INDEX($AN$1005:$BO$1005,1,MATCH(COLUMNS($AN$1006:BB1006),$AN$1006:$BO$1006,0))&gt;=100000), " ",IF(INDEX($AN$2:$BO$1001,MATCH(ROWS($AG$2:AG25),$AG$2:$AG$1001,0),MATCH(COLUMNS($AN$1006:BB1006),$AN$1006:$BO$1006,0)), HYPERLINK("#",""), HYPERLINK(CONCATENATE("#Metadata!", ADDRESS(INDEX($AI$2:$AI$1001,MATCH(ROWS($AG$2:AG25),$AG$2:$AG$1001,0),0), INDEX($AN$1004:$BO$1004,1,MATCH(COLUMNS($AN$1006:BB1006),$AN$1006:$BO$1006,0)))),"Fix")))</f>
        <v>0</v>
      </c>
      <c r="Q25" s="4">
        <f>IF(OR(INDEX($AH$2:$AH$1001,MATCH(ROWS($AG$2:AG25),$AG$2:$AG$1001,0),1)&gt;=100000,INDEX($AN$1005:$BO$1005,1,MATCH(COLUMNS($AN$1006:BC1006),$AN$1006:$BO$1006,0))&gt;=100000), " ",IF(INDEX($AN$2:$BO$1001,MATCH(ROWS($AG$2:AG25),$AG$2:$AG$1001,0),MATCH(COLUMNS($AN$1006:BC1006),$AN$1006:$BO$1006,0)), HYPERLINK("#",""), HYPERLINK(CONCATENATE("#Metadata!", ADDRESS(INDEX($AI$2:$AI$1001,MATCH(ROWS($AG$2:AG25),$AG$2:$AG$1001,0),0), INDEX($AN$1004:$BO$1004,1,MATCH(COLUMNS($AN$1006:BC1006),$AN$1006:$BO$1006,0)))),"Fix")))</f>
        <v>0</v>
      </c>
      <c r="R25" s="4">
        <f>IF(OR(INDEX($AH$2:$AH$1001,MATCH(ROWS($AG$2:AG25),$AG$2:$AG$1001,0),1)&gt;=100000,INDEX($AN$1005:$BO$1005,1,MATCH(COLUMNS($AN$1006:BD1006),$AN$1006:$BO$1006,0))&gt;=100000), " ",IF(INDEX($AN$2:$BO$1001,MATCH(ROWS($AG$2:AG25),$AG$2:$AG$1001,0),MATCH(COLUMNS($AN$1006:BD1006),$AN$1006:$BO$1006,0)), HYPERLINK("#",""), HYPERLINK(CONCATENATE("#Metadata!", ADDRESS(INDEX($AI$2:$AI$1001,MATCH(ROWS($AG$2:AG25),$AG$2:$AG$1001,0),0), INDEX($AN$1004:$BO$1004,1,MATCH(COLUMNS($AN$1006:BD1006),$AN$1006:$BO$1006,0)))),"Fix")))</f>
        <v>0</v>
      </c>
      <c r="S25" s="4">
        <f>IF(OR(INDEX($AH$2:$AH$1001,MATCH(ROWS($AG$2:AG25),$AG$2:$AG$1001,0),1)&gt;=100000,INDEX($AN$1005:$BO$1005,1,MATCH(COLUMNS($AN$1006:BE1006),$AN$1006:$BO$1006,0))&gt;=100000), " ",IF(INDEX($AN$2:$BO$1001,MATCH(ROWS($AG$2:AG25),$AG$2:$AG$1001,0),MATCH(COLUMNS($AN$1006:BE1006),$AN$1006:$BO$1006,0)), HYPERLINK("#",""), HYPERLINK(CONCATENATE("#Metadata!", ADDRESS(INDEX($AI$2:$AI$1001,MATCH(ROWS($AG$2:AG25),$AG$2:$AG$1001,0),0), INDEX($AN$1004:$BO$1004,1,MATCH(COLUMNS($AN$1006:BE1006),$AN$1006:$BO$1006,0)))),"Fix")))</f>
        <v>0</v>
      </c>
      <c r="T25" s="4">
        <f>IF(OR(INDEX($AH$2:$AH$1001,MATCH(ROWS($AG$2:AG25),$AG$2:$AG$1001,0),1)&gt;=100000,INDEX($AN$1005:$BO$1005,1,MATCH(COLUMNS($AN$1006:BF1006),$AN$1006:$BO$1006,0))&gt;=100000), " ",IF(INDEX($AN$2:$BO$1001,MATCH(ROWS($AG$2:AG25),$AG$2:$AG$1001,0),MATCH(COLUMNS($AN$1006:BF1006),$AN$1006:$BO$1006,0)), HYPERLINK("#",""), HYPERLINK(CONCATENATE("#Metadata!", ADDRESS(INDEX($AI$2:$AI$1001,MATCH(ROWS($AG$2:AG25),$AG$2:$AG$1001,0),0), INDEX($AN$1004:$BO$1004,1,MATCH(COLUMNS($AN$1006:BF1006),$AN$1006:$BO$1006,0)))),"Fix")))</f>
        <v>0</v>
      </c>
      <c r="U25" s="4">
        <f>IF(OR(INDEX($AH$2:$AH$1001,MATCH(ROWS($AG$2:AG25),$AG$2:$AG$1001,0),1)&gt;=100000,INDEX($AN$1005:$BO$1005,1,MATCH(COLUMNS($AN$1006:BG1006),$AN$1006:$BO$1006,0))&gt;=100000), " ",IF(INDEX($AN$2:$BO$1001,MATCH(ROWS($AG$2:AG25),$AG$2:$AG$1001,0),MATCH(COLUMNS($AN$1006:BG1006),$AN$1006:$BO$1006,0)), HYPERLINK("#",""), HYPERLINK(CONCATENATE("#Metadata!", ADDRESS(INDEX($AI$2:$AI$1001,MATCH(ROWS($AG$2:AG25),$AG$2:$AG$1001,0),0), INDEX($AN$1004:$BO$1004,1,MATCH(COLUMNS($AN$1006:BG1006),$AN$1006:$BO$1006,0)))),"Fix")))</f>
        <v>0</v>
      </c>
      <c r="V25" s="4">
        <f>IF(OR(INDEX($AH$2:$AH$1001,MATCH(ROWS($AG$2:AG25),$AG$2:$AG$1001,0),1)&gt;=100000,INDEX($AN$1005:$BO$1005,1,MATCH(COLUMNS($AN$1006:BH1006),$AN$1006:$BO$1006,0))&gt;=100000), " ",IF(INDEX($AN$2:$BO$1001,MATCH(ROWS($AG$2:AG25),$AG$2:$AG$1001,0),MATCH(COLUMNS($AN$1006:BH1006),$AN$1006:$BO$1006,0)), HYPERLINK("#",""), HYPERLINK(CONCATENATE("#Metadata!", ADDRESS(INDEX($AI$2:$AI$1001,MATCH(ROWS($AG$2:AG25),$AG$2:$AG$1001,0),0), INDEX($AN$1004:$BO$1004,1,MATCH(COLUMNS($AN$1006:BH1006),$AN$1006:$BO$1006,0)))),"Fix")))</f>
        <v>0</v>
      </c>
      <c r="W25" s="4">
        <f>IF(OR(INDEX($AH$2:$AH$1001,MATCH(ROWS($AG$2:AG25),$AG$2:$AG$1001,0),1)&gt;=100000,INDEX($AN$1005:$BO$1005,1,MATCH(COLUMNS($AN$1006:BI1006),$AN$1006:$BO$1006,0))&gt;=100000), " ",IF(INDEX($AN$2:$BO$1001,MATCH(ROWS($AG$2:AG25),$AG$2:$AG$1001,0),MATCH(COLUMNS($AN$1006:BI1006),$AN$1006:$BO$1006,0)), HYPERLINK("#",""), HYPERLINK(CONCATENATE("#Metadata!", ADDRESS(INDEX($AI$2:$AI$1001,MATCH(ROWS($AG$2:AG25),$AG$2:$AG$1001,0),0), INDEX($AN$1004:$BO$1004,1,MATCH(COLUMNS($AN$1006:BI1006),$AN$1006:$BO$1006,0)))),"Fix")))</f>
        <v>0</v>
      </c>
      <c r="X25" s="4">
        <f>IF(OR(INDEX($AH$2:$AH$1001,MATCH(ROWS($AG$2:AG25),$AG$2:$AG$1001,0),1)&gt;=100000,INDEX($AN$1005:$BO$1005,1,MATCH(COLUMNS($AN$1006:BJ1006),$AN$1006:$BO$1006,0))&gt;=100000), " ",IF(INDEX($AN$2:$BO$1001,MATCH(ROWS($AG$2:AG25),$AG$2:$AG$1001,0),MATCH(COLUMNS($AN$1006:BJ1006),$AN$1006:$BO$1006,0)), HYPERLINK("#",""), HYPERLINK(CONCATENATE("#Metadata!", ADDRESS(INDEX($AI$2:$AI$1001,MATCH(ROWS($AG$2:AG25),$AG$2:$AG$1001,0),0), INDEX($AN$1004:$BO$1004,1,MATCH(COLUMNS($AN$1006:BJ1006),$AN$1006:$BO$1006,0)))),"Fix")))</f>
        <v>0</v>
      </c>
      <c r="Y25" s="4">
        <f>IF(OR(INDEX($AH$2:$AH$1001,MATCH(ROWS($AG$2:AG25),$AG$2:$AG$1001,0),1)&gt;=100000,INDEX($AN$1005:$BO$1005,1,MATCH(COLUMNS($AN$1006:BK1006),$AN$1006:$BO$1006,0))&gt;=100000), " ",IF(INDEX($AN$2:$BO$1001,MATCH(ROWS($AG$2:AG25),$AG$2:$AG$1001,0),MATCH(COLUMNS($AN$1006:BK1006),$AN$1006:$BO$1006,0)), HYPERLINK("#",""), HYPERLINK(CONCATENATE("#Metadata!", ADDRESS(INDEX($AI$2:$AI$1001,MATCH(ROWS($AG$2:AG25),$AG$2:$AG$1001,0),0), INDEX($AN$1004:$BO$1004,1,MATCH(COLUMNS($AN$1006:BK1006),$AN$1006:$BO$1006,0)))),"Fix")))</f>
        <v>0</v>
      </c>
      <c r="Z25" s="4">
        <f>IF(OR(INDEX($AH$2:$AH$1001,MATCH(ROWS($AG$2:AG25),$AG$2:$AG$1001,0),1)&gt;=100000,INDEX($AN$1005:$BO$1005,1,MATCH(COLUMNS($AN$1006:BL1006),$AN$1006:$BO$1006,0))&gt;=100000), " ",IF(INDEX($AN$2:$BO$1001,MATCH(ROWS($AG$2:AG25),$AG$2:$AG$1001,0),MATCH(COLUMNS($AN$1006:BL1006),$AN$1006:$BO$1006,0)), HYPERLINK("#",""), HYPERLINK(CONCATENATE("#Metadata!", ADDRESS(INDEX($AI$2:$AI$1001,MATCH(ROWS($AG$2:AG25),$AG$2:$AG$1001,0),0), INDEX($AN$1004:$BO$1004,1,MATCH(COLUMNS($AN$1006:BL1006),$AN$1006:$BO$1006,0)))),"Fix")))</f>
        <v>0</v>
      </c>
      <c r="AA25" s="4">
        <f>IF(OR(INDEX($AH$2:$AH$1001,MATCH(ROWS($AG$2:AG25),$AG$2:$AG$1001,0),1)&gt;=100000,INDEX($AN$1005:$BO$1005,1,MATCH(COLUMNS($AN$1006:BM1006),$AN$1006:$BO$1006,0))&gt;=100000), " ",IF(INDEX($AN$2:$BO$1001,MATCH(ROWS($AG$2:AG25),$AG$2:$AG$1001,0),MATCH(COLUMNS($AN$1006:BM1006),$AN$1006:$BO$1006,0)), HYPERLINK("#",""), HYPERLINK(CONCATENATE("#Metadata!", ADDRESS(INDEX($AI$2:$AI$1001,MATCH(ROWS($AG$2:AG25),$AG$2:$AG$1001,0),0), INDEX($AN$1004:$BO$1004,1,MATCH(COLUMNS($AN$1006:BM1006),$AN$1006:$BO$1006,0)))),"Fix")))</f>
        <v>0</v>
      </c>
      <c r="AB25" s="4">
        <f>IF(OR(INDEX($AH$2:$AH$1001,MATCH(ROWS($AG$2:AG25),$AG$2:$AG$1001,0),1)&gt;=100000,INDEX($AN$1005:$BO$1005,1,MATCH(COLUMNS($AN$1006:BN1006),$AN$1006:$BO$1006,0))&gt;=100000), " ",IF(INDEX($AN$2:$BO$1001,MATCH(ROWS($AG$2:AG25),$AG$2:$AG$1001,0),MATCH(COLUMNS($AN$1006:BN1006),$AN$1006:$BO$1006,0)), HYPERLINK("#",""), HYPERLINK(CONCATENATE("#Metadata!", ADDRESS(INDEX($AI$2:$AI$1001,MATCH(ROWS($AG$2:AG25),$AG$2:$AG$1001,0),0), INDEX($AN$1004:$BO$1004,1,MATCH(COLUMNS($AN$1006:BN1006),$AN$1006:$BO$1006,0)))),"Fix")))</f>
        <v>0</v>
      </c>
      <c r="AC25" s="4">
        <f>IF(OR(INDEX($AH$2:$AH$1001,MATCH(ROWS($AG$2:AG25),$AG$2:$AG$1001,0),1)&gt;=100000,INDEX($AN$1005:$BO$1005,1,MATCH(COLUMNS($AN$1006:BO1006),$AN$1006:$BO$1006,0))&gt;=100000), " ",IF(INDEX($AN$2:$BO$1001,MATCH(ROWS($AG$2:AG25),$AG$2:$AG$1001,0),MATCH(COLUMNS($AN$1006:BO1006),$AN$1006:$BO$1006,0)), HYPERLINK("#",""), HYPERLINK(CONCATENATE("#Metadata!", ADDRESS(INDEX($AI$2:$AI$1001,MATCH(ROWS($AG$2:AG25),$AG$2:$AG$1001,0),0), INDEX($AN$1004:$BO$1004,1,MATCH(COLUMNS($AN$1006:BO1006),$AN$1006:$BO$1006,0)))),"Fix")))</f>
        <v>0</v>
      </c>
      <c r="AG25">
        <v>0</v>
      </c>
      <c r="AH25">
        <v>0</v>
      </c>
      <c r="AI25">
        <v>0</v>
      </c>
      <c r="AJ25">
        <f>IF(AK25,TRUE,AND(AN25:BO25))</f>
        <v>0</v>
      </c>
      <c r="AK25">
        <f>COUNTBLANK(Metadata!B25:AC25)=COLUMNS(Metadata!B25:AC25)</f>
        <v>0</v>
      </c>
      <c r="AL25">
        <v>0</v>
      </c>
      <c r="AN25">
        <f>AND(IF(Metadata!B25="",FALSE,TRUE),COUNTIF(Metadata!B:B, Metadata!B25) = 1,NOT(ISERROR(SUMPRODUCT(SEARCH(MID(Metadata!B25,ROW(INDIRECT("1:"&amp;LEN(Metadata!B25))), 1),"0123456789abcdefghijklmnopqrstuvwxyzABCDEFGHIJKLMNOPQRSTUVWXYZ.")))))</f>
        <v>0</v>
      </c>
      <c r="AO25">
        <f>IF(Metadata!C25="",FALSE,TRUE)</f>
        <v>0</v>
      </c>
      <c r="AP25">
        <f>IF(Metadata!D25="",FALSE,TRUE)</f>
        <v>0</v>
      </c>
      <c r="AQ25">
        <f>OR(AND(IF(Metadata!E25="",FALSE,TRUE),OR(exact(Metadata!E25,"not collected"),exact(Metadata!E25,"not provided"),exact(Metadata!E25,"restricted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R25">
        <f>IF(Metadata!F25="",FALSE,TRUE)</f>
        <v>0</v>
      </c>
      <c r="AS25">
        <f>OR(AND(IF(Metadata!G25="",FALSE,TRUE),OR(exact(Metadata!G25,"not collected"),exact(Metadata!G25,"not provided"))),AND(IF(Metadata!G25="",FALSE,TRUE),OR(exact(Metadata!G25,"TRUE"),exact(Metadata!G25,"FALSE"))))</f>
        <v>0</v>
      </c>
      <c r="AT25">
        <f>OR(AND(IF(Metadata!H25="",FALSE,TRUE),OR(exact(Metadata!H25,"not collected"),exact(Metadata!H25,"not provided"),exact(Metadata!H25,"restricted access"))),AND(IF(Metadata!H25="",FALSE,ISNUMBER(VALUE(Metadata!H25))),Metadata!H25&gt;=-413.0))</f>
        <v>0</v>
      </c>
      <c r="AU25">
        <f>AND(IF(Metadata!I25="",FALSE,TRUE),exact(Metadata!I25,"meters"))</f>
        <v>0</v>
      </c>
      <c r="AV25">
        <f>AND(IF(Metadata!J25="",FALSE,TRUE),OR(exact(Metadata!J25,"Host-associated"),exact(Metadata!J25,"Free-living")))</f>
        <v>0</v>
      </c>
      <c r="AW25">
        <f>AND(IF(Metadata!K25="",FALSE,TRUE),OR(exact(Metadata!K25,"Animal"),exact(Metadata!K25,"Fungus"),exact(Metadata!K25,"Plant"),exact(Metadata!K25,"Saline"),exact(Metadata!K25,"Non-saline")))</f>
        <v>0</v>
      </c>
      <c r="AX25">
        <f>AND(IF(Metadata!L25="",FALSE,TRUE),OR(exact(Metadata!L25,"Plant secretion"),exact(Metadata!L25,"Plant rhizosphere"),exact(Metadata!L25,"Plant surface"),exact(Metadata!L25,"Plant corpus"),exact(Metadata!L25,"Fungus surface"),exact(Metadata!L25,"Fungus corpus"),exact(Metadata!L25,"Animal surface"),exact(Metadata!L25,"Animal proximal gut"),exact(Metadata!L25,"Animal corpus"),exact(Metadata!L25,"Animal distal gut"),exact(Metadata!L25,"Animal secretion"),exact(Metadata!L25,"Sub-surface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0</v>
      </c>
      <c r="AY25">
        <f>IF(Metadata!M25="",FALSE,TRUE)</f>
        <v>0</v>
      </c>
      <c r="AZ25">
        <f>IF(Metadata!N25="",FALSE,TRUE)</f>
        <v>0</v>
      </c>
      <c r="BA25">
        <f>IF(Metadata!O25="",FALSE,TRUE)</f>
        <v>0</v>
      </c>
      <c r="BB25">
        <f>OR(AND(IF(Metadata!P25="",FALSE,TRUE),OR(exact(Metadata!P25,"not collected"),exact(Metadata!P25,"not provided"),exact(Metadata!P25,"restricted access"))),AND(IF(Metadata!P25="",FALSE,TRUE),OR(exact(Metadata!P25,"air"),exact(Metadata!P25,"built environment"),exact(Metadata!P25,"host-associated"),exact(Metadata!P25,"human-associated"),exact(Metadata!P25,"human-skin"),exact(Metadata!P25,"human-oral"),exact(Metadata!P25,"human-gut"),exact(Metadata!P25,"human-vaginal"),exact(Metadata!P25,"microbial mat/biofilm"),exact(Metadata!P25,"misc environment"),exact(Metadata!P25,"plant-associated"),exact(Metadata!P25,"sediment"),exact(Metadata!P25,"soil"),exact(Metadata!P25,"wastewater/sludge"),exact(Metadata!P25,"water"))))</f>
        <v>0</v>
      </c>
      <c r="BC25">
        <f>IF(Metadata!Q25="",FALSE,TRUE)</f>
        <v>0</v>
      </c>
      <c r="BD25">
        <f>IF(Metadata!R25="",FALSE,TRUE)</f>
        <v>0</v>
      </c>
      <c r="BE25">
        <f>OR(AND(IF(Metadata!S25="",FALSE,TRUE),OR(exact(Metadata!S25,"not collected"),exact(Metadata!S25,"not provided"),exact(Metadata!S25,"restricted access"))),AND(IF(Metadata!S25="",FALSE,ISNUMBER(VALUE(Metadata!S25))),Metadata!S25&gt;=-90.00,Metadata!S25&lt;=90.00))</f>
        <v>0</v>
      </c>
      <c r="BF25">
        <f>AND(IF(Metadata!T25="",FALSE,TRUE),exact(Metadata!T25,"Decimal degrees"))</f>
        <v>0</v>
      </c>
      <c r="BG25">
        <f>OR(AND(IF(Metadata!U25="",FALSE,TRUE),OR(exact(Metadata!U25,"not collected"),exact(Metadata!U25,"not provided"),exact(Metadata!U25,"restricted access"))),AND(IF(Metadata!U25="",FALSE,ISNUMBER(VALUE(Metadata!U25))),Metadata!U25&gt;=-180.00,Metadata!U25&lt;=180.00))</f>
        <v>0</v>
      </c>
      <c r="BH25">
        <f>AND(IF(Metadata!V25="",FALSE,TRUE),exact(Metadata!V25,"Decimal degrees"))</f>
        <v>0</v>
      </c>
      <c r="BI25">
        <f>IF(Metadata!W25="",FALSE,TRUE)</f>
        <v>0</v>
      </c>
      <c r="BJ25">
        <f>OR(AND(IF(Metadata!X25="",FALSE,TRUE),OR(exact(Metadata!X25,"not collected"),exact(Metadata!X25,"not provided"),exact(Metadata!X25,"restricted access"))),AND(IF(Metadata!X25="",FALSE,TRUE),OR(exact(Metadata!X25,"TRUE"),exact(Metadata!X25,"FALSE"))))</f>
        <v>0</v>
      </c>
      <c r="BK25">
        <f>AND(IF(Metadata!Y25="",FALSE,TRUE),exact(Metadata!Y25,"other"))</f>
        <v>0</v>
      </c>
      <c r="BL25">
        <f>IF(Metadata!Z25="",FALSE,TRUE)</f>
        <v>0</v>
      </c>
      <c r="BM25">
        <f>OR(AND(IF(Metadata!AA25="",FALSE,TRUE),OR(exact(Metadata!AA25,"not collected"),exact(Metadata!AA25,"not provided"))),AND(IF(Metadata!AA25="",FALSE,IF(ISERROR(INT(Metadata!AA25)),FALSE,INT(Metadata!AA25)=Metadata!AA25)),Metadata!AA25&gt;0))</f>
        <v>0</v>
      </c>
      <c r="BN25">
        <f>AND(IF(Metadata!AB25="",FALSE,TRUE),exact(Metadata!AB25,"Not applicable"))</f>
        <v>0</v>
      </c>
      <c r="BO25">
        <f>IF(Metadata!AC25="",FALSE,TRUE)</f>
        <v>0</v>
      </c>
    </row>
    <row r="26" spans="1:67">
      <c r="A26" s="5">
        <f>IF(B26=" "," ",HYPERLINK(CONCATENATE("#metadata!",ADDRESS(INDEX($AI$2:$AI$1001,MATCH(ROWS($AG$2:AG26),$AG$2:$AG$1001,0),0),1)),INDEX($AL$2:$AL$1001,MATCH(ROWS($AG$2:AG26),$AG$2:$AG$1001,0),0)))</f>
        <v>0</v>
      </c>
      <c r="B26" s="4">
        <f>IF(OR(INDEX($AH$2:$AH$1001,MATCH(ROWS($AG$2:AG26),$AG$2:$AG$1001,0),1)&gt;=100000,INDEX($AN$1005:$BO$1005,1,MATCH(COLUMNS($AN$1006:AN1006),$AN$1006:$BO$1006,0))&gt;=100000), " ",IF(INDEX($AN$2:$BO$1001,MATCH(ROWS($AG$2:AG26),$AG$2:$AG$1001,0),MATCH(COLUMNS($AN$1006:AN1006),$AN$1006:$BO$1006,0)), HYPERLINK("#",""), HYPERLINK(CONCATENATE("#Metadata!", ADDRESS(INDEX($AI$2:$AI$1001,MATCH(ROWS($AG$2:AG26),$AG$2:$AG$1001,0),0), INDEX($AN$1004:$BO$1004,1,MATCH(COLUMNS($AN$1006:AN1006),$AN$1006:$BO$1006,0)))),"Fix")))</f>
        <v>0</v>
      </c>
      <c r="C26" s="4">
        <f>IF(OR(INDEX($AH$2:$AH$1001,MATCH(ROWS($AG$2:AG26),$AG$2:$AG$1001,0),1)&gt;=100000,INDEX($AN$1005:$BO$1005,1,MATCH(COLUMNS($AN$1006:AO1006),$AN$1006:$BO$1006,0))&gt;=100000), " ",IF(INDEX($AN$2:$BO$1001,MATCH(ROWS($AG$2:AG26),$AG$2:$AG$1001,0),MATCH(COLUMNS($AN$1006:AO1006),$AN$1006:$BO$1006,0)), HYPERLINK("#",""), HYPERLINK(CONCATENATE("#Metadata!", ADDRESS(INDEX($AI$2:$AI$1001,MATCH(ROWS($AG$2:AG26),$AG$2:$AG$1001,0),0), INDEX($AN$1004:$BO$1004,1,MATCH(COLUMNS($AN$1006:AO1006),$AN$1006:$BO$1006,0)))),"Fix")))</f>
        <v>0</v>
      </c>
      <c r="D26" s="4">
        <f>IF(OR(INDEX($AH$2:$AH$1001,MATCH(ROWS($AG$2:AG26),$AG$2:$AG$1001,0),1)&gt;=100000,INDEX($AN$1005:$BO$1005,1,MATCH(COLUMNS($AN$1006:AP1006),$AN$1006:$BO$1006,0))&gt;=100000), " ",IF(INDEX($AN$2:$BO$1001,MATCH(ROWS($AG$2:AG26),$AG$2:$AG$1001,0),MATCH(COLUMNS($AN$1006:AP1006),$AN$1006:$BO$1006,0)), HYPERLINK("#",""), HYPERLINK(CONCATENATE("#Metadata!", ADDRESS(INDEX($AI$2:$AI$1001,MATCH(ROWS($AG$2:AG26),$AG$2:$AG$1001,0),0), INDEX($AN$1004:$BO$1004,1,MATCH(COLUMNS($AN$1006:AP1006),$AN$1006:$BO$1006,0)))),"Fix")))</f>
        <v>0</v>
      </c>
      <c r="E26" s="4">
        <f>IF(OR(INDEX($AH$2:$AH$1001,MATCH(ROWS($AG$2:AG26),$AG$2:$AG$1001,0),1)&gt;=100000,INDEX($AN$1005:$BO$1005,1,MATCH(COLUMNS($AN$1006:AQ1006),$AN$1006:$BO$1006,0))&gt;=100000), " ",IF(INDEX($AN$2:$BO$1001,MATCH(ROWS($AG$2:AG26),$AG$2:$AG$1001,0),MATCH(COLUMNS($AN$1006:AQ1006),$AN$1006:$BO$1006,0)), HYPERLINK("#",""), HYPERLINK(CONCATENATE("#Metadata!", ADDRESS(INDEX($AI$2:$AI$1001,MATCH(ROWS($AG$2:AG26),$AG$2:$AG$1001,0),0), INDEX($AN$1004:$BO$1004,1,MATCH(COLUMNS($AN$1006:AQ1006),$AN$1006:$BO$1006,0)))),"Fix")))</f>
        <v>0</v>
      </c>
      <c r="F26" s="4">
        <f>IF(OR(INDEX($AH$2:$AH$1001,MATCH(ROWS($AG$2:AG26),$AG$2:$AG$1001,0),1)&gt;=100000,INDEX($AN$1005:$BO$1005,1,MATCH(COLUMNS($AN$1006:AR1006),$AN$1006:$BO$1006,0))&gt;=100000), " ",IF(INDEX($AN$2:$BO$1001,MATCH(ROWS($AG$2:AG26),$AG$2:$AG$1001,0),MATCH(COLUMNS($AN$1006:AR1006),$AN$1006:$BO$1006,0)), HYPERLINK("#",""), HYPERLINK(CONCATENATE("#Metadata!", ADDRESS(INDEX($AI$2:$AI$1001,MATCH(ROWS($AG$2:AG26),$AG$2:$AG$1001,0),0), INDEX($AN$1004:$BO$1004,1,MATCH(COLUMNS($AN$1006:AR1006),$AN$1006:$BO$1006,0)))),"Fix")))</f>
        <v>0</v>
      </c>
      <c r="G26" s="4">
        <f>IF(OR(INDEX($AH$2:$AH$1001,MATCH(ROWS($AG$2:AG26),$AG$2:$AG$1001,0),1)&gt;=100000,INDEX($AN$1005:$BO$1005,1,MATCH(COLUMNS($AN$1006:AS1006),$AN$1006:$BO$1006,0))&gt;=100000), " ",IF(INDEX($AN$2:$BO$1001,MATCH(ROWS($AG$2:AG26),$AG$2:$AG$1001,0),MATCH(COLUMNS($AN$1006:AS1006),$AN$1006:$BO$1006,0)), HYPERLINK("#",""), HYPERLINK(CONCATENATE("#Metadata!", ADDRESS(INDEX($AI$2:$AI$1001,MATCH(ROWS($AG$2:AG26),$AG$2:$AG$1001,0),0), INDEX($AN$1004:$BO$1004,1,MATCH(COLUMNS($AN$1006:AS1006),$AN$1006:$BO$1006,0)))),"Fix")))</f>
        <v>0</v>
      </c>
      <c r="H26" s="4">
        <f>IF(OR(INDEX($AH$2:$AH$1001,MATCH(ROWS($AG$2:AG26),$AG$2:$AG$1001,0),1)&gt;=100000,INDEX($AN$1005:$BO$1005,1,MATCH(COLUMNS($AN$1006:AT1006),$AN$1006:$BO$1006,0))&gt;=100000), " ",IF(INDEX($AN$2:$BO$1001,MATCH(ROWS($AG$2:AG26),$AG$2:$AG$1001,0),MATCH(COLUMNS($AN$1006:AT1006),$AN$1006:$BO$1006,0)), HYPERLINK("#",""), HYPERLINK(CONCATENATE("#Metadata!", ADDRESS(INDEX($AI$2:$AI$1001,MATCH(ROWS($AG$2:AG26),$AG$2:$AG$1001,0),0), INDEX($AN$1004:$BO$1004,1,MATCH(COLUMNS($AN$1006:AT1006),$AN$1006:$BO$1006,0)))),"Fix")))</f>
        <v>0</v>
      </c>
      <c r="I26" s="4">
        <f>IF(OR(INDEX($AH$2:$AH$1001,MATCH(ROWS($AG$2:AG26),$AG$2:$AG$1001,0),1)&gt;=100000,INDEX($AN$1005:$BO$1005,1,MATCH(COLUMNS($AN$1006:AU1006),$AN$1006:$BO$1006,0))&gt;=100000), " ",IF(INDEX($AN$2:$BO$1001,MATCH(ROWS($AG$2:AG26),$AG$2:$AG$1001,0),MATCH(COLUMNS($AN$1006:AU1006),$AN$1006:$BO$1006,0)), HYPERLINK("#",""), HYPERLINK(CONCATENATE("#Metadata!", ADDRESS(INDEX($AI$2:$AI$1001,MATCH(ROWS($AG$2:AG26),$AG$2:$AG$1001,0),0), INDEX($AN$1004:$BO$1004,1,MATCH(COLUMNS($AN$1006:AU1006),$AN$1006:$BO$1006,0)))),"Fix")))</f>
        <v>0</v>
      </c>
      <c r="J26" s="4">
        <f>IF(OR(INDEX($AH$2:$AH$1001,MATCH(ROWS($AG$2:AG26),$AG$2:$AG$1001,0),1)&gt;=100000,INDEX($AN$1005:$BO$1005,1,MATCH(COLUMNS($AN$1006:AV1006),$AN$1006:$BO$1006,0))&gt;=100000), " ",IF(INDEX($AN$2:$BO$1001,MATCH(ROWS($AG$2:AG26),$AG$2:$AG$1001,0),MATCH(COLUMNS($AN$1006:AV1006),$AN$1006:$BO$1006,0)), HYPERLINK("#",""), HYPERLINK(CONCATENATE("#Metadata!", ADDRESS(INDEX($AI$2:$AI$1001,MATCH(ROWS($AG$2:AG26),$AG$2:$AG$1001,0),0), INDEX($AN$1004:$BO$1004,1,MATCH(COLUMNS($AN$1006:AV1006),$AN$1006:$BO$1006,0)))),"Fix")))</f>
        <v>0</v>
      </c>
      <c r="K26" s="4">
        <f>IF(OR(INDEX($AH$2:$AH$1001,MATCH(ROWS($AG$2:AG26),$AG$2:$AG$1001,0),1)&gt;=100000,INDEX($AN$1005:$BO$1005,1,MATCH(COLUMNS($AN$1006:AW1006),$AN$1006:$BO$1006,0))&gt;=100000), " ",IF(INDEX($AN$2:$BO$1001,MATCH(ROWS($AG$2:AG26),$AG$2:$AG$1001,0),MATCH(COLUMNS($AN$1006:AW1006),$AN$1006:$BO$1006,0)), HYPERLINK("#",""), HYPERLINK(CONCATENATE("#Metadata!", ADDRESS(INDEX($AI$2:$AI$1001,MATCH(ROWS($AG$2:AG26),$AG$2:$AG$1001,0),0), INDEX($AN$1004:$BO$1004,1,MATCH(COLUMNS($AN$1006:AW1006),$AN$1006:$BO$1006,0)))),"Fix")))</f>
        <v>0</v>
      </c>
      <c r="L26" s="4">
        <f>IF(OR(INDEX($AH$2:$AH$1001,MATCH(ROWS($AG$2:AG26),$AG$2:$AG$1001,0),1)&gt;=100000,INDEX($AN$1005:$BO$1005,1,MATCH(COLUMNS($AN$1006:AX1006),$AN$1006:$BO$1006,0))&gt;=100000), " ",IF(INDEX($AN$2:$BO$1001,MATCH(ROWS($AG$2:AG26),$AG$2:$AG$1001,0),MATCH(COLUMNS($AN$1006:AX1006),$AN$1006:$BO$1006,0)), HYPERLINK("#",""), HYPERLINK(CONCATENATE("#Metadata!", ADDRESS(INDEX($AI$2:$AI$1001,MATCH(ROWS($AG$2:AG26),$AG$2:$AG$1001,0),0), INDEX($AN$1004:$BO$1004,1,MATCH(COLUMNS($AN$1006:AX1006),$AN$1006:$BO$1006,0)))),"Fix")))</f>
        <v>0</v>
      </c>
      <c r="M26" s="4">
        <f>IF(OR(INDEX($AH$2:$AH$1001,MATCH(ROWS($AG$2:AG26),$AG$2:$AG$1001,0),1)&gt;=100000,INDEX($AN$1005:$BO$1005,1,MATCH(COLUMNS($AN$1006:AY1006),$AN$1006:$BO$1006,0))&gt;=100000), " ",IF(INDEX($AN$2:$BO$1001,MATCH(ROWS($AG$2:AG26),$AG$2:$AG$1001,0),MATCH(COLUMNS($AN$1006:AY1006),$AN$1006:$BO$1006,0)), HYPERLINK("#",""), HYPERLINK(CONCATENATE("#Metadata!", ADDRESS(INDEX($AI$2:$AI$1001,MATCH(ROWS($AG$2:AG26),$AG$2:$AG$1001,0),0), INDEX($AN$1004:$BO$1004,1,MATCH(COLUMNS($AN$1006:AY1006),$AN$1006:$BO$1006,0)))),"Fix")))</f>
        <v>0</v>
      </c>
      <c r="N26" s="4">
        <f>IF(OR(INDEX($AH$2:$AH$1001,MATCH(ROWS($AG$2:AG26),$AG$2:$AG$1001,0),1)&gt;=100000,INDEX($AN$1005:$BO$1005,1,MATCH(COLUMNS($AN$1006:AZ1006),$AN$1006:$BO$1006,0))&gt;=100000), " ",IF(INDEX($AN$2:$BO$1001,MATCH(ROWS($AG$2:AG26),$AG$2:$AG$1001,0),MATCH(COLUMNS($AN$1006:AZ1006),$AN$1006:$BO$1006,0)), HYPERLINK("#",""), HYPERLINK(CONCATENATE("#Metadata!", ADDRESS(INDEX($AI$2:$AI$1001,MATCH(ROWS($AG$2:AG26),$AG$2:$AG$1001,0),0), INDEX($AN$1004:$BO$1004,1,MATCH(COLUMNS($AN$1006:AZ1006),$AN$1006:$BO$1006,0)))),"Fix")))</f>
        <v>0</v>
      </c>
      <c r="O26" s="4">
        <f>IF(OR(INDEX($AH$2:$AH$1001,MATCH(ROWS($AG$2:AG26),$AG$2:$AG$1001,0),1)&gt;=100000,INDEX($AN$1005:$BO$1005,1,MATCH(COLUMNS($AN$1006:BA1006),$AN$1006:$BO$1006,0))&gt;=100000), " ",IF(INDEX($AN$2:$BO$1001,MATCH(ROWS($AG$2:AG26),$AG$2:$AG$1001,0),MATCH(COLUMNS($AN$1006:BA1006),$AN$1006:$BO$1006,0)), HYPERLINK("#",""), HYPERLINK(CONCATENATE("#Metadata!", ADDRESS(INDEX($AI$2:$AI$1001,MATCH(ROWS($AG$2:AG26),$AG$2:$AG$1001,0),0), INDEX($AN$1004:$BO$1004,1,MATCH(COLUMNS($AN$1006:BA1006),$AN$1006:$BO$1006,0)))),"Fix")))</f>
        <v>0</v>
      </c>
      <c r="P26" s="4">
        <f>IF(OR(INDEX($AH$2:$AH$1001,MATCH(ROWS($AG$2:AG26),$AG$2:$AG$1001,0),1)&gt;=100000,INDEX($AN$1005:$BO$1005,1,MATCH(COLUMNS($AN$1006:BB1006),$AN$1006:$BO$1006,0))&gt;=100000), " ",IF(INDEX($AN$2:$BO$1001,MATCH(ROWS($AG$2:AG26),$AG$2:$AG$1001,0),MATCH(COLUMNS($AN$1006:BB1006),$AN$1006:$BO$1006,0)), HYPERLINK("#",""), HYPERLINK(CONCATENATE("#Metadata!", ADDRESS(INDEX($AI$2:$AI$1001,MATCH(ROWS($AG$2:AG26),$AG$2:$AG$1001,0),0), INDEX($AN$1004:$BO$1004,1,MATCH(COLUMNS($AN$1006:BB1006),$AN$1006:$BO$1006,0)))),"Fix")))</f>
        <v>0</v>
      </c>
      <c r="Q26" s="4">
        <f>IF(OR(INDEX($AH$2:$AH$1001,MATCH(ROWS($AG$2:AG26),$AG$2:$AG$1001,0),1)&gt;=100000,INDEX($AN$1005:$BO$1005,1,MATCH(COLUMNS($AN$1006:BC1006),$AN$1006:$BO$1006,0))&gt;=100000), " ",IF(INDEX($AN$2:$BO$1001,MATCH(ROWS($AG$2:AG26),$AG$2:$AG$1001,0),MATCH(COLUMNS($AN$1006:BC1006),$AN$1006:$BO$1006,0)), HYPERLINK("#",""), HYPERLINK(CONCATENATE("#Metadata!", ADDRESS(INDEX($AI$2:$AI$1001,MATCH(ROWS($AG$2:AG26),$AG$2:$AG$1001,0),0), INDEX($AN$1004:$BO$1004,1,MATCH(COLUMNS($AN$1006:BC1006),$AN$1006:$BO$1006,0)))),"Fix")))</f>
        <v>0</v>
      </c>
      <c r="R26" s="4">
        <f>IF(OR(INDEX($AH$2:$AH$1001,MATCH(ROWS($AG$2:AG26),$AG$2:$AG$1001,0),1)&gt;=100000,INDEX($AN$1005:$BO$1005,1,MATCH(COLUMNS($AN$1006:BD1006),$AN$1006:$BO$1006,0))&gt;=100000), " ",IF(INDEX($AN$2:$BO$1001,MATCH(ROWS($AG$2:AG26),$AG$2:$AG$1001,0),MATCH(COLUMNS($AN$1006:BD1006),$AN$1006:$BO$1006,0)), HYPERLINK("#",""), HYPERLINK(CONCATENATE("#Metadata!", ADDRESS(INDEX($AI$2:$AI$1001,MATCH(ROWS($AG$2:AG26),$AG$2:$AG$1001,0),0), INDEX($AN$1004:$BO$1004,1,MATCH(COLUMNS($AN$1006:BD1006),$AN$1006:$BO$1006,0)))),"Fix")))</f>
        <v>0</v>
      </c>
      <c r="S26" s="4">
        <f>IF(OR(INDEX($AH$2:$AH$1001,MATCH(ROWS($AG$2:AG26),$AG$2:$AG$1001,0),1)&gt;=100000,INDEX($AN$1005:$BO$1005,1,MATCH(COLUMNS($AN$1006:BE1006),$AN$1006:$BO$1006,0))&gt;=100000), " ",IF(INDEX($AN$2:$BO$1001,MATCH(ROWS($AG$2:AG26),$AG$2:$AG$1001,0),MATCH(COLUMNS($AN$1006:BE1006),$AN$1006:$BO$1006,0)), HYPERLINK("#",""), HYPERLINK(CONCATENATE("#Metadata!", ADDRESS(INDEX($AI$2:$AI$1001,MATCH(ROWS($AG$2:AG26),$AG$2:$AG$1001,0),0), INDEX($AN$1004:$BO$1004,1,MATCH(COLUMNS($AN$1006:BE1006),$AN$1006:$BO$1006,0)))),"Fix")))</f>
        <v>0</v>
      </c>
      <c r="T26" s="4">
        <f>IF(OR(INDEX($AH$2:$AH$1001,MATCH(ROWS($AG$2:AG26),$AG$2:$AG$1001,0),1)&gt;=100000,INDEX($AN$1005:$BO$1005,1,MATCH(COLUMNS($AN$1006:BF1006),$AN$1006:$BO$1006,0))&gt;=100000), " ",IF(INDEX($AN$2:$BO$1001,MATCH(ROWS($AG$2:AG26),$AG$2:$AG$1001,0),MATCH(COLUMNS($AN$1006:BF1006),$AN$1006:$BO$1006,0)), HYPERLINK("#",""), HYPERLINK(CONCATENATE("#Metadata!", ADDRESS(INDEX($AI$2:$AI$1001,MATCH(ROWS($AG$2:AG26),$AG$2:$AG$1001,0),0), INDEX($AN$1004:$BO$1004,1,MATCH(COLUMNS($AN$1006:BF1006),$AN$1006:$BO$1006,0)))),"Fix")))</f>
        <v>0</v>
      </c>
      <c r="U26" s="4">
        <f>IF(OR(INDEX($AH$2:$AH$1001,MATCH(ROWS($AG$2:AG26),$AG$2:$AG$1001,0),1)&gt;=100000,INDEX($AN$1005:$BO$1005,1,MATCH(COLUMNS($AN$1006:BG1006),$AN$1006:$BO$1006,0))&gt;=100000), " ",IF(INDEX($AN$2:$BO$1001,MATCH(ROWS($AG$2:AG26),$AG$2:$AG$1001,0),MATCH(COLUMNS($AN$1006:BG1006),$AN$1006:$BO$1006,0)), HYPERLINK("#",""), HYPERLINK(CONCATENATE("#Metadata!", ADDRESS(INDEX($AI$2:$AI$1001,MATCH(ROWS($AG$2:AG26),$AG$2:$AG$1001,0),0), INDEX($AN$1004:$BO$1004,1,MATCH(COLUMNS($AN$1006:BG1006),$AN$1006:$BO$1006,0)))),"Fix")))</f>
        <v>0</v>
      </c>
      <c r="V26" s="4">
        <f>IF(OR(INDEX($AH$2:$AH$1001,MATCH(ROWS($AG$2:AG26),$AG$2:$AG$1001,0),1)&gt;=100000,INDEX($AN$1005:$BO$1005,1,MATCH(COLUMNS($AN$1006:BH1006),$AN$1006:$BO$1006,0))&gt;=100000), " ",IF(INDEX($AN$2:$BO$1001,MATCH(ROWS($AG$2:AG26),$AG$2:$AG$1001,0),MATCH(COLUMNS($AN$1006:BH1006),$AN$1006:$BO$1006,0)), HYPERLINK("#",""), HYPERLINK(CONCATENATE("#Metadata!", ADDRESS(INDEX($AI$2:$AI$1001,MATCH(ROWS($AG$2:AG26),$AG$2:$AG$1001,0),0), INDEX($AN$1004:$BO$1004,1,MATCH(COLUMNS($AN$1006:BH1006),$AN$1006:$BO$1006,0)))),"Fix")))</f>
        <v>0</v>
      </c>
      <c r="W26" s="4">
        <f>IF(OR(INDEX($AH$2:$AH$1001,MATCH(ROWS($AG$2:AG26),$AG$2:$AG$1001,0),1)&gt;=100000,INDEX($AN$1005:$BO$1005,1,MATCH(COLUMNS($AN$1006:BI1006),$AN$1006:$BO$1006,0))&gt;=100000), " ",IF(INDEX($AN$2:$BO$1001,MATCH(ROWS($AG$2:AG26),$AG$2:$AG$1001,0),MATCH(COLUMNS($AN$1006:BI1006),$AN$1006:$BO$1006,0)), HYPERLINK("#",""), HYPERLINK(CONCATENATE("#Metadata!", ADDRESS(INDEX($AI$2:$AI$1001,MATCH(ROWS($AG$2:AG26),$AG$2:$AG$1001,0),0), INDEX($AN$1004:$BO$1004,1,MATCH(COLUMNS($AN$1006:BI1006),$AN$1006:$BO$1006,0)))),"Fix")))</f>
        <v>0</v>
      </c>
      <c r="X26" s="4">
        <f>IF(OR(INDEX($AH$2:$AH$1001,MATCH(ROWS($AG$2:AG26),$AG$2:$AG$1001,0),1)&gt;=100000,INDEX($AN$1005:$BO$1005,1,MATCH(COLUMNS($AN$1006:BJ1006),$AN$1006:$BO$1006,0))&gt;=100000), " ",IF(INDEX($AN$2:$BO$1001,MATCH(ROWS($AG$2:AG26),$AG$2:$AG$1001,0),MATCH(COLUMNS($AN$1006:BJ1006),$AN$1006:$BO$1006,0)), HYPERLINK("#",""), HYPERLINK(CONCATENATE("#Metadata!", ADDRESS(INDEX($AI$2:$AI$1001,MATCH(ROWS($AG$2:AG26),$AG$2:$AG$1001,0),0), INDEX($AN$1004:$BO$1004,1,MATCH(COLUMNS($AN$1006:BJ1006),$AN$1006:$BO$1006,0)))),"Fix")))</f>
        <v>0</v>
      </c>
      <c r="Y26" s="4">
        <f>IF(OR(INDEX($AH$2:$AH$1001,MATCH(ROWS($AG$2:AG26),$AG$2:$AG$1001,0),1)&gt;=100000,INDEX($AN$1005:$BO$1005,1,MATCH(COLUMNS($AN$1006:BK1006),$AN$1006:$BO$1006,0))&gt;=100000), " ",IF(INDEX($AN$2:$BO$1001,MATCH(ROWS($AG$2:AG26),$AG$2:$AG$1001,0),MATCH(COLUMNS($AN$1006:BK1006),$AN$1006:$BO$1006,0)), HYPERLINK("#",""), HYPERLINK(CONCATENATE("#Metadata!", ADDRESS(INDEX($AI$2:$AI$1001,MATCH(ROWS($AG$2:AG26),$AG$2:$AG$1001,0),0), INDEX($AN$1004:$BO$1004,1,MATCH(COLUMNS($AN$1006:BK1006),$AN$1006:$BO$1006,0)))),"Fix")))</f>
        <v>0</v>
      </c>
      <c r="Z26" s="4">
        <f>IF(OR(INDEX($AH$2:$AH$1001,MATCH(ROWS($AG$2:AG26),$AG$2:$AG$1001,0),1)&gt;=100000,INDEX($AN$1005:$BO$1005,1,MATCH(COLUMNS($AN$1006:BL1006),$AN$1006:$BO$1006,0))&gt;=100000), " ",IF(INDEX($AN$2:$BO$1001,MATCH(ROWS($AG$2:AG26),$AG$2:$AG$1001,0),MATCH(COLUMNS($AN$1006:BL1006),$AN$1006:$BO$1006,0)), HYPERLINK("#",""), HYPERLINK(CONCATENATE("#Metadata!", ADDRESS(INDEX($AI$2:$AI$1001,MATCH(ROWS($AG$2:AG26),$AG$2:$AG$1001,0),0), INDEX($AN$1004:$BO$1004,1,MATCH(COLUMNS($AN$1006:BL1006),$AN$1006:$BO$1006,0)))),"Fix")))</f>
        <v>0</v>
      </c>
      <c r="AA26" s="4">
        <f>IF(OR(INDEX($AH$2:$AH$1001,MATCH(ROWS($AG$2:AG26),$AG$2:$AG$1001,0),1)&gt;=100000,INDEX($AN$1005:$BO$1005,1,MATCH(COLUMNS($AN$1006:BM1006),$AN$1006:$BO$1006,0))&gt;=100000), " ",IF(INDEX($AN$2:$BO$1001,MATCH(ROWS($AG$2:AG26),$AG$2:$AG$1001,0),MATCH(COLUMNS($AN$1006:BM1006),$AN$1006:$BO$1006,0)), HYPERLINK("#",""), HYPERLINK(CONCATENATE("#Metadata!", ADDRESS(INDEX($AI$2:$AI$1001,MATCH(ROWS($AG$2:AG26),$AG$2:$AG$1001,0),0), INDEX($AN$1004:$BO$1004,1,MATCH(COLUMNS($AN$1006:BM1006),$AN$1006:$BO$1006,0)))),"Fix")))</f>
        <v>0</v>
      </c>
      <c r="AB26" s="4">
        <f>IF(OR(INDEX($AH$2:$AH$1001,MATCH(ROWS($AG$2:AG26),$AG$2:$AG$1001,0),1)&gt;=100000,INDEX($AN$1005:$BO$1005,1,MATCH(COLUMNS($AN$1006:BN1006),$AN$1006:$BO$1006,0))&gt;=100000), " ",IF(INDEX($AN$2:$BO$1001,MATCH(ROWS($AG$2:AG26),$AG$2:$AG$1001,0),MATCH(COLUMNS($AN$1006:BN1006),$AN$1006:$BO$1006,0)), HYPERLINK("#",""), HYPERLINK(CONCATENATE("#Metadata!", ADDRESS(INDEX($AI$2:$AI$1001,MATCH(ROWS($AG$2:AG26),$AG$2:$AG$1001,0),0), INDEX($AN$1004:$BO$1004,1,MATCH(COLUMNS($AN$1006:BN1006),$AN$1006:$BO$1006,0)))),"Fix")))</f>
        <v>0</v>
      </c>
      <c r="AC26" s="4">
        <f>IF(OR(INDEX($AH$2:$AH$1001,MATCH(ROWS($AG$2:AG26),$AG$2:$AG$1001,0),1)&gt;=100000,INDEX($AN$1005:$BO$1005,1,MATCH(COLUMNS($AN$1006:BO1006),$AN$1006:$BO$1006,0))&gt;=100000), " ",IF(INDEX($AN$2:$BO$1001,MATCH(ROWS($AG$2:AG26),$AG$2:$AG$1001,0),MATCH(COLUMNS($AN$1006:BO1006),$AN$1006:$BO$1006,0)), HYPERLINK("#",""), HYPERLINK(CONCATENATE("#Metadata!", ADDRESS(INDEX($AI$2:$AI$1001,MATCH(ROWS($AG$2:AG26),$AG$2:$AG$1001,0),0), INDEX($AN$1004:$BO$1004,1,MATCH(COLUMNS($AN$1006:BO1006),$AN$1006:$BO$1006,0)))),"Fix")))</f>
        <v>0</v>
      </c>
      <c r="AG26">
        <v>0</v>
      </c>
      <c r="AH26">
        <v>0</v>
      </c>
      <c r="AI26">
        <v>0</v>
      </c>
      <c r="AJ26">
        <f>IF(AK26,TRUE,AND(AN26:BO26))</f>
        <v>0</v>
      </c>
      <c r="AK26">
        <f>COUNTBLANK(Metadata!B26:AC26)=COLUMNS(Metadata!B26:AC26)</f>
        <v>0</v>
      </c>
      <c r="AL26">
        <v>0</v>
      </c>
      <c r="AN26">
        <f>AND(IF(Metadata!B26="",FALSE,TRUE),COUNTIF(Metadata!B:B, Metadata!B26) = 1,NOT(ISERROR(SUMPRODUCT(SEARCH(MID(Metadata!B26,ROW(INDIRECT("1:"&amp;LEN(Metadata!B26))), 1),"0123456789abcdefghijklmnopqrstuvwxyzABCDEFGHIJKLMNOPQRSTUVWXYZ.")))))</f>
        <v>0</v>
      </c>
      <c r="AO26">
        <f>IF(Metadata!C26="",FALSE,TRUE)</f>
        <v>0</v>
      </c>
      <c r="AP26">
        <f>IF(Metadata!D26="",FALSE,TRUE)</f>
        <v>0</v>
      </c>
      <c r="AQ26">
        <f>OR(AND(IF(Metadata!E26="",FALSE,TRUE),OR(exact(Metadata!E26,"not collected"),exact(Metadata!E26,"not provided"),exact(Metadata!E26,"restricted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R26">
        <f>IF(Metadata!F26="",FALSE,TRUE)</f>
        <v>0</v>
      </c>
      <c r="AS26">
        <f>OR(AND(IF(Metadata!G26="",FALSE,TRUE),OR(exact(Metadata!G26,"not collected"),exact(Metadata!G26,"not provided"))),AND(IF(Metadata!G26="",FALSE,TRUE),OR(exact(Metadata!G26,"TRUE"),exact(Metadata!G26,"FALSE"))))</f>
        <v>0</v>
      </c>
      <c r="AT26">
        <f>OR(AND(IF(Metadata!H26="",FALSE,TRUE),OR(exact(Metadata!H26,"not collected"),exact(Metadata!H26,"not provided"),exact(Metadata!H26,"restricted access"))),AND(IF(Metadata!H26="",FALSE,ISNUMBER(VALUE(Metadata!H26))),Metadata!H26&gt;=-413.0))</f>
        <v>0</v>
      </c>
      <c r="AU26">
        <f>AND(IF(Metadata!I26="",FALSE,TRUE),exact(Metadata!I26,"meters"))</f>
        <v>0</v>
      </c>
      <c r="AV26">
        <f>AND(IF(Metadata!J26="",FALSE,TRUE),OR(exact(Metadata!J26,"Host-associated"),exact(Metadata!J26,"Free-living")))</f>
        <v>0</v>
      </c>
      <c r="AW26">
        <f>AND(IF(Metadata!K26="",FALSE,TRUE),OR(exact(Metadata!K26,"Animal"),exact(Metadata!K26,"Fungus"),exact(Metadata!K26,"Plant"),exact(Metadata!K26,"Saline"),exact(Metadata!K26,"Non-saline")))</f>
        <v>0</v>
      </c>
      <c r="AX26">
        <f>AND(IF(Metadata!L26="",FALSE,TRUE),OR(exact(Metadata!L26,"Plant secretion"),exact(Metadata!L26,"Plant rhizosphere"),exact(Metadata!L26,"Plant surface"),exact(Metadata!L26,"Plant corpus"),exact(Metadata!L26,"Fungus surface"),exact(Metadata!L26,"Fungus corpus"),exact(Metadata!L26,"Animal surface"),exact(Metadata!L26,"Animal proximal gut"),exact(Metadata!L26,"Animal corpus"),exact(Metadata!L26,"Animal distal gut"),exact(Metadata!L26,"Animal secretion"),exact(Metadata!L26,"Sub-surface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0</v>
      </c>
      <c r="AY26">
        <f>IF(Metadata!M26="",FALSE,TRUE)</f>
        <v>0</v>
      </c>
      <c r="AZ26">
        <f>IF(Metadata!N26="",FALSE,TRUE)</f>
        <v>0</v>
      </c>
      <c r="BA26">
        <f>IF(Metadata!O26="",FALSE,TRUE)</f>
        <v>0</v>
      </c>
      <c r="BB26">
        <f>OR(AND(IF(Metadata!P26="",FALSE,TRUE),OR(exact(Metadata!P26,"not collected"),exact(Metadata!P26,"not provided"),exact(Metadata!P26,"restricted access"))),AND(IF(Metadata!P26="",FALSE,TRUE),OR(exact(Metadata!P26,"air"),exact(Metadata!P26,"built environment"),exact(Metadata!P26,"host-associated"),exact(Metadata!P26,"human-associated"),exact(Metadata!P26,"human-skin"),exact(Metadata!P26,"human-oral"),exact(Metadata!P26,"human-gut"),exact(Metadata!P26,"human-vaginal"),exact(Metadata!P26,"microbial mat/biofilm"),exact(Metadata!P26,"misc environment"),exact(Metadata!P26,"plant-associated"),exact(Metadata!P26,"sediment"),exact(Metadata!P26,"soil"),exact(Metadata!P26,"wastewater/sludge"),exact(Metadata!P26,"water"))))</f>
        <v>0</v>
      </c>
      <c r="BC26">
        <f>IF(Metadata!Q26="",FALSE,TRUE)</f>
        <v>0</v>
      </c>
      <c r="BD26">
        <f>IF(Metadata!R26="",FALSE,TRUE)</f>
        <v>0</v>
      </c>
      <c r="BE26">
        <f>OR(AND(IF(Metadata!S26="",FALSE,TRUE),OR(exact(Metadata!S26,"not collected"),exact(Metadata!S26,"not provided"),exact(Metadata!S26,"restricted access"))),AND(IF(Metadata!S26="",FALSE,ISNUMBER(VALUE(Metadata!S26))),Metadata!S26&gt;=-90.00,Metadata!S26&lt;=90.00))</f>
        <v>0</v>
      </c>
      <c r="BF26">
        <f>AND(IF(Metadata!T26="",FALSE,TRUE),exact(Metadata!T26,"Decimal degrees"))</f>
        <v>0</v>
      </c>
      <c r="BG26">
        <f>OR(AND(IF(Metadata!U26="",FALSE,TRUE),OR(exact(Metadata!U26,"not collected"),exact(Metadata!U26,"not provided"),exact(Metadata!U26,"restricted access"))),AND(IF(Metadata!U26="",FALSE,ISNUMBER(VALUE(Metadata!U26))),Metadata!U26&gt;=-180.00,Metadata!U26&lt;=180.00))</f>
        <v>0</v>
      </c>
      <c r="BH26">
        <f>AND(IF(Metadata!V26="",FALSE,TRUE),exact(Metadata!V26,"Decimal degrees"))</f>
        <v>0</v>
      </c>
      <c r="BI26">
        <f>IF(Metadata!W26="",FALSE,TRUE)</f>
        <v>0</v>
      </c>
      <c r="BJ26">
        <f>OR(AND(IF(Metadata!X26="",FALSE,TRUE),OR(exact(Metadata!X26,"not collected"),exact(Metadata!X26,"not provided"),exact(Metadata!X26,"restricted access"))),AND(IF(Metadata!X26="",FALSE,TRUE),OR(exact(Metadata!X26,"TRUE"),exact(Metadata!X26,"FALSE"))))</f>
        <v>0</v>
      </c>
      <c r="BK26">
        <f>AND(IF(Metadata!Y26="",FALSE,TRUE),exact(Metadata!Y26,"other"))</f>
        <v>0</v>
      </c>
      <c r="BL26">
        <f>IF(Metadata!Z26="",FALSE,TRUE)</f>
        <v>0</v>
      </c>
      <c r="BM26">
        <f>OR(AND(IF(Metadata!AA26="",FALSE,TRUE),OR(exact(Metadata!AA26,"not collected"),exact(Metadata!AA26,"not provided"))),AND(IF(Metadata!AA26="",FALSE,IF(ISERROR(INT(Metadata!AA26)),FALSE,INT(Metadata!AA26)=Metadata!AA26)),Metadata!AA26&gt;0))</f>
        <v>0</v>
      </c>
      <c r="BN26">
        <f>AND(IF(Metadata!AB26="",FALSE,TRUE),exact(Metadata!AB26,"Not applicable"))</f>
        <v>0</v>
      </c>
      <c r="BO26">
        <f>IF(Metadata!AC26="",FALSE,TRUE)</f>
        <v>0</v>
      </c>
    </row>
    <row r="27" spans="1:67">
      <c r="A27" s="5">
        <f>IF(B27=" "," ",HYPERLINK(CONCATENATE("#metadata!",ADDRESS(INDEX($AI$2:$AI$1001,MATCH(ROWS($AG$2:AG27),$AG$2:$AG$1001,0),0),1)),INDEX($AL$2:$AL$1001,MATCH(ROWS($AG$2:AG27),$AG$2:$AG$1001,0),0)))</f>
        <v>0</v>
      </c>
      <c r="B27" s="4">
        <f>IF(OR(INDEX($AH$2:$AH$1001,MATCH(ROWS($AG$2:AG27),$AG$2:$AG$1001,0),1)&gt;=100000,INDEX($AN$1005:$BO$1005,1,MATCH(COLUMNS($AN$1006:AN1006),$AN$1006:$BO$1006,0))&gt;=100000), " ",IF(INDEX($AN$2:$BO$1001,MATCH(ROWS($AG$2:AG27),$AG$2:$AG$1001,0),MATCH(COLUMNS($AN$1006:AN1006),$AN$1006:$BO$1006,0)), HYPERLINK("#",""), HYPERLINK(CONCATENATE("#Metadata!", ADDRESS(INDEX($AI$2:$AI$1001,MATCH(ROWS($AG$2:AG27),$AG$2:$AG$1001,0),0), INDEX($AN$1004:$BO$1004,1,MATCH(COLUMNS($AN$1006:AN1006),$AN$1006:$BO$1006,0)))),"Fix")))</f>
        <v>0</v>
      </c>
      <c r="C27" s="4">
        <f>IF(OR(INDEX($AH$2:$AH$1001,MATCH(ROWS($AG$2:AG27),$AG$2:$AG$1001,0),1)&gt;=100000,INDEX($AN$1005:$BO$1005,1,MATCH(COLUMNS($AN$1006:AO1006),$AN$1006:$BO$1006,0))&gt;=100000), " ",IF(INDEX($AN$2:$BO$1001,MATCH(ROWS($AG$2:AG27),$AG$2:$AG$1001,0),MATCH(COLUMNS($AN$1006:AO1006),$AN$1006:$BO$1006,0)), HYPERLINK("#",""), HYPERLINK(CONCATENATE("#Metadata!", ADDRESS(INDEX($AI$2:$AI$1001,MATCH(ROWS($AG$2:AG27),$AG$2:$AG$1001,0),0), INDEX($AN$1004:$BO$1004,1,MATCH(COLUMNS($AN$1006:AO1006),$AN$1006:$BO$1006,0)))),"Fix")))</f>
        <v>0</v>
      </c>
      <c r="D27" s="4">
        <f>IF(OR(INDEX($AH$2:$AH$1001,MATCH(ROWS($AG$2:AG27),$AG$2:$AG$1001,0),1)&gt;=100000,INDEX($AN$1005:$BO$1005,1,MATCH(COLUMNS($AN$1006:AP1006),$AN$1006:$BO$1006,0))&gt;=100000), " ",IF(INDEX($AN$2:$BO$1001,MATCH(ROWS($AG$2:AG27),$AG$2:$AG$1001,0),MATCH(COLUMNS($AN$1006:AP1006),$AN$1006:$BO$1006,0)), HYPERLINK("#",""), HYPERLINK(CONCATENATE("#Metadata!", ADDRESS(INDEX($AI$2:$AI$1001,MATCH(ROWS($AG$2:AG27),$AG$2:$AG$1001,0),0), INDEX($AN$1004:$BO$1004,1,MATCH(COLUMNS($AN$1006:AP1006),$AN$1006:$BO$1006,0)))),"Fix")))</f>
        <v>0</v>
      </c>
      <c r="E27" s="4">
        <f>IF(OR(INDEX($AH$2:$AH$1001,MATCH(ROWS($AG$2:AG27),$AG$2:$AG$1001,0),1)&gt;=100000,INDEX($AN$1005:$BO$1005,1,MATCH(COLUMNS($AN$1006:AQ1006),$AN$1006:$BO$1006,0))&gt;=100000), " ",IF(INDEX($AN$2:$BO$1001,MATCH(ROWS($AG$2:AG27),$AG$2:$AG$1001,0),MATCH(COLUMNS($AN$1006:AQ1006),$AN$1006:$BO$1006,0)), HYPERLINK("#",""), HYPERLINK(CONCATENATE("#Metadata!", ADDRESS(INDEX($AI$2:$AI$1001,MATCH(ROWS($AG$2:AG27),$AG$2:$AG$1001,0),0), INDEX($AN$1004:$BO$1004,1,MATCH(COLUMNS($AN$1006:AQ1006),$AN$1006:$BO$1006,0)))),"Fix")))</f>
        <v>0</v>
      </c>
      <c r="F27" s="4">
        <f>IF(OR(INDEX($AH$2:$AH$1001,MATCH(ROWS($AG$2:AG27),$AG$2:$AG$1001,0),1)&gt;=100000,INDEX($AN$1005:$BO$1005,1,MATCH(COLUMNS($AN$1006:AR1006),$AN$1006:$BO$1006,0))&gt;=100000), " ",IF(INDEX($AN$2:$BO$1001,MATCH(ROWS($AG$2:AG27),$AG$2:$AG$1001,0),MATCH(COLUMNS($AN$1006:AR1006),$AN$1006:$BO$1006,0)), HYPERLINK("#",""), HYPERLINK(CONCATENATE("#Metadata!", ADDRESS(INDEX($AI$2:$AI$1001,MATCH(ROWS($AG$2:AG27),$AG$2:$AG$1001,0),0), INDEX($AN$1004:$BO$1004,1,MATCH(COLUMNS($AN$1006:AR1006),$AN$1006:$BO$1006,0)))),"Fix")))</f>
        <v>0</v>
      </c>
      <c r="G27" s="4">
        <f>IF(OR(INDEX($AH$2:$AH$1001,MATCH(ROWS($AG$2:AG27),$AG$2:$AG$1001,0),1)&gt;=100000,INDEX($AN$1005:$BO$1005,1,MATCH(COLUMNS($AN$1006:AS1006),$AN$1006:$BO$1006,0))&gt;=100000), " ",IF(INDEX($AN$2:$BO$1001,MATCH(ROWS($AG$2:AG27),$AG$2:$AG$1001,0),MATCH(COLUMNS($AN$1006:AS1006),$AN$1006:$BO$1006,0)), HYPERLINK("#",""), HYPERLINK(CONCATENATE("#Metadata!", ADDRESS(INDEX($AI$2:$AI$1001,MATCH(ROWS($AG$2:AG27),$AG$2:$AG$1001,0),0), INDEX($AN$1004:$BO$1004,1,MATCH(COLUMNS($AN$1006:AS1006),$AN$1006:$BO$1006,0)))),"Fix")))</f>
        <v>0</v>
      </c>
      <c r="H27" s="4">
        <f>IF(OR(INDEX($AH$2:$AH$1001,MATCH(ROWS($AG$2:AG27),$AG$2:$AG$1001,0),1)&gt;=100000,INDEX($AN$1005:$BO$1005,1,MATCH(COLUMNS($AN$1006:AT1006),$AN$1006:$BO$1006,0))&gt;=100000), " ",IF(INDEX($AN$2:$BO$1001,MATCH(ROWS($AG$2:AG27),$AG$2:$AG$1001,0),MATCH(COLUMNS($AN$1006:AT1006),$AN$1006:$BO$1006,0)), HYPERLINK("#",""), HYPERLINK(CONCATENATE("#Metadata!", ADDRESS(INDEX($AI$2:$AI$1001,MATCH(ROWS($AG$2:AG27),$AG$2:$AG$1001,0),0), INDEX($AN$1004:$BO$1004,1,MATCH(COLUMNS($AN$1006:AT1006),$AN$1006:$BO$1006,0)))),"Fix")))</f>
        <v>0</v>
      </c>
      <c r="I27" s="4">
        <f>IF(OR(INDEX($AH$2:$AH$1001,MATCH(ROWS($AG$2:AG27),$AG$2:$AG$1001,0),1)&gt;=100000,INDEX($AN$1005:$BO$1005,1,MATCH(COLUMNS($AN$1006:AU1006),$AN$1006:$BO$1006,0))&gt;=100000), " ",IF(INDEX($AN$2:$BO$1001,MATCH(ROWS($AG$2:AG27),$AG$2:$AG$1001,0),MATCH(COLUMNS($AN$1006:AU1006),$AN$1006:$BO$1006,0)), HYPERLINK("#",""), HYPERLINK(CONCATENATE("#Metadata!", ADDRESS(INDEX($AI$2:$AI$1001,MATCH(ROWS($AG$2:AG27),$AG$2:$AG$1001,0),0), INDEX($AN$1004:$BO$1004,1,MATCH(COLUMNS($AN$1006:AU1006),$AN$1006:$BO$1006,0)))),"Fix")))</f>
        <v>0</v>
      </c>
      <c r="J27" s="4">
        <f>IF(OR(INDEX($AH$2:$AH$1001,MATCH(ROWS($AG$2:AG27),$AG$2:$AG$1001,0),1)&gt;=100000,INDEX($AN$1005:$BO$1005,1,MATCH(COLUMNS($AN$1006:AV1006),$AN$1006:$BO$1006,0))&gt;=100000), " ",IF(INDEX($AN$2:$BO$1001,MATCH(ROWS($AG$2:AG27),$AG$2:$AG$1001,0),MATCH(COLUMNS($AN$1006:AV1006),$AN$1006:$BO$1006,0)), HYPERLINK("#",""), HYPERLINK(CONCATENATE("#Metadata!", ADDRESS(INDEX($AI$2:$AI$1001,MATCH(ROWS($AG$2:AG27),$AG$2:$AG$1001,0),0), INDEX($AN$1004:$BO$1004,1,MATCH(COLUMNS($AN$1006:AV1006),$AN$1006:$BO$1006,0)))),"Fix")))</f>
        <v>0</v>
      </c>
      <c r="K27" s="4">
        <f>IF(OR(INDEX($AH$2:$AH$1001,MATCH(ROWS($AG$2:AG27),$AG$2:$AG$1001,0),1)&gt;=100000,INDEX($AN$1005:$BO$1005,1,MATCH(COLUMNS($AN$1006:AW1006),$AN$1006:$BO$1006,0))&gt;=100000), " ",IF(INDEX($AN$2:$BO$1001,MATCH(ROWS($AG$2:AG27),$AG$2:$AG$1001,0),MATCH(COLUMNS($AN$1006:AW1006),$AN$1006:$BO$1006,0)), HYPERLINK("#",""), HYPERLINK(CONCATENATE("#Metadata!", ADDRESS(INDEX($AI$2:$AI$1001,MATCH(ROWS($AG$2:AG27),$AG$2:$AG$1001,0),0), INDEX($AN$1004:$BO$1004,1,MATCH(COLUMNS($AN$1006:AW1006),$AN$1006:$BO$1006,0)))),"Fix")))</f>
        <v>0</v>
      </c>
      <c r="L27" s="4">
        <f>IF(OR(INDEX($AH$2:$AH$1001,MATCH(ROWS($AG$2:AG27),$AG$2:$AG$1001,0),1)&gt;=100000,INDEX($AN$1005:$BO$1005,1,MATCH(COLUMNS($AN$1006:AX1006),$AN$1006:$BO$1006,0))&gt;=100000), " ",IF(INDEX($AN$2:$BO$1001,MATCH(ROWS($AG$2:AG27),$AG$2:$AG$1001,0),MATCH(COLUMNS($AN$1006:AX1006),$AN$1006:$BO$1006,0)), HYPERLINK("#",""), HYPERLINK(CONCATENATE("#Metadata!", ADDRESS(INDEX($AI$2:$AI$1001,MATCH(ROWS($AG$2:AG27),$AG$2:$AG$1001,0),0), INDEX($AN$1004:$BO$1004,1,MATCH(COLUMNS($AN$1006:AX1006),$AN$1006:$BO$1006,0)))),"Fix")))</f>
        <v>0</v>
      </c>
      <c r="M27" s="4">
        <f>IF(OR(INDEX($AH$2:$AH$1001,MATCH(ROWS($AG$2:AG27),$AG$2:$AG$1001,0),1)&gt;=100000,INDEX($AN$1005:$BO$1005,1,MATCH(COLUMNS($AN$1006:AY1006),$AN$1006:$BO$1006,0))&gt;=100000), " ",IF(INDEX($AN$2:$BO$1001,MATCH(ROWS($AG$2:AG27),$AG$2:$AG$1001,0),MATCH(COLUMNS($AN$1006:AY1006),$AN$1006:$BO$1006,0)), HYPERLINK("#",""), HYPERLINK(CONCATENATE("#Metadata!", ADDRESS(INDEX($AI$2:$AI$1001,MATCH(ROWS($AG$2:AG27),$AG$2:$AG$1001,0),0), INDEX($AN$1004:$BO$1004,1,MATCH(COLUMNS($AN$1006:AY1006),$AN$1006:$BO$1006,0)))),"Fix")))</f>
        <v>0</v>
      </c>
      <c r="N27" s="4">
        <f>IF(OR(INDEX($AH$2:$AH$1001,MATCH(ROWS($AG$2:AG27),$AG$2:$AG$1001,0),1)&gt;=100000,INDEX($AN$1005:$BO$1005,1,MATCH(COLUMNS($AN$1006:AZ1006),$AN$1006:$BO$1006,0))&gt;=100000), " ",IF(INDEX($AN$2:$BO$1001,MATCH(ROWS($AG$2:AG27),$AG$2:$AG$1001,0),MATCH(COLUMNS($AN$1006:AZ1006),$AN$1006:$BO$1006,0)), HYPERLINK("#",""), HYPERLINK(CONCATENATE("#Metadata!", ADDRESS(INDEX($AI$2:$AI$1001,MATCH(ROWS($AG$2:AG27),$AG$2:$AG$1001,0),0), INDEX($AN$1004:$BO$1004,1,MATCH(COLUMNS($AN$1006:AZ1006),$AN$1006:$BO$1006,0)))),"Fix")))</f>
        <v>0</v>
      </c>
      <c r="O27" s="4">
        <f>IF(OR(INDEX($AH$2:$AH$1001,MATCH(ROWS($AG$2:AG27),$AG$2:$AG$1001,0),1)&gt;=100000,INDEX($AN$1005:$BO$1005,1,MATCH(COLUMNS($AN$1006:BA1006),$AN$1006:$BO$1006,0))&gt;=100000), " ",IF(INDEX($AN$2:$BO$1001,MATCH(ROWS($AG$2:AG27),$AG$2:$AG$1001,0),MATCH(COLUMNS($AN$1006:BA1006),$AN$1006:$BO$1006,0)), HYPERLINK("#",""), HYPERLINK(CONCATENATE("#Metadata!", ADDRESS(INDEX($AI$2:$AI$1001,MATCH(ROWS($AG$2:AG27),$AG$2:$AG$1001,0),0), INDEX($AN$1004:$BO$1004,1,MATCH(COLUMNS($AN$1006:BA1006),$AN$1006:$BO$1006,0)))),"Fix")))</f>
        <v>0</v>
      </c>
      <c r="P27" s="4">
        <f>IF(OR(INDEX($AH$2:$AH$1001,MATCH(ROWS($AG$2:AG27),$AG$2:$AG$1001,0),1)&gt;=100000,INDEX($AN$1005:$BO$1005,1,MATCH(COLUMNS($AN$1006:BB1006),$AN$1006:$BO$1006,0))&gt;=100000), " ",IF(INDEX($AN$2:$BO$1001,MATCH(ROWS($AG$2:AG27),$AG$2:$AG$1001,0),MATCH(COLUMNS($AN$1006:BB1006),$AN$1006:$BO$1006,0)), HYPERLINK("#",""), HYPERLINK(CONCATENATE("#Metadata!", ADDRESS(INDEX($AI$2:$AI$1001,MATCH(ROWS($AG$2:AG27),$AG$2:$AG$1001,0),0), INDEX($AN$1004:$BO$1004,1,MATCH(COLUMNS($AN$1006:BB1006),$AN$1006:$BO$1006,0)))),"Fix")))</f>
        <v>0</v>
      </c>
      <c r="Q27" s="4">
        <f>IF(OR(INDEX($AH$2:$AH$1001,MATCH(ROWS($AG$2:AG27),$AG$2:$AG$1001,0),1)&gt;=100000,INDEX($AN$1005:$BO$1005,1,MATCH(COLUMNS($AN$1006:BC1006),$AN$1006:$BO$1006,0))&gt;=100000), " ",IF(INDEX($AN$2:$BO$1001,MATCH(ROWS($AG$2:AG27),$AG$2:$AG$1001,0),MATCH(COLUMNS($AN$1006:BC1006),$AN$1006:$BO$1006,0)), HYPERLINK("#",""), HYPERLINK(CONCATENATE("#Metadata!", ADDRESS(INDEX($AI$2:$AI$1001,MATCH(ROWS($AG$2:AG27),$AG$2:$AG$1001,0),0), INDEX($AN$1004:$BO$1004,1,MATCH(COLUMNS($AN$1006:BC1006),$AN$1006:$BO$1006,0)))),"Fix")))</f>
        <v>0</v>
      </c>
      <c r="R27" s="4">
        <f>IF(OR(INDEX($AH$2:$AH$1001,MATCH(ROWS($AG$2:AG27),$AG$2:$AG$1001,0),1)&gt;=100000,INDEX($AN$1005:$BO$1005,1,MATCH(COLUMNS($AN$1006:BD1006),$AN$1006:$BO$1006,0))&gt;=100000), " ",IF(INDEX($AN$2:$BO$1001,MATCH(ROWS($AG$2:AG27),$AG$2:$AG$1001,0),MATCH(COLUMNS($AN$1006:BD1006),$AN$1006:$BO$1006,0)), HYPERLINK("#",""), HYPERLINK(CONCATENATE("#Metadata!", ADDRESS(INDEX($AI$2:$AI$1001,MATCH(ROWS($AG$2:AG27),$AG$2:$AG$1001,0),0), INDEX($AN$1004:$BO$1004,1,MATCH(COLUMNS($AN$1006:BD1006),$AN$1006:$BO$1006,0)))),"Fix")))</f>
        <v>0</v>
      </c>
      <c r="S27" s="4">
        <f>IF(OR(INDEX($AH$2:$AH$1001,MATCH(ROWS($AG$2:AG27),$AG$2:$AG$1001,0),1)&gt;=100000,INDEX($AN$1005:$BO$1005,1,MATCH(COLUMNS($AN$1006:BE1006),$AN$1006:$BO$1006,0))&gt;=100000), " ",IF(INDEX($AN$2:$BO$1001,MATCH(ROWS($AG$2:AG27),$AG$2:$AG$1001,0),MATCH(COLUMNS($AN$1006:BE1006),$AN$1006:$BO$1006,0)), HYPERLINK("#",""), HYPERLINK(CONCATENATE("#Metadata!", ADDRESS(INDEX($AI$2:$AI$1001,MATCH(ROWS($AG$2:AG27),$AG$2:$AG$1001,0),0), INDEX($AN$1004:$BO$1004,1,MATCH(COLUMNS($AN$1006:BE1006),$AN$1006:$BO$1006,0)))),"Fix")))</f>
        <v>0</v>
      </c>
      <c r="T27" s="4">
        <f>IF(OR(INDEX($AH$2:$AH$1001,MATCH(ROWS($AG$2:AG27),$AG$2:$AG$1001,0),1)&gt;=100000,INDEX($AN$1005:$BO$1005,1,MATCH(COLUMNS($AN$1006:BF1006),$AN$1006:$BO$1006,0))&gt;=100000), " ",IF(INDEX($AN$2:$BO$1001,MATCH(ROWS($AG$2:AG27),$AG$2:$AG$1001,0),MATCH(COLUMNS($AN$1006:BF1006),$AN$1006:$BO$1006,0)), HYPERLINK("#",""), HYPERLINK(CONCATENATE("#Metadata!", ADDRESS(INDEX($AI$2:$AI$1001,MATCH(ROWS($AG$2:AG27),$AG$2:$AG$1001,0),0), INDEX($AN$1004:$BO$1004,1,MATCH(COLUMNS($AN$1006:BF1006),$AN$1006:$BO$1006,0)))),"Fix")))</f>
        <v>0</v>
      </c>
      <c r="U27" s="4">
        <f>IF(OR(INDEX($AH$2:$AH$1001,MATCH(ROWS($AG$2:AG27),$AG$2:$AG$1001,0),1)&gt;=100000,INDEX($AN$1005:$BO$1005,1,MATCH(COLUMNS($AN$1006:BG1006),$AN$1006:$BO$1006,0))&gt;=100000), " ",IF(INDEX($AN$2:$BO$1001,MATCH(ROWS($AG$2:AG27),$AG$2:$AG$1001,0),MATCH(COLUMNS($AN$1006:BG1006),$AN$1006:$BO$1006,0)), HYPERLINK("#",""), HYPERLINK(CONCATENATE("#Metadata!", ADDRESS(INDEX($AI$2:$AI$1001,MATCH(ROWS($AG$2:AG27),$AG$2:$AG$1001,0),0), INDEX($AN$1004:$BO$1004,1,MATCH(COLUMNS($AN$1006:BG1006),$AN$1006:$BO$1006,0)))),"Fix")))</f>
        <v>0</v>
      </c>
      <c r="V27" s="4">
        <f>IF(OR(INDEX($AH$2:$AH$1001,MATCH(ROWS($AG$2:AG27),$AG$2:$AG$1001,0),1)&gt;=100000,INDEX($AN$1005:$BO$1005,1,MATCH(COLUMNS($AN$1006:BH1006),$AN$1006:$BO$1006,0))&gt;=100000), " ",IF(INDEX($AN$2:$BO$1001,MATCH(ROWS($AG$2:AG27),$AG$2:$AG$1001,0),MATCH(COLUMNS($AN$1006:BH1006),$AN$1006:$BO$1006,0)), HYPERLINK("#",""), HYPERLINK(CONCATENATE("#Metadata!", ADDRESS(INDEX($AI$2:$AI$1001,MATCH(ROWS($AG$2:AG27),$AG$2:$AG$1001,0),0), INDEX($AN$1004:$BO$1004,1,MATCH(COLUMNS($AN$1006:BH1006),$AN$1006:$BO$1006,0)))),"Fix")))</f>
        <v>0</v>
      </c>
      <c r="W27" s="4">
        <f>IF(OR(INDEX($AH$2:$AH$1001,MATCH(ROWS($AG$2:AG27),$AG$2:$AG$1001,0),1)&gt;=100000,INDEX($AN$1005:$BO$1005,1,MATCH(COLUMNS($AN$1006:BI1006),$AN$1006:$BO$1006,0))&gt;=100000), " ",IF(INDEX($AN$2:$BO$1001,MATCH(ROWS($AG$2:AG27),$AG$2:$AG$1001,0),MATCH(COLUMNS($AN$1006:BI1006),$AN$1006:$BO$1006,0)), HYPERLINK("#",""), HYPERLINK(CONCATENATE("#Metadata!", ADDRESS(INDEX($AI$2:$AI$1001,MATCH(ROWS($AG$2:AG27),$AG$2:$AG$1001,0),0), INDEX($AN$1004:$BO$1004,1,MATCH(COLUMNS($AN$1006:BI1006),$AN$1006:$BO$1006,0)))),"Fix")))</f>
        <v>0</v>
      </c>
      <c r="X27" s="4">
        <f>IF(OR(INDEX($AH$2:$AH$1001,MATCH(ROWS($AG$2:AG27),$AG$2:$AG$1001,0),1)&gt;=100000,INDEX($AN$1005:$BO$1005,1,MATCH(COLUMNS($AN$1006:BJ1006),$AN$1006:$BO$1006,0))&gt;=100000), " ",IF(INDEX($AN$2:$BO$1001,MATCH(ROWS($AG$2:AG27),$AG$2:$AG$1001,0),MATCH(COLUMNS($AN$1006:BJ1006),$AN$1006:$BO$1006,0)), HYPERLINK("#",""), HYPERLINK(CONCATENATE("#Metadata!", ADDRESS(INDEX($AI$2:$AI$1001,MATCH(ROWS($AG$2:AG27),$AG$2:$AG$1001,0),0), INDEX($AN$1004:$BO$1004,1,MATCH(COLUMNS($AN$1006:BJ1006),$AN$1006:$BO$1006,0)))),"Fix")))</f>
        <v>0</v>
      </c>
      <c r="Y27" s="4">
        <f>IF(OR(INDEX($AH$2:$AH$1001,MATCH(ROWS($AG$2:AG27),$AG$2:$AG$1001,0),1)&gt;=100000,INDEX($AN$1005:$BO$1005,1,MATCH(COLUMNS($AN$1006:BK1006),$AN$1006:$BO$1006,0))&gt;=100000), " ",IF(INDEX($AN$2:$BO$1001,MATCH(ROWS($AG$2:AG27),$AG$2:$AG$1001,0),MATCH(COLUMNS($AN$1006:BK1006),$AN$1006:$BO$1006,0)), HYPERLINK("#",""), HYPERLINK(CONCATENATE("#Metadata!", ADDRESS(INDEX($AI$2:$AI$1001,MATCH(ROWS($AG$2:AG27),$AG$2:$AG$1001,0),0), INDEX($AN$1004:$BO$1004,1,MATCH(COLUMNS($AN$1006:BK1006),$AN$1006:$BO$1006,0)))),"Fix")))</f>
        <v>0</v>
      </c>
      <c r="Z27" s="4">
        <f>IF(OR(INDEX($AH$2:$AH$1001,MATCH(ROWS($AG$2:AG27),$AG$2:$AG$1001,0),1)&gt;=100000,INDEX($AN$1005:$BO$1005,1,MATCH(COLUMNS($AN$1006:BL1006),$AN$1006:$BO$1006,0))&gt;=100000), " ",IF(INDEX($AN$2:$BO$1001,MATCH(ROWS($AG$2:AG27),$AG$2:$AG$1001,0),MATCH(COLUMNS($AN$1006:BL1006),$AN$1006:$BO$1006,0)), HYPERLINK("#",""), HYPERLINK(CONCATENATE("#Metadata!", ADDRESS(INDEX($AI$2:$AI$1001,MATCH(ROWS($AG$2:AG27),$AG$2:$AG$1001,0),0), INDEX($AN$1004:$BO$1004,1,MATCH(COLUMNS($AN$1006:BL1006),$AN$1006:$BO$1006,0)))),"Fix")))</f>
        <v>0</v>
      </c>
      <c r="AA27" s="4">
        <f>IF(OR(INDEX($AH$2:$AH$1001,MATCH(ROWS($AG$2:AG27),$AG$2:$AG$1001,0),1)&gt;=100000,INDEX($AN$1005:$BO$1005,1,MATCH(COLUMNS($AN$1006:BM1006),$AN$1006:$BO$1006,0))&gt;=100000), " ",IF(INDEX($AN$2:$BO$1001,MATCH(ROWS($AG$2:AG27),$AG$2:$AG$1001,0),MATCH(COLUMNS($AN$1006:BM1006),$AN$1006:$BO$1006,0)), HYPERLINK("#",""), HYPERLINK(CONCATENATE("#Metadata!", ADDRESS(INDEX($AI$2:$AI$1001,MATCH(ROWS($AG$2:AG27),$AG$2:$AG$1001,0),0), INDEX($AN$1004:$BO$1004,1,MATCH(COLUMNS($AN$1006:BM1006),$AN$1006:$BO$1006,0)))),"Fix")))</f>
        <v>0</v>
      </c>
      <c r="AB27" s="4">
        <f>IF(OR(INDEX($AH$2:$AH$1001,MATCH(ROWS($AG$2:AG27),$AG$2:$AG$1001,0),1)&gt;=100000,INDEX($AN$1005:$BO$1005,1,MATCH(COLUMNS($AN$1006:BN1006),$AN$1006:$BO$1006,0))&gt;=100000), " ",IF(INDEX($AN$2:$BO$1001,MATCH(ROWS($AG$2:AG27),$AG$2:$AG$1001,0),MATCH(COLUMNS($AN$1006:BN1006),$AN$1006:$BO$1006,0)), HYPERLINK("#",""), HYPERLINK(CONCATENATE("#Metadata!", ADDRESS(INDEX($AI$2:$AI$1001,MATCH(ROWS($AG$2:AG27),$AG$2:$AG$1001,0),0), INDEX($AN$1004:$BO$1004,1,MATCH(COLUMNS($AN$1006:BN1006),$AN$1006:$BO$1006,0)))),"Fix")))</f>
        <v>0</v>
      </c>
      <c r="AC27" s="4">
        <f>IF(OR(INDEX($AH$2:$AH$1001,MATCH(ROWS($AG$2:AG27),$AG$2:$AG$1001,0),1)&gt;=100000,INDEX($AN$1005:$BO$1005,1,MATCH(COLUMNS($AN$1006:BO1006),$AN$1006:$BO$1006,0))&gt;=100000), " ",IF(INDEX($AN$2:$BO$1001,MATCH(ROWS($AG$2:AG27),$AG$2:$AG$1001,0),MATCH(COLUMNS($AN$1006:BO1006),$AN$1006:$BO$1006,0)), HYPERLINK("#",""), HYPERLINK(CONCATENATE("#Metadata!", ADDRESS(INDEX($AI$2:$AI$1001,MATCH(ROWS($AG$2:AG27),$AG$2:$AG$1001,0),0), INDEX($AN$1004:$BO$1004,1,MATCH(COLUMNS($AN$1006:BO1006),$AN$1006:$BO$1006,0)))),"Fix")))</f>
        <v>0</v>
      </c>
      <c r="AG27">
        <v>0</v>
      </c>
      <c r="AH27">
        <v>0</v>
      </c>
      <c r="AI27">
        <v>0</v>
      </c>
      <c r="AJ27">
        <f>IF(AK27,TRUE,AND(AN27:BO27))</f>
        <v>0</v>
      </c>
      <c r="AK27">
        <f>COUNTBLANK(Metadata!B27:AC27)=COLUMNS(Metadata!B27:AC27)</f>
        <v>0</v>
      </c>
      <c r="AL27">
        <v>0</v>
      </c>
      <c r="AN27">
        <f>AND(IF(Metadata!B27="",FALSE,TRUE),COUNTIF(Metadata!B:B, Metadata!B27) = 1,NOT(ISERROR(SUMPRODUCT(SEARCH(MID(Metadata!B27,ROW(INDIRECT("1:"&amp;LEN(Metadata!B27))), 1),"0123456789abcdefghijklmnopqrstuvwxyzABCDEFGHIJKLMNOPQRSTUVWXYZ.")))))</f>
        <v>0</v>
      </c>
      <c r="AO27">
        <f>IF(Metadata!C27="",FALSE,TRUE)</f>
        <v>0</v>
      </c>
      <c r="AP27">
        <f>IF(Metadata!D27="",FALSE,TRUE)</f>
        <v>0</v>
      </c>
      <c r="AQ27">
        <f>OR(AND(IF(Metadata!E27="",FALSE,TRUE),OR(exact(Metadata!E27,"not collected"),exact(Metadata!E27,"not provided"),exact(Metadata!E27,"restricted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R27">
        <f>IF(Metadata!F27="",FALSE,TRUE)</f>
        <v>0</v>
      </c>
      <c r="AS27">
        <f>OR(AND(IF(Metadata!G27="",FALSE,TRUE),OR(exact(Metadata!G27,"not collected"),exact(Metadata!G27,"not provided"))),AND(IF(Metadata!G27="",FALSE,TRUE),OR(exact(Metadata!G27,"TRUE"),exact(Metadata!G27,"FALSE"))))</f>
        <v>0</v>
      </c>
      <c r="AT27">
        <f>OR(AND(IF(Metadata!H27="",FALSE,TRUE),OR(exact(Metadata!H27,"not collected"),exact(Metadata!H27,"not provided"),exact(Metadata!H27,"restricted access"))),AND(IF(Metadata!H27="",FALSE,ISNUMBER(VALUE(Metadata!H27))),Metadata!H27&gt;=-413.0))</f>
        <v>0</v>
      </c>
      <c r="AU27">
        <f>AND(IF(Metadata!I27="",FALSE,TRUE),exact(Metadata!I27,"meters"))</f>
        <v>0</v>
      </c>
      <c r="AV27">
        <f>AND(IF(Metadata!J27="",FALSE,TRUE),OR(exact(Metadata!J27,"Host-associated"),exact(Metadata!J27,"Free-living")))</f>
        <v>0</v>
      </c>
      <c r="AW27">
        <f>AND(IF(Metadata!K27="",FALSE,TRUE),OR(exact(Metadata!K27,"Animal"),exact(Metadata!K27,"Fungus"),exact(Metadata!K27,"Plant"),exact(Metadata!K27,"Saline"),exact(Metadata!K27,"Non-saline")))</f>
        <v>0</v>
      </c>
      <c r="AX27">
        <f>AND(IF(Metadata!L27="",FALSE,TRUE),OR(exact(Metadata!L27,"Plant secretion"),exact(Metadata!L27,"Plant rhizosphere"),exact(Metadata!L27,"Plant surface"),exact(Metadata!L27,"Plant corpus"),exact(Metadata!L27,"Fungus surface"),exact(Metadata!L27,"Fungus corpus"),exact(Metadata!L27,"Animal surface"),exact(Metadata!L27,"Animal proximal gut"),exact(Metadata!L27,"Animal corpus"),exact(Metadata!L27,"Animal distal gut"),exact(Metadata!L27,"Animal secretion"),exact(Metadata!L27,"Sub-surface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0</v>
      </c>
      <c r="AY27">
        <f>IF(Metadata!M27="",FALSE,TRUE)</f>
        <v>0</v>
      </c>
      <c r="AZ27">
        <f>IF(Metadata!N27="",FALSE,TRUE)</f>
        <v>0</v>
      </c>
      <c r="BA27">
        <f>IF(Metadata!O27="",FALSE,TRUE)</f>
        <v>0</v>
      </c>
      <c r="BB27">
        <f>OR(AND(IF(Metadata!P27="",FALSE,TRUE),OR(exact(Metadata!P27,"not collected"),exact(Metadata!P27,"not provided"),exact(Metadata!P27,"restricted access"))),AND(IF(Metadata!P27="",FALSE,TRUE),OR(exact(Metadata!P27,"air"),exact(Metadata!P27,"built environment"),exact(Metadata!P27,"host-associated"),exact(Metadata!P27,"human-associated"),exact(Metadata!P27,"human-skin"),exact(Metadata!P27,"human-oral"),exact(Metadata!P27,"human-gut"),exact(Metadata!P27,"human-vaginal"),exact(Metadata!P27,"microbial mat/biofilm"),exact(Metadata!P27,"misc environment"),exact(Metadata!P27,"plant-associated"),exact(Metadata!P27,"sediment"),exact(Metadata!P27,"soil"),exact(Metadata!P27,"wastewater/sludge"),exact(Metadata!P27,"water"))))</f>
        <v>0</v>
      </c>
      <c r="BC27">
        <f>IF(Metadata!Q27="",FALSE,TRUE)</f>
        <v>0</v>
      </c>
      <c r="BD27">
        <f>IF(Metadata!R27="",FALSE,TRUE)</f>
        <v>0</v>
      </c>
      <c r="BE27">
        <f>OR(AND(IF(Metadata!S27="",FALSE,TRUE),OR(exact(Metadata!S27,"not collected"),exact(Metadata!S27,"not provided"),exact(Metadata!S27,"restricted access"))),AND(IF(Metadata!S27="",FALSE,ISNUMBER(VALUE(Metadata!S27))),Metadata!S27&gt;=-90.00,Metadata!S27&lt;=90.00))</f>
        <v>0</v>
      </c>
      <c r="BF27">
        <f>AND(IF(Metadata!T27="",FALSE,TRUE),exact(Metadata!T27,"Decimal degrees"))</f>
        <v>0</v>
      </c>
      <c r="BG27">
        <f>OR(AND(IF(Metadata!U27="",FALSE,TRUE),OR(exact(Metadata!U27,"not collected"),exact(Metadata!U27,"not provided"),exact(Metadata!U27,"restricted access"))),AND(IF(Metadata!U27="",FALSE,ISNUMBER(VALUE(Metadata!U27))),Metadata!U27&gt;=-180.00,Metadata!U27&lt;=180.00))</f>
        <v>0</v>
      </c>
      <c r="BH27">
        <f>AND(IF(Metadata!V27="",FALSE,TRUE),exact(Metadata!V27,"Decimal degrees"))</f>
        <v>0</v>
      </c>
      <c r="BI27">
        <f>IF(Metadata!W27="",FALSE,TRUE)</f>
        <v>0</v>
      </c>
      <c r="BJ27">
        <f>OR(AND(IF(Metadata!X27="",FALSE,TRUE),OR(exact(Metadata!X27,"not collected"),exact(Metadata!X27,"not provided"),exact(Metadata!X27,"restricted access"))),AND(IF(Metadata!X27="",FALSE,TRUE),OR(exact(Metadata!X27,"TRUE"),exact(Metadata!X27,"FALSE"))))</f>
        <v>0</v>
      </c>
      <c r="BK27">
        <f>AND(IF(Metadata!Y27="",FALSE,TRUE),exact(Metadata!Y27,"other"))</f>
        <v>0</v>
      </c>
      <c r="BL27">
        <f>IF(Metadata!Z27="",FALSE,TRUE)</f>
        <v>0</v>
      </c>
      <c r="BM27">
        <f>OR(AND(IF(Metadata!AA27="",FALSE,TRUE),OR(exact(Metadata!AA27,"not collected"),exact(Metadata!AA27,"not provided"))),AND(IF(Metadata!AA27="",FALSE,IF(ISERROR(INT(Metadata!AA27)),FALSE,INT(Metadata!AA27)=Metadata!AA27)),Metadata!AA27&gt;0))</f>
        <v>0</v>
      </c>
      <c r="BN27">
        <f>AND(IF(Metadata!AB27="",FALSE,TRUE),exact(Metadata!AB27,"Not applicable"))</f>
        <v>0</v>
      </c>
      <c r="BO27">
        <f>IF(Metadata!AC27="",FALSE,TRUE)</f>
        <v>0</v>
      </c>
    </row>
    <row r="28" spans="1:67">
      <c r="A28" s="5">
        <f>IF(B28=" "," ",HYPERLINK(CONCATENATE("#metadata!",ADDRESS(INDEX($AI$2:$AI$1001,MATCH(ROWS($AG$2:AG28),$AG$2:$AG$1001,0),0),1)),INDEX($AL$2:$AL$1001,MATCH(ROWS($AG$2:AG28),$AG$2:$AG$1001,0),0)))</f>
        <v>0</v>
      </c>
      <c r="B28" s="4">
        <f>IF(OR(INDEX($AH$2:$AH$1001,MATCH(ROWS($AG$2:AG28),$AG$2:$AG$1001,0),1)&gt;=100000,INDEX($AN$1005:$BO$1005,1,MATCH(COLUMNS($AN$1006:AN1006),$AN$1006:$BO$1006,0))&gt;=100000), " ",IF(INDEX($AN$2:$BO$1001,MATCH(ROWS($AG$2:AG28),$AG$2:$AG$1001,0),MATCH(COLUMNS($AN$1006:AN1006),$AN$1006:$BO$1006,0)), HYPERLINK("#",""), HYPERLINK(CONCATENATE("#Metadata!", ADDRESS(INDEX($AI$2:$AI$1001,MATCH(ROWS($AG$2:AG28),$AG$2:$AG$1001,0),0), INDEX($AN$1004:$BO$1004,1,MATCH(COLUMNS($AN$1006:AN1006),$AN$1006:$BO$1006,0)))),"Fix")))</f>
        <v>0</v>
      </c>
      <c r="C28" s="4">
        <f>IF(OR(INDEX($AH$2:$AH$1001,MATCH(ROWS($AG$2:AG28),$AG$2:$AG$1001,0),1)&gt;=100000,INDEX($AN$1005:$BO$1005,1,MATCH(COLUMNS($AN$1006:AO1006),$AN$1006:$BO$1006,0))&gt;=100000), " ",IF(INDEX($AN$2:$BO$1001,MATCH(ROWS($AG$2:AG28),$AG$2:$AG$1001,0),MATCH(COLUMNS($AN$1006:AO1006),$AN$1006:$BO$1006,0)), HYPERLINK("#",""), HYPERLINK(CONCATENATE("#Metadata!", ADDRESS(INDEX($AI$2:$AI$1001,MATCH(ROWS($AG$2:AG28),$AG$2:$AG$1001,0),0), INDEX($AN$1004:$BO$1004,1,MATCH(COLUMNS($AN$1006:AO1006),$AN$1006:$BO$1006,0)))),"Fix")))</f>
        <v>0</v>
      </c>
      <c r="D28" s="4">
        <f>IF(OR(INDEX($AH$2:$AH$1001,MATCH(ROWS($AG$2:AG28),$AG$2:$AG$1001,0),1)&gt;=100000,INDEX($AN$1005:$BO$1005,1,MATCH(COLUMNS($AN$1006:AP1006),$AN$1006:$BO$1006,0))&gt;=100000), " ",IF(INDEX($AN$2:$BO$1001,MATCH(ROWS($AG$2:AG28),$AG$2:$AG$1001,0),MATCH(COLUMNS($AN$1006:AP1006),$AN$1006:$BO$1006,0)), HYPERLINK("#",""), HYPERLINK(CONCATENATE("#Metadata!", ADDRESS(INDEX($AI$2:$AI$1001,MATCH(ROWS($AG$2:AG28),$AG$2:$AG$1001,0),0), INDEX($AN$1004:$BO$1004,1,MATCH(COLUMNS($AN$1006:AP1006),$AN$1006:$BO$1006,0)))),"Fix")))</f>
        <v>0</v>
      </c>
      <c r="E28" s="4">
        <f>IF(OR(INDEX($AH$2:$AH$1001,MATCH(ROWS($AG$2:AG28),$AG$2:$AG$1001,0),1)&gt;=100000,INDEX($AN$1005:$BO$1005,1,MATCH(COLUMNS($AN$1006:AQ1006),$AN$1006:$BO$1006,0))&gt;=100000), " ",IF(INDEX($AN$2:$BO$1001,MATCH(ROWS($AG$2:AG28),$AG$2:$AG$1001,0),MATCH(COLUMNS($AN$1006:AQ1006),$AN$1006:$BO$1006,0)), HYPERLINK("#",""), HYPERLINK(CONCATENATE("#Metadata!", ADDRESS(INDEX($AI$2:$AI$1001,MATCH(ROWS($AG$2:AG28),$AG$2:$AG$1001,0),0), INDEX($AN$1004:$BO$1004,1,MATCH(COLUMNS($AN$1006:AQ1006),$AN$1006:$BO$1006,0)))),"Fix")))</f>
        <v>0</v>
      </c>
      <c r="F28" s="4">
        <f>IF(OR(INDEX($AH$2:$AH$1001,MATCH(ROWS($AG$2:AG28),$AG$2:$AG$1001,0),1)&gt;=100000,INDEX($AN$1005:$BO$1005,1,MATCH(COLUMNS($AN$1006:AR1006),$AN$1006:$BO$1006,0))&gt;=100000), " ",IF(INDEX($AN$2:$BO$1001,MATCH(ROWS($AG$2:AG28),$AG$2:$AG$1001,0),MATCH(COLUMNS($AN$1006:AR1006),$AN$1006:$BO$1006,0)), HYPERLINK("#",""), HYPERLINK(CONCATENATE("#Metadata!", ADDRESS(INDEX($AI$2:$AI$1001,MATCH(ROWS($AG$2:AG28),$AG$2:$AG$1001,0),0), INDEX($AN$1004:$BO$1004,1,MATCH(COLUMNS($AN$1006:AR1006),$AN$1006:$BO$1006,0)))),"Fix")))</f>
        <v>0</v>
      </c>
      <c r="G28" s="4">
        <f>IF(OR(INDEX($AH$2:$AH$1001,MATCH(ROWS($AG$2:AG28),$AG$2:$AG$1001,0),1)&gt;=100000,INDEX($AN$1005:$BO$1005,1,MATCH(COLUMNS($AN$1006:AS1006),$AN$1006:$BO$1006,0))&gt;=100000), " ",IF(INDEX($AN$2:$BO$1001,MATCH(ROWS($AG$2:AG28),$AG$2:$AG$1001,0),MATCH(COLUMNS($AN$1006:AS1006),$AN$1006:$BO$1006,0)), HYPERLINK("#",""), HYPERLINK(CONCATENATE("#Metadata!", ADDRESS(INDEX($AI$2:$AI$1001,MATCH(ROWS($AG$2:AG28),$AG$2:$AG$1001,0),0), INDEX($AN$1004:$BO$1004,1,MATCH(COLUMNS($AN$1006:AS1006),$AN$1006:$BO$1006,0)))),"Fix")))</f>
        <v>0</v>
      </c>
      <c r="H28" s="4">
        <f>IF(OR(INDEX($AH$2:$AH$1001,MATCH(ROWS($AG$2:AG28),$AG$2:$AG$1001,0),1)&gt;=100000,INDEX($AN$1005:$BO$1005,1,MATCH(COLUMNS($AN$1006:AT1006),$AN$1006:$BO$1006,0))&gt;=100000), " ",IF(INDEX($AN$2:$BO$1001,MATCH(ROWS($AG$2:AG28),$AG$2:$AG$1001,0),MATCH(COLUMNS($AN$1006:AT1006),$AN$1006:$BO$1006,0)), HYPERLINK("#",""), HYPERLINK(CONCATENATE("#Metadata!", ADDRESS(INDEX($AI$2:$AI$1001,MATCH(ROWS($AG$2:AG28),$AG$2:$AG$1001,0),0), INDEX($AN$1004:$BO$1004,1,MATCH(COLUMNS($AN$1006:AT1006),$AN$1006:$BO$1006,0)))),"Fix")))</f>
        <v>0</v>
      </c>
      <c r="I28" s="4">
        <f>IF(OR(INDEX($AH$2:$AH$1001,MATCH(ROWS($AG$2:AG28),$AG$2:$AG$1001,0),1)&gt;=100000,INDEX($AN$1005:$BO$1005,1,MATCH(COLUMNS($AN$1006:AU1006),$AN$1006:$BO$1006,0))&gt;=100000), " ",IF(INDEX($AN$2:$BO$1001,MATCH(ROWS($AG$2:AG28),$AG$2:$AG$1001,0),MATCH(COLUMNS($AN$1006:AU1006),$AN$1006:$BO$1006,0)), HYPERLINK("#",""), HYPERLINK(CONCATENATE("#Metadata!", ADDRESS(INDEX($AI$2:$AI$1001,MATCH(ROWS($AG$2:AG28),$AG$2:$AG$1001,0),0), INDEX($AN$1004:$BO$1004,1,MATCH(COLUMNS($AN$1006:AU1006),$AN$1006:$BO$1006,0)))),"Fix")))</f>
        <v>0</v>
      </c>
      <c r="J28" s="4">
        <f>IF(OR(INDEX($AH$2:$AH$1001,MATCH(ROWS($AG$2:AG28),$AG$2:$AG$1001,0),1)&gt;=100000,INDEX($AN$1005:$BO$1005,1,MATCH(COLUMNS($AN$1006:AV1006),$AN$1006:$BO$1006,0))&gt;=100000), " ",IF(INDEX($AN$2:$BO$1001,MATCH(ROWS($AG$2:AG28),$AG$2:$AG$1001,0),MATCH(COLUMNS($AN$1006:AV1006),$AN$1006:$BO$1006,0)), HYPERLINK("#",""), HYPERLINK(CONCATENATE("#Metadata!", ADDRESS(INDEX($AI$2:$AI$1001,MATCH(ROWS($AG$2:AG28),$AG$2:$AG$1001,0),0), INDEX($AN$1004:$BO$1004,1,MATCH(COLUMNS($AN$1006:AV1006),$AN$1006:$BO$1006,0)))),"Fix")))</f>
        <v>0</v>
      </c>
      <c r="K28" s="4">
        <f>IF(OR(INDEX($AH$2:$AH$1001,MATCH(ROWS($AG$2:AG28),$AG$2:$AG$1001,0),1)&gt;=100000,INDEX($AN$1005:$BO$1005,1,MATCH(COLUMNS($AN$1006:AW1006),$AN$1006:$BO$1006,0))&gt;=100000), " ",IF(INDEX($AN$2:$BO$1001,MATCH(ROWS($AG$2:AG28),$AG$2:$AG$1001,0),MATCH(COLUMNS($AN$1006:AW1006),$AN$1006:$BO$1006,0)), HYPERLINK("#",""), HYPERLINK(CONCATENATE("#Metadata!", ADDRESS(INDEX($AI$2:$AI$1001,MATCH(ROWS($AG$2:AG28),$AG$2:$AG$1001,0),0), INDEX($AN$1004:$BO$1004,1,MATCH(COLUMNS($AN$1006:AW1006),$AN$1006:$BO$1006,0)))),"Fix")))</f>
        <v>0</v>
      </c>
      <c r="L28" s="4">
        <f>IF(OR(INDEX($AH$2:$AH$1001,MATCH(ROWS($AG$2:AG28),$AG$2:$AG$1001,0),1)&gt;=100000,INDEX($AN$1005:$BO$1005,1,MATCH(COLUMNS($AN$1006:AX1006),$AN$1006:$BO$1006,0))&gt;=100000), " ",IF(INDEX($AN$2:$BO$1001,MATCH(ROWS($AG$2:AG28),$AG$2:$AG$1001,0),MATCH(COLUMNS($AN$1006:AX1006),$AN$1006:$BO$1006,0)), HYPERLINK("#",""), HYPERLINK(CONCATENATE("#Metadata!", ADDRESS(INDEX($AI$2:$AI$1001,MATCH(ROWS($AG$2:AG28),$AG$2:$AG$1001,0),0), INDEX($AN$1004:$BO$1004,1,MATCH(COLUMNS($AN$1006:AX1006),$AN$1006:$BO$1006,0)))),"Fix")))</f>
        <v>0</v>
      </c>
      <c r="M28" s="4">
        <f>IF(OR(INDEX($AH$2:$AH$1001,MATCH(ROWS($AG$2:AG28),$AG$2:$AG$1001,0),1)&gt;=100000,INDEX($AN$1005:$BO$1005,1,MATCH(COLUMNS($AN$1006:AY1006),$AN$1006:$BO$1006,0))&gt;=100000), " ",IF(INDEX($AN$2:$BO$1001,MATCH(ROWS($AG$2:AG28),$AG$2:$AG$1001,0),MATCH(COLUMNS($AN$1006:AY1006),$AN$1006:$BO$1006,0)), HYPERLINK("#",""), HYPERLINK(CONCATENATE("#Metadata!", ADDRESS(INDEX($AI$2:$AI$1001,MATCH(ROWS($AG$2:AG28),$AG$2:$AG$1001,0),0), INDEX($AN$1004:$BO$1004,1,MATCH(COLUMNS($AN$1006:AY1006),$AN$1006:$BO$1006,0)))),"Fix")))</f>
        <v>0</v>
      </c>
      <c r="N28" s="4">
        <f>IF(OR(INDEX($AH$2:$AH$1001,MATCH(ROWS($AG$2:AG28),$AG$2:$AG$1001,0),1)&gt;=100000,INDEX($AN$1005:$BO$1005,1,MATCH(COLUMNS($AN$1006:AZ1006),$AN$1006:$BO$1006,0))&gt;=100000), " ",IF(INDEX($AN$2:$BO$1001,MATCH(ROWS($AG$2:AG28),$AG$2:$AG$1001,0),MATCH(COLUMNS($AN$1006:AZ1006),$AN$1006:$BO$1006,0)), HYPERLINK("#",""), HYPERLINK(CONCATENATE("#Metadata!", ADDRESS(INDEX($AI$2:$AI$1001,MATCH(ROWS($AG$2:AG28),$AG$2:$AG$1001,0),0), INDEX($AN$1004:$BO$1004,1,MATCH(COLUMNS($AN$1006:AZ1006),$AN$1006:$BO$1006,0)))),"Fix")))</f>
        <v>0</v>
      </c>
      <c r="O28" s="4">
        <f>IF(OR(INDEX($AH$2:$AH$1001,MATCH(ROWS($AG$2:AG28),$AG$2:$AG$1001,0),1)&gt;=100000,INDEX($AN$1005:$BO$1005,1,MATCH(COLUMNS($AN$1006:BA1006),$AN$1006:$BO$1006,0))&gt;=100000), " ",IF(INDEX($AN$2:$BO$1001,MATCH(ROWS($AG$2:AG28),$AG$2:$AG$1001,0),MATCH(COLUMNS($AN$1006:BA1006),$AN$1006:$BO$1006,0)), HYPERLINK("#",""), HYPERLINK(CONCATENATE("#Metadata!", ADDRESS(INDEX($AI$2:$AI$1001,MATCH(ROWS($AG$2:AG28),$AG$2:$AG$1001,0),0), INDEX($AN$1004:$BO$1004,1,MATCH(COLUMNS($AN$1006:BA1006),$AN$1006:$BO$1006,0)))),"Fix")))</f>
        <v>0</v>
      </c>
      <c r="P28" s="4">
        <f>IF(OR(INDEX($AH$2:$AH$1001,MATCH(ROWS($AG$2:AG28),$AG$2:$AG$1001,0),1)&gt;=100000,INDEX($AN$1005:$BO$1005,1,MATCH(COLUMNS($AN$1006:BB1006),$AN$1006:$BO$1006,0))&gt;=100000), " ",IF(INDEX($AN$2:$BO$1001,MATCH(ROWS($AG$2:AG28),$AG$2:$AG$1001,0),MATCH(COLUMNS($AN$1006:BB1006),$AN$1006:$BO$1006,0)), HYPERLINK("#",""), HYPERLINK(CONCATENATE("#Metadata!", ADDRESS(INDEX($AI$2:$AI$1001,MATCH(ROWS($AG$2:AG28),$AG$2:$AG$1001,0),0), INDEX($AN$1004:$BO$1004,1,MATCH(COLUMNS($AN$1006:BB1006),$AN$1006:$BO$1006,0)))),"Fix")))</f>
        <v>0</v>
      </c>
      <c r="Q28" s="4">
        <f>IF(OR(INDEX($AH$2:$AH$1001,MATCH(ROWS($AG$2:AG28),$AG$2:$AG$1001,0),1)&gt;=100000,INDEX($AN$1005:$BO$1005,1,MATCH(COLUMNS($AN$1006:BC1006),$AN$1006:$BO$1006,0))&gt;=100000), " ",IF(INDEX($AN$2:$BO$1001,MATCH(ROWS($AG$2:AG28),$AG$2:$AG$1001,0),MATCH(COLUMNS($AN$1006:BC1006),$AN$1006:$BO$1006,0)), HYPERLINK("#",""), HYPERLINK(CONCATENATE("#Metadata!", ADDRESS(INDEX($AI$2:$AI$1001,MATCH(ROWS($AG$2:AG28),$AG$2:$AG$1001,0),0), INDEX($AN$1004:$BO$1004,1,MATCH(COLUMNS($AN$1006:BC1006),$AN$1006:$BO$1006,0)))),"Fix")))</f>
        <v>0</v>
      </c>
      <c r="R28" s="4">
        <f>IF(OR(INDEX($AH$2:$AH$1001,MATCH(ROWS($AG$2:AG28),$AG$2:$AG$1001,0),1)&gt;=100000,INDEX($AN$1005:$BO$1005,1,MATCH(COLUMNS($AN$1006:BD1006),$AN$1006:$BO$1006,0))&gt;=100000), " ",IF(INDEX($AN$2:$BO$1001,MATCH(ROWS($AG$2:AG28),$AG$2:$AG$1001,0),MATCH(COLUMNS($AN$1006:BD1006),$AN$1006:$BO$1006,0)), HYPERLINK("#",""), HYPERLINK(CONCATENATE("#Metadata!", ADDRESS(INDEX($AI$2:$AI$1001,MATCH(ROWS($AG$2:AG28),$AG$2:$AG$1001,0),0), INDEX($AN$1004:$BO$1004,1,MATCH(COLUMNS($AN$1006:BD1006),$AN$1006:$BO$1006,0)))),"Fix")))</f>
        <v>0</v>
      </c>
      <c r="S28" s="4">
        <f>IF(OR(INDEX($AH$2:$AH$1001,MATCH(ROWS($AG$2:AG28),$AG$2:$AG$1001,0),1)&gt;=100000,INDEX($AN$1005:$BO$1005,1,MATCH(COLUMNS($AN$1006:BE1006),$AN$1006:$BO$1006,0))&gt;=100000), " ",IF(INDEX($AN$2:$BO$1001,MATCH(ROWS($AG$2:AG28),$AG$2:$AG$1001,0),MATCH(COLUMNS($AN$1006:BE1006),$AN$1006:$BO$1006,0)), HYPERLINK("#",""), HYPERLINK(CONCATENATE("#Metadata!", ADDRESS(INDEX($AI$2:$AI$1001,MATCH(ROWS($AG$2:AG28),$AG$2:$AG$1001,0),0), INDEX($AN$1004:$BO$1004,1,MATCH(COLUMNS($AN$1006:BE1006),$AN$1006:$BO$1006,0)))),"Fix")))</f>
        <v>0</v>
      </c>
      <c r="T28" s="4">
        <f>IF(OR(INDEX($AH$2:$AH$1001,MATCH(ROWS($AG$2:AG28),$AG$2:$AG$1001,0),1)&gt;=100000,INDEX($AN$1005:$BO$1005,1,MATCH(COLUMNS($AN$1006:BF1006),$AN$1006:$BO$1006,0))&gt;=100000), " ",IF(INDEX($AN$2:$BO$1001,MATCH(ROWS($AG$2:AG28),$AG$2:$AG$1001,0),MATCH(COLUMNS($AN$1006:BF1006),$AN$1006:$BO$1006,0)), HYPERLINK("#",""), HYPERLINK(CONCATENATE("#Metadata!", ADDRESS(INDEX($AI$2:$AI$1001,MATCH(ROWS($AG$2:AG28),$AG$2:$AG$1001,0),0), INDEX($AN$1004:$BO$1004,1,MATCH(COLUMNS($AN$1006:BF1006),$AN$1006:$BO$1006,0)))),"Fix")))</f>
        <v>0</v>
      </c>
      <c r="U28" s="4">
        <f>IF(OR(INDEX($AH$2:$AH$1001,MATCH(ROWS($AG$2:AG28),$AG$2:$AG$1001,0),1)&gt;=100000,INDEX($AN$1005:$BO$1005,1,MATCH(COLUMNS($AN$1006:BG1006),$AN$1006:$BO$1006,0))&gt;=100000), " ",IF(INDEX($AN$2:$BO$1001,MATCH(ROWS($AG$2:AG28),$AG$2:$AG$1001,0),MATCH(COLUMNS($AN$1006:BG1006),$AN$1006:$BO$1006,0)), HYPERLINK("#",""), HYPERLINK(CONCATENATE("#Metadata!", ADDRESS(INDEX($AI$2:$AI$1001,MATCH(ROWS($AG$2:AG28),$AG$2:$AG$1001,0),0), INDEX($AN$1004:$BO$1004,1,MATCH(COLUMNS($AN$1006:BG1006),$AN$1006:$BO$1006,0)))),"Fix")))</f>
        <v>0</v>
      </c>
      <c r="V28" s="4">
        <f>IF(OR(INDEX($AH$2:$AH$1001,MATCH(ROWS($AG$2:AG28),$AG$2:$AG$1001,0),1)&gt;=100000,INDEX($AN$1005:$BO$1005,1,MATCH(COLUMNS($AN$1006:BH1006),$AN$1006:$BO$1006,0))&gt;=100000), " ",IF(INDEX($AN$2:$BO$1001,MATCH(ROWS($AG$2:AG28),$AG$2:$AG$1001,0),MATCH(COLUMNS($AN$1006:BH1006),$AN$1006:$BO$1006,0)), HYPERLINK("#",""), HYPERLINK(CONCATENATE("#Metadata!", ADDRESS(INDEX($AI$2:$AI$1001,MATCH(ROWS($AG$2:AG28),$AG$2:$AG$1001,0),0), INDEX($AN$1004:$BO$1004,1,MATCH(COLUMNS($AN$1006:BH1006),$AN$1006:$BO$1006,0)))),"Fix")))</f>
        <v>0</v>
      </c>
      <c r="W28" s="4">
        <f>IF(OR(INDEX($AH$2:$AH$1001,MATCH(ROWS($AG$2:AG28),$AG$2:$AG$1001,0),1)&gt;=100000,INDEX($AN$1005:$BO$1005,1,MATCH(COLUMNS($AN$1006:BI1006),$AN$1006:$BO$1006,0))&gt;=100000), " ",IF(INDEX($AN$2:$BO$1001,MATCH(ROWS($AG$2:AG28),$AG$2:$AG$1001,0),MATCH(COLUMNS($AN$1006:BI1006),$AN$1006:$BO$1006,0)), HYPERLINK("#",""), HYPERLINK(CONCATENATE("#Metadata!", ADDRESS(INDEX($AI$2:$AI$1001,MATCH(ROWS($AG$2:AG28),$AG$2:$AG$1001,0),0), INDEX($AN$1004:$BO$1004,1,MATCH(COLUMNS($AN$1006:BI1006),$AN$1006:$BO$1006,0)))),"Fix")))</f>
        <v>0</v>
      </c>
      <c r="X28" s="4">
        <f>IF(OR(INDEX($AH$2:$AH$1001,MATCH(ROWS($AG$2:AG28),$AG$2:$AG$1001,0),1)&gt;=100000,INDEX($AN$1005:$BO$1005,1,MATCH(COLUMNS($AN$1006:BJ1006),$AN$1006:$BO$1006,0))&gt;=100000), " ",IF(INDEX($AN$2:$BO$1001,MATCH(ROWS($AG$2:AG28),$AG$2:$AG$1001,0),MATCH(COLUMNS($AN$1006:BJ1006),$AN$1006:$BO$1006,0)), HYPERLINK("#",""), HYPERLINK(CONCATENATE("#Metadata!", ADDRESS(INDEX($AI$2:$AI$1001,MATCH(ROWS($AG$2:AG28),$AG$2:$AG$1001,0),0), INDEX($AN$1004:$BO$1004,1,MATCH(COLUMNS($AN$1006:BJ1006),$AN$1006:$BO$1006,0)))),"Fix")))</f>
        <v>0</v>
      </c>
      <c r="Y28" s="4">
        <f>IF(OR(INDEX($AH$2:$AH$1001,MATCH(ROWS($AG$2:AG28),$AG$2:$AG$1001,0),1)&gt;=100000,INDEX($AN$1005:$BO$1005,1,MATCH(COLUMNS($AN$1006:BK1006),$AN$1006:$BO$1006,0))&gt;=100000), " ",IF(INDEX($AN$2:$BO$1001,MATCH(ROWS($AG$2:AG28),$AG$2:$AG$1001,0),MATCH(COLUMNS($AN$1006:BK1006),$AN$1006:$BO$1006,0)), HYPERLINK("#",""), HYPERLINK(CONCATENATE("#Metadata!", ADDRESS(INDEX($AI$2:$AI$1001,MATCH(ROWS($AG$2:AG28),$AG$2:$AG$1001,0),0), INDEX($AN$1004:$BO$1004,1,MATCH(COLUMNS($AN$1006:BK1006),$AN$1006:$BO$1006,0)))),"Fix")))</f>
        <v>0</v>
      </c>
      <c r="Z28" s="4">
        <f>IF(OR(INDEX($AH$2:$AH$1001,MATCH(ROWS($AG$2:AG28),$AG$2:$AG$1001,0),1)&gt;=100000,INDEX($AN$1005:$BO$1005,1,MATCH(COLUMNS($AN$1006:BL1006),$AN$1006:$BO$1006,0))&gt;=100000), " ",IF(INDEX($AN$2:$BO$1001,MATCH(ROWS($AG$2:AG28),$AG$2:$AG$1001,0),MATCH(COLUMNS($AN$1006:BL1006),$AN$1006:$BO$1006,0)), HYPERLINK("#",""), HYPERLINK(CONCATENATE("#Metadata!", ADDRESS(INDEX($AI$2:$AI$1001,MATCH(ROWS($AG$2:AG28),$AG$2:$AG$1001,0),0), INDEX($AN$1004:$BO$1004,1,MATCH(COLUMNS($AN$1006:BL1006),$AN$1006:$BO$1006,0)))),"Fix")))</f>
        <v>0</v>
      </c>
      <c r="AA28" s="4">
        <f>IF(OR(INDEX($AH$2:$AH$1001,MATCH(ROWS($AG$2:AG28),$AG$2:$AG$1001,0),1)&gt;=100000,INDEX($AN$1005:$BO$1005,1,MATCH(COLUMNS($AN$1006:BM1006),$AN$1006:$BO$1006,0))&gt;=100000), " ",IF(INDEX($AN$2:$BO$1001,MATCH(ROWS($AG$2:AG28),$AG$2:$AG$1001,0),MATCH(COLUMNS($AN$1006:BM1006),$AN$1006:$BO$1006,0)), HYPERLINK("#",""), HYPERLINK(CONCATENATE("#Metadata!", ADDRESS(INDEX($AI$2:$AI$1001,MATCH(ROWS($AG$2:AG28),$AG$2:$AG$1001,0),0), INDEX($AN$1004:$BO$1004,1,MATCH(COLUMNS($AN$1006:BM1006),$AN$1006:$BO$1006,0)))),"Fix")))</f>
        <v>0</v>
      </c>
      <c r="AB28" s="4">
        <f>IF(OR(INDEX($AH$2:$AH$1001,MATCH(ROWS($AG$2:AG28),$AG$2:$AG$1001,0),1)&gt;=100000,INDEX($AN$1005:$BO$1005,1,MATCH(COLUMNS($AN$1006:BN1006),$AN$1006:$BO$1006,0))&gt;=100000), " ",IF(INDEX($AN$2:$BO$1001,MATCH(ROWS($AG$2:AG28),$AG$2:$AG$1001,0),MATCH(COLUMNS($AN$1006:BN1006),$AN$1006:$BO$1006,0)), HYPERLINK("#",""), HYPERLINK(CONCATENATE("#Metadata!", ADDRESS(INDEX($AI$2:$AI$1001,MATCH(ROWS($AG$2:AG28),$AG$2:$AG$1001,0),0), INDEX($AN$1004:$BO$1004,1,MATCH(COLUMNS($AN$1006:BN1006),$AN$1006:$BO$1006,0)))),"Fix")))</f>
        <v>0</v>
      </c>
      <c r="AC28" s="4">
        <f>IF(OR(INDEX($AH$2:$AH$1001,MATCH(ROWS($AG$2:AG28),$AG$2:$AG$1001,0),1)&gt;=100000,INDEX($AN$1005:$BO$1005,1,MATCH(COLUMNS($AN$1006:BO1006),$AN$1006:$BO$1006,0))&gt;=100000), " ",IF(INDEX($AN$2:$BO$1001,MATCH(ROWS($AG$2:AG28),$AG$2:$AG$1001,0),MATCH(COLUMNS($AN$1006:BO1006),$AN$1006:$BO$1006,0)), HYPERLINK("#",""), HYPERLINK(CONCATENATE("#Metadata!", ADDRESS(INDEX($AI$2:$AI$1001,MATCH(ROWS($AG$2:AG28),$AG$2:$AG$1001,0),0), INDEX($AN$1004:$BO$1004,1,MATCH(COLUMNS($AN$1006:BO1006),$AN$1006:$BO$1006,0)))),"Fix")))</f>
        <v>0</v>
      </c>
      <c r="AG28">
        <v>0</v>
      </c>
      <c r="AH28">
        <v>0</v>
      </c>
      <c r="AI28">
        <v>0</v>
      </c>
      <c r="AJ28">
        <f>IF(AK28,TRUE,AND(AN28:BO28))</f>
        <v>0</v>
      </c>
      <c r="AK28">
        <f>COUNTBLANK(Metadata!B28:AC28)=COLUMNS(Metadata!B28:AC28)</f>
        <v>0</v>
      </c>
      <c r="AL28">
        <v>0</v>
      </c>
      <c r="AN28">
        <f>AND(IF(Metadata!B28="",FALSE,TRUE),COUNTIF(Metadata!B:B, Metadata!B28) = 1,NOT(ISERROR(SUMPRODUCT(SEARCH(MID(Metadata!B28,ROW(INDIRECT("1:"&amp;LEN(Metadata!B28))), 1),"0123456789abcdefghijklmnopqrstuvwxyzABCDEFGHIJKLMNOPQRSTUVWXYZ.")))))</f>
        <v>0</v>
      </c>
      <c r="AO28">
        <f>IF(Metadata!C28="",FALSE,TRUE)</f>
        <v>0</v>
      </c>
      <c r="AP28">
        <f>IF(Metadata!D28="",FALSE,TRUE)</f>
        <v>0</v>
      </c>
      <c r="AQ28">
        <f>OR(AND(IF(Metadata!E28="",FALSE,TRUE),OR(exact(Metadata!E28,"not collected"),exact(Metadata!E28,"not provided"),exact(Metadata!E28,"restricted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R28">
        <f>IF(Metadata!F28="",FALSE,TRUE)</f>
        <v>0</v>
      </c>
      <c r="AS28">
        <f>OR(AND(IF(Metadata!G28="",FALSE,TRUE),OR(exact(Metadata!G28,"not collected"),exact(Metadata!G28,"not provided"))),AND(IF(Metadata!G28="",FALSE,TRUE),OR(exact(Metadata!G28,"TRUE"),exact(Metadata!G28,"FALSE"))))</f>
        <v>0</v>
      </c>
      <c r="AT28">
        <f>OR(AND(IF(Metadata!H28="",FALSE,TRUE),OR(exact(Metadata!H28,"not collected"),exact(Metadata!H28,"not provided"),exact(Metadata!H28,"restricted access"))),AND(IF(Metadata!H28="",FALSE,ISNUMBER(VALUE(Metadata!H28))),Metadata!H28&gt;=-413.0))</f>
        <v>0</v>
      </c>
      <c r="AU28">
        <f>AND(IF(Metadata!I28="",FALSE,TRUE),exact(Metadata!I28,"meters"))</f>
        <v>0</v>
      </c>
      <c r="AV28">
        <f>AND(IF(Metadata!J28="",FALSE,TRUE),OR(exact(Metadata!J28,"Host-associated"),exact(Metadata!J28,"Free-living")))</f>
        <v>0</v>
      </c>
      <c r="AW28">
        <f>AND(IF(Metadata!K28="",FALSE,TRUE),OR(exact(Metadata!K28,"Animal"),exact(Metadata!K28,"Fungus"),exact(Metadata!K28,"Plant"),exact(Metadata!K28,"Saline"),exact(Metadata!K28,"Non-saline")))</f>
        <v>0</v>
      </c>
      <c r="AX28">
        <f>AND(IF(Metadata!L28="",FALSE,TRUE),OR(exact(Metadata!L28,"Plant secretion"),exact(Metadata!L28,"Plant rhizosphere"),exact(Metadata!L28,"Plant surface"),exact(Metadata!L28,"Plant corpus"),exact(Metadata!L28,"Fungus surface"),exact(Metadata!L28,"Fungus corpus"),exact(Metadata!L28,"Animal surface"),exact(Metadata!L28,"Animal proximal gut"),exact(Metadata!L28,"Animal corpus"),exact(Metadata!L28,"Animal distal gut"),exact(Metadata!L28,"Animal secretion"),exact(Metadata!L28,"Sub-surface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0</v>
      </c>
      <c r="AY28">
        <f>IF(Metadata!M28="",FALSE,TRUE)</f>
        <v>0</v>
      </c>
      <c r="AZ28">
        <f>IF(Metadata!N28="",FALSE,TRUE)</f>
        <v>0</v>
      </c>
      <c r="BA28">
        <f>IF(Metadata!O28="",FALSE,TRUE)</f>
        <v>0</v>
      </c>
      <c r="BB28">
        <f>OR(AND(IF(Metadata!P28="",FALSE,TRUE),OR(exact(Metadata!P28,"not collected"),exact(Metadata!P28,"not provided"),exact(Metadata!P28,"restricted access"))),AND(IF(Metadata!P28="",FALSE,TRUE),OR(exact(Metadata!P28,"air"),exact(Metadata!P28,"built environment"),exact(Metadata!P28,"host-associated"),exact(Metadata!P28,"human-associated"),exact(Metadata!P28,"human-skin"),exact(Metadata!P28,"human-oral"),exact(Metadata!P28,"human-gut"),exact(Metadata!P28,"human-vaginal"),exact(Metadata!P28,"microbial mat/biofilm"),exact(Metadata!P28,"misc environment"),exact(Metadata!P28,"plant-associated"),exact(Metadata!P28,"sediment"),exact(Metadata!P28,"soil"),exact(Metadata!P28,"wastewater/sludge"),exact(Metadata!P28,"water"))))</f>
        <v>0</v>
      </c>
      <c r="BC28">
        <f>IF(Metadata!Q28="",FALSE,TRUE)</f>
        <v>0</v>
      </c>
      <c r="BD28">
        <f>IF(Metadata!R28="",FALSE,TRUE)</f>
        <v>0</v>
      </c>
      <c r="BE28">
        <f>OR(AND(IF(Metadata!S28="",FALSE,TRUE),OR(exact(Metadata!S28,"not collected"),exact(Metadata!S28,"not provided"),exact(Metadata!S28,"restricted access"))),AND(IF(Metadata!S28="",FALSE,ISNUMBER(VALUE(Metadata!S28))),Metadata!S28&gt;=-90.00,Metadata!S28&lt;=90.00))</f>
        <v>0</v>
      </c>
      <c r="BF28">
        <f>AND(IF(Metadata!T28="",FALSE,TRUE),exact(Metadata!T28,"Decimal degrees"))</f>
        <v>0</v>
      </c>
      <c r="BG28">
        <f>OR(AND(IF(Metadata!U28="",FALSE,TRUE),OR(exact(Metadata!U28,"not collected"),exact(Metadata!U28,"not provided"),exact(Metadata!U28,"restricted access"))),AND(IF(Metadata!U28="",FALSE,ISNUMBER(VALUE(Metadata!U28))),Metadata!U28&gt;=-180.00,Metadata!U28&lt;=180.00))</f>
        <v>0</v>
      </c>
      <c r="BH28">
        <f>AND(IF(Metadata!V28="",FALSE,TRUE),exact(Metadata!V28,"Decimal degrees"))</f>
        <v>0</v>
      </c>
      <c r="BI28">
        <f>IF(Metadata!W28="",FALSE,TRUE)</f>
        <v>0</v>
      </c>
      <c r="BJ28">
        <f>OR(AND(IF(Metadata!X28="",FALSE,TRUE),OR(exact(Metadata!X28,"not collected"),exact(Metadata!X28,"not provided"),exact(Metadata!X28,"restricted access"))),AND(IF(Metadata!X28="",FALSE,TRUE),OR(exact(Metadata!X28,"TRUE"),exact(Metadata!X28,"FALSE"))))</f>
        <v>0</v>
      </c>
      <c r="BK28">
        <f>AND(IF(Metadata!Y28="",FALSE,TRUE),exact(Metadata!Y28,"other"))</f>
        <v>0</v>
      </c>
      <c r="BL28">
        <f>IF(Metadata!Z28="",FALSE,TRUE)</f>
        <v>0</v>
      </c>
      <c r="BM28">
        <f>OR(AND(IF(Metadata!AA28="",FALSE,TRUE),OR(exact(Metadata!AA28,"not collected"),exact(Metadata!AA28,"not provided"))),AND(IF(Metadata!AA28="",FALSE,IF(ISERROR(INT(Metadata!AA28)),FALSE,INT(Metadata!AA28)=Metadata!AA28)),Metadata!AA28&gt;0))</f>
        <v>0</v>
      </c>
      <c r="BN28">
        <f>AND(IF(Metadata!AB28="",FALSE,TRUE),exact(Metadata!AB28,"Not applicable"))</f>
        <v>0</v>
      </c>
      <c r="BO28">
        <f>IF(Metadata!AC28="",FALSE,TRUE)</f>
        <v>0</v>
      </c>
    </row>
    <row r="29" spans="1:67">
      <c r="A29" s="5">
        <f>IF(B29=" "," ",HYPERLINK(CONCATENATE("#metadata!",ADDRESS(INDEX($AI$2:$AI$1001,MATCH(ROWS($AG$2:AG29),$AG$2:$AG$1001,0),0),1)),INDEX($AL$2:$AL$1001,MATCH(ROWS($AG$2:AG29),$AG$2:$AG$1001,0),0)))</f>
        <v>0</v>
      </c>
      <c r="B29" s="4">
        <f>IF(OR(INDEX($AH$2:$AH$1001,MATCH(ROWS($AG$2:AG29),$AG$2:$AG$1001,0),1)&gt;=100000,INDEX($AN$1005:$BO$1005,1,MATCH(COLUMNS($AN$1006:AN1006),$AN$1006:$BO$1006,0))&gt;=100000), " ",IF(INDEX($AN$2:$BO$1001,MATCH(ROWS($AG$2:AG29),$AG$2:$AG$1001,0),MATCH(COLUMNS($AN$1006:AN1006),$AN$1006:$BO$1006,0)), HYPERLINK("#",""), HYPERLINK(CONCATENATE("#Metadata!", ADDRESS(INDEX($AI$2:$AI$1001,MATCH(ROWS($AG$2:AG29),$AG$2:$AG$1001,0),0), INDEX($AN$1004:$BO$1004,1,MATCH(COLUMNS($AN$1006:AN1006),$AN$1006:$BO$1006,0)))),"Fix")))</f>
        <v>0</v>
      </c>
      <c r="C29" s="4">
        <f>IF(OR(INDEX($AH$2:$AH$1001,MATCH(ROWS($AG$2:AG29),$AG$2:$AG$1001,0),1)&gt;=100000,INDEX($AN$1005:$BO$1005,1,MATCH(COLUMNS($AN$1006:AO1006),$AN$1006:$BO$1006,0))&gt;=100000), " ",IF(INDEX($AN$2:$BO$1001,MATCH(ROWS($AG$2:AG29),$AG$2:$AG$1001,0),MATCH(COLUMNS($AN$1006:AO1006),$AN$1006:$BO$1006,0)), HYPERLINK("#",""), HYPERLINK(CONCATENATE("#Metadata!", ADDRESS(INDEX($AI$2:$AI$1001,MATCH(ROWS($AG$2:AG29),$AG$2:$AG$1001,0),0), INDEX($AN$1004:$BO$1004,1,MATCH(COLUMNS($AN$1006:AO1006),$AN$1006:$BO$1006,0)))),"Fix")))</f>
        <v>0</v>
      </c>
      <c r="D29" s="4">
        <f>IF(OR(INDEX($AH$2:$AH$1001,MATCH(ROWS($AG$2:AG29),$AG$2:$AG$1001,0),1)&gt;=100000,INDEX($AN$1005:$BO$1005,1,MATCH(COLUMNS($AN$1006:AP1006),$AN$1006:$BO$1006,0))&gt;=100000), " ",IF(INDEX($AN$2:$BO$1001,MATCH(ROWS($AG$2:AG29),$AG$2:$AG$1001,0),MATCH(COLUMNS($AN$1006:AP1006),$AN$1006:$BO$1006,0)), HYPERLINK("#",""), HYPERLINK(CONCATENATE("#Metadata!", ADDRESS(INDEX($AI$2:$AI$1001,MATCH(ROWS($AG$2:AG29),$AG$2:$AG$1001,0),0), INDEX($AN$1004:$BO$1004,1,MATCH(COLUMNS($AN$1006:AP1006),$AN$1006:$BO$1006,0)))),"Fix")))</f>
        <v>0</v>
      </c>
      <c r="E29" s="4">
        <f>IF(OR(INDEX($AH$2:$AH$1001,MATCH(ROWS($AG$2:AG29),$AG$2:$AG$1001,0),1)&gt;=100000,INDEX($AN$1005:$BO$1005,1,MATCH(COLUMNS($AN$1006:AQ1006),$AN$1006:$BO$1006,0))&gt;=100000), " ",IF(INDEX($AN$2:$BO$1001,MATCH(ROWS($AG$2:AG29),$AG$2:$AG$1001,0),MATCH(COLUMNS($AN$1006:AQ1006),$AN$1006:$BO$1006,0)), HYPERLINK("#",""), HYPERLINK(CONCATENATE("#Metadata!", ADDRESS(INDEX($AI$2:$AI$1001,MATCH(ROWS($AG$2:AG29),$AG$2:$AG$1001,0),0), INDEX($AN$1004:$BO$1004,1,MATCH(COLUMNS($AN$1006:AQ1006),$AN$1006:$BO$1006,0)))),"Fix")))</f>
        <v>0</v>
      </c>
      <c r="F29" s="4">
        <f>IF(OR(INDEX($AH$2:$AH$1001,MATCH(ROWS($AG$2:AG29),$AG$2:$AG$1001,0),1)&gt;=100000,INDEX($AN$1005:$BO$1005,1,MATCH(COLUMNS($AN$1006:AR1006),$AN$1006:$BO$1006,0))&gt;=100000), " ",IF(INDEX($AN$2:$BO$1001,MATCH(ROWS($AG$2:AG29),$AG$2:$AG$1001,0),MATCH(COLUMNS($AN$1006:AR1006),$AN$1006:$BO$1006,0)), HYPERLINK("#",""), HYPERLINK(CONCATENATE("#Metadata!", ADDRESS(INDEX($AI$2:$AI$1001,MATCH(ROWS($AG$2:AG29),$AG$2:$AG$1001,0),0), INDEX($AN$1004:$BO$1004,1,MATCH(COLUMNS($AN$1006:AR1006),$AN$1006:$BO$1006,0)))),"Fix")))</f>
        <v>0</v>
      </c>
      <c r="G29" s="4">
        <f>IF(OR(INDEX($AH$2:$AH$1001,MATCH(ROWS($AG$2:AG29),$AG$2:$AG$1001,0),1)&gt;=100000,INDEX($AN$1005:$BO$1005,1,MATCH(COLUMNS($AN$1006:AS1006),$AN$1006:$BO$1006,0))&gt;=100000), " ",IF(INDEX($AN$2:$BO$1001,MATCH(ROWS($AG$2:AG29),$AG$2:$AG$1001,0),MATCH(COLUMNS($AN$1006:AS1006),$AN$1006:$BO$1006,0)), HYPERLINK("#",""), HYPERLINK(CONCATENATE("#Metadata!", ADDRESS(INDEX($AI$2:$AI$1001,MATCH(ROWS($AG$2:AG29),$AG$2:$AG$1001,0),0), INDEX($AN$1004:$BO$1004,1,MATCH(COLUMNS($AN$1006:AS1006),$AN$1006:$BO$1006,0)))),"Fix")))</f>
        <v>0</v>
      </c>
      <c r="H29" s="4">
        <f>IF(OR(INDEX($AH$2:$AH$1001,MATCH(ROWS($AG$2:AG29),$AG$2:$AG$1001,0),1)&gt;=100000,INDEX($AN$1005:$BO$1005,1,MATCH(COLUMNS($AN$1006:AT1006),$AN$1006:$BO$1006,0))&gt;=100000), " ",IF(INDEX($AN$2:$BO$1001,MATCH(ROWS($AG$2:AG29),$AG$2:$AG$1001,0),MATCH(COLUMNS($AN$1006:AT1006),$AN$1006:$BO$1006,0)), HYPERLINK("#",""), HYPERLINK(CONCATENATE("#Metadata!", ADDRESS(INDEX($AI$2:$AI$1001,MATCH(ROWS($AG$2:AG29),$AG$2:$AG$1001,0),0), INDEX($AN$1004:$BO$1004,1,MATCH(COLUMNS($AN$1006:AT1006),$AN$1006:$BO$1006,0)))),"Fix")))</f>
        <v>0</v>
      </c>
      <c r="I29" s="4">
        <f>IF(OR(INDEX($AH$2:$AH$1001,MATCH(ROWS($AG$2:AG29),$AG$2:$AG$1001,0),1)&gt;=100000,INDEX($AN$1005:$BO$1005,1,MATCH(COLUMNS($AN$1006:AU1006),$AN$1006:$BO$1006,0))&gt;=100000), " ",IF(INDEX($AN$2:$BO$1001,MATCH(ROWS($AG$2:AG29),$AG$2:$AG$1001,0),MATCH(COLUMNS($AN$1006:AU1006),$AN$1006:$BO$1006,0)), HYPERLINK("#",""), HYPERLINK(CONCATENATE("#Metadata!", ADDRESS(INDEX($AI$2:$AI$1001,MATCH(ROWS($AG$2:AG29),$AG$2:$AG$1001,0),0), INDEX($AN$1004:$BO$1004,1,MATCH(COLUMNS($AN$1006:AU1006),$AN$1006:$BO$1006,0)))),"Fix")))</f>
        <v>0</v>
      </c>
      <c r="J29" s="4">
        <f>IF(OR(INDEX($AH$2:$AH$1001,MATCH(ROWS($AG$2:AG29),$AG$2:$AG$1001,0),1)&gt;=100000,INDEX($AN$1005:$BO$1005,1,MATCH(COLUMNS($AN$1006:AV1006),$AN$1006:$BO$1006,0))&gt;=100000), " ",IF(INDEX($AN$2:$BO$1001,MATCH(ROWS($AG$2:AG29),$AG$2:$AG$1001,0),MATCH(COLUMNS($AN$1006:AV1006),$AN$1006:$BO$1006,0)), HYPERLINK("#",""), HYPERLINK(CONCATENATE("#Metadata!", ADDRESS(INDEX($AI$2:$AI$1001,MATCH(ROWS($AG$2:AG29),$AG$2:$AG$1001,0),0), INDEX($AN$1004:$BO$1004,1,MATCH(COLUMNS($AN$1006:AV1006),$AN$1006:$BO$1006,0)))),"Fix")))</f>
        <v>0</v>
      </c>
      <c r="K29" s="4">
        <f>IF(OR(INDEX($AH$2:$AH$1001,MATCH(ROWS($AG$2:AG29),$AG$2:$AG$1001,0),1)&gt;=100000,INDEX($AN$1005:$BO$1005,1,MATCH(COLUMNS($AN$1006:AW1006),$AN$1006:$BO$1006,0))&gt;=100000), " ",IF(INDEX($AN$2:$BO$1001,MATCH(ROWS($AG$2:AG29),$AG$2:$AG$1001,0),MATCH(COLUMNS($AN$1006:AW1006),$AN$1006:$BO$1006,0)), HYPERLINK("#",""), HYPERLINK(CONCATENATE("#Metadata!", ADDRESS(INDEX($AI$2:$AI$1001,MATCH(ROWS($AG$2:AG29),$AG$2:$AG$1001,0),0), INDEX($AN$1004:$BO$1004,1,MATCH(COLUMNS($AN$1006:AW1006),$AN$1006:$BO$1006,0)))),"Fix")))</f>
        <v>0</v>
      </c>
      <c r="L29" s="4">
        <f>IF(OR(INDEX($AH$2:$AH$1001,MATCH(ROWS($AG$2:AG29),$AG$2:$AG$1001,0),1)&gt;=100000,INDEX($AN$1005:$BO$1005,1,MATCH(COLUMNS($AN$1006:AX1006),$AN$1006:$BO$1006,0))&gt;=100000), " ",IF(INDEX($AN$2:$BO$1001,MATCH(ROWS($AG$2:AG29),$AG$2:$AG$1001,0),MATCH(COLUMNS($AN$1006:AX1006),$AN$1006:$BO$1006,0)), HYPERLINK("#",""), HYPERLINK(CONCATENATE("#Metadata!", ADDRESS(INDEX($AI$2:$AI$1001,MATCH(ROWS($AG$2:AG29),$AG$2:$AG$1001,0),0), INDEX($AN$1004:$BO$1004,1,MATCH(COLUMNS($AN$1006:AX1006),$AN$1006:$BO$1006,0)))),"Fix")))</f>
        <v>0</v>
      </c>
      <c r="M29" s="4">
        <f>IF(OR(INDEX($AH$2:$AH$1001,MATCH(ROWS($AG$2:AG29),$AG$2:$AG$1001,0),1)&gt;=100000,INDEX($AN$1005:$BO$1005,1,MATCH(COLUMNS($AN$1006:AY1006),$AN$1006:$BO$1006,0))&gt;=100000), " ",IF(INDEX($AN$2:$BO$1001,MATCH(ROWS($AG$2:AG29),$AG$2:$AG$1001,0),MATCH(COLUMNS($AN$1006:AY1006),$AN$1006:$BO$1006,0)), HYPERLINK("#",""), HYPERLINK(CONCATENATE("#Metadata!", ADDRESS(INDEX($AI$2:$AI$1001,MATCH(ROWS($AG$2:AG29),$AG$2:$AG$1001,0),0), INDEX($AN$1004:$BO$1004,1,MATCH(COLUMNS($AN$1006:AY1006),$AN$1006:$BO$1006,0)))),"Fix")))</f>
        <v>0</v>
      </c>
      <c r="N29" s="4">
        <f>IF(OR(INDEX($AH$2:$AH$1001,MATCH(ROWS($AG$2:AG29),$AG$2:$AG$1001,0),1)&gt;=100000,INDEX($AN$1005:$BO$1005,1,MATCH(COLUMNS($AN$1006:AZ1006),$AN$1006:$BO$1006,0))&gt;=100000), " ",IF(INDEX($AN$2:$BO$1001,MATCH(ROWS($AG$2:AG29),$AG$2:$AG$1001,0),MATCH(COLUMNS($AN$1006:AZ1006),$AN$1006:$BO$1006,0)), HYPERLINK("#",""), HYPERLINK(CONCATENATE("#Metadata!", ADDRESS(INDEX($AI$2:$AI$1001,MATCH(ROWS($AG$2:AG29),$AG$2:$AG$1001,0),0), INDEX($AN$1004:$BO$1004,1,MATCH(COLUMNS($AN$1006:AZ1006),$AN$1006:$BO$1006,0)))),"Fix")))</f>
        <v>0</v>
      </c>
      <c r="O29" s="4">
        <f>IF(OR(INDEX($AH$2:$AH$1001,MATCH(ROWS($AG$2:AG29),$AG$2:$AG$1001,0),1)&gt;=100000,INDEX($AN$1005:$BO$1005,1,MATCH(COLUMNS($AN$1006:BA1006),$AN$1006:$BO$1006,0))&gt;=100000), " ",IF(INDEX($AN$2:$BO$1001,MATCH(ROWS($AG$2:AG29),$AG$2:$AG$1001,0),MATCH(COLUMNS($AN$1006:BA1006),$AN$1006:$BO$1006,0)), HYPERLINK("#",""), HYPERLINK(CONCATENATE("#Metadata!", ADDRESS(INDEX($AI$2:$AI$1001,MATCH(ROWS($AG$2:AG29),$AG$2:$AG$1001,0),0), INDEX($AN$1004:$BO$1004,1,MATCH(COLUMNS($AN$1006:BA1006),$AN$1006:$BO$1006,0)))),"Fix")))</f>
        <v>0</v>
      </c>
      <c r="P29" s="4">
        <f>IF(OR(INDEX($AH$2:$AH$1001,MATCH(ROWS($AG$2:AG29),$AG$2:$AG$1001,0),1)&gt;=100000,INDEX($AN$1005:$BO$1005,1,MATCH(COLUMNS($AN$1006:BB1006),$AN$1006:$BO$1006,0))&gt;=100000), " ",IF(INDEX($AN$2:$BO$1001,MATCH(ROWS($AG$2:AG29),$AG$2:$AG$1001,0),MATCH(COLUMNS($AN$1006:BB1006),$AN$1006:$BO$1006,0)), HYPERLINK("#",""), HYPERLINK(CONCATENATE("#Metadata!", ADDRESS(INDEX($AI$2:$AI$1001,MATCH(ROWS($AG$2:AG29),$AG$2:$AG$1001,0),0), INDEX($AN$1004:$BO$1004,1,MATCH(COLUMNS($AN$1006:BB1006),$AN$1006:$BO$1006,0)))),"Fix")))</f>
        <v>0</v>
      </c>
      <c r="Q29" s="4">
        <f>IF(OR(INDEX($AH$2:$AH$1001,MATCH(ROWS($AG$2:AG29),$AG$2:$AG$1001,0),1)&gt;=100000,INDEX($AN$1005:$BO$1005,1,MATCH(COLUMNS($AN$1006:BC1006),$AN$1006:$BO$1006,0))&gt;=100000), " ",IF(INDEX($AN$2:$BO$1001,MATCH(ROWS($AG$2:AG29),$AG$2:$AG$1001,0),MATCH(COLUMNS($AN$1006:BC1006),$AN$1006:$BO$1006,0)), HYPERLINK("#",""), HYPERLINK(CONCATENATE("#Metadata!", ADDRESS(INDEX($AI$2:$AI$1001,MATCH(ROWS($AG$2:AG29),$AG$2:$AG$1001,0),0), INDEX($AN$1004:$BO$1004,1,MATCH(COLUMNS($AN$1006:BC1006),$AN$1006:$BO$1006,0)))),"Fix")))</f>
        <v>0</v>
      </c>
      <c r="R29" s="4">
        <f>IF(OR(INDEX($AH$2:$AH$1001,MATCH(ROWS($AG$2:AG29),$AG$2:$AG$1001,0),1)&gt;=100000,INDEX($AN$1005:$BO$1005,1,MATCH(COLUMNS($AN$1006:BD1006),$AN$1006:$BO$1006,0))&gt;=100000), " ",IF(INDEX($AN$2:$BO$1001,MATCH(ROWS($AG$2:AG29),$AG$2:$AG$1001,0),MATCH(COLUMNS($AN$1006:BD1006),$AN$1006:$BO$1006,0)), HYPERLINK("#",""), HYPERLINK(CONCATENATE("#Metadata!", ADDRESS(INDEX($AI$2:$AI$1001,MATCH(ROWS($AG$2:AG29),$AG$2:$AG$1001,0),0), INDEX($AN$1004:$BO$1004,1,MATCH(COLUMNS($AN$1006:BD1006),$AN$1006:$BO$1006,0)))),"Fix")))</f>
        <v>0</v>
      </c>
      <c r="S29" s="4">
        <f>IF(OR(INDEX($AH$2:$AH$1001,MATCH(ROWS($AG$2:AG29),$AG$2:$AG$1001,0),1)&gt;=100000,INDEX($AN$1005:$BO$1005,1,MATCH(COLUMNS($AN$1006:BE1006),$AN$1006:$BO$1006,0))&gt;=100000), " ",IF(INDEX($AN$2:$BO$1001,MATCH(ROWS($AG$2:AG29),$AG$2:$AG$1001,0),MATCH(COLUMNS($AN$1006:BE1006),$AN$1006:$BO$1006,0)), HYPERLINK("#",""), HYPERLINK(CONCATENATE("#Metadata!", ADDRESS(INDEX($AI$2:$AI$1001,MATCH(ROWS($AG$2:AG29),$AG$2:$AG$1001,0),0), INDEX($AN$1004:$BO$1004,1,MATCH(COLUMNS($AN$1006:BE1006),$AN$1006:$BO$1006,0)))),"Fix")))</f>
        <v>0</v>
      </c>
      <c r="T29" s="4">
        <f>IF(OR(INDEX($AH$2:$AH$1001,MATCH(ROWS($AG$2:AG29),$AG$2:$AG$1001,0),1)&gt;=100000,INDEX($AN$1005:$BO$1005,1,MATCH(COLUMNS($AN$1006:BF1006),$AN$1006:$BO$1006,0))&gt;=100000), " ",IF(INDEX($AN$2:$BO$1001,MATCH(ROWS($AG$2:AG29),$AG$2:$AG$1001,0),MATCH(COLUMNS($AN$1006:BF1006),$AN$1006:$BO$1006,0)), HYPERLINK("#",""), HYPERLINK(CONCATENATE("#Metadata!", ADDRESS(INDEX($AI$2:$AI$1001,MATCH(ROWS($AG$2:AG29),$AG$2:$AG$1001,0),0), INDEX($AN$1004:$BO$1004,1,MATCH(COLUMNS($AN$1006:BF1006),$AN$1006:$BO$1006,0)))),"Fix")))</f>
        <v>0</v>
      </c>
      <c r="U29" s="4">
        <f>IF(OR(INDEX($AH$2:$AH$1001,MATCH(ROWS($AG$2:AG29),$AG$2:$AG$1001,0),1)&gt;=100000,INDEX($AN$1005:$BO$1005,1,MATCH(COLUMNS($AN$1006:BG1006),$AN$1006:$BO$1006,0))&gt;=100000), " ",IF(INDEX($AN$2:$BO$1001,MATCH(ROWS($AG$2:AG29),$AG$2:$AG$1001,0),MATCH(COLUMNS($AN$1006:BG1006),$AN$1006:$BO$1006,0)), HYPERLINK("#",""), HYPERLINK(CONCATENATE("#Metadata!", ADDRESS(INDEX($AI$2:$AI$1001,MATCH(ROWS($AG$2:AG29),$AG$2:$AG$1001,0),0), INDEX($AN$1004:$BO$1004,1,MATCH(COLUMNS($AN$1006:BG1006),$AN$1006:$BO$1006,0)))),"Fix")))</f>
        <v>0</v>
      </c>
      <c r="V29" s="4">
        <f>IF(OR(INDEX($AH$2:$AH$1001,MATCH(ROWS($AG$2:AG29),$AG$2:$AG$1001,0),1)&gt;=100000,INDEX($AN$1005:$BO$1005,1,MATCH(COLUMNS($AN$1006:BH1006),$AN$1006:$BO$1006,0))&gt;=100000), " ",IF(INDEX($AN$2:$BO$1001,MATCH(ROWS($AG$2:AG29),$AG$2:$AG$1001,0),MATCH(COLUMNS($AN$1006:BH1006),$AN$1006:$BO$1006,0)), HYPERLINK("#",""), HYPERLINK(CONCATENATE("#Metadata!", ADDRESS(INDEX($AI$2:$AI$1001,MATCH(ROWS($AG$2:AG29),$AG$2:$AG$1001,0),0), INDEX($AN$1004:$BO$1004,1,MATCH(COLUMNS($AN$1006:BH1006),$AN$1006:$BO$1006,0)))),"Fix")))</f>
        <v>0</v>
      </c>
      <c r="W29" s="4">
        <f>IF(OR(INDEX($AH$2:$AH$1001,MATCH(ROWS($AG$2:AG29),$AG$2:$AG$1001,0),1)&gt;=100000,INDEX($AN$1005:$BO$1005,1,MATCH(COLUMNS($AN$1006:BI1006),$AN$1006:$BO$1006,0))&gt;=100000), " ",IF(INDEX($AN$2:$BO$1001,MATCH(ROWS($AG$2:AG29),$AG$2:$AG$1001,0),MATCH(COLUMNS($AN$1006:BI1006),$AN$1006:$BO$1006,0)), HYPERLINK("#",""), HYPERLINK(CONCATENATE("#Metadata!", ADDRESS(INDEX($AI$2:$AI$1001,MATCH(ROWS($AG$2:AG29),$AG$2:$AG$1001,0),0), INDEX($AN$1004:$BO$1004,1,MATCH(COLUMNS($AN$1006:BI1006),$AN$1006:$BO$1006,0)))),"Fix")))</f>
        <v>0</v>
      </c>
      <c r="X29" s="4">
        <f>IF(OR(INDEX($AH$2:$AH$1001,MATCH(ROWS($AG$2:AG29),$AG$2:$AG$1001,0),1)&gt;=100000,INDEX($AN$1005:$BO$1005,1,MATCH(COLUMNS($AN$1006:BJ1006),$AN$1006:$BO$1006,0))&gt;=100000), " ",IF(INDEX($AN$2:$BO$1001,MATCH(ROWS($AG$2:AG29),$AG$2:$AG$1001,0),MATCH(COLUMNS($AN$1006:BJ1006),$AN$1006:$BO$1006,0)), HYPERLINK("#",""), HYPERLINK(CONCATENATE("#Metadata!", ADDRESS(INDEX($AI$2:$AI$1001,MATCH(ROWS($AG$2:AG29),$AG$2:$AG$1001,0),0), INDEX($AN$1004:$BO$1004,1,MATCH(COLUMNS($AN$1006:BJ1006),$AN$1006:$BO$1006,0)))),"Fix")))</f>
        <v>0</v>
      </c>
      <c r="Y29" s="4">
        <f>IF(OR(INDEX($AH$2:$AH$1001,MATCH(ROWS($AG$2:AG29),$AG$2:$AG$1001,0),1)&gt;=100000,INDEX($AN$1005:$BO$1005,1,MATCH(COLUMNS($AN$1006:BK1006),$AN$1006:$BO$1006,0))&gt;=100000), " ",IF(INDEX($AN$2:$BO$1001,MATCH(ROWS($AG$2:AG29),$AG$2:$AG$1001,0),MATCH(COLUMNS($AN$1006:BK1006),$AN$1006:$BO$1006,0)), HYPERLINK("#",""), HYPERLINK(CONCATENATE("#Metadata!", ADDRESS(INDEX($AI$2:$AI$1001,MATCH(ROWS($AG$2:AG29),$AG$2:$AG$1001,0),0), INDEX($AN$1004:$BO$1004,1,MATCH(COLUMNS($AN$1006:BK1006),$AN$1006:$BO$1006,0)))),"Fix")))</f>
        <v>0</v>
      </c>
      <c r="Z29" s="4">
        <f>IF(OR(INDEX($AH$2:$AH$1001,MATCH(ROWS($AG$2:AG29),$AG$2:$AG$1001,0),1)&gt;=100000,INDEX($AN$1005:$BO$1005,1,MATCH(COLUMNS($AN$1006:BL1006),$AN$1006:$BO$1006,0))&gt;=100000), " ",IF(INDEX($AN$2:$BO$1001,MATCH(ROWS($AG$2:AG29),$AG$2:$AG$1001,0),MATCH(COLUMNS($AN$1006:BL1006),$AN$1006:$BO$1006,0)), HYPERLINK("#",""), HYPERLINK(CONCATENATE("#Metadata!", ADDRESS(INDEX($AI$2:$AI$1001,MATCH(ROWS($AG$2:AG29),$AG$2:$AG$1001,0),0), INDEX($AN$1004:$BO$1004,1,MATCH(COLUMNS($AN$1006:BL1006),$AN$1006:$BO$1006,0)))),"Fix")))</f>
        <v>0</v>
      </c>
      <c r="AA29" s="4">
        <f>IF(OR(INDEX($AH$2:$AH$1001,MATCH(ROWS($AG$2:AG29),$AG$2:$AG$1001,0),1)&gt;=100000,INDEX($AN$1005:$BO$1005,1,MATCH(COLUMNS($AN$1006:BM1006),$AN$1006:$BO$1006,0))&gt;=100000), " ",IF(INDEX($AN$2:$BO$1001,MATCH(ROWS($AG$2:AG29),$AG$2:$AG$1001,0),MATCH(COLUMNS($AN$1006:BM1006),$AN$1006:$BO$1006,0)), HYPERLINK("#",""), HYPERLINK(CONCATENATE("#Metadata!", ADDRESS(INDEX($AI$2:$AI$1001,MATCH(ROWS($AG$2:AG29),$AG$2:$AG$1001,0),0), INDEX($AN$1004:$BO$1004,1,MATCH(COLUMNS($AN$1006:BM1006),$AN$1006:$BO$1006,0)))),"Fix")))</f>
        <v>0</v>
      </c>
      <c r="AB29" s="4">
        <f>IF(OR(INDEX($AH$2:$AH$1001,MATCH(ROWS($AG$2:AG29),$AG$2:$AG$1001,0),1)&gt;=100000,INDEX($AN$1005:$BO$1005,1,MATCH(COLUMNS($AN$1006:BN1006),$AN$1006:$BO$1006,0))&gt;=100000), " ",IF(INDEX($AN$2:$BO$1001,MATCH(ROWS($AG$2:AG29),$AG$2:$AG$1001,0),MATCH(COLUMNS($AN$1006:BN1006),$AN$1006:$BO$1006,0)), HYPERLINK("#",""), HYPERLINK(CONCATENATE("#Metadata!", ADDRESS(INDEX($AI$2:$AI$1001,MATCH(ROWS($AG$2:AG29),$AG$2:$AG$1001,0),0), INDEX($AN$1004:$BO$1004,1,MATCH(COLUMNS($AN$1006:BN1006),$AN$1006:$BO$1006,0)))),"Fix")))</f>
        <v>0</v>
      </c>
      <c r="AC29" s="4">
        <f>IF(OR(INDEX($AH$2:$AH$1001,MATCH(ROWS($AG$2:AG29),$AG$2:$AG$1001,0),1)&gt;=100000,INDEX($AN$1005:$BO$1005,1,MATCH(COLUMNS($AN$1006:BO1006),$AN$1006:$BO$1006,0))&gt;=100000), " ",IF(INDEX($AN$2:$BO$1001,MATCH(ROWS($AG$2:AG29),$AG$2:$AG$1001,0),MATCH(COLUMNS($AN$1006:BO1006),$AN$1006:$BO$1006,0)), HYPERLINK("#",""), HYPERLINK(CONCATENATE("#Metadata!", ADDRESS(INDEX($AI$2:$AI$1001,MATCH(ROWS($AG$2:AG29),$AG$2:$AG$1001,0),0), INDEX($AN$1004:$BO$1004,1,MATCH(COLUMNS($AN$1006:BO1006),$AN$1006:$BO$1006,0)))),"Fix")))</f>
        <v>0</v>
      </c>
      <c r="AG29">
        <v>0</v>
      </c>
      <c r="AH29">
        <v>0</v>
      </c>
      <c r="AI29">
        <v>0</v>
      </c>
      <c r="AJ29">
        <f>IF(AK29,TRUE,AND(AN29:BO29))</f>
        <v>0</v>
      </c>
      <c r="AK29">
        <f>COUNTBLANK(Metadata!B29:AC29)=COLUMNS(Metadata!B29:AC29)</f>
        <v>0</v>
      </c>
      <c r="AL29">
        <v>0</v>
      </c>
      <c r="AN29">
        <f>AND(IF(Metadata!B29="",FALSE,TRUE),COUNTIF(Metadata!B:B, Metadata!B29) = 1,NOT(ISERROR(SUMPRODUCT(SEARCH(MID(Metadata!B29,ROW(INDIRECT("1:"&amp;LEN(Metadata!B29))), 1),"0123456789abcdefghijklmnopqrstuvwxyzABCDEFGHIJKLMNOPQRSTUVWXYZ.")))))</f>
        <v>0</v>
      </c>
      <c r="AO29">
        <f>IF(Metadata!C29="",FALSE,TRUE)</f>
        <v>0</v>
      </c>
      <c r="AP29">
        <f>IF(Metadata!D29="",FALSE,TRUE)</f>
        <v>0</v>
      </c>
      <c r="AQ29">
        <f>OR(AND(IF(Metadata!E29="",FALSE,TRUE),OR(exact(Metadata!E29,"not collected"),exact(Metadata!E29,"not provided"),exact(Metadata!E29,"restricted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R29">
        <f>IF(Metadata!F29="",FALSE,TRUE)</f>
        <v>0</v>
      </c>
      <c r="AS29">
        <f>OR(AND(IF(Metadata!G29="",FALSE,TRUE),OR(exact(Metadata!G29,"not collected"),exact(Metadata!G29,"not provided"))),AND(IF(Metadata!G29="",FALSE,TRUE),OR(exact(Metadata!G29,"TRUE"),exact(Metadata!G29,"FALSE"))))</f>
        <v>0</v>
      </c>
      <c r="AT29">
        <f>OR(AND(IF(Metadata!H29="",FALSE,TRUE),OR(exact(Metadata!H29,"not collected"),exact(Metadata!H29,"not provided"),exact(Metadata!H29,"restricted access"))),AND(IF(Metadata!H29="",FALSE,ISNUMBER(VALUE(Metadata!H29))),Metadata!H29&gt;=-413.0))</f>
        <v>0</v>
      </c>
      <c r="AU29">
        <f>AND(IF(Metadata!I29="",FALSE,TRUE),exact(Metadata!I29,"meters"))</f>
        <v>0</v>
      </c>
      <c r="AV29">
        <f>AND(IF(Metadata!J29="",FALSE,TRUE),OR(exact(Metadata!J29,"Host-associated"),exact(Metadata!J29,"Free-living")))</f>
        <v>0</v>
      </c>
      <c r="AW29">
        <f>AND(IF(Metadata!K29="",FALSE,TRUE),OR(exact(Metadata!K29,"Animal"),exact(Metadata!K29,"Fungus"),exact(Metadata!K29,"Plant"),exact(Metadata!K29,"Saline"),exact(Metadata!K29,"Non-saline")))</f>
        <v>0</v>
      </c>
      <c r="AX29">
        <f>AND(IF(Metadata!L29="",FALSE,TRUE),OR(exact(Metadata!L29,"Plant secretion"),exact(Metadata!L29,"Plant rhizosphere"),exact(Metadata!L29,"Plant surface"),exact(Metadata!L29,"Plant corpus"),exact(Metadata!L29,"Fungus surface"),exact(Metadata!L29,"Fungus corpus"),exact(Metadata!L29,"Animal surface"),exact(Metadata!L29,"Animal proximal gut"),exact(Metadata!L29,"Animal corpus"),exact(Metadata!L29,"Animal distal gut"),exact(Metadata!L29,"Animal secretion"),exact(Metadata!L29,"Sub-surface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0</v>
      </c>
      <c r="AY29">
        <f>IF(Metadata!M29="",FALSE,TRUE)</f>
        <v>0</v>
      </c>
      <c r="AZ29">
        <f>IF(Metadata!N29="",FALSE,TRUE)</f>
        <v>0</v>
      </c>
      <c r="BA29">
        <f>IF(Metadata!O29="",FALSE,TRUE)</f>
        <v>0</v>
      </c>
      <c r="BB29">
        <f>OR(AND(IF(Metadata!P29="",FALSE,TRUE),OR(exact(Metadata!P29,"not collected"),exact(Metadata!P29,"not provided"),exact(Metadata!P29,"restricted access"))),AND(IF(Metadata!P29="",FALSE,TRUE),OR(exact(Metadata!P29,"air"),exact(Metadata!P29,"built environment"),exact(Metadata!P29,"host-associated"),exact(Metadata!P29,"human-associated"),exact(Metadata!P29,"human-skin"),exact(Metadata!P29,"human-oral"),exact(Metadata!P29,"human-gut"),exact(Metadata!P29,"human-vaginal"),exact(Metadata!P29,"microbial mat/biofilm"),exact(Metadata!P29,"misc environment"),exact(Metadata!P29,"plant-associated"),exact(Metadata!P29,"sediment"),exact(Metadata!P29,"soil"),exact(Metadata!P29,"wastewater/sludge"),exact(Metadata!P29,"water"))))</f>
        <v>0</v>
      </c>
      <c r="BC29">
        <f>IF(Metadata!Q29="",FALSE,TRUE)</f>
        <v>0</v>
      </c>
      <c r="BD29">
        <f>IF(Metadata!R29="",FALSE,TRUE)</f>
        <v>0</v>
      </c>
      <c r="BE29">
        <f>OR(AND(IF(Metadata!S29="",FALSE,TRUE),OR(exact(Metadata!S29,"not collected"),exact(Metadata!S29,"not provided"),exact(Metadata!S29,"restricted access"))),AND(IF(Metadata!S29="",FALSE,ISNUMBER(VALUE(Metadata!S29))),Metadata!S29&gt;=-90.00,Metadata!S29&lt;=90.00))</f>
        <v>0</v>
      </c>
      <c r="BF29">
        <f>AND(IF(Metadata!T29="",FALSE,TRUE),exact(Metadata!T29,"Decimal degrees"))</f>
        <v>0</v>
      </c>
      <c r="BG29">
        <f>OR(AND(IF(Metadata!U29="",FALSE,TRUE),OR(exact(Metadata!U29,"not collected"),exact(Metadata!U29,"not provided"),exact(Metadata!U29,"restricted access"))),AND(IF(Metadata!U29="",FALSE,ISNUMBER(VALUE(Metadata!U29))),Metadata!U29&gt;=-180.00,Metadata!U29&lt;=180.00))</f>
        <v>0</v>
      </c>
      <c r="BH29">
        <f>AND(IF(Metadata!V29="",FALSE,TRUE),exact(Metadata!V29,"Decimal degrees"))</f>
        <v>0</v>
      </c>
      <c r="BI29">
        <f>IF(Metadata!W29="",FALSE,TRUE)</f>
        <v>0</v>
      </c>
      <c r="BJ29">
        <f>OR(AND(IF(Metadata!X29="",FALSE,TRUE),OR(exact(Metadata!X29,"not collected"),exact(Metadata!X29,"not provided"),exact(Metadata!X29,"restricted access"))),AND(IF(Metadata!X29="",FALSE,TRUE),OR(exact(Metadata!X29,"TRUE"),exact(Metadata!X29,"FALSE"))))</f>
        <v>0</v>
      </c>
      <c r="BK29">
        <f>AND(IF(Metadata!Y29="",FALSE,TRUE),exact(Metadata!Y29,"other"))</f>
        <v>0</v>
      </c>
      <c r="BL29">
        <f>IF(Metadata!Z29="",FALSE,TRUE)</f>
        <v>0</v>
      </c>
      <c r="BM29">
        <f>OR(AND(IF(Metadata!AA29="",FALSE,TRUE),OR(exact(Metadata!AA29,"not collected"),exact(Metadata!AA29,"not provided"))),AND(IF(Metadata!AA29="",FALSE,IF(ISERROR(INT(Metadata!AA29)),FALSE,INT(Metadata!AA29)=Metadata!AA29)),Metadata!AA29&gt;0))</f>
        <v>0</v>
      </c>
      <c r="BN29">
        <f>AND(IF(Metadata!AB29="",FALSE,TRUE),exact(Metadata!AB29,"Not applicable"))</f>
        <v>0</v>
      </c>
      <c r="BO29">
        <f>IF(Metadata!AC29="",FALSE,TRUE)</f>
        <v>0</v>
      </c>
    </row>
    <row r="30" spans="1:67">
      <c r="A30" s="5">
        <f>IF(B30=" "," ",HYPERLINK(CONCATENATE("#metadata!",ADDRESS(INDEX($AI$2:$AI$1001,MATCH(ROWS($AG$2:AG30),$AG$2:$AG$1001,0),0),1)),INDEX($AL$2:$AL$1001,MATCH(ROWS($AG$2:AG30),$AG$2:$AG$1001,0),0)))</f>
        <v>0</v>
      </c>
      <c r="B30" s="4">
        <f>IF(OR(INDEX($AH$2:$AH$1001,MATCH(ROWS($AG$2:AG30),$AG$2:$AG$1001,0),1)&gt;=100000,INDEX($AN$1005:$BO$1005,1,MATCH(COLUMNS($AN$1006:AN1006),$AN$1006:$BO$1006,0))&gt;=100000), " ",IF(INDEX($AN$2:$BO$1001,MATCH(ROWS($AG$2:AG30),$AG$2:$AG$1001,0),MATCH(COLUMNS($AN$1006:AN1006),$AN$1006:$BO$1006,0)), HYPERLINK("#",""), HYPERLINK(CONCATENATE("#Metadata!", ADDRESS(INDEX($AI$2:$AI$1001,MATCH(ROWS($AG$2:AG30),$AG$2:$AG$1001,0),0), INDEX($AN$1004:$BO$1004,1,MATCH(COLUMNS($AN$1006:AN1006),$AN$1006:$BO$1006,0)))),"Fix")))</f>
        <v>0</v>
      </c>
      <c r="C30" s="4">
        <f>IF(OR(INDEX($AH$2:$AH$1001,MATCH(ROWS($AG$2:AG30),$AG$2:$AG$1001,0),1)&gt;=100000,INDEX($AN$1005:$BO$1005,1,MATCH(COLUMNS($AN$1006:AO1006),$AN$1006:$BO$1006,0))&gt;=100000), " ",IF(INDEX($AN$2:$BO$1001,MATCH(ROWS($AG$2:AG30),$AG$2:$AG$1001,0),MATCH(COLUMNS($AN$1006:AO1006),$AN$1006:$BO$1006,0)), HYPERLINK("#",""), HYPERLINK(CONCATENATE("#Metadata!", ADDRESS(INDEX($AI$2:$AI$1001,MATCH(ROWS($AG$2:AG30),$AG$2:$AG$1001,0),0), INDEX($AN$1004:$BO$1004,1,MATCH(COLUMNS($AN$1006:AO1006),$AN$1006:$BO$1006,0)))),"Fix")))</f>
        <v>0</v>
      </c>
      <c r="D30" s="4">
        <f>IF(OR(INDEX($AH$2:$AH$1001,MATCH(ROWS($AG$2:AG30),$AG$2:$AG$1001,0),1)&gt;=100000,INDEX($AN$1005:$BO$1005,1,MATCH(COLUMNS($AN$1006:AP1006),$AN$1006:$BO$1006,0))&gt;=100000), " ",IF(INDEX($AN$2:$BO$1001,MATCH(ROWS($AG$2:AG30),$AG$2:$AG$1001,0),MATCH(COLUMNS($AN$1006:AP1006),$AN$1006:$BO$1006,0)), HYPERLINK("#",""), HYPERLINK(CONCATENATE("#Metadata!", ADDRESS(INDEX($AI$2:$AI$1001,MATCH(ROWS($AG$2:AG30),$AG$2:$AG$1001,0),0), INDEX($AN$1004:$BO$1004,1,MATCH(COLUMNS($AN$1006:AP1006),$AN$1006:$BO$1006,0)))),"Fix")))</f>
        <v>0</v>
      </c>
      <c r="E30" s="4">
        <f>IF(OR(INDEX($AH$2:$AH$1001,MATCH(ROWS($AG$2:AG30),$AG$2:$AG$1001,0),1)&gt;=100000,INDEX($AN$1005:$BO$1005,1,MATCH(COLUMNS($AN$1006:AQ1006),$AN$1006:$BO$1006,0))&gt;=100000), " ",IF(INDEX($AN$2:$BO$1001,MATCH(ROWS($AG$2:AG30),$AG$2:$AG$1001,0),MATCH(COLUMNS($AN$1006:AQ1006),$AN$1006:$BO$1006,0)), HYPERLINK("#",""), HYPERLINK(CONCATENATE("#Metadata!", ADDRESS(INDEX($AI$2:$AI$1001,MATCH(ROWS($AG$2:AG30),$AG$2:$AG$1001,0),0), INDEX($AN$1004:$BO$1004,1,MATCH(COLUMNS($AN$1006:AQ1006),$AN$1006:$BO$1006,0)))),"Fix")))</f>
        <v>0</v>
      </c>
      <c r="F30" s="4">
        <f>IF(OR(INDEX($AH$2:$AH$1001,MATCH(ROWS($AG$2:AG30),$AG$2:$AG$1001,0),1)&gt;=100000,INDEX($AN$1005:$BO$1005,1,MATCH(COLUMNS($AN$1006:AR1006),$AN$1006:$BO$1006,0))&gt;=100000), " ",IF(INDEX($AN$2:$BO$1001,MATCH(ROWS($AG$2:AG30),$AG$2:$AG$1001,0),MATCH(COLUMNS($AN$1006:AR1006),$AN$1006:$BO$1006,0)), HYPERLINK("#",""), HYPERLINK(CONCATENATE("#Metadata!", ADDRESS(INDEX($AI$2:$AI$1001,MATCH(ROWS($AG$2:AG30),$AG$2:$AG$1001,0),0), INDEX($AN$1004:$BO$1004,1,MATCH(COLUMNS($AN$1006:AR1006),$AN$1006:$BO$1006,0)))),"Fix")))</f>
        <v>0</v>
      </c>
      <c r="G30" s="4">
        <f>IF(OR(INDEX($AH$2:$AH$1001,MATCH(ROWS($AG$2:AG30),$AG$2:$AG$1001,0),1)&gt;=100000,INDEX($AN$1005:$BO$1005,1,MATCH(COLUMNS($AN$1006:AS1006),$AN$1006:$BO$1006,0))&gt;=100000), " ",IF(INDEX($AN$2:$BO$1001,MATCH(ROWS($AG$2:AG30),$AG$2:$AG$1001,0),MATCH(COLUMNS($AN$1006:AS1006),$AN$1006:$BO$1006,0)), HYPERLINK("#",""), HYPERLINK(CONCATENATE("#Metadata!", ADDRESS(INDEX($AI$2:$AI$1001,MATCH(ROWS($AG$2:AG30),$AG$2:$AG$1001,0),0), INDEX($AN$1004:$BO$1004,1,MATCH(COLUMNS($AN$1006:AS1006),$AN$1006:$BO$1006,0)))),"Fix")))</f>
        <v>0</v>
      </c>
      <c r="H30" s="4">
        <f>IF(OR(INDEX($AH$2:$AH$1001,MATCH(ROWS($AG$2:AG30),$AG$2:$AG$1001,0),1)&gt;=100000,INDEX($AN$1005:$BO$1005,1,MATCH(COLUMNS($AN$1006:AT1006),$AN$1006:$BO$1006,0))&gt;=100000), " ",IF(INDEX($AN$2:$BO$1001,MATCH(ROWS($AG$2:AG30),$AG$2:$AG$1001,0),MATCH(COLUMNS($AN$1006:AT1006),$AN$1006:$BO$1006,0)), HYPERLINK("#",""), HYPERLINK(CONCATENATE("#Metadata!", ADDRESS(INDEX($AI$2:$AI$1001,MATCH(ROWS($AG$2:AG30),$AG$2:$AG$1001,0),0), INDEX($AN$1004:$BO$1004,1,MATCH(COLUMNS($AN$1006:AT1006),$AN$1006:$BO$1006,0)))),"Fix")))</f>
        <v>0</v>
      </c>
      <c r="I30" s="4">
        <f>IF(OR(INDEX($AH$2:$AH$1001,MATCH(ROWS($AG$2:AG30),$AG$2:$AG$1001,0),1)&gt;=100000,INDEX($AN$1005:$BO$1005,1,MATCH(COLUMNS($AN$1006:AU1006),$AN$1006:$BO$1006,0))&gt;=100000), " ",IF(INDEX($AN$2:$BO$1001,MATCH(ROWS($AG$2:AG30),$AG$2:$AG$1001,0),MATCH(COLUMNS($AN$1006:AU1006),$AN$1006:$BO$1006,0)), HYPERLINK("#",""), HYPERLINK(CONCATENATE("#Metadata!", ADDRESS(INDEX($AI$2:$AI$1001,MATCH(ROWS($AG$2:AG30),$AG$2:$AG$1001,0),0), INDEX($AN$1004:$BO$1004,1,MATCH(COLUMNS($AN$1006:AU1006),$AN$1006:$BO$1006,0)))),"Fix")))</f>
        <v>0</v>
      </c>
      <c r="J30" s="4">
        <f>IF(OR(INDEX($AH$2:$AH$1001,MATCH(ROWS($AG$2:AG30),$AG$2:$AG$1001,0),1)&gt;=100000,INDEX($AN$1005:$BO$1005,1,MATCH(COLUMNS($AN$1006:AV1006),$AN$1006:$BO$1006,0))&gt;=100000), " ",IF(INDEX($AN$2:$BO$1001,MATCH(ROWS($AG$2:AG30),$AG$2:$AG$1001,0),MATCH(COLUMNS($AN$1006:AV1006),$AN$1006:$BO$1006,0)), HYPERLINK("#",""), HYPERLINK(CONCATENATE("#Metadata!", ADDRESS(INDEX($AI$2:$AI$1001,MATCH(ROWS($AG$2:AG30),$AG$2:$AG$1001,0),0), INDEX($AN$1004:$BO$1004,1,MATCH(COLUMNS($AN$1006:AV1006),$AN$1006:$BO$1006,0)))),"Fix")))</f>
        <v>0</v>
      </c>
      <c r="K30" s="4">
        <f>IF(OR(INDEX($AH$2:$AH$1001,MATCH(ROWS($AG$2:AG30),$AG$2:$AG$1001,0),1)&gt;=100000,INDEX($AN$1005:$BO$1005,1,MATCH(COLUMNS($AN$1006:AW1006),$AN$1006:$BO$1006,0))&gt;=100000), " ",IF(INDEX($AN$2:$BO$1001,MATCH(ROWS($AG$2:AG30),$AG$2:$AG$1001,0),MATCH(COLUMNS($AN$1006:AW1006),$AN$1006:$BO$1006,0)), HYPERLINK("#",""), HYPERLINK(CONCATENATE("#Metadata!", ADDRESS(INDEX($AI$2:$AI$1001,MATCH(ROWS($AG$2:AG30),$AG$2:$AG$1001,0),0), INDEX($AN$1004:$BO$1004,1,MATCH(COLUMNS($AN$1006:AW1006),$AN$1006:$BO$1006,0)))),"Fix")))</f>
        <v>0</v>
      </c>
      <c r="L30" s="4">
        <f>IF(OR(INDEX($AH$2:$AH$1001,MATCH(ROWS($AG$2:AG30),$AG$2:$AG$1001,0),1)&gt;=100000,INDEX($AN$1005:$BO$1005,1,MATCH(COLUMNS($AN$1006:AX1006),$AN$1006:$BO$1006,0))&gt;=100000), " ",IF(INDEX($AN$2:$BO$1001,MATCH(ROWS($AG$2:AG30),$AG$2:$AG$1001,0),MATCH(COLUMNS($AN$1006:AX1006),$AN$1006:$BO$1006,0)), HYPERLINK("#",""), HYPERLINK(CONCATENATE("#Metadata!", ADDRESS(INDEX($AI$2:$AI$1001,MATCH(ROWS($AG$2:AG30),$AG$2:$AG$1001,0),0), INDEX($AN$1004:$BO$1004,1,MATCH(COLUMNS($AN$1006:AX1006),$AN$1006:$BO$1006,0)))),"Fix")))</f>
        <v>0</v>
      </c>
      <c r="M30" s="4">
        <f>IF(OR(INDEX($AH$2:$AH$1001,MATCH(ROWS($AG$2:AG30),$AG$2:$AG$1001,0),1)&gt;=100000,INDEX($AN$1005:$BO$1005,1,MATCH(COLUMNS($AN$1006:AY1006),$AN$1006:$BO$1006,0))&gt;=100000), " ",IF(INDEX($AN$2:$BO$1001,MATCH(ROWS($AG$2:AG30),$AG$2:$AG$1001,0),MATCH(COLUMNS($AN$1006:AY1006),$AN$1006:$BO$1006,0)), HYPERLINK("#",""), HYPERLINK(CONCATENATE("#Metadata!", ADDRESS(INDEX($AI$2:$AI$1001,MATCH(ROWS($AG$2:AG30),$AG$2:$AG$1001,0),0), INDEX($AN$1004:$BO$1004,1,MATCH(COLUMNS($AN$1006:AY1006),$AN$1006:$BO$1006,0)))),"Fix")))</f>
        <v>0</v>
      </c>
      <c r="N30" s="4">
        <f>IF(OR(INDEX($AH$2:$AH$1001,MATCH(ROWS($AG$2:AG30),$AG$2:$AG$1001,0),1)&gt;=100000,INDEX($AN$1005:$BO$1005,1,MATCH(COLUMNS($AN$1006:AZ1006),$AN$1006:$BO$1006,0))&gt;=100000), " ",IF(INDEX($AN$2:$BO$1001,MATCH(ROWS($AG$2:AG30),$AG$2:$AG$1001,0),MATCH(COLUMNS($AN$1006:AZ1006),$AN$1006:$BO$1006,0)), HYPERLINK("#",""), HYPERLINK(CONCATENATE("#Metadata!", ADDRESS(INDEX($AI$2:$AI$1001,MATCH(ROWS($AG$2:AG30),$AG$2:$AG$1001,0),0), INDEX($AN$1004:$BO$1004,1,MATCH(COLUMNS($AN$1006:AZ1006),$AN$1006:$BO$1006,0)))),"Fix")))</f>
        <v>0</v>
      </c>
      <c r="O30" s="4">
        <f>IF(OR(INDEX($AH$2:$AH$1001,MATCH(ROWS($AG$2:AG30),$AG$2:$AG$1001,0),1)&gt;=100000,INDEX($AN$1005:$BO$1005,1,MATCH(COLUMNS($AN$1006:BA1006),$AN$1006:$BO$1006,0))&gt;=100000), " ",IF(INDEX($AN$2:$BO$1001,MATCH(ROWS($AG$2:AG30),$AG$2:$AG$1001,0),MATCH(COLUMNS($AN$1006:BA1006),$AN$1006:$BO$1006,0)), HYPERLINK("#",""), HYPERLINK(CONCATENATE("#Metadata!", ADDRESS(INDEX($AI$2:$AI$1001,MATCH(ROWS($AG$2:AG30),$AG$2:$AG$1001,0),0), INDEX($AN$1004:$BO$1004,1,MATCH(COLUMNS($AN$1006:BA1006),$AN$1006:$BO$1006,0)))),"Fix")))</f>
        <v>0</v>
      </c>
      <c r="P30" s="4">
        <f>IF(OR(INDEX($AH$2:$AH$1001,MATCH(ROWS($AG$2:AG30),$AG$2:$AG$1001,0),1)&gt;=100000,INDEX($AN$1005:$BO$1005,1,MATCH(COLUMNS($AN$1006:BB1006),$AN$1006:$BO$1006,0))&gt;=100000), " ",IF(INDEX($AN$2:$BO$1001,MATCH(ROWS($AG$2:AG30),$AG$2:$AG$1001,0),MATCH(COLUMNS($AN$1006:BB1006),$AN$1006:$BO$1006,0)), HYPERLINK("#",""), HYPERLINK(CONCATENATE("#Metadata!", ADDRESS(INDEX($AI$2:$AI$1001,MATCH(ROWS($AG$2:AG30),$AG$2:$AG$1001,0),0), INDEX($AN$1004:$BO$1004,1,MATCH(COLUMNS($AN$1006:BB1006),$AN$1006:$BO$1006,0)))),"Fix")))</f>
        <v>0</v>
      </c>
      <c r="Q30" s="4">
        <f>IF(OR(INDEX($AH$2:$AH$1001,MATCH(ROWS($AG$2:AG30),$AG$2:$AG$1001,0),1)&gt;=100000,INDEX($AN$1005:$BO$1005,1,MATCH(COLUMNS($AN$1006:BC1006),$AN$1006:$BO$1006,0))&gt;=100000), " ",IF(INDEX($AN$2:$BO$1001,MATCH(ROWS($AG$2:AG30),$AG$2:$AG$1001,0),MATCH(COLUMNS($AN$1006:BC1006),$AN$1006:$BO$1006,0)), HYPERLINK("#",""), HYPERLINK(CONCATENATE("#Metadata!", ADDRESS(INDEX($AI$2:$AI$1001,MATCH(ROWS($AG$2:AG30),$AG$2:$AG$1001,0),0), INDEX($AN$1004:$BO$1004,1,MATCH(COLUMNS($AN$1006:BC1006),$AN$1006:$BO$1006,0)))),"Fix")))</f>
        <v>0</v>
      </c>
      <c r="R30" s="4">
        <f>IF(OR(INDEX($AH$2:$AH$1001,MATCH(ROWS($AG$2:AG30),$AG$2:$AG$1001,0),1)&gt;=100000,INDEX($AN$1005:$BO$1005,1,MATCH(COLUMNS($AN$1006:BD1006),$AN$1006:$BO$1006,0))&gt;=100000), " ",IF(INDEX($AN$2:$BO$1001,MATCH(ROWS($AG$2:AG30),$AG$2:$AG$1001,0),MATCH(COLUMNS($AN$1006:BD1006),$AN$1006:$BO$1006,0)), HYPERLINK("#",""), HYPERLINK(CONCATENATE("#Metadata!", ADDRESS(INDEX($AI$2:$AI$1001,MATCH(ROWS($AG$2:AG30),$AG$2:$AG$1001,0),0), INDEX($AN$1004:$BO$1004,1,MATCH(COLUMNS($AN$1006:BD1006),$AN$1006:$BO$1006,0)))),"Fix")))</f>
        <v>0</v>
      </c>
      <c r="S30" s="4">
        <f>IF(OR(INDEX($AH$2:$AH$1001,MATCH(ROWS($AG$2:AG30),$AG$2:$AG$1001,0),1)&gt;=100000,INDEX($AN$1005:$BO$1005,1,MATCH(COLUMNS($AN$1006:BE1006),$AN$1006:$BO$1006,0))&gt;=100000), " ",IF(INDEX($AN$2:$BO$1001,MATCH(ROWS($AG$2:AG30),$AG$2:$AG$1001,0),MATCH(COLUMNS($AN$1006:BE1006),$AN$1006:$BO$1006,0)), HYPERLINK("#",""), HYPERLINK(CONCATENATE("#Metadata!", ADDRESS(INDEX($AI$2:$AI$1001,MATCH(ROWS($AG$2:AG30),$AG$2:$AG$1001,0),0), INDEX($AN$1004:$BO$1004,1,MATCH(COLUMNS($AN$1006:BE1006),$AN$1006:$BO$1006,0)))),"Fix")))</f>
        <v>0</v>
      </c>
      <c r="T30" s="4">
        <f>IF(OR(INDEX($AH$2:$AH$1001,MATCH(ROWS($AG$2:AG30),$AG$2:$AG$1001,0),1)&gt;=100000,INDEX($AN$1005:$BO$1005,1,MATCH(COLUMNS($AN$1006:BF1006),$AN$1006:$BO$1006,0))&gt;=100000), " ",IF(INDEX($AN$2:$BO$1001,MATCH(ROWS($AG$2:AG30),$AG$2:$AG$1001,0),MATCH(COLUMNS($AN$1006:BF1006),$AN$1006:$BO$1006,0)), HYPERLINK("#",""), HYPERLINK(CONCATENATE("#Metadata!", ADDRESS(INDEX($AI$2:$AI$1001,MATCH(ROWS($AG$2:AG30),$AG$2:$AG$1001,0),0), INDEX($AN$1004:$BO$1004,1,MATCH(COLUMNS($AN$1006:BF1006),$AN$1006:$BO$1006,0)))),"Fix")))</f>
        <v>0</v>
      </c>
      <c r="U30" s="4">
        <f>IF(OR(INDEX($AH$2:$AH$1001,MATCH(ROWS($AG$2:AG30),$AG$2:$AG$1001,0),1)&gt;=100000,INDEX($AN$1005:$BO$1005,1,MATCH(COLUMNS($AN$1006:BG1006),$AN$1006:$BO$1006,0))&gt;=100000), " ",IF(INDEX($AN$2:$BO$1001,MATCH(ROWS($AG$2:AG30),$AG$2:$AG$1001,0),MATCH(COLUMNS($AN$1006:BG1006),$AN$1006:$BO$1006,0)), HYPERLINK("#",""), HYPERLINK(CONCATENATE("#Metadata!", ADDRESS(INDEX($AI$2:$AI$1001,MATCH(ROWS($AG$2:AG30),$AG$2:$AG$1001,0),0), INDEX($AN$1004:$BO$1004,1,MATCH(COLUMNS($AN$1006:BG1006),$AN$1006:$BO$1006,0)))),"Fix")))</f>
        <v>0</v>
      </c>
      <c r="V30" s="4">
        <f>IF(OR(INDEX($AH$2:$AH$1001,MATCH(ROWS($AG$2:AG30),$AG$2:$AG$1001,0),1)&gt;=100000,INDEX($AN$1005:$BO$1005,1,MATCH(COLUMNS($AN$1006:BH1006),$AN$1006:$BO$1006,0))&gt;=100000), " ",IF(INDEX($AN$2:$BO$1001,MATCH(ROWS($AG$2:AG30),$AG$2:$AG$1001,0),MATCH(COLUMNS($AN$1006:BH1006),$AN$1006:$BO$1006,0)), HYPERLINK("#",""), HYPERLINK(CONCATENATE("#Metadata!", ADDRESS(INDEX($AI$2:$AI$1001,MATCH(ROWS($AG$2:AG30),$AG$2:$AG$1001,0),0), INDEX($AN$1004:$BO$1004,1,MATCH(COLUMNS($AN$1006:BH1006),$AN$1006:$BO$1006,0)))),"Fix")))</f>
        <v>0</v>
      </c>
      <c r="W30" s="4">
        <f>IF(OR(INDEX($AH$2:$AH$1001,MATCH(ROWS($AG$2:AG30),$AG$2:$AG$1001,0),1)&gt;=100000,INDEX($AN$1005:$BO$1005,1,MATCH(COLUMNS($AN$1006:BI1006),$AN$1006:$BO$1006,0))&gt;=100000), " ",IF(INDEX($AN$2:$BO$1001,MATCH(ROWS($AG$2:AG30),$AG$2:$AG$1001,0),MATCH(COLUMNS($AN$1006:BI1006),$AN$1006:$BO$1006,0)), HYPERLINK("#",""), HYPERLINK(CONCATENATE("#Metadata!", ADDRESS(INDEX($AI$2:$AI$1001,MATCH(ROWS($AG$2:AG30),$AG$2:$AG$1001,0),0), INDEX($AN$1004:$BO$1004,1,MATCH(COLUMNS($AN$1006:BI1006),$AN$1006:$BO$1006,0)))),"Fix")))</f>
        <v>0</v>
      </c>
      <c r="X30" s="4">
        <f>IF(OR(INDEX($AH$2:$AH$1001,MATCH(ROWS($AG$2:AG30),$AG$2:$AG$1001,0),1)&gt;=100000,INDEX($AN$1005:$BO$1005,1,MATCH(COLUMNS($AN$1006:BJ1006),$AN$1006:$BO$1006,0))&gt;=100000), " ",IF(INDEX($AN$2:$BO$1001,MATCH(ROWS($AG$2:AG30),$AG$2:$AG$1001,0),MATCH(COLUMNS($AN$1006:BJ1006),$AN$1006:$BO$1006,0)), HYPERLINK("#",""), HYPERLINK(CONCATENATE("#Metadata!", ADDRESS(INDEX($AI$2:$AI$1001,MATCH(ROWS($AG$2:AG30),$AG$2:$AG$1001,0),0), INDEX($AN$1004:$BO$1004,1,MATCH(COLUMNS($AN$1006:BJ1006),$AN$1006:$BO$1006,0)))),"Fix")))</f>
        <v>0</v>
      </c>
      <c r="Y30" s="4">
        <f>IF(OR(INDEX($AH$2:$AH$1001,MATCH(ROWS($AG$2:AG30),$AG$2:$AG$1001,0),1)&gt;=100000,INDEX($AN$1005:$BO$1005,1,MATCH(COLUMNS($AN$1006:BK1006),$AN$1006:$BO$1006,0))&gt;=100000), " ",IF(INDEX($AN$2:$BO$1001,MATCH(ROWS($AG$2:AG30),$AG$2:$AG$1001,0),MATCH(COLUMNS($AN$1006:BK1006),$AN$1006:$BO$1006,0)), HYPERLINK("#",""), HYPERLINK(CONCATENATE("#Metadata!", ADDRESS(INDEX($AI$2:$AI$1001,MATCH(ROWS($AG$2:AG30),$AG$2:$AG$1001,0),0), INDEX($AN$1004:$BO$1004,1,MATCH(COLUMNS($AN$1006:BK1006),$AN$1006:$BO$1006,0)))),"Fix")))</f>
        <v>0</v>
      </c>
      <c r="Z30" s="4">
        <f>IF(OR(INDEX($AH$2:$AH$1001,MATCH(ROWS($AG$2:AG30),$AG$2:$AG$1001,0),1)&gt;=100000,INDEX($AN$1005:$BO$1005,1,MATCH(COLUMNS($AN$1006:BL1006),$AN$1006:$BO$1006,0))&gt;=100000), " ",IF(INDEX($AN$2:$BO$1001,MATCH(ROWS($AG$2:AG30),$AG$2:$AG$1001,0),MATCH(COLUMNS($AN$1006:BL1006),$AN$1006:$BO$1006,0)), HYPERLINK("#",""), HYPERLINK(CONCATENATE("#Metadata!", ADDRESS(INDEX($AI$2:$AI$1001,MATCH(ROWS($AG$2:AG30),$AG$2:$AG$1001,0),0), INDEX($AN$1004:$BO$1004,1,MATCH(COLUMNS($AN$1006:BL1006),$AN$1006:$BO$1006,0)))),"Fix")))</f>
        <v>0</v>
      </c>
      <c r="AA30" s="4">
        <f>IF(OR(INDEX($AH$2:$AH$1001,MATCH(ROWS($AG$2:AG30),$AG$2:$AG$1001,0),1)&gt;=100000,INDEX($AN$1005:$BO$1005,1,MATCH(COLUMNS($AN$1006:BM1006),$AN$1006:$BO$1006,0))&gt;=100000), " ",IF(INDEX($AN$2:$BO$1001,MATCH(ROWS($AG$2:AG30),$AG$2:$AG$1001,0),MATCH(COLUMNS($AN$1006:BM1006),$AN$1006:$BO$1006,0)), HYPERLINK("#",""), HYPERLINK(CONCATENATE("#Metadata!", ADDRESS(INDEX($AI$2:$AI$1001,MATCH(ROWS($AG$2:AG30),$AG$2:$AG$1001,0),0), INDEX($AN$1004:$BO$1004,1,MATCH(COLUMNS($AN$1006:BM1006),$AN$1006:$BO$1006,0)))),"Fix")))</f>
        <v>0</v>
      </c>
      <c r="AB30" s="4">
        <f>IF(OR(INDEX($AH$2:$AH$1001,MATCH(ROWS($AG$2:AG30),$AG$2:$AG$1001,0),1)&gt;=100000,INDEX($AN$1005:$BO$1005,1,MATCH(COLUMNS($AN$1006:BN1006),$AN$1006:$BO$1006,0))&gt;=100000), " ",IF(INDEX($AN$2:$BO$1001,MATCH(ROWS($AG$2:AG30),$AG$2:$AG$1001,0),MATCH(COLUMNS($AN$1006:BN1006),$AN$1006:$BO$1006,0)), HYPERLINK("#",""), HYPERLINK(CONCATENATE("#Metadata!", ADDRESS(INDEX($AI$2:$AI$1001,MATCH(ROWS($AG$2:AG30),$AG$2:$AG$1001,0),0), INDEX($AN$1004:$BO$1004,1,MATCH(COLUMNS($AN$1006:BN1006),$AN$1006:$BO$1006,0)))),"Fix")))</f>
        <v>0</v>
      </c>
      <c r="AC30" s="4">
        <f>IF(OR(INDEX($AH$2:$AH$1001,MATCH(ROWS($AG$2:AG30),$AG$2:$AG$1001,0),1)&gt;=100000,INDEX($AN$1005:$BO$1005,1,MATCH(COLUMNS($AN$1006:BO1006),$AN$1006:$BO$1006,0))&gt;=100000), " ",IF(INDEX($AN$2:$BO$1001,MATCH(ROWS($AG$2:AG30),$AG$2:$AG$1001,0),MATCH(COLUMNS($AN$1006:BO1006),$AN$1006:$BO$1006,0)), HYPERLINK("#",""), HYPERLINK(CONCATENATE("#Metadata!", ADDRESS(INDEX($AI$2:$AI$1001,MATCH(ROWS($AG$2:AG30),$AG$2:$AG$1001,0),0), INDEX($AN$1004:$BO$1004,1,MATCH(COLUMNS($AN$1006:BO1006),$AN$1006:$BO$1006,0)))),"Fix")))</f>
        <v>0</v>
      </c>
      <c r="AG30">
        <v>0</v>
      </c>
      <c r="AH30">
        <v>0</v>
      </c>
      <c r="AI30">
        <v>0</v>
      </c>
      <c r="AJ30">
        <f>IF(AK30,TRUE,AND(AN30:BO30))</f>
        <v>0</v>
      </c>
      <c r="AK30">
        <f>COUNTBLANK(Metadata!B30:AC30)=COLUMNS(Metadata!B30:AC30)</f>
        <v>0</v>
      </c>
      <c r="AL30">
        <v>0</v>
      </c>
      <c r="AN30">
        <f>AND(IF(Metadata!B30="",FALSE,TRUE),COUNTIF(Metadata!B:B, Metadata!B30) = 1,NOT(ISERROR(SUMPRODUCT(SEARCH(MID(Metadata!B30,ROW(INDIRECT("1:"&amp;LEN(Metadata!B30))), 1),"0123456789abcdefghijklmnopqrstuvwxyzABCDEFGHIJKLMNOPQRSTUVWXYZ.")))))</f>
        <v>0</v>
      </c>
      <c r="AO30">
        <f>IF(Metadata!C30="",FALSE,TRUE)</f>
        <v>0</v>
      </c>
      <c r="AP30">
        <f>IF(Metadata!D30="",FALSE,TRUE)</f>
        <v>0</v>
      </c>
      <c r="AQ30">
        <f>OR(AND(IF(Metadata!E30="",FALSE,TRUE),OR(exact(Metadata!E30,"not collected"),exact(Metadata!E30,"not provided"),exact(Metadata!E30,"restricted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R30">
        <f>IF(Metadata!F30="",FALSE,TRUE)</f>
        <v>0</v>
      </c>
      <c r="AS30">
        <f>OR(AND(IF(Metadata!G30="",FALSE,TRUE),OR(exact(Metadata!G30,"not collected"),exact(Metadata!G30,"not provided"))),AND(IF(Metadata!G30="",FALSE,TRUE),OR(exact(Metadata!G30,"TRUE"),exact(Metadata!G30,"FALSE"))))</f>
        <v>0</v>
      </c>
      <c r="AT30">
        <f>OR(AND(IF(Metadata!H30="",FALSE,TRUE),OR(exact(Metadata!H30,"not collected"),exact(Metadata!H30,"not provided"),exact(Metadata!H30,"restricted access"))),AND(IF(Metadata!H30="",FALSE,ISNUMBER(VALUE(Metadata!H30))),Metadata!H30&gt;=-413.0))</f>
        <v>0</v>
      </c>
      <c r="AU30">
        <f>AND(IF(Metadata!I30="",FALSE,TRUE),exact(Metadata!I30,"meters"))</f>
        <v>0</v>
      </c>
      <c r="AV30">
        <f>AND(IF(Metadata!J30="",FALSE,TRUE),OR(exact(Metadata!J30,"Host-associated"),exact(Metadata!J30,"Free-living")))</f>
        <v>0</v>
      </c>
      <c r="AW30">
        <f>AND(IF(Metadata!K30="",FALSE,TRUE),OR(exact(Metadata!K30,"Animal"),exact(Metadata!K30,"Fungus"),exact(Metadata!K30,"Plant"),exact(Metadata!K30,"Saline"),exact(Metadata!K30,"Non-saline")))</f>
        <v>0</v>
      </c>
      <c r="AX30">
        <f>AND(IF(Metadata!L30="",FALSE,TRUE),OR(exact(Metadata!L30,"Plant secretion"),exact(Metadata!L30,"Plant rhizosphere"),exact(Metadata!L30,"Plant surface"),exact(Metadata!L30,"Plant corpus"),exact(Metadata!L30,"Fungus surface"),exact(Metadata!L30,"Fungus corpus"),exact(Metadata!L30,"Animal surface"),exact(Metadata!L30,"Animal proximal gut"),exact(Metadata!L30,"Animal corpus"),exact(Metadata!L30,"Animal distal gut"),exact(Metadata!L30,"Animal secretion"),exact(Metadata!L30,"Sub-surface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0</v>
      </c>
      <c r="AY30">
        <f>IF(Metadata!M30="",FALSE,TRUE)</f>
        <v>0</v>
      </c>
      <c r="AZ30">
        <f>IF(Metadata!N30="",FALSE,TRUE)</f>
        <v>0</v>
      </c>
      <c r="BA30">
        <f>IF(Metadata!O30="",FALSE,TRUE)</f>
        <v>0</v>
      </c>
      <c r="BB30">
        <f>OR(AND(IF(Metadata!P30="",FALSE,TRUE),OR(exact(Metadata!P30,"not collected"),exact(Metadata!P30,"not provided"),exact(Metadata!P30,"restricted access"))),AND(IF(Metadata!P30="",FALSE,TRUE),OR(exact(Metadata!P30,"air"),exact(Metadata!P30,"built environment"),exact(Metadata!P30,"host-associated"),exact(Metadata!P30,"human-associated"),exact(Metadata!P30,"human-skin"),exact(Metadata!P30,"human-oral"),exact(Metadata!P30,"human-gut"),exact(Metadata!P30,"human-vaginal"),exact(Metadata!P30,"microbial mat/biofilm"),exact(Metadata!P30,"misc environment"),exact(Metadata!P30,"plant-associated"),exact(Metadata!P30,"sediment"),exact(Metadata!P30,"soil"),exact(Metadata!P30,"wastewater/sludge"),exact(Metadata!P30,"water"))))</f>
        <v>0</v>
      </c>
      <c r="BC30">
        <f>IF(Metadata!Q30="",FALSE,TRUE)</f>
        <v>0</v>
      </c>
      <c r="BD30">
        <f>IF(Metadata!R30="",FALSE,TRUE)</f>
        <v>0</v>
      </c>
      <c r="BE30">
        <f>OR(AND(IF(Metadata!S30="",FALSE,TRUE),OR(exact(Metadata!S30,"not collected"),exact(Metadata!S30,"not provided"),exact(Metadata!S30,"restricted access"))),AND(IF(Metadata!S30="",FALSE,ISNUMBER(VALUE(Metadata!S30))),Metadata!S30&gt;=-90.00,Metadata!S30&lt;=90.00))</f>
        <v>0</v>
      </c>
      <c r="BF30">
        <f>AND(IF(Metadata!T30="",FALSE,TRUE),exact(Metadata!T30,"Decimal degrees"))</f>
        <v>0</v>
      </c>
      <c r="BG30">
        <f>OR(AND(IF(Metadata!U30="",FALSE,TRUE),OR(exact(Metadata!U30,"not collected"),exact(Metadata!U30,"not provided"),exact(Metadata!U30,"restricted access"))),AND(IF(Metadata!U30="",FALSE,ISNUMBER(VALUE(Metadata!U30))),Metadata!U30&gt;=-180.00,Metadata!U30&lt;=180.00))</f>
        <v>0</v>
      </c>
      <c r="BH30">
        <f>AND(IF(Metadata!V30="",FALSE,TRUE),exact(Metadata!V30,"Decimal degrees"))</f>
        <v>0</v>
      </c>
      <c r="BI30">
        <f>IF(Metadata!W30="",FALSE,TRUE)</f>
        <v>0</v>
      </c>
      <c r="BJ30">
        <f>OR(AND(IF(Metadata!X30="",FALSE,TRUE),OR(exact(Metadata!X30,"not collected"),exact(Metadata!X30,"not provided"),exact(Metadata!X30,"restricted access"))),AND(IF(Metadata!X30="",FALSE,TRUE),OR(exact(Metadata!X30,"TRUE"),exact(Metadata!X30,"FALSE"))))</f>
        <v>0</v>
      </c>
      <c r="BK30">
        <f>AND(IF(Metadata!Y30="",FALSE,TRUE),exact(Metadata!Y30,"other"))</f>
        <v>0</v>
      </c>
      <c r="BL30">
        <f>IF(Metadata!Z30="",FALSE,TRUE)</f>
        <v>0</v>
      </c>
      <c r="BM30">
        <f>OR(AND(IF(Metadata!AA30="",FALSE,TRUE),OR(exact(Metadata!AA30,"not collected"),exact(Metadata!AA30,"not provided"))),AND(IF(Metadata!AA30="",FALSE,IF(ISERROR(INT(Metadata!AA30)),FALSE,INT(Metadata!AA30)=Metadata!AA30)),Metadata!AA30&gt;0))</f>
        <v>0</v>
      </c>
      <c r="BN30">
        <f>AND(IF(Metadata!AB30="",FALSE,TRUE),exact(Metadata!AB30,"Not applicable"))</f>
        <v>0</v>
      </c>
      <c r="BO30">
        <f>IF(Metadata!AC30="",FALSE,TRUE)</f>
        <v>0</v>
      </c>
    </row>
    <row r="31" spans="1:67">
      <c r="A31" s="5">
        <f>IF(B31=" "," ",HYPERLINK(CONCATENATE("#metadata!",ADDRESS(INDEX($AI$2:$AI$1001,MATCH(ROWS($AG$2:AG31),$AG$2:$AG$1001,0),0),1)),INDEX($AL$2:$AL$1001,MATCH(ROWS($AG$2:AG31),$AG$2:$AG$1001,0),0)))</f>
        <v>0</v>
      </c>
      <c r="B31" s="4">
        <f>IF(OR(INDEX($AH$2:$AH$1001,MATCH(ROWS($AG$2:AG31),$AG$2:$AG$1001,0),1)&gt;=100000,INDEX($AN$1005:$BO$1005,1,MATCH(COLUMNS($AN$1006:AN1006),$AN$1006:$BO$1006,0))&gt;=100000), " ",IF(INDEX($AN$2:$BO$1001,MATCH(ROWS($AG$2:AG31),$AG$2:$AG$1001,0),MATCH(COLUMNS($AN$1006:AN1006),$AN$1006:$BO$1006,0)), HYPERLINK("#",""), HYPERLINK(CONCATENATE("#Metadata!", ADDRESS(INDEX($AI$2:$AI$1001,MATCH(ROWS($AG$2:AG31),$AG$2:$AG$1001,0),0), INDEX($AN$1004:$BO$1004,1,MATCH(COLUMNS($AN$1006:AN1006),$AN$1006:$BO$1006,0)))),"Fix")))</f>
        <v>0</v>
      </c>
      <c r="C31" s="4">
        <f>IF(OR(INDEX($AH$2:$AH$1001,MATCH(ROWS($AG$2:AG31),$AG$2:$AG$1001,0),1)&gt;=100000,INDEX($AN$1005:$BO$1005,1,MATCH(COLUMNS($AN$1006:AO1006),$AN$1006:$BO$1006,0))&gt;=100000), " ",IF(INDEX($AN$2:$BO$1001,MATCH(ROWS($AG$2:AG31),$AG$2:$AG$1001,0),MATCH(COLUMNS($AN$1006:AO1006),$AN$1006:$BO$1006,0)), HYPERLINK("#",""), HYPERLINK(CONCATENATE("#Metadata!", ADDRESS(INDEX($AI$2:$AI$1001,MATCH(ROWS($AG$2:AG31),$AG$2:$AG$1001,0),0), INDEX($AN$1004:$BO$1004,1,MATCH(COLUMNS($AN$1006:AO1006),$AN$1006:$BO$1006,0)))),"Fix")))</f>
        <v>0</v>
      </c>
      <c r="D31" s="4">
        <f>IF(OR(INDEX($AH$2:$AH$1001,MATCH(ROWS($AG$2:AG31),$AG$2:$AG$1001,0),1)&gt;=100000,INDEX($AN$1005:$BO$1005,1,MATCH(COLUMNS($AN$1006:AP1006),$AN$1006:$BO$1006,0))&gt;=100000), " ",IF(INDEX($AN$2:$BO$1001,MATCH(ROWS($AG$2:AG31),$AG$2:$AG$1001,0),MATCH(COLUMNS($AN$1006:AP1006),$AN$1006:$BO$1006,0)), HYPERLINK("#",""), HYPERLINK(CONCATENATE("#Metadata!", ADDRESS(INDEX($AI$2:$AI$1001,MATCH(ROWS($AG$2:AG31),$AG$2:$AG$1001,0),0), INDEX($AN$1004:$BO$1004,1,MATCH(COLUMNS($AN$1006:AP1006),$AN$1006:$BO$1006,0)))),"Fix")))</f>
        <v>0</v>
      </c>
      <c r="E31" s="4">
        <f>IF(OR(INDEX($AH$2:$AH$1001,MATCH(ROWS($AG$2:AG31),$AG$2:$AG$1001,0),1)&gt;=100000,INDEX($AN$1005:$BO$1005,1,MATCH(COLUMNS($AN$1006:AQ1006),$AN$1006:$BO$1006,0))&gt;=100000), " ",IF(INDEX($AN$2:$BO$1001,MATCH(ROWS($AG$2:AG31),$AG$2:$AG$1001,0),MATCH(COLUMNS($AN$1006:AQ1006),$AN$1006:$BO$1006,0)), HYPERLINK("#",""), HYPERLINK(CONCATENATE("#Metadata!", ADDRESS(INDEX($AI$2:$AI$1001,MATCH(ROWS($AG$2:AG31),$AG$2:$AG$1001,0),0), INDEX($AN$1004:$BO$1004,1,MATCH(COLUMNS($AN$1006:AQ1006),$AN$1006:$BO$1006,0)))),"Fix")))</f>
        <v>0</v>
      </c>
      <c r="F31" s="4">
        <f>IF(OR(INDEX($AH$2:$AH$1001,MATCH(ROWS($AG$2:AG31),$AG$2:$AG$1001,0),1)&gt;=100000,INDEX($AN$1005:$BO$1005,1,MATCH(COLUMNS($AN$1006:AR1006),$AN$1006:$BO$1006,0))&gt;=100000), " ",IF(INDEX($AN$2:$BO$1001,MATCH(ROWS($AG$2:AG31),$AG$2:$AG$1001,0),MATCH(COLUMNS($AN$1006:AR1006),$AN$1006:$BO$1006,0)), HYPERLINK("#",""), HYPERLINK(CONCATENATE("#Metadata!", ADDRESS(INDEX($AI$2:$AI$1001,MATCH(ROWS($AG$2:AG31),$AG$2:$AG$1001,0),0), INDEX($AN$1004:$BO$1004,1,MATCH(COLUMNS($AN$1006:AR1006),$AN$1006:$BO$1006,0)))),"Fix")))</f>
        <v>0</v>
      </c>
      <c r="G31" s="4">
        <f>IF(OR(INDEX($AH$2:$AH$1001,MATCH(ROWS($AG$2:AG31),$AG$2:$AG$1001,0),1)&gt;=100000,INDEX($AN$1005:$BO$1005,1,MATCH(COLUMNS($AN$1006:AS1006),$AN$1006:$BO$1006,0))&gt;=100000), " ",IF(INDEX($AN$2:$BO$1001,MATCH(ROWS($AG$2:AG31),$AG$2:$AG$1001,0),MATCH(COLUMNS($AN$1006:AS1006),$AN$1006:$BO$1006,0)), HYPERLINK("#",""), HYPERLINK(CONCATENATE("#Metadata!", ADDRESS(INDEX($AI$2:$AI$1001,MATCH(ROWS($AG$2:AG31),$AG$2:$AG$1001,0),0), INDEX($AN$1004:$BO$1004,1,MATCH(COLUMNS($AN$1006:AS1006),$AN$1006:$BO$1006,0)))),"Fix")))</f>
        <v>0</v>
      </c>
      <c r="H31" s="4">
        <f>IF(OR(INDEX($AH$2:$AH$1001,MATCH(ROWS($AG$2:AG31),$AG$2:$AG$1001,0),1)&gt;=100000,INDEX($AN$1005:$BO$1005,1,MATCH(COLUMNS($AN$1006:AT1006),$AN$1006:$BO$1006,0))&gt;=100000), " ",IF(INDEX($AN$2:$BO$1001,MATCH(ROWS($AG$2:AG31),$AG$2:$AG$1001,0),MATCH(COLUMNS($AN$1006:AT1006),$AN$1006:$BO$1006,0)), HYPERLINK("#",""), HYPERLINK(CONCATENATE("#Metadata!", ADDRESS(INDEX($AI$2:$AI$1001,MATCH(ROWS($AG$2:AG31),$AG$2:$AG$1001,0),0), INDEX($AN$1004:$BO$1004,1,MATCH(COLUMNS($AN$1006:AT1006),$AN$1006:$BO$1006,0)))),"Fix")))</f>
        <v>0</v>
      </c>
      <c r="I31" s="4">
        <f>IF(OR(INDEX($AH$2:$AH$1001,MATCH(ROWS($AG$2:AG31),$AG$2:$AG$1001,0),1)&gt;=100000,INDEX($AN$1005:$BO$1005,1,MATCH(COLUMNS($AN$1006:AU1006),$AN$1006:$BO$1006,0))&gt;=100000), " ",IF(INDEX($AN$2:$BO$1001,MATCH(ROWS($AG$2:AG31),$AG$2:$AG$1001,0),MATCH(COLUMNS($AN$1006:AU1006),$AN$1006:$BO$1006,0)), HYPERLINK("#",""), HYPERLINK(CONCATENATE("#Metadata!", ADDRESS(INDEX($AI$2:$AI$1001,MATCH(ROWS($AG$2:AG31),$AG$2:$AG$1001,0),0), INDEX($AN$1004:$BO$1004,1,MATCH(COLUMNS($AN$1006:AU1006),$AN$1006:$BO$1006,0)))),"Fix")))</f>
        <v>0</v>
      </c>
      <c r="J31" s="4">
        <f>IF(OR(INDEX($AH$2:$AH$1001,MATCH(ROWS($AG$2:AG31),$AG$2:$AG$1001,0),1)&gt;=100000,INDEX($AN$1005:$BO$1005,1,MATCH(COLUMNS($AN$1006:AV1006),$AN$1006:$BO$1006,0))&gt;=100000), " ",IF(INDEX($AN$2:$BO$1001,MATCH(ROWS($AG$2:AG31),$AG$2:$AG$1001,0),MATCH(COLUMNS($AN$1006:AV1006),$AN$1006:$BO$1006,0)), HYPERLINK("#",""), HYPERLINK(CONCATENATE("#Metadata!", ADDRESS(INDEX($AI$2:$AI$1001,MATCH(ROWS($AG$2:AG31),$AG$2:$AG$1001,0),0), INDEX($AN$1004:$BO$1004,1,MATCH(COLUMNS($AN$1006:AV1006),$AN$1006:$BO$1006,0)))),"Fix")))</f>
        <v>0</v>
      </c>
      <c r="K31" s="4">
        <f>IF(OR(INDEX($AH$2:$AH$1001,MATCH(ROWS($AG$2:AG31),$AG$2:$AG$1001,0),1)&gt;=100000,INDEX($AN$1005:$BO$1005,1,MATCH(COLUMNS($AN$1006:AW1006),$AN$1006:$BO$1006,0))&gt;=100000), " ",IF(INDEX($AN$2:$BO$1001,MATCH(ROWS($AG$2:AG31),$AG$2:$AG$1001,0),MATCH(COLUMNS($AN$1006:AW1006),$AN$1006:$BO$1006,0)), HYPERLINK("#",""), HYPERLINK(CONCATENATE("#Metadata!", ADDRESS(INDEX($AI$2:$AI$1001,MATCH(ROWS($AG$2:AG31),$AG$2:$AG$1001,0),0), INDEX($AN$1004:$BO$1004,1,MATCH(COLUMNS($AN$1006:AW1006),$AN$1006:$BO$1006,0)))),"Fix")))</f>
        <v>0</v>
      </c>
      <c r="L31" s="4">
        <f>IF(OR(INDEX($AH$2:$AH$1001,MATCH(ROWS($AG$2:AG31),$AG$2:$AG$1001,0),1)&gt;=100000,INDEX($AN$1005:$BO$1005,1,MATCH(COLUMNS($AN$1006:AX1006),$AN$1006:$BO$1006,0))&gt;=100000), " ",IF(INDEX($AN$2:$BO$1001,MATCH(ROWS($AG$2:AG31),$AG$2:$AG$1001,0),MATCH(COLUMNS($AN$1006:AX1006),$AN$1006:$BO$1006,0)), HYPERLINK("#",""), HYPERLINK(CONCATENATE("#Metadata!", ADDRESS(INDEX($AI$2:$AI$1001,MATCH(ROWS($AG$2:AG31),$AG$2:$AG$1001,0),0), INDEX($AN$1004:$BO$1004,1,MATCH(COLUMNS($AN$1006:AX1006),$AN$1006:$BO$1006,0)))),"Fix")))</f>
        <v>0</v>
      </c>
      <c r="M31" s="4">
        <f>IF(OR(INDEX($AH$2:$AH$1001,MATCH(ROWS($AG$2:AG31),$AG$2:$AG$1001,0),1)&gt;=100000,INDEX($AN$1005:$BO$1005,1,MATCH(COLUMNS($AN$1006:AY1006),$AN$1006:$BO$1006,0))&gt;=100000), " ",IF(INDEX($AN$2:$BO$1001,MATCH(ROWS($AG$2:AG31),$AG$2:$AG$1001,0),MATCH(COLUMNS($AN$1006:AY1006),$AN$1006:$BO$1006,0)), HYPERLINK("#",""), HYPERLINK(CONCATENATE("#Metadata!", ADDRESS(INDEX($AI$2:$AI$1001,MATCH(ROWS($AG$2:AG31),$AG$2:$AG$1001,0),0), INDEX($AN$1004:$BO$1004,1,MATCH(COLUMNS($AN$1006:AY1006),$AN$1006:$BO$1006,0)))),"Fix")))</f>
        <v>0</v>
      </c>
      <c r="N31" s="4">
        <f>IF(OR(INDEX($AH$2:$AH$1001,MATCH(ROWS($AG$2:AG31),$AG$2:$AG$1001,0),1)&gt;=100000,INDEX($AN$1005:$BO$1005,1,MATCH(COLUMNS($AN$1006:AZ1006),$AN$1006:$BO$1006,0))&gt;=100000), " ",IF(INDEX($AN$2:$BO$1001,MATCH(ROWS($AG$2:AG31),$AG$2:$AG$1001,0),MATCH(COLUMNS($AN$1006:AZ1006),$AN$1006:$BO$1006,0)), HYPERLINK("#",""), HYPERLINK(CONCATENATE("#Metadata!", ADDRESS(INDEX($AI$2:$AI$1001,MATCH(ROWS($AG$2:AG31),$AG$2:$AG$1001,0),0), INDEX($AN$1004:$BO$1004,1,MATCH(COLUMNS($AN$1006:AZ1006),$AN$1006:$BO$1006,0)))),"Fix")))</f>
        <v>0</v>
      </c>
      <c r="O31" s="4">
        <f>IF(OR(INDEX($AH$2:$AH$1001,MATCH(ROWS($AG$2:AG31),$AG$2:$AG$1001,0),1)&gt;=100000,INDEX($AN$1005:$BO$1005,1,MATCH(COLUMNS($AN$1006:BA1006),$AN$1006:$BO$1006,0))&gt;=100000), " ",IF(INDEX($AN$2:$BO$1001,MATCH(ROWS($AG$2:AG31),$AG$2:$AG$1001,0),MATCH(COLUMNS($AN$1006:BA1006),$AN$1006:$BO$1006,0)), HYPERLINK("#",""), HYPERLINK(CONCATENATE("#Metadata!", ADDRESS(INDEX($AI$2:$AI$1001,MATCH(ROWS($AG$2:AG31),$AG$2:$AG$1001,0),0), INDEX($AN$1004:$BO$1004,1,MATCH(COLUMNS($AN$1006:BA1006),$AN$1006:$BO$1006,0)))),"Fix")))</f>
        <v>0</v>
      </c>
      <c r="P31" s="4">
        <f>IF(OR(INDEX($AH$2:$AH$1001,MATCH(ROWS($AG$2:AG31),$AG$2:$AG$1001,0),1)&gt;=100000,INDEX($AN$1005:$BO$1005,1,MATCH(COLUMNS($AN$1006:BB1006),$AN$1006:$BO$1006,0))&gt;=100000), " ",IF(INDEX($AN$2:$BO$1001,MATCH(ROWS($AG$2:AG31),$AG$2:$AG$1001,0),MATCH(COLUMNS($AN$1006:BB1006),$AN$1006:$BO$1006,0)), HYPERLINK("#",""), HYPERLINK(CONCATENATE("#Metadata!", ADDRESS(INDEX($AI$2:$AI$1001,MATCH(ROWS($AG$2:AG31),$AG$2:$AG$1001,0),0), INDEX($AN$1004:$BO$1004,1,MATCH(COLUMNS($AN$1006:BB1006),$AN$1006:$BO$1006,0)))),"Fix")))</f>
        <v>0</v>
      </c>
      <c r="Q31" s="4">
        <f>IF(OR(INDEX($AH$2:$AH$1001,MATCH(ROWS($AG$2:AG31),$AG$2:$AG$1001,0),1)&gt;=100000,INDEX($AN$1005:$BO$1005,1,MATCH(COLUMNS($AN$1006:BC1006),$AN$1006:$BO$1006,0))&gt;=100000), " ",IF(INDEX($AN$2:$BO$1001,MATCH(ROWS($AG$2:AG31),$AG$2:$AG$1001,0),MATCH(COLUMNS($AN$1006:BC1006),$AN$1006:$BO$1006,0)), HYPERLINK("#",""), HYPERLINK(CONCATENATE("#Metadata!", ADDRESS(INDEX($AI$2:$AI$1001,MATCH(ROWS($AG$2:AG31),$AG$2:$AG$1001,0),0), INDEX($AN$1004:$BO$1004,1,MATCH(COLUMNS($AN$1006:BC1006),$AN$1006:$BO$1006,0)))),"Fix")))</f>
        <v>0</v>
      </c>
      <c r="R31" s="4">
        <f>IF(OR(INDEX($AH$2:$AH$1001,MATCH(ROWS($AG$2:AG31),$AG$2:$AG$1001,0),1)&gt;=100000,INDEX($AN$1005:$BO$1005,1,MATCH(COLUMNS($AN$1006:BD1006),$AN$1006:$BO$1006,0))&gt;=100000), " ",IF(INDEX($AN$2:$BO$1001,MATCH(ROWS($AG$2:AG31),$AG$2:$AG$1001,0),MATCH(COLUMNS($AN$1006:BD1006),$AN$1006:$BO$1006,0)), HYPERLINK("#",""), HYPERLINK(CONCATENATE("#Metadata!", ADDRESS(INDEX($AI$2:$AI$1001,MATCH(ROWS($AG$2:AG31),$AG$2:$AG$1001,0),0), INDEX($AN$1004:$BO$1004,1,MATCH(COLUMNS($AN$1006:BD1006),$AN$1006:$BO$1006,0)))),"Fix")))</f>
        <v>0</v>
      </c>
      <c r="S31" s="4">
        <f>IF(OR(INDEX($AH$2:$AH$1001,MATCH(ROWS($AG$2:AG31),$AG$2:$AG$1001,0),1)&gt;=100000,INDEX($AN$1005:$BO$1005,1,MATCH(COLUMNS($AN$1006:BE1006),$AN$1006:$BO$1006,0))&gt;=100000), " ",IF(INDEX($AN$2:$BO$1001,MATCH(ROWS($AG$2:AG31),$AG$2:$AG$1001,0),MATCH(COLUMNS($AN$1006:BE1006),$AN$1006:$BO$1006,0)), HYPERLINK("#",""), HYPERLINK(CONCATENATE("#Metadata!", ADDRESS(INDEX($AI$2:$AI$1001,MATCH(ROWS($AG$2:AG31),$AG$2:$AG$1001,0),0), INDEX($AN$1004:$BO$1004,1,MATCH(COLUMNS($AN$1006:BE1006),$AN$1006:$BO$1006,0)))),"Fix")))</f>
        <v>0</v>
      </c>
      <c r="T31" s="4">
        <f>IF(OR(INDEX($AH$2:$AH$1001,MATCH(ROWS($AG$2:AG31),$AG$2:$AG$1001,0),1)&gt;=100000,INDEX($AN$1005:$BO$1005,1,MATCH(COLUMNS($AN$1006:BF1006),$AN$1006:$BO$1006,0))&gt;=100000), " ",IF(INDEX($AN$2:$BO$1001,MATCH(ROWS($AG$2:AG31),$AG$2:$AG$1001,0),MATCH(COLUMNS($AN$1006:BF1006),$AN$1006:$BO$1006,0)), HYPERLINK("#",""), HYPERLINK(CONCATENATE("#Metadata!", ADDRESS(INDEX($AI$2:$AI$1001,MATCH(ROWS($AG$2:AG31),$AG$2:$AG$1001,0),0), INDEX($AN$1004:$BO$1004,1,MATCH(COLUMNS($AN$1006:BF1006),$AN$1006:$BO$1006,0)))),"Fix")))</f>
        <v>0</v>
      </c>
      <c r="U31" s="4">
        <f>IF(OR(INDEX($AH$2:$AH$1001,MATCH(ROWS($AG$2:AG31),$AG$2:$AG$1001,0),1)&gt;=100000,INDEX($AN$1005:$BO$1005,1,MATCH(COLUMNS($AN$1006:BG1006),$AN$1006:$BO$1006,0))&gt;=100000), " ",IF(INDEX($AN$2:$BO$1001,MATCH(ROWS($AG$2:AG31),$AG$2:$AG$1001,0),MATCH(COLUMNS($AN$1006:BG1006),$AN$1006:$BO$1006,0)), HYPERLINK("#",""), HYPERLINK(CONCATENATE("#Metadata!", ADDRESS(INDEX($AI$2:$AI$1001,MATCH(ROWS($AG$2:AG31),$AG$2:$AG$1001,0),0), INDEX($AN$1004:$BO$1004,1,MATCH(COLUMNS($AN$1006:BG1006),$AN$1006:$BO$1006,0)))),"Fix")))</f>
        <v>0</v>
      </c>
      <c r="V31" s="4">
        <f>IF(OR(INDEX($AH$2:$AH$1001,MATCH(ROWS($AG$2:AG31),$AG$2:$AG$1001,0),1)&gt;=100000,INDEX($AN$1005:$BO$1005,1,MATCH(COLUMNS($AN$1006:BH1006),$AN$1006:$BO$1006,0))&gt;=100000), " ",IF(INDEX($AN$2:$BO$1001,MATCH(ROWS($AG$2:AG31),$AG$2:$AG$1001,0),MATCH(COLUMNS($AN$1006:BH1006),$AN$1006:$BO$1006,0)), HYPERLINK("#",""), HYPERLINK(CONCATENATE("#Metadata!", ADDRESS(INDEX($AI$2:$AI$1001,MATCH(ROWS($AG$2:AG31),$AG$2:$AG$1001,0),0), INDEX($AN$1004:$BO$1004,1,MATCH(COLUMNS($AN$1006:BH1006),$AN$1006:$BO$1006,0)))),"Fix")))</f>
        <v>0</v>
      </c>
      <c r="W31" s="4">
        <f>IF(OR(INDEX($AH$2:$AH$1001,MATCH(ROWS($AG$2:AG31),$AG$2:$AG$1001,0),1)&gt;=100000,INDEX($AN$1005:$BO$1005,1,MATCH(COLUMNS($AN$1006:BI1006),$AN$1006:$BO$1006,0))&gt;=100000), " ",IF(INDEX($AN$2:$BO$1001,MATCH(ROWS($AG$2:AG31),$AG$2:$AG$1001,0),MATCH(COLUMNS($AN$1006:BI1006),$AN$1006:$BO$1006,0)), HYPERLINK("#",""), HYPERLINK(CONCATENATE("#Metadata!", ADDRESS(INDEX($AI$2:$AI$1001,MATCH(ROWS($AG$2:AG31),$AG$2:$AG$1001,0),0), INDEX($AN$1004:$BO$1004,1,MATCH(COLUMNS($AN$1006:BI1006),$AN$1006:$BO$1006,0)))),"Fix")))</f>
        <v>0</v>
      </c>
      <c r="X31" s="4">
        <f>IF(OR(INDEX($AH$2:$AH$1001,MATCH(ROWS($AG$2:AG31),$AG$2:$AG$1001,0),1)&gt;=100000,INDEX($AN$1005:$BO$1005,1,MATCH(COLUMNS($AN$1006:BJ1006),$AN$1006:$BO$1006,0))&gt;=100000), " ",IF(INDEX($AN$2:$BO$1001,MATCH(ROWS($AG$2:AG31),$AG$2:$AG$1001,0),MATCH(COLUMNS($AN$1006:BJ1006),$AN$1006:$BO$1006,0)), HYPERLINK("#",""), HYPERLINK(CONCATENATE("#Metadata!", ADDRESS(INDEX($AI$2:$AI$1001,MATCH(ROWS($AG$2:AG31),$AG$2:$AG$1001,0),0), INDEX($AN$1004:$BO$1004,1,MATCH(COLUMNS($AN$1006:BJ1006),$AN$1006:$BO$1006,0)))),"Fix")))</f>
        <v>0</v>
      </c>
      <c r="Y31" s="4">
        <f>IF(OR(INDEX($AH$2:$AH$1001,MATCH(ROWS($AG$2:AG31),$AG$2:$AG$1001,0),1)&gt;=100000,INDEX($AN$1005:$BO$1005,1,MATCH(COLUMNS($AN$1006:BK1006),$AN$1006:$BO$1006,0))&gt;=100000), " ",IF(INDEX($AN$2:$BO$1001,MATCH(ROWS($AG$2:AG31),$AG$2:$AG$1001,0),MATCH(COLUMNS($AN$1006:BK1006),$AN$1006:$BO$1006,0)), HYPERLINK("#",""), HYPERLINK(CONCATENATE("#Metadata!", ADDRESS(INDEX($AI$2:$AI$1001,MATCH(ROWS($AG$2:AG31),$AG$2:$AG$1001,0),0), INDEX($AN$1004:$BO$1004,1,MATCH(COLUMNS($AN$1006:BK1006),$AN$1006:$BO$1006,0)))),"Fix")))</f>
        <v>0</v>
      </c>
      <c r="Z31" s="4">
        <f>IF(OR(INDEX($AH$2:$AH$1001,MATCH(ROWS($AG$2:AG31),$AG$2:$AG$1001,0),1)&gt;=100000,INDEX($AN$1005:$BO$1005,1,MATCH(COLUMNS($AN$1006:BL1006),$AN$1006:$BO$1006,0))&gt;=100000), " ",IF(INDEX($AN$2:$BO$1001,MATCH(ROWS($AG$2:AG31),$AG$2:$AG$1001,0),MATCH(COLUMNS($AN$1006:BL1006),$AN$1006:$BO$1006,0)), HYPERLINK("#",""), HYPERLINK(CONCATENATE("#Metadata!", ADDRESS(INDEX($AI$2:$AI$1001,MATCH(ROWS($AG$2:AG31),$AG$2:$AG$1001,0),0), INDEX($AN$1004:$BO$1004,1,MATCH(COLUMNS($AN$1006:BL1006),$AN$1006:$BO$1006,0)))),"Fix")))</f>
        <v>0</v>
      </c>
      <c r="AA31" s="4">
        <f>IF(OR(INDEX($AH$2:$AH$1001,MATCH(ROWS($AG$2:AG31),$AG$2:$AG$1001,0),1)&gt;=100000,INDEX($AN$1005:$BO$1005,1,MATCH(COLUMNS($AN$1006:BM1006),$AN$1006:$BO$1006,0))&gt;=100000), " ",IF(INDEX($AN$2:$BO$1001,MATCH(ROWS($AG$2:AG31),$AG$2:$AG$1001,0),MATCH(COLUMNS($AN$1006:BM1006),$AN$1006:$BO$1006,0)), HYPERLINK("#",""), HYPERLINK(CONCATENATE("#Metadata!", ADDRESS(INDEX($AI$2:$AI$1001,MATCH(ROWS($AG$2:AG31),$AG$2:$AG$1001,0),0), INDEX($AN$1004:$BO$1004,1,MATCH(COLUMNS($AN$1006:BM1006),$AN$1006:$BO$1006,0)))),"Fix")))</f>
        <v>0</v>
      </c>
      <c r="AB31" s="4">
        <f>IF(OR(INDEX($AH$2:$AH$1001,MATCH(ROWS($AG$2:AG31),$AG$2:$AG$1001,0),1)&gt;=100000,INDEX($AN$1005:$BO$1005,1,MATCH(COLUMNS($AN$1006:BN1006),$AN$1006:$BO$1006,0))&gt;=100000), " ",IF(INDEX($AN$2:$BO$1001,MATCH(ROWS($AG$2:AG31),$AG$2:$AG$1001,0),MATCH(COLUMNS($AN$1006:BN1006),$AN$1006:$BO$1006,0)), HYPERLINK("#",""), HYPERLINK(CONCATENATE("#Metadata!", ADDRESS(INDEX($AI$2:$AI$1001,MATCH(ROWS($AG$2:AG31),$AG$2:$AG$1001,0),0), INDEX($AN$1004:$BO$1004,1,MATCH(COLUMNS($AN$1006:BN1006),$AN$1006:$BO$1006,0)))),"Fix")))</f>
        <v>0</v>
      </c>
      <c r="AC31" s="4">
        <f>IF(OR(INDEX($AH$2:$AH$1001,MATCH(ROWS($AG$2:AG31),$AG$2:$AG$1001,0),1)&gt;=100000,INDEX($AN$1005:$BO$1005,1,MATCH(COLUMNS($AN$1006:BO1006),$AN$1006:$BO$1006,0))&gt;=100000), " ",IF(INDEX($AN$2:$BO$1001,MATCH(ROWS($AG$2:AG31),$AG$2:$AG$1001,0),MATCH(COLUMNS($AN$1006:BO1006),$AN$1006:$BO$1006,0)), HYPERLINK("#",""), HYPERLINK(CONCATENATE("#Metadata!", ADDRESS(INDEX($AI$2:$AI$1001,MATCH(ROWS($AG$2:AG31),$AG$2:$AG$1001,0),0), INDEX($AN$1004:$BO$1004,1,MATCH(COLUMNS($AN$1006:BO1006),$AN$1006:$BO$1006,0)))),"Fix")))</f>
        <v>0</v>
      </c>
      <c r="AG31">
        <v>0</v>
      </c>
      <c r="AH31">
        <v>0</v>
      </c>
      <c r="AI31">
        <v>0</v>
      </c>
      <c r="AJ31">
        <f>IF(AK31,TRUE,AND(AN31:BO31))</f>
        <v>0</v>
      </c>
      <c r="AK31">
        <f>COUNTBLANK(Metadata!B31:AC31)=COLUMNS(Metadata!B31:AC31)</f>
        <v>0</v>
      </c>
      <c r="AL31">
        <v>0</v>
      </c>
      <c r="AN31">
        <f>AND(IF(Metadata!B31="",FALSE,TRUE),COUNTIF(Metadata!B:B, Metadata!B31) = 1,NOT(ISERROR(SUMPRODUCT(SEARCH(MID(Metadata!B31,ROW(INDIRECT("1:"&amp;LEN(Metadata!B31))), 1),"0123456789abcdefghijklmnopqrstuvwxyzABCDEFGHIJKLMNOPQRSTUVWXYZ.")))))</f>
        <v>0</v>
      </c>
      <c r="AO31">
        <f>IF(Metadata!C31="",FALSE,TRUE)</f>
        <v>0</v>
      </c>
      <c r="AP31">
        <f>IF(Metadata!D31="",FALSE,TRUE)</f>
        <v>0</v>
      </c>
      <c r="AQ31">
        <f>OR(AND(IF(Metadata!E31="",FALSE,TRUE),OR(exact(Metadata!E31,"not collected"),exact(Metadata!E31,"not provided"),exact(Metadata!E31,"restricted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R31">
        <f>IF(Metadata!F31="",FALSE,TRUE)</f>
        <v>0</v>
      </c>
      <c r="AS31">
        <f>OR(AND(IF(Metadata!G31="",FALSE,TRUE),OR(exact(Metadata!G31,"not collected"),exact(Metadata!G31,"not provided"))),AND(IF(Metadata!G31="",FALSE,TRUE),OR(exact(Metadata!G31,"TRUE"),exact(Metadata!G31,"FALSE"))))</f>
        <v>0</v>
      </c>
      <c r="AT31">
        <f>OR(AND(IF(Metadata!H31="",FALSE,TRUE),OR(exact(Metadata!H31,"not collected"),exact(Metadata!H31,"not provided"),exact(Metadata!H31,"restricted access"))),AND(IF(Metadata!H31="",FALSE,ISNUMBER(VALUE(Metadata!H31))),Metadata!H31&gt;=-413.0))</f>
        <v>0</v>
      </c>
      <c r="AU31">
        <f>AND(IF(Metadata!I31="",FALSE,TRUE),exact(Metadata!I31,"meters"))</f>
        <v>0</v>
      </c>
      <c r="AV31">
        <f>AND(IF(Metadata!J31="",FALSE,TRUE),OR(exact(Metadata!J31,"Host-associated"),exact(Metadata!J31,"Free-living")))</f>
        <v>0</v>
      </c>
      <c r="AW31">
        <f>AND(IF(Metadata!K31="",FALSE,TRUE),OR(exact(Metadata!K31,"Animal"),exact(Metadata!K31,"Fungus"),exact(Metadata!K31,"Plant"),exact(Metadata!K31,"Saline"),exact(Metadata!K31,"Non-saline")))</f>
        <v>0</v>
      </c>
      <c r="AX31">
        <f>AND(IF(Metadata!L31="",FALSE,TRUE),OR(exact(Metadata!L31,"Plant secretion"),exact(Metadata!L31,"Plant rhizosphere"),exact(Metadata!L31,"Plant surface"),exact(Metadata!L31,"Plant corpus"),exact(Metadata!L31,"Fungus surface"),exact(Metadata!L31,"Fungus corpus"),exact(Metadata!L31,"Animal surface"),exact(Metadata!L31,"Animal proximal gut"),exact(Metadata!L31,"Animal corpus"),exact(Metadata!L31,"Animal distal gut"),exact(Metadata!L31,"Animal secretion"),exact(Metadata!L31,"Sub-surface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0</v>
      </c>
      <c r="AY31">
        <f>IF(Metadata!M31="",FALSE,TRUE)</f>
        <v>0</v>
      </c>
      <c r="AZ31">
        <f>IF(Metadata!N31="",FALSE,TRUE)</f>
        <v>0</v>
      </c>
      <c r="BA31">
        <f>IF(Metadata!O31="",FALSE,TRUE)</f>
        <v>0</v>
      </c>
      <c r="BB31">
        <f>OR(AND(IF(Metadata!P31="",FALSE,TRUE),OR(exact(Metadata!P31,"not collected"),exact(Metadata!P31,"not provided"),exact(Metadata!P31,"restricted access"))),AND(IF(Metadata!P31="",FALSE,TRUE),OR(exact(Metadata!P31,"air"),exact(Metadata!P31,"built environment"),exact(Metadata!P31,"host-associated"),exact(Metadata!P31,"human-associated"),exact(Metadata!P31,"human-skin"),exact(Metadata!P31,"human-oral"),exact(Metadata!P31,"human-gut"),exact(Metadata!P31,"human-vaginal"),exact(Metadata!P31,"microbial mat/biofilm"),exact(Metadata!P31,"misc environment"),exact(Metadata!P31,"plant-associated"),exact(Metadata!P31,"sediment"),exact(Metadata!P31,"soil"),exact(Metadata!P31,"wastewater/sludge"),exact(Metadata!P31,"water"))))</f>
        <v>0</v>
      </c>
      <c r="BC31">
        <f>IF(Metadata!Q31="",FALSE,TRUE)</f>
        <v>0</v>
      </c>
      <c r="BD31">
        <f>IF(Metadata!R31="",FALSE,TRUE)</f>
        <v>0</v>
      </c>
      <c r="BE31">
        <f>OR(AND(IF(Metadata!S31="",FALSE,TRUE),OR(exact(Metadata!S31,"not collected"),exact(Metadata!S31,"not provided"),exact(Metadata!S31,"restricted access"))),AND(IF(Metadata!S31="",FALSE,ISNUMBER(VALUE(Metadata!S31))),Metadata!S31&gt;=-90.00,Metadata!S31&lt;=90.00))</f>
        <v>0</v>
      </c>
      <c r="BF31">
        <f>AND(IF(Metadata!T31="",FALSE,TRUE),exact(Metadata!T31,"Decimal degrees"))</f>
        <v>0</v>
      </c>
      <c r="BG31">
        <f>OR(AND(IF(Metadata!U31="",FALSE,TRUE),OR(exact(Metadata!U31,"not collected"),exact(Metadata!U31,"not provided"),exact(Metadata!U31,"restricted access"))),AND(IF(Metadata!U31="",FALSE,ISNUMBER(VALUE(Metadata!U31))),Metadata!U31&gt;=-180.00,Metadata!U31&lt;=180.00))</f>
        <v>0</v>
      </c>
      <c r="BH31">
        <f>AND(IF(Metadata!V31="",FALSE,TRUE),exact(Metadata!V31,"Decimal degrees"))</f>
        <v>0</v>
      </c>
      <c r="BI31">
        <f>IF(Metadata!W31="",FALSE,TRUE)</f>
        <v>0</v>
      </c>
      <c r="BJ31">
        <f>OR(AND(IF(Metadata!X31="",FALSE,TRUE),OR(exact(Metadata!X31,"not collected"),exact(Metadata!X31,"not provided"),exact(Metadata!X31,"restricted access"))),AND(IF(Metadata!X31="",FALSE,TRUE),OR(exact(Metadata!X31,"TRUE"),exact(Metadata!X31,"FALSE"))))</f>
        <v>0</v>
      </c>
      <c r="BK31">
        <f>AND(IF(Metadata!Y31="",FALSE,TRUE),exact(Metadata!Y31,"other"))</f>
        <v>0</v>
      </c>
      <c r="BL31">
        <f>IF(Metadata!Z31="",FALSE,TRUE)</f>
        <v>0</v>
      </c>
      <c r="BM31">
        <f>OR(AND(IF(Metadata!AA31="",FALSE,TRUE),OR(exact(Metadata!AA31,"not collected"),exact(Metadata!AA31,"not provided"))),AND(IF(Metadata!AA31="",FALSE,IF(ISERROR(INT(Metadata!AA31)),FALSE,INT(Metadata!AA31)=Metadata!AA31)),Metadata!AA31&gt;0))</f>
        <v>0</v>
      </c>
      <c r="BN31">
        <f>AND(IF(Metadata!AB31="",FALSE,TRUE),exact(Metadata!AB31,"Not applicable"))</f>
        <v>0</v>
      </c>
      <c r="BO31">
        <f>IF(Metadata!AC31="",FALSE,TRUE)</f>
        <v>0</v>
      </c>
    </row>
    <row r="32" spans="1:67">
      <c r="A32" s="5">
        <f>IF(B32=" "," ",HYPERLINK(CONCATENATE("#metadata!",ADDRESS(INDEX($AI$2:$AI$1001,MATCH(ROWS($AG$2:AG32),$AG$2:$AG$1001,0),0),1)),INDEX($AL$2:$AL$1001,MATCH(ROWS($AG$2:AG32),$AG$2:$AG$1001,0),0)))</f>
        <v>0</v>
      </c>
      <c r="B32" s="4">
        <f>IF(OR(INDEX($AH$2:$AH$1001,MATCH(ROWS($AG$2:AG32),$AG$2:$AG$1001,0),1)&gt;=100000,INDEX($AN$1005:$BO$1005,1,MATCH(COLUMNS($AN$1006:AN1006),$AN$1006:$BO$1006,0))&gt;=100000), " ",IF(INDEX($AN$2:$BO$1001,MATCH(ROWS($AG$2:AG32),$AG$2:$AG$1001,0),MATCH(COLUMNS($AN$1006:AN1006),$AN$1006:$BO$1006,0)), HYPERLINK("#",""), HYPERLINK(CONCATENATE("#Metadata!", ADDRESS(INDEX($AI$2:$AI$1001,MATCH(ROWS($AG$2:AG32),$AG$2:$AG$1001,0),0), INDEX($AN$1004:$BO$1004,1,MATCH(COLUMNS($AN$1006:AN1006),$AN$1006:$BO$1006,0)))),"Fix")))</f>
        <v>0</v>
      </c>
      <c r="C32" s="4">
        <f>IF(OR(INDEX($AH$2:$AH$1001,MATCH(ROWS($AG$2:AG32),$AG$2:$AG$1001,0),1)&gt;=100000,INDEX($AN$1005:$BO$1005,1,MATCH(COLUMNS($AN$1006:AO1006),$AN$1006:$BO$1006,0))&gt;=100000), " ",IF(INDEX($AN$2:$BO$1001,MATCH(ROWS($AG$2:AG32),$AG$2:$AG$1001,0),MATCH(COLUMNS($AN$1006:AO1006),$AN$1006:$BO$1006,0)), HYPERLINK("#",""), HYPERLINK(CONCATENATE("#Metadata!", ADDRESS(INDEX($AI$2:$AI$1001,MATCH(ROWS($AG$2:AG32),$AG$2:$AG$1001,0),0), INDEX($AN$1004:$BO$1004,1,MATCH(COLUMNS($AN$1006:AO1006),$AN$1006:$BO$1006,0)))),"Fix")))</f>
        <v>0</v>
      </c>
      <c r="D32" s="4">
        <f>IF(OR(INDEX($AH$2:$AH$1001,MATCH(ROWS($AG$2:AG32),$AG$2:$AG$1001,0),1)&gt;=100000,INDEX($AN$1005:$BO$1005,1,MATCH(COLUMNS($AN$1006:AP1006),$AN$1006:$BO$1006,0))&gt;=100000), " ",IF(INDEX($AN$2:$BO$1001,MATCH(ROWS($AG$2:AG32),$AG$2:$AG$1001,0),MATCH(COLUMNS($AN$1006:AP1006),$AN$1006:$BO$1006,0)), HYPERLINK("#",""), HYPERLINK(CONCATENATE("#Metadata!", ADDRESS(INDEX($AI$2:$AI$1001,MATCH(ROWS($AG$2:AG32),$AG$2:$AG$1001,0),0), INDEX($AN$1004:$BO$1004,1,MATCH(COLUMNS($AN$1006:AP1006),$AN$1006:$BO$1006,0)))),"Fix")))</f>
        <v>0</v>
      </c>
      <c r="E32" s="4">
        <f>IF(OR(INDEX($AH$2:$AH$1001,MATCH(ROWS($AG$2:AG32),$AG$2:$AG$1001,0),1)&gt;=100000,INDEX($AN$1005:$BO$1005,1,MATCH(COLUMNS($AN$1006:AQ1006),$AN$1006:$BO$1006,0))&gt;=100000), " ",IF(INDEX($AN$2:$BO$1001,MATCH(ROWS($AG$2:AG32),$AG$2:$AG$1001,0),MATCH(COLUMNS($AN$1006:AQ1006),$AN$1006:$BO$1006,0)), HYPERLINK("#",""), HYPERLINK(CONCATENATE("#Metadata!", ADDRESS(INDEX($AI$2:$AI$1001,MATCH(ROWS($AG$2:AG32),$AG$2:$AG$1001,0),0), INDEX($AN$1004:$BO$1004,1,MATCH(COLUMNS($AN$1006:AQ1006),$AN$1006:$BO$1006,0)))),"Fix")))</f>
        <v>0</v>
      </c>
      <c r="F32" s="4">
        <f>IF(OR(INDEX($AH$2:$AH$1001,MATCH(ROWS($AG$2:AG32),$AG$2:$AG$1001,0),1)&gt;=100000,INDEX($AN$1005:$BO$1005,1,MATCH(COLUMNS($AN$1006:AR1006),$AN$1006:$BO$1006,0))&gt;=100000), " ",IF(INDEX($AN$2:$BO$1001,MATCH(ROWS($AG$2:AG32),$AG$2:$AG$1001,0),MATCH(COLUMNS($AN$1006:AR1006),$AN$1006:$BO$1006,0)), HYPERLINK("#",""), HYPERLINK(CONCATENATE("#Metadata!", ADDRESS(INDEX($AI$2:$AI$1001,MATCH(ROWS($AG$2:AG32),$AG$2:$AG$1001,0),0), INDEX($AN$1004:$BO$1004,1,MATCH(COLUMNS($AN$1006:AR1006),$AN$1006:$BO$1006,0)))),"Fix")))</f>
        <v>0</v>
      </c>
      <c r="G32" s="4">
        <f>IF(OR(INDEX($AH$2:$AH$1001,MATCH(ROWS($AG$2:AG32),$AG$2:$AG$1001,0),1)&gt;=100000,INDEX($AN$1005:$BO$1005,1,MATCH(COLUMNS($AN$1006:AS1006),$AN$1006:$BO$1006,0))&gt;=100000), " ",IF(INDEX($AN$2:$BO$1001,MATCH(ROWS($AG$2:AG32),$AG$2:$AG$1001,0),MATCH(COLUMNS($AN$1006:AS1006),$AN$1006:$BO$1006,0)), HYPERLINK("#",""), HYPERLINK(CONCATENATE("#Metadata!", ADDRESS(INDEX($AI$2:$AI$1001,MATCH(ROWS($AG$2:AG32),$AG$2:$AG$1001,0),0), INDEX($AN$1004:$BO$1004,1,MATCH(COLUMNS($AN$1006:AS1006),$AN$1006:$BO$1006,0)))),"Fix")))</f>
        <v>0</v>
      </c>
      <c r="H32" s="4">
        <f>IF(OR(INDEX($AH$2:$AH$1001,MATCH(ROWS($AG$2:AG32),$AG$2:$AG$1001,0),1)&gt;=100000,INDEX($AN$1005:$BO$1005,1,MATCH(COLUMNS($AN$1006:AT1006),$AN$1006:$BO$1006,0))&gt;=100000), " ",IF(INDEX($AN$2:$BO$1001,MATCH(ROWS($AG$2:AG32),$AG$2:$AG$1001,0),MATCH(COLUMNS($AN$1006:AT1006),$AN$1006:$BO$1006,0)), HYPERLINK("#",""), HYPERLINK(CONCATENATE("#Metadata!", ADDRESS(INDEX($AI$2:$AI$1001,MATCH(ROWS($AG$2:AG32),$AG$2:$AG$1001,0),0), INDEX($AN$1004:$BO$1004,1,MATCH(COLUMNS($AN$1006:AT1006),$AN$1006:$BO$1006,0)))),"Fix")))</f>
        <v>0</v>
      </c>
      <c r="I32" s="4">
        <f>IF(OR(INDEX($AH$2:$AH$1001,MATCH(ROWS($AG$2:AG32),$AG$2:$AG$1001,0),1)&gt;=100000,INDEX($AN$1005:$BO$1005,1,MATCH(COLUMNS($AN$1006:AU1006),$AN$1006:$BO$1006,0))&gt;=100000), " ",IF(INDEX($AN$2:$BO$1001,MATCH(ROWS($AG$2:AG32),$AG$2:$AG$1001,0),MATCH(COLUMNS($AN$1006:AU1006),$AN$1006:$BO$1006,0)), HYPERLINK("#",""), HYPERLINK(CONCATENATE("#Metadata!", ADDRESS(INDEX($AI$2:$AI$1001,MATCH(ROWS($AG$2:AG32),$AG$2:$AG$1001,0),0), INDEX($AN$1004:$BO$1004,1,MATCH(COLUMNS($AN$1006:AU1006),$AN$1006:$BO$1006,0)))),"Fix")))</f>
        <v>0</v>
      </c>
      <c r="J32" s="4">
        <f>IF(OR(INDEX($AH$2:$AH$1001,MATCH(ROWS($AG$2:AG32),$AG$2:$AG$1001,0),1)&gt;=100000,INDEX($AN$1005:$BO$1005,1,MATCH(COLUMNS($AN$1006:AV1006),$AN$1006:$BO$1006,0))&gt;=100000), " ",IF(INDEX($AN$2:$BO$1001,MATCH(ROWS($AG$2:AG32),$AG$2:$AG$1001,0),MATCH(COLUMNS($AN$1006:AV1006),$AN$1006:$BO$1006,0)), HYPERLINK("#",""), HYPERLINK(CONCATENATE("#Metadata!", ADDRESS(INDEX($AI$2:$AI$1001,MATCH(ROWS($AG$2:AG32),$AG$2:$AG$1001,0),0), INDEX($AN$1004:$BO$1004,1,MATCH(COLUMNS($AN$1006:AV1006),$AN$1006:$BO$1006,0)))),"Fix")))</f>
        <v>0</v>
      </c>
      <c r="K32" s="4">
        <f>IF(OR(INDEX($AH$2:$AH$1001,MATCH(ROWS($AG$2:AG32),$AG$2:$AG$1001,0),1)&gt;=100000,INDEX($AN$1005:$BO$1005,1,MATCH(COLUMNS($AN$1006:AW1006),$AN$1006:$BO$1006,0))&gt;=100000), " ",IF(INDEX($AN$2:$BO$1001,MATCH(ROWS($AG$2:AG32),$AG$2:$AG$1001,0),MATCH(COLUMNS($AN$1006:AW1006),$AN$1006:$BO$1006,0)), HYPERLINK("#",""), HYPERLINK(CONCATENATE("#Metadata!", ADDRESS(INDEX($AI$2:$AI$1001,MATCH(ROWS($AG$2:AG32),$AG$2:$AG$1001,0),0), INDEX($AN$1004:$BO$1004,1,MATCH(COLUMNS($AN$1006:AW1006),$AN$1006:$BO$1006,0)))),"Fix")))</f>
        <v>0</v>
      </c>
      <c r="L32" s="4">
        <f>IF(OR(INDEX($AH$2:$AH$1001,MATCH(ROWS($AG$2:AG32),$AG$2:$AG$1001,0),1)&gt;=100000,INDEX($AN$1005:$BO$1005,1,MATCH(COLUMNS($AN$1006:AX1006),$AN$1006:$BO$1006,0))&gt;=100000), " ",IF(INDEX($AN$2:$BO$1001,MATCH(ROWS($AG$2:AG32),$AG$2:$AG$1001,0),MATCH(COLUMNS($AN$1006:AX1006),$AN$1006:$BO$1006,0)), HYPERLINK("#",""), HYPERLINK(CONCATENATE("#Metadata!", ADDRESS(INDEX($AI$2:$AI$1001,MATCH(ROWS($AG$2:AG32),$AG$2:$AG$1001,0),0), INDEX($AN$1004:$BO$1004,1,MATCH(COLUMNS($AN$1006:AX1006),$AN$1006:$BO$1006,0)))),"Fix")))</f>
        <v>0</v>
      </c>
      <c r="M32" s="4">
        <f>IF(OR(INDEX($AH$2:$AH$1001,MATCH(ROWS($AG$2:AG32),$AG$2:$AG$1001,0),1)&gt;=100000,INDEX($AN$1005:$BO$1005,1,MATCH(COLUMNS($AN$1006:AY1006),$AN$1006:$BO$1006,0))&gt;=100000), " ",IF(INDEX($AN$2:$BO$1001,MATCH(ROWS($AG$2:AG32),$AG$2:$AG$1001,0),MATCH(COLUMNS($AN$1006:AY1006),$AN$1006:$BO$1006,0)), HYPERLINK("#",""), HYPERLINK(CONCATENATE("#Metadata!", ADDRESS(INDEX($AI$2:$AI$1001,MATCH(ROWS($AG$2:AG32),$AG$2:$AG$1001,0),0), INDEX($AN$1004:$BO$1004,1,MATCH(COLUMNS($AN$1006:AY1006),$AN$1006:$BO$1006,0)))),"Fix")))</f>
        <v>0</v>
      </c>
      <c r="N32" s="4">
        <f>IF(OR(INDEX($AH$2:$AH$1001,MATCH(ROWS($AG$2:AG32),$AG$2:$AG$1001,0),1)&gt;=100000,INDEX($AN$1005:$BO$1005,1,MATCH(COLUMNS($AN$1006:AZ1006),$AN$1006:$BO$1006,0))&gt;=100000), " ",IF(INDEX($AN$2:$BO$1001,MATCH(ROWS($AG$2:AG32),$AG$2:$AG$1001,0),MATCH(COLUMNS($AN$1006:AZ1006),$AN$1006:$BO$1006,0)), HYPERLINK("#",""), HYPERLINK(CONCATENATE("#Metadata!", ADDRESS(INDEX($AI$2:$AI$1001,MATCH(ROWS($AG$2:AG32),$AG$2:$AG$1001,0),0), INDEX($AN$1004:$BO$1004,1,MATCH(COLUMNS($AN$1006:AZ1006),$AN$1006:$BO$1006,0)))),"Fix")))</f>
        <v>0</v>
      </c>
      <c r="O32" s="4">
        <f>IF(OR(INDEX($AH$2:$AH$1001,MATCH(ROWS($AG$2:AG32),$AG$2:$AG$1001,0),1)&gt;=100000,INDEX($AN$1005:$BO$1005,1,MATCH(COLUMNS($AN$1006:BA1006),$AN$1006:$BO$1006,0))&gt;=100000), " ",IF(INDEX($AN$2:$BO$1001,MATCH(ROWS($AG$2:AG32),$AG$2:$AG$1001,0),MATCH(COLUMNS($AN$1006:BA1006),$AN$1006:$BO$1006,0)), HYPERLINK("#",""), HYPERLINK(CONCATENATE("#Metadata!", ADDRESS(INDEX($AI$2:$AI$1001,MATCH(ROWS($AG$2:AG32),$AG$2:$AG$1001,0),0), INDEX($AN$1004:$BO$1004,1,MATCH(COLUMNS($AN$1006:BA1006),$AN$1006:$BO$1006,0)))),"Fix")))</f>
        <v>0</v>
      </c>
      <c r="P32" s="4">
        <f>IF(OR(INDEX($AH$2:$AH$1001,MATCH(ROWS($AG$2:AG32),$AG$2:$AG$1001,0),1)&gt;=100000,INDEX($AN$1005:$BO$1005,1,MATCH(COLUMNS($AN$1006:BB1006),$AN$1006:$BO$1006,0))&gt;=100000), " ",IF(INDEX($AN$2:$BO$1001,MATCH(ROWS($AG$2:AG32),$AG$2:$AG$1001,0),MATCH(COLUMNS($AN$1006:BB1006),$AN$1006:$BO$1006,0)), HYPERLINK("#",""), HYPERLINK(CONCATENATE("#Metadata!", ADDRESS(INDEX($AI$2:$AI$1001,MATCH(ROWS($AG$2:AG32),$AG$2:$AG$1001,0),0), INDEX($AN$1004:$BO$1004,1,MATCH(COLUMNS($AN$1006:BB1006),$AN$1006:$BO$1006,0)))),"Fix")))</f>
        <v>0</v>
      </c>
      <c r="Q32" s="4">
        <f>IF(OR(INDEX($AH$2:$AH$1001,MATCH(ROWS($AG$2:AG32),$AG$2:$AG$1001,0),1)&gt;=100000,INDEX($AN$1005:$BO$1005,1,MATCH(COLUMNS($AN$1006:BC1006),$AN$1006:$BO$1006,0))&gt;=100000), " ",IF(INDEX($AN$2:$BO$1001,MATCH(ROWS($AG$2:AG32),$AG$2:$AG$1001,0),MATCH(COLUMNS($AN$1006:BC1006),$AN$1006:$BO$1006,0)), HYPERLINK("#",""), HYPERLINK(CONCATENATE("#Metadata!", ADDRESS(INDEX($AI$2:$AI$1001,MATCH(ROWS($AG$2:AG32),$AG$2:$AG$1001,0),0), INDEX($AN$1004:$BO$1004,1,MATCH(COLUMNS($AN$1006:BC1006),$AN$1006:$BO$1006,0)))),"Fix")))</f>
        <v>0</v>
      </c>
      <c r="R32" s="4">
        <f>IF(OR(INDEX($AH$2:$AH$1001,MATCH(ROWS($AG$2:AG32),$AG$2:$AG$1001,0),1)&gt;=100000,INDEX($AN$1005:$BO$1005,1,MATCH(COLUMNS($AN$1006:BD1006),$AN$1006:$BO$1006,0))&gt;=100000), " ",IF(INDEX($AN$2:$BO$1001,MATCH(ROWS($AG$2:AG32),$AG$2:$AG$1001,0),MATCH(COLUMNS($AN$1006:BD1006),$AN$1006:$BO$1006,0)), HYPERLINK("#",""), HYPERLINK(CONCATENATE("#Metadata!", ADDRESS(INDEX($AI$2:$AI$1001,MATCH(ROWS($AG$2:AG32),$AG$2:$AG$1001,0),0), INDEX($AN$1004:$BO$1004,1,MATCH(COLUMNS($AN$1006:BD1006),$AN$1006:$BO$1006,0)))),"Fix")))</f>
        <v>0</v>
      </c>
      <c r="S32" s="4">
        <f>IF(OR(INDEX($AH$2:$AH$1001,MATCH(ROWS($AG$2:AG32),$AG$2:$AG$1001,0),1)&gt;=100000,INDEX($AN$1005:$BO$1005,1,MATCH(COLUMNS($AN$1006:BE1006),$AN$1006:$BO$1006,0))&gt;=100000), " ",IF(INDEX($AN$2:$BO$1001,MATCH(ROWS($AG$2:AG32),$AG$2:$AG$1001,0),MATCH(COLUMNS($AN$1006:BE1006),$AN$1006:$BO$1006,0)), HYPERLINK("#",""), HYPERLINK(CONCATENATE("#Metadata!", ADDRESS(INDEX($AI$2:$AI$1001,MATCH(ROWS($AG$2:AG32),$AG$2:$AG$1001,0),0), INDEX($AN$1004:$BO$1004,1,MATCH(COLUMNS($AN$1006:BE1006),$AN$1006:$BO$1006,0)))),"Fix")))</f>
        <v>0</v>
      </c>
      <c r="T32" s="4">
        <f>IF(OR(INDEX($AH$2:$AH$1001,MATCH(ROWS($AG$2:AG32),$AG$2:$AG$1001,0),1)&gt;=100000,INDEX($AN$1005:$BO$1005,1,MATCH(COLUMNS($AN$1006:BF1006),$AN$1006:$BO$1006,0))&gt;=100000), " ",IF(INDEX($AN$2:$BO$1001,MATCH(ROWS($AG$2:AG32),$AG$2:$AG$1001,0),MATCH(COLUMNS($AN$1006:BF1006),$AN$1006:$BO$1006,0)), HYPERLINK("#",""), HYPERLINK(CONCATENATE("#Metadata!", ADDRESS(INDEX($AI$2:$AI$1001,MATCH(ROWS($AG$2:AG32),$AG$2:$AG$1001,0),0), INDEX($AN$1004:$BO$1004,1,MATCH(COLUMNS($AN$1006:BF1006),$AN$1006:$BO$1006,0)))),"Fix")))</f>
        <v>0</v>
      </c>
      <c r="U32" s="4">
        <f>IF(OR(INDEX($AH$2:$AH$1001,MATCH(ROWS($AG$2:AG32),$AG$2:$AG$1001,0),1)&gt;=100000,INDEX($AN$1005:$BO$1005,1,MATCH(COLUMNS($AN$1006:BG1006),$AN$1006:$BO$1006,0))&gt;=100000), " ",IF(INDEX($AN$2:$BO$1001,MATCH(ROWS($AG$2:AG32),$AG$2:$AG$1001,0),MATCH(COLUMNS($AN$1006:BG1006),$AN$1006:$BO$1006,0)), HYPERLINK("#",""), HYPERLINK(CONCATENATE("#Metadata!", ADDRESS(INDEX($AI$2:$AI$1001,MATCH(ROWS($AG$2:AG32),$AG$2:$AG$1001,0),0), INDEX($AN$1004:$BO$1004,1,MATCH(COLUMNS($AN$1006:BG1006),$AN$1006:$BO$1006,0)))),"Fix")))</f>
        <v>0</v>
      </c>
      <c r="V32" s="4">
        <f>IF(OR(INDEX($AH$2:$AH$1001,MATCH(ROWS($AG$2:AG32),$AG$2:$AG$1001,0),1)&gt;=100000,INDEX($AN$1005:$BO$1005,1,MATCH(COLUMNS($AN$1006:BH1006),$AN$1006:$BO$1006,0))&gt;=100000), " ",IF(INDEX($AN$2:$BO$1001,MATCH(ROWS($AG$2:AG32),$AG$2:$AG$1001,0),MATCH(COLUMNS($AN$1006:BH1006),$AN$1006:$BO$1006,0)), HYPERLINK("#",""), HYPERLINK(CONCATENATE("#Metadata!", ADDRESS(INDEX($AI$2:$AI$1001,MATCH(ROWS($AG$2:AG32),$AG$2:$AG$1001,0),0), INDEX($AN$1004:$BO$1004,1,MATCH(COLUMNS($AN$1006:BH1006),$AN$1006:$BO$1006,0)))),"Fix")))</f>
        <v>0</v>
      </c>
      <c r="W32" s="4">
        <f>IF(OR(INDEX($AH$2:$AH$1001,MATCH(ROWS($AG$2:AG32),$AG$2:$AG$1001,0),1)&gt;=100000,INDEX($AN$1005:$BO$1005,1,MATCH(COLUMNS($AN$1006:BI1006),$AN$1006:$BO$1006,0))&gt;=100000), " ",IF(INDEX($AN$2:$BO$1001,MATCH(ROWS($AG$2:AG32),$AG$2:$AG$1001,0),MATCH(COLUMNS($AN$1006:BI1006),$AN$1006:$BO$1006,0)), HYPERLINK("#",""), HYPERLINK(CONCATENATE("#Metadata!", ADDRESS(INDEX($AI$2:$AI$1001,MATCH(ROWS($AG$2:AG32),$AG$2:$AG$1001,0),0), INDEX($AN$1004:$BO$1004,1,MATCH(COLUMNS($AN$1006:BI1006),$AN$1006:$BO$1006,0)))),"Fix")))</f>
        <v>0</v>
      </c>
      <c r="X32" s="4">
        <f>IF(OR(INDEX($AH$2:$AH$1001,MATCH(ROWS($AG$2:AG32),$AG$2:$AG$1001,0),1)&gt;=100000,INDEX($AN$1005:$BO$1005,1,MATCH(COLUMNS($AN$1006:BJ1006),$AN$1006:$BO$1006,0))&gt;=100000), " ",IF(INDEX($AN$2:$BO$1001,MATCH(ROWS($AG$2:AG32),$AG$2:$AG$1001,0),MATCH(COLUMNS($AN$1006:BJ1006),$AN$1006:$BO$1006,0)), HYPERLINK("#",""), HYPERLINK(CONCATENATE("#Metadata!", ADDRESS(INDEX($AI$2:$AI$1001,MATCH(ROWS($AG$2:AG32),$AG$2:$AG$1001,0),0), INDEX($AN$1004:$BO$1004,1,MATCH(COLUMNS($AN$1006:BJ1006),$AN$1006:$BO$1006,0)))),"Fix")))</f>
        <v>0</v>
      </c>
      <c r="Y32" s="4">
        <f>IF(OR(INDEX($AH$2:$AH$1001,MATCH(ROWS($AG$2:AG32),$AG$2:$AG$1001,0),1)&gt;=100000,INDEX($AN$1005:$BO$1005,1,MATCH(COLUMNS($AN$1006:BK1006),$AN$1006:$BO$1006,0))&gt;=100000), " ",IF(INDEX($AN$2:$BO$1001,MATCH(ROWS($AG$2:AG32),$AG$2:$AG$1001,0),MATCH(COLUMNS($AN$1006:BK1006),$AN$1006:$BO$1006,0)), HYPERLINK("#",""), HYPERLINK(CONCATENATE("#Metadata!", ADDRESS(INDEX($AI$2:$AI$1001,MATCH(ROWS($AG$2:AG32),$AG$2:$AG$1001,0),0), INDEX($AN$1004:$BO$1004,1,MATCH(COLUMNS($AN$1006:BK1006),$AN$1006:$BO$1006,0)))),"Fix")))</f>
        <v>0</v>
      </c>
      <c r="Z32" s="4">
        <f>IF(OR(INDEX($AH$2:$AH$1001,MATCH(ROWS($AG$2:AG32),$AG$2:$AG$1001,0),1)&gt;=100000,INDEX($AN$1005:$BO$1005,1,MATCH(COLUMNS($AN$1006:BL1006),$AN$1006:$BO$1006,0))&gt;=100000), " ",IF(INDEX($AN$2:$BO$1001,MATCH(ROWS($AG$2:AG32),$AG$2:$AG$1001,0),MATCH(COLUMNS($AN$1006:BL1006),$AN$1006:$BO$1006,0)), HYPERLINK("#",""), HYPERLINK(CONCATENATE("#Metadata!", ADDRESS(INDEX($AI$2:$AI$1001,MATCH(ROWS($AG$2:AG32),$AG$2:$AG$1001,0),0), INDEX($AN$1004:$BO$1004,1,MATCH(COLUMNS($AN$1006:BL1006),$AN$1006:$BO$1006,0)))),"Fix")))</f>
        <v>0</v>
      </c>
      <c r="AA32" s="4">
        <f>IF(OR(INDEX($AH$2:$AH$1001,MATCH(ROWS($AG$2:AG32),$AG$2:$AG$1001,0),1)&gt;=100000,INDEX($AN$1005:$BO$1005,1,MATCH(COLUMNS($AN$1006:BM1006),$AN$1006:$BO$1006,0))&gt;=100000), " ",IF(INDEX($AN$2:$BO$1001,MATCH(ROWS($AG$2:AG32),$AG$2:$AG$1001,0),MATCH(COLUMNS($AN$1006:BM1006),$AN$1006:$BO$1006,0)), HYPERLINK("#",""), HYPERLINK(CONCATENATE("#Metadata!", ADDRESS(INDEX($AI$2:$AI$1001,MATCH(ROWS($AG$2:AG32),$AG$2:$AG$1001,0),0), INDEX($AN$1004:$BO$1004,1,MATCH(COLUMNS($AN$1006:BM1006),$AN$1006:$BO$1006,0)))),"Fix")))</f>
        <v>0</v>
      </c>
      <c r="AB32" s="4">
        <f>IF(OR(INDEX($AH$2:$AH$1001,MATCH(ROWS($AG$2:AG32),$AG$2:$AG$1001,0),1)&gt;=100000,INDEX($AN$1005:$BO$1005,1,MATCH(COLUMNS($AN$1006:BN1006),$AN$1006:$BO$1006,0))&gt;=100000), " ",IF(INDEX($AN$2:$BO$1001,MATCH(ROWS($AG$2:AG32),$AG$2:$AG$1001,0),MATCH(COLUMNS($AN$1006:BN1006),$AN$1006:$BO$1006,0)), HYPERLINK("#",""), HYPERLINK(CONCATENATE("#Metadata!", ADDRESS(INDEX($AI$2:$AI$1001,MATCH(ROWS($AG$2:AG32),$AG$2:$AG$1001,0),0), INDEX($AN$1004:$BO$1004,1,MATCH(COLUMNS($AN$1006:BN1006),$AN$1006:$BO$1006,0)))),"Fix")))</f>
        <v>0</v>
      </c>
      <c r="AC32" s="4">
        <f>IF(OR(INDEX($AH$2:$AH$1001,MATCH(ROWS($AG$2:AG32),$AG$2:$AG$1001,0),1)&gt;=100000,INDEX($AN$1005:$BO$1005,1,MATCH(COLUMNS($AN$1006:BO1006),$AN$1006:$BO$1006,0))&gt;=100000), " ",IF(INDEX($AN$2:$BO$1001,MATCH(ROWS($AG$2:AG32),$AG$2:$AG$1001,0),MATCH(COLUMNS($AN$1006:BO1006),$AN$1006:$BO$1006,0)), HYPERLINK("#",""), HYPERLINK(CONCATENATE("#Metadata!", ADDRESS(INDEX($AI$2:$AI$1001,MATCH(ROWS($AG$2:AG32),$AG$2:$AG$1001,0),0), INDEX($AN$1004:$BO$1004,1,MATCH(COLUMNS($AN$1006:BO1006),$AN$1006:$BO$1006,0)))),"Fix")))</f>
        <v>0</v>
      </c>
      <c r="AG32">
        <v>0</v>
      </c>
      <c r="AH32">
        <v>0</v>
      </c>
      <c r="AI32">
        <v>0</v>
      </c>
      <c r="AJ32">
        <f>IF(AK32,TRUE,AND(AN32:BO32))</f>
        <v>0</v>
      </c>
      <c r="AK32">
        <f>COUNTBLANK(Metadata!B32:AC32)=COLUMNS(Metadata!B32:AC32)</f>
        <v>0</v>
      </c>
      <c r="AL32">
        <v>0</v>
      </c>
      <c r="AN32">
        <f>AND(IF(Metadata!B32="",FALSE,TRUE),COUNTIF(Metadata!B:B, Metadata!B32) = 1,NOT(ISERROR(SUMPRODUCT(SEARCH(MID(Metadata!B32,ROW(INDIRECT("1:"&amp;LEN(Metadata!B32))), 1),"0123456789abcdefghijklmnopqrstuvwxyzABCDEFGHIJKLMNOPQRSTUVWXYZ.")))))</f>
        <v>0</v>
      </c>
      <c r="AO32">
        <f>IF(Metadata!C32="",FALSE,TRUE)</f>
        <v>0</v>
      </c>
      <c r="AP32">
        <f>IF(Metadata!D32="",FALSE,TRUE)</f>
        <v>0</v>
      </c>
      <c r="AQ32">
        <f>OR(AND(IF(Metadata!E32="",FALSE,TRUE),OR(exact(Metadata!E32,"not collected"),exact(Metadata!E32,"not provided"),exact(Metadata!E32,"restricted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R32">
        <f>IF(Metadata!F32="",FALSE,TRUE)</f>
        <v>0</v>
      </c>
      <c r="AS32">
        <f>OR(AND(IF(Metadata!G32="",FALSE,TRUE),OR(exact(Metadata!G32,"not collected"),exact(Metadata!G32,"not provided"))),AND(IF(Metadata!G32="",FALSE,TRUE),OR(exact(Metadata!G32,"TRUE"),exact(Metadata!G32,"FALSE"))))</f>
        <v>0</v>
      </c>
      <c r="AT32">
        <f>OR(AND(IF(Metadata!H32="",FALSE,TRUE),OR(exact(Metadata!H32,"not collected"),exact(Metadata!H32,"not provided"),exact(Metadata!H32,"restricted access"))),AND(IF(Metadata!H32="",FALSE,ISNUMBER(VALUE(Metadata!H32))),Metadata!H32&gt;=-413.0))</f>
        <v>0</v>
      </c>
      <c r="AU32">
        <f>AND(IF(Metadata!I32="",FALSE,TRUE),exact(Metadata!I32,"meters"))</f>
        <v>0</v>
      </c>
      <c r="AV32">
        <f>AND(IF(Metadata!J32="",FALSE,TRUE),OR(exact(Metadata!J32,"Host-associated"),exact(Metadata!J32,"Free-living")))</f>
        <v>0</v>
      </c>
      <c r="AW32">
        <f>AND(IF(Metadata!K32="",FALSE,TRUE),OR(exact(Metadata!K32,"Animal"),exact(Metadata!K32,"Fungus"),exact(Metadata!K32,"Plant"),exact(Metadata!K32,"Saline"),exact(Metadata!K32,"Non-saline")))</f>
        <v>0</v>
      </c>
      <c r="AX32">
        <f>AND(IF(Metadata!L32="",FALSE,TRUE),OR(exact(Metadata!L32,"Plant secretion"),exact(Metadata!L32,"Plant rhizosphere"),exact(Metadata!L32,"Plant surface"),exact(Metadata!L32,"Plant corpus"),exact(Metadata!L32,"Fungus surface"),exact(Metadata!L32,"Fungus corpus"),exact(Metadata!L32,"Animal surface"),exact(Metadata!L32,"Animal proximal gut"),exact(Metadata!L32,"Animal corpus"),exact(Metadata!L32,"Animal distal gut"),exact(Metadata!L32,"Animal secretion"),exact(Metadata!L32,"Sub-surface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0</v>
      </c>
      <c r="AY32">
        <f>IF(Metadata!M32="",FALSE,TRUE)</f>
        <v>0</v>
      </c>
      <c r="AZ32">
        <f>IF(Metadata!N32="",FALSE,TRUE)</f>
        <v>0</v>
      </c>
      <c r="BA32">
        <f>IF(Metadata!O32="",FALSE,TRUE)</f>
        <v>0</v>
      </c>
      <c r="BB32">
        <f>OR(AND(IF(Metadata!P32="",FALSE,TRUE),OR(exact(Metadata!P32,"not collected"),exact(Metadata!P32,"not provided"),exact(Metadata!P32,"restricted access"))),AND(IF(Metadata!P32="",FALSE,TRUE),OR(exact(Metadata!P32,"air"),exact(Metadata!P32,"built environment"),exact(Metadata!P32,"host-associated"),exact(Metadata!P32,"human-associated"),exact(Metadata!P32,"human-skin"),exact(Metadata!P32,"human-oral"),exact(Metadata!P32,"human-gut"),exact(Metadata!P32,"human-vaginal"),exact(Metadata!P32,"microbial mat/biofilm"),exact(Metadata!P32,"misc environment"),exact(Metadata!P32,"plant-associated"),exact(Metadata!P32,"sediment"),exact(Metadata!P32,"soil"),exact(Metadata!P32,"wastewater/sludge"),exact(Metadata!P32,"water"))))</f>
        <v>0</v>
      </c>
      <c r="BC32">
        <f>IF(Metadata!Q32="",FALSE,TRUE)</f>
        <v>0</v>
      </c>
      <c r="BD32">
        <f>IF(Metadata!R32="",FALSE,TRUE)</f>
        <v>0</v>
      </c>
      <c r="BE32">
        <f>OR(AND(IF(Metadata!S32="",FALSE,TRUE),OR(exact(Metadata!S32,"not collected"),exact(Metadata!S32,"not provided"),exact(Metadata!S32,"restricted access"))),AND(IF(Metadata!S32="",FALSE,ISNUMBER(VALUE(Metadata!S32))),Metadata!S32&gt;=-90.00,Metadata!S32&lt;=90.00))</f>
        <v>0</v>
      </c>
      <c r="BF32">
        <f>AND(IF(Metadata!T32="",FALSE,TRUE),exact(Metadata!T32,"Decimal degrees"))</f>
        <v>0</v>
      </c>
      <c r="BG32">
        <f>OR(AND(IF(Metadata!U32="",FALSE,TRUE),OR(exact(Metadata!U32,"not collected"),exact(Metadata!U32,"not provided"),exact(Metadata!U32,"restricted access"))),AND(IF(Metadata!U32="",FALSE,ISNUMBER(VALUE(Metadata!U32))),Metadata!U32&gt;=-180.00,Metadata!U32&lt;=180.00))</f>
        <v>0</v>
      </c>
      <c r="BH32">
        <f>AND(IF(Metadata!V32="",FALSE,TRUE),exact(Metadata!V32,"Decimal degrees"))</f>
        <v>0</v>
      </c>
      <c r="BI32">
        <f>IF(Metadata!W32="",FALSE,TRUE)</f>
        <v>0</v>
      </c>
      <c r="BJ32">
        <f>OR(AND(IF(Metadata!X32="",FALSE,TRUE),OR(exact(Metadata!X32,"not collected"),exact(Metadata!X32,"not provided"),exact(Metadata!X32,"restricted access"))),AND(IF(Metadata!X32="",FALSE,TRUE),OR(exact(Metadata!X32,"TRUE"),exact(Metadata!X32,"FALSE"))))</f>
        <v>0</v>
      </c>
      <c r="BK32">
        <f>AND(IF(Metadata!Y32="",FALSE,TRUE),exact(Metadata!Y32,"other"))</f>
        <v>0</v>
      </c>
      <c r="BL32">
        <f>IF(Metadata!Z32="",FALSE,TRUE)</f>
        <v>0</v>
      </c>
      <c r="BM32">
        <f>OR(AND(IF(Metadata!AA32="",FALSE,TRUE),OR(exact(Metadata!AA32,"not collected"),exact(Metadata!AA32,"not provided"))),AND(IF(Metadata!AA32="",FALSE,IF(ISERROR(INT(Metadata!AA32)),FALSE,INT(Metadata!AA32)=Metadata!AA32)),Metadata!AA32&gt;0))</f>
        <v>0</v>
      </c>
      <c r="BN32">
        <f>AND(IF(Metadata!AB32="",FALSE,TRUE),exact(Metadata!AB32,"Not applicable"))</f>
        <v>0</v>
      </c>
      <c r="BO32">
        <f>IF(Metadata!AC32="",FALSE,TRUE)</f>
        <v>0</v>
      </c>
    </row>
    <row r="33" spans="1:67">
      <c r="A33" s="5">
        <f>IF(B33=" "," ",HYPERLINK(CONCATENATE("#metadata!",ADDRESS(INDEX($AI$2:$AI$1001,MATCH(ROWS($AG$2:AG33),$AG$2:$AG$1001,0),0),1)),INDEX($AL$2:$AL$1001,MATCH(ROWS($AG$2:AG33),$AG$2:$AG$1001,0),0)))</f>
        <v>0</v>
      </c>
      <c r="B33" s="4">
        <f>IF(OR(INDEX($AH$2:$AH$1001,MATCH(ROWS($AG$2:AG33),$AG$2:$AG$1001,0),1)&gt;=100000,INDEX($AN$1005:$BO$1005,1,MATCH(COLUMNS($AN$1006:AN1006),$AN$1006:$BO$1006,0))&gt;=100000), " ",IF(INDEX($AN$2:$BO$1001,MATCH(ROWS($AG$2:AG33),$AG$2:$AG$1001,0),MATCH(COLUMNS($AN$1006:AN1006),$AN$1006:$BO$1006,0)), HYPERLINK("#",""), HYPERLINK(CONCATENATE("#Metadata!", ADDRESS(INDEX($AI$2:$AI$1001,MATCH(ROWS($AG$2:AG33),$AG$2:$AG$1001,0),0), INDEX($AN$1004:$BO$1004,1,MATCH(COLUMNS($AN$1006:AN1006),$AN$1006:$BO$1006,0)))),"Fix")))</f>
        <v>0</v>
      </c>
      <c r="C33" s="4">
        <f>IF(OR(INDEX($AH$2:$AH$1001,MATCH(ROWS($AG$2:AG33),$AG$2:$AG$1001,0),1)&gt;=100000,INDEX($AN$1005:$BO$1005,1,MATCH(COLUMNS($AN$1006:AO1006),$AN$1006:$BO$1006,0))&gt;=100000), " ",IF(INDEX($AN$2:$BO$1001,MATCH(ROWS($AG$2:AG33),$AG$2:$AG$1001,0),MATCH(COLUMNS($AN$1006:AO1006),$AN$1006:$BO$1006,0)), HYPERLINK("#",""), HYPERLINK(CONCATENATE("#Metadata!", ADDRESS(INDEX($AI$2:$AI$1001,MATCH(ROWS($AG$2:AG33),$AG$2:$AG$1001,0),0), INDEX($AN$1004:$BO$1004,1,MATCH(COLUMNS($AN$1006:AO1006),$AN$1006:$BO$1006,0)))),"Fix")))</f>
        <v>0</v>
      </c>
      <c r="D33" s="4">
        <f>IF(OR(INDEX($AH$2:$AH$1001,MATCH(ROWS($AG$2:AG33),$AG$2:$AG$1001,0),1)&gt;=100000,INDEX($AN$1005:$BO$1005,1,MATCH(COLUMNS($AN$1006:AP1006),$AN$1006:$BO$1006,0))&gt;=100000), " ",IF(INDEX($AN$2:$BO$1001,MATCH(ROWS($AG$2:AG33),$AG$2:$AG$1001,0),MATCH(COLUMNS($AN$1006:AP1006),$AN$1006:$BO$1006,0)), HYPERLINK("#",""), HYPERLINK(CONCATENATE("#Metadata!", ADDRESS(INDEX($AI$2:$AI$1001,MATCH(ROWS($AG$2:AG33),$AG$2:$AG$1001,0),0), INDEX($AN$1004:$BO$1004,1,MATCH(COLUMNS($AN$1006:AP1006),$AN$1006:$BO$1006,0)))),"Fix")))</f>
        <v>0</v>
      </c>
      <c r="E33" s="4">
        <f>IF(OR(INDEX($AH$2:$AH$1001,MATCH(ROWS($AG$2:AG33),$AG$2:$AG$1001,0),1)&gt;=100000,INDEX($AN$1005:$BO$1005,1,MATCH(COLUMNS($AN$1006:AQ1006),$AN$1006:$BO$1006,0))&gt;=100000), " ",IF(INDEX($AN$2:$BO$1001,MATCH(ROWS($AG$2:AG33),$AG$2:$AG$1001,0),MATCH(COLUMNS($AN$1006:AQ1006),$AN$1006:$BO$1006,0)), HYPERLINK("#",""), HYPERLINK(CONCATENATE("#Metadata!", ADDRESS(INDEX($AI$2:$AI$1001,MATCH(ROWS($AG$2:AG33),$AG$2:$AG$1001,0),0), INDEX($AN$1004:$BO$1004,1,MATCH(COLUMNS($AN$1006:AQ1006),$AN$1006:$BO$1006,0)))),"Fix")))</f>
        <v>0</v>
      </c>
      <c r="F33" s="4">
        <f>IF(OR(INDEX($AH$2:$AH$1001,MATCH(ROWS($AG$2:AG33),$AG$2:$AG$1001,0),1)&gt;=100000,INDEX($AN$1005:$BO$1005,1,MATCH(COLUMNS($AN$1006:AR1006),$AN$1006:$BO$1006,0))&gt;=100000), " ",IF(INDEX($AN$2:$BO$1001,MATCH(ROWS($AG$2:AG33),$AG$2:$AG$1001,0),MATCH(COLUMNS($AN$1006:AR1006),$AN$1006:$BO$1006,0)), HYPERLINK("#",""), HYPERLINK(CONCATENATE("#Metadata!", ADDRESS(INDEX($AI$2:$AI$1001,MATCH(ROWS($AG$2:AG33),$AG$2:$AG$1001,0),0), INDEX($AN$1004:$BO$1004,1,MATCH(COLUMNS($AN$1006:AR1006),$AN$1006:$BO$1006,0)))),"Fix")))</f>
        <v>0</v>
      </c>
      <c r="G33" s="4">
        <f>IF(OR(INDEX($AH$2:$AH$1001,MATCH(ROWS($AG$2:AG33),$AG$2:$AG$1001,0),1)&gt;=100000,INDEX($AN$1005:$BO$1005,1,MATCH(COLUMNS($AN$1006:AS1006),$AN$1006:$BO$1006,0))&gt;=100000), " ",IF(INDEX($AN$2:$BO$1001,MATCH(ROWS($AG$2:AG33),$AG$2:$AG$1001,0),MATCH(COLUMNS($AN$1006:AS1006),$AN$1006:$BO$1006,0)), HYPERLINK("#",""), HYPERLINK(CONCATENATE("#Metadata!", ADDRESS(INDEX($AI$2:$AI$1001,MATCH(ROWS($AG$2:AG33),$AG$2:$AG$1001,0),0), INDEX($AN$1004:$BO$1004,1,MATCH(COLUMNS($AN$1006:AS1006),$AN$1006:$BO$1006,0)))),"Fix")))</f>
        <v>0</v>
      </c>
      <c r="H33" s="4">
        <f>IF(OR(INDEX($AH$2:$AH$1001,MATCH(ROWS($AG$2:AG33),$AG$2:$AG$1001,0),1)&gt;=100000,INDEX($AN$1005:$BO$1005,1,MATCH(COLUMNS($AN$1006:AT1006),$AN$1006:$BO$1006,0))&gt;=100000), " ",IF(INDEX($AN$2:$BO$1001,MATCH(ROWS($AG$2:AG33),$AG$2:$AG$1001,0),MATCH(COLUMNS($AN$1006:AT1006),$AN$1006:$BO$1006,0)), HYPERLINK("#",""), HYPERLINK(CONCATENATE("#Metadata!", ADDRESS(INDEX($AI$2:$AI$1001,MATCH(ROWS($AG$2:AG33),$AG$2:$AG$1001,0),0), INDEX($AN$1004:$BO$1004,1,MATCH(COLUMNS($AN$1006:AT1006),$AN$1006:$BO$1006,0)))),"Fix")))</f>
        <v>0</v>
      </c>
      <c r="I33" s="4">
        <f>IF(OR(INDEX($AH$2:$AH$1001,MATCH(ROWS($AG$2:AG33),$AG$2:$AG$1001,0),1)&gt;=100000,INDEX($AN$1005:$BO$1005,1,MATCH(COLUMNS($AN$1006:AU1006),$AN$1006:$BO$1006,0))&gt;=100000), " ",IF(INDEX($AN$2:$BO$1001,MATCH(ROWS($AG$2:AG33),$AG$2:$AG$1001,0),MATCH(COLUMNS($AN$1006:AU1006),$AN$1006:$BO$1006,0)), HYPERLINK("#",""), HYPERLINK(CONCATENATE("#Metadata!", ADDRESS(INDEX($AI$2:$AI$1001,MATCH(ROWS($AG$2:AG33),$AG$2:$AG$1001,0),0), INDEX($AN$1004:$BO$1004,1,MATCH(COLUMNS($AN$1006:AU1006),$AN$1006:$BO$1006,0)))),"Fix")))</f>
        <v>0</v>
      </c>
      <c r="J33" s="4">
        <f>IF(OR(INDEX($AH$2:$AH$1001,MATCH(ROWS($AG$2:AG33),$AG$2:$AG$1001,0),1)&gt;=100000,INDEX($AN$1005:$BO$1005,1,MATCH(COLUMNS($AN$1006:AV1006),$AN$1006:$BO$1006,0))&gt;=100000), " ",IF(INDEX($AN$2:$BO$1001,MATCH(ROWS($AG$2:AG33),$AG$2:$AG$1001,0),MATCH(COLUMNS($AN$1006:AV1006),$AN$1006:$BO$1006,0)), HYPERLINK("#",""), HYPERLINK(CONCATENATE("#Metadata!", ADDRESS(INDEX($AI$2:$AI$1001,MATCH(ROWS($AG$2:AG33),$AG$2:$AG$1001,0),0), INDEX($AN$1004:$BO$1004,1,MATCH(COLUMNS($AN$1006:AV1006),$AN$1006:$BO$1006,0)))),"Fix")))</f>
        <v>0</v>
      </c>
      <c r="K33" s="4">
        <f>IF(OR(INDEX($AH$2:$AH$1001,MATCH(ROWS($AG$2:AG33),$AG$2:$AG$1001,0),1)&gt;=100000,INDEX($AN$1005:$BO$1005,1,MATCH(COLUMNS($AN$1006:AW1006),$AN$1006:$BO$1006,0))&gt;=100000), " ",IF(INDEX($AN$2:$BO$1001,MATCH(ROWS($AG$2:AG33),$AG$2:$AG$1001,0),MATCH(COLUMNS($AN$1006:AW1006),$AN$1006:$BO$1006,0)), HYPERLINK("#",""), HYPERLINK(CONCATENATE("#Metadata!", ADDRESS(INDEX($AI$2:$AI$1001,MATCH(ROWS($AG$2:AG33),$AG$2:$AG$1001,0),0), INDEX($AN$1004:$BO$1004,1,MATCH(COLUMNS($AN$1006:AW1006),$AN$1006:$BO$1006,0)))),"Fix")))</f>
        <v>0</v>
      </c>
      <c r="L33" s="4">
        <f>IF(OR(INDEX($AH$2:$AH$1001,MATCH(ROWS($AG$2:AG33),$AG$2:$AG$1001,0),1)&gt;=100000,INDEX($AN$1005:$BO$1005,1,MATCH(COLUMNS($AN$1006:AX1006),$AN$1006:$BO$1006,0))&gt;=100000), " ",IF(INDEX($AN$2:$BO$1001,MATCH(ROWS($AG$2:AG33),$AG$2:$AG$1001,0),MATCH(COLUMNS($AN$1006:AX1006),$AN$1006:$BO$1006,0)), HYPERLINK("#",""), HYPERLINK(CONCATENATE("#Metadata!", ADDRESS(INDEX($AI$2:$AI$1001,MATCH(ROWS($AG$2:AG33),$AG$2:$AG$1001,0),0), INDEX($AN$1004:$BO$1004,1,MATCH(COLUMNS($AN$1006:AX1006),$AN$1006:$BO$1006,0)))),"Fix")))</f>
        <v>0</v>
      </c>
      <c r="M33" s="4">
        <f>IF(OR(INDEX($AH$2:$AH$1001,MATCH(ROWS($AG$2:AG33),$AG$2:$AG$1001,0),1)&gt;=100000,INDEX($AN$1005:$BO$1005,1,MATCH(COLUMNS($AN$1006:AY1006),$AN$1006:$BO$1006,0))&gt;=100000), " ",IF(INDEX($AN$2:$BO$1001,MATCH(ROWS($AG$2:AG33),$AG$2:$AG$1001,0),MATCH(COLUMNS($AN$1006:AY1006),$AN$1006:$BO$1006,0)), HYPERLINK("#",""), HYPERLINK(CONCATENATE("#Metadata!", ADDRESS(INDEX($AI$2:$AI$1001,MATCH(ROWS($AG$2:AG33),$AG$2:$AG$1001,0),0), INDEX($AN$1004:$BO$1004,1,MATCH(COLUMNS($AN$1006:AY1006),$AN$1006:$BO$1006,0)))),"Fix")))</f>
        <v>0</v>
      </c>
      <c r="N33" s="4">
        <f>IF(OR(INDEX($AH$2:$AH$1001,MATCH(ROWS($AG$2:AG33),$AG$2:$AG$1001,0),1)&gt;=100000,INDEX($AN$1005:$BO$1005,1,MATCH(COLUMNS($AN$1006:AZ1006),$AN$1006:$BO$1006,0))&gt;=100000), " ",IF(INDEX($AN$2:$BO$1001,MATCH(ROWS($AG$2:AG33),$AG$2:$AG$1001,0),MATCH(COLUMNS($AN$1006:AZ1006),$AN$1006:$BO$1006,0)), HYPERLINK("#",""), HYPERLINK(CONCATENATE("#Metadata!", ADDRESS(INDEX($AI$2:$AI$1001,MATCH(ROWS($AG$2:AG33),$AG$2:$AG$1001,0),0), INDEX($AN$1004:$BO$1004,1,MATCH(COLUMNS($AN$1006:AZ1006),$AN$1006:$BO$1006,0)))),"Fix")))</f>
        <v>0</v>
      </c>
      <c r="O33" s="4">
        <f>IF(OR(INDEX($AH$2:$AH$1001,MATCH(ROWS($AG$2:AG33),$AG$2:$AG$1001,0),1)&gt;=100000,INDEX($AN$1005:$BO$1005,1,MATCH(COLUMNS($AN$1006:BA1006),$AN$1006:$BO$1006,0))&gt;=100000), " ",IF(INDEX($AN$2:$BO$1001,MATCH(ROWS($AG$2:AG33),$AG$2:$AG$1001,0),MATCH(COLUMNS($AN$1006:BA1006),$AN$1006:$BO$1006,0)), HYPERLINK("#",""), HYPERLINK(CONCATENATE("#Metadata!", ADDRESS(INDEX($AI$2:$AI$1001,MATCH(ROWS($AG$2:AG33),$AG$2:$AG$1001,0),0), INDEX($AN$1004:$BO$1004,1,MATCH(COLUMNS($AN$1006:BA1006),$AN$1006:$BO$1006,0)))),"Fix")))</f>
        <v>0</v>
      </c>
      <c r="P33" s="4">
        <f>IF(OR(INDEX($AH$2:$AH$1001,MATCH(ROWS($AG$2:AG33),$AG$2:$AG$1001,0),1)&gt;=100000,INDEX($AN$1005:$BO$1005,1,MATCH(COLUMNS($AN$1006:BB1006),$AN$1006:$BO$1006,0))&gt;=100000), " ",IF(INDEX($AN$2:$BO$1001,MATCH(ROWS($AG$2:AG33),$AG$2:$AG$1001,0),MATCH(COLUMNS($AN$1006:BB1006),$AN$1006:$BO$1006,0)), HYPERLINK("#",""), HYPERLINK(CONCATENATE("#Metadata!", ADDRESS(INDEX($AI$2:$AI$1001,MATCH(ROWS($AG$2:AG33),$AG$2:$AG$1001,0),0), INDEX($AN$1004:$BO$1004,1,MATCH(COLUMNS($AN$1006:BB1006),$AN$1006:$BO$1006,0)))),"Fix")))</f>
        <v>0</v>
      </c>
      <c r="Q33" s="4">
        <f>IF(OR(INDEX($AH$2:$AH$1001,MATCH(ROWS($AG$2:AG33),$AG$2:$AG$1001,0),1)&gt;=100000,INDEX($AN$1005:$BO$1005,1,MATCH(COLUMNS($AN$1006:BC1006),$AN$1006:$BO$1006,0))&gt;=100000), " ",IF(INDEX($AN$2:$BO$1001,MATCH(ROWS($AG$2:AG33),$AG$2:$AG$1001,0),MATCH(COLUMNS($AN$1006:BC1006),$AN$1006:$BO$1006,0)), HYPERLINK("#",""), HYPERLINK(CONCATENATE("#Metadata!", ADDRESS(INDEX($AI$2:$AI$1001,MATCH(ROWS($AG$2:AG33),$AG$2:$AG$1001,0),0), INDEX($AN$1004:$BO$1004,1,MATCH(COLUMNS($AN$1006:BC1006),$AN$1006:$BO$1006,0)))),"Fix")))</f>
        <v>0</v>
      </c>
      <c r="R33" s="4">
        <f>IF(OR(INDEX($AH$2:$AH$1001,MATCH(ROWS($AG$2:AG33),$AG$2:$AG$1001,0),1)&gt;=100000,INDEX($AN$1005:$BO$1005,1,MATCH(COLUMNS($AN$1006:BD1006),$AN$1006:$BO$1006,0))&gt;=100000), " ",IF(INDEX($AN$2:$BO$1001,MATCH(ROWS($AG$2:AG33),$AG$2:$AG$1001,0),MATCH(COLUMNS($AN$1006:BD1006),$AN$1006:$BO$1006,0)), HYPERLINK("#",""), HYPERLINK(CONCATENATE("#Metadata!", ADDRESS(INDEX($AI$2:$AI$1001,MATCH(ROWS($AG$2:AG33),$AG$2:$AG$1001,0),0), INDEX($AN$1004:$BO$1004,1,MATCH(COLUMNS($AN$1006:BD1006),$AN$1006:$BO$1006,0)))),"Fix")))</f>
        <v>0</v>
      </c>
      <c r="S33" s="4">
        <f>IF(OR(INDEX($AH$2:$AH$1001,MATCH(ROWS($AG$2:AG33),$AG$2:$AG$1001,0),1)&gt;=100000,INDEX($AN$1005:$BO$1005,1,MATCH(COLUMNS($AN$1006:BE1006),$AN$1006:$BO$1006,0))&gt;=100000), " ",IF(INDEX($AN$2:$BO$1001,MATCH(ROWS($AG$2:AG33),$AG$2:$AG$1001,0),MATCH(COLUMNS($AN$1006:BE1006),$AN$1006:$BO$1006,0)), HYPERLINK("#",""), HYPERLINK(CONCATENATE("#Metadata!", ADDRESS(INDEX($AI$2:$AI$1001,MATCH(ROWS($AG$2:AG33),$AG$2:$AG$1001,0),0), INDEX($AN$1004:$BO$1004,1,MATCH(COLUMNS($AN$1006:BE1006),$AN$1006:$BO$1006,0)))),"Fix")))</f>
        <v>0</v>
      </c>
      <c r="T33" s="4">
        <f>IF(OR(INDEX($AH$2:$AH$1001,MATCH(ROWS($AG$2:AG33),$AG$2:$AG$1001,0),1)&gt;=100000,INDEX($AN$1005:$BO$1005,1,MATCH(COLUMNS($AN$1006:BF1006),$AN$1006:$BO$1006,0))&gt;=100000), " ",IF(INDEX($AN$2:$BO$1001,MATCH(ROWS($AG$2:AG33),$AG$2:$AG$1001,0),MATCH(COLUMNS($AN$1006:BF1006),$AN$1006:$BO$1006,0)), HYPERLINK("#",""), HYPERLINK(CONCATENATE("#Metadata!", ADDRESS(INDEX($AI$2:$AI$1001,MATCH(ROWS($AG$2:AG33),$AG$2:$AG$1001,0),0), INDEX($AN$1004:$BO$1004,1,MATCH(COLUMNS($AN$1006:BF1006),$AN$1006:$BO$1006,0)))),"Fix")))</f>
        <v>0</v>
      </c>
      <c r="U33" s="4">
        <f>IF(OR(INDEX($AH$2:$AH$1001,MATCH(ROWS($AG$2:AG33),$AG$2:$AG$1001,0),1)&gt;=100000,INDEX($AN$1005:$BO$1005,1,MATCH(COLUMNS($AN$1006:BG1006),$AN$1006:$BO$1006,0))&gt;=100000), " ",IF(INDEX($AN$2:$BO$1001,MATCH(ROWS($AG$2:AG33),$AG$2:$AG$1001,0),MATCH(COLUMNS($AN$1006:BG1006),$AN$1006:$BO$1006,0)), HYPERLINK("#",""), HYPERLINK(CONCATENATE("#Metadata!", ADDRESS(INDEX($AI$2:$AI$1001,MATCH(ROWS($AG$2:AG33),$AG$2:$AG$1001,0),0), INDEX($AN$1004:$BO$1004,1,MATCH(COLUMNS($AN$1006:BG1006),$AN$1006:$BO$1006,0)))),"Fix")))</f>
        <v>0</v>
      </c>
      <c r="V33" s="4">
        <f>IF(OR(INDEX($AH$2:$AH$1001,MATCH(ROWS($AG$2:AG33),$AG$2:$AG$1001,0),1)&gt;=100000,INDEX($AN$1005:$BO$1005,1,MATCH(COLUMNS($AN$1006:BH1006),$AN$1006:$BO$1006,0))&gt;=100000), " ",IF(INDEX($AN$2:$BO$1001,MATCH(ROWS($AG$2:AG33),$AG$2:$AG$1001,0),MATCH(COLUMNS($AN$1006:BH1006),$AN$1006:$BO$1006,0)), HYPERLINK("#",""), HYPERLINK(CONCATENATE("#Metadata!", ADDRESS(INDEX($AI$2:$AI$1001,MATCH(ROWS($AG$2:AG33),$AG$2:$AG$1001,0),0), INDEX($AN$1004:$BO$1004,1,MATCH(COLUMNS($AN$1006:BH1006),$AN$1006:$BO$1006,0)))),"Fix")))</f>
        <v>0</v>
      </c>
      <c r="W33" s="4">
        <f>IF(OR(INDEX($AH$2:$AH$1001,MATCH(ROWS($AG$2:AG33),$AG$2:$AG$1001,0),1)&gt;=100000,INDEX($AN$1005:$BO$1005,1,MATCH(COLUMNS($AN$1006:BI1006),$AN$1006:$BO$1006,0))&gt;=100000), " ",IF(INDEX($AN$2:$BO$1001,MATCH(ROWS($AG$2:AG33),$AG$2:$AG$1001,0),MATCH(COLUMNS($AN$1006:BI1006),$AN$1006:$BO$1006,0)), HYPERLINK("#",""), HYPERLINK(CONCATENATE("#Metadata!", ADDRESS(INDEX($AI$2:$AI$1001,MATCH(ROWS($AG$2:AG33),$AG$2:$AG$1001,0),0), INDEX($AN$1004:$BO$1004,1,MATCH(COLUMNS($AN$1006:BI1006),$AN$1006:$BO$1006,0)))),"Fix")))</f>
        <v>0</v>
      </c>
      <c r="X33" s="4">
        <f>IF(OR(INDEX($AH$2:$AH$1001,MATCH(ROWS($AG$2:AG33),$AG$2:$AG$1001,0),1)&gt;=100000,INDEX($AN$1005:$BO$1005,1,MATCH(COLUMNS($AN$1006:BJ1006),$AN$1006:$BO$1006,0))&gt;=100000), " ",IF(INDEX($AN$2:$BO$1001,MATCH(ROWS($AG$2:AG33),$AG$2:$AG$1001,0),MATCH(COLUMNS($AN$1006:BJ1006),$AN$1006:$BO$1006,0)), HYPERLINK("#",""), HYPERLINK(CONCATENATE("#Metadata!", ADDRESS(INDEX($AI$2:$AI$1001,MATCH(ROWS($AG$2:AG33),$AG$2:$AG$1001,0),0), INDEX($AN$1004:$BO$1004,1,MATCH(COLUMNS($AN$1006:BJ1006),$AN$1006:$BO$1006,0)))),"Fix")))</f>
        <v>0</v>
      </c>
      <c r="Y33" s="4">
        <f>IF(OR(INDEX($AH$2:$AH$1001,MATCH(ROWS($AG$2:AG33),$AG$2:$AG$1001,0),1)&gt;=100000,INDEX($AN$1005:$BO$1005,1,MATCH(COLUMNS($AN$1006:BK1006),$AN$1006:$BO$1006,0))&gt;=100000), " ",IF(INDEX($AN$2:$BO$1001,MATCH(ROWS($AG$2:AG33),$AG$2:$AG$1001,0),MATCH(COLUMNS($AN$1006:BK1006),$AN$1006:$BO$1006,0)), HYPERLINK("#",""), HYPERLINK(CONCATENATE("#Metadata!", ADDRESS(INDEX($AI$2:$AI$1001,MATCH(ROWS($AG$2:AG33),$AG$2:$AG$1001,0),0), INDEX($AN$1004:$BO$1004,1,MATCH(COLUMNS($AN$1006:BK1006),$AN$1006:$BO$1006,0)))),"Fix")))</f>
        <v>0</v>
      </c>
      <c r="Z33" s="4">
        <f>IF(OR(INDEX($AH$2:$AH$1001,MATCH(ROWS($AG$2:AG33),$AG$2:$AG$1001,0),1)&gt;=100000,INDEX($AN$1005:$BO$1005,1,MATCH(COLUMNS($AN$1006:BL1006),$AN$1006:$BO$1006,0))&gt;=100000), " ",IF(INDEX($AN$2:$BO$1001,MATCH(ROWS($AG$2:AG33),$AG$2:$AG$1001,0),MATCH(COLUMNS($AN$1006:BL1006),$AN$1006:$BO$1006,0)), HYPERLINK("#",""), HYPERLINK(CONCATENATE("#Metadata!", ADDRESS(INDEX($AI$2:$AI$1001,MATCH(ROWS($AG$2:AG33),$AG$2:$AG$1001,0),0), INDEX($AN$1004:$BO$1004,1,MATCH(COLUMNS($AN$1006:BL1006),$AN$1006:$BO$1006,0)))),"Fix")))</f>
        <v>0</v>
      </c>
      <c r="AA33" s="4">
        <f>IF(OR(INDEX($AH$2:$AH$1001,MATCH(ROWS($AG$2:AG33),$AG$2:$AG$1001,0),1)&gt;=100000,INDEX($AN$1005:$BO$1005,1,MATCH(COLUMNS($AN$1006:BM1006),$AN$1006:$BO$1006,0))&gt;=100000), " ",IF(INDEX($AN$2:$BO$1001,MATCH(ROWS($AG$2:AG33),$AG$2:$AG$1001,0),MATCH(COLUMNS($AN$1006:BM1006),$AN$1006:$BO$1006,0)), HYPERLINK("#",""), HYPERLINK(CONCATENATE("#Metadata!", ADDRESS(INDEX($AI$2:$AI$1001,MATCH(ROWS($AG$2:AG33),$AG$2:$AG$1001,0),0), INDEX($AN$1004:$BO$1004,1,MATCH(COLUMNS($AN$1006:BM1006),$AN$1006:$BO$1006,0)))),"Fix")))</f>
        <v>0</v>
      </c>
      <c r="AB33" s="4">
        <f>IF(OR(INDEX($AH$2:$AH$1001,MATCH(ROWS($AG$2:AG33),$AG$2:$AG$1001,0),1)&gt;=100000,INDEX($AN$1005:$BO$1005,1,MATCH(COLUMNS($AN$1006:BN1006),$AN$1006:$BO$1006,0))&gt;=100000), " ",IF(INDEX($AN$2:$BO$1001,MATCH(ROWS($AG$2:AG33),$AG$2:$AG$1001,0),MATCH(COLUMNS($AN$1006:BN1006),$AN$1006:$BO$1006,0)), HYPERLINK("#",""), HYPERLINK(CONCATENATE("#Metadata!", ADDRESS(INDEX($AI$2:$AI$1001,MATCH(ROWS($AG$2:AG33),$AG$2:$AG$1001,0),0), INDEX($AN$1004:$BO$1004,1,MATCH(COLUMNS($AN$1006:BN1006),$AN$1006:$BO$1006,0)))),"Fix")))</f>
        <v>0</v>
      </c>
      <c r="AC33" s="4">
        <f>IF(OR(INDEX($AH$2:$AH$1001,MATCH(ROWS($AG$2:AG33),$AG$2:$AG$1001,0),1)&gt;=100000,INDEX($AN$1005:$BO$1005,1,MATCH(COLUMNS($AN$1006:BO1006),$AN$1006:$BO$1006,0))&gt;=100000), " ",IF(INDEX($AN$2:$BO$1001,MATCH(ROWS($AG$2:AG33),$AG$2:$AG$1001,0),MATCH(COLUMNS($AN$1006:BO1006),$AN$1006:$BO$1006,0)), HYPERLINK("#",""), HYPERLINK(CONCATENATE("#Metadata!", ADDRESS(INDEX($AI$2:$AI$1001,MATCH(ROWS($AG$2:AG33),$AG$2:$AG$1001,0),0), INDEX($AN$1004:$BO$1004,1,MATCH(COLUMNS($AN$1006:BO1006),$AN$1006:$BO$1006,0)))),"Fix")))</f>
        <v>0</v>
      </c>
      <c r="AG33">
        <v>0</v>
      </c>
      <c r="AH33">
        <v>0</v>
      </c>
      <c r="AI33">
        <v>0</v>
      </c>
      <c r="AJ33">
        <f>IF(AK33,TRUE,AND(AN33:BO33))</f>
        <v>0</v>
      </c>
      <c r="AK33">
        <f>COUNTBLANK(Metadata!B33:AC33)=COLUMNS(Metadata!B33:AC33)</f>
        <v>0</v>
      </c>
      <c r="AL33">
        <v>0</v>
      </c>
      <c r="AN33">
        <f>AND(IF(Metadata!B33="",FALSE,TRUE),COUNTIF(Metadata!B:B, Metadata!B33) = 1,NOT(ISERROR(SUMPRODUCT(SEARCH(MID(Metadata!B33,ROW(INDIRECT("1:"&amp;LEN(Metadata!B33))), 1),"0123456789abcdefghijklmnopqrstuvwxyzABCDEFGHIJKLMNOPQRSTUVWXYZ.")))))</f>
        <v>0</v>
      </c>
      <c r="AO33">
        <f>IF(Metadata!C33="",FALSE,TRUE)</f>
        <v>0</v>
      </c>
      <c r="AP33">
        <f>IF(Metadata!D33="",FALSE,TRUE)</f>
        <v>0</v>
      </c>
      <c r="AQ33">
        <f>OR(AND(IF(Metadata!E33="",FALSE,TRUE),OR(exact(Metadata!E33,"not collected"),exact(Metadata!E33,"not provided"),exact(Metadata!E33,"restricted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R33">
        <f>IF(Metadata!F33="",FALSE,TRUE)</f>
        <v>0</v>
      </c>
      <c r="AS33">
        <f>OR(AND(IF(Metadata!G33="",FALSE,TRUE),OR(exact(Metadata!G33,"not collected"),exact(Metadata!G33,"not provided"))),AND(IF(Metadata!G33="",FALSE,TRUE),OR(exact(Metadata!G33,"TRUE"),exact(Metadata!G33,"FALSE"))))</f>
        <v>0</v>
      </c>
      <c r="AT33">
        <f>OR(AND(IF(Metadata!H33="",FALSE,TRUE),OR(exact(Metadata!H33,"not collected"),exact(Metadata!H33,"not provided"),exact(Metadata!H33,"restricted access"))),AND(IF(Metadata!H33="",FALSE,ISNUMBER(VALUE(Metadata!H33))),Metadata!H33&gt;=-413.0))</f>
        <v>0</v>
      </c>
      <c r="AU33">
        <f>AND(IF(Metadata!I33="",FALSE,TRUE),exact(Metadata!I33,"meters"))</f>
        <v>0</v>
      </c>
      <c r="AV33">
        <f>AND(IF(Metadata!J33="",FALSE,TRUE),OR(exact(Metadata!J33,"Host-associated"),exact(Metadata!J33,"Free-living")))</f>
        <v>0</v>
      </c>
      <c r="AW33">
        <f>AND(IF(Metadata!K33="",FALSE,TRUE),OR(exact(Metadata!K33,"Animal"),exact(Metadata!K33,"Fungus"),exact(Metadata!K33,"Plant"),exact(Metadata!K33,"Saline"),exact(Metadata!K33,"Non-saline")))</f>
        <v>0</v>
      </c>
      <c r="AX33">
        <f>AND(IF(Metadata!L33="",FALSE,TRUE),OR(exact(Metadata!L33,"Plant secretion"),exact(Metadata!L33,"Plant rhizosphere"),exact(Metadata!L33,"Plant surface"),exact(Metadata!L33,"Plant corpus"),exact(Metadata!L33,"Fungus surface"),exact(Metadata!L33,"Fungus corpus"),exact(Metadata!L33,"Animal surface"),exact(Metadata!L33,"Animal proximal gut"),exact(Metadata!L33,"Animal corpus"),exact(Metadata!L33,"Animal distal gut"),exact(Metadata!L33,"Animal secretion"),exact(Metadata!L33,"Sub-surface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0</v>
      </c>
      <c r="AY33">
        <f>IF(Metadata!M33="",FALSE,TRUE)</f>
        <v>0</v>
      </c>
      <c r="AZ33">
        <f>IF(Metadata!N33="",FALSE,TRUE)</f>
        <v>0</v>
      </c>
      <c r="BA33">
        <f>IF(Metadata!O33="",FALSE,TRUE)</f>
        <v>0</v>
      </c>
      <c r="BB33">
        <f>OR(AND(IF(Metadata!P33="",FALSE,TRUE),OR(exact(Metadata!P33,"not collected"),exact(Metadata!P33,"not provided"),exact(Metadata!P33,"restricted access"))),AND(IF(Metadata!P33="",FALSE,TRUE),OR(exact(Metadata!P33,"air"),exact(Metadata!P33,"built environment"),exact(Metadata!P33,"host-associated"),exact(Metadata!P33,"human-associated"),exact(Metadata!P33,"human-skin"),exact(Metadata!P33,"human-oral"),exact(Metadata!P33,"human-gut"),exact(Metadata!P33,"human-vaginal"),exact(Metadata!P33,"microbial mat/biofilm"),exact(Metadata!P33,"misc environment"),exact(Metadata!P33,"plant-associated"),exact(Metadata!P33,"sediment"),exact(Metadata!P33,"soil"),exact(Metadata!P33,"wastewater/sludge"),exact(Metadata!P33,"water"))))</f>
        <v>0</v>
      </c>
      <c r="BC33">
        <f>IF(Metadata!Q33="",FALSE,TRUE)</f>
        <v>0</v>
      </c>
      <c r="BD33">
        <f>IF(Metadata!R33="",FALSE,TRUE)</f>
        <v>0</v>
      </c>
      <c r="BE33">
        <f>OR(AND(IF(Metadata!S33="",FALSE,TRUE),OR(exact(Metadata!S33,"not collected"),exact(Metadata!S33,"not provided"),exact(Metadata!S33,"restricted access"))),AND(IF(Metadata!S33="",FALSE,ISNUMBER(VALUE(Metadata!S33))),Metadata!S33&gt;=-90.00,Metadata!S33&lt;=90.00))</f>
        <v>0</v>
      </c>
      <c r="BF33">
        <f>AND(IF(Metadata!T33="",FALSE,TRUE),exact(Metadata!T33,"Decimal degrees"))</f>
        <v>0</v>
      </c>
      <c r="BG33">
        <f>OR(AND(IF(Metadata!U33="",FALSE,TRUE),OR(exact(Metadata!U33,"not collected"),exact(Metadata!U33,"not provided"),exact(Metadata!U33,"restricted access"))),AND(IF(Metadata!U33="",FALSE,ISNUMBER(VALUE(Metadata!U33))),Metadata!U33&gt;=-180.00,Metadata!U33&lt;=180.00))</f>
        <v>0</v>
      </c>
      <c r="BH33">
        <f>AND(IF(Metadata!V33="",FALSE,TRUE),exact(Metadata!V33,"Decimal degrees"))</f>
        <v>0</v>
      </c>
      <c r="BI33">
        <f>IF(Metadata!W33="",FALSE,TRUE)</f>
        <v>0</v>
      </c>
      <c r="BJ33">
        <f>OR(AND(IF(Metadata!X33="",FALSE,TRUE),OR(exact(Metadata!X33,"not collected"),exact(Metadata!X33,"not provided"),exact(Metadata!X33,"restricted access"))),AND(IF(Metadata!X33="",FALSE,TRUE),OR(exact(Metadata!X33,"TRUE"),exact(Metadata!X33,"FALSE"))))</f>
        <v>0</v>
      </c>
      <c r="BK33">
        <f>AND(IF(Metadata!Y33="",FALSE,TRUE),exact(Metadata!Y33,"other"))</f>
        <v>0</v>
      </c>
      <c r="BL33">
        <f>IF(Metadata!Z33="",FALSE,TRUE)</f>
        <v>0</v>
      </c>
      <c r="BM33">
        <f>OR(AND(IF(Metadata!AA33="",FALSE,TRUE),OR(exact(Metadata!AA33,"not collected"),exact(Metadata!AA33,"not provided"))),AND(IF(Metadata!AA33="",FALSE,IF(ISERROR(INT(Metadata!AA33)),FALSE,INT(Metadata!AA33)=Metadata!AA33)),Metadata!AA33&gt;0))</f>
        <v>0</v>
      </c>
      <c r="BN33">
        <f>AND(IF(Metadata!AB33="",FALSE,TRUE),exact(Metadata!AB33,"Not applicable"))</f>
        <v>0</v>
      </c>
      <c r="BO33">
        <f>IF(Metadata!AC33="",FALSE,TRUE)</f>
        <v>0</v>
      </c>
    </row>
    <row r="34" spans="1:67">
      <c r="A34" s="5">
        <f>IF(B34=" "," ",HYPERLINK(CONCATENATE("#metadata!",ADDRESS(INDEX($AI$2:$AI$1001,MATCH(ROWS($AG$2:AG34),$AG$2:$AG$1001,0),0),1)),INDEX($AL$2:$AL$1001,MATCH(ROWS($AG$2:AG34),$AG$2:$AG$1001,0),0)))</f>
        <v>0</v>
      </c>
      <c r="B34" s="4">
        <f>IF(OR(INDEX($AH$2:$AH$1001,MATCH(ROWS($AG$2:AG34),$AG$2:$AG$1001,0),1)&gt;=100000,INDEX($AN$1005:$BO$1005,1,MATCH(COLUMNS($AN$1006:AN1006),$AN$1006:$BO$1006,0))&gt;=100000), " ",IF(INDEX($AN$2:$BO$1001,MATCH(ROWS($AG$2:AG34),$AG$2:$AG$1001,0),MATCH(COLUMNS($AN$1006:AN1006),$AN$1006:$BO$1006,0)), HYPERLINK("#",""), HYPERLINK(CONCATENATE("#Metadata!", ADDRESS(INDEX($AI$2:$AI$1001,MATCH(ROWS($AG$2:AG34),$AG$2:$AG$1001,0),0), INDEX($AN$1004:$BO$1004,1,MATCH(COLUMNS($AN$1006:AN1006),$AN$1006:$BO$1006,0)))),"Fix")))</f>
        <v>0</v>
      </c>
      <c r="C34" s="4">
        <f>IF(OR(INDEX($AH$2:$AH$1001,MATCH(ROWS($AG$2:AG34),$AG$2:$AG$1001,0),1)&gt;=100000,INDEX($AN$1005:$BO$1005,1,MATCH(COLUMNS($AN$1006:AO1006),$AN$1006:$BO$1006,0))&gt;=100000), " ",IF(INDEX($AN$2:$BO$1001,MATCH(ROWS($AG$2:AG34),$AG$2:$AG$1001,0),MATCH(COLUMNS($AN$1006:AO1006),$AN$1006:$BO$1006,0)), HYPERLINK("#",""), HYPERLINK(CONCATENATE("#Metadata!", ADDRESS(INDEX($AI$2:$AI$1001,MATCH(ROWS($AG$2:AG34),$AG$2:$AG$1001,0),0), INDEX($AN$1004:$BO$1004,1,MATCH(COLUMNS($AN$1006:AO1006),$AN$1006:$BO$1006,0)))),"Fix")))</f>
        <v>0</v>
      </c>
      <c r="D34" s="4">
        <f>IF(OR(INDEX($AH$2:$AH$1001,MATCH(ROWS($AG$2:AG34),$AG$2:$AG$1001,0),1)&gt;=100000,INDEX($AN$1005:$BO$1005,1,MATCH(COLUMNS($AN$1006:AP1006),$AN$1006:$BO$1006,0))&gt;=100000), " ",IF(INDEX($AN$2:$BO$1001,MATCH(ROWS($AG$2:AG34),$AG$2:$AG$1001,0),MATCH(COLUMNS($AN$1006:AP1006),$AN$1006:$BO$1006,0)), HYPERLINK("#",""), HYPERLINK(CONCATENATE("#Metadata!", ADDRESS(INDEX($AI$2:$AI$1001,MATCH(ROWS($AG$2:AG34),$AG$2:$AG$1001,0),0), INDEX($AN$1004:$BO$1004,1,MATCH(COLUMNS($AN$1006:AP1006),$AN$1006:$BO$1006,0)))),"Fix")))</f>
        <v>0</v>
      </c>
      <c r="E34" s="4">
        <f>IF(OR(INDEX($AH$2:$AH$1001,MATCH(ROWS($AG$2:AG34),$AG$2:$AG$1001,0),1)&gt;=100000,INDEX($AN$1005:$BO$1005,1,MATCH(COLUMNS($AN$1006:AQ1006),$AN$1006:$BO$1006,0))&gt;=100000), " ",IF(INDEX($AN$2:$BO$1001,MATCH(ROWS($AG$2:AG34),$AG$2:$AG$1001,0),MATCH(COLUMNS($AN$1006:AQ1006),$AN$1006:$BO$1006,0)), HYPERLINK("#",""), HYPERLINK(CONCATENATE("#Metadata!", ADDRESS(INDEX($AI$2:$AI$1001,MATCH(ROWS($AG$2:AG34),$AG$2:$AG$1001,0),0), INDEX($AN$1004:$BO$1004,1,MATCH(COLUMNS($AN$1006:AQ1006),$AN$1006:$BO$1006,0)))),"Fix")))</f>
        <v>0</v>
      </c>
      <c r="F34" s="4">
        <f>IF(OR(INDEX($AH$2:$AH$1001,MATCH(ROWS($AG$2:AG34),$AG$2:$AG$1001,0),1)&gt;=100000,INDEX($AN$1005:$BO$1005,1,MATCH(COLUMNS($AN$1006:AR1006),$AN$1006:$BO$1006,0))&gt;=100000), " ",IF(INDEX($AN$2:$BO$1001,MATCH(ROWS($AG$2:AG34),$AG$2:$AG$1001,0),MATCH(COLUMNS($AN$1006:AR1006),$AN$1006:$BO$1006,0)), HYPERLINK("#",""), HYPERLINK(CONCATENATE("#Metadata!", ADDRESS(INDEX($AI$2:$AI$1001,MATCH(ROWS($AG$2:AG34),$AG$2:$AG$1001,0),0), INDEX($AN$1004:$BO$1004,1,MATCH(COLUMNS($AN$1006:AR1006),$AN$1006:$BO$1006,0)))),"Fix")))</f>
        <v>0</v>
      </c>
      <c r="G34" s="4">
        <f>IF(OR(INDEX($AH$2:$AH$1001,MATCH(ROWS($AG$2:AG34),$AG$2:$AG$1001,0),1)&gt;=100000,INDEX($AN$1005:$BO$1005,1,MATCH(COLUMNS($AN$1006:AS1006),$AN$1006:$BO$1006,0))&gt;=100000), " ",IF(INDEX($AN$2:$BO$1001,MATCH(ROWS($AG$2:AG34),$AG$2:$AG$1001,0),MATCH(COLUMNS($AN$1006:AS1006),$AN$1006:$BO$1006,0)), HYPERLINK("#",""), HYPERLINK(CONCATENATE("#Metadata!", ADDRESS(INDEX($AI$2:$AI$1001,MATCH(ROWS($AG$2:AG34),$AG$2:$AG$1001,0),0), INDEX($AN$1004:$BO$1004,1,MATCH(COLUMNS($AN$1006:AS1006),$AN$1006:$BO$1006,0)))),"Fix")))</f>
        <v>0</v>
      </c>
      <c r="H34" s="4">
        <f>IF(OR(INDEX($AH$2:$AH$1001,MATCH(ROWS($AG$2:AG34),$AG$2:$AG$1001,0),1)&gt;=100000,INDEX($AN$1005:$BO$1005,1,MATCH(COLUMNS($AN$1006:AT1006),$AN$1006:$BO$1006,0))&gt;=100000), " ",IF(INDEX($AN$2:$BO$1001,MATCH(ROWS($AG$2:AG34),$AG$2:$AG$1001,0),MATCH(COLUMNS($AN$1006:AT1006),$AN$1006:$BO$1006,0)), HYPERLINK("#",""), HYPERLINK(CONCATENATE("#Metadata!", ADDRESS(INDEX($AI$2:$AI$1001,MATCH(ROWS($AG$2:AG34),$AG$2:$AG$1001,0),0), INDEX($AN$1004:$BO$1004,1,MATCH(COLUMNS($AN$1006:AT1006),$AN$1006:$BO$1006,0)))),"Fix")))</f>
        <v>0</v>
      </c>
      <c r="I34" s="4">
        <f>IF(OR(INDEX($AH$2:$AH$1001,MATCH(ROWS($AG$2:AG34),$AG$2:$AG$1001,0),1)&gt;=100000,INDEX($AN$1005:$BO$1005,1,MATCH(COLUMNS($AN$1006:AU1006),$AN$1006:$BO$1006,0))&gt;=100000), " ",IF(INDEX($AN$2:$BO$1001,MATCH(ROWS($AG$2:AG34),$AG$2:$AG$1001,0),MATCH(COLUMNS($AN$1006:AU1006),$AN$1006:$BO$1006,0)), HYPERLINK("#",""), HYPERLINK(CONCATENATE("#Metadata!", ADDRESS(INDEX($AI$2:$AI$1001,MATCH(ROWS($AG$2:AG34),$AG$2:$AG$1001,0),0), INDEX($AN$1004:$BO$1004,1,MATCH(COLUMNS($AN$1006:AU1006),$AN$1006:$BO$1006,0)))),"Fix")))</f>
        <v>0</v>
      </c>
      <c r="J34" s="4">
        <f>IF(OR(INDEX($AH$2:$AH$1001,MATCH(ROWS($AG$2:AG34),$AG$2:$AG$1001,0),1)&gt;=100000,INDEX($AN$1005:$BO$1005,1,MATCH(COLUMNS($AN$1006:AV1006),$AN$1006:$BO$1006,0))&gt;=100000), " ",IF(INDEX($AN$2:$BO$1001,MATCH(ROWS($AG$2:AG34),$AG$2:$AG$1001,0),MATCH(COLUMNS($AN$1006:AV1006),$AN$1006:$BO$1006,0)), HYPERLINK("#",""), HYPERLINK(CONCATENATE("#Metadata!", ADDRESS(INDEX($AI$2:$AI$1001,MATCH(ROWS($AG$2:AG34),$AG$2:$AG$1001,0),0), INDEX($AN$1004:$BO$1004,1,MATCH(COLUMNS($AN$1006:AV1006),$AN$1006:$BO$1006,0)))),"Fix")))</f>
        <v>0</v>
      </c>
      <c r="K34" s="4">
        <f>IF(OR(INDEX($AH$2:$AH$1001,MATCH(ROWS($AG$2:AG34),$AG$2:$AG$1001,0),1)&gt;=100000,INDEX($AN$1005:$BO$1005,1,MATCH(COLUMNS($AN$1006:AW1006),$AN$1006:$BO$1006,0))&gt;=100000), " ",IF(INDEX($AN$2:$BO$1001,MATCH(ROWS($AG$2:AG34),$AG$2:$AG$1001,0),MATCH(COLUMNS($AN$1006:AW1006),$AN$1006:$BO$1006,0)), HYPERLINK("#",""), HYPERLINK(CONCATENATE("#Metadata!", ADDRESS(INDEX($AI$2:$AI$1001,MATCH(ROWS($AG$2:AG34),$AG$2:$AG$1001,0),0), INDEX($AN$1004:$BO$1004,1,MATCH(COLUMNS($AN$1006:AW1006),$AN$1006:$BO$1006,0)))),"Fix")))</f>
        <v>0</v>
      </c>
      <c r="L34" s="4">
        <f>IF(OR(INDEX($AH$2:$AH$1001,MATCH(ROWS($AG$2:AG34),$AG$2:$AG$1001,0),1)&gt;=100000,INDEX($AN$1005:$BO$1005,1,MATCH(COLUMNS($AN$1006:AX1006),$AN$1006:$BO$1006,0))&gt;=100000), " ",IF(INDEX($AN$2:$BO$1001,MATCH(ROWS($AG$2:AG34),$AG$2:$AG$1001,0),MATCH(COLUMNS($AN$1006:AX1006),$AN$1006:$BO$1006,0)), HYPERLINK("#",""), HYPERLINK(CONCATENATE("#Metadata!", ADDRESS(INDEX($AI$2:$AI$1001,MATCH(ROWS($AG$2:AG34),$AG$2:$AG$1001,0),0), INDEX($AN$1004:$BO$1004,1,MATCH(COLUMNS($AN$1006:AX1006),$AN$1006:$BO$1006,0)))),"Fix")))</f>
        <v>0</v>
      </c>
      <c r="M34" s="4">
        <f>IF(OR(INDEX($AH$2:$AH$1001,MATCH(ROWS($AG$2:AG34),$AG$2:$AG$1001,0),1)&gt;=100000,INDEX($AN$1005:$BO$1005,1,MATCH(COLUMNS($AN$1006:AY1006),$AN$1006:$BO$1006,0))&gt;=100000), " ",IF(INDEX($AN$2:$BO$1001,MATCH(ROWS($AG$2:AG34),$AG$2:$AG$1001,0),MATCH(COLUMNS($AN$1006:AY1006),$AN$1006:$BO$1006,0)), HYPERLINK("#",""), HYPERLINK(CONCATENATE("#Metadata!", ADDRESS(INDEX($AI$2:$AI$1001,MATCH(ROWS($AG$2:AG34),$AG$2:$AG$1001,0),0), INDEX($AN$1004:$BO$1004,1,MATCH(COLUMNS($AN$1006:AY1006),$AN$1006:$BO$1006,0)))),"Fix")))</f>
        <v>0</v>
      </c>
      <c r="N34" s="4">
        <f>IF(OR(INDEX($AH$2:$AH$1001,MATCH(ROWS($AG$2:AG34),$AG$2:$AG$1001,0),1)&gt;=100000,INDEX($AN$1005:$BO$1005,1,MATCH(COLUMNS($AN$1006:AZ1006),$AN$1006:$BO$1006,0))&gt;=100000), " ",IF(INDEX($AN$2:$BO$1001,MATCH(ROWS($AG$2:AG34),$AG$2:$AG$1001,0),MATCH(COLUMNS($AN$1006:AZ1006),$AN$1006:$BO$1006,0)), HYPERLINK("#",""), HYPERLINK(CONCATENATE("#Metadata!", ADDRESS(INDEX($AI$2:$AI$1001,MATCH(ROWS($AG$2:AG34),$AG$2:$AG$1001,0),0), INDEX($AN$1004:$BO$1004,1,MATCH(COLUMNS($AN$1006:AZ1006),$AN$1006:$BO$1006,0)))),"Fix")))</f>
        <v>0</v>
      </c>
      <c r="O34" s="4">
        <f>IF(OR(INDEX($AH$2:$AH$1001,MATCH(ROWS($AG$2:AG34),$AG$2:$AG$1001,0),1)&gt;=100000,INDEX($AN$1005:$BO$1005,1,MATCH(COLUMNS($AN$1006:BA1006),$AN$1006:$BO$1006,0))&gt;=100000), " ",IF(INDEX($AN$2:$BO$1001,MATCH(ROWS($AG$2:AG34),$AG$2:$AG$1001,0),MATCH(COLUMNS($AN$1006:BA1006),$AN$1006:$BO$1006,0)), HYPERLINK("#",""), HYPERLINK(CONCATENATE("#Metadata!", ADDRESS(INDEX($AI$2:$AI$1001,MATCH(ROWS($AG$2:AG34),$AG$2:$AG$1001,0),0), INDEX($AN$1004:$BO$1004,1,MATCH(COLUMNS($AN$1006:BA1006),$AN$1006:$BO$1006,0)))),"Fix")))</f>
        <v>0</v>
      </c>
      <c r="P34" s="4">
        <f>IF(OR(INDEX($AH$2:$AH$1001,MATCH(ROWS($AG$2:AG34),$AG$2:$AG$1001,0),1)&gt;=100000,INDEX($AN$1005:$BO$1005,1,MATCH(COLUMNS($AN$1006:BB1006),$AN$1006:$BO$1006,0))&gt;=100000), " ",IF(INDEX($AN$2:$BO$1001,MATCH(ROWS($AG$2:AG34),$AG$2:$AG$1001,0),MATCH(COLUMNS($AN$1006:BB1006),$AN$1006:$BO$1006,0)), HYPERLINK("#",""), HYPERLINK(CONCATENATE("#Metadata!", ADDRESS(INDEX($AI$2:$AI$1001,MATCH(ROWS($AG$2:AG34),$AG$2:$AG$1001,0),0), INDEX($AN$1004:$BO$1004,1,MATCH(COLUMNS($AN$1006:BB1006),$AN$1006:$BO$1006,0)))),"Fix")))</f>
        <v>0</v>
      </c>
      <c r="Q34" s="4">
        <f>IF(OR(INDEX($AH$2:$AH$1001,MATCH(ROWS($AG$2:AG34),$AG$2:$AG$1001,0),1)&gt;=100000,INDEX($AN$1005:$BO$1005,1,MATCH(COLUMNS($AN$1006:BC1006),$AN$1006:$BO$1006,0))&gt;=100000), " ",IF(INDEX($AN$2:$BO$1001,MATCH(ROWS($AG$2:AG34),$AG$2:$AG$1001,0),MATCH(COLUMNS($AN$1006:BC1006),$AN$1006:$BO$1006,0)), HYPERLINK("#",""), HYPERLINK(CONCATENATE("#Metadata!", ADDRESS(INDEX($AI$2:$AI$1001,MATCH(ROWS($AG$2:AG34),$AG$2:$AG$1001,0),0), INDEX($AN$1004:$BO$1004,1,MATCH(COLUMNS($AN$1006:BC1006),$AN$1006:$BO$1006,0)))),"Fix")))</f>
        <v>0</v>
      </c>
      <c r="R34" s="4">
        <f>IF(OR(INDEX($AH$2:$AH$1001,MATCH(ROWS($AG$2:AG34),$AG$2:$AG$1001,0),1)&gt;=100000,INDEX($AN$1005:$BO$1005,1,MATCH(COLUMNS($AN$1006:BD1006),$AN$1006:$BO$1006,0))&gt;=100000), " ",IF(INDEX($AN$2:$BO$1001,MATCH(ROWS($AG$2:AG34),$AG$2:$AG$1001,0),MATCH(COLUMNS($AN$1006:BD1006),$AN$1006:$BO$1006,0)), HYPERLINK("#",""), HYPERLINK(CONCATENATE("#Metadata!", ADDRESS(INDEX($AI$2:$AI$1001,MATCH(ROWS($AG$2:AG34),$AG$2:$AG$1001,0),0), INDEX($AN$1004:$BO$1004,1,MATCH(COLUMNS($AN$1006:BD1006),$AN$1006:$BO$1006,0)))),"Fix")))</f>
        <v>0</v>
      </c>
      <c r="S34" s="4">
        <f>IF(OR(INDEX($AH$2:$AH$1001,MATCH(ROWS($AG$2:AG34),$AG$2:$AG$1001,0),1)&gt;=100000,INDEX($AN$1005:$BO$1005,1,MATCH(COLUMNS($AN$1006:BE1006),$AN$1006:$BO$1006,0))&gt;=100000), " ",IF(INDEX($AN$2:$BO$1001,MATCH(ROWS($AG$2:AG34),$AG$2:$AG$1001,0),MATCH(COLUMNS($AN$1006:BE1006),$AN$1006:$BO$1006,0)), HYPERLINK("#",""), HYPERLINK(CONCATENATE("#Metadata!", ADDRESS(INDEX($AI$2:$AI$1001,MATCH(ROWS($AG$2:AG34),$AG$2:$AG$1001,0),0), INDEX($AN$1004:$BO$1004,1,MATCH(COLUMNS($AN$1006:BE1006),$AN$1006:$BO$1006,0)))),"Fix")))</f>
        <v>0</v>
      </c>
      <c r="T34" s="4">
        <f>IF(OR(INDEX($AH$2:$AH$1001,MATCH(ROWS($AG$2:AG34),$AG$2:$AG$1001,0),1)&gt;=100000,INDEX($AN$1005:$BO$1005,1,MATCH(COLUMNS($AN$1006:BF1006),$AN$1006:$BO$1006,0))&gt;=100000), " ",IF(INDEX($AN$2:$BO$1001,MATCH(ROWS($AG$2:AG34),$AG$2:$AG$1001,0),MATCH(COLUMNS($AN$1006:BF1006),$AN$1006:$BO$1006,0)), HYPERLINK("#",""), HYPERLINK(CONCATENATE("#Metadata!", ADDRESS(INDEX($AI$2:$AI$1001,MATCH(ROWS($AG$2:AG34),$AG$2:$AG$1001,0),0), INDEX($AN$1004:$BO$1004,1,MATCH(COLUMNS($AN$1006:BF1006),$AN$1006:$BO$1006,0)))),"Fix")))</f>
        <v>0</v>
      </c>
      <c r="U34" s="4">
        <f>IF(OR(INDEX($AH$2:$AH$1001,MATCH(ROWS($AG$2:AG34),$AG$2:$AG$1001,0),1)&gt;=100000,INDEX($AN$1005:$BO$1005,1,MATCH(COLUMNS($AN$1006:BG1006),$AN$1006:$BO$1006,0))&gt;=100000), " ",IF(INDEX($AN$2:$BO$1001,MATCH(ROWS($AG$2:AG34),$AG$2:$AG$1001,0),MATCH(COLUMNS($AN$1006:BG1006),$AN$1006:$BO$1006,0)), HYPERLINK("#",""), HYPERLINK(CONCATENATE("#Metadata!", ADDRESS(INDEX($AI$2:$AI$1001,MATCH(ROWS($AG$2:AG34),$AG$2:$AG$1001,0),0), INDEX($AN$1004:$BO$1004,1,MATCH(COLUMNS($AN$1006:BG1006),$AN$1006:$BO$1006,0)))),"Fix")))</f>
        <v>0</v>
      </c>
      <c r="V34" s="4">
        <f>IF(OR(INDEX($AH$2:$AH$1001,MATCH(ROWS($AG$2:AG34),$AG$2:$AG$1001,0),1)&gt;=100000,INDEX($AN$1005:$BO$1005,1,MATCH(COLUMNS($AN$1006:BH1006),$AN$1006:$BO$1006,0))&gt;=100000), " ",IF(INDEX($AN$2:$BO$1001,MATCH(ROWS($AG$2:AG34),$AG$2:$AG$1001,0),MATCH(COLUMNS($AN$1006:BH1006),$AN$1006:$BO$1006,0)), HYPERLINK("#",""), HYPERLINK(CONCATENATE("#Metadata!", ADDRESS(INDEX($AI$2:$AI$1001,MATCH(ROWS($AG$2:AG34),$AG$2:$AG$1001,0),0), INDEX($AN$1004:$BO$1004,1,MATCH(COLUMNS($AN$1006:BH1006),$AN$1006:$BO$1006,0)))),"Fix")))</f>
        <v>0</v>
      </c>
      <c r="W34" s="4">
        <f>IF(OR(INDEX($AH$2:$AH$1001,MATCH(ROWS($AG$2:AG34),$AG$2:$AG$1001,0),1)&gt;=100000,INDEX($AN$1005:$BO$1005,1,MATCH(COLUMNS($AN$1006:BI1006),$AN$1006:$BO$1006,0))&gt;=100000), " ",IF(INDEX($AN$2:$BO$1001,MATCH(ROWS($AG$2:AG34),$AG$2:$AG$1001,0),MATCH(COLUMNS($AN$1006:BI1006),$AN$1006:$BO$1006,0)), HYPERLINK("#",""), HYPERLINK(CONCATENATE("#Metadata!", ADDRESS(INDEX($AI$2:$AI$1001,MATCH(ROWS($AG$2:AG34),$AG$2:$AG$1001,0),0), INDEX($AN$1004:$BO$1004,1,MATCH(COLUMNS($AN$1006:BI1006),$AN$1006:$BO$1006,0)))),"Fix")))</f>
        <v>0</v>
      </c>
      <c r="X34" s="4">
        <f>IF(OR(INDEX($AH$2:$AH$1001,MATCH(ROWS($AG$2:AG34),$AG$2:$AG$1001,0),1)&gt;=100000,INDEX($AN$1005:$BO$1005,1,MATCH(COLUMNS($AN$1006:BJ1006),$AN$1006:$BO$1006,0))&gt;=100000), " ",IF(INDEX($AN$2:$BO$1001,MATCH(ROWS($AG$2:AG34),$AG$2:$AG$1001,0),MATCH(COLUMNS($AN$1006:BJ1006),$AN$1006:$BO$1006,0)), HYPERLINK("#",""), HYPERLINK(CONCATENATE("#Metadata!", ADDRESS(INDEX($AI$2:$AI$1001,MATCH(ROWS($AG$2:AG34),$AG$2:$AG$1001,0),0), INDEX($AN$1004:$BO$1004,1,MATCH(COLUMNS($AN$1006:BJ1006),$AN$1006:$BO$1006,0)))),"Fix")))</f>
        <v>0</v>
      </c>
      <c r="Y34" s="4">
        <f>IF(OR(INDEX($AH$2:$AH$1001,MATCH(ROWS($AG$2:AG34),$AG$2:$AG$1001,0),1)&gt;=100000,INDEX($AN$1005:$BO$1005,1,MATCH(COLUMNS($AN$1006:BK1006),$AN$1006:$BO$1006,0))&gt;=100000), " ",IF(INDEX($AN$2:$BO$1001,MATCH(ROWS($AG$2:AG34),$AG$2:$AG$1001,0),MATCH(COLUMNS($AN$1006:BK1006),$AN$1006:$BO$1006,0)), HYPERLINK("#",""), HYPERLINK(CONCATENATE("#Metadata!", ADDRESS(INDEX($AI$2:$AI$1001,MATCH(ROWS($AG$2:AG34),$AG$2:$AG$1001,0),0), INDEX($AN$1004:$BO$1004,1,MATCH(COLUMNS($AN$1006:BK1006),$AN$1006:$BO$1006,0)))),"Fix")))</f>
        <v>0</v>
      </c>
      <c r="Z34" s="4">
        <f>IF(OR(INDEX($AH$2:$AH$1001,MATCH(ROWS($AG$2:AG34),$AG$2:$AG$1001,0),1)&gt;=100000,INDEX($AN$1005:$BO$1005,1,MATCH(COLUMNS($AN$1006:BL1006),$AN$1006:$BO$1006,0))&gt;=100000), " ",IF(INDEX($AN$2:$BO$1001,MATCH(ROWS($AG$2:AG34),$AG$2:$AG$1001,0),MATCH(COLUMNS($AN$1006:BL1006),$AN$1006:$BO$1006,0)), HYPERLINK("#",""), HYPERLINK(CONCATENATE("#Metadata!", ADDRESS(INDEX($AI$2:$AI$1001,MATCH(ROWS($AG$2:AG34),$AG$2:$AG$1001,0),0), INDEX($AN$1004:$BO$1004,1,MATCH(COLUMNS($AN$1006:BL1006),$AN$1006:$BO$1006,0)))),"Fix")))</f>
        <v>0</v>
      </c>
      <c r="AA34" s="4">
        <f>IF(OR(INDEX($AH$2:$AH$1001,MATCH(ROWS($AG$2:AG34),$AG$2:$AG$1001,0),1)&gt;=100000,INDEX($AN$1005:$BO$1005,1,MATCH(COLUMNS($AN$1006:BM1006),$AN$1006:$BO$1006,0))&gt;=100000), " ",IF(INDEX($AN$2:$BO$1001,MATCH(ROWS($AG$2:AG34),$AG$2:$AG$1001,0),MATCH(COLUMNS($AN$1006:BM1006),$AN$1006:$BO$1006,0)), HYPERLINK("#",""), HYPERLINK(CONCATENATE("#Metadata!", ADDRESS(INDEX($AI$2:$AI$1001,MATCH(ROWS($AG$2:AG34),$AG$2:$AG$1001,0),0), INDEX($AN$1004:$BO$1004,1,MATCH(COLUMNS($AN$1006:BM1006),$AN$1006:$BO$1006,0)))),"Fix")))</f>
        <v>0</v>
      </c>
      <c r="AB34" s="4">
        <f>IF(OR(INDEX($AH$2:$AH$1001,MATCH(ROWS($AG$2:AG34),$AG$2:$AG$1001,0),1)&gt;=100000,INDEX($AN$1005:$BO$1005,1,MATCH(COLUMNS($AN$1006:BN1006),$AN$1006:$BO$1006,0))&gt;=100000), " ",IF(INDEX($AN$2:$BO$1001,MATCH(ROWS($AG$2:AG34),$AG$2:$AG$1001,0),MATCH(COLUMNS($AN$1006:BN1006),$AN$1006:$BO$1006,0)), HYPERLINK("#",""), HYPERLINK(CONCATENATE("#Metadata!", ADDRESS(INDEX($AI$2:$AI$1001,MATCH(ROWS($AG$2:AG34),$AG$2:$AG$1001,0),0), INDEX($AN$1004:$BO$1004,1,MATCH(COLUMNS($AN$1006:BN1006),$AN$1006:$BO$1006,0)))),"Fix")))</f>
        <v>0</v>
      </c>
      <c r="AC34" s="4">
        <f>IF(OR(INDEX($AH$2:$AH$1001,MATCH(ROWS($AG$2:AG34),$AG$2:$AG$1001,0),1)&gt;=100000,INDEX($AN$1005:$BO$1005,1,MATCH(COLUMNS($AN$1006:BO1006),$AN$1006:$BO$1006,0))&gt;=100000), " ",IF(INDEX($AN$2:$BO$1001,MATCH(ROWS($AG$2:AG34),$AG$2:$AG$1001,0),MATCH(COLUMNS($AN$1006:BO1006),$AN$1006:$BO$1006,0)), HYPERLINK("#",""), HYPERLINK(CONCATENATE("#Metadata!", ADDRESS(INDEX($AI$2:$AI$1001,MATCH(ROWS($AG$2:AG34),$AG$2:$AG$1001,0),0), INDEX($AN$1004:$BO$1004,1,MATCH(COLUMNS($AN$1006:BO1006),$AN$1006:$BO$1006,0)))),"Fix")))</f>
        <v>0</v>
      </c>
      <c r="AG34">
        <v>0</v>
      </c>
      <c r="AH34">
        <v>0</v>
      </c>
      <c r="AI34">
        <v>0</v>
      </c>
      <c r="AJ34">
        <f>IF(AK34,TRUE,AND(AN34:BO34))</f>
        <v>0</v>
      </c>
      <c r="AK34">
        <f>COUNTBLANK(Metadata!B34:AC34)=COLUMNS(Metadata!B34:AC34)</f>
        <v>0</v>
      </c>
      <c r="AL34">
        <v>0</v>
      </c>
      <c r="AN34">
        <f>AND(IF(Metadata!B34="",FALSE,TRUE),COUNTIF(Metadata!B:B, Metadata!B34) = 1,NOT(ISERROR(SUMPRODUCT(SEARCH(MID(Metadata!B34,ROW(INDIRECT("1:"&amp;LEN(Metadata!B34))), 1),"0123456789abcdefghijklmnopqrstuvwxyzABCDEFGHIJKLMNOPQRSTUVWXYZ.")))))</f>
        <v>0</v>
      </c>
      <c r="AO34">
        <f>IF(Metadata!C34="",FALSE,TRUE)</f>
        <v>0</v>
      </c>
      <c r="AP34">
        <f>IF(Metadata!D34="",FALSE,TRUE)</f>
        <v>0</v>
      </c>
      <c r="AQ34">
        <f>OR(AND(IF(Metadata!E34="",FALSE,TRUE),OR(exact(Metadata!E34,"not collected"),exact(Metadata!E34,"not provided"),exact(Metadata!E34,"restricted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R34">
        <f>IF(Metadata!F34="",FALSE,TRUE)</f>
        <v>0</v>
      </c>
      <c r="AS34">
        <f>OR(AND(IF(Metadata!G34="",FALSE,TRUE),OR(exact(Metadata!G34,"not collected"),exact(Metadata!G34,"not provided"))),AND(IF(Metadata!G34="",FALSE,TRUE),OR(exact(Metadata!G34,"TRUE"),exact(Metadata!G34,"FALSE"))))</f>
        <v>0</v>
      </c>
      <c r="AT34">
        <f>OR(AND(IF(Metadata!H34="",FALSE,TRUE),OR(exact(Metadata!H34,"not collected"),exact(Metadata!H34,"not provided"),exact(Metadata!H34,"restricted access"))),AND(IF(Metadata!H34="",FALSE,ISNUMBER(VALUE(Metadata!H34))),Metadata!H34&gt;=-413.0))</f>
        <v>0</v>
      </c>
      <c r="AU34">
        <f>AND(IF(Metadata!I34="",FALSE,TRUE),exact(Metadata!I34,"meters"))</f>
        <v>0</v>
      </c>
      <c r="AV34">
        <f>AND(IF(Metadata!J34="",FALSE,TRUE),OR(exact(Metadata!J34,"Host-associated"),exact(Metadata!J34,"Free-living")))</f>
        <v>0</v>
      </c>
      <c r="AW34">
        <f>AND(IF(Metadata!K34="",FALSE,TRUE),OR(exact(Metadata!K34,"Animal"),exact(Metadata!K34,"Fungus"),exact(Metadata!K34,"Plant"),exact(Metadata!K34,"Saline"),exact(Metadata!K34,"Non-saline")))</f>
        <v>0</v>
      </c>
      <c r="AX34">
        <f>AND(IF(Metadata!L34="",FALSE,TRUE),OR(exact(Metadata!L34,"Plant secretion"),exact(Metadata!L34,"Plant rhizosphere"),exact(Metadata!L34,"Plant surface"),exact(Metadata!L34,"Plant corpus"),exact(Metadata!L34,"Fungus surface"),exact(Metadata!L34,"Fungus corpus"),exact(Metadata!L34,"Animal surface"),exact(Metadata!L34,"Animal proximal gut"),exact(Metadata!L34,"Animal corpus"),exact(Metadata!L34,"Animal distal gut"),exact(Metadata!L34,"Animal secretion"),exact(Metadata!L34,"Sub-surface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0</v>
      </c>
      <c r="AY34">
        <f>IF(Metadata!M34="",FALSE,TRUE)</f>
        <v>0</v>
      </c>
      <c r="AZ34">
        <f>IF(Metadata!N34="",FALSE,TRUE)</f>
        <v>0</v>
      </c>
      <c r="BA34">
        <f>IF(Metadata!O34="",FALSE,TRUE)</f>
        <v>0</v>
      </c>
      <c r="BB34">
        <f>OR(AND(IF(Metadata!P34="",FALSE,TRUE),OR(exact(Metadata!P34,"not collected"),exact(Metadata!P34,"not provided"),exact(Metadata!P34,"restricted access"))),AND(IF(Metadata!P34="",FALSE,TRUE),OR(exact(Metadata!P34,"air"),exact(Metadata!P34,"built environment"),exact(Metadata!P34,"host-associated"),exact(Metadata!P34,"human-associated"),exact(Metadata!P34,"human-skin"),exact(Metadata!P34,"human-oral"),exact(Metadata!P34,"human-gut"),exact(Metadata!P34,"human-vaginal"),exact(Metadata!P34,"microbial mat/biofilm"),exact(Metadata!P34,"misc environment"),exact(Metadata!P34,"plant-associated"),exact(Metadata!P34,"sediment"),exact(Metadata!P34,"soil"),exact(Metadata!P34,"wastewater/sludge"),exact(Metadata!P34,"water"))))</f>
        <v>0</v>
      </c>
      <c r="BC34">
        <f>IF(Metadata!Q34="",FALSE,TRUE)</f>
        <v>0</v>
      </c>
      <c r="BD34">
        <f>IF(Metadata!R34="",FALSE,TRUE)</f>
        <v>0</v>
      </c>
      <c r="BE34">
        <f>OR(AND(IF(Metadata!S34="",FALSE,TRUE),OR(exact(Metadata!S34,"not collected"),exact(Metadata!S34,"not provided"),exact(Metadata!S34,"restricted access"))),AND(IF(Metadata!S34="",FALSE,ISNUMBER(VALUE(Metadata!S34))),Metadata!S34&gt;=-90.00,Metadata!S34&lt;=90.00))</f>
        <v>0</v>
      </c>
      <c r="BF34">
        <f>AND(IF(Metadata!T34="",FALSE,TRUE),exact(Metadata!T34,"Decimal degrees"))</f>
        <v>0</v>
      </c>
      <c r="BG34">
        <f>OR(AND(IF(Metadata!U34="",FALSE,TRUE),OR(exact(Metadata!U34,"not collected"),exact(Metadata!U34,"not provided"),exact(Metadata!U34,"restricted access"))),AND(IF(Metadata!U34="",FALSE,ISNUMBER(VALUE(Metadata!U34))),Metadata!U34&gt;=-180.00,Metadata!U34&lt;=180.00))</f>
        <v>0</v>
      </c>
      <c r="BH34">
        <f>AND(IF(Metadata!V34="",FALSE,TRUE),exact(Metadata!V34,"Decimal degrees"))</f>
        <v>0</v>
      </c>
      <c r="BI34">
        <f>IF(Metadata!W34="",FALSE,TRUE)</f>
        <v>0</v>
      </c>
      <c r="BJ34">
        <f>OR(AND(IF(Metadata!X34="",FALSE,TRUE),OR(exact(Metadata!X34,"not collected"),exact(Metadata!X34,"not provided"),exact(Metadata!X34,"restricted access"))),AND(IF(Metadata!X34="",FALSE,TRUE),OR(exact(Metadata!X34,"TRUE"),exact(Metadata!X34,"FALSE"))))</f>
        <v>0</v>
      </c>
      <c r="BK34">
        <f>AND(IF(Metadata!Y34="",FALSE,TRUE),exact(Metadata!Y34,"other"))</f>
        <v>0</v>
      </c>
      <c r="BL34">
        <f>IF(Metadata!Z34="",FALSE,TRUE)</f>
        <v>0</v>
      </c>
      <c r="BM34">
        <f>OR(AND(IF(Metadata!AA34="",FALSE,TRUE),OR(exact(Metadata!AA34,"not collected"),exact(Metadata!AA34,"not provided"))),AND(IF(Metadata!AA34="",FALSE,IF(ISERROR(INT(Metadata!AA34)),FALSE,INT(Metadata!AA34)=Metadata!AA34)),Metadata!AA34&gt;0))</f>
        <v>0</v>
      </c>
      <c r="BN34">
        <f>AND(IF(Metadata!AB34="",FALSE,TRUE),exact(Metadata!AB34,"Not applicable"))</f>
        <v>0</v>
      </c>
      <c r="BO34">
        <f>IF(Metadata!AC34="",FALSE,TRUE)</f>
        <v>0</v>
      </c>
    </row>
    <row r="35" spans="1:67">
      <c r="A35" s="5">
        <f>IF(B35=" "," ",HYPERLINK(CONCATENATE("#metadata!",ADDRESS(INDEX($AI$2:$AI$1001,MATCH(ROWS($AG$2:AG35),$AG$2:$AG$1001,0),0),1)),INDEX($AL$2:$AL$1001,MATCH(ROWS($AG$2:AG35),$AG$2:$AG$1001,0),0)))</f>
        <v>0</v>
      </c>
      <c r="B35" s="4">
        <f>IF(OR(INDEX($AH$2:$AH$1001,MATCH(ROWS($AG$2:AG35),$AG$2:$AG$1001,0),1)&gt;=100000,INDEX($AN$1005:$BO$1005,1,MATCH(COLUMNS($AN$1006:AN1006),$AN$1006:$BO$1006,0))&gt;=100000), " ",IF(INDEX($AN$2:$BO$1001,MATCH(ROWS($AG$2:AG35),$AG$2:$AG$1001,0),MATCH(COLUMNS($AN$1006:AN1006),$AN$1006:$BO$1006,0)), HYPERLINK("#",""), HYPERLINK(CONCATENATE("#Metadata!", ADDRESS(INDEX($AI$2:$AI$1001,MATCH(ROWS($AG$2:AG35),$AG$2:$AG$1001,0),0), INDEX($AN$1004:$BO$1004,1,MATCH(COLUMNS($AN$1006:AN1006),$AN$1006:$BO$1006,0)))),"Fix")))</f>
        <v>0</v>
      </c>
      <c r="C35" s="4">
        <f>IF(OR(INDEX($AH$2:$AH$1001,MATCH(ROWS($AG$2:AG35),$AG$2:$AG$1001,0),1)&gt;=100000,INDEX($AN$1005:$BO$1005,1,MATCH(COLUMNS($AN$1006:AO1006),$AN$1006:$BO$1006,0))&gt;=100000), " ",IF(INDEX($AN$2:$BO$1001,MATCH(ROWS($AG$2:AG35),$AG$2:$AG$1001,0),MATCH(COLUMNS($AN$1006:AO1006),$AN$1006:$BO$1006,0)), HYPERLINK("#",""), HYPERLINK(CONCATENATE("#Metadata!", ADDRESS(INDEX($AI$2:$AI$1001,MATCH(ROWS($AG$2:AG35),$AG$2:$AG$1001,0),0), INDEX($AN$1004:$BO$1004,1,MATCH(COLUMNS($AN$1006:AO1006),$AN$1006:$BO$1006,0)))),"Fix")))</f>
        <v>0</v>
      </c>
      <c r="D35" s="4">
        <f>IF(OR(INDEX($AH$2:$AH$1001,MATCH(ROWS($AG$2:AG35),$AG$2:$AG$1001,0),1)&gt;=100000,INDEX($AN$1005:$BO$1005,1,MATCH(COLUMNS($AN$1006:AP1006),$AN$1006:$BO$1006,0))&gt;=100000), " ",IF(INDEX($AN$2:$BO$1001,MATCH(ROWS($AG$2:AG35),$AG$2:$AG$1001,0),MATCH(COLUMNS($AN$1006:AP1006),$AN$1006:$BO$1006,0)), HYPERLINK("#",""), HYPERLINK(CONCATENATE("#Metadata!", ADDRESS(INDEX($AI$2:$AI$1001,MATCH(ROWS($AG$2:AG35),$AG$2:$AG$1001,0),0), INDEX($AN$1004:$BO$1004,1,MATCH(COLUMNS($AN$1006:AP1006),$AN$1006:$BO$1006,0)))),"Fix")))</f>
        <v>0</v>
      </c>
      <c r="E35" s="4">
        <f>IF(OR(INDEX($AH$2:$AH$1001,MATCH(ROWS($AG$2:AG35),$AG$2:$AG$1001,0),1)&gt;=100000,INDEX($AN$1005:$BO$1005,1,MATCH(COLUMNS($AN$1006:AQ1006),$AN$1006:$BO$1006,0))&gt;=100000), " ",IF(INDEX($AN$2:$BO$1001,MATCH(ROWS($AG$2:AG35),$AG$2:$AG$1001,0),MATCH(COLUMNS($AN$1006:AQ1006),$AN$1006:$BO$1006,0)), HYPERLINK("#",""), HYPERLINK(CONCATENATE("#Metadata!", ADDRESS(INDEX($AI$2:$AI$1001,MATCH(ROWS($AG$2:AG35),$AG$2:$AG$1001,0),0), INDEX($AN$1004:$BO$1004,1,MATCH(COLUMNS($AN$1006:AQ1006),$AN$1006:$BO$1006,0)))),"Fix")))</f>
        <v>0</v>
      </c>
      <c r="F35" s="4">
        <f>IF(OR(INDEX($AH$2:$AH$1001,MATCH(ROWS($AG$2:AG35),$AG$2:$AG$1001,0),1)&gt;=100000,INDEX($AN$1005:$BO$1005,1,MATCH(COLUMNS($AN$1006:AR1006),$AN$1006:$BO$1006,0))&gt;=100000), " ",IF(INDEX($AN$2:$BO$1001,MATCH(ROWS($AG$2:AG35),$AG$2:$AG$1001,0),MATCH(COLUMNS($AN$1006:AR1006),$AN$1006:$BO$1006,0)), HYPERLINK("#",""), HYPERLINK(CONCATENATE("#Metadata!", ADDRESS(INDEX($AI$2:$AI$1001,MATCH(ROWS($AG$2:AG35),$AG$2:$AG$1001,0),0), INDEX($AN$1004:$BO$1004,1,MATCH(COLUMNS($AN$1006:AR1006),$AN$1006:$BO$1006,0)))),"Fix")))</f>
        <v>0</v>
      </c>
      <c r="G35" s="4">
        <f>IF(OR(INDEX($AH$2:$AH$1001,MATCH(ROWS($AG$2:AG35),$AG$2:$AG$1001,0),1)&gt;=100000,INDEX($AN$1005:$BO$1005,1,MATCH(COLUMNS($AN$1006:AS1006),$AN$1006:$BO$1006,0))&gt;=100000), " ",IF(INDEX($AN$2:$BO$1001,MATCH(ROWS($AG$2:AG35),$AG$2:$AG$1001,0),MATCH(COLUMNS($AN$1006:AS1006),$AN$1006:$BO$1006,0)), HYPERLINK("#",""), HYPERLINK(CONCATENATE("#Metadata!", ADDRESS(INDEX($AI$2:$AI$1001,MATCH(ROWS($AG$2:AG35),$AG$2:$AG$1001,0),0), INDEX($AN$1004:$BO$1004,1,MATCH(COLUMNS($AN$1006:AS1006),$AN$1006:$BO$1006,0)))),"Fix")))</f>
        <v>0</v>
      </c>
      <c r="H35" s="4">
        <f>IF(OR(INDEX($AH$2:$AH$1001,MATCH(ROWS($AG$2:AG35),$AG$2:$AG$1001,0),1)&gt;=100000,INDEX($AN$1005:$BO$1005,1,MATCH(COLUMNS($AN$1006:AT1006),$AN$1006:$BO$1006,0))&gt;=100000), " ",IF(INDEX($AN$2:$BO$1001,MATCH(ROWS($AG$2:AG35),$AG$2:$AG$1001,0),MATCH(COLUMNS($AN$1006:AT1006),$AN$1006:$BO$1006,0)), HYPERLINK("#",""), HYPERLINK(CONCATENATE("#Metadata!", ADDRESS(INDEX($AI$2:$AI$1001,MATCH(ROWS($AG$2:AG35),$AG$2:$AG$1001,0),0), INDEX($AN$1004:$BO$1004,1,MATCH(COLUMNS($AN$1006:AT1006),$AN$1006:$BO$1006,0)))),"Fix")))</f>
        <v>0</v>
      </c>
      <c r="I35" s="4">
        <f>IF(OR(INDEX($AH$2:$AH$1001,MATCH(ROWS($AG$2:AG35),$AG$2:$AG$1001,0),1)&gt;=100000,INDEX($AN$1005:$BO$1005,1,MATCH(COLUMNS($AN$1006:AU1006),$AN$1006:$BO$1006,0))&gt;=100000), " ",IF(INDEX($AN$2:$BO$1001,MATCH(ROWS($AG$2:AG35),$AG$2:$AG$1001,0),MATCH(COLUMNS($AN$1006:AU1006),$AN$1006:$BO$1006,0)), HYPERLINK("#",""), HYPERLINK(CONCATENATE("#Metadata!", ADDRESS(INDEX($AI$2:$AI$1001,MATCH(ROWS($AG$2:AG35),$AG$2:$AG$1001,0),0), INDEX($AN$1004:$BO$1004,1,MATCH(COLUMNS($AN$1006:AU1006),$AN$1006:$BO$1006,0)))),"Fix")))</f>
        <v>0</v>
      </c>
      <c r="J35" s="4">
        <f>IF(OR(INDEX($AH$2:$AH$1001,MATCH(ROWS($AG$2:AG35),$AG$2:$AG$1001,0),1)&gt;=100000,INDEX($AN$1005:$BO$1005,1,MATCH(COLUMNS($AN$1006:AV1006),$AN$1006:$BO$1006,0))&gt;=100000), " ",IF(INDEX($AN$2:$BO$1001,MATCH(ROWS($AG$2:AG35),$AG$2:$AG$1001,0),MATCH(COLUMNS($AN$1006:AV1006),$AN$1006:$BO$1006,0)), HYPERLINK("#",""), HYPERLINK(CONCATENATE("#Metadata!", ADDRESS(INDEX($AI$2:$AI$1001,MATCH(ROWS($AG$2:AG35),$AG$2:$AG$1001,0),0), INDEX($AN$1004:$BO$1004,1,MATCH(COLUMNS($AN$1006:AV1006),$AN$1006:$BO$1006,0)))),"Fix")))</f>
        <v>0</v>
      </c>
      <c r="K35" s="4">
        <f>IF(OR(INDEX($AH$2:$AH$1001,MATCH(ROWS($AG$2:AG35),$AG$2:$AG$1001,0),1)&gt;=100000,INDEX($AN$1005:$BO$1005,1,MATCH(COLUMNS($AN$1006:AW1006),$AN$1006:$BO$1006,0))&gt;=100000), " ",IF(INDEX($AN$2:$BO$1001,MATCH(ROWS($AG$2:AG35),$AG$2:$AG$1001,0),MATCH(COLUMNS($AN$1006:AW1006),$AN$1006:$BO$1006,0)), HYPERLINK("#",""), HYPERLINK(CONCATENATE("#Metadata!", ADDRESS(INDEX($AI$2:$AI$1001,MATCH(ROWS($AG$2:AG35),$AG$2:$AG$1001,0),0), INDEX($AN$1004:$BO$1004,1,MATCH(COLUMNS($AN$1006:AW1006),$AN$1006:$BO$1006,0)))),"Fix")))</f>
        <v>0</v>
      </c>
      <c r="L35" s="4">
        <f>IF(OR(INDEX($AH$2:$AH$1001,MATCH(ROWS($AG$2:AG35),$AG$2:$AG$1001,0),1)&gt;=100000,INDEX($AN$1005:$BO$1005,1,MATCH(COLUMNS($AN$1006:AX1006),$AN$1006:$BO$1006,0))&gt;=100000), " ",IF(INDEX($AN$2:$BO$1001,MATCH(ROWS($AG$2:AG35),$AG$2:$AG$1001,0),MATCH(COLUMNS($AN$1006:AX1006),$AN$1006:$BO$1006,0)), HYPERLINK("#",""), HYPERLINK(CONCATENATE("#Metadata!", ADDRESS(INDEX($AI$2:$AI$1001,MATCH(ROWS($AG$2:AG35),$AG$2:$AG$1001,0),0), INDEX($AN$1004:$BO$1004,1,MATCH(COLUMNS($AN$1006:AX1006),$AN$1006:$BO$1006,0)))),"Fix")))</f>
        <v>0</v>
      </c>
      <c r="M35" s="4">
        <f>IF(OR(INDEX($AH$2:$AH$1001,MATCH(ROWS($AG$2:AG35),$AG$2:$AG$1001,0),1)&gt;=100000,INDEX($AN$1005:$BO$1005,1,MATCH(COLUMNS($AN$1006:AY1006),$AN$1006:$BO$1006,0))&gt;=100000), " ",IF(INDEX($AN$2:$BO$1001,MATCH(ROWS($AG$2:AG35),$AG$2:$AG$1001,0),MATCH(COLUMNS($AN$1006:AY1006),$AN$1006:$BO$1006,0)), HYPERLINK("#",""), HYPERLINK(CONCATENATE("#Metadata!", ADDRESS(INDEX($AI$2:$AI$1001,MATCH(ROWS($AG$2:AG35),$AG$2:$AG$1001,0),0), INDEX($AN$1004:$BO$1004,1,MATCH(COLUMNS($AN$1006:AY1006),$AN$1006:$BO$1006,0)))),"Fix")))</f>
        <v>0</v>
      </c>
      <c r="N35" s="4">
        <f>IF(OR(INDEX($AH$2:$AH$1001,MATCH(ROWS($AG$2:AG35),$AG$2:$AG$1001,0),1)&gt;=100000,INDEX($AN$1005:$BO$1005,1,MATCH(COLUMNS($AN$1006:AZ1006),$AN$1006:$BO$1006,0))&gt;=100000), " ",IF(INDEX($AN$2:$BO$1001,MATCH(ROWS($AG$2:AG35),$AG$2:$AG$1001,0),MATCH(COLUMNS($AN$1006:AZ1006),$AN$1006:$BO$1006,0)), HYPERLINK("#",""), HYPERLINK(CONCATENATE("#Metadata!", ADDRESS(INDEX($AI$2:$AI$1001,MATCH(ROWS($AG$2:AG35),$AG$2:$AG$1001,0),0), INDEX($AN$1004:$BO$1004,1,MATCH(COLUMNS($AN$1006:AZ1006),$AN$1006:$BO$1006,0)))),"Fix")))</f>
        <v>0</v>
      </c>
      <c r="O35" s="4">
        <f>IF(OR(INDEX($AH$2:$AH$1001,MATCH(ROWS($AG$2:AG35),$AG$2:$AG$1001,0),1)&gt;=100000,INDEX($AN$1005:$BO$1005,1,MATCH(COLUMNS($AN$1006:BA1006),$AN$1006:$BO$1006,0))&gt;=100000), " ",IF(INDEX($AN$2:$BO$1001,MATCH(ROWS($AG$2:AG35),$AG$2:$AG$1001,0),MATCH(COLUMNS($AN$1006:BA1006),$AN$1006:$BO$1006,0)), HYPERLINK("#",""), HYPERLINK(CONCATENATE("#Metadata!", ADDRESS(INDEX($AI$2:$AI$1001,MATCH(ROWS($AG$2:AG35),$AG$2:$AG$1001,0),0), INDEX($AN$1004:$BO$1004,1,MATCH(COLUMNS($AN$1006:BA1006),$AN$1006:$BO$1006,0)))),"Fix")))</f>
        <v>0</v>
      </c>
      <c r="P35" s="4">
        <f>IF(OR(INDEX($AH$2:$AH$1001,MATCH(ROWS($AG$2:AG35),$AG$2:$AG$1001,0),1)&gt;=100000,INDEX($AN$1005:$BO$1005,1,MATCH(COLUMNS($AN$1006:BB1006),$AN$1006:$BO$1006,0))&gt;=100000), " ",IF(INDEX($AN$2:$BO$1001,MATCH(ROWS($AG$2:AG35),$AG$2:$AG$1001,0),MATCH(COLUMNS($AN$1006:BB1006),$AN$1006:$BO$1006,0)), HYPERLINK("#",""), HYPERLINK(CONCATENATE("#Metadata!", ADDRESS(INDEX($AI$2:$AI$1001,MATCH(ROWS($AG$2:AG35),$AG$2:$AG$1001,0),0), INDEX($AN$1004:$BO$1004,1,MATCH(COLUMNS($AN$1006:BB1006),$AN$1006:$BO$1006,0)))),"Fix")))</f>
        <v>0</v>
      </c>
      <c r="Q35" s="4">
        <f>IF(OR(INDEX($AH$2:$AH$1001,MATCH(ROWS($AG$2:AG35),$AG$2:$AG$1001,0),1)&gt;=100000,INDEX($AN$1005:$BO$1005,1,MATCH(COLUMNS($AN$1006:BC1006),$AN$1006:$BO$1006,0))&gt;=100000), " ",IF(INDEX($AN$2:$BO$1001,MATCH(ROWS($AG$2:AG35),$AG$2:$AG$1001,0),MATCH(COLUMNS($AN$1006:BC1006),$AN$1006:$BO$1006,0)), HYPERLINK("#",""), HYPERLINK(CONCATENATE("#Metadata!", ADDRESS(INDEX($AI$2:$AI$1001,MATCH(ROWS($AG$2:AG35),$AG$2:$AG$1001,0),0), INDEX($AN$1004:$BO$1004,1,MATCH(COLUMNS($AN$1006:BC1006),$AN$1006:$BO$1006,0)))),"Fix")))</f>
        <v>0</v>
      </c>
      <c r="R35" s="4">
        <f>IF(OR(INDEX($AH$2:$AH$1001,MATCH(ROWS($AG$2:AG35),$AG$2:$AG$1001,0),1)&gt;=100000,INDEX($AN$1005:$BO$1005,1,MATCH(COLUMNS($AN$1006:BD1006),$AN$1006:$BO$1006,0))&gt;=100000), " ",IF(INDEX($AN$2:$BO$1001,MATCH(ROWS($AG$2:AG35),$AG$2:$AG$1001,0),MATCH(COLUMNS($AN$1006:BD1006),$AN$1006:$BO$1006,0)), HYPERLINK("#",""), HYPERLINK(CONCATENATE("#Metadata!", ADDRESS(INDEX($AI$2:$AI$1001,MATCH(ROWS($AG$2:AG35),$AG$2:$AG$1001,0),0), INDEX($AN$1004:$BO$1004,1,MATCH(COLUMNS($AN$1006:BD1006),$AN$1006:$BO$1006,0)))),"Fix")))</f>
        <v>0</v>
      </c>
      <c r="S35" s="4">
        <f>IF(OR(INDEX($AH$2:$AH$1001,MATCH(ROWS($AG$2:AG35),$AG$2:$AG$1001,0),1)&gt;=100000,INDEX($AN$1005:$BO$1005,1,MATCH(COLUMNS($AN$1006:BE1006),$AN$1006:$BO$1006,0))&gt;=100000), " ",IF(INDEX($AN$2:$BO$1001,MATCH(ROWS($AG$2:AG35),$AG$2:$AG$1001,0),MATCH(COLUMNS($AN$1006:BE1006),$AN$1006:$BO$1006,0)), HYPERLINK("#",""), HYPERLINK(CONCATENATE("#Metadata!", ADDRESS(INDEX($AI$2:$AI$1001,MATCH(ROWS($AG$2:AG35),$AG$2:$AG$1001,0),0), INDEX($AN$1004:$BO$1004,1,MATCH(COLUMNS($AN$1006:BE1006),$AN$1006:$BO$1006,0)))),"Fix")))</f>
        <v>0</v>
      </c>
      <c r="T35" s="4">
        <f>IF(OR(INDEX($AH$2:$AH$1001,MATCH(ROWS($AG$2:AG35),$AG$2:$AG$1001,0),1)&gt;=100000,INDEX($AN$1005:$BO$1005,1,MATCH(COLUMNS($AN$1006:BF1006),$AN$1006:$BO$1006,0))&gt;=100000), " ",IF(INDEX($AN$2:$BO$1001,MATCH(ROWS($AG$2:AG35),$AG$2:$AG$1001,0),MATCH(COLUMNS($AN$1006:BF1006),$AN$1006:$BO$1006,0)), HYPERLINK("#",""), HYPERLINK(CONCATENATE("#Metadata!", ADDRESS(INDEX($AI$2:$AI$1001,MATCH(ROWS($AG$2:AG35),$AG$2:$AG$1001,0),0), INDEX($AN$1004:$BO$1004,1,MATCH(COLUMNS($AN$1006:BF1006),$AN$1006:$BO$1006,0)))),"Fix")))</f>
        <v>0</v>
      </c>
      <c r="U35" s="4">
        <f>IF(OR(INDEX($AH$2:$AH$1001,MATCH(ROWS($AG$2:AG35),$AG$2:$AG$1001,0),1)&gt;=100000,INDEX($AN$1005:$BO$1005,1,MATCH(COLUMNS($AN$1006:BG1006),$AN$1006:$BO$1006,0))&gt;=100000), " ",IF(INDEX($AN$2:$BO$1001,MATCH(ROWS($AG$2:AG35),$AG$2:$AG$1001,0),MATCH(COLUMNS($AN$1006:BG1006),$AN$1006:$BO$1006,0)), HYPERLINK("#",""), HYPERLINK(CONCATENATE("#Metadata!", ADDRESS(INDEX($AI$2:$AI$1001,MATCH(ROWS($AG$2:AG35),$AG$2:$AG$1001,0),0), INDEX($AN$1004:$BO$1004,1,MATCH(COLUMNS($AN$1006:BG1006),$AN$1006:$BO$1006,0)))),"Fix")))</f>
        <v>0</v>
      </c>
      <c r="V35" s="4">
        <f>IF(OR(INDEX($AH$2:$AH$1001,MATCH(ROWS($AG$2:AG35),$AG$2:$AG$1001,0),1)&gt;=100000,INDEX($AN$1005:$BO$1005,1,MATCH(COLUMNS($AN$1006:BH1006),$AN$1006:$BO$1006,0))&gt;=100000), " ",IF(INDEX($AN$2:$BO$1001,MATCH(ROWS($AG$2:AG35),$AG$2:$AG$1001,0),MATCH(COLUMNS($AN$1006:BH1006),$AN$1006:$BO$1006,0)), HYPERLINK("#",""), HYPERLINK(CONCATENATE("#Metadata!", ADDRESS(INDEX($AI$2:$AI$1001,MATCH(ROWS($AG$2:AG35),$AG$2:$AG$1001,0),0), INDEX($AN$1004:$BO$1004,1,MATCH(COLUMNS($AN$1006:BH1006),$AN$1006:$BO$1006,0)))),"Fix")))</f>
        <v>0</v>
      </c>
      <c r="W35" s="4">
        <f>IF(OR(INDEX($AH$2:$AH$1001,MATCH(ROWS($AG$2:AG35),$AG$2:$AG$1001,0),1)&gt;=100000,INDEX($AN$1005:$BO$1005,1,MATCH(COLUMNS($AN$1006:BI1006),$AN$1006:$BO$1006,0))&gt;=100000), " ",IF(INDEX($AN$2:$BO$1001,MATCH(ROWS($AG$2:AG35),$AG$2:$AG$1001,0),MATCH(COLUMNS($AN$1006:BI1006),$AN$1006:$BO$1006,0)), HYPERLINK("#",""), HYPERLINK(CONCATENATE("#Metadata!", ADDRESS(INDEX($AI$2:$AI$1001,MATCH(ROWS($AG$2:AG35),$AG$2:$AG$1001,0),0), INDEX($AN$1004:$BO$1004,1,MATCH(COLUMNS($AN$1006:BI1006),$AN$1006:$BO$1006,0)))),"Fix")))</f>
        <v>0</v>
      </c>
      <c r="X35" s="4">
        <f>IF(OR(INDEX($AH$2:$AH$1001,MATCH(ROWS($AG$2:AG35),$AG$2:$AG$1001,0),1)&gt;=100000,INDEX($AN$1005:$BO$1005,1,MATCH(COLUMNS($AN$1006:BJ1006),$AN$1006:$BO$1006,0))&gt;=100000), " ",IF(INDEX($AN$2:$BO$1001,MATCH(ROWS($AG$2:AG35),$AG$2:$AG$1001,0),MATCH(COLUMNS($AN$1006:BJ1006),$AN$1006:$BO$1006,0)), HYPERLINK("#",""), HYPERLINK(CONCATENATE("#Metadata!", ADDRESS(INDEX($AI$2:$AI$1001,MATCH(ROWS($AG$2:AG35),$AG$2:$AG$1001,0),0), INDEX($AN$1004:$BO$1004,1,MATCH(COLUMNS($AN$1006:BJ1006),$AN$1006:$BO$1006,0)))),"Fix")))</f>
        <v>0</v>
      </c>
      <c r="Y35" s="4">
        <f>IF(OR(INDEX($AH$2:$AH$1001,MATCH(ROWS($AG$2:AG35),$AG$2:$AG$1001,0),1)&gt;=100000,INDEX($AN$1005:$BO$1005,1,MATCH(COLUMNS($AN$1006:BK1006),$AN$1006:$BO$1006,0))&gt;=100000), " ",IF(INDEX($AN$2:$BO$1001,MATCH(ROWS($AG$2:AG35),$AG$2:$AG$1001,0),MATCH(COLUMNS($AN$1006:BK1006),$AN$1006:$BO$1006,0)), HYPERLINK("#",""), HYPERLINK(CONCATENATE("#Metadata!", ADDRESS(INDEX($AI$2:$AI$1001,MATCH(ROWS($AG$2:AG35),$AG$2:$AG$1001,0),0), INDEX($AN$1004:$BO$1004,1,MATCH(COLUMNS($AN$1006:BK1006),$AN$1006:$BO$1006,0)))),"Fix")))</f>
        <v>0</v>
      </c>
      <c r="Z35" s="4">
        <f>IF(OR(INDEX($AH$2:$AH$1001,MATCH(ROWS($AG$2:AG35),$AG$2:$AG$1001,0),1)&gt;=100000,INDEX($AN$1005:$BO$1005,1,MATCH(COLUMNS($AN$1006:BL1006),$AN$1006:$BO$1006,0))&gt;=100000), " ",IF(INDEX($AN$2:$BO$1001,MATCH(ROWS($AG$2:AG35),$AG$2:$AG$1001,0),MATCH(COLUMNS($AN$1006:BL1006),$AN$1006:$BO$1006,0)), HYPERLINK("#",""), HYPERLINK(CONCATENATE("#Metadata!", ADDRESS(INDEX($AI$2:$AI$1001,MATCH(ROWS($AG$2:AG35),$AG$2:$AG$1001,0),0), INDEX($AN$1004:$BO$1004,1,MATCH(COLUMNS($AN$1006:BL1006),$AN$1006:$BO$1006,0)))),"Fix")))</f>
        <v>0</v>
      </c>
      <c r="AA35" s="4">
        <f>IF(OR(INDEX($AH$2:$AH$1001,MATCH(ROWS($AG$2:AG35),$AG$2:$AG$1001,0),1)&gt;=100000,INDEX($AN$1005:$BO$1005,1,MATCH(COLUMNS($AN$1006:BM1006),$AN$1006:$BO$1006,0))&gt;=100000), " ",IF(INDEX($AN$2:$BO$1001,MATCH(ROWS($AG$2:AG35),$AG$2:$AG$1001,0),MATCH(COLUMNS($AN$1006:BM1006),$AN$1006:$BO$1006,0)), HYPERLINK("#",""), HYPERLINK(CONCATENATE("#Metadata!", ADDRESS(INDEX($AI$2:$AI$1001,MATCH(ROWS($AG$2:AG35),$AG$2:$AG$1001,0),0), INDEX($AN$1004:$BO$1004,1,MATCH(COLUMNS($AN$1006:BM1006),$AN$1006:$BO$1006,0)))),"Fix")))</f>
        <v>0</v>
      </c>
      <c r="AB35" s="4">
        <f>IF(OR(INDEX($AH$2:$AH$1001,MATCH(ROWS($AG$2:AG35),$AG$2:$AG$1001,0),1)&gt;=100000,INDEX($AN$1005:$BO$1005,1,MATCH(COLUMNS($AN$1006:BN1006),$AN$1006:$BO$1006,0))&gt;=100000), " ",IF(INDEX($AN$2:$BO$1001,MATCH(ROWS($AG$2:AG35),$AG$2:$AG$1001,0),MATCH(COLUMNS($AN$1006:BN1006),$AN$1006:$BO$1006,0)), HYPERLINK("#",""), HYPERLINK(CONCATENATE("#Metadata!", ADDRESS(INDEX($AI$2:$AI$1001,MATCH(ROWS($AG$2:AG35),$AG$2:$AG$1001,0),0), INDEX($AN$1004:$BO$1004,1,MATCH(COLUMNS($AN$1006:BN1006),$AN$1006:$BO$1006,0)))),"Fix")))</f>
        <v>0</v>
      </c>
      <c r="AC35" s="4">
        <f>IF(OR(INDEX($AH$2:$AH$1001,MATCH(ROWS($AG$2:AG35),$AG$2:$AG$1001,0),1)&gt;=100000,INDEX($AN$1005:$BO$1005,1,MATCH(COLUMNS($AN$1006:BO1006),$AN$1006:$BO$1006,0))&gt;=100000), " ",IF(INDEX($AN$2:$BO$1001,MATCH(ROWS($AG$2:AG35),$AG$2:$AG$1001,0),MATCH(COLUMNS($AN$1006:BO1006),$AN$1006:$BO$1006,0)), HYPERLINK("#",""), HYPERLINK(CONCATENATE("#Metadata!", ADDRESS(INDEX($AI$2:$AI$1001,MATCH(ROWS($AG$2:AG35),$AG$2:$AG$1001,0),0), INDEX($AN$1004:$BO$1004,1,MATCH(COLUMNS($AN$1006:BO1006),$AN$1006:$BO$1006,0)))),"Fix")))</f>
        <v>0</v>
      </c>
      <c r="AG35">
        <v>0</v>
      </c>
      <c r="AH35">
        <v>0</v>
      </c>
      <c r="AI35">
        <v>0</v>
      </c>
      <c r="AJ35">
        <f>IF(AK35,TRUE,AND(AN35:BO35))</f>
        <v>0</v>
      </c>
      <c r="AK35">
        <f>COUNTBLANK(Metadata!B35:AC35)=COLUMNS(Metadata!B35:AC35)</f>
        <v>0</v>
      </c>
      <c r="AL35">
        <v>0</v>
      </c>
      <c r="AN35">
        <f>AND(IF(Metadata!B35="",FALSE,TRUE),COUNTIF(Metadata!B:B, Metadata!B35) = 1,NOT(ISERROR(SUMPRODUCT(SEARCH(MID(Metadata!B35,ROW(INDIRECT("1:"&amp;LEN(Metadata!B35))), 1),"0123456789abcdefghijklmnopqrstuvwxyzABCDEFGHIJKLMNOPQRSTUVWXYZ.")))))</f>
        <v>0</v>
      </c>
      <c r="AO35">
        <f>IF(Metadata!C35="",FALSE,TRUE)</f>
        <v>0</v>
      </c>
      <c r="AP35">
        <f>IF(Metadata!D35="",FALSE,TRUE)</f>
        <v>0</v>
      </c>
      <c r="AQ35">
        <f>OR(AND(IF(Metadata!E35="",FALSE,TRUE),OR(exact(Metadata!E35,"not collected"),exact(Metadata!E35,"not provided"),exact(Metadata!E35,"restricted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R35">
        <f>IF(Metadata!F35="",FALSE,TRUE)</f>
        <v>0</v>
      </c>
      <c r="AS35">
        <f>OR(AND(IF(Metadata!G35="",FALSE,TRUE),OR(exact(Metadata!G35,"not collected"),exact(Metadata!G35,"not provided"))),AND(IF(Metadata!G35="",FALSE,TRUE),OR(exact(Metadata!G35,"TRUE"),exact(Metadata!G35,"FALSE"))))</f>
        <v>0</v>
      </c>
      <c r="AT35">
        <f>OR(AND(IF(Metadata!H35="",FALSE,TRUE),OR(exact(Metadata!H35,"not collected"),exact(Metadata!H35,"not provided"),exact(Metadata!H35,"restricted access"))),AND(IF(Metadata!H35="",FALSE,ISNUMBER(VALUE(Metadata!H35))),Metadata!H35&gt;=-413.0))</f>
        <v>0</v>
      </c>
      <c r="AU35">
        <f>AND(IF(Metadata!I35="",FALSE,TRUE),exact(Metadata!I35,"meters"))</f>
        <v>0</v>
      </c>
      <c r="AV35">
        <f>AND(IF(Metadata!J35="",FALSE,TRUE),OR(exact(Metadata!J35,"Host-associated"),exact(Metadata!J35,"Free-living")))</f>
        <v>0</v>
      </c>
      <c r="AW35">
        <f>AND(IF(Metadata!K35="",FALSE,TRUE),OR(exact(Metadata!K35,"Animal"),exact(Metadata!K35,"Fungus"),exact(Metadata!K35,"Plant"),exact(Metadata!K35,"Saline"),exact(Metadata!K35,"Non-saline")))</f>
        <v>0</v>
      </c>
      <c r="AX35">
        <f>AND(IF(Metadata!L35="",FALSE,TRUE),OR(exact(Metadata!L35,"Plant secretion"),exact(Metadata!L35,"Plant rhizosphere"),exact(Metadata!L35,"Plant surface"),exact(Metadata!L35,"Plant corpus"),exact(Metadata!L35,"Fungus surface"),exact(Metadata!L35,"Fungus corpus"),exact(Metadata!L35,"Animal surface"),exact(Metadata!L35,"Animal proximal gut"),exact(Metadata!L35,"Animal corpus"),exact(Metadata!L35,"Animal distal gut"),exact(Metadata!L35,"Animal secretion"),exact(Metadata!L35,"Sub-surface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0</v>
      </c>
      <c r="AY35">
        <f>IF(Metadata!M35="",FALSE,TRUE)</f>
        <v>0</v>
      </c>
      <c r="AZ35">
        <f>IF(Metadata!N35="",FALSE,TRUE)</f>
        <v>0</v>
      </c>
      <c r="BA35">
        <f>IF(Metadata!O35="",FALSE,TRUE)</f>
        <v>0</v>
      </c>
      <c r="BB35">
        <f>OR(AND(IF(Metadata!P35="",FALSE,TRUE),OR(exact(Metadata!P35,"not collected"),exact(Metadata!P35,"not provided"),exact(Metadata!P35,"restricted access"))),AND(IF(Metadata!P35="",FALSE,TRUE),OR(exact(Metadata!P35,"air"),exact(Metadata!P35,"built environment"),exact(Metadata!P35,"host-associated"),exact(Metadata!P35,"human-associated"),exact(Metadata!P35,"human-skin"),exact(Metadata!P35,"human-oral"),exact(Metadata!P35,"human-gut"),exact(Metadata!P35,"human-vaginal"),exact(Metadata!P35,"microbial mat/biofilm"),exact(Metadata!P35,"misc environment"),exact(Metadata!P35,"plant-associated"),exact(Metadata!P35,"sediment"),exact(Metadata!P35,"soil"),exact(Metadata!P35,"wastewater/sludge"),exact(Metadata!P35,"water"))))</f>
        <v>0</v>
      </c>
      <c r="BC35">
        <f>IF(Metadata!Q35="",FALSE,TRUE)</f>
        <v>0</v>
      </c>
      <c r="BD35">
        <f>IF(Metadata!R35="",FALSE,TRUE)</f>
        <v>0</v>
      </c>
      <c r="BE35">
        <f>OR(AND(IF(Metadata!S35="",FALSE,TRUE),OR(exact(Metadata!S35,"not collected"),exact(Metadata!S35,"not provided"),exact(Metadata!S35,"restricted access"))),AND(IF(Metadata!S35="",FALSE,ISNUMBER(VALUE(Metadata!S35))),Metadata!S35&gt;=-90.00,Metadata!S35&lt;=90.00))</f>
        <v>0</v>
      </c>
      <c r="BF35">
        <f>AND(IF(Metadata!T35="",FALSE,TRUE),exact(Metadata!T35,"Decimal degrees"))</f>
        <v>0</v>
      </c>
      <c r="BG35">
        <f>OR(AND(IF(Metadata!U35="",FALSE,TRUE),OR(exact(Metadata!U35,"not collected"),exact(Metadata!U35,"not provided"),exact(Metadata!U35,"restricted access"))),AND(IF(Metadata!U35="",FALSE,ISNUMBER(VALUE(Metadata!U35))),Metadata!U35&gt;=-180.00,Metadata!U35&lt;=180.00))</f>
        <v>0</v>
      </c>
      <c r="BH35">
        <f>AND(IF(Metadata!V35="",FALSE,TRUE),exact(Metadata!V35,"Decimal degrees"))</f>
        <v>0</v>
      </c>
      <c r="BI35">
        <f>IF(Metadata!W35="",FALSE,TRUE)</f>
        <v>0</v>
      </c>
      <c r="BJ35">
        <f>OR(AND(IF(Metadata!X35="",FALSE,TRUE),OR(exact(Metadata!X35,"not collected"),exact(Metadata!X35,"not provided"),exact(Metadata!X35,"restricted access"))),AND(IF(Metadata!X35="",FALSE,TRUE),OR(exact(Metadata!X35,"TRUE"),exact(Metadata!X35,"FALSE"))))</f>
        <v>0</v>
      </c>
      <c r="BK35">
        <f>AND(IF(Metadata!Y35="",FALSE,TRUE),exact(Metadata!Y35,"other"))</f>
        <v>0</v>
      </c>
      <c r="BL35">
        <f>IF(Metadata!Z35="",FALSE,TRUE)</f>
        <v>0</v>
      </c>
      <c r="BM35">
        <f>OR(AND(IF(Metadata!AA35="",FALSE,TRUE),OR(exact(Metadata!AA35,"not collected"),exact(Metadata!AA35,"not provided"))),AND(IF(Metadata!AA35="",FALSE,IF(ISERROR(INT(Metadata!AA35)),FALSE,INT(Metadata!AA35)=Metadata!AA35)),Metadata!AA35&gt;0))</f>
        <v>0</v>
      </c>
      <c r="BN35">
        <f>AND(IF(Metadata!AB35="",FALSE,TRUE),exact(Metadata!AB35,"Not applicable"))</f>
        <v>0</v>
      </c>
      <c r="BO35">
        <f>IF(Metadata!AC35="",FALSE,TRUE)</f>
        <v>0</v>
      </c>
    </row>
    <row r="36" spans="1:67">
      <c r="A36" s="5">
        <f>IF(B36=" "," ",HYPERLINK(CONCATENATE("#metadata!",ADDRESS(INDEX($AI$2:$AI$1001,MATCH(ROWS($AG$2:AG36),$AG$2:$AG$1001,0),0),1)),INDEX($AL$2:$AL$1001,MATCH(ROWS($AG$2:AG36),$AG$2:$AG$1001,0),0)))</f>
        <v>0</v>
      </c>
      <c r="B36" s="4">
        <f>IF(OR(INDEX($AH$2:$AH$1001,MATCH(ROWS($AG$2:AG36),$AG$2:$AG$1001,0),1)&gt;=100000,INDEX($AN$1005:$BO$1005,1,MATCH(COLUMNS($AN$1006:AN1006),$AN$1006:$BO$1006,0))&gt;=100000), " ",IF(INDEX($AN$2:$BO$1001,MATCH(ROWS($AG$2:AG36),$AG$2:$AG$1001,0),MATCH(COLUMNS($AN$1006:AN1006),$AN$1006:$BO$1006,0)), HYPERLINK("#",""), HYPERLINK(CONCATENATE("#Metadata!", ADDRESS(INDEX($AI$2:$AI$1001,MATCH(ROWS($AG$2:AG36),$AG$2:$AG$1001,0),0), INDEX($AN$1004:$BO$1004,1,MATCH(COLUMNS($AN$1006:AN1006),$AN$1006:$BO$1006,0)))),"Fix")))</f>
        <v>0</v>
      </c>
      <c r="C36" s="4">
        <f>IF(OR(INDEX($AH$2:$AH$1001,MATCH(ROWS($AG$2:AG36),$AG$2:$AG$1001,0),1)&gt;=100000,INDEX($AN$1005:$BO$1005,1,MATCH(COLUMNS($AN$1006:AO1006),$AN$1006:$BO$1006,0))&gt;=100000), " ",IF(INDEX($AN$2:$BO$1001,MATCH(ROWS($AG$2:AG36),$AG$2:$AG$1001,0),MATCH(COLUMNS($AN$1006:AO1006),$AN$1006:$BO$1006,0)), HYPERLINK("#",""), HYPERLINK(CONCATENATE("#Metadata!", ADDRESS(INDEX($AI$2:$AI$1001,MATCH(ROWS($AG$2:AG36),$AG$2:$AG$1001,0),0), INDEX($AN$1004:$BO$1004,1,MATCH(COLUMNS($AN$1006:AO1006),$AN$1006:$BO$1006,0)))),"Fix")))</f>
        <v>0</v>
      </c>
      <c r="D36" s="4">
        <f>IF(OR(INDEX($AH$2:$AH$1001,MATCH(ROWS($AG$2:AG36),$AG$2:$AG$1001,0),1)&gt;=100000,INDEX($AN$1005:$BO$1005,1,MATCH(COLUMNS($AN$1006:AP1006),$AN$1006:$BO$1006,0))&gt;=100000), " ",IF(INDEX($AN$2:$BO$1001,MATCH(ROWS($AG$2:AG36),$AG$2:$AG$1001,0),MATCH(COLUMNS($AN$1006:AP1006),$AN$1006:$BO$1006,0)), HYPERLINK("#",""), HYPERLINK(CONCATENATE("#Metadata!", ADDRESS(INDEX($AI$2:$AI$1001,MATCH(ROWS($AG$2:AG36),$AG$2:$AG$1001,0),0), INDEX($AN$1004:$BO$1004,1,MATCH(COLUMNS($AN$1006:AP1006),$AN$1006:$BO$1006,0)))),"Fix")))</f>
        <v>0</v>
      </c>
      <c r="E36" s="4">
        <f>IF(OR(INDEX($AH$2:$AH$1001,MATCH(ROWS($AG$2:AG36),$AG$2:$AG$1001,0),1)&gt;=100000,INDEX($AN$1005:$BO$1005,1,MATCH(COLUMNS($AN$1006:AQ1006),$AN$1006:$BO$1006,0))&gt;=100000), " ",IF(INDEX($AN$2:$BO$1001,MATCH(ROWS($AG$2:AG36),$AG$2:$AG$1001,0),MATCH(COLUMNS($AN$1006:AQ1006),$AN$1006:$BO$1006,0)), HYPERLINK("#",""), HYPERLINK(CONCATENATE("#Metadata!", ADDRESS(INDEX($AI$2:$AI$1001,MATCH(ROWS($AG$2:AG36),$AG$2:$AG$1001,0),0), INDEX($AN$1004:$BO$1004,1,MATCH(COLUMNS($AN$1006:AQ1006),$AN$1006:$BO$1006,0)))),"Fix")))</f>
        <v>0</v>
      </c>
      <c r="F36" s="4">
        <f>IF(OR(INDEX($AH$2:$AH$1001,MATCH(ROWS($AG$2:AG36),$AG$2:$AG$1001,0),1)&gt;=100000,INDEX($AN$1005:$BO$1005,1,MATCH(COLUMNS($AN$1006:AR1006),$AN$1006:$BO$1006,0))&gt;=100000), " ",IF(INDEX($AN$2:$BO$1001,MATCH(ROWS($AG$2:AG36),$AG$2:$AG$1001,0),MATCH(COLUMNS($AN$1006:AR1006),$AN$1006:$BO$1006,0)), HYPERLINK("#",""), HYPERLINK(CONCATENATE("#Metadata!", ADDRESS(INDEX($AI$2:$AI$1001,MATCH(ROWS($AG$2:AG36),$AG$2:$AG$1001,0),0), INDEX($AN$1004:$BO$1004,1,MATCH(COLUMNS($AN$1006:AR1006),$AN$1006:$BO$1006,0)))),"Fix")))</f>
        <v>0</v>
      </c>
      <c r="G36" s="4">
        <f>IF(OR(INDEX($AH$2:$AH$1001,MATCH(ROWS($AG$2:AG36),$AG$2:$AG$1001,0),1)&gt;=100000,INDEX($AN$1005:$BO$1005,1,MATCH(COLUMNS($AN$1006:AS1006),$AN$1006:$BO$1006,0))&gt;=100000), " ",IF(INDEX($AN$2:$BO$1001,MATCH(ROWS($AG$2:AG36),$AG$2:$AG$1001,0),MATCH(COLUMNS($AN$1006:AS1006),$AN$1006:$BO$1006,0)), HYPERLINK("#",""), HYPERLINK(CONCATENATE("#Metadata!", ADDRESS(INDEX($AI$2:$AI$1001,MATCH(ROWS($AG$2:AG36),$AG$2:$AG$1001,0),0), INDEX($AN$1004:$BO$1004,1,MATCH(COLUMNS($AN$1006:AS1006),$AN$1006:$BO$1006,0)))),"Fix")))</f>
        <v>0</v>
      </c>
      <c r="H36" s="4">
        <f>IF(OR(INDEX($AH$2:$AH$1001,MATCH(ROWS($AG$2:AG36),$AG$2:$AG$1001,0),1)&gt;=100000,INDEX($AN$1005:$BO$1005,1,MATCH(COLUMNS($AN$1006:AT1006),$AN$1006:$BO$1006,0))&gt;=100000), " ",IF(INDEX($AN$2:$BO$1001,MATCH(ROWS($AG$2:AG36),$AG$2:$AG$1001,0),MATCH(COLUMNS($AN$1006:AT1006),$AN$1006:$BO$1006,0)), HYPERLINK("#",""), HYPERLINK(CONCATENATE("#Metadata!", ADDRESS(INDEX($AI$2:$AI$1001,MATCH(ROWS($AG$2:AG36),$AG$2:$AG$1001,0),0), INDEX($AN$1004:$BO$1004,1,MATCH(COLUMNS($AN$1006:AT1006),$AN$1006:$BO$1006,0)))),"Fix")))</f>
        <v>0</v>
      </c>
      <c r="I36" s="4">
        <f>IF(OR(INDEX($AH$2:$AH$1001,MATCH(ROWS($AG$2:AG36),$AG$2:$AG$1001,0),1)&gt;=100000,INDEX($AN$1005:$BO$1005,1,MATCH(COLUMNS($AN$1006:AU1006),$AN$1006:$BO$1006,0))&gt;=100000), " ",IF(INDEX($AN$2:$BO$1001,MATCH(ROWS($AG$2:AG36),$AG$2:$AG$1001,0),MATCH(COLUMNS($AN$1006:AU1006),$AN$1006:$BO$1006,0)), HYPERLINK("#",""), HYPERLINK(CONCATENATE("#Metadata!", ADDRESS(INDEX($AI$2:$AI$1001,MATCH(ROWS($AG$2:AG36),$AG$2:$AG$1001,0),0), INDEX($AN$1004:$BO$1004,1,MATCH(COLUMNS($AN$1006:AU1006),$AN$1006:$BO$1006,0)))),"Fix")))</f>
        <v>0</v>
      </c>
      <c r="J36" s="4">
        <f>IF(OR(INDEX($AH$2:$AH$1001,MATCH(ROWS($AG$2:AG36),$AG$2:$AG$1001,0),1)&gt;=100000,INDEX($AN$1005:$BO$1005,1,MATCH(COLUMNS($AN$1006:AV1006),$AN$1006:$BO$1006,0))&gt;=100000), " ",IF(INDEX($AN$2:$BO$1001,MATCH(ROWS($AG$2:AG36),$AG$2:$AG$1001,0),MATCH(COLUMNS($AN$1006:AV1006),$AN$1006:$BO$1006,0)), HYPERLINK("#",""), HYPERLINK(CONCATENATE("#Metadata!", ADDRESS(INDEX($AI$2:$AI$1001,MATCH(ROWS($AG$2:AG36),$AG$2:$AG$1001,0),0), INDEX($AN$1004:$BO$1004,1,MATCH(COLUMNS($AN$1006:AV1006),$AN$1006:$BO$1006,0)))),"Fix")))</f>
        <v>0</v>
      </c>
      <c r="K36" s="4">
        <f>IF(OR(INDEX($AH$2:$AH$1001,MATCH(ROWS($AG$2:AG36),$AG$2:$AG$1001,0),1)&gt;=100000,INDEX($AN$1005:$BO$1005,1,MATCH(COLUMNS($AN$1006:AW1006),$AN$1006:$BO$1006,0))&gt;=100000), " ",IF(INDEX($AN$2:$BO$1001,MATCH(ROWS($AG$2:AG36),$AG$2:$AG$1001,0),MATCH(COLUMNS($AN$1006:AW1006),$AN$1006:$BO$1006,0)), HYPERLINK("#",""), HYPERLINK(CONCATENATE("#Metadata!", ADDRESS(INDEX($AI$2:$AI$1001,MATCH(ROWS($AG$2:AG36),$AG$2:$AG$1001,0),0), INDEX($AN$1004:$BO$1004,1,MATCH(COLUMNS($AN$1006:AW1006),$AN$1006:$BO$1006,0)))),"Fix")))</f>
        <v>0</v>
      </c>
      <c r="L36" s="4">
        <f>IF(OR(INDEX($AH$2:$AH$1001,MATCH(ROWS($AG$2:AG36),$AG$2:$AG$1001,0),1)&gt;=100000,INDEX($AN$1005:$BO$1005,1,MATCH(COLUMNS($AN$1006:AX1006),$AN$1006:$BO$1006,0))&gt;=100000), " ",IF(INDEX($AN$2:$BO$1001,MATCH(ROWS($AG$2:AG36),$AG$2:$AG$1001,0),MATCH(COLUMNS($AN$1006:AX1006),$AN$1006:$BO$1006,0)), HYPERLINK("#",""), HYPERLINK(CONCATENATE("#Metadata!", ADDRESS(INDEX($AI$2:$AI$1001,MATCH(ROWS($AG$2:AG36),$AG$2:$AG$1001,0),0), INDEX($AN$1004:$BO$1004,1,MATCH(COLUMNS($AN$1006:AX1006),$AN$1006:$BO$1006,0)))),"Fix")))</f>
        <v>0</v>
      </c>
      <c r="M36" s="4">
        <f>IF(OR(INDEX($AH$2:$AH$1001,MATCH(ROWS($AG$2:AG36),$AG$2:$AG$1001,0),1)&gt;=100000,INDEX($AN$1005:$BO$1005,1,MATCH(COLUMNS($AN$1006:AY1006),$AN$1006:$BO$1006,0))&gt;=100000), " ",IF(INDEX($AN$2:$BO$1001,MATCH(ROWS($AG$2:AG36),$AG$2:$AG$1001,0),MATCH(COLUMNS($AN$1006:AY1006),$AN$1006:$BO$1006,0)), HYPERLINK("#",""), HYPERLINK(CONCATENATE("#Metadata!", ADDRESS(INDEX($AI$2:$AI$1001,MATCH(ROWS($AG$2:AG36),$AG$2:$AG$1001,0),0), INDEX($AN$1004:$BO$1004,1,MATCH(COLUMNS($AN$1006:AY1006),$AN$1006:$BO$1006,0)))),"Fix")))</f>
        <v>0</v>
      </c>
      <c r="N36" s="4">
        <f>IF(OR(INDEX($AH$2:$AH$1001,MATCH(ROWS($AG$2:AG36),$AG$2:$AG$1001,0),1)&gt;=100000,INDEX($AN$1005:$BO$1005,1,MATCH(COLUMNS($AN$1006:AZ1006),$AN$1006:$BO$1006,0))&gt;=100000), " ",IF(INDEX($AN$2:$BO$1001,MATCH(ROWS($AG$2:AG36),$AG$2:$AG$1001,0),MATCH(COLUMNS($AN$1006:AZ1006),$AN$1006:$BO$1006,0)), HYPERLINK("#",""), HYPERLINK(CONCATENATE("#Metadata!", ADDRESS(INDEX($AI$2:$AI$1001,MATCH(ROWS($AG$2:AG36),$AG$2:$AG$1001,0),0), INDEX($AN$1004:$BO$1004,1,MATCH(COLUMNS($AN$1006:AZ1006),$AN$1006:$BO$1006,0)))),"Fix")))</f>
        <v>0</v>
      </c>
      <c r="O36" s="4">
        <f>IF(OR(INDEX($AH$2:$AH$1001,MATCH(ROWS($AG$2:AG36),$AG$2:$AG$1001,0),1)&gt;=100000,INDEX($AN$1005:$BO$1005,1,MATCH(COLUMNS($AN$1006:BA1006),$AN$1006:$BO$1006,0))&gt;=100000), " ",IF(INDEX($AN$2:$BO$1001,MATCH(ROWS($AG$2:AG36),$AG$2:$AG$1001,0),MATCH(COLUMNS($AN$1006:BA1006),$AN$1006:$BO$1006,0)), HYPERLINK("#",""), HYPERLINK(CONCATENATE("#Metadata!", ADDRESS(INDEX($AI$2:$AI$1001,MATCH(ROWS($AG$2:AG36),$AG$2:$AG$1001,0),0), INDEX($AN$1004:$BO$1004,1,MATCH(COLUMNS($AN$1006:BA1006),$AN$1006:$BO$1006,0)))),"Fix")))</f>
        <v>0</v>
      </c>
      <c r="P36" s="4">
        <f>IF(OR(INDEX($AH$2:$AH$1001,MATCH(ROWS($AG$2:AG36),$AG$2:$AG$1001,0),1)&gt;=100000,INDEX($AN$1005:$BO$1005,1,MATCH(COLUMNS($AN$1006:BB1006),$AN$1006:$BO$1006,0))&gt;=100000), " ",IF(INDEX($AN$2:$BO$1001,MATCH(ROWS($AG$2:AG36),$AG$2:$AG$1001,0),MATCH(COLUMNS($AN$1006:BB1006),$AN$1006:$BO$1006,0)), HYPERLINK("#",""), HYPERLINK(CONCATENATE("#Metadata!", ADDRESS(INDEX($AI$2:$AI$1001,MATCH(ROWS($AG$2:AG36),$AG$2:$AG$1001,0),0), INDEX($AN$1004:$BO$1004,1,MATCH(COLUMNS($AN$1006:BB1006),$AN$1006:$BO$1006,0)))),"Fix")))</f>
        <v>0</v>
      </c>
      <c r="Q36" s="4">
        <f>IF(OR(INDEX($AH$2:$AH$1001,MATCH(ROWS($AG$2:AG36),$AG$2:$AG$1001,0),1)&gt;=100000,INDEX($AN$1005:$BO$1005,1,MATCH(COLUMNS($AN$1006:BC1006),$AN$1006:$BO$1006,0))&gt;=100000), " ",IF(INDEX($AN$2:$BO$1001,MATCH(ROWS($AG$2:AG36),$AG$2:$AG$1001,0),MATCH(COLUMNS($AN$1006:BC1006),$AN$1006:$BO$1006,0)), HYPERLINK("#",""), HYPERLINK(CONCATENATE("#Metadata!", ADDRESS(INDEX($AI$2:$AI$1001,MATCH(ROWS($AG$2:AG36),$AG$2:$AG$1001,0),0), INDEX($AN$1004:$BO$1004,1,MATCH(COLUMNS($AN$1006:BC1006),$AN$1006:$BO$1006,0)))),"Fix")))</f>
        <v>0</v>
      </c>
      <c r="R36" s="4">
        <f>IF(OR(INDEX($AH$2:$AH$1001,MATCH(ROWS($AG$2:AG36),$AG$2:$AG$1001,0),1)&gt;=100000,INDEX($AN$1005:$BO$1005,1,MATCH(COLUMNS($AN$1006:BD1006),$AN$1006:$BO$1006,0))&gt;=100000), " ",IF(INDEX($AN$2:$BO$1001,MATCH(ROWS($AG$2:AG36),$AG$2:$AG$1001,0),MATCH(COLUMNS($AN$1006:BD1006),$AN$1006:$BO$1006,0)), HYPERLINK("#",""), HYPERLINK(CONCATENATE("#Metadata!", ADDRESS(INDEX($AI$2:$AI$1001,MATCH(ROWS($AG$2:AG36),$AG$2:$AG$1001,0),0), INDEX($AN$1004:$BO$1004,1,MATCH(COLUMNS($AN$1006:BD1006),$AN$1006:$BO$1006,0)))),"Fix")))</f>
        <v>0</v>
      </c>
      <c r="S36" s="4">
        <f>IF(OR(INDEX($AH$2:$AH$1001,MATCH(ROWS($AG$2:AG36),$AG$2:$AG$1001,0),1)&gt;=100000,INDEX($AN$1005:$BO$1005,1,MATCH(COLUMNS($AN$1006:BE1006),$AN$1006:$BO$1006,0))&gt;=100000), " ",IF(INDEX($AN$2:$BO$1001,MATCH(ROWS($AG$2:AG36),$AG$2:$AG$1001,0),MATCH(COLUMNS($AN$1006:BE1006),$AN$1006:$BO$1006,0)), HYPERLINK("#",""), HYPERLINK(CONCATENATE("#Metadata!", ADDRESS(INDEX($AI$2:$AI$1001,MATCH(ROWS($AG$2:AG36),$AG$2:$AG$1001,0),0), INDEX($AN$1004:$BO$1004,1,MATCH(COLUMNS($AN$1006:BE1006),$AN$1006:$BO$1006,0)))),"Fix")))</f>
        <v>0</v>
      </c>
      <c r="T36" s="4">
        <f>IF(OR(INDEX($AH$2:$AH$1001,MATCH(ROWS($AG$2:AG36),$AG$2:$AG$1001,0),1)&gt;=100000,INDEX($AN$1005:$BO$1005,1,MATCH(COLUMNS($AN$1006:BF1006),$AN$1006:$BO$1006,0))&gt;=100000), " ",IF(INDEX($AN$2:$BO$1001,MATCH(ROWS($AG$2:AG36),$AG$2:$AG$1001,0),MATCH(COLUMNS($AN$1006:BF1006),$AN$1006:$BO$1006,0)), HYPERLINK("#",""), HYPERLINK(CONCATENATE("#Metadata!", ADDRESS(INDEX($AI$2:$AI$1001,MATCH(ROWS($AG$2:AG36),$AG$2:$AG$1001,0),0), INDEX($AN$1004:$BO$1004,1,MATCH(COLUMNS($AN$1006:BF1006),$AN$1006:$BO$1006,0)))),"Fix")))</f>
        <v>0</v>
      </c>
      <c r="U36" s="4">
        <f>IF(OR(INDEX($AH$2:$AH$1001,MATCH(ROWS($AG$2:AG36),$AG$2:$AG$1001,0),1)&gt;=100000,INDEX($AN$1005:$BO$1005,1,MATCH(COLUMNS($AN$1006:BG1006),$AN$1006:$BO$1006,0))&gt;=100000), " ",IF(INDEX($AN$2:$BO$1001,MATCH(ROWS($AG$2:AG36),$AG$2:$AG$1001,0),MATCH(COLUMNS($AN$1006:BG1006),$AN$1006:$BO$1006,0)), HYPERLINK("#",""), HYPERLINK(CONCATENATE("#Metadata!", ADDRESS(INDEX($AI$2:$AI$1001,MATCH(ROWS($AG$2:AG36),$AG$2:$AG$1001,0),0), INDEX($AN$1004:$BO$1004,1,MATCH(COLUMNS($AN$1006:BG1006),$AN$1006:$BO$1006,0)))),"Fix")))</f>
        <v>0</v>
      </c>
      <c r="V36" s="4">
        <f>IF(OR(INDEX($AH$2:$AH$1001,MATCH(ROWS($AG$2:AG36),$AG$2:$AG$1001,0),1)&gt;=100000,INDEX($AN$1005:$BO$1005,1,MATCH(COLUMNS($AN$1006:BH1006),$AN$1006:$BO$1006,0))&gt;=100000), " ",IF(INDEX($AN$2:$BO$1001,MATCH(ROWS($AG$2:AG36),$AG$2:$AG$1001,0),MATCH(COLUMNS($AN$1006:BH1006),$AN$1006:$BO$1006,0)), HYPERLINK("#",""), HYPERLINK(CONCATENATE("#Metadata!", ADDRESS(INDEX($AI$2:$AI$1001,MATCH(ROWS($AG$2:AG36),$AG$2:$AG$1001,0),0), INDEX($AN$1004:$BO$1004,1,MATCH(COLUMNS($AN$1006:BH1006),$AN$1006:$BO$1006,0)))),"Fix")))</f>
        <v>0</v>
      </c>
      <c r="W36" s="4">
        <f>IF(OR(INDEX($AH$2:$AH$1001,MATCH(ROWS($AG$2:AG36),$AG$2:$AG$1001,0),1)&gt;=100000,INDEX($AN$1005:$BO$1005,1,MATCH(COLUMNS($AN$1006:BI1006),$AN$1006:$BO$1006,0))&gt;=100000), " ",IF(INDEX($AN$2:$BO$1001,MATCH(ROWS($AG$2:AG36),$AG$2:$AG$1001,0),MATCH(COLUMNS($AN$1006:BI1006),$AN$1006:$BO$1006,0)), HYPERLINK("#",""), HYPERLINK(CONCATENATE("#Metadata!", ADDRESS(INDEX($AI$2:$AI$1001,MATCH(ROWS($AG$2:AG36),$AG$2:$AG$1001,0),0), INDEX($AN$1004:$BO$1004,1,MATCH(COLUMNS($AN$1006:BI1006),$AN$1006:$BO$1006,0)))),"Fix")))</f>
        <v>0</v>
      </c>
      <c r="X36" s="4">
        <f>IF(OR(INDEX($AH$2:$AH$1001,MATCH(ROWS($AG$2:AG36),$AG$2:$AG$1001,0),1)&gt;=100000,INDEX($AN$1005:$BO$1005,1,MATCH(COLUMNS($AN$1006:BJ1006),$AN$1006:$BO$1006,0))&gt;=100000), " ",IF(INDEX($AN$2:$BO$1001,MATCH(ROWS($AG$2:AG36),$AG$2:$AG$1001,0),MATCH(COLUMNS($AN$1006:BJ1006),$AN$1006:$BO$1006,0)), HYPERLINK("#",""), HYPERLINK(CONCATENATE("#Metadata!", ADDRESS(INDEX($AI$2:$AI$1001,MATCH(ROWS($AG$2:AG36),$AG$2:$AG$1001,0),0), INDEX($AN$1004:$BO$1004,1,MATCH(COLUMNS($AN$1006:BJ1006),$AN$1006:$BO$1006,0)))),"Fix")))</f>
        <v>0</v>
      </c>
      <c r="Y36" s="4">
        <f>IF(OR(INDEX($AH$2:$AH$1001,MATCH(ROWS($AG$2:AG36),$AG$2:$AG$1001,0),1)&gt;=100000,INDEX($AN$1005:$BO$1005,1,MATCH(COLUMNS($AN$1006:BK1006),$AN$1006:$BO$1006,0))&gt;=100000), " ",IF(INDEX($AN$2:$BO$1001,MATCH(ROWS($AG$2:AG36),$AG$2:$AG$1001,0),MATCH(COLUMNS($AN$1006:BK1006),$AN$1006:$BO$1006,0)), HYPERLINK("#",""), HYPERLINK(CONCATENATE("#Metadata!", ADDRESS(INDEX($AI$2:$AI$1001,MATCH(ROWS($AG$2:AG36),$AG$2:$AG$1001,0),0), INDEX($AN$1004:$BO$1004,1,MATCH(COLUMNS($AN$1006:BK1006),$AN$1006:$BO$1006,0)))),"Fix")))</f>
        <v>0</v>
      </c>
      <c r="Z36" s="4">
        <f>IF(OR(INDEX($AH$2:$AH$1001,MATCH(ROWS($AG$2:AG36),$AG$2:$AG$1001,0),1)&gt;=100000,INDEX($AN$1005:$BO$1005,1,MATCH(COLUMNS($AN$1006:BL1006),$AN$1006:$BO$1006,0))&gt;=100000), " ",IF(INDEX($AN$2:$BO$1001,MATCH(ROWS($AG$2:AG36),$AG$2:$AG$1001,0),MATCH(COLUMNS($AN$1006:BL1006),$AN$1006:$BO$1006,0)), HYPERLINK("#",""), HYPERLINK(CONCATENATE("#Metadata!", ADDRESS(INDEX($AI$2:$AI$1001,MATCH(ROWS($AG$2:AG36),$AG$2:$AG$1001,0),0), INDEX($AN$1004:$BO$1004,1,MATCH(COLUMNS($AN$1006:BL1006),$AN$1006:$BO$1006,0)))),"Fix")))</f>
        <v>0</v>
      </c>
      <c r="AA36" s="4">
        <f>IF(OR(INDEX($AH$2:$AH$1001,MATCH(ROWS($AG$2:AG36),$AG$2:$AG$1001,0),1)&gt;=100000,INDEX($AN$1005:$BO$1005,1,MATCH(COLUMNS($AN$1006:BM1006),$AN$1006:$BO$1006,0))&gt;=100000), " ",IF(INDEX($AN$2:$BO$1001,MATCH(ROWS($AG$2:AG36),$AG$2:$AG$1001,0),MATCH(COLUMNS($AN$1006:BM1006),$AN$1006:$BO$1006,0)), HYPERLINK("#",""), HYPERLINK(CONCATENATE("#Metadata!", ADDRESS(INDEX($AI$2:$AI$1001,MATCH(ROWS($AG$2:AG36),$AG$2:$AG$1001,0),0), INDEX($AN$1004:$BO$1004,1,MATCH(COLUMNS($AN$1006:BM1006),$AN$1006:$BO$1006,0)))),"Fix")))</f>
        <v>0</v>
      </c>
      <c r="AB36" s="4">
        <f>IF(OR(INDEX($AH$2:$AH$1001,MATCH(ROWS($AG$2:AG36),$AG$2:$AG$1001,0),1)&gt;=100000,INDEX($AN$1005:$BO$1005,1,MATCH(COLUMNS($AN$1006:BN1006),$AN$1006:$BO$1006,0))&gt;=100000), " ",IF(INDEX($AN$2:$BO$1001,MATCH(ROWS($AG$2:AG36),$AG$2:$AG$1001,0),MATCH(COLUMNS($AN$1006:BN1006),$AN$1006:$BO$1006,0)), HYPERLINK("#",""), HYPERLINK(CONCATENATE("#Metadata!", ADDRESS(INDEX($AI$2:$AI$1001,MATCH(ROWS($AG$2:AG36),$AG$2:$AG$1001,0),0), INDEX($AN$1004:$BO$1004,1,MATCH(COLUMNS($AN$1006:BN1006),$AN$1006:$BO$1006,0)))),"Fix")))</f>
        <v>0</v>
      </c>
      <c r="AC36" s="4">
        <f>IF(OR(INDEX($AH$2:$AH$1001,MATCH(ROWS($AG$2:AG36),$AG$2:$AG$1001,0),1)&gt;=100000,INDEX($AN$1005:$BO$1005,1,MATCH(COLUMNS($AN$1006:BO1006),$AN$1006:$BO$1006,0))&gt;=100000), " ",IF(INDEX($AN$2:$BO$1001,MATCH(ROWS($AG$2:AG36),$AG$2:$AG$1001,0),MATCH(COLUMNS($AN$1006:BO1006),$AN$1006:$BO$1006,0)), HYPERLINK("#",""), HYPERLINK(CONCATENATE("#Metadata!", ADDRESS(INDEX($AI$2:$AI$1001,MATCH(ROWS($AG$2:AG36),$AG$2:$AG$1001,0),0), INDEX($AN$1004:$BO$1004,1,MATCH(COLUMNS($AN$1006:BO1006),$AN$1006:$BO$1006,0)))),"Fix")))</f>
        <v>0</v>
      </c>
      <c r="AG36">
        <v>0</v>
      </c>
      <c r="AH36">
        <v>0</v>
      </c>
      <c r="AI36">
        <v>0</v>
      </c>
      <c r="AJ36">
        <f>IF(AK36,TRUE,AND(AN36:BO36))</f>
        <v>0</v>
      </c>
      <c r="AK36">
        <f>COUNTBLANK(Metadata!B36:AC36)=COLUMNS(Metadata!B36:AC36)</f>
        <v>0</v>
      </c>
      <c r="AL36">
        <v>0</v>
      </c>
      <c r="AN36">
        <f>AND(IF(Metadata!B36="",FALSE,TRUE),COUNTIF(Metadata!B:B, Metadata!B36) = 1,NOT(ISERROR(SUMPRODUCT(SEARCH(MID(Metadata!B36,ROW(INDIRECT("1:"&amp;LEN(Metadata!B36))), 1),"0123456789abcdefghijklmnopqrstuvwxyzABCDEFGHIJKLMNOPQRSTUVWXYZ.")))))</f>
        <v>0</v>
      </c>
      <c r="AO36">
        <f>IF(Metadata!C36="",FALSE,TRUE)</f>
        <v>0</v>
      </c>
      <c r="AP36">
        <f>IF(Metadata!D36="",FALSE,TRUE)</f>
        <v>0</v>
      </c>
      <c r="AQ36">
        <f>OR(AND(IF(Metadata!E36="",FALSE,TRUE),OR(exact(Metadata!E36,"not collected"),exact(Metadata!E36,"not provided"),exact(Metadata!E36,"restricted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R36">
        <f>IF(Metadata!F36="",FALSE,TRUE)</f>
        <v>0</v>
      </c>
      <c r="AS36">
        <f>OR(AND(IF(Metadata!G36="",FALSE,TRUE),OR(exact(Metadata!G36,"not collected"),exact(Metadata!G36,"not provided"))),AND(IF(Metadata!G36="",FALSE,TRUE),OR(exact(Metadata!G36,"TRUE"),exact(Metadata!G36,"FALSE"))))</f>
        <v>0</v>
      </c>
      <c r="AT36">
        <f>OR(AND(IF(Metadata!H36="",FALSE,TRUE),OR(exact(Metadata!H36,"not collected"),exact(Metadata!H36,"not provided"),exact(Metadata!H36,"restricted access"))),AND(IF(Metadata!H36="",FALSE,ISNUMBER(VALUE(Metadata!H36))),Metadata!H36&gt;=-413.0))</f>
        <v>0</v>
      </c>
      <c r="AU36">
        <f>AND(IF(Metadata!I36="",FALSE,TRUE),exact(Metadata!I36,"meters"))</f>
        <v>0</v>
      </c>
      <c r="AV36">
        <f>AND(IF(Metadata!J36="",FALSE,TRUE),OR(exact(Metadata!J36,"Host-associated"),exact(Metadata!J36,"Free-living")))</f>
        <v>0</v>
      </c>
      <c r="AW36">
        <f>AND(IF(Metadata!K36="",FALSE,TRUE),OR(exact(Metadata!K36,"Animal"),exact(Metadata!K36,"Fungus"),exact(Metadata!K36,"Plant"),exact(Metadata!K36,"Saline"),exact(Metadata!K36,"Non-saline")))</f>
        <v>0</v>
      </c>
      <c r="AX36">
        <f>AND(IF(Metadata!L36="",FALSE,TRUE),OR(exact(Metadata!L36,"Plant secretion"),exact(Metadata!L36,"Plant rhizosphere"),exact(Metadata!L36,"Plant surface"),exact(Metadata!L36,"Plant corpus"),exact(Metadata!L36,"Fungus surface"),exact(Metadata!L36,"Fungus corpus"),exact(Metadata!L36,"Animal surface"),exact(Metadata!L36,"Animal proximal gut"),exact(Metadata!L36,"Animal corpus"),exact(Metadata!L36,"Animal distal gut"),exact(Metadata!L36,"Animal secretion"),exact(Metadata!L36,"Sub-surface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0</v>
      </c>
      <c r="AY36">
        <f>IF(Metadata!M36="",FALSE,TRUE)</f>
        <v>0</v>
      </c>
      <c r="AZ36">
        <f>IF(Metadata!N36="",FALSE,TRUE)</f>
        <v>0</v>
      </c>
      <c r="BA36">
        <f>IF(Metadata!O36="",FALSE,TRUE)</f>
        <v>0</v>
      </c>
      <c r="BB36">
        <f>OR(AND(IF(Metadata!P36="",FALSE,TRUE),OR(exact(Metadata!P36,"not collected"),exact(Metadata!P36,"not provided"),exact(Metadata!P36,"restricted access"))),AND(IF(Metadata!P36="",FALSE,TRUE),OR(exact(Metadata!P36,"air"),exact(Metadata!P36,"built environment"),exact(Metadata!P36,"host-associated"),exact(Metadata!P36,"human-associated"),exact(Metadata!P36,"human-skin"),exact(Metadata!P36,"human-oral"),exact(Metadata!P36,"human-gut"),exact(Metadata!P36,"human-vaginal"),exact(Metadata!P36,"microbial mat/biofilm"),exact(Metadata!P36,"misc environment"),exact(Metadata!P36,"plant-associated"),exact(Metadata!P36,"sediment"),exact(Metadata!P36,"soil"),exact(Metadata!P36,"wastewater/sludge"),exact(Metadata!P36,"water"))))</f>
        <v>0</v>
      </c>
      <c r="BC36">
        <f>IF(Metadata!Q36="",FALSE,TRUE)</f>
        <v>0</v>
      </c>
      <c r="BD36">
        <f>IF(Metadata!R36="",FALSE,TRUE)</f>
        <v>0</v>
      </c>
      <c r="BE36">
        <f>OR(AND(IF(Metadata!S36="",FALSE,TRUE),OR(exact(Metadata!S36,"not collected"),exact(Metadata!S36,"not provided"),exact(Metadata!S36,"restricted access"))),AND(IF(Metadata!S36="",FALSE,ISNUMBER(VALUE(Metadata!S36))),Metadata!S36&gt;=-90.00,Metadata!S36&lt;=90.00))</f>
        <v>0</v>
      </c>
      <c r="BF36">
        <f>AND(IF(Metadata!T36="",FALSE,TRUE),exact(Metadata!T36,"Decimal degrees"))</f>
        <v>0</v>
      </c>
      <c r="BG36">
        <f>OR(AND(IF(Metadata!U36="",FALSE,TRUE),OR(exact(Metadata!U36,"not collected"),exact(Metadata!U36,"not provided"),exact(Metadata!U36,"restricted access"))),AND(IF(Metadata!U36="",FALSE,ISNUMBER(VALUE(Metadata!U36))),Metadata!U36&gt;=-180.00,Metadata!U36&lt;=180.00))</f>
        <v>0</v>
      </c>
      <c r="BH36">
        <f>AND(IF(Metadata!V36="",FALSE,TRUE),exact(Metadata!V36,"Decimal degrees"))</f>
        <v>0</v>
      </c>
      <c r="BI36">
        <f>IF(Metadata!W36="",FALSE,TRUE)</f>
        <v>0</v>
      </c>
      <c r="BJ36">
        <f>OR(AND(IF(Metadata!X36="",FALSE,TRUE),OR(exact(Metadata!X36,"not collected"),exact(Metadata!X36,"not provided"),exact(Metadata!X36,"restricted access"))),AND(IF(Metadata!X36="",FALSE,TRUE),OR(exact(Metadata!X36,"TRUE"),exact(Metadata!X36,"FALSE"))))</f>
        <v>0</v>
      </c>
      <c r="BK36">
        <f>AND(IF(Metadata!Y36="",FALSE,TRUE),exact(Metadata!Y36,"other"))</f>
        <v>0</v>
      </c>
      <c r="BL36">
        <f>IF(Metadata!Z36="",FALSE,TRUE)</f>
        <v>0</v>
      </c>
      <c r="BM36">
        <f>OR(AND(IF(Metadata!AA36="",FALSE,TRUE),OR(exact(Metadata!AA36,"not collected"),exact(Metadata!AA36,"not provided"))),AND(IF(Metadata!AA36="",FALSE,IF(ISERROR(INT(Metadata!AA36)),FALSE,INT(Metadata!AA36)=Metadata!AA36)),Metadata!AA36&gt;0))</f>
        <v>0</v>
      </c>
      <c r="BN36">
        <f>AND(IF(Metadata!AB36="",FALSE,TRUE),exact(Metadata!AB36,"Not applicable"))</f>
        <v>0</v>
      </c>
      <c r="BO36">
        <f>IF(Metadata!AC36="",FALSE,TRUE)</f>
        <v>0</v>
      </c>
    </row>
    <row r="37" spans="1:67">
      <c r="A37" s="5">
        <f>IF(B37=" "," ",HYPERLINK(CONCATENATE("#metadata!",ADDRESS(INDEX($AI$2:$AI$1001,MATCH(ROWS($AG$2:AG37),$AG$2:$AG$1001,0),0),1)),INDEX($AL$2:$AL$1001,MATCH(ROWS($AG$2:AG37),$AG$2:$AG$1001,0),0)))</f>
        <v>0</v>
      </c>
      <c r="B37" s="4">
        <f>IF(OR(INDEX($AH$2:$AH$1001,MATCH(ROWS($AG$2:AG37),$AG$2:$AG$1001,0),1)&gt;=100000,INDEX($AN$1005:$BO$1005,1,MATCH(COLUMNS($AN$1006:AN1006),$AN$1006:$BO$1006,0))&gt;=100000), " ",IF(INDEX($AN$2:$BO$1001,MATCH(ROWS($AG$2:AG37),$AG$2:$AG$1001,0),MATCH(COLUMNS($AN$1006:AN1006),$AN$1006:$BO$1006,0)), HYPERLINK("#",""), HYPERLINK(CONCATENATE("#Metadata!", ADDRESS(INDEX($AI$2:$AI$1001,MATCH(ROWS($AG$2:AG37),$AG$2:$AG$1001,0),0), INDEX($AN$1004:$BO$1004,1,MATCH(COLUMNS($AN$1006:AN1006),$AN$1006:$BO$1006,0)))),"Fix")))</f>
        <v>0</v>
      </c>
      <c r="C37" s="4">
        <f>IF(OR(INDEX($AH$2:$AH$1001,MATCH(ROWS($AG$2:AG37),$AG$2:$AG$1001,0),1)&gt;=100000,INDEX($AN$1005:$BO$1005,1,MATCH(COLUMNS($AN$1006:AO1006),$AN$1006:$BO$1006,0))&gt;=100000), " ",IF(INDEX($AN$2:$BO$1001,MATCH(ROWS($AG$2:AG37),$AG$2:$AG$1001,0),MATCH(COLUMNS($AN$1006:AO1006),$AN$1006:$BO$1006,0)), HYPERLINK("#",""), HYPERLINK(CONCATENATE("#Metadata!", ADDRESS(INDEX($AI$2:$AI$1001,MATCH(ROWS($AG$2:AG37),$AG$2:$AG$1001,0),0), INDEX($AN$1004:$BO$1004,1,MATCH(COLUMNS($AN$1006:AO1006),$AN$1006:$BO$1006,0)))),"Fix")))</f>
        <v>0</v>
      </c>
      <c r="D37" s="4">
        <f>IF(OR(INDEX($AH$2:$AH$1001,MATCH(ROWS($AG$2:AG37),$AG$2:$AG$1001,0),1)&gt;=100000,INDEX($AN$1005:$BO$1005,1,MATCH(COLUMNS($AN$1006:AP1006),$AN$1006:$BO$1006,0))&gt;=100000), " ",IF(INDEX($AN$2:$BO$1001,MATCH(ROWS($AG$2:AG37),$AG$2:$AG$1001,0),MATCH(COLUMNS($AN$1006:AP1006),$AN$1006:$BO$1006,0)), HYPERLINK("#",""), HYPERLINK(CONCATENATE("#Metadata!", ADDRESS(INDEX($AI$2:$AI$1001,MATCH(ROWS($AG$2:AG37),$AG$2:$AG$1001,0),0), INDEX($AN$1004:$BO$1004,1,MATCH(COLUMNS($AN$1006:AP1006),$AN$1006:$BO$1006,0)))),"Fix")))</f>
        <v>0</v>
      </c>
      <c r="E37" s="4">
        <f>IF(OR(INDEX($AH$2:$AH$1001,MATCH(ROWS($AG$2:AG37),$AG$2:$AG$1001,0),1)&gt;=100000,INDEX($AN$1005:$BO$1005,1,MATCH(COLUMNS($AN$1006:AQ1006),$AN$1006:$BO$1006,0))&gt;=100000), " ",IF(INDEX($AN$2:$BO$1001,MATCH(ROWS($AG$2:AG37),$AG$2:$AG$1001,0),MATCH(COLUMNS($AN$1006:AQ1006),$AN$1006:$BO$1006,0)), HYPERLINK("#",""), HYPERLINK(CONCATENATE("#Metadata!", ADDRESS(INDEX($AI$2:$AI$1001,MATCH(ROWS($AG$2:AG37),$AG$2:$AG$1001,0),0), INDEX($AN$1004:$BO$1004,1,MATCH(COLUMNS($AN$1006:AQ1006),$AN$1006:$BO$1006,0)))),"Fix")))</f>
        <v>0</v>
      </c>
      <c r="F37" s="4">
        <f>IF(OR(INDEX($AH$2:$AH$1001,MATCH(ROWS($AG$2:AG37),$AG$2:$AG$1001,0),1)&gt;=100000,INDEX($AN$1005:$BO$1005,1,MATCH(COLUMNS($AN$1006:AR1006),$AN$1006:$BO$1006,0))&gt;=100000), " ",IF(INDEX($AN$2:$BO$1001,MATCH(ROWS($AG$2:AG37),$AG$2:$AG$1001,0),MATCH(COLUMNS($AN$1006:AR1006),$AN$1006:$BO$1006,0)), HYPERLINK("#",""), HYPERLINK(CONCATENATE("#Metadata!", ADDRESS(INDEX($AI$2:$AI$1001,MATCH(ROWS($AG$2:AG37),$AG$2:$AG$1001,0),0), INDEX($AN$1004:$BO$1004,1,MATCH(COLUMNS($AN$1006:AR1006),$AN$1006:$BO$1006,0)))),"Fix")))</f>
        <v>0</v>
      </c>
      <c r="G37" s="4">
        <f>IF(OR(INDEX($AH$2:$AH$1001,MATCH(ROWS($AG$2:AG37),$AG$2:$AG$1001,0),1)&gt;=100000,INDEX($AN$1005:$BO$1005,1,MATCH(COLUMNS($AN$1006:AS1006),$AN$1006:$BO$1006,0))&gt;=100000), " ",IF(INDEX($AN$2:$BO$1001,MATCH(ROWS($AG$2:AG37),$AG$2:$AG$1001,0),MATCH(COLUMNS($AN$1006:AS1006),$AN$1006:$BO$1006,0)), HYPERLINK("#",""), HYPERLINK(CONCATENATE("#Metadata!", ADDRESS(INDEX($AI$2:$AI$1001,MATCH(ROWS($AG$2:AG37),$AG$2:$AG$1001,0),0), INDEX($AN$1004:$BO$1004,1,MATCH(COLUMNS($AN$1006:AS1006),$AN$1006:$BO$1006,0)))),"Fix")))</f>
        <v>0</v>
      </c>
      <c r="H37" s="4">
        <f>IF(OR(INDEX($AH$2:$AH$1001,MATCH(ROWS($AG$2:AG37),$AG$2:$AG$1001,0),1)&gt;=100000,INDEX($AN$1005:$BO$1005,1,MATCH(COLUMNS($AN$1006:AT1006),$AN$1006:$BO$1006,0))&gt;=100000), " ",IF(INDEX($AN$2:$BO$1001,MATCH(ROWS($AG$2:AG37),$AG$2:$AG$1001,0),MATCH(COLUMNS($AN$1006:AT1006),$AN$1006:$BO$1006,0)), HYPERLINK("#",""), HYPERLINK(CONCATENATE("#Metadata!", ADDRESS(INDEX($AI$2:$AI$1001,MATCH(ROWS($AG$2:AG37),$AG$2:$AG$1001,0),0), INDEX($AN$1004:$BO$1004,1,MATCH(COLUMNS($AN$1006:AT1006),$AN$1006:$BO$1006,0)))),"Fix")))</f>
        <v>0</v>
      </c>
      <c r="I37" s="4">
        <f>IF(OR(INDEX($AH$2:$AH$1001,MATCH(ROWS($AG$2:AG37),$AG$2:$AG$1001,0),1)&gt;=100000,INDEX($AN$1005:$BO$1005,1,MATCH(COLUMNS($AN$1006:AU1006),$AN$1006:$BO$1006,0))&gt;=100000), " ",IF(INDEX($AN$2:$BO$1001,MATCH(ROWS($AG$2:AG37),$AG$2:$AG$1001,0),MATCH(COLUMNS($AN$1006:AU1006),$AN$1006:$BO$1006,0)), HYPERLINK("#",""), HYPERLINK(CONCATENATE("#Metadata!", ADDRESS(INDEX($AI$2:$AI$1001,MATCH(ROWS($AG$2:AG37),$AG$2:$AG$1001,0),0), INDEX($AN$1004:$BO$1004,1,MATCH(COLUMNS($AN$1006:AU1006),$AN$1006:$BO$1006,0)))),"Fix")))</f>
        <v>0</v>
      </c>
      <c r="J37" s="4">
        <f>IF(OR(INDEX($AH$2:$AH$1001,MATCH(ROWS($AG$2:AG37),$AG$2:$AG$1001,0),1)&gt;=100000,INDEX($AN$1005:$BO$1005,1,MATCH(COLUMNS($AN$1006:AV1006),$AN$1006:$BO$1006,0))&gt;=100000), " ",IF(INDEX($AN$2:$BO$1001,MATCH(ROWS($AG$2:AG37),$AG$2:$AG$1001,0),MATCH(COLUMNS($AN$1006:AV1006),$AN$1006:$BO$1006,0)), HYPERLINK("#",""), HYPERLINK(CONCATENATE("#Metadata!", ADDRESS(INDEX($AI$2:$AI$1001,MATCH(ROWS($AG$2:AG37),$AG$2:$AG$1001,0),0), INDEX($AN$1004:$BO$1004,1,MATCH(COLUMNS($AN$1006:AV1006),$AN$1006:$BO$1006,0)))),"Fix")))</f>
        <v>0</v>
      </c>
      <c r="K37" s="4">
        <f>IF(OR(INDEX($AH$2:$AH$1001,MATCH(ROWS($AG$2:AG37),$AG$2:$AG$1001,0),1)&gt;=100000,INDEX($AN$1005:$BO$1005,1,MATCH(COLUMNS($AN$1006:AW1006),$AN$1006:$BO$1006,0))&gt;=100000), " ",IF(INDEX($AN$2:$BO$1001,MATCH(ROWS($AG$2:AG37),$AG$2:$AG$1001,0),MATCH(COLUMNS($AN$1006:AW1006),$AN$1006:$BO$1006,0)), HYPERLINK("#",""), HYPERLINK(CONCATENATE("#Metadata!", ADDRESS(INDEX($AI$2:$AI$1001,MATCH(ROWS($AG$2:AG37),$AG$2:$AG$1001,0),0), INDEX($AN$1004:$BO$1004,1,MATCH(COLUMNS($AN$1006:AW1006),$AN$1006:$BO$1006,0)))),"Fix")))</f>
        <v>0</v>
      </c>
      <c r="L37" s="4">
        <f>IF(OR(INDEX($AH$2:$AH$1001,MATCH(ROWS($AG$2:AG37),$AG$2:$AG$1001,0),1)&gt;=100000,INDEX($AN$1005:$BO$1005,1,MATCH(COLUMNS($AN$1006:AX1006),$AN$1006:$BO$1006,0))&gt;=100000), " ",IF(INDEX($AN$2:$BO$1001,MATCH(ROWS($AG$2:AG37),$AG$2:$AG$1001,0),MATCH(COLUMNS($AN$1006:AX1006),$AN$1006:$BO$1006,0)), HYPERLINK("#",""), HYPERLINK(CONCATENATE("#Metadata!", ADDRESS(INDEX($AI$2:$AI$1001,MATCH(ROWS($AG$2:AG37),$AG$2:$AG$1001,0),0), INDEX($AN$1004:$BO$1004,1,MATCH(COLUMNS($AN$1006:AX1006),$AN$1006:$BO$1006,0)))),"Fix")))</f>
        <v>0</v>
      </c>
      <c r="M37" s="4">
        <f>IF(OR(INDEX($AH$2:$AH$1001,MATCH(ROWS($AG$2:AG37),$AG$2:$AG$1001,0),1)&gt;=100000,INDEX($AN$1005:$BO$1005,1,MATCH(COLUMNS($AN$1006:AY1006),$AN$1006:$BO$1006,0))&gt;=100000), " ",IF(INDEX($AN$2:$BO$1001,MATCH(ROWS($AG$2:AG37),$AG$2:$AG$1001,0),MATCH(COLUMNS($AN$1006:AY1006),$AN$1006:$BO$1006,0)), HYPERLINK("#",""), HYPERLINK(CONCATENATE("#Metadata!", ADDRESS(INDEX($AI$2:$AI$1001,MATCH(ROWS($AG$2:AG37),$AG$2:$AG$1001,0),0), INDEX($AN$1004:$BO$1004,1,MATCH(COLUMNS($AN$1006:AY1006),$AN$1006:$BO$1006,0)))),"Fix")))</f>
        <v>0</v>
      </c>
      <c r="N37" s="4">
        <f>IF(OR(INDEX($AH$2:$AH$1001,MATCH(ROWS($AG$2:AG37),$AG$2:$AG$1001,0),1)&gt;=100000,INDEX($AN$1005:$BO$1005,1,MATCH(COLUMNS($AN$1006:AZ1006),$AN$1006:$BO$1006,0))&gt;=100000), " ",IF(INDEX($AN$2:$BO$1001,MATCH(ROWS($AG$2:AG37),$AG$2:$AG$1001,0),MATCH(COLUMNS($AN$1006:AZ1006),$AN$1006:$BO$1006,0)), HYPERLINK("#",""), HYPERLINK(CONCATENATE("#Metadata!", ADDRESS(INDEX($AI$2:$AI$1001,MATCH(ROWS($AG$2:AG37),$AG$2:$AG$1001,0),0), INDEX($AN$1004:$BO$1004,1,MATCH(COLUMNS($AN$1006:AZ1006),$AN$1006:$BO$1006,0)))),"Fix")))</f>
        <v>0</v>
      </c>
      <c r="O37" s="4">
        <f>IF(OR(INDEX($AH$2:$AH$1001,MATCH(ROWS($AG$2:AG37),$AG$2:$AG$1001,0),1)&gt;=100000,INDEX($AN$1005:$BO$1005,1,MATCH(COLUMNS($AN$1006:BA1006),$AN$1006:$BO$1006,0))&gt;=100000), " ",IF(INDEX($AN$2:$BO$1001,MATCH(ROWS($AG$2:AG37),$AG$2:$AG$1001,0),MATCH(COLUMNS($AN$1006:BA1006),$AN$1006:$BO$1006,0)), HYPERLINK("#",""), HYPERLINK(CONCATENATE("#Metadata!", ADDRESS(INDEX($AI$2:$AI$1001,MATCH(ROWS($AG$2:AG37),$AG$2:$AG$1001,0),0), INDEX($AN$1004:$BO$1004,1,MATCH(COLUMNS($AN$1006:BA1006),$AN$1006:$BO$1006,0)))),"Fix")))</f>
        <v>0</v>
      </c>
      <c r="P37" s="4">
        <f>IF(OR(INDEX($AH$2:$AH$1001,MATCH(ROWS($AG$2:AG37),$AG$2:$AG$1001,0),1)&gt;=100000,INDEX($AN$1005:$BO$1005,1,MATCH(COLUMNS($AN$1006:BB1006),$AN$1006:$BO$1006,0))&gt;=100000), " ",IF(INDEX($AN$2:$BO$1001,MATCH(ROWS($AG$2:AG37),$AG$2:$AG$1001,0),MATCH(COLUMNS($AN$1006:BB1006),$AN$1006:$BO$1006,0)), HYPERLINK("#",""), HYPERLINK(CONCATENATE("#Metadata!", ADDRESS(INDEX($AI$2:$AI$1001,MATCH(ROWS($AG$2:AG37),$AG$2:$AG$1001,0),0), INDEX($AN$1004:$BO$1004,1,MATCH(COLUMNS($AN$1006:BB1006),$AN$1006:$BO$1006,0)))),"Fix")))</f>
        <v>0</v>
      </c>
      <c r="Q37" s="4">
        <f>IF(OR(INDEX($AH$2:$AH$1001,MATCH(ROWS($AG$2:AG37),$AG$2:$AG$1001,0),1)&gt;=100000,INDEX($AN$1005:$BO$1005,1,MATCH(COLUMNS($AN$1006:BC1006),$AN$1006:$BO$1006,0))&gt;=100000), " ",IF(INDEX($AN$2:$BO$1001,MATCH(ROWS($AG$2:AG37),$AG$2:$AG$1001,0),MATCH(COLUMNS($AN$1006:BC1006),$AN$1006:$BO$1006,0)), HYPERLINK("#",""), HYPERLINK(CONCATENATE("#Metadata!", ADDRESS(INDEX($AI$2:$AI$1001,MATCH(ROWS($AG$2:AG37),$AG$2:$AG$1001,0),0), INDEX($AN$1004:$BO$1004,1,MATCH(COLUMNS($AN$1006:BC1006),$AN$1006:$BO$1006,0)))),"Fix")))</f>
        <v>0</v>
      </c>
      <c r="R37" s="4">
        <f>IF(OR(INDEX($AH$2:$AH$1001,MATCH(ROWS($AG$2:AG37),$AG$2:$AG$1001,0),1)&gt;=100000,INDEX($AN$1005:$BO$1005,1,MATCH(COLUMNS($AN$1006:BD1006),$AN$1006:$BO$1006,0))&gt;=100000), " ",IF(INDEX($AN$2:$BO$1001,MATCH(ROWS($AG$2:AG37),$AG$2:$AG$1001,0),MATCH(COLUMNS($AN$1006:BD1006),$AN$1006:$BO$1006,0)), HYPERLINK("#",""), HYPERLINK(CONCATENATE("#Metadata!", ADDRESS(INDEX($AI$2:$AI$1001,MATCH(ROWS($AG$2:AG37),$AG$2:$AG$1001,0),0), INDEX($AN$1004:$BO$1004,1,MATCH(COLUMNS($AN$1006:BD1006),$AN$1006:$BO$1006,0)))),"Fix")))</f>
        <v>0</v>
      </c>
      <c r="S37" s="4">
        <f>IF(OR(INDEX($AH$2:$AH$1001,MATCH(ROWS($AG$2:AG37),$AG$2:$AG$1001,0),1)&gt;=100000,INDEX($AN$1005:$BO$1005,1,MATCH(COLUMNS($AN$1006:BE1006),$AN$1006:$BO$1006,0))&gt;=100000), " ",IF(INDEX($AN$2:$BO$1001,MATCH(ROWS($AG$2:AG37),$AG$2:$AG$1001,0),MATCH(COLUMNS($AN$1006:BE1006),$AN$1006:$BO$1006,0)), HYPERLINK("#",""), HYPERLINK(CONCATENATE("#Metadata!", ADDRESS(INDEX($AI$2:$AI$1001,MATCH(ROWS($AG$2:AG37),$AG$2:$AG$1001,0),0), INDEX($AN$1004:$BO$1004,1,MATCH(COLUMNS($AN$1006:BE1006),$AN$1006:$BO$1006,0)))),"Fix")))</f>
        <v>0</v>
      </c>
      <c r="T37" s="4">
        <f>IF(OR(INDEX($AH$2:$AH$1001,MATCH(ROWS($AG$2:AG37),$AG$2:$AG$1001,0),1)&gt;=100000,INDEX($AN$1005:$BO$1005,1,MATCH(COLUMNS($AN$1006:BF1006),$AN$1006:$BO$1006,0))&gt;=100000), " ",IF(INDEX($AN$2:$BO$1001,MATCH(ROWS($AG$2:AG37),$AG$2:$AG$1001,0),MATCH(COLUMNS($AN$1006:BF1006),$AN$1006:$BO$1006,0)), HYPERLINK("#",""), HYPERLINK(CONCATENATE("#Metadata!", ADDRESS(INDEX($AI$2:$AI$1001,MATCH(ROWS($AG$2:AG37),$AG$2:$AG$1001,0),0), INDEX($AN$1004:$BO$1004,1,MATCH(COLUMNS($AN$1006:BF1006),$AN$1006:$BO$1006,0)))),"Fix")))</f>
        <v>0</v>
      </c>
      <c r="U37" s="4">
        <f>IF(OR(INDEX($AH$2:$AH$1001,MATCH(ROWS($AG$2:AG37),$AG$2:$AG$1001,0),1)&gt;=100000,INDEX($AN$1005:$BO$1005,1,MATCH(COLUMNS($AN$1006:BG1006),$AN$1006:$BO$1006,0))&gt;=100000), " ",IF(INDEX($AN$2:$BO$1001,MATCH(ROWS($AG$2:AG37),$AG$2:$AG$1001,0),MATCH(COLUMNS($AN$1006:BG1006),$AN$1006:$BO$1006,0)), HYPERLINK("#",""), HYPERLINK(CONCATENATE("#Metadata!", ADDRESS(INDEX($AI$2:$AI$1001,MATCH(ROWS($AG$2:AG37),$AG$2:$AG$1001,0),0), INDEX($AN$1004:$BO$1004,1,MATCH(COLUMNS($AN$1006:BG1006),$AN$1006:$BO$1006,0)))),"Fix")))</f>
        <v>0</v>
      </c>
      <c r="V37" s="4">
        <f>IF(OR(INDEX($AH$2:$AH$1001,MATCH(ROWS($AG$2:AG37),$AG$2:$AG$1001,0),1)&gt;=100000,INDEX($AN$1005:$BO$1005,1,MATCH(COLUMNS($AN$1006:BH1006),$AN$1006:$BO$1006,0))&gt;=100000), " ",IF(INDEX($AN$2:$BO$1001,MATCH(ROWS($AG$2:AG37),$AG$2:$AG$1001,0),MATCH(COLUMNS($AN$1006:BH1006),$AN$1006:$BO$1006,0)), HYPERLINK("#",""), HYPERLINK(CONCATENATE("#Metadata!", ADDRESS(INDEX($AI$2:$AI$1001,MATCH(ROWS($AG$2:AG37),$AG$2:$AG$1001,0),0), INDEX($AN$1004:$BO$1004,1,MATCH(COLUMNS($AN$1006:BH1006),$AN$1006:$BO$1006,0)))),"Fix")))</f>
        <v>0</v>
      </c>
      <c r="W37" s="4">
        <f>IF(OR(INDEX($AH$2:$AH$1001,MATCH(ROWS($AG$2:AG37),$AG$2:$AG$1001,0),1)&gt;=100000,INDEX($AN$1005:$BO$1005,1,MATCH(COLUMNS($AN$1006:BI1006),$AN$1006:$BO$1006,0))&gt;=100000), " ",IF(INDEX($AN$2:$BO$1001,MATCH(ROWS($AG$2:AG37),$AG$2:$AG$1001,0),MATCH(COLUMNS($AN$1006:BI1006),$AN$1006:$BO$1006,0)), HYPERLINK("#",""), HYPERLINK(CONCATENATE("#Metadata!", ADDRESS(INDEX($AI$2:$AI$1001,MATCH(ROWS($AG$2:AG37),$AG$2:$AG$1001,0),0), INDEX($AN$1004:$BO$1004,1,MATCH(COLUMNS($AN$1006:BI1006),$AN$1006:$BO$1006,0)))),"Fix")))</f>
        <v>0</v>
      </c>
      <c r="X37" s="4">
        <f>IF(OR(INDEX($AH$2:$AH$1001,MATCH(ROWS($AG$2:AG37),$AG$2:$AG$1001,0),1)&gt;=100000,INDEX($AN$1005:$BO$1005,1,MATCH(COLUMNS($AN$1006:BJ1006),$AN$1006:$BO$1006,0))&gt;=100000), " ",IF(INDEX($AN$2:$BO$1001,MATCH(ROWS($AG$2:AG37),$AG$2:$AG$1001,0),MATCH(COLUMNS($AN$1006:BJ1006),$AN$1006:$BO$1006,0)), HYPERLINK("#",""), HYPERLINK(CONCATENATE("#Metadata!", ADDRESS(INDEX($AI$2:$AI$1001,MATCH(ROWS($AG$2:AG37),$AG$2:$AG$1001,0),0), INDEX($AN$1004:$BO$1004,1,MATCH(COLUMNS($AN$1006:BJ1006),$AN$1006:$BO$1006,0)))),"Fix")))</f>
        <v>0</v>
      </c>
      <c r="Y37" s="4">
        <f>IF(OR(INDEX($AH$2:$AH$1001,MATCH(ROWS($AG$2:AG37),$AG$2:$AG$1001,0),1)&gt;=100000,INDEX($AN$1005:$BO$1005,1,MATCH(COLUMNS($AN$1006:BK1006),$AN$1006:$BO$1006,0))&gt;=100000), " ",IF(INDEX($AN$2:$BO$1001,MATCH(ROWS($AG$2:AG37),$AG$2:$AG$1001,0),MATCH(COLUMNS($AN$1006:BK1006),$AN$1006:$BO$1006,0)), HYPERLINK("#",""), HYPERLINK(CONCATENATE("#Metadata!", ADDRESS(INDEX($AI$2:$AI$1001,MATCH(ROWS($AG$2:AG37),$AG$2:$AG$1001,0),0), INDEX($AN$1004:$BO$1004,1,MATCH(COLUMNS($AN$1006:BK1006),$AN$1006:$BO$1006,0)))),"Fix")))</f>
        <v>0</v>
      </c>
      <c r="Z37" s="4">
        <f>IF(OR(INDEX($AH$2:$AH$1001,MATCH(ROWS($AG$2:AG37),$AG$2:$AG$1001,0),1)&gt;=100000,INDEX($AN$1005:$BO$1005,1,MATCH(COLUMNS($AN$1006:BL1006),$AN$1006:$BO$1006,0))&gt;=100000), " ",IF(INDEX($AN$2:$BO$1001,MATCH(ROWS($AG$2:AG37),$AG$2:$AG$1001,0),MATCH(COLUMNS($AN$1006:BL1006),$AN$1006:$BO$1006,0)), HYPERLINK("#",""), HYPERLINK(CONCATENATE("#Metadata!", ADDRESS(INDEX($AI$2:$AI$1001,MATCH(ROWS($AG$2:AG37),$AG$2:$AG$1001,0),0), INDEX($AN$1004:$BO$1004,1,MATCH(COLUMNS($AN$1006:BL1006),$AN$1006:$BO$1006,0)))),"Fix")))</f>
        <v>0</v>
      </c>
      <c r="AA37" s="4">
        <f>IF(OR(INDEX($AH$2:$AH$1001,MATCH(ROWS($AG$2:AG37),$AG$2:$AG$1001,0),1)&gt;=100000,INDEX($AN$1005:$BO$1005,1,MATCH(COLUMNS($AN$1006:BM1006),$AN$1006:$BO$1006,0))&gt;=100000), " ",IF(INDEX($AN$2:$BO$1001,MATCH(ROWS($AG$2:AG37),$AG$2:$AG$1001,0),MATCH(COLUMNS($AN$1006:BM1006),$AN$1006:$BO$1006,0)), HYPERLINK("#",""), HYPERLINK(CONCATENATE("#Metadata!", ADDRESS(INDEX($AI$2:$AI$1001,MATCH(ROWS($AG$2:AG37),$AG$2:$AG$1001,0),0), INDEX($AN$1004:$BO$1004,1,MATCH(COLUMNS($AN$1006:BM1006),$AN$1006:$BO$1006,0)))),"Fix")))</f>
        <v>0</v>
      </c>
      <c r="AB37" s="4">
        <f>IF(OR(INDEX($AH$2:$AH$1001,MATCH(ROWS($AG$2:AG37),$AG$2:$AG$1001,0),1)&gt;=100000,INDEX($AN$1005:$BO$1005,1,MATCH(COLUMNS($AN$1006:BN1006),$AN$1006:$BO$1006,0))&gt;=100000), " ",IF(INDEX($AN$2:$BO$1001,MATCH(ROWS($AG$2:AG37),$AG$2:$AG$1001,0),MATCH(COLUMNS($AN$1006:BN1006),$AN$1006:$BO$1006,0)), HYPERLINK("#",""), HYPERLINK(CONCATENATE("#Metadata!", ADDRESS(INDEX($AI$2:$AI$1001,MATCH(ROWS($AG$2:AG37),$AG$2:$AG$1001,0),0), INDEX($AN$1004:$BO$1004,1,MATCH(COLUMNS($AN$1006:BN1006),$AN$1006:$BO$1006,0)))),"Fix")))</f>
        <v>0</v>
      </c>
      <c r="AC37" s="4">
        <f>IF(OR(INDEX($AH$2:$AH$1001,MATCH(ROWS($AG$2:AG37),$AG$2:$AG$1001,0),1)&gt;=100000,INDEX($AN$1005:$BO$1005,1,MATCH(COLUMNS($AN$1006:BO1006),$AN$1006:$BO$1006,0))&gt;=100000), " ",IF(INDEX($AN$2:$BO$1001,MATCH(ROWS($AG$2:AG37),$AG$2:$AG$1001,0),MATCH(COLUMNS($AN$1006:BO1006),$AN$1006:$BO$1006,0)), HYPERLINK("#",""), HYPERLINK(CONCATENATE("#Metadata!", ADDRESS(INDEX($AI$2:$AI$1001,MATCH(ROWS($AG$2:AG37),$AG$2:$AG$1001,0),0), INDEX($AN$1004:$BO$1004,1,MATCH(COLUMNS($AN$1006:BO1006),$AN$1006:$BO$1006,0)))),"Fix")))</f>
        <v>0</v>
      </c>
      <c r="AG37">
        <v>0</v>
      </c>
      <c r="AH37">
        <v>0</v>
      </c>
      <c r="AI37">
        <v>0</v>
      </c>
      <c r="AJ37">
        <f>IF(AK37,TRUE,AND(AN37:BO37))</f>
        <v>0</v>
      </c>
      <c r="AK37">
        <f>COUNTBLANK(Metadata!B37:AC37)=COLUMNS(Metadata!B37:AC37)</f>
        <v>0</v>
      </c>
      <c r="AL37">
        <v>0</v>
      </c>
      <c r="AN37">
        <f>AND(IF(Metadata!B37="",FALSE,TRUE),COUNTIF(Metadata!B:B, Metadata!B37) = 1,NOT(ISERROR(SUMPRODUCT(SEARCH(MID(Metadata!B37,ROW(INDIRECT("1:"&amp;LEN(Metadata!B37))), 1),"0123456789abcdefghijklmnopqrstuvwxyzABCDEFGHIJKLMNOPQRSTUVWXYZ.")))))</f>
        <v>0</v>
      </c>
      <c r="AO37">
        <f>IF(Metadata!C37="",FALSE,TRUE)</f>
        <v>0</v>
      </c>
      <c r="AP37">
        <f>IF(Metadata!D37="",FALSE,TRUE)</f>
        <v>0</v>
      </c>
      <c r="AQ37">
        <f>OR(AND(IF(Metadata!E37="",FALSE,TRUE),OR(exact(Metadata!E37,"not collected"),exact(Metadata!E37,"not provided"),exact(Metadata!E37,"restricted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R37">
        <f>IF(Metadata!F37="",FALSE,TRUE)</f>
        <v>0</v>
      </c>
      <c r="AS37">
        <f>OR(AND(IF(Metadata!G37="",FALSE,TRUE),OR(exact(Metadata!G37,"not collected"),exact(Metadata!G37,"not provided"))),AND(IF(Metadata!G37="",FALSE,TRUE),OR(exact(Metadata!G37,"TRUE"),exact(Metadata!G37,"FALSE"))))</f>
        <v>0</v>
      </c>
      <c r="AT37">
        <f>OR(AND(IF(Metadata!H37="",FALSE,TRUE),OR(exact(Metadata!H37,"not collected"),exact(Metadata!H37,"not provided"),exact(Metadata!H37,"restricted access"))),AND(IF(Metadata!H37="",FALSE,ISNUMBER(VALUE(Metadata!H37))),Metadata!H37&gt;=-413.0))</f>
        <v>0</v>
      </c>
      <c r="AU37">
        <f>AND(IF(Metadata!I37="",FALSE,TRUE),exact(Metadata!I37,"meters"))</f>
        <v>0</v>
      </c>
      <c r="AV37">
        <f>AND(IF(Metadata!J37="",FALSE,TRUE),OR(exact(Metadata!J37,"Host-associated"),exact(Metadata!J37,"Free-living")))</f>
        <v>0</v>
      </c>
      <c r="AW37">
        <f>AND(IF(Metadata!K37="",FALSE,TRUE),OR(exact(Metadata!K37,"Animal"),exact(Metadata!K37,"Fungus"),exact(Metadata!K37,"Plant"),exact(Metadata!K37,"Saline"),exact(Metadata!K37,"Non-saline")))</f>
        <v>0</v>
      </c>
      <c r="AX37">
        <f>AND(IF(Metadata!L37="",FALSE,TRUE),OR(exact(Metadata!L37,"Plant secretion"),exact(Metadata!L37,"Plant rhizosphere"),exact(Metadata!L37,"Plant surface"),exact(Metadata!L37,"Plant corpus"),exact(Metadata!L37,"Fungus surface"),exact(Metadata!L37,"Fungus corpus"),exact(Metadata!L37,"Animal surface"),exact(Metadata!L37,"Animal proximal gut"),exact(Metadata!L37,"Animal corpus"),exact(Metadata!L37,"Animal distal gut"),exact(Metadata!L37,"Animal secretion"),exact(Metadata!L37,"Sub-surface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0</v>
      </c>
      <c r="AY37">
        <f>IF(Metadata!M37="",FALSE,TRUE)</f>
        <v>0</v>
      </c>
      <c r="AZ37">
        <f>IF(Metadata!N37="",FALSE,TRUE)</f>
        <v>0</v>
      </c>
      <c r="BA37">
        <f>IF(Metadata!O37="",FALSE,TRUE)</f>
        <v>0</v>
      </c>
      <c r="BB37">
        <f>OR(AND(IF(Metadata!P37="",FALSE,TRUE),OR(exact(Metadata!P37,"not collected"),exact(Metadata!P37,"not provided"),exact(Metadata!P37,"restricted access"))),AND(IF(Metadata!P37="",FALSE,TRUE),OR(exact(Metadata!P37,"air"),exact(Metadata!P37,"built environment"),exact(Metadata!P37,"host-associated"),exact(Metadata!P37,"human-associated"),exact(Metadata!P37,"human-skin"),exact(Metadata!P37,"human-oral"),exact(Metadata!P37,"human-gut"),exact(Metadata!P37,"human-vaginal"),exact(Metadata!P37,"microbial mat/biofilm"),exact(Metadata!P37,"misc environment"),exact(Metadata!P37,"plant-associated"),exact(Metadata!P37,"sediment"),exact(Metadata!P37,"soil"),exact(Metadata!P37,"wastewater/sludge"),exact(Metadata!P37,"water"))))</f>
        <v>0</v>
      </c>
      <c r="BC37">
        <f>IF(Metadata!Q37="",FALSE,TRUE)</f>
        <v>0</v>
      </c>
      <c r="BD37">
        <f>IF(Metadata!R37="",FALSE,TRUE)</f>
        <v>0</v>
      </c>
      <c r="BE37">
        <f>OR(AND(IF(Metadata!S37="",FALSE,TRUE),OR(exact(Metadata!S37,"not collected"),exact(Metadata!S37,"not provided"),exact(Metadata!S37,"restricted access"))),AND(IF(Metadata!S37="",FALSE,ISNUMBER(VALUE(Metadata!S37))),Metadata!S37&gt;=-90.00,Metadata!S37&lt;=90.00))</f>
        <v>0</v>
      </c>
      <c r="BF37">
        <f>AND(IF(Metadata!T37="",FALSE,TRUE),exact(Metadata!T37,"Decimal degrees"))</f>
        <v>0</v>
      </c>
      <c r="BG37">
        <f>OR(AND(IF(Metadata!U37="",FALSE,TRUE),OR(exact(Metadata!U37,"not collected"),exact(Metadata!U37,"not provided"),exact(Metadata!U37,"restricted access"))),AND(IF(Metadata!U37="",FALSE,ISNUMBER(VALUE(Metadata!U37))),Metadata!U37&gt;=-180.00,Metadata!U37&lt;=180.00))</f>
        <v>0</v>
      </c>
      <c r="BH37">
        <f>AND(IF(Metadata!V37="",FALSE,TRUE),exact(Metadata!V37,"Decimal degrees"))</f>
        <v>0</v>
      </c>
      <c r="BI37">
        <f>IF(Metadata!W37="",FALSE,TRUE)</f>
        <v>0</v>
      </c>
      <c r="BJ37">
        <f>OR(AND(IF(Metadata!X37="",FALSE,TRUE),OR(exact(Metadata!X37,"not collected"),exact(Metadata!X37,"not provided"),exact(Metadata!X37,"restricted access"))),AND(IF(Metadata!X37="",FALSE,TRUE),OR(exact(Metadata!X37,"TRUE"),exact(Metadata!X37,"FALSE"))))</f>
        <v>0</v>
      </c>
      <c r="BK37">
        <f>AND(IF(Metadata!Y37="",FALSE,TRUE),exact(Metadata!Y37,"other"))</f>
        <v>0</v>
      </c>
      <c r="BL37">
        <f>IF(Metadata!Z37="",FALSE,TRUE)</f>
        <v>0</v>
      </c>
      <c r="BM37">
        <f>OR(AND(IF(Metadata!AA37="",FALSE,TRUE),OR(exact(Metadata!AA37,"not collected"),exact(Metadata!AA37,"not provided"))),AND(IF(Metadata!AA37="",FALSE,IF(ISERROR(INT(Metadata!AA37)),FALSE,INT(Metadata!AA37)=Metadata!AA37)),Metadata!AA37&gt;0))</f>
        <v>0</v>
      </c>
      <c r="BN37">
        <f>AND(IF(Metadata!AB37="",FALSE,TRUE),exact(Metadata!AB37,"Not applicable"))</f>
        <v>0</v>
      </c>
      <c r="BO37">
        <f>IF(Metadata!AC37="",FALSE,TRUE)</f>
        <v>0</v>
      </c>
    </row>
    <row r="38" spans="1:67">
      <c r="A38" s="5">
        <f>IF(B38=" "," ",HYPERLINK(CONCATENATE("#metadata!",ADDRESS(INDEX($AI$2:$AI$1001,MATCH(ROWS($AG$2:AG38),$AG$2:$AG$1001,0),0),1)),INDEX($AL$2:$AL$1001,MATCH(ROWS($AG$2:AG38),$AG$2:$AG$1001,0),0)))</f>
        <v>0</v>
      </c>
      <c r="B38" s="4">
        <f>IF(OR(INDEX($AH$2:$AH$1001,MATCH(ROWS($AG$2:AG38),$AG$2:$AG$1001,0),1)&gt;=100000,INDEX($AN$1005:$BO$1005,1,MATCH(COLUMNS($AN$1006:AN1006),$AN$1006:$BO$1006,0))&gt;=100000), " ",IF(INDEX($AN$2:$BO$1001,MATCH(ROWS($AG$2:AG38),$AG$2:$AG$1001,0),MATCH(COLUMNS($AN$1006:AN1006),$AN$1006:$BO$1006,0)), HYPERLINK("#",""), HYPERLINK(CONCATENATE("#Metadata!", ADDRESS(INDEX($AI$2:$AI$1001,MATCH(ROWS($AG$2:AG38),$AG$2:$AG$1001,0),0), INDEX($AN$1004:$BO$1004,1,MATCH(COLUMNS($AN$1006:AN1006),$AN$1006:$BO$1006,0)))),"Fix")))</f>
        <v>0</v>
      </c>
      <c r="C38" s="4">
        <f>IF(OR(INDEX($AH$2:$AH$1001,MATCH(ROWS($AG$2:AG38),$AG$2:$AG$1001,0),1)&gt;=100000,INDEX($AN$1005:$BO$1005,1,MATCH(COLUMNS($AN$1006:AO1006),$AN$1006:$BO$1006,0))&gt;=100000), " ",IF(INDEX($AN$2:$BO$1001,MATCH(ROWS($AG$2:AG38),$AG$2:$AG$1001,0),MATCH(COLUMNS($AN$1006:AO1006),$AN$1006:$BO$1006,0)), HYPERLINK("#",""), HYPERLINK(CONCATENATE("#Metadata!", ADDRESS(INDEX($AI$2:$AI$1001,MATCH(ROWS($AG$2:AG38),$AG$2:$AG$1001,0),0), INDEX($AN$1004:$BO$1004,1,MATCH(COLUMNS($AN$1006:AO1006),$AN$1006:$BO$1006,0)))),"Fix")))</f>
        <v>0</v>
      </c>
      <c r="D38" s="4">
        <f>IF(OR(INDEX($AH$2:$AH$1001,MATCH(ROWS($AG$2:AG38),$AG$2:$AG$1001,0),1)&gt;=100000,INDEX($AN$1005:$BO$1005,1,MATCH(COLUMNS($AN$1006:AP1006),$AN$1006:$BO$1006,0))&gt;=100000), " ",IF(INDEX($AN$2:$BO$1001,MATCH(ROWS($AG$2:AG38),$AG$2:$AG$1001,0),MATCH(COLUMNS($AN$1006:AP1006),$AN$1006:$BO$1006,0)), HYPERLINK("#",""), HYPERLINK(CONCATENATE("#Metadata!", ADDRESS(INDEX($AI$2:$AI$1001,MATCH(ROWS($AG$2:AG38),$AG$2:$AG$1001,0),0), INDEX($AN$1004:$BO$1004,1,MATCH(COLUMNS($AN$1006:AP1006),$AN$1006:$BO$1006,0)))),"Fix")))</f>
        <v>0</v>
      </c>
      <c r="E38" s="4">
        <f>IF(OR(INDEX($AH$2:$AH$1001,MATCH(ROWS($AG$2:AG38),$AG$2:$AG$1001,0),1)&gt;=100000,INDEX($AN$1005:$BO$1005,1,MATCH(COLUMNS($AN$1006:AQ1006),$AN$1006:$BO$1006,0))&gt;=100000), " ",IF(INDEX($AN$2:$BO$1001,MATCH(ROWS($AG$2:AG38),$AG$2:$AG$1001,0),MATCH(COLUMNS($AN$1006:AQ1006),$AN$1006:$BO$1006,0)), HYPERLINK("#",""), HYPERLINK(CONCATENATE("#Metadata!", ADDRESS(INDEX($AI$2:$AI$1001,MATCH(ROWS($AG$2:AG38),$AG$2:$AG$1001,0),0), INDEX($AN$1004:$BO$1004,1,MATCH(COLUMNS($AN$1006:AQ1006),$AN$1006:$BO$1006,0)))),"Fix")))</f>
        <v>0</v>
      </c>
      <c r="F38" s="4">
        <f>IF(OR(INDEX($AH$2:$AH$1001,MATCH(ROWS($AG$2:AG38),$AG$2:$AG$1001,0),1)&gt;=100000,INDEX($AN$1005:$BO$1005,1,MATCH(COLUMNS($AN$1006:AR1006),$AN$1006:$BO$1006,0))&gt;=100000), " ",IF(INDEX($AN$2:$BO$1001,MATCH(ROWS($AG$2:AG38),$AG$2:$AG$1001,0),MATCH(COLUMNS($AN$1006:AR1006),$AN$1006:$BO$1006,0)), HYPERLINK("#",""), HYPERLINK(CONCATENATE("#Metadata!", ADDRESS(INDEX($AI$2:$AI$1001,MATCH(ROWS($AG$2:AG38),$AG$2:$AG$1001,0),0), INDEX($AN$1004:$BO$1004,1,MATCH(COLUMNS($AN$1006:AR1006),$AN$1006:$BO$1006,0)))),"Fix")))</f>
        <v>0</v>
      </c>
      <c r="G38" s="4">
        <f>IF(OR(INDEX($AH$2:$AH$1001,MATCH(ROWS($AG$2:AG38),$AG$2:$AG$1001,0),1)&gt;=100000,INDEX($AN$1005:$BO$1005,1,MATCH(COLUMNS($AN$1006:AS1006),$AN$1006:$BO$1006,0))&gt;=100000), " ",IF(INDEX($AN$2:$BO$1001,MATCH(ROWS($AG$2:AG38),$AG$2:$AG$1001,0),MATCH(COLUMNS($AN$1006:AS1006),$AN$1006:$BO$1006,0)), HYPERLINK("#",""), HYPERLINK(CONCATENATE("#Metadata!", ADDRESS(INDEX($AI$2:$AI$1001,MATCH(ROWS($AG$2:AG38),$AG$2:$AG$1001,0),0), INDEX($AN$1004:$BO$1004,1,MATCH(COLUMNS($AN$1006:AS1006),$AN$1006:$BO$1006,0)))),"Fix")))</f>
        <v>0</v>
      </c>
      <c r="H38" s="4">
        <f>IF(OR(INDEX($AH$2:$AH$1001,MATCH(ROWS($AG$2:AG38),$AG$2:$AG$1001,0),1)&gt;=100000,INDEX($AN$1005:$BO$1005,1,MATCH(COLUMNS($AN$1006:AT1006),$AN$1006:$BO$1006,0))&gt;=100000), " ",IF(INDEX($AN$2:$BO$1001,MATCH(ROWS($AG$2:AG38),$AG$2:$AG$1001,0),MATCH(COLUMNS($AN$1006:AT1006),$AN$1006:$BO$1006,0)), HYPERLINK("#",""), HYPERLINK(CONCATENATE("#Metadata!", ADDRESS(INDEX($AI$2:$AI$1001,MATCH(ROWS($AG$2:AG38),$AG$2:$AG$1001,0),0), INDEX($AN$1004:$BO$1004,1,MATCH(COLUMNS($AN$1006:AT1006),$AN$1006:$BO$1006,0)))),"Fix")))</f>
        <v>0</v>
      </c>
      <c r="I38" s="4">
        <f>IF(OR(INDEX($AH$2:$AH$1001,MATCH(ROWS($AG$2:AG38),$AG$2:$AG$1001,0),1)&gt;=100000,INDEX($AN$1005:$BO$1005,1,MATCH(COLUMNS($AN$1006:AU1006),$AN$1006:$BO$1006,0))&gt;=100000), " ",IF(INDEX($AN$2:$BO$1001,MATCH(ROWS($AG$2:AG38),$AG$2:$AG$1001,0),MATCH(COLUMNS($AN$1006:AU1006),$AN$1006:$BO$1006,0)), HYPERLINK("#",""), HYPERLINK(CONCATENATE("#Metadata!", ADDRESS(INDEX($AI$2:$AI$1001,MATCH(ROWS($AG$2:AG38),$AG$2:$AG$1001,0),0), INDEX($AN$1004:$BO$1004,1,MATCH(COLUMNS($AN$1006:AU1006),$AN$1006:$BO$1006,0)))),"Fix")))</f>
        <v>0</v>
      </c>
      <c r="J38" s="4">
        <f>IF(OR(INDEX($AH$2:$AH$1001,MATCH(ROWS($AG$2:AG38),$AG$2:$AG$1001,0),1)&gt;=100000,INDEX($AN$1005:$BO$1005,1,MATCH(COLUMNS($AN$1006:AV1006),$AN$1006:$BO$1006,0))&gt;=100000), " ",IF(INDEX($AN$2:$BO$1001,MATCH(ROWS($AG$2:AG38),$AG$2:$AG$1001,0),MATCH(COLUMNS($AN$1006:AV1006),$AN$1006:$BO$1006,0)), HYPERLINK("#",""), HYPERLINK(CONCATENATE("#Metadata!", ADDRESS(INDEX($AI$2:$AI$1001,MATCH(ROWS($AG$2:AG38),$AG$2:$AG$1001,0),0), INDEX($AN$1004:$BO$1004,1,MATCH(COLUMNS($AN$1006:AV1006),$AN$1006:$BO$1006,0)))),"Fix")))</f>
        <v>0</v>
      </c>
      <c r="K38" s="4">
        <f>IF(OR(INDEX($AH$2:$AH$1001,MATCH(ROWS($AG$2:AG38),$AG$2:$AG$1001,0),1)&gt;=100000,INDEX($AN$1005:$BO$1005,1,MATCH(COLUMNS($AN$1006:AW1006),$AN$1006:$BO$1006,0))&gt;=100000), " ",IF(INDEX($AN$2:$BO$1001,MATCH(ROWS($AG$2:AG38),$AG$2:$AG$1001,0),MATCH(COLUMNS($AN$1006:AW1006),$AN$1006:$BO$1006,0)), HYPERLINK("#",""), HYPERLINK(CONCATENATE("#Metadata!", ADDRESS(INDEX($AI$2:$AI$1001,MATCH(ROWS($AG$2:AG38),$AG$2:$AG$1001,0),0), INDEX($AN$1004:$BO$1004,1,MATCH(COLUMNS($AN$1006:AW1006),$AN$1006:$BO$1006,0)))),"Fix")))</f>
        <v>0</v>
      </c>
      <c r="L38" s="4">
        <f>IF(OR(INDEX($AH$2:$AH$1001,MATCH(ROWS($AG$2:AG38),$AG$2:$AG$1001,0),1)&gt;=100000,INDEX($AN$1005:$BO$1005,1,MATCH(COLUMNS($AN$1006:AX1006),$AN$1006:$BO$1006,0))&gt;=100000), " ",IF(INDEX($AN$2:$BO$1001,MATCH(ROWS($AG$2:AG38),$AG$2:$AG$1001,0),MATCH(COLUMNS($AN$1006:AX1006),$AN$1006:$BO$1006,0)), HYPERLINK("#",""), HYPERLINK(CONCATENATE("#Metadata!", ADDRESS(INDEX($AI$2:$AI$1001,MATCH(ROWS($AG$2:AG38),$AG$2:$AG$1001,0),0), INDEX($AN$1004:$BO$1004,1,MATCH(COLUMNS($AN$1006:AX1006),$AN$1006:$BO$1006,0)))),"Fix")))</f>
        <v>0</v>
      </c>
      <c r="M38" s="4">
        <f>IF(OR(INDEX($AH$2:$AH$1001,MATCH(ROWS($AG$2:AG38),$AG$2:$AG$1001,0),1)&gt;=100000,INDEX($AN$1005:$BO$1005,1,MATCH(COLUMNS($AN$1006:AY1006),$AN$1006:$BO$1006,0))&gt;=100000), " ",IF(INDEX($AN$2:$BO$1001,MATCH(ROWS($AG$2:AG38),$AG$2:$AG$1001,0),MATCH(COLUMNS($AN$1006:AY1006),$AN$1006:$BO$1006,0)), HYPERLINK("#",""), HYPERLINK(CONCATENATE("#Metadata!", ADDRESS(INDEX($AI$2:$AI$1001,MATCH(ROWS($AG$2:AG38),$AG$2:$AG$1001,0),0), INDEX($AN$1004:$BO$1004,1,MATCH(COLUMNS($AN$1006:AY1006),$AN$1006:$BO$1006,0)))),"Fix")))</f>
        <v>0</v>
      </c>
      <c r="N38" s="4">
        <f>IF(OR(INDEX($AH$2:$AH$1001,MATCH(ROWS($AG$2:AG38),$AG$2:$AG$1001,0),1)&gt;=100000,INDEX($AN$1005:$BO$1005,1,MATCH(COLUMNS($AN$1006:AZ1006),$AN$1006:$BO$1006,0))&gt;=100000), " ",IF(INDEX($AN$2:$BO$1001,MATCH(ROWS($AG$2:AG38),$AG$2:$AG$1001,0),MATCH(COLUMNS($AN$1006:AZ1006),$AN$1006:$BO$1006,0)), HYPERLINK("#",""), HYPERLINK(CONCATENATE("#Metadata!", ADDRESS(INDEX($AI$2:$AI$1001,MATCH(ROWS($AG$2:AG38),$AG$2:$AG$1001,0),0), INDEX($AN$1004:$BO$1004,1,MATCH(COLUMNS($AN$1006:AZ1006),$AN$1006:$BO$1006,0)))),"Fix")))</f>
        <v>0</v>
      </c>
      <c r="O38" s="4">
        <f>IF(OR(INDEX($AH$2:$AH$1001,MATCH(ROWS($AG$2:AG38),$AG$2:$AG$1001,0),1)&gt;=100000,INDEX($AN$1005:$BO$1005,1,MATCH(COLUMNS($AN$1006:BA1006),$AN$1006:$BO$1006,0))&gt;=100000), " ",IF(INDEX($AN$2:$BO$1001,MATCH(ROWS($AG$2:AG38),$AG$2:$AG$1001,0),MATCH(COLUMNS($AN$1006:BA1006),$AN$1006:$BO$1006,0)), HYPERLINK("#",""), HYPERLINK(CONCATENATE("#Metadata!", ADDRESS(INDEX($AI$2:$AI$1001,MATCH(ROWS($AG$2:AG38),$AG$2:$AG$1001,0),0), INDEX($AN$1004:$BO$1004,1,MATCH(COLUMNS($AN$1006:BA1006),$AN$1006:$BO$1006,0)))),"Fix")))</f>
        <v>0</v>
      </c>
      <c r="P38" s="4">
        <f>IF(OR(INDEX($AH$2:$AH$1001,MATCH(ROWS($AG$2:AG38),$AG$2:$AG$1001,0),1)&gt;=100000,INDEX($AN$1005:$BO$1005,1,MATCH(COLUMNS($AN$1006:BB1006),$AN$1006:$BO$1006,0))&gt;=100000), " ",IF(INDEX($AN$2:$BO$1001,MATCH(ROWS($AG$2:AG38),$AG$2:$AG$1001,0),MATCH(COLUMNS($AN$1006:BB1006),$AN$1006:$BO$1006,0)), HYPERLINK("#",""), HYPERLINK(CONCATENATE("#Metadata!", ADDRESS(INDEX($AI$2:$AI$1001,MATCH(ROWS($AG$2:AG38),$AG$2:$AG$1001,0),0), INDEX($AN$1004:$BO$1004,1,MATCH(COLUMNS($AN$1006:BB1006),$AN$1006:$BO$1006,0)))),"Fix")))</f>
        <v>0</v>
      </c>
      <c r="Q38" s="4">
        <f>IF(OR(INDEX($AH$2:$AH$1001,MATCH(ROWS($AG$2:AG38),$AG$2:$AG$1001,0),1)&gt;=100000,INDEX($AN$1005:$BO$1005,1,MATCH(COLUMNS($AN$1006:BC1006),$AN$1006:$BO$1006,0))&gt;=100000), " ",IF(INDEX($AN$2:$BO$1001,MATCH(ROWS($AG$2:AG38),$AG$2:$AG$1001,0),MATCH(COLUMNS($AN$1006:BC1006),$AN$1006:$BO$1006,0)), HYPERLINK("#",""), HYPERLINK(CONCATENATE("#Metadata!", ADDRESS(INDEX($AI$2:$AI$1001,MATCH(ROWS($AG$2:AG38),$AG$2:$AG$1001,0),0), INDEX($AN$1004:$BO$1004,1,MATCH(COLUMNS($AN$1006:BC1006),$AN$1006:$BO$1006,0)))),"Fix")))</f>
        <v>0</v>
      </c>
      <c r="R38" s="4">
        <f>IF(OR(INDEX($AH$2:$AH$1001,MATCH(ROWS($AG$2:AG38),$AG$2:$AG$1001,0),1)&gt;=100000,INDEX($AN$1005:$BO$1005,1,MATCH(COLUMNS($AN$1006:BD1006),$AN$1006:$BO$1006,0))&gt;=100000), " ",IF(INDEX($AN$2:$BO$1001,MATCH(ROWS($AG$2:AG38),$AG$2:$AG$1001,0),MATCH(COLUMNS($AN$1006:BD1006),$AN$1006:$BO$1006,0)), HYPERLINK("#",""), HYPERLINK(CONCATENATE("#Metadata!", ADDRESS(INDEX($AI$2:$AI$1001,MATCH(ROWS($AG$2:AG38),$AG$2:$AG$1001,0),0), INDEX($AN$1004:$BO$1004,1,MATCH(COLUMNS($AN$1006:BD1006),$AN$1006:$BO$1006,0)))),"Fix")))</f>
        <v>0</v>
      </c>
      <c r="S38" s="4">
        <f>IF(OR(INDEX($AH$2:$AH$1001,MATCH(ROWS($AG$2:AG38),$AG$2:$AG$1001,0),1)&gt;=100000,INDEX($AN$1005:$BO$1005,1,MATCH(COLUMNS($AN$1006:BE1006),$AN$1006:$BO$1006,0))&gt;=100000), " ",IF(INDEX($AN$2:$BO$1001,MATCH(ROWS($AG$2:AG38),$AG$2:$AG$1001,0),MATCH(COLUMNS($AN$1006:BE1006),$AN$1006:$BO$1006,0)), HYPERLINK("#",""), HYPERLINK(CONCATENATE("#Metadata!", ADDRESS(INDEX($AI$2:$AI$1001,MATCH(ROWS($AG$2:AG38),$AG$2:$AG$1001,0),0), INDEX($AN$1004:$BO$1004,1,MATCH(COLUMNS($AN$1006:BE1006),$AN$1006:$BO$1006,0)))),"Fix")))</f>
        <v>0</v>
      </c>
      <c r="T38" s="4">
        <f>IF(OR(INDEX($AH$2:$AH$1001,MATCH(ROWS($AG$2:AG38),$AG$2:$AG$1001,0),1)&gt;=100000,INDEX($AN$1005:$BO$1005,1,MATCH(COLUMNS($AN$1006:BF1006),$AN$1006:$BO$1006,0))&gt;=100000), " ",IF(INDEX($AN$2:$BO$1001,MATCH(ROWS($AG$2:AG38),$AG$2:$AG$1001,0),MATCH(COLUMNS($AN$1006:BF1006),$AN$1006:$BO$1006,0)), HYPERLINK("#",""), HYPERLINK(CONCATENATE("#Metadata!", ADDRESS(INDEX($AI$2:$AI$1001,MATCH(ROWS($AG$2:AG38),$AG$2:$AG$1001,0),0), INDEX($AN$1004:$BO$1004,1,MATCH(COLUMNS($AN$1006:BF1006),$AN$1006:$BO$1006,0)))),"Fix")))</f>
        <v>0</v>
      </c>
      <c r="U38" s="4">
        <f>IF(OR(INDEX($AH$2:$AH$1001,MATCH(ROWS($AG$2:AG38),$AG$2:$AG$1001,0),1)&gt;=100000,INDEX($AN$1005:$BO$1005,1,MATCH(COLUMNS($AN$1006:BG1006),$AN$1006:$BO$1006,0))&gt;=100000), " ",IF(INDEX($AN$2:$BO$1001,MATCH(ROWS($AG$2:AG38),$AG$2:$AG$1001,0),MATCH(COLUMNS($AN$1006:BG1006),$AN$1006:$BO$1006,0)), HYPERLINK("#",""), HYPERLINK(CONCATENATE("#Metadata!", ADDRESS(INDEX($AI$2:$AI$1001,MATCH(ROWS($AG$2:AG38),$AG$2:$AG$1001,0),0), INDEX($AN$1004:$BO$1004,1,MATCH(COLUMNS($AN$1006:BG1006),$AN$1006:$BO$1006,0)))),"Fix")))</f>
        <v>0</v>
      </c>
      <c r="V38" s="4">
        <f>IF(OR(INDEX($AH$2:$AH$1001,MATCH(ROWS($AG$2:AG38),$AG$2:$AG$1001,0),1)&gt;=100000,INDEX($AN$1005:$BO$1005,1,MATCH(COLUMNS($AN$1006:BH1006),$AN$1006:$BO$1006,0))&gt;=100000), " ",IF(INDEX($AN$2:$BO$1001,MATCH(ROWS($AG$2:AG38),$AG$2:$AG$1001,0),MATCH(COLUMNS($AN$1006:BH1006),$AN$1006:$BO$1006,0)), HYPERLINK("#",""), HYPERLINK(CONCATENATE("#Metadata!", ADDRESS(INDEX($AI$2:$AI$1001,MATCH(ROWS($AG$2:AG38),$AG$2:$AG$1001,0),0), INDEX($AN$1004:$BO$1004,1,MATCH(COLUMNS($AN$1006:BH1006),$AN$1006:$BO$1006,0)))),"Fix")))</f>
        <v>0</v>
      </c>
      <c r="W38" s="4">
        <f>IF(OR(INDEX($AH$2:$AH$1001,MATCH(ROWS($AG$2:AG38),$AG$2:$AG$1001,0),1)&gt;=100000,INDEX($AN$1005:$BO$1005,1,MATCH(COLUMNS($AN$1006:BI1006),$AN$1006:$BO$1006,0))&gt;=100000), " ",IF(INDEX($AN$2:$BO$1001,MATCH(ROWS($AG$2:AG38),$AG$2:$AG$1001,0),MATCH(COLUMNS($AN$1006:BI1006),$AN$1006:$BO$1006,0)), HYPERLINK("#",""), HYPERLINK(CONCATENATE("#Metadata!", ADDRESS(INDEX($AI$2:$AI$1001,MATCH(ROWS($AG$2:AG38),$AG$2:$AG$1001,0),0), INDEX($AN$1004:$BO$1004,1,MATCH(COLUMNS($AN$1006:BI1006),$AN$1006:$BO$1006,0)))),"Fix")))</f>
        <v>0</v>
      </c>
      <c r="X38" s="4">
        <f>IF(OR(INDEX($AH$2:$AH$1001,MATCH(ROWS($AG$2:AG38),$AG$2:$AG$1001,0),1)&gt;=100000,INDEX($AN$1005:$BO$1005,1,MATCH(COLUMNS($AN$1006:BJ1006),$AN$1006:$BO$1006,0))&gt;=100000), " ",IF(INDEX($AN$2:$BO$1001,MATCH(ROWS($AG$2:AG38),$AG$2:$AG$1001,0),MATCH(COLUMNS($AN$1006:BJ1006),$AN$1006:$BO$1006,0)), HYPERLINK("#",""), HYPERLINK(CONCATENATE("#Metadata!", ADDRESS(INDEX($AI$2:$AI$1001,MATCH(ROWS($AG$2:AG38),$AG$2:$AG$1001,0),0), INDEX($AN$1004:$BO$1004,1,MATCH(COLUMNS($AN$1006:BJ1006),$AN$1006:$BO$1006,0)))),"Fix")))</f>
        <v>0</v>
      </c>
      <c r="Y38" s="4">
        <f>IF(OR(INDEX($AH$2:$AH$1001,MATCH(ROWS($AG$2:AG38),$AG$2:$AG$1001,0),1)&gt;=100000,INDEX($AN$1005:$BO$1005,1,MATCH(COLUMNS($AN$1006:BK1006),$AN$1006:$BO$1006,0))&gt;=100000), " ",IF(INDEX($AN$2:$BO$1001,MATCH(ROWS($AG$2:AG38),$AG$2:$AG$1001,0),MATCH(COLUMNS($AN$1006:BK1006),$AN$1006:$BO$1006,0)), HYPERLINK("#",""), HYPERLINK(CONCATENATE("#Metadata!", ADDRESS(INDEX($AI$2:$AI$1001,MATCH(ROWS($AG$2:AG38),$AG$2:$AG$1001,0),0), INDEX($AN$1004:$BO$1004,1,MATCH(COLUMNS($AN$1006:BK1006),$AN$1006:$BO$1006,0)))),"Fix")))</f>
        <v>0</v>
      </c>
      <c r="Z38" s="4">
        <f>IF(OR(INDEX($AH$2:$AH$1001,MATCH(ROWS($AG$2:AG38),$AG$2:$AG$1001,0),1)&gt;=100000,INDEX($AN$1005:$BO$1005,1,MATCH(COLUMNS($AN$1006:BL1006),$AN$1006:$BO$1006,0))&gt;=100000), " ",IF(INDEX($AN$2:$BO$1001,MATCH(ROWS($AG$2:AG38),$AG$2:$AG$1001,0),MATCH(COLUMNS($AN$1006:BL1006),$AN$1006:$BO$1006,0)), HYPERLINK("#",""), HYPERLINK(CONCATENATE("#Metadata!", ADDRESS(INDEX($AI$2:$AI$1001,MATCH(ROWS($AG$2:AG38),$AG$2:$AG$1001,0),0), INDEX($AN$1004:$BO$1004,1,MATCH(COLUMNS($AN$1006:BL1006),$AN$1006:$BO$1006,0)))),"Fix")))</f>
        <v>0</v>
      </c>
      <c r="AA38" s="4">
        <f>IF(OR(INDEX($AH$2:$AH$1001,MATCH(ROWS($AG$2:AG38),$AG$2:$AG$1001,0),1)&gt;=100000,INDEX($AN$1005:$BO$1005,1,MATCH(COLUMNS($AN$1006:BM1006),$AN$1006:$BO$1006,0))&gt;=100000), " ",IF(INDEX($AN$2:$BO$1001,MATCH(ROWS($AG$2:AG38),$AG$2:$AG$1001,0),MATCH(COLUMNS($AN$1006:BM1006),$AN$1006:$BO$1006,0)), HYPERLINK("#",""), HYPERLINK(CONCATENATE("#Metadata!", ADDRESS(INDEX($AI$2:$AI$1001,MATCH(ROWS($AG$2:AG38),$AG$2:$AG$1001,0),0), INDEX($AN$1004:$BO$1004,1,MATCH(COLUMNS($AN$1006:BM1006),$AN$1006:$BO$1006,0)))),"Fix")))</f>
        <v>0</v>
      </c>
      <c r="AB38" s="4">
        <f>IF(OR(INDEX($AH$2:$AH$1001,MATCH(ROWS($AG$2:AG38),$AG$2:$AG$1001,0),1)&gt;=100000,INDEX($AN$1005:$BO$1005,1,MATCH(COLUMNS($AN$1006:BN1006),$AN$1006:$BO$1006,0))&gt;=100000), " ",IF(INDEX($AN$2:$BO$1001,MATCH(ROWS($AG$2:AG38),$AG$2:$AG$1001,0),MATCH(COLUMNS($AN$1006:BN1006),$AN$1006:$BO$1006,0)), HYPERLINK("#",""), HYPERLINK(CONCATENATE("#Metadata!", ADDRESS(INDEX($AI$2:$AI$1001,MATCH(ROWS($AG$2:AG38),$AG$2:$AG$1001,0),0), INDEX($AN$1004:$BO$1004,1,MATCH(COLUMNS($AN$1006:BN1006),$AN$1006:$BO$1006,0)))),"Fix")))</f>
        <v>0</v>
      </c>
      <c r="AC38" s="4">
        <f>IF(OR(INDEX($AH$2:$AH$1001,MATCH(ROWS($AG$2:AG38),$AG$2:$AG$1001,0),1)&gt;=100000,INDEX($AN$1005:$BO$1005,1,MATCH(COLUMNS($AN$1006:BO1006),$AN$1006:$BO$1006,0))&gt;=100000), " ",IF(INDEX($AN$2:$BO$1001,MATCH(ROWS($AG$2:AG38),$AG$2:$AG$1001,0),MATCH(COLUMNS($AN$1006:BO1006),$AN$1006:$BO$1006,0)), HYPERLINK("#",""), HYPERLINK(CONCATENATE("#Metadata!", ADDRESS(INDEX($AI$2:$AI$1001,MATCH(ROWS($AG$2:AG38),$AG$2:$AG$1001,0),0), INDEX($AN$1004:$BO$1004,1,MATCH(COLUMNS($AN$1006:BO1006),$AN$1006:$BO$1006,0)))),"Fix")))</f>
        <v>0</v>
      </c>
      <c r="AG38">
        <v>0</v>
      </c>
      <c r="AH38">
        <v>0</v>
      </c>
      <c r="AI38">
        <v>0</v>
      </c>
      <c r="AJ38">
        <f>IF(AK38,TRUE,AND(AN38:BO38))</f>
        <v>0</v>
      </c>
      <c r="AK38">
        <f>COUNTBLANK(Metadata!B38:AC38)=COLUMNS(Metadata!B38:AC38)</f>
        <v>0</v>
      </c>
      <c r="AL38">
        <v>0</v>
      </c>
      <c r="AN38">
        <f>AND(IF(Metadata!B38="",FALSE,TRUE),COUNTIF(Metadata!B:B, Metadata!B38) = 1,NOT(ISERROR(SUMPRODUCT(SEARCH(MID(Metadata!B38,ROW(INDIRECT("1:"&amp;LEN(Metadata!B38))), 1),"0123456789abcdefghijklmnopqrstuvwxyzABCDEFGHIJKLMNOPQRSTUVWXYZ.")))))</f>
        <v>0</v>
      </c>
      <c r="AO38">
        <f>IF(Metadata!C38="",FALSE,TRUE)</f>
        <v>0</v>
      </c>
      <c r="AP38">
        <f>IF(Metadata!D38="",FALSE,TRUE)</f>
        <v>0</v>
      </c>
      <c r="AQ38">
        <f>OR(AND(IF(Metadata!E38="",FALSE,TRUE),OR(exact(Metadata!E38,"not collected"),exact(Metadata!E38,"not provided"),exact(Metadata!E38,"restricted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R38">
        <f>IF(Metadata!F38="",FALSE,TRUE)</f>
        <v>0</v>
      </c>
      <c r="AS38">
        <f>OR(AND(IF(Metadata!G38="",FALSE,TRUE),OR(exact(Metadata!G38,"not collected"),exact(Metadata!G38,"not provided"))),AND(IF(Metadata!G38="",FALSE,TRUE),OR(exact(Metadata!G38,"TRUE"),exact(Metadata!G38,"FALSE"))))</f>
        <v>0</v>
      </c>
      <c r="AT38">
        <f>OR(AND(IF(Metadata!H38="",FALSE,TRUE),OR(exact(Metadata!H38,"not collected"),exact(Metadata!H38,"not provided"),exact(Metadata!H38,"restricted access"))),AND(IF(Metadata!H38="",FALSE,ISNUMBER(VALUE(Metadata!H38))),Metadata!H38&gt;=-413.0))</f>
        <v>0</v>
      </c>
      <c r="AU38">
        <f>AND(IF(Metadata!I38="",FALSE,TRUE),exact(Metadata!I38,"meters"))</f>
        <v>0</v>
      </c>
      <c r="AV38">
        <f>AND(IF(Metadata!J38="",FALSE,TRUE),OR(exact(Metadata!J38,"Host-associated"),exact(Metadata!J38,"Free-living")))</f>
        <v>0</v>
      </c>
      <c r="AW38">
        <f>AND(IF(Metadata!K38="",FALSE,TRUE),OR(exact(Metadata!K38,"Animal"),exact(Metadata!K38,"Fungus"),exact(Metadata!K38,"Plant"),exact(Metadata!K38,"Saline"),exact(Metadata!K38,"Non-saline")))</f>
        <v>0</v>
      </c>
      <c r="AX38">
        <f>AND(IF(Metadata!L38="",FALSE,TRUE),OR(exact(Metadata!L38,"Plant secretion"),exact(Metadata!L38,"Plant rhizosphere"),exact(Metadata!L38,"Plant surface"),exact(Metadata!L38,"Plant corpus"),exact(Metadata!L38,"Fungus surface"),exact(Metadata!L38,"Fungus corpus"),exact(Metadata!L38,"Animal surface"),exact(Metadata!L38,"Animal proximal gut"),exact(Metadata!L38,"Animal corpus"),exact(Metadata!L38,"Animal distal gut"),exact(Metadata!L38,"Animal secretion"),exact(Metadata!L38,"Sub-surface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0</v>
      </c>
      <c r="AY38">
        <f>IF(Metadata!M38="",FALSE,TRUE)</f>
        <v>0</v>
      </c>
      <c r="AZ38">
        <f>IF(Metadata!N38="",FALSE,TRUE)</f>
        <v>0</v>
      </c>
      <c r="BA38">
        <f>IF(Metadata!O38="",FALSE,TRUE)</f>
        <v>0</v>
      </c>
      <c r="BB38">
        <f>OR(AND(IF(Metadata!P38="",FALSE,TRUE),OR(exact(Metadata!P38,"not collected"),exact(Metadata!P38,"not provided"),exact(Metadata!P38,"restricted access"))),AND(IF(Metadata!P38="",FALSE,TRUE),OR(exact(Metadata!P38,"air"),exact(Metadata!P38,"built environment"),exact(Metadata!P38,"host-associated"),exact(Metadata!P38,"human-associated"),exact(Metadata!P38,"human-skin"),exact(Metadata!P38,"human-oral"),exact(Metadata!P38,"human-gut"),exact(Metadata!P38,"human-vaginal"),exact(Metadata!P38,"microbial mat/biofilm"),exact(Metadata!P38,"misc environment"),exact(Metadata!P38,"plant-associated"),exact(Metadata!P38,"sediment"),exact(Metadata!P38,"soil"),exact(Metadata!P38,"wastewater/sludge"),exact(Metadata!P38,"water"))))</f>
        <v>0</v>
      </c>
      <c r="BC38">
        <f>IF(Metadata!Q38="",FALSE,TRUE)</f>
        <v>0</v>
      </c>
      <c r="BD38">
        <f>IF(Metadata!R38="",FALSE,TRUE)</f>
        <v>0</v>
      </c>
      <c r="BE38">
        <f>OR(AND(IF(Metadata!S38="",FALSE,TRUE),OR(exact(Metadata!S38,"not collected"),exact(Metadata!S38,"not provided"),exact(Metadata!S38,"restricted access"))),AND(IF(Metadata!S38="",FALSE,ISNUMBER(VALUE(Metadata!S38))),Metadata!S38&gt;=-90.00,Metadata!S38&lt;=90.00))</f>
        <v>0</v>
      </c>
      <c r="BF38">
        <f>AND(IF(Metadata!T38="",FALSE,TRUE),exact(Metadata!T38,"Decimal degrees"))</f>
        <v>0</v>
      </c>
      <c r="BG38">
        <f>OR(AND(IF(Metadata!U38="",FALSE,TRUE),OR(exact(Metadata!U38,"not collected"),exact(Metadata!U38,"not provided"),exact(Metadata!U38,"restricted access"))),AND(IF(Metadata!U38="",FALSE,ISNUMBER(VALUE(Metadata!U38))),Metadata!U38&gt;=-180.00,Metadata!U38&lt;=180.00))</f>
        <v>0</v>
      </c>
      <c r="BH38">
        <f>AND(IF(Metadata!V38="",FALSE,TRUE),exact(Metadata!V38,"Decimal degrees"))</f>
        <v>0</v>
      </c>
      <c r="BI38">
        <f>IF(Metadata!W38="",FALSE,TRUE)</f>
        <v>0</v>
      </c>
      <c r="BJ38">
        <f>OR(AND(IF(Metadata!X38="",FALSE,TRUE),OR(exact(Metadata!X38,"not collected"),exact(Metadata!X38,"not provided"),exact(Metadata!X38,"restricted access"))),AND(IF(Metadata!X38="",FALSE,TRUE),OR(exact(Metadata!X38,"TRUE"),exact(Metadata!X38,"FALSE"))))</f>
        <v>0</v>
      </c>
      <c r="BK38">
        <f>AND(IF(Metadata!Y38="",FALSE,TRUE),exact(Metadata!Y38,"other"))</f>
        <v>0</v>
      </c>
      <c r="BL38">
        <f>IF(Metadata!Z38="",FALSE,TRUE)</f>
        <v>0</v>
      </c>
      <c r="BM38">
        <f>OR(AND(IF(Metadata!AA38="",FALSE,TRUE),OR(exact(Metadata!AA38,"not collected"),exact(Metadata!AA38,"not provided"))),AND(IF(Metadata!AA38="",FALSE,IF(ISERROR(INT(Metadata!AA38)),FALSE,INT(Metadata!AA38)=Metadata!AA38)),Metadata!AA38&gt;0))</f>
        <v>0</v>
      </c>
      <c r="BN38">
        <f>AND(IF(Metadata!AB38="",FALSE,TRUE),exact(Metadata!AB38,"Not applicable"))</f>
        <v>0</v>
      </c>
      <c r="BO38">
        <f>IF(Metadata!AC38="",FALSE,TRUE)</f>
        <v>0</v>
      </c>
    </row>
    <row r="39" spans="1:67">
      <c r="A39" s="5">
        <f>IF(B39=" "," ",HYPERLINK(CONCATENATE("#metadata!",ADDRESS(INDEX($AI$2:$AI$1001,MATCH(ROWS($AG$2:AG39),$AG$2:$AG$1001,0),0),1)),INDEX($AL$2:$AL$1001,MATCH(ROWS($AG$2:AG39),$AG$2:$AG$1001,0),0)))</f>
        <v>0</v>
      </c>
      <c r="B39" s="4">
        <f>IF(OR(INDEX($AH$2:$AH$1001,MATCH(ROWS($AG$2:AG39),$AG$2:$AG$1001,0),1)&gt;=100000,INDEX($AN$1005:$BO$1005,1,MATCH(COLUMNS($AN$1006:AN1006),$AN$1006:$BO$1006,0))&gt;=100000), " ",IF(INDEX($AN$2:$BO$1001,MATCH(ROWS($AG$2:AG39),$AG$2:$AG$1001,0),MATCH(COLUMNS($AN$1006:AN1006),$AN$1006:$BO$1006,0)), HYPERLINK("#",""), HYPERLINK(CONCATENATE("#Metadata!", ADDRESS(INDEX($AI$2:$AI$1001,MATCH(ROWS($AG$2:AG39),$AG$2:$AG$1001,0),0), INDEX($AN$1004:$BO$1004,1,MATCH(COLUMNS($AN$1006:AN1006),$AN$1006:$BO$1006,0)))),"Fix")))</f>
        <v>0</v>
      </c>
      <c r="C39" s="4">
        <f>IF(OR(INDEX($AH$2:$AH$1001,MATCH(ROWS($AG$2:AG39),$AG$2:$AG$1001,0),1)&gt;=100000,INDEX($AN$1005:$BO$1005,1,MATCH(COLUMNS($AN$1006:AO1006),$AN$1006:$BO$1006,0))&gt;=100000), " ",IF(INDEX($AN$2:$BO$1001,MATCH(ROWS($AG$2:AG39),$AG$2:$AG$1001,0),MATCH(COLUMNS($AN$1006:AO1006),$AN$1006:$BO$1006,0)), HYPERLINK("#",""), HYPERLINK(CONCATENATE("#Metadata!", ADDRESS(INDEX($AI$2:$AI$1001,MATCH(ROWS($AG$2:AG39),$AG$2:$AG$1001,0),0), INDEX($AN$1004:$BO$1004,1,MATCH(COLUMNS($AN$1006:AO1006),$AN$1006:$BO$1006,0)))),"Fix")))</f>
        <v>0</v>
      </c>
      <c r="D39" s="4">
        <f>IF(OR(INDEX($AH$2:$AH$1001,MATCH(ROWS($AG$2:AG39),$AG$2:$AG$1001,0),1)&gt;=100000,INDEX($AN$1005:$BO$1005,1,MATCH(COLUMNS($AN$1006:AP1006),$AN$1006:$BO$1006,0))&gt;=100000), " ",IF(INDEX($AN$2:$BO$1001,MATCH(ROWS($AG$2:AG39),$AG$2:$AG$1001,0),MATCH(COLUMNS($AN$1006:AP1006),$AN$1006:$BO$1006,0)), HYPERLINK("#",""), HYPERLINK(CONCATENATE("#Metadata!", ADDRESS(INDEX($AI$2:$AI$1001,MATCH(ROWS($AG$2:AG39),$AG$2:$AG$1001,0),0), INDEX($AN$1004:$BO$1004,1,MATCH(COLUMNS($AN$1006:AP1006),$AN$1006:$BO$1006,0)))),"Fix")))</f>
        <v>0</v>
      </c>
      <c r="E39" s="4">
        <f>IF(OR(INDEX($AH$2:$AH$1001,MATCH(ROWS($AG$2:AG39),$AG$2:$AG$1001,0),1)&gt;=100000,INDEX($AN$1005:$BO$1005,1,MATCH(COLUMNS($AN$1006:AQ1006),$AN$1006:$BO$1006,0))&gt;=100000), " ",IF(INDEX($AN$2:$BO$1001,MATCH(ROWS($AG$2:AG39),$AG$2:$AG$1001,0),MATCH(COLUMNS($AN$1006:AQ1006),$AN$1006:$BO$1006,0)), HYPERLINK("#",""), HYPERLINK(CONCATENATE("#Metadata!", ADDRESS(INDEX($AI$2:$AI$1001,MATCH(ROWS($AG$2:AG39),$AG$2:$AG$1001,0),0), INDEX($AN$1004:$BO$1004,1,MATCH(COLUMNS($AN$1006:AQ1006),$AN$1006:$BO$1006,0)))),"Fix")))</f>
        <v>0</v>
      </c>
      <c r="F39" s="4">
        <f>IF(OR(INDEX($AH$2:$AH$1001,MATCH(ROWS($AG$2:AG39),$AG$2:$AG$1001,0),1)&gt;=100000,INDEX($AN$1005:$BO$1005,1,MATCH(COLUMNS($AN$1006:AR1006),$AN$1006:$BO$1006,0))&gt;=100000), " ",IF(INDEX($AN$2:$BO$1001,MATCH(ROWS($AG$2:AG39),$AG$2:$AG$1001,0),MATCH(COLUMNS($AN$1006:AR1006),$AN$1006:$BO$1006,0)), HYPERLINK("#",""), HYPERLINK(CONCATENATE("#Metadata!", ADDRESS(INDEX($AI$2:$AI$1001,MATCH(ROWS($AG$2:AG39),$AG$2:$AG$1001,0),0), INDEX($AN$1004:$BO$1004,1,MATCH(COLUMNS($AN$1006:AR1006),$AN$1006:$BO$1006,0)))),"Fix")))</f>
        <v>0</v>
      </c>
      <c r="G39" s="4">
        <f>IF(OR(INDEX($AH$2:$AH$1001,MATCH(ROWS($AG$2:AG39),$AG$2:$AG$1001,0),1)&gt;=100000,INDEX($AN$1005:$BO$1005,1,MATCH(COLUMNS($AN$1006:AS1006),$AN$1006:$BO$1006,0))&gt;=100000), " ",IF(INDEX($AN$2:$BO$1001,MATCH(ROWS($AG$2:AG39),$AG$2:$AG$1001,0),MATCH(COLUMNS($AN$1006:AS1006),$AN$1006:$BO$1006,0)), HYPERLINK("#",""), HYPERLINK(CONCATENATE("#Metadata!", ADDRESS(INDEX($AI$2:$AI$1001,MATCH(ROWS($AG$2:AG39),$AG$2:$AG$1001,0),0), INDEX($AN$1004:$BO$1004,1,MATCH(COLUMNS($AN$1006:AS1006),$AN$1006:$BO$1006,0)))),"Fix")))</f>
        <v>0</v>
      </c>
      <c r="H39" s="4">
        <f>IF(OR(INDEX($AH$2:$AH$1001,MATCH(ROWS($AG$2:AG39),$AG$2:$AG$1001,0),1)&gt;=100000,INDEX($AN$1005:$BO$1005,1,MATCH(COLUMNS($AN$1006:AT1006),$AN$1006:$BO$1006,0))&gt;=100000), " ",IF(INDEX($AN$2:$BO$1001,MATCH(ROWS($AG$2:AG39),$AG$2:$AG$1001,0),MATCH(COLUMNS($AN$1006:AT1006),$AN$1006:$BO$1006,0)), HYPERLINK("#",""), HYPERLINK(CONCATENATE("#Metadata!", ADDRESS(INDEX($AI$2:$AI$1001,MATCH(ROWS($AG$2:AG39),$AG$2:$AG$1001,0),0), INDEX($AN$1004:$BO$1004,1,MATCH(COLUMNS($AN$1006:AT1006),$AN$1006:$BO$1006,0)))),"Fix")))</f>
        <v>0</v>
      </c>
      <c r="I39" s="4">
        <f>IF(OR(INDEX($AH$2:$AH$1001,MATCH(ROWS($AG$2:AG39),$AG$2:$AG$1001,0),1)&gt;=100000,INDEX($AN$1005:$BO$1005,1,MATCH(COLUMNS($AN$1006:AU1006),$AN$1006:$BO$1006,0))&gt;=100000), " ",IF(INDEX($AN$2:$BO$1001,MATCH(ROWS($AG$2:AG39),$AG$2:$AG$1001,0),MATCH(COLUMNS($AN$1006:AU1006),$AN$1006:$BO$1006,0)), HYPERLINK("#",""), HYPERLINK(CONCATENATE("#Metadata!", ADDRESS(INDEX($AI$2:$AI$1001,MATCH(ROWS($AG$2:AG39),$AG$2:$AG$1001,0),0), INDEX($AN$1004:$BO$1004,1,MATCH(COLUMNS($AN$1006:AU1006),$AN$1006:$BO$1006,0)))),"Fix")))</f>
        <v>0</v>
      </c>
      <c r="J39" s="4">
        <f>IF(OR(INDEX($AH$2:$AH$1001,MATCH(ROWS($AG$2:AG39),$AG$2:$AG$1001,0),1)&gt;=100000,INDEX($AN$1005:$BO$1005,1,MATCH(COLUMNS($AN$1006:AV1006),$AN$1006:$BO$1006,0))&gt;=100000), " ",IF(INDEX($AN$2:$BO$1001,MATCH(ROWS($AG$2:AG39),$AG$2:$AG$1001,0),MATCH(COLUMNS($AN$1006:AV1006),$AN$1006:$BO$1006,0)), HYPERLINK("#",""), HYPERLINK(CONCATENATE("#Metadata!", ADDRESS(INDEX($AI$2:$AI$1001,MATCH(ROWS($AG$2:AG39),$AG$2:$AG$1001,0),0), INDEX($AN$1004:$BO$1004,1,MATCH(COLUMNS($AN$1006:AV1006),$AN$1006:$BO$1006,0)))),"Fix")))</f>
        <v>0</v>
      </c>
      <c r="K39" s="4">
        <f>IF(OR(INDEX($AH$2:$AH$1001,MATCH(ROWS($AG$2:AG39),$AG$2:$AG$1001,0),1)&gt;=100000,INDEX($AN$1005:$BO$1005,1,MATCH(COLUMNS($AN$1006:AW1006),$AN$1006:$BO$1006,0))&gt;=100000), " ",IF(INDEX($AN$2:$BO$1001,MATCH(ROWS($AG$2:AG39),$AG$2:$AG$1001,0),MATCH(COLUMNS($AN$1006:AW1006),$AN$1006:$BO$1006,0)), HYPERLINK("#",""), HYPERLINK(CONCATENATE("#Metadata!", ADDRESS(INDEX($AI$2:$AI$1001,MATCH(ROWS($AG$2:AG39),$AG$2:$AG$1001,0),0), INDEX($AN$1004:$BO$1004,1,MATCH(COLUMNS($AN$1006:AW1006),$AN$1006:$BO$1006,0)))),"Fix")))</f>
        <v>0</v>
      </c>
      <c r="L39" s="4">
        <f>IF(OR(INDEX($AH$2:$AH$1001,MATCH(ROWS($AG$2:AG39),$AG$2:$AG$1001,0),1)&gt;=100000,INDEX($AN$1005:$BO$1005,1,MATCH(COLUMNS($AN$1006:AX1006),$AN$1006:$BO$1006,0))&gt;=100000), " ",IF(INDEX($AN$2:$BO$1001,MATCH(ROWS($AG$2:AG39),$AG$2:$AG$1001,0),MATCH(COLUMNS($AN$1006:AX1006),$AN$1006:$BO$1006,0)), HYPERLINK("#",""), HYPERLINK(CONCATENATE("#Metadata!", ADDRESS(INDEX($AI$2:$AI$1001,MATCH(ROWS($AG$2:AG39),$AG$2:$AG$1001,0),0), INDEX($AN$1004:$BO$1004,1,MATCH(COLUMNS($AN$1006:AX1006),$AN$1006:$BO$1006,0)))),"Fix")))</f>
        <v>0</v>
      </c>
      <c r="M39" s="4">
        <f>IF(OR(INDEX($AH$2:$AH$1001,MATCH(ROWS($AG$2:AG39),$AG$2:$AG$1001,0),1)&gt;=100000,INDEX($AN$1005:$BO$1005,1,MATCH(COLUMNS($AN$1006:AY1006),$AN$1006:$BO$1006,0))&gt;=100000), " ",IF(INDEX($AN$2:$BO$1001,MATCH(ROWS($AG$2:AG39),$AG$2:$AG$1001,0),MATCH(COLUMNS($AN$1006:AY1006),$AN$1006:$BO$1006,0)), HYPERLINK("#",""), HYPERLINK(CONCATENATE("#Metadata!", ADDRESS(INDEX($AI$2:$AI$1001,MATCH(ROWS($AG$2:AG39),$AG$2:$AG$1001,0),0), INDEX($AN$1004:$BO$1004,1,MATCH(COLUMNS($AN$1006:AY1006),$AN$1006:$BO$1006,0)))),"Fix")))</f>
        <v>0</v>
      </c>
      <c r="N39" s="4">
        <f>IF(OR(INDEX($AH$2:$AH$1001,MATCH(ROWS($AG$2:AG39),$AG$2:$AG$1001,0),1)&gt;=100000,INDEX($AN$1005:$BO$1005,1,MATCH(COLUMNS($AN$1006:AZ1006),$AN$1006:$BO$1006,0))&gt;=100000), " ",IF(INDEX($AN$2:$BO$1001,MATCH(ROWS($AG$2:AG39),$AG$2:$AG$1001,0),MATCH(COLUMNS($AN$1006:AZ1006),$AN$1006:$BO$1006,0)), HYPERLINK("#",""), HYPERLINK(CONCATENATE("#Metadata!", ADDRESS(INDEX($AI$2:$AI$1001,MATCH(ROWS($AG$2:AG39),$AG$2:$AG$1001,0),0), INDEX($AN$1004:$BO$1004,1,MATCH(COLUMNS($AN$1006:AZ1006),$AN$1006:$BO$1006,0)))),"Fix")))</f>
        <v>0</v>
      </c>
      <c r="O39" s="4">
        <f>IF(OR(INDEX($AH$2:$AH$1001,MATCH(ROWS($AG$2:AG39),$AG$2:$AG$1001,0),1)&gt;=100000,INDEX($AN$1005:$BO$1005,1,MATCH(COLUMNS($AN$1006:BA1006),$AN$1006:$BO$1006,0))&gt;=100000), " ",IF(INDEX($AN$2:$BO$1001,MATCH(ROWS($AG$2:AG39),$AG$2:$AG$1001,0),MATCH(COLUMNS($AN$1006:BA1006),$AN$1006:$BO$1006,0)), HYPERLINK("#",""), HYPERLINK(CONCATENATE("#Metadata!", ADDRESS(INDEX($AI$2:$AI$1001,MATCH(ROWS($AG$2:AG39),$AG$2:$AG$1001,0),0), INDEX($AN$1004:$BO$1004,1,MATCH(COLUMNS($AN$1006:BA1006),$AN$1006:$BO$1006,0)))),"Fix")))</f>
        <v>0</v>
      </c>
      <c r="P39" s="4">
        <f>IF(OR(INDEX($AH$2:$AH$1001,MATCH(ROWS($AG$2:AG39),$AG$2:$AG$1001,0),1)&gt;=100000,INDEX($AN$1005:$BO$1005,1,MATCH(COLUMNS($AN$1006:BB1006),$AN$1006:$BO$1006,0))&gt;=100000), " ",IF(INDEX($AN$2:$BO$1001,MATCH(ROWS($AG$2:AG39),$AG$2:$AG$1001,0),MATCH(COLUMNS($AN$1006:BB1006),$AN$1006:$BO$1006,0)), HYPERLINK("#",""), HYPERLINK(CONCATENATE("#Metadata!", ADDRESS(INDEX($AI$2:$AI$1001,MATCH(ROWS($AG$2:AG39),$AG$2:$AG$1001,0),0), INDEX($AN$1004:$BO$1004,1,MATCH(COLUMNS($AN$1006:BB1006),$AN$1006:$BO$1006,0)))),"Fix")))</f>
        <v>0</v>
      </c>
      <c r="Q39" s="4">
        <f>IF(OR(INDEX($AH$2:$AH$1001,MATCH(ROWS($AG$2:AG39),$AG$2:$AG$1001,0),1)&gt;=100000,INDEX($AN$1005:$BO$1005,1,MATCH(COLUMNS($AN$1006:BC1006),$AN$1006:$BO$1006,0))&gt;=100000), " ",IF(INDEX($AN$2:$BO$1001,MATCH(ROWS($AG$2:AG39),$AG$2:$AG$1001,0),MATCH(COLUMNS($AN$1006:BC1006),$AN$1006:$BO$1006,0)), HYPERLINK("#",""), HYPERLINK(CONCATENATE("#Metadata!", ADDRESS(INDEX($AI$2:$AI$1001,MATCH(ROWS($AG$2:AG39),$AG$2:$AG$1001,0),0), INDEX($AN$1004:$BO$1004,1,MATCH(COLUMNS($AN$1006:BC1006),$AN$1006:$BO$1006,0)))),"Fix")))</f>
        <v>0</v>
      </c>
      <c r="R39" s="4">
        <f>IF(OR(INDEX($AH$2:$AH$1001,MATCH(ROWS($AG$2:AG39),$AG$2:$AG$1001,0),1)&gt;=100000,INDEX($AN$1005:$BO$1005,1,MATCH(COLUMNS($AN$1006:BD1006),$AN$1006:$BO$1006,0))&gt;=100000), " ",IF(INDEX($AN$2:$BO$1001,MATCH(ROWS($AG$2:AG39),$AG$2:$AG$1001,0),MATCH(COLUMNS($AN$1006:BD1006),$AN$1006:$BO$1006,0)), HYPERLINK("#",""), HYPERLINK(CONCATENATE("#Metadata!", ADDRESS(INDEX($AI$2:$AI$1001,MATCH(ROWS($AG$2:AG39),$AG$2:$AG$1001,0),0), INDEX($AN$1004:$BO$1004,1,MATCH(COLUMNS($AN$1006:BD1006),$AN$1006:$BO$1006,0)))),"Fix")))</f>
        <v>0</v>
      </c>
      <c r="S39" s="4">
        <f>IF(OR(INDEX($AH$2:$AH$1001,MATCH(ROWS($AG$2:AG39),$AG$2:$AG$1001,0),1)&gt;=100000,INDEX($AN$1005:$BO$1005,1,MATCH(COLUMNS($AN$1006:BE1006),$AN$1006:$BO$1006,0))&gt;=100000), " ",IF(INDEX($AN$2:$BO$1001,MATCH(ROWS($AG$2:AG39),$AG$2:$AG$1001,0),MATCH(COLUMNS($AN$1006:BE1006),$AN$1006:$BO$1006,0)), HYPERLINK("#",""), HYPERLINK(CONCATENATE("#Metadata!", ADDRESS(INDEX($AI$2:$AI$1001,MATCH(ROWS($AG$2:AG39),$AG$2:$AG$1001,0),0), INDEX($AN$1004:$BO$1004,1,MATCH(COLUMNS($AN$1006:BE1006),$AN$1006:$BO$1006,0)))),"Fix")))</f>
        <v>0</v>
      </c>
      <c r="T39" s="4">
        <f>IF(OR(INDEX($AH$2:$AH$1001,MATCH(ROWS($AG$2:AG39),$AG$2:$AG$1001,0),1)&gt;=100000,INDEX($AN$1005:$BO$1005,1,MATCH(COLUMNS($AN$1006:BF1006),$AN$1006:$BO$1006,0))&gt;=100000), " ",IF(INDEX($AN$2:$BO$1001,MATCH(ROWS($AG$2:AG39),$AG$2:$AG$1001,0),MATCH(COLUMNS($AN$1006:BF1006),$AN$1006:$BO$1006,0)), HYPERLINK("#",""), HYPERLINK(CONCATENATE("#Metadata!", ADDRESS(INDEX($AI$2:$AI$1001,MATCH(ROWS($AG$2:AG39),$AG$2:$AG$1001,0),0), INDEX($AN$1004:$BO$1004,1,MATCH(COLUMNS($AN$1006:BF1006),$AN$1006:$BO$1006,0)))),"Fix")))</f>
        <v>0</v>
      </c>
      <c r="U39" s="4">
        <f>IF(OR(INDEX($AH$2:$AH$1001,MATCH(ROWS($AG$2:AG39),$AG$2:$AG$1001,0),1)&gt;=100000,INDEX($AN$1005:$BO$1005,1,MATCH(COLUMNS($AN$1006:BG1006),$AN$1006:$BO$1006,0))&gt;=100000), " ",IF(INDEX($AN$2:$BO$1001,MATCH(ROWS($AG$2:AG39),$AG$2:$AG$1001,0),MATCH(COLUMNS($AN$1006:BG1006),$AN$1006:$BO$1006,0)), HYPERLINK("#",""), HYPERLINK(CONCATENATE("#Metadata!", ADDRESS(INDEX($AI$2:$AI$1001,MATCH(ROWS($AG$2:AG39),$AG$2:$AG$1001,0),0), INDEX($AN$1004:$BO$1004,1,MATCH(COLUMNS($AN$1006:BG1006),$AN$1006:$BO$1006,0)))),"Fix")))</f>
        <v>0</v>
      </c>
      <c r="V39" s="4">
        <f>IF(OR(INDEX($AH$2:$AH$1001,MATCH(ROWS($AG$2:AG39),$AG$2:$AG$1001,0),1)&gt;=100000,INDEX($AN$1005:$BO$1005,1,MATCH(COLUMNS($AN$1006:BH1006),$AN$1006:$BO$1006,0))&gt;=100000), " ",IF(INDEX($AN$2:$BO$1001,MATCH(ROWS($AG$2:AG39),$AG$2:$AG$1001,0),MATCH(COLUMNS($AN$1006:BH1006),$AN$1006:$BO$1006,0)), HYPERLINK("#",""), HYPERLINK(CONCATENATE("#Metadata!", ADDRESS(INDEX($AI$2:$AI$1001,MATCH(ROWS($AG$2:AG39),$AG$2:$AG$1001,0),0), INDEX($AN$1004:$BO$1004,1,MATCH(COLUMNS($AN$1006:BH1006),$AN$1006:$BO$1006,0)))),"Fix")))</f>
        <v>0</v>
      </c>
      <c r="W39" s="4">
        <f>IF(OR(INDEX($AH$2:$AH$1001,MATCH(ROWS($AG$2:AG39),$AG$2:$AG$1001,0),1)&gt;=100000,INDEX($AN$1005:$BO$1005,1,MATCH(COLUMNS($AN$1006:BI1006),$AN$1006:$BO$1006,0))&gt;=100000), " ",IF(INDEX($AN$2:$BO$1001,MATCH(ROWS($AG$2:AG39),$AG$2:$AG$1001,0),MATCH(COLUMNS($AN$1006:BI1006),$AN$1006:$BO$1006,0)), HYPERLINK("#",""), HYPERLINK(CONCATENATE("#Metadata!", ADDRESS(INDEX($AI$2:$AI$1001,MATCH(ROWS($AG$2:AG39),$AG$2:$AG$1001,0),0), INDEX($AN$1004:$BO$1004,1,MATCH(COLUMNS($AN$1006:BI1006),$AN$1006:$BO$1006,0)))),"Fix")))</f>
        <v>0</v>
      </c>
      <c r="X39" s="4">
        <f>IF(OR(INDEX($AH$2:$AH$1001,MATCH(ROWS($AG$2:AG39),$AG$2:$AG$1001,0),1)&gt;=100000,INDEX($AN$1005:$BO$1005,1,MATCH(COLUMNS($AN$1006:BJ1006),$AN$1006:$BO$1006,0))&gt;=100000), " ",IF(INDEX($AN$2:$BO$1001,MATCH(ROWS($AG$2:AG39),$AG$2:$AG$1001,0),MATCH(COLUMNS($AN$1006:BJ1006),$AN$1006:$BO$1006,0)), HYPERLINK("#",""), HYPERLINK(CONCATENATE("#Metadata!", ADDRESS(INDEX($AI$2:$AI$1001,MATCH(ROWS($AG$2:AG39),$AG$2:$AG$1001,0),0), INDEX($AN$1004:$BO$1004,1,MATCH(COLUMNS($AN$1006:BJ1006),$AN$1006:$BO$1006,0)))),"Fix")))</f>
        <v>0</v>
      </c>
      <c r="Y39" s="4">
        <f>IF(OR(INDEX($AH$2:$AH$1001,MATCH(ROWS($AG$2:AG39),$AG$2:$AG$1001,0),1)&gt;=100000,INDEX($AN$1005:$BO$1005,1,MATCH(COLUMNS($AN$1006:BK1006),$AN$1006:$BO$1006,0))&gt;=100000), " ",IF(INDEX($AN$2:$BO$1001,MATCH(ROWS($AG$2:AG39),$AG$2:$AG$1001,0),MATCH(COLUMNS($AN$1006:BK1006),$AN$1006:$BO$1006,0)), HYPERLINK("#",""), HYPERLINK(CONCATENATE("#Metadata!", ADDRESS(INDEX($AI$2:$AI$1001,MATCH(ROWS($AG$2:AG39),$AG$2:$AG$1001,0),0), INDEX($AN$1004:$BO$1004,1,MATCH(COLUMNS($AN$1006:BK1006),$AN$1006:$BO$1006,0)))),"Fix")))</f>
        <v>0</v>
      </c>
      <c r="Z39" s="4">
        <f>IF(OR(INDEX($AH$2:$AH$1001,MATCH(ROWS($AG$2:AG39),$AG$2:$AG$1001,0),1)&gt;=100000,INDEX($AN$1005:$BO$1005,1,MATCH(COLUMNS($AN$1006:BL1006),$AN$1006:$BO$1006,0))&gt;=100000), " ",IF(INDEX($AN$2:$BO$1001,MATCH(ROWS($AG$2:AG39),$AG$2:$AG$1001,0),MATCH(COLUMNS($AN$1006:BL1006),$AN$1006:$BO$1006,0)), HYPERLINK("#",""), HYPERLINK(CONCATENATE("#Metadata!", ADDRESS(INDEX($AI$2:$AI$1001,MATCH(ROWS($AG$2:AG39),$AG$2:$AG$1001,0),0), INDEX($AN$1004:$BO$1004,1,MATCH(COLUMNS($AN$1006:BL1006),$AN$1006:$BO$1006,0)))),"Fix")))</f>
        <v>0</v>
      </c>
      <c r="AA39" s="4">
        <f>IF(OR(INDEX($AH$2:$AH$1001,MATCH(ROWS($AG$2:AG39),$AG$2:$AG$1001,0),1)&gt;=100000,INDEX($AN$1005:$BO$1005,1,MATCH(COLUMNS($AN$1006:BM1006),$AN$1006:$BO$1006,0))&gt;=100000), " ",IF(INDEX($AN$2:$BO$1001,MATCH(ROWS($AG$2:AG39),$AG$2:$AG$1001,0),MATCH(COLUMNS($AN$1006:BM1006),$AN$1006:$BO$1006,0)), HYPERLINK("#",""), HYPERLINK(CONCATENATE("#Metadata!", ADDRESS(INDEX($AI$2:$AI$1001,MATCH(ROWS($AG$2:AG39),$AG$2:$AG$1001,0),0), INDEX($AN$1004:$BO$1004,1,MATCH(COLUMNS($AN$1006:BM1006),$AN$1006:$BO$1006,0)))),"Fix")))</f>
        <v>0</v>
      </c>
      <c r="AB39" s="4">
        <f>IF(OR(INDEX($AH$2:$AH$1001,MATCH(ROWS($AG$2:AG39),$AG$2:$AG$1001,0),1)&gt;=100000,INDEX($AN$1005:$BO$1005,1,MATCH(COLUMNS($AN$1006:BN1006),$AN$1006:$BO$1006,0))&gt;=100000), " ",IF(INDEX($AN$2:$BO$1001,MATCH(ROWS($AG$2:AG39),$AG$2:$AG$1001,0),MATCH(COLUMNS($AN$1006:BN1006),$AN$1006:$BO$1006,0)), HYPERLINK("#",""), HYPERLINK(CONCATENATE("#Metadata!", ADDRESS(INDEX($AI$2:$AI$1001,MATCH(ROWS($AG$2:AG39),$AG$2:$AG$1001,0),0), INDEX($AN$1004:$BO$1004,1,MATCH(COLUMNS($AN$1006:BN1006),$AN$1006:$BO$1006,0)))),"Fix")))</f>
        <v>0</v>
      </c>
      <c r="AC39" s="4">
        <f>IF(OR(INDEX($AH$2:$AH$1001,MATCH(ROWS($AG$2:AG39),$AG$2:$AG$1001,0),1)&gt;=100000,INDEX($AN$1005:$BO$1005,1,MATCH(COLUMNS($AN$1006:BO1006),$AN$1006:$BO$1006,0))&gt;=100000), " ",IF(INDEX($AN$2:$BO$1001,MATCH(ROWS($AG$2:AG39),$AG$2:$AG$1001,0),MATCH(COLUMNS($AN$1006:BO1006),$AN$1006:$BO$1006,0)), HYPERLINK("#",""), HYPERLINK(CONCATENATE("#Metadata!", ADDRESS(INDEX($AI$2:$AI$1001,MATCH(ROWS($AG$2:AG39),$AG$2:$AG$1001,0),0), INDEX($AN$1004:$BO$1004,1,MATCH(COLUMNS($AN$1006:BO1006),$AN$1006:$BO$1006,0)))),"Fix")))</f>
        <v>0</v>
      </c>
      <c r="AG39">
        <v>0</v>
      </c>
      <c r="AH39">
        <v>0</v>
      </c>
      <c r="AI39">
        <v>0</v>
      </c>
      <c r="AJ39">
        <f>IF(AK39,TRUE,AND(AN39:BO39))</f>
        <v>0</v>
      </c>
      <c r="AK39">
        <f>COUNTBLANK(Metadata!B39:AC39)=COLUMNS(Metadata!B39:AC39)</f>
        <v>0</v>
      </c>
      <c r="AL39">
        <v>0</v>
      </c>
      <c r="AN39">
        <f>AND(IF(Metadata!B39="",FALSE,TRUE),COUNTIF(Metadata!B:B, Metadata!B39) = 1,NOT(ISERROR(SUMPRODUCT(SEARCH(MID(Metadata!B39,ROW(INDIRECT("1:"&amp;LEN(Metadata!B39))), 1),"0123456789abcdefghijklmnopqrstuvwxyzABCDEFGHIJKLMNOPQRSTUVWXYZ.")))))</f>
        <v>0</v>
      </c>
      <c r="AO39">
        <f>IF(Metadata!C39="",FALSE,TRUE)</f>
        <v>0</v>
      </c>
      <c r="AP39">
        <f>IF(Metadata!D39="",FALSE,TRUE)</f>
        <v>0</v>
      </c>
      <c r="AQ39">
        <f>OR(AND(IF(Metadata!E39="",FALSE,TRUE),OR(exact(Metadata!E39,"not collected"),exact(Metadata!E39,"not provided"),exact(Metadata!E39,"restricted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R39">
        <f>IF(Metadata!F39="",FALSE,TRUE)</f>
        <v>0</v>
      </c>
      <c r="AS39">
        <f>OR(AND(IF(Metadata!G39="",FALSE,TRUE),OR(exact(Metadata!G39,"not collected"),exact(Metadata!G39,"not provided"))),AND(IF(Metadata!G39="",FALSE,TRUE),OR(exact(Metadata!G39,"TRUE"),exact(Metadata!G39,"FALSE"))))</f>
        <v>0</v>
      </c>
      <c r="AT39">
        <f>OR(AND(IF(Metadata!H39="",FALSE,TRUE),OR(exact(Metadata!H39,"not collected"),exact(Metadata!H39,"not provided"),exact(Metadata!H39,"restricted access"))),AND(IF(Metadata!H39="",FALSE,ISNUMBER(VALUE(Metadata!H39))),Metadata!H39&gt;=-413.0))</f>
        <v>0</v>
      </c>
      <c r="AU39">
        <f>AND(IF(Metadata!I39="",FALSE,TRUE),exact(Metadata!I39,"meters"))</f>
        <v>0</v>
      </c>
      <c r="AV39">
        <f>AND(IF(Metadata!J39="",FALSE,TRUE),OR(exact(Metadata!J39,"Host-associated"),exact(Metadata!J39,"Free-living")))</f>
        <v>0</v>
      </c>
      <c r="AW39">
        <f>AND(IF(Metadata!K39="",FALSE,TRUE),OR(exact(Metadata!K39,"Animal"),exact(Metadata!K39,"Fungus"),exact(Metadata!K39,"Plant"),exact(Metadata!K39,"Saline"),exact(Metadata!K39,"Non-saline")))</f>
        <v>0</v>
      </c>
      <c r="AX39">
        <f>AND(IF(Metadata!L39="",FALSE,TRUE),OR(exact(Metadata!L39,"Plant secretion"),exact(Metadata!L39,"Plant rhizosphere"),exact(Metadata!L39,"Plant surface"),exact(Metadata!L39,"Plant corpus"),exact(Metadata!L39,"Fungus surface"),exact(Metadata!L39,"Fungus corpus"),exact(Metadata!L39,"Animal surface"),exact(Metadata!L39,"Animal proximal gut"),exact(Metadata!L39,"Animal corpus"),exact(Metadata!L39,"Animal distal gut"),exact(Metadata!L39,"Animal secretion"),exact(Metadata!L39,"Sub-surface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0</v>
      </c>
      <c r="AY39">
        <f>IF(Metadata!M39="",FALSE,TRUE)</f>
        <v>0</v>
      </c>
      <c r="AZ39">
        <f>IF(Metadata!N39="",FALSE,TRUE)</f>
        <v>0</v>
      </c>
      <c r="BA39">
        <f>IF(Metadata!O39="",FALSE,TRUE)</f>
        <v>0</v>
      </c>
      <c r="BB39">
        <f>OR(AND(IF(Metadata!P39="",FALSE,TRUE),OR(exact(Metadata!P39,"not collected"),exact(Metadata!P39,"not provided"),exact(Metadata!P39,"restricted access"))),AND(IF(Metadata!P39="",FALSE,TRUE),OR(exact(Metadata!P39,"air"),exact(Metadata!P39,"built environment"),exact(Metadata!P39,"host-associated"),exact(Metadata!P39,"human-associated"),exact(Metadata!P39,"human-skin"),exact(Metadata!P39,"human-oral"),exact(Metadata!P39,"human-gut"),exact(Metadata!P39,"human-vaginal"),exact(Metadata!P39,"microbial mat/biofilm"),exact(Metadata!P39,"misc environment"),exact(Metadata!P39,"plant-associated"),exact(Metadata!P39,"sediment"),exact(Metadata!P39,"soil"),exact(Metadata!P39,"wastewater/sludge"),exact(Metadata!P39,"water"))))</f>
        <v>0</v>
      </c>
      <c r="BC39">
        <f>IF(Metadata!Q39="",FALSE,TRUE)</f>
        <v>0</v>
      </c>
      <c r="BD39">
        <f>IF(Metadata!R39="",FALSE,TRUE)</f>
        <v>0</v>
      </c>
      <c r="BE39">
        <f>OR(AND(IF(Metadata!S39="",FALSE,TRUE),OR(exact(Metadata!S39,"not collected"),exact(Metadata!S39,"not provided"),exact(Metadata!S39,"restricted access"))),AND(IF(Metadata!S39="",FALSE,ISNUMBER(VALUE(Metadata!S39))),Metadata!S39&gt;=-90.00,Metadata!S39&lt;=90.00))</f>
        <v>0</v>
      </c>
      <c r="BF39">
        <f>AND(IF(Metadata!T39="",FALSE,TRUE),exact(Metadata!T39,"Decimal degrees"))</f>
        <v>0</v>
      </c>
      <c r="BG39">
        <f>OR(AND(IF(Metadata!U39="",FALSE,TRUE),OR(exact(Metadata!U39,"not collected"),exact(Metadata!U39,"not provided"),exact(Metadata!U39,"restricted access"))),AND(IF(Metadata!U39="",FALSE,ISNUMBER(VALUE(Metadata!U39))),Metadata!U39&gt;=-180.00,Metadata!U39&lt;=180.00))</f>
        <v>0</v>
      </c>
      <c r="BH39">
        <f>AND(IF(Metadata!V39="",FALSE,TRUE),exact(Metadata!V39,"Decimal degrees"))</f>
        <v>0</v>
      </c>
      <c r="BI39">
        <f>IF(Metadata!W39="",FALSE,TRUE)</f>
        <v>0</v>
      </c>
      <c r="BJ39">
        <f>OR(AND(IF(Metadata!X39="",FALSE,TRUE),OR(exact(Metadata!X39,"not collected"),exact(Metadata!X39,"not provided"),exact(Metadata!X39,"restricted access"))),AND(IF(Metadata!X39="",FALSE,TRUE),OR(exact(Metadata!X39,"TRUE"),exact(Metadata!X39,"FALSE"))))</f>
        <v>0</v>
      </c>
      <c r="BK39">
        <f>AND(IF(Metadata!Y39="",FALSE,TRUE),exact(Metadata!Y39,"other"))</f>
        <v>0</v>
      </c>
      <c r="BL39">
        <f>IF(Metadata!Z39="",FALSE,TRUE)</f>
        <v>0</v>
      </c>
      <c r="BM39">
        <f>OR(AND(IF(Metadata!AA39="",FALSE,TRUE),OR(exact(Metadata!AA39,"not collected"),exact(Metadata!AA39,"not provided"))),AND(IF(Metadata!AA39="",FALSE,IF(ISERROR(INT(Metadata!AA39)),FALSE,INT(Metadata!AA39)=Metadata!AA39)),Metadata!AA39&gt;0))</f>
        <v>0</v>
      </c>
      <c r="BN39">
        <f>AND(IF(Metadata!AB39="",FALSE,TRUE),exact(Metadata!AB39,"Not applicable"))</f>
        <v>0</v>
      </c>
      <c r="BO39">
        <f>IF(Metadata!AC39="",FALSE,TRUE)</f>
        <v>0</v>
      </c>
    </row>
    <row r="40" spans="1:67">
      <c r="A40" s="5">
        <f>IF(B40=" "," ",HYPERLINK(CONCATENATE("#metadata!",ADDRESS(INDEX($AI$2:$AI$1001,MATCH(ROWS($AG$2:AG40),$AG$2:$AG$1001,0),0),1)),INDEX($AL$2:$AL$1001,MATCH(ROWS($AG$2:AG40),$AG$2:$AG$1001,0),0)))</f>
        <v>0</v>
      </c>
      <c r="B40" s="4">
        <f>IF(OR(INDEX($AH$2:$AH$1001,MATCH(ROWS($AG$2:AG40),$AG$2:$AG$1001,0),1)&gt;=100000,INDEX($AN$1005:$BO$1005,1,MATCH(COLUMNS($AN$1006:AN1006),$AN$1006:$BO$1006,0))&gt;=100000), " ",IF(INDEX($AN$2:$BO$1001,MATCH(ROWS($AG$2:AG40),$AG$2:$AG$1001,0),MATCH(COLUMNS($AN$1006:AN1006),$AN$1006:$BO$1006,0)), HYPERLINK("#",""), HYPERLINK(CONCATENATE("#Metadata!", ADDRESS(INDEX($AI$2:$AI$1001,MATCH(ROWS($AG$2:AG40),$AG$2:$AG$1001,0),0), INDEX($AN$1004:$BO$1004,1,MATCH(COLUMNS($AN$1006:AN1006),$AN$1006:$BO$1006,0)))),"Fix")))</f>
        <v>0</v>
      </c>
      <c r="C40" s="4">
        <f>IF(OR(INDEX($AH$2:$AH$1001,MATCH(ROWS($AG$2:AG40),$AG$2:$AG$1001,0),1)&gt;=100000,INDEX($AN$1005:$BO$1005,1,MATCH(COLUMNS($AN$1006:AO1006),$AN$1006:$BO$1006,0))&gt;=100000), " ",IF(INDEX($AN$2:$BO$1001,MATCH(ROWS($AG$2:AG40),$AG$2:$AG$1001,0),MATCH(COLUMNS($AN$1006:AO1006),$AN$1006:$BO$1006,0)), HYPERLINK("#",""), HYPERLINK(CONCATENATE("#Metadata!", ADDRESS(INDEX($AI$2:$AI$1001,MATCH(ROWS($AG$2:AG40),$AG$2:$AG$1001,0),0), INDEX($AN$1004:$BO$1004,1,MATCH(COLUMNS($AN$1006:AO1006),$AN$1006:$BO$1006,0)))),"Fix")))</f>
        <v>0</v>
      </c>
      <c r="D40" s="4">
        <f>IF(OR(INDEX($AH$2:$AH$1001,MATCH(ROWS($AG$2:AG40),$AG$2:$AG$1001,0),1)&gt;=100000,INDEX($AN$1005:$BO$1005,1,MATCH(COLUMNS($AN$1006:AP1006),$AN$1006:$BO$1006,0))&gt;=100000), " ",IF(INDEX($AN$2:$BO$1001,MATCH(ROWS($AG$2:AG40),$AG$2:$AG$1001,0),MATCH(COLUMNS($AN$1006:AP1006),$AN$1006:$BO$1006,0)), HYPERLINK("#",""), HYPERLINK(CONCATENATE("#Metadata!", ADDRESS(INDEX($AI$2:$AI$1001,MATCH(ROWS($AG$2:AG40),$AG$2:$AG$1001,0),0), INDEX($AN$1004:$BO$1004,1,MATCH(COLUMNS($AN$1006:AP1006),$AN$1006:$BO$1006,0)))),"Fix")))</f>
        <v>0</v>
      </c>
      <c r="E40" s="4">
        <f>IF(OR(INDEX($AH$2:$AH$1001,MATCH(ROWS($AG$2:AG40),$AG$2:$AG$1001,0),1)&gt;=100000,INDEX($AN$1005:$BO$1005,1,MATCH(COLUMNS($AN$1006:AQ1006),$AN$1006:$BO$1006,0))&gt;=100000), " ",IF(INDEX($AN$2:$BO$1001,MATCH(ROWS($AG$2:AG40),$AG$2:$AG$1001,0),MATCH(COLUMNS($AN$1006:AQ1006),$AN$1006:$BO$1006,0)), HYPERLINK("#",""), HYPERLINK(CONCATENATE("#Metadata!", ADDRESS(INDEX($AI$2:$AI$1001,MATCH(ROWS($AG$2:AG40),$AG$2:$AG$1001,0),0), INDEX($AN$1004:$BO$1004,1,MATCH(COLUMNS($AN$1006:AQ1006),$AN$1006:$BO$1006,0)))),"Fix")))</f>
        <v>0</v>
      </c>
      <c r="F40" s="4">
        <f>IF(OR(INDEX($AH$2:$AH$1001,MATCH(ROWS($AG$2:AG40),$AG$2:$AG$1001,0),1)&gt;=100000,INDEX($AN$1005:$BO$1005,1,MATCH(COLUMNS($AN$1006:AR1006),$AN$1006:$BO$1006,0))&gt;=100000), " ",IF(INDEX($AN$2:$BO$1001,MATCH(ROWS($AG$2:AG40),$AG$2:$AG$1001,0),MATCH(COLUMNS($AN$1006:AR1006),$AN$1006:$BO$1006,0)), HYPERLINK("#",""), HYPERLINK(CONCATENATE("#Metadata!", ADDRESS(INDEX($AI$2:$AI$1001,MATCH(ROWS($AG$2:AG40),$AG$2:$AG$1001,0),0), INDEX($AN$1004:$BO$1004,1,MATCH(COLUMNS($AN$1006:AR1006),$AN$1006:$BO$1006,0)))),"Fix")))</f>
        <v>0</v>
      </c>
      <c r="G40" s="4">
        <f>IF(OR(INDEX($AH$2:$AH$1001,MATCH(ROWS($AG$2:AG40),$AG$2:$AG$1001,0),1)&gt;=100000,INDEX($AN$1005:$BO$1005,1,MATCH(COLUMNS($AN$1006:AS1006),$AN$1006:$BO$1006,0))&gt;=100000), " ",IF(INDEX($AN$2:$BO$1001,MATCH(ROWS($AG$2:AG40),$AG$2:$AG$1001,0),MATCH(COLUMNS($AN$1006:AS1006),$AN$1006:$BO$1006,0)), HYPERLINK("#",""), HYPERLINK(CONCATENATE("#Metadata!", ADDRESS(INDEX($AI$2:$AI$1001,MATCH(ROWS($AG$2:AG40),$AG$2:$AG$1001,0),0), INDEX($AN$1004:$BO$1004,1,MATCH(COLUMNS($AN$1006:AS1006),$AN$1006:$BO$1006,0)))),"Fix")))</f>
        <v>0</v>
      </c>
      <c r="H40" s="4">
        <f>IF(OR(INDEX($AH$2:$AH$1001,MATCH(ROWS($AG$2:AG40),$AG$2:$AG$1001,0),1)&gt;=100000,INDEX($AN$1005:$BO$1005,1,MATCH(COLUMNS($AN$1006:AT1006),$AN$1006:$BO$1006,0))&gt;=100000), " ",IF(INDEX($AN$2:$BO$1001,MATCH(ROWS($AG$2:AG40),$AG$2:$AG$1001,0),MATCH(COLUMNS($AN$1006:AT1006),$AN$1006:$BO$1006,0)), HYPERLINK("#",""), HYPERLINK(CONCATENATE("#Metadata!", ADDRESS(INDEX($AI$2:$AI$1001,MATCH(ROWS($AG$2:AG40),$AG$2:$AG$1001,0),0), INDEX($AN$1004:$BO$1004,1,MATCH(COLUMNS($AN$1006:AT1006),$AN$1006:$BO$1006,0)))),"Fix")))</f>
        <v>0</v>
      </c>
      <c r="I40" s="4">
        <f>IF(OR(INDEX($AH$2:$AH$1001,MATCH(ROWS($AG$2:AG40),$AG$2:$AG$1001,0),1)&gt;=100000,INDEX($AN$1005:$BO$1005,1,MATCH(COLUMNS($AN$1006:AU1006),$AN$1006:$BO$1006,0))&gt;=100000), " ",IF(INDEX($AN$2:$BO$1001,MATCH(ROWS($AG$2:AG40),$AG$2:$AG$1001,0),MATCH(COLUMNS($AN$1006:AU1006),$AN$1006:$BO$1006,0)), HYPERLINK("#",""), HYPERLINK(CONCATENATE("#Metadata!", ADDRESS(INDEX($AI$2:$AI$1001,MATCH(ROWS($AG$2:AG40),$AG$2:$AG$1001,0),0), INDEX($AN$1004:$BO$1004,1,MATCH(COLUMNS($AN$1006:AU1006),$AN$1006:$BO$1006,0)))),"Fix")))</f>
        <v>0</v>
      </c>
      <c r="J40" s="4">
        <f>IF(OR(INDEX($AH$2:$AH$1001,MATCH(ROWS($AG$2:AG40),$AG$2:$AG$1001,0),1)&gt;=100000,INDEX($AN$1005:$BO$1005,1,MATCH(COLUMNS($AN$1006:AV1006),$AN$1006:$BO$1006,0))&gt;=100000), " ",IF(INDEX($AN$2:$BO$1001,MATCH(ROWS($AG$2:AG40),$AG$2:$AG$1001,0),MATCH(COLUMNS($AN$1006:AV1006),$AN$1006:$BO$1006,0)), HYPERLINK("#",""), HYPERLINK(CONCATENATE("#Metadata!", ADDRESS(INDEX($AI$2:$AI$1001,MATCH(ROWS($AG$2:AG40),$AG$2:$AG$1001,0),0), INDEX($AN$1004:$BO$1004,1,MATCH(COLUMNS($AN$1006:AV1006),$AN$1006:$BO$1006,0)))),"Fix")))</f>
        <v>0</v>
      </c>
      <c r="K40" s="4">
        <f>IF(OR(INDEX($AH$2:$AH$1001,MATCH(ROWS($AG$2:AG40),$AG$2:$AG$1001,0),1)&gt;=100000,INDEX($AN$1005:$BO$1005,1,MATCH(COLUMNS($AN$1006:AW1006),$AN$1006:$BO$1006,0))&gt;=100000), " ",IF(INDEX($AN$2:$BO$1001,MATCH(ROWS($AG$2:AG40),$AG$2:$AG$1001,0),MATCH(COLUMNS($AN$1006:AW1006),$AN$1006:$BO$1006,0)), HYPERLINK("#",""), HYPERLINK(CONCATENATE("#Metadata!", ADDRESS(INDEX($AI$2:$AI$1001,MATCH(ROWS($AG$2:AG40),$AG$2:$AG$1001,0),0), INDEX($AN$1004:$BO$1004,1,MATCH(COLUMNS($AN$1006:AW1006),$AN$1006:$BO$1006,0)))),"Fix")))</f>
        <v>0</v>
      </c>
      <c r="L40" s="4">
        <f>IF(OR(INDEX($AH$2:$AH$1001,MATCH(ROWS($AG$2:AG40),$AG$2:$AG$1001,0),1)&gt;=100000,INDEX($AN$1005:$BO$1005,1,MATCH(COLUMNS($AN$1006:AX1006),$AN$1006:$BO$1006,0))&gt;=100000), " ",IF(INDEX($AN$2:$BO$1001,MATCH(ROWS($AG$2:AG40),$AG$2:$AG$1001,0),MATCH(COLUMNS($AN$1006:AX1006),$AN$1006:$BO$1006,0)), HYPERLINK("#",""), HYPERLINK(CONCATENATE("#Metadata!", ADDRESS(INDEX($AI$2:$AI$1001,MATCH(ROWS($AG$2:AG40),$AG$2:$AG$1001,0),0), INDEX($AN$1004:$BO$1004,1,MATCH(COLUMNS($AN$1006:AX1006),$AN$1006:$BO$1006,0)))),"Fix")))</f>
        <v>0</v>
      </c>
      <c r="M40" s="4">
        <f>IF(OR(INDEX($AH$2:$AH$1001,MATCH(ROWS($AG$2:AG40),$AG$2:$AG$1001,0),1)&gt;=100000,INDEX($AN$1005:$BO$1005,1,MATCH(COLUMNS($AN$1006:AY1006),$AN$1006:$BO$1006,0))&gt;=100000), " ",IF(INDEX($AN$2:$BO$1001,MATCH(ROWS($AG$2:AG40),$AG$2:$AG$1001,0),MATCH(COLUMNS($AN$1006:AY1006),$AN$1006:$BO$1006,0)), HYPERLINK("#",""), HYPERLINK(CONCATENATE("#Metadata!", ADDRESS(INDEX($AI$2:$AI$1001,MATCH(ROWS($AG$2:AG40),$AG$2:$AG$1001,0),0), INDEX($AN$1004:$BO$1004,1,MATCH(COLUMNS($AN$1006:AY1006),$AN$1006:$BO$1006,0)))),"Fix")))</f>
        <v>0</v>
      </c>
      <c r="N40" s="4">
        <f>IF(OR(INDEX($AH$2:$AH$1001,MATCH(ROWS($AG$2:AG40),$AG$2:$AG$1001,0),1)&gt;=100000,INDEX($AN$1005:$BO$1005,1,MATCH(COLUMNS($AN$1006:AZ1006),$AN$1006:$BO$1006,0))&gt;=100000), " ",IF(INDEX($AN$2:$BO$1001,MATCH(ROWS($AG$2:AG40),$AG$2:$AG$1001,0),MATCH(COLUMNS($AN$1006:AZ1006),$AN$1006:$BO$1006,0)), HYPERLINK("#",""), HYPERLINK(CONCATENATE("#Metadata!", ADDRESS(INDEX($AI$2:$AI$1001,MATCH(ROWS($AG$2:AG40),$AG$2:$AG$1001,0),0), INDEX($AN$1004:$BO$1004,1,MATCH(COLUMNS($AN$1006:AZ1006),$AN$1006:$BO$1006,0)))),"Fix")))</f>
        <v>0</v>
      </c>
      <c r="O40" s="4">
        <f>IF(OR(INDEX($AH$2:$AH$1001,MATCH(ROWS($AG$2:AG40),$AG$2:$AG$1001,0),1)&gt;=100000,INDEX($AN$1005:$BO$1005,1,MATCH(COLUMNS($AN$1006:BA1006),$AN$1006:$BO$1006,0))&gt;=100000), " ",IF(INDEX($AN$2:$BO$1001,MATCH(ROWS($AG$2:AG40),$AG$2:$AG$1001,0),MATCH(COLUMNS($AN$1006:BA1006),$AN$1006:$BO$1006,0)), HYPERLINK("#",""), HYPERLINK(CONCATENATE("#Metadata!", ADDRESS(INDEX($AI$2:$AI$1001,MATCH(ROWS($AG$2:AG40),$AG$2:$AG$1001,0),0), INDEX($AN$1004:$BO$1004,1,MATCH(COLUMNS($AN$1006:BA1006),$AN$1006:$BO$1006,0)))),"Fix")))</f>
        <v>0</v>
      </c>
      <c r="P40" s="4">
        <f>IF(OR(INDEX($AH$2:$AH$1001,MATCH(ROWS($AG$2:AG40),$AG$2:$AG$1001,0),1)&gt;=100000,INDEX($AN$1005:$BO$1005,1,MATCH(COLUMNS($AN$1006:BB1006),$AN$1006:$BO$1006,0))&gt;=100000), " ",IF(INDEX($AN$2:$BO$1001,MATCH(ROWS($AG$2:AG40),$AG$2:$AG$1001,0),MATCH(COLUMNS($AN$1006:BB1006),$AN$1006:$BO$1006,0)), HYPERLINK("#",""), HYPERLINK(CONCATENATE("#Metadata!", ADDRESS(INDEX($AI$2:$AI$1001,MATCH(ROWS($AG$2:AG40),$AG$2:$AG$1001,0),0), INDEX($AN$1004:$BO$1004,1,MATCH(COLUMNS($AN$1006:BB1006),$AN$1006:$BO$1006,0)))),"Fix")))</f>
        <v>0</v>
      </c>
      <c r="Q40" s="4">
        <f>IF(OR(INDEX($AH$2:$AH$1001,MATCH(ROWS($AG$2:AG40),$AG$2:$AG$1001,0),1)&gt;=100000,INDEX($AN$1005:$BO$1005,1,MATCH(COLUMNS($AN$1006:BC1006),$AN$1006:$BO$1006,0))&gt;=100000), " ",IF(INDEX($AN$2:$BO$1001,MATCH(ROWS($AG$2:AG40),$AG$2:$AG$1001,0),MATCH(COLUMNS($AN$1006:BC1006),$AN$1006:$BO$1006,0)), HYPERLINK("#",""), HYPERLINK(CONCATENATE("#Metadata!", ADDRESS(INDEX($AI$2:$AI$1001,MATCH(ROWS($AG$2:AG40),$AG$2:$AG$1001,0),0), INDEX($AN$1004:$BO$1004,1,MATCH(COLUMNS($AN$1006:BC1006),$AN$1006:$BO$1006,0)))),"Fix")))</f>
        <v>0</v>
      </c>
      <c r="R40" s="4">
        <f>IF(OR(INDEX($AH$2:$AH$1001,MATCH(ROWS($AG$2:AG40),$AG$2:$AG$1001,0),1)&gt;=100000,INDEX($AN$1005:$BO$1005,1,MATCH(COLUMNS($AN$1006:BD1006),$AN$1006:$BO$1006,0))&gt;=100000), " ",IF(INDEX($AN$2:$BO$1001,MATCH(ROWS($AG$2:AG40),$AG$2:$AG$1001,0),MATCH(COLUMNS($AN$1006:BD1006),$AN$1006:$BO$1006,0)), HYPERLINK("#",""), HYPERLINK(CONCATENATE("#Metadata!", ADDRESS(INDEX($AI$2:$AI$1001,MATCH(ROWS($AG$2:AG40),$AG$2:$AG$1001,0),0), INDEX($AN$1004:$BO$1004,1,MATCH(COLUMNS($AN$1006:BD1006),$AN$1006:$BO$1006,0)))),"Fix")))</f>
        <v>0</v>
      </c>
      <c r="S40" s="4">
        <f>IF(OR(INDEX($AH$2:$AH$1001,MATCH(ROWS($AG$2:AG40),$AG$2:$AG$1001,0),1)&gt;=100000,INDEX($AN$1005:$BO$1005,1,MATCH(COLUMNS($AN$1006:BE1006),$AN$1006:$BO$1006,0))&gt;=100000), " ",IF(INDEX($AN$2:$BO$1001,MATCH(ROWS($AG$2:AG40),$AG$2:$AG$1001,0),MATCH(COLUMNS($AN$1006:BE1006),$AN$1006:$BO$1006,0)), HYPERLINK("#",""), HYPERLINK(CONCATENATE("#Metadata!", ADDRESS(INDEX($AI$2:$AI$1001,MATCH(ROWS($AG$2:AG40),$AG$2:$AG$1001,0),0), INDEX($AN$1004:$BO$1004,1,MATCH(COLUMNS($AN$1006:BE1006),$AN$1006:$BO$1006,0)))),"Fix")))</f>
        <v>0</v>
      </c>
      <c r="T40" s="4">
        <f>IF(OR(INDEX($AH$2:$AH$1001,MATCH(ROWS($AG$2:AG40),$AG$2:$AG$1001,0),1)&gt;=100000,INDEX($AN$1005:$BO$1005,1,MATCH(COLUMNS($AN$1006:BF1006),$AN$1006:$BO$1006,0))&gt;=100000), " ",IF(INDEX($AN$2:$BO$1001,MATCH(ROWS($AG$2:AG40),$AG$2:$AG$1001,0),MATCH(COLUMNS($AN$1006:BF1006),$AN$1006:$BO$1006,0)), HYPERLINK("#",""), HYPERLINK(CONCATENATE("#Metadata!", ADDRESS(INDEX($AI$2:$AI$1001,MATCH(ROWS($AG$2:AG40),$AG$2:$AG$1001,0),0), INDEX($AN$1004:$BO$1004,1,MATCH(COLUMNS($AN$1006:BF1006),$AN$1006:$BO$1006,0)))),"Fix")))</f>
        <v>0</v>
      </c>
      <c r="U40" s="4">
        <f>IF(OR(INDEX($AH$2:$AH$1001,MATCH(ROWS($AG$2:AG40),$AG$2:$AG$1001,0),1)&gt;=100000,INDEX($AN$1005:$BO$1005,1,MATCH(COLUMNS($AN$1006:BG1006),$AN$1006:$BO$1006,0))&gt;=100000), " ",IF(INDEX($AN$2:$BO$1001,MATCH(ROWS($AG$2:AG40),$AG$2:$AG$1001,0),MATCH(COLUMNS($AN$1006:BG1006),$AN$1006:$BO$1006,0)), HYPERLINK("#",""), HYPERLINK(CONCATENATE("#Metadata!", ADDRESS(INDEX($AI$2:$AI$1001,MATCH(ROWS($AG$2:AG40),$AG$2:$AG$1001,0),0), INDEX($AN$1004:$BO$1004,1,MATCH(COLUMNS($AN$1006:BG1006),$AN$1006:$BO$1006,0)))),"Fix")))</f>
        <v>0</v>
      </c>
      <c r="V40" s="4">
        <f>IF(OR(INDEX($AH$2:$AH$1001,MATCH(ROWS($AG$2:AG40),$AG$2:$AG$1001,0),1)&gt;=100000,INDEX($AN$1005:$BO$1005,1,MATCH(COLUMNS($AN$1006:BH1006),$AN$1006:$BO$1006,0))&gt;=100000), " ",IF(INDEX($AN$2:$BO$1001,MATCH(ROWS($AG$2:AG40),$AG$2:$AG$1001,0),MATCH(COLUMNS($AN$1006:BH1006),$AN$1006:$BO$1006,0)), HYPERLINK("#",""), HYPERLINK(CONCATENATE("#Metadata!", ADDRESS(INDEX($AI$2:$AI$1001,MATCH(ROWS($AG$2:AG40),$AG$2:$AG$1001,0),0), INDEX($AN$1004:$BO$1004,1,MATCH(COLUMNS($AN$1006:BH1006),$AN$1006:$BO$1006,0)))),"Fix")))</f>
        <v>0</v>
      </c>
      <c r="W40" s="4">
        <f>IF(OR(INDEX($AH$2:$AH$1001,MATCH(ROWS($AG$2:AG40),$AG$2:$AG$1001,0),1)&gt;=100000,INDEX($AN$1005:$BO$1005,1,MATCH(COLUMNS($AN$1006:BI1006),$AN$1006:$BO$1006,0))&gt;=100000), " ",IF(INDEX($AN$2:$BO$1001,MATCH(ROWS($AG$2:AG40),$AG$2:$AG$1001,0),MATCH(COLUMNS($AN$1006:BI1006),$AN$1006:$BO$1006,0)), HYPERLINK("#",""), HYPERLINK(CONCATENATE("#Metadata!", ADDRESS(INDEX($AI$2:$AI$1001,MATCH(ROWS($AG$2:AG40),$AG$2:$AG$1001,0),0), INDEX($AN$1004:$BO$1004,1,MATCH(COLUMNS($AN$1006:BI1006),$AN$1006:$BO$1006,0)))),"Fix")))</f>
        <v>0</v>
      </c>
      <c r="X40" s="4">
        <f>IF(OR(INDEX($AH$2:$AH$1001,MATCH(ROWS($AG$2:AG40),$AG$2:$AG$1001,0),1)&gt;=100000,INDEX($AN$1005:$BO$1005,1,MATCH(COLUMNS($AN$1006:BJ1006),$AN$1006:$BO$1006,0))&gt;=100000), " ",IF(INDEX($AN$2:$BO$1001,MATCH(ROWS($AG$2:AG40),$AG$2:$AG$1001,0),MATCH(COLUMNS($AN$1006:BJ1006),$AN$1006:$BO$1006,0)), HYPERLINK("#",""), HYPERLINK(CONCATENATE("#Metadata!", ADDRESS(INDEX($AI$2:$AI$1001,MATCH(ROWS($AG$2:AG40),$AG$2:$AG$1001,0),0), INDEX($AN$1004:$BO$1004,1,MATCH(COLUMNS($AN$1006:BJ1006),$AN$1006:$BO$1006,0)))),"Fix")))</f>
        <v>0</v>
      </c>
      <c r="Y40" s="4">
        <f>IF(OR(INDEX($AH$2:$AH$1001,MATCH(ROWS($AG$2:AG40),$AG$2:$AG$1001,0),1)&gt;=100000,INDEX($AN$1005:$BO$1005,1,MATCH(COLUMNS($AN$1006:BK1006),$AN$1006:$BO$1006,0))&gt;=100000), " ",IF(INDEX($AN$2:$BO$1001,MATCH(ROWS($AG$2:AG40),$AG$2:$AG$1001,0),MATCH(COLUMNS($AN$1006:BK1006),$AN$1006:$BO$1006,0)), HYPERLINK("#",""), HYPERLINK(CONCATENATE("#Metadata!", ADDRESS(INDEX($AI$2:$AI$1001,MATCH(ROWS($AG$2:AG40),$AG$2:$AG$1001,0),0), INDEX($AN$1004:$BO$1004,1,MATCH(COLUMNS($AN$1006:BK1006),$AN$1006:$BO$1006,0)))),"Fix")))</f>
        <v>0</v>
      </c>
      <c r="Z40" s="4">
        <f>IF(OR(INDEX($AH$2:$AH$1001,MATCH(ROWS($AG$2:AG40),$AG$2:$AG$1001,0),1)&gt;=100000,INDEX($AN$1005:$BO$1005,1,MATCH(COLUMNS($AN$1006:BL1006),$AN$1006:$BO$1006,0))&gt;=100000), " ",IF(INDEX($AN$2:$BO$1001,MATCH(ROWS($AG$2:AG40),$AG$2:$AG$1001,0),MATCH(COLUMNS($AN$1006:BL1006),$AN$1006:$BO$1006,0)), HYPERLINK("#",""), HYPERLINK(CONCATENATE("#Metadata!", ADDRESS(INDEX($AI$2:$AI$1001,MATCH(ROWS($AG$2:AG40),$AG$2:$AG$1001,0),0), INDEX($AN$1004:$BO$1004,1,MATCH(COLUMNS($AN$1006:BL1006),$AN$1006:$BO$1006,0)))),"Fix")))</f>
        <v>0</v>
      </c>
      <c r="AA40" s="4">
        <f>IF(OR(INDEX($AH$2:$AH$1001,MATCH(ROWS($AG$2:AG40),$AG$2:$AG$1001,0),1)&gt;=100000,INDEX($AN$1005:$BO$1005,1,MATCH(COLUMNS($AN$1006:BM1006),$AN$1006:$BO$1006,0))&gt;=100000), " ",IF(INDEX($AN$2:$BO$1001,MATCH(ROWS($AG$2:AG40),$AG$2:$AG$1001,0),MATCH(COLUMNS($AN$1006:BM1006),$AN$1006:$BO$1006,0)), HYPERLINK("#",""), HYPERLINK(CONCATENATE("#Metadata!", ADDRESS(INDEX($AI$2:$AI$1001,MATCH(ROWS($AG$2:AG40),$AG$2:$AG$1001,0),0), INDEX($AN$1004:$BO$1004,1,MATCH(COLUMNS($AN$1006:BM1006),$AN$1006:$BO$1006,0)))),"Fix")))</f>
        <v>0</v>
      </c>
      <c r="AB40" s="4">
        <f>IF(OR(INDEX($AH$2:$AH$1001,MATCH(ROWS($AG$2:AG40),$AG$2:$AG$1001,0),1)&gt;=100000,INDEX($AN$1005:$BO$1005,1,MATCH(COLUMNS($AN$1006:BN1006),$AN$1006:$BO$1006,0))&gt;=100000), " ",IF(INDEX($AN$2:$BO$1001,MATCH(ROWS($AG$2:AG40),$AG$2:$AG$1001,0),MATCH(COLUMNS($AN$1006:BN1006),$AN$1006:$BO$1006,0)), HYPERLINK("#",""), HYPERLINK(CONCATENATE("#Metadata!", ADDRESS(INDEX($AI$2:$AI$1001,MATCH(ROWS($AG$2:AG40),$AG$2:$AG$1001,0),0), INDEX($AN$1004:$BO$1004,1,MATCH(COLUMNS($AN$1006:BN1006),$AN$1006:$BO$1006,0)))),"Fix")))</f>
        <v>0</v>
      </c>
      <c r="AC40" s="4">
        <f>IF(OR(INDEX($AH$2:$AH$1001,MATCH(ROWS($AG$2:AG40),$AG$2:$AG$1001,0),1)&gt;=100000,INDEX($AN$1005:$BO$1005,1,MATCH(COLUMNS($AN$1006:BO1006),$AN$1006:$BO$1006,0))&gt;=100000), " ",IF(INDEX($AN$2:$BO$1001,MATCH(ROWS($AG$2:AG40),$AG$2:$AG$1001,0),MATCH(COLUMNS($AN$1006:BO1006),$AN$1006:$BO$1006,0)), HYPERLINK("#",""), HYPERLINK(CONCATENATE("#Metadata!", ADDRESS(INDEX($AI$2:$AI$1001,MATCH(ROWS($AG$2:AG40),$AG$2:$AG$1001,0),0), INDEX($AN$1004:$BO$1004,1,MATCH(COLUMNS($AN$1006:BO1006),$AN$1006:$BO$1006,0)))),"Fix")))</f>
        <v>0</v>
      </c>
      <c r="AG40">
        <v>0</v>
      </c>
      <c r="AH40">
        <v>0</v>
      </c>
      <c r="AI40">
        <v>0</v>
      </c>
      <c r="AJ40">
        <f>IF(AK40,TRUE,AND(AN40:BO40))</f>
        <v>0</v>
      </c>
      <c r="AK40">
        <f>COUNTBLANK(Metadata!B40:AC40)=COLUMNS(Metadata!B40:AC40)</f>
        <v>0</v>
      </c>
      <c r="AL40">
        <v>0</v>
      </c>
      <c r="AN40">
        <f>AND(IF(Metadata!B40="",FALSE,TRUE),COUNTIF(Metadata!B:B, Metadata!B40) = 1,NOT(ISERROR(SUMPRODUCT(SEARCH(MID(Metadata!B40,ROW(INDIRECT("1:"&amp;LEN(Metadata!B40))), 1),"0123456789abcdefghijklmnopqrstuvwxyzABCDEFGHIJKLMNOPQRSTUVWXYZ.")))))</f>
        <v>0</v>
      </c>
      <c r="AO40">
        <f>IF(Metadata!C40="",FALSE,TRUE)</f>
        <v>0</v>
      </c>
      <c r="AP40">
        <f>IF(Metadata!D40="",FALSE,TRUE)</f>
        <v>0</v>
      </c>
      <c r="AQ40">
        <f>OR(AND(IF(Metadata!E40="",FALSE,TRUE),OR(exact(Metadata!E40,"not collected"),exact(Metadata!E40,"not provided"),exact(Metadata!E40,"restricted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R40">
        <f>IF(Metadata!F40="",FALSE,TRUE)</f>
        <v>0</v>
      </c>
      <c r="AS40">
        <f>OR(AND(IF(Metadata!G40="",FALSE,TRUE),OR(exact(Metadata!G40,"not collected"),exact(Metadata!G40,"not provided"))),AND(IF(Metadata!G40="",FALSE,TRUE),OR(exact(Metadata!G40,"TRUE"),exact(Metadata!G40,"FALSE"))))</f>
        <v>0</v>
      </c>
      <c r="AT40">
        <f>OR(AND(IF(Metadata!H40="",FALSE,TRUE),OR(exact(Metadata!H40,"not collected"),exact(Metadata!H40,"not provided"),exact(Metadata!H40,"restricted access"))),AND(IF(Metadata!H40="",FALSE,ISNUMBER(VALUE(Metadata!H40))),Metadata!H40&gt;=-413.0))</f>
        <v>0</v>
      </c>
      <c r="AU40">
        <f>AND(IF(Metadata!I40="",FALSE,TRUE),exact(Metadata!I40,"meters"))</f>
        <v>0</v>
      </c>
      <c r="AV40">
        <f>AND(IF(Metadata!J40="",FALSE,TRUE),OR(exact(Metadata!J40,"Host-associated"),exact(Metadata!J40,"Free-living")))</f>
        <v>0</v>
      </c>
      <c r="AW40">
        <f>AND(IF(Metadata!K40="",FALSE,TRUE),OR(exact(Metadata!K40,"Animal"),exact(Metadata!K40,"Fungus"),exact(Metadata!K40,"Plant"),exact(Metadata!K40,"Saline"),exact(Metadata!K40,"Non-saline")))</f>
        <v>0</v>
      </c>
      <c r="AX40">
        <f>AND(IF(Metadata!L40="",FALSE,TRUE),OR(exact(Metadata!L40,"Plant secretion"),exact(Metadata!L40,"Plant rhizosphere"),exact(Metadata!L40,"Plant surface"),exact(Metadata!L40,"Plant corpus"),exact(Metadata!L40,"Fungus surface"),exact(Metadata!L40,"Fungus corpus"),exact(Metadata!L40,"Animal surface"),exact(Metadata!L40,"Animal proximal gut"),exact(Metadata!L40,"Animal corpus"),exact(Metadata!L40,"Animal distal gut"),exact(Metadata!L40,"Animal secretion"),exact(Metadata!L40,"Sub-surface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0</v>
      </c>
      <c r="AY40">
        <f>IF(Metadata!M40="",FALSE,TRUE)</f>
        <v>0</v>
      </c>
      <c r="AZ40">
        <f>IF(Metadata!N40="",FALSE,TRUE)</f>
        <v>0</v>
      </c>
      <c r="BA40">
        <f>IF(Metadata!O40="",FALSE,TRUE)</f>
        <v>0</v>
      </c>
      <c r="BB40">
        <f>OR(AND(IF(Metadata!P40="",FALSE,TRUE),OR(exact(Metadata!P40,"not collected"),exact(Metadata!P40,"not provided"),exact(Metadata!P40,"restricted access"))),AND(IF(Metadata!P40="",FALSE,TRUE),OR(exact(Metadata!P40,"air"),exact(Metadata!P40,"built environment"),exact(Metadata!P40,"host-associated"),exact(Metadata!P40,"human-associated"),exact(Metadata!P40,"human-skin"),exact(Metadata!P40,"human-oral"),exact(Metadata!P40,"human-gut"),exact(Metadata!P40,"human-vaginal"),exact(Metadata!P40,"microbial mat/biofilm"),exact(Metadata!P40,"misc environment"),exact(Metadata!P40,"plant-associated"),exact(Metadata!P40,"sediment"),exact(Metadata!P40,"soil"),exact(Metadata!P40,"wastewater/sludge"),exact(Metadata!P40,"water"))))</f>
        <v>0</v>
      </c>
      <c r="BC40">
        <f>IF(Metadata!Q40="",FALSE,TRUE)</f>
        <v>0</v>
      </c>
      <c r="BD40">
        <f>IF(Metadata!R40="",FALSE,TRUE)</f>
        <v>0</v>
      </c>
      <c r="BE40">
        <f>OR(AND(IF(Metadata!S40="",FALSE,TRUE),OR(exact(Metadata!S40,"not collected"),exact(Metadata!S40,"not provided"),exact(Metadata!S40,"restricted access"))),AND(IF(Metadata!S40="",FALSE,ISNUMBER(VALUE(Metadata!S40))),Metadata!S40&gt;=-90.00,Metadata!S40&lt;=90.00))</f>
        <v>0</v>
      </c>
      <c r="BF40">
        <f>AND(IF(Metadata!T40="",FALSE,TRUE),exact(Metadata!T40,"Decimal degrees"))</f>
        <v>0</v>
      </c>
      <c r="BG40">
        <f>OR(AND(IF(Metadata!U40="",FALSE,TRUE),OR(exact(Metadata!U40,"not collected"),exact(Metadata!U40,"not provided"),exact(Metadata!U40,"restricted access"))),AND(IF(Metadata!U40="",FALSE,ISNUMBER(VALUE(Metadata!U40))),Metadata!U40&gt;=-180.00,Metadata!U40&lt;=180.00))</f>
        <v>0</v>
      </c>
      <c r="BH40">
        <f>AND(IF(Metadata!V40="",FALSE,TRUE),exact(Metadata!V40,"Decimal degrees"))</f>
        <v>0</v>
      </c>
      <c r="BI40">
        <f>IF(Metadata!W40="",FALSE,TRUE)</f>
        <v>0</v>
      </c>
      <c r="BJ40">
        <f>OR(AND(IF(Metadata!X40="",FALSE,TRUE),OR(exact(Metadata!X40,"not collected"),exact(Metadata!X40,"not provided"),exact(Metadata!X40,"restricted access"))),AND(IF(Metadata!X40="",FALSE,TRUE),OR(exact(Metadata!X40,"TRUE"),exact(Metadata!X40,"FALSE"))))</f>
        <v>0</v>
      </c>
      <c r="BK40">
        <f>AND(IF(Metadata!Y40="",FALSE,TRUE),exact(Metadata!Y40,"other"))</f>
        <v>0</v>
      </c>
      <c r="BL40">
        <f>IF(Metadata!Z40="",FALSE,TRUE)</f>
        <v>0</v>
      </c>
      <c r="BM40">
        <f>OR(AND(IF(Metadata!AA40="",FALSE,TRUE),OR(exact(Metadata!AA40,"not collected"),exact(Metadata!AA40,"not provided"))),AND(IF(Metadata!AA40="",FALSE,IF(ISERROR(INT(Metadata!AA40)),FALSE,INT(Metadata!AA40)=Metadata!AA40)),Metadata!AA40&gt;0))</f>
        <v>0</v>
      </c>
      <c r="BN40">
        <f>AND(IF(Metadata!AB40="",FALSE,TRUE),exact(Metadata!AB40,"Not applicable"))</f>
        <v>0</v>
      </c>
      <c r="BO40">
        <f>IF(Metadata!AC40="",FALSE,TRUE)</f>
        <v>0</v>
      </c>
    </row>
    <row r="41" spans="1:67">
      <c r="A41" s="5">
        <f>IF(B41=" "," ",HYPERLINK(CONCATENATE("#metadata!",ADDRESS(INDEX($AI$2:$AI$1001,MATCH(ROWS($AG$2:AG41),$AG$2:$AG$1001,0),0),1)),INDEX($AL$2:$AL$1001,MATCH(ROWS($AG$2:AG41),$AG$2:$AG$1001,0),0)))</f>
        <v>0</v>
      </c>
      <c r="B41" s="4">
        <f>IF(OR(INDEX($AH$2:$AH$1001,MATCH(ROWS($AG$2:AG41),$AG$2:$AG$1001,0),1)&gt;=100000,INDEX($AN$1005:$BO$1005,1,MATCH(COLUMNS($AN$1006:AN1006),$AN$1006:$BO$1006,0))&gt;=100000), " ",IF(INDEX($AN$2:$BO$1001,MATCH(ROWS($AG$2:AG41),$AG$2:$AG$1001,0),MATCH(COLUMNS($AN$1006:AN1006),$AN$1006:$BO$1006,0)), HYPERLINK("#",""), HYPERLINK(CONCATENATE("#Metadata!", ADDRESS(INDEX($AI$2:$AI$1001,MATCH(ROWS($AG$2:AG41),$AG$2:$AG$1001,0),0), INDEX($AN$1004:$BO$1004,1,MATCH(COLUMNS($AN$1006:AN1006),$AN$1006:$BO$1006,0)))),"Fix")))</f>
        <v>0</v>
      </c>
      <c r="C41" s="4">
        <f>IF(OR(INDEX($AH$2:$AH$1001,MATCH(ROWS($AG$2:AG41),$AG$2:$AG$1001,0),1)&gt;=100000,INDEX($AN$1005:$BO$1005,1,MATCH(COLUMNS($AN$1006:AO1006),$AN$1006:$BO$1006,0))&gt;=100000), " ",IF(INDEX($AN$2:$BO$1001,MATCH(ROWS($AG$2:AG41),$AG$2:$AG$1001,0),MATCH(COLUMNS($AN$1006:AO1006),$AN$1006:$BO$1006,0)), HYPERLINK("#",""), HYPERLINK(CONCATENATE("#Metadata!", ADDRESS(INDEX($AI$2:$AI$1001,MATCH(ROWS($AG$2:AG41),$AG$2:$AG$1001,0),0), INDEX($AN$1004:$BO$1004,1,MATCH(COLUMNS($AN$1006:AO1006),$AN$1006:$BO$1006,0)))),"Fix")))</f>
        <v>0</v>
      </c>
      <c r="D41" s="4">
        <f>IF(OR(INDEX($AH$2:$AH$1001,MATCH(ROWS($AG$2:AG41),$AG$2:$AG$1001,0),1)&gt;=100000,INDEX($AN$1005:$BO$1005,1,MATCH(COLUMNS($AN$1006:AP1006),$AN$1006:$BO$1006,0))&gt;=100000), " ",IF(INDEX($AN$2:$BO$1001,MATCH(ROWS($AG$2:AG41),$AG$2:$AG$1001,0),MATCH(COLUMNS($AN$1006:AP1006),$AN$1006:$BO$1006,0)), HYPERLINK("#",""), HYPERLINK(CONCATENATE("#Metadata!", ADDRESS(INDEX($AI$2:$AI$1001,MATCH(ROWS($AG$2:AG41),$AG$2:$AG$1001,0),0), INDEX($AN$1004:$BO$1004,1,MATCH(COLUMNS($AN$1006:AP1006),$AN$1006:$BO$1006,0)))),"Fix")))</f>
        <v>0</v>
      </c>
      <c r="E41" s="4">
        <f>IF(OR(INDEX($AH$2:$AH$1001,MATCH(ROWS($AG$2:AG41),$AG$2:$AG$1001,0),1)&gt;=100000,INDEX($AN$1005:$BO$1005,1,MATCH(COLUMNS($AN$1006:AQ1006),$AN$1006:$BO$1006,0))&gt;=100000), " ",IF(INDEX($AN$2:$BO$1001,MATCH(ROWS($AG$2:AG41),$AG$2:$AG$1001,0),MATCH(COLUMNS($AN$1006:AQ1006),$AN$1006:$BO$1006,0)), HYPERLINK("#",""), HYPERLINK(CONCATENATE("#Metadata!", ADDRESS(INDEX($AI$2:$AI$1001,MATCH(ROWS($AG$2:AG41),$AG$2:$AG$1001,0),0), INDEX($AN$1004:$BO$1004,1,MATCH(COLUMNS($AN$1006:AQ1006),$AN$1006:$BO$1006,0)))),"Fix")))</f>
        <v>0</v>
      </c>
      <c r="F41" s="4">
        <f>IF(OR(INDEX($AH$2:$AH$1001,MATCH(ROWS($AG$2:AG41),$AG$2:$AG$1001,0),1)&gt;=100000,INDEX($AN$1005:$BO$1005,1,MATCH(COLUMNS($AN$1006:AR1006),$AN$1006:$BO$1006,0))&gt;=100000), " ",IF(INDEX($AN$2:$BO$1001,MATCH(ROWS($AG$2:AG41),$AG$2:$AG$1001,0),MATCH(COLUMNS($AN$1006:AR1006),$AN$1006:$BO$1006,0)), HYPERLINK("#",""), HYPERLINK(CONCATENATE("#Metadata!", ADDRESS(INDEX($AI$2:$AI$1001,MATCH(ROWS($AG$2:AG41),$AG$2:$AG$1001,0),0), INDEX($AN$1004:$BO$1004,1,MATCH(COLUMNS($AN$1006:AR1006),$AN$1006:$BO$1006,0)))),"Fix")))</f>
        <v>0</v>
      </c>
      <c r="G41" s="4">
        <f>IF(OR(INDEX($AH$2:$AH$1001,MATCH(ROWS($AG$2:AG41),$AG$2:$AG$1001,0),1)&gt;=100000,INDEX($AN$1005:$BO$1005,1,MATCH(COLUMNS($AN$1006:AS1006),$AN$1006:$BO$1006,0))&gt;=100000), " ",IF(INDEX($AN$2:$BO$1001,MATCH(ROWS($AG$2:AG41),$AG$2:$AG$1001,0),MATCH(COLUMNS($AN$1006:AS1006),$AN$1006:$BO$1006,0)), HYPERLINK("#",""), HYPERLINK(CONCATENATE("#Metadata!", ADDRESS(INDEX($AI$2:$AI$1001,MATCH(ROWS($AG$2:AG41),$AG$2:$AG$1001,0),0), INDEX($AN$1004:$BO$1004,1,MATCH(COLUMNS($AN$1006:AS1006),$AN$1006:$BO$1006,0)))),"Fix")))</f>
        <v>0</v>
      </c>
      <c r="H41" s="4">
        <f>IF(OR(INDEX($AH$2:$AH$1001,MATCH(ROWS($AG$2:AG41),$AG$2:$AG$1001,0),1)&gt;=100000,INDEX($AN$1005:$BO$1005,1,MATCH(COLUMNS($AN$1006:AT1006),$AN$1006:$BO$1006,0))&gt;=100000), " ",IF(INDEX($AN$2:$BO$1001,MATCH(ROWS($AG$2:AG41),$AG$2:$AG$1001,0),MATCH(COLUMNS($AN$1006:AT1006),$AN$1006:$BO$1006,0)), HYPERLINK("#",""), HYPERLINK(CONCATENATE("#Metadata!", ADDRESS(INDEX($AI$2:$AI$1001,MATCH(ROWS($AG$2:AG41),$AG$2:$AG$1001,0),0), INDEX($AN$1004:$BO$1004,1,MATCH(COLUMNS($AN$1006:AT1006),$AN$1006:$BO$1006,0)))),"Fix")))</f>
        <v>0</v>
      </c>
      <c r="I41" s="4">
        <f>IF(OR(INDEX($AH$2:$AH$1001,MATCH(ROWS($AG$2:AG41),$AG$2:$AG$1001,0),1)&gt;=100000,INDEX($AN$1005:$BO$1005,1,MATCH(COLUMNS($AN$1006:AU1006),$AN$1006:$BO$1006,0))&gt;=100000), " ",IF(INDEX($AN$2:$BO$1001,MATCH(ROWS($AG$2:AG41),$AG$2:$AG$1001,0),MATCH(COLUMNS($AN$1006:AU1006),$AN$1006:$BO$1006,0)), HYPERLINK("#",""), HYPERLINK(CONCATENATE("#Metadata!", ADDRESS(INDEX($AI$2:$AI$1001,MATCH(ROWS($AG$2:AG41),$AG$2:$AG$1001,0),0), INDEX($AN$1004:$BO$1004,1,MATCH(COLUMNS($AN$1006:AU1006),$AN$1006:$BO$1006,0)))),"Fix")))</f>
        <v>0</v>
      </c>
      <c r="J41" s="4">
        <f>IF(OR(INDEX($AH$2:$AH$1001,MATCH(ROWS($AG$2:AG41),$AG$2:$AG$1001,0),1)&gt;=100000,INDEX($AN$1005:$BO$1005,1,MATCH(COLUMNS($AN$1006:AV1006),$AN$1006:$BO$1006,0))&gt;=100000), " ",IF(INDEX($AN$2:$BO$1001,MATCH(ROWS($AG$2:AG41),$AG$2:$AG$1001,0),MATCH(COLUMNS($AN$1006:AV1006),$AN$1006:$BO$1006,0)), HYPERLINK("#",""), HYPERLINK(CONCATENATE("#Metadata!", ADDRESS(INDEX($AI$2:$AI$1001,MATCH(ROWS($AG$2:AG41),$AG$2:$AG$1001,0),0), INDEX($AN$1004:$BO$1004,1,MATCH(COLUMNS($AN$1006:AV1006),$AN$1006:$BO$1006,0)))),"Fix")))</f>
        <v>0</v>
      </c>
      <c r="K41" s="4">
        <f>IF(OR(INDEX($AH$2:$AH$1001,MATCH(ROWS($AG$2:AG41),$AG$2:$AG$1001,0),1)&gt;=100000,INDEX($AN$1005:$BO$1005,1,MATCH(COLUMNS($AN$1006:AW1006),$AN$1006:$BO$1006,0))&gt;=100000), " ",IF(INDEX($AN$2:$BO$1001,MATCH(ROWS($AG$2:AG41),$AG$2:$AG$1001,0),MATCH(COLUMNS($AN$1006:AW1006),$AN$1006:$BO$1006,0)), HYPERLINK("#",""), HYPERLINK(CONCATENATE("#Metadata!", ADDRESS(INDEX($AI$2:$AI$1001,MATCH(ROWS($AG$2:AG41),$AG$2:$AG$1001,0),0), INDEX($AN$1004:$BO$1004,1,MATCH(COLUMNS($AN$1006:AW1006),$AN$1006:$BO$1006,0)))),"Fix")))</f>
        <v>0</v>
      </c>
      <c r="L41" s="4">
        <f>IF(OR(INDEX($AH$2:$AH$1001,MATCH(ROWS($AG$2:AG41),$AG$2:$AG$1001,0),1)&gt;=100000,INDEX($AN$1005:$BO$1005,1,MATCH(COLUMNS($AN$1006:AX1006),$AN$1006:$BO$1006,0))&gt;=100000), " ",IF(INDEX($AN$2:$BO$1001,MATCH(ROWS($AG$2:AG41),$AG$2:$AG$1001,0),MATCH(COLUMNS($AN$1006:AX1006),$AN$1006:$BO$1006,0)), HYPERLINK("#",""), HYPERLINK(CONCATENATE("#Metadata!", ADDRESS(INDEX($AI$2:$AI$1001,MATCH(ROWS($AG$2:AG41),$AG$2:$AG$1001,0),0), INDEX($AN$1004:$BO$1004,1,MATCH(COLUMNS($AN$1006:AX1006),$AN$1006:$BO$1006,0)))),"Fix")))</f>
        <v>0</v>
      </c>
      <c r="M41" s="4">
        <f>IF(OR(INDEX($AH$2:$AH$1001,MATCH(ROWS($AG$2:AG41),$AG$2:$AG$1001,0),1)&gt;=100000,INDEX($AN$1005:$BO$1005,1,MATCH(COLUMNS($AN$1006:AY1006),$AN$1006:$BO$1006,0))&gt;=100000), " ",IF(INDEX($AN$2:$BO$1001,MATCH(ROWS($AG$2:AG41),$AG$2:$AG$1001,0),MATCH(COLUMNS($AN$1006:AY1006),$AN$1006:$BO$1006,0)), HYPERLINK("#",""), HYPERLINK(CONCATENATE("#Metadata!", ADDRESS(INDEX($AI$2:$AI$1001,MATCH(ROWS($AG$2:AG41),$AG$2:$AG$1001,0),0), INDEX($AN$1004:$BO$1004,1,MATCH(COLUMNS($AN$1006:AY1006),$AN$1006:$BO$1006,0)))),"Fix")))</f>
        <v>0</v>
      </c>
      <c r="N41" s="4">
        <f>IF(OR(INDEX($AH$2:$AH$1001,MATCH(ROWS($AG$2:AG41),$AG$2:$AG$1001,0),1)&gt;=100000,INDEX($AN$1005:$BO$1005,1,MATCH(COLUMNS($AN$1006:AZ1006),$AN$1006:$BO$1006,0))&gt;=100000), " ",IF(INDEX($AN$2:$BO$1001,MATCH(ROWS($AG$2:AG41),$AG$2:$AG$1001,0),MATCH(COLUMNS($AN$1006:AZ1006),$AN$1006:$BO$1006,0)), HYPERLINK("#",""), HYPERLINK(CONCATENATE("#Metadata!", ADDRESS(INDEX($AI$2:$AI$1001,MATCH(ROWS($AG$2:AG41),$AG$2:$AG$1001,0),0), INDEX($AN$1004:$BO$1004,1,MATCH(COLUMNS($AN$1006:AZ1006),$AN$1006:$BO$1006,0)))),"Fix")))</f>
        <v>0</v>
      </c>
      <c r="O41" s="4">
        <f>IF(OR(INDEX($AH$2:$AH$1001,MATCH(ROWS($AG$2:AG41),$AG$2:$AG$1001,0),1)&gt;=100000,INDEX($AN$1005:$BO$1005,1,MATCH(COLUMNS($AN$1006:BA1006),$AN$1006:$BO$1006,0))&gt;=100000), " ",IF(INDEX($AN$2:$BO$1001,MATCH(ROWS($AG$2:AG41),$AG$2:$AG$1001,0),MATCH(COLUMNS($AN$1006:BA1006),$AN$1006:$BO$1006,0)), HYPERLINK("#",""), HYPERLINK(CONCATENATE("#Metadata!", ADDRESS(INDEX($AI$2:$AI$1001,MATCH(ROWS($AG$2:AG41),$AG$2:$AG$1001,0),0), INDEX($AN$1004:$BO$1004,1,MATCH(COLUMNS($AN$1006:BA1006),$AN$1006:$BO$1006,0)))),"Fix")))</f>
        <v>0</v>
      </c>
      <c r="P41" s="4">
        <f>IF(OR(INDEX($AH$2:$AH$1001,MATCH(ROWS($AG$2:AG41),$AG$2:$AG$1001,0),1)&gt;=100000,INDEX($AN$1005:$BO$1005,1,MATCH(COLUMNS($AN$1006:BB1006),$AN$1006:$BO$1006,0))&gt;=100000), " ",IF(INDEX($AN$2:$BO$1001,MATCH(ROWS($AG$2:AG41),$AG$2:$AG$1001,0),MATCH(COLUMNS($AN$1006:BB1006),$AN$1006:$BO$1006,0)), HYPERLINK("#",""), HYPERLINK(CONCATENATE("#Metadata!", ADDRESS(INDEX($AI$2:$AI$1001,MATCH(ROWS($AG$2:AG41),$AG$2:$AG$1001,0),0), INDEX($AN$1004:$BO$1004,1,MATCH(COLUMNS($AN$1006:BB1006),$AN$1006:$BO$1006,0)))),"Fix")))</f>
        <v>0</v>
      </c>
      <c r="Q41" s="4">
        <f>IF(OR(INDEX($AH$2:$AH$1001,MATCH(ROWS($AG$2:AG41),$AG$2:$AG$1001,0),1)&gt;=100000,INDEX($AN$1005:$BO$1005,1,MATCH(COLUMNS($AN$1006:BC1006),$AN$1006:$BO$1006,0))&gt;=100000), " ",IF(INDEX($AN$2:$BO$1001,MATCH(ROWS($AG$2:AG41),$AG$2:$AG$1001,0),MATCH(COLUMNS($AN$1006:BC1006),$AN$1006:$BO$1006,0)), HYPERLINK("#",""), HYPERLINK(CONCATENATE("#Metadata!", ADDRESS(INDEX($AI$2:$AI$1001,MATCH(ROWS($AG$2:AG41),$AG$2:$AG$1001,0),0), INDEX($AN$1004:$BO$1004,1,MATCH(COLUMNS($AN$1006:BC1006),$AN$1006:$BO$1006,0)))),"Fix")))</f>
        <v>0</v>
      </c>
      <c r="R41" s="4">
        <f>IF(OR(INDEX($AH$2:$AH$1001,MATCH(ROWS($AG$2:AG41),$AG$2:$AG$1001,0),1)&gt;=100000,INDEX($AN$1005:$BO$1005,1,MATCH(COLUMNS($AN$1006:BD1006),$AN$1006:$BO$1006,0))&gt;=100000), " ",IF(INDEX($AN$2:$BO$1001,MATCH(ROWS($AG$2:AG41),$AG$2:$AG$1001,0),MATCH(COLUMNS($AN$1006:BD1006),$AN$1006:$BO$1006,0)), HYPERLINK("#",""), HYPERLINK(CONCATENATE("#Metadata!", ADDRESS(INDEX($AI$2:$AI$1001,MATCH(ROWS($AG$2:AG41),$AG$2:$AG$1001,0),0), INDEX($AN$1004:$BO$1004,1,MATCH(COLUMNS($AN$1006:BD1006),$AN$1006:$BO$1006,0)))),"Fix")))</f>
        <v>0</v>
      </c>
      <c r="S41" s="4">
        <f>IF(OR(INDEX($AH$2:$AH$1001,MATCH(ROWS($AG$2:AG41),$AG$2:$AG$1001,0),1)&gt;=100000,INDEX($AN$1005:$BO$1005,1,MATCH(COLUMNS($AN$1006:BE1006),$AN$1006:$BO$1006,0))&gt;=100000), " ",IF(INDEX($AN$2:$BO$1001,MATCH(ROWS($AG$2:AG41),$AG$2:$AG$1001,0),MATCH(COLUMNS($AN$1006:BE1006),$AN$1006:$BO$1006,0)), HYPERLINK("#",""), HYPERLINK(CONCATENATE("#Metadata!", ADDRESS(INDEX($AI$2:$AI$1001,MATCH(ROWS($AG$2:AG41),$AG$2:$AG$1001,0),0), INDEX($AN$1004:$BO$1004,1,MATCH(COLUMNS($AN$1006:BE1006),$AN$1006:$BO$1006,0)))),"Fix")))</f>
        <v>0</v>
      </c>
      <c r="T41" s="4">
        <f>IF(OR(INDEX($AH$2:$AH$1001,MATCH(ROWS($AG$2:AG41),$AG$2:$AG$1001,0),1)&gt;=100000,INDEX($AN$1005:$BO$1005,1,MATCH(COLUMNS($AN$1006:BF1006),$AN$1006:$BO$1006,0))&gt;=100000), " ",IF(INDEX($AN$2:$BO$1001,MATCH(ROWS($AG$2:AG41),$AG$2:$AG$1001,0),MATCH(COLUMNS($AN$1006:BF1006),$AN$1006:$BO$1006,0)), HYPERLINK("#",""), HYPERLINK(CONCATENATE("#Metadata!", ADDRESS(INDEX($AI$2:$AI$1001,MATCH(ROWS($AG$2:AG41),$AG$2:$AG$1001,0),0), INDEX($AN$1004:$BO$1004,1,MATCH(COLUMNS($AN$1006:BF1006),$AN$1006:$BO$1006,0)))),"Fix")))</f>
        <v>0</v>
      </c>
      <c r="U41" s="4">
        <f>IF(OR(INDEX($AH$2:$AH$1001,MATCH(ROWS($AG$2:AG41),$AG$2:$AG$1001,0),1)&gt;=100000,INDEX($AN$1005:$BO$1005,1,MATCH(COLUMNS($AN$1006:BG1006),$AN$1006:$BO$1006,0))&gt;=100000), " ",IF(INDEX($AN$2:$BO$1001,MATCH(ROWS($AG$2:AG41),$AG$2:$AG$1001,0),MATCH(COLUMNS($AN$1006:BG1006),$AN$1006:$BO$1006,0)), HYPERLINK("#",""), HYPERLINK(CONCATENATE("#Metadata!", ADDRESS(INDEX($AI$2:$AI$1001,MATCH(ROWS($AG$2:AG41),$AG$2:$AG$1001,0),0), INDEX($AN$1004:$BO$1004,1,MATCH(COLUMNS($AN$1006:BG1006),$AN$1006:$BO$1006,0)))),"Fix")))</f>
        <v>0</v>
      </c>
      <c r="V41" s="4">
        <f>IF(OR(INDEX($AH$2:$AH$1001,MATCH(ROWS($AG$2:AG41),$AG$2:$AG$1001,0),1)&gt;=100000,INDEX($AN$1005:$BO$1005,1,MATCH(COLUMNS($AN$1006:BH1006),$AN$1006:$BO$1006,0))&gt;=100000), " ",IF(INDEX($AN$2:$BO$1001,MATCH(ROWS($AG$2:AG41),$AG$2:$AG$1001,0),MATCH(COLUMNS($AN$1006:BH1006),$AN$1006:$BO$1006,0)), HYPERLINK("#",""), HYPERLINK(CONCATENATE("#Metadata!", ADDRESS(INDEX($AI$2:$AI$1001,MATCH(ROWS($AG$2:AG41),$AG$2:$AG$1001,0),0), INDEX($AN$1004:$BO$1004,1,MATCH(COLUMNS($AN$1006:BH1006),$AN$1006:$BO$1006,0)))),"Fix")))</f>
        <v>0</v>
      </c>
      <c r="W41" s="4">
        <f>IF(OR(INDEX($AH$2:$AH$1001,MATCH(ROWS($AG$2:AG41),$AG$2:$AG$1001,0),1)&gt;=100000,INDEX($AN$1005:$BO$1005,1,MATCH(COLUMNS($AN$1006:BI1006),$AN$1006:$BO$1006,0))&gt;=100000), " ",IF(INDEX($AN$2:$BO$1001,MATCH(ROWS($AG$2:AG41),$AG$2:$AG$1001,0),MATCH(COLUMNS($AN$1006:BI1006),$AN$1006:$BO$1006,0)), HYPERLINK("#",""), HYPERLINK(CONCATENATE("#Metadata!", ADDRESS(INDEX($AI$2:$AI$1001,MATCH(ROWS($AG$2:AG41),$AG$2:$AG$1001,0),0), INDEX($AN$1004:$BO$1004,1,MATCH(COLUMNS($AN$1006:BI1006),$AN$1006:$BO$1006,0)))),"Fix")))</f>
        <v>0</v>
      </c>
      <c r="X41" s="4">
        <f>IF(OR(INDEX($AH$2:$AH$1001,MATCH(ROWS($AG$2:AG41),$AG$2:$AG$1001,0),1)&gt;=100000,INDEX($AN$1005:$BO$1005,1,MATCH(COLUMNS($AN$1006:BJ1006),$AN$1006:$BO$1006,0))&gt;=100000), " ",IF(INDEX($AN$2:$BO$1001,MATCH(ROWS($AG$2:AG41),$AG$2:$AG$1001,0),MATCH(COLUMNS($AN$1006:BJ1006),$AN$1006:$BO$1006,0)), HYPERLINK("#",""), HYPERLINK(CONCATENATE("#Metadata!", ADDRESS(INDEX($AI$2:$AI$1001,MATCH(ROWS($AG$2:AG41),$AG$2:$AG$1001,0),0), INDEX($AN$1004:$BO$1004,1,MATCH(COLUMNS($AN$1006:BJ1006),$AN$1006:$BO$1006,0)))),"Fix")))</f>
        <v>0</v>
      </c>
      <c r="Y41" s="4">
        <f>IF(OR(INDEX($AH$2:$AH$1001,MATCH(ROWS($AG$2:AG41),$AG$2:$AG$1001,0),1)&gt;=100000,INDEX($AN$1005:$BO$1005,1,MATCH(COLUMNS($AN$1006:BK1006),$AN$1006:$BO$1006,0))&gt;=100000), " ",IF(INDEX($AN$2:$BO$1001,MATCH(ROWS($AG$2:AG41),$AG$2:$AG$1001,0),MATCH(COLUMNS($AN$1006:BK1006),$AN$1006:$BO$1006,0)), HYPERLINK("#",""), HYPERLINK(CONCATENATE("#Metadata!", ADDRESS(INDEX($AI$2:$AI$1001,MATCH(ROWS($AG$2:AG41),$AG$2:$AG$1001,0),0), INDEX($AN$1004:$BO$1004,1,MATCH(COLUMNS($AN$1006:BK1006),$AN$1006:$BO$1006,0)))),"Fix")))</f>
        <v>0</v>
      </c>
      <c r="Z41" s="4">
        <f>IF(OR(INDEX($AH$2:$AH$1001,MATCH(ROWS($AG$2:AG41),$AG$2:$AG$1001,0),1)&gt;=100000,INDEX($AN$1005:$BO$1005,1,MATCH(COLUMNS($AN$1006:BL1006),$AN$1006:$BO$1006,0))&gt;=100000), " ",IF(INDEX($AN$2:$BO$1001,MATCH(ROWS($AG$2:AG41),$AG$2:$AG$1001,0),MATCH(COLUMNS($AN$1006:BL1006),$AN$1006:$BO$1006,0)), HYPERLINK("#",""), HYPERLINK(CONCATENATE("#Metadata!", ADDRESS(INDEX($AI$2:$AI$1001,MATCH(ROWS($AG$2:AG41),$AG$2:$AG$1001,0),0), INDEX($AN$1004:$BO$1004,1,MATCH(COLUMNS($AN$1006:BL1006),$AN$1006:$BO$1006,0)))),"Fix")))</f>
        <v>0</v>
      </c>
      <c r="AA41" s="4">
        <f>IF(OR(INDEX($AH$2:$AH$1001,MATCH(ROWS($AG$2:AG41),$AG$2:$AG$1001,0),1)&gt;=100000,INDEX($AN$1005:$BO$1005,1,MATCH(COLUMNS($AN$1006:BM1006),$AN$1006:$BO$1006,0))&gt;=100000), " ",IF(INDEX($AN$2:$BO$1001,MATCH(ROWS($AG$2:AG41),$AG$2:$AG$1001,0),MATCH(COLUMNS($AN$1006:BM1006),$AN$1006:$BO$1006,0)), HYPERLINK("#",""), HYPERLINK(CONCATENATE("#Metadata!", ADDRESS(INDEX($AI$2:$AI$1001,MATCH(ROWS($AG$2:AG41),$AG$2:$AG$1001,0),0), INDEX($AN$1004:$BO$1004,1,MATCH(COLUMNS($AN$1006:BM1006),$AN$1006:$BO$1006,0)))),"Fix")))</f>
        <v>0</v>
      </c>
      <c r="AB41" s="4">
        <f>IF(OR(INDEX($AH$2:$AH$1001,MATCH(ROWS($AG$2:AG41),$AG$2:$AG$1001,0),1)&gt;=100000,INDEX($AN$1005:$BO$1005,1,MATCH(COLUMNS($AN$1006:BN1006),$AN$1006:$BO$1006,0))&gt;=100000), " ",IF(INDEX($AN$2:$BO$1001,MATCH(ROWS($AG$2:AG41),$AG$2:$AG$1001,0),MATCH(COLUMNS($AN$1006:BN1006),$AN$1006:$BO$1006,0)), HYPERLINK("#",""), HYPERLINK(CONCATENATE("#Metadata!", ADDRESS(INDEX($AI$2:$AI$1001,MATCH(ROWS($AG$2:AG41),$AG$2:$AG$1001,0),0), INDEX($AN$1004:$BO$1004,1,MATCH(COLUMNS($AN$1006:BN1006),$AN$1006:$BO$1006,0)))),"Fix")))</f>
        <v>0</v>
      </c>
      <c r="AC41" s="4">
        <f>IF(OR(INDEX($AH$2:$AH$1001,MATCH(ROWS($AG$2:AG41),$AG$2:$AG$1001,0),1)&gt;=100000,INDEX($AN$1005:$BO$1005,1,MATCH(COLUMNS($AN$1006:BO1006),$AN$1006:$BO$1006,0))&gt;=100000), " ",IF(INDEX($AN$2:$BO$1001,MATCH(ROWS($AG$2:AG41),$AG$2:$AG$1001,0),MATCH(COLUMNS($AN$1006:BO1006),$AN$1006:$BO$1006,0)), HYPERLINK("#",""), HYPERLINK(CONCATENATE("#Metadata!", ADDRESS(INDEX($AI$2:$AI$1001,MATCH(ROWS($AG$2:AG41),$AG$2:$AG$1001,0),0), INDEX($AN$1004:$BO$1004,1,MATCH(COLUMNS($AN$1006:BO1006),$AN$1006:$BO$1006,0)))),"Fix")))</f>
        <v>0</v>
      </c>
      <c r="AG41">
        <v>0</v>
      </c>
      <c r="AH41">
        <v>0</v>
      </c>
      <c r="AI41">
        <v>0</v>
      </c>
      <c r="AJ41">
        <f>IF(AK41,TRUE,AND(AN41:BO41))</f>
        <v>0</v>
      </c>
      <c r="AK41">
        <f>COUNTBLANK(Metadata!B41:AC41)=COLUMNS(Metadata!B41:AC41)</f>
        <v>0</v>
      </c>
      <c r="AL41">
        <v>0</v>
      </c>
      <c r="AN41">
        <f>AND(IF(Metadata!B41="",FALSE,TRUE),COUNTIF(Metadata!B:B, Metadata!B41) = 1,NOT(ISERROR(SUMPRODUCT(SEARCH(MID(Metadata!B41,ROW(INDIRECT("1:"&amp;LEN(Metadata!B41))), 1),"0123456789abcdefghijklmnopqrstuvwxyzABCDEFGHIJKLMNOPQRSTUVWXYZ.")))))</f>
        <v>0</v>
      </c>
      <c r="AO41">
        <f>IF(Metadata!C41="",FALSE,TRUE)</f>
        <v>0</v>
      </c>
      <c r="AP41">
        <f>IF(Metadata!D41="",FALSE,TRUE)</f>
        <v>0</v>
      </c>
      <c r="AQ41">
        <f>OR(AND(IF(Metadata!E41="",FALSE,TRUE),OR(exact(Metadata!E41,"not collected"),exact(Metadata!E41,"not provided"),exact(Metadata!E41,"restricted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R41">
        <f>IF(Metadata!F41="",FALSE,TRUE)</f>
        <v>0</v>
      </c>
      <c r="AS41">
        <f>OR(AND(IF(Metadata!G41="",FALSE,TRUE),OR(exact(Metadata!G41,"not collected"),exact(Metadata!G41,"not provided"))),AND(IF(Metadata!G41="",FALSE,TRUE),OR(exact(Metadata!G41,"TRUE"),exact(Metadata!G41,"FALSE"))))</f>
        <v>0</v>
      </c>
      <c r="AT41">
        <f>OR(AND(IF(Metadata!H41="",FALSE,TRUE),OR(exact(Metadata!H41,"not collected"),exact(Metadata!H41,"not provided"),exact(Metadata!H41,"restricted access"))),AND(IF(Metadata!H41="",FALSE,ISNUMBER(VALUE(Metadata!H41))),Metadata!H41&gt;=-413.0))</f>
        <v>0</v>
      </c>
      <c r="AU41">
        <f>AND(IF(Metadata!I41="",FALSE,TRUE),exact(Metadata!I41,"meters"))</f>
        <v>0</v>
      </c>
      <c r="AV41">
        <f>AND(IF(Metadata!J41="",FALSE,TRUE),OR(exact(Metadata!J41,"Host-associated"),exact(Metadata!J41,"Free-living")))</f>
        <v>0</v>
      </c>
      <c r="AW41">
        <f>AND(IF(Metadata!K41="",FALSE,TRUE),OR(exact(Metadata!K41,"Animal"),exact(Metadata!K41,"Fungus"),exact(Metadata!K41,"Plant"),exact(Metadata!K41,"Saline"),exact(Metadata!K41,"Non-saline")))</f>
        <v>0</v>
      </c>
      <c r="AX41">
        <f>AND(IF(Metadata!L41="",FALSE,TRUE),OR(exact(Metadata!L41,"Plant secretion"),exact(Metadata!L41,"Plant rhizosphere"),exact(Metadata!L41,"Plant surface"),exact(Metadata!L41,"Plant corpus"),exact(Metadata!L41,"Fungus surface"),exact(Metadata!L41,"Fungus corpus"),exact(Metadata!L41,"Animal surface"),exact(Metadata!L41,"Animal proximal gut"),exact(Metadata!L41,"Animal corpus"),exact(Metadata!L41,"Animal distal gut"),exact(Metadata!L41,"Animal secretion"),exact(Metadata!L41,"Sub-surface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0</v>
      </c>
      <c r="AY41">
        <f>IF(Metadata!M41="",FALSE,TRUE)</f>
        <v>0</v>
      </c>
      <c r="AZ41">
        <f>IF(Metadata!N41="",FALSE,TRUE)</f>
        <v>0</v>
      </c>
      <c r="BA41">
        <f>IF(Metadata!O41="",FALSE,TRUE)</f>
        <v>0</v>
      </c>
      <c r="BB41">
        <f>OR(AND(IF(Metadata!P41="",FALSE,TRUE),OR(exact(Metadata!P41,"not collected"),exact(Metadata!P41,"not provided"),exact(Metadata!P41,"restricted access"))),AND(IF(Metadata!P41="",FALSE,TRUE),OR(exact(Metadata!P41,"air"),exact(Metadata!P41,"built environment"),exact(Metadata!P41,"host-associated"),exact(Metadata!P41,"human-associated"),exact(Metadata!P41,"human-skin"),exact(Metadata!P41,"human-oral"),exact(Metadata!P41,"human-gut"),exact(Metadata!P41,"human-vaginal"),exact(Metadata!P41,"microbial mat/biofilm"),exact(Metadata!P41,"misc environment"),exact(Metadata!P41,"plant-associated"),exact(Metadata!P41,"sediment"),exact(Metadata!P41,"soil"),exact(Metadata!P41,"wastewater/sludge"),exact(Metadata!P41,"water"))))</f>
        <v>0</v>
      </c>
      <c r="BC41">
        <f>IF(Metadata!Q41="",FALSE,TRUE)</f>
        <v>0</v>
      </c>
      <c r="BD41">
        <f>IF(Metadata!R41="",FALSE,TRUE)</f>
        <v>0</v>
      </c>
      <c r="BE41">
        <f>OR(AND(IF(Metadata!S41="",FALSE,TRUE),OR(exact(Metadata!S41,"not collected"),exact(Metadata!S41,"not provided"),exact(Metadata!S41,"restricted access"))),AND(IF(Metadata!S41="",FALSE,ISNUMBER(VALUE(Metadata!S41))),Metadata!S41&gt;=-90.00,Metadata!S41&lt;=90.00))</f>
        <v>0</v>
      </c>
      <c r="BF41">
        <f>AND(IF(Metadata!T41="",FALSE,TRUE),exact(Metadata!T41,"Decimal degrees"))</f>
        <v>0</v>
      </c>
      <c r="BG41">
        <f>OR(AND(IF(Metadata!U41="",FALSE,TRUE),OR(exact(Metadata!U41,"not collected"),exact(Metadata!U41,"not provided"),exact(Metadata!U41,"restricted access"))),AND(IF(Metadata!U41="",FALSE,ISNUMBER(VALUE(Metadata!U41))),Metadata!U41&gt;=-180.00,Metadata!U41&lt;=180.00))</f>
        <v>0</v>
      </c>
      <c r="BH41">
        <f>AND(IF(Metadata!V41="",FALSE,TRUE),exact(Metadata!V41,"Decimal degrees"))</f>
        <v>0</v>
      </c>
      <c r="BI41">
        <f>IF(Metadata!W41="",FALSE,TRUE)</f>
        <v>0</v>
      </c>
      <c r="BJ41">
        <f>OR(AND(IF(Metadata!X41="",FALSE,TRUE),OR(exact(Metadata!X41,"not collected"),exact(Metadata!X41,"not provided"),exact(Metadata!X41,"restricted access"))),AND(IF(Metadata!X41="",FALSE,TRUE),OR(exact(Metadata!X41,"TRUE"),exact(Metadata!X41,"FALSE"))))</f>
        <v>0</v>
      </c>
      <c r="BK41">
        <f>AND(IF(Metadata!Y41="",FALSE,TRUE),exact(Metadata!Y41,"other"))</f>
        <v>0</v>
      </c>
      <c r="BL41">
        <f>IF(Metadata!Z41="",FALSE,TRUE)</f>
        <v>0</v>
      </c>
      <c r="BM41">
        <f>OR(AND(IF(Metadata!AA41="",FALSE,TRUE),OR(exact(Metadata!AA41,"not collected"),exact(Metadata!AA41,"not provided"))),AND(IF(Metadata!AA41="",FALSE,IF(ISERROR(INT(Metadata!AA41)),FALSE,INT(Metadata!AA41)=Metadata!AA41)),Metadata!AA41&gt;0))</f>
        <v>0</v>
      </c>
      <c r="BN41">
        <f>AND(IF(Metadata!AB41="",FALSE,TRUE),exact(Metadata!AB41,"Not applicable"))</f>
        <v>0</v>
      </c>
      <c r="BO41">
        <f>IF(Metadata!AC41="",FALSE,TRUE)</f>
        <v>0</v>
      </c>
    </row>
    <row r="42" spans="1:67">
      <c r="A42" s="5">
        <f>IF(B42=" "," ",HYPERLINK(CONCATENATE("#metadata!",ADDRESS(INDEX($AI$2:$AI$1001,MATCH(ROWS($AG$2:AG42),$AG$2:$AG$1001,0),0),1)),INDEX($AL$2:$AL$1001,MATCH(ROWS($AG$2:AG42),$AG$2:$AG$1001,0),0)))</f>
        <v>0</v>
      </c>
      <c r="B42" s="4">
        <f>IF(OR(INDEX($AH$2:$AH$1001,MATCH(ROWS($AG$2:AG42),$AG$2:$AG$1001,0),1)&gt;=100000,INDEX($AN$1005:$BO$1005,1,MATCH(COLUMNS($AN$1006:AN1006),$AN$1006:$BO$1006,0))&gt;=100000), " ",IF(INDEX($AN$2:$BO$1001,MATCH(ROWS($AG$2:AG42),$AG$2:$AG$1001,0),MATCH(COLUMNS($AN$1006:AN1006),$AN$1006:$BO$1006,0)), HYPERLINK("#",""), HYPERLINK(CONCATENATE("#Metadata!", ADDRESS(INDEX($AI$2:$AI$1001,MATCH(ROWS($AG$2:AG42),$AG$2:$AG$1001,0),0), INDEX($AN$1004:$BO$1004,1,MATCH(COLUMNS($AN$1006:AN1006),$AN$1006:$BO$1006,0)))),"Fix")))</f>
        <v>0</v>
      </c>
      <c r="C42" s="4">
        <f>IF(OR(INDEX($AH$2:$AH$1001,MATCH(ROWS($AG$2:AG42),$AG$2:$AG$1001,0),1)&gt;=100000,INDEX($AN$1005:$BO$1005,1,MATCH(COLUMNS($AN$1006:AO1006),$AN$1006:$BO$1006,0))&gt;=100000), " ",IF(INDEX($AN$2:$BO$1001,MATCH(ROWS($AG$2:AG42),$AG$2:$AG$1001,0),MATCH(COLUMNS($AN$1006:AO1006),$AN$1006:$BO$1006,0)), HYPERLINK("#",""), HYPERLINK(CONCATENATE("#Metadata!", ADDRESS(INDEX($AI$2:$AI$1001,MATCH(ROWS($AG$2:AG42),$AG$2:$AG$1001,0),0), INDEX($AN$1004:$BO$1004,1,MATCH(COLUMNS($AN$1006:AO1006),$AN$1006:$BO$1006,0)))),"Fix")))</f>
        <v>0</v>
      </c>
      <c r="D42" s="4">
        <f>IF(OR(INDEX($AH$2:$AH$1001,MATCH(ROWS($AG$2:AG42),$AG$2:$AG$1001,0),1)&gt;=100000,INDEX($AN$1005:$BO$1005,1,MATCH(COLUMNS($AN$1006:AP1006),$AN$1006:$BO$1006,0))&gt;=100000), " ",IF(INDEX($AN$2:$BO$1001,MATCH(ROWS($AG$2:AG42),$AG$2:$AG$1001,0),MATCH(COLUMNS($AN$1006:AP1006),$AN$1006:$BO$1006,0)), HYPERLINK("#",""), HYPERLINK(CONCATENATE("#Metadata!", ADDRESS(INDEX($AI$2:$AI$1001,MATCH(ROWS($AG$2:AG42),$AG$2:$AG$1001,0),0), INDEX($AN$1004:$BO$1004,1,MATCH(COLUMNS($AN$1006:AP1006),$AN$1006:$BO$1006,0)))),"Fix")))</f>
        <v>0</v>
      </c>
      <c r="E42" s="4">
        <f>IF(OR(INDEX($AH$2:$AH$1001,MATCH(ROWS($AG$2:AG42),$AG$2:$AG$1001,0),1)&gt;=100000,INDEX($AN$1005:$BO$1005,1,MATCH(COLUMNS($AN$1006:AQ1006),$AN$1006:$BO$1006,0))&gt;=100000), " ",IF(INDEX($AN$2:$BO$1001,MATCH(ROWS($AG$2:AG42),$AG$2:$AG$1001,0),MATCH(COLUMNS($AN$1006:AQ1006),$AN$1006:$BO$1006,0)), HYPERLINK("#",""), HYPERLINK(CONCATENATE("#Metadata!", ADDRESS(INDEX($AI$2:$AI$1001,MATCH(ROWS($AG$2:AG42),$AG$2:$AG$1001,0),0), INDEX($AN$1004:$BO$1004,1,MATCH(COLUMNS($AN$1006:AQ1006),$AN$1006:$BO$1006,0)))),"Fix")))</f>
        <v>0</v>
      </c>
      <c r="F42" s="4">
        <f>IF(OR(INDEX($AH$2:$AH$1001,MATCH(ROWS($AG$2:AG42),$AG$2:$AG$1001,0),1)&gt;=100000,INDEX($AN$1005:$BO$1005,1,MATCH(COLUMNS($AN$1006:AR1006),$AN$1006:$BO$1006,0))&gt;=100000), " ",IF(INDEX($AN$2:$BO$1001,MATCH(ROWS($AG$2:AG42),$AG$2:$AG$1001,0),MATCH(COLUMNS($AN$1006:AR1006),$AN$1006:$BO$1006,0)), HYPERLINK("#",""), HYPERLINK(CONCATENATE("#Metadata!", ADDRESS(INDEX($AI$2:$AI$1001,MATCH(ROWS($AG$2:AG42),$AG$2:$AG$1001,0),0), INDEX($AN$1004:$BO$1004,1,MATCH(COLUMNS($AN$1006:AR1006),$AN$1006:$BO$1006,0)))),"Fix")))</f>
        <v>0</v>
      </c>
      <c r="G42" s="4">
        <f>IF(OR(INDEX($AH$2:$AH$1001,MATCH(ROWS($AG$2:AG42),$AG$2:$AG$1001,0),1)&gt;=100000,INDEX($AN$1005:$BO$1005,1,MATCH(COLUMNS($AN$1006:AS1006),$AN$1006:$BO$1006,0))&gt;=100000), " ",IF(INDEX($AN$2:$BO$1001,MATCH(ROWS($AG$2:AG42),$AG$2:$AG$1001,0),MATCH(COLUMNS($AN$1006:AS1006),$AN$1006:$BO$1006,0)), HYPERLINK("#",""), HYPERLINK(CONCATENATE("#Metadata!", ADDRESS(INDEX($AI$2:$AI$1001,MATCH(ROWS($AG$2:AG42),$AG$2:$AG$1001,0),0), INDEX($AN$1004:$BO$1004,1,MATCH(COLUMNS($AN$1006:AS1006),$AN$1006:$BO$1006,0)))),"Fix")))</f>
        <v>0</v>
      </c>
      <c r="H42" s="4">
        <f>IF(OR(INDEX($AH$2:$AH$1001,MATCH(ROWS($AG$2:AG42),$AG$2:$AG$1001,0),1)&gt;=100000,INDEX($AN$1005:$BO$1005,1,MATCH(COLUMNS($AN$1006:AT1006),$AN$1006:$BO$1006,0))&gt;=100000), " ",IF(INDEX($AN$2:$BO$1001,MATCH(ROWS($AG$2:AG42),$AG$2:$AG$1001,0),MATCH(COLUMNS($AN$1006:AT1006),$AN$1006:$BO$1006,0)), HYPERLINK("#",""), HYPERLINK(CONCATENATE("#Metadata!", ADDRESS(INDEX($AI$2:$AI$1001,MATCH(ROWS($AG$2:AG42),$AG$2:$AG$1001,0),0), INDEX($AN$1004:$BO$1004,1,MATCH(COLUMNS($AN$1006:AT1006),$AN$1006:$BO$1006,0)))),"Fix")))</f>
        <v>0</v>
      </c>
      <c r="I42" s="4">
        <f>IF(OR(INDEX($AH$2:$AH$1001,MATCH(ROWS($AG$2:AG42),$AG$2:$AG$1001,0),1)&gt;=100000,INDEX($AN$1005:$BO$1005,1,MATCH(COLUMNS($AN$1006:AU1006),$AN$1006:$BO$1006,0))&gt;=100000), " ",IF(INDEX($AN$2:$BO$1001,MATCH(ROWS($AG$2:AG42),$AG$2:$AG$1001,0),MATCH(COLUMNS($AN$1006:AU1006),$AN$1006:$BO$1006,0)), HYPERLINK("#",""), HYPERLINK(CONCATENATE("#Metadata!", ADDRESS(INDEX($AI$2:$AI$1001,MATCH(ROWS($AG$2:AG42),$AG$2:$AG$1001,0),0), INDEX($AN$1004:$BO$1004,1,MATCH(COLUMNS($AN$1006:AU1006),$AN$1006:$BO$1006,0)))),"Fix")))</f>
        <v>0</v>
      </c>
      <c r="J42" s="4">
        <f>IF(OR(INDEX($AH$2:$AH$1001,MATCH(ROWS($AG$2:AG42),$AG$2:$AG$1001,0),1)&gt;=100000,INDEX($AN$1005:$BO$1005,1,MATCH(COLUMNS($AN$1006:AV1006),$AN$1006:$BO$1006,0))&gt;=100000), " ",IF(INDEX($AN$2:$BO$1001,MATCH(ROWS($AG$2:AG42),$AG$2:$AG$1001,0),MATCH(COLUMNS($AN$1006:AV1006),$AN$1006:$BO$1006,0)), HYPERLINK("#",""), HYPERLINK(CONCATENATE("#Metadata!", ADDRESS(INDEX($AI$2:$AI$1001,MATCH(ROWS($AG$2:AG42),$AG$2:$AG$1001,0),0), INDEX($AN$1004:$BO$1004,1,MATCH(COLUMNS($AN$1006:AV1006),$AN$1006:$BO$1006,0)))),"Fix")))</f>
        <v>0</v>
      </c>
      <c r="K42" s="4">
        <f>IF(OR(INDEX($AH$2:$AH$1001,MATCH(ROWS($AG$2:AG42),$AG$2:$AG$1001,0),1)&gt;=100000,INDEX($AN$1005:$BO$1005,1,MATCH(COLUMNS($AN$1006:AW1006),$AN$1006:$BO$1006,0))&gt;=100000), " ",IF(INDEX($AN$2:$BO$1001,MATCH(ROWS($AG$2:AG42),$AG$2:$AG$1001,0),MATCH(COLUMNS($AN$1006:AW1006),$AN$1006:$BO$1006,0)), HYPERLINK("#",""), HYPERLINK(CONCATENATE("#Metadata!", ADDRESS(INDEX($AI$2:$AI$1001,MATCH(ROWS($AG$2:AG42),$AG$2:$AG$1001,0),0), INDEX($AN$1004:$BO$1004,1,MATCH(COLUMNS($AN$1006:AW1006),$AN$1006:$BO$1006,0)))),"Fix")))</f>
        <v>0</v>
      </c>
      <c r="L42" s="4">
        <f>IF(OR(INDEX($AH$2:$AH$1001,MATCH(ROWS($AG$2:AG42),$AG$2:$AG$1001,0),1)&gt;=100000,INDEX($AN$1005:$BO$1005,1,MATCH(COLUMNS($AN$1006:AX1006),$AN$1006:$BO$1006,0))&gt;=100000), " ",IF(INDEX($AN$2:$BO$1001,MATCH(ROWS($AG$2:AG42),$AG$2:$AG$1001,0),MATCH(COLUMNS($AN$1006:AX1006),$AN$1006:$BO$1006,0)), HYPERLINK("#",""), HYPERLINK(CONCATENATE("#Metadata!", ADDRESS(INDEX($AI$2:$AI$1001,MATCH(ROWS($AG$2:AG42),$AG$2:$AG$1001,0),0), INDEX($AN$1004:$BO$1004,1,MATCH(COLUMNS($AN$1006:AX1006),$AN$1006:$BO$1006,0)))),"Fix")))</f>
        <v>0</v>
      </c>
      <c r="M42" s="4">
        <f>IF(OR(INDEX($AH$2:$AH$1001,MATCH(ROWS($AG$2:AG42),$AG$2:$AG$1001,0),1)&gt;=100000,INDEX($AN$1005:$BO$1005,1,MATCH(COLUMNS($AN$1006:AY1006),$AN$1006:$BO$1006,0))&gt;=100000), " ",IF(INDEX($AN$2:$BO$1001,MATCH(ROWS($AG$2:AG42),$AG$2:$AG$1001,0),MATCH(COLUMNS($AN$1006:AY1006),$AN$1006:$BO$1006,0)), HYPERLINK("#",""), HYPERLINK(CONCATENATE("#Metadata!", ADDRESS(INDEX($AI$2:$AI$1001,MATCH(ROWS($AG$2:AG42),$AG$2:$AG$1001,0),0), INDEX($AN$1004:$BO$1004,1,MATCH(COLUMNS($AN$1006:AY1006),$AN$1006:$BO$1006,0)))),"Fix")))</f>
        <v>0</v>
      </c>
      <c r="N42" s="4">
        <f>IF(OR(INDEX($AH$2:$AH$1001,MATCH(ROWS($AG$2:AG42),$AG$2:$AG$1001,0),1)&gt;=100000,INDEX($AN$1005:$BO$1005,1,MATCH(COLUMNS($AN$1006:AZ1006),$AN$1006:$BO$1006,0))&gt;=100000), " ",IF(INDEX($AN$2:$BO$1001,MATCH(ROWS($AG$2:AG42),$AG$2:$AG$1001,0),MATCH(COLUMNS($AN$1006:AZ1006),$AN$1006:$BO$1006,0)), HYPERLINK("#",""), HYPERLINK(CONCATENATE("#Metadata!", ADDRESS(INDEX($AI$2:$AI$1001,MATCH(ROWS($AG$2:AG42),$AG$2:$AG$1001,0),0), INDEX($AN$1004:$BO$1004,1,MATCH(COLUMNS($AN$1006:AZ1006),$AN$1006:$BO$1006,0)))),"Fix")))</f>
        <v>0</v>
      </c>
      <c r="O42" s="4">
        <f>IF(OR(INDEX($AH$2:$AH$1001,MATCH(ROWS($AG$2:AG42),$AG$2:$AG$1001,0),1)&gt;=100000,INDEX($AN$1005:$BO$1005,1,MATCH(COLUMNS($AN$1006:BA1006),$AN$1006:$BO$1006,0))&gt;=100000), " ",IF(INDEX($AN$2:$BO$1001,MATCH(ROWS($AG$2:AG42),$AG$2:$AG$1001,0),MATCH(COLUMNS($AN$1006:BA1006),$AN$1006:$BO$1006,0)), HYPERLINK("#",""), HYPERLINK(CONCATENATE("#Metadata!", ADDRESS(INDEX($AI$2:$AI$1001,MATCH(ROWS($AG$2:AG42),$AG$2:$AG$1001,0),0), INDEX($AN$1004:$BO$1004,1,MATCH(COLUMNS($AN$1006:BA1006),$AN$1006:$BO$1006,0)))),"Fix")))</f>
        <v>0</v>
      </c>
      <c r="P42" s="4">
        <f>IF(OR(INDEX($AH$2:$AH$1001,MATCH(ROWS($AG$2:AG42),$AG$2:$AG$1001,0),1)&gt;=100000,INDEX($AN$1005:$BO$1005,1,MATCH(COLUMNS($AN$1006:BB1006),$AN$1006:$BO$1006,0))&gt;=100000), " ",IF(INDEX($AN$2:$BO$1001,MATCH(ROWS($AG$2:AG42),$AG$2:$AG$1001,0),MATCH(COLUMNS($AN$1006:BB1006),$AN$1006:$BO$1006,0)), HYPERLINK("#",""), HYPERLINK(CONCATENATE("#Metadata!", ADDRESS(INDEX($AI$2:$AI$1001,MATCH(ROWS($AG$2:AG42),$AG$2:$AG$1001,0),0), INDEX($AN$1004:$BO$1004,1,MATCH(COLUMNS($AN$1006:BB1006),$AN$1006:$BO$1006,0)))),"Fix")))</f>
        <v>0</v>
      </c>
      <c r="Q42" s="4">
        <f>IF(OR(INDEX($AH$2:$AH$1001,MATCH(ROWS($AG$2:AG42),$AG$2:$AG$1001,0),1)&gt;=100000,INDEX($AN$1005:$BO$1005,1,MATCH(COLUMNS($AN$1006:BC1006),$AN$1006:$BO$1006,0))&gt;=100000), " ",IF(INDEX($AN$2:$BO$1001,MATCH(ROWS($AG$2:AG42),$AG$2:$AG$1001,0),MATCH(COLUMNS($AN$1006:BC1006),$AN$1006:$BO$1006,0)), HYPERLINK("#",""), HYPERLINK(CONCATENATE("#Metadata!", ADDRESS(INDEX($AI$2:$AI$1001,MATCH(ROWS($AG$2:AG42),$AG$2:$AG$1001,0),0), INDEX($AN$1004:$BO$1004,1,MATCH(COLUMNS($AN$1006:BC1006),$AN$1006:$BO$1006,0)))),"Fix")))</f>
        <v>0</v>
      </c>
      <c r="R42" s="4">
        <f>IF(OR(INDEX($AH$2:$AH$1001,MATCH(ROWS($AG$2:AG42),$AG$2:$AG$1001,0),1)&gt;=100000,INDEX($AN$1005:$BO$1005,1,MATCH(COLUMNS($AN$1006:BD1006),$AN$1006:$BO$1006,0))&gt;=100000), " ",IF(INDEX($AN$2:$BO$1001,MATCH(ROWS($AG$2:AG42),$AG$2:$AG$1001,0),MATCH(COLUMNS($AN$1006:BD1006),$AN$1006:$BO$1006,0)), HYPERLINK("#",""), HYPERLINK(CONCATENATE("#Metadata!", ADDRESS(INDEX($AI$2:$AI$1001,MATCH(ROWS($AG$2:AG42),$AG$2:$AG$1001,0),0), INDEX($AN$1004:$BO$1004,1,MATCH(COLUMNS($AN$1006:BD1006),$AN$1006:$BO$1006,0)))),"Fix")))</f>
        <v>0</v>
      </c>
      <c r="S42" s="4">
        <f>IF(OR(INDEX($AH$2:$AH$1001,MATCH(ROWS($AG$2:AG42),$AG$2:$AG$1001,0),1)&gt;=100000,INDEX($AN$1005:$BO$1005,1,MATCH(COLUMNS($AN$1006:BE1006),$AN$1006:$BO$1006,0))&gt;=100000), " ",IF(INDEX($AN$2:$BO$1001,MATCH(ROWS($AG$2:AG42),$AG$2:$AG$1001,0),MATCH(COLUMNS($AN$1006:BE1006),$AN$1006:$BO$1006,0)), HYPERLINK("#",""), HYPERLINK(CONCATENATE("#Metadata!", ADDRESS(INDEX($AI$2:$AI$1001,MATCH(ROWS($AG$2:AG42),$AG$2:$AG$1001,0),0), INDEX($AN$1004:$BO$1004,1,MATCH(COLUMNS($AN$1006:BE1006),$AN$1006:$BO$1006,0)))),"Fix")))</f>
        <v>0</v>
      </c>
      <c r="T42" s="4">
        <f>IF(OR(INDEX($AH$2:$AH$1001,MATCH(ROWS($AG$2:AG42),$AG$2:$AG$1001,0),1)&gt;=100000,INDEX($AN$1005:$BO$1005,1,MATCH(COLUMNS($AN$1006:BF1006),$AN$1006:$BO$1006,0))&gt;=100000), " ",IF(INDEX($AN$2:$BO$1001,MATCH(ROWS($AG$2:AG42),$AG$2:$AG$1001,0),MATCH(COLUMNS($AN$1006:BF1006),$AN$1006:$BO$1006,0)), HYPERLINK("#",""), HYPERLINK(CONCATENATE("#Metadata!", ADDRESS(INDEX($AI$2:$AI$1001,MATCH(ROWS($AG$2:AG42),$AG$2:$AG$1001,0),0), INDEX($AN$1004:$BO$1004,1,MATCH(COLUMNS($AN$1006:BF1006),$AN$1006:$BO$1006,0)))),"Fix")))</f>
        <v>0</v>
      </c>
      <c r="U42" s="4">
        <f>IF(OR(INDEX($AH$2:$AH$1001,MATCH(ROWS($AG$2:AG42),$AG$2:$AG$1001,0),1)&gt;=100000,INDEX($AN$1005:$BO$1005,1,MATCH(COLUMNS($AN$1006:BG1006),$AN$1006:$BO$1006,0))&gt;=100000), " ",IF(INDEX($AN$2:$BO$1001,MATCH(ROWS($AG$2:AG42),$AG$2:$AG$1001,0),MATCH(COLUMNS($AN$1006:BG1006),$AN$1006:$BO$1006,0)), HYPERLINK("#",""), HYPERLINK(CONCATENATE("#Metadata!", ADDRESS(INDEX($AI$2:$AI$1001,MATCH(ROWS($AG$2:AG42),$AG$2:$AG$1001,0),0), INDEX($AN$1004:$BO$1004,1,MATCH(COLUMNS($AN$1006:BG1006),$AN$1006:$BO$1006,0)))),"Fix")))</f>
        <v>0</v>
      </c>
      <c r="V42" s="4">
        <f>IF(OR(INDEX($AH$2:$AH$1001,MATCH(ROWS($AG$2:AG42),$AG$2:$AG$1001,0),1)&gt;=100000,INDEX($AN$1005:$BO$1005,1,MATCH(COLUMNS($AN$1006:BH1006),$AN$1006:$BO$1006,0))&gt;=100000), " ",IF(INDEX($AN$2:$BO$1001,MATCH(ROWS($AG$2:AG42),$AG$2:$AG$1001,0),MATCH(COLUMNS($AN$1006:BH1006),$AN$1006:$BO$1006,0)), HYPERLINK("#",""), HYPERLINK(CONCATENATE("#Metadata!", ADDRESS(INDEX($AI$2:$AI$1001,MATCH(ROWS($AG$2:AG42),$AG$2:$AG$1001,0),0), INDEX($AN$1004:$BO$1004,1,MATCH(COLUMNS($AN$1006:BH1006),$AN$1006:$BO$1006,0)))),"Fix")))</f>
        <v>0</v>
      </c>
      <c r="W42" s="4">
        <f>IF(OR(INDEX($AH$2:$AH$1001,MATCH(ROWS($AG$2:AG42),$AG$2:$AG$1001,0),1)&gt;=100000,INDEX($AN$1005:$BO$1005,1,MATCH(COLUMNS($AN$1006:BI1006),$AN$1006:$BO$1006,0))&gt;=100000), " ",IF(INDEX($AN$2:$BO$1001,MATCH(ROWS($AG$2:AG42),$AG$2:$AG$1001,0),MATCH(COLUMNS($AN$1006:BI1006),$AN$1006:$BO$1006,0)), HYPERLINK("#",""), HYPERLINK(CONCATENATE("#Metadata!", ADDRESS(INDEX($AI$2:$AI$1001,MATCH(ROWS($AG$2:AG42),$AG$2:$AG$1001,0),0), INDEX($AN$1004:$BO$1004,1,MATCH(COLUMNS($AN$1006:BI1006),$AN$1006:$BO$1006,0)))),"Fix")))</f>
        <v>0</v>
      </c>
      <c r="X42" s="4">
        <f>IF(OR(INDEX($AH$2:$AH$1001,MATCH(ROWS($AG$2:AG42),$AG$2:$AG$1001,0),1)&gt;=100000,INDEX($AN$1005:$BO$1005,1,MATCH(COLUMNS($AN$1006:BJ1006),$AN$1006:$BO$1006,0))&gt;=100000), " ",IF(INDEX($AN$2:$BO$1001,MATCH(ROWS($AG$2:AG42),$AG$2:$AG$1001,0),MATCH(COLUMNS($AN$1006:BJ1006),$AN$1006:$BO$1006,0)), HYPERLINK("#",""), HYPERLINK(CONCATENATE("#Metadata!", ADDRESS(INDEX($AI$2:$AI$1001,MATCH(ROWS($AG$2:AG42),$AG$2:$AG$1001,0),0), INDEX($AN$1004:$BO$1004,1,MATCH(COLUMNS($AN$1006:BJ1006),$AN$1006:$BO$1006,0)))),"Fix")))</f>
        <v>0</v>
      </c>
      <c r="Y42" s="4">
        <f>IF(OR(INDEX($AH$2:$AH$1001,MATCH(ROWS($AG$2:AG42),$AG$2:$AG$1001,0),1)&gt;=100000,INDEX($AN$1005:$BO$1005,1,MATCH(COLUMNS($AN$1006:BK1006),$AN$1006:$BO$1006,0))&gt;=100000), " ",IF(INDEX($AN$2:$BO$1001,MATCH(ROWS($AG$2:AG42),$AG$2:$AG$1001,0),MATCH(COLUMNS($AN$1006:BK1006),$AN$1006:$BO$1006,0)), HYPERLINK("#",""), HYPERLINK(CONCATENATE("#Metadata!", ADDRESS(INDEX($AI$2:$AI$1001,MATCH(ROWS($AG$2:AG42),$AG$2:$AG$1001,0),0), INDEX($AN$1004:$BO$1004,1,MATCH(COLUMNS($AN$1006:BK1006),$AN$1006:$BO$1006,0)))),"Fix")))</f>
        <v>0</v>
      </c>
      <c r="Z42" s="4">
        <f>IF(OR(INDEX($AH$2:$AH$1001,MATCH(ROWS($AG$2:AG42),$AG$2:$AG$1001,0),1)&gt;=100000,INDEX($AN$1005:$BO$1005,1,MATCH(COLUMNS($AN$1006:BL1006),$AN$1006:$BO$1006,0))&gt;=100000), " ",IF(INDEX($AN$2:$BO$1001,MATCH(ROWS($AG$2:AG42),$AG$2:$AG$1001,0),MATCH(COLUMNS($AN$1006:BL1006),$AN$1006:$BO$1006,0)), HYPERLINK("#",""), HYPERLINK(CONCATENATE("#Metadata!", ADDRESS(INDEX($AI$2:$AI$1001,MATCH(ROWS($AG$2:AG42),$AG$2:$AG$1001,0),0), INDEX($AN$1004:$BO$1004,1,MATCH(COLUMNS($AN$1006:BL1006),$AN$1006:$BO$1006,0)))),"Fix")))</f>
        <v>0</v>
      </c>
      <c r="AA42" s="4">
        <f>IF(OR(INDEX($AH$2:$AH$1001,MATCH(ROWS($AG$2:AG42),$AG$2:$AG$1001,0),1)&gt;=100000,INDEX($AN$1005:$BO$1005,1,MATCH(COLUMNS($AN$1006:BM1006),$AN$1006:$BO$1006,0))&gt;=100000), " ",IF(INDEX($AN$2:$BO$1001,MATCH(ROWS($AG$2:AG42),$AG$2:$AG$1001,0),MATCH(COLUMNS($AN$1006:BM1006),$AN$1006:$BO$1006,0)), HYPERLINK("#",""), HYPERLINK(CONCATENATE("#Metadata!", ADDRESS(INDEX($AI$2:$AI$1001,MATCH(ROWS($AG$2:AG42),$AG$2:$AG$1001,0),0), INDEX($AN$1004:$BO$1004,1,MATCH(COLUMNS($AN$1006:BM1006),$AN$1006:$BO$1006,0)))),"Fix")))</f>
        <v>0</v>
      </c>
      <c r="AB42" s="4">
        <f>IF(OR(INDEX($AH$2:$AH$1001,MATCH(ROWS($AG$2:AG42),$AG$2:$AG$1001,0),1)&gt;=100000,INDEX($AN$1005:$BO$1005,1,MATCH(COLUMNS($AN$1006:BN1006),$AN$1006:$BO$1006,0))&gt;=100000), " ",IF(INDEX($AN$2:$BO$1001,MATCH(ROWS($AG$2:AG42),$AG$2:$AG$1001,0),MATCH(COLUMNS($AN$1006:BN1006),$AN$1006:$BO$1006,0)), HYPERLINK("#",""), HYPERLINK(CONCATENATE("#Metadata!", ADDRESS(INDEX($AI$2:$AI$1001,MATCH(ROWS($AG$2:AG42),$AG$2:$AG$1001,0),0), INDEX($AN$1004:$BO$1004,1,MATCH(COLUMNS($AN$1006:BN1006),$AN$1006:$BO$1006,0)))),"Fix")))</f>
        <v>0</v>
      </c>
      <c r="AC42" s="4">
        <f>IF(OR(INDEX($AH$2:$AH$1001,MATCH(ROWS($AG$2:AG42),$AG$2:$AG$1001,0),1)&gt;=100000,INDEX($AN$1005:$BO$1005,1,MATCH(COLUMNS($AN$1006:BO1006),$AN$1006:$BO$1006,0))&gt;=100000), " ",IF(INDEX($AN$2:$BO$1001,MATCH(ROWS($AG$2:AG42),$AG$2:$AG$1001,0),MATCH(COLUMNS($AN$1006:BO1006),$AN$1006:$BO$1006,0)), HYPERLINK("#",""), HYPERLINK(CONCATENATE("#Metadata!", ADDRESS(INDEX($AI$2:$AI$1001,MATCH(ROWS($AG$2:AG42),$AG$2:$AG$1001,0),0), INDEX($AN$1004:$BO$1004,1,MATCH(COLUMNS($AN$1006:BO1006),$AN$1006:$BO$1006,0)))),"Fix")))</f>
        <v>0</v>
      </c>
      <c r="AG42">
        <v>0</v>
      </c>
      <c r="AH42">
        <v>0</v>
      </c>
      <c r="AI42">
        <v>0</v>
      </c>
      <c r="AJ42">
        <f>IF(AK42,TRUE,AND(AN42:BO42))</f>
        <v>0</v>
      </c>
      <c r="AK42">
        <f>COUNTBLANK(Metadata!B42:AC42)=COLUMNS(Metadata!B42:AC42)</f>
        <v>0</v>
      </c>
      <c r="AL42">
        <v>0</v>
      </c>
      <c r="AN42">
        <f>AND(IF(Metadata!B42="",FALSE,TRUE),COUNTIF(Metadata!B:B, Metadata!B42) = 1,NOT(ISERROR(SUMPRODUCT(SEARCH(MID(Metadata!B42,ROW(INDIRECT("1:"&amp;LEN(Metadata!B42))), 1),"0123456789abcdefghijklmnopqrstuvwxyzABCDEFGHIJKLMNOPQRSTUVWXYZ.")))))</f>
        <v>0</v>
      </c>
      <c r="AO42">
        <f>IF(Metadata!C42="",FALSE,TRUE)</f>
        <v>0</v>
      </c>
      <c r="AP42">
        <f>IF(Metadata!D42="",FALSE,TRUE)</f>
        <v>0</v>
      </c>
      <c r="AQ42">
        <f>OR(AND(IF(Metadata!E42="",FALSE,TRUE),OR(exact(Metadata!E42,"not collected"),exact(Metadata!E42,"not provided"),exact(Metadata!E42,"restricted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R42">
        <f>IF(Metadata!F42="",FALSE,TRUE)</f>
        <v>0</v>
      </c>
      <c r="AS42">
        <f>OR(AND(IF(Metadata!G42="",FALSE,TRUE),OR(exact(Metadata!G42,"not collected"),exact(Metadata!G42,"not provided"))),AND(IF(Metadata!G42="",FALSE,TRUE),OR(exact(Metadata!G42,"TRUE"),exact(Metadata!G42,"FALSE"))))</f>
        <v>0</v>
      </c>
      <c r="AT42">
        <f>OR(AND(IF(Metadata!H42="",FALSE,TRUE),OR(exact(Metadata!H42,"not collected"),exact(Metadata!H42,"not provided"),exact(Metadata!H42,"restricted access"))),AND(IF(Metadata!H42="",FALSE,ISNUMBER(VALUE(Metadata!H42))),Metadata!H42&gt;=-413.0))</f>
        <v>0</v>
      </c>
      <c r="AU42">
        <f>AND(IF(Metadata!I42="",FALSE,TRUE),exact(Metadata!I42,"meters"))</f>
        <v>0</v>
      </c>
      <c r="AV42">
        <f>AND(IF(Metadata!J42="",FALSE,TRUE),OR(exact(Metadata!J42,"Host-associated"),exact(Metadata!J42,"Free-living")))</f>
        <v>0</v>
      </c>
      <c r="AW42">
        <f>AND(IF(Metadata!K42="",FALSE,TRUE),OR(exact(Metadata!K42,"Animal"),exact(Metadata!K42,"Fungus"),exact(Metadata!K42,"Plant"),exact(Metadata!K42,"Saline"),exact(Metadata!K42,"Non-saline")))</f>
        <v>0</v>
      </c>
      <c r="AX42">
        <f>AND(IF(Metadata!L42="",FALSE,TRUE),OR(exact(Metadata!L42,"Plant secretion"),exact(Metadata!L42,"Plant rhizosphere"),exact(Metadata!L42,"Plant surface"),exact(Metadata!L42,"Plant corpus"),exact(Metadata!L42,"Fungus surface"),exact(Metadata!L42,"Fungus corpus"),exact(Metadata!L42,"Animal surface"),exact(Metadata!L42,"Animal proximal gut"),exact(Metadata!L42,"Animal corpus"),exact(Metadata!L42,"Animal distal gut"),exact(Metadata!L42,"Animal secretion"),exact(Metadata!L42,"Sub-surface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0</v>
      </c>
      <c r="AY42">
        <f>IF(Metadata!M42="",FALSE,TRUE)</f>
        <v>0</v>
      </c>
      <c r="AZ42">
        <f>IF(Metadata!N42="",FALSE,TRUE)</f>
        <v>0</v>
      </c>
      <c r="BA42">
        <f>IF(Metadata!O42="",FALSE,TRUE)</f>
        <v>0</v>
      </c>
      <c r="BB42">
        <f>OR(AND(IF(Metadata!P42="",FALSE,TRUE),OR(exact(Metadata!P42,"not collected"),exact(Metadata!P42,"not provided"),exact(Metadata!P42,"restricted access"))),AND(IF(Metadata!P42="",FALSE,TRUE),OR(exact(Metadata!P42,"air"),exact(Metadata!P42,"built environment"),exact(Metadata!P42,"host-associated"),exact(Metadata!P42,"human-associated"),exact(Metadata!P42,"human-skin"),exact(Metadata!P42,"human-oral"),exact(Metadata!P42,"human-gut"),exact(Metadata!P42,"human-vaginal"),exact(Metadata!P42,"microbial mat/biofilm"),exact(Metadata!P42,"misc environment"),exact(Metadata!P42,"plant-associated"),exact(Metadata!P42,"sediment"),exact(Metadata!P42,"soil"),exact(Metadata!P42,"wastewater/sludge"),exact(Metadata!P42,"water"))))</f>
        <v>0</v>
      </c>
      <c r="BC42">
        <f>IF(Metadata!Q42="",FALSE,TRUE)</f>
        <v>0</v>
      </c>
      <c r="BD42">
        <f>IF(Metadata!R42="",FALSE,TRUE)</f>
        <v>0</v>
      </c>
      <c r="BE42">
        <f>OR(AND(IF(Metadata!S42="",FALSE,TRUE),OR(exact(Metadata!S42,"not collected"),exact(Metadata!S42,"not provided"),exact(Metadata!S42,"restricted access"))),AND(IF(Metadata!S42="",FALSE,ISNUMBER(VALUE(Metadata!S42))),Metadata!S42&gt;=-90.00,Metadata!S42&lt;=90.00))</f>
        <v>0</v>
      </c>
      <c r="BF42">
        <f>AND(IF(Metadata!T42="",FALSE,TRUE),exact(Metadata!T42,"Decimal degrees"))</f>
        <v>0</v>
      </c>
      <c r="BG42">
        <f>OR(AND(IF(Metadata!U42="",FALSE,TRUE),OR(exact(Metadata!U42,"not collected"),exact(Metadata!U42,"not provided"),exact(Metadata!U42,"restricted access"))),AND(IF(Metadata!U42="",FALSE,ISNUMBER(VALUE(Metadata!U42))),Metadata!U42&gt;=-180.00,Metadata!U42&lt;=180.00))</f>
        <v>0</v>
      </c>
      <c r="BH42">
        <f>AND(IF(Metadata!V42="",FALSE,TRUE),exact(Metadata!V42,"Decimal degrees"))</f>
        <v>0</v>
      </c>
      <c r="BI42">
        <f>IF(Metadata!W42="",FALSE,TRUE)</f>
        <v>0</v>
      </c>
      <c r="BJ42">
        <f>OR(AND(IF(Metadata!X42="",FALSE,TRUE),OR(exact(Metadata!X42,"not collected"),exact(Metadata!X42,"not provided"),exact(Metadata!X42,"restricted access"))),AND(IF(Metadata!X42="",FALSE,TRUE),OR(exact(Metadata!X42,"TRUE"),exact(Metadata!X42,"FALSE"))))</f>
        <v>0</v>
      </c>
      <c r="BK42">
        <f>AND(IF(Metadata!Y42="",FALSE,TRUE),exact(Metadata!Y42,"other"))</f>
        <v>0</v>
      </c>
      <c r="BL42">
        <f>IF(Metadata!Z42="",FALSE,TRUE)</f>
        <v>0</v>
      </c>
      <c r="BM42">
        <f>OR(AND(IF(Metadata!AA42="",FALSE,TRUE),OR(exact(Metadata!AA42,"not collected"),exact(Metadata!AA42,"not provided"))),AND(IF(Metadata!AA42="",FALSE,IF(ISERROR(INT(Metadata!AA42)),FALSE,INT(Metadata!AA42)=Metadata!AA42)),Metadata!AA42&gt;0))</f>
        <v>0</v>
      </c>
      <c r="BN42">
        <f>AND(IF(Metadata!AB42="",FALSE,TRUE),exact(Metadata!AB42,"Not applicable"))</f>
        <v>0</v>
      </c>
      <c r="BO42">
        <f>IF(Metadata!AC42="",FALSE,TRUE)</f>
        <v>0</v>
      </c>
    </row>
    <row r="43" spans="1:67">
      <c r="A43" s="5">
        <f>IF(B43=" "," ",HYPERLINK(CONCATENATE("#metadata!",ADDRESS(INDEX($AI$2:$AI$1001,MATCH(ROWS($AG$2:AG43),$AG$2:$AG$1001,0),0),1)),INDEX($AL$2:$AL$1001,MATCH(ROWS($AG$2:AG43),$AG$2:$AG$1001,0),0)))</f>
        <v>0</v>
      </c>
      <c r="B43" s="4">
        <f>IF(OR(INDEX($AH$2:$AH$1001,MATCH(ROWS($AG$2:AG43),$AG$2:$AG$1001,0),1)&gt;=100000,INDEX($AN$1005:$BO$1005,1,MATCH(COLUMNS($AN$1006:AN1006),$AN$1006:$BO$1006,0))&gt;=100000), " ",IF(INDEX($AN$2:$BO$1001,MATCH(ROWS($AG$2:AG43),$AG$2:$AG$1001,0),MATCH(COLUMNS($AN$1006:AN1006),$AN$1006:$BO$1006,0)), HYPERLINK("#",""), HYPERLINK(CONCATENATE("#Metadata!", ADDRESS(INDEX($AI$2:$AI$1001,MATCH(ROWS($AG$2:AG43),$AG$2:$AG$1001,0),0), INDEX($AN$1004:$BO$1004,1,MATCH(COLUMNS($AN$1006:AN1006),$AN$1006:$BO$1006,0)))),"Fix")))</f>
        <v>0</v>
      </c>
      <c r="C43" s="4">
        <f>IF(OR(INDEX($AH$2:$AH$1001,MATCH(ROWS($AG$2:AG43),$AG$2:$AG$1001,0),1)&gt;=100000,INDEX($AN$1005:$BO$1005,1,MATCH(COLUMNS($AN$1006:AO1006),$AN$1006:$BO$1006,0))&gt;=100000), " ",IF(INDEX($AN$2:$BO$1001,MATCH(ROWS($AG$2:AG43),$AG$2:$AG$1001,0),MATCH(COLUMNS($AN$1006:AO1006),$AN$1006:$BO$1006,0)), HYPERLINK("#",""), HYPERLINK(CONCATENATE("#Metadata!", ADDRESS(INDEX($AI$2:$AI$1001,MATCH(ROWS($AG$2:AG43),$AG$2:$AG$1001,0),0), INDEX($AN$1004:$BO$1004,1,MATCH(COLUMNS($AN$1006:AO1006),$AN$1006:$BO$1006,0)))),"Fix")))</f>
        <v>0</v>
      </c>
      <c r="D43" s="4">
        <f>IF(OR(INDEX($AH$2:$AH$1001,MATCH(ROWS($AG$2:AG43),$AG$2:$AG$1001,0),1)&gt;=100000,INDEX($AN$1005:$BO$1005,1,MATCH(COLUMNS($AN$1006:AP1006),$AN$1006:$BO$1006,0))&gt;=100000), " ",IF(INDEX($AN$2:$BO$1001,MATCH(ROWS($AG$2:AG43),$AG$2:$AG$1001,0),MATCH(COLUMNS($AN$1006:AP1006),$AN$1006:$BO$1006,0)), HYPERLINK("#",""), HYPERLINK(CONCATENATE("#Metadata!", ADDRESS(INDEX($AI$2:$AI$1001,MATCH(ROWS($AG$2:AG43),$AG$2:$AG$1001,0),0), INDEX($AN$1004:$BO$1004,1,MATCH(COLUMNS($AN$1006:AP1006),$AN$1006:$BO$1006,0)))),"Fix")))</f>
        <v>0</v>
      </c>
      <c r="E43" s="4">
        <f>IF(OR(INDEX($AH$2:$AH$1001,MATCH(ROWS($AG$2:AG43),$AG$2:$AG$1001,0),1)&gt;=100000,INDEX($AN$1005:$BO$1005,1,MATCH(COLUMNS($AN$1006:AQ1006),$AN$1006:$BO$1006,0))&gt;=100000), " ",IF(INDEX($AN$2:$BO$1001,MATCH(ROWS($AG$2:AG43),$AG$2:$AG$1001,0),MATCH(COLUMNS($AN$1006:AQ1006),$AN$1006:$BO$1006,0)), HYPERLINK("#",""), HYPERLINK(CONCATENATE("#Metadata!", ADDRESS(INDEX($AI$2:$AI$1001,MATCH(ROWS($AG$2:AG43),$AG$2:$AG$1001,0),0), INDEX($AN$1004:$BO$1004,1,MATCH(COLUMNS($AN$1006:AQ1006),$AN$1006:$BO$1006,0)))),"Fix")))</f>
        <v>0</v>
      </c>
      <c r="F43" s="4">
        <f>IF(OR(INDEX($AH$2:$AH$1001,MATCH(ROWS($AG$2:AG43),$AG$2:$AG$1001,0),1)&gt;=100000,INDEX($AN$1005:$BO$1005,1,MATCH(COLUMNS($AN$1006:AR1006),$AN$1006:$BO$1006,0))&gt;=100000), " ",IF(INDEX($AN$2:$BO$1001,MATCH(ROWS($AG$2:AG43),$AG$2:$AG$1001,0),MATCH(COLUMNS($AN$1006:AR1006),$AN$1006:$BO$1006,0)), HYPERLINK("#",""), HYPERLINK(CONCATENATE("#Metadata!", ADDRESS(INDEX($AI$2:$AI$1001,MATCH(ROWS($AG$2:AG43),$AG$2:$AG$1001,0),0), INDEX($AN$1004:$BO$1004,1,MATCH(COLUMNS($AN$1006:AR1006),$AN$1006:$BO$1006,0)))),"Fix")))</f>
        <v>0</v>
      </c>
      <c r="G43" s="4">
        <f>IF(OR(INDEX($AH$2:$AH$1001,MATCH(ROWS($AG$2:AG43),$AG$2:$AG$1001,0),1)&gt;=100000,INDEX($AN$1005:$BO$1005,1,MATCH(COLUMNS($AN$1006:AS1006),$AN$1006:$BO$1006,0))&gt;=100000), " ",IF(INDEX($AN$2:$BO$1001,MATCH(ROWS($AG$2:AG43),$AG$2:$AG$1001,0),MATCH(COLUMNS($AN$1006:AS1006),$AN$1006:$BO$1006,0)), HYPERLINK("#",""), HYPERLINK(CONCATENATE("#Metadata!", ADDRESS(INDEX($AI$2:$AI$1001,MATCH(ROWS($AG$2:AG43),$AG$2:$AG$1001,0),0), INDEX($AN$1004:$BO$1004,1,MATCH(COLUMNS($AN$1006:AS1006),$AN$1006:$BO$1006,0)))),"Fix")))</f>
        <v>0</v>
      </c>
      <c r="H43" s="4">
        <f>IF(OR(INDEX($AH$2:$AH$1001,MATCH(ROWS($AG$2:AG43),$AG$2:$AG$1001,0),1)&gt;=100000,INDEX($AN$1005:$BO$1005,1,MATCH(COLUMNS($AN$1006:AT1006),$AN$1006:$BO$1006,0))&gt;=100000), " ",IF(INDEX($AN$2:$BO$1001,MATCH(ROWS($AG$2:AG43),$AG$2:$AG$1001,0),MATCH(COLUMNS($AN$1006:AT1006),$AN$1006:$BO$1006,0)), HYPERLINK("#",""), HYPERLINK(CONCATENATE("#Metadata!", ADDRESS(INDEX($AI$2:$AI$1001,MATCH(ROWS($AG$2:AG43),$AG$2:$AG$1001,0),0), INDEX($AN$1004:$BO$1004,1,MATCH(COLUMNS($AN$1006:AT1006),$AN$1006:$BO$1006,0)))),"Fix")))</f>
        <v>0</v>
      </c>
      <c r="I43" s="4">
        <f>IF(OR(INDEX($AH$2:$AH$1001,MATCH(ROWS($AG$2:AG43),$AG$2:$AG$1001,0),1)&gt;=100000,INDEX($AN$1005:$BO$1005,1,MATCH(COLUMNS($AN$1006:AU1006),$AN$1006:$BO$1006,0))&gt;=100000), " ",IF(INDEX($AN$2:$BO$1001,MATCH(ROWS($AG$2:AG43),$AG$2:$AG$1001,0),MATCH(COLUMNS($AN$1006:AU1006),$AN$1006:$BO$1006,0)), HYPERLINK("#",""), HYPERLINK(CONCATENATE("#Metadata!", ADDRESS(INDEX($AI$2:$AI$1001,MATCH(ROWS($AG$2:AG43),$AG$2:$AG$1001,0),0), INDEX($AN$1004:$BO$1004,1,MATCH(COLUMNS($AN$1006:AU1006),$AN$1006:$BO$1006,0)))),"Fix")))</f>
        <v>0</v>
      </c>
      <c r="J43" s="4">
        <f>IF(OR(INDEX($AH$2:$AH$1001,MATCH(ROWS($AG$2:AG43),$AG$2:$AG$1001,0),1)&gt;=100000,INDEX($AN$1005:$BO$1005,1,MATCH(COLUMNS($AN$1006:AV1006),$AN$1006:$BO$1006,0))&gt;=100000), " ",IF(INDEX($AN$2:$BO$1001,MATCH(ROWS($AG$2:AG43),$AG$2:$AG$1001,0),MATCH(COLUMNS($AN$1006:AV1006),$AN$1006:$BO$1006,0)), HYPERLINK("#",""), HYPERLINK(CONCATENATE("#Metadata!", ADDRESS(INDEX($AI$2:$AI$1001,MATCH(ROWS($AG$2:AG43),$AG$2:$AG$1001,0),0), INDEX($AN$1004:$BO$1004,1,MATCH(COLUMNS($AN$1006:AV1006),$AN$1006:$BO$1006,0)))),"Fix")))</f>
        <v>0</v>
      </c>
      <c r="K43" s="4">
        <f>IF(OR(INDEX($AH$2:$AH$1001,MATCH(ROWS($AG$2:AG43),$AG$2:$AG$1001,0),1)&gt;=100000,INDEX($AN$1005:$BO$1005,1,MATCH(COLUMNS($AN$1006:AW1006),$AN$1006:$BO$1006,0))&gt;=100000), " ",IF(INDEX($AN$2:$BO$1001,MATCH(ROWS($AG$2:AG43),$AG$2:$AG$1001,0),MATCH(COLUMNS($AN$1006:AW1006),$AN$1006:$BO$1006,0)), HYPERLINK("#",""), HYPERLINK(CONCATENATE("#Metadata!", ADDRESS(INDEX($AI$2:$AI$1001,MATCH(ROWS($AG$2:AG43),$AG$2:$AG$1001,0),0), INDEX($AN$1004:$BO$1004,1,MATCH(COLUMNS($AN$1006:AW1006),$AN$1006:$BO$1006,0)))),"Fix")))</f>
        <v>0</v>
      </c>
      <c r="L43" s="4">
        <f>IF(OR(INDEX($AH$2:$AH$1001,MATCH(ROWS($AG$2:AG43),$AG$2:$AG$1001,0),1)&gt;=100000,INDEX($AN$1005:$BO$1005,1,MATCH(COLUMNS($AN$1006:AX1006),$AN$1006:$BO$1006,0))&gt;=100000), " ",IF(INDEX($AN$2:$BO$1001,MATCH(ROWS($AG$2:AG43),$AG$2:$AG$1001,0),MATCH(COLUMNS($AN$1006:AX1006),$AN$1006:$BO$1006,0)), HYPERLINK("#",""), HYPERLINK(CONCATENATE("#Metadata!", ADDRESS(INDEX($AI$2:$AI$1001,MATCH(ROWS($AG$2:AG43),$AG$2:$AG$1001,0),0), INDEX($AN$1004:$BO$1004,1,MATCH(COLUMNS($AN$1006:AX1006),$AN$1006:$BO$1006,0)))),"Fix")))</f>
        <v>0</v>
      </c>
      <c r="M43" s="4">
        <f>IF(OR(INDEX($AH$2:$AH$1001,MATCH(ROWS($AG$2:AG43),$AG$2:$AG$1001,0),1)&gt;=100000,INDEX($AN$1005:$BO$1005,1,MATCH(COLUMNS($AN$1006:AY1006),$AN$1006:$BO$1006,0))&gt;=100000), " ",IF(INDEX($AN$2:$BO$1001,MATCH(ROWS($AG$2:AG43),$AG$2:$AG$1001,0),MATCH(COLUMNS($AN$1006:AY1006),$AN$1006:$BO$1006,0)), HYPERLINK("#",""), HYPERLINK(CONCATENATE("#Metadata!", ADDRESS(INDEX($AI$2:$AI$1001,MATCH(ROWS($AG$2:AG43),$AG$2:$AG$1001,0),0), INDEX($AN$1004:$BO$1004,1,MATCH(COLUMNS($AN$1006:AY1006),$AN$1006:$BO$1006,0)))),"Fix")))</f>
        <v>0</v>
      </c>
      <c r="N43" s="4">
        <f>IF(OR(INDEX($AH$2:$AH$1001,MATCH(ROWS($AG$2:AG43),$AG$2:$AG$1001,0),1)&gt;=100000,INDEX($AN$1005:$BO$1005,1,MATCH(COLUMNS($AN$1006:AZ1006),$AN$1006:$BO$1006,0))&gt;=100000), " ",IF(INDEX($AN$2:$BO$1001,MATCH(ROWS($AG$2:AG43),$AG$2:$AG$1001,0),MATCH(COLUMNS($AN$1006:AZ1006),$AN$1006:$BO$1006,0)), HYPERLINK("#",""), HYPERLINK(CONCATENATE("#Metadata!", ADDRESS(INDEX($AI$2:$AI$1001,MATCH(ROWS($AG$2:AG43),$AG$2:$AG$1001,0),0), INDEX($AN$1004:$BO$1004,1,MATCH(COLUMNS($AN$1006:AZ1006),$AN$1006:$BO$1006,0)))),"Fix")))</f>
        <v>0</v>
      </c>
      <c r="O43" s="4">
        <f>IF(OR(INDEX($AH$2:$AH$1001,MATCH(ROWS($AG$2:AG43),$AG$2:$AG$1001,0),1)&gt;=100000,INDEX($AN$1005:$BO$1005,1,MATCH(COLUMNS($AN$1006:BA1006),$AN$1006:$BO$1006,0))&gt;=100000), " ",IF(INDEX($AN$2:$BO$1001,MATCH(ROWS($AG$2:AG43),$AG$2:$AG$1001,0),MATCH(COLUMNS($AN$1006:BA1006),$AN$1006:$BO$1006,0)), HYPERLINK("#",""), HYPERLINK(CONCATENATE("#Metadata!", ADDRESS(INDEX($AI$2:$AI$1001,MATCH(ROWS($AG$2:AG43),$AG$2:$AG$1001,0),0), INDEX($AN$1004:$BO$1004,1,MATCH(COLUMNS($AN$1006:BA1006),$AN$1006:$BO$1006,0)))),"Fix")))</f>
        <v>0</v>
      </c>
      <c r="P43" s="4">
        <f>IF(OR(INDEX($AH$2:$AH$1001,MATCH(ROWS($AG$2:AG43),$AG$2:$AG$1001,0),1)&gt;=100000,INDEX($AN$1005:$BO$1005,1,MATCH(COLUMNS($AN$1006:BB1006),$AN$1006:$BO$1006,0))&gt;=100000), " ",IF(INDEX($AN$2:$BO$1001,MATCH(ROWS($AG$2:AG43),$AG$2:$AG$1001,0),MATCH(COLUMNS($AN$1006:BB1006),$AN$1006:$BO$1006,0)), HYPERLINK("#",""), HYPERLINK(CONCATENATE("#Metadata!", ADDRESS(INDEX($AI$2:$AI$1001,MATCH(ROWS($AG$2:AG43),$AG$2:$AG$1001,0),0), INDEX($AN$1004:$BO$1004,1,MATCH(COLUMNS($AN$1006:BB1006),$AN$1006:$BO$1006,0)))),"Fix")))</f>
        <v>0</v>
      </c>
      <c r="Q43" s="4">
        <f>IF(OR(INDEX($AH$2:$AH$1001,MATCH(ROWS($AG$2:AG43),$AG$2:$AG$1001,0),1)&gt;=100000,INDEX($AN$1005:$BO$1005,1,MATCH(COLUMNS($AN$1006:BC1006),$AN$1006:$BO$1006,0))&gt;=100000), " ",IF(INDEX($AN$2:$BO$1001,MATCH(ROWS($AG$2:AG43),$AG$2:$AG$1001,0),MATCH(COLUMNS($AN$1006:BC1006),$AN$1006:$BO$1006,0)), HYPERLINK("#",""), HYPERLINK(CONCATENATE("#Metadata!", ADDRESS(INDEX($AI$2:$AI$1001,MATCH(ROWS($AG$2:AG43),$AG$2:$AG$1001,0),0), INDEX($AN$1004:$BO$1004,1,MATCH(COLUMNS($AN$1006:BC1006),$AN$1006:$BO$1006,0)))),"Fix")))</f>
        <v>0</v>
      </c>
      <c r="R43" s="4">
        <f>IF(OR(INDEX($AH$2:$AH$1001,MATCH(ROWS($AG$2:AG43),$AG$2:$AG$1001,0),1)&gt;=100000,INDEX($AN$1005:$BO$1005,1,MATCH(COLUMNS($AN$1006:BD1006),$AN$1006:$BO$1006,0))&gt;=100000), " ",IF(INDEX($AN$2:$BO$1001,MATCH(ROWS($AG$2:AG43),$AG$2:$AG$1001,0),MATCH(COLUMNS($AN$1006:BD1006),$AN$1006:$BO$1006,0)), HYPERLINK("#",""), HYPERLINK(CONCATENATE("#Metadata!", ADDRESS(INDEX($AI$2:$AI$1001,MATCH(ROWS($AG$2:AG43),$AG$2:$AG$1001,0),0), INDEX($AN$1004:$BO$1004,1,MATCH(COLUMNS($AN$1006:BD1006),$AN$1006:$BO$1006,0)))),"Fix")))</f>
        <v>0</v>
      </c>
      <c r="S43" s="4">
        <f>IF(OR(INDEX($AH$2:$AH$1001,MATCH(ROWS($AG$2:AG43),$AG$2:$AG$1001,0),1)&gt;=100000,INDEX($AN$1005:$BO$1005,1,MATCH(COLUMNS($AN$1006:BE1006),$AN$1006:$BO$1006,0))&gt;=100000), " ",IF(INDEX($AN$2:$BO$1001,MATCH(ROWS($AG$2:AG43),$AG$2:$AG$1001,0),MATCH(COLUMNS($AN$1006:BE1006),$AN$1006:$BO$1006,0)), HYPERLINK("#",""), HYPERLINK(CONCATENATE("#Metadata!", ADDRESS(INDEX($AI$2:$AI$1001,MATCH(ROWS($AG$2:AG43),$AG$2:$AG$1001,0),0), INDEX($AN$1004:$BO$1004,1,MATCH(COLUMNS($AN$1006:BE1006),$AN$1006:$BO$1006,0)))),"Fix")))</f>
        <v>0</v>
      </c>
      <c r="T43" s="4">
        <f>IF(OR(INDEX($AH$2:$AH$1001,MATCH(ROWS($AG$2:AG43),$AG$2:$AG$1001,0),1)&gt;=100000,INDEX($AN$1005:$BO$1005,1,MATCH(COLUMNS($AN$1006:BF1006),$AN$1006:$BO$1006,0))&gt;=100000), " ",IF(INDEX($AN$2:$BO$1001,MATCH(ROWS($AG$2:AG43),$AG$2:$AG$1001,0),MATCH(COLUMNS($AN$1006:BF1006),$AN$1006:$BO$1006,0)), HYPERLINK("#",""), HYPERLINK(CONCATENATE("#Metadata!", ADDRESS(INDEX($AI$2:$AI$1001,MATCH(ROWS($AG$2:AG43),$AG$2:$AG$1001,0),0), INDEX($AN$1004:$BO$1004,1,MATCH(COLUMNS($AN$1006:BF1006),$AN$1006:$BO$1006,0)))),"Fix")))</f>
        <v>0</v>
      </c>
      <c r="U43" s="4">
        <f>IF(OR(INDEX($AH$2:$AH$1001,MATCH(ROWS($AG$2:AG43),$AG$2:$AG$1001,0),1)&gt;=100000,INDEX($AN$1005:$BO$1005,1,MATCH(COLUMNS($AN$1006:BG1006),$AN$1006:$BO$1006,0))&gt;=100000), " ",IF(INDEX($AN$2:$BO$1001,MATCH(ROWS($AG$2:AG43),$AG$2:$AG$1001,0),MATCH(COLUMNS($AN$1006:BG1006),$AN$1006:$BO$1006,0)), HYPERLINK("#",""), HYPERLINK(CONCATENATE("#Metadata!", ADDRESS(INDEX($AI$2:$AI$1001,MATCH(ROWS($AG$2:AG43),$AG$2:$AG$1001,0),0), INDEX($AN$1004:$BO$1004,1,MATCH(COLUMNS($AN$1006:BG1006),$AN$1006:$BO$1006,0)))),"Fix")))</f>
        <v>0</v>
      </c>
      <c r="V43" s="4">
        <f>IF(OR(INDEX($AH$2:$AH$1001,MATCH(ROWS($AG$2:AG43),$AG$2:$AG$1001,0),1)&gt;=100000,INDEX($AN$1005:$BO$1005,1,MATCH(COLUMNS($AN$1006:BH1006),$AN$1006:$BO$1006,0))&gt;=100000), " ",IF(INDEX($AN$2:$BO$1001,MATCH(ROWS($AG$2:AG43),$AG$2:$AG$1001,0),MATCH(COLUMNS($AN$1006:BH1006),$AN$1006:$BO$1006,0)), HYPERLINK("#",""), HYPERLINK(CONCATENATE("#Metadata!", ADDRESS(INDEX($AI$2:$AI$1001,MATCH(ROWS($AG$2:AG43),$AG$2:$AG$1001,0),0), INDEX($AN$1004:$BO$1004,1,MATCH(COLUMNS($AN$1006:BH1006),$AN$1006:$BO$1006,0)))),"Fix")))</f>
        <v>0</v>
      </c>
      <c r="W43" s="4">
        <f>IF(OR(INDEX($AH$2:$AH$1001,MATCH(ROWS($AG$2:AG43),$AG$2:$AG$1001,0),1)&gt;=100000,INDEX($AN$1005:$BO$1005,1,MATCH(COLUMNS($AN$1006:BI1006),$AN$1006:$BO$1006,0))&gt;=100000), " ",IF(INDEX($AN$2:$BO$1001,MATCH(ROWS($AG$2:AG43),$AG$2:$AG$1001,0),MATCH(COLUMNS($AN$1006:BI1006),$AN$1006:$BO$1006,0)), HYPERLINK("#",""), HYPERLINK(CONCATENATE("#Metadata!", ADDRESS(INDEX($AI$2:$AI$1001,MATCH(ROWS($AG$2:AG43),$AG$2:$AG$1001,0),0), INDEX($AN$1004:$BO$1004,1,MATCH(COLUMNS($AN$1006:BI1006),$AN$1006:$BO$1006,0)))),"Fix")))</f>
        <v>0</v>
      </c>
      <c r="X43" s="4">
        <f>IF(OR(INDEX($AH$2:$AH$1001,MATCH(ROWS($AG$2:AG43),$AG$2:$AG$1001,0),1)&gt;=100000,INDEX($AN$1005:$BO$1005,1,MATCH(COLUMNS($AN$1006:BJ1006),$AN$1006:$BO$1006,0))&gt;=100000), " ",IF(INDEX($AN$2:$BO$1001,MATCH(ROWS($AG$2:AG43),$AG$2:$AG$1001,0),MATCH(COLUMNS($AN$1006:BJ1006),$AN$1006:$BO$1006,0)), HYPERLINK("#",""), HYPERLINK(CONCATENATE("#Metadata!", ADDRESS(INDEX($AI$2:$AI$1001,MATCH(ROWS($AG$2:AG43),$AG$2:$AG$1001,0),0), INDEX($AN$1004:$BO$1004,1,MATCH(COLUMNS($AN$1006:BJ1006),$AN$1006:$BO$1006,0)))),"Fix")))</f>
        <v>0</v>
      </c>
      <c r="Y43" s="4">
        <f>IF(OR(INDEX($AH$2:$AH$1001,MATCH(ROWS($AG$2:AG43),$AG$2:$AG$1001,0),1)&gt;=100000,INDEX($AN$1005:$BO$1005,1,MATCH(COLUMNS($AN$1006:BK1006),$AN$1006:$BO$1006,0))&gt;=100000), " ",IF(INDEX($AN$2:$BO$1001,MATCH(ROWS($AG$2:AG43),$AG$2:$AG$1001,0),MATCH(COLUMNS($AN$1006:BK1006),$AN$1006:$BO$1006,0)), HYPERLINK("#",""), HYPERLINK(CONCATENATE("#Metadata!", ADDRESS(INDEX($AI$2:$AI$1001,MATCH(ROWS($AG$2:AG43),$AG$2:$AG$1001,0),0), INDEX($AN$1004:$BO$1004,1,MATCH(COLUMNS($AN$1006:BK1006),$AN$1006:$BO$1006,0)))),"Fix")))</f>
        <v>0</v>
      </c>
      <c r="Z43" s="4">
        <f>IF(OR(INDEX($AH$2:$AH$1001,MATCH(ROWS($AG$2:AG43),$AG$2:$AG$1001,0),1)&gt;=100000,INDEX($AN$1005:$BO$1005,1,MATCH(COLUMNS($AN$1006:BL1006),$AN$1006:$BO$1006,0))&gt;=100000), " ",IF(INDEX($AN$2:$BO$1001,MATCH(ROWS($AG$2:AG43),$AG$2:$AG$1001,0),MATCH(COLUMNS($AN$1006:BL1006),$AN$1006:$BO$1006,0)), HYPERLINK("#",""), HYPERLINK(CONCATENATE("#Metadata!", ADDRESS(INDEX($AI$2:$AI$1001,MATCH(ROWS($AG$2:AG43),$AG$2:$AG$1001,0),0), INDEX($AN$1004:$BO$1004,1,MATCH(COLUMNS($AN$1006:BL1006),$AN$1006:$BO$1006,0)))),"Fix")))</f>
        <v>0</v>
      </c>
      <c r="AA43" s="4">
        <f>IF(OR(INDEX($AH$2:$AH$1001,MATCH(ROWS($AG$2:AG43),$AG$2:$AG$1001,0),1)&gt;=100000,INDEX($AN$1005:$BO$1005,1,MATCH(COLUMNS($AN$1006:BM1006),$AN$1006:$BO$1006,0))&gt;=100000), " ",IF(INDEX($AN$2:$BO$1001,MATCH(ROWS($AG$2:AG43),$AG$2:$AG$1001,0),MATCH(COLUMNS($AN$1006:BM1006),$AN$1006:$BO$1006,0)), HYPERLINK("#",""), HYPERLINK(CONCATENATE("#Metadata!", ADDRESS(INDEX($AI$2:$AI$1001,MATCH(ROWS($AG$2:AG43),$AG$2:$AG$1001,0),0), INDEX($AN$1004:$BO$1004,1,MATCH(COLUMNS($AN$1006:BM1006),$AN$1006:$BO$1006,0)))),"Fix")))</f>
        <v>0</v>
      </c>
      <c r="AB43" s="4">
        <f>IF(OR(INDEX($AH$2:$AH$1001,MATCH(ROWS($AG$2:AG43),$AG$2:$AG$1001,0),1)&gt;=100000,INDEX($AN$1005:$BO$1005,1,MATCH(COLUMNS($AN$1006:BN1006),$AN$1006:$BO$1006,0))&gt;=100000), " ",IF(INDEX($AN$2:$BO$1001,MATCH(ROWS($AG$2:AG43),$AG$2:$AG$1001,0),MATCH(COLUMNS($AN$1006:BN1006),$AN$1006:$BO$1006,0)), HYPERLINK("#",""), HYPERLINK(CONCATENATE("#Metadata!", ADDRESS(INDEX($AI$2:$AI$1001,MATCH(ROWS($AG$2:AG43),$AG$2:$AG$1001,0),0), INDEX($AN$1004:$BO$1004,1,MATCH(COLUMNS($AN$1006:BN1006),$AN$1006:$BO$1006,0)))),"Fix")))</f>
        <v>0</v>
      </c>
      <c r="AC43" s="4">
        <f>IF(OR(INDEX($AH$2:$AH$1001,MATCH(ROWS($AG$2:AG43),$AG$2:$AG$1001,0),1)&gt;=100000,INDEX($AN$1005:$BO$1005,1,MATCH(COLUMNS($AN$1006:BO1006),$AN$1006:$BO$1006,0))&gt;=100000), " ",IF(INDEX($AN$2:$BO$1001,MATCH(ROWS($AG$2:AG43),$AG$2:$AG$1001,0),MATCH(COLUMNS($AN$1006:BO1006),$AN$1006:$BO$1006,0)), HYPERLINK("#",""), HYPERLINK(CONCATENATE("#Metadata!", ADDRESS(INDEX($AI$2:$AI$1001,MATCH(ROWS($AG$2:AG43),$AG$2:$AG$1001,0),0), INDEX($AN$1004:$BO$1004,1,MATCH(COLUMNS($AN$1006:BO1006),$AN$1006:$BO$1006,0)))),"Fix")))</f>
        <v>0</v>
      </c>
      <c r="AG43">
        <v>0</v>
      </c>
      <c r="AH43">
        <v>0</v>
      </c>
      <c r="AI43">
        <v>0</v>
      </c>
      <c r="AJ43">
        <f>IF(AK43,TRUE,AND(AN43:BO43))</f>
        <v>0</v>
      </c>
      <c r="AK43">
        <f>COUNTBLANK(Metadata!B43:AC43)=COLUMNS(Metadata!B43:AC43)</f>
        <v>0</v>
      </c>
      <c r="AL43">
        <v>0</v>
      </c>
      <c r="AN43">
        <f>AND(IF(Metadata!B43="",FALSE,TRUE),COUNTIF(Metadata!B:B, Metadata!B43) = 1,NOT(ISERROR(SUMPRODUCT(SEARCH(MID(Metadata!B43,ROW(INDIRECT("1:"&amp;LEN(Metadata!B43))), 1),"0123456789abcdefghijklmnopqrstuvwxyzABCDEFGHIJKLMNOPQRSTUVWXYZ.")))))</f>
        <v>0</v>
      </c>
      <c r="AO43">
        <f>IF(Metadata!C43="",FALSE,TRUE)</f>
        <v>0</v>
      </c>
      <c r="AP43">
        <f>IF(Metadata!D43="",FALSE,TRUE)</f>
        <v>0</v>
      </c>
      <c r="AQ43">
        <f>OR(AND(IF(Metadata!E43="",FALSE,TRUE),OR(exact(Metadata!E43,"not collected"),exact(Metadata!E43,"not provided"),exact(Metadata!E43,"restricted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R43">
        <f>IF(Metadata!F43="",FALSE,TRUE)</f>
        <v>0</v>
      </c>
      <c r="AS43">
        <f>OR(AND(IF(Metadata!G43="",FALSE,TRUE),OR(exact(Metadata!G43,"not collected"),exact(Metadata!G43,"not provided"))),AND(IF(Metadata!G43="",FALSE,TRUE),OR(exact(Metadata!G43,"TRUE"),exact(Metadata!G43,"FALSE"))))</f>
        <v>0</v>
      </c>
      <c r="AT43">
        <f>OR(AND(IF(Metadata!H43="",FALSE,TRUE),OR(exact(Metadata!H43,"not collected"),exact(Metadata!H43,"not provided"),exact(Metadata!H43,"restricted access"))),AND(IF(Metadata!H43="",FALSE,ISNUMBER(VALUE(Metadata!H43))),Metadata!H43&gt;=-413.0))</f>
        <v>0</v>
      </c>
      <c r="AU43">
        <f>AND(IF(Metadata!I43="",FALSE,TRUE),exact(Metadata!I43,"meters"))</f>
        <v>0</v>
      </c>
      <c r="AV43">
        <f>AND(IF(Metadata!J43="",FALSE,TRUE),OR(exact(Metadata!J43,"Host-associated"),exact(Metadata!J43,"Free-living")))</f>
        <v>0</v>
      </c>
      <c r="AW43">
        <f>AND(IF(Metadata!K43="",FALSE,TRUE),OR(exact(Metadata!K43,"Animal"),exact(Metadata!K43,"Fungus"),exact(Metadata!K43,"Plant"),exact(Metadata!K43,"Saline"),exact(Metadata!K43,"Non-saline")))</f>
        <v>0</v>
      </c>
      <c r="AX43">
        <f>AND(IF(Metadata!L43="",FALSE,TRUE),OR(exact(Metadata!L43,"Plant secretion"),exact(Metadata!L43,"Plant rhizosphere"),exact(Metadata!L43,"Plant surface"),exact(Metadata!L43,"Plant corpus"),exact(Metadata!L43,"Fungus surface"),exact(Metadata!L43,"Fungus corpus"),exact(Metadata!L43,"Animal surface"),exact(Metadata!L43,"Animal proximal gut"),exact(Metadata!L43,"Animal corpus"),exact(Metadata!L43,"Animal distal gut"),exact(Metadata!L43,"Animal secretion"),exact(Metadata!L43,"Sub-surface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0</v>
      </c>
      <c r="AY43">
        <f>IF(Metadata!M43="",FALSE,TRUE)</f>
        <v>0</v>
      </c>
      <c r="AZ43">
        <f>IF(Metadata!N43="",FALSE,TRUE)</f>
        <v>0</v>
      </c>
      <c r="BA43">
        <f>IF(Metadata!O43="",FALSE,TRUE)</f>
        <v>0</v>
      </c>
      <c r="BB43">
        <f>OR(AND(IF(Metadata!P43="",FALSE,TRUE),OR(exact(Metadata!P43,"not collected"),exact(Metadata!P43,"not provided"),exact(Metadata!P43,"restricted access"))),AND(IF(Metadata!P43="",FALSE,TRUE),OR(exact(Metadata!P43,"air"),exact(Metadata!P43,"built environment"),exact(Metadata!P43,"host-associated"),exact(Metadata!P43,"human-associated"),exact(Metadata!P43,"human-skin"),exact(Metadata!P43,"human-oral"),exact(Metadata!P43,"human-gut"),exact(Metadata!P43,"human-vaginal"),exact(Metadata!P43,"microbial mat/biofilm"),exact(Metadata!P43,"misc environment"),exact(Metadata!P43,"plant-associated"),exact(Metadata!P43,"sediment"),exact(Metadata!P43,"soil"),exact(Metadata!P43,"wastewater/sludge"),exact(Metadata!P43,"water"))))</f>
        <v>0</v>
      </c>
      <c r="BC43">
        <f>IF(Metadata!Q43="",FALSE,TRUE)</f>
        <v>0</v>
      </c>
      <c r="BD43">
        <f>IF(Metadata!R43="",FALSE,TRUE)</f>
        <v>0</v>
      </c>
      <c r="BE43">
        <f>OR(AND(IF(Metadata!S43="",FALSE,TRUE),OR(exact(Metadata!S43,"not collected"),exact(Metadata!S43,"not provided"),exact(Metadata!S43,"restricted access"))),AND(IF(Metadata!S43="",FALSE,ISNUMBER(VALUE(Metadata!S43))),Metadata!S43&gt;=-90.00,Metadata!S43&lt;=90.00))</f>
        <v>0</v>
      </c>
      <c r="BF43">
        <f>AND(IF(Metadata!T43="",FALSE,TRUE),exact(Metadata!T43,"Decimal degrees"))</f>
        <v>0</v>
      </c>
      <c r="BG43">
        <f>OR(AND(IF(Metadata!U43="",FALSE,TRUE),OR(exact(Metadata!U43,"not collected"),exact(Metadata!U43,"not provided"),exact(Metadata!U43,"restricted access"))),AND(IF(Metadata!U43="",FALSE,ISNUMBER(VALUE(Metadata!U43))),Metadata!U43&gt;=-180.00,Metadata!U43&lt;=180.00))</f>
        <v>0</v>
      </c>
      <c r="BH43">
        <f>AND(IF(Metadata!V43="",FALSE,TRUE),exact(Metadata!V43,"Decimal degrees"))</f>
        <v>0</v>
      </c>
      <c r="BI43">
        <f>IF(Metadata!W43="",FALSE,TRUE)</f>
        <v>0</v>
      </c>
      <c r="BJ43">
        <f>OR(AND(IF(Metadata!X43="",FALSE,TRUE),OR(exact(Metadata!X43,"not collected"),exact(Metadata!X43,"not provided"),exact(Metadata!X43,"restricted access"))),AND(IF(Metadata!X43="",FALSE,TRUE),OR(exact(Metadata!X43,"TRUE"),exact(Metadata!X43,"FALSE"))))</f>
        <v>0</v>
      </c>
      <c r="BK43">
        <f>AND(IF(Metadata!Y43="",FALSE,TRUE),exact(Metadata!Y43,"other"))</f>
        <v>0</v>
      </c>
      <c r="BL43">
        <f>IF(Metadata!Z43="",FALSE,TRUE)</f>
        <v>0</v>
      </c>
      <c r="BM43">
        <f>OR(AND(IF(Metadata!AA43="",FALSE,TRUE),OR(exact(Metadata!AA43,"not collected"),exact(Metadata!AA43,"not provided"))),AND(IF(Metadata!AA43="",FALSE,IF(ISERROR(INT(Metadata!AA43)),FALSE,INT(Metadata!AA43)=Metadata!AA43)),Metadata!AA43&gt;0))</f>
        <v>0</v>
      </c>
      <c r="BN43">
        <f>AND(IF(Metadata!AB43="",FALSE,TRUE),exact(Metadata!AB43,"Not applicable"))</f>
        <v>0</v>
      </c>
      <c r="BO43">
        <f>IF(Metadata!AC43="",FALSE,TRUE)</f>
        <v>0</v>
      </c>
    </row>
    <row r="44" spans="1:67">
      <c r="A44" s="5">
        <f>IF(B44=" "," ",HYPERLINK(CONCATENATE("#metadata!",ADDRESS(INDEX($AI$2:$AI$1001,MATCH(ROWS($AG$2:AG44),$AG$2:$AG$1001,0),0),1)),INDEX($AL$2:$AL$1001,MATCH(ROWS($AG$2:AG44),$AG$2:$AG$1001,0),0)))</f>
        <v>0</v>
      </c>
      <c r="B44" s="4">
        <f>IF(OR(INDEX($AH$2:$AH$1001,MATCH(ROWS($AG$2:AG44),$AG$2:$AG$1001,0),1)&gt;=100000,INDEX($AN$1005:$BO$1005,1,MATCH(COLUMNS($AN$1006:AN1006),$AN$1006:$BO$1006,0))&gt;=100000), " ",IF(INDEX($AN$2:$BO$1001,MATCH(ROWS($AG$2:AG44),$AG$2:$AG$1001,0),MATCH(COLUMNS($AN$1006:AN1006),$AN$1006:$BO$1006,0)), HYPERLINK("#",""), HYPERLINK(CONCATENATE("#Metadata!", ADDRESS(INDEX($AI$2:$AI$1001,MATCH(ROWS($AG$2:AG44),$AG$2:$AG$1001,0),0), INDEX($AN$1004:$BO$1004,1,MATCH(COLUMNS($AN$1006:AN1006),$AN$1006:$BO$1006,0)))),"Fix")))</f>
        <v>0</v>
      </c>
      <c r="C44" s="4">
        <f>IF(OR(INDEX($AH$2:$AH$1001,MATCH(ROWS($AG$2:AG44),$AG$2:$AG$1001,0),1)&gt;=100000,INDEX($AN$1005:$BO$1005,1,MATCH(COLUMNS($AN$1006:AO1006),$AN$1006:$BO$1006,0))&gt;=100000), " ",IF(INDEX($AN$2:$BO$1001,MATCH(ROWS($AG$2:AG44),$AG$2:$AG$1001,0),MATCH(COLUMNS($AN$1006:AO1006),$AN$1006:$BO$1006,0)), HYPERLINK("#",""), HYPERLINK(CONCATENATE("#Metadata!", ADDRESS(INDEX($AI$2:$AI$1001,MATCH(ROWS($AG$2:AG44),$AG$2:$AG$1001,0),0), INDEX($AN$1004:$BO$1004,1,MATCH(COLUMNS($AN$1006:AO1006),$AN$1006:$BO$1006,0)))),"Fix")))</f>
        <v>0</v>
      </c>
      <c r="D44" s="4">
        <f>IF(OR(INDEX($AH$2:$AH$1001,MATCH(ROWS($AG$2:AG44),$AG$2:$AG$1001,0),1)&gt;=100000,INDEX($AN$1005:$BO$1005,1,MATCH(COLUMNS($AN$1006:AP1006),$AN$1006:$BO$1006,0))&gt;=100000), " ",IF(INDEX($AN$2:$BO$1001,MATCH(ROWS($AG$2:AG44),$AG$2:$AG$1001,0),MATCH(COLUMNS($AN$1006:AP1006),$AN$1006:$BO$1006,0)), HYPERLINK("#",""), HYPERLINK(CONCATENATE("#Metadata!", ADDRESS(INDEX($AI$2:$AI$1001,MATCH(ROWS($AG$2:AG44),$AG$2:$AG$1001,0),0), INDEX($AN$1004:$BO$1004,1,MATCH(COLUMNS($AN$1006:AP1006),$AN$1006:$BO$1006,0)))),"Fix")))</f>
        <v>0</v>
      </c>
      <c r="E44" s="4">
        <f>IF(OR(INDEX($AH$2:$AH$1001,MATCH(ROWS($AG$2:AG44),$AG$2:$AG$1001,0),1)&gt;=100000,INDEX($AN$1005:$BO$1005,1,MATCH(COLUMNS($AN$1006:AQ1006),$AN$1006:$BO$1006,0))&gt;=100000), " ",IF(INDEX($AN$2:$BO$1001,MATCH(ROWS($AG$2:AG44),$AG$2:$AG$1001,0),MATCH(COLUMNS($AN$1006:AQ1006),$AN$1006:$BO$1006,0)), HYPERLINK("#",""), HYPERLINK(CONCATENATE("#Metadata!", ADDRESS(INDEX($AI$2:$AI$1001,MATCH(ROWS($AG$2:AG44),$AG$2:$AG$1001,0),0), INDEX($AN$1004:$BO$1004,1,MATCH(COLUMNS($AN$1006:AQ1006),$AN$1006:$BO$1006,0)))),"Fix")))</f>
        <v>0</v>
      </c>
      <c r="F44" s="4">
        <f>IF(OR(INDEX($AH$2:$AH$1001,MATCH(ROWS($AG$2:AG44),$AG$2:$AG$1001,0),1)&gt;=100000,INDEX($AN$1005:$BO$1005,1,MATCH(COLUMNS($AN$1006:AR1006),$AN$1006:$BO$1006,0))&gt;=100000), " ",IF(INDEX($AN$2:$BO$1001,MATCH(ROWS($AG$2:AG44),$AG$2:$AG$1001,0),MATCH(COLUMNS($AN$1006:AR1006),$AN$1006:$BO$1006,0)), HYPERLINK("#",""), HYPERLINK(CONCATENATE("#Metadata!", ADDRESS(INDEX($AI$2:$AI$1001,MATCH(ROWS($AG$2:AG44),$AG$2:$AG$1001,0),0), INDEX($AN$1004:$BO$1004,1,MATCH(COLUMNS($AN$1006:AR1006),$AN$1006:$BO$1006,0)))),"Fix")))</f>
        <v>0</v>
      </c>
      <c r="G44" s="4">
        <f>IF(OR(INDEX($AH$2:$AH$1001,MATCH(ROWS($AG$2:AG44),$AG$2:$AG$1001,0),1)&gt;=100000,INDEX($AN$1005:$BO$1005,1,MATCH(COLUMNS($AN$1006:AS1006),$AN$1006:$BO$1006,0))&gt;=100000), " ",IF(INDEX($AN$2:$BO$1001,MATCH(ROWS($AG$2:AG44),$AG$2:$AG$1001,0),MATCH(COLUMNS($AN$1006:AS1006),$AN$1006:$BO$1006,0)), HYPERLINK("#",""), HYPERLINK(CONCATENATE("#Metadata!", ADDRESS(INDEX($AI$2:$AI$1001,MATCH(ROWS($AG$2:AG44),$AG$2:$AG$1001,0),0), INDEX($AN$1004:$BO$1004,1,MATCH(COLUMNS($AN$1006:AS1006),$AN$1006:$BO$1006,0)))),"Fix")))</f>
        <v>0</v>
      </c>
      <c r="H44" s="4">
        <f>IF(OR(INDEX($AH$2:$AH$1001,MATCH(ROWS($AG$2:AG44),$AG$2:$AG$1001,0),1)&gt;=100000,INDEX($AN$1005:$BO$1005,1,MATCH(COLUMNS($AN$1006:AT1006),$AN$1006:$BO$1006,0))&gt;=100000), " ",IF(INDEX($AN$2:$BO$1001,MATCH(ROWS($AG$2:AG44),$AG$2:$AG$1001,0),MATCH(COLUMNS($AN$1006:AT1006),$AN$1006:$BO$1006,0)), HYPERLINK("#",""), HYPERLINK(CONCATENATE("#Metadata!", ADDRESS(INDEX($AI$2:$AI$1001,MATCH(ROWS($AG$2:AG44),$AG$2:$AG$1001,0),0), INDEX($AN$1004:$BO$1004,1,MATCH(COLUMNS($AN$1006:AT1006),$AN$1006:$BO$1006,0)))),"Fix")))</f>
        <v>0</v>
      </c>
      <c r="I44" s="4">
        <f>IF(OR(INDEX($AH$2:$AH$1001,MATCH(ROWS($AG$2:AG44),$AG$2:$AG$1001,0),1)&gt;=100000,INDEX($AN$1005:$BO$1005,1,MATCH(COLUMNS($AN$1006:AU1006),$AN$1006:$BO$1006,0))&gt;=100000), " ",IF(INDEX($AN$2:$BO$1001,MATCH(ROWS($AG$2:AG44),$AG$2:$AG$1001,0),MATCH(COLUMNS($AN$1006:AU1006),$AN$1006:$BO$1006,0)), HYPERLINK("#",""), HYPERLINK(CONCATENATE("#Metadata!", ADDRESS(INDEX($AI$2:$AI$1001,MATCH(ROWS($AG$2:AG44),$AG$2:$AG$1001,0),0), INDEX($AN$1004:$BO$1004,1,MATCH(COLUMNS($AN$1006:AU1006),$AN$1006:$BO$1006,0)))),"Fix")))</f>
        <v>0</v>
      </c>
      <c r="J44" s="4">
        <f>IF(OR(INDEX($AH$2:$AH$1001,MATCH(ROWS($AG$2:AG44),$AG$2:$AG$1001,0),1)&gt;=100000,INDEX($AN$1005:$BO$1005,1,MATCH(COLUMNS($AN$1006:AV1006),$AN$1006:$BO$1006,0))&gt;=100000), " ",IF(INDEX($AN$2:$BO$1001,MATCH(ROWS($AG$2:AG44),$AG$2:$AG$1001,0),MATCH(COLUMNS($AN$1006:AV1006),$AN$1006:$BO$1006,0)), HYPERLINK("#",""), HYPERLINK(CONCATENATE("#Metadata!", ADDRESS(INDEX($AI$2:$AI$1001,MATCH(ROWS($AG$2:AG44),$AG$2:$AG$1001,0),0), INDEX($AN$1004:$BO$1004,1,MATCH(COLUMNS($AN$1006:AV1006),$AN$1006:$BO$1006,0)))),"Fix")))</f>
        <v>0</v>
      </c>
      <c r="K44" s="4">
        <f>IF(OR(INDEX($AH$2:$AH$1001,MATCH(ROWS($AG$2:AG44),$AG$2:$AG$1001,0),1)&gt;=100000,INDEX($AN$1005:$BO$1005,1,MATCH(COLUMNS($AN$1006:AW1006),$AN$1006:$BO$1006,0))&gt;=100000), " ",IF(INDEX($AN$2:$BO$1001,MATCH(ROWS($AG$2:AG44),$AG$2:$AG$1001,0),MATCH(COLUMNS($AN$1006:AW1006),$AN$1006:$BO$1006,0)), HYPERLINK("#",""), HYPERLINK(CONCATENATE("#Metadata!", ADDRESS(INDEX($AI$2:$AI$1001,MATCH(ROWS($AG$2:AG44),$AG$2:$AG$1001,0),0), INDEX($AN$1004:$BO$1004,1,MATCH(COLUMNS($AN$1006:AW1006),$AN$1006:$BO$1006,0)))),"Fix")))</f>
        <v>0</v>
      </c>
      <c r="L44" s="4">
        <f>IF(OR(INDEX($AH$2:$AH$1001,MATCH(ROWS($AG$2:AG44),$AG$2:$AG$1001,0),1)&gt;=100000,INDEX($AN$1005:$BO$1005,1,MATCH(COLUMNS($AN$1006:AX1006),$AN$1006:$BO$1006,0))&gt;=100000), " ",IF(INDEX($AN$2:$BO$1001,MATCH(ROWS($AG$2:AG44),$AG$2:$AG$1001,0),MATCH(COLUMNS($AN$1006:AX1006),$AN$1006:$BO$1006,0)), HYPERLINK("#",""), HYPERLINK(CONCATENATE("#Metadata!", ADDRESS(INDEX($AI$2:$AI$1001,MATCH(ROWS($AG$2:AG44),$AG$2:$AG$1001,0),0), INDEX($AN$1004:$BO$1004,1,MATCH(COLUMNS($AN$1006:AX1006),$AN$1006:$BO$1006,0)))),"Fix")))</f>
        <v>0</v>
      </c>
      <c r="M44" s="4">
        <f>IF(OR(INDEX($AH$2:$AH$1001,MATCH(ROWS($AG$2:AG44),$AG$2:$AG$1001,0),1)&gt;=100000,INDEX($AN$1005:$BO$1005,1,MATCH(COLUMNS($AN$1006:AY1006),$AN$1006:$BO$1006,0))&gt;=100000), " ",IF(INDEX($AN$2:$BO$1001,MATCH(ROWS($AG$2:AG44),$AG$2:$AG$1001,0),MATCH(COLUMNS($AN$1006:AY1006),$AN$1006:$BO$1006,0)), HYPERLINK("#",""), HYPERLINK(CONCATENATE("#Metadata!", ADDRESS(INDEX($AI$2:$AI$1001,MATCH(ROWS($AG$2:AG44),$AG$2:$AG$1001,0),0), INDEX($AN$1004:$BO$1004,1,MATCH(COLUMNS($AN$1006:AY1006),$AN$1006:$BO$1006,0)))),"Fix")))</f>
        <v>0</v>
      </c>
      <c r="N44" s="4">
        <f>IF(OR(INDEX($AH$2:$AH$1001,MATCH(ROWS($AG$2:AG44),$AG$2:$AG$1001,0),1)&gt;=100000,INDEX($AN$1005:$BO$1005,1,MATCH(COLUMNS($AN$1006:AZ1006),$AN$1006:$BO$1006,0))&gt;=100000), " ",IF(INDEX($AN$2:$BO$1001,MATCH(ROWS($AG$2:AG44),$AG$2:$AG$1001,0),MATCH(COLUMNS($AN$1006:AZ1006),$AN$1006:$BO$1006,0)), HYPERLINK("#",""), HYPERLINK(CONCATENATE("#Metadata!", ADDRESS(INDEX($AI$2:$AI$1001,MATCH(ROWS($AG$2:AG44),$AG$2:$AG$1001,0),0), INDEX($AN$1004:$BO$1004,1,MATCH(COLUMNS($AN$1006:AZ1006),$AN$1006:$BO$1006,0)))),"Fix")))</f>
        <v>0</v>
      </c>
      <c r="O44" s="4">
        <f>IF(OR(INDEX($AH$2:$AH$1001,MATCH(ROWS($AG$2:AG44),$AG$2:$AG$1001,0),1)&gt;=100000,INDEX($AN$1005:$BO$1005,1,MATCH(COLUMNS($AN$1006:BA1006),$AN$1006:$BO$1006,0))&gt;=100000), " ",IF(INDEX($AN$2:$BO$1001,MATCH(ROWS($AG$2:AG44),$AG$2:$AG$1001,0),MATCH(COLUMNS($AN$1006:BA1006),$AN$1006:$BO$1006,0)), HYPERLINK("#",""), HYPERLINK(CONCATENATE("#Metadata!", ADDRESS(INDEX($AI$2:$AI$1001,MATCH(ROWS($AG$2:AG44),$AG$2:$AG$1001,0),0), INDEX($AN$1004:$BO$1004,1,MATCH(COLUMNS($AN$1006:BA1006),$AN$1006:$BO$1006,0)))),"Fix")))</f>
        <v>0</v>
      </c>
      <c r="P44" s="4">
        <f>IF(OR(INDEX($AH$2:$AH$1001,MATCH(ROWS($AG$2:AG44),$AG$2:$AG$1001,0),1)&gt;=100000,INDEX($AN$1005:$BO$1005,1,MATCH(COLUMNS($AN$1006:BB1006),$AN$1006:$BO$1006,0))&gt;=100000), " ",IF(INDEX($AN$2:$BO$1001,MATCH(ROWS($AG$2:AG44),$AG$2:$AG$1001,0),MATCH(COLUMNS($AN$1006:BB1006),$AN$1006:$BO$1006,0)), HYPERLINK("#",""), HYPERLINK(CONCATENATE("#Metadata!", ADDRESS(INDEX($AI$2:$AI$1001,MATCH(ROWS($AG$2:AG44),$AG$2:$AG$1001,0),0), INDEX($AN$1004:$BO$1004,1,MATCH(COLUMNS($AN$1006:BB1006),$AN$1006:$BO$1006,0)))),"Fix")))</f>
        <v>0</v>
      </c>
      <c r="Q44" s="4">
        <f>IF(OR(INDEX($AH$2:$AH$1001,MATCH(ROWS($AG$2:AG44),$AG$2:$AG$1001,0),1)&gt;=100000,INDEX($AN$1005:$BO$1005,1,MATCH(COLUMNS($AN$1006:BC1006),$AN$1006:$BO$1006,0))&gt;=100000), " ",IF(INDEX($AN$2:$BO$1001,MATCH(ROWS($AG$2:AG44),$AG$2:$AG$1001,0),MATCH(COLUMNS($AN$1006:BC1006),$AN$1006:$BO$1006,0)), HYPERLINK("#",""), HYPERLINK(CONCATENATE("#Metadata!", ADDRESS(INDEX($AI$2:$AI$1001,MATCH(ROWS($AG$2:AG44),$AG$2:$AG$1001,0),0), INDEX($AN$1004:$BO$1004,1,MATCH(COLUMNS($AN$1006:BC1006),$AN$1006:$BO$1006,0)))),"Fix")))</f>
        <v>0</v>
      </c>
      <c r="R44" s="4">
        <f>IF(OR(INDEX($AH$2:$AH$1001,MATCH(ROWS($AG$2:AG44),$AG$2:$AG$1001,0),1)&gt;=100000,INDEX($AN$1005:$BO$1005,1,MATCH(COLUMNS($AN$1006:BD1006),$AN$1006:$BO$1006,0))&gt;=100000), " ",IF(INDEX($AN$2:$BO$1001,MATCH(ROWS($AG$2:AG44),$AG$2:$AG$1001,0),MATCH(COLUMNS($AN$1006:BD1006),$AN$1006:$BO$1006,0)), HYPERLINK("#",""), HYPERLINK(CONCATENATE("#Metadata!", ADDRESS(INDEX($AI$2:$AI$1001,MATCH(ROWS($AG$2:AG44),$AG$2:$AG$1001,0),0), INDEX($AN$1004:$BO$1004,1,MATCH(COLUMNS($AN$1006:BD1006),$AN$1006:$BO$1006,0)))),"Fix")))</f>
        <v>0</v>
      </c>
      <c r="S44" s="4">
        <f>IF(OR(INDEX($AH$2:$AH$1001,MATCH(ROWS($AG$2:AG44),$AG$2:$AG$1001,0),1)&gt;=100000,INDEX($AN$1005:$BO$1005,1,MATCH(COLUMNS($AN$1006:BE1006),$AN$1006:$BO$1006,0))&gt;=100000), " ",IF(INDEX($AN$2:$BO$1001,MATCH(ROWS($AG$2:AG44),$AG$2:$AG$1001,0),MATCH(COLUMNS($AN$1006:BE1006),$AN$1006:$BO$1006,0)), HYPERLINK("#",""), HYPERLINK(CONCATENATE("#Metadata!", ADDRESS(INDEX($AI$2:$AI$1001,MATCH(ROWS($AG$2:AG44),$AG$2:$AG$1001,0),0), INDEX($AN$1004:$BO$1004,1,MATCH(COLUMNS($AN$1006:BE1006),$AN$1006:$BO$1006,0)))),"Fix")))</f>
        <v>0</v>
      </c>
      <c r="T44" s="4">
        <f>IF(OR(INDEX($AH$2:$AH$1001,MATCH(ROWS($AG$2:AG44),$AG$2:$AG$1001,0),1)&gt;=100000,INDEX($AN$1005:$BO$1005,1,MATCH(COLUMNS($AN$1006:BF1006),$AN$1006:$BO$1006,0))&gt;=100000), " ",IF(INDEX($AN$2:$BO$1001,MATCH(ROWS($AG$2:AG44),$AG$2:$AG$1001,0),MATCH(COLUMNS($AN$1006:BF1006),$AN$1006:$BO$1006,0)), HYPERLINK("#",""), HYPERLINK(CONCATENATE("#Metadata!", ADDRESS(INDEX($AI$2:$AI$1001,MATCH(ROWS($AG$2:AG44),$AG$2:$AG$1001,0),0), INDEX($AN$1004:$BO$1004,1,MATCH(COLUMNS($AN$1006:BF1006),$AN$1006:$BO$1006,0)))),"Fix")))</f>
        <v>0</v>
      </c>
      <c r="U44" s="4">
        <f>IF(OR(INDEX($AH$2:$AH$1001,MATCH(ROWS($AG$2:AG44),$AG$2:$AG$1001,0),1)&gt;=100000,INDEX($AN$1005:$BO$1005,1,MATCH(COLUMNS($AN$1006:BG1006),$AN$1006:$BO$1006,0))&gt;=100000), " ",IF(INDEX($AN$2:$BO$1001,MATCH(ROWS($AG$2:AG44),$AG$2:$AG$1001,0),MATCH(COLUMNS($AN$1006:BG1006),$AN$1006:$BO$1006,0)), HYPERLINK("#",""), HYPERLINK(CONCATENATE("#Metadata!", ADDRESS(INDEX($AI$2:$AI$1001,MATCH(ROWS($AG$2:AG44),$AG$2:$AG$1001,0),0), INDEX($AN$1004:$BO$1004,1,MATCH(COLUMNS($AN$1006:BG1006),$AN$1006:$BO$1006,0)))),"Fix")))</f>
        <v>0</v>
      </c>
      <c r="V44" s="4">
        <f>IF(OR(INDEX($AH$2:$AH$1001,MATCH(ROWS($AG$2:AG44),$AG$2:$AG$1001,0),1)&gt;=100000,INDEX($AN$1005:$BO$1005,1,MATCH(COLUMNS($AN$1006:BH1006),$AN$1006:$BO$1006,0))&gt;=100000), " ",IF(INDEX($AN$2:$BO$1001,MATCH(ROWS($AG$2:AG44),$AG$2:$AG$1001,0),MATCH(COLUMNS($AN$1006:BH1006),$AN$1006:$BO$1006,0)), HYPERLINK("#",""), HYPERLINK(CONCATENATE("#Metadata!", ADDRESS(INDEX($AI$2:$AI$1001,MATCH(ROWS($AG$2:AG44),$AG$2:$AG$1001,0),0), INDEX($AN$1004:$BO$1004,1,MATCH(COLUMNS($AN$1006:BH1006),$AN$1006:$BO$1006,0)))),"Fix")))</f>
        <v>0</v>
      </c>
      <c r="W44" s="4">
        <f>IF(OR(INDEX($AH$2:$AH$1001,MATCH(ROWS($AG$2:AG44),$AG$2:$AG$1001,0),1)&gt;=100000,INDEX($AN$1005:$BO$1005,1,MATCH(COLUMNS($AN$1006:BI1006),$AN$1006:$BO$1006,0))&gt;=100000), " ",IF(INDEX($AN$2:$BO$1001,MATCH(ROWS($AG$2:AG44),$AG$2:$AG$1001,0),MATCH(COLUMNS($AN$1006:BI1006),$AN$1006:$BO$1006,0)), HYPERLINK("#",""), HYPERLINK(CONCATENATE("#Metadata!", ADDRESS(INDEX($AI$2:$AI$1001,MATCH(ROWS($AG$2:AG44),$AG$2:$AG$1001,0),0), INDEX($AN$1004:$BO$1004,1,MATCH(COLUMNS($AN$1006:BI1006),$AN$1006:$BO$1006,0)))),"Fix")))</f>
        <v>0</v>
      </c>
      <c r="X44" s="4">
        <f>IF(OR(INDEX($AH$2:$AH$1001,MATCH(ROWS($AG$2:AG44),$AG$2:$AG$1001,0),1)&gt;=100000,INDEX($AN$1005:$BO$1005,1,MATCH(COLUMNS($AN$1006:BJ1006),$AN$1006:$BO$1006,0))&gt;=100000), " ",IF(INDEX($AN$2:$BO$1001,MATCH(ROWS($AG$2:AG44),$AG$2:$AG$1001,0),MATCH(COLUMNS($AN$1006:BJ1006),$AN$1006:$BO$1006,0)), HYPERLINK("#",""), HYPERLINK(CONCATENATE("#Metadata!", ADDRESS(INDEX($AI$2:$AI$1001,MATCH(ROWS($AG$2:AG44),$AG$2:$AG$1001,0),0), INDEX($AN$1004:$BO$1004,1,MATCH(COLUMNS($AN$1006:BJ1006),$AN$1006:$BO$1006,0)))),"Fix")))</f>
        <v>0</v>
      </c>
      <c r="Y44" s="4">
        <f>IF(OR(INDEX($AH$2:$AH$1001,MATCH(ROWS($AG$2:AG44),$AG$2:$AG$1001,0),1)&gt;=100000,INDEX($AN$1005:$BO$1005,1,MATCH(COLUMNS($AN$1006:BK1006),$AN$1006:$BO$1006,0))&gt;=100000), " ",IF(INDEX($AN$2:$BO$1001,MATCH(ROWS($AG$2:AG44),$AG$2:$AG$1001,0),MATCH(COLUMNS($AN$1006:BK1006),$AN$1006:$BO$1006,0)), HYPERLINK("#",""), HYPERLINK(CONCATENATE("#Metadata!", ADDRESS(INDEX($AI$2:$AI$1001,MATCH(ROWS($AG$2:AG44),$AG$2:$AG$1001,0),0), INDEX($AN$1004:$BO$1004,1,MATCH(COLUMNS($AN$1006:BK1006),$AN$1006:$BO$1006,0)))),"Fix")))</f>
        <v>0</v>
      </c>
      <c r="Z44" s="4">
        <f>IF(OR(INDEX($AH$2:$AH$1001,MATCH(ROWS($AG$2:AG44),$AG$2:$AG$1001,0),1)&gt;=100000,INDEX($AN$1005:$BO$1005,1,MATCH(COLUMNS($AN$1006:BL1006),$AN$1006:$BO$1006,0))&gt;=100000), " ",IF(INDEX($AN$2:$BO$1001,MATCH(ROWS($AG$2:AG44),$AG$2:$AG$1001,0),MATCH(COLUMNS($AN$1006:BL1006),$AN$1006:$BO$1006,0)), HYPERLINK("#",""), HYPERLINK(CONCATENATE("#Metadata!", ADDRESS(INDEX($AI$2:$AI$1001,MATCH(ROWS($AG$2:AG44),$AG$2:$AG$1001,0),0), INDEX($AN$1004:$BO$1004,1,MATCH(COLUMNS($AN$1006:BL1006),$AN$1006:$BO$1006,0)))),"Fix")))</f>
        <v>0</v>
      </c>
      <c r="AA44" s="4">
        <f>IF(OR(INDEX($AH$2:$AH$1001,MATCH(ROWS($AG$2:AG44),$AG$2:$AG$1001,0),1)&gt;=100000,INDEX($AN$1005:$BO$1005,1,MATCH(COLUMNS($AN$1006:BM1006),$AN$1006:$BO$1006,0))&gt;=100000), " ",IF(INDEX($AN$2:$BO$1001,MATCH(ROWS($AG$2:AG44),$AG$2:$AG$1001,0),MATCH(COLUMNS($AN$1006:BM1006),$AN$1006:$BO$1006,0)), HYPERLINK("#",""), HYPERLINK(CONCATENATE("#Metadata!", ADDRESS(INDEX($AI$2:$AI$1001,MATCH(ROWS($AG$2:AG44),$AG$2:$AG$1001,0),0), INDEX($AN$1004:$BO$1004,1,MATCH(COLUMNS($AN$1006:BM1006),$AN$1006:$BO$1006,0)))),"Fix")))</f>
        <v>0</v>
      </c>
      <c r="AB44" s="4">
        <f>IF(OR(INDEX($AH$2:$AH$1001,MATCH(ROWS($AG$2:AG44),$AG$2:$AG$1001,0),1)&gt;=100000,INDEX($AN$1005:$BO$1005,1,MATCH(COLUMNS($AN$1006:BN1006),$AN$1006:$BO$1006,0))&gt;=100000), " ",IF(INDEX($AN$2:$BO$1001,MATCH(ROWS($AG$2:AG44),$AG$2:$AG$1001,0),MATCH(COLUMNS($AN$1006:BN1006),$AN$1006:$BO$1006,0)), HYPERLINK("#",""), HYPERLINK(CONCATENATE("#Metadata!", ADDRESS(INDEX($AI$2:$AI$1001,MATCH(ROWS($AG$2:AG44),$AG$2:$AG$1001,0),0), INDEX($AN$1004:$BO$1004,1,MATCH(COLUMNS($AN$1006:BN1006),$AN$1006:$BO$1006,0)))),"Fix")))</f>
        <v>0</v>
      </c>
      <c r="AC44" s="4">
        <f>IF(OR(INDEX($AH$2:$AH$1001,MATCH(ROWS($AG$2:AG44),$AG$2:$AG$1001,0),1)&gt;=100000,INDEX($AN$1005:$BO$1005,1,MATCH(COLUMNS($AN$1006:BO1006),$AN$1006:$BO$1006,0))&gt;=100000), " ",IF(INDEX($AN$2:$BO$1001,MATCH(ROWS($AG$2:AG44),$AG$2:$AG$1001,0),MATCH(COLUMNS($AN$1006:BO1006),$AN$1006:$BO$1006,0)), HYPERLINK("#",""), HYPERLINK(CONCATENATE("#Metadata!", ADDRESS(INDEX($AI$2:$AI$1001,MATCH(ROWS($AG$2:AG44),$AG$2:$AG$1001,0),0), INDEX($AN$1004:$BO$1004,1,MATCH(COLUMNS($AN$1006:BO1006),$AN$1006:$BO$1006,0)))),"Fix")))</f>
        <v>0</v>
      </c>
      <c r="AG44">
        <v>0</v>
      </c>
      <c r="AH44">
        <v>0</v>
      </c>
      <c r="AI44">
        <v>0</v>
      </c>
      <c r="AJ44">
        <f>IF(AK44,TRUE,AND(AN44:BO44))</f>
        <v>0</v>
      </c>
      <c r="AK44">
        <f>COUNTBLANK(Metadata!B44:AC44)=COLUMNS(Metadata!B44:AC44)</f>
        <v>0</v>
      </c>
      <c r="AL44">
        <v>0</v>
      </c>
      <c r="AN44">
        <f>AND(IF(Metadata!B44="",FALSE,TRUE),COUNTIF(Metadata!B:B, Metadata!B44) = 1,NOT(ISERROR(SUMPRODUCT(SEARCH(MID(Metadata!B44,ROW(INDIRECT("1:"&amp;LEN(Metadata!B44))), 1),"0123456789abcdefghijklmnopqrstuvwxyzABCDEFGHIJKLMNOPQRSTUVWXYZ.")))))</f>
        <v>0</v>
      </c>
      <c r="AO44">
        <f>IF(Metadata!C44="",FALSE,TRUE)</f>
        <v>0</v>
      </c>
      <c r="AP44">
        <f>IF(Metadata!D44="",FALSE,TRUE)</f>
        <v>0</v>
      </c>
      <c r="AQ44">
        <f>OR(AND(IF(Metadata!E44="",FALSE,TRUE),OR(exact(Metadata!E44,"not collected"),exact(Metadata!E44,"not provided"),exact(Metadata!E44,"restricted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R44">
        <f>IF(Metadata!F44="",FALSE,TRUE)</f>
        <v>0</v>
      </c>
      <c r="AS44">
        <f>OR(AND(IF(Metadata!G44="",FALSE,TRUE),OR(exact(Metadata!G44,"not collected"),exact(Metadata!G44,"not provided"))),AND(IF(Metadata!G44="",FALSE,TRUE),OR(exact(Metadata!G44,"TRUE"),exact(Metadata!G44,"FALSE"))))</f>
        <v>0</v>
      </c>
      <c r="AT44">
        <f>OR(AND(IF(Metadata!H44="",FALSE,TRUE),OR(exact(Metadata!H44,"not collected"),exact(Metadata!H44,"not provided"),exact(Metadata!H44,"restricted access"))),AND(IF(Metadata!H44="",FALSE,ISNUMBER(VALUE(Metadata!H44))),Metadata!H44&gt;=-413.0))</f>
        <v>0</v>
      </c>
      <c r="AU44">
        <f>AND(IF(Metadata!I44="",FALSE,TRUE),exact(Metadata!I44,"meters"))</f>
        <v>0</v>
      </c>
      <c r="AV44">
        <f>AND(IF(Metadata!J44="",FALSE,TRUE),OR(exact(Metadata!J44,"Host-associated"),exact(Metadata!J44,"Free-living")))</f>
        <v>0</v>
      </c>
      <c r="AW44">
        <f>AND(IF(Metadata!K44="",FALSE,TRUE),OR(exact(Metadata!K44,"Animal"),exact(Metadata!K44,"Fungus"),exact(Metadata!K44,"Plant"),exact(Metadata!K44,"Saline"),exact(Metadata!K44,"Non-saline")))</f>
        <v>0</v>
      </c>
      <c r="AX44">
        <f>AND(IF(Metadata!L44="",FALSE,TRUE),OR(exact(Metadata!L44,"Plant secretion"),exact(Metadata!L44,"Plant rhizosphere"),exact(Metadata!L44,"Plant surface"),exact(Metadata!L44,"Plant corpus"),exact(Metadata!L44,"Fungus surface"),exact(Metadata!L44,"Fungus corpus"),exact(Metadata!L44,"Animal surface"),exact(Metadata!L44,"Animal proximal gut"),exact(Metadata!L44,"Animal corpus"),exact(Metadata!L44,"Animal distal gut"),exact(Metadata!L44,"Animal secretion"),exact(Metadata!L44,"Sub-surface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0</v>
      </c>
      <c r="AY44">
        <f>IF(Metadata!M44="",FALSE,TRUE)</f>
        <v>0</v>
      </c>
      <c r="AZ44">
        <f>IF(Metadata!N44="",FALSE,TRUE)</f>
        <v>0</v>
      </c>
      <c r="BA44">
        <f>IF(Metadata!O44="",FALSE,TRUE)</f>
        <v>0</v>
      </c>
      <c r="BB44">
        <f>OR(AND(IF(Metadata!P44="",FALSE,TRUE),OR(exact(Metadata!P44,"not collected"),exact(Metadata!P44,"not provided"),exact(Metadata!P44,"restricted access"))),AND(IF(Metadata!P44="",FALSE,TRUE),OR(exact(Metadata!P44,"air"),exact(Metadata!P44,"built environment"),exact(Metadata!P44,"host-associated"),exact(Metadata!P44,"human-associated"),exact(Metadata!P44,"human-skin"),exact(Metadata!P44,"human-oral"),exact(Metadata!P44,"human-gut"),exact(Metadata!P44,"human-vaginal"),exact(Metadata!P44,"microbial mat/biofilm"),exact(Metadata!P44,"misc environment"),exact(Metadata!P44,"plant-associated"),exact(Metadata!P44,"sediment"),exact(Metadata!P44,"soil"),exact(Metadata!P44,"wastewater/sludge"),exact(Metadata!P44,"water"))))</f>
        <v>0</v>
      </c>
      <c r="BC44">
        <f>IF(Metadata!Q44="",FALSE,TRUE)</f>
        <v>0</v>
      </c>
      <c r="BD44">
        <f>IF(Metadata!R44="",FALSE,TRUE)</f>
        <v>0</v>
      </c>
      <c r="BE44">
        <f>OR(AND(IF(Metadata!S44="",FALSE,TRUE),OR(exact(Metadata!S44,"not collected"),exact(Metadata!S44,"not provided"),exact(Metadata!S44,"restricted access"))),AND(IF(Metadata!S44="",FALSE,ISNUMBER(VALUE(Metadata!S44))),Metadata!S44&gt;=-90.00,Metadata!S44&lt;=90.00))</f>
        <v>0</v>
      </c>
      <c r="BF44">
        <f>AND(IF(Metadata!T44="",FALSE,TRUE),exact(Metadata!T44,"Decimal degrees"))</f>
        <v>0</v>
      </c>
      <c r="BG44">
        <f>OR(AND(IF(Metadata!U44="",FALSE,TRUE),OR(exact(Metadata!U44,"not collected"),exact(Metadata!U44,"not provided"),exact(Metadata!U44,"restricted access"))),AND(IF(Metadata!U44="",FALSE,ISNUMBER(VALUE(Metadata!U44))),Metadata!U44&gt;=-180.00,Metadata!U44&lt;=180.00))</f>
        <v>0</v>
      </c>
      <c r="BH44">
        <f>AND(IF(Metadata!V44="",FALSE,TRUE),exact(Metadata!V44,"Decimal degrees"))</f>
        <v>0</v>
      </c>
      <c r="BI44">
        <f>IF(Metadata!W44="",FALSE,TRUE)</f>
        <v>0</v>
      </c>
      <c r="BJ44">
        <f>OR(AND(IF(Metadata!X44="",FALSE,TRUE),OR(exact(Metadata!X44,"not collected"),exact(Metadata!X44,"not provided"),exact(Metadata!X44,"restricted access"))),AND(IF(Metadata!X44="",FALSE,TRUE),OR(exact(Metadata!X44,"TRUE"),exact(Metadata!X44,"FALSE"))))</f>
        <v>0</v>
      </c>
      <c r="BK44">
        <f>AND(IF(Metadata!Y44="",FALSE,TRUE),exact(Metadata!Y44,"other"))</f>
        <v>0</v>
      </c>
      <c r="BL44">
        <f>IF(Metadata!Z44="",FALSE,TRUE)</f>
        <v>0</v>
      </c>
      <c r="BM44">
        <f>OR(AND(IF(Metadata!AA44="",FALSE,TRUE),OR(exact(Metadata!AA44,"not collected"),exact(Metadata!AA44,"not provided"))),AND(IF(Metadata!AA44="",FALSE,IF(ISERROR(INT(Metadata!AA44)),FALSE,INT(Metadata!AA44)=Metadata!AA44)),Metadata!AA44&gt;0))</f>
        <v>0</v>
      </c>
      <c r="BN44">
        <f>AND(IF(Metadata!AB44="",FALSE,TRUE),exact(Metadata!AB44,"Not applicable"))</f>
        <v>0</v>
      </c>
      <c r="BO44">
        <f>IF(Metadata!AC44="",FALSE,TRUE)</f>
        <v>0</v>
      </c>
    </row>
    <row r="45" spans="1:67">
      <c r="A45" s="5">
        <f>IF(B45=" "," ",HYPERLINK(CONCATENATE("#metadata!",ADDRESS(INDEX($AI$2:$AI$1001,MATCH(ROWS($AG$2:AG45),$AG$2:$AG$1001,0),0),1)),INDEX($AL$2:$AL$1001,MATCH(ROWS($AG$2:AG45),$AG$2:$AG$1001,0),0)))</f>
        <v>0</v>
      </c>
      <c r="B45" s="4">
        <f>IF(OR(INDEX($AH$2:$AH$1001,MATCH(ROWS($AG$2:AG45),$AG$2:$AG$1001,0),1)&gt;=100000,INDEX($AN$1005:$BO$1005,1,MATCH(COLUMNS($AN$1006:AN1006),$AN$1006:$BO$1006,0))&gt;=100000), " ",IF(INDEX($AN$2:$BO$1001,MATCH(ROWS($AG$2:AG45),$AG$2:$AG$1001,0),MATCH(COLUMNS($AN$1006:AN1006),$AN$1006:$BO$1006,0)), HYPERLINK("#",""), HYPERLINK(CONCATENATE("#Metadata!", ADDRESS(INDEX($AI$2:$AI$1001,MATCH(ROWS($AG$2:AG45),$AG$2:$AG$1001,0),0), INDEX($AN$1004:$BO$1004,1,MATCH(COLUMNS($AN$1006:AN1006),$AN$1006:$BO$1006,0)))),"Fix")))</f>
        <v>0</v>
      </c>
      <c r="C45" s="4">
        <f>IF(OR(INDEX($AH$2:$AH$1001,MATCH(ROWS($AG$2:AG45),$AG$2:$AG$1001,0),1)&gt;=100000,INDEX($AN$1005:$BO$1005,1,MATCH(COLUMNS($AN$1006:AO1006),$AN$1006:$BO$1006,0))&gt;=100000), " ",IF(INDEX($AN$2:$BO$1001,MATCH(ROWS($AG$2:AG45),$AG$2:$AG$1001,0),MATCH(COLUMNS($AN$1006:AO1006),$AN$1006:$BO$1006,0)), HYPERLINK("#",""), HYPERLINK(CONCATENATE("#Metadata!", ADDRESS(INDEX($AI$2:$AI$1001,MATCH(ROWS($AG$2:AG45),$AG$2:$AG$1001,0),0), INDEX($AN$1004:$BO$1004,1,MATCH(COLUMNS($AN$1006:AO1006),$AN$1006:$BO$1006,0)))),"Fix")))</f>
        <v>0</v>
      </c>
      <c r="D45" s="4">
        <f>IF(OR(INDEX($AH$2:$AH$1001,MATCH(ROWS($AG$2:AG45),$AG$2:$AG$1001,0),1)&gt;=100000,INDEX($AN$1005:$BO$1005,1,MATCH(COLUMNS($AN$1006:AP1006),$AN$1006:$BO$1006,0))&gt;=100000), " ",IF(INDEX($AN$2:$BO$1001,MATCH(ROWS($AG$2:AG45),$AG$2:$AG$1001,0),MATCH(COLUMNS($AN$1006:AP1006),$AN$1006:$BO$1006,0)), HYPERLINK("#",""), HYPERLINK(CONCATENATE("#Metadata!", ADDRESS(INDEX($AI$2:$AI$1001,MATCH(ROWS($AG$2:AG45),$AG$2:$AG$1001,0),0), INDEX($AN$1004:$BO$1004,1,MATCH(COLUMNS($AN$1006:AP1006),$AN$1006:$BO$1006,0)))),"Fix")))</f>
        <v>0</v>
      </c>
      <c r="E45" s="4">
        <f>IF(OR(INDEX($AH$2:$AH$1001,MATCH(ROWS($AG$2:AG45),$AG$2:$AG$1001,0),1)&gt;=100000,INDEX($AN$1005:$BO$1005,1,MATCH(COLUMNS($AN$1006:AQ1006),$AN$1006:$BO$1006,0))&gt;=100000), " ",IF(INDEX($AN$2:$BO$1001,MATCH(ROWS($AG$2:AG45),$AG$2:$AG$1001,0),MATCH(COLUMNS($AN$1006:AQ1006),$AN$1006:$BO$1006,0)), HYPERLINK("#",""), HYPERLINK(CONCATENATE("#Metadata!", ADDRESS(INDEX($AI$2:$AI$1001,MATCH(ROWS($AG$2:AG45),$AG$2:$AG$1001,0),0), INDEX($AN$1004:$BO$1004,1,MATCH(COLUMNS($AN$1006:AQ1006),$AN$1006:$BO$1006,0)))),"Fix")))</f>
        <v>0</v>
      </c>
      <c r="F45" s="4">
        <f>IF(OR(INDEX($AH$2:$AH$1001,MATCH(ROWS($AG$2:AG45),$AG$2:$AG$1001,0),1)&gt;=100000,INDEX($AN$1005:$BO$1005,1,MATCH(COLUMNS($AN$1006:AR1006),$AN$1006:$BO$1006,0))&gt;=100000), " ",IF(INDEX($AN$2:$BO$1001,MATCH(ROWS($AG$2:AG45),$AG$2:$AG$1001,0),MATCH(COLUMNS($AN$1006:AR1006),$AN$1006:$BO$1006,0)), HYPERLINK("#",""), HYPERLINK(CONCATENATE("#Metadata!", ADDRESS(INDEX($AI$2:$AI$1001,MATCH(ROWS($AG$2:AG45),$AG$2:$AG$1001,0),0), INDEX($AN$1004:$BO$1004,1,MATCH(COLUMNS($AN$1006:AR1006),$AN$1006:$BO$1006,0)))),"Fix")))</f>
        <v>0</v>
      </c>
      <c r="G45" s="4">
        <f>IF(OR(INDEX($AH$2:$AH$1001,MATCH(ROWS($AG$2:AG45),$AG$2:$AG$1001,0),1)&gt;=100000,INDEX($AN$1005:$BO$1005,1,MATCH(COLUMNS($AN$1006:AS1006),$AN$1006:$BO$1006,0))&gt;=100000), " ",IF(INDEX($AN$2:$BO$1001,MATCH(ROWS($AG$2:AG45),$AG$2:$AG$1001,0),MATCH(COLUMNS($AN$1006:AS1006),$AN$1006:$BO$1006,0)), HYPERLINK("#",""), HYPERLINK(CONCATENATE("#Metadata!", ADDRESS(INDEX($AI$2:$AI$1001,MATCH(ROWS($AG$2:AG45),$AG$2:$AG$1001,0),0), INDEX($AN$1004:$BO$1004,1,MATCH(COLUMNS($AN$1006:AS1006),$AN$1006:$BO$1006,0)))),"Fix")))</f>
        <v>0</v>
      </c>
      <c r="H45" s="4">
        <f>IF(OR(INDEX($AH$2:$AH$1001,MATCH(ROWS($AG$2:AG45),$AG$2:$AG$1001,0),1)&gt;=100000,INDEX($AN$1005:$BO$1005,1,MATCH(COLUMNS($AN$1006:AT1006),$AN$1006:$BO$1006,0))&gt;=100000), " ",IF(INDEX($AN$2:$BO$1001,MATCH(ROWS($AG$2:AG45),$AG$2:$AG$1001,0),MATCH(COLUMNS($AN$1006:AT1006),$AN$1006:$BO$1006,0)), HYPERLINK("#",""), HYPERLINK(CONCATENATE("#Metadata!", ADDRESS(INDEX($AI$2:$AI$1001,MATCH(ROWS($AG$2:AG45),$AG$2:$AG$1001,0),0), INDEX($AN$1004:$BO$1004,1,MATCH(COLUMNS($AN$1006:AT1006),$AN$1006:$BO$1006,0)))),"Fix")))</f>
        <v>0</v>
      </c>
      <c r="I45" s="4">
        <f>IF(OR(INDEX($AH$2:$AH$1001,MATCH(ROWS($AG$2:AG45),$AG$2:$AG$1001,0),1)&gt;=100000,INDEX($AN$1005:$BO$1005,1,MATCH(COLUMNS($AN$1006:AU1006),$AN$1006:$BO$1006,0))&gt;=100000), " ",IF(INDEX($AN$2:$BO$1001,MATCH(ROWS($AG$2:AG45),$AG$2:$AG$1001,0),MATCH(COLUMNS($AN$1006:AU1006),$AN$1006:$BO$1006,0)), HYPERLINK("#",""), HYPERLINK(CONCATENATE("#Metadata!", ADDRESS(INDEX($AI$2:$AI$1001,MATCH(ROWS($AG$2:AG45),$AG$2:$AG$1001,0),0), INDEX($AN$1004:$BO$1004,1,MATCH(COLUMNS($AN$1006:AU1006),$AN$1006:$BO$1006,0)))),"Fix")))</f>
        <v>0</v>
      </c>
      <c r="J45" s="4">
        <f>IF(OR(INDEX($AH$2:$AH$1001,MATCH(ROWS($AG$2:AG45),$AG$2:$AG$1001,0),1)&gt;=100000,INDEX($AN$1005:$BO$1005,1,MATCH(COLUMNS($AN$1006:AV1006),$AN$1006:$BO$1006,0))&gt;=100000), " ",IF(INDEX($AN$2:$BO$1001,MATCH(ROWS($AG$2:AG45),$AG$2:$AG$1001,0),MATCH(COLUMNS($AN$1006:AV1006),$AN$1006:$BO$1006,0)), HYPERLINK("#",""), HYPERLINK(CONCATENATE("#Metadata!", ADDRESS(INDEX($AI$2:$AI$1001,MATCH(ROWS($AG$2:AG45),$AG$2:$AG$1001,0),0), INDEX($AN$1004:$BO$1004,1,MATCH(COLUMNS($AN$1006:AV1006),$AN$1006:$BO$1006,0)))),"Fix")))</f>
        <v>0</v>
      </c>
      <c r="K45" s="4">
        <f>IF(OR(INDEX($AH$2:$AH$1001,MATCH(ROWS($AG$2:AG45),$AG$2:$AG$1001,0),1)&gt;=100000,INDEX($AN$1005:$BO$1005,1,MATCH(COLUMNS($AN$1006:AW1006),$AN$1006:$BO$1006,0))&gt;=100000), " ",IF(INDEX($AN$2:$BO$1001,MATCH(ROWS($AG$2:AG45),$AG$2:$AG$1001,0),MATCH(COLUMNS($AN$1006:AW1006),$AN$1006:$BO$1006,0)), HYPERLINK("#",""), HYPERLINK(CONCATENATE("#Metadata!", ADDRESS(INDEX($AI$2:$AI$1001,MATCH(ROWS($AG$2:AG45),$AG$2:$AG$1001,0),0), INDEX($AN$1004:$BO$1004,1,MATCH(COLUMNS($AN$1006:AW1006),$AN$1006:$BO$1006,0)))),"Fix")))</f>
        <v>0</v>
      </c>
      <c r="L45" s="4">
        <f>IF(OR(INDEX($AH$2:$AH$1001,MATCH(ROWS($AG$2:AG45),$AG$2:$AG$1001,0),1)&gt;=100000,INDEX($AN$1005:$BO$1005,1,MATCH(COLUMNS($AN$1006:AX1006),$AN$1006:$BO$1006,0))&gt;=100000), " ",IF(INDEX($AN$2:$BO$1001,MATCH(ROWS($AG$2:AG45),$AG$2:$AG$1001,0),MATCH(COLUMNS($AN$1006:AX1006),$AN$1006:$BO$1006,0)), HYPERLINK("#",""), HYPERLINK(CONCATENATE("#Metadata!", ADDRESS(INDEX($AI$2:$AI$1001,MATCH(ROWS($AG$2:AG45),$AG$2:$AG$1001,0),0), INDEX($AN$1004:$BO$1004,1,MATCH(COLUMNS($AN$1006:AX1006),$AN$1006:$BO$1006,0)))),"Fix")))</f>
        <v>0</v>
      </c>
      <c r="M45" s="4">
        <f>IF(OR(INDEX($AH$2:$AH$1001,MATCH(ROWS($AG$2:AG45),$AG$2:$AG$1001,0),1)&gt;=100000,INDEX($AN$1005:$BO$1005,1,MATCH(COLUMNS($AN$1006:AY1006),$AN$1006:$BO$1006,0))&gt;=100000), " ",IF(INDEX($AN$2:$BO$1001,MATCH(ROWS($AG$2:AG45),$AG$2:$AG$1001,0),MATCH(COLUMNS($AN$1006:AY1006),$AN$1006:$BO$1006,0)), HYPERLINK("#",""), HYPERLINK(CONCATENATE("#Metadata!", ADDRESS(INDEX($AI$2:$AI$1001,MATCH(ROWS($AG$2:AG45),$AG$2:$AG$1001,0),0), INDEX($AN$1004:$BO$1004,1,MATCH(COLUMNS($AN$1006:AY1006),$AN$1006:$BO$1006,0)))),"Fix")))</f>
        <v>0</v>
      </c>
      <c r="N45" s="4">
        <f>IF(OR(INDEX($AH$2:$AH$1001,MATCH(ROWS($AG$2:AG45),$AG$2:$AG$1001,0),1)&gt;=100000,INDEX($AN$1005:$BO$1005,1,MATCH(COLUMNS($AN$1006:AZ1006),$AN$1006:$BO$1006,0))&gt;=100000), " ",IF(INDEX($AN$2:$BO$1001,MATCH(ROWS($AG$2:AG45),$AG$2:$AG$1001,0),MATCH(COLUMNS($AN$1006:AZ1006),$AN$1006:$BO$1006,0)), HYPERLINK("#",""), HYPERLINK(CONCATENATE("#Metadata!", ADDRESS(INDEX($AI$2:$AI$1001,MATCH(ROWS($AG$2:AG45),$AG$2:$AG$1001,0),0), INDEX($AN$1004:$BO$1004,1,MATCH(COLUMNS($AN$1006:AZ1006),$AN$1006:$BO$1006,0)))),"Fix")))</f>
        <v>0</v>
      </c>
      <c r="O45" s="4">
        <f>IF(OR(INDEX($AH$2:$AH$1001,MATCH(ROWS($AG$2:AG45),$AG$2:$AG$1001,0),1)&gt;=100000,INDEX($AN$1005:$BO$1005,1,MATCH(COLUMNS($AN$1006:BA1006),$AN$1006:$BO$1006,0))&gt;=100000), " ",IF(INDEX($AN$2:$BO$1001,MATCH(ROWS($AG$2:AG45),$AG$2:$AG$1001,0),MATCH(COLUMNS($AN$1006:BA1006),$AN$1006:$BO$1006,0)), HYPERLINK("#",""), HYPERLINK(CONCATENATE("#Metadata!", ADDRESS(INDEX($AI$2:$AI$1001,MATCH(ROWS($AG$2:AG45),$AG$2:$AG$1001,0),0), INDEX($AN$1004:$BO$1004,1,MATCH(COLUMNS($AN$1006:BA1006),$AN$1006:$BO$1006,0)))),"Fix")))</f>
        <v>0</v>
      </c>
      <c r="P45" s="4">
        <f>IF(OR(INDEX($AH$2:$AH$1001,MATCH(ROWS($AG$2:AG45),$AG$2:$AG$1001,0),1)&gt;=100000,INDEX($AN$1005:$BO$1005,1,MATCH(COLUMNS($AN$1006:BB1006),$AN$1006:$BO$1006,0))&gt;=100000), " ",IF(INDEX($AN$2:$BO$1001,MATCH(ROWS($AG$2:AG45),$AG$2:$AG$1001,0),MATCH(COLUMNS($AN$1006:BB1006),$AN$1006:$BO$1006,0)), HYPERLINK("#",""), HYPERLINK(CONCATENATE("#Metadata!", ADDRESS(INDEX($AI$2:$AI$1001,MATCH(ROWS($AG$2:AG45),$AG$2:$AG$1001,0),0), INDEX($AN$1004:$BO$1004,1,MATCH(COLUMNS($AN$1006:BB1006),$AN$1006:$BO$1006,0)))),"Fix")))</f>
        <v>0</v>
      </c>
      <c r="Q45" s="4">
        <f>IF(OR(INDEX($AH$2:$AH$1001,MATCH(ROWS($AG$2:AG45),$AG$2:$AG$1001,0),1)&gt;=100000,INDEX($AN$1005:$BO$1005,1,MATCH(COLUMNS($AN$1006:BC1006),$AN$1006:$BO$1006,0))&gt;=100000), " ",IF(INDEX($AN$2:$BO$1001,MATCH(ROWS($AG$2:AG45),$AG$2:$AG$1001,0),MATCH(COLUMNS($AN$1006:BC1006),$AN$1006:$BO$1006,0)), HYPERLINK("#",""), HYPERLINK(CONCATENATE("#Metadata!", ADDRESS(INDEX($AI$2:$AI$1001,MATCH(ROWS($AG$2:AG45),$AG$2:$AG$1001,0),0), INDEX($AN$1004:$BO$1004,1,MATCH(COLUMNS($AN$1006:BC1006),$AN$1006:$BO$1006,0)))),"Fix")))</f>
        <v>0</v>
      </c>
      <c r="R45" s="4">
        <f>IF(OR(INDEX($AH$2:$AH$1001,MATCH(ROWS($AG$2:AG45),$AG$2:$AG$1001,0),1)&gt;=100000,INDEX($AN$1005:$BO$1005,1,MATCH(COLUMNS($AN$1006:BD1006),$AN$1006:$BO$1006,0))&gt;=100000), " ",IF(INDEX($AN$2:$BO$1001,MATCH(ROWS($AG$2:AG45),$AG$2:$AG$1001,0),MATCH(COLUMNS($AN$1006:BD1006),$AN$1006:$BO$1006,0)), HYPERLINK("#",""), HYPERLINK(CONCATENATE("#Metadata!", ADDRESS(INDEX($AI$2:$AI$1001,MATCH(ROWS($AG$2:AG45),$AG$2:$AG$1001,0),0), INDEX($AN$1004:$BO$1004,1,MATCH(COLUMNS($AN$1006:BD1006),$AN$1006:$BO$1006,0)))),"Fix")))</f>
        <v>0</v>
      </c>
      <c r="S45" s="4">
        <f>IF(OR(INDEX($AH$2:$AH$1001,MATCH(ROWS($AG$2:AG45),$AG$2:$AG$1001,0),1)&gt;=100000,INDEX($AN$1005:$BO$1005,1,MATCH(COLUMNS($AN$1006:BE1006),$AN$1006:$BO$1006,0))&gt;=100000), " ",IF(INDEX($AN$2:$BO$1001,MATCH(ROWS($AG$2:AG45),$AG$2:$AG$1001,0),MATCH(COLUMNS($AN$1006:BE1006),$AN$1006:$BO$1006,0)), HYPERLINK("#",""), HYPERLINK(CONCATENATE("#Metadata!", ADDRESS(INDEX($AI$2:$AI$1001,MATCH(ROWS($AG$2:AG45),$AG$2:$AG$1001,0),0), INDEX($AN$1004:$BO$1004,1,MATCH(COLUMNS($AN$1006:BE1006),$AN$1006:$BO$1006,0)))),"Fix")))</f>
        <v>0</v>
      </c>
      <c r="T45" s="4">
        <f>IF(OR(INDEX($AH$2:$AH$1001,MATCH(ROWS($AG$2:AG45),$AG$2:$AG$1001,0),1)&gt;=100000,INDEX($AN$1005:$BO$1005,1,MATCH(COLUMNS($AN$1006:BF1006),$AN$1006:$BO$1006,0))&gt;=100000), " ",IF(INDEX($AN$2:$BO$1001,MATCH(ROWS($AG$2:AG45),$AG$2:$AG$1001,0),MATCH(COLUMNS($AN$1006:BF1006),$AN$1006:$BO$1006,0)), HYPERLINK("#",""), HYPERLINK(CONCATENATE("#Metadata!", ADDRESS(INDEX($AI$2:$AI$1001,MATCH(ROWS($AG$2:AG45),$AG$2:$AG$1001,0),0), INDEX($AN$1004:$BO$1004,1,MATCH(COLUMNS($AN$1006:BF1006),$AN$1006:$BO$1006,0)))),"Fix")))</f>
        <v>0</v>
      </c>
      <c r="U45" s="4">
        <f>IF(OR(INDEX($AH$2:$AH$1001,MATCH(ROWS($AG$2:AG45),$AG$2:$AG$1001,0),1)&gt;=100000,INDEX($AN$1005:$BO$1005,1,MATCH(COLUMNS($AN$1006:BG1006),$AN$1006:$BO$1006,0))&gt;=100000), " ",IF(INDEX($AN$2:$BO$1001,MATCH(ROWS($AG$2:AG45),$AG$2:$AG$1001,0),MATCH(COLUMNS($AN$1006:BG1006),$AN$1006:$BO$1006,0)), HYPERLINK("#",""), HYPERLINK(CONCATENATE("#Metadata!", ADDRESS(INDEX($AI$2:$AI$1001,MATCH(ROWS($AG$2:AG45),$AG$2:$AG$1001,0),0), INDEX($AN$1004:$BO$1004,1,MATCH(COLUMNS($AN$1006:BG1006),$AN$1006:$BO$1006,0)))),"Fix")))</f>
        <v>0</v>
      </c>
      <c r="V45" s="4">
        <f>IF(OR(INDEX($AH$2:$AH$1001,MATCH(ROWS($AG$2:AG45),$AG$2:$AG$1001,0),1)&gt;=100000,INDEX($AN$1005:$BO$1005,1,MATCH(COLUMNS($AN$1006:BH1006),$AN$1006:$BO$1006,0))&gt;=100000), " ",IF(INDEX($AN$2:$BO$1001,MATCH(ROWS($AG$2:AG45),$AG$2:$AG$1001,0),MATCH(COLUMNS($AN$1006:BH1006),$AN$1006:$BO$1006,0)), HYPERLINK("#",""), HYPERLINK(CONCATENATE("#Metadata!", ADDRESS(INDEX($AI$2:$AI$1001,MATCH(ROWS($AG$2:AG45),$AG$2:$AG$1001,0),0), INDEX($AN$1004:$BO$1004,1,MATCH(COLUMNS($AN$1006:BH1006),$AN$1006:$BO$1006,0)))),"Fix")))</f>
        <v>0</v>
      </c>
      <c r="W45" s="4">
        <f>IF(OR(INDEX($AH$2:$AH$1001,MATCH(ROWS($AG$2:AG45),$AG$2:$AG$1001,0),1)&gt;=100000,INDEX($AN$1005:$BO$1005,1,MATCH(COLUMNS($AN$1006:BI1006),$AN$1006:$BO$1006,0))&gt;=100000), " ",IF(INDEX($AN$2:$BO$1001,MATCH(ROWS($AG$2:AG45),$AG$2:$AG$1001,0),MATCH(COLUMNS($AN$1006:BI1006),$AN$1006:$BO$1006,0)), HYPERLINK("#",""), HYPERLINK(CONCATENATE("#Metadata!", ADDRESS(INDEX($AI$2:$AI$1001,MATCH(ROWS($AG$2:AG45),$AG$2:$AG$1001,0),0), INDEX($AN$1004:$BO$1004,1,MATCH(COLUMNS($AN$1006:BI1006),$AN$1006:$BO$1006,0)))),"Fix")))</f>
        <v>0</v>
      </c>
      <c r="X45" s="4">
        <f>IF(OR(INDEX($AH$2:$AH$1001,MATCH(ROWS($AG$2:AG45),$AG$2:$AG$1001,0),1)&gt;=100000,INDEX($AN$1005:$BO$1005,1,MATCH(COLUMNS($AN$1006:BJ1006),$AN$1006:$BO$1006,0))&gt;=100000), " ",IF(INDEX($AN$2:$BO$1001,MATCH(ROWS($AG$2:AG45),$AG$2:$AG$1001,0),MATCH(COLUMNS($AN$1006:BJ1006),$AN$1006:$BO$1006,0)), HYPERLINK("#",""), HYPERLINK(CONCATENATE("#Metadata!", ADDRESS(INDEX($AI$2:$AI$1001,MATCH(ROWS($AG$2:AG45),$AG$2:$AG$1001,0),0), INDEX($AN$1004:$BO$1004,1,MATCH(COLUMNS($AN$1006:BJ1006),$AN$1006:$BO$1006,0)))),"Fix")))</f>
        <v>0</v>
      </c>
      <c r="Y45" s="4">
        <f>IF(OR(INDEX($AH$2:$AH$1001,MATCH(ROWS($AG$2:AG45),$AG$2:$AG$1001,0),1)&gt;=100000,INDEX($AN$1005:$BO$1005,1,MATCH(COLUMNS($AN$1006:BK1006),$AN$1006:$BO$1006,0))&gt;=100000), " ",IF(INDEX($AN$2:$BO$1001,MATCH(ROWS($AG$2:AG45),$AG$2:$AG$1001,0),MATCH(COLUMNS($AN$1006:BK1006),$AN$1006:$BO$1006,0)), HYPERLINK("#",""), HYPERLINK(CONCATENATE("#Metadata!", ADDRESS(INDEX($AI$2:$AI$1001,MATCH(ROWS($AG$2:AG45),$AG$2:$AG$1001,0),0), INDEX($AN$1004:$BO$1004,1,MATCH(COLUMNS($AN$1006:BK1006),$AN$1006:$BO$1006,0)))),"Fix")))</f>
        <v>0</v>
      </c>
      <c r="Z45" s="4">
        <f>IF(OR(INDEX($AH$2:$AH$1001,MATCH(ROWS($AG$2:AG45),$AG$2:$AG$1001,0),1)&gt;=100000,INDEX($AN$1005:$BO$1005,1,MATCH(COLUMNS($AN$1006:BL1006),$AN$1006:$BO$1006,0))&gt;=100000), " ",IF(INDEX($AN$2:$BO$1001,MATCH(ROWS($AG$2:AG45),$AG$2:$AG$1001,0),MATCH(COLUMNS($AN$1006:BL1006),$AN$1006:$BO$1006,0)), HYPERLINK("#",""), HYPERLINK(CONCATENATE("#Metadata!", ADDRESS(INDEX($AI$2:$AI$1001,MATCH(ROWS($AG$2:AG45),$AG$2:$AG$1001,0),0), INDEX($AN$1004:$BO$1004,1,MATCH(COLUMNS($AN$1006:BL1006),$AN$1006:$BO$1006,0)))),"Fix")))</f>
        <v>0</v>
      </c>
      <c r="AA45" s="4">
        <f>IF(OR(INDEX($AH$2:$AH$1001,MATCH(ROWS($AG$2:AG45),$AG$2:$AG$1001,0),1)&gt;=100000,INDEX($AN$1005:$BO$1005,1,MATCH(COLUMNS($AN$1006:BM1006),$AN$1006:$BO$1006,0))&gt;=100000), " ",IF(INDEX($AN$2:$BO$1001,MATCH(ROWS($AG$2:AG45),$AG$2:$AG$1001,0),MATCH(COLUMNS($AN$1006:BM1006),$AN$1006:$BO$1006,0)), HYPERLINK("#",""), HYPERLINK(CONCATENATE("#Metadata!", ADDRESS(INDEX($AI$2:$AI$1001,MATCH(ROWS($AG$2:AG45),$AG$2:$AG$1001,0),0), INDEX($AN$1004:$BO$1004,1,MATCH(COLUMNS($AN$1006:BM1006),$AN$1006:$BO$1006,0)))),"Fix")))</f>
        <v>0</v>
      </c>
      <c r="AB45" s="4">
        <f>IF(OR(INDEX($AH$2:$AH$1001,MATCH(ROWS($AG$2:AG45),$AG$2:$AG$1001,0),1)&gt;=100000,INDEX($AN$1005:$BO$1005,1,MATCH(COLUMNS($AN$1006:BN1006),$AN$1006:$BO$1006,0))&gt;=100000), " ",IF(INDEX($AN$2:$BO$1001,MATCH(ROWS($AG$2:AG45),$AG$2:$AG$1001,0),MATCH(COLUMNS($AN$1006:BN1006),$AN$1006:$BO$1006,0)), HYPERLINK("#",""), HYPERLINK(CONCATENATE("#Metadata!", ADDRESS(INDEX($AI$2:$AI$1001,MATCH(ROWS($AG$2:AG45),$AG$2:$AG$1001,0),0), INDEX($AN$1004:$BO$1004,1,MATCH(COLUMNS($AN$1006:BN1006),$AN$1006:$BO$1006,0)))),"Fix")))</f>
        <v>0</v>
      </c>
      <c r="AC45" s="4">
        <f>IF(OR(INDEX($AH$2:$AH$1001,MATCH(ROWS($AG$2:AG45),$AG$2:$AG$1001,0),1)&gt;=100000,INDEX($AN$1005:$BO$1005,1,MATCH(COLUMNS($AN$1006:BO1006),$AN$1006:$BO$1006,0))&gt;=100000), " ",IF(INDEX($AN$2:$BO$1001,MATCH(ROWS($AG$2:AG45),$AG$2:$AG$1001,0),MATCH(COLUMNS($AN$1006:BO1006),$AN$1006:$BO$1006,0)), HYPERLINK("#",""), HYPERLINK(CONCATENATE("#Metadata!", ADDRESS(INDEX($AI$2:$AI$1001,MATCH(ROWS($AG$2:AG45),$AG$2:$AG$1001,0),0), INDEX($AN$1004:$BO$1004,1,MATCH(COLUMNS($AN$1006:BO1006),$AN$1006:$BO$1006,0)))),"Fix")))</f>
        <v>0</v>
      </c>
      <c r="AG45">
        <v>0</v>
      </c>
      <c r="AH45">
        <v>0</v>
      </c>
      <c r="AI45">
        <v>0</v>
      </c>
      <c r="AJ45">
        <f>IF(AK45,TRUE,AND(AN45:BO45))</f>
        <v>0</v>
      </c>
      <c r="AK45">
        <f>COUNTBLANK(Metadata!B45:AC45)=COLUMNS(Metadata!B45:AC45)</f>
        <v>0</v>
      </c>
      <c r="AL45">
        <v>0</v>
      </c>
      <c r="AN45">
        <f>AND(IF(Metadata!B45="",FALSE,TRUE),COUNTIF(Metadata!B:B, Metadata!B45) = 1,NOT(ISERROR(SUMPRODUCT(SEARCH(MID(Metadata!B45,ROW(INDIRECT("1:"&amp;LEN(Metadata!B45))), 1),"0123456789abcdefghijklmnopqrstuvwxyzABCDEFGHIJKLMNOPQRSTUVWXYZ.")))))</f>
        <v>0</v>
      </c>
      <c r="AO45">
        <f>IF(Metadata!C45="",FALSE,TRUE)</f>
        <v>0</v>
      </c>
      <c r="AP45">
        <f>IF(Metadata!D45="",FALSE,TRUE)</f>
        <v>0</v>
      </c>
      <c r="AQ45">
        <f>OR(AND(IF(Metadata!E45="",FALSE,TRUE),OR(exact(Metadata!E45,"not collected"),exact(Metadata!E45,"not provided"),exact(Metadata!E45,"restricted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R45">
        <f>IF(Metadata!F45="",FALSE,TRUE)</f>
        <v>0</v>
      </c>
      <c r="AS45">
        <f>OR(AND(IF(Metadata!G45="",FALSE,TRUE),OR(exact(Metadata!G45,"not collected"),exact(Metadata!G45,"not provided"))),AND(IF(Metadata!G45="",FALSE,TRUE),OR(exact(Metadata!G45,"TRUE"),exact(Metadata!G45,"FALSE"))))</f>
        <v>0</v>
      </c>
      <c r="AT45">
        <f>OR(AND(IF(Metadata!H45="",FALSE,TRUE),OR(exact(Metadata!H45,"not collected"),exact(Metadata!H45,"not provided"),exact(Metadata!H45,"restricted access"))),AND(IF(Metadata!H45="",FALSE,ISNUMBER(VALUE(Metadata!H45))),Metadata!H45&gt;=-413.0))</f>
        <v>0</v>
      </c>
      <c r="AU45">
        <f>AND(IF(Metadata!I45="",FALSE,TRUE),exact(Metadata!I45,"meters"))</f>
        <v>0</v>
      </c>
      <c r="AV45">
        <f>AND(IF(Metadata!J45="",FALSE,TRUE),OR(exact(Metadata!J45,"Host-associated"),exact(Metadata!J45,"Free-living")))</f>
        <v>0</v>
      </c>
      <c r="AW45">
        <f>AND(IF(Metadata!K45="",FALSE,TRUE),OR(exact(Metadata!K45,"Animal"),exact(Metadata!K45,"Fungus"),exact(Metadata!K45,"Plant"),exact(Metadata!K45,"Saline"),exact(Metadata!K45,"Non-saline")))</f>
        <v>0</v>
      </c>
      <c r="AX45">
        <f>AND(IF(Metadata!L45="",FALSE,TRUE),OR(exact(Metadata!L45,"Plant secretion"),exact(Metadata!L45,"Plant rhizosphere"),exact(Metadata!L45,"Plant surface"),exact(Metadata!L45,"Plant corpus"),exact(Metadata!L45,"Fungus surface"),exact(Metadata!L45,"Fungus corpus"),exact(Metadata!L45,"Animal surface"),exact(Metadata!L45,"Animal proximal gut"),exact(Metadata!L45,"Animal corpus"),exact(Metadata!L45,"Animal distal gut"),exact(Metadata!L45,"Animal secretion"),exact(Metadata!L45,"Sub-surface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0</v>
      </c>
      <c r="AY45">
        <f>IF(Metadata!M45="",FALSE,TRUE)</f>
        <v>0</v>
      </c>
      <c r="AZ45">
        <f>IF(Metadata!N45="",FALSE,TRUE)</f>
        <v>0</v>
      </c>
      <c r="BA45">
        <f>IF(Metadata!O45="",FALSE,TRUE)</f>
        <v>0</v>
      </c>
      <c r="BB45">
        <f>OR(AND(IF(Metadata!P45="",FALSE,TRUE),OR(exact(Metadata!P45,"not collected"),exact(Metadata!P45,"not provided"),exact(Metadata!P45,"restricted access"))),AND(IF(Metadata!P45="",FALSE,TRUE),OR(exact(Metadata!P45,"air"),exact(Metadata!P45,"built environment"),exact(Metadata!P45,"host-associated"),exact(Metadata!P45,"human-associated"),exact(Metadata!P45,"human-skin"),exact(Metadata!P45,"human-oral"),exact(Metadata!P45,"human-gut"),exact(Metadata!P45,"human-vaginal"),exact(Metadata!P45,"microbial mat/biofilm"),exact(Metadata!P45,"misc environment"),exact(Metadata!P45,"plant-associated"),exact(Metadata!P45,"sediment"),exact(Metadata!P45,"soil"),exact(Metadata!P45,"wastewater/sludge"),exact(Metadata!P45,"water"))))</f>
        <v>0</v>
      </c>
      <c r="BC45">
        <f>IF(Metadata!Q45="",FALSE,TRUE)</f>
        <v>0</v>
      </c>
      <c r="BD45">
        <f>IF(Metadata!R45="",FALSE,TRUE)</f>
        <v>0</v>
      </c>
      <c r="BE45">
        <f>OR(AND(IF(Metadata!S45="",FALSE,TRUE),OR(exact(Metadata!S45,"not collected"),exact(Metadata!S45,"not provided"),exact(Metadata!S45,"restricted access"))),AND(IF(Metadata!S45="",FALSE,ISNUMBER(VALUE(Metadata!S45))),Metadata!S45&gt;=-90.00,Metadata!S45&lt;=90.00))</f>
        <v>0</v>
      </c>
      <c r="BF45">
        <f>AND(IF(Metadata!T45="",FALSE,TRUE),exact(Metadata!T45,"Decimal degrees"))</f>
        <v>0</v>
      </c>
      <c r="BG45">
        <f>OR(AND(IF(Metadata!U45="",FALSE,TRUE),OR(exact(Metadata!U45,"not collected"),exact(Metadata!U45,"not provided"),exact(Metadata!U45,"restricted access"))),AND(IF(Metadata!U45="",FALSE,ISNUMBER(VALUE(Metadata!U45))),Metadata!U45&gt;=-180.00,Metadata!U45&lt;=180.00))</f>
        <v>0</v>
      </c>
      <c r="BH45">
        <f>AND(IF(Metadata!V45="",FALSE,TRUE),exact(Metadata!V45,"Decimal degrees"))</f>
        <v>0</v>
      </c>
      <c r="BI45">
        <f>IF(Metadata!W45="",FALSE,TRUE)</f>
        <v>0</v>
      </c>
      <c r="BJ45">
        <f>OR(AND(IF(Metadata!X45="",FALSE,TRUE),OR(exact(Metadata!X45,"not collected"),exact(Metadata!X45,"not provided"),exact(Metadata!X45,"restricted access"))),AND(IF(Metadata!X45="",FALSE,TRUE),OR(exact(Metadata!X45,"TRUE"),exact(Metadata!X45,"FALSE"))))</f>
        <v>0</v>
      </c>
      <c r="BK45">
        <f>AND(IF(Metadata!Y45="",FALSE,TRUE),exact(Metadata!Y45,"other"))</f>
        <v>0</v>
      </c>
      <c r="BL45">
        <f>IF(Metadata!Z45="",FALSE,TRUE)</f>
        <v>0</v>
      </c>
      <c r="BM45">
        <f>OR(AND(IF(Metadata!AA45="",FALSE,TRUE),OR(exact(Metadata!AA45,"not collected"),exact(Metadata!AA45,"not provided"))),AND(IF(Metadata!AA45="",FALSE,IF(ISERROR(INT(Metadata!AA45)),FALSE,INT(Metadata!AA45)=Metadata!AA45)),Metadata!AA45&gt;0))</f>
        <v>0</v>
      </c>
      <c r="BN45">
        <f>AND(IF(Metadata!AB45="",FALSE,TRUE),exact(Metadata!AB45,"Not applicable"))</f>
        <v>0</v>
      </c>
      <c r="BO45">
        <f>IF(Metadata!AC45="",FALSE,TRUE)</f>
        <v>0</v>
      </c>
    </row>
    <row r="46" spans="1:67">
      <c r="A46" s="5">
        <f>IF(B46=" "," ",HYPERLINK(CONCATENATE("#metadata!",ADDRESS(INDEX($AI$2:$AI$1001,MATCH(ROWS($AG$2:AG46),$AG$2:$AG$1001,0),0),1)),INDEX($AL$2:$AL$1001,MATCH(ROWS($AG$2:AG46),$AG$2:$AG$1001,0),0)))</f>
        <v>0</v>
      </c>
      <c r="B46" s="4">
        <f>IF(OR(INDEX($AH$2:$AH$1001,MATCH(ROWS($AG$2:AG46),$AG$2:$AG$1001,0),1)&gt;=100000,INDEX($AN$1005:$BO$1005,1,MATCH(COLUMNS($AN$1006:AN1006),$AN$1006:$BO$1006,0))&gt;=100000), " ",IF(INDEX($AN$2:$BO$1001,MATCH(ROWS($AG$2:AG46),$AG$2:$AG$1001,0),MATCH(COLUMNS($AN$1006:AN1006),$AN$1006:$BO$1006,0)), HYPERLINK("#",""), HYPERLINK(CONCATENATE("#Metadata!", ADDRESS(INDEX($AI$2:$AI$1001,MATCH(ROWS($AG$2:AG46),$AG$2:$AG$1001,0),0), INDEX($AN$1004:$BO$1004,1,MATCH(COLUMNS($AN$1006:AN1006),$AN$1006:$BO$1006,0)))),"Fix")))</f>
        <v>0</v>
      </c>
      <c r="C46" s="4">
        <f>IF(OR(INDEX($AH$2:$AH$1001,MATCH(ROWS($AG$2:AG46),$AG$2:$AG$1001,0),1)&gt;=100000,INDEX($AN$1005:$BO$1005,1,MATCH(COLUMNS($AN$1006:AO1006),$AN$1006:$BO$1006,0))&gt;=100000), " ",IF(INDEX($AN$2:$BO$1001,MATCH(ROWS($AG$2:AG46),$AG$2:$AG$1001,0),MATCH(COLUMNS($AN$1006:AO1006),$AN$1006:$BO$1006,0)), HYPERLINK("#",""), HYPERLINK(CONCATENATE("#Metadata!", ADDRESS(INDEX($AI$2:$AI$1001,MATCH(ROWS($AG$2:AG46),$AG$2:$AG$1001,0),0), INDEX($AN$1004:$BO$1004,1,MATCH(COLUMNS($AN$1006:AO1006),$AN$1006:$BO$1006,0)))),"Fix")))</f>
        <v>0</v>
      </c>
      <c r="D46" s="4">
        <f>IF(OR(INDEX($AH$2:$AH$1001,MATCH(ROWS($AG$2:AG46),$AG$2:$AG$1001,0),1)&gt;=100000,INDEX($AN$1005:$BO$1005,1,MATCH(COLUMNS($AN$1006:AP1006),$AN$1006:$BO$1006,0))&gt;=100000), " ",IF(INDEX($AN$2:$BO$1001,MATCH(ROWS($AG$2:AG46),$AG$2:$AG$1001,0),MATCH(COLUMNS($AN$1006:AP1006),$AN$1006:$BO$1006,0)), HYPERLINK("#",""), HYPERLINK(CONCATENATE("#Metadata!", ADDRESS(INDEX($AI$2:$AI$1001,MATCH(ROWS($AG$2:AG46),$AG$2:$AG$1001,0),0), INDEX($AN$1004:$BO$1004,1,MATCH(COLUMNS($AN$1006:AP1006),$AN$1006:$BO$1006,0)))),"Fix")))</f>
        <v>0</v>
      </c>
      <c r="E46" s="4">
        <f>IF(OR(INDEX($AH$2:$AH$1001,MATCH(ROWS($AG$2:AG46),$AG$2:$AG$1001,0),1)&gt;=100000,INDEX($AN$1005:$BO$1005,1,MATCH(COLUMNS($AN$1006:AQ1006),$AN$1006:$BO$1006,0))&gt;=100000), " ",IF(INDEX($AN$2:$BO$1001,MATCH(ROWS($AG$2:AG46),$AG$2:$AG$1001,0),MATCH(COLUMNS($AN$1006:AQ1006),$AN$1006:$BO$1006,0)), HYPERLINK("#",""), HYPERLINK(CONCATENATE("#Metadata!", ADDRESS(INDEX($AI$2:$AI$1001,MATCH(ROWS($AG$2:AG46),$AG$2:$AG$1001,0),0), INDEX($AN$1004:$BO$1004,1,MATCH(COLUMNS($AN$1006:AQ1006),$AN$1006:$BO$1006,0)))),"Fix")))</f>
        <v>0</v>
      </c>
      <c r="F46" s="4">
        <f>IF(OR(INDEX($AH$2:$AH$1001,MATCH(ROWS($AG$2:AG46),$AG$2:$AG$1001,0),1)&gt;=100000,INDEX($AN$1005:$BO$1005,1,MATCH(COLUMNS($AN$1006:AR1006),$AN$1006:$BO$1006,0))&gt;=100000), " ",IF(INDEX($AN$2:$BO$1001,MATCH(ROWS($AG$2:AG46),$AG$2:$AG$1001,0),MATCH(COLUMNS($AN$1006:AR1006),$AN$1006:$BO$1006,0)), HYPERLINK("#",""), HYPERLINK(CONCATENATE("#Metadata!", ADDRESS(INDEX($AI$2:$AI$1001,MATCH(ROWS($AG$2:AG46),$AG$2:$AG$1001,0),0), INDEX($AN$1004:$BO$1004,1,MATCH(COLUMNS($AN$1006:AR1006),$AN$1006:$BO$1006,0)))),"Fix")))</f>
        <v>0</v>
      </c>
      <c r="G46" s="4">
        <f>IF(OR(INDEX($AH$2:$AH$1001,MATCH(ROWS($AG$2:AG46),$AG$2:$AG$1001,0),1)&gt;=100000,INDEX($AN$1005:$BO$1005,1,MATCH(COLUMNS($AN$1006:AS1006),$AN$1006:$BO$1006,0))&gt;=100000), " ",IF(INDEX($AN$2:$BO$1001,MATCH(ROWS($AG$2:AG46),$AG$2:$AG$1001,0),MATCH(COLUMNS($AN$1006:AS1006),$AN$1006:$BO$1006,0)), HYPERLINK("#",""), HYPERLINK(CONCATENATE("#Metadata!", ADDRESS(INDEX($AI$2:$AI$1001,MATCH(ROWS($AG$2:AG46),$AG$2:$AG$1001,0),0), INDEX($AN$1004:$BO$1004,1,MATCH(COLUMNS($AN$1006:AS1006),$AN$1006:$BO$1006,0)))),"Fix")))</f>
        <v>0</v>
      </c>
      <c r="H46" s="4">
        <f>IF(OR(INDEX($AH$2:$AH$1001,MATCH(ROWS($AG$2:AG46),$AG$2:$AG$1001,0),1)&gt;=100000,INDEX($AN$1005:$BO$1005,1,MATCH(COLUMNS($AN$1006:AT1006),$AN$1006:$BO$1006,0))&gt;=100000), " ",IF(INDEX($AN$2:$BO$1001,MATCH(ROWS($AG$2:AG46),$AG$2:$AG$1001,0),MATCH(COLUMNS($AN$1006:AT1006),$AN$1006:$BO$1006,0)), HYPERLINK("#",""), HYPERLINK(CONCATENATE("#Metadata!", ADDRESS(INDEX($AI$2:$AI$1001,MATCH(ROWS($AG$2:AG46),$AG$2:$AG$1001,0),0), INDEX($AN$1004:$BO$1004,1,MATCH(COLUMNS($AN$1006:AT1006),$AN$1006:$BO$1006,0)))),"Fix")))</f>
        <v>0</v>
      </c>
      <c r="I46" s="4">
        <f>IF(OR(INDEX($AH$2:$AH$1001,MATCH(ROWS($AG$2:AG46),$AG$2:$AG$1001,0),1)&gt;=100000,INDEX($AN$1005:$BO$1005,1,MATCH(COLUMNS($AN$1006:AU1006),$AN$1006:$BO$1006,0))&gt;=100000), " ",IF(INDEX($AN$2:$BO$1001,MATCH(ROWS($AG$2:AG46),$AG$2:$AG$1001,0),MATCH(COLUMNS($AN$1006:AU1006),$AN$1006:$BO$1006,0)), HYPERLINK("#",""), HYPERLINK(CONCATENATE("#Metadata!", ADDRESS(INDEX($AI$2:$AI$1001,MATCH(ROWS($AG$2:AG46),$AG$2:$AG$1001,0),0), INDEX($AN$1004:$BO$1004,1,MATCH(COLUMNS($AN$1006:AU1006),$AN$1006:$BO$1006,0)))),"Fix")))</f>
        <v>0</v>
      </c>
      <c r="J46" s="4">
        <f>IF(OR(INDEX($AH$2:$AH$1001,MATCH(ROWS($AG$2:AG46),$AG$2:$AG$1001,0),1)&gt;=100000,INDEX($AN$1005:$BO$1005,1,MATCH(COLUMNS($AN$1006:AV1006),$AN$1006:$BO$1006,0))&gt;=100000), " ",IF(INDEX($AN$2:$BO$1001,MATCH(ROWS($AG$2:AG46),$AG$2:$AG$1001,0),MATCH(COLUMNS($AN$1006:AV1006),$AN$1006:$BO$1006,0)), HYPERLINK("#",""), HYPERLINK(CONCATENATE("#Metadata!", ADDRESS(INDEX($AI$2:$AI$1001,MATCH(ROWS($AG$2:AG46),$AG$2:$AG$1001,0),0), INDEX($AN$1004:$BO$1004,1,MATCH(COLUMNS($AN$1006:AV1006),$AN$1006:$BO$1006,0)))),"Fix")))</f>
        <v>0</v>
      </c>
      <c r="K46" s="4">
        <f>IF(OR(INDEX($AH$2:$AH$1001,MATCH(ROWS($AG$2:AG46),$AG$2:$AG$1001,0),1)&gt;=100000,INDEX($AN$1005:$BO$1005,1,MATCH(COLUMNS($AN$1006:AW1006),$AN$1006:$BO$1006,0))&gt;=100000), " ",IF(INDEX($AN$2:$BO$1001,MATCH(ROWS($AG$2:AG46),$AG$2:$AG$1001,0),MATCH(COLUMNS($AN$1006:AW1006),$AN$1006:$BO$1006,0)), HYPERLINK("#",""), HYPERLINK(CONCATENATE("#Metadata!", ADDRESS(INDEX($AI$2:$AI$1001,MATCH(ROWS($AG$2:AG46),$AG$2:$AG$1001,0),0), INDEX($AN$1004:$BO$1004,1,MATCH(COLUMNS($AN$1006:AW1006),$AN$1006:$BO$1006,0)))),"Fix")))</f>
        <v>0</v>
      </c>
      <c r="L46" s="4">
        <f>IF(OR(INDEX($AH$2:$AH$1001,MATCH(ROWS($AG$2:AG46),$AG$2:$AG$1001,0),1)&gt;=100000,INDEX($AN$1005:$BO$1005,1,MATCH(COLUMNS($AN$1006:AX1006),$AN$1006:$BO$1006,0))&gt;=100000), " ",IF(INDEX($AN$2:$BO$1001,MATCH(ROWS($AG$2:AG46),$AG$2:$AG$1001,0),MATCH(COLUMNS($AN$1006:AX1006),$AN$1006:$BO$1006,0)), HYPERLINK("#",""), HYPERLINK(CONCATENATE("#Metadata!", ADDRESS(INDEX($AI$2:$AI$1001,MATCH(ROWS($AG$2:AG46),$AG$2:$AG$1001,0),0), INDEX($AN$1004:$BO$1004,1,MATCH(COLUMNS($AN$1006:AX1006),$AN$1006:$BO$1006,0)))),"Fix")))</f>
        <v>0</v>
      </c>
      <c r="M46" s="4">
        <f>IF(OR(INDEX($AH$2:$AH$1001,MATCH(ROWS($AG$2:AG46),$AG$2:$AG$1001,0),1)&gt;=100000,INDEX($AN$1005:$BO$1005,1,MATCH(COLUMNS($AN$1006:AY1006),$AN$1006:$BO$1006,0))&gt;=100000), " ",IF(INDEX($AN$2:$BO$1001,MATCH(ROWS($AG$2:AG46),$AG$2:$AG$1001,0),MATCH(COLUMNS($AN$1006:AY1006),$AN$1006:$BO$1006,0)), HYPERLINK("#",""), HYPERLINK(CONCATENATE("#Metadata!", ADDRESS(INDEX($AI$2:$AI$1001,MATCH(ROWS($AG$2:AG46),$AG$2:$AG$1001,0),0), INDEX($AN$1004:$BO$1004,1,MATCH(COLUMNS($AN$1006:AY1006),$AN$1006:$BO$1006,0)))),"Fix")))</f>
        <v>0</v>
      </c>
      <c r="N46" s="4">
        <f>IF(OR(INDEX($AH$2:$AH$1001,MATCH(ROWS($AG$2:AG46),$AG$2:$AG$1001,0),1)&gt;=100000,INDEX($AN$1005:$BO$1005,1,MATCH(COLUMNS($AN$1006:AZ1006),$AN$1006:$BO$1006,0))&gt;=100000), " ",IF(INDEX($AN$2:$BO$1001,MATCH(ROWS($AG$2:AG46),$AG$2:$AG$1001,0),MATCH(COLUMNS($AN$1006:AZ1006),$AN$1006:$BO$1006,0)), HYPERLINK("#",""), HYPERLINK(CONCATENATE("#Metadata!", ADDRESS(INDEX($AI$2:$AI$1001,MATCH(ROWS($AG$2:AG46),$AG$2:$AG$1001,0),0), INDEX($AN$1004:$BO$1004,1,MATCH(COLUMNS($AN$1006:AZ1006),$AN$1006:$BO$1006,0)))),"Fix")))</f>
        <v>0</v>
      </c>
      <c r="O46" s="4">
        <f>IF(OR(INDEX($AH$2:$AH$1001,MATCH(ROWS($AG$2:AG46),$AG$2:$AG$1001,0),1)&gt;=100000,INDEX($AN$1005:$BO$1005,1,MATCH(COLUMNS($AN$1006:BA1006),$AN$1006:$BO$1006,0))&gt;=100000), " ",IF(INDEX($AN$2:$BO$1001,MATCH(ROWS($AG$2:AG46),$AG$2:$AG$1001,0),MATCH(COLUMNS($AN$1006:BA1006),$AN$1006:$BO$1006,0)), HYPERLINK("#",""), HYPERLINK(CONCATENATE("#Metadata!", ADDRESS(INDEX($AI$2:$AI$1001,MATCH(ROWS($AG$2:AG46),$AG$2:$AG$1001,0),0), INDEX($AN$1004:$BO$1004,1,MATCH(COLUMNS($AN$1006:BA1006),$AN$1006:$BO$1006,0)))),"Fix")))</f>
        <v>0</v>
      </c>
      <c r="P46" s="4">
        <f>IF(OR(INDEX($AH$2:$AH$1001,MATCH(ROWS($AG$2:AG46),$AG$2:$AG$1001,0),1)&gt;=100000,INDEX($AN$1005:$BO$1005,1,MATCH(COLUMNS($AN$1006:BB1006),$AN$1006:$BO$1006,0))&gt;=100000), " ",IF(INDEX($AN$2:$BO$1001,MATCH(ROWS($AG$2:AG46),$AG$2:$AG$1001,0),MATCH(COLUMNS($AN$1006:BB1006),$AN$1006:$BO$1006,0)), HYPERLINK("#",""), HYPERLINK(CONCATENATE("#Metadata!", ADDRESS(INDEX($AI$2:$AI$1001,MATCH(ROWS($AG$2:AG46),$AG$2:$AG$1001,0),0), INDEX($AN$1004:$BO$1004,1,MATCH(COLUMNS($AN$1006:BB1006),$AN$1006:$BO$1006,0)))),"Fix")))</f>
        <v>0</v>
      </c>
      <c r="Q46" s="4">
        <f>IF(OR(INDEX($AH$2:$AH$1001,MATCH(ROWS($AG$2:AG46),$AG$2:$AG$1001,0),1)&gt;=100000,INDEX($AN$1005:$BO$1005,1,MATCH(COLUMNS($AN$1006:BC1006),$AN$1006:$BO$1006,0))&gt;=100000), " ",IF(INDEX($AN$2:$BO$1001,MATCH(ROWS($AG$2:AG46),$AG$2:$AG$1001,0),MATCH(COLUMNS($AN$1006:BC1006),$AN$1006:$BO$1006,0)), HYPERLINK("#",""), HYPERLINK(CONCATENATE("#Metadata!", ADDRESS(INDEX($AI$2:$AI$1001,MATCH(ROWS($AG$2:AG46),$AG$2:$AG$1001,0),0), INDEX($AN$1004:$BO$1004,1,MATCH(COLUMNS($AN$1006:BC1006),$AN$1006:$BO$1006,0)))),"Fix")))</f>
        <v>0</v>
      </c>
      <c r="R46" s="4">
        <f>IF(OR(INDEX($AH$2:$AH$1001,MATCH(ROWS($AG$2:AG46),$AG$2:$AG$1001,0),1)&gt;=100000,INDEX($AN$1005:$BO$1005,1,MATCH(COLUMNS($AN$1006:BD1006),$AN$1006:$BO$1006,0))&gt;=100000), " ",IF(INDEX($AN$2:$BO$1001,MATCH(ROWS($AG$2:AG46),$AG$2:$AG$1001,0),MATCH(COLUMNS($AN$1006:BD1006),$AN$1006:$BO$1006,0)), HYPERLINK("#",""), HYPERLINK(CONCATENATE("#Metadata!", ADDRESS(INDEX($AI$2:$AI$1001,MATCH(ROWS($AG$2:AG46),$AG$2:$AG$1001,0),0), INDEX($AN$1004:$BO$1004,1,MATCH(COLUMNS($AN$1006:BD1006),$AN$1006:$BO$1006,0)))),"Fix")))</f>
        <v>0</v>
      </c>
      <c r="S46" s="4">
        <f>IF(OR(INDEX($AH$2:$AH$1001,MATCH(ROWS($AG$2:AG46),$AG$2:$AG$1001,0),1)&gt;=100000,INDEX($AN$1005:$BO$1005,1,MATCH(COLUMNS($AN$1006:BE1006),$AN$1006:$BO$1006,0))&gt;=100000), " ",IF(INDEX($AN$2:$BO$1001,MATCH(ROWS($AG$2:AG46),$AG$2:$AG$1001,0),MATCH(COLUMNS($AN$1006:BE1006),$AN$1006:$BO$1006,0)), HYPERLINK("#",""), HYPERLINK(CONCATENATE("#Metadata!", ADDRESS(INDEX($AI$2:$AI$1001,MATCH(ROWS($AG$2:AG46),$AG$2:$AG$1001,0),0), INDEX($AN$1004:$BO$1004,1,MATCH(COLUMNS($AN$1006:BE1006),$AN$1006:$BO$1006,0)))),"Fix")))</f>
        <v>0</v>
      </c>
      <c r="T46" s="4">
        <f>IF(OR(INDEX($AH$2:$AH$1001,MATCH(ROWS($AG$2:AG46),$AG$2:$AG$1001,0),1)&gt;=100000,INDEX($AN$1005:$BO$1005,1,MATCH(COLUMNS($AN$1006:BF1006),$AN$1006:$BO$1006,0))&gt;=100000), " ",IF(INDEX($AN$2:$BO$1001,MATCH(ROWS($AG$2:AG46),$AG$2:$AG$1001,0),MATCH(COLUMNS($AN$1006:BF1006),$AN$1006:$BO$1006,0)), HYPERLINK("#",""), HYPERLINK(CONCATENATE("#Metadata!", ADDRESS(INDEX($AI$2:$AI$1001,MATCH(ROWS($AG$2:AG46),$AG$2:$AG$1001,0),0), INDEX($AN$1004:$BO$1004,1,MATCH(COLUMNS($AN$1006:BF1006),$AN$1006:$BO$1006,0)))),"Fix")))</f>
        <v>0</v>
      </c>
      <c r="U46" s="4">
        <f>IF(OR(INDEX($AH$2:$AH$1001,MATCH(ROWS($AG$2:AG46),$AG$2:$AG$1001,0),1)&gt;=100000,INDEX($AN$1005:$BO$1005,1,MATCH(COLUMNS($AN$1006:BG1006),$AN$1006:$BO$1006,0))&gt;=100000), " ",IF(INDEX($AN$2:$BO$1001,MATCH(ROWS($AG$2:AG46),$AG$2:$AG$1001,0),MATCH(COLUMNS($AN$1006:BG1006),$AN$1006:$BO$1006,0)), HYPERLINK("#",""), HYPERLINK(CONCATENATE("#Metadata!", ADDRESS(INDEX($AI$2:$AI$1001,MATCH(ROWS($AG$2:AG46),$AG$2:$AG$1001,0),0), INDEX($AN$1004:$BO$1004,1,MATCH(COLUMNS($AN$1006:BG1006),$AN$1006:$BO$1006,0)))),"Fix")))</f>
        <v>0</v>
      </c>
      <c r="V46" s="4">
        <f>IF(OR(INDEX($AH$2:$AH$1001,MATCH(ROWS($AG$2:AG46),$AG$2:$AG$1001,0),1)&gt;=100000,INDEX($AN$1005:$BO$1005,1,MATCH(COLUMNS($AN$1006:BH1006),$AN$1006:$BO$1006,0))&gt;=100000), " ",IF(INDEX($AN$2:$BO$1001,MATCH(ROWS($AG$2:AG46),$AG$2:$AG$1001,0),MATCH(COLUMNS($AN$1006:BH1006),$AN$1006:$BO$1006,0)), HYPERLINK("#",""), HYPERLINK(CONCATENATE("#Metadata!", ADDRESS(INDEX($AI$2:$AI$1001,MATCH(ROWS($AG$2:AG46),$AG$2:$AG$1001,0),0), INDEX($AN$1004:$BO$1004,1,MATCH(COLUMNS($AN$1006:BH1006),$AN$1006:$BO$1006,0)))),"Fix")))</f>
        <v>0</v>
      </c>
      <c r="W46" s="4">
        <f>IF(OR(INDEX($AH$2:$AH$1001,MATCH(ROWS($AG$2:AG46),$AG$2:$AG$1001,0),1)&gt;=100000,INDEX($AN$1005:$BO$1005,1,MATCH(COLUMNS($AN$1006:BI1006),$AN$1006:$BO$1006,0))&gt;=100000), " ",IF(INDEX($AN$2:$BO$1001,MATCH(ROWS($AG$2:AG46),$AG$2:$AG$1001,0),MATCH(COLUMNS($AN$1006:BI1006),$AN$1006:$BO$1006,0)), HYPERLINK("#",""), HYPERLINK(CONCATENATE("#Metadata!", ADDRESS(INDEX($AI$2:$AI$1001,MATCH(ROWS($AG$2:AG46),$AG$2:$AG$1001,0),0), INDEX($AN$1004:$BO$1004,1,MATCH(COLUMNS($AN$1006:BI1006),$AN$1006:$BO$1006,0)))),"Fix")))</f>
        <v>0</v>
      </c>
      <c r="X46" s="4">
        <f>IF(OR(INDEX($AH$2:$AH$1001,MATCH(ROWS($AG$2:AG46),$AG$2:$AG$1001,0),1)&gt;=100000,INDEX($AN$1005:$BO$1005,1,MATCH(COLUMNS($AN$1006:BJ1006),$AN$1006:$BO$1006,0))&gt;=100000), " ",IF(INDEX($AN$2:$BO$1001,MATCH(ROWS($AG$2:AG46),$AG$2:$AG$1001,0),MATCH(COLUMNS($AN$1006:BJ1006),$AN$1006:$BO$1006,0)), HYPERLINK("#",""), HYPERLINK(CONCATENATE("#Metadata!", ADDRESS(INDEX($AI$2:$AI$1001,MATCH(ROWS($AG$2:AG46),$AG$2:$AG$1001,0),0), INDEX($AN$1004:$BO$1004,1,MATCH(COLUMNS($AN$1006:BJ1006),$AN$1006:$BO$1006,0)))),"Fix")))</f>
        <v>0</v>
      </c>
      <c r="Y46" s="4">
        <f>IF(OR(INDEX($AH$2:$AH$1001,MATCH(ROWS($AG$2:AG46),$AG$2:$AG$1001,0),1)&gt;=100000,INDEX($AN$1005:$BO$1005,1,MATCH(COLUMNS($AN$1006:BK1006),$AN$1006:$BO$1006,0))&gt;=100000), " ",IF(INDEX($AN$2:$BO$1001,MATCH(ROWS($AG$2:AG46),$AG$2:$AG$1001,0),MATCH(COLUMNS($AN$1006:BK1006),$AN$1006:$BO$1006,0)), HYPERLINK("#",""), HYPERLINK(CONCATENATE("#Metadata!", ADDRESS(INDEX($AI$2:$AI$1001,MATCH(ROWS($AG$2:AG46),$AG$2:$AG$1001,0),0), INDEX($AN$1004:$BO$1004,1,MATCH(COLUMNS($AN$1006:BK1006),$AN$1006:$BO$1006,0)))),"Fix")))</f>
        <v>0</v>
      </c>
      <c r="Z46" s="4">
        <f>IF(OR(INDEX($AH$2:$AH$1001,MATCH(ROWS($AG$2:AG46),$AG$2:$AG$1001,0),1)&gt;=100000,INDEX($AN$1005:$BO$1005,1,MATCH(COLUMNS($AN$1006:BL1006),$AN$1006:$BO$1006,0))&gt;=100000), " ",IF(INDEX($AN$2:$BO$1001,MATCH(ROWS($AG$2:AG46),$AG$2:$AG$1001,0),MATCH(COLUMNS($AN$1006:BL1006),$AN$1006:$BO$1006,0)), HYPERLINK("#",""), HYPERLINK(CONCATENATE("#Metadata!", ADDRESS(INDEX($AI$2:$AI$1001,MATCH(ROWS($AG$2:AG46),$AG$2:$AG$1001,0),0), INDEX($AN$1004:$BO$1004,1,MATCH(COLUMNS($AN$1006:BL1006),$AN$1006:$BO$1006,0)))),"Fix")))</f>
        <v>0</v>
      </c>
      <c r="AA46" s="4">
        <f>IF(OR(INDEX($AH$2:$AH$1001,MATCH(ROWS($AG$2:AG46),$AG$2:$AG$1001,0),1)&gt;=100000,INDEX($AN$1005:$BO$1005,1,MATCH(COLUMNS($AN$1006:BM1006),$AN$1006:$BO$1006,0))&gt;=100000), " ",IF(INDEX($AN$2:$BO$1001,MATCH(ROWS($AG$2:AG46),$AG$2:$AG$1001,0),MATCH(COLUMNS($AN$1006:BM1006),$AN$1006:$BO$1006,0)), HYPERLINK("#",""), HYPERLINK(CONCATENATE("#Metadata!", ADDRESS(INDEX($AI$2:$AI$1001,MATCH(ROWS($AG$2:AG46),$AG$2:$AG$1001,0),0), INDEX($AN$1004:$BO$1004,1,MATCH(COLUMNS($AN$1006:BM1006),$AN$1006:$BO$1006,0)))),"Fix")))</f>
        <v>0</v>
      </c>
      <c r="AB46" s="4">
        <f>IF(OR(INDEX($AH$2:$AH$1001,MATCH(ROWS($AG$2:AG46),$AG$2:$AG$1001,0),1)&gt;=100000,INDEX($AN$1005:$BO$1005,1,MATCH(COLUMNS($AN$1006:BN1006),$AN$1006:$BO$1006,0))&gt;=100000), " ",IF(INDEX($AN$2:$BO$1001,MATCH(ROWS($AG$2:AG46),$AG$2:$AG$1001,0),MATCH(COLUMNS($AN$1006:BN1006),$AN$1006:$BO$1006,0)), HYPERLINK("#",""), HYPERLINK(CONCATENATE("#Metadata!", ADDRESS(INDEX($AI$2:$AI$1001,MATCH(ROWS($AG$2:AG46),$AG$2:$AG$1001,0),0), INDEX($AN$1004:$BO$1004,1,MATCH(COLUMNS($AN$1006:BN1006),$AN$1006:$BO$1006,0)))),"Fix")))</f>
        <v>0</v>
      </c>
      <c r="AC46" s="4">
        <f>IF(OR(INDEX($AH$2:$AH$1001,MATCH(ROWS($AG$2:AG46),$AG$2:$AG$1001,0),1)&gt;=100000,INDEX($AN$1005:$BO$1005,1,MATCH(COLUMNS($AN$1006:BO1006),$AN$1006:$BO$1006,0))&gt;=100000), " ",IF(INDEX($AN$2:$BO$1001,MATCH(ROWS($AG$2:AG46),$AG$2:$AG$1001,0),MATCH(COLUMNS($AN$1006:BO1006),$AN$1006:$BO$1006,0)), HYPERLINK("#",""), HYPERLINK(CONCATENATE("#Metadata!", ADDRESS(INDEX($AI$2:$AI$1001,MATCH(ROWS($AG$2:AG46),$AG$2:$AG$1001,0),0), INDEX($AN$1004:$BO$1004,1,MATCH(COLUMNS($AN$1006:BO1006),$AN$1006:$BO$1006,0)))),"Fix")))</f>
        <v>0</v>
      </c>
      <c r="AG46">
        <v>0</v>
      </c>
      <c r="AH46">
        <v>0</v>
      </c>
      <c r="AI46">
        <v>0</v>
      </c>
      <c r="AJ46">
        <f>IF(AK46,TRUE,AND(AN46:BO46))</f>
        <v>0</v>
      </c>
      <c r="AK46">
        <f>COUNTBLANK(Metadata!B46:AC46)=COLUMNS(Metadata!B46:AC46)</f>
        <v>0</v>
      </c>
      <c r="AL46">
        <v>0</v>
      </c>
      <c r="AN46">
        <f>AND(IF(Metadata!B46="",FALSE,TRUE),COUNTIF(Metadata!B:B, Metadata!B46) = 1,NOT(ISERROR(SUMPRODUCT(SEARCH(MID(Metadata!B46,ROW(INDIRECT("1:"&amp;LEN(Metadata!B46))), 1),"0123456789abcdefghijklmnopqrstuvwxyzABCDEFGHIJKLMNOPQRSTUVWXYZ.")))))</f>
        <v>0</v>
      </c>
      <c r="AO46">
        <f>IF(Metadata!C46="",FALSE,TRUE)</f>
        <v>0</v>
      </c>
      <c r="AP46">
        <f>IF(Metadata!D46="",FALSE,TRUE)</f>
        <v>0</v>
      </c>
      <c r="AQ46">
        <f>OR(AND(IF(Metadata!E46="",FALSE,TRUE),OR(exact(Metadata!E46,"not collected"),exact(Metadata!E46,"not provided"),exact(Metadata!E46,"restricted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R46">
        <f>IF(Metadata!F46="",FALSE,TRUE)</f>
        <v>0</v>
      </c>
      <c r="AS46">
        <f>OR(AND(IF(Metadata!G46="",FALSE,TRUE),OR(exact(Metadata!G46,"not collected"),exact(Metadata!G46,"not provided"))),AND(IF(Metadata!G46="",FALSE,TRUE),OR(exact(Metadata!G46,"TRUE"),exact(Metadata!G46,"FALSE"))))</f>
        <v>0</v>
      </c>
      <c r="AT46">
        <f>OR(AND(IF(Metadata!H46="",FALSE,TRUE),OR(exact(Metadata!H46,"not collected"),exact(Metadata!H46,"not provided"),exact(Metadata!H46,"restricted access"))),AND(IF(Metadata!H46="",FALSE,ISNUMBER(VALUE(Metadata!H46))),Metadata!H46&gt;=-413.0))</f>
        <v>0</v>
      </c>
      <c r="AU46">
        <f>AND(IF(Metadata!I46="",FALSE,TRUE),exact(Metadata!I46,"meters"))</f>
        <v>0</v>
      </c>
      <c r="AV46">
        <f>AND(IF(Metadata!J46="",FALSE,TRUE),OR(exact(Metadata!J46,"Host-associated"),exact(Metadata!J46,"Free-living")))</f>
        <v>0</v>
      </c>
      <c r="AW46">
        <f>AND(IF(Metadata!K46="",FALSE,TRUE),OR(exact(Metadata!K46,"Animal"),exact(Metadata!K46,"Fungus"),exact(Metadata!K46,"Plant"),exact(Metadata!K46,"Saline"),exact(Metadata!K46,"Non-saline")))</f>
        <v>0</v>
      </c>
      <c r="AX46">
        <f>AND(IF(Metadata!L46="",FALSE,TRUE),OR(exact(Metadata!L46,"Plant secretion"),exact(Metadata!L46,"Plant rhizosphere"),exact(Metadata!L46,"Plant surface"),exact(Metadata!L46,"Plant corpus"),exact(Metadata!L46,"Fungus surface"),exact(Metadata!L46,"Fungus corpus"),exact(Metadata!L46,"Animal surface"),exact(Metadata!L46,"Animal proximal gut"),exact(Metadata!L46,"Animal corpus"),exact(Metadata!L46,"Animal distal gut"),exact(Metadata!L46,"Animal secretion"),exact(Metadata!L46,"Sub-surface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0</v>
      </c>
      <c r="AY46">
        <f>IF(Metadata!M46="",FALSE,TRUE)</f>
        <v>0</v>
      </c>
      <c r="AZ46">
        <f>IF(Metadata!N46="",FALSE,TRUE)</f>
        <v>0</v>
      </c>
      <c r="BA46">
        <f>IF(Metadata!O46="",FALSE,TRUE)</f>
        <v>0</v>
      </c>
      <c r="BB46">
        <f>OR(AND(IF(Metadata!P46="",FALSE,TRUE),OR(exact(Metadata!P46,"not collected"),exact(Metadata!P46,"not provided"),exact(Metadata!P46,"restricted access"))),AND(IF(Metadata!P46="",FALSE,TRUE),OR(exact(Metadata!P46,"air"),exact(Metadata!P46,"built environment"),exact(Metadata!P46,"host-associated"),exact(Metadata!P46,"human-associated"),exact(Metadata!P46,"human-skin"),exact(Metadata!P46,"human-oral"),exact(Metadata!P46,"human-gut"),exact(Metadata!P46,"human-vaginal"),exact(Metadata!P46,"microbial mat/biofilm"),exact(Metadata!P46,"misc environment"),exact(Metadata!P46,"plant-associated"),exact(Metadata!P46,"sediment"),exact(Metadata!P46,"soil"),exact(Metadata!P46,"wastewater/sludge"),exact(Metadata!P46,"water"))))</f>
        <v>0</v>
      </c>
      <c r="BC46">
        <f>IF(Metadata!Q46="",FALSE,TRUE)</f>
        <v>0</v>
      </c>
      <c r="BD46">
        <f>IF(Metadata!R46="",FALSE,TRUE)</f>
        <v>0</v>
      </c>
      <c r="BE46">
        <f>OR(AND(IF(Metadata!S46="",FALSE,TRUE),OR(exact(Metadata!S46,"not collected"),exact(Metadata!S46,"not provided"),exact(Metadata!S46,"restricted access"))),AND(IF(Metadata!S46="",FALSE,ISNUMBER(VALUE(Metadata!S46))),Metadata!S46&gt;=-90.00,Metadata!S46&lt;=90.00))</f>
        <v>0</v>
      </c>
      <c r="BF46">
        <f>AND(IF(Metadata!T46="",FALSE,TRUE),exact(Metadata!T46,"Decimal degrees"))</f>
        <v>0</v>
      </c>
      <c r="BG46">
        <f>OR(AND(IF(Metadata!U46="",FALSE,TRUE),OR(exact(Metadata!U46,"not collected"),exact(Metadata!U46,"not provided"),exact(Metadata!U46,"restricted access"))),AND(IF(Metadata!U46="",FALSE,ISNUMBER(VALUE(Metadata!U46))),Metadata!U46&gt;=-180.00,Metadata!U46&lt;=180.00))</f>
        <v>0</v>
      </c>
      <c r="BH46">
        <f>AND(IF(Metadata!V46="",FALSE,TRUE),exact(Metadata!V46,"Decimal degrees"))</f>
        <v>0</v>
      </c>
      <c r="BI46">
        <f>IF(Metadata!W46="",FALSE,TRUE)</f>
        <v>0</v>
      </c>
      <c r="BJ46">
        <f>OR(AND(IF(Metadata!X46="",FALSE,TRUE),OR(exact(Metadata!X46,"not collected"),exact(Metadata!X46,"not provided"),exact(Metadata!X46,"restricted access"))),AND(IF(Metadata!X46="",FALSE,TRUE),OR(exact(Metadata!X46,"TRUE"),exact(Metadata!X46,"FALSE"))))</f>
        <v>0</v>
      </c>
      <c r="BK46">
        <f>AND(IF(Metadata!Y46="",FALSE,TRUE),exact(Metadata!Y46,"other"))</f>
        <v>0</v>
      </c>
      <c r="BL46">
        <f>IF(Metadata!Z46="",FALSE,TRUE)</f>
        <v>0</v>
      </c>
      <c r="BM46">
        <f>OR(AND(IF(Metadata!AA46="",FALSE,TRUE),OR(exact(Metadata!AA46,"not collected"),exact(Metadata!AA46,"not provided"))),AND(IF(Metadata!AA46="",FALSE,IF(ISERROR(INT(Metadata!AA46)),FALSE,INT(Metadata!AA46)=Metadata!AA46)),Metadata!AA46&gt;0))</f>
        <v>0</v>
      </c>
      <c r="BN46">
        <f>AND(IF(Metadata!AB46="",FALSE,TRUE),exact(Metadata!AB46,"Not applicable"))</f>
        <v>0</v>
      </c>
      <c r="BO46">
        <f>IF(Metadata!AC46="",FALSE,TRUE)</f>
        <v>0</v>
      </c>
    </row>
    <row r="47" spans="1:67">
      <c r="A47" s="5">
        <f>IF(B47=" "," ",HYPERLINK(CONCATENATE("#metadata!",ADDRESS(INDEX($AI$2:$AI$1001,MATCH(ROWS($AG$2:AG47),$AG$2:$AG$1001,0),0),1)),INDEX($AL$2:$AL$1001,MATCH(ROWS($AG$2:AG47),$AG$2:$AG$1001,0),0)))</f>
        <v>0</v>
      </c>
      <c r="B47" s="4">
        <f>IF(OR(INDEX($AH$2:$AH$1001,MATCH(ROWS($AG$2:AG47),$AG$2:$AG$1001,0),1)&gt;=100000,INDEX($AN$1005:$BO$1005,1,MATCH(COLUMNS($AN$1006:AN1006),$AN$1006:$BO$1006,0))&gt;=100000), " ",IF(INDEX($AN$2:$BO$1001,MATCH(ROWS($AG$2:AG47),$AG$2:$AG$1001,0),MATCH(COLUMNS($AN$1006:AN1006),$AN$1006:$BO$1006,0)), HYPERLINK("#",""), HYPERLINK(CONCATENATE("#Metadata!", ADDRESS(INDEX($AI$2:$AI$1001,MATCH(ROWS($AG$2:AG47),$AG$2:$AG$1001,0),0), INDEX($AN$1004:$BO$1004,1,MATCH(COLUMNS($AN$1006:AN1006),$AN$1006:$BO$1006,0)))),"Fix")))</f>
        <v>0</v>
      </c>
      <c r="C47" s="4">
        <f>IF(OR(INDEX($AH$2:$AH$1001,MATCH(ROWS($AG$2:AG47),$AG$2:$AG$1001,0),1)&gt;=100000,INDEX($AN$1005:$BO$1005,1,MATCH(COLUMNS($AN$1006:AO1006),$AN$1006:$BO$1006,0))&gt;=100000), " ",IF(INDEX($AN$2:$BO$1001,MATCH(ROWS($AG$2:AG47),$AG$2:$AG$1001,0),MATCH(COLUMNS($AN$1006:AO1006),$AN$1006:$BO$1006,0)), HYPERLINK("#",""), HYPERLINK(CONCATENATE("#Metadata!", ADDRESS(INDEX($AI$2:$AI$1001,MATCH(ROWS($AG$2:AG47),$AG$2:$AG$1001,0),0), INDEX($AN$1004:$BO$1004,1,MATCH(COLUMNS($AN$1006:AO1006),$AN$1006:$BO$1006,0)))),"Fix")))</f>
        <v>0</v>
      </c>
      <c r="D47" s="4">
        <f>IF(OR(INDEX($AH$2:$AH$1001,MATCH(ROWS($AG$2:AG47),$AG$2:$AG$1001,0),1)&gt;=100000,INDEX($AN$1005:$BO$1005,1,MATCH(COLUMNS($AN$1006:AP1006),$AN$1006:$BO$1006,0))&gt;=100000), " ",IF(INDEX($AN$2:$BO$1001,MATCH(ROWS($AG$2:AG47),$AG$2:$AG$1001,0),MATCH(COLUMNS($AN$1006:AP1006),$AN$1006:$BO$1006,0)), HYPERLINK("#",""), HYPERLINK(CONCATENATE("#Metadata!", ADDRESS(INDEX($AI$2:$AI$1001,MATCH(ROWS($AG$2:AG47),$AG$2:$AG$1001,0),0), INDEX($AN$1004:$BO$1004,1,MATCH(COLUMNS($AN$1006:AP1006),$AN$1006:$BO$1006,0)))),"Fix")))</f>
        <v>0</v>
      </c>
      <c r="E47" s="4">
        <f>IF(OR(INDEX($AH$2:$AH$1001,MATCH(ROWS($AG$2:AG47),$AG$2:$AG$1001,0),1)&gt;=100000,INDEX($AN$1005:$BO$1005,1,MATCH(COLUMNS($AN$1006:AQ1006),$AN$1006:$BO$1006,0))&gt;=100000), " ",IF(INDEX($AN$2:$BO$1001,MATCH(ROWS($AG$2:AG47),$AG$2:$AG$1001,0),MATCH(COLUMNS($AN$1006:AQ1006),$AN$1006:$BO$1006,0)), HYPERLINK("#",""), HYPERLINK(CONCATENATE("#Metadata!", ADDRESS(INDEX($AI$2:$AI$1001,MATCH(ROWS($AG$2:AG47),$AG$2:$AG$1001,0),0), INDEX($AN$1004:$BO$1004,1,MATCH(COLUMNS($AN$1006:AQ1006),$AN$1006:$BO$1006,0)))),"Fix")))</f>
        <v>0</v>
      </c>
      <c r="F47" s="4">
        <f>IF(OR(INDEX($AH$2:$AH$1001,MATCH(ROWS($AG$2:AG47),$AG$2:$AG$1001,0),1)&gt;=100000,INDEX($AN$1005:$BO$1005,1,MATCH(COLUMNS($AN$1006:AR1006),$AN$1006:$BO$1006,0))&gt;=100000), " ",IF(INDEX($AN$2:$BO$1001,MATCH(ROWS($AG$2:AG47),$AG$2:$AG$1001,0),MATCH(COLUMNS($AN$1006:AR1006),$AN$1006:$BO$1006,0)), HYPERLINK("#",""), HYPERLINK(CONCATENATE("#Metadata!", ADDRESS(INDEX($AI$2:$AI$1001,MATCH(ROWS($AG$2:AG47),$AG$2:$AG$1001,0),0), INDEX($AN$1004:$BO$1004,1,MATCH(COLUMNS($AN$1006:AR1006),$AN$1006:$BO$1006,0)))),"Fix")))</f>
        <v>0</v>
      </c>
      <c r="G47" s="4">
        <f>IF(OR(INDEX($AH$2:$AH$1001,MATCH(ROWS($AG$2:AG47),$AG$2:$AG$1001,0),1)&gt;=100000,INDEX($AN$1005:$BO$1005,1,MATCH(COLUMNS($AN$1006:AS1006),$AN$1006:$BO$1006,0))&gt;=100000), " ",IF(INDEX($AN$2:$BO$1001,MATCH(ROWS($AG$2:AG47),$AG$2:$AG$1001,0),MATCH(COLUMNS($AN$1006:AS1006),$AN$1006:$BO$1006,0)), HYPERLINK("#",""), HYPERLINK(CONCATENATE("#Metadata!", ADDRESS(INDEX($AI$2:$AI$1001,MATCH(ROWS($AG$2:AG47),$AG$2:$AG$1001,0),0), INDEX($AN$1004:$BO$1004,1,MATCH(COLUMNS($AN$1006:AS1006),$AN$1006:$BO$1006,0)))),"Fix")))</f>
        <v>0</v>
      </c>
      <c r="H47" s="4">
        <f>IF(OR(INDEX($AH$2:$AH$1001,MATCH(ROWS($AG$2:AG47),$AG$2:$AG$1001,0),1)&gt;=100000,INDEX($AN$1005:$BO$1005,1,MATCH(COLUMNS($AN$1006:AT1006),$AN$1006:$BO$1006,0))&gt;=100000), " ",IF(INDEX($AN$2:$BO$1001,MATCH(ROWS($AG$2:AG47),$AG$2:$AG$1001,0),MATCH(COLUMNS($AN$1006:AT1006),$AN$1006:$BO$1006,0)), HYPERLINK("#",""), HYPERLINK(CONCATENATE("#Metadata!", ADDRESS(INDEX($AI$2:$AI$1001,MATCH(ROWS($AG$2:AG47),$AG$2:$AG$1001,0),0), INDEX($AN$1004:$BO$1004,1,MATCH(COLUMNS($AN$1006:AT1006),$AN$1006:$BO$1006,0)))),"Fix")))</f>
        <v>0</v>
      </c>
      <c r="I47" s="4">
        <f>IF(OR(INDEX($AH$2:$AH$1001,MATCH(ROWS($AG$2:AG47),$AG$2:$AG$1001,0),1)&gt;=100000,INDEX($AN$1005:$BO$1005,1,MATCH(COLUMNS($AN$1006:AU1006),$AN$1006:$BO$1006,0))&gt;=100000), " ",IF(INDEX($AN$2:$BO$1001,MATCH(ROWS($AG$2:AG47),$AG$2:$AG$1001,0),MATCH(COLUMNS($AN$1006:AU1006),$AN$1006:$BO$1006,0)), HYPERLINK("#",""), HYPERLINK(CONCATENATE("#Metadata!", ADDRESS(INDEX($AI$2:$AI$1001,MATCH(ROWS($AG$2:AG47),$AG$2:$AG$1001,0),0), INDEX($AN$1004:$BO$1004,1,MATCH(COLUMNS($AN$1006:AU1006),$AN$1006:$BO$1006,0)))),"Fix")))</f>
        <v>0</v>
      </c>
      <c r="J47" s="4">
        <f>IF(OR(INDEX($AH$2:$AH$1001,MATCH(ROWS($AG$2:AG47),$AG$2:$AG$1001,0),1)&gt;=100000,INDEX($AN$1005:$BO$1005,1,MATCH(COLUMNS($AN$1006:AV1006),$AN$1006:$BO$1006,0))&gt;=100000), " ",IF(INDEX($AN$2:$BO$1001,MATCH(ROWS($AG$2:AG47),$AG$2:$AG$1001,0),MATCH(COLUMNS($AN$1006:AV1006),$AN$1006:$BO$1006,0)), HYPERLINK("#",""), HYPERLINK(CONCATENATE("#Metadata!", ADDRESS(INDEX($AI$2:$AI$1001,MATCH(ROWS($AG$2:AG47),$AG$2:$AG$1001,0),0), INDEX($AN$1004:$BO$1004,1,MATCH(COLUMNS($AN$1006:AV1006),$AN$1006:$BO$1006,0)))),"Fix")))</f>
        <v>0</v>
      </c>
      <c r="K47" s="4">
        <f>IF(OR(INDEX($AH$2:$AH$1001,MATCH(ROWS($AG$2:AG47),$AG$2:$AG$1001,0),1)&gt;=100000,INDEX($AN$1005:$BO$1005,1,MATCH(COLUMNS($AN$1006:AW1006),$AN$1006:$BO$1006,0))&gt;=100000), " ",IF(INDEX($AN$2:$BO$1001,MATCH(ROWS($AG$2:AG47),$AG$2:$AG$1001,0),MATCH(COLUMNS($AN$1006:AW1006),$AN$1006:$BO$1006,0)), HYPERLINK("#",""), HYPERLINK(CONCATENATE("#Metadata!", ADDRESS(INDEX($AI$2:$AI$1001,MATCH(ROWS($AG$2:AG47),$AG$2:$AG$1001,0),0), INDEX($AN$1004:$BO$1004,1,MATCH(COLUMNS($AN$1006:AW1006),$AN$1006:$BO$1006,0)))),"Fix")))</f>
        <v>0</v>
      </c>
      <c r="L47" s="4">
        <f>IF(OR(INDEX($AH$2:$AH$1001,MATCH(ROWS($AG$2:AG47),$AG$2:$AG$1001,0),1)&gt;=100000,INDEX($AN$1005:$BO$1005,1,MATCH(COLUMNS($AN$1006:AX1006),$AN$1006:$BO$1006,0))&gt;=100000), " ",IF(INDEX($AN$2:$BO$1001,MATCH(ROWS($AG$2:AG47),$AG$2:$AG$1001,0),MATCH(COLUMNS($AN$1006:AX1006),$AN$1006:$BO$1006,0)), HYPERLINK("#",""), HYPERLINK(CONCATENATE("#Metadata!", ADDRESS(INDEX($AI$2:$AI$1001,MATCH(ROWS($AG$2:AG47),$AG$2:$AG$1001,0),0), INDEX($AN$1004:$BO$1004,1,MATCH(COLUMNS($AN$1006:AX1006),$AN$1006:$BO$1006,0)))),"Fix")))</f>
        <v>0</v>
      </c>
      <c r="M47" s="4">
        <f>IF(OR(INDEX($AH$2:$AH$1001,MATCH(ROWS($AG$2:AG47),$AG$2:$AG$1001,0),1)&gt;=100000,INDEX($AN$1005:$BO$1005,1,MATCH(COLUMNS($AN$1006:AY1006),$AN$1006:$BO$1006,0))&gt;=100000), " ",IF(INDEX($AN$2:$BO$1001,MATCH(ROWS($AG$2:AG47),$AG$2:$AG$1001,0),MATCH(COLUMNS($AN$1006:AY1006),$AN$1006:$BO$1006,0)), HYPERLINK("#",""), HYPERLINK(CONCATENATE("#Metadata!", ADDRESS(INDEX($AI$2:$AI$1001,MATCH(ROWS($AG$2:AG47),$AG$2:$AG$1001,0),0), INDEX($AN$1004:$BO$1004,1,MATCH(COLUMNS($AN$1006:AY1006),$AN$1006:$BO$1006,0)))),"Fix")))</f>
        <v>0</v>
      </c>
      <c r="N47" s="4">
        <f>IF(OR(INDEX($AH$2:$AH$1001,MATCH(ROWS($AG$2:AG47),$AG$2:$AG$1001,0),1)&gt;=100000,INDEX($AN$1005:$BO$1005,1,MATCH(COLUMNS($AN$1006:AZ1006),$AN$1006:$BO$1006,0))&gt;=100000), " ",IF(INDEX($AN$2:$BO$1001,MATCH(ROWS($AG$2:AG47),$AG$2:$AG$1001,0),MATCH(COLUMNS($AN$1006:AZ1006),$AN$1006:$BO$1006,0)), HYPERLINK("#",""), HYPERLINK(CONCATENATE("#Metadata!", ADDRESS(INDEX($AI$2:$AI$1001,MATCH(ROWS($AG$2:AG47),$AG$2:$AG$1001,0),0), INDEX($AN$1004:$BO$1004,1,MATCH(COLUMNS($AN$1006:AZ1006),$AN$1006:$BO$1006,0)))),"Fix")))</f>
        <v>0</v>
      </c>
      <c r="O47" s="4">
        <f>IF(OR(INDEX($AH$2:$AH$1001,MATCH(ROWS($AG$2:AG47),$AG$2:$AG$1001,0),1)&gt;=100000,INDEX($AN$1005:$BO$1005,1,MATCH(COLUMNS($AN$1006:BA1006),$AN$1006:$BO$1006,0))&gt;=100000), " ",IF(INDEX($AN$2:$BO$1001,MATCH(ROWS($AG$2:AG47),$AG$2:$AG$1001,0),MATCH(COLUMNS($AN$1006:BA1006),$AN$1006:$BO$1006,0)), HYPERLINK("#",""), HYPERLINK(CONCATENATE("#Metadata!", ADDRESS(INDEX($AI$2:$AI$1001,MATCH(ROWS($AG$2:AG47),$AG$2:$AG$1001,0),0), INDEX($AN$1004:$BO$1004,1,MATCH(COLUMNS($AN$1006:BA1006),$AN$1006:$BO$1006,0)))),"Fix")))</f>
        <v>0</v>
      </c>
      <c r="P47" s="4">
        <f>IF(OR(INDEX($AH$2:$AH$1001,MATCH(ROWS($AG$2:AG47),$AG$2:$AG$1001,0),1)&gt;=100000,INDEX($AN$1005:$BO$1005,1,MATCH(COLUMNS($AN$1006:BB1006),$AN$1006:$BO$1006,0))&gt;=100000), " ",IF(INDEX($AN$2:$BO$1001,MATCH(ROWS($AG$2:AG47),$AG$2:$AG$1001,0),MATCH(COLUMNS($AN$1006:BB1006),$AN$1006:$BO$1006,0)), HYPERLINK("#",""), HYPERLINK(CONCATENATE("#Metadata!", ADDRESS(INDEX($AI$2:$AI$1001,MATCH(ROWS($AG$2:AG47),$AG$2:$AG$1001,0),0), INDEX($AN$1004:$BO$1004,1,MATCH(COLUMNS($AN$1006:BB1006),$AN$1006:$BO$1006,0)))),"Fix")))</f>
        <v>0</v>
      </c>
      <c r="Q47" s="4">
        <f>IF(OR(INDEX($AH$2:$AH$1001,MATCH(ROWS($AG$2:AG47),$AG$2:$AG$1001,0),1)&gt;=100000,INDEX($AN$1005:$BO$1005,1,MATCH(COLUMNS($AN$1006:BC1006),$AN$1006:$BO$1006,0))&gt;=100000), " ",IF(INDEX($AN$2:$BO$1001,MATCH(ROWS($AG$2:AG47),$AG$2:$AG$1001,0),MATCH(COLUMNS($AN$1006:BC1006),$AN$1006:$BO$1006,0)), HYPERLINK("#",""), HYPERLINK(CONCATENATE("#Metadata!", ADDRESS(INDEX($AI$2:$AI$1001,MATCH(ROWS($AG$2:AG47),$AG$2:$AG$1001,0),0), INDEX($AN$1004:$BO$1004,1,MATCH(COLUMNS($AN$1006:BC1006),$AN$1006:$BO$1006,0)))),"Fix")))</f>
        <v>0</v>
      </c>
      <c r="R47" s="4">
        <f>IF(OR(INDEX($AH$2:$AH$1001,MATCH(ROWS($AG$2:AG47),$AG$2:$AG$1001,0),1)&gt;=100000,INDEX($AN$1005:$BO$1005,1,MATCH(COLUMNS($AN$1006:BD1006),$AN$1006:$BO$1006,0))&gt;=100000), " ",IF(INDEX($AN$2:$BO$1001,MATCH(ROWS($AG$2:AG47),$AG$2:$AG$1001,0),MATCH(COLUMNS($AN$1006:BD1006),$AN$1006:$BO$1006,0)), HYPERLINK("#",""), HYPERLINK(CONCATENATE("#Metadata!", ADDRESS(INDEX($AI$2:$AI$1001,MATCH(ROWS($AG$2:AG47),$AG$2:$AG$1001,0),0), INDEX($AN$1004:$BO$1004,1,MATCH(COLUMNS($AN$1006:BD1006),$AN$1006:$BO$1006,0)))),"Fix")))</f>
        <v>0</v>
      </c>
      <c r="S47" s="4">
        <f>IF(OR(INDEX($AH$2:$AH$1001,MATCH(ROWS($AG$2:AG47),$AG$2:$AG$1001,0),1)&gt;=100000,INDEX($AN$1005:$BO$1005,1,MATCH(COLUMNS($AN$1006:BE1006),$AN$1006:$BO$1006,0))&gt;=100000), " ",IF(INDEX($AN$2:$BO$1001,MATCH(ROWS($AG$2:AG47),$AG$2:$AG$1001,0),MATCH(COLUMNS($AN$1006:BE1006),$AN$1006:$BO$1006,0)), HYPERLINK("#",""), HYPERLINK(CONCATENATE("#Metadata!", ADDRESS(INDEX($AI$2:$AI$1001,MATCH(ROWS($AG$2:AG47),$AG$2:$AG$1001,0),0), INDEX($AN$1004:$BO$1004,1,MATCH(COLUMNS($AN$1006:BE1006),$AN$1006:$BO$1006,0)))),"Fix")))</f>
        <v>0</v>
      </c>
      <c r="T47" s="4">
        <f>IF(OR(INDEX($AH$2:$AH$1001,MATCH(ROWS($AG$2:AG47),$AG$2:$AG$1001,0),1)&gt;=100000,INDEX($AN$1005:$BO$1005,1,MATCH(COLUMNS($AN$1006:BF1006),$AN$1006:$BO$1006,0))&gt;=100000), " ",IF(INDEX($AN$2:$BO$1001,MATCH(ROWS($AG$2:AG47),$AG$2:$AG$1001,0),MATCH(COLUMNS($AN$1006:BF1006),$AN$1006:$BO$1006,0)), HYPERLINK("#",""), HYPERLINK(CONCATENATE("#Metadata!", ADDRESS(INDEX($AI$2:$AI$1001,MATCH(ROWS($AG$2:AG47),$AG$2:$AG$1001,0),0), INDEX($AN$1004:$BO$1004,1,MATCH(COLUMNS($AN$1006:BF1006),$AN$1006:$BO$1006,0)))),"Fix")))</f>
        <v>0</v>
      </c>
      <c r="U47" s="4">
        <f>IF(OR(INDEX($AH$2:$AH$1001,MATCH(ROWS($AG$2:AG47),$AG$2:$AG$1001,0),1)&gt;=100000,INDEX($AN$1005:$BO$1005,1,MATCH(COLUMNS($AN$1006:BG1006),$AN$1006:$BO$1006,0))&gt;=100000), " ",IF(INDEX($AN$2:$BO$1001,MATCH(ROWS($AG$2:AG47),$AG$2:$AG$1001,0),MATCH(COLUMNS($AN$1006:BG1006),$AN$1006:$BO$1006,0)), HYPERLINK("#",""), HYPERLINK(CONCATENATE("#Metadata!", ADDRESS(INDEX($AI$2:$AI$1001,MATCH(ROWS($AG$2:AG47),$AG$2:$AG$1001,0),0), INDEX($AN$1004:$BO$1004,1,MATCH(COLUMNS($AN$1006:BG1006),$AN$1006:$BO$1006,0)))),"Fix")))</f>
        <v>0</v>
      </c>
      <c r="V47" s="4">
        <f>IF(OR(INDEX($AH$2:$AH$1001,MATCH(ROWS($AG$2:AG47),$AG$2:$AG$1001,0),1)&gt;=100000,INDEX($AN$1005:$BO$1005,1,MATCH(COLUMNS($AN$1006:BH1006),$AN$1006:$BO$1006,0))&gt;=100000), " ",IF(INDEX($AN$2:$BO$1001,MATCH(ROWS($AG$2:AG47),$AG$2:$AG$1001,0),MATCH(COLUMNS($AN$1006:BH1006),$AN$1006:$BO$1006,0)), HYPERLINK("#",""), HYPERLINK(CONCATENATE("#Metadata!", ADDRESS(INDEX($AI$2:$AI$1001,MATCH(ROWS($AG$2:AG47),$AG$2:$AG$1001,0),0), INDEX($AN$1004:$BO$1004,1,MATCH(COLUMNS($AN$1006:BH1006),$AN$1006:$BO$1006,0)))),"Fix")))</f>
        <v>0</v>
      </c>
      <c r="W47" s="4">
        <f>IF(OR(INDEX($AH$2:$AH$1001,MATCH(ROWS($AG$2:AG47),$AG$2:$AG$1001,0),1)&gt;=100000,INDEX($AN$1005:$BO$1005,1,MATCH(COLUMNS($AN$1006:BI1006),$AN$1006:$BO$1006,0))&gt;=100000), " ",IF(INDEX($AN$2:$BO$1001,MATCH(ROWS($AG$2:AG47),$AG$2:$AG$1001,0),MATCH(COLUMNS($AN$1006:BI1006),$AN$1006:$BO$1006,0)), HYPERLINK("#",""), HYPERLINK(CONCATENATE("#Metadata!", ADDRESS(INDEX($AI$2:$AI$1001,MATCH(ROWS($AG$2:AG47),$AG$2:$AG$1001,0),0), INDEX($AN$1004:$BO$1004,1,MATCH(COLUMNS($AN$1006:BI1006),$AN$1006:$BO$1006,0)))),"Fix")))</f>
        <v>0</v>
      </c>
      <c r="X47" s="4">
        <f>IF(OR(INDEX($AH$2:$AH$1001,MATCH(ROWS($AG$2:AG47),$AG$2:$AG$1001,0),1)&gt;=100000,INDEX($AN$1005:$BO$1005,1,MATCH(COLUMNS($AN$1006:BJ1006),$AN$1006:$BO$1006,0))&gt;=100000), " ",IF(INDEX($AN$2:$BO$1001,MATCH(ROWS($AG$2:AG47),$AG$2:$AG$1001,0),MATCH(COLUMNS($AN$1006:BJ1006),$AN$1006:$BO$1006,0)), HYPERLINK("#",""), HYPERLINK(CONCATENATE("#Metadata!", ADDRESS(INDEX($AI$2:$AI$1001,MATCH(ROWS($AG$2:AG47),$AG$2:$AG$1001,0),0), INDEX($AN$1004:$BO$1004,1,MATCH(COLUMNS($AN$1006:BJ1006),$AN$1006:$BO$1006,0)))),"Fix")))</f>
        <v>0</v>
      </c>
      <c r="Y47" s="4">
        <f>IF(OR(INDEX($AH$2:$AH$1001,MATCH(ROWS($AG$2:AG47),$AG$2:$AG$1001,0),1)&gt;=100000,INDEX($AN$1005:$BO$1005,1,MATCH(COLUMNS($AN$1006:BK1006),$AN$1006:$BO$1006,0))&gt;=100000), " ",IF(INDEX($AN$2:$BO$1001,MATCH(ROWS($AG$2:AG47),$AG$2:$AG$1001,0),MATCH(COLUMNS($AN$1006:BK1006),$AN$1006:$BO$1006,0)), HYPERLINK("#",""), HYPERLINK(CONCATENATE("#Metadata!", ADDRESS(INDEX($AI$2:$AI$1001,MATCH(ROWS($AG$2:AG47),$AG$2:$AG$1001,0),0), INDEX($AN$1004:$BO$1004,1,MATCH(COLUMNS($AN$1006:BK1006),$AN$1006:$BO$1006,0)))),"Fix")))</f>
        <v>0</v>
      </c>
      <c r="Z47" s="4">
        <f>IF(OR(INDEX($AH$2:$AH$1001,MATCH(ROWS($AG$2:AG47),$AG$2:$AG$1001,0),1)&gt;=100000,INDEX($AN$1005:$BO$1005,1,MATCH(COLUMNS($AN$1006:BL1006),$AN$1006:$BO$1006,0))&gt;=100000), " ",IF(INDEX($AN$2:$BO$1001,MATCH(ROWS($AG$2:AG47),$AG$2:$AG$1001,0),MATCH(COLUMNS($AN$1006:BL1006),$AN$1006:$BO$1006,0)), HYPERLINK("#",""), HYPERLINK(CONCATENATE("#Metadata!", ADDRESS(INDEX($AI$2:$AI$1001,MATCH(ROWS($AG$2:AG47),$AG$2:$AG$1001,0),0), INDEX($AN$1004:$BO$1004,1,MATCH(COLUMNS($AN$1006:BL1006),$AN$1006:$BO$1006,0)))),"Fix")))</f>
        <v>0</v>
      </c>
      <c r="AA47" s="4">
        <f>IF(OR(INDEX($AH$2:$AH$1001,MATCH(ROWS($AG$2:AG47),$AG$2:$AG$1001,0),1)&gt;=100000,INDEX($AN$1005:$BO$1005,1,MATCH(COLUMNS($AN$1006:BM1006),$AN$1006:$BO$1006,0))&gt;=100000), " ",IF(INDEX($AN$2:$BO$1001,MATCH(ROWS($AG$2:AG47),$AG$2:$AG$1001,0),MATCH(COLUMNS($AN$1006:BM1006),$AN$1006:$BO$1006,0)), HYPERLINK("#",""), HYPERLINK(CONCATENATE("#Metadata!", ADDRESS(INDEX($AI$2:$AI$1001,MATCH(ROWS($AG$2:AG47),$AG$2:$AG$1001,0),0), INDEX($AN$1004:$BO$1004,1,MATCH(COLUMNS($AN$1006:BM1006),$AN$1006:$BO$1006,0)))),"Fix")))</f>
        <v>0</v>
      </c>
      <c r="AB47" s="4">
        <f>IF(OR(INDEX($AH$2:$AH$1001,MATCH(ROWS($AG$2:AG47),$AG$2:$AG$1001,0),1)&gt;=100000,INDEX($AN$1005:$BO$1005,1,MATCH(COLUMNS($AN$1006:BN1006),$AN$1006:$BO$1006,0))&gt;=100000), " ",IF(INDEX($AN$2:$BO$1001,MATCH(ROWS($AG$2:AG47),$AG$2:$AG$1001,0),MATCH(COLUMNS($AN$1006:BN1006),$AN$1006:$BO$1006,0)), HYPERLINK("#",""), HYPERLINK(CONCATENATE("#Metadata!", ADDRESS(INDEX($AI$2:$AI$1001,MATCH(ROWS($AG$2:AG47),$AG$2:$AG$1001,0),0), INDEX($AN$1004:$BO$1004,1,MATCH(COLUMNS($AN$1006:BN1006),$AN$1006:$BO$1006,0)))),"Fix")))</f>
        <v>0</v>
      </c>
      <c r="AC47" s="4">
        <f>IF(OR(INDEX($AH$2:$AH$1001,MATCH(ROWS($AG$2:AG47),$AG$2:$AG$1001,0),1)&gt;=100000,INDEX($AN$1005:$BO$1005,1,MATCH(COLUMNS($AN$1006:BO1006),$AN$1006:$BO$1006,0))&gt;=100000), " ",IF(INDEX($AN$2:$BO$1001,MATCH(ROWS($AG$2:AG47),$AG$2:$AG$1001,0),MATCH(COLUMNS($AN$1006:BO1006),$AN$1006:$BO$1006,0)), HYPERLINK("#",""), HYPERLINK(CONCATENATE("#Metadata!", ADDRESS(INDEX($AI$2:$AI$1001,MATCH(ROWS($AG$2:AG47),$AG$2:$AG$1001,0),0), INDEX($AN$1004:$BO$1004,1,MATCH(COLUMNS($AN$1006:BO1006),$AN$1006:$BO$1006,0)))),"Fix")))</f>
        <v>0</v>
      </c>
      <c r="AG47">
        <v>0</v>
      </c>
      <c r="AH47">
        <v>0</v>
      </c>
      <c r="AI47">
        <v>0</v>
      </c>
      <c r="AJ47">
        <f>IF(AK47,TRUE,AND(AN47:BO47))</f>
        <v>0</v>
      </c>
      <c r="AK47">
        <f>COUNTBLANK(Metadata!B47:AC47)=COLUMNS(Metadata!B47:AC47)</f>
        <v>0</v>
      </c>
      <c r="AL47">
        <v>0</v>
      </c>
      <c r="AN47">
        <f>AND(IF(Metadata!B47="",FALSE,TRUE),COUNTIF(Metadata!B:B, Metadata!B47) = 1,NOT(ISERROR(SUMPRODUCT(SEARCH(MID(Metadata!B47,ROW(INDIRECT("1:"&amp;LEN(Metadata!B47))), 1),"0123456789abcdefghijklmnopqrstuvwxyzABCDEFGHIJKLMNOPQRSTUVWXYZ.")))))</f>
        <v>0</v>
      </c>
      <c r="AO47">
        <f>IF(Metadata!C47="",FALSE,TRUE)</f>
        <v>0</v>
      </c>
      <c r="AP47">
        <f>IF(Metadata!D47="",FALSE,TRUE)</f>
        <v>0</v>
      </c>
      <c r="AQ47">
        <f>OR(AND(IF(Metadata!E47="",FALSE,TRUE),OR(exact(Metadata!E47,"not collected"),exact(Metadata!E47,"not provided"),exact(Metadata!E47,"restricted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0</v>
      </c>
      <c r="AR47">
        <f>IF(Metadata!F47="",FALSE,TRUE)</f>
        <v>0</v>
      </c>
      <c r="AS47">
        <f>OR(AND(IF(Metadata!G47="",FALSE,TRUE),OR(exact(Metadata!G47,"not collected"),exact(Metadata!G47,"not provided"))),AND(IF(Metadata!G47="",FALSE,TRUE),OR(exact(Metadata!G47,"TRUE"),exact(Metadata!G47,"FALSE"))))</f>
        <v>0</v>
      </c>
      <c r="AT47">
        <f>OR(AND(IF(Metadata!H47="",FALSE,TRUE),OR(exact(Metadata!H47,"not collected"),exact(Metadata!H47,"not provided"),exact(Metadata!H47,"restricted access"))),AND(IF(Metadata!H47="",FALSE,ISNUMBER(VALUE(Metadata!H47))),Metadata!H47&gt;=-413.0))</f>
        <v>0</v>
      </c>
      <c r="AU47">
        <f>AND(IF(Metadata!I47="",FALSE,TRUE),exact(Metadata!I47,"meters"))</f>
        <v>0</v>
      </c>
      <c r="AV47">
        <f>AND(IF(Metadata!J47="",FALSE,TRUE),OR(exact(Metadata!J47,"Host-associated"),exact(Metadata!J47,"Free-living")))</f>
        <v>0</v>
      </c>
      <c r="AW47">
        <f>AND(IF(Metadata!K47="",FALSE,TRUE),OR(exact(Metadata!K47,"Animal"),exact(Metadata!K47,"Fungus"),exact(Metadata!K47,"Plant"),exact(Metadata!K47,"Saline"),exact(Metadata!K47,"Non-saline")))</f>
        <v>0</v>
      </c>
      <c r="AX47">
        <f>AND(IF(Metadata!L47="",FALSE,TRUE),OR(exact(Metadata!L47,"Plant secretion"),exact(Metadata!L47,"Plant rhizosphere"),exact(Metadata!L47,"Plant surface"),exact(Metadata!L47,"Plant corpus"),exact(Metadata!L47,"Fungus surface"),exact(Metadata!L47,"Fungus corpus"),exact(Metadata!L47,"Animal surface"),exact(Metadata!L47,"Animal proximal gut"),exact(Metadata!L47,"Animal corpus"),exact(Metadata!L47,"Animal distal gut"),exact(Metadata!L47,"Animal secretion"),exact(Metadata!L47,"Sub-surface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0</v>
      </c>
      <c r="AY47">
        <f>IF(Metadata!M47="",FALSE,TRUE)</f>
        <v>0</v>
      </c>
      <c r="AZ47">
        <f>IF(Metadata!N47="",FALSE,TRUE)</f>
        <v>0</v>
      </c>
      <c r="BA47">
        <f>IF(Metadata!O47="",FALSE,TRUE)</f>
        <v>0</v>
      </c>
      <c r="BB47">
        <f>OR(AND(IF(Metadata!P47="",FALSE,TRUE),OR(exact(Metadata!P47,"not collected"),exact(Metadata!P47,"not provided"),exact(Metadata!P47,"restricted access"))),AND(IF(Metadata!P47="",FALSE,TRUE),OR(exact(Metadata!P47,"air"),exact(Metadata!P47,"built environment"),exact(Metadata!P47,"host-associated"),exact(Metadata!P47,"human-associated"),exact(Metadata!P47,"human-skin"),exact(Metadata!P47,"human-oral"),exact(Metadata!P47,"human-gut"),exact(Metadata!P47,"human-vaginal"),exact(Metadata!P47,"microbial mat/biofilm"),exact(Metadata!P47,"misc environment"),exact(Metadata!P47,"plant-associated"),exact(Metadata!P47,"sediment"),exact(Metadata!P47,"soil"),exact(Metadata!P47,"wastewater/sludge"),exact(Metadata!P47,"water"))))</f>
        <v>0</v>
      </c>
      <c r="BC47">
        <f>IF(Metadata!Q47="",FALSE,TRUE)</f>
        <v>0</v>
      </c>
      <c r="BD47">
        <f>IF(Metadata!R47="",FALSE,TRUE)</f>
        <v>0</v>
      </c>
      <c r="BE47">
        <f>OR(AND(IF(Metadata!S47="",FALSE,TRUE),OR(exact(Metadata!S47,"not collected"),exact(Metadata!S47,"not provided"),exact(Metadata!S47,"restricted access"))),AND(IF(Metadata!S47="",FALSE,ISNUMBER(VALUE(Metadata!S47))),Metadata!S47&gt;=-90.00,Metadata!S47&lt;=90.00))</f>
        <v>0</v>
      </c>
      <c r="BF47">
        <f>AND(IF(Metadata!T47="",FALSE,TRUE),exact(Metadata!T47,"Decimal degrees"))</f>
        <v>0</v>
      </c>
      <c r="BG47">
        <f>OR(AND(IF(Metadata!U47="",FALSE,TRUE),OR(exact(Metadata!U47,"not collected"),exact(Metadata!U47,"not provided"),exact(Metadata!U47,"restricted access"))),AND(IF(Metadata!U47="",FALSE,ISNUMBER(VALUE(Metadata!U47))),Metadata!U47&gt;=-180.00,Metadata!U47&lt;=180.00))</f>
        <v>0</v>
      </c>
      <c r="BH47">
        <f>AND(IF(Metadata!V47="",FALSE,TRUE),exact(Metadata!V47,"Decimal degrees"))</f>
        <v>0</v>
      </c>
      <c r="BI47">
        <f>IF(Metadata!W47="",FALSE,TRUE)</f>
        <v>0</v>
      </c>
      <c r="BJ47">
        <f>OR(AND(IF(Metadata!X47="",FALSE,TRUE),OR(exact(Metadata!X47,"not collected"),exact(Metadata!X47,"not provided"),exact(Metadata!X47,"restricted access"))),AND(IF(Metadata!X47="",FALSE,TRUE),OR(exact(Metadata!X47,"TRUE"),exact(Metadata!X47,"FALSE"))))</f>
        <v>0</v>
      </c>
      <c r="BK47">
        <f>AND(IF(Metadata!Y47="",FALSE,TRUE),exact(Metadata!Y47,"other"))</f>
        <v>0</v>
      </c>
      <c r="BL47">
        <f>IF(Metadata!Z47="",FALSE,TRUE)</f>
        <v>0</v>
      </c>
      <c r="BM47">
        <f>OR(AND(IF(Metadata!AA47="",FALSE,TRUE),OR(exact(Metadata!AA47,"not collected"),exact(Metadata!AA47,"not provided"))),AND(IF(Metadata!AA47="",FALSE,IF(ISERROR(INT(Metadata!AA47)),FALSE,INT(Metadata!AA47)=Metadata!AA47)),Metadata!AA47&gt;0))</f>
        <v>0</v>
      </c>
      <c r="BN47">
        <f>AND(IF(Metadata!AB47="",FALSE,TRUE),exact(Metadata!AB47,"Not applicable"))</f>
        <v>0</v>
      </c>
      <c r="BO47">
        <f>IF(Metadata!AC47="",FALSE,TRUE)</f>
        <v>0</v>
      </c>
    </row>
    <row r="48" spans="1:67">
      <c r="A48" s="5">
        <f>IF(B48=" "," ",HYPERLINK(CONCATENATE("#metadata!",ADDRESS(INDEX($AI$2:$AI$1001,MATCH(ROWS($AG$2:AG48),$AG$2:$AG$1001,0),0),1)),INDEX($AL$2:$AL$1001,MATCH(ROWS($AG$2:AG48),$AG$2:$AG$1001,0),0)))</f>
        <v>0</v>
      </c>
      <c r="B48" s="4">
        <f>IF(OR(INDEX($AH$2:$AH$1001,MATCH(ROWS($AG$2:AG48),$AG$2:$AG$1001,0),1)&gt;=100000,INDEX($AN$1005:$BO$1005,1,MATCH(COLUMNS($AN$1006:AN1006),$AN$1006:$BO$1006,0))&gt;=100000), " ",IF(INDEX($AN$2:$BO$1001,MATCH(ROWS($AG$2:AG48),$AG$2:$AG$1001,0),MATCH(COLUMNS($AN$1006:AN1006),$AN$1006:$BO$1006,0)), HYPERLINK("#",""), HYPERLINK(CONCATENATE("#Metadata!", ADDRESS(INDEX($AI$2:$AI$1001,MATCH(ROWS($AG$2:AG48),$AG$2:$AG$1001,0),0), INDEX($AN$1004:$BO$1004,1,MATCH(COLUMNS($AN$1006:AN1006),$AN$1006:$BO$1006,0)))),"Fix")))</f>
        <v>0</v>
      </c>
      <c r="C48" s="4">
        <f>IF(OR(INDEX($AH$2:$AH$1001,MATCH(ROWS($AG$2:AG48),$AG$2:$AG$1001,0),1)&gt;=100000,INDEX($AN$1005:$BO$1005,1,MATCH(COLUMNS($AN$1006:AO1006),$AN$1006:$BO$1006,0))&gt;=100000), " ",IF(INDEX($AN$2:$BO$1001,MATCH(ROWS($AG$2:AG48),$AG$2:$AG$1001,0),MATCH(COLUMNS($AN$1006:AO1006),$AN$1006:$BO$1006,0)), HYPERLINK("#",""), HYPERLINK(CONCATENATE("#Metadata!", ADDRESS(INDEX($AI$2:$AI$1001,MATCH(ROWS($AG$2:AG48),$AG$2:$AG$1001,0),0), INDEX($AN$1004:$BO$1004,1,MATCH(COLUMNS($AN$1006:AO1006),$AN$1006:$BO$1006,0)))),"Fix")))</f>
        <v>0</v>
      </c>
      <c r="D48" s="4">
        <f>IF(OR(INDEX($AH$2:$AH$1001,MATCH(ROWS($AG$2:AG48),$AG$2:$AG$1001,0),1)&gt;=100000,INDEX($AN$1005:$BO$1005,1,MATCH(COLUMNS($AN$1006:AP1006),$AN$1006:$BO$1006,0))&gt;=100000), " ",IF(INDEX($AN$2:$BO$1001,MATCH(ROWS($AG$2:AG48),$AG$2:$AG$1001,0),MATCH(COLUMNS($AN$1006:AP1006),$AN$1006:$BO$1006,0)), HYPERLINK("#",""), HYPERLINK(CONCATENATE("#Metadata!", ADDRESS(INDEX($AI$2:$AI$1001,MATCH(ROWS($AG$2:AG48),$AG$2:$AG$1001,0),0), INDEX($AN$1004:$BO$1004,1,MATCH(COLUMNS($AN$1006:AP1006),$AN$1006:$BO$1006,0)))),"Fix")))</f>
        <v>0</v>
      </c>
      <c r="E48" s="4">
        <f>IF(OR(INDEX($AH$2:$AH$1001,MATCH(ROWS($AG$2:AG48),$AG$2:$AG$1001,0),1)&gt;=100000,INDEX($AN$1005:$BO$1005,1,MATCH(COLUMNS($AN$1006:AQ1006),$AN$1006:$BO$1006,0))&gt;=100000), " ",IF(INDEX($AN$2:$BO$1001,MATCH(ROWS($AG$2:AG48),$AG$2:$AG$1001,0),MATCH(COLUMNS($AN$1006:AQ1006),$AN$1006:$BO$1006,0)), HYPERLINK("#",""), HYPERLINK(CONCATENATE("#Metadata!", ADDRESS(INDEX($AI$2:$AI$1001,MATCH(ROWS($AG$2:AG48),$AG$2:$AG$1001,0),0), INDEX($AN$1004:$BO$1004,1,MATCH(COLUMNS($AN$1006:AQ1006),$AN$1006:$BO$1006,0)))),"Fix")))</f>
        <v>0</v>
      </c>
      <c r="F48" s="4">
        <f>IF(OR(INDEX($AH$2:$AH$1001,MATCH(ROWS($AG$2:AG48),$AG$2:$AG$1001,0),1)&gt;=100000,INDEX($AN$1005:$BO$1005,1,MATCH(COLUMNS($AN$1006:AR1006),$AN$1006:$BO$1006,0))&gt;=100000), " ",IF(INDEX($AN$2:$BO$1001,MATCH(ROWS($AG$2:AG48),$AG$2:$AG$1001,0),MATCH(COLUMNS($AN$1006:AR1006),$AN$1006:$BO$1006,0)), HYPERLINK("#",""), HYPERLINK(CONCATENATE("#Metadata!", ADDRESS(INDEX($AI$2:$AI$1001,MATCH(ROWS($AG$2:AG48),$AG$2:$AG$1001,0),0), INDEX($AN$1004:$BO$1004,1,MATCH(COLUMNS($AN$1006:AR1006),$AN$1006:$BO$1006,0)))),"Fix")))</f>
        <v>0</v>
      </c>
      <c r="G48" s="4">
        <f>IF(OR(INDEX($AH$2:$AH$1001,MATCH(ROWS($AG$2:AG48),$AG$2:$AG$1001,0),1)&gt;=100000,INDEX($AN$1005:$BO$1005,1,MATCH(COLUMNS($AN$1006:AS1006),$AN$1006:$BO$1006,0))&gt;=100000), " ",IF(INDEX($AN$2:$BO$1001,MATCH(ROWS($AG$2:AG48),$AG$2:$AG$1001,0),MATCH(COLUMNS($AN$1006:AS1006),$AN$1006:$BO$1006,0)), HYPERLINK("#",""), HYPERLINK(CONCATENATE("#Metadata!", ADDRESS(INDEX($AI$2:$AI$1001,MATCH(ROWS($AG$2:AG48),$AG$2:$AG$1001,0),0), INDEX($AN$1004:$BO$1004,1,MATCH(COLUMNS($AN$1006:AS1006),$AN$1006:$BO$1006,0)))),"Fix")))</f>
        <v>0</v>
      </c>
      <c r="H48" s="4">
        <f>IF(OR(INDEX($AH$2:$AH$1001,MATCH(ROWS($AG$2:AG48),$AG$2:$AG$1001,0),1)&gt;=100000,INDEX($AN$1005:$BO$1005,1,MATCH(COLUMNS($AN$1006:AT1006),$AN$1006:$BO$1006,0))&gt;=100000), " ",IF(INDEX($AN$2:$BO$1001,MATCH(ROWS($AG$2:AG48),$AG$2:$AG$1001,0),MATCH(COLUMNS($AN$1006:AT1006),$AN$1006:$BO$1006,0)), HYPERLINK("#",""), HYPERLINK(CONCATENATE("#Metadata!", ADDRESS(INDEX($AI$2:$AI$1001,MATCH(ROWS($AG$2:AG48),$AG$2:$AG$1001,0),0), INDEX($AN$1004:$BO$1004,1,MATCH(COLUMNS($AN$1006:AT1006),$AN$1006:$BO$1006,0)))),"Fix")))</f>
        <v>0</v>
      </c>
      <c r="I48" s="4">
        <f>IF(OR(INDEX($AH$2:$AH$1001,MATCH(ROWS($AG$2:AG48),$AG$2:$AG$1001,0),1)&gt;=100000,INDEX($AN$1005:$BO$1005,1,MATCH(COLUMNS($AN$1006:AU1006),$AN$1006:$BO$1006,0))&gt;=100000), " ",IF(INDEX($AN$2:$BO$1001,MATCH(ROWS($AG$2:AG48),$AG$2:$AG$1001,0),MATCH(COLUMNS($AN$1006:AU1006),$AN$1006:$BO$1006,0)), HYPERLINK("#",""), HYPERLINK(CONCATENATE("#Metadata!", ADDRESS(INDEX($AI$2:$AI$1001,MATCH(ROWS($AG$2:AG48),$AG$2:$AG$1001,0),0), INDEX($AN$1004:$BO$1004,1,MATCH(COLUMNS($AN$1006:AU1006),$AN$1006:$BO$1006,0)))),"Fix")))</f>
        <v>0</v>
      </c>
      <c r="J48" s="4">
        <f>IF(OR(INDEX($AH$2:$AH$1001,MATCH(ROWS($AG$2:AG48),$AG$2:$AG$1001,0),1)&gt;=100000,INDEX($AN$1005:$BO$1005,1,MATCH(COLUMNS($AN$1006:AV1006),$AN$1006:$BO$1006,0))&gt;=100000), " ",IF(INDEX($AN$2:$BO$1001,MATCH(ROWS($AG$2:AG48),$AG$2:$AG$1001,0),MATCH(COLUMNS($AN$1006:AV1006),$AN$1006:$BO$1006,0)), HYPERLINK("#",""), HYPERLINK(CONCATENATE("#Metadata!", ADDRESS(INDEX($AI$2:$AI$1001,MATCH(ROWS($AG$2:AG48),$AG$2:$AG$1001,0),0), INDEX($AN$1004:$BO$1004,1,MATCH(COLUMNS($AN$1006:AV1006),$AN$1006:$BO$1006,0)))),"Fix")))</f>
        <v>0</v>
      </c>
      <c r="K48" s="4">
        <f>IF(OR(INDEX($AH$2:$AH$1001,MATCH(ROWS($AG$2:AG48),$AG$2:$AG$1001,0),1)&gt;=100000,INDEX($AN$1005:$BO$1005,1,MATCH(COLUMNS($AN$1006:AW1006),$AN$1006:$BO$1006,0))&gt;=100000), " ",IF(INDEX($AN$2:$BO$1001,MATCH(ROWS($AG$2:AG48),$AG$2:$AG$1001,0),MATCH(COLUMNS($AN$1006:AW1006),$AN$1006:$BO$1006,0)), HYPERLINK("#",""), HYPERLINK(CONCATENATE("#Metadata!", ADDRESS(INDEX($AI$2:$AI$1001,MATCH(ROWS($AG$2:AG48),$AG$2:$AG$1001,0),0), INDEX($AN$1004:$BO$1004,1,MATCH(COLUMNS($AN$1006:AW1006),$AN$1006:$BO$1006,0)))),"Fix")))</f>
        <v>0</v>
      </c>
      <c r="L48" s="4">
        <f>IF(OR(INDEX($AH$2:$AH$1001,MATCH(ROWS($AG$2:AG48),$AG$2:$AG$1001,0),1)&gt;=100000,INDEX($AN$1005:$BO$1005,1,MATCH(COLUMNS($AN$1006:AX1006),$AN$1006:$BO$1006,0))&gt;=100000), " ",IF(INDEX($AN$2:$BO$1001,MATCH(ROWS($AG$2:AG48),$AG$2:$AG$1001,0),MATCH(COLUMNS($AN$1006:AX1006),$AN$1006:$BO$1006,0)), HYPERLINK("#",""), HYPERLINK(CONCATENATE("#Metadata!", ADDRESS(INDEX($AI$2:$AI$1001,MATCH(ROWS($AG$2:AG48),$AG$2:$AG$1001,0),0), INDEX($AN$1004:$BO$1004,1,MATCH(COLUMNS($AN$1006:AX1006),$AN$1006:$BO$1006,0)))),"Fix")))</f>
        <v>0</v>
      </c>
      <c r="M48" s="4">
        <f>IF(OR(INDEX($AH$2:$AH$1001,MATCH(ROWS($AG$2:AG48),$AG$2:$AG$1001,0),1)&gt;=100000,INDEX($AN$1005:$BO$1005,1,MATCH(COLUMNS($AN$1006:AY1006),$AN$1006:$BO$1006,0))&gt;=100000), " ",IF(INDEX($AN$2:$BO$1001,MATCH(ROWS($AG$2:AG48),$AG$2:$AG$1001,0),MATCH(COLUMNS($AN$1006:AY1006),$AN$1006:$BO$1006,0)), HYPERLINK("#",""), HYPERLINK(CONCATENATE("#Metadata!", ADDRESS(INDEX($AI$2:$AI$1001,MATCH(ROWS($AG$2:AG48),$AG$2:$AG$1001,0),0), INDEX($AN$1004:$BO$1004,1,MATCH(COLUMNS($AN$1006:AY1006),$AN$1006:$BO$1006,0)))),"Fix")))</f>
        <v>0</v>
      </c>
      <c r="N48" s="4">
        <f>IF(OR(INDEX($AH$2:$AH$1001,MATCH(ROWS($AG$2:AG48),$AG$2:$AG$1001,0),1)&gt;=100000,INDEX($AN$1005:$BO$1005,1,MATCH(COLUMNS($AN$1006:AZ1006),$AN$1006:$BO$1006,0))&gt;=100000), " ",IF(INDEX($AN$2:$BO$1001,MATCH(ROWS($AG$2:AG48),$AG$2:$AG$1001,0),MATCH(COLUMNS($AN$1006:AZ1006),$AN$1006:$BO$1006,0)), HYPERLINK("#",""), HYPERLINK(CONCATENATE("#Metadata!", ADDRESS(INDEX($AI$2:$AI$1001,MATCH(ROWS($AG$2:AG48),$AG$2:$AG$1001,0),0), INDEX($AN$1004:$BO$1004,1,MATCH(COLUMNS($AN$1006:AZ1006),$AN$1006:$BO$1006,0)))),"Fix")))</f>
        <v>0</v>
      </c>
      <c r="O48" s="4">
        <f>IF(OR(INDEX($AH$2:$AH$1001,MATCH(ROWS($AG$2:AG48),$AG$2:$AG$1001,0),1)&gt;=100000,INDEX($AN$1005:$BO$1005,1,MATCH(COLUMNS($AN$1006:BA1006),$AN$1006:$BO$1006,0))&gt;=100000), " ",IF(INDEX($AN$2:$BO$1001,MATCH(ROWS($AG$2:AG48),$AG$2:$AG$1001,0),MATCH(COLUMNS($AN$1006:BA1006),$AN$1006:$BO$1006,0)), HYPERLINK("#",""), HYPERLINK(CONCATENATE("#Metadata!", ADDRESS(INDEX($AI$2:$AI$1001,MATCH(ROWS($AG$2:AG48),$AG$2:$AG$1001,0),0), INDEX($AN$1004:$BO$1004,1,MATCH(COLUMNS($AN$1006:BA1006),$AN$1006:$BO$1006,0)))),"Fix")))</f>
        <v>0</v>
      </c>
      <c r="P48" s="4">
        <f>IF(OR(INDEX($AH$2:$AH$1001,MATCH(ROWS($AG$2:AG48),$AG$2:$AG$1001,0),1)&gt;=100000,INDEX($AN$1005:$BO$1005,1,MATCH(COLUMNS($AN$1006:BB1006),$AN$1006:$BO$1006,0))&gt;=100000), " ",IF(INDEX($AN$2:$BO$1001,MATCH(ROWS($AG$2:AG48),$AG$2:$AG$1001,0),MATCH(COLUMNS($AN$1006:BB1006),$AN$1006:$BO$1006,0)), HYPERLINK("#",""), HYPERLINK(CONCATENATE("#Metadata!", ADDRESS(INDEX($AI$2:$AI$1001,MATCH(ROWS($AG$2:AG48),$AG$2:$AG$1001,0),0), INDEX($AN$1004:$BO$1004,1,MATCH(COLUMNS($AN$1006:BB1006),$AN$1006:$BO$1006,0)))),"Fix")))</f>
        <v>0</v>
      </c>
      <c r="Q48" s="4">
        <f>IF(OR(INDEX($AH$2:$AH$1001,MATCH(ROWS($AG$2:AG48),$AG$2:$AG$1001,0),1)&gt;=100000,INDEX($AN$1005:$BO$1005,1,MATCH(COLUMNS($AN$1006:BC1006),$AN$1006:$BO$1006,0))&gt;=100000), " ",IF(INDEX($AN$2:$BO$1001,MATCH(ROWS($AG$2:AG48),$AG$2:$AG$1001,0),MATCH(COLUMNS($AN$1006:BC1006),$AN$1006:$BO$1006,0)), HYPERLINK("#",""), HYPERLINK(CONCATENATE("#Metadata!", ADDRESS(INDEX($AI$2:$AI$1001,MATCH(ROWS($AG$2:AG48),$AG$2:$AG$1001,0),0), INDEX($AN$1004:$BO$1004,1,MATCH(COLUMNS($AN$1006:BC1006),$AN$1006:$BO$1006,0)))),"Fix")))</f>
        <v>0</v>
      </c>
      <c r="R48" s="4">
        <f>IF(OR(INDEX($AH$2:$AH$1001,MATCH(ROWS($AG$2:AG48),$AG$2:$AG$1001,0),1)&gt;=100000,INDEX($AN$1005:$BO$1005,1,MATCH(COLUMNS($AN$1006:BD1006),$AN$1006:$BO$1006,0))&gt;=100000), " ",IF(INDEX($AN$2:$BO$1001,MATCH(ROWS($AG$2:AG48),$AG$2:$AG$1001,0),MATCH(COLUMNS($AN$1006:BD1006),$AN$1006:$BO$1006,0)), HYPERLINK("#",""), HYPERLINK(CONCATENATE("#Metadata!", ADDRESS(INDEX($AI$2:$AI$1001,MATCH(ROWS($AG$2:AG48),$AG$2:$AG$1001,0),0), INDEX($AN$1004:$BO$1004,1,MATCH(COLUMNS($AN$1006:BD1006),$AN$1006:$BO$1006,0)))),"Fix")))</f>
        <v>0</v>
      </c>
      <c r="S48" s="4">
        <f>IF(OR(INDEX($AH$2:$AH$1001,MATCH(ROWS($AG$2:AG48),$AG$2:$AG$1001,0),1)&gt;=100000,INDEX($AN$1005:$BO$1005,1,MATCH(COLUMNS($AN$1006:BE1006),$AN$1006:$BO$1006,0))&gt;=100000), " ",IF(INDEX($AN$2:$BO$1001,MATCH(ROWS($AG$2:AG48),$AG$2:$AG$1001,0),MATCH(COLUMNS($AN$1006:BE1006),$AN$1006:$BO$1006,0)), HYPERLINK("#",""), HYPERLINK(CONCATENATE("#Metadata!", ADDRESS(INDEX($AI$2:$AI$1001,MATCH(ROWS($AG$2:AG48),$AG$2:$AG$1001,0),0), INDEX($AN$1004:$BO$1004,1,MATCH(COLUMNS($AN$1006:BE1006),$AN$1006:$BO$1006,0)))),"Fix")))</f>
        <v>0</v>
      </c>
      <c r="T48" s="4">
        <f>IF(OR(INDEX($AH$2:$AH$1001,MATCH(ROWS($AG$2:AG48),$AG$2:$AG$1001,0),1)&gt;=100000,INDEX($AN$1005:$BO$1005,1,MATCH(COLUMNS($AN$1006:BF1006),$AN$1006:$BO$1006,0))&gt;=100000), " ",IF(INDEX($AN$2:$BO$1001,MATCH(ROWS($AG$2:AG48),$AG$2:$AG$1001,0),MATCH(COLUMNS($AN$1006:BF1006),$AN$1006:$BO$1006,0)), HYPERLINK("#",""), HYPERLINK(CONCATENATE("#Metadata!", ADDRESS(INDEX($AI$2:$AI$1001,MATCH(ROWS($AG$2:AG48),$AG$2:$AG$1001,0),0), INDEX($AN$1004:$BO$1004,1,MATCH(COLUMNS($AN$1006:BF1006),$AN$1006:$BO$1006,0)))),"Fix")))</f>
        <v>0</v>
      </c>
      <c r="U48" s="4">
        <f>IF(OR(INDEX($AH$2:$AH$1001,MATCH(ROWS($AG$2:AG48),$AG$2:$AG$1001,0),1)&gt;=100000,INDEX($AN$1005:$BO$1005,1,MATCH(COLUMNS($AN$1006:BG1006),$AN$1006:$BO$1006,0))&gt;=100000), " ",IF(INDEX($AN$2:$BO$1001,MATCH(ROWS($AG$2:AG48),$AG$2:$AG$1001,0),MATCH(COLUMNS($AN$1006:BG1006),$AN$1006:$BO$1006,0)), HYPERLINK("#",""), HYPERLINK(CONCATENATE("#Metadata!", ADDRESS(INDEX($AI$2:$AI$1001,MATCH(ROWS($AG$2:AG48),$AG$2:$AG$1001,0),0), INDEX($AN$1004:$BO$1004,1,MATCH(COLUMNS($AN$1006:BG1006),$AN$1006:$BO$1006,0)))),"Fix")))</f>
        <v>0</v>
      </c>
      <c r="V48" s="4">
        <f>IF(OR(INDEX($AH$2:$AH$1001,MATCH(ROWS($AG$2:AG48),$AG$2:$AG$1001,0),1)&gt;=100000,INDEX($AN$1005:$BO$1005,1,MATCH(COLUMNS($AN$1006:BH1006),$AN$1006:$BO$1006,0))&gt;=100000), " ",IF(INDEX($AN$2:$BO$1001,MATCH(ROWS($AG$2:AG48),$AG$2:$AG$1001,0),MATCH(COLUMNS($AN$1006:BH1006),$AN$1006:$BO$1006,0)), HYPERLINK("#",""), HYPERLINK(CONCATENATE("#Metadata!", ADDRESS(INDEX($AI$2:$AI$1001,MATCH(ROWS($AG$2:AG48),$AG$2:$AG$1001,0),0), INDEX($AN$1004:$BO$1004,1,MATCH(COLUMNS($AN$1006:BH1006),$AN$1006:$BO$1006,0)))),"Fix")))</f>
        <v>0</v>
      </c>
      <c r="W48" s="4">
        <f>IF(OR(INDEX($AH$2:$AH$1001,MATCH(ROWS($AG$2:AG48),$AG$2:$AG$1001,0),1)&gt;=100000,INDEX($AN$1005:$BO$1005,1,MATCH(COLUMNS($AN$1006:BI1006),$AN$1006:$BO$1006,0))&gt;=100000), " ",IF(INDEX($AN$2:$BO$1001,MATCH(ROWS($AG$2:AG48),$AG$2:$AG$1001,0),MATCH(COLUMNS($AN$1006:BI1006),$AN$1006:$BO$1006,0)), HYPERLINK("#",""), HYPERLINK(CONCATENATE("#Metadata!", ADDRESS(INDEX($AI$2:$AI$1001,MATCH(ROWS($AG$2:AG48),$AG$2:$AG$1001,0),0), INDEX($AN$1004:$BO$1004,1,MATCH(COLUMNS($AN$1006:BI1006),$AN$1006:$BO$1006,0)))),"Fix")))</f>
        <v>0</v>
      </c>
      <c r="X48" s="4">
        <f>IF(OR(INDEX($AH$2:$AH$1001,MATCH(ROWS($AG$2:AG48),$AG$2:$AG$1001,0),1)&gt;=100000,INDEX($AN$1005:$BO$1005,1,MATCH(COLUMNS($AN$1006:BJ1006),$AN$1006:$BO$1006,0))&gt;=100000), " ",IF(INDEX($AN$2:$BO$1001,MATCH(ROWS($AG$2:AG48),$AG$2:$AG$1001,0),MATCH(COLUMNS($AN$1006:BJ1006),$AN$1006:$BO$1006,0)), HYPERLINK("#",""), HYPERLINK(CONCATENATE("#Metadata!", ADDRESS(INDEX($AI$2:$AI$1001,MATCH(ROWS($AG$2:AG48),$AG$2:$AG$1001,0),0), INDEX($AN$1004:$BO$1004,1,MATCH(COLUMNS($AN$1006:BJ1006),$AN$1006:$BO$1006,0)))),"Fix")))</f>
        <v>0</v>
      </c>
      <c r="Y48" s="4">
        <f>IF(OR(INDEX($AH$2:$AH$1001,MATCH(ROWS($AG$2:AG48),$AG$2:$AG$1001,0),1)&gt;=100000,INDEX($AN$1005:$BO$1005,1,MATCH(COLUMNS($AN$1006:BK1006),$AN$1006:$BO$1006,0))&gt;=100000), " ",IF(INDEX($AN$2:$BO$1001,MATCH(ROWS($AG$2:AG48),$AG$2:$AG$1001,0),MATCH(COLUMNS($AN$1006:BK1006),$AN$1006:$BO$1006,0)), HYPERLINK("#",""), HYPERLINK(CONCATENATE("#Metadata!", ADDRESS(INDEX($AI$2:$AI$1001,MATCH(ROWS($AG$2:AG48),$AG$2:$AG$1001,0),0), INDEX($AN$1004:$BO$1004,1,MATCH(COLUMNS($AN$1006:BK1006),$AN$1006:$BO$1006,0)))),"Fix")))</f>
        <v>0</v>
      </c>
      <c r="Z48" s="4">
        <f>IF(OR(INDEX($AH$2:$AH$1001,MATCH(ROWS($AG$2:AG48),$AG$2:$AG$1001,0),1)&gt;=100000,INDEX($AN$1005:$BO$1005,1,MATCH(COLUMNS($AN$1006:BL1006),$AN$1006:$BO$1006,0))&gt;=100000), " ",IF(INDEX($AN$2:$BO$1001,MATCH(ROWS($AG$2:AG48),$AG$2:$AG$1001,0),MATCH(COLUMNS($AN$1006:BL1006),$AN$1006:$BO$1006,0)), HYPERLINK("#",""), HYPERLINK(CONCATENATE("#Metadata!", ADDRESS(INDEX($AI$2:$AI$1001,MATCH(ROWS($AG$2:AG48),$AG$2:$AG$1001,0),0), INDEX($AN$1004:$BO$1004,1,MATCH(COLUMNS($AN$1006:BL1006),$AN$1006:$BO$1006,0)))),"Fix")))</f>
        <v>0</v>
      </c>
      <c r="AA48" s="4">
        <f>IF(OR(INDEX($AH$2:$AH$1001,MATCH(ROWS($AG$2:AG48),$AG$2:$AG$1001,0),1)&gt;=100000,INDEX($AN$1005:$BO$1005,1,MATCH(COLUMNS($AN$1006:BM1006),$AN$1006:$BO$1006,0))&gt;=100000), " ",IF(INDEX($AN$2:$BO$1001,MATCH(ROWS($AG$2:AG48),$AG$2:$AG$1001,0),MATCH(COLUMNS($AN$1006:BM1006),$AN$1006:$BO$1006,0)), HYPERLINK("#",""), HYPERLINK(CONCATENATE("#Metadata!", ADDRESS(INDEX($AI$2:$AI$1001,MATCH(ROWS($AG$2:AG48),$AG$2:$AG$1001,0),0), INDEX($AN$1004:$BO$1004,1,MATCH(COLUMNS($AN$1006:BM1006),$AN$1006:$BO$1006,0)))),"Fix")))</f>
        <v>0</v>
      </c>
      <c r="AB48" s="4">
        <f>IF(OR(INDEX($AH$2:$AH$1001,MATCH(ROWS($AG$2:AG48),$AG$2:$AG$1001,0),1)&gt;=100000,INDEX($AN$1005:$BO$1005,1,MATCH(COLUMNS($AN$1006:BN1006),$AN$1006:$BO$1006,0))&gt;=100000), " ",IF(INDEX($AN$2:$BO$1001,MATCH(ROWS($AG$2:AG48),$AG$2:$AG$1001,0),MATCH(COLUMNS($AN$1006:BN1006),$AN$1006:$BO$1006,0)), HYPERLINK("#",""), HYPERLINK(CONCATENATE("#Metadata!", ADDRESS(INDEX($AI$2:$AI$1001,MATCH(ROWS($AG$2:AG48),$AG$2:$AG$1001,0),0), INDEX($AN$1004:$BO$1004,1,MATCH(COLUMNS($AN$1006:BN1006),$AN$1006:$BO$1006,0)))),"Fix")))</f>
        <v>0</v>
      </c>
      <c r="AC48" s="4">
        <f>IF(OR(INDEX($AH$2:$AH$1001,MATCH(ROWS($AG$2:AG48),$AG$2:$AG$1001,0),1)&gt;=100000,INDEX($AN$1005:$BO$1005,1,MATCH(COLUMNS($AN$1006:BO1006),$AN$1006:$BO$1006,0))&gt;=100000), " ",IF(INDEX($AN$2:$BO$1001,MATCH(ROWS($AG$2:AG48),$AG$2:$AG$1001,0),MATCH(COLUMNS($AN$1006:BO1006),$AN$1006:$BO$1006,0)), HYPERLINK("#",""), HYPERLINK(CONCATENATE("#Metadata!", ADDRESS(INDEX($AI$2:$AI$1001,MATCH(ROWS($AG$2:AG48),$AG$2:$AG$1001,0),0), INDEX($AN$1004:$BO$1004,1,MATCH(COLUMNS($AN$1006:BO1006),$AN$1006:$BO$1006,0)))),"Fix")))</f>
        <v>0</v>
      </c>
      <c r="AG48">
        <v>0</v>
      </c>
      <c r="AH48">
        <v>0</v>
      </c>
      <c r="AI48">
        <v>0</v>
      </c>
      <c r="AJ48">
        <f>IF(AK48,TRUE,AND(AN48:BO48))</f>
        <v>0</v>
      </c>
      <c r="AK48">
        <f>COUNTBLANK(Metadata!B48:AC48)=COLUMNS(Metadata!B48:AC48)</f>
        <v>0</v>
      </c>
      <c r="AL48">
        <v>0</v>
      </c>
      <c r="AN48">
        <f>AND(IF(Metadata!B48="",FALSE,TRUE),COUNTIF(Metadata!B:B, Metadata!B48) = 1,NOT(ISERROR(SUMPRODUCT(SEARCH(MID(Metadata!B48,ROW(INDIRECT("1:"&amp;LEN(Metadata!B48))), 1),"0123456789abcdefghijklmnopqrstuvwxyzABCDEFGHIJKLMNOPQRSTUVWXYZ.")))))</f>
        <v>0</v>
      </c>
      <c r="AO48">
        <f>IF(Metadata!C48="",FALSE,TRUE)</f>
        <v>0</v>
      </c>
      <c r="AP48">
        <f>IF(Metadata!D48="",FALSE,TRUE)</f>
        <v>0</v>
      </c>
      <c r="AQ48">
        <f>OR(AND(IF(Metadata!E48="",FALSE,TRUE),OR(exact(Metadata!E48,"not collected"),exact(Metadata!E48,"not provided"),exact(Metadata!E48,"restricted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R48">
        <f>IF(Metadata!F48="",FALSE,TRUE)</f>
        <v>0</v>
      </c>
      <c r="AS48">
        <f>OR(AND(IF(Metadata!G48="",FALSE,TRUE),OR(exact(Metadata!G48,"not collected"),exact(Metadata!G48,"not provided"))),AND(IF(Metadata!G48="",FALSE,TRUE),OR(exact(Metadata!G48,"TRUE"),exact(Metadata!G48,"FALSE"))))</f>
        <v>0</v>
      </c>
      <c r="AT48">
        <f>OR(AND(IF(Metadata!H48="",FALSE,TRUE),OR(exact(Metadata!H48,"not collected"),exact(Metadata!H48,"not provided"),exact(Metadata!H48,"restricted access"))),AND(IF(Metadata!H48="",FALSE,ISNUMBER(VALUE(Metadata!H48))),Metadata!H48&gt;=-413.0))</f>
        <v>0</v>
      </c>
      <c r="AU48">
        <f>AND(IF(Metadata!I48="",FALSE,TRUE),exact(Metadata!I48,"meters"))</f>
        <v>0</v>
      </c>
      <c r="AV48">
        <f>AND(IF(Metadata!J48="",FALSE,TRUE),OR(exact(Metadata!J48,"Host-associated"),exact(Metadata!J48,"Free-living")))</f>
        <v>0</v>
      </c>
      <c r="AW48">
        <f>AND(IF(Metadata!K48="",FALSE,TRUE),OR(exact(Metadata!K48,"Animal"),exact(Metadata!K48,"Fungus"),exact(Metadata!K48,"Plant"),exact(Metadata!K48,"Saline"),exact(Metadata!K48,"Non-saline")))</f>
        <v>0</v>
      </c>
      <c r="AX48">
        <f>AND(IF(Metadata!L48="",FALSE,TRUE),OR(exact(Metadata!L48,"Plant secretion"),exact(Metadata!L48,"Plant rhizosphere"),exact(Metadata!L48,"Plant surface"),exact(Metadata!L48,"Plant corpus"),exact(Metadata!L48,"Fungus surface"),exact(Metadata!L48,"Fungus corpus"),exact(Metadata!L48,"Animal surface"),exact(Metadata!L48,"Animal proximal gut"),exact(Metadata!L48,"Animal corpus"),exact(Metadata!L48,"Animal distal gut"),exact(Metadata!L48,"Animal secretion"),exact(Metadata!L48,"Sub-surface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0</v>
      </c>
      <c r="AY48">
        <f>IF(Metadata!M48="",FALSE,TRUE)</f>
        <v>0</v>
      </c>
      <c r="AZ48">
        <f>IF(Metadata!N48="",FALSE,TRUE)</f>
        <v>0</v>
      </c>
      <c r="BA48">
        <f>IF(Metadata!O48="",FALSE,TRUE)</f>
        <v>0</v>
      </c>
      <c r="BB48">
        <f>OR(AND(IF(Metadata!P48="",FALSE,TRUE),OR(exact(Metadata!P48,"not collected"),exact(Metadata!P48,"not provided"),exact(Metadata!P48,"restricted access"))),AND(IF(Metadata!P48="",FALSE,TRUE),OR(exact(Metadata!P48,"air"),exact(Metadata!P48,"built environment"),exact(Metadata!P48,"host-associated"),exact(Metadata!P48,"human-associated"),exact(Metadata!P48,"human-skin"),exact(Metadata!P48,"human-oral"),exact(Metadata!P48,"human-gut"),exact(Metadata!P48,"human-vaginal"),exact(Metadata!P48,"microbial mat/biofilm"),exact(Metadata!P48,"misc environment"),exact(Metadata!P48,"plant-associated"),exact(Metadata!P48,"sediment"),exact(Metadata!P48,"soil"),exact(Metadata!P48,"wastewater/sludge"),exact(Metadata!P48,"water"))))</f>
        <v>0</v>
      </c>
      <c r="BC48">
        <f>IF(Metadata!Q48="",FALSE,TRUE)</f>
        <v>0</v>
      </c>
      <c r="BD48">
        <f>IF(Metadata!R48="",FALSE,TRUE)</f>
        <v>0</v>
      </c>
      <c r="BE48">
        <f>OR(AND(IF(Metadata!S48="",FALSE,TRUE),OR(exact(Metadata!S48,"not collected"),exact(Metadata!S48,"not provided"),exact(Metadata!S48,"restricted access"))),AND(IF(Metadata!S48="",FALSE,ISNUMBER(VALUE(Metadata!S48))),Metadata!S48&gt;=-90.00,Metadata!S48&lt;=90.00))</f>
        <v>0</v>
      </c>
      <c r="BF48">
        <f>AND(IF(Metadata!T48="",FALSE,TRUE),exact(Metadata!T48,"Decimal degrees"))</f>
        <v>0</v>
      </c>
      <c r="BG48">
        <f>OR(AND(IF(Metadata!U48="",FALSE,TRUE),OR(exact(Metadata!U48,"not collected"),exact(Metadata!U48,"not provided"),exact(Metadata!U48,"restricted access"))),AND(IF(Metadata!U48="",FALSE,ISNUMBER(VALUE(Metadata!U48))),Metadata!U48&gt;=-180.00,Metadata!U48&lt;=180.00))</f>
        <v>0</v>
      </c>
      <c r="BH48">
        <f>AND(IF(Metadata!V48="",FALSE,TRUE),exact(Metadata!V48,"Decimal degrees"))</f>
        <v>0</v>
      </c>
      <c r="BI48">
        <f>IF(Metadata!W48="",FALSE,TRUE)</f>
        <v>0</v>
      </c>
      <c r="BJ48">
        <f>OR(AND(IF(Metadata!X48="",FALSE,TRUE),OR(exact(Metadata!X48,"not collected"),exact(Metadata!X48,"not provided"),exact(Metadata!X48,"restricted access"))),AND(IF(Metadata!X48="",FALSE,TRUE),OR(exact(Metadata!X48,"TRUE"),exact(Metadata!X48,"FALSE"))))</f>
        <v>0</v>
      </c>
      <c r="BK48">
        <f>AND(IF(Metadata!Y48="",FALSE,TRUE),exact(Metadata!Y48,"other"))</f>
        <v>0</v>
      </c>
      <c r="BL48">
        <f>IF(Metadata!Z48="",FALSE,TRUE)</f>
        <v>0</v>
      </c>
      <c r="BM48">
        <f>OR(AND(IF(Metadata!AA48="",FALSE,TRUE),OR(exact(Metadata!AA48,"not collected"),exact(Metadata!AA48,"not provided"))),AND(IF(Metadata!AA48="",FALSE,IF(ISERROR(INT(Metadata!AA48)),FALSE,INT(Metadata!AA48)=Metadata!AA48)),Metadata!AA48&gt;0))</f>
        <v>0</v>
      </c>
      <c r="BN48">
        <f>AND(IF(Metadata!AB48="",FALSE,TRUE),exact(Metadata!AB48,"Not applicable"))</f>
        <v>0</v>
      </c>
      <c r="BO48">
        <f>IF(Metadata!AC48="",FALSE,TRUE)</f>
        <v>0</v>
      </c>
    </row>
    <row r="49" spans="1:67">
      <c r="A49" s="5">
        <f>IF(B49=" "," ",HYPERLINK(CONCATENATE("#metadata!",ADDRESS(INDEX($AI$2:$AI$1001,MATCH(ROWS($AG$2:AG49),$AG$2:$AG$1001,0),0),1)),INDEX($AL$2:$AL$1001,MATCH(ROWS($AG$2:AG49),$AG$2:$AG$1001,0),0)))</f>
        <v>0</v>
      </c>
      <c r="B49" s="4">
        <f>IF(OR(INDEX($AH$2:$AH$1001,MATCH(ROWS($AG$2:AG49),$AG$2:$AG$1001,0),1)&gt;=100000,INDEX($AN$1005:$BO$1005,1,MATCH(COLUMNS($AN$1006:AN1006),$AN$1006:$BO$1006,0))&gt;=100000), " ",IF(INDEX($AN$2:$BO$1001,MATCH(ROWS($AG$2:AG49),$AG$2:$AG$1001,0),MATCH(COLUMNS($AN$1006:AN1006),$AN$1006:$BO$1006,0)), HYPERLINK("#",""), HYPERLINK(CONCATENATE("#Metadata!", ADDRESS(INDEX($AI$2:$AI$1001,MATCH(ROWS($AG$2:AG49),$AG$2:$AG$1001,0),0), INDEX($AN$1004:$BO$1004,1,MATCH(COLUMNS($AN$1006:AN1006),$AN$1006:$BO$1006,0)))),"Fix")))</f>
        <v>0</v>
      </c>
      <c r="C49" s="4">
        <f>IF(OR(INDEX($AH$2:$AH$1001,MATCH(ROWS($AG$2:AG49),$AG$2:$AG$1001,0),1)&gt;=100000,INDEX($AN$1005:$BO$1005,1,MATCH(COLUMNS($AN$1006:AO1006),$AN$1006:$BO$1006,0))&gt;=100000), " ",IF(INDEX($AN$2:$BO$1001,MATCH(ROWS($AG$2:AG49),$AG$2:$AG$1001,0),MATCH(COLUMNS($AN$1006:AO1006),$AN$1006:$BO$1006,0)), HYPERLINK("#",""), HYPERLINK(CONCATENATE("#Metadata!", ADDRESS(INDEX($AI$2:$AI$1001,MATCH(ROWS($AG$2:AG49),$AG$2:$AG$1001,0),0), INDEX($AN$1004:$BO$1004,1,MATCH(COLUMNS($AN$1006:AO1006),$AN$1006:$BO$1006,0)))),"Fix")))</f>
        <v>0</v>
      </c>
      <c r="D49" s="4">
        <f>IF(OR(INDEX($AH$2:$AH$1001,MATCH(ROWS($AG$2:AG49),$AG$2:$AG$1001,0),1)&gt;=100000,INDEX($AN$1005:$BO$1005,1,MATCH(COLUMNS($AN$1006:AP1006),$AN$1006:$BO$1006,0))&gt;=100000), " ",IF(INDEX($AN$2:$BO$1001,MATCH(ROWS($AG$2:AG49),$AG$2:$AG$1001,0),MATCH(COLUMNS($AN$1006:AP1006),$AN$1006:$BO$1006,0)), HYPERLINK("#",""), HYPERLINK(CONCATENATE("#Metadata!", ADDRESS(INDEX($AI$2:$AI$1001,MATCH(ROWS($AG$2:AG49),$AG$2:$AG$1001,0),0), INDEX($AN$1004:$BO$1004,1,MATCH(COLUMNS($AN$1006:AP1006),$AN$1006:$BO$1006,0)))),"Fix")))</f>
        <v>0</v>
      </c>
      <c r="E49" s="4">
        <f>IF(OR(INDEX($AH$2:$AH$1001,MATCH(ROWS($AG$2:AG49),$AG$2:$AG$1001,0),1)&gt;=100000,INDEX($AN$1005:$BO$1005,1,MATCH(COLUMNS($AN$1006:AQ1006),$AN$1006:$BO$1006,0))&gt;=100000), " ",IF(INDEX($AN$2:$BO$1001,MATCH(ROWS($AG$2:AG49),$AG$2:$AG$1001,0),MATCH(COLUMNS($AN$1006:AQ1006),$AN$1006:$BO$1006,0)), HYPERLINK("#",""), HYPERLINK(CONCATENATE("#Metadata!", ADDRESS(INDEX($AI$2:$AI$1001,MATCH(ROWS($AG$2:AG49),$AG$2:$AG$1001,0),0), INDEX($AN$1004:$BO$1004,1,MATCH(COLUMNS($AN$1006:AQ1006),$AN$1006:$BO$1006,0)))),"Fix")))</f>
        <v>0</v>
      </c>
      <c r="F49" s="4">
        <f>IF(OR(INDEX($AH$2:$AH$1001,MATCH(ROWS($AG$2:AG49),$AG$2:$AG$1001,0),1)&gt;=100000,INDEX($AN$1005:$BO$1005,1,MATCH(COLUMNS($AN$1006:AR1006),$AN$1006:$BO$1006,0))&gt;=100000), " ",IF(INDEX($AN$2:$BO$1001,MATCH(ROWS($AG$2:AG49),$AG$2:$AG$1001,0),MATCH(COLUMNS($AN$1006:AR1006),$AN$1006:$BO$1006,0)), HYPERLINK("#",""), HYPERLINK(CONCATENATE("#Metadata!", ADDRESS(INDEX($AI$2:$AI$1001,MATCH(ROWS($AG$2:AG49),$AG$2:$AG$1001,0),0), INDEX($AN$1004:$BO$1004,1,MATCH(COLUMNS($AN$1006:AR1006),$AN$1006:$BO$1006,0)))),"Fix")))</f>
        <v>0</v>
      </c>
      <c r="G49" s="4">
        <f>IF(OR(INDEX($AH$2:$AH$1001,MATCH(ROWS($AG$2:AG49),$AG$2:$AG$1001,0),1)&gt;=100000,INDEX($AN$1005:$BO$1005,1,MATCH(COLUMNS($AN$1006:AS1006),$AN$1006:$BO$1006,0))&gt;=100000), " ",IF(INDEX($AN$2:$BO$1001,MATCH(ROWS($AG$2:AG49),$AG$2:$AG$1001,0),MATCH(COLUMNS($AN$1006:AS1006),$AN$1006:$BO$1006,0)), HYPERLINK("#",""), HYPERLINK(CONCATENATE("#Metadata!", ADDRESS(INDEX($AI$2:$AI$1001,MATCH(ROWS($AG$2:AG49),$AG$2:$AG$1001,0),0), INDEX($AN$1004:$BO$1004,1,MATCH(COLUMNS($AN$1006:AS1006),$AN$1006:$BO$1006,0)))),"Fix")))</f>
        <v>0</v>
      </c>
      <c r="H49" s="4">
        <f>IF(OR(INDEX($AH$2:$AH$1001,MATCH(ROWS($AG$2:AG49),$AG$2:$AG$1001,0),1)&gt;=100000,INDEX($AN$1005:$BO$1005,1,MATCH(COLUMNS($AN$1006:AT1006),$AN$1006:$BO$1006,0))&gt;=100000), " ",IF(INDEX($AN$2:$BO$1001,MATCH(ROWS($AG$2:AG49),$AG$2:$AG$1001,0),MATCH(COLUMNS($AN$1006:AT1006),$AN$1006:$BO$1006,0)), HYPERLINK("#",""), HYPERLINK(CONCATENATE("#Metadata!", ADDRESS(INDEX($AI$2:$AI$1001,MATCH(ROWS($AG$2:AG49),$AG$2:$AG$1001,0),0), INDEX($AN$1004:$BO$1004,1,MATCH(COLUMNS($AN$1006:AT1006),$AN$1006:$BO$1006,0)))),"Fix")))</f>
        <v>0</v>
      </c>
      <c r="I49" s="4">
        <f>IF(OR(INDEX($AH$2:$AH$1001,MATCH(ROWS($AG$2:AG49),$AG$2:$AG$1001,0),1)&gt;=100000,INDEX($AN$1005:$BO$1005,1,MATCH(COLUMNS($AN$1006:AU1006),$AN$1006:$BO$1006,0))&gt;=100000), " ",IF(INDEX($AN$2:$BO$1001,MATCH(ROWS($AG$2:AG49),$AG$2:$AG$1001,0),MATCH(COLUMNS($AN$1006:AU1006),$AN$1006:$BO$1006,0)), HYPERLINK("#",""), HYPERLINK(CONCATENATE("#Metadata!", ADDRESS(INDEX($AI$2:$AI$1001,MATCH(ROWS($AG$2:AG49),$AG$2:$AG$1001,0),0), INDEX($AN$1004:$BO$1004,1,MATCH(COLUMNS($AN$1006:AU1006),$AN$1006:$BO$1006,0)))),"Fix")))</f>
        <v>0</v>
      </c>
      <c r="J49" s="4">
        <f>IF(OR(INDEX($AH$2:$AH$1001,MATCH(ROWS($AG$2:AG49),$AG$2:$AG$1001,0),1)&gt;=100000,INDEX($AN$1005:$BO$1005,1,MATCH(COLUMNS($AN$1006:AV1006),$AN$1006:$BO$1006,0))&gt;=100000), " ",IF(INDEX($AN$2:$BO$1001,MATCH(ROWS($AG$2:AG49),$AG$2:$AG$1001,0),MATCH(COLUMNS($AN$1006:AV1006),$AN$1006:$BO$1006,0)), HYPERLINK("#",""), HYPERLINK(CONCATENATE("#Metadata!", ADDRESS(INDEX($AI$2:$AI$1001,MATCH(ROWS($AG$2:AG49),$AG$2:$AG$1001,0),0), INDEX($AN$1004:$BO$1004,1,MATCH(COLUMNS($AN$1006:AV1006),$AN$1006:$BO$1006,0)))),"Fix")))</f>
        <v>0</v>
      </c>
      <c r="K49" s="4">
        <f>IF(OR(INDEX($AH$2:$AH$1001,MATCH(ROWS($AG$2:AG49),$AG$2:$AG$1001,0),1)&gt;=100000,INDEX($AN$1005:$BO$1005,1,MATCH(COLUMNS($AN$1006:AW1006),$AN$1006:$BO$1006,0))&gt;=100000), " ",IF(INDEX($AN$2:$BO$1001,MATCH(ROWS($AG$2:AG49),$AG$2:$AG$1001,0),MATCH(COLUMNS($AN$1006:AW1006),$AN$1006:$BO$1006,0)), HYPERLINK("#",""), HYPERLINK(CONCATENATE("#Metadata!", ADDRESS(INDEX($AI$2:$AI$1001,MATCH(ROWS($AG$2:AG49),$AG$2:$AG$1001,0),0), INDEX($AN$1004:$BO$1004,1,MATCH(COLUMNS($AN$1006:AW1006),$AN$1006:$BO$1006,0)))),"Fix")))</f>
        <v>0</v>
      </c>
      <c r="L49" s="4">
        <f>IF(OR(INDEX($AH$2:$AH$1001,MATCH(ROWS($AG$2:AG49),$AG$2:$AG$1001,0),1)&gt;=100000,INDEX($AN$1005:$BO$1005,1,MATCH(COLUMNS($AN$1006:AX1006),$AN$1006:$BO$1006,0))&gt;=100000), " ",IF(INDEX($AN$2:$BO$1001,MATCH(ROWS($AG$2:AG49),$AG$2:$AG$1001,0),MATCH(COLUMNS($AN$1006:AX1006),$AN$1006:$BO$1006,0)), HYPERLINK("#",""), HYPERLINK(CONCATENATE("#Metadata!", ADDRESS(INDEX($AI$2:$AI$1001,MATCH(ROWS($AG$2:AG49),$AG$2:$AG$1001,0),0), INDEX($AN$1004:$BO$1004,1,MATCH(COLUMNS($AN$1006:AX1006),$AN$1006:$BO$1006,0)))),"Fix")))</f>
        <v>0</v>
      </c>
      <c r="M49" s="4">
        <f>IF(OR(INDEX($AH$2:$AH$1001,MATCH(ROWS($AG$2:AG49),$AG$2:$AG$1001,0),1)&gt;=100000,INDEX($AN$1005:$BO$1005,1,MATCH(COLUMNS($AN$1006:AY1006),$AN$1006:$BO$1006,0))&gt;=100000), " ",IF(INDEX($AN$2:$BO$1001,MATCH(ROWS($AG$2:AG49),$AG$2:$AG$1001,0),MATCH(COLUMNS($AN$1006:AY1006),$AN$1006:$BO$1006,0)), HYPERLINK("#",""), HYPERLINK(CONCATENATE("#Metadata!", ADDRESS(INDEX($AI$2:$AI$1001,MATCH(ROWS($AG$2:AG49),$AG$2:$AG$1001,0),0), INDEX($AN$1004:$BO$1004,1,MATCH(COLUMNS($AN$1006:AY1006),$AN$1006:$BO$1006,0)))),"Fix")))</f>
        <v>0</v>
      </c>
      <c r="N49" s="4">
        <f>IF(OR(INDEX($AH$2:$AH$1001,MATCH(ROWS($AG$2:AG49),$AG$2:$AG$1001,0),1)&gt;=100000,INDEX($AN$1005:$BO$1005,1,MATCH(COLUMNS($AN$1006:AZ1006),$AN$1006:$BO$1006,0))&gt;=100000), " ",IF(INDEX($AN$2:$BO$1001,MATCH(ROWS($AG$2:AG49),$AG$2:$AG$1001,0),MATCH(COLUMNS($AN$1006:AZ1006),$AN$1006:$BO$1006,0)), HYPERLINK("#",""), HYPERLINK(CONCATENATE("#Metadata!", ADDRESS(INDEX($AI$2:$AI$1001,MATCH(ROWS($AG$2:AG49),$AG$2:$AG$1001,0),0), INDEX($AN$1004:$BO$1004,1,MATCH(COLUMNS($AN$1006:AZ1006),$AN$1006:$BO$1006,0)))),"Fix")))</f>
        <v>0</v>
      </c>
      <c r="O49" s="4">
        <f>IF(OR(INDEX($AH$2:$AH$1001,MATCH(ROWS($AG$2:AG49),$AG$2:$AG$1001,0),1)&gt;=100000,INDEX($AN$1005:$BO$1005,1,MATCH(COLUMNS($AN$1006:BA1006),$AN$1006:$BO$1006,0))&gt;=100000), " ",IF(INDEX($AN$2:$BO$1001,MATCH(ROWS($AG$2:AG49),$AG$2:$AG$1001,0),MATCH(COLUMNS($AN$1006:BA1006),$AN$1006:$BO$1006,0)), HYPERLINK("#",""), HYPERLINK(CONCATENATE("#Metadata!", ADDRESS(INDEX($AI$2:$AI$1001,MATCH(ROWS($AG$2:AG49),$AG$2:$AG$1001,0),0), INDEX($AN$1004:$BO$1004,1,MATCH(COLUMNS($AN$1006:BA1006),$AN$1006:$BO$1006,0)))),"Fix")))</f>
        <v>0</v>
      </c>
      <c r="P49" s="4">
        <f>IF(OR(INDEX($AH$2:$AH$1001,MATCH(ROWS($AG$2:AG49),$AG$2:$AG$1001,0),1)&gt;=100000,INDEX($AN$1005:$BO$1005,1,MATCH(COLUMNS($AN$1006:BB1006),$AN$1006:$BO$1006,0))&gt;=100000), " ",IF(INDEX($AN$2:$BO$1001,MATCH(ROWS($AG$2:AG49),$AG$2:$AG$1001,0),MATCH(COLUMNS($AN$1006:BB1006),$AN$1006:$BO$1006,0)), HYPERLINK("#",""), HYPERLINK(CONCATENATE("#Metadata!", ADDRESS(INDEX($AI$2:$AI$1001,MATCH(ROWS($AG$2:AG49),$AG$2:$AG$1001,0),0), INDEX($AN$1004:$BO$1004,1,MATCH(COLUMNS($AN$1006:BB1006),$AN$1006:$BO$1006,0)))),"Fix")))</f>
        <v>0</v>
      </c>
      <c r="Q49" s="4">
        <f>IF(OR(INDEX($AH$2:$AH$1001,MATCH(ROWS($AG$2:AG49),$AG$2:$AG$1001,0),1)&gt;=100000,INDEX($AN$1005:$BO$1005,1,MATCH(COLUMNS($AN$1006:BC1006),$AN$1006:$BO$1006,0))&gt;=100000), " ",IF(INDEX($AN$2:$BO$1001,MATCH(ROWS($AG$2:AG49),$AG$2:$AG$1001,0),MATCH(COLUMNS($AN$1006:BC1006),$AN$1006:$BO$1006,0)), HYPERLINK("#",""), HYPERLINK(CONCATENATE("#Metadata!", ADDRESS(INDEX($AI$2:$AI$1001,MATCH(ROWS($AG$2:AG49),$AG$2:$AG$1001,0),0), INDEX($AN$1004:$BO$1004,1,MATCH(COLUMNS($AN$1006:BC1006),$AN$1006:$BO$1006,0)))),"Fix")))</f>
        <v>0</v>
      </c>
      <c r="R49" s="4">
        <f>IF(OR(INDEX($AH$2:$AH$1001,MATCH(ROWS($AG$2:AG49),$AG$2:$AG$1001,0),1)&gt;=100000,INDEX($AN$1005:$BO$1005,1,MATCH(COLUMNS($AN$1006:BD1006),$AN$1006:$BO$1006,0))&gt;=100000), " ",IF(INDEX($AN$2:$BO$1001,MATCH(ROWS($AG$2:AG49),$AG$2:$AG$1001,0),MATCH(COLUMNS($AN$1006:BD1006),$AN$1006:$BO$1006,0)), HYPERLINK("#",""), HYPERLINK(CONCATENATE("#Metadata!", ADDRESS(INDEX($AI$2:$AI$1001,MATCH(ROWS($AG$2:AG49),$AG$2:$AG$1001,0),0), INDEX($AN$1004:$BO$1004,1,MATCH(COLUMNS($AN$1006:BD1006),$AN$1006:$BO$1006,0)))),"Fix")))</f>
        <v>0</v>
      </c>
      <c r="S49" s="4">
        <f>IF(OR(INDEX($AH$2:$AH$1001,MATCH(ROWS($AG$2:AG49),$AG$2:$AG$1001,0),1)&gt;=100000,INDEX($AN$1005:$BO$1005,1,MATCH(COLUMNS($AN$1006:BE1006),$AN$1006:$BO$1006,0))&gt;=100000), " ",IF(INDEX($AN$2:$BO$1001,MATCH(ROWS($AG$2:AG49),$AG$2:$AG$1001,0),MATCH(COLUMNS($AN$1006:BE1006),$AN$1006:$BO$1006,0)), HYPERLINK("#",""), HYPERLINK(CONCATENATE("#Metadata!", ADDRESS(INDEX($AI$2:$AI$1001,MATCH(ROWS($AG$2:AG49),$AG$2:$AG$1001,0),0), INDEX($AN$1004:$BO$1004,1,MATCH(COLUMNS($AN$1006:BE1006),$AN$1006:$BO$1006,0)))),"Fix")))</f>
        <v>0</v>
      </c>
      <c r="T49" s="4">
        <f>IF(OR(INDEX($AH$2:$AH$1001,MATCH(ROWS($AG$2:AG49),$AG$2:$AG$1001,0),1)&gt;=100000,INDEX($AN$1005:$BO$1005,1,MATCH(COLUMNS($AN$1006:BF1006),$AN$1006:$BO$1006,0))&gt;=100000), " ",IF(INDEX($AN$2:$BO$1001,MATCH(ROWS($AG$2:AG49),$AG$2:$AG$1001,0),MATCH(COLUMNS($AN$1006:BF1006),$AN$1006:$BO$1006,0)), HYPERLINK("#",""), HYPERLINK(CONCATENATE("#Metadata!", ADDRESS(INDEX($AI$2:$AI$1001,MATCH(ROWS($AG$2:AG49),$AG$2:$AG$1001,0),0), INDEX($AN$1004:$BO$1004,1,MATCH(COLUMNS($AN$1006:BF1006),$AN$1006:$BO$1006,0)))),"Fix")))</f>
        <v>0</v>
      </c>
      <c r="U49" s="4">
        <f>IF(OR(INDEX($AH$2:$AH$1001,MATCH(ROWS($AG$2:AG49),$AG$2:$AG$1001,0),1)&gt;=100000,INDEX($AN$1005:$BO$1005,1,MATCH(COLUMNS($AN$1006:BG1006),$AN$1006:$BO$1006,0))&gt;=100000), " ",IF(INDEX($AN$2:$BO$1001,MATCH(ROWS($AG$2:AG49),$AG$2:$AG$1001,0),MATCH(COLUMNS($AN$1006:BG1006),$AN$1006:$BO$1006,0)), HYPERLINK("#",""), HYPERLINK(CONCATENATE("#Metadata!", ADDRESS(INDEX($AI$2:$AI$1001,MATCH(ROWS($AG$2:AG49),$AG$2:$AG$1001,0),0), INDEX($AN$1004:$BO$1004,1,MATCH(COLUMNS($AN$1006:BG1006),$AN$1006:$BO$1006,0)))),"Fix")))</f>
        <v>0</v>
      </c>
      <c r="V49" s="4">
        <f>IF(OR(INDEX($AH$2:$AH$1001,MATCH(ROWS($AG$2:AG49),$AG$2:$AG$1001,0),1)&gt;=100000,INDEX($AN$1005:$BO$1005,1,MATCH(COLUMNS($AN$1006:BH1006),$AN$1006:$BO$1006,0))&gt;=100000), " ",IF(INDEX($AN$2:$BO$1001,MATCH(ROWS($AG$2:AG49),$AG$2:$AG$1001,0),MATCH(COLUMNS($AN$1006:BH1006),$AN$1006:$BO$1006,0)), HYPERLINK("#",""), HYPERLINK(CONCATENATE("#Metadata!", ADDRESS(INDEX($AI$2:$AI$1001,MATCH(ROWS($AG$2:AG49),$AG$2:$AG$1001,0),0), INDEX($AN$1004:$BO$1004,1,MATCH(COLUMNS($AN$1006:BH1006),$AN$1006:$BO$1006,0)))),"Fix")))</f>
        <v>0</v>
      </c>
      <c r="W49" s="4">
        <f>IF(OR(INDEX($AH$2:$AH$1001,MATCH(ROWS($AG$2:AG49),$AG$2:$AG$1001,0),1)&gt;=100000,INDEX($AN$1005:$BO$1005,1,MATCH(COLUMNS($AN$1006:BI1006),$AN$1006:$BO$1006,0))&gt;=100000), " ",IF(INDEX($AN$2:$BO$1001,MATCH(ROWS($AG$2:AG49),$AG$2:$AG$1001,0),MATCH(COLUMNS($AN$1006:BI1006),$AN$1006:$BO$1006,0)), HYPERLINK("#",""), HYPERLINK(CONCATENATE("#Metadata!", ADDRESS(INDEX($AI$2:$AI$1001,MATCH(ROWS($AG$2:AG49),$AG$2:$AG$1001,0),0), INDEX($AN$1004:$BO$1004,1,MATCH(COLUMNS($AN$1006:BI1006),$AN$1006:$BO$1006,0)))),"Fix")))</f>
        <v>0</v>
      </c>
      <c r="X49" s="4">
        <f>IF(OR(INDEX($AH$2:$AH$1001,MATCH(ROWS($AG$2:AG49),$AG$2:$AG$1001,0),1)&gt;=100000,INDEX($AN$1005:$BO$1005,1,MATCH(COLUMNS($AN$1006:BJ1006),$AN$1006:$BO$1006,0))&gt;=100000), " ",IF(INDEX($AN$2:$BO$1001,MATCH(ROWS($AG$2:AG49),$AG$2:$AG$1001,0),MATCH(COLUMNS($AN$1006:BJ1006),$AN$1006:$BO$1006,0)), HYPERLINK("#",""), HYPERLINK(CONCATENATE("#Metadata!", ADDRESS(INDEX($AI$2:$AI$1001,MATCH(ROWS($AG$2:AG49),$AG$2:$AG$1001,0),0), INDEX($AN$1004:$BO$1004,1,MATCH(COLUMNS($AN$1006:BJ1006),$AN$1006:$BO$1006,0)))),"Fix")))</f>
        <v>0</v>
      </c>
      <c r="Y49" s="4">
        <f>IF(OR(INDEX($AH$2:$AH$1001,MATCH(ROWS($AG$2:AG49),$AG$2:$AG$1001,0),1)&gt;=100000,INDEX($AN$1005:$BO$1005,1,MATCH(COLUMNS($AN$1006:BK1006),$AN$1006:$BO$1006,0))&gt;=100000), " ",IF(INDEX($AN$2:$BO$1001,MATCH(ROWS($AG$2:AG49),$AG$2:$AG$1001,0),MATCH(COLUMNS($AN$1006:BK1006),$AN$1006:$BO$1006,0)), HYPERLINK("#",""), HYPERLINK(CONCATENATE("#Metadata!", ADDRESS(INDEX($AI$2:$AI$1001,MATCH(ROWS($AG$2:AG49),$AG$2:$AG$1001,0),0), INDEX($AN$1004:$BO$1004,1,MATCH(COLUMNS($AN$1006:BK1006),$AN$1006:$BO$1006,0)))),"Fix")))</f>
        <v>0</v>
      </c>
      <c r="Z49" s="4">
        <f>IF(OR(INDEX($AH$2:$AH$1001,MATCH(ROWS($AG$2:AG49),$AG$2:$AG$1001,0),1)&gt;=100000,INDEX($AN$1005:$BO$1005,1,MATCH(COLUMNS($AN$1006:BL1006),$AN$1006:$BO$1006,0))&gt;=100000), " ",IF(INDEX($AN$2:$BO$1001,MATCH(ROWS($AG$2:AG49),$AG$2:$AG$1001,0),MATCH(COLUMNS($AN$1006:BL1006),$AN$1006:$BO$1006,0)), HYPERLINK("#",""), HYPERLINK(CONCATENATE("#Metadata!", ADDRESS(INDEX($AI$2:$AI$1001,MATCH(ROWS($AG$2:AG49),$AG$2:$AG$1001,0),0), INDEX($AN$1004:$BO$1004,1,MATCH(COLUMNS($AN$1006:BL1006),$AN$1006:$BO$1006,0)))),"Fix")))</f>
        <v>0</v>
      </c>
      <c r="AA49" s="4">
        <f>IF(OR(INDEX($AH$2:$AH$1001,MATCH(ROWS($AG$2:AG49),$AG$2:$AG$1001,0),1)&gt;=100000,INDEX($AN$1005:$BO$1005,1,MATCH(COLUMNS($AN$1006:BM1006),$AN$1006:$BO$1006,0))&gt;=100000), " ",IF(INDEX($AN$2:$BO$1001,MATCH(ROWS($AG$2:AG49),$AG$2:$AG$1001,0),MATCH(COLUMNS($AN$1006:BM1006),$AN$1006:$BO$1006,0)), HYPERLINK("#",""), HYPERLINK(CONCATENATE("#Metadata!", ADDRESS(INDEX($AI$2:$AI$1001,MATCH(ROWS($AG$2:AG49),$AG$2:$AG$1001,0),0), INDEX($AN$1004:$BO$1004,1,MATCH(COLUMNS($AN$1006:BM1006),$AN$1006:$BO$1006,0)))),"Fix")))</f>
        <v>0</v>
      </c>
      <c r="AB49" s="4">
        <f>IF(OR(INDEX($AH$2:$AH$1001,MATCH(ROWS($AG$2:AG49),$AG$2:$AG$1001,0),1)&gt;=100000,INDEX($AN$1005:$BO$1005,1,MATCH(COLUMNS($AN$1006:BN1006),$AN$1006:$BO$1006,0))&gt;=100000), " ",IF(INDEX($AN$2:$BO$1001,MATCH(ROWS($AG$2:AG49),$AG$2:$AG$1001,0),MATCH(COLUMNS($AN$1006:BN1006),$AN$1006:$BO$1006,0)), HYPERLINK("#",""), HYPERLINK(CONCATENATE("#Metadata!", ADDRESS(INDEX($AI$2:$AI$1001,MATCH(ROWS($AG$2:AG49),$AG$2:$AG$1001,0),0), INDEX($AN$1004:$BO$1004,1,MATCH(COLUMNS($AN$1006:BN1006),$AN$1006:$BO$1006,0)))),"Fix")))</f>
        <v>0</v>
      </c>
      <c r="AC49" s="4">
        <f>IF(OR(INDEX($AH$2:$AH$1001,MATCH(ROWS($AG$2:AG49),$AG$2:$AG$1001,0),1)&gt;=100000,INDEX($AN$1005:$BO$1005,1,MATCH(COLUMNS($AN$1006:BO1006),$AN$1006:$BO$1006,0))&gt;=100000), " ",IF(INDEX($AN$2:$BO$1001,MATCH(ROWS($AG$2:AG49),$AG$2:$AG$1001,0),MATCH(COLUMNS($AN$1006:BO1006),$AN$1006:$BO$1006,0)), HYPERLINK("#",""), HYPERLINK(CONCATENATE("#Metadata!", ADDRESS(INDEX($AI$2:$AI$1001,MATCH(ROWS($AG$2:AG49),$AG$2:$AG$1001,0),0), INDEX($AN$1004:$BO$1004,1,MATCH(COLUMNS($AN$1006:BO1006),$AN$1006:$BO$1006,0)))),"Fix")))</f>
        <v>0</v>
      </c>
      <c r="AG49">
        <v>0</v>
      </c>
      <c r="AH49">
        <v>0</v>
      </c>
      <c r="AI49">
        <v>0</v>
      </c>
      <c r="AJ49">
        <f>IF(AK49,TRUE,AND(AN49:BO49))</f>
        <v>0</v>
      </c>
      <c r="AK49">
        <f>COUNTBLANK(Metadata!B49:AC49)=COLUMNS(Metadata!B49:AC49)</f>
        <v>0</v>
      </c>
      <c r="AL49">
        <v>0</v>
      </c>
      <c r="AN49">
        <f>AND(IF(Metadata!B49="",FALSE,TRUE),COUNTIF(Metadata!B:B, Metadata!B49) = 1,NOT(ISERROR(SUMPRODUCT(SEARCH(MID(Metadata!B49,ROW(INDIRECT("1:"&amp;LEN(Metadata!B49))), 1),"0123456789abcdefghijklmnopqrstuvwxyzABCDEFGHIJKLMNOPQRSTUVWXYZ.")))))</f>
        <v>0</v>
      </c>
      <c r="AO49">
        <f>IF(Metadata!C49="",FALSE,TRUE)</f>
        <v>0</v>
      </c>
      <c r="AP49">
        <f>IF(Metadata!D49="",FALSE,TRUE)</f>
        <v>0</v>
      </c>
      <c r="AQ49">
        <f>OR(AND(IF(Metadata!E49="",FALSE,TRUE),OR(exact(Metadata!E49,"not collected"),exact(Metadata!E49,"not provided"),exact(Metadata!E49,"restricted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R49">
        <f>IF(Metadata!F49="",FALSE,TRUE)</f>
        <v>0</v>
      </c>
      <c r="AS49">
        <f>OR(AND(IF(Metadata!G49="",FALSE,TRUE),OR(exact(Metadata!G49,"not collected"),exact(Metadata!G49,"not provided"))),AND(IF(Metadata!G49="",FALSE,TRUE),OR(exact(Metadata!G49,"TRUE"),exact(Metadata!G49,"FALSE"))))</f>
        <v>0</v>
      </c>
      <c r="AT49">
        <f>OR(AND(IF(Metadata!H49="",FALSE,TRUE),OR(exact(Metadata!H49,"not collected"),exact(Metadata!H49,"not provided"),exact(Metadata!H49,"restricted access"))),AND(IF(Metadata!H49="",FALSE,ISNUMBER(VALUE(Metadata!H49))),Metadata!H49&gt;=-413.0))</f>
        <v>0</v>
      </c>
      <c r="AU49">
        <f>AND(IF(Metadata!I49="",FALSE,TRUE),exact(Metadata!I49,"meters"))</f>
        <v>0</v>
      </c>
      <c r="AV49">
        <f>AND(IF(Metadata!J49="",FALSE,TRUE),OR(exact(Metadata!J49,"Host-associated"),exact(Metadata!J49,"Free-living")))</f>
        <v>0</v>
      </c>
      <c r="AW49">
        <f>AND(IF(Metadata!K49="",FALSE,TRUE),OR(exact(Metadata!K49,"Animal"),exact(Metadata!K49,"Fungus"),exact(Metadata!K49,"Plant"),exact(Metadata!K49,"Saline"),exact(Metadata!K49,"Non-saline")))</f>
        <v>0</v>
      </c>
      <c r="AX49">
        <f>AND(IF(Metadata!L49="",FALSE,TRUE),OR(exact(Metadata!L49,"Plant secretion"),exact(Metadata!L49,"Plant rhizosphere"),exact(Metadata!L49,"Plant surface"),exact(Metadata!L49,"Plant corpus"),exact(Metadata!L49,"Fungus surface"),exact(Metadata!L49,"Fungus corpus"),exact(Metadata!L49,"Animal surface"),exact(Metadata!L49,"Animal proximal gut"),exact(Metadata!L49,"Animal corpus"),exact(Metadata!L49,"Animal distal gut"),exact(Metadata!L49,"Animal secretion"),exact(Metadata!L49,"Sub-surface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0</v>
      </c>
      <c r="AY49">
        <f>IF(Metadata!M49="",FALSE,TRUE)</f>
        <v>0</v>
      </c>
      <c r="AZ49">
        <f>IF(Metadata!N49="",FALSE,TRUE)</f>
        <v>0</v>
      </c>
      <c r="BA49">
        <f>IF(Metadata!O49="",FALSE,TRUE)</f>
        <v>0</v>
      </c>
      <c r="BB49">
        <f>OR(AND(IF(Metadata!P49="",FALSE,TRUE),OR(exact(Metadata!P49,"not collected"),exact(Metadata!P49,"not provided"),exact(Metadata!P49,"restricted access"))),AND(IF(Metadata!P49="",FALSE,TRUE),OR(exact(Metadata!P49,"air"),exact(Metadata!P49,"built environment"),exact(Metadata!P49,"host-associated"),exact(Metadata!P49,"human-associated"),exact(Metadata!P49,"human-skin"),exact(Metadata!P49,"human-oral"),exact(Metadata!P49,"human-gut"),exact(Metadata!P49,"human-vaginal"),exact(Metadata!P49,"microbial mat/biofilm"),exact(Metadata!P49,"misc environment"),exact(Metadata!P49,"plant-associated"),exact(Metadata!P49,"sediment"),exact(Metadata!P49,"soil"),exact(Metadata!P49,"wastewater/sludge"),exact(Metadata!P49,"water"))))</f>
        <v>0</v>
      </c>
      <c r="BC49">
        <f>IF(Metadata!Q49="",FALSE,TRUE)</f>
        <v>0</v>
      </c>
      <c r="BD49">
        <f>IF(Metadata!R49="",FALSE,TRUE)</f>
        <v>0</v>
      </c>
      <c r="BE49">
        <f>OR(AND(IF(Metadata!S49="",FALSE,TRUE),OR(exact(Metadata!S49,"not collected"),exact(Metadata!S49,"not provided"),exact(Metadata!S49,"restricted access"))),AND(IF(Metadata!S49="",FALSE,ISNUMBER(VALUE(Metadata!S49))),Metadata!S49&gt;=-90.00,Metadata!S49&lt;=90.00))</f>
        <v>0</v>
      </c>
      <c r="BF49">
        <f>AND(IF(Metadata!T49="",FALSE,TRUE),exact(Metadata!T49,"Decimal degrees"))</f>
        <v>0</v>
      </c>
      <c r="BG49">
        <f>OR(AND(IF(Metadata!U49="",FALSE,TRUE),OR(exact(Metadata!U49,"not collected"),exact(Metadata!U49,"not provided"),exact(Metadata!U49,"restricted access"))),AND(IF(Metadata!U49="",FALSE,ISNUMBER(VALUE(Metadata!U49))),Metadata!U49&gt;=-180.00,Metadata!U49&lt;=180.00))</f>
        <v>0</v>
      </c>
      <c r="BH49">
        <f>AND(IF(Metadata!V49="",FALSE,TRUE),exact(Metadata!V49,"Decimal degrees"))</f>
        <v>0</v>
      </c>
      <c r="BI49">
        <f>IF(Metadata!W49="",FALSE,TRUE)</f>
        <v>0</v>
      </c>
      <c r="BJ49">
        <f>OR(AND(IF(Metadata!X49="",FALSE,TRUE),OR(exact(Metadata!X49,"not collected"),exact(Metadata!X49,"not provided"),exact(Metadata!X49,"restricted access"))),AND(IF(Metadata!X49="",FALSE,TRUE),OR(exact(Metadata!X49,"TRUE"),exact(Metadata!X49,"FALSE"))))</f>
        <v>0</v>
      </c>
      <c r="BK49">
        <f>AND(IF(Metadata!Y49="",FALSE,TRUE),exact(Metadata!Y49,"other"))</f>
        <v>0</v>
      </c>
      <c r="BL49">
        <f>IF(Metadata!Z49="",FALSE,TRUE)</f>
        <v>0</v>
      </c>
      <c r="BM49">
        <f>OR(AND(IF(Metadata!AA49="",FALSE,TRUE),OR(exact(Metadata!AA49,"not collected"),exact(Metadata!AA49,"not provided"))),AND(IF(Metadata!AA49="",FALSE,IF(ISERROR(INT(Metadata!AA49)),FALSE,INT(Metadata!AA49)=Metadata!AA49)),Metadata!AA49&gt;0))</f>
        <v>0</v>
      </c>
      <c r="BN49">
        <f>AND(IF(Metadata!AB49="",FALSE,TRUE),exact(Metadata!AB49,"Not applicable"))</f>
        <v>0</v>
      </c>
      <c r="BO49">
        <f>IF(Metadata!AC49="",FALSE,TRUE)</f>
        <v>0</v>
      </c>
    </row>
    <row r="50" spans="1:67">
      <c r="A50" s="5">
        <f>IF(B50=" "," ",HYPERLINK(CONCATENATE("#metadata!",ADDRESS(INDEX($AI$2:$AI$1001,MATCH(ROWS($AG$2:AG50),$AG$2:$AG$1001,0),0),1)),INDEX($AL$2:$AL$1001,MATCH(ROWS($AG$2:AG50),$AG$2:$AG$1001,0),0)))</f>
        <v>0</v>
      </c>
      <c r="B50" s="4">
        <f>IF(OR(INDEX($AH$2:$AH$1001,MATCH(ROWS($AG$2:AG50),$AG$2:$AG$1001,0),1)&gt;=100000,INDEX($AN$1005:$BO$1005,1,MATCH(COLUMNS($AN$1006:AN1006),$AN$1006:$BO$1006,0))&gt;=100000), " ",IF(INDEX($AN$2:$BO$1001,MATCH(ROWS($AG$2:AG50),$AG$2:$AG$1001,0),MATCH(COLUMNS($AN$1006:AN1006),$AN$1006:$BO$1006,0)), HYPERLINK("#",""), HYPERLINK(CONCATENATE("#Metadata!", ADDRESS(INDEX($AI$2:$AI$1001,MATCH(ROWS($AG$2:AG50),$AG$2:$AG$1001,0),0), INDEX($AN$1004:$BO$1004,1,MATCH(COLUMNS($AN$1006:AN1006),$AN$1006:$BO$1006,0)))),"Fix")))</f>
        <v>0</v>
      </c>
      <c r="C50" s="4">
        <f>IF(OR(INDEX($AH$2:$AH$1001,MATCH(ROWS($AG$2:AG50),$AG$2:$AG$1001,0),1)&gt;=100000,INDEX($AN$1005:$BO$1005,1,MATCH(COLUMNS($AN$1006:AO1006),$AN$1006:$BO$1006,0))&gt;=100000), " ",IF(INDEX($AN$2:$BO$1001,MATCH(ROWS($AG$2:AG50),$AG$2:$AG$1001,0),MATCH(COLUMNS($AN$1006:AO1006),$AN$1006:$BO$1006,0)), HYPERLINK("#",""), HYPERLINK(CONCATENATE("#Metadata!", ADDRESS(INDEX($AI$2:$AI$1001,MATCH(ROWS($AG$2:AG50),$AG$2:$AG$1001,0),0), INDEX($AN$1004:$BO$1004,1,MATCH(COLUMNS($AN$1006:AO1006),$AN$1006:$BO$1006,0)))),"Fix")))</f>
        <v>0</v>
      </c>
      <c r="D50" s="4">
        <f>IF(OR(INDEX($AH$2:$AH$1001,MATCH(ROWS($AG$2:AG50),$AG$2:$AG$1001,0),1)&gt;=100000,INDEX($AN$1005:$BO$1005,1,MATCH(COLUMNS($AN$1006:AP1006),$AN$1006:$BO$1006,0))&gt;=100000), " ",IF(INDEX($AN$2:$BO$1001,MATCH(ROWS($AG$2:AG50),$AG$2:$AG$1001,0),MATCH(COLUMNS($AN$1006:AP1006),$AN$1006:$BO$1006,0)), HYPERLINK("#",""), HYPERLINK(CONCATENATE("#Metadata!", ADDRESS(INDEX($AI$2:$AI$1001,MATCH(ROWS($AG$2:AG50),$AG$2:$AG$1001,0),0), INDEX($AN$1004:$BO$1004,1,MATCH(COLUMNS($AN$1006:AP1006),$AN$1006:$BO$1006,0)))),"Fix")))</f>
        <v>0</v>
      </c>
      <c r="E50" s="4">
        <f>IF(OR(INDEX($AH$2:$AH$1001,MATCH(ROWS($AG$2:AG50),$AG$2:$AG$1001,0),1)&gt;=100000,INDEX($AN$1005:$BO$1005,1,MATCH(COLUMNS($AN$1006:AQ1006),$AN$1006:$BO$1006,0))&gt;=100000), " ",IF(INDEX($AN$2:$BO$1001,MATCH(ROWS($AG$2:AG50),$AG$2:$AG$1001,0),MATCH(COLUMNS($AN$1006:AQ1006),$AN$1006:$BO$1006,0)), HYPERLINK("#",""), HYPERLINK(CONCATENATE("#Metadata!", ADDRESS(INDEX($AI$2:$AI$1001,MATCH(ROWS($AG$2:AG50),$AG$2:$AG$1001,0),0), INDEX($AN$1004:$BO$1004,1,MATCH(COLUMNS($AN$1006:AQ1006),$AN$1006:$BO$1006,0)))),"Fix")))</f>
        <v>0</v>
      </c>
      <c r="F50" s="4">
        <f>IF(OR(INDEX($AH$2:$AH$1001,MATCH(ROWS($AG$2:AG50),$AG$2:$AG$1001,0),1)&gt;=100000,INDEX($AN$1005:$BO$1005,1,MATCH(COLUMNS($AN$1006:AR1006),$AN$1006:$BO$1006,0))&gt;=100000), " ",IF(INDEX($AN$2:$BO$1001,MATCH(ROWS($AG$2:AG50),$AG$2:$AG$1001,0),MATCH(COLUMNS($AN$1006:AR1006),$AN$1006:$BO$1006,0)), HYPERLINK("#",""), HYPERLINK(CONCATENATE("#Metadata!", ADDRESS(INDEX($AI$2:$AI$1001,MATCH(ROWS($AG$2:AG50),$AG$2:$AG$1001,0),0), INDEX($AN$1004:$BO$1004,1,MATCH(COLUMNS($AN$1006:AR1006),$AN$1006:$BO$1006,0)))),"Fix")))</f>
        <v>0</v>
      </c>
      <c r="G50" s="4">
        <f>IF(OR(INDEX($AH$2:$AH$1001,MATCH(ROWS($AG$2:AG50),$AG$2:$AG$1001,0),1)&gt;=100000,INDEX($AN$1005:$BO$1005,1,MATCH(COLUMNS($AN$1006:AS1006),$AN$1006:$BO$1006,0))&gt;=100000), " ",IF(INDEX($AN$2:$BO$1001,MATCH(ROWS($AG$2:AG50),$AG$2:$AG$1001,0),MATCH(COLUMNS($AN$1006:AS1006),$AN$1006:$BO$1006,0)), HYPERLINK("#",""), HYPERLINK(CONCATENATE("#Metadata!", ADDRESS(INDEX($AI$2:$AI$1001,MATCH(ROWS($AG$2:AG50),$AG$2:$AG$1001,0),0), INDEX($AN$1004:$BO$1004,1,MATCH(COLUMNS($AN$1006:AS1006),$AN$1006:$BO$1006,0)))),"Fix")))</f>
        <v>0</v>
      </c>
      <c r="H50" s="4">
        <f>IF(OR(INDEX($AH$2:$AH$1001,MATCH(ROWS($AG$2:AG50),$AG$2:$AG$1001,0),1)&gt;=100000,INDEX($AN$1005:$BO$1005,1,MATCH(COLUMNS($AN$1006:AT1006),$AN$1006:$BO$1006,0))&gt;=100000), " ",IF(INDEX($AN$2:$BO$1001,MATCH(ROWS($AG$2:AG50),$AG$2:$AG$1001,0),MATCH(COLUMNS($AN$1006:AT1006),$AN$1006:$BO$1006,0)), HYPERLINK("#",""), HYPERLINK(CONCATENATE("#Metadata!", ADDRESS(INDEX($AI$2:$AI$1001,MATCH(ROWS($AG$2:AG50),$AG$2:$AG$1001,0),0), INDEX($AN$1004:$BO$1004,1,MATCH(COLUMNS($AN$1006:AT1006),$AN$1006:$BO$1006,0)))),"Fix")))</f>
        <v>0</v>
      </c>
      <c r="I50" s="4">
        <f>IF(OR(INDEX($AH$2:$AH$1001,MATCH(ROWS($AG$2:AG50),$AG$2:$AG$1001,0),1)&gt;=100000,INDEX($AN$1005:$BO$1005,1,MATCH(COLUMNS($AN$1006:AU1006),$AN$1006:$BO$1006,0))&gt;=100000), " ",IF(INDEX($AN$2:$BO$1001,MATCH(ROWS($AG$2:AG50),$AG$2:$AG$1001,0),MATCH(COLUMNS($AN$1006:AU1006),$AN$1006:$BO$1006,0)), HYPERLINK("#",""), HYPERLINK(CONCATENATE("#Metadata!", ADDRESS(INDEX($AI$2:$AI$1001,MATCH(ROWS($AG$2:AG50),$AG$2:$AG$1001,0),0), INDEX($AN$1004:$BO$1004,1,MATCH(COLUMNS($AN$1006:AU1006),$AN$1006:$BO$1006,0)))),"Fix")))</f>
        <v>0</v>
      </c>
      <c r="J50" s="4">
        <f>IF(OR(INDEX($AH$2:$AH$1001,MATCH(ROWS($AG$2:AG50),$AG$2:$AG$1001,0),1)&gt;=100000,INDEX($AN$1005:$BO$1005,1,MATCH(COLUMNS($AN$1006:AV1006),$AN$1006:$BO$1006,0))&gt;=100000), " ",IF(INDEX($AN$2:$BO$1001,MATCH(ROWS($AG$2:AG50),$AG$2:$AG$1001,0),MATCH(COLUMNS($AN$1006:AV1006),$AN$1006:$BO$1006,0)), HYPERLINK("#",""), HYPERLINK(CONCATENATE("#Metadata!", ADDRESS(INDEX($AI$2:$AI$1001,MATCH(ROWS($AG$2:AG50),$AG$2:$AG$1001,0),0), INDEX($AN$1004:$BO$1004,1,MATCH(COLUMNS($AN$1006:AV1006),$AN$1006:$BO$1006,0)))),"Fix")))</f>
        <v>0</v>
      </c>
      <c r="K50" s="4">
        <f>IF(OR(INDEX($AH$2:$AH$1001,MATCH(ROWS($AG$2:AG50),$AG$2:$AG$1001,0),1)&gt;=100000,INDEX($AN$1005:$BO$1005,1,MATCH(COLUMNS($AN$1006:AW1006),$AN$1006:$BO$1006,0))&gt;=100000), " ",IF(INDEX($AN$2:$BO$1001,MATCH(ROWS($AG$2:AG50),$AG$2:$AG$1001,0),MATCH(COLUMNS($AN$1006:AW1006),$AN$1006:$BO$1006,0)), HYPERLINK("#",""), HYPERLINK(CONCATENATE("#Metadata!", ADDRESS(INDEX($AI$2:$AI$1001,MATCH(ROWS($AG$2:AG50),$AG$2:$AG$1001,0),0), INDEX($AN$1004:$BO$1004,1,MATCH(COLUMNS($AN$1006:AW1006),$AN$1006:$BO$1006,0)))),"Fix")))</f>
        <v>0</v>
      </c>
      <c r="L50" s="4">
        <f>IF(OR(INDEX($AH$2:$AH$1001,MATCH(ROWS($AG$2:AG50),$AG$2:$AG$1001,0),1)&gt;=100000,INDEX($AN$1005:$BO$1005,1,MATCH(COLUMNS($AN$1006:AX1006),$AN$1006:$BO$1006,0))&gt;=100000), " ",IF(INDEX($AN$2:$BO$1001,MATCH(ROWS($AG$2:AG50),$AG$2:$AG$1001,0),MATCH(COLUMNS($AN$1006:AX1006),$AN$1006:$BO$1006,0)), HYPERLINK("#",""), HYPERLINK(CONCATENATE("#Metadata!", ADDRESS(INDEX($AI$2:$AI$1001,MATCH(ROWS($AG$2:AG50),$AG$2:$AG$1001,0),0), INDEX($AN$1004:$BO$1004,1,MATCH(COLUMNS($AN$1006:AX1006),$AN$1006:$BO$1006,0)))),"Fix")))</f>
        <v>0</v>
      </c>
      <c r="M50" s="4">
        <f>IF(OR(INDEX($AH$2:$AH$1001,MATCH(ROWS($AG$2:AG50),$AG$2:$AG$1001,0),1)&gt;=100000,INDEX($AN$1005:$BO$1005,1,MATCH(COLUMNS($AN$1006:AY1006),$AN$1006:$BO$1006,0))&gt;=100000), " ",IF(INDEX($AN$2:$BO$1001,MATCH(ROWS($AG$2:AG50),$AG$2:$AG$1001,0),MATCH(COLUMNS($AN$1006:AY1006),$AN$1006:$BO$1006,0)), HYPERLINK("#",""), HYPERLINK(CONCATENATE("#Metadata!", ADDRESS(INDEX($AI$2:$AI$1001,MATCH(ROWS($AG$2:AG50),$AG$2:$AG$1001,0),0), INDEX($AN$1004:$BO$1004,1,MATCH(COLUMNS($AN$1006:AY1006),$AN$1006:$BO$1006,0)))),"Fix")))</f>
        <v>0</v>
      </c>
      <c r="N50" s="4">
        <f>IF(OR(INDEX($AH$2:$AH$1001,MATCH(ROWS($AG$2:AG50),$AG$2:$AG$1001,0),1)&gt;=100000,INDEX($AN$1005:$BO$1005,1,MATCH(COLUMNS($AN$1006:AZ1006),$AN$1006:$BO$1006,0))&gt;=100000), " ",IF(INDEX($AN$2:$BO$1001,MATCH(ROWS($AG$2:AG50),$AG$2:$AG$1001,0),MATCH(COLUMNS($AN$1006:AZ1006),$AN$1006:$BO$1006,0)), HYPERLINK("#",""), HYPERLINK(CONCATENATE("#Metadata!", ADDRESS(INDEX($AI$2:$AI$1001,MATCH(ROWS($AG$2:AG50),$AG$2:$AG$1001,0),0), INDEX($AN$1004:$BO$1004,1,MATCH(COLUMNS($AN$1006:AZ1006),$AN$1006:$BO$1006,0)))),"Fix")))</f>
        <v>0</v>
      </c>
      <c r="O50" s="4">
        <f>IF(OR(INDEX($AH$2:$AH$1001,MATCH(ROWS($AG$2:AG50),$AG$2:$AG$1001,0),1)&gt;=100000,INDEX($AN$1005:$BO$1005,1,MATCH(COLUMNS($AN$1006:BA1006),$AN$1006:$BO$1006,0))&gt;=100000), " ",IF(INDEX($AN$2:$BO$1001,MATCH(ROWS($AG$2:AG50),$AG$2:$AG$1001,0),MATCH(COLUMNS($AN$1006:BA1006),$AN$1006:$BO$1006,0)), HYPERLINK("#",""), HYPERLINK(CONCATENATE("#Metadata!", ADDRESS(INDEX($AI$2:$AI$1001,MATCH(ROWS($AG$2:AG50),$AG$2:$AG$1001,0),0), INDEX($AN$1004:$BO$1004,1,MATCH(COLUMNS($AN$1006:BA1006),$AN$1006:$BO$1006,0)))),"Fix")))</f>
        <v>0</v>
      </c>
      <c r="P50" s="4">
        <f>IF(OR(INDEX($AH$2:$AH$1001,MATCH(ROWS($AG$2:AG50),$AG$2:$AG$1001,0),1)&gt;=100000,INDEX($AN$1005:$BO$1005,1,MATCH(COLUMNS($AN$1006:BB1006),$AN$1006:$BO$1006,0))&gt;=100000), " ",IF(INDEX($AN$2:$BO$1001,MATCH(ROWS($AG$2:AG50),$AG$2:$AG$1001,0),MATCH(COLUMNS($AN$1006:BB1006),$AN$1006:$BO$1006,0)), HYPERLINK("#",""), HYPERLINK(CONCATENATE("#Metadata!", ADDRESS(INDEX($AI$2:$AI$1001,MATCH(ROWS($AG$2:AG50),$AG$2:$AG$1001,0),0), INDEX($AN$1004:$BO$1004,1,MATCH(COLUMNS($AN$1006:BB1006),$AN$1006:$BO$1006,0)))),"Fix")))</f>
        <v>0</v>
      </c>
      <c r="Q50" s="4">
        <f>IF(OR(INDEX($AH$2:$AH$1001,MATCH(ROWS($AG$2:AG50),$AG$2:$AG$1001,0),1)&gt;=100000,INDEX($AN$1005:$BO$1005,1,MATCH(COLUMNS($AN$1006:BC1006),$AN$1006:$BO$1006,0))&gt;=100000), " ",IF(INDEX($AN$2:$BO$1001,MATCH(ROWS($AG$2:AG50),$AG$2:$AG$1001,0),MATCH(COLUMNS($AN$1006:BC1006),$AN$1006:$BO$1006,0)), HYPERLINK("#",""), HYPERLINK(CONCATENATE("#Metadata!", ADDRESS(INDEX($AI$2:$AI$1001,MATCH(ROWS($AG$2:AG50),$AG$2:$AG$1001,0),0), INDEX($AN$1004:$BO$1004,1,MATCH(COLUMNS($AN$1006:BC1006),$AN$1006:$BO$1006,0)))),"Fix")))</f>
        <v>0</v>
      </c>
      <c r="R50" s="4">
        <f>IF(OR(INDEX($AH$2:$AH$1001,MATCH(ROWS($AG$2:AG50),$AG$2:$AG$1001,0),1)&gt;=100000,INDEX($AN$1005:$BO$1005,1,MATCH(COLUMNS($AN$1006:BD1006),$AN$1006:$BO$1006,0))&gt;=100000), " ",IF(INDEX($AN$2:$BO$1001,MATCH(ROWS($AG$2:AG50),$AG$2:$AG$1001,0),MATCH(COLUMNS($AN$1006:BD1006),$AN$1006:$BO$1006,0)), HYPERLINK("#",""), HYPERLINK(CONCATENATE("#Metadata!", ADDRESS(INDEX($AI$2:$AI$1001,MATCH(ROWS($AG$2:AG50),$AG$2:$AG$1001,0),0), INDEX($AN$1004:$BO$1004,1,MATCH(COLUMNS($AN$1006:BD1006),$AN$1006:$BO$1006,0)))),"Fix")))</f>
        <v>0</v>
      </c>
      <c r="S50" s="4">
        <f>IF(OR(INDEX($AH$2:$AH$1001,MATCH(ROWS($AG$2:AG50),$AG$2:$AG$1001,0),1)&gt;=100000,INDEX($AN$1005:$BO$1005,1,MATCH(COLUMNS($AN$1006:BE1006),$AN$1006:$BO$1006,0))&gt;=100000), " ",IF(INDEX($AN$2:$BO$1001,MATCH(ROWS($AG$2:AG50),$AG$2:$AG$1001,0),MATCH(COLUMNS($AN$1006:BE1006),$AN$1006:$BO$1006,0)), HYPERLINK("#",""), HYPERLINK(CONCATENATE("#Metadata!", ADDRESS(INDEX($AI$2:$AI$1001,MATCH(ROWS($AG$2:AG50),$AG$2:$AG$1001,0),0), INDEX($AN$1004:$BO$1004,1,MATCH(COLUMNS($AN$1006:BE1006),$AN$1006:$BO$1006,0)))),"Fix")))</f>
        <v>0</v>
      </c>
      <c r="T50" s="4">
        <f>IF(OR(INDEX($AH$2:$AH$1001,MATCH(ROWS($AG$2:AG50),$AG$2:$AG$1001,0),1)&gt;=100000,INDEX($AN$1005:$BO$1005,1,MATCH(COLUMNS($AN$1006:BF1006),$AN$1006:$BO$1006,0))&gt;=100000), " ",IF(INDEX($AN$2:$BO$1001,MATCH(ROWS($AG$2:AG50),$AG$2:$AG$1001,0),MATCH(COLUMNS($AN$1006:BF1006),$AN$1006:$BO$1006,0)), HYPERLINK("#",""), HYPERLINK(CONCATENATE("#Metadata!", ADDRESS(INDEX($AI$2:$AI$1001,MATCH(ROWS($AG$2:AG50),$AG$2:$AG$1001,0),0), INDEX($AN$1004:$BO$1004,1,MATCH(COLUMNS($AN$1006:BF1006),$AN$1006:$BO$1006,0)))),"Fix")))</f>
        <v>0</v>
      </c>
      <c r="U50" s="4">
        <f>IF(OR(INDEX($AH$2:$AH$1001,MATCH(ROWS($AG$2:AG50),$AG$2:$AG$1001,0),1)&gt;=100000,INDEX($AN$1005:$BO$1005,1,MATCH(COLUMNS($AN$1006:BG1006),$AN$1006:$BO$1006,0))&gt;=100000), " ",IF(INDEX($AN$2:$BO$1001,MATCH(ROWS($AG$2:AG50),$AG$2:$AG$1001,0),MATCH(COLUMNS($AN$1006:BG1006),$AN$1006:$BO$1006,0)), HYPERLINK("#",""), HYPERLINK(CONCATENATE("#Metadata!", ADDRESS(INDEX($AI$2:$AI$1001,MATCH(ROWS($AG$2:AG50),$AG$2:$AG$1001,0),0), INDEX($AN$1004:$BO$1004,1,MATCH(COLUMNS($AN$1006:BG1006),$AN$1006:$BO$1006,0)))),"Fix")))</f>
        <v>0</v>
      </c>
      <c r="V50" s="4">
        <f>IF(OR(INDEX($AH$2:$AH$1001,MATCH(ROWS($AG$2:AG50),$AG$2:$AG$1001,0),1)&gt;=100000,INDEX($AN$1005:$BO$1005,1,MATCH(COLUMNS($AN$1006:BH1006),$AN$1006:$BO$1006,0))&gt;=100000), " ",IF(INDEX($AN$2:$BO$1001,MATCH(ROWS($AG$2:AG50),$AG$2:$AG$1001,0),MATCH(COLUMNS($AN$1006:BH1006),$AN$1006:$BO$1006,0)), HYPERLINK("#",""), HYPERLINK(CONCATENATE("#Metadata!", ADDRESS(INDEX($AI$2:$AI$1001,MATCH(ROWS($AG$2:AG50),$AG$2:$AG$1001,0),0), INDEX($AN$1004:$BO$1004,1,MATCH(COLUMNS($AN$1006:BH1006),$AN$1006:$BO$1006,0)))),"Fix")))</f>
        <v>0</v>
      </c>
      <c r="W50" s="4">
        <f>IF(OR(INDEX($AH$2:$AH$1001,MATCH(ROWS($AG$2:AG50),$AG$2:$AG$1001,0),1)&gt;=100000,INDEX($AN$1005:$BO$1005,1,MATCH(COLUMNS($AN$1006:BI1006),$AN$1006:$BO$1006,0))&gt;=100000), " ",IF(INDEX($AN$2:$BO$1001,MATCH(ROWS($AG$2:AG50),$AG$2:$AG$1001,0),MATCH(COLUMNS($AN$1006:BI1006),$AN$1006:$BO$1006,0)), HYPERLINK("#",""), HYPERLINK(CONCATENATE("#Metadata!", ADDRESS(INDEX($AI$2:$AI$1001,MATCH(ROWS($AG$2:AG50),$AG$2:$AG$1001,0),0), INDEX($AN$1004:$BO$1004,1,MATCH(COLUMNS($AN$1006:BI1006),$AN$1006:$BO$1006,0)))),"Fix")))</f>
        <v>0</v>
      </c>
      <c r="X50" s="4">
        <f>IF(OR(INDEX($AH$2:$AH$1001,MATCH(ROWS($AG$2:AG50),$AG$2:$AG$1001,0),1)&gt;=100000,INDEX($AN$1005:$BO$1005,1,MATCH(COLUMNS($AN$1006:BJ1006),$AN$1006:$BO$1006,0))&gt;=100000), " ",IF(INDEX($AN$2:$BO$1001,MATCH(ROWS($AG$2:AG50),$AG$2:$AG$1001,0),MATCH(COLUMNS($AN$1006:BJ1006),$AN$1006:$BO$1006,0)), HYPERLINK("#",""), HYPERLINK(CONCATENATE("#Metadata!", ADDRESS(INDEX($AI$2:$AI$1001,MATCH(ROWS($AG$2:AG50),$AG$2:$AG$1001,0),0), INDEX($AN$1004:$BO$1004,1,MATCH(COLUMNS($AN$1006:BJ1006),$AN$1006:$BO$1006,0)))),"Fix")))</f>
        <v>0</v>
      </c>
      <c r="Y50" s="4">
        <f>IF(OR(INDEX($AH$2:$AH$1001,MATCH(ROWS($AG$2:AG50),$AG$2:$AG$1001,0),1)&gt;=100000,INDEX($AN$1005:$BO$1005,1,MATCH(COLUMNS($AN$1006:BK1006),$AN$1006:$BO$1006,0))&gt;=100000), " ",IF(INDEX($AN$2:$BO$1001,MATCH(ROWS($AG$2:AG50),$AG$2:$AG$1001,0),MATCH(COLUMNS($AN$1006:BK1006),$AN$1006:$BO$1006,0)), HYPERLINK("#",""), HYPERLINK(CONCATENATE("#Metadata!", ADDRESS(INDEX($AI$2:$AI$1001,MATCH(ROWS($AG$2:AG50),$AG$2:$AG$1001,0),0), INDEX($AN$1004:$BO$1004,1,MATCH(COLUMNS($AN$1006:BK1006),$AN$1006:$BO$1006,0)))),"Fix")))</f>
        <v>0</v>
      </c>
      <c r="Z50" s="4">
        <f>IF(OR(INDEX($AH$2:$AH$1001,MATCH(ROWS($AG$2:AG50),$AG$2:$AG$1001,0),1)&gt;=100000,INDEX($AN$1005:$BO$1005,1,MATCH(COLUMNS($AN$1006:BL1006),$AN$1006:$BO$1006,0))&gt;=100000), " ",IF(INDEX($AN$2:$BO$1001,MATCH(ROWS($AG$2:AG50),$AG$2:$AG$1001,0),MATCH(COLUMNS($AN$1006:BL1006),$AN$1006:$BO$1006,0)), HYPERLINK("#",""), HYPERLINK(CONCATENATE("#Metadata!", ADDRESS(INDEX($AI$2:$AI$1001,MATCH(ROWS($AG$2:AG50),$AG$2:$AG$1001,0),0), INDEX($AN$1004:$BO$1004,1,MATCH(COLUMNS($AN$1006:BL1006),$AN$1006:$BO$1006,0)))),"Fix")))</f>
        <v>0</v>
      </c>
      <c r="AA50" s="4">
        <f>IF(OR(INDEX($AH$2:$AH$1001,MATCH(ROWS($AG$2:AG50),$AG$2:$AG$1001,0),1)&gt;=100000,INDEX($AN$1005:$BO$1005,1,MATCH(COLUMNS($AN$1006:BM1006),$AN$1006:$BO$1006,0))&gt;=100000), " ",IF(INDEX($AN$2:$BO$1001,MATCH(ROWS($AG$2:AG50),$AG$2:$AG$1001,0),MATCH(COLUMNS($AN$1006:BM1006),$AN$1006:$BO$1006,0)), HYPERLINK("#",""), HYPERLINK(CONCATENATE("#Metadata!", ADDRESS(INDEX($AI$2:$AI$1001,MATCH(ROWS($AG$2:AG50),$AG$2:$AG$1001,0),0), INDEX($AN$1004:$BO$1004,1,MATCH(COLUMNS($AN$1006:BM1006),$AN$1006:$BO$1006,0)))),"Fix")))</f>
        <v>0</v>
      </c>
      <c r="AB50" s="4">
        <f>IF(OR(INDEX($AH$2:$AH$1001,MATCH(ROWS($AG$2:AG50),$AG$2:$AG$1001,0),1)&gt;=100000,INDEX($AN$1005:$BO$1005,1,MATCH(COLUMNS($AN$1006:BN1006),$AN$1006:$BO$1006,0))&gt;=100000), " ",IF(INDEX($AN$2:$BO$1001,MATCH(ROWS($AG$2:AG50),$AG$2:$AG$1001,0),MATCH(COLUMNS($AN$1006:BN1006),$AN$1006:$BO$1006,0)), HYPERLINK("#",""), HYPERLINK(CONCATENATE("#Metadata!", ADDRESS(INDEX($AI$2:$AI$1001,MATCH(ROWS($AG$2:AG50),$AG$2:$AG$1001,0),0), INDEX($AN$1004:$BO$1004,1,MATCH(COLUMNS($AN$1006:BN1006),$AN$1006:$BO$1006,0)))),"Fix")))</f>
        <v>0</v>
      </c>
      <c r="AC50" s="4">
        <f>IF(OR(INDEX($AH$2:$AH$1001,MATCH(ROWS($AG$2:AG50),$AG$2:$AG$1001,0),1)&gt;=100000,INDEX($AN$1005:$BO$1005,1,MATCH(COLUMNS($AN$1006:BO1006),$AN$1006:$BO$1006,0))&gt;=100000), " ",IF(INDEX($AN$2:$BO$1001,MATCH(ROWS($AG$2:AG50),$AG$2:$AG$1001,0),MATCH(COLUMNS($AN$1006:BO1006),$AN$1006:$BO$1006,0)), HYPERLINK("#",""), HYPERLINK(CONCATENATE("#Metadata!", ADDRESS(INDEX($AI$2:$AI$1001,MATCH(ROWS($AG$2:AG50),$AG$2:$AG$1001,0),0), INDEX($AN$1004:$BO$1004,1,MATCH(COLUMNS($AN$1006:BO1006),$AN$1006:$BO$1006,0)))),"Fix")))</f>
        <v>0</v>
      </c>
      <c r="AG50">
        <v>0</v>
      </c>
      <c r="AH50">
        <v>0</v>
      </c>
      <c r="AI50">
        <v>0</v>
      </c>
      <c r="AJ50">
        <f>IF(AK50,TRUE,AND(AN50:BO50))</f>
        <v>0</v>
      </c>
      <c r="AK50">
        <f>COUNTBLANK(Metadata!B50:AC50)=COLUMNS(Metadata!B50:AC50)</f>
        <v>0</v>
      </c>
      <c r="AL50">
        <v>0</v>
      </c>
      <c r="AN50">
        <f>AND(IF(Metadata!B50="",FALSE,TRUE),COUNTIF(Metadata!B:B, Metadata!B50) = 1,NOT(ISERROR(SUMPRODUCT(SEARCH(MID(Metadata!B50,ROW(INDIRECT("1:"&amp;LEN(Metadata!B50))), 1),"0123456789abcdefghijklmnopqrstuvwxyzABCDEFGHIJKLMNOPQRSTUVWXYZ.")))))</f>
        <v>0</v>
      </c>
      <c r="AO50">
        <f>IF(Metadata!C50="",FALSE,TRUE)</f>
        <v>0</v>
      </c>
      <c r="AP50">
        <f>IF(Metadata!D50="",FALSE,TRUE)</f>
        <v>0</v>
      </c>
      <c r="AQ50">
        <f>OR(AND(IF(Metadata!E50="",FALSE,TRUE),OR(exact(Metadata!E50,"not collected"),exact(Metadata!E50,"not provided"),exact(Metadata!E50,"restricted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R50">
        <f>IF(Metadata!F50="",FALSE,TRUE)</f>
        <v>0</v>
      </c>
      <c r="AS50">
        <f>OR(AND(IF(Metadata!G50="",FALSE,TRUE),OR(exact(Metadata!G50,"not collected"),exact(Metadata!G50,"not provided"))),AND(IF(Metadata!G50="",FALSE,TRUE),OR(exact(Metadata!G50,"TRUE"),exact(Metadata!G50,"FALSE"))))</f>
        <v>0</v>
      </c>
      <c r="AT50">
        <f>OR(AND(IF(Metadata!H50="",FALSE,TRUE),OR(exact(Metadata!H50,"not collected"),exact(Metadata!H50,"not provided"),exact(Metadata!H50,"restricted access"))),AND(IF(Metadata!H50="",FALSE,ISNUMBER(VALUE(Metadata!H50))),Metadata!H50&gt;=-413.0))</f>
        <v>0</v>
      </c>
      <c r="AU50">
        <f>AND(IF(Metadata!I50="",FALSE,TRUE),exact(Metadata!I50,"meters"))</f>
        <v>0</v>
      </c>
      <c r="AV50">
        <f>AND(IF(Metadata!J50="",FALSE,TRUE),OR(exact(Metadata!J50,"Host-associated"),exact(Metadata!J50,"Free-living")))</f>
        <v>0</v>
      </c>
      <c r="AW50">
        <f>AND(IF(Metadata!K50="",FALSE,TRUE),OR(exact(Metadata!K50,"Animal"),exact(Metadata!K50,"Fungus"),exact(Metadata!K50,"Plant"),exact(Metadata!K50,"Saline"),exact(Metadata!K50,"Non-saline")))</f>
        <v>0</v>
      </c>
      <c r="AX50">
        <f>AND(IF(Metadata!L50="",FALSE,TRUE),OR(exact(Metadata!L50,"Plant secretion"),exact(Metadata!L50,"Plant rhizosphere"),exact(Metadata!L50,"Plant surface"),exact(Metadata!L50,"Plant corpus"),exact(Metadata!L50,"Fungus surface"),exact(Metadata!L50,"Fungus corpus"),exact(Metadata!L50,"Animal surface"),exact(Metadata!L50,"Animal proximal gut"),exact(Metadata!L50,"Animal corpus"),exact(Metadata!L50,"Animal distal gut"),exact(Metadata!L50,"Animal secretion"),exact(Metadata!L50,"Sub-surface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0</v>
      </c>
      <c r="AY50">
        <f>IF(Metadata!M50="",FALSE,TRUE)</f>
        <v>0</v>
      </c>
      <c r="AZ50">
        <f>IF(Metadata!N50="",FALSE,TRUE)</f>
        <v>0</v>
      </c>
      <c r="BA50">
        <f>IF(Metadata!O50="",FALSE,TRUE)</f>
        <v>0</v>
      </c>
      <c r="BB50">
        <f>OR(AND(IF(Metadata!P50="",FALSE,TRUE),OR(exact(Metadata!P50,"not collected"),exact(Metadata!P50,"not provided"),exact(Metadata!P50,"restricted access"))),AND(IF(Metadata!P50="",FALSE,TRUE),OR(exact(Metadata!P50,"air"),exact(Metadata!P50,"built environment"),exact(Metadata!P50,"host-associated"),exact(Metadata!P50,"human-associated"),exact(Metadata!P50,"human-skin"),exact(Metadata!P50,"human-oral"),exact(Metadata!P50,"human-gut"),exact(Metadata!P50,"human-vaginal"),exact(Metadata!P50,"microbial mat/biofilm"),exact(Metadata!P50,"misc environment"),exact(Metadata!P50,"plant-associated"),exact(Metadata!P50,"sediment"),exact(Metadata!P50,"soil"),exact(Metadata!P50,"wastewater/sludge"),exact(Metadata!P50,"water"))))</f>
        <v>0</v>
      </c>
      <c r="BC50">
        <f>IF(Metadata!Q50="",FALSE,TRUE)</f>
        <v>0</v>
      </c>
      <c r="BD50">
        <f>IF(Metadata!R50="",FALSE,TRUE)</f>
        <v>0</v>
      </c>
      <c r="BE50">
        <f>OR(AND(IF(Metadata!S50="",FALSE,TRUE),OR(exact(Metadata!S50,"not collected"),exact(Metadata!S50,"not provided"),exact(Metadata!S50,"restricted access"))),AND(IF(Metadata!S50="",FALSE,ISNUMBER(VALUE(Metadata!S50))),Metadata!S50&gt;=-90.00,Metadata!S50&lt;=90.00))</f>
        <v>0</v>
      </c>
      <c r="BF50">
        <f>AND(IF(Metadata!T50="",FALSE,TRUE),exact(Metadata!T50,"Decimal degrees"))</f>
        <v>0</v>
      </c>
      <c r="BG50">
        <f>OR(AND(IF(Metadata!U50="",FALSE,TRUE),OR(exact(Metadata!U50,"not collected"),exact(Metadata!U50,"not provided"),exact(Metadata!U50,"restricted access"))),AND(IF(Metadata!U50="",FALSE,ISNUMBER(VALUE(Metadata!U50))),Metadata!U50&gt;=-180.00,Metadata!U50&lt;=180.00))</f>
        <v>0</v>
      </c>
      <c r="BH50">
        <f>AND(IF(Metadata!V50="",FALSE,TRUE),exact(Metadata!V50,"Decimal degrees"))</f>
        <v>0</v>
      </c>
      <c r="BI50">
        <f>IF(Metadata!W50="",FALSE,TRUE)</f>
        <v>0</v>
      </c>
      <c r="BJ50">
        <f>OR(AND(IF(Metadata!X50="",FALSE,TRUE),OR(exact(Metadata!X50,"not collected"),exact(Metadata!X50,"not provided"),exact(Metadata!X50,"restricted access"))),AND(IF(Metadata!X50="",FALSE,TRUE),OR(exact(Metadata!X50,"TRUE"),exact(Metadata!X50,"FALSE"))))</f>
        <v>0</v>
      </c>
      <c r="BK50">
        <f>AND(IF(Metadata!Y50="",FALSE,TRUE),exact(Metadata!Y50,"other"))</f>
        <v>0</v>
      </c>
      <c r="BL50">
        <f>IF(Metadata!Z50="",FALSE,TRUE)</f>
        <v>0</v>
      </c>
      <c r="BM50">
        <f>OR(AND(IF(Metadata!AA50="",FALSE,TRUE),OR(exact(Metadata!AA50,"not collected"),exact(Metadata!AA50,"not provided"))),AND(IF(Metadata!AA50="",FALSE,IF(ISERROR(INT(Metadata!AA50)),FALSE,INT(Metadata!AA50)=Metadata!AA50)),Metadata!AA50&gt;0))</f>
        <v>0</v>
      </c>
      <c r="BN50">
        <f>AND(IF(Metadata!AB50="",FALSE,TRUE),exact(Metadata!AB50,"Not applicable"))</f>
        <v>0</v>
      </c>
      <c r="BO50">
        <f>IF(Metadata!AC50="",FALSE,TRUE)</f>
        <v>0</v>
      </c>
    </row>
    <row r="51" spans="1:67">
      <c r="A51" s="5">
        <f>IF(B51=" "," ",HYPERLINK(CONCATENATE("#metadata!",ADDRESS(INDEX($AI$2:$AI$1001,MATCH(ROWS($AG$2:AG51),$AG$2:$AG$1001,0),0),1)),INDEX($AL$2:$AL$1001,MATCH(ROWS($AG$2:AG51),$AG$2:$AG$1001,0),0)))</f>
        <v>0</v>
      </c>
      <c r="B51" s="4">
        <f>IF(OR(INDEX($AH$2:$AH$1001,MATCH(ROWS($AG$2:AG51),$AG$2:$AG$1001,0),1)&gt;=100000,INDEX($AN$1005:$BO$1005,1,MATCH(COLUMNS($AN$1006:AN1006),$AN$1006:$BO$1006,0))&gt;=100000), " ",IF(INDEX($AN$2:$BO$1001,MATCH(ROWS($AG$2:AG51),$AG$2:$AG$1001,0),MATCH(COLUMNS($AN$1006:AN1006),$AN$1006:$BO$1006,0)), HYPERLINK("#",""), HYPERLINK(CONCATENATE("#Metadata!", ADDRESS(INDEX($AI$2:$AI$1001,MATCH(ROWS($AG$2:AG51),$AG$2:$AG$1001,0),0), INDEX($AN$1004:$BO$1004,1,MATCH(COLUMNS($AN$1006:AN1006),$AN$1006:$BO$1006,0)))),"Fix")))</f>
        <v>0</v>
      </c>
      <c r="C51" s="4">
        <f>IF(OR(INDEX($AH$2:$AH$1001,MATCH(ROWS($AG$2:AG51),$AG$2:$AG$1001,0),1)&gt;=100000,INDEX($AN$1005:$BO$1005,1,MATCH(COLUMNS($AN$1006:AO1006),$AN$1006:$BO$1006,0))&gt;=100000), " ",IF(INDEX($AN$2:$BO$1001,MATCH(ROWS($AG$2:AG51),$AG$2:$AG$1001,0),MATCH(COLUMNS($AN$1006:AO1006),$AN$1006:$BO$1006,0)), HYPERLINK("#",""), HYPERLINK(CONCATENATE("#Metadata!", ADDRESS(INDEX($AI$2:$AI$1001,MATCH(ROWS($AG$2:AG51),$AG$2:$AG$1001,0),0), INDEX($AN$1004:$BO$1004,1,MATCH(COLUMNS($AN$1006:AO1006),$AN$1006:$BO$1006,0)))),"Fix")))</f>
        <v>0</v>
      </c>
      <c r="D51" s="4">
        <f>IF(OR(INDEX($AH$2:$AH$1001,MATCH(ROWS($AG$2:AG51),$AG$2:$AG$1001,0),1)&gt;=100000,INDEX($AN$1005:$BO$1005,1,MATCH(COLUMNS($AN$1006:AP1006),$AN$1006:$BO$1006,0))&gt;=100000), " ",IF(INDEX($AN$2:$BO$1001,MATCH(ROWS($AG$2:AG51),$AG$2:$AG$1001,0),MATCH(COLUMNS($AN$1006:AP1006),$AN$1006:$BO$1006,0)), HYPERLINK("#",""), HYPERLINK(CONCATENATE("#Metadata!", ADDRESS(INDEX($AI$2:$AI$1001,MATCH(ROWS($AG$2:AG51),$AG$2:$AG$1001,0),0), INDEX($AN$1004:$BO$1004,1,MATCH(COLUMNS($AN$1006:AP1006),$AN$1006:$BO$1006,0)))),"Fix")))</f>
        <v>0</v>
      </c>
      <c r="E51" s="4">
        <f>IF(OR(INDEX($AH$2:$AH$1001,MATCH(ROWS($AG$2:AG51),$AG$2:$AG$1001,0),1)&gt;=100000,INDEX($AN$1005:$BO$1005,1,MATCH(COLUMNS($AN$1006:AQ1006),$AN$1006:$BO$1006,0))&gt;=100000), " ",IF(INDEX($AN$2:$BO$1001,MATCH(ROWS($AG$2:AG51),$AG$2:$AG$1001,0),MATCH(COLUMNS($AN$1006:AQ1006),$AN$1006:$BO$1006,0)), HYPERLINK("#",""), HYPERLINK(CONCATENATE("#Metadata!", ADDRESS(INDEX($AI$2:$AI$1001,MATCH(ROWS($AG$2:AG51),$AG$2:$AG$1001,0),0), INDEX($AN$1004:$BO$1004,1,MATCH(COLUMNS($AN$1006:AQ1006),$AN$1006:$BO$1006,0)))),"Fix")))</f>
        <v>0</v>
      </c>
      <c r="F51" s="4">
        <f>IF(OR(INDEX($AH$2:$AH$1001,MATCH(ROWS($AG$2:AG51),$AG$2:$AG$1001,0),1)&gt;=100000,INDEX($AN$1005:$BO$1005,1,MATCH(COLUMNS($AN$1006:AR1006),$AN$1006:$BO$1006,0))&gt;=100000), " ",IF(INDEX($AN$2:$BO$1001,MATCH(ROWS($AG$2:AG51),$AG$2:$AG$1001,0),MATCH(COLUMNS($AN$1006:AR1006),$AN$1006:$BO$1006,0)), HYPERLINK("#",""), HYPERLINK(CONCATENATE("#Metadata!", ADDRESS(INDEX($AI$2:$AI$1001,MATCH(ROWS($AG$2:AG51),$AG$2:$AG$1001,0),0), INDEX($AN$1004:$BO$1004,1,MATCH(COLUMNS($AN$1006:AR1006),$AN$1006:$BO$1006,0)))),"Fix")))</f>
        <v>0</v>
      </c>
      <c r="G51" s="4">
        <f>IF(OR(INDEX($AH$2:$AH$1001,MATCH(ROWS($AG$2:AG51),$AG$2:$AG$1001,0),1)&gt;=100000,INDEX($AN$1005:$BO$1005,1,MATCH(COLUMNS($AN$1006:AS1006),$AN$1006:$BO$1006,0))&gt;=100000), " ",IF(INDEX($AN$2:$BO$1001,MATCH(ROWS($AG$2:AG51),$AG$2:$AG$1001,0),MATCH(COLUMNS($AN$1006:AS1006),$AN$1006:$BO$1006,0)), HYPERLINK("#",""), HYPERLINK(CONCATENATE("#Metadata!", ADDRESS(INDEX($AI$2:$AI$1001,MATCH(ROWS($AG$2:AG51),$AG$2:$AG$1001,0),0), INDEX($AN$1004:$BO$1004,1,MATCH(COLUMNS($AN$1006:AS1006),$AN$1006:$BO$1006,0)))),"Fix")))</f>
        <v>0</v>
      </c>
      <c r="H51" s="4">
        <f>IF(OR(INDEX($AH$2:$AH$1001,MATCH(ROWS($AG$2:AG51),$AG$2:$AG$1001,0),1)&gt;=100000,INDEX($AN$1005:$BO$1005,1,MATCH(COLUMNS($AN$1006:AT1006),$AN$1006:$BO$1006,0))&gt;=100000), " ",IF(INDEX($AN$2:$BO$1001,MATCH(ROWS($AG$2:AG51),$AG$2:$AG$1001,0),MATCH(COLUMNS($AN$1006:AT1006),$AN$1006:$BO$1006,0)), HYPERLINK("#",""), HYPERLINK(CONCATENATE("#Metadata!", ADDRESS(INDEX($AI$2:$AI$1001,MATCH(ROWS($AG$2:AG51),$AG$2:$AG$1001,0),0), INDEX($AN$1004:$BO$1004,1,MATCH(COLUMNS($AN$1006:AT1006),$AN$1006:$BO$1006,0)))),"Fix")))</f>
        <v>0</v>
      </c>
      <c r="I51" s="4">
        <f>IF(OR(INDEX($AH$2:$AH$1001,MATCH(ROWS($AG$2:AG51),$AG$2:$AG$1001,0),1)&gt;=100000,INDEX($AN$1005:$BO$1005,1,MATCH(COLUMNS($AN$1006:AU1006),$AN$1006:$BO$1006,0))&gt;=100000), " ",IF(INDEX($AN$2:$BO$1001,MATCH(ROWS($AG$2:AG51),$AG$2:$AG$1001,0),MATCH(COLUMNS($AN$1006:AU1006),$AN$1006:$BO$1006,0)), HYPERLINK("#",""), HYPERLINK(CONCATENATE("#Metadata!", ADDRESS(INDEX($AI$2:$AI$1001,MATCH(ROWS($AG$2:AG51),$AG$2:$AG$1001,0),0), INDEX($AN$1004:$BO$1004,1,MATCH(COLUMNS($AN$1006:AU1006),$AN$1006:$BO$1006,0)))),"Fix")))</f>
        <v>0</v>
      </c>
      <c r="J51" s="4">
        <f>IF(OR(INDEX($AH$2:$AH$1001,MATCH(ROWS($AG$2:AG51),$AG$2:$AG$1001,0),1)&gt;=100000,INDEX($AN$1005:$BO$1005,1,MATCH(COLUMNS($AN$1006:AV1006),$AN$1006:$BO$1006,0))&gt;=100000), " ",IF(INDEX($AN$2:$BO$1001,MATCH(ROWS($AG$2:AG51),$AG$2:$AG$1001,0),MATCH(COLUMNS($AN$1006:AV1006),$AN$1006:$BO$1006,0)), HYPERLINK("#",""), HYPERLINK(CONCATENATE("#Metadata!", ADDRESS(INDEX($AI$2:$AI$1001,MATCH(ROWS($AG$2:AG51),$AG$2:$AG$1001,0),0), INDEX($AN$1004:$BO$1004,1,MATCH(COLUMNS($AN$1006:AV1006),$AN$1006:$BO$1006,0)))),"Fix")))</f>
        <v>0</v>
      </c>
      <c r="K51" s="4">
        <f>IF(OR(INDEX($AH$2:$AH$1001,MATCH(ROWS($AG$2:AG51),$AG$2:$AG$1001,0),1)&gt;=100000,INDEX($AN$1005:$BO$1005,1,MATCH(COLUMNS($AN$1006:AW1006),$AN$1006:$BO$1006,0))&gt;=100000), " ",IF(INDEX($AN$2:$BO$1001,MATCH(ROWS($AG$2:AG51),$AG$2:$AG$1001,0),MATCH(COLUMNS($AN$1006:AW1006),$AN$1006:$BO$1006,0)), HYPERLINK("#",""), HYPERLINK(CONCATENATE("#Metadata!", ADDRESS(INDEX($AI$2:$AI$1001,MATCH(ROWS($AG$2:AG51),$AG$2:$AG$1001,0),0), INDEX($AN$1004:$BO$1004,1,MATCH(COLUMNS($AN$1006:AW1006),$AN$1006:$BO$1006,0)))),"Fix")))</f>
        <v>0</v>
      </c>
      <c r="L51" s="4">
        <f>IF(OR(INDEX($AH$2:$AH$1001,MATCH(ROWS($AG$2:AG51),$AG$2:$AG$1001,0),1)&gt;=100000,INDEX($AN$1005:$BO$1005,1,MATCH(COLUMNS($AN$1006:AX1006),$AN$1006:$BO$1006,0))&gt;=100000), " ",IF(INDEX($AN$2:$BO$1001,MATCH(ROWS($AG$2:AG51),$AG$2:$AG$1001,0),MATCH(COLUMNS($AN$1006:AX1006),$AN$1006:$BO$1006,0)), HYPERLINK("#",""), HYPERLINK(CONCATENATE("#Metadata!", ADDRESS(INDEX($AI$2:$AI$1001,MATCH(ROWS($AG$2:AG51),$AG$2:$AG$1001,0),0), INDEX($AN$1004:$BO$1004,1,MATCH(COLUMNS($AN$1006:AX1006),$AN$1006:$BO$1006,0)))),"Fix")))</f>
        <v>0</v>
      </c>
      <c r="M51" s="4">
        <f>IF(OR(INDEX($AH$2:$AH$1001,MATCH(ROWS($AG$2:AG51),$AG$2:$AG$1001,0),1)&gt;=100000,INDEX($AN$1005:$BO$1005,1,MATCH(COLUMNS($AN$1006:AY1006),$AN$1006:$BO$1006,0))&gt;=100000), " ",IF(INDEX($AN$2:$BO$1001,MATCH(ROWS($AG$2:AG51),$AG$2:$AG$1001,0),MATCH(COLUMNS($AN$1006:AY1006),$AN$1006:$BO$1006,0)), HYPERLINK("#",""), HYPERLINK(CONCATENATE("#Metadata!", ADDRESS(INDEX($AI$2:$AI$1001,MATCH(ROWS($AG$2:AG51),$AG$2:$AG$1001,0),0), INDEX($AN$1004:$BO$1004,1,MATCH(COLUMNS($AN$1006:AY1006),$AN$1006:$BO$1006,0)))),"Fix")))</f>
        <v>0</v>
      </c>
      <c r="N51" s="4">
        <f>IF(OR(INDEX($AH$2:$AH$1001,MATCH(ROWS($AG$2:AG51),$AG$2:$AG$1001,0),1)&gt;=100000,INDEX($AN$1005:$BO$1005,1,MATCH(COLUMNS($AN$1006:AZ1006),$AN$1006:$BO$1006,0))&gt;=100000), " ",IF(INDEX($AN$2:$BO$1001,MATCH(ROWS($AG$2:AG51),$AG$2:$AG$1001,0),MATCH(COLUMNS($AN$1006:AZ1006),$AN$1006:$BO$1006,0)), HYPERLINK("#",""), HYPERLINK(CONCATENATE("#Metadata!", ADDRESS(INDEX($AI$2:$AI$1001,MATCH(ROWS($AG$2:AG51),$AG$2:$AG$1001,0),0), INDEX($AN$1004:$BO$1004,1,MATCH(COLUMNS($AN$1006:AZ1006),$AN$1006:$BO$1006,0)))),"Fix")))</f>
        <v>0</v>
      </c>
      <c r="O51" s="4">
        <f>IF(OR(INDEX($AH$2:$AH$1001,MATCH(ROWS($AG$2:AG51),$AG$2:$AG$1001,0),1)&gt;=100000,INDEX($AN$1005:$BO$1005,1,MATCH(COLUMNS($AN$1006:BA1006),$AN$1006:$BO$1006,0))&gt;=100000), " ",IF(INDEX($AN$2:$BO$1001,MATCH(ROWS($AG$2:AG51),$AG$2:$AG$1001,0),MATCH(COLUMNS($AN$1006:BA1006),$AN$1006:$BO$1006,0)), HYPERLINK("#",""), HYPERLINK(CONCATENATE("#Metadata!", ADDRESS(INDEX($AI$2:$AI$1001,MATCH(ROWS($AG$2:AG51),$AG$2:$AG$1001,0),0), INDEX($AN$1004:$BO$1004,1,MATCH(COLUMNS($AN$1006:BA1006),$AN$1006:$BO$1006,0)))),"Fix")))</f>
        <v>0</v>
      </c>
      <c r="P51" s="4">
        <f>IF(OR(INDEX($AH$2:$AH$1001,MATCH(ROWS($AG$2:AG51),$AG$2:$AG$1001,0),1)&gt;=100000,INDEX($AN$1005:$BO$1005,1,MATCH(COLUMNS($AN$1006:BB1006),$AN$1006:$BO$1006,0))&gt;=100000), " ",IF(INDEX($AN$2:$BO$1001,MATCH(ROWS($AG$2:AG51),$AG$2:$AG$1001,0),MATCH(COLUMNS($AN$1006:BB1006),$AN$1006:$BO$1006,0)), HYPERLINK("#",""), HYPERLINK(CONCATENATE("#Metadata!", ADDRESS(INDEX($AI$2:$AI$1001,MATCH(ROWS($AG$2:AG51),$AG$2:$AG$1001,0),0), INDEX($AN$1004:$BO$1004,1,MATCH(COLUMNS($AN$1006:BB1006),$AN$1006:$BO$1006,0)))),"Fix")))</f>
        <v>0</v>
      </c>
      <c r="Q51" s="4">
        <f>IF(OR(INDEX($AH$2:$AH$1001,MATCH(ROWS($AG$2:AG51),$AG$2:$AG$1001,0),1)&gt;=100000,INDEX($AN$1005:$BO$1005,1,MATCH(COLUMNS($AN$1006:BC1006),$AN$1006:$BO$1006,0))&gt;=100000), " ",IF(INDEX($AN$2:$BO$1001,MATCH(ROWS($AG$2:AG51),$AG$2:$AG$1001,0),MATCH(COLUMNS($AN$1006:BC1006),$AN$1006:$BO$1006,0)), HYPERLINK("#",""), HYPERLINK(CONCATENATE("#Metadata!", ADDRESS(INDEX($AI$2:$AI$1001,MATCH(ROWS($AG$2:AG51),$AG$2:$AG$1001,0),0), INDEX($AN$1004:$BO$1004,1,MATCH(COLUMNS($AN$1006:BC1006),$AN$1006:$BO$1006,0)))),"Fix")))</f>
        <v>0</v>
      </c>
      <c r="R51" s="4">
        <f>IF(OR(INDEX($AH$2:$AH$1001,MATCH(ROWS($AG$2:AG51),$AG$2:$AG$1001,0),1)&gt;=100000,INDEX($AN$1005:$BO$1005,1,MATCH(COLUMNS($AN$1006:BD1006),$AN$1006:$BO$1006,0))&gt;=100000), " ",IF(INDEX($AN$2:$BO$1001,MATCH(ROWS($AG$2:AG51),$AG$2:$AG$1001,0),MATCH(COLUMNS($AN$1006:BD1006),$AN$1006:$BO$1006,0)), HYPERLINK("#",""), HYPERLINK(CONCATENATE("#Metadata!", ADDRESS(INDEX($AI$2:$AI$1001,MATCH(ROWS($AG$2:AG51),$AG$2:$AG$1001,0),0), INDEX($AN$1004:$BO$1004,1,MATCH(COLUMNS($AN$1006:BD1006),$AN$1006:$BO$1006,0)))),"Fix")))</f>
        <v>0</v>
      </c>
      <c r="S51" s="4">
        <f>IF(OR(INDEX($AH$2:$AH$1001,MATCH(ROWS($AG$2:AG51),$AG$2:$AG$1001,0),1)&gt;=100000,INDEX($AN$1005:$BO$1005,1,MATCH(COLUMNS($AN$1006:BE1006),$AN$1006:$BO$1006,0))&gt;=100000), " ",IF(INDEX($AN$2:$BO$1001,MATCH(ROWS($AG$2:AG51),$AG$2:$AG$1001,0),MATCH(COLUMNS($AN$1006:BE1006),$AN$1006:$BO$1006,0)), HYPERLINK("#",""), HYPERLINK(CONCATENATE("#Metadata!", ADDRESS(INDEX($AI$2:$AI$1001,MATCH(ROWS($AG$2:AG51),$AG$2:$AG$1001,0),0), INDEX($AN$1004:$BO$1004,1,MATCH(COLUMNS($AN$1006:BE1006),$AN$1006:$BO$1006,0)))),"Fix")))</f>
        <v>0</v>
      </c>
      <c r="T51" s="4">
        <f>IF(OR(INDEX($AH$2:$AH$1001,MATCH(ROWS($AG$2:AG51),$AG$2:$AG$1001,0),1)&gt;=100000,INDEX($AN$1005:$BO$1005,1,MATCH(COLUMNS($AN$1006:BF1006),$AN$1006:$BO$1006,0))&gt;=100000), " ",IF(INDEX($AN$2:$BO$1001,MATCH(ROWS($AG$2:AG51),$AG$2:$AG$1001,0),MATCH(COLUMNS($AN$1006:BF1006),$AN$1006:$BO$1006,0)), HYPERLINK("#",""), HYPERLINK(CONCATENATE("#Metadata!", ADDRESS(INDEX($AI$2:$AI$1001,MATCH(ROWS($AG$2:AG51),$AG$2:$AG$1001,0),0), INDEX($AN$1004:$BO$1004,1,MATCH(COLUMNS($AN$1006:BF1006),$AN$1006:$BO$1006,0)))),"Fix")))</f>
        <v>0</v>
      </c>
      <c r="U51" s="4">
        <f>IF(OR(INDEX($AH$2:$AH$1001,MATCH(ROWS($AG$2:AG51),$AG$2:$AG$1001,0),1)&gt;=100000,INDEX($AN$1005:$BO$1005,1,MATCH(COLUMNS($AN$1006:BG1006),$AN$1006:$BO$1006,0))&gt;=100000), " ",IF(INDEX($AN$2:$BO$1001,MATCH(ROWS($AG$2:AG51),$AG$2:$AG$1001,0),MATCH(COLUMNS($AN$1006:BG1006),$AN$1006:$BO$1006,0)), HYPERLINK("#",""), HYPERLINK(CONCATENATE("#Metadata!", ADDRESS(INDEX($AI$2:$AI$1001,MATCH(ROWS($AG$2:AG51),$AG$2:$AG$1001,0),0), INDEX($AN$1004:$BO$1004,1,MATCH(COLUMNS($AN$1006:BG1006),$AN$1006:$BO$1006,0)))),"Fix")))</f>
        <v>0</v>
      </c>
      <c r="V51" s="4">
        <f>IF(OR(INDEX($AH$2:$AH$1001,MATCH(ROWS($AG$2:AG51),$AG$2:$AG$1001,0),1)&gt;=100000,INDEX($AN$1005:$BO$1005,1,MATCH(COLUMNS($AN$1006:BH1006),$AN$1006:$BO$1006,0))&gt;=100000), " ",IF(INDEX($AN$2:$BO$1001,MATCH(ROWS($AG$2:AG51),$AG$2:$AG$1001,0),MATCH(COLUMNS($AN$1006:BH1006),$AN$1006:$BO$1006,0)), HYPERLINK("#",""), HYPERLINK(CONCATENATE("#Metadata!", ADDRESS(INDEX($AI$2:$AI$1001,MATCH(ROWS($AG$2:AG51),$AG$2:$AG$1001,0),0), INDEX($AN$1004:$BO$1004,1,MATCH(COLUMNS($AN$1006:BH1006),$AN$1006:$BO$1006,0)))),"Fix")))</f>
        <v>0</v>
      </c>
      <c r="W51" s="4">
        <f>IF(OR(INDEX($AH$2:$AH$1001,MATCH(ROWS($AG$2:AG51),$AG$2:$AG$1001,0),1)&gt;=100000,INDEX($AN$1005:$BO$1005,1,MATCH(COLUMNS($AN$1006:BI1006),$AN$1006:$BO$1006,0))&gt;=100000), " ",IF(INDEX($AN$2:$BO$1001,MATCH(ROWS($AG$2:AG51),$AG$2:$AG$1001,0),MATCH(COLUMNS($AN$1006:BI1006),$AN$1006:$BO$1006,0)), HYPERLINK("#",""), HYPERLINK(CONCATENATE("#Metadata!", ADDRESS(INDEX($AI$2:$AI$1001,MATCH(ROWS($AG$2:AG51),$AG$2:$AG$1001,0),0), INDEX($AN$1004:$BO$1004,1,MATCH(COLUMNS($AN$1006:BI1006),$AN$1006:$BO$1006,0)))),"Fix")))</f>
        <v>0</v>
      </c>
      <c r="X51" s="4">
        <f>IF(OR(INDEX($AH$2:$AH$1001,MATCH(ROWS($AG$2:AG51),$AG$2:$AG$1001,0),1)&gt;=100000,INDEX($AN$1005:$BO$1005,1,MATCH(COLUMNS($AN$1006:BJ1006),$AN$1006:$BO$1006,0))&gt;=100000), " ",IF(INDEX($AN$2:$BO$1001,MATCH(ROWS($AG$2:AG51),$AG$2:$AG$1001,0),MATCH(COLUMNS($AN$1006:BJ1006),$AN$1006:$BO$1006,0)), HYPERLINK("#",""), HYPERLINK(CONCATENATE("#Metadata!", ADDRESS(INDEX($AI$2:$AI$1001,MATCH(ROWS($AG$2:AG51),$AG$2:$AG$1001,0),0), INDEX($AN$1004:$BO$1004,1,MATCH(COLUMNS($AN$1006:BJ1006),$AN$1006:$BO$1006,0)))),"Fix")))</f>
        <v>0</v>
      </c>
      <c r="Y51" s="4">
        <f>IF(OR(INDEX($AH$2:$AH$1001,MATCH(ROWS($AG$2:AG51),$AG$2:$AG$1001,0),1)&gt;=100000,INDEX($AN$1005:$BO$1005,1,MATCH(COLUMNS($AN$1006:BK1006),$AN$1006:$BO$1006,0))&gt;=100000), " ",IF(INDEX($AN$2:$BO$1001,MATCH(ROWS($AG$2:AG51),$AG$2:$AG$1001,0),MATCH(COLUMNS($AN$1006:BK1006),$AN$1006:$BO$1006,0)), HYPERLINK("#",""), HYPERLINK(CONCATENATE("#Metadata!", ADDRESS(INDEX($AI$2:$AI$1001,MATCH(ROWS($AG$2:AG51),$AG$2:$AG$1001,0),0), INDEX($AN$1004:$BO$1004,1,MATCH(COLUMNS($AN$1006:BK1006),$AN$1006:$BO$1006,0)))),"Fix")))</f>
        <v>0</v>
      </c>
      <c r="Z51" s="4">
        <f>IF(OR(INDEX($AH$2:$AH$1001,MATCH(ROWS($AG$2:AG51),$AG$2:$AG$1001,0),1)&gt;=100000,INDEX($AN$1005:$BO$1005,1,MATCH(COLUMNS($AN$1006:BL1006),$AN$1006:$BO$1006,0))&gt;=100000), " ",IF(INDEX($AN$2:$BO$1001,MATCH(ROWS($AG$2:AG51),$AG$2:$AG$1001,0),MATCH(COLUMNS($AN$1006:BL1006),$AN$1006:$BO$1006,0)), HYPERLINK("#",""), HYPERLINK(CONCATENATE("#Metadata!", ADDRESS(INDEX($AI$2:$AI$1001,MATCH(ROWS($AG$2:AG51),$AG$2:$AG$1001,0),0), INDEX($AN$1004:$BO$1004,1,MATCH(COLUMNS($AN$1006:BL1006),$AN$1006:$BO$1006,0)))),"Fix")))</f>
        <v>0</v>
      </c>
      <c r="AA51" s="4">
        <f>IF(OR(INDEX($AH$2:$AH$1001,MATCH(ROWS($AG$2:AG51),$AG$2:$AG$1001,0),1)&gt;=100000,INDEX($AN$1005:$BO$1005,1,MATCH(COLUMNS($AN$1006:BM1006),$AN$1006:$BO$1006,0))&gt;=100000), " ",IF(INDEX($AN$2:$BO$1001,MATCH(ROWS($AG$2:AG51),$AG$2:$AG$1001,0),MATCH(COLUMNS($AN$1006:BM1006),$AN$1006:$BO$1006,0)), HYPERLINK("#",""), HYPERLINK(CONCATENATE("#Metadata!", ADDRESS(INDEX($AI$2:$AI$1001,MATCH(ROWS($AG$2:AG51),$AG$2:$AG$1001,0),0), INDEX($AN$1004:$BO$1004,1,MATCH(COLUMNS($AN$1006:BM1006),$AN$1006:$BO$1006,0)))),"Fix")))</f>
        <v>0</v>
      </c>
      <c r="AB51" s="4">
        <f>IF(OR(INDEX($AH$2:$AH$1001,MATCH(ROWS($AG$2:AG51),$AG$2:$AG$1001,0),1)&gt;=100000,INDEX($AN$1005:$BO$1005,1,MATCH(COLUMNS($AN$1006:BN1006),$AN$1006:$BO$1006,0))&gt;=100000), " ",IF(INDEX($AN$2:$BO$1001,MATCH(ROWS($AG$2:AG51),$AG$2:$AG$1001,0),MATCH(COLUMNS($AN$1006:BN1006),$AN$1006:$BO$1006,0)), HYPERLINK("#",""), HYPERLINK(CONCATENATE("#Metadata!", ADDRESS(INDEX($AI$2:$AI$1001,MATCH(ROWS($AG$2:AG51),$AG$2:$AG$1001,0),0), INDEX($AN$1004:$BO$1004,1,MATCH(COLUMNS($AN$1006:BN1006),$AN$1006:$BO$1006,0)))),"Fix")))</f>
        <v>0</v>
      </c>
      <c r="AC51" s="4">
        <f>IF(OR(INDEX($AH$2:$AH$1001,MATCH(ROWS($AG$2:AG51),$AG$2:$AG$1001,0),1)&gt;=100000,INDEX($AN$1005:$BO$1005,1,MATCH(COLUMNS($AN$1006:BO1006),$AN$1006:$BO$1006,0))&gt;=100000), " ",IF(INDEX($AN$2:$BO$1001,MATCH(ROWS($AG$2:AG51),$AG$2:$AG$1001,0),MATCH(COLUMNS($AN$1006:BO1006),$AN$1006:$BO$1006,0)), HYPERLINK("#",""), HYPERLINK(CONCATENATE("#Metadata!", ADDRESS(INDEX($AI$2:$AI$1001,MATCH(ROWS($AG$2:AG51),$AG$2:$AG$1001,0),0), INDEX($AN$1004:$BO$1004,1,MATCH(COLUMNS($AN$1006:BO1006),$AN$1006:$BO$1006,0)))),"Fix")))</f>
        <v>0</v>
      </c>
      <c r="AG51">
        <v>0</v>
      </c>
      <c r="AH51">
        <v>0</v>
      </c>
      <c r="AI51">
        <v>0</v>
      </c>
      <c r="AJ51">
        <f>IF(AK51,TRUE,AND(AN51:BO51))</f>
        <v>0</v>
      </c>
      <c r="AK51">
        <f>COUNTBLANK(Metadata!B51:AC51)=COLUMNS(Metadata!B51:AC51)</f>
        <v>0</v>
      </c>
      <c r="AL51">
        <v>0</v>
      </c>
      <c r="AN51">
        <f>AND(IF(Metadata!B51="",FALSE,TRUE),COUNTIF(Metadata!B:B, Metadata!B51) = 1,NOT(ISERROR(SUMPRODUCT(SEARCH(MID(Metadata!B51,ROW(INDIRECT("1:"&amp;LEN(Metadata!B51))), 1),"0123456789abcdefghijklmnopqrstuvwxyzABCDEFGHIJKLMNOPQRSTUVWXYZ.")))))</f>
        <v>0</v>
      </c>
      <c r="AO51">
        <f>IF(Metadata!C51="",FALSE,TRUE)</f>
        <v>0</v>
      </c>
      <c r="AP51">
        <f>IF(Metadata!D51="",FALSE,TRUE)</f>
        <v>0</v>
      </c>
      <c r="AQ51">
        <f>OR(AND(IF(Metadata!E51="",FALSE,TRUE),OR(exact(Metadata!E51,"not collected"),exact(Metadata!E51,"not provided"),exact(Metadata!E51,"restricted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R51">
        <f>IF(Metadata!F51="",FALSE,TRUE)</f>
        <v>0</v>
      </c>
      <c r="AS51">
        <f>OR(AND(IF(Metadata!G51="",FALSE,TRUE),OR(exact(Metadata!G51,"not collected"),exact(Metadata!G51,"not provided"))),AND(IF(Metadata!G51="",FALSE,TRUE),OR(exact(Metadata!G51,"TRUE"),exact(Metadata!G51,"FALSE"))))</f>
        <v>0</v>
      </c>
      <c r="AT51">
        <f>OR(AND(IF(Metadata!H51="",FALSE,TRUE),OR(exact(Metadata!H51,"not collected"),exact(Metadata!H51,"not provided"),exact(Metadata!H51,"restricted access"))),AND(IF(Metadata!H51="",FALSE,ISNUMBER(VALUE(Metadata!H51))),Metadata!H51&gt;=-413.0))</f>
        <v>0</v>
      </c>
      <c r="AU51">
        <f>AND(IF(Metadata!I51="",FALSE,TRUE),exact(Metadata!I51,"meters"))</f>
        <v>0</v>
      </c>
      <c r="AV51">
        <f>AND(IF(Metadata!J51="",FALSE,TRUE),OR(exact(Metadata!J51,"Host-associated"),exact(Metadata!J51,"Free-living")))</f>
        <v>0</v>
      </c>
      <c r="AW51">
        <f>AND(IF(Metadata!K51="",FALSE,TRUE),OR(exact(Metadata!K51,"Animal"),exact(Metadata!K51,"Fungus"),exact(Metadata!K51,"Plant"),exact(Metadata!K51,"Saline"),exact(Metadata!K51,"Non-saline")))</f>
        <v>0</v>
      </c>
      <c r="AX51">
        <f>AND(IF(Metadata!L51="",FALSE,TRUE),OR(exact(Metadata!L51,"Plant secretion"),exact(Metadata!L51,"Plant rhizosphere"),exact(Metadata!L51,"Plant surface"),exact(Metadata!L51,"Plant corpus"),exact(Metadata!L51,"Fungus surface"),exact(Metadata!L51,"Fungus corpus"),exact(Metadata!L51,"Animal surface"),exact(Metadata!L51,"Animal proximal gut"),exact(Metadata!L51,"Animal corpus"),exact(Metadata!L51,"Animal distal gut"),exact(Metadata!L51,"Animal secretion"),exact(Metadata!L51,"Sub-surface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0</v>
      </c>
      <c r="AY51">
        <f>IF(Metadata!M51="",FALSE,TRUE)</f>
        <v>0</v>
      </c>
      <c r="AZ51">
        <f>IF(Metadata!N51="",FALSE,TRUE)</f>
        <v>0</v>
      </c>
      <c r="BA51">
        <f>IF(Metadata!O51="",FALSE,TRUE)</f>
        <v>0</v>
      </c>
      <c r="BB51">
        <f>OR(AND(IF(Metadata!P51="",FALSE,TRUE),OR(exact(Metadata!P51,"not collected"),exact(Metadata!P51,"not provided"),exact(Metadata!P51,"restricted access"))),AND(IF(Metadata!P51="",FALSE,TRUE),OR(exact(Metadata!P51,"air"),exact(Metadata!P51,"built environment"),exact(Metadata!P51,"host-associated"),exact(Metadata!P51,"human-associated"),exact(Metadata!P51,"human-skin"),exact(Metadata!P51,"human-oral"),exact(Metadata!P51,"human-gut"),exact(Metadata!P51,"human-vaginal"),exact(Metadata!P51,"microbial mat/biofilm"),exact(Metadata!P51,"misc environment"),exact(Metadata!P51,"plant-associated"),exact(Metadata!P51,"sediment"),exact(Metadata!P51,"soil"),exact(Metadata!P51,"wastewater/sludge"),exact(Metadata!P51,"water"))))</f>
        <v>0</v>
      </c>
      <c r="BC51">
        <f>IF(Metadata!Q51="",FALSE,TRUE)</f>
        <v>0</v>
      </c>
      <c r="BD51">
        <f>IF(Metadata!R51="",FALSE,TRUE)</f>
        <v>0</v>
      </c>
      <c r="BE51">
        <f>OR(AND(IF(Metadata!S51="",FALSE,TRUE),OR(exact(Metadata!S51,"not collected"),exact(Metadata!S51,"not provided"),exact(Metadata!S51,"restricted access"))),AND(IF(Metadata!S51="",FALSE,ISNUMBER(VALUE(Metadata!S51))),Metadata!S51&gt;=-90.00,Metadata!S51&lt;=90.00))</f>
        <v>0</v>
      </c>
      <c r="BF51">
        <f>AND(IF(Metadata!T51="",FALSE,TRUE),exact(Metadata!T51,"Decimal degrees"))</f>
        <v>0</v>
      </c>
      <c r="BG51">
        <f>OR(AND(IF(Metadata!U51="",FALSE,TRUE),OR(exact(Metadata!U51,"not collected"),exact(Metadata!U51,"not provided"),exact(Metadata!U51,"restricted access"))),AND(IF(Metadata!U51="",FALSE,ISNUMBER(VALUE(Metadata!U51))),Metadata!U51&gt;=-180.00,Metadata!U51&lt;=180.00))</f>
        <v>0</v>
      </c>
      <c r="BH51">
        <f>AND(IF(Metadata!V51="",FALSE,TRUE),exact(Metadata!V51,"Decimal degrees"))</f>
        <v>0</v>
      </c>
      <c r="BI51">
        <f>IF(Metadata!W51="",FALSE,TRUE)</f>
        <v>0</v>
      </c>
      <c r="BJ51">
        <f>OR(AND(IF(Metadata!X51="",FALSE,TRUE),OR(exact(Metadata!X51,"not collected"),exact(Metadata!X51,"not provided"),exact(Metadata!X51,"restricted access"))),AND(IF(Metadata!X51="",FALSE,TRUE),OR(exact(Metadata!X51,"TRUE"),exact(Metadata!X51,"FALSE"))))</f>
        <v>0</v>
      </c>
      <c r="BK51">
        <f>AND(IF(Metadata!Y51="",FALSE,TRUE),exact(Metadata!Y51,"other"))</f>
        <v>0</v>
      </c>
      <c r="BL51">
        <f>IF(Metadata!Z51="",FALSE,TRUE)</f>
        <v>0</v>
      </c>
      <c r="BM51">
        <f>OR(AND(IF(Metadata!AA51="",FALSE,TRUE),OR(exact(Metadata!AA51,"not collected"),exact(Metadata!AA51,"not provided"))),AND(IF(Metadata!AA51="",FALSE,IF(ISERROR(INT(Metadata!AA51)),FALSE,INT(Metadata!AA51)=Metadata!AA51)),Metadata!AA51&gt;0))</f>
        <v>0</v>
      </c>
      <c r="BN51">
        <f>AND(IF(Metadata!AB51="",FALSE,TRUE),exact(Metadata!AB51,"Not applicable"))</f>
        <v>0</v>
      </c>
      <c r="BO51">
        <f>IF(Metadata!AC51="",FALSE,TRUE)</f>
        <v>0</v>
      </c>
    </row>
    <row r="52" spans="1:67">
      <c r="A52" s="5">
        <f>IF(B52=" "," ",HYPERLINK(CONCATENATE("#metadata!",ADDRESS(INDEX($AI$2:$AI$1001,MATCH(ROWS($AG$2:AG52),$AG$2:$AG$1001,0),0),1)),INDEX($AL$2:$AL$1001,MATCH(ROWS($AG$2:AG52),$AG$2:$AG$1001,0),0)))</f>
        <v>0</v>
      </c>
      <c r="B52" s="4">
        <f>IF(OR(INDEX($AH$2:$AH$1001,MATCH(ROWS($AG$2:AG52),$AG$2:$AG$1001,0),1)&gt;=100000,INDEX($AN$1005:$BO$1005,1,MATCH(COLUMNS($AN$1006:AN1006),$AN$1006:$BO$1006,0))&gt;=100000), " ",IF(INDEX($AN$2:$BO$1001,MATCH(ROWS($AG$2:AG52),$AG$2:$AG$1001,0),MATCH(COLUMNS($AN$1006:AN1006),$AN$1006:$BO$1006,0)), HYPERLINK("#",""), HYPERLINK(CONCATENATE("#Metadata!", ADDRESS(INDEX($AI$2:$AI$1001,MATCH(ROWS($AG$2:AG52),$AG$2:$AG$1001,0),0), INDEX($AN$1004:$BO$1004,1,MATCH(COLUMNS($AN$1006:AN1006),$AN$1006:$BO$1006,0)))),"Fix")))</f>
        <v>0</v>
      </c>
      <c r="C52" s="4">
        <f>IF(OR(INDEX($AH$2:$AH$1001,MATCH(ROWS($AG$2:AG52),$AG$2:$AG$1001,0),1)&gt;=100000,INDEX($AN$1005:$BO$1005,1,MATCH(COLUMNS($AN$1006:AO1006),$AN$1006:$BO$1006,0))&gt;=100000), " ",IF(INDEX($AN$2:$BO$1001,MATCH(ROWS($AG$2:AG52),$AG$2:$AG$1001,0),MATCH(COLUMNS($AN$1006:AO1006),$AN$1006:$BO$1006,0)), HYPERLINK("#",""), HYPERLINK(CONCATENATE("#Metadata!", ADDRESS(INDEX($AI$2:$AI$1001,MATCH(ROWS($AG$2:AG52),$AG$2:$AG$1001,0),0), INDEX($AN$1004:$BO$1004,1,MATCH(COLUMNS($AN$1006:AO1006),$AN$1006:$BO$1006,0)))),"Fix")))</f>
        <v>0</v>
      </c>
      <c r="D52" s="4">
        <f>IF(OR(INDEX($AH$2:$AH$1001,MATCH(ROWS($AG$2:AG52),$AG$2:$AG$1001,0),1)&gt;=100000,INDEX($AN$1005:$BO$1005,1,MATCH(COLUMNS($AN$1006:AP1006),$AN$1006:$BO$1006,0))&gt;=100000), " ",IF(INDEX($AN$2:$BO$1001,MATCH(ROWS($AG$2:AG52),$AG$2:$AG$1001,0),MATCH(COLUMNS($AN$1006:AP1006),$AN$1006:$BO$1006,0)), HYPERLINK("#",""), HYPERLINK(CONCATENATE("#Metadata!", ADDRESS(INDEX($AI$2:$AI$1001,MATCH(ROWS($AG$2:AG52),$AG$2:$AG$1001,0),0), INDEX($AN$1004:$BO$1004,1,MATCH(COLUMNS($AN$1006:AP1006),$AN$1006:$BO$1006,0)))),"Fix")))</f>
        <v>0</v>
      </c>
      <c r="E52" s="4">
        <f>IF(OR(INDEX($AH$2:$AH$1001,MATCH(ROWS($AG$2:AG52),$AG$2:$AG$1001,0),1)&gt;=100000,INDEX($AN$1005:$BO$1005,1,MATCH(COLUMNS($AN$1006:AQ1006),$AN$1006:$BO$1006,0))&gt;=100000), " ",IF(INDEX($AN$2:$BO$1001,MATCH(ROWS($AG$2:AG52),$AG$2:$AG$1001,0),MATCH(COLUMNS($AN$1006:AQ1006),$AN$1006:$BO$1006,0)), HYPERLINK("#",""), HYPERLINK(CONCATENATE("#Metadata!", ADDRESS(INDEX($AI$2:$AI$1001,MATCH(ROWS($AG$2:AG52),$AG$2:$AG$1001,0),0), INDEX($AN$1004:$BO$1004,1,MATCH(COLUMNS($AN$1006:AQ1006),$AN$1006:$BO$1006,0)))),"Fix")))</f>
        <v>0</v>
      </c>
      <c r="F52" s="4">
        <f>IF(OR(INDEX($AH$2:$AH$1001,MATCH(ROWS($AG$2:AG52),$AG$2:$AG$1001,0),1)&gt;=100000,INDEX($AN$1005:$BO$1005,1,MATCH(COLUMNS($AN$1006:AR1006),$AN$1006:$BO$1006,0))&gt;=100000), " ",IF(INDEX($AN$2:$BO$1001,MATCH(ROWS($AG$2:AG52),$AG$2:$AG$1001,0),MATCH(COLUMNS($AN$1006:AR1006),$AN$1006:$BO$1006,0)), HYPERLINK("#",""), HYPERLINK(CONCATENATE("#Metadata!", ADDRESS(INDEX($AI$2:$AI$1001,MATCH(ROWS($AG$2:AG52),$AG$2:$AG$1001,0),0), INDEX($AN$1004:$BO$1004,1,MATCH(COLUMNS($AN$1006:AR1006),$AN$1006:$BO$1006,0)))),"Fix")))</f>
        <v>0</v>
      </c>
      <c r="G52" s="4">
        <f>IF(OR(INDEX($AH$2:$AH$1001,MATCH(ROWS($AG$2:AG52),$AG$2:$AG$1001,0),1)&gt;=100000,INDEX($AN$1005:$BO$1005,1,MATCH(COLUMNS($AN$1006:AS1006),$AN$1006:$BO$1006,0))&gt;=100000), " ",IF(INDEX($AN$2:$BO$1001,MATCH(ROWS($AG$2:AG52),$AG$2:$AG$1001,0),MATCH(COLUMNS($AN$1006:AS1006),$AN$1006:$BO$1006,0)), HYPERLINK("#",""), HYPERLINK(CONCATENATE("#Metadata!", ADDRESS(INDEX($AI$2:$AI$1001,MATCH(ROWS($AG$2:AG52),$AG$2:$AG$1001,0),0), INDEX($AN$1004:$BO$1004,1,MATCH(COLUMNS($AN$1006:AS1006),$AN$1006:$BO$1006,0)))),"Fix")))</f>
        <v>0</v>
      </c>
      <c r="H52" s="4">
        <f>IF(OR(INDEX($AH$2:$AH$1001,MATCH(ROWS($AG$2:AG52),$AG$2:$AG$1001,0),1)&gt;=100000,INDEX($AN$1005:$BO$1005,1,MATCH(COLUMNS($AN$1006:AT1006),$AN$1006:$BO$1006,0))&gt;=100000), " ",IF(INDEX($AN$2:$BO$1001,MATCH(ROWS($AG$2:AG52),$AG$2:$AG$1001,0),MATCH(COLUMNS($AN$1006:AT1006),$AN$1006:$BO$1006,0)), HYPERLINK("#",""), HYPERLINK(CONCATENATE("#Metadata!", ADDRESS(INDEX($AI$2:$AI$1001,MATCH(ROWS($AG$2:AG52),$AG$2:$AG$1001,0),0), INDEX($AN$1004:$BO$1004,1,MATCH(COLUMNS($AN$1006:AT1006),$AN$1006:$BO$1006,0)))),"Fix")))</f>
        <v>0</v>
      </c>
      <c r="I52" s="4">
        <f>IF(OR(INDEX($AH$2:$AH$1001,MATCH(ROWS($AG$2:AG52),$AG$2:$AG$1001,0),1)&gt;=100000,INDEX($AN$1005:$BO$1005,1,MATCH(COLUMNS($AN$1006:AU1006),$AN$1006:$BO$1006,0))&gt;=100000), " ",IF(INDEX($AN$2:$BO$1001,MATCH(ROWS($AG$2:AG52),$AG$2:$AG$1001,0),MATCH(COLUMNS($AN$1006:AU1006),$AN$1006:$BO$1006,0)), HYPERLINK("#",""), HYPERLINK(CONCATENATE("#Metadata!", ADDRESS(INDEX($AI$2:$AI$1001,MATCH(ROWS($AG$2:AG52),$AG$2:$AG$1001,0),0), INDEX($AN$1004:$BO$1004,1,MATCH(COLUMNS($AN$1006:AU1006),$AN$1006:$BO$1006,0)))),"Fix")))</f>
        <v>0</v>
      </c>
      <c r="J52" s="4">
        <f>IF(OR(INDEX($AH$2:$AH$1001,MATCH(ROWS($AG$2:AG52),$AG$2:$AG$1001,0),1)&gt;=100000,INDEX($AN$1005:$BO$1005,1,MATCH(COLUMNS($AN$1006:AV1006),$AN$1006:$BO$1006,0))&gt;=100000), " ",IF(INDEX($AN$2:$BO$1001,MATCH(ROWS($AG$2:AG52),$AG$2:$AG$1001,0),MATCH(COLUMNS($AN$1006:AV1006),$AN$1006:$BO$1006,0)), HYPERLINK("#",""), HYPERLINK(CONCATENATE("#Metadata!", ADDRESS(INDEX($AI$2:$AI$1001,MATCH(ROWS($AG$2:AG52),$AG$2:$AG$1001,0),0), INDEX($AN$1004:$BO$1004,1,MATCH(COLUMNS($AN$1006:AV1006),$AN$1006:$BO$1006,0)))),"Fix")))</f>
        <v>0</v>
      </c>
      <c r="K52" s="4">
        <f>IF(OR(INDEX($AH$2:$AH$1001,MATCH(ROWS($AG$2:AG52),$AG$2:$AG$1001,0),1)&gt;=100000,INDEX($AN$1005:$BO$1005,1,MATCH(COLUMNS($AN$1006:AW1006),$AN$1006:$BO$1006,0))&gt;=100000), " ",IF(INDEX($AN$2:$BO$1001,MATCH(ROWS($AG$2:AG52),$AG$2:$AG$1001,0),MATCH(COLUMNS($AN$1006:AW1006),$AN$1006:$BO$1006,0)), HYPERLINK("#",""), HYPERLINK(CONCATENATE("#Metadata!", ADDRESS(INDEX($AI$2:$AI$1001,MATCH(ROWS($AG$2:AG52),$AG$2:$AG$1001,0),0), INDEX($AN$1004:$BO$1004,1,MATCH(COLUMNS($AN$1006:AW1006),$AN$1006:$BO$1006,0)))),"Fix")))</f>
        <v>0</v>
      </c>
      <c r="L52" s="4">
        <f>IF(OR(INDEX($AH$2:$AH$1001,MATCH(ROWS($AG$2:AG52),$AG$2:$AG$1001,0),1)&gt;=100000,INDEX($AN$1005:$BO$1005,1,MATCH(COLUMNS($AN$1006:AX1006),$AN$1006:$BO$1006,0))&gt;=100000), " ",IF(INDEX($AN$2:$BO$1001,MATCH(ROWS($AG$2:AG52),$AG$2:$AG$1001,0),MATCH(COLUMNS($AN$1006:AX1006),$AN$1006:$BO$1006,0)), HYPERLINK("#",""), HYPERLINK(CONCATENATE("#Metadata!", ADDRESS(INDEX($AI$2:$AI$1001,MATCH(ROWS($AG$2:AG52),$AG$2:$AG$1001,0),0), INDEX($AN$1004:$BO$1004,1,MATCH(COLUMNS($AN$1006:AX1006),$AN$1006:$BO$1006,0)))),"Fix")))</f>
        <v>0</v>
      </c>
      <c r="M52" s="4">
        <f>IF(OR(INDEX($AH$2:$AH$1001,MATCH(ROWS($AG$2:AG52),$AG$2:$AG$1001,0),1)&gt;=100000,INDEX($AN$1005:$BO$1005,1,MATCH(COLUMNS($AN$1006:AY1006),$AN$1006:$BO$1006,0))&gt;=100000), " ",IF(INDEX($AN$2:$BO$1001,MATCH(ROWS($AG$2:AG52),$AG$2:$AG$1001,0),MATCH(COLUMNS($AN$1006:AY1006),$AN$1006:$BO$1006,0)), HYPERLINK("#",""), HYPERLINK(CONCATENATE("#Metadata!", ADDRESS(INDEX($AI$2:$AI$1001,MATCH(ROWS($AG$2:AG52),$AG$2:$AG$1001,0),0), INDEX($AN$1004:$BO$1004,1,MATCH(COLUMNS($AN$1006:AY1006),$AN$1006:$BO$1006,0)))),"Fix")))</f>
        <v>0</v>
      </c>
      <c r="N52" s="4">
        <f>IF(OR(INDEX($AH$2:$AH$1001,MATCH(ROWS($AG$2:AG52),$AG$2:$AG$1001,0),1)&gt;=100000,INDEX($AN$1005:$BO$1005,1,MATCH(COLUMNS($AN$1006:AZ1006),$AN$1006:$BO$1006,0))&gt;=100000), " ",IF(INDEX($AN$2:$BO$1001,MATCH(ROWS($AG$2:AG52),$AG$2:$AG$1001,0),MATCH(COLUMNS($AN$1006:AZ1006),$AN$1006:$BO$1006,0)), HYPERLINK("#",""), HYPERLINK(CONCATENATE("#Metadata!", ADDRESS(INDEX($AI$2:$AI$1001,MATCH(ROWS($AG$2:AG52),$AG$2:$AG$1001,0),0), INDEX($AN$1004:$BO$1004,1,MATCH(COLUMNS($AN$1006:AZ1006),$AN$1006:$BO$1006,0)))),"Fix")))</f>
        <v>0</v>
      </c>
      <c r="O52" s="4">
        <f>IF(OR(INDEX($AH$2:$AH$1001,MATCH(ROWS($AG$2:AG52),$AG$2:$AG$1001,0),1)&gt;=100000,INDEX($AN$1005:$BO$1005,1,MATCH(COLUMNS($AN$1006:BA1006),$AN$1006:$BO$1006,0))&gt;=100000), " ",IF(INDEX($AN$2:$BO$1001,MATCH(ROWS($AG$2:AG52),$AG$2:$AG$1001,0),MATCH(COLUMNS($AN$1006:BA1006),$AN$1006:$BO$1006,0)), HYPERLINK("#",""), HYPERLINK(CONCATENATE("#Metadata!", ADDRESS(INDEX($AI$2:$AI$1001,MATCH(ROWS($AG$2:AG52),$AG$2:$AG$1001,0),0), INDEX($AN$1004:$BO$1004,1,MATCH(COLUMNS($AN$1006:BA1006),$AN$1006:$BO$1006,0)))),"Fix")))</f>
        <v>0</v>
      </c>
      <c r="P52" s="4">
        <f>IF(OR(INDEX($AH$2:$AH$1001,MATCH(ROWS($AG$2:AG52),$AG$2:$AG$1001,0),1)&gt;=100000,INDEX($AN$1005:$BO$1005,1,MATCH(COLUMNS($AN$1006:BB1006),$AN$1006:$BO$1006,0))&gt;=100000), " ",IF(INDEX($AN$2:$BO$1001,MATCH(ROWS($AG$2:AG52),$AG$2:$AG$1001,0),MATCH(COLUMNS($AN$1006:BB1006),$AN$1006:$BO$1006,0)), HYPERLINK("#",""), HYPERLINK(CONCATENATE("#Metadata!", ADDRESS(INDEX($AI$2:$AI$1001,MATCH(ROWS($AG$2:AG52),$AG$2:$AG$1001,0),0), INDEX($AN$1004:$BO$1004,1,MATCH(COLUMNS($AN$1006:BB1006),$AN$1006:$BO$1006,0)))),"Fix")))</f>
        <v>0</v>
      </c>
      <c r="Q52" s="4">
        <f>IF(OR(INDEX($AH$2:$AH$1001,MATCH(ROWS($AG$2:AG52),$AG$2:$AG$1001,0),1)&gt;=100000,INDEX($AN$1005:$BO$1005,1,MATCH(COLUMNS($AN$1006:BC1006),$AN$1006:$BO$1006,0))&gt;=100000), " ",IF(INDEX($AN$2:$BO$1001,MATCH(ROWS($AG$2:AG52),$AG$2:$AG$1001,0),MATCH(COLUMNS($AN$1006:BC1006),$AN$1006:$BO$1006,0)), HYPERLINK("#",""), HYPERLINK(CONCATENATE("#Metadata!", ADDRESS(INDEX($AI$2:$AI$1001,MATCH(ROWS($AG$2:AG52),$AG$2:$AG$1001,0),0), INDEX($AN$1004:$BO$1004,1,MATCH(COLUMNS($AN$1006:BC1006),$AN$1006:$BO$1006,0)))),"Fix")))</f>
        <v>0</v>
      </c>
      <c r="R52" s="4">
        <f>IF(OR(INDEX($AH$2:$AH$1001,MATCH(ROWS($AG$2:AG52),$AG$2:$AG$1001,0),1)&gt;=100000,INDEX($AN$1005:$BO$1005,1,MATCH(COLUMNS($AN$1006:BD1006),$AN$1006:$BO$1006,0))&gt;=100000), " ",IF(INDEX($AN$2:$BO$1001,MATCH(ROWS($AG$2:AG52),$AG$2:$AG$1001,0),MATCH(COLUMNS($AN$1006:BD1006),$AN$1006:$BO$1006,0)), HYPERLINK("#",""), HYPERLINK(CONCATENATE("#Metadata!", ADDRESS(INDEX($AI$2:$AI$1001,MATCH(ROWS($AG$2:AG52),$AG$2:$AG$1001,0),0), INDEX($AN$1004:$BO$1004,1,MATCH(COLUMNS($AN$1006:BD1006),$AN$1006:$BO$1006,0)))),"Fix")))</f>
        <v>0</v>
      </c>
      <c r="S52" s="4">
        <f>IF(OR(INDEX($AH$2:$AH$1001,MATCH(ROWS($AG$2:AG52),$AG$2:$AG$1001,0),1)&gt;=100000,INDEX($AN$1005:$BO$1005,1,MATCH(COLUMNS($AN$1006:BE1006),$AN$1006:$BO$1006,0))&gt;=100000), " ",IF(INDEX($AN$2:$BO$1001,MATCH(ROWS($AG$2:AG52),$AG$2:$AG$1001,0),MATCH(COLUMNS($AN$1006:BE1006),$AN$1006:$BO$1006,0)), HYPERLINK("#",""), HYPERLINK(CONCATENATE("#Metadata!", ADDRESS(INDEX($AI$2:$AI$1001,MATCH(ROWS($AG$2:AG52),$AG$2:$AG$1001,0),0), INDEX($AN$1004:$BO$1004,1,MATCH(COLUMNS($AN$1006:BE1006),$AN$1006:$BO$1006,0)))),"Fix")))</f>
        <v>0</v>
      </c>
      <c r="T52" s="4">
        <f>IF(OR(INDEX($AH$2:$AH$1001,MATCH(ROWS($AG$2:AG52),$AG$2:$AG$1001,0),1)&gt;=100000,INDEX($AN$1005:$BO$1005,1,MATCH(COLUMNS($AN$1006:BF1006),$AN$1006:$BO$1006,0))&gt;=100000), " ",IF(INDEX($AN$2:$BO$1001,MATCH(ROWS($AG$2:AG52),$AG$2:$AG$1001,0),MATCH(COLUMNS($AN$1006:BF1006),$AN$1006:$BO$1006,0)), HYPERLINK("#",""), HYPERLINK(CONCATENATE("#Metadata!", ADDRESS(INDEX($AI$2:$AI$1001,MATCH(ROWS($AG$2:AG52),$AG$2:$AG$1001,0),0), INDEX($AN$1004:$BO$1004,1,MATCH(COLUMNS($AN$1006:BF1006),$AN$1006:$BO$1006,0)))),"Fix")))</f>
        <v>0</v>
      </c>
      <c r="U52" s="4">
        <f>IF(OR(INDEX($AH$2:$AH$1001,MATCH(ROWS($AG$2:AG52),$AG$2:$AG$1001,0),1)&gt;=100000,INDEX($AN$1005:$BO$1005,1,MATCH(COLUMNS($AN$1006:BG1006),$AN$1006:$BO$1006,0))&gt;=100000), " ",IF(INDEX($AN$2:$BO$1001,MATCH(ROWS($AG$2:AG52),$AG$2:$AG$1001,0),MATCH(COLUMNS($AN$1006:BG1006),$AN$1006:$BO$1006,0)), HYPERLINK("#",""), HYPERLINK(CONCATENATE("#Metadata!", ADDRESS(INDEX($AI$2:$AI$1001,MATCH(ROWS($AG$2:AG52),$AG$2:$AG$1001,0),0), INDEX($AN$1004:$BO$1004,1,MATCH(COLUMNS($AN$1006:BG1006),$AN$1006:$BO$1006,0)))),"Fix")))</f>
        <v>0</v>
      </c>
      <c r="V52" s="4">
        <f>IF(OR(INDEX($AH$2:$AH$1001,MATCH(ROWS($AG$2:AG52),$AG$2:$AG$1001,0),1)&gt;=100000,INDEX($AN$1005:$BO$1005,1,MATCH(COLUMNS($AN$1006:BH1006),$AN$1006:$BO$1006,0))&gt;=100000), " ",IF(INDEX($AN$2:$BO$1001,MATCH(ROWS($AG$2:AG52),$AG$2:$AG$1001,0),MATCH(COLUMNS($AN$1006:BH1006),$AN$1006:$BO$1006,0)), HYPERLINK("#",""), HYPERLINK(CONCATENATE("#Metadata!", ADDRESS(INDEX($AI$2:$AI$1001,MATCH(ROWS($AG$2:AG52),$AG$2:$AG$1001,0),0), INDEX($AN$1004:$BO$1004,1,MATCH(COLUMNS($AN$1006:BH1006),$AN$1006:$BO$1006,0)))),"Fix")))</f>
        <v>0</v>
      </c>
      <c r="W52" s="4">
        <f>IF(OR(INDEX($AH$2:$AH$1001,MATCH(ROWS($AG$2:AG52),$AG$2:$AG$1001,0),1)&gt;=100000,INDEX($AN$1005:$BO$1005,1,MATCH(COLUMNS($AN$1006:BI1006),$AN$1006:$BO$1006,0))&gt;=100000), " ",IF(INDEX($AN$2:$BO$1001,MATCH(ROWS($AG$2:AG52),$AG$2:$AG$1001,0),MATCH(COLUMNS($AN$1006:BI1006),$AN$1006:$BO$1006,0)), HYPERLINK("#",""), HYPERLINK(CONCATENATE("#Metadata!", ADDRESS(INDEX($AI$2:$AI$1001,MATCH(ROWS($AG$2:AG52),$AG$2:$AG$1001,0),0), INDEX($AN$1004:$BO$1004,1,MATCH(COLUMNS($AN$1006:BI1006),$AN$1006:$BO$1006,0)))),"Fix")))</f>
        <v>0</v>
      </c>
      <c r="X52" s="4">
        <f>IF(OR(INDEX($AH$2:$AH$1001,MATCH(ROWS($AG$2:AG52),$AG$2:$AG$1001,0),1)&gt;=100000,INDEX($AN$1005:$BO$1005,1,MATCH(COLUMNS($AN$1006:BJ1006),$AN$1006:$BO$1006,0))&gt;=100000), " ",IF(INDEX($AN$2:$BO$1001,MATCH(ROWS($AG$2:AG52),$AG$2:$AG$1001,0),MATCH(COLUMNS($AN$1006:BJ1006),$AN$1006:$BO$1006,0)), HYPERLINK("#",""), HYPERLINK(CONCATENATE("#Metadata!", ADDRESS(INDEX($AI$2:$AI$1001,MATCH(ROWS($AG$2:AG52),$AG$2:$AG$1001,0),0), INDEX($AN$1004:$BO$1004,1,MATCH(COLUMNS($AN$1006:BJ1006),$AN$1006:$BO$1006,0)))),"Fix")))</f>
        <v>0</v>
      </c>
      <c r="Y52" s="4">
        <f>IF(OR(INDEX($AH$2:$AH$1001,MATCH(ROWS($AG$2:AG52),$AG$2:$AG$1001,0),1)&gt;=100000,INDEX($AN$1005:$BO$1005,1,MATCH(COLUMNS($AN$1006:BK1006),$AN$1006:$BO$1006,0))&gt;=100000), " ",IF(INDEX($AN$2:$BO$1001,MATCH(ROWS($AG$2:AG52),$AG$2:$AG$1001,0),MATCH(COLUMNS($AN$1006:BK1006),$AN$1006:$BO$1006,0)), HYPERLINK("#",""), HYPERLINK(CONCATENATE("#Metadata!", ADDRESS(INDEX($AI$2:$AI$1001,MATCH(ROWS($AG$2:AG52),$AG$2:$AG$1001,0),0), INDEX($AN$1004:$BO$1004,1,MATCH(COLUMNS($AN$1006:BK1006),$AN$1006:$BO$1006,0)))),"Fix")))</f>
        <v>0</v>
      </c>
      <c r="Z52" s="4">
        <f>IF(OR(INDEX($AH$2:$AH$1001,MATCH(ROWS($AG$2:AG52),$AG$2:$AG$1001,0),1)&gt;=100000,INDEX($AN$1005:$BO$1005,1,MATCH(COLUMNS($AN$1006:BL1006),$AN$1006:$BO$1006,0))&gt;=100000), " ",IF(INDEX($AN$2:$BO$1001,MATCH(ROWS($AG$2:AG52),$AG$2:$AG$1001,0),MATCH(COLUMNS($AN$1006:BL1006),$AN$1006:$BO$1006,0)), HYPERLINK("#",""), HYPERLINK(CONCATENATE("#Metadata!", ADDRESS(INDEX($AI$2:$AI$1001,MATCH(ROWS($AG$2:AG52),$AG$2:$AG$1001,0),0), INDEX($AN$1004:$BO$1004,1,MATCH(COLUMNS($AN$1006:BL1006),$AN$1006:$BO$1006,0)))),"Fix")))</f>
        <v>0</v>
      </c>
      <c r="AA52" s="4">
        <f>IF(OR(INDEX($AH$2:$AH$1001,MATCH(ROWS($AG$2:AG52),$AG$2:$AG$1001,0),1)&gt;=100000,INDEX($AN$1005:$BO$1005,1,MATCH(COLUMNS($AN$1006:BM1006),$AN$1006:$BO$1006,0))&gt;=100000), " ",IF(INDEX($AN$2:$BO$1001,MATCH(ROWS($AG$2:AG52),$AG$2:$AG$1001,0),MATCH(COLUMNS($AN$1006:BM1006),$AN$1006:$BO$1006,0)), HYPERLINK("#",""), HYPERLINK(CONCATENATE("#Metadata!", ADDRESS(INDEX($AI$2:$AI$1001,MATCH(ROWS($AG$2:AG52),$AG$2:$AG$1001,0),0), INDEX($AN$1004:$BO$1004,1,MATCH(COLUMNS($AN$1006:BM1006),$AN$1006:$BO$1006,0)))),"Fix")))</f>
        <v>0</v>
      </c>
      <c r="AB52" s="4">
        <f>IF(OR(INDEX($AH$2:$AH$1001,MATCH(ROWS($AG$2:AG52),$AG$2:$AG$1001,0),1)&gt;=100000,INDEX($AN$1005:$BO$1005,1,MATCH(COLUMNS($AN$1006:BN1006),$AN$1006:$BO$1006,0))&gt;=100000), " ",IF(INDEX($AN$2:$BO$1001,MATCH(ROWS($AG$2:AG52),$AG$2:$AG$1001,0),MATCH(COLUMNS($AN$1006:BN1006),$AN$1006:$BO$1006,0)), HYPERLINK("#",""), HYPERLINK(CONCATENATE("#Metadata!", ADDRESS(INDEX($AI$2:$AI$1001,MATCH(ROWS($AG$2:AG52),$AG$2:$AG$1001,0),0), INDEX($AN$1004:$BO$1004,1,MATCH(COLUMNS($AN$1006:BN1006),$AN$1006:$BO$1006,0)))),"Fix")))</f>
        <v>0</v>
      </c>
      <c r="AC52" s="4">
        <f>IF(OR(INDEX($AH$2:$AH$1001,MATCH(ROWS($AG$2:AG52),$AG$2:$AG$1001,0),1)&gt;=100000,INDEX($AN$1005:$BO$1005,1,MATCH(COLUMNS($AN$1006:BO1006),$AN$1006:$BO$1006,0))&gt;=100000), " ",IF(INDEX($AN$2:$BO$1001,MATCH(ROWS($AG$2:AG52),$AG$2:$AG$1001,0),MATCH(COLUMNS($AN$1006:BO1006),$AN$1006:$BO$1006,0)), HYPERLINK("#",""), HYPERLINK(CONCATENATE("#Metadata!", ADDRESS(INDEX($AI$2:$AI$1001,MATCH(ROWS($AG$2:AG52),$AG$2:$AG$1001,0),0), INDEX($AN$1004:$BO$1004,1,MATCH(COLUMNS($AN$1006:BO1006),$AN$1006:$BO$1006,0)))),"Fix")))</f>
        <v>0</v>
      </c>
      <c r="AG52">
        <v>0</v>
      </c>
      <c r="AH52">
        <v>0</v>
      </c>
      <c r="AI52">
        <v>0</v>
      </c>
      <c r="AJ52">
        <f>IF(AK52,TRUE,AND(AN52:BO52))</f>
        <v>0</v>
      </c>
      <c r="AK52">
        <f>COUNTBLANK(Metadata!B52:AC52)=COLUMNS(Metadata!B52:AC52)</f>
        <v>0</v>
      </c>
      <c r="AL52">
        <v>0</v>
      </c>
      <c r="AN52">
        <f>AND(IF(Metadata!B52="",FALSE,TRUE),COUNTIF(Metadata!B:B, Metadata!B52) = 1,NOT(ISERROR(SUMPRODUCT(SEARCH(MID(Metadata!B52,ROW(INDIRECT("1:"&amp;LEN(Metadata!B52))), 1),"0123456789abcdefghijklmnopqrstuvwxyzABCDEFGHIJKLMNOPQRSTUVWXYZ.")))))</f>
        <v>0</v>
      </c>
      <c r="AO52">
        <f>IF(Metadata!C52="",FALSE,TRUE)</f>
        <v>0</v>
      </c>
      <c r="AP52">
        <f>IF(Metadata!D52="",FALSE,TRUE)</f>
        <v>0</v>
      </c>
      <c r="AQ52">
        <f>OR(AND(IF(Metadata!E52="",FALSE,TRUE),OR(exact(Metadata!E52,"not collected"),exact(Metadata!E52,"not provided"),exact(Metadata!E52,"restricted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R52">
        <f>IF(Metadata!F52="",FALSE,TRUE)</f>
        <v>0</v>
      </c>
      <c r="AS52">
        <f>OR(AND(IF(Metadata!G52="",FALSE,TRUE),OR(exact(Metadata!G52,"not collected"),exact(Metadata!G52,"not provided"))),AND(IF(Metadata!G52="",FALSE,TRUE),OR(exact(Metadata!G52,"TRUE"),exact(Metadata!G52,"FALSE"))))</f>
        <v>0</v>
      </c>
      <c r="AT52">
        <f>OR(AND(IF(Metadata!H52="",FALSE,TRUE),OR(exact(Metadata!H52,"not collected"),exact(Metadata!H52,"not provided"),exact(Metadata!H52,"restricted access"))),AND(IF(Metadata!H52="",FALSE,ISNUMBER(VALUE(Metadata!H52))),Metadata!H52&gt;=-413.0))</f>
        <v>0</v>
      </c>
      <c r="AU52">
        <f>AND(IF(Metadata!I52="",FALSE,TRUE),exact(Metadata!I52,"meters"))</f>
        <v>0</v>
      </c>
      <c r="AV52">
        <f>AND(IF(Metadata!J52="",FALSE,TRUE),OR(exact(Metadata!J52,"Host-associated"),exact(Metadata!J52,"Free-living")))</f>
        <v>0</v>
      </c>
      <c r="AW52">
        <f>AND(IF(Metadata!K52="",FALSE,TRUE),OR(exact(Metadata!K52,"Animal"),exact(Metadata!K52,"Fungus"),exact(Metadata!K52,"Plant"),exact(Metadata!K52,"Saline"),exact(Metadata!K52,"Non-saline")))</f>
        <v>0</v>
      </c>
      <c r="AX52">
        <f>AND(IF(Metadata!L52="",FALSE,TRUE),OR(exact(Metadata!L52,"Plant secretion"),exact(Metadata!L52,"Plant rhizosphere"),exact(Metadata!L52,"Plant surface"),exact(Metadata!L52,"Plant corpus"),exact(Metadata!L52,"Fungus surface"),exact(Metadata!L52,"Fungus corpus"),exact(Metadata!L52,"Animal surface"),exact(Metadata!L52,"Animal proximal gut"),exact(Metadata!L52,"Animal corpus"),exact(Metadata!L52,"Animal distal gut"),exact(Metadata!L52,"Animal secretion"),exact(Metadata!L52,"Sub-surface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0</v>
      </c>
      <c r="AY52">
        <f>IF(Metadata!M52="",FALSE,TRUE)</f>
        <v>0</v>
      </c>
      <c r="AZ52">
        <f>IF(Metadata!N52="",FALSE,TRUE)</f>
        <v>0</v>
      </c>
      <c r="BA52">
        <f>IF(Metadata!O52="",FALSE,TRUE)</f>
        <v>0</v>
      </c>
      <c r="BB52">
        <f>OR(AND(IF(Metadata!P52="",FALSE,TRUE),OR(exact(Metadata!P52,"not collected"),exact(Metadata!P52,"not provided"),exact(Metadata!P52,"restricted access"))),AND(IF(Metadata!P52="",FALSE,TRUE),OR(exact(Metadata!P52,"air"),exact(Metadata!P52,"built environment"),exact(Metadata!P52,"host-associated"),exact(Metadata!P52,"human-associated"),exact(Metadata!P52,"human-skin"),exact(Metadata!P52,"human-oral"),exact(Metadata!P52,"human-gut"),exact(Metadata!P52,"human-vaginal"),exact(Metadata!P52,"microbial mat/biofilm"),exact(Metadata!P52,"misc environment"),exact(Metadata!P52,"plant-associated"),exact(Metadata!P52,"sediment"),exact(Metadata!P52,"soil"),exact(Metadata!P52,"wastewater/sludge"),exact(Metadata!P52,"water"))))</f>
        <v>0</v>
      </c>
      <c r="BC52">
        <f>IF(Metadata!Q52="",FALSE,TRUE)</f>
        <v>0</v>
      </c>
      <c r="BD52">
        <f>IF(Metadata!R52="",FALSE,TRUE)</f>
        <v>0</v>
      </c>
      <c r="BE52">
        <f>OR(AND(IF(Metadata!S52="",FALSE,TRUE),OR(exact(Metadata!S52,"not collected"),exact(Metadata!S52,"not provided"),exact(Metadata!S52,"restricted access"))),AND(IF(Metadata!S52="",FALSE,ISNUMBER(VALUE(Metadata!S52))),Metadata!S52&gt;=-90.00,Metadata!S52&lt;=90.00))</f>
        <v>0</v>
      </c>
      <c r="BF52">
        <f>AND(IF(Metadata!T52="",FALSE,TRUE),exact(Metadata!T52,"Decimal degrees"))</f>
        <v>0</v>
      </c>
      <c r="BG52">
        <f>OR(AND(IF(Metadata!U52="",FALSE,TRUE),OR(exact(Metadata!U52,"not collected"),exact(Metadata!U52,"not provided"),exact(Metadata!U52,"restricted access"))),AND(IF(Metadata!U52="",FALSE,ISNUMBER(VALUE(Metadata!U52))),Metadata!U52&gt;=-180.00,Metadata!U52&lt;=180.00))</f>
        <v>0</v>
      </c>
      <c r="BH52">
        <f>AND(IF(Metadata!V52="",FALSE,TRUE),exact(Metadata!V52,"Decimal degrees"))</f>
        <v>0</v>
      </c>
      <c r="BI52">
        <f>IF(Metadata!W52="",FALSE,TRUE)</f>
        <v>0</v>
      </c>
      <c r="BJ52">
        <f>OR(AND(IF(Metadata!X52="",FALSE,TRUE),OR(exact(Metadata!X52,"not collected"),exact(Metadata!X52,"not provided"),exact(Metadata!X52,"restricted access"))),AND(IF(Metadata!X52="",FALSE,TRUE),OR(exact(Metadata!X52,"TRUE"),exact(Metadata!X52,"FALSE"))))</f>
        <v>0</v>
      </c>
      <c r="BK52">
        <f>AND(IF(Metadata!Y52="",FALSE,TRUE),exact(Metadata!Y52,"other"))</f>
        <v>0</v>
      </c>
      <c r="BL52">
        <f>IF(Metadata!Z52="",FALSE,TRUE)</f>
        <v>0</v>
      </c>
      <c r="BM52">
        <f>OR(AND(IF(Metadata!AA52="",FALSE,TRUE),OR(exact(Metadata!AA52,"not collected"),exact(Metadata!AA52,"not provided"))),AND(IF(Metadata!AA52="",FALSE,IF(ISERROR(INT(Metadata!AA52)),FALSE,INT(Metadata!AA52)=Metadata!AA52)),Metadata!AA52&gt;0))</f>
        <v>0</v>
      </c>
      <c r="BN52">
        <f>AND(IF(Metadata!AB52="",FALSE,TRUE),exact(Metadata!AB52,"Not applicable"))</f>
        <v>0</v>
      </c>
      <c r="BO52">
        <f>IF(Metadata!AC52="",FALSE,TRUE)</f>
        <v>0</v>
      </c>
    </row>
    <row r="53" spans="1:67">
      <c r="A53" s="5">
        <f>IF(B53=" "," ",HYPERLINK(CONCATENATE("#metadata!",ADDRESS(INDEX($AI$2:$AI$1001,MATCH(ROWS($AG$2:AG53),$AG$2:$AG$1001,0),0),1)),INDEX($AL$2:$AL$1001,MATCH(ROWS($AG$2:AG53),$AG$2:$AG$1001,0),0)))</f>
        <v>0</v>
      </c>
      <c r="B53" s="4">
        <f>IF(OR(INDEX($AH$2:$AH$1001,MATCH(ROWS($AG$2:AG53),$AG$2:$AG$1001,0),1)&gt;=100000,INDEX($AN$1005:$BO$1005,1,MATCH(COLUMNS($AN$1006:AN1006),$AN$1006:$BO$1006,0))&gt;=100000), " ",IF(INDEX($AN$2:$BO$1001,MATCH(ROWS($AG$2:AG53),$AG$2:$AG$1001,0),MATCH(COLUMNS($AN$1006:AN1006),$AN$1006:$BO$1006,0)), HYPERLINK("#",""), HYPERLINK(CONCATENATE("#Metadata!", ADDRESS(INDEX($AI$2:$AI$1001,MATCH(ROWS($AG$2:AG53),$AG$2:$AG$1001,0),0), INDEX($AN$1004:$BO$1004,1,MATCH(COLUMNS($AN$1006:AN1006),$AN$1006:$BO$1006,0)))),"Fix")))</f>
        <v>0</v>
      </c>
      <c r="C53" s="4">
        <f>IF(OR(INDEX($AH$2:$AH$1001,MATCH(ROWS($AG$2:AG53),$AG$2:$AG$1001,0),1)&gt;=100000,INDEX($AN$1005:$BO$1005,1,MATCH(COLUMNS($AN$1006:AO1006),$AN$1006:$BO$1006,0))&gt;=100000), " ",IF(INDEX($AN$2:$BO$1001,MATCH(ROWS($AG$2:AG53),$AG$2:$AG$1001,0),MATCH(COLUMNS($AN$1006:AO1006),$AN$1006:$BO$1006,0)), HYPERLINK("#",""), HYPERLINK(CONCATENATE("#Metadata!", ADDRESS(INDEX($AI$2:$AI$1001,MATCH(ROWS($AG$2:AG53),$AG$2:$AG$1001,0),0), INDEX($AN$1004:$BO$1004,1,MATCH(COLUMNS($AN$1006:AO1006),$AN$1006:$BO$1006,0)))),"Fix")))</f>
        <v>0</v>
      </c>
      <c r="D53" s="4">
        <f>IF(OR(INDEX($AH$2:$AH$1001,MATCH(ROWS($AG$2:AG53),$AG$2:$AG$1001,0),1)&gt;=100000,INDEX($AN$1005:$BO$1005,1,MATCH(COLUMNS($AN$1006:AP1006),$AN$1006:$BO$1006,0))&gt;=100000), " ",IF(INDEX($AN$2:$BO$1001,MATCH(ROWS($AG$2:AG53),$AG$2:$AG$1001,0),MATCH(COLUMNS($AN$1006:AP1006),$AN$1006:$BO$1006,0)), HYPERLINK("#",""), HYPERLINK(CONCATENATE("#Metadata!", ADDRESS(INDEX($AI$2:$AI$1001,MATCH(ROWS($AG$2:AG53),$AG$2:$AG$1001,0),0), INDEX($AN$1004:$BO$1004,1,MATCH(COLUMNS($AN$1006:AP1006),$AN$1006:$BO$1006,0)))),"Fix")))</f>
        <v>0</v>
      </c>
      <c r="E53" s="4">
        <f>IF(OR(INDEX($AH$2:$AH$1001,MATCH(ROWS($AG$2:AG53),$AG$2:$AG$1001,0),1)&gt;=100000,INDEX($AN$1005:$BO$1005,1,MATCH(COLUMNS($AN$1006:AQ1006),$AN$1006:$BO$1006,0))&gt;=100000), " ",IF(INDEX($AN$2:$BO$1001,MATCH(ROWS($AG$2:AG53),$AG$2:$AG$1001,0),MATCH(COLUMNS($AN$1006:AQ1006),$AN$1006:$BO$1006,0)), HYPERLINK("#",""), HYPERLINK(CONCATENATE("#Metadata!", ADDRESS(INDEX($AI$2:$AI$1001,MATCH(ROWS($AG$2:AG53),$AG$2:$AG$1001,0),0), INDEX($AN$1004:$BO$1004,1,MATCH(COLUMNS($AN$1006:AQ1006),$AN$1006:$BO$1006,0)))),"Fix")))</f>
        <v>0</v>
      </c>
      <c r="F53" s="4">
        <f>IF(OR(INDEX($AH$2:$AH$1001,MATCH(ROWS($AG$2:AG53),$AG$2:$AG$1001,0),1)&gt;=100000,INDEX($AN$1005:$BO$1005,1,MATCH(COLUMNS($AN$1006:AR1006),$AN$1006:$BO$1006,0))&gt;=100000), " ",IF(INDEX($AN$2:$BO$1001,MATCH(ROWS($AG$2:AG53),$AG$2:$AG$1001,0),MATCH(COLUMNS($AN$1006:AR1006),$AN$1006:$BO$1006,0)), HYPERLINK("#",""), HYPERLINK(CONCATENATE("#Metadata!", ADDRESS(INDEX($AI$2:$AI$1001,MATCH(ROWS($AG$2:AG53),$AG$2:$AG$1001,0),0), INDEX($AN$1004:$BO$1004,1,MATCH(COLUMNS($AN$1006:AR1006),$AN$1006:$BO$1006,0)))),"Fix")))</f>
        <v>0</v>
      </c>
      <c r="G53" s="4">
        <f>IF(OR(INDEX($AH$2:$AH$1001,MATCH(ROWS($AG$2:AG53),$AG$2:$AG$1001,0),1)&gt;=100000,INDEX($AN$1005:$BO$1005,1,MATCH(COLUMNS($AN$1006:AS1006),$AN$1006:$BO$1006,0))&gt;=100000), " ",IF(INDEX($AN$2:$BO$1001,MATCH(ROWS($AG$2:AG53),$AG$2:$AG$1001,0),MATCH(COLUMNS($AN$1006:AS1006),$AN$1006:$BO$1006,0)), HYPERLINK("#",""), HYPERLINK(CONCATENATE("#Metadata!", ADDRESS(INDEX($AI$2:$AI$1001,MATCH(ROWS($AG$2:AG53),$AG$2:$AG$1001,0),0), INDEX($AN$1004:$BO$1004,1,MATCH(COLUMNS($AN$1006:AS1006),$AN$1006:$BO$1006,0)))),"Fix")))</f>
        <v>0</v>
      </c>
      <c r="H53" s="4">
        <f>IF(OR(INDEX($AH$2:$AH$1001,MATCH(ROWS($AG$2:AG53),$AG$2:$AG$1001,0),1)&gt;=100000,INDEX($AN$1005:$BO$1005,1,MATCH(COLUMNS($AN$1006:AT1006),$AN$1006:$BO$1006,0))&gt;=100000), " ",IF(INDEX($AN$2:$BO$1001,MATCH(ROWS($AG$2:AG53),$AG$2:$AG$1001,0),MATCH(COLUMNS($AN$1006:AT1006),$AN$1006:$BO$1006,0)), HYPERLINK("#",""), HYPERLINK(CONCATENATE("#Metadata!", ADDRESS(INDEX($AI$2:$AI$1001,MATCH(ROWS($AG$2:AG53),$AG$2:$AG$1001,0),0), INDEX($AN$1004:$BO$1004,1,MATCH(COLUMNS($AN$1006:AT1006),$AN$1006:$BO$1006,0)))),"Fix")))</f>
        <v>0</v>
      </c>
      <c r="I53" s="4">
        <f>IF(OR(INDEX($AH$2:$AH$1001,MATCH(ROWS($AG$2:AG53),$AG$2:$AG$1001,0),1)&gt;=100000,INDEX($AN$1005:$BO$1005,1,MATCH(COLUMNS($AN$1006:AU1006),$AN$1006:$BO$1006,0))&gt;=100000), " ",IF(INDEX($AN$2:$BO$1001,MATCH(ROWS($AG$2:AG53),$AG$2:$AG$1001,0),MATCH(COLUMNS($AN$1006:AU1006),$AN$1006:$BO$1006,0)), HYPERLINK("#",""), HYPERLINK(CONCATENATE("#Metadata!", ADDRESS(INDEX($AI$2:$AI$1001,MATCH(ROWS($AG$2:AG53),$AG$2:$AG$1001,0),0), INDEX($AN$1004:$BO$1004,1,MATCH(COLUMNS($AN$1006:AU1006),$AN$1006:$BO$1006,0)))),"Fix")))</f>
        <v>0</v>
      </c>
      <c r="J53" s="4">
        <f>IF(OR(INDEX($AH$2:$AH$1001,MATCH(ROWS($AG$2:AG53),$AG$2:$AG$1001,0),1)&gt;=100000,INDEX($AN$1005:$BO$1005,1,MATCH(COLUMNS($AN$1006:AV1006),$AN$1006:$BO$1006,0))&gt;=100000), " ",IF(INDEX($AN$2:$BO$1001,MATCH(ROWS($AG$2:AG53),$AG$2:$AG$1001,0),MATCH(COLUMNS($AN$1006:AV1006),$AN$1006:$BO$1006,0)), HYPERLINK("#",""), HYPERLINK(CONCATENATE("#Metadata!", ADDRESS(INDEX($AI$2:$AI$1001,MATCH(ROWS($AG$2:AG53),$AG$2:$AG$1001,0),0), INDEX($AN$1004:$BO$1004,1,MATCH(COLUMNS($AN$1006:AV1006),$AN$1006:$BO$1006,0)))),"Fix")))</f>
        <v>0</v>
      </c>
      <c r="K53" s="4">
        <f>IF(OR(INDEX($AH$2:$AH$1001,MATCH(ROWS($AG$2:AG53),$AG$2:$AG$1001,0),1)&gt;=100000,INDEX($AN$1005:$BO$1005,1,MATCH(COLUMNS($AN$1006:AW1006),$AN$1006:$BO$1006,0))&gt;=100000), " ",IF(INDEX($AN$2:$BO$1001,MATCH(ROWS($AG$2:AG53),$AG$2:$AG$1001,0),MATCH(COLUMNS($AN$1006:AW1006),$AN$1006:$BO$1006,0)), HYPERLINK("#",""), HYPERLINK(CONCATENATE("#Metadata!", ADDRESS(INDEX($AI$2:$AI$1001,MATCH(ROWS($AG$2:AG53),$AG$2:$AG$1001,0),0), INDEX($AN$1004:$BO$1004,1,MATCH(COLUMNS($AN$1006:AW1006),$AN$1006:$BO$1006,0)))),"Fix")))</f>
        <v>0</v>
      </c>
      <c r="L53" s="4">
        <f>IF(OR(INDEX($AH$2:$AH$1001,MATCH(ROWS($AG$2:AG53),$AG$2:$AG$1001,0),1)&gt;=100000,INDEX($AN$1005:$BO$1005,1,MATCH(COLUMNS($AN$1006:AX1006),$AN$1006:$BO$1006,0))&gt;=100000), " ",IF(INDEX($AN$2:$BO$1001,MATCH(ROWS($AG$2:AG53),$AG$2:$AG$1001,0),MATCH(COLUMNS($AN$1006:AX1006),$AN$1006:$BO$1006,0)), HYPERLINK("#",""), HYPERLINK(CONCATENATE("#Metadata!", ADDRESS(INDEX($AI$2:$AI$1001,MATCH(ROWS($AG$2:AG53),$AG$2:$AG$1001,0),0), INDEX($AN$1004:$BO$1004,1,MATCH(COLUMNS($AN$1006:AX1006),$AN$1006:$BO$1006,0)))),"Fix")))</f>
        <v>0</v>
      </c>
      <c r="M53" s="4">
        <f>IF(OR(INDEX($AH$2:$AH$1001,MATCH(ROWS($AG$2:AG53),$AG$2:$AG$1001,0),1)&gt;=100000,INDEX($AN$1005:$BO$1005,1,MATCH(COLUMNS($AN$1006:AY1006),$AN$1006:$BO$1006,0))&gt;=100000), " ",IF(INDEX($AN$2:$BO$1001,MATCH(ROWS($AG$2:AG53),$AG$2:$AG$1001,0),MATCH(COLUMNS($AN$1006:AY1006),$AN$1006:$BO$1006,0)), HYPERLINK("#",""), HYPERLINK(CONCATENATE("#Metadata!", ADDRESS(INDEX($AI$2:$AI$1001,MATCH(ROWS($AG$2:AG53),$AG$2:$AG$1001,0),0), INDEX($AN$1004:$BO$1004,1,MATCH(COLUMNS($AN$1006:AY1006),$AN$1006:$BO$1006,0)))),"Fix")))</f>
        <v>0</v>
      </c>
      <c r="N53" s="4">
        <f>IF(OR(INDEX($AH$2:$AH$1001,MATCH(ROWS($AG$2:AG53),$AG$2:$AG$1001,0),1)&gt;=100000,INDEX($AN$1005:$BO$1005,1,MATCH(COLUMNS($AN$1006:AZ1006),$AN$1006:$BO$1006,0))&gt;=100000), " ",IF(INDEX($AN$2:$BO$1001,MATCH(ROWS($AG$2:AG53),$AG$2:$AG$1001,0),MATCH(COLUMNS($AN$1006:AZ1006),$AN$1006:$BO$1006,0)), HYPERLINK("#",""), HYPERLINK(CONCATENATE("#Metadata!", ADDRESS(INDEX($AI$2:$AI$1001,MATCH(ROWS($AG$2:AG53),$AG$2:$AG$1001,0),0), INDEX($AN$1004:$BO$1004,1,MATCH(COLUMNS($AN$1006:AZ1006),$AN$1006:$BO$1006,0)))),"Fix")))</f>
        <v>0</v>
      </c>
      <c r="O53" s="4">
        <f>IF(OR(INDEX($AH$2:$AH$1001,MATCH(ROWS($AG$2:AG53),$AG$2:$AG$1001,0),1)&gt;=100000,INDEX($AN$1005:$BO$1005,1,MATCH(COLUMNS($AN$1006:BA1006),$AN$1006:$BO$1006,0))&gt;=100000), " ",IF(INDEX($AN$2:$BO$1001,MATCH(ROWS($AG$2:AG53),$AG$2:$AG$1001,0),MATCH(COLUMNS($AN$1006:BA1006),$AN$1006:$BO$1006,0)), HYPERLINK("#",""), HYPERLINK(CONCATENATE("#Metadata!", ADDRESS(INDEX($AI$2:$AI$1001,MATCH(ROWS($AG$2:AG53),$AG$2:$AG$1001,0),0), INDEX($AN$1004:$BO$1004,1,MATCH(COLUMNS($AN$1006:BA1006),$AN$1006:$BO$1006,0)))),"Fix")))</f>
        <v>0</v>
      </c>
      <c r="P53" s="4">
        <f>IF(OR(INDEX($AH$2:$AH$1001,MATCH(ROWS($AG$2:AG53),$AG$2:$AG$1001,0),1)&gt;=100000,INDEX($AN$1005:$BO$1005,1,MATCH(COLUMNS($AN$1006:BB1006),$AN$1006:$BO$1006,0))&gt;=100000), " ",IF(INDEX($AN$2:$BO$1001,MATCH(ROWS($AG$2:AG53),$AG$2:$AG$1001,0),MATCH(COLUMNS($AN$1006:BB1006),$AN$1006:$BO$1006,0)), HYPERLINK("#",""), HYPERLINK(CONCATENATE("#Metadata!", ADDRESS(INDEX($AI$2:$AI$1001,MATCH(ROWS($AG$2:AG53),$AG$2:$AG$1001,0),0), INDEX($AN$1004:$BO$1004,1,MATCH(COLUMNS($AN$1006:BB1006),$AN$1006:$BO$1006,0)))),"Fix")))</f>
        <v>0</v>
      </c>
      <c r="Q53" s="4">
        <f>IF(OR(INDEX($AH$2:$AH$1001,MATCH(ROWS($AG$2:AG53),$AG$2:$AG$1001,0),1)&gt;=100000,INDEX($AN$1005:$BO$1005,1,MATCH(COLUMNS($AN$1006:BC1006),$AN$1006:$BO$1006,0))&gt;=100000), " ",IF(INDEX($AN$2:$BO$1001,MATCH(ROWS($AG$2:AG53),$AG$2:$AG$1001,0),MATCH(COLUMNS($AN$1006:BC1006),$AN$1006:$BO$1006,0)), HYPERLINK("#",""), HYPERLINK(CONCATENATE("#Metadata!", ADDRESS(INDEX($AI$2:$AI$1001,MATCH(ROWS($AG$2:AG53),$AG$2:$AG$1001,0),0), INDEX($AN$1004:$BO$1004,1,MATCH(COLUMNS($AN$1006:BC1006),$AN$1006:$BO$1006,0)))),"Fix")))</f>
        <v>0</v>
      </c>
      <c r="R53" s="4">
        <f>IF(OR(INDEX($AH$2:$AH$1001,MATCH(ROWS($AG$2:AG53),$AG$2:$AG$1001,0),1)&gt;=100000,INDEX($AN$1005:$BO$1005,1,MATCH(COLUMNS($AN$1006:BD1006),$AN$1006:$BO$1006,0))&gt;=100000), " ",IF(INDEX($AN$2:$BO$1001,MATCH(ROWS($AG$2:AG53),$AG$2:$AG$1001,0),MATCH(COLUMNS($AN$1006:BD1006),$AN$1006:$BO$1006,0)), HYPERLINK("#",""), HYPERLINK(CONCATENATE("#Metadata!", ADDRESS(INDEX($AI$2:$AI$1001,MATCH(ROWS($AG$2:AG53),$AG$2:$AG$1001,0),0), INDEX($AN$1004:$BO$1004,1,MATCH(COLUMNS($AN$1006:BD1006),$AN$1006:$BO$1006,0)))),"Fix")))</f>
        <v>0</v>
      </c>
      <c r="S53" s="4">
        <f>IF(OR(INDEX($AH$2:$AH$1001,MATCH(ROWS($AG$2:AG53),$AG$2:$AG$1001,0),1)&gt;=100000,INDEX($AN$1005:$BO$1005,1,MATCH(COLUMNS($AN$1006:BE1006),$AN$1006:$BO$1006,0))&gt;=100000), " ",IF(INDEX($AN$2:$BO$1001,MATCH(ROWS($AG$2:AG53),$AG$2:$AG$1001,0),MATCH(COLUMNS($AN$1006:BE1006),$AN$1006:$BO$1006,0)), HYPERLINK("#",""), HYPERLINK(CONCATENATE("#Metadata!", ADDRESS(INDEX($AI$2:$AI$1001,MATCH(ROWS($AG$2:AG53),$AG$2:$AG$1001,0),0), INDEX($AN$1004:$BO$1004,1,MATCH(COLUMNS($AN$1006:BE1006),$AN$1006:$BO$1006,0)))),"Fix")))</f>
        <v>0</v>
      </c>
      <c r="T53" s="4">
        <f>IF(OR(INDEX($AH$2:$AH$1001,MATCH(ROWS($AG$2:AG53),$AG$2:$AG$1001,0),1)&gt;=100000,INDEX($AN$1005:$BO$1005,1,MATCH(COLUMNS($AN$1006:BF1006),$AN$1006:$BO$1006,0))&gt;=100000), " ",IF(INDEX($AN$2:$BO$1001,MATCH(ROWS($AG$2:AG53),$AG$2:$AG$1001,0),MATCH(COLUMNS($AN$1006:BF1006),$AN$1006:$BO$1006,0)), HYPERLINK("#",""), HYPERLINK(CONCATENATE("#Metadata!", ADDRESS(INDEX($AI$2:$AI$1001,MATCH(ROWS($AG$2:AG53),$AG$2:$AG$1001,0),0), INDEX($AN$1004:$BO$1004,1,MATCH(COLUMNS($AN$1006:BF1006),$AN$1006:$BO$1006,0)))),"Fix")))</f>
        <v>0</v>
      </c>
      <c r="U53" s="4">
        <f>IF(OR(INDEX($AH$2:$AH$1001,MATCH(ROWS($AG$2:AG53),$AG$2:$AG$1001,0),1)&gt;=100000,INDEX($AN$1005:$BO$1005,1,MATCH(COLUMNS($AN$1006:BG1006),$AN$1006:$BO$1006,0))&gt;=100000), " ",IF(INDEX($AN$2:$BO$1001,MATCH(ROWS($AG$2:AG53),$AG$2:$AG$1001,0),MATCH(COLUMNS($AN$1006:BG1006),$AN$1006:$BO$1006,0)), HYPERLINK("#",""), HYPERLINK(CONCATENATE("#Metadata!", ADDRESS(INDEX($AI$2:$AI$1001,MATCH(ROWS($AG$2:AG53),$AG$2:$AG$1001,0),0), INDEX($AN$1004:$BO$1004,1,MATCH(COLUMNS($AN$1006:BG1006),$AN$1006:$BO$1006,0)))),"Fix")))</f>
        <v>0</v>
      </c>
      <c r="V53" s="4">
        <f>IF(OR(INDEX($AH$2:$AH$1001,MATCH(ROWS($AG$2:AG53),$AG$2:$AG$1001,0),1)&gt;=100000,INDEX($AN$1005:$BO$1005,1,MATCH(COLUMNS($AN$1006:BH1006),$AN$1006:$BO$1006,0))&gt;=100000), " ",IF(INDEX($AN$2:$BO$1001,MATCH(ROWS($AG$2:AG53),$AG$2:$AG$1001,0),MATCH(COLUMNS($AN$1006:BH1006),$AN$1006:$BO$1006,0)), HYPERLINK("#",""), HYPERLINK(CONCATENATE("#Metadata!", ADDRESS(INDEX($AI$2:$AI$1001,MATCH(ROWS($AG$2:AG53),$AG$2:$AG$1001,0),0), INDEX($AN$1004:$BO$1004,1,MATCH(COLUMNS($AN$1006:BH1006),$AN$1006:$BO$1006,0)))),"Fix")))</f>
        <v>0</v>
      </c>
      <c r="W53" s="4">
        <f>IF(OR(INDEX($AH$2:$AH$1001,MATCH(ROWS($AG$2:AG53),$AG$2:$AG$1001,0),1)&gt;=100000,INDEX($AN$1005:$BO$1005,1,MATCH(COLUMNS($AN$1006:BI1006),$AN$1006:$BO$1006,0))&gt;=100000), " ",IF(INDEX($AN$2:$BO$1001,MATCH(ROWS($AG$2:AG53),$AG$2:$AG$1001,0),MATCH(COLUMNS($AN$1006:BI1006),$AN$1006:$BO$1006,0)), HYPERLINK("#",""), HYPERLINK(CONCATENATE("#Metadata!", ADDRESS(INDEX($AI$2:$AI$1001,MATCH(ROWS($AG$2:AG53),$AG$2:$AG$1001,0),0), INDEX($AN$1004:$BO$1004,1,MATCH(COLUMNS($AN$1006:BI1006),$AN$1006:$BO$1006,0)))),"Fix")))</f>
        <v>0</v>
      </c>
      <c r="X53" s="4">
        <f>IF(OR(INDEX($AH$2:$AH$1001,MATCH(ROWS($AG$2:AG53),$AG$2:$AG$1001,0),1)&gt;=100000,INDEX($AN$1005:$BO$1005,1,MATCH(COLUMNS($AN$1006:BJ1006),$AN$1006:$BO$1006,0))&gt;=100000), " ",IF(INDEX($AN$2:$BO$1001,MATCH(ROWS($AG$2:AG53),$AG$2:$AG$1001,0),MATCH(COLUMNS($AN$1006:BJ1006),$AN$1006:$BO$1006,0)), HYPERLINK("#",""), HYPERLINK(CONCATENATE("#Metadata!", ADDRESS(INDEX($AI$2:$AI$1001,MATCH(ROWS($AG$2:AG53),$AG$2:$AG$1001,0),0), INDEX($AN$1004:$BO$1004,1,MATCH(COLUMNS($AN$1006:BJ1006),$AN$1006:$BO$1006,0)))),"Fix")))</f>
        <v>0</v>
      </c>
      <c r="Y53" s="4">
        <f>IF(OR(INDEX($AH$2:$AH$1001,MATCH(ROWS($AG$2:AG53),$AG$2:$AG$1001,0),1)&gt;=100000,INDEX($AN$1005:$BO$1005,1,MATCH(COLUMNS($AN$1006:BK1006),$AN$1006:$BO$1006,0))&gt;=100000), " ",IF(INDEX($AN$2:$BO$1001,MATCH(ROWS($AG$2:AG53),$AG$2:$AG$1001,0),MATCH(COLUMNS($AN$1006:BK1006),$AN$1006:$BO$1006,0)), HYPERLINK("#",""), HYPERLINK(CONCATENATE("#Metadata!", ADDRESS(INDEX($AI$2:$AI$1001,MATCH(ROWS($AG$2:AG53),$AG$2:$AG$1001,0),0), INDEX($AN$1004:$BO$1004,1,MATCH(COLUMNS($AN$1006:BK1006),$AN$1006:$BO$1006,0)))),"Fix")))</f>
        <v>0</v>
      </c>
      <c r="Z53" s="4">
        <f>IF(OR(INDEX($AH$2:$AH$1001,MATCH(ROWS($AG$2:AG53),$AG$2:$AG$1001,0),1)&gt;=100000,INDEX($AN$1005:$BO$1005,1,MATCH(COLUMNS($AN$1006:BL1006),$AN$1006:$BO$1006,0))&gt;=100000), " ",IF(INDEX($AN$2:$BO$1001,MATCH(ROWS($AG$2:AG53),$AG$2:$AG$1001,0),MATCH(COLUMNS($AN$1006:BL1006),$AN$1006:$BO$1006,0)), HYPERLINK("#",""), HYPERLINK(CONCATENATE("#Metadata!", ADDRESS(INDEX($AI$2:$AI$1001,MATCH(ROWS($AG$2:AG53),$AG$2:$AG$1001,0),0), INDEX($AN$1004:$BO$1004,1,MATCH(COLUMNS($AN$1006:BL1006),$AN$1006:$BO$1006,0)))),"Fix")))</f>
        <v>0</v>
      </c>
      <c r="AA53" s="4">
        <f>IF(OR(INDEX($AH$2:$AH$1001,MATCH(ROWS($AG$2:AG53),$AG$2:$AG$1001,0),1)&gt;=100000,INDEX($AN$1005:$BO$1005,1,MATCH(COLUMNS($AN$1006:BM1006),$AN$1006:$BO$1006,0))&gt;=100000), " ",IF(INDEX($AN$2:$BO$1001,MATCH(ROWS($AG$2:AG53),$AG$2:$AG$1001,0),MATCH(COLUMNS($AN$1006:BM1006),$AN$1006:$BO$1006,0)), HYPERLINK("#",""), HYPERLINK(CONCATENATE("#Metadata!", ADDRESS(INDEX($AI$2:$AI$1001,MATCH(ROWS($AG$2:AG53),$AG$2:$AG$1001,0),0), INDEX($AN$1004:$BO$1004,1,MATCH(COLUMNS($AN$1006:BM1006),$AN$1006:$BO$1006,0)))),"Fix")))</f>
        <v>0</v>
      </c>
      <c r="AB53" s="4">
        <f>IF(OR(INDEX($AH$2:$AH$1001,MATCH(ROWS($AG$2:AG53),$AG$2:$AG$1001,0),1)&gt;=100000,INDEX($AN$1005:$BO$1005,1,MATCH(COLUMNS($AN$1006:BN1006),$AN$1006:$BO$1006,0))&gt;=100000), " ",IF(INDEX($AN$2:$BO$1001,MATCH(ROWS($AG$2:AG53),$AG$2:$AG$1001,0),MATCH(COLUMNS($AN$1006:BN1006),$AN$1006:$BO$1006,0)), HYPERLINK("#",""), HYPERLINK(CONCATENATE("#Metadata!", ADDRESS(INDEX($AI$2:$AI$1001,MATCH(ROWS($AG$2:AG53),$AG$2:$AG$1001,0),0), INDEX($AN$1004:$BO$1004,1,MATCH(COLUMNS($AN$1006:BN1006),$AN$1006:$BO$1006,0)))),"Fix")))</f>
        <v>0</v>
      </c>
      <c r="AC53" s="4">
        <f>IF(OR(INDEX($AH$2:$AH$1001,MATCH(ROWS($AG$2:AG53),$AG$2:$AG$1001,0),1)&gt;=100000,INDEX($AN$1005:$BO$1005,1,MATCH(COLUMNS($AN$1006:BO1006),$AN$1006:$BO$1006,0))&gt;=100000), " ",IF(INDEX($AN$2:$BO$1001,MATCH(ROWS($AG$2:AG53),$AG$2:$AG$1001,0),MATCH(COLUMNS($AN$1006:BO1006),$AN$1006:$BO$1006,0)), HYPERLINK("#",""), HYPERLINK(CONCATENATE("#Metadata!", ADDRESS(INDEX($AI$2:$AI$1001,MATCH(ROWS($AG$2:AG53),$AG$2:$AG$1001,0),0), INDEX($AN$1004:$BO$1004,1,MATCH(COLUMNS($AN$1006:BO1006),$AN$1006:$BO$1006,0)))),"Fix")))</f>
        <v>0</v>
      </c>
      <c r="AG53">
        <v>0</v>
      </c>
      <c r="AH53">
        <v>0</v>
      </c>
      <c r="AI53">
        <v>0</v>
      </c>
      <c r="AJ53">
        <f>IF(AK53,TRUE,AND(AN53:BO53))</f>
        <v>0</v>
      </c>
      <c r="AK53">
        <f>COUNTBLANK(Metadata!B53:AC53)=COLUMNS(Metadata!B53:AC53)</f>
        <v>0</v>
      </c>
      <c r="AL53">
        <v>0</v>
      </c>
      <c r="AN53">
        <f>AND(IF(Metadata!B53="",FALSE,TRUE),COUNTIF(Metadata!B:B, Metadata!B53) = 1,NOT(ISERROR(SUMPRODUCT(SEARCH(MID(Metadata!B53,ROW(INDIRECT("1:"&amp;LEN(Metadata!B53))), 1),"0123456789abcdefghijklmnopqrstuvwxyzABCDEFGHIJKLMNOPQRSTUVWXYZ.")))))</f>
        <v>0</v>
      </c>
      <c r="AO53">
        <f>IF(Metadata!C53="",FALSE,TRUE)</f>
        <v>0</v>
      </c>
      <c r="AP53">
        <f>IF(Metadata!D53="",FALSE,TRUE)</f>
        <v>0</v>
      </c>
      <c r="AQ53">
        <f>OR(AND(IF(Metadata!E53="",FALSE,TRUE),OR(exact(Metadata!E53,"not collected"),exact(Metadata!E53,"not provided"),exact(Metadata!E53,"restricted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R53">
        <f>IF(Metadata!F53="",FALSE,TRUE)</f>
        <v>0</v>
      </c>
      <c r="AS53">
        <f>OR(AND(IF(Metadata!G53="",FALSE,TRUE),OR(exact(Metadata!G53,"not collected"),exact(Metadata!G53,"not provided"))),AND(IF(Metadata!G53="",FALSE,TRUE),OR(exact(Metadata!G53,"TRUE"),exact(Metadata!G53,"FALSE"))))</f>
        <v>0</v>
      </c>
      <c r="AT53">
        <f>OR(AND(IF(Metadata!H53="",FALSE,TRUE),OR(exact(Metadata!H53,"not collected"),exact(Metadata!H53,"not provided"),exact(Metadata!H53,"restricted access"))),AND(IF(Metadata!H53="",FALSE,ISNUMBER(VALUE(Metadata!H53))),Metadata!H53&gt;=-413.0))</f>
        <v>0</v>
      </c>
      <c r="AU53">
        <f>AND(IF(Metadata!I53="",FALSE,TRUE),exact(Metadata!I53,"meters"))</f>
        <v>0</v>
      </c>
      <c r="AV53">
        <f>AND(IF(Metadata!J53="",FALSE,TRUE),OR(exact(Metadata!J53,"Host-associated"),exact(Metadata!J53,"Free-living")))</f>
        <v>0</v>
      </c>
      <c r="AW53">
        <f>AND(IF(Metadata!K53="",FALSE,TRUE),OR(exact(Metadata!K53,"Animal"),exact(Metadata!K53,"Fungus"),exact(Metadata!K53,"Plant"),exact(Metadata!K53,"Saline"),exact(Metadata!K53,"Non-saline")))</f>
        <v>0</v>
      </c>
      <c r="AX53">
        <f>AND(IF(Metadata!L53="",FALSE,TRUE),OR(exact(Metadata!L53,"Plant secretion"),exact(Metadata!L53,"Plant rhizosphere"),exact(Metadata!L53,"Plant surface"),exact(Metadata!L53,"Plant corpus"),exact(Metadata!L53,"Fungus surface"),exact(Metadata!L53,"Fungus corpus"),exact(Metadata!L53,"Animal surface"),exact(Metadata!L53,"Animal proximal gut"),exact(Metadata!L53,"Animal corpus"),exact(Metadata!L53,"Animal distal gut"),exact(Metadata!L53,"Animal secretion"),exact(Metadata!L53,"Sub-surface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0</v>
      </c>
      <c r="AY53">
        <f>IF(Metadata!M53="",FALSE,TRUE)</f>
        <v>0</v>
      </c>
      <c r="AZ53">
        <f>IF(Metadata!N53="",FALSE,TRUE)</f>
        <v>0</v>
      </c>
      <c r="BA53">
        <f>IF(Metadata!O53="",FALSE,TRUE)</f>
        <v>0</v>
      </c>
      <c r="BB53">
        <f>OR(AND(IF(Metadata!P53="",FALSE,TRUE),OR(exact(Metadata!P53,"not collected"),exact(Metadata!P53,"not provided"),exact(Metadata!P53,"restricted access"))),AND(IF(Metadata!P53="",FALSE,TRUE),OR(exact(Metadata!P53,"air"),exact(Metadata!P53,"built environment"),exact(Metadata!P53,"host-associated"),exact(Metadata!P53,"human-associated"),exact(Metadata!P53,"human-skin"),exact(Metadata!P53,"human-oral"),exact(Metadata!P53,"human-gut"),exact(Metadata!P53,"human-vaginal"),exact(Metadata!P53,"microbial mat/biofilm"),exact(Metadata!P53,"misc environment"),exact(Metadata!P53,"plant-associated"),exact(Metadata!P53,"sediment"),exact(Metadata!P53,"soil"),exact(Metadata!P53,"wastewater/sludge"),exact(Metadata!P53,"water"))))</f>
        <v>0</v>
      </c>
      <c r="BC53">
        <f>IF(Metadata!Q53="",FALSE,TRUE)</f>
        <v>0</v>
      </c>
      <c r="BD53">
        <f>IF(Metadata!R53="",FALSE,TRUE)</f>
        <v>0</v>
      </c>
      <c r="BE53">
        <f>OR(AND(IF(Metadata!S53="",FALSE,TRUE),OR(exact(Metadata!S53,"not collected"),exact(Metadata!S53,"not provided"),exact(Metadata!S53,"restricted access"))),AND(IF(Metadata!S53="",FALSE,ISNUMBER(VALUE(Metadata!S53))),Metadata!S53&gt;=-90.00,Metadata!S53&lt;=90.00))</f>
        <v>0</v>
      </c>
      <c r="BF53">
        <f>AND(IF(Metadata!T53="",FALSE,TRUE),exact(Metadata!T53,"Decimal degrees"))</f>
        <v>0</v>
      </c>
      <c r="BG53">
        <f>OR(AND(IF(Metadata!U53="",FALSE,TRUE),OR(exact(Metadata!U53,"not collected"),exact(Metadata!U53,"not provided"),exact(Metadata!U53,"restricted access"))),AND(IF(Metadata!U53="",FALSE,ISNUMBER(VALUE(Metadata!U53))),Metadata!U53&gt;=-180.00,Metadata!U53&lt;=180.00))</f>
        <v>0</v>
      </c>
      <c r="BH53">
        <f>AND(IF(Metadata!V53="",FALSE,TRUE),exact(Metadata!V53,"Decimal degrees"))</f>
        <v>0</v>
      </c>
      <c r="BI53">
        <f>IF(Metadata!W53="",FALSE,TRUE)</f>
        <v>0</v>
      </c>
      <c r="BJ53">
        <f>OR(AND(IF(Metadata!X53="",FALSE,TRUE),OR(exact(Metadata!X53,"not collected"),exact(Metadata!X53,"not provided"),exact(Metadata!X53,"restricted access"))),AND(IF(Metadata!X53="",FALSE,TRUE),OR(exact(Metadata!X53,"TRUE"),exact(Metadata!X53,"FALSE"))))</f>
        <v>0</v>
      </c>
      <c r="BK53">
        <f>AND(IF(Metadata!Y53="",FALSE,TRUE),exact(Metadata!Y53,"other"))</f>
        <v>0</v>
      </c>
      <c r="BL53">
        <f>IF(Metadata!Z53="",FALSE,TRUE)</f>
        <v>0</v>
      </c>
      <c r="BM53">
        <f>OR(AND(IF(Metadata!AA53="",FALSE,TRUE),OR(exact(Metadata!AA53,"not collected"),exact(Metadata!AA53,"not provided"))),AND(IF(Metadata!AA53="",FALSE,IF(ISERROR(INT(Metadata!AA53)),FALSE,INT(Metadata!AA53)=Metadata!AA53)),Metadata!AA53&gt;0))</f>
        <v>0</v>
      </c>
      <c r="BN53">
        <f>AND(IF(Metadata!AB53="",FALSE,TRUE),exact(Metadata!AB53,"Not applicable"))</f>
        <v>0</v>
      </c>
      <c r="BO53">
        <f>IF(Metadata!AC53="",FALSE,TRUE)</f>
        <v>0</v>
      </c>
    </row>
    <row r="54" spans="1:67">
      <c r="A54" s="5">
        <f>IF(B54=" "," ",HYPERLINK(CONCATENATE("#metadata!",ADDRESS(INDEX($AI$2:$AI$1001,MATCH(ROWS($AG$2:AG54),$AG$2:$AG$1001,0),0),1)),INDEX($AL$2:$AL$1001,MATCH(ROWS($AG$2:AG54),$AG$2:$AG$1001,0),0)))</f>
        <v>0</v>
      </c>
      <c r="B54" s="4">
        <f>IF(OR(INDEX($AH$2:$AH$1001,MATCH(ROWS($AG$2:AG54),$AG$2:$AG$1001,0),1)&gt;=100000,INDEX($AN$1005:$BO$1005,1,MATCH(COLUMNS($AN$1006:AN1006),$AN$1006:$BO$1006,0))&gt;=100000), " ",IF(INDEX($AN$2:$BO$1001,MATCH(ROWS($AG$2:AG54),$AG$2:$AG$1001,0),MATCH(COLUMNS($AN$1006:AN1006),$AN$1006:$BO$1006,0)), HYPERLINK("#",""), HYPERLINK(CONCATENATE("#Metadata!", ADDRESS(INDEX($AI$2:$AI$1001,MATCH(ROWS($AG$2:AG54),$AG$2:$AG$1001,0),0), INDEX($AN$1004:$BO$1004,1,MATCH(COLUMNS($AN$1006:AN1006),$AN$1006:$BO$1006,0)))),"Fix")))</f>
        <v>0</v>
      </c>
      <c r="C54" s="4">
        <f>IF(OR(INDEX($AH$2:$AH$1001,MATCH(ROWS($AG$2:AG54),$AG$2:$AG$1001,0),1)&gt;=100000,INDEX($AN$1005:$BO$1005,1,MATCH(COLUMNS($AN$1006:AO1006),$AN$1006:$BO$1006,0))&gt;=100000), " ",IF(INDEX($AN$2:$BO$1001,MATCH(ROWS($AG$2:AG54),$AG$2:$AG$1001,0),MATCH(COLUMNS($AN$1006:AO1006),$AN$1006:$BO$1006,0)), HYPERLINK("#",""), HYPERLINK(CONCATENATE("#Metadata!", ADDRESS(INDEX($AI$2:$AI$1001,MATCH(ROWS($AG$2:AG54),$AG$2:$AG$1001,0),0), INDEX($AN$1004:$BO$1004,1,MATCH(COLUMNS($AN$1006:AO1006),$AN$1006:$BO$1006,0)))),"Fix")))</f>
        <v>0</v>
      </c>
      <c r="D54" s="4">
        <f>IF(OR(INDEX($AH$2:$AH$1001,MATCH(ROWS($AG$2:AG54),$AG$2:$AG$1001,0),1)&gt;=100000,INDEX($AN$1005:$BO$1005,1,MATCH(COLUMNS($AN$1006:AP1006),$AN$1006:$BO$1006,0))&gt;=100000), " ",IF(INDEX($AN$2:$BO$1001,MATCH(ROWS($AG$2:AG54),$AG$2:$AG$1001,0),MATCH(COLUMNS($AN$1006:AP1006),$AN$1006:$BO$1006,0)), HYPERLINK("#",""), HYPERLINK(CONCATENATE("#Metadata!", ADDRESS(INDEX($AI$2:$AI$1001,MATCH(ROWS($AG$2:AG54),$AG$2:$AG$1001,0),0), INDEX($AN$1004:$BO$1004,1,MATCH(COLUMNS($AN$1006:AP1006),$AN$1006:$BO$1006,0)))),"Fix")))</f>
        <v>0</v>
      </c>
      <c r="E54" s="4">
        <f>IF(OR(INDEX($AH$2:$AH$1001,MATCH(ROWS($AG$2:AG54),$AG$2:$AG$1001,0),1)&gt;=100000,INDEX($AN$1005:$BO$1005,1,MATCH(COLUMNS($AN$1006:AQ1006),$AN$1006:$BO$1006,0))&gt;=100000), " ",IF(INDEX($AN$2:$BO$1001,MATCH(ROWS($AG$2:AG54),$AG$2:$AG$1001,0),MATCH(COLUMNS($AN$1006:AQ1006),$AN$1006:$BO$1006,0)), HYPERLINK("#",""), HYPERLINK(CONCATENATE("#Metadata!", ADDRESS(INDEX($AI$2:$AI$1001,MATCH(ROWS($AG$2:AG54),$AG$2:$AG$1001,0),0), INDEX($AN$1004:$BO$1004,1,MATCH(COLUMNS($AN$1006:AQ1006),$AN$1006:$BO$1006,0)))),"Fix")))</f>
        <v>0</v>
      </c>
      <c r="F54" s="4">
        <f>IF(OR(INDEX($AH$2:$AH$1001,MATCH(ROWS($AG$2:AG54),$AG$2:$AG$1001,0),1)&gt;=100000,INDEX($AN$1005:$BO$1005,1,MATCH(COLUMNS($AN$1006:AR1006),$AN$1006:$BO$1006,0))&gt;=100000), " ",IF(INDEX($AN$2:$BO$1001,MATCH(ROWS($AG$2:AG54),$AG$2:$AG$1001,0),MATCH(COLUMNS($AN$1006:AR1006),$AN$1006:$BO$1006,0)), HYPERLINK("#",""), HYPERLINK(CONCATENATE("#Metadata!", ADDRESS(INDEX($AI$2:$AI$1001,MATCH(ROWS($AG$2:AG54),$AG$2:$AG$1001,0),0), INDEX($AN$1004:$BO$1004,1,MATCH(COLUMNS($AN$1006:AR1006),$AN$1006:$BO$1006,0)))),"Fix")))</f>
        <v>0</v>
      </c>
      <c r="G54" s="4">
        <f>IF(OR(INDEX($AH$2:$AH$1001,MATCH(ROWS($AG$2:AG54),$AG$2:$AG$1001,0),1)&gt;=100000,INDEX($AN$1005:$BO$1005,1,MATCH(COLUMNS($AN$1006:AS1006),$AN$1006:$BO$1006,0))&gt;=100000), " ",IF(INDEX($AN$2:$BO$1001,MATCH(ROWS($AG$2:AG54),$AG$2:$AG$1001,0),MATCH(COLUMNS($AN$1006:AS1006),$AN$1006:$BO$1006,0)), HYPERLINK("#",""), HYPERLINK(CONCATENATE("#Metadata!", ADDRESS(INDEX($AI$2:$AI$1001,MATCH(ROWS($AG$2:AG54),$AG$2:$AG$1001,0),0), INDEX($AN$1004:$BO$1004,1,MATCH(COLUMNS($AN$1006:AS1006),$AN$1006:$BO$1006,0)))),"Fix")))</f>
        <v>0</v>
      </c>
      <c r="H54" s="4">
        <f>IF(OR(INDEX($AH$2:$AH$1001,MATCH(ROWS($AG$2:AG54),$AG$2:$AG$1001,0),1)&gt;=100000,INDEX($AN$1005:$BO$1005,1,MATCH(COLUMNS($AN$1006:AT1006),$AN$1006:$BO$1006,0))&gt;=100000), " ",IF(INDEX($AN$2:$BO$1001,MATCH(ROWS($AG$2:AG54),$AG$2:$AG$1001,0),MATCH(COLUMNS($AN$1006:AT1006),$AN$1006:$BO$1006,0)), HYPERLINK("#",""), HYPERLINK(CONCATENATE("#Metadata!", ADDRESS(INDEX($AI$2:$AI$1001,MATCH(ROWS($AG$2:AG54),$AG$2:$AG$1001,0),0), INDEX($AN$1004:$BO$1004,1,MATCH(COLUMNS($AN$1006:AT1006),$AN$1006:$BO$1006,0)))),"Fix")))</f>
        <v>0</v>
      </c>
      <c r="I54" s="4">
        <f>IF(OR(INDEX($AH$2:$AH$1001,MATCH(ROWS($AG$2:AG54),$AG$2:$AG$1001,0),1)&gt;=100000,INDEX($AN$1005:$BO$1005,1,MATCH(COLUMNS($AN$1006:AU1006),$AN$1006:$BO$1006,0))&gt;=100000), " ",IF(INDEX($AN$2:$BO$1001,MATCH(ROWS($AG$2:AG54),$AG$2:$AG$1001,0),MATCH(COLUMNS($AN$1006:AU1006),$AN$1006:$BO$1006,0)), HYPERLINK("#",""), HYPERLINK(CONCATENATE("#Metadata!", ADDRESS(INDEX($AI$2:$AI$1001,MATCH(ROWS($AG$2:AG54),$AG$2:$AG$1001,0),0), INDEX($AN$1004:$BO$1004,1,MATCH(COLUMNS($AN$1006:AU1006),$AN$1006:$BO$1006,0)))),"Fix")))</f>
        <v>0</v>
      </c>
      <c r="J54" s="4">
        <f>IF(OR(INDEX($AH$2:$AH$1001,MATCH(ROWS($AG$2:AG54),$AG$2:$AG$1001,0),1)&gt;=100000,INDEX($AN$1005:$BO$1005,1,MATCH(COLUMNS($AN$1006:AV1006),$AN$1006:$BO$1006,0))&gt;=100000), " ",IF(INDEX($AN$2:$BO$1001,MATCH(ROWS($AG$2:AG54),$AG$2:$AG$1001,0),MATCH(COLUMNS($AN$1006:AV1006),$AN$1006:$BO$1006,0)), HYPERLINK("#",""), HYPERLINK(CONCATENATE("#Metadata!", ADDRESS(INDEX($AI$2:$AI$1001,MATCH(ROWS($AG$2:AG54),$AG$2:$AG$1001,0),0), INDEX($AN$1004:$BO$1004,1,MATCH(COLUMNS($AN$1006:AV1006),$AN$1006:$BO$1006,0)))),"Fix")))</f>
        <v>0</v>
      </c>
      <c r="K54" s="4">
        <f>IF(OR(INDEX($AH$2:$AH$1001,MATCH(ROWS($AG$2:AG54),$AG$2:$AG$1001,0),1)&gt;=100000,INDEX($AN$1005:$BO$1005,1,MATCH(COLUMNS($AN$1006:AW1006),$AN$1006:$BO$1006,0))&gt;=100000), " ",IF(INDEX($AN$2:$BO$1001,MATCH(ROWS($AG$2:AG54),$AG$2:$AG$1001,0),MATCH(COLUMNS($AN$1006:AW1006),$AN$1006:$BO$1006,0)), HYPERLINK("#",""), HYPERLINK(CONCATENATE("#Metadata!", ADDRESS(INDEX($AI$2:$AI$1001,MATCH(ROWS($AG$2:AG54),$AG$2:$AG$1001,0),0), INDEX($AN$1004:$BO$1004,1,MATCH(COLUMNS($AN$1006:AW1006),$AN$1006:$BO$1006,0)))),"Fix")))</f>
        <v>0</v>
      </c>
      <c r="L54" s="4">
        <f>IF(OR(INDEX($AH$2:$AH$1001,MATCH(ROWS($AG$2:AG54),$AG$2:$AG$1001,0),1)&gt;=100000,INDEX($AN$1005:$BO$1005,1,MATCH(COLUMNS($AN$1006:AX1006),$AN$1006:$BO$1006,0))&gt;=100000), " ",IF(INDEX($AN$2:$BO$1001,MATCH(ROWS($AG$2:AG54),$AG$2:$AG$1001,0),MATCH(COLUMNS($AN$1006:AX1006),$AN$1006:$BO$1006,0)), HYPERLINK("#",""), HYPERLINK(CONCATENATE("#Metadata!", ADDRESS(INDEX($AI$2:$AI$1001,MATCH(ROWS($AG$2:AG54),$AG$2:$AG$1001,0),0), INDEX($AN$1004:$BO$1004,1,MATCH(COLUMNS($AN$1006:AX1006),$AN$1006:$BO$1006,0)))),"Fix")))</f>
        <v>0</v>
      </c>
      <c r="M54" s="4">
        <f>IF(OR(INDEX($AH$2:$AH$1001,MATCH(ROWS($AG$2:AG54),$AG$2:$AG$1001,0),1)&gt;=100000,INDEX($AN$1005:$BO$1005,1,MATCH(COLUMNS($AN$1006:AY1006),$AN$1006:$BO$1006,0))&gt;=100000), " ",IF(INDEX($AN$2:$BO$1001,MATCH(ROWS($AG$2:AG54),$AG$2:$AG$1001,0),MATCH(COLUMNS($AN$1006:AY1006),$AN$1006:$BO$1006,0)), HYPERLINK("#",""), HYPERLINK(CONCATENATE("#Metadata!", ADDRESS(INDEX($AI$2:$AI$1001,MATCH(ROWS($AG$2:AG54),$AG$2:$AG$1001,0),0), INDEX($AN$1004:$BO$1004,1,MATCH(COLUMNS($AN$1006:AY1006),$AN$1006:$BO$1006,0)))),"Fix")))</f>
        <v>0</v>
      </c>
      <c r="N54" s="4">
        <f>IF(OR(INDEX($AH$2:$AH$1001,MATCH(ROWS($AG$2:AG54),$AG$2:$AG$1001,0),1)&gt;=100000,INDEX($AN$1005:$BO$1005,1,MATCH(COLUMNS($AN$1006:AZ1006),$AN$1006:$BO$1006,0))&gt;=100000), " ",IF(INDEX($AN$2:$BO$1001,MATCH(ROWS($AG$2:AG54),$AG$2:$AG$1001,0),MATCH(COLUMNS($AN$1006:AZ1006),$AN$1006:$BO$1006,0)), HYPERLINK("#",""), HYPERLINK(CONCATENATE("#Metadata!", ADDRESS(INDEX($AI$2:$AI$1001,MATCH(ROWS($AG$2:AG54),$AG$2:$AG$1001,0),0), INDEX($AN$1004:$BO$1004,1,MATCH(COLUMNS($AN$1006:AZ1006),$AN$1006:$BO$1006,0)))),"Fix")))</f>
        <v>0</v>
      </c>
      <c r="O54" s="4">
        <f>IF(OR(INDEX($AH$2:$AH$1001,MATCH(ROWS($AG$2:AG54),$AG$2:$AG$1001,0),1)&gt;=100000,INDEX($AN$1005:$BO$1005,1,MATCH(COLUMNS($AN$1006:BA1006),$AN$1006:$BO$1006,0))&gt;=100000), " ",IF(INDEX($AN$2:$BO$1001,MATCH(ROWS($AG$2:AG54),$AG$2:$AG$1001,0),MATCH(COLUMNS($AN$1006:BA1006),$AN$1006:$BO$1006,0)), HYPERLINK("#",""), HYPERLINK(CONCATENATE("#Metadata!", ADDRESS(INDEX($AI$2:$AI$1001,MATCH(ROWS($AG$2:AG54),$AG$2:$AG$1001,0),0), INDEX($AN$1004:$BO$1004,1,MATCH(COLUMNS($AN$1006:BA1006),$AN$1006:$BO$1006,0)))),"Fix")))</f>
        <v>0</v>
      </c>
      <c r="P54" s="4">
        <f>IF(OR(INDEX($AH$2:$AH$1001,MATCH(ROWS($AG$2:AG54),$AG$2:$AG$1001,0),1)&gt;=100000,INDEX($AN$1005:$BO$1005,1,MATCH(COLUMNS($AN$1006:BB1006),$AN$1006:$BO$1006,0))&gt;=100000), " ",IF(INDEX($AN$2:$BO$1001,MATCH(ROWS($AG$2:AG54),$AG$2:$AG$1001,0),MATCH(COLUMNS($AN$1006:BB1006),$AN$1006:$BO$1006,0)), HYPERLINK("#",""), HYPERLINK(CONCATENATE("#Metadata!", ADDRESS(INDEX($AI$2:$AI$1001,MATCH(ROWS($AG$2:AG54),$AG$2:$AG$1001,0),0), INDEX($AN$1004:$BO$1004,1,MATCH(COLUMNS($AN$1006:BB1006),$AN$1006:$BO$1006,0)))),"Fix")))</f>
        <v>0</v>
      </c>
      <c r="Q54" s="4">
        <f>IF(OR(INDEX($AH$2:$AH$1001,MATCH(ROWS($AG$2:AG54),$AG$2:$AG$1001,0),1)&gt;=100000,INDEX($AN$1005:$BO$1005,1,MATCH(COLUMNS($AN$1006:BC1006),$AN$1006:$BO$1006,0))&gt;=100000), " ",IF(INDEX($AN$2:$BO$1001,MATCH(ROWS($AG$2:AG54),$AG$2:$AG$1001,0),MATCH(COLUMNS($AN$1006:BC1006),$AN$1006:$BO$1006,0)), HYPERLINK("#",""), HYPERLINK(CONCATENATE("#Metadata!", ADDRESS(INDEX($AI$2:$AI$1001,MATCH(ROWS($AG$2:AG54),$AG$2:$AG$1001,0),0), INDEX($AN$1004:$BO$1004,1,MATCH(COLUMNS($AN$1006:BC1006),$AN$1006:$BO$1006,0)))),"Fix")))</f>
        <v>0</v>
      </c>
      <c r="R54" s="4">
        <f>IF(OR(INDEX($AH$2:$AH$1001,MATCH(ROWS($AG$2:AG54),$AG$2:$AG$1001,0),1)&gt;=100000,INDEX($AN$1005:$BO$1005,1,MATCH(COLUMNS($AN$1006:BD1006),$AN$1006:$BO$1006,0))&gt;=100000), " ",IF(INDEX($AN$2:$BO$1001,MATCH(ROWS($AG$2:AG54),$AG$2:$AG$1001,0),MATCH(COLUMNS($AN$1006:BD1006),$AN$1006:$BO$1006,0)), HYPERLINK("#",""), HYPERLINK(CONCATENATE("#Metadata!", ADDRESS(INDEX($AI$2:$AI$1001,MATCH(ROWS($AG$2:AG54),$AG$2:$AG$1001,0),0), INDEX($AN$1004:$BO$1004,1,MATCH(COLUMNS($AN$1006:BD1006),$AN$1006:$BO$1006,0)))),"Fix")))</f>
        <v>0</v>
      </c>
      <c r="S54" s="4">
        <f>IF(OR(INDEX($AH$2:$AH$1001,MATCH(ROWS($AG$2:AG54),$AG$2:$AG$1001,0),1)&gt;=100000,INDEX($AN$1005:$BO$1005,1,MATCH(COLUMNS($AN$1006:BE1006),$AN$1006:$BO$1006,0))&gt;=100000), " ",IF(INDEX($AN$2:$BO$1001,MATCH(ROWS($AG$2:AG54),$AG$2:$AG$1001,0),MATCH(COLUMNS($AN$1006:BE1006),$AN$1006:$BO$1006,0)), HYPERLINK("#",""), HYPERLINK(CONCATENATE("#Metadata!", ADDRESS(INDEX($AI$2:$AI$1001,MATCH(ROWS($AG$2:AG54),$AG$2:$AG$1001,0),0), INDEX($AN$1004:$BO$1004,1,MATCH(COLUMNS($AN$1006:BE1006),$AN$1006:$BO$1006,0)))),"Fix")))</f>
        <v>0</v>
      </c>
      <c r="T54" s="4">
        <f>IF(OR(INDEX($AH$2:$AH$1001,MATCH(ROWS($AG$2:AG54),$AG$2:$AG$1001,0),1)&gt;=100000,INDEX($AN$1005:$BO$1005,1,MATCH(COLUMNS($AN$1006:BF1006),$AN$1006:$BO$1006,0))&gt;=100000), " ",IF(INDEX($AN$2:$BO$1001,MATCH(ROWS($AG$2:AG54),$AG$2:$AG$1001,0),MATCH(COLUMNS($AN$1006:BF1006),$AN$1006:$BO$1006,0)), HYPERLINK("#",""), HYPERLINK(CONCATENATE("#Metadata!", ADDRESS(INDEX($AI$2:$AI$1001,MATCH(ROWS($AG$2:AG54),$AG$2:$AG$1001,0),0), INDEX($AN$1004:$BO$1004,1,MATCH(COLUMNS($AN$1006:BF1006),$AN$1006:$BO$1006,0)))),"Fix")))</f>
        <v>0</v>
      </c>
      <c r="U54" s="4">
        <f>IF(OR(INDEX($AH$2:$AH$1001,MATCH(ROWS($AG$2:AG54),$AG$2:$AG$1001,0),1)&gt;=100000,INDEX($AN$1005:$BO$1005,1,MATCH(COLUMNS($AN$1006:BG1006),$AN$1006:$BO$1006,0))&gt;=100000), " ",IF(INDEX($AN$2:$BO$1001,MATCH(ROWS($AG$2:AG54),$AG$2:$AG$1001,0),MATCH(COLUMNS($AN$1006:BG1006),$AN$1006:$BO$1006,0)), HYPERLINK("#",""), HYPERLINK(CONCATENATE("#Metadata!", ADDRESS(INDEX($AI$2:$AI$1001,MATCH(ROWS($AG$2:AG54),$AG$2:$AG$1001,0),0), INDEX($AN$1004:$BO$1004,1,MATCH(COLUMNS($AN$1006:BG1006),$AN$1006:$BO$1006,0)))),"Fix")))</f>
        <v>0</v>
      </c>
      <c r="V54" s="4">
        <f>IF(OR(INDEX($AH$2:$AH$1001,MATCH(ROWS($AG$2:AG54),$AG$2:$AG$1001,0),1)&gt;=100000,INDEX($AN$1005:$BO$1005,1,MATCH(COLUMNS($AN$1006:BH1006),$AN$1006:$BO$1006,0))&gt;=100000), " ",IF(INDEX($AN$2:$BO$1001,MATCH(ROWS($AG$2:AG54),$AG$2:$AG$1001,0),MATCH(COLUMNS($AN$1006:BH1006),$AN$1006:$BO$1006,0)), HYPERLINK("#",""), HYPERLINK(CONCATENATE("#Metadata!", ADDRESS(INDEX($AI$2:$AI$1001,MATCH(ROWS($AG$2:AG54),$AG$2:$AG$1001,0),0), INDEX($AN$1004:$BO$1004,1,MATCH(COLUMNS($AN$1006:BH1006),$AN$1006:$BO$1006,0)))),"Fix")))</f>
        <v>0</v>
      </c>
      <c r="W54" s="4">
        <f>IF(OR(INDEX($AH$2:$AH$1001,MATCH(ROWS($AG$2:AG54),$AG$2:$AG$1001,0),1)&gt;=100000,INDEX($AN$1005:$BO$1005,1,MATCH(COLUMNS($AN$1006:BI1006),$AN$1006:$BO$1006,0))&gt;=100000), " ",IF(INDEX($AN$2:$BO$1001,MATCH(ROWS($AG$2:AG54),$AG$2:$AG$1001,0),MATCH(COLUMNS($AN$1006:BI1006),$AN$1006:$BO$1006,0)), HYPERLINK("#",""), HYPERLINK(CONCATENATE("#Metadata!", ADDRESS(INDEX($AI$2:$AI$1001,MATCH(ROWS($AG$2:AG54),$AG$2:$AG$1001,0),0), INDEX($AN$1004:$BO$1004,1,MATCH(COLUMNS($AN$1006:BI1006),$AN$1006:$BO$1006,0)))),"Fix")))</f>
        <v>0</v>
      </c>
      <c r="X54" s="4">
        <f>IF(OR(INDEX($AH$2:$AH$1001,MATCH(ROWS($AG$2:AG54),$AG$2:$AG$1001,0),1)&gt;=100000,INDEX($AN$1005:$BO$1005,1,MATCH(COLUMNS($AN$1006:BJ1006),$AN$1006:$BO$1006,0))&gt;=100000), " ",IF(INDEX($AN$2:$BO$1001,MATCH(ROWS($AG$2:AG54),$AG$2:$AG$1001,0),MATCH(COLUMNS($AN$1006:BJ1006),$AN$1006:$BO$1006,0)), HYPERLINK("#",""), HYPERLINK(CONCATENATE("#Metadata!", ADDRESS(INDEX($AI$2:$AI$1001,MATCH(ROWS($AG$2:AG54),$AG$2:$AG$1001,0),0), INDEX($AN$1004:$BO$1004,1,MATCH(COLUMNS($AN$1006:BJ1006),$AN$1006:$BO$1006,0)))),"Fix")))</f>
        <v>0</v>
      </c>
      <c r="Y54" s="4">
        <f>IF(OR(INDEX($AH$2:$AH$1001,MATCH(ROWS($AG$2:AG54),$AG$2:$AG$1001,0),1)&gt;=100000,INDEX($AN$1005:$BO$1005,1,MATCH(COLUMNS($AN$1006:BK1006),$AN$1006:$BO$1006,0))&gt;=100000), " ",IF(INDEX($AN$2:$BO$1001,MATCH(ROWS($AG$2:AG54),$AG$2:$AG$1001,0),MATCH(COLUMNS($AN$1006:BK1006),$AN$1006:$BO$1006,0)), HYPERLINK("#",""), HYPERLINK(CONCATENATE("#Metadata!", ADDRESS(INDEX($AI$2:$AI$1001,MATCH(ROWS($AG$2:AG54),$AG$2:$AG$1001,0),0), INDEX($AN$1004:$BO$1004,1,MATCH(COLUMNS($AN$1006:BK1006),$AN$1006:$BO$1006,0)))),"Fix")))</f>
        <v>0</v>
      </c>
      <c r="Z54" s="4">
        <f>IF(OR(INDEX($AH$2:$AH$1001,MATCH(ROWS($AG$2:AG54),$AG$2:$AG$1001,0),1)&gt;=100000,INDEX($AN$1005:$BO$1005,1,MATCH(COLUMNS($AN$1006:BL1006),$AN$1006:$BO$1006,0))&gt;=100000), " ",IF(INDEX($AN$2:$BO$1001,MATCH(ROWS($AG$2:AG54),$AG$2:$AG$1001,0),MATCH(COLUMNS($AN$1006:BL1006),$AN$1006:$BO$1006,0)), HYPERLINK("#",""), HYPERLINK(CONCATENATE("#Metadata!", ADDRESS(INDEX($AI$2:$AI$1001,MATCH(ROWS($AG$2:AG54),$AG$2:$AG$1001,0),0), INDEX($AN$1004:$BO$1004,1,MATCH(COLUMNS($AN$1006:BL1006),$AN$1006:$BO$1006,0)))),"Fix")))</f>
        <v>0</v>
      </c>
      <c r="AA54" s="4">
        <f>IF(OR(INDEX($AH$2:$AH$1001,MATCH(ROWS($AG$2:AG54),$AG$2:$AG$1001,0),1)&gt;=100000,INDEX($AN$1005:$BO$1005,1,MATCH(COLUMNS($AN$1006:BM1006),$AN$1006:$BO$1006,0))&gt;=100000), " ",IF(INDEX($AN$2:$BO$1001,MATCH(ROWS($AG$2:AG54),$AG$2:$AG$1001,0),MATCH(COLUMNS($AN$1006:BM1006),$AN$1006:$BO$1006,0)), HYPERLINK("#",""), HYPERLINK(CONCATENATE("#Metadata!", ADDRESS(INDEX($AI$2:$AI$1001,MATCH(ROWS($AG$2:AG54),$AG$2:$AG$1001,0),0), INDEX($AN$1004:$BO$1004,1,MATCH(COLUMNS($AN$1006:BM1006),$AN$1006:$BO$1006,0)))),"Fix")))</f>
        <v>0</v>
      </c>
      <c r="AB54" s="4">
        <f>IF(OR(INDEX($AH$2:$AH$1001,MATCH(ROWS($AG$2:AG54),$AG$2:$AG$1001,0),1)&gt;=100000,INDEX($AN$1005:$BO$1005,1,MATCH(COLUMNS($AN$1006:BN1006),$AN$1006:$BO$1006,0))&gt;=100000), " ",IF(INDEX($AN$2:$BO$1001,MATCH(ROWS($AG$2:AG54),$AG$2:$AG$1001,0),MATCH(COLUMNS($AN$1006:BN1006),$AN$1006:$BO$1006,0)), HYPERLINK("#",""), HYPERLINK(CONCATENATE("#Metadata!", ADDRESS(INDEX($AI$2:$AI$1001,MATCH(ROWS($AG$2:AG54),$AG$2:$AG$1001,0),0), INDEX($AN$1004:$BO$1004,1,MATCH(COLUMNS($AN$1006:BN1006),$AN$1006:$BO$1006,0)))),"Fix")))</f>
        <v>0</v>
      </c>
      <c r="AC54" s="4">
        <f>IF(OR(INDEX($AH$2:$AH$1001,MATCH(ROWS($AG$2:AG54),$AG$2:$AG$1001,0),1)&gt;=100000,INDEX($AN$1005:$BO$1005,1,MATCH(COLUMNS($AN$1006:BO1006),$AN$1006:$BO$1006,0))&gt;=100000), " ",IF(INDEX($AN$2:$BO$1001,MATCH(ROWS($AG$2:AG54),$AG$2:$AG$1001,0),MATCH(COLUMNS($AN$1006:BO1006),$AN$1006:$BO$1006,0)), HYPERLINK("#",""), HYPERLINK(CONCATENATE("#Metadata!", ADDRESS(INDEX($AI$2:$AI$1001,MATCH(ROWS($AG$2:AG54),$AG$2:$AG$1001,0),0), INDEX($AN$1004:$BO$1004,1,MATCH(COLUMNS($AN$1006:BO1006),$AN$1006:$BO$1006,0)))),"Fix")))</f>
        <v>0</v>
      </c>
      <c r="AG54">
        <v>0</v>
      </c>
      <c r="AH54">
        <v>0</v>
      </c>
      <c r="AI54">
        <v>0</v>
      </c>
      <c r="AJ54">
        <f>IF(AK54,TRUE,AND(AN54:BO54))</f>
        <v>0</v>
      </c>
      <c r="AK54">
        <f>COUNTBLANK(Metadata!B54:AC54)=COLUMNS(Metadata!B54:AC54)</f>
        <v>0</v>
      </c>
      <c r="AL54">
        <v>0</v>
      </c>
      <c r="AN54">
        <f>AND(IF(Metadata!B54="",FALSE,TRUE),COUNTIF(Metadata!B:B, Metadata!B54) = 1,NOT(ISERROR(SUMPRODUCT(SEARCH(MID(Metadata!B54,ROW(INDIRECT("1:"&amp;LEN(Metadata!B54))), 1),"0123456789abcdefghijklmnopqrstuvwxyzABCDEFGHIJKLMNOPQRSTUVWXYZ.")))))</f>
        <v>0</v>
      </c>
      <c r="AO54">
        <f>IF(Metadata!C54="",FALSE,TRUE)</f>
        <v>0</v>
      </c>
      <c r="AP54">
        <f>IF(Metadata!D54="",FALSE,TRUE)</f>
        <v>0</v>
      </c>
      <c r="AQ54">
        <f>OR(AND(IF(Metadata!E54="",FALSE,TRUE),OR(exact(Metadata!E54,"not collected"),exact(Metadata!E54,"not provided"),exact(Metadata!E54,"restricted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0</v>
      </c>
      <c r="AR54">
        <f>IF(Metadata!F54="",FALSE,TRUE)</f>
        <v>0</v>
      </c>
      <c r="AS54">
        <f>OR(AND(IF(Metadata!G54="",FALSE,TRUE),OR(exact(Metadata!G54,"not collected"),exact(Metadata!G54,"not provided"))),AND(IF(Metadata!G54="",FALSE,TRUE),OR(exact(Metadata!G54,"TRUE"),exact(Metadata!G54,"FALSE"))))</f>
        <v>0</v>
      </c>
      <c r="AT54">
        <f>OR(AND(IF(Metadata!H54="",FALSE,TRUE),OR(exact(Metadata!H54,"not collected"),exact(Metadata!H54,"not provided"),exact(Metadata!H54,"restricted access"))),AND(IF(Metadata!H54="",FALSE,ISNUMBER(VALUE(Metadata!H54))),Metadata!H54&gt;=-413.0))</f>
        <v>0</v>
      </c>
      <c r="AU54">
        <f>AND(IF(Metadata!I54="",FALSE,TRUE),exact(Metadata!I54,"meters"))</f>
        <v>0</v>
      </c>
      <c r="AV54">
        <f>AND(IF(Metadata!J54="",FALSE,TRUE),OR(exact(Metadata!J54,"Host-associated"),exact(Metadata!J54,"Free-living")))</f>
        <v>0</v>
      </c>
      <c r="AW54">
        <f>AND(IF(Metadata!K54="",FALSE,TRUE),OR(exact(Metadata!K54,"Animal"),exact(Metadata!K54,"Fungus"),exact(Metadata!K54,"Plant"),exact(Metadata!K54,"Saline"),exact(Metadata!K54,"Non-saline")))</f>
        <v>0</v>
      </c>
      <c r="AX54">
        <f>AND(IF(Metadata!L54="",FALSE,TRUE),OR(exact(Metadata!L54,"Plant secretion"),exact(Metadata!L54,"Plant rhizosphere"),exact(Metadata!L54,"Plant surface"),exact(Metadata!L54,"Plant corpus"),exact(Metadata!L54,"Fungus surface"),exact(Metadata!L54,"Fungus corpus"),exact(Metadata!L54,"Animal surface"),exact(Metadata!L54,"Animal proximal gut"),exact(Metadata!L54,"Animal corpus"),exact(Metadata!L54,"Animal distal gut"),exact(Metadata!L54,"Animal secretion"),exact(Metadata!L54,"Sub-surface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0</v>
      </c>
      <c r="AY54">
        <f>IF(Metadata!M54="",FALSE,TRUE)</f>
        <v>0</v>
      </c>
      <c r="AZ54">
        <f>IF(Metadata!N54="",FALSE,TRUE)</f>
        <v>0</v>
      </c>
      <c r="BA54">
        <f>IF(Metadata!O54="",FALSE,TRUE)</f>
        <v>0</v>
      </c>
      <c r="BB54">
        <f>OR(AND(IF(Metadata!P54="",FALSE,TRUE),OR(exact(Metadata!P54,"not collected"),exact(Metadata!P54,"not provided"),exact(Metadata!P54,"restricted access"))),AND(IF(Metadata!P54="",FALSE,TRUE),OR(exact(Metadata!P54,"air"),exact(Metadata!P54,"built environment"),exact(Metadata!P54,"host-associated"),exact(Metadata!P54,"human-associated"),exact(Metadata!P54,"human-skin"),exact(Metadata!P54,"human-oral"),exact(Metadata!P54,"human-gut"),exact(Metadata!P54,"human-vaginal"),exact(Metadata!P54,"microbial mat/biofilm"),exact(Metadata!P54,"misc environment"),exact(Metadata!P54,"plant-associated"),exact(Metadata!P54,"sediment"),exact(Metadata!P54,"soil"),exact(Metadata!P54,"wastewater/sludge"),exact(Metadata!P54,"water"))))</f>
        <v>0</v>
      </c>
      <c r="BC54">
        <f>IF(Metadata!Q54="",FALSE,TRUE)</f>
        <v>0</v>
      </c>
      <c r="BD54">
        <f>IF(Metadata!R54="",FALSE,TRUE)</f>
        <v>0</v>
      </c>
      <c r="BE54">
        <f>OR(AND(IF(Metadata!S54="",FALSE,TRUE),OR(exact(Metadata!S54,"not collected"),exact(Metadata!S54,"not provided"),exact(Metadata!S54,"restricted access"))),AND(IF(Metadata!S54="",FALSE,ISNUMBER(VALUE(Metadata!S54))),Metadata!S54&gt;=-90.00,Metadata!S54&lt;=90.00))</f>
        <v>0</v>
      </c>
      <c r="BF54">
        <f>AND(IF(Metadata!T54="",FALSE,TRUE),exact(Metadata!T54,"Decimal degrees"))</f>
        <v>0</v>
      </c>
      <c r="BG54">
        <f>OR(AND(IF(Metadata!U54="",FALSE,TRUE),OR(exact(Metadata!U54,"not collected"),exact(Metadata!U54,"not provided"),exact(Metadata!U54,"restricted access"))),AND(IF(Metadata!U54="",FALSE,ISNUMBER(VALUE(Metadata!U54))),Metadata!U54&gt;=-180.00,Metadata!U54&lt;=180.00))</f>
        <v>0</v>
      </c>
      <c r="BH54">
        <f>AND(IF(Metadata!V54="",FALSE,TRUE),exact(Metadata!V54,"Decimal degrees"))</f>
        <v>0</v>
      </c>
      <c r="BI54">
        <f>IF(Metadata!W54="",FALSE,TRUE)</f>
        <v>0</v>
      </c>
      <c r="BJ54">
        <f>OR(AND(IF(Metadata!X54="",FALSE,TRUE),OR(exact(Metadata!X54,"not collected"),exact(Metadata!X54,"not provided"),exact(Metadata!X54,"restricted access"))),AND(IF(Metadata!X54="",FALSE,TRUE),OR(exact(Metadata!X54,"TRUE"),exact(Metadata!X54,"FALSE"))))</f>
        <v>0</v>
      </c>
      <c r="BK54">
        <f>AND(IF(Metadata!Y54="",FALSE,TRUE),exact(Metadata!Y54,"other"))</f>
        <v>0</v>
      </c>
      <c r="BL54">
        <f>IF(Metadata!Z54="",FALSE,TRUE)</f>
        <v>0</v>
      </c>
      <c r="BM54">
        <f>OR(AND(IF(Metadata!AA54="",FALSE,TRUE),OR(exact(Metadata!AA54,"not collected"),exact(Metadata!AA54,"not provided"))),AND(IF(Metadata!AA54="",FALSE,IF(ISERROR(INT(Metadata!AA54)),FALSE,INT(Metadata!AA54)=Metadata!AA54)),Metadata!AA54&gt;0))</f>
        <v>0</v>
      </c>
      <c r="BN54">
        <f>AND(IF(Metadata!AB54="",FALSE,TRUE),exact(Metadata!AB54,"Not applicable"))</f>
        <v>0</v>
      </c>
      <c r="BO54">
        <f>IF(Metadata!AC54="",FALSE,TRUE)</f>
        <v>0</v>
      </c>
    </row>
    <row r="55" spans="1:67">
      <c r="A55" s="5">
        <f>IF(B55=" "," ",HYPERLINK(CONCATENATE("#metadata!",ADDRESS(INDEX($AI$2:$AI$1001,MATCH(ROWS($AG$2:AG55),$AG$2:$AG$1001,0),0),1)),INDEX($AL$2:$AL$1001,MATCH(ROWS($AG$2:AG55),$AG$2:$AG$1001,0),0)))</f>
        <v>0</v>
      </c>
      <c r="B55" s="4">
        <f>IF(OR(INDEX($AH$2:$AH$1001,MATCH(ROWS($AG$2:AG55),$AG$2:$AG$1001,0),1)&gt;=100000,INDEX($AN$1005:$BO$1005,1,MATCH(COLUMNS($AN$1006:AN1006),$AN$1006:$BO$1006,0))&gt;=100000), " ",IF(INDEX($AN$2:$BO$1001,MATCH(ROWS($AG$2:AG55),$AG$2:$AG$1001,0),MATCH(COLUMNS($AN$1006:AN1006),$AN$1006:$BO$1006,0)), HYPERLINK("#",""), HYPERLINK(CONCATENATE("#Metadata!", ADDRESS(INDEX($AI$2:$AI$1001,MATCH(ROWS($AG$2:AG55),$AG$2:$AG$1001,0),0), INDEX($AN$1004:$BO$1004,1,MATCH(COLUMNS($AN$1006:AN1006),$AN$1006:$BO$1006,0)))),"Fix")))</f>
        <v>0</v>
      </c>
      <c r="C55" s="4">
        <f>IF(OR(INDEX($AH$2:$AH$1001,MATCH(ROWS($AG$2:AG55),$AG$2:$AG$1001,0),1)&gt;=100000,INDEX($AN$1005:$BO$1005,1,MATCH(COLUMNS($AN$1006:AO1006),$AN$1006:$BO$1006,0))&gt;=100000), " ",IF(INDEX($AN$2:$BO$1001,MATCH(ROWS($AG$2:AG55),$AG$2:$AG$1001,0),MATCH(COLUMNS($AN$1006:AO1006),$AN$1006:$BO$1006,0)), HYPERLINK("#",""), HYPERLINK(CONCATENATE("#Metadata!", ADDRESS(INDEX($AI$2:$AI$1001,MATCH(ROWS($AG$2:AG55),$AG$2:$AG$1001,0),0), INDEX($AN$1004:$BO$1004,1,MATCH(COLUMNS($AN$1006:AO1006),$AN$1006:$BO$1006,0)))),"Fix")))</f>
        <v>0</v>
      </c>
      <c r="D55" s="4">
        <f>IF(OR(INDEX($AH$2:$AH$1001,MATCH(ROWS($AG$2:AG55),$AG$2:$AG$1001,0),1)&gt;=100000,INDEX($AN$1005:$BO$1005,1,MATCH(COLUMNS($AN$1006:AP1006),$AN$1006:$BO$1006,0))&gt;=100000), " ",IF(INDEX($AN$2:$BO$1001,MATCH(ROWS($AG$2:AG55),$AG$2:$AG$1001,0),MATCH(COLUMNS($AN$1006:AP1006),$AN$1006:$BO$1006,0)), HYPERLINK("#",""), HYPERLINK(CONCATENATE("#Metadata!", ADDRESS(INDEX($AI$2:$AI$1001,MATCH(ROWS($AG$2:AG55),$AG$2:$AG$1001,0),0), INDEX($AN$1004:$BO$1004,1,MATCH(COLUMNS($AN$1006:AP1006),$AN$1006:$BO$1006,0)))),"Fix")))</f>
        <v>0</v>
      </c>
      <c r="E55" s="4">
        <f>IF(OR(INDEX($AH$2:$AH$1001,MATCH(ROWS($AG$2:AG55),$AG$2:$AG$1001,0),1)&gt;=100000,INDEX($AN$1005:$BO$1005,1,MATCH(COLUMNS($AN$1006:AQ1006),$AN$1006:$BO$1006,0))&gt;=100000), " ",IF(INDEX($AN$2:$BO$1001,MATCH(ROWS($AG$2:AG55),$AG$2:$AG$1001,0),MATCH(COLUMNS($AN$1006:AQ1006),$AN$1006:$BO$1006,0)), HYPERLINK("#",""), HYPERLINK(CONCATENATE("#Metadata!", ADDRESS(INDEX($AI$2:$AI$1001,MATCH(ROWS($AG$2:AG55),$AG$2:$AG$1001,0),0), INDEX($AN$1004:$BO$1004,1,MATCH(COLUMNS($AN$1006:AQ1006),$AN$1006:$BO$1006,0)))),"Fix")))</f>
        <v>0</v>
      </c>
      <c r="F55" s="4">
        <f>IF(OR(INDEX($AH$2:$AH$1001,MATCH(ROWS($AG$2:AG55),$AG$2:$AG$1001,0),1)&gt;=100000,INDEX($AN$1005:$BO$1005,1,MATCH(COLUMNS($AN$1006:AR1006),$AN$1006:$BO$1006,0))&gt;=100000), " ",IF(INDEX($AN$2:$BO$1001,MATCH(ROWS($AG$2:AG55),$AG$2:$AG$1001,0),MATCH(COLUMNS($AN$1006:AR1006),$AN$1006:$BO$1006,0)), HYPERLINK("#",""), HYPERLINK(CONCATENATE("#Metadata!", ADDRESS(INDEX($AI$2:$AI$1001,MATCH(ROWS($AG$2:AG55),$AG$2:$AG$1001,0),0), INDEX($AN$1004:$BO$1004,1,MATCH(COLUMNS($AN$1006:AR1006),$AN$1006:$BO$1006,0)))),"Fix")))</f>
        <v>0</v>
      </c>
      <c r="G55" s="4">
        <f>IF(OR(INDEX($AH$2:$AH$1001,MATCH(ROWS($AG$2:AG55),$AG$2:$AG$1001,0),1)&gt;=100000,INDEX($AN$1005:$BO$1005,1,MATCH(COLUMNS($AN$1006:AS1006),$AN$1006:$BO$1006,0))&gt;=100000), " ",IF(INDEX($AN$2:$BO$1001,MATCH(ROWS($AG$2:AG55),$AG$2:$AG$1001,0),MATCH(COLUMNS($AN$1006:AS1006),$AN$1006:$BO$1006,0)), HYPERLINK("#",""), HYPERLINK(CONCATENATE("#Metadata!", ADDRESS(INDEX($AI$2:$AI$1001,MATCH(ROWS($AG$2:AG55),$AG$2:$AG$1001,0),0), INDEX($AN$1004:$BO$1004,1,MATCH(COLUMNS($AN$1006:AS1006),$AN$1006:$BO$1006,0)))),"Fix")))</f>
        <v>0</v>
      </c>
      <c r="H55" s="4">
        <f>IF(OR(INDEX($AH$2:$AH$1001,MATCH(ROWS($AG$2:AG55),$AG$2:$AG$1001,0),1)&gt;=100000,INDEX($AN$1005:$BO$1005,1,MATCH(COLUMNS($AN$1006:AT1006),$AN$1006:$BO$1006,0))&gt;=100000), " ",IF(INDEX($AN$2:$BO$1001,MATCH(ROWS($AG$2:AG55),$AG$2:$AG$1001,0),MATCH(COLUMNS($AN$1006:AT1006),$AN$1006:$BO$1006,0)), HYPERLINK("#",""), HYPERLINK(CONCATENATE("#Metadata!", ADDRESS(INDEX($AI$2:$AI$1001,MATCH(ROWS($AG$2:AG55),$AG$2:$AG$1001,0),0), INDEX($AN$1004:$BO$1004,1,MATCH(COLUMNS($AN$1006:AT1006),$AN$1006:$BO$1006,0)))),"Fix")))</f>
        <v>0</v>
      </c>
      <c r="I55" s="4">
        <f>IF(OR(INDEX($AH$2:$AH$1001,MATCH(ROWS($AG$2:AG55),$AG$2:$AG$1001,0),1)&gt;=100000,INDEX($AN$1005:$BO$1005,1,MATCH(COLUMNS($AN$1006:AU1006),$AN$1006:$BO$1006,0))&gt;=100000), " ",IF(INDEX($AN$2:$BO$1001,MATCH(ROWS($AG$2:AG55),$AG$2:$AG$1001,0),MATCH(COLUMNS($AN$1006:AU1006),$AN$1006:$BO$1006,0)), HYPERLINK("#",""), HYPERLINK(CONCATENATE("#Metadata!", ADDRESS(INDEX($AI$2:$AI$1001,MATCH(ROWS($AG$2:AG55),$AG$2:$AG$1001,0),0), INDEX($AN$1004:$BO$1004,1,MATCH(COLUMNS($AN$1006:AU1006),$AN$1006:$BO$1006,0)))),"Fix")))</f>
        <v>0</v>
      </c>
      <c r="J55" s="4">
        <f>IF(OR(INDEX($AH$2:$AH$1001,MATCH(ROWS($AG$2:AG55),$AG$2:$AG$1001,0),1)&gt;=100000,INDEX($AN$1005:$BO$1005,1,MATCH(COLUMNS($AN$1006:AV1006),$AN$1006:$BO$1006,0))&gt;=100000), " ",IF(INDEX($AN$2:$BO$1001,MATCH(ROWS($AG$2:AG55),$AG$2:$AG$1001,0),MATCH(COLUMNS($AN$1006:AV1006),$AN$1006:$BO$1006,0)), HYPERLINK("#",""), HYPERLINK(CONCATENATE("#Metadata!", ADDRESS(INDEX($AI$2:$AI$1001,MATCH(ROWS($AG$2:AG55),$AG$2:$AG$1001,0),0), INDEX($AN$1004:$BO$1004,1,MATCH(COLUMNS($AN$1006:AV1006),$AN$1006:$BO$1006,0)))),"Fix")))</f>
        <v>0</v>
      </c>
      <c r="K55" s="4">
        <f>IF(OR(INDEX($AH$2:$AH$1001,MATCH(ROWS($AG$2:AG55),$AG$2:$AG$1001,0),1)&gt;=100000,INDEX($AN$1005:$BO$1005,1,MATCH(COLUMNS($AN$1006:AW1006),$AN$1006:$BO$1006,0))&gt;=100000), " ",IF(INDEX($AN$2:$BO$1001,MATCH(ROWS($AG$2:AG55),$AG$2:$AG$1001,0),MATCH(COLUMNS($AN$1006:AW1006),$AN$1006:$BO$1006,0)), HYPERLINK("#",""), HYPERLINK(CONCATENATE("#Metadata!", ADDRESS(INDEX($AI$2:$AI$1001,MATCH(ROWS($AG$2:AG55),$AG$2:$AG$1001,0),0), INDEX($AN$1004:$BO$1004,1,MATCH(COLUMNS($AN$1006:AW1006),$AN$1006:$BO$1006,0)))),"Fix")))</f>
        <v>0</v>
      </c>
      <c r="L55" s="4">
        <f>IF(OR(INDEX($AH$2:$AH$1001,MATCH(ROWS($AG$2:AG55),$AG$2:$AG$1001,0),1)&gt;=100000,INDEX($AN$1005:$BO$1005,1,MATCH(COLUMNS($AN$1006:AX1006),$AN$1006:$BO$1006,0))&gt;=100000), " ",IF(INDEX($AN$2:$BO$1001,MATCH(ROWS($AG$2:AG55),$AG$2:$AG$1001,0),MATCH(COLUMNS($AN$1006:AX1006),$AN$1006:$BO$1006,0)), HYPERLINK("#",""), HYPERLINK(CONCATENATE("#Metadata!", ADDRESS(INDEX($AI$2:$AI$1001,MATCH(ROWS($AG$2:AG55),$AG$2:$AG$1001,0),0), INDEX($AN$1004:$BO$1004,1,MATCH(COLUMNS($AN$1006:AX1006),$AN$1006:$BO$1006,0)))),"Fix")))</f>
        <v>0</v>
      </c>
      <c r="M55" s="4">
        <f>IF(OR(INDEX($AH$2:$AH$1001,MATCH(ROWS($AG$2:AG55),$AG$2:$AG$1001,0),1)&gt;=100000,INDEX($AN$1005:$BO$1005,1,MATCH(COLUMNS($AN$1006:AY1006),$AN$1006:$BO$1006,0))&gt;=100000), " ",IF(INDEX($AN$2:$BO$1001,MATCH(ROWS($AG$2:AG55),$AG$2:$AG$1001,0),MATCH(COLUMNS($AN$1006:AY1006),$AN$1006:$BO$1006,0)), HYPERLINK("#",""), HYPERLINK(CONCATENATE("#Metadata!", ADDRESS(INDEX($AI$2:$AI$1001,MATCH(ROWS($AG$2:AG55),$AG$2:$AG$1001,0),0), INDEX($AN$1004:$BO$1004,1,MATCH(COLUMNS($AN$1006:AY1006),$AN$1006:$BO$1006,0)))),"Fix")))</f>
        <v>0</v>
      </c>
      <c r="N55" s="4">
        <f>IF(OR(INDEX($AH$2:$AH$1001,MATCH(ROWS($AG$2:AG55),$AG$2:$AG$1001,0),1)&gt;=100000,INDEX($AN$1005:$BO$1005,1,MATCH(COLUMNS($AN$1006:AZ1006),$AN$1006:$BO$1006,0))&gt;=100000), " ",IF(INDEX($AN$2:$BO$1001,MATCH(ROWS($AG$2:AG55),$AG$2:$AG$1001,0),MATCH(COLUMNS($AN$1006:AZ1006),$AN$1006:$BO$1006,0)), HYPERLINK("#",""), HYPERLINK(CONCATENATE("#Metadata!", ADDRESS(INDEX($AI$2:$AI$1001,MATCH(ROWS($AG$2:AG55),$AG$2:$AG$1001,0),0), INDEX($AN$1004:$BO$1004,1,MATCH(COLUMNS($AN$1006:AZ1006),$AN$1006:$BO$1006,0)))),"Fix")))</f>
        <v>0</v>
      </c>
      <c r="O55" s="4">
        <f>IF(OR(INDEX($AH$2:$AH$1001,MATCH(ROWS($AG$2:AG55),$AG$2:$AG$1001,0),1)&gt;=100000,INDEX($AN$1005:$BO$1005,1,MATCH(COLUMNS($AN$1006:BA1006),$AN$1006:$BO$1006,0))&gt;=100000), " ",IF(INDEX($AN$2:$BO$1001,MATCH(ROWS($AG$2:AG55),$AG$2:$AG$1001,0),MATCH(COLUMNS($AN$1006:BA1006),$AN$1006:$BO$1006,0)), HYPERLINK("#",""), HYPERLINK(CONCATENATE("#Metadata!", ADDRESS(INDEX($AI$2:$AI$1001,MATCH(ROWS($AG$2:AG55),$AG$2:$AG$1001,0),0), INDEX($AN$1004:$BO$1004,1,MATCH(COLUMNS($AN$1006:BA1006),$AN$1006:$BO$1006,0)))),"Fix")))</f>
        <v>0</v>
      </c>
      <c r="P55" s="4">
        <f>IF(OR(INDEX($AH$2:$AH$1001,MATCH(ROWS($AG$2:AG55),$AG$2:$AG$1001,0),1)&gt;=100000,INDEX($AN$1005:$BO$1005,1,MATCH(COLUMNS($AN$1006:BB1006),$AN$1006:$BO$1006,0))&gt;=100000), " ",IF(INDEX($AN$2:$BO$1001,MATCH(ROWS($AG$2:AG55),$AG$2:$AG$1001,0),MATCH(COLUMNS($AN$1006:BB1006),$AN$1006:$BO$1006,0)), HYPERLINK("#",""), HYPERLINK(CONCATENATE("#Metadata!", ADDRESS(INDEX($AI$2:$AI$1001,MATCH(ROWS($AG$2:AG55),$AG$2:$AG$1001,0),0), INDEX($AN$1004:$BO$1004,1,MATCH(COLUMNS($AN$1006:BB1006),$AN$1006:$BO$1006,0)))),"Fix")))</f>
        <v>0</v>
      </c>
      <c r="Q55" s="4">
        <f>IF(OR(INDEX($AH$2:$AH$1001,MATCH(ROWS($AG$2:AG55),$AG$2:$AG$1001,0),1)&gt;=100000,INDEX($AN$1005:$BO$1005,1,MATCH(COLUMNS($AN$1006:BC1006),$AN$1006:$BO$1006,0))&gt;=100000), " ",IF(INDEX($AN$2:$BO$1001,MATCH(ROWS($AG$2:AG55),$AG$2:$AG$1001,0),MATCH(COLUMNS($AN$1006:BC1006),$AN$1006:$BO$1006,0)), HYPERLINK("#",""), HYPERLINK(CONCATENATE("#Metadata!", ADDRESS(INDEX($AI$2:$AI$1001,MATCH(ROWS($AG$2:AG55),$AG$2:$AG$1001,0),0), INDEX($AN$1004:$BO$1004,1,MATCH(COLUMNS($AN$1006:BC1006),$AN$1006:$BO$1006,0)))),"Fix")))</f>
        <v>0</v>
      </c>
      <c r="R55" s="4">
        <f>IF(OR(INDEX($AH$2:$AH$1001,MATCH(ROWS($AG$2:AG55),$AG$2:$AG$1001,0),1)&gt;=100000,INDEX($AN$1005:$BO$1005,1,MATCH(COLUMNS($AN$1006:BD1006),$AN$1006:$BO$1006,0))&gt;=100000), " ",IF(INDEX($AN$2:$BO$1001,MATCH(ROWS($AG$2:AG55),$AG$2:$AG$1001,0),MATCH(COLUMNS($AN$1006:BD1006),$AN$1006:$BO$1006,0)), HYPERLINK("#",""), HYPERLINK(CONCATENATE("#Metadata!", ADDRESS(INDEX($AI$2:$AI$1001,MATCH(ROWS($AG$2:AG55),$AG$2:$AG$1001,0),0), INDEX($AN$1004:$BO$1004,1,MATCH(COLUMNS($AN$1006:BD1006),$AN$1006:$BO$1006,0)))),"Fix")))</f>
        <v>0</v>
      </c>
      <c r="S55" s="4">
        <f>IF(OR(INDEX($AH$2:$AH$1001,MATCH(ROWS($AG$2:AG55),$AG$2:$AG$1001,0),1)&gt;=100000,INDEX($AN$1005:$BO$1005,1,MATCH(COLUMNS($AN$1006:BE1006),$AN$1006:$BO$1006,0))&gt;=100000), " ",IF(INDEX($AN$2:$BO$1001,MATCH(ROWS($AG$2:AG55),$AG$2:$AG$1001,0),MATCH(COLUMNS($AN$1006:BE1006),$AN$1006:$BO$1006,0)), HYPERLINK("#",""), HYPERLINK(CONCATENATE("#Metadata!", ADDRESS(INDEX($AI$2:$AI$1001,MATCH(ROWS($AG$2:AG55),$AG$2:$AG$1001,0),0), INDEX($AN$1004:$BO$1004,1,MATCH(COLUMNS($AN$1006:BE1006),$AN$1006:$BO$1006,0)))),"Fix")))</f>
        <v>0</v>
      </c>
      <c r="T55" s="4">
        <f>IF(OR(INDEX($AH$2:$AH$1001,MATCH(ROWS($AG$2:AG55),$AG$2:$AG$1001,0),1)&gt;=100000,INDEX($AN$1005:$BO$1005,1,MATCH(COLUMNS($AN$1006:BF1006),$AN$1006:$BO$1006,0))&gt;=100000), " ",IF(INDEX($AN$2:$BO$1001,MATCH(ROWS($AG$2:AG55),$AG$2:$AG$1001,0),MATCH(COLUMNS($AN$1006:BF1006),$AN$1006:$BO$1006,0)), HYPERLINK("#",""), HYPERLINK(CONCATENATE("#Metadata!", ADDRESS(INDEX($AI$2:$AI$1001,MATCH(ROWS($AG$2:AG55),$AG$2:$AG$1001,0),0), INDEX($AN$1004:$BO$1004,1,MATCH(COLUMNS($AN$1006:BF1006),$AN$1006:$BO$1006,0)))),"Fix")))</f>
        <v>0</v>
      </c>
      <c r="U55" s="4">
        <f>IF(OR(INDEX($AH$2:$AH$1001,MATCH(ROWS($AG$2:AG55),$AG$2:$AG$1001,0),1)&gt;=100000,INDEX($AN$1005:$BO$1005,1,MATCH(COLUMNS($AN$1006:BG1006),$AN$1006:$BO$1006,0))&gt;=100000), " ",IF(INDEX($AN$2:$BO$1001,MATCH(ROWS($AG$2:AG55),$AG$2:$AG$1001,0),MATCH(COLUMNS($AN$1006:BG1006),$AN$1006:$BO$1006,0)), HYPERLINK("#",""), HYPERLINK(CONCATENATE("#Metadata!", ADDRESS(INDEX($AI$2:$AI$1001,MATCH(ROWS($AG$2:AG55),$AG$2:$AG$1001,0),0), INDEX($AN$1004:$BO$1004,1,MATCH(COLUMNS($AN$1006:BG1006),$AN$1006:$BO$1006,0)))),"Fix")))</f>
        <v>0</v>
      </c>
      <c r="V55" s="4">
        <f>IF(OR(INDEX($AH$2:$AH$1001,MATCH(ROWS($AG$2:AG55),$AG$2:$AG$1001,0),1)&gt;=100000,INDEX($AN$1005:$BO$1005,1,MATCH(COLUMNS($AN$1006:BH1006),$AN$1006:$BO$1006,0))&gt;=100000), " ",IF(INDEX($AN$2:$BO$1001,MATCH(ROWS($AG$2:AG55),$AG$2:$AG$1001,0),MATCH(COLUMNS($AN$1006:BH1006),$AN$1006:$BO$1006,0)), HYPERLINK("#",""), HYPERLINK(CONCATENATE("#Metadata!", ADDRESS(INDEX($AI$2:$AI$1001,MATCH(ROWS($AG$2:AG55),$AG$2:$AG$1001,0),0), INDEX($AN$1004:$BO$1004,1,MATCH(COLUMNS($AN$1006:BH1006),$AN$1006:$BO$1006,0)))),"Fix")))</f>
        <v>0</v>
      </c>
      <c r="W55" s="4">
        <f>IF(OR(INDEX($AH$2:$AH$1001,MATCH(ROWS($AG$2:AG55),$AG$2:$AG$1001,0),1)&gt;=100000,INDEX($AN$1005:$BO$1005,1,MATCH(COLUMNS($AN$1006:BI1006),$AN$1006:$BO$1006,0))&gt;=100000), " ",IF(INDEX($AN$2:$BO$1001,MATCH(ROWS($AG$2:AG55),$AG$2:$AG$1001,0),MATCH(COLUMNS($AN$1006:BI1006),$AN$1006:$BO$1006,0)), HYPERLINK("#",""), HYPERLINK(CONCATENATE("#Metadata!", ADDRESS(INDEX($AI$2:$AI$1001,MATCH(ROWS($AG$2:AG55),$AG$2:$AG$1001,0),0), INDEX($AN$1004:$BO$1004,1,MATCH(COLUMNS($AN$1006:BI1006),$AN$1006:$BO$1006,0)))),"Fix")))</f>
        <v>0</v>
      </c>
      <c r="X55" s="4">
        <f>IF(OR(INDEX($AH$2:$AH$1001,MATCH(ROWS($AG$2:AG55),$AG$2:$AG$1001,0),1)&gt;=100000,INDEX($AN$1005:$BO$1005,1,MATCH(COLUMNS($AN$1006:BJ1006),$AN$1006:$BO$1006,0))&gt;=100000), " ",IF(INDEX($AN$2:$BO$1001,MATCH(ROWS($AG$2:AG55),$AG$2:$AG$1001,0),MATCH(COLUMNS($AN$1006:BJ1006),$AN$1006:$BO$1006,0)), HYPERLINK("#",""), HYPERLINK(CONCATENATE("#Metadata!", ADDRESS(INDEX($AI$2:$AI$1001,MATCH(ROWS($AG$2:AG55),$AG$2:$AG$1001,0),0), INDEX($AN$1004:$BO$1004,1,MATCH(COLUMNS($AN$1006:BJ1006),$AN$1006:$BO$1006,0)))),"Fix")))</f>
        <v>0</v>
      </c>
      <c r="Y55" s="4">
        <f>IF(OR(INDEX($AH$2:$AH$1001,MATCH(ROWS($AG$2:AG55),$AG$2:$AG$1001,0),1)&gt;=100000,INDEX($AN$1005:$BO$1005,1,MATCH(COLUMNS($AN$1006:BK1006),$AN$1006:$BO$1006,0))&gt;=100000), " ",IF(INDEX($AN$2:$BO$1001,MATCH(ROWS($AG$2:AG55),$AG$2:$AG$1001,0),MATCH(COLUMNS($AN$1006:BK1006),$AN$1006:$BO$1006,0)), HYPERLINK("#",""), HYPERLINK(CONCATENATE("#Metadata!", ADDRESS(INDEX($AI$2:$AI$1001,MATCH(ROWS($AG$2:AG55),$AG$2:$AG$1001,0),0), INDEX($AN$1004:$BO$1004,1,MATCH(COLUMNS($AN$1006:BK1006),$AN$1006:$BO$1006,0)))),"Fix")))</f>
        <v>0</v>
      </c>
      <c r="Z55" s="4">
        <f>IF(OR(INDEX($AH$2:$AH$1001,MATCH(ROWS($AG$2:AG55),$AG$2:$AG$1001,0),1)&gt;=100000,INDEX($AN$1005:$BO$1005,1,MATCH(COLUMNS($AN$1006:BL1006),$AN$1006:$BO$1006,0))&gt;=100000), " ",IF(INDEX($AN$2:$BO$1001,MATCH(ROWS($AG$2:AG55),$AG$2:$AG$1001,0),MATCH(COLUMNS($AN$1006:BL1006),$AN$1006:$BO$1006,0)), HYPERLINK("#",""), HYPERLINK(CONCATENATE("#Metadata!", ADDRESS(INDEX($AI$2:$AI$1001,MATCH(ROWS($AG$2:AG55),$AG$2:$AG$1001,0),0), INDEX($AN$1004:$BO$1004,1,MATCH(COLUMNS($AN$1006:BL1006),$AN$1006:$BO$1006,0)))),"Fix")))</f>
        <v>0</v>
      </c>
      <c r="AA55" s="4">
        <f>IF(OR(INDEX($AH$2:$AH$1001,MATCH(ROWS($AG$2:AG55),$AG$2:$AG$1001,0),1)&gt;=100000,INDEX($AN$1005:$BO$1005,1,MATCH(COLUMNS($AN$1006:BM1006),$AN$1006:$BO$1006,0))&gt;=100000), " ",IF(INDEX($AN$2:$BO$1001,MATCH(ROWS($AG$2:AG55),$AG$2:$AG$1001,0),MATCH(COLUMNS($AN$1006:BM1006),$AN$1006:$BO$1006,0)), HYPERLINK("#",""), HYPERLINK(CONCATENATE("#Metadata!", ADDRESS(INDEX($AI$2:$AI$1001,MATCH(ROWS($AG$2:AG55),$AG$2:$AG$1001,0),0), INDEX($AN$1004:$BO$1004,1,MATCH(COLUMNS($AN$1006:BM1006),$AN$1006:$BO$1006,0)))),"Fix")))</f>
        <v>0</v>
      </c>
      <c r="AB55" s="4">
        <f>IF(OR(INDEX($AH$2:$AH$1001,MATCH(ROWS($AG$2:AG55),$AG$2:$AG$1001,0),1)&gt;=100000,INDEX($AN$1005:$BO$1005,1,MATCH(COLUMNS($AN$1006:BN1006),$AN$1006:$BO$1006,0))&gt;=100000), " ",IF(INDEX($AN$2:$BO$1001,MATCH(ROWS($AG$2:AG55),$AG$2:$AG$1001,0),MATCH(COLUMNS($AN$1006:BN1006),$AN$1006:$BO$1006,0)), HYPERLINK("#",""), HYPERLINK(CONCATENATE("#Metadata!", ADDRESS(INDEX($AI$2:$AI$1001,MATCH(ROWS($AG$2:AG55),$AG$2:$AG$1001,0),0), INDEX($AN$1004:$BO$1004,1,MATCH(COLUMNS($AN$1006:BN1006),$AN$1006:$BO$1006,0)))),"Fix")))</f>
        <v>0</v>
      </c>
      <c r="AC55" s="4">
        <f>IF(OR(INDEX($AH$2:$AH$1001,MATCH(ROWS($AG$2:AG55),$AG$2:$AG$1001,0),1)&gt;=100000,INDEX($AN$1005:$BO$1005,1,MATCH(COLUMNS($AN$1006:BO1006),$AN$1006:$BO$1006,0))&gt;=100000), " ",IF(INDEX($AN$2:$BO$1001,MATCH(ROWS($AG$2:AG55),$AG$2:$AG$1001,0),MATCH(COLUMNS($AN$1006:BO1006),$AN$1006:$BO$1006,0)), HYPERLINK("#",""), HYPERLINK(CONCATENATE("#Metadata!", ADDRESS(INDEX($AI$2:$AI$1001,MATCH(ROWS($AG$2:AG55),$AG$2:$AG$1001,0),0), INDEX($AN$1004:$BO$1004,1,MATCH(COLUMNS($AN$1006:BO1006),$AN$1006:$BO$1006,0)))),"Fix")))</f>
        <v>0</v>
      </c>
      <c r="AG55">
        <v>0</v>
      </c>
      <c r="AH55">
        <v>0</v>
      </c>
      <c r="AI55">
        <v>0</v>
      </c>
      <c r="AJ55">
        <f>IF(AK55,TRUE,AND(AN55:BO55))</f>
        <v>0</v>
      </c>
      <c r="AK55">
        <f>COUNTBLANK(Metadata!B55:AC55)=COLUMNS(Metadata!B55:AC55)</f>
        <v>0</v>
      </c>
      <c r="AL55">
        <v>0</v>
      </c>
      <c r="AN55">
        <f>AND(IF(Metadata!B55="",FALSE,TRUE),COUNTIF(Metadata!B:B, Metadata!B55) = 1,NOT(ISERROR(SUMPRODUCT(SEARCH(MID(Metadata!B55,ROW(INDIRECT("1:"&amp;LEN(Metadata!B55))), 1),"0123456789abcdefghijklmnopqrstuvwxyzABCDEFGHIJKLMNOPQRSTUVWXYZ.")))))</f>
        <v>0</v>
      </c>
      <c r="AO55">
        <f>IF(Metadata!C55="",FALSE,TRUE)</f>
        <v>0</v>
      </c>
      <c r="AP55">
        <f>IF(Metadata!D55="",FALSE,TRUE)</f>
        <v>0</v>
      </c>
      <c r="AQ55">
        <f>OR(AND(IF(Metadata!E55="",FALSE,TRUE),OR(exact(Metadata!E55,"not collected"),exact(Metadata!E55,"not provided"),exact(Metadata!E55,"restricted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R55">
        <f>IF(Metadata!F55="",FALSE,TRUE)</f>
        <v>0</v>
      </c>
      <c r="AS55">
        <f>OR(AND(IF(Metadata!G55="",FALSE,TRUE),OR(exact(Metadata!G55,"not collected"),exact(Metadata!G55,"not provided"))),AND(IF(Metadata!G55="",FALSE,TRUE),OR(exact(Metadata!G55,"TRUE"),exact(Metadata!G55,"FALSE"))))</f>
        <v>0</v>
      </c>
      <c r="AT55">
        <f>OR(AND(IF(Metadata!H55="",FALSE,TRUE),OR(exact(Metadata!H55,"not collected"),exact(Metadata!H55,"not provided"),exact(Metadata!H55,"restricted access"))),AND(IF(Metadata!H55="",FALSE,ISNUMBER(VALUE(Metadata!H55))),Metadata!H55&gt;=-413.0))</f>
        <v>0</v>
      </c>
      <c r="AU55">
        <f>AND(IF(Metadata!I55="",FALSE,TRUE),exact(Metadata!I55,"meters"))</f>
        <v>0</v>
      </c>
      <c r="AV55">
        <f>AND(IF(Metadata!J55="",FALSE,TRUE),OR(exact(Metadata!J55,"Host-associated"),exact(Metadata!J55,"Free-living")))</f>
        <v>0</v>
      </c>
      <c r="AW55">
        <f>AND(IF(Metadata!K55="",FALSE,TRUE),OR(exact(Metadata!K55,"Animal"),exact(Metadata!K55,"Fungus"),exact(Metadata!K55,"Plant"),exact(Metadata!K55,"Saline"),exact(Metadata!K55,"Non-saline")))</f>
        <v>0</v>
      </c>
      <c r="AX55">
        <f>AND(IF(Metadata!L55="",FALSE,TRUE),OR(exact(Metadata!L55,"Plant secretion"),exact(Metadata!L55,"Plant rhizosphere"),exact(Metadata!L55,"Plant surface"),exact(Metadata!L55,"Plant corpus"),exact(Metadata!L55,"Fungus surface"),exact(Metadata!L55,"Fungus corpus"),exact(Metadata!L55,"Animal surface"),exact(Metadata!L55,"Animal proximal gut"),exact(Metadata!L55,"Animal corpus"),exact(Metadata!L55,"Animal distal gut"),exact(Metadata!L55,"Animal secretion"),exact(Metadata!L55,"Sub-surface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0</v>
      </c>
      <c r="AY55">
        <f>IF(Metadata!M55="",FALSE,TRUE)</f>
        <v>0</v>
      </c>
      <c r="AZ55">
        <f>IF(Metadata!N55="",FALSE,TRUE)</f>
        <v>0</v>
      </c>
      <c r="BA55">
        <f>IF(Metadata!O55="",FALSE,TRUE)</f>
        <v>0</v>
      </c>
      <c r="BB55">
        <f>OR(AND(IF(Metadata!P55="",FALSE,TRUE),OR(exact(Metadata!P55,"not collected"),exact(Metadata!P55,"not provided"),exact(Metadata!P55,"restricted access"))),AND(IF(Metadata!P55="",FALSE,TRUE),OR(exact(Metadata!P55,"air"),exact(Metadata!P55,"built environment"),exact(Metadata!P55,"host-associated"),exact(Metadata!P55,"human-associated"),exact(Metadata!P55,"human-skin"),exact(Metadata!P55,"human-oral"),exact(Metadata!P55,"human-gut"),exact(Metadata!P55,"human-vaginal"),exact(Metadata!P55,"microbial mat/biofilm"),exact(Metadata!P55,"misc environment"),exact(Metadata!P55,"plant-associated"),exact(Metadata!P55,"sediment"),exact(Metadata!P55,"soil"),exact(Metadata!P55,"wastewater/sludge"),exact(Metadata!P55,"water"))))</f>
        <v>0</v>
      </c>
      <c r="BC55">
        <f>IF(Metadata!Q55="",FALSE,TRUE)</f>
        <v>0</v>
      </c>
      <c r="BD55">
        <f>IF(Metadata!R55="",FALSE,TRUE)</f>
        <v>0</v>
      </c>
      <c r="BE55">
        <f>OR(AND(IF(Metadata!S55="",FALSE,TRUE),OR(exact(Metadata!S55,"not collected"),exact(Metadata!S55,"not provided"),exact(Metadata!S55,"restricted access"))),AND(IF(Metadata!S55="",FALSE,ISNUMBER(VALUE(Metadata!S55))),Metadata!S55&gt;=-90.00,Metadata!S55&lt;=90.00))</f>
        <v>0</v>
      </c>
      <c r="BF55">
        <f>AND(IF(Metadata!T55="",FALSE,TRUE),exact(Metadata!T55,"Decimal degrees"))</f>
        <v>0</v>
      </c>
      <c r="BG55">
        <f>OR(AND(IF(Metadata!U55="",FALSE,TRUE),OR(exact(Metadata!U55,"not collected"),exact(Metadata!U55,"not provided"),exact(Metadata!U55,"restricted access"))),AND(IF(Metadata!U55="",FALSE,ISNUMBER(VALUE(Metadata!U55))),Metadata!U55&gt;=-180.00,Metadata!U55&lt;=180.00))</f>
        <v>0</v>
      </c>
      <c r="BH55">
        <f>AND(IF(Metadata!V55="",FALSE,TRUE),exact(Metadata!V55,"Decimal degrees"))</f>
        <v>0</v>
      </c>
      <c r="BI55">
        <f>IF(Metadata!W55="",FALSE,TRUE)</f>
        <v>0</v>
      </c>
      <c r="BJ55">
        <f>OR(AND(IF(Metadata!X55="",FALSE,TRUE),OR(exact(Metadata!X55,"not collected"),exact(Metadata!X55,"not provided"),exact(Metadata!X55,"restricted access"))),AND(IF(Metadata!X55="",FALSE,TRUE),OR(exact(Metadata!X55,"TRUE"),exact(Metadata!X55,"FALSE"))))</f>
        <v>0</v>
      </c>
      <c r="BK55">
        <f>AND(IF(Metadata!Y55="",FALSE,TRUE),exact(Metadata!Y55,"other"))</f>
        <v>0</v>
      </c>
      <c r="BL55">
        <f>IF(Metadata!Z55="",FALSE,TRUE)</f>
        <v>0</v>
      </c>
      <c r="BM55">
        <f>OR(AND(IF(Metadata!AA55="",FALSE,TRUE),OR(exact(Metadata!AA55,"not collected"),exact(Metadata!AA55,"not provided"))),AND(IF(Metadata!AA55="",FALSE,IF(ISERROR(INT(Metadata!AA55)),FALSE,INT(Metadata!AA55)=Metadata!AA55)),Metadata!AA55&gt;0))</f>
        <v>0</v>
      </c>
      <c r="BN55">
        <f>AND(IF(Metadata!AB55="",FALSE,TRUE),exact(Metadata!AB55,"Not applicable"))</f>
        <v>0</v>
      </c>
      <c r="BO55">
        <f>IF(Metadata!AC55="",FALSE,TRUE)</f>
        <v>0</v>
      </c>
    </row>
    <row r="56" spans="1:67">
      <c r="A56" s="5">
        <f>IF(B56=" "," ",HYPERLINK(CONCATENATE("#metadata!",ADDRESS(INDEX($AI$2:$AI$1001,MATCH(ROWS($AG$2:AG56),$AG$2:$AG$1001,0),0),1)),INDEX($AL$2:$AL$1001,MATCH(ROWS($AG$2:AG56),$AG$2:$AG$1001,0),0)))</f>
        <v>0</v>
      </c>
      <c r="B56" s="4">
        <f>IF(OR(INDEX($AH$2:$AH$1001,MATCH(ROWS($AG$2:AG56),$AG$2:$AG$1001,0),1)&gt;=100000,INDEX($AN$1005:$BO$1005,1,MATCH(COLUMNS($AN$1006:AN1006),$AN$1006:$BO$1006,0))&gt;=100000), " ",IF(INDEX($AN$2:$BO$1001,MATCH(ROWS($AG$2:AG56),$AG$2:$AG$1001,0),MATCH(COLUMNS($AN$1006:AN1006),$AN$1006:$BO$1006,0)), HYPERLINK("#",""), HYPERLINK(CONCATENATE("#Metadata!", ADDRESS(INDEX($AI$2:$AI$1001,MATCH(ROWS($AG$2:AG56),$AG$2:$AG$1001,0),0), INDEX($AN$1004:$BO$1004,1,MATCH(COLUMNS($AN$1006:AN1006),$AN$1006:$BO$1006,0)))),"Fix")))</f>
        <v>0</v>
      </c>
      <c r="C56" s="4">
        <f>IF(OR(INDEX($AH$2:$AH$1001,MATCH(ROWS($AG$2:AG56),$AG$2:$AG$1001,0),1)&gt;=100000,INDEX($AN$1005:$BO$1005,1,MATCH(COLUMNS($AN$1006:AO1006),$AN$1006:$BO$1006,0))&gt;=100000), " ",IF(INDEX($AN$2:$BO$1001,MATCH(ROWS($AG$2:AG56),$AG$2:$AG$1001,0),MATCH(COLUMNS($AN$1006:AO1006),$AN$1006:$BO$1006,0)), HYPERLINK("#",""), HYPERLINK(CONCATENATE("#Metadata!", ADDRESS(INDEX($AI$2:$AI$1001,MATCH(ROWS($AG$2:AG56),$AG$2:$AG$1001,0),0), INDEX($AN$1004:$BO$1004,1,MATCH(COLUMNS($AN$1006:AO1006),$AN$1006:$BO$1006,0)))),"Fix")))</f>
        <v>0</v>
      </c>
      <c r="D56" s="4">
        <f>IF(OR(INDEX($AH$2:$AH$1001,MATCH(ROWS($AG$2:AG56),$AG$2:$AG$1001,0),1)&gt;=100000,INDEX($AN$1005:$BO$1005,1,MATCH(COLUMNS($AN$1006:AP1006),$AN$1006:$BO$1006,0))&gt;=100000), " ",IF(INDEX($AN$2:$BO$1001,MATCH(ROWS($AG$2:AG56),$AG$2:$AG$1001,0),MATCH(COLUMNS($AN$1006:AP1006),$AN$1006:$BO$1006,0)), HYPERLINK("#",""), HYPERLINK(CONCATENATE("#Metadata!", ADDRESS(INDEX($AI$2:$AI$1001,MATCH(ROWS($AG$2:AG56),$AG$2:$AG$1001,0),0), INDEX($AN$1004:$BO$1004,1,MATCH(COLUMNS($AN$1006:AP1006),$AN$1006:$BO$1006,0)))),"Fix")))</f>
        <v>0</v>
      </c>
      <c r="E56" s="4">
        <f>IF(OR(INDEX($AH$2:$AH$1001,MATCH(ROWS($AG$2:AG56),$AG$2:$AG$1001,0),1)&gt;=100000,INDEX($AN$1005:$BO$1005,1,MATCH(COLUMNS($AN$1006:AQ1006),$AN$1006:$BO$1006,0))&gt;=100000), " ",IF(INDEX($AN$2:$BO$1001,MATCH(ROWS($AG$2:AG56),$AG$2:$AG$1001,0),MATCH(COLUMNS($AN$1006:AQ1006),$AN$1006:$BO$1006,0)), HYPERLINK("#",""), HYPERLINK(CONCATENATE("#Metadata!", ADDRESS(INDEX($AI$2:$AI$1001,MATCH(ROWS($AG$2:AG56),$AG$2:$AG$1001,0),0), INDEX($AN$1004:$BO$1004,1,MATCH(COLUMNS($AN$1006:AQ1006),$AN$1006:$BO$1006,0)))),"Fix")))</f>
        <v>0</v>
      </c>
      <c r="F56" s="4">
        <f>IF(OR(INDEX($AH$2:$AH$1001,MATCH(ROWS($AG$2:AG56),$AG$2:$AG$1001,0),1)&gt;=100000,INDEX($AN$1005:$BO$1005,1,MATCH(COLUMNS($AN$1006:AR1006),$AN$1006:$BO$1006,0))&gt;=100000), " ",IF(INDEX($AN$2:$BO$1001,MATCH(ROWS($AG$2:AG56),$AG$2:$AG$1001,0),MATCH(COLUMNS($AN$1006:AR1006),$AN$1006:$BO$1006,0)), HYPERLINK("#",""), HYPERLINK(CONCATENATE("#Metadata!", ADDRESS(INDEX($AI$2:$AI$1001,MATCH(ROWS($AG$2:AG56),$AG$2:$AG$1001,0),0), INDEX($AN$1004:$BO$1004,1,MATCH(COLUMNS($AN$1006:AR1006),$AN$1006:$BO$1006,0)))),"Fix")))</f>
        <v>0</v>
      </c>
      <c r="G56" s="4">
        <f>IF(OR(INDEX($AH$2:$AH$1001,MATCH(ROWS($AG$2:AG56),$AG$2:$AG$1001,0),1)&gt;=100000,INDEX($AN$1005:$BO$1005,1,MATCH(COLUMNS($AN$1006:AS1006),$AN$1006:$BO$1006,0))&gt;=100000), " ",IF(INDEX($AN$2:$BO$1001,MATCH(ROWS($AG$2:AG56),$AG$2:$AG$1001,0),MATCH(COLUMNS($AN$1006:AS1006),$AN$1006:$BO$1006,0)), HYPERLINK("#",""), HYPERLINK(CONCATENATE("#Metadata!", ADDRESS(INDEX($AI$2:$AI$1001,MATCH(ROWS($AG$2:AG56),$AG$2:$AG$1001,0),0), INDEX($AN$1004:$BO$1004,1,MATCH(COLUMNS($AN$1006:AS1006),$AN$1006:$BO$1006,0)))),"Fix")))</f>
        <v>0</v>
      </c>
      <c r="H56" s="4">
        <f>IF(OR(INDEX($AH$2:$AH$1001,MATCH(ROWS($AG$2:AG56),$AG$2:$AG$1001,0),1)&gt;=100000,INDEX($AN$1005:$BO$1005,1,MATCH(COLUMNS($AN$1006:AT1006),$AN$1006:$BO$1006,0))&gt;=100000), " ",IF(INDEX($AN$2:$BO$1001,MATCH(ROWS($AG$2:AG56),$AG$2:$AG$1001,0),MATCH(COLUMNS($AN$1006:AT1006),$AN$1006:$BO$1006,0)), HYPERLINK("#",""), HYPERLINK(CONCATENATE("#Metadata!", ADDRESS(INDEX($AI$2:$AI$1001,MATCH(ROWS($AG$2:AG56),$AG$2:$AG$1001,0),0), INDEX($AN$1004:$BO$1004,1,MATCH(COLUMNS($AN$1006:AT1006),$AN$1006:$BO$1006,0)))),"Fix")))</f>
        <v>0</v>
      </c>
      <c r="I56" s="4">
        <f>IF(OR(INDEX($AH$2:$AH$1001,MATCH(ROWS($AG$2:AG56),$AG$2:$AG$1001,0),1)&gt;=100000,INDEX($AN$1005:$BO$1005,1,MATCH(COLUMNS($AN$1006:AU1006),$AN$1006:$BO$1006,0))&gt;=100000), " ",IF(INDEX($AN$2:$BO$1001,MATCH(ROWS($AG$2:AG56),$AG$2:$AG$1001,0),MATCH(COLUMNS($AN$1006:AU1006),$AN$1006:$BO$1006,0)), HYPERLINK("#",""), HYPERLINK(CONCATENATE("#Metadata!", ADDRESS(INDEX($AI$2:$AI$1001,MATCH(ROWS($AG$2:AG56),$AG$2:$AG$1001,0),0), INDEX($AN$1004:$BO$1004,1,MATCH(COLUMNS($AN$1006:AU1006),$AN$1006:$BO$1006,0)))),"Fix")))</f>
        <v>0</v>
      </c>
      <c r="J56" s="4">
        <f>IF(OR(INDEX($AH$2:$AH$1001,MATCH(ROWS($AG$2:AG56),$AG$2:$AG$1001,0),1)&gt;=100000,INDEX($AN$1005:$BO$1005,1,MATCH(COLUMNS($AN$1006:AV1006),$AN$1006:$BO$1006,0))&gt;=100000), " ",IF(INDEX($AN$2:$BO$1001,MATCH(ROWS($AG$2:AG56),$AG$2:$AG$1001,0),MATCH(COLUMNS($AN$1006:AV1006),$AN$1006:$BO$1006,0)), HYPERLINK("#",""), HYPERLINK(CONCATENATE("#Metadata!", ADDRESS(INDEX($AI$2:$AI$1001,MATCH(ROWS($AG$2:AG56),$AG$2:$AG$1001,0),0), INDEX($AN$1004:$BO$1004,1,MATCH(COLUMNS($AN$1006:AV1006),$AN$1006:$BO$1006,0)))),"Fix")))</f>
        <v>0</v>
      </c>
      <c r="K56" s="4">
        <f>IF(OR(INDEX($AH$2:$AH$1001,MATCH(ROWS($AG$2:AG56),$AG$2:$AG$1001,0),1)&gt;=100000,INDEX($AN$1005:$BO$1005,1,MATCH(COLUMNS($AN$1006:AW1006),$AN$1006:$BO$1006,0))&gt;=100000), " ",IF(INDEX($AN$2:$BO$1001,MATCH(ROWS($AG$2:AG56),$AG$2:$AG$1001,0),MATCH(COLUMNS($AN$1006:AW1006),$AN$1006:$BO$1006,0)), HYPERLINK("#",""), HYPERLINK(CONCATENATE("#Metadata!", ADDRESS(INDEX($AI$2:$AI$1001,MATCH(ROWS($AG$2:AG56),$AG$2:$AG$1001,0),0), INDEX($AN$1004:$BO$1004,1,MATCH(COLUMNS($AN$1006:AW1006),$AN$1006:$BO$1006,0)))),"Fix")))</f>
        <v>0</v>
      </c>
      <c r="L56" s="4">
        <f>IF(OR(INDEX($AH$2:$AH$1001,MATCH(ROWS($AG$2:AG56),$AG$2:$AG$1001,0),1)&gt;=100000,INDEX($AN$1005:$BO$1005,1,MATCH(COLUMNS($AN$1006:AX1006),$AN$1006:$BO$1006,0))&gt;=100000), " ",IF(INDEX($AN$2:$BO$1001,MATCH(ROWS($AG$2:AG56),$AG$2:$AG$1001,0),MATCH(COLUMNS($AN$1006:AX1006),$AN$1006:$BO$1006,0)), HYPERLINK("#",""), HYPERLINK(CONCATENATE("#Metadata!", ADDRESS(INDEX($AI$2:$AI$1001,MATCH(ROWS($AG$2:AG56),$AG$2:$AG$1001,0),0), INDEX($AN$1004:$BO$1004,1,MATCH(COLUMNS($AN$1006:AX1006),$AN$1006:$BO$1006,0)))),"Fix")))</f>
        <v>0</v>
      </c>
      <c r="M56" s="4">
        <f>IF(OR(INDEX($AH$2:$AH$1001,MATCH(ROWS($AG$2:AG56),$AG$2:$AG$1001,0),1)&gt;=100000,INDEX($AN$1005:$BO$1005,1,MATCH(COLUMNS($AN$1006:AY1006),$AN$1006:$BO$1006,0))&gt;=100000), " ",IF(INDEX($AN$2:$BO$1001,MATCH(ROWS($AG$2:AG56),$AG$2:$AG$1001,0),MATCH(COLUMNS($AN$1006:AY1006),$AN$1006:$BO$1006,0)), HYPERLINK("#",""), HYPERLINK(CONCATENATE("#Metadata!", ADDRESS(INDEX($AI$2:$AI$1001,MATCH(ROWS($AG$2:AG56),$AG$2:$AG$1001,0),0), INDEX($AN$1004:$BO$1004,1,MATCH(COLUMNS($AN$1006:AY1006),$AN$1006:$BO$1006,0)))),"Fix")))</f>
        <v>0</v>
      </c>
      <c r="N56" s="4">
        <f>IF(OR(INDEX($AH$2:$AH$1001,MATCH(ROWS($AG$2:AG56),$AG$2:$AG$1001,0),1)&gt;=100000,INDEX($AN$1005:$BO$1005,1,MATCH(COLUMNS($AN$1006:AZ1006),$AN$1006:$BO$1006,0))&gt;=100000), " ",IF(INDEX($AN$2:$BO$1001,MATCH(ROWS($AG$2:AG56),$AG$2:$AG$1001,0),MATCH(COLUMNS($AN$1006:AZ1006),$AN$1006:$BO$1006,0)), HYPERLINK("#",""), HYPERLINK(CONCATENATE("#Metadata!", ADDRESS(INDEX($AI$2:$AI$1001,MATCH(ROWS($AG$2:AG56),$AG$2:$AG$1001,0),0), INDEX($AN$1004:$BO$1004,1,MATCH(COLUMNS($AN$1006:AZ1006),$AN$1006:$BO$1006,0)))),"Fix")))</f>
        <v>0</v>
      </c>
      <c r="O56" s="4">
        <f>IF(OR(INDEX($AH$2:$AH$1001,MATCH(ROWS($AG$2:AG56),$AG$2:$AG$1001,0),1)&gt;=100000,INDEX($AN$1005:$BO$1005,1,MATCH(COLUMNS($AN$1006:BA1006),$AN$1006:$BO$1006,0))&gt;=100000), " ",IF(INDEX($AN$2:$BO$1001,MATCH(ROWS($AG$2:AG56),$AG$2:$AG$1001,0),MATCH(COLUMNS($AN$1006:BA1006),$AN$1006:$BO$1006,0)), HYPERLINK("#",""), HYPERLINK(CONCATENATE("#Metadata!", ADDRESS(INDEX($AI$2:$AI$1001,MATCH(ROWS($AG$2:AG56),$AG$2:$AG$1001,0),0), INDEX($AN$1004:$BO$1004,1,MATCH(COLUMNS($AN$1006:BA1006),$AN$1006:$BO$1006,0)))),"Fix")))</f>
        <v>0</v>
      </c>
      <c r="P56" s="4">
        <f>IF(OR(INDEX($AH$2:$AH$1001,MATCH(ROWS($AG$2:AG56),$AG$2:$AG$1001,0),1)&gt;=100000,INDEX($AN$1005:$BO$1005,1,MATCH(COLUMNS($AN$1006:BB1006),$AN$1006:$BO$1006,0))&gt;=100000), " ",IF(INDEX($AN$2:$BO$1001,MATCH(ROWS($AG$2:AG56),$AG$2:$AG$1001,0),MATCH(COLUMNS($AN$1006:BB1006),$AN$1006:$BO$1006,0)), HYPERLINK("#",""), HYPERLINK(CONCATENATE("#Metadata!", ADDRESS(INDEX($AI$2:$AI$1001,MATCH(ROWS($AG$2:AG56),$AG$2:$AG$1001,0),0), INDEX($AN$1004:$BO$1004,1,MATCH(COLUMNS($AN$1006:BB1006),$AN$1006:$BO$1006,0)))),"Fix")))</f>
        <v>0</v>
      </c>
      <c r="Q56" s="4">
        <f>IF(OR(INDEX($AH$2:$AH$1001,MATCH(ROWS($AG$2:AG56),$AG$2:$AG$1001,0),1)&gt;=100000,INDEX($AN$1005:$BO$1005,1,MATCH(COLUMNS($AN$1006:BC1006),$AN$1006:$BO$1006,0))&gt;=100000), " ",IF(INDEX($AN$2:$BO$1001,MATCH(ROWS($AG$2:AG56),$AG$2:$AG$1001,0),MATCH(COLUMNS($AN$1006:BC1006),$AN$1006:$BO$1006,0)), HYPERLINK("#",""), HYPERLINK(CONCATENATE("#Metadata!", ADDRESS(INDEX($AI$2:$AI$1001,MATCH(ROWS($AG$2:AG56),$AG$2:$AG$1001,0),0), INDEX($AN$1004:$BO$1004,1,MATCH(COLUMNS($AN$1006:BC1006),$AN$1006:$BO$1006,0)))),"Fix")))</f>
        <v>0</v>
      </c>
      <c r="R56" s="4">
        <f>IF(OR(INDEX($AH$2:$AH$1001,MATCH(ROWS($AG$2:AG56),$AG$2:$AG$1001,0),1)&gt;=100000,INDEX($AN$1005:$BO$1005,1,MATCH(COLUMNS($AN$1006:BD1006),$AN$1006:$BO$1006,0))&gt;=100000), " ",IF(INDEX($AN$2:$BO$1001,MATCH(ROWS($AG$2:AG56),$AG$2:$AG$1001,0),MATCH(COLUMNS($AN$1006:BD1006),$AN$1006:$BO$1006,0)), HYPERLINK("#",""), HYPERLINK(CONCATENATE("#Metadata!", ADDRESS(INDEX($AI$2:$AI$1001,MATCH(ROWS($AG$2:AG56),$AG$2:$AG$1001,0),0), INDEX($AN$1004:$BO$1004,1,MATCH(COLUMNS($AN$1006:BD1006),$AN$1006:$BO$1006,0)))),"Fix")))</f>
        <v>0</v>
      </c>
      <c r="S56" s="4">
        <f>IF(OR(INDEX($AH$2:$AH$1001,MATCH(ROWS($AG$2:AG56),$AG$2:$AG$1001,0),1)&gt;=100000,INDEX($AN$1005:$BO$1005,1,MATCH(COLUMNS($AN$1006:BE1006),$AN$1006:$BO$1006,0))&gt;=100000), " ",IF(INDEX($AN$2:$BO$1001,MATCH(ROWS($AG$2:AG56),$AG$2:$AG$1001,0),MATCH(COLUMNS($AN$1006:BE1006),$AN$1006:$BO$1006,0)), HYPERLINK("#",""), HYPERLINK(CONCATENATE("#Metadata!", ADDRESS(INDEX($AI$2:$AI$1001,MATCH(ROWS($AG$2:AG56),$AG$2:$AG$1001,0),0), INDEX($AN$1004:$BO$1004,1,MATCH(COLUMNS($AN$1006:BE1006),$AN$1006:$BO$1006,0)))),"Fix")))</f>
        <v>0</v>
      </c>
      <c r="T56" s="4">
        <f>IF(OR(INDEX($AH$2:$AH$1001,MATCH(ROWS($AG$2:AG56),$AG$2:$AG$1001,0),1)&gt;=100000,INDEX($AN$1005:$BO$1005,1,MATCH(COLUMNS($AN$1006:BF1006),$AN$1006:$BO$1006,0))&gt;=100000), " ",IF(INDEX($AN$2:$BO$1001,MATCH(ROWS($AG$2:AG56),$AG$2:$AG$1001,0),MATCH(COLUMNS($AN$1006:BF1006),$AN$1006:$BO$1006,0)), HYPERLINK("#",""), HYPERLINK(CONCATENATE("#Metadata!", ADDRESS(INDEX($AI$2:$AI$1001,MATCH(ROWS($AG$2:AG56),$AG$2:$AG$1001,0),0), INDEX($AN$1004:$BO$1004,1,MATCH(COLUMNS($AN$1006:BF1006),$AN$1006:$BO$1006,0)))),"Fix")))</f>
        <v>0</v>
      </c>
      <c r="U56" s="4">
        <f>IF(OR(INDEX($AH$2:$AH$1001,MATCH(ROWS($AG$2:AG56),$AG$2:$AG$1001,0),1)&gt;=100000,INDEX($AN$1005:$BO$1005,1,MATCH(COLUMNS($AN$1006:BG1006),$AN$1006:$BO$1006,0))&gt;=100000), " ",IF(INDEX($AN$2:$BO$1001,MATCH(ROWS($AG$2:AG56),$AG$2:$AG$1001,0),MATCH(COLUMNS($AN$1006:BG1006),$AN$1006:$BO$1006,0)), HYPERLINK("#",""), HYPERLINK(CONCATENATE("#Metadata!", ADDRESS(INDEX($AI$2:$AI$1001,MATCH(ROWS($AG$2:AG56),$AG$2:$AG$1001,0),0), INDEX($AN$1004:$BO$1004,1,MATCH(COLUMNS($AN$1006:BG1006),$AN$1006:$BO$1006,0)))),"Fix")))</f>
        <v>0</v>
      </c>
      <c r="V56" s="4">
        <f>IF(OR(INDEX($AH$2:$AH$1001,MATCH(ROWS($AG$2:AG56),$AG$2:$AG$1001,0),1)&gt;=100000,INDEX($AN$1005:$BO$1005,1,MATCH(COLUMNS($AN$1006:BH1006),$AN$1006:$BO$1006,0))&gt;=100000), " ",IF(INDEX($AN$2:$BO$1001,MATCH(ROWS($AG$2:AG56),$AG$2:$AG$1001,0),MATCH(COLUMNS($AN$1006:BH1006),$AN$1006:$BO$1006,0)), HYPERLINK("#",""), HYPERLINK(CONCATENATE("#Metadata!", ADDRESS(INDEX($AI$2:$AI$1001,MATCH(ROWS($AG$2:AG56),$AG$2:$AG$1001,0),0), INDEX($AN$1004:$BO$1004,1,MATCH(COLUMNS($AN$1006:BH1006),$AN$1006:$BO$1006,0)))),"Fix")))</f>
        <v>0</v>
      </c>
      <c r="W56" s="4">
        <f>IF(OR(INDEX($AH$2:$AH$1001,MATCH(ROWS($AG$2:AG56),$AG$2:$AG$1001,0),1)&gt;=100000,INDEX($AN$1005:$BO$1005,1,MATCH(COLUMNS($AN$1006:BI1006),$AN$1006:$BO$1006,0))&gt;=100000), " ",IF(INDEX($AN$2:$BO$1001,MATCH(ROWS($AG$2:AG56),$AG$2:$AG$1001,0),MATCH(COLUMNS($AN$1006:BI1006),$AN$1006:$BO$1006,0)), HYPERLINK("#",""), HYPERLINK(CONCATENATE("#Metadata!", ADDRESS(INDEX($AI$2:$AI$1001,MATCH(ROWS($AG$2:AG56),$AG$2:$AG$1001,0),0), INDEX($AN$1004:$BO$1004,1,MATCH(COLUMNS($AN$1006:BI1006),$AN$1006:$BO$1006,0)))),"Fix")))</f>
        <v>0</v>
      </c>
      <c r="X56" s="4">
        <f>IF(OR(INDEX($AH$2:$AH$1001,MATCH(ROWS($AG$2:AG56),$AG$2:$AG$1001,0),1)&gt;=100000,INDEX($AN$1005:$BO$1005,1,MATCH(COLUMNS($AN$1006:BJ1006),$AN$1006:$BO$1006,0))&gt;=100000), " ",IF(INDEX($AN$2:$BO$1001,MATCH(ROWS($AG$2:AG56),$AG$2:$AG$1001,0),MATCH(COLUMNS($AN$1006:BJ1006),$AN$1006:$BO$1006,0)), HYPERLINK("#",""), HYPERLINK(CONCATENATE("#Metadata!", ADDRESS(INDEX($AI$2:$AI$1001,MATCH(ROWS($AG$2:AG56),$AG$2:$AG$1001,0),0), INDEX($AN$1004:$BO$1004,1,MATCH(COLUMNS($AN$1006:BJ1006),$AN$1006:$BO$1006,0)))),"Fix")))</f>
        <v>0</v>
      </c>
      <c r="Y56" s="4">
        <f>IF(OR(INDEX($AH$2:$AH$1001,MATCH(ROWS($AG$2:AG56),$AG$2:$AG$1001,0),1)&gt;=100000,INDEX($AN$1005:$BO$1005,1,MATCH(COLUMNS($AN$1006:BK1006),$AN$1006:$BO$1006,0))&gt;=100000), " ",IF(INDEX($AN$2:$BO$1001,MATCH(ROWS($AG$2:AG56),$AG$2:$AG$1001,0),MATCH(COLUMNS($AN$1006:BK1006),$AN$1006:$BO$1006,0)), HYPERLINK("#",""), HYPERLINK(CONCATENATE("#Metadata!", ADDRESS(INDEX($AI$2:$AI$1001,MATCH(ROWS($AG$2:AG56),$AG$2:$AG$1001,0),0), INDEX($AN$1004:$BO$1004,1,MATCH(COLUMNS($AN$1006:BK1006),$AN$1006:$BO$1006,0)))),"Fix")))</f>
        <v>0</v>
      </c>
      <c r="Z56" s="4">
        <f>IF(OR(INDEX($AH$2:$AH$1001,MATCH(ROWS($AG$2:AG56),$AG$2:$AG$1001,0),1)&gt;=100000,INDEX($AN$1005:$BO$1005,1,MATCH(COLUMNS($AN$1006:BL1006),$AN$1006:$BO$1006,0))&gt;=100000), " ",IF(INDEX($AN$2:$BO$1001,MATCH(ROWS($AG$2:AG56),$AG$2:$AG$1001,0),MATCH(COLUMNS($AN$1006:BL1006),$AN$1006:$BO$1006,0)), HYPERLINK("#",""), HYPERLINK(CONCATENATE("#Metadata!", ADDRESS(INDEX($AI$2:$AI$1001,MATCH(ROWS($AG$2:AG56),$AG$2:$AG$1001,0),0), INDEX($AN$1004:$BO$1004,1,MATCH(COLUMNS($AN$1006:BL1006),$AN$1006:$BO$1006,0)))),"Fix")))</f>
        <v>0</v>
      </c>
      <c r="AA56" s="4">
        <f>IF(OR(INDEX($AH$2:$AH$1001,MATCH(ROWS($AG$2:AG56),$AG$2:$AG$1001,0),1)&gt;=100000,INDEX($AN$1005:$BO$1005,1,MATCH(COLUMNS($AN$1006:BM1006),$AN$1006:$BO$1006,0))&gt;=100000), " ",IF(INDEX($AN$2:$BO$1001,MATCH(ROWS($AG$2:AG56),$AG$2:$AG$1001,0),MATCH(COLUMNS($AN$1006:BM1006),$AN$1006:$BO$1006,0)), HYPERLINK("#",""), HYPERLINK(CONCATENATE("#Metadata!", ADDRESS(INDEX($AI$2:$AI$1001,MATCH(ROWS($AG$2:AG56),$AG$2:$AG$1001,0),0), INDEX($AN$1004:$BO$1004,1,MATCH(COLUMNS($AN$1006:BM1006),$AN$1006:$BO$1006,0)))),"Fix")))</f>
        <v>0</v>
      </c>
      <c r="AB56" s="4">
        <f>IF(OR(INDEX($AH$2:$AH$1001,MATCH(ROWS($AG$2:AG56),$AG$2:$AG$1001,0),1)&gt;=100000,INDEX($AN$1005:$BO$1005,1,MATCH(COLUMNS($AN$1006:BN1006),$AN$1006:$BO$1006,0))&gt;=100000), " ",IF(INDEX($AN$2:$BO$1001,MATCH(ROWS($AG$2:AG56),$AG$2:$AG$1001,0),MATCH(COLUMNS($AN$1006:BN1006),$AN$1006:$BO$1006,0)), HYPERLINK("#",""), HYPERLINK(CONCATENATE("#Metadata!", ADDRESS(INDEX($AI$2:$AI$1001,MATCH(ROWS($AG$2:AG56),$AG$2:$AG$1001,0),0), INDEX($AN$1004:$BO$1004,1,MATCH(COLUMNS($AN$1006:BN1006),$AN$1006:$BO$1006,0)))),"Fix")))</f>
        <v>0</v>
      </c>
      <c r="AC56" s="4">
        <f>IF(OR(INDEX($AH$2:$AH$1001,MATCH(ROWS($AG$2:AG56),$AG$2:$AG$1001,0),1)&gt;=100000,INDEX($AN$1005:$BO$1005,1,MATCH(COLUMNS($AN$1006:BO1006),$AN$1006:$BO$1006,0))&gt;=100000), " ",IF(INDEX($AN$2:$BO$1001,MATCH(ROWS($AG$2:AG56),$AG$2:$AG$1001,0),MATCH(COLUMNS($AN$1006:BO1006),$AN$1006:$BO$1006,0)), HYPERLINK("#",""), HYPERLINK(CONCATENATE("#Metadata!", ADDRESS(INDEX($AI$2:$AI$1001,MATCH(ROWS($AG$2:AG56),$AG$2:$AG$1001,0),0), INDEX($AN$1004:$BO$1004,1,MATCH(COLUMNS($AN$1006:BO1006),$AN$1006:$BO$1006,0)))),"Fix")))</f>
        <v>0</v>
      </c>
      <c r="AG56">
        <v>0</v>
      </c>
      <c r="AH56">
        <v>0</v>
      </c>
      <c r="AI56">
        <v>0</v>
      </c>
      <c r="AJ56">
        <f>IF(AK56,TRUE,AND(AN56:BO56))</f>
        <v>0</v>
      </c>
      <c r="AK56">
        <f>COUNTBLANK(Metadata!B56:AC56)=COLUMNS(Metadata!B56:AC56)</f>
        <v>0</v>
      </c>
      <c r="AL56">
        <v>0</v>
      </c>
      <c r="AN56">
        <f>AND(IF(Metadata!B56="",FALSE,TRUE),COUNTIF(Metadata!B:B, Metadata!B56) = 1,NOT(ISERROR(SUMPRODUCT(SEARCH(MID(Metadata!B56,ROW(INDIRECT("1:"&amp;LEN(Metadata!B56))), 1),"0123456789abcdefghijklmnopqrstuvwxyzABCDEFGHIJKLMNOPQRSTUVWXYZ.")))))</f>
        <v>0</v>
      </c>
      <c r="AO56">
        <f>IF(Metadata!C56="",FALSE,TRUE)</f>
        <v>0</v>
      </c>
      <c r="AP56">
        <f>IF(Metadata!D56="",FALSE,TRUE)</f>
        <v>0</v>
      </c>
      <c r="AQ56">
        <f>OR(AND(IF(Metadata!E56="",FALSE,TRUE),OR(exact(Metadata!E56,"not collected"),exact(Metadata!E56,"not provided"),exact(Metadata!E56,"restricted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R56">
        <f>IF(Metadata!F56="",FALSE,TRUE)</f>
        <v>0</v>
      </c>
      <c r="AS56">
        <f>OR(AND(IF(Metadata!G56="",FALSE,TRUE),OR(exact(Metadata!G56,"not collected"),exact(Metadata!G56,"not provided"))),AND(IF(Metadata!G56="",FALSE,TRUE),OR(exact(Metadata!G56,"TRUE"),exact(Metadata!G56,"FALSE"))))</f>
        <v>0</v>
      </c>
      <c r="AT56">
        <f>OR(AND(IF(Metadata!H56="",FALSE,TRUE),OR(exact(Metadata!H56,"not collected"),exact(Metadata!H56,"not provided"),exact(Metadata!H56,"restricted access"))),AND(IF(Metadata!H56="",FALSE,ISNUMBER(VALUE(Metadata!H56))),Metadata!H56&gt;=-413.0))</f>
        <v>0</v>
      </c>
      <c r="AU56">
        <f>AND(IF(Metadata!I56="",FALSE,TRUE),exact(Metadata!I56,"meters"))</f>
        <v>0</v>
      </c>
      <c r="AV56">
        <f>AND(IF(Metadata!J56="",FALSE,TRUE),OR(exact(Metadata!J56,"Host-associated"),exact(Metadata!J56,"Free-living")))</f>
        <v>0</v>
      </c>
      <c r="AW56">
        <f>AND(IF(Metadata!K56="",FALSE,TRUE),OR(exact(Metadata!K56,"Animal"),exact(Metadata!K56,"Fungus"),exact(Metadata!K56,"Plant"),exact(Metadata!K56,"Saline"),exact(Metadata!K56,"Non-saline")))</f>
        <v>0</v>
      </c>
      <c r="AX56">
        <f>AND(IF(Metadata!L56="",FALSE,TRUE),OR(exact(Metadata!L56,"Plant secretion"),exact(Metadata!L56,"Plant rhizosphere"),exact(Metadata!L56,"Plant surface"),exact(Metadata!L56,"Plant corpus"),exact(Metadata!L56,"Fungus surface"),exact(Metadata!L56,"Fungus corpus"),exact(Metadata!L56,"Animal surface"),exact(Metadata!L56,"Animal proximal gut"),exact(Metadata!L56,"Animal corpus"),exact(Metadata!L56,"Animal distal gut"),exact(Metadata!L56,"Animal secretion"),exact(Metadata!L56,"Sub-surface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0</v>
      </c>
      <c r="AY56">
        <f>IF(Metadata!M56="",FALSE,TRUE)</f>
        <v>0</v>
      </c>
      <c r="AZ56">
        <f>IF(Metadata!N56="",FALSE,TRUE)</f>
        <v>0</v>
      </c>
      <c r="BA56">
        <f>IF(Metadata!O56="",FALSE,TRUE)</f>
        <v>0</v>
      </c>
      <c r="BB56">
        <f>OR(AND(IF(Metadata!P56="",FALSE,TRUE),OR(exact(Metadata!P56,"not collected"),exact(Metadata!P56,"not provided"),exact(Metadata!P56,"restricted access"))),AND(IF(Metadata!P56="",FALSE,TRUE),OR(exact(Metadata!P56,"air"),exact(Metadata!P56,"built environment"),exact(Metadata!P56,"host-associated"),exact(Metadata!P56,"human-associated"),exact(Metadata!P56,"human-skin"),exact(Metadata!P56,"human-oral"),exact(Metadata!P56,"human-gut"),exact(Metadata!P56,"human-vaginal"),exact(Metadata!P56,"microbial mat/biofilm"),exact(Metadata!P56,"misc environment"),exact(Metadata!P56,"plant-associated"),exact(Metadata!P56,"sediment"),exact(Metadata!P56,"soil"),exact(Metadata!P56,"wastewater/sludge"),exact(Metadata!P56,"water"))))</f>
        <v>0</v>
      </c>
      <c r="BC56">
        <f>IF(Metadata!Q56="",FALSE,TRUE)</f>
        <v>0</v>
      </c>
      <c r="BD56">
        <f>IF(Metadata!R56="",FALSE,TRUE)</f>
        <v>0</v>
      </c>
      <c r="BE56">
        <f>OR(AND(IF(Metadata!S56="",FALSE,TRUE),OR(exact(Metadata!S56,"not collected"),exact(Metadata!S56,"not provided"),exact(Metadata!S56,"restricted access"))),AND(IF(Metadata!S56="",FALSE,ISNUMBER(VALUE(Metadata!S56))),Metadata!S56&gt;=-90.00,Metadata!S56&lt;=90.00))</f>
        <v>0</v>
      </c>
      <c r="BF56">
        <f>AND(IF(Metadata!T56="",FALSE,TRUE),exact(Metadata!T56,"Decimal degrees"))</f>
        <v>0</v>
      </c>
      <c r="BG56">
        <f>OR(AND(IF(Metadata!U56="",FALSE,TRUE),OR(exact(Metadata!U56,"not collected"),exact(Metadata!U56,"not provided"),exact(Metadata!U56,"restricted access"))),AND(IF(Metadata!U56="",FALSE,ISNUMBER(VALUE(Metadata!U56))),Metadata!U56&gt;=-180.00,Metadata!U56&lt;=180.00))</f>
        <v>0</v>
      </c>
      <c r="BH56">
        <f>AND(IF(Metadata!V56="",FALSE,TRUE),exact(Metadata!V56,"Decimal degrees"))</f>
        <v>0</v>
      </c>
      <c r="BI56">
        <f>IF(Metadata!W56="",FALSE,TRUE)</f>
        <v>0</v>
      </c>
      <c r="BJ56">
        <f>OR(AND(IF(Metadata!X56="",FALSE,TRUE),OR(exact(Metadata!X56,"not collected"),exact(Metadata!X56,"not provided"),exact(Metadata!X56,"restricted access"))),AND(IF(Metadata!X56="",FALSE,TRUE),OR(exact(Metadata!X56,"TRUE"),exact(Metadata!X56,"FALSE"))))</f>
        <v>0</v>
      </c>
      <c r="BK56">
        <f>AND(IF(Metadata!Y56="",FALSE,TRUE),exact(Metadata!Y56,"other"))</f>
        <v>0</v>
      </c>
      <c r="BL56">
        <f>IF(Metadata!Z56="",FALSE,TRUE)</f>
        <v>0</v>
      </c>
      <c r="BM56">
        <f>OR(AND(IF(Metadata!AA56="",FALSE,TRUE),OR(exact(Metadata!AA56,"not collected"),exact(Metadata!AA56,"not provided"))),AND(IF(Metadata!AA56="",FALSE,IF(ISERROR(INT(Metadata!AA56)),FALSE,INT(Metadata!AA56)=Metadata!AA56)),Metadata!AA56&gt;0))</f>
        <v>0</v>
      </c>
      <c r="BN56">
        <f>AND(IF(Metadata!AB56="",FALSE,TRUE),exact(Metadata!AB56,"Not applicable"))</f>
        <v>0</v>
      </c>
      <c r="BO56">
        <f>IF(Metadata!AC56="",FALSE,TRUE)</f>
        <v>0</v>
      </c>
    </row>
    <row r="57" spans="1:67">
      <c r="A57" s="5">
        <f>IF(B57=" "," ",HYPERLINK(CONCATENATE("#metadata!",ADDRESS(INDEX($AI$2:$AI$1001,MATCH(ROWS($AG$2:AG57),$AG$2:$AG$1001,0),0),1)),INDEX($AL$2:$AL$1001,MATCH(ROWS($AG$2:AG57),$AG$2:$AG$1001,0),0)))</f>
        <v>0</v>
      </c>
      <c r="B57" s="4">
        <f>IF(OR(INDEX($AH$2:$AH$1001,MATCH(ROWS($AG$2:AG57),$AG$2:$AG$1001,0),1)&gt;=100000,INDEX($AN$1005:$BO$1005,1,MATCH(COLUMNS($AN$1006:AN1006),$AN$1006:$BO$1006,0))&gt;=100000), " ",IF(INDEX($AN$2:$BO$1001,MATCH(ROWS($AG$2:AG57),$AG$2:$AG$1001,0),MATCH(COLUMNS($AN$1006:AN1006),$AN$1006:$BO$1006,0)), HYPERLINK("#",""), HYPERLINK(CONCATENATE("#Metadata!", ADDRESS(INDEX($AI$2:$AI$1001,MATCH(ROWS($AG$2:AG57),$AG$2:$AG$1001,0),0), INDEX($AN$1004:$BO$1004,1,MATCH(COLUMNS($AN$1006:AN1006),$AN$1006:$BO$1006,0)))),"Fix")))</f>
        <v>0</v>
      </c>
      <c r="C57" s="4">
        <f>IF(OR(INDEX($AH$2:$AH$1001,MATCH(ROWS($AG$2:AG57),$AG$2:$AG$1001,0),1)&gt;=100000,INDEX($AN$1005:$BO$1005,1,MATCH(COLUMNS($AN$1006:AO1006),$AN$1006:$BO$1006,0))&gt;=100000), " ",IF(INDEX($AN$2:$BO$1001,MATCH(ROWS($AG$2:AG57),$AG$2:$AG$1001,0),MATCH(COLUMNS($AN$1006:AO1006),$AN$1006:$BO$1006,0)), HYPERLINK("#",""), HYPERLINK(CONCATENATE("#Metadata!", ADDRESS(INDEX($AI$2:$AI$1001,MATCH(ROWS($AG$2:AG57),$AG$2:$AG$1001,0),0), INDEX($AN$1004:$BO$1004,1,MATCH(COLUMNS($AN$1006:AO1006),$AN$1006:$BO$1006,0)))),"Fix")))</f>
        <v>0</v>
      </c>
      <c r="D57" s="4">
        <f>IF(OR(INDEX($AH$2:$AH$1001,MATCH(ROWS($AG$2:AG57),$AG$2:$AG$1001,0),1)&gt;=100000,INDEX($AN$1005:$BO$1005,1,MATCH(COLUMNS($AN$1006:AP1006),$AN$1006:$BO$1006,0))&gt;=100000), " ",IF(INDEX($AN$2:$BO$1001,MATCH(ROWS($AG$2:AG57),$AG$2:$AG$1001,0),MATCH(COLUMNS($AN$1006:AP1006),$AN$1006:$BO$1006,0)), HYPERLINK("#",""), HYPERLINK(CONCATENATE("#Metadata!", ADDRESS(INDEX($AI$2:$AI$1001,MATCH(ROWS($AG$2:AG57),$AG$2:$AG$1001,0),0), INDEX($AN$1004:$BO$1004,1,MATCH(COLUMNS($AN$1006:AP1006),$AN$1006:$BO$1006,0)))),"Fix")))</f>
        <v>0</v>
      </c>
      <c r="E57" s="4">
        <f>IF(OR(INDEX($AH$2:$AH$1001,MATCH(ROWS($AG$2:AG57),$AG$2:$AG$1001,0),1)&gt;=100000,INDEX($AN$1005:$BO$1005,1,MATCH(COLUMNS($AN$1006:AQ1006),$AN$1006:$BO$1006,0))&gt;=100000), " ",IF(INDEX($AN$2:$BO$1001,MATCH(ROWS($AG$2:AG57),$AG$2:$AG$1001,0),MATCH(COLUMNS($AN$1006:AQ1006),$AN$1006:$BO$1006,0)), HYPERLINK("#",""), HYPERLINK(CONCATENATE("#Metadata!", ADDRESS(INDEX($AI$2:$AI$1001,MATCH(ROWS($AG$2:AG57),$AG$2:$AG$1001,0),0), INDEX($AN$1004:$BO$1004,1,MATCH(COLUMNS($AN$1006:AQ1006),$AN$1006:$BO$1006,0)))),"Fix")))</f>
        <v>0</v>
      </c>
      <c r="F57" s="4">
        <f>IF(OR(INDEX($AH$2:$AH$1001,MATCH(ROWS($AG$2:AG57),$AG$2:$AG$1001,0),1)&gt;=100000,INDEX($AN$1005:$BO$1005,1,MATCH(COLUMNS($AN$1006:AR1006),$AN$1006:$BO$1006,0))&gt;=100000), " ",IF(INDEX($AN$2:$BO$1001,MATCH(ROWS($AG$2:AG57),$AG$2:$AG$1001,0),MATCH(COLUMNS($AN$1006:AR1006),$AN$1006:$BO$1006,0)), HYPERLINK("#",""), HYPERLINK(CONCATENATE("#Metadata!", ADDRESS(INDEX($AI$2:$AI$1001,MATCH(ROWS($AG$2:AG57),$AG$2:$AG$1001,0),0), INDEX($AN$1004:$BO$1004,1,MATCH(COLUMNS($AN$1006:AR1006),$AN$1006:$BO$1006,0)))),"Fix")))</f>
        <v>0</v>
      </c>
      <c r="G57" s="4">
        <f>IF(OR(INDEX($AH$2:$AH$1001,MATCH(ROWS($AG$2:AG57),$AG$2:$AG$1001,0),1)&gt;=100000,INDEX($AN$1005:$BO$1005,1,MATCH(COLUMNS($AN$1006:AS1006),$AN$1006:$BO$1006,0))&gt;=100000), " ",IF(INDEX($AN$2:$BO$1001,MATCH(ROWS($AG$2:AG57),$AG$2:$AG$1001,0),MATCH(COLUMNS($AN$1006:AS1006),$AN$1006:$BO$1006,0)), HYPERLINK("#",""), HYPERLINK(CONCATENATE("#Metadata!", ADDRESS(INDEX($AI$2:$AI$1001,MATCH(ROWS($AG$2:AG57),$AG$2:$AG$1001,0),0), INDEX($AN$1004:$BO$1004,1,MATCH(COLUMNS($AN$1006:AS1006),$AN$1006:$BO$1006,0)))),"Fix")))</f>
        <v>0</v>
      </c>
      <c r="H57" s="4">
        <f>IF(OR(INDEX($AH$2:$AH$1001,MATCH(ROWS($AG$2:AG57),$AG$2:$AG$1001,0),1)&gt;=100000,INDEX($AN$1005:$BO$1005,1,MATCH(COLUMNS($AN$1006:AT1006),$AN$1006:$BO$1006,0))&gt;=100000), " ",IF(INDEX($AN$2:$BO$1001,MATCH(ROWS($AG$2:AG57),$AG$2:$AG$1001,0),MATCH(COLUMNS($AN$1006:AT1006),$AN$1006:$BO$1006,0)), HYPERLINK("#",""), HYPERLINK(CONCATENATE("#Metadata!", ADDRESS(INDEX($AI$2:$AI$1001,MATCH(ROWS($AG$2:AG57),$AG$2:$AG$1001,0),0), INDEX($AN$1004:$BO$1004,1,MATCH(COLUMNS($AN$1006:AT1006),$AN$1006:$BO$1006,0)))),"Fix")))</f>
        <v>0</v>
      </c>
      <c r="I57" s="4">
        <f>IF(OR(INDEX($AH$2:$AH$1001,MATCH(ROWS($AG$2:AG57),$AG$2:$AG$1001,0),1)&gt;=100000,INDEX($AN$1005:$BO$1005,1,MATCH(COLUMNS($AN$1006:AU1006),$AN$1006:$BO$1006,0))&gt;=100000), " ",IF(INDEX($AN$2:$BO$1001,MATCH(ROWS($AG$2:AG57),$AG$2:$AG$1001,0),MATCH(COLUMNS($AN$1006:AU1006),$AN$1006:$BO$1006,0)), HYPERLINK("#",""), HYPERLINK(CONCATENATE("#Metadata!", ADDRESS(INDEX($AI$2:$AI$1001,MATCH(ROWS($AG$2:AG57),$AG$2:$AG$1001,0),0), INDEX($AN$1004:$BO$1004,1,MATCH(COLUMNS($AN$1006:AU1006),$AN$1006:$BO$1006,0)))),"Fix")))</f>
        <v>0</v>
      </c>
      <c r="J57" s="4">
        <f>IF(OR(INDEX($AH$2:$AH$1001,MATCH(ROWS($AG$2:AG57),$AG$2:$AG$1001,0),1)&gt;=100000,INDEX($AN$1005:$BO$1005,1,MATCH(COLUMNS($AN$1006:AV1006),$AN$1006:$BO$1006,0))&gt;=100000), " ",IF(INDEX($AN$2:$BO$1001,MATCH(ROWS($AG$2:AG57),$AG$2:$AG$1001,0),MATCH(COLUMNS($AN$1006:AV1006),$AN$1006:$BO$1006,0)), HYPERLINK("#",""), HYPERLINK(CONCATENATE("#Metadata!", ADDRESS(INDEX($AI$2:$AI$1001,MATCH(ROWS($AG$2:AG57),$AG$2:$AG$1001,0),0), INDEX($AN$1004:$BO$1004,1,MATCH(COLUMNS($AN$1006:AV1006),$AN$1006:$BO$1006,0)))),"Fix")))</f>
        <v>0</v>
      </c>
      <c r="K57" s="4">
        <f>IF(OR(INDEX($AH$2:$AH$1001,MATCH(ROWS($AG$2:AG57),$AG$2:$AG$1001,0),1)&gt;=100000,INDEX($AN$1005:$BO$1005,1,MATCH(COLUMNS($AN$1006:AW1006),$AN$1006:$BO$1006,0))&gt;=100000), " ",IF(INDEX($AN$2:$BO$1001,MATCH(ROWS($AG$2:AG57),$AG$2:$AG$1001,0),MATCH(COLUMNS($AN$1006:AW1006),$AN$1006:$BO$1006,0)), HYPERLINK("#",""), HYPERLINK(CONCATENATE("#Metadata!", ADDRESS(INDEX($AI$2:$AI$1001,MATCH(ROWS($AG$2:AG57),$AG$2:$AG$1001,0),0), INDEX($AN$1004:$BO$1004,1,MATCH(COLUMNS($AN$1006:AW1006),$AN$1006:$BO$1006,0)))),"Fix")))</f>
        <v>0</v>
      </c>
      <c r="L57" s="4">
        <f>IF(OR(INDEX($AH$2:$AH$1001,MATCH(ROWS($AG$2:AG57),$AG$2:$AG$1001,0),1)&gt;=100000,INDEX($AN$1005:$BO$1005,1,MATCH(COLUMNS($AN$1006:AX1006),$AN$1006:$BO$1006,0))&gt;=100000), " ",IF(INDEX($AN$2:$BO$1001,MATCH(ROWS($AG$2:AG57),$AG$2:$AG$1001,0),MATCH(COLUMNS($AN$1006:AX1006),$AN$1006:$BO$1006,0)), HYPERLINK("#",""), HYPERLINK(CONCATENATE("#Metadata!", ADDRESS(INDEX($AI$2:$AI$1001,MATCH(ROWS($AG$2:AG57),$AG$2:$AG$1001,0),0), INDEX($AN$1004:$BO$1004,1,MATCH(COLUMNS($AN$1006:AX1006),$AN$1006:$BO$1006,0)))),"Fix")))</f>
        <v>0</v>
      </c>
      <c r="M57" s="4">
        <f>IF(OR(INDEX($AH$2:$AH$1001,MATCH(ROWS($AG$2:AG57),$AG$2:$AG$1001,0),1)&gt;=100000,INDEX($AN$1005:$BO$1005,1,MATCH(COLUMNS($AN$1006:AY1006),$AN$1006:$BO$1006,0))&gt;=100000), " ",IF(INDEX($AN$2:$BO$1001,MATCH(ROWS($AG$2:AG57),$AG$2:$AG$1001,0),MATCH(COLUMNS($AN$1006:AY1006),$AN$1006:$BO$1006,0)), HYPERLINK("#",""), HYPERLINK(CONCATENATE("#Metadata!", ADDRESS(INDEX($AI$2:$AI$1001,MATCH(ROWS($AG$2:AG57),$AG$2:$AG$1001,0),0), INDEX($AN$1004:$BO$1004,1,MATCH(COLUMNS($AN$1006:AY1006),$AN$1006:$BO$1006,0)))),"Fix")))</f>
        <v>0</v>
      </c>
      <c r="N57" s="4">
        <f>IF(OR(INDEX($AH$2:$AH$1001,MATCH(ROWS($AG$2:AG57),$AG$2:$AG$1001,0),1)&gt;=100000,INDEX($AN$1005:$BO$1005,1,MATCH(COLUMNS($AN$1006:AZ1006),$AN$1006:$BO$1006,0))&gt;=100000), " ",IF(INDEX($AN$2:$BO$1001,MATCH(ROWS($AG$2:AG57),$AG$2:$AG$1001,0),MATCH(COLUMNS($AN$1006:AZ1006),$AN$1006:$BO$1006,0)), HYPERLINK("#",""), HYPERLINK(CONCATENATE("#Metadata!", ADDRESS(INDEX($AI$2:$AI$1001,MATCH(ROWS($AG$2:AG57),$AG$2:$AG$1001,0),0), INDEX($AN$1004:$BO$1004,1,MATCH(COLUMNS($AN$1006:AZ1006),$AN$1006:$BO$1006,0)))),"Fix")))</f>
        <v>0</v>
      </c>
      <c r="O57" s="4">
        <f>IF(OR(INDEX($AH$2:$AH$1001,MATCH(ROWS($AG$2:AG57),$AG$2:$AG$1001,0),1)&gt;=100000,INDEX($AN$1005:$BO$1005,1,MATCH(COLUMNS($AN$1006:BA1006),$AN$1006:$BO$1006,0))&gt;=100000), " ",IF(INDEX($AN$2:$BO$1001,MATCH(ROWS($AG$2:AG57),$AG$2:$AG$1001,0),MATCH(COLUMNS($AN$1006:BA1006),$AN$1006:$BO$1006,0)), HYPERLINK("#",""), HYPERLINK(CONCATENATE("#Metadata!", ADDRESS(INDEX($AI$2:$AI$1001,MATCH(ROWS($AG$2:AG57),$AG$2:$AG$1001,0),0), INDEX($AN$1004:$BO$1004,1,MATCH(COLUMNS($AN$1006:BA1006),$AN$1006:$BO$1006,0)))),"Fix")))</f>
        <v>0</v>
      </c>
      <c r="P57" s="4">
        <f>IF(OR(INDEX($AH$2:$AH$1001,MATCH(ROWS($AG$2:AG57),$AG$2:$AG$1001,0),1)&gt;=100000,INDEX($AN$1005:$BO$1005,1,MATCH(COLUMNS($AN$1006:BB1006),$AN$1006:$BO$1006,0))&gt;=100000), " ",IF(INDEX($AN$2:$BO$1001,MATCH(ROWS($AG$2:AG57),$AG$2:$AG$1001,0),MATCH(COLUMNS($AN$1006:BB1006),$AN$1006:$BO$1006,0)), HYPERLINK("#",""), HYPERLINK(CONCATENATE("#Metadata!", ADDRESS(INDEX($AI$2:$AI$1001,MATCH(ROWS($AG$2:AG57),$AG$2:$AG$1001,0),0), INDEX($AN$1004:$BO$1004,1,MATCH(COLUMNS($AN$1006:BB1006),$AN$1006:$BO$1006,0)))),"Fix")))</f>
        <v>0</v>
      </c>
      <c r="Q57" s="4">
        <f>IF(OR(INDEX($AH$2:$AH$1001,MATCH(ROWS($AG$2:AG57),$AG$2:$AG$1001,0),1)&gt;=100000,INDEX($AN$1005:$BO$1005,1,MATCH(COLUMNS($AN$1006:BC1006),$AN$1006:$BO$1006,0))&gt;=100000), " ",IF(INDEX($AN$2:$BO$1001,MATCH(ROWS($AG$2:AG57),$AG$2:$AG$1001,0),MATCH(COLUMNS($AN$1006:BC1006),$AN$1006:$BO$1006,0)), HYPERLINK("#",""), HYPERLINK(CONCATENATE("#Metadata!", ADDRESS(INDEX($AI$2:$AI$1001,MATCH(ROWS($AG$2:AG57),$AG$2:$AG$1001,0),0), INDEX($AN$1004:$BO$1004,1,MATCH(COLUMNS($AN$1006:BC1006),$AN$1006:$BO$1006,0)))),"Fix")))</f>
        <v>0</v>
      </c>
      <c r="R57" s="4">
        <f>IF(OR(INDEX($AH$2:$AH$1001,MATCH(ROWS($AG$2:AG57),$AG$2:$AG$1001,0),1)&gt;=100000,INDEX($AN$1005:$BO$1005,1,MATCH(COLUMNS($AN$1006:BD1006),$AN$1006:$BO$1006,0))&gt;=100000), " ",IF(INDEX($AN$2:$BO$1001,MATCH(ROWS($AG$2:AG57),$AG$2:$AG$1001,0),MATCH(COLUMNS($AN$1006:BD1006),$AN$1006:$BO$1006,0)), HYPERLINK("#",""), HYPERLINK(CONCATENATE("#Metadata!", ADDRESS(INDEX($AI$2:$AI$1001,MATCH(ROWS($AG$2:AG57),$AG$2:$AG$1001,0),0), INDEX($AN$1004:$BO$1004,1,MATCH(COLUMNS($AN$1006:BD1006),$AN$1006:$BO$1006,0)))),"Fix")))</f>
        <v>0</v>
      </c>
      <c r="S57" s="4">
        <f>IF(OR(INDEX($AH$2:$AH$1001,MATCH(ROWS($AG$2:AG57),$AG$2:$AG$1001,0),1)&gt;=100000,INDEX($AN$1005:$BO$1005,1,MATCH(COLUMNS($AN$1006:BE1006),$AN$1006:$BO$1006,0))&gt;=100000), " ",IF(INDEX($AN$2:$BO$1001,MATCH(ROWS($AG$2:AG57),$AG$2:$AG$1001,0),MATCH(COLUMNS($AN$1006:BE1006),$AN$1006:$BO$1006,0)), HYPERLINK("#",""), HYPERLINK(CONCATENATE("#Metadata!", ADDRESS(INDEX($AI$2:$AI$1001,MATCH(ROWS($AG$2:AG57),$AG$2:$AG$1001,0),0), INDEX($AN$1004:$BO$1004,1,MATCH(COLUMNS($AN$1006:BE1006),$AN$1006:$BO$1006,0)))),"Fix")))</f>
        <v>0</v>
      </c>
      <c r="T57" s="4">
        <f>IF(OR(INDEX($AH$2:$AH$1001,MATCH(ROWS($AG$2:AG57),$AG$2:$AG$1001,0),1)&gt;=100000,INDEX($AN$1005:$BO$1005,1,MATCH(COLUMNS($AN$1006:BF1006),$AN$1006:$BO$1006,0))&gt;=100000), " ",IF(INDEX($AN$2:$BO$1001,MATCH(ROWS($AG$2:AG57),$AG$2:$AG$1001,0),MATCH(COLUMNS($AN$1006:BF1006),$AN$1006:$BO$1006,0)), HYPERLINK("#",""), HYPERLINK(CONCATENATE("#Metadata!", ADDRESS(INDEX($AI$2:$AI$1001,MATCH(ROWS($AG$2:AG57),$AG$2:$AG$1001,0),0), INDEX($AN$1004:$BO$1004,1,MATCH(COLUMNS($AN$1006:BF1006),$AN$1006:$BO$1006,0)))),"Fix")))</f>
        <v>0</v>
      </c>
      <c r="U57" s="4">
        <f>IF(OR(INDEX($AH$2:$AH$1001,MATCH(ROWS($AG$2:AG57),$AG$2:$AG$1001,0),1)&gt;=100000,INDEX($AN$1005:$BO$1005,1,MATCH(COLUMNS($AN$1006:BG1006),$AN$1006:$BO$1006,0))&gt;=100000), " ",IF(INDEX($AN$2:$BO$1001,MATCH(ROWS($AG$2:AG57),$AG$2:$AG$1001,0),MATCH(COLUMNS($AN$1006:BG1006),$AN$1006:$BO$1006,0)), HYPERLINK("#",""), HYPERLINK(CONCATENATE("#Metadata!", ADDRESS(INDEX($AI$2:$AI$1001,MATCH(ROWS($AG$2:AG57),$AG$2:$AG$1001,0),0), INDEX($AN$1004:$BO$1004,1,MATCH(COLUMNS($AN$1006:BG1006),$AN$1006:$BO$1006,0)))),"Fix")))</f>
        <v>0</v>
      </c>
      <c r="V57" s="4">
        <f>IF(OR(INDEX($AH$2:$AH$1001,MATCH(ROWS($AG$2:AG57),$AG$2:$AG$1001,0),1)&gt;=100000,INDEX($AN$1005:$BO$1005,1,MATCH(COLUMNS($AN$1006:BH1006),$AN$1006:$BO$1006,0))&gt;=100000), " ",IF(INDEX($AN$2:$BO$1001,MATCH(ROWS($AG$2:AG57),$AG$2:$AG$1001,0),MATCH(COLUMNS($AN$1006:BH1006),$AN$1006:$BO$1006,0)), HYPERLINK("#",""), HYPERLINK(CONCATENATE("#Metadata!", ADDRESS(INDEX($AI$2:$AI$1001,MATCH(ROWS($AG$2:AG57),$AG$2:$AG$1001,0),0), INDEX($AN$1004:$BO$1004,1,MATCH(COLUMNS($AN$1006:BH1006),$AN$1006:$BO$1006,0)))),"Fix")))</f>
        <v>0</v>
      </c>
      <c r="W57" s="4">
        <f>IF(OR(INDEX($AH$2:$AH$1001,MATCH(ROWS($AG$2:AG57),$AG$2:$AG$1001,0),1)&gt;=100000,INDEX($AN$1005:$BO$1005,1,MATCH(COLUMNS($AN$1006:BI1006),$AN$1006:$BO$1006,0))&gt;=100000), " ",IF(INDEX($AN$2:$BO$1001,MATCH(ROWS($AG$2:AG57),$AG$2:$AG$1001,0),MATCH(COLUMNS($AN$1006:BI1006),$AN$1006:$BO$1006,0)), HYPERLINK("#",""), HYPERLINK(CONCATENATE("#Metadata!", ADDRESS(INDEX($AI$2:$AI$1001,MATCH(ROWS($AG$2:AG57),$AG$2:$AG$1001,0),0), INDEX($AN$1004:$BO$1004,1,MATCH(COLUMNS($AN$1006:BI1006),$AN$1006:$BO$1006,0)))),"Fix")))</f>
        <v>0</v>
      </c>
      <c r="X57" s="4">
        <f>IF(OR(INDEX($AH$2:$AH$1001,MATCH(ROWS($AG$2:AG57),$AG$2:$AG$1001,0),1)&gt;=100000,INDEX($AN$1005:$BO$1005,1,MATCH(COLUMNS($AN$1006:BJ1006),$AN$1006:$BO$1006,0))&gt;=100000), " ",IF(INDEX($AN$2:$BO$1001,MATCH(ROWS($AG$2:AG57),$AG$2:$AG$1001,0),MATCH(COLUMNS($AN$1006:BJ1006),$AN$1006:$BO$1006,0)), HYPERLINK("#",""), HYPERLINK(CONCATENATE("#Metadata!", ADDRESS(INDEX($AI$2:$AI$1001,MATCH(ROWS($AG$2:AG57),$AG$2:$AG$1001,0),0), INDEX($AN$1004:$BO$1004,1,MATCH(COLUMNS($AN$1006:BJ1006),$AN$1006:$BO$1006,0)))),"Fix")))</f>
        <v>0</v>
      </c>
      <c r="Y57" s="4">
        <f>IF(OR(INDEX($AH$2:$AH$1001,MATCH(ROWS($AG$2:AG57),$AG$2:$AG$1001,0),1)&gt;=100000,INDEX($AN$1005:$BO$1005,1,MATCH(COLUMNS($AN$1006:BK1006),$AN$1006:$BO$1006,0))&gt;=100000), " ",IF(INDEX($AN$2:$BO$1001,MATCH(ROWS($AG$2:AG57),$AG$2:$AG$1001,0),MATCH(COLUMNS($AN$1006:BK1006),$AN$1006:$BO$1006,0)), HYPERLINK("#",""), HYPERLINK(CONCATENATE("#Metadata!", ADDRESS(INDEX($AI$2:$AI$1001,MATCH(ROWS($AG$2:AG57),$AG$2:$AG$1001,0),0), INDEX($AN$1004:$BO$1004,1,MATCH(COLUMNS($AN$1006:BK1006),$AN$1006:$BO$1006,0)))),"Fix")))</f>
        <v>0</v>
      </c>
      <c r="Z57" s="4">
        <f>IF(OR(INDEX($AH$2:$AH$1001,MATCH(ROWS($AG$2:AG57),$AG$2:$AG$1001,0),1)&gt;=100000,INDEX($AN$1005:$BO$1005,1,MATCH(COLUMNS($AN$1006:BL1006),$AN$1006:$BO$1006,0))&gt;=100000), " ",IF(INDEX($AN$2:$BO$1001,MATCH(ROWS($AG$2:AG57),$AG$2:$AG$1001,0),MATCH(COLUMNS($AN$1006:BL1006),$AN$1006:$BO$1006,0)), HYPERLINK("#",""), HYPERLINK(CONCATENATE("#Metadata!", ADDRESS(INDEX($AI$2:$AI$1001,MATCH(ROWS($AG$2:AG57),$AG$2:$AG$1001,0),0), INDEX($AN$1004:$BO$1004,1,MATCH(COLUMNS($AN$1006:BL1006),$AN$1006:$BO$1006,0)))),"Fix")))</f>
        <v>0</v>
      </c>
      <c r="AA57" s="4">
        <f>IF(OR(INDEX($AH$2:$AH$1001,MATCH(ROWS($AG$2:AG57),$AG$2:$AG$1001,0),1)&gt;=100000,INDEX($AN$1005:$BO$1005,1,MATCH(COLUMNS($AN$1006:BM1006),$AN$1006:$BO$1006,0))&gt;=100000), " ",IF(INDEX($AN$2:$BO$1001,MATCH(ROWS($AG$2:AG57),$AG$2:$AG$1001,0),MATCH(COLUMNS($AN$1006:BM1006),$AN$1006:$BO$1006,0)), HYPERLINK("#",""), HYPERLINK(CONCATENATE("#Metadata!", ADDRESS(INDEX($AI$2:$AI$1001,MATCH(ROWS($AG$2:AG57),$AG$2:$AG$1001,0),0), INDEX($AN$1004:$BO$1004,1,MATCH(COLUMNS($AN$1006:BM1006),$AN$1006:$BO$1006,0)))),"Fix")))</f>
        <v>0</v>
      </c>
      <c r="AB57" s="4">
        <f>IF(OR(INDEX($AH$2:$AH$1001,MATCH(ROWS($AG$2:AG57),$AG$2:$AG$1001,0),1)&gt;=100000,INDEX($AN$1005:$BO$1005,1,MATCH(COLUMNS($AN$1006:BN1006),$AN$1006:$BO$1006,0))&gt;=100000), " ",IF(INDEX($AN$2:$BO$1001,MATCH(ROWS($AG$2:AG57),$AG$2:$AG$1001,0),MATCH(COLUMNS($AN$1006:BN1006),$AN$1006:$BO$1006,0)), HYPERLINK("#",""), HYPERLINK(CONCATENATE("#Metadata!", ADDRESS(INDEX($AI$2:$AI$1001,MATCH(ROWS($AG$2:AG57),$AG$2:$AG$1001,0),0), INDEX($AN$1004:$BO$1004,1,MATCH(COLUMNS($AN$1006:BN1006),$AN$1006:$BO$1006,0)))),"Fix")))</f>
        <v>0</v>
      </c>
      <c r="AC57" s="4">
        <f>IF(OR(INDEX($AH$2:$AH$1001,MATCH(ROWS($AG$2:AG57),$AG$2:$AG$1001,0),1)&gt;=100000,INDEX($AN$1005:$BO$1005,1,MATCH(COLUMNS($AN$1006:BO1006),$AN$1006:$BO$1006,0))&gt;=100000), " ",IF(INDEX($AN$2:$BO$1001,MATCH(ROWS($AG$2:AG57),$AG$2:$AG$1001,0),MATCH(COLUMNS($AN$1006:BO1006),$AN$1006:$BO$1006,0)), HYPERLINK("#",""), HYPERLINK(CONCATENATE("#Metadata!", ADDRESS(INDEX($AI$2:$AI$1001,MATCH(ROWS($AG$2:AG57),$AG$2:$AG$1001,0),0), INDEX($AN$1004:$BO$1004,1,MATCH(COLUMNS($AN$1006:BO1006),$AN$1006:$BO$1006,0)))),"Fix")))</f>
        <v>0</v>
      </c>
      <c r="AG57">
        <v>0</v>
      </c>
      <c r="AH57">
        <v>0</v>
      </c>
      <c r="AI57">
        <v>0</v>
      </c>
      <c r="AJ57">
        <f>IF(AK57,TRUE,AND(AN57:BO57))</f>
        <v>0</v>
      </c>
      <c r="AK57">
        <f>COUNTBLANK(Metadata!B57:AC57)=COLUMNS(Metadata!B57:AC57)</f>
        <v>0</v>
      </c>
      <c r="AL57">
        <v>0</v>
      </c>
      <c r="AN57">
        <f>AND(IF(Metadata!B57="",FALSE,TRUE),COUNTIF(Metadata!B:B, Metadata!B57) = 1,NOT(ISERROR(SUMPRODUCT(SEARCH(MID(Metadata!B57,ROW(INDIRECT("1:"&amp;LEN(Metadata!B57))), 1),"0123456789abcdefghijklmnopqrstuvwxyzABCDEFGHIJKLMNOPQRSTUVWXYZ.")))))</f>
        <v>0</v>
      </c>
      <c r="AO57">
        <f>IF(Metadata!C57="",FALSE,TRUE)</f>
        <v>0</v>
      </c>
      <c r="AP57">
        <f>IF(Metadata!D57="",FALSE,TRUE)</f>
        <v>0</v>
      </c>
      <c r="AQ57">
        <f>OR(AND(IF(Metadata!E57="",FALSE,TRUE),OR(exact(Metadata!E57,"not collected"),exact(Metadata!E57,"not provided"),exact(Metadata!E57,"restricted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0</v>
      </c>
      <c r="AR57">
        <f>IF(Metadata!F57="",FALSE,TRUE)</f>
        <v>0</v>
      </c>
      <c r="AS57">
        <f>OR(AND(IF(Metadata!G57="",FALSE,TRUE),OR(exact(Metadata!G57,"not collected"),exact(Metadata!G57,"not provided"))),AND(IF(Metadata!G57="",FALSE,TRUE),OR(exact(Metadata!G57,"TRUE"),exact(Metadata!G57,"FALSE"))))</f>
        <v>0</v>
      </c>
      <c r="AT57">
        <f>OR(AND(IF(Metadata!H57="",FALSE,TRUE),OR(exact(Metadata!H57,"not collected"),exact(Metadata!H57,"not provided"),exact(Metadata!H57,"restricted access"))),AND(IF(Metadata!H57="",FALSE,ISNUMBER(VALUE(Metadata!H57))),Metadata!H57&gt;=-413.0))</f>
        <v>0</v>
      </c>
      <c r="AU57">
        <f>AND(IF(Metadata!I57="",FALSE,TRUE),exact(Metadata!I57,"meters"))</f>
        <v>0</v>
      </c>
      <c r="AV57">
        <f>AND(IF(Metadata!J57="",FALSE,TRUE),OR(exact(Metadata!J57,"Host-associated"),exact(Metadata!J57,"Free-living")))</f>
        <v>0</v>
      </c>
      <c r="AW57">
        <f>AND(IF(Metadata!K57="",FALSE,TRUE),OR(exact(Metadata!K57,"Animal"),exact(Metadata!K57,"Fungus"),exact(Metadata!K57,"Plant"),exact(Metadata!K57,"Saline"),exact(Metadata!K57,"Non-saline")))</f>
        <v>0</v>
      </c>
      <c r="AX57">
        <f>AND(IF(Metadata!L57="",FALSE,TRUE),OR(exact(Metadata!L57,"Plant secretion"),exact(Metadata!L57,"Plant rhizosphere"),exact(Metadata!L57,"Plant surface"),exact(Metadata!L57,"Plant corpus"),exact(Metadata!L57,"Fungus surface"),exact(Metadata!L57,"Fungus corpus"),exact(Metadata!L57,"Animal surface"),exact(Metadata!L57,"Animal proximal gut"),exact(Metadata!L57,"Animal corpus"),exact(Metadata!L57,"Animal distal gut"),exact(Metadata!L57,"Animal secretion"),exact(Metadata!L57,"Sub-surface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0</v>
      </c>
      <c r="AY57">
        <f>IF(Metadata!M57="",FALSE,TRUE)</f>
        <v>0</v>
      </c>
      <c r="AZ57">
        <f>IF(Metadata!N57="",FALSE,TRUE)</f>
        <v>0</v>
      </c>
      <c r="BA57">
        <f>IF(Metadata!O57="",FALSE,TRUE)</f>
        <v>0</v>
      </c>
      <c r="BB57">
        <f>OR(AND(IF(Metadata!P57="",FALSE,TRUE),OR(exact(Metadata!P57,"not collected"),exact(Metadata!P57,"not provided"),exact(Metadata!P57,"restricted access"))),AND(IF(Metadata!P57="",FALSE,TRUE),OR(exact(Metadata!P57,"air"),exact(Metadata!P57,"built environment"),exact(Metadata!P57,"host-associated"),exact(Metadata!P57,"human-associated"),exact(Metadata!P57,"human-skin"),exact(Metadata!P57,"human-oral"),exact(Metadata!P57,"human-gut"),exact(Metadata!P57,"human-vaginal"),exact(Metadata!P57,"microbial mat/biofilm"),exact(Metadata!P57,"misc environment"),exact(Metadata!P57,"plant-associated"),exact(Metadata!P57,"sediment"),exact(Metadata!P57,"soil"),exact(Metadata!P57,"wastewater/sludge"),exact(Metadata!P57,"water"))))</f>
        <v>0</v>
      </c>
      <c r="BC57">
        <f>IF(Metadata!Q57="",FALSE,TRUE)</f>
        <v>0</v>
      </c>
      <c r="BD57">
        <f>IF(Metadata!R57="",FALSE,TRUE)</f>
        <v>0</v>
      </c>
      <c r="BE57">
        <f>OR(AND(IF(Metadata!S57="",FALSE,TRUE),OR(exact(Metadata!S57,"not collected"),exact(Metadata!S57,"not provided"),exact(Metadata!S57,"restricted access"))),AND(IF(Metadata!S57="",FALSE,ISNUMBER(VALUE(Metadata!S57))),Metadata!S57&gt;=-90.00,Metadata!S57&lt;=90.00))</f>
        <v>0</v>
      </c>
      <c r="BF57">
        <f>AND(IF(Metadata!T57="",FALSE,TRUE),exact(Metadata!T57,"Decimal degrees"))</f>
        <v>0</v>
      </c>
      <c r="BG57">
        <f>OR(AND(IF(Metadata!U57="",FALSE,TRUE),OR(exact(Metadata!U57,"not collected"),exact(Metadata!U57,"not provided"),exact(Metadata!U57,"restricted access"))),AND(IF(Metadata!U57="",FALSE,ISNUMBER(VALUE(Metadata!U57))),Metadata!U57&gt;=-180.00,Metadata!U57&lt;=180.00))</f>
        <v>0</v>
      </c>
      <c r="BH57">
        <f>AND(IF(Metadata!V57="",FALSE,TRUE),exact(Metadata!V57,"Decimal degrees"))</f>
        <v>0</v>
      </c>
      <c r="BI57">
        <f>IF(Metadata!W57="",FALSE,TRUE)</f>
        <v>0</v>
      </c>
      <c r="BJ57">
        <f>OR(AND(IF(Metadata!X57="",FALSE,TRUE),OR(exact(Metadata!X57,"not collected"),exact(Metadata!X57,"not provided"),exact(Metadata!X57,"restricted access"))),AND(IF(Metadata!X57="",FALSE,TRUE),OR(exact(Metadata!X57,"TRUE"),exact(Metadata!X57,"FALSE"))))</f>
        <v>0</v>
      </c>
      <c r="BK57">
        <f>AND(IF(Metadata!Y57="",FALSE,TRUE),exact(Metadata!Y57,"other"))</f>
        <v>0</v>
      </c>
      <c r="BL57">
        <f>IF(Metadata!Z57="",FALSE,TRUE)</f>
        <v>0</v>
      </c>
      <c r="BM57">
        <f>OR(AND(IF(Metadata!AA57="",FALSE,TRUE),OR(exact(Metadata!AA57,"not collected"),exact(Metadata!AA57,"not provided"))),AND(IF(Metadata!AA57="",FALSE,IF(ISERROR(INT(Metadata!AA57)),FALSE,INT(Metadata!AA57)=Metadata!AA57)),Metadata!AA57&gt;0))</f>
        <v>0</v>
      </c>
      <c r="BN57">
        <f>AND(IF(Metadata!AB57="",FALSE,TRUE),exact(Metadata!AB57,"Not applicable"))</f>
        <v>0</v>
      </c>
      <c r="BO57">
        <f>IF(Metadata!AC57="",FALSE,TRUE)</f>
        <v>0</v>
      </c>
    </row>
    <row r="58" spans="1:67">
      <c r="A58" s="5">
        <f>IF(B58=" "," ",HYPERLINK(CONCATENATE("#metadata!",ADDRESS(INDEX($AI$2:$AI$1001,MATCH(ROWS($AG$2:AG58),$AG$2:$AG$1001,0),0),1)),INDEX($AL$2:$AL$1001,MATCH(ROWS($AG$2:AG58),$AG$2:$AG$1001,0),0)))</f>
        <v>0</v>
      </c>
      <c r="B58" s="4">
        <f>IF(OR(INDEX($AH$2:$AH$1001,MATCH(ROWS($AG$2:AG58),$AG$2:$AG$1001,0),1)&gt;=100000,INDEX($AN$1005:$BO$1005,1,MATCH(COLUMNS($AN$1006:AN1006),$AN$1006:$BO$1006,0))&gt;=100000), " ",IF(INDEX($AN$2:$BO$1001,MATCH(ROWS($AG$2:AG58),$AG$2:$AG$1001,0),MATCH(COLUMNS($AN$1006:AN1006),$AN$1006:$BO$1006,0)), HYPERLINK("#",""), HYPERLINK(CONCATENATE("#Metadata!", ADDRESS(INDEX($AI$2:$AI$1001,MATCH(ROWS($AG$2:AG58),$AG$2:$AG$1001,0),0), INDEX($AN$1004:$BO$1004,1,MATCH(COLUMNS($AN$1006:AN1006),$AN$1006:$BO$1006,0)))),"Fix")))</f>
        <v>0</v>
      </c>
      <c r="C58" s="4">
        <f>IF(OR(INDEX($AH$2:$AH$1001,MATCH(ROWS($AG$2:AG58),$AG$2:$AG$1001,0),1)&gt;=100000,INDEX($AN$1005:$BO$1005,1,MATCH(COLUMNS($AN$1006:AO1006),$AN$1006:$BO$1006,0))&gt;=100000), " ",IF(INDEX($AN$2:$BO$1001,MATCH(ROWS($AG$2:AG58),$AG$2:$AG$1001,0),MATCH(COLUMNS($AN$1006:AO1006),$AN$1006:$BO$1006,0)), HYPERLINK("#",""), HYPERLINK(CONCATENATE("#Metadata!", ADDRESS(INDEX($AI$2:$AI$1001,MATCH(ROWS($AG$2:AG58),$AG$2:$AG$1001,0),0), INDEX($AN$1004:$BO$1004,1,MATCH(COLUMNS($AN$1006:AO1006),$AN$1006:$BO$1006,0)))),"Fix")))</f>
        <v>0</v>
      </c>
      <c r="D58" s="4">
        <f>IF(OR(INDEX($AH$2:$AH$1001,MATCH(ROWS($AG$2:AG58),$AG$2:$AG$1001,0),1)&gt;=100000,INDEX($AN$1005:$BO$1005,1,MATCH(COLUMNS($AN$1006:AP1006),$AN$1006:$BO$1006,0))&gt;=100000), " ",IF(INDEX($AN$2:$BO$1001,MATCH(ROWS($AG$2:AG58),$AG$2:$AG$1001,0),MATCH(COLUMNS($AN$1006:AP1006),$AN$1006:$BO$1006,0)), HYPERLINK("#",""), HYPERLINK(CONCATENATE("#Metadata!", ADDRESS(INDEX($AI$2:$AI$1001,MATCH(ROWS($AG$2:AG58),$AG$2:$AG$1001,0),0), INDEX($AN$1004:$BO$1004,1,MATCH(COLUMNS($AN$1006:AP1006),$AN$1006:$BO$1006,0)))),"Fix")))</f>
        <v>0</v>
      </c>
      <c r="E58" s="4">
        <f>IF(OR(INDEX($AH$2:$AH$1001,MATCH(ROWS($AG$2:AG58),$AG$2:$AG$1001,0),1)&gt;=100000,INDEX($AN$1005:$BO$1005,1,MATCH(COLUMNS($AN$1006:AQ1006),$AN$1006:$BO$1006,0))&gt;=100000), " ",IF(INDEX($AN$2:$BO$1001,MATCH(ROWS($AG$2:AG58),$AG$2:$AG$1001,0),MATCH(COLUMNS($AN$1006:AQ1006),$AN$1006:$BO$1006,0)), HYPERLINK("#",""), HYPERLINK(CONCATENATE("#Metadata!", ADDRESS(INDEX($AI$2:$AI$1001,MATCH(ROWS($AG$2:AG58),$AG$2:$AG$1001,0),0), INDEX($AN$1004:$BO$1004,1,MATCH(COLUMNS($AN$1006:AQ1006),$AN$1006:$BO$1006,0)))),"Fix")))</f>
        <v>0</v>
      </c>
      <c r="F58" s="4">
        <f>IF(OR(INDEX($AH$2:$AH$1001,MATCH(ROWS($AG$2:AG58),$AG$2:$AG$1001,0),1)&gt;=100000,INDEX($AN$1005:$BO$1005,1,MATCH(COLUMNS($AN$1006:AR1006),$AN$1006:$BO$1006,0))&gt;=100000), " ",IF(INDEX($AN$2:$BO$1001,MATCH(ROWS($AG$2:AG58),$AG$2:$AG$1001,0),MATCH(COLUMNS($AN$1006:AR1006),$AN$1006:$BO$1006,0)), HYPERLINK("#",""), HYPERLINK(CONCATENATE("#Metadata!", ADDRESS(INDEX($AI$2:$AI$1001,MATCH(ROWS($AG$2:AG58),$AG$2:$AG$1001,0),0), INDEX($AN$1004:$BO$1004,1,MATCH(COLUMNS($AN$1006:AR1006),$AN$1006:$BO$1006,0)))),"Fix")))</f>
        <v>0</v>
      </c>
      <c r="G58" s="4">
        <f>IF(OR(INDEX($AH$2:$AH$1001,MATCH(ROWS($AG$2:AG58),$AG$2:$AG$1001,0),1)&gt;=100000,INDEX($AN$1005:$BO$1005,1,MATCH(COLUMNS($AN$1006:AS1006),$AN$1006:$BO$1006,0))&gt;=100000), " ",IF(INDEX($AN$2:$BO$1001,MATCH(ROWS($AG$2:AG58),$AG$2:$AG$1001,0),MATCH(COLUMNS($AN$1006:AS1006),$AN$1006:$BO$1006,0)), HYPERLINK("#",""), HYPERLINK(CONCATENATE("#Metadata!", ADDRESS(INDEX($AI$2:$AI$1001,MATCH(ROWS($AG$2:AG58),$AG$2:$AG$1001,0),0), INDEX($AN$1004:$BO$1004,1,MATCH(COLUMNS($AN$1006:AS1006),$AN$1006:$BO$1006,0)))),"Fix")))</f>
        <v>0</v>
      </c>
      <c r="H58" s="4">
        <f>IF(OR(INDEX($AH$2:$AH$1001,MATCH(ROWS($AG$2:AG58),$AG$2:$AG$1001,0),1)&gt;=100000,INDEX($AN$1005:$BO$1005,1,MATCH(COLUMNS($AN$1006:AT1006),$AN$1006:$BO$1006,0))&gt;=100000), " ",IF(INDEX($AN$2:$BO$1001,MATCH(ROWS($AG$2:AG58),$AG$2:$AG$1001,0),MATCH(COLUMNS($AN$1006:AT1006),$AN$1006:$BO$1006,0)), HYPERLINK("#",""), HYPERLINK(CONCATENATE("#Metadata!", ADDRESS(INDEX($AI$2:$AI$1001,MATCH(ROWS($AG$2:AG58),$AG$2:$AG$1001,0),0), INDEX($AN$1004:$BO$1004,1,MATCH(COLUMNS($AN$1006:AT1006),$AN$1006:$BO$1006,0)))),"Fix")))</f>
        <v>0</v>
      </c>
      <c r="I58" s="4">
        <f>IF(OR(INDEX($AH$2:$AH$1001,MATCH(ROWS($AG$2:AG58),$AG$2:$AG$1001,0),1)&gt;=100000,INDEX($AN$1005:$BO$1005,1,MATCH(COLUMNS($AN$1006:AU1006),$AN$1006:$BO$1006,0))&gt;=100000), " ",IF(INDEX($AN$2:$BO$1001,MATCH(ROWS($AG$2:AG58),$AG$2:$AG$1001,0),MATCH(COLUMNS($AN$1006:AU1006),$AN$1006:$BO$1006,0)), HYPERLINK("#",""), HYPERLINK(CONCATENATE("#Metadata!", ADDRESS(INDEX($AI$2:$AI$1001,MATCH(ROWS($AG$2:AG58),$AG$2:$AG$1001,0),0), INDEX($AN$1004:$BO$1004,1,MATCH(COLUMNS($AN$1006:AU1006),$AN$1006:$BO$1006,0)))),"Fix")))</f>
        <v>0</v>
      </c>
      <c r="J58" s="4">
        <f>IF(OR(INDEX($AH$2:$AH$1001,MATCH(ROWS($AG$2:AG58),$AG$2:$AG$1001,0),1)&gt;=100000,INDEX($AN$1005:$BO$1005,1,MATCH(COLUMNS($AN$1006:AV1006),$AN$1006:$BO$1006,0))&gt;=100000), " ",IF(INDEX($AN$2:$BO$1001,MATCH(ROWS($AG$2:AG58),$AG$2:$AG$1001,0),MATCH(COLUMNS($AN$1006:AV1006),$AN$1006:$BO$1006,0)), HYPERLINK("#",""), HYPERLINK(CONCATENATE("#Metadata!", ADDRESS(INDEX($AI$2:$AI$1001,MATCH(ROWS($AG$2:AG58),$AG$2:$AG$1001,0),0), INDEX($AN$1004:$BO$1004,1,MATCH(COLUMNS($AN$1006:AV1006),$AN$1006:$BO$1006,0)))),"Fix")))</f>
        <v>0</v>
      </c>
      <c r="K58" s="4">
        <f>IF(OR(INDEX($AH$2:$AH$1001,MATCH(ROWS($AG$2:AG58),$AG$2:$AG$1001,0),1)&gt;=100000,INDEX($AN$1005:$BO$1005,1,MATCH(COLUMNS($AN$1006:AW1006),$AN$1006:$BO$1006,0))&gt;=100000), " ",IF(INDEX($AN$2:$BO$1001,MATCH(ROWS($AG$2:AG58),$AG$2:$AG$1001,0),MATCH(COLUMNS($AN$1006:AW1006),$AN$1006:$BO$1006,0)), HYPERLINK("#",""), HYPERLINK(CONCATENATE("#Metadata!", ADDRESS(INDEX($AI$2:$AI$1001,MATCH(ROWS($AG$2:AG58),$AG$2:$AG$1001,0),0), INDEX($AN$1004:$BO$1004,1,MATCH(COLUMNS($AN$1006:AW1006),$AN$1006:$BO$1006,0)))),"Fix")))</f>
        <v>0</v>
      </c>
      <c r="L58" s="4">
        <f>IF(OR(INDEX($AH$2:$AH$1001,MATCH(ROWS($AG$2:AG58),$AG$2:$AG$1001,0),1)&gt;=100000,INDEX($AN$1005:$BO$1005,1,MATCH(COLUMNS($AN$1006:AX1006),$AN$1006:$BO$1006,0))&gt;=100000), " ",IF(INDEX($AN$2:$BO$1001,MATCH(ROWS($AG$2:AG58),$AG$2:$AG$1001,0),MATCH(COLUMNS($AN$1006:AX1006),$AN$1006:$BO$1006,0)), HYPERLINK("#",""), HYPERLINK(CONCATENATE("#Metadata!", ADDRESS(INDEX($AI$2:$AI$1001,MATCH(ROWS($AG$2:AG58),$AG$2:$AG$1001,0),0), INDEX($AN$1004:$BO$1004,1,MATCH(COLUMNS($AN$1006:AX1006),$AN$1006:$BO$1006,0)))),"Fix")))</f>
        <v>0</v>
      </c>
      <c r="M58" s="4">
        <f>IF(OR(INDEX($AH$2:$AH$1001,MATCH(ROWS($AG$2:AG58),$AG$2:$AG$1001,0),1)&gt;=100000,INDEX($AN$1005:$BO$1005,1,MATCH(COLUMNS($AN$1006:AY1006),$AN$1006:$BO$1006,0))&gt;=100000), " ",IF(INDEX($AN$2:$BO$1001,MATCH(ROWS($AG$2:AG58),$AG$2:$AG$1001,0),MATCH(COLUMNS($AN$1006:AY1006),$AN$1006:$BO$1006,0)), HYPERLINK("#",""), HYPERLINK(CONCATENATE("#Metadata!", ADDRESS(INDEX($AI$2:$AI$1001,MATCH(ROWS($AG$2:AG58),$AG$2:$AG$1001,0),0), INDEX($AN$1004:$BO$1004,1,MATCH(COLUMNS($AN$1006:AY1006),$AN$1006:$BO$1006,0)))),"Fix")))</f>
        <v>0</v>
      </c>
      <c r="N58" s="4">
        <f>IF(OR(INDEX($AH$2:$AH$1001,MATCH(ROWS($AG$2:AG58),$AG$2:$AG$1001,0),1)&gt;=100000,INDEX($AN$1005:$BO$1005,1,MATCH(COLUMNS($AN$1006:AZ1006),$AN$1006:$BO$1006,0))&gt;=100000), " ",IF(INDEX($AN$2:$BO$1001,MATCH(ROWS($AG$2:AG58),$AG$2:$AG$1001,0),MATCH(COLUMNS($AN$1006:AZ1006),$AN$1006:$BO$1006,0)), HYPERLINK("#",""), HYPERLINK(CONCATENATE("#Metadata!", ADDRESS(INDEX($AI$2:$AI$1001,MATCH(ROWS($AG$2:AG58),$AG$2:$AG$1001,0),0), INDEX($AN$1004:$BO$1004,1,MATCH(COLUMNS($AN$1006:AZ1006),$AN$1006:$BO$1006,0)))),"Fix")))</f>
        <v>0</v>
      </c>
      <c r="O58" s="4">
        <f>IF(OR(INDEX($AH$2:$AH$1001,MATCH(ROWS($AG$2:AG58),$AG$2:$AG$1001,0),1)&gt;=100000,INDEX($AN$1005:$BO$1005,1,MATCH(COLUMNS($AN$1006:BA1006),$AN$1006:$BO$1006,0))&gt;=100000), " ",IF(INDEX($AN$2:$BO$1001,MATCH(ROWS($AG$2:AG58),$AG$2:$AG$1001,0),MATCH(COLUMNS($AN$1006:BA1006),$AN$1006:$BO$1006,0)), HYPERLINK("#",""), HYPERLINK(CONCATENATE("#Metadata!", ADDRESS(INDEX($AI$2:$AI$1001,MATCH(ROWS($AG$2:AG58),$AG$2:$AG$1001,0),0), INDEX($AN$1004:$BO$1004,1,MATCH(COLUMNS($AN$1006:BA1006),$AN$1006:$BO$1006,0)))),"Fix")))</f>
        <v>0</v>
      </c>
      <c r="P58" s="4">
        <f>IF(OR(INDEX($AH$2:$AH$1001,MATCH(ROWS($AG$2:AG58),$AG$2:$AG$1001,0),1)&gt;=100000,INDEX($AN$1005:$BO$1005,1,MATCH(COLUMNS($AN$1006:BB1006),$AN$1006:$BO$1006,0))&gt;=100000), " ",IF(INDEX($AN$2:$BO$1001,MATCH(ROWS($AG$2:AG58),$AG$2:$AG$1001,0),MATCH(COLUMNS($AN$1006:BB1006),$AN$1006:$BO$1006,0)), HYPERLINK("#",""), HYPERLINK(CONCATENATE("#Metadata!", ADDRESS(INDEX($AI$2:$AI$1001,MATCH(ROWS($AG$2:AG58),$AG$2:$AG$1001,0),0), INDEX($AN$1004:$BO$1004,1,MATCH(COLUMNS($AN$1006:BB1006),$AN$1006:$BO$1006,0)))),"Fix")))</f>
        <v>0</v>
      </c>
      <c r="Q58" s="4">
        <f>IF(OR(INDEX($AH$2:$AH$1001,MATCH(ROWS($AG$2:AG58),$AG$2:$AG$1001,0),1)&gt;=100000,INDEX($AN$1005:$BO$1005,1,MATCH(COLUMNS($AN$1006:BC1006),$AN$1006:$BO$1006,0))&gt;=100000), " ",IF(INDEX($AN$2:$BO$1001,MATCH(ROWS($AG$2:AG58),$AG$2:$AG$1001,0),MATCH(COLUMNS($AN$1006:BC1006),$AN$1006:$BO$1006,0)), HYPERLINK("#",""), HYPERLINK(CONCATENATE("#Metadata!", ADDRESS(INDEX($AI$2:$AI$1001,MATCH(ROWS($AG$2:AG58),$AG$2:$AG$1001,0),0), INDEX($AN$1004:$BO$1004,1,MATCH(COLUMNS($AN$1006:BC1006),$AN$1006:$BO$1006,0)))),"Fix")))</f>
        <v>0</v>
      </c>
      <c r="R58" s="4">
        <f>IF(OR(INDEX($AH$2:$AH$1001,MATCH(ROWS($AG$2:AG58),$AG$2:$AG$1001,0),1)&gt;=100000,INDEX($AN$1005:$BO$1005,1,MATCH(COLUMNS($AN$1006:BD1006),$AN$1006:$BO$1006,0))&gt;=100000), " ",IF(INDEX($AN$2:$BO$1001,MATCH(ROWS($AG$2:AG58),$AG$2:$AG$1001,0),MATCH(COLUMNS($AN$1006:BD1006),$AN$1006:$BO$1006,0)), HYPERLINK("#",""), HYPERLINK(CONCATENATE("#Metadata!", ADDRESS(INDEX($AI$2:$AI$1001,MATCH(ROWS($AG$2:AG58),$AG$2:$AG$1001,0),0), INDEX($AN$1004:$BO$1004,1,MATCH(COLUMNS($AN$1006:BD1006),$AN$1006:$BO$1006,0)))),"Fix")))</f>
        <v>0</v>
      </c>
      <c r="S58" s="4">
        <f>IF(OR(INDEX($AH$2:$AH$1001,MATCH(ROWS($AG$2:AG58),$AG$2:$AG$1001,0),1)&gt;=100000,INDEX($AN$1005:$BO$1005,1,MATCH(COLUMNS($AN$1006:BE1006),$AN$1006:$BO$1006,0))&gt;=100000), " ",IF(INDEX($AN$2:$BO$1001,MATCH(ROWS($AG$2:AG58),$AG$2:$AG$1001,0),MATCH(COLUMNS($AN$1006:BE1006),$AN$1006:$BO$1006,0)), HYPERLINK("#",""), HYPERLINK(CONCATENATE("#Metadata!", ADDRESS(INDEX($AI$2:$AI$1001,MATCH(ROWS($AG$2:AG58),$AG$2:$AG$1001,0),0), INDEX($AN$1004:$BO$1004,1,MATCH(COLUMNS($AN$1006:BE1006),$AN$1006:$BO$1006,0)))),"Fix")))</f>
        <v>0</v>
      </c>
      <c r="T58" s="4">
        <f>IF(OR(INDEX($AH$2:$AH$1001,MATCH(ROWS($AG$2:AG58),$AG$2:$AG$1001,0),1)&gt;=100000,INDEX($AN$1005:$BO$1005,1,MATCH(COLUMNS($AN$1006:BF1006),$AN$1006:$BO$1006,0))&gt;=100000), " ",IF(INDEX($AN$2:$BO$1001,MATCH(ROWS($AG$2:AG58),$AG$2:$AG$1001,0),MATCH(COLUMNS($AN$1006:BF1006),$AN$1006:$BO$1006,0)), HYPERLINK("#",""), HYPERLINK(CONCATENATE("#Metadata!", ADDRESS(INDEX($AI$2:$AI$1001,MATCH(ROWS($AG$2:AG58),$AG$2:$AG$1001,0),0), INDEX($AN$1004:$BO$1004,1,MATCH(COLUMNS($AN$1006:BF1006),$AN$1006:$BO$1006,0)))),"Fix")))</f>
        <v>0</v>
      </c>
      <c r="U58" s="4">
        <f>IF(OR(INDEX($AH$2:$AH$1001,MATCH(ROWS($AG$2:AG58),$AG$2:$AG$1001,0),1)&gt;=100000,INDEX($AN$1005:$BO$1005,1,MATCH(COLUMNS($AN$1006:BG1006),$AN$1006:$BO$1006,0))&gt;=100000), " ",IF(INDEX($AN$2:$BO$1001,MATCH(ROWS($AG$2:AG58),$AG$2:$AG$1001,0),MATCH(COLUMNS($AN$1006:BG1006),$AN$1006:$BO$1006,0)), HYPERLINK("#",""), HYPERLINK(CONCATENATE("#Metadata!", ADDRESS(INDEX($AI$2:$AI$1001,MATCH(ROWS($AG$2:AG58),$AG$2:$AG$1001,0),0), INDEX($AN$1004:$BO$1004,1,MATCH(COLUMNS($AN$1006:BG1006),$AN$1006:$BO$1006,0)))),"Fix")))</f>
        <v>0</v>
      </c>
      <c r="V58" s="4">
        <f>IF(OR(INDEX($AH$2:$AH$1001,MATCH(ROWS($AG$2:AG58),$AG$2:$AG$1001,0),1)&gt;=100000,INDEX($AN$1005:$BO$1005,1,MATCH(COLUMNS($AN$1006:BH1006),$AN$1006:$BO$1006,0))&gt;=100000), " ",IF(INDEX($AN$2:$BO$1001,MATCH(ROWS($AG$2:AG58),$AG$2:$AG$1001,0),MATCH(COLUMNS($AN$1006:BH1006),$AN$1006:$BO$1006,0)), HYPERLINK("#",""), HYPERLINK(CONCATENATE("#Metadata!", ADDRESS(INDEX($AI$2:$AI$1001,MATCH(ROWS($AG$2:AG58),$AG$2:$AG$1001,0),0), INDEX($AN$1004:$BO$1004,1,MATCH(COLUMNS($AN$1006:BH1006),$AN$1006:$BO$1006,0)))),"Fix")))</f>
        <v>0</v>
      </c>
      <c r="W58" s="4">
        <f>IF(OR(INDEX($AH$2:$AH$1001,MATCH(ROWS($AG$2:AG58),$AG$2:$AG$1001,0),1)&gt;=100000,INDEX($AN$1005:$BO$1005,1,MATCH(COLUMNS($AN$1006:BI1006),$AN$1006:$BO$1006,0))&gt;=100000), " ",IF(INDEX($AN$2:$BO$1001,MATCH(ROWS($AG$2:AG58),$AG$2:$AG$1001,0),MATCH(COLUMNS($AN$1006:BI1006),$AN$1006:$BO$1006,0)), HYPERLINK("#",""), HYPERLINK(CONCATENATE("#Metadata!", ADDRESS(INDEX($AI$2:$AI$1001,MATCH(ROWS($AG$2:AG58),$AG$2:$AG$1001,0),0), INDEX($AN$1004:$BO$1004,1,MATCH(COLUMNS($AN$1006:BI1006),$AN$1006:$BO$1006,0)))),"Fix")))</f>
        <v>0</v>
      </c>
      <c r="X58" s="4">
        <f>IF(OR(INDEX($AH$2:$AH$1001,MATCH(ROWS($AG$2:AG58),$AG$2:$AG$1001,0),1)&gt;=100000,INDEX($AN$1005:$BO$1005,1,MATCH(COLUMNS($AN$1006:BJ1006),$AN$1006:$BO$1006,0))&gt;=100000), " ",IF(INDEX($AN$2:$BO$1001,MATCH(ROWS($AG$2:AG58),$AG$2:$AG$1001,0),MATCH(COLUMNS($AN$1006:BJ1006),$AN$1006:$BO$1006,0)), HYPERLINK("#",""), HYPERLINK(CONCATENATE("#Metadata!", ADDRESS(INDEX($AI$2:$AI$1001,MATCH(ROWS($AG$2:AG58),$AG$2:$AG$1001,0),0), INDEX($AN$1004:$BO$1004,1,MATCH(COLUMNS($AN$1006:BJ1006),$AN$1006:$BO$1006,0)))),"Fix")))</f>
        <v>0</v>
      </c>
      <c r="Y58" s="4">
        <f>IF(OR(INDEX($AH$2:$AH$1001,MATCH(ROWS($AG$2:AG58),$AG$2:$AG$1001,0),1)&gt;=100000,INDEX($AN$1005:$BO$1005,1,MATCH(COLUMNS($AN$1006:BK1006),$AN$1006:$BO$1006,0))&gt;=100000), " ",IF(INDEX($AN$2:$BO$1001,MATCH(ROWS($AG$2:AG58),$AG$2:$AG$1001,0),MATCH(COLUMNS($AN$1006:BK1006),$AN$1006:$BO$1006,0)), HYPERLINK("#",""), HYPERLINK(CONCATENATE("#Metadata!", ADDRESS(INDEX($AI$2:$AI$1001,MATCH(ROWS($AG$2:AG58),$AG$2:$AG$1001,0),0), INDEX($AN$1004:$BO$1004,1,MATCH(COLUMNS($AN$1006:BK1006),$AN$1006:$BO$1006,0)))),"Fix")))</f>
        <v>0</v>
      </c>
      <c r="Z58" s="4">
        <f>IF(OR(INDEX($AH$2:$AH$1001,MATCH(ROWS($AG$2:AG58),$AG$2:$AG$1001,0),1)&gt;=100000,INDEX($AN$1005:$BO$1005,1,MATCH(COLUMNS($AN$1006:BL1006),$AN$1006:$BO$1006,0))&gt;=100000), " ",IF(INDEX($AN$2:$BO$1001,MATCH(ROWS($AG$2:AG58),$AG$2:$AG$1001,0),MATCH(COLUMNS($AN$1006:BL1006),$AN$1006:$BO$1006,0)), HYPERLINK("#",""), HYPERLINK(CONCATENATE("#Metadata!", ADDRESS(INDEX($AI$2:$AI$1001,MATCH(ROWS($AG$2:AG58),$AG$2:$AG$1001,0),0), INDEX($AN$1004:$BO$1004,1,MATCH(COLUMNS($AN$1006:BL1006),$AN$1006:$BO$1006,0)))),"Fix")))</f>
        <v>0</v>
      </c>
      <c r="AA58" s="4">
        <f>IF(OR(INDEX($AH$2:$AH$1001,MATCH(ROWS($AG$2:AG58),$AG$2:$AG$1001,0),1)&gt;=100000,INDEX($AN$1005:$BO$1005,1,MATCH(COLUMNS($AN$1006:BM1006),$AN$1006:$BO$1006,0))&gt;=100000), " ",IF(INDEX($AN$2:$BO$1001,MATCH(ROWS($AG$2:AG58),$AG$2:$AG$1001,0),MATCH(COLUMNS($AN$1006:BM1006),$AN$1006:$BO$1006,0)), HYPERLINK("#",""), HYPERLINK(CONCATENATE("#Metadata!", ADDRESS(INDEX($AI$2:$AI$1001,MATCH(ROWS($AG$2:AG58),$AG$2:$AG$1001,0),0), INDEX($AN$1004:$BO$1004,1,MATCH(COLUMNS($AN$1006:BM1006),$AN$1006:$BO$1006,0)))),"Fix")))</f>
        <v>0</v>
      </c>
      <c r="AB58" s="4">
        <f>IF(OR(INDEX($AH$2:$AH$1001,MATCH(ROWS($AG$2:AG58),$AG$2:$AG$1001,0),1)&gt;=100000,INDEX($AN$1005:$BO$1005,1,MATCH(COLUMNS($AN$1006:BN1006),$AN$1006:$BO$1006,0))&gt;=100000), " ",IF(INDEX($AN$2:$BO$1001,MATCH(ROWS($AG$2:AG58),$AG$2:$AG$1001,0),MATCH(COLUMNS($AN$1006:BN1006),$AN$1006:$BO$1006,0)), HYPERLINK("#",""), HYPERLINK(CONCATENATE("#Metadata!", ADDRESS(INDEX($AI$2:$AI$1001,MATCH(ROWS($AG$2:AG58),$AG$2:$AG$1001,0),0), INDEX($AN$1004:$BO$1004,1,MATCH(COLUMNS($AN$1006:BN1006),$AN$1006:$BO$1006,0)))),"Fix")))</f>
        <v>0</v>
      </c>
      <c r="AC58" s="4">
        <f>IF(OR(INDEX($AH$2:$AH$1001,MATCH(ROWS($AG$2:AG58),$AG$2:$AG$1001,0),1)&gt;=100000,INDEX($AN$1005:$BO$1005,1,MATCH(COLUMNS($AN$1006:BO1006),$AN$1006:$BO$1006,0))&gt;=100000), " ",IF(INDEX($AN$2:$BO$1001,MATCH(ROWS($AG$2:AG58),$AG$2:$AG$1001,0),MATCH(COLUMNS($AN$1006:BO1006),$AN$1006:$BO$1006,0)), HYPERLINK("#",""), HYPERLINK(CONCATENATE("#Metadata!", ADDRESS(INDEX($AI$2:$AI$1001,MATCH(ROWS($AG$2:AG58),$AG$2:$AG$1001,0),0), INDEX($AN$1004:$BO$1004,1,MATCH(COLUMNS($AN$1006:BO1006),$AN$1006:$BO$1006,0)))),"Fix")))</f>
        <v>0</v>
      </c>
      <c r="AG58">
        <v>0</v>
      </c>
      <c r="AH58">
        <v>0</v>
      </c>
      <c r="AI58">
        <v>0</v>
      </c>
      <c r="AJ58">
        <f>IF(AK58,TRUE,AND(AN58:BO58))</f>
        <v>0</v>
      </c>
      <c r="AK58">
        <f>COUNTBLANK(Metadata!B58:AC58)=COLUMNS(Metadata!B58:AC58)</f>
        <v>0</v>
      </c>
      <c r="AL58">
        <v>0</v>
      </c>
      <c r="AN58">
        <f>AND(IF(Metadata!B58="",FALSE,TRUE),COUNTIF(Metadata!B:B, Metadata!B58) = 1,NOT(ISERROR(SUMPRODUCT(SEARCH(MID(Metadata!B58,ROW(INDIRECT("1:"&amp;LEN(Metadata!B58))), 1),"0123456789abcdefghijklmnopqrstuvwxyzABCDEFGHIJKLMNOPQRSTUVWXYZ.")))))</f>
        <v>0</v>
      </c>
      <c r="AO58">
        <f>IF(Metadata!C58="",FALSE,TRUE)</f>
        <v>0</v>
      </c>
      <c r="AP58">
        <f>IF(Metadata!D58="",FALSE,TRUE)</f>
        <v>0</v>
      </c>
      <c r="AQ58">
        <f>OR(AND(IF(Metadata!E58="",FALSE,TRUE),OR(exact(Metadata!E58,"not collected"),exact(Metadata!E58,"not provided"),exact(Metadata!E58,"restricted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R58">
        <f>IF(Metadata!F58="",FALSE,TRUE)</f>
        <v>0</v>
      </c>
      <c r="AS58">
        <f>OR(AND(IF(Metadata!G58="",FALSE,TRUE),OR(exact(Metadata!G58,"not collected"),exact(Metadata!G58,"not provided"))),AND(IF(Metadata!G58="",FALSE,TRUE),OR(exact(Metadata!G58,"TRUE"),exact(Metadata!G58,"FALSE"))))</f>
        <v>0</v>
      </c>
      <c r="AT58">
        <f>OR(AND(IF(Metadata!H58="",FALSE,TRUE),OR(exact(Metadata!H58,"not collected"),exact(Metadata!H58,"not provided"),exact(Metadata!H58,"restricted access"))),AND(IF(Metadata!H58="",FALSE,ISNUMBER(VALUE(Metadata!H58))),Metadata!H58&gt;=-413.0))</f>
        <v>0</v>
      </c>
      <c r="AU58">
        <f>AND(IF(Metadata!I58="",FALSE,TRUE),exact(Metadata!I58,"meters"))</f>
        <v>0</v>
      </c>
      <c r="AV58">
        <f>AND(IF(Metadata!J58="",FALSE,TRUE),OR(exact(Metadata!J58,"Host-associated"),exact(Metadata!J58,"Free-living")))</f>
        <v>0</v>
      </c>
      <c r="AW58">
        <f>AND(IF(Metadata!K58="",FALSE,TRUE),OR(exact(Metadata!K58,"Animal"),exact(Metadata!K58,"Fungus"),exact(Metadata!K58,"Plant"),exact(Metadata!K58,"Saline"),exact(Metadata!K58,"Non-saline")))</f>
        <v>0</v>
      </c>
      <c r="AX58">
        <f>AND(IF(Metadata!L58="",FALSE,TRUE),OR(exact(Metadata!L58,"Plant secretion"),exact(Metadata!L58,"Plant rhizosphere"),exact(Metadata!L58,"Plant surface"),exact(Metadata!L58,"Plant corpus"),exact(Metadata!L58,"Fungus surface"),exact(Metadata!L58,"Fungus corpus"),exact(Metadata!L58,"Animal surface"),exact(Metadata!L58,"Animal proximal gut"),exact(Metadata!L58,"Animal corpus"),exact(Metadata!L58,"Animal distal gut"),exact(Metadata!L58,"Animal secretion"),exact(Metadata!L58,"Sub-surface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0</v>
      </c>
      <c r="AY58">
        <f>IF(Metadata!M58="",FALSE,TRUE)</f>
        <v>0</v>
      </c>
      <c r="AZ58">
        <f>IF(Metadata!N58="",FALSE,TRUE)</f>
        <v>0</v>
      </c>
      <c r="BA58">
        <f>IF(Metadata!O58="",FALSE,TRUE)</f>
        <v>0</v>
      </c>
      <c r="BB58">
        <f>OR(AND(IF(Metadata!P58="",FALSE,TRUE),OR(exact(Metadata!P58,"not collected"),exact(Metadata!P58,"not provided"),exact(Metadata!P58,"restricted access"))),AND(IF(Metadata!P58="",FALSE,TRUE),OR(exact(Metadata!P58,"air"),exact(Metadata!P58,"built environment"),exact(Metadata!P58,"host-associated"),exact(Metadata!P58,"human-associated"),exact(Metadata!P58,"human-skin"),exact(Metadata!P58,"human-oral"),exact(Metadata!P58,"human-gut"),exact(Metadata!P58,"human-vaginal"),exact(Metadata!P58,"microbial mat/biofilm"),exact(Metadata!P58,"misc environment"),exact(Metadata!P58,"plant-associated"),exact(Metadata!P58,"sediment"),exact(Metadata!P58,"soil"),exact(Metadata!P58,"wastewater/sludge"),exact(Metadata!P58,"water"))))</f>
        <v>0</v>
      </c>
      <c r="BC58">
        <f>IF(Metadata!Q58="",FALSE,TRUE)</f>
        <v>0</v>
      </c>
      <c r="BD58">
        <f>IF(Metadata!R58="",FALSE,TRUE)</f>
        <v>0</v>
      </c>
      <c r="BE58">
        <f>OR(AND(IF(Metadata!S58="",FALSE,TRUE),OR(exact(Metadata!S58,"not collected"),exact(Metadata!S58,"not provided"),exact(Metadata!S58,"restricted access"))),AND(IF(Metadata!S58="",FALSE,ISNUMBER(VALUE(Metadata!S58))),Metadata!S58&gt;=-90.00,Metadata!S58&lt;=90.00))</f>
        <v>0</v>
      </c>
      <c r="BF58">
        <f>AND(IF(Metadata!T58="",FALSE,TRUE),exact(Metadata!T58,"Decimal degrees"))</f>
        <v>0</v>
      </c>
      <c r="BG58">
        <f>OR(AND(IF(Metadata!U58="",FALSE,TRUE),OR(exact(Metadata!U58,"not collected"),exact(Metadata!U58,"not provided"),exact(Metadata!U58,"restricted access"))),AND(IF(Metadata!U58="",FALSE,ISNUMBER(VALUE(Metadata!U58))),Metadata!U58&gt;=-180.00,Metadata!U58&lt;=180.00))</f>
        <v>0</v>
      </c>
      <c r="BH58">
        <f>AND(IF(Metadata!V58="",FALSE,TRUE),exact(Metadata!V58,"Decimal degrees"))</f>
        <v>0</v>
      </c>
      <c r="BI58">
        <f>IF(Metadata!W58="",FALSE,TRUE)</f>
        <v>0</v>
      </c>
      <c r="BJ58">
        <f>OR(AND(IF(Metadata!X58="",FALSE,TRUE),OR(exact(Metadata!X58,"not collected"),exact(Metadata!X58,"not provided"),exact(Metadata!X58,"restricted access"))),AND(IF(Metadata!X58="",FALSE,TRUE),OR(exact(Metadata!X58,"TRUE"),exact(Metadata!X58,"FALSE"))))</f>
        <v>0</v>
      </c>
      <c r="BK58">
        <f>AND(IF(Metadata!Y58="",FALSE,TRUE),exact(Metadata!Y58,"other"))</f>
        <v>0</v>
      </c>
      <c r="BL58">
        <f>IF(Metadata!Z58="",FALSE,TRUE)</f>
        <v>0</v>
      </c>
      <c r="BM58">
        <f>OR(AND(IF(Metadata!AA58="",FALSE,TRUE),OR(exact(Metadata!AA58,"not collected"),exact(Metadata!AA58,"not provided"))),AND(IF(Metadata!AA58="",FALSE,IF(ISERROR(INT(Metadata!AA58)),FALSE,INT(Metadata!AA58)=Metadata!AA58)),Metadata!AA58&gt;0))</f>
        <v>0</v>
      </c>
      <c r="BN58">
        <f>AND(IF(Metadata!AB58="",FALSE,TRUE),exact(Metadata!AB58,"Not applicable"))</f>
        <v>0</v>
      </c>
      <c r="BO58">
        <f>IF(Metadata!AC58="",FALSE,TRUE)</f>
        <v>0</v>
      </c>
    </row>
    <row r="59" spans="1:67">
      <c r="A59" s="5">
        <f>IF(B59=" "," ",HYPERLINK(CONCATENATE("#metadata!",ADDRESS(INDEX($AI$2:$AI$1001,MATCH(ROWS($AG$2:AG59),$AG$2:$AG$1001,0),0),1)),INDEX($AL$2:$AL$1001,MATCH(ROWS($AG$2:AG59),$AG$2:$AG$1001,0),0)))</f>
        <v>0</v>
      </c>
      <c r="B59" s="4">
        <f>IF(OR(INDEX($AH$2:$AH$1001,MATCH(ROWS($AG$2:AG59),$AG$2:$AG$1001,0),1)&gt;=100000,INDEX($AN$1005:$BO$1005,1,MATCH(COLUMNS($AN$1006:AN1006),$AN$1006:$BO$1006,0))&gt;=100000), " ",IF(INDEX($AN$2:$BO$1001,MATCH(ROWS($AG$2:AG59),$AG$2:$AG$1001,0),MATCH(COLUMNS($AN$1006:AN1006),$AN$1006:$BO$1006,0)), HYPERLINK("#",""), HYPERLINK(CONCATENATE("#Metadata!", ADDRESS(INDEX($AI$2:$AI$1001,MATCH(ROWS($AG$2:AG59),$AG$2:$AG$1001,0),0), INDEX($AN$1004:$BO$1004,1,MATCH(COLUMNS($AN$1006:AN1006),$AN$1006:$BO$1006,0)))),"Fix")))</f>
        <v>0</v>
      </c>
      <c r="C59" s="4">
        <f>IF(OR(INDEX($AH$2:$AH$1001,MATCH(ROWS($AG$2:AG59),$AG$2:$AG$1001,0),1)&gt;=100000,INDEX($AN$1005:$BO$1005,1,MATCH(COLUMNS($AN$1006:AO1006),$AN$1006:$BO$1006,0))&gt;=100000), " ",IF(INDEX($AN$2:$BO$1001,MATCH(ROWS($AG$2:AG59),$AG$2:$AG$1001,0),MATCH(COLUMNS($AN$1006:AO1006),$AN$1006:$BO$1006,0)), HYPERLINK("#",""), HYPERLINK(CONCATENATE("#Metadata!", ADDRESS(INDEX($AI$2:$AI$1001,MATCH(ROWS($AG$2:AG59),$AG$2:$AG$1001,0),0), INDEX($AN$1004:$BO$1004,1,MATCH(COLUMNS($AN$1006:AO1006),$AN$1006:$BO$1006,0)))),"Fix")))</f>
        <v>0</v>
      </c>
      <c r="D59" s="4">
        <f>IF(OR(INDEX($AH$2:$AH$1001,MATCH(ROWS($AG$2:AG59),$AG$2:$AG$1001,0),1)&gt;=100000,INDEX($AN$1005:$BO$1005,1,MATCH(COLUMNS($AN$1006:AP1006),$AN$1006:$BO$1006,0))&gt;=100000), " ",IF(INDEX($AN$2:$BO$1001,MATCH(ROWS($AG$2:AG59),$AG$2:$AG$1001,0),MATCH(COLUMNS($AN$1006:AP1006),$AN$1006:$BO$1006,0)), HYPERLINK("#",""), HYPERLINK(CONCATENATE("#Metadata!", ADDRESS(INDEX($AI$2:$AI$1001,MATCH(ROWS($AG$2:AG59),$AG$2:$AG$1001,0),0), INDEX($AN$1004:$BO$1004,1,MATCH(COLUMNS($AN$1006:AP1006),$AN$1006:$BO$1006,0)))),"Fix")))</f>
        <v>0</v>
      </c>
      <c r="E59" s="4">
        <f>IF(OR(INDEX($AH$2:$AH$1001,MATCH(ROWS($AG$2:AG59),$AG$2:$AG$1001,0),1)&gt;=100000,INDEX($AN$1005:$BO$1005,1,MATCH(COLUMNS($AN$1006:AQ1006),$AN$1006:$BO$1006,0))&gt;=100000), " ",IF(INDEX($AN$2:$BO$1001,MATCH(ROWS($AG$2:AG59),$AG$2:$AG$1001,0),MATCH(COLUMNS($AN$1006:AQ1006),$AN$1006:$BO$1006,0)), HYPERLINK("#",""), HYPERLINK(CONCATENATE("#Metadata!", ADDRESS(INDEX($AI$2:$AI$1001,MATCH(ROWS($AG$2:AG59),$AG$2:$AG$1001,0),0), INDEX($AN$1004:$BO$1004,1,MATCH(COLUMNS($AN$1006:AQ1006),$AN$1006:$BO$1006,0)))),"Fix")))</f>
        <v>0</v>
      </c>
      <c r="F59" s="4">
        <f>IF(OR(INDEX($AH$2:$AH$1001,MATCH(ROWS($AG$2:AG59),$AG$2:$AG$1001,0),1)&gt;=100000,INDEX($AN$1005:$BO$1005,1,MATCH(COLUMNS($AN$1006:AR1006),$AN$1006:$BO$1006,0))&gt;=100000), " ",IF(INDEX($AN$2:$BO$1001,MATCH(ROWS($AG$2:AG59),$AG$2:$AG$1001,0),MATCH(COLUMNS($AN$1006:AR1006),$AN$1006:$BO$1006,0)), HYPERLINK("#",""), HYPERLINK(CONCATENATE("#Metadata!", ADDRESS(INDEX($AI$2:$AI$1001,MATCH(ROWS($AG$2:AG59),$AG$2:$AG$1001,0),0), INDEX($AN$1004:$BO$1004,1,MATCH(COLUMNS($AN$1006:AR1006),$AN$1006:$BO$1006,0)))),"Fix")))</f>
        <v>0</v>
      </c>
      <c r="G59" s="4">
        <f>IF(OR(INDEX($AH$2:$AH$1001,MATCH(ROWS($AG$2:AG59),$AG$2:$AG$1001,0),1)&gt;=100000,INDEX($AN$1005:$BO$1005,1,MATCH(COLUMNS($AN$1006:AS1006),$AN$1006:$BO$1006,0))&gt;=100000), " ",IF(INDEX($AN$2:$BO$1001,MATCH(ROWS($AG$2:AG59),$AG$2:$AG$1001,0),MATCH(COLUMNS($AN$1006:AS1006),$AN$1006:$BO$1006,0)), HYPERLINK("#",""), HYPERLINK(CONCATENATE("#Metadata!", ADDRESS(INDEX($AI$2:$AI$1001,MATCH(ROWS($AG$2:AG59),$AG$2:$AG$1001,0),0), INDEX($AN$1004:$BO$1004,1,MATCH(COLUMNS($AN$1006:AS1006),$AN$1006:$BO$1006,0)))),"Fix")))</f>
        <v>0</v>
      </c>
      <c r="H59" s="4">
        <f>IF(OR(INDEX($AH$2:$AH$1001,MATCH(ROWS($AG$2:AG59),$AG$2:$AG$1001,0),1)&gt;=100000,INDEX($AN$1005:$BO$1005,1,MATCH(COLUMNS($AN$1006:AT1006),$AN$1006:$BO$1006,0))&gt;=100000), " ",IF(INDEX($AN$2:$BO$1001,MATCH(ROWS($AG$2:AG59),$AG$2:$AG$1001,0),MATCH(COLUMNS($AN$1006:AT1006),$AN$1006:$BO$1006,0)), HYPERLINK("#",""), HYPERLINK(CONCATENATE("#Metadata!", ADDRESS(INDEX($AI$2:$AI$1001,MATCH(ROWS($AG$2:AG59),$AG$2:$AG$1001,0),0), INDEX($AN$1004:$BO$1004,1,MATCH(COLUMNS($AN$1006:AT1006),$AN$1006:$BO$1006,0)))),"Fix")))</f>
        <v>0</v>
      </c>
      <c r="I59" s="4">
        <f>IF(OR(INDEX($AH$2:$AH$1001,MATCH(ROWS($AG$2:AG59),$AG$2:$AG$1001,0),1)&gt;=100000,INDEX($AN$1005:$BO$1005,1,MATCH(COLUMNS($AN$1006:AU1006),$AN$1006:$BO$1006,0))&gt;=100000), " ",IF(INDEX($AN$2:$BO$1001,MATCH(ROWS($AG$2:AG59),$AG$2:$AG$1001,0),MATCH(COLUMNS($AN$1006:AU1006),$AN$1006:$BO$1006,0)), HYPERLINK("#",""), HYPERLINK(CONCATENATE("#Metadata!", ADDRESS(INDEX($AI$2:$AI$1001,MATCH(ROWS($AG$2:AG59),$AG$2:$AG$1001,0),0), INDEX($AN$1004:$BO$1004,1,MATCH(COLUMNS($AN$1006:AU1006),$AN$1006:$BO$1006,0)))),"Fix")))</f>
        <v>0</v>
      </c>
      <c r="J59" s="4">
        <f>IF(OR(INDEX($AH$2:$AH$1001,MATCH(ROWS($AG$2:AG59),$AG$2:$AG$1001,0),1)&gt;=100000,INDEX($AN$1005:$BO$1005,1,MATCH(COLUMNS($AN$1006:AV1006),$AN$1006:$BO$1006,0))&gt;=100000), " ",IF(INDEX($AN$2:$BO$1001,MATCH(ROWS($AG$2:AG59),$AG$2:$AG$1001,0),MATCH(COLUMNS($AN$1006:AV1006),$AN$1006:$BO$1006,0)), HYPERLINK("#",""), HYPERLINK(CONCATENATE("#Metadata!", ADDRESS(INDEX($AI$2:$AI$1001,MATCH(ROWS($AG$2:AG59),$AG$2:$AG$1001,0),0), INDEX($AN$1004:$BO$1004,1,MATCH(COLUMNS($AN$1006:AV1006),$AN$1006:$BO$1006,0)))),"Fix")))</f>
        <v>0</v>
      </c>
      <c r="K59" s="4">
        <f>IF(OR(INDEX($AH$2:$AH$1001,MATCH(ROWS($AG$2:AG59),$AG$2:$AG$1001,0),1)&gt;=100000,INDEX($AN$1005:$BO$1005,1,MATCH(COLUMNS($AN$1006:AW1006),$AN$1006:$BO$1006,0))&gt;=100000), " ",IF(INDEX($AN$2:$BO$1001,MATCH(ROWS($AG$2:AG59),$AG$2:$AG$1001,0),MATCH(COLUMNS($AN$1006:AW1006),$AN$1006:$BO$1006,0)), HYPERLINK("#",""), HYPERLINK(CONCATENATE("#Metadata!", ADDRESS(INDEX($AI$2:$AI$1001,MATCH(ROWS($AG$2:AG59),$AG$2:$AG$1001,0),0), INDEX($AN$1004:$BO$1004,1,MATCH(COLUMNS($AN$1006:AW1006),$AN$1006:$BO$1006,0)))),"Fix")))</f>
        <v>0</v>
      </c>
      <c r="L59" s="4">
        <f>IF(OR(INDEX($AH$2:$AH$1001,MATCH(ROWS($AG$2:AG59),$AG$2:$AG$1001,0),1)&gt;=100000,INDEX($AN$1005:$BO$1005,1,MATCH(COLUMNS($AN$1006:AX1006),$AN$1006:$BO$1006,0))&gt;=100000), " ",IF(INDEX($AN$2:$BO$1001,MATCH(ROWS($AG$2:AG59),$AG$2:$AG$1001,0),MATCH(COLUMNS($AN$1006:AX1006),$AN$1006:$BO$1006,0)), HYPERLINK("#",""), HYPERLINK(CONCATENATE("#Metadata!", ADDRESS(INDEX($AI$2:$AI$1001,MATCH(ROWS($AG$2:AG59),$AG$2:$AG$1001,0),0), INDEX($AN$1004:$BO$1004,1,MATCH(COLUMNS($AN$1006:AX1006),$AN$1006:$BO$1006,0)))),"Fix")))</f>
        <v>0</v>
      </c>
      <c r="M59" s="4">
        <f>IF(OR(INDEX($AH$2:$AH$1001,MATCH(ROWS($AG$2:AG59),$AG$2:$AG$1001,0),1)&gt;=100000,INDEX($AN$1005:$BO$1005,1,MATCH(COLUMNS($AN$1006:AY1006),$AN$1006:$BO$1006,0))&gt;=100000), " ",IF(INDEX($AN$2:$BO$1001,MATCH(ROWS($AG$2:AG59),$AG$2:$AG$1001,0),MATCH(COLUMNS($AN$1006:AY1006),$AN$1006:$BO$1006,0)), HYPERLINK("#",""), HYPERLINK(CONCATENATE("#Metadata!", ADDRESS(INDEX($AI$2:$AI$1001,MATCH(ROWS($AG$2:AG59),$AG$2:$AG$1001,0),0), INDEX($AN$1004:$BO$1004,1,MATCH(COLUMNS($AN$1006:AY1006),$AN$1006:$BO$1006,0)))),"Fix")))</f>
        <v>0</v>
      </c>
      <c r="N59" s="4">
        <f>IF(OR(INDEX($AH$2:$AH$1001,MATCH(ROWS($AG$2:AG59),$AG$2:$AG$1001,0),1)&gt;=100000,INDEX($AN$1005:$BO$1005,1,MATCH(COLUMNS($AN$1006:AZ1006),$AN$1006:$BO$1006,0))&gt;=100000), " ",IF(INDEX($AN$2:$BO$1001,MATCH(ROWS($AG$2:AG59),$AG$2:$AG$1001,0),MATCH(COLUMNS($AN$1006:AZ1006),$AN$1006:$BO$1006,0)), HYPERLINK("#",""), HYPERLINK(CONCATENATE("#Metadata!", ADDRESS(INDEX($AI$2:$AI$1001,MATCH(ROWS($AG$2:AG59),$AG$2:$AG$1001,0),0), INDEX($AN$1004:$BO$1004,1,MATCH(COLUMNS($AN$1006:AZ1006),$AN$1006:$BO$1006,0)))),"Fix")))</f>
        <v>0</v>
      </c>
      <c r="O59" s="4">
        <f>IF(OR(INDEX($AH$2:$AH$1001,MATCH(ROWS($AG$2:AG59),$AG$2:$AG$1001,0),1)&gt;=100000,INDEX($AN$1005:$BO$1005,1,MATCH(COLUMNS($AN$1006:BA1006),$AN$1006:$BO$1006,0))&gt;=100000), " ",IF(INDEX($AN$2:$BO$1001,MATCH(ROWS($AG$2:AG59),$AG$2:$AG$1001,0),MATCH(COLUMNS($AN$1006:BA1006),$AN$1006:$BO$1006,0)), HYPERLINK("#",""), HYPERLINK(CONCATENATE("#Metadata!", ADDRESS(INDEX($AI$2:$AI$1001,MATCH(ROWS($AG$2:AG59),$AG$2:$AG$1001,0),0), INDEX($AN$1004:$BO$1004,1,MATCH(COLUMNS($AN$1006:BA1006),$AN$1006:$BO$1006,0)))),"Fix")))</f>
        <v>0</v>
      </c>
      <c r="P59" s="4">
        <f>IF(OR(INDEX($AH$2:$AH$1001,MATCH(ROWS($AG$2:AG59),$AG$2:$AG$1001,0),1)&gt;=100000,INDEX($AN$1005:$BO$1005,1,MATCH(COLUMNS($AN$1006:BB1006),$AN$1006:$BO$1006,0))&gt;=100000), " ",IF(INDEX($AN$2:$BO$1001,MATCH(ROWS($AG$2:AG59),$AG$2:$AG$1001,0),MATCH(COLUMNS($AN$1006:BB1006),$AN$1006:$BO$1006,0)), HYPERLINK("#",""), HYPERLINK(CONCATENATE("#Metadata!", ADDRESS(INDEX($AI$2:$AI$1001,MATCH(ROWS($AG$2:AG59),$AG$2:$AG$1001,0),0), INDEX($AN$1004:$BO$1004,1,MATCH(COLUMNS($AN$1006:BB1006),$AN$1006:$BO$1006,0)))),"Fix")))</f>
        <v>0</v>
      </c>
      <c r="Q59" s="4">
        <f>IF(OR(INDEX($AH$2:$AH$1001,MATCH(ROWS($AG$2:AG59),$AG$2:$AG$1001,0),1)&gt;=100000,INDEX($AN$1005:$BO$1005,1,MATCH(COLUMNS($AN$1006:BC1006),$AN$1006:$BO$1006,0))&gt;=100000), " ",IF(INDEX($AN$2:$BO$1001,MATCH(ROWS($AG$2:AG59),$AG$2:$AG$1001,0),MATCH(COLUMNS($AN$1006:BC1006),$AN$1006:$BO$1006,0)), HYPERLINK("#",""), HYPERLINK(CONCATENATE("#Metadata!", ADDRESS(INDEX($AI$2:$AI$1001,MATCH(ROWS($AG$2:AG59),$AG$2:$AG$1001,0),0), INDEX($AN$1004:$BO$1004,1,MATCH(COLUMNS($AN$1006:BC1006),$AN$1006:$BO$1006,0)))),"Fix")))</f>
        <v>0</v>
      </c>
      <c r="R59" s="4">
        <f>IF(OR(INDEX($AH$2:$AH$1001,MATCH(ROWS($AG$2:AG59),$AG$2:$AG$1001,0),1)&gt;=100000,INDEX($AN$1005:$BO$1005,1,MATCH(COLUMNS($AN$1006:BD1006),$AN$1006:$BO$1006,0))&gt;=100000), " ",IF(INDEX($AN$2:$BO$1001,MATCH(ROWS($AG$2:AG59),$AG$2:$AG$1001,0),MATCH(COLUMNS($AN$1006:BD1006),$AN$1006:$BO$1006,0)), HYPERLINK("#",""), HYPERLINK(CONCATENATE("#Metadata!", ADDRESS(INDEX($AI$2:$AI$1001,MATCH(ROWS($AG$2:AG59),$AG$2:$AG$1001,0),0), INDEX($AN$1004:$BO$1004,1,MATCH(COLUMNS($AN$1006:BD1006),$AN$1006:$BO$1006,0)))),"Fix")))</f>
        <v>0</v>
      </c>
      <c r="S59" s="4">
        <f>IF(OR(INDEX($AH$2:$AH$1001,MATCH(ROWS($AG$2:AG59),$AG$2:$AG$1001,0),1)&gt;=100000,INDEX($AN$1005:$BO$1005,1,MATCH(COLUMNS($AN$1006:BE1006),$AN$1006:$BO$1006,0))&gt;=100000), " ",IF(INDEX($AN$2:$BO$1001,MATCH(ROWS($AG$2:AG59),$AG$2:$AG$1001,0),MATCH(COLUMNS($AN$1006:BE1006),$AN$1006:$BO$1006,0)), HYPERLINK("#",""), HYPERLINK(CONCATENATE("#Metadata!", ADDRESS(INDEX($AI$2:$AI$1001,MATCH(ROWS($AG$2:AG59),$AG$2:$AG$1001,0),0), INDEX($AN$1004:$BO$1004,1,MATCH(COLUMNS($AN$1006:BE1006),$AN$1006:$BO$1006,0)))),"Fix")))</f>
        <v>0</v>
      </c>
      <c r="T59" s="4">
        <f>IF(OR(INDEX($AH$2:$AH$1001,MATCH(ROWS($AG$2:AG59),$AG$2:$AG$1001,0),1)&gt;=100000,INDEX($AN$1005:$BO$1005,1,MATCH(COLUMNS($AN$1006:BF1006),$AN$1006:$BO$1006,0))&gt;=100000), " ",IF(INDEX($AN$2:$BO$1001,MATCH(ROWS($AG$2:AG59),$AG$2:$AG$1001,0),MATCH(COLUMNS($AN$1006:BF1006),$AN$1006:$BO$1006,0)), HYPERLINK("#",""), HYPERLINK(CONCATENATE("#Metadata!", ADDRESS(INDEX($AI$2:$AI$1001,MATCH(ROWS($AG$2:AG59),$AG$2:$AG$1001,0),0), INDEX($AN$1004:$BO$1004,1,MATCH(COLUMNS($AN$1006:BF1006),$AN$1006:$BO$1006,0)))),"Fix")))</f>
        <v>0</v>
      </c>
      <c r="U59" s="4">
        <f>IF(OR(INDEX($AH$2:$AH$1001,MATCH(ROWS($AG$2:AG59),$AG$2:$AG$1001,0),1)&gt;=100000,INDEX($AN$1005:$BO$1005,1,MATCH(COLUMNS($AN$1006:BG1006),$AN$1006:$BO$1006,0))&gt;=100000), " ",IF(INDEX($AN$2:$BO$1001,MATCH(ROWS($AG$2:AG59),$AG$2:$AG$1001,0),MATCH(COLUMNS($AN$1006:BG1006),$AN$1006:$BO$1006,0)), HYPERLINK("#",""), HYPERLINK(CONCATENATE("#Metadata!", ADDRESS(INDEX($AI$2:$AI$1001,MATCH(ROWS($AG$2:AG59),$AG$2:$AG$1001,0),0), INDEX($AN$1004:$BO$1004,1,MATCH(COLUMNS($AN$1006:BG1006),$AN$1006:$BO$1006,0)))),"Fix")))</f>
        <v>0</v>
      </c>
      <c r="V59" s="4">
        <f>IF(OR(INDEX($AH$2:$AH$1001,MATCH(ROWS($AG$2:AG59),$AG$2:$AG$1001,0),1)&gt;=100000,INDEX($AN$1005:$BO$1005,1,MATCH(COLUMNS($AN$1006:BH1006),$AN$1006:$BO$1006,0))&gt;=100000), " ",IF(INDEX($AN$2:$BO$1001,MATCH(ROWS($AG$2:AG59),$AG$2:$AG$1001,0),MATCH(COLUMNS($AN$1006:BH1006),$AN$1006:$BO$1006,0)), HYPERLINK("#",""), HYPERLINK(CONCATENATE("#Metadata!", ADDRESS(INDEX($AI$2:$AI$1001,MATCH(ROWS($AG$2:AG59),$AG$2:$AG$1001,0),0), INDEX($AN$1004:$BO$1004,1,MATCH(COLUMNS($AN$1006:BH1006),$AN$1006:$BO$1006,0)))),"Fix")))</f>
        <v>0</v>
      </c>
      <c r="W59" s="4">
        <f>IF(OR(INDEX($AH$2:$AH$1001,MATCH(ROWS($AG$2:AG59),$AG$2:$AG$1001,0),1)&gt;=100000,INDEX($AN$1005:$BO$1005,1,MATCH(COLUMNS($AN$1006:BI1006),$AN$1006:$BO$1006,0))&gt;=100000), " ",IF(INDEX($AN$2:$BO$1001,MATCH(ROWS($AG$2:AG59),$AG$2:$AG$1001,0),MATCH(COLUMNS($AN$1006:BI1006),$AN$1006:$BO$1006,0)), HYPERLINK("#",""), HYPERLINK(CONCATENATE("#Metadata!", ADDRESS(INDEX($AI$2:$AI$1001,MATCH(ROWS($AG$2:AG59),$AG$2:$AG$1001,0),0), INDEX($AN$1004:$BO$1004,1,MATCH(COLUMNS($AN$1006:BI1006),$AN$1006:$BO$1006,0)))),"Fix")))</f>
        <v>0</v>
      </c>
      <c r="X59" s="4">
        <f>IF(OR(INDEX($AH$2:$AH$1001,MATCH(ROWS($AG$2:AG59),$AG$2:$AG$1001,0),1)&gt;=100000,INDEX($AN$1005:$BO$1005,1,MATCH(COLUMNS($AN$1006:BJ1006),$AN$1006:$BO$1006,0))&gt;=100000), " ",IF(INDEX($AN$2:$BO$1001,MATCH(ROWS($AG$2:AG59),$AG$2:$AG$1001,0),MATCH(COLUMNS($AN$1006:BJ1006),$AN$1006:$BO$1006,0)), HYPERLINK("#",""), HYPERLINK(CONCATENATE("#Metadata!", ADDRESS(INDEX($AI$2:$AI$1001,MATCH(ROWS($AG$2:AG59),$AG$2:$AG$1001,0),0), INDEX($AN$1004:$BO$1004,1,MATCH(COLUMNS($AN$1006:BJ1006),$AN$1006:$BO$1006,0)))),"Fix")))</f>
        <v>0</v>
      </c>
      <c r="Y59" s="4">
        <f>IF(OR(INDEX($AH$2:$AH$1001,MATCH(ROWS($AG$2:AG59),$AG$2:$AG$1001,0),1)&gt;=100000,INDEX($AN$1005:$BO$1005,1,MATCH(COLUMNS($AN$1006:BK1006),$AN$1006:$BO$1006,0))&gt;=100000), " ",IF(INDEX($AN$2:$BO$1001,MATCH(ROWS($AG$2:AG59),$AG$2:$AG$1001,0),MATCH(COLUMNS($AN$1006:BK1006),$AN$1006:$BO$1006,0)), HYPERLINK("#",""), HYPERLINK(CONCATENATE("#Metadata!", ADDRESS(INDEX($AI$2:$AI$1001,MATCH(ROWS($AG$2:AG59),$AG$2:$AG$1001,0),0), INDEX($AN$1004:$BO$1004,1,MATCH(COLUMNS($AN$1006:BK1006),$AN$1006:$BO$1006,0)))),"Fix")))</f>
        <v>0</v>
      </c>
      <c r="Z59" s="4">
        <f>IF(OR(INDEX($AH$2:$AH$1001,MATCH(ROWS($AG$2:AG59),$AG$2:$AG$1001,0),1)&gt;=100000,INDEX($AN$1005:$BO$1005,1,MATCH(COLUMNS($AN$1006:BL1006),$AN$1006:$BO$1006,0))&gt;=100000), " ",IF(INDEX($AN$2:$BO$1001,MATCH(ROWS($AG$2:AG59),$AG$2:$AG$1001,0),MATCH(COLUMNS($AN$1006:BL1006),$AN$1006:$BO$1006,0)), HYPERLINK("#",""), HYPERLINK(CONCATENATE("#Metadata!", ADDRESS(INDEX($AI$2:$AI$1001,MATCH(ROWS($AG$2:AG59),$AG$2:$AG$1001,0),0), INDEX($AN$1004:$BO$1004,1,MATCH(COLUMNS($AN$1006:BL1006),$AN$1006:$BO$1006,0)))),"Fix")))</f>
        <v>0</v>
      </c>
      <c r="AA59" s="4">
        <f>IF(OR(INDEX($AH$2:$AH$1001,MATCH(ROWS($AG$2:AG59),$AG$2:$AG$1001,0),1)&gt;=100000,INDEX($AN$1005:$BO$1005,1,MATCH(COLUMNS($AN$1006:BM1006),$AN$1006:$BO$1006,0))&gt;=100000), " ",IF(INDEX($AN$2:$BO$1001,MATCH(ROWS($AG$2:AG59),$AG$2:$AG$1001,0),MATCH(COLUMNS($AN$1006:BM1006),$AN$1006:$BO$1006,0)), HYPERLINK("#",""), HYPERLINK(CONCATENATE("#Metadata!", ADDRESS(INDEX($AI$2:$AI$1001,MATCH(ROWS($AG$2:AG59),$AG$2:$AG$1001,0),0), INDEX($AN$1004:$BO$1004,1,MATCH(COLUMNS($AN$1006:BM1006),$AN$1006:$BO$1006,0)))),"Fix")))</f>
        <v>0</v>
      </c>
      <c r="AB59" s="4">
        <f>IF(OR(INDEX($AH$2:$AH$1001,MATCH(ROWS($AG$2:AG59),$AG$2:$AG$1001,0),1)&gt;=100000,INDEX($AN$1005:$BO$1005,1,MATCH(COLUMNS($AN$1006:BN1006),$AN$1006:$BO$1006,0))&gt;=100000), " ",IF(INDEX($AN$2:$BO$1001,MATCH(ROWS($AG$2:AG59),$AG$2:$AG$1001,0),MATCH(COLUMNS($AN$1006:BN1006),$AN$1006:$BO$1006,0)), HYPERLINK("#",""), HYPERLINK(CONCATENATE("#Metadata!", ADDRESS(INDEX($AI$2:$AI$1001,MATCH(ROWS($AG$2:AG59),$AG$2:$AG$1001,0),0), INDEX($AN$1004:$BO$1004,1,MATCH(COLUMNS($AN$1006:BN1006),$AN$1006:$BO$1006,0)))),"Fix")))</f>
        <v>0</v>
      </c>
      <c r="AC59" s="4">
        <f>IF(OR(INDEX($AH$2:$AH$1001,MATCH(ROWS($AG$2:AG59),$AG$2:$AG$1001,0),1)&gt;=100000,INDEX($AN$1005:$BO$1005,1,MATCH(COLUMNS($AN$1006:BO1006),$AN$1006:$BO$1006,0))&gt;=100000), " ",IF(INDEX($AN$2:$BO$1001,MATCH(ROWS($AG$2:AG59),$AG$2:$AG$1001,0),MATCH(COLUMNS($AN$1006:BO1006),$AN$1006:$BO$1006,0)), HYPERLINK("#",""), HYPERLINK(CONCATENATE("#Metadata!", ADDRESS(INDEX($AI$2:$AI$1001,MATCH(ROWS($AG$2:AG59),$AG$2:$AG$1001,0),0), INDEX($AN$1004:$BO$1004,1,MATCH(COLUMNS($AN$1006:BO1006),$AN$1006:$BO$1006,0)))),"Fix")))</f>
        <v>0</v>
      </c>
      <c r="AG59">
        <v>0</v>
      </c>
      <c r="AH59">
        <v>0</v>
      </c>
      <c r="AI59">
        <v>0</v>
      </c>
      <c r="AJ59">
        <f>IF(AK59,TRUE,AND(AN59:BO59))</f>
        <v>0</v>
      </c>
      <c r="AK59">
        <f>COUNTBLANK(Metadata!B59:AC59)=COLUMNS(Metadata!B59:AC59)</f>
        <v>0</v>
      </c>
      <c r="AL59">
        <v>0</v>
      </c>
      <c r="AN59">
        <f>AND(IF(Metadata!B59="",FALSE,TRUE),COUNTIF(Metadata!B:B, Metadata!B59) = 1,NOT(ISERROR(SUMPRODUCT(SEARCH(MID(Metadata!B59,ROW(INDIRECT("1:"&amp;LEN(Metadata!B59))), 1),"0123456789abcdefghijklmnopqrstuvwxyzABCDEFGHIJKLMNOPQRSTUVWXYZ.")))))</f>
        <v>0</v>
      </c>
      <c r="AO59">
        <f>IF(Metadata!C59="",FALSE,TRUE)</f>
        <v>0</v>
      </c>
      <c r="AP59">
        <f>IF(Metadata!D59="",FALSE,TRUE)</f>
        <v>0</v>
      </c>
      <c r="AQ59">
        <f>OR(AND(IF(Metadata!E59="",FALSE,TRUE),OR(exact(Metadata!E59,"not collected"),exact(Metadata!E59,"not provided"),exact(Metadata!E59,"restricted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R59">
        <f>IF(Metadata!F59="",FALSE,TRUE)</f>
        <v>0</v>
      </c>
      <c r="AS59">
        <f>OR(AND(IF(Metadata!G59="",FALSE,TRUE),OR(exact(Metadata!G59,"not collected"),exact(Metadata!G59,"not provided"))),AND(IF(Metadata!G59="",FALSE,TRUE),OR(exact(Metadata!G59,"TRUE"),exact(Metadata!G59,"FALSE"))))</f>
        <v>0</v>
      </c>
      <c r="AT59">
        <f>OR(AND(IF(Metadata!H59="",FALSE,TRUE),OR(exact(Metadata!H59,"not collected"),exact(Metadata!H59,"not provided"),exact(Metadata!H59,"restricted access"))),AND(IF(Metadata!H59="",FALSE,ISNUMBER(VALUE(Metadata!H59))),Metadata!H59&gt;=-413.0))</f>
        <v>0</v>
      </c>
      <c r="AU59">
        <f>AND(IF(Metadata!I59="",FALSE,TRUE),exact(Metadata!I59,"meters"))</f>
        <v>0</v>
      </c>
      <c r="AV59">
        <f>AND(IF(Metadata!J59="",FALSE,TRUE),OR(exact(Metadata!J59,"Host-associated"),exact(Metadata!J59,"Free-living")))</f>
        <v>0</v>
      </c>
      <c r="AW59">
        <f>AND(IF(Metadata!K59="",FALSE,TRUE),OR(exact(Metadata!K59,"Animal"),exact(Metadata!K59,"Fungus"),exact(Metadata!K59,"Plant"),exact(Metadata!K59,"Saline"),exact(Metadata!K59,"Non-saline")))</f>
        <v>0</v>
      </c>
      <c r="AX59">
        <f>AND(IF(Metadata!L59="",FALSE,TRUE),OR(exact(Metadata!L59,"Plant secretion"),exact(Metadata!L59,"Plant rhizosphere"),exact(Metadata!L59,"Plant surface"),exact(Metadata!L59,"Plant corpus"),exact(Metadata!L59,"Fungus surface"),exact(Metadata!L59,"Fungus corpus"),exact(Metadata!L59,"Animal surface"),exact(Metadata!L59,"Animal proximal gut"),exact(Metadata!L59,"Animal corpus"),exact(Metadata!L59,"Animal distal gut"),exact(Metadata!L59,"Animal secretion"),exact(Metadata!L59,"Sub-surface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0</v>
      </c>
      <c r="AY59">
        <f>IF(Metadata!M59="",FALSE,TRUE)</f>
        <v>0</v>
      </c>
      <c r="AZ59">
        <f>IF(Metadata!N59="",FALSE,TRUE)</f>
        <v>0</v>
      </c>
      <c r="BA59">
        <f>IF(Metadata!O59="",FALSE,TRUE)</f>
        <v>0</v>
      </c>
      <c r="BB59">
        <f>OR(AND(IF(Metadata!P59="",FALSE,TRUE),OR(exact(Metadata!P59,"not collected"),exact(Metadata!P59,"not provided"),exact(Metadata!P59,"restricted access"))),AND(IF(Metadata!P59="",FALSE,TRUE),OR(exact(Metadata!P59,"air"),exact(Metadata!P59,"built environment"),exact(Metadata!P59,"host-associated"),exact(Metadata!P59,"human-associated"),exact(Metadata!P59,"human-skin"),exact(Metadata!P59,"human-oral"),exact(Metadata!P59,"human-gut"),exact(Metadata!P59,"human-vaginal"),exact(Metadata!P59,"microbial mat/biofilm"),exact(Metadata!P59,"misc environment"),exact(Metadata!P59,"plant-associated"),exact(Metadata!P59,"sediment"),exact(Metadata!P59,"soil"),exact(Metadata!P59,"wastewater/sludge"),exact(Metadata!P59,"water"))))</f>
        <v>0</v>
      </c>
      <c r="BC59">
        <f>IF(Metadata!Q59="",FALSE,TRUE)</f>
        <v>0</v>
      </c>
      <c r="BD59">
        <f>IF(Metadata!R59="",FALSE,TRUE)</f>
        <v>0</v>
      </c>
      <c r="BE59">
        <f>OR(AND(IF(Metadata!S59="",FALSE,TRUE),OR(exact(Metadata!S59,"not collected"),exact(Metadata!S59,"not provided"),exact(Metadata!S59,"restricted access"))),AND(IF(Metadata!S59="",FALSE,ISNUMBER(VALUE(Metadata!S59))),Metadata!S59&gt;=-90.00,Metadata!S59&lt;=90.00))</f>
        <v>0</v>
      </c>
      <c r="BF59">
        <f>AND(IF(Metadata!T59="",FALSE,TRUE),exact(Metadata!T59,"Decimal degrees"))</f>
        <v>0</v>
      </c>
      <c r="BG59">
        <f>OR(AND(IF(Metadata!U59="",FALSE,TRUE),OR(exact(Metadata!U59,"not collected"),exact(Metadata!U59,"not provided"),exact(Metadata!U59,"restricted access"))),AND(IF(Metadata!U59="",FALSE,ISNUMBER(VALUE(Metadata!U59))),Metadata!U59&gt;=-180.00,Metadata!U59&lt;=180.00))</f>
        <v>0</v>
      </c>
      <c r="BH59">
        <f>AND(IF(Metadata!V59="",FALSE,TRUE),exact(Metadata!V59,"Decimal degrees"))</f>
        <v>0</v>
      </c>
      <c r="BI59">
        <f>IF(Metadata!W59="",FALSE,TRUE)</f>
        <v>0</v>
      </c>
      <c r="BJ59">
        <f>OR(AND(IF(Metadata!X59="",FALSE,TRUE),OR(exact(Metadata!X59,"not collected"),exact(Metadata!X59,"not provided"),exact(Metadata!X59,"restricted access"))),AND(IF(Metadata!X59="",FALSE,TRUE),OR(exact(Metadata!X59,"TRUE"),exact(Metadata!X59,"FALSE"))))</f>
        <v>0</v>
      </c>
      <c r="BK59">
        <f>AND(IF(Metadata!Y59="",FALSE,TRUE),exact(Metadata!Y59,"other"))</f>
        <v>0</v>
      </c>
      <c r="BL59">
        <f>IF(Metadata!Z59="",FALSE,TRUE)</f>
        <v>0</v>
      </c>
      <c r="BM59">
        <f>OR(AND(IF(Metadata!AA59="",FALSE,TRUE),OR(exact(Metadata!AA59,"not collected"),exact(Metadata!AA59,"not provided"))),AND(IF(Metadata!AA59="",FALSE,IF(ISERROR(INT(Metadata!AA59)),FALSE,INT(Metadata!AA59)=Metadata!AA59)),Metadata!AA59&gt;0))</f>
        <v>0</v>
      </c>
      <c r="BN59">
        <f>AND(IF(Metadata!AB59="",FALSE,TRUE),exact(Metadata!AB59,"Not applicable"))</f>
        <v>0</v>
      </c>
      <c r="BO59">
        <f>IF(Metadata!AC59="",FALSE,TRUE)</f>
        <v>0</v>
      </c>
    </row>
    <row r="60" spans="1:67">
      <c r="A60" s="5">
        <f>IF(B60=" "," ",HYPERLINK(CONCATENATE("#metadata!",ADDRESS(INDEX($AI$2:$AI$1001,MATCH(ROWS($AG$2:AG60),$AG$2:$AG$1001,0),0),1)),INDEX($AL$2:$AL$1001,MATCH(ROWS($AG$2:AG60),$AG$2:$AG$1001,0),0)))</f>
        <v>0</v>
      </c>
      <c r="B60" s="4">
        <f>IF(OR(INDEX($AH$2:$AH$1001,MATCH(ROWS($AG$2:AG60),$AG$2:$AG$1001,0),1)&gt;=100000,INDEX($AN$1005:$BO$1005,1,MATCH(COLUMNS($AN$1006:AN1006),$AN$1006:$BO$1006,0))&gt;=100000), " ",IF(INDEX($AN$2:$BO$1001,MATCH(ROWS($AG$2:AG60),$AG$2:$AG$1001,0),MATCH(COLUMNS($AN$1006:AN1006),$AN$1006:$BO$1006,0)), HYPERLINK("#",""), HYPERLINK(CONCATENATE("#Metadata!", ADDRESS(INDEX($AI$2:$AI$1001,MATCH(ROWS($AG$2:AG60),$AG$2:$AG$1001,0),0), INDEX($AN$1004:$BO$1004,1,MATCH(COLUMNS($AN$1006:AN1006),$AN$1006:$BO$1006,0)))),"Fix")))</f>
        <v>0</v>
      </c>
      <c r="C60" s="4">
        <f>IF(OR(INDEX($AH$2:$AH$1001,MATCH(ROWS($AG$2:AG60),$AG$2:$AG$1001,0),1)&gt;=100000,INDEX($AN$1005:$BO$1005,1,MATCH(COLUMNS($AN$1006:AO1006),$AN$1006:$BO$1006,0))&gt;=100000), " ",IF(INDEX($AN$2:$BO$1001,MATCH(ROWS($AG$2:AG60),$AG$2:$AG$1001,0),MATCH(COLUMNS($AN$1006:AO1006),$AN$1006:$BO$1006,0)), HYPERLINK("#",""), HYPERLINK(CONCATENATE("#Metadata!", ADDRESS(INDEX($AI$2:$AI$1001,MATCH(ROWS($AG$2:AG60),$AG$2:$AG$1001,0),0), INDEX($AN$1004:$BO$1004,1,MATCH(COLUMNS($AN$1006:AO1006),$AN$1006:$BO$1006,0)))),"Fix")))</f>
        <v>0</v>
      </c>
      <c r="D60" s="4">
        <f>IF(OR(INDEX($AH$2:$AH$1001,MATCH(ROWS($AG$2:AG60),$AG$2:$AG$1001,0),1)&gt;=100000,INDEX($AN$1005:$BO$1005,1,MATCH(COLUMNS($AN$1006:AP1006),$AN$1006:$BO$1006,0))&gt;=100000), " ",IF(INDEX($AN$2:$BO$1001,MATCH(ROWS($AG$2:AG60),$AG$2:$AG$1001,0),MATCH(COLUMNS($AN$1006:AP1006),$AN$1006:$BO$1006,0)), HYPERLINK("#",""), HYPERLINK(CONCATENATE("#Metadata!", ADDRESS(INDEX($AI$2:$AI$1001,MATCH(ROWS($AG$2:AG60),$AG$2:$AG$1001,0),0), INDEX($AN$1004:$BO$1004,1,MATCH(COLUMNS($AN$1006:AP1006),$AN$1006:$BO$1006,0)))),"Fix")))</f>
        <v>0</v>
      </c>
      <c r="E60" s="4">
        <f>IF(OR(INDEX($AH$2:$AH$1001,MATCH(ROWS($AG$2:AG60),$AG$2:$AG$1001,0),1)&gt;=100000,INDEX($AN$1005:$BO$1005,1,MATCH(COLUMNS($AN$1006:AQ1006),$AN$1006:$BO$1006,0))&gt;=100000), " ",IF(INDEX($AN$2:$BO$1001,MATCH(ROWS($AG$2:AG60),$AG$2:$AG$1001,0),MATCH(COLUMNS($AN$1006:AQ1006),$AN$1006:$BO$1006,0)), HYPERLINK("#",""), HYPERLINK(CONCATENATE("#Metadata!", ADDRESS(INDEX($AI$2:$AI$1001,MATCH(ROWS($AG$2:AG60),$AG$2:$AG$1001,0),0), INDEX($AN$1004:$BO$1004,1,MATCH(COLUMNS($AN$1006:AQ1006),$AN$1006:$BO$1006,0)))),"Fix")))</f>
        <v>0</v>
      </c>
      <c r="F60" s="4">
        <f>IF(OR(INDEX($AH$2:$AH$1001,MATCH(ROWS($AG$2:AG60),$AG$2:$AG$1001,0),1)&gt;=100000,INDEX($AN$1005:$BO$1005,1,MATCH(COLUMNS($AN$1006:AR1006),$AN$1006:$BO$1006,0))&gt;=100000), " ",IF(INDEX($AN$2:$BO$1001,MATCH(ROWS($AG$2:AG60),$AG$2:$AG$1001,0),MATCH(COLUMNS($AN$1006:AR1006),$AN$1006:$BO$1006,0)), HYPERLINK("#",""), HYPERLINK(CONCATENATE("#Metadata!", ADDRESS(INDEX($AI$2:$AI$1001,MATCH(ROWS($AG$2:AG60),$AG$2:$AG$1001,0),0), INDEX($AN$1004:$BO$1004,1,MATCH(COLUMNS($AN$1006:AR1006),$AN$1006:$BO$1006,0)))),"Fix")))</f>
        <v>0</v>
      </c>
      <c r="G60" s="4">
        <f>IF(OR(INDEX($AH$2:$AH$1001,MATCH(ROWS($AG$2:AG60),$AG$2:$AG$1001,0),1)&gt;=100000,INDEX($AN$1005:$BO$1005,1,MATCH(COLUMNS($AN$1006:AS1006),$AN$1006:$BO$1006,0))&gt;=100000), " ",IF(INDEX($AN$2:$BO$1001,MATCH(ROWS($AG$2:AG60),$AG$2:$AG$1001,0),MATCH(COLUMNS($AN$1006:AS1006),$AN$1006:$BO$1006,0)), HYPERLINK("#",""), HYPERLINK(CONCATENATE("#Metadata!", ADDRESS(INDEX($AI$2:$AI$1001,MATCH(ROWS($AG$2:AG60),$AG$2:$AG$1001,0),0), INDEX($AN$1004:$BO$1004,1,MATCH(COLUMNS($AN$1006:AS1006),$AN$1006:$BO$1006,0)))),"Fix")))</f>
        <v>0</v>
      </c>
      <c r="H60" s="4">
        <f>IF(OR(INDEX($AH$2:$AH$1001,MATCH(ROWS($AG$2:AG60),$AG$2:$AG$1001,0),1)&gt;=100000,INDEX($AN$1005:$BO$1005,1,MATCH(COLUMNS($AN$1006:AT1006),$AN$1006:$BO$1006,0))&gt;=100000), " ",IF(INDEX($AN$2:$BO$1001,MATCH(ROWS($AG$2:AG60),$AG$2:$AG$1001,0),MATCH(COLUMNS($AN$1006:AT1006),$AN$1006:$BO$1006,0)), HYPERLINK("#",""), HYPERLINK(CONCATENATE("#Metadata!", ADDRESS(INDEX($AI$2:$AI$1001,MATCH(ROWS($AG$2:AG60),$AG$2:$AG$1001,0),0), INDEX($AN$1004:$BO$1004,1,MATCH(COLUMNS($AN$1006:AT1006),$AN$1006:$BO$1006,0)))),"Fix")))</f>
        <v>0</v>
      </c>
      <c r="I60" s="4">
        <f>IF(OR(INDEX($AH$2:$AH$1001,MATCH(ROWS($AG$2:AG60),$AG$2:$AG$1001,0),1)&gt;=100000,INDEX($AN$1005:$BO$1005,1,MATCH(COLUMNS($AN$1006:AU1006),$AN$1006:$BO$1006,0))&gt;=100000), " ",IF(INDEX($AN$2:$BO$1001,MATCH(ROWS($AG$2:AG60),$AG$2:$AG$1001,0),MATCH(COLUMNS($AN$1006:AU1006),$AN$1006:$BO$1006,0)), HYPERLINK("#",""), HYPERLINK(CONCATENATE("#Metadata!", ADDRESS(INDEX($AI$2:$AI$1001,MATCH(ROWS($AG$2:AG60),$AG$2:$AG$1001,0),0), INDEX($AN$1004:$BO$1004,1,MATCH(COLUMNS($AN$1006:AU1006),$AN$1006:$BO$1006,0)))),"Fix")))</f>
        <v>0</v>
      </c>
      <c r="J60" s="4">
        <f>IF(OR(INDEX($AH$2:$AH$1001,MATCH(ROWS($AG$2:AG60),$AG$2:$AG$1001,0),1)&gt;=100000,INDEX($AN$1005:$BO$1005,1,MATCH(COLUMNS($AN$1006:AV1006),$AN$1006:$BO$1006,0))&gt;=100000), " ",IF(INDEX($AN$2:$BO$1001,MATCH(ROWS($AG$2:AG60),$AG$2:$AG$1001,0),MATCH(COLUMNS($AN$1006:AV1006),$AN$1006:$BO$1006,0)), HYPERLINK("#",""), HYPERLINK(CONCATENATE("#Metadata!", ADDRESS(INDEX($AI$2:$AI$1001,MATCH(ROWS($AG$2:AG60),$AG$2:$AG$1001,0),0), INDEX($AN$1004:$BO$1004,1,MATCH(COLUMNS($AN$1006:AV1006),$AN$1006:$BO$1006,0)))),"Fix")))</f>
        <v>0</v>
      </c>
      <c r="K60" s="4">
        <f>IF(OR(INDEX($AH$2:$AH$1001,MATCH(ROWS($AG$2:AG60),$AG$2:$AG$1001,0),1)&gt;=100000,INDEX($AN$1005:$BO$1005,1,MATCH(COLUMNS($AN$1006:AW1006),$AN$1006:$BO$1006,0))&gt;=100000), " ",IF(INDEX($AN$2:$BO$1001,MATCH(ROWS($AG$2:AG60),$AG$2:$AG$1001,0),MATCH(COLUMNS($AN$1006:AW1006),$AN$1006:$BO$1006,0)), HYPERLINK("#",""), HYPERLINK(CONCATENATE("#Metadata!", ADDRESS(INDEX($AI$2:$AI$1001,MATCH(ROWS($AG$2:AG60),$AG$2:$AG$1001,0),0), INDEX($AN$1004:$BO$1004,1,MATCH(COLUMNS($AN$1006:AW1006),$AN$1006:$BO$1006,0)))),"Fix")))</f>
        <v>0</v>
      </c>
      <c r="L60" s="4">
        <f>IF(OR(INDEX($AH$2:$AH$1001,MATCH(ROWS($AG$2:AG60),$AG$2:$AG$1001,0),1)&gt;=100000,INDEX($AN$1005:$BO$1005,1,MATCH(COLUMNS($AN$1006:AX1006),$AN$1006:$BO$1006,0))&gt;=100000), " ",IF(INDEX($AN$2:$BO$1001,MATCH(ROWS($AG$2:AG60),$AG$2:$AG$1001,0),MATCH(COLUMNS($AN$1006:AX1006),$AN$1006:$BO$1006,0)), HYPERLINK("#",""), HYPERLINK(CONCATENATE("#Metadata!", ADDRESS(INDEX($AI$2:$AI$1001,MATCH(ROWS($AG$2:AG60),$AG$2:$AG$1001,0),0), INDEX($AN$1004:$BO$1004,1,MATCH(COLUMNS($AN$1006:AX1006),$AN$1006:$BO$1006,0)))),"Fix")))</f>
        <v>0</v>
      </c>
      <c r="M60" s="4">
        <f>IF(OR(INDEX($AH$2:$AH$1001,MATCH(ROWS($AG$2:AG60),$AG$2:$AG$1001,0),1)&gt;=100000,INDEX($AN$1005:$BO$1005,1,MATCH(COLUMNS($AN$1006:AY1006),$AN$1006:$BO$1006,0))&gt;=100000), " ",IF(INDEX($AN$2:$BO$1001,MATCH(ROWS($AG$2:AG60),$AG$2:$AG$1001,0),MATCH(COLUMNS($AN$1006:AY1006),$AN$1006:$BO$1006,0)), HYPERLINK("#",""), HYPERLINK(CONCATENATE("#Metadata!", ADDRESS(INDEX($AI$2:$AI$1001,MATCH(ROWS($AG$2:AG60),$AG$2:$AG$1001,0),0), INDEX($AN$1004:$BO$1004,1,MATCH(COLUMNS($AN$1006:AY1006),$AN$1006:$BO$1006,0)))),"Fix")))</f>
        <v>0</v>
      </c>
      <c r="N60" s="4">
        <f>IF(OR(INDEX($AH$2:$AH$1001,MATCH(ROWS($AG$2:AG60),$AG$2:$AG$1001,0),1)&gt;=100000,INDEX($AN$1005:$BO$1005,1,MATCH(COLUMNS($AN$1006:AZ1006),$AN$1006:$BO$1006,0))&gt;=100000), " ",IF(INDEX($AN$2:$BO$1001,MATCH(ROWS($AG$2:AG60),$AG$2:$AG$1001,0),MATCH(COLUMNS($AN$1006:AZ1006),$AN$1006:$BO$1006,0)), HYPERLINK("#",""), HYPERLINK(CONCATENATE("#Metadata!", ADDRESS(INDEX($AI$2:$AI$1001,MATCH(ROWS($AG$2:AG60),$AG$2:$AG$1001,0),0), INDEX($AN$1004:$BO$1004,1,MATCH(COLUMNS($AN$1006:AZ1006),$AN$1006:$BO$1006,0)))),"Fix")))</f>
        <v>0</v>
      </c>
      <c r="O60" s="4">
        <f>IF(OR(INDEX($AH$2:$AH$1001,MATCH(ROWS($AG$2:AG60),$AG$2:$AG$1001,0),1)&gt;=100000,INDEX($AN$1005:$BO$1005,1,MATCH(COLUMNS($AN$1006:BA1006),$AN$1006:$BO$1006,0))&gt;=100000), " ",IF(INDEX($AN$2:$BO$1001,MATCH(ROWS($AG$2:AG60),$AG$2:$AG$1001,0),MATCH(COLUMNS($AN$1006:BA1006),$AN$1006:$BO$1006,0)), HYPERLINK("#",""), HYPERLINK(CONCATENATE("#Metadata!", ADDRESS(INDEX($AI$2:$AI$1001,MATCH(ROWS($AG$2:AG60),$AG$2:$AG$1001,0),0), INDEX($AN$1004:$BO$1004,1,MATCH(COLUMNS($AN$1006:BA1006),$AN$1006:$BO$1006,0)))),"Fix")))</f>
        <v>0</v>
      </c>
      <c r="P60" s="4">
        <f>IF(OR(INDEX($AH$2:$AH$1001,MATCH(ROWS($AG$2:AG60),$AG$2:$AG$1001,0),1)&gt;=100000,INDEX($AN$1005:$BO$1005,1,MATCH(COLUMNS($AN$1006:BB1006),$AN$1006:$BO$1006,0))&gt;=100000), " ",IF(INDEX($AN$2:$BO$1001,MATCH(ROWS($AG$2:AG60),$AG$2:$AG$1001,0),MATCH(COLUMNS($AN$1006:BB1006),$AN$1006:$BO$1006,0)), HYPERLINK("#",""), HYPERLINK(CONCATENATE("#Metadata!", ADDRESS(INDEX($AI$2:$AI$1001,MATCH(ROWS($AG$2:AG60),$AG$2:$AG$1001,0),0), INDEX($AN$1004:$BO$1004,1,MATCH(COLUMNS($AN$1006:BB1006),$AN$1006:$BO$1006,0)))),"Fix")))</f>
        <v>0</v>
      </c>
      <c r="Q60" s="4">
        <f>IF(OR(INDEX($AH$2:$AH$1001,MATCH(ROWS($AG$2:AG60),$AG$2:$AG$1001,0),1)&gt;=100000,INDEX($AN$1005:$BO$1005,1,MATCH(COLUMNS($AN$1006:BC1006),$AN$1006:$BO$1006,0))&gt;=100000), " ",IF(INDEX($AN$2:$BO$1001,MATCH(ROWS($AG$2:AG60),$AG$2:$AG$1001,0),MATCH(COLUMNS($AN$1006:BC1006),$AN$1006:$BO$1006,0)), HYPERLINK("#",""), HYPERLINK(CONCATENATE("#Metadata!", ADDRESS(INDEX($AI$2:$AI$1001,MATCH(ROWS($AG$2:AG60),$AG$2:$AG$1001,0),0), INDEX($AN$1004:$BO$1004,1,MATCH(COLUMNS($AN$1006:BC1006),$AN$1006:$BO$1006,0)))),"Fix")))</f>
        <v>0</v>
      </c>
      <c r="R60" s="4">
        <f>IF(OR(INDEX($AH$2:$AH$1001,MATCH(ROWS($AG$2:AG60),$AG$2:$AG$1001,0),1)&gt;=100000,INDEX($AN$1005:$BO$1005,1,MATCH(COLUMNS($AN$1006:BD1006),$AN$1006:$BO$1006,0))&gt;=100000), " ",IF(INDEX($AN$2:$BO$1001,MATCH(ROWS($AG$2:AG60),$AG$2:$AG$1001,0),MATCH(COLUMNS($AN$1006:BD1006),$AN$1006:$BO$1006,0)), HYPERLINK("#",""), HYPERLINK(CONCATENATE("#Metadata!", ADDRESS(INDEX($AI$2:$AI$1001,MATCH(ROWS($AG$2:AG60),$AG$2:$AG$1001,0),0), INDEX($AN$1004:$BO$1004,1,MATCH(COLUMNS($AN$1006:BD1006),$AN$1006:$BO$1006,0)))),"Fix")))</f>
        <v>0</v>
      </c>
      <c r="S60" s="4">
        <f>IF(OR(INDEX($AH$2:$AH$1001,MATCH(ROWS($AG$2:AG60),$AG$2:$AG$1001,0),1)&gt;=100000,INDEX($AN$1005:$BO$1005,1,MATCH(COLUMNS($AN$1006:BE1006),$AN$1006:$BO$1006,0))&gt;=100000), " ",IF(INDEX($AN$2:$BO$1001,MATCH(ROWS($AG$2:AG60),$AG$2:$AG$1001,0),MATCH(COLUMNS($AN$1006:BE1006),$AN$1006:$BO$1006,0)), HYPERLINK("#",""), HYPERLINK(CONCATENATE("#Metadata!", ADDRESS(INDEX($AI$2:$AI$1001,MATCH(ROWS($AG$2:AG60),$AG$2:$AG$1001,0),0), INDEX($AN$1004:$BO$1004,1,MATCH(COLUMNS($AN$1006:BE1006),$AN$1006:$BO$1006,0)))),"Fix")))</f>
        <v>0</v>
      </c>
      <c r="T60" s="4">
        <f>IF(OR(INDEX($AH$2:$AH$1001,MATCH(ROWS($AG$2:AG60),$AG$2:$AG$1001,0),1)&gt;=100000,INDEX($AN$1005:$BO$1005,1,MATCH(COLUMNS($AN$1006:BF1006),$AN$1006:$BO$1006,0))&gt;=100000), " ",IF(INDEX($AN$2:$BO$1001,MATCH(ROWS($AG$2:AG60),$AG$2:$AG$1001,0),MATCH(COLUMNS($AN$1006:BF1006),$AN$1006:$BO$1006,0)), HYPERLINK("#",""), HYPERLINK(CONCATENATE("#Metadata!", ADDRESS(INDEX($AI$2:$AI$1001,MATCH(ROWS($AG$2:AG60),$AG$2:$AG$1001,0),0), INDEX($AN$1004:$BO$1004,1,MATCH(COLUMNS($AN$1006:BF1006),$AN$1006:$BO$1006,0)))),"Fix")))</f>
        <v>0</v>
      </c>
      <c r="U60" s="4">
        <f>IF(OR(INDEX($AH$2:$AH$1001,MATCH(ROWS($AG$2:AG60),$AG$2:$AG$1001,0),1)&gt;=100000,INDEX($AN$1005:$BO$1005,1,MATCH(COLUMNS($AN$1006:BG1006),$AN$1006:$BO$1006,0))&gt;=100000), " ",IF(INDEX($AN$2:$BO$1001,MATCH(ROWS($AG$2:AG60),$AG$2:$AG$1001,0),MATCH(COLUMNS($AN$1006:BG1006),$AN$1006:$BO$1006,0)), HYPERLINK("#",""), HYPERLINK(CONCATENATE("#Metadata!", ADDRESS(INDEX($AI$2:$AI$1001,MATCH(ROWS($AG$2:AG60),$AG$2:$AG$1001,0),0), INDEX($AN$1004:$BO$1004,1,MATCH(COLUMNS($AN$1006:BG1006),$AN$1006:$BO$1006,0)))),"Fix")))</f>
        <v>0</v>
      </c>
      <c r="V60" s="4">
        <f>IF(OR(INDEX($AH$2:$AH$1001,MATCH(ROWS($AG$2:AG60),$AG$2:$AG$1001,0),1)&gt;=100000,INDEX($AN$1005:$BO$1005,1,MATCH(COLUMNS($AN$1006:BH1006),$AN$1006:$BO$1006,0))&gt;=100000), " ",IF(INDEX($AN$2:$BO$1001,MATCH(ROWS($AG$2:AG60),$AG$2:$AG$1001,0),MATCH(COLUMNS($AN$1006:BH1006),$AN$1006:$BO$1006,0)), HYPERLINK("#",""), HYPERLINK(CONCATENATE("#Metadata!", ADDRESS(INDEX($AI$2:$AI$1001,MATCH(ROWS($AG$2:AG60),$AG$2:$AG$1001,0),0), INDEX($AN$1004:$BO$1004,1,MATCH(COLUMNS($AN$1006:BH1006),$AN$1006:$BO$1006,0)))),"Fix")))</f>
        <v>0</v>
      </c>
      <c r="W60" s="4">
        <f>IF(OR(INDEX($AH$2:$AH$1001,MATCH(ROWS($AG$2:AG60),$AG$2:$AG$1001,0),1)&gt;=100000,INDEX($AN$1005:$BO$1005,1,MATCH(COLUMNS($AN$1006:BI1006),$AN$1006:$BO$1006,0))&gt;=100000), " ",IF(INDEX($AN$2:$BO$1001,MATCH(ROWS($AG$2:AG60),$AG$2:$AG$1001,0),MATCH(COLUMNS($AN$1006:BI1006),$AN$1006:$BO$1006,0)), HYPERLINK("#",""), HYPERLINK(CONCATENATE("#Metadata!", ADDRESS(INDEX($AI$2:$AI$1001,MATCH(ROWS($AG$2:AG60),$AG$2:$AG$1001,0),0), INDEX($AN$1004:$BO$1004,1,MATCH(COLUMNS($AN$1006:BI1006),$AN$1006:$BO$1006,0)))),"Fix")))</f>
        <v>0</v>
      </c>
      <c r="X60" s="4">
        <f>IF(OR(INDEX($AH$2:$AH$1001,MATCH(ROWS($AG$2:AG60),$AG$2:$AG$1001,0),1)&gt;=100000,INDEX($AN$1005:$BO$1005,1,MATCH(COLUMNS($AN$1006:BJ1006),$AN$1006:$BO$1006,0))&gt;=100000), " ",IF(INDEX($AN$2:$BO$1001,MATCH(ROWS($AG$2:AG60),$AG$2:$AG$1001,0),MATCH(COLUMNS($AN$1006:BJ1006),$AN$1006:$BO$1006,0)), HYPERLINK("#",""), HYPERLINK(CONCATENATE("#Metadata!", ADDRESS(INDEX($AI$2:$AI$1001,MATCH(ROWS($AG$2:AG60),$AG$2:$AG$1001,0),0), INDEX($AN$1004:$BO$1004,1,MATCH(COLUMNS($AN$1006:BJ1006),$AN$1006:$BO$1006,0)))),"Fix")))</f>
        <v>0</v>
      </c>
      <c r="Y60" s="4">
        <f>IF(OR(INDEX($AH$2:$AH$1001,MATCH(ROWS($AG$2:AG60),$AG$2:$AG$1001,0),1)&gt;=100000,INDEX($AN$1005:$BO$1005,1,MATCH(COLUMNS($AN$1006:BK1006),$AN$1006:$BO$1006,0))&gt;=100000), " ",IF(INDEX($AN$2:$BO$1001,MATCH(ROWS($AG$2:AG60),$AG$2:$AG$1001,0),MATCH(COLUMNS($AN$1006:BK1006),$AN$1006:$BO$1006,0)), HYPERLINK("#",""), HYPERLINK(CONCATENATE("#Metadata!", ADDRESS(INDEX($AI$2:$AI$1001,MATCH(ROWS($AG$2:AG60),$AG$2:$AG$1001,0),0), INDEX($AN$1004:$BO$1004,1,MATCH(COLUMNS($AN$1006:BK1006),$AN$1006:$BO$1006,0)))),"Fix")))</f>
        <v>0</v>
      </c>
      <c r="Z60" s="4">
        <f>IF(OR(INDEX($AH$2:$AH$1001,MATCH(ROWS($AG$2:AG60),$AG$2:$AG$1001,0),1)&gt;=100000,INDEX($AN$1005:$BO$1005,1,MATCH(COLUMNS($AN$1006:BL1006),$AN$1006:$BO$1006,0))&gt;=100000), " ",IF(INDEX($AN$2:$BO$1001,MATCH(ROWS($AG$2:AG60),$AG$2:$AG$1001,0),MATCH(COLUMNS($AN$1006:BL1006),$AN$1006:$BO$1006,0)), HYPERLINK("#",""), HYPERLINK(CONCATENATE("#Metadata!", ADDRESS(INDEX($AI$2:$AI$1001,MATCH(ROWS($AG$2:AG60),$AG$2:$AG$1001,0),0), INDEX($AN$1004:$BO$1004,1,MATCH(COLUMNS($AN$1006:BL1006),$AN$1006:$BO$1006,0)))),"Fix")))</f>
        <v>0</v>
      </c>
      <c r="AA60" s="4">
        <f>IF(OR(INDEX($AH$2:$AH$1001,MATCH(ROWS($AG$2:AG60),$AG$2:$AG$1001,0),1)&gt;=100000,INDEX($AN$1005:$BO$1005,1,MATCH(COLUMNS($AN$1006:BM1006),$AN$1006:$BO$1006,0))&gt;=100000), " ",IF(INDEX($AN$2:$BO$1001,MATCH(ROWS($AG$2:AG60),$AG$2:$AG$1001,0),MATCH(COLUMNS($AN$1006:BM1006),$AN$1006:$BO$1006,0)), HYPERLINK("#",""), HYPERLINK(CONCATENATE("#Metadata!", ADDRESS(INDEX($AI$2:$AI$1001,MATCH(ROWS($AG$2:AG60),$AG$2:$AG$1001,0),0), INDEX($AN$1004:$BO$1004,1,MATCH(COLUMNS($AN$1006:BM1006),$AN$1006:$BO$1006,0)))),"Fix")))</f>
        <v>0</v>
      </c>
      <c r="AB60" s="4">
        <f>IF(OR(INDEX($AH$2:$AH$1001,MATCH(ROWS($AG$2:AG60),$AG$2:$AG$1001,0),1)&gt;=100000,INDEX($AN$1005:$BO$1005,1,MATCH(COLUMNS($AN$1006:BN1006),$AN$1006:$BO$1006,0))&gt;=100000), " ",IF(INDEX($AN$2:$BO$1001,MATCH(ROWS($AG$2:AG60),$AG$2:$AG$1001,0),MATCH(COLUMNS($AN$1006:BN1006),$AN$1006:$BO$1006,0)), HYPERLINK("#",""), HYPERLINK(CONCATENATE("#Metadata!", ADDRESS(INDEX($AI$2:$AI$1001,MATCH(ROWS($AG$2:AG60),$AG$2:$AG$1001,0),0), INDEX($AN$1004:$BO$1004,1,MATCH(COLUMNS($AN$1006:BN1006),$AN$1006:$BO$1006,0)))),"Fix")))</f>
        <v>0</v>
      </c>
      <c r="AC60" s="4">
        <f>IF(OR(INDEX($AH$2:$AH$1001,MATCH(ROWS($AG$2:AG60),$AG$2:$AG$1001,0),1)&gt;=100000,INDEX($AN$1005:$BO$1005,1,MATCH(COLUMNS($AN$1006:BO1006),$AN$1006:$BO$1006,0))&gt;=100000), " ",IF(INDEX($AN$2:$BO$1001,MATCH(ROWS($AG$2:AG60),$AG$2:$AG$1001,0),MATCH(COLUMNS($AN$1006:BO1006),$AN$1006:$BO$1006,0)), HYPERLINK("#",""), HYPERLINK(CONCATENATE("#Metadata!", ADDRESS(INDEX($AI$2:$AI$1001,MATCH(ROWS($AG$2:AG60),$AG$2:$AG$1001,0),0), INDEX($AN$1004:$BO$1004,1,MATCH(COLUMNS($AN$1006:BO1006),$AN$1006:$BO$1006,0)))),"Fix")))</f>
        <v>0</v>
      </c>
      <c r="AG60">
        <v>0</v>
      </c>
      <c r="AH60">
        <v>0</v>
      </c>
      <c r="AI60">
        <v>0</v>
      </c>
      <c r="AJ60">
        <f>IF(AK60,TRUE,AND(AN60:BO60))</f>
        <v>0</v>
      </c>
      <c r="AK60">
        <f>COUNTBLANK(Metadata!B60:AC60)=COLUMNS(Metadata!B60:AC60)</f>
        <v>0</v>
      </c>
      <c r="AL60">
        <v>0</v>
      </c>
      <c r="AN60">
        <f>AND(IF(Metadata!B60="",FALSE,TRUE),COUNTIF(Metadata!B:B, Metadata!B60) = 1,NOT(ISERROR(SUMPRODUCT(SEARCH(MID(Metadata!B60,ROW(INDIRECT("1:"&amp;LEN(Metadata!B60))), 1),"0123456789abcdefghijklmnopqrstuvwxyzABCDEFGHIJKLMNOPQRSTUVWXYZ.")))))</f>
        <v>0</v>
      </c>
      <c r="AO60">
        <f>IF(Metadata!C60="",FALSE,TRUE)</f>
        <v>0</v>
      </c>
      <c r="AP60">
        <f>IF(Metadata!D60="",FALSE,TRUE)</f>
        <v>0</v>
      </c>
      <c r="AQ60">
        <f>OR(AND(IF(Metadata!E60="",FALSE,TRUE),OR(exact(Metadata!E60,"not collected"),exact(Metadata!E60,"not provided"),exact(Metadata!E60,"restricted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R60">
        <f>IF(Metadata!F60="",FALSE,TRUE)</f>
        <v>0</v>
      </c>
      <c r="AS60">
        <f>OR(AND(IF(Metadata!G60="",FALSE,TRUE),OR(exact(Metadata!G60,"not collected"),exact(Metadata!G60,"not provided"))),AND(IF(Metadata!G60="",FALSE,TRUE),OR(exact(Metadata!G60,"TRUE"),exact(Metadata!G60,"FALSE"))))</f>
        <v>0</v>
      </c>
      <c r="AT60">
        <f>OR(AND(IF(Metadata!H60="",FALSE,TRUE),OR(exact(Metadata!H60,"not collected"),exact(Metadata!H60,"not provided"),exact(Metadata!H60,"restricted access"))),AND(IF(Metadata!H60="",FALSE,ISNUMBER(VALUE(Metadata!H60))),Metadata!H60&gt;=-413.0))</f>
        <v>0</v>
      </c>
      <c r="AU60">
        <f>AND(IF(Metadata!I60="",FALSE,TRUE),exact(Metadata!I60,"meters"))</f>
        <v>0</v>
      </c>
      <c r="AV60">
        <f>AND(IF(Metadata!J60="",FALSE,TRUE),OR(exact(Metadata!J60,"Host-associated"),exact(Metadata!J60,"Free-living")))</f>
        <v>0</v>
      </c>
      <c r="AW60">
        <f>AND(IF(Metadata!K60="",FALSE,TRUE),OR(exact(Metadata!K60,"Animal"),exact(Metadata!K60,"Fungus"),exact(Metadata!K60,"Plant"),exact(Metadata!K60,"Saline"),exact(Metadata!K60,"Non-saline")))</f>
        <v>0</v>
      </c>
      <c r="AX60">
        <f>AND(IF(Metadata!L60="",FALSE,TRUE),OR(exact(Metadata!L60,"Plant secretion"),exact(Metadata!L60,"Plant rhizosphere"),exact(Metadata!L60,"Plant surface"),exact(Metadata!L60,"Plant corpus"),exact(Metadata!L60,"Fungus surface"),exact(Metadata!L60,"Fungus corpus"),exact(Metadata!L60,"Animal surface"),exact(Metadata!L60,"Animal proximal gut"),exact(Metadata!L60,"Animal corpus"),exact(Metadata!L60,"Animal distal gut"),exact(Metadata!L60,"Animal secretion"),exact(Metadata!L60,"Sub-surface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0</v>
      </c>
      <c r="AY60">
        <f>IF(Metadata!M60="",FALSE,TRUE)</f>
        <v>0</v>
      </c>
      <c r="AZ60">
        <f>IF(Metadata!N60="",FALSE,TRUE)</f>
        <v>0</v>
      </c>
      <c r="BA60">
        <f>IF(Metadata!O60="",FALSE,TRUE)</f>
        <v>0</v>
      </c>
      <c r="BB60">
        <f>OR(AND(IF(Metadata!P60="",FALSE,TRUE),OR(exact(Metadata!P60,"not collected"),exact(Metadata!P60,"not provided"),exact(Metadata!P60,"restricted access"))),AND(IF(Metadata!P60="",FALSE,TRUE),OR(exact(Metadata!P60,"air"),exact(Metadata!P60,"built environment"),exact(Metadata!P60,"host-associated"),exact(Metadata!P60,"human-associated"),exact(Metadata!P60,"human-skin"),exact(Metadata!P60,"human-oral"),exact(Metadata!P60,"human-gut"),exact(Metadata!P60,"human-vaginal"),exact(Metadata!P60,"microbial mat/biofilm"),exact(Metadata!P60,"misc environment"),exact(Metadata!P60,"plant-associated"),exact(Metadata!P60,"sediment"),exact(Metadata!P60,"soil"),exact(Metadata!P60,"wastewater/sludge"),exact(Metadata!P60,"water"))))</f>
        <v>0</v>
      </c>
      <c r="BC60">
        <f>IF(Metadata!Q60="",FALSE,TRUE)</f>
        <v>0</v>
      </c>
      <c r="BD60">
        <f>IF(Metadata!R60="",FALSE,TRUE)</f>
        <v>0</v>
      </c>
      <c r="BE60">
        <f>OR(AND(IF(Metadata!S60="",FALSE,TRUE),OR(exact(Metadata!S60,"not collected"),exact(Metadata!S60,"not provided"),exact(Metadata!S60,"restricted access"))),AND(IF(Metadata!S60="",FALSE,ISNUMBER(VALUE(Metadata!S60))),Metadata!S60&gt;=-90.00,Metadata!S60&lt;=90.00))</f>
        <v>0</v>
      </c>
      <c r="BF60">
        <f>AND(IF(Metadata!T60="",FALSE,TRUE),exact(Metadata!T60,"Decimal degrees"))</f>
        <v>0</v>
      </c>
      <c r="BG60">
        <f>OR(AND(IF(Metadata!U60="",FALSE,TRUE),OR(exact(Metadata!U60,"not collected"),exact(Metadata!U60,"not provided"),exact(Metadata!U60,"restricted access"))),AND(IF(Metadata!U60="",FALSE,ISNUMBER(VALUE(Metadata!U60))),Metadata!U60&gt;=-180.00,Metadata!U60&lt;=180.00))</f>
        <v>0</v>
      </c>
      <c r="BH60">
        <f>AND(IF(Metadata!V60="",FALSE,TRUE),exact(Metadata!V60,"Decimal degrees"))</f>
        <v>0</v>
      </c>
      <c r="BI60">
        <f>IF(Metadata!W60="",FALSE,TRUE)</f>
        <v>0</v>
      </c>
      <c r="BJ60">
        <f>OR(AND(IF(Metadata!X60="",FALSE,TRUE),OR(exact(Metadata!X60,"not collected"),exact(Metadata!X60,"not provided"),exact(Metadata!X60,"restricted access"))),AND(IF(Metadata!X60="",FALSE,TRUE),OR(exact(Metadata!X60,"TRUE"),exact(Metadata!X60,"FALSE"))))</f>
        <v>0</v>
      </c>
      <c r="BK60">
        <f>AND(IF(Metadata!Y60="",FALSE,TRUE),exact(Metadata!Y60,"other"))</f>
        <v>0</v>
      </c>
      <c r="BL60">
        <f>IF(Metadata!Z60="",FALSE,TRUE)</f>
        <v>0</v>
      </c>
      <c r="BM60">
        <f>OR(AND(IF(Metadata!AA60="",FALSE,TRUE),OR(exact(Metadata!AA60,"not collected"),exact(Metadata!AA60,"not provided"))),AND(IF(Metadata!AA60="",FALSE,IF(ISERROR(INT(Metadata!AA60)),FALSE,INT(Metadata!AA60)=Metadata!AA60)),Metadata!AA60&gt;0))</f>
        <v>0</v>
      </c>
      <c r="BN60">
        <f>AND(IF(Metadata!AB60="",FALSE,TRUE),exact(Metadata!AB60,"Not applicable"))</f>
        <v>0</v>
      </c>
      <c r="BO60">
        <f>IF(Metadata!AC60="",FALSE,TRUE)</f>
        <v>0</v>
      </c>
    </row>
    <row r="61" spans="1:67">
      <c r="A61" s="5">
        <f>IF(B61=" "," ",HYPERLINK(CONCATENATE("#metadata!",ADDRESS(INDEX($AI$2:$AI$1001,MATCH(ROWS($AG$2:AG61),$AG$2:$AG$1001,0),0),1)),INDEX($AL$2:$AL$1001,MATCH(ROWS($AG$2:AG61),$AG$2:$AG$1001,0),0)))</f>
        <v>0</v>
      </c>
      <c r="B61" s="4">
        <f>IF(OR(INDEX($AH$2:$AH$1001,MATCH(ROWS($AG$2:AG61),$AG$2:$AG$1001,0),1)&gt;=100000,INDEX($AN$1005:$BO$1005,1,MATCH(COLUMNS($AN$1006:AN1006),$AN$1006:$BO$1006,0))&gt;=100000), " ",IF(INDEX($AN$2:$BO$1001,MATCH(ROWS($AG$2:AG61),$AG$2:$AG$1001,0),MATCH(COLUMNS($AN$1006:AN1006),$AN$1006:$BO$1006,0)), HYPERLINK("#",""), HYPERLINK(CONCATENATE("#Metadata!", ADDRESS(INDEX($AI$2:$AI$1001,MATCH(ROWS($AG$2:AG61),$AG$2:$AG$1001,0),0), INDEX($AN$1004:$BO$1004,1,MATCH(COLUMNS($AN$1006:AN1006),$AN$1006:$BO$1006,0)))),"Fix")))</f>
        <v>0</v>
      </c>
      <c r="C61" s="4">
        <f>IF(OR(INDEX($AH$2:$AH$1001,MATCH(ROWS($AG$2:AG61),$AG$2:$AG$1001,0),1)&gt;=100000,INDEX($AN$1005:$BO$1005,1,MATCH(COLUMNS($AN$1006:AO1006),$AN$1006:$BO$1006,0))&gt;=100000), " ",IF(INDEX($AN$2:$BO$1001,MATCH(ROWS($AG$2:AG61),$AG$2:$AG$1001,0),MATCH(COLUMNS($AN$1006:AO1006),$AN$1006:$BO$1006,0)), HYPERLINK("#",""), HYPERLINK(CONCATENATE("#Metadata!", ADDRESS(INDEX($AI$2:$AI$1001,MATCH(ROWS($AG$2:AG61),$AG$2:$AG$1001,0),0), INDEX($AN$1004:$BO$1004,1,MATCH(COLUMNS($AN$1006:AO1006),$AN$1006:$BO$1006,0)))),"Fix")))</f>
        <v>0</v>
      </c>
      <c r="D61" s="4">
        <f>IF(OR(INDEX($AH$2:$AH$1001,MATCH(ROWS($AG$2:AG61),$AG$2:$AG$1001,0),1)&gt;=100000,INDEX($AN$1005:$BO$1005,1,MATCH(COLUMNS($AN$1006:AP1006),$AN$1006:$BO$1006,0))&gt;=100000), " ",IF(INDEX($AN$2:$BO$1001,MATCH(ROWS($AG$2:AG61),$AG$2:$AG$1001,0),MATCH(COLUMNS($AN$1006:AP1006),$AN$1006:$BO$1006,0)), HYPERLINK("#",""), HYPERLINK(CONCATENATE("#Metadata!", ADDRESS(INDEX($AI$2:$AI$1001,MATCH(ROWS($AG$2:AG61),$AG$2:$AG$1001,0),0), INDEX($AN$1004:$BO$1004,1,MATCH(COLUMNS($AN$1006:AP1006),$AN$1006:$BO$1006,0)))),"Fix")))</f>
        <v>0</v>
      </c>
      <c r="E61" s="4">
        <f>IF(OR(INDEX($AH$2:$AH$1001,MATCH(ROWS($AG$2:AG61),$AG$2:$AG$1001,0),1)&gt;=100000,INDEX($AN$1005:$BO$1005,1,MATCH(COLUMNS($AN$1006:AQ1006),$AN$1006:$BO$1006,0))&gt;=100000), " ",IF(INDEX($AN$2:$BO$1001,MATCH(ROWS($AG$2:AG61),$AG$2:$AG$1001,0),MATCH(COLUMNS($AN$1006:AQ1006),$AN$1006:$BO$1006,0)), HYPERLINK("#",""), HYPERLINK(CONCATENATE("#Metadata!", ADDRESS(INDEX($AI$2:$AI$1001,MATCH(ROWS($AG$2:AG61),$AG$2:$AG$1001,0),0), INDEX($AN$1004:$BO$1004,1,MATCH(COLUMNS($AN$1006:AQ1006),$AN$1006:$BO$1006,0)))),"Fix")))</f>
        <v>0</v>
      </c>
      <c r="F61" s="4">
        <f>IF(OR(INDEX($AH$2:$AH$1001,MATCH(ROWS($AG$2:AG61),$AG$2:$AG$1001,0),1)&gt;=100000,INDEX($AN$1005:$BO$1005,1,MATCH(COLUMNS($AN$1006:AR1006),$AN$1006:$BO$1006,0))&gt;=100000), " ",IF(INDEX($AN$2:$BO$1001,MATCH(ROWS($AG$2:AG61),$AG$2:$AG$1001,0),MATCH(COLUMNS($AN$1006:AR1006),$AN$1006:$BO$1006,0)), HYPERLINK("#",""), HYPERLINK(CONCATENATE("#Metadata!", ADDRESS(INDEX($AI$2:$AI$1001,MATCH(ROWS($AG$2:AG61),$AG$2:$AG$1001,0),0), INDEX($AN$1004:$BO$1004,1,MATCH(COLUMNS($AN$1006:AR1006),$AN$1006:$BO$1006,0)))),"Fix")))</f>
        <v>0</v>
      </c>
      <c r="G61" s="4">
        <f>IF(OR(INDEX($AH$2:$AH$1001,MATCH(ROWS($AG$2:AG61),$AG$2:$AG$1001,0),1)&gt;=100000,INDEX($AN$1005:$BO$1005,1,MATCH(COLUMNS($AN$1006:AS1006),$AN$1006:$BO$1006,0))&gt;=100000), " ",IF(INDEX($AN$2:$BO$1001,MATCH(ROWS($AG$2:AG61),$AG$2:$AG$1001,0),MATCH(COLUMNS($AN$1006:AS1006),$AN$1006:$BO$1006,0)), HYPERLINK("#",""), HYPERLINK(CONCATENATE("#Metadata!", ADDRESS(INDEX($AI$2:$AI$1001,MATCH(ROWS($AG$2:AG61),$AG$2:$AG$1001,0),0), INDEX($AN$1004:$BO$1004,1,MATCH(COLUMNS($AN$1006:AS1006),$AN$1006:$BO$1006,0)))),"Fix")))</f>
        <v>0</v>
      </c>
      <c r="H61" s="4">
        <f>IF(OR(INDEX($AH$2:$AH$1001,MATCH(ROWS($AG$2:AG61),$AG$2:$AG$1001,0),1)&gt;=100000,INDEX($AN$1005:$BO$1005,1,MATCH(COLUMNS($AN$1006:AT1006),$AN$1006:$BO$1006,0))&gt;=100000), " ",IF(INDEX($AN$2:$BO$1001,MATCH(ROWS($AG$2:AG61),$AG$2:$AG$1001,0),MATCH(COLUMNS($AN$1006:AT1006),$AN$1006:$BO$1006,0)), HYPERLINK("#",""), HYPERLINK(CONCATENATE("#Metadata!", ADDRESS(INDEX($AI$2:$AI$1001,MATCH(ROWS($AG$2:AG61),$AG$2:$AG$1001,0),0), INDEX($AN$1004:$BO$1004,1,MATCH(COLUMNS($AN$1006:AT1006),$AN$1006:$BO$1006,0)))),"Fix")))</f>
        <v>0</v>
      </c>
      <c r="I61" s="4">
        <f>IF(OR(INDEX($AH$2:$AH$1001,MATCH(ROWS($AG$2:AG61),$AG$2:$AG$1001,0),1)&gt;=100000,INDEX($AN$1005:$BO$1005,1,MATCH(COLUMNS($AN$1006:AU1006),$AN$1006:$BO$1006,0))&gt;=100000), " ",IF(INDEX($AN$2:$BO$1001,MATCH(ROWS($AG$2:AG61),$AG$2:$AG$1001,0),MATCH(COLUMNS($AN$1006:AU1006),$AN$1006:$BO$1006,0)), HYPERLINK("#",""), HYPERLINK(CONCATENATE("#Metadata!", ADDRESS(INDEX($AI$2:$AI$1001,MATCH(ROWS($AG$2:AG61),$AG$2:$AG$1001,0),0), INDEX($AN$1004:$BO$1004,1,MATCH(COLUMNS($AN$1006:AU1006),$AN$1006:$BO$1006,0)))),"Fix")))</f>
        <v>0</v>
      </c>
      <c r="J61" s="4">
        <f>IF(OR(INDEX($AH$2:$AH$1001,MATCH(ROWS($AG$2:AG61),$AG$2:$AG$1001,0),1)&gt;=100000,INDEX($AN$1005:$BO$1005,1,MATCH(COLUMNS($AN$1006:AV1006),$AN$1006:$BO$1006,0))&gt;=100000), " ",IF(INDEX($AN$2:$BO$1001,MATCH(ROWS($AG$2:AG61),$AG$2:$AG$1001,0),MATCH(COLUMNS($AN$1006:AV1006),$AN$1006:$BO$1006,0)), HYPERLINK("#",""), HYPERLINK(CONCATENATE("#Metadata!", ADDRESS(INDEX($AI$2:$AI$1001,MATCH(ROWS($AG$2:AG61),$AG$2:$AG$1001,0),0), INDEX($AN$1004:$BO$1004,1,MATCH(COLUMNS($AN$1006:AV1006),$AN$1006:$BO$1006,0)))),"Fix")))</f>
        <v>0</v>
      </c>
      <c r="K61" s="4">
        <f>IF(OR(INDEX($AH$2:$AH$1001,MATCH(ROWS($AG$2:AG61),$AG$2:$AG$1001,0),1)&gt;=100000,INDEX($AN$1005:$BO$1005,1,MATCH(COLUMNS($AN$1006:AW1006),$AN$1006:$BO$1006,0))&gt;=100000), " ",IF(INDEX($AN$2:$BO$1001,MATCH(ROWS($AG$2:AG61),$AG$2:$AG$1001,0),MATCH(COLUMNS($AN$1006:AW1006),$AN$1006:$BO$1006,0)), HYPERLINK("#",""), HYPERLINK(CONCATENATE("#Metadata!", ADDRESS(INDEX($AI$2:$AI$1001,MATCH(ROWS($AG$2:AG61),$AG$2:$AG$1001,0),0), INDEX($AN$1004:$BO$1004,1,MATCH(COLUMNS($AN$1006:AW1006),$AN$1006:$BO$1006,0)))),"Fix")))</f>
        <v>0</v>
      </c>
      <c r="L61" s="4">
        <f>IF(OR(INDEX($AH$2:$AH$1001,MATCH(ROWS($AG$2:AG61),$AG$2:$AG$1001,0),1)&gt;=100000,INDEX($AN$1005:$BO$1005,1,MATCH(COLUMNS($AN$1006:AX1006),$AN$1006:$BO$1006,0))&gt;=100000), " ",IF(INDEX($AN$2:$BO$1001,MATCH(ROWS($AG$2:AG61),$AG$2:$AG$1001,0),MATCH(COLUMNS($AN$1006:AX1006),$AN$1006:$BO$1006,0)), HYPERLINK("#",""), HYPERLINK(CONCATENATE("#Metadata!", ADDRESS(INDEX($AI$2:$AI$1001,MATCH(ROWS($AG$2:AG61),$AG$2:$AG$1001,0),0), INDEX($AN$1004:$BO$1004,1,MATCH(COLUMNS($AN$1006:AX1006),$AN$1006:$BO$1006,0)))),"Fix")))</f>
        <v>0</v>
      </c>
      <c r="M61" s="4">
        <f>IF(OR(INDEX($AH$2:$AH$1001,MATCH(ROWS($AG$2:AG61),$AG$2:$AG$1001,0),1)&gt;=100000,INDEX($AN$1005:$BO$1005,1,MATCH(COLUMNS($AN$1006:AY1006),$AN$1006:$BO$1006,0))&gt;=100000), " ",IF(INDEX($AN$2:$BO$1001,MATCH(ROWS($AG$2:AG61),$AG$2:$AG$1001,0),MATCH(COLUMNS($AN$1006:AY1006),$AN$1006:$BO$1006,0)), HYPERLINK("#",""), HYPERLINK(CONCATENATE("#Metadata!", ADDRESS(INDEX($AI$2:$AI$1001,MATCH(ROWS($AG$2:AG61),$AG$2:$AG$1001,0),0), INDEX($AN$1004:$BO$1004,1,MATCH(COLUMNS($AN$1006:AY1006),$AN$1006:$BO$1006,0)))),"Fix")))</f>
        <v>0</v>
      </c>
      <c r="N61" s="4">
        <f>IF(OR(INDEX($AH$2:$AH$1001,MATCH(ROWS($AG$2:AG61),$AG$2:$AG$1001,0),1)&gt;=100000,INDEX($AN$1005:$BO$1005,1,MATCH(COLUMNS($AN$1006:AZ1006),$AN$1006:$BO$1006,0))&gt;=100000), " ",IF(INDEX($AN$2:$BO$1001,MATCH(ROWS($AG$2:AG61),$AG$2:$AG$1001,0),MATCH(COLUMNS($AN$1006:AZ1006),$AN$1006:$BO$1006,0)), HYPERLINK("#",""), HYPERLINK(CONCATENATE("#Metadata!", ADDRESS(INDEX($AI$2:$AI$1001,MATCH(ROWS($AG$2:AG61),$AG$2:$AG$1001,0),0), INDEX($AN$1004:$BO$1004,1,MATCH(COLUMNS($AN$1006:AZ1006),$AN$1006:$BO$1006,0)))),"Fix")))</f>
        <v>0</v>
      </c>
      <c r="O61" s="4">
        <f>IF(OR(INDEX($AH$2:$AH$1001,MATCH(ROWS($AG$2:AG61),$AG$2:$AG$1001,0),1)&gt;=100000,INDEX($AN$1005:$BO$1005,1,MATCH(COLUMNS($AN$1006:BA1006),$AN$1006:$BO$1006,0))&gt;=100000), " ",IF(INDEX($AN$2:$BO$1001,MATCH(ROWS($AG$2:AG61),$AG$2:$AG$1001,0),MATCH(COLUMNS($AN$1006:BA1006),$AN$1006:$BO$1006,0)), HYPERLINK("#",""), HYPERLINK(CONCATENATE("#Metadata!", ADDRESS(INDEX($AI$2:$AI$1001,MATCH(ROWS($AG$2:AG61),$AG$2:$AG$1001,0),0), INDEX($AN$1004:$BO$1004,1,MATCH(COLUMNS($AN$1006:BA1006),$AN$1006:$BO$1006,0)))),"Fix")))</f>
        <v>0</v>
      </c>
      <c r="P61" s="4">
        <f>IF(OR(INDEX($AH$2:$AH$1001,MATCH(ROWS($AG$2:AG61),$AG$2:$AG$1001,0),1)&gt;=100000,INDEX($AN$1005:$BO$1005,1,MATCH(COLUMNS($AN$1006:BB1006),$AN$1006:$BO$1006,0))&gt;=100000), " ",IF(INDEX($AN$2:$BO$1001,MATCH(ROWS($AG$2:AG61),$AG$2:$AG$1001,0),MATCH(COLUMNS($AN$1006:BB1006),$AN$1006:$BO$1006,0)), HYPERLINK("#",""), HYPERLINK(CONCATENATE("#Metadata!", ADDRESS(INDEX($AI$2:$AI$1001,MATCH(ROWS($AG$2:AG61),$AG$2:$AG$1001,0),0), INDEX($AN$1004:$BO$1004,1,MATCH(COLUMNS($AN$1006:BB1006),$AN$1006:$BO$1006,0)))),"Fix")))</f>
        <v>0</v>
      </c>
      <c r="Q61" s="4">
        <f>IF(OR(INDEX($AH$2:$AH$1001,MATCH(ROWS($AG$2:AG61),$AG$2:$AG$1001,0),1)&gt;=100000,INDEX($AN$1005:$BO$1005,1,MATCH(COLUMNS($AN$1006:BC1006),$AN$1006:$BO$1006,0))&gt;=100000), " ",IF(INDEX($AN$2:$BO$1001,MATCH(ROWS($AG$2:AG61),$AG$2:$AG$1001,0),MATCH(COLUMNS($AN$1006:BC1006),$AN$1006:$BO$1006,0)), HYPERLINK("#",""), HYPERLINK(CONCATENATE("#Metadata!", ADDRESS(INDEX($AI$2:$AI$1001,MATCH(ROWS($AG$2:AG61),$AG$2:$AG$1001,0),0), INDEX($AN$1004:$BO$1004,1,MATCH(COLUMNS($AN$1006:BC1006),$AN$1006:$BO$1006,0)))),"Fix")))</f>
        <v>0</v>
      </c>
      <c r="R61" s="4">
        <f>IF(OR(INDEX($AH$2:$AH$1001,MATCH(ROWS($AG$2:AG61),$AG$2:$AG$1001,0),1)&gt;=100000,INDEX($AN$1005:$BO$1005,1,MATCH(COLUMNS($AN$1006:BD1006),$AN$1006:$BO$1006,0))&gt;=100000), " ",IF(INDEX($AN$2:$BO$1001,MATCH(ROWS($AG$2:AG61),$AG$2:$AG$1001,0),MATCH(COLUMNS($AN$1006:BD1006),$AN$1006:$BO$1006,0)), HYPERLINK("#",""), HYPERLINK(CONCATENATE("#Metadata!", ADDRESS(INDEX($AI$2:$AI$1001,MATCH(ROWS($AG$2:AG61),$AG$2:$AG$1001,0),0), INDEX($AN$1004:$BO$1004,1,MATCH(COLUMNS($AN$1006:BD1006),$AN$1006:$BO$1006,0)))),"Fix")))</f>
        <v>0</v>
      </c>
      <c r="S61" s="4">
        <f>IF(OR(INDEX($AH$2:$AH$1001,MATCH(ROWS($AG$2:AG61),$AG$2:$AG$1001,0),1)&gt;=100000,INDEX($AN$1005:$BO$1005,1,MATCH(COLUMNS($AN$1006:BE1006),$AN$1006:$BO$1006,0))&gt;=100000), " ",IF(INDEX($AN$2:$BO$1001,MATCH(ROWS($AG$2:AG61),$AG$2:$AG$1001,0),MATCH(COLUMNS($AN$1006:BE1006),$AN$1006:$BO$1006,0)), HYPERLINK("#",""), HYPERLINK(CONCATENATE("#Metadata!", ADDRESS(INDEX($AI$2:$AI$1001,MATCH(ROWS($AG$2:AG61),$AG$2:$AG$1001,0),0), INDEX($AN$1004:$BO$1004,1,MATCH(COLUMNS($AN$1006:BE1006),$AN$1006:$BO$1006,0)))),"Fix")))</f>
        <v>0</v>
      </c>
      <c r="T61" s="4">
        <f>IF(OR(INDEX($AH$2:$AH$1001,MATCH(ROWS($AG$2:AG61),$AG$2:$AG$1001,0),1)&gt;=100000,INDEX($AN$1005:$BO$1005,1,MATCH(COLUMNS($AN$1006:BF1006),$AN$1006:$BO$1006,0))&gt;=100000), " ",IF(INDEX($AN$2:$BO$1001,MATCH(ROWS($AG$2:AG61),$AG$2:$AG$1001,0),MATCH(COLUMNS($AN$1006:BF1006),$AN$1006:$BO$1006,0)), HYPERLINK("#",""), HYPERLINK(CONCATENATE("#Metadata!", ADDRESS(INDEX($AI$2:$AI$1001,MATCH(ROWS($AG$2:AG61),$AG$2:$AG$1001,0),0), INDEX($AN$1004:$BO$1004,1,MATCH(COLUMNS($AN$1006:BF1006),$AN$1006:$BO$1006,0)))),"Fix")))</f>
        <v>0</v>
      </c>
      <c r="U61" s="4">
        <f>IF(OR(INDEX($AH$2:$AH$1001,MATCH(ROWS($AG$2:AG61),$AG$2:$AG$1001,0),1)&gt;=100000,INDEX($AN$1005:$BO$1005,1,MATCH(COLUMNS($AN$1006:BG1006),$AN$1006:$BO$1006,0))&gt;=100000), " ",IF(INDEX($AN$2:$BO$1001,MATCH(ROWS($AG$2:AG61),$AG$2:$AG$1001,0),MATCH(COLUMNS($AN$1006:BG1006),$AN$1006:$BO$1006,0)), HYPERLINK("#",""), HYPERLINK(CONCATENATE("#Metadata!", ADDRESS(INDEX($AI$2:$AI$1001,MATCH(ROWS($AG$2:AG61),$AG$2:$AG$1001,0),0), INDEX($AN$1004:$BO$1004,1,MATCH(COLUMNS($AN$1006:BG1006),$AN$1006:$BO$1006,0)))),"Fix")))</f>
        <v>0</v>
      </c>
      <c r="V61" s="4">
        <f>IF(OR(INDEX($AH$2:$AH$1001,MATCH(ROWS($AG$2:AG61),$AG$2:$AG$1001,0),1)&gt;=100000,INDEX($AN$1005:$BO$1005,1,MATCH(COLUMNS($AN$1006:BH1006),$AN$1006:$BO$1006,0))&gt;=100000), " ",IF(INDEX($AN$2:$BO$1001,MATCH(ROWS($AG$2:AG61),$AG$2:$AG$1001,0),MATCH(COLUMNS($AN$1006:BH1006),$AN$1006:$BO$1006,0)), HYPERLINK("#",""), HYPERLINK(CONCATENATE("#Metadata!", ADDRESS(INDEX($AI$2:$AI$1001,MATCH(ROWS($AG$2:AG61),$AG$2:$AG$1001,0),0), INDEX($AN$1004:$BO$1004,1,MATCH(COLUMNS($AN$1006:BH1006),$AN$1006:$BO$1006,0)))),"Fix")))</f>
        <v>0</v>
      </c>
      <c r="W61" s="4">
        <f>IF(OR(INDEX($AH$2:$AH$1001,MATCH(ROWS($AG$2:AG61),$AG$2:$AG$1001,0),1)&gt;=100000,INDEX($AN$1005:$BO$1005,1,MATCH(COLUMNS($AN$1006:BI1006),$AN$1006:$BO$1006,0))&gt;=100000), " ",IF(INDEX($AN$2:$BO$1001,MATCH(ROWS($AG$2:AG61),$AG$2:$AG$1001,0),MATCH(COLUMNS($AN$1006:BI1006),$AN$1006:$BO$1006,0)), HYPERLINK("#",""), HYPERLINK(CONCATENATE("#Metadata!", ADDRESS(INDEX($AI$2:$AI$1001,MATCH(ROWS($AG$2:AG61),$AG$2:$AG$1001,0),0), INDEX($AN$1004:$BO$1004,1,MATCH(COLUMNS($AN$1006:BI1006),$AN$1006:$BO$1006,0)))),"Fix")))</f>
        <v>0</v>
      </c>
      <c r="X61" s="4">
        <f>IF(OR(INDEX($AH$2:$AH$1001,MATCH(ROWS($AG$2:AG61),$AG$2:$AG$1001,0),1)&gt;=100000,INDEX($AN$1005:$BO$1005,1,MATCH(COLUMNS($AN$1006:BJ1006),$AN$1006:$BO$1006,0))&gt;=100000), " ",IF(INDEX($AN$2:$BO$1001,MATCH(ROWS($AG$2:AG61),$AG$2:$AG$1001,0),MATCH(COLUMNS($AN$1006:BJ1006),$AN$1006:$BO$1006,0)), HYPERLINK("#",""), HYPERLINK(CONCATENATE("#Metadata!", ADDRESS(INDEX($AI$2:$AI$1001,MATCH(ROWS($AG$2:AG61),$AG$2:$AG$1001,0),0), INDEX($AN$1004:$BO$1004,1,MATCH(COLUMNS($AN$1006:BJ1006),$AN$1006:$BO$1006,0)))),"Fix")))</f>
        <v>0</v>
      </c>
      <c r="Y61" s="4">
        <f>IF(OR(INDEX($AH$2:$AH$1001,MATCH(ROWS($AG$2:AG61),$AG$2:$AG$1001,0),1)&gt;=100000,INDEX($AN$1005:$BO$1005,1,MATCH(COLUMNS($AN$1006:BK1006),$AN$1006:$BO$1006,0))&gt;=100000), " ",IF(INDEX($AN$2:$BO$1001,MATCH(ROWS($AG$2:AG61),$AG$2:$AG$1001,0),MATCH(COLUMNS($AN$1006:BK1006),$AN$1006:$BO$1006,0)), HYPERLINK("#",""), HYPERLINK(CONCATENATE("#Metadata!", ADDRESS(INDEX($AI$2:$AI$1001,MATCH(ROWS($AG$2:AG61),$AG$2:$AG$1001,0),0), INDEX($AN$1004:$BO$1004,1,MATCH(COLUMNS($AN$1006:BK1006),$AN$1006:$BO$1006,0)))),"Fix")))</f>
        <v>0</v>
      </c>
      <c r="Z61" s="4">
        <f>IF(OR(INDEX($AH$2:$AH$1001,MATCH(ROWS($AG$2:AG61),$AG$2:$AG$1001,0),1)&gt;=100000,INDEX($AN$1005:$BO$1005,1,MATCH(COLUMNS($AN$1006:BL1006),$AN$1006:$BO$1006,0))&gt;=100000), " ",IF(INDEX($AN$2:$BO$1001,MATCH(ROWS($AG$2:AG61),$AG$2:$AG$1001,0),MATCH(COLUMNS($AN$1006:BL1006),$AN$1006:$BO$1006,0)), HYPERLINK("#",""), HYPERLINK(CONCATENATE("#Metadata!", ADDRESS(INDEX($AI$2:$AI$1001,MATCH(ROWS($AG$2:AG61),$AG$2:$AG$1001,0),0), INDEX($AN$1004:$BO$1004,1,MATCH(COLUMNS($AN$1006:BL1006),$AN$1006:$BO$1006,0)))),"Fix")))</f>
        <v>0</v>
      </c>
      <c r="AA61" s="4">
        <f>IF(OR(INDEX($AH$2:$AH$1001,MATCH(ROWS($AG$2:AG61),$AG$2:$AG$1001,0),1)&gt;=100000,INDEX($AN$1005:$BO$1005,1,MATCH(COLUMNS($AN$1006:BM1006),$AN$1006:$BO$1006,0))&gt;=100000), " ",IF(INDEX($AN$2:$BO$1001,MATCH(ROWS($AG$2:AG61),$AG$2:$AG$1001,0),MATCH(COLUMNS($AN$1006:BM1006),$AN$1006:$BO$1006,0)), HYPERLINK("#",""), HYPERLINK(CONCATENATE("#Metadata!", ADDRESS(INDEX($AI$2:$AI$1001,MATCH(ROWS($AG$2:AG61),$AG$2:$AG$1001,0),0), INDEX($AN$1004:$BO$1004,1,MATCH(COLUMNS($AN$1006:BM1006),$AN$1006:$BO$1006,0)))),"Fix")))</f>
        <v>0</v>
      </c>
      <c r="AB61" s="4">
        <f>IF(OR(INDEX($AH$2:$AH$1001,MATCH(ROWS($AG$2:AG61),$AG$2:$AG$1001,0),1)&gt;=100000,INDEX($AN$1005:$BO$1005,1,MATCH(COLUMNS($AN$1006:BN1006),$AN$1006:$BO$1006,0))&gt;=100000), " ",IF(INDEX($AN$2:$BO$1001,MATCH(ROWS($AG$2:AG61),$AG$2:$AG$1001,0),MATCH(COLUMNS($AN$1006:BN1006),$AN$1006:$BO$1006,0)), HYPERLINK("#",""), HYPERLINK(CONCATENATE("#Metadata!", ADDRESS(INDEX($AI$2:$AI$1001,MATCH(ROWS($AG$2:AG61),$AG$2:$AG$1001,0),0), INDEX($AN$1004:$BO$1004,1,MATCH(COLUMNS($AN$1006:BN1006),$AN$1006:$BO$1006,0)))),"Fix")))</f>
        <v>0</v>
      </c>
      <c r="AC61" s="4">
        <f>IF(OR(INDEX($AH$2:$AH$1001,MATCH(ROWS($AG$2:AG61),$AG$2:$AG$1001,0),1)&gt;=100000,INDEX($AN$1005:$BO$1005,1,MATCH(COLUMNS($AN$1006:BO1006),$AN$1006:$BO$1006,0))&gt;=100000), " ",IF(INDEX($AN$2:$BO$1001,MATCH(ROWS($AG$2:AG61),$AG$2:$AG$1001,0),MATCH(COLUMNS($AN$1006:BO1006),$AN$1006:$BO$1006,0)), HYPERLINK("#",""), HYPERLINK(CONCATENATE("#Metadata!", ADDRESS(INDEX($AI$2:$AI$1001,MATCH(ROWS($AG$2:AG61),$AG$2:$AG$1001,0),0), INDEX($AN$1004:$BO$1004,1,MATCH(COLUMNS($AN$1006:BO1006),$AN$1006:$BO$1006,0)))),"Fix")))</f>
        <v>0</v>
      </c>
      <c r="AG61">
        <v>0</v>
      </c>
      <c r="AH61">
        <v>0</v>
      </c>
      <c r="AI61">
        <v>0</v>
      </c>
      <c r="AJ61">
        <f>IF(AK61,TRUE,AND(AN61:BO61))</f>
        <v>0</v>
      </c>
      <c r="AK61">
        <f>COUNTBLANK(Metadata!B61:AC61)=COLUMNS(Metadata!B61:AC61)</f>
        <v>0</v>
      </c>
      <c r="AL61">
        <v>0</v>
      </c>
      <c r="AN61">
        <f>AND(IF(Metadata!B61="",FALSE,TRUE),COUNTIF(Metadata!B:B, Metadata!B61) = 1,NOT(ISERROR(SUMPRODUCT(SEARCH(MID(Metadata!B61,ROW(INDIRECT("1:"&amp;LEN(Metadata!B61))), 1),"0123456789abcdefghijklmnopqrstuvwxyzABCDEFGHIJKLMNOPQRSTUVWXYZ.")))))</f>
        <v>0</v>
      </c>
      <c r="AO61">
        <f>IF(Metadata!C61="",FALSE,TRUE)</f>
        <v>0</v>
      </c>
      <c r="AP61">
        <f>IF(Metadata!D61="",FALSE,TRUE)</f>
        <v>0</v>
      </c>
      <c r="AQ61">
        <f>OR(AND(IF(Metadata!E61="",FALSE,TRUE),OR(exact(Metadata!E61,"not collected"),exact(Metadata!E61,"not provided"),exact(Metadata!E61,"restricted access"))),AND(IF(Metadata!E61="",FALSE,TRUE),AND(AND(IFERROR(INT(LEFT(Metadata!E61,4))&gt;1900,FALSE),IFERROR(INT(LEFT(Metadata!E61,4))&lt;=YEAR(NOW()),FALSE)), OR(MID(Metadata!E61,5,1)="", AND(AND(MID(Metadata!E61,5,1)="-",IFERROR(INT(MID(Metadata!E61,6,1))&gt;=0,FALSE),IFERROR(INT(MID(Metadata!E61,6,1))&lt;=1,FALSE),NOT(MID(Metadata!E61,7,1)=""),IFERROR(INT(MID(Metadata!E61,6,2))&gt;=1,FALSE),IFERROR(INT(MID(Metadata!E61,6,2))&lt;=12,FALSE)), OR(MID(Metadata!E61,8,1)="", AND(AND(MID(Metadata!E61,8,1)="-",IFERROR(INT(MID(Metadata!E61,9,1))&gt;=0,FALSE),IFERROR(INT(MID(Metadata!E61,9,1))&lt;=3,FALSE),NOT(MID(Metadata!E61,10,1)=""),IFERROR(INT(MID(Metadata!E61,9,2))&gt;=1,FALSE),IFERROR(INT(MID(Metadata!E61,9,2))&lt;=31,FALSE)), OR(MID(Metadata!E61,11,1)="", AND(AND(MID(Metadata!E61,11,1)=" ",IFERROR(INT(MID(Metadata!E61,12,1))&gt;=0,FALSE),IFERROR(INT(MID(Metadata!E61,12,1))&lt;=2,FALSE),NOT(MID(Metadata!E61,13,1)=""),IFERROR(INT(MID(Metadata!E61,12,2))&gt;=0,FALSE),IFERROR(INT(MID(Metadata!E61,12,2))&lt;=23,FALSE)), OR(MID(Metadata!E61,14,1)="", AND(AND(MID(Metadata!E61,14,1)=":",IFERROR(INT(MID(Metadata!E61,15,1))&gt;=0,FALSE),IFERROR(INT(MID(Metadata!E61,15,1))&lt;=5,FALSE),NOT(MID(Metadata!E61,16,1)=""),IFERROR(INT(MID(Metadata!E61,15,2))&gt;=0,FALSE),IFERROR(INT(MID(Metadata!E61,15,2))&lt;=59,FALSE)), OR(MID(Metadata!E61,17,1)="", AND(AND(MID(Metadata!E61,17,1)=":",IFERROR(INT(MID(Metadata!E61,18,1))&gt;=0,FALSE),IFERROR(INT(MID(Metadata!E61,18,1))&lt;=5,FALSE),NOT(MID(Metadata!E61,19,1)=""),IFERROR(INT(MID(Metadata!E61,18,2))&gt;=0,FALSE),IFERROR(INT(MID(Metadata!E61,18,2))&lt;=59,FALSE)), LEN(Metadata!E61)&lt;=19)))))))))))))</f>
        <v>0</v>
      </c>
      <c r="AR61">
        <f>IF(Metadata!F61="",FALSE,TRUE)</f>
        <v>0</v>
      </c>
      <c r="AS61">
        <f>OR(AND(IF(Metadata!G61="",FALSE,TRUE),OR(exact(Metadata!G61,"not collected"),exact(Metadata!G61,"not provided"))),AND(IF(Metadata!G61="",FALSE,TRUE),OR(exact(Metadata!G61,"TRUE"),exact(Metadata!G61,"FALSE"))))</f>
        <v>0</v>
      </c>
      <c r="AT61">
        <f>OR(AND(IF(Metadata!H61="",FALSE,TRUE),OR(exact(Metadata!H61,"not collected"),exact(Metadata!H61,"not provided"),exact(Metadata!H61,"restricted access"))),AND(IF(Metadata!H61="",FALSE,ISNUMBER(VALUE(Metadata!H61))),Metadata!H61&gt;=-413.0))</f>
        <v>0</v>
      </c>
      <c r="AU61">
        <f>AND(IF(Metadata!I61="",FALSE,TRUE),exact(Metadata!I61,"meters"))</f>
        <v>0</v>
      </c>
      <c r="AV61">
        <f>AND(IF(Metadata!J61="",FALSE,TRUE),OR(exact(Metadata!J61,"Host-associated"),exact(Metadata!J61,"Free-living")))</f>
        <v>0</v>
      </c>
      <c r="AW61">
        <f>AND(IF(Metadata!K61="",FALSE,TRUE),OR(exact(Metadata!K61,"Animal"),exact(Metadata!K61,"Fungus"),exact(Metadata!K61,"Plant"),exact(Metadata!K61,"Saline"),exact(Metadata!K61,"Non-saline")))</f>
        <v>0</v>
      </c>
      <c r="AX61">
        <f>AND(IF(Metadata!L61="",FALSE,TRUE),OR(exact(Metadata!L61,"Plant secretion"),exact(Metadata!L61,"Plant rhizosphere"),exact(Metadata!L61,"Plant surface"),exact(Metadata!L61,"Plant corpus"),exact(Metadata!L61,"Fungus surface"),exact(Metadata!L61,"Fungus corpus"),exact(Metadata!L61,"Animal surface"),exact(Metadata!L61,"Animal proximal gut"),exact(Metadata!L61,"Animal corpus"),exact(Metadata!L61,"Animal distal gut"),exact(Metadata!L61,"Animal secretion"),exact(Metadata!L61,"Sub-surface (non-saline)"),exact(Metadata!L61,"Surface (non-saline)"),exact(Metadata!L61,"Water (non-saline)"),exact(Metadata!L61,"Soil (non-saline)"),exact(Metadata!L61,"Aerosol (non-saline)"),exact(Metadata!L61,"Sediment (non-saline)"),exact(Metadata!L61,"Surface (saline)"),exact(Metadata!L61,"Water (saline)"),exact(Metadata!L61,"Hypersaline (saline)"),exact(Metadata!L61,"Aerosol (saline)"),exact(Metadata!L61,"Sediment (saline)")))</f>
        <v>0</v>
      </c>
      <c r="AY61">
        <f>IF(Metadata!M61="",FALSE,TRUE)</f>
        <v>0</v>
      </c>
      <c r="AZ61">
        <f>IF(Metadata!N61="",FALSE,TRUE)</f>
        <v>0</v>
      </c>
      <c r="BA61">
        <f>IF(Metadata!O61="",FALSE,TRUE)</f>
        <v>0</v>
      </c>
      <c r="BB61">
        <f>OR(AND(IF(Metadata!P61="",FALSE,TRUE),OR(exact(Metadata!P61,"not collected"),exact(Metadata!P61,"not provided"),exact(Metadata!P61,"restricted access"))),AND(IF(Metadata!P61="",FALSE,TRUE),OR(exact(Metadata!P61,"air"),exact(Metadata!P61,"built environment"),exact(Metadata!P61,"host-associated"),exact(Metadata!P61,"human-associated"),exact(Metadata!P61,"human-skin"),exact(Metadata!P61,"human-oral"),exact(Metadata!P61,"human-gut"),exact(Metadata!P61,"human-vaginal"),exact(Metadata!P61,"microbial mat/biofilm"),exact(Metadata!P61,"misc environment"),exact(Metadata!P61,"plant-associated"),exact(Metadata!P61,"sediment"),exact(Metadata!P61,"soil"),exact(Metadata!P61,"wastewater/sludge"),exact(Metadata!P61,"water"))))</f>
        <v>0</v>
      </c>
      <c r="BC61">
        <f>IF(Metadata!Q61="",FALSE,TRUE)</f>
        <v>0</v>
      </c>
      <c r="BD61">
        <f>IF(Metadata!R61="",FALSE,TRUE)</f>
        <v>0</v>
      </c>
      <c r="BE61">
        <f>OR(AND(IF(Metadata!S61="",FALSE,TRUE),OR(exact(Metadata!S61,"not collected"),exact(Metadata!S61,"not provided"),exact(Metadata!S61,"restricted access"))),AND(IF(Metadata!S61="",FALSE,ISNUMBER(VALUE(Metadata!S61))),Metadata!S61&gt;=-90.00,Metadata!S61&lt;=90.00))</f>
        <v>0</v>
      </c>
      <c r="BF61">
        <f>AND(IF(Metadata!T61="",FALSE,TRUE),exact(Metadata!T61,"Decimal degrees"))</f>
        <v>0</v>
      </c>
      <c r="BG61">
        <f>OR(AND(IF(Metadata!U61="",FALSE,TRUE),OR(exact(Metadata!U61,"not collected"),exact(Metadata!U61,"not provided"),exact(Metadata!U61,"restricted access"))),AND(IF(Metadata!U61="",FALSE,ISNUMBER(VALUE(Metadata!U61))),Metadata!U61&gt;=-180.00,Metadata!U61&lt;=180.00))</f>
        <v>0</v>
      </c>
      <c r="BH61">
        <f>AND(IF(Metadata!V61="",FALSE,TRUE),exact(Metadata!V61,"Decimal degrees"))</f>
        <v>0</v>
      </c>
      <c r="BI61">
        <f>IF(Metadata!W61="",FALSE,TRUE)</f>
        <v>0</v>
      </c>
      <c r="BJ61">
        <f>OR(AND(IF(Metadata!X61="",FALSE,TRUE),OR(exact(Metadata!X61,"not collected"),exact(Metadata!X61,"not provided"),exact(Metadata!X61,"restricted access"))),AND(IF(Metadata!X61="",FALSE,TRUE),OR(exact(Metadata!X61,"TRUE"),exact(Metadata!X61,"FALSE"))))</f>
        <v>0</v>
      </c>
      <c r="BK61">
        <f>AND(IF(Metadata!Y61="",FALSE,TRUE),exact(Metadata!Y61,"other"))</f>
        <v>0</v>
      </c>
      <c r="BL61">
        <f>IF(Metadata!Z61="",FALSE,TRUE)</f>
        <v>0</v>
      </c>
      <c r="BM61">
        <f>OR(AND(IF(Metadata!AA61="",FALSE,TRUE),OR(exact(Metadata!AA61,"not collected"),exact(Metadata!AA61,"not provided"))),AND(IF(Metadata!AA61="",FALSE,IF(ISERROR(INT(Metadata!AA61)),FALSE,INT(Metadata!AA61)=Metadata!AA61)),Metadata!AA61&gt;0))</f>
        <v>0</v>
      </c>
      <c r="BN61">
        <f>AND(IF(Metadata!AB61="",FALSE,TRUE),exact(Metadata!AB61,"Not applicable"))</f>
        <v>0</v>
      </c>
      <c r="BO61">
        <f>IF(Metadata!AC61="",FALSE,TRUE)</f>
        <v>0</v>
      </c>
    </row>
    <row r="62" spans="1:67">
      <c r="A62" s="5">
        <f>IF(B62=" "," ",HYPERLINK(CONCATENATE("#metadata!",ADDRESS(INDEX($AI$2:$AI$1001,MATCH(ROWS($AG$2:AG62),$AG$2:$AG$1001,0),0),1)),INDEX($AL$2:$AL$1001,MATCH(ROWS($AG$2:AG62),$AG$2:$AG$1001,0),0)))</f>
        <v>0</v>
      </c>
      <c r="B62" s="4">
        <f>IF(OR(INDEX($AH$2:$AH$1001,MATCH(ROWS($AG$2:AG62),$AG$2:$AG$1001,0),1)&gt;=100000,INDEX($AN$1005:$BO$1005,1,MATCH(COLUMNS($AN$1006:AN1006),$AN$1006:$BO$1006,0))&gt;=100000), " ",IF(INDEX($AN$2:$BO$1001,MATCH(ROWS($AG$2:AG62),$AG$2:$AG$1001,0),MATCH(COLUMNS($AN$1006:AN1006),$AN$1006:$BO$1006,0)), HYPERLINK("#",""), HYPERLINK(CONCATENATE("#Metadata!", ADDRESS(INDEX($AI$2:$AI$1001,MATCH(ROWS($AG$2:AG62),$AG$2:$AG$1001,0),0), INDEX($AN$1004:$BO$1004,1,MATCH(COLUMNS($AN$1006:AN1006),$AN$1006:$BO$1006,0)))),"Fix")))</f>
        <v>0</v>
      </c>
      <c r="C62" s="4">
        <f>IF(OR(INDEX($AH$2:$AH$1001,MATCH(ROWS($AG$2:AG62),$AG$2:$AG$1001,0),1)&gt;=100000,INDEX($AN$1005:$BO$1005,1,MATCH(COLUMNS($AN$1006:AO1006),$AN$1006:$BO$1006,0))&gt;=100000), " ",IF(INDEX($AN$2:$BO$1001,MATCH(ROWS($AG$2:AG62),$AG$2:$AG$1001,0),MATCH(COLUMNS($AN$1006:AO1006),$AN$1006:$BO$1006,0)), HYPERLINK("#",""), HYPERLINK(CONCATENATE("#Metadata!", ADDRESS(INDEX($AI$2:$AI$1001,MATCH(ROWS($AG$2:AG62),$AG$2:$AG$1001,0),0), INDEX($AN$1004:$BO$1004,1,MATCH(COLUMNS($AN$1006:AO1006),$AN$1006:$BO$1006,0)))),"Fix")))</f>
        <v>0</v>
      </c>
      <c r="D62" s="4">
        <f>IF(OR(INDEX($AH$2:$AH$1001,MATCH(ROWS($AG$2:AG62),$AG$2:$AG$1001,0),1)&gt;=100000,INDEX($AN$1005:$BO$1005,1,MATCH(COLUMNS($AN$1006:AP1006),$AN$1006:$BO$1006,0))&gt;=100000), " ",IF(INDEX($AN$2:$BO$1001,MATCH(ROWS($AG$2:AG62),$AG$2:$AG$1001,0),MATCH(COLUMNS($AN$1006:AP1006),$AN$1006:$BO$1006,0)), HYPERLINK("#",""), HYPERLINK(CONCATENATE("#Metadata!", ADDRESS(INDEX($AI$2:$AI$1001,MATCH(ROWS($AG$2:AG62),$AG$2:$AG$1001,0),0), INDEX($AN$1004:$BO$1004,1,MATCH(COLUMNS($AN$1006:AP1006),$AN$1006:$BO$1006,0)))),"Fix")))</f>
        <v>0</v>
      </c>
      <c r="E62" s="4">
        <f>IF(OR(INDEX($AH$2:$AH$1001,MATCH(ROWS($AG$2:AG62),$AG$2:$AG$1001,0),1)&gt;=100000,INDEX($AN$1005:$BO$1005,1,MATCH(COLUMNS($AN$1006:AQ1006),$AN$1006:$BO$1006,0))&gt;=100000), " ",IF(INDEX($AN$2:$BO$1001,MATCH(ROWS($AG$2:AG62),$AG$2:$AG$1001,0),MATCH(COLUMNS($AN$1006:AQ1006),$AN$1006:$BO$1006,0)), HYPERLINK("#",""), HYPERLINK(CONCATENATE("#Metadata!", ADDRESS(INDEX($AI$2:$AI$1001,MATCH(ROWS($AG$2:AG62),$AG$2:$AG$1001,0),0), INDEX($AN$1004:$BO$1004,1,MATCH(COLUMNS($AN$1006:AQ1006),$AN$1006:$BO$1006,0)))),"Fix")))</f>
        <v>0</v>
      </c>
      <c r="F62" s="4">
        <f>IF(OR(INDEX($AH$2:$AH$1001,MATCH(ROWS($AG$2:AG62),$AG$2:$AG$1001,0),1)&gt;=100000,INDEX($AN$1005:$BO$1005,1,MATCH(COLUMNS($AN$1006:AR1006),$AN$1006:$BO$1006,0))&gt;=100000), " ",IF(INDEX($AN$2:$BO$1001,MATCH(ROWS($AG$2:AG62),$AG$2:$AG$1001,0),MATCH(COLUMNS($AN$1006:AR1006),$AN$1006:$BO$1006,0)), HYPERLINK("#",""), HYPERLINK(CONCATENATE("#Metadata!", ADDRESS(INDEX($AI$2:$AI$1001,MATCH(ROWS($AG$2:AG62),$AG$2:$AG$1001,0),0), INDEX($AN$1004:$BO$1004,1,MATCH(COLUMNS($AN$1006:AR1006),$AN$1006:$BO$1006,0)))),"Fix")))</f>
        <v>0</v>
      </c>
      <c r="G62" s="4">
        <f>IF(OR(INDEX($AH$2:$AH$1001,MATCH(ROWS($AG$2:AG62),$AG$2:$AG$1001,0),1)&gt;=100000,INDEX($AN$1005:$BO$1005,1,MATCH(COLUMNS($AN$1006:AS1006),$AN$1006:$BO$1006,0))&gt;=100000), " ",IF(INDEX($AN$2:$BO$1001,MATCH(ROWS($AG$2:AG62),$AG$2:$AG$1001,0),MATCH(COLUMNS($AN$1006:AS1006),$AN$1006:$BO$1006,0)), HYPERLINK("#",""), HYPERLINK(CONCATENATE("#Metadata!", ADDRESS(INDEX($AI$2:$AI$1001,MATCH(ROWS($AG$2:AG62),$AG$2:$AG$1001,0),0), INDEX($AN$1004:$BO$1004,1,MATCH(COLUMNS($AN$1006:AS1006),$AN$1006:$BO$1006,0)))),"Fix")))</f>
        <v>0</v>
      </c>
      <c r="H62" s="4">
        <f>IF(OR(INDEX($AH$2:$AH$1001,MATCH(ROWS($AG$2:AG62),$AG$2:$AG$1001,0),1)&gt;=100000,INDEX($AN$1005:$BO$1005,1,MATCH(COLUMNS($AN$1006:AT1006),$AN$1006:$BO$1006,0))&gt;=100000), " ",IF(INDEX($AN$2:$BO$1001,MATCH(ROWS($AG$2:AG62),$AG$2:$AG$1001,0),MATCH(COLUMNS($AN$1006:AT1006),$AN$1006:$BO$1006,0)), HYPERLINK("#",""), HYPERLINK(CONCATENATE("#Metadata!", ADDRESS(INDEX($AI$2:$AI$1001,MATCH(ROWS($AG$2:AG62),$AG$2:$AG$1001,0),0), INDEX($AN$1004:$BO$1004,1,MATCH(COLUMNS($AN$1006:AT1006),$AN$1006:$BO$1006,0)))),"Fix")))</f>
        <v>0</v>
      </c>
      <c r="I62" s="4">
        <f>IF(OR(INDEX($AH$2:$AH$1001,MATCH(ROWS($AG$2:AG62),$AG$2:$AG$1001,0),1)&gt;=100000,INDEX($AN$1005:$BO$1005,1,MATCH(COLUMNS($AN$1006:AU1006),$AN$1006:$BO$1006,0))&gt;=100000), " ",IF(INDEX($AN$2:$BO$1001,MATCH(ROWS($AG$2:AG62),$AG$2:$AG$1001,0),MATCH(COLUMNS($AN$1006:AU1006),$AN$1006:$BO$1006,0)), HYPERLINK("#",""), HYPERLINK(CONCATENATE("#Metadata!", ADDRESS(INDEX($AI$2:$AI$1001,MATCH(ROWS($AG$2:AG62),$AG$2:$AG$1001,0),0), INDEX($AN$1004:$BO$1004,1,MATCH(COLUMNS($AN$1006:AU1006),$AN$1006:$BO$1006,0)))),"Fix")))</f>
        <v>0</v>
      </c>
      <c r="J62" s="4">
        <f>IF(OR(INDEX($AH$2:$AH$1001,MATCH(ROWS($AG$2:AG62),$AG$2:$AG$1001,0),1)&gt;=100000,INDEX($AN$1005:$BO$1005,1,MATCH(COLUMNS($AN$1006:AV1006),$AN$1006:$BO$1006,0))&gt;=100000), " ",IF(INDEX($AN$2:$BO$1001,MATCH(ROWS($AG$2:AG62),$AG$2:$AG$1001,0),MATCH(COLUMNS($AN$1006:AV1006),$AN$1006:$BO$1006,0)), HYPERLINK("#",""), HYPERLINK(CONCATENATE("#Metadata!", ADDRESS(INDEX($AI$2:$AI$1001,MATCH(ROWS($AG$2:AG62),$AG$2:$AG$1001,0),0), INDEX($AN$1004:$BO$1004,1,MATCH(COLUMNS($AN$1006:AV1006),$AN$1006:$BO$1006,0)))),"Fix")))</f>
        <v>0</v>
      </c>
      <c r="K62" s="4">
        <f>IF(OR(INDEX($AH$2:$AH$1001,MATCH(ROWS($AG$2:AG62),$AG$2:$AG$1001,0),1)&gt;=100000,INDEX($AN$1005:$BO$1005,1,MATCH(COLUMNS($AN$1006:AW1006),$AN$1006:$BO$1006,0))&gt;=100000), " ",IF(INDEX($AN$2:$BO$1001,MATCH(ROWS($AG$2:AG62),$AG$2:$AG$1001,0),MATCH(COLUMNS($AN$1006:AW1006),$AN$1006:$BO$1006,0)), HYPERLINK("#",""), HYPERLINK(CONCATENATE("#Metadata!", ADDRESS(INDEX($AI$2:$AI$1001,MATCH(ROWS($AG$2:AG62),$AG$2:$AG$1001,0),0), INDEX($AN$1004:$BO$1004,1,MATCH(COLUMNS($AN$1006:AW1006),$AN$1006:$BO$1006,0)))),"Fix")))</f>
        <v>0</v>
      </c>
      <c r="L62" s="4">
        <f>IF(OR(INDEX($AH$2:$AH$1001,MATCH(ROWS($AG$2:AG62),$AG$2:$AG$1001,0),1)&gt;=100000,INDEX($AN$1005:$BO$1005,1,MATCH(COLUMNS($AN$1006:AX1006),$AN$1006:$BO$1006,0))&gt;=100000), " ",IF(INDEX($AN$2:$BO$1001,MATCH(ROWS($AG$2:AG62),$AG$2:$AG$1001,0),MATCH(COLUMNS($AN$1006:AX1006),$AN$1006:$BO$1006,0)), HYPERLINK("#",""), HYPERLINK(CONCATENATE("#Metadata!", ADDRESS(INDEX($AI$2:$AI$1001,MATCH(ROWS($AG$2:AG62),$AG$2:$AG$1001,0),0), INDEX($AN$1004:$BO$1004,1,MATCH(COLUMNS($AN$1006:AX1006),$AN$1006:$BO$1006,0)))),"Fix")))</f>
        <v>0</v>
      </c>
      <c r="M62" s="4">
        <f>IF(OR(INDEX($AH$2:$AH$1001,MATCH(ROWS($AG$2:AG62),$AG$2:$AG$1001,0),1)&gt;=100000,INDEX($AN$1005:$BO$1005,1,MATCH(COLUMNS($AN$1006:AY1006),$AN$1006:$BO$1006,0))&gt;=100000), " ",IF(INDEX($AN$2:$BO$1001,MATCH(ROWS($AG$2:AG62),$AG$2:$AG$1001,0),MATCH(COLUMNS($AN$1006:AY1006),$AN$1006:$BO$1006,0)), HYPERLINK("#",""), HYPERLINK(CONCATENATE("#Metadata!", ADDRESS(INDEX($AI$2:$AI$1001,MATCH(ROWS($AG$2:AG62),$AG$2:$AG$1001,0),0), INDEX($AN$1004:$BO$1004,1,MATCH(COLUMNS($AN$1006:AY1006),$AN$1006:$BO$1006,0)))),"Fix")))</f>
        <v>0</v>
      </c>
      <c r="N62" s="4">
        <f>IF(OR(INDEX($AH$2:$AH$1001,MATCH(ROWS($AG$2:AG62),$AG$2:$AG$1001,0),1)&gt;=100000,INDEX($AN$1005:$BO$1005,1,MATCH(COLUMNS($AN$1006:AZ1006),$AN$1006:$BO$1006,0))&gt;=100000), " ",IF(INDEX($AN$2:$BO$1001,MATCH(ROWS($AG$2:AG62),$AG$2:$AG$1001,0),MATCH(COLUMNS($AN$1006:AZ1006),$AN$1006:$BO$1006,0)), HYPERLINK("#",""), HYPERLINK(CONCATENATE("#Metadata!", ADDRESS(INDEX($AI$2:$AI$1001,MATCH(ROWS($AG$2:AG62),$AG$2:$AG$1001,0),0), INDEX($AN$1004:$BO$1004,1,MATCH(COLUMNS($AN$1006:AZ1006),$AN$1006:$BO$1006,0)))),"Fix")))</f>
        <v>0</v>
      </c>
      <c r="O62" s="4">
        <f>IF(OR(INDEX($AH$2:$AH$1001,MATCH(ROWS($AG$2:AG62),$AG$2:$AG$1001,0),1)&gt;=100000,INDEX($AN$1005:$BO$1005,1,MATCH(COLUMNS($AN$1006:BA1006),$AN$1006:$BO$1006,0))&gt;=100000), " ",IF(INDEX($AN$2:$BO$1001,MATCH(ROWS($AG$2:AG62),$AG$2:$AG$1001,0),MATCH(COLUMNS($AN$1006:BA1006),$AN$1006:$BO$1006,0)), HYPERLINK("#",""), HYPERLINK(CONCATENATE("#Metadata!", ADDRESS(INDEX($AI$2:$AI$1001,MATCH(ROWS($AG$2:AG62),$AG$2:$AG$1001,0),0), INDEX($AN$1004:$BO$1004,1,MATCH(COLUMNS($AN$1006:BA1006),$AN$1006:$BO$1006,0)))),"Fix")))</f>
        <v>0</v>
      </c>
      <c r="P62" s="4">
        <f>IF(OR(INDEX($AH$2:$AH$1001,MATCH(ROWS($AG$2:AG62),$AG$2:$AG$1001,0),1)&gt;=100000,INDEX($AN$1005:$BO$1005,1,MATCH(COLUMNS($AN$1006:BB1006),$AN$1006:$BO$1006,0))&gt;=100000), " ",IF(INDEX($AN$2:$BO$1001,MATCH(ROWS($AG$2:AG62),$AG$2:$AG$1001,0),MATCH(COLUMNS($AN$1006:BB1006),$AN$1006:$BO$1006,0)), HYPERLINK("#",""), HYPERLINK(CONCATENATE("#Metadata!", ADDRESS(INDEX($AI$2:$AI$1001,MATCH(ROWS($AG$2:AG62),$AG$2:$AG$1001,0),0), INDEX($AN$1004:$BO$1004,1,MATCH(COLUMNS($AN$1006:BB1006),$AN$1006:$BO$1006,0)))),"Fix")))</f>
        <v>0</v>
      </c>
      <c r="Q62" s="4">
        <f>IF(OR(INDEX($AH$2:$AH$1001,MATCH(ROWS($AG$2:AG62),$AG$2:$AG$1001,0),1)&gt;=100000,INDEX($AN$1005:$BO$1005,1,MATCH(COLUMNS($AN$1006:BC1006),$AN$1006:$BO$1006,0))&gt;=100000), " ",IF(INDEX($AN$2:$BO$1001,MATCH(ROWS($AG$2:AG62),$AG$2:$AG$1001,0),MATCH(COLUMNS($AN$1006:BC1006),$AN$1006:$BO$1006,0)), HYPERLINK("#",""), HYPERLINK(CONCATENATE("#Metadata!", ADDRESS(INDEX($AI$2:$AI$1001,MATCH(ROWS($AG$2:AG62),$AG$2:$AG$1001,0),0), INDEX($AN$1004:$BO$1004,1,MATCH(COLUMNS($AN$1006:BC1006),$AN$1006:$BO$1006,0)))),"Fix")))</f>
        <v>0</v>
      </c>
      <c r="R62" s="4">
        <f>IF(OR(INDEX($AH$2:$AH$1001,MATCH(ROWS($AG$2:AG62),$AG$2:$AG$1001,0),1)&gt;=100000,INDEX($AN$1005:$BO$1005,1,MATCH(COLUMNS($AN$1006:BD1006),$AN$1006:$BO$1006,0))&gt;=100000), " ",IF(INDEX($AN$2:$BO$1001,MATCH(ROWS($AG$2:AG62),$AG$2:$AG$1001,0),MATCH(COLUMNS($AN$1006:BD1006),$AN$1006:$BO$1006,0)), HYPERLINK("#",""), HYPERLINK(CONCATENATE("#Metadata!", ADDRESS(INDEX($AI$2:$AI$1001,MATCH(ROWS($AG$2:AG62),$AG$2:$AG$1001,0),0), INDEX($AN$1004:$BO$1004,1,MATCH(COLUMNS($AN$1006:BD1006),$AN$1006:$BO$1006,0)))),"Fix")))</f>
        <v>0</v>
      </c>
      <c r="S62" s="4">
        <f>IF(OR(INDEX($AH$2:$AH$1001,MATCH(ROWS($AG$2:AG62),$AG$2:$AG$1001,0),1)&gt;=100000,INDEX($AN$1005:$BO$1005,1,MATCH(COLUMNS($AN$1006:BE1006),$AN$1006:$BO$1006,0))&gt;=100000), " ",IF(INDEX($AN$2:$BO$1001,MATCH(ROWS($AG$2:AG62),$AG$2:$AG$1001,0),MATCH(COLUMNS($AN$1006:BE1006),$AN$1006:$BO$1006,0)), HYPERLINK("#",""), HYPERLINK(CONCATENATE("#Metadata!", ADDRESS(INDEX($AI$2:$AI$1001,MATCH(ROWS($AG$2:AG62),$AG$2:$AG$1001,0),0), INDEX($AN$1004:$BO$1004,1,MATCH(COLUMNS($AN$1006:BE1006),$AN$1006:$BO$1006,0)))),"Fix")))</f>
        <v>0</v>
      </c>
      <c r="T62" s="4">
        <f>IF(OR(INDEX($AH$2:$AH$1001,MATCH(ROWS($AG$2:AG62),$AG$2:$AG$1001,0),1)&gt;=100000,INDEX($AN$1005:$BO$1005,1,MATCH(COLUMNS($AN$1006:BF1006),$AN$1006:$BO$1006,0))&gt;=100000), " ",IF(INDEX($AN$2:$BO$1001,MATCH(ROWS($AG$2:AG62),$AG$2:$AG$1001,0),MATCH(COLUMNS($AN$1006:BF1006),$AN$1006:$BO$1006,0)), HYPERLINK("#",""), HYPERLINK(CONCATENATE("#Metadata!", ADDRESS(INDEX($AI$2:$AI$1001,MATCH(ROWS($AG$2:AG62),$AG$2:$AG$1001,0),0), INDEX($AN$1004:$BO$1004,1,MATCH(COLUMNS($AN$1006:BF1006),$AN$1006:$BO$1006,0)))),"Fix")))</f>
        <v>0</v>
      </c>
      <c r="U62" s="4">
        <f>IF(OR(INDEX($AH$2:$AH$1001,MATCH(ROWS($AG$2:AG62),$AG$2:$AG$1001,0),1)&gt;=100000,INDEX($AN$1005:$BO$1005,1,MATCH(COLUMNS($AN$1006:BG1006),$AN$1006:$BO$1006,0))&gt;=100000), " ",IF(INDEX($AN$2:$BO$1001,MATCH(ROWS($AG$2:AG62),$AG$2:$AG$1001,0),MATCH(COLUMNS($AN$1006:BG1006),$AN$1006:$BO$1006,0)), HYPERLINK("#",""), HYPERLINK(CONCATENATE("#Metadata!", ADDRESS(INDEX($AI$2:$AI$1001,MATCH(ROWS($AG$2:AG62),$AG$2:$AG$1001,0),0), INDEX($AN$1004:$BO$1004,1,MATCH(COLUMNS($AN$1006:BG1006),$AN$1006:$BO$1006,0)))),"Fix")))</f>
        <v>0</v>
      </c>
      <c r="V62" s="4">
        <f>IF(OR(INDEX($AH$2:$AH$1001,MATCH(ROWS($AG$2:AG62),$AG$2:$AG$1001,0),1)&gt;=100000,INDEX($AN$1005:$BO$1005,1,MATCH(COLUMNS($AN$1006:BH1006),$AN$1006:$BO$1006,0))&gt;=100000), " ",IF(INDEX($AN$2:$BO$1001,MATCH(ROWS($AG$2:AG62),$AG$2:$AG$1001,0),MATCH(COLUMNS($AN$1006:BH1006),$AN$1006:$BO$1006,0)), HYPERLINK("#",""), HYPERLINK(CONCATENATE("#Metadata!", ADDRESS(INDEX($AI$2:$AI$1001,MATCH(ROWS($AG$2:AG62),$AG$2:$AG$1001,0),0), INDEX($AN$1004:$BO$1004,1,MATCH(COLUMNS($AN$1006:BH1006),$AN$1006:$BO$1006,0)))),"Fix")))</f>
        <v>0</v>
      </c>
      <c r="W62" s="4">
        <f>IF(OR(INDEX($AH$2:$AH$1001,MATCH(ROWS($AG$2:AG62),$AG$2:$AG$1001,0),1)&gt;=100000,INDEX($AN$1005:$BO$1005,1,MATCH(COLUMNS($AN$1006:BI1006),$AN$1006:$BO$1006,0))&gt;=100000), " ",IF(INDEX($AN$2:$BO$1001,MATCH(ROWS($AG$2:AG62),$AG$2:$AG$1001,0),MATCH(COLUMNS($AN$1006:BI1006),$AN$1006:$BO$1006,0)), HYPERLINK("#",""), HYPERLINK(CONCATENATE("#Metadata!", ADDRESS(INDEX($AI$2:$AI$1001,MATCH(ROWS($AG$2:AG62),$AG$2:$AG$1001,0),0), INDEX($AN$1004:$BO$1004,1,MATCH(COLUMNS($AN$1006:BI1006),$AN$1006:$BO$1006,0)))),"Fix")))</f>
        <v>0</v>
      </c>
      <c r="X62" s="4">
        <f>IF(OR(INDEX($AH$2:$AH$1001,MATCH(ROWS($AG$2:AG62),$AG$2:$AG$1001,0),1)&gt;=100000,INDEX($AN$1005:$BO$1005,1,MATCH(COLUMNS($AN$1006:BJ1006),$AN$1006:$BO$1006,0))&gt;=100000), " ",IF(INDEX($AN$2:$BO$1001,MATCH(ROWS($AG$2:AG62),$AG$2:$AG$1001,0),MATCH(COLUMNS($AN$1006:BJ1006),$AN$1006:$BO$1006,0)), HYPERLINK("#",""), HYPERLINK(CONCATENATE("#Metadata!", ADDRESS(INDEX($AI$2:$AI$1001,MATCH(ROWS($AG$2:AG62),$AG$2:$AG$1001,0),0), INDEX($AN$1004:$BO$1004,1,MATCH(COLUMNS($AN$1006:BJ1006),$AN$1006:$BO$1006,0)))),"Fix")))</f>
        <v>0</v>
      </c>
      <c r="Y62" s="4">
        <f>IF(OR(INDEX($AH$2:$AH$1001,MATCH(ROWS($AG$2:AG62),$AG$2:$AG$1001,0),1)&gt;=100000,INDEX($AN$1005:$BO$1005,1,MATCH(COLUMNS($AN$1006:BK1006),$AN$1006:$BO$1006,0))&gt;=100000), " ",IF(INDEX($AN$2:$BO$1001,MATCH(ROWS($AG$2:AG62),$AG$2:$AG$1001,0),MATCH(COLUMNS($AN$1006:BK1006),$AN$1006:$BO$1006,0)), HYPERLINK("#",""), HYPERLINK(CONCATENATE("#Metadata!", ADDRESS(INDEX($AI$2:$AI$1001,MATCH(ROWS($AG$2:AG62),$AG$2:$AG$1001,0),0), INDEX($AN$1004:$BO$1004,1,MATCH(COLUMNS($AN$1006:BK1006),$AN$1006:$BO$1006,0)))),"Fix")))</f>
        <v>0</v>
      </c>
      <c r="Z62" s="4">
        <f>IF(OR(INDEX($AH$2:$AH$1001,MATCH(ROWS($AG$2:AG62),$AG$2:$AG$1001,0),1)&gt;=100000,INDEX($AN$1005:$BO$1005,1,MATCH(COLUMNS($AN$1006:BL1006),$AN$1006:$BO$1006,0))&gt;=100000), " ",IF(INDEX($AN$2:$BO$1001,MATCH(ROWS($AG$2:AG62),$AG$2:$AG$1001,0),MATCH(COLUMNS($AN$1006:BL1006),$AN$1006:$BO$1006,0)), HYPERLINK("#",""), HYPERLINK(CONCATENATE("#Metadata!", ADDRESS(INDEX($AI$2:$AI$1001,MATCH(ROWS($AG$2:AG62),$AG$2:$AG$1001,0),0), INDEX($AN$1004:$BO$1004,1,MATCH(COLUMNS($AN$1006:BL1006),$AN$1006:$BO$1006,0)))),"Fix")))</f>
        <v>0</v>
      </c>
      <c r="AA62" s="4">
        <f>IF(OR(INDEX($AH$2:$AH$1001,MATCH(ROWS($AG$2:AG62),$AG$2:$AG$1001,0),1)&gt;=100000,INDEX($AN$1005:$BO$1005,1,MATCH(COLUMNS($AN$1006:BM1006),$AN$1006:$BO$1006,0))&gt;=100000), " ",IF(INDEX($AN$2:$BO$1001,MATCH(ROWS($AG$2:AG62),$AG$2:$AG$1001,0),MATCH(COLUMNS($AN$1006:BM1006),$AN$1006:$BO$1006,0)), HYPERLINK("#",""), HYPERLINK(CONCATENATE("#Metadata!", ADDRESS(INDEX($AI$2:$AI$1001,MATCH(ROWS($AG$2:AG62),$AG$2:$AG$1001,0),0), INDEX($AN$1004:$BO$1004,1,MATCH(COLUMNS($AN$1006:BM1006),$AN$1006:$BO$1006,0)))),"Fix")))</f>
        <v>0</v>
      </c>
      <c r="AB62" s="4">
        <f>IF(OR(INDEX($AH$2:$AH$1001,MATCH(ROWS($AG$2:AG62),$AG$2:$AG$1001,0),1)&gt;=100000,INDEX($AN$1005:$BO$1005,1,MATCH(COLUMNS($AN$1006:BN1006),$AN$1006:$BO$1006,0))&gt;=100000), " ",IF(INDEX($AN$2:$BO$1001,MATCH(ROWS($AG$2:AG62),$AG$2:$AG$1001,0),MATCH(COLUMNS($AN$1006:BN1006),$AN$1006:$BO$1006,0)), HYPERLINK("#",""), HYPERLINK(CONCATENATE("#Metadata!", ADDRESS(INDEX($AI$2:$AI$1001,MATCH(ROWS($AG$2:AG62),$AG$2:$AG$1001,0),0), INDEX($AN$1004:$BO$1004,1,MATCH(COLUMNS($AN$1006:BN1006),$AN$1006:$BO$1006,0)))),"Fix")))</f>
        <v>0</v>
      </c>
      <c r="AC62" s="4">
        <f>IF(OR(INDEX($AH$2:$AH$1001,MATCH(ROWS($AG$2:AG62),$AG$2:$AG$1001,0),1)&gt;=100000,INDEX($AN$1005:$BO$1005,1,MATCH(COLUMNS($AN$1006:BO1006),$AN$1006:$BO$1006,0))&gt;=100000), " ",IF(INDEX($AN$2:$BO$1001,MATCH(ROWS($AG$2:AG62),$AG$2:$AG$1001,0),MATCH(COLUMNS($AN$1006:BO1006),$AN$1006:$BO$1006,0)), HYPERLINK("#",""), HYPERLINK(CONCATENATE("#Metadata!", ADDRESS(INDEX($AI$2:$AI$1001,MATCH(ROWS($AG$2:AG62),$AG$2:$AG$1001,0),0), INDEX($AN$1004:$BO$1004,1,MATCH(COLUMNS($AN$1006:BO1006),$AN$1006:$BO$1006,0)))),"Fix")))</f>
        <v>0</v>
      </c>
      <c r="AG62">
        <v>0</v>
      </c>
      <c r="AH62">
        <v>0</v>
      </c>
      <c r="AI62">
        <v>0</v>
      </c>
      <c r="AJ62">
        <f>IF(AK62,TRUE,AND(AN62:BO62))</f>
        <v>0</v>
      </c>
      <c r="AK62">
        <f>COUNTBLANK(Metadata!B62:AC62)=COLUMNS(Metadata!B62:AC62)</f>
        <v>0</v>
      </c>
      <c r="AL62">
        <v>0</v>
      </c>
      <c r="AN62">
        <f>AND(IF(Metadata!B62="",FALSE,TRUE),COUNTIF(Metadata!B:B, Metadata!B62) = 1,NOT(ISERROR(SUMPRODUCT(SEARCH(MID(Metadata!B62,ROW(INDIRECT("1:"&amp;LEN(Metadata!B62))), 1),"0123456789abcdefghijklmnopqrstuvwxyzABCDEFGHIJKLMNOPQRSTUVWXYZ.")))))</f>
        <v>0</v>
      </c>
      <c r="AO62">
        <f>IF(Metadata!C62="",FALSE,TRUE)</f>
        <v>0</v>
      </c>
      <c r="AP62">
        <f>IF(Metadata!D62="",FALSE,TRUE)</f>
        <v>0</v>
      </c>
      <c r="AQ62">
        <f>OR(AND(IF(Metadata!E62="",FALSE,TRUE),OR(exact(Metadata!E62,"not collected"),exact(Metadata!E62,"not provided"),exact(Metadata!E62,"restricted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R62">
        <f>IF(Metadata!F62="",FALSE,TRUE)</f>
        <v>0</v>
      </c>
      <c r="AS62">
        <f>OR(AND(IF(Metadata!G62="",FALSE,TRUE),OR(exact(Metadata!G62,"not collected"),exact(Metadata!G62,"not provided"))),AND(IF(Metadata!G62="",FALSE,TRUE),OR(exact(Metadata!G62,"TRUE"),exact(Metadata!G62,"FALSE"))))</f>
        <v>0</v>
      </c>
      <c r="AT62">
        <f>OR(AND(IF(Metadata!H62="",FALSE,TRUE),OR(exact(Metadata!H62,"not collected"),exact(Metadata!H62,"not provided"),exact(Metadata!H62,"restricted access"))),AND(IF(Metadata!H62="",FALSE,ISNUMBER(VALUE(Metadata!H62))),Metadata!H62&gt;=-413.0))</f>
        <v>0</v>
      </c>
      <c r="AU62">
        <f>AND(IF(Metadata!I62="",FALSE,TRUE),exact(Metadata!I62,"meters"))</f>
        <v>0</v>
      </c>
      <c r="AV62">
        <f>AND(IF(Metadata!J62="",FALSE,TRUE),OR(exact(Metadata!J62,"Host-associated"),exact(Metadata!J62,"Free-living")))</f>
        <v>0</v>
      </c>
      <c r="AW62">
        <f>AND(IF(Metadata!K62="",FALSE,TRUE),OR(exact(Metadata!K62,"Animal"),exact(Metadata!K62,"Fungus"),exact(Metadata!K62,"Plant"),exact(Metadata!K62,"Saline"),exact(Metadata!K62,"Non-saline")))</f>
        <v>0</v>
      </c>
      <c r="AX62">
        <f>AND(IF(Metadata!L62="",FALSE,TRUE),OR(exact(Metadata!L62,"Plant secretion"),exact(Metadata!L62,"Plant rhizosphere"),exact(Metadata!L62,"Plant surface"),exact(Metadata!L62,"Plant corpus"),exact(Metadata!L62,"Fungus surface"),exact(Metadata!L62,"Fungus corpus"),exact(Metadata!L62,"Animal surface"),exact(Metadata!L62,"Animal proximal gut"),exact(Metadata!L62,"Animal corpus"),exact(Metadata!L62,"Animal distal gut"),exact(Metadata!L62,"Animal secretion"),exact(Metadata!L62,"Sub-surface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Y62">
        <f>IF(Metadata!M62="",FALSE,TRUE)</f>
        <v>0</v>
      </c>
      <c r="AZ62">
        <f>IF(Metadata!N62="",FALSE,TRUE)</f>
        <v>0</v>
      </c>
      <c r="BA62">
        <f>IF(Metadata!O62="",FALSE,TRUE)</f>
        <v>0</v>
      </c>
      <c r="BB62">
        <f>OR(AND(IF(Metadata!P62="",FALSE,TRUE),OR(exact(Metadata!P62,"not collected"),exact(Metadata!P62,"not provided"),exact(Metadata!P62,"restricted access"))),AND(IF(Metadata!P62="",FALSE,TRUE),OR(exact(Metadata!P62,"air"),exact(Metadata!P62,"built environment"),exact(Metadata!P62,"host-associated"),exact(Metadata!P62,"human-associated"),exact(Metadata!P62,"human-skin"),exact(Metadata!P62,"human-oral"),exact(Metadata!P62,"human-gut"),exact(Metadata!P62,"human-vaginal"),exact(Metadata!P62,"microbial mat/biofilm"),exact(Metadata!P62,"misc environment"),exact(Metadata!P62,"plant-associated"),exact(Metadata!P62,"sediment"),exact(Metadata!P62,"soil"),exact(Metadata!P62,"wastewater/sludge"),exact(Metadata!P62,"water"))))</f>
        <v>0</v>
      </c>
      <c r="BC62">
        <f>IF(Metadata!Q62="",FALSE,TRUE)</f>
        <v>0</v>
      </c>
      <c r="BD62">
        <f>IF(Metadata!R62="",FALSE,TRUE)</f>
        <v>0</v>
      </c>
      <c r="BE62">
        <f>OR(AND(IF(Metadata!S62="",FALSE,TRUE),OR(exact(Metadata!S62,"not collected"),exact(Metadata!S62,"not provided"),exact(Metadata!S62,"restricted access"))),AND(IF(Metadata!S62="",FALSE,ISNUMBER(VALUE(Metadata!S62))),Metadata!S62&gt;=-90.00,Metadata!S62&lt;=90.00))</f>
        <v>0</v>
      </c>
      <c r="BF62">
        <f>AND(IF(Metadata!T62="",FALSE,TRUE),exact(Metadata!T62,"Decimal degrees"))</f>
        <v>0</v>
      </c>
      <c r="BG62">
        <f>OR(AND(IF(Metadata!U62="",FALSE,TRUE),OR(exact(Metadata!U62,"not collected"),exact(Metadata!U62,"not provided"),exact(Metadata!U62,"restricted access"))),AND(IF(Metadata!U62="",FALSE,ISNUMBER(VALUE(Metadata!U62))),Metadata!U62&gt;=-180.00,Metadata!U62&lt;=180.00))</f>
        <v>0</v>
      </c>
      <c r="BH62">
        <f>AND(IF(Metadata!V62="",FALSE,TRUE),exact(Metadata!V62,"Decimal degrees"))</f>
        <v>0</v>
      </c>
      <c r="BI62">
        <f>IF(Metadata!W62="",FALSE,TRUE)</f>
        <v>0</v>
      </c>
      <c r="BJ62">
        <f>OR(AND(IF(Metadata!X62="",FALSE,TRUE),OR(exact(Metadata!X62,"not collected"),exact(Metadata!X62,"not provided"),exact(Metadata!X62,"restricted access"))),AND(IF(Metadata!X62="",FALSE,TRUE),OR(exact(Metadata!X62,"TRUE"),exact(Metadata!X62,"FALSE"))))</f>
        <v>0</v>
      </c>
      <c r="BK62">
        <f>AND(IF(Metadata!Y62="",FALSE,TRUE),exact(Metadata!Y62,"other"))</f>
        <v>0</v>
      </c>
      <c r="BL62">
        <f>IF(Metadata!Z62="",FALSE,TRUE)</f>
        <v>0</v>
      </c>
      <c r="BM62">
        <f>OR(AND(IF(Metadata!AA62="",FALSE,TRUE),OR(exact(Metadata!AA62,"not collected"),exact(Metadata!AA62,"not provided"))),AND(IF(Metadata!AA62="",FALSE,IF(ISERROR(INT(Metadata!AA62)),FALSE,INT(Metadata!AA62)=Metadata!AA62)),Metadata!AA62&gt;0))</f>
        <v>0</v>
      </c>
      <c r="BN62">
        <f>AND(IF(Metadata!AB62="",FALSE,TRUE),exact(Metadata!AB62,"Not applicable"))</f>
        <v>0</v>
      </c>
      <c r="BO62">
        <f>IF(Metadata!AC62="",FALSE,TRUE)</f>
        <v>0</v>
      </c>
    </row>
    <row r="63" spans="1:67">
      <c r="A63" s="5">
        <f>IF(B63=" "," ",HYPERLINK(CONCATENATE("#metadata!",ADDRESS(INDEX($AI$2:$AI$1001,MATCH(ROWS($AG$2:AG63),$AG$2:$AG$1001,0),0),1)),INDEX($AL$2:$AL$1001,MATCH(ROWS($AG$2:AG63),$AG$2:$AG$1001,0),0)))</f>
        <v>0</v>
      </c>
      <c r="B63" s="4">
        <f>IF(OR(INDEX($AH$2:$AH$1001,MATCH(ROWS($AG$2:AG63),$AG$2:$AG$1001,0),1)&gt;=100000,INDEX($AN$1005:$BO$1005,1,MATCH(COLUMNS($AN$1006:AN1006),$AN$1006:$BO$1006,0))&gt;=100000), " ",IF(INDEX($AN$2:$BO$1001,MATCH(ROWS($AG$2:AG63),$AG$2:$AG$1001,0),MATCH(COLUMNS($AN$1006:AN1006),$AN$1006:$BO$1006,0)), HYPERLINK("#",""), HYPERLINK(CONCATENATE("#Metadata!", ADDRESS(INDEX($AI$2:$AI$1001,MATCH(ROWS($AG$2:AG63),$AG$2:$AG$1001,0),0), INDEX($AN$1004:$BO$1004,1,MATCH(COLUMNS($AN$1006:AN1006),$AN$1006:$BO$1006,0)))),"Fix")))</f>
        <v>0</v>
      </c>
      <c r="C63" s="4">
        <f>IF(OR(INDEX($AH$2:$AH$1001,MATCH(ROWS($AG$2:AG63),$AG$2:$AG$1001,0),1)&gt;=100000,INDEX($AN$1005:$BO$1005,1,MATCH(COLUMNS($AN$1006:AO1006),$AN$1006:$BO$1006,0))&gt;=100000), " ",IF(INDEX($AN$2:$BO$1001,MATCH(ROWS($AG$2:AG63),$AG$2:$AG$1001,0),MATCH(COLUMNS($AN$1006:AO1006),$AN$1006:$BO$1006,0)), HYPERLINK("#",""), HYPERLINK(CONCATENATE("#Metadata!", ADDRESS(INDEX($AI$2:$AI$1001,MATCH(ROWS($AG$2:AG63),$AG$2:$AG$1001,0),0), INDEX($AN$1004:$BO$1004,1,MATCH(COLUMNS($AN$1006:AO1006),$AN$1006:$BO$1006,0)))),"Fix")))</f>
        <v>0</v>
      </c>
      <c r="D63" s="4">
        <f>IF(OR(INDEX($AH$2:$AH$1001,MATCH(ROWS($AG$2:AG63),$AG$2:$AG$1001,0),1)&gt;=100000,INDEX($AN$1005:$BO$1005,1,MATCH(COLUMNS($AN$1006:AP1006),$AN$1006:$BO$1006,0))&gt;=100000), " ",IF(INDEX($AN$2:$BO$1001,MATCH(ROWS($AG$2:AG63),$AG$2:$AG$1001,0),MATCH(COLUMNS($AN$1006:AP1006),$AN$1006:$BO$1006,0)), HYPERLINK("#",""), HYPERLINK(CONCATENATE("#Metadata!", ADDRESS(INDEX($AI$2:$AI$1001,MATCH(ROWS($AG$2:AG63),$AG$2:$AG$1001,0),0), INDEX($AN$1004:$BO$1004,1,MATCH(COLUMNS($AN$1006:AP1006),$AN$1006:$BO$1006,0)))),"Fix")))</f>
        <v>0</v>
      </c>
      <c r="E63" s="4">
        <f>IF(OR(INDEX($AH$2:$AH$1001,MATCH(ROWS($AG$2:AG63),$AG$2:$AG$1001,0),1)&gt;=100000,INDEX($AN$1005:$BO$1005,1,MATCH(COLUMNS($AN$1006:AQ1006),$AN$1006:$BO$1006,0))&gt;=100000), " ",IF(INDEX($AN$2:$BO$1001,MATCH(ROWS($AG$2:AG63),$AG$2:$AG$1001,0),MATCH(COLUMNS($AN$1006:AQ1006),$AN$1006:$BO$1006,0)), HYPERLINK("#",""), HYPERLINK(CONCATENATE("#Metadata!", ADDRESS(INDEX($AI$2:$AI$1001,MATCH(ROWS($AG$2:AG63),$AG$2:$AG$1001,0),0), INDEX($AN$1004:$BO$1004,1,MATCH(COLUMNS($AN$1006:AQ1006),$AN$1006:$BO$1006,0)))),"Fix")))</f>
        <v>0</v>
      </c>
      <c r="F63" s="4">
        <f>IF(OR(INDEX($AH$2:$AH$1001,MATCH(ROWS($AG$2:AG63),$AG$2:$AG$1001,0),1)&gt;=100000,INDEX($AN$1005:$BO$1005,1,MATCH(COLUMNS($AN$1006:AR1006),$AN$1006:$BO$1006,0))&gt;=100000), " ",IF(INDEX($AN$2:$BO$1001,MATCH(ROWS($AG$2:AG63),$AG$2:$AG$1001,0),MATCH(COLUMNS($AN$1006:AR1006),$AN$1006:$BO$1006,0)), HYPERLINK("#",""), HYPERLINK(CONCATENATE("#Metadata!", ADDRESS(INDEX($AI$2:$AI$1001,MATCH(ROWS($AG$2:AG63),$AG$2:$AG$1001,0),0), INDEX($AN$1004:$BO$1004,1,MATCH(COLUMNS($AN$1006:AR1006),$AN$1006:$BO$1006,0)))),"Fix")))</f>
        <v>0</v>
      </c>
      <c r="G63" s="4">
        <f>IF(OR(INDEX($AH$2:$AH$1001,MATCH(ROWS($AG$2:AG63),$AG$2:$AG$1001,0),1)&gt;=100000,INDEX($AN$1005:$BO$1005,1,MATCH(COLUMNS($AN$1006:AS1006),$AN$1006:$BO$1006,0))&gt;=100000), " ",IF(INDEX($AN$2:$BO$1001,MATCH(ROWS($AG$2:AG63),$AG$2:$AG$1001,0),MATCH(COLUMNS($AN$1006:AS1006),$AN$1006:$BO$1006,0)), HYPERLINK("#",""), HYPERLINK(CONCATENATE("#Metadata!", ADDRESS(INDEX($AI$2:$AI$1001,MATCH(ROWS($AG$2:AG63),$AG$2:$AG$1001,0),0), INDEX($AN$1004:$BO$1004,1,MATCH(COLUMNS($AN$1006:AS1006),$AN$1006:$BO$1006,0)))),"Fix")))</f>
        <v>0</v>
      </c>
      <c r="H63" s="4">
        <f>IF(OR(INDEX($AH$2:$AH$1001,MATCH(ROWS($AG$2:AG63),$AG$2:$AG$1001,0),1)&gt;=100000,INDEX($AN$1005:$BO$1005,1,MATCH(COLUMNS($AN$1006:AT1006),$AN$1006:$BO$1006,0))&gt;=100000), " ",IF(INDEX($AN$2:$BO$1001,MATCH(ROWS($AG$2:AG63),$AG$2:$AG$1001,0),MATCH(COLUMNS($AN$1006:AT1006),$AN$1006:$BO$1006,0)), HYPERLINK("#",""), HYPERLINK(CONCATENATE("#Metadata!", ADDRESS(INDEX($AI$2:$AI$1001,MATCH(ROWS($AG$2:AG63),$AG$2:$AG$1001,0),0), INDEX($AN$1004:$BO$1004,1,MATCH(COLUMNS($AN$1006:AT1006),$AN$1006:$BO$1006,0)))),"Fix")))</f>
        <v>0</v>
      </c>
      <c r="I63" s="4">
        <f>IF(OR(INDEX($AH$2:$AH$1001,MATCH(ROWS($AG$2:AG63),$AG$2:$AG$1001,0),1)&gt;=100000,INDEX($AN$1005:$BO$1005,1,MATCH(COLUMNS($AN$1006:AU1006),$AN$1006:$BO$1006,0))&gt;=100000), " ",IF(INDEX($AN$2:$BO$1001,MATCH(ROWS($AG$2:AG63),$AG$2:$AG$1001,0),MATCH(COLUMNS($AN$1006:AU1006),$AN$1006:$BO$1006,0)), HYPERLINK("#",""), HYPERLINK(CONCATENATE("#Metadata!", ADDRESS(INDEX($AI$2:$AI$1001,MATCH(ROWS($AG$2:AG63),$AG$2:$AG$1001,0),0), INDEX($AN$1004:$BO$1004,1,MATCH(COLUMNS($AN$1006:AU1006),$AN$1006:$BO$1006,0)))),"Fix")))</f>
        <v>0</v>
      </c>
      <c r="J63" s="4">
        <f>IF(OR(INDEX($AH$2:$AH$1001,MATCH(ROWS($AG$2:AG63),$AG$2:$AG$1001,0),1)&gt;=100000,INDEX($AN$1005:$BO$1005,1,MATCH(COLUMNS($AN$1006:AV1006),$AN$1006:$BO$1006,0))&gt;=100000), " ",IF(INDEX($AN$2:$BO$1001,MATCH(ROWS($AG$2:AG63),$AG$2:$AG$1001,0),MATCH(COLUMNS($AN$1006:AV1006),$AN$1006:$BO$1006,0)), HYPERLINK("#",""), HYPERLINK(CONCATENATE("#Metadata!", ADDRESS(INDEX($AI$2:$AI$1001,MATCH(ROWS($AG$2:AG63),$AG$2:$AG$1001,0),0), INDEX($AN$1004:$BO$1004,1,MATCH(COLUMNS($AN$1006:AV1006),$AN$1006:$BO$1006,0)))),"Fix")))</f>
        <v>0</v>
      </c>
      <c r="K63" s="4">
        <f>IF(OR(INDEX($AH$2:$AH$1001,MATCH(ROWS($AG$2:AG63),$AG$2:$AG$1001,0),1)&gt;=100000,INDEX($AN$1005:$BO$1005,1,MATCH(COLUMNS($AN$1006:AW1006),$AN$1006:$BO$1006,0))&gt;=100000), " ",IF(INDEX($AN$2:$BO$1001,MATCH(ROWS($AG$2:AG63),$AG$2:$AG$1001,0),MATCH(COLUMNS($AN$1006:AW1006),$AN$1006:$BO$1006,0)), HYPERLINK("#",""), HYPERLINK(CONCATENATE("#Metadata!", ADDRESS(INDEX($AI$2:$AI$1001,MATCH(ROWS($AG$2:AG63),$AG$2:$AG$1001,0),0), INDEX($AN$1004:$BO$1004,1,MATCH(COLUMNS($AN$1006:AW1006),$AN$1006:$BO$1006,0)))),"Fix")))</f>
        <v>0</v>
      </c>
      <c r="L63" s="4">
        <f>IF(OR(INDEX($AH$2:$AH$1001,MATCH(ROWS($AG$2:AG63),$AG$2:$AG$1001,0),1)&gt;=100000,INDEX($AN$1005:$BO$1005,1,MATCH(COLUMNS($AN$1006:AX1006),$AN$1006:$BO$1006,0))&gt;=100000), " ",IF(INDEX($AN$2:$BO$1001,MATCH(ROWS($AG$2:AG63),$AG$2:$AG$1001,0),MATCH(COLUMNS($AN$1006:AX1006),$AN$1006:$BO$1006,0)), HYPERLINK("#",""), HYPERLINK(CONCATENATE("#Metadata!", ADDRESS(INDEX($AI$2:$AI$1001,MATCH(ROWS($AG$2:AG63),$AG$2:$AG$1001,0),0), INDEX($AN$1004:$BO$1004,1,MATCH(COLUMNS($AN$1006:AX1006),$AN$1006:$BO$1006,0)))),"Fix")))</f>
        <v>0</v>
      </c>
      <c r="M63" s="4">
        <f>IF(OR(INDEX($AH$2:$AH$1001,MATCH(ROWS($AG$2:AG63),$AG$2:$AG$1001,0),1)&gt;=100000,INDEX($AN$1005:$BO$1005,1,MATCH(COLUMNS($AN$1006:AY1006),$AN$1006:$BO$1006,0))&gt;=100000), " ",IF(INDEX($AN$2:$BO$1001,MATCH(ROWS($AG$2:AG63),$AG$2:$AG$1001,0),MATCH(COLUMNS($AN$1006:AY1006),$AN$1006:$BO$1006,0)), HYPERLINK("#",""), HYPERLINK(CONCATENATE("#Metadata!", ADDRESS(INDEX($AI$2:$AI$1001,MATCH(ROWS($AG$2:AG63),$AG$2:$AG$1001,0),0), INDEX($AN$1004:$BO$1004,1,MATCH(COLUMNS($AN$1006:AY1006),$AN$1006:$BO$1006,0)))),"Fix")))</f>
        <v>0</v>
      </c>
      <c r="N63" s="4">
        <f>IF(OR(INDEX($AH$2:$AH$1001,MATCH(ROWS($AG$2:AG63),$AG$2:$AG$1001,0),1)&gt;=100000,INDEX($AN$1005:$BO$1005,1,MATCH(COLUMNS($AN$1006:AZ1006),$AN$1006:$BO$1006,0))&gt;=100000), " ",IF(INDEX($AN$2:$BO$1001,MATCH(ROWS($AG$2:AG63),$AG$2:$AG$1001,0),MATCH(COLUMNS($AN$1006:AZ1006),$AN$1006:$BO$1006,0)), HYPERLINK("#",""), HYPERLINK(CONCATENATE("#Metadata!", ADDRESS(INDEX($AI$2:$AI$1001,MATCH(ROWS($AG$2:AG63),$AG$2:$AG$1001,0),0), INDEX($AN$1004:$BO$1004,1,MATCH(COLUMNS($AN$1006:AZ1006),$AN$1006:$BO$1006,0)))),"Fix")))</f>
        <v>0</v>
      </c>
      <c r="O63" s="4">
        <f>IF(OR(INDEX($AH$2:$AH$1001,MATCH(ROWS($AG$2:AG63),$AG$2:$AG$1001,0),1)&gt;=100000,INDEX($AN$1005:$BO$1005,1,MATCH(COLUMNS($AN$1006:BA1006),$AN$1006:$BO$1006,0))&gt;=100000), " ",IF(INDEX($AN$2:$BO$1001,MATCH(ROWS($AG$2:AG63),$AG$2:$AG$1001,0),MATCH(COLUMNS($AN$1006:BA1006),$AN$1006:$BO$1006,0)), HYPERLINK("#",""), HYPERLINK(CONCATENATE("#Metadata!", ADDRESS(INDEX($AI$2:$AI$1001,MATCH(ROWS($AG$2:AG63),$AG$2:$AG$1001,0),0), INDEX($AN$1004:$BO$1004,1,MATCH(COLUMNS($AN$1006:BA1006),$AN$1006:$BO$1006,0)))),"Fix")))</f>
        <v>0</v>
      </c>
      <c r="P63" s="4">
        <f>IF(OR(INDEX($AH$2:$AH$1001,MATCH(ROWS($AG$2:AG63),$AG$2:$AG$1001,0),1)&gt;=100000,INDEX($AN$1005:$BO$1005,1,MATCH(COLUMNS($AN$1006:BB1006),$AN$1006:$BO$1006,0))&gt;=100000), " ",IF(INDEX($AN$2:$BO$1001,MATCH(ROWS($AG$2:AG63),$AG$2:$AG$1001,0),MATCH(COLUMNS($AN$1006:BB1006),$AN$1006:$BO$1006,0)), HYPERLINK("#",""), HYPERLINK(CONCATENATE("#Metadata!", ADDRESS(INDEX($AI$2:$AI$1001,MATCH(ROWS($AG$2:AG63),$AG$2:$AG$1001,0),0), INDEX($AN$1004:$BO$1004,1,MATCH(COLUMNS($AN$1006:BB1006),$AN$1006:$BO$1006,0)))),"Fix")))</f>
        <v>0</v>
      </c>
      <c r="Q63" s="4">
        <f>IF(OR(INDEX($AH$2:$AH$1001,MATCH(ROWS($AG$2:AG63),$AG$2:$AG$1001,0),1)&gt;=100000,INDEX($AN$1005:$BO$1005,1,MATCH(COLUMNS($AN$1006:BC1006),$AN$1006:$BO$1006,0))&gt;=100000), " ",IF(INDEX($AN$2:$BO$1001,MATCH(ROWS($AG$2:AG63),$AG$2:$AG$1001,0),MATCH(COLUMNS($AN$1006:BC1006),$AN$1006:$BO$1006,0)), HYPERLINK("#",""), HYPERLINK(CONCATENATE("#Metadata!", ADDRESS(INDEX($AI$2:$AI$1001,MATCH(ROWS($AG$2:AG63),$AG$2:$AG$1001,0),0), INDEX($AN$1004:$BO$1004,1,MATCH(COLUMNS($AN$1006:BC1006),$AN$1006:$BO$1006,0)))),"Fix")))</f>
        <v>0</v>
      </c>
      <c r="R63" s="4">
        <f>IF(OR(INDEX($AH$2:$AH$1001,MATCH(ROWS($AG$2:AG63),$AG$2:$AG$1001,0),1)&gt;=100000,INDEX($AN$1005:$BO$1005,1,MATCH(COLUMNS($AN$1006:BD1006),$AN$1006:$BO$1006,0))&gt;=100000), " ",IF(INDEX($AN$2:$BO$1001,MATCH(ROWS($AG$2:AG63),$AG$2:$AG$1001,0),MATCH(COLUMNS($AN$1006:BD1006),$AN$1006:$BO$1006,0)), HYPERLINK("#",""), HYPERLINK(CONCATENATE("#Metadata!", ADDRESS(INDEX($AI$2:$AI$1001,MATCH(ROWS($AG$2:AG63),$AG$2:$AG$1001,0),0), INDEX($AN$1004:$BO$1004,1,MATCH(COLUMNS($AN$1006:BD1006),$AN$1006:$BO$1006,0)))),"Fix")))</f>
        <v>0</v>
      </c>
      <c r="S63" s="4">
        <f>IF(OR(INDEX($AH$2:$AH$1001,MATCH(ROWS($AG$2:AG63),$AG$2:$AG$1001,0),1)&gt;=100000,INDEX($AN$1005:$BO$1005,1,MATCH(COLUMNS($AN$1006:BE1006),$AN$1006:$BO$1006,0))&gt;=100000), " ",IF(INDEX($AN$2:$BO$1001,MATCH(ROWS($AG$2:AG63),$AG$2:$AG$1001,0),MATCH(COLUMNS($AN$1006:BE1006),$AN$1006:$BO$1006,0)), HYPERLINK("#",""), HYPERLINK(CONCATENATE("#Metadata!", ADDRESS(INDEX($AI$2:$AI$1001,MATCH(ROWS($AG$2:AG63),$AG$2:$AG$1001,0),0), INDEX($AN$1004:$BO$1004,1,MATCH(COLUMNS($AN$1006:BE1006),$AN$1006:$BO$1006,0)))),"Fix")))</f>
        <v>0</v>
      </c>
      <c r="T63" s="4">
        <f>IF(OR(INDEX($AH$2:$AH$1001,MATCH(ROWS($AG$2:AG63),$AG$2:$AG$1001,0),1)&gt;=100000,INDEX($AN$1005:$BO$1005,1,MATCH(COLUMNS($AN$1006:BF1006),$AN$1006:$BO$1006,0))&gt;=100000), " ",IF(INDEX($AN$2:$BO$1001,MATCH(ROWS($AG$2:AG63),$AG$2:$AG$1001,0),MATCH(COLUMNS($AN$1006:BF1006),$AN$1006:$BO$1006,0)), HYPERLINK("#",""), HYPERLINK(CONCATENATE("#Metadata!", ADDRESS(INDEX($AI$2:$AI$1001,MATCH(ROWS($AG$2:AG63),$AG$2:$AG$1001,0),0), INDEX($AN$1004:$BO$1004,1,MATCH(COLUMNS($AN$1006:BF1006),$AN$1006:$BO$1006,0)))),"Fix")))</f>
        <v>0</v>
      </c>
      <c r="U63" s="4">
        <f>IF(OR(INDEX($AH$2:$AH$1001,MATCH(ROWS($AG$2:AG63),$AG$2:$AG$1001,0),1)&gt;=100000,INDEX($AN$1005:$BO$1005,1,MATCH(COLUMNS($AN$1006:BG1006),$AN$1006:$BO$1006,0))&gt;=100000), " ",IF(INDEX($AN$2:$BO$1001,MATCH(ROWS($AG$2:AG63),$AG$2:$AG$1001,0),MATCH(COLUMNS($AN$1006:BG1006),$AN$1006:$BO$1006,0)), HYPERLINK("#",""), HYPERLINK(CONCATENATE("#Metadata!", ADDRESS(INDEX($AI$2:$AI$1001,MATCH(ROWS($AG$2:AG63),$AG$2:$AG$1001,0),0), INDEX($AN$1004:$BO$1004,1,MATCH(COLUMNS($AN$1006:BG1006),$AN$1006:$BO$1006,0)))),"Fix")))</f>
        <v>0</v>
      </c>
      <c r="V63" s="4">
        <f>IF(OR(INDEX($AH$2:$AH$1001,MATCH(ROWS($AG$2:AG63),$AG$2:$AG$1001,0),1)&gt;=100000,INDEX($AN$1005:$BO$1005,1,MATCH(COLUMNS($AN$1006:BH1006),$AN$1006:$BO$1006,0))&gt;=100000), " ",IF(INDEX($AN$2:$BO$1001,MATCH(ROWS($AG$2:AG63),$AG$2:$AG$1001,0),MATCH(COLUMNS($AN$1006:BH1006),$AN$1006:$BO$1006,0)), HYPERLINK("#",""), HYPERLINK(CONCATENATE("#Metadata!", ADDRESS(INDEX($AI$2:$AI$1001,MATCH(ROWS($AG$2:AG63),$AG$2:$AG$1001,0),0), INDEX($AN$1004:$BO$1004,1,MATCH(COLUMNS($AN$1006:BH1006),$AN$1006:$BO$1006,0)))),"Fix")))</f>
        <v>0</v>
      </c>
      <c r="W63" s="4">
        <f>IF(OR(INDEX($AH$2:$AH$1001,MATCH(ROWS($AG$2:AG63),$AG$2:$AG$1001,0),1)&gt;=100000,INDEX($AN$1005:$BO$1005,1,MATCH(COLUMNS($AN$1006:BI1006),$AN$1006:$BO$1006,0))&gt;=100000), " ",IF(INDEX($AN$2:$BO$1001,MATCH(ROWS($AG$2:AG63),$AG$2:$AG$1001,0),MATCH(COLUMNS($AN$1006:BI1006),$AN$1006:$BO$1006,0)), HYPERLINK("#",""), HYPERLINK(CONCATENATE("#Metadata!", ADDRESS(INDEX($AI$2:$AI$1001,MATCH(ROWS($AG$2:AG63),$AG$2:$AG$1001,0),0), INDEX($AN$1004:$BO$1004,1,MATCH(COLUMNS($AN$1006:BI1006),$AN$1006:$BO$1006,0)))),"Fix")))</f>
        <v>0</v>
      </c>
      <c r="X63" s="4">
        <f>IF(OR(INDEX($AH$2:$AH$1001,MATCH(ROWS($AG$2:AG63),$AG$2:$AG$1001,0),1)&gt;=100000,INDEX($AN$1005:$BO$1005,1,MATCH(COLUMNS($AN$1006:BJ1006),$AN$1006:$BO$1006,0))&gt;=100000), " ",IF(INDEX($AN$2:$BO$1001,MATCH(ROWS($AG$2:AG63),$AG$2:$AG$1001,0),MATCH(COLUMNS($AN$1006:BJ1006),$AN$1006:$BO$1006,0)), HYPERLINK("#",""), HYPERLINK(CONCATENATE("#Metadata!", ADDRESS(INDEX($AI$2:$AI$1001,MATCH(ROWS($AG$2:AG63),$AG$2:$AG$1001,0),0), INDEX($AN$1004:$BO$1004,1,MATCH(COLUMNS($AN$1006:BJ1006),$AN$1006:$BO$1006,0)))),"Fix")))</f>
        <v>0</v>
      </c>
      <c r="Y63" s="4">
        <f>IF(OR(INDEX($AH$2:$AH$1001,MATCH(ROWS($AG$2:AG63),$AG$2:$AG$1001,0),1)&gt;=100000,INDEX($AN$1005:$BO$1005,1,MATCH(COLUMNS($AN$1006:BK1006),$AN$1006:$BO$1006,0))&gt;=100000), " ",IF(INDEX($AN$2:$BO$1001,MATCH(ROWS($AG$2:AG63),$AG$2:$AG$1001,0),MATCH(COLUMNS($AN$1006:BK1006),$AN$1006:$BO$1006,0)), HYPERLINK("#",""), HYPERLINK(CONCATENATE("#Metadata!", ADDRESS(INDEX($AI$2:$AI$1001,MATCH(ROWS($AG$2:AG63),$AG$2:$AG$1001,0),0), INDEX($AN$1004:$BO$1004,1,MATCH(COLUMNS($AN$1006:BK1006),$AN$1006:$BO$1006,0)))),"Fix")))</f>
        <v>0</v>
      </c>
      <c r="Z63" s="4">
        <f>IF(OR(INDEX($AH$2:$AH$1001,MATCH(ROWS($AG$2:AG63),$AG$2:$AG$1001,0),1)&gt;=100000,INDEX($AN$1005:$BO$1005,1,MATCH(COLUMNS($AN$1006:BL1006),$AN$1006:$BO$1006,0))&gt;=100000), " ",IF(INDEX($AN$2:$BO$1001,MATCH(ROWS($AG$2:AG63),$AG$2:$AG$1001,0),MATCH(COLUMNS($AN$1006:BL1006),$AN$1006:$BO$1006,0)), HYPERLINK("#",""), HYPERLINK(CONCATENATE("#Metadata!", ADDRESS(INDEX($AI$2:$AI$1001,MATCH(ROWS($AG$2:AG63),$AG$2:$AG$1001,0),0), INDEX($AN$1004:$BO$1004,1,MATCH(COLUMNS($AN$1006:BL1006),$AN$1006:$BO$1006,0)))),"Fix")))</f>
        <v>0</v>
      </c>
      <c r="AA63" s="4">
        <f>IF(OR(INDEX($AH$2:$AH$1001,MATCH(ROWS($AG$2:AG63),$AG$2:$AG$1001,0),1)&gt;=100000,INDEX($AN$1005:$BO$1005,1,MATCH(COLUMNS($AN$1006:BM1006),$AN$1006:$BO$1006,0))&gt;=100000), " ",IF(INDEX($AN$2:$BO$1001,MATCH(ROWS($AG$2:AG63),$AG$2:$AG$1001,0),MATCH(COLUMNS($AN$1006:BM1006),$AN$1006:$BO$1006,0)), HYPERLINK("#",""), HYPERLINK(CONCATENATE("#Metadata!", ADDRESS(INDEX($AI$2:$AI$1001,MATCH(ROWS($AG$2:AG63),$AG$2:$AG$1001,0),0), INDEX($AN$1004:$BO$1004,1,MATCH(COLUMNS($AN$1006:BM1006),$AN$1006:$BO$1006,0)))),"Fix")))</f>
        <v>0</v>
      </c>
      <c r="AB63" s="4">
        <f>IF(OR(INDEX($AH$2:$AH$1001,MATCH(ROWS($AG$2:AG63),$AG$2:$AG$1001,0),1)&gt;=100000,INDEX($AN$1005:$BO$1005,1,MATCH(COLUMNS($AN$1006:BN1006),$AN$1006:$BO$1006,0))&gt;=100000), " ",IF(INDEX($AN$2:$BO$1001,MATCH(ROWS($AG$2:AG63),$AG$2:$AG$1001,0),MATCH(COLUMNS($AN$1006:BN1006),$AN$1006:$BO$1006,0)), HYPERLINK("#",""), HYPERLINK(CONCATENATE("#Metadata!", ADDRESS(INDEX($AI$2:$AI$1001,MATCH(ROWS($AG$2:AG63),$AG$2:$AG$1001,0),0), INDEX($AN$1004:$BO$1004,1,MATCH(COLUMNS($AN$1006:BN1006),$AN$1006:$BO$1006,0)))),"Fix")))</f>
        <v>0</v>
      </c>
      <c r="AC63" s="4">
        <f>IF(OR(INDEX($AH$2:$AH$1001,MATCH(ROWS($AG$2:AG63),$AG$2:$AG$1001,0),1)&gt;=100000,INDEX($AN$1005:$BO$1005,1,MATCH(COLUMNS($AN$1006:BO1006),$AN$1006:$BO$1006,0))&gt;=100000), " ",IF(INDEX($AN$2:$BO$1001,MATCH(ROWS($AG$2:AG63),$AG$2:$AG$1001,0),MATCH(COLUMNS($AN$1006:BO1006),$AN$1006:$BO$1006,0)), HYPERLINK("#",""), HYPERLINK(CONCATENATE("#Metadata!", ADDRESS(INDEX($AI$2:$AI$1001,MATCH(ROWS($AG$2:AG63),$AG$2:$AG$1001,0),0), INDEX($AN$1004:$BO$1004,1,MATCH(COLUMNS($AN$1006:BO1006),$AN$1006:$BO$1006,0)))),"Fix")))</f>
        <v>0</v>
      </c>
      <c r="AG63">
        <v>0</v>
      </c>
      <c r="AH63">
        <v>0</v>
      </c>
      <c r="AI63">
        <v>0</v>
      </c>
      <c r="AJ63">
        <f>IF(AK63,TRUE,AND(AN63:BO63))</f>
        <v>0</v>
      </c>
      <c r="AK63">
        <f>COUNTBLANK(Metadata!B63:AC63)=COLUMNS(Metadata!B63:AC63)</f>
        <v>0</v>
      </c>
      <c r="AL63">
        <v>0</v>
      </c>
      <c r="AN63">
        <f>AND(IF(Metadata!B63="",FALSE,TRUE),COUNTIF(Metadata!B:B, Metadata!B63) = 1,NOT(ISERROR(SUMPRODUCT(SEARCH(MID(Metadata!B63,ROW(INDIRECT("1:"&amp;LEN(Metadata!B63))), 1),"0123456789abcdefghijklmnopqrstuvwxyzABCDEFGHIJKLMNOPQRSTUVWXYZ.")))))</f>
        <v>0</v>
      </c>
      <c r="AO63">
        <f>IF(Metadata!C63="",FALSE,TRUE)</f>
        <v>0</v>
      </c>
      <c r="AP63">
        <f>IF(Metadata!D63="",FALSE,TRUE)</f>
        <v>0</v>
      </c>
      <c r="AQ63">
        <f>OR(AND(IF(Metadata!E63="",FALSE,TRUE),OR(exact(Metadata!E63,"not collected"),exact(Metadata!E63,"not provided"),exact(Metadata!E63,"restricted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R63">
        <f>IF(Metadata!F63="",FALSE,TRUE)</f>
        <v>0</v>
      </c>
      <c r="AS63">
        <f>OR(AND(IF(Metadata!G63="",FALSE,TRUE),OR(exact(Metadata!G63,"not collected"),exact(Metadata!G63,"not provided"))),AND(IF(Metadata!G63="",FALSE,TRUE),OR(exact(Metadata!G63,"TRUE"),exact(Metadata!G63,"FALSE"))))</f>
        <v>0</v>
      </c>
      <c r="AT63">
        <f>OR(AND(IF(Metadata!H63="",FALSE,TRUE),OR(exact(Metadata!H63,"not collected"),exact(Metadata!H63,"not provided"),exact(Metadata!H63,"restricted access"))),AND(IF(Metadata!H63="",FALSE,ISNUMBER(VALUE(Metadata!H63))),Metadata!H63&gt;=-413.0))</f>
        <v>0</v>
      </c>
      <c r="AU63">
        <f>AND(IF(Metadata!I63="",FALSE,TRUE),exact(Metadata!I63,"meters"))</f>
        <v>0</v>
      </c>
      <c r="AV63">
        <f>AND(IF(Metadata!J63="",FALSE,TRUE),OR(exact(Metadata!J63,"Host-associated"),exact(Metadata!J63,"Free-living")))</f>
        <v>0</v>
      </c>
      <c r="AW63">
        <f>AND(IF(Metadata!K63="",FALSE,TRUE),OR(exact(Metadata!K63,"Animal"),exact(Metadata!K63,"Fungus"),exact(Metadata!K63,"Plant"),exact(Metadata!K63,"Saline"),exact(Metadata!K63,"Non-saline")))</f>
        <v>0</v>
      </c>
      <c r="AX63">
        <f>AND(IF(Metadata!L63="",FALSE,TRUE),OR(exact(Metadata!L63,"Plant secretion"),exact(Metadata!L63,"Plant rhizosphere"),exact(Metadata!L63,"Plant surface"),exact(Metadata!L63,"Plant corpus"),exact(Metadata!L63,"Fungus surface"),exact(Metadata!L63,"Fungus corpus"),exact(Metadata!L63,"Animal surface"),exact(Metadata!L63,"Animal proximal gut"),exact(Metadata!L63,"Animal corpus"),exact(Metadata!L63,"Animal distal gut"),exact(Metadata!L63,"Animal secretion"),exact(Metadata!L63,"Sub-surface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Y63">
        <f>IF(Metadata!M63="",FALSE,TRUE)</f>
        <v>0</v>
      </c>
      <c r="AZ63">
        <f>IF(Metadata!N63="",FALSE,TRUE)</f>
        <v>0</v>
      </c>
      <c r="BA63">
        <f>IF(Metadata!O63="",FALSE,TRUE)</f>
        <v>0</v>
      </c>
      <c r="BB63">
        <f>OR(AND(IF(Metadata!P63="",FALSE,TRUE),OR(exact(Metadata!P63,"not collected"),exact(Metadata!P63,"not provided"),exact(Metadata!P63,"restricted access"))),AND(IF(Metadata!P63="",FALSE,TRUE),OR(exact(Metadata!P63,"air"),exact(Metadata!P63,"built environment"),exact(Metadata!P63,"host-associated"),exact(Metadata!P63,"human-associated"),exact(Metadata!P63,"human-skin"),exact(Metadata!P63,"human-oral"),exact(Metadata!P63,"human-gut"),exact(Metadata!P63,"human-vaginal"),exact(Metadata!P63,"microbial mat/biofilm"),exact(Metadata!P63,"misc environment"),exact(Metadata!P63,"plant-associated"),exact(Metadata!P63,"sediment"),exact(Metadata!P63,"soil"),exact(Metadata!P63,"wastewater/sludge"),exact(Metadata!P63,"water"))))</f>
        <v>0</v>
      </c>
      <c r="BC63">
        <f>IF(Metadata!Q63="",FALSE,TRUE)</f>
        <v>0</v>
      </c>
      <c r="BD63">
        <f>IF(Metadata!R63="",FALSE,TRUE)</f>
        <v>0</v>
      </c>
      <c r="BE63">
        <f>OR(AND(IF(Metadata!S63="",FALSE,TRUE),OR(exact(Metadata!S63,"not collected"),exact(Metadata!S63,"not provided"),exact(Metadata!S63,"restricted access"))),AND(IF(Metadata!S63="",FALSE,ISNUMBER(VALUE(Metadata!S63))),Metadata!S63&gt;=-90.00,Metadata!S63&lt;=90.00))</f>
        <v>0</v>
      </c>
      <c r="BF63">
        <f>AND(IF(Metadata!T63="",FALSE,TRUE),exact(Metadata!T63,"Decimal degrees"))</f>
        <v>0</v>
      </c>
      <c r="BG63">
        <f>OR(AND(IF(Metadata!U63="",FALSE,TRUE),OR(exact(Metadata!U63,"not collected"),exact(Metadata!U63,"not provided"),exact(Metadata!U63,"restricted access"))),AND(IF(Metadata!U63="",FALSE,ISNUMBER(VALUE(Metadata!U63))),Metadata!U63&gt;=-180.00,Metadata!U63&lt;=180.00))</f>
        <v>0</v>
      </c>
      <c r="BH63">
        <f>AND(IF(Metadata!V63="",FALSE,TRUE),exact(Metadata!V63,"Decimal degrees"))</f>
        <v>0</v>
      </c>
      <c r="BI63">
        <f>IF(Metadata!W63="",FALSE,TRUE)</f>
        <v>0</v>
      </c>
      <c r="BJ63">
        <f>OR(AND(IF(Metadata!X63="",FALSE,TRUE),OR(exact(Metadata!X63,"not collected"),exact(Metadata!X63,"not provided"),exact(Metadata!X63,"restricted access"))),AND(IF(Metadata!X63="",FALSE,TRUE),OR(exact(Metadata!X63,"TRUE"),exact(Metadata!X63,"FALSE"))))</f>
        <v>0</v>
      </c>
      <c r="BK63">
        <f>AND(IF(Metadata!Y63="",FALSE,TRUE),exact(Metadata!Y63,"other"))</f>
        <v>0</v>
      </c>
      <c r="BL63">
        <f>IF(Metadata!Z63="",FALSE,TRUE)</f>
        <v>0</v>
      </c>
      <c r="BM63">
        <f>OR(AND(IF(Metadata!AA63="",FALSE,TRUE),OR(exact(Metadata!AA63,"not collected"),exact(Metadata!AA63,"not provided"))),AND(IF(Metadata!AA63="",FALSE,IF(ISERROR(INT(Metadata!AA63)),FALSE,INT(Metadata!AA63)=Metadata!AA63)),Metadata!AA63&gt;0))</f>
        <v>0</v>
      </c>
      <c r="BN63">
        <f>AND(IF(Metadata!AB63="",FALSE,TRUE),exact(Metadata!AB63,"Not applicable"))</f>
        <v>0</v>
      </c>
      <c r="BO63">
        <f>IF(Metadata!AC63="",FALSE,TRUE)</f>
        <v>0</v>
      </c>
    </row>
    <row r="64" spans="1:67">
      <c r="A64" s="5">
        <f>IF(B64=" "," ",HYPERLINK(CONCATENATE("#metadata!",ADDRESS(INDEX($AI$2:$AI$1001,MATCH(ROWS($AG$2:AG64),$AG$2:$AG$1001,0),0),1)),INDEX($AL$2:$AL$1001,MATCH(ROWS($AG$2:AG64),$AG$2:$AG$1001,0),0)))</f>
        <v>0</v>
      </c>
      <c r="B64" s="4">
        <f>IF(OR(INDEX($AH$2:$AH$1001,MATCH(ROWS($AG$2:AG64),$AG$2:$AG$1001,0),1)&gt;=100000,INDEX($AN$1005:$BO$1005,1,MATCH(COLUMNS($AN$1006:AN1006),$AN$1006:$BO$1006,0))&gt;=100000), " ",IF(INDEX($AN$2:$BO$1001,MATCH(ROWS($AG$2:AG64),$AG$2:$AG$1001,0),MATCH(COLUMNS($AN$1006:AN1006),$AN$1006:$BO$1006,0)), HYPERLINK("#",""), HYPERLINK(CONCATENATE("#Metadata!", ADDRESS(INDEX($AI$2:$AI$1001,MATCH(ROWS($AG$2:AG64),$AG$2:$AG$1001,0),0), INDEX($AN$1004:$BO$1004,1,MATCH(COLUMNS($AN$1006:AN1006),$AN$1006:$BO$1006,0)))),"Fix")))</f>
        <v>0</v>
      </c>
      <c r="C64" s="4">
        <f>IF(OR(INDEX($AH$2:$AH$1001,MATCH(ROWS($AG$2:AG64),$AG$2:$AG$1001,0),1)&gt;=100000,INDEX($AN$1005:$BO$1005,1,MATCH(COLUMNS($AN$1006:AO1006),$AN$1006:$BO$1006,0))&gt;=100000), " ",IF(INDEX($AN$2:$BO$1001,MATCH(ROWS($AG$2:AG64),$AG$2:$AG$1001,0),MATCH(COLUMNS($AN$1006:AO1006),$AN$1006:$BO$1006,0)), HYPERLINK("#",""), HYPERLINK(CONCATENATE("#Metadata!", ADDRESS(INDEX($AI$2:$AI$1001,MATCH(ROWS($AG$2:AG64),$AG$2:$AG$1001,0),0), INDEX($AN$1004:$BO$1004,1,MATCH(COLUMNS($AN$1006:AO1006),$AN$1006:$BO$1006,0)))),"Fix")))</f>
        <v>0</v>
      </c>
      <c r="D64" s="4">
        <f>IF(OR(INDEX($AH$2:$AH$1001,MATCH(ROWS($AG$2:AG64),$AG$2:$AG$1001,0),1)&gt;=100000,INDEX($AN$1005:$BO$1005,1,MATCH(COLUMNS($AN$1006:AP1006),$AN$1006:$BO$1006,0))&gt;=100000), " ",IF(INDEX($AN$2:$BO$1001,MATCH(ROWS($AG$2:AG64),$AG$2:$AG$1001,0),MATCH(COLUMNS($AN$1006:AP1006),$AN$1006:$BO$1006,0)), HYPERLINK("#",""), HYPERLINK(CONCATENATE("#Metadata!", ADDRESS(INDEX($AI$2:$AI$1001,MATCH(ROWS($AG$2:AG64),$AG$2:$AG$1001,0),0), INDEX($AN$1004:$BO$1004,1,MATCH(COLUMNS($AN$1006:AP1006),$AN$1006:$BO$1006,0)))),"Fix")))</f>
        <v>0</v>
      </c>
      <c r="E64" s="4">
        <f>IF(OR(INDEX($AH$2:$AH$1001,MATCH(ROWS($AG$2:AG64),$AG$2:$AG$1001,0),1)&gt;=100000,INDEX($AN$1005:$BO$1005,1,MATCH(COLUMNS($AN$1006:AQ1006),$AN$1006:$BO$1006,0))&gt;=100000), " ",IF(INDEX($AN$2:$BO$1001,MATCH(ROWS($AG$2:AG64),$AG$2:$AG$1001,0),MATCH(COLUMNS($AN$1006:AQ1006),$AN$1006:$BO$1006,0)), HYPERLINK("#",""), HYPERLINK(CONCATENATE("#Metadata!", ADDRESS(INDEX($AI$2:$AI$1001,MATCH(ROWS($AG$2:AG64),$AG$2:$AG$1001,0),0), INDEX($AN$1004:$BO$1004,1,MATCH(COLUMNS($AN$1006:AQ1006),$AN$1006:$BO$1006,0)))),"Fix")))</f>
        <v>0</v>
      </c>
      <c r="F64" s="4">
        <f>IF(OR(INDEX($AH$2:$AH$1001,MATCH(ROWS($AG$2:AG64),$AG$2:$AG$1001,0),1)&gt;=100000,INDEX($AN$1005:$BO$1005,1,MATCH(COLUMNS($AN$1006:AR1006),$AN$1006:$BO$1006,0))&gt;=100000), " ",IF(INDEX($AN$2:$BO$1001,MATCH(ROWS($AG$2:AG64),$AG$2:$AG$1001,0),MATCH(COLUMNS($AN$1006:AR1006),$AN$1006:$BO$1006,0)), HYPERLINK("#",""), HYPERLINK(CONCATENATE("#Metadata!", ADDRESS(INDEX($AI$2:$AI$1001,MATCH(ROWS($AG$2:AG64),$AG$2:$AG$1001,0),0), INDEX($AN$1004:$BO$1004,1,MATCH(COLUMNS($AN$1006:AR1006),$AN$1006:$BO$1006,0)))),"Fix")))</f>
        <v>0</v>
      </c>
      <c r="G64" s="4">
        <f>IF(OR(INDEX($AH$2:$AH$1001,MATCH(ROWS($AG$2:AG64),$AG$2:$AG$1001,0),1)&gt;=100000,INDEX($AN$1005:$BO$1005,1,MATCH(COLUMNS($AN$1006:AS1006),$AN$1006:$BO$1006,0))&gt;=100000), " ",IF(INDEX($AN$2:$BO$1001,MATCH(ROWS($AG$2:AG64),$AG$2:$AG$1001,0),MATCH(COLUMNS($AN$1006:AS1006),$AN$1006:$BO$1006,0)), HYPERLINK("#",""), HYPERLINK(CONCATENATE("#Metadata!", ADDRESS(INDEX($AI$2:$AI$1001,MATCH(ROWS($AG$2:AG64),$AG$2:$AG$1001,0),0), INDEX($AN$1004:$BO$1004,1,MATCH(COLUMNS($AN$1006:AS1006),$AN$1006:$BO$1006,0)))),"Fix")))</f>
        <v>0</v>
      </c>
      <c r="H64" s="4">
        <f>IF(OR(INDEX($AH$2:$AH$1001,MATCH(ROWS($AG$2:AG64),$AG$2:$AG$1001,0),1)&gt;=100000,INDEX($AN$1005:$BO$1005,1,MATCH(COLUMNS($AN$1006:AT1006),$AN$1006:$BO$1006,0))&gt;=100000), " ",IF(INDEX($AN$2:$BO$1001,MATCH(ROWS($AG$2:AG64),$AG$2:$AG$1001,0),MATCH(COLUMNS($AN$1006:AT1006),$AN$1006:$BO$1006,0)), HYPERLINK("#",""), HYPERLINK(CONCATENATE("#Metadata!", ADDRESS(INDEX($AI$2:$AI$1001,MATCH(ROWS($AG$2:AG64),$AG$2:$AG$1001,0),0), INDEX($AN$1004:$BO$1004,1,MATCH(COLUMNS($AN$1006:AT1006),$AN$1006:$BO$1006,0)))),"Fix")))</f>
        <v>0</v>
      </c>
      <c r="I64" s="4">
        <f>IF(OR(INDEX($AH$2:$AH$1001,MATCH(ROWS($AG$2:AG64),$AG$2:$AG$1001,0),1)&gt;=100000,INDEX($AN$1005:$BO$1005,1,MATCH(COLUMNS($AN$1006:AU1006),$AN$1006:$BO$1006,0))&gt;=100000), " ",IF(INDEX($AN$2:$BO$1001,MATCH(ROWS($AG$2:AG64),$AG$2:$AG$1001,0),MATCH(COLUMNS($AN$1006:AU1006),$AN$1006:$BO$1006,0)), HYPERLINK("#",""), HYPERLINK(CONCATENATE("#Metadata!", ADDRESS(INDEX($AI$2:$AI$1001,MATCH(ROWS($AG$2:AG64),$AG$2:$AG$1001,0),0), INDEX($AN$1004:$BO$1004,1,MATCH(COLUMNS($AN$1006:AU1006),$AN$1006:$BO$1006,0)))),"Fix")))</f>
        <v>0</v>
      </c>
      <c r="J64" s="4">
        <f>IF(OR(INDEX($AH$2:$AH$1001,MATCH(ROWS($AG$2:AG64),$AG$2:$AG$1001,0),1)&gt;=100000,INDEX($AN$1005:$BO$1005,1,MATCH(COLUMNS($AN$1006:AV1006),$AN$1006:$BO$1006,0))&gt;=100000), " ",IF(INDEX($AN$2:$BO$1001,MATCH(ROWS($AG$2:AG64),$AG$2:$AG$1001,0),MATCH(COLUMNS($AN$1006:AV1006),$AN$1006:$BO$1006,0)), HYPERLINK("#",""), HYPERLINK(CONCATENATE("#Metadata!", ADDRESS(INDEX($AI$2:$AI$1001,MATCH(ROWS($AG$2:AG64),$AG$2:$AG$1001,0),0), INDEX($AN$1004:$BO$1004,1,MATCH(COLUMNS($AN$1006:AV1006),$AN$1006:$BO$1006,0)))),"Fix")))</f>
        <v>0</v>
      </c>
      <c r="K64" s="4">
        <f>IF(OR(INDEX($AH$2:$AH$1001,MATCH(ROWS($AG$2:AG64),$AG$2:$AG$1001,0),1)&gt;=100000,INDEX($AN$1005:$BO$1005,1,MATCH(COLUMNS($AN$1006:AW1006),$AN$1006:$BO$1006,0))&gt;=100000), " ",IF(INDEX($AN$2:$BO$1001,MATCH(ROWS($AG$2:AG64),$AG$2:$AG$1001,0),MATCH(COLUMNS($AN$1006:AW1006),$AN$1006:$BO$1006,0)), HYPERLINK("#",""), HYPERLINK(CONCATENATE("#Metadata!", ADDRESS(INDEX($AI$2:$AI$1001,MATCH(ROWS($AG$2:AG64),$AG$2:$AG$1001,0),0), INDEX($AN$1004:$BO$1004,1,MATCH(COLUMNS($AN$1006:AW1006),$AN$1006:$BO$1006,0)))),"Fix")))</f>
        <v>0</v>
      </c>
      <c r="L64" s="4">
        <f>IF(OR(INDEX($AH$2:$AH$1001,MATCH(ROWS($AG$2:AG64),$AG$2:$AG$1001,0),1)&gt;=100000,INDEX($AN$1005:$BO$1005,1,MATCH(COLUMNS($AN$1006:AX1006),$AN$1006:$BO$1006,0))&gt;=100000), " ",IF(INDEX($AN$2:$BO$1001,MATCH(ROWS($AG$2:AG64),$AG$2:$AG$1001,0),MATCH(COLUMNS($AN$1006:AX1006),$AN$1006:$BO$1006,0)), HYPERLINK("#",""), HYPERLINK(CONCATENATE("#Metadata!", ADDRESS(INDEX($AI$2:$AI$1001,MATCH(ROWS($AG$2:AG64),$AG$2:$AG$1001,0),0), INDEX($AN$1004:$BO$1004,1,MATCH(COLUMNS($AN$1006:AX1006),$AN$1006:$BO$1006,0)))),"Fix")))</f>
        <v>0</v>
      </c>
      <c r="M64" s="4">
        <f>IF(OR(INDEX($AH$2:$AH$1001,MATCH(ROWS($AG$2:AG64),$AG$2:$AG$1001,0),1)&gt;=100000,INDEX($AN$1005:$BO$1005,1,MATCH(COLUMNS($AN$1006:AY1006),$AN$1006:$BO$1006,0))&gt;=100000), " ",IF(INDEX($AN$2:$BO$1001,MATCH(ROWS($AG$2:AG64),$AG$2:$AG$1001,0),MATCH(COLUMNS($AN$1006:AY1006),$AN$1006:$BO$1006,0)), HYPERLINK("#",""), HYPERLINK(CONCATENATE("#Metadata!", ADDRESS(INDEX($AI$2:$AI$1001,MATCH(ROWS($AG$2:AG64),$AG$2:$AG$1001,0),0), INDEX($AN$1004:$BO$1004,1,MATCH(COLUMNS($AN$1006:AY1006),$AN$1006:$BO$1006,0)))),"Fix")))</f>
        <v>0</v>
      </c>
      <c r="N64" s="4">
        <f>IF(OR(INDEX($AH$2:$AH$1001,MATCH(ROWS($AG$2:AG64),$AG$2:$AG$1001,0),1)&gt;=100000,INDEX($AN$1005:$BO$1005,1,MATCH(COLUMNS($AN$1006:AZ1006),$AN$1006:$BO$1006,0))&gt;=100000), " ",IF(INDEX($AN$2:$BO$1001,MATCH(ROWS($AG$2:AG64),$AG$2:$AG$1001,0),MATCH(COLUMNS($AN$1006:AZ1006),$AN$1006:$BO$1006,0)), HYPERLINK("#",""), HYPERLINK(CONCATENATE("#Metadata!", ADDRESS(INDEX($AI$2:$AI$1001,MATCH(ROWS($AG$2:AG64),$AG$2:$AG$1001,0),0), INDEX($AN$1004:$BO$1004,1,MATCH(COLUMNS($AN$1006:AZ1006),$AN$1006:$BO$1006,0)))),"Fix")))</f>
        <v>0</v>
      </c>
      <c r="O64" s="4">
        <f>IF(OR(INDEX($AH$2:$AH$1001,MATCH(ROWS($AG$2:AG64),$AG$2:$AG$1001,0),1)&gt;=100000,INDEX($AN$1005:$BO$1005,1,MATCH(COLUMNS($AN$1006:BA1006),$AN$1006:$BO$1006,0))&gt;=100000), " ",IF(INDEX($AN$2:$BO$1001,MATCH(ROWS($AG$2:AG64),$AG$2:$AG$1001,0),MATCH(COLUMNS($AN$1006:BA1006),$AN$1006:$BO$1006,0)), HYPERLINK("#",""), HYPERLINK(CONCATENATE("#Metadata!", ADDRESS(INDEX($AI$2:$AI$1001,MATCH(ROWS($AG$2:AG64),$AG$2:$AG$1001,0),0), INDEX($AN$1004:$BO$1004,1,MATCH(COLUMNS($AN$1006:BA1006),$AN$1006:$BO$1006,0)))),"Fix")))</f>
        <v>0</v>
      </c>
      <c r="P64" s="4">
        <f>IF(OR(INDEX($AH$2:$AH$1001,MATCH(ROWS($AG$2:AG64),$AG$2:$AG$1001,0),1)&gt;=100000,INDEX($AN$1005:$BO$1005,1,MATCH(COLUMNS($AN$1006:BB1006),$AN$1006:$BO$1006,0))&gt;=100000), " ",IF(INDEX($AN$2:$BO$1001,MATCH(ROWS($AG$2:AG64),$AG$2:$AG$1001,0),MATCH(COLUMNS($AN$1006:BB1006),$AN$1006:$BO$1006,0)), HYPERLINK("#",""), HYPERLINK(CONCATENATE("#Metadata!", ADDRESS(INDEX($AI$2:$AI$1001,MATCH(ROWS($AG$2:AG64),$AG$2:$AG$1001,0),0), INDEX($AN$1004:$BO$1004,1,MATCH(COLUMNS($AN$1006:BB1006),$AN$1006:$BO$1006,0)))),"Fix")))</f>
        <v>0</v>
      </c>
      <c r="Q64" s="4">
        <f>IF(OR(INDEX($AH$2:$AH$1001,MATCH(ROWS($AG$2:AG64),$AG$2:$AG$1001,0),1)&gt;=100000,INDEX($AN$1005:$BO$1005,1,MATCH(COLUMNS($AN$1006:BC1006),$AN$1006:$BO$1006,0))&gt;=100000), " ",IF(INDEX($AN$2:$BO$1001,MATCH(ROWS($AG$2:AG64),$AG$2:$AG$1001,0),MATCH(COLUMNS($AN$1006:BC1006),$AN$1006:$BO$1006,0)), HYPERLINK("#",""), HYPERLINK(CONCATENATE("#Metadata!", ADDRESS(INDEX($AI$2:$AI$1001,MATCH(ROWS($AG$2:AG64),$AG$2:$AG$1001,0),0), INDEX($AN$1004:$BO$1004,1,MATCH(COLUMNS($AN$1006:BC1006),$AN$1006:$BO$1006,0)))),"Fix")))</f>
        <v>0</v>
      </c>
      <c r="R64" s="4">
        <f>IF(OR(INDEX($AH$2:$AH$1001,MATCH(ROWS($AG$2:AG64),$AG$2:$AG$1001,0),1)&gt;=100000,INDEX($AN$1005:$BO$1005,1,MATCH(COLUMNS($AN$1006:BD1006),$AN$1006:$BO$1006,0))&gt;=100000), " ",IF(INDEX($AN$2:$BO$1001,MATCH(ROWS($AG$2:AG64),$AG$2:$AG$1001,0),MATCH(COLUMNS($AN$1006:BD1006),$AN$1006:$BO$1006,0)), HYPERLINK("#",""), HYPERLINK(CONCATENATE("#Metadata!", ADDRESS(INDEX($AI$2:$AI$1001,MATCH(ROWS($AG$2:AG64),$AG$2:$AG$1001,0),0), INDEX($AN$1004:$BO$1004,1,MATCH(COLUMNS($AN$1006:BD1006),$AN$1006:$BO$1006,0)))),"Fix")))</f>
        <v>0</v>
      </c>
      <c r="S64" s="4">
        <f>IF(OR(INDEX($AH$2:$AH$1001,MATCH(ROWS($AG$2:AG64),$AG$2:$AG$1001,0),1)&gt;=100000,INDEX($AN$1005:$BO$1005,1,MATCH(COLUMNS($AN$1006:BE1006),$AN$1006:$BO$1006,0))&gt;=100000), " ",IF(INDEX($AN$2:$BO$1001,MATCH(ROWS($AG$2:AG64),$AG$2:$AG$1001,0),MATCH(COLUMNS($AN$1006:BE1006),$AN$1006:$BO$1006,0)), HYPERLINK("#",""), HYPERLINK(CONCATENATE("#Metadata!", ADDRESS(INDEX($AI$2:$AI$1001,MATCH(ROWS($AG$2:AG64),$AG$2:$AG$1001,0),0), INDEX($AN$1004:$BO$1004,1,MATCH(COLUMNS($AN$1006:BE1006),$AN$1006:$BO$1006,0)))),"Fix")))</f>
        <v>0</v>
      </c>
      <c r="T64" s="4">
        <f>IF(OR(INDEX($AH$2:$AH$1001,MATCH(ROWS($AG$2:AG64),$AG$2:$AG$1001,0),1)&gt;=100000,INDEX($AN$1005:$BO$1005,1,MATCH(COLUMNS($AN$1006:BF1006),$AN$1006:$BO$1006,0))&gt;=100000), " ",IF(INDEX($AN$2:$BO$1001,MATCH(ROWS($AG$2:AG64),$AG$2:$AG$1001,0),MATCH(COLUMNS($AN$1006:BF1006),$AN$1006:$BO$1006,0)), HYPERLINK("#",""), HYPERLINK(CONCATENATE("#Metadata!", ADDRESS(INDEX($AI$2:$AI$1001,MATCH(ROWS($AG$2:AG64),$AG$2:$AG$1001,0),0), INDEX($AN$1004:$BO$1004,1,MATCH(COLUMNS($AN$1006:BF1006),$AN$1006:$BO$1006,0)))),"Fix")))</f>
        <v>0</v>
      </c>
      <c r="U64" s="4">
        <f>IF(OR(INDEX($AH$2:$AH$1001,MATCH(ROWS($AG$2:AG64),$AG$2:$AG$1001,0),1)&gt;=100000,INDEX($AN$1005:$BO$1005,1,MATCH(COLUMNS($AN$1006:BG1006),$AN$1006:$BO$1006,0))&gt;=100000), " ",IF(INDEX($AN$2:$BO$1001,MATCH(ROWS($AG$2:AG64),$AG$2:$AG$1001,0),MATCH(COLUMNS($AN$1006:BG1006),$AN$1006:$BO$1006,0)), HYPERLINK("#",""), HYPERLINK(CONCATENATE("#Metadata!", ADDRESS(INDEX($AI$2:$AI$1001,MATCH(ROWS($AG$2:AG64),$AG$2:$AG$1001,0),0), INDEX($AN$1004:$BO$1004,1,MATCH(COLUMNS($AN$1006:BG1006),$AN$1006:$BO$1006,0)))),"Fix")))</f>
        <v>0</v>
      </c>
      <c r="V64" s="4">
        <f>IF(OR(INDEX($AH$2:$AH$1001,MATCH(ROWS($AG$2:AG64),$AG$2:$AG$1001,0),1)&gt;=100000,INDEX($AN$1005:$BO$1005,1,MATCH(COLUMNS($AN$1006:BH1006),$AN$1006:$BO$1006,0))&gt;=100000), " ",IF(INDEX($AN$2:$BO$1001,MATCH(ROWS($AG$2:AG64),$AG$2:$AG$1001,0),MATCH(COLUMNS($AN$1006:BH1006),$AN$1006:$BO$1006,0)), HYPERLINK("#",""), HYPERLINK(CONCATENATE("#Metadata!", ADDRESS(INDEX($AI$2:$AI$1001,MATCH(ROWS($AG$2:AG64),$AG$2:$AG$1001,0),0), INDEX($AN$1004:$BO$1004,1,MATCH(COLUMNS($AN$1006:BH1006),$AN$1006:$BO$1006,0)))),"Fix")))</f>
        <v>0</v>
      </c>
      <c r="W64" s="4">
        <f>IF(OR(INDEX($AH$2:$AH$1001,MATCH(ROWS($AG$2:AG64),$AG$2:$AG$1001,0),1)&gt;=100000,INDEX($AN$1005:$BO$1005,1,MATCH(COLUMNS($AN$1006:BI1006),$AN$1006:$BO$1006,0))&gt;=100000), " ",IF(INDEX($AN$2:$BO$1001,MATCH(ROWS($AG$2:AG64),$AG$2:$AG$1001,0),MATCH(COLUMNS($AN$1006:BI1006),$AN$1006:$BO$1006,0)), HYPERLINK("#",""), HYPERLINK(CONCATENATE("#Metadata!", ADDRESS(INDEX($AI$2:$AI$1001,MATCH(ROWS($AG$2:AG64),$AG$2:$AG$1001,0),0), INDEX($AN$1004:$BO$1004,1,MATCH(COLUMNS($AN$1006:BI1006),$AN$1006:$BO$1006,0)))),"Fix")))</f>
        <v>0</v>
      </c>
      <c r="X64" s="4">
        <f>IF(OR(INDEX($AH$2:$AH$1001,MATCH(ROWS($AG$2:AG64),$AG$2:$AG$1001,0),1)&gt;=100000,INDEX($AN$1005:$BO$1005,1,MATCH(COLUMNS($AN$1006:BJ1006),$AN$1006:$BO$1006,0))&gt;=100000), " ",IF(INDEX($AN$2:$BO$1001,MATCH(ROWS($AG$2:AG64),$AG$2:$AG$1001,0),MATCH(COLUMNS($AN$1006:BJ1006),$AN$1006:$BO$1006,0)), HYPERLINK("#",""), HYPERLINK(CONCATENATE("#Metadata!", ADDRESS(INDEX($AI$2:$AI$1001,MATCH(ROWS($AG$2:AG64),$AG$2:$AG$1001,0),0), INDEX($AN$1004:$BO$1004,1,MATCH(COLUMNS($AN$1006:BJ1006),$AN$1006:$BO$1006,0)))),"Fix")))</f>
        <v>0</v>
      </c>
      <c r="Y64" s="4">
        <f>IF(OR(INDEX($AH$2:$AH$1001,MATCH(ROWS($AG$2:AG64),$AG$2:$AG$1001,0),1)&gt;=100000,INDEX($AN$1005:$BO$1005,1,MATCH(COLUMNS($AN$1006:BK1006),$AN$1006:$BO$1006,0))&gt;=100000), " ",IF(INDEX($AN$2:$BO$1001,MATCH(ROWS($AG$2:AG64),$AG$2:$AG$1001,0),MATCH(COLUMNS($AN$1006:BK1006),$AN$1006:$BO$1006,0)), HYPERLINK("#",""), HYPERLINK(CONCATENATE("#Metadata!", ADDRESS(INDEX($AI$2:$AI$1001,MATCH(ROWS($AG$2:AG64),$AG$2:$AG$1001,0),0), INDEX($AN$1004:$BO$1004,1,MATCH(COLUMNS($AN$1006:BK1006),$AN$1006:$BO$1006,0)))),"Fix")))</f>
        <v>0</v>
      </c>
      <c r="Z64" s="4">
        <f>IF(OR(INDEX($AH$2:$AH$1001,MATCH(ROWS($AG$2:AG64),$AG$2:$AG$1001,0),1)&gt;=100000,INDEX($AN$1005:$BO$1005,1,MATCH(COLUMNS($AN$1006:BL1006),$AN$1006:$BO$1006,0))&gt;=100000), " ",IF(INDEX($AN$2:$BO$1001,MATCH(ROWS($AG$2:AG64),$AG$2:$AG$1001,0),MATCH(COLUMNS($AN$1006:BL1006),$AN$1006:$BO$1006,0)), HYPERLINK("#",""), HYPERLINK(CONCATENATE("#Metadata!", ADDRESS(INDEX($AI$2:$AI$1001,MATCH(ROWS($AG$2:AG64),$AG$2:$AG$1001,0),0), INDEX($AN$1004:$BO$1004,1,MATCH(COLUMNS($AN$1006:BL1006),$AN$1006:$BO$1006,0)))),"Fix")))</f>
        <v>0</v>
      </c>
      <c r="AA64" s="4">
        <f>IF(OR(INDEX($AH$2:$AH$1001,MATCH(ROWS($AG$2:AG64),$AG$2:$AG$1001,0),1)&gt;=100000,INDEX($AN$1005:$BO$1005,1,MATCH(COLUMNS($AN$1006:BM1006),$AN$1006:$BO$1006,0))&gt;=100000), " ",IF(INDEX($AN$2:$BO$1001,MATCH(ROWS($AG$2:AG64),$AG$2:$AG$1001,0),MATCH(COLUMNS($AN$1006:BM1006),$AN$1006:$BO$1006,0)), HYPERLINK("#",""), HYPERLINK(CONCATENATE("#Metadata!", ADDRESS(INDEX($AI$2:$AI$1001,MATCH(ROWS($AG$2:AG64),$AG$2:$AG$1001,0),0), INDEX($AN$1004:$BO$1004,1,MATCH(COLUMNS($AN$1006:BM1006),$AN$1006:$BO$1006,0)))),"Fix")))</f>
        <v>0</v>
      </c>
      <c r="AB64" s="4">
        <f>IF(OR(INDEX($AH$2:$AH$1001,MATCH(ROWS($AG$2:AG64),$AG$2:$AG$1001,0),1)&gt;=100000,INDEX($AN$1005:$BO$1005,1,MATCH(COLUMNS($AN$1006:BN1006),$AN$1006:$BO$1006,0))&gt;=100000), " ",IF(INDEX($AN$2:$BO$1001,MATCH(ROWS($AG$2:AG64),$AG$2:$AG$1001,0),MATCH(COLUMNS($AN$1006:BN1006),$AN$1006:$BO$1006,0)), HYPERLINK("#",""), HYPERLINK(CONCATENATE("#Metadata!", ADDRESS(INDEX($AI$2:$AI$1001,MATCH(ROWS($AG$2:AG64),$AG$2:$AG$1001,0),0), INDEX($AN$1004:$BO$1004,1,MATCH(COLUMNS($AN$1006:BN1006),$AN$1006:$BO$1006,0)))),"Fix")))</f>
        <v>0</v>
      </c>
      <c r="AC64" s="4">
        <f>IF(OR(INDEX($AH$2:$AH$1001,MATCH(ROWS($AG$2:AG64),$AG$2:$AG$1001,0),1)&gt;=100000,INDEX($AN$1005:$BO$1005,1,MATCH(COLUMNS($AN$1006:BO1006),$AN$1006:$BO$1006,0))&gt;=100000), " ",IF(INDEX($AN$2:$BO$1001,MATCH(ROWS($AG$2:AG64),$AG$2:$AG$1001,0),MATCH(COLUMNS($AN$1006:BO1006),$AN$1006:$BO$1006,0)), HYPERLINK("#",""), HYPERLINK(CONCATENATE("#Metadata!", ADDRESS(INDEX($AI$2:$AI$1001,MATCH(ROWS($AG$2:AG64),$AG$2:$AG$1001,0),0), INDEX($AN$1004:$BO$1004,1,MATCH(COLUMNS($AN$1006:BO1006),$AN$1006:$BO$1006,0)))),"Fix")))</f>
        <v>0</v>
      </c>
      <c r="AG64">
        <v>0</v>
      </c>
      <c r="AH64">
        <v>0</v>
      </c>
      <c r="AI64">
        <v>0</v>
      </c>
      <c r="AJ64">
        <f>IF(AK64,TRUE,AND(AN64:BO64))</f>
        <v>0</v>
      </c>
      <c r="AK64">
        <f>COUNTBLANK(Metadata!B64:AC64)=COLUMNS(Metadata!B64:AC64)</f>
        <v>0</v>
      </c>
      <c r="AL64">
        <v>0</v>
      </c>
      <c r="AN64">
        <f>AND(IF(Metadata!B64="",FALSE,TRUE),COUNTIF(Metadata!B:B, Metadata!B64) = 1,NOT(ISERROR(SUMPRODUCT(SEARCH(MID(Metadata!B64,ROW(INDIRECT("1:"&amp;LEN(Metadata!B64))), 1),"0123456789abcdefghijklmnopqrstuvwxyzABCDEFGHIJKLMNOPQRSTUVWXYZ.")))))</f>
        <v>0</v>
      </c>
      <c r="AO64">
        <f>IF(Metadata!C64="",FALSE,TRUE)</f>
        <v>0</v>
      </c>
      <c r="AP64">
        <f>IF(Metadata!D64="",FALSE,TRUE)</f>
        <v>0</v>
      </c>
      <c r="AQ64">
        <f>OR(AND(IF(Metadata!E64="",FALSE,TRUE),OR(exact(Metadata!E64,"not collected"),exact(Metadata!E64,"not provided"),exact(Metadata!E64,"restricted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R64">
        <f>IF(Metadata!F64="",FALSE,TRUE)</f>
        <v>0</v>
      </c>
      <c r="AS64">
        <f>OR(AND(IF(Metadata!G64="",FALSE,TRUE),OR(exact(Metadata!G64,"not collected"),exact(Metadata!G64,"not provided"))),AND(IF(Metadata!G64="",FALSE,TRUE),OR(exact(Metadata!G64,"TRUE"),exact(Metadata!G64,"FALSE"))))</f>
        <v>0</v>
      </c>
      <c r="AT64">
        <f>OR(AND(IF(Metadata!H64="",FALSE,TRUE),OR(exact(Metadata!H64,"not collected"),exact(Metadata!H64,"not provided"),exact(Metadata!H64,"restricted access"))),AND(IF(Metadata!H64="",FALSE,ISNUMBER(VALUE(Metadata!H64))),Metadata!H64&gt;=-413.0))</f>
        <v>0</v>
      </c>
      <c r="AU64">
        <f>AND(IF(Metadata!I64="",FALSE,TRUE),exact(Metadata!I64,"meters"))</f>
        <v>0</v>
      </c>
      <c r="AV64">
        <f>AND(IF(Metadata!J64="",FALSE,TRUE),OR(exact(Metadata!J64,"Host-associated"),exact(Metadata!J64,"Free-living")))</f>
        <v>0</v>
      </c>
      <c r="AW64">
        <f>AND(IF(Metadata!K64="",FALSE,TRUE),OR(exact(Metadata!K64,"Animal"),exact(Metadata!K64,"Fungus"),exact(Metadata!K64,"Plant"),exact(Metadata!K64,"Saline"),exact(Metadata!K64,"Non-saline")))</f>
        <v>0</v>
      </c>
      <c r="AX64">
        <f>AND(IF(Metadata!L64="",FALSE,TRUE),OR(exact(Metadata!L64,"Plant secretion"),exact(Metadata!L64,"Plant rhizosphere"),exact(Metadata!L64,"Plant surface"),exact(Metadata!L64,"Plant corpus"),exact(Metadata!L64,"Fungus surface"),exact(Metadata!L64,"Fungus corpus"),exact(Metadata!L64,"Animal surface"),exact(Metadata!L64,"Animal proximal gut"),exact(Metadata!L64,"Animal corpus"),exact(Metadata!L64,"Animal distal gut"),exact(Metadata!L64,"Animal secretion"),exact(Metadata!L64,"Sub-surface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Y64">
        <f>IF(Metadata!M64="",FALSE,TRUE)</f>
        <v>0</v>
      </c>
      <c r="AZ64">
        <f>IF(Metadata!N64="",FALSE,TRUE)</f>
        <v>0</v>
      </c>
      <c r="BA64">
        <f>IF(Metadata!O64="",FALSE,TRUE)</f>
        <v>0</v>
      </c>
      <c r="BB64">
        <f>OR(AND(IF(Metadata!P64="",FALSE,TRUE),OR(exact(Metadata!P64,"not collected"),exact(Metadata!P64,"not provided"),exact(Metadata!P64,"restricted access"))),AND(IF(Metadata!P64="",FALSE,TRUE),OR(exact(Metadata!P64,"air"),exact(Metadata!P64,"built environment"),exact(Metadata!P64,"host-associated"),exact(Metadata!P64,"human-associated"),exact(Metadata!P64,"human-skin"),exact(Metadata!P64,"human-oral"),exact(Metadata!P64,"human-gut"),exact(Metadata!P64,"human-vaginal"),exact(Metadata!P64,"microbial mat/biofilm"),exact(Metadata!P64,"misc environment"),exact(Metadata!P64,"plant-associated"),exact(Metadata!P64,"sediment"),exact(Metadata!P64,"soil"),exact(Metadata!P64,"wastewater/sludge"),exact(Metadata!P64,"water"))))</f>
        <v>0</v>
      </c>
      <c r="BC64">
        <f>IF(Metadata!Q64="",FALSE,TRUE)</f>
        <v>0</v>
      </c>
      <c r="BD64">
        <f>IF(Metadata!R64="",FALSE,TRUE)</f>
        <v>0</v>
      </c>
      <c r="BE64">
        <f>OR(AND(IF(Metadata!S64="",FALSE,TRUE),OR(exact(Metadata!S64,"not collected"),exact(Metadata!S64,"not provided"),exact(Metadata!S64,"restricted access"))),AND(IF(Metadata!S64="",FALSE,ISNUMBER(VALUE(Metadata!S64))),Metadata!S64&gt;=-90.00,Metadata!S64&lt;=90.00))</f>
        <v>0</v>
      </c>
      <c r="BF64">
        <f>AND(IF(Metadata!T64="",FALSE,TRUE),exact(Metadata!T64,"Decimal degrees"))</f>
        <v>0</v>
      </c>
      <c r="BG64">
        <f>OR(AND(IF(Metadata!U64="",FALSE,TRUE),OR(exact(Metadata!U64,"not collected"),exact(Metadata!U64,"not provided"),exact(Metadata!U64,"restricted access"))),AND(IF(Metadata!U64="",FALSE,ISNUMBER(VALUE(Metadata!U64))),Metadata!U64&gt;=-180.00,Metadata!U64&lt;=180.00))</f>
        <v>0</v>
      </c>
      <c r="BH64">
        <f>AND(IF(Metadata!V64="",FALSE,TRUE),exact(Metadata!V64,"Decimal degrees"))</f>
        <v>0</v>
      </c>
      <c r="BI64">
        <f>IF(Metadata!W64="",FALSE,TRUE)</f>
        <v>0</v>
      </c>
      <c r="BJ64">
        <f>OR(AND(IF(Metadata!X64="",FALSE,TRUE),OR(exact(Metadata!X64,"not collected"),exact(Metadata!X64,"not provided"),exact(Metadata!X64,"restricted access"))),AND(IF(Metadata!X64="",FALSE,TRUE),OR(exact(Metadata!X64,"TRUE"),exact(Metadata!X64,"FALSE"))))</f>
        <v>0</v>
      </c>
      <c r="BK64">
        <f>AND(IF(Metadata!Y64="",FALSE,TRUE),exact(Metadata!Y64,"other"))</f>
        <v>0</v>
      </c>
      <c r="BL64">
        <f>IF(Metadata!Z64="",FALSE,TRUE)</f>
        <v>0</v>
      </c>
      <c r="BM64">
        <f>OR(AND(IF(Metadata!AA64="",FALSE,TRUE),OR(exact(Metadata!AA64,"not collected"),exact(Metadata!AA64,"not provided"))),AND(IF(Metadata!AA64="",FALSE,IF(ISERROR(INT(Metadata!AA64)),FALSE,INT(Metadata!AA64)=Metadata!AA64)),Metadata!AA64&gt;0))</f>
        <v>0</v>
      </c>
      <c r="BN64">
        <f>AND(IF(Metadata!AB64="",FALSE,TRUE),exact(Metadata!AB64,"Not applicable"))</f>
        <v>0</v>
      </c>
      <c r="BO64">
        <f>IF(Metadata!AC64="",FALSE,TRUE)</f>
        <v>0</v>
      </c>
    </row>
    <row r="65" spans="1:67">
      <c r="A65" s="5">
        <f>IF(B65=" "," ",HYPERLINK(CONCATENATE("#metadata!",ADDRESS(INDEX($AI$2:$AI$1001,MATCH(ROWS($AG$2:AG65),$AG$2:$AG$1001,0),0),1)),INDEX($AL$2:$AL$1001,MATCH(ROWS($AG$2:AG65),$AG$2:$AG$1001,0),0)))</f>
        <v>0</v>
      </c>
      <c r="B65" s="4">
        <f>IF(OR(INDEX($AH$2:$AH$1001,MATCH(ROWS($AG$2:AG65),$AG$2:$AG$1001,0),1)&gt;=100000,INDEX($AN$1005:$BO$1005,1,MATCH(COLUMNS($AN$1006:AN1006),$AN$1006:$BO$1006,0))&gt;=100000), " ",IF(INDEX($AN$2:$BO$1001,MATCH(ROWS($AG$2:AG65),$AG$2:$AG$1001,0),MATCH(COLUMNS($AN$1006:AN1006),$AN$1006:$BO$1006,0)), HYPERLINK("#",""), HYPERLINK(CONCATENATE("#Metadata!", ADDRESS(INDEX($AI$2:$AI$1001,MATCH(ROWS($AG$2:AG65),$AG$2:$AG$1001,0),0), INDEX($AN$1004:$BO$1004,1,MATCH(COLUMNS($AN$1006:AN1006),$AN$1006:$BO$1006,0)))),"Fix")))</f>
        <v>0</v>
      </c>
      <c r="C65" s="4">
        <f>IF(OR(INDEX($AH$2:$AH$1001,MATCH(ROWS($AG$2:AG65),$AG$2:$AG$1001,0),1)&gt;=100000,INDEX($AN$1005:$BO$1005,1,MATCH(COLUMNS($AN$1006:AO1006),$AN$1006:$BO$1006,0))&gt;=100000), " ",IF(INDEX($AN$2:$BO$1001,MATCH(ROWS($AG$2:AG65),$AG$2:$AG$1001,0),MATCH(COLUMNS($AN$1006:AO1006),$AN$1006:$BO$1006,0)), HYPERLINK("#",""), HYPERLINK(CONCATENATE("#Metadata!", ADDRESS(INDEX($AI$2:$AI$1001,MATCH(ROWS($AG$2:AG65),$AG$2:$AG$1001,0),0), INDEX($AN$1004:$BO$1004,1,MATCH(COLUMNS($AN$1006:AO1006),$AN$1006:$BO$1006,0)))),"Fix")))</f>
        <v>0</v>
      </c>
      <c r="D65" s="4">
        <f>IF(OR(INDEX($AH$2:$AH$1001,MATCH(ROWS($AG$2:AG65),$AG$2:$AG$1001,0),1)&gt;=100000,INDEX($AN$1005:$BO$1005,1,MATCH(COLUMNS($AN$1006:AP1006),$AN$1006:$BO$1006,0))&gt;=100000), " ",IF(INDEX($AN$2:$BO$1001,MATCH(ROWS($AG$2:AG65),$AG$2:$AG$1001,0),MATCH(COLUMNS($AN$1006:AP1006),$AN$1006:$BO$1006,0)), HYPERLINK("#",""), HYPERLINK(CONCATENATE("#Metadata!", ADDRESS(INDEX($AI$2:$AI$1001,MATCH(ROWS($AG$2:AG65),$AG$2:$AG$1001,0),0), INDEX($AN$1004:$BO$1004,1,MATCH(COLUMNS($AN$1006:AP1006),$AN$1006:$BO$1006,0)))),"Fix")))</f>
        <v>0</v>
      </c>
      <c r="E65" s="4">
        <f>IF(OR(INDEX($AH$2:$AH$1001,MATCH(ROWS($AG$2:AG65),$AG$2:$AG$1001,0),1)&gt;=100000,INDEX($AN$1005:$BO$1005,1,MATCH(COLUMNS($AN$1006:AQ1006),$AN$1006:$BO$1006,0))&gt;=100000), " ",IF(INDEX($AN$2:$BO$1001,MATCH(ROWS($AG$2:AG65),$AG$2:$AG$1001,0),MATCH(COLUMNS($AN$1006:AQ1006),$AN$1006:$BO$1006,0)), HYPERLINK("#",""), HYPERLINK(CONCATENATE("#Metadata!", ADDRESS(INDEX($AI$2:$AI$1001,MATCH(ROWS($AG$2:AG65),$AG$2:$AG$1001,0),0), INDEX($AN$1004:$BO$1004,1,MATCH(COLUMNS($AN$1006:AQ1006),$AN$1006:$BO$1006,0)))),"Fix")))</f>
        <v>0</v>
      </c>
      <c r="F65" s="4">
        <f>IF(OR(INDEX($AH$2:$AH$1001,MATCH(ROWS($AG$2:AG65),$AG$2:$AG$1001,0),1)&gt;=100000,INDEX($AN$1005:$BO$1005,1,MATCH(COLUMNS($AN$1006:AR1006),$AN$1006:$BO$1006,0))&gt;=100000), " ",IF(INDEX($AN$2:$BO$1001,MATCH(ROWS($AG$2:AG65),$AG$2:$AG$1001,0),MATCH(COLUMNS($AN$1006:AR1006),$AN$1006:$BO$1006,0)), HYPERLINK("#",""), HYPERLINK(CONCATENATE("#Metadata!", ADDRESS(INDEX($AI$2:$AI$1001,MATCH(ROWS($AG$2:AG65),$AG$2:$AG$1001,0),0), INDEX($AN$1004:$BO$1004,1,MATCH(COLUMNS($AN$1006:AR1006),$AN$1006:$BO$1006,0)))),"Fix")))</f>
        <v>0</v>
      </c>
      <c r="G65" s="4">
        <f>IF(OR(INDEX($AH$2:$AH$1001,MATCH(ROWS($AG$2:AG65),$AG$2:$AG$1001,0),1)&gt;=100000,INDEX($AN$1005:$BO$1005,1,MATCH(COLUMNS($AN$1006:AS1006),$AN$1006:$BO$1006,0))&gt;=100000), " ",IF(INDEX($AN$2:$BO$1001,MATCH(ROWS($AG$2:AG65),$AG$2:$AG$1001,0),MATCH(COLUMNS($AN$1006:AS1006),$AN$1006:$BO$1006,0)), HYPERLINK("#",""), HYPERLINK(CONCATENATE("#Metadata!", ADDRESS(INDEX($AI$2:$AI$1001,MATCH(ROWS($AG$2:AG65),$AG$2:$AG$1001,0),0), INDEX($AN$1004:$BO$1004,1,MATCH(COLUMNS($AN$1006:AS1006),$AN$1006:$BO$1006,0)))),"Fix")))</f>
        <v>0</v>
      </c>
      <c r="H65" s="4">
        <f>IF(OR(INDEX($AH$2:$AH$1001,MATCH(ROWS($AG$2:AG65),$AG$2:$AG$1001,0),1)&gt;=100000,INDEX($AN$1005:$BO$1005,1,MATCH(COLUMNS($AN$1006:AT1006),$AN$1006:$BO$1006,0))&gt;=100000), " ",IF(INDEX($AN$2:$BO$1001,MATCH(ROWS($AG$2:AG65),$AG$2:$AG$1001,0),MATCH(COLUMNS($AN$1006:AT1006),$AN$1006:$BO$1006,0)), HYPERLINK("#",""), HYPERLINK(CONCATENATE("#Metadata!", ADDRESS(INDEX($AI$2:$AI$1001,MATCH(ROWS($AG$2:AG65),$AG$2:$AG$1001,0),0), INDEX($AN$1004:$BO$1004,1,MATCH(COLUMNS($AN$1006:AT1006),$AN$1006:$BO$1006,0)))),"Fix")))</f>
        <v>0</v>
      </c>
      <c r="I65" s="4">
        <f>IF(OR(INDEX($AH$2:$AH$1001,MATCH(ROWS($AG$2:AG65),$AG$2:$AG$1001,0),1)&gt;=100000,INDEX($AN$1005:$BO$1005,1,MATCH(COLUMNS($AN$1006:AU1006),$AN$1006:$BO$1006,0))&gt;=100000), " ",IF(INDEX($AN$2:$BO$1001,MATCH(ROWS($AG$2:AG65),$AG$2:$AG$1001,0),MATCH(COLUMNS($AN$1006:AU1006),$AN$1006:$BO$1006,0)), HYPERLINK("#",""), HYPERLINK(CONCATENATE("#Metadata!", ADDRESS(INDEX($AI$2:$AI$1001,MATCH(ROWS($AG$2:AG65),$AG$2:$AG$1001,0),0), INDEX($AN$1004:$BO$1004,1,MATCH(COLUMNS($AN$1006:AU1006),$AN$1006:$BO$1006,0)))),"Fix")))</f>
        <v>0</v>
      </c>
      <c r="J65" s="4">
        <f>IF(OR(INDEX($AH$2:$AH$1001,MATCH(ROWS($AG$2:AG65),$AG$2:$AG$1001,0),1)&gt;=100000,INDEX($AN$1005:$BO$1005,1,MATCH(COLUMNS($AN$1006:AV1006),$AN$1006:$BO$1006,0))&gt;=100000), " ",IF(INDEX($AN$2:$BO$1001,MATCH(ROWS($AG$2:AG65),$AG$2:$AG$1001,0),MATCH(COLUMNS($AN$1006:AV1006),$AN$1006:$BO$1006,0)), HYPERLINK("#",""), HYPERLINK(CONCATENATE("#Metadata!", ADDRESS(INDEX($AI$2:$AI$1001,MATCH(ROWS($AG$2:AG65),$AG$2:$AG$1001,0),0), INDEX($AN$1004:$BO$1004,1,MATCH(COLUMNS($AN$1006:AV1006),$AN$1006:$BO$1006,0)))),"Fix")))</f>
        <v>0</v>
      </c>
      <c r="K65" s="4">
        <f>IF(OR(INDEX($AH$2:$AH$1001,MATCH(ROWS($AG$2:AG65),$AG$2:$AG$1001,0),1)&gt;=100000,INDEX($AN$1005:$BO$1005,1,MATCH(COLUMNS($AN$1006:AW1006),$AN$1006:$BO$1006,0))&gt;=100000), " ",IF(INDEX($AN$2:$BO$1001,MATCH(ROWS($AG$2:AG65),$AG$2:$AG$1001,0),MATCH(COLUMNS($AN$1006:AW1006),$AN$1006:$BO$1006,0)), HYPERLINK("#",""), HYPERLINK(CONCATENATE("#Metadata!", ADDRESS(INDEX($AI$2:$AI$1001,MATCH(ROWS($AG$2:AG65),$AG$2:$AG$1001,0),0), INDEX($AN$1004:$BO$1004,1,MATCH(COLUMNS($AN$1006:AW1006),$AN$1006:$BO$1006,0)))),"Fix")))</f>
        <v>0</v>
      </c>
      <c r="L65" s="4">
        <f>IF(OR(INDEX($AH$2:$AH$1001,MATCH(ROWS($AG$2:AG65),$AG$2:$AG$1001,0),1)&gt;=100000,INDEX($AN$1005:$BO$1005,1,MATCH(COLUMNS($AN$1006:AX1006),$AN$1006:$BO$1006,0))&gt;=100000), " ",IF(INDEX($AN$2:$BO$1001,MATCH(ROWS($AG$2:AG65),$AG$2:$AG$1001,0),MATCH(COLUMNS($AN$1006:AX1006),$AN$1006:$BO$1006,0)), HYPERLINK("#",""), HYPERLINK(CONCATENATE("#Metadata!", ADDRESS(INDEX($AI$2:$AI$1001,MATCH(ROWS($AG$2:AG65),$AG$2:$AG$1001,0),0), INDEX($AN$1004:$BO$1004,1,MATCH(COLUMNS($AN$1006:AX1006),$AN$1006:$BO$1006,0)))),"Fix")))</f>
        <v>0</v>
      </c>
      <c r="M65" s="4">
        <f>IF(OR(INDEX($AH$2:$AH$1001,MATCH(ROWS($AG$2:AG65),$AG$2:$AG$1001,0),1)&gt;=100000,INDEX($AN$1005:$BO$1005,1,MATCH(COLUMNS($AN$1006:AY1006),$AN$1006:$BO$1006,0))&gt;=100000), " ",IF(INDEX($AN$2:$BO$1001,MATCH(ROWS($AG$2:AG65),$AG$2:$AG$1001,0),MATCH(COLUMNS($AN$1006:AY1006),$AN$1006:$BO$1006,0)), HYPERLINK("#",""), HYPERLINK(CONCATENATE("#Metadata!", ADDRESS(INDEX($AI$2:$AI$1001,MATCH(ROWS($AG$2:AG65),$AG$2:$AG$1001,0),0), INDEX($AN$1004:$BO$1004,1,MATCH(COLUMNS($AN$1006:AY1006),$AN$1006:$BO$1006,0)))),"Fix")))</f>
        <v>0</v>
      </c>
      <c r="N65" s="4">
        <f>IF(OR(INDEX($AH$2:$AH$1001,MATCH(ROWS($AG$2:AG65),$AG$2:$AG$1001,0),1)&gt;=100000,INDEX($AN$1005:$BO$1005,1,MATCH(COLUMNS($AN$1006:AZ1006),$AN$1006:$BO$1006,0))&gt;=100000), " ",IF(INDEX($AN$2:$BO$1001,MATCH(ROWS($AG$2:AG65),$AG$2:$AG$1001,0),MATCH(COLUMNS($AN$1006:AZ1006),$AN$1006:$BO$1006,0)), HYPERLINK("#",""), HYPERLINK(CONCATENATE("#Metadata!", ADDRESS(INDEX($AI$2:$AI$1001,MATCH(ROWS($AG$2:AG65),$AG$2:$AG$1001,0),0), INDEX($AN$1004:$BO$1004,1,MATCH(COLUMNS($AN$1006:AZ1006),$AN$1006:$BO$1006,0)))),"Fix")))</f>
        <v>0</v>
      </c>
      <c r="O65" s="4">
        <f>IF(OR(INDEX($AH$2:$AH$1001,MATCH(ROWS($AG$2:AG65),$AG$2:$AG$1001,0),1)&gt;=100000,INDEX($AN$1005:$BO$1005,1,MATCH(COLUMNS($AN$1006:BA1006),$AN$1006:$BO$1006,0))&gt;=100000), " ",IF(INDEX($AN$2:$BO$1001,MATCH(ROWS($AG$2:AG65),$AG$2:$AG$1001,0),MATCH(COLUMNS($AN$1006:BA1006),$AN$1006:$BO$1006,0)), HYPERLINK("#",""), HYPERLINK(CONCATENATE("#Metadata!", ADDRESS(INDEX($AI$2:$AI$1001,MATCH(ROWS($AG$2:AG65),$AG$2:$AG$1001,0),0), INDEX($AN$1004:$BO$1004,1,MATCH(COLUMNS($AN$1006:BA1006),$AN$1006:$BO$1006,0)))),"Fix")))</f>
        <v>0</v>
      </c>
      <c r="P65" s="4">
        <f>IF(OR(INDEX($AH$2:$AH$1001,MATCH(ROWS($AG$2:AG65),$AG$2:$AG$1001,0),1)&gt;=100000,INDEX($AN$1005:$BO$1005,1,MATCH(COLUMNS($AN$1006:BB1006),$AN$1006:$BO$1006,0))&gt;=100000), " ",IF(INDEX($AN$2:$BO$1001,MATCH(ROWS($AG$2:AG65),$AG$2:$AG$1001,0),MATCH(COLUMNS($AN$1006:BB1006),$AN$1006:$BO$1006,0)), HYPERLINK("#",""), HYPERLINK(CONCATENATE("#Metadata!", ADDRESS(INDEX($AI$2:$AI$1001,MATCH(ROWS($AG$2:AG65),$AG$2:$AG$1001,0),0), INDEX($AN$1004:$BO$1004,1,MATCH(COLUMNS($AN$1006:BB1006),$AN$1006:$BO$1006,0)))),"Fix")))</f>
        <v>0</v>
      </c>
      <c r="Q65" s="4">
        <f>IF(OR(INDEX($AH$2:$AH$1001,MATCH(ROWS($AG$2:AG65),$AG$2:$AG$1001,0),1)&gt;=100000,INDEX($AN$1005:$BO$1005,1,MATCH(COLUMNS($AN$1006:BC1006),$AN$1006:$BO$1006,0))&gt;=100000), " ",IF(INDEX($AN$2:$BO$1001,MATCH(ROWS($AG$2:AG65),$AG$2:$AG$1001,0),MATCH(COLUMNS($AN$1006:BC1006),$AN$1006:$BO$1006,0)), HYPERLINK("#",""), HYPERLINK(CONCATENATE("#Metadata!", ADDRESS(INDEX($AI$2:$AI$1001,MATCH(ROWS($AG$2:AG65),$AG$2:$AG$1001,0),0), INDEX($AN$1004:$BO$1004,1,MATCH(COLUMNS($AN$1006:BC1006),$AN$1006:$BO$1006,0)))),"Fix")))</f>
        <v>0</v>
      </c>
      <c r="R65" s="4">
        <f>IF(OR(INDEX($AH$2:$AH$1001,MATCH(ROWS($AG$2:AG65),$AG$2:$AG$1001,0),1)&gt;=100000,INDEX($AN$1005:$BO$1005,1,MATCH(COLUMNS($AN$1006:BD1006),$AN$1006:$BO$1006,0))&gt;=100000), " ",IF(INDEX($AN$2:$BO$1001,MATCH(ROWS($AG$2:AG65),$AG$2:$AG$1001,0),MATCH(COLUMNS($AN$1006:BD1006),$AN$1006:$BO$1006,0)), HYPERLINK("#",""), HYPERLINK(CONCATENATE("#Metadata!", ADDRESS(INDEX($AI$2:$AI$1001,MATCH(ROWS($AG$2:AG65),$AG$2:$AG$1001,0),0), INDEX($AN$1004:$BO$1004,1,MATCH(COLUMNS($AN$1006:BD1006),$AN$1006:$BO$1006,0)))),"Fix")))</f>
        <v>0</v>
      </c>
      <c r="S65" s="4">
        <f>IF(OR(INDEX($AH$2:$AH$1001,MATCH(ROWS($AG$2:AG65),$AG$2:$AG$1001,0),1)&gt;=100000,INDEX($AN$1005:$BO$1005,1,MATCH(COLUMNS($AN$1006:BE1006),$AN$1006:$BO$1006,0))&gt;=100000), " ",IF(INDEX($AN$2:$BO$1001,MATCH(ROWS($AG$2:AG65),$AG$2:$AG$1001,0),MATCH(COLUMNS($AN$1006:BE1006),$AN$1006:$BO$1006,0)), HYPERLINK("#",""), HYPERLINK(CONCATENATE("#Metadata!", ADDRESS(INDEX($AI$2:$AI$1001,MATCH(ROWS($AG$2:AG65),$AG$2:$AG$1001,0),0), INDEX($AN$1004:$BO$1004,1,MATCH(COLUMNS($AN$1006:BE1006),$AN$1006:$BO$1006,0)))),"Fix")))</f>
        <v>0</v>
      </c>
      <c r="T65" s="4">
        <f>IF(OR(INDEX($AH$2:$AH$1001,MATCH(ROWS($AG$2:AG65),$AG$2:$AG$1001,0),1)&gt;=100000,INDEX($AN$1005:$BO$1005,1,MATCH(COLUMNS($AN$1006:BF1006),$AN$1006:$BO$1006,0))&gt;=100000), " ",IF(INDEX($AN$2:$BO$1001,MATCH(ROWS($AG$2:AG65),$AG$2:$AG$1001,0),MATCH(COLUMNS($AN$1006:BF1006),$AN$1006:$BO$1006,0)), HYPERLINK("#",""), HYPERLINK(CONCATENATE("#Metadata!", ADDRESS(INDEX($AI$2:$AI$1001,MATCH(ROWS($AG$2:AG65),$AG$2:$AG$1001,0),0), INDEX($AN$1004:$BO$1004,1,MATCH(COLUMNS($AN$1006:BF1006),$AN$1006:$BO$1006,0)))),"Fix")))</f>
        <v>0</v>
      </c>
      <c r="U65" s="4">
        <f>IF(OR(INDEX($AH$2:$AH$1001,MATCH(ROWS($AG$2:AG65),$AG$2:$AG$1001,0),1)&gt;=100000,INDEX($AN$1005:$BO$1005,1,MATCH(COLUMNS($AN$1006:BG1006),$AN$1006:$BO$1006,0))&gt;=100000), " ",IF(INDEX($AN$2:$BO$1001,MATCH(ROWS($AG$2:AG65),$AG$2:$AG$1001,0),MATCH(COLUMNS($AN$1006:BG1006),$AN$1006:$BO$1006,0)), HYPERLINK("#",""), HYPERLINK(CONCATENATE("#Metadata!", ADDRESS(INDEX($AI$2:$AI$1001,MATCH(ROWS($AG$2:AG65),$AG$2:$AG$1001,0),0), INDEX($AN$1004:$BO$1004,1,MATCH(COLUMNS($AN$1006:BG1006),$AN$1006:$BO$1006,0)))),"Fix")))</f>
        <v>0</v>
      </c>
      <c r="V65" s="4">
        <f>IF(OR(INDEX($AH$2:$AH$1001,MATCH(ROWS($AG$2:AG65),$AG$2:$AG$1001,0),1)&gt;=100000,INDEX($AN$1005:$BO$1005,1,MATCH(COLUMNS($AN$1006:BH1006),$AN$1006:$BO$1006,0))&gt;=100000), " ",IF(INDEX($AN$2:$BO$1001,MATCH(ROWS($AG$2:AG65),$AG$2:$AG$1001,0),MATCH(COLUMNS($AN$1006:BH1006),$AN$1006:$BO$1006,0)), HYPERLINK("#",""), HYPERLINK(CONCATENATE("#Metadata!", ADDRESS(INDEX($AI$2:$AI$1001,MATCH(ROWS($AG$2:AG65),$AG$2:$AG$1001,0),0), INDEX($AN$1004:$BO$1004,1,MATCH(COLUMNS($AN$1006:BH1006),$AN$1006:$BO$1006,0)))),"Fix")))</f>
        <v>0</v>
      </c>
      <c r="W65" s="4">
        <f>IF(OR(INDEX($AH$2:$AH$1001,MATCH(ROWS($AG$2:AG65),$AG$2:$AG$1001,0),1)&gt;=100000,INDEX($AN$1005:$BO$1005,1,MATCH(COLUMNS($AN$1006:BI1006),$AN$1006:$BO$1006,0))&gt;=100000), " ",IF(INDEX($AN$2:$BO$1001,MATCH(ROWS($AG$2:AG65),$AG$2:$AG$1001,0),MATCH(COLUMNS($AN$1006:BI1006),$AN$1006:$BO$1006,0)), HYPERLINK("#",""), HYPERLINK(CONCATENATE("#Metadata!", ADDRESS(INDEX($AI$2:$AI$1001,MATCH(ROWS($AG$2:AG65),$AG$2:$AG$1001,0),0), INDEX($AN$1004:$BO$1004,1,MATCH(COLUMNS($AN$1006:BI1006),$AN$1006:$BO$1006,0)))),"Fix")))</f>
        <v>0</v>
      </c>
      <c r="X65" s="4">
        <f>IF(OR(INDEX($AH$2:$AH$1001,MATCH(ROWS($AG$2:AG65),$AG$2:$AG$1001,0),1)&gt;=100000,INDEX($AN$1005:$BO$1005,1,MATCH(COLUMNS($AN$1006:BJ1006),$AN$1006:$BO$1006,0))&gt;=100000), " ",IF(INDEX($AN$2:$BO$1001,MATCH(ROWS($AG$2:AG65),$AG$2:$AG$1001,0),MATCH(COLUMNS($AN$1006:BJ1006),$AN$1006:$BO$1006,0)), HYPERLINK("#",""), HYPERLINK(CONCATENATE("#Metadata!", ADDRESS(INDEX($AI$2:$AI$1001,MATCH(ROWS($AG$2:AG65),$AG$2:$AG$1001,0),0), INDEX($AN$1004:$BO$1004,1,MATCH(COLUMNS($AN$1006:BJ1006),$AN$1006:$BO$1006,0)))),"Fix")))</f>
        <v>0</v>
      </c>
      <c r="Y65" s="4">
        <f>IF(OR(INDEX($AH$2:$AH$1001,MATCH(ROWS($AG$2:AG65),$AG$2:$AG$1001,0),1)&gt;=100000,INDEX($AN$1005:$BO$1005,1,MATCH(COLUMNS($AN$1006:BK1006),$AN$1006:$BO$1006,0))&gt;=100000), " ",IF(INDEX($AN$2:$BO$1001,MATCH(ROWS($AG$2:AG65),$AG$2:$AG$1001,0),MATCH(COLUMNS($AN$1006:BK1006),$AN$1006:$BO$1006,0)), HYPERLINK("#",""), HYPERLINK(CONCATENATE("#Metadata!", ADDRESS(INDEX($AI$2:$AI$1001,MATCH(ROWS($AG$2:AG65),$AG$2:$AG$1001,0),0), INDEX($AN$1004:$BO$1004,1,MATCH(COLUMNS($AN$1006:BK1006),$AN$1006:$BO$1006,0)))),"Fix")))</f>
        <v>0</v>
      </c>
      <c r="Z65" s="4">
        <f>IF(OR(INDEX($AH$2:$AH$1001,MATCH(ROWS($AG$2:AG65),$AG$2:$AG$1001,0),1)&gt;=100000,INDEX($AN$1005:$BO$1005,1,MATCH(COLUMNS($AN$1006:BL1006),$AN$1006:$BO$1006,0))&gt;=100000), " ",IF(INDEX($AN$2:$BO$1001,MATCH(ROWS($AG$2:AG65),$AG$2:$AG$1001,0),MATCH(COLUMNS($AN$1006:BL1006),$AN$1006:$BO$1006,0)), HYPERLINK("#",""), HYPERLINK(CONCATENATE("#Metadata!", ADDRESS(INDEX($AI$2:$AI$1001,MATCH(ROWS($AG$2:AG65),$AG$2:$AG$1001,0),0), INDEX($AN$1004:$BO$1004,1,MATCH(COLUMNS($AN$1006:BL1006),$AN$1006:$BO$1006,0)))),"Fix")))</f>
        <v>0</v>
      </c>
      <c r="AA65" s="4">
        <f>IF(OR(INDEX($AH$2:$AH$1001,MATCH(ROWS($AG$2:AG65),$AG$2:$AG$1001,0),1)&gt;=100000,INDEX($AN$1005:$BO$1005,1,MATCH(COLUMNS($AN$1006:BM1006),$AN$1006:$BO$1006,0))&gt;=100000), " ",IF(INDEX($AN$2:$BO$1001,MATCH(ROWS($AG$2:AG65),$AG$2:$AG$1001,0),MATCH(COLUMNS($AN$1006:BM1006),$AN$1006:$BO$1006,0)), HYPERLINK("#",""), HYPERLINK(CONCATENATE("#Metadata!", ADDRESS(INDEX($AI$2:$AI$1001,MATCH(ROWS($AG$2:AG65),$AG$2:$AG$1001,0),0), INDEX($AN$1004:$BO$1004,1,MATCH(COLUMNS($AN$1006:BM1006),$AN$1006:$BO$1006,0)))),"Fix")))</f>
        <v>0</v>
      </c>
      <c r="AB65" s="4">
        <f>IF(OR(INDEX($AH$2:$AH$1001,MATCH(ROWS($AG$2:AG65),$AG$2:$AG$1001,0),1)&gt;=100000,INDEX($AN$1005:$BO$1005,1,MATCH(COLUMNS($AN$1006:BN1006),$AN$1006:$BO$1006,0))&gt;=100000), " ",IF(INDEX($AN$2:$BO$1001,MATCH(ROWS($AG$2:AG65),$AG$2:$AG$1001,0),MATCH(COLUMNS($AN$1006:BN1006),$AN$1006:$BO$1006,0)), HYPERLINK("#",""), HYPERLINK(CONCATENATE("#Metadata!", ADDRESS(INDEX($AI$2:$AI$1001,MATCH(ROWS($AG$2:AG65),$AG$2:$AG$1001,0),0), INDEX($AN$1004:$BO$1004,1,MATCH(COLUMNS($AN$1006:BN1006),$AN$1006:$BO$1006,0)))),"Fix")))</f>
        <v>0</v>
      </c>
      <c r="AC65" s="4">
        <f>IF(OR(INDEX($AH$2:$AH$1001,MATCH(ROWS($AG$2:AG65),$AG$2:$AG$1001,0),1)&gt;=100000,INDEX($AN$1005:$BO$1005,1,MATCH(COLUMNS($AN$1006:BO1006),$AN$1006:$BO$1006,0))&gt;=100000), " ",IF(INDEX($AN$2:$BO$1001,MATCH(ROWS($AG$2:AG65),$AG$2:$AG$1001,0),MATCH(COLUMNS($AN$1006:BO1006),$AN$1006:$BO$1006,0)), HYPERLINK("#",""), HYPERLINK(CONCATENATE("#Metadata!", ADDRESS(INDEX($AI$2:$AI$1001,MATCH(ROWS($AG$2:AG65),$AG$2:$AG$1001,0),0), INDEX($AN$1004:$BO$1004,1,MATCH(COLUMNS($AN$1006:BO1006),$AN$1006:$BO$1006,0)))),"Fix")))</f>
        <v>0</v>
      </c>
      <c r="AG65">
        <v>0</v>
      </c>
      <c r="AH65">
        <v>0</v>
      </c>
      <c r="AI65">
        <v>0</v>
      </c>
      <c r="AJ65">
        <f>IF(AK65,TRUE,AND(AN65:BO65))</f>
        <v>0</v>
      </c>
      <c r="AK65">
        <f>COUNTBLANK(Metadata!B65:AC65)=COLUMNS(Metadata!B65:AC65)</f>
        <v>0</v>
      </c>
      <c r="AL65">
        <v>0</v>
      </c>
      <c r="AN65">
        <f>AND(IF(Metadata!B65="",FALSE,TRUE),COUNTIF(Metadata!B:B, Metadata!B65) = 1,NOT(ISERROR(SUMPRODUCT(SEARCH(MID(Metadata!B65,ROW(INDIRECT("1:"&amp;LEN(Metadata!B65))), 1),"0123456789abcdefghijklmnopqrstuvwxyzABCDEFGHIJKLMNOPQRSTUVWXYZ.")))))</f>
        <v>0</v>
      </c>
      <c r="AO65">
        <f>IF(Metadata!C65="",FALSE,TRUE)</f>
        <v>0</v>
      </c>
      <c r="AP65">
        <f>IF(Metadata!D65="",FALSE,TRUE)</f>
        <v>0</v>
      </c>
      <c r="AQ65">
        <f>OR(AND(IF(Metadata!E65="",FALSE,TRUE),OR(exact(Metadata!E65,"not collected"),exact(Metadata!E65,"not provided"),exact(Metadata!E65,"restricted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R65">
        <f>IF(Metadata!F65="",FALSE,TRUE)</f>
        <v>0</v>
      </c>
      <c r="AS65">
        <f>OR(AND(IF(Metadata!G65="",FALSE,TRUE),OR(exact(Metadata!G65,"not collected"),exact(Metadata!G65,"not provided"))),AND(IF(Metadata!G65="",FALSE,TRUE),OR(exact(Metadata!G65,"TRUE"),exact(Metadata!G65,"FALSE"))))</f>
        <v>0</v>
      </c>
      <c r="AT65">
        <f>OR(AND(IF(Metadata!H65="",FALSE,TRUE),OR(exact(Metadata!H65,"not collected"),exact(Metadata!H65,"not provided"),exact(Metadata!H65,"restricted access"))),AND(IF(Metadata!H65="",FALSE,ISNUMBER(VALUE(Metadata!H65))),Metadata!H65&gt;=-413.0))</f>
        <v>0</v>
      </c>
      <c r="AU65">
        <f>AND(IF(Metadata!I65="",FALSE,TRUE),exact(Metadata!I65,"meters"))</f>
        <v>0</v>
      </c>
      <c r="AV65">
        <f>AND(IF(Metadata!J65="",FALSE,TRUE),OR(exact(Metadata!J65,"Host-associated"),exact(Metadata!J65,"Free-living")))</f>
        <v>0</v>
      </c>
      <c r="AW65">
        <f>AND(IF(Metadata!K65="",FALSE,TRUE),OR(exact(Metadata!K65,"Animal"),exact(Metadata!K65,"Fungus"),exact(Metadata!K65,"Plant"),exact(Metadata!K65,"Saline"),exact(Metadata!K65,"Non-saline")))</f>
        <v>0</v>
      </c>
      <c r="AX65">
        <f>AND(IF(Metadata!L65="",FALSE,TRUE),OR(exact(Metadata!L65,"Plant secretion"),exact(Metadata!L65,"Plant rhizosphere"),exact(Metadata!L65,"Plant surface"),exact(Metadata!L65,"Plant corpus"),exact(Metadata!L65,"Fungus surface"),exact(Metadata!L65,"Fungus corpus"),exact(Metadata!L65,"Animal surface"),exact(Metadata!L65,"Animal proximal gut"),exact(Metadata!L65,"Animal corpus"),exact(Metadata!L65,"Animal distal gut"),exact(Metadata!L65,"Animal secretion"),exact(Metadata!L65,"Sub-surface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Y65">
        <f>IF(Metadata!M65="",FALSE,TRUE)</f>
        <v>0</v>
      </c>
      <c r="AZ65">
        <f>IF(Metadata!N65="",FALSE,TRUE)</f>
        <v>0</v>
      </c>
      <c r="BA65">
        <f>IF(Metadata!O65="",FALSE,TRUE)</f>
        <v>0</v>
      </c>
      <c r="BB65">
        <f>OR(AND(IF(Metadata!P65="",FALSE,TRUE),OR(exact(Metadata!P65,"not collected"),exact(Metadata!P65,"not provided"),exact(Metadata!P65,"restricted access"))),AND(IF(Metadata!P65="",FALSE,TRUE),OR(exact(Metadata!P65,"air"),exact(Metadata!P65,"built environment"),exact(Metadata!P65,"host-associated"),exact(Metadata!P65,"human-associated"),exact(Metadata!P65,"human-skin"),exact(Metadata!P65,"human-oral"),exact(Metadata!P65,"human-gut"),exact(Metadata!P65,"human-vaginal"),exact(Metadata!P65,"microbial mat/biofilm"),exact(Metadata!P65,"misc environment"),exact(Metadata!P65,"plant-associated"),exact(Metadata!P65,"sediment"),exact(Metadata!P65,"soil"),exact(Metadata!P65,"wastewater/sludge"),exact(Metadata!P65,"water"))))</f>
        <v>0</v>
      </c>
      <c r="BC65">
        <f>IF(Metadata!Q65="",FALSE,TRUE)</f>
        <v>0</v>
      </c>
      <c r="BD65">
        <f>IF(Metadata!R65="",FALSE,TRUE)</f>
        <v>0</v>
      </c>
      <c r="BE65">
        <f>OR(AND(IF(Metadata!S65="",FALSE,TRUE),OR(exact(Metadata!S65,"not collected"),exact(Metadata!S65,"not provided"),exact(Metadata!S65,"restricted access"))),AND(IF(Metadata!S65="",FALSE,ISNUMBER(VALUE(Metadata!S65))),Metadata!S65&gt;=-90.00,Metadata!S65&lt;=90.00))</f>
        <v>0</v>
      </c>
      <c r="BF65">
        <f>AND(IF(Metadata!T65="",FALSE,TRUE),exact(Metadata!T65,"Decimal degrees"))</f>
        <v>0</v>
      </c>
      <c r="BG65">
        <f>OR(AND(IF(Metadata!U65="",FALSE,TRUE),OR(exact(Metadata!U65,"not collected"),exact(Metadata!U65,"not provided"),exact(Metadata!U65,"restricted access"))),AND(IF(Metadata!U65="",FALSE,ISNUMBER(VALUE(Metadata!U65))),Metadata!U65&gt;=-180.00,Metadata!U65&lt;=180.00))</f>
        <v>0</v>
      </c>
      <c r="BH65">
        <f>AND(IF(Metadata!V65="",FALSE,TRUE),exact(Metadata!V65,"Decimal degrees"))</f>
        <v>0</v>
      </c>
      <c r="BI65">
        <f>IF(Metadata!W65="",FALSE,TRUE)</f>
        <v>0</v>
      </c>
      <c r="BJ65">
        <f>OR(AND(IF(Metadata!X65="",FALSE,TRUE),OR(exact(Metadata!X65,"not collected"),exact(Metadata!X65,"not provided"),exact(Metadata!X65,"restricted access"))),AND(IF(Metadata!X65="",FALSE,TRUE),OR(exact(Metadata!X65,"TRUE"),exact(Metadata!X65,"FALSE"))))</f>
        <v>0</v>
      </c>
      <c r="BK65">
        <f>AND(IF(Metadata!Y65="",FALSE,TRUE),exact(Metadata!Y65,"other"))</f>
        <v>0</v>
      </c>
      <c r="BL65">
        <f>IF(Metadata!Z65="",FALSE,TRUE)</f>
        <v>0</v>
      </c>
      <c r="BM65">
        <f>OR(AND(IF(Metadata!AA65="",FALSE,TRUE),OR(exact(Metadata!AA65,"not collected"),exact(Metadata!AA65,"not provided"))),AND(IF(Metadata!AA65="",FALSE,IF(ISERROR(INT(Metadata!AA65)),FALSE,INT(Metadata!AA65)=Metadata!AA65)),Metadata!AA65&gt;0))</f>
        <v>0</v>
      </c>
      <c r="BN65">
        <f>AND(IF(Metadata!AB65="",FALSE,TRUE),exact(Metadata!AB65,"Not applicable"))</f>
        <v>0</v>
      </c>
      <c r="BO65">
        <f>IF(Metadata!AC65="",FALSE,TRUE)</f>
        <v>0</v>
      </c>
    </row>
    <row r="66" spans="1:67">
      <c r="A66" s="5">
        <f>IF(B66=" "," ",HYPERLINK(CONCATENATE("#metadata!",ADDRESS(INDEX($AI$2:$AI$1001,MATCH(ROWS($AG$2:AG66),$AG$2:$AG$1001,0),0),1)),INDEX($AL$2:$AL$1001,MATCH(ROWS($AG$2:AG66),$AG$2:$AG$1001,0),0)))</f>
        <v>0</v>
      </c>
      <c r="B66" s="4">
        <f>IF(OR(INDEX($AH$2:$AH$1001,MATCH(ROWS($AG$2:AG66),$AG$2:$AG$1001,0),1)&gt;=100000,INDEX($AN$1005:$BO$1005,1,MATCH(COLUMNS($AN$1006:AN1006),$AN$1006:$BO$1006,0))&gt;=100000), " ",IF(INDEX($AN$2:$BO$1001,MATCH(ROWS($AG$2:AG66),$AG$2:$AG$1001,0),MATCH(COLUMNS($AN$1006:AN1006),$AN$1006:$BO$1006,0)), HYPERLINK("#",""), HYPERLINK(CONCATENATE("#Metadata!", ADDRESS(INDEX($AI$2:$AI$1001,MATCH(ROWS($AG$2:AG66),$AG$2:$AG$1001,0),0), INDEX($AN$1004:$BO$1004,1,MATCH(COLUMNS($AN$1006:AN1006),$AN$1006:$BO$1006,0)))),"Fix")))</f>
        <v>0</v>
      </c>
      <c r="C66" s="4">
        <f>IF(OR(INDEX($AH$2:$AH$1001,MATCH(ROWS($AG$2:AG66),$AG$2:$AG$1001,0),1)&gt;=100000,INDEX($AN$1005:$BO$1005,1,MATCH(COLUMNS($AN$1006:AO1006),$AN$1006:$BO$1006,0))&gt;=100000), " ",IF(INDEX($AN$2:$BO$1001,MATCH(ROWS($AG$2:AG66),$AG$2:$AG$1001,0),MATCH(COLUMNS($AN$1006:AO1006),$AN$1006:$BO$1006,0)), HYPERLINK("#",""), HYPERLINK(CONCATENATE("#Metadata!", ADDRESS(INDEX($AI$2:$AI$1001,MATCH(ROWS($AG$2:AG66),$AG$2:$AG$1001,0),0), INDEX($AN$1004:$BO$1004,1,MATCH(COLUMNS($AN$1006:AO1006),$AN$1006:$BO$1006,0)))),"Fix")))</f>
        <v>0</v>
      </c>
      <c r="D66" s="4">
        <f>IF(OR(INDEX($AH$2:$AH$1001,MATCH(ROWS($AG$2:AG66),$AG$2:$AG$1001,0),1)&gt;=100000,INDEX($AN$1005:$BO$1005,1,MATCH(COLUMNS($AN$1006:AP1006),$AN$1006:$BO$1006,0))&gt;=100000), " ",IF(INDEX($AN$2:$BO$1001,MATCH(ROWS($AG$2:AG66),$AG$2:$AG$1001,0),MATCH(COLUMNS($AN$1006:AP1006),$AN$1006:$BO$1006,0)), HYPERLINK("#",""), HYPERLINK(CONCATENATE("#Metadata!", ADDRESS(INDEX($AI$2:$AI$1001,MATCH(ROWS($AG$2:AG66),$AG$2:$AG$1001,0),0), INDEX($AN$1004:$BO$1004,1,MATCH(COLUMNS($AN$1006:AP1006),$AN$1006:$BO$1006,0)))),"Fix")))</f>
        <v>0</v>
      </c>
      <c r="E66" s="4">
        <f>IF(OR(INDEX($AH$2:$AH$1001,MATCH(ROWS($AG$2:AG66),$AG$2:$AG$1001,0),1)&gt;=100000,INDEX($AN$1005:$BO$1005,1,MATCH(COLUMNS($AN$1006:AQ1006),$AN$1006:$BO$1006,0))&gt;=100000), " ",IF(INDEX($AN$2:$BO$1001,MATCH(ROWS($AG$2:AG66),$AG$2:$AG$1001,0),MATCH(COLUMNS($AN$1006:AQ1006),$AN$1006:$BO$1006,0)), HYPERLINK("#",""), HYPERLINK(CONCATENATE("#Metadata!", ADDRESS(INDEX($AI$2:$AI$1001,MATCH(ROWS($AG$2:AG66),$AG$2:$AG$1001,0),0), INDEX($AN$1004:$BO$1004,1,MATCH(COLUMNS($AN$1006:AQ1006),$AN$1006:$BO$1006,0)))),"Fix")))</f>
        <v>0</v>
      </c>
      <c r="F66" s="4">
        <f>IF(OR(INDEX($AH$2:$AH$1001,MATCH(ROWS($AG$2:AG66),$AG$2:$AG$1001,0),1)&gt;=100000,INDEX($AN$1005:$BO$1005,1,MATCH(COLUMNS($AN$1006:AR1006),$AN$1006:$BO$1006,0))&gt;=100000), " ",IF(INDEX($AN$2:$BO$1001,MATCH(ROWS($AG$2:AG66),$AG$2:$AG$1001,0),MATCH(COLUMNS($AN$1006:AR1006),$AN$1006:$BO$1006,0)), HYPERLINK("#",""), HYPERLINK(CONCATENATE("#Metadata!", ADDRESS(INDEX($AI$2:$AI$1001,MATCH(ROWS($AG$2:AG66),$AG$2:$AG$1001,0),0), INDEX($AN$1004:$BO$1004,1,MATCH(COLUMNS($AN$1006:AR1006),$AN$1006:$BO$1006,0)))),"Fix")))</f>
        <v>0</v>
      </c>
      <c r="G66" s="4">
        <f>IF(OR(INDEX($AH$2:$AH$1001,MATCH(ROWS($AG$2:AG66),$AG$2:$AG$1001,0),1)&gt;=100000,INDEX($AN$1005:$BO$1005,1,MATCH(COLUMNS($AN$1006:AS1006),$AN$1006:$BO$1006,0))&gt;=100000), " ",IF(INDEX($AN$2:$BO$1001,MATCH(ROWS($AG$2:AG66),$AG$2:$AG$1001,0),MATCH(COLUMNS($AN$1006:AS1006),$AN$1006:$BO$1006,0)), HYPERLINK("#",""), HYPERLINK(CONCATENATE("#Metadata!", ADDRESS(INDEX($AI$2:$AI$1001,MATCH(ROWS($AG$2:AG66),$AG$2:$AG$1001,0),0), INDEX($AN$1004:$BO$1004,1,MATCH(COLUMNS($AN$1006:AS1006),$AN$1006:$BO$1006,0)))),"Fix")))</f>
        <v>0</v>
      </c>
      <c r="H66" s="4">
        <f>IF(OR(INDEX($AH$2:$AH$1001,MATCH(ROWS($AG$2:AG66),$AG$2:$AG$1001,0),1)&gt;=100000,INDEX($AN$1005:$BO$1005,1,MATCH(COLUMNS($AN$1006:AT1006),$AN$1006:$BO$1006,0))&gt;=100000), " ",IF(INDEX($AN$2:$BO$1001,MATCH(ROWS($AG$2:AG66),$AG$2:$AG$1001,0),MATCH(COLUMNS($AN$1006:AT1006),$AN$1006:$BO$1006,0)), HYPERLINK("#",""), HYPERLINK(CONCATENATE("#Metadata!", ADDRESS(INDEX($AI$2:$AI$1001,MATCH(ROWS($AG$2:AG66),$AG$2:$AG$1001,0),0), INDEX($AN$1004:$BO$1004,1,MATCH(COLUMNS($AN$1006:AT1006),$AN$1006:$BO$1006,0)))),"Fix")))</f>
        <v>0</v>
      </c>
      <c r="I66" s="4">
        <f>IF(OR(INDEX($AH$2:$AH$1001,MATCH(ROWS($AG$2:AG66),$AG$2:$AG$1001,0),1)&gt;=100000,INDEX($AN$1005:$BO$1005,1,MATCH(COLUMNS($AN$1006:AU1006),$AN$1006:$BO$1006,0))&gt;=100000), " ",IF(INDEX($AN$2:$BO$1001,MATCH(ROWS($AG$2:AG66),$AG$2:$AG$1001,0),MATCH(COLUMNS($AN$1006:AU1006),$AN$1006:$BO$1006,0)), HYPERLINK("#",""), HYPERLINK(CONCATENATE("#Metadata!", ADDRESS(INDEX($AI$2:$AI$1001,MATCH(ROWS($AG$2:AG66),$AG$2:$AG$1001,0),0), INDEX($AN$1004:$BO$1004,1,MATCH(COLUMNS($AN$1006:AU1006),$AN$1006:$BO$1006,0)))),"Fix")))</f>
        <v>0</v>
      </c>
      <c r="J66" s="4">
        <f>IF(OR(INDEX($AH$2:$AH$1001,MATCH(ROWS($AG$2:AG66),$AG$2:$AG$1001,0),1)&gt;=100000,INDEX($AN$1005:$BO$1005,1,MATCH(COLUMNS($AN$1006:AV1006),$AN$1006:$BO$1006,0))&gt;=100000), " ",IF(INDEX($AN$2:$BO$1001,MATCH(ROWS($AG$2:AG66),$AG$2:$AG$1001,0),MATCH(COLUMNS($AN$1006:AV1006),$AN$1006:$BO$1006,0)), HYPERLINK("#",""), HYPERLINK(CONCATENATE("#Metadata!", ADDRESS(INDEX($AI$2:$AI$1001,MATCH(ROWS($AG$2:AG66),$AG$2:$AG$1001,0),0), INDEX($AN$1004:$BO$1004,1,MATCH(COLUMNS($AN$1006:AV1006),$AN$1006:$BO$1006,0)))),"Fix")))</f>
        <v>0</v>
      </c>
      <c r="K66" s="4">
        <f>IF(OR(INDEX($AH$2:$AH$1001,MATCH(ROWS($AG$2:AG66),$AG$2:$AG$1001,0),1)&gt;=100000,INDEX($AN$1005:$BO$1005,1,MATCH(COLUMNS($AN$1006:AW1006),$AN$1006:$BO$1006,0))&gt;=100000), " ",IF(INDEX($AN$2:$BO$1001,MATCH(ROWS($AG$2:AG66),$AG$2:$AG$1001,0),MATCH(COLUMNS($AN$1006:AW1006),$AN$1006:$BO$1006,0)), HYPERLINK("#",""), HYPERLINK(CONCATENATE("#Metadata!", ADDRESS(INDEX($AI$2:$AI$1001,MATCH(ROWS($AG$2:AG66),$AG$2:$AG$1001,0),0), INDEX($AN$1004:$BO$1004,1,MATCH(COLUMNS($AN$1006:AW1006),$AN$1006:$BO$1006,0)))),"Fix")))</f>
        <v>0</v>
      </c>
      <c r="L66" s="4">
        <f>IF(OR(INDEX($AH$2:$AH$1001,MATCH(ROWS($AG$2:AG66),$AG$2:$AG$1001,0),1)&gt;=100000,INDEX($AN$1005:$BO$1005,1,MATCH(COLUMNS($AN$1006:AX1006),$AN$1006:$BO$1006,0))&gt;=100000), " ",IF(INDEX($AN$2:$BO$1001,MATCH(ROWS($AG$2:AG66),$AG$2:$AG$1001,0),MATCH(COLUMNS($AN$1006:AX1006),$AN$1006:$BO$1006,0)), HYPERLINK("#",""), HYPERLINK(CONCATENATE("#Metadata!", ADDRESS(INDEX($AI$2:$AI$1001,MATCH(ROWS($AG$2:AG66),$AG$2:$AG$1001,0),0), INDEX($AN$1004:$BO$1004,1,MATCH(COLUMNS($AN$1006:AX1006),$AN$1006:$BO$1006,0)))),"Fix")))</f>
        <v>0</v>
      </c>
      <c r="M66" s="4">
        <f>IF(OR(INDEX($AH$2:$AH$1001,MATCH(ROWS($AG$2:AG66),$AG$2:$AG$1001,0),1)&gt;=100000,INDEX($AN$1005:$BO$1005,1,MATCH(COLUMNS($AN$1006:AY1006),$AN$1006:$BO$1006,0))&gt;=100000), " ",IF(INDEX($AN$2:$BO$1001,MATCH(ROWS($AG$2:AG66),$AG$2:$AG$1001,0),MATCH(COLUMNS($AN$1006:AY1006),$AN$1006:$BO$1006,0)), HYPERLINK("#",""), HYPERLINK(CONCATENATE("#Metadata!", ADDRESS(INDEX($AI$2:$AI$1001,MATCH(ROWS($AG$2:AG66),$AG$2:$AG$1001,0),0), INDEX($AN$1004:$BO$1004,1,MATCH(COLUMNS($AN$1006:AY1006),$AN$1006:$BO$1006,0)))),"Fix")))</f>
        <v>0</v>
      </c>
      <c r="N66" s="4">
        <f>IF(OR(INDEX($AH$2:$AH$1001,MATCH(ROWS($AG$2:AG66),$AG$2:$AG$1001,0),1)&gt;=100000,INDEX($AN$1005:$BO$1005,1,MATCH(COLUMNS($AN$1006:AZ1006),$AN$1006:$BO$1006,0))&gt;=100000), " ",IF(INDEX($AN$2:$BO$1001,MATCH(ROWS($AG$2:AG66),$AG$2:$AG$1001,0),MATCH(COLUMNS($AN$1006:AZ1006),$AN$1006:$BO$1006,0)), HYPERLINK("#",""), HYPERLINK(CONCATENATE("#Metadata!", ADDRESS(INDEX($AI$2:$AI$1001,MATCH(ROWS($AG$2:AG66),$AG$2:$AG$1001,0),0), INDEX($AN$1004:$BO$1004,1,MATCH(COLUMNS($AN$1006:AZ1006),$AN$1006:$BO$1006,0)))),"Fix")))</f>
        <v>0</v>
      </c>
      <c r="O66" s="4">
        <f>IF(OR(INDEX($AH$2:$AH$1001,MATCH(ROWS($AG$2:AG66),$AG$2:$AG$1001,0),1)&gt;=100000,INDEX($AN$1005:$BO$1005,1,MATCH(COLUMNS($AN$1006:BA1006),$AN$1006:$BO$1006,0))&gt;=100000), " ",IF(INDEX($AN$2:$BO$1001,MATCH(ROWS($AG$2:AG66),$AG$2:$AG$1001,0),MATCH(COLUMNS($AN$1006:BA1006),$AN$1006:$BO$1006,0)), HYPERLINK("#",""), HYPERLINK(CONCATENATE("#Metadata!", ADDRESS(INDEX($AI$2:$AI$1001,MATCH(ROWS($AG$2:AG66),$AG$2:$AG$1001,0),0), INDEX($AN$1004:$BO$1004,1,MATCH(COLUMNS($AN$1006:BA1006),$AN$1006:$BO$1006,0)))),"Fix")))</f>
        <v>0</v>
      </c>
      <c r="P66" s="4">
        <f>IF(OR(INDEX($AH$2:$AH$1001,MATCH(ROWS($AG$2:AG66),$AG$2:$AG$1001,0),1)&gt;=100000,INDEX($AN$1005:$BO$1005,1,MATCH(COLUMNS($AN$1006:BB1006),$AN$1006:$BO$1006,0))&gt;=100000), " ",IF(INDEX($AN$2:$BO$1001,MATCH(ROWS($AG$2:AG66),$AG$2:$AG$1001,0),MATCH(COLUMNS($AN$1006:BB1006),$AN$1006:$BO$1006,0)), HYPERLINK("#",""), HYPERLINK(CONCATENATE("#Metadata!", ADDRESS(INDEX($AI$2:$AI$1001,MATCH(ROWS($AG$2:AG66),$AG$2:$AG$1001,0),0), INDEX($AN$1004:$BO$1004,1,MATCH(COLUMNS($AN$1006:BB1006),$AN$1006:$BO$1006,0)))),"Fix")))</f>
        <v>0</v>
      </c>
      <c r="Q66" s="4">
        <f>IF(OR(INDEX($AH$2:$AH$1001,MATCH(ROWS($AG$2:AG66),$AG$2:$AG$1001,0),1)&gt;=100000,INDEX($AN$1005:$BO$1005,1,MATCH(COLUMNS($AN$1006:BC1006),$AN$1006:$BO$1006,0))&gt;=100000), " ",IF(INDEX($AN$2:$BO$1001,MATCH(ROWS($AG$2:AG66),$AG$2:$AG$1001,0),MATCH(COLUMNS($AN$1006:BC1006),$AN$1006:$BO$1006,0)), HYPERLINK("#",""), HYPERLINK(CONCATENATE("#Metadata!", ADDRESS(INDEX($AI$2:$AI$1001,MATCH(ROWS($AG$2:AG66),$AG$2:$AG$1001,0),0), INDEX($AN$1004:$BO$1004,1,MATCH(COLUMNS($AN$1006:BC1006),$AN$1006:$BO$1006,0)))),"Fix")))</f>
        <v>0</v>
      </c>
      <c r="R66" s="4">
        <f>IF(OR(INDEX($AH$2:$AH$1001,MATCH(ROWS($AG$2:AG66),$AG$2:$AG$1001,0),1)&gt;=100000,INDEX($AN$1005:$BO$1005,1,MATCH(COLUMNS($AN$1006:BD1006),$AN$1006:$BO$1006,0))&gt;=100000), " ",IF(INDEX($AN$2:$BO$1001,MATCH(ROWS($AG$2:AG66),$AG$2:$AG$1001,0),MATCH(COLUMNS($AN$1006:BD1006),$AN$1006:$BO$1006,0)), HYPERLINK("#",""), HYPERLINK(CONCATENATE("#Metadata!", ADDRESS(INDEX($AI$2:$AI$1001,MATCH(ROWS($AG$2:AG66),$AG$2:$AG$1001,0),0), INDEX($AN$1004:$BO$1004,1,MATCH(COLUMNS($AN$1006:BD1006),$AN$1006:$BO$1006,0)))),"Fix")))</f>
        <v>0</v>
      </c>
      <c r="S66" s="4">
        <f>IF(OR(INDEX($AH$2:$AH$1001,MATCH(ROWS($AG$2:AG66),$AG$2:$AG$1001,0),1)&gt;=100000,INDEX($AN$1005:$BO$1005,1,MATCH(COLUMNS($AN$1006:BE1006),$AN$1006:$BO$1006,0))&gt;=100000), " ",IF(INDEX($AN$2:$BO$1001,MATCH(ROWS($AG$2:AG66),$AG$2:$AG$1001,0),MATCH(COLUMNS($AN$1006:BE1006),$AN$1006:$BO$1006,0)), HYPERLINK("#",""), HYPERLINK(CONCATENATE("#Metadata!", ADDRESS(INDEX($AI$2:$AI$1001,MATCH(ROWS($AG$2:AG66),$AG$2:$AG$1001,0),0), INDEX($AN$1004:$BO$1004,1,MATCH(COLUMNS($AN$1006:BE1006),$AN$1006:$BO$1006,0)))),"Fix")))</f>
        <v>0</v>
      </c>
      <c r="T66" s="4">
        <f>IF(OR(INDEX($AH$2:$AH$1001,MATCH(ROWS($AG$2:AG66),$AG$2:$AG$1001,0),1)&gt;=100000,INDEX($AN$1005:$BO$1005,1,MATCH(COLUMNS($AN$1006:BF1006),$AN$1006:$BO$1006,0))&gt;=100000), " ",IF(INDEX($AN$2:$BO$1001,MATCH(ROWS($AG$2:AG66),$AG$2:$AG$1001,0),MATCH(COLUMNS($AN$1006:BF1006),$AN$1006:$BO$1006,0)), HYPERLINK("#",""), HYPERLINK(CONCATENATE("#Metadata!", ADDRESS(INDEX($AI$2:$AI$1001,MATCH(ROWS($AG$2:AG66),$AG$2:$AG$1001,0),0), INDEX($AN$1004:$BO$1004,1,MATCH(COLUMNS($AN$1006:BF1006),$AN$1006:$BO$1006,0)))),"Fix")))</f>
        <v>0</v>
      </c>
      <c r="U66" s="4">
        <f>IF(OR(INDEX($AH$2:$AH$1001,MATCH(ROWS($AG$2:AG66),$AG$2:$AG$1001,0),1)&gt;=100000,INDEX($AN$1005:$BO$1005,1,MATCH(COLUMNS($AN$1006:BG1006),$AN$1006:$BO$1006,0))&gt;=100000), " ",IF(INDEX($AN$2:$BO$1001,MATCH(ROWS($AG$2:AG66),$AG$2:$AG$1001,0),MATCH(COLUMNS($AN$1006:BG1006),$AN$1006:$BO$1006,0)), HYPERLINK("#",""), HYPERLINK(CONCATENATE("#Metadata!", ADDRESS(INDEX($AI$2:$AI$1001,MATCH(ROWS($AG$2:AG66),$AG$2:$AG$1001,0),0), INDEX($AN$1004:$BO$1004,1,MATCH(COLUMNS($AN$1006:BG1006),$AN$1006:$BO$1006,0)))),"Fix")))</f>
        <v>0</v>
      </c>
      <c r="V66" s="4">
        <f>IF(OR(INDEX($AH$2:$AH$1001,MATCH(ROWS($AG$2:AG66),$AG$2:$AG$1001,0),1)&gt;=100000,INDEX($AN$1005:$BO$1005,1,MATCH(COLUMNS($AN$1006:BH1006),$AN$1006:$BO$1006,0))&gt;=100000), " ",IF(INDEX($AN$2:$BO$1001,MATCH(ROWS($AG$2:AG66),$AG$2:$AG$1001,0),MATCH(COLUMNS($AN$1006:BH1006),$AN$1006:$BO$1006,0)), HYPERLINK("#",""), HYPERLINK(CONCATENATE("#Metadata!", ADDRESS(INDEX($AI$2:$AI$1001,MATCH(ROWS($AG$2:AG66),$AG$2:$AG$1001,0),0), INDEX($AN$1004:$BO$1004,1,MATCH(COLUMNS($AN$1006:BH1006),$AN$1006:$BO$1006,0)))),"Fix")))</f>
        <v>0</v>
      </c>
      <c r="W66" s="4">
        <f>IF(OR(INDEX($AH$2:$AH$1001,MATCH(ROWS($AG$2:AG66),$AG$2:$AG$1001,0),1)&gt;=100000,INDEX($AN$1005:$BO$1005,1,MATCH(COLUMNS($AN$1006:BI1006),$AN$1006:$BO$1006,0))&gt;=100000), " ",IF(INDEX($AN$2:$BO$1001,MATCH(ROWS($AG$2:AG66),$AG$2:$AG$1001,0),MATCH(COLUMNS($AN$1006:BI1006),$AN$1006:$BO$1006,0)), HYPERLINK("#",""), HYPERLINK(CONCATENATE("#Metadata!", ADDRESS(INDEX($AI$2:$AI$1001,MATCH(ROWS($AG$2:AG66),$AG$2:$AG$1001,0),0), INDEX($AN$1004:$BO$1004,1,MATCH(COLUMNS($AN$1006:BI1006),$AN$1006:$BO$1006,0)))),"Fix")))</f>
        <v>0</v>
      </c>
      <c r="X66" s="4">
        <f>IF(OR(INDEX($AH$2:$AH$1001,MATCH(ROWS($AG$2:AG66),$AG$2:$AG$1001,0),1)&gt;=100000,INDEX($AN$1005:$BO$1005,1,MATCH(COLUMNS($AN$1006:BJ1006),$AN$1006:$BO$1006,0))&gt;=100000), " ",IF(INDEX($AN$2:$BO$1001,MATCH(ROWS($AG$2:AG66),$AG$2:$AG$1001,0),MATCH(COLUMNS($AN$1006:BJ1006),$AN$1006:$BO$1006,0)), HYPERLINK("#",""), HYPERLINK(CONCATENATE("#Metadata!", ADDRESS(INDEX($AI$2:$AI$1001,MATCH(ROWS($AG$2:AG66),$AG$2:$AG$1001,0),0), INDEX($AN$1004:$BO$1004,1,MATCH(COLUMNS($AN$1006:BJ1006),$AN$1006:$BO$1006,0)))),"Fix")))</f>
        <v>0</v>
      </c>
      <c r="Y66" s="4">
        <f>IF(OR(INDEX($AH$2:$AH$1001,MATCH(ROWS($AG$2:AG66),$AG$2:$AG$1001,0),1)&gt;=100000,INDEX($AN$1005:$BO$1005,1,MATCH(COLUMNS($AN$1006:BK1006),$AN$1006:$BO$1006,0))&gt;=100000), " ",IF(INDEX($AN$2:$BO$1001,MATCH(ROWS($AG$2:AG66),$AG$2:$AG$1001,0),MATCH(COLUMNS($AN$1006:BK1006),$AN$1006:$BO$1006,0)), HYPERLINK("#",""), HYPERLINK(CONCATENATE("#Metadata!", ADDRESS(INDEX($AI$2:$AI$1001,MATCH(ROWS($AG$2:AG66),$AG$2:$AG$1001,0),0), INDEX($AN$1004:$BO$1004,1,MATCH(COLUMNS($AN$1006:BK1006),$AN$1006:$BO$1006,0)))),"Fix")))</f>
        <v>0</v>
      </c>
      <c r="Z66" s="4">
        <f>IF(OR(INDEX($AH$2:$AH$1001,MATCH(ROWS($AG$2:AG66),$AG$2:$AG$1001,0),1)&gt;=100000,INDEX($AN$1005:$BO$1005,1,MATCH(COLUMNS($AN$1006:BL1006),$AN$1006:$BO$1006,0))&gt;=100000), " ",IF(INDEX($AN$2:$BO$1001,MATCH(ROWS($AG$2:AG66),$AG$2:$AG$1001,0),MATCH(COLUMNS($AN$1006:BL1006),$AN$1006:$BO$1006,0)), HYPERLINK("#",""), HYPERLINK(CONCATENATE("#Metadata!", ADDRESS(INDEX($AI$2:$AI$1001,MATCH(ROWS($AG$2:AG66),$AG$2:$AG$1001,0),0), INDEX($AN$1004:$BO$1004,1,MATCH(COLUMNS($AN$1006:BL1006),$AN$1006:$BO$1006,0)))),"Fix")))</f>
        <v>0</v>
      </c>
      <c r="AA66" s="4">
        <f>IF(OR(INDEX($AH$2:$AH$1001,MATCH(ROWS($AG$2:AG66),$AG$2:$AG$1001,0),1)&gt;=100000,INDEX($AN$1005:$BO$1005,1,MATCH(COLUMNS($AN$1006:BM1006),$AN$1006:$BO$1006,0))&gt;=100000), " ",IF(INDEX($AN$2:$BO$1001,MATCH(ROWS($AG$2:AG66),$AG$2:$AG$1001,0),MATCH(COLUMNS($AN$1006:BM1006),$AN$1006:$BO$1006,0)), HYPERLINK("#",""), HYPERLINK(CONCATENATE("#Metadata!", ADDRESS(INDEX($AI$2:$AI$1001,MATCH(ROWS($AG$2:AG66),$AG$2:$AG$1001,0),0), INDEX($AN$1004:$BO$1004,1,MATCH(COLUMNS($AN$1006:BM1006),$AN$1006:$BO$1006,0)))),"Fix")))</f>
        <v>0</v>
      </c>
      <c r="AB66" s="4">
        <f>IF(OR(INDEX($AH$2:$AH$1001,MATCH(ROWS($AG$2:AG66),$AG$2:$AG$1001,0),1)&gt;=100000,INDEX($AN$1005:$BO$1005,1,MATCH(COLUMNS($AN$1006:BN1006),$AN$1006:$BO$1006,0))&gt;=100000), " ",IF(INDEX($AN$2:$BO$1001,MATCH(ROWS($AG$2:AG66),$AG$2:$AG$1001,0),MATCH(COLUMNS($AN$1006:BN1006),$AN$1006:$BO$1006,0)), HYPERLINK("#",""), HYPERLINK(CONCATENATE("#Metadata!", ADDRESS(INDEX($AI$2:$AI$1001,MATCH(ROWS($AG$2:AG66),$AG$2:$AG$1001,0),0), INDEX($AN$1004:$BO$1004,1,MATCH(COLUMNS($AN$1006:BN1006),$AN$1006:$BO$1006,0)))),"Fix")))</f>
        <v>0</v>
      </c>
      <c r="AC66" s="4">
        <f>IF(OR(INDEX($AH$2:$AH$1001,MATCH(ROWS($AG$2:AG66),$AG$2:$AG$1001,0),1)&gt;=100000,INDEX($AN$1005:$BO$1005,1,MATCH(COLUMNS($AN$1006:BO1006),$AN$1006:$BO$1006,0))&gt;=100000), " ",IF(INDEX($AN$2:$BO$1001,MATCH(ROWS($AG$2:AG66),$AG$2:$AG$1001,0),MATCH(COLUMNS($AN$1006:BO1006),$AN$1006:$BO$1006,0)), HYPERLINK("#",""), HYPERLINK(CONCATENATE("#Metadata!", ADDRESS(INDEX($AI$2:$AI$1001,MATCH(ROWS($AG$2:AG66),$AG$2:$AG$1001,0),0), INDEX($AN$1004:$BO$1004,1,MATCH(COLUMNS($AN$1006:BO1006),$AN$1006:$BO$1006,0)))),"Fix")))</f>
        <v>0</v>
      </c>
      <c r="AG66">
        <v>0</v>
      </c>
      <c r="AH66">
        <v>0</v>
      </c>
      <c r="AI66">
        <v>0</v>
      </c>
      <c r="AJ66">
        <f>IF(AK66,TRUE,AND(AN66:BO66))</f>
        <v>0</v>
      </c>
      <c r="AK66">
        <f>COUNTBLANK(Metadata!B66:AC66)=COLUMNS(Metadata!B66:AC66)</f>
        <v>0</v>
      </c>
      <c r="AL66">
        <v>0</v>
      </c>
      <c r="AN66">
        <f>AND(IF(Metadata!B66="",FALSE,TRUE),COUNTIF(Metadata!B:B, Metadata!B66) = 1,NOT(ISERROR(SUMPRODUCT(SEARCH(MID(Metadata!B66,ROW(INDIRECT("1:"&amp;LEN(Metadata!B66))), 1),"0123456789abcdefghijklmnopqrstuvwxyzABCDEFGHIJKLMNOPQRSTUVWXYZ.")))))</f>
        <v>0</v>
      </c>
      <c r="AO66">
        <f>IF(Metadata!C66="",FALSE,TRUE)</f>
        <v>0</v>
      </c>
      <c r="AP66">
        <f>IF(Metadata!D66="",FALSE,TRUE)</f>
        <v>0</v>
      </c>
      <c r="AQ66">
        <f>OR(AND(IF(Metadata!E66="",FALSE,TRUE),OR(exact(Metadata!E66,"not collected"),exact(Metadata!E66,"not provided"),exact(Metadata!E66,"restricted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R66">
        <f>IF(Metadata!F66="",FALSE,TRUE)</f>
        <v>0</v>
      </c>
      <c r="AS66">
        <f>OR(AND(IF(Metadata!G66="",FALSE,TRUE),OR(exact(Metadata!G66,"not collected"),exact(Metadata!G66,"not provided"))),AND(IF(Metadata!G66="",FALSE,TRUE),OR(exact(Metadata!G66,"TRUE"),exact(Metadata!G66,"FALSE"))))</f>
        <v>0</v>
      </c>
      <c r="AT66">
        <f>OR(AND(IF(Metadata!H66="",FALSE,TRUE),OR(exact(Metadata!H66,"not collected"),exact(Metadata!H66,"not provided"),exact(Metadata!H66,"restricted access"))),AND(IF(Metadata!H66="",FALSE,ISNUMBER(VALUE(Metadata!H66))),Metadata!H66&gt;=-413.0))</f>
        <v>0</v>
      </c>
      <c r="AU66">
        <f>AND(IF(Metadata!I66="",FALSE,TRUE),exact(Metadata!I66,"meters"))</f>
        <v>0</v>
      </c>
      <c r="AV66">
        <f>AND(IF(Metadata!J66="",FALSE,TRUE),OR(exact(Metadata!J66,"Host-associated"),exact(Metadata!J66,"Free-living")))</f>
        <v>0</v>
      </c>
      <c r="AW66">
        <f>AND(IF(Metadata!K66="",FALSE,TRUE),OR(exact(Metadata!K66,"Animal"),exact(Metadata!K66,"Fungus"),exact(Metadata!K66,"Plant"),exact(Metadata!K66,"Saline"),exact(Metadata!K66,"Non-saline")))</f>
        <v>0</v>
      </c>
      <c r="AX66">
        <f>AND(IF(Metadata!L66="",FALSE,TRUE),OR(exact(Metadata!L66,"Plant secretion"),exact(Metadata!L66,"Plant rhizosphere"),exact(Metadata!L66,"Plant surface"),exact(Metadata!L66,"Plant corpus"),exact(Metadata!L66,"Fungus surface"),exact(Metadata!L66,"Fungus corpus"),exact(Metadata!L66,"Animal surface"),exact(Metadata!L66,"Animal proximal gut"),exact(Metadata!L66,"Animal corpus"),exact(Metadata!L66,"Animal distal gut"),exact(Metadata!L66,"Animal secretion"),exact(Metadata!L66,"Sub-surface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Y66">
        <f>IF(Metadata!M66="",FALSE,TRUE)</f>
        <v>0</v>
      </c>
      <c r="AZ66">
        <f>IF(Metadata!N66="",FALSE,TRUE)</f>
        <v>0</v>
      </c>
      <c r="BA66">
        <f>IF(Metadata!O66="",FALSE,TRUE)</f>
        <v>0</v>
      </c>
      <c r="BB66">
        <f>OR(AND(IF(Metadata!P66="",FALSE,TRUE),OR(exact(Metadata!P66,"not collected"),exact(Metadata!P66,"not provided"),exact(Metadata!P66,"restricted access"))),AND(IF(Metadata!P66="",FALSE,TRUE),OR(exact(Metadata!P66,"air"),exact(Metadata!P66,"built environment"),exact(Metadata!P66,"host-associated"),exact(Metadata!P66,"human-associated"),exact(Metadata!P66,"human-skin"),exact(Metadata!P66,"human-oral"),exact(Metadata!P66,"human-gut"),exact(Metadata!P66,"human-vaginal"),exact(Metadata!P66,"microbial mat/biofilm"),exact(Metadata!P66,"misc environment"),exact(Metadata!P66,"plant-associated"),exact(Metadata!P66,"sediment"),exact(Metadata!P66,"soil"),exact(Metadata!P66,"wastewater/sludge"),exact(Metadata!P66,"water"))))</f>
        <v>0</v>
      </c>
      <c r="BC66">
        <f>IF(Metadata!Q66="",FALSE,TRUE)</f>
        <v>0</v>
      </c>
      <c r="BD66">
        <f>IF(Metadata!R66="",FALSE,TRUE)</f>
        <v>0</v>
      </c>
      <c r="BE66">
        <f>OR(AND(IF(Metadata!S66="",FALSE,TRUE),OR(exact(Metadata!S66,"not collected"),exact(Metadata!S66,"not provided"),exact(Metadata!S66,"restricted access"))),AND(IF(Metadata!S66="",FALSE,ISNUMBER(VALUE(Metadata!S66))),Metadata!S66&gt;=-90.00,Metadata!S66&lt;=90.00))</f>
        <v>0</v>
      </c>
      <c r="BF66">
        <f>AND(IF(Metadata!T66="",FALSE,TRUE),exact(Metadata!T66,"Decimal degrees"))</f>
        <v>0</v>
      </c>
      <c r="BG66">
        <f>OR(AND(IF(Metadata!U66="",FALSE,TRUE),OR(exact(Metadata!U66,"not collected"),exact(Metadata!U66,"not provided"),exact(Metadata!U66,"restricted access"))),AND(IF(Metadata!U66="",FALSE,ISNUMBER(VALUE(Metadata!U66))),Metadata!U66&gt;=-180.00,Metadata!U66&lt;=180.00))</f>
        <v>0</v>
      </c>
      <c r="BH66">
        <f>AND(IF(Metadata!V66="",FALSE,TRUE),exact(Metadata!V66,"Decimal degrees"))</f>
        <v>0</v>
      </c>
      <c r="BI66">
        <f>IF(Metadata!W66="",FALSE,TRUE)</f>
        <v>0</v>
      </c>
      <c r="BJ66">
        <f>OR(AND(IF(Metadata!X66="",FALSE,TRUE),OR(exact(Metadata!X66,"not collected"),exact(Metadata!X66,"not provided"),exact(Metadata!X66,"restricted access"))),AND(IF(Metadata!X66="",FALSE,TRUE),OR(exact(Metadata!X66,"TRUE"),exact(Metadata!X66,"FALSE"))))</f>
        <v>0</v>
      </c>
      <c r="BK66">
        <f>AND(IF(Metadata!Y66="",FALSE,TRUE),exact(Metadata!Y66,"other"))</f>
        <v>0</v>
      </c>
      <c r="BL66">
        <f>IF(Metadata!Z66="",FALSE,TRUE)</f>
        <v>0</v>
      </c>
      <c r="BM66">
        <f>OR(AND(IF(Metadata!AA66="",FALSE,TRUE),OR(exact(Metadata!AA66,"not collected"),exact(Metadata!AA66,"not provided"))),AND(IF(Metadata!AA66="",FALSE,IF(ISERROR(INT(Metadata!AA66)),FALSE,INT(Metadata!AA66)=Metadata!AA66)),Metadata!AA66&gt;0))</f>
        <v>0</v>
      </c>
      <c r="BN66">
        <f>AND(IF(Metadata!AB66="",FALSE,TRUE),exact(Metadata!AB66,"Not applicable"))</f>
        <v>0</v>
      </c>
      <c r="BO66">
        <f>IF(Metadata!AC66="",FALSE,TRUE)</f>
        <v>0</v>
      </c>
    </row>
    <row r="67" spans="1:67">
      <c r="A67" s="5">
        <f>IF(B67=" "," ",HYPERLINK(CONCATENATE("#metadata!",ADDRESS(INDEX($AI$2:$AI$1001,MATCH(ROWS($AG$2:AG67),$AG$2:$AG$1001,0),0),1)),INDEX($AL$2:$AL$1001,MATCH(ROWS($AG$2:AG67),$AG$2:$AG$1001,0),0)))</f>
        <v>0</v>
      </c>
      <c r="B67" s="4">
        <f>IF(OR(INDEX($AH$2:$AH$1001,MATCH(ROWS($AG$2:AG67),$AG$2:$AG$1001,0),1)&gt;=100000,INDEX($AN$1005:$BO$1005,1,MATCH(COLUMNS($AN$1006:AN1006),$AN$1006:$BO$1006,0))&gt;=100000), " ",IF(INDEX($AN$2:$BO$1001,MATCH(ROWS($AG$2:AG67),$AG$2:$AG$1001,0),MATCH(COLUMNS($AN$1006:AN1006),$AN$1006:$BO$1006,0)), HYPERLINK("#",""), HYPERLINK(CONCATENATE("#Metadata!", ADDRESS(INDEX($AI$2:$AI$1001,MATCH(ROWS($AG$2:AG67),$AG$2:$AG$1001,0),0), INDEX($AN$1004:$BO$1004,1,MATCH(COLUMNS($AN$1006:AN1006),$AN$1006:$BO$1006,0)))),"Fix")))</f>
        <v>0</v>
      </c>
      <c r="C67" s="4">
        <f>IF(OR(INDEX($AH$2:$AH$1001,MATCH(ROWS($AG$2:AG67),$AG$2:$AG$1001,0),1)&gt;=100000,INDEX($AN$1005:$BO$1005,1,MATCH(COLUMNS($AN$1006:AO1006),$AN$1006:$BO$1006,0))&gt;=100000), " ",IF(INDEX($AN$2:$BO$1001,MATCH(ROWS($AG$2:AG67),$AG$2:$AG$1001,0),MATCH(COLUMNS($AN$1006:AO1006),$AN$1006:$BO$1006,0)), HYPERLINK("#",""), HYPERLINK(CONCATENATE("#Metadata!", ADDRESS(INDEX($AI$2:$AI$1001,MATCH(ROWS($AG$2:AG67),$AG$2:$AG$1001,0),0), INDEX($AN$1004:$BO$1004,1,MATCH(COLUMNS($AN$1006:AO1006),$AN$1006:$BO$1006,0)))),"Fix")))</f>
        <v>0</v>
      </c>
      <c r="D67" s="4">
        <f>IF(OR(INDEX($AH$2:$AH$1001,MATCH(ROWS($AG$2:AG67),$AG$2:$AG$1001,0),1)&gt;=100000,INDEX($AN$1005:$BO$1005,1,MATCH(COLUMNS($AN$1006:AP1006),$AN$1006:$BO$1006,0))&gt;=100000), " ",IF(INDEX($AN$2:$BO$1001,MATCH(ROWS($AG$2:AG67),$AG$2:$AG$1001,0),MATCH(COLUMNS($AN$1006:AP1006),$AN$1006:$BO$1006,0)), HYPERLINK("#",""), HYPERLINK(CONCATENATE("#Metadata!", ADDRESS(INDEX($AI$2:$AI$1001,MATCH(ROWS($AG$2:AG67),$AG$2:$AG$1001,0),0), INDEX($AN$1004:$BO$1004,1,MATCH(COLUMNS($AN$1006:AP1006),$AN$1006:$BO$1006,0)))),"Fix")))</f>
        <v>0</v>
      </c>
      <c r="E67" s="4">
        <f>IF(OR(INDEX($AH$2:$AH$1001,MATCH(ROWS($AG$2:AG67),$AG$2:$AG$1001,0),1)&gt;=100000,INDEX($AN$1005:$BO$1005,1,MATCH(COLUMNS($AN$1006:AQ1006),$AN$1006:$BO$1006,0))&gt;=100000), " ",IF(INDEX($AN$2:$BO$1001,MATCH(ROWS($AG$2:AG67),$AG$2:$AG$1001,0),MATCH(COLUMNS($AN$1006:AQ1006),$AN$1006:$BO$1006,0)), HYPERLINK("#",""), HYPERLINK(CONCATENATE("#Metadata!", ADDRESS(INDEX($AI$2:$AI$1001,MATCH(ROWS($AG$2:AG67),$AG$2:$AG$1001,0),0), INDEX($AN$1004:$BO$1004,1,MATCH(COLUMNS($AN$1006:AQ1006),$AN$1006:$BO$1006,0)))),"Fix")))</f>
        <v>0</v>
      </c>
      <c r="F67" s="4">
        <f>IF(OR(INDEX($AH$2:$AH$1001,MATCH(ROWS($AG$2:AG67),$AG$2:$AG$1001,0),1)&gt;=100000,INDEX($AN$1005:$BO$1005,1,MATCH(COLUMNS($AN$1006:AR1006),$AN$1006:$BO$1006,0))&gt;=100000), " ",IF(INDEX($AN$2:$BO$1001,MATCH(ROWS($AG$2:AG67),$AG$2:$AG$1001,0),MATCH(COLUMNS($AN$1006:AR1006),$AN$1006:$BO$1006,0)), HYPERLINK("#",""), HYPERLINK(CONCATENATE("#Metadata!", ADDRESS(INDEX($AI$2:$AI$1001,MATCH(ROWS($AG$2:AG67),$AG$2:$AG$1001,0),0), INDEX($AN$1004:$BO$1004,1,MATCH(COLUMNS($AN$1006:AR1006),$AN$1006:$BO$1006,0)))),"Fix")))</f>
        <v>0</v>
      </c>
      <c r="G67" s="4">
        <f>IF(OR(INDEX($AH$2:$AH$1001,MATCH(ROWS($AG$2:AG67),$AG$2:$AG$1001,0),1)&gt;=100000,INDEX($AN$1005:$BO$1005,1,MATCH(COLUMNS($AN$1006:AS1006),$AN$1006:$BO$1006,0))&gt;=100000), " ",IF(INDEX($AN$2:$BO$1001,MATCH(ROWS($AG$2:AG67),$AG$2:$AG$1001,0),MATCH(COLUMNS($AN$1006:AS1006),$AN$1006:$BO$1006,0)), HYPERLINK("#",""), HYPERLINK(CONCATENATE("#Metadata!", ADDRESS(INDEX($AI$2:$AI$1001,MATCH(ROWS($AG$2:AG67),$AG$2:$AG$1001,0),0), INDEX($AN$1004:$BO$1004,1,MATCH(COLUMNS($AN$1006:AS1006),$AN$1006:$BO$1006,0)))),"Fix")))</f>
        <v>0</v>
      </c>
      <c r="H67" s="4">
        <f>IF(OR(INDEX($AH$2:$AH$1001,MATCH(ROWS($AG$2:AG67),$AG$2:$AG$1001,0),1)&gt;=100000,INDEX($AN$1005:$BO$1005,1,MATCH(COLUMNS($AN$1006:AT1006),$AN$1006:$BO$1006,0))&gt;=100000), " ",IF(INDEX($AN$2:$BO$1001,MATCH(ROWS($AG$2:AG67),$AG$2:$AG$1001,0),MATCH(COLUMNS($AN$1006:AT1006),$AN$1006:$BO$1006,0)), HYPERLINK("#",""), HYPERLINK(CONCATENATE("#Metadata!", ADDRESS(INDEX($AI$2:$AI$1001,MATCH(ROWS($AG$2:AG67),$AG$2:$AG$1001,0),0), INDEX($AN$1004:$BO$1004,1,MATCH(COLUMNS($AN$1006:AT1006),$AN$1006:$BO$1006,0)))),"Fix")))</f>
        <v>0</v>
      </c>
      <c r="I67" s="4">
        <f>IF(OR(INDEX($AH$2:$AH$1001,MATCH(ROWS($AG$2:AG67),$AG$2:$AG$1001,0),1)&gt;=100000,INDEX($AN$1005:$BO$1005,1,MATCH(COLUMNS($AN$1006:AU1006),$AN$1006:$BO$1006,0))&gt;=100000), " ",IF(INDEX($AN$2:$BO$1001,MATCH(ROWS($AG$2:AG67),$AG$2:$AG$1001,0),MATCH(COLUMNS($AN$1006:AU1006),$AN$1006:$BO$1006,0)), HYPERLINK("#",""), HYPERLINK(CONCATENATE("#Metadata!", ADDRESS(INDEX($AI$2:$AI$1001,MATCH(ROWS($AG$2:AG67),$AG$2:$AG$1001,0),0), INDEX($AN$1004:$BO$1004,1,MATCH(COLUMNS($AN$1006:AU1006),$AN$1006:$BO$1006,0)))),"Fix")))</f>
        <v>0</v>
      </c>
      <c r="J67" s="4">
        <f>IF(OR(INDEX($AH$2:$AH$1001,MATCH(ROWS($AG$2:AG67),$AG$2:$AG$1001,0),1)&gt;=100000,INDEX($AN$1005:$BO$1005,1,MATCH(COLUMNS($AN$1006:AV1006),$AN$1006:$BO$1006,0))&gt;=100000), " ",IF(INDEX($AN$2:$BO$1001,MATCH(ROWS($AG$2:AG67),$AG$2:$AG$1001,0),MATCH(COLUMNS($AN$1006:AV1006),$AN$1006:$BO$1006,0)), HYPERLINK("#",""), HYPERLINK(CONCATENATE("#Metadata!", ADDRESS(INDEX($AI$2:$AI$1001,MATCH(ROWS($AG$2:AG67),$AG$2:$AG$1001,0),0), INDEX($AN$1004:$BO$1004,1,MATCH(COLUMNS($AN$1006:AV1006),$AN$1006:$BO$1006,0)))),"Fix")))</f>
        <v>0</v>
      </c>
      <c r="K67" s="4">
        <f>IF(OR(INDEX($AH$2:$AH$1001,MATCH(ROWS($AG$2:AG67),$AG$2:$AG$1001,0),1)&gt;=100000,INDEX($AN$1005:$BO$1005,1,MATCH(COLUMNS($AN$1006:AW1006),$AN$1006:$BO$1006,0))&gt;=100000), " ",IF(INDEX($AN$2:$BO$1001,MATCH(ROWS($AG$2:AG67),$AG$2:$AG$1001,0),MATCH(COLUMNS($AN$1006:AW1006),$AN$1006:$BO$1006,0)), HYPERLINK("#",""), HYPERLINK(CONCATENATE("#Metadata!", ADDRESS(INDEX($AI$2:$AI$1001,MATCH(ROWS($AG$2:AG67),$AG$2:$AG$1001,0),0), INDEX($AN$1004:$BO$1004,1,MATCH(COLUMNS($AN$1006:AW1006),$AN$1006:$BO$1006,0)))),"Fix")))</f>
        <v>0</v>
      </c>
      <c r="L67" s="4">
        <f>IF(OR(INDEX($AH$2:$AH$1001,MATCH(ROWS($AG$2:AG67),$AG$2:$AG$1001,0),1)&gt;=100000,INDEX($AN$1005:$BO$1005,1,MATCH(COLUMNS($AN$1006:AX1006),$AN$1006:$BO$1006,0))&gt;=100000), " ",IF(INDEX($AN$2:$BO$1001,MATCH(ROWS($AG$2:AG67),$AG$2:$AG$1001,0),MATCH(COLUMNS($AN$1006:AX1006),$AN$1006:$BO$1006,0)), HYPERLINK("#",""), HYPERLINK(CONCATENATE("#Metadata!", ADDRESS(INDEX($AI$2:$AI$1001,MATCH(ROWS($AG$2:AG67),$AG$2:$AG$1001,0),0), INDEX($AN$1004:$BO$1004,1,MATCH(COLUMNS($AN$1006:AX1006),$AN$1006:$BO$1006,0)))),"Fix")))</f>
        <v>0</v>
      </c>
      <c r="M67" s="4">
        <f>IF(OR(INDEX($AH$2:$AH$1001,MATCH(ROWS($AG$2:AG67),$AG$2:$AG$1001,0),1)&gt;=100000,INDEX($AN$1005:$BO$1005,1,MATCH(COLUMNS($AN$1006:AY1006),$AN$1006:$BO$1006,0))&gt;=100000), " ",IF(INDEX($AN$2:$BO$1001,MATCH(ROWS($AG$2:AG67),$AG$2:$AG$1001,0),MATCH(COLUMNS($AN$1006:AY1006),$AN$1006:$BO$1006,0)), HYPERLINK("#",""), HYPERLINK(CONCATENATE("#Metadata!", ADDRESS(INDEX($AI$2:$AI$1001,MATCH(ROWS($AG$2:AG67),$AG$2:$AG$1001,0),0), INDEX($AN$1004:$BO$1004,1,MATCH(COLUMNS($AN$1006:AY1006),$AN$1006:$BO$1006,0)))),"Fix")))</f>
        <v>0</v>
      </c>
      <c r="N67" s="4">
        <f>IF(OR(INDEX($AH$2:$AH$1001,MATCH(ROWS($AG$2:AG67),$AG$2:$AG$1001,0),1)&gt;=100000,INDEX($AN$1005:$BO$1005,1,MATCH(COLUMNS($AN$1006:AZ1006),$AN$1006:$BO$1006,0))&gt;=100000), " ",IF(INDEX($AN$2:$BO$1001,MATCH(ROWS($AG$2:AG67),$AG$2:$AG$1001,0),MATCH(COLUMNS($AN$1006:AZ1006),$AN$1006:$BO$1006,0)), HYPERLINK("#",""), HYPERLINK(CONCATENATE("#Metadata!", ADDRESS(INDEX($AI$2:$AI$1001,MATCH(ROWS($AG$2:AG67),$AG$2:$AG$1001,0),0), INDEX($AN$1004:$BO$1004,1,MATCH(COLUMNS($AN$1006:AZ1006),$AN$1006:$BO$1006,0)))),"Fix")))</f>
        <v>0</v>
      </c>
      <c r="O67" s="4">
        <f>IF(OR(INDEX($AH$2:$AH$1001,MATCH(ROWS($AG$2:AG67),$AG$2:$AG$1001,0),1)&gt;=100000,INDEX($AN$1005:$BO$1005,1,MATCH(COLUMNS($AN$1006:BA1006),$AN$1006:$BO$1006,0))&gt;=100000), " ",IF(INDEX($AN$2:$BO$1001,MATCH(ROWS($AG$2:AG67),$AG$2:$AG$1001,0),MATCH(COLUMNS($AN$1006:BA1006),$AN$1006:$BO$1006,0)), HYPERLINK("#",""), HYPERLINK(CONCATENATE("#Metadata!", ADDRESS(INDEX($AI$2:$AI$1001,MATCH(ROWS($AG$2:AG67),$AG$2:$AG$1001,0),0), INDEX($AN$1004:$BO$1004,1,MATCH(COLUMNS($AN$1006:BA1006),$AN$1006:$BO$1006,0)))),"Fix")))</f>
        <v>0</v>
      </c>
      <c r="P67" s="4">
        <f>IF(OR(INDEX($AH$2:$AH$1001,MATCH(ROWS($AG$2:AG67),$AG$2:$AG$1001,0),1)&gt;=100000,INDEX($AN$1005:$BO$1005,1,MATCH(COLUMNS($AN$1006:BB1006),$AN$1006:$BO$1006,0))&gt;=100000), " ",IF(INDEX($AN$2:$BO$1001,MATCH(ROWS($AG$2:AG67),$AG$2:$AG$1001,0),MATCH(COLUMNS($AN$1006:BB1006),$AN$1006:$BO$1006,0)), HYPERLINK("#",""), HYPERLINK(CONCATENATE("#Metadata!", ADDRESS(INDEX($AI$2:$AI$1001,MATCH(ROWS($AG$2:AG67),$AG$2:$AG$1001,0),0), INDEX($AN$1004:$BO$1004,1,MATCH(COLUMNS($AN$1006:BB1006),$AN$1006:$BO$1006,0)))),"Fix")))</f>
        <v>0</v>
      </c>
      <c r="Q67" s="4">
        <f>IF(OR(INDEX($AH$2:$AH$1001,MATCH(ROWS($AG$2:AG67),$AG$2:$AG$1001,0),1)&gt;=100000,INDEX($AN$1005:$BO$1005,1,MATCH(COLUMNS($AN$1006:BC1006),$AN$1006:$BO$1006,0))&gt;=100000), " ",IF(INDEX($AN$2:$BO$1001,MATCH(ROWS($AG$2:AG67),$AG$2:$AG$1001,0),MATCH(COLUMNS($AN$1006:BC1006),$AN$1006:$BO$1006,0)), HYPERLINK("#",""), HYPERLINK(CONCATENATE("#Metadata!", ADDRESS(INDEX($AI$2:$AI$1001,MATCH(ROWS($AG$2:AG67),$AG$2:$AG$1001,0),0), INDEX($AN$1004:$BO$1004,1,MATCH(COLUMNS($AN$1006:BC1006),$AN$1006:$BO$1006,0)))),"Fix")))</f>
        <v>0</v>
      </c>
      <c r="R67" s="4">
        <f>IF(OR(INDEX($AH$2:$AH$1001,MATCH(ROWS($AG$2:AG67),$AG$2:$AG$1001,0),1)&gt;=100000,INDEX($AN$1005:$BO$1005,1,MATCH(COLUMNS($AN$1006:BD1006),$AN$1006:$BO$1006,0))&gt;=100000), " ",IF(INDEX($AN$2:$BO$1001,MATCH(ROWS($AG$2:AG67),$AG$2:$AG$1001,0),MATCH(COLUMNS($AN$1006:BD1006),$AN$1006:$BO$1006,0)), HYPERLINK("#",""), HYPERLINK(CONCATENATE("#Metadata!", ADDRESS(INDEX($AI$2:$AI$1001,MATCH(ROWS($AG$2:AG67),$AG$2:$AG$1001,0),0), INDEX($AN$1004:$BO$1004,1,MATCH(COLUMNS($AN$1006:BD1006),$AN$1006:$BO$1006,0)))),"Fix")))</f>
        <v>0</v>
      </c>
      <c r="S67" s="4">
        <f>IF(OR(INDEX($AH$2:$AH$1001,MATCH(ROWS($AG$2:AG67),$AG$2:$AG$1001,0),1)&gt;=100000,INDEX($AN$1005:$BO$1005,1,MATCH(COLUMNS($AN$1006:BE1006),$AN$1006:$BO$1006,0))&gt;=100000), " ",IF(INDEX($AN$2:$BO$1001,MATCH(ROWS($AG$2:AG67),$AG$2:$AG$1001,0),MATCH(COLUMNS($AN$1006:BE1006),$AN$1006:$BO$1006,0)), HYPERLINK("#",""), HYPERLINK(CONCATENATE("#Metadata!", ADDRESS(INDEX($AI$2:$AI$1001,MATCH(ROWS($AG$2:AG67),$AG$2:$AG$1001,0),0), INDEX($AN$1004:$BO$1004,1,MATCH(COLUMNS($AN$1006:BE1006),$AN$1006:$BO$1006,0)))),"Fix")))</f>
        <v>0</v>
      </c>
      <c r="T67" s="4">
        <f>IF(OR(INDEX($AH$2:$AH$1001,MATCH(ROWS($AG$2:AG67),$AG$2:$AG$1001,0),1)&gt;=100000,INDEX($AN$1005:$BO$1005,1,MATCH(COLUMNS($AN$1006:BF1006),$AN$1006:$BO$1006,0))&gt;=100000), " ",IF(INDEX($AN$2:$BO$1001,MATCH(ROWS($AG$2:AG67),$AG$2:$AG$1001,0),MATCH(COLUMNS($AN$1006:BF1006),$AN$1006:$BO$1006,0)), HYPERLINK("#",""), HYPERLINK(CONCATENATE("#Metadata!", ADDRESS(INDEX($AI$2:$AI$1001,MATCH(ROWS($AG$2:AG67),$AG$2:$AG$1001,0),0), INDEX($AN$1004:$BO$1004,1,MATCH(COLUMNS($AN$1006:BF1006),$AN$1006:$BO$1006,0)))),"Fix")))</f>
        <v>0</v>
      </c>
      <c r="U67" s="4">
        <f>IF(OR(INDEX($AH$2:$AH$1001,MATCH(ROWS($AG$2:AG67),$AG$2:$AG$1001,0),1)&gt;=100000,INDEX($AN$1005:$BO$1005,1,MATCH(COLUMNS($AN$1006:BG1006),$AN$1006:$BO$1006,0))&gt;=100000), " ",IF(INDEX($AN$2:$BO$1001,MATCH(ROWS($AG$2:AG67),$AG$2:$AG$1001,0),MATCH(COLUMNS($AN$1006:BG1006),$AN$1006:$BO$1006,0)), HYPERLINK("#",""), HYPERLINK(CONCATENATE("#Metadata!", ADDRESS(INDEX($AI$2:$AI$1001,MATCH(ROWS($AG$2:AG67),$AG$2:$AG$1001,0),0), INDEX($AN$1004:$BO$1004,1,MATCH(COLUMNS($AN$1006:BG1006),$AN$1006:$BO$1006,0)))),"Fix")))</f>
        <v>0</v>
      </c>
      <c r="V67" s="4">
        <f>IF(OR(INDEX($AH$2:$AH$1001,MATCH(ROWS($AG$2:AG67),$AG$2:$AG$1001,0),1)&gt;=100000,INDEX($AN$1005:$BO$1005,1,MATCH(COLUMNS($AN$1006:BH1006),$AN$1006:$BO$1006,0))&gt;=100000), " ",IF(INDEX($AN$2:$BO$1001,MATCH(ROWS($AG$2:AG67),$AG$2:$AG$1001,0),MATCH(COLUMNS($AN$1006:BH1006),$AN$1006:$BO$1006,0)), HYPERLINK("#",""), HYPERLINK(CONCATENATE("#Metadata!", ADDRESS(INDEX($AI$2:$AI$1001,MATCH(ROWS($AG$2:AG67),$AG$2:$AG$1001,0),0), INDEX($AN$1004:$BO$1004,1,MATCH(COLUMNS($AN$1006:BH1006),$AN$1006:$BO$1006,0)))),"Fix")))</f>
        <v>0</v>
      </c>
      <c r="W67" s="4">
        <f>IF(OR(INDEX($AH$2:$AH$1001,MATCH(ROWS($AG$2:AG67),$AG$2:$AG$1001,0),1)&gt;=100000,INDEX($AN$1005:$BO$1005,1,MATCH(COLUMNS($AN$1006:BI1006),$AN$1006:$BO$1006,0))&gt;=100000), " ",IF(INDEX($AN$2:$BO$1001,MATCH(ROWS($AG$2:AG67),$AG$2:$AG$1001,0),MATCH(COLUMNS($AN$1006:BI1006),$AN$1006:$BO$1006,0)), HYPERLINK("#",""), HYPERLINK(CONCATENATE("#Metadata!", ADDRESS(INDEX($AI$2:$AI$1001,MATCH(ROWS($AG$2:AG67),$AG$2:$AG$1001,0),0), INDEX($AN$1004:$BO$1004,1,MATCH(COLUMNS($AN$1006:BI1006),$AN$1006:$BO$1006,0)))),"Fix")))</f>
        <v>0</v>
      </c>
      <c r="X67" s="4">
        <f>IF(OR(INDEX($AH$2:$AH$1001,MATCH(ROWS($AG$2:AG67),$AG$2:$AG$1001,0),1)&gt;=100000,INDEX($AN$1005:$BO$1005,1,MATCH(COLUMNS($AN$1006:BJ1006),$AN$1006:$BO$1006,0))&gt;=100000), " ",IF(INDEX($AN$2:$BO$1001,MATCH(ROWS($AG$2:AG67),$AG$2:$AG$1001,0),MATCH(COLUMNS($AN$1006:BJ1006),$AN$1006:$BO$1006,0)), HYPERLINK("#",""), HYPERLINK(CONCATENATE("#Metadata!", ADDRESS(INDEX($AI$2:$AI$1001,MATCH(ROWS($AG$2:AG67),$AG$2:$AG$1001,0),0), INDEX($AN$1004:$BO$1004,1,MATCH(COLUMNS($AN$1006:BJ1006),$AN$1006:$BO$1006,0)))),"Fix")))</f>
        <v>0</v>
      </c>
      <c r="Y67" s="4">
        <f>IF(OR(INDEX($AH$2:$AH$1001,MATCH(ROWS($AG$2:AG67),$AG$2:$AG$1001,0),1)&gt;=100000,INDEX($AN$1005:$BO$1005,1,MATCH(COLUMNS($AN$1006:BK1006),$AN$1006:$BO$1006,0))&gt;=100000), " ",IF(INDEX($AN$2:$BO$1001,MATCH(ROWS($AG$2:AG67),$AG$2:$AG$1001,0),MATCH(COLUMNS($AN$1006:BK1006),$AN$1006:$BO$1006,0)), HYPERLINK("#",""), HYPERLINK(CONCATENATE("#Metadata!", ADDRESS(INDEX($AI$2:$AI$1001,MATCH(ROWS($AG$2:AG67),$AG$2:$AG$1001,0),0), INDEX($AN$1004:$BO$1004,1,MATCH(COLUMNS($AN$1006:BK1006),$AN$1006:$BO$1006,0)))),"Fix")))</f>
        <v>0</v>
      </c>
      <c r="Z67" s="4">
        <f>IF(OR(INDEX($AH$2:$AH$1001,MATCH(ROWS($AG$2:AG67),$AG$2:$AG$1001,0),1)&gt;=100000,INDEX($AN$1005:$BO$1005,1,MATCH(COLUMNS($AN$1006:BL1006),$AN$1006:$BO$1006,0))&gt;=100000), " ",IF(INDEX($AN$2:$BO$1001,MATCH(ROWS($AG$2:AG67),$AG$2:$AG$1001,0),MATCH(COLUMNS($AN$1006:BL1006),$AN$1006:$BO$1006,0)), HYPERLINK("#",""), HYPERLINK(CONCATENATE("#Metadata!", ADDRESS(INDEX($AI$2:$AI$1001,MATCH(ROWS($AG$2:AG67),$AG$2:$AG$1001,0),0), INDEX($AN$1004:$BO$1004,1,MATCH(COLUMNS($AN$1006:BL1006),$AN$1006:$BO$1006,0)))),"Fix")))</f>
        <v>0</v>
      </c>
      <c r="AA67" s="4">
        <f>IF(OR(INDEX($AH$2:$AH$1001,MATCH(ROWS($AG$2:AG67),$AG$2:$AG$1001,0),1)&gt;=100000,INDEX($AN$1005:$BO$1005,1,MATCH(COLUMNS($AN$1006:BM1006),$AN$1006:$BO$1006,0))&gt;=100000), " ",IF(INDEX($AN$2:$BO$1001,MATCH(ROWS($AG$2:AG67),$AG$2:$AG$1001,0),MATCH(COLUMNS($AN$1006:BM1006),$AN$1006:$BO$1006,0)), HYPERLINK("#",""), HYPERLINK(CONCATENATE("#Metadata!", ADDRESS(INDEX($AI$2:$AI$1001,MATCH(ROWS($AG$2:AG67),$AG$2:$AG$1001,0),0), INDEX($AN$1004:$BO$1004,1,MATCH(COLUMNS($AN$1006:BM1006),$AN$1006:$BO$1006,0)))),"Fix")))</f>
        <v>0</v>
      </c>
      <c r="AB67" s="4">
        <f>IF(OR(INDEX($AH$2:$AH$1001,MATCH(ROWS($AG$2:AG67),$AG$2:$AG$1001,0),1)&gt;=100000,INDEX($AN$1005:$BO$1005,1,MATCH(COLUMNS($AN$1006:BN1006),$AN$1006:$BO$1006,0))&gt;=100000), " ",IF(INDEX($AN$2:$BO$1001,MATCH(ROWS($AG$2:AG67),$AG$2:$AG$1001,0),MATCH(COLUMNS($AN$1006:BN1006),$AN$1006:$BO$1006,0)), HYPERLINK("#",""), HYPERLINK(CONCATENATE("#Metadata!", ADDRESS(INDEX($AI$2:$AI$1001,MATCH(ROWS($AG$2:AG67),$AG$2:$AG$1001,0),0), INDEX($AN$1004:$BO$1004,1,MATCH(COLUMNS($AN$1006:BN1006),$AN$1006:$BO$1006,0)))),"Fix")))</f>
        <v>0</v>
      </c>
      <c r="AC67" s="4">
        <f>IF(OR(INDEX($AH$2:$AH$1001,MATCH(ROWS($AG$2:AG67),$AG$2:$AG$1001,0),1)&gt;=100000,INDEX($AN$1005:$BO$1005,1,MATCH(COLUMNS($AN$1006:BO1006),$AN$1006:$BO$1006,0))&gt;=100000), " ",IF(INDEX($AN$2:$BO$1001,MATCH(ROWS($AG$2:AG67),$AG$2:$AG$1001,0),MATCH(COLUMNS($AN$1006:BO1006),$AN$1006:$BO$1006,0)), HYPERLINK("#",""), HYPERLINK(CONCATENATE("#Metadata!", ADDRESS(INDEX($AI$2:$AI$1001,MATCH(ROWS($AG$2:AG67),$AG$2:$AG$1001,0),0), INDEX($AN$1004:$BO$1004,1,MATCH(COLUMNS($AN$1006:BO1006),$AN$1006:$BO$1006,0)))),"Fix")))</f>
        <v>0</v>
      </c>
      <c r="AG67">
        <v>0</v>
      </c>
      <c r="AH67">
        <v>0</v>
      </c>
      <c r="AI67">
        <v>0</v>
      </c>
      <c r="AJ67">
        <f>IF(AK67,TRUE,AND(AN67:BO67))</f>
        <v>0</v>
      </c>
      <c r="AK67">
        <f>COUNTBLANK(Metadata!B67:AC67)=COLUMNS(Metadata!B67:AC67)</f>
        <v>0</v>
      </c>
      <c r="AL67">
        <v>0</v>
      </c>
      <c r="AN67">
        <f>AND(IF(Metadata!B67="",FALSE,TRUE),COUNTIF(Metadata!B:B, Metadata!B67) = 1,NOT(ISERROR(SUMPRODUCT(SEARCH(MID(Metadata!B67,ROW(INDIRECT("1:"&amp;LEN(Metadata!B67))), 1),"0123456789abcdefghijklmnopqrstuvwxyzABCDEFGHIJKLMNOPQRSTUVWXYZ.")))))</f>
        <v>0</v>
      </c>
      <c r="AO67">
        <f>IF(Metadata!C67="",FALSE,TRUE)</f>
        <v>0</v>
      </c>
      <c r="AP67">
        <f>IF(Metadata!D67="",FALSE,TRUE)</f>
        <v>0</v>
      </c>
      <c r="AQ67">
        <f>OR(AND(IF(Metadata!E67="",FALSE,TRUE),OR(exact(Metadata!E67,"not collected"),exact(Metadata!E67,"not provided"),exact(Metadata!E67,"restricted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R67">
        <f>IF(Metadata!F67="",FALSE,TRUE)</f>
        <v>0</v>
      </c>
      <c r="AS67">
        <f>OR(AND(IF(Metadata!G67="",FALSE,TRUE),OR(exact(Metadata!G67,"not collected"),exact(Metadata!G67,"not provided"))),AND(IF(Metadata!G67="",FALSE,TRUE),OR(exact(Metadata!G67,"TRUE"),exact(Metadata!G67,"FALSE"))))</f>
        <v>0</v>
      </c>
      <c r="AT67">
        <f>OR(AND(IF(Metadata!H67="",FALSE,TRUE),OR(exact(Metadata!H67,"not collected"),exact(Metadata!H67,"not provided"),exact(Metadata!H67,"restricted access"))),AND(IF(Metadata!H67="",FALSE,ISNUMBER(VALUE(Metadata!H67))),Metadata!H67&gt;=-413.0))</f>
        <v>0</v>
      </c>
      <c r="AU67">
        <f>AND(IF(Metadata!I67="",FALSE,TRUE),exact(Metadata!I67,"meters"))</f>
        <v>0</v>
      </c>
      <c r="AV67">
        <f>AND(IF(Metadata!J67="",FALSE,TRUE),OR(exact(Metadata!J67,"Host-associated"),exact(Metadata!J67,"Free-living")))</f>
        <v>0</v>
      </c>
      <c r="AW67">
        <f>AND(IF(Metadata!K67="",FALSE,TRUE),OR(exact(Metadata!K67,"Animal"),exact(Metadata!K67,"Fungus"),exact(Metadata!K67,"Plant"),exact(Metadata!K67,"Saline"),exact(Metadata!K67,"Non-saline")))</f>
        <v>0</v>
      </c>
      <c r="AX67">
        <f>AND(IF(Metadata!L67="",FALSE,TRUE),OR(exact(Metadata!L67,"Plant secretion"),exact(Metadata!L67,"Plant rhizosphere"),exact(Metadata!L67,"Plant surface"),exact(Metadata!L67,"Plant corpus"),exact(Metadata!L67,"Fungus surface"),exact(Metadata!L67,"Fungus corpus"),exact(Metadata!L67,"Animal surface"),exact(Metadata!L67,"Animal proximal gut"),exact(Metadata!L67,"Animal corpus"),exact(Metadata!L67,"Animal distal gut"),exact(Metadata!L67,"Animal secretion"),exact(Metadata!L67,"Sub-surface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Y67">
        <f>IF(Metadata!M67="",FALSE,TRUE)</f>
        <v>0</v>
      </c>
      <c r="AZ67">
        <f>IF(Metadata!N67="",FALSE,TRUE)</f>
        <v>0</v>
      </c>
      <c r="BA67">
        <f>IF(Metadata!O67="",FALSE,TRUE)</f>
        <v>0</v>
      </c>
      <c r="BB67">
        <f>OR(AND(IF(Metadata!P67="",FALSE,TRUE),OR(exact(Metadata!P67,"not collected"),exact(Metadata!P67,"not provided"),exact(Metadata!P67,"restricted access"))),AND(IF(Metadata!P67="",FALSE,TRUE),OR(exact(Metadata!P67,"air"),exact(Metadata!P67,"built environment"),exact(Metadata!P67,"host-associated"),exact(Metadata!P67,"human-associated"),exact(Metadata!P67,"human-skin"),exact(Metadata!P67,"human-oral"),exact(Metadata!P67,"human-gut"),exact(Metadata!P67,"human-vaginal"),exact(Metadata!P67,"microbial mat/biofilm"),exact(Metadata!P67,"misc environment"),exact(Metadata!P67,"plant-associated"),exact(Metadata!P67,"sediment"),exact(Metadata!P67,"soil"),exact(Metadata!P67,"wastewater/sludge"),exact(Metadata!P67,"water"))))</f>
        <v>0</v>
      </c>
      <c r="BC67">
        <f>IF(Metadata!Q67="",FALSE,TRUE)</f>
        <v>0</v>
      </c>
      <c r="BD67">
        <f>IF(Metadata!R67="",FALSE,TRUE)</f>
        <v>0</v>
      </c>
      <c r="BE67">
        <f>OR(AND(IF(Metadata!S67="",FALSE,TRUE),OR(exact(Metadata!S67,"not collected"),exact(Metadata!S67,"not provided"),exact(Metadata!S67,"restricted access"))),AND(IF(Metadata!S67="",FALSE,ISNUMBER(VALUE(Metadata!S67))),Metadata!S67&gt;=-90.00,Metadata!S67&lt;=90.00))</f>
        <v>0</v>
      </c>
      <c r="BF67">
        <f>AND(IF(Metadata!T67="",FALSE,TRUE),exact(Metadata!T67,"Decimal degrees"))</f>
        <v>0</v>
      </c>
      <c r="BG67">
        <f>OR(AND(IF(Metadata!U67="",FALSE,TRUE),OR(exact(Metadata!U67,"not collected"),exact(Metadata!U67,"not provided"),exact(Metadata!U67,"restricted access"))),AND(IF(Metadata!U67="",FALSE,ISNUMBER(VALUE(Metadata!U67))),Metadata!U67&gt;=-180.00,Metadata!U67&lt;=180.00))</f>
        <v>0</v>
      </c>
      <c r="BH67">
        <f>AND(IF(Metadata!V67="",FALSE,TRUE),exact(Metadata!V67,"Decimal degrees"))</f>
        <v>0</v>
      </c>
      <c r="BI67">
        <f>IF(Metadata!W67="",FALSE,TRUE)</f>
        <v>0</v>
      </c>
      <c r="BJ67">
        <f>OR(AND(IF(Metadata!X67="",FALSE,TRUE),OR(exact(Metadata!X67,"not collected"),exact(Metadata!X67,"not provided"),exact(Metadata!X67,"restricted access"))),AND(IF(Metadata!X67="",FALSE,TRUE),OR(exact(Metadata!X67,"TRUE"),exact(Metadata!X67,"FALSE"))))</f>
        <v>0</v>
      </c>
      <c r="BK67">
        <f>AND(IF(Metadata!Y67="",FALSE,TRUE),exact(Metadata!Y67,"other"))</f>
        <v>0</v>
      </c>
      <c r="BL67">
        <f>IF(Metadata!Z67="",FALSE,TRUE)</f>
        <v>0</v>
      </c>
      <c r="BM67">
        <f>OR(AND(IF(Metadata!AA67="",FALSE,TRUE),OR(exact(Metadata!AA67,"not collected"),exact(Metadata!AA67,"not provided"))),AND(IF(Metadata!AA67="",FALSE,IF(ISERROR(INT(Metadata!AA67)),FALSE,INT(Metadata!AA67)=Metadata!AA67)),Metadata!AA67&gt;0))</f>
        <v>0</v>
      </c>
      <c r="BN67">
        <f>AND(IF(Metadata!AB67="",FALSE,TRUE),exact(Metadata!AB67,"Not applicable"))</f>
        <v>0</v>
      </c>
      <c r="BO67">
        <f>IF(Metadata!AC67="",FALSE,TRUE)</f>
        <v>0</v>
      </c>
    </row>
    <row r="68" spans="1:67">
      <c r="A68" s="5">
        <f>IF(B68=" "," ",HYPERLINK(CONCATENATE("#metadata!",ADDRESS(INDEX($AI$2:$AI$1001,MATCH(ROWS($AG$2:AG68),$AG$2:$AG$1001,0),0),1)),INDEX($AL$2:$AL$1001,MATCH(ROWS($AG$2:AG68),$AG$2:$AG$1001,0),0)))</f>
        <v>0</v>
      </c>
      <c r="B68" s="4">
        <f>IF(OR(INDEX($AH$2:$AH$1001,MATCH(ROWS($AG$2:AG68),$AG$2:$AG$1001,0),1)&gt;=100000,INDEX($AN$1005:$BO$1005,1,MATCH(COLUMNS($AN$1006:AN1006),$AN$1006:$BO$1006,0))&gt;=100000), " ",IF(INDEX($AN$2:$BO$1001,MATCH(ROWS($AG$2:AG68),$AG$2:$AG$1001,0),MATCH(COLUMNS($AN$1006:AN1006),$AN$1006:$BO$1006,0)), HYPERLINK("#",""), HYPERLINK(CONCATENATE("#Metadata!", ADDRESS(INDEX($AI$2:$AI$1001,MATCH(ROWS($AG$2:AG68),$AG$2:$AG$1001,0),0), INDEX($AN$1004:$BO$1004,1,MATCH(COLUMNS($AN$1006:AN1006),$AN$1006:$BO$1006,0)))),"Fix")))</f>
        <v>0</v>
      </c>
      <c r="C68" s="4">
        <f>IF(OR(INDEX($AH$2:$AH$1001,MATCH(ROWS($AG$2:AG68),$AG$2:$AG$1001,0),1)&gt;=100000,INDEX($AN$1005:$BO$1005,1,MATCH(COLUMNS($AN$1006:AO1006),$AN$1006:$BO$1006,0))&gt;=100000), " ",IF(INDEX($AN$2:$BO$1001,MATCH(ROWS($AG$2:AG68),$AG$2:$AG$1001,0),MATCH(COLUMNS($AN$1006:AO1006),$AN$1006:$BO$1006,0)), HYPERLINK("#",""), HYPERLINK(CONCATENATE("#Metadata!", ADDRESS(INDEX($AI$2:$AI$1001,MATCH(ROWS($AG$2:AG68),$AG$2:$AG$1001,0),0), INDEX($AN$1004:$BO$1004,1,MATCH(COLUMNS($AN$1006:AO1006),$AN$1006:$BO$1006,0)))),"Fix")))</f>
        <v>0</v>
      </c>
      <c r="D68" s="4">
        <f>IF(OR(INDEX($AH$2:$AH$1001,MATCH(ROWS($AG$2:AG68),$AG$2:$AG$1001,0),1)&gt;=100000,INDEX($AN$1005:$BO$1005,1,MATCH(COLUMNS($AN$1006:AP1006),$AN$1006:$BO$1006,0))&gt;=100000), " ",IF(INDEX($AN$2:$BO$1001,MATCH(ROWS($AG$2:AG68),$AG$2:$AG$1001,0),MATCH(COLUMNS($AN$1006:AP1006),$AN$1006:$BO$1006,0)), HYPERLINK("#",""), HYPERLINK(CONCATENATE("#Metadata!", ADDRESS(INDEX($AI$2:$AI$1001,MATCH(ROWS($AG$2:AG68),$AG$2:$AG$1001,0),0), INDEX($AN$1004:$BO$1004,1,MATCH(COLUMNS($AN$1006:AP1006),$AN$1006:$BO$1006,0)))),"Fix")))</f>
        <v>0</v>
      </c>
      <c r="E68" s="4">
        <f>IF(OR(INDEX($AH$2:$AH$1001,MATCH(ROWS($AG$2:AG68),$AG$2:$AG$1001,0),1)&gt;=100000,INDEX($AN$1005:$BO$1005,1,MATCH(COLUMNS($AN$1006:AQ1006),$AN$1006:$BO$1006,0))&gt;=100000), " ",IF(INDEX($AN$2:$BO$1001,MATCH(ROWS($AG$2:AG68),$AG$2:$AG$1001,0),MATCH(COLUMNS($AN$1006:AQ1006),$AN$1006:$BO$1006,0)), HYPERLINK("#",""), HYPERLINK(CONCATENATE("#Metadata!", ADDRESS(INDEX($AI$2:$AI$1001,MATCH(ROWS($AG$2:AG68),$AG$2:$AG$1001,0),0), INDEX($AN$1004:$BO$1004,1,MATCH(COLUMNS($AN$1006:AQ1006),$AN$1006:$BO$1006,0)))),"Fix")))</f>
        <v>0</v>
      </c>
      <c r="F68" s="4">
        <f>IF(OR(INDEX($AH$2:$AH$1001,MATCH(ROWS($AG$2:AG68),$AG$2:$AG$1001,0),1)&gt;=100000,INDEX($AN$1005:$BO$1005,1,MATCH(COLUMNS($AN$1006:AR1006),$AN$1006:$BO$1006,0))&gt;=100000), " ",IF(INDEX($AN$2:$BO$1001,MATCH(ROWS($AG$2:AG68),$AG$2:$AG$1001,0),MATCH(COLUMNS($AN$1006:AR1006),$AN$1006:$BO$1006,0)), HYPERLINK("#",""), HYPERLINK(CONCATENATE("#Metadata!", ADDRESS(INDEX($AI$2:$AI$1001,MATCH(ROWS($AG$2:AG68),$AG$2:$AG$1001,0),0), INDEX($AN$1004:$BO$1004,1,MATCH(COLUMNS($AN$1006:AR1006),$AN$1006:$BO$1006,0)))),"Fix")))</f>
        <v>0</v>
      </c>
      <c r="G68" s="4">
        <f>IF(OR(INDEX($AH$2:$AH$1001,MATCH(ROWS($AG$2:AG68),$AG$2:$AG$1001,0),1)&gt;=100000,INDEX($AN$1005:$BO$1005,1,MATCH(COLUMNS($AN$1006:AS1006),$AN$1006:$BO$1006,0))&gt;=100000), " ",IF(INDEX($AN$2:$BO$1001,MATCH(ROWS($AG$2:AG68),$AG$2:$AG$1001,0),MATCH(COLUMNS($AN$1006:AS1006),$AN$1006:$BO$1006,0)), HYPERLINK("#",""), HYPERLINK(CONCATENATE("#Metadata!", ADDRESS(INDEX($AI$2:$AI$1001,MATCH(ROWS($AG$2:AG68),$AG$2:$AG$1001,0),0), INDEX($AN$1004:$BO$1004,1,MATCH(COLUMNS($AN$1006:AS1006),$AN$1006:$BO$1006,0)))),"Fix")))</f>
        <v>0</v>
      </c>
      <c r="H68" s="4">
        <f>IF(OR(INDEX($AH$2:$AH$1001,MATCH(ROWS($AG$2:AG68),$AG$2:$AG$1001,0),1)&gt;=100000,INDEX($AN$1005:$BO$1005,1,MATCH(COLUMNS($AN$1006:AT1006),$AN$1006:$BO$1006,0))&gt;=100000), " ",IF(INDEX($AN$2:$BO$1001,MATCH(ROWS($AG$2:AG68),$AG$2:$AG$1001,0),MATCH(COLUMNS($AN$1006:AT1006),$AN$1006:$BO$1006,0)), HYPERLINK("#",""), HYPERLINK(CONCATENATE("#Metadata!", ADDRESS(INDEX($AI$2:$AI$1001,MATCH(ROWS($AG$2:AG68),$AG$2:$AG$1001,0),0), INDEX($AN$1004:$BO$1004,1,MATCH(COLUMNS($AN$1006:AT1006),$AN$1006:$BO$1006,0)))),"Fix")))</f>
        <v>0</v>
      </c>
      <c r="I68" s="4">
        <f>IF(OR(INDEX($AH$2:$AH$1001,MATCH(ROWS($AG$2:AG68),$AG$2:$AG$1001,0),1)&gt;=100000,INDEX($AN$1005:$BO$1005,1,MATCH(COLUMNS($AN$1006:AU1006),$AN$1006:$BO$1006,0))&gt;=100000), " ",IF(INDEX($AN$2:$BO$1001,MATCH(ROWS($AG$2:AG68),$AG$2:$AG$1001,0),MATCH(COLUMNS($AN$1006:AU1006),$AN$1006:$BO$1006,0)), HYPERLINK("#",""), HYPERLINK(CONCATENATE("#Metadata!", ADDRESS(INDEX($AI$2:$AI$1001,MATCH(ROWS($AG$2:AG68),$AG$2:$AG$1001,0),0), INDEX($AN$1004:$BO$1004,1,MATCH(COLUMNS($AN$1006:AU1006),$AN$1006:$BO$1006,0)))),"Fix")))</f>
        <v>0</v>
      </c>
      <c r="J68" s="4">
        <f>IF(OR(INDEX($AH$2:$AH$1001,MATCH(ROWS($AG$2:AG68),$AG$2:$AG$1001,0),1)&gt;=100000,INDEX($AN$1005:$BO$1005,1,MATCH(COLUMNS($AN$1006:AV1006),$AN$1006:$BO$1006,0))&gt;=100000), " ",IF(INDEX($AN$2:$BO$1001,MATCH(ROWS($AG$2:AG68),$AG$2:$AG$1001,0),MATCH(COLUMNS($AN$1006:AV1006),$AN$1006:$BO$1006,0)), HYPERLINK("#",""), HYPERLINK(CONCATENATE("#Metadata!", ADDRESS(INDEX($AI$2:$AI$1001,MATCH(ROWS($AG$2:AG68),$AG$2:$AG$1001,0),0), INDEX($AN$1004:$BO$1004,1,MATCH(COLUMNS($AN$1006:AV1006),$AN$1006:$BO$1006,0)))),"Fix")))</f>
        <v>0</v>
      </c>
      <c r="K68" s="4">
        <f>IF(OR(INDEX($AH$2:$AH$1001,MATCH(ROWS($AG$2:AG68),$AG$2:$AG$1001,0),1)&gt;=100000,INDEX($AN$1005:$BO$1005,1,MATCH(COLUMNS($AN$1006:AW1006),$AN$1006:$BO$1006,0))&gt;=100000), " ",IF(INDEX($AN$2:$BO$1001,MATCH(ROWS($AG$2:AG68),$AG$2:$AG$1001,0),MATCH(COLUMNS($AN$1006:AW1006),$AN$1006:$BO$1006,0)), HYPERLINK("#",""), HYPERLINK(CONCATENATE("#Metadata!", ADDRESS(INDEX($AI$2:$AI$1001,MATCH(ROWS($AG$2:AG68),$AG$2:$AG$1001,0),0), INDEX($AN$1004:$BO$1004,1,MATCH(COLUMNS($AN$1006:AW1006),$AN$1006:$BO$1006,0)))),"Fix")))</f>
        <v>0</v>
      </c>
      <c r="L68" s="4">
        <f>IF(OR(INDEX($AH$2:$AH$1001,MATCH(ROWS($AG$2:AG68),$AG$2:$AG$1001,0),1)&gt;=100000,INDEX($AN$1005:$BO$1005,1,MATCH(COLUMNS($AN$1006:AX1006),$AN$1006:$BO$1006,0))&gt;=100000), " ",IF(INDEX($AN$2:$BO$1001,MATCH(ROWS($AG$2:AG68),$AG$2:$AG$1001,0),MATCH(COLUMNS($AN$1006:AX1006),$AN$1006:$BO$1006,0)), HYPERLINK("#",""), HYPERLINK(CONCATENATE("#Metadata!", ADDRESS(INDEX($AI$2:$AI$1001,MATCH(ROWS($AG$2:AG68),$AG$2:$AG$1001,0),0), INDEX($AN$1004:$BO$1004,1,MATCH(COLUMNS($AN$1006:AX1006),$AN$1006:$BO$1006,0)))),"Fix")))</f>
        <v>0</v>
      </c>
      <c r="M68" s="4">
        <f>IF(OR(INDEX($AH$2:$AH$1001,MATCH(ROWS($AG$2:AG68),$AG$2:$AG$1001,0),1)&gt;=100000,INDEX($AN$1005:$BO$1005,1,MATCH(COLUMNS($AN$1006:AY1006),$AN$1006:$BO$1006,0))&gt;=100000), " ",IF(INDEX($AN$2:$BO$1001,MATCH(ROWS($AG$2:AG68),$AG$2:$AG$1001,0),MATCH(COLUMNS($AN$1006:AY1006),$AN$1006:$BO$1006,0)), HYPERLINK("#",""), HYPERLINK(CONCATENATE("#Metadata!", ADDRESS(INDEX($AI$2:$AI$1001,MATCH(ROWS($AG$2:AG68),$AG$2:$AG$1001,0),0), INDEX($AN$1004:$BO$1004,1,MATCH(COLUMNS($AN$1006:AY1006),$AN$1006:$BO$1006,0)))),"Fix")))</f>
        <v>0</v>
      </c>
      <c r="N68" s="4">
        <f>IF(OR(INDEX($AH$2:$AH$1001,MATCH(ROWS($AG$2:AG68),$AG$2:$AG$1001,0),1)&gt;=100000,INDEX($AN$1005:$BO$1005,1,MATCH(COLUMNS($AN$1006:AZ1006),$AN$1006:$BO$1006,0))&gt;=100000), " ",IF(INDEX($AN$2:$BO$1001,MATCH(ROWS($AG$2:AG68),$AG$2:$AG$1001,0),MATCH(COLUMNS($AN$1006:AZ1006),$AN$1006:$BO$1006,0)), HYPERLINK("#",""), HYPERLINK(CONCATENATE("#Metadata!", ADDRESS(INDEX($AI$2:$AI$1001,MATCH(ROWS($AG$2:AG68),$AG$2:$AG$1001,0),0), INDEX($AN$1004:$BO$1004,1,MATCH(COLUMNS($AN$1006:AZ1006),$AN$1006:$BO$1006,0)))),"Fix")))</f>
        <v>0</v>
      </c>
      <c r="O68" s="4">
        <f>IF(OR(INDEX($AH$2:$AH$1001,MATCH(ROWS($AG$2:AG68),$AG$2:$AG$1001,0),1)&gt;=100000,INDEX($AN$1005:$BO$1005,1,MATCH(COLUMNS($AN$1006:BA1006),$AN$1006:$BO$1006,0))&gt;=100000), " ",IF(INDEX($AN$2:$BO$1001,MATCH(ROWS($AG$2:AG68),$AG$2:$AG$1001,0),MATCH(COLUMNS($AN$1006:BA1006),$AN$1006:$BO$1006,0)), HYPERLINK("#",""), HYPERLINK(CONCATENATE("#Metadata!", ADDRESS(INDEX($AI$2:$AI$1001,MATCH(ROWS($AG$2:AG68),$AG$2:$AG$1001,0),0), INDEX($AN$1004:$BO$1004,1,MATCH(COLUMNS($AN$1006:BA1006),$AN$1006:$BO$1006,0)))),"Fix")))</f>
        <v>0</v>
      </c>
      <c r="P68" s="4">
        <f>IF(OR(INDEX($AH$2:$AH$1001,MATCH(ROWS($AG$2:AG68),$AG$2:$AG$1001,0),1)&gt;=100000,INDEX($AN$1005:$BO$1005,1,MATCH(COLUMNS($AN$1006:BB1006),$AN$1006:$BO$1006,0))&gt;=100000), " ",IF(INDEX($AN$2:$BO$1001,MATCH(ROWS($AG$2:AG68),$AG$2:$AG$1001,0),MATCH(COLUMNS($AN$1006:BB1006),$AN$1006:$BO$1006,0)), HYPERLINK("#",""), HYPERLINK(CONCATENATE("#Metadata!", ADDRESS(INDEX($AI$2:$AI$1001,MATCH(ROWS($AG$2:AG68),$AG$2:$AG$1001,0),0), INDEX($AN$1004:$BO$1004,1,MATCH(COLUMNS($AN$1006:BB1006),$AN$1006:$BO$1006,0)))),"Fix")))</f>
        <v>0</v>
      </c>
      <c r="Q68" s="4">
        <f>IF(OR(INDEX($AH$2:$AH$1001,MATCH(ROWS($AG$2:AG68),$AG$2:$AG$1001,0),1)&gt;=100000,INDEX($AN$1005:$BO$1005,1,MATCH(COLUMNS($AN$1006:BC1006),$AN$1006:$BO$1006,0))&gt;=100000), " ",IF(INDEX($AN$2:$BO$1001,MATCH(ROWS($AG$2:AG68),$AG$2:$AG$1001,0),MATCH(COLUMNS($AN$1006:BC1006),$AN$1006:$BO$1006,0)), HYPERLINK("#",""), HYPERLINK(CONCATENATE("#Metadata!", ADDRESS(INDEX($AI$2:$AI$1001,MATCH(ROWS($AG$2:AG68),$AG$2:$AG$1001,0),0), INDEX($AN$1004:$BO$1004,1,MATCH(COLUMNS($AN$1006:BC1006),$AN$1006:$BO$1006,0)))),"Fix")))</f>
        <v>0</v>
      </c>
      <c r="R68" s="4">
        <f>IF(OR(INDEX($AH$2:$AH$1001,MATCH(ROWS($AG$2:AG68),$AG$2:$AG$1001,0),1)&gt;=100000,INDEX($AN$1005:$BO$1005,1,MATCH(COLUMNS($AN$1006:BD1006),$AN$1006:$BO$1006,0))&gt;=100000), " ",IF(INDEX($AN$2:$BO$1001,MATCH(ROWS($AG$2:AG68),$AG$2:$AG$1001,0),MATCH(COLUMNS($AN$1006:BD1006),$AN$1006:$BO$1006,0)), HYPERLINK("#",""), HYPERLINK(CONCATENATE("#Metadata!", ADDRESS(INDEX($AI$2:$AI$1001,MATCH(ROWS($AG$2:AG68),$AG$2:$AG$1001,0),0), INDEX($AN$1004:$BO$1004,1,MATCH(COLUMNS($AN$1006:BD1006),$AN$1006:$BO$1006,0)))),"Fix")))</f>
        <v>0</v>
      </c>
      <c r="S68" s="4">
        <f>IF(OR(INDEX($AH$2:$AH$1001,MATCH(ROWS($AG$2:AG68),$AG$2:$AG$1001,0),1)&gt;=100000,INDEX($AN$1005:$BO$1005,1,MATCH(COLUMNS($AN$1006:BE1006),$AN$1006:$BO$1006,0))&gt;=100000), " ",IF(INDEX($AN$2:$BO$1001,MATCH(ROWS($AG$2:AG68),$AG$2:$AG$1001,0),MATCH(COLUMNS($AN$1006:BE1006),$AN$1006:$BO$1006,0)), HYPERLINK("#",""), HYPERLINK(CONCATENATE("#Metadata!", ADDRESS(INDEX($AI$2:$AI$1001,MATCH(ROWS($AG$2:AG68),$AG$2:$AG$1001,0),0), INDEX($AN$1004:$BO$1004,1,MATCH(COLUMNS($AN$1006:BE1006),$AN$1006:$BO$1006,0)))),"Fix")))</f>
        <v>0</v>
      </c>
      <c r="T68" s="4">
        <f>IF(OR(INDEX($AH$2:$AH$1001,MATCH(ROWS($AG$2:AG68),$AG$2:$AG$1001,0),1)&gt;=100000,INDEX($AN$1005:$BO$1005,1,MATCH(COLUMNS($AN$1006:BF1006),$AN$1006:$BO$1006,0))&gt;=100000), " ",IF(INDEX($AN$2:$BO$1001,MATCH(ROWS($AG$2:AG68),$AG$2:$AG$1001,0),MATCH(COLUMNS($AN$1006:BF1006),$AN$1006:$BO$1006,0)), HYPERLINK("#",""), HYPERLINK(CONCATENATE("#Metadata!", ADDRESS(INDEX($AI$2:$AI$1001,MATCH(ROWS($AG$2:AG68),$AG$2:$AG$1001,0),0), INDEX($AN$1004:$BO$1004,1,MATCH(COLUMNS($AN$1006:BF1006),$AN$1006:$BO$1006,0)))),"Fix")))</f>
        <v>0</v>
      </c>
      <c r="U68" s="4">
        <f>IF(OR(INDEX($AH$2:$AH$1001,MATCH(ROWS($AG$2:AG68),$AG$2:$AG$1001,0),1)&gt;=100000,INDEX($AN$1005:$BO$1005,1,MATCH(COLUMNS($AN$1006:BG1006),$AN$1006:$BO$1006,0))&gt;=100000), " ",IF(INDEX($AN$2:$BO$1001,MATCH(ROWS($AG$2:AG68),$AG$2:$AG$1001,0),MATCH(COLUMNS($AN$1006:BG1006),$AN$1006:$BO$1006,0)), HYPERLINK("#",""), HYPERLINK(CONCATENATE("#Metadata!", ADDRESS(INDEX($AI$2:$AI$1001,MATCH(ROWS($AG$2:AG68),$AG$2:$AG$1001,0),0), INDEX($AN$1004:$BO$1004,1,MATCH(COLUMNS($AN$1006:BG1006),$AN$1006:$BO$1006,0)))),"Fix")))</f>
        <v>0</v>
      </c>
      <c r="V68" s="4">
        <f>IF(OR(INDEX($AH$2:$AH$1001,MATCH(ROWS($AG$2:AG68),$AG$2:$AG$1001,0),1)&gt;=100000,INDEX($AN$1005:$BO$1005,1,MATCH(COLUMNS($AN$1006:BH1006),$AN$1006:$BO$1006,0))&gt;=100000), " ",IF(INDEX($AN$2:$BO$1001,MATCH(ROWS($AG$2:AG68),$AG$2:$AG$1001,0),MATCH(COLUMNS($AN$1006:BH1006),$AN$1006:$BO$1006,0)), HYPERLINK("#",""), HYPERLINK(CONCATENATE("#Metadata!", ADDRESS(INDEX($AI$2:$AI$1001,MATCH(ROWS($AG$2:AG68),$AG$2:$AG$1001,0),0), INDEX($AN$1004:$BO$1004,1,MATCH(COLUMNS($AN$1006:BH1006),$AN$1006:$BO$1006,0)))),"Fix")))</f>
        <v>0</v>
      </c>
      <c r="W68" s="4">
        <f>IF(OR(INDEX($AH$2:$AH$1001,MATCH(ROWS($AG$2:AG68),$AG$2:$AG$1001,0),1)&gt;=100000,INDEX($AN$1005:$BO$1005,1,MATCH(COLUMNS($AN$1006:BI1006),$AN$1006:$BO$1006,0))&gt;=100000), " ",IF(INDEX($AN$2:$BO$1001,MATCH(ROWS($AG$2:AG68),$AG$2:$AG$1001,0),MATCH(COLUMNS($AN$1006:BI1006),$AN$1006:$BO$1006,0)), HYPERLINK("#",""), HYPERLINK(CONCATENATE("#Metadata!", ADDRESS(INDEX($AI$2:$AI$1001,MATCH(ROWS($AG$2:AG68),$AG$2:$AG$1001,0),0), INDEX($AN$1004:$BO$1004,1,MATCH(COLUMNS($AN$1006:BI1006),$AN$1006:$BO$1006,0)))),"Fix")))</f>
        <v>0</v>
      </c>
      <c r="X68" s="4">
        <f>IF(OR(INDEX($AH$2:$AH$1001,MATCH(ROWS($AG$2:AG68),$AG$2:$AG$1001,0),1)&gt;=100000,INDEX($AN$1005:$BO$1005,1,MATCH(COLUMNS($AN$1006:BJ1006),$AN$1006:$BO$1006,0))&gt;=100000), " ",IF(INDEX($AN$2:$BO$1001,MATCH(ROWS($AG$2:AG68),$AG$2:$AG$1001,0),MATCH(COLUMNS($AN$1006:BJ1006),$AN$1006:$BO$1006,0)), HYPERLINK("#",""), HYPERLINK(CONCATENATE("#Metadata!", ADDRESS(INDEX($AI$2:$AI$1001,MATCH(ROWS($AG$2:AG68),$AG$2:$AG$1001,0),0), INDEX($AN$1004:$BO$1004,1,MATCH(COLUMNS($AN$1006:BJ1006),$AN$1006:$BO$1006,0)))),"Fix")))</f>
        <v>0</v>
      </c>
      <c r="Y68" s="4">
        <f>IF(OR(INDEX($AH$2:$AH$1001,MATCH(ROWS($AG$2:AG68),$AG$2:$AG$1001,0),1)&gt;=100000,INDEX($AN$1005:$BO$1005,1,MATCH(COLUMNS($AN$1006:BK1006),$AN$1006:$BO$1006,0))&gt;=100000), " ",IF(INDEX($AN$2:$BO$1001,MATCH(ROWS($AG$2:AG68),$AG$2:$AG$1001,0),MATCH(COLUMNS($AN$1006:BK1006),$AN$1006:$BO$1006,0)), HYPERLINK("#",""), HYPERLINK(CONCATENATE("#Metadata!", ADDRESS(INDEX($AI$2:$AI$1001,MATCH(ROWS($AG$2:AG68),$AG$2:$AG$1001,0),0), INDEX($AN$1004:$BO$1004,1,MATCH(COLUMNS($AN$1006:BK1006),$AN$1006:$BO$1006,0)))),"Fix")))</f>
        <v>0</v>
      </c>
      <c r="Z68" s="4">
        <f>IF(OR(INDEX($AH$2:$AH$1001,MATCH(ROWS($AG$2:AG68),$AG$2:$AG$1001,0),1)&gt;=100000,INDEX($AN$1005:$BO$1005,1,MATCH(COLUMNS($AN$1006:BL1006),$AN$1006:$BO$1006,0))&gt;=100000), " ",IF(INDEX($AN$2:$BO$1001,MATCH(ROWS($AG$2:AG68),$AG$2:$AG$1001,0),MATCH(COLUMNS($AN$1006:BL1006),$AN$1006:$BO$1006,0)), HYPERLINK("#",""), HYPERLINK(CONCATENATE("#Metadata!", ADDRESS(INDEX($AI$2:$AI$1001,MATCH(ROWS($AG$2:AG68),$AG$2:$AG$1001,0),0), INDEX($AN$1004:$BO$1004,1,MATCH(COLUMNS($AN$1006:BL1006),$AN$1006:$BO$1006,0)))),"Fix")))</f>
        <v>0</v>
      </c>
      <c r="AA68" s="4">
        <f>IF(OR(INDEX($AH$2:$AH$1001,MATCH(ROWS($AG$2:AG68),$AG$2:$AG$1001,0),1)&gt;=100000,INDEX($AN$1005:$BO$1005,1,MATCH(COLUMNS($AN$1006:BM1006),$AN$1006:$BO$1006,0))&gt;=100000), " ",IF(INDEX($AN$2:$BO$1001,MATCH(ROWS($AG$2:AG68),$AG$2:$AG$1001,0),MATCH(COLUMNS($AN$1006:BM1006),$AN$1006:$BO$1006,0)), HYPERLINK("#",""), HYPERLINK(CONCATENATE("#Metadata!", ADDRESS(INDEX($AI$2:$AI$1001,MATCH(ROWS($AG$2:AG68),$AG$2:$AG$1001,0),0), INDEX($AN$1004:$BO$1004,1,MATCH(COLUMNS($AN$1006:BM1006),$AN$1006:$BO$1006,0)))),"Fix")))</f>
        <v>0</v>
      </c>
      <c r="AB68" s="4">
        <f>IF(OR(INDEX($AH$2:$AH$1001,MATCH(ROWS($AG$2:AG68),$AG$2:$AG$1001,0),1)&gt;=100000,INDEX($AN$1005:$BO$1005,1,MATCH(COLUMNS($AN$1006:BN1006),$AN$1006:$BO$1006,0))&gt;=100000), " ",IF(INDEX($AN$2:$BO$1001,MATCH(ROWS($AG$2:AG68),$AG$2:$AG$1001,0),MATCH(COLUMNS($AN$1006:BN1006),$AN$1006:$BO$1006,0)), HYPERLINK("#",""), HYPERLINK(CONCATENATE("#Metadata!", ADDRESS(INDEX($AI$2:$AI$1001,MATCH(ROWS($AG$2:AG68),$AG$2:$AG$1001,0),0), INDEX($AN$1004:$BO$1004,1,MATCH(COLUMNS($AN$1006:BN1006),$AN$1006:$BO$1006,0)))),"Fix")))</f>
        <v>0</v>
      </c>
      <c r="AC68" s="4">
        <f>IF(OR(INDEX($AH$2:$AH$1001,MATCH(ROWS($AG$2:AG68),$AG$2:$AG$1001,0),1)&gt;=100000,INDEX($AN$1005:$BO$1005,1,MATCH(COLUMNS($AN$1006:BO1006),$AN$1006:$BO$1006,0))&gt;=100000), " ",IF(INDEX($AN$2:$BO$1001,MATCH(ROWS($AG$2:AG68),$AG$2:$AG$1001,0),MATCH(COLUMNS($AN$1006:BO1006),$AN$1006:$BO$1006,0)), HYPERLINK("#",""), HYPERLINK(CONCATENATE("#Metadata!", ADDRESS(INDEX($AI$2:$AI$1001,MATCH(ROWS($AG$2:AG68),$AG$2:$AG$1001,0),0), INDEX($AN$1004:$BO$1004,1,MATCH(COLUMNS($AN$1006:BO1006),$AN$1006:$BO$1006,0)))),"Fix")))</f>
        <v>0</v>
      </c>
      <c r="AG68">
        <v>0</v>
      </c>
      <c r="AH68">
        <v>0</v>
      </c>
      <c r="AI68">
        <v>0</v>
      </c>
      <c r="AJ68">
        <f>IF(AK68,TRUE,AND(AN68:BO68))</f>
        <v>0</v>
      </c>
      <c r="AK68">
        <f>COUNTBLANK(Metadata!B68:AC68)=COLUMNS(Metadata!B68:AC68)</f>
        <v>0</v>
      </c>
      <c r="AL68">
        <v>0</v>
      </c>
      <c r="AN68">
        <f>AND(IF(Metadata!B68="",FALSE,TRUE),COUNTIF(Metadata!B:B, Metadata!B68) = 1,NOT(ISERROR(SUMPRODUCT(SEARCH(MID(Metadata!B68,ROW(INDIRECT("1:"&amp;LEN(Metadata!B68))), 1),"0123456789abcdefghijklmnopqrstuvwxyzABCDEFGHIJKLMNOPQRSTUVWXYZ.")))))</f>
        <v>0</v>
      </c>
      <c r="AO68">
        <f>IF(Metadata!C68="",FALSE,TRUE)</f>
        <v>0</v>
      </c>
      <c r="AP68">
        <f>IF(Metadata!D68="",FALSE,TRUE)</f>
        <v>0</v>
      </c>
      <c r="AQ68">
        <f>OR(AND(IF(Metadata!E68="",FALSE,TRUE),OR(exact(Metadata!E68,"not collected"),exact(Metadata!E68,"not provided"),exact(Metadata!E68,"restricted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R68">
        <f>IF(Metadata!F68="",FALSE,TRUE)</f>
        <v>0</v>
      </c>
      <c r="AS68">
        <f>OR(AND(IF(Metadata!G68="",FALSE,TRUE),OR(exact(Metadata!G68,"not collected"),exact(Metadata!G68,"not provided"))),AND(IF(Metadata!G68="",FALSE,TRUE),OR(exact(Metadata!G68,"TRUE"),exact(Metadata!G68,"FALSE"))))</f>
        <v>0</v>
      </c>
      <c r="AT68">
        <f>OR(AND(IF(Metadata!H68="",FALSE,TRUE),OR(exact(Metadata!H68,"not collected"),exact(Metadata!H68,"not provided"),exact(Metadata!H68,"restricted access"))),AND(IF(Metadata!H68="",FALSE,ISNUMBER(VALUE(Metadata!H68))),Metadata!H68&gt;=-413.0))</f>
        <v>0</v>
      </c>
      <c r="AU68">
        <f>AND(IF(Metadata!I68="",FALSE,TRUE),exact(Metadata!I68,"meters"))</f>
        <v>0</v>
      </c>
      <c r="AV68">
        <f>AND(IF(Metadata!J68="",FALSE,TRUE),OR(exact(Metadata!J68,"Host-associated"),exact(Metadata!J68,"Free-living")))</f>
        <v>0</v>
      </c>
      <c r="AW68">
        <f>AND(IF(Metadata!K68="",FALSE,TRUE),OR(exact(Metadata!K68,"Animal"),exact(Metadata!K68,"Fungus"),exact(Metadata!K68,"Plant"),exact(Metadata!K68,"Saline"),exact(Metadata!K68,"Non-saline")))</f>
        <v>0</v>
      </c>
      <c r="AX68">
        <f>AND(IF(Metadata!L68="",FALSE,TRUE),OR(exact(Metadata!L68,"Plant secretion"),exact(Metadata!L68,"Plant rhizosphere"),exact(Metadata!L68,"Plant surface"),exact(Metadata!L68,"Plant corpus"),exact(Metadata!L68,"Fungus surface"),exact(Metadata!L68,"Fungus corpus"),exact(Metadata!L68,"Animal surface"),exact(Metadata!L68,"Animal proximal gut"),exact(Metadata!L68,"Animal corpus"),exact(Metadata!L68,"Animal distal gut"),exact(Metadata!L68,"Animal secretion"),exact(Metadata!L68,"Sub-surface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Y68">
        <f>IF(Metadata!M68="",FALSE,TRUE)</f>
        <v>0</v>
      </c>
      <c r="AZ68">
        <f>IF(Metadata!N68="",FALSE,TRUE)</f>
        <v>0</v>
      </c>
      <c r="BA68">
        <f>IF(Metadata!O68="",FALSE,TRUE)</f>
        <v>0</v>
      </c>
      <c r="BB68">
        <f>OR(AND(IF(Metadata!P68="",FALSE,TRUE),OR(exact(Metadata!P68,"not collected"),exact(Metadata!P68,"not provided"),exact(Metadata!P68,"restricted access"))),AND(IF(Metadata!P68="",FALSE,TRUE),OR(exact(Metadata!P68,"air"),exact(Metadata!P68,"built environment"),exact(Metadata!P68,"host-associated"),exact(Metadata!P68,"human-associated"),exact(Metadata!P68,"human-skin"),exact(Metadata!P68,"human-oral"),exact(Metadata!P68,"human-gut"),exact(Metadata!P68,"human-vaginal"),exact(Metadata!P68,"microbial mat/biofilm"),exact(Metadata!P68,"misc environment"),exact(Metadata!P68,"plant-associated"),exact(Metadata!P68,"sediment"),exact(Metadata!P68,"soil"),exact(Metadata!P68,"wastewater/sludge"),exact(Metadata!P68,"water"))))</f>
        <v>0</v>
      </c>
      <c r="BC68">
        <f>IF(Metadata!Q68="",FALSE,TRUE)</f>
        <v>0</v>
      </c>
      <c r="BD68">
        <f>IF(Metadata!R68="",FALSE,TRUE)</f>
        <v>0</v>
      </c>
      <c r="BE68">
        <f>OR(AND(IF(Metadata!S68="",FALSE,TRUE),OR(exact(Metadata!S68,"not collected"),exact(Metadata!S68,"not provided"),exact(Metadata!S68,"restricted access"))),AND(IF(Metadata!S68="",FALSE,ISNUMBER(VALUE(Metadata!S68))),Metadata!S68&gt;=-90.00,Metadata!S68&lt;=90.00))</f>
        <v>0</v>
      </c>
      <c r="BF68">
        <f>AND(IF(Metadata!T68="",FALSE,TRUE),exact(Metadata!T68,"Decimal degrees"))</f>
        <v>0</v>
      </c>
      <c r="BG68">
        <f>OR(AND(IF(Metadata!U68="",FALSE,TRUE),OR(exact(Metadata!U68,"not collected"),exact(Metadata!U68,"not provided"),exact(Metadata!U68,"restricted access"))),AND(IF(Metadata!U68="",FALSE,ISNUMBER(VALUE(Metadata!U68))),Metadata!U68&gt;=-180.00,Metadata!U68&lt;=180.00))</f>
        <v>0</v>
      </c>
      <c r="BH68">
        <f>AND(IF(Metadata!V68="",FALSE,TRUE),exact(Metadata!V68,"Decimal degrees"))</f>
        <v>0</v>
      </c>
      <c r="BI68">
        <f>IF(Metadata!W68="",FALSE,TRUE)</f>
        <v>0</v>
      </c>
      <c r="BJ68">
        <f>OR(AND(IF(Metadata!X68="",FALSE,TRUE),OR(exact(Metadata!X68,"not collected"),exact(Metadata!X68,"not provided"),exact(Metadata!X68,"restricted access"))),AND(IF(Metadata!X68="",FALSE,TRUE),OR(exact(Metadata!X68,"TRUE"),exact(Metadata!X68,"FALSE"))))</f>
        <v>0</v>
      </c>
      <c r="BK68">
        <f>AND(IF(Metadata!Y68="",FALSE,TRUE),exact(Metadata!Y68,"other"))</f>
        <v>0</v>
      </c>
      <c r="BL68">
        <f>IF(Metadata!Z68="",FALSE,TRUE)</f>
        <v>0</v>
      </c>
      <c r="BM68">
        <f>OR(AND(IF(Metadata!AA68="",FALSE,TRUE),OR(exact(Metadata!AA68,"not collected"),exact(Metadata!AA68,"not provided"))),AND(IF(Metadata!AA68="",FALSE,IF(ISERROR(INT(Metadata!AA68)),FALSE,INT(Metadata!AA68)=Metadata!AA68)),Metadata!AA68&gt;0))</f>
        <v>0</v>
      </c>
      <c r="BN68">
        <f>AND(IF(Metadata!AB68="",FALSE,TRUE),exact(Metadata!AB68,"Not applicable"))</f>
        <v>0</v>
      </c>
      <c r="BO68">
        <f>IF(Metadata!AC68="",FALSE,TRUE)</f>
        <v>0</v>
      </c>
    </row>
    <row r="69" spans="1:67">
      <c r="A69" s="5">
        <f>IF(B69=" "," ",HYPERLINK(CONCATENATE("#metadata!",ADDRESS(INDEX($AI$2:$AI$1001,MATCH(ROWS($AG$2:AG69),$AG$2:$AG$1001,0),0),1)),INDEX($AL$2:$AL$1001,MATCH(ROWS($AG$2:AG69),$AG$2:$AG$1001,0),0)))</f>
        <v>0</v>
      </c>
      <c r="B69" s="4">
        <f>IF(OR(INDEX($AH$2:$AH$1001,MATCH(ROWS($AG$2:AG69),$AG$2:$AG$1001,0),1)&gt;=100000,INDEX($AN$1005:$BO$1005,1,MATCH(COLUMNS($AN$1006:AN1006),$AN$1006:$BO$1006,0))&gt;=100000), " ",IF(INDEX($AN$2:$BO$1001,MATCH(ROWS($AG$2:AG69),$AG$2:$AG$1001,0),MATCH(COLUMNS($AN$1006:AN1006),$AN$1006:$BO$1006,0)), HYPERLINK("#",""), HYPERLINK(CONCATENATE("#Metadata!", ADDRESS(INDEX($AI$2:$AI$1001,MATCH(ROWS($AG$2:AG69),$AG$2:$AG$1001,0),0), INDEX($AN$1004:$BO$1004,1,MATCH(COLUMNS($AN$1006:AN1006),$AN$1006:$BO$1006,0)))),"Fix")))</f>
        <v>0</v>
      </c>
      <c r="C69" s="4">
        <f>IF(OR(INDEX($AH$2:$AH$1001,MATCH(ROWS($AG$2:AG69),$AG$2:$AG$1001,0),1)&gt;=100000,INDEX($AN$1005:$BO$1005,1,MATCH(COLUMNS($AN$1006:AO1006),$AN$1006:$BO$1006,0))&gt;=100000), " ",IF(INDEX($AN$2:$BO$1001,MATCH(ROWS($AG$2:AG69),$AG$2:$AG$1001,0),MATCH(COLUMNS($AN$1006:AO1006),$AN$1006:$BO$1006,0)), HYPERLINK("#",""), HYPERLINK(CONCATENATE("#Metadata!", ADDRESS(INDEX($AI$2:$AI$1001,MATCH(ROWS($AG$2:AG69),$AG$2:$AG$1001,0),0), INDEX($AN$1004:$BO$1004,1,MATCH(COLUMNS($AN$1006:AO1006),$AN$1006:$BO$1006,0)))),"Fix")))</f>
        <v>0</v>
      </c>
      <c r="D69" s="4">
        <f>IF(OR(INDEX($AH$2:$AH$1001,MATCH(ROWS($AG$2:AG69),$AG$2:$AG$1001,0),1)&gt;=100000,INDEX($AN$1005:$BO$1005,1,MATCH(COLUMNS($AN$1006:AP1006),$AN$1006:$BO$1006,0))&gt;=100000), " ",IF(INDEX($AN$2:$BO$1001,MATCH(ROWS($AG$2:AG69),$AG$2:$AG$1001,0),MATCH(COLUMNS($AN$1006:AP1006),$AN$1006:$BO$1006,0)), HYPERLINK("#",""), HYPERLINK(CONCATENATE("#Metadata!", ADDRESS(INDEX($AI$2:$AI$1001,MATCH(ROWS($AG$2:AG69),$AG$2:$AG$1001,0),0), INDEX($AN$1004:$BO$1004,1,MATCH(COLUMNS($AN$1006:AP1006),$AN$1006:$BO$1006,0)))),"Fix")))</f>
        <v>0</v>
      </c>
      <c r="E69" s="4">
        <f>IF(OR(INDEX($AH$2:$AH$1001,MATCH(ROWS($AG$2:AG69),$AG$2:$AG$1001,0),1)&gt;=100000,INDEX($AN$1005:$BO$1005,1,MATCH(COLUMNS($AN$1006:AQ1006),$AN$1006:$BO$1006,0))&gt;=100000), " ",IF(INDEX($AN$2:$BO$1001,MATCH(ROWS($AG$2:AG69),$AG$2:$AG$1001,0),MATCH(COLUMNS($AN$1006:AQ1006),$AN$1006:$BO$1006,0)), HYPERLINK("#",""), HYPERLINK(CONCATENATE("#Metadata!", ADDRESS(INDEX($AI$2:$AI$1001,MATCH(ROWS($AG$2:AG69),$AG$2:$AG$1001,0),0), INDEX($AN$1004:$BO$1004,1,MATCH(COLUMNS($AN$1006:AQ1006),$AN$1006:$BO$1006,0)))),"Fix")))</f>
        <v>0</v>
      </c>
      <c r="F69" s="4">
        <f>IF(OR(INDEX($AH$2:$AH$1001,MATCH(ROWS($AG$2:AG69),$AG$2:$AG$1001,0),1)&gt;=100000,INDEX($AN$1005:$BO$1005,1,MATCH(COLUMNS($AN$1006:AR1006),$AN$1006:$BO$1006,0))&gt;=100000), " ",IF(INDEX($AN$2:$BO$1001,MATCH(ROWS($AG$2:AG69),$AG$2:$AG$1001,0),MATCH(COLUMNS($AN$1006:AR1006),$AN$1006:$BO$1006,0)), HYPERLINK("#",""), HYPERLINK(CONCATENATE("#Metadata!", ADDRESS(INDEX($AI$2:$AI$1001,MATCH(ROWS($AG$2:AG69),$AG$2:$AG$1001,0),0), INDEX($AN$1004:$BO$1004,1,MATCH(COLUMNS($AN$1006:AR1006),$AN$1006:$BO$1006,0)))),"Fix")))</f>
        <v>0</v>
      </c>
      <c r="G69" s="4">
        <f>IF(OR(INDEX($AH$2:$AH$1001,MATCH(ROWS($AG$2:AG69),$AG$2:$AG$1001,0),1)&gt;=100000,INDEX($AN$1005:$BO$1005,1,MATCH(COLUMNS($AN$1006:AS1006),$AN$1006:$BO$1006,0))&gt;=100000), " ",IF(INDEX($AN$2:$BO$1001,MATCH(ROWS($AG$2:AG69),$AG$2:$AG$1001,0),MATCH(COLUMNS($AN$1006:AS1006),$AN$1006:$BO$1006,0)), HYPERLINK("#",""), HYPERLINK(CONCATENATE("#Metadata!", ADDRESS(INDEX($AI$2:$AI$1001,MATCH(ROWS($AG$2:AG69),$AG$2:$AG$1001,0),0), INDEX($AN$1004:$BO$1004,1,MATCH(COLUMNS($AN$1006:AS1006),$AN$1006:$BO$1006,0)))),"Fix")))</f>
        <v>0</v>
      </c>
      <c r="H69" s="4">
        <f>IF(OR(INDEX($AH$2:$AH$1001,MATCH(ROWS($AG$2:AG69),$AG$2:$AG$1001,0),1)&gt;=100000,INDEX($AN$1005:$BO$1005,1,MATCH(COLUMNS($AN$1006:AT1006),$AN$1006:$BO$1006,0))&gt;=100000), " ",IF(INDEX($AN$2:$BO$1001,MATCH(ROWS($AG$2:AG69),$AG$2:$AG$1001,0),MATCH(COLUMNS($AN$1006:AT1006),$AN$1006:$BO$1006,0)), HYPERLINK("#",""), HYPERLINK(CONCATENATE("#Metadata!", ADDRESS(INDEX($AI$2:$AI$1001,MATCH(ROWS($AG$2:AG69),$AG$2:$AG$1001,0),0), INDEX($AN$1004:$BO$1004,1,MATCH(COLUMNS($AN$1006:AT1006),$AN$1006:$BO$1006,0)))),"Fix")))</f>
        <v>0</v>
      </c>
      <c r="I69" s="4">
        <f>IF(OR(INDEX($AH$2:$AH$1001,MATCH(ROWS($AG$2:AG69),$AG$2:$AG$1001,0),1)&gt;=100000,INDEX($AN$1005:$BO$1005,1,MATCH(COLUMNS($AN$1006:AU1006),$AN$1006:$BO$1006,0))&gt;=100000), " ",IF(INDEX($AN$2:$BO$1001,MATCH(ROWS($AG$2:AG69),$AG$2:$AG$1001,0),MATCH(COLUMNS($AN$1006:AU1006),$AN$1006:$BO$1006,0)), HYPERLINK("#",""), HYPERLINK(CONCATENATE("#Metadata!", ADDRESS(INDEX($AI$2:$AI$1001,MATCH(ROWS($AG$2:AG69),$AG$2:$AG$1001,0),0), INDEX($AN$1004:$BO$1004,1,MATCH(COLUMNS($AN$1006:AU1006),$AN$1006:$BO$1006,0)))),"Fix")))</f>
        <v>0</v>
      </c>
      <c r="J69" s="4">
        <f>IF(OR(INDEX($AH$2:$AH$1001,MATCH(ROWS($AG$2:AG69),$AG$2:$AG$1001,0),1)&gt;=100000,INDEX($AN$1005:$BO$1005,1,MATCH(COLUMNS($AN$1006:AV1006),$AN$1006:$BO$1006,0))&gt;=100000), " ",IF(INDEX($AN$2:$BO$1001,MATCH(ROWS($AG$2:AG69),$AG$2:$AG$1001,0),MATCH(COLUMNS($AN$1006:AV1006),$AN$1006:$BO$1006,0)), HYPERLINK("#",""), HYPERLINK(CONCATENATE("#Metadata!", ADDRESS(INDEX($AI$2:$AI$1001,MATCH(ROWS($AG$2:AG69),$AG$2:$AG$1001,0),0), INDEX($AN$1004:$BO$1004,1,MATCH(COLUMNS($AN$1006:AV1006),$AN$1006:$BO$1006,0)))),"Fix")))</f>
        <v>0</v>
      </c>
      <c r="K69" s="4">
        <f>IF(OR(INDEX($AH$2:$AH$1001,MATCH(ROWS($AG$2:AG69),$AG$2:$AG$1001,0),1)&gt;=100000,INDEX($AN$1005:$BO$1005,1,MATCH(COLUMNS($AN$1006:AW1006),$AN$1006:$BO$1006,0))&gt;=100000), " ",IF(INDEX($AN$2:$BO$1001,MATCH(ROWS($AG$2:AG69),$AG$2:$AG$1001,0),MATCH(COLUMNS($AN$1006:AW1006),$AN$1006:$BO$1006,0)), HYPERLINK("#",""), HYPERLINK(CONCATENATE("#Metadata!", ADDRESS(INDEX($AI$2:$AI$1001,MATCH(ROWS($AG$2:AG69),$AG$2:$AG$1001,0),0), INDEX($AN$1004:$BO$1004,1,MATCH(COLUMNS($AN$1006:AW1006),$AN$1006:$BO$1006,0)))),"Fix")))</f>
        <v>0</v>
      </c>
      <c r="L69" s="4">
        <f>IF(OR(INDEX($AH$2:$AH$1001,MATCH(ROWS($AG$2:AG69),$AG$2:$AG$1001,0),1)&gt;=100000,INDEX($AN$1005:$BO$1005,1,MATCH(COLUMNS($AN$1006:AX1006),$AN$1006:$BO$1006,0))&gt;=100000), " ",IF(INDEX($AN$2:$BO$1001,MATCH(ROWS($AG$2:AG69),$AG$2:$AG$1001,0),MATCH(COLUMNS($AN$1006:AX1006),$AN$1006:$BO$1006,0)), HYPERLINK("#",""), HYPERLINK(CONCATENATE("#Metadata!", ADDRESS(INDEX($AI$2:$AI$1001,MATCH(ROWS($AG$2:AG69),$AG$2:$AG$1001,0),0), INDEX($AN$1004:$BO$1004,1,MATCH(COLUMNS($AN$1006:AX1006),$AN$1006:$BO$1006,0)))),"Fix")))</f>
        <v>0</v>
      </c>
      <c r="M69" s="4">
        <f>IF(OR(INDEX($AH$2:$AH$1001,MATCH(ROWS($AG$2:AG69),$AG$2:$AG$1001,0),1)&gt;=100000,INDEX($AN$1005:$BO$1005,1,MATCH(COLUMNS($AN$1006:AY1006),$AN$1006:$BO$1006,0))&gt;=100000), " ",IF(INDEX($AN$2:$BO$1001,MATCH(ROWS($AG$2:AG69),$AG$2:$AG$1001,0),MATCH(COLUMNS($AN$1006:AY1006),$AN$1006:$BO$1006,0)), HYPERLINK("#",""), HYPERLINK(CONCATENATE("#Metadata!", ADDRESS(INDEX($AI$2:$AI$1001,MATCH(ROWS($AG$2:AG69),$AG$2:$AG$1001,0),0), INDEX($AN$1004:$BO$1004,1,MATCH(COLUMNS($AN$1006:AY1006),$AN$1006:$BO$1006,0)))),"Fix")))</f>
        <v>0</v>
      </c>
      <c r="N69" s="4">
        <f>IF(OR(INDEX($AH$2:$AH$1001,MATCH(ROWS($AG$2:AG69),$AG$2:$AG$1001,0),1)&gt;=100000,INDEX($AN$1005:$BO$1005,1,MATCH(COLUMNS($AN$1006:AZ1006),$AN$1006:$BO$1006,0))&gt;=100000), " ",IF(INDEX($AN$2:$BO$1001,MATCH(ROWS($AG$2:AG69),$AG$2:$AG$1001,0),MATCH(COLUMNS($AN$1006:AZ1006),$AN$1006:$BO$1006,0)), HYPERLINK("#",""), HYPERLINK(CONCATENATE("#Metadata!", ADDRESS(INDEX($AI$2:$AI$1001,MATCH(ROWS($AG$2:AG69),$AG$2:$AG$1001,0),0), INDEX($AN$1004:$BO$1004,1,MATCH(COLUMNS($AN$1006:AZ1006),$AN$1006:$BO$1006,0)))),"Fix")))</f>
        <v>0</v>
      </c>
      <c r="O69" s="4">
        <f>IF(OR(INDEX($AH$2:$AH$1001,MATCH(ROWS($AG$2:AG69),$AG$2:$AG$1001,0),1)&gt;=100000,INDEX($AN$1005:$BO$1005,1,MATCH(COLUMNS($AN$1006:BA1006),$AN$1006:$BO$1006,0))&gt;=100000), " ",IF(INDEX($AN$2:$BO$1001,MATCH(ROWS($AG$2:AG69),$AG$2:$AG$1001,0),MATCH(COLUMNS($AN$1006:BA1006),$AN$1006:$BO$1006,0)), HYPERLINK("#",""), HYPERLINK(CONCATENATE("#Metadata!", ADDRESS(INDEX($AI$2:$AI$1001,MATCH(ROWS($AG$2:AG69),$AG$2:$AG$1001,0),0), INDEX($AN$1004:$BO$1004,1,MATCH(COLUMNS($AN$1006:BA1006),$AN$1006:$BO$1006,0)))),"Fix")))</f>
        <v>0</v>
      </c>
      <c r="P69" s="4">
        <f>IF(OR(INDEX($AH$2:$AH$1001,MATCH(ROWS($AG$2:AG69),$AG$2:$AG$1001,0),1)&gt;=100000,INDEX($AN$1005:$BO$1005,1,MATCH(COLUMNS($AN$1006:BB1006),$AN$1006:$BO$1006,0))&gt;=100000), " ",IF(INDEX($AN$2:$BO$1001,MATCH(ROWS($AG$2:AG69),$AG$2:$AG$1001,0),MATCH(COLUMNS($AN$1006:BB1006),$AN$1006:$BO$1006,0)), HYPERLINK("#",""), HYPERLINK(CONCATENATE("#Metadata!", ADDRESS(INDEX($AI$2:$AI$1001,MATCH(ROWS($AG$2:AG69),$AG$2:$AG$1001,0),0), INDEX($AN$1004:$BO$1004,1,MATCH(COLUMNS($AN$1006:BB1006),$AN$1006:$BO$1006,0)))),"Fix")))</f>
        <v>0</v>
      </c>
      <c r="Q69" s="4">
        <f>IF(OR(INDEX($AH$2:$AH$1001,MATCH(ROWS($AG$2:AG69),$AG$2:$AG$1001,0),1)&gt;=100000,INDEX($AN$1005:$BO$1005,1,MATCH(COLUMNS($AN$1006:BC1006),$AN$1006:$BO$1006,0))&gt;=100000), " ",IF(INDEX($AN$2:$BO$1001,MATCH(ROWS($AG$2:AG69),$AG$2:$AG$1001,0),MATCH(COLUMNS($AN$1006:BC1006),$AN$1006:$BO$1006,0)), HYPERLINK("#",""), HYPERLINK(CONCATENATE("#Metadata!", ADDRESS(INDEX($AI$2:$AI$1001,MATCH(ROWS($AG$2:AG69),$AG$2:$AG$1001,0),0), INDEX($AN$1004:$BO$1004,1,MATCH(COLUMNS($AN$1006:BC1006),$AN$1006:$BO$1006,0)))),"Fix")))</f>
        <v>0</v>
      </c>
      <c r="R69" s="4">
        <f>IF(OR(INDEX($AH$2:$AH$1001,MATCH(ROWS($AG$2:AG69),$AG$2:$AG$1001,0),1)&gt;=100000,INDEX($AN$1005:$BO$1005,1,MATCH(COLUMNS($AN$1006:BD1006),$AN$1006:$BO$1006,0))&gt;=100000), " ",IF(INDEX($AN$2:$BO$1001,MATCH(ROWS($AG$2:AG69),$AG$2:$AG$1001,0),MATCH(COLUMNS($AN$1006:BD1006),$AN$1006:$BO$1006,0)), HYPERLINK("#",""), HYPERLINK(CONCATENATE("#Metadata!", ADDRESS(INDEX($AI$2:$AI$1001,MATCH(ROWS($AG$2:AG69),$AG$2:$AG$1001,0),0), INDEX($AN$1004:$BO$1004,1,MATCH(COLUMNS($AN$1006:BD1006),$AN$1006:$BO$1006,0)))),"Fix")))</f>
        <v>0</v>
      </c>
      <c r="S69" s="4">
        <f>IF(OR(INDEX($AH$2:$AH$1001,MATCH(ROWS($AG$2:AG69),$AG$2:$AG$1001,0),1)&gt;=100000,INDEX($AN$1005:$BO$1005,1,MATCH(COLUMNS($AN$1006:BE1006),$AN$1006:$BO$1006,0))&gt;=100000), " ",IF(INDEX($AN$2:$BO$1001,MATCH(ROWS($AG$2:AG69),$AG$2:$AG$1001,0),MATCH(COLUMNS($AN$1006:BE1006),$AN$1006:$BO$1006,0)), HYPERLINK("#",""), HYPERLINK(CONCATENATE("#Metadata!", ADDRESS(INDEX($AI$2:$AI$1001,MATCH(ROWS($AG$2:AG69),$AG$2:$AG$1001,0),0), INDEX($AN$1004:$BO$1004,1,MATCH(COLUMNS($AN$1006:BE1006),$AN$1006:$BO$1006,0)))),"Fix")))</f>
        <v>0</v>
      </c>
      <c r="T69" s="4">
        <f>IF(OR(INDEX($AH$2:$AH$1001,MATCH(ROWS($AG$2:AG69),$AG$2:$AG$1001,0),1)&gt;=100000,INDEX($AN$1005:$BO$1005,1,MATCH(COLUMNS($AN$1006:BF1006),$AN$1006:$BO$1006,0))&gt;=100000), " ",IF(INDEX($AN$2:$BO$1001,MATCH(ROWS($AG$2:AG69),$AG$2:$AG$1001,0),MATCH(COLUMNS($AN$1006:BF1006),$AN$1006:$BO$1006,0)), HYPERLINK("#",""), HYPERLINK(CONCATENATE("#Metadata!", ADDRESS(INDEX($AI$2:$AI$1001,MATCH(ROWS($AG$2:AG69),$AG$2:$AG$1001,0),0), INDEX($AN$1004:$BO$1004,1,MATCH(COLUMNS($AN$1006:BF1006),$AN$1006:$BO$1006,0)))),"Fix")))</f>
        <v>0</v>
      </c>
      <c r="U69" s="4">
        <f>IF(OR(INDEX($AH$2:$AH$1001,MATCH(ROWS($AG$2:AG69),$AG$2:$AG$1001,0),1)&gt;=100000,INDEX($AN$1005:$BO$1005,1,MATCH(COLUMNS($AN$1006:BG1006),$AN$1006:$BO$1006,0))&gt;=100000), " ",IF(INDEX($AN$2:$BO$1001,MATCH(ROWS($AG$2:AG69),$AG$2:$AG$1001,0),MATCH(COLUMNS($AN$1006:BG1006),$AN$1006:$BO$1006,0)), HYPERLINK("#",""), HYPERLINK(CONCATENATE("#Metadata!", ADDRESS(INDEX($AI$2:$AI$1001,MATCH(ROWS($AG$2:AG69),$AG$2:$AG$1001,0),0), INDEX($AN$1004:$BO$1004,1,MATCH(COLUMNS($AN$1006:BG1006),$AN$1006:$BO$1006,0)))),"Fix")))</f>
        <v>0</v>
      </c>
      <c r="V69" s="4">
        <f>IF(OR(INDEX($AH$2:$AH$1001,MATCH(ROWS($AG$2:AG69),$AG$2:$AG$1001,0),1)&gt;=100000,INDEX($AN$1005:$BO$1005,1,MATCH(COLUMNS($AN$1006:BH1006),$AN$1006:$BO$1006,0))&gt;=100000), " ",IF(INDEX($AN$2:$BO$1001,MATCH(ROWS($AG$2:AG69),$AG$2:$AG$1001,0),MATCH(COLUMNS($AN$1006:BH1006),$AN$1006:$BO$1006,0)), HYPERLINK("#",""), HYPERLINK(CONCATENATE("#Metadata!", ADDRESS(INDEX($AI$2:$AI$1001,MATCH(ROWS($AG$2:AG69),$AG$2:$AG$1001,0),0), INDEX($AN$1004:$BO$1004,1,MATCH(COLUMNS($AN$1006:BH1006),$AN$1006:$BO$1006,0)))),"Fix")))</f>
        <v>0</v>
      </c>
      <c r="W69" s="4">
        <f>IF(OR(INDEX($AH$2:$AH$1001,MATCH(ROWS($AG$2:AG69),$AG$2:$AG$1001,0),1)&gt;=100000,INDEX($AN$1005:$BO$1005,1,MATCH(COLUMNS($AN$1006:BI1006),$AN$1006:$BO$1006,0))&gt;=100000), " ",IF(INDEX($AN$2:$BO$1001,MATCH(ROWS($AG$2:AG69),$AG$2:$AG$1001,0),MATCH(COLUMNS($AN$1006:BI1006),$AN$1006:$BO$1006,0)), HYPERLINK("#",""), HYPERLINK(CONCATENATE("#Metadata!", ADDRESS(INDEX($AI$2:$AI$1001,MATCH(ROWS($AG$2:AG69),$AG$2:$AG$1001,0),0), INDEX($AN$1004:$BO$1004,1,MATCH(COLUMNS($AN$1006:BI1006),$AN$1006:$BO$1006,0)))),"Fix")))</f>
        <v>0</v>
      </c>
      <c r="X69" s="4">
        <f>IF(OR(INDEX($AH$2:$AH$1001,MATCH(ROWS($AG$2:AG69),$AG$2:$AG$1001,0),1)&gt;=100000,INDEX($AN$1005:$BO$1005,1,MATCH(COLUMNS($AN$1006:BJ1006),$AN$1006:$BO$1006,0))&gt;=100000), " ",IF(INDEX($AN$2:$BO$1001,MATCH(ROWS($AG$2:AG69),$AG$2:$AG$1001,0),MATCH(COLUMNS($AN$1006:BJ1006),$AN$1006:$BO$1006,0)), HYPERLINK("#",""), HYPERLINK(CONCATENATE("#Metadata!", ADDRESS(INDEX($AI$2:$AI$1001,MATCH(ROWS($AG$2:AG69),$AG$2:$AG$1001,0),0), INDEX($AN$1004:$BO$1004,1,MATCH(COLUMNS($AN$1006:BJ1006),$AN$1006:$BO$1006,0)))),"Fix")))</f>
        <v>0</v>
      </c>
      <c r="Y69" s="4">
        <f>IF(OR(INDEX($AH$2:$AH$1001,MATCH(ROWS($AG$2:AG69),$AG$2:$AG$1001,0),1)&gt;=100000,INDEX($AN$1005:$BO$1005,1,MATCH(COLUMNS($AN$1006:BK1006),$AN$1006:$BO$1006,0))&gt;=100000), " ",IF(INDEX($AN$2:$BO$1001,MATCH(ROWS($AG$2:AG69),$AG$2:$AG$1001,0),MATCH(COLUMNS($AN$1006:BK1006),$AN$1006:$BO$1006,0)), HYPERLINK("#",""), HYPERLINK(CONCATENATE("#Metadata!", ADDRESS(INDEX($AI$2:$AI$1001,MATCH(ROWS($AG$2:AG69),$AG$2:$AG$1001,0),0), INDEX($AN$1004:$BO$1004,1,MATCH(COLUMNS($AN$1006:BK1006),$AN$1006:$BO$1006,0)))),"Fix")))</f>
        <v>0</v>
      </c>
      <c r="Z69" s="4">
        <f>IF(OR(INDEX($AH$2:$AH$1001,MATCH(ROWS($AG$2:AG69),$AG$2:$AG$1001,0),1)&gt;=100000,INDEX($AN$1005:$BO$1005,1,MATCH(COLUMNS($AN$1006:BL1006),$AN$1006:$BO$1006,0))&gt;=100000), " ",IF(INDEX($AN$2:$BO$1001,MATCH(ROWS($AG$2:AG69),$AG$2:$AG$1001,0),MATCH(COLUMNS($AN$1006:BL1006),$AN$1006:$BO$1006,0)), HYPERLINK("#",""), HYPERLINK(CONCATENATE("#Metadata!", ADDRESS(INDEX($AI$2:$AI$1001,MATCH(ROWS($AG$2:AG69),$AG$2:$AG$1001,0),0), INDEX($AN$1004:$BO$1004,1,MATCH(COLUMNS($AN$1006:BL1006),$AN$1006:$BO$1006,0)))),"Fix")))</f>
        <v>0</v>
      </c>
      <c r="AA69" s="4">
        <f>IF(OR(INDEX($AH$2:$AH$1001,MATCH(ROWS($AG$2:AG69),$AG$2:$AG$1001,0),1)&gt;=100000,INDEX($AN$1005:$BO$1005,1,MATCH(COLUMNS($AN$1006:BM1006),$AN$1006:$BO$1006,0))&gt;=100000), " ",IF(INDEX($AN$2:$BO$1001,MATCH(ROWS($AG$2:AG69),$AG$2:$AG$1001,0),MATCH(COLUMNS($AN$1006:BM1006),$AN$1006:$BO$1006,0)), HYPERLINK("#",""), HYPERLINK(CONCATENATE("#Metadata!", ADDRESS(INDEX($AI$2:$AI$1001,MATCH(ROWS($AG$2:AG69),$AG$2:$AG$1001,0),0), INDEX($AN$1004:$BO$1004,1,MATCH(COLUMNS($AN$1006:BM1006),$AN$1006:$BO$1006,0)))),"Fix")))</f>
        <v>0</v>
      </c>
      <c r="AB69" s="4">
        <f>IF(OR(INDEX($AH$2:$AH$1001,MATCH(ROWS($AG$2:AG69),$AG$2:$AG$1001,0),1)&gt;=100000,INDEX($AN$1005:$BO$1005,1,MATCH(COLUMNS($AN$1006:BN1006),$AN$1006:$BO$1006,0))&gt;=100000), " ",IF(INDEX($AN$2:$BO$1001,MATCH(ROWS($AG$2:AG69),$AG$2:$AG$1001,0),MATCH(COLUMNS($AN$1006:BN1006),$AN$1006:$BO$1006,0)), HYPERLINK("#",""), HYPERLINK(CONCATENATE("#Metadata!", ADDRESS(INDEX($AI$2:$AI$1001,MATCH(ROWS($AG$2:AG69),$AG$2:$AG$1001,0),0), INDEX($AN$1004:$BO$1004,1,MATCH(COLUMNS($AN$1006:BN1006),$AN$1006:$BO$1006,0)))),"Fix")))</f>
        <v>0</v>
      </c>
      <c r="AC69" s="4">
        <f>IF(OR(INDEX($AH$2:$AH$1001,MATCH(ROWS($AG$2:AG69),$AG$2:$AG$1001,0),1)&gt;=100000,INDEX($AN$1005:$BO$1005,1,MATCH(COLUMNS($AN$1006:BO1006),$AN$1006:$BO$1006,0))&gt;=100000), " ",IF(INDEX($AN$2:$BO$1001,MATCH(ROWS($AG$2:AG69),$AG$2:$AG$1001,0),MATCH(COLUMNS($AN$1006:BO1006),$AN$1006:$BO$1006,0)), HYPERLINK("#",""), HYPERLINK(CONCATENATE("#Metadata!", ADDRESS(INDEX($AI$2:$AI$1001,MATCH(ROWS($AG$2:AG69),$AG$2:$AG$1001,0),0), INDEX($AN$1004:$BO$1004,1,MATCH(COLUMNS($AN$1006:BO1006),$AN$1006:$BO$1006,0)))),"Fix")))</f>
        <v>0</v>
      </c>
      <c r="AG69">
        <v>0</v>
      </c>
      <c r="AH69">
        <v>0</v>
      </c>
      <c r="AI69">
        <v>0</v>
      </c>
      <c r="AJ69">
        <f>IF(AK69,TRUE,AND(AN69:BO69))</f>
        <v>0</v>
      </c>
      <c r="AK69">
        <f>COUNTBLANK(Metadata!B69:AC69)=COLUMNS(Metadata!B69:AC69)</f>
        <v>0</v>
      </c>
      <c r="AL69">
        <v>0</v>
      </c>
      <c r="AN69">
        <f>AND(IF(Metadata!B69="",FALSE,TRUE),COUNTIF(Metadata!B:B, Metadata!B69) = 1,NOT(ISERROR(SUMPRODUCT(SEARCH(MID(Metadata!B69,ROW(INDIRECT("1:"&amp;LEN(Metadata!B69))), 1),"0123456789abcdefghijklmnopqrstuvwxyzABCDEFGHIJKLMNOPQRSTUVWXYZ.")))))</f>
        <v>0</v>
      </c>
      <c r="AO69">
        <f>IF(Metadata!C69="",FALSE,TRUE)</f>
        <v>0</v>
      </c>
      <c r="AP69">
        <f>IF(Metadata!D69="",FALSE,TRUE)</f>
        <v>0</v>
      </c>
      <c r="AQ69">
        <f>OR(AND(IF(Metadata!E69="",FALSE,TRUE),OR(exact(Metadata!E69,"not collected"),exact(Metadata!E69,"not provided"),exact(Metadata!E69,"restricted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R69">
        <f>IF(Metadata!F69="",FALSE,TRUE)</f>
        <v>0</v>
      </c>
      <c r="AS69">
        <f>OR(AND(IF(Metadata!G69="",FALSE,TRUE),OR(exact(Metadata!G69,"not collected"),exact(Metadata!G69,"not provided"))),AND(IF(Metadata!G69="",FALSE,TRUE),OR(exact(Metadata!G69,"TRUE"),exact(Metadata!G69,"FALSE"))))</f>
        <v>0</v>
      </c>
      <c r="AT69">
        <f>OR(AND(IF(Metadata!H69="",FALSE,TRUE),OR(exact(Metadata!H69,"not collected"),exact(Metadata!H69,"not provided"),exact(Metadata!H69,"restricted access"))),AND(IF(Metadata!H69="",FALSE,ISNUMBER(VALUE(Metadata!H69))),Metadata!H69&gt;=-413.0))</f>
        <v>0</v>
      </c>
      <c r="AU69">
        <f>AND(IF(Metadata!I69="",FALSE,TRUE),exact(Metadata!I69,"meters"))</f>
        <v>0</v>
      </c>
      <c r="AV69">
        <f>AND(IF(Metadata!J69="",FALSE,TRUE),OR(exact(Metadata!J69,"Host-associated"),exact(Metadata!J69,"Free-living")))</f>
        <v>0</v>
      </c>
      <c r="AW69">
        <f>AND(IF(Metadata!K69="",FALSE,TRUE),OR(exact(Metadata!K69,"Animal"),exact(Metadata!K69,"Fungus"),exact(Metadata!K69,"Plant"),exact(Metadata!K69,"Saline"),exact(Metadata!K69,"Non-saline")))</f>
        <v>0</v>
      </c>
      <c r="AX69">
        <f>AND(IF(Metadata!L69="",FALSE,TRUE),OR(exact(Metadata!L69,"Plant secretion"),exact(Metadata!L69,"Plant rhizosphere"),exact(Metadata!L69,"Plant surface"),exact(Metadata!L69,"Plant corpus"),exact(Metadata!L69,"Fungus surface"),exact(Metadata!L69,"Fungus corpus"),exact(Metadata!L69,"Animal surface"),exact(Metadata!L69,"Animal proximal gut"),exact(Metadata!L69,"Animal corpus"),exact(Metadata!L69,"Animal distal gut"),exact(Metadata!L69,"Animal secretion"),exact(Metadata!L69,"Sub-surface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Y69">
        <f>IF(Metadata!M69="",FALSE,TRUE)</f>
        <v>0</v>
      </c>
      <c r="AZ69">
        <f>IF(Metadata!N69="",FALSE,TRUE)</f>
        <v>0</v>
      </c>
      <c r="BA69">
        <f>IF(Metadata!O69="",FALSE,TRUE)</f>
        <v>0</v>
      </c>
      <c r="BB69">
        <f>OR(AND(IF(Metadata!P69="",FALSE,TRUE),OR(exact(Metadata!P69,"not collected"),exact(Metadata!P69,"not provided"),exact(Metadata!P69,"restricted access"))),AND(IF(Metadata!P69="",FALSE,TRUE),OR(exact(Metadata!P69,"air"),exact(Metadata!P69,"built environment"),exact(Metadata!P69,"host-associated"),exact(Metadata!P69,"human-associated"),exact(Metadata!P69,"human-skin"),exact(Metadata!P69,"human-oral"),exact(Metadata!P69,"human-gut"),exact(Metadata!P69,"human-vaginal"),exact(Metadata!P69,"microbial mat/biofilm"),exact(Metadata!P69,"misc environment"),exact(Metadata!P69,"plant-associated"),exact(Metadata!P69,"sediment"),exact(Metadata!P69,"soil"),exact(Metadata!P69,"wastewater/sludge"),exact(Metadata!P69,"water"))))</f>
        <v>0</v>
      </c>
      <c r="BC69">
        <f>IF(Metadata!Q69="",FALSE,TRUE)</f>
        <v>0</v>
      </c>
      <c r="BD69">
        <f>IF(Metadata!R69="",FALSE,TRUE)</f>
        <v>0</v>
      </c>
      <c r="BE69">
        <f>OR(AND(IF(Metadata!S69="",FALSE,TRUE),OR(exact(Metadata!S69,"not collected"),exact(Metadata!S69,"not provided"),exact(Metadata!S69,"restricted access"))),AND(IF(Metadata!S69="",FALSE,ISNUMBER(VALUE(Metadata!S69))),Metadata!S69&gt;=-90.00,Metadata!S69&lt;=90.00))</f>
        <v>0</v>
      </c>
      <c r="BF69">
        <f>AND(IF(Metadata!T69="",FALSE,TRUE),exact(Metadata!T69,"Decimal degrees"))</f>
        <v>0</v>
      </c>
      <c r="BG69">
        <f>OR(AND(IF(Metadata!U69="",FALSE,TRUE),OR(exact(Metadata!U69,"not collected"),exact(Metadata!U69,"not provided"),exact(Metadata!U69,"restricted access"))),AND(IF(Metadata!U69="",FALSE,ISNUMBER(VALUE(Metadata!U69))),Metadata!U69&gt;=-180.00,Metadata!U69&lt;=180.00))</f>
        <v>0</v>
      </c>
      <c r="BH69">
        <f>AND(IF(Metadata!V69="",FALSE,TRUE),exact(Metadata!V69,"Decimal degrees"))</f>
        <v>0</v>
      </c>
      <c r="BI69">
        <f>IF(Metadata!W69="",FALSE,TRUE)</f>
        <v>0</v>
      </c>
      <c r="BJ69">
        <f>OR(AND(IF(Metadata!X69="",FALSE,TRUE),OR(exact(Metadata!X69,"not collected"),exact(Metadata!X69,"not provided"),exact(Metadata!X69,"restricted access"))),AND(IF(Metadata!X69="",FALSE,TRUE),OR(exact(Metadata!X69,"TRUE"),exact(Metadata!X69,"FALSE"))))</f>
        <v>0</v>
      </c>
      <c r="BK69">
        <f>AND(IF(Metadata!Y69="",FALSE,TRUE),exact(Metadata!Y69,"other"))</f>
        <v>0</v>
      </c>
      <c r="BL69">
        <f>IF(Metadata!Z69="",FALSE,TRUE)</f>
        <v>0</v>
      </c>
      <c r="BM69">
        <f>OR(AND(IF(Metadata!AA69="",FALSE,TRUE),OR(exact(Metadata!AA69,"not collected"),exact(Metadata!AA69,"not provided"))),AND(IF(Metadata!AA69="",FALSE,IF(ISERROR(INT(Metadata!AA69)),FALSE,INT(Metadata!AA69)=Metadata!AA69)),Metadata!AA69&gt;0))</f>
        <v>0</v>
      </c>
      <c r="BN69">
        <f>AND(IF(Metadata!AB69="",FALSE,TRUE),exact(Metadata!AB69,"Not applicable"))</f>
        <v>0</v>
      </c>
      <c r="BO69">
        <f>IF(Metadata!AC69="",FALSE,TRUE)</f>
        <v>0</v>
      </c>
    </row>
    <row r="70" spans="1:67">
      <c r="A70" s="5">
        <f>IF(B70=" "," ",HYPERLINK(CONCATENATE("#metadata!",ADDRESS(INDEX($AI$2:$AI$1001,MATCH(ROWS($AG$2:AG70),$AG$2:$AG$1001,0),0),1)),INDEX($AL$2:$AL$1001,MATCH(ROWS($AG$2:AG70),$AG$2:$AG$1001,0),0)))</f>
        <v>0</v>
      </c>
      <c r="B70" s="4">
        <f>IF(OR(INDEX($AH$2:$AH$1001,MATCH(ROWS($AG$2:AG70),$AG$2:$AG$1001,0),1)&gt;=100000,INDEX($AN$1005:$BO$1005,1,MATCH(COLUMNS($AN$1006:AN1006),$AN$1006:$BO$1006,0))&gt;=100000), " ",IF(INDEX($AN$2:$BO$1001,MATCH(ROWS($AG$2:AG70),$AG$2:$AG$1001,0),MATCH(COLUMNS($AN$1006:AN1006),$AN$1006:$BO$1006,0)), HYPERLINK("#",""), HYPERLINK(CONCATENATE("#Metadata!", ADDRESS(INDEX($AI$2:$AI$1001,MATCH(ROWS($AG$2:AG70),$AG$2:$AG$1001,0),0), INDEX($AN$1004:$BO$1004,1,MATCH(COLUMNS($AN$1006:AN1006),$AN$1006:$BO$1006,0)))),"Fix")))</f>
        <v>0</v>
      </c>
      <c r="C70" s="4">
        <f>IF(OR(INDEX($AH$2:$AH$1001,MATCH(ROWS($AG$2:AG70),$AG$2:$AG$1001,0),1)&gt;=100000,INDEX($AN$1005:$BO$1005,1,MATCH(COLUMNS($AN$1006:AO1006),$AN$1006:$BO$1006,0))&gt;=100000), " ",IF(INDEX($AN$2:$BO$1001,MATCH(ROWS($AG$2:AG70),$AG$2:$AG$1001,0),MATCH(COLUMNS($AN$1006:AO1006),$AN$1006:$BO$1006,0)), HYPERLINK("#",""), HYPERLINK(CONCATENATE("#Metadata!", ADDRESS(INDEX($AI$2:$AI$1001,MATCH(ROWS($AG$2:AG70),$AG$2:$AG$1001,0),0), INDEX($AN$1004:$BO$1004,1,MATCH(COLUMNS($AN$1006:AO1006),$AN$1006:$BO$1006,0)))),"Fix")))</f>
        <v>0</v>
      </c>
      <c r="D70" s="4">
        <f>IF(OR(INDEX($AH$2:$AH$1001,MATCH(ROWS($AG$2:AG70),$AG$2:$AG$1001,0),1)&gt;=100000,INDEX($AN$1005:$BO$1005,1,MATCH(COLUMNS($AN$1006:AP1006),$AN$1006:$BO$1006,0))&gt;=100000), " ",IF(INDEX($AN$2:$BO$1001,MATCH(ROWS($AG$2:AG70),$AG$2:$AG$1001,0),MATCH(COLUMNS($AN$1006:AP1006),$AN$1006:$BO$1006,0)), HYPERLINK("#",""), HYPERLINK(CONCATENATE("#Metadata!", ADDRESS(INDEX($AI$2:$AI$1001,MATCH(ROWS($AG$2:AG70),$AG$2:$AG$1001,0),0), INDEX($AN$1004:$BO$1004,1,MATCH(COLUMNS($AN$1006:AP1006),$AN$1006:$BO$1006,0)))),"Fix")))</f>
        <v>0</v>
      </c>
      <c r="E70" s="4">
        <f>IF(OR(INDEX($AH$2:$AH$1001,MATCH(ROWS($AG$2:AG70),$AG$2:$AG$1001,0),1)&gt;=100000,INDEX($AN$1005:$BO$1005,1,MATCH(COLUMNS($AN$1006:AQ1006),$AN$1006:$BO$1006,0))&gt;=100000), " ",IF(INDEX($AN$2:$BO$1001,MATCH(ROWS($AG$2:AG70),$AG$2:$AG$1001,0),MATCH(COLUMNS($AN$1006:AQ1006),$AN$1006:$BO$1006,0)), HYPERLINK("#",""), HYPERLINK(CONCATENATE("#Metadata!", ADDRESS(INDEX($AI$2:$AI$1001,MATCH(ROWS($AG$2:AG70),$AG$2:$AG$1001,0),0), INDEX($AN$1004:$BO$1004,1,MATCH(COLUMNS($AN$1006:AQ1006),$AN$1006:$BO$1006,0)))),"Fix")))</f>
        <v>0</v>
      </c>
      <c r="F70" s="4">
        <f>IF(OR(INDEX($AH$2:$AH$1001,MATCH(ROWS($AG$2:AG70),$AG$2:$AG$1001,0),1)&gt;=100000,INDEX($AN$1005:$BO$1005,1,MATCH(COLUMNS($AN$1006:AR1006),$AN$1006:$BO$1006,0))&gt;=100000), " ",IF(INDEX($AN$2:$BO$1001,MATCH(ROWS($AG$2:AG70),$AG$2:$AG$1001,0),MATCH(COLUMNS($AN$1006:AR1006),$AN$1006:$BO$1006,0)), HYPERLINK("#",""), HYPERLINK(CONCATENATE("#Metadata!", ADDRESS(INDEX($AI$2:$AI$1001,MATCH(ROWS($AG$2:AG70),$AG$2:$AG$1001,0),0), INDEX($AN$1004:$BO$1004,1,MATCH(COLUMNS($AN$1006:AR1006),$AN$1006:$BO$1006,0)))),"Fix")))</f>
        <v>0</v>
      </c>
      <c r="G70" s="4">
        <f>IF(OR(INDEX($AH$2:$AH$1001,MATCH(ROWS($AG$2:AG70),$AG$2:$AG$1001,0),1)&gt;=100000,INDEX($AN$1005:$BO$1005,1,MATCH(COLUMNS($AN$1006:AS1006),$AN$1006:$BO$1006,0))&gt;=100000), " ",IF(INDEX($AN$2:$BO$1001,MATCH(ROWS($AG$2:AG70),$AG$2:$AG$1001,0),MATCH(COLUMNS($AN$1006:AS1006),$AN$1006:$BO$1006,0)), HYPERLINK("#",""), HYPERLINK(CONCATENATE("#Metadata!", ADDRESS(INDEX($AI$2:$AI$1001,MATCH(ROWS($AG$2:AG70),$AG$2:$AG$1001,0),0), INDEX($AN$1004:$BO$1004,1,MATCH(COLUMNS($AN$1006:AS1006),$AN$1006:$BO$1006,0)))),"Fix")))</f>
        <v>0</v>
      </c>
      <c r="H70" s="4">
        <f>IF(OR(INDEX($AH$2:$AH$1001,MATCH(ROWS($AG$2:AG70),$AG$2:$AG$1001,0),1)&gt;=100000,INDEX($AN$1005:$BO$1005,1,MATCH(COLUMNS($AN$1006:AT1006),$AN$1006:$BO$1006,0))&gt;=100000), " ",IF(INDEX($AN$2:$BO$1001,MATCH(ROWS($AG$2:AG70),$AG$2:$AG$1001,0),MATCH(COLUMNS($AN$1006:AT1006),$AN$1006:$BO$1006,0)), HYPERLINK("#",""), HYPERLINK(CONCATENATE("#Metadata!", ADDRESS(INDEX($AI$2:$AI$1001,MATCH(ROWS($AG$2:AG70),$AG$2:$AG$1001,0),0), INDEX($AN$1004:$BO$1004,1,MATCH(COLUMNS($AN$1006:AT1006),$AN$1006:$BO$1006,0)))),"Fix")))</f>
        <v>0</v>
      </c>
      <c r="I70" s="4">
        <f>IF(OR(INDEX($AH$2:$AH$1001,MATCH(ROWS($AG$2:AG70),$AG$2:$AG$1001,0),1)&gt;=100000,INDEX($AN$1005:$BO$1005,1,MATCH(COLUMNS($AN$1006:AU1006),$AN$1006:$BO$1006,0))&gt;=100000), " ",IF(INDEX($AN$2:$BO$1001,MATCH(ROWS($AG$2:AG70),$AG$2:$AG$1001,0),MATCH(COLUMNS($AN$1006:AU1006),$AN$1006:$BO$1006,0)), HYPERLINK("#",""), HYPERLINK(CONCATENATE("#Metadata!", ADDRESS(INDEX($AI$2:$AI$1001,MATCH(ROWS($AG$2:AG70),$AG$2:$AG$1001,0),0), INDEX($AN$1004:$BO$1004,1,MATCH(COLUMNS($AN$1006:AU1006),$AN$1006:$BO$1006,0)))),"Fix")))</f>
        <v>0</v>
      </c>
      <c r="J70" s="4">
        <f>IF(OR(INDEX($AH$2:$AH$1001,MATCH(ROWS($AG$2:AG70),$AG$2:$AG$1001,0),1)&gt;=100000,INDEX($AN$1005:$BO$1005,1,MATCH(COLUMNS($AN$1006:AV1006),$AN$1006:$BO$1006,0))&gt;=100000), " ",IF(INDEX($AN$2:$BO$1001,MATCH(ROWS($AG$2:AG70),$AG$2:$AG$1001,0),MATCH(COLUMNS($AN$1006:AV1006),$AN$1006:$BO$1006,0)), HYPERLINK("#",""), HYPERLINK(CONCATENATE("#Metadata!", ADDRESS(INDEX($AI$2:$AI$1001,MATCH(ROWS($AG$2:AG70),$AG$2:$AG$1001,0),0), INDEX($AN$1004:$BO$1004,1,MATCH(COLUMNS($AN$1006:AV1006),$AN$1006:$BO$1006,0)))),"Fix")))</f>
        <v>0</v>
      </c>
      <c r="K70" s="4">
        <f>IF(OR(INDEX($AH$2:$AH$1001,MATCH(ROWS($AG$2:AG70),$AG$2:$AG$1001,0),1)&gt;=100000,INDEX($AN$1005:$BO$1005,1,MATCH(COLUMNS($AN$1006:AW1006),$AN$1006:$BO$1006,0))&gt;=100000), " ",IF(INDEX($AN$2:$BO$1001,MATCH(ROWS($AG$2:AG70),$AG$2:$AG$1001,0),MATCH(COLUMNS($AN$1006:AW1006),$AN$1006:$BO$1006,0)), HYPERLINK("#",""), HYPERLINK(CONCATENATE("#Metadata!", ADDRESS(INDEX($AI$2:$AI$1001,MATCH(ROWS($AG$2:AG70),$AG$2:$AG$1001,0),0), INDEX($AN$1004:$BO$1004,1,MATCH(COLUMNS($AN$1006:AW1006),$AN$1006:$BO$1006,0)))),"Fix")))</f>
        <v>0</v>
      </c>
      <c r="L70" s="4">
        <f>IF(OR(INDEX($AH$2:$AH$1001,MATCH(ROWS($AG$2:AG70),$AG$2:$AG$1001,0),1)&gt;=100000,INDEX($AN$1005:$BO$1005,1,MATCH(COLUMNS($AN$1006:AX1006),$AN$1006:$BO$1006,0))&gt;=100000), " ",IF(INDEX($AN$2:$BO$1001,MATCH(ROWS($AG$2:AG70),$AG$2:$AG$1001,0),MATCH(COLUMNS($AN$1006:AX1006),$AN$1006:$BO$1006,0)), HYPERLINK("#",""), HYPERLINK(CONCATENATE("#Metadata!", ADDRESS(INDEX($AI$2:$AI$1001,MATCH(ROWS($AG$2:AG70),$AG$2:$AG$1001,0),0), INDEX($AN$1004:$BO$1004,1,MATCH(COLUMNS($AN$1006:AX1006),$AN$1006:$BO$1006,0)))),"Fix")))</f>
        <v>0</v>
      </c>
      <c r="M70" s="4">
        <f>IF(OR(INDEX($AH$2:$AH$1001,MATCH(ROWS($AG$2:AG70),$AG$2:$AG$1001,0),1)&gt;=100000,INDEX($AN$1005:$BO$1005,1,MATCH(COLUMNS($AN$1006:AY1006),$AN$1006:$BO$1006,0))&gt;=100000), " ",IF(INDEX($AN$2:$BO$1001,MATCH(ROWS($AG$2:AG70),$AG$2:$AG$1001,0),MATCH(COLUMNS($AN$1006:AY1006),$AN$1006:$BO$1006,0)), HYPERLINK("#",""), HYPERLINK(CONCATENATE("#Metadata!", ADDRESS(INDEX($AI$2:$AI$1001,MATCH(ROWS($AG$2:AG70),$AG$2:$AG$1001,0),0), INDEX($AN$1004:$BO$1004,1,MATCH(COLUMNS($AN$1006:AY1006),$AN$1006:$BO$1006,0)))),"Fix")))</f>
        <v>0</v>
      </c>
      <c r="N70" s="4">
        <f>IF(OR(INDEX($AH$2:$AH$1001,MATCH(ROWS($AG$2:AG70),$AG$2:$AG$1001,0),1)&gt;=100000,INDEX($AN$1005:$BO$1005,1,MATCH(COLUMNS($AN$1006:AZ1006),$AN$1006:$BO$1006,0))&gt;=100000), " ",IF(INDEX($AN$2:$BO$1001,MATCH(ROWS($AG$2:AG70),$AG$2:$AG$1001,0),MATCH(COLUMNS($AN$1006:AZ1006),$AN$1006:$BO$1006,0)), HYPERLINK("#",""), HYPERLINK(CONCATENATE("#Metadata!", ADDRESS(INDEX($AI$2:$AI$1001,MATCH(ROWS($AG$2:AG70),$AG$2:$AG$1001,0),0), INDEX($AN$1004:$BO$1004,1,MATCH(COLUMNS($AN$1006:AZ1006),$AN$1006:$BO$1006,0)))),"Fix")))</f>
        <v>0</v>
      </c>
      <c r="O70" s="4">
        <f>IF(OR(INDEX($AH$2:$AH$1001,MATCH(ROWS($AG$2:AG70),$AG$2:$AG$1001,0),1)&gt;=100000,INDEX($AN$1005:$BO$1005,1,MATCH(COLUMNS($AN$1006:BA1006),$AN$1006:$BO$1006,0))&gt;=100000), " ",IF(INDEX($AN$2:$BO$1001,MATCH(ROWS($AG$2:AG70),$AG$2:$AG$1001,0),MATCH(COLUMNS($AN$1006:BA1006),$AN$1006:$BO$1006,0)), HYPERLINK("#",""), HYPERLINK(CONCATENATE("#Metadata!", ADDRESS(INDEX($AI$2:$AI$1001,MATCH(ROWS($AG$2:AG70),$AG$2:$AG$1001,0),0), INDEX($AN$1004:$BO$1004,1,MATCH(COLUMNS($AN$1006:BA1006),$AN$1006:$BO$1006,0)))),"Fix")))</f>
        <v>0</v>
      </c>
      <c r="P70" s="4">
        <f>IF(OR(INDEX($AH$2:$AH$1001,MATCH(ROWS($AG$2:AG70),$AG$2:$AG$1001,0),1)&gt;=100000,INDEX($AN$1005:$BO$1005,1,MATCH(COLUMNS($AN$1006:BB1006),$AN$1006:$BO$1006,0))&gt;=100000), " ",IF(INDEX($AN$2:$BO$1001,MATCH(ROWS($AG$2:AG70),$AG$2:$AG$1001,0),MATCH(COLUMNS($AN$1006:BB1006),$AN$1006:$BO$1006,0)), HYPERLINK("#",""), HYPERLINK(CONCATENATE("#Metadata!", ADDRESS(INDEX($AI$2:$AI$1001,MATCH(ROWS($AG$2:AG70),$AG$2:$AG$1001,0),0), INDEX($AN$1004:$BO$1004,1,MATCH(COLUMNS($AN$1006:BB1006),$AN$1006:$BO$1006,0)))),"Fix")))</f>
        <v>0</v>
      </c>
      <c r="Q70" s="4">
        <f>IF(OR(INDEX($AH$2:$AH$1001,MATCH(ROWS($AG$2:AG70),$AG$2:$AG$1001,0),1)&gt;=100000,INDEX($AN$1005:$BO$1005,1,MATCH(COLUMNS($AN$1006:BC1006),$AN$1006:$BO$1006,0))&gt;=100000), " ",IF(INDEX($AN$2:$BO$1001,MATCH(ROWS($AG$2:AG70),$AG$2:$AG$1001,0),MATCH(COLUMNS($AN$1006:BC1006),$AN$1006:$BO$1006,0)), HYPERLINK("#",""), HYPERLINK(CONCATENATE("#Metadata!", ADDRESS(INDEX($AI$2:$AI$1001,MATCH(ROWS($AG$2:AG70),$AG$2:$AG$1001,0),0), INDEX($AN$1004:$BO$1004,1,MATCH(COLUMNS($AN$1006:BC1006),$AN$1006:$BO$1006,0)))),"Fix")))</f>
        <v>0</v>
      </c>
      <c r="R70" s="4">
        <f>IF(OR(INDEX($AH$2:$AH$1001,MATCH(ROWS($AG$2:AG70),$AG$2:$AG$1001,0),1)&gt;=100000,INDEX($AN$1005:$BO$1005,1,MATCH(COLUMNS($AN$1006:BD1006),$AN$1006:$BO$1006,0))&gt;=100000), " ",IF(INDEX($AN$2:$BO$1001,MATCH(ROWS($AG$2:AG70),$AG$2:$AG$1001,0),MATCH(COLUMNS($AN$1006:BD1006),$AN$1006:$BO$1006,0)), HYPERLINK("#",""), HYPERLINK(CONCATENATE("#Metadata!", ADDRESS(INDEX($AI$2:$AI$1001,MATCH(ROWS($AG$2:AG70),$AG$2:$AG$1001,0),0), INDEX($AN$1004:$BO$1004,1,MATCH(COLUMNS($AN$1006:BD1006),$AN$1006:$BO$1006,0)))),"Fix")))</f>
        <v>0</v>
      </c>
      <c r="S70" s="4">
        <f>IF(OR(INDEX($AH$2:$AH$1001,MATCH(ROWS($AG$2:AG70),$AG$2:$AG$1001,0),1)&gt;=100000,INDEX($AN$1005:$BO$1005,1,MATCH(COLUMNS($AN$1006:BE1006),$AN$1006:$BO$1006,0))&gt;=100000), " ",IF(INDEX($AN$2:$BO$1001,MATCH(ROWS($AG$2:AG70),$AG$2:$AG$1001,0),MATCH(COLUMNS($AN$1006:BE1006),$AN$1006:$BO$1006,0)), HYPERLINK("#",""), HYPERLINK(CONCATENATE("#Metadata!", ADDRESS(INDEX($AI$2:$AI$1001,MATCH(ROWS($AG$2:AG70),$AG$2:$AG$1001,0),0), INDEX($AN$1004:$BO$1004,1,MATCH(COLUMNS($AN$1006:BE1006),$AN$1006:$BO$1006,0)))),"Fix")))</f>
        <v>0</v>
      </c>
      <c r="T70" s="4">
        <f>IF(OR(INDEX($AH$2:$AH$1001,MATCH(ROWS($AG$2:AG70),$AG$2:$AG$1001,0),1)&gt;=100000,INDEX($AN$1005:$BO$1005,1,MATCH(COLUMNS($AN$1006:BF1006),$AN$1006:$BO$1006,0))&gt;=100000), " ",IF(INDEX($AN$2:$BO$1001,MATCH(ROWS($AG$2:AG70),$AG$2:$AG$1001,0),MATCH(COLUMNS($AN$1006:BF1006),$AN$1006:$BO$1006,0)), HYPERLINK("#",""), HYPERLINK(CONCATENATE("#Metadata!", ADDRESS(INDEX($AI$2:$AI$1001,MATCH(ROWS($AG$2:AG70),$AG$2:$AG$1001,0),0), INDEX($AN$1004:$BO$1004,1,MATCH(COLUMNS($AN$1006:BF1006),$AN$1006:$BO$1006,0)))),"Fix")))</f>
        <v>0</v>
      </c>
      <c r="U70" s="4">
        <f>IF(OR(INDEX($AH$2:$AH$1001,MATCH(ROWS($AG$2:AG70),$AG$2:$AG$1001,0),1)&gt;=100000,INDEX($AN$1005:$BO$1005,1,MATCH(COLUMNS($AN$1006:BG1006),$AN$1006:$BO$1006,0))&gt;=100000), " ",IF(INDEX($AN$2:$BO$1001,MATCH(ROWS($AG$2:AG70),$AG$2:$AG$1001,0),MATCH(COLUMNS($AN$1006:BG1006),$AN$1006:$BO$1006,0)), HYPERLINK("#",""), HYPERLINK(CONCATENATE("#Metadata!", ADDRESS(INDEX($AI$2:$AI$1001,MATCH(ROWS($AG$2:AG70),$AG$2:$AG$1001,0),0), INDEX($AN$1004:$BO$1004,1,MATCH(COLUMNS($AN$1006:BG1006),$AN$1006:$BO$1006,0)))),"Fix")))</f>
        <v>0</v>
      </c>
      <c r="V70" s="4">
        <f>IF(OR(INDEX($AH$2:$AH$1001,MATCH(ROWS($AG$2:AG70),$AG$2:$AG$1001,0),1)&gt;=100000,INDEX($AN$1005:$BO$1005,1,MATCH(COLUMNS($AN$1006:BH1006),$AN$1006:$BO$1006,0))&gt;=100000), " ",IF(INDEX($AN$2:$BO$1001,MATCH(ROWS($AG$2:AG70),$AG$2:$AG$1001,0),MATCH(COLUMNS($AN$1006:BH1006),$AN$1006:$BO$1006,0)), HYPERLINK("#",""), HYPERLINK(CONCATENATE("#Metadata!", ADDRESS(INDEX($AI$2:$AI$1001,MATCH(ROWS($AG$2:AG70),$AG$2:$AG$1001,0),0), INDEX($AN$1004:$BO$1004,1,MATCH(COLUMNS($AN$1006:BH1006),$AN$1006:$BO$1006,0)))),"Fix")))</f>
        <v>0</v>
      </c>
      <c r="W70" s="4">
        <f>IF(OR(INDEX($AH$2:$AH$1001,MATCH(ROWS($AG$2:AG70),$AG$2:$AG$1001,0),1)&gt;=100000,INDEX($AN$1005:$BO$1005,1,MATCH(COLUMNS($AN$1006:BI1006),$AN$1006:$BO$1006,0))&gt;=100000), " ",IF(INDEX($AN$2:$BO$1001,MATCH(ROWS($AG$2:AG70),$AG$2:$AG$1001,0),MATCH(COLUMNS($AN$1006:BI1006),$AN$1006:$BO$1006,0)), HYPERLINK("#",""), HYPERLINK(CONCATENATE("#Metadata!", ADDRESS(INDEX($AI$2:$AI$1001,MATCH(ROWS($AG$2:AG70),$AG$2:$AG$1001,0),0), INDEX($AN$1004:$BO$1004,1,MATCH(COLUMNS($AN$1006:BI1006),$AN$1006:$BO$1006,0)))),"Fix")))</f>
        <v>0</v>
      </c>
      <c r="X70" s="4">
        <f>IF(OR(INDEX($AH$2:$AH$1001,MATCH(ROWS($AG$2:AG70),$AG$2:$AG$1001,0),1)&gt;=100000,INDEX($AN$1005:$BO$1005,1,MATCH(COLUMNS($AN$1006:BJ1006),$AN$1006:$BO$1006,0))&gt;=100000), " ",IF(INDEX($AN$2:$BO$1001,MATCH(ROWS($AG$2:AG70),$AG$2:$AG$1001,0),MATCH(COLUMNS($AN$1006:BJ1006),$AN$1006:$BO$1006,0)), HYPERLINK("#",""), HYPERLINK(CONCATENATE("#Metadata!", ADDRESS(INDEX($AI$2:$AI$1001,MATCH(ROWS($AG$2:AG70),$AG$2:$AG$1001,0),0), INDEX($AN$1004:$BO$1004,1,MATCH(COLUMNS($AN$1006:BJ1006),$AN$1006:$BO$1006,0)))),"Fix")))</f>
        <v>0</v>
      </c>
      <c r="Y70" s="4">
        <f>IF(OR(INDEX($AH$2:$AH$1001,MATCH(ROWS($AG$2:AG70),$AG$2:$AG$1001,0),1)&gt;=100000,INDEX($AN$1005:$BO$1005,1,MATCH(COLUMNS($AN$1006:BK1006),$AN$1006:$BO$1006,0))&gt;=100000), " ",IF(INDEX($AN$2:$BO$1001,MATCH(ROWS($AG$2:AG70),$AG$2:$AG$1001,0),MATCH(COLUMNS($AN$1006:BK1006),$AN$1006:$BO$1006,0)), HYPERLINK("#",""), HYPERLINK(CONCATENATE("#Metadata!", ADDRESS(INDEX($AI$2:$AI$1001,MATCH(ROWS($AG$2:AG70),$AG$2:$AG$1001,0),0), INDEX($AN$1004:$BO$1004,1,MATCH(COLUMNS($AN$1006:BK1006),$AN$1006:$BO$1006,0)))),"Fix")))</f>
        <v>0</v>
      </c>
      <c r="Z70" s="4">
        <f>IF(OR(INDEX($AH$2:$AH$1001,MATCH(ROWS($AG$2:AG70),$AG$2:$AG$1001,0),1)&gt;=100000,INDEX($AN$1005:$BO$1005,1,MATCH(COLUMNS($AN$1006:BL1006),$AN$1006:$BO$1006,0))&gt;=100000), " ",IF(INDEX($AN$2:$BO$1001,MATCH(ROWS($AG$2:AG70),$AG$2:$AG$1001,0),MATCH(COLUMNS($AN$1006:BL1006),$AN$1006:$BO$1006,0)), HYPERLINK("#",""), HYPERLINK(CONCATENATE("#Metadata!", ADDRESS(INDEX($AI$2:$AI$1001,MATCH(ROWS($AG$2:AG70),$AG$2:$AG$1001,0),0), INDEX($AN$1004:$BO$1004,1,MATCH(COLUMNS($AN$1006:BL1006),$AN$1006:$BO$1006,0)))),"Fix")))</f>
        <v>0</v>
      </c>
      <c r="AA70" s="4">
        <f>IF(OR(INDEX($AH$2:$AH$1001,MATCH(ROWS($AG$2:AG70),$AG$2:$AG$1001,0),1)&gt;=100000,INDEX($AN$1005:$BO$1005,1,MATCH(COLUMNS($AN$1006:BM1006),$AN$1006:$BO$1006,0))&gt;=100000), " ",IF(INDEX($AN$2:$BO$1001,MATCH(ROWS($AG$2:AG70),$AG$2:$AG$1001,0),MATCH(COLUMNS($AN$1006:BM1006),$AN$1006:$BO$1006,0)), HYPERLINK("#",""), HYPERLINK(CONCATENATE("#Metadata!", ADDRESS(INDEX($AI$2:$AI$1001,MATCH(ROWS($AG$2:AG70),$AG$2:$AG$1001,0),0), INDEX($AN$1004:$BO$1004,1,MATCH(COLUMNS($AN$1006:BM1006),$AN$1006:$BO$1006,0)))),"Fix")))</f>
        <v>0</v>
      </c>
      <c r="AB70" s="4">
        <f>IF(OR(INDEX($AH$2:$AH$1001,MATCH(ROWS($AG$2:AG70),$AG$2:$AG$1001,0),1)&gt;=100000,INDEX($AN$1005:$BO$1005,1,MATCH(COLUMNS($AN$1006:BN1006),$AN$1006:$BO$1006,0))&gt;=100000), " ",IF(INDEX($AN$2:$BO$1001,MATCH(ROWS($AG$2:AG70),$AG$2:$AG$1001,0),MATCH(COLUMNS($AN$1006:BN1006),$AN$1006:$BO$1006,0)), HYPERLINK("#",""), HYPERLINK(CONCATENATE("#Metadata!", ADDRESS(INDEX($AI$2:$AI$1001,MATCH(ROWS($AG$2:AG70),$AG$2:$AG$1001,0),0), INDEX($AN$1004:$BO$1004,1,MATCH(COLUMNS($AN$1006:BN1006),$AN$1006:$BO$1006,0)))),"Fix")))</f>
        <v>0</v>
      </c>
      <c r="AC70" s="4">
        <f>IF(OR(INDEX($AH$2:$AH$1001,MATCH(ROWS($AG$2:AG70),$AG$2:$AG$1001,0),1)&gt;=100000,INDEX($AN$1005:$BO$1005,1,MATCH(COLUMNS($AN$1006:BO1006),$AN$1006:$BO$1006,0))&gt;=100000), " ",IF(INDEX($AN$2:$BO$1001,MATCH(ROWS($AG$2:AG70),$AG$2:$AG$1001,0),MATCH(COLUMNS($AN$1006:BO1006),$AN$1006:$BO$1006,0)), HYPERLINK("#",""), HYPERLINK(CONCATENATE("#Metadata!", ADDRESS(INDEX($AI$2:$AI$1001,MATCH(ROWS($AG$2:AG70),$AG$2:$AG$1001,0),0), INDEX($AN$1004:$BO$1004,1,MATCH(COLUMNS($AN$1006:BO1006),$AN$1006:$BO$1006,0)))),"Fix")))</f>
        <v>0</v>
      </c>
      <c r="AG70">
        <v>0</v>
      </c>
      <c r="AH70">
        <v>0</v>
      </c>
      <c r="AI70">
        <v>0</v>
      </c>
      <c r="AJ70">
        <f>IF(AK70,TRUE,AND(AN70:BO70))</f>
        <v>0</v>
      </c>
      <c r="AK70">
        <f>COUNTBLANK(Metadata!B70:AC70)=COLUMNS(Metadata!B70:AC70)</f>
        <v>0</v>
      </c>
      <c r="AL70">
        <v>0</v>
      </c>
      <c r="AN70">
        <f>AND(IF(Metadata!B70="",FALSE,TRUE),COUNTIF(Metadata!B:B, Metadata!B70) = 1,NOT(ISERROR(SUMPRODUCT(SEARCH(MID(Metadata!B70,ROW(INDIRECT("1:"&amp;LEN(Metadata!B70))), 1),"0123456789abcdefghijklmnopqrstuvwxyzABCDEFGHIJKLMNOPQRSTUVWXYZ.")))))</f>
        <v>0</v>
      </c>
      <c r="AO70">
        <f>IF(Metadata!C70="",FALSE,TRUE)</f>
        <v>0</v>
      </c>
      <c r="AP70">
        <f>IF(Metadata!D70="",FALSE,TRUE)</f>
        <v>0</v>
      </c>
      <c r="AQ70">
        <f>OR(AND(IF(Metadata!E70="",FALSE,TRUE),OR(exact(Metadata!E70,"not collected"),exact(Metadata!E70,"not provided"),exact(Metadata!E70,"restricted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R70">
        <f>IF(Metadata!F70="",FALSE,TRUE)</f>
        <v>0</v>
      </c>
      <c r="AS70">
        <f>OR(AND(IF(Metadata!G70="",FALSE,TRUE),OR(exact(Metadata!G70,"not collected"),exact(Metadata!G70,"not provided"))),AND(IF(Metadata!G70="",FALSE,TRUE),OR(exact(Metadata!G70,"TRUE"),exact(Metadata!G70,"FALSE"))))</f>
        <v>0</v>
      </c>
      <c r="AT70">
        <f>OR(AND(IF(Metadata!H70="",FALSE,TRUE),OR(exact(Metadata!H70,"not collected"),exact(Metadata!H70,"not provided"),exact(Metadata!H70,"restricted access"))),AND(IF(Metadata!H70="",FALSE,ISNUMBER(VALUE(Metadata!H70))),Metadata!H70&gt;=-413.0))</f>
        <v>0</v>
      </c>
      <c r="AU70">
        <f>AND(IF(Metadata!I70="",FALSE,TRUE),exact(Metadata!I70,"meters"))</f>
        <v>0</v>
      </c>
      <c r="AV70">
        <f>AND(IF(Metadata!J70="",FALSE,TRUE),OR(exact(Metadata!J70,"Host-associated"),exact(Metadata!J70,"Free-living")))</f>
        <v>0</v>
      </c>
      <c r="AW70">
        <f>AND(IF(Metadata!K70="",FALSE,TRUE),OR(exact(Metadata!K70,"Animal"),exact(Metadata!K70,"Fungus"),exact(Metadata!K70,"Plant"),exact(Metadata!K70,"Saline"),exact(Metadata!K70,"Non-saline")))</f>
        <v>0</v>
      </c>
      <c r="AX70">
        <f>AND(IF(Metadata!L70="",FALSE,TRUE),OR(exact(Metadata!L70,"Plant secretion"),exact(Metadata!L70,"Plant rhizosphere"),exact(Metadata!L70,"Plant surface"),exact(Metadata!L70,"Plant corpus"),exact(Metadata!L70,"Fungus surface"),exact(Metadata!L70,"Fungus corpus"),exact(Metadata!L70,"Animal surface"),exact(Metadata!L70,"Animal proximal gut"),exact(Metadata!L70,"Animal corpus"),exact(Metadata!L70,"Animal distal gut"),exact(Metadata!L70,"Animal secretion"),exact(Metadata!L70,"Sub-surface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Y70">
        <f>IF(Metadata!M70="",FALSE,TRUE)</f>
        <v>0</v>
      </c>
      <c r="AZ70">
        <f>IF(Metadata!N70="",FALSE,TRUE)</f>
        <v>0</v>
      </c>
      <c r="BA70">
        <f>IF(Metadata!O70="",FALSE,TRUE)</f>
        <v>0</v>
      </c>
      <c r="BB70">
        <f>OR(AND(IF(Metadata!P70="",FALSE,TRUE),OR(exact(Metadata!P70,"not collected"),exact(Metadata!P70,"not provided"),exact(Metadata!P70,"restricted access"))),AND(IF(Metadata!P70="",FALSE,TRUE),OR(exact(Metadata!P70,"air"),exact(Metadata!P70,"built environment"),exact(Metadata!P70,"host-associated"),exact(Metadata!P70,"human-associated"),exact(Metadata!P70,"human-skin"),exact(Metadata!P70,"human-oral"),exact(Metadata!P70,"human-gut"),exact(Metadata!P70,"human-vaginal"),exact(Metadata!P70,"microbial mat/biofilm"),exact(Metadata!P70,"misc environment"),exact(Metadata!P70,"plant-associated"),exact(Metadata!P70,"sediment"),exact(Metadata!P70,"soil"),exact(Metadata!P70,"wastewater/sludge"),exact(Metadata!P70,"water"))))</f>
        <v>0</v>
      </c>
      <c r="BC70">
        <f>IF(Metadata!Q70="",FALSE,TRUE)</f>
        <v>0</v>
      </c>
      <c r="BD70">
        <f>IF(Metadata!R70="",FALSE,TRUE)</f>
        <v>0</v>
      </c>
      <c r="BE70">
        <f>OR(AND(IF(Metadata!S70="",FALSE,TRUE),OR(exact(Metadata!S70,"not collected"),exact(Metadata!S70,"not provided"),exact(Metadata!S70,"restricted access"))),AND(IF(Metadata!S70="",FALSE,ISNUMBER(VALUE(Metadata!S70))),Metadata!S70&gt;=-90.00,Metadata!S70&lt;=90.00))</f>
        <v>0</v>
      </c>
      <c r="BF70">
        <f>AND(IF(Metadata!T70="",FALSE,TRUE),exact(Metadata!T70,"Decimal degrees"))</f>
        <v>0</v>
      </c>
      <c r="BG70">
        <f>OR(AND(IF(Metadata!U70="",FALSE,TRUE),OR(exact(Metadata!U70,"not collected"),exact(Metadata!U70,"not provided"),exact(Metadata!U70,"restricted access"))),AND(IF(Metadata!U70="",FALSE,ISNUMBER(VALUE(Metadata!U70))),Metadata!U70&gt;=-180.00,Metadata!U70&lt;=180.00))</f>
        <v>0</v>
      </c>
      <c r="BH70">
        <f>AND(IF(Metadata!V70="",FALSE,TRUE),exact(Metadata!V70,"Decimal degrees"))</f>
        <v>0</v>
      </c>
      <c r="BI70">
        <f>IF(Metadata!W70="",FALSE,TRUE)</f>
        <v>0</v>
      </c>
      <c r="BJ70">
        <f>OR(AND(IF(Metadata!X70="",FALSE,TRUE),OR(exact(Metadata!X70,"not collected"),exact(Metadata!X70,"not provided"),exact(Metadata!X70,"restricted access"))),AND(IF(Metadata!X70="",FALSE,TRUE),OR(exact(Metadata!X70,"TRUE"),exact(Metadata!X70,"FALSE"))))</f>
        <v>0</v>
      </c>
      <c r="BK70">
        <f>AND(IF(Metadata!Y70="",FALSE,TRUE),exact(Metadata!Y70,"other"))</f>
        <v>0</v>
      </c>
      <c r="BL70">
        <f>IF(Metadata!Z70="",FALSE,TRUE)</f>
        <v>0</v>
      </c>
      <c r="BM70">
        <f>OR(AND(IF(Metadata!AA70="",FALSE,TRUE),OR(exact(Metadata!AA70,"not collected"),exact(Metadata!AA70,"not provided"))),AND(IF(Metadata!AA70="",FALSE,IF(ISERROR(INT(Metadata!AA70)),FALSE,INT(Metadata!AA70)=Metadata!AA70)),Metadata!AA70&gt;0))</f>
        <v>0</v>
      </c>
      <c r="BN70">
        <f>AND(IF(Metadata!AB70="",FALSE,TRUE),exact(Metadata!AB70,"Not applicable"))</f>
        <v>0</v>
      </c>
      <c r="BO70">
        <f>IF(Metadata!AC70="",FALSE,TRUE)</f>
        <v>0</v>
      </c>
    </row>
    <row r="71" spans="1:67">
      <c r="A71" s="5">
        <f>IF(B71=" "," ",HYPERLINK(CONCATENATE("#metadata!",ADDRESS(INDEX($AI$2:$AI$1001,MATCH(ROWS($AG$2:AG71),$AG$2:$AG$1001,0),0),1)),INDEX($AL$2:$AL$1001,MATCH(ROWS($AG$2:AG71),$AG$2:$AG$1001,0),0)))</f>
        <v>0</v>
      </c>
      <c r="B71" s="4">
        <f>IF(OR(INDEX($AH$2:$AH$1001,MATCH(ROWS($AG$2:AG71),$AG$2:$AG$1001,0),1)&gt;=100000,INDEX($AN$1005:$BO$1005,1,MATCH(COLUMNS($AN$1006:AN1006),$AN$1006:$BO$1006,0))&gt;=100000), " ",IF(INDEX($AN$2:$BO$1001,MATCH(ROWS($AG$2:AG71),$AG$2:$AG$1001,0),MATCH(COLUMNS($AN$1006:AN1006),$AN$1006:$BO$1006,0)), HYPERLINK("#",""), HYPERLINK(CONCATENATE("#Metadata!", ADDRESS(INDEX($AI$2:$AI$1001,MATCH(ROWS($AG$2:AG71),$AG$2:$AG$1001,0),0), INDEX($AN$1004:$BO$1004,1,MATCH(COLUMNS($AN$1006:AN1006),$AN$1006:$BO$1006,0)))),"Fix")))</f>
        <v>0</v>
      </c>
      <c r="C71" s="4">
        <f>IF(OR(INDEX($AH$2:$AH$1001,MATCH(ROWS($AG$2:AG71),$AG$2:$AG$1001,0),1)&gt;=100000,INDEX($AN$1005:$BO$1005,1,MATCH(COLUMNS($AN$1006:AO1006),$AN$1006:$BO$1006,0))&gt;=100000), " ",IF(INDEX($AN$2:$BO$1001,MATCH(ROWS($AG$2:AG71),$AG$2:$AG$1001,0),MATCH(COLUMNS($AN$1006:AO1006),$AN$1006:$BO$1006,0)), HYPERLINK("#",""), HYPERLINK(CONCATENATE("#Metadata!", ADDRESS(INDEX($AI$2:$AI$1001,MATCH(ROWS($AG$2:AG71),$AG$2:$AG$1001,0),0), INDEX($AN$1004:$BO$1004,1,MATCH(COLUMNS($AN$1006:AO1006),$AN$1006:$BO$1006,0)))),"Fix")))</f>
        <v>0</v>
      </c>
      <c r="D71" s="4">
        <f>IF(OR(INDEX($AH$2:$AH$1001,MATCH(ROWS($AG$2:AG71),$AG$2:$AG$1001,0),1)&gt;=100000,INDEX($AN$1005:$BO$1005,1,MATCH(COLUMNS($AN$1006:AP1006),$AN$1006:$BO$1006,0))&gt;=100000), " ",IF(INDEX($AN$2:$BO$1001,MATCH(ROWS($AG$2:AG71),$AG$2:$AG$1001,0),MATCH(COLUMNS($AN$1006:AP1006),$AN$1006:$BO$1006,0)), HYPERLINK("#",""), HYPERLINK(CONCATENATE("#Metadata!", ADDRESS(INDEX($AI$2:$AI$1001,MATCH(ROWS($AG$2:AG71),$AG$2:$AG$1001,0),0), INDEX($AN$1004:$BO$1004,1,MATCH(COLUMNS($AN$1006:AP1006),$AN$1006:$BO$1006,0)))),"Fix")))</f>
        <v>0</v>
      </c>
      <c r="E71" s="4">
        <f>IF(OR(INDEX($AH$2:$AH$1001,MATCH(ROWS($AG$2:AG71),$AG$2:$AG$1001,0),1)&gt;=100000,INDEX($AN$1005:$BO$1005,1,MATCH(COLUMNS($AN$1006:AQ1006),$AN$1006:$BO$1006,0))&gt;=100000), " ",IF(INDEX($AN$2:$BO$1001,MATCH(ROWS($AG$2:AG71),$AG$2:$AG$1001,0),MATCH(COLUMNS($AN$1006:AQ1006),$AN$1006:$BO$1006,0)), HYPERLINK("#",""), HYPERLINK(CONCATENATE("#Metadata!", ADDRESS(INDEX($AI$2:$AI$1001,MATCH(ROWS($AG$2:AG71),$AG$2:$AG$1001,0),0), INDEX($AN$1004:$BO$1004,1,MATCH(COLUMNS($AN$1006:AQ1006),$AN$1006:$BO$1006,0)))),"Fix")))</f>
        <v>0</v>
      </c>
      <c r="F71" s="4">
        <f>IF(OR(INDEX($AH$2:$AH$1001,MATCH(ROWS($AG$2:AG71),$AG$2:$AG$1001,0),1)&gt;=100000,INDEX($AN$1005:$BO$1005,1,MATCH(COLUMNS($AN$1006:AR1006),$AN$1006:$BO$1006,0))&gt;=100000), " ",IF(INDEX($AN$2:$BO$1001,MATCH(ROWS($AG$2:AG71),$AG$2:$AG$1001,0),MATCH(COLUMNS($AN$1006:AR1006),$AN$1006:$BO$1006,0)), HYPERLINK("#",""), HYPERLINK(CONCATENATE("#Metadata!", ADDRESS(INDEX($AI$2:$AI$1001,MATCH(ROWS($AG$2:AG71),$AG$2:$AG$1001,0),0), INDEX($AN$1004:$BO$1004,1,MATCH(COLUMNS($AN$1006:AR1006),$AN$1006:$BO$1006,0)))),"Fix")))</f>
        <v>0</v>
      </c>
      <c r="G71" s="4">
        <f>IF(OR(INDEX($AH$2:$AH$1001,MATCH(ROWS($AG$2:AG71),$AG$2:$AG$1001,0),1)&gt;=100000,INDEX($AN$1005:$BO$1005,1,MATCH(COLUMNS($AN$1006:AS1006),$AN$1006:$BO$1006,0))&gt;=100000), " ",IF(INDEX($AN$2:$BO$1001,MATCH(ROWS($AG$2:AG71),$AG$2:$AG$1001,0),MATCH(COLUMNS($AN$1006:AS1006),$AN$1006:$BO$1006,0)), HYPERLINK("#",""), HYPERLINK(CONCATENATE("#Metadata!", ADDRESS(INDEX($AI$2:$AI$1001,MATCH(ROWS($AG$2:AG71),$AG$2:$AG$1001,0),0), INDEX($AN$1004:$BO$1004,1,MATCH(COLUMNS($AN$1006:AS1006),$AN$1006:$BO$1006,0)))),"Fix")))</f>
        <v>0</v>
      </c>
      <c r="H71" s="4">
        <f>IF(OR(INDEX($AH$2:$AH$1001,MATCH(ROWS($AG$2:AG71),$AG$2:$AG$1001,0),1)&gt;=100000,INDEX($AN$1005:$BO$1005,1,MATCH(COLUMNS($AN$1006:AT1006),$AN$1006:$BO$1006,0))&gt;=100000), " ",IF(INDEX($AN$2:$BO$1001,MATCH(ROWS($AG$2:AG71),$AG$2:$AG$1001,0),MATCH(COLUMNS($AN$1006:AT1006),$AN$1006:$BO$1006,0)), HYPERLINK("#",""), HYPERLINK(CONCATENATE("#Metadata!", ADDRESS(INDEX($AI$2:$AI$1001,MATCH(ROWS($AG$2:AG71),$AG$2:$AG$1001,0),0), INDEX($AN$1004:$BO$1004,1,MATCH(COLUMNS($AN$1006:AT1006),$AN$1006:$BO$1006,0)))),"Fix")))</f>
        <v>0</v>
      </c>
      <c r="I71" s="4">
        <f>IF(OR(INDEX($AH$2:$AH$1001,MATCH(ROWS($AG$2:AG71),$AG$2:$AG$1001,0),1)&gt;=100000,INDEX($AN$1005:$BO$1005,1,MATCH(COLUMNS($AN$1006:AU1006),$AN$1006:$BO$1006,0))&gt;=100000), " ",IF(INDEX($AN$2:$BO$1001,MATCH(ROWS($AG$2:AG71),$AG$2:$AG$1001,0),MATCH(COLUMNS($AN$1006:AU1006),$AN$1006:$BO$1006,0)), HYPERLINK("#",""), HYPERLINK(CONCATENATE("#Metadata!", ADDRESS(INDEX($AI$2:$AI$1001,MATCH(ROWS($AG$2:AG71),$AG$2:$AG$1001,0),0), INDEX($AN$1004:$BO$1004,1,MATCH(COLUMNS($AN$1006:AU1006),$AN$1006:$BO$1006,0)))),"Fix")))</f>
        <v>0</v>
      </c>
      <c r="J71" s="4">
        <f>IF(OR(INDEX($AH$2:$AH$1001,MATCH(ROWS($AG$2:AG71),$AG$2:$AG$1001,0),1)&gt;=100000,INDEX($AN$1005:$BO$1005,1,MATCH(COLUMNS($AN$1006:AV1006),$AN$1006:$BO$1006,0))&gt;=100000), " ",IF(INDEX($AN$2:$BO$1001,MATCH(ROWS($AG$2:AG71),$AG$2:$AG$1001,0),MATCH(COLUMNS($AN$1006:AV1006),$AN$1006:$BO$1006,0)), HYPERLINK("#",""), HYPERLINK(CONCATENATE("#Metadata!", ADDRESS(INDEX($AI$2:$AI$1001,MATCH(ROWS($AG$2:AG71),$AG$2:$AG$1001,0),0), INDEX($AN$1004:$BO$1004,1,MATCH(COLUMNS($AN$1006:AV1006),$AN$1006:$BO$1006,0)))),"Fix")))</f>
        <v>0</v>
      </c>
      <c r="K71" s="4">
        <f>IF(OR(INDEX($AH$2:$AH$1001,MATCH(ROWS($AG$2:AG71),$AG$2:$AG$1001,0),1)&gt;=100000,INDEX($AN$1005:$BO$1005,1,MATCH(COLUMNS($AN$1006:AW1006),$AN$1006:$BO$1006,0))&gt;=100000), " ",IF(INDEX($AN$2:$BO$1001,MATCH(ROWS($AG$2:AG71),$AG$2:$AG$1001,0),MATCH(COLUMNS($AN$1006:AW1006),$AN$1006:$BO$1006,0)), HYPERLINK("#",""), HYPERLINK(CONCATENATE("#Metadata!", ADDRESS(INDEX($AI$2:$AI$1001,MATCH(ROWS($AG$2:AG71),$AG$2:$AG$1001,0),0), INDEX($AN$1004:$BO$1004,1,MATCH(COLUMNS($AN$1006:AW1006),$AN$1006:$BO$1006,0)))),"Fix")))</f>
        <v>0</v>
      </c>
      <c r="L71" s="4">
        <f>IF(OR(INDEX($AH$2:$AH$1001,MATCH(ROWS($AG$2:AG71),$AG$2:$AG$1001,0),1)&gt;=100000,INDEX($AN$1005:$BO$1005,1,MATCH(COLUMNS($AN$1006:AX1006),$AN$1006:$BO$1006,0))&gt;=100000), " ",IF(INDEX($AN$2:$BO$1001,MATCH(ROWS($AG$2:AG71),$AG$2:$AG$1001,0),MATCH(COLUMNS($AN$1006:AX1006),$AN$1006:$BO$1006,0)), HYPERLINK("#",""), HYPERLINK(CONCATENATE("#Metadata!", ADDRESS(INDEX($AI$2:$AI$1001,MATCH(ROWS($AG$2:AG71),$AG$2:$AG$1001,0),0), INDEX($AN$1004:$BO$1004,1,MATCH(COLUMNS($AN$1006:AX1006),$AN$1006:$BO$1006,0)))),"Fix")))</f>
        <v>0</v>
      </c>
      <c r="M71" s="4">
        <f>IF(OR(INDEX($AH$2:$AH$1001,MATCH(ROWS($AG$2:AG71),$AG$2:$AG$1001,0),1)&gt;=100000,INDEX($AN$1005:$BO$1005,1,MATCH(COLUMNS($AN$1006:AY1006),$AN$1006:$BO$1006,0))&gt;=100000), " ",IF(INDEX($AN$2:$BO$1001,MATCH(ROWS($AG$2:AG71),$AG$2:$AG$1001,0),MATCH(COLUMNS($AN$1006:AY1006),$AN$1006:$BO$1006,0)), HYPERLINK("#",""), HYPERLINK(CONCATENATE("#Metadata!", ADDRESS(INDEX($AI$2:$AI$1001,MATCH(ROWS($AG$2:AG71),$AG$2:$AG$1001,0),0), INDEX($AN$1004:$BO$1004,1,MATCH(COLUMNS($AN$1006:AY1006),$AN$1006:$BO$1006,0)))),"Fix")))</f>
        <v>0</v>
      </c>
      <c r="N71" s="4">
        <f>IF(OR(INDEX($AH$2:$AH$1001,MATCH(ROWS($AG$2:AG71),$AG$2:$AG$1001,0),1)&gt;=100000,INDEX($AN$1005:$BO$1005,1,MATCH(COLUMNS($AN$1006:AZ1006),$AN$1006:$BO$1006,0))&gt;=100000), " ",IF(INDEX($AN$2:$BO$1001,MATCH(ROWS($AG$2:AG71),$AG$2:$AG$1001,0),MATCH(COLUMNS($AN$1006:AZ1006),$AN$1006:$BO$1006,0)), HYPERLINK("#",""), HYPERLINK(CONCATENATE("#Metadata!", ADDRESS(INDEX($AI$2:$AI$1001,MATCH(ROWS($AG$2:AG71),$AG$2:$AG$1001,0),0), INDEX($AN$1004:$BO$1004,1,MATCH(COLUMNS($AN$1006:AZ1006),$AN$1006:$BO$1006,0)))),"Fix")))</f>
        <v>0</v>
      </c>
      <c r="O71" s="4">
        <f>IF(OR(INDEX($AH$2:$AH$1001,MATCH(ROWS($AG$2:AG71),$AG$2:$AG$1001,0),1)&gt;=100000,INDEX($AN$1005:$BO$1005,1,MATCH(COLUMNS($AN$1006:BA1006),$AN$1006:$BO$1006,0))&gt;=100000), " ",IF(INDEX($AN$2:$BO$1001,MATCH(ROWS($AG$2:AG71),$AG$2:$AG$1001,0),MATCH(COLUMNS($AN$1006:BA1006),$AN$1006:$BO$1006,0)), HYPERLINK("#",""), HYPERLINK(CONCATENATE("#Metadata!", ADDRESS(INDEX($AI$2:$AI$1001,MATCH(ROWS($AG$2:AG71),$AG$2:$AG$1001,0),0), INDEX($AN$1004:$BO$1004,1,MATCH(COLUMNS($AN$1006:BA1006),$AN$1006:$BO$1006,0)))),"Fix")))</f>
        <v>0</v>
      </c>
      <c r="P71" s="4">
        <f>IF(OR(INDEX($AH$2:$AH$1001,MATCH(ROWS($AG$2:AG71),$AG$2:$AG$1001,0),1)&gt;=100000,INDEX($AN$1005:$BO$1005,1,MATCH(COLUMNS($AN$1006:BB1006),$AN$1006:$BO$1006,0))&gt;=100000), " ",IF(INDEX($AN$2:$BO$1001,MATCH(ROWS($AG$2:AG71),$AG$2:$AG$1001,0),MATCH(COLUMNS($AN$1006:BB1006),$AN$1006:$BO$1006,0)), HYPERLINK("#",""), HYPERLINK(CONCATENATE("#Metadata!", ADDRESS(INDEX($AI$2:$AI$1001,MATCH(ROWS($AG$2:AG71),$AG$2:$AG$1001,0),0), INDEX($AN$1004:$BO$1004,1,MATCH(COLUMNS($AN$1006:BB1006),$AN$1006:$BO$1006,0)))),"Fix")))</f>
        <v>0</v>
      </c>
      <c r="Q71" s="4">
        <f>IF(OR(INDEX($AH$2:$AH$1001,MATCH(ROWS($AG$2:AG71),$AG$2:$AG$1001,0),1)&gt;=100000,INDEX($AN$1005:$BO$1005,1,MATCH(COLUMNS($AN$1006:BC1006),$AN$1006:$BO$1006,0))&gt;=100000), " ",IF(INDEX($AN$2:$BO$1001,MATCH(ROWS($AG$2:AG71),$AG$2:$AG$1001,0),MATCH(COLUMNS($AN$1006:BC1006),$AN$1006:$BO$1006,0)), HYPERLINK("#",""), HYPERLINK(CONCATENATE("#Metadata!", ADDRESS(INDEX($AI$2:$AI$1001,MATCH(ROWS($AG$2:AG71),$AG$2:$AG$1001,0),0), INDEX($AN$1004:$BO$1004,1,MATCH(COLUMNS($AN$1006:BC1006),$AN$1006:$BO$1006,0)))),"Fix")))</f>
        <v>0</v>
      </c>
      <c r="R71" s="4">
        <f>IF(OR(INDEX($AH$2:$AH$1001,MATCH(ROWS($AG$2:AG71),$AG$2:$AG$1001,0),1)&gt;=100000,INDEX($AN$1005:$BO$1005,1,MATCH(COLUMNS($AN$1006:BD1006),$AN$1006:$BO$1006,0))&gt;=100000), " ",IF(INDEX($AN$2:$BO$1001,MATCH(ROWS($AG$2:AG71),$AG$2:$AG$1001,0),MATCH(COLUMNS($AN$1006:BD1006),$AN$1006:$BO$1006,0)), HYPERLINK("#",""), HYPERLINK(CONCATENATE("#Metadata!", ADDRESS(INDEX($AI$2:$AI$1001,MATCH(ROWS($AG$2:AG71),$AG$2:$AG$1001,0),0), INDEX($AN$1004:$BO$1004,1,MATCH(COLUMNS($AN$1006:BD1006),$AN$1006:$BO$1006,0)))),"Fix")))</f>
        <v>0</v>
      </c>
      <c r="S71" s="4">
        <f>IF(OR(INDEX($AH$2:$AH$1001,MATCH(ROWS($AG$2:AG71),$AG$2:$AG$1001,0),1)&gt;=100000,INDEX($AN$1005:$BO$1005,1,MATCH(COLUMNS($AN$1006:BE1006),$AN$1006:$BO$1006,0))&gt;=100000), " ",IF(INDEX($AN$2:$BO$1001,MATCH(ROWS($AG$2:AG71),$AG$2:$AG$1001,0),MATCH(COLUMNS($AN$1006:BE1006),$AN$1006:$BO$1006,0)), HYPERLINK("#",""), HYPERLINK(CONCATENATE("#Metadata!", ADDRESS(INDEX($AI$2:$AI$1001,MATCH(ROWS($AG$2:AG71),$AG$2:$AG$1001,0),0), INDEX($AN$1004:$BO$1004,1,MATCH(COLUMNS($AN$1006:BE1006),$AN$1006:$BO$1006,0)))),"Fix")))</f>
        <v>0</v>
      </c>
      <c r="T71" s="4">
        <f>IF(OR(INDEX($AH$2:$AH$1001,MATCH(ROWS($AG$2:AG71),$AG$2:$AG$1001,0),1)&gt;=100000,INDEX($AN$1005:$BO$1005,1,MATCH(COLUMNS($AN$1006:BF1006),$AN$1006:$BO$1006,0))&gt;=100000), " ",IF(INDEX($AN$2:$BO$1001,MATCH(ROWS($AG$2:AG71),$AG$2:$AG$1001,0),MATCH(COLUMNS($AN$1006:BF1006),$AN$1006:$BO$1006,0)), HYPERLINK("#",""), HYPERLINK(CONCATENATE("#Metadata!", ADDRESS(INDEX($AI$2:$AI$1001,MATCH(ROWS($AG$2:AG71),$AG$2:$AG$1001,0),0), INDEX($AN$1004:$BO$1004,1,MATCH(COLUMNS($AN$1006:BF1006),$AN$1006:$BO$1006,0)))),"Fix")))</f>
        <v>0</v>
      </c>
      <c r="U71" s="4">
        <f>IF(OR(INDEX($AH$2:$AH$1001,MATCH(ROWS($AG$2:AG71),$AG$2:$AG$1001,0),1)&gt;=100000,INDEX($AN$1005:$BO$1005,1,MATCH(COLUMNS($AN$1006:BG1006),$AN$1006:$BO$1006,0))&gt;=100000), " ",IF(INDEX($AN$2:$BO$1001,MATCH(ROWS($AG$2:AG71),$AG$2:$AG$1001,0),MATCH(COLUMNS($AN$1006:BG1006),$AN$1006:$BO$1006,0)), HYPERLINK("#",""), HYPERLINK(CONCATENATE("#Metadata!", ADDRESS(INDEX($AI$2:$AI$1001,MATCH(ROWS($AG$2:AG71),$AG$2:$AG$1001,0),0), INDEX($AN$1004:$BO$1004,1,MATCH(COLUMNS($AN$1006:BG1006),$AN$1006:$BO$1006,0)))),"Fix")))</f>
        <v>0</v>
      </c>
      <c r="V71" s="4">
        <f>IF(OR(INDEX($AH$2:$AH$1001,MATCH(ROWS($AG$2:AG71),$AG$2:$AG$1001,0),1)&gt;=100000,INDEX($AN$1005:$BO$1005,1,MATCH(COLUMNS($AN$1006:BH1006),$AN$1006:$BO$1006,0))&gt;=100000), " ",IF(INDEX($AN$2:$BO$1001,MATCH(ROWS($AG$2:AG71),$AG$2:$AG$1001,0),MATCH(COLUMNS($AN$1006:BH1006),$AN$1006:$BO$1006,0)), HYPERLINK("#",""), HYPERLINK(CONCATENATE("#Metadata!", ADDRESS(INDEX($AI$2:$AI$1001,MATCH(ROWS($AG$2:AG71),$AG$2:$AG$1001,0),0), INDEX($AN$1004:$BO$1004,1,MATCH(COLUMNS($AN$1006:BH1006),$AN$1006:$BO$1006,0)))),"Fix")))</f>
        <v>0</v>
      </c>
      <c r="W71" s="4">
        <f>IF(OR(INDEX($AH$2:$AH$1001,MATCH(ROWS($AG$2:AG71),$AG$2:$AG$1001,0),1)&gt;=100000,INDEX($AN$1005:$BO$1005,1,MATCH(COLUMNS($AN$1006:BI1006),$AN$1006:$BO$1006,0))&gt;=100000), " ",IF(INDEX($AN$2:$BO$1001,MATCH(ROWS($AG$2:AG71),$AG$2:$AG$1001,0),MATCH(COLUMNS($AN$1006:BI1006),$AN$1006:$BO$1006,0)), HYPERLINK("#",""), HYPERLINK(CONCATENATE("#Metadata!", ADDRESS(INDEX($AI$2:$AI$1001,MATCH(ROWS($AG$2:AG71),$AG$2:$AG$1001,0),0), INDEX($AN$1004:$BO$1004,1,MATCH(COLUMNS($AN$1006:BI1006),$AN$1006:$BO$1006,0)))),"Fix")))</f>
        <v>0</v>
      </c>
      <c r="X71" s="4">
        <f>IF(OR(INDEX($AH$2:$AH$1001,MATCH(ROWS($AG$2:AG71),$AG$2:$AG$1001,0),1)&gt;=100000,INDEX($AN$1005:$BO$1005,1,MATCH(COLUMNS($AN$1006:BJ1006),$AN$1006:$BO$1006,0))&gt;=100000), " ",IF(INDEX($AN$2:$BO$1001,MATCH(ROWS($AG$2:AG71),$AG$2:$AG$1001,0),MATCH(COLUMNS($AN$1006:BJ1006),$AN$1006:$BO$1006,0)), HYPERLINK("#",""), HYPERLINK(CONCATENATE("#Metadata!", ADDRESS(INDEX($AI$2:$AI$1001,MATCH(ROWS($AG$2:AG71),$AG$2:$AG$1001,0),0), INDEX($AN$1004:$BO$1004,1,MATCH(COLUMNS($AN$1006:BJ1006),$AN$1006:$BO$1006,0)))),"Fix")))</f>
        <v>0</v>
      </c>
      <c r="Y71" s="4">
        <f>IF(OR(INDEX($AH$2:$AH$1001,MATCH(ROWS($AG$2:AG71),$AG$2:$AG$1001,0),1)&gt;=100000,INDEX($AN$1005:$BO$1005,1,MATCH(COLUMNS($AN$1006:BK1006),$AN$1006:$BO$1006,0))&gt;=100000), " ",IF(INDEX($AN$2:$BO$1001,MATCH(ROWS($AG$2:AG71),$AG$2:$AG$1001,0),MATCH(COLUMNS($AN$1006:BK1006),$AN$1006:$BO$1006,0)), HYPERLINK("#",""), HYPERLINK(CONCATENATE("#Metadata!", ADDRESS(INDEX($AI$2:$AI$1001,MATCH(ROWS($AG$2:AG71),$AG$2:$AG$1001,0),0), INDEX($AN$1004:$BO$1004,1,MATCH(COLUMNS($AN$1006:BK1006),$AN$1006:$BO$1006,0)))),"Fix")))</f>
        <v>0</v>
      </c>
      <c r="Z71" s="4">
        <f>IF(OR(INDEX($AH$2:$AH$1001,MATCH(ROWS($AG$2:AG71),$AG$2:$AG$1001,0),1)&gt;=100000,INDEX($AN$1005:$BO$1005,1,MATCH(COLUMNS($AN$1006:BL1006),$AN$1006:$BO$1006,0))&gt;=100000), " ",IF(INDEX($AN$2:$BO$1001,MATCH(ROWS($AG$2:AG71),$AG$2:$AG$1001,0),MATCH(COLUMNS($AN$1006:BL1006),$AN$1006:$BO$1006,0)), HYPERLINK("#",""), HYPERLINK(CONCATENATE("#Metadata!", ADDRESS(INDEX($AI$2:$AI$1001,MATCH(ROWS($AG$2:AG71),$AG$2:$AG$1001,0),0), INDEX($AN$1004:$BO$1004,1,MATCH(COLUMNS($AN$1006:BL1006),$AN$1006:$BO$1006,0)))),"Fix")))</f>
        <v>0</v>
      </c>
      <c r="AA71" s="4">
        <f>IF(OR(INDEX($AH$2:$AH$1001,MATCH(ROWS($AG$2:AG71),$AG$2:$AG$1001,0),1)&gt;=100000,INDEX($AN$1005:$BO$1005,1,MATCH(COLUMNS($AN$1006:BM1006),$AN$1006:$BO$1006,0))&gt;=100000), " ",IF(INDEX($AN$2:$BO$1001,MATCH(ROWS($AG$2:AG71),$AG$2:$AG$1001,0),MATCH(COLUMNS($AN$1006:BM1006),$AN$1006:$BO$1006,0)), HYPERLINK("#",""), HYPERLINK(CONCATENATE("#Metadata!", ADDRESS(INDEX($AI$2:$AI$1001,MATCH(ROWS($AG$2:AG71),$AG$2:$AG$1001,0),0), INDEX($AN$1004:$BO$1004,1,MATCH(COLUMNS($AN$1006:BM1006),$AN$1006:$BO$1006,0)))),"Fix")))</f>
        <v>0</v>
      </c>
      <c r="AB71" s="4">
        <f>IF(OR(INDEX($AH$2:$AH$1001,MATCH(ROWS($AG$2:AG71),$AG$2:$AG$1001,0),1)&gt;=100000,INDEX($AN$1005:$BO$1005,1,MATCH(COLUMNS($AN$1006:BN1006),$AN$1006:$BO$1006,0))&gt;=100000), " ",IF(INDEX($AN$2:$BO$1001,MATCH(ROWS($AG$2:AG71),$AG$2:$AG$1001,0),MATCH(COLUMNS($AN$1006:BN1006),$AN$1006:$BO$1006,0)), HYPERLINK("#",""), HYPERLINK(CONCATENATE("#Metadata!", ADDRESS(INDEX($AI$2:$AI$1001,MATCH(ROWS($AG$2:AG71),$AG$2:$AG$1001,0),0), INDEX($AN$1004:$BO$1004,1,MATCH(COLUMNS($AN$1006:BN1006),$AN$1006:$BO$1006,0)))),"Fix")))</f>
        <v>0</v>
      </c>
      <c r="AC71" s="4">
        <f>IF(OR(INDEX($AH$2:$AH$1001,MATCH(ROWS($AG$2:AG71),$AG$2:$AG$1001,0),1)&gt;=100000,INDEX($AN$1005:$BO$1005,1,MATCH(COLUMNS($AN$1006:BO1006),$AN$1006:$BO$1006,0))&gt;=100000), " ",IF(INDEX($AN$2:$BO$1001,MATCH(ROWS($AG$2:AG71),$AG$2:$AG$1001,0),MATCH(COLUMNS($AN$1006:BO1006),$AN$1006:$BO$1006,0)), HYPERLINK("#",""), HYPERLINK(CONCATENATE("#Metadata!", ADDRESS(INDEX($AI$2:$AI$1001,MATCH(ROWS($AG$2:AG71),$AG$2:$AG$1001,0),0), INDEX($AN$1004:$BO$1004,1,MATCH(COLUMNS($AN$1006:BO1006),$AN$1006:$BO$1006,0)))),"Fix")))</f>
        <v>0</v>
      </c>
      <c r="AG71">
        <v>0</v>
      </c>
      <c r="AH71">
        <v>0</v>
      </c>
      <c r="AI71">
        <v>0</v>
      </c>
      <c r="AJ71">
        <f>IF(AK71,TRUE,AND(AN71:BO71))</f>
        <v>0</v>
      </c>
      <c r="AK71">
        <f>COUNTBLANK(Metadata!B71:AC71)=COLUMNS(Metadata!B71:AC71)</f>
        <v>0</v>
      </c>
      <c r="AL71">
        <v>0</v>
      </c>
      <c r="AN71">
        <f>AND(IF(Metadata!B71="",FALSE,TRUE),COUNTIF(Metadata!B:B, Metadata!B71) = 1,NOT(ISERROR(SUMPRODUCT(SEARCH(MID(Metadata!B71,ROW(INDIRECT("1:"&amp;LEN(Metadata!B71))), 1),"0123456789abcdefghijklmnopqrstuvwxyzABCDEFGHIJKLMNOPQRSTUVWXYZ.")))))</f>
        <v>0</v>
      </c>
      <c r="AO71">
        <f>IF(Metadata!C71="",FALSE,TRUE)</f>
        <v>0</v>
      </c>
      <c r="AP71">
        <f>IF(Metadata!D71="",FALSE,TRUE)</f>
        <v>0</v>
      </c>
      <c r="AQ71">
        <f>OR(AND(IF(Metadata!E71="",FALSE,TRUE),OR(exact(Metadata!E71,"not collected"),exact(Metadata!E71,"not provided"),exact(Metadata!E71,"restricted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R71">
        <f>IF(Metadata!F71="",FALSE,TRUE)</f>
        <v>0</v>
      </c>
      <c r="AS71">
        <f>OR(AND(IF(Metadata!G71="",FALSE,TRUE),OR(exact(Metadata!G71,"not collected"),exact(Metadata!G71,"not provided"))),AND(IF(Metadata!G71="",FALSE,TRUE),OR(exact(Metadata!G71,"TRUE"),exact(Metadata!G71,"FALSE"))))</f>
        <v>0</v>
      </c>
      <c r="AT71">
        <f>OR(AND(IF(Metadata!H71="",FALSE,TRUE),OR(exact(Metadata!H71,"not collected"),exact(Metadata!H71,"not provided"),exact(Metadata!H71,"restricted access"))),AND(IF(Metadata!H71="",FALSE,ISNUMBER(VALUE(Metadata!H71))),Metadata!H71&gt;=-413.0))</f>
        <v>0</v>
      </c>
      <c r="AU71">
        <f>AND(IF(Metadata!I71="",FALSE,TRUE),exact(Metadata!I71,"meters"))</f>
        <v>0</v>
      </c>
      <c r="AV71">
        <f>AND(IF(Metadata!J71="",FALSE,TRUE),OR(exact(Metadata!J71,"Host-associated"),exact(Metadata!J71,"Free-living")))</f>
        <v>0</v>
      </c>
      <c r="AW71">
        <f>AND(IF(Metadata!K71="",FALSE,TRUE),OR(exact(Metadata!K71,"Animal"),exact(Metadata!K71,"Fungus"),exact(Metadata!K71,"Plant"),exact(Metadata!K71,"Saline"),exact(Metadata!K71,"Non-saline")))</f>
        <v>0</v>
      </c>
      <c r="AX71">
        <f>AND(IF(Metadata!L71="",FALSE,TRUE),OR(exact(Metadata!L71,"Plant secretion"),exact(Metadata!L71,"Plant rhizosphere"),exact(Metadata!L71,"Plant surface"),exact(Metadata!L71,"Plant corpus"),exact(Metadata!L71,"Fungus surface"),exact(Metadata!L71,"Fungus corpus"),exact(Metadata!L71,"Animal surface"),exact(Metadata!L71,"Animal proximal gut"),exact(Metadata!L71,"Animal corpus"),exact(Metadata!L71,"Animal distal gut"),exact(Metadata!L71,"Animal secretion"),exact(Metadata!L71,"Sub-surface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Y71">
        <f>IF(Metadata!M71="",FALSE,TRUE)</f>
        <v>0</v>
      </c>
      <c r="AZ71">
        <f>IF(Metadata!N71="",FALSE,TRUE)</f>
        <v>0</v>
      </c>
      <c r="BA71">
        <f>IF(Metadata!O71="",FALSE,TRUE)</f>
        <v>0</v>
      </c>
      <c r="BB71">
        <f>OR(AND(IF(Metadata!P71="",FALSE,TRUE),OR(exact(Metadata!P71,"not collected"),exact(Metadata!P71,"not provided"),exact(Metadata!P71,"restricted access"))),AND(IF(Metadata!P71="",FALSE,TRUE),OR(exact(Metadata!P71,"air"),exact(Metadata!P71,"built environment"),exact(Metadata!P71,"host-associated"),exact(Metadata!P71,"human-associated"),exact(Metadata!P71,"human-skin"),exact(Metadata!P71,"human-oral"),exact(Metadata!P71,"human-gut"),exact(Metadata!P71,"human-vaginal"),exact(Metadata!P71,"microbial mat/biofilm"),exact(Metadata!P71,"misc environment"),exact(Metadata!P71,"plant-associated"),exact(Metadata!P71,"sediment"),exact(Metadata!P71,"soil"),exact(Metadata!P71,"wastewater/sludge"),exact(Metadata!P71,"water"))))</f>
        <v>0</v>
      </c>
      <c r="BC71">
        <f>IF(Metadata!Q71="",FALSE,TRUE)</f>
        <v>0</v>
      </c>
      <c r="BD71">
        <f>IF(Metadata!R71="",FALSE,TRUE)</f>
        <v>0</v>
      </c>
      <c r="BE71">
        <f>OR(AND(IF(Metadata!S71="",FALSE,TRUE),OR(exact(Metadata!S71,"not collected"),exact(Metadata!S71,"not provided"),exact(Metadata!S71,"restricted access"))),AND(IF(Metadata!S71="",FALSE,ISNUMBER(VALUE(Metadata!S71))),Metadata!S71&gt;=-90.00,Metadata!S71&lt;=90.00))</f>
        <v>0</v>
      </c>
      <c r="BF71">
        <f>AND(IF(Metadata!T71="",FALSE,TRUE),exact(Metadata!T71,"Decimal degrees"))</f>
        <v>0</v>
      </c>
      <c r="BG71">
        <f>OR(AND(IF(Metadata!U71="",FALSE,TRUE),OR(exact(Metadata!U71,"not collected"),exact(Metadata!U71,"not provided"),exact(Metadata!U71,"restricted access"))),AND(IF(Metadata!U71="",FALSE,ISNUMBER(VALUE(Metadata!U71))),Metadata!U71&gt;=-180.00,Metadata!U71&lt;=180.00))</f>
        <v>0</v>
      </c>
      <c r="BH71">
        <f>AND(IF(Metadata!V71="",FALSE,TRUE),exact(Metadata!V71,"Decimal degrees"))</f>
        <v>0</v>
      </c>
      <c r="BI71">
        <f>IF(Metadata!W71="",FALSE,TRUE)</f>
        <v>0</v>
      </c>
      <c r="BJ71">
        <f>OR(AND(IF(Metadata!X71="",FALSE,TRUE),OR(exact(Metadata!X71,"not collected"),exact(Metadata!X71,"not provided"),exact(Metadata!X71,"restricted access"))),AND(IF(Metadata!X71="",FALSE,TRUE),OR(exact(Metadata!X71,"TRUE"),exact(Metadata!X71,"FALSE"))))</f>
        <v>0</v>
      </c>
      <c r="BK71">
        <f>AND(IF(Metadata!Y71="",FALSE,TRUE),exact(Metadata!Y71,"other"))</f>
        <v>0</v>
      </c>
      <c r="BL71">
        <f>IF(Metadata!Z71="",FALSE,TRUE)</f>
        <v>0</v>
      </c>
      <c r="BM71">
        <f>OR(AND(IF(Metadata!AA71="",FALSE,TRUE),OR(exact(Metadata!AA71,"not collected"),exact(Metadata!AA71,"not provided"))),AND(IF(Metadata!AA71="",FALSE,IF(ISERROR(INT(Metadata!AA71)),FALSE,INT(Metadata!AA71)=Metadata!AA71)),Metadata!AA71&gt;0))</f>
        <v>0</v>
      </c>
      <c r="BN71">
        <f>AND(IF(Metadata!AB71="",FALSE,TRUE),exact(Metadata!AB71,"Not applicable"))</f>
        <v>0</v>
      </c>
      <c r="BO71">
        <f>IF(Metadata!AC71="",FALSE,TRUE)</f>
        <v>0</v>
      </c>
    </row>
    <row r="72" spans="1:67">
      <c r="A72" s="5">
        <f>IF(B72=" "," ",HYPERLINK(CONCATENATE("#metadata!",ADDRESS(INDEX($AI$2:$AI$1001,MATCH(ROWS($AG$2:AG72),$AG$2:$AG$1001,0),0),1)),INDEX($AL$2:$AL$1001,MATCH(ROWS($AG$2:AG72),$AG$2:$AG$1001,0),0)))</f>
        <v>0</v>
      </c>
      <c r="B72" s="4">
        <f>IF(OR(INDEX($AH$2:$AH$1001,MATCH(ROWS($AG$2:AG72),$AG$2:$AG$1001,0),1)&gt;=100000,INDEX($AN$1005:$BO$1005,1,MATCH(COLUMNS($AN$1006:AN1006),$AN$1006:$BO$1006,0))&gt;=100000), " ",IF(INDEX($AN$2:$BO$1001,MATCH(ROWS($AG$2:AG72),$AG$2:$AG$1001,0),MATCH(COLUMNS($AN$1006:AN1006),$AN$1006:$BO$1006,0)), HYPERLINK("#",""), HYPERLINK(CONCATENATE("#Metadata!", ADDRESS(INDEX($AI$2:$AI$1001,MATCH(ROWS($AG$2:AG72),$AG$2:$AG$1001,0),0), INDEX($AN$1004:$BO$1004,1,MATCH(COLUMNS($AN$1006:AN1006),$AN$1006:$BO$1006,0)))),"Fix")))</f>
        <v>0</v>
      </c>
      <c r="C72" s="4">
        <f>IF(OR(INDEX($AH$2:$AH$1001,MATCH(ROWS($AG$2:AG72),$AG$2:$AG$1001,0),1)&gt;=100000,INDEX($AN$1005:$BO$1005,1,MATCH(COLUMNS($AN$1006:AO1006),$AN$1006:$BO$1006,0))&gt;=100000), " ",IF(INDEX($AN$2:$BO$1001,MATCH(ROWS($AG$2:AG72),$AG$2:$AG$1001,0),MATCH(COLUMNS($AN$1006:AO1006),$AN$1006:$BO$1006,0)), HYPERLINK("#",""), HYPERLINK(CONCATENATE("#Metadata!", ADDRESS(INDEX($AI$2:$AI$1001,MATCH(ROWS($AG$2:AG72),$AG$2:$AG$1001,0),0), INDEX($AN$1004:$BO$1004,1,MATCH(COLUMNS($AN$1006:AO1006),$AN$1006:$BO$1006,0)))),"Fix")))</f>
        <v>0</v>
      </c>
      <c r="D72" s="4">
        <f>IF(OR(INDEX($AH$2:$AH$1001,MATCH(ROWS($AG$2:AG72),$AG$2:$AG$1001,0),1)&gt;=100000,INDEX($AN$1005:$BO$1005,1,MATCH(COLUMNS($AN$1006:AP1006),$AN$1006:$BO$1006,0))&gt;=100000), " ",IF(INDEX($AN$2:$BO$1001,MATCH(ROWS($AG$2:AG72),$AG$2:$AG$1001,0),MATCH(COLUMNS($AN$1006:AP1006),$AN$1006:$BO$1006,0)), HYPERLINK("#",""), HYPERLINK(CONCATENATE("#Metadata!", ADDRESS(INDEX($AI$2:$AI$1001,MATCH(ROWS($AG$2:AG72),$AG$2:$AG$1001,0),0), INDEX($AN$1004:$BO$1004,1,MATCH(COLUMNS($AN$1006:AP1006),$AN$1006:$BO$1006,0)))),"Fix")))</f>
        <v>0</v>
      </c>
      <c r="E72" s="4">
        <f>IF(OR(INDEX($AH$2:$AH$1001,MATCH(ROWS($AG$2:AG72),$AG$2:$AG$1001,0),1)&gt;=100000,INDEX($AN$1005:$BO$1005,1,MATCH(COLUMNS($AN$1006:AQ1006),$AN$1006:$BO$1006,0))&gt;=100000), " ",IF(INDEX($AN$2:$BO$1001,MATCH(ROWS($AG$2:AG72),$AG$2:$AG$1001,0),MATCH(COLUMNS($AN$1006:AQ1006),$AN$1006:$BO$1006,0)), HYPERLINK("#",""), HYPERLINK(CONCATENATE("#Metadata!", ADDRESS(INDEX($AI$2:$AI$1001,MATCH(ROWS($AG$2:AG72),$AG$2:$AG$1001,0),0), INDEX($AN$1004:$BO$1004,1,MATCH(COLUMNS($AN$1006:AQ1006),$AN$1006:$BO$1006,0)))),"Fix")))</f>
        <v>0</v>
      </c>
      <c r="F72" s="4">
        <f>IF(OR(INDEX($AH$2:$AH$1001,MATCH(ROWS($AG$2:AG72),$AG$2:$AG$1001,0),1)&gt;=100000,INDEX($AN$1005:$BO$1005,1,MATCH(COLUMNS($AN$1006:AR1006),$AN$1006:$BO$1006,0))&gt;=100000), " ",IF(INDEX($AN$2:$BO$1001,MATCH(ROWS($AG$2:AG72),$AG$2:$AG$1001,0),MATCH(COLUMNS($AN$1006:AR1006),$AN$1006:$BO$1006,0)), HYPERLINK("#",""), HYPERLINK(CONCATENATE("#Metadata!", ADDRESS(INDEX($AI$2:$AI$1001,MATCH(ROWS($AG$2:AG72),$AG$2:$AG$1001,0),0), INDEX($AN$1004:$BO$1004,1,MATCH(COLUMNS($AN$1006:AR1006),$AN$1006:$BO$1006,0)))),"Fix")))</f>
        <v>0</v>
      </c>
      <c r="G72" s="4">
        <f>IF(OR(INDEX($AH$2:$AH$1001,MATCH(ROWS($AG$2:AG72),$AG$2:$AG$1001,0),1)&gt;=100000,INDEX($AN$1005:$BO$1005,1,MATCH(COLUMNS($AN$1006:AS1006),$AN$1006:$BO$1006,0))&gt;=100000), " ",IF(INDEX($AN$2:$BO$1001,MATCH(ROWS($AG$2:AG72),$AG$2:$AG$1001,0),MATCH(COLUMNS($AN$1006:AS1006),$AN$1006:$BO$1006,0)), HYPERLINK("#",""), HYPERLINK(CONCATENATE("#Metadata!", ADDRESS(INDEX($AI$2:$AI$1001,MATCH(ROWS($AG$2:AG72),$AG$2:$AG$1001,0),0), INDEX($AN$1004:$BO$1004,1,MATCH(COLUMNS($AN$1006:AS1006),$AN$1006:$BO$1006,0)))),"Fix")))</f>
        <v>0</v>
      </c>
      <c r="H72" s="4">
        <f>IF(OR(INDEX($AH$2:$AH$1001,MATCH(ROWS($AG$2:AG72),$AG$2:$AG$1001,0),1)&gt;=100000,INDEX($AN$1005:$BO$1005,1,MATCH(COLUMNS($AN$1006:AT1006),$AN$1006:$BO$1006,0))&gt;=100000), " ",IF(INDEX($AN$2:$BO$1001,MATCH(ROWS($AG$2:AG72),$AG$2:$AG$1001,0),MATCH(COLUMNS($AN$1006:AT1006),$AN$1006:$BO$1006,0)), HYPERLINK("#",""), HYPERLINK(CONCATENATE("#Metadata!", ADDRESS(INDEX($AI$2:$AI$1001,MATCH(ROWS($AG$2:AG72),$AG$2:$AG$1001,0),0), INDEX($AN$1004:$BO$1004,1,MATCH(COLUMNS($AN$1006:AT1006),$AN$1006:$BO$1006,0)))),"Fix")))</f>
        <v>0</v>
      </c>
      <c r="I72" s="4">
        <f>IF(OR(INDEX($AH$2:$AH$1001,MATCH(ROWS($AG$2:AG72),$AG$2:$AG$1001,0),1)&gt;=100000,INDEX($AN$1005:$BO$1005,1,MATCH(COLUMNS($AN$1006:AU1006),$AN$1006:$BO$1006,0))&gt;=100000), " ",IF(INDEX($AN$2:$BO$1001,MATCH(ROWS($AG$2:AG72),$AG$2:$AG$1001,0),MATCH(COLUMNS($AN$1006:AU1006),$AN$1006:$BO$1006,0)), HYPERLINK("#",""), HYPERLINK(CONCATENATE("#Metadata!", ADDRESS(INDEX($AI$2:$AI$1001,MATCH(ROWS($AG$2:AG72),$AG$2:$AG$1001,0),0), INDEX($AN$1004:$BO$1004,1,MATCH(COLUMNS($AN$1006:AU1006),$AN$1006:$BO$1006,0)))),"Fix")))</f>
        <v>0</v>
      </c>
      <c r="J72" s="4">
        <f>IF(OR(INDEX($AH$2:$AH$1001,MATCH(ROWS($AG$2:AG72),$AG$2:$AG$1001,0),1)&gt;=100000,INDEX($AN$1005:$BO$1005,1,MATCH(COLUMNS($AN$1006:AV1006),$AN$1006:$BO$1006,0))&gt;=100000), " ",IF(INDEX($AN$2:$BO$1001,MATCH(ROWS($AG$2:AG72),$AG$2:$AG$1001,0),MATCH(COLUMNS($AN$1006:AV1006),$AN$1006:$BO$1006,0)), HYPERLINK("#",""), HYPERLINK(CONCATENATE("#Metadata!", ADDRESS(INDEX($AI$2:$AI$1001,MATCH(ROWS($AG$2:AG72),$AG$2:$AG$1001,0),0), INDEX($AN$1004:$BO$1004,1,MATCH(COLUMNS($AN$1006:AV1006),$AN$1006:$BO$1006,0)))),"Fix")))</f>
        <v>0</v>
      </c>
      <c r="K72" s="4">
        <f>IF(OR(INDEX($AH$2:$AH$1001,MATCH(ROWS($AG$2:AG72),$AG$2:$AG$1001,0),1)&gt;=100000,INDEX($AN$1005:$BO$1005,1,MATCH(COLUMNS($AN$1006:AW1006),$AN$1006:$BO$1006,0))&gt;=100000), " ",IF(INDEX($AN$2:$BO$1001,MATCH(ROWS($AG$2:AG72),$AG$2:$AG$1001,0),MATCH(COLUMNS($AN$1006:AW1006),$AN$1006:$BO$1006,0)), HYPERLINK("#",""), HYPERLINK(CONCATENATE("#Metadata!", ADDRESS(INDEX($AI$2:$AI$1001,MATCH(ROWS($AG$2:AG72),$AG$2:$AG$1001,0),0), INDEX($AN$1004:$BO$1004,1,MATCH(COLUMNS($AN$1006:AW1006),$AN$1006:$BO$1006,0)))),"Fix")))</f>
        <v>0</v>
      </c>
      <c r="L72" s="4">
        <f>IF(OR(INDEX($AH$2:$AH$1001,MATCH(ROWS($AG$2:AG72),$AG$2:$AG$1001,0),1)&gt;=100000,INDEX($AN$1005:$BO$1005,1,MATCH(COLUMNS($AN$1006:AX1006),$AN$1006:$BO$1006,0))&gt;=100000), " ",IF(INDEX($AN$2:$BO$1001,MATCH(ROWS($AG$2:AG72),$AG$2:$AG$1001,0),MATCH(COLUMNS($AN$1006:AX1006),$AN$1006:$BO$1006,0)), HYPERLINK("#",""), HYPERLINK(CONCATENATE("#Metadata!", ADDRESS(INDEX($AI$2:$AI$1001,MATCH(ROWS($AG$2:AG72),$AG$2:$AG$1001,0),0), INDEX($AN$1004:$BO$1004,1,MATCH(COLUMNS($AN$1006:AX1006),$AN$1006:$BO$1006,0)))),"Fix")))</f>
        <v>0</v>
      </c>
      <c r="M72" s="4">
        <f>IF(OR(INDEX($AH$2:$AH$1001,MATCH(ROWS($AG$2:AG72),$AG$2:$AG$1001,0),1)&gt;=100000,INDEX($AN$1005:$BO$1005,1,MATCH(COLUMNS($AN$1006:AY1006),$AN$1006:$BO$1006,0))&gt;=100000), " ",IF(INDEX($AN$2:$BO$1001,MATCH(ROWS($AG$2:AG72),$AG$2:$AG$1001,0),MATCH(COLUMNS($AN$1006:AY1006),$AN$1006:$BO$1006,0)), HYPERLINK("#",""), HYPERLINK(CONCATENATE("#Metadata!", ADDRESS(INDEX($AI$2:$AI$1001,MATCH(ROWS($AG$2:AG72),$AG$2:$AG$1001,0),0), INDEX($AN$1004:$BO$1004,1,MATCH(COLUMNS($AN$1006:AY1006),$AN$1006:$BO$1006,0)))),"Fix")))</f>
        <v>0</v>
      </c>
      <c r="N72" s="4">
        <f>IF(OR(INDEX($AH$2:$AH$1001,MATCH(ROWS($AG$2:AG72),$AG$2:$AG$1001,0),1)&gt;=100000,INDEX($AN$1005:$BO$1005,1,MATCH(COLUMNS($AN$1006:AZ1006),$AN$1006:$BO$1006,0))&gt;=100000), " ",IF(INDEX($AN$2:$BO$1001,MATCH(ROWS($AG$2:AG72),$AG$2:$AG$1001,0),MATCH(COLUMNS($AN$1006:AZ1006),$AN$1006:$BO$1006,0)), HYPERLINK("#",""), HYPERLINK(CONCATENATE("#Metadata!", ADDRESS(INDEX($AI$2:$AI$1001,MATCH(ROWS($AG$2:AG72),$AG$2:$AG$1001,0),0), INDEX($AN$1004:$BO$1004,1,MATCH(COLUMNS($AN$1006:AZ1006),$AN$1006:$BO$1006,0)))),"Fix")))</f>
        <v>0</v>
      </c>
      <c r="O72" s="4">
        <f>IF(OR(INDEX($AH$2:$AH$1001,MATCH(ROWS($AG$2:AG72),$AG$2:$AG$1001,0),1)&gt;=100000,INDEX($AN$1005:$BO$1005,1,MATCH(COLUMNS($AN$1006:BA1006),$AN$1006:$BO$1006,0))&gt;=100000), " ",IF(INDEX($AN$2:$BO$1001,MATCH(ROWS($AG$2:AG72),$AG$2:$AG$1001,0),MATCH(COLUMNS($AN$1006:BA1006),$AN$1006:$BO$1006,0)), HYPERLINK("#",""), HYPERLINK(CONCATENATE("#Metadata!", ADDRESS(INDEX($AI$2:$AI$1001,MATCH(ROWS($AG$2:AG72),$AG$2:$AG$1001,0),0), INDEX($AN$1004:$BO$1004,1,MATCH(COLUMNS($AN$1006:BA1006),$AN$1006:$BO$1006,0)))),"Fix")))</f>
        <v>0</v>
      </c>
      <c r="P72" s="4">
        <f>IF(OR(INDEX($AH$2:$AH$1001,MATCH(ROWS($AG$2:AG72),$AG$2:$AG$1001,0),1)&gt;=100000,INDEX($AN$1005:$BO$1005,1,MATCH(COLUMNS($AN$1006:BB1006),$AN$1006:$BO$1006,0))&gt;=100000), " ",IF(INDEX($AN$2:$BO$1001,MATCH(ROWS($AG$2:AG72),$AG$2:$AG$1001,0),MATCH(COLUMNS($AN$1006:BB1006),$AN$1006:$BO$1006,0)), HYPERLINK("#",""), HYPERLINK(CONCATENATE("#Metadata!", ADDRESS(INDEX($AI$2:$AI$1001,MATCH(ROWS($AG$2:AG72),$AG$2:$AG$1001,0),0), INDEX($AN$1004:$BO$1004,1,MATCH(COLUMNS($AN$1006:BB1006),$AN$1006:$BO$1006,0)))),"Fix")))</f>
        <v>0</v>
      </c>
      <c r="Q72" s="4">
        <f>IF(OR(INDEX($AH$2:$AH$1001,MATCH(ROWS($AG$2:AG72),$AG$2:$AG$1001,0),1)&gt;=100000,INDEX($AN$1005:$BO$1005,1,MATCH(COLUMNS($AN$1006:BC1006),$AN$1006:$BO$1006,0))&gt;=100000), " ",IF(INDEX($AN$2:$BO$1001,MATCH(ROWS($AG$2:AG72),$AG$2:$AG$1001,0),MATCH(COLUMNS($AN$1006:BC1006),$AN$1006:$BO$1006,0)), HYPERLINK("#",""), HYPERLINK(CONCATENATE("#Metadata!", ADDRESS(INDEX($AI$2:$AI$1001,MATCH(ROWS($AG$2:AG72),$AG$2:$AG$1001,0),0), INDEX($AN$1004:$BO$1004,1,MATCH(COLUMNS($AN$1006:BC1006),$AN$1006:$BO$1006,0)))),"Fix")))</f>
        <v>0</v>
      </c>
      <c r="R72" s="4">
        <f>IF(OR(INDEX($AH$2:$AH$1001,MATCH(ROWS($AG$2:AG72),$AG$2:$AG$1001,0),1)&gt;=100000,INDEX($AN$1005:$BO$1005,1,MATCH(COLUMNS($AN$1006:BD1006),$AN$1006:$BO$1006,0))&gt;=100000), " ",IF(INDEX($AN$2:$BO$1001,MATCH(ROWS($AG$2:AG72),$AG$2:$AG$1001,0),MATCH(COLUMNS($AN$1006:BD1006),$AN$1006:$BO$1006,0)), HYPERLINK("#",""), HYPERLINK(CONCATENATE("#Metadata!", ADDRESS(INDEX($AI$2:$AI$1001,MATCH(ROWS($AG$2:AG72),$AG$2:$AG$1001,0),0), INDEX($AN$1004:$BO$1004,1,MATCH(COLUMNS($AN$1006:BD1006),$AN$1006:$BO$1006,0)))),"Fix")))</f>
        <v>0</v>
      </c>
      <c r="S72" s="4">
        <f>IF(OR(INDEX($AH$2:$AH$1001,MATCH(ROWS($AG$2:AG72),$AG$2:$AG$1001,0),1)&gt;=100000,INDEX($AN$1005:$BO$1005,1,MATCH(COLUMNS($AN$1006:BE1006),$AN$1006:$BO$1006,0))&gt;=100000), " ",IF(INDEX($AN$2:$BO$1001,MATCH(ROWS($AG$2:AG72),$AG$2:$AG$1001,0),MATCH(COLUMNS($AN$1006:BE1006),$AN$1006:$BO$1006,0)), HYPERLINK("#",""), HYPERLINK(CONCATENATE("#Metadata!", ADDRESS(INDEX($AI$2:$AI$1001,MATCH(ROWS($AG$2:AG72),$AG$2:$AG$1001,0),0), INDEX($AN$1004:$BO$1004,1,MATCH(COLUMNS($AN$1006:BE1006),$AN$1006:$BO$1006,0)))),"Fix")))</f>
        <v>0</v>
      </c>
      <c r="T72" s="4">
        <f>IF(OR(INDEX($AH$2:$AH$1001,MATCH(ROWS($AG$2:AG72),$AG$2:$AG$1001,0),1)&gt;=100000,INDEX($AN$1005:$BO$1005,1,MATCH(COLUMNS($AN$1006:BF1006),$AN$1006:$BO$1006,0))&gt;=100000), " ",IF(INDEX($AN$2:$BO$1001,MATCH(ROWS($AG$2:AG72),$AG$2:$AG$1001,0),MATCH(COLUMNS($AN$1006:BF1006),$AN$1006:$BO$1006,0)), HYPERLINK("#",""), HYPERLINK(CONCATENATE("#Metadata!", ADDRESS(INDEX($AI$2:$AI$1001,MATCH(ROWS($AG$2:AG72),$AG$2:$AG$1001,0),0), INDEX($AN$1004:$BO$1004,1,MATCH(COLUMNS($AN$1006:BF1006),$AN$1006:$BO$1006,0)))),"Fix")))</f>
        <v>0</v>
      </c>
      <c r="U72" s="4">
        <f>IF(OR(INDEX($AH$2:$AH$1001,MATCH(ROWS($AG$2:AG72),$AG$2:$AG$1001,0),1)&gt;=100000,INDEX($AN$1005:$BO$1005,1,MATCH(COLUMNS($AN$1006:BG1006),$AN$1006:$BO$1006,0))&gt;=100000), " ",IF(INDEX($AN$2:$BO$1001,MATCH(ROWS($AG$2:AG72),$AG$2:$AG$1001,0),MATCH(COLUMNS($AN$1006:BG1006),$AN$1006:$BO$1006,0)), HYPERLINK("#",""), HYPERLINK(CONCATENATE("#Metadata!", ADDRESS(INDEX($AI$2:$AI$1001,MATCH(ROWS($AG$2:AG72),$AG$2:$AG$1001,0),0), INDEX($AN$1004:$BO$1004,1,MATCH(COLUMNS($AN$1006:BG1006),$AN$1006:$BO$1006,0)))),"Fix")))</f>
        <v>0</v>
      </c>
      <c r="V72" s="4">
        <f>IF(OR(INDEX($AH$2:$AH$1001,MATCH(ROWS($AG$2:AG72),$AG$2:$AG$1001,0),1)&gt;=100000,INDEX($AN$1005:$BO$1005,1,MATCH(COLUMNS($AN$1006:BH1006),$AN$1006:$BO$1006,0))&gt;=100000), " ",IF(INDEX($AN$2:$BO$1001,MATCH(ROWS($AG$2:AG72),$AG$2:$AG$1001,0),MATCH(COLUMNS($AN$1006:BH1006),$AN$1006:$BO$1006,0)), HYPERLINK("#",""), HYPERLINK(CONCATENATE("#Metadata!", ADDRESS(INDEX($AI$2:$AI$1001,MATCH(ROWS($AG$2:AG72),$AG$2:$AG$1001,0),0), INDEX($AN$1004:$BO$1004,1,MATCH(COLUMNS($AN$1006:BH1006),$AN$1006:$BO$1006,0)))),"Fix")))</f>
        <v>0</v>
      </c>
      <c r="W72" s="4">
        <f>IF(OR(INDEX($AH$2:$AH$1001,MATCH(ROWS($AG$2:AG72),$AG$2:$AG$1001,0),1)&gt;=100000,INDEX($AN$1005:$BO$1005,1,MATCH(COLUMNS($AN$1006:BI1006),$AN$1006:$BO$1006,0))&gt;=100000), " ",IF(INDEX($AN$2:$BO$1001,MATCH(ROWS($AG$2:AG72),$AG$2:$AG$1001,0),MATCH(COLUMNS($AN$1006:BI1006),$AN$1006:$BO$1006,0)), HYPERLINK("#",""), HYPERLINK(CONCATENATE("#Metadata!", ADDRESS(INDEX($AI$2:$AI$1001,MATCH(ROWS($AG$2:AG72),$AG$2:$AG$1001,0),0), INDEX($AN$1004:$BO$1004,1,MATCH(COLUMNS($AN$1006:BI1006),$AN$1006:$BO$1006,0)))),"Fix")))</f>
        <v>0</v>
      </c>
      <c r="X72" s="4">
        <f>IF(OR(INDEX($AH$2:$AH$1001,MATCH(ROWS($AG$2:AG72),$AG$2:$AG$1001,0),1)&gt;=100000,INDEX($AN$1005:$BO$1005,1,MATCH(COLUMNS($AN$1006:BJ1006),$AN$1006:$BO$1006,0))&gt;=100000), " ",IF(INDEX($AN$2:$BO$1001,MATCH(ROWS($AG$2:AG72),$AG$2:$AG$1001,0),MATCH(COLUMNS($AN$1006:BJ1006),$AN$1006:$BO$1006,0)), HYPERLINK("#",""), HYPERLINK(CONCATENATE("#Metadata!", ADDRESS(INDEX($AI$2:$AI$1001,MATCH(ROWS($AG$2:AG72),$AG$2:$AG$1001,0),0), INDEX($AN$1004:$BO$1004,1,MATCH(COLUMNS($AN$1006:BJ1006),$AN$1006:$BO$1006,0)))),"Fix")))</f>
        <v>0</v>
      </c>
      <c r="Y72" s="4">
        <f>IF(OR(INDEX($AH$2:$AH$1001,MATCH(ROWS($AG$2:AG72),$AG$2:$AG$1001,0),1)&gt;=100000,INDEX($AN$1005:$BO$1005,1,MATCH(COLUMNS($AN$1006:BK1006),$AN$1006:$BO$1006,0))&gt;=100000), " ",IF(INDEX($AN$2:$BO$1001,MATCH(ROWS($AG$2:AG72),$AG$2:$AG$1001,0),MATCH(COLUMNS($AN$1006:BK1006),$AN$1006:$BO$1006,0)), HYPERLINK("#",""), HYPERLINK(CONCATENATE("#Metadata!", ADDRESS(INDEX($AI$2:$AI$1001,MATCH(ROWS($AG$2:AG72),$AG$2:$AG$1001,0),0), INDEX($AN$1004:$BO$1004,1,MATCH(COLUMNS($AN$1006:BK1006),$AN$1006:$BO$1006,0)))),"Fix")))</f>
        <v>0</v>
      </c>
      <c r="Z72" s="4">
        <f>IF(OR(INDEX($AH$2:$AH$1001,MATCH(ROWS($AG$2:AG72),$AG$2:$AG$1001,0),1)&gt;=100000,INDEX($AN$1005:$BO$1005,1,MATCH(COLUMNS($AN$1006:BL1006),$AN$1006:$BO$1006,0))&gt;=100000), " ",IF(INDEX($AN$2:$BO$1001,MATCH(ROWS($AG$2:AG72),$AG$2:$AG$1001,0),MATCH(COLUMNS($AN$1006:BL1006),$AN$1006:$BO$1006,0)), HYPERLINK("#",""), HYPERLINK(CONCATENATE("#Metadata!", ADDRESS(INDEX($AI$2:$AI$1001,MATCH(ROWS($AG$2:AG72),$AG$2:$AG$1001,0),0), INDEX($AN$1004:$BO$1004,1,MATCH(COLUMNS($AN$1006:BL1006),$AN$1006:$BO$1006,0)))),"Fix")))</f>
        <v>0</v>
      </c>
      <c r="AA72" s="4">
        <f>IF(OR(INDEX($AH$2:$AH$1001,MATCH(ROWS($AG$2:AG72),$AG$2:$AG$1001,0),1)&gt;=100000,INDEX($AN$1005:$BO$1005,1,MATCH(COLUMNS($AN$1006:BM1006),$AN$1006:$BO$1006,0))&gt;=100000), " ",IF(INDEX($AN$2:$BO$1001,MATCH(ROWS($AG$2:AG72),$AG$2:$AG$1001,0),MATCH(COLUMNS($AN$1006:BM1006),$AN$1006:$BO$1006,0)), HYPERLINK("#",""), HYPERLINK(CONCATENATE("#Metadata!", ADDRESS(INDEX($AI$2:$AI$1001,MATCH(ROWS($AG$2:AG72),$AG$2:$AG$1001,0),0), INDEX($AN$1004:$BO$1004,1,MATCH(COLUMNS($AN$1006:BM1006),$AN$1006:$BO$1006,0)))),"Fix")))</f>
        <v>0</v>
      </c>
      <c r="AB72" s="4">
        <f>IF(OR(INDEX($AH$2:$AH$1001,MATCH(ROWS($AG$2:AG72),$AG$2:$AG$1001,0),1)&gt;=100000,INDEX($AN$1005:$BO$1005,1,MATCH(COLUMNS($AN$1006:BN1006),$AN$1006:$BO$1006,0))&gt;=100000), " ",IF(INDEX($AN$2:$BO$1001,MATCH(ROWS($AG$2:AG72),$AG$2:$AG$1001,0),MATCH(COLUMNS($AN$1006:BN1006),$AN$1006:$BO$1006,0)), HYPERLINK("#",""), HYPERLINK(CONCATENATE("#Metadata!", ADDRESS(INDEX($AI$2:$AI$1001,MATCH(ROWS($AG$2:AG72),$AG$2:$AG$1001,0),0), INDEX($AN$1004:$BO$1004,1,MATCH(COLUMNS($AN$1006:BN1006),$AN$1006:$BO$1006,0)))),"Fix")))</f>
        <v>0</v>
      </c>
      <c r="AC72" s="4">
        <f>IF(OR(INDEX($AH$2:$AH$1001,MATCH(ROWS($AG$2:AG72),$AG$2:$AG$1001,0),1)&gt;=100000,INDEX($AN$1005:$BO$1005,1,MATCH(COLUMNS($AN$1006:BO1006),$AN$1006:$BO$1006,0))&gt;=100000), " ",IF(INDEX($AN$2:$BO$1001,MATCH(ROWS($AG$2:AG72),$AG$2:$AG$1001,0),MATCH(COLUMNS($AN$1006:BO1006),$AN$1006:$BO$1006,0)), HYPERLINK("#",""), HYPERLINK(CONCATENATE("#Metadata!", ADDRESS(INDEX($AI$2:$AI$1001,MATCH(ROWS($AG$2:AG72),$AG$2:$AG$1001,0),0), INDEX($AN$1004:$BO$1004,1,MATCH(COLUMNS($AN$1006:BO1006),$AN$1006:$BO$1006,0)))),"Fix")))</f>
        <v>0</v>
      </c>
      <c r="AG72">
        <v>0</v>
      </c>
      <c r="AH72">
        <v>0</v>
      </c>
      <c r="AI72">
        <v>0</v>
      </c>
      <c r="AJ72">
        <f>IF(AK72,TRUE,AND(AN72:BO72))</f>
        <v>0</v>
      </c>
      <c r="AK72">
        <f>COUNTBLANK(Metadata!B72:AC72)=COLUMNS(Metadata!B72:AC72)</f>
        <v>0</v>
      </c>
      <c r="AL72">
        <v>0</v>
      </c>
      <c r="AN72">
        <f>AND(IF(Metadata!B72="",FALSE,TRUE),COUNTIF(Metadata!B:B, Metadata!B72) = 1,NOT(ISERROR(SUMPRODUCT(SEARCH(MID(Metadata!B72,ROW(INDIRECT("1:"&amp;LEN(Metadata!B72))), 1),"0123456789abcdefghijklmnopqrstuvwxyzABCDEFGHIJKLMNOPQRSTUVWXYZ.")))))</f>
        <v>0</v>
      </c>
      <c r="AO72">
        <f>IF(Metadata!C72="",FALSE,TRUE)</f>
        <v>0</v>
      </c>
      <c r="AP72">
        <f>IF(Metadata!D72="",FALSE,TRUE)</f>
        <v>0</v>
      </c>
      <c r="AQ72">
        <f>OR(AND(IF(Metadata!E72="",FALSE,TRUE),OR(exact(Metadata!E72,"not collected"),exact(Metadata!E72,"not provided"),exact(Metadata!E72,"restricted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R72">
        <f>IF(Metadata!F72="",FALSE,TRUE)</f>
        <v>0</v>
      </c>
      <c r="AS72">
        <f>OR(AND(IF(Metadata!G72="",FALSE,TRUE),OR(exact(Metadata!G72,"not collected"),exact(Metadata!G72,"not provided"))),AND(IF(Metadata!G72="",FALSE,TRUE),OR(exact(Metadata!G72,"TRUE"),exact(Metadata!G72,"FALSE"))))</f>
        <v>0</v>
      </c>
      <c r="AT72">
        <f>OR(AND(IF(Metadata!H72="",FALSE,TRUE),OR(exact(Metadata!H72,"not collected"),exact(Metadata!H72,"not provided"),exact(Metadata!H72,"restricted access"))),AND(IF(Metadata!H72="",FALSE,ISNUMBER(VALUE(Metadata!H72))),Metadata!H72&gt;=-413.0))</f>
        <v>0</v>
      </c>
      <c r="AU72">
        <f>AND(IF(Metadata!I72="",FALSE,TRUE),exact(Metadata!I72,"meters"))</f>
        <v>0</v>
      </c>
      <c r="AV72">
        <f>AND(IF(Metadata!J72="",FALSE,TRUE),OR(exact(Metadata!J72,"Host-associated"),exact(Metadata!J72,"Free-living")))</f>
        <v>0</v>
      </c>
      <c r="AW72">
        <f>AND(IF(Metadata!K72="",FALSE,TRUE),OR(exact(Metadata!K72,"Animal"),exact(Metadata!K72,"Fungus"),exact(Metadata!K72,"Plant"),exact(Metadata!K72,"Saline"),exact(Metadata!K72,"Non-saline")))</f>
        <v>0</v>
      </c>
      <c r="AX72">
        <f>AND(IF(Metadata!L72="",FALSE,TRUE),OR(exact(Metadata!L72,"Plant secretion"),exact(Metadata!L72,"Plant rhizosphere"),exact(Metadata!L72,"Plant surface"),exact(Metadata!L72,"Plant corpus"),exact(Metadata!L72,"Fungus surface"),exact(Metadata!L72,"Fungus corpus"),exact(Metadata!L72,"Animal surface"),exact(Metadata!L72,"Animal proximal gut"),exact(Metadata!L72,"Animal corpus"),exact(Metadata!L72,"Animal distal gut"),exact(Metadata!L72,"Animal secretion"),exact(Metadata!L72,"Sub-surface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Y72">
        <f>IF(Metadata!M72="",FALSE,TRUE)</f>
        <v>0</v>
      </c>
      <c r="AZ72">
        <f>IF(Metadata!N72="",FALSE,TRUE)</f>
        <v>0</v>
      </c>
      <c r="BA72">
        <f>IF(Metadata!O72="",FALSE,TRUE)</f>
        <v>0</v>
      </c>
      <c r="BB72">
        <f>OR(AND(IF(Metadata!P72="",FALSE,TRUE),OR(exact(Metadata!P72,"not collected"),exact(Metadata!P72,"not provided"),exact(Metadata!P72,"restricted access"))),AND(IF(Metadata!P72="",FALSE,TRUE),OR(exact(Metadata!P72,"air"),exact(Metadata!P72,"built environment"),exact(Metadata!P72,"host-associated"),exact(Metadata!P72,"human-associated"),exact(Metadata!P72,"human-skin"),exact(Metadata!P72,"human-oral"),exact(Metadata!P72,"human-gut"),exact(Metadata!P72,"human-vaginal"),exact(Metadata!P72,"microbial mat/biofilm"),exact(Metadata!P72,"misc environment"),exact(Metadata!P72,"plant-associated"),exact(Metadata!P72,"sediment"),exact(Metadata!P72,"soil"),exact(Metadata!P72,"wastewater/sludge"),exact(Metadata!P72,"water"))))</f>
        <v>0</v>
      </c>
      <c r="BC72">
        <f>IF(Metadata!Q72="",FALSE,TRUE)</f>
        <v>0</v>
      </c>
      <c r="BD72">
        <f>IF(Metadata!R72="",FALSE,TRUE)</f>
        <v>0</v>
      </c>
      <c r="BE72">
        <f>OR(AND(IF(Metadata!S72="",FALSE,TRUE),OR(exact(Metadata!S72,"not collected"),exact(Metadata!S72,"not provided"),exact(Metadata!S72,"restricted access"))),AND(IF(Metadata!S72="",FALSE,ISNUMBER(VALUE(Metadata!S72))),Metadata!S72&gt;=-90.00,Metadata!S72&lt;=90.00))</f>
        <v>0</v>
      </c>
      <c r="BF72">
        <f>AND(IF(Metadata!T72="",FALSE,TRUE),exact(Metadata!T72,"Decimal degrees"))</f>
        <v>0</v>
      </c>
      <c r="BG72">
        <f>OR(AND(IF(Metadata!U72="",FALSE,TRUE),OR(exact(Metadata!U72,"not collected"),exact(Metadata!U72,"not provided"),exact(Metadata!U72,"restricted access"))),AND(IF(Metadata!U72="",FALSE,ISNUMBER(VALUE(Metadata!U72))),Metadata!U72&gt;=-180.00,Metadata!U72&lt;=180.00))</f>
        <v>0</v>
      </c>
      <c r="BH72">
        <f>AND(IF(Metadata!V72="",FALSE,TRUE),exact(Metadata!V72,"Decimal degrees"))</f>
        <v>0</v>
      </c>
      <c r="BI72">
        <f>IF(Metadata!W72="",FALSE,TRUE)</f>
        <v>0</v>
      </c>
      <c r="BJ72">
        <f>OR(AND(IF(Metadata!X72="",FALSE,TRUE),OR(exact(Metadata!X72,"not collected"),exact(Metadata!X72,"not provided"),exact(Metadata!X72,"restricted access"))),AND(IF(Metadata!X72="",FALSE,TRUE),OR(exact(Metadata!X72,"TRUE"),exact(Metadata!X72,"FALSE"))))</f>
        <v>0</v>
      </c>
      <c r="BK72">
        <f>AND(IF(Metadata!Y72="",FALSE,TRUE),exact(Metadata!Y72,"other"))</f>
        <v>0</v>
      </c>
      <c r="BL72">
        <f>IF(Metadata!Z72="",FALSE,TRUE)</f>
        <v>0</v>
      </c>
      <c r="BM72">
        <f>OR(AND(IF(Metadata!AA72="",FALSE,TRUE),OR(exact(Metadata!AA72,"not collected"),exact(Metadata!AA72,"not provided"))),AND(IF(Metadata!AA72="",FALSE,IF(ISERROR(INT(Metadata!AA72)),FALSE,INT(Metadata!AA72)=Metadata!AA72)),Metadata!AA72&gt;0))</f>
        <v>0</v>
      </c>
      <c r="BN72">
        <f>AND(IF(Metadata!AB72="",FALSE,TRUE),exact(Metadata!AB72,"Not applicable"))</f>
        <v>0</v>
      </c>
      <c r="BO72">
        <f>IF(Metadata!AC72="",FALSE,TRUE)</f>
        <v>0</v>
      </c>
    </row>
    <row r="73" spans="1:67">
      <c r="A73" s="5">
        <f>IF(B73=" "," ",HYPERLINK(CONCATENATE("#metadata!",ADDRESS(INDEX($AI$2:$AI$1001,MATCH(ROWS($AG$2:AG73),$AG$2:$AG$1001,0),0),1)),INDEX($AL$2:$AL$1001,MATCH(ROWS($AG$2:AG73),$AG$2:$AG$1001,0),0)))</f>
        <v>0</v>
      </c>
      <c r="B73" s="4">
        <f>IF(OR(INDEX($AH$2:$AH$1001,MATCH(ROWS($AG$2:AG73),$AG$2:$AG$1001,0),1)&gt;=100000,INDEX($AN$1005:$BO$1005,1,MATCH(COLUMNS($AN$1006:AN1006),$AN$1006:$BO$1006,0))&gt;=100000), " ",IF(INDEX($AN$2:$BO$1001,MATCH(ROWS($AG$2:AG73),$AG$2:$AG$1001,0),MATCH(COLUMNS($AN$1006:AN1006),$AN$1006:$BO$1006,0)), HYPERLINK("#",""), HYPERLINK(CONCATENATE("#Metadata!", ADDRESS(INDEX($AI$2:$AI$1001,MATCH(ROWS($AG$2:AG73),$AG$2:$AG$1001,0),0), INDEX($AN$1004:$BO$1004,1,MATCH(COLUMNS($AN$1006:AN1006),$AN$1006:$BO$1006,0)))),"Fix")))</f>
        <v>0</v>
      </c>
      <c r="C73" s="4">
        <f>IF(OR(INDEX($AH$2:$AH$1001,MATCH(ROWS($AG$2:AG73),$AG$2:$AG$1001,0),1)&gt;=100000,INDEX($AN$1005:$BO$1005,1,MATCH(COLUMNS($AN$1006:AO1006),$AN$1006:$BO$1006,0))&gt;=100000), " ",IF(INDEX($AN$2:$BO$1001,MATCH(ROWS($AG$2:AG73),$AG$2:$AG$1001,0),MATCH(COLUMNS($AN$1006:AO1006),$AN$1006:$BO$1006,0)), HYPERLINK("#",""), HYPERLINK(CONCATENATE("#Metadata!", ADDRESS(INDEX($AI$2:$AI$1001,MATCH(ROWS($AG$2:AG73),$AG$2:$AG$1001,0),0), INDEX($AN$1004:$BO$1004,1,MATCH(COLUMNS($AN$1006:AO1006),$AN$1006:$BO$1006,0)))),"Fix")))</f>
        <v>0</v>
      </c>
      <c r="D73" s="4">
        <f>IF(OR(INDEX($AH$2:$AH$1001,MATCH(ROWS($AG$2:AG73),$AG$2:$AG$1001,0),1)&gt;=100000,INDEX($AN$1005:$BO$1005,1,MATCH(COLUMNS($AN$1006:AP1006),$AN$1006:$BO$1006,0))&gt;=100000), " ",IF(INDEX($AN$2:$BO$1001,MATCH(ROWS($AG$2:AG73),$AG$2:$AG$1001,0),MATCH(COLUMNS($AN$1006:AP1006),$AN$1006:$BO$1006,0)), HYPERLINK("#",""), HYPERLINK(CONCATENATE("#Metadata!", ADDRESS(INDEX($AI$2:$AI$1001,MATCH(ROWS($AG$2:AG73),$AG$2:$AG$1001,0),0), INDEX($AN$1004:$BO$1004,1,MATCH(COLUMNS($AN$1006:AP1006),$AN$1006:$BO$1006,0)))),"Fix")))</f>
        <v>0</v>
      </c>
      <c r="E73" s="4">
        <f>IF(OR(INDEX($AH$2:$AH$1001,MATCH(ROWS($AG$2:AG73),$AG$2:$AG$1001,0),1)&gt;=100000,INDEX($AN$1005:$BO$1005,1,MATCH(COLUMNS($AN$1006:AQ1006),$AN$1006:$BO$1006,0))&gt;=100000), " ",IF(INDEX($AN$2:$BO$1001,MATCH(ROWS($AG$2:AG73),$AG$2:$AG$1001,0),MATCH(COLUMNS($AN$1006:AQ1006),$AN$1006:$BO$1006,0)), HYPERLINK("#",""), HYPERLINK(CONCATENATE("#Metadata!", ADDRESS(INDEX($AI$2:$AI$1001,MATCH(ROWS($AG$2:AG73),$AG$2:$AG$1001,0),0), INDEX($AN$1004:$BO$1004,1,MATCH(COLUMNS($AN$1006:AQ1006),$AN$1006:$BO$1006,0)))),"Fix")))</f>
        <v>0</v>
      </c>
      <c r="F73" s="4">
        <f>IF(OR(INDEX($AH$2:$AH$1001,MATCH(ROWS($AG$2:AG73),$AG$2:$AG$1001,0),1)&gt;=100000,INDEX($AN$1005:$BO$1005,1,MATCH(COLUMNS($AN$1006:AR1006),$AN$1006:$BO$1006,0))&gt;=100000), " ",IF(INDEX($AN$2:$BO$1001,MATCH(ROWS($AG$2:AG73),$AG$2:$AG$1001,0),MATCH(COLUMNS($AN$1006:AR1006),$AN$1006:$BO$1006,0)), HYPERLINK("#",""), HYPERLINK(CONCATENATE("#Metadata!", ADDRESS(INDEX($AI$2:$AI$1001,MATCH(ROWS($AG$2:AG73),$AG$2:$AG$1001,0),0), INDEX($AN$1004:$BO$1004,1,MATCH(COLUMNS($AN$1006:AR1006),$AN$1006:$BO$1006,0)))),"Fix")))</f>
        <v>0</v>
      </c>
      <c r="G73" s="4">
        <f>IF(OR(INDEX($AH$2:$AH$1001,MATCH(ROWS($AG$2:AG73),$AG$2:$AG$1001,0),1)&gt;=100000,INDEX($AN$1005:$BO$1005,1,MATCH(COLUMNS($AN$1006:AS1006),$AN$1006:$BO$1006,0))&gt;=100000), " ",IF(INDEX($AN$2:$BO$1001,MATCH(ROWS($AG$2:AG73),$AG$2:$AG$1001,0),MATCH(COLUMNS($AN$1006:AS1006),$AN$1006:$BO$1006,0)), HYPERLINK("#",""), HYPERLINK(CONCATENATE("#Metadata!", ADDRESS(INDEX($AI$2:$AI$1001,MATCH(ROWS($AG$2:AG73),$AG$2:$AG$1001,0),0), INDEX($AN$1004:$BO$1004,1,MATCH(COLUMNS($AN$1006:AS1006),$AN$1006:$BO$1006,0)))),"Fix")))</f>
        <v>0</v>
      </c>
      <c r="H73" s="4">
        <f>IF(OR(INDEX($AH$2:$AH$1001,MATCH(ROWS($AG$2:AG73),$AG$2:$AG$1001,0),1)&gt;=100000,INDEX($AN$1005:$BO$1005,1,MATCH(COLUMNS($AN$1006:AT1006),$AN$1006:$BO$1006,0))&gt;=100000), " ",IF(INDEX($AN$2:$BO$1001,MATCH(ROWS($AG$2:AG73),$AG$2:$AG$1001,0),MATCH(COLUMNS($AN$1006:AT1006),$AN$1006:$BO$1006,0)), HYPERLINK("#",""), HYPERLINK(CONCATENATE("#Metadata!", ADDRESS(INDEX($AI$2:$AI$1001,MATCH(ROWS($AG$2:AG73),$AG$2:$AG$1001,0),0), INDEX($AN$1004:$BO$1004,1,MATCH(COLUMNS($AN$1006:AT1006),$AN$1006:$BO$1006,0)))),"Fix")))</f>
        <v>0</v>
      </c>
      <c r="I73" s="4">
        <f>IF(OR(INDEX($AH$2:$AH$1001,MATCH(ROWS($AG$2:AG73),$AG$2:$AG$1001,0),1)&gt;=100000,INDEX($AN$1005:$BO$1005,1,MATCH(COLUMNS($AN$1006:AU1006),$AN$1006:$BO$1006,0))&gt;=100000), " ",IF(INDEX($AN$2:$BO$1001,MATCH(ROWS($AG$2:AG73),$AG$2:$AG$1001,0),MATCH(COLUMNS($AN$1006:AU1006),$AN$1006:$BO$1006,0)), HYPERLINK("#",""), HYPERLINK(CONCATENATE("#Metadata!", ADDRESS(INDEX($AI$2:$AI$1001,MATCH(ROWS($AG$2:AG73),$AG$2:$AG$1001,0),0), INDEX($AN$1004:$BO$1004,1,MATCH(COLUMNS($AN$1006:AU1006),$AN$1006:$BO$1006,0)))),"Fix")))</f>
        <v>0</v>
      </c>
      <c r="J73" s="4">
        <f>IF(OR(INDEX($AH$2:$AH$1001,MATCH(ROWS($AG$2:AG73),$AG$2:$AG$1001,0),1)&gt;=100000,INDEX($AN$1005:$BO$1005,1,MATCH(COLUMNS($AN$1006:AV1006),$AN$1006:$BO$1006,0))&gt;=100000), " ",IF(INDEX($AN$2:$BO$1001,MATCH(ROWS($AG$2:AG73),$AG$2:$AG$1001,0),MATCH(COLUMNS($AN$1006:AV1006),$AN$1006:$BO$1006,0)), HYPERLINK("#",""), HYPERLINK(CONCATENATE("#Metadata!", ADDRESS(INDEX($AI$2:$AI$1001,MATCH(ROWS($AG$2:AG73),$AG$2:$AG$1001,0),0), INDEX($AN$1004:$BO$1004,1,MATCH(COLUMNS($AN$1006:AV1006),$AN$1006:$BO$1006,0)))),"Fix")))</f>
        <v>0</v>
      </c>
      <c r="K73" s="4">
        <f>IF(OR(INDEX($AH$2:$AH$1001,MATCH(ROWS($AG$2:AG73),$AG$2:$AG$1001,0),1)&gt;=100000,INDEX($AN$1005:$BO$1005,1,MATCH(COLUMNS($AN$1006:AW1006),$AN$1006:$BO$1006,0))&gt;=100000), " ",IF(INDEX($AN$2:$BO$1001,MATCH(ROWS($AG$2:AG73),$AG$2:$AG$1001,0),MATCH(COLUMNS($AN$1006:AW1006),$AN$1006:$BO$1006,0)), HYPERLINK("#",""), HYPERLINK(CONCATENATE("#Metadata!", ADDRESS(INDEX($AI$2:$AI$1001,MATCH(ROWS($AG$2:AG73),$AG$2:$AG$1001,0),0), INDEX($AN$1004:$BO$1004,1,MATCH(COLUMNS($AN$1006:AW1006),$AN$1006:$BO$1006,0)))),"Fix")))</f>
        <v>0</v>
      </c>
      <c r="L73" s="4">
        <f>IF(OR(INDEX($AH$2:$AH$1001,MATCH(ROWS($AG$2:AG73),$AG$2:$AG$1001,0),1)&gt;=100000,INDEX($AN$1005:$BO$1005,1,MATCH(COLUMNS($AN$1006:AX1006),$AN$1006:$BO$1006,0))&gt;=100000), " ",IF(INDEX($AN$2:$BO$1001,MATCH(ROWS($AG$2:AG73),$AG$2:$AG$1001,0),MATCH(COLUMNS($AN$1006:AX1006),$AN$1006:$BO$1006,0)), HYPERLINK("#",""), HYPERLINK(CONCATENATE("#Metadata!", ADDRESS(INDEX($AI$2:$AI$1001,MATCH(ROWS($AG$2:AG73),$AG$2:$AG$1001,0),0), INDEX($AN$1004:$BO$1004,1,MATCH(COLUMNS($AN$1006:AX1006),$AN$1006:$BO$1006,0)))),"Fix")))</f>
        <v>0</v>
      </c>
      <c r="M73" s="4">
        <f>IF(OR(INDEX($AH$2:$AH$1001,MATCH(ROWS($AG$2:AG73),$AG$2:$AG$1001,0),1)&gt;=100000,INDEX($AN$1005:$BO$1005,1,MATCH(COLUMNS($AN$1006:AY1006),$AN$1006:$BO$1006,0))&gt;=100000), " ",IF(INDEX($AN$2:$BO$1001,MATCH(ROWS($AG$2:AG73),$AG$2:$AG$1001,0),MATCH(COLUMNS($AN$1006:AY1006),$AN$1006:$BO$1006,0)), HYPERLINK("#",""), HYPERLINK(CONCATENATE("#Metadata!", ADDRESS(INDEX($AI$2:$AI$1001,MATCH(ROWS($AG$2:AG73),$AG$2:$AG$1001,0),0), INDEX($AN$1004:$BO$1004,1,MATCH(COLUMNS($AN$1006:AY1006),$AN$1006:$BO$1006,0)))),"Fix")))</f>
        <v>0</v>
      </c>
      <c r="N73" s="4">
        <f>IF(OR(INDEX($AH$2:$AH$1001,MATCH(ROWS($AG$2:AG73),$AG$2:$AG$1001,0),1)&gt;=100000,INDEX($AN$1005:$BO$1005,1,MATCH(COLUMNS($AN$1006:AZ1006),$AN$1006:$BO$1006,0))&gt;=100000), " ",IF(INDEX($AN$2:$BO$1001,MATCH(ROWS($AG$2:AG73),$AG$2:$AG$1001,0),MATCH(COLUMNS($AN$1006:AZ1006),$AN$1006:$BO$1006,0)), HYPERLINK("#",""), HYPERLINK(CONCATENATE("#Metadata!", ADDRESS(INDEX($AI$2:$AI$1001,MATCH(ROWS($AG$2:AG73),$AG$2:$AG$1001,0),0), INDEX($AN$1004:$BO$1004,1,MATCH(COLUMNS($AN$1006:AZ1006),$AN$1006:$BO$1006,0)))),"Fix")))</f>
        <v>0</v>
      </c>
      <c r="O73" s="4">
        <f>IF(OR(INDEX($AH$2:$AH$1001,MATCH(ROWS($AG$2:AG73),$AG$2:$AG$1001,0),1)&gt;=100000,INDEX($AN$1005:$BO$1005,1,MATCH(COLUMNS($AN$1006:BA1006),$AN$1006:$BO$1006,0))&gt;=100000), " ",IF(INDEX($AN$2:$BO$1001,MATCH(ROWS($AG$2:AG73),$AG$2:$AG$1001,0),MATCH(COLUMNS($AN$1006:BA1006),$AN$1006:$BO$1006,0)), HYPERLINK("#",""), HYPERLINK(CONCATENATE("#Metadata!", ADDRESS(INDEX($AI$2:$AI$1001,MATCH(ROWS($AG$2:AG73),$AG$2:$AG$1001,0),0), INDEX($AN$1004:$BO$1004,1,MATCH(COLUMNS($AN$1006:BA1006),$AN$1006:$BO$1006,0)))),"Fix")))</f>
        <v>0</v>
      </c>
      <c r="P73" s="4">
        <f>IF(OR(INDEX($AH$2:$AH$1001,MATCH(ROWS($AG$2:AG73),$AG$2:$AG$1001,0),1)&gt;=100000,INDEX($AN$1005:$BO$1005,1,MATCH(COLUMNS($AN$1006:BB1006),$AN$1006:$BO$1006,0))&gt;=100000), " ",IF(INDEX($AN$2:$BO$1001,MATCH(ROWS($AG$2:AG73),$AG$2:$AG$1001,0),MATCH(COLUMNS($AN$1006:BB1006),$AN$1006:$BO$1006,0)), HYPERLINK("#",""), HYPERLINK(CONCATENATE("#Metadata!", ADDRESS(INDEX($AI$2:$AI$1001,MATCH(ROWS($AG$2:AG73),$AG$2:$AG$1001,0),0), INDEX($AN$1004:$BO$1004,1,MATCH(COLUMNS($AN$1006:BB1006),$AN$1006:$BO$1006,0)))),"Fix")))</f>
        <v>0</v>
      </c>
      <c r="Q73" s="4">
        <f>IF(OR(INDEX($AH$2:$AH$1001,MATCH(ROWS($AG$2:AG73),$AG$2:$AG$1001,0),1)&gt;=100000,INDEX($AN$1005:$BO$1005,1,MATCH(COLUMNS($AN$1006:BC1006),$AN$1006:$BO$1006,0))&gt;=100000), " ",IF(INDEX($AN$2:$BO$1001,MATCH(ROWS($AG$2:AG73),$AG$2:$AG$1001,0),MATCH(COLUMNS($AN$1006:BC1006),$AN$1006:$BO$1006,0)), HYPERLINK("#",""), HYPERLINK(CONCATENATE("#Metadata!", ADDRESS(INDEX($AI$2:$AI$1001,MATCH(ROWS($AG$2:AG73),$AG$2:$AG$1001,0),0), INDEX($AN$1004:$BO$1004,1,MATCH(COLUMNS($AN$1006:BC1006),$AN$1006:$BO$1006,0)))),"Fix")))</f>
        <v>0</v>
      </c>
      <c r="R73" s="4">
        <f>IF(OR(INDEX($AH$2:$AH$1001,MATCH(ROWS($AG$2:AG73),$AG$2:$AG$1001,0),1)&gt;=100000,INDEX($AN$1005:$BO$1005,1,MATCH(COLUMNS($AN$1006:BD1006),$AN$1006:$BO$1006,0))&gt;=100000), " ",IF(INDEX($AN$2:$BO$1001,MATCH(ROWS($AG$2:AG73),$AG$2:$AG$1001,0),MATCH(COLUMNS($AN$1006:BD1006),$AN$1006:$BO$1006,0)), HYPERLINK("#",""), HYPERLINK(CONCATENATE("#Metadata!", ADDRESS(INDEX($AI$2:$AI$1001,MATCH(ROWS($AG$2:AG73),$AG$2:$AG$1001,0),0), INDEX($AN$1004:$BO$1004,1,MATCH(COLUMNS($AN$1006:BD1006),$AN$1006:$BO$1006,0)))),"Fix")))</f>
        <v>0</v>
      </c>
      <c r="S73" s="4">
        <f>IF(OR(INDEX($AH$2:$AH$1001,MATCH(ROWS($AG$2:AG73),$AG$2:$AG$1001,0),1)&gt;=100000,INDEX($AN$1005:$BO$1005,1,MATCH(COLUMNS($AN$1006:BE1006),$AN$1006:$BO$1006,0))&gt;=100000), " ",IF(INDEX($AN$2:$BO$1001,MATCH(ROWS($AG$2:AG73),$AG$2:$AG$1001,0),MATCH(COLUMNS($AN$1006:BE1006),$AN$1006:$BO$1006,0)), HYPERLINK("#",""), HYPERLINK(CONCATENATE("#Metadata!", ADDRESS(INDEX($AI$2:$AI$1001,MATCH(ROWS($AG$2:AG73),$AG$2:$AG$1001,0),0), INDEX($AN$1004:$BO$1004,1,MATCH(COLUMNS($AN$1006:BE1006),$AN$1006:$BO$1006,0)))),"Fix")))</f>
        <v>0</v>
      </c>
      <c r="T73" s="4">
        <f>IF(OR(INDEX($AH$2:$AH$1001,MATCH(ROWS($AG$2:AG73),$AG$2:$AG$1001,0),1)&gt;=100000,INDEX($AN$1005:$BO$1005,1,MATCH(COLUMNS($AN$1006:BF1006),$AN$1006:$BO$1006,0))&gt;=100000), " ",IF(INDEX($AN$2:$BO$1001,MATCH(ROWS($AG$2:AG73),$AG$2:$AG$1001,0),MATCH(COLUMNS($AN$1006:BF1006),$AN$1006:$BO$1006,0)), HYPERLINK("#",""), HYPERLINK(CONCATENATE("#Metadata!", ADDRESS(INDEX($AI$2:$AI$1001,MATCH(ROWS($AG$2:AG73),$AG$2:$AG$1001,0),0), INDEX($AN$1004:$BO$1004,1,MATCH(COLUMNS($AN$1006:BF1006),$AN$1006:$BO$1006,0)))),"Fix")))</f>
        <v>0</v>
      </c>
      <c r="U73" s="4">
        <f>IF(OR(INDEX($AH$2:$AH$1001,MATCH(ROWS($AG$2:AG73),$AG$2:$AG$1001,0),1)&gt;=100000,INDEX($AN$1005:$BO$1005,1,MATCH(COLUMNS($AN$1006:BG1006),$AN$1006:$BO$1006,0))&gt;=100000), " ",IF(INDEX($AN$2:$BO$1001,MATCH(ROWS($AG$2:AG73),$AG$2:$AG$1001,0),MATCH(COLUMNS($AN$1006:BG1006),$AN$1006:$BO$1006,0)), HYPERLINK("#",""), HYPERLINK(CONCATENATE("#Metadata!", ADDRESS(INDEX($AI$2:$AI$1001,MATCH(ROWS($AG$2:AG73),$AG$2:$AG$1001,0),0), INDEX($AN$1004:$BO$1004,1,MATCH(COLUMNS($AN$1006:BG1006),$AN$1006:$BO$1006,0)))),"Fix")))</f>
        <v>0</v>
      </c>
      <c r="V73" s="4">
        <f>IF(OR(INDEX($AH$2:$AH$1001,MATCH(ROWS($AG$2:AG73),$AG$2:$AG$1001,0),1)&gt;=100000,INDEX($AN$1005:$BO$1005,1,MATCH(COLUMNS($AN$1006:BH1006),$AN$1006:$BO$1006,0))&gt;=100000), " ",IF(INDEX($AN$2:$BO$1001,MATCH(ROWS($AG$2:AG73),$AG$2:$AG$1001,0),MATCH(COLUMNS($AN$1006:BH1006),$AN$1006:$BO$1006,0)), HYPERLINK("#",""), HYPERLINK(CONCATENATE("#Metadata!", ADDRESS(INDEX($AI$2:$AI$1001,MATCH(ROWS($AG$2:AG73),$AG$2:$AG$1001,0),0), INDEX($AN$1004:$BO$1004,1,MATCH(COLUMNS($AN$1006:BH1006),$AN$1006:$BO$1006,0)))),"Fix")))</f>
        <v>0</v>
      </c>
      <c r="W73" s="4">
        <f>IF(OR(INDEX($AH$2:$AH$1001,MATCH(ROWS($AG$2:AG73),$AG$2:$AG$1001,0),1)&gt;=100000,INDEX($AN$1005:$BO$1005,1,MATCH(COLUMNS($AN$1006:BI1006),$AN$1006:$BO$1006,0))&gt;=100000), " ",IF(INDEX($AN$2:$BO$1001,MATCH(ROWS($AG$2:AG73),$AG$2:$AG$1001,0),MATCH(COLUMNS($AN$1006:BI1006),$AN$1006:$BO$1006,0)), HYPERLINK("#",""), HYPERLINK(CONCATENATE("#Metadata!", ADDRESS(INDEX($AI$2:$AI$1001,MATCH(ROWS($AG$2:AG73),$AG$2:$AG$1001,0),0), INDEX($AN$1004:$BO$1004,1,MATCH(COLUMNS($AN$1006:BI1006),$AN$1006:$BO$1006,0)))),"Fix")))</f>
        <v>0</v>
      </c>
      <c r="X73" s="4">
        <f>IF(OR(INDEX($AH$2:$AH$1001,MATCH(ROWS($AG$2:AG73),$AG$2:$AG$1001,0),1)&gt;=100000,INDEX($AN$1005:$BO$1005,1,MATCH(COLUMNS($AN$1006:BJ1006),$AN$1006:$BO$1006,0))&gt;=100000), " ",IF(INDEX($AN$2:$BO$1001,MATCH(ROWS($AG$2:AG73),$AG$2:$AG$1001,0),MATCH(COLUMNS($AN$1006:BJ1006),$AN$1006:$BO$1006,0)), HYPERLINK("#",""), HYPERLINK(CONCATENATE("#Metadata!", ADDRESS(INDEX($AI$2:$AI$1001,MATCH(ROWS($AG$2:AG73),$AG$2:$AG$1001,0),0), INDEX($AN$1004:$BO$1004,1,MATCH(COLUMNS($AN$1006:BJ1006),$AN$1006:$BO$1006,0)))),"Fix")))</f>
        <v>0</v>
      </c>
      <c r="Y73" s="4">
        <f>IF(OR(INDEX($AH$2:$AH$1001,MATCH(ROWS($AG$2:AG73),$AG$2:$AG$1001,0),1)&gt;=100000,INDEX($AN$1005:$BO$1005,1,MATCH(COLUMNS($AN$1006:BK1006),$AN$1006:$BO$1006,0))&gt;=100000), " ",IF(INDEX($AN$2:$BO$1001,MATCH(ROWS($AG$2:AG73),$AG$2:$AG$1001,0),MATCH(COLUMNS($AN$1006:BK1006),$AN$1006:$BO$1006,0)), HYPERLINK("#",""), HYPERLINK(CONCATENATE("#Metadata!", ADDRESS(INDEX($AI$2:$AI$1001,MATCH(ROWS($AG$2:AG73),$AG$2:$AG$1001,0),0), INDEX($AN$1004:$BO$1004,1,MATCH(COLUMNS($AN$1006:BK1006),$AN$1006:$BO$1006,0)))),"Fix")))</f>
        <v>0</v>
      </c>
      <c r="Z73" s="4">
        <f>IF(OR(INDEX($AH$2:$AH$1001,MATCH(ROWS($AG$2:AG73),$AG$2:$AG$1001,0),1)&gt;=100000,INDEX($AN$1005:$BO$1005,1,MATCH(COLUMNS($AN$1006:BL1006),$AN$1006:$BO$1006,0))&gt;=100000), " ",IF(INDEX($AN$2:$BO$1001,MATCH(ROWS($AG$2:AG73),$AG$2:$AG$1001,0),MATCH(COLUMNS($AN$1006:BL1006),$AN$1006:$BO$1006,0)), HYPERLINK("#",""), HYPERLINK(CONCATENATE("#Metadata!", ADDRESS(INDEX($AI$2:$AI$1001,MATCH(ROWS($AG$2:AG73),$AG$2:$AG$1001,0),0), INDEX($AN$1004:$BO$1004,1,MATCH(COLUMNS($AN$1006:BL1006),$AN$1006:$BO$1006,0)))),"Fix")))</f>
        <v>0</v>
      </c>
      <c r="AA73" s="4">
        <f>IF(OR(INDEX($AH$2:$AH$1001,MATCH(ROWS($AG$2:AG73),$AG$2:$AG$1001,0),1)&gt;=100000,INDEX($AN$1005:$BO$1005,1,MATCH(COLUMNS($AN$1006:BM1006),$AN$1006:$BO$1006,0))&gt;=100000), " ",IF(INDEX($AN$2:$BO$1001,MATCH(ROWS($AG$2:AG73),$AG$2:$AG$1001,0),MATCH(COLUMNS($AN$1006:BM1006),$AN$1006:$BO$1006,0)), HYPERLINK("#",""), HYPERLINK(CONCATENATE("#Metadata!", ADDRESS(INDEX($AI$2:$AI$1001,MATCH(ROWS($AG$2:AG73),$AG$2:$AG$1001,0),0), INDEX($AN$1004:$BO$1004,1,MATCH(COLUMNS($AN$1006:BM1006),$AN$1006:$BO$1006,0)))),"Fix")))</f>
        <v>0</v>
      </c>
      <c r="AB73" s="4">
        <f>IF(OR(INDEX($AH$2:$AH$1001,MATCH(ROWS($AG$2:AG73),$AG$2:$AG$1001,0),1)&gt;=100000,INDEX($AN$1005:$BO$1005,1,MATCH(COLUMNS($AN$1006:BN1006),$AN$1006:$BO$1006,0))&gt;=100000), " ",IF(INDEX($AN$2:$BO$1001,MATCH(ROWS($AG$2:AG73),$AG$2:$AG$1001,0),MATCH(COLUMNS($AN$1006:BN1006),$AN$1006:$BO$1006,0)), HYPERLINK("#",""), HYPERLINK(CONCATENATE("#Metadata!", ADDRESS(INDEX($AI$2:$AI$1001,MATCH(ROWS($AG$2:AG73),$AG$2:$AG$1001,0),0), INDEX($AN$1004:$BO$1004,1,MATCH(COLUMNS($AN$1006:BN1006),$AN$1006:$BO$1006,0)))),"Fix")))</f>
        <v>0</v>
      </c>
      <c r="AC73" s="4">
        <f>IF(OR(INDEX($AH$2:$AH$1001,MATCH(ROWS($AG$2:AG73),$AG$2:$AG$1001,0),1)&gt;=100000,INDEX($AN$1005:$BO$1005,1,MATCH(COLUMNS($AN$1006:BO1006),$AN$1006:$BO$1006,0))&gt;=100000), " ",IF(INDEX($AN$2:$BO$1001,MATCH(ROWS($AG$2:AG73),$AG$2:$AG$1001,0),MATCH(COLUMNS($AN$1006:BO1006),$AN$1006:$BO$1006,0)), HYPERLINK("#",""), HYPERLINK(CONCATENATE("#Metadata!", ADDRESS(INDEX($AI$2:$AI$1001,MATCH(ROWS($AG$2:AG73),$AG$2:$AG$1001,0),0), INDEX($AN$1004:$BO$1004,1,MATCH(COLUMNS($AN$1006:BO1006),$AN$1006:$BO$1006,0)))),"Fix")))</f>
        <v>0</v>
      </c>
      <c r="AG73">
        <v>0</v>
      </c>
      <c r="AH73">
        <v>0</v>
      </c>
      <c r="AI73">
        <v>0</v>
      </c>
      <c r="AJ73">
        <f>IF(AK73,TRUE,AND(AN73:BO73))</f>
        <v>0</v>
      </c>
      <c r="AK73">
        <f>COUNTBLANK(Metadata!B73:AC73)=COLUMNS(Metadata!B73:AC73)</f>
        <v>0</v>
      </c>
      <c r="AL73">
        <v>0</v>
      </c>
      <c r="AN73">
        <f>AND(IF(Metadata!B73="",FALSE,TRUE),COUNTIF(Metadata!B:B, Metadata!B73) = 1,NOT(ISERROR(SUMPRODUCT(SEARCH(MID(Metadata!B73,ROW(INDIRECT("1:"&amp;LEN(Metadata!B73))), 1),"0123456789abcdefghijklmnopqrstuvwxyzABCDEFGHIJKLMNOPQRSTUVWXYZ.")))))</f>
        <v>0</v>
      </c>
      <c r="AO73">
        <f>IF(Metadata!C73="",FALSE,TRUE)</f>
        <v>0</v>
      </c>
      <c r="AP73">
        <f>IF(Metadata!D73="",FALSE,TRUE)</f>
        <v>0</v>
      </c>
      <c r="AQ73">
        <f>OR(AND(IF(Metadata!E73="",FALSE,TRUE),OR(exact(Metadata!E73,"not collected"),exact(Metadata!E73,"not provided"),exact(Metadata!E73,"restricted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R73">
        <f>IF(Metadata!F73="",FALSE,TRUE)</f>
        <v>0</v>
      </c>
      <c r="AS73">
        <f>OR(AND(IF(Metadata!G73="",FALSE,TRUE),OR(exact(Metadata!G73,"not collected"),exact(Metadata!G73,"not provided"))),AND(IF(Metadata!G73="",FALSE,TRUE),OR(exact(Metadata!G73,"TRUE"),exact(Metadata!G73,"FALSE"))))</f>
        <v>0</v>
      </c>
      <c r="AT73">
        <f>OR(AND(IF(Metadata!H73="",FALSE,TRUE),OR(exact(Metadata!H73,"not collected"),exact(Metadata!H73,"not provided"),exact(Metadata!H73,"restricted access"))),AND(IF(Metadata!H73="",FALSE,ISNUMBER(VALUE(Metadata!H73))),Metadata!H73&gt;=-413.0))</f>
        <v>0</v>
      </c>
      <c r="AU73">
        <f>AND(IF(Metadata!I73="",FALSE,TRUE),exact(Metadata!I73,"meters"))</f>
        <v>0</v>
      </c>
      <c r="AV73">
        <f>AND(IF(Metadata!J73="",FALSE,TRUE),OR(exact(Metadata!J73,"Host-associated"),exact(Metadata!J73,"Free-living")))</f>
        <v>0</v>
      </c>
      <c r="AW73">
        <f>AND(IF(Metadata!K73="",FALSE,TRUE),OR(exact(Metadata!K73,"Animal"),exact(Metadata!K73,"Fungus"),exact(Metadata!K73,"Plant"),exact(Metadata!K73,"Saline"),exact(Metadata!K73,"Non-saline")))</f>
        <v>0</v>
      </c>
      <c r="AX73">
        <f>AND(IF(Metadata!L73="",FALSE,TRUE),OR(exact(Metadata!L73,"Plant secretion"),exact(Metadata!L73,"Plant rhizosphere"),exact(Metadata!L73,"Plant surface"),exact(Metadata!L73,"Plant corpus"),exact(Metadata!L73,"Fungus surface"),exact(Metadata!L73,"Fungus corpus"),exact(Metadata!L73,"Animal surface"),exact(Metadata!L73,"Animal proximal gut"),exact(Metadata!L73,"Animal corpus"),exact(Metadata!L73,"Animal distal gut"),exact(Metadata!L73,"Animal secretion"),exact(Metadata!L73,"Sub-surface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Y73">
        <f>IF(Metadata!M73="",FALSE,TRUE)</f>
        <v>0</v>
      </c>
      <c r="AZ73">
        <f>IF(Metadata!N73="",FALSE,TRUE)</f>
        <v>0</v>
      </c>
      <c r="BA73">
        <f>IF(Metadata!O73="",FALSE,TRUE)</f>
        <v>0</v>
      </c>
      <c r="BB73">
        <f>OR(AND(IF(Metadata!P73="",FALSE,TRUE),OR(exact(Metadata!P73,"not collected"),exact(Metadata!P73,"not provided"),exact(Metadata!P73,"restricted access"))),AND(IF(Metadata!P73="",FALSE,TRUE),OR(exact(Metadata!P73,"air"),exact(Metadata!P73,"built environment"),exact(Metadata!P73,"host-associated"),exact(Metadata!P73,"human-associated"),exact(Metadata!P73,"human-skin"),exact(Metadata!P73,"human-oral"),exact(Metadata!P73,"human-gut"),exact(Metadata!P73,"human-vaginal"),exact(Metadata!P73,"microbial mat/biofilm"),exact(Metadata!P73,"misc environment"),exact(Metadata!P73,"plant-associated"),exact(Metadata!P73,"sediment"),exact(Metadata!P73,"soil"),exact(Metadata!P73,"wastewater/sludge"),exact(Metadata!P73,"water"))))</f>
        <v>0</v>
      </c>
      <c r="BC73">
        <f>IF(Metadata!Q73="",FALSE,TRUE)</f>
        <v>0</v>
      </c>
      <c r="BD73">
        <f>IF(Metadata!R73="",FALSE,TRUE)</f>
        <v>0</v>
      </c>
      <c r="BE73">
        <f>OR(AND(IF(Metadata!S73="",FALSE,TRUE),OR(exact(Metadata!S73,"not collected"),exact(Metadata!S73,"not provided"),exact(Metadata!S73,"restricted access"))),AND(IF(Metadata!S73="",FALSE,ISNUMBER(VALUE(Metadata!S73))),Metadata!S73&gt;=-90.00,Metadata!S73&lt;=90.00))</f>
        <v>0</v>
      </c>
      <c r="BF73">
        <f>AND(IF(Metadata!T73="",FALSE,TRUE),exact(Metadata!T73,"Decimal degrees"))</f>
        <v>0</v>
      </c>
      <c r="BG73">
        <f>OR(AND(IF(Metadata!U73="",FALSE,TRUE),OR(exact(Metadata!U73,"not collected"),exact(Metadata!U73,"not provided"),exact(Metadata!U73,"restricted access"))),AND(IF(Metadata!U73="",FALSE,ISNUMBER(VALUE(Metadata!U73))),Metadata!U73&gt;=-180.00,Metadata!U73&lt;=180.00))</f>
        <v>0</v>
      </c>
      <c r="BH73">
        <f>AND(IF(Metadata!V73="",FALSE,TRUE),exact(Metadata!V73,"Decimal degrees"))</f>
        <v>0</v>
      </c>
      <c r="BI73">
        <f>IF(Metadata!W73="",FALSE,TRUE)</f>
        <v>0</v>
      </c>
      <c r="BJ73">
        <f>OR(AND(IF(Metadata!X73="",FALSE,TRUE),OR(exact(Metadata!X73,"not collected"),exact(Metadata!X73,"not provided"),exact(Metadata!X73,"restricted access"))),AND(IF(Metadata!X73="",FALSE,TRUE),OR(exact(Metadata!X73,"TRUE"),exact(Metadata!X73,"FALSE"))))</f>
        <v>0</v>
      </c>
      <c r="BK73">
        <f>AND(IF(Metadata!Y73="",FALSE,TRUE),exact(Metadata!Y73,"other"))</f>
        <v>0</v>
      </c>
      <c r="BL73">
        <f>IF(Metadata!Z73="",FALSE,TRUE)</f>
        <v>0</v>
      </c>
      <c r="BM73">
        <f>OR(AND(IF(Metadata!AA73="",FALSE,TRUE),OR(exact(Metadata!AA73,"not collected"),exact(Metadata!AA73,"not provided"))),AND(IF(Metadata!AA73="",FALSE,IF(ISERROR(INT(Metadata!AA73)),FALSE,INT(Metadata!AA73)=Metadata!AA73)),Metadata!AA73&gt;0))</f>
        <v>0</v>
      </c>
      <c r="BN73">
        <f>AND(IF(Metadata!AB73="",FALSE,TRUE),exact(Metadata!AB73,"Not applicable"))</f>
        <v>0</v>
      </c>
      <c r="BO73">
        <f>IF(Metadata!AC73="",FALSE,TRUE)</f>
        <v>0</v>
      </c>
    </row>
    <row r="74" spans="1:67">
      <c r="A74" s="5">
        <f>IF(B74=" "," ",HYPERLINK(CONCATENATE("#metadata!",ADDRESS(INDEX($AI$2:$AI$1001,MATCH(ROWS($AG$2:AG74),$AG$2:$AG$1001,0),0),1)),INDEX($AL$2:$AL$1001,MATCH(ROWS($AG$2:AG74),$AG$2:$AG$1001,0),0)))</f>
        <v>0</v>
      </c>
      <c r="B74" s="4">
        <f>IF(OR(INDEX($AH$2:$AH$1001,MATCH(ROWS($AG$2:AG74),$AG$2:$AG$1001,0),1)&gt;=100000,INDEX($AN$1005:$BO$1005,1,MATCH(COLUMNS($AN$1006:AN1006),$AN$1006:$BO$1006,0))&gt;=100000), " ",IF(INDEX($AN$2:$BO$1001,MATCH(ROWS($AG$2:AG74),$AG$2:$AG$1001,0),MATCH(COLUMNS($AN$1006:AN1006),$AN$1006:$BO$1006,0)), HYPERLINK("#",""), HYPERLINK(CONCATENATE("#Metadata!", ADDRESS(INDEX($AI$2:$AI$1001,MATCH(ROWS($AG$2:AG74),$AG$2:$AG$1001,0),0), INDEX($AN$1004:$BO$1004,1,MATCH(COLUMNS($AN$1006:AN1006),$AN$1006:$BO$1006,0)))),"Fix")))</f>
        <v>0</v>
      </c>
      <c r="C74" s="4">
        <f>IF(OR(INDEX($AH$2:$AH$1001,MATCH(ROWS($AG$2:AG74),$AG$2:$AG$1001,0),1)&gt;=100000,INDEX($AN$1005:$BO$1005,1,MATCH(COLUMNS($AN$1006:AO1006),$AN$1006:$BO$1006,0))&gt;=100000), " ",IF(INDEX($AN$2:$BO$1001,MATCH(ROWS($AG$2:AG74),$AG$2:$AG$1001,0),MATCH(COLUMNS($AN$1006:AO1006),$AN$1006:$BO$1006,0)), HYPERLINK("#",""), HYPERLINK(CONCATENATE("#Metadata!", ADDRESS(INDEX($AI$2:$AI$1001,MATCH(ROWS($AG$2:AG74),$AG$2:$AG$1001,0),0), INDEX($AN$1004:$BO$1004,1,MATCH(COLUMNS($AN$1006:AO1006),$AN$1006:$BO$1006,0)))),"Fix")))</f>
        <v>0</v>
      </c>
      <c r="D74" s="4">
        <f>IF(OR(INDEX($AH$2:$AH$1001,MATCH(ROWS($AG$2:AG74),$AG$2:$AG$1001,0),1)&gt;=100000,INDEX($AN$1005:$BO$1005,1,MATCH(COLUMNS($AN$1006:AP1006),$AN$1006:$BO$1006,0))&gt;=100000), " ",IF(INDEX($AN$2:$BO$1001,MATCH(ROWS($AG$2:AG74),$AG$2:$AG$1001,0),MATCH(COLUMNS($AN$1006:AP1006),$AN$1006:$BO$1006,0)), HYPERLINK("#",""), HYPERLINK(CONCATENATE("#Metadata!", ADDRESS(INDEX($AI$2:$AI$1001,MATCH(ROWS($AG$2:AG74),$AG$2:$AG$1001,0),0), INDEX($AN$1004:$BO$1004,1,MATCH(COLUMNS($AN$1006:AP1006),$AN$1006:$BO$1006,0)))),"Fix")))</f>
        <v>0</v>
      </c>
      <c r="E74" s="4">
        <f>IF(OR(INDEX($AH$2:$AH$1001,MATCH(ROWS($AG$2:AG74),$AG$2:$AG$1001,0),1)&gt;=100000,INDEX($AN$1005:$BO$1005,1,MATCH(COLUMNS($AN$1006:AQ1006),$AN$1006:$BO$1006,0))&gt;=100000), " ",IF(INDEX($AN$2:$BO$1001,MATCH(ROWS($AG$2:AG74),$AG$2:$AG$1001,0),MATCH(COLUMNS($AN$1006:AQ1006),$AN$1006:$BO$1006,0)), HYPERLINK("#",""), HYPERLINK(CONCATENATE("#Metadata!", ADDRESS(INDEX($AI$2:$AI$1001,MATCH(ROWS($AG$2:AG74),$AG$2:$AG$1001,0),0), INDEX($AN$1004:$BO$1004,1,MATCH(COLUMNS($AN$1006:AQ1006),$AN$1006:$BO$1006,0)))),"Fix")))</f>
        <v>0</v>
      </c>
      <c r="F74" s="4">
        <f>IF(OR(INDEX($AH$2:$AH$1001,MATCH(ROWS($AG$2:AG74),$AG$2:$AG$1001,0),1)&gt;=100000,INDEX($AN$1005:$BO$1005,1,MATCH(COLUMNS($AN$1006:AR1006),$AN$1006:$BO$1006,0))&gt;=100000), " ",IF(INDEX($AN$2:$BO$1001,MATCH(ROWS($AG$2:AG74),$AG$2:$AG$1001,0),MATCH(COLUMNS($AN$1006:AR1006),$AN$1006:$BO$1006,0)), HYPERLINK("#",""), HYPERLINK(CONCATENATE("#Metadata!", ADDRESS(INDEX($AI$2:$AI$1001,MATCH(ROWS($AG$2:AG74),$AG$2:$AG$1001,0),0), INDEX($AN$1004:$BO$1004,1,MATCH(COLUMNS($AN$1006:AR1006),$AN$1006:$BO$1006,0)))),"Fix")))</f>
        <v>0</v>
      </c>
      <c r="G74" s="4">
        <f>IF(OR(INDEX($AH$2:$AH$1001,MATCH(ROWS($AG$2:AG74),$AG$2:$AG$1001,0),1)&gt;=100000,INDEX($AN$1005:$BO$1005,1,MATCH(COLUMNS($AN$1006:AS1006),$AN$1006:$BO$1006,0))&gt;=100000), " ",IF(INDEX($AN$2:$BO$1001,MATCH(ROWS($AG$2:AG74),$AG$2:$AG$1001,0),MATCH(COLUMNS($AN$1006:AS1006),$AN$1006:$BO$1006,0)), HYPERLINK("#",""), HYPERLINK(CONCATENATE("#Metadata!", ADDRESS(INDEX($AI$2:$AI$1001,MATCH(ROWS($AG$2:AG74),$AG$2:$AG$1001,0),0), INDEX($AN$1004:$BO$1004,1,MATCH(COLUMNS($AN$1006:AS1006),$AN$1006:$BO$1006,0)))),"Fix")))</f>
        <v>0</v>
      </c>
      <c r="H74" s="4">
        <f>IF(OR(INDEX($AH$2:$AH$1001,MATCH(ROWS($AG$2:AG74),$AG$2:$AG$1001,0),1)&gt;=100000,INDEX($AN$1005:$BO$1005,1,MATCH(COLUMNS($AN$1006:AT1006),$AN$1006:$BO$1006,0))&gt;=100000), " ",IF(INDEX($AN$2:$BO$1001,MATCH(ROWS($AG$2:AG74),$AG$2:$AG$1001,0),MATCH(COLUMNS($AN$1006:AT1006),$AN$1006:$BO$1006,0)), HYPERLINK("#",""), HYPERLINK(CONCATENATE("#Metadata!", ADDRESS(INDEX($AI$2:$AI$1001,MATCH(ROWS($AG$2:AG74),$AG$2:$AG$1001,0),0), INDEX($AN$1004:$BO$1004,1,MATCH(COLUMNS($AN$1006:AT1006),$AN$1006:$BO$1006,0)))),"Fix")))</f>
        <v>0</v>
      </c>
      <c r="I74" s="4">
        <f>IF(OR(INDEX($AH$2:$AH$1001,MATCH(ROWS($AG$2:AG74),$AG$2:$AG$1001,0),1)&gt;=100000,INDEX($AN$1005:$BO$1005,1,MATCH(COLUMNS($AN$1006:AU1006),$AN$1006:$BO$1006,0))&gt;=100000), " ",IF(INDEX($AN$2:$BO$1001,MATCH(ROWS($AG$2:AG74),$AG$2:$AG$1001,0),MATCH(COLUMNS($AN$1006:AU1006),$AN$1006:$BO$1006,0)), HYPERLINK("#",""), HYPERLINK(CONCATENATE("#Metadata!", ADDRESS(INDEX($AI$2:$AI$1001,MATCH(ROWS($AG$2:AG74),$AG$2:$AG$1001,0),0), INDEX($AN$1004:$BO$1004,1,MATCH(COLUMNS($AN$1006:AU1006),$AN$1006:$BO$1006,0)))),"Fix")))</f>
        <v>0</v>
      </c>
      <c r="J74" s="4">
        <f>IF(OR(INDEX($AH$2:$AH$1001,MATCH(ROWS($AG$2:AG74),$AG$2:$AG$1001,0),1)&gt;=100000,INDEX($AN$1005:$BO$1005,1,MATCH(COLUMNS($AN$1006:AV1006),$AN$1006:$BO$1006,0))&gt;=100000), " ",IF(INDEX($AN$2:$BO$1001,MATCH(ROWS($AG$2:AG74),$AG$2:$AG$1001,0),MATCH(COLUMNS($AN$1006:AV1006),$AN$1006:$BO$1006,0)), HYPERLINK("#",""), HYPERLINK(CONCATENATE("#Metadata!", ADDRESS(INDEX($AI$2:$AI$1001,MATCH(ROWS($AG$2:AG74),$AG$2:$AG$1001,0),0), INDEX($AN$1004:$BO$1004,1,MATCH(COLUMNS($AN$1006:AV1006),$AN$1006:$BO$1006,0)))),"Fix")))</f>
        <v>0</v>
      </c>
      <c r="K74" s="4">
        <f>IF(OR(INDEX($AH$2:$AH$1001,MATCH(ROWS($AG$2:AG74),$AG$2:$AG$1001,0),1)&gt;=100000,INDEX($AN$1005:$BO$1005,1,MATCH(COLUMNS($AN$1006:AW1006),$AN$1006:$BO$1006,0))&gt;=100000), " ",IF(INDEX($AN$2:$BO$1001,MATCH(ROWS($AG$2:AG74),$AG$2:$AG$1001,0),MATCH(COLUMNS($AN$1006:AW1006),$AN$1006:$BO$1006,0)), HYPERLINK("#",""), HYPERLINK(CONCATENATE("#Metadata!", ADDRESS(INDEX($AI$2:$AI$1001,MATCH(ROWS($AG$2:AG74),$AG$2:$AG$1001,0),0), INDEX($AN$1004:$BO$1004,1,MATCH(COLUMNS($AN$1006:AW1006),$AN$1006:$BO$1006,0)))),"Fix")))</f>
        <v>0</v>
      </c>
      <c r="L74" s="4">
        <f>IF(OR(INDEX($AH$2:$AH$1001,MATCH(ROWS($AG$2:AG74),$AG$2:$AG$1001,0),1)&gt;=100000,INDEX($AN$1005:$BO$1005,1,MATCH(COLUMNS($AN$1006:AX1006),$AN$1006:$BO$1006,0))&gt;=100000), " ",IF(INDEX($AN$2:$BO$1001,MATCH(ROWS($AG$2:AG74),$AG$2:$AG$1001,0),MATCH(COLUMNS($AN$1006:AX1006),$AN$1006:$BO$1006,0)), HYPERLINK("#",""), HYPERLINK(CONCATENATE("#Metadata!", ADDRESS(INDEX($AI$2:$AI$1001,MATCH(ROWS($AG$2:AG74),$AG$2:$AG$1001,0),0), INDEX($AN$1004:$BO$1004,1,MATCH(COLUMNS($AN$1006:AX1006),$AN$1006:$BO$1006,0)))),"Fix")))</f>
        <v>0</v>
      </c>
      <c r="M74" s="4">
        <f>IF(OR(INDEX($AH$2:$AH$1001,MATCH(ROWS($AG$2:AG74),$AG$2:$AG$1001,0),1)&gt;=100000,INDEX($AN$1005:$BO$1005,1,MATCH(COLUMNS($AN$1006:AY1006),$AN$1006:$BO$1006,0))&gt;=100000), " ",IF(INDEX($AN$2:$BO$1001,MATCH(ROWS($AG$2:AG74),$AG$2:$AG$1001,0),MATCH(COLUMNS($AN$1006:AY1006),$AN$1006:$BO$1006,0)), HYPERLINK("#",""), HYPERLINK(CONCATENATE("#Metadata!", ADDRESS(INDEX($AI$2:$AI$1001,MATCH(ROWS($AG$2:AG74),$AG$2:$AG$1001,0),0), INDEX($AN$1004:$BO$1004,1,MATCH(COLUMNS($AN$1006:AY1006),$AN$1006:$BO$1006,0)))),"Fix")))</f>
        <v>0</v>
      </c>
      <c r="N74" s="4">
        <f>IF(OR(INDEX($AH$2:$AH$1001,MATCH(ROWS($AG$2:AG74),$AG$2:$AG$1001,0),1)&gt;=100000,INDEX($AN$1005:$BO$1005,1,MATCH(COLUMNS($AN$1006:AZ1006),$AN$1006:$BO$1006,0))&gt;=100000), " ",IF(INDEX($AN$2:$BO$1001,MATCH(ROWS($AG$2:AG74),$AG$2:$AG$1001,0),MATCH(COLUMNS($AN$1006:AZ1006),$AN$1006:$BO$1006,0)), HYPERLINK("#",""), HYPERLINK(CONCATENATE("#Metadata!", ADDRESS(INDEX($AI$2:$AI$1001,MATCH(ROWS($AG$2:AG74),$AG$2:$AG$1001,0),0), INDEX($AN$1004:$BO$1004,1,MATCH(COLUMNS($AN$1006:AZ1006),$AN$1006:$BO$1006,0)))),"Fix")))</f>
        <v>0</v>
      </c>
      <c r="O74" s="4">
        <f>IF(OR(INDEX($AH$2:$AH$1001,MATCH(ROWS($AG$2:AG74),$AG$2:$AG$1001,0),1)&gt;=100000,INDEX($AN$1005:$BO$1005,1,MATCH(COLUMNS($AN$1006:BA1006),$AN$1006:$BO$1006,0))&gt;=100000), " ",IF(INDEX($AN$2:$BO$1001,MATCH(ROWS($AG$2:AG74),$AG$2:$AG$1001,0),MATCH(COLUMNS($AN$1006:BA1006),$AN$1006:$BO$1006,0)), HYPERLINK("#",""), HYPERLINK(CONCATENATE("#Metadata!", ADDRESS(INDEX($AI$2:$AI$1001,MATCH(ROWS($AG$2:AG74),$AG$2:$AG$1001,0),0), INDEX($AN$1004:$BO$1004,1,MATCH(COLUMNS($AN$1006:BA1006),$AN$1006:$BO$1006,0)))),"Fix")))</f>
        <v>0</v>
      </c>
      <c r="P74" s="4">
        <f>IF(OR(INDEX($AH$2:$AH$1001,MATCH(ROWS($AG$2:AG74),$AG$2:$AG$1001,0),1)&gt;=100000,INDEX($AN$1005:$BO$1005,1,MATCH(COLUMNS($AN$1006:BB1006),$AN$1006:$BO$1006,0))&gt;=100000), " ",IF(INDEX($AN$2:$BO$1001,MATCH(ROWS($AG$2:AG74),$AG$2:$AG$1001,0),MATCH(COLUMNS($AN$1006:BB1006),$AN$1006:$BO$1006,0)), HYPERLINK("#",""), HYPERLINK(CONCATENATE("#Metadata!", ADDRESS(INDEX($AI$2:$AI$1001,MATCH(ROWS($AG$2:AG74),$AG$2:$AG$1001,0),0), INDEX($AN$1004:$BO$1004,1,MATCH(COLUMNS($AN$1006:BB1006),$AN$1006:$BO$1006,0)))),"Fix")))</f>
        <v>0</v>
      </c>
      <c r="Q74" s="4">
        <f>IF(OR(INDEX($AH$2:$AH$1001,MATCH(ROWS($AG$2:AG74),$AG$2:$AG$1001,0),1)&gt;=100000,INDEX($AN$1005:$BO$1005,1,MATCH(COLUMNS($AN$1006:BC1006),$AN$1006:$BO$1006,0))&gt;=100000), " ",IF(INDEX($AN$2:$BO$1001,MATCH(ROWS($AG$2:AG74),$AG$2:$AG$1001,0),MATCH(COLUMNS($AN$1006:BC1006),$AN$1006:$BO$1006,0)), HYPERLINK("#",""), HYPERLINK(CONCATENATE("#Metadata!", ADDRESS(INDEX($AI$2:$AI$1001,MATCH(ROWS($AG$2:AG74),$AG$2:$AG$1001,0),0), INDEX($AN$1004:$BO$1004,1,MATCH(COLUMNS($AN$1006:BC1006),$AN$1006:$BO$1006,0)))),"Fix")))</f>
        <v>0</v>
      </c>
      <c r="R74" s="4">
        <f>IF(OR(INDEX($AH$2:$AH$1001,MATCH(ROWS($AG$2:AG74),$AG$2:$AG$1001,0),1)&gt;=100000,INDEX($AN$1005:$BO$1005,1,MATCH(COLUMNS($AN$1006:BD1006),$AN$1006:$BO$1006,0))&gt;=100000), " ",IF(INDEX($AN$2:$BO$1001,MATCH(ROWS($AG$2:AG74),$AG$2:$AG$1001,0),MATCH(COLUMNS($AN$1006:BD1006),$AN$1006:$BO$1006,0)), HYPERLINK("#",""), HYPERLINK(CONCATENATE("#Metadata!", ADDRESS(INDEX($AI$2:$AI$1001,MATCH(ROWS($AG$2:AG74),$AG$2:$AG$1001,0),0), INDEX($AN$1004:$BO$1004,1,MATCH(COLUMNS($AN$1006:BD1006),$AN$1006:$BO$1006,0)))),"Fix")))</f>
        <v>0</v>
      </c>
      <c r="S74" s="4">
        <f>IF(OR(INDEX($AH$2:$AH$1001,MATCH(ROWS($AG$2:AG74),$AG$2:$AG$1001,0),1)&gt;=100000,INDEX($AN$1005:$BO$1005,1,MATCH(COLUMNS($AN$1006:BE1006),$AN$1006:$BO$1006,0))&gt;=100000), " ",IF(INDEX($AN$2:$BO$1001,MATCH(ROWS($AG$2:AG74),$AG$2:$AG$1001,0),MATCH(COLUMNS($AN$1006:BE1006),$AN$1006:$BO$1006,0)), HYPERLINK("#",""), HYPERLINK(CONCATENATE("#Metadata!", ADDRESS(INDEX($AI$2:$AI$1001,MATCH(ROWS($AG$2:AG74),$AG$2:$AG$1001,0),0), INDEX($AN$1004:$BO$1004,1,MATCH(COLUMNS($AN$1006:BE1006),$AN$1006:$BO$1006,0)))),"Fix")))</f>
        <v>0</v>
      </c>
      <c r="T74" s="4">
        <f>IF(OR(INDEX($AH$2:$AH$1001,MATCH(ROWS($AG$2:AG74),$AG$2:$AG$1001,0),1)&gt;=100000,INDEX($AN$1005:$BO$1005,1,MATCH(COLUMNS($AN$1006:BF1006),$AN$1006:$BO$1006,0))&gt;=100000), " ",IF(INDEX($AN$2:$BO$1001,MATCH(ROWS($AG$2:AG74),$AG$2:$AG$1001,0),MATCH(COLUMNS($AN$1006:BF1006),$AN$1006:$BO$1006,0)), HYPERLINK("#",""), HYPERLINK(CONCATENATE("#Metadata!", ADDRESS(INDEX($AI$2:$AI$1001,MATCH(ROWS($AG$2:AG74),$AG$2:$AG$1001,0),0), INDEX($AN$1004:$BO$1004,1,MATCH(COLUMNS($AN$1006:BF1006),$AN$1006:$BO$1006,0)))),"Fix")))</f>
        <v>0</v>
      </c>
      <c r="U74" s="4">
        <f>IF(OR(INDEX($AH$2:$AH$1001,MATCH(ROWS($AG$2:AG74),$AG$2:$AG$1001,0),1)&gt;=100000,INDEX($AN$1005:$BO$1005,1,MATCH(COLUMNS($AN$1006:BG1006),$AN$1006:$BO$1006,0))&gt;=100000), " ",IF(INDEX($AN$2:$BO$1001,MATCH(ROWS($AG$2:AG74),$AG$2:$AG$1001,0),MATCH(COLUMNS($AN$1006:BG1006),$AN$1006:$BO$1006,0)), HYPERLINK("#",""), HYPERLINK(CONCATENATE("#Metadata!", ADDRESS(INDEX($AI$2:$AI$1001,MATCH(ROWS($AG$2:AG74),$AG$2:$AG$1001,0),0), INDEX($AN$1004:$BO$1004,1,MATCH(COLUMNS($AN$1006:BG1006),$AN$1006:$BO$1006,0)))),"Fix")))</f>
        <v>0</v>
      </c>
      <c r="V74" s="4">
        <f>IF(OR(INDEX($AH$2:$AH$1001,MATCH(ROWS($AG$2:AG74),$AG$2:$AG$1001,0),1)&gt;=100000,INDEX($AN$1005:$BO$1005,1,MATCH(COLUMNS($AN$1006:BH1006),$AN$1006:$BO$1006,0))&gt;=100000), " ",IF(INDEX($AN$2:$BO$1001,MATCH(ROWS($AG$2:AG74),$AG$2:$AG$1001,0),MATCH(COLUMNS($AN$1006:BH1006),$AN$1006:$BO$1006,0)), HYPERLINK("#",""), HYPERLINK(CONCATENATE("#Metadata!", ADDRESS(INDEX($AI$2:$AI$1001,MATCH(ROWS($AG$2:AG74),$AG$2:$AG$1001,0),0), INDEX($AN$1004:$BO$1004,1,MATCH(COLUMNS($AN$1006:BH1006),$AN$1006:$BO$1006,0)))),"Fix")))</f>
        <v>0</v>
      </c>
      <c r="W74" s="4">
        <f>IF(OR(INDEX($AH$2:$AH$1001,MATCH(ROWS($AG$2:AG74),$AG$2:$AG$1001,0),1)&gt;=100000,INDEX($AN$1005:$BO$1005,1,MATCH(COLUMNS($AN$1006:BI1006),$AN$1006:$BO$1006,0))&gt;=100000), " ",IF(INDEX($AN$2:$BO$1001,MATCH(ROWS($AG$2:AG74),$AG$2:$AG$1001,0),MATCH(COLUMNS($AN$1006:BI1006),$AN$1006:$BO$1006,0)), HYPERLINK("#",""), HYPERLINK(CONCATENATE("#Metadata!", ADDRESS(INDEX($AI$2:$AI$1001,MATCH(ROWS($AG$2:AG74),$AG$2:$AG$1001,0),0), INDEX($AN$1004:$BO$1004,1,MATCH(COLUMNS($AN$1006:BI1006),$AN$1006:$BO$1006,0)))),"Fix")))</f>
        <v>0</v>
      </c>
      <c r="X74" s="4">
        <f>IF(OR(INDEX($AH$2:$AH$1001,MATCH(ROWS($AG$2:AG74),$AG$2:$AG$1001,0),1)&gt;=100000,INDEX($AN$1005:$BO$1005,1,MATCH(COLUMNS($AN$1006:BJ1006),$AN$1006:$BO$1006,0))&gt;=100000), " ",IF(INDEX($AN$2:$BO$1001,MATCH(ROWS($AG$2:AG74),$AG$2:$AG$1001,0),MATCH(COLUMNS($AN$1006:BJ1006),$AN$1006:$BO$1006,0)), HYPERLINK("#",""), HYPERLINK(CONCATENATE("#Metadata!", ADDRESS(INDEX($AI$2:$AI$1001,MATCH(ROWS($AG$2:AG74),$AG$2:$AG$1001,0),0), INDEX($AN$1004:$BO$1004,1,MATCH(COLUMNS($AN$1006:BJ1006),$AN$1006:$BO$1006,0)))),"Fix")))</f>
        <v>0</v>
      </c>
      <c r="Y74" s="4">
        <f>IF(OR(INDEX($AH$2:$AH$1001,MATCH(ROWS($AG$2:AG74),$AG$2:$AG$1001,0),1)&gt;=100000,INDEX($AN$1005:$BO$1005,1,MATCH(COLUMNS($AN$1006:BK1006),$AN$1006:$BO$1006,0))&gt;=100000), " ",IF(INDEX($AN$2:$BO$1001,MATCH(ROWS($AG$2:AG74),$AG$2:$AG$1001,0),MATCH(COLUMNS($AN$1006:BK1006),$AN$1006:$BO$1006,0)), HYPERLINK("#",""), HYPERLINK(CONCATENATE("#Metadata!", ADDRESS(INDEX($AI$2:$AI$1001,MATCH(ROWS($AG$2:AG74),$AG$2:$AG$1001,0),0), INDEX($AN$1004:$BO$1004,1,MATCH(COLUMNS($AN$1006:BK1006),$AN$1006:$BO$1006,0)))),"Fix")))</f>
        <v>0</v>
      </c>
      <c r="Z74" s="4">
        <f>IF(OR(INDEX($AH$2:$AH$1001,MATCH(ROWS($AG$2:AG74),$AG$2:$AG$1001,0),1)&gt;=100000,INDEX($AN$1005:$BO$1005,1,MATCH(COLUMNS($AN$1006:BL1006),$AN$1006:$BO$1006,0))&gt;=100000), " ",IF(INDEX($AN$2:$BO$1001,MATCH(ROWS($AG$2:AG74),$AG$2:$AG$1001,0),MATCH(COLUMNS($AN$1006:BL1006),$AN$1006:$BO$1006,0)), HYPERLINK("#",""), HYPERLINK(CONCATENATE("#Metadata!", ADDRESS(INDEX($AI$2:$AI$1001,MATCH(ROWS($AG$2:AG74),$AG$2:$AG$1001,0),0), INDEX($AN$1004:$BO$1004,1,MATCH(COLUMNS($AN$1006:BL1006),$AN$1006:$BO$1006,0)))),"Fix")))</f>
        <v>0</v>
      </c>
      <c r="AA74" s="4">
        <f>IF(OR(INDEX($AH$2:$AH$1001,MATCH(ROWS($AG$2:AG74),$AG$2:$AG$1001,0),1)&gt;=100000,INDEX($AN$1005:$BO$1005,1,MATCH(COLUMNS($AN$1006:BM1006),$AN$1006:$BO$1006,0))&gt;=100000), " ",IF(INDEX($AN$2:$BO$1001,MATCH(ROWS($AG$2:AG74),$AG$2:$AG$1001,0),MATCH(COLUMNS($AN$1006:BM1006),$AN$1006:$BO$1006,0)), HYPERLINK("#",""), HYPERLINK(CONCATENATE("#Metadata!", ADDRESS(INDEX($AI$2:$AI$1001,MATCH(ROWS($AG$2:AG74),$AG$2:$AG$1001,0),0), INDEX($AN$1004:$BO$1004,1,MATCH(COLUMNS($AN$1006:BM1006),$AN$1006:$BO$1006,0)))),"Fix")))</f>
        <v>0</v>
      </c>
      <c r="AB74" s="4">
        <f>IF(OR(INDEX($AH$2:$AH$1001,MATCH(ROWS($AG$2:AG74),$AG$2:$AG$1001,0),1)&gt;=100000,INDEX($AN$1005:$BO$1005,1,MATCH(COLUMNS($AN$1006:BN1006),$AN$1006:$BO$1006,0))&gt;=100000), " ",IF(INDEX($AN$2:$BO$1001,MATCH(ROWS($AG$2:AG74),$AG$2:$AG$1001,0),MATCH(COLUMNS($AN$1006:BN1006),$AN$1006:$BO$1006,0)), HYPERLINK("#",""), HYPERLINK(CONCATENATE("#Metadata!", ADDRESS(INDEX($AI$2:$AI$1001,MATCH(ROWS($AG$2:AG74),$AG$2:$AG$1001,0),0), INDEX($AN$1004:$BO$1004,1,MATCH(COLUMNS($AN$1006:BN1006),$AN$1006:$BO$1006,0)))),"Fix")))</f>
        <v>0</v>
      </c>
      <c r="AC74" s="4">
        <f>IF(OR(INDEX($AH$2:$AH$1001,MATCH(ROWS($AG$2:AG74),$AG$2:$AG$1001,0),1)&gt;=100000,INDEX($AN$1005:$BO$1005,1,MATCH(COLUMNS($AN$1006:BO1006),$AN$1006:$BO$1006,0))&gt;=100000), " ",IF(INDEX($AN$2:$BO$1001,MATCH(ROWS($AG$2:AG74),$AG$2:$AG$1001,0),MATCH(COLUMNS($AN$1006:BO1006),$AN$1006:$BO$1006,0)), HYPERLINK("#",""), HYPERLINK(CONCATENATE("#Metadata!", ADDRESS(INDEX($AI$2:$AI$1001,MATCH(ROWS($AG$2:AG74),$AG$2:$AG$1001,0),0), INDEX($AN$1004:$BO$1004,1,MATCH(COLUMNS($AN$1006:BO1006),$AN$1006:$BO$1006,0)))),"Fix")))</f>
        <v>0</v>
      </c>
      <c r="AG74">
        <v>0</v>
      </c>
      <c r="AH74">
        <v>0</v>
      </c>
      <c r="AI74">
        <v>0</v>
      </c>
      <c r="AJ74">
        <f>IF(AK74,TRUE,AND(AN74:BO74))</f>
        <v>0</v>
      </c>
      <c r="AK74">
        <f>COUNTBLANK(Metadata!B74:AC74)=COLUMNS(Metadata!B74:AC74)</f>
        <v>0</v>
      </c>
      <c r="AL74">
        <v>0</v>
      </c>
      <c r="AN74">
        <f>AND(IF(Metadata!B74="",FALSE,TRUE),COUNTIF(Metadata!B:B, Metadata!B74) = 1,NOT(ISERROR(SUMPRODUCT(SEARCH(MID(Metadata!B74,ROW(INDIRECT("1:"&amp;LEN(Metadata!B74))), 1),"0123456789abcdefghijklmnopqrstuvwxyzABCDEFGHIJKLMNOPQRSTUVWXYZ.")))))</f>
        <v>0</v>
      </c>
      <c r="AO74">
        <f>IF(Metadata!C74="",FALSE,TRUE)</f>
        <v>0</v>
      </c>
      <c r="AP74">
        <f>IF(Metadata!D74="",FALSE,TRUE)</f>
        <v>0</v>
      </c>
      <c r="AQ74">
        <f>OR(AND(IF(Metadata!E74="",FALSE,TRUE),OR(exact(Metadata!E74,"not collected"),exact(Metadata!E74,"not provided"),exact(Metadata!E74,"restricted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R74">
        <f>IF(Metadata!F74="",FALSE,TRUE)</f>
        <v>0</v>
      </c>
      <c r="AS74">
        <f>OR(AND(IF(Metadata!G74="",FALSE,TRUE),OR(exact(Metadata!G74,"not collected"),exact(Metadata!G74,"not provided"))),AND(IF(Metadata!G74="",FALSE,TRUE),OR(exact(Metadata!G74,"TRUE"),exact(Metadata!G74,"FALSE"))))</f>
        <v>0</v>
      </c>
      <c r="AT74">
        <f>OR(AND(IF(Metadata!H74="",FALSE,TRUE),OR(exact(Metadata!H74,"not collected"),exact(Metadata!H74,"not provided"),exact(Metadata!H74,"restricted access"))),AND(IF(Metadata!H74="",FALSE,ISNUMBER(VALUE(Metadata!H74))),Metadata!H74&gt;=-413.0))</f>
        <v>0</v>
      </c>
      <c r="AU74">
        <f>AND(IF(Metadata!I74="",FALSE,TRUE),exact(Metadata!I74,"meters"))</f>
        <v>0</v>
      </c>
      <c r="AV74">
        <f>AND(IF(Metadata!J74="",FALSE,TRUE),OR(exact(Metadata!J74,"Host-associated"),exact(Metadata!J74,"Free-living")))</f>
        <v>0</v>
      </c>
      <c r="AW74">
        <f>AND(IF(Metadata!K74="",FALSE,TRUE),OR(exact(Metadata!K74,"Animal"),exact(Metadata!K74,"Fungus"),exact(Metadata!K74,"Plant"),exact(Metadata!K74,"Saline"),exact(Metadata!K74,"Non-saline")))</f>
        <v>0</v>
      </c>
      <c r="AX74">
        <f>AND(IF(Metadata!L74="",FALSE,TRUE),OR(exact(Metadata!L74,"Plant secretion"),exact(Metadata!L74,"Plant rhizosphere"),exact(Metadata!L74,"Plant surface"),exact(Metadata!L74,"Plant corpus"),exact(Metadata!L74,"Fungus surface"),exact(Metadata!L74,"Fungus corpus"),exact(Metadata!L74,"Animal surface"),exact(Metadata!L74,"Animal proximal gut"),exact(Metadata!L74,"Animal corpus"),exact(Metadata!L74,"Animal distal gut"),exact(Metadata!L74,"Animal secretion"),exact(Metadata!L74,"Sub-surface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Y74">
        <f>IF(Metadata!M74="",FALSE,TRUE)</f>
        <v>0</v>
      </c>
      <c r="AZ74">
        <f>IF(Metadata!N74="",FALSE,TRUE)</f>
        <v>0</v>
      </c>
      <c r="BA74">
        <f>IF(Metadata!O74="",FALSE,TRUE)</f>
        <v>0</v>
      </c>
      <c r="BB74">
        <f>OR(AND(IF(Metadata!P74="",FALSE,TRUE),OR(exact(Metadata!P74,"not collected"),exact(Metadata!P74,"not provided"),exact(Metadata!P74,"restricted access"))),AND(IF(Metadata!P74="",FALSE,TRUE),OR(exact(Metadata!P74,"air"),exact(Metadata!P74,"built environment"),exact(Metadata!P74,"host-associated"),exact(Metadata!P74,"human-associated"),exact(Metadata!P74,"human-skin"),exact(Metadata!P74,"human-oral"),exact(Metadata!P74,"human-gut"),exact(Metadata!P74,"human-vaginal"),exact(Metadata!P74,"microbial mat/biofilm"),exact(Metadata!P74,"misc environment"),exact(Metadata!P74,"plant-associated"),exact(Metadata!P74,"sediment"),exact(Metadata!P74,"soil"),exact(Metadata!P74,"wastewater/sludge"),exact(Metadata!P74,"water"))))</f>
        <v>0</v>
      </c>
      <c r="BC74">
        <f>IF(Metadata!Q74="",FALSE,TRUE)</f>
        <v>0</v>
      </c>
      <c r="BD74">
        <f>IF(Metadata!R74="",FALSE,TRUE)</f>
        <v>0</v>
      </c>
      <c r="BE74">
        <f>OR(AND(IF(Metadata!S74="",FALSE,TRUE),OR(exact(Metadata!S74,"not collected"),exact(Metadata!S74,"not provided"),exact(Metadata!S74,"restricted access"))),AND(IF(Metadata!S74="",FALSE,ISNUMBER(VALUE(Metadata!S74))),Metadata!S74&gt;=-90.00,Metadata!S74&lt;=90.00))</f>
        <v>0</v>
      </c>
      <c r="BF74">
        <f>AND(IF(Metadata!T74="",FALSE,TRUE),exact(Metadata!T74,"Decimal degrees"))</f>
        <v>0</v>
      </c>
      <c r="BG74">
        <f>OR(AND(IF(Metadata!U74="",FALSE,TRUE),OR(exact(Metadata!U74,"not collected"),exact(Metadata!U74,"not provided"),exact(Metadata!U74,"restricted access"))),AND(IF(Metadata!U74="",FALSE,ISNUMBER(VALUE(Metadata!U74))),Metadata!U74&gt;=-180.00,Metadata!U74&lt;=180.00))</f>
        <v>0</v>
      </c>
      <c r="BH74">
        <f>AND(IF(Metadata!V74="",FALSE,TRUE),exact(Metadata!V74,"Decimal degrees"))</f>
        <v>0</v>
      </c>
      <c r="BI74">
        <f>IF(Metadata!W74="",FALSE,TRUE)</f>
        <v>0</v>
      </c>
      <c r="BJ74">
        <f>OR(AND(IF(Metadata!X74="",FALSE,TRUE),OR(exact(Metadata!X74,"not collected"),exact(Metadata!X74,"not provided"),exact(Metadata!X74,"restricted access"))),AND(IF(Metadata!X74="",FALSE,TRUE),OR(exact(Metadata!X74,"TRUE"),exact(Metadata!X74,"FALSE"))))</f>
        <v>0</v>
      </c>
      <c r="BK74">
        <f>AND(IF(Metadata!Y74="",FALSE,TRUE),exact(Metadata!Y74,"other"))</f>
        <v>0</v>
      </c>
      <c r="BL74">
        <f>IF(Metadata!Z74="",FALSE,TRUE)</f>
        <v>0</v>
      </c>
      <c r="BM74">
        <f>OR(AND(IF(Metadata!AA74="",FALSE,TRUE),OR(exact(Metadata!AA74,"not collected"),exact(Metadata!AA74,"not provided"))),AND(IF(Metadata!AA74="",FALSE,IF(ISERROR(INT(Metadata!AA74)),FALSE,INT(Metadata!AA74)=Metadata!AA74)),Metadata!AA74&gt;0))</f>
        <v>0</v>
      </c>
      <c r="BN74">
        <f>AND(IF(Metadata!AB74="",FALSE,TRUE),exact(Metadata!AB74,"Not applicable"))</f>
        <v>0</v>
      </c>
      <c r="BO74">
        <f>IF(Metadata!AC74="",FALSE,TRUE)</f>
        <v>0</v>
      </c>
    </row>
    <row r="75" spans="1:67">
      <c r="A75" s="5">
        <f>IF(B75=" "," ",HYPERLINK(CONCATENATE("#metadata!",ADDRESS(INDEX($AI$2:$AI$1001,MATCH(ROWS($AG$2:AG75),$AG$2:$AG$1001,0),0),1)),INDEX($AL$2:$AL$1001,MATCH(ROWS($AG$2:AG75),$AG$2:$AG$1001,0),0)))</f>
        <v>0</v>
      </c>
      <c r="B75" s="4">
        <f>IF(OR(INDEX($AH$2:$AH$1001,MATCH(ROWS($AG$2:AG75),$AG$2:$AG$1001,0),1)&gt;=100000,INDEX($AN$1005:$BO$1005,1,MATCH(COLUMNS($AN$1006:AN1006),$AN$1006:$BO$1006,0))&gt;=100000), " ",IF(INDEX($AN$2:$BO$1001,MATCH(ROWS($AG$2:AG75),$AG$2:$AG$1001,0),MATCH(COLUMNS($AN$1006:AN1006),$AN$1006:$BO$1006,0)), HYPERLINK("#",""), HYPERLINK(CONCATENATE("#Metadata!", ADDRESS(INDEX($AI$2:$AI$1001,MATCH(ROWS($AG$2:AG75),$AG$2:$AG$1001,0),0), INDEX($AN$1004:$BO$1004,1,MATCH(COLUMNS($AN$1006:AN1006),$AN$1006:$BO$1006,0)))),"Fix")))</f>
        <v>0</v>
      </c>
      <c r="C75" s="4">
        <f>IF(OR(INDEX($AH$2:$AH$1001,MATCH(ROWS($AG$2:AG75),$AG$2:$AG$1001,0),1)&gt;=100000,INDEX($AN$1005:$BO$1005,1,MATCH(COLUMNS($AN$1006:AO1006),$AN$1006:$BO$1006,0))&gt;=100000), " ",IF(INDEX($AN$2:$BO$1001,MATCH(ROWS($AG$2:AG75),$AG$2:$AG$1001,0),MATCH(COLUMNS($AN$1006:AO1006),$AN$1006:$BO$1006,0)), HYPERLINK("#",""), HYPERLINK(CONCATENATE("#Metadata!", ADDRESS(INDEX($AI$2:$AI$1001,MATCH(ROWS($AG$2:AG75),$AG$2:$AG$1001,0),0), INDEX($AN$1004:$BO$1004,1,MATCH(COLUMNS($AN$1006:AO1006),$AN$1006:$BO$1006,0)))),"Fix")))</f>
        <v>0</v>
      </c>
      <c r="D75" s="4">
        <f>IF(OR(INDEX($AH$2:$AH$1001,MATCH(ROWS($AG$2:AG75),$AG$2:$AG$1001,0),1)&gt;=100000,INDEX($AN$1005:$BO$1005,1,MATCH(COLUMNS($AN$1006:AP1006),$AN$1006:$BO$1006,0))&gt;=100000), " ",IF(INDEX($AN$2:$BO$1001,MATCH(ROWS($AG$2:AG75),$AG$2:$AG$1001,0),MATCH(COLUMNS($AN$1006:AP1006),$AN$1006:$BO$1006,0)), HYPERLINK("#",""), HYPERLINK(CONCATENATE("#Metadata!", ADDRESS(INDEX($AI$2:$AI$1001,MATCH(ROWS($AG$2:AG75),$AG$2:$AG$1001,0),0), INDEX($AN$1004:$BO$1004,1,MATCH(COLUMNS($AN$1006:AP1006),$AN$1006:$BO$1006,0)))),"Fix")))</f>
        <v>0</v>
      </c>
      <c r="E75" s="4">
        <f>IF(OR(INDEX($AH$2:$AH$1001,MATCH(ROWS($AG$2:AG75),$AG$2:$AG$1001,0),1)&gt;=100000,INDEX($AN$1005:$BO$1005,1,MATCH(COLUMNS($AN$1006:AQ1006),$AN$1006:$BO$1006,0))&gt;=100000), " ",IF(INDEX($AN$2:$BO$1001,MATCH(ROWS($AG$2:AG75),$AG$2:$AG$1001,0),MATCH(COLUMNS($AN$1006:AQ1006),$AN$1006:$BO$1006,0)), HYPERLINK("#",""), HYPERLINK(CONCATENATE("#Metadata!", ADDRESS(INDEX($AI$2:$AI$1001,MATCH(ROWS($AG$2:AG75),$AG$2:$AG$1001,0),0), INDEX($AN$1004:$BO$1004,1,MATCH(COLUMNS($AN$1006:AQ1006),$AN$1006:$BO$1006,0)))),"Fix")))</f>
        <v>0</v>
      </c>
      <c r="F75" s="4">
        <f>IF(OR(INDEX($AH$2:$AH$1001,MATCH(ROWS($AG$2:AG75),$AG$2:$AG$1001,0),1)&gt;=100000,INDEX($AN$1005:$BO$1005,1,MATCH(COLUMNS($AN$1006:AR1006),$AN$1006:$BO$1006,0))&gt;=100000), " ",IF(INDEX($AN$2:$BO$1001,MATCH(ROWS($AG$2:AG75),$AG$2:$AG$1001,0),MATCH(COLUMNS($AN$1006:AR1006),$AN$1006:$BO$1006,0)), HYPERLINK("#",""), HYPERLINK(CONCATENATE("#Metadata!", ADDRESS(INDEX($AI$2:$AI$1001,MATCH(ROWS($AG$2:AG75),$AG$2:$AG$1001,0),0), INDEX($AN$1004:$BO$1004,1,MATCH(COLUMNS($AN$1006:AR1006),$AN$1006:$BO$1006,0)))),"Fix")))</f>
        <v>0</v>
      </c>
      <c r="G75" s="4">
        <f>IF(OR(INDEX($AH$2:$AH$1001,MATCH(ROWS($AG$2:AG75),$AG$2:$AG$1001,0),1)&gt;=100000,INDEX($AN$1005:$BO$1005,1,MATCH(COLUMNS($AN$1006:AS1006),$AN$1006:$BO$1006,0))&gt;=100000), " ",IF(INDEX($AN$2:$BO$1001,MATCH(ROWS($AG$2:AG75),$AG$2:$AG$1001,0),MATCH(COLUMNS($AN$1006:AS1006),$AN$1006:$BO$1006,0)), HYPERLINK("#",""), HYPERLINK(CONCATENATE("#Metadata!", ADDRESS(INDEX($AI$2:$AI$1001,MATCH(ROWS($AG$2:AG75),$AG$2:$AG$1001,0),0), INDEX($AN$1004:$BO$1004,1,MATCH(COLUMNS($AN$1006:AS1006),$AN$1006:$BO$1006,0)))),"Fix")))</f>
        <v>0</v>
      </c>
      <c r="H75" s="4">
        <f>IF(OR(INDEX($AH$2:$AH$1001,MATCH(ROWS($AG$2:AG75),$AG$2:$AG$1001,0),1)&gt;=100000,INDEX($AN$1005:$BO$1005,1,MATCH(COLUMNS($AN$1006:AT1006),$AN$1006:$BO$1006,0))&gt;=100000), " ",IF(INDEX($AN$2:$BO$1001,MATCH(ROWS($AG$2:AG75),$AG$2:$AG$1001,0),MATCH(COLUMNS($AN$1006:AT1006),$AN$1006:$BO$1006,0)), HYPERLINK("#",""), HYPERLINK(CONCATENATE("#Metadata!", ADDRESS(INDEX($AI$2:$AI$1001,MATCH(ROWS($AG$2:AG75),$AG$2:$AG$1001,0),0), INDEX($AN$1004:$BO$1004,1,MATCH(COLUMNS($AN$1006:AT1006),$AN$1006:$BO$1006,0)))),"Fix")))</f>
        <v>0</v>
      </c>
      <c r="I75" s="4">
        <f>IF(OR(INDEX($AH$2:$AH$1001,MATCH(ROWS($AG$2:AG75),$AG$2:$AG$1001,0),1)&gt;=100000,INDEX($AN$1005:$BO$1005,1,MATCH(COLUMNS($AN$1006:AU1006),$AN$1006:$BO$1006,0))&gt;=100000), " ",IF(INDEX($AN$2:$BO$1001,MATCH(ROWS($AG$2:AG75),$AG$2:$AG$1001,0),MATCH(COLUMNS($AN$1006:AU1006),$AN$1006:$BO$1006,0)), HYPERLINK("#",""), HYPERLINK(CONCATENATE("#Metadata!", ADDRESS(INDEX($AI$2:$AI$1001,MATCH(ROWS($AG$2:AG75),$AG$2:$AG$1001,0),0), INDEX($AN$1004:$BO$1004,1,MATCH(COLUMNS($AN$1006:AU1006),$AN$1006:$BO$1006,0)))),"Fix")))</f>
        <v>0</v>
      </c>
      <c r="J75" s="4">
        <f>IF(OR(INDEX($AH$2:$AH$1001,MATCH(ROWS($AG$2:AG75),$AG$2:$AG$1001,0),1)&gt;=100000,INDEX($AN$1005:$BO$1005,1,MATCH(COLUMNS($AN$1006:AV1006),$AN$1006:$BO$1006,0))&gt;=100000), " ",IF(INDEX($AN$2:$BO$1001,MATCH(ROWS($AG$2:AG75),$AG$2:$AG$1001,0),MATCH(COLUMNS($AN$1006:AV1006),$AN$1006:$BO$1006,0)), HYPERLINK("#",""), HYPERLINK(CONCATENATE("#Metadata!", ADDRESS(INDEX($AI$2:$AI$1001,MATCH(ROWS($AG$2:AG75),$AG$2:$AG$1001,0),0), INDEX($AN$1004:$BO$1004,1,MATCH(COLUMNS($AN$1006:AV1006),$AN$1006:$BO$1006,0)))),"Fix")))</f>
        <v>0</v>
      </c>
      <c r="K75" s="4">
        <f>IF(OR(INDEX($AH$2:$AH$1001,MATCH(ROWS($AG$2:AG75),$AG$2:$AG$1001,0),1)&gt;=100000,INDEX($AN$1005:$BO$1005,1,MATCH(COLUMNS($AN$1006:AW1006),$AN$1006:$BO$1006,0))&gt;=100000), " ",IF(INDEX($AN$2:$BO$1001,MATCH(ROWS($AG$2:AG75),$AG$2:$AG$1001,0),MATCH(COLUMNS($AN$1006:AW1006),$AN$1006:$BO$1006,0)), HYPERLINK("#",""), HYPERLINK(CONCATENATE("#Metadata!", ADDRESS(INDEX($AI$2:$AI$1001,MATCH(ROWS($AG$2:AG75),$AG$2:$AG$1001,0),0), INDEX($AN$1004:$BO$1004,1,MATCH(COLUMNS($AN$1006:AW1006),$AN$1006:$BO$1006,0)))),"Fix")))</f>
        <v>0</v>
      </c>
      <c r="L75" s="4">
        <f>IF(OR(INDEX($AH$2:$AH$1001,MATCH(ROWS($AG$2:AG75),$AG$2:$AG$1001,0),1)&gt;=100000,INDEX($AN$1005:$BO$1005,1,MATCH(COLUMNS($AN$1006:AX1006),$AN$1006:$BO$1006,0))&gt;=100000), " ",IF(INDEX($AN$2:$BO$1001,MATCH(ROWS($AG$2:AG75),$AG$2:$AG$1001,0),MATCH(COLUMNS($AN$1006:AX1006),$AN$1006:$BO$1006,0)), HYPERLINK("#",""), HYPERLINK(CONCATENATE("#Metadata!", ADDRESS(INDEX($AI$2:$AI$1001,MATCH(ROWS($AG$2:AG75),$AG$2:$AG$1001,0),0), INDEX($AN$1004:$BO$1004,1,MATCH(COLUMNS($AN$1006:AX1006),$AN$1006:$BO$1006,0)))),"Fix")))</f>
        <v>0</v>
      </c>
      <c r="M75" s="4">
        <f>IF(OR(INDEX($AH$2:$AH$1001,MATCH(ROWS($AG$2:AG75),$AG$2:$AG$1001,0),1)&gt;=100000,INDEX($AN$1005:$BO$1005,1,MATCH(COLUMNS($AN$1006:AY1006),$AN$1006:$BO$1006,0))&gt;=100000), " ",IF(INDEX($AN$2:$BO$1001,MATCH(ROWS($AG$2:AG75),$AG$2:$AG$1001,0),MATCH(COLUMNS($AN$1006:AY1006),$AN$1006:$BO$1006,0)), HYPERLINK("#",""), HYPERLINK(CONCATENATE("#Metadata!", ADDRESS(INDEX($AI$2:$AI$1001,MATCH(ROWS($AG$2:AG75),$AG$2:$AG$1001,0),0), INDEX($AN$1004:$BO$1004,1,MATCH(COLUMNS($AN$1006:AY1006),$AN$1006:$BO$1006,0)))),"Fix")))</f>
        <v>0</v>
      </c>
      <c r="N75" s="4">
        <f>IF(OR(INDEX($AH$2:$AH$1001,MATCH(ROWS($AG$2:AG75),$AG$2:$AG$1001,0),1)&gt;=100000,INDEX($AN$1005:$BO$1005,1,MATCH(COLUMNS($AN$1006:AZ1006),$AN$1006:$BO$1006,0))&gt;=100000), " ",IF(INDEX($AN$2:$BO$1001,MATCH(ROWS($AG$2:AG75),$AG$2:$AG$1001,0),MATCH(COLUMNS($AN$1006:AZ1006),$AN$1006:$BO$1006,0)), HYPERLINK("#",""), HYPERLINK(CONCATENATE("#Metadata!", ADDRESS(INDEX($AI$2:$AI$1001,MATCH(ROWS($AG$2:AG75),$AG$2:$AG$1001,0),0), INDEX($AN$1004:$BO$1004,1,MATCH(COLUMNS($AN$1006:AZ1006),$AN$1006:$BO$1006,0)))),"Fix")))</f>
        <v>0</v>
      </c>
      <c r="O75" s="4">
        <f>IF(OR(INDEX($AH$2:$AH$1001,MATCH(ROWS($AG$2:AG75),$AG$2:$AG$1001,0),1)&gt;=100000,INDEX($AN$1005:$BO$1005,1,MATCH(COLUMNS($AN$1006:BA1006),$AN$1006:$BO$1006,0))&gt;=100000), " ",IF(INDEX($AN$2:$BO$1001,MATCH(ROWS($AG$2:AG75),$AG$2:$AG$1001,0),MATCH(COLUMNS($AN$1006:BA1006),$AN$1006:$BO$1006,0)), HYPERLINK("#",""), HYPERLINK(CONCATENATE("#Metadata!", ADDRESS(INDEX($AI$2:$AI$1001,MATCH(ROWS($AG$2:AG75),$AG$2:$AG$1001,0),0), INDEX($AN$1004:$BO$1004,1,MATCH(COLUMNS($AN$1006:BA1006),$AN$1006:$BO$1006,0)))),"Fix")))</f>
        <v>0</v>
      </c>
      <c r="P75" s="4">
        <f>IF(OR(INDEX($AH$2:$AH$1001,MATCH(ROWS($AG$2:AG75),$AG$2:$AG$1001,0),1)&gt;=100000,INDEX($AN$1005:$BO$1005,1,MATCH(COLUMNS($AN$1006:BB1006),$AN$1006:$BO$1006,0))&gt;=100000), " ",IF(INDEX($AN$2:$BO$1001,MATCH(ROWS($AG$2:AG75),$AG$2:$AG$1001,0),MATCH(COLUMNS($AN$1006:BB1006),$AN$1006:$BO$1006,0)), HYPERLINK("#",""), HYPERLINK(CONCATENATE("#Metadata!", ADDRESS(INDEX($AI$2:$AI$1001,MATCH(ROWS($AG$2:AG75),$AG$2:$AG$1001,0),0), INDEX($AN$1004:$BO$1004,1,MATCH(COLUMNS($AN$1006:BB1006),$AN$1006:$BO$1006,0)))),"Fix")))</f>
        <v>0</v>
      </c>
      <c r="Q75" s="4">
        <f>IF(OR(INDEX($AH$2:$AH$1001,MATCH(ROWS($AG$2:AG75),$AG$2:$AG$1001,0),1)&gt;=100000,INDEX($AN$1005:$BO$1005,1,MATCH(COLUMNS($AN$1006:BC1006),$AN$1006:$BO$1006,0))&gt;=100000), " ",IF(INDEX($AN$2:$BO$1001,MATCH(ROWS($AG$2:AG75),$AG$2:$AG$1001,0),MATCH(COLUMNS($AN$1006:BC1006),$AN$1006:$BO$1006,0)), HYPERLINK("#",""), HYPERLINK(CONCATENATE("#Metadata!", ADDRESS(INDEX($AI$2:$AI$1001,MATCH(ROWS($AG$2:AG75),$AG$2:$AG$1001,0),0), INDEX($AN$1004:$BO$1004,1,MATCH(COLUMNS($AN$1006:BC1006),$AN$1006:$BO$1006,0)))),"Fix")))</f>
        <v>0</v>
      </c>
      <c r="R75" s="4">
        <f>IF(OR(INDEX($AH$2:$AH$1001,MATCH(ROWS($AG$2:AG75),$AG$2:$AG$1001,0),1)&gt;=100000,INDEX($AN$1005:$BO$1005,1,MATCH(COLUMNS($AN$1006:BD1006),$AN$1006:$BO$1006,0))&gt;=100000), " ",IF(INDEX($AN$2:$BO$1001,MATCH(ROWS($AG$2:AG75),$AG$2:$AG$1001,0),MATCH(COLUMNS($AN$1006:BD1006),$AN$1006:$BO$1006,0)), HYPERLINK("#",""), HYPERLINK(CONCATENATE("#Metadata!", ADDRESS(INDEX($AI$2:$AI$1001,MATCH(ROWS($AG$2:AG75),$AG$2:$AG$1001,0),0), INDEX($AN$1004:$BO$1004,1,MATCH(COLUMNS($AN$1006:BD1006),$AN$1006:$BO$1006,0)))),"Fix")))</f>
        <v>0</v>
      </c>
      <c r="S75" s="4">
        <f>IF(OR(INDEX($AH$2:$AH$1001,MATCH(ROWS($AG$2:AG75),$AG$2:$AG$1001,0),1)&gt;=100000,INDEX($AN$1005:$BO$1005,1,MATCH(COLUMNS($AN$1006:BE1006),$AN$1006:$BO$1006,0))&gt;=100000), " ",IF(INDEX($AN$2:$BO$1001,MATCH(ROWS($AG$2:AG75),$AG$2:$AG$1001,0),MATCH(COLUMNS($AN$1006:BE1006),$AN$1006:$BO$1006,0)), HYPERLINK("#",""), HYPERLINK(CONCATENATE("#Metadata!", ADDRESS(INDEX($AI$2:$AI$1001,MATCH(ROWS($AG$2:AG75),$AG$2:$AG$1001,0),0), INDEX($AN$1004:$BO$1004,1,MATCH(COLUMNS($AN$1006:BE1006),$AN$1006:$BO$1006,0)))),"Fix")))</f>
        <v>0</v>
      </c>
      <c r="T75" s="4">
        <f>IF(OR(INDEX($AH$2:$AH$1001,MATCH(ROWS($AG$2:AG75),$AG$2:$AG$1001,0),1)&gt;=100000,INDEX($AN$1005:$BO$1005,1,MATCH(COLUMNS($AN$1006:BF1006),$AN$1006:$BO$1006,0))&gt;=100000), " ",IF(INDEX($AN$2:$BO$1001,MATCH(ROWS($AG$2:AG75),$AG$2:$AG$1001,0),MATCH(COLUMNS($AN$1006:BF1006),$AN$1006:$BO$1006,0)), HYPERLINK("#",""), HYPERLINK(CONCATENATE("#Metadata!", ADDRESS(INDEX($AI$2:$AI$1001,MATCH(ROWS($AG$2:AG75),$AG$2:$AG$1001,0),0), INDEX($AN$1004:$BO$1004,1,MATCH(COLUMNS($AN$1006:BF1006),$AN$1006:$BO$1006,0)))),"Fix")))</f>
        <v>0</v>
      </c>
      <c r="U75" s="4">
        <f>IF(OR(INDEX($AH$2:$AH$1001,MATCH(ROWS($AG$2:AG75),$AG$2:$AG$1001,0),1)&gt;=100000,INDEX($AN$1005:$BO$1005,1,MATCH(COLUMNS($AN$1006:BG1006),$AN$1006:$BO$1006,0))&gt;=100000), " ",IF(INDEX($AN$2:$BO$1001,MATCH(ROWS($AG$2:AG75),$AG$2:$AG$1001,0),MATCH(COLUMNS($AN$1006:BG1006),$AN$1006:$BO$1006,0)), HYPERLINK("#",""), HYPERLINK(CONCATENATE("#Metadata!", ADDRESS(INDEX($AI$2:$AI$1001,MATCH(ROWS($AG$2:AG75),$AG$2:$AG$1001,0),0), INDEX($AN$1004:$BO$1004,1,MATCH(COLUMNS($AN$1006:BG1006),$AN$1006:$BO$1006,0)))),"Fix")))</f>
        <v>0</v>
      </c>
      <c r="V75" s="4">
        <f>IF(OR(INDEX($AH$2:$AH$1001,MATCH(ROWS($AG$2:AG75),$AG$2:$AG$1001,0),1)&gt;=100000,INDEX($AN$1005:$BO$1005,1,MATCH(COLUMNS($AN$1006:BH1006),$AN$1006:$BO$1006,0))&gt;=100000), " ",IF(INDEX($AN$2:$BO$1001,MATCH(ROWS($AG$2:AG75),$AG$2:$AG$1001,0),MATCH(COLUMNS($AN$1006:BH1006),$AN$1006:$BO$1006,0)), HYPERLINK("#",""), HYPERLINK(CONCATENATE("#Metadata!", ADDRESS(INDEX($AI$2:$AI$1001,MATCH(ROWS($AG$2:AG75),$AG$2:$AG$1001,0),0), INDEX($AN$1004:$BO$1004,1,MATCH(COLUMNS($AN$1006:BH1006),$AN$1006:$BO$1006,0)))),"Fix")))</f>
        <v>0</v>
      </c>
      <c r="W75" s="4">
        <f>IF(OR(INDEX($AH$2:$AH$1001,MATCH(ROWS($AG$2:AG75),$AG$2:$AG$1001,0),1)&gt;=100000,INDEX($AN$1005:$BO$1005,1,MATCH(COLUMNS($AN$1006:BI1006),$AN$1006:$BO$1006,0))&gt;=100000), " ",IF(INDEX($AN$2:$BO$1001,MATCH(ROWS($AG$2:AG75),$AG$2:$AG$1001,0),MATCH(COLUMNS($AN$1006:BI1006),$AN$1006:$BO$1006,0)), HYPERLINK("#",""), HYPERLINK(CONCATENATE("#Metadata!", ADDRESS(INDEX($AI$2:$AI$1001,MATCH(ROWS($AG$2:AG75),$AG$2:$AG$1001,0),0), INDEX($AN$1004:$BO$1004,1,MATCH(COLUMNS($AN$1006:BI1006),$AN$1006:$BO$1006,0)))),"Fix")))</f>
        <v>0</v>
      </c>
      <c r="X75" s="4">
        <f>IF(OR(INDEX($AH$2:$AH$1001,MATCH(ROWS($AG$2:AG75),$AG$2:$AG$1001,0),1)&gt;=100000,INDEX($AN$1005:$BO$1005,1,MATCH(COLUMNS($AN$1006:BJ1006),$AN$1006:$BO$1006,0))&gt;=100000), " ",IF(INDEX($AN$2:$BO$1001,MATCH(ROWS($AG$2:AG75),$AG$2:$AG$1001,0),MATCH(COLUMNS($AN$1006:BJ1006),$AN$1006:$BO$1006,0)), HYPERLINK("#",""), HYPERLINK(CONCATENATE("#Metadata!", ADDRESS(INDEX($AI$2:$AI$1001,MATCH(ROWS($AG$2:AG75),$AG$2:$AG$1001,0),0), INDEX($AN$1004:$BO$1004,1,MATCH(COLUMNS($AN$1006:BJ1006),$AN$1006:$BO$1006,0)))),"Fix")))</f>
        <v>0</v>
      </c>
      <c r="Y75" s="4">
        <f>IF(OR(INDEX($AH$2:$AH$1001,MATCH(ROWS($AG$2:AG75),$AG$2:$AG$1001,0),1)&gt;=100000,INDEX($AN$1005:$BO$1005,1,MATCH(COLUMNS($AN$1006:BK1006),$AN$1006:$BO$1006,0))&gt;=100000), " ",IF(INDEX($AN$2:$BO$1001,MATCH(ROWS($AG$2:AG75),$AG$2:$AG$1001,0),MATCH(COLUMNS($AN$1006:BK1006),$AN$1006:$BO$1006,0)), HYPERLINK("#",""), HYPERLINK(CONCATENATE("#Metadata!", ADDRESS(INDEX($AI$2:$AI$1001,MATCH(ROWS($AG$2:AG75),$AG$2:$AG$1001,0),0), INDEX($AN$1004:$BO$1004,1,MATCH(COLUMNS($AN$1006:BK1006),$AN$1006:$BO$1006,0)))),"Fix")))</f>
        <v>0</v>
      </c>
      <c r="Z75" s="4">
        <f>IF(OR(INDEX($AH$2:$AH$1001,MATCH(ROWS($AG$2:AG75),$AG$2:$AG$1001,0),1)&gt;=100000,INDEX($AN$1005:$BO$1005,1,MATCH(COLUMNS($AN$1006:BL1006),$AN$1006:$BO$1006,0))&gt;=100000), " ",IF(INDEX($AN$2:$BO$1001,MATCH(ROWS($AG$2:AG75),$AG$2:$AG$1001,0),MATCH(COLUMNS($AN$1006:BL1006),$AN$1006:$BO$1006,0)), HYPERLINK("#",""), HYPERLINK(CONCATENATE("#Metadata!", ADDRESS(INDEX($AI$2:$AI$1001,MATCH(ROWS($AG$2:AG75),$AG$2:$AG$1001,0),0), INDEX($AN$1004:$BO$1004,1,MATCH(COLUMNS($AN$1006:BL1006),$AN$1006:$BO$1006,0)))),"Fix")))</f>
        <v>0</v>
      </c>
      <c r="AA75" s="4">
        <f>IF(OR(INDEX($AH$2:$AH$1001,MATCH(ROWS($AG$2:AG75),$AG$2:$AG$1001,0),1)&gt;=100000,INDEX($AN$1005:$BO$1005,1,MATCH(COLUMNS($AN$1006:BM1006),$AN$1006:$BO$1006,0))&gt;=100000), " ",IF(INDEX($AN$2:$BO$1001,MATCH(ROWS($AG$2:AG75),$AG$2:$AG$1001,0),MATCH(COLUMNS($AN$1006:BM1006),$AN$1006:$BO$1006,0)), HYPERLINK("#",""), HYPERLINK(CONCATENATE("#Metadata!", ADDRESS(INDEX($AI$2:$AI$1001,MATCH(ROWS($AG$2:AG75),$AG$2:$AG$1001,0),0), INDEX($AN$1004:$BO$1004,1,MATCH(COLUMNS($AN$1006:BM1006),$AN$1006:$BO$1006,0)))),"Fix")))</f>
        <v>0</v>
      </c>
      <c r="AB75" s="4">
        <f>IF(OR(INDEX($AH$2:$AH$1001,MATCH(ROWS($AG$2:AG75),$AG$2:$AG$1001,0),1)&gt;=100000,INDEX($AN$1005:$BO$1005,1,MATCH(COLUMNS($AN$1006:BN1006),$AN$1006:$BO$1006,0))&gt;=100000), " ",IF(INDEX($AN$2:$BO$1001,MATCH(ROWS($AG$2:AG75),$AG$2:$AG$1001,0),MATCH(COLUMNS($AN$1006:BN1006),$AN$1006:$BO$1006,0)), HYPERLINK("#",""), HYPERLINK(CONCATENATE("#Metadata!", ADDRESS(INDEX($AI$2:$AI$1001,MATCH(ROWS($AG$2:AG75),$AG$2:$AG$1001,0),0), INDEX($AN$1004:$BO$1004,1,MATCH(COLUMNS($AN$1006:BN1006),$AN$1006:$BO$1006,0)))),"Fix")))</f>
        <v>0</v>
      </c>
      <c r="AC75" s="4">
        <f>IF(OR(INDEX($AH$2:$AH$1001,MATCH(ROWS($AG$2:AG75),$AG$2:$AG$1001,0),1)&gt;=100000,INDEX($AN$1005:$BO$1005,1,MATCH(COLUMNS($AN$1006:BO1006),$AN$1006:$BO$1006,0))&gt;=100000), " ",IF(INDEX($AN$2:$BO$1001,MATCH(ROWS($AG$2:AG75),$AG$2:$AG$1001,0),MATCH(COLUMNS($AN$1006:BO1006),$AN$1006:$BO$1006,0)), HYPERLINK("#",""), HYPERLINK(CONCATENATE("#Metadata!", ADDRESS(INDEX($AI$2:$AI$1001,MATCH(ROWS($AG$2:AG75),$AG$2:$AG$1001,0),0), INDEX($AN$1004:$BO$1004,1,MATCH(COLUMNS($AN$1006:BO1006),$AN$1006:$BO$1006,0)))),"Fix")))</f>
        <v>0</v>
      </c>
      <c r="AG75">
        <v>0</v>
      </c>
      <c r="AH75">
        <v>0</v>
      </c>
      <c r="AI75">
        <v>0</v>
      </c>
      <c r="AJ75">
        <f>IF(AK75,TRUE,AND(AN75:BO75))</f>
        <v>0</v>
      </c>
      <c r="AK75">
        <f>COUNTBLANK(Metadata!B75:AC75)=COLUMNS(Metadata!B75:AC75)</f>
        <v>0</v>
      </c>
      <c r="AL75">
        <v>0</v>
      </c>
      <c r="AN75">
        <f>AND(IF(Metadata!B75="",FALSE,TRUE),COUNTIF(Metadata!B:B, Metadata!B75) = 1,NOT(ISERROR(SUMPRODUCT(SEARCH(MID(Metadata!B75,ROW(INDIRECT("1:"&amp;LEN(Metadata!B75))), 1),"0123456789abcdefghijklmnopqrstuvwxyzABCDEFGHIJKLMNOPQRSTUVWXYZ.")))))</f>
        <v>0</v>
      </c>
      <c r="AO75">
        <f>IF(Metadata!C75="",FALSE,TRUE)</f>
        <v>0</v>
      </c>
      <c r="AP75">
        <f>IF(Metadata!D75="",FALSE,TRUE)</f>
        <v>0</v>
      </c>
      <c r="AQ75">
        <f>OR(AND(IF(Metadata!E75="",FALSE,TRUE),OR(exact(Metadata!E75,"not collected"),exact(Metadata!E75,"not provided"),exact(Metadata!E75,"restricted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R75">
        <f>IF(Metadata!F75="",FALSE,TRUE)</f>
        <v>0</v>
      </c>
      <c r="AS75">
        <f>OR(AND(IF(Metadata!G75="",FALSE,TRUE),OR(exact(Metadata!G75,"not collected"),exact(Metadata!G75,"not provided"))),AND(IF(Metadata!G75="",FALSE,TRUE),OR(exact(Metadata!G75,"TRUE"),exact(Metadata!G75,"FALSE"))))</f>
        <v>0</v>
      </c>
      <c r="AT75">
        <f>OR(AND(IF(Metadata!H75="",FALSE,TRUE),OR(exact(Metadata!H75,"not collected"),exact(Metadata!H75,"not provided"),exact(Metadata!H75,"restricted access"))),AND(IF(Metadata!H75="",FALSE,ISNUMBER(VALUE(Metadata!H75))),Metadata!H75&gt;=-413.0))</f>
        <v>0</v>
      </c>
      <c r="AU75">
        <f>AND(IF(Metadata!I75="",FALSE,TRUE),exact(Metadata!I75,"meters"))</f>
        <v>0</v>
      </c>
      <c r="AV75">
        <f>AND(IF(Metadata!J75="",FALSE,TRUE),OR(exact(Metadata!J75,"Host-associated"),exact(Metadata!J75,"Free-living")))</f>
        <v>0</v>
      </c>
      <c r="AW75">
        <f>AND(IF(Metadata!K75="",FALSE,TRUE),OR(exact(Metadata!K75,"Animal"),exact(Metadata!K75,"Fungus"),exact(Metadata!K75,"Plant"),exact(Metadata!K75,"Saline"),exact(Metadata!K75,"Non-saline")))</f>
        <v>0</v>
      </c>
      <c r="AX75">
        <f>AND(IF(Metadata!L75="",FALSE,TRUE),OR(exact(Metadata!L75,"Plant secretion"),exact(Metadata!L75,"Plant rhizosphere"),exact(Metadata!L75,"Plant surface"),exact(Metadata!L75,"Plant corpus"),exact(Metadata!L75,"Fungus surface"),exact(Metadata!L75,"Fungus corpus"),exact(Metadata!L75,"Animal surface"),exact(Metadata!L75,"Animal proximal gut"),exact(Metadata!L75,"Animal corpus"),exact(Metadata!L75,"Animal distal gut"),exact(Metadata!L75,"Animal secretion"),exact(Metadata!L75,"Sub-surface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Y75">
        <f>IF(Metadata!M75="",FALSE,TRUE)</f>
        <v>0</v>
      </c>
      <c r="AZ75">
        <f>IF(Metadata!N75="",FALSE,TRUE)</f>
        <v>0</v>
      </c>
      <c r="BA75">
        <f>IF(Metadata!O75="",FALSE,TRUE)</f>
        <v>0</v>
      </c>
      <c r="BB75">
        <f>OR(AND(IF(Metadata!P75="",FALSE,TRUE),OR(exact(Metadata!P75,"not collected"),exact(Metadata!P75,"not provided"),exact(Metadata!P75,"restricted access"))),AND(IF(Metadata!P75="",FALSE,TRUE),OR(exact(Metadata!P75,"air"),exact(Metadata!P75,"built environment"),exact(Metadata!P75,"host-associated"),exact(Metadata!P75,"human-associated"),exact(Metadata!P75,"human-skin"),exact(Metadata!P75,"human-oral"),exact(Metadata!P75,"human-gut"),exact(Metadata!P75,"human-vaginal"),exact(Metadata!P75,"microbial mat/biofilm"),exact(Metadata!P75,"misc environment"),exact(Metadata!P75,"plant-associated"),exact(Metadata!P75,"sediment"),exact(Metadata!P75,"soil"),exact(Metadata!P75,"wastewater/sludge"),exact(Metadata!P75,"water"))))</f>
        <v>0</v>
      </c>
      <c r="BC75">
        <f>IF(Metadata!Q75="",FALSE,TRUE)</f>
        <v>0</v>
      </c>
      <c r="BD75">
        <f>IF(Metadata!R75="",FALSE,TRUE)</f>
        <v>0</v>
      </c>
      <c r="BE75">
        <f>OR(AND(IF(Metadata!S75="",FALSE,TRUE),OR(exact(Metadata!S75,"not collected"),exact(Metadata!S75,"not provided"),exact(Metadata!S75,"restricted access"))),AND(IF(Metadata!S75="",FALSE,ISNUMBER(VALUE(Metadata!S75))),Metadata!S75&gt;=-90.00,Metadata!S75&lt;=90.00))</f>
        <v>0</v>
      </c>
      <c r="BF75">
        <f>AND(IF(Metadata!T75="",FALSE,TRUE),exact(Metadata!T75,"Decimal degrees"))</f>
        <v>0</v>
      </c>
      <c r="BG75">
        <f>OR(AND(IF(Metadata!U75="",FALSE,TRUE),OR(exact(Metadata!U75,"not collected"),exact(Metadata!U75,"not provided"),exact(Metadata!U75,"restricted access"))),AND(IF(Metadata!U75="",FALSE,ISNUMBER(VALUE(Metadata!U75))),Metadata!U75&gt;=-180.00,Metadata!U75&lt;=180.00))</f>
        <v>0</v>
      </c>
      <c r="BH75">
        <f>AND(IF(Metadata!V75="",FALSE,TRUE),exact(Metadata!V75,"Decimal degrees"))</f>
        <v>0</v>
      </c>
      <c r="BI75">
        <f>IF(Metadata!W75="",FALSE,TRUE)</f>
        <v>0</v>
      </c>
      <c r="BJ75">
        <f>OR(AND(IF(Metadata!X75="",FALSE,TRUE),OR(exact(Metadata!X75,"not collected"),exact(Metadata!X75,"not provided"),exact(Metadata!X75,"restricted access"))),AND(IF(Metadata!X75="",FALSE,TRUE),OR(exact(Metadata!X75,"TRUE"),exact(Metadata!X75,"FALSE"))))</f>
        <v>0</v>
      </c>
      <c r="BK75">
        <f>AND(IF(Metadata!Y75="",FALSE,TRUE),exact(Metadata!Y75,"other"))</f>
        <v>0</v>
      </c>
      <c r="BL75">
        <f>IF(Metadata!Z75="",FALSE,TRUE)</f>
        <v>0</v>
      </c>
      <c r="BM75">
        <f>OR(AND(IF(Metadata!AA75="",FALSE,TRUE),OR(exact(Metadata!AA75,"not collected"),exact(Metadata!AA75,"not provided"))),AND(IF(Metadata!AA75="",FALSE,IF(ISERROR(INT(Metadata!AA75)),FALSE,INT(Metadata!AA75)=Metadata!AA75)),Metadata!AA75&gt;0))</f>
        <v>0</v>
      </c>
      <c r="BN75">
        <f>AND(IF(Metadata!AB75="",FALSE,TRUE),exact(Metadata!AB75,"Not applicable"))</f>
        <v>0</v>
      </c>
      <c r="BO75">
        <f>IF(Metadata!AC75="",FALSE,TRUE)</f>
        <v>0</v>
      </c>
    </row>
    <row r="76" spans="1:67">
      <c r="A76" s="5">
        <f>IF(B76=" "," ",HYPERLINK(CONCATENATE("#metadata!",ADDRESS(INDEX($AI$2:$AI$1001,MATCH(ROWS($AG$2:AG76),$AG$2:$AG$1001,0),0),1)),INDEX($AL$2:$AL$1001,MATCH(ROWS($AG$2:AG76),$AG$2:$AG$1001,0),0)))</f>
        <v>0</v>
      </c>
      <c r="B76" s="4">
        <f>IF(OR(INDEX($AH$2:$AH$1001,MATCH(ROWS($AG$2:AG76),$AG$2:$AG$1001,0),1)&gt;=100000,INDEX($AN$1005:$BO$1005,1,MATCH(COLUMNS($AN$1006:AN1006),$AN$1006:$BO$1006,0))&gt;=100000), " ",IF(INDEX($AN$2:$BO$1001,MATCH(ROWS($AG$2:AG76),$AG$2:$AG$1001,0),MATCH(COLUMNS($AN$1006:AN1006),$AN$1006:$BO$1006,0)), HYPERLINK("#",""), HYPERLINK(CONCATENATE("#Metadata!", ADDRESS(INDEX($AI$2:$AI$1001,MATCH(ROWS($AG$2:AG76),$AG$2:$AG$1001,0),0), INDEX($AN$1004:$BO$1004,1,MATCH(COLUMNS($AN$1006:AN1006),$AN$1006:$BO$1006,0)))),"Fix")))</f>
        <v>0</v>
      </c>
      <c r="C76" s="4">
        <f>IF(OR(INDEX($AH$2:$AH$1001,MATCH(ROWS($AG$2:AG76),$AG$2:$AG$1001,0),1)&gt;=100000,INDEX($AN$1005:$BO$1005,1,MATCH(COLUMNS($AN$1006:AO1006),$AN$1006:$BO$1006,0))&gt;=100000), " ",IF(INDEX($AN$2:$BO$1001,MATCH(ROWS($AG$2:AG76),$AG$2:$AG$1001,0),MATCH(COLUMNS($AN$1006:AO1006),$AN$1006:$BO$1006,0)), HYPERLINK("#",""), HYPERLINK(CONCATENATE("#Metadata!", ADDRESS(INDEX($AI$2:$AI$1001,MATCH(ROWS($AG$2:AG76),$AG$2:$AG$1001,0),0), INDEX($AN$1004:$BO$1004,1,MATCH(COLUMNS($AN$1006:AO1006),$AN$1006:$BO$1006,0)))),"Fix")))</f>
        <v>0</v>
      </c>
      <c r="D76" s="4">
        <f>IF(OR(INDEX($AH$2:$AH$1001,MATCH(ROWS($AG$2:AG76),$AG$2:$AG$1001,0),1)&gt;=100000,INDEX($AN$1005:$BO$1005,1,MATCH(COLUMNS($AN$1006:AP1006),$AN$1006:$BO$1006,0))&gt;=100000), " ",IF(INDEX($AN$2:$BO$1001,MATCH(ROWS($AG$2:AG76),$AG$2:$AG$1001,0),MATCH(COLUMNS($AN$1006:AP1006),$AN$1006:$BO$1006,0)), HYPERLINK("#",""), HYPERLINK(CONCATENATE("#Metadata!", ADDRESS(INDEX($AI$2:$AI$1001,MATCH(ROWS($AG$2:AG76),$AG$2:$AG$1001,0),0), INDEX($AN$1004:$BO$1004,1,MATCH(COLUMNS($AN$1006:AP1006),$AN$1006:$BO$1006,0)))),"Fix")))</f>
        <v>0</v>
      </c>
      <c r="E76" s="4">
        <f>IF(OR(INDEX($AH$2:$AH$1001,MATCH(ROWS($AG$2:AG76),$AG$2:$AG$1001,0),1)&gt;=100000,INDEX($AN$1005:$BO$1005,1,MATCH(COLUMNS($AN$1006:AQ1006),$AN$1006:$BO$1006,0))&gt;=100000), " ",IF(INDEX($AN$2:$BO$1001,MATCH(ROWS($AG$2:AG76),$AG$2:$AG$1001,0),MATCH(COLUMNS($AN$1006:AQ1006),$AN$1006:$BO$1006,0)), HYPERLINK("#",""), HYPERLINK(CONCATENATE("#Metadata!", ADDRESS(INDEX($AI$2:$AI$1001,MATCH(ROWS($AG$2:AG76),$AG$2:$AG$1001,0),0), INDEX($AN$1004:$BO$1004,1,MATCH(COLUMNS($AN$1006:AQ1006),$AN$1006:$BO$1006,0)))),"Fix")))</f>
        <v>0</v>
      </c>
      <c r="F76" s="4">
        <f>IF(OR(INDEX($AH$2:$AH$1001,MATCH(ROWS($AG$2:AG76),$AG$2:$AG$1001,0),1)&gt;=100000,INDEX($AN$1005:$BO$1005,1,MATCH(COLUMNS($AN$1006:AR1006),$AN$1006:$BO$1006,0))&gt;=100000), " ",IF(INDEX($AN$2:$BO$1001,MATCH(ROWS($AG$2:AG76),$AG$2:$AG$1001,0),MATCH(COLUMNS($AN$1006:AR1006),$AN$1006:$BO$1006,0)), HYPERLINK("#",""), HYPERLINK(CONCATENATE("#Metadata!", ADDRESS(INDEX($AI$2:$AI$1001,MATCH(ROWS($AG$2:AG76),$AG$2:$AG$1001,0),0), INDEX($AN$1004:$BO$1004,1,MATCH(COLUMNS($AN$1006:AR1006),$AN$1006:$BO$1006,0)))),"Fix")))</f>
        <v>0</v>
      </c>
      <c r="G76" s="4">
        <f>IF(OR(INDEX($AH$2:$AH$1001,MATCH(ROWS($AG$2:AG76),$AG$2:$AG$1001,0),1)&gt;=100000,INDEX($AN$1005:$BO$1005,1,MATCH(COLUMNS($AN$1006:AS1006),$AN$1006:$BO$1006,0))&gt;=100000), " ",IF(INDEX($AN$2:$BO$1001,MATCH(ROWS($AG$2:AG76),$AG$2:$AG$1001,0),MATCH(COLUMNS($AN$1006:AS1006),$AN$1006:$BO$1006,0)), HYPERLINK("#",""), HYPERLINK(CONCATENATE("#Metadata!", ADDRESS(INDEX($AI$2:$AI$1001,MATCH(ROWS($AG$2:AG76),$AG$2:$AG$1001,0),0), INDEX($AN$1004:$BO$1004,1,MATCH(COLUMNS($AN$1006:AS1006),$AN$1006:$BO$1006,0)))),"Fix")))</f>
        <v>0</v>
      </c>
      <c r="H76" s="4">
        <f>IF(OR(INDEX($AH$2:$AH$1001,MATCH(ROWS($AG$2:AG76),$AG$2:$AG$1001,0),1)&gt;=100000,INDEX($AN$1005:$BO$1005,1,MATCH(COLUMNS($AN$1006:AT1006),$AN$1006:$BO$1006,0))&gt;=100000), " ",IF(INDEX($AN$2:$BO$1001,MATCH(ROWS($AG$2:AG76),$AG$2:$AG$1001,0),MATCH(COLUMNS($AN$1006:AT1006),$AN$1006:$BO$1006,0)), HYPERLINK("#",""), HYPERLINK(CONCATENATE("#Metadata!", ADDRESS(INDEX($AI$2:$AI$1001,MATCH(ROWS($AG$2:AG76),$AG$2:$AG$1001,0),0), INDEX($AN$1004:$BO$1004,1,MATCH(COLUMNS($AN$1006:AT1006),$AN$1006:$BO$1006,0)))),"Fix")))</f>
        <v>0</v>
      </c>
      <c r="I76" s="4">
        <f>IF(OR(INDEX($AH$2:$AH$1001,MATCH(ROWS($AG$2:AG76),$AG$2:$AG$1001,0),1)&gt;=100000,INDEX($AN$1005:$BO$1005,1,MATCH(COLUMNS($AN$1006:AU1006),$AN$1006:$BO$1006,0))&gt;=100000), " ",IF(INDEX($AN$2:$BO$1001,MATCH(ROWS($AG$2:AG76),$AG$2:$AG$1001,0),MATCH(COLUMNS($AN$1006:AU1006),$AN$1006:$BO$1006,0)), HYPERLINK("#",""), HYPERLINK(CONCATENATE("#Metadata!", ADDRESS(INDEX($AI$2:$AI$1001,MATCH(ROWS($AG$2:AG76),$AG$2:$AG$1001,0),0), INDEX($AN$1004:$BO$1004,1,MATCH(COLUMNS($AN$1006:AU1006),$AN$1006:$BO$1006,0)))),"Fix")))</f>
        <v>0</v>
      </c>
      <c r="J76" s="4">
        <f>IF(OR(INDEX($AH$2:$AH$1001,MATCH(ROWS($AG$2:AG76),$AG$2:$AG$1001,0),1)&gt;=100000,INDEX($AN$1005:$BO$1005,1,MATCH(COLUMNS($AN$1006:AV1006),$AN$1006:$BO$1006,0))&gt;=100000), " ",IF(INDEX($AN$2:$BO$1001,MATCH(ROWS($AG$2:AG76),$AG$2:$AG$1001,0),MATCH(COLUMNS($AN$1006:AV1006),$AN$1006:$BO$1006,0)), HYPERLINK("#",""), HYPERLINK(CONCATENATE("#Metadata!", ADDRESS(INDEX($AI$2:$AI$1001,MATCH(ROWS($AG$2:AG76),$AG$2:$AG$1001,0),0), INDEX($AN$1004:$BO$1004,1,MATCH(COLUMNS($AN$1006:AV1006),$AN$1006:$BO$1006,0)))),"Fix")))</f>
        <v>0</v>
      </c>
      <c r="K76" s="4">
        <f>IF(OR(INDEX($AH$2:$AH$1001,MATCH(ROWS($AG$2:AG76),$AG$2:$AG$1001,0),1)&gt;=100000,INDEX($AN$1005:$BO$1005,1,MATCH(COLUMNS($AN$1006:AW1006),$AN$1006:$BO$1006,0))&gt;=100000), " ",IF(INDEX($AN$2:$BO$1001,MATCH(ROWS($AG$2:AG76),$AG$2:$AG$1001,0),MATCH(COLUMNS($AN$1006:AW1006),$AN$1006:$BO$1006,0)), HYPERLINK("#",""), HYPERLINK(CONCATENATE("#Metadata!", ADDRESS(INDEX($AI$2:$AI$1001,MATCH(ROWS($AG$2:AG76),$AG$2:$AG$1001,0),0), INDEX($AN$1004:$BO$1004,1,MATCH(COLUMNS($AN$1006:AW1006),$AN$1006:$BO$1006,0)))),"Fix")))</f>
        <v>0</v>
      </c>
      <c r="L76" s="4">
        <f>IF(OR(INDEX($AH$2:$AH$1001,MATCH(ROWS($AG$2:AG76),$AG$2:$AG$1001,0),1)&gt;=100000,INDEX($AN$1005:$BO$1005,1,MATCH(COLUMNS($AN$1006:AX1006),$AN$1006:$BO$1006,0))&gt;=100000), " ",IF(INDEX($AN$2:$BO$1001,MATCH(ROWS($AG$2:AG76),$AG$2:$AG$1001,0),MATCH(COLUMNS($AN$1006:AX1006),$AN$1006:$BO$1006,0)), HYPERLINK("#",""), HYPERLINK(CONCATENATE("#Metadata!", ADDRESS(INDEX($AI$2:$AI$1001,MATCH(ROWS($AG$2:AG76),$AG$2:$AG$1001,0),0), INDEX($AN$1004:$BO$1004,1,MATCH(COLUMNS($AN$1006:AX1006),$AN$1006:$BO$1006,0)))),"Fix")))</f>
        <v>0</v>
      </c>
      <c r="M76" s="4">
        <f>IF(OR(INDEX($AH$2:$AH$1001,MATCH(ROWS($AG$2:AG76),$AG$2:$AG$1001,0),1)&gt;=100000,INDEX($AN$1005:$BO$1005,1,MATCH(COLUMNS($AN$1006:AY1006),$AN$1006:$BO$1006,0))&gt;=100000), " ",IF(INDEX($AN$2:$BO$1001,MATCH(ROWS($AG$2:AG76),$AG$2:$AG$1001,0),MATCH(COLUMNS($AN$1006:AY1006),$AN$1006:$BO$1006,0)), HYPERLINK("#",""), HYPERLINK(CONCATENATE("#Metadata!", ADDRESS(INDEX($AI$2:$AI$1001,MATCH(ROWS($AG$2:AG76),$AG$2:$AG$1001,0),0), INDEX($AN$1004:$BO$1004,1,MATCH(COLUMNS($AN$1006:AY1006),$AN$1006:$BO$1006,0)))),"Fix")))</f>
        <v>0</v>
      </c>
      <c r="N76" s="4">
        <f>IF(OR(INDEX($AH$2:$AH$1001,MATCH(ROWS($AG$2:AG76),$AG$2:$AG$1001,0),1)&gt;=100000,INDEX($AN$1005:$BO$1005,1,MATCH(COLUMNS($AN$1006:AZ1006),$AN$1006:$BO$1006,0))&gt;=100000), " ",IF(INDEX($AN$2:$BO$1001,MATCH(ROWS($AG$2:AG76),$AG$2:$AG$1001,0),MATCH(COLUMNS($AN$1006:AZ1006),$AN$1006:$BO$1006,0)), HYPERLINK("#",""), HYPERLINK(CONCATENATE("#Metadata!", ADDRESS(INDEX($AI$2:$AI$1001,MATCH(ROWS($AG$2:AG76),$AG$2:$AG$1001,0),0), INDEX($AN$1004:$BO$1004,1,MATCH(COLUMNS($AN$1006:AZ1006),$AN$1006:$BO$1006,0)))),"Fix")))</f>
        <v>0</v>
      </c>
      <c r="O76" s="4">
        <f>IF(OR(INDEX($AH$2:$AH$1001,MATCH(ROWS($AG$2:AG76),$AG$2:$AG$1001,0),1)&gt;=100000,INDEX($AN$1005:$BO$1005,1,MATCH(COLUMNS($AN$1006:BA1006),$AN$1006:$BO$1006,0))&gt;=100000), " ",IF(INDEX($AN$2:$BO$1001,MATCH(ROWS($AG$2:AG76),$AG$2:$AG$1001,0),MATCH(COLUMNS($AN$1006:BA1006),$AN$1006:$BO$1006,0)), HYPERLINK("#",""), HYPERLINK(CONCATENATE("#Metadata!", ADDRESS(INDEX($AI$2:$AI$1001,MATCH(ROWS($AG$2:AG76),$AG$2:$AG$1001,0),0), INDEX($AN$1004:$BO$1004,1,MATCH(COLUMNS($AN$1006:BA1006),$AN$1006:$BO$1006,0)))),"Fix")))</f>
        <v>0</v>
      </c>
      <c r="P76" s="4">
        <f>IF(OR(INDEX($AH$2:$AH$1001,MATCH(ROWS($AG$2:AG76),$AG$2:$AG$1001,0),1)&gt;=100000,INDEX($AN$1005:$BO$1005,1,MATCH(COLUMNS($AN$1006:BB1006),$AN$1006:$BO$1006,0))&gt;=100000), " ",IF(INDEX($AN$2:$BO$1001,MATCH(ROWS($AG$2:AG76),$AG$2:$AG$1001,0),MATCH(COLUMNS($AN$1006:BB1006),$AN$1006:$BO$1006,0)), HYPERLINK("#",""), HYPERLINK(CONCATENATE("#Metadata!", ADDRESS(INDEX($AI$2:$AI$1001,MATCH(ROWS($AG$2:AG76),$AG$2:$AG$1001,0),0), INDEX($AN$1004:$BO$1004,1,MATCH(COLUMNS($AN$1006:BB1006),$AN$1006:$BO$1006,0)))),"Fix")))</f>
        <v>0</v>
      </c>
      <c r="Q76" s="4">
        <f>IF(OR(INDEX($AH$2:$AH$1001,MATCH(ROWS($AG$2:AG76),$AG$2:$AG$1001,0),1)&gt;=100000,INDEX($AN$1005:$BO$1005,1,MATCH(COLUMNS($AN$1006:BC1006),$AN$1006:$BO$1006,0))&gt;=100000), " ",IF(INDEX($AN$2:$BO$1001,MATCH(ROWS($AG$2:AG76),$AG$2:$AG$1001,0),MATCH(COLUMNS($AN$1006:BC1006),$AN$1006:$BO$1006,0)), HYPERLINK("#",""), HYPERLINK(CONCATENATE("#Metadata!", ADDRESS(INDEX($AI$2:$AI$1001,MATCH(ROWS($AG$2:AG76),$AG$2:$AG$1001,0),0), INDEX($AN$1004:$BO$1004,1,MATCH(COLUMNS($AN$1006:BC1006),$AN$1006:$BO$1006,0)))),"Fix")))</f>
        <v>0</v>
      </c>
      <c r="R76" s="4">
        <f>IF(OR(INDEX($AH$2:$AH$1001,MATCH(ROWS($AG$2:AG76),$AG$2:$AG$1001,0),1)&gt;=100000,INDEX($AN$1005:$BO$1005,1,MATCH(COLUMNS($AN$1006:BD1006),$AN$1006:$BO$1006,0))&gt;=100000), " ",IF(INDEX($AN$2:$BO$1001,MATCH(ROWS($AG$2:AG76),$AG$2:$AG$1001,0),MATCH(COLUMNS($AN$1006:BD1006),$AN$1006:$BO$1006,0)), HYPERLINK("#",""), HYPERLINK(CONCATENATE("#Metadata!", ADDRESS(INDEX($AI$2:$AI$1001,MATCH(ROWS($AG$2:AG76),$AG$2:$AG$1001,0),0), INDEX($AN$1004:$BO$1004,1,MATCH(COLUMNS($AN$1006:BD1006),$AN$1006:$BO$1006,0)))),"Fix")))</f>
        <v>0</v>
      </c>
      <c r="S76" s="4">
        <f>IF(OR(INDEX($AH$2:$AH$1001,MATCH(ROWS($AG$2:AG76),$AG$2:$AG$1001,0),1)&gt;=100000,INDEX($AN$1005:$BO$1005,1,MATCH(COLUMNS($AN$1006:BE1006),$AN$1006:$BO$1006,0))&gt;=100000), " ",IF(INDEX($AN$2:$BO$1001,MATCH(ROWS($AG$2:AG76),$AG$2:$AG$1001,0),MATCH(COLUMNS($AN$1006:BE1006),$AN$1006:$BO$1006,0)), HYPERLINK("#",""), HYPERLINK(CONCATENATE("#Metadata!", ADDRESS(INDEX($AI$2:$AI$1001,MATCH(ROWS($AG$2:AG76),$AG$2:$AG$1001,0),0), INDEX($AN$1004:$BO$1004,1,MATCH(COLUMNS($AN$1006:BE1006),$AN$1006:$BO$1006,0)))),"Fix")))</f>
        <v>0</v>
      </c>
      <c r="T76" s="4">
        <f>IF(OR(INDEX($AH$2:$AH$1001,MATCH(ROWS($AG$2:AG76),$AG$2:$AG$1001,0),1)&gt;=100000,INDEX($AN$1005:$BO$1005,1,MATCH(COLUMNS($AN$1006:BF1006),$AN$1006:$BO$1006,0))&gt;=100000), " ",IF(INDEX($AN$2:$BO$1001,MATCH(ROWS($AG$2:AG76),$AG$2:$AG$1001,0),MATCH(COLUMNS($AN$1006:BF1006),$AN$1006:$BO$1006,0)), HYPERLINK("#",""), HYPERLINK(CONCATENATE("#Metadata!", ADDRESS(INDEX($AI$2:$AI$1001,MATCH(ROWS($AG$2:AG76),$AG$2:$AG$1001,0),0), INDEX($AN$1004:$BO$1004,1,MATCH(COLUMNS($AN$1006:BF1006),$AN$1006:$BO$1006,0)))),"Fix")))</f>
        <v>0</v>
      </c>
      <c r="U76" s="4">
        <f>IF(OR(INDEX($AH$2:$AH$1001,MATCH(ROWS($AG$2:AG76),$AG$2:$AG$1001,0),1)&gt;=100000,INDEX($AN$1005:$BO$1005,1,MATCH(COLUMNS($AN$1006:BG1006),$AN$1006:$BO$1006,0))&gt;=100000), " ",IF(INDEX($AN$2:$BO$1001,MATCH(ROWS($AG$2:AG76),$AG$2:$AG$1001,0),MATCH(COLUMNS($AN$1006:BG1006),$AN$1006:$BO$1006,0)), HYPERLINK("#",""), HYPERLINK(CONCATENATE("#Metadata!", ADDRESS(INDEX($AI$2:$AI$1001,MATCH(ROWS($AG$2:AG76),$AG$2:$AG$1001,0),0), INDEX($AN$1004:$BO$1004,1,MATCH(COLUMNS($AN$1006:BG1006),$AN$1006:$BO$1006,0)))),"Fix")))</f>
        <v>0</v>
      </c>
      <c r="V76" s="4">
        <f>IF(OR(INDEX($AH$2:$AH$1001,MATCH(ROWS($AG$2:AG76),$AG$2:$AG$1001,0),1)&gt;=100000,INDEX($AN$1005:$BO$1005,1,MATCH(COLUMNS($AN$1006:BH1006),$AN$1006:$BO$1006,0))&gt;=100000), " ",IF(INDEX($AN$2:$BO$1001,MATCH(ROWS($AG$2:AG76),$AG$2:$AG$1001,0),MATCH(COLUMNS($AN$1006:BH1006),$AN$1006:$BO$1006,0)), HYPERLINK("#",""), HYPERLINK(CONCATENATE("#Metadata!", ADDRESS(INDEX($AI$2:$AI$1001,MATCH(ROWS($AG$2:AG76),$AG$2:$AG$1001,0),0), INDEX($AN$1004:$BO$1004,1,MATCH(COLUMNS($AN$1006:BH1006),$AN$1006:$BO$1006,0)))),"Fix")))</f>
        <v>0</v>
      </c>
      <c r="W76" s="4">
        <f>IF(OR(INDEX($AH$2:$AH$1001,MATCH(ROWS($AG$2:AG76),$AG$2:$AG$1001,0),1)&gt;=100000,INDEX($AN$1005:$BO$1005,1,MATCH(COLUMNS($AN$1006:BI1006),$AN$1006:$BO$1006,0))&gt;=100000), " ",IF(INDEX($AN$2:$BO$1001,MATCH(ROWS($AG$2:AG76),$AG$2:$AG$1001,0),MATCH(COLUMNS($AN$1006:BI1006),$AN$1006:$BO$1006,0)), HYPERLINK("#",""), HYPERLINK(CONCATENATE("#Metadata!", ADDRESS(INDEX($AI$2:$AI$1001,MATCH(ROWS($AG$2:AG76),$AG$2:$AG$1001,0),0), INDEX($AN$1004:$BO$1004,1,MATCH(COLUMNS($AN$1006:BI1006),$AN$1006:$BO$1006,0)))),"Fix")))</f>
        <v>0</v>
      </c>
      <c r="X76" s="4">
        <f>IF(OR(INDEX($AH$2:$AH$1001,MATCH(ROWS($AG$2:AG76),$AG$2:$AG$1001,0),1)&gt;=100000,INDEX($AN$1005:$BO$1005,1,MATCH(COLUMNS($AN$1006:BJ1006),$AN$1006:$BO$1006,0))&gt;=100000), " ",IF(INDEX($AN$2:$BO$1001,MATCH(ROWS($AG$2:AG76),$AG$2:$AG$1001,0),MATCH(COLUMNS($AN$1006:BJ1006),$AN$1006:$BO$1006,0)), HYPERLINK("#",""), HYPERLINK(CONCATENATE("#Metadata!", ADDRESS(INDEX($AI$2:$AI$1001,MATCH(ROWS($AG$2:AG76),$AG$2:$AG$1001,0),0), INDEX($AN$1004:$BO$1004,1,MATCH(COLUMNS($AN$1006:BJ1006),$AN$1006:$BO$1006,0)))),"Fix")))</f>
        <v>0</v>
      </c>
      <c r="Y76" s="4">
        <f>IF(OR(INDEX($AH$2:$AH$1001,MATCH(ROWS($AG$2:AG76),$AG$2:$AG$1001,0),1)&gt;=100000,INDEX($AN$1005:$BO$1005,1,MATCH(COLUMNS($AN$1006:BK1006),$AN$1006:$BO$1006,0))&gt;=100000), " ",IF(INDEX($AN$2:$BO$1001,MATCH(ROWS($AG$2:AG76),$AG$2:$AG$1001,0),MATCH(COLUMNS($AN$1006:BK1006),$AN$1006:$BO$1006,0)), HYPERLINK("#",""), HYPERLINK(CONCATENATE("#Metadata!", ADDRESS(INDEX($AI$2:$AI$1001,MATCH(ROWS($AG$2:AG76),$AG$2:$AG$1001,0),0), INDEX($AN$1004:$BO$1004,1,MATCH(COLUMNS($AN$1006:BK1006),$AN$1006:$BO$1006,0)))),"Fix")))</f>
        <v>0</v>
      </c>
      <c r="Z76" s="4">
        <f>IF(OR(INDEX($AH$2:$AH$1001,MATCH(ROWS($AG$2:AG76),$AG$2:$AG$1001,0),1)&gt;=100000,INDEX($AN$1005:$BO$1005,1,MATCH(COLUMNS($AN$1006:BL1006),$AN$1006:$BO$1006,0))&gt;=100000), " ",IF(INDEX($AN$2:$BO$1001,MATCH(ROWS($AG$2:AG76),$AG$2:$AG$1001,0),MATCH(COLUMNS($AN$1006:BL1006),$AN$1006:$BO$1006,0)), HYPERLINK("#",""), HYPERLINK(CONCATENATE("#Metadata!", ADDRESS(INDEX($AI$2:$AI$1001,MATCH(ROWS($AG$2:AG76),$AG$2:$AG$1001,0),0), INDEX($AN$1004:$BO$1004,1,MATCH(COLUMNS($AN$1006:BL1006),$AN$1006:$BO$1006,0)))),"Fix")))</f>
        <v>0</v>
      </c>
      <c r="AA76" s="4">
        <f>IF(OR(INDEX($AH$2:$AH$1001,MATCH(ROWS($AG$2:AG76),$AG$2:$AG$1001,0),1)&gt;=100000,INDEX($AN$1005:$BO$1005,1,MATCH(COLUMNS($AN$1006:BM1006),$AN$1006:$BO$1006,0))&gt;=100000), " ",IF(INDEX($AN$2:$BO$1001,MATCH(ROWS($AG$2:AG76),$AG$2:$AG$1001,0),MATCH(COLUMNS($AN$1006:BM1006),$AN$1006:$BO$1006,0)), HYPERLINK("#",""), HYPERLINK(CONCATENATE("#Metadata!", ADDRESS(INDEX($AI$2:$AI$1001,MATCH(ROWS($AG$2:AG76),$AG$2:$AG$1001,0),0), INDEX($AN$1004:$BO$1004,1,MATCH(COLUMNS($AN$1006:BM1006),$AN$1006:$BO$1006,0)))),"Fix")))</f>
        <v>0</v>
      </c>
      <c r="AB76" s="4">
        <f>IF(OR(INDEX($AH$2:$AH$1001,MATCH(ROWS($AG$2:AG76),$AG$2:$AG$1001,0),1)&gt;=100000,INDEX($AN$1005:$BO$1005,1,MATCH(COLUMNS($AN$1006:BN1006),$AN$1006:$BO$1006,0))&gt;=100000), " ",IF(INDEX($AN$2:$BO$1001,MATCH(ROWS($AG$2:AG76),$AG$2:$AG$1001,0),MATCH(COLUMNS($AN$1006:BN1006),$AN$1006:$BO$1006,0)), HYPERLINK("#",""), HYPERLINK(CONCATENATE("#Metadata!", ADDRESS(INDEX($AI$2:$AI$1001,MATCH(ROWS($AG$2:AG76),$AG$2:$AG$1001,0),0), INDEX($AN$1004:$BO$1004,1,MATCH(COLUMNS($AN$1006:BN1006),$AN$1006:$BO$1006,0)))),"Fix")))</f>
        <v>0</v>
      </c>
      <c r="AC76" s="4">
        <f>IF(OR(INDEX($AH$2:$AH$1001,MATCH(ROWS($AG$2:AG76),$AG$2:$AG$1001,0),1)&gt;=100000,INDEX($AN$1005:$BO$1005,1,MATCH(COLUMNS($AN$1006:BO1006),$AN$1006:$BO$1006,0))&gt;=100000), " ",IF(INDEX($AN$2:$BO$1001,MATCH(ROWS($AG$2:AG76),$AG$2:$AG$1001,0),MATCH(COLUMNS($AN$1006:BO1006),$AN$1006:$BO$1006,0)), HYPERLINK("#",""), HYPERLINK(CONCATENATE("#Metadata!", ADDRESS(INDEX($AI$2:$AI$1001,MATCH(ROWS($AG$2:AG76),$AG$2:$AG$1001,0),0), INDEX($AN$1004:$BO$1004,1,MATCH(COLUMNS($AN$1006:BO1006),$AN$1006:$BO$1006,0)))),"Fix")))</f>
        <v>0</v>
      </c>
      <c r="AG76">
        <v>0</v>
      </c>
      <c r="AH76">
        <v>0</v>
      </c>
      <c r="AI76">
        <v>0</v>
      </c>
      <c r="AJ76">
        <f>IF(AK76,TRUE,AND(AN76:BO76))</f>
        <v>0</v>
      </c>
      <c r="AK76">
        <f>COUNTBLANK(Metadata!B76:AC76)=COLUMNS(Metadata!B76:AC76)</f>
        <v>0</v>
      </c>
      <c r="AL76">
        <v>0</v>
      </c>
      <c r="AN76">
        <f>AND(IF(Metadata!B76="",FALSE,TRUE),COUNTIF(Metadata!B:B, Metadata!B76) = 1,NOT(ISERROR(SUMPRODUCT(SEARCH(MID(Metadata!B76,ROW(INDIRECT("1:"&amp;LEN(Metadata!B76))), 1),"0123456789abcdefghijklmnopqrstuvwxyzABCDEFGHIJKLMNOPQRSTUVWXYZ.")))))</f>
        <v>0</v>
      </c>
      <c r="AO76">
        <f>IF(Metadata!C76="",FALSE,TRUE)</f>
        <v>0</v>
      </c>
      <c r="AP76">
        <f>IF(Metadata!D76="",FALSE,TRUE)</f>
        <v>0</v>
      </c>
      <c r="AQ76">
        <f>OR(AND(IF(Metadata!E76="",FALSE,TRUE),OR(exact(Metadata!E76,"not collected"),exact(Metadata!E76,"not provided"),exact(Metadata!E76,"restricted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R76">
        <f>IF(Metadata!F76="",FALSE,TRUE)</f>
        <v>0</v>
      </c>
      <c r="AS76">
        <f>OR(AND(IF(Metadata!G76="",FALSE,TRUE),OR(exact(Metadata!G76,"not collected"),exact(Metadata!G76,"not provided"))),AND(IF(Metadata!G76="",FALSE,TRUE),OR(exact(Metadata!G76,"TRUE"),exact(Metadata!G76,"FALSE"))))</f>
        <v>0</v>
      </c>
      <c r="AT76">
        <f>OR(AND(IF(Metadata!H76="",FALSE,TRUE),OR(exact(Metadata!H76,"not collected"),exact(Metadata!H76,"not provided"),exact(Metadata!H76,"restricted access"))),AND(IF(Metadata!H76="",FALSE,ISNUMBER(VALUE(Metadata!H76))),Metadata!H76&gt;=-413.0))</f>
        <v>0</v>
      </c>
      <c r="AU76">
        <f>AND(IF(Metadata!I76="",FALSE,TRUE),exact(Metadata!I76,"meters"))</f>
        <v>0</v>
      </c>
      <c r="AV76">
        <f>AND(IF(Metadata!J76="",FALSE,TRUE),OR(exact(Metadata!J76,"Host-associated"),exact(Metadata!J76,"Free-living")))</f>
        <v>0</v>
      </c>
      <c r="AW76">
        <f>AND(IF(Metadata!K76="",FALSE,TRUE),OR(exact(Metadata!K76,"Animal"),exact(Metadata!K76,"Fungus"),exact(Metadata!K76,"Plant"),exact(Metadata!K76,"Saline"),exact(Metadata!K76,"Non-saline")))</f>
        <v>0</v>
      </c>
      <c r="AX76">
        <f>AND(IF(Metadata!L76="",FALSE,TRUE),OR(exact(Metadata!L76,"Plant secretion"),exact(Metadata!L76,"Plant rhizosphere"),exact(Metadata!L76,"Plant surface"),exact(Metadata!L76,"Plant corpus"),exact(Metadata!L76,"Fungus surface"),exact(Metadata!L76,"Fungus corpus"),exact(Metadata!L76,"Animal surface"),exact(Metadata!L76,"Animal proximal gut"),exact(Metadata!L76,"Animal corpus"),exact(Metadata!L76,"Animal distal gut"),exact(Metadata!L76,"Animal secretion"),exact(Metadata!L76,"Sub-surface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Y76">
        <f>IF(Metadata!M76="",FALSE,TRUE)</f>
        <v>0</v>
      </c>
      <c r="AZ76">
        <f>IF(Metadata!N76="",FALSE,TRUE)</f>
        <v>0</v>
      </c>
      <c r="BA76">
        <f>IF(Metadata!O76="",FALSE,TRUE)</f>
        <v>0</v>
      </c>
      <c r="BB76">
        <f>OR(AND(IF(Metadata!P76="",FALSE,TRUE),OR(exact(Metadata!P76,"not collected"),exact(Metadata!P76,"not provided"),exact(Metadata!P76,"restricted access"))),AND(IF(Metadata!P76="",FALSE,TRUE),OR(exact(Metadata!P76,"air"),exact(Metadata!P76,"built environment"),exact(Metadata!P76,"host-associated"),exact(Metadata!P76,"human-associated"),exact(Metadata!P76,"human-skin"),exact(Metadata!P76,"human-oral"),exact(Metadata!P76,"human-gut"),exact(Metadata!P76,"human-vaginal"),exact(Metadata!P76,"microbial mat/biofilm"),exact(Metadata!P76,"misc environment"),exact(Metadata!P76,"plant-associated"),exact(Metadata!P76,"sediment"),exact(Metadata!P76,"soil"),exact(Metadata!P76,"wastewater/sludge"),exact(Metadata!P76,"water"))))</f>
        <v>0</v>
      </c>
      <c r="BC76">
        <f>IF(Metadata!Q76="",FALSE,TRUE)</f>
        <v>0</v>
      </c>
      <c r="BD76">
        <f>IF(Metadata!R76="",FALSE,TRUE)</f>
        <v>0</v>
      </c>
      <c r="BE76">
        <f>OR(AND(IF(Metadata!S76="",FALSE,TRUE),OR(exact(Metadata!S76,"not collected"),exact(Metadata!S76,"not provided"),exact(Metadata!S76,"restricted access"))),AND(IF(Metadata!S76="",FALSE,ISNUMBER(VALUE(Metadata!S76))),Metadata!S76&gt;=-90.00,Metadata!S76&lt;=90.00))</f>
        <v>0</v>
      </c>
      <c r="BF76">
        <f>AND(IF(Metadata!T76="",FALSE,TRUE),exact(Metadata!T76,"Decimal degrees"))</f>
        <v>0</v>
      </c>
      <c r="BG76">
        <f>OR(AND(IF(Metadata!U76="",FALSE,TRUE),OR(exact(Metadata!U76,"not collected"),exact(Metadata!U76,"not provided"),exact(Metadata!U76,"restricted access"))),AND(IF(Metadata!U76="",FALSE,ISNUMBER(VALUE(Metadata!U76))),Metadata!U76&gt;=-180.00,Metadata!U76&lt;=180.00))</f>
        <v>0</v>
      </c>
      <c r="BH76">
        <f>AND(IF(Metadata!V76="",FALSE,TRUE),exact(Metadata!V76,"Decimal degrees"))</f>
        <v>0</v>
      </c>
      <c r="BI76">
        <f>IF(Metadata!W76="",FALSE,TRUE)</f>
        <v>0</v>
      </c>
      <c r="BJ76">
        <f>OR(AND(IF(Metadata!X76="",FALSE,TRUE),OR(exact(Metadata!X76,"not collected"),exact(Metadata!X76,"not provided"),exact(Metadata!X76,"restricted access"))),AND(IF(Metadata!X76="",FALSE,TRUE),OR(exact(Metadata!X76,"TRUE"),exact(Metadata!X76,"FALSE"))))</f>
        <v>0</v>
      </c>
      <c r="BK76">
        <f>AND(IF(Metadata!Y76="",FALSE,TRUE),exact(Metadata!Y76,"other"))</f>
        <v>0</v>
      </c>
      <c r="BL76">
        <f>IF(Metadata!Z76="",FALSE,TRUE)</f>
        <v>0</v>
      </c>
      <c r="BM76">
        <f>OR(AND(IF(Metadata!AA76="",FALSE,TRUE),OR(exact(Metadata!AA76,"not collected"),exact(Metadata!AA76,"not provided"))),AND(IF(Metadata!AA76="",FALSE,IF(ISERROR(INT(Metadata!AA76)),FALSE,INT(Metadata!AA76)=Metadata!AA76)),Metadata!AA76&gt;0))</f>
        <v>0</v>
      </c>
      <c r="BN76">
        <f>AND(IF(Metadata!AB76="",FALSE,TRUE),exact(Metadata!AB76,"Not applicable"))</f>
        <v>0</v>
      </c>
      <c r="BO76">
        <f>IF(Metadata!AC76="",FALSE,TRUE)</f>
        <v>0</v>
      </c>
    </row>
    <row r="77" spans="1:67">
      <c r="A77" s="5">
        <f>IF(B77=" "," ",HYPERLINK(CONCATENATE("#metadata!",ADDRESS(INDEX($AI$2:$AI$1001,MATCH(ROWS($AG$2:AG77),$AG$2:$AG$1001,0),0),1)),INDEX($AL$2:$AL$1001,MATCH(ROWS($AG$2:AG77),$AG$2:$AG$1001,0),0)))</f>
        <v>0</v>
      </c>
      <c r="B77" s="4">
        <f>IF(OR(INDEX($AH$2:$AH$1001,MATCH(ROWS($AG$2:AG77),$AG$2:$AG$1001,0),1)&gt;=100000,INDEX($AN$1005:$BO$1005,1,MATCH(COLUMNS($AN$1006:AN1006),$AN$1006:$BO$1006,0))&gt;=100000), " ",IF(INDEX($AN$2:$BO$1001,MATCH(ROWS($AG$2:AG77),$AG$2:$AG$1001,0),MATCH(COLUMNS($AN$1006:AN1006),$AN$1006:$BO$1006,0)), HYPERLINK("#",""), HYPERLINK(CONCATENATE("#Metadata!", ADDRESS(INDEX($AI$2:$AI$1001,MATCH(ROWS($AG$2:AG77),$AG$2:$AG$1001,0),0), INDEX($AN$1004:$BO$1004,1,MATCH(COLUMNS($AN$1006:AN1006),$AN$1006:$BO$1006,0)))),"Fix")))</f>
        <v>0</v>
      </c>
      <c r="C77" s="4">
        <f>IF(OR(INDEX($AH$2:$AH$1001,MATCH(ROWS($AG$2:AG77),$AG$2:$AG$1001,0),1)&gt;=100000,INDEX($AN$1005:$BO$1005,1,MATCH(COLUMNS($AN$1006:AO1006),$AN$1006:$BO$1006,0))&gt;=100000), " ",IF(INDEX($AN$2:$BO$1001,MATCH(ROWS($AG$2:AG77),$AG$2:$AG$1001,0),MATCH(COLUMNS($AN$1006:AO1006),$AN$1006:$BO$1006,0)), HYPERLINK("#",""), HYPERLINK(CONCATENATE("#Metadata!", ADDRESS(INDEX($AI$2:$AI$1001,MATCH(ROWS($AG$2:AG77),$AG$2:$AG$1001,0),0), INDEX($AN$1004:$BO$1004,1,MATCH(COLUMNS($AN$1006:AO1006),$AN$1006:$BO$1006,0)))),"Fix")))</f>
        <v>0</v>
      </c>
      <c r="D77" s="4">
        <f>IF(OR(INDEX($AH$2:$AH$1001,MATCH(ROWS($AG$2:AG77),$AG$2:$AG$1001,0),1)&gt;=100000,INDEX($AN$1005:$BO$1005,1,MATCH(COLUMNS($AN$1006:AP1006),$AN$1006:$BO$1006,0))&gt;=100000), " ",IF(INDEX($AN$2:$BO$1001,MATCH(ROWS($AG$2:AG77),$AG$2:$AG$1001,0),MATCH(COLUMNS($AN$1006:AP1006),$AN$1006:$BO$1006,0)), HYPERLINK("#",""), HYPERLINK(CONCATENATE("#Metadata!", ADDRESS(INDEX($AI$2:$AI$1001,MATCH(ROWS($AG$2:AG77),$AG$2:$AG$1001,0),0), INDEX($AN$1004:$BO$1004,1,MATCH(COLUMNS($AN$1006:AP1006),$AN$1006:$BO$1006,0)))),"Fix")))</f>
        <v>0</v>
      </c>
      <c r="E77" s="4">
        <f>IF(OR(INDEX($AH$2:$AH$1001,MATCH(ROWS($AG$2:AG77),$AG$2:$AG$1001,0),1)&gt;=100000,INDEX($AN$1005:$BO$1005,1,MATCH(COLUMNS($AN$1006:AQ1006),$AN$1006:$BO$1006,0))&gt;=100000), " ",IF(INDEX($AN$2:$BO$1001,MATCH(ROWS($AG$2:AG77),$AG$2:$AG$1001,0),MATCH(COLUMNS($AN$1006:AQ1006),$AN$1006:$BO$1006,0)), HYPERLINK("#",""), HYPERLINK(CONCATENATE("#Metadata!", ADDRESS(INDEX($AI$2:$AI$1001,MATCH(ROWS($AG$2:AG77),$AG$2:$AG$1001,0),0), INDEX($AN$1004:$BO$1004,1,MATCH(COLUMNS($AN$1006:AQ1006),$AN$1006:$BO$1006,0)))),"Fix")))</f>
        <v>0</v>
      </c>
      <c r="F77" s="4">
        <f>IF(OR(INDEX($AH$2:$AH$1001,MATCH(ROWS($AG$2:AG77),$AG$2:$AG$1001,0),1)&gt;=100000,INDEX($AN$1005:$BO$1005,1,MATCH(COLUMNS($AN$1006:AR1006),$AN$1006:$BO$1006,0))&gt;=100000), " ",IF(INDEX($AN$2:$BO$1001,MATCH(ROWS($AG$2:AG77),$AG$2:$AG$1001,0),MATCH(COLUMNS($AN$1006:AR1006),$AN$1006:$BO$1006,0)), HYPERLINK("#",""), HYPERLINK(CONCATENATE("#Metadata!", ADDRESS(INDEX($AI$2:$AI$1001,MATCH(ROWS($AG$2:AG77),$AG$2:$AG$1001,0),0), INDEX($AN$1004:$BO$1004,1,MATCH(COLUMNS($AN$1006:AR1006),$AN$1006:$BO$1006,0)))),"Fix")))</f>
        <v>0</v>
      </c>
      <c r="G77" s="4">
        <f>IF(OR(INDEX($AH$2:$AH$1001,MATCH(ROWS($AG$2:AG77),$AG$2:$AG$1001,0),1)&gt;=100000,INDEX($AN$1005:$BO$1005,1,MATCH(COLUMNS($AN$1006:AS1006),$AN$1006:$BO$1006,0))&gt;=100000), " ",IF(INDEX($AN$2:$BO$1001,MATCH(ROWS($AG$2:AG77),$AG$2:$AG$1001,0),MATCH(COLUMNS($AN$1006:AS1006),$AN$1006:$BO$1006,0)), HYPERLINK("#",""), HYPERLINK(CONCATENATE("#Metadata!", ADDRESS(INDEX($AI$2:$AI$1001,MATCH(ROWS($AG$2:AG77),$AG$2:$AG$1001,0),0), INDEX($AN$1004:$BO$1004,1,MATCH(COLUMNS($AN$1006:AS1006),$AN$1006:$BO$1006,0)))),"Fix")))</f>
        <v>0</v>
      </c>
      <c r="H77" s="4">
        <f>IF(OR(INDEX($AH$2:$AH$1001,MATCH(ROWS($AG$2:AG77),$AG$2:$AG$1001,0),1)&gt;=100000,INDEX($AN$1005:$BO$1005,1,MATCH(COLUMNS($AN$1006:AT1006),$AN$1006:$BO$1006,0))&gt;=100000), " ",IF(INDEX($AN$2:$BO$1001,MATCH(ROWS($AG$2:AG77),$AG$2:$AG$1001,0),MATCH(COLUMNS($AN$1006:AT1006),$AN$1006:$BO$1006,0)), HYPERLINK("#",""), HYPERLINK(CONCATENATE("#Metadata!", ADDRESS(INDEX($AI$2:$AI$1001,MATCH(ROWS($AG$2:AG77),$AG$2:$AG$1001,0),0), INDEX($AN$1004:$BO$1004,1,MATCH(COLUMNS($AN$1006:AT1006),$AN$1006:$BO$1006,0)))),"Fix")))</f>
        <v>0</v>
      </c>
      <c r="I77" s="4">
        <f>IF(OR(INDEX($AH$2:$AH$1001,MATCH(ROWS($AG$2:AG77),$AG$2:$AG$1001,0),1)&gt;=100000,INDEX($AN$1005:$BO$1005,1,MATCH(COLUMNS($AN$1006:AU1006),$AN$1006:$BO$1006,0))&gt;=100000), " ",IF(INDEX($AN$2:$BO$1001,MATCH(ROWS($AG$2:AG77),$AG$2:$AG$1001,0),MATCH(COLUMNS($AN$1006:AU1006),$AN$1006:$BO$1006,0)), HYPERLINK("#",""), HYPERLINK(CONCATENATE("#Metadata!", ADDRESS(INDEX($AI$2:$AI$1001,MATCH(ROWS($AG$2:AG77),$AG$2:$AG$1001,0),0), INDEX($AN$1004:$BO$1004,1,MATCH(COLUMNS($AN$1006:AU1006),$AN$1006:$BO$1006,0)))),"Fix")))</f>
        <v>0</v>
      </c>
      <c r="J77" s="4">
        <f>IF(OR(INDEX($AH$2:$AH$1001,MATCH(ROWS($AG$2:AG77),$AG$2:$AG$1001,0),1)&gt;=100000,INDEX($AN$1005:$BO$1005,1,MATCH(COLUMNS($AN$1006:AV1006),$AN$1006:$BO$1006,0))&gt;=100000), " ",IF(INDEX($AN$2:$BO$1001,MATCH(ROWS($AG$2:AG77),$AG$2:$AG$1001,0),MATCH(COLUMNS($AN$1006:AV1006),$AN$1006:$BO$1006,0)), HYPERLINK("#",""), HYPERLINK(CONCATENATE("#Metadata!", ADDRESS(INDEX($AI$2:$AI$1001,MATCH(ROWS($AG$2:AG77),$AG$2:$AG$1001,0),0), INDEX($AN$1004:$BO$1004,1,MATCH(COLUMNS($AN$1006:AV1006),$AN$1006:$BO$1006,0)))),"Fix")))</f>
        <v>0</v>
      </c>
      <c r="K77" s="4">
        <f>IF(OR(INDEX($AH$2:$AH$1001,MATCH(ROWS($AG$2:AG77),$AG$2:$AG$1001,0),1)&gt;=100000,INDEX($AN$1005:$BO$1005,1,MATCH(COLUMNS($AN$1006:AW1006),$AN$1006:$BO$1006,0))&gt;=100000), " ",IF(INDEX($AN$2:$BO$1001,MATCH(ROWS($AG$2:AG77),$AG$2:$AG$1001,0),MATCH(COLUMNS($AN$1006:AW1006),$AN$1006:$BO$1006,0)), HYPERLINK("#",""), HYPERLINK(CONCATENATE("#Metadata!", ADDRESS(INDEX($AI$2:$AI$1001,MATCH(ROWS($AG$2:AG77),$AG$2:$AG$1001,0),0), INDEX($AN$1004:$BO$1004,1,MATCH(COLUMNS($AN$1006:AW1006),$AN$1006:$BO$1006,0)))),"Fix")))</f>
        <v>0</v>
      </c>
      <c r="L77" s="4">
        <f>IF(OR(INDEX($AH$2:$AH$1001,MATCH(ROWS($AG$2:AG77),$AG$2:$AG$1001,0),1)&gt;=100000,INDEX($AN$1005:$BO$1005,1,MATCH(COLUMNS($AN$1006:AX1006),$AN$1006:$BO$1006,0))&gt;=100000), " ",IF(INDEX($AN$2:$BO$1001,MATCH(ROWS($AG$2:AG77),$AG$2:$AG$1001,0),MATCH(COLUMNS($AN$1006:AX1006),$AN$1006:$BO$1006,0)), HYPERLINK("#",""), HYPERLINK(CONCATENATE("#Metadata!", ADDRESS(INDEX($AI$2:$AI$1001,MATCH(ROWS($AG$2:AG77),$AG$2:$AG$1001,0),0), INDEX($AN$1004:$BO$1004,1,MATCH(COLUMNS($AN$1006:AX1006),$AN$1006:$BO$1006,0)))),"Fix")))</f>
        <v>0</v>
      </c>
      <c r="M77" s="4">
        <f>IF(OR(INDEX($AH$2:$AH$1001,MATCH(ROWS($AG$2:AG77),$AG$2:$AG$1001,0),1)&gt;=100000,INDEX($AN$1005:$BO$1005,1,MATCH(COLUMNS($AN$1006:AY1006),$AN$1006:$BO$1006,0))&gt;=100000), " ",IF(INDEX($AN$2:$BO$1001,MATCH(ROWS($AG$2:AG77),$AG$2:$AG$1001,0),MATCH(COLUMNS($AN$1006:AY1006),$AN$1006:$BO$1006,0)), HYPERLINK("#",""), HYPERLINK(CONCATENATE("#Metadata!", ADDRESS(INDEX($AI$2:$AI$1001,MATCH(ROWS($AG$2:AG77),$AG$2:$AG$1001,0),0), INDEX($AN$1004:$BO$1004,1,MATCH(COLUMNS($AN$1006:AY1006),$AN$1006:$BO$1006,0)))),"Fix")))</f>
        <v>0</v>
      </c>
      <c r="N77" s="4">
        <f>IF(OR(INDEX($AH$2:$AH$1001,MATCH(ROWS($AG$2:AG77),$AG$2:$AG$1001,0),1)&gt;=100000,INDEX($AN$1005:$BO$1005,1,MATCH(COLUMNS($AN$1006:AZ1006),$AN$1006:$BO$1006,0))&gt;=100000), " ",IF(INDEX($AN$2:$BO$1001,MATCH(ROWS($AG$2:AG77),$AG$2:$AG$1001,0),MATCH(COLUMNS($AN$1006:AZ1006),$AN$1006:$BO$1006,0)), HYPERLINK("#",""), HYPERLINK(CONCATENATE("#Metadata!", ADDRESS(INDEX($AI$2:$AI$1001,MATCH(ROWS($AG$2:AG77),$AG$2:$AG$1001,0),0), INDEX($AN$1004:$BO$1004,1,MATCH(COLUMNS($AN$1006:AZ1006),$AN$1006:$BO$1006,0)))),"Fix")))</f>
        <v>0</v>
      </c>
      <c r="O77" s="4">
        <f>IF(OR(INDEX($AH$2:$AH$1001,MATCH(ROWS($AG$2:AG77),$AG$2:$AG$1001,0),1)&gt;=100000,INDEX($AN$1005:$BO$1005,1,MATCH(COLUMNS($AN$1006:BA1006),$AN$1006:$BO$1006,0))&gt;=100000), " ",IF(INDEX($AN$2:$BO$1001,MATCH(ROWS($AG$2:AG77),$AG$2:$AG$1001,0),MATCH(COLUMNS($AN$1006:BA1006),$AN$1006:$BO$1006,0)), HYPERLINK("#",""), HYPERLINK(CONCATENATE("#Metadata!", ADDRESS(INDEX($AI$2:$AI$1001,MATCH(ROWS($AG$2:AG77),$AG$2:$AG$1001,0),0), INDEX($AN$1004:$BO$1004,1,MATCH(COLUMNS($AN$1006:BA1006),$AN$1006:$BO$1006,0)))),"Fix")))</f>
        <v>0</v>
      </c>
      <c r="P77" s="4">
        <f>IF(OR(INDEX($AH$2:$AH$1001,MATCH(ROWS($AG$2:AG77),$AG$2:$AG$1001,0),1)&gt;=100000,INDEX($AN$1005:$BO$1005,1,MATCH(COLUMNS($AN$1006:BB1006),$AN$1006:$BO$1006,0))&gt;=100000), " ",IF(INDEX($AN$2:$BO$1001,MATCH(ROWS($AG$2:AG77),$AG$2:$AG$1001,0),MATCH(COLUMNS($AN$1006:BB1006),$AN$1006:$BO$1006,0)), HYPERLINK("#",""), HYPERLINK(CONCATENATE("#Metadata!", ADDRESS(INDEX($AI$2:$AI$1001,MATCH(ROWS($AG$2:AG77),$AG$2:$AG$1001,0),0), INDEX($AN$1004:$BO$1004,1,MATCH(COLUMNS($AN$1006:BB1006),$AN$1006:$BO$1006,0)))),"Fix")))</f>
        <v>0</v>
      </c>
      <c r="Q77" s="4">
        <f>IF(OR(INDEX($AH$2:$AH$1001,MATCH(ROWS($AG$2:AG77),$AG$2:$AG$1001,0),1)&gt;=100000,INDEX($AN$1005:$BO$1005,1,MATCH(COLUMNS($AN$1006:BC1006),$AN$1006:$BO$1006,0))&gt;=100000), " ",IF(INDEX($AN$2:$BO$1001,MATCH(ROWS($AG$2:AG77),$AG$2:$AG$1001,0),MATCH(COLUMNS($AN$1006:BC1006),$AN$1006:$BO$1006,0)), HYPERLINK("#",""), HYPERLINK(CONCATENATE("#Metadata!", ADDRESS(INDEX($AI$2:$AI$1001,MATCH(ROWS($AG$2:AG77),$AG$2:$AG$1001,0),0), INDEX($AN$1004:$BO$1004,1,MATCH(COLUMNS($AN$1006:BC1006),$AN$1006:$BO$1006,0)))),"Fix")))</f>
        <v>0</v>
      </c>
      <c r="R77" s="4">
        <f>IF(OR(INDEX($AH$2:$AH$1001,MATCH(ROWS($AG$2:AG77),$AG$2:$AG$1001,0),1)&gt;=100000,INDEX($AN$1005:$BO$1005,1,MATCH(COLUMNS($AN$1006:BD1006),$AN$1006:$BO$1006,0))&gt;=100000), " ",IF(INDEX($AN$2:$BO$1001,MATCH(ROWS($AG$2:AG77),$AG$2:$AG$1001,0),MATCH(COLUMNS($AN$1006:BD1006),$AN$1006:$BO$1006,0)), HYPERLINK("#",""), HYPERLINK(CONCATENATE("#Metadata!", ADDRESS(INDEX($AI$2:$AI$1001,MATCH(ROWS($AG$2:AG77),$AG$2:$AG$1001,0),0), INDEX($AN$1004:$BO$1004,1,MATCH(COLUMNS($AN$1006:BD1006),$AN$1006:$BO$1006,0)))),"Fix")))</f>
        <v>0</v>
      </c>
      <c r="S77" s="4">
        <f>IF(OR(INDEX($AH$2:$AH$1001,MATCH(ROWS($AG$2:AG77),$AG$2:$AG$1001,0),1)&gt;=100000,INDEX($AN$1005:$BO$1005,1,MATCH(COLUMNS($AN$1006:BE1006),$AN$1006:$BO$1006,0))&gt;=100000), " ",IF(INDEX($AN$2:$BO$1001,MATCH(ROWS($AG$2:AG77),$AG$2:$AG$1001,0),MATCH(COLUMNS($AN$1006:BE1006),$AN$1006:$BO$1006,0)), HYPERLINK("#",""), HYPERLINK(CONCATENATE("#Metadata!", ADDRESS(INDEX($AI$2:$AI$1001,MATCH(ROWS($AG$2:AG77),$AG$2:$AG$1001,0),0), INDEX($AN$1004:$BO$1004,1,MATCH(COLUMNS($AN$1006:BE1006),$AN$1006:$BO$1006,0)))),"Fix")))</f>
        <v>0</v>
      </c>
      <c r="T77" s="4">
        <f>IF(OR(INDEX($AH$2:$AH$1001,MATCH(ROWS($AG$2:AG77),$AG$2:$AG$1001,0),1)&gt;=100000,INDEX($AN$1005:$BO$1005,1,MATCH(COLUMNS($AN$1006:BF1006),$AN$1006:$BO$1006,0))&gt;=100000), " ",IF(INDEX($AN$2:$BO$1001,MATCH(ROWS($AG$2:AG77),$AG$2:$AG$1001,0),MATCH(COLUMNS($AN$1006:BF1006),$AN$1006:$BO$1006,0)), HYPERLINK("#",""), HYPERLINK(CONCATENATE("#Metadata!", ADDRESS(INDEX($AI$2:$AI$1001,MATCH(ROWS($AG$2:AG77),$AG$2:$AG$1001,0),0), INDEX($AN$1004:$BO$1004,1,MATCH(COLUMNS($AN$1006:BF1006),$AN$1006:$BO$1006,0)))),"Fix")))</f>
        <v>0</v>
      </c>
      <c r="U77" s="4">
        <f>IF(OR(INDEX($AH$2:$AH$1001,MATCH(ROWS($AG$2:AG77),$AG$2:$AG$1001,0),1)&gt;=100000,INDEX($AN$1005:$BO$1005,1,MATCH(COLUMNS($AN$1006:BG1006),$AN$1006:$BO$1006,0))&gt;=100000), " ",IF(INDEX($AN$2:$BO$1001,MATCH(ROWS($AG$2:AG77),$AG$2:$AG$1001,0),MATCH(COLUMNS($AN$1006:BG1006),$AN$1006:$BO$1006,0)), HYPERLINK("#",""), HYPERLINK(CONCATENATE("#Metadata!", ADDRESS(INDEX($AI$2:$AI$1001,MATCH(ROWS($AG$2:AG77),$AG$2:$AG$1001,0),0), INDEX($AN$1004:$BO$1004,1,MATCH(COLUMNS($AN$1006:BG1006),$AN$1006:$BO$1006,0)))),"Fix")))</f>
        <v>0</v>
      </c>
      <c r="V77" s="4">
        <f>IF(OR(INDEX($AH$2:$AH$1001,MATCH(ROWS($AG$2:AG77),$AG$2:$AG$1001,0),1)&gt;=100000,INDEX($AN$1005:$BO$1005,1,MATCH(COLUMNS($AN$1006:BH1006),$AN$1006:$BO$1006,0))&gt;=100000), " ",IF(INDEX($AN$2:$BO$1001,MATCH(ROWS($AG$2:AG77),$AG$2:$AG$1001,0),MATCH(COLUMNS($AN$1006:BH1006),$AN$1006:$BO$1006,0)), HYPERLINK("#",""), HYPERLINK(CONCATENATE("#Metadata!", ADDRESS(INDEX($AI$2:$AI$1001,MATCH(ROWS($AG$2:AG77),$AG$2:$AG$1001,0),0), INDEX($AN$1004:$BO$1004,1,MATCH(COLUMNS($AN$1006:BH1006),$AN$1006:$BO$1006,0)))),"Fix")))</f>
        <v>0</v>
      </c>
      <c r="W77" s="4">
        <f>IF(OR(INDEX($AH$2:$AH$1001,MATCH(ROWS($AG$2:AG77),$AG$2:$AG$1001,0),1)&gt;=100000,INDEX($AN$1005:$BO$1005,1,MATCH(COLUMNS($AN$1006:BI1006),$AN$1006:$BO$1006,0))&gt;=100000), " ",IF(INDEX($AN$2:$BO$1001,MATCH(ROWS($AG$2:AG77),$AG$2:$AG$1001,0),MATCH(COLUMNS($AN$1006:BI1006),$AN$1006:$BO$1006,0)), HYPERLINK("#",""), HYPERLINK(CONCATENATE("#Metadata!", ADDRESS(INDEX($AI$2:$AI$1001,MATCH(ROWS($AG$2:AG77),$AG$2:$AG$1001,0),0), INDEX($AN$1004:$BO$1004,1,MATCH(COLUMNS($AN$1006:BI1006),$AN$1006:$BO$1006,0)))),"Fix")))</f>
        <v>0</v>
      </c>
      <c r="X77" s="4">
        <f>IF(OR(INDEX($AH$2:$AH$1001,MATCH(ROWS($AG$2:AG77),$AG$2:$AG$1001,0),1)&gt;=100000,INDEX($AN$1005:$BO$1005,1,MATCH(COLUMNS($AN$1006:BJ1006),$AN$1006:$BO$1006,0))&gt;=100000), " ",IF(INDEX($AN$2:$BO$1001,MATCH(ROWS($AG$2:AG77),$AG$2:$AG$1001,0),MATCH(COLUMNS($AN$1006:BJ1006),$AN$1006:$BO$1006,0)), HYPERLINK("#",""), HYPERLINK(CONCATENATE("#Metadata!", ADDRESS(INDEX($AI$2:$AI$1001,MATCH(ROWS($AG$2:AG77),$AG$2:$AG$1001,0),0), INDEX($AN$1004:$BO$1004,1,MATCH(COLUMNS($AN$1006:BJ1006),$AN$1006:$BO$1006,0)))),"Fix")))</f>
        <v>0</v>
      </c>
      <c r="Y77" s="4">
        <f>IF(OR(INDEX($AH$2:$AH$1001,MATCH(ROWS($AG$2:AG77),$AG$2:$AG$1001,0),1)&gt;=100000,INDEX($AN$1005:$BO$1005,1,MATCH(COLUMNS($AN$1006:BK1006),$AN$1006:$BO$1006,0))&gt;=100000), " ",IF(INDEX($AN$2:$BO$1001,MATCH(ROWS($AG$2:AG77),$AG$2:$AG$1001,0),MATCH(COLUMNS($AN$1006:BK1006),$AN$1006:$BO$1006,0)), HYPERLINK("#",""), HYPERLINK(CONCATENATE("#Metadata!", ADDRESS(INDEX($AI$2:$AI$1001,MATCH(ROWS($AG$2:AG77),$AG$2:$AG$1001,0),0), INDEX($AN$1004:$BO$1004,1,MATCH(COLUMNS($AN$1006:BK1006),$AN$1006:$BO$1006,0)))),"Fix")))</f>
        <v>0</v>
      </c>
      <c r="Z77" s="4">
        <f>IF(OR(INDEX($AH$2:$AH$1001,MATCH(ROWS($AG$2:AG77),$AG$2:$AG$1001,0),1)&gt;=100000,INDEX($AN$1005:$BO$1005,1,MATCH(COLUMNS($AN$1006:BL1006),$AN$1006:$BO$1006,0))&gt;=100000), " ",IF(INDEX($AN$2:$BO$1001,MATCH(ROWS($AG$2:AG77),$AG$2:$AG$1001,0),MATCH(COLUMNS($AN$1006:BL1006),$AN$1006:$BO$1006,0)), HYPERLINK("#",""), HYPERLINK(CONCATENATE("#Metadata!", ADDRESS(INDEX($AI$2:$AI$1001,MATCH(ROWS($AG$2:AG77),$AG$2:$AG$1001,0),0), INDEX($AN$1004:$BO$1004,1,MATCH(COLUMNS($AN$1006:BL1006),$AN$1006:$BO$1006,0)))),"Fix")))</f>
        <v>0</v>
      </c>
      <c r="AA77" s="4">
        <f>IF(OR(INDEX($AH$2:$AH$1001,MATCH(ROWS($AG$2:AG77),$AG$2:$AG$1001,0),1)&gt;=100000,INDEX($AN$1005:$BO$1005,1,MATCH(COLUMNS($AN$1006:BM1006),$AN$1006:$BO$1006,0))&gt;=100000), " ",IF(INDEX($AN$2:$BO$1001,MATCH(ROWS($AG$2:AG77),$AG$2:$AG$1001,0),MATCH(COLUMNS($AN$1006:BM1006),$AN$1006:$BO$1006,0)), HYPERLINK("#",""), HYPERLINK(CONCATENATE("#Metadata!", ADDRESS(INDEX($AI$2:$AI$1001,MATCH(ROWS($AG$2:AG77),$AG$2:$AG$1001,0),0), INDEX($AN$1004:$BO$1004,1,MATCH(COLUMNS($AN$1006:BM1006),$AN$1006:$BO$1006,0)))),"Fix")))</f>
        <v>0</v>
      </c>
      <c r="AB77" s="4">
        <f>IF(OR(INDEX($AH$2:$AH$1001,MATCH(ROWS($AG$2:AG77),$AG$2:$AG$1001,0),1)&gt;=100000,INDEX($AN$1005:$BO$1005,1,MATCH(COLUMNS($AN$1006:BN1006),$AN$1006:$BO$1006,0))&gt;=100000), " ",IF(INDEX($AN$2:$BO$1001,MATCH(ROWS($AG$2:AG77),$AG$2:$AG$1001,0),MATCH(COLUMNS($AN$1006:BN1006),$AN$1006:$BO$1006,0)), HYPERLINK("#",""), HYPERLINK(CONCATENATE("#Metadata!", ADDRESS(INDEX($AI$2:$AI$1001,MATCH(ROWS($AG$2:AG77),$AG$2:$AG$1001,0),0), INDEX($AN$1004:$BO$1004,1,MATCH(COLUMNS($AN$1006:BN1006),$AN$1006:$BO$1006,0)))),"Fix")))</f>
        <v>0</v>
      </c>
      <c r="AC77" s="4">
        <f>IF(OR(INDEX($AH$2:$AH$1001,MATCH(ROWS($AG$2:AG77),$AG$2:$AG$1001,0),1)&gt;=100000,INDEX($AN$1005:$BO$1005,1,MATCH(COLUMNS($AN$1006:BO1006),$AN$1006:$BO$1006,0))&gt;=100000), " ",IF(INDEX($AN$2:$BO$1001,MATCH(ROWS($AG$2:AG77),$AG$2:$AG$1001,0),MATCH(COLUMNS($AN$1006:BO1006),$AN$1006:$BO$1006,0)), HYPERLINK("#",""), HYPERLINK(CONCATENATE("#Metadata!", ADDRESS(INDEX($AI$2:$AI$1001,MATCH(ROWS($AG$2:AG77),$AG$2:$AG$1001,0),0), INDEX($AN$1004:$BO$1004,1,MATCH(COLUMNS($AN$1006:BO1006),$AN$1006:$BO$1006,0)))),"Fix")))</f>
        <v>0</v>
      </c>
      <c r="AG77">
        <v>0</v>
      </c>
      <c r="AH77">
        <v>0</v>
      </c>
      <c r="AI77">
        <v>0</v>
      </c>
      <c r="AJ77">
        <f>IF(AK77,TRUE,AND(AN77:BO77))</f>
        <v>0</v>
      </c>
      <c r="AK77">
        <f>COUNTBLANK(Metadata!B77:AC77)=COLUMNS(Metadata!B77:AC77)</f>
        <v>0</v>
      </c>
      <c r="AL77">
        <v>0</v>
      </c>
      <c r="AN77">
        <f>AND(IF(Metadata!B77="",FALSE,TRUE),COUNTIF(Metadata!B:B, Metadata!B77) = 1,NOT(ISERROR(SUMPRODUCT(SEARCH(MID(Metadata!B77,ROW(INDIRECT("1:"&amp;LEN(Metadata!B77))), 1),"0123456789abcdefghijklmnopqrstuvwxyzABCDEFGHIJKLMNOPQRSTUVWXYZ.")))))</f>
        <v>0</v>
      </c>
      <c r="AO77">
        <f>IF(Metadata!C77="",FALSE,TRUE)</f>
        <v>0</v>
      </c>
      <c r="AP77">
        <f>IF(Metadata!D77="",FALSE,TRUE)</f>
        <v>0</v>
      </c>
      <c r="AQ77">
        <f>OR(AND(IF(Metadata!E77="",FALSE,TRUE),OR(exact(Metadata!E77,"not collected"),exact(Metadata!E77,"not provided"),exact(Metadata!E77,"restricted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R77">
        <f>IF(Metadata!F77="",FALSE,TRUE)</f>
        <v>0</v>
      </c>
      <c r="AS77">
        <f>OR(AND(IF(Metadata!G77="",FALSE,TRUE),OR(exact(Metadata!G77,"not collected"),exact(Metadata!G77,"not provided"))),AND(IF(Metadata!G77="",FALSE,TRUE),OR(exact(Metadata!G77,"TRUE"),exact(Metadata!G77,"FALSE"))))</f>
        <v>0</v>
      </c>
      <c r="AT77">
        <f>OR(AND(IF(Metadata!H77="",FALSE,TRUE),OR(exact(Metadata!H77,"not collected"),exact(Metadata!H77,"not provided"),exact(Metadata!H77,"restricted access"))),AND(IF(Metadata!H77="",FALSE,ISNUMBER(VALUE(Metadata!H77))),Metadata!H77&gt;=-413.0))</f>
        <v>0</v>
      </c>
      <c r="AU77">
        <f>AND(IF(Metadata!I77="",FALSE,TRUE),exact(Metadata!I77,"meters"))</f>
        <v>0</v>
      </c>
      <c r="AV77">
        <f>AND(IF(Metadata!J77="",FALSE,TRUE),OR(exact(Metadata!J77,"Host-associated"),exact(Metadata!J77,"Free-living")))</f>
        <v>0</v>
      </c>
      <c r="AW77">
        <f>AND(IF(Metadata!K77="",FALSE,TRUE),OR(exact(Metadata!K77,"Animal"),exact(Metadata!K77,"Fungus"),exact(Metadata!K77,"Plant"),exact(Metadata!K77,"Saline"),exact(Metadata!K77,"Non-saline")))</f>
        <v>0</v>
      </c>
      <c r="AX77">
        <f>AND(IF(Metadata!L77="",FALSE,TRUE),OR(exact(Metadata!L77,"Plant secretion"),exact(Metadata!L77,"Plant rhizosphere"),exact(Metadata!L77,"Plant surface"),exact(Metadata!L77,"Plant corpus"),exact(Metadata!L77,"Fungus surface"),exact(Metadata!L77,"Fungus corpus"),exact(Metadata!L77,"Animal surface"),exact(Metadata!L77,"Animal proximal gut"),exact(Metadata!L77,"Animal corpus"),exact(Metadata!L77,"Animal distal gut"),exact(Metadata!L77,"Animal secretion"),exact(Metadata!L77,"Sub-surface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Y77">
        <f>IF(Metadata!M77="",FALSE,TRUE)</f>
        <v>0</v>
      </c>
      <c r="AZ77">
        <f>IF(Metadata!N77="",FALSE,TRUE)</f>
        <v>0</v>
      </c>
      <c r="BA77">
        <f>IF(Metadata!O77="",FALSE,TRUE)</f>
        <v>0</v>
      </c>
      <c r="BB77">
        <f>OR(AND(IF(Metadata!P77="",FALSE,TRUE),OR(exact(Metadata!P77,"not collected"),exact(Metadata!P77,"not provided"),exact(Metadata!P77,"restricted access"))),AND(IF(Metadata!P77="",FALSE,TRUE),OR(exact(Metadata!P77,"air"),exact(Metadata!P77,"built environment"),exact(Metadata!P77,"host-associated"),exact(Metadata!P77,"human-associated"),exact(Metadata!P77,"human-skin"),exact(Metadata!P77,"human-oral"),exact(Metadata!P77,"human-gut"),exact(Metadata!P77,"human-vaginal"),exact(Metadata!P77,"microbial mat/biofilm"),exact(Metadata!P77,"misc environment"),exact(Metadata!P77,"plant-associated"),exact(Metadata!P77,"sediment"),exact(Metadata!P77,"soil"),exact(Metadata!P77,"wastewater/sludge"),exact(Metadata!P77,"water"))))</f>
        <v>0</v>
      </c>
      <c r="BC77">
        <f>IF(Metadata!Q77="",FALSE,TRUE)</f>
        <v>0</v>
      </c>
      <c r="BD77">
        <f>IF(Metadata!R77="",FALSE,TRUE)</f>
        <v>0</v>
      </c>
      <c r="BE77">
        <f>OR(AND(IF(Metadata!S77="",FALSE,TRUE),OR(exact(Metadata!S77,"not collected"),exact(Metadata!S77,"not provided"),exact(Metadata!S77,"restricted access"))),AND(IF(Metadata!S77="",FALSE,ISNUMBER(VALUE(Metadata!S77))),Metadata!S77&gt;=-90.00,Metadata!S77&lt;=90.00))</f>
        <v>0</v>
      </c>
      <c r="BF77">
        <f>AND(IF(Metadata!T77="",FALSE,TRUE),exact(Metadata!T77,"Decimal degrees"))</f>
        <v>0</v>
      </c>
      <c r="BG77">
        <f>OR(AND(IF(Metadata!U77="",FALSE,TRUE),OR(exact(Metadata!U77,"not collected"),exact(Metadata!U77,"not provided"),exact(Metadata!U77,"restricted access"))),AND(IF(Metadata!U77="",FALSE,ISNUMBER(VALUE(Metadata!U77))),Metadata!U77&gt;=-180.00,Metadata!U77&lt;=180.00))</f>
        <v>0</v>
      </c>
      <c r="BH77">
        <f>AND(IF(Metadata!V77="",FALSE,TRUE),exact(Metadata!V77,"Decimal degrees"))</f>
        <v>0</v>
      </c>
      <c r="BI77">
        <f>IF(Metadata!W77="",FALSE,TRUE)</f>
        <v>0</v>
      </c>
      <c r="BJ77">
        <f>OR(AND(IF(Metadata!X77="",FALSE,TRUE),OR(exact(Metadata!X77,"not collected"),exact(Metadata!X77,"not provided"),exact(Metadata!X77,"restricted access"))),AND(IF(Metadata!X77="",FALSE,TRUE),OR(exact(Metadata!X77,"TRUE"),exact(Metadata!X77,"FALSE"))))</f>
        <v>0</v>
      </c>
      <c r="BK77">
        <f>AND(IF(Metadata!Y77="",FALSE,TRUE),exact(Metadata!Y77,"other"))</f>
        <v>0</v>
      </c>
      <c r="BL77">
        <f>IF(Metadata!Z77="",FALSE,TRUE)</f>
        <v>0</v>
      </c>
      <c r="BM77">
        <f>OR(AND(IF(Metadata!AA77="",FALSE,TRUE),OR(exact(Metadata!AA77,"not collected"),exact(Metadata!AA77,"not provided"))),AND(IF(Metadata!AA77="",FALSE,IF(ISERROR(INT(Metadata!AA77)),FALSE,INT(Metadata!AA77)=Metadata!AA77)),Metadata!AA77&gt;0))</f>
        <v>0</v>
      </c>
      <c r="BN77">
        <f>AND(IF(Metadata!AB77="",FALSE,TRUE),exact(Metadata!AB77,"Not applicable"))</f>
        <v>0</v>
      </c>
      <c r="BO77">
        <f>IF(Metadata!AC77="",FALSE,TRUE)</f>
        <v>0</v>
      </c>
    </row>
    <row r="78" spans="1:67">
      <c r="A78" s="5">
        <f>IF(B78=" "," ",HYPERLINK(CONCATENATE("#metadata!",ADDRESS(INDEX($AI$2:$AI$1001,MATCH(ROWS($AG$2:AG78),$AG$2:$AG$1001,0),0),1)),INDEX($AL$2:$AL$1001,MATCH(ROWS($AG$2:AG78),$AG$2:$AG$1001,0),0)))</f>
        <v>0</v>
      </c>
      <c r="B78" s="4">
        <f>IF(OR(INDEX($AH$2:$AH$1001,MATCH(ROWS($AG$2:AG78),$AG$2:$AG$1001,0),1)&gt;=100000,INDEX($AN$1005:$BO$1005,1,MATCH(COLUMNS($AN$1006:AN1006),$AN$1006:$BO$1006,0))&gt;=100000), " ",IF(INDEX($AN$2:$BO$1001,MATCH(ROWS($AG$2:AG78),$AG$2:$AG$1001,0),MATCH(COLUMNS($AN$1006:AN1006),$AN$1006:$BO$1006,0)), HYPERLINK("#",""), HYPERLINK(CONCATENATE("#Metadata!", ADDRESS(INDEX($AI$2:$AI$1001,MATCH(ROWS($AG$2:AG78),$AG$2:$AG$1001,0),0), INDEX($AN$1004:$BO$1004,1,MATCH(COLUMNS($AN$1006:AN1006),$AN$1006:$BO$1006,0)))),"Fix")))</f>
        <v>0</v>
      </c>
      <c r="C78" s="4">
        <f>IF(OR(INDEX($AH$2:$AH$1001,MATCH(ROWS($AG$2:AG78),$AG$2:$AG$1001,0),1)&gt;=100000,INDEX($AN$1005:$BO$1005,1,MATCH(COLUMNS($AN$1006:AO1006),$AN$1006:$BO$1006,0))&gt;=100000), " ",IF(INDEX($AN$2:$BO$1001,MATCH(ROWS($AG$2:AG78),$AG$2:$AG$1001,0),MATCH(COLUMNS($AN$1006:AO1006),$AN$1006:$BO$1006,0)), HYPERLINK("#",""), HYPERLINK(CONCATENATE("#Metadata!", ADDRESS(INDEX($AI$2:$AI$1001,MATCH(ROWS($AG$2:AG78),$AG$2:$AG$1001,0),0), INDEX($AN$1004:$BO$1004,1,MATCH(COLUMNS($AN$1006:AO1006),$AN$1006:$BO$1006,0)))),"Fix")))</f>
        <v>0</v>
      </c>
      <c r="D78" s="4">
        <f>IF(OR(INDEX($AH$2:$AH$1001,MATCH(ROWS($AG$2:AG78),$AG$2:$AG$1001,0),1)&gt;=100000,INDEX($AN$1005:$BO$1005,1,MATCH(COLUMNS($AN$1006:AP1006),$AN$1006:$BO$1006,0))&gt;=100000), " ",IF(INDEX($AN$2:$BO$1001,MATCH(ROWS($AG$2:AG78),$AG$2:$AG$1001,0),MATCH(COLUMNS($AN$1006:AP1006),$AN$1006:$BO$1006,0)), HYPERLINK("#",""), HYPERLINK(CONCATENATE("#Metadata!", ADDRESS(INDEX($AI$2:$AI$1001,MATCH(ROWS($AG$2:AG78),$AG$2:$AG$1001,0),0), INDEX($AN$1004:$BO$1004,1,MATCH(COLUMNS($AN$1006:AP1006),$AN$1006:$BO$1006,0)))),"Fix")))</f>
        <v>0</v>
      </c>
      <c r="E78" s="4">
        <f>IF(OR(INDEX($AH$2:$AH$1001,MATCH(ROWS($AG$2:AG78),$AG$2:$AG$1001,0),1)&gt;=100000,INDEX($AN$1005:$BO$1005,1,MATCH(COLUMNS($AN$1006:AQ1006),$AN$1006:$BO$1006,0))&gt;=100000), " ",IF(INDEX($AN$2:$BO$1001,MATCH(ROWS($AG$2:AG78),$AG$2:$AG$1001,0),MATCH(COLUMNS($AN$1006:AQ1006),$AN$1006:$BO$1006,0)), HYPERLINK("#",""), HYPERLINK(CONCATENATE("#Metadata!", ADDRESS(INDEX($AI$2:$AI$1001,MATCH(ROWS($AG$2:AG78),$AG$2:$AG$1001,0),0), INDEX($AN$1004:$BO$1004,1,MATCH(COLUMNS($AN$1006:AQ1006),$AN$1006:$BO$1006,0)))),"Fix")))</f>
        <v>0</v>
      </c>
      <c r="F78" s="4">
        <f>IF(OR(INDEX($AH$2:$AH$1001,MATCH(ROWS($AG$2:AG78),$AG$2:$AG$1001,0),1)&gt;=100000,INDEX($AN$1005:$BO$1005,1,MATCH(COLUMNS($AN$1006:AR1006),$AN$1006:$BO$1006,0))&gt;=100000), " ",IF(INDEX($AN$2:$BO$1001,MATCH(ROWS($AG$2:AG78),$AG$2:$AG$1001,0),MATCH(COLUMNS($AN$1006:AR1006),$AN$1006:$BO$1006,0)), HYPERLINK("#",""), HYPERLINK(CONCATENATE("#Metadata!", ADDRESS(INDEX($AI$2:$AI$1001,MATCH(ROWS($AG$2:AG78),$AG$2:$AG$1001,0),0), INDEX($AN$1004:$BO$1004,1,MATCH(COLUMNS($AN$1006:AR1006),$AN$1006:$BO$1006,0)))),"Fix")))</f>
        <v>0</v>
      </c>
      <c r="G78" s="4">
        <f>IF(OR(INDEX($AH$2:$AH$1001,MATCH(ROWS($AG$2:AG78),$AG$2:$AG$1001,0),1)&gt;=100000,INDEX($AN$1005:$BO$1005,1,MATCH(COLUMNS($AN$1006:AS1006),$AN$1006:$BO$1006,0))&gt;=100000), " ",IF(INDEX($AN$2:$BO$1001,MATCH(ROWS($AG$2:AG78),$AG$2:$AG$1001,0),MATCH(COLUMNS($AN$1006:AS1006),$AN$1006:$BO$1006,0)), HYPERLINK("#",""), HYPERLINK(CONCATENATE("#Metadata!", ADDRESS(INDEX($AI$2:$AI$1001,MATCH(ROWS($AG$2:AG78),$AG$2:$AG$1001,0),0), INDEX($AN$1004:$BO$1004,1,MATCH(COLUMNS($AN$1006:AS1006),$AN$1006:$BO$1006,0)))),"Fix")))</f>
        <v>0</v>
      </c>
      <c r="H78" s="4">
        <f>IF(OR(INDEX($AH$2:$AH$1001,MATCH(ROWS($AG$2:AG78),$AG$2:$AG$1001,0),1)&gt;=100000,INDEX($AN$1005:$BO$1005,1,MATCH(COLUMNS($AN$1006:AT1006),$AN$1006:$BO$1006,0))&gt;=100000), " ",IF(INDEX($AN$2:$BO$1001,MATCH(ROWS($AG$2:AG78),$AG$2:$AG$1001,0),MATCH(COLUMNS($AN$1006:AT1006),$AN$1006:$BO$1006,0)), HYPERLINK("#",""), HYPERLINK(CONCATENATE("#Metadata!", ADDRESS(INDEX($AI$2:$AI$1001,MATCH(ROWS($AG$2:AG78),$AG$2:$AG$1001,0),0), INDEX($AN$1004:$BO$1004,1,MATCH(COLUMNS($AN$1006:AT1006),$AN$1006:$BO$1006,0)))),"Fix")))</f>
        <v>0</v>
      </c>
      <c r="I78" s="4">
        <f>IF(OR(INDEX($AH$2:$AH$1001,MATCH(ROWS($AG$2:AG78),$AG$2:$AG$1001,0),1)&gt;=100000,INDEX($AN$1005:$BO$1005,1,MATCH(COLUMNS($AN$1006:AU1006),$AN$1006:$BO$1006,0))&gt;=100000), " ",IF(INDEX($AN$2:$BO$1001,MATCH(ROWS($AG$2:AG78),$AG$2:$AG$1001,0),MATCH(COLUMNS($AN$1006:AU1006),$AN$1006:$BO$1006,0)), HYPERLINK("#",""), HYPERLINK(CONCATENATE("#Metadata!", ADDRESS(INDEX($AI$2:$AI$1001,MATCH(ROWS($AG$2:AG78),$AG$2:$AG$1001,0),0), INDEX($AN$1004:$BO$1004,1,MATCH(COLUMNS($AN$1006:AU1006),$AN$1006:$BO$1006,0)))),"Fix")))</f>
        <v>0</v>
      </c>
      <c r="J78" s="4">
        <f>IF(OR(INDEX($AH$2:$AH$1001,MATCH(ROWS($AG$2:AG78),$AG$2:$AG$1001,0),1)&gt;=100000,INDEX($AN$1005:$BO$1005,1,MATCH(COLUMNS($AN$1006:AV1006),$AN$1006:$BO$1006,0))&gt;=100000), " ",IF(INDEX($AN$2:$BO$1001,MATCH(ROWS($AG$2:AG78),$AG$2:$AG$1001,0),MATCH(COLUMNS($AN$1006:AV1006),$AN$1006:$BO$1006,0)), HYPERLINK("#",""), HYPERLINK(CONCATENATE("#Metadata!", ADDRESS(INDEX($AI$2:$AI$1001,MATCH(ROWS($AG$2:AG78),$AG$2:$AG$1001,0),0), INDEX($AN$1004:$BO$1004,1,MATCH(COLUMNS($AN$1006:AV1006),$AN$1006:$BO$1006,0)))),"Fix")))</f>
        <v>0</v>
      </c>
      <c r="K78" s="4">
        <f>IF(OR(INDEX($AH$2:$AH$1001,MATCH(ROWS($AG$2:AG78),$AG$2:$AG$1001,0),1)&gt;=100000,INDEX($AN$1005:$BO$1005,1,MATCH(COLUMNS($AN$1006:AW1006),$AN$1006:$BO$1006,0))&gt;=100000), " ",IF(INDEX($AN$2:$BO$1001,MATCH(ROWS($AG$2:AG78),$AG$2:$AG$1001,0),MATCH(COLUMNS($AN$1006:AW1006),$AN$1006:$BO$1006,0)), HYPERLINK("#",""), HYPERLINK(CONCATENATE("#Metadata!", ADDRESS(INDEX($AI$2:$AI$1001,MATCH(ROWS($AG$2:AG78),$AG$2:$AG$1001,0),0), INDEX($AN$1004:$BO$1004,1,MATCH(COLUMNS($AN$1006:AW1006),$AN$1006:$BO$1006,0)))),"Fix")))</f>
        <v>0</v>
      </c>
      <c r="L78" s="4">
        <f>IF(OR(INDEX($AH$2:$AH$1001,MATCH(ROWS($AG$2:AG78),$AG$2:$AG$1001,0),1)&gt;=100000,INDEX($AN$1005:$BO$1005,1,MATCH(COLUMNS($AN$1006:AX1006),$AN$1006:$BO$1006,0))&gt;=100000), " ",IF(INDEX($AN$2:$BO$1001,MATCH(ROWS($AG$2:AG78),$AG$2:$AG$1001,0),MATCH(COLUMNS($AN$1006:AX1006),$AN$1006:$BO$1006,0)), HYPERLINK("#",""), HYPERLINK(CONCATENATE("#Metadata!", ADDRESS(INDEX($AI$2:$AI$1001,MATCH(ROWS($AG$2:AG78),$AG$2:$AG$1001,0),0), INDEX($AN$1004:$BO$1004,1,MATCH(COLUMNS($AN$1006:AX1006),$AN$1006:$BO$1006,0)))),"Fix")))</f>
        <v>0</v>
      </c>
      <c r="M78" s="4">
        <f>IF(OR(INDEX($AH$2:$AH$1001,MATCH(ROWS($AG$2:AG78),$AG$2:$AG$1001,0),1)&gt;=100000,INDEX($AN$1005:$BO$1005,1,MATCH(COLUMNS($AN$1006:AY1006),$AN$1006:$BO$1006,0))&gt;=100000), " ",IF(INDEX($AN$2:$BO$1001,MATCH(ROWS($AG$2:AG78),$AG$2:$AG$1001,0),MATCH(COLUMNS($AN$1006:AY1006),$AN$1006:$BO$1006,0)), HYPERLINK("#",""), HYPERLINK(CONCATENATE("#Metadata!", ADDRESS(INDEX($AI$2:$AI$1001,MATCH(ROWS($AG$2:AG78),$AG$2:$AG$1001,0),0), INDEX($AN$1004:$BO$1004,1,MATCH(COLUMNS($AN$1006:AY1006),$AN$1006:$BO$1006,0)))),"Fix")))</f>
        <v>0</v>
      </c>
      <c r="N78" s="4">
        <f>IF(OR(INDEX($AH$2:$AH$1001,MATCH(ROWS($AG$2:AG78),$AG$2:$AG$1001,0),1)&gt;=100000,INDEX($AN$1005:$BO$1005,1,MATCH(COLUMNS($AN$1006:AZ1006),$AN$1006:$BO$1006,0))&gt;=100000), " ",IF(INDEX($AN$2:$BO$1001,MATCH(ROWS($AG$2:AG78),$AG$2:$AG$1001,0),MATCH(COLUMNS($AN$1006:AZ1006),$AN$1006:$BO$1006,0)), HYPERLINK("#",""), HYPERLINK(CONCATENATE("#Metadata!", ADDRESS(INDEX($AI$2:$AI$1001,MATCH(ROWS($AG$2:AG78),$AG$2:$AG$1001,0),0), INDEX($AN$1004:$BO$1004,1,MATCH(COLUMNS($AN$1006:AZ1006),$AN$1006:$BO$1006,0)))),"Fix")))</f>
        <v>0</v>
      </c>
      <c r="O78" s="4">
        <f>IF(OR(INDEX($AH$2:$AH$1001,MATCH(ROWS($AG$2:AG78),$AG$2:$AG$1001,0),1)&gt;=100000,INDEX($AN$1005:$BO$1005,1,MATCH(COLUMNS($AN$1006:BA1006),$AN$1006:$BO$1006,0))&gt;=100000), " ",IF(INDEX($AN$2:$BO$1001,MATCH(ROWS($AG$2:AG78),$AG$2:$AG$1001,0),MATCH(COLUMNS($AN$1006:BA1006),$AN$1006:$BO$1006,0)), HYPERLINK("#",""), HYPERLINK(CONCATENATE("#Metadata!", ADDRESS(INDEX($AI$2:$AI$1001,MATCH(ROWS($AG$2:AG78),$AG$2:$AG$1001,0),0), INDEX($AN$1004:$BO$1004,1,MATCH(COLUMNS($AN$1006:BA1006),$AN$1006:$BO$1006,0)))),"Fix")))</f>
        <v>0</v>
      </c>
      <c r="P78" s="4">
        <f>IF(OR(INDEX($AH$2:$AH$1001,MATCH(ROWS($AG$2:AG78),$AG$2:$AG$1001,0),1)&gt;=100000,INDEX($AN$1005:$BO$1005,1,MATCH(COLUMNS($AN$1006:BB1006),$AN$1006:$BO$1006,0))&gt;=100000), " ",IF(INDEX($AN$2:$BO$1001,MATCH(ROWS($AG$2:AG78),$AG$2:$AG$1001,0),MATCH(COLUMNS($AN$1006:BB1006),$AN$1006:$BO$1006,0)), HYPERLINK("#",""), HYPERLINK(CONCATENATE("#Metadata!", ADDRESS(INDEX($AI$2:$AI$1001,MATCH(ROWS($AG$2:AG78),$AG$2:$AG$1001,0),0), INDEX($AN$1004:$BO$1004,1,MATCH(COLUMNS($AN$1006:BB1006),$AN$1006:$BO$1006,0)))),"Fix")))</f>
        <v>0</v>
      </c>
      <c r="Q78" s="4">
        <f>IF(OR(INDEX($AH$2:$AH$1001,MATCH(ROWS($AG$2:AG78),$AG$2:$AG$1001,0),1)&gt;=100000,INDEX($AN$1005:$BO$1005,1,MATCH(COLUMNS($AN$1006:BC1006),$AN$1006:$BO$1006,0))&gt;=100000), " ",IF(INDEX($AN$2:$BO$1001,MATCH(ROWS($AG$2:AG78),$AG$2:$AG$1001,0),MATCH(COLUMNS($AN$1006:BC1006),$AN$1006:$BO$1006,0)), HYPERLINK("#",""), HYPERLINK(CONCATENATE("#Metadata!", ADDRESS(INDEX($AI$2:$AI$1001,MATCH(ROWS($AG$2:AG78),$AG$2:$AG$1001,0),0), INDEX($AN$1004:$BO$1004,1,MATCH(COLUMNS($AN$1006:BC1006),$AN$1006:$BO$1006,0)))),"Fix")))</f>
        <v>0</v>
      </c>
      <c r="R78" s="4">
        <f>IF(OR(INDEX($AH$2:$AH$1001,MATCH(ROWS($AG$2:AG78),$AG$2:$AG$1001,0),1)&gt;=100000,INDEX($AN$1005:$BO$1005,1,MATCH(COLUMNS($AN$1006:BD1006),$AN$1006:$BO$1006,0))&gt;=100000), " ",IF(INDEX($AN$2:$BO$1001,MATCH(ROWS($AG$2:AG78),$AG$2:$AG$1001,0),MATCH(COLUMNS($AN$1006:BD1006),$AN$1006:$BO$1006,0)), HYPERLINK("#",""), HYPERLINK(CONCATENATE("#Metadata!", ADDRESS(INDEX($AI$2:$AI$1001,MATCH(ROWS($AG$2:AG78),$AG$2:$AG$1001,0),0), INDEX($AN$1004:$BO$1004,1,MATCH(COLUMNS($AN$1006:BD1006),$AN$1006:$BO$1006,0)))),"Fix")))</f>
        <v>0</v>
      </c>
      <c r="S78" s="4">
        <f>IF(OR(INDEX($AH$2:$AH$1001,MATCH(ROWS($AG$2:AG78),$AG$2:$AG$1001,0),1)&gt;=100000,INDEX($AN$1005:$BO$1005,1,MATCH(COLUMNS($AN$1006:BE1006),$AN$1006:$BO$1006,0))&gt;=100000), " ",IF(INDEX($AN$2:$BO$1001,MATCH(ROWS($AG$2:AG78),$AG$2:$AG$1001,0),MATCH(COLUMNS($AN$1006:BE1006),$AN$1006:$BO$1006,0)), HYPERLINK("#",""), HYPERLINK(CONCATENATE("#Metadata!", ADDRESS(INDEX($AI$2:$AI$1001,MATCH(ROWS($AG$2:AG78),$AG$2:$AG$1001,0),0), INDEX($AN$1004:$BO$1004,1,MATCH(COLUMNS($AN$1006:BE1006),$AN$1006:$BO$1006,0)))),"Fix")))</f>
        <v>0</v>
      </c>
      <c r="T78" s="4">
        <f>IF(OR(INDEX($AH$2:$AH$1001,MATCH(ROWS($AG$2:AG78),$AG$2:$AG$1001,0),1)&gt;=100000,INDEX($AN$1005:$BO$1005,1,MATCH(COLUMNS($AN$1006:BF1006),$AN$1006:$BO$1006,0))&gt;=100000), " ",IF(INDEX($AN$2:$BO$1001,MATCH(ROWS($AG$2:AG78),$AG$2:$AG$1001,0),MATCH(COLUMNS($AN$1006:BF1006),$AN$1006:$BO$1006,0)), HYPERLINK("#",""), HYPERLINK(CONCATENATE("#Metadata!", ADDRESS(INDEX($AI$2:$AI$1001,MATCH(ROWS($AG$2:AG78),$AG$2:$AG$1001,0),0), INDEX($AN$1004:$BO$1004,1,MATCH(COLUMNS($AN$1006:BF1006),$AN$1006:$BO$1006,0)))),"Fix")))</f>
        <v>0</v>
      </c>
      <c r="U78" s="4">
        <f>IF(OR(INDEX($AH$2:$AH$1001,MATCH(ROWS($AG$2:AG78),$AG$2:$AG$1001,0),1)&gt;=100000,INDEX($AN$1005:$BO$1005,1,MATCH(COLUMNS($AN$1006:BG1006),$AN$1006:$BO$1006,0))&gt;=100000), " ",IF(INDEX($AN$2:$BO$1001,MATCH(ROWS($AG$2:AG78),$AG$2:$AG$1001,0),MATCH(COLUMNS($AN$1006:BG1006),$AN$1006:$BO$1006,0)), HYPERLINK("#",""), HYPERLINK(CONCATENATE("#Metadata!", ADDRESS(INDEX($AI$2:$AI$1001,MATCH(ROWS($AG$2:AG78),$AG$2:$AG$1001,0),0), INDEX($AN$1004:$BO$1004,1,MATCH(COLUMNS($AN$1006:BG1006),$AN$1006:$BO$1006,0)))),"Fix")))</f>
        <v>0</v>
      </c>
      <c r="V78" s="4">
        <f>IF(OR(INDEX($AH$2:$AH$1001,MATCH(ROWS($AG$2:AG78),$AG$2:$AG$1001,0),1)&gt;=100000,INDEX($AN$1005:$BO$1005,1,MATCH(COLUMNS($AN$1006:BH1006),$AN$1006:$BO$1006,0))&gt;=100000), " ",IF(INDEX($AN$2:$BO$1001,MATCH(ROWS($AG$2:AG78),$AG$2:$AG$1001,0),MATCH(COLUMNS($AN$1006:BH1006),$AN$1006:$BO$1006,0)), HYPERLINK("#",""), HYPERLINK(CONCATENATE("#Metadata!", ADDRESS(INDEX($AI$2:$AI$1001,MATCH(ROWS($AG$2:AG78),$AG$2:$AG$1001,0),0), INDEX($AN$1004:$BO$1004,1,MATCH(COLUMNS($AN$1006:BH1006),$AN$1006:$BO$1006,0)))),"Fix")))</f>
        <v>0</v>
      </c>
      <c r="W78" s="4">
        <f>IF(OR(INDEX($AH$2:$AH$1001,MATCH(ROWS($AG$2:AG78),$AG$2:$AG$1001,0),1)&gt;=100000,INDEX($AN$1005:$BO$1005,1,MATCH(COLUMNS($AN$1006:BI1006),$AN$1006:$BO$1006,0))&gt;=100000), " ",IF(INDEX($AN$2:$BO$1001,MATCH(ROWS($AG$2:AG78),$AG$2:$AG$1001,0),MATCH(COLUMNS($AN$1006:BI1006),$AN$1006:$BO$1006,0)), HYPERLINK("#",""), HYPERLINK(CONCATENATE("#Metadata!", ADDRESS(INDEX($AI$2:$AI$1001,MATCH(ROWS($AG$2:AG78),$AG$2:$AG$1001,0),0), INDEX($AN$1004:$BO$1004,1,MATCH(COLUMNS($AN$1006:BI1006),$AN$1006:$BO$1006,0)))),"Fix")))</f>
        <v>0</v>
      </c>
      <c r="X78" s="4">
        <f>IF(OR(INDEX($AH$2:$AH$1001,MATCH(ROWS($AG$2:AG78),$AG$2:$AG$1001,0),1)&gt;=100000,INDEX($AN$1005:$BO$1005,1,MATCH(COLUMNS($AN$1006:BJ1006),$AN$1006:$BO$1006,0))&gt;=100000), " ",IF(INDEX($AN$2:$BO$1001,MATCH(ROWS($AG$2:AG78),$AG$2:$AG$1001,0),MATCH(COLUMNS($AN$1006:BJ1006),$AN$1006:$BO$1006,0)), HYPERLINK("#",""), HYPERLINK(CONCATENATE("#Metadata!", ADDRESS(INDEX($AI$2:$AI$1001,MATCH(ROWS($AG$2:AG78),$AG$2:$AG$1001,0),0), INDEX($AN$1004:$BO$1004,1,MATCH(COLUMNS($AN$1006:BJ1006),$AN$1006:$BO$1006,0)))),"Fix")))</f>
        <v>0</v>
      </c>
      <c r="Y78" s="4">
        <f>IF(OR(INDEX($AH$2:$AH$1001,MATCH(ROWS($AG$2:AG78),$AG$2:$AG$1001,0),1)&gt;=100000,INDEX($AN$1005:$BO$1005,1,MATCH(COLUMNS($AN$1006:BK1006),$AN$1006:$BO$1006,0))&gt;=100000), " ",IF(INDEX($AN$2:$BO$1001,MATCH(ROWS($AG$2:AG78),$AG$2:$AG$1001,0),MATCH(COLUMNS($AN$1006:BK1006),$AN$1006:$BO$1006,0)), HYPERLINK("#",""), HYPERLINK(CONCATENATE("#Metadata!", ADDRESS(INDEX($AI$2:$AI$1001,MATCH(ROWS($AG$2:AG78),$AG$2:$AG$1001,0),0), INDEX($AN$1004:$BO$1004,1,MATCH(COLUMNS($AN$1006:BK1006),$AN$1006:$BO$1006,0)))),"Fix")))</f>
        <v>0</v>
      </c>
      <c r="Z78" s="4">
        <f>IF(OR(INDEX($AH$2:$AH$1001,MATCH(ROWS($AG$2:AG78),$AG$2:$AG$1001,0),1)&gt;=100000,INDEX($AN$1005:$BO$1005,1,MATCH(COLUMNS($AN$1006:BL1006),$AN$1006:$BO$1006,0))&gt;=100000), " ",IF(INDEX($AN$2:$BO$1001,MATCH(ROWS($AG$2:AG78),$AG$2:$AG$1001,0),MATCH(COLUMNS($AN$1006:BL1006),$AN$1006:$BO$1006,0)), HYPERLINK("#",""), HYPERLINK(CONCATENATE("#Metadata!", ADDRESS(INDEX($AI$2:$AI$1001,MATCH(ROWS($AG$2:AG78),$AG$2:$AG$1001,0),0), INDEX($AN$1004:$BO$1004,1,MATCH(COLUMNS($AN$1006:BL1006),$AN$1006:$BO$1006,0)))),"Fix")))</f>
        <v>0</v>
      </c>
      <c r="AA78" s="4">
        <f>IF(OR(INDEX($AH$2:$AH$1001,MATCH(ROWS($AG$2:AG78),$AG$2:$AG$1001,0),1)&gt;=100000,INDEX($AN$1005:$BO$1005,1,MATCH(COLUMNS($AN$1006:BM1006),$AN$1006:$BO$1006,0))&gt;=100000), " ",IF(INDEX($AN$2:$BO$1001,MATCH(ROWS($AG$2:AG78),$AG$2:$AG$1001,0),MATCH(COLUMNS($AN$1006:BM1006),$AN$1006:$BO$1006,0)), HYPERLINK("#",""), HYPERLINK(CONCATENATE("#Metadata!", ADDRESS(INDEX($AI$2:$AI$1001,MATCH(ROWS($AG$2:AG78),$AG$2:$AG$1001,0),0), INDEX($AN$1004:$BO$1004,1,MATCH(COLUMNS($AN$1006:BM1006),$AN$1006:$BO$1006,0)))),"Fix")))</f>
        <v>0</v>
      </c>
      <c r="AB78" s="4">
        <f>IF(OR(INDEX($AH$2:$AH$1001,MATCH(ROWS($AG$2:AG78),$AG$2:$AG$1001,0),1)&gt;=100000,INDEX($AN$1005:$BO$1005,1,MATCH(COLUMNS($AN$1006:BN1006),$AN$1006:$BO$1006,0))&gt;=100000), " ",IF(INDEX($AN$2:$BO$1001,MATCH(ROWS($AG$2:AG78),$AG$2:$AG$1001,0),MATCH(COLUMNS($AN$1006:BN1006),$AN$1006:$BO$1006,0)), HYPERLINK("#",""), HYPERLINK(CONCATENATE("#Metadata!", ADDRESS(INDEX($AI$2:$AI$1001,MATCH(ROWS($AG$2:AG78),$AG$2:$AG$1001,0),0), INDEX($AN$1004:$BO$1004,1,MATCH(COLUMNS($AN$1006:BN1006),$AN$1006:$BO$1006,0)))),"Fix")))</f>
        <v>0</v>
      </c>
      <c r="AC78" s="4">
        <f>IF(OR(INDEX($AH$2:$AH$1001,MATCH(ROWS($AG$2:AG78),$AG$2:$AG$1001,0),1)&gt;=100000,INDEX($AN$1005:$BO$1005,1,MATCH(COLUMNS($AN$1006:BO1006),$AN$1006:$BO$1006,0))&gt;=100000), " ",IF(INDEX($AN$2:$BO$1001,MATCH(ROWS($AG$2:AG78),$AG$2:$AG$1001,0),MATCH(COLUMNS($AN$1006:BO1006),$AN$1006:$BO$1006,0)), HYPERLINK("#",""), HYPERLINK(CONCATENATE("#Metadata!", ADDRESS(INDEX($AI$2:$AI$1001,MATCH(ROWS($AG$2:AG78),$AG$2:$AG$1001,0),0), INDEX($AN$1004:$BO$1004,1,MATCH(COLUMNS($AN$1006:BO1006),$AN$1006:$BO$1006,0)))),"Fix")))</f>
        <v>0</v>
      </c>
      <c r="AG78">
        <v>0</v>
      </c>
      <c r="AH78">
        <v>0</v>
      </c>
      <c r="AI78">
        <v>0</v>
      </c>
      <c r="AJ78">
        <f>IF(AK78,TRUE,AND(AN78:BO78))</f>
        <v>0</v>
      </c>
      <c r="AK78">
        <f>COUNTBLANK(Metadata!B78:AC78)=COLUMNS(Metadata!B78:AC78)</f>
        <v>0</v>
      </c>
      <c r="AL78">
        <v>0</v>
      </c>
      <c r="AN78">
        <f>AND(IF(Metadata!B78="",FALSE,TRUE),COUNTIF(Metadata!B:B, Metadata!B78) = 1,NOT(ISERROR(SUMPRODUCT(SEARCH(MID(Metadata!B78,ROW(INDIRECT("1:"&amp;LEN(Metadata!B78))), 1),"0123456789abcdefghijklmnopqrstuvwxyzABCDEFGHIJKLMNOPQRSTUVWXYZ.")))))</f>
        <v>0</v>
      </c>
      <c r="AO78">
        <f>IF(Metadata!C78="",FALSE,TRUE)</f>
        <v>0</v>
      </c>
      <c r="AP78">
        <f>IF(Metadata!D78="",FALSE,TRUE)</f>
        <v>0</v>
      </c>
      <c r="AQ78">
        <f>OR(AND(IF(Metadata!E78="",FALSE,TRUE),OR(exact(Metadata!E78,"not collected"),exact(Metadata!E78,"not provided"),exact(Metadata!E78,"restricted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R78">
        <f>IF(Metadata!F78="",FALSE,TRUE)</f>
        <v>0</v>
      </c>
      <c r="AS78">
        <f>OR(AND(IF(Metadata!G78="",FALSE,TRUE),OR(exact(Metadata!G78,"not collected"),exact(Metadata!G78,"not provided"))),AND(IF(Metadata!G78="",FALSE,TRUE),OR(exact(Metadata!G78,"TRUE"),exact(Metadata!G78,"FALSE"))))</f>
        <v>0</v>
      </c>
      <c r="AT78">
        <f>OR(AND(IF(Metadata!H78="",FALSE,TRUE),OR(exact(Metadata!H78,"not collected"),exact(Metadata!H78,"not provided"),exact(Metadata!H78,"restricted access"))),AND(IF(Metadata!H78="",FALSE,ISNUMBER(VALUE(Metadata!H78))),Metadata!H78&gt;=-413.0))</f>
        <v>0</v>
      </c>
      <c r="AU78">
        <f>AND(IF(Metadata!I78="",FALSE,TRUE),exact(Metadata!I78,"meters"))</f>
        <v>0</v>
      </c>
      <c r="AV78">
        <f>AND(IF(Metadata!J78="",FALSE,TRUE),OR(exact(Metadata!J78,"Host-associated"),exact(Metadata!J78,"Free-living")))</f>
        <v>0</v>
      </c>
      <c r="AW78">
        <f>AND(IF(Metadata!K78="",FALSE,TRUE),OR(exact(Metadata!K78,"Animal"),exact(Metadata!K78,"Fungus"),exact(Metadata!K78,"Plant"),exact(Metadata!K78,"Saline"),exact(Metadata!K78,"Non-saline")))</f>
        <v>0</v>
      </c>
      <c r="AX78">
        <f>AND(IF(Metadata!L78="",FALSE,TRUE),OR(exact(Metadata!L78,"Plant secretion"),exact(Metadata!L78,"Plant rhizosphere"),exact(Metadata!L78,"Plant surface"),exact(Metadata!L78,"Plant corpus"),exact(Metadata!L78,"Fungus surface"),exact(Metadata!L78,"Fungus corpus"),exact(Metadata!L78,"Animal surface"),exact(Metadata!L78,"Animal proximal gut"),exact(Metadata!L78,"Animal corpus"),exact(Metadata!L78,"Animal distal gut"),exact(Metadata!L78,"Animal secretion"),exact(Metadata!L78,"Sub-surface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Y78">
        <f>IF(Metadata!M78="",FALSE,TRUE)</f>
        <v>0</v>
      </c>
      <c r="AZ78">
        <f>IF(Metadata!N78="",FALSE,TRUE)</f>
        <v>0</v>
      </c>
      <c r="BA78">
        <f>IF(Metadata!O78="",FALSE,TRUE)</f>
        <v>0</v>
      </c>
      <c r="BB78">
        <f>OR(AND(IF(Metadata!P78="",FALSE,TRUE),OR(exact(Metadata!P78,"not collected"),exact(Metadata!P78,"not provided"),exact(Metadata!P78,"restricted access"))),AND(IF(Metadata!P78="",FALSE,TRUE),OR(exact(Metadata!P78,"air"),exact(Metadata!P78,"built environment"),exact(Metadata!P78,"host-associated"),exact(Metadata!P78,"human-associated"),exact(Metadata!P78,"human-skin"),exact(Metadata!P78,"human-oral"),exact(Metadata!P78,"human-gut"),exact(Metadata!P78,"human-vaginal"),exact(Metadata!P78,"microbial mat/biofilm"),exact(Metadata!P78,"misc environment"),exact(Metadata!P78,"plant-associated"),exact(Metadata!P78,"sediment"),exact(Metadata!P78,"soil"),exact(Metadata!P78,"wastewater/sludge"),exact(Metadata!P78,"water"))))</f>
        <v>0</v>
      </c>
      <c r="BC78">
        <f>IF(Metadata!Q78="",FALSE,TRUE)</f>
        <v>0</v>
      </c>
      <c r="BD78">
        <f>IF(Metadata!R78="",FALSE,TRUE)</f>
        <v>0</v>
      </c>
      <c r="BE78">
        <f>OR(AND(IF(Metadata!S78="",FALSE,TRUE),OR(exact(Metadata!S78,"not collected"),exact(Metadata!S78,"not provided"),exact(Metadata!S78,"restricted access"))),AND(IF(Metadata!S78="",FALSE,ISNUMBER(VALUE(Metadata!S78))),Metadata!S78&gt;=-90.00,Metadata!S78&lt;=90.00))</f>
        <v>0</v>
      </c>
      <c r="BF78">
        <f>AND(IF(Metadata!T78="",FALSE,TRUE),exact(Metadata!T78,"Decimal degrees"))</f>
        <v>0</v>
      </c>
      <c r="BG78">
        <f>OR(AND(IF(Metadata!U78="",FALSE,TRUE),OR(exact(Metadata!U78,"not collected"),exact(Metadata!U78,"not provided"),exact(Metadata!U78,"restricted access"))),AND(IF(Metadata!U78="",FALSE,ISNUMBER(VALUE(Metadata!U78))),Metadata!U78&gt;=-180.00,Metadata!U78&lt;=180.00))</f>
        <v>0</v>
      </c>
      <c r="BH78">
        <f>AND(IF(Metadata!V78="",FALSE,TRUE),exact(Metadata!V78,"Decimal degrees"))</f>
        <v>0</v>
      </c>
      <c r="BI78">
        <f>IF(Metadata!W78="",FALSE,TRUE)</f>
        <v>0</v>
      </c>
      <c r="BJ78">
        <f>OR(AND(IF(Metadata!X78="",FALSE,TRUE),OR(exact(Metadata!X78,"not collected"),exact(Metadata!X78,"not provided"),exact(Metadata!X78,"restricted access"))),AND(IF(Metadata!X78="",FALSE,TRUE),OR(exact(Metadata!X78,"TRUE"),exact(Metadata!X78,"FALSE"))))</f>
        <v>0</v>
      </c>
      <c r="BK78">
        <f>AND(IF(Metadata!Y78="",FALSE,TRUE),exact(Metadata!Y78,"other"))</f>
        <v>0</v>
      </c>
      <c r="BL78">
        <f>IF(Metadata!Z78="",FALSE,TRUE)</f>
        <v>0</v>
      </c>
      <c r="BM78">
        <f>OR(AND(IF(Metadata!AA78="",FALSE,TRUE),OR(exact(Metadata!AA78,"not collected"),exact(Metadata!AA78,"not provided"))),AND(IF(Metadata!AA78="",FALSE,IF(ISERROR(INT(Metadata!AA78)),FALSE,INT(Metadata!AA78)=Metadata!AA78)),Metadata!AA78&gt;0))</f>
        <v>0</v>
      </c>
      <c r="BN78">
        <f>AND(IF(Metadata!AB78="",FALSE,TRUE),exact(Metadata!AB78,"Not applicable"))</f>
        <v>0</v>
      </c>
      <c r="BO78">
        <f>IF(Metadata!AC78="",FALSE,TRUE)</f>
        <v>0</v>
      </c>
    </row>
    <row r="79" spans="1:67">
      <c r="A79" s="5">
        <f>IF(B79=" "," ",HYPERLINK(CONCATENATE("#metadata!",ADDRESS(INDEX($AI$2:$AI$1001,MATCH(ROWS($AG$2:AG79),$AG$2:$AG$1001,0),0),1)),INDEX($AL$2:$AL$1001,MATCH(ROWS($AG$2:AG79),$AG$2:$AG$1001,0),0)))</f>
        <v>0</v>
      </c>
      <c r="B79" s="4">
        <f>IF(OR(INDEX($AH$2:$AH$1001,MATCH(ROWS($AG$2:AG79),$AG$2:$AG$1001,0),1)&gt;=100000,INDEX($AN$1005:$BO$1005,1,MATCH(COLUMNS($AN$1006:AN1006),$AN$1006:$BO$1006,0))&gt;=100000), " ",IF(INDEX($AN$2:$BO$1001,MATCH(ROWS($AG$2:AG79),$AG$2:$AG$1001,0),MATCH(COLUMNS($AN$1006:AN1006),$AN$1006:$BO$1006,0)), HYPERLINK("#",""), HYPERLINK(CONCATENATE("#Metadata!", ADDRESS(INDEX($AI$2:$AI$1001,MATCH(ROWS($AG$2:AG79),$AG$2:$AG$1001,0),0), INDEX($AN$1004:$BO$1004,1,MATCH(COLUMNS($AN$1006:AN1006),$AN$1006:$BO$1006,0)))),"Fix")))</f>
        <v>0</v>
      </c>
      <c r="C79" s="4">
        <f>IF(OR(INDEX($AH$2:$AH$1001,MATCH(ROWS($AG$2:AG79),$AG$2:$AG$1001,0),1)&gt;=100000,INDEX($AN$1005:$BO$1005,1,MATCH(COLUMNS($AN$1006:AO1006),$AN$1006:$BO$1006,0))&gt;=100000), " ",IF(INDEX($AN$2:$BO$1001,MATCH(ROWS($AG$2:AG79),$AG$2:$AG$1001,0),MATCH(COLUMNS($AN$1006:AO1006),$AN$1006:$BO$1006,0)), HYPERLINK("#",""), HYPERLINK(CONCATENATE("#Metadata!", ADDRESS(INDEX($AI$2:$AI$1001,MATCH(ROWS($AG$2:AG79),$AG$2:$AG$1001,0),0), INDEX($AN$1004:$BO$1004,1,MATCH(COLUMNS($AN$1006:AO1006),$AN$1006:$BO$1006,0)))),"Fix")))</f>
        <v>0</v>
      </c>
      <c r="D79" s="4">
        <f>IF(OR(INDEX($AH$2:$AH$1001,MATCH(ROWS($AG$2:AG79),$AG$2:$AG$1001,0),1)&gt;=100000,INDEX($AN$1005:$BO$1005,1,MATCH(COLUMNS($AN$1006:AP1006),$AN$1006:$BO$1006,0))&gt;=100000), " ",IF(INDEX($AN$2:$BO$1001,MATCH(ROWS($AG$2:AG79),$AG$2:$AG$1001,0),MATCH(COLUMNS($AN$1006:AP1006),$AN$1006:$BO$1006,0)), HYPERLINK("#",""), HYPERLINK(CONCATENATE("#Metadata!", ADDRESS(INDEX($AI$2:$AI$1001,MATCH(ROWS($AG$2:AG79),$AG$2:$AG$1001,0),0), INDEX($AN$1004:$BO$1004,1,MATCH(COLUMNS($AN$1006:AP1006),$AN$1006:$BO$1006,0)))),"Fix")))</f>
        <v>0</v>
      </c>
      <c r="E79" s="4">
        <f>IF(OR(INDEX($AH$2:$AH$1001,MATCH(ROWS($AG$2:AG79),$AG$2:$AG$1001,0),1)&gt;=100000,INDEX($AN$1005:$BO$1005,1,MATCH(COLUMNS($AN$1006:AQ1006),$AN$1006:$BO$1006,0))&gt;=100000), " ",IF(INDEX($AN$2:$BO$1001,MATCH(ROWS($AG$2:AG79),$AG$2:$AG$1001,0),MATCH(COLUMNS($AN$1006:AQ1006),$AN$1006:$BO$1006,0)), HYPERLINK("#",""), HYPERLINK(CONCATENATE("#Metadata!", ADDRESS(INDEX($AI$2:$AI$1001,MATCH(ROWS($AG$2:AG79),$AG$2:$AG$1001,0),0), INDEX($AN$1004:$BO$1004,1,MATCH(COLUMNS($AN$1006:AQ1006),$AN$1006:$BO$1006,0)))),"Fix")))</f>
        <v>0</v>
      </c>
      <c r="F79" s="4">
        <f>IF(OR(INDEX($AH$2:$AH$1001,MATCH(ROWS($AG$2:AG79),$AG$2:$AG$1001,0),1)&gt;=100000,INDEX($AN$1005:$BO$1005,1,MATCH(COLUMNS($AN$1006:AR1006),$AN$1006:$BO$1006,0))&gt;=100000), " ",IF(INDEX($AN$2:$BO$1001,MATCH(ROWS($AG$2:AG79),$AG$2:$AG$1001,0),MATCH(COLUMNS($AN$1006:AR1006),$AN$1006:$BO$1006,0)), HYPERLINK("#",""), HYPERLINK(CONCATENATE("#Metadata!", ADDRESS(INDEX($AI$2:$AI$1001,MATCH(ROWS($AG$2:AG79),$AG$2:$AG$1001,0),0), INDEX($AN$1004:$BO$1004,1,MATCH(COLUMNS($AN$1006:AR1006),$AN$1006:$BO$1006,0)))),"Fix")))</f>
        <v>0</v>
      </c>
      <c r="G79" s="4">
        <f>IF(OR(INDEX($AH$2:$AH$1001,MATCH(ROWS($AG$2:AG79),$AG$2:$AG$1001,0),1)&gt;=100000,INDEX($AN$1005:$BO$1005,1,MATCH(COLUMNS($AN$1006:AS1006),$AN$1006:$BO$1006,0))&gt;=100000), " ",IF(INDEX($AN$2:$BO$1001,MATCH(ROWS($AG$2:AG79),$AG$2:$AG$1001,0),MATCH(COLUMNS($AN$1006:AS1006),$AN$1006:$BO$1006,0)), HYPERLINK("#",""), HYPERLINK(CONCATENATE("#Metadata!", ADDRESS(INDEX($AI$2:$AI$1001,MATCH(ROWS($AG$2:AG79),$AG$2:$AG$1001,0),0), INDEX($AN$1004:$BO$1004,1,MATCH(COLUMNS($AN$1006:AS1006),$AN$1006:$BO$1006,0)))),"Fix")))</f>
        <v>0</v>
      </c>
      <c r="H79" s="4">
        <f>IF(OR(INDEX($AH$2:$AH$1001,MATCH(ROWS($AG$2:AG79),$AG$2:$AG$1001,0),1)&gt;=100000,INDEX($AN$1005:$BO$1005,1,MATCH(COLUMNS($AN$1006:AT1006),$AN$1006:$BO$1006,0))&gt;=100000), " ",IF(INDEX($AN$2:$BO$1001,MATCH(ROWS($AG$2:AG79),$AG$2:$AG$1001,0),MATCH(COLUMNS($AN$1006:AT1006),$AN$1006:$BO$1006,0)), HYPERLINK("#",""), HYPERLINK(CONCATENATE("#Metadata!", ADDRESS(INDEX($AI$2:$AI$1001,MATCH(ROWS($AG$2:AG79),$AG$2:$AG$1001,0),0), INDEX($AN$1004:$BO$1004,1,MATCH(COLUMNS($AN$1006:AT1006),$AN$1006:$BO$1006,0)))),"Fix")))</f>
        <v>0</v>
      </c>
      <c r="I79" s="4">
        <f>IF(OR(INDEX($AH$2:$AH$1001,MATCH(ROWS($AG$2:AG79),$AG$2:$AG$1001,0),1)&gt;=100000,INDEX($AN$1005:$BO$1005,1,MATCH(COLUMNS($AN$1006:AU1006),$AN$1006:$BO$1006,0))&gt;=100000), " ",IF(INDEX($AN$2:$BO$1001,MATCH(ROWS($AG$2:AG79),$AG$2:$AG$1001,0),MATCH(COLUMNS($AN$1006:AU1006),$AN$1006:$BO$1006,0)), HYPERLINK("#",""), HYPERLINK(CONCATENATE("#Metadata!", ADDRESS(INDEX($AI$2:$AI$1001,MATCH(ROWS($AG$2:AG79),$AG$2:$AG$1001,0),0), INDEX($AN$1004:$BO$1004,1,MATCH(COLUMNS($AN$1006:AU1006),$AN$1006:$BO$1006,0)))),"Fix")))</f>
        <v>0</v>
      </c>
      <c r="J79" s="4">
        <f>IF(OR(INDEX($AH$2:$AH$1001,MATCH(ROWS($AG$2:AG79),$AG$2:$AG$1001,0),1)&gt;=100000,INDEX($AN$1005:$BO$1005,1,MATCH(COLUMNS($AN$1006:AV1006),$AN$1006:$BO$1006,0))&gt;=100000), " ",IF(INDEX($AN$2:$BO$1001,MATCH(ROWS($AG$2:AG79),$AG$2:$AG$1001,0),MATCH(COLUMNS($AN$1006:AV1006),$AN$1006:$BO$1006,0)), HYPERLINK("#",""), HYPERLINK(CONCATENATE("#Metadata!", ADDRESS(INDEX($AI$2:$AI$1001,MATCH(ROWS($AG$2:AG79),$AG$2:$AG$1001,0),0), INDEX($AN$1004:$BO$1004,1,MATCH(COLUMNS($AN$1006:AV1006),$AN$1006:$BO$1006,0)))),"Fix")))</f>
        <v>0</v>
      </c>
      <c r="K79" s="4">
        <f>IF(OR(INDEX($AH$2:$AH$1001,MATCH(ROWS($AG$2:AG79),$AG$2:$AG$1001,0),1)&gt;=100000,INDEX($AN$1005:$BO$1005,1,MATCH(COLUMNS($AN$1006:AW1006),$AN$1006:$BO$1006,0))&gt;=100000), " ",IF(INDEX($AN$2:$BO$1001,MATCH(ROWS($AG$2:AG79),$AG$2:$AG$1001,0),MATCH(COLUMNS($AN$1006:AW1006),$AN$1006:$BO$1006,0)), HYPERLINK("#",""), HYPERLINK(CONCATENATE("#Metadata!", ADDRESS(INDEX($AI$2:$AI$1001,MATCH(ROWS($AG$2:AG79),$AG$2:$AG$1001,0),0), INDEX($AN$1004:$BO$1004,1,MATCH(COLUMNS($AN$1006:AW1006),$AN$1006:$BO$1006,0)))),"Fix")))</f>
        <v>0</v>
      </c>
      <c r="L79" s="4">
        <f>IF(OR(INDEX($AH$2:$AH$1001,MATCH(ROWS($AG$2:AG79),$AG$2:$AG$1001,0),1)&gt;=100000,INDEX($AN$1005:$BO$1005,1,MATCH(COLUMNS($AN$1006:AX1006),$AN$1006:$BO$1006,0))&gt;=100000), " ",IF(INDEX($AN$2:$BO$1001,MATCH(ROWS($AG$2:AG79),$AG$2:$AG$1001,0),MATCH(COLUMNS($AN$1006:AX1006),$AN$1006:$BO$1006,0)), HYPERLINK("#",""), HYPERLINK(CONCATENATE("#Metadata!", ADDRESS(INDEX($AI$2:$AI$1001,MATCH(ROWS($AG$2:AG79),$AG$2:$AG$1001,0),0), INDEX($AN$1004:$BO$1004,1,MATCH(COLUMNS($AN$1006:AX1006),$AN$1006:$BO$1006,0)))),"Fix")))</f>
        <v>0</v>
      </c>
      <c r="M79" s="4">
        <f>IF(OR(INDEX($AH$2:$AH$1001,MATCH(ROWS($AG$2:AG79),$AG$2:$AG$1001,0),1)&gt;=100000,INDEX($AN$1005:$BO$1005,1,MATCH(COLUMNS($AN$1006:AY1006),$AN$1006:$BO$1006,0))&gt;=100000), " ",IF(INDEX($AN$2:$BO$1001,MATCH(ROWS($AG$2:AG79),$AG$2:$AG$1001,0),MATCH(COLUMNS($AN$1006:AY1006),$AN$1006:$BO$1006,0)), HYPERLINK("#",""), HYPERLINK(CONCATENATE("#Metadata!", ADDRESS(INDEX($AI$2:$AI$1001,MATCH(ROWS($AG$2:AG79),$AG$2:$AG$1001,0),0), INDEX($AN$1004:$BO$1004,1,MATCH(COLUMNS($AN$1006:AY1006),$AN$1006:$BO$1006,0)))),"Fix")))</f>
        <v>0</v>
      </c>
      <c r="N79" s="4">
        <f>IF(OR(INDEX($AH$2:$AH$1001,MATCH(ROWS($AG$2:AG79),$AG$2:$AG$1001,0),1)&gt;=100000,INDEX($AN$1005:$BO$1005,1,MATCH(COLUMNS($AN$1006:AZ1006),$AN$1006:$BO$1006,0))&gt;=100000), " ",IF(INDEX($AN$2:$BO$1001,MATCH(ROWS($AG$2:AG79),$AG$2:$AG$1001,0),MATCH(COLUMNS($AN$1006:AZ1006),$AN$1006:$BO$1006,0)), HYPERLINK("#",""), HYPERLINK(CONCATENATE("#Metadata!", ADDRESS(INDEX($AI$2:$AI$1001,MATCH(ROWS($AG$2:AG79),$AG$2:$AG$1001,0),0), INDEX($AN$1004:$BO$1004,1,MATCH(COLUMNS($AN$1006:AZ1006),$AN$1006:$BO$1006,0)))),"Fix")))</f>
        <v>0</v>
      </c>
      <c r="O79" s="4">
        <f>IF(OR(INDEX($AH$2:$AH$1001,MATCH(ROWS($AG$2:AG79),$AG$2:$AG$1001,0),1)&gt;=100000,INDEX($AN$1005:$BO$1005,1,MATCH(COLUMNS($AN$1006:BA1006),$AN$1006:$BO$1006,0))&gt;=100000), " ",IF(INDEX($AN$2:$BO$1001,MATCH(ROWS($AG$2:AG79),$AG$2:$AG$1001,0),MATCH(COLUMNS($AN$1006:BA1006),$AN$1006:$BO$1006,0)), HYPERLINK("#",""), HYPERLINK(CONCATENATE("#Metadata!", ADDRESS(INDEX($AI$2:$AI$1001,MATCH(ROWS($AG$2:AG79),$AG$2:$AG$1001,0),0), INDEX($AN$1004:$BO$1004,1,MATCH(COLUMNS($AN$1006:BA1006),$AN$1006:$BO$1006,0)))),"Fix")))</f>
        <v>0</v>
      </c>
      <c r="P79" s="4">
        <f>IF(OR(INDEX($AH$2:$AH$1001,MATCH(ROWS($AG$2:AG79),$AG$2:$AG$1001,0),1)&gt;=100000,INDEX($AN$1005:$BO$1005,1,MATCH(COLUMNS($AN$1006:BB1006),$AN$1006:$BO$1006,0))&gt;=100000), " ",IF(INDEX($AN$2:$BO$1001,MATCH(ROWS($AG$2:AG79),$AG$2:$AG$1001,0),MATCH(COLUMNS($AN$1006:BB1006),$AN$1006:$BO$1006,0)), HYPERLINK("#",""), HYPERLINK(CONCATENATE("#Metadata!", ADDRESS(INDEX($AI$2:$AI$1001,MATCH(ROWS($AG$2:AG79),$AG$2:$AG$1001,0),0), INDEX($AN$1004:$BO$1004,1,MATCH(COLUMNS($AN$1006:BB1006),$AN$1006:$BO$1006,0)))),"Fix")))</f>
        <v>0</v>
      </c>
      <c r="Q79" s="4">
        <f>IF(OR(INDEX($AH$2:$AH$1001,MATCH(ROWS($AG$2:AG79),$AG$2:$AG$1001,0),1)&gt;=100000,INDEX($AN$1005:$BO$1005,1,MATCH(COLUMNS($AN$1006:BC1006),$AN$1006:$BO$1006,0))&gt;=100000), " ",IF(INDEX($AN$2:$BO$1001,MATCH(ROWS($AG$2:AG79),$AG$2:$AG$1001,0),MATCH(COLUMNS($AN$1006:BC1006),$AN$1006:$BO$1006,0)), HYPERLINK("#",""), HYPERLINK(CONCATENATE("#Metadata!", ADDRESS(INDEX($AI$2:$AI$1001,MATCH(ROWS($AG$2:AG79),$AG$2:$AG$1001,0),0), INDEX($AN$1004:$BO$1004,1,MATCH(COLUMNS($AN$1006:BC1006),$AN$1006:$BO$1006,0)))),"Fix")))</f>
        <v>0</v>
      </c>
      <c r="R79" s="4">
        <f>IF(OR(INDEX($AH$2:$AH$1001,MATCH(ROWS($AG$2:AG79),$AG$2:$AG$1001,0),1)&gt;=100000,INDEX($AN$1005:$BO$1005,1,MATCH(COLUMNS($AN$1006:BD1006),$AN$1006:$BO$1006,0))&gt;=100000), " ",IF(INDEX($AN$2:$BO$1001,MATCH(ROWS($AG$2:AG79),$AG$2:$AG$1001,0),MATCH(COLUMNS($AN$1006:BD1006),$AN$1006:$BO$1006,0)), HYPERLINK("#",""), HYPERLINK(CONCATENATE("#Metadata!", ADDRESS(INDEX($AI$2:$AI$1001,MATCH(ROWS($AG$2:AG79),$AG$2:$AG$1001,0),0), INDEX($AN$1004:$BO$1004,1,MATCH(COLUMNS($AN$1006:BD1006),$AN$1006:$BO$1006,0)))),"Fix")))</f>
        <v>0</v>
      </c>
      <c r="S79" s="4">
        <f>IF(OR(INDEX($AH$2:$AH$1001,MATCH(ROWS($AG$2:AG79),$AG$2:$AG$1001,0),1)&gt;=100000,INDEX($AN$1005:$BO$1005,1,MATCH(COLUMNS($AN$1006:BE1006),$AN$1006:$BO$1006,0))&gt;=100000), " ",IF(INDEX($AN$2:$BO$1001,MATCH(ROWS($AG$2:AG79),$AG$2:$AG$1001,0),MATCH(COLUMNS($AN$1006:BE1006),$AN$1006:$BO$1006,0)), HYPERLINK("#",""), HYPERLINK(CONCATENATE("#Metadata!", ADDRESS(INDEX($AI$2:$AI$1001,MATCH(ROWS($AG$2:AG79),$AG$2:$AG$1001,0),0), INDEX($AN$1004:$BO$1004,1,MATCH(COLUMNS($AN$1006:BE1006),$AN$1006:$BO$1006,0)))),"Fix")))</f>
        <v>0</v>
      </c>
      <c r="T79" s="4">
        <f>IF(OR(INDEX($AH$2:$AH$1001,MATCH(ROWS($AG$2:AG79),$AG$2:$AG$1001,0),1)&gt;=100000,INDEX($AN$1005:$BO$1005,1,MATCH(COLUMNS($AN$1006:BF1006),$AN$1006:$BO$1006,0))&gt;=100000), " ",IF(INDEX($AN$2:$BO$1001,MATCH(ROWS($AG$2:AG79),$AG$2:$AG$1001,0),MATCH(COLUMNS($AN$1006:BF1006),$AN$1006:$BO$1006,0)), HYPERLINK("#",""), HYPERLINK(CONCATENATE("#Metadata!", ADDRESS(INDEX($AI$2:$AI$1001,MATCH(ROWS($AG$2:AG79),$AG$2:$AG$1001,0),0), INDEX($AN$1004:$BO$1004,1,MATCH(COLUMNS($AN$1006:BF1006),$AN$1006:$BO$1006,0)))),"Fix")))</f>
        <v>0</v>
      </c>
      <c r="U79" s="4">
        <f>IF(OR(INDEX($AH$2:$AH$1001,MATCH(ROWS($AG$2:AG79),$AG$2:$AG$1001,0),1)&gt;=100000,INDEX($AN$1005:$BO$1005,1,MATCH(COLUMNS($AN$1006:BG1006),$AN$1006:$BO$1006,0))&gt;=100000), " ",IF(INDEX($AN$2:$BO$1001,MATCH(ROWS($AG$2:AG79),$AG$2:$AG$1001,0),MATCH(COLUMNS($AN$1006:BG1006),$AN$1006:$BO$1006,0)), HYPERLINK("#",""), HYPERLINK(CONCATENATE("#Metadata!", ADDRESS(INDEX($AI$2:$AI$1001,MATCH(ROWS($AG$2:AG79),$AG$2:$AG$1001,0),0), INDEX($AN$1004:$BO$1004,1,MATCH(COLUMNS($AN$1006:BG1006),$AN$1006:$BO$1006,0)))),"Fix")))</f>
        <v>0</v>
      </c>
      <c r="V79" s="4">
        <f>IF(OR(INDEX($AH$2:$AH$1001,MATCH(ROWS($AG$2:AG79),$AG$2:$AG$1001,0),1)&gt;=100000,INDEX($AN$1005:$BO$1005,1,MATCH(COLUMNS($AN$1006:BH1006),$AN$1006:$BO$1006,0))&gt;=100000), " ",IF(INDEX($AN$2:$BO$1001,MATCH(ROWS($AG$2:AG79),$AG$2:$AG$1001,0),MATCH(COLUMNS($AN$1006:BH1006),$AN$1006:$BO$1006,0)), HYPERLINK("#",""), HYPERLINK(CONCATENATE("#Metadata!", ADDRESS(INDEX($AI$2:$AI$1001,MATCH(ROWS($AG$2:AG79),$AG$2:$AG$1001,0),0), INDEX($AN$1004:$BO$1004,1,MATCH(COLUMNS($AN$1006:BH1006),$AN$1006:$BO$1006,0)))),"Fix")))</f>
        <v>0</v>
      </c>
      <c r="W79" s="4">
        <f>IF(OR(INDEX($AH$2:$AH$1001,MATCH(ROWS($AG$2:AG79),$AG$2:$AG$1001,0),1)&gt;=100000,INDEX($AN$1005:$BO$1005,1,MATCH(COLUMNS($AN$1006:BI1006),$AN$1006:$BO$1006,0))&gt;=100000), " ",IF(INDEX($AN$2:$BO$1001,MATCH(ROWS($AG$2:AG79),$AG$2:$AG$1001,0),MATCH(COLUMNS($AN$1006:BI1006),$AN$1006:$BO$1006,0)), HYPERLINK("#",""), HYPERLINK(CONCATENATE("#Metadata!", ADDRESS(INDEX($AI$2:$AI$1001,MATCH(ROWS($AG$2:AG79),$AG$2:$AG$1001,0),0), INDEX($AN$1004:$BO$1004,1,MATCH(COLUMNS($AN$1006:BI1006),$AN$1006:$BO$1006,0)))),"Fix")))</f>
        <v>0</v>
      </c>
      <c r="X79" s="4">
        <f>IF(OR(INDEX($AH$2:$AH$1001,MATCH(ROWS($AG$2:AG79),$AG$2:$AG$1001,0),1)&gt;=100000,INDEX($AN$1005:$BO$1005,1,MATCH(COLUMNS($AN$1006:BJ1006),$AN$1006:$BO$1006,0))&gt;=100000), " ",IF(INDEX($AN$2:$BO$1001,MATCH(ROWS($AG$2:AG79),$AG$2:$AG$1001,0),MATCH(COLUMNS($AN$1006:BJ1006),$AN$1006:$BO$1006,0)), HYPERLINK("#",""), HYPERLINK(CONCATENATE("#Metadata!", ADDRESS(INDEX($AI$2:$AI$1001,MATCH(ROWS($AG$2:AG79),$AG$2:$AG$1001,0),0), INDEX($AN$1004:$BO$1004,1,MATCH(COLUMNS($AN$1006:BJ1006),$AN$1006:$BO$1006,0)))),"Fix")))</f>
        <v>0</v>
      </c>
      <c r="Y79" s="4">
        <f>IF(OR(INDEX($AH$2:$AH$1001,MATCH(ROWS($AG$2:AG79),$AG$2:$AG$1001,0),1)&gt;=100000,INDEX($AN$1005:$BO$1005,1,MATCH(COLUMNS($AN$1006:BK1006),$AN$1006:$BO$1006,0))&gt;=100000), " ",IF(INDEX($AN$2:$BO$1001,MATCH(ROWS($AG$2:AG79),$AG$2:$AG$1001,0),MATCH(COLUMNS($AN$1006:BK1006),$AN$1006:$BO$1006,0)), HYPERLINK("#",""), HYPERLINK(CONCATENATE("#Metadata!", ADDRESS(INDEX($AI$2:$AI$1001,MATCH(ROWS($AG$2:AG79),$AG$2:$AG$1001,0),0), INDEX($AN$1004:$BO$1004,1,MATCH(COLUMNS($AN$1006:BK1006),$AN$1006:$BO$1006,0)))),"Fix")))</f>
        <v>0</v>
      </c>
      <c r="Z79" s="4">
        <f>IF(OR(INDEX($AH$2:$AH$1001,MATCH(ROWS($AG$2:AG79),$AG$2:$AG$1001,0),1)&gt;=100000,INDEX($AN$1005:$BO$1005,1,MATCH(COLUMNS($AN$1006:BL1006),$AN$1006:$BO$1006,0))&gt;=100000), " ",IF(INDEX($AN$2:$BO$1001,MATCH(ROWS($AG$2:AG79),$AG$2:$AG$1001,0),MATCH(COLUMNS($AN$1006:BL1006),$AN$1006:$BO$1006,0)), HYPERLINK("#",""), HYPERLINK(CONCATENATE("#Metadata!", ADDRESS(INDEX($AI$2:$AI$1001,MATCH(ROWS($AG$2:AG79),$AG$2:$AG$1001,0),0), INDEX($AN$1004:$BO$1004,1,MATCH(COLUMNS($AN$1006:BL1006),$AN$1006:$BO$1006,0)))),"Fix")))</f>
        <v>0</v>
      </c>
      <c r="AA79" s="4">
        <f>IF(OR(INDEX($AH$2:$AH$1001,MATCH(ROWS($AG$2:AG79),$AG$2:$AG$1001,0),1)&gt;=100000,INDEX($AN$1005:$BO$1005,1,MATCH(COLUMNS($AN$1006:BM1006),$AN$1006:$BO$1006,0))&gt;=100000), " ",IF(INDEX($AN$2:$BO$1001,MATCH(ROWS($AG$2:AG79),$AG$2:$AG$1001,0),MATCH(COLUMNS($AN$1006:BM1006),$AN$1006:$BO$1006,0)), HYPERLINK("#",""), HYPERLINK(CONCATENATE("#Metadata!", ADDRESS(INDEX($AI$2:$AI$1001,MATCH(ROWS($AG$2:AG79),$AG$2:$AG$1001,0),0), INDEX($AN$1004:$BO$1004,1,MATCH(COLUMNS($AN$1006:BM1006),$AN$1006:$BO$1006,0)))),"Fix")))</f>
        <v>0</v>
      </c>
      <c r="AB79" s="4">
        <f>IF(OR(INDEX($AH$2:$AH$1001,MATCH(ROWS($AG$2:AG79),$AG$2:$AG$1001,0),1)&gt;=100000,INDEX($AN$1005:$BO$1005,1,MATCH(COLUMNS($AN$1006:BN1006),$AN$1006:$BO$1006,0))&gt;=100000), " ",IF(INDEX($AN$2:$BO$1001,MATCH(ROWS($AG$2:AG79),$AG$2:$AG$1001,0),MATCH(COLUMNS($AN$1006:BN1006),$AN$1006:$BO$1006,0)), HYPERLINK("#",""), HYPERLINK(CONCATENATE("#Metadata!", ADDRESS(INDEX($AI$2:$AI$1001,MATCH(ROWS($AG$2:AG79),$AG$2:$AG$1001,0),0), INDEX($AN$1004:$BO$1004,1,MATCH(COLUMNS($AN$1006:BN1006),$AN$1006:$BO$1006,0)))),"Fix")))</f>
        <v>0</v>
      </c>
      <c r="AC79" s="4">
        <f>IF(OR(INDEX($AH$2:$AH$1001,MATCH(ROWS($AG$2:AG79),$AG$2:$AG$1001,0),1)&gt;=100000,INDEX($AN$1005:$BO$1005,1,MATCH(COLUMNS($AN$1006:BO1006),$AN$1006:$BO$1006,0))&gt;=100000), " ",IF(INDEX($AN$2:$BO$1001,MATCH(ROWS($AG$2:AG79),$AG$2:$AG$1001,0),MATCH(COLUMNS($AN$1006:BO1006),$AN$1006:$BO$1006,0)), HYPERLINK("#",""), HYPERLINK(CONCATENATE("#Metadata!", ADDRESS(INDEX($AI$2:$AI$1001,MATCH(ROWS($AG$2:AG79),$AG$2:$AG$1001,0),0), INDEX($AN$1004:$BO$1004,1,MATCH(COLUMNS($AN$1006:BO1006),$AN$1006:$BO$1006,0)))),"Fix")))</f>
        <v>0</v>
      </c>
      <c r="AG79">
        <v>0</v>
      </c>
      <c r="AH79">
        <v>0</v>
      </c>
      <c r="AI79">
        <v>0</v>
      </c>
      <c r="AJ79">
        <f>IF(AK79,TRUE,AND(AN79:BO79))</f>
        <v>0</v>
      </c>
      <c r="AK79">
        <f>COUNTBLANK(Metadata!B79:AC79)=COLUMNS(Metadata!B79:AC79)</f>
        <v>0</v>
      </c>
      <c r="AL79">
        <v>0</v>
      </c>
      <c r="AN79">
        <f>AND(IF(Metadata!B79="",FALSE,TRUE),COUNTIF(Metadata!B:B, Metadata!B79) = 1,NOT(ISERROR(SUMPRODUCT(SEARCH(MID(Metadata!B79,ROW(INDIRECT("1:"&amp;LEN(Metadata!B79))), 1),"0123456789abcdefghijklmnopqrstuvwxyzABCDEFGHIJKLMNOPQRSTUVWXYZ.")))))</f>
        <v>0</v>
      </c>
      <c r="AO79">
        <f>IF(Metadata!C79="",FALSE,TRUE)</f>
        <v>0</v>
      </c>
      <c r="AP79">
        <f>IF(Metadata!D79="",FALSE,TRUE)</f>
        <v>0</v>
      </c>
      <c r="AQ79">
        <f>OR(AND(IF(Metadata!E79="",FALSE,TRUE),OR(exact(Metadata!E79,"not collected"),exact(Metadata!E79,"not provided"),exact(Metadata!E79,"restricted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R79">
        <f>IF(Metadata!F79="",FALSE,TRUE)</f>
        <v>0</v>
      </c>
      <c r="AS79">
        <f>OR(AND(IF(Metadata!G79="",FALSE,TRUE),OR(exact(Metadata!G79,"not collected"),exact(Metadata!G79,"not provided"))),AND(IF(Metadata!G79="",FALSE,TRUE),OR(exact(Metadata!G79,"TRUE"),exact(Metadata!G79,"FALSE"))))</f>
        <v>0</v>
      </c>
      <c r="AT79">
        <f>OR(AND(IF(Metadata!H79="",FALSE,TRUE),OR(exact(Metadata!H79,"not collected"),exact(Metadata!H79,"not provided"),exact(Metadata!H79,"restricted access"))),AND(IF(Metadata!H79="",FALSE,ISNUMBER(VALUE(Metadata!H79))),Metadata!H79&gt;=-413.0))</f>
        <v>0</v>
      </c>
      <c r="AU79">
        <f>AND(IF(Metadata!I79="",FALSE,TRUE),exact(Metadata!I79,"meters"))</f>
        <v>0</v>
      </c>
      <c r="AV79">
        <f>AND(IF(Metadata!J79="",FALSE,TRUE),OR(exact(Metadata!J79,"Host-associated"),exact(Metadata!J79,"Free-living")))</f>
        <v>0</v>
      </c>
      <c r="AW79">
        <f>AND(IF(Metadata!K79="",FALSE,TRUE),OR(exact(Metadata!K79,"Animal"),exact(Metadata!K79,"Fungus"),exact(Metadata!K79,"Plant"),exact(Metadata!K79,"Saline"),exact(Metadata!K79,"Non-saline")))</f>
        <v>0</v>
      </c>
      <c r="AX79">
        <f>AND(IF(Metadata!L79="",FALSE,TRUE),OR(exact(Metadata!L79,"Plant secretion"),exact(Metadata!L79,"Plant rhizosphere"),exact(Metadata!L79,"Plant surface"),exact(Metadata!L79,"Plant corpus"),exact(Metadata!L79,"Fungus surface"),exact(Metadata!L79,"Fungus corpus"),exact(Metadata!L79,"Animal surface"),exact(Metadata!L79,"Animal proximal gut"),exact(Metadata!L79,"Animal corpus"),exact(Metadata!L79,"Animal distal gut"),exact(Metadata!L79,"Animal secretion"),exact(Metadata!L79,"Sub-surface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Y79">
        <f>IF(Metadata!M79="",FALSE,TRUE)</f>
        <v>0</v>
      </c>
      <c r="AZ79">
        <f>IF(Metadata!N79="",FALSE,TRUE)</f>
        <v>0</v>
      </c>
      <c r="BA79">
        <f>IF(Metadata!O79="",FALSE,TRUE)</f>
        <v>0</v>
      </c>
      <c r="BB79">
        <f>OR(AND(IF(Metadata!P79="",FALSE,TRUE),OR(exact(Metadata!P79,"not collected"),exact(Metadata!P79,"not provided"),exact(Metadata!P79,"restricted access"))),AND(IF(Metadata!P79="",FALSE,TRUE),OR(exact(Metadata!P79,"air"),exact(Metadata!P79,"built environment"),exact(Metadata!P79,"host-associated"),exact(Metadata!P79,"human-associated"),exact(Metadata!P79,"human-skin"),exact(Metadata!P79,"human-oral"),exact(Metadata!P79,"human-gut"),exact(Metadata!P79,"human-vaginal"),exact(Metadata!P79,"microbial mat/biofilm"),exact(Metadata!P79,"misc environment"),exact(Metadata!P79,"plant-associated"),exact(Metadata!P79,"sediment"),exact(Metadata!P79,"soil"),exact(Metadata!P79,"wastewater/sludge"),exact(Metadata!P79,"water"))))</f>
        <v>0</v>
      </c>
      <c r="BC79">
        <f>IF(Metadata!Q79="",FALSE,TRUE)</f>
        <v>0</v>
      </c>
      <c r="BD79">
        <f>IF(Metadata!R79="",FALSE,TRUE)</f>
        <v>0</v>
      </c>
      <c r="BE79">
        <f>OR(AND(IF(Metadata!S79="",FALSE,TRUE),OR(exact(Metadata!S79,"not collected"),exact(Metadata!S79,"not provided"),exact(Metadata!S79,"restricted access"))),AND(IF(Metadata!S79="",FALSE,ISNUMBER(VALUE(Metadata!S79))),Metadata!S79&gt;=-90.00,Metadata!S79&lt;=90.00))</f>
        <v>0</v>
      </c>
      <c r="BF79">
        <f>AND(IF(Metadata!T79="",FALSE,TRUE),exact(Metadata!T79,"Decimal degrees"))</f>
        <v>0</v>
      </c>
      <c r="BG79">
        <f>OR(AND(IF(Metadata!U79="",FALSE,TRUE),OR(exact(Metadata!U79,"not collected"),exact(Metadata!U79,"not provided"),exact(Metadata!U79,"restricted access"))),AND(IF(Metadata!U79="",FALSE,ISNUMBER(VALUE(Metadata!U79))),Metadata!U79&gt;=-180.00,Metadata!U79&lt;=180.00))</f>
        <v>0</v>
      </c>
      <c r="BH79">
        <f>AND(IF(Metadata!V79="",FALSE,TRUE),exact(Metadata!V79,"Decimal degrees"))</f>
        <v>0</v>
      </c>
      <c r="BI79">
        <f>IF(Metadata!W79="",FALSE,TRUE)</f>
        <v>0</v>
      </c>
      <c r="BJ79">
        <f>OR(AND(IF(Metadata!X79="",FALSE,TRUE),OR(exact(Metadata!X79,"not collected"),exact(Metadata!X79,"not provided"),exact(Metadata!X79,"restricted access"))),AND(IF(Metadata!X79="",FALSE,TRUE),OR(exact(Metadata!X79,"TRUE"),exact(Metadata!X79,"FALSE"))))</f>
        <v>0</v>
      </c>
      <c r="BK79">
        <f>AND(IF(Metadata!Y79="",FALSE,TRUE),exact(Metadata!Y79,"other"))</f>
        <v>0</v>
      </c>
      <c r="BL79">
        <f>IF(Metadata!Z79="",FALSE,TRUE)</f>
        <v>0</v>
      </c>
      <c r="BM79">
        <f>OR(AND(IF(Metadata!AA79="",FALSE,TRUE),OR(exact(Metadata!AA79,"not collected"),exact(Metadata!AA79,"not provided"))),AND(IF(Metadata!AA79="",FALSE,IF(ISERROR(INT(Metadata!AA79)),FALSE,INT(Metadata!AA79)=Metadata!AA79)),Metadata!AA79&gt;0))</f>
        <v>0</v>
      </c>
      <c r="BN79">
        <f>AND(IF(Metadata!AB79="",FALSE,TRUE),exact(Metadata!AB79,"Not applicable"))</f>
        <v>0</v>
      </c>
      <c r="BO79">
        <f>IF(Metadata!AC79="",FALSE,TRUE)</f>
        <v>0</v>
      </c>
    </row>
    <row r="80" spans="1:67">
      <c r="A80" s="5">
        <f>IF(B80=" "," ",HYPERLINK(CONCATENATE("#metadata!",ADDRESS(INDEX($AI$2:$AI$1001,MATCH(ROWS($AG$2:AG80),$AG$2:$AG$1001,0),0),1)),INDEX($AL$2:$AL$1001,MATCH(ROWS($AG$2:AG80),$AG$2:$AG$1001,0),0)))</f>
        <v>0</v>
      </c>
      <c r="B80" s="4">
        <f>IF(OR(INDEX($AH$2:$AH$1001,MATCH(ROWS($AG$2:AG80),$AG$2:$AG$1001,0),1)&gt;=100000,INDEX($AN$1005:$BO$1005,1,MATCH(COLUMNS($AN$1006:AN1006),$AN$1006:$BO$1006,0))&gt;=100000), " ",IF(INDEX($AN$2:$BO$1001,MATCH(ROWS($AG$2:AG80),$AG$2:$AG$1001,0),MATCH(COLUMNS($AN$1006:AN1006),$AN$1006:$BO$1006,0)), HYPERLINK("#",""), HYPERLINK(CONCATENATE("#Metadata!", ADDRESS(INDEX($AI$2:$AI$1001,MATCH(ROWS($AG$2:AG80),$AG$2:$AG$1001,0),0), INDEX($AN$1004:$BO$1004,1,MATCH(COLUMNS($AN$1006:AN1006),$AN$1006:$BO$1006,0)))),"Fix")))</f>
        <v>0</v>
      </c>
      <c r="C80" s="4">
        <f>IF(OR(INDEX($AH$2:$AH$1001,MATCH(ROWS($AG$2:AG80),$AG$2:$AG$1001,0),1)&gt;=100000,INDEX($AN$1005:$BO$1005,1,MATCH(COLUMNS($AN$1006:AO1006),$AN$1006:$BO$1006,0))&gt;=100000), " ",IF(INDEX($AN$2:$BO$1001,MATCH(ROWS($AG$2:AG80),$AG$2:$AG$1001,0),MATCH(COLUMNS($AN$1006:AO1006),$AN$1006:$BO$1006,0)), HYPERLINK("#",""), HYPERLINK(CONCATENATE("#Metadata!", ADDRESS(INDEX($AI$2:$AI$1001,MATCH(ROWS($AG$2:AG80),$AG$2:$AG$1001,0),0), INDEX($AN$1004:$BO$1004,1,MATCH(COLUMNS($AN$1006:AO1006),$AN$1006:$BO$1006,0)))),"Fix")))</f>
        <v>0</v>
      </c>
      <c r="D80" s="4">
        <f>IF(OR(INDEX($AH$2:$AH$1001,MATCH(ROWS($AG$2:AG80),$AG$2:$AG$1001,0),1)&gt;=100000,INDEX($AN$1005:$BO$1005,1,MATCH(COLUMNS($AN$1006:AP1006),$AN$1006:$BO$1006,0))&gt;=100000), " ",IF(INDEX($AN$2:$BO$1001,MATCH(ROWS($AG$2:AG80),$AG$2:$AG$1001,0),MATCH(COLUMNS($AN$1006:AP1006),$AN$1006:$BO$1006,0)), HYPERLINK("#",""), HYPERLINK(CONCATENATE("#Metadata!", ADDRESS(INDEX($AI$2:$AI$1001,MATCH(ROWS($AG$2:AG80),$AG$2:$AG$1001,0),0), INDEX($AN$1004:$BO$1004,1,MATCH(COLUMNS($AN$1006:AP1006),$AN$1006:$BO$1006,0)))),"Fix")))</f>
        <v>0</v>
      </c>
      <c r="E80" s="4">
        <f>IF(OR(INDEX($AH$2:$AH$1001,MATCH(ROWS($AG$2:AG80),$AG$2:$AG$1001,0),1)&gt;=100000,INDEX($AN$1005:$BO$1005,1,MATCH(COLUMNS($AN$1006:AQ1006),$AN$1006:$BO$1006,0))&gt;=100000), " ",IF(INDEX($AN$2:$BO$1001,MATCH(ROWS($AG$2:AG80),$AG$2:$AG$1001,0),MATCH(COLUMNS($AN$1006:AQ1006),$AN$1006:$BO$1006,0)), HYPERLINK("#",""), HYPERLINK(CONCATENATE("#Metadata!", ADDRESS(INDEX($AI$2:$AI$1001,MATCH(ROWS($AG$2:AG80),$AG$2:$AG$1001,0),0), INDEX($AN$1004:$BO$1004,1,MATCH(COLUMNS($AN$1006:AQ1006),$AN$1006:$BO$1006,0)))),"Fix")))</f>
        <v>0</v>
      </c>
      <c r="F80" s="4">
        <f>IF(OR(INDEX($AH$2:$AH$1001,MATCH(ROWS($AG$2:AG80),$AG$2:$AG$1001,0),1)&gt;=100000,INDEX($AN$1005:$BO$1005,1,MATCH(COLUMNS($AN$1006:AR1006),$AN$1006:$BO$1006,0))&gt;=100000), " ",IF(INDEX($AN$2:$BO$1001,MATCH(ROWS($AG$2:AG80),$AG$2:$AG$1001,0),MATCH(COLUMNS($AN$1006:AR1006),$AN$1006:$BO$1006,0)), HYPERLINK("#",""), HYPERLINK(CONCATENATE("#Metadata!", ADDRESS(INDEX($AI$2:$AI$1001,MATCH(ROWS($AG$2:AG80),$AG$2:$AG$1001,0),0), INDEX($AN$1004:$BO$1004,1,MATCH(COLUMNS($AN$1006:AR1006),$AN$1006:$BO$1006,0)))),"Fix")))</f>
        <v>0</v>
      </c>
      <c r="G80" s="4">
        <f>IF(OR(INDEX($AH$2:$AH$1001,MATCH(ROWS($AG$2:AG80),$AG$2:$AG$1001,0),1)&gt;=100000,INDEX($AN$1005:$BO$1005,1,MATCH(COLUMNS($AN$1006:AS1006),$AN$1006:$BO$1006,0))&gt;=100000), " ",IF(INDEX($AN$2:$BO$1001,MATCH(ROWS($AG$2:AG80),$AG$2:$AG$1001,0),MATCH(COLUMNS($AN$1006:AS1006),$AN$1006:$BO$1006,0)), HYPERLINK("#",""), HYPERLINK(CONCATENATE("#Metadata!", ADDRESS(INDEX($AI$2:$AI$1001,MATCH(ROWS($AG$2:AG80),$AG$2:$AG$1001,0),0), INDEX($AN$1004:$BO$1004,1,MATCH(COLUMNS($AN$1006:AS1006),$AN$1006:$BO$1006,0)))),"Fix")))</f>
        <v>0</v>
      </c>
      <c r="H80" s="4">
        <f>IF(OR(INDEX($AH$2:$AH$1001,MATCH(ROWS($AG$2:AG80),$AG$2:$AG$1001,0),1)&gt;=100000,INDEX($AN$1005:$BO$1005,1,MATCH(COLUMNS($AN$1006:AT1006),$AN$1006:$BO$1006,0))&gt;=100000), " ",IF(INDEX($AN$2:$BO$1001,MATCH(ROWS($AG$2:AG80),$AG$2:$AG$1001,0),MATCH(COLUMNS($AN$1006:AT1006),$AN$1006:$BO$1006,0)), HYPERLINK("#",""), HYPERLINK(CONCATENATE("#Metadata!", ADDRESS(INDEX($AI$2:$AI$1001,MATCH(ROWS($AG$2:AG80),$AG$2:$AG$1001,0),0), INDEX($AN$1004:$BO$1004,1,MATCH(COLUMNS($AN$1006:AT1006),$AN$1006:$BO$1006,0)))),"Fix")))</f>
        <v>0</v>
      </c>
      <c r="I80" s="4">
        <f>IF(OR(INDEX($AH$2:$AH$1001,MATCH(ROWS($AG$2:AG80),$AG$2:$AG$1001,0),1)&gt;=100000,INDEX($AN$1005:$BO$1005,1,MATCH(COLUMNS($AN$1006:AU1006),$AN$1006:$BO$1006,0))&gt;=100000), " ",IF(INDEX($AN$2:$BO$1001,MATCH(ROWS($AG$2:AG80),$AG$2:$AG$1001,0),MATCH(COLUMNS($AN$1006:AU1006),$AN$1006:$BO$1006,0)), HYPERLINK("#",""), HYPERLINK(CONCATENATE("#Metadata!", ADDRESS(INDEX($AI$2:$AI$1001,MATCH(ROWS($AG$2:AG80),$AG$2:$AG$1001,0),0), INDEX($AN$1004:$BO$1004,1,MATCH(COLUMNS($AN$1006:AU1006),$AN$1006:$BO$1006,0)))),"Fix")))</f>
        <v>0</v>
      </c>
      <c r="J80" s="4">
        <f>IF(OR(INDEX($AH$2:$AH$1001,MATCH(ROWS($AG$2:AG80),$AG$2:$AG$1001,0),1)&gt;=100000,INDEX($AN$1005:$BO$1005,1,MATCH(COLUMNS($AN$1006:AV1006),$AN$1006:$BO$1006,0))&gt;=100000), " ",IF(INDEX($AN$2:$BO$1001,MATCH(ROWS($AG$2:AG80),$AG$2:$AG$1001,0),MATCH(COLUMNS($AN$1006:AV1006),$AN$1006:$BO$1006,0)), HYPERLINK("#",""), HYPERLINK(CONCATENATE("#Metadata!", ADDRESS(INDEX($AI$2:$AI$1001,MATCH(ROWS($AG$2:AG80),$AG$2:$AG$1001,0),0), INDEX($AN$1004:$BO$1004,1,MATCH(COLUMNS($AN$1006:AV1006),$AN$1006:$BO$1006,0)))),"Fix")))</f>
        <v>0</v>
      </c>
      <c r="K80" s="4">
        <f>IF(OR(INDEX($AH$2:$AH$1001,MATCH(ROWS($AG$2:AG80),$AG$2:$AG$1001,0),1)&gt;=100000,INDEX($AN$1005:$BO$1005,1,MATCH(COLUMNS($AN$1006:AW1006),$AN$1006:$BO$1006,0))&gt;=100000), " ",IF(INDEX($AN$2:$BO$1001,MATCH(ROWS($AG$2:AG80),$AG$2:$AG$1001,0),MATCH(COLUMNS($AN$1006:AW1006),$AN$1006:$BO$1006,0)), HYPERLINK("#",""), HYPERLINK(CONCATENATE("#Metadata!", ADDRESS(INDEX($AI$2:$AI$1001,MATCH(ROWS($AG$2:AG80),$AG$2:$AG$1001,0),0), INDEX($AN$1004:$BO$1004,1,MATCH(COLUMNS($AN$1006:AW1006),$AN$1006:$BO$1006,0)))),"Fix")))</f>
        <v>0</v>
      </c>
      <c r="L80" s="4">
        <f>IF(OR(INDEX($AH$2:$AH$1001,MATCH(ROWS($AG$2:AG80),$AG$2:$AG$1001,0),1)&gt;=100000,INDEX($AN$1005:$BO$1005,1,MATCH(COLUMNS($AN$1006:AX1006),$AN$1006:$BO$1006,0))&gt;=100000), " ",IF(INDEX($AN$2:$BO$1001,MATCH(ROWS($AG$2:AG80),$AG$2:$AG$1001,0),MATCH(COLUMNS($AN$1006:AX1006),$AN$1006:$BO$1006,0)), HYPERLINK("#",""), HYPERLINK(CONCATENATE("#Metadata!", ADDRESS(INDEX($AI$2:$AI$1001,MATCH(ROWS($AG$2:AG80),$AG$2:$AG$1001,0),0), INDEX($AN$1004:$BO$1004,1,MATCH(COLUMNS($AN$1006:AX1006),$AN$1006:$BO$1006,0)))),"Fix")))</f>
        <v>0</v>
      </c>
      <c r="M80" s="4">
        <f>IF(OR(INDEX($AH$2:$AH$1001,MATCH(ROWS($AG$2:AG80),$AG$2:$AG$1001,0),1)&gt;=100000,INDEX($AN$1005:$BO$1005,1,MATCH(COLUMNS($AN$1006:AY1006),$AN$1006:$BO$1006,0))&gt;=100000), " ",IF(INDEX($AN$2:$BO$1001,MATCH(ROWS($AG$2:AG80),$AG$2:$AG$1001,0),MATCH(COLUMNS($AN$1006:AY1006),$AN$1006:$BO$1006,0)), HYPERLINK("#",""), HYPERLINK(CONCATENATE("#Metadata!", ADDRESS(INDEX($AI$2:$AI$1001,MATCH(ROWS($AG$2:AG80),$AG$2:$AG$1001,0),0), INDEX($AN$1004:$BO$1004,1,MATCH(COLUMNS($AN$1006:AY1006),$AN$1006:$BO$1006,0)))),"Fix")))</f>
        <v>0</v>
      </c>
      <c r="N80" s="4">
        <f>IF(OR(INDEX($AH$2:$AH$1001,MATCH(ROWS($AG$2:AG80),$AG$2:$AG$1001,0),1)&gt;=100000,INDEX($AN$1005:$BO$1005,1,MATCH(COLUMNS($AN$1006:AZ1006),$AN$1006:$BO$1006,0))&gt;=100000), " ",IF(INDEX($AN$2:$BO$1001,MATCH(ROWS($AG$2:AG80),$AG$2:$AG$1001,0),MATCH(COLUMNS($AN$1006:AZ1006),$AN$1006:$BO$1006,0)), HYPERLINK("#",""), HYPERLINK(CONCATENATE("#Metadata!", ADDRESS(INDEX($AI$2:$AI$1001,MATCH(ROWS($AG$2:AG80),$AG$2:$AG$1001,0),0), INDEX($AN$1004:$BO$1004,1,MATCH(COLUMNS($AN$1006:AZ1006),$AN$1006:$BO$1006,0)))),"Fix")))</f>
        <v>0</v>
      </c>
      <c r="O80" s="4">
        <f>IF(OR(INDEX($AH$2:$AH$1001,MATCH(ROWS($AG$2:AG80),$AG$2:$AG$1001,0),1)&gt;=100000,INDEX($AN$1005:$BO$1005,1,MATCH(COLUMNS($AN$1006:BA1006),$AN$1006:$BO$1006,0))&gt;=100000), " ",IF(INDEX($AN$2:$BO$1001,MATCH(ROWS($AG$2:AG80),$AG$2:$AG$1001,0),MATCH(COLUMNS($AN$1006:BA1006),$AN$1006:$BO$1006,0)), HYPERLINK("#",""), HYPERLINK(CONCATENATE("#Metadata!", ADDRESS(INDEX($AI$2:$AI$1001,MATCH(ROWS($AG$2:AG80),$AG$2:$AG$1001,0),0), INDEX($AN$1004:$BO$1004,1,MATCH(COLUMNS($AN$1006:BA1006),$AN$1006:$BO$1006,0)))),"Fix")))</f>
        <v>0</v>
      </c>
      <c r="P80" s="4">
        <f>IF(OR(INDEX($AH$2:$AH$1001,MATCH(ROWS($AG$2:AG80),$AG$2:$AG$1001,0),1)&gt;=100000,INDEX($AN$1005:$BO$1005,1,MATCH(COLUMNS($AN$1006:BB1006),$AN$1006:$BO$1006,0))&gt;=100000), " ",IF(INDEX($AN$2:$BO$1001,MATCH(ROWS($AG$2:AG80),$AG$2:$AG$1001,0),MATCH(COLUMNS($AN$1006:BB1006),$AN$1006:$BO$1006,0)), HYPERLINK("#",""), HYPERLINK(CONCATENATE("#Metadata!", ADDRESS(INDEX($AI$2:$AI$1001,MATCH(ROWS($AG$2:AG80),$AG$2:$AG$1001,0),0), INDEX($AN$1004:$BO$1004,1,MATCH(COLUMNS($AN$1006:BB1006),$AN$1006:$BO$1006,0)))),"Fix")))</f>
        <v>0</v>
      </c>
      <c r="Q80" s="4">
        <f>IF(OR(INDEX($AH$2:$AH$1001,MATCH(ROWS($AG$2:AG80),$AG$2:$AG$1001,0),1)&gt;=100000,INDEX($AN$1005:$BO$1005,1,MATCH(COLUMNS($AN$1006:BC1006),$AN$1006:$BO$1006,0))&gt;=100000), " ",IF(INDEX($AN$2:$BO$1001,MATCH(ROWS($AG$2:AG80),$AG$2:$AG$1001,0),MATCH(COLUMNS($AN$1006:BC1006),$AN$1006:$BO$1006,0)), HYPERLINK("#",""), HYPERLINK(CONCATENATE("#Metadata!", ADDRESS(INDEX($AI$2:$AI$1001,MATCH(ROWS($AG$2:AG80),$AG$2:$AG$1001,0),0), INDEX($AN$1004:$BO$1004,1,MATCH(COLUMNS($AN$1006:BC1006),$AN$1006:$BO$1006,0)))),"Fix")))</f>
        <v>0</v>
      </c>
      <c r="R80" s="4">
        <f>IF(OR(INDEX($AH$2:$AH$1001,MATCH(ROWS($AG$2:AG80),$AG$2:$AG$1001,0),1)&gt;=100000,INDEX($AN$1005:$BO$1005,1,MATCH(COLUMNS($AN$1006:BD1006),$AN$1006:$BO$1006,0))&gt;=100000), " ",IF(INDEX($AN$2:$BO$1001,MATCH(ROWS($AG$2:AG80),$AG$2:$AG$1001,0),MATCH(COLUMNS($AN$1006:BD1006),$AN$1006:$BO$1006,0)), HYPERLINK("#",""), HYPERLINK(CONCATENATE("#Metadata!", ADDRESS(INDEX($AI$2:$AI$1001,MATCH(ROWS($AG$2:AG80),$AG$2:$AG$1001,0),0), INDEX($AN$1004:$BO$1004,1,MATCH(COLUMNS($AN$1006:BD1006),$AN$1006:$BO$1006,0)))),"Fix")))</f>
        <v>0</v>
      </c>
      <c r="S80" s="4">
        <f>IF(OR(INDEX($AH$2:$AH$1001,MATCH(ROWS($AG$2:AG80),$AG$2:$AG$1001,0),1)&gt;=100000,INDEX($AN$1005:$BO$1005,1,MATCH(COLUMNS($AN$1006:BE1006),$AN$1006:$BO$1006,0))&gt;=100000), " ",IF(INDEX($AN$2:$BO$1001,MATCH(ROWS($AG$2:AG80),$AG$2:$AG$1001,0),MATCH(COLUMNS($AN$1006:BE1006),$AN$1006:$BO$1006,0)), HYPERLINK("#",""), HYPERLINK(CONCATENATE("#Metadata!", ADDRESS(INDEX($AI$2:$AI$1001,MATCH(ROWS($AG$2:AG80),$AG$2:$AG$1001,0),0), INDEX($AN$1004:$BO$1004,1,MATCH(COLUMNS($AN$1006:BE1006),$AN$1006:$BO$1006,0)))),"Fix")))</f>
        <v>0</v>
      </c>
      <c r="T80" s="4">
        <f>IF(OR(INDEX($AH$2:$AH$1001,MATCH(ROWS($AG$2:AG80),$AG$2:$AG$1001,0),1)&gt;=100000,INDEX($AN$1005:$BO$1005,1,MATCH(COLUMNS($AN$1006:BF1006),$AN$1006:$BO$1006,0))&gt;=100000), " ",IF(INDEX($AN$2:$BO$1001,MATCH(ROWS($AG$2:AG80),$AG$2:$AG$1001,0),MATCH(COLUMNS($AN$1006:BF1006),$AN$1006:$BO$1006,0)), HYPERLINK("#",""), HYPERLINK(CONCATENATE("#Metadata!", ADDRESS(INDEX($AI$2:$AI$1001,MATCH(ROWS($AG$2:AG80),$AG$2:$AG$1001,0),0), INDEX($AN$1004:$BO$1004,1,MATCH(COLUMNS($AN$1006:BF1006),$AN$1006:$BO$1006,0)))),"Fix")))</f>
        <v>0</v>
      </c>
      <c r="U80" s="4">
        <f>IF(OR(INDEX($AH$2:$AH$1001,MATCH(ROWS($AG$2:AG80),$AG$2:$AG$1001,0),1)&gt;=100000,INDEX($AN$1005:$BO$1005,1,MATCH(COLUMNS($AN$1006:BG1006),$AN$1006:$BO$1006,0))&gt;=100000), " ",IF(INDEX($AN$2:$BO$1001,MATCH(ROWS($AG$2:AG80),$AG$2:$AG$1001,0),MATCH(COLUMNS($AN$1006:BG1006),$AN$1006:$BO$1006,0)), HYPERLINK("#",""), HYPERLINK(CONCATENATE("#Metadata!", ADDRESS(INDEX($AI$2:$AI$1001,MATCH(ROWS($AG$2:AG80),$AG$2:$AG$1001,0),0), INDEX($AN$1004:$BO$1004,1,MATCH(COLUMNS($AN$1006:BG1006),$AN$1006:$BO$1006,0)))),"Fix")))</f>
        <v>0</v>
      </c>
      <c r="V80" s="4">
        <f>IF(OR(INDEX($AH$2:$AH$1001,MATCH(ROWS($AG$2:AG80),$AG$2:$AG$1001,0),1)&gt;=100000,INDEX($AN$1005:$BO$1005,1,MATCH(COLUMNS($AN$1006:BH1006),$AN$1006:$BO$1006,0))&gt;=100000), " ",IF(INDEX($AN$2:$BO$1001,MATCH(ROWS($AG$2:AG80),$AG$2:$AG$1001,0),MATCH(COLUMNS($AN$1006:BH1006),$AN$1006:$BO$1006,0)), HYPERLINK("#",""), HYPERLINK(CONCATENATE("#Metadata!", ADDRESS(INDEX($AI$2:$AI$1001,MATCH(ROWS($AG$2:AG80),$AG$2:$AG$1001,0),0), INDEX($AN$1004:$BO$1004,1,MATCH(COLUMNS($AN$1006:BH1006),$AN$1006:$BO$1006,0)))),"Fix")))</f>
        <v>0</v>
      </c>
      <c r="W80" s="4">
        <f>IF(OR(INDEX($AH$2:$AH$1001,MATCH(ROWS($AG$2:AG80),$AG$2:$AG$1001,0),1)&gt;=100000,INDEX($AN$1005:$BO$1005,1,MATCH(COLUMNS($AN$1006:BI1006),$AN$1006:$BO$1006,0))&gt;=100000), " ",IF(INDEX($AN$2:$BO$1001,MATCH(ROWS($AG$2:AG80),$AG$2:$AG$1001,0),MATCH(COLUMNS($AN$1006:BI1006),$AN$1006:$BO$1006,0)), HYPERLINK("#",""), HYPERLINK(CONCATENATE("#Metadata!", ADDRESS(INDEX($AI$2:$AI$1001,MATCH(ROWS($AG$2:AG80),$AG$2:$AG$1001,0),0), INDEX($AN$1004:$BO$1004,1,MATCH(COLUMNS($AN$1006:BI1006),$AN$1006:$BO$1006,0)))),"Fix")))</f>
        <v>0</v>
      </c>
      <c r="X80" s="4">
        <f>IF(OR(INDEX($AH$2:$AH$1001,MATCH(ROWS($AG$2:AG80),$AG$2:$AG$1001,0),1)&gt;=100000,INDEX($AN$1005:$BO$1005,1,MATCH(COLUMNS($AN$1006:BJ1006),$AN$1006:$BO$1006,0))&gt;=100000), " ",IF(INDEX($AN$2:$BO$1001,MATCH(ROWS($AG$2:AG80),$AG$2:$AG$1001,0),MATCH(COLUMNS($AN$1006:BJ1006),$AN$1006:$BO$1006,0)), HYPERLINK("#",""), HYPERLINK(CONCATENATE("#Metadata!", ADDRESS(INDEX($AI$2:$AI$1001,MATCH(ROWS($AG$2:AG80),$AG$2:$AG$1001,0),0), INDEX($AN$1004:$BO$1004,1,MATCH(COLUMNS($AN$1006:BJ1006),$AN$1006:$BO$1006,0)))),"Fix")))</f>
        <v>0</v>
      </c>
      <c r="Y80" s="4">
        <f>IF(OR(INDEX($AH$2:$AH$1001,MATCH(ROWS($AG$2:AG80),$AG$2:$AG$1001,0),1)&gt;=100000,INDEX($AN$1005:$BO$1005,1,MATCH(COLUMNS($AN$1006:BK1006),$AN$1006:$BO$1006,0))&gt;=100000), " ",IF(INDEX($AN$2:$BO$1001,MATCH(ROWS($AG$2:AG80),$AG$2:$AG$1001,0),MATCH(COLUMNS($AN$1006:BK1006),$AN$1006:$BO$1006,0)), HYPERLINK("#",""), HYPERLINK(CONCATENATE("#Metadata!", ADDRESS(INDEX($AI$2:$AI$1001,MATCH(ROWS($AG$2:AG80),$AG$2:$AG$1001,0),0), INDEX($AN$1004:$BO$1004,1,MATCH(COLUMNS($AN$1006:BK1006),$AN$1006:$BO$1006,0)))),"Fix")))</f>
        <v>0</v>
      </c>
      <c r="Z80" s="4">
        <f>IF(OR(INDEX($AH$2:$AH$1001,MATCH(ROWS($AG$2:AG80),$AG$2:$AG$1001,0),1)&gt;=100000,INDEX($AN$1005:$BO$1005,1,MATCH(COLUMNS($AN$1006:BL1006),$AN$1006:$BO$1006,0))&gt;=100000), " ",IF(INDEX($AN$2:$BO$1001,MATCH(ROWS($AG$2:AG80),$AG$2:$AG$1001,0),MATCH(COLUMNS($AN$1006:BL1006),$AN$1006:$BO$1006,0)), HYPERLINK("#",""), HYPERLINK(CONCATENATE("#Metadata!", ADDRESS(INDEX($AI$2:$AI$1001,MATCH(ROWS($AG$2:AG80),$AG$2:$AG$1001,0),0), INDEX($AN$1004:$BO$1004,1,MATCH(COLUMNS($AN$1006:BL1006),$AN$1006:$BO$1006,0)))),"Fix")))</f>
        <v>0</v>
      </c>
      <c r="AA80" s="4">
        <f>IF(OR(INDEX($AH$2:$AH$1001,MATCH(ROWS($AG$2:AG80),$AG$2:$AG$1001,0),1)&gt;=100000,INDEX($AN$1005:$BO$1005,1,MATCH(COLUMNS($AN$1006:BM1006),$AN$1006:$BO$1006,0))&gt;=100000), " ",IF(INDEX($AN$2:$BO$1001,MATCH(ROWS($AG$2:AG80),$AG$2:$AG$1001,0),MATCH(COLUMNS($AN$1006:BM1006),$AN$1006:$BO$1006,0)), HYPERLINK("#",""), HYPERLINK(CONCATENATE("#Metadata!", ADDRESS(INDEX($AI$2:$AI$1001,MATCH(ROWS($AG$2:AG80),$AG$2:$AG$1001,0),0), INDEX($AN$1004:$BO$1004,1,MATCH(COLUMNS($AN$1006:BM1006),$AN$1006:$BO$1006,0)))),"Fix")))</f>
        <v>0</v>
      </c>
      <c r="AB80" s="4">
        <f>IF(OR(INDEX($AH$2:$AH$1001,MATCH(ROWS($AG$2:AG80),$AG$2:$AG$1001,0),1)&gt;=100000,INDEX($AN$1005:$BO$1005,1,MATCH(COLUMNS($AN$1006:BN1006),$AN$1006:$BO$1006,0))&gt;=100000), " ",IF(INDEX($AN$2:$BO$1001,MATCH(ROWS($AG$2:AG80),$AG$2:$AG$1001,0),MATCH(COLUMNS($AN$1006:BN1006),$AN$1006:$BO$1006,0)), HYPERLINK("#",""), HYPERLINK(CONCATENATE("#Metadata!", ADDRESS(INDEX($AI$2:$AI$1001,MATCH(ROWS($AG$2:AG80),$AG$2:$AG$1001,0),0), INDEX($AN$1004:$BO$1004,1,MATCH(COLUMNS($AN$1006:BN1006),$AN$1006:$BO$1006,0)))),"Fix")))</f>
        <v>0</v>
      </c>
      <c r="AC80" s="4">
        <f>IF(OR(INDEX($AH$2:$AH$1001,MATCH(ROWS($AG$2:AG80),$AG$2:$AG$1001,0),1)&gt;=100000,INDEX($AN$1005:$BO$1005,1,MATCH(COLUMNS($AN$1006:BO1006),$AN$1006:$BO$1006,0))&gt;=100000), " ",IF(INDEX($AN$2:$BO$1001,MATCH(ROWS($AG$2:AG80),$AG$2:$AG$1001,0),MATCH(COLUMNS($AN$1006:BO1006),$AN$1006:$BO$1006,0)), HYPERLINK("#",""), HYPERLINK(CONCATENATE("#Metadata!", ADDRESS(INDEX($AI$2:$AI$1001,MATCH(ROWS($AG$2:AG80),$AG$2:$AG$1001,0),0), INDEX($AN$1004:$BO$1004,1,MATCH(COLUMNS($AN$1006:BO1006),$AN$1006:$BO$1006,0)))),"Fix")))</f>
        <v>0</v>
      </c>
      <c r="AG80">
        <v>0</v>
      </c>
      <c r="AH80">
        <v>0</v>
      </c>
      <c r="AI80">
        <v>0</v>
      </c>
      <c r="AJ80">
        <f>IF(AK80,TRUE,AND(AN80:BO80))</f>
        <v>0</v>
      </c>
      <c r="AK80">
        <f>COUNTBLANK(Metadata!B80:AC80)=COLUMNS(Metadata!B80:AC80)</f>
        <v>0</v>
      </c>
      <c r="AL80">
        <v>0</v>
      </c>
      <c r="AN80">
        <f>AND(IF(Metadata!B80="",FALSE,TRUE),COUNTIF(Metadata!B:B, Metadata!B80) = 1,NOT(ISERROR(SUMPRODUCT(SEARCH(MID(Metadata!B80,ROW(INDIRECT("1:"&amp;LEN(Metadata!B80))), 1),"0123456789abcdefghijklmnopqrstuvwxyzABCDEFGHIJKLMNOPQRSTUVWXYZ.")))))</f>
        <v>0</v>
      </c>
      <c r="AO80">
        <f>IF(Metadata!C80="",FALSE,TRUE)</f>
        <v>0</v>
      </c>
      <c r="AP80">
        <f>IF(Metadata!D80="",FALSE,TRUE)</f>
        <v>0</v>
      </c>
      <c r="AQ80">
        <f>OR(AND(IF(Metadata!E80="",FALSE,TRUE),OR(exact(Metadata!E80,"not collected"),exact(Metadata!E80,"not provided"),exact(Metadata!E80,"restricted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R80">
        <f>IF(Metadata!F80="",FALSE,TRUE)</f>
        <v>0</v>
      </c>
      <c r="AS80">
        <f>OR(AND(IF(Metadata!G80="",FALSE,TRUE),OR(exact(Metadata!G80,"not collected"),exact(Metadata!G80,"not provided"))),AND(IF(Metadata!G80="",FALSE,TRUE),OR(exact(Metadata!G80,"TRUE"),exact(Metadata!G80,"FALSE"))))</f>
        <v>0</v>
      </c>
      <c r="AT80">
        <f>OR(AND(IF(Metadata!H80="",FALSE,TRUE),OR(exact(Metadata!H80,"not collected"),exact(Metadata!H80,"not provided"),exact(Metadata!H80,"restricted access"))),AND(IF(Metadata!H80="",FALSE,ISNUMBER(VALUE(Metadata!H80))),Metadata!H80&gt;=-413.0))</f>
        <v>0</v>
      </c>
      <c r="AU80">
        <f>AND(IF(Metadata!I80="",FALSE,TRUE),exact(Metadata!I80,"meters"))</f>
        <v>0</v>
      </c>
      <c r="AV80">
        <f>AND(IF(Metadata!J80="",FALSE,TRUE),OR(exact(Metadata!J80,"Host-associated"),exact(Metadata!J80,"Free-living")))</f>
        <v>0</v>
      </c>
      <c r="AW80">
        <f>AND(IF(Metadata!K80="",FALSE,TRUE),OR(exact(Metadata!K80,"Animal"),exact(Metadata!K80,"Fungus"),exact(Metadata!K80,"Plant"),exact(Metadata!K80,"Saline"),exact(Metadata!K80,"Non-saline")))</f>
        <v>0</v>
      </c>
      <c r="AX80">
        <f>AND(IF(Metadata!L80="",FALSE,TRUE),OR(exact(Metadata!L80,"Plant secretion"),exact(Metadata!L80,"Plant rhizosphere"),exact(Metadata!L80,"Plant surface"),exact(Metadata!L80,"Plant corpus"),exact(Metadata!L80,"Fungus surface"),exact(Metadata!L80,"Fungus corpus"),exact(Metadata!L80,"Animal surface"),exact(Metadata!L80,"Animal proximal gut"),exact(Metadata!L80,"Animal corpus"),exact(Metadata!L80,"Animal distal gut"),exact(Metadata!L80,"Animal secretion"),exact(Metadata!L80,"Sub-surface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Y80">
        <f>IF(Metadata!M80="",FALSE,TRUE)</f>
        <v>0</v>
      </c>
      <c r="AZ80">
        <f>IF(Metadata!N80="",FALSE,TRUE)</f>
        <v>0</v>
      </c>
      <c r="BA80">
        <f>IF(Metadata!O80="",FALSE,TRUE)</f>
        <v>0</v>
      </c>
      <c r="BB80">
        <f>OR(AND(IF(Metadata!P80="",FALSE,TRUE),OR(exact(Metadata!P80,"not collected"),exact(Metadata!P80,"not provided"),exact(Metadata!P80,"restricted access"))),AND(IF(Metadata!P80="",FALSE,TRUE),OR(exact(Metadata!P80,"air"),exact(Metadata!P80,"built environment"),exact(Metadata!P80,"host-associated"),exact(Metadata!P80,"human-associated"),exact(Metadata!P80,"human-skin"),exact(Metadata!P80,"human-oral"),exact(Metadata!P80,"human-gut"),exact(Metadata!P80,"human-vaginal"),exact(Metadata!P80,"microbial mat/biofilm"),exact(Metadata!P80,"misc environment"),exact(Metadata!P80,"plant-associated"),exact(Metadata!P80,"sediment"),exact(Metadata!P80,"soil"),exact(Metadata!P80,"wastewater/sludge"),exact(Metadata!P80,"water"))))</f>
        <v>0</v>
      </c>
      <c r="BC80">
        <f>IF(Metadata!Q80="",FALSE,TRUE)</f>
        <v>0</v>
      </c>
      <c r="BD80">
        <f>IF(Metadata!R80="",FALSE,TRUE)</f>
        <v>0</v>
      </c>
      <c r="BE80">
        <f>OR(AND(IF(Metadata!S80="",FALSE,TRUE),OR(exact(Metadata!S80,"not collected"),exact(Metadata!S80,"not provided"),exact(Metadata!S80,"restricted access"))),AND(IF(Metadata!S80="",FALSE,ISNUMBER(VALUE(Metadata!S80))),Metadata!S80&gt;=-90.00,Metadata!S80&lt;=90.00))</f>
        <v>0</v>
      </c>
      <c r="BF80">
        <f>AND(IF(Metadata!T80="",FALSE,TRUE),exact(Metadata!T80,"Decimal degrees"))</f>
        <v>0</v>
      </c>
      <c r="BG80">
        <f>OR(AND(IF(Metadata!U80="",FALSE,TRUE),OR(exact(Metadata!U80,"not collected"),exact(Metadata!U80,"not provided"),exact(Metadata!U80,"restricted access"))),AND(IF(Metadata!U80="",FALSE,ISNUMBER(VALUE(Metadata!U80))),Metadata!U80&gt;=-180.00,Metadata!U80&lt;=180.00))</f>
        <v>0</v>
      </c>
      <c r="BH80">
        <f>AND(IF(Metadata!V80="",FALSE,TRUE),exact(Metadata!V80,"Decimal degrees"))</f>
        <v>0</v>
      </c>
      <c r="BI80">
        <f>IF(Metadata!W80="",FALSE,TRUE)</f>
        <v>0</v>
      </c>
      <c r="BJ80">
        <f>OR(AND(IF(Metadata!X80="",FALSE,TRUE),OR(exact(Metadata!X80,"not collected"),exact(Metadata!X80,"not provided"),exact(Metadata!X80,"restricted access"))),AND(IF(Metadata!X80="",FALSE,TRUE),OR(exact(Metadata!X80,"TRUE"),exact(Metadata!X80,"FALSE"))))</f>
        <v>0</v>
      </c>
      <c r="BK80">
        <f>AND(IF(Metadata!Y80="",FALSE,TRUE),exact(Metadata!Y80,"other"))</f>
        <v>0</v>
      </c>
      <c r="BL80">
        <f>IF(Metadata!Z80="",FALSE,TRUE)</f>
        <v>0</v>
      </c>
      <c r="BM80">
        <f>OR(AND(IF(Metadata!AA80="",FALSE,TRUE),OR(exact(Metadata!AA80,"not collected"),exact(Metadata!AA80,"not provided"))),AND(IF(Metadata!AA80="",FALSE,IF(ISERROR(INT(Metadata!AA80)),FALSE,INT(Metadata!AA80)=Metadata!AA80)),Metadata!AA80&gt;0))</f>
        <v>0</v>
      </c>
      <c r="BN80">
        <f>AND(IF(Metadata!AB80="",FALSE,TRUE),exact(Metadata!AB80,"Not applicable"))</f>
        <v>0</v>
      </c>
      <c r="BO80">
        <f>IF(Metadata!AC80="",FALSE,TRUE)</f>
        <v>0</v>
      </c>
    </row>
    <row r="81" spans="1:67">
      <c r="A81" s="5">
        <f>IF(B81=" "," ",HYPERLINK(CONCATENATE("#metadata!",ADDRESS(INDEX($AI$2:$AI$1001,MATCH(ROWS($AG$2:AG81),$AG$2:$AG$1001,0),0),1)),INDEX($AL$2:$AL$1001,MATCH(ROWS($AG$2:AG81),$AG$2:$AG$1001,0),0)))</f>
        <v>0</v>
      </c>
      <c r="B81" s="4">
        <f>IF(OR(INDEX($AH$2:$AH$1001,MATCH(ROWS($AG$2:AG81),$AG$2:$AG$1001,0),1)&gt;=100000,INDEX($AN$1005:$BO$1005,1,MATCH(COLUMNS($AN$1006:AN1006),$AN$1006:$BO$1006,0))&gt;=100000), " ",IF(INDEX($AN$2:$BO$1001,MATCH(ROWS($AG$2:AG81),$AG$2:$AG$1001,0),MATCH(COLUMNS($AN$1006:AN1006),$AN$1006:$BO$1006,0)), HYPERLINK("#",""), HYPERLINK(CONCATENATE("#Metadata!", ADDRESS(INDEX($AI$2:$AI$1001,MATCH(ROWS($AG$2:AG81),$AG$2:$AG$1001,0),0), INDEX($AN$1004:$BO$1004,1,MATCH(COLUMNS($AN$1006:AN1006),$AN$1006:$BO$1006,0)))),"Fix")))</f>
        <v>0</v>
      </c>
      <c r="C81" s="4">
        <f>IF(OR(INDEX($AH$2:$AH$1001,MATCH(ROWS($AG$2:AG81),$AG$2:$AG$1001,0),1)&gt;=100000,INDEX($AN$1005:$BO$1005,1,MATCH(COLUMNS($AN$1006:AO1006),$AN$1006:$BO$1006,0))&gt;=100000), " ",IF(INDEX($AN$2:$BO$1001,MATCH(ROWS($AG$2:AG81),$AG$2:$AG$1001,0),MATCH(COLUMNS($AN$1006:AO1006),$AN$1006:$BO$1006,0)), HYPERLINK("#",""), HYPERLINK(CONCATENATE("#Metadata!", ADDRESS(INDEX($AI$2:$AI$1001,MATCH(ROWS($AG$2:AG81),$AG$2:$AG$1001,0),0), INDEX($AN$1004:$BO$1004,1,MATCH(COLUMNS($AN$1006:AO1006),$AN$1006:$BO$1006,0)))),"Fix")))</f>
        <v>0</v>
      </c>
      <c r="D81" s="4">
        <f>IF(OR(INDEX($AH$2:$AH$1001,MATCH(ROWS($AG$2:AG81),$AG$2:$AG$1001,0),1)&gt;=100000,INDEX($AN$1005:$BO$1005,1,MATCH(COLUMNS($AN$1006:AP1006),$AN$1006:$BO$1006,0))&gt;=100000), " ",IF(INDEX($AN$2:$BO$1001,MATCH(ROWS($AG$2:AG81),$AG$2:$AG$1001,0),MATCH(COLUMNS($AN$1006:AP1006),$AN$1006:$BO$1006,0)), HYPERLINK("#",""), HYPERLINK(CONCATENATE("#Metadata!", ADDRESS(INDEX($AI$2:$AI$1001,MATCH(ROWS($AG$2:AG81),$AG$2:$AG$1001,0),0), INDEX($AN$1004:$BO$1004,1,MATCH(COLUMNS($AN$1006:AP1006),$AN$1006:$BO$1006,0)))),"Fix")))</f>
        <v>0</v>
      </c>
      <c r="E81" s="4">
        <f>IF(OR(INDEX($AH$2:$AH$1001,MATCH(ROWS($AG$2:AG81),$AG$2:$AG$1001,0),1)&gt;=100000,INDEX($AN$1005:$BO$1005,1,MATCH(COLUMNS($AN$1006:AQ1006),$AN$1006:$BO$1006,0))&gt;=100000), " ",IF(INDEX($AN$2:$BO$1001,MATCH(ROWS($AG$2:AG81),$AG$2:$AG$1001,0),MATCH(COLUMNS($AN$1006:AQ1006),$AN$1006:$BO$1006,0)), HYPERLINK("#",""), HYPERLINK(CONCATENATE("#Metadata!", ADDRESS(INDEX($AI$2:$AI$1001,MATCH(ROWS($AG$2:AG81),$AG$2:$AG$1001,0),0), INDEX($AN$1004:$BO$1004,1,MATCH(COLUMNS($AN$1006:AQ1006),$AN$1006:$BO$1006,0)))),"Fix")))</f>
        <v>0</v>
      </c>
      <c r="F81" s="4">
        <f>IF(OR(INDEX($AH$2:$AH$1001,MATCH(ROWS($AG$2:AG81),$AG$2:$AG$1001,0),1)&gt;=100000,INDEX($AN$1005:$BO$1005,1,MATCH(COLUMNS($AN$1006:AR1006),$AN$1006:$BO$1006,0))&gt;=100000), " ",IF(INDEX($AN$2:$BO$1001,MATCH(ROWS($AG$2:AG81),$AG$2:$AG$1001,0),MATCH(COLUMNS($AN$1006:AR1006),$AN$1006:$BO$1006,0)), HYPERLINK("#",""), HYPERLINK(CONCATENATE("#Metadata!", ADDRESS(INDEX($AI$2:$AI$1001,MATCH(ROWS($AG$2:AG81),$AG$2:$AG$1001,0),0), INDEX($AN$1004:$BO$1004,1,MATCH(COLUMNS($AN$1006:AR1006),$AN$1006:$BO$1006,0)))),"Fix")))</f>
        <v>0</v>
      </c>
      <c r="G81" s="4">
        <f>IF(OR(INDEX($AH$2:$AH$1001,MATCH(ROWS($AG$2:AG81),$AG$2:$AG$1001,0),1)&gt;=100000,INDEX($AN$1005:$BO$1005,1,MATCH(COLUMNS($AN$1006:AS1006),$AN$1006:$BO$1006,0))&gt;=100000), " ",IF(INDEX($AN$2:$BO$1001,MATCH(ROWS($AG$2:AG81),$AG$2:$AG$1001,0),MATCH(COLUMNS($AN$1006:AS1006),$AN$1006:$BO$1006,0)), HYPERLINK("#",""), HYPERLINK(CONCATENATE("#Metadata!", ADDRESS(INDEX($AI$2:$AI$1001,MATCH(ROWS($AG$2:AG81),$AG$2:$AG$1001,0),0), INDEX($AN$1004:$BO$1004,1,MATCH(COLUMNS($AN$1006:AS1006),$AN$1006:$BO$1006,0)))),"Fix")))</f>
        <v>0</v>
      </c>
      <c r="H81" s="4">
        <f>IF(OR(INDEX($AH$2:$AH$1001,MATCH(ROWS($AG$2:AG81),$AG$2:$AG$1001,0),1)&gt;=100000,INDEX($AN$1005:$BO$1005,1,MATCH(COLUMNS($AN$1006:AT1006),$AN$1006:$BO$1006,0))&gt;=100000), " ",IF(INDEX($AN$2:$BO$1001,MATCH(ROWS($AG$2:AG81),$AG$2:$AG$1001,0),MATCH(COLUMNS($AN$1006:AT1006),$AN$1006:$BO$1006,0)), HYPERLINK("#",""), HYPERLINK(CONCATENATE("#Metadata!", ADDRESS(INDEX($AI$2:$AI$1001,MATCH(ROWS($AG$2:AG81),$AG$2:$AG$1001,0),0), INDEX($AN$1004:$BO$1004,1,MATCH(COLUMNS($AN$1006:AT1006),$AN$1006:$BO$1006,0)))),"Fix")))</f>
        <v>0</v>
      </c>
      <c r="I81" s="4">
        <f>IF(OR(INDEX($AH$2:$AH$1001,MATCH(ROWS($AG$2:AG81),$AG$2:$AG$1001,0),1)&gt;=100000,INDEX($AN$1005:$BO$1005,1,MATCH(COLUMNS($AN$1006:AU1006),$AN$1006:$BO$1006,0))&gt;=100000), " ",IF(INDEX($AN$2:$BO$1001,MATCH(ROWS($AG$2:AG81),$AG$2:$AG$1001,0),MATCH(COLUMNS($AN$1006:AU1006),$AN$1006:$BO$1006,0)), HYPERLINK("#",""), HYPERLINK(CONCATENATE("#Metadata!", ADDRESS(INDEX($AI$2:$AI$1001,MATCH(ROWS($AG$2:AG81),$AG$2:$AG$1001,0),0), INDEX($AN$1004:$BO$1004,1,MATCH(COLUMNS($AN$1006:AU1006),$AN$1006:$BO$1006,0)))),"Fix")))</f>
        <v>0</v>
      </c>
      <c r="J81" s="4">
        <f>IF(OR(INDEX($AH$2:$AH$1001,MATCH(ROWS($AG$2:AG81),$AG$2:$AG$1001,0),1)&gt;=100000,INDEX($AN$1005:$BO$1005,1,MATCH(COLUMNS($AN$1006:AV1006),$AN$1006:$BO$1006,0))&gt;=100000), " ",IF(INDEX($AN$2:$BO$1001,MATCH(ROWS($AG$2:AG81),$AG$2:$AG$1001,0),MATCH(COLUMNS($AN$1006:AV1006),$AN$1006:$BO$1006,0)), HYPERLINK("#",""), HYPERLINK(CONCATENATE("#Metadata!", ADDRESS(INDEX($AI$2:$AI$1001,MATCH(ROWS($AG$2:AG81),$AG$2:$AG$1001,0),0), INDEX($AN$1004:$BO$1004,1,MATCH(COLUMNS($AN$1006:AV1006),$AN$1006:$BO$1006,0)))),"Fix")))</f>
        <v>0</v>
      </c>
      <c r="K81" s="4">
        <f>IF(OR(INDEX($AH$2:$AH$1001,MATCH(ROWS($AG$2:AG81),$AG$2:$AG$1001,0),1)&gt;=100000,INDEX($AN$1005:$BO$1005,1,MATCH(COLUMNS($AN$1006:AW1006),$AN$1006:$BO$1006,0))&gt;=100000), " ",IF(INDEX($AN$2:$BO$1001,MATCH(ROWS($AG$2:AG81),$AG$2:$AG$1001,0),MATCH(COLUMNS($AN$1006:AW1006),$AN$1006:$BO$1006,0)), HYPERLINK("#",""), HYPERLINK(CONCATENATE("#Metadata!", ADDRESS(INDEX($AI$2:$AI$1001,MATCH(ROWS($AG$2:AG81),$AG$2:$AG$1001,0),0), INDEX($AN$1004:$BO$1004,1,MATCH(COLUMNS($AN$1006:AW1006),$AN$1006:$BO$1006,0)))),"Fix")))</f>
        <v>0</v>
      </c>
      <c r="L81" s="4">
        <f>IF(OR(INDEX($AH$2:$AH$1001,MATCH(ROWS($AG$2:AG81),$AG$2:$AG$1001,0),1)&gt;=100000,INDEX($AN$1005:$BO$1005,1,MATCH(COLUMNS($AN$1006:AX1006),$AN$1006:$BO$1006,0))&gt;=100000), " ",IF(INDEX($AN$2:$BO$1001,MATCH(ROWS($AG$2:AG81),$AG$2:$AG$1001,0),MATCH(COLUMNS($AN$1006:AX1006),$AN$1006:$BO$1006,0)), HYPERLINK("#",""), HYPERLINK(CONCATENATE("#Metadata!", ADDRESS(INDEX($AI$2:$AI$1001,MATCH(ROWS($AG$2:AG81),$AG$2:$AG$1001,0),0), INDEX($AN$1004:$BO$1004,1,MATCH(COLUMNS($AN$1006:AX1006),$AN$1006:$BO$1006,0)))),"Fix")))</f>
        <v>0</v>
      </c>
      <c r="M81" s="4">
        <f>IF(OR(INDEX($AH$2:$AH$1001,MATCH(ROWS($AG$2:AG81),$AG$2:$AG$1001,0),1)&gt;=100000,INDEX($AN$1005:$BO$1005,1,MATCH(COLUMNS($AN$1006:AY1006),$AN$1006:$BO$1006,0))&gt;=100000), " ",IF(INDEX($AN$2:$BO$1001,MATCH(ROWS($AG$2:AG81),$AG$2:$AG$1001,0),MATCH(COLUMNS($AN$1006:AY1006),$AN$1006:$BO$1006,0)), HYPERLINK("#",""), HYPERLINK(CONCATENATE("#Metadata!", ADDRESS(INDEX($AI$2:$AI$1001,MATCH(ROWS($AG$2:AG81),$AG$2:$AG$1001,0),0), INDEX($AN$1004:$BO$1004,1,MATCH(COLUMNS($AN$1006:AY1006),$AN$1006:$BO$1006,0)))),"Fix")))</f>
        <v>0</v>
      </c>
      <c r="N81" s="4">
        <f>IF(OR(INDEX($AH$2:$AH$1001,MATCH(ROWS($AG$2:AG81),$AG$2:$AG$1001,0),1)&gt;=100000,INDEX($AN$1005:$BO$1005,1,MATCH(COLUMNS($AN$1006:AZ1006),$AN$1006:$BO$1006,0))&gt;=100000), " ",IF(INDEX($AN$2:$BO$1001,MATCH(ROWS($AG$2:AG81),$AG$2:$AG$1001,0),MATCH(COLUMNS($AN$1006:AZ1006),$AN$1006:$BO$1006,0)), HYPERLINK("#",""), HYPERLINK(CONCATENATE("#Metadata!", ADDRESS(INDEX($AI$2:$AI$1001,MATCH(ROWS($AG$2:AG81),$AG$2:$AG$1001,0),0), INDEX($AN$1004:$BO$1004,1,MATCH(COLUMNS($AN$1006:AZ1006),$AN$1006:$BO$1006,0)))),"Fix")))</f>
        <v>0</v>
      </c>
      <c r="O81" s="4">
        <f>IF(OR(INDEX($AH$2:$AH$1001,MATCH(ROWS($AG$2:AG81),$AG$2:$AG$1001,0),1)&gt;=100000,INDEX($AN$1005:$BO$1005,1,MATCH(COLUMNS($AN$1006:BA1006),$AN$1006:$BO$1006,0))&gt;=100000), " ",IF(INDEX($AN$2:$BO$1001,MATCH(ROWS($AG$2:AG81),$AG$2:$AG$1001,0),MATCH(COLUMNS($AN$1006:BA1006),$AN$1006:$BO$1006,0)), HYPERLINK("#",""), HYPERLINK(CONCATENATE("#Metadata!", ADDRESS(INDEX($AI$2:$AI$1001,MATCH(ROWS($AG$2:AG81),$AG$2:$AG$1001,0),0), INDEX($AN$1004:$BO$1004,1,MATCH(COLUMNS($AN$1006:BA1006),$AN$1006:$BO$1006,0)))),"Fix")))</f>
        <v>0</v>
      </c>
      <c r="P81" s="4">
        <f>IF(OR(INDEX($AH$2:$AH$1001,MATCH(ROWS($AG$2:AG81),$AG$2:$AG$1001,0),1)&gt;=100000,INDEX($AN$1005:$BO$1005,1,MATCH(COLUMNS($AN$1006:BB1006),$AN$1006:$BO$1006,0))&gt;=100000), " ",IF(INDEX($AN$2:$BO$1001,MATCH(ROWS($AG$2:AG81),$AG$2:$AG$1001,0),MATCH(COLUMNS($AN$1006:BB1006),$AN$1006:$BO$1006,0)), HYPERLINK("#",""), HYPERLINK(CONCATENATE("#Metadata!", ADDRESS(INDEX($AI$2:$AI$1001,MATCH(ROWS($AG$2:AG81),$AG$2:$AG$1001,0),0), INDEX($AN$1004:$BO$1004,1,MATCH(COLUMNS($AN$1006:BB1006),$AN$1006:$BO$1006,0)))),"Fix")))</f>
        <v>0</v>
      </c>
      <c r="Q81" s="4">
        <f>IF(OR(INDEX($AH$2:$AH$1001,MATCH(ROWS($AG$2:AG81),$AG$2:$AG$1001,0),1)&gt;=100000,INDEX($AN$1005:$BO$1005,1,MATCH(COLUMNS($AN$1006:BC1006),$AN$1006:$BO$1006,0))&gt;=100000), " ",IF(INDEX($AN$2:$BO$1001,MATCH(ROWS($AG$2:AG81),$AG$2:$AG$1001,0),MATCH(COLUMNS($AN$1006:BC1006),$AN$1006:$BO$1006,0)), HYPERLINK("#",""), HYPERLINK(CONCATENATE("#Metadata!", ADDRESS(INDEX($AI$2:$AI$1001,MATCH(ROWS($AG$2:AG81),$AG$2:$AG$1001,0),0), INDEX($AN$1004:$BO$1004,1,MATCH(COLUMNS($AN$1006:BC1006),$AN$1006:$BO$1006,0)))),"Fix")))</f>
        <v>0</v>
      </c>
      <c r="R81" s="4">
        <f>IF(OR(INDEX($AH$2:$AH$1001,MATCH(ROWS($AG$2:AG81),$AG$2:$AG$1001,0),1)&gt;=100000,INDEX($AN$1005:$BO$1005,1,MATCH(COLUMNS($AN$1006:BD1006),$AN$1006:$BO$1006,0))&gt;=100000), " ",IF(INDEX($AN$2:$BO$1001,MATCH(ROWS($AG$2:AG81),$AG$2:$AG$1001,0),MATCH(COLUMNS($AN$1006:BD1006),$AN$1006:$BO$1006,0)), HYPERLINK("#",""), HYPERLINK(CONCATENATE("#Metadata!", ADDRESS(INDEX($AI$2:$AI$1001,MATCH(ROWS($AG$2:AG81),$AG$2:$AG$1001,0),0), INDEX($AN$1004:$BO$1004,1,MATCH(COLUMNS($AN$1006:BD1006),$AN$1006:$BO$1006,0)))),"Fix")))</f>
        <v>0</v>
      </c>
      <c r="S81" s="4">
        <f>IF(OR(INDEX($AH$2:$AH$1001,MATCH(ROWS($AG$2:AG81),$AG$2:$AG$1001,0),1)&gt;=100000,INDEX($AN$1005:$BO$1005,1,MATCH(COLUMNS($AN$1006:BE1006),$AN$1006:$BO$1006,0))&gt;=100000), " ",IF(INDEX($AN$2:$BO$1001,MATCH(ROWS($AG$2:AG81),$AG$2:$AG$1001,0),MATCH(COLUMNS($AN$1006:BE1006),$AN$1006:$BO$1006,0)), HYPERLINK("#",""), HYPERLINK(CONCATENATE("#Metadata!", ADDRESS(INDEX($AI$2:$AI$1001,MATCH(ROWS($AG$2:AG81),$AG$2:$AG$1001,0),0), INDEX($AN$1004:$BO$1004,1,MATCH(COLUMNS($AN$1006:BE1006),$AN$1006:$BO$1006,0)))),"Fix")))</f>
        <v>0</v>
      </c>
      <c r="T81" s="4">
        <f>IF(OR(INDEX($AH$2:$AH$1001,MATCH(ROWS($AG$2:AG81),$AG$2:$AG$1001,0),1)&gt;=100000,INDEX($AN$1005:$BO$1005,1,MATCH(COLUMNS($AN$1006:BF1006),$AN$1006:$BO$1006,0))&gt;=100000), " ",IF(INDEX($AN$2:$BO$1001,MATCH(ROWS($AG$2:AG81),$AG$2:$AG$1001,0),MATCH(COLUMNS($AN$1006:BF1006),$AN$1006:$BO$1006,0)), HYPERLINK("#",""), HYPERLINK(CONCATENATE("#Metadata!", ADDRESS(INDEX($AI$2:$AI$1001,MATCH(ROWS($AG$2:AG81),$AG$2:$AG$1001,0),0), INDEX($AN$1004:$BO$1004,1,MATCH(COLUMNS($AN$1006:BF1006),$AN$1006:$BO$1006,0)))),"Fix")))</f>
        <v>0</v>
      </c>
      <c r="U81" s="4">
        <f>IF(OR(INDEX($AH$2:$AH$1001,MATCH(ROWS($AG$2:AG81),$AG$2:$AG$1001,0),1)&gt;=100000,INDEX($AN$1005:$BO$1005,1,MATCH(COLUMNS($AN$1006:BG1006),$AN$1006:$BO$1006,0))&gt;=100000), " ",IF(INDEX($AN$2:$BO$1001,MATCH(ROWS($AG$2:AG81),$AG$2:$AG$1001,0),MATCH(COLUMNS($AN$1006:BG1006),$AN$1006:$BO$1006,0)), HYPERLINK("#",""), HYPERLINK(CONCATENATE("#Metadata!", ADDRESS(INDEX($AI$2:$AI$1001,MATCH(ROWS($AG$2:AG81),$AG$2:$AG$1001,0),0), INDEX($AN$1004:$BO$1004,1,MATCH(COLUMNS($AN$1006:BG1006),$AN$1006:$BO$1006,0)))),"Fix")))</f>
        <v>0</v>
      </c>
      <c r="V81" s="4">
        <f>IF(OR(INDEX($AH$2:$AH$1001,MATCH(ROWS($AG$2:AG81),$AG$2:$AG$1001,0),1)&gt;=100000,INDEX($AN$1005:$BO$1005,1,MATCH(COLUMNS($AN$1006:BH1006),$AN$1006:$BO$1006,0))&gt;=100000), " ",IF(INDEX($AN$2:$BO$1001,MATCH(ROWS($AG$2:AG81),$AG$2:$AG$1001,0),MATCH(COLUMNS($AN$1006:BH1006),$AN$1006:$BO$1006,0)), HYPERLINK("#",""), HYPERLINK(CONCATENATE("#Metadata!", ADDRESS(INDEX($AI$2:$AI$1001,MATCH(ROWS($AG$2:AG81),$AG$2:$AG$1001,0),0), INDEX($AN$1004:$BO$1004,1,MATCH(COLUMNS($AN$1006:BH1006),$AN$1006:$BO$1006,0)))),"Fix")))</f>
        <v>0</v>
      </c>
      <c r="W81" s="4">
        <f>IF(OR(INDEX($AH$2:$AH$1001,MATCH(ROWS($AG$2:AG81),$AG$2:$AG$1001,0),1)&gt;=100000,INDEX($AN$1005:$BO$1005,1,MATCH(COLUMNS($AN$1006:BI1006),$AN$1006:$BO$1006,0))&gt;=100000), " ",IF(INDEX($AN$2:$BO$1001,MATCH(ROWS($AG$2:AG81),$AG$2:$AG$1001,0),MATCH(COLUMNS($AN$1006:BI1006),$AN$1006:$BO$1006,0)), HYPERLINK("#",""), HYPERLINK(CONCATENATE("#Metadata!", ADDRESS(INDEX($AI$2:$AI$1001,MATCH(ROWS($AG$2:AG81),$AG$2:$AG$1001,0),0), INDEX($AN$1004:$BO$1004,1,MATCH(COLUMNS($AN$1006:BI1006),$AN$1006:$BO$1006,0)))),"Fix")))</f>
        <v>0</v>
      </c>
      <c r="X81" s="4">
        <f>IF(OR(INDEX($AH$2:$AH$1001,MATCH(ROWS($AG$2:AG81),$AG$2:$AG$1001,0),1)&gt;=100000,INDEX($AN$1005:$BO$1005,1,MATCH(COLUMNS($AN$1006:BJ1006),$AN$1006:$BO$1006,0))&gt;=100000), " ",IF(INDEX($AN$2:$BO$1001,MATCH(ROWS($AG$2:AG81),$AG$2:$AG$1001,0),MATCH(COLUMNS($AN$1006:BJ1006),$AN$1006:$BO$1006,0)), HYPERLINK("#",""), HYPERLINK(CONCATENATE("#Metadata!", ADDRESS(INDEX($AI$2:$AI$1001,MATCH(ROWS($AG$2:AG81),$AG$2:$AG$1001,0),0), INDEX($AN$1004:$BO$1004,1,MATCH(COLUMNS($AN$1006:BJ1006),$AN$1006:$BO$1006,0)))),"Fix")))</f>
        <v>0</v>
      </c>
      <c r="Y81" s="4">
        <f>IF(OR(INDEX($AH$2:$AH$1001,MATCH(ROWS($AG$2:AG81),$AG$2:$AG$1001,0),1)&gt;=100000,INDEX($AN$1005:$BO$1005,1,MATCH(COLUMNS($AN$1006:BK1006),$AN$1006:$BO$1006,0))&gt;=100000), " ",IF(INDEX($AN$2:$BO$1001,MATCH(ROWS($AG$2:AG81),$AG$2:$AG$1001,0),MATCH(COLUMNS($AN$1006:BK1006),$AN$1006:$BO$1006,0)), HYPERLINK("#",""), HYPERLINK(CONCATENATE("#Metadata!", ADDRESS(INDEX($AI$2:$AI$1001,MATCH(ROWS($AG$2:AG81),$AG$2:$AG$1001,0),0), INDEX($AN$1004:$BO$1004,1,MATCH(COLUMNS($AN$1006:BK1006),$AN$1006:$BO$1006,0)))),"Fix")))</f>
        <v>0</v>
      </c>
      <c r="Z81" s="4">
        <f>IF(OR(INDEX($AH$2:$AH$1001,MATCH(ROWS($AG$2:AG81),$AG$2:$AG$1001,0),1)&gt;=100000,INDEX($AN$1005:$BO$1005,1,MATCH(COLUMNS($AN$1006:BL1006),$AN$1006:$BO$1006,0))&gt;=100000), " ",IF(INDEX($AN$2:$BO$1001,MATCH(ROWS($AG$2:AG81),$AG$2:$AG$1001,0),MATCH(COLUMNS($AN$1006:BL1006),$AN$1006:$BO$1006,0)), HYPERLINK("#",""), HYPERLINK(CONCATENATE("#Metadata!", ADDRESS(INDEX($AI$2:$AI$1001,MATCH(ROWS($AG$2:AG81),$AG$2:$AG$1001,0),0), INDEX($AN$1004:$BO$1004,1,MATCH(COLUMNS($AN$1006:BL1006),$AN$1006:$BO$1006,0)))),"Fix")))</f>
        <v>0</v>
      </c>
      <c r="AA81" s="4">
        <f>IF(OR(INDEX($AH$2:$AH$1001,MATCH(ROWS($AG$2:AG81),$AG$2:$AG$1001,0),1)&gt;=100000,INDEX($AN$1005:$BO$1005,1,MATCH(COLUMNS($AN$1006:BM1006),$AN$1006:$BO$1006,0))&gt;=100000), " ",IF(INDEX($AN$2:$BO$1001,MATCH(ROWS($AG$2:AG81),$AG$2:$AG$1001,0),MATCH(COLUMNS($AN$1006:BM1006),$AN$1006:$BO$1006,0)), HYPERLINK("#",""), HYPERLINK(CONCATENATE("#Metadata!", ADDRESS(INDEX($AI$2:$AI$1001,MATCH(ROWS($AG$2:AG81),$AG$2:$AG$1001,0),0), INDEX($AN$1004:$BO$1004,1,MATCH(COLUMNS($AN$1006:BM1006),$AN$1006:$BO$1006,0)))),"Fix")))</f>
        <v>0</v>
      </c>
      <c r="AB81" s="4">
        <f>IF(OR(INDEX($AH$2:$AH$1001,MATCH(ROWS($AG$2:AG81),$AG$2:$AG$1001,0),1)&gt;=100000,INDEX($AN$1005:$BO$1005,1,MATCH(COLUMNS($AN$1006:BN1006),$AN$1006:$BO$1006,0))&gt;=100000), " ",IF(INDEX($AN$2:$BO$1001,MATCH(ROWS($AG$2:AG81),$AG$2:$AG$1001,0),MATCH(COLUMNS($AN$1006:BN1006),$AN$1006:$BO$1006,0)), HYPERLINK("#",""), HYPERLINK(CONCATENATE("#Metadata!", ADDRESS(INDEX($AI$2:$AI$1001,MATCH(ROWS($AG$2:AG81),$AG$2:$AG$1001,0),0), INDEX($AN$1004:$BO$1004,1,MATCH(COLUMNS($AN$1006:BN1006),$AN$1006:$BO$1006,0)))),"Fix")))</f>
        <v>0</v>
      </c>
      <c r="AC81" s="4">
        <f>IF(OR(INDEX($AH$2:$AH$1001,MATCH(ROWS($AG$2:AG81),$AG$2:$AG$1001,0),1)&gt;=100000,INDEX($AN$1005:$BO$1005,1,MATCH(COLUMNS($AN$1006:BO1006),$AN$1006:$BO$1006,0))&gt;=100000), " ",IF(INDEX($AN$2:$BO$1001,MATCH(ROWS($AG$2:AG81),$AG$2:$AG$1001,0),MATCH(COLUMNS($AN$1006:BO1006),$AN$1006:$BO$1006,0)), HYPERLINK("#",""), HYPERLINK(CONCATENATE("#Metadata!", ADDRESS(INDEX($AI$2:$AI$1001,MATCH(ROWS($AG$2:AG81),$AG$2:$AG$1001,0),0), INDEX($AN$1004:$BO$1004,1,MATCH(COLUMNS($AN$1006:BO1006),$AN$1006:$BO$1006,0)))),"Fix")))</f>
        <v>0</v>
      </c>
      <c r="AG81">
        <v>0</v>
      </c>
      <c r="AH81">
        <v>0</v>
      </c>
      <c r="AI81">
        <v>0</v>
      </c>
      <c r="AJ81">
        <f>IF(AK81,TRUE,AND(AN81:BO81))</f>
        <v>0</v>
      </c>
      <c r="AK81">
        <f>COUNTBLANK(Metadata!B81:AC81)=COLUMNS(Metadata!B81:AC81)</f>
        <v>0</v>
      </c>
      <c r="AL81">
        <v>0</v>
      </c>
      <c r="AN81">
        <f>AND(IF(Metadata!B81="",FALSE,TRUE),COUNTIF(Metadata!B:B, Metadata!B81) = 1,NOT(ISERROR(SUMPRODUCT(SEARCH(MID(Metadata!B81,ROW(INDIRECT("1:"&amp;LEN(Metadata!B81))), 1),"0123456789abcdefghijklmnopqrstuvwxyzABCDEFGHIJKLMNOPQRSTUVWXYZ.")))))</f>
        <v>0</v>
      </c>
      <c r="AO81">
        <f>IF(Metadata!C81="",FALSE,TRUE)</f>
        <v>0</v>
      </c>
      <c r="AP81">
        <f>IF(Metadata!D81="",FALSE,TRUE)</f>
        <v>0</v>
      </c>
      <c r="AQ81">
        <f>OR(AND(IF(Metadata!E81="",FALSE,TRUE),OR(exact(Metadata!E81,"not collected"),exact(Metadata!E81,"not provided"),exact(Metadata!E81,"restricted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R81">
        <f>IF(Metadata!F81="",FALSE,TRUE)</f>
        <v>0</v>
      </c>
      <c r="AS81">
        <f>OR(AND(IF(Metadata!G81="",FALSE,TRUE),OR(exact(Metadata!G81,"not collected"),exact(Metadata!G81,"not provided"))),AND(IF(Metadata!G81="",FALSE,TRUE),OR(exact(Metadata!G81,"TRUE"),exact(Metadata!G81,"FALSE"))))</f>
        <v>0</v>
      </c>
      <c r="AT81">
        <f>OR(AND(IF(Metadata!H81="",FALSE,TRUE),OR(exact(Metadata!H81,"not collected"),exact(Metadata!H81,"not provided"),exact(Metadata!H81,"restricted access"))),AND(IF(Metadata!H81="",FALSE,ISNUMBER(VALUE(Metadata!H81))),Metadata!H81&gt;=-413.0))</f>
        <v>0</v>
      </c>
      <c r="AU81">
        <f>AND(IF(Metadata!I81="",FALSE,TRUE),exact(Metadata!I81,"meters"))</f>
        <v>0</v>
      </c>
      <c r="AV81">
        <f>AND(IF(Metadata!J81="",FALSE,TRUE),OR(exact(Metadata!J81,"Host-associated"),exact(Metadata!J81,"Free-living")))</f>
        <v>0</v>
      </c>
      <c r="AW81">
        <f>AND(IF(Metadata!K81="",FALSE,TRUE),OR(exact(Metadata!K81,"Animal"),exact(Metadata!K81,"Fungus"),exact(Metadata!K81,"Plant"),exact(Metadata!K81,"Saline"),exact(Metadata!K81,"Non-saline")))</f>
        <v>0</v>
      </c>
      <c r="AX81">
        <f>AND(IF(Metadata!L81="",FALSE,TRUE),OR(exact(Metadata!L81,"Plant secretion"),exact(Metadata!L81,"Plant rhizosphere"),exact(Metadata!L81,"Plant surface"),exact(Metadata!L81,"Plant corpus"),exact(Metadata!L81,"Fungus surface"),exact(Metadata!L81,"Fungus corpus"),exact(Metadata!L81,"Animal surface"),exact(Metadata!L81,"Animal proximal gut"),exact(Metadata!L81,"Animal corpus"),exact(Metadata!L81,"Animal distal gut"),exact(Metadata!L81,"Animal secretion"),exact(Metadata!L81,"Sub-surface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Y81">
        <f>IF(Metadata!M81="",FALSE,TRUE)</f>
        <v>0</v>
      </c>
      <c r="AZ81">
        <f>IF(Metadata!N81="",FALSE,TRUE)</f>
        <v>0</v>
      </c>
      <c r="BA81">
        <f>IF(Metadata!O81="",FALSE,TRUE)</f>
        <v>0</v>
      </c>
      <c r="BB81">
        <f>OR(AND(IF(Metadata!P81="",FALSE,TRUE),OR(exact(Metadata!P81,"not collected"),exact(Metadata!P81,"not provided"),exact(Metadata!P81,"restricted access"))),AND(IF(Metadata!P81="",FALSE,TRUE),OR(exact(Metadata!P81,"air"),exact(Metadata!P81,"built environment"),exact(Metadata!P81,"host-associated"),exact(Metadata!P81,"human-associated"),exact(Metadata!P81,"human-skin"),exact(Metadata!P81,"human-oral"),exact(Metadata!P81,"human-gut"),exact(Metadata!P81,"human-vaginal"),exact(Metadata!P81,"microbial mat/biofilm"),exact(Metadata!P81,"misc environment"),exact(Metadata!P81,"plant-associated"),exact(Metadata!P81,"sediment"),exact(Metadata!P81,"soil"),exact(Metadata!P81,"wastewater/sludge"),exact(Metadata!P81,"water"))))</f>
        <v>0</v>
      </c>
      <c r="BC81">
        <f>IF(Metadata!Q81="",FALSE,TRUE)</f>
        <v>0</v>
      </c>
      <c r="BD81">
        <f>IF(Metadata!R81="",FALSE,TRUE)</f>
        <v>0</v>
      </c>
      <c r="BE81">
        <f>OR(AND(IF(Metadata!S81="",FALSE,TRUE),OR(exact(Metadata!S81,"not collected"),exact(Metadata!S81,"not provided"),exact(Metadata!S81,"restricted access"))),AND(IF(Metadata!S81="",FALSE,ISNUMBER(VALUE(Metadata!S81))),Metadata!S81&gt;=-90.00,Metadata!S81&lt;=90.00))</f>
        <v>0</v>
      </c>
      <c r="BF81">
        <f>AND(IF(Metadata!T81="",FALSE,TRUE),exact(Metadata!T81,"Decimal degrees"))</f>
        <v>0</v>
      </c>
      <c r="BG81">
        <f>OR(AND(IF(Metadata!U81="",FALSE,TRUE),OR(exact(Metadata!U81,"not collected"),exact(Metadata!U81,"not provided"),exact(Metadata!U81,"restricted access"))),AND(IF(Metadata!U81="",FALSE,ISNUMBER(VALUE(Metadata!U81))),Metadata!U81&gt;=-180.00,Metadata!U81&lt;=180.00))</f>
        <v>0</v>
      </c>
      <c r="BH81">
        <f>AND(IF(Metadata!V81="",FALSE,TRUE),exact(Metadata!V81,"Decimal degrees"))</f>
        <v>0</v>
      </c>
      <c r="BI81">
        <f>IF(Metadata!W81="",FALSE,TRUE)</f>
        <v>0</v>
      </c>
      <c r="BJ81">
        <f>OR(AND(IF(Metadata!X81="",FALSE,TRUE),OR(exact(Metadata!X81,"not collected"),exact(Metadata!X81,"not provided"),exact(Metadata!X81,"restricted access"))),AND(IF(Metadata!X81="",FALSE,TRUE),OR(exact(Metadata!X81,"TRUE"),exact(Metadata!X81,"FALSE"))))</f>
        <v>0</v>
      </c>
      <c r="BK81">
        <f>AND(IF(Metadata!Y81="",FALSE,TRUE),exact(Metadata!Y81,"other"))</f>
        <v>0</v>
      </c>
      <c r="BL81">
        <f>IF(Metadata!Z81="",FALSE,TRUE)</f>
        <v>0</v>
      </c>
      <c r="BM81">
        <f>OR(AND(IF(Metadata!AA81="",FALSE,TRUE),OR(exact(Metadata!AA81,"not collected"),exact(Metadata!AA81,"not provided"))),AND(IF(Metadata!AA81="",FALSE,IF(ISERROR(INT(Metadata!AA81)),FALSE,INT(Metadata!AA81)=Metadata!AA81)),Metadata!AA81&gt;0))</f>
        <v>0</v>
      </c>
      <c r="BN81">
        <f>AND(IF(Metadata!AB81="",FALSE,TRUE),exact(Metadata!AB81,"Not applicable"))</f>
        <v>0</v>
      </c>
      <c r="BO81">
        <f>IF(Metadata!AC81="",FALSE,TRUE)</f>
        <v>0</v>
      </c>
    </row>
    <row r="82" spans="1:67">
      <c r="A82" s="5">
        <f>IF(B82=" "," ",HYPERLINK(CONCATENATE("#metadata!",ADDRESS(INDEX($AI$2:$AI$1001,MATCH(ROWS($AG$2:AG82),$AG$2:$AG$1001,0),0),1)),INDEX($AL$2:$AL$1001,MATCH(ROWS($AG$2:AG82),$AG$2:$AG$1001,0),0)))</f>
        <v>0</v>
      </c>
      <c r="B82" s="4">
        <f>IF(OR(INDEX($AH$2:$AH$1001,MATCH(ROWS($AG$2:AG82),$AG$2:$AG$1001,0),1)&gt;=100000,INDEX($AN$1005:$BO$1005,1,MATCH(COLUMNS($AN$1006:AN1006),$AN$1006:$BO$1006,0))&gt;=100000), " ",IF(INDEX($AN$2:$BO$1001,MATCH(ROWS($AG$2:AG82),$AG$2:$AG$1001,0),MATCH(COLUMNS($AN$1006:AN1006),$AN$1006:$BO$1006,0)), HYPERLINK("#",""), HYPERLINK(CONCATENATE("#Metadata!", ADDRESS(INDEX($AI$2:$AI$1001,MATCH(ROWS($AG$2:AG82),$AG$2:$AG$1001,0),0), INDEX($AN$1004:$BO$1004,1,MATCH(COLUMNS($AN$1006:AN1006),$AN$1006:$BO$1006,0)))),"Fix")))</f>
        <v>0</v>
      </c>
      <c r="C82" s="4">
        <f>IF(OR(INDEX($AH$2:$AH$1001,MATCH(ROWS($AG$2:AG82),$AG$2:$AG$1001,0),1)&gt;=100000,INDEX($AN$1005:$BO$1005,1,MATCH(COLUMNS($AN$1006:AO1006),$AN$1006:$BO$1006,0))&gt;=100000), " ",IF(INDEX($AN$2:$BO$1001,MATCH(ROWS($AG$2:AG82),$AG$2:$AG$1001,0),MATCH(COLUMNS($AN$1006:AO1006),$AN$1006:$BO$1006,0)), HYPERLINK("#",""), HYPERLINK(CONCATENATE("#Metadata!", ADDRESS(INDEX($AI$2:$AI$1001,MATCH(ROWS($AG$2:AG82),$AG$2:$AG$1001,0),0), INDEX($AN$1004:$BO$1004,1,MATCH(COLUMNS($AN$1006:AO1006),$AN$1006:$BO$1006,0)))),"Fix")))</f>
        <v>0</v>
      </c>
      <c r="D82" s="4">
        <f>IF(OR(INDEX($AH$2:$AH$1001,MATCH(ROWS($AG$2:AG82),$AG$2:$AG$1001,0),1)&gt;=100000,INDEX($AN$1005:$BO$1005,1,MATCH(COLUMNS($AN$1006:AP1006),$AN$1006:$BO$1006,0))&gt;=100000), " ",IF(INDEX($AN$2:$BO$1001,MATCH(ROWS($AG$2:AG82),$AG$2:$AG$1001,0),MATCH(COLUMNS($AN$1006:AP1006),$AN$1006:$BO$1006,0)), HYPERLINK("#",""), HYPERLINK(CONCATENATE("#Metadata!", ADDRESS(INDEX($AI$2:$AI$1001,MATCH(ROWS($AG$2:AG82),$AG$2:$AG$1001,0),0), INDEX($AN$1004:$BO$1004,1,MATCH(COLUMNS($AN$1006:AP1006),$AN$1006:$BO$1006,0)))),"Fix")))</f>
        <v>0</v>
      </c>
      <c r="E82" s="4">
        <f>IF(OR(INDEX($AH$2:$AH$1001,MATCH(ROWS($AG$2:AG82),$AG$2:$AG$1001,0),1)&gt;=100000,INDEX($AN$1005:$BO$1005,1,MATCH(COLUMNS($AN$1006:AQ1006),$AN$1006:$BO$1006,0))&gt;=100000), " ",IF(INDEX($AN$2:$BO$1001,MATCH(ROWS($AG$2:AG82),$AG$2:$AG$1001,0),MATCH(COLUMNS($AN$1006:AQ1006),$AN$1006:$BO$1006,0)), HYPERLINK("#",""), HYPERLINK(CONCATENATE("#Metadata!", ADDRESS(INDEX($AI$2:$AI$1001,MATCH(ROWS($AG$2:AG82),$AG$2:$AG$1001,0),0), INDEX($AN$1004:$BO$1004,1,MATCH(COLUMNS($AN$1006:AQ1006),$AN$1006:$BO$1006,0)))),"Fix")))</f>
        <v>0</v>
      </c>
      <c r="F82" s="4">
        <f>IF(OR(INDEX($AH$2:$AH$1001,MATCH(ROWS($AG$2:AG82),$AG$2:$AG$1001,0),1)&gt;=100000,INDEX($AN$1005:$BO$1005,1,MATCH(COLUMNS($AN$1006:AR1006),$AN$1006:$BO$1006,0))&gt;=100000), " ",IF(INDEX($AN$2:$BO$1001,MATCH(ROWS($AG$2:AG82),$AG$2:$AG$1001,0),MATCH(COLUMNS($AN$1006:AR1006),$AN$1006:$BO$1006,0)), HYPERLINK("#",""), HYPERLINK(CONCATENATE("#Metadata!", ADDRESS(INDEX($AI$2:$AI$1001,MATCH(ROWS($AG$2:AG82),$AG$2:$AG$1001,0),0), INDEX($AN$1004:$BO$1004,1,MATCH(COLUMNS($AN$1006:AR1006),$AN$1006:$BO$1006,0)))),"Fix")))</f>
        <v>0</v>
      </c>
      <c r="G82" s="4">
        <f>IF(OR(INDEX($AH$2:$AH$1001,MATCH(ROWS($AG$2:AG82),$AG$2:$AG$1001,0),1)&gt;=100000,INDEX($AN$1005:$BO$1005,1,MATCH(COLUMNS($AN$1006:AS1006),$AN$1006:$BO$1006,0))&gt;=100000), " ",IF(INDEX($AN$2:$BO$1001,MATCH(ROWS($AG$2:AG82),$AG$2:$AG$1001,0),MATCH(COLUMNS($AN$1006:AS1006),$AN$1006:$BO$1006,0)), HYPERLINK("#",""), HYPERLINK(CONCATENATE("#Metadata!", ADDRESS(INDEX($AI$2:$AI$1001,MATCH(ROWS($AG$2:AG82),$AG$2:$AG$1001,0),0), INDEX($AN$1004:$BO$1004,1,MATCH(COLUMNS($AN$1006:AS1006),$AN$1006:$BO$1006,0)))),"Fix")))</f>
        <v>0</v>
      </c>
      <c r="H82" s="4">
        <f>IF(OR(INDEX($AH$2:$AH$1001,MATCH(ROWS($AG$2:AG82),$AG$2:$AG$1001,0),1)&gt;=100000,INDEX($AN$1005:$BO$1005,1,MATCH(COLUMNS($AN$1006:AT1006),$AN$1006:$BO$1006,0))&gt;=100000), " ",IF(INDEX($AN$2:$BO$1001,MATCH(ROWS($AG$2:AG82),$AG$2:$AG$1001,0),MATCH(COLUMNS($AN$1006:AT1006),$AN$1006:$BO$1006,0)), HYPERLINK("#",""), HYPERLINK(CONCATENATE("#Metadata!", ADDRESS(INDEX($AI$2:$AI$1001,MATCH(ROWS($AG$2:AG82),$AG$2:$AG$1001,0),0), INDEX($AN$1004:$BO$1004,1,MATCH(COLUMNS($AN$1006:AT1006),$AN$1006:$BO$1006,0)))),"Fix")))</f>
        <v>0</v>
      </c>
      <c r="I82" s="4">
        <f>IF(OR(INDEX($AH$2:$AH$1001,MATCH(ROWS($AG$2:AG82),$AG$2:$AG$1001,0),1)&gt;=100000,INDEX($AN$1005:$BO$1005,1,MATCH(COLUMNS($AN$1006:AU1006),$AN$1006:$BO$1006,0))&gt;=100000), " ",IF(INDEX($AN$2:$BO$1001,MATCH(ROWS($AG$2:AG82),$AG$2:$AG$1001,0),MATCH(COLUMNS($AN$1006:AU1006),$AN$1006:$BO$1006,0)), HYPERLINK("#",""), HYPERLINK(CONCATENATE("#Metadata!", ADDRESS(INDEX($AI$2:$AI$1001,MATCH(ROWS($AG$2:AG82),$AG$2:$AG$1001,0),0), INDEX($AN$1004:$BO$1004,1,MATCH(COLUMNS($AN$1006:AU1006),$AN$1006:$BO$1006,0)))),"Fix")))</f>
        <v>0</v>
      </c>
      <c r="J82" s="4">
        <f>IF(OR(INDEX($AH$2:$AH$1001,MATCH(ROWS($AG$2:AG82),$AG$2:$AG$1001,0),1)&gt;=100000,INDEX($AN$1005:$BO$1005,1,MATCH(COLUMNS($AN$1006:AV1006),$AN$1006:$BO$1006,0))&gt;=100000), " ",IF(INDEX($AN$2:$BO$1001,MATCH(ROWS($AG$2:AG82),$AG$2:$AG$1001,0),MATCH(COLUMNS($AN$1006:AV1006),$AN$1006:$BO$1006,0)), HYPERLINK("#",""), HYPERLINK(CONCATENATE("#Metadata!", ADDRESS(INDEX($AI$2:$AI$1001,MATCH(ROWS($AG$2:AG82),$AG$2:$AG$1001,0),0), INDEX($AN$1004:$BO$1004,1,MATCH(COLUMNS($AN$1006:AV1006),$AN$1006:$BO$1006,0)))),"Fix")))</f>
        <v>0</v>
      </c>
      <c r="K82" s="4">
        <f>IF(OR(INDEX($AH$2:$AH$1001,MATCH(ROWS($AG$2:AG82),$AG$2:$AG$1001,0),1)&gt;=100000,INDEX($AN$1005:$BO$1005,1,MATCH(COLUMNS($AN$1006:AW1006),$AN$1006:$BO$1006,0))&gt;=100000), " ",IF(INDEX($AN$2:$BO$1001,MATCH(ROWS($AG$2:AG82),$AG$2:$AG$1001,0),MATCH(COLUMNS($AN$1006:AW1006),$AN$1006:$BO$1006,0)), HYPERLINK("#",""), HYPERLINK(CONCATENATE("#Metadata!", ADDRESS(INDEX($AI$2:$AI$1001,MATCH(ROWS($AG$2:AG82),$AG$2:$AG$1001,0),0), INDEX($AN$1004:$BO$1004,1,MATCH(COLUMNS($AN$1006:AW1006),$AN$1006:$BO$1006,0)))),"Fix")))</f>
        <v>0</v>
      </c>
      <c r="L82" s="4">
        <f>IF(OR(INDEX($AH$2:$AH$1001,MATCH(ROWS($AG$2:AG82),$AG$2:$AG$1001,0),1)&gt;=100000,INDEX($AN$1005:$BO$1005,1,MATCH(COLUMNS($AN$1006:AX1006),$AN$1006:$BO$1006,0))&gt;=100000), " ",IF(INDEX($AN$2:$BO$1001,MATCH(ROWS($AG$2:AG82),$AG$2:$AG$1001,0),MATCH(COLUMNS($AN$1006:AX1006),$AN$1006:$BO$1006,0)), HYPERLINK("#",""), HYPERLINK(CONCATENATE("#Metadata!", ADDRESS(INDEX($AI$2:$AI$1001,MATCH(ROWS($AG$2:AG82),$AG$2:$AG$1001,0),0), INDEX($AN$1004:$BO$1004,1,MATCH(COLUMNS($AN$1006:AX1006),$AN$1006:$BO$1006,0)))),"Fix")))</f>
        <v>0</v>
      </c>
      <c r="M82" s="4">
        <f>IF(OR(INDEX($AH$2:$AH$1001,MATCH(ROWS($AG$2:AG82),$AG$2:$AG$1001,0),1)&gt;=100000,INDEX($AN$1005:$BO$1005,1,MATCH(COLUMNS($AN$1006:AY1006),$AN$1006:$BO$1006,0))&gt;=100000), " ",IF(INDEX($AN$2:$BO$1001,MATCH(ROWS($AG$2:AG82),$AG$2:$AG$1001,0),MATCH(COLUMNS($AN$1006:AY1006),$AN$1006:$BO$1006,0)), HYPERLINK("#",""), HYPERLINK(CONCATENATE("#Metadata!", ADDRESS(INDEX($AI$2:$AI$1001,MATCH(ROWS($AG$2:AG82),$AG$2:$AG$1001,0),0), INDEX($AN$1004:$BO$1004,1,MATCH(COLUMNS($AN$1006:AY1006),$AN$1006:$BO$1006,0)))),"Fix")))</f>
        <v>0</v>
      </c>
      <c r="N82" s="4">
        <f>IF(OR(INDEX($AH$2:$AH$1001,MATCH(ROWS($AG$2:AG82),$AG$2:$AG$1001,0),1)&gt;=100000,INDEX($AN$1005:$BO$1005,1,MATCH(COLUMNS($AN$1006:AZ1006),$AN$1006:$BO$1006,0))&gt;=100000), " ",IF(INDEX($AN$2:$BO$1001,MATCH(ROWS($AG$2:AG82),$AG$2:$AG$1001,0),MATCH(COLUMNS($AN$1006:AZ1006),$AN$1006:$BO$1006,0)), HYPERLINK("#",""), HYPERLINK(CONCATENATE("#Metadata!", ADDRESS(INDEX($AI$2:$AI$1001,MATCH(ROWS($AG$2:AG82),$AG$2:$AG$1001,0),0), INDEX($AN$1004:$BO$1004,1,MATCH(COLUMNS($AN$1006:AZ1006),$AN$1006:$BO$1006,0)))),"Fix")))</f>
        <v>0</v>
      </c>
      <c r="O82" s="4">
        <f>IF(OR(INDEX($AH$2:$AH$1001,MATCH(ROWS($AG$2:AG82),$AG$2:$AG$1001,0),1)&gt;=100000,INDEX($AN$1005:$BO$1005,1,MATCH(COLUMNS($AN$1006:BA1006),$AN$1006:$BO$1006,0))&gt;=100000), " ",IF(INDEX($AN$2:$BO$1001,MATCH(ROWS($AG$2:AG82),$AG$2:$AG$1001,0),MATCH(COLUMNS($AN$1006:BA1006),$AN$1006:$BO$1006,0)), HYPERLINK("#",""), HYPERLINK(CONCATENATE("#Metadata!", ADDRESS(INDEX($AI$2:$AI$1001,MATCH(ROWS($AG$2:AG82),$AG$2:$AG$1001,0),0), INDEX($AN$1004:$BO$1004,1,MATCH(COLUMNS($AN$1006:BA1006),$AN$1006:$BO$1006,0)))),"Fix")))</f>
        <v>0</v>
      </c>
      <c r="P82" s="4">
        <f>IF(OR(INDEX($AH$2:$AH$1001,MATCH(ROWS($AG$2:AG82),$AG$2:$AG$1001,0),1)&gt;=100000,INDEX($AN$1005:$BO$1005,1,MATCH(COLUMNS($AN$1006:BB1006),$AN$1006:$BO$1006,0))&gt;=100000), " ",IF(INDEX($AN$2:$BO$1001,MATCH(ROWS($AG$2:AG82),$AG$2:$AG$1001,0),MATCH(COLUMNS($AN$1006:BB1006),$AN$1006:$BO$1006,0)), HYPERLINK("#",""), HYPERLINK(CONCATENATE("#Metadata!", ADDRESS(INDEX($AI$2:$AI$1001,MATCH(ROWS($AG$2:AG82),$AG$2:$AG$1001,0),0), INDEX($AN$1004:$BO$1004,1,MATCH(COLUMNS($AN$1006:BB1006),$AN$1006:$BO$1006,0)))),"Fix")))</f>
        <v>0</v>
      </c>
      <c r="Q82" s="4">
        <f>IF(OR(INDEX($AH$2:$AH$1001,MATCH(ROWS($AG$2:AG82),$AG$2:$AG$1001,0),1)&gt;=100000,INDEX($AN$1005:$BO$1005,1,MATCH(COLUMNS($AN$1006:BC1006),$AN$1006:$BO$1006,0))&gt;=100000), " ",IF(INDEX($AN$2:$BO$1001,MATCH(ROWS($AG$2:AG82),$AG$2:$AG$1001,0),MATCH(COLUMNS($AN$1006:BC1006),$AN$1006:$BO$1006,0)), HYPERLINK("#",""), HYPERLINK(CONCATENATE("#Metadata!", ADDRESS(INDEX($AI$2:$AI$1001,MATCH(ROWS($AG$2:AG82),$AG$2:$AG$1001,0),0), INDEX($AN$1004:$BO$1004,1,MATCH(COLUMNS($AN$1006:BC1006),$AN$1006:$BO$1006,0)))),"Fix")))</f>
        <v>0</v>
      </c>
      <c r="R82" s="4">
        <f>IF(OR(INDEX($AH$2:$AH$1001,MATCH(ROWS($AG$2:AG82),$AG$2:$AG$1001,0),1)&gt;=100000,INDEX($AN$1005:$BO$1005,1,MATCH(COLUMNS($AN$1006:BD1006),$AN$1006:$BO$1006,0))&gt;=100000), " ",IF(INDEX($AN$2:$BO$1001,MATCH(ROWS($AG$2:AG82),$AG$2:$AG$1001,0),MATCH(COLUMNS($AN$1006:BD1006),$AN$1006:$BO$1006,0)), HYPERLINK("#",""), HYPERLINK(CONCATENATE("#Metadata!", ADDRESS(INDEX($AI$2:$AI$1001,MATCH(ROWS($AG$2:AG82),$AG$2:$AG$1001,0),0), INDEX($AN$1004:$BO$1004,1,MATCH(COLUMNS($AN$1006:BD1006),$AN$1006:$BO$1006,0)))),"Fix")))</f>
        <v>0</v>
      </c>
      <c r="S82" s="4">
        <f>IF(OR(INDEX($AH$2:$AH$1001,MATCH(ROWS($AG$2:AG82),$AG$2:$AG$1001,0),1)&gt;=100000,INDEX($AN$1005:$BO$1005,1,MATCH(COLUMNS($AN$1006:BE1006),$AN$1006:$BO$1006,0))&gt;=100000), " ",IF(INDEX($AN$2:$BO$1001,MATCH(ROWS($AG$2:AG82),$AG$2:$AG$1001,0),MATCH(COLUMNS($AN$1006:BE1006),$AN$1006:$BO$1006,0)), HYPERLINK("#",""), HYPERLINK(CONCATENATE("#Metadata!", ADDRESS(INDEX($AI$2:$AI$1001,MATCH(ROWS($AG$2:AG82),$AG$2:$AG$1001,0),0), INDEX($AN$1004:$BO$1004,1,MATCH(COLUMNS($AN$1006:BE1006),$AN$1006:$BO$1006,0)))),"Fix")))</f>
        <v>0</v>
      </c>
      <c r="T82" s="4">
        <f>IF(OR(INDEX($AH$2:$AH$1001,MATCH(ROWS($AG$2:AG82),$AG$2:$AG$1001,0),1)&gt;=100000,INDEX($AN$1005:$BO$1005,1,MATCH(COLUMNS($AN$1006:BF1006),$AN$1006:$BO$1006,0))&gt;=100000), " ",IF(INDEX($AN$2:$BO$1001,MATCH(ROWS($AG$2:AG82),$AG$2:$AG$1001,0),MATCH(COLUMNS($AN$1006:BF1006),$AN$1006:$BO$1006,0)), HYPERLINK("#",""), HYPERLINK(CONCATENATE("#Metadata!", ADDRESS(INDEX($AI$2:$AI$1001,MATCH(ROWS($AG$2:AG82),$AG$2:$AG$1001,0),0), INDEX($AN$1004:$BO$1004,1,MATCH(COLUMNS($AN$1006:BF1006),$AN$1006:$BO$1006,0)))),"Fix")))</f>
        <v>0</v>
      </c>
      <c r="U82" s="4">
        <f>IF(OR(INDEX($AH$2:$AH$1001,MATCH(ROWS($AG$2:AG82),$AG$2:$AG$1001,0),1)&gt;=100000,INDEX($AN$1005:$BO$1005,1,MATCH(COLUMNS($AN$1006:BG1006),$AN$1006:$BO$1006,0))&gt;=100000), " ",IF(INDEX($AN$2:$BO$1001,MATCH(ROWS($AG$2:AG82),$AG$2:$AG$1001,0),MATCH(COLUMNS($AN$1006:BG1006),$AN$1006:$BO$1006,0)), HYPERLINK("#",""), HYPERLINK(CONCATENATE("#Metadata!", ADDRESS(INDEX($AI$2:$AI$1001,MATCH(ROWS($AG$2:AG82),$AG$2:$AG$1001,0),0), INDEX($AN$1004:$BO$1004,1,MATCH(COLUMNS($AN$1006:BG1006),$AN$1006:$BO$1006,0)))),"Fix")))</f>
        <v>0</v>
      </c>
      <c r="V82" s="4">
        <f>IF(OR(INDEX($AH$2:$AH$1001,MATCH(ROWS($AG$2:AG82),$AG$2:$AG$1001,0),1)&gt;=100000,INDEX($AN$1005:$BO$1005,1,MATCH(COLUMNS($AN$1006:BH1006),$AN$1006:$BO$1006,0))&gt;=100000), " ",IF(INDEX($AN$2:$BO$1001,MATCH(ROWS($AG$2:AG82),$AG$2:$AG$1001,0),MATCH(COLUMNS($AN$1006:BH1006),$AN$1006:$BO$1006,0)), HYPERLINK("#",""), HYPERLINK(CONCATENATE("#Metadata!", ADDRESS(INDEX($AI$2:$AI$1001,MATCH(ROWS($AG$2:AG82),$AG$2:$AG$1001,0),0), INDEX($AN$1004:$BO$1004,1,MATCH(COLUMNS($AN$1006:BH1006),$AN$1006:$BO$1006,0)))),"Fix")))</f>
        <v>0</v>
      </c>
      <c r="W82" s="4">
        <f>IF(OR(INDEX($AH$2:$AH$1001,MATCH(ROWS($AG$2:AG82),$AG$2:$AG$1001,0),1)&gt;=100000,INDEX($AN$1005:$BO$1005,1,MATCH(COLUMNS($AN$1006:BI1006),$AN$1006:$BO$1006,0))&gt;=100000), " ",IF(INDEX($AN$2:$BO$1001,MATCH(ROWS($AG$2:AG82),$AG$2:$AG$1001,0),MATCH(COLUMNS($AN$1006:BI1006),$AN$1006:$BO$1006,0)), HYPERLINK("#",""), HYPERLINK(CONCATENATE("#Metadata!", ADDRESS(INDEX($AI$2:$AI$1001,MATCH(ROWS($AG$2:AG82),$AG$2:$AG$1001,0),0), INDEX($AN$1004:$BO$1004,1,MATCH(COLUMNS($AN$1006:BI1006),$AN$1006:$BO$1006,0)))),"Fix")))</f>
        <v>0</v>
      </c>
      <c r="X82" s="4">
        <f>IF(OR(INDEX($AH$2:$AH$1001,MATCH(ROWS($AG$2:AG82),$AG$2:$AG$1001,0),1)&gt;=100000,INDEX($AN$1005:$BO$1005,1,MATCH(COLUMNS($AN$1006:BJ1006),$AN$1006:$BO$1006,0))&gt;=100000), " ",IF(INDEX($AN$2:$BO$1001,MATCH(ROWS($AG$2:AG82),$AG$2:$AG$1001,0),MATCH(COLUMNS($AN$1006:BJ1006),$AN$1006:$BO$1006,0)), HYPERLINK("#",""), HYPERLINK(CONCATENATE("#Metadata!", ADDRESS(INDEX($AI$2:$AI$1001,MATCH(ROWS($AG$2:AG82),$AG$2:$AG$1001,0),0), INDEX($AN$1004:$BO$1004,1,MATCH(COLUMNS($AN$1006:BJ1006),$AN$1006:$BO$1006,0)))),"Fix")))</f>
        <v>0</v>
      </c>
      <c r="Y82" s="4">
        <f>IF(OR(INDEX($AH$2:$AH$1001,MATCH(ROWS($AG$2:AG82),$AG$2:$AG$1001,0),1)&gt;=100000,INDEX($AN$1005:$BO$1005,1,MATCH(COLUMNS($AN$1006:BK1006),$AN$1006:$BO$1006,0))&gt;=100000), " ",IF(INDEX($AN$2:$BO$1001,MATCH(ROWS($AG$2:AG82),$AG$2:$AG$1001,0),MATCH(COLUMNS($AN$1006:BK1006),$AN$1006:$BO$1006,0)), HYPERLINK("#",""), HYPERLINK(CONCATENATE("#Metadata!", ADDRESS(INDEX($AI$2:$AI$1001,MATCH(ROWS($AG$2:AG82),$AG$2:$AG$1001,0),0), INDEX($AN$1004:$BO$1004,1,MATCH(COLUMNS($AN$1006:BK1006),$AN$1006:$BO$1006,0)))),"Fix")))</f>
        <v>0</v>
      </c>
      <c r="Z82" s="4">
        <f>IF(OR(INDEX($AH$2:$AH$1001,MATCH(ROWS($AG$2:AG82),$AG$2:$AG$1001,0),1)&gt;=100000,INDEX($AN$1005:$BO$1005,1,MATCH(COLUMNS($AN$1006:BL1006),$AN$1006:$BO$1006,0))&gt;=100000), " ",IF(INDEX($AN$2:$BO$1001,MATCH(ROWS($AG$2:AG82),$AG$2:$AG$1001,0),MATCH(COLUMNS($AN$1006:BL1006),$AN$1006:$BO$1006,0)), HYPERLINK("#",""), HYPERLINK(CONCATENATE("#Metadata!", ADDRESS(INDEX($AI$2:$AI$1001,MATCH(ROWS($AG$2:AG82),$AG$2:$AG$1001,0),0), INDEX($AN$1004:$BO$1004,1,MATCH(COLUMNS($AN$1006:BL1006),$AN$1006:$BO$1006,0)))),"Fix")))</f>
        <v>0</v>
      </c>
      <c r="AA82" s="4">
        <f>IF(OR(INDEX($AH$2:$AH$1001,MATCH(ROWS($AG$2:AG82),$AG$2:$AG$1001,0),1)&gt;=100000,INDEX($AN$1005:$BO$1005,1,MATCH(COLUMNS($AN$1006:BM1006),$AN$1006:$BO$1006,0))&gt;=100000), " ",IF(INDEX($AN$2:$BO$1001,MATCH(ROWS($AG$2:AG82),$AG$2:$AG$1001,0),MATCH(COLUMNS($AN$1006:BM1006),$AN$1006:$BO$1006,0)), HYPERLINK("#",""), HYPERLINK(CONCATENATE("#Metadata!", ADDRESS(INDEX($AI$2:$AI$1001,MATCH(ROWS($AG$2:AG82),$AG$2:$AG$1001,0),0), INDEX($AN$1004:$BO$1004,1,MATCH(COLUMNS($AN$1006:BM1006),$AN$1006:$BO$1006,0)))),"Fix")))</f>
        <v>0</v>
      </c>
      <c r="AB82" s="4">
        <f>IF(OR(INDEX($AH$2:$AH$1001,MATCH(ROWS($AG$2:AG82),$AG$2:$AG$1001,0),1)&gt;=100000,INDEX($AN$1005:$BO$1005,1,MATCH(COLUMNS($AN$1006:BN1006),$AN$1006:$BO$1006,0))&gt;=100000), " ",IF(INDEX($AN$2:$BO$1001,MATCH(ROWS($AG$2:AG82),$AG$2:$AG$1001,0),MATCH(COLUMNS($AN$1006:BN1006),$AN$1006:$BO$1006,0)), HYPERLINK("#",""), HYPERLINK(CONCATENATE("#Metadata!", ADDRESS(INDEX($AI$2:$AI$1001,MATCH(ROWS($AG$2:AG82),$AG$2:$AG$1001,0),0), INDEX($AN$1004:$BO$1004,1,MATCH(COLUMNS($AN$1006:BN1006),$AN$1006:$BO$1006,0)))),"Fix")))</f>
        <v>0</v>
      </c>
      <c r="AC82" s="4">
        <f>IF(OR(INDEX($AH$2:$AH$1001,MATCH(ROWS($AG$2:AG82),$AG$2:$AG$1001,0),1)&gt;=100000,INDEX($AN$1005:$BO$1005,1,MATCH(COLUMNS($AN$1006:BO1006),$AN$1006:$BO$1006,0))&gt;=100000), " ",IF(INDEX($AN$2:$BO$1001,MATCH(ROWS($AG$2:AG82),$AG$2:$AG$1001,0),MATCH(COLUMNS($AN$1006:BO1006),$AN$1006:$BO$1006,0)), HYPERLINK("#",""), HYPERLINK(CONCATENATE("#Metadata!", ADDRESS(INDEX($AI$2:$AI$1001,MATCH(ROWS($AG$2:AG82),$AG$2:$AG$1001,0),0), INDEX($AN$1004:$BO$1004,1,MATCH(COLUMNS($AN$1006:BO1006),$AN$1006:$BO$1006,0)))),"Fix")))</f>
        <v>0</v>
      </c>
      <c r="AG82">
        <v>0</v>
      </c>
      <c r="AH82">
        <v>0</v>
      </c>
      <c r="AI82">
        <v>0</v>
      </c>
      <c r="AJ82">
        <f>IF(AK82,TRUE,AND(AN82:BO82))</f>
        <v>0</v>
      </c>
      <c r="AK82">
        <f>COUNTBLANK(Metadata!B82:AC82)=COLUMNS(Metadata!B82:AC82)</f>
        <v>0</v>
      </c>
      <c r="AL82">
        <v>0</v>
      </c>
      <c r="AN82">
        <f>AND(IF(Metadata!B82="",FALSE,TRUE),COUNTIF(Metadata!B:B, Metadata!B82) = 1,NOT(ISERROR(SUMPRODUCT(SEARCH(MID(Metadata!B82,ROW(INDIRECT("1:"&amp;LEN(Metadata!B82))), 1),"0123456789abcdefghijklmnopqrstuvwxyzABCDEFGHIJKLMNOPQRSTUVWXYZ.")))))</f>
        <v>0</v>
      </c>
      <c r="AO82">
        <f>IF(Metadata!C82="",FALSE,TRUE)</f>
        <v>0</v>
      </c>
      <c r="AP82">
        <f>IF(Metadata!D82="",FALSE,TRUE)</f>
        <v>0</v>
      </c>
      <c r="AQ82">
        <f>OR(AND(IF(Metadata!E82="",FALSE,TRUE),OR(exact(Metadata!E82,"not collected"),exact(Metadata!E82,"not provided"),exact(Metadata!E82,"restricted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R82">
        <f>IF(Metadata!F82="",FALSE,TRUE)</f>
        <v>0</v>
      </c>
      <c r="AS82">
        <f>OR(AND(IF(Metadata!G82="",FALSE,TRUE),OR(exact(Metadata!G82,"not collected"),exact(Metadata!G82,"not provided"))),AND(IF(Metadata!G82="",FALSE,TRUE),OR(exact(Metadata!G82,"TRUE"),exact(Metadata!G82,"FALSE"))))</f>
        <v>0</v>
      </c>
      <c r="AT82">
        <f>OR(AND(IF(Metadata!H82="",FALSE,TRUE),OR(exact(Metadata!H82,"not collected"),exact(Metadata!H82,"not provided"),exact(Metadata!H82,"restricted access"))),AND(IF(Metadata!H82="",FALSE,ISNUMBER(VALUE(Metadata!H82))),Metadata!H82&gt;=-413.0))</f>
        <v>0</v>
      </c>
      <c r="AU82">
        <f>AND(IF(Metadata!I82="",FALSE,TRUE),exact(Metadata!I82,"meters"))</f>
        <v>0</v>
      </c>
      <c r="AV82">
        <f>AND(IF(Metadata!J82="",FALSE,TRUE),OR(exact(Metadata!J82,"Host-associated"),exact(Metadata!J82,"Free-living")))</f>
        <v>0</v>
      </c>
      <c r="AW82">
        <f>AND(IF(Metadata!K82="",FALSE,TRUE),OR(exact(Metadata!K82,"Animal"),exact(Metadata!K82,"Fungus"),exact(Metadata!K82,"Plant"),exact(Metadata!K82,"Saline"),exact(Metadata!K82,"Non-saline")))</f>
        <v>0</v>
      </c>
      <c r="AX82">
        <f>AND(IF(Metadata!L82="",FALSE,TRUE),OR(exact(Metadata!L82,"Plant secretion"),exact(Metadata!L82,"Plant rhizosphere"),exact(Metadata!L82,"Plant surface"),exact(Metadata!L82,"Plant corpus"),exact(Metadata!L82,"Fungus surface"),exact(Metadata!L82,"Fungus corpus"),exact(Metadata!L82,"Animal surface"),exact(Metadata!L82,"Animal proximal gut"),exact(Metadata!L82,"Animal corpus"),exact(Metadata!L82,"Animal distal gut"),exact(Metadata!L82,"Animal secretion"),exact(Metadata!L82,"Sub-surface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Y82">
        <f>IF(Metadata!M82="",FALSE,TRUE)</f>
        <v>0</v>
      </c>
      <c r="AZ82">
        <f>IF(Metadata!N82="",FALSE,TRUE)</f>
        <v>0</v>
      </c>
      <c r="BA82">
        <f>IF(Metadata!O82="",FALSE,TRUE)</f>
        <v>0</v>
      </c>
      <c r="BB82">
        <f>OR(AND(IF(Metadata!P82="",FALSE,TRUE),OR(exact(Metadata!P82,"not collected"),exact(Metadata!P82,"not provided"),exact(Metadata!P82,"restricted access"))),AND(IF(Metadata!P82="",FALSE,TRUE),OR(exact(Metadata!P82,"air"),exact(Metadata!P82,"built environment"),exact(Metadata!P82,"host-associated"),exact(Metadata!P82,"human-associated"),exact(Metadata!P82,"human-skin"),exact(Metadata!P82,"human-oral"),exact(Metadata!P82,"human-gut"),exact(Metadata!P82,"human-vaginal"),exact(Metadata!P82,"microbial mat/biofilm"),exact(Metadata!P82,"misc environment"),exact(Metadata!P82,"plant-associated"),exact(Metadata!P82,"sediment"),exact(Metadata!P82,"soil"),exact(Metadata!P82,"wastewater/sludge"),exact(Metadata!P82,"water"))))</f>
        <v>0</v>
      </c>
      <c r="BC82">
        <f>IF(Metadata!Q82="",FALSE,TRUE)</f>
        <v>0</v>
      </c>
      <c r="BD82">
        <f>IF(Metadata!R82="",FALSE,TRUE)</f>
        <v>0</v>
      </c>
      <c r="BE82">
        <f>OR(AND(IF(Metadata!S82="",FALSE,TRUE),OR(exact(Metadata!S82,"not collected"),exact(Metadata!S82,"not provided"),exact(Metadata!S82,"restricted access"))),AND(IF(Metadata!S82="",FALSE,ISNUMBER(VALUE(Metadata!S82))),Metadata!S82&gt;=-90.00,Metadata!S82&lt;=90.00))</f>
        <v>0</v>
      </c>
      <c r="BF82">
        <f>AND(IF(Metadata!T82="",FALSE,TRUE),exact(Metadata!T82,"Decimal degrees"))</f>
        <v>0</v>
      </c>
      <c r="BG82">
        <f>OR(AND(IF(Metadata!U82="",FALSE,TRUE),OR(exact(Metadata!U82,"not collected"),exact(Metadata!U82,"not provided"),exact(Metadata!U82,"restricted access"))),AND(IF(Metadata!U82="",FALSE,ISNUMBER(VALUE(Metadata!U82))),Metadata!U82&gt;=-180.00,Metadata!U82&lt;=180.00))</f>
        <v>0</v>
      </c>
      <c r="BH82">
        <f>AND(IF(Metadata!V82="",FALSE,TRUE),exact(Metadata!V82,"Decimal degrees"))</f>
        <v>0</v>
      </c>
      <c r="BI82">
        <f>IF(Metadata!W82="",FALSE,TRUE)</f>
        <v>0</v>
      </c>
      <c r="BJ82">
        <f>OR(AND(IF(Metadata!X82="",FALSE,TRUE),OR(exact(Metadata!X82,"not collected"),exact(Metadata!X82,"not provided"),exact(Metadata!X82,"restricted access"))),AND(IF(Metadata!X82="",FALSE,TRUE),OR(exact(Metadata!X82,"TRUE"),exact(Metadata!X82,"FALSE"))))</f>
        <v>0</v>
      </c>
      <c r="BK82">
        <f>AND(IF(Metadata!Y82="",FALSE,TRUE),exact(Metadata!Y82,"other"))</f>
        <v>0</v>
      </c>
      <c r="BL82">
        <f>IF(Metadata!Z82="",FALSE,TRUE)</f>
        <v>0</v>
      </c>
      <c r="BM82">
        <f>OR(AND(IF(Metadata!AA82="",FALSE,TRUE),OR(exact(Metadata!AA82,"not collected"),exact(Metadata!AA82,"not provided"))),AND(IF(Metadata!AA82="",FALSE,IF(ISERROR(INT(Metadata!AA82)),FALSE,INT(Metadata!AA82)=Metadata!AA82)),Metadata!AA82&gt;0))</f>
        <v>0</v>
      </c>
      <c r="BN82">
        <f>AND(IF(Metadata!AB82="",FALSE,TRUE),exact(Metadata!AB82,"Not applicable"))</f>
        <v>0</v>
      </c>
      <c r="BO82">
        <f>IF(Metadata!AC82="",FALSE,TRUE)</f>
        <v>0</v>
      </c>
    </row>
    <row r="83" spans="1:67">
      <c r="A83" s="5">
        <f>IF(B83=" "," ",HYPERLINK(CONCATENATE("#metadata!",ADDRESS(INDEX($AI$2:$AI$1001,MATCH(ROWS($AG$2:AG83),$AG$2:$AG$1001,0),0),1)),INDEX($AL$2:$AL$1001,MATCH(ROWS($AG$2:AG83),$AG$2:$AG$1001,0),0)))</f>
        <v>0</v>
      </c>
      <c r="B83" s="4">
        <f>IF(OR(INDEX($AH$2:$AH$1001,MATCH(ROWS($AG$2:AG83),$AG$2:$AG$1001,0),1)&gt;=100000,INDEX($AN$1005:$BO$1005,1,MATCH(COLUMNS($AN$1006:AN1006),$AN$1006:$BO$1006,0))&gt;=100000), " ",IF(INDEX($AN$2:$BO$1001,MATCH(ROWS($AG$2:AG83),$AG$2:$AG$1001,0),MATCH(COLUMNS($AN$1006:AN1006),$AN$1006:$BO$1006,0)), HYPERLINK("#",""), HYPERLINK(CONCATENATE("#Metadata!", ADDRESS(INDEX($AI$2:$AI$1001,MATCH(ROWS($AG$2:AG83),$AG$2:$AG$1001,0),0), INDEX($AN$1004:$BO$1004,1,MATCH(COLUMNS($AN$1006:AN1006),$AN$1006:$BO$1006,0)))),"Fix")))</f>
        <v>0</v>
      </c>
      <c r="C83" s="4">
        <f>IF(OR(INDEX($AH$2:$AH$1001,MATCH(ROWS($AG$2:AG83),$AG$2:$AG$1001,0),1)&gt;=100000,INDEX($AN$1005:$BO$1005,1,MATCH(COLUMNS($AN$1006:AO1006),$AN$1006:$BO$1006,0))&gt;=100000), " ",IF(INDEX($AN$2:$BO$1001,MATCH(ROWS($AG$2:AG83),$AG$2:$AG$1001,0),MATCH(COLUMNS($AN$1006:AO1006),$AN$1006:$BO$1006,0)), HYPERLINK("#",""), HYPERLINK(CONCATENATE("#Metadata!", ADDRESS(INDEX($AI$2:$AI$1001,MATCH(ROWS($AG$2:AG83),$AG$2:$AG$1001,0),0), INDEX($AN$1004:$BO$1004,1,MATCH(COLUMNS($AN$1006:AO1006),$AN$1006:$BO$1006,0)))),"Fix")))</f>
        <v>0</v>
      </c>
      <c r="D83" s="4">
        <f>IF(OR(INDEX($AH$2:$AH$1001,MATCH(ROWS($AG$2:AG83),$AG$2:$AG$1001,0),1)&gt;=100000,INDEX($AN$1005:$BO$1005,1,MATCH(COLUMNS($AN$1006:AP1006),$AN$1006:$BO$1006,0))&gt;=100000), " ",IF(INDEX($AN$2:$BO$1001,MATCH(ROWS($AG$2:AG83),$AG$2:$AG$1001,0),MATCH(COLUMNS($AN$1006:AP1006),$AN$1006:$BO$1006,0)), HYPERLINK("#",""), HYPERLINK(CONCATENATE("#Metadata!", ADDRESS(INDEX($AI$2:$AI$1001,MATCH(ROWS($AG$2:AG83),$AG$2:$AG$1001,0),0), INDEX($AN$1004:$BO$1004,1,MATCH(COLUMNS($AN$1006:AP1006),$AN$1006:$BO$1006,0)))),"Fix")))</f>
        <v>0</v>
      </c>
      <c r="E83" s="4">
        <f>IF(OR(INDEX($AH$2:$AH$1001,MATCH(ROWS($AG$2:AG83),$AG$2:$AG$1001,0),1)&gt;=100000,INDEX($AN$1005:$BO$1005,1,MATCH(COLUMNS($AN$1006:AQ1006),$AN$1006:$BO$1006,0))&gt;=100000), " ",IF(INDEX($AN$2:$BO$1001,MATCH(ROWS($AG$2:AG83),$AG$2:$AG$1001,0),MATCH(COLUMNS($AN$1006:AQ1006),$AN$1006:$BO$1006,0)), HYPERLINK("#",""), HYPERLINK(CONCATENATE("#Metadata!", ADDRESS(INDEX($AI$2:$AI$1001,MATCH(ROWS($AG$2:AG83),$AG$2:$AG$1001,0),0), INDEX($AN$1004:$BO$1004,1,MATCH(COLUMNS($AN$1006:AQ1006),$AN$1006:$BO$1006,0)))),"Fix")))</f>
        <v>0</v>
      </c>
      <c r="F83" s="4">
        <f>IF(OR(INDEX($AH$2:$AH$1001,MATCH(ROWS($AG$2:AG83),$AG$2:$AG$1001,0),1)&gt;=100000,INDEX($AN$1005:$BO$1005,1,MATCH(COLUMNS($AN$1006:AR1006),$AN$1006:$BO$1006,0))&gt;=100000), " ",IF(INDEX($AN$2:$BO$1001,MATCH(ROWS($AG$2:AG83),$AG$2:$AG$1001,0),MATCH(COLUMNS($AN$1006:AR1006),$AN$1006:$BO$1006,0)), HYPERLINK("#",""), HYPERLINK(CONCATENATE("#Metadata!", ADDRESS(INDEX($AI$2:$AI$1001,MATCH(ROWS($AG$2:AG83),$AG$2:$AG$1001,0),0), INDEX($AN$1004:$BO$1004,1,MATCH(COLUMNS($AN$1006:AR1006),$AN$1006:$BO$1006,0)))),"Fix")))</f>
        <v>0</v>
      </c>
      <c r="G83" s="4">
        <f>IF(OR(INDEX($AH$2:$AH$1001,MATCH(ROWS($AG$2:AG83),$AG$2:$AG$1001,0),1)&gt;=100000,INDEX($AN$1005:$BO$1005,1,MATCH(COLUMNS($AN$1006:AS1006),$AN$1006:$BO$1006,0))&gt;=100000), " ",IF(INDEX($AN$2:$BO$1001,MATCH(ROWS($AG$2:AG83),$AG$2:$AG$1001,0),MATCH(COLUMNS($AN$1006:AS1006),$AN$1006:$BO$1006,0)), HYPERLINK("#",""), HYPERLINK(CONCATENATE("#Metadata!", ADDRESS(INDEX($AI$2:$AI$1001,MATCH(ROWS($AG$2:AG83),$AG$2:$AG$1001,0),0), INDEX($AN$1004:$BO$1004,1,MATCH(COLUMNS($AN$1006:AS1006),$AN$1006:$BO$1006,0)))),"Fix")))</f>
        <v>0</v>
      </c>
      <c r="H83" s="4">
        <f>IF(OR(INDEX($AH$2:$AH$1001,MATCH(ROWS($AG$2:AG83),$AG$2:$AG$1001,0),1)&gt;=100000,INDEX($AN$1005:$BO$1005,1,MATCH(COLUMNS($AN$1006:AT1006),$AN$1006:$BO$1006,0))&gt;=100000), " ",IF(INDEX($AN$2:$BO$1001,MATCH(ROWS($AG$2:AG83),$AG$2:$AG$1001,0),MATCH(COLUMNS($AN$1006:AT1006),$AN$1006:$BO$1006,0)), HYPERLINK("#",""), HYPERLINK(CONCATENATE("#Metadata!", ADDRESS(INDEX($AI$2:$AI$1001,MATCH(ROWS($AG$2:AG83),$AG$2:$AG$1001,0),0), INDEX($AN$1004:$BO$1004,1,MATCH(COLUMNS($AN$1006:AT1006),$AN$1006:$BO$1006,0)))),"Fix")))</f>
        <v>0</v>
      </c>
      <c r="I83" s="4">
        <f>IF(OR(INDEX($AH$2:$AH$1001,MATCH(ROWS($AG$2:AG83),$AG$2:$AG$1001,0),1)&gt;=100000,INDEX($AN$1005:$BO$1005,1,MATCH(COLUMNS($AN$1006:AU1006),$AN$1006:$BO$1006,0))&gt;=100000), " ",IF(INDEX($AN$2:$BO$1001,MATCH(ROWS($AG$2:AG83),$AG$2:$AG$1001,0),MATCH(COLUMNS($AN$1006:AU1006),$AN$1006:$BO$1006,0)), HYPERLINK("#",""), HYPERLINK(CONCATENATE("#Metadata!", ADDRESS(INDEX($AI$2:$AI$1001,MATCH(ROWS($AG$2:AG83),$AG$2:$AG$1001,0),0), INDEX($AN$1004:$BO$1004,1,MATCH(COLUMNS($AN$1006:AU1006),$AN$1006:$BO$1006,0)))),"Fix")))</f>
        <v>0</v>
      </c>
      <c r="J83" s="4">
        <f>IF(OR(INDEX($AH$2:$AH$1001,MATCH(ROWS($AG$2:AG83),$AG$2:$AG$1001,0),1)&gt;=100000,INDEX($AN$1005:$BO$1005,1,MATCH(COLUMNS($AN$1006:AV1006),$AN$1006:$BO$1006,0))&gt;=100000), " ",IF(INDEX($AN$2:$BO$1001,MATCH(ROWS($AG$2:AG83),$AG$2:$AG$1001,0),MATCH(COLUMNS($AN$1006:AV1006),$AN$1006:$BO$1006,0)), HYPERLINK("#",""), HYPERLINK(CONCATENATE("#Metadata!", ADDRESS(INDEX($AI$2:$AI$1001,MATCH(ROWS($AG$2:AG83),$AG$2:$AG$1001,0),0), INDEX($AN$1004:$BO$1004,1,MATCH(COLUMNS($AN$1006:AV1006),$AN$1006:$BO$1006,0)))),"Fix")))</f>
        <v>0</v>
      </c>
      <c r="K83" s="4">
        <f>IF(OR(INDEX($AH$2:$AH$1001,MATCH(ROWS($AG$2:AG83),$AG$2:$AG$1001,0),1)&gt;=100000,INDEX($AN$1005:$BO$1005,1,MATCH(COLUMNS($AN$1006:AW1006),$AN$1006:$BO$1006,0))&gt;=100000), " ",IF(INDEX($AN$2:$BO$1001,MATCH(ROWS($AG$2:AG83),$AG$2:$AG$1001,0),MATCH(COLUMNS($AN$1006:AW1006),$AN$1006:$BO$1006,0)), HYPERLINK("#",""), HYPERLINK(CONCATENATE("#Metadata!", ADDRESS(INDEX($AI$2:$AI$1001,MATCH(ROWS($AG$2:AG83),$AG$2:$AG$1001,0),0), INDEX($AN$1004:$BO$1004,1,MATCH(COLUMNS($AN$1006:AW1006),$AN$1006:$BO$1006,0)))),"Fix")))</f>
        <v>0</v>
      </c>
      <c r="L83" s="4">
        <f>IF(OR(INDEX($AH$2:$AH$1001,MATCH(ROWS($AG$2:AG83),$AG$2:$AG$1001,0),1)&gt;=100000,INDEX($AN$1005:$BO$1005,1,MATCH(COLUMNS($AN$1006:AX1006),$AN$1006:$BO$1006,0))&gt;=100000), " ",IF(INDEX($AN$2:$BO$1001,MATCH(ROWS($AG$2:AG83),$AG$2:$AG$1001,0),MATCH(COLUMNS($AN$1006:AX1006),$AN$1006:$BO$1006,0)), HYPERLINK("#",""), HYPERLINK(CONCATENATE("#Metadata!", ADDRESS(INDEX($AI$2:$AI$1001,MATCH(ROWS($AG$2:AG83),$AG$2:$AG$1001,0),0), INDEX($AN$1004:$BO$1004,1,MATCH(COLUMNS($AN$1006:AX1006),$AN$1006:$BO$1006,0)))),"Fix")))</f>
        <v>0</v>
      </c>
      <c r="M83" s="4">
        <f>IF(OR(INDEX($AH$2:$AH$1001,MATCH(ROWS($AG$2:AG83),$AG$2:$AG$1001,0),1)&gt;=100000,INDEX($AN$1005:$BO$1005,1,MATCH(COLUMNS($AN$1006:AY1006),$AN$1006:$BO$1006,0))&gt;=100000), " ",IF(INDEX($AN$2:$BO$1001,MATCH(ROWS($AG$2:AG83),$AG$2:$AG$1001,0),MATCH(COLUMNS($AN$1006:AY1006),$AN$1006:$BO$1006,0)), HYPERLINK("#",""), HYPERLINK(CONCATENATE("#Metadata!", ADDRESS(INDEX($AI$2:$AI$1001,MATCH(ROWS($AG$2:AG83),$AG$2:$AG$1001,0),0), INDEX($AN$1004:$BO$1004,1,MATCH(COLUMNS($AN$1006:AY1006),$AN$1006:$BO$1006,0)))),"Fix")))</f>
        <v>0</v>
      </c>
      <c r="N83" s="4">
        <f>IF(OR(INDEX($AH$2:$AH$1001,MATCH(ROWS($AG$2:AG83),$AG$2:$AG$1001,0),1)&gt;=100000,INDEX($AN$1005:$BO$1005,1,MATCH(COLUMNS($AN$1006:AZ1006),$AN$1006:$BO$1006,0))&gt;=100000), " ",IF(INDEX($AN$2:$BO$1001,MATCH(ROWS($AG$2:AG83),$AG$2:$AG$1001,0),MATCH(COLUMNS($AN$1006:AZ1006),$AN$1006:$BO$1006,0)), HYPERLINK("#",""), HYPERLINK(CONCATENATE("#Metadata!", ADDRESS(INDEX($AI$2:$AI$1001,MATCH(ROWS($AG$2:AG83),$AG$2:$AG$1001,0),0), INDEX($AN$1004:$BO$1004,1,MATCH(COLUMNS($AN$1006:AZ1006),$AN$1006:$BO$1006,0)))),"Fix")))</f>
        <v>0</v>
      </c>
      <c r="O83" s="4">
        <f>IF(OR(INDEX($AH$2:$AH$1001,MATCH(ROWS($AG$2:AG83),$AG$2:$AG$1001,0),1)&gt;=100000,INDEX($AN$1005:$BO$1005,1,MATCH(COLUMNS($AN$1006:BA1006),$AN$1006:$BO$1006,0))&gt;=100000), " ",IF(INDEX($AN$2:$BO$1001,MATCH(ROWS($AG$2:AG83),$AG$2:$AG$1001,0),MATCH(COLUMNS($AN$1006:BA1006),$AN$1006:$BO$1006,0)), HYPERLINK("#",""), HYPERLINK(CONCATENATE("#Metadata!", ADDRESS(INDEX($AI$2:$AI$1001,MATCH(ROWS($AG$2:AG83),$AG$2:$AG$1001,0),0), INDEX($AN$1004:$BO$1004,1,MATCH(COLUMNS($AN$1006:BA1006),$AN$1006:$BO$1006,0)))),"Fix")))</f>
        <v>0</v>
      </c>
      <c r="P83" s="4">
        <f>IF(OR(INDEX($AH$2:$AH$1001,MATCH(ROWS($AG$2:AG83),$AG$2:$AG$1001,0),1)&gt;=100000,INDEX($AN$1005:$BO$1005,1,MATCH(COLUMNS($AN$1006:BB1006),$AN$1006:$BO$1006,0))&gt;=100000), " ",IF(INDEX($AN$2:$BO$1001,MATCH(ROWS($AG$2:AG83),$AG$2:$AG$1001,0),MATCH(COLUMNS($AN$1006:BB1006),$AN$1006:$BO$1006,0)), HYPERLINK("#",""), HYPERLINK(CONCATENATE("#Metadata!", ADDRESS(INDEX($AI$2:$AI$1001,MATCH(ROWS($AG$2:AG83),$AG$2:$AG$1001,0),0), INDEX($AN$1004:$BO$1004,1,MATCH(COLUMNS($AN$1006:BB1006),$AN$1006:$BO$1006,0)))),"Fix")))</f>
        <v>0</v>
      </c>
      <c r="Q83" s="4">
        <f>IF(OR(INDEX($AH$2:$AH$1001,MATCH(ROWS($AG$2:AG83),$AG$2:$AG$1001,0),1)&gt;=100000,INDEX($AN$1005:$BO$1005,1,MATCH(COLUMNS($AN$1006:BC1006),$AN$1006:$BO$1006,0))&gt;=100000), " ",IF(INDEX($AN$2:$BO$1001,MATCH(ROWS($AG$2:AG83),$AG$2:$AG$1001,0),MATCH(COLUMNS($AN$1006:BC1006),$AN$1006:$BO$1006,0)), HYPERLINK("#",""), HYPERLINK(CONCATENATE("#Metadata!", ADDRESS(INDEX($AI$2:$AI$1001,MATCH(ROWS($AG$2:AG83),$AG$2:$AG$1001,0),0), INDEX($AN$1004:$BO$1004,1,MATCH(COLUMNS($AN$1006:BC1006),$AN$1006:$BO$1006,0)))),"Fix")))</f>
        <v>0</v>
      </c>
      <c r="R83" s="4">
        <f>IF(OR(INDEX($AH$2:$AH$1001,MATCH(ROWS($AG$2:AG83),$AG$2:$AG$1001,0),1)&gt;=100000,INDEX($AN$1005:$BO$1005,1,MATCH(COLUMNS($AN$1006:BD1006),$AN$1006:$BO$1006,0))&gt;=100000), " ",IF(INDEX($AN$2:$BO$1001,MATCH(ROWS($AG$2:AG83),$AG$2:$AG$1001,0),MATCH(COLUMNS($AN$1006:BD1006),$AN$1006:$BO$1006,0)), HYPERLINK("#",""), HYPERLINK(CONCATENATE("#Metadata!", ADDRESS(INDEX($AI$2:$AI$1001,MATCH(ROWS($AG$2:AG83),$AG$2:$AG$1001,0),0), INDEX($AN$1004:$BO$1004,1,MATCH(COLUMNS($AN$1006:BD1006),$AN$1006:$BO$1006,0)))),"Fix")))</f>
        <v>0</v>
      </c>
      <c r="S83" s="4">
        <f>IF(OR(INDEX($AH$2:$AH$1001,MATCH(ROWS($AG$2:AG83),$AG$2:$AG$1001,0),1)&gt;=100000,INDEX($AN$1005:$BO$1005,1,MATCH(COLUMNS($AN$1006:BE1006),$AN$1006:$BO$1006,0))&gt;=100000), " ",IF(INDEX($AN$2:$BO$1001,MATCH(ROWS($AG$2:AG83),$AG$2:$AG$1001,0),MATCH(COLUMNS($AN$1006:BE1006),$AN$1006:$BO$1006,0)), HYPERLINK("#",""), HYPERLINK(CONCATENATE("#Metadata!", ADDRESS(INDEX($AI$2:$AI$1001,MATCH(ROWS($AG$2:AG83),$AG$2:$AG$1001,0),0), INDEX($AN$1004:$BO$1004,1,MATCH(COLUMNS($AN$1006:BE1006),$AN$1006:$BO$1006,0)))),"Fix")))</f>
        <v>0</v>
      </c>
      <c r="T83" s="4">
        <f>IF(OR(INDEX($AH$2:$AH$1001,MATCH(ROWS($AG$2:AG83),$AG$2:$AG$1001,0),1)&gt;=100000,INDEX($AN$1005:$BO$1005,1,MATCH(COLUMNS($AN$1006:BF1006),$AN$1006:$BO$1006,0))&gt;=100000), " ",IF(INDEX($AN$2:$BO$1001,MATCH(ROWS($AG$2:AG83),$AG$2:$AG$1001,0),MATCH(COLUMNS($AN$1006:BF1006),$AN$1006:$BO$1006,0)), HYPERLINK("#",""), HYPERLINK(CONCATENATE("#Metadata!", ADDRESS(INDEX($AI$2:$AI$1001,MATCH(ROWS($AG$2:AG83),$AG$2:$AG$1001,0),0), INDEX($AN$1004:$BO$1004,1,MATCH(COLUMNS($AN$1006:BF1006),$AN$1006:$BO$1006,0)))),"Fix")))</f>
        <v>0</v>
      </c>
      <c r="U83" s="4">
        <f>IF(OR(INDEX($AH$2:$AH$1001,MATCH(ROWS($AG$2:AG83),$AG$2:$AG$1001,0),1)&gt;=100000,INDEX($AN$1005:$BO$1005,1,MATCH(COLUMNS($AN$1006:BG1006),$AN$1006:$BO$1006,0))&gt;=100000), " ",IF(INDEX($AN$2:$BO$1001,MATCH(ROWS($AG$2:AG83),$AG$2:$AG$1001,0),MATCH(COLUMNS($AN$1006:BG1006),$AN$1006:$BO$1006,0)), HYPERLINK("#",""), HYPERLINK(CONCATENATE("#Metadata!", ADDRESS(INDEX($AI$2:$AI$1001,MATCH(ROWS($AG$2:AG83),$AG$2:$AG$1001,0),0), INDEX($AN$1004:$BO$1004,1,MATCH(COLUMNS($AN$1006:BG1006),$AN$1006:$BO$1006,0)))),"Fix")))</f>
        <v>0</v>
      </c>
      <c r="V83" s="4">
        <f>IF(OR(INDEX($AH$2:$AH$1001,MATCH(ROWS($AG$2:AG83),$AG$2:$AG$1001,0),1)&gt;=100000,INDEX($AN$1005:$BO$1005,1,MATCH(COLUMNS($AN$1006:BH1006),$AN$1006:$BO$1006,0))&gt;=100000), " ",IF(INDEX($AN$2:$BO$1001,MATCH(ROWS($AG$2:AG83),$AG$2:$AG$1001,0),MATCH(COLUMNS($AN$1006:BH1006),$AN$1006:$BO$1006,0)), HYPERLINK("#",""), HYPERLINK(CONCATENATE("#Metadata!", ADDRESS(INDEX($AI$2:$AI$1001,MATCH(ROWS($AG$2:AG83),$AG$2:$AG$1001,0),0), INDEX($AN$1004:$BO$1004,1,MATCH(COLUMNS($AN$1006:BH1006),$AN$1006:$BO$1006,0)))),"Fix")))</f>
        <v>0</v>
      </c>
      <c r="W83" s="4">
        <f>IF(OR(INDEX($AH$2:$AH$1001,MATCH(ROWS($AG$2:AG83),$AG$2:$AG$1001,0),1)&gt;=100000,INDEX($AN$1005:$BO$1005,1,MATCH(COLUMNS($AN$1006:BI1006),$AN$1006:$BO$1006,0))&gt;=100000), " ",IF(INDEX($AN$2:$BO$1001,MATCH(ROWS($AG$2:AG83),$AG$2:$AG$1001,0),MATCH(COLUMNS($AN$1006:BI1006),$AN$1006:$BO$1006,0)), HYPERLINK("#",""), HYPERLINK(CONCATENATE("#Metadata!", ADDRESS(INDEX($AI$2:$AI$1001,MATCH(ROWS($AG$2:AG83),$AG$2:$AG$1001,0),0), INDEX($AN$1004:$BO$1004,1,MATCH(COLUMNS($AN$1006:BI1006),$AN$1006:$BO$1006,0)))),"Fix")))</f>
        <v>0</v>
      </c>
      <c r="X83" s="4">
        <f>IF(OR(INDEX($AH$2:$AH$1001,MATCH(ROWS($AG$2:AG83),$AG$2:$AG$1001,0),1)&gt;=100000,INDEX($AN$1005:$BO$1005,1,MATCH(COLUMNS($AN$1006:BJ1006),$AN$1006:$BO$1006,0))&gt;=100000), " ",IF(INDEX($AN$2:$BO$1001,MATCH(ROWS($AG$2:AG83),$AG$2:$AG$1001,0),MATCH(COLUMNS($AN$1006:BJ1006),$AN$1006:$BO$1006,0)), HYPERLINK("#",""), HYPERLINK(CONCATENATE("#Metadata!", ADDRESS(INDEX($AI$2:$AI$1001,MATCH(ROWS($AG$2:AG83),$AG$2:$AG$1001,0),0), INDEX($AN$1004:$BO$1004,1,MATCH(COLUMNS($AN$1006:BJ1006),$AN$1006:$BO$1006,0)))),"Fix")))</f>
        <v>0</v>
      </c>
      <c r="Y83" s="4">
        <f>IF(OR(INDEX($AH$2:$AH$1001,MATCH(ROWS($AG$2:AG83),$AG$2:$AG$1001,0),1)&gt;=100000,INDEX($AN$1005:$BO$1005,1,MATCH(COLUMNS($AN$1006:BK1006),$AN$1006:$BO$1006,0))&gt;=100000), " ",IF(INDEX($AN$2:$BO$1001,MATCH(ROWS($AG$2:AG83),$AG$2:$AG$1001,0),MATCH(COLUMNS($AN$1006:BK1006),$AN$1006:$BO$1006,0)), HYPERLINK("#",""), HYPERLINK(CONCATENATE("#Metadata!", ADDRESS(INDEX($AI$2:$AI$1001,MATCH(ROWS($AG$2:AG83),$AG$2:$AG$1001,0),0), INDEX($AN$1004:$BO$1004,1,MATCH(COLUMNS($AN$1006:BK1006),$AN$1006:$BO$1006,0)))),"Fix")))</f>
        <v>0</v>
      </c>
      <c r="Z83" s="4">
        <f>IF(OR(INDEX($AH$2:$AH$1001,MATCH(ROWS($AG$2:AG83),$AG$2:$AG$1001,0),1)&gt;=100000,INDEX($AN$1005:$BO$1005,1,MATCH(COLUMNS($AN$1006:BL1006),$AN$1006:$BO$1006,0))&gt;=100000), " ",IF(INDEX($AN$2:$BO$1001,MATCH(ROWS($AG$2:AG83),$AG$2:$AG$1001,0),MATCH(COLUMNS($AN$1006:BL1006),$AN$1006:$BO$1006,0)), HYPERLINK("#",""), HYPERLINK(CONCATENATE("#Metadata!", ADDRESS(INDEX($AI$2:$AI$1001,MATCH(ROWS($AG$2:AG83),$AG$2:$AG$1001,0),0), INDEX($AN$1004:$BO$1004,1,MATCH(COLUMNS($AN$1006:BL1006),$AN$1006:$BO$1006,0)))),"Fix")))</f>
        <v>0</v>
      </c>
      <c r="AA83" s="4">
        <f>IF(OR(INDEX($AH$2:$AH$1001,MATCH(ROWS($AG$2:AG83),$AG$2:$AG$1001,0),1)&gt;=100000,INDEX($AN$1005:$BO$1005,1,MATCH(COLUMNS($AN$1006:BM1006),$AN$1006:$BO$1006,0))&gt;=100000), " ",IF(INDEX($AN$2:$BO$1001,MATCH(ROWS($AG$2:AG83),$AG$2:$AG$1001,0),MATCH(COLUMNS($AN$1006:BM1006),$AN$1006:$BO$1006,0)), HYPERLINK("#",""), HYPERLINK(CONCATENATE("#Metadata!", ADDRESS(INDEX($AI$2:$AI$1001,MATCH(ROWS($AG$2:AG83),$AG$2:$AG$1001,0),0), INDEX($AN$1004:$BO$1004,1,MATCH(COLUMNS($AN$1006:BM1006),$AN$1006:$BO$1006,0)))),"Fix")))</f>
        <v>0</v>
      </c>
      <c r="AB83" s="4">
        <f>IF(OR(INDEX($AH$2:$AH$1001,MATCH(ROWS($AG$2:AG83),$AG$2:$AG$1001,0),1)&gt;=100000,INDEX($AN$1005:$BO$1005,1,MATCH(COLUMNS($AN$1006:BN1006),$AN$1006:$BO$1006,0))&gt;=100000), " ",IF(INDEX($AN$2:$BO$1001,MATCH(ROWS($AG$2:AG83),$AG$2:$AG$1001,0),MATCH(COLUMNS($AN$1006:BN1006),$AN$1006:$BO$1006,0)), HYPERLINK("#",""), HYPERLINK(CONCATENATE("#Metadata!", ADDRESS(INDEX($AI$2:$AI$1001,MATCH(ROWS($AG$2:AG83),$AG$2:$AG$1001,0),0), INDEX($AN$1004:$BO$1004,1,MATCH(COLUMNS($AN$1006:BN1006),$AN$1006:$BO$1006,0)))),"Fix")))</f>
        <v>0</v>
      </c>
      <c r="AC83" s="4">
        <f>IF(OR(INDEX($AH$2:$AH$1001,MATCH(ROWS($AG$2:AG83),$AG$2:$AG$1001,0),1)&gt;=100000,INDEX($AN$1005:$BO$1005,1,MATCH(COLUMNS($AN$1006:BO1006),$AN$1006:$BO$1006,0))&gt;=100000), " ",IF(INDEX($AN$2:$BO$1001,MATCH(ROWS($AG$2:AG83),$AG$2:$AG$1001,0),MATCH(COLUMNS($AN$1006:BO1006),$AN$1006:$BO$1006,0)), HYPERLINK("#",""), HYPERLINK(CONCATENATE("#Metadata!", ADDRESS(INDEX($AI$2:$AI$1001,MATCH(ROWS($AG$2:AG83),$AG$2:$AG$1001,0),0), INDEX($AN$1004:$BO$1004,1,MATCH(COLUMNS($AN$1006:BO1006),$AN$1006:$BO$1006,0)))),"Fix")))</f>
        <v>0</v>
      </c>
      <c r="AG83">
        <v>0</v>
      </c>
      <c r="AH83">
        <v>0</v>
      </c>
      <c r="AI83">
        <v>0</v>
      </c>
      <c r="AJ83">
        <f>IF(AK83,TRUE,AND(AN83:BO83))</f>
        <v>0</v>
      </c>
      <c r="AK83">
        <f>COUNTBLANK(Metadata!B83:AC83)=COLUMNS(Metadata!B83:AC83)</f>
        <v>0</v>
      </c>
      <c r="AL83">
        <v>0</v>
      </c>
      <c r="AN83">
        <f>AND(IF(Metadata!B83="",FALSE,TRUE),COUNTIF(Metadata!B:B, Metadata!B83) = 1,NOT(ISERROR(SUMPRODUCT(SEARCH(MID(Metadata!B83,ROW(INDIRECT("1:"&amp;LEN(Metadata!B83))), 1),"0123456789abcdefghijklmnopqrstuvwxyzABCDEFGHIJKLMNOPQRSTUVWXYZ.")))))</f>
        <v>0</v>
      </c>
      <c r="AO83">
        <f>IF(Metadata!C83="",FALSE,TRUE)</f>
        <v>0</v>
      </c>
      <c r="AP83">
        <f>IF(Metadata!D83="",FALSE,TRUE)</f>
        <v>0</v>
      </c>
      <c r="AQ83">
        <f>OR(AND(IF(Metadata!E83="",FALSE,TRUE),OR(exact(Metadata!E83,"not collected"),exact(Metadata!E83,"not provided"),exact(Metadata!E83,"restricted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R83">
        <f>IF(Metadata!F83="",FALSE,TRUE)</f>
        <v>0</v>
      </c>
      <c r="AS83">
        <f>OR(AND(IF(Metadata!G83="",FALSE,TRUE),OR(exact(Metadata!G83,"not collected"),exact(Metadata!G83,"not provided"))),AND(IF(Metadata!G83="",FALSE,TRUE),OR(exact(Metadata!G83,"TRUE"),exact(Metadata!G83,"FALSE"))))</f>
        <v>0</v>
      </c>
      <c r="AT83">
        <f>OR(AND(IF(Metadata!H83="",FALSE,TRUE),OR(exact(Metadata!H83,"not collected"),exact(Metadata!H83,"not provided"),exact(Metadata!H83,"restricted access"))),AND(IF(Metadata!H83="",FALSE,ISNUMBER(VALUE(Metadata!H83))),Metadata!H83&gt;=-413.0))</f>
        <v>0</v>
      </c>
      <c r="AU83">
        <f>AND(IF(Metadata!I83="",FALSE,TRUE),exact(Metadata!I83,"meters"))</f>
        <v>0</v>
      </c>
      <c r="AV83">
        <f>AND(IF(Metadata!J83="",FALSE,TRUE),OR(exact(Metadata!J83,"Host-associated"),exact(Metadata!J83,"Free-living")))</f>
        <v>0</v>
      </c>
      <c r="AW83">
        <f>AND(IF(Metadata!K83="",FALSE,TRUE),OR(exact(Metadata!K83,"Animal"),exact(Metadata!K83,"Fungus"),exact(Metadata!K83,"Plant"),exact(Metadata!K83,"Saline"),exact(Metadata!K83,"Non-saline")))</f>
        <v>0</v>
      </c>
      <c r="AX83">
        <f>AND(IF(Metadata!L83="",FALSE,TRUE),OR(exact(Metadata!L83,"Plant secretion"),exact(Metadata!L83,"Plant rhizosphere"),exact(Metadata!L83,"Plant surface"),exact(Metadata!L83,"Plant corpus"),exact(Metadata!L83,"Fungus surface"),exact(Metadata!L83,"Fungus corpus"),exact(Metadata!L83,"Animal surface"),exact(Metadata!L83,"Animal proximal gut"),exact(Metadata!L83,"Animal corpus"),exact(Metadata!L83,"Animal distal gut"),exact(Metadata!L83,"Animal secretion"),exact(Metadata!L83,"Sub-surface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Y83">
        <f>IF(Metadata!M83="",FALSE,TRUE)</f>
        <v>0</v>
      </c>
      <c r="AZ83">
        <f>IF(Metadata!N83="",FALSE,TRUE)</f>
        <v>0</v>
      </c>
      <c r="BA83">
        <f>IF(Metadata!O83="",FALSE,TRUE)</f>
        <v>0</v>
      </c>
      <c r="BB83">
        <f>OR(AND(IF(Metadata!P83="",FALSE,TRUE),OR(exact(Metadata!P83,"not collected"),exact(Metadata!P83,"not provided"),exact(Metadata!P83,"restricted access"))),AND(IF(Metadata!P83="",FALSE,TRUE),OR(exact(Metadata!P83,"air"),exact(Metadata!P83,"built environment"),exact(Metadata!P83,"host-associated"),exact(Metadata!P83,"human-associated"),exact(Metadata!P83,"human-skin"),exact(Metadata!P83,"human-oral"),exact(Metadata!P83,"human-gut"),exact(Metadata!P83,"human-vaginal"),exact(Metadata!P83,"microbial mat/biofilm"),exact(Metadata!P83,"misc environment"),exact(Metadata!P83,"plant-associated"),exact(Metadata!P83,"sediment"),exact(Metadata!P83,"soil"),exact(Metadata!P83,"wastewater/sludge"),exact(Metadata!P83,"water"))))</f>
        <v>0</v>
      </c>
      <c r="BC83">
        <f>IF(Metadata!Q83="",FALSE,TRUE)</f>
        <v>0</v>
      </c>
      <c r="BD83">
        <f>IF(Metadata!R83="",FALSE,TRUE)</f>
        <v>0</v>
      </c>
      <c r="BE83">
        <f>OR(AND(IF(Metadata!S83="",FALSE,TRUE),OR(exact(Metadata!S83,"not collected"),exact(Metadata!S83,"not provided"),exact(Metadata!S83,"restricted access"))),AND(IF(Metadata!S83="",FALSE,ISNUMBER(VALUE(Metadata!S83))),Metadata!S83&gt;=-90.00,Metadata!S83&lt;=90.00))</f>
        <v>0</v>
      </c>
      <c r="BF83">
        <f>AND(IF(Metadata!T83="",FALSE,TRUE),exact(Metadata!T83,"Decimal degrees"))</f>
        <v>0</v>
      </c>
      <c r="BG83">
        <f>OR(AND(IF(Metadata!U83="",FALSE,TRUE),OR(exact(Metadata!U83,"not collected"),exact(Metadata!U83,"not provided"),exact(Metadata!U83,"restricted access"))),AND(IF(Metadata!U83="",FALSE,ISNUMBER(VALUE(Metadata!U83))),Metadata!U83&gt;=-180.00,Metadata!U83&lt;=180.00))</f>
        <v>0</v>
      </c>
      <c r="BH83">
        <f>AND(IF(Metadata!V83="",FALSE,TRUE),exact(Metadata!V83,"Decimal degrees"))</f>
        <v>0</v>
      </c>
      <c r="BI83">
        <f>IF(Metadata!W83="",FALSE,TRUE)</f>
        <v>0</v>
      </c>
      <c r="BJ83">
        <f>OR(AND(IF(Metadata!X83="",FALSE,TRUE),OR(exact(Metadata!X83,"not collected"),exact(Metadata!X83,"not provided"),exact(Metadata!X83,"restricted access"))),AND(IF(Metadata!X83="",FALSE,TRUE),OR(exact(Metadata!X83,"TRUE"),exact(Metadata!X83,"FALSE"))))</f>
        <v>0</v>
      </c>
      <c r="BK83">
        <f>AND(IF(Metadata!Y83="",FALSE,TRUE),exact(Metadata!Y83,"other"))</f>
        <v>0</v>
      </c>
      <c r="BL83">
        <f>IF(Metadata!Z83="",FALSE,TRUE)</f>
        <v>0</v>
      </c>
      <c r="BM83">
        <f>OR(AND(IF(Metadata!AA83="",FALSE,TRUE),OR(exact(Metadata!AA83,"not collected"),exact(Metadata!AA83,"not provided"))),AND(IF(Metadata!AA83="",FALSE,IF(ISERROR(INT(Metadata!AA83)),FALSE,INT(Metadata!AA83)=Metadata!AA83)),Metadata!AA83&gt;0))</f>
        <v>0</v>
      </c>
      <c r="BN83">
        <f>AND(IF(Metadata!AB83="",FALSE,TRUE),exact(Metadata!AB83,"Not applicable"))</f>
        <v>0</v>
      </c>
      <c r="BO83">
        <f>IF(Metadata!AC83="",FALSE,TRUE)</f>
        <v>0</v>
      </c>
    </row>
    <row r="84" spans="1:67">
      <c r="A84" s="5">
        <f>IF(B84=" "," ",HYPERLINK(CONCATENATE("#metadata!",ADDRESS(INDEX($AI$2:$AI$1001,MATCH(ROWS($AG$2:AG84),$AG$2:$AG$1001,0),0),1)),INDEX($AL$2:$AL$1001,MATCH(ROWS($AG$2:AG84),$AG$2:$AG$1001,0),0)))</f>
        <v>0</v>
      </c>
      <c r="B84" s="4">
        <f>IF(OR(INDEX($AH$2:$AH$1001,MATCH(ROWS($AG$2:AG84),$AG$2:$AG$1001,0),1)&gt;=100000,INDEX($AN$1005:$BO$1005,1,MATCH(COLUMNS($AN$1006:AN1006),$AN$1006:$BO$1006,0))&gt;=100000), " ",IF(INDEX($AN$2:$BO$1001,MATCH(ROWS($AG$2:AG84),$AG$2:$AG$1001,0),MATCH(COLUMNS($AN$1006:AN1006),$AN$1006:$BO$1006,0)), HYPERLINK("#",""), HYPERLINK(CONCATENATE("#Metadata!", ADDRESS(INDEX($AI$2:$AI$1001,MATCH(ROWS($AG$2:AG84),$AG$2:$AG$1001,0),0), INDEX($AN$1004:$BO$1004,1,MATCH(COLUMNS($AN$1006:AN1006),$AN$1006:$BO$1006,0)))),"Fix")))</f>
        <v>0</v>
      </c>
      <c r="C84" s="4">
        <f>IF(OR(INDEX($AH$2:$AH$1001,MATCH(ROWS($AG$2:AG84),$AG$2:$AG$1001,0),1)&gt;=100000,INDEX($AN$1005:$BO$1005,1,MATCH(COLUMNS($AN$1006:AO1006),$AN$1006:$BO$1006,0))&gt;=100000), " ",IF(INDEX($AN$2:$BO$1001,MATCH(ROWS($AG$2:AG84),$AG$2:$AG$1001,0),MATCH(COLUMNS($AN$1006:AO1006),$AN$1006:$BO$1006,0)), HYPERLINK("#",""), HYPERLINK(CONCATENATE("#Metadata!", ADDRESS(INDEX($AI$2:$AI$1001,MATCH(ROWS($AG$2:AG84),$AG$2:$AG$1001,0),0), INDEX($AN$1004:$BO$1004,1,MATCH(COLUMNS($AN$1006:AO1006),$AN$1006:$BO$1006,0)))),"Fix")))</f>
        <v>0</v>
      </c>
      <c r="D84" s="4">
        <f>IF(OR(INDEX($AH$2:$AH$1001,MATCH(ROWS($AG$2:AG84),$AG$2:$AG$1001,0),1)&gt;=100000,INDEX($AN$1005:$BO$1005,1,MATCH(COLUMNS($AN$1006:AP1006),$AN$1006:$BO$1006,0))&gt;=100000), " ",IF(INDEX($AN$2:$BO$1001,MATCH(ROWS($AG$2:AG84),$AG$2:$AG$1001,0),MATCH(COLUMNS($AN$1006:AP1006),$AN$1006:$BO$1006,0)), HYPERLINK("#",""), HYPERLINK(CONCATENATE("#Metadata!", ADDRESS(INDEX($AI$2:$AI$1001,MATCH(ROWS($AG$2:AG84),$AG$2:$AG$1001,0),0), INDEX($AN$1004:$BO$1004,1,MATCH(COLUMNS($AN$1006:AP1006),$AN$1006:$BO$1006,0)))),"Fix")))</f>
        <v>0</v>
      </c>
      <c r="E84" s="4">
        <f>IF(OR(INDEX($AH$2:$AH$1001,MATCH(ROWS($AG$2:AG84),$AG$2:$AG$1001,0),1)&gt;=100000,INDEX($AN$1005:$BO$1005,1,MATCH(COLUMNS($AN$1006:AQ1006),$AN$1006:$BO$1006,0))&gt;=100000), " ",IF(INDEX($AN$2:$BO$1001,MATCH(ROWS($AG$2:AG84),$AG$2:$AG$1001,0),MATCH(COLUMNS($AN$1006:AQ1006),$AN$1006:$BO$1006,0)), HYPERLINK("#",""), HYPERLINK(CONCATENATE("#Metadata!", ADDRESS(INDEX($AI$2:$AI$1001,MATCH(ROWS($AG$2:AG84),$AG$2:$AG$1001,0),0), INDEX($AN$1004:$BO$1004,1,MATCH(COLUMNS($AN$1006:AQ1006),$AN$1006:$BO$1006,0)))),"Fix")))</f>
        <v>0</v>
      </c>
      <c r="F84" s="4">
        <f>IF(OR(INDEX($AH$2:$AH$1001,MATCH(ROWS($AG$2:AG84),$AG$2:$AG$1001,0),1)&gt;=100000,INDEX($AN$1005:$BO$1005,1,MATCH(COLUMNS($AN$1006:AR1006),$AN$1006:$BO$1006,0))&gt;=100000), " ",IF(INDEX($AN$2:$BO$1001,MATCH(ROWS($AG$2:AG84),$AG$2:$AG$1001,0),MATCH(COLUMNS($AN$1006:AR1006),$AN$1006:$BO$1006,0)), HYPERLINK("#",""), HYPERLINK(CONCATENATE("#Metadata!", ADDRESS(INDEX($AI$2:$AI$1001,MATCH(ROWS($AG$2:AG84),$AG$2:$AG$1001,0),0), INDEX($AN$1004:$BO$1004,1,MATCH(COLUMNS($AN$1006:AR1006),$AN$1006:$BO$1006,0)))),"Fix")))</f>
        <v>0</v>
      </c>
      <c r="G84" s="4">
        <f>IF(OR(INDEX($AH$2:$AH$1001,MATCH(ROWS($AG$2:AG84),$AG$2:$AG$1001,0),1)&gt;=100000,INDEX($AN$1005:$BO$1005,1,MATCH(COLUMNS($AN$1006:AS1006),$AN$1006:$BO$1006,0))&gt;=100000), " ",IF(INDEX($AN$2:$BO$1001,MATCH(ROWS($AG$2:AG84),$AG$2:$AG$1001,0),MATCH(COLUMNS($AN$1006:AS1006),$AN$1006:$BO$1006,0)), HYPERLINK("#",""), HYPERLINK(CONCATENATE("#Metadata!", ADDRESS(INDEX($AI$2:$AI$1001,MATCH(ROWS($AG$2:AG84),$AG$2:$AG$1001,0),0), INDEX($AN$1004:$BO$1004,1,MATCH(COLUMNS($AN$1006:AS1006),$AN$1006:$BO$1006,0)))),"Fix")))</f>
        <v>0</v>
      </c>
      <c r="H84" s="4">
        <f>IF(OR(INDEX($AH$2:$AH$1001,MATCH(ROWS($AG$2:AG84),$AG$2:$AG$1001,0),1)&gt;=100000,INDEX($AN$1005:$BO$1005,1,MATCH(COLUMNS($AN$1006:AT1006),$AN$1006:$BO$1006,0))&gt;=100000), " ",IF(INDEX($AN$2:$BO$1001,MATCH(ROWS($AG$2:AG84),$AG$2:$AG$1001,0),MATCH(COLUMNS($AN$1006:AT1006),$AN$1006:$BO$1006,0)), HYPERLINK("#",""), HYPERLINK(CONCATENATE("#Metadata!", ADDRESS(INDEX($AI$2:$AI$1001,MATCH(ROWS($AG$2:AG84),$AG$2:$AG$1001,0),0), INDEX($AN$1004:$BO$1004,1,MATCH(COLUMNS($AN$1006:AT1006),$AN$1006:$BO$1006,0)))),"Fix")))</f>
        <v>0</v>
      </c>
      <c r="I84" s="4">
        <f>IF(OR(INDEX($AH$2:$AH$1001,MATCH(ROWS($AG$2:AG84),$AG$2:$AG$1001,0),1)&gt;=100000,INDEX($AN$1005:$BO$1005,1,MATCH(COLUMNS($AN$1006:AU1006),$AN$1006:$BO$1006,0))&gt;=100000), " ",IF(INDEX($AN$2:$BO$1001,MATCH(ROWS($AG$2:AG84),$AG$2:$AG$1001,0),MATCH(COLUMNS($AN$1006:AU1006),$AN$1006:$BO$1006,0)), HYPERLINK("#",""), HYPERLINK(CONCATENATE("#Metadata!", ADDRESS(INDEX($AI$2:$AI$1001,MATCH(ROWS($AG$2:AG84),$AG$2:$AG$1001,0),0), INDEX($AN$1004:$BO$1004,1,MATCH(COLUMNS($AN$1006:AU1006),$AN$1006:$BO$1006,0)))),"Fix")))</f>
        <v>0</v>
      </c>
      <c r="J84" s="4">
        <f>IF(OR(INDEX($AH$2:$AH$1001,MATCH(ROWS($AG$2:AG84),$AG$2:$AG$1001,0),1)&gt;=100000,INDEX($AN$1005:$BO$1005,1,MATCH(COLUMNS($AN$1006:AV1006),$AN$1006:$BO$1006,0))&gt;=100000), " ",IF(INDEX($AN$2:$BO$1001,MATCH(ROWS($AG$2:AG84),$AG$2:$AG$1001,0),MATCH(COLUMNS($AN$1006:AV1006),$AN$1006:$BO$1006,0)), HYPERLINK("#",""), HYPERLINK(CONCATENATE("#Metadata!", ADDRESS(INDEX($AI$2:$AI$1001,MATCH(ROWS($AG$2:AG84),$AG$2:$AG$1001,0),0), INDEX($AN$1004:$BO$1004,1,MATCH(COLUMNS($AN$1006:AV1006),$AN$1006:$BO$1006,0)))),"Fix")))</f>
        <v>0</v>
      </c>
      <c r="K84" s="4">
        <f>IF(OR(INDEX($AH$2:$AH$1001,MATCH(ROWS($AG$2:AG84),$AG$2:$AG$1001,0),1)&gt;=100000,INDEX($AN$1005:$BO$1005,1,MATCH(COLUMNS($AN$1006:AW1006),$AN$1006:$BO$1006,0))&gt;=100000), " ",IF(INDEX($AN$2:$BO$1001,MATCH(ROWS($AG$2:AG84),$AG$2:$AG$1001,0),MATCH(COLUMNS($AN$1006:AW1006),$AN$1006:$BO$1006,0)), HYPERLINK("#",""), HYPERLINK(CONCATENATE("#Metadata!", ADDRESS(INDEX($AI$2:$AI$1001,MATCH(ROWS($AG$2:AG84),$AG$2:$AG$1001,0),0), INDEX($AN$1004:$BO$1004,1,MATCH(COLUMNS($AN$1006:AW1006),$AN$1006:$BO$1006,0)))),"Fix")))</f>
        <v>0</v>
      </c>
      <c r="L84" s="4">
        <f>IF(OR(INDEX($AH$2:$AH$1001,MATCH(ROWS($AG$2:AG84),$AG$2:$AG$1001,0),1)&gt;=100000,INDEX($AN$1005:$BO$1005,1,MATCH(COLUMNS($AN$1006:AX1006),$AN$1006:$BO$1006,0))&gt;=100000), " ",IF(INDEX($AN$2:$BO$1001,MATCH(ROWS($AG$2:AG84),$AG$2:$AG$1001,0),MATCH(COLUMNS($AN$1006:AX1006),$AN$1006:$BO$1006,0)), HYPERLINK("#",""), HYPERLINK(CONCATENATE("#Metadata!", ADDRESS(INDEX($AI$2:$AI$1001,MATCH(ROWS($AG$2:AG84),$AG$2:$AG$1001,0),0), INDEX($AN$1004:$BO$1004,1,MATCH(COLUMNS($AN$1006:AX1006),$AN$1006:$BO$1006,0)))),"Fix")))</f>
        <v>0</v>
      </c>
      <c r="M84" s="4">
        <f>IF(OR(INDEX($AH$2:$AH$1001,MATCH(ROWS($AG$2:AG84),$AG$2:$AG$1001,0),1)&gt;=100000,INDEX($AN$1005:$BO$1005,1,MATCH(COLUMNS($AN$1006:AY1006),$AN$1006:$BO$1006,0))&gt;=100000), " ",IF(INDEX($AN$2:$BO$1001,MATCH(ROWS($AG$2:AG84),$AG$2:$AG$1001,0),MATCH(COLUMNS($AN$1006:AY1006),$AN$1006:$BO$1006,0)), HYPERLINK("#",""), HYPERLINK(CONCATENATE("#Metadata!", ADDRESS(INDEX($AI$2:$AI$1001,MATCH(ROWS($AG$2:AG84),$AG$2:$AG$1001,0),0), INDEX($AN$1004:$BO$1004,1,MATCH(COLUMNS($AN$1006:AY1006),$AN$1006:$BO$1006,0)))),"Fix")))</f>
        <v>0</v>
      </c>
      <c r="N84" s="4">
        <f>IF(OR(INDEX($AH$2:$AH$1001,MATCH(ROWS($AG$2:AG84),$AG$2:$AG$1001,0),1)&gt;=100000,INDEX($AN$1005:$BO$1005,1,MATCH(COLUMNS($AN$1006:AZ1006),$AN$1006:$BO$1006,0))&gt;=100000), " ",IF(INDEX($AN$2:$BO$1001,MATCH(ROWS($AG$2:AG84),$AG$2:$AG$1001,0),MATCH(COLUMNS($AN$1006:AZ1006),$AN$1006:$BO$1006,0)), HYPERLINK("#",""), HYPERLINK(CONCATENATE("#Metadata!", ADDRESS(INDEX($AI$2:$AI$1001,MATCH(ROWS($AG$2:AG84),$AG$2:$AG$1001,0),0), INDEX($AN$1004:$BO$1004,1,MATCH(COLUMNS($AN$1006:AZ1006),$AN$1006:$BO$1006,0)))),"Fix")))</f>
        <v>0</v>
      </c>
      <c r="O84" s="4">
        <f>IF(OR(INDEX($AH$2:$AH$1001,MATCH(ROWS($AG$2:AG84),$AG$2:$AG$1001,0),1)&gt;=100000,INDEX($AN$1005:$BO$1005,1,MATCH(COLUMNS($AN$1006:BA1006),$AN$1006:$BO$1006,0))&gt;=100000), " ",IF(INDEX($AN$2:$BO$1001,MATCH(ROWS($AG$2:AG84),$AG$2:$AG$1001,0),MATCH(COLUMNS($AN$1006:BA1006),$AN$1006:$BO$1006,0)), HYPERLINK("#",""), HYPERLINK(CONCATENATE("#Metadata!", ADDRESS(INDEX($AI$2:$AI$1001,MATCH(ROWS($AG$2:AG84),$AG$2:$AG$1001,0),0), INDEX($AN$1004:$BO$1004,1,MATCH(COLUMNS($AN$1006:BA1006),$AN$1006:$BO$1006,0)))),"Fix")))</f>
        <v>0</v>
      </c>
      <c r="P84" s="4">
        <f>IF(OR(INDEX($AH$2:$AH$1001,MATCH(ROWS($AG$2:AG84),$AG$2:$AG$1001,0),1)&gt;=100000,INDEX($AN$1005:$BO$1005,1,MATCH(COLUMNS($AN$1006:BB1006),$AN$1006:$BO$1006,0))&gt;=100000), " ",IF(INDEX($AN$2:$BO$1001,MATCH(ROWS($AG$2:AG84),$AG$2:$AG$1001,0),MATCH(COLUMNS($AN$1006:BB1006),$AN$1006:$BO$1006,0)), HYPERLINK("#",""), HYPERLINK(CONCATENATE("#Metadata!", ADDRESS(INDEX($AI$2:$AI$1001,MATCH(ROWS($AG$2:AG84),$AG$2:$AG$1001,0),0), INDEX($AN$1004:$BO$1004,1,MATCH(COLUMNS($AN$1006:BB1006),$AN$1006:$BO$1006,0)))),"Fix")))</f>
        <v>0</v>
      </c>
      <c r="Q84" s="4">
        <f>IF(OR(INDEX($AH$2:$AH$1001,MATCH(ROWS($AG$2:AG84),$AG$2:$AG$1001,0),1)&gt;=100000,INDEX($AN$1005:$BO$1005,1,MATCH(COLUMNS($AN$1006:BC1006),$AN$1006:$BO$1006,0))&gt;=100000), " ",IF(INDEX($AN$2:$BO$1001,MATCH(ROWS($AG$2:AG84),$AG$2:$AG$1001,0),MATCH(COLUMNS($AN$1006:BC1006),$AN$1006:$BO$1006,0)), HYPERLINK("#",""), HYPERLINK(CONCATENATE("#Metadata!", ADDRESS(INDEX($AI$2:$AI$1001,MATCH(ROWS($AG$2:AG84),$AG$2:$AG$1001,0),0), INDEX($AN$1004:$BO$1004,1,MATCH(COLUMNS($AN$1006:BC1006),$AN$1006:$BO$1006,0)))),"Fix")))</f>
        <v>0</v>
      </c>
      <c r="R84" s="4">
        <f>IF(OR(INDEX($AH$2:$AH$1001,MATCH(ROWS($AG$2:AG84),$AG$2:$AG$1001,0),1)&gt;=100000,INDEX($AN$1005:$BO$1005,1,MATCH(COLUMNS($AN$1006:BD1006),$AN$1006:$BO$1006,0))&gt;=100000), " ",IF(INDEX($AN$2:$BO$1001,MATCH(ROWS($AG$2:AG84),$AG$2:$AG$1001,0),MATCH(COLUMNS($AN$1006:BD1006),$AN$1006:$BO$1006,0)), HYPERLINK("#",""), HYPERLINK(CONCATENATE("#Metadata!", ADDRESS(INDEX($AI$2:$AI$1001,MATCH(ROWS($AG$2:AG84),$AG$2:$AG$1001,0),0), INDEX($AN$1004:$BO$1004,1,MATCH(COLUMNS($AN$1006:BD1006),$AN$1006:$BO$1006,0)))),"Fix")))</f>
        <v>0</v>
      </c>
      <c r="S84" s="4">
        <f>IF(OR(INDEX($AH$2:$AH$1001,MATCH(ROWS($AG$2:AG84),$AG$2:$AG$1001,0),1)&gt;=100000,INDEX($AN$1005:$BO$1005,1,MATCH(COLUMNS($AN$1006:BE1006),$AN$1006:$BO$1006,0))&gt;=100000), " ",IF(INDEX($AN$2:$BO$1001,MATCH(ROWS($AG$2:AG84),$AG$2:$AG$1001,0),MATCH(COLUMNS($AN$1006:BE1006),$AN$1006:$BO$1006,0)), HYPERLINK("#",""), HYPERLINK(CONCATENATE("#Metadata!", ADDRESS(INDEX($AI$2:$AI$1001,MATCH(ROWS($AG$2:AG84),$AG$2:$AG$1001,0),0), INDEX($AN$1004:$BO$1004,1,MATCH(COLUMNS($AN$1006:BE1006),$AN$1006:$BO$1006,0)))),"Fix")))</f>
        <v>0</v>
      </c>
      <c r="T84" s="4">
        <f>IF(OR(INDEX($AH$2:$AH$1001,MATCH(ROWS($AG$2:AG84),$AG$2:$AG$1001,0),1)&gt;=100000,INDEX($AN$1005:$BO$1005,1,MATCH(COLUMNS($AN$1006:BF1006),$AN$1006:$BO$1006,0))&gt;=100000), " ",IF(INDEX($AN$2:$BO$1001,MATCH(ROWS($AG$2:AG84),$AG$2:$AG$1001,0),MATCH(COLUMNS($AN$1006:BF1006),$AN$1006:$BO$1006,0)), HYPERLINK("#",""), HYPERLINK(CONCATENATE("#Metadata!", ADDRESS(INDEX($AI$2:$AI$1001,MATCH(ROWS($AG$2:AG84),$AG$2:$AG$1001,0),0), INDEX($AN$1004:$BO$1004,1,MATCH(COLUMNS($AN$1006:BF1006),$AN$1006:$BO$1006,0)))),"Fix")))</f>
        <v>0</v>
      </c>
      <c r="U84" s="4">
        <f>IF(OR(INDEX($AH$2:$AH$1001,MATCH(ROWS($AG$2:AG84),$AG$2:$AG$1001,0),1)&gt;=100000,INDEX($AN$1005:$BO$1005,1,MATCH(COLUMNS($AN$1006:BG1006),$AN$1006:$BO$1006,0))&gt;=100000), " ",IF(INDEX($AN$2:$BO$1001,MATCH(ROWS($AG$2:AG84),$AG$2:$AG$1001,0),MATCH(COLUMNS($AN$1006:BG1006),$AN$1006:$BO$1006,0)), HYPERLINK("#",""), HYPERLINK(CONCATENATE("#Metadata!", ADDRESS(INDEX($AI$2:$AI$1001,MATCH(ROWS($AG$2:AG84),$AG$2:$AG$1001,0),0), INDEX($AN$1004:$BO$1004,1,MATCH(COLUMNS($AN$1006:BG1006),$AN$1006:$BO$1006,0)))),"Fix")))</f>
        <v>0</v>
      </c>
      <c r="V84" s="4">
        <f>IF(OR(INDEX($AH$2:$AH$1001,MATCH(ROWS($AG$2:AG84),$AG$2:$AG$1001,0),1)&gt;=100000,INDEX($AN$1005:$BO$1005,1,MATCH(COLUMNS($AN$1006:BH1006),$AN$1006:$BO$1006,0))&gt;=100000), " ",IF(INDEX($AN$2:$BO$1001,MATCH(ROWS($AG$2:AG84),$AG$2:$AG$1001,0),MATCH(COLUMNS($AN$1006:BH1006),$AN$1006:$BO$1006,0)), HYPERLINK("#",""), HYPERLINK(CONCATENATE("#Metadata!", ADDRESS(INDEX($AI$2:$AI$1001,MATCH(ROWS($AG$2:AG84),$AG$2:$AG$1001,0),0), INDEX($AN$1004:$BO$1004,1,MATCH(COLUMNS($AN$1006:BH1006),$AN$1006:$BO$1006,0)))),"Fix")))</f>
        <v>0</v>
      </c>
      <c r="W84" s="4">
        <f>IF(OR(INDEX($AH$2:$AH$1001,MATCH(ROWS($AG$2:AG84),$AG$2:$AG$1001,0),1)&gt;=100000,INDEX($AN$1005:$BO$1005,1,MATCH(COLUMNS($AN$1006:BI1006),$AN$1006:$BO$1006,0))&gt;=100000), " ",IF(INDEX($AN$2:$BO$1001,MATCH(ROWS($AG$2:AG84),$AG$2:$AG$1001,0),MATCH(COLUMNS($AN$1006:BI1006),$AN$1006:$BO$1006,0)), HYPERLINK("#",""), HYPERLINK(CONCATENATE("#Metadata!", ADDRESS(INDEX($AI$2:$AI$1001,MATCH(ROWS($AG$2:AG84),$AG$2:$AG$1001,0),0), INDEX($AN$1004:$BO$1004,1,MATCH(COLUMNS($AN$1006:BI1006),$AN$1006:$BO$1006,0)))),"Fix")))</f>
        <v>0</v>
      </c>
      <c r="X84" s="4">
        <f>IF(OR(INDEX($AH$2:$AH$1001,MATCH(ROWS($AG$2:AG84),$AG$2:$AG$1001,0),1)&gt;=100000,INDEX($AN$1005:$BO$1005,1,MATCH(COLUMNS($AN$1006:BJ1006),$AN$1006:$BO$1006,0))&gt;=100000), " ",IF(INDEX($AN$2:$BO$1001,MATCH(ROWS($AG$2:AG84),$AG$2:$AG$1001,0),MATCH(COLUMNS($AN$1006:BJ1006),$AN$1006:$BO$1006,0)), HYPERLINK("#",""), HYPERLINK(CONCATENATE("#Metadata!", ADDRESS(INDEX($AI$2:$AI$1001,MATCH(ROWS($AG$2:AG84),$AG$2:$AG$1001,0),0), INDEX($AN$1004:$BO$1004,1,MATCH(COLUMNS($AN$1006:BJ1006),$AN$1006:$BO$1006,0)))),"Fix")))</f>
        <v>0</v>
      </c>
      <c r="Y84" s="4">
        <f>IF(OR(INDEX($AH$2:$AH$1001,MATCH(ROWS($AG$2:AG84),$AG$2:$AG$1001,0),1)&gt;=100000,INDEX($AN$1005:$BO$1005,1,MATCH(COLUMNS($AN$1006:BK1006),$AN$1006:$BO$1006,0))&gt;=100000), " ",IF(INDEX($AN$2:$BO$1001,MATCH(ROWS($AG$2:AG84),$AG$2:$AG$1001,0),MATCH(COLUMNS($AN$1006:BK1006),$AN$1006:$BO$1006,0)), HYPERLINK("#",""), HYPERLINK(CONCATENATE("#Metadata!", ADDRESS(INDEX($AI$2:$AI$1001,MATCH(ROWS($AG$2:AG84),$AG$2:$AG$1001,0),0), INDEX($AN$1004:$BO$1004,1,MATCH(COLUMNS($AN$1006:BK1006),$AN$1006:$BO$1006,0)))),"Fix")))</f>
        <v>0</v>
      </c>
      <c r="Z84" s="4">
        <f>IF(OR(INDEX($AH$2:$AH$1001,MATCH(ROWS($AG$2:AG84),$AG$2:$AG$1001,0),1)&gt;=100000,INDEX($AN$1005:$BO$1005,1,MATCH(COLUMNS($AN$1006:BL1006),$AN$1006:$BO$1006,0))&gt;=100000), " ",IF(INDEX($AN$2:$BO$1001,MATCH(ROWS($AG$2:AG84),$AG$2:$AG$1001,0),MATCH(COLUMNS($AN$1006:BL1006),$AN$1006:$BO$1006,0)), HYPERLINK("#",""), HYPERLINK(CONCATENATE("#Metadata!", ADDRESS(INDEX($AI$2:$AI$1001,MATCH(ROWS($AG$2:AG84),$AG$2:$AG$1001,0),0), INDEX($AN$1004:$BO$1004,1,MATCH(COLUMNS($AN$1006:BL1006),$AN$1006:$BO$1006,0)))),"Fix")))</f>
        <v>0</v>
      </c>
      <c r="AA84" s="4">
        <f>IF(OR(INDEX($AH$2:$AH$1001,MATCH(ROWS($AG$2:AG84),$AG$2:$AG$1001,0),1)&gt;=100000,INDEX($AN$1005:$BO$1005,1,MATCH(COLUMNS($AN$1006:BM1006),$AN$1006:$BO$1006,0))&gt;=100000), " ",IF(INDEX($AN$2:$BO$1001,MATCH(ROWS($AG$2:AG84),$AG$2:$AG$1001,0),MATCH(COLUMNS($AN$1006:BM1006),$AN$1006:$BO$1006,0)), HYPERLINK("#",""), HYPERLINK(CONCATENATE("#Metadata!", ADDRESS(INDEX($AI$2:$AI$1001,MATCH(ROWS($AG$2:AG84),$AG$2:$AG$1001,0),0), INDEX($AN$1004:$BO$1004,1,MATCH(COLUMNS($AN$1006:BM1006),$AN$1006:$BO$1006,0)))),"Fix")))</f>
        <v>0</v>
      </c>
      <c r="AB84" s="4">
        <f>IF(OR(INDEX($AH$2:$AH$1001,MATCH(ROWS($AG$2:AG84),$AG$2:$AG$1001,0),1)&gt;=100000,INDEX($AN$1005:$BO$1005,1,MATCH(COLUMNS($AN$1006:BN1006),$AN$1006:$BO$1006,0))&gt;=100000), " ",IF(INDEX($AN$2:$BO$1001,MATCH(ROWS($AG$2:AG84),$AG$2:$AG$1001,0),MATCH(COLUMNS($AN$1006:BN1006),$AN$1006:$BO$1006,0)), HYPERLINK("#",""), HYPERLINK(CONCATENATE("#Metadata!", ADDRESS(INDEX($AI$2:$AI$1001,MATCH(ROWS($AG$2:AG84),$AG$2:$AG$1001,0),0), INDEX($AN$1004:$BO$1004,1,MATCH(COLUMNS($AN$1006:BN1006),$AN$1006:$BO$1006,0)))),"Fix")))</f>
        <v>0</v>
      </c>
      <c r="AC84" s="4">
        <f>IF(OR(INDEX($AH$2:$AH$1001,MATCH(ROWS($AG$2:AG84),$AG$2:$AG$1001,0),1)&gt;=100000,INDEX($AN$1005:$BO$1005,1,MATCH(COLUMNS($AN$1006:BO1006),$AN$1006:$BO$1006,0))&gt;=100000), " ",IF(INDEX($AN$2:$BO$1001,MATCH(ROWS($AG$2:AG84),$AG$2:$AG$1001,0),MATCH(COLUMNS($AN$1006:BO1006),$AN$1006:$BO$1006,0)), HYPERLINK("#",""), HYPERLINK(CONCATENATE("#Metadata!", ADDRESS(INDEX($AI$2:$AI$1001,MATCH(ROWS($AG$2:AG84),$AG$2:$AG$1001,0),0), INDEX($AN$1004:$BO$1004,1,MATCH(COLUMNS($AN$1006:BO1006),$AN$1006:$BO$1006,0)))),"Fix")))</f>
        <v>0</v>
      </c>
      <c r="AG84">
        <v>0</v>
      </c>
      <c r="AH84">
        <v>0</v>
      </c>
      <c r="AI84">
        <v>0</v>
      </c>
      <c r="AJ84">
        <f>IF(AK84,TRUE,AND(AN84:BO84))</f>
        <v>0</v>
      </c>
      <c r="AK84">
        <f>COUNTBLANK(Metadata!B84:AC84)=COLUMNS(Metadata!B84:AC84)</f>
        <v>0</v>
      </c>
      <c r="AL84">
        <v>0</v>
      </c>
      <c r="AN84">
        <f>AND(IF(Metadata!B84="",FALSE,TRUE),COUNTIF(Metadata!B:B, Metadata!B84) = 1,NOT(ISERROR(SUMPRODUCT(SEARCH(MID(Metadata!B84,ROW(INDIRECT("1:"&amp;LEN(Metadata!B84))), 1),"0123456789abcdefghijklmnopqrstuvwxyzABCDEFGHIJKLMNOPQRSTUVWXYZ.")))))</f>
        <v>0</v>
      </c>
      <c r="AO84">
        <f>IF(Metadata!C84="",FALSE,TRUE)</f>
        <v>0</v>
      </c>
      <c r="AP84">
        <f>IF(Metadata!D84="",FALSE,TRUE)</f>
        <v>0</v>
      </c>
      <c r="AQ84">
        <f>OR(AND(IF(Metadata!E84="",FALSE,TRUE),OR(exact(Metadata!E84,"not collected"),exact(Metadata!E84,"not provided"),exact(Metadata!E84,"restricted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R84">
        <f>IF(Metadata!F84="",FALSE,TRUE)</f>
        <v>0</v>
      </c>
      <c r="AS84">
        <f>OR(AND(IF(Metadata!G84="",FALSE,TRUE),OR(exact(Metadata!G84,"not collected"),exact(Metadata!G84,"not provided"))),AND(IF(Metadata!G84="",FALSE,TRUE),OR(exact(Metadata!G84,"TRUE"),exact(Metadata!G84,"FALSE"))))</f>
        <v>0</v>
      </c>
      <c r="AT84">
        <f>OR(AND(IF(Metadata!H84="",FALSE,TRUE),OR(exact(Metadata!H84,"not collected"),exact(Metadata!H84,"not provided"),exact(Metadata!H84,"restricted access"))),AND(IF(Metadata!H84="",FALSE,ISNUMBER(VALUE(Metadata!H84))),Metadata!H84&gt;=-413.0))</f>
        <v>0</v>
      </c>
      <c r="AU84">
        <f>AND(IF(Metadata!I84="",FALSE,TRUE),exact(Metadata!I84,"meters"))</f>
        <v>0</v>
      </c>
      <c r="AV84">
        <f>AND(IF(Metadata!J84="",FALSE,TRUE),OR(exact(Metadata!J84,"Host-associated"),exact(Metadata!J84,"Free-living")))</f>
        <v>0</v>
      </c>
      <c r="AW84">
        <f>AND(IF(Metadata!K84="",FALSE,TRUE),OR(exact(Metadata!K84,"Animal"),exact(Metadata!K84,"Fungus"),exact(Metadata!K84,"Plant"),exact(Metadata!K84,"Saline"),exact(Metadata!K84,"Non-saline")))</f>
        <v>0</v>
      </c>
      <c r="AX84">
        <f>AND(IF(Metadata!L84="",FALSE,TRUE),OR(exact(Metadata!L84,"Plant secretion"),exact(Metadata!L84,"Plant rhizosphere"),exact(Metadata!L84,"Plant surface"),exact(Metadata!L84,"Plant corpus"),exact(Metadata!L84,"Fungus surface"),exact(Metadata!L84,"Fungus corpus"),exact(Metadata!L84,"Animal surface"),exact(Metadata!L84,"Animal proximal gut"),exact(Metadata!L84,"Animal corpus"),exact(Metadata!L84,"Animal distal gut"),exact(Metadata!L84,"Animal secretion"),exact(Metadata!L84,"Sub-surface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Y84">
        <f>IF(Metadata!M84="",FALSE,TRUE)</f>
        <v>0</v>
      </c>
      <c r="AZ84">
        <f>IF(Metadata!N84="",FALSE,TRUE)</f>
        <v>0</v>
      </c>
      <c r="BA84">
        <f>IF(Metadata!O84="",FALSE,TRUE)</f>
        <v>0</v>
      </c>
      <c r="BB84">
        <f>OR(AND(IF(Metadata!P84="",FALSE,TRUE),OR(exact(Metadata!P84,"not collected"),exact(Metadata!P84,"not provided"),exact(Metadata!P84,"restricted access"))),AND(IF(Metadata!P84="",FALSE,TRUE),OR(exact(Metadata!P84,"air"),exact(Metadata!P84,"built environment"),exact(Metadata!P84,"host-associated"),exact(Metadata!P84,"human-associated"),exact(Metadata!P84,"human-skin"),exact(Metadata!P84,"human-oral"),exact(Metadata!P84,"human-gut"),exact(Metadata!P84,"human-vaginal"),exact(Metadata!P84,"microbial mat/biofilm"),exact(Metadata!P84,"misc environment"),exact(Metadata!P84,"plant-associated"),exact(Metadata!P84,"sediment"),exact(Metadata!P84,"soil"),exact(Metadata!P84,"wastewater/sludge"),exact(Metadata!P84,"water"))))</f>
        <v>0</v>
      </c>
      <c r="BC84">
        <f>IF(Metadata!Q84="",FALSE,TRUE)</f>
        <v>0</v>
      </c>
      <c r="BD84">
        <f>IF(Metadata!R84="",FALSE,TRUE)</f>
        <v>0</v>
      </c>
      <c r="BE84">
        <f>OR(AND(IF(Metadata!S84="",FALSE,TRUE),OR(exact(Metadata!S84,"not collected"),exact(Metadata!S84,"not provided"),exact(Metadata!S84,"restricted access"))),AND(IF(Metadata!S84="",FALSE,ISNUMBER(VALUE(Metadata!S84))),Metadata!S84&gt;=-90.00,Metadata!S84&lt;=90.00))</f>
        <v>0</v>
      </c>
      <c r="BF84">
        <f>AND(IF(Metadata!T84="",FALSE,TRUE),exact(Metadata!T84,"Decimal degrees"))</f>
        <v>0</v>
      </c>
      <c r="BG84">
        <f>OR(AND(IF(Metadata!U84="",FALSE,TRUE),OR(exact(Metadata!U84,"not collected"),exact(Metadata!U84,"not provided"),exact(Metadata!U84,"restricted access"))),AND(IF(Metadata!U84="",FALSE,ISNUMBER(VALUE(Metadata!U84))),Metadata!U84&gt;=-180.00,Metadata!U84&lt;=180.00))</f>
        <v>0</v>
      </c>
      <c r="BH84">
        <f>AND(IF(Metadata!V84="",FALSE,TRUE),exact(Metadata!V84,"Decimal degrees"))</f>
        <v>0</v>
      </c>
      <c r="BI84">
        <f>IF(Metadata!W84="",FALSE,TRUE)</f>
        <v>0</v>
      </c>
      <c r="BJ84">
        <f>OR(AND(IF(Metadata!X84="",FALSE,TRUE),OR(exact(Metadata!X84,"not collected"),exact(Metadata!X84,"not provided"),exact(Metadata!X84,"restricted access"))),AND(IF(Metadata!X84="",FALSE,TRUE),OR(exact(Metadata!X84,"TRUE"),exact(Metadata!X84,"FALSE"))))</f>
        <v>0</v>
      </c>
      <c r="BK84">
        <f>AND(IF(Metadata!Y84="",FALSE,TRUE),exact(Metadata!Y84,"other"))</f>
        <v>0</v>
      </c>
      <c r="BL84">
        <f>IF(Metadata!Z84="",FALSE,TRUE)</f>
        <v>0</v>
      </c>
      <c r="BM84">
        <f>OR(AND(IF(Metadata!AA84="",FALSE,TRUE),OR(exact(Metadata!AA84,"not collected"),exact(Metadata!AA84,"not provided"))),AND(IF(Metadata!AA84="",FALSE,IF(ISERROR(INT(Metadata!AA84)),FALSE,INT(Metadata!AA84)=Metadata!AA84)),Metadata!AA84&gt;0))</f>
        <v>0</v>
      </c>
      <c r="BN84">
        <f>AND(IF(Metadata!AB84="",FALSE,TRUE),exact(Metadata!AB84,"Not applicable"))</f>
        <v>0</v>
      </c>
      <c r="BO84">
        <f>IF(Metadata!AC84="",FALSE,TRUE)</f>
        <v>0</v>
      </c>
    </row>
    <row r="85" spans="1:67">
      <c r="A85" s="5">
        <f>IF(B85=" "," ",HYPERLINK(CONCATENATE("#metadata!",ADDRESS(INDEX($AI$2:$AI$1001,MATCH(ROWS($AG$2:AG85),$AG$2:$AG$1001,0),0),1)),INDEX($AL$2:$AL$1001,MATCH(ROWS($AG$2:AG85),$AG$2:$AG$1001,0),0)))</f>
        <v>0</v>
      </c>
      <c r="B85" s="4">
        <f>IF(OR(INDEX($AH$2:$AH$1001,MATCH(ROWS($AG$2:AG85),$AG$2:$AG$1001,0),1)&gt;=100000,INDEX($AN$1005:$BO$1005,1,MATCH(COLUMNS($AN$1006:AN1006),$AN$1006:$BO$1006,0))&gt;=100000), " ",IF(INDEX($AN$2:$BO$1001,MATCH(ROWS($AG$2:AG85),$AG$2:$AG$1001,0),MATCH(COLUMNS($AN$1006:AN1006),$AN$1006:$BO$1006,0)), HYPERLINK("#",""), HYPERLINK(CONCATENATE("#Metadata!", ADDRESS(INDEX($AI$2:$AI$1001,MATCH(ROWS($AG$2:AG85),$AG$2:$AG$1001,0),0), INDEX($AN$1004:$BO$1004,1,MATCH(COLUMNS($AN$1006:AN1006),$AN$1006:$BO$1006,0)))),"Fix")))</f>
        <v>0</v>
      </c>
      <c r="C85" s="4">
        <f>IF(OR(INDEX($AH$2:$AH$1001,MATCH(ROWS($AG$2:AG85),$AG$2:$AG$1001,0),1)&gt;=100000,INDEX($AN$1005:$BO$1005,1,MATCH(COLUMNS($AN$1006:AO1006),$AN$1006:$BO$1006,0))&gt;=100000), " ",IF(INDEX($AN$2:$BO$1001,MATCH(ROWS($AG$2:AG85),$AG$2:$AG$1001,0),MATCH(COLUMNS($AN$1006:AO1006),$AN$1006:$BO$1006,0)), HYPERLINK("#",""), HYPERLINK(CONCATENATE("#Metadata!", ADDRESS(INDEX($AI$2:$AI$1001,MATCH(ROWS($AG$2:AG85),$AG$2:$AG$1001,0),0), INDEX($AN$1004:$BO$1004,1,MATCH(COLUMNS($AN$1006:AO1006),$AN$1006:$BO$1006,0)))),"Fix")))</f>
        <v>0</v>
      </c>
      <c r="D85" s="4">
        <f>IF(OR(INDEX($AH$2:$AH$1001,MATCH(ROWS($AG$2:AG85),$AG$2:$AG$1001,0),1)&gt;=100000,INDEX($AN$1005:$BO$1005,1,MATCH(COLUMNS($AN$1006:AP1006),$AN$1006:$BO$1006,0))&gt;=100000), " ",IF(INDEX($AN$2:$BO$1001,MATCH(ROWS($AG$2:AG85),$AG$2:$AG$1001,0),MATCH(COLUMNS($AN$1006:AP1006),$AN$1006:$BO$1006,0)), HYPERLINK("#",""), HYPERLINK(CONCATENATE("#Metadata!", ADDRESS(INDEX($AI$2:$AI$1001,MATCH(ROWS($AG$2:AG85),$AG$2:$AG$1001,0),0), INDEX($AN$1004:$BO$1004,1,MATCH(COLUMNS($AN$1006:AP1006),$AN$1006:$BO$1006,0)))),"Fix")))</f>
        <v>0</v>
      </c>
      <c r="E85" s="4">
        <f>IF(OR(INDEX($AH$2:$AH$1001,MATCH(ROWS($AG$2:AG85),$AG$2:$AG$1001,0),1)&gt;=100000,INDEX($AN$1005:$BO$1005,1,MATCH(COLUMNS($AN$1006:AQ1006),$AN$1006:$BO$1006,0))&gt;=100000), " ",IF(INDEX($AN$2:$BO$1001,MATCH(ROWS($AG$2:AG85),$AG$2:$AG$1001,0),MATCH(COLUMNS($AN$1006:AQ1006),$AN$1006:$BO$1006,0)), HYPERLINK("#",""), HYPERLINK(CONCATENATE("#Metadata!", ADDRESS(INDEX($AI$2:$AI$1001,MATCH(ROWS($AG$2:AG85),$AG$2:$AG$1001,0),0), INDEX($AN$1004:$BO$1004,1,MATCH(COLUMNS($AN$1006:AQ1006),$AN$1006:$BO$1006,0)))),"Fix")))</f>
        <v>0</v>
      </c>
      <c r="F85" s="4">
        <f>IF(OR(INDEX($AH$2:$AH$1001,MATCH(ROWS($AG$2:AG85),$AG$2:$AG$1001,0),1)&gt;=100000,INDEX($AN$1005:$BO$1005,1,MATCH(COLUMNS($AN$1006:AR1006),$AN$1006:$BO$1006,0))&gt;=100000), " ",IF(INDEX($AN$2:$BO$1001,MATCH(ROWS($AG$2:AG85),$AG$2:$AG$1001,0),MATCH(COLUMNS($AN$1006:AR1006),$AN$1006:$BO$1006,0)), HYPERLINK("#",""), HYPERLINK(CONCATENATE("#Metadata!", ADDRESS(INDEX($AI$2:$AI$1001,MATCH(ROWS($AG$2:AG85),$AG$2:$AG$1001,0),0), INDEX($AN$1004:$BO$1004,1,MATCH(COLUMNS($AN$1006:AR1006),$AN$1006:$BO$1006,0)))),"Fix")))</f>
        <v>0</v>
      </c>
      <c r="G85" s="4">
        <f>IF(OR(INDEX($AH$2:$AH$1001,MATCH(ROWS($AG$2:AG85),$AG$2:$AG$1001,0),1)&gt;=100000,INDEX($AN$1005:$BO$1005,1,MATCH(COLUMNS($AN$1006:AS1006),$AN$1006:$BO$1006,0))&gt;=100000), " ",IF(INDEX($AN$2:$BO$1001,MATCH(ROWS($AG$2:AG85),$AG$2:$AG$1001,0),MATCH(COLUMNS($AN$1006:AS1006),$AN$1006:$BO$1006,0)), HYPERLINK("#",""), HYPERLINK(CONCATENATE("#Metadata!", ADDRESS(INDEX($AI$2:$AI$1001,MATCH(ROWS($AG$2:AG85),$AG$2:$AG$1001,0),0), INDEX($AN$1004:$BO$1004,1,MATCH(COLUMNS($AN$1006:AS1006),$AN$1006:$BO$1006,0)))),"Fix")))</f>
        <v>0</v>
      </c>
      <c r="H85" s="4">
        <f>IF(OR(INDEX($AH$2:$AH$1001,MATCH(ROWS($AG$2:AG85),$AG$2:$AG$1001,0),1)&gt;=100000,INDEX($AN$1005:$BO$1005,1,MATCH(COLUMNS($AN$1006:AT1006),$AN$1006:$BO$1006,0))&gt;=100000), " ",IF(INDEX($AN$2:$BO$1001,MATCH(ROWS($AG$2:AG85),$AG$2:$AG$1001,0),MATCH(COLUMNS($AN$1006:AT1006),$AN$1006:$BO$1006,0)), HYPERLINK("#",""), HYPERLINK(CONCATENATE("#Metadata!", ADDRESS(INDEX($AI$2:$AI$1001,MATCH(ROWS($AG$2:AG85),$AG$2:$AG$1001,0),0), INDEX($AN$1004:$BO$1004,1,MATCH(COLUMNS($AN$1006:AT1006),$AN$1006:$BO$1006,0)))),"Fix")))</f>
        <v>0</v>
      </c>
      <c r="I85" s="4">
        <f>IF(OR(INDEX($AH$2:$AH$1001,MATCH(ROWS($AG$2:AG85),$AG$2:$AG$1001,0),1)&gt;=100000,INDEX($AN$1005:$BO$1005,1,MATCH(COLUMNS($AN$1006:AU1006),$AN$1006:$BO$1006,0))&gt;=100000), " ",IF(INDEX($AN$2:$BO$1001,MATCH(ROWS($AG$2:AG85),$AG$2:$AG$1001,0),MATCH(COLUMNS($AN$1006:AU1006),$AN$1006:$BO$1006,0)), HYPERLINK("#",""), HYPERLINK(CONCATENATE("#Metadata!", ADDRESS(INDEX($AI$2:$AI$1001,MATCH(ROWS($AG$2:AG85),$AG$2:$AG$1001,0),0), INDEX($AN$1004:$BO$1004,1,MATCH(COLUMNS($AN$1006:AU1006),$AN$1006:$BO$1006,0)))),"Fix")))</f>
        <v>0</v>
      </c>
      <c r="J85" s="4">
        <f>IF(OR(INDEX($AH$2:$AH$1001,MATCH(ROWS($AG$2:AG85),$AG$2:$AG$1001,0),1)&gt;=100000,INDEX($AN$1005:$BO$1005,1,MATCH(COLUMNS($AN$1006:AV1006),$AN$1006:$BO$1006,0))&gt;=100000), " ",IF(INDEX($AN$2:$BO$1001,MATCH(ROWS($AG$2:AG85),$AG$2:$AG$1001,0),MATCH(COLUMNS($AN$1006:AV1006),$AN$1006:$BO$1006,0)), HYPERLINK("#",""), HYPERLINK(CONCATENATE("#Metadata!", ADDRESS(INDEX($AI$2:$AI$1001,MATCH(ROWS($AG$2:AG85),$AG$2:$AG$1001,0),0), INDEX($AN$1004:$BO$1004,1,MATCH(COLUMNS($AN$1006:AV1006),$AN$1006:$BO$1006,0)))),"Fix")))</f>
        <v>0</v>
      </c>
      <c r="K85" s="4">
        <f>IF(OR(INDEX($AH$2:$AH$1001,MATCH(ROWS($AG$2:AG85),$AG$2:$AG$1001,0),1)&gt;=100000,INDEX($AN$1005:$BO$1005,1,MATCH(COLUMNS($AN$1006:AW1006),$AN$1006:$BO$1006,0))&gt;=100000), " ",IF(INDEX($AN$2:$BO$1001,MATCH(ROWS($AG$2:AG85),$AG$2:$AG$1001,0),MATCH(COLUMNS($AN$1006:AW1006),$AN$1006:$BO$1006,0)), HYPERLINK("#",""), HYPERLINK(CONCATENATE("#Metadata!", ADDRESS(INDEX($AI$2:$AI$1001,MATCH(ROWS($AG$2:AG85),$AG$2:$AG$1001,0),0), INDEX($AN$1004:$BO$1004,1,MATCH(COLUMNS($AN$1006:AW1006),$AN$1006:$BO$1006,0)))),"Fix")))</f>
        <v>0</v>
      </c>
      <c r="L85" s="4">
        <f>IF(OR(INDEX($AH$2:$AH$1001,MATCH(ROWS($AG$2:AG85),$AG$2:$AG$1001,0),1)&gt;=100000,INDEX($AN$1005:$BO$1005,1,MATCH(COLUMNS($AN$1006:AX1006),$AN$1006:$BO$1006,0))&gt;=100000), " ",IF(INDEX($AN$2:$BO$1001,MATCH(ROWS($AG$2:AG85),$AG$2:$AG$1001,0),MATCH(COLUMNS($AN$1006:AX1006),$AN$1006:$BO$1006,0)), HYPERLINK("#",""), HYPERLINK(CONCATENATE("#Metadata!", ADDRESS(INDEX($AI$2:$AI$1001,MATCH(ROWS($AG$2:AG85),$AG$2:$AG$1001,0),0), INDEX($AN$1004:$BO$1004,1,MATCH(COLUMNS($AN$1006:AX1006),$AN$1006:$BO$1006,0)))),"Fix")))</f>
        <v>0</v>
      </c>
      <c r="M85" s="4">
        <f>IF(OR(INDEX($AH$2:$AH$1001,MATCH(ROWS($AG$2:AG85),$AG$2:$AG$1001,0),1)&gt;=100000,INDEX($AN$1005:$BO$1005,1,MATCH(COLUMNS($AN$1006:AY1006),$AN$1006:$BO$1006,0))&gt;=100000), " ",IF(INDEX($AN$2:$BO$1001,MATCH(ROWS($AG$2:AG85),$AG$2:$AG$1001,0),MATCH(COLUMNS($AN$1006:AY1006),$AN$1006:$BO$1006,0)), HYPERLINK("#",""), HYPERLINK(CONCATENATE("#Metadata!", ADDRESS(INDEX($AI$2:$AI$1001,MATCH(ROWS($AG$2:AG85),$AG$2:$AG$1001,0),0), INDEX($AN$1004:$BO$1004,1,MATCH(COLUMNS($AN$1006:AY1006),$AN$1006:$BO$1006,0)))),"Fix")))</f>
        <v>0</v>
      </c>
      <c r="N85" s="4">
        <f>IF(OR(INDEX($AH$2:$AH$1001,MATCH(ROWS($AG$2:AG85),$AG$2:$AG$1001,0),1)&gt;=100000,INDEX($AN$1005:$BO$1005,1,MATCH(COLUMNS($AN$1006:AZ1006),$AN$1006:$BO$1006,0))&gt;=100000), " ",IF(INDEX($AN$2:$BO$1001,MATCH(ROWS($AG$2:AG85),$AG$2:$AG$1001,0),MATCH(COLUMNS($AN$1006:AZ1006),$AN$1006:$BO$1006,0)), HYPERLINK("#",""), HYPERLINK(CONCATENATE("#Metadata!", ADDRESS(INDEX($AI$2:$AI$1001,MATCH(ROWS($AG$2:AG85),$AG$2:$AG$1001,0),0), INDEX($AN$1004:$BO$1004,1,MATCH(COLUMNS($AN$1006:AZ1006),$AN$1006:$BO$1006,0)))),"Fix")))</f>
        <v>0</v>
      </c>
      <c r="O85" s="4">
        <f>IF(OR(INDEX($AH$2:$AH$1001,MATCH(ROWS($AG$2:AG85),$AG$2:$AG$1001,0),1)&gt;=100000,INDEX($AN$1005:$BO$1005,1,MATCH(COLUMNS($AN$1006:BA1006),$AN$1006:$BO$1006,0))&gt;=100000), " ",IF(INDEX($AN$2:$BO$1001,MATCH(ROWS($AG$2:AG85),$AG$2:$AG$1001,0),MATCH(COLUMNS($AN$1006:BA1006),$AN$1006:$BO$1006,0)), HYPERLINK("#",""), HYPERLINK(CONCATENATE("#Metadata!", ADDRESS(INDEX($AI$2:$AI$1001,MATCH(ROWS($AG$2:AG85),$AG$2:$AG$1001,0),0), INDEX($AN$1004:$BO$1004,1,MATCH(COLUMNS($AN$1006:BA1006),$AN$1006:$BO$1006,0)))),"Fix")))</f>
        <v>0</v>
      </c>
      <c r="P85" s="4">
        <f>IF(OR(INDEX($AH$2:$AH$1001,MATCH(ROWS($AG$2:AG85),$AG$2:$AG$1001,0),1)&gt;=100000,INDEX($AN$1005:$BO$1005,1,MATCH(COLUMNS($AN$1006:BB1006),$AN$1006:$BO$1006,0))&gt;=100000), " ",IF(INDEX($AN$2:$BO$1001,MATCH(ROWS($AG$2:AG85),$AG$2:$AG$1001,0),MATCH(COLUMNS($AN$1006:BB1006),$AN$1006:$BO$1006,0)), HYPERLINK("#",""), HYPERLINK(CONCATENATE("#Metadata!", ADDRESS(INDEX($AI$2:$AI$1001,MATCH(ROWS($AG$2:AG85),$AG$2:$AG$1001,0),0), INDEX($AN$1004:$BO$1004,1,MATCH(COLUMNS($AN$1006:BB1006),$AN$1006:$BO$1006,0)))),"Fix")))</f>
        <v>0</v>
      </c>
      <c r="Q85" s="4">
        <f>IF(OR(INDEX($AH$2:$AH$1001,MATCH(ROWS($AG$2:AG85),$AG$2:$AG$1001,0),1)&gt;=100000,INDEX($AN$1005:$BO$1005,1,MATCH(COLUMNS($AN$1006:BC1006),$AN$1006:$BO$1006,0))&gt;=100000), " ",IF(INDEX($AN$2:$BO$1001,MATCH(ROWS($AG$2:AG85),$AG$2:$AG$1001,0),MATCH(COLUMNS($AN$1006:BC1006),$AN$1006:$BO$1006,0)), HYPERLINK("#",""), HYPERLINK(CONCATENATE("#Metadata!", ADDRESS(INDEX($AI$2:$AI$1001,MATCH(ROWS($AG$2:AG85),$AG$2:$AG$1001,0),0), INDEX($AN$1004:$BO$1004,1,MATCH(COLUMNS($AN$1006:BC1006),$AN$1006:$BO$1006,0)))),"Fix")))</f>
        <v>0</v>
      </c>
      <c r="R85" s="4">
        <f>IF(OR(INDEX($AH$2:$AH$1001,MATCH(ROWS($AG$2:AG85),$AG$2:$AG$1001,0),1)&gt;=100000,INDEX($AN$1005:$BO$1005,1,MATCH(COLUMNS($AN$1006:BD1006),$AN$1006:$BO$1006,0))&gt;=100000), " ",IF(INDEX($AN$2:$BO$1001,MATCH(ROWS($AG$2:AG85),$AG$2:$AG$1001,0),MATCH(COLUMNS($AN$1006:BD1006),$AN$1006:$BO$1006,0)), HYPERLINK("#",""), HYPERLINK(CONCATENATE("#Metadata!", ADDRESS(INDEX($AI$2:$AI$1001,MATCH(ROWS($AG$2:AG85),$AG$2:$AG$1001,0),0), INDEX($AN$1004:$BO$1004,1,MATCH(COLUMNS($AN$1006:BD1006),$AN$1006:$BO$1006,0)))),"Fix")))</f>
        <v>0</v>
      </c>
      <c r="S85" s="4">
        <f>IF(OR(INDEX($AH$2:$AH$1001,MATCH(ROWS($AG$2:AG85),$AG$2:$AG$1001,0),1)&gt;=100000,INDEX($AN$1005:$BO$1005,1,MATCH(COLUMNS($AN$1006:BE1006),$AN$1006:$BO$1006,0))&gt;=100000), " ",IF(INDEX($AN$2:$BO$1001,MATCH(ROWS($AG$2:AG85),$AG$2:$AG$1001,0),MATCH(COLUMNS($AN$1006:BE1006),$AN$1006:$BO$1006,0)), HYPERLINK("#",""), HYPERLINK(CONCATENATE("#Metadata!", ADDRESS(INDEX($AI$2:$AI$1001,MATCH(ROWS($AG$2:AG85),$AG$2:$AG$1001,0),0), INDEX($AN$1004:$BO$1004,1,MATCH(COLUMNS($AN$1006:BE1006),$AN$1006:$BO$1006,0)))),"Fix")))</f>
        <v>0</v>
      </c>
      <c r="T85" s="4">
        <f>IF(OR(INDEX($AH$2:$AH$1001,MATCH(ROWS($AG$2:AG85),$AG$2:$AG$1001,0),1)&gt;=100000,INDEX($AN$1005:$BO$1005,1,MATCH(COLUMNS($AN$1006:BF1006),$AN$1006:$BO$1006,0))&gt;=100000), " ",IF(INDEX($AN$2:$BO$1001,MATCH(ROWS($AG$2:AG85),$AG$2:$AG$1001,0),MATCH(COLUMNS($AN$1006:BF1006),$AN$1006:$BO$1006,0)), HYPERLINK("#",""), HYPERLINK(CONCATENATE("#Metadata!", ADDRESS(INDEX($AI$2:$AI$1001,MATCH(ROWS($AG$2:AG85),$AG$2:$AG$1001,0),0), INDEX($AN$1004:$BO$1004,1,MATCH(COLUMNS($AN$1006:BF1006),$AN$1006:$BO$1006,0)))),"Fix")))</f>
        <v>0</v>
      </c>
      <c r="U85" s="4">
        <f>IF(OR(INDEX($AH$2:$AH$1001,MATCH(ROWS($AG$2:AG85),$AG$2:$AG$1001,0),1)&gt;=100000,INDEX($AN$1005:$BO$1005,1,MATCH(COLUMNS($AN$1006:BG1006),$AN$1006:$BO$1006,0))&gt;=100000), " ",IF(INDEX($AN$2:$BO$1001,MATCH(ROWS($AG$2:AG85),$AG$2:$AG$1001,0),MATCH(COLUMNS($AN$1006:BG1006),$AN$1006:$BO$1006,0)), HYPERLINK("#",""), HYPERLINK(CONCATENATE("#Metadata!", ADDRESS(INDEX($AI$2:$AI$1001,MATCH(ROWS($AG$2:AG85),$AG$2:$AG$1001,0),0), INDEX($AN$1004:$BO$1004,1,MATCH(COLUMNS($AN$1006:BG1006),$AN$1006:$BO$1006,0)))),"Fix")))</f>
        <v>0</v>
      </c>
      <c r="V85" s="4">
        <f>IF(OR(INDEX($AH$2:$AH$1001,MATCH(ROWS($AG$2:AG85),$AG$2:$AG$1001,0),1)&gt;=100000,INDEX($AN$1005:$BO$1005,1,MATCH(COLUMNS($AN$1006:BH1006),$AN$1006:$BO$1006,0))&gt;=100000), " ",IF(INDEX($AN$2:$BO$1001,MATCH(ROWS($AG$2:AG85),$AG$2:$AG$1001,0),MATCH(COLUMNS($AN$1006:BH1006),$AN$1006:$BO$1006,0)), HYPERLINK("#",""), HYPERLINK(CONCATENATE("#Metadata!", ADDRESS(INDEX($AI$2:$AI$1001,MATCH(ROWS($AG$2:AG85),$AG$2:$AG$1001,0),0), INDEX($AN$1004:$BO$1004,1,MATCH(COLUMNS($AN$1006:BH1006),$AN$1006:$BO$1006,0)))),"Fix")))</f>
        <v>0</v>
      </c>
      <c r="W85" s="4">
        <f>IF(OR(INDEX($AH$2:$AH$1001,MATCH(ROWS($AG$2:AG85),$AG$2:$AG$1001,0),1)&gt;=100000,INDEX($AN$1005:$BO$1005,1,MATCH(COLUMNS($AN$1006:BI1006),$AN$1006:$BO$1006,0))&gt;=100000), " ",IF(INDEX($AN$2:$BO$1001,MATCH(ROWS($AG$2:AG85),$AG$2:$AG$1001,0),MATCH(COLUMNS($AN$1006:BI1006),$AN$1006:$BO$1006,0)), HYPERLINK("#",""), HYPERLINK(CONCATENATE("#Metadata!", ADDRESS(INDEX($AI$2:$AI$1001,MATCH(ROWS($AG$2:AG85),$AG$2:$AG$1001,0),0), INDEX($AN$1004:$BO$1004,1,MATCH(COLUMNS($AN$1006:BI1006),$AN$1006:$BO$1006,0)))),"Fix")))</f>
        <v>0</v>
      </c>
      <c r="X85" s="4">
        <f>IF(OR(INDEX($AH$2:$AH$1001,MATCH(ROWS($AG$2:AG85),$AG$2:$AG$1001,0),1)&gt;=100000,INDEX($AN$1005:$BO$1005,1,MATCH(COLUMNS($AN$1006:BJ1006),$AN$1006:$BO$1006,0))&gt;=100000), " ",IF(INDEX($AN$2:$BO$1001,MATCH(ROWS($AG$2:AG85),$AG$2:$AG$1001,0),MATCH(COLUMNS($AN$1006:BJ1006),$AN$1006:$BO$1006,0)), HYPERLINK("#",""), HYPERLINK(CONCATENATE("#Metadata!", ADDRESS(INDEX($AI$2:$AI$1001,MATCH(ROWS($AG$2:AG85),$AG$2:$AG$1001,0),0), INDEX($AN$1004:$BO$1004,1,MATCH(COLUMNS($AN$1006:BJ1006),$AN$1006:$BO$1006,0)))),"Fix")))</f>
        <v>0</v>
      </c>
      <c r="Y85" s="4">
        <f>IF(OR(INDEX($AH$2:$AH$1001,MATCH(ROWS($AG$2:AG85),$AG$2:$AG$1001,0),1)&gt;=100000,INDEX($AN$1005:$BO$1005,1,MATCH(COLUMNS($AN$1006:BK1006),$AN$1006:$BO$1006,0))&gt;=100000), " ",IF(INDEX($AN$2:$BO$1001,MATCH(ROWS($AG$2:AG85),$AG$2:$AG$1001,0),MATCH(COLUMNS($AN$1006:BK1006),$AN$1006:$BO$1006,0)), HYPERLINK("#",""), HYPERLINK(CONCATENATE("#Metadata!", ADDRESS(INDEX($AI$2:$AI$1001,MATCH(ROWS($AG$2:AG85),$AG$2:$AG$1001,0),0), INDEX($AN$1004:$BO$1004,1,MATCH(COLUMNS($AN$1006:BK1006),$AN$1006:$BO$1006,0)))),"Fix")))</f>
        <v>0</v>
      </c>
      <c r="Z85" s="4">
        <f>IF(OR(INDEX($AH$2:$AH$1001,MATCH(ROWS($AG$2:AG85),$AG$2:$AG$1001,0),1)&gt;=100000,INDEX($AN$1005:$BO$1005,1,MATCH(COLUMNS($AN$1006:BL1006),$AN$1006:$BO$1006,0))&gt;=100000), " ",IF(INDEX($AN$2:$BO$1001,MATCH(ROWS($AG$2:AG85),$AG$2:$AG$1001,0),MATCH(COLUMNS($AN$1006:BL1006),$AN$1006:$BO$1006,0)), HYPERLINK("#",""), HYPERLINK(CONCATENATE("#Metadata!", ADDRESS(INDEX($AI$2:$AI$1001,MATCH(ROWS($AG$2:AG85),$AG$2:$AG$1001,0),0), INDEX($AN$1004:$BO$1004,1,MATCH(COLUMNS($AN$1006:BL1006),$AN$1006:$BO$1006,0)))),"Fix")))</f>
        <v>0</v>
      </c>
      <c r="AA85" s="4">
        <f>IF(OR(INDEX($AH$2:$AH$1001,MATCH(ROWS($AG$2:AG85),$AG$2:$AG$1001,0),1)&gt;=100000,INDEX($AN$1005:$BO$1005,1,MATCH(COLUMNS($AN$1006:BM1006),$AN$1006:$BO$1006,0))&gt;=100000), " ",IF(INDEX($AN$2:$BO$1001,MATCH(ROWS($AG$2:AG85),$AG$2:$AG$1001,0),MATCH(COLUMNS($AN$1006:BM1006),$AN$1006:$BO$1006,0)), HYPERLINK("#",""), HYPERLINK(CONCATENATE("#Metadata!", ADDRESS(INDEX($AI$2:$AI$1001,MATCH(ROWS($AG$2:AG85),$AG$2:$AG$1001,0),0), INDEX($AN$1004:$BO$1004,1,MATCH(COLUMNS($AN$1006:BM1006),$AN$1006:$BO$1006,0)))),"Fix")))</f>
        <v>0</v>
      </c>
      <c r="AB85" s="4">
        <f>IF(OR(INDEX($AH$2:$AH$1001,MATCH(ROWS($AG$2:AG85),$AG$2:$AG$1001,0),1)&gt;=100000,INDEX($AN$1005:$BO$1005,1,MATCH(COLUMNS($AN$1006:BN1006),$AN$1006:$BO$1006,0))&gt;=100000), " ",IF(INDEX($AN$2:$BO$1001,MATCH(ROWS($AG$2:AG85),$AG$2:$AG$1001,0),MATCH(COLUMNS($AN$1006:BN1006),$AN$1006:$BO$1006,0)), HYPERLINK("#",""), HYPERLINK(CONCATENATE("#Metadata!", ADDRESS(INDEX($AI$2:$AI$1001,MATCH(ROWS($AG$2:AG85),$AG$2:$AG$1001,0),0), INDEX($AN$1004:$BO$1004,1,MATCH(COLUMNS($AN$1006:BN1006),$AN$1006:$BO$1006,0)))),"Fix")))</f>
        <v>0</v>
      </c>
      <c r="AC85" s="4">
        <f>IF(OR(INDEX($AH$2:$AH$1001,MATCH(ROWS($AG$2:AG85),$AG$2:$AG$1001,0),1)&gt;=100000,INDEX($AN$1005:$BO$1005,1,MATCH(COLUMNS($AN$1006:BO1006),$AN$1006:$BO$1006,0))&gt;=100000), " ",IF(INDEX($AN$2:$BO$1001,MATCH(ROWS($AG$2:AG85),$AG$2:$AG$1001,0),MATCH(COLUMNS($AN$1006:BO1006),$AN$1006:$BO$1006,0)), HYPERLINK("#",""), HYPERLINK(CONCATENATE("#Metadata!", ADDRESS(INDEX($AI$2:$AI$1001,MATCH(ROWS($AG$2:AG85),$AG$2:$AG$1001,0),0), INDEX($AN$1004:$BO$1004,1,MATCH(COLUMNS($AN$1006:BO1006),$AN$1006:$BO$1006,0)))),"Fix")))</f>
        <v>0</v>
      </c>
      <c r="AG85">
        <v>0</v>
      </c>
      <c r="AH85">
        <v>0</v>
      </c>
      <c r="AI85">
        <v>0</v>
      </c>
      <c r="AJ85">
        <f>IF(AK85,TRUE,AND(AN85:BO85))</f>
        <v>0</v>
      </c>
      <c r="AK85">
        <f>COUNTBLANK(Metadata!B85:AC85)=COLUMNS(Metadata!B85:AC85)</f>
        <v>0</v>
      </c>
      <c r="AL85">
        <v>0</v>
      </c>
      <c r="AN85">
        <f>AND(IF(Metadata!B85="",FALSE,TRUE),COUNTIF(Metadata!B:B, Metadata!B85) = 1,NOT(ISERROR(SUMPRODUCT(SEARCH(MID(Metadata!B85,ROW(INDIRECT("1:"&amp;LEN(Metadata!B85))), 1),"0123456789abcdefghijklmnopqrstuvwxyzABCDEFGHIJKLMNOPQRSTUVWXYZ.")))))</f>
        <v>0</v>
      </c>
      <c r="AO85">
        <f>IF(Metadata!C85="",FALSE,TRUE)</f>
        <v>0</v>
      </c>
      <c r="AP85">
        <f>IF(Metadata!D85="",FALSE,TRUE)</f>
        <v>0</v>
      </c>
      <c r="AQ85">
        <f>OR(AND(IF(Metadata!E85="",FALSE,TRUE),OR(exact(Metadata!E85,"not collected"),exact(Metadata!E85,"not provided"),exact(Metadata!E85,"restricted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R85">
        <f>IF(Metadata!F85="",FALSE,TRUE)</f>
        <v>0</v>
      </c>
      <c r="AS85">
        <f>OR(AND(IF(Metadata!G85="",FALSE,TRUE),OR(exact(Metadata!G85,"not collected"),exact(Metadata!G85,"not provided"))),AND(IF(Metadata!G85="",FALSE,TRUE),OR(exact(Metadata!G85,"TRUE"),exact(Metadata!G85,"FALSE"))))</f>
        <v>0</v>
      </c>
      <c r="AT85">
        <f>OR(AND(IF(Metadata!H85="",FALSE,TRUE),OR(exact(Metadata!H85,"not collected"),exact(Metadata!H85,"not provided"),exact(Metadata!H85,"restricted access"))),AND(IF(Metadata!H85="",FALSE,ISNUMBER(VALUE(Metadata!H85))),Metadata!H85&gt;=-413.0))</f>
        <v>0</v>
      </c>
      <c r="AU85">
        <f>AND(IF(Metadata!I85="",FALSE,TRUE),exact(Metadata!I85,"meters"))</f>
        <v>0</v>
      </c>
      <c r="AV85">
        <f>AND(IF(Metadata!J85="",FALSE,TRUE),OR(exact(Metadata!J85,"Host-associated"),exact(Metadata!J85,"Free-living")))</f>
        <v>0</v>
      </c>
      <c r="AW85">
        <f>AND(IF(Metadata!K85="",FALSE,TRUE),OR(exact(Metadata!K85,"Animal"),exact(Metadata!K85,"Fungus"),exact(Metadata!K85,"Plant"),exact(Metadata!K85,"Saline"),exact(Metadata!K85,"Non-saline")))</f>
        <v>0</v>
      </c>
      <c r="AX85">
        <f>AND(IF(Metadata!L85="",FALSE,TRUE),OR(exact(Metadata!L85,"Plant secretion"),exact(Metadata!L85,"Plant rhizosphere"),exact(Metadata!L85,"Plant surface"),exact(Metadata!L85,"Plant corpus"),exact(Metadata!L85,"Fungus surface"),exact(Metadata!L85,"Fungus corpus"),exact(Metadata!L85,"Animal surface"),exact(Metadata!L85,"Animal proximal gut"),exact(Metadata!L85,"Animal corpus"),exact(Metadata!L85,"Animal distal gut"),exact(Metadata!L85,"Animal secretion"),exact(Metadata!L85,"Sub-surface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Y85">
        <f>IF(Metadata!M85="",FALSE,TRUE)</f>
        <v>0</v>
      </c>
      <c r="AZ85">
        <f>IF(Metadata!N85="",FALSE,TRUE)</f>
        <v>0</v>
      </c>
      <c r="BA85">
        <f>IF(Metadata!O85="",FALSE,TRUE)</f>
        <v>0</v>
      </c>
      <c r="BB85">
        <f>OR(AND(IF(Metadata!P85="",FALSE,TRUE),OR(exact(Metadata!P85,"not collected"),exact(Metadata!P85,"not provided"),exact(Metadata!P85,"restricted access"))),AND(IF(Metadata!P85="",FALSE,TRUE),OR(exact(Metadata!P85,"air"),exact(Metadata!P85,"built environment"),exact(Metadata!P85,"host-associated"),exact(Metadata!P85,"human-associated"),exact(Metadata!P85,"human-skin"),exact(Metadata!P85,"human-oral"),exact(Metadata!P85,"human-gut"),exact(Metadata!P85,"human-vaginal"),exact(Metadata!P85,"microbial mat/biofilm"),exact(Metadata!P85,"misc environment"),exact(Metadata!P85,"plant-associated"),exact(Metadata!P85,"sediment"),exact(Metadata!P85,"soil"),exact(Metadata!P85,"wastewater/sludge"),exact(Metadata!P85,"water"))))</f>
        <v>0</v>
      </c>
      <c r="BC85">
        <f>IF(Metadata!Q85="",FALSE,TRUE)</f>
        <v>0</v>
      </c>
      <c r="BD85">
        <f>IF(Metadata!R85="",FALSE,TRUE)</f>
        <v>0</v>
      </c>
      <c r="BE85">
        <f>OR(AND(IF(Metadata!S85="",FALSE,TRUE),OR(exact(Metadata!S85,"not collected"),exact(Metadata!S85,"not provided"),exact(Metadata!S85,"restricted access"))),AND(IF(Metadata!S85="",FALSE,ISNUMBER(VALUE(Metadata!S85))),Metadata!S85&gt;=-90.00,Metadata!S85&lt;=90.00))</f>
        <v>0</v>
      </c>
      <c r="BF85">
        <f>AND(IF(Metadata!T85="",FALSE,TRUE),exact(Metadata!T85,"Decimal degrees"))</f>
        <v>0</v>
      </c>
      <c r="BG85">
        <f>OR(AND(IF(Metadata!U85="",FALSE,TRUE),OR(exact(Metadata!U85,"not collected"),exact(Metadata!U85,"not provided"),exact(Metadata!U85,"restricted access"))),AND(IF(Metadata!U85="",FALSE,ISNUMBER(VALUE(Metadata!U85))),Metadata!U85&gt;=-180.00,Metadata!U85&lt;=180.00))</f>
        <v>0</v>
      </c>
      <c r="BH85">
        <f>AND(IF(Metadata!V85="",FALSE,TRUE),exact(Metadata!V85,"Decimal degrees"))</f>
        <v>0</v>
      </c>
      <c r="BI85">
        <f>IF(Metadata!W85="",FALSE,TRUE)</f>
        <v>0</v>
      </c>
      <c r="BJ85">
        <f>OR(AND(IF(Metadata!X85="",FALSE,TRUE),OR(exact(Metadata!X85,"not collected"),exact(Metadata!X85,"not provided"),exact(Metadata!X85,"restricted access"))),AND(IF(Metadata!X85="",FALSE,TRUE),OR(exact(Metadata!X85,"TRUE"),exact(Metadata!X85,"FALSE"))))</f>
        <v>0</v>
      </c>
      <c r="BK85">
        <f>AND(IF(Metadata!Y85="",FALSE,TRUE),exact(Metadata!Y85,"other"))</f>
        <v>0</v>
      </c>
      <c r="BL85">
        <f>IF(Metadata!Z85="",FALSE,TRUE)</f>
        <v>0</v>
      </c>
      <c r="BM85">
        <f>OR(AND(IF(Metadata!AA85="",FALSE,TRUE),OR(exact(Metadata!AA85,"not collected"),exact(Metadata!AA85,"not provided"))),AND(IF(Metadata!AA85="",FALSE,IF(ISERROR(INT(Metadata!AA85)),FALSE,INT(Metadata!AA85)=Metadata!AA85)),Metadata!AA85&gt;0))</f>
        <v>0</v>
      </c>
      <c r="BN85">
        <f>AND(IF(Metadata!AB85="",FALSE,TRUE),exact(Metadata!AB85,"Not applicable"))</f>
        <v>0</v>
      </c>
      <c r="BO85">
        <f>IF(Metadata!AC85="",FALSE,TRUE)</f>
        <v>0</v>
      </c>
    </row>
    <row r="86" spans="1:67">
      <c r="A86" s="5">
        <f>IF(B86=" "," ",HYPERLINK(CONCATENATE("#metadata!",ADDRESS(INDEX($AI$2:$AI$1001,MATCH(ROWS($AG$2:AG86),$AG$2:$AG$1001,0),0),1)),INDEX($AL$2:$AL$1001,MATCH(ROWS($AG$2:AG86),$AG$2:$AG$1001,0),0)))</f>
        <v>0</v>
      </c>
      <c r="B86" s="4">
        <f>IF(OR(INDEX($AH$2:$AH$1001,MATCH(ROWS($AG$2:AG86),$AG$2:$AG$1001,0),1)&gt;=100000,INDEX($AN$1005:$BO$1005,1,MATCH(COLUMNS($AN$1006:AN1006),$AN$1006:$BO$1006,0))&gt;=100000), " ",IF(INDEX($AN$2:$BO$1001,MATCH(ROWS($AG$2:AG86),$AG$2:$AG$1001,0),MATCH(COLUMNS($AN$1006:AN1006),$AN$1006:$BO$1006,0)), HYPERLINK("#",""), HYPERLINK(CONCATENATE("#Metadata!", ADDRESS(INDEX($AI$2:$AI$1001,MATCH(ROWS($AG$2:AG86),$AG$2:$AG$1001,0),0), INDEX($AN$1004:$BO$1004,1,MATCH(COLUMNS($AN$1006:AN1006),$AN$1006:$BO$1006,0)))),"Fix")))</f>
        <v>0</v>
      </c>
      <c r="C86" s="4">
        <f>IF(OR(INDEX($AH$2:$AH$1001,MATCH(ROWS($AG$2:AG86),$AG$2:$AG$1001,0),1)&gt;=100000,INDEX($AN$1005:$BO$1005,1,MATCH(COLUMNS($AN$1006:AO1006),$AN$1006:$BO$1006,0))&gt;=100000), " ",IF(INDEX($AN$2:$BO$1001,MATCH(ROWS($AG$2:AG86),$AG$2:$AG$1001,0),MATCH(COLUMNS($AN$1006:AO1006),$AN$1006:$BO$1006,0)), HYPERLINK("#",""), HYPERLINK(CONCATENATE("#Metadata!", ADDRESS(INDEX($AI$2:$AI$1001,MATCH(ROWS($AG$2:AG86),$AG$2:$AG$1001,0),0), INDEX($AN$1004:$BO$1004,1,MATCH(COLUMNS($AN$1006:AO1006),$AN$1006:$BO$1006,0)))),"Fix")))</f>
        <v>0</v>
      </c>
      <c r="D86" s="4">
        <f>IF(OR(INDEX($AH$2:$AH$1001,MATCH(ROWS($AG$2:AG86),$AG$2:$AG$1001,0),1)&gt;=100000,INDEX($AN$1005:$BO$1005,1,MATCH(COLUMNS($AN$1006:AP1006),$AN$1006:$BO$1006,0))&gt;=100000), " ",IF(INDEX($AN$2:$BO$1001,MATCH(ROWS($AG$2:AG86),$AG$2:$AG$1001,0),MATCH(COLUMNS($AN$1006:AP1006),$AN$1006:$BO$1006,0)), HYPERLINK("#",""), HYPERLINK(CONCATENATE("#Metadata!", ADDRESS(INDEX($AI$2:$AI$1001,MATCH(ROWS($AG$2:AG86),$AG$2:$AG$1001,0),0), INDEX($AN$1004:$BO$1004,1,MATCH(COLUMNS($AN$1006:AP1006),$AN$1006:$BO$1006,0)))),"Fix")))</f>
        <v>0</v>
      </c>
      <c r="E86" s="4">
        <f>IF(OR(INDEX($AH$2:$AH$1001,MATCH(ROWS($AG$2:AG86),$AG$2:$AG$1001,0),1)&gt;=100000,INDEX($AN$1005:$BO$1005,1,MATCH(COLUMNS($AN$1006:AQ1006),$AN$1006:$BO$1006,0))&gt;=100000), " ",IF(INDEX($AN$2:$BO$1001,MATCH(ROWS($AG$2:AG86),$AG$2:$AG$1001,0),MATCH(COLUMNS($AN$1006:AQ1006),$AN$1006:$BO$1006,0)), HYPERLINK("#",""), HYPERLINK(CONCATENATE("#Metadata!", ADDRESS(INDEX($AI$2:$AI$1001,MATCH(ROWS($AG$2:AG86),$AG$2:$AG$1001,0),0), INDEX($AN$1004:$BO$1004,1,MATCH(COLUMNS($AN$1006:AQ1006),$AN$1006:$BO$1006,0)))),"Fix")))</f>
        <v>0</v>
      </c>
      <c r="F86" s="4">
        <f>IF(OR(INDEX($AH$2:$AH$1001,MATCH(ROWS($AG$2:AG86),$AG$2:$AG$1001,0),1)&gt;=100000,INDEX($AN$1005:$BO$1005,1,MATCH(COLUMNS($AN$1006:AR1006),$AN$1006:$BO$1006,0))&gt;=100000), " ",IF(INDEX($AN$2:$BO$1001,MATCH(ROWS($AG$2:AG86),$AG$2:$AG$1001,0),MATCH(COLUMNS($AN$1006:AR1006),$AN$1006:$BO$1006,0)), HYPERLINK("#",""), HYPERLINK(CONCATENATE("#Metadata!", ADDRESS(INDEX($AI$2:$AI$1001,MATCH(ROWS($AG$2:AG86),$AG$2:$AG$1001,0),0), INDEX($AN$1004:$BO$1004,1,MATCH(COLUMNS($AN$1006:AR1006),$AN$1006:$BO$1006,0)))),"Fix")))</f>
        <v>0</v>
      </c>
      <c r="G86" s="4">
        <f>IF(OR(INDEX($AH$2:$AH$1001,MATCH(ROWS($AG$2:AG86),$AG$2:$AG$1001,0),1)&gt;=100000,INDEX($AN$1005:$BO$1005,1,MATCH(COLUMNS($AN$1006:AS1006),$AN$1006:$BO$1006,0))&gt;=100000), " ",IF(INDEX($AN$2:$BO$1001,MATCH(ROWS($AG$2:AG86),$AG$2:$AG$1001,0),MATCH(COLUMNS($AN$1006:AS1006),$AN$1006:$BO$1006,0)), HYPERLINK("#",""), HYPERLINK(CONCATENATE("#Metadata!", ADDRESS(INDEX($AI$2:$AI$1001,MATCH(ROWS($AG$2:AG86),$AG$2:$AG$1001,0),0), INDEX($AN$1004:$BO$1004,1,MATCH(COLUMNS($AN$1006:AS1006),$AN$1006:$BO$1006,0)))),"Fix")))</f>
        <v>0</v>
      </c>
      <c r="H86" s="4">
        <f>IF(OR(INDEX($AH$2:$AH$1001,MATCH(ROWS($AG$2:AG86),$AG$2:$AG$1001,0),1)&gt;=100000,INDEX($AN$1005:$BO$1005,1,MATCH(COLUMNS($AN$1006:AT1006),$AN$1006:$BO$1006,0))&gt;=100000), " ",IF(INDEX($AN$2:$BO$1001,MATCH(ROWS($AG$2:AG86),$AG$2:$AG$1001,0),MATCH(COLUMNS($AN$1006:AT1006),$AN$1006:$BO$1006,0)), HYPERLINK("#",""), HYPERLINK(CONCATENATE("#Metadata!", ADDRESS(INDEX($AI$2:$AI$1001,MATCH(ROWS($AG$2:AG86),$AG$2:$AG$1001,0),0), INDEX($AN$1004:$BO$1004,1,MATCH(COLUMNS($AN$1006:AT1006),$AN$1006:$BO$1006,0)))),"Fix")))</f>
        <v>0</v>
      </c>
      <c r="I86" s="4">
        <f>IF(OR(INDEX($AH$2:$AH$1001,MATCH(ROWS($AG$2:AG86),$AG$2:$AG$1001,0),1)&gt;=100000,INDEX($AN$1005:$BO$1005,1,MATCH(COLUMNS($AN$1006:AU1006),$AN$1006:$BO$1006,0))&gt;=100000), " ",IF(INDEX($AN$2:$BO$1001,MATCH(ROWS($AG$2:AG86),$AG$2:$AG$1001,0),MATCH(COLUMNS($AN$1006:AU1006),$AN$1006:$BO$1006,0)), HYPERLINK("#",""), HYPERLINK(CONCATENATE("#Metadata!", ADDRESS(INDEX($AI$2:$AI$1001,MATCH(ROWS($AG$2:AG86),$AG$2:$AG$1001,0),0), INDEX($AN$1004:$BO$1004,1,MATCH(COLUMNS($AN$1006:AU1006),$AN$1006:$BO$1006,0)))),"Fix")))</f>
        <v>0</v>
      </c>
      <c r="J86" s="4">
        <f>IF(OR(INDEX($AH$2:$AH$1001,MATCH(ROWS($AG$2:AG86),$AG$2:$AG$1001,0),1)&gt;=100000,INDEX($AN$1005:$BO$1005,1,MATCH(COLUMNS($AN$1006:AV1006),$AN$1006:$BO$1006,0))&gt;=100000), " ",IF(INDEX($AN$2:$BO$1001,MATCH(ROWS($AG$2:AG86),$AG$2:$AG$1001,0),MATCH(COLUMNS($AN$1006:AV1006),$AN$1006:$BO$1006,0)), HYPERLINK("#",""), HYPERLINK(CONCATENATE("#Metadata!", ADDRESS(INDEX($AI$2:$AI$1001,MATCH(ROWS($AG$2:AG86),$AG$2:$AG$1001,0),0), INDEX($AN$1004:$BO$1004,1,MATCH(COLUMNS($AN$1006:AV1006),$AN$1006:$BO$1006,0)))),"Fix")))</f>
        <v>0</v>
      </c>
      <c r="K86" s="4">
        <f>IF(OR(INDEX($AH$2:$AH$1001,MATCH(ROWS($AG$2:AG86),$AG$2:$AG$1001,0),1)&gt;=100000,INDEX($AN$1005:$BO$1005,1,MATCH(COLUMNS($AN$1006:AW1006),$AN$1006:$BO$1006,0))&gt;=100000), " ",IF(INDEX($AN$2:$BO$1001,MATCH(ROWS($AG$2:AG86),$AG$2:$AG$1001,0),MATCH(COLUMNS($AN$1006:AW1006),$AN$1006:$BO$1006,0)), HYPERLINK("#",""), HYPERLINK(CONCATENATE("#Metadata!", ADDRESS(INDEX($AI$2:$AI$1001,MATCH(ROWS($AG$2:AG86),$AG$2:$AG$1001,0),0), INDEX($AN$1004:$BO$1004,1,MATCH(COLUMNS($AN$1006:AW1006),$AN$1006:$BO$1006,0)))),"Fix")))</f>
        <v>0</v>
      </c>
      <c r="L86" s="4">
        <f>IF(OR(INDEX($AH$2:$AH$1001,MATCH(ROWS($AG$2:AG86),$AG$2:$AG$1001,0),1)&gt;=100000,INDEX($AN$1005:$BO$1005,1,MATCH(COLUMNS($AN$1006:AX1006),$AN$1006:$BO$1006,0))&gt;=100000), " ",IF(INDEX($AN$2:$BO$1001,MATCH(ROWS($AG$2:AG86),$AG$2:$AG$1001,0),MATCH(COLUMNS($AN$1006:AX1006),$AN$1006:$BO$1006,0)), HYPERLINK("#",""), HYPERLINK(CONCATENATE("#Metadata!", ADDRESS(INDEX($AI$2:$AI$1001,MATCH(ROWS($AG$2:AG86),$AG$2:$AG$1001,0),0), INDEX($AN$1004:$BO$1004,1,MATCH(COLUMNS($AN$1006:AX1006),$AN$1006:$BO$1006,0)))),"Fix")))</f>
        <v>0</v>
      </c>
      <c r="M86" s="4">
        <f>IF(OR(INDEX($AH$2:$AH$1001,MATCH(ROWS($AG$2:AG86),$AG$2:$AG$1001,0),1)&gt;=100000,INDEX($AN$1005:$BO$1005,1,MATCH(COLUMNS($AN$1006:AY1006),$AN$1006:$BO$1006,0))&gt;=100000), " ",IF(INDEX($AN$2:$BO$1001,MATCH(ROWS($AG$2:AG86),$AG$2:$AG$1001,0),MATCH(COLUMNS($AN$1006:AY1006),$AN$1006:$BO$1006,0)), HYPERLINK("#",""), HYPERLINK(CONCATENATE("#Metadata!", ADDRESS(INDEX($AI$2:$AI$1001,MATCH(ROWS($AG$2:AG86),$AG$2:$AG$1001,0),0), INDEX($AN$1004:$BO$1004,1,MATCH(COLUMNS($AN$1006:AY1006),$AN$1006:$BO$1006,0)))),"Fix")))</f>
        <v>0</v>
      </c>
      <c r="N86" s="4">
        <f>IF(OR(INDEX($AH$2:$AH$1001,MATCH(ROWS($AG$2:AG86),$AG$2:$AG$1001,0),1)&gt;=100000,INDEX($AN$1005:$BO$1005,1,MATCH(COLUMNS($AN$1006:AZ1006),$AN$1006:$BO$1006,0))&gt;=100000), " ",IF(INDEX($AN$2:$BO$1001,MATCH(ROWS($AG$2:AG86),$AG$2:$AG$1001,0),MATCH(COLUMNS($AN$1006:AZ1006),$AN$1006:$BO$1006,0)), HYPERLINK("#",""), HYPERLINK(CONCATENATE("#Metadata!", ADDRESS(INDEX($AI$2:$AI$1001,MATCH(ROWS($AG$2:AG86),$AG$2:$AG$1001,0),0), INDEX($AN$1004:$BO$1004,1,MATCH(COLUMNS($AN$1006:AZ1006),$AN$1006:$BO$1006,0)))),"Fix")))</f>
        <v>0</v>
      </c>
      <c r="O86" s="4">
        <f>IF(OR(INDEX($AH$2:$AH$1001,MATCH(ROWS($AG$2:AG86),$AG$2:$AG$1001,0),1)&gt;=100000,INDEX($AN$1005:$BO$1005,1,MATCH(COLUMNS($AN$1006:BA1006),$AN$1006:$BO$1006,0))&gt;=100000), " ",IF(INDEX($AN$2:$BO$1001,MATCH(ROWS($AG$2:AG86),$AG$2:$AG$1001,0),MATCH(COLUMNS($AN$1006:BA1006),$AN$1006:$BO$1006,0)), HYPERLINK("#",""), HYPERLINK(CONCATENATE("#Metadata!", ADDRESS(INDEX($AI$2:$AI$1001,MATCH(ROWS($AG$2:AG86),$AG$2:$AG$1001,0),0), INDEX($AN$1004:$BO$1004,1,MATCH(COLUMNS($AN$1006:BA1006),$AN$1006:$BO$1006,0)))),"Fix")))</f>
        <v>0</v>
      </c>
      <c r="P86" s="4">
        <f>IF(OR(INDEX($AH$2:$AH$1001,MATCH(ROWS($AG$2:AG86),$AG$2:$AG$1001,0),1)&gt;=100000,INDEX($AN$1005:$BO$1005,1,MATCH(COLUMNS($AN$1006:BB1006),$AN$1006:$BO$1006,0))&gt;=100000), " ",IF(INDEX($AN$2:$BO$1001,MATCH(ROWS($AG$2:AG86),$AG$2:$AG$1001,0),MATCH(COLUMNS($AN$1006:BB1006),$AN$1006:$BO$1006,0)), HYPERLINK("#",""), HYPERLINK(CONCATENATE("#Metadata!", ADDRESS(INDEX($AI$2:$AI$1001,MATCH(ROWS($AG$2:AG86),$AG$2:$AG$1001,0),0), INDEX($AN$1004:$BO$1004,1,MATCH(COLUMNS($AN$1006:BB1006),$AN$1006:$BO$1006,0)))),"Fix")))</f>
        <v>0</v>
      </c>
      <c r="Q86" s="4">
        <f>IF(OR(INDEX($AH$2:$AH$1001,MATCH(ROWS($AG$2:AG86),$AG$2:$AG$1001,0),1)&gt;=100000,INDEX($AN$1005:$BO$1005,1,MATCH(COLUMNS($AN$1006:BC1006),$AN$1006:$BO$1006,0))&gt;=100000), " ",IF(INDEX($AN$2:$BO$1001,MATCH(ROWS($AG$2:AG86),$AG$2:$AG$1001,0),MATCH(COLUMNS($AN$1006:BC1006),$AN$1006:$BO$1006,0)), HYPERLINK("#",""), HYPERLINK(CONCATENATE("#Metadata!", ADDRESS(INDEX($AI$2:$AI$1001,MATCH(ROWS($AG$2:AG86),$AG$2:$AG$1001,0),0), INDEX($AN$1004:$BO$1004,1,MATCH(COLUMNS($AN$1006:BC1006),$AN$1006:$BO$1006,0)))),"Fix")))</f>
        <v>0</v>
      </c>
      <c r="R86" s="4">
        <f>IF(OR(INDEX($AH$2:$AH$1001,MATCH(ROWS($AG$2:AG86),$AG$2:$AG$1001,0),1)&gt;=100000,INDEX($AN$1005:$BO$1005,1,MATCH(COLUMNS($AN$1006:BD1006),$AN$1006:$BO$1006,0))&gt;=100000), " ",IF(INDEX($AN$2:$BO$1001,MATCH(ROWS($AG$2:AG86),$AG$2:$AG$1001,0),MATCH(COLUMNS($AN$1006:BD1006),$AN$1006:$BO$1006,0)), HYPERLINK("#",""), HYPERLINK(CONCATENATE("#Metadata!", ADDRESS(INDEX($AI$2:$AI$1001,MATCH(ROWS($AG$2:AG86),$AG$2:$AG$1001,0),0), INDEX($AN$1004:$BO$1004,1,MATCH(COLUMNS($AN$1006:BD1006),$AN$1006:$BO$1006,0)))),"Fix")))</f>
        <v>0</v>
      </c>
      <c r="S86" s="4">
        <f>IF(OR(INDEX($AH$2:$AH$1001,MATCH(ROWS($AG$2:AG86),$AG$2:$AG$1001,0),1)&gt;=100000,INDEX($AN$1005:$BO$1005,1,MATCH(COLUMNS($AN$1006:BE1006),$AN$1006:$BO$1006,0))&gt;=100000), " ",IF(INDEX($AN$2:$BO$1001,MATCH(ROWS($AG$2:AG86),$AG$2:$AG$1001,0),MATCH(COLUMNS($AN$1006:BE1006),$AN$1006:$BO$1006,0)), HYPERLINK("#",""), HYPERLINK(CONCATENATE("#Metadata!", ADDRESS(INDEX($AI$2:$AI$1001,MATCH(ROWS($AG$2:AG86),$AG$2:$AG$1001,0),0), INDEX($AN$1004:$BO$1004,1,MATCH(COLUMNS($AN$1006:BE1006),$AN$1006:$BO$1006,0)))),"Fix")))</f>
        <v>0</v>
      </c>
      <c r="T86" s="4">
        <f>IF(OR(INDEX($AH$2:$AH$1001,MATCH(ROWS($AG$2:AG86),$AG$2:$AG$1001,0),1)&gt;=100000,INDEX($AN$1005:$BO$1005,1,MATCH(COLUMNS($AN$1006:BF1006),$AN$1006:$BO$1006,0))&gt;=100000), " ",IF(INDEX($AN$2:$BO$1001,MATCH(ROWS($AG$2:AG86),$AG$2:$AG$1001,0),MATCH(COLUMNS($AN$1006:BF1006),$AN$1006:$BO$1006,0)), HYPERLINK("#",""), HYPERLINK(CONCATENATE("#Metadata!", ADDRESS(INDEX($AI$2:$AI$1001,MATCH(ROWS($AG$2:AG86),$AG$2:$AG$1001,0),0), INDEX($AN$1004:$BO$1004,1,MATCH(COLUMNS($AN$1006:BF1006),$AN$1006:$BO$1006,0)))),"Fix")))</f>
        <v>0</v>
      </c>
      <c r="U86" s="4">
        <f>IF(OR(INDEX($AH$2:$AH$1001,MATCH(ROWS($AG$2:AG86),$AG$2:$AG$1001,0),1)&gt;=100000,INDEX($AN$1005:$BO$1005,1,MATCH(COLUMNS($AN$1006:BG1006),$AN$1006:$BO$1006,0))&gt;=100000), " ",IF(INDEX($AN$2:$BO$1001,MATCH(ROWS($AG$2:AG86),$AG$2:$AG$1001,0),MATCH(COLUMNS($AN$1006:BG1006),$AN$1006:$BO$1006,0)), HYPERLINK("#",""), HYPERLINK(CONCATENATE("#Metadata!", ADDRESS(INDEX($AI$2:$AI$1001,MATCH(ROWS($AG$2:AG86),$AG$2:$AG$1001,0),0), INDEX($AN$1004:$BO$1004,1,MATCH(COLUMNS($AN$1006:BG1006),$AN$1006:$BO$1006,0)))),"Fix")))</f>
        <v>0</v>
      </c>
      <c r="V86" s="4">
        <f>IF(OR(INDEX($AH$2:$AH$1001,MATCH(ROWS($AG$2:AG86),$AG$2:$AG$1001,0),1)&gt;=100000,INDEX($AN$1005:$BO$1005,1,MATCH(COLUMNS($AN$1006:BH1006),$AN$1006:$BO$1006,0))&gt;=100000), " ",IF(INDEX($AN$2:$BO$1001,MATCH(ROWS($AG$2:AG86),$AG$2:$AG$1001,0),MATCH(COLUMNS($AN$1006:BH1006),$AN$1006:$BO$1006,0)), HYPERLINK("#",""), HYPERLINK(CONCATENATE("#Metadata!", ADDRESS(INDEX($AI$2:$AI$1001,MATCH(ROWS($AG$2:AG86),$AG$2:$AG$1001,0),0), INDEX($AN$1004:$BO$1004,1,MATCH(COLUMNS($AN$1006:BH1006),$AN$1006:$BO$1006,0)))),"Fix")))</f>
        <v>0</v>
      </c>
      <c r="W86" s="4">
        <f>IF(OR(INDEX($AH$2:$AH$1001,MATCH(ROWS($AG$2:AG86),$AG$2:$AG$1001,0),1)&gt;=100000,INDEX($AN$1005:$BO$1005,1,MATCH(COLUMNS($AN$1006:BI1006),$AN$1006:$BO$1006,0))&gt;=100000), " ",IF(INDEX($AN$2:$BO$1001,MATCH(ROWS($AG$2:AG86),$AG$2:$AG$1001,0),MATCH(COLUMNS($AN$1006:BI1006),$AN$1006:$BO$1006,0)), HYPERLINK("#",""), HYPERLINK(CONCATENATE("#Metadata!", ADDRESS(INDEX($AI$2:$AI$1001,MATCH(ROWS($AG$2:AG86),$AG$2:$AG$1001,0),0), INDEX($AN$1004:$BO$1004,1,MATCH(COLUMNS($AN$1006:BI1006),$AN$1006:$BO$1006,0)))),"Fix")))</f>
        <v>0</v>
      </c>
      <c r="X86" s="4">
        <f>IF(OR(INDEX($AH$2:$AH$1001,MATCH(ROWS($AG$2:AG86),$AG$2:$AG$1001,0),1)&gt;=100000,INDEX($AN$1005:$BO$1005,1,MATCH(COLUMNS($AN$1006:BJ1006),$AN$1006:$BO$1006,0))&gt;=100000), " ",IF(INDEX($AN$2:$BO$1001,MATCH(ROWS($AG$2:AG86),$AG$2:$AG$1001,0),MATCH(COLUMNS($AN$1006:BJ1006),$AN$1006:$BO$1006,0)), HYPERLINK("#",""), HYPERLINK(CONCATENATE("#Metadata!", ADDRESS(INDEX($AI$2:$AI$1001,MATCH(ROWS($AG$2:AG86),$AG$2:$AG$1001,0),0), INDEX($AN$1004:$BO$1004,1,MATCH(COLUMNS($AN$1006:BJ1006),$AN$1006:$BO$1006,0)))),"Fix")))</f>
        <v>0</v>
      </c>
      <c r="Y86" s="4">
        <f>IF(OR(INDEX($AH$2:$AH$1001,MATCH(ROWS($AG$2:AG86),$AG$2:$AG$1001,0),1)&gt;=100000,INDEX($AN$1005:$BO$1005,1,MATCH(COLUMNS($AN$1006:BK1006),$AN$1006:$BO$1006,0))&gt;=100000), " ",IF(INDEX($AN$2:$BO$1001,MATCH(ROWS($AG$2:AG86),$AG$2:$AG$1001,0),MATCH(COLUMNS($AN$1006:BK1006),$AN$1006:$BO$1006,0)), HYPERLINK("#",""), HYPERLINK(CONCATENATE("#Metadata!", ADDRESS(INDEX($AI$2:$AI$1001,MATCH(ROWS($AG$2:AG86),$AG$2:$AG$1001,0),0), INDEX($AN$1004:$BO$1004,1,MATCH(COLUMNS($AN$1006:BK1006),$AN$1006:$BO$1006,0)))),"Fix")))</f>
        <v>0</v>
      </c>
      <c r="Z86" s="4">
        <f>IF(OR(INDEX($AH$2:$AH$1001,MATCH(ROWS($AG$2:AG86),$AG$2:$AG$1001,0),1)&gt;=100000,INDEX($AN$1005:$BO$1005,1,MATCH(COLUMNS($AN$1006:BL1006),$AN$1006:$BO$1006,0))&gt;=100000), " ",IF(INDEX($AN$2:$BO$1001,MATCH(ROWS($AG$2:AG86),$AG$2:$AG$1001,0),MATCH(COLUMNS($AN$1006:BL1006),$AN$1006:$BO$1006,0)), HYPERLINK("#",""), HYPERLINK(CONCATENATE("#Metadata!", ADDRESS(INDEX($AI$2:$AI$1001,MATCH(ROWS($AG$2:AG86),$AG$2:$AG$1001,0),0), INDEX($AN$1004:$BO$1004,1,MATCH(COLUMNS($AN$1006:BL1006),$AN$1006:$BO$1006,0)))),"Fix")))</f>
        <v>0</v>
      </c>
      <c r="AA86" s="4">
        <f>IF(OR(INDEX($AH$2:$AH$1001,MATCH(ROWS($AG$2:AG86),$AG$2:$AG$1001,0),1)&gt;=100000,INDEX($AN$1005:$BO$1005,1,MATCH(COLUMNS($AN$1006:BM1006),$AN$1006:$BO$1006,0))&gt;=100000), " ",IF(INDEX($AN$2:$BO$1001,MATCH(ROWS($AG$2:AG86),$AG$2:$AG$1001,0),MATCH(COLUMNS($AN$1006:BM1006),$AN$1006:$BO$1006,0)), HYPERLINK("#",""), HYPERLINK(CONCATENATE("#Metadata!", ADDRESS(INDEX($AI$2:$AI$1001,MATCH(ROWS($AG$2:AG86),$AG$2:$AG$1001,0),0), INDEX($AN$1004:$BO$1004,1,MATCH(COLUMNS($AN$1006:BM1006),$AN$1006:$BO$1006,0)))),"Fix")))</f>
        <v>0</v>
      </c>
      <c r="AB86" s="4">
        <f>IF(OR(INDEX($AH$2:$AH$1001,MATCH(ROWS($AG$2:AG86),$AG$2:$AG$1001,0),1)&gt;=100000,INDEX($AN$1005:$BO$1005,1,MATCH(COLUMNS($AN$1006:BN1006),$AN$1006:$BO$1006,0))&gt;=100000), " ",IF(INDEX($AN$2:$BO$1001,MATCH(ROWS($AG$2:AG86),$AG$2:$AG$1001,0),MATCH(COLUMNS($AN$1006:BN1006),$AN$1006:$BO$1006,0)), HYPERLINK("#",""), HYPERLINK(CONCATENATE("#Metadata!", ADDRESS(INDEX($AI$2:$AI$1001,MATCH(ROWS($AG$2:AG86),$AG$2:$AG$1001,0),0), INDEX($AN$1004:$BO$1004,1,MATCH(COLUMNS($AN$1006:BN1006),$AN$1006:$BO$1006,0)))),"Fix")))</f>
        <v>0</v>
      </c>
      <c r="AC86" s="4">
        <f>IF(OR(INDEX($AH$2:$AH$1001,MATCH(ROWS($AG$2:AG86),$AG$2:$AG$1001,0),1)&gt;=100000,INDEX($AN$1005:$BO$1005,1,MATCH(COLUMNS($AN$1006:BO1006),$AN$1006:$BO$1006,0))&gt;=100000), " ",IF(INDEX($AN$2:$BO$1001,MATCH(ROWS($AG$2:AG86),$AG$2:$AG$1001,0),MATCH(COLUMNS($AN$1006:BO1006),$AN$1006:$BO$1006,0)), HYPERLINK("#",""), HYPERLINK(CONCATENATE("#Metadata!", ADDRESS(INDEX($AI$2:$AI$1001,MATCH(ROWS($AG$2:AG86),$AG$2:$AG$1001,0),0), INDEX($AN$1004:$BO$1004,1,MATCH(COLUMNS($AN$1006:BO1006),$AN$1006:$BO$1006,0)))),"Fix")))</f>
        <v>0</v>
      </c>
      <c r="AG86">
        <v>0</v>
      </c>
      <c r="AH86">
        <v>0</v>
      </c>
      <c r="AI86">
        <v>0</v>
      </c>
      <c r="AJ86">
        <f>IF(AK86,TRUE,AND(AN86:BO86))</f>
        <v>0</v>
      </c>
      <c r="AK86">
        <f>COUNTBLANK(Metadata!B86:AC86)=COLUMNS(Metadata!B86:AC86)</f>
        <v>0</v>
      </c>
      <c r="AL86">
        <v>0</v>
      </c>
      <c r="AN86">
        <f>AND(IF(Metadata!B86="",FALSE,TRUE),COUNTIF(Metadata!B:B, Metadata!B86) = 1,NOT(ISERROR(SUMPRODUCT(SEARCH(MID(Metadata!B86,ROW(INDIRECT("1:"&amp;LEN(Metadata!B86))), 1),"0123456789abcdefghijklmnopqrstuvwxyzABCDEFGHIJKLMNOPQRSTUVWXYZ.")))))</f>
        <v>0</v>
      </c>
      <c r="AO86">
        <f>IF(Metadata!C86="",FALSE,TRUE)</f>
        <v>0</v>
      </c>
      <c r="AP86">
        <f>IF(Metadata!D86="",FALSE,TRUE)</f>
        <v>0</v>
      </c>
      <c r="AQ86">
        <f>OR(AND(IF(Metadata!E86="",FALSE,TRUE),OR(exact(Metadata!E86,"not collected"),exact(Metadata!E86,"not provided"),exact(Metadata!E86,"restricted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R86">
        <f>IF(Metadata!F86="",FALSE,TRUE)</f>
        <v>0</v>
      </c>
      <c r="AS86">
        <f>OR(AND(IF(Metadata!G86="",FALSE,TRUE),OR(exact(Metadata!G86,"not collected"),exact(Metadata!G86,"not provided"))),AND(IF(Metadata!G86="",FALSE,TRUE),OR(exact(Metadata!G86,"TRUE"),exact(Metadata!G86,"FALSE"))))</f>
        <v>0</v>
      </c>
      <c r="AT86">
        <f>OR(AND(IF(Metadata!H86="",FALSE,TRUE),OR(exact(Metadata!H86,"not collected"),exact(Metadata!H86,"not provided"),exact(Metadata!H86,"restricted access"))),AND(IF(Metadata!H86="",FALSE,ISNUMBER(VALUE(Metadata!H86))),Metadata!H86&gt;=-413.0))</f>
        <v>0</v>
      </c>
      <c r="AU86">
        <f>AND(IF(Metadata!I86="",FALSE,TRUE),exact(Metadata!I86,"meters"))</f>
        <v>0</v>
      </c>
      <c r="AV86">
        <f>AND(IF(Metadata!J86="",FALSE,TRUE),OR(exact(Metadata!J86,"Host-associated"),exact(Metadata!J86,"Free-living")))</f>
        <v>0</v>
      </c>
      <c r="AW86">
        <f>AND(IF(Metadata!K86="",FALSE,TRUE),OR(exact(Metadata!K86,"Animal"),exact(Metadata!K86,"Fungus"),exact(Metadata!K86,"Plant"),exact(Metadata!K86,"Saline"),exact(Metadata!K86,"Non-saline")))</f>
        <v>0</v>
      </c>
      <c r="AX86">
        <f>AND(IF(Metadata!L86="",FALSE,TRUE),OR(exact(Metadata!L86,"Plant secretion"),exact(Metadata!L86,"Plant rhizosphere"),exact(Metadata!L86,"Plant surface"),exact(Metadata!L86,"Plant corpus"),exact(Metadata!L86,"Fungus surface"),exact(Metadata!L86,"Fungus corpus"),exact(Metadata!L86,"Animal surface"),exact(Metadata!L86,"Animal proximal gut"),exact(Metadata!L86,"Animal corpus"),exact(Metadata!L86,"Animal distal gut"),exact(Metadata!L86,"Animal secretion"),exact(Metadata!L86,"Sub-surface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Y86">
        <f>IF(Metadata!M86="",FALSE,TRUE)</f>
        <v>0</v>
      </c>
      <c r="AZ86">
        <f>IF(Metadata!N86="",FALSE,TRUE)</f>
        <v>0</v>
      </c>
      <c r="BA86">
        <f>IF(Metadata!O86="",FALSE,TRUE)</f>
        <v>0</v>
      </c>
      <c r="BB86">
        <f>OR(AND(IF(Metadata!P86="",FALSE,TRUE),OR(exact(Metadata!P86,"not collected"),exact(Metadata!P86,"not provided"),exact(Metadata!P86,"restricted access"))),AND(IF(Metadata!P86="",FALSE,TRUE),OR(exact(Metadata!P86,"air"),exact(Metadata!P86,"built environment"),exact(Metadata!P86,"host-associated"),exact(Metadata!P86,"human-associated"),exact(Metadata!P86,"human-skin"),exact(Metadata!P86,"human-oral"),exact(Metadata!P86,"human-gut"),exact(Metadata!P86,"human-vaginal"),exact(Metadata!P86,"microbial mat/biofilm"),exact(Metadata!P86,"misc environment"),exact(Metadata!P86,"plant-associated"),exact(Metadata!P86,"sediment"),exact(Metadata!P86,"soil"),exact(Metadata!P86,"wastewater/sludge"),exact(Metadata!P86,"water"))))</f>
        <v>0</v>
      </c>
      <c r="BC86">
        <f>IF(Metadata!Q86="",FALSE,TRUE)</f>
        <v>0</v>
      </c>
      <c r="BD86">
        <f>IF(Metadata!R86="",FALSE,TRUE)</f>
        <v>0</v>
      </c>
      <c r="BE86">
        <f>OR(AND(IF(Metadata!S86="",FALSE,TRUE),OR(exact(Metadata!S86,"not collected"),exact(Metadata!S86,"not provided"),exact(Metadata!S86,"restricted access"))),AND(IF(Metadata!S86="",FALSE,ISNUMBER(VALUE(Metadata!S86))),Metadata!S86&gt;=-90.00,Metadata!S86&lt;=90.00))</f>
        <v>0</v>
      </c>
      <c r="BF86">
        <f>AND(IF(Metadata!T86="",FALSE,TRUE),exact(Metadata!T86,"Decimal degrees"))</f>
        <v>0</v>
      </c>
      <c r="BG86">
        <f>OR(AND(IF(Metadata!U86="",FALSE,TRUE),OR(exact(Metadata!U86,"not collected"),exact(Metadata!U86,"not provided"),exact(Metadata!U86,"restricted access"))),AND(IF(Metadata!U86="",FALSE,ISNUMBER(VALUE(Metadata!U86))),Metadata!U86&gt;=-180.00,Metadata!U86&lt;=180.00))</f>
        <v>0</v>
      </c>
      <c r="BH86">
        <f>AND(IF(Metadata!V86="",FALSE,TRUE),exact(Metadata!V86,"Decimal degrees"))</f>
        <v>0</v>
      </c>
      <c r="BI86">
        <f>IF(Metadata!W86="",FALSE,TRUE)</f>
        <v>0</v>
      </c>
      <c r="BJ86">
        <f>OR(AND(IF(Metadata!X86="",FALSE,TRUE),OR(exact(Metadata!X86,"not collected"),exact(Metadata!X86,"not provided"),exact(Metadata!X86,"restricted access"))),AND(IF(Metadata!X86="",FALSE,TRUE),OR(exact(Metadata!X86,"TRUE"),exact(Metadata!X86,"FALSE"))))</f>
        <v>0</v>
      </c>
      <c r="BK86">
        <f>AND(IF(Metadata!Y86="",FALSE,TRUE),exact(Metadata!Y86,"other"))</f>
        <v>0</v>
      </c>
      <c r="BL86">
        <f>IF(Metadata!Z86="",FALSE,TRUE)</f>
        <v>0</v>
      </c>
      <c r="BM86">
        <f>OR(AND(IF(Metadata!AA86="",FALSE,TRUE),OR(exact(Metadata!AA86,"not collected"),exact(Metadata!AA86,"not provided"))),AND(IF(Metadata!AA86="",FALSE,IF(ISERROR(INT(Metadata!AA86)),FALSE,INT(Metadata!AA86)=Metadata!AA86)),Metadata!AA86&gt;0))</f>
        <v>0</v>
      </c>
      <c r="BN86">
        <f>AND(IF(Metadata!AB86="",FALSE,TRUE),exact(Metadata!AB86,"Not applicable"))</f>
        <v>0</v>
      </c>
      <c r="BO86">
        <f>IF(Metadata!AC86="",FALSE,TRUE)</f>
        <v>0</v>
      </c>
    </row>
    <row r="87" spans="1:67">
      <c r="A87" s="5">
        <f>IF(B87=" "," ",HYPERLINK(CONCATENATE("#metadata!",ADDRESS(INDEX($AI$2:$AI$1001,MATCH(ROWS($AG$2:AG87),$AG$2:$AG$1001,0),0),1)),INDEX($AL$2:$AL$1001,MATCH(ROWS($AG$2:AG87),$AG$2:$AG$1001,0),0)))</f>
        <v>0</v>
      </c>
      <c r="B87" s="4">
        <f>IF(OR(INDEX($AH$2:$AH$1001,MATCH(ROWS($AG$2:AG87),$AG$2:$AG$1001,0),1)&gt;=100000,INDEX($AN$1005:$BO$1005,1,MATCH(COLUMNS($AN$1006:AN1006),$AN$1006:$BO$1006,0))&gt;=100000), " ",IF(INDEX($AN$2:$BO$1001,MATCH(ROWS($AG$2:AG87),$AG$2:$AG$1001,0),MATCH(COLUMNS($AN$1006:AN1006),$AN$1006:$BO$1006,0)), HYPERLINK("#",""), HYPERLINK(CONCATENATE("#Metadata!", ADDRESS(INDEX($AI$2:$AI$1001,MATCH(ROWS($AG$2:AG87),$AG$2:$AG$1001,0),0), INDEX($AN$1004:$BO$1004,1,MATCH(COLUMNS($AN$1006:AN1006),$AN$1006:$BO$1006,0)))),"Fix")))</f>
        <v>0</v>
      </c>
      <c r="C87" s="4">
        <f>IF(OR(INDEX($AH$2:$AH$1001,MATCH(ROWS($AG$2:AG87),$AG$2:$AG$1001,0),1)&gt;=100000,INDEX($AN$1005:$BO$1005,1,MATCH(COLUMNS($AN$1006:AO1006),$AN$1006:$BO$1006,0))&gt;=100000), " ",IF(INDEX($AN$2:$BO$1001,MATCH(ROWS($AG$2:AG87),$AG$2:$AG$1001,0),MATCH(COLUMNS($AN$1006:AO1006),$AN$1006:$BO$1006,0)), HYPERLINK("#",""), HYPERLINK(CONCATENATE("#Metadata!", ADDRESS(INDEX($AI$2:$AI$1001,MATCH(ROWS($AG$2:AG87),$AG$2:$AG$1001,0),0), INDEX($AN$1004:$BO$1004,1,MATCH(COLUMNS($AN$1006:AO1006),$AN$1006:$BO$1006,0)))),"Fix")))</f>
        <v>0</v>
      </c>
      <c r="D87" s="4">
        <f>IF(OR(INDEX($AH$2:$AH$1001,MATCH(ROWS($AG$2:AG87),$AG$2:$AG$1001,0),1)&gt;=100000,INDEX($AN$1005:$BO$1005,1,MATCH(COLUMNS($AN$1006:AP1006),$AN$1006:$BO$1006,0))&gt;=100000), " ",IF(INDEX($AN$2:$BO$1001,MATCH(ROWS($AG$2:AG87),$AG$2:$AG$1001,0),MATCH(COLUMNS($AN$1006:AP1006),$AN$1006:$BO$1006,0)), HYPERLINK("#",""), HYPERLINK(CONCATENATE("#Metadata!", ADDRESS(INDEX($AI$2:$AI$1001,MATCH(ROWS($AG$2:AG87),$AG$2:$AG$1001,0),0), INDEX($AN$1004:$BO$1004,1,MATCH(COLUMNS($AN$1006:AP1006),$AN$1006:$BO$1006,0)))),"Fix")))</f>
        <v>0</v>
      </c>
      <c r="E87" s="4">
        <f>IF(OR(INDEX($AH$2:$AH$1001,MATCH(ROWS($AG$2:AG87),$AG$2:$AG$1001,0),1)&gt;=100000,INDEX($AN$1005:$BO$1005,1,MATCH(COLUMNS($AN$1006:AQ1006),$AN$1006:$BO$1006,0))&gt;=100000), " ",IF(INDEX($AN$2:$BO$1001,MATCH(ROWS($AG$2:AG87),$AG$2:$AG$1001,0),MATCH(COLUMNS($AN$1006:AQ1006),$AN$1006:$BO$1006,0)), HYPERLINK("#",""), HYPERLINK(CONCATENATE("#Metadata!", ADDRESS(INDEX($AI$2:$AI$1001,MATCH(ROWS($AG$2:AG87),$AG$2:$AG$1001,0),0), INDEX($AN$1004:$BO$1004,1,MATCH(COLUMNS($AN$1006:AQ1006),$AN$1006:$BO$1006,0)))),"Fix")))</f>
        <v>0</v>
      </c>
      <c r="F87" s="4">
        <f>IF(OR(INDEX($AH$2:$AH$1001,MATCH(ROWS($AG$2:AG87),$AG$2:$AG$1001,0),1)&gt;=100000,INDEX($AN$1005:$BO$1005,1,MATCH(COLUMNS($AN$1006:AR1006),$AN$1006:$BO$1006,0))&gt;=100000), " ",IF(INDEX($AN$2:$BO$1001,MATCH(ROWS($AG$2:AG87),$AG$2:$AG$1001,0),MATCH(COLUMNS($AN$1006:AR1006),$AN$1006:$BO$1006,0)), HYPERLINK("#",""), HYPERLINK(CONCATENATE("#Metadata!", ADDRESS(INDEX($AI$2:$AI$1001,MATCH(ROWS($AG$2:AG87),$AG$2:$AG$1001,0),0), INDEX($AN$1004:$BO$1004,1,MATCH(COLUMNS($AN$1006:AR1006),$AN$1006:$BO$1006,0)))),"Fix")))</f>
        <v>0</v>
      </c>
      <c r="G87" s="4">
        <f>IF(OR(INDEX($AH$2:$AH$1001,MATCH(ROWS($AG$2:AG87),$AG$2:$AG$1001,0),1)&gt;=100000,INDEX($AN$1005:$BO$1005,1,MATCH(COLUMNS($AN$1006:AS1006),$AN$1006:$BO$1006,0))&gt;=100000), " ",IF(INDEX($AN$2:$BO$1001,MATCH(ROWS($AG$2:AG87),$AG$2:$AG$1001,0),MATCH(COLUMNS($AN$1006:AS1006),$AN$1006:$BO$1006,0)), HYPERLINK("#",""), HYPERLINK(CONCATENATE("#Metadata!", ADDRESS(INDEX($AI$2:$AI$1001,MATCH(ROWS($AG$2:AG87),$AG$2:$AG$1001,0),0), INDEX($AN$1004:$BO$1004,1,MATCH(COLUMNS($AN$1006:AS1006),$AN$1006:$BO$1006,0)))),"Fix")))</f>
        <v>0</v>
      </c>
      <c r="H87" s="4">
        <f>IF(OR(INDEX($AH$2:$AH$1001,MATCH(ROWS($AG$2:AG87),$AG$2:$AG$1001,0),1)&gt;=100000,INDEX($AN$1005:$BO$1005,1,MATCH(COLUMNS($AN$1006:AT1006),$AN$1006:$BO$1006,0))&gt;=100000), " ",IF(INDEX($AN$2:$BO$1001,MATCH(ROWS($AG$2:AG87),$AG$2:$AG$1001,0),MATCH(COLUMNS($AN$1006:AT1006),$AN$1006:$BO$1006,0)), HYPERLINK("#",""), HYPERLINK(CONCATENATE("#Metadata!", ADDRESS(INDEX($AI$2:$AI$1001,MATCH(ROWS($AG$2:AG87),$AG$2:$AG$1001,0),0), INDEX($AN$1004:$BO$1004,1,MATCH(COLUMNS($AN$1006:AT1006),$AN$1006:$BO$1006,0)))),"Fix")))</f>
        <v>0</v>
      </c>
      <c r="I87" s="4">
        <f>IF(OR(INDEX($AH$2:$AH$1001,MATCH(ROWS($AG$2:AG87),$AG$2:$AG$1001,0),1)&gt;=100000,INDEX($AN$1005:$BO$1005,1,MATCH(COLUMNS($AN$1006:AU1006),$AN$1006:$BO$1006,0))&gt;=100000), " ",IF(INDEX($AN$2:$BO$1001,MATCH(ROWS($AG$2:AG87),$AG$2:$AG$1001,0),MATCH(COLUMNS($AN$1006:AU1006),$AN$1006:$BO$1006,0)), HYPERLINK("#",""), HYPERLINK(CONCATENATE("#Metadata!", ADDRESS(INDEX($AI$2:$AI$1001,MATCH(ROWS($AG$2:AG87),$AG$2:$AG$1001,0),0), INDEX($AN$1004:$BO$1004,1,MATCH(COLUMNS($AN$1006:AU1006),$AN$1006:$BO$1006,0)))),"Fix")))</f>
        <v>0</v>
      </c>
      <c r="J87" s="4">
        <f>IF(OR(INDEX($AH$2:$AH$1001,MATCH(ROWS($AG$2:AG87),$AG$2:$AG$1001,0),1)&gt;=100000,INDEX($AN$1005:$BO$1005,1,MATCH(COLUMNS($AN$1006:AV1006),$AN$1006:$BO$1006,0))&gt;=100000), " ",IF(INDEX($AN$2:$BO$1001,MATCH(ROWS($AG$2:AG87),$AG$2:$AG$1001,0),MATCH(COLUMNS($AN$1006:AV1006),$AN$1006:$BO$1006,0)), HYPERLINK("#",""), HYPERLINK(CONCATENATE("#Metadata!", ADDRESS(INDEX($AI$2:$AI$1001,MATCH(ROWS($AG$2:AG87),$AG$2:$AG$1001,0),0), INDEX($AN$1004:$BO$1004,1,MATCH(COLUMNS($AN$1006:AV1006),$AN$1006:$BO$1006,0)))),"Fix")))</f>
        <v>0</v>
      </c>
      <c r="K87" s="4">
        <f>IF(OR(INDEX($AH$2:$AH$1001,MATCH(ROWS($AG$2:AG87),$AG$2:$AG$1001,0),1)&gt;=100000,INDEX($AN$1005:$BO$1005,1,MATCH(COLUMNS($AN$1006:AW1006),$AN$1006:$BO$1006,0))&gt;=100000), " ",IF(INDEX($AN$2:$BO$1001,MATCH(ROWS($AG$2:AG87),$AG$2:$AG$1001,0),MATCH(COLUMNS($AN$1006:AW1006),$AN$1006:$BO$1006,0)), HYPERLINK("#",""), HYPERLINK(CONCATENATE("#Metadata!", ADDRESS(INDEX($AI$2:$AI$1001,MATCH(ROWS($AG$2:AG87),$AG$2:$AG$1001,0),0), INDEX($AN$1004:$BO$1004,1,MATCH(COLUMNS($AN$1006:AW1006),$AN$1006:$BO$1006,0)))),"Fix")))</f>
        <v>0</v>
      </c>
      <c r="L87" s="4">
        <f>IF(OR(INDEX($AH$2:$AH$1001,MATCH(ROWS($AG$2:AG87),$AG$2:$AG$1001,0),1)&gt;=100000,INDEX($AN$1005:$BO$1005,1,MATCH(COLUMNS($AN$1006:AX1006),$AN$1006:$BO$1006,0))&gt;=100000), " ",IF(INDEX($AN$2:$BO$1001,MATCH(ROWS($AG$2:AG87),$AG$2:$AG$1001,0),MATCH(COLUMNS($AN$1006:AX1006),$AN$1006:$BO$1006,0)), HYPERLINK("#",""), HYPERLINK(CONCATENATE("#Metadata!", ADDRESS(INDEX($AI$2:$AI$1001,MATCH(ROWS($AG$2:AG87),$AG$2:$AG$1001,0),0), INDEX($AN$1004:$BO$1004,1,MATCH(COLUMNS($AN$1006:AX1006),$AN$1006:$BO$1006,0)))),"Fix")))</f>
        <v>0</v>
      </c>
      <c r="M87" s="4">
        <f>IF(OR(INDEX($AH$2:$AH$1001,MATCH(ROWS($AG$2:AG87),$AG$2:$AG$1001,0),1)&gt;=100000,INDEX($AN$1005:$BO$1005,1,MATCH(COLUMNS($AN$1006:AY1006),$AN$1006:$BO$1006,0))&gt;=100000), " ",IF(INDEX($AN$2:$BO$1001,MATCH(ROWS($AG$2:AG87),$AG$2:$AG$1001,0),MATCH(COLUMNS($AN$1006:AY1006),$AN$1006:$BO$1006,0)), HYPERLINK("#",""), HYPERLINK(CONCATENATE("#Metadata!", ADDRESS(INDEX($AI$2:$AI$1001,MATCH(ROWS($AG$2:AG87),$AG$2:$AG$1001,0),0), INDEX($AN$1004:$BO$1004,1,MATCH(COLUMNS($AN$1006:AY1006),$AN$1006:$BO$1006,0)))),"Fix")))</f>
        <v>0</v>
      </c>
      <c r="N87" s="4">
        <f>IF(OR(INDEX($AH$2:$AH$1001,MATCH(ROWS($AG$2:AG87),$AG$2:$AG$1001,0),1)&gt;=100000,INDEX($AN$1005:$BO$1005,1,MATCH(COLUMNS($AN$1006:AZ1006),$AN$1006:$BO$1006,0))&gt;=100000), " ",IF(INDEX($AN$2:$BO$1001,MATCH(ROWS($AG$2:AG87),$AG$2:$AG$1001,0),MATCH(COLUMNS($AN$1006:AZ1006),$AN$1006:$BO$1006,0)), HYPERLINK("#",""), HYPERLINK(CONCATENATE("#Metadata!", ADDRESS(INDEX($AI$2:$AI$1001,MATCH(ROWS($AG$2:AG87),$AG$2:$AG$1001,0),0), INDEX($AN$1004:$BO$1004,1,MATCH(COLUMNS($AN$1006:AZ1006),$AN$1006:$BO$1006,0)))),"Fix")))</f>
        <v>0</v>
      </c>
      <c r="O87" s="4">
        <f>IF(OR(INDEX($AH$2:$AH$1001,MATCH(ROWS($AG$2:AG87),$AG$2:$AG$1001,0),1)&gt;=100000,INDEX($AN$1005:$BO$1005,1,MATCH(COLUMNS($AN$1006:BA1006),$AN$1006:$BO$1006,0))&gt;=100000), " ",IF(INDEX($AN$2:$BO$1001,MATCH(ROWS($AG$2:AG87),$AG$2:$AG$1001,0),MATCH(COLUMNS($AN$1006:BA1006),$AN$1006:$BO$1006,0)), HYPERLINK("#",""), HYPERLINK(CONCATENATE("#Metadata!", ADDRESS(INDEX($AI$2:$AI$1001,MATCH(ROWS($AG$2:AG87),$AG$2:$AG$1001,0),0), INDEX($AN$1004:$BO$1004,1,MATCH(COLUMNS($AN$1006:BA1006),$AN$1006:$BO$1006,0)))),"Fix")))</f>
        <v>0</v>
      </c>
      <c r="P87" s="4">
        <f>IF(OR(INDEX($AH$2:$AH$1001,MATCH(ROWS($AG$2:AG87),$AG$2:$AG$1001,0),1)&gt;=100000,INDEX($AN$1005:$BO$1005,1,MATCH(COLUMNS($AN$1006:BB1006),$AN$1006:$BO$1006,0))&gt;=100000), " ",IF(INDEX($AN$2:$BO$1001,MATCH(ROWS($AG$2:AG87),$AG$2:$AG$1001,0),MATCH(COLUMNS($AN$1006:BB1006),$AN$1006:$BO$1006,0)), HYPERLINK("#",""), HYPERLINK(CONCATENATE("#Metadata!", ADDRESS(INDEX($AI$2:$AI$1001,MATCH(ROWS($AG$2:AG87),$AG$2:$AG$1001,0),0), INDEX($AN$1004:$BO$1004,1,MATCH(COLUMNS($AN$1006:BB1006),$AN$1006:$BO$1006,0)))),"Fix")))</f>
        <v>0</v>
      </c>
      <c r="Q87" s="4">
        <f>IF(OR(INDEX($AH$2:$AH$1001,MATCH(ROWS($AG$2:AG87),$AG$2:$AG$1001,0),1)&gt;=100000,INDEX($AN$1005:$BO$1005,1,MATCH(COLUMNS($AN$1006:BC1006),$AN$1006:$BO$1006,0))&gt;=100000), " ",IF(INDEX($AN$2:$BO$1001,MATCH(ROWS($AG$2:AG87),$AG$2:$AG$1001,0),MATCH(COLUMNS($AN$1006:BC1006),$AN$1006:$BO$1006,0)), HYPERLINK("#",""), HYPERLINK(CONCATENATE("#Metadata!", ADDRESS(INDEX($AI$2:$AI$1001,MATCH(ROWS($AG$2:AG87),$AG$2:$AG$1001,0),0), INDEX($AN$1004:$BO$1004,1,MATCH(COLUMNS($AN$1006:BC1006),$AN$1006:$BO$1006,0)))),"Fix")))</f>
        <v>0</v>
      </c>
      <c r="R87" s="4">
        <f>IF(OR(INDEX($AH$2:$AH$1001,MATCH(ROWS($AG$2:AG87),$AG$2:$AG$1001,0),1)&gt;=100000,INDEX($AN$1005:$BO$1005,1,MATCH(COLUMNS($AN$1006:BD1006),$AN$1006:$BO$1006,0))&gt;=100000), " ",IF(INDEX($AN$2:$BO$1001,MATCH(ROWS($AG$2:AG87),$AG$2:$AG$1001,0),MATCH(COLUMNS($AN$1006:BD1006),$AN$1006:$BO$1006,0)), HYPERLINK("#",""), HYPERLINK(CONCATENATE("#Metadata!", ADDRESS(INDEX($AI$2:$AI$1001,MATCH(ROWS($AG$2:AG87),$AG$2:$AG$1001,0),0), INDEX($AN$1004:$BO$1004,1,MATCH(COLUMNS($AN$1006:BD1006),$AN$1006:$BO$1006,0)))),"Fix")))</f>
        <v>0</v>
      </c>
      <c r="S87" s="4">
        <f>IF(OR(INDEX($AH$2:$AH$1001,MATCH(ROWS($AG$2:AG87),$AG$2:$AG$1001,0),1)&gt;=100000,INDEX($AN$1005:$BO$1005,1,MATCH(COLUMNS($AN$1006:BE1006),$AN$1006:$BO$1006,0))&gt;=100000), " ",IF(INDEX($AN$2:$BO$1001,MATCH(ROWS($AG$2:AG87),$AG$2:$AG$1001,0),MATCH(COLUMNS($AN$1006:BE1006),$AN$1006:$BO$1006,0)), HYPERLINK("#",""), HYPERLINK(CONCATENATE("#Metadata!", ADDRESS(INDEX($AI$2:$AI$1001,MATCH(ROWS($AG$2:AG87),$AG$2:$AG$1001,0),0), INDEX($AN$1004:$BO$1004,1,MATCH(COLUMNS($AN$1006:BE1006),$AN$1006:$BO$1006,0)))),"Fix")))</f>
        <v>0</v>
      </c>
      <c r="T87" s="4">
        <f>IF(OR(INDEX($AH$2:$AH$1001,MATCH(ROWS($AG$2:AG87),$AG$2:$AG$1001,0),1)&gt;=100000,INDEX($AN$1005:$BO$1005,1,MATCH(COLUMNS($AN$1006:BF1006),$AN$1006:$BO$1006,0))&gt;=100000), " ",IF(INDEX($AN$2:$BO$1001,MATCH(ROWS($AG$2:AG87),$AG$2:$AG$1001,0),MATCH(COLUMNS($AN$1006:BF1006),$AN$1006:$BO$1006,0)), HYPERLINK("#",""), HYPERLINK(CONCATENATE("#Metadata!", ADDRESS(INDEX($AI$2:$AI$1001,MATCH(ROWS($AG$2:AG87),$AG$2:$AG$1001,0),0), INDEX($AN$1004:$BO$1004,1,MATCH(COLUMNS($AN$1006:BF1006),$AN$1006:$BO$1006,0)))),"Fix")))</f>
        <v>0</v>
      </c>
      <c r="U87" s="4">
        <f>IF(OR(INDEX($AH$2:$AH$1001,MATCH(ROWS($AG$2:AG87),$AG$2:$AG$1001,0),1)&gt;=100000,INDEX($AN$1005:$BO$1005,1,MATCH(COLUMNS($AN$1006:BG1006),$AN$1006:$BO$1006,0))&gt;=100000), " ",IF(INDEX($AN$2:$BO$1001,MATCH(ROWS($AG$2:AG87),$AG$2:$AG$1001,0),MATCH(COLUMNS($AN$1006:BG1006),$AN$1006:$BO$1006,0)), HYPERLINK("#",""), HYPERLINK(CONCATENATE("#Metadata!", ADDRESS(INDEX($AI$2:$AI$1001,MATCH(ROWS($AG$2:AG87),$AG$2:$AG$1001,0),0), INDEX($AN$1004:$BO$1004,1,MATCH(COLUMNS($AN$1006:BG1006),$AN$1006:$BO$1006,0)))),"Fix")))</f>
        <v>0</v>
      </c>
      <c r="V87" s="4">
        <f>IF(OR(INDEX($AH$2:$AH$1001,MATCH(ROWS($AG$2:AG87),$AG$2:$AG$1001,0),1)&gt;=100000,INDEX($AN$1005:$BO$1005,1,MATCH(COLUMNS($AN$1006:BH1006),$AN$1006:$BO$1006,0))&gt;=100000), " ",IF(INDEX($AN$2:$BO$1001,MATCH(ROWS($AG$2:AG87),$AG$2:$AG$1001,0),MATCH(COLUMNS($AN$1006:BH1006),$AN$1006:$BO$1006,0)), HYPERLINK("#",""), HYPERLINK(CONCATENATE("#Metadata!", ADDRESS(INDEX($AI$2:$AI$1001,MATCH(ROWS($AG$2:AG87),$AG$2:$AG$1001,0),0), INDEX($AN$1004:$BO$1004,1,MATCH(COLUMNS($AN$1006:BH1006),$AN$1006:$BO$1006,0)))),"Fix")))</f>
        <v>0</v>
      </c>
      <c r="W87" s="4">
        <f>IF(OR(INDEX($AH$2:$AH$1001,MATCH(ROWS($AG$2:AG87),$AG$2:$AG$1001,0),1)&gt;=100000,INDEX($AN$1005:$BO$1005,1,MATCH(COLUMNS($AN$1006:BI1006),$AN$1006:$BO$1006,0))&gt;=100000), " ",IF(INDEX($AN$2:$BO$1001,MATCH(ROWS($AG$2:AG87),$AG$2:$AG$1001,0),MATCH(COLUMNS($AN$1006:BI1006),$AN$1006:$BO$1006,0)), HYPERLINK("#",""), HYPERLINK(CONCATENATE("#Metadata!", ADDRESS(INDEX($AI$2:$AI$1001,MATCH(ROWS($AG$2:AG87),$AG$2:$AG$1001,0),0), INDEX($AN$1004:$BO$1004,1,MATCH(COLUMNS($AN$1006:BI1006),$AN$1006:$BO$1006,0)))),"Fix")))</f>
        <v>0</v>
      </c>
      <c r="X87" s="4">
        <f>IF(OR(INDEX($AH$2:$AH$1001,MATCH(ROWS($AG$2:AG87),$AG$2:$AG$1001,0),1)&gt;=100000,INDEX($AN$1005:$BO$1005,1,MATCH(COLUMNS($AN$1006:BJ1006),$AN$1006:$BO$1006,0))&gt;=100000), " ",IF(INDEX($AN$2:$BO$1001,MATCH(ROWS($AG$2:AG87),$AG$2:$AG$1001,0),MATCH(COLUMNS($AN$1006:BJ1006),$AN$1006:$BO$1006,0)), HYPERLINK("#",""), HYPERLINK(CONCATENATE("#Metadata!", ADDRESS(INDEX($AI$2:$AI$1001,MATCH(ROWS($AG$2:AG87),$AG$2:$AG$1001,0),0), INDEX($AN$1004:$BO$1004,1,MATCH(COLUMNS($AN$1006:BJ1006),$AN$1006:$BO$1006,0)))),"Fix")))</f>
        <v>0</v>
      </c>
      <c r="Y87" s="4">
        <f>IF(OR(INDEX($AH$2:$AH$1001,MATCH(ROWS($AG$2:AG87),$AG$2:$AG$1001,0),1)&gt;=100000,INDEX($AN$1005:$BO$1005,1,MATCH(COLUMNS($AN$1006:BK1006),$AN$1006:$BO$1006,0))&gt;=100000), " ",IF(INDEX($AN$2:$BO$1001,MATCH(ROWS($AG$2:AG87),$AG$2:$AG$1001,0),MATCH(COLUMNS($AN$1006:BK1006),$AN$1006:$BO$1006,0)), HYPERLINK("#",""), HYPERLINK(CONCATENATE("#Metadata!", ADDRESS(INDEX($AI$2:$AI$1001,MATCH(ROWS($AG$2:AG87),$AG$2:$AG$1001,0),0), INDEX($AN$1004:$BO$1004,1,MATCH(COLUMNS($AN$1006:BK1006),$AN$1006:$BO$1006,0)))),"Fix")))</f>
        <v>0</v>
      </c>
      <c r="Z87" s="4">
        <f>IF(OR(INDEX($AH$2:$AH$1001,MATCH(ROWS($AG$2:AG87),$AG$2:$AG$1001,0),1)&gt;=100000,INDEX($AN$1005:$BO$1005,1,MATCH(COLUMNS($AN$1006:BL1006),$AN$1006:$BO$1006,0))&gt;=100000), " ",IF(INDEX($AN$2:$BO$1001,MATCH(ROWS($AG$2:AG87),$AG$2:$AG$1001,0),MATCH(COLUMNS($AN$1006:BL1006),$AN$1006:$BO$1006,0)), HYPERLINK("#",""), HYPERLINK(CONCATENATE("#Metadata!", ADDRESS(INDEX($AI$2:$AI$1001,MATCH(ROWS($AG$2:AG87),$AG$2:$AG$1001,0),0), INDEX($AN$1004:$BO$1004,1,MATCH(COLUMNS($AN$1006:BL1006),$AN$1006:$BO$1006,0)))),"Fix")))</f>
        <v>0</v>
      </c>
      <c r="AA87" s="4">
        <f>IF(OR(INDEX($AH$2:$AH$1001,MATCH(ROWS($AG$2:AG87),$AG$2:$AG$1001,0),1)&gt;=100000,INDEX($AN$1005:$BO$1005,1,MATCH(COLUMNS($AN$1006:BM1006),$AN$1006:$BO$1006,0))&gt;=100000), " ",IF(INDEX($AN$2:$BO$1001,MATCH(ROWS($AG$2:AG87),$AG$2:$AG$1001,0),MATCH(COLUMNS($AN$1006:BM1006),$AN$1006:$BO$1006,0)), HYPERLINK("#",""), HYPERLINK(CONCATENATE("#Metadata!", ADDRESS(INDEX($AI$2:$AI$1001,MATCH(ROWS($AG$2:AG87),$AG$2:$AG$1001,0),0), INDEX($AN$1004:$BO$1004,1,MATCH(COLUMNS($AN$1006:BM1006),$AN$1006:$BO$1006,0)))),"Fix")))</f>
        <v>0</v>
      </c>
      <c r="AB87" s="4">
        <f>IF(OR(INDEX($AH$2:$AH$1001,MATCH(ROWS($AG$2:AG87),$AG$2:$AG$1001,0),1)&gt;=100000,INDEX($AN$1005:$BO$1005,1,MATCH(COLUMNS($AN$1006:BN1006),$AN$1006:$BO$1006,0))&gt;=100000), " ",IF(INDEX($AN$2:$BO$1001,MATCH(ROWS($AG$2:AG87),$AG$2:$AG$1001,0),MATCH(COLUMNS($AN$1006:BN1006),$AN$1006:$BO$1006,0)), HYPERLINK("#",""), HYPERLINK(CONCATENATE("#Metadata!", ADDRESS(INDEX($AI$2:$AI$1001,MATCH(ROWS($AG$2:AG87),$AG$2:$AG$1001,0),0), INDEX($AN$1004:$BO$1004,1,MATCH(COLUMNS($AN$1006:BN1006),$AN$1006:$BO$1006,0)))),"Fix")))</f>
        <v>0</v>
      </c>
      <c r="AC87" s="4">
        <f>IF(OR(INDEX($AH$2:$AH$1001,MATCH(ROWS($AG$2:AG87),$AG$2:$AG$1001,0),1)&gt;=100000,INDEX($AN$1005:$BO$1005,1,MATCH(COLUMNS($AN$1006:BO1006),$AN$1006:$BO$1006,0))&gt;=100000), " ",IF(INDEX($AN$2:$BO$1001,MATCH(ROWS($AG$2:AG87),$AG$2:$AG$1001,0),MATCH(COLUMNS($AN$1006:BO1006),$AN$1006:$BO$1006,0)), HYPERLINK("#",""), HYPERLINK(CONCATENATE("#Metadata!", ADDRESS(INDEX($AI$2:$AI$1001,MATCH(ROWS($AG$2:AG87),$AG$2:$AG$1001,0),0), INDEX($AN$1004:$BO$1004,1,MATCH(COLUMNS($AN$1006:BO1006),$AN$1006:$BO$1006,0)))),"Fix")))</f>
        <v>0</v>
      </c>
      <c r="AG87">
        <v>0</v>
      </c>
      <c r="AH87">
        <v>0</v>
      </c>
      <c r="AI87">
        <v>0</v>
      </c>
      <c r="AJ87">
        <f>IF(AK87,TRUE,AND(AN87:BO87))</f>
        <v>0</v>
      </c>
      <c r="AK87">
        <f>COUNTBLANK(Metadata!B87:AC87)=COLUMNS(Metadata!B87:AC87)</f>
        <v>0</v>
      </c>
      <c r="AL87">
        <v>0</v>
      </c>
      <c r="AN87">
        <f>AND(IF(Metadata!B87="",FALSE,TRUE),COUNTIF(Metadata!B:B, Metadata!B87) = 1,NOT(ISERROR(SUMPRODUCT(SEARCH(MID(Metadata!B87,ROW(INDIRECT("1:"&amp;LEN(Metadata!B87))), 1),"0123456789abcdefghijklmnopqrstuvwxyzABCDEFGHIJKLMNOPQRSTUVWXYZ.")))))</f>
        <v>0</v>
      </c>
      <c r="AO87">
        <f>IF(Metadata!C87="",FALSE,TRUE)</f>
        <v>0</v>
      </c>
      <c r="AP87">
        <f>IF(Metadata!D87="",FALSE,TRUE)</f>
        <v>0</v>
      </c>
      <c r="AQ87">
        <f>OR(AND(IF(Metadata!E87="",FALSE,TRUE),OR(exact(Metadata!E87,"not collected"),exact(Metadata!E87,"not provided"),exact(Metadata!E87,"restricted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R87">
        <f>IF(Metadata!F87="",FALSE,TRUE)</f>
        <v>0</v>
      </c>
      <c r="AS87">
        <f>OR(AND(IF(Metadata!G87="",FALSE,TRUE),OR(exact(Metadata!G87,"not collected"),exact(Metadata!G87,"not provided"))),AND(IF(Metadata!G87="",FALSE,TRUE),OR(exact(Metadata!G87,"TRUE"),exact(Metadata!G87,"FALSE"))))</f>
        <v>0</v>
      </c>
      <c r="AT87">
        <f>OR(AND(IF(Metadata!H87="",FALSE,TRUE),OR(exact(Metadata!H87,"not collected"),exact(Metadata!H87,"not provided"),exact(Metadata!H87,"restricted access"))),AND(IF(Metadata!H87="",FALSE,ISNUMBER(VALUE(Metadata!H87))),Metadata!H87&gt;=-413.0))</f>
        <v>0</v>
      </c>
      <c r="AU87">
        <f>AND(IF(Metadata!I87="",FALSE,TRUE),exact(Metadata!I87,"meters"))</f>
        <v>0</v>
      </c>
      <c r="AV87">
        <f>AND(IF(Metadata!J87="",FALSE,TRUE),OR(exact(Metadata!J87,"Host-associated"),exact(Metadata!J87,"Free-living")))</f>
        <v>0</v>
      </c>
      <c r="AW87">
        <f>AND(IF(Metadata!K87="",FALSE,TRUE),OR(exact(Metadata!K87,"Animal"),exact(Metadata!K87,"Fungus"),exact(Metadata!K87,"Plant"),exact(Metadata!K87,"Saline"),exact(Metadata!K87,"Non-saline")))</f>
        <v>0</v>
      </c>
      <c r="AX87">
        <f>AND(IF(Metadata!L87="",FALSE,TRUE),OR(exact(Metadata!L87,"Plant secretion"),exact(Metadata!L87,"Plant rhizosphere"),exact(Metadata!L87,"Plant surface"),exact(Metadata!L87,"Plant corpus"),exact(Metadata!L87,"Fungus surface"),exact(Metadata!L87,"Fungus corpus"),exact(Metadata!L87,"Animal surface"),exact(Metadata!L87,"Animal proximal gut"),exact(Metadata!L87,"Animal corpus"),exact(Metadata!L87,"Animal distal gut"),exact(Metadata!L87,"Animal secretion"),exact(Metadata!L87,"Sub-surface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Y87">
        <f>IF(Metadata!M87="",FALSE,TRUE)</f>
        <v>0</v>
      </c>
      <c r="AZ87">
        <f>IF(Metadata!N87="",FALSE,TRUE)</f>
        <v>0</v>
      </c>
      <c r="BA87">
        <f>IF(Metadata!O87="",FALSE,TRUE)</f>
        <v>0</v>
      </c>
      <c r="BB87">
        <f>OR(AND(IF(Metadata!P87="",FALSE,TRUE),OR(exact(Metadata!P87,"not collected"),exact(Metadata!P87,"not provided"),exact(Metadata!P87,"restricted access"))),AND(IF(Metadata!P87="",FALSE,TRUE),OR(exact(Metadata!P87,"air"),exact(Metadata!P87,"built environment"),exact(Metadata!P87,"host-associated"),exact(Metadata!P87,"human-associated"),exact(Metadata!P87,"human-skin"),exact(Metadata!P87,"human-oral"),exact(Metadata!P87,"human-gut"),exact(Metadata!P87,"human-vaginal"),exact(Metadata!P87,"microbial mat/biofilm"),exact(Metadata!P87,"misc environment"),exact(Metadata!P87,"plant-associated"),exact(Metadata!P87,"sediment"),exact(Metadata!P87,"soil"),exact(Metadata!P87,"wastewater/sludge"),exact(Metadata!P87,"water"))))</f>
        <v>0</v>
      </c>
      <c r="BC87">
        <f>IF(Metadata!Q87="",FALSE,TRUE)</f>
        <v>0</v>
      </c>
      <c r="BD87">
        <f>IF(Metadata!R87="",FALSE,TRUE)</f>
        <v>0</v>
      </c>
      <c r="BE87">
        <f>OR(AND(IF(Metadata!S87="",FALSE,TRUE),OR(exact(Metadata!S87,"not collected"),exact(Metadata!S87,"not provided"),exact(Metadata!S87,"restricted access"))),AND(IF(Metadata!S87="",FALSE,ISNUMBER(VALUE(Metadata!S87))),Metadata!S87&gt;=-90.00,Metadata!S87&lt;=90.00))</f>
        <v>0</v>
      </c>
      <c r="BF87">
        <f>AND(IF(Metadata!T87="",FALSE,TRUE),exact(Metadata!T87,"Decimal degrees"))</f>
        <v>0</v>
      </c>
      <c r="BG87">
        <f>OR(AND(IF(Metadata!U87="",FALSE,TRUE),OR(exact(Metadata!U87,"not collected"),exact(Metadata!U87,"not provided"),exact(Metadata!U87,"restricted access"))),AND(IF(Metadata!U87="",FALSE,ISNUMBER(VALUE(Metadata!U87))),Metadata!U87&gt;=-180.00,Metadata!U87&lt;=180.00))</f>
        <v>0</v>
      </c>
      <c r="BH87">
        <f>AND(IF(Metadata!V87="",FALSE,TRUE),exact(Metadata!V87,"Decimal degrees"))</f>
        <v>0</v>
      </c>
      <c r="BI87">
        <f>IF(Metadata!W87="",FALSE,TRUE)</f>
        <v>0</v>
      </c>
      <c r="BJ87">
        <f>OR(AND(IF(Metadata!X87="",FALSE,TRUE),OR(exact(Metadata!X87,"not collected"),exact(Metadata!X87,"not provided"),exact(Metadata!X87,"restricted access"))),AND(IF(Metadata!X87="",FALSE,TRUE),OR(exact(Metadata!X87,"TRUE"),exact(Metadata!X87,"FALSE"))))</f>
        <v>0</v>
      </c>
      <c r="BK87">
        <f>AND(IF(Metadata!Y87="",FALSE,TRUE),exact(Metadata!Y87,"other"))</f>
        <v>0</v>
      </c>
      <c r="BL87">
        <f>IF(Metadata!Z87="",FALSE,TRUE)</f>
        <v>0</v>
      </c>
      <c r="BM87">
        <f>OR(AND(IF(Metadata!AA87="",FALSE,TRUE),OR(exact(Metadata!AA87,"not collected"),exact(Metadata!AA87,"not provided"))),AND(IF(Metadata!AA87="",FALSE,IF(ISERROR(INT(Metadata!AA87)),FALSE,INT(Metadata!AA87)=Metadata!AA87)),Metadata!AA87&gt;0))</f>
        <v>0</v>
      </c>
      <c r="BN87">
        <f>AND(IF(Metadata!AB87="",FALSE,TRUE),exact(Metadata!AB87,"Not applicable"))</f>
        <v>0</v>
      </c>
      <c r="BO87">
        <f>IF(Metadata!AC87="",FALSE,TRUE)</f>
        <v>0</v>
      </c>
    </row>
    <row r="88" spans="1:67">
      <c r="A88" s="5">
        <f>IF(B88=" "," ",HYPERLINK(CONCATENATE("#metadata!",ADDRESS(INDEX($AI$2:$AI$1001,MATCH(ROWS($AG$2:AG88),$AG$2:$AG$1001,0),0),1)),INDEX($AL$2:$AL$1001,MATCH(ROWS($AG$2:AG88),$AG$2:$AG$1001,0),0)))</f>
        <v>0</v>
      </c>
      <c r="B88" s="4">
        <f>IF(OR(INDEX($AH$2:$AH$1001,MATCH(ROWS($AG$2:AG88),$AG$2:$AG$1001,0),1)&gt;=100000,INDEX($AN$1005:$BO$1005,1,MATCH(COLUMNS($AN$1006:AN1006),$AN$1006:$BO$1006,0))&gt;=100000), " ",IF(INDEX($AN$2:$BO$1001,MATCH(ROWS($AG$2:AG88),$AG$2:$AG$1001,0),MATCH(COLUMNS($AN$1006:AN1006),$AN$1006:$BO$1006,0)), HYPERLINK("#",""), HYPERLINK(CONCATENATE("#Metadata!", ADDRESS(INDEX($AI$2:$AI$1001,MATCH(ROWS($AG$2:AG88),$AG$2:$AG$1001,0),0), INDEX($AN$1004:$BO$1004,1,MATCH(COLUMNS($AN$1006:AN1006),$AN$1006:$BO$1006,0)))),"Fix")))</f>
        <v>0</v>
      </c>
      <c r="C88" s="4">
        <f>IF(OR(INDEX($AH$2:$AH$1001,MATCH(ROWS($AG$2:AG88),$AG$2:$AG$1001,0),1)&gt;=100000,INDEX($AN$1005:$BO$1005,1,MATCH(COLUMNS($AN$1006:AO1006),$AN$1006:$BO$1006,0))&gt;=100000), " ",IF(INDEX($AN$2:$BO$1001,MATCH(ROWS($AG$2:AG88),$AG$2:$AG$1001,0),MATCH(COLUMNS($AN$1006:AO1006),$AN$1006:$BO$1006,0)), HYPERLINK("#",""), HYPERLINK(CONCATENATE("#Metadata!", ADDRESS(INDEX($AI$2:$AI$1001,MATCH(ROWS($AG$2:AG88),$AG$2:$AG$1001,0),0), INDEX($AN$1004:$BO$1004,1,MATCH(COLUMNS($AN$1006:AO1006),$AN$1006:$BO$1006,0)))),"Fix")))</f>
        <v>0</v>
      </c>
      <c r="D88" s="4">
        <f>IF(OR(INDEX($AH$2:$AH$1001,MATCH(ROWS($AG$2:AG88),$AG$2:$AG$1001,0),1)&gt;=100000,INDEX($AN$1005:$BO$1005,1,MATCH(COLUMNS($AN$1006:AP1006),$AN$1006:$BO$1006,0))&gt;=100000), " ",IF(INDEX($AN$2:$BO$1001,MATCH(ROWS($AG$2:AG88),$AG$2:$AG$1001,0),MATCH(COLUMNS($AN$1006:AP1006),$AN$1006:$BO$1006,0)), HYPERLINK("#",""), HYPERLINK(CONCATENATE("#Metadata!", ADDRESS(INDEX($AI$2:$AI$1001,MATCH(ROWS($AG$2:AG88),$AG$2:$AG$1001,0),0), INDEX($AN$1004:$BO$1004,1,MATCH(COLUMNS($AN$1006:AP1006),$AN$1006:$BO$1006,0)))),"Fix")))</f>
        <v>0</v>
      </c>
      <c r="E88" s="4">
        <f>IF(OR(INDEX($AH$2:$AH$1001,MATCH(ROWS($AG$2:AG88),$AG$2:$AG$1001,0),1)&gt;=100000,INDEX($AN$1005:$BO$1005,1,MATCH(COLUMNS($AN$1006:AQ1006),$AN$1006:$BO$1006,0))&gt;=100000), " ",IF(INDEX($AN$2:$BO$1001,MATCH(ROWS($AG$2:AG88),$AG$2:$AG$1001,0),MATCH(COLUMNS($AN$1006:AQ1006),$AN$1006:$BO$1006,0)), HYPERLINK("#",""), HYPERLINK(CONCATENATE("#Metadata!", ADDRESS(INDEX($AI$2:$AI$1001,MATCH(ROWS($AG$2:AG88),$AG$2:$AG$1001,0),0), INDEX($AN$1004:$BO$1004,1,MATCH(COLUMNS($AN$1006:AQ1006),$AN$1006:$BO$1006,0)))),"Fix")))</f>
        <v>0</v>
      </c>
      <c r="F88" s="4">
        <f>IF(OR(INDEX($AH$2:$AH$1001,MATCH(ROWS($AG$2:AG88),$AG$2:$AG$1001,0),1)&gt;=100000,INDEX($AN$1005:$BO$1005,1,MATCH(COLUMNS($AN$1006:AR1006),$AN$1006:$BO$1006,0))&gt;=100000), " ",IF(INDEX($AN$2:$BO$1001,MATCH(ROWS($AG$2:AG88),$AG$2:$AG$1001,0),MATCH(COLUMNS($AN$1006:AR1006),$AN$1006:$BO$1006,0)), HYPERLINK("#",""), HYPERLINK(CONCATENATE("#Metadata!", ADDRESS(INDEX($AI$2:$AI$1001,MATCH(ROWS($AG$2:AG88),$AG$2:$AG$1001,0),0), INDEX($AN$1004:$BO$1004,1,MATCH(COLUMNS($AN$1006:AR1006),$AN$1006:$BO$1006,0)))),"Fix")))</f>
        <v>0</v>
      </c>
      <c r="G88" s="4">
        <f>IF(OR(INDEX($AH$2:$AH$1001,MATCH(ROWS($AG$2:AG88),$AG$2:$AG$1001,0),1)&gt;=100000,INDEX($AN$1005:$BO$1005,1,MATCH(COLUMNS($AN$1006:AS1006),$AN$1006:$BO$1006,0))&gt;=100000), " ",IF(INDEX($AN$2:$BO$1001,MATCH(ROWS($AG$2:AG88),$AG$2:$AG$1001,0),MATCH(COLUMNS($AN$1006:AS1006),$AN$1006:$BO$1006,0)), HYPERLINK("#",""), HYPERLINK(CONCATENATE("#Metadata!", ADDRESS(INDEX($AI$2:$AI$1001,MATCH(ROWS($AG$2:AG88),$AG$2:$AG$1001,0),0), INDEX($AN$1004:$BO$1004,1,MATCH(COLUMNS($AN$1006:AS1006),$AN$1006:$BO$1006,0)))),"Fix")))</f>
        <v>0</v>
      </c>
      <c r="H88" s="4">
        <f>IF(OR(INDEX($AH$2:$AH$1001,MATCH(ROWS($AG$2:AG88),$AG$2:$AG$1001,0),1)&gt;=100000,INDEX($AN$1005:$BO$1005,1,MATCH(COLUMNS($AN$1006:AT1006),$AN$1006:$BO$1006,0))&gt;=100000), " ",IF(INDEX($AN$2:$BO$1001,MATCH(ROWS($AG$2:AG88),$AG$2:$AG$1001,0),MATCH(COLUMNS($AN$1006:AT1006),$AN$1006:$BO$1006,0)), HYPERLINK("#",""), HYPERLINK(CONCATENATE("#Metadata!", ADDRESS(INDEX($AI$2:$AI$1001,MATCH(ROWS($AG$2:AG88),$AG$2:$AG$1001,0),0), INDEX($AN$1004:$BO$1004,1,MATCH(COLUMNS($AN$1006:AT1006),$AN$1006:$BO$1006,0)))),"Fix")))</f>
        <v>0</v>
      </c>
      <c r="I88" s="4">
        <f>IF(OR(INDEX($AH$2:$AH$1001,MATCH(ROWS($AG$2:AG88),$AG$2:$AG$1001,0),1)&gt;=100000,INDEX($AN$1005:$BO$1005,1,MATCH(COLUMNS($AN$1006:AU1006),$AN$1006:$BO$1006,0))&gt;=100000), " ",IF(INDEX($AN$2:$BO$1001,MATCH(ROWS($AG$2:AG88),$AG$2:$AG$1001,0),MATCH(COLUMNS($AN$1006:AU1006),$AN$1006:$BO$1006,0)), HYPERLINK("#",""), HYPERLINK(CONCATENATE("#Metadata!", ADDRESS(INDEX($AI$2:$AI$1001,MATCH(ROWS($AG$2:AG88),$AG$2:$AG$1001,0),0), INDEX($AN$1004:$BO$1004,1,MATCH(COLUMNS($AN$1006:AU1006),$AN$1006:$BO$1006,0)))),"Fix")))</f>
        <v>0</v>
      </c>
      <c r="J88" s="4">
        <f>IF(OR(INDEX($AH$2:$AH$1001,MATCH(ROWS($AG$2:AG88),$AG$2:$AG$1001,0),1)&gt;=100000,INDEX($AN$1005:$BO$1005,1,MATCH(COLUMNS($AN$1006:AV1006),$AN$1006:$BO$1006,0))&gt;=100000), " ",IF(INDEX($AN$2:$BO$1001,MATCH(ROWS($AG$2:AG88),$AG$2:$AG$1001,0),MATCH(COLUMNS($AN$1006:AV1006),$AN$1006:$BO$1006,0)), HYPERLINK("#",""), HYPERLINK(CONCATENATE("#Metadata!", ADDRESS(INDEX($AI$2:$AI$1001,MATCH(ROWS($AG$2:AG88),$AG$2:$AG$1001,0),0), INDEX($AN$1004:$BO$1004,1,MATCH(COLUMNS($AN$1006:AV1006),$AN$1006:$BO$1006,0)))),"Fix")))</f>
        <v>0</v>
      </c>
      <c r="K88" s="4">
        <f>IF(OR(INDEX($AH$2:$AH$1001,MATCH(ROWS($AG$2:AG88),$AG$2:$AG$1001,0),1)&gt;=100000,INDEX($AN$1005:$BO$1005,1,MATCH(COLUMNS($AN$1006:AW1006),$AN$1006:$BO$1006,0))&gt;=100000), " ",IF(INDEX($AN$2:$BO$1001,MATCH(ROWS($AG$2:AG88),$AG$2:$AG$1001,0),MATCH(COLUMNS($AN$1006:AW1006),$AN$1006:$BO$1006,0)), HYPERLINK("#",""), HYPERLINK(CONCATENATE("#Metadata!", ADDRESS(INDEX($AI$2:$AI$1001,MATCH(ROWS($AG$2:AG88),$AG$2:$AG$1001,0),0), INDEX($AN$1004:$BO$1004,1,MATCH(COLUMNS($AN$1006:AW1006),$AN$1006:$BO$1006,0)))),"Fix")))</f>
        <v>0</v>
      </c>
      <c r="L88" s="4">
        <f>IF(OR(INDEX($AH$2:$AH$1001,MATCH(ROWS($AG$2:AG88),$AG$2:$AG$1001,0),1)&gt;=100000,INDEX($AN$1005:$BO$1005,1,MATCH(COLUMNS($AN$1006:AX1006),$AN$1006:$BO$1006,0))&gt;=100000), " ",IF(INDEX($AN$2:$BO$1001,MATCH(ROWS($AG$2:AG88),$AG$2:$AG$1001,0),MATCH(COLUMNS($AN$1006:AX1006),$AN$1006:$BO$1006,0)), HYPERLINK("#",""), HYPERLINK(CONCATENATE("#Metadata!", ADDRESS(INDEX($AI$2:$AI$1001,MATCH(ROWS($AG$2:AG88),$AG$2:$AG$1001,0),0), INDEX($AN$1004:$BO$1004,1,MATCH(COLUMNS($AN$1006:AX1006),$AN$1006:$BO$1006,0)))),"Fix")))</f>
        <v>0</v>
      </c>
      <c r="M88" s="4">
        <f>IF(OR(INDEX($AH$2:$AH$1001,MATCH(ROWS($AG$2:AG88),$AG$2:$AG$1001,0),1)&gt;=100000,INDEX($AN$1005:$BO$1005,1,MATCH(COLUMNS($AN$1006:AY1006),$AN$1006:$BO$1006,0))&gt;=100000), " ",IF(INDEX($AN$2:$BO$1001,MATCH(ROWS($AG$2:AG88),$AG$2:$AG$1001,0),MATCH(COLUMNS($AN$1006:AY1006),$AN$1006:$BO$1006,0)), HYPERLINK("#",""), HYPERLINK(CONCATENATE("#Metadata!", ADDRESS(INDEX($AI$2:$AI$1001,MATCH(ROWS($AG$2:AG88),$AG$2:$AG$1001,0),0), INDEX($AN$1004:$BO$1004,1,MATCH(COLUMNS($AN$1006:AY1006),$AN$1006:$BO$1006,0)))),"Fix")))</f>
        <v>0</v>
      </c>
      <c r="N88" s="4">
        <f>IF(OR(INDEX($AH$2:$AH$1001,MATCH(ROWS($AG$2:AG88),$AG$2:$AG$1001,0),1)&gt;=100000,INDEX($AN$1005:$BO$1005,1,MATCH(COLUMNS($AN$1006:AZ1006),$AN$1006:$BO$1006,0))&gt;=100000), " ",IF(INDEX($AN$2:$BO$1001,MATCH(ROWS($AG$2:AG88),$AG$2:$AG$1001,0),MATCH(COLUMNS($AN$1006:AZ1006),$AN$1006:$BO$1006,0)), HYPERLINK("#",""), HYPERLINK(CONCATENATE("#Metadata!", ADDRESS(INDEX($AI$2:$AI$1001,MATCH(ROWS($AG$2:AG88),$AG$2:$AG$1001,0),0), INDEX($AN$1004:$BO$1004,1,MATCH(COLUMNS($AN$1006:AZ1006),$AN$1006:$BO$1006,0)))),"Fix")))</f>
        <v>0</v>
      </c>
      <c r="O88" s="4">
        <f>IF(OR(INDEX($AH$2:$AH$1001,MATCH(ROWS($AG$2:AG88),$AG$2:$AG$1001,0),1)&gt;=100000,INDEX($AN$1005:$BO$1005,1,MATCH(COLUMNS($AN$1006:BA1006),$AN$1006:$BO$1006,0))&gt;=100000), " ",IF(INDEX($AN$2:$BO$1001,MATCH(ROWS($AG$2:AG88),$AG$2:$AG$1001,0),MATCH(COLUMNS($AN$1006:BA1006),$AN$1006:$BO$1006,0)), HYPERLINK("#",""), HYPERLINK(CONCATENATE("#Metadata!", ADDRESS(INDEX($AI$2:$AI$1001,MATCH(ROWS($AG$2:AG88),$AG$2:$AG$1001,0),0), INDEX($AN$1004:$BO$1004,1,MATCH(COLUMNS($AN$1006:BA1006),$AN$1006:$BO$1006,0)))),"Fix")))</f>
        <v>0</v>
      </c>
      <c r="P88" s="4">
        <f>IF(OR(INDEX($AH$2:$AH$1001,MATCH(ROWS($AG$2:AG88),$AG$2:$AG$1001,0),1)&gt;=100000,INDEX($AN$1005:$BO$1005,1,MATCH(COLUMNS($AN$1006:BB1006),$AN$1006:$BO$1006,0))&gt;=100000), " ",IF(INDEX($AN$2:$BO$1001,MATCH(ROWS($AG$2:AG88),$AG$2:$AG$1001,0),MATCH(COLUMNS($AN$1006:BB1006),$AN$1006:$BO$1006,0)), HYPERLINK("#",""), HYPERLINK(CONCATENATE("#Metadata!", ADDRESS(INDEX($AI$2:$AI$1001,MATCH(ROWS($AG$2:AG88),$AG$2:$AG$1001,0),0), INDEX($AN$1004:$BO$1004,1,MATCH(COLUMNS($AN$1006:BB1006),$AN$1006:$BO$1006,0)))),"Fix")))</f>
        <v>0</v>
      </c>
      <c r="Q88" s="4">
        <f>IF(OR(INDEX($AH$2:$AH$1001,MATCH(ROWS($AG$2:AG88),$AG$2:$AG$1001,0),1)&gt;=100000,INDEX($AN$1005:$BO$1005,1,MATCH(COLUMNS($AN$1006:BC1006),$AN$1006:$BO$1006,0))&gt;=100000), " ",IF(INDEX($AN$2:$BO$1001,MATCH(ROWS($AG$2:AG88),$AG$2:$AG$1001,0),MATCH(COLUMNS($AN$1006:BC1006),$AN$1006:$BO$1006,0)), HYPERLINK("#",""), HYPERLINK(CONCATENATE("#Metadata!", ADDRESS(INDEX($AI$2:$AI$1001,MATCH(ROWS($AG$2:AG88),$AG$2:$AG$1001,0),0), INDEX($AN$1004:$BO$1004,1,MATCH(COLUMNS($AN$1006:BC1006),$AN$1006:$BO$1006,0)))),"Fix")))</f>
        <v>0</v>
      </c>
      <c r="R88" s="4">
        <f>IF(OR(INDEX($AH$2:$AH$1001,MATCH(ROWS($AG$2:AG88),$AG$2:$AG$1001,0),1)&gt;=100000,INDEX($AN$1005:$BO$1005,1,MATCH(COLUMNS($AN$1006:BD1006),$AN$1006:$BO$1006,0))&gt;=100000), " ",IF(INDEX($AN$2:$BO$1001,MATCH(ROWS($AG$2:AG88),$AG$2:$AG$1001,0),MATCH(COLUMNS($AN$1006:BD1006),$AN$1006:$BO$1006,0)), HYPERLINK("#",""), HYPERLINK(CONCATENATE("#Metadata!", ADDRESS(INDEX($AI$2:$AI$1001,MATCH(ROWS($AG$2:AG88),$AG$2:$AG$1001,0),0), INDEX($AN$1004:$BO$1004,1,MATCH(COLUMNS($AN$1006:BD1006),$AN$1006:$BO$1006,0)))),"Fix")))</f>
        <v>0</v>
      </c>
      <c r="S88" s="4">
        <f>IF(OR(INDEX($AH$2:$AH$1001,MATCH(ROWS($AG$2:AG88),$AG$2:$AG$1001,0),1)&gt;=100000,INDEX($AN$1005:$BO$1005,1,MATCH(COLUMNS($AN$1006:BE1006),$AN$1006:$BO$1006,0))&gt;=100000), " ",IF(INDEX($AN$2:$BO$1001,MATCH(ROWS($AG$2:AG88),$AG$2:$AG$1001,0),MATCH(COLUMNS($AN$1006:BE1006),$AN$1006:$BO$1006,0)), HYPERLINK("#",""), HYPERLINK(CONCATENATE("#Metadata!", ADDRESS(INDEX($AI$2:$AI$1001,MATCH(ROWS($AG$2:AG88),$AG$2:$AG$1001,0),0), INDEX($AN$1004:$BO$1004,1,MATCH(COLUMNS($AN$1006:BE1006),$AN$1006:$BO$1006,0)))),"Fix")))</f>
        <v>0</v>
      </c>
      <c r="T88" s="4">
        <f>IF(OR(INDEX($AH$2:$AH$1001,MATCH(ROWS($AG$2:AG88),$AG$2:$AG$1001,0),1)&gt;=100000,INDEX($AN$1005:$BO$1005,1,MATCH(COLUMNS($AN$1006:BF1006),$AN$1006:$BO$1006,0))&gt;=100000), " ",IF(INDEX($AN$2:$BO$1001,MATCH(ROWS($AG$2:AG88),$AG$2:$AG$1001,0),MATCH(COLUMNS($AN$1006:BF1006),$AN$1006:$BO$1006,0)), HYPERLINK("#",""), HYPERLINK(CONCATENATE("#Metadata!", ADDRESS(INDEX($AI$2:$AI$1001,MATCH(ROWS($AG$2:AG88),$AG$2:$AG$1001,0),0), INDEX($AN$1004:$BO$1004,1,MATCH(COLUMNS($AN$1006:BF1006),$AN$1006:$BO$1006,0)))),"Fix")))</f>
        <v>0</v>
      </c>
      <c r="U88" s="4">
        <f>IF(OR(INDEX($AH$2:$AH$1001,MATCH(ROWS($AG$2:AG88),$AG$2:$AG$1001,0),1)&gt;=100000,INDEX($AN$1005:$BO$1005,1,MATCH(COLUMNS($AN$1006:BG1006),$AN$1006:$BO$1006,0))&gt;=100000), " ",IF(INDEX($AN$2:$BO$1001,MATCH(ROWS($AG$2:AG88),$AG$2:$AG$1001,0),MATCH(COLUMNS($AN$1006:BG1006),$AN$1006:$BO$1006,0)), HYPERLINK("#",""), HYPERLINK(CONCATENATE("#Metadata!", ADDRESS(INDEX($AI$2:$AI$1001,MATCH(ROWS($AG$2:AG88),$AG$2:$AG$1001,0),0), INDEX($AN$1004:$BO$1004,1,MATCH(COLUMNS($AN$1006:BG1006),$AN$1006:$BO$1006,0)))),"Fix")))</f>
        <v>0</v>
      </c>
      <c r="V88" s="4">
        <f>IF(OR(INDEX($AH$2:$AH$1001,MATCH(ROWS($AG$2:AG88),$AG$2:$AG$1001,0),1)&gt;=100000,INDEX($AN$1005:$BO$1005,1,MATCH(COLUMNS($AN$1006:BH1006),$AN$1006:$BO$1006,0))&gt;=100000), " ",IF(INDEX($AN$2:$BO$1001,MATCH(ROWS($AG$2:AG88),$AG$2:$AG$1001,0),MATCH(COLUMNS($AN$1006:BH1006),$AN$1006:$BO$1006,0)), HYPERLINK("#",""), HYPERLINK(CONCATENATE("#Metadata!", ADDRESS(INDEX($AI$2:$AI$1001,MATCH(ROWS($AG$2:AG88),$AG$2:$AG$1001,0),0), INDEX($AN$1004:$BO$1004,1,MATCH(COLUMNS($AN$1006:BH1006),$AN$1006:$BO$1006,0)))),"Fix")))</f>
        <v>0</v>
      </c>
      <c r="W88" s="4">
        <f>IF(OR(INDEX($AH$2:$AH$1001,MATCH(ROWS($AG$2:AG88),$AG$2:$AG$1001,0),1)&gt;=100000,INDEX($AN$1005:$BO$1005,1,MATCH(COLUMNS($AN$1006:BI1006),$AN$1006:$BO$1006,0))&gt;=100000), " ",IF(INDEX($AN$2:$BO$1001,MATCH(ROWS($AG$2:AG88),$AG$2:$AG$1001,0),MATCH(COLUMNS($AN$1006:BI1006),$AN$1006:$BO$1006,0)), HYPERLINK("#",""), HYPERLINK(CONCATENATE("#Metadata!", ADDRESS(INDEX($AI$2:$AI$1001,MATCH(ROWS($AG$2:AG88),$AG$2:$AG$1001,0),0), INDEX($AN$1004:$BO$1004,1,MATCH(COLUMNS($AN$1006:BI1006),$AN$1006:$BO$1006,0)))),"Fix")))</f>
        <v>0</v>
      </c>
      <c r="X88" s="4">
        <f>IF(OR(INDEX($AH$2:$AH$1001,MATCH(ROWS($AG$2:AG88),$AG$2:$AG$1001,0),1)&gt;=100000,INDEX($AN$1005:$BO$1005,1,MATCH(COLUMNS($AN$1006:BJ1006),$AN$1006:$BO$1006,0))&gt;=100000), " ",IF(INDEX($AN$2:$BO$1001,MATCH(ROWS($AG$2:AG88),$AG$2:$AG$1001,0),MATCH(COLUMNS($AN$1006:BJ1006),$AN$1006:$BO$1006,0)), HYPERLINK("#",""), HYPERLINK(CONCATENATE("#Metadata!", ADDRESS(INDEX($AI$2:$AI$1001,MATCH(ROWS($AG$2:AG88),$AG$2:$AG$1001,0),0), INDEX($AN$1004:$BO$1004,1,MATCH(COLUMNS($AN$1006:BJ1006),$AN$1006:$BO$1006,0)))),"Fix")))</f>
        <v>0</v>
      </c>
      <c r="Y88" s="4">
        <f>IF(OR(INDEX($AH$2:$AH$1001,MATCH(ROWS($AG$2:AG88),$AG$2:$AG$1001,0),1)&gt;=100000,INDEX($AN$1005:$BO$1005,1,MATCH(COLUMNS($AN$1006:BK1006),$AN$1006:$BO$1006,0))&gt;=100000), " ",IF(INDEX($AN$2:$BO$1001,MATCH(ROWS($AG$2:AG88),$AG$2:$AG$1001,0),MATCH(COLUMNS($AN$1006:BK1006),$AN$1006:$BO$1006,0)), HYPERLINK("#",""), HYPERLINK(CONCATENATE("#Metadata!", ADDRESS(INDEX($AI$2:$AI$1001,MATCH(ROWS($AG$2:AG88),$AG$2:$AG$1001,0),0), INDEX($AN$1004:$BO$1004,1,MATCH(COLUMNS($AN$1006:BK1006),$AN$1006:$BO$1006,0)))),"Fix")))</f>
        <v>0</v>
      </c>
      <c r="Z88" s="4">
        <f>IF(OR(INDEX($AH$2:$AH$1001,MATCH(ROWS($AG$2:AG88),$AG$2:$AG$1001,0),1)&gt;=100000,INDEX($AN$1005:$BO$1005,1,MATCH(COLUMNS($AN$1006:BL1006),$AN$1006:$BO$1006,0))&gt;=100000), " ",IF(INDEX($AN$2:$BO$1001,MATCH(ROWS($AG$2:AG88),$AG$2:$AG$1001,0),MATCH(COLUMNS($AN$1006:BL1006),$AN$1006:$BO$1006,0)), HYPERLINK("#",""), HYPERLINK(CONCATENATE("#Metadata!", ADDRESS(INDEX($AI$2:$AI$1001,MATCH(ROWS($AG$2:AG88),$AG$2:$AG$1001,0),0), INDEX($AN$1004:$BO$1004,1,MATCH(COLUMNS($AN$1006:BL1006),$AN$1006:$BO$1006,0)))),"Fix")))</f>
        <v>0</v>
      </c>
      <c r="AA88" s="4">
        <f>IF(OR(INDEX($AH$2:$AH$1001,MATCH(ROWS($AG$2:AG88),$AG$2:$AG$1001,0),1)&gt;=100000,INDEX($AN$1005:$BO$1005,1,MATCH(COLUMNS($AN$1006:BM1006),$AN$1006:$BO$1006,0))&gt;=100000), " ",IF(INDEX($AN$2:$BO$1001,MATCH(ROWS($AG$2:AG88),$AG$2:$AG$1001,0),MATCH(COLUMNS($AN$1006:BM1006),$AN$1006:$BO$1006,0)), HYPERLINK("#",""), HYPERLINK(CONCATENATE("#Metadata!", ADDRESS(INDEX($AI$2:$AI$1001,MATCH(ROWS($AG$2:AG88),$AG$2:$AG$1001,0),0), INDEX($AN$1004:$BO$1004,1,MATCH(COLUMNS($AN$1006:BM1006),$AN$1006:$BO$1006,0)))),"Fix")))</f>
        <v>0</v>
      </c>
      <c r="AB88" s="4">
        <f>IF(OR(INDEX($AH$2:$AH$1001,MATCH(ROWS($AG$2:AG88),$AG$2:$AG$1001,0),1)&gt;=100000,INDEX($AN$1005:$BO$1005,1,MATCH(COLUMNS($AN$1006:BN1006),$AN$1006:$BO$1006,0))&gt;=100000), " ",IF(INDEX($AN$2:$BO$1001,MATCH(ROWS($AG$2:AG88),$AG$2:$AG$1001,0),MATCH(COLUMNS($AN$1006:BN1006),$AN$1006:$BO$1006,0)), HYPERLINK("#",""), HYPERLINK(CONCATENATE("#Metadata!", ADDRESS(INDEX($AI$2:$AI$1001,MATCH(ROWS($AG$2:AG88),$AG$2:$AG$1001,0),0), INDEX($AN$1004:$BO$1004,1,MATCH(COLUMNS($AN$1006:BN1006),$AN$1006:$BO$1006,0)))),"Fix")))</f>
        <v>0</v>
      </c>
      <c r="AC88" s="4">
        <f>IF(OR(INDEX($AH$2:$AH$1001,MATCH(ROWS($AG$2:AG88),$AG$2:$AG$1001,0),1)&gt;=100000,INDEX($AN$1005:$BO$1005,1,MATCH(COLUMNS($AN$1006:BO1006),$AN$1006:$BO$1006,0))&gt;=100000), " ",IF(INDEX($AN$2:$BO$1001,MATCH(ROWS($AG$2:AG88),$AG$2:$AG$1001,0),MATCH(COLUMNS($AN$1006:BO1006),$AN$1006:$BO$1006,0)), HYPERLINK("#",""), HYPERLINK(CONCATENATE("#Metadata!", ADDRESS(INDEX($AI$2:$AI$1001,MATCH(ROWS($AG$2:AG88),$AG$2:$AG$1001,0),0), INDEX($AN$1004:$BO$1004,1,MATCH(COLUMNS($AN$1006:BO1006),$AN$1006:$BO$1006,0)))),"Fix")))</f>
        <v>0</v>
      </c>
      <c r="AG88">
        <v>0</v>
      </c>
      <c r="AH88">
        <v>0</v>
      </c>
      <c r="AI88">
        <v>0</v>
      </c>
      <c r="AJ88">
        <f>IF(AK88,TRUE,AND(AN88:BO88))</f>
        <v>0</v>
      </c>
      <c r="AK88">
        <f>COUNTBLANK(Metadata!B88:AC88)=COLUMNS(Metadata!B88:AC88)</f>
        <v>0</v>
      </c>
      <c r="AL88">
        <v>0</v>
      </c>
      <c r="AN88">
        <f>AND(IF(Metadata!B88="",FALSE,TRUE),COUNTIF(Metadata!B:B, Metadata!B88) = 1,NOT(ISERROR(SUMPRODUCT(SEARCH(MID(Metadata!B88,ROW(INDIRECT("1:"&amp;LEN(Metadata!B88))), 1),"0123456789abcdefghijklmnopqrstuvwxyzABCDEFGHIJKLMNOPQRSTUVWXYZ.")))))</f>
        <v>0</v>
      </c>
      <c r="AO88">
        <f>IF(Metadata!C88="",FALSE,TRUE)</f>
        <v>0</v>
      </c>
      <c r="AP88">
        <f>IF(Metadata!D88="",FALSE,TRUE)</f>
        <v>0</v>
      </c>
      <c r="AQ88">
        <f>OR(AND(IF(Metadata!E88="",FALSE,TRUE),OR(exact(Metadata!E88,"not collected"),exact(Metadata!E88,"not provided"),exact(Metadata!E88,"restricted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R88">
        <f>IF(Metadata!F88="",FALSE,TRUE)</f>
        <v>0</v>
      </c>
      <c r="AS88">
        <f>OR(AND(IF(Metadata!G88="",FALSE,TRUE),OR(exact(Metadata!G88,"not collected"),exact(Metadata!G88,"not provided"))),AND(IF(Metadata!G88="",FALSE,TRUE),OR(exact(Metadata!G88,"TRUE"),exact(Metadata!G88,"FALSE"))))</f>
        <v>0</v>
      </c>
      <c r="AT88">
        <f>OR(AND(IF(Metadata!H88="",FALSE,TRUE),OR(exact(Metadata!H88,"not collected"),exact(Metadata!H88,"not provided"),exact(Metadata!H88,"restricted access"))),AND(IF(Metadata!H88="",FALSE,ISNUMBER(VALUE(Metadata!H88))),Metadata!H88&gt;=-413.0))</f>
        <v>0</v>
      </c>
      <c r="AU88">
        <f>AND(IF(Metadata!I88="",FALSE,TRUE),exact(Metadata!I88,"meters"))</f>
        <v>0</v>
      </c>
      <c r="AV88">
        <f>AND(IF(Metadata!J88="",FALSE,TRUE),OR(exact(Metadata!J88,"Host-associated"),exact(Metadata!J88,"Free-living")))</f>
        <v>0</v>
      </c>
      <c r="AW88">
        <f>AND(IF(Metadata!K88="",FALSE,TRUE),OR(exact(Metadata!K88,"Animal"),exact(Metadata!K88,"Fungus"),exact(Metadata!K88,"Plant"),exact(Metadata!K88,"Saline"),exact(Metadata!K88,"Non-saline")))</f>
        <v>0</v>
      </c>
      <c r="AX88">
        <f>AND(IF(Metadata!L88="",FALSE,TRUE),OR(exact(Metadata!L88,"Plant secretion"),exact(Metadata!L88,"Plant rhizosphere"),exact(Metadata!L88,"Plant surface"),exact(Metadata!L88,"Plant corpus"),exact(Metadata!L88,"Fungus surface"),exact(Metadata!L88,"Fungus corpus"),exact(Metadata!L88,"Animal surface"),exact(Metadata!L88,"Animal proximal gut"),exact(Metadata!L88,"Animal corpus"),exact(Metadata!L88,"Animal distal gut"),exact(Metadata!L88,"Animal secretion"),exact(Metadata!L88,"Sub-surface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Y88">
        <f>IF(Metadata!M88="",FALSE,TRUE)</f>
        <v>0</v>
      </c>
      <c r="AZ88">
        <f>IF(Metadata!N88="",FALSE,TRUE)</f>
        <v>0</v>
      </c>
      <c r="BA88">
        <f>IF(Metadata!O88="",FALSE,TRUE)</f>
        <v>0</v>
      </c>
      <c r="BB88">
        <f>OR(AND(IF(Metadata!P88="",FALSE,TRUE),OR(exact(Metadata!P88,"not collected"),exact(Metadata!P88,"not provided"),exact(Metadata!P88,"restricted access"))),AND(IF(Metadata!P88="",FALSE,TRUE),OR(exact(Metadata!P88,"air"),exact(Metadata!P88,"built environment"),exact(Metadata!P88,"host-associated"),exact(Metadata!P88,"human-associated"),exact(Metadata!P88,"human-skin"),exact(Metadata!P88,"human-oral"),exact(Metadata!P88,"human-gut"),exact(Metadata!P88,"human-vaginal"),exact(Metadata!P88,"microbial mat/biofilm"),exact(Metadata!P88,"misc environment"),exact(Metadata!P88,"plant-associated"),exact(Metadata!P88,"sediment"),exact(Metadata!P88,"soil"),exact(Metadata!P88,"wastewater/sludge"),exact(Metadata!P88,"water"))))</f>
        <v>0</v>
      </c>
      <c r="BC88">
        <f>IF(Metadata!Q88="",FALSE,TRUE)</f>
        <v>0</v>
      </c>
      <c r="BD88">
        <f>IF(Metadata!R88="",FALSE,TRUE)</f>
        <v>0</v>
      </c>
      <c r="BE88">
        <f>OR(AND(IF(Metadata!S88="",FALSE,TRUE),OR(exact(Metadata!S88,"not collected"),exact(Metadata!S88,"not provided"),exact(Metadata!S88,"restricted access"))),AND(IF(Metadata!S88="",FALSE,ISNUMBER(VALUE(Metadata!S88))),Metadata!S88&gt;=-90.00,Metadata!S88&lt;=90.00))</f>
        <v>0</v>
      </c>
      <c r="BF88">
        <f>AND(IF(Metadata!T88="",FALSE,TRUE),exact(Metadata!T88,"Decimal degrees"))</f>
        <v>0</v>
      </c>
      <c r="BG88">
        <f>OR(AND(IF(Metadata!U88="",FALSE,TRUE),OR(exact(Metadata!U88,"not collected"),exact(Metadata!U88,"not provided"),exact(Metadata!U88,"restricted access"))),AND(IF(Metadata!U88="",FALSE,ISNUMBER(VALUE(Metadata!U88))),Metadata!U88&gt;=-180.00,Metadata!U88&lt;=180.00))</f>
        <v>0</v>
      </c>
      <c r="BH88">
        <f>AND(IF(Metadata!V88="",FALSE,TRUE),exact(Metadata!V88,"Decimal degrees"))</f>
        <v>0</v>
      </c>
      <c r="BI88">
        <f>IF(Metadata!W88="",FALSE,TRUE)</f>
        <v>0</v>
      </c>
      <c r="BJ88">
        <f>OR(AND(IF(Metadata!X88="",FALSE,TRUE),OR(exact(Metadata!X88,"not collected"),exact(Metadata!X88,"not provided"),exact(Metadata!X88,"restricted access"))),AND(IF(Metadata!X88="",FALSE,TRUE),OR(exact(Metadata!X88,"TRUE"),exact(Metadata!X88,"FALSE"))))</f>
        <v>0</v>
      </c>
      <c r="BK88">
        <f>AND(IF(Metadata!Y88="",FALSE,TRUE),exact(Metadata!Y88,"other"))</f>
        <v>0</v>
      </c>
      <c r="BL88">
        <f>IF(Metadata!Z88="",FALSE,TRUE)</f>
        <v>0</v>
      </c>
      <c r="BM88">
        <f>OR(AND(IF(Metadata!AA88="",FALSE,TRUE),OR(exact(Metadata!AA88,"not collected"),exact(Metadata!AA88,"not provided"))),AND(IF(Metadata!AA88="",FALSE,IF(ISERROR(INT(Metadata!AA88)),FALSE,INT(Metadata!AA88)=Metadata!AA88)),Metadata!AA88&gt;0))</f>
        <v>0</v>
      </c>
      <c r="BN88">
        <f>AND(IF(Metadata!AB88="",FALSE,TRUE),exact(Metadata!AB88,"Not applicable"))</f>
        <v>0</v>
      </c>
      <c r="BO88">
        <f>IF(Metadata!AC88="",FALSE,TRUE)</f>
        <v>0</v>
      </c>
    </row>
    <row r="89" spans="1:67">
      <c r="A89" s="5">
        <f>IF(B89=" "," ",HYPERLINK(CONCATENATE("#metadata!",ADDRESS(INDEX($AI$2:$AI$1001,MATCH(ROWS($AG$2:AG89),$AG$2:$AG$1001,0),0),1)),INDEX($AL$2:$AL$1001,MATCH(ROWS($AG$2:AG89),$AG$2:$AG$1001,0),0)))</f>
        <v>0</v>
      </c>
      <c r="B89" s="4">
        <f>IF(OR(INDEX($AH$2:$AH$1001,MATCH(ROWS($AG$2:AG89),$AG$2:$AG$1001,0),1)&gt;=100000,INDEX($AN$1005:$BO$1005,1,MATCH(COLUMNS($AN$1006:AN1006),$AN$1006:$BO$1006,0))&gt;=100000), " ",IF(INDEX($AN$2:$BO$1001,MATCH(ROWS($AG$2:AG89),$AG$2:$AG$1001,0),MATCH(COLUMNS($AN$1006:AN1006),$AN$1006:$BO$1006,0)), HYPERLINK("#",""), HYPERLINK(CONCATENATE("#Metadata!", ADDRESS(INDEX($AI$2:$AI$1001,MATCH(ROWS($AG$2:AG89),$AG$2:$AG$1001,0),0), INDEX($AN$1004:$BO$1004,1,MATCH(COLUMNS($AN$1006:AN1006),$AN$1006:$BO$1006,0)))),"Fix")))</f>
        <v>0</v>
      </c>
      <c r="C89" s="4">
        <f>IF(OR(INDEX($AH$2:$AH$1001,MATCH(ROWS($AG$2:AG89),$AG$2:$AG$1001,0),1)&gt;=100000,INDEX($AN$1005:$BO$1005,1,MATCH(COLUMNS($AN$1006:AO1006),$AN$1006:$BO$1006,0))&gt;=100000), " ",IF(INDEX($AN$2:$BO$1001,MATCH(ROWS($AG$2:AG89),$AG$2:$AG$1001,0),MATCH(COLUMNS($AN$1006:AO1006),$AN$1006:$BO$1006,0)), HYPERLINK("#",""), HYPERLINK(CONCATENATE("#Metadata!", ADDRESS(INDEX($AI$2:$AI$1001,MATCH(ROWS($AG$2:AG89),$AG$2:$AG$1001,0),0), INDEX($AN$1004:$BO$1004,1,MATCH(COLUMNS($AN$1006:AO1006),$AN$1006:$BO$1006,0)))),"Fix")))</f>
        <v>0</v>
      </c>
      <c r="D89" s="4">
        <f>IF(OR(INDEX($AH$2:$AH$1001,MATCH(ROWS($AG$2:AG89),$AG$2:$AG$1001,0),1)&gt;=100000,INDEX($AN$1005:$BO$1005,1,MATCH(COLUMNS($AN$1006:AP1006),$AN$1006:$BO$1006,0))&gt;=100000), " ",IF(INDEX($AN$2:$BO$1001,MATCH(ROWS($AG$2:AG89),$AG$2:$AG$1001,0),MATCH(COLUMNS($AN$1006:AP1006),$AN$1006:$BO$1006,0)), HYPERLINK("#",""), HYPERLINK(CONCATENATE("#Metadata!", ADDRESS(INDEX($AI$2:$AI$1001,MATCH(ROWS($AG$2:AG89),$AG$2:$AG$1001,0),0), INDEX($AN$1004:$BO$1004,1,MATCH(COLUMNS($AN$1006:AP1006),$AN$1006:$BO$1006,0)))),"Fix")))</f>
        <v>0</v>
      </c>
      <c r="E89" s="4">
        <f>IF(OR(INDEX($AH$2:$AH$1001,MATCH(ROWS($AG$2:AG89),$AG$2:$AG$1001,0),1)&gt;=100000,INDEX($AN$1005:$BO$1005,1,MATCH(COLUMNS($AN$1006:AQ1006),$AN$1006:$BO$1006,0))&gt;=100000), " ",IF(INDEX($AN$2:$BO$1001,MATCH(ROWS($AG$2:AG89),$AG$2:$AG$1001,0),MATCH(COLUMNS($AN$1006:AQ1006),$AN$1006:$BO$1006,0)), HYPERLINK("#",""), HYPERLINK(CONCATENATE("#Metadata!", ADDRESS(INDEX($AI$2:$AI$1001,MATCH(ROWS($AG$2:AG89),$AG$2:$AG$1001,0),0), INDEX($AN$1004:$BO$1004,1,MATCH(COLUMNS($AN$1006:AQ1006),$AN$1006:$BO$1006,0)))),"Fix")))</f>
        <v>0</v>
      </c>
      <c r="F89" s="4">
        <f>IF(OR(INDEX($AH$2:$AH$1001,MATCH(ROWS($AG$2:AG89),$AG$2:$AG$1001,0),1)&gt;=100000,INDEX($AN$1005:$BO$1005,1,MATCH(COLUMNS($AN$1006:AR1006),$AN$1006:$BO$1006,0))&gt;=100000), " ",IF(INDEX($AN$2:$BO$1001,MATCH(ROWS($AG$2:AG89),$AG$2:$AG$1001,0),MATCH(COLUMNS($AN$1006:AR1006),$AN$1006:$BO$1006,0)), HYPERLINK("#",""), HYPERLINK(CONCATENATE("#Metadata!", ADDRESS(INDEX($AI$2:$AI$1001,MATCH(ROWS($AG$2:AG89),$AG$2:$AG$1001,0),0), INDEX($AN$1004:$BO$1004,1,MATCH(COLUMNS($AN$1006:AR1006),$AN$1006:$BO$1006,0)))),"Fix")))</f>
        <v>0</v>
      </c>
      <c r="G89" s="4">
        <f>IF(OR(INDEX($AH$2:$AH$1001,MATCH(ROWS($AG$2:AG89),$AG$2:$AG$1001,0),1)&gt;=100000,INDEX($AN$1005:$BO$1005,1,MATCH(COLUMNS($AN$1006:AS1006),$AN$1006:$BO$1006,0))&gt;=100000), " ",IF(INDEX($AN$2:$BO$1001,MATCH(ROWS($AG$2:AG89),$AG$2:$AG$1001,0),MATCH(COLUMNS($AN$1006:AS1006),$AN$1006:$BO$1006,0)), HYPERLINK("#",""), HYPERLINK(CONCATENATE("#Metadata!", ADDRESS(INDEX($AI$2:$AI$1001,MATCH(ROWS($AG$2:AG89),$AG$2:$AG$1001,0),0), INDEX($AN$1004:$BO$1004,1,MATCH(COLUMNS($AN$1006:AS1006),$AN$1006:$BO$1006,0)))),"Fix")))</f>
        <v>0</v>
      </c>
      <c r="H89" s="4">
        <f>IF(OR(INDEX($AH$2:$AH$1001,MATCH(ROWS($AG$2:AG89),$AG$2:$AG$1001,0),1)&gt;=100000,INDEX($AN$1005:$BO$1005,1,MATCH(COLUMNS($AN$1006:AT1006),$AN$1006:$BO$1006,0))&gt;=100000), " ",IF(INDEX($AN$2:$BO$1001,MATCH(ROWS($AG$2:AG89),$AG$2:$AG$1001,0),MATCH(COLUMNS($AN$1006:AT1006),$AN$1006:$BO$1006,0)), HYPERLINK("#",""), HYPERLINK(CONCATENATE("#Metadata!", ADDRESS(INDEX($AI$2:$AI$1001,MATCH(ROWS($AG$2:AG89),$AG$2:$AG$1001,0),0), INDEX($AN$1004:$BO$1004,1,MATCH(COLUMNS($AN$1006:AT1006),$AN$1006:$BO$1006,0)))),"Fix")))</f>
        <v>0</v>
      </c>
      <c r="I89" s="4">
        <f>IF(OR(INDEX($AH$2:$AH$1001,MATCH(ROWS($AG$2:AG89),$AG$2:$AG$1001,0),1)&gt;=100000,INDEX($AN$1005:$BO$1005,1,MATCH(COLUMNS($AN$1006:AU1006),$AN$1006:$BO$1006,0))&gt;=100000), " ",IF(INDEX($AN$2:$BO$1001,MATCH(ROWS($AG$2:AG89),$AG$2:$AG$1001,0),MATCH(COLUMNS($AN$1006:AU1006),$AN$1006:$BO$1006,0)), HYPERLINK("#",""), HYPERLINK(CONCATENATE("#Metadata!", ADDRESS(INDEX($AI$2:$AI$1001,MATCH(ROWS($AG$2:AG89),$AG$2:$AG$1001,0),0), INDEX($AN$1004:$BO$1004,1,MATCH(COLUMNS($AN$1006:AU1006),$AN$1006:$BO$1006,0)))),"Fix")))</f>
        <v>0</v>
      </c>
      <c r="J89" s="4">
        <f>IF(OR(INDEX($AH$2:$AH$1001,MATCH(ROWS($AG$2:AG89),$AG$2:$AG$1001,0),1)&gt;=100000,INDEX($AN$1005:$BO$1005,1,MATCH(COLUMNS($AN$1006:AV1006),$AN$1006:$BO$1006,0))&gt;=100000), " ",IF(INDEX($AN$2:$BO$1001,MATCH(ROWS($AG$2:AG89),$AG$2:$AG$1001,0),MATCH(COLUMNS($AN$1006:AV1006),$AN$1006:$BO$1006,0)), HYPERLINK("#",""), HYPERLINK(CONCATENATE("#Metadata!", ADDRESS(INDEX($AI$2:$AI$1001,MATCH(ROWS($AG$2:AG89),$AG$2:$AG$1001,0),0), INDEX($AN$1004:$BO$1004,1,MATCH(COLUMNS($AN$1006:AV1006),$AN$1006:$BO$1006,0)))),"Fix")))</f>
        <v>0</v>
      </c>
      <c r="K89" s="4">
        <f>IF(OR(INDEX($AH$2:$AH$1001,MATCH(ROWS($AG$2:AG89),$AG$2:$AG$1001,0),1)&gt;=100000,INDEX($AN$1005:$BO$1005,1,MATCH(COLUMNS($AN$1006:AW1006),$AN$1006:$BO$1006,0))&gt;=100000), " ",IF(INDEX($AN$2:$BO$1001,MATCH(ROWS($AG$2:AG89),$AG$2:$AG$1001,0),MATCH(COLUMNS($AN$1006:AW1006),$AN$1006:$BO$1006,0)), HYPERLINK("#",""), HYPERLINK(CONCATENATE("#Metadata!", ADDRESS(INDEX($AI$2:$AI$1001,MATCH(ROWS($AG$2:AG89),$AG$2:$AG$1001,0),0), INDEX($AN$1004:$BO$1004,1,MATCH(COLUMNS($AN$1006:AW1006),$AN$1006:$BO$1006,0)))),"Fix")))</f>
        <v>0</v>
      </c>
      <c r="L89" s="4">
        <f>IF(OR(INDEX($AH$2:$AH$1001,MATCH(ROWS($AG$2:AG89),$AG$2:$AG$1001,0),1)&gt;=100000,INDEX($AN$1005:$BO$1005,1,MATCH(COLUMNS($AN$1006:AX1006),$AN$1006:$BO$1006,0))&gt;=100000), " ",IF(INDEX($AN$2:$BO$1001,MATCH(ROWS($AG$2:AG89),$AG$2:$AG$1001,0),MATCH(COLUMNS($AN$1006:AX1006),$AN$1006:$BO$1006,0)), HYPERLINK("#",""), HYPERLINK(CONCATENATE("#Metadata!", ADDRESS(INDEX($AI$2:$AI$1001,MATCH(ROWS($AG$2:AG89),$AG$2:$AG$1001,0),0), INDEX($AN$1004:$BO$1004,1,MATCH(COLUMNS($AN$1006:AX1006),$AN$1006:$BO$1006,0)))),"Fix")))</f>
        <v>0</v>
      </c>
      <c r="M89" s="4">
        <f>IF(OR(INDEX($AH$2:$AH$1001,MATCH(ROWS($AG$2:AG89),$AG$2:$AG$1001,0),1)&gt;=100000,INDEX($AN$1005:$BO$1005,1,MATCH(COLUMNS($AN$1006:AY1006),$AN$1006:$BO$1006,0))&gt;=100000), " ",IF(INDEX($AN$2:$BO$1001,MATCH(ROWS($AG$2:AG89),$AG$2:$AG$1001,0),MATCH(COLUMNS($AN$1006:AY1006),$AN$1006:$BO$1006,0)), HYPERLINK("#",""), HYPERLINK(CONCATENATE("#Metadata!", ADDRESS(INDEX($AI$2:$AI$1001,MATCH(ROWS($AG$2:AG89),$AG$2:$AG$1001,0),0), INDEX($AN$1004:$BO$1004,1,MATCH(COLUMNS($AN$1006:AY1006),$AN$1006:$BO$1006,0)))),"Fix")))</f>
        <v>0</v>
      </c>
      <c r="N89" s="4">
        <f>IF(OR(INDEX($AH$2:$AH$1001,MATCH(ROWS($AG$2:AG89),$AG$2:$AG$1001,0),1)&gt;=100000,INDEX($AN$1005:$BO$1005,1,MATCH(COLUMNS($AN$1006:AZ1006),$AN$1006:$BO$1006,0))&gt;=100000), " ",IF(INDEX($AN$2:$BO$1001,MATCH(ROWS($AG$2:AG89),$AG$2:$AG$1001,0),MATCH(COLUMNS($AN$1006:AZ1006),$AN$1006:$BO$1006,0)), HYPERLINK("#",""), HYPERLINK(CONCATENATE("#Metadata!", ADDRESS(INDEX($AI$2:$AI$1001,MATCH(ROWS($AG$2:AG89),$AG$2:$AG$1001,0),0), INDEX($AN$1004:$BO$1004,1,MATCH(COLUMNS($AN$1006:AZ1006),$AN$1006:$BO$1006,0)))),"Fix")))</f>
        <v>0</v>
      </c>
      <c r="O89" s="4">
        <f>IF(OR(INDEX($AH$2:$AH$1001,MATCH(ROWS($AG$2:AG89),$AG$2:$AG$1001,0),1)&gt;=100000,INDEX($AN$1005:$BO$1005,1,MATCH(COLUMNS($AN$1006:BA1006),$AN$1006:$BO$1006,0))&gt;=100000), " ",IF(INDEX($AN$2:$BO$1001,MATCH(ROWS($AG$2:AG89),$AG$2:$AG$1001,0),MATCH(COLUMNS($AN$1006:BA1006),$AN$1006:$BO$1006,0)), HYPERLINK("#",""), HYPERLINK(CONCATENATE("#Metadata!", ADDRESS(INDEX($AI$2:$AI$1001,MATCH(ROWS($AG$2:AG89),$AG$2:$AG$1001,0),0), INDEX($AN$1004:$BO$1004,1,MATCH(COLUMNS($AN$1006:BA1006),$AN$1006:$BO$1006,0)))),"Fix")))</f>
        <v>0</v>
      </c>
      <c r="P89" s="4">
        <f>IF(OR(INDEX($AH$2:$AH$1001,MATCH(ROWS($AG$2:AG89),$AG$2:$AG$1001,0),1)&gt;=100000,INDEX($AN$1005:$BO$1005,1,MATCH(COLUMNS($AN$1006:BB1006),$AN$1006:$BO$1006,0))&gt;=100000), " ",IF(INDEX($AN$2:$BO$1001,MATCH(ROWS($AG$2:AG89),$AG$2:$AG$1001,0),MATCH(COLUMNS($AN$1006:BB1006),$AN$1006:$BO$1006,0)), HYPERLINK("#",""), HYPERLINK(CONCATENATE("#Metadata!", ADDRESS(INDEX($AI$2:$AI$1001,MATCH(ROWS($AG$2:AG89),$AG$2:$AG$1001,0),0), INDEX($AN$1004:$BO$1004,1,MATCH(COLUMNS($AN$1006:BB1006),$AN$1006:$BO$1006,0)))),"Fix")))</f>
        <v>0</v>
      </c>
      <c r="Q89" s="4">
        <f>IF(OR(INDEX($AH$2:$AH$1001,MATCH(ROWS($AG$2:AG89),$AG$2:$AG$1001,0),1)&gt;=100000,INDEX($AN$1005:$BO$1005,1,MATCH(COLUMNS($AN$1006:BC1006),$AN$1006:$BO$1006,0))&gt;=100000), " ",IF(INDEX($AN$2:$BO$1001,MATCH(ROWS($AG$2:AG89),$AG$2:$AG$1001,0),MATCH(COLUMNS($AN$1006:BC1006),$AN$1006:$BO$1006,0)), HYPERLINK("#",""), HYPERLINK(CONCATENATE("#Metadata!", ADDRESS(INDEX($AI$2:$AI$1001,MATCH(ROWS($AG$2:AG89),$AG$2:$AG$1001,0),0), INDEX($AN$1004:$BO$1004,1,MATCH(COLUMNS($AN$1006:BC1006),$AN$1006:$BO$1006,0)))),"Fix")))</f>
        <v>0</v>
      </c>
      <c r="R89" s="4">
        <f>IF(OR(INDEX($AH$2:$AH$1001,MATCH(ROWS($AG$2:AG89),$AG$2:$AG$1001,0),1)&gt;=100000,INDEX($AN$1005:$BO$1005,1,MATCH(COLUMNS($AN$1006:BD1006),$AN$1006:$BO$1006,0))&gt;=100000), " ",IF(INDEX($AN$2:$BO$1001,MATCH(ROWS($AG$2:AG89),$AG$2:$AG$1001,0),MATCH(COLUMNS($AN$1006:BD1006),$AN$1006:$BO$1006,0)), HYPERLINK("#",""), HYPERLINK(CONCATENATE("#Metadata!", ADDRESS(INDEX($AI$2:$AI$1001,MATCH(ROWS($AG$2:AG89),$AG$2:$AG$1001,0),0), INDEX($AN$1004:$BO$1004,1,MATCH(COLUMNS($AN$1006:BD1006),$AN$1006:$BO$1006,0)))),"Fix")))</f>
        <v>0</v>
      </c>
      <c r="S89" s="4">
        <f>IF(OR(INDEX($AH$2:$AH$1001,MATCH(ROWS($AG$2:AG89),$AG$2:$AG$1001,0),1)&gt;=100000,INDEX($AN$1005:$BO$1005,1,MATCH(COLUMNS($AN$1006:BE1006),$AN$1006:$BO$1006,0))&gt;=100000), " ",IF(INDEX($AN$2:$BO$1001,MATCH(ROWS($AG$2:AG89),$AG$2:$AG$1001,0),MATCH(COLUMNS($AN$1006:BE1006),$AN$1006:$BO$1006,0)), HYPERLINK("#",""), HYPERLINK(CONCATENATE("#Metadata!", ADDRESS(INDEX($AI$2:$AI$1001,MATCH(ROWS($AG$2:AG89),$AG$2:$AG$1001,0),0), INDEX($AN$1004:$BO$1004,1,MATCH(COLUMNS($AN$1006:BE1006),$AN$1006:$BO$1006,0)))),"Fix")))</f>
        <v>0</v>
      </c>
      <c r="T89" s="4">
        <f>IF(OR(INDEX($AH$2:$AH$1001,MATCH(ROWS($AG$2:AG89),$AG$2:$AG$1001,0),1)&gt;=100000,INDEX($AN$1005:$BO$1005,1,MATCH(COLUMNS($AN$1006:BF1006),$AN$1006:$BO$1006,0))&gt;=100000), " ",IF(INDEX($AN$2:$BO$1001,MATCH(ROWS($AG$2:AG89),$AG$2:$AG$1001,0),MATCH(COLUMNS($AN$1006:BF1006),$AN$1006:$BO$1006,0)), HYPERLINK("#",""), HYPERLINK(CONCATENATE("#Metadata!", ADDRESS(INDEX($AI$2:$AI$1001,MATCH(ROWS($AG$2:AG89),$AG$2:$AG$1001,0),0), INDEX($AN$1004:$BO$1004,1,MATCH(COLUMNS($AN$1006:BF1006),$AN$1006:$BO$1006,0)))),"Fix")))</f>
        <v>0</v>
      </c>
      <c r="U89" s="4">
        <f>IF(OR(INDEX($AH$2:$AH$1001,MATCH(ROWS($AG$2:AG89),$AG$2:$AG$1001,0),1)&gt;=100000,INDEX($AN$1005:$BO$1005,1,MATCH(COLUMNS($AN$1006:BG1006),$AN$1006:$BO$1006,0))&gt;=100000), " ",IF(INDEX($AN$2:$BO$1001,MATCH(ROWS($AG$2:AG89),$AG$2:$AG$1001,0),MATCH(COLUMNS($AN$1006:BG1006),$AN$1006:$BO$1006,0)), HYPERLINK("#",""), HYPERLINK(CONCATENATE("#Metadata!", ADDRESS(INDEX($AI$2:$AI$1001,MATCH(ROWS($AG$2:AG89),$AG$2:$AG$1001,0),0), INDEX($AN$1004:$BO$1004,1,MATCH(COLUMNS($AN$1006:BG1006),$AN$1006:$BO$1006,0)))),"Fix")))</f>
        <v>0</v>
      </c>
      <c r="V89" s="4">
        <f>IF(OR(INDEX($AH$2:$AH$1001,MATCH(ROWS($AG$2:AG89),$AG$2:$AG$1001,0),1)&gt;=100000,INDEX($AN$1005:$BO$1005,1,MATCH(COLUMNS($AN$1006:BH1006),$AN$1006:$BO$1006,0))&gt;=100000), " ",IF(INDEX($AN$2:$BO$1001,MATCH(ROWS($AG$2:AG89),$AG$2:$AG$1001,0),MATCH(COLUMNS($AN$1006:BH1006),$AN$1006:$BO$1006,0)), HYPERLINK("#",""), HYPERLINK(CONCATENATE("#Metadata!", ADDRESS(INDEX($AI$2:$AI$1001,MATCH(ROWS($AG$2:AG89),$AG$2:$AG$1001,0),0), INDEX($AN$1004:$BO$1004,1,MATCH(COLUMNS($AN$1006:BH1006),$AN$1006:$BO$1006,0)))),"Fix")))</f>
        <v>0</v>
      </c>
      <c r="W89" s="4">
        <f>IF(OR(INDEX($AH$2:$AH$1001,MATCH(ROWS($AG$2:AG89),$AG$2:$AG$1001,0),1)&gt;=100000,INDEX($AN$1005:$BO$1005,1,MATCH(COLUMNS($AN$1006:BI1006),$AN$1006:$BO$1006,0))&gt;=100000), " ",IF(INDEX($AN$2:$BO$1001,MATCH(ROWS($AG$2:AG89),$AG$2:$AG$1001,0),MATCH(COLUMNS($AN$1006:BI1006),$AN$1006:$BO$1006,0)), HYPERLINK("#",""), HYPERLINK(CONCATENATE("#Metadata!", ADDRESS(INDEX($AI$2:$AI$1001,MATCH(ROWS($AG$2:AG89),$AG$2:$AG$1001,0),0), INDEX($AN$1004:$BO$1004,1,MATCH(COLUMNS($AN$1006:BI1006),$AN$1006:$BO$1006,0)))),"Fix")))</f>
        <v>0</v>
      </c>
      <c r="X89" s="4">
        <f>IF(OR(INDEX($AH$2:$AH$1001,MATCH(ROWS($AG$2:AG89),$AG$2:$AG$1001,0),1)&gt;=100000,INDEX($AN$1005:$BO$1005,1,MATCH(COLUMNS($AN$1006:BJ1006),$AN$1006:$BO$1006,0))&gt;=100000), " ",IF(INDEX($AN$2:$BO$1001,MATCH(ROWS($AG$2:AG89),$AG$2:$AG$1001,0),MATCH(COLUMNS($AN$1006:BJ1006),$AN$1006:$BO$1006,0)), HYPERLINK("#",""), HYPERLINK(CONCATENATE("#Metadata!", ADDRESS(INDEX($AI$2:$AI$1001,MATCH(ROWS($AG$2:AG89),$AG$2:$AG$1001,0),0), INDEX($AN$1004:$BO$1004,1,MATCH(COLUMNS($AN$1006:BJ1006),$AN$1006:$BO$1006,0)))),"Fix")))</f>
        <v>0</v>
      </c>
      <c r="Y89" s="4">
        <f>IF(OR(INDEX($AH$2:$AH$1001,MATCH(ROWS($AG$2:AG89),$AG$2:$AG$1001,0),1)&gt;=100000,INDEX($AN$1005:$BO$1005,1,MATCH(COLUMNS($AN$1006:BK1006),$AN$1006:$BO$1006,0))&gt;=100000), " ",IF(INDEX($AN$2:$BO$1001,MATCH(ROWS($AG$2:AG89),$AG$2:$AG$1001,0),MATCH(COLUMNS($AN$1006:BK1006),$AN$1006:$BO$1006,0)), HYPERLINK("#",""), HYPERLINK(CONCATENATE("#Metadata!", ADDRESS(INDEX($AI$2:$AI$1001,MATCH(ROWS($AG$2:AG89),$AG$2:$AG$1001,0),0), INDEX($AN$1004:$BO$1004,1,MATCH(COLUMNS($AN$1006:BK1006),$AN$1006:$BO$1006,0)))),"Fix")))</f>
        <v>0</v>
      </c>
      <c r="Z89" s="4">
        <f>IF(OR(INDEX($AH$2:$AH$1001,MATCH(ROWS($AG$2:AG89),$AG$2:$AG$1001,0),1)&gt;=100000,INDEX($AN$1005:$BO$1005,1,MATCH(COLUMNS($AN$1006:BL1006),$AN$1006:$BO$1006,0))&gt;=100000), " ",IF(INDEX($AN$2:$BO$1001,MATCH(ROWS($AG$2:AG89),$AG$2:$AG$1001,0),MATCH(COLUMNS($AN$1006:BL1006),$AN$1006:$BO$1006,0)), HYPERLINK("#",""), HYPERLINK(CONCATENATE("#Metadata!", ADDRESS(INDEX($AI$2:$AI$1001,MATCH(ROWS($AG$2:AG89),$AG$2:$AG$1001,0),0), INDEX($AN$1004:$BO$1004,1,MATCH(COLUMNS($AN$1006:BL1006),$AN$1006:$BO$1006,0)))),"Fix")))</f>
        <v>0</v>
      </c>
      <c r="AA89" s="4">
        <f>IF(OR(INDEX($AH$2:$AH$1001,MATCH(ROWS($AG$2:AG89),$AG$2:$AG$1001,0),1)&gt;=100000,INDEX($AN$1005:$BO$1005,1,MATCH(COLUMNS($AN$1006:BM1006),$AN$1006:$BO$1006,0))&gt;=100000), " ",IF(INDEX($AN$2:$BO$1001,MATCH(ROWS($AG$2:AG89),$AG$2:$AG$1001,0),MATCH(COLUMNS($AN$1006:BM1006),$AN$1006:$BO$1006,0)), HYPERLINK("#",""), HYPERLINK(CONCATENATE("#Metadata!", ADDRESS(INDEX($AI$2:$AI$1001,MATCH(ROWS($AG$2:AG89),$AG$2:$AG$1001,0),0), INDEX($AN$1004:$BO$1004,1,MATCH(COLUMNS($AN$1006:BM1006),$AN$1006:$BO$1006,0)))),"Fix")))</f>
        <v>0</v>
      </c>
      <c r="AB89" s="4">
        <f>IF(OR(INDEX($AH$2:$AH$1001,MATCH(ROWS($AG$2:AG89),$AG$2:$AG$1001,0),1)&gt;=100000,INDEX($AN$1005:$BO$1005,1,MATCH(COLUMNS($AN$1006:BN1006),$AN$1006:$BO$1006,0))&gt;=100000), " ",IF(INDEX($AN$2:$BO$1001,MATCH(ROWS($AG$2:AG89),$AG$2:$AG$1001,0),MATCH(COLUMNS($AN$1006:BN1006),$AN$1006:$BO$1006,0)), HYPERLINK("#",""), HYPERLINK(CONCATENATE("#Metadata!", ADDRESS(INDEX($AI$2:$AI$1001,MATCH(ROWS($AG$2:AG89),$AG$2:$AG$1001,0),0), INDEX($AN$1004:$BO$1004,1,MATCH(COLUMNS($AN$1006:BN1006),$AN$1006:$BO$1006,0)))),"Fix")))</f>
        <v>0</v>
      </c>
      <c r="AC89" s="4">
        <f>IF(OR(INDEX($AH$2:$AH$1001,MATCH(ROWS($AG$2:AG89),$AG$2:$AG$1001,0),1)&gt;=100000,INDEX($AN$1005:$BO$1005,1,MATCH(COLUMNS($AN$1006:BO1006),$AN$1006:$BO$1006,0))&gt;=100000), " ",IF(INDEX($AN$2:$BO$1001,MATCH(ROWS($AG$2:AG89),$AG$2:$AG$1001,0),MATCH(COLUMNS($AN$1006:BO1006),$AN$1006:$BO$1006,0)), HYPERLINK("#",""), HYPERLINK(CONCATENATE("#Metadata!", ADDRESS(INDEX($AI$2:$AI$1001,MATCH(ROWS($AG$2:AG89),$AG$2:$AG$1001,0),0), INDEX($AN$1004:$BO$1004,1,MATCH(COLUMNS($AN$1006:BO1006),$AN$1006:$BO$1006,0)))),"Fix")))</f>
        <v>0</v>
      </c>
      <c r="AG89">
        <v>0</v>
      </c>
      <c r="AH89">
        <v>0</v>
      </c>
      <c r="AI89">
        <v>0</v>
      </c>
      <c r="AJ89">
        <f>IF(AK89,TRUE,AND(AN89:BO89))</f>
        <v>0</v>
      </c>
      <c r="AK89">
        <f>COUNTBLANK(Metadata!B89:AC89)=COLUMNS(Metadata!B89:AC89)</f>
        <v>0</v>
      </c>
      <c r="AL89">
        <v>0</v>
      </c>
      <c r="AN89">
        <f>AND(IF(Metadata!B89="",FALSE,TRUE),COUNTIF(Metadata!B:B, Metadata!B89) = 1,NOT(ISERROR(SUMPRODUCT(SEARCH(MID(Metadata!B89,ROW(INDIRECT("1:"&amp;LEN(Metadata!B89))), 1),"0123456789abcdefghijklmnopqrstuvwxyzABCDEFGHIJKLMNOPQRSTUVWXYZ.")))))</f>
        <v>0</v>
      </c>
      <c r="AO89">
        <f>IF(Metadata!C89="",FALSE,TRUE)</f>
        <v>0</v>
      </c>
      <c r="AP89">
        <f>IF(Metadata!D89="",FALSE,TRUE)</f>
        <v>0</v>
      </c>
      <c r="AQ89">
        <f>OR(AND(IF(Metadata!E89="",FALSE,TRUE),OR(exact(Metadata!E89,"not collected"),exact(Metadata!E89,"not provided"),exact(Metadata!E89,"restricted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R89">
        <f>IF(Metadata!F89="",FALSE,TRUE)</f>
        <v>0</v>
      </c>
      <c r="AS89">
        <f>OR(AND(IF(Metadata!G89="",FALSE,TRUE),OR(exact(Metadata!G89,"not collected"),exact(Metadata!G89,"not provided"))),AND(IF(Metadata!G89="",FALSE,TRUE),OR(exact(Metadata!G89,"TRUE"),exact(Metadata!G89,"FALSE"))))</f>
        <v>0</v>
      </c>
      <c r="AT89">
        <f>OR(AND(IF(Metadata!H89="",FALSE,TRUE),OR(exact(Metadata!H89,"not collected"),exact(Metadata!H89,"not provided"),exact(Metadata!H89,"restricted access"))),AND(IF(Metadata!H89="",FALSE,ISNUMBER(VALUE(Metadata!H89))),Metadata!H89&gt;=-413.0))</f>
        <v>0</v>
      </c>
      <c r="AU89">
        <f>AND(IF(Metadata!I89="",FALSE,TRUE),exact(Metadata!I89,"meters"))</f>
        <v>0</v>
      </c>
      <c r="AV89">
        <f>AND(IF(Metadata!J89="",FALSE,TRUE),OR(exact(Metadata!J89,"Host-associated"),exact(Metadata!J89,"Free-living")))</f>
        <v>0</v>
      </c>
      <c r="AW89">
        <f>AND(IF(Metadata!K89="",FALSE,TRUE),OR(exact(Metadata!K89,"Animal"),exact(Metadata!K89,"Fungus"),exact(Metadata!K89,"Plant"),exact(Metadata!K89,"Saline"),exact(Metadata!K89,"Non-saline")))</f>
        <v>0</v>
      </c>
      <c r="AX89">
        <f>AND(IF(Metadata!L89="",FALSE,TRUE),OR(exact(Metadata!L89,"Plant secretion"),exact(Metadata!L89,"Plant rhizosphere"),exact(Metadata!L89,"Plant surface"),exact(Metadata!L89,"Plant corpus"),exact(Metadata!L89,"Fungus surface"),exact(Metadata!L89,"Fungus corpus"),exact(Metadata!L89,"Animal surface"),exact(Metadata!L89,"Animal proximal gut"),exact(Metadata!L89,"Animal corpus"),exact(Metadata!L89,"Animal distal gut"),exact(Metadata!L89,"Animal secretion"),exact(Metadata!L89,"Sub-surface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Y89">
        <f>IF(Metadata!M89="",FALSE,TRUE)</f>
        <v>0</v>
      </c>
      <c r="AZ89">
        <f>IF(Metadata!N89="",FALSE,TRUE)</f>
        <v>0</v>
      </c>
      <c r="BA89">
        <f>IF(Metadata!O89="",FALSE,TRUE)</f>
        <v>0</v>
      </c>
      <c r="BB89">
        <f>OR(AND(IF(Metadata!P89="",FALSE,TRUE),OR(exact(Metadata!P89,"not collected"),exact(Metadata!P89,"not provided"),exact(Metadata!P89,"restricted access"))),AND(IF(Metadata!P89="",FALSE,TRUE),OR(exact(Metadata!P89,"air"),exact(Metadata!P89,"built environment"),exact(Metadata!P89,"host-associated"),exact(Metadata!P89,"human-associated"),exact(Metadata!P89,"human-skin"),exact(Metadata!P89,"human-oral"),exact(Metadata!P89,"human-gut"),exact(Metadata!P89,"human-vaginal"),exact(Metadata!P89,"microbial mat/biofilm"),exact(Metadata!P89,"misc environment"),exact(Metadata!P89,"plant-associated"),exact(Metadata!P89,"sediment"),exact(Metadata!P89,"soil"),exact(Metadata!P89,"wastewater/sludge"),exact(Metadata!P89,"water"))))</f>
        <v>0</v>
      </c>
      <c r="BC89">
        <f>IF(Metadata!Q89="",FALSE,TRUE)</f>
        <v>0</v>
      </c>
      <c r="BD89">
        <f>IF(Metadata!R89="",FALSE,TRUE)</f>
        <v>0</v>
      </c>
      <c r="BE89">
        <f>OR(AND(IF(Metadata!S89="",FALSE,TRUE),OR(exact(Metadata!S89,"not collected"),exact(Metadata!S89,"not provided"),exact(Metadata!S89,"restricted access"))),AND(IF(Metadata!S89="",FALSE,ISNUMBER(VALUE(Metadata!S89))),Metadata!S89&gt;=-90.00,Metadata!S89&lt;=90.00))</f>
        <v>0</v>
      </c>
      <c r="BF89">
        <f>AND(IF(Metadata!T89="",FALSE,TRUE),exact(Metadata!T89,"Decimal degrees"))</f>
        <v>0</v>
      </c>
      <c r="BG89">
        <f>OR(AND(IF(Metadata!U89="",FALSE,TRUE),OR(exact(Metadata!U89,"not collected"),exact(Metadata!U89,"not provided"),exact(Metadata!U89,"restricted access"))),AND(IF(Metadata!U89="",FALSE,ISNUMBER(VALUE(Metadata!U89))),Metadata!U89&gt;=-180.00,Metadata!U89&lt;=180.00))</f>
        <v>0</v>
      </c>
      <c r="BH89">
        <f>AND(IF(Metadata!V89="",FALSE,TRUE),exact(Metadata!V89,"Decimal degrees"))</f>
        <v>0</v>
      </c>
      <c r="BI89">
        <f>IF(Metadata!W89="",FALSE,TRUE)</f>
        <v>0</v>
      </c>
      <c r="BJ89">
        <f>OR(AND(IF(Metadata!X89="",FALSE,TRUE),OR(exact(Metadata!X89,"not collected"),exact(Metadata!X89,"not provided"),exact(Metadata!X89,"restricted access"))),AND(IF(Metadata!X89="",FALSE,TRUE),OR(exact(Metadata!X89,"TRUE"),exact(Metadata!X89,"FALSE"))))</f>
        <v>0</v>
      </c>
      <c r="BK89">
        <f>AND(IF(Metadata!Y89="",FALSE,TRUE),exact(Metadata!Y89,"other"))</f>
        <v>0</v>
      </c>
      <c r="BL89">
        <f>IF(Metadata!Z89="",FALSE,TRUE)</f>
        <v>0</v>
      </c>
      <c r="BM89">
        <f>OR(AND(IF(Metadata!AA89="",FALSE,TRUE),OR(exact(Metadata!AA89,"not collected"),exact(Metadata!AA89,"not provided"))),AND(IF(Metadata!AA89="",FALSE,IF(ISERROR(INT(Metadata!AA89)),FALSE,INT(Metadata!AA89)=Metadata!AA89)),Metadata!AA89&gt;0))</f>
        <v>0</v>
      </c>
      <c r="BN89">
        <f>AND(IF(Metadata!AB89="",FALSE,TRUE),exact(Metadata!AB89,"Not applicable"))</f>
        <v>0</v>
      </c>
      <c r="BO89">
        <f>IF(Metadata!AC89="",FALSE,TRUE)</f>
        <v>0</v>
      </c>
    </row>
    <row r="90" spans="1:67">
      <c r="A90" s="5">
        <f>IF(B90=" "," ",HYPERLINK(CONCATENATE("#metadata!",ADDRESS(INDEX($AI$2:$AI$1001,MATCH(ROWS($AG$2:AG90),$AG$2:$AG$1001,0),0),1)),INDEX($AL$2:$AL$1001,MATCH(ROWS($AG$2:AG90),$AG$2:$AG$1001,0),0)))</f>
        <v>0</v>
      </c>
      <c r="B90" s="4">
        <f>IF(OR(INDEX($AH$2:$AH$1001,MATCH(ROWS($AG$2:AG90),$AG$2:$AG$1001,0),1)&gt;=100000,INDEX($AN$1005:$BO$1005,1,MATCH(COLUMNS($AN$1006:AN1006),$AN$1006:$BO$1006,0))&gt;=100000), " ",IF(INDEX($AN$2:$BO$1001,MATCH(ROWS($AG$2:AG90),$AG$2:$AG$1001,0),MATCH(COLUMNS($AN$1006:AN1006),$AN$1006:$BO$1006,0)), HYPERLINK("#",""), HYPERLINK(CONCATENATE("#Metadata!", ADDRESS(INDEX($AI$2:$AI$1001,MATCH(ROWS($AG$2:AG90),$AG$2:$AG$1001,0),0), INDEX($AN$1004:$BO$1004,1,MATCH(COLUMNS($AN$1006:AN1006),$AN$1006:$BO$1006,0)))),"Fix")))</f>
        <v>0</v>
      </c>
      <c r="C90" s="4">
        <f>IF(OR(INDEX($AH$2:$AH$1001,MATCH(ROWS($AG$2:AG90),$AG$2:$AG$1001,0),1)&gt;=100000,INDEX($AN$1005:$BO$1005,1,MATCH(COLUMNS($AN$1006:AO1006),$AN$1006:$BO$1006,0))&gt;=100000), " ",IF(INDEX($AN$2:$BO$1001,MATCH(ROWS($AG$2:AG90),$AG$2:$AG$1001,0),MATCH(COLUMNS($AN$1006:AO1006),$AN$1006:$BO$1006,0)), HYPERLINK("#",""), HYPERLINK(CONCATENATE("#Metadata!", ADDRESS(INDEX($AI$2:$AI$1001,MATCH(ROWS($AG$2:AG90),$AG$2:$AG$1001,0),0), INDEX($AN$1004:$BO$1004,1,MATCH(COLUMNS($AN$1006:AO1006),$AN$1006:$BO$1006,0)))),"Fix")))</f>
        <v>0</v>
      </c>
      <c r="D90" s="4">
        <f>IF(OR(INDEX($AH$2:$AH$1001,MATCH(ROWS($AG$2:AG90),$AG$2:$AG$1001,0),1)&gt;=100000,INDEX($AN$1005:$BO$1005,1,MATCH(COLUMNS($AN$1006:AP1006),$AN$1006:$BO$1006,0))&gt;=100000), " ",IF(INDEX($AN$2:$BO$1001,MATCH(ROWS($AG$2:AG90),$AG$2:$AG$1001,0),MATCH(COLUMNS($AN$1006:AP1006),$AN$1006:$BO$1006,0)), HYPERLINK("#",""), HYPERLINK(CONCATENATE("#Metadata!", ADDRESS(INDEX($AI$2:$AI$1001,MATCH(ROWS($AG$2:AG90),$AG$2:$AG$1001,0),0), INDEX($AN$1004:$BO$1004,1,MATCH(COLUMNS($AN$1006:AP1006),$AN$1006:$BO$1006,0)))),"Fix")))</f>
        <v>0</v>
      </c>
      <c r="E90" s="4">
        <f>IF(OR(INDEX($AH$2:$AH$1001,MATCH(ROWS($AG$2:AG90),$AG$2:$AG$1001,0),1)&gt;=100000,INDEX($AN$1005:$BO$1005,1,MATCH(COLUMNS($AN$1006:AQ1006),$AN$1006:$BO$1006,0))&gt;=100000), " ",IF(INDEX($AN$2:$BO$1001,MATCH(ROWS($AG$2:AG90),$AG$2:$AG$1001,0),MATCH(COLUMNS($AN$1006:AQ1006),$AN$1006:$BO$1006,0)), HYPERLINK("#",""), HYPERLINK(CONCATENATE("#Metadata!", ADDRESS(INDEX($AI$2:$AI$1001,MATCH(ROWS($AG$2:AG90),$AG$2:$AG$1001,0),0), INDEX($AN$1004:$BO$1004,1,MATCH(COLUMNS($AN$1006:AQ1006),$AN$1006:$BO$1006,0)))),"Fix")))</f>
        <v>0</v>
      </c>
      <c r="F90" s="4">
        <f>IF(OR(INDEX($AH$2:$AH$1001,MATCH(ROWS($AG$2:AG90),$AG$2:$AG$1001,0),1)&gt;=100000,INDEX($AN$1005:$BO$1005,1,MATCH(COLUMNS($AN$1006:AR1006),$AN$1006:$BO$1006,0))&gt;=100000), " ",IF(INDEX($AN$2:$BO$1001,MATCH(ROWS($AG$2:AG90),$AG$2:$AG$1001,0),MATCH(COLUMNS($AN$1006:AR1006),$AN$1006:$BO$1006,0)), HYPERLINK("#",""), HYPERLINK(CONCATENATE("#Metadata!", ADDRESS(INDEX($AI$2:$AI$1001,MATCH(ROWS($AG$2:AG90),$AG$2:$AG$1001,0),0), INDEX($AN$1004:$BO$1004,1,MATCH(COLUMNS($AN$1006:AR1006),$AN$1006:$BO$1006,0)))),"Fix")))</f>
        <v>0</v>
      </c>
      <c r="G90" s="4">
        <f>IF(OR(INDEX($AH$2:$AH$1001,MATCH(ROWS($AG$2:AG90),$AG$2:$AG$1001,0),1)&gt;=100000,INDEX($AN$1005:$BO$1005,1,MATCH(COLUMNS($AN$1006:AS1006),$AN$1006:$BO$1006,0))&gt;=100000), " ",IF(INDEX($AN$2:$BO$1001,MATCH(ROWS($AG$2:AG90),$AG$2:$AG$1001,0),MATCH(COLUMNS($AN$1006:AS1006),$AN$1006:$BO$1006,0)), HYPERLINK("#",""), HYPERLINK(CONCATENATE("#Metadata!", ADDRESS(INDEX($AI$2:$AI$1001,MATCH(ROWS($AG$2:AG90),$AG$2:$AG$1001,0),0), INDEX($AN$1004:$BO$1004,1,MATCH(COLUMNS($AN$1006:AS1006),$AN$1006:$BO$1006,0)))),"Fix")))</f>
        <v>0</v>
      </c>
      <c r="H90" s="4">
        <f>IF(OR(INDEX($AH$2:$AH$1001,MATCH(ROWS($AG$2:AG90),$AG$2:$AG$1001,0),1)&gt;=100000,INDEX($AN$1005:$BO$1005,1,MATCH(COLUMNS($AN$1006:AT1006),$AN$1006:$BO$1006,0))&gt;=100000), " ",IF(INDEX($AN$2:$BO$1001,MATCH(ROWS($AG$2:AG90),$AG$2:$AG$1001,0),MATCH(COLUMNS($AN$1006:AT1006),$AN$1006:$BO$1006,0)), HYPERLINK("#",""), HYPERLINK(CONCATENATE("#Metadata!", ADDRESS(INDEX($AI$2:$AI$1001,MATCH(ROWS($AG$2:AG90),$AG$2:$AG$1001,0),0), INDEX($AN$1004:$BO$1004,1,MATCH(COLUMNS($AN$1006:AT1006),$AN$1006:$BO$1006,0)))),"Fix")))</f>
        <v>0</v>
      </c>
      <c r="I90" s="4">
        <f>IF(OR(INDEX($AH$2:$AH$1001,MATCH(ROWS($AG$2:AG90),$AG$2:$AG$1001,0),1)&gt;=100000,INDEX($AN$1005:$BO$1005,1,MATCH(COLUMNS($AN$1006:AU1006),$AN$1006:$BO$1006,0))&gt;=100000), " ",IF(INDEX($AN$2:$BO$1001,MATCH(ROWS($AG$2:AG90),$AG$2:$AG$1001,0),MATCH(COLUMNS($AN$1006:AU1006),$AN$1006:$BO$1006,0)), HYPERLINK("#",""), HYPERLINK(CONCATENATE("#Metadata!", ADDRESS(INDEX($AI$2:$AI$1001,MATCH(ROWS($AG$2:AG90),$AG$2:$AG$1001,0),0), INDEX($AN$1004:$BO$1004,1,MATCH(COLUMNS($AN$1006:AU1006),$AN$1006:$BO$1006,0)))),"Fix")))</f>
        <v>0</v>
      </c>
      <c r="J90" s="4">
        <f>IF(OR(INDEX($AH$2:$AH$1001,MATCH(ROWS($AG$2:AG90),$AG$2:$AG$1001,0),1)&gt;=100000,INDEX($AN$1005:$BO$1005,1,MATCH(COLUMNS($AN$1006:AV1006),$AN$1006:$BO$1006,0))&gt;=100000), " ",IF(INDEX($AN$2:$BO$1001,MATCH(ROWS($AG$2:AG90),$AG$2:$AG$1001,0),MATCH(COLUMNS($AN$1006:AV1006),$AN$1006:$BO$1006,0)), HYPERLINK("#",""), HYPERLINK(CONCATENATE("#Metadata!", ADDRESS(INDEX($AI$2:$AI$1001,MATCH(ROWS($AG$2:AG90),$AG$2:$AG$1001,0),0), INDEX($AN$1004:$BO$1004,1,MATCH(COLUMNS($AN$1006:AV1006),$AN$1006:$BO$1006,0)))),"Fix")))</f>
        <v>0</v>
      </c>
      <c r="K90" s="4">
        <f>IF(OR(INDEX($AH$2:$AH$1001,MATCH(ROWS($AG$2:AG90),$AG$2:$AG$1001,0),1)&gt;=100000,INDEX($AN$1005:$BO$1005,1,MATCH(COLUMNS($AN$1006:AW1006),$AN$1006:$BO$1006,0))&gt;=100000), " ",IF(INDEX($AN$2:$BO$1001,MATCH(ROWS($AG$2:AG90),$AG$2:$AG$1001,0),MATCH(COLUMNS($AN$1006:AW1006),$AN$1006:$BO$1006,0)), HYPERLINK("#",""), HYPERLINK(CONCATENATE("#Metadata!", ADDRESS(INDEX($AI$2:$AI$1001,MATCH(ROWS($AG$2:AG90),$AG$2:$AG$1001,0),0), INDEX($AN$1004:$BO$1004,1,MATCH(COLUMNS($AN$1006:AW1006),$AN$1006:$BO$1006,0)))),"Fix")))</f>
        <v>0</v>
      </c>
      <c r="L90" s="4">
        <f>IF(OR(INDEX($AH$2:$AH$1001,MATCH(ROWS($AG$2:AG90),$AG$2:$AG$1001,0),1)&gt;=100000,INDEX($AN$1005:$BO$1005,1,MATCH(COLUMNS($AN$1006:AX1006),$AN$1006:$BO$1006,0))&gt;=100000), " ",IF(INDEX($AN$2:$BO$1001,MATCH(ROWS($AG$2:AG90),$AG$2:$AG$1001,0),MATCH(COLUMNS($AN$1006:AX1006),$AN$1006:$BO$1006,0)), HYPERLINK("#",""), HYPERLINK(CONCATENATE("#Metadata!", ADDRESS(INDEX($AI$2:$AI$1001,MATCH(ROWS($AG$2:AG90),$AG$2:$AG$1001,0),0), INDEX($AN$1004:$BO$1004,1,MATCH(COLUMNS($AN$1006:AX1006),$AN$1006:$BO$1006,0)))),"Fix")))</f>
        <v>0</v>
      </c>
      <c r="M90" s="4">
        <f>IF(OR(INDEX($AH$2:$AH$1001,MATCH(ROWS($AG$2:AG90),$AG$2:$AG$1001,0),1)&gt;=100000,INDEX($AN$1005:$BO$1005,1,MATCH(COLUMNS($AN$1006:AY1006),$AN$1006:$BO$1006,0))&gt;=100000), " ",IF(INDEX($AN$2:$BO$1001,MATCH(ROWS($AG$2:AG90),$AG$2:$AG$1001,0),MATCH(COLUMNS($AN$1006:AY1006),$AN$1006:$BO$1006,0)), HYPERLINK("#",""), HYPERLINK(CONCATENATE("#Metadata!", ADDRESS(INDEX($AI$2:$AI$1001,MATCH(ROWS($AG$2:AG90),$AG$2:$AG$1001,0),0), INDEX($AN$1004:$BO$1004,1,MATCH(COLUMNS($AN$1006:AY1006),$AN$1006:$BO$1006,0)))),"Fix")))</f>
        <v>0</v>
      </c>
      <c r="N90" s="4">
        <f>IF(OR(INDEX($AH$2:$AH$1001,MATCH(ROWS($AG$2:AG90),$AG$2:$AG$1001,0),1)&gt;=100000,INDEX($AN$1005:$BO$1005,1,MATCH(COLUMNS($AN$1006:AZ1006),$AN$1006:$BO$1006,0))&gt;=100000), " ",IF(INDEX($AN$2:$BO$1001,MATCH(ROWS($AG$2:AG90),$AG$2:$AG$1001,0),MATCH(COLUMNS($AN$1006:AZ1006),$AN$1006:$BO$1006,0)), HYPERLINK("#",""), HYPERLINK(CONCATENATE("#Metadata!", ADDRESS(INDEX($AI$2:$AI$1001,MATCH(ROWS($AG$2:AG90),$AG$2:$AG$1001,0),0), INDEX($AN$1004:$BO$1004,1,MATCH(COLUMNS($AN$1006:AZ1006),$AN$1006:$BO$1006,0)))),"Fix")))</f>
        <v>0</v>
      </c>
      <c r="O90" s="4">
        <f>IF(OR(INDEX($AH$2:$AH$1001,MATCH(ROWS($AG$2:AG90),$AG$2:$AG$1001,0),1)&gt;=100000,INDEX($AN$1005:$BO$1005,1,MATCH(COLUMNS($AN$1006:BA1006),$AN$1006:$BO$1006,0))&gt;=100000), " ",IF(INDEX($AN$2:$BO$1001,MATCH(ROWS($AG$2:AG90),$AG$2:$AG$1001,0),MATCH(COLUMNS($AN$1006:BA1006),$AN$1006:$BO$1006,0)), HYPERLINK("#",""), HYPERLINK(CONCATENATE("#Metadata!", ADDRESS(INDEX($AI$2:$AI$1001,MATCH(ROWS($AG$2:AG90),$AG$2:$AG$1001,0),0), INDEX($AN$1004:$BO$1004,1,MATCH(COLUMNS($AN$1006:BA1006),$AN$1006:$BO$1006,0)))),"Fix")))</f>
        <v>0</v>
      </c>
      <c r="P90" s="4">
        <f>IF(OR(INDEX($AH$2:$AH$1001,MATCH(ROWS($AG$2:AG90),$AG$2:$AG$1001,0),1)&gt;=100000,INDEX($AN$1005:$BO$1005,1,MATCH(COLUMNS($AN$1006:BB1006),$AN$1006:$BO$1006,0))&gt;=100000), " ",IF(INDEX($AN$2:$BO$1001,MATCH(ROWS($AG$2:AG90),$AG$2:$AG$1001,0),MATCH(COLUMNS($AN$1006:BB1006),$AN$1006:$BO$1006,0)), HYPERLINK("#",""), HYPERLINK(CONCATENATE("#Metadata!", ADDRESS(INDEX($AI$2:$AI$1001,MATCH(ROWS($AG$2:AG90),$AG$2:$AG$1001,0),0), INDEX($AN$1004:$BO$1004,1,MATCH(COLUMNS($AN$1006:BB1006),$AN$1006:$BO$1006,0)))),"Fix")))</f>
        <v>0</v>
      </c>
      <c r="Q90" s="4">
        <f>IF(OR(INDEX($AH$2:$AH$1001,MATCH(ROWS($AG$2:AG90),$AG$2:$AG$1001,0),1)&gt;=100000,INDEX($AN$1005:$BO$1005,1,MATCH(COLUMNS($AN$1006:BC1006),$AN$1006:$BO$1006,0))&gt;=100000), " ",IF(INDEX($AN$2:$BO$1001,MATCH(ROWS($AG$2:AG90),$AG$2:$AG$1001,0),MATCH(COLUMNS($AN$1006:BC1006),$AN$1006:$BO$1006,0)), HYPERLINK("#",""), HYPERLINK(CONCATENATE("#Metadata!", ADDRESS(INDEX($AI$2:$AI$1001,MATCH(ROWS($AG$2:AG90),$AG$2:$AG$1001,0),0), INDEX($AN$1004:$BO$1004,1,MATCH(COLUMNS($AN$1006:BC1006),$AN$1006:$BO$1006,0)))),"Fix")))</f>
        <v>0</v>
      </c>
      <c r="R90" s="4">
        <f>IF(OR(INDEX($AH$2:$AH$1001,MATCH(ROWS($AG$2:AG90),$AG$2:$AG$1001,0),1)&gt;=100000,INDEX($AN$1005:$BO$1005,1,MATCH(COLUMNS($AN$1006:BD1006),$AN$1006:$BO$1006,0))&gt;=100000), " ",IF(INDEX($AN$2:$BO$1001,MATCH(ROWS($AG$2:AG90),$AG$2:$AG$1001,0),MATCH(COLUMNS($AN$1006:BD1006),$AN$1006:$BO$1006,0)), HYPERLINK("#",""), HYPERLINK(CONCATENATE("#Metadata!", ADDRESS(INDEX($AI$2:$AI$1001,MATCH(ROWS($AG$2:AG90),$AG$2:$AG$1001,0),0), INDEX($AN$1004:$BO$1004,1,MATCH(COLUMNS($AN$1006:BD1006),$AN$1006:$BO$1006,0)))),"Fix")))</f>
        <v>0</v>
      </c>
      <c r="S90" s="4">
        <f>IF(OR(INDEX($AH$2:$AH$1001,MATCH(ROWS($AG$2:AG90),$AG$2:$AG$1001,0),1)&gt;=100000,INDEX($AN$1005:$BO$1005,1,MATCH(COLUMNS($AN$1006:BE1006),$AN$1006:$BO$1006,0))&gt;=100000), " ",IF(INDEX($AN$2:$BO$1001,MATCH(ROWS($AG$2:AG90),$AG$2:$AG$1001,0),MATCH(COLUMNS($AN$1006:BE1006),$AN$1006:$BO$1006,0)), HYPERLINK("#",""), HYPERLINK(CONCATENATE("#Metadata!", ADDRESS(INDEX($AI$2:$AI$1001,MATCH(ROWS($AG$2:AG90),$AG$2:$AG$1001,0),0), INDEX($AN$1004:$BO$1004,1,MATCH(COLUMNS($AN$1006:BE1006),$AN$1006:$BO$1006,0)))),"Fix")))</f>
        <v>0</v>
      </c>
      <c r="T90" s="4">
        <f>IF(OR(INDEX($AH$2:$AH$1001,MATCH(ROWS($AG$2:AG90),$AG$2:$AG$1001,0),1)&gt;=100000,INDEX($AN$1005:$BO$1005,1,MATCH(COLUMNS($AN$1006:BF1006),$AN$1006:$BO$1006,0))&gt;=100000), " ",IF(INDEX($AN$2:$BO$1001,MATCH(ROWS($AG$2:AG90),$AG$2:$AG$1001,0),MATCH(COLUMNS($AN$1006:BF1006),$AN$1006:$BO$1006,0)), HYPERLINK("#",""), HYPERLINK(CONCATENATE("#Metadata!", ADDRESS(INDEX($AI$2:$AI$1001,MATCH(ROWS($AG$2:AG90),$AG$2:$AG$1001,0),0), INDEX($AN$1004:$BO$1004,1,MATCH(COLUMNS($AN$1006:BF1006),$AN$1006:$BO$1006,0)))),"Fix")))</f>
        <v>0</v>
      </c>
      <c r="U90" s="4">
        <f>IF(OR(INDEX($AH$2:$AH$1001,MATCH(ROWS($AG$2:AG90),$AG$2:$AG$1001,0),1)&gt;=100000,INDEX($AN$1005:$BO$1005,1,MATCH(COLUMNS($AN$1006:BG1006),$AN$1006:$BO$1006,0))&gt;=100000), " ",IF(INDEX($AN$2:$BO$1001,MATCH(ROWS($AG$2:AG90),$AG$2:$AG$1001,0),MATCH(COLUMNS($AN$1006:BG1006),$AN$1006:$BO$1006,0)), HYPERLINK("#",""), HYPERLINK(CONCATENATE("#Metadata!", ADDRESS(INDEX($AI$2:$AI$1001,MATCH(ROWS($AG$2:AG90),$AG$2:$AG$1001,0),0), INDEX($AN$1004:$BO$1004,1,MATCH(COLUMNS($AN$1006:BG1006),$AN$1006:$BO$1006,0)))),"Fix")))</f>
        <v>0</v>
      </c>
      <c r="V90" s="4">
        <f>IF(OR(INDEX($AH$2:$AH$1001,MATCH(ROWS($AG$2:AG90),$AG$2:$AG$1001,0),1)&gt;=100000,INDEX($AN$1005:$BO$1005,1,MATCH(COLUMNS($AN$1006:BH1006),$AN$1006:$BO$1006,0))&gt;=100000), " ",IF(INDEX($AN$2:$BO$1001,MATCH(ROWS($AG$2:AG90),$AG$2:$AG$1001,0),MATCH(COLUMNS($AN$1006:BH1006),$AN$1006:$BO$1006,0)), HYPERLINK("#",""), HYPERLINK(CONCATENATE("#Metadata!", ADDRESS(INDEX($AI$2:$AI$1001,MATCH(ROWS($AG$2:AG90),$AG$2:$AG$1001,0),0), INDEX($AN$1004:$BO$1004,1,MATCH(COLUMNS($AN$1006:BH1006),$AN$1006:$BO$1006,0)))),"Fix")))</f>
        <v>0</v>
      </c>
      <c r="W90" s="4">
        <f>IF(OR(INDEX($AH$2:$AH$1001,MATCH(ROWS($AG$2:AG90),$AG$2:$AG$1001,0),1)&gt;=100000,INDEX($AN$1005:$BO$1005,1,MATCH(COLUMNS($AN$1006:BI1006),$AN$1006:$BO$1006,0))&gt;=100000), " ",IF(INDEX($AN$2:$BO$1001,MATCH(ROWS($AG$2:AG90),$AG$2:$AG$1001,0),MATCH(COLUMNS($AN$1006:BI1006),$AN$1006:$BO$1006,0)), HYPERLINK("#",""), HYPERLINK(CONCATENATE("#Metadata!", ADDRESS(INDEX($AI$2:$AI$1001,MATCH(ROWS($AG$2:AG90),$AG$2:$AG$1001,0),0), INDEX($AN$1004:$BO$1004,1,MATCH(COLUMNS($AN$1006:BI1006),$AN$1006:$BO$1006,0)))),"Fix")))</f>
        <v>0</v>
      </c>
      <c r="X90" s="4">
        <f>IF(OR(INDEX($AH$2:$AH$1001,MATCH(ROWS($AG$2:AG90),$AG$2:$AG$1001,0),1)&gt;=100000,INDEX($AN$1005:$BO$1005,1,MATCH(COLUMNS($AN$1006:BJ1006),$AN$1006:$BO$1006,0))&gt;=100000), " ",IF(INDEX($AN$2:$BO$1001,MATCH(ROWS($AG$2:AG90),$AG$2:$AG$1001,0),MATCH(COLUMNS($AN$1006:BJ1006),$AN$1006:$BO$1006,0)), HYPERLINK("#",""), HYPERLINK(CONCATENATE("#Metadata!", ADDRESS(INDEX($AI$2:$AI$1001,MATCH(ROWS($AG$2:AG90),$AG$2:$AG$1001,0),0), INDEX($AN$1004:$BO$1004,1,MATCH(COLUMNS($AN$1006:BJ1006),$AN$1006:$BO$1006,0)))),"Fix")))</f>
        <v>0</v>
      </c>
      <c r="Y90" s="4">
        <f>IF(OR(INDEX($AH$2:$AH$1001,MATCH(ROWS($AG$2:AG90),$AG$2:$AG$1001,0),1)&gt;=100000,INDEX($AN$1005:$BO$1005,1,MATCH(COLUMNS($AN$1006:BK1006),$AN$1006:$BO$1006,0))&gt;=100000), " ",IF(INDEX($AN$2:$BO$1001,MATCH(ROWS($AG$2:AG90),$AG$2:$AG$1001,0),MATCH(COLUMNS($AN$1006:BK1006),$AN$1006:$BO$1006,0)), HYPERLINK("#",""), HYPERLINK(CONCATENATE("#Metadata!", ADDRESS(INDEX($AI$2:$AI$1001,MATCH(ROWS($AG$2:AG90),$AG$2:$AG$1001,0),0), INDEX($AN$1004:$BO$1004,1,MATCH(COLUMNS($AN$1006:BK1006),$AN$1006:$BO$1006,0)))),"Fix")))</f>
        <v>0</v>
      </c>
      <c r="Z90" s="4">
        <f>IF(OR(INDEX($AH$2:$AH$1001,MATCH(ROWS($AG$2:AG90),$AG$2:$AG$1001,0),1)&gt;=100000,INDEX($AN$1005:$BO$1005,1,MATCH(COLUMNS($AN$1006:BL1006),$AN$1006:$BO$1006,0))&gt;=100000), " ",IF(INDEX($AN$2:$BO$1001,MATCH(ROWS($AG$2:AG90),$AG$2:$AG$1001,0),MATCH(COLUMNS($AN$1006:BL1006),$AN$1006:$BO$1006,0)), HYPERLINK("#",""), HYPERLINK(CONCATENATE("#Metadata!", ADDRESS(INDEX($AI$2:$AI$1001,MATCH(ROWS($AG$2:AG90),$AG$2:$AG$1001,0),0), INDEX($AN$1004:$BO$1004,1,MATCH(COLUMNS($AN$1006:BL1006),$AN$1006:$BO$1006,0)))),"Fix")))</f>
        <v>0</v>
      </c>
      <c r="AA90" s="4">
        <f>IF(OR(INDEX($AH$2:$AH$1001,MATCH(ROWS($AG$2:AG90),$AG$2:$AG$1001,0),1)&gt;=100000,INDEX($AN$1005:$BO$1005,1,MATCH(COLUMNS($AN$1006:BM1006),$AN$1006:$BO$1006,0))&gt;=100000), " ",IF(INDEX($AN$2:$BO$1001,MATCH(ROWS($AG$2:AG90),$AG$2:$AG$1001,0),MATCH(COLUMNS($AN$1006:BM1006),$AN$1006:$BO$1006,0)), HYPERLINK("#",""), HYPERLINK(CONCATENATE("#Metadata!", ADDRESS(INDEX($AI$2:$AI$1001,MATCH(ROWS($AG$2:AG90),$AG$2:$AG$1001,0),0), INDEX($AN$1004:$BO$1004,1,MATCH(COLUMNS($AN$1006:BM1006),$AN$1006:$BO$1006,0)))),"Fix")))</f>
        <v>0</v>
      </c>
      <c r="AB90" s="4">
        <f>IF(OR(INDEX($AH$2:$AH$1001,MATCH(ROWS($AG$2:AG90),$AG$2:$AG$1001,0),1)&gt;=100000,INDEX($AN$1005:$BO$1005,1,MATCH(COLUMNS($AN$1006:BN1006),$AN$1006:$BO$1006,0))&gt;=100000), " ",IF(INDEX($AN$2:$BO$1001,MATCH(ROWS($AG$2:AG90),$AG$2:$AG$1001,0),MATCH(COLUMNS($AN$1006:BN1006),$AN$1006:$BO$1006,0)), HYPERLINK("#",""), HYPERLINK(CONCATENATE("#Metadata!", ADDRESS(INDEX($AI$2:$AI$1001,MATCH(ROWS($AG$2:AG90),$AG$2:$AG$1001,0),0), INDEX($AN$1004:$BO$1004,1,MATCH(COLUMNS($AN$1006:BN1006),$AN$1006:$BO$1006,0)))),"Fix")))</f>
        <v>0</v>
      </c>
      <c r="AC90" s="4">
        <f>IF(OR(INDEX($AH$2:$AH$1001,MATCH(ROWS($AG$2:AG90),$AG$2:$AG$1001,0),1)&gt;=100000,INDEX($AN$1005:$BO$1005,1,MATCH(COLUMNS($AN$1006:BO1006),$AN$1006:$BO$1006,0))&gt;=100000), " ",IF(INDEX($AN$2:$BO$1001,MATCH(ROWS($AG$2:AG90),$AG$2:$AG$1001,0),MATCH(COLUMNS($AN$1006:BO1006),$AN$1006:$BO$1006,0)), HYPERLINK("#",""), HYPERLINK(CONCATENATE("#Metadata!", ADDRESS(INDEX($AI$2:$AI$1001,MATCH(ROWS($AG$2:AG90),$AG$2:$AG$1001,0),0), INDEX($AN$1004:$BO$1004,1,MATCH(COLUMNS($AN$1006:BO1006),$AN$1006:$BO$1006,0)))),"Fix")))</f>
        <v>0</v>
      </c>
      <c r="AG90">
        <v>0</v>
      </c>
      <c r="AH90">
        <v>0</v>
      </c>
      <c r="AI90">
        <v>0</v>
      </c>
      <c r="AJ90">
        <f>IF(AK90,TRUE,AND(AN90:BO90))</f>
        <v>0</v>
      </c>
      <c r="AK90">
        <f>COUNTBLANK(Metadata!B90:AC90)=COLUMNS(Metadata!B90:AC90)</f>
        <v>0</v>
      </c>
      <c r="AL90">
        <v>0</v>
      </c>
      <c r="AN90">
        <f>AND(IF(Metadata!B90="",FALSE,TRUE),COUNTIF(Metadata!B:B, Metadata!B90) = 1,NOT(ISERROR(SUMPRODUCT(SEARCH(MID(Metadata!B90,ROW(INDIRECT("1:"&amp;LEN(Metadata!B90))), 1),"0123456789abcdefghijklmnopqrstuvwxyzABCDEFGHIJKLMNOPQRSTUVWXYZ.")))))</f>
        <v>0</v>
      </c>
      <c r="AO90">
        <f>IF(Metadata!C90="",FALSE,TRUE)</f>
        <v>0</v>
      </c>
      <c r="AP90">
        <f>IF(Metadata!D90="",FALSE,TRUE)</f>
        <v>0</v>
      </c>
      <c r="AQ90">
        <f>OR(AND(IF(Metadata!E90="",FALSE,TRUE),OR(exact(Metadata!E90,"not collected"),exact(Metadata!E90,"not provided"),exact(Metadata!E90,"restricted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R90">
        <f>IF(Metadata!F90="",FALSE,TRUE)</f>
        <v>0</v>
      </c>
      <c r="AS90">
        <f>OR(AND(IF(Metadata!G90="",FALSE,TRUE),OR(exact(Metadata!G90,"not collected"),exact(Metadata!G90,"not provided"))),AND(IF(Metadata!G90="",FALSE,TRUE),OR(exact(Metadata!G90,"TRUE"),exact(Metadata!G90,"FALSE"))))</f>
        <v>0</v>
      </c>
      <c r="AT90">
        <f>OR(AND(IF(Metadata!H90="",FALSE,TRUE),OR(exact(Metadata!H90,"not collected"),exact(Metadata!H90,"not provided"),exact(Metadata!H90,"restricted access"))),AND(IF(Metadata!H90="",FALSE,ISNUMBER(VALUE(Metadata!H90))),Metadata!H90&gt;=-413.0))</f>
        <v>0</v>
      </c>
      <c r="AU90">
        <f>AND(IF(Metadata!I90="",FALSE,TRUE),exact(Metadata!I90,"meters"))</f>
        <v>0</v>
      </c>
      <c r="AV90">
        <f>AND(IF(Metadata!J90="",FALSE,TRUE),OR(exact(Metadata!J90,"Host-associated"),exact(Metadata!J90,"Free-living")))</f>
        <v>0</v>
      </c>
      <c r="AW90">
        <f>AND(IF(Metadata!K90="",FALSE,TRUE),OR(exact(Metadata!K90,"Animal"),exact(Metadata!K90,"Fungus"),exact(Metadata!K90,"Plant"),exact(Metadata!K90,"Saline"),exact(Metadata!K90,"Non-saline")))</f>
        <v>0</v>
      </c>
      <c r="AX90">
        <f>AND(IF(Metadata!L90="",FALSE,TRUE),OR(exact(Metadata!L90,"Plant secretion"),exact(Metadata!L90,"Plant rhizosphere"),exact(Metadata!L90,"Plant surface"),exact(Metadata!L90,"Plant corpus"),exact(Metadata!L90,"Fungus surface"),exact(Metadata!L90,"Fungus corpus"),exact(Metadata!L90,"Animal surface"),exact(Metadata!L90,"Animal proximal gut"),exact(Metadata!L90,"Animal corpus"),exact(Metadata!L90,"Animal distal gut"),exact(Metadata!L90,"Animal secretion"),exact(Metadata!L90,"Sub-surface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Y90">
        <f>IF(Metadata!M90="",FALSE,TRUE)</f>
        <v>0</v>
      </c>
      <c r="AZ90">
        <f>IF(Metadata!N90="",FALSE,TRUE)</f>
        <v>0</v>
      </c>
      <c r="BA90">
        <f>IF(Metadata!O90="",FALSE,TRUE)</f>
        <v>0</v>
      </c>
      <c r="BB90">
        <f>OR(AND(IF(Metadata!P90="",FALSE,TRUE),OR(exact(Metadata!P90,"not collected"),exact(Metadata!P90,"not provided"),exact(Metadata!P90,"restricted access"))),AND(IF(Metadata!P90="",FALSE,TRUE),OR(exact(Metadata!P90,"air"),exact(Metadata!P90,"built environment"),exact(Metadata!P90,"host-associated"),exact(Metadata!P90,"human-associated"),exact(Metadata!P90,"human-skin"),exact(Metadata!P90,"human-oral"),exact(Metadata!P90,"human-gut"),exact(Metadata!P90,"human-vaginal"),exact(Metadata!P90,"microbial mat/biofilm"),exact(Metadata!P90,"misc environment"),exact(Metadata!P90,"plant-associated"),exact(Metadata!P90,"sediment"),exact(Metadata!P90,"soil"),exact(Metadata!P90,"wastewater/sludge"),exact(Metadata!P90,"water"))))</f>
        <v>0</v>
      </c>
      <c r="BC90">
        <f>IF(Metadata!Q90="",FALSE,TRUE)</f>
        <v>0</v>
      </c>
      <c r="BD90">
        <f>IF(Metadata!R90="",FALSE,TRUE)</f>
        <v>0</v>
      </c>
      <c r="BE90">
        <f>OR(AND(IF(Metadata!S90="",FALSE,TRUE),OR(exact(Metadata!S90,"not collected"),exact(Metadata!S90,"not provided"),exact(Metadata!S90,"restricted access"))),AND(IF(Metadata!S90="",FALSE,ISNUMBER(VALUE(Metadata!S90))),Metadata!S90&gt;=-90.00,Metadata!S90&lt;=90.00))</f>
        <v>0</v>
      </c>
      <c r="BF90">
        <f>AND(IF(Metadata!T90="",FALSE,TRUE),exact(Metadata!T90,"Decimal degrees"))</f>
        <v>0</v>
      </c>
      <c r="BG90">
        <f>OR(AND(IF(Metadata!U90="",FALSE,TRUE),OR(exact(Metadata!U90,"not collected"),exact(Metadata!U90,"not provided"),exact(Metadata!U90,"restricted access"))),AND(IF(Metadata!U90="",FALSE,ISNUMBER(VALUE(Metadata!U90))),Metadata!U90&gt;=-180.00,Metadata!U90&lt;=180.00))</f>
        <v>0</v>
      </c>
      <c r="BH90">
        <f>AND(IF(Metadata!V90="",FALSE,TRUE),exact(Metadata!V90,"Decimal degrees"))</f>
        <v>0</v>
      </c>
      <c r="BI90">
        <f>IF(Metadata!W90="",FALSE,TRUE)</f>
        <v>0</v>
      </c>
      <c r="BJ90">
        <f>OR(AND(IF(Metadata!X90="",FALSE,TRUE),OR(exact(Metadata!X90,"not collected"),exact(Metadata!X90,"not provided"),exact(Metadata!X90,"restricted access"))),AND(IF(Metadata!X90="",FALSE,TRUE),OR(exact(Metadata!X90,"TRUE"),exact(Metadata!X90,"FALSE"))))</f>
        <v>0</v>
      </c>
      <c r="BK90">
        <f>AND(IF(Metadata!Y90="",FALSE,TRUE),exact(Metadata!Y90,"other"))</f>
        <v>0</v>
      </c>
      <c r="BL90">
        <f>IF(Metadata!Z90="",FALSE,TRUE)</f>
        <v>0</v>
      </c>
      <c r="BM90">
        <f>OR(AND(IF(Metadata!AA90="",FALSE,TRUE),OR(exact(Metadata!AA90,"not collected"),exact(Metadata!AA90,"not provided"))),AND(IF(Metadata!AA90="",FALSE,IF(ISERROR(INT(Metadata!AA90)),FALSE,INT(Metadata!AA90)=Metadata!AA90)),Metadata!AA90&gt;0))</f>
        <v>0</v>
      </c>
      <c r="BN90">
        <f>AND(IF(Metadata!AB90="",FALSE,TRUE),exact(Metadata!AB90,"Not applicable"))</f>
        <v>0</v>
      </c>
      <c r="BO90">
        <f>IF(Metadata!AC90="",FALSE,TRUE)</f>
        <v>0</v>
      </c>
    </row>
    <row r="91" spans="1:67">
      <c r="A91" s="5">
        <f>IF(B91=" "," ",HYPERLINK(CONCATENATE("#metadata!",ADDRESS(INDEX($AI$2:$AI$1001,MATCH(ROWS($AG$2:AG91),$AG$2:$AG$1001,0),0),1)),INDEX($AL$2:$AL$1001,MATCH(ROWS($AG$2:AG91),$AG$2:$AG$1001,0),0)))</f>
        <v>0</v>
      </c>
      <c r="B91" s="4">
        <f>IF(OR(INDEX($AH$2:$AH$1001,MATCH(ROWS($AG$2:AG91),$AG$2:$AG$1001,0),1)&gt;=100000,INDEX($AN$1005:$BO$1005,1,MATCH(COLUMNS($AN$1006:AN1006),$AN$1006:$BO$1006,0))&gt;=100000), " ",IF(INDEX($AN$2:$BO$1001,MATCH(ROWS($AG$2:AG91),$AG$2:$AG$1001,0),MATCH(COLUMNS($AN$1006:AN1006),$AN$1006:$BO$1006,0)), HYPERLINK("#",""), HYPERLINK(CONCATENATE("#Metadata!", ADDRESS(INDEX($AI$2:$AI$1001,MATCH(ROWS($AG$2:AG91),$AG$2:$AG$1001,0),0), INDEX($AN$1004:$BO$1004,1,MATCH(COLUMNS($AN$1006:AN1006),$AN$1006:$BO$1006,0)))),"Fix")))</f>
        <v>0</v>
      </c>
      <c r="C91" s="4">
        <f>IF(OR(INDEX($AH$2:$AH$1001,MATCH(ROWS($AG$2:AG91),$AG$2:$AG$1001,0),1)&gt;=100000,INDEX($AN$1005:$BO$1005,1,MATCH(COLUMNS($AN$1006:AO1006),$AN$1006:$BO$1006,0))&gt;=100000), " ",IF(INDEX($AN$2:$BO$1001,MATCH(ROWS($AG$2:AG91),$AG$2:$AG$1001,0),MATCH(COLUMNS($AN$1006:AO1006),$AN$1006:$BO$1006,0)), HYPERLINK("#",""), HYPERLINK(CONCATENATE("#Metadata!", ADDRESS(INDEX($AI$2:$AI$1001,MATCH(ROWS($AG$2:AG91),$AG$2:$AG$1001,0),0), INDEX($AN$1004:$BO$1004,1,MATCH(COLUMNS($AN$1006:AO1006),$AN$1006:$BO$1006,0)))),"Fix")))</f>
        <v>0</v>
      </c>
      <c r="D91" s="4">
        <f>IF(OR(INDEX($AH$2:$AH$1001,MATCH(ROWS($AG$2:AG91),$AG$2:$AG$1001,0),1)&gt;=100000,INDEX($AN$1005:$BO$1005,1,MATCH(COLUMNS($AN$1006:AP1006),$AN$1006:$BO$1006,0))&gt;=100000), " ",IF(INDEX($AN$2:$BO$1001,MATCH(ROWS($AG$2:AG91),$AG$2:$AG$1001,0),MATCH(COLUMNS($AN$1006:AP1006),$AN$1006:$BO$1006,0)), HYPERLINK("#",""), HYPERLINK(CONCATENATE("#Metadata!", ADDRESS(INDEX($AI$2:$AI$1001,MATCH(ROWS($AG$2:AG91),$AG$2:$AG$1001,0),0), INDEX($AN$1004:$BO$1004,1,MATCH(COLUMNS($AN$1006:AP1006),$AN$1006:$BO$1006,0)))),"Fix")))</f>
        <v>0</v>
      </c>
      <c r="E91" s="4">
        <f>IF(OR(INDEX($AH$2:$AH$1001,MATCH(ROWS($AG$2:AG91),$AG$2:$AG$1001,0),1)&gt;=100000,INDEX($AN$1005:$BO$1005,1,MATCH(COLUMNS($AN$1006:AQ1006),$AN$1006:$BO$1006,0))&gt;=100000), " ",IF(INDEX($AN$2:$BO$1001,MATCH(ROWS($AG$2:AG91),$AG$2:$AG$1001,0),MATCH(COLUMNS($AN$1006:AQ1006),$AN$1006:$BO$1006,0)), HYPERLINK("#",""), HYPERLINK(CONCATENATE("#Metadata!", ADDRESS(INDEX($AI$2:$AI$1001,MATCH(ROWS($AG$2:AG91),$AG$2:$AG$1001,0),0), INDEX($AN$1004:$BO$1004,1,MATCH(COLUMNS($AN$1006:AQ1006),$AN$1006:$BO$1006,0)))),"Fix")))</f>
        <v>0</v>
      </c>
      <c r="F91" s="4">
        <f>IF(OR(INDEX($AH$2:$AH$1001,MATCH(ROWS($AG$2:AG91),$AG$2:$AG$1001,0),1)&gt;=100000,INDEX($AN$1005:$BO$1005,1,MATCH(COLUMNS($AN$1006:AR1006),$AN$1006:$BO$1006,0))&gt;=100000), " ",IF(INDEX($AN$2:$BO$1001,MATCH(ROWS($AG$2:AG91),$AG$2:$AG$1001,0),MATCH(COLUMNS($AN$1006:AR1006),$AN$1006:$BO$1006,0)), HYPERLINK("#",""), HYPERLINK(CONCATENATE("#Metadata!", ADDRESS(INDEX($AI$2:$AI$1001,MATCH(ROWS($AG$2:AG91),$AG$2:$AG$1001,0),0), INDEX($AN$1004:$BO$1004,1,MATCH(COLUMNS($AN$1006:AR1006),$AN$1006:$BO$1006,0)))),"Fix")))</f>
        <v>0</v>
      </c>
      <c r="G91" s="4">
        <f>IF(OR(INDEX($AH$2:$AH$1001,MATCH(ROWS($AG$2:AG91),$AG$2:$AG$1001,0),1)&gt;=100000,INDEX($AN$1005:$BO$1005,1,MATCH(COLUMNS($AN$1006:AS1006),$AN$1006:$BO$1006,0))&gt;=100000), " ",IF(INDEX($AN$2:$BO$1001,MATCH(ROWS($AG$2:AG91),$AG$2:$AG$1001,0),MATCH(COLUMNS($AN$1006:AS1006),$AN$1006:$BO$1006,0)), HYPERLINK("#",""), HYPERLINK(CONCATENATE("#Metadata!", ADDRESS(INDEX($AI$2:$AI$1001,MATCH(ROWS($AG$2:AG91),$AG$2:$AG$1001,0),0), INDEX($AN$1004:$BO$1004,1,MATCH(COLUMNS($AN$1006:AS1006),$AN$1006:$BO$1006,0)))),"Fix")))</f>
        <v>0</v>
      </c>
      <c r="H91" s="4">
        <f>IF(OR(INDEX($AH$2:$AH$1001,MATCH(ROWS($AG$2:AG91),$AG$2:$AG$1001,0),1)&gt;=100000,INDEX($AN$1005:$BO$1005,1,MATCH(COLUMNS($AN$1006:AT1006),$AN$1006:$BO$1006,0))&gt;=100000), " ",IF(INDEX($AN$2:$BO$1001,MATCH(ROWS($AG$2:AG91),$AG$2:$AG$1001,0),MATCH(COLUMNS($AN$1006:AT1006),$AN$1006:$BO$1006,0)), HYPERLINK("#",""), HYPERLINK(CONCATENATE("#Metadata!", ADDRESS(INDEX($AI$2:$AI$1001,MATCH(ROWS($AG$2:AG91),$AG$2:$AG$1001,0),0), INDEX($AN$1004:$BO$1004,1,MATCH(COLUMNS($AN$1006:AT1006),$AN$1006:$BO$1006,0)))),"Fix")))</f>
        <v>0</v>
      </c>
      <c r="I91" s="4">
        <f>IF(OR(INDEX($AH$2:$AH$1001,MATCH(ROWS($AG$2:AG91),$AG$2:$AG$1001,0),1)&gt;=100000,INDEX($AN$1005:$BO$1005,1,MATCH(COLUMNS($AN$1006:AU1006),$AN$1006:$BO$1006,0))&gt;=100000), " ",IF(INDEX($AN$2:$BO$1001,MATCH(ROWS($AG$2:AG91),$AG$2:$AG$1001,0),MATCH(COLUMNS($AN$1006:AU1006),$AN$1006:$BO$1006,0)), HYPERLINK("#",""), HYPERLINK(CONCATENATE("#Metadata!", ADDRESS(INDEX($AI$2:$AI$1001,MATCH(ROWS($AG$2:AG91),$AG$2:$AG$1001,0),0), INDEX($AN$1004:$BO$1004,1,MATCH(COLUMNS($AN$1006:AU1006),$AN$1006:$BO$1006,0)))),"Fix")))</f>
        <v>0</v>
      </c>
      <c r="J91" s="4">
        <f>IF(OR(INDEX($AH$2:$AH$1001,MATCH(ROWS($AG$2:AG91),$AG$2:$AG$1001,0),1)&gt;=100000,INDEX($AN$1005:$BO$1005,1,MATCH(COLUMNS($AN$1006:AV1006),$AN$1006:$BO$1006,0))&gt;=100000), " ",IF(INDEX($AN$2:$BO$1001,MATCH(ROWS($AG$2:AG91),$AG$2:$AG$1001,0),MATCH(COLUMNS($AN$1006:AV1006),$AN$1006:$BO$1006,0)), HYPERLINK("#",""), HYPERLINK(CONCATENATE("#Metadata!", ADDRESS(INDEX($AI$2:$AI$1001,MATCH(ROWS($AG$2:AG91),$AG$2:$AG$1001,0),0), INDEX($AN$1004:$BO$1004,1,MATCH(COLUMNS($AN$1006:AV1006),$AN$1006:$BO$1006,0)))),"Fix")))</f>
        <v>0</v>
      </c>
      <c r="K91" s="4">
        <f>IF(OR(INDEX($AH$2:$AH$1001,MATCH(ROWS($AG$2:AG91),$AG$2:$AG$1001,0),1)&gt;=100000,INDEX($AN$1005:$BO$1005,1,MATCH(COLUMNS($AN$1006:AW1006),$AN$1006:$BO$1006,0))&gt;=100000), " ",IF(INDEX($AN$2:$BO$1001,MATCH(ROWS($AG$2:AG91),$AG$2:$AG$1001,0),MATCH(COLUMNS($AN$1006:AW1006),$AN$1006:$BO$1006,0)), HYPERLINK("#",""), HYPERLINK(CONCATENATE("#Metadata!", ADDRESS(INDEX($AI$2:$AI$1001,MATCH(ROWS($AG$2:AG91),$AG$2:$AG$1001,0),0), INDEX($AN$1004:$BO$1004,1,MATCH(COLUMNS($AN$1006:AW1006),$AN$1006:$BO$1006,0)))),"Fix")))</f>
        <v>0</v>
      </c>
      <c r="L91" s="4">
        <f>IF(OR(INDEX($AH$2:$AH$1001,MATCH(ROWS($AG$2:AG91),$AG$2:$AG$1001,0),1)&gt;=100000,INDEX($AN$1005:$BO$1005,1,MATCH(COLUMNS($AN$1006:AX1006),$AN$1006:$BO$1006,0))&gt;=100000), " ",IF(INDEX($AN$2:$BO$1001,MATCH(ROWS($AG$2:AG91),$AG$2:$AG$1001,0),MATCH(COLUMNS($AN$1006:AX1006),$AN$1006:$BO$1006,0)), HYPERLINK("#",""), HYPERLINK(CONCATENATE("#Metadata!", ADDRESS(INDEX($AI$2:$AI$1001,MATCH(ROWS($AG$2:AG91),$AG$2:$AG$1001,0),0), INDEX($AN$1004:$BO$1004,1,MATCH(COLUMNS($AN$1006:AX1006),$AN$1006:$BO$1006,0)))),"Fix")))</f>
        <v>0</v>
      </c>
      <c r="M91" s="4">
        <f>IF(OR(INDEX($AH$2:$AH$1001,MATCH(ROWS($AG$2:AG91),$AG$2:$AG$1001,0),1)&gt;=100000,INDEX($AN$1005:$BO$1005,1,MATCH(COLUMNS($AN$1006:AY1006),$AN$1006:$BO$1006,0))&gt;=100000), " ",IF(INDEX($AN$2:$BO$1001,MATCH(ROWS($AG$2:AG91),$AG$2:$AG$1001,0),MATCH(COLUMNS($AN$1006:AY1006),$AN$1006:$BO$1006,0)), HYPERLINK("#",""), HYPERLINK(CONCATENATE("#Metadata!", ADDRESS(INDEX($AI$2:$AI$1001,MATCH(ROWS($AG$2:AG91),$AG$2:$AG$1001,0),0), INDEX($AN$1004:$BO$1004,1,MATCH(COLUMNS($AN$1006:AY1006),$AN$1006:$BO$1006,0)))),"Fix")))</f>
        <v>0</v>
      </c>
      <c r="N91" s="4">
        <f>IF(OR(INDEX($AH$2:$AH$1001,MATCH(ROWS($AG$2:AG91),$AG$2:$AG$1001,0),1)&gt;=100000,INDEX($AN$1005:$BO$1005,1,MATCH(COLUMNS($AN$1006:AZ1006),$AN$1006:$BO$1006,0))&gt;=100000), " ",IF(INDEX($AN$2:$BO$1001,MATCH(ROWS($AG$2:AG91),$AG$2:$AG$1001,0),MATCH(COLUMNS($AN$1006:AZ1006),$AN$1006:$BO$1006,0)), HYPERLINK("#",""), HYPERLINK(CONCATENATE("#Metadata!", ADDRESS(INDEX($AI$2:$AI$1001,MATCH(ROWS($AG$2:AG91),$AG$2:$AG$1001,0),0), INDEX($AN$1004:$BO$1004,1,MATCH(COLUMNS($AN$1006:AZ1006),$AN$1006:$BO$1006,0)))),"Fix")))</f>
        <v>0</v>
      </c>
      <c r="O91" s="4">
        <f>IF(OR(INDEX($AH$2:$AH$1001,MATCH(ROWS($AG$2:AG91),$AG$2:$AG$1001,0),1)&gt;=100000,INDEX($AN$1005:$BO$1005,1,MATCH(COLUMNS($AN$1006:BA1006),$AN$1006:$BO$1006,0))&gt;=100000), " ",IF(INDEX($AN$2:$BO$1001,MATCH(ROWS($AG$2:AG91),$AG$2:$AG$1001,0),MATCH(COLUMNS($AN$1006:BA1006),$AN$1006:$BO$1006,0)), HYPERLINK("#",""), HYPERLINK(CONCATENATE("#Metadata!", ADDRESS(INDEX($AI$2:$AI$1001,MATCH(ROWS($AG$2:AG91),$AG$2:$AG$1001,0),0), INDEX($AN$1004:$BO$1004,1,MATCH(COLUMNS($AN$1006:BA1006),$AN$1006:$BO$1006,0)))),"Fix")))</f>
        <v>0</v>
      </c>
      <c r="P91" s="4">
        <f>IF(OR(INDEX($AH$2:$AH$1001,MATCH(ROWS($AG$2:AG91),$AG$2:$AG$1001,0),1)&gt;=100000,INDEX($AN$1005:$BO$1005,1,MATCH(COLUMNS($AN$1006:BB1006),$AN$1006:$BO$1006,0))&gt;=100000), " ",IF(INDEX($AN$2:$BO$1001,MATCH(ROWS($AG$2:AG91),$AG$2:$AG$1001,0),MATCH(COLUMNS($AN$1006:BB1006),$AN$1006:$BO$1006,0)), HYPERLINK("#",""), HYPERLINK(CONCATENATE("#Metadata!", ADDRESS(INDEX($AI$2:$AI$1001,MATCH(ROWS($AG$2:AG91),$AG$2:$AG$1001,0),0), INDEX($AN$1004:$BO$1004,1,MATCH(COLUMNS($AN$1006:BB1006),$AN$1006:$BO$1006,0)))),"Fix")))</f>
        <v>0</v>
      </c>
      <c r="Q91" s="4">
        <f>IF(OR(INDEX($AH$2:$AH$1001,MATCH(ROWS($AG$2:AG91),$AG$2:$AG$1001,0),1)&gt;=100000,INDEX($AN$1005:$BO$1005,1,MATCH(COLUMNS($AN$1006:BC1006),$AN$1006:$BO$1006,0))&gt;=100000), " ",IF(INDEX($AN$2:$BO$1001,MATCH(ROWS($AG$2:AG91),$AG$2:$AG$1001,0),MATCH(COLUMNS($AN$1006:BC1006),$AN$1006:$BO$1006,0)), HYPERLINK("#",""), HYPERLINK(CONCATENATE("#Metadata!", ADDRESS(INDEX($AI$2:$AI$1001,MATCH(ROWS($AG$2:AG91),$AG$2:$AG$1001,0),0), INDEX($AN$1004:$BO$1004,1,MATCH(COLUMNS($AN$1006:BC1006),$AN$1006:$BO$1006,0)))),"Fix")))</f>
        <v>0</v>
      </c>
      <c r="R91" s="4">
        <f>IF(OR(INDEX($AH$2:$AH$1001,MATCH(ROWS($AG$2:AG91),$AG$2:$AG$1001,0),1)&gt;=100000,INDEX($AN$1005:$BO$1005,1,MATCH(COLUMNS($AN$1006:BD1006),$AN$1006:$BO$1006,0))&gt;=100000), " ",IF(INDEX($AN$2:$BO$1001,MATCH(ROWS($AG$2:AG91),$AG$2:$AG$1001,0),MATCH(COLUMNS($AN$1006:BD1006),$AN$1006:$BO$1006,0)), HYPERLINK("#",""), HYPERLINK(CONCATENATE("#Metadata!", ADDRESS(INDEX($AI$2:$AI$1001,MATCH(ROWS($AG$2:AG91),$AG$2:$AG$1001,0),0), INDEX($AN$1004:$BO$1004,1,MATCH(COLUMNS($AN$1006:BD1006),$AN$1006:$BO$1006,0)))),"Fix")))</f>
        <v>0</v>
      </c>
      <c r="S91" s="4">
        <f>IF(OR(INDEX($AH$2:$AH$1001,MATCH(ROWS($AG$2:AG91),$AG$2:$AG$1001,0),1)&gt;=100000,INDEX($AN$1005:$BO$1005,1,MATCH(COLUMNS($AN$1006:BE1006),$AN$1006:$BO$1006,0))&gt;=100000), " ",IF(INDEX($AN$2:$BO$1001,MATCH(ROWS($AG$2:AG91),$AG$2:$AG$1001,0),MATCH(COLUMNS($AN$1006:BE1006),$AN$1006:$BO$1006,0)), HYPERLINK("#",""), HYPERLINK(CONCATENATE("#Metadata!", ADDRESS(INDEX($AI$2:$AI$1001,MATCH(ROWS($AG$2:AG91),$AG$2:$AG$1001,0),0), INDEX($AN$1004:$BO$1004,1,MATCH(COLUMNS($AN$1006:BE1006),$AN$1006:$BO$1006,0)))),"Fix")))</f>
        <v>0</v>
      </c>
      <c r="T91" s="4">
        <f>IF(OR(INDEX($AH$2:$AH$1001,MATCH(ROWS($AG$2:AG91),$AG$2:$AG$1001,0),1)&gt;=100000,INDEX($AN$1005:$BO$1005,1,MATCH(COLUMNS($AN$1006:BF1006),$AN$1006:$BO$1006,0))&gt;=100000), " ",IF(INDEX($AN$2:$BO$1001,MATCH(ROWS($AG$2:AG91),$AG$2:$AG$1001,0),MATCH(COLUMNS($AN$1006:BF1006),$AN$1006:$BO$1006,0)), HYPERLINK("#",""), HYPERLINK(CONCATENATE("#Metadata!", ADDRESS(INDEX($AI$2:$AI$1001,MATCH(ROWS($AG$2:AG91),$AG$2:$AG$1001,0),0), INDEX($AN$1004:$BO$1004,1,MATCH(COLUMNS($AN$1006:BF1006),$AN$1006:$BO$1006,0)))),"Fix")))</f>
        <v>0</v>
      </c>
      <c r="U91" s="4">
        <f>IF(OR(INDEX($AH$2:$AH$1001,MATCH(ROWS($AG$2:AG91),$AG$2:$AG$1001,0),1)&gt;=100000,INDEX($AN$1005:$BO$1005,1,MATCH(COLUMNS($AN$1006:BG1006),$AN$1006:$BO$1006,0))&gt;=100000), " ",IF(INDEX($AN$2:$BO$1001,MATCH(ROWS($AG$2:AG91),$AG$2:$AG$1001,0),MATCH(COLUMNS($AN$1006:BG1006),$AN$1006:$BO$1006,0)), HYPERLINK("#",""), HYPERLINK(CONCATENATE("#Metadata!", ADDRESS(INDEX($AI$2:$AI$1001,MATCH(ROWS($AG$2:AG91),$AG$2:$AG$1001,0),0), INDEX($AN$1004:$BO$1004,1,MATCH(COLUMNS($AN$1006:BG1006),$AN$1006:$BO$1006,0)))),"Fix")))</f>
        <v>0</v>
      </c>
      <c r="V91" s="4">
        <f>IF(OR(INDEX($AH$2:$AH$1001,MATCH(ROWS($AG$2:AG91),$AG$2:$AG$1001,0),1)&gt;=100000,INDEX($AN$1005:$BO$1005,1,MATCH(COLUMNS($AN$1006:BH1006),$AN$1006:$BO$1006,0))&gt;=100000), " ",IF(INDEX($AN$2:$BO$1001,MATCH(ROWS($AG$2:AG91),$AG$2:$AG$1001,0),MATCH(COLUMNS($AN$1006:BH1006),$AN$1006:$BO$1006,0)), HYPERLINK("#",""), HYPERLINK(CONCATENATE("#Metadata!", ADDRESS(INDEX($AI$2:$AI$1001,MATCH(ROWS($AG$2:AG91),$AG$2:$AG$1001,0),0), INDEX($AN$1004:$BO$1004,1,MATCH(COLUMNS($AN$1006:BH1006),$AN$1006:$BO$1006,0)))),"Fix")))</f>
        <v>0</v>
      </c>
      <c r="W91" s="4">
        <f>IF(OR(INDEX($AH$2:$AH$1001,MATCH(ROWS($AG$2:AG91),$AG$2:$AG$1001,0),1)&gt;=100000,INDEX($AN$1005:$BO$1005,1,MATCH(COLUMNS($AN$1006:BI1006),$AN$1006:$BO$1006,0))&gt;=100000), " ",IF(INDEX($AN$2:$BO$1001,MATCH(ROWS($AG$2:AG91),$AG$2:$AG$1001,0),MATCH(COLUMNS($AN$1006:BI1006),$AN$1006:$BO$1006,0)), HYPERLINK("#",""), HYPERLINK(CONCATENATE("#Metadata!", ADDRESS(INDEX($AI$2:$AI$1001,MATCH(ROWS($AG$2:AG91),$AG$2:$AG$1001,0),0), INDEX($AN$1004:$BO$1004,1,MATCH(COLUMNS($AN$1006:BI1006),$AN$1006:$BO$1006,0)))),"Fix")))</f>
        <v>0</v>
      </c>
      <c r="X91" s="4">
        <f>IF(OR(INDEX($AH$2:$AH$1001,MATCH(ROWS($AG$2:AG91),$AG$2:$AG$1001,0),1)&gt;=100000,INDEX($AN$1005:$BO$1005,1,MATCH(COLUMNS($AN$1006:BJ1006),$AN$1006:$BO$1006,0))&gt;=100000), " ",IF(INDEX($AN$2:$BO$1001,MATCH(ROWS($AG$2:AG91),$AG$2:$AG$1001,0),MATCH(COLUMNS($AN$1006:BJ1006),$AN$1006:$BO$1006,0)), HYPERLINK("#",""), HYPERLINK(CONCATENATE("#Metadata!", ADDRESS(INDEX($AI$2:$AI$1001,MATCH(ROWS($AG$2:AG91),$AG$2:$AG$1001,0),0), INDEX($AN$1004:$BO$1004,1,MATCH(COLUMNS($AN$1006:BJ1006),$AN$1006:$BO$1006,0)))),"Fix")))</f>
        <v>0</v>
      </c>
      <c r="Y91" s="4">
        <f>IF(OR(INDEX($AH$2:$AH$1001,MATCH(ROWS($AG$2:AG91),$AG$2:$AG$1001,0),1)&gt;=100000,INDEX($AN$1005:$BO$1005,1,MATCH(COLUMNS($AN$1006:BK1006),$AN$1006:$BO$1006,0))&gt;=100000), " ",IF(INDEX($AN$2:$BO$1001,MATCH(ROWS($AG$2:AG91),$AG$2:$AG$1001,0),MATCH(COLUMNS($AN$1006:BK1006),$AN$1006:$BO$1006,0)), HYPERLINK("#",""), HYPERLINK(CONCATENATE("#Metadata!", ADDRESS(INDEX($AI$2:$AI$1001,MATCH(ROWS($AG$2:AG91),$AG$2:$AG$1001,0),0), INDEX($AN$1004:$BO$1004,1,MATCH(COLUMNS($AN$1006:BK1006),$AN$1006:$BO$1006,0)))),"Fix")))</f>
        <v>0</v>
      </c>
      <c r="Z91" s="4">
        <f>IF(OR(INDEX($AH$2:$AH$1001,MATCH(ROWS($AG$2:AG91),$AG$2:$AG$1001,0),1)&gt;=100000,INDEX($AN$1005:$BO$1005,1,MATCH(COLUMNS($AN$1006:BL1006),$AN$1006:$BO$1006,0))&gt;=100000), " ",IF(INDEX($AN$2:$BO$1001,MATCH(ROWS($AG$2:AG91),$AG$2:$AG$1001,0),MATCH(COLUMNS($AN$1006:BL1006),$AN$1006:$BO$1006,0)), HYPERLINK("#",""), HYPERLINK(CONCATENATE("#Metadata!", ADDRESS(INDEX($AI$2:$AI$1001,MATCH(ROWS($AG$2:AG91),$AG$2:$AG$1001,0),0), INDEX($AN$1004:$BO$1004,1,MATCH(COLUMNS($AN$1006:BL1006),$AN$1006:$BO$1006,0)))),"Fix")))</f>
        <v>0</v>
      </c>
      <c r="AA91" s="4">
        <f>IF(OR(INDEX($AH$2:$AH$1001,MATCH(ROWS($AG$2:AG91),$AG$2:$AG$1001,0),1)&gt;=100000,INDEX($AN$1005:$BO$1005,1,MATCH(COLUMNS($AN$1006:BM1006),$AN$1006:$BO$1006,0))&gt;=100000), " ",IF(INDEX($AN$2:$BO$1001,MATCH(ROWS($AG$2:AG91),$AG$2:$AG$1001,0),MATCH(COLUMNS($AN$1006:BM1006),$AN$1006:$BO$1006,0)), HYPERLINK("#",""), HYPERLINK(CONCATENATE("#Metadata!", ADDRESS(INDEX($AI$2:$AI$1001,MATCH(ROWS($AG$2:AG91),$AG$2:$AG$1001,0),0), INDEX($AN$1004:$BO$1004,1,MATCH(COLUMNS($AN$1006:BM1006),$AN$1006:$BO$1006,0)))),"Fix")))</f>
        <v>0</v>
      </c>
      <c r="AB91" s="4">
        <f>IF(OR(INDEX($AH$2:$AH$1001,MATCH(ROWS($AG$2:AG91),$AG$2:$AG$1001,0),1)&gt;=100000,INDEX($AN$1005:$BO$1005,1,MATCH(COLUMNS($AN$1006:BN1006),$AN$1006:$BO$1006,0))&gt;=100000), " ",IF(INDEX($AN$2:$BO$1001,MATCH(ROWS($AG$2:AG91),$AG$2:$AG$1001,0),MATCH(COLUMNS($AN$1006:BN1006),$AN$1006:$BO$1006,0)), HYPERLINK("#",""), HYPERLINK(CONCATENATE("#Metadata!", ADDRESS(INDEX($AI$2:$AI$1001,MATCH(ROWS($AG$2:AG91),$AG$2:$AG$1001,0),0), INDEX($AN$1004:$BO$1004,1,MATCH(COLUMNS($AN$1006:BN1006),$AN$1006:$BO$1006,0)))),"Fix")))</f>
        <v>0</v>
      </c>
      <c r="AC91" s="4">
        <f>IF(OR(INDEX($AH$2:$AH$1001,MATCH(ROWS($AG$2:AG91),$AG$2:$AG$1001,0),1)&gt;=100000,INDEX($AN$1005:$BO$1005,1,MATCH(COLUMNS($AN$1006:BO1006),$AN$1006:$BO$1006,0))&gt;=100000), " ",IF(INDEX($AN$2:$BO$1001,MATCH(ROWS($AG$2:AG91),$AG$2:$AG$1001,0),MATCH(COLUMNS($AN$1006:BO1006),$AN$1006:$BO$1006,0)), HYPERLINK("#",""), HYPERLINK(CONCATENATE("#Metadata!", ADDRESS(INDEX($AI$2:$AI$1001,MATCH(ROWS($AG$2:AG91),$AG$2:$AG$1001,0),0), INDEX($AN$1004:$BO$1004,1,MATCH(COLUMNS($AN$1006:BO1006),$AN$1006:$BO$1006,0)))),"Fix")))</f>
        <v>0</v>
      </c>
      <c r="AG91">
        <v>0</v>
      </c>
      <c r="AH91">
        <v>0</v>
      </c>
      <c r="AI91">
        <v>0</v>
      </c>
      <c r="AJ91">
        <f>IF(AK91,TRUE,AND(AN91:BO91))</f>
        <v>0</v>
      </c>
      <c r="AK91">
        <f>COUNTBLANK(Metadata!B91:AC91)=COLUMNS(Metadata!B91:AC91)</f>
        <v>0</v>
      </c>
      <c r="AL91">
        <v>0</v>
      </c>
      <c r="AN91">
        <f>AND(IF(Metadata!B91="",FALSE,TRUE),COUNTIF(Metadata!B:B, Metadata!B91) = 1,NOT(ISERROR(SUMPRODUCT(SEARCH(MID(Metadata!B91,ROW(INDIRECT("1:"&amp;LEN(Metadata!B91))), 1),"0123456789abcdefghijklmnopqrstuvwxyzABCDEFGHIJKLMNOPQRSTUVWXYZ.")))))</f>
        <v>0</v>
      </c>
      <c r="AO91">
        <f>IF(Metadata!C91="",FALSE,TRUE)</f>
        <v>0</v>
      </c>
      <c r="AP91">
        <f>IF(Metadata!D91="",FALSE,TRUE)</f>
        <v>0</v>
      </c>
      <c r="AQ91">
        <f>OR(AND(IF(Metadata!E91="",FALSE,TRUE),OR(exact(Metadata!E91,"not collected"),exact(Metadata!E91,"not provided"),exact(Metadata!E91,"restricted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R91">
        <f>IF(Metadata!F91="",FALSE,TRUE)</f>
        <v>0</v>
      </c>
      <c r="AS91">
        <f>OR(AND(IF(Metadata!G91="",FALSE,TRUE),OR(exact(Metadata!G91,"not collected"),exact(Metadata!G91,"not provided"))),AND(IF(Metadata!G91="",FALSE,TRUE),OR(exact(Metadata!G91,"TRUE"),exact(Metadata!G91,"FALSE"))))</f>
        <v>0</v>
      </c>
      <c r="AT91">
        <f>OR(AND(IF(Metadata!H91="",FALSE,TRUE),OR(exact(Metadata!H91,"not collected"),exact(Metadata!H91,"not provided"),exact(Metadata!H91,"restricted access"))),AND(IF(Metadata!H91="",FALSE,ISNUMBER(VALUE(Metadata!H91))),Metadata!H91&gt;=-413.0))</f>
        <v>0</v>
      </c>
      <c r="AU91">
        <f>AND(IF(Metadata!I91="",FALSE,TRUE),exact(Metadata!I91,"meters"))</f>
        <v>0</v>
      </c>
      <c r="AV91">
        <f>AND(IF(Metadata!J91="",FALSE,TRUE),OR(exact(Metadata!J91,"Host-associated"),exact(Metadata!J91,"Free-living")))</f>
        <v>0</v>
      </c>
      <c r="AW91">
        <f>AND(IF(Metadata!K91="",FALSE,TRUE),OR(exact(Metadata!K91,"Animal"),exact(Metadata!K91,"Fungus"),exact(Metadata!K91,"Plant"),exact(Metadata!K91,"Saline"),exact(Metadata!K91,"Non-saline")))</f>
        <v>0</v>
      </c>
      <c r="AX91">
        <f>AND(IF(Metadata!L91="",FALSE,TRUE),OR(exact(Metadata!L91,"Plant secretion"),exact(Metadata!L91,"Plant rhizosphere"),exact(Metadata!L91,"Plant surface"),exact(Metadata!L91,"Plant corpus"),exact(Metadata!L91,"Fungus surface"),exact(Metadata!L91,"Fungus corpus"),exact(Metadata!L91,"Animal surface"),exact(Metadata!L91,"Animal proximal gut"),exact(Metadata!L91,"Animal corpus"),exact(Metadata!L91,"Animal distal gut"),exact(Metadata!L91,"Animal secretion"),exact(Metadata!L91,"Sub-surface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Y91">
        <f>IF(Metadata!M91="",FALSE,TRUE)</f>
        <v>0</v>
      </c>
      <c r="AZ91">
        <f>IF(Metadata!N91="",FALSE,TRUE)</f>
        <v>0</v>
      </c>
      <c r="BA91">
        <f>IF(Metadata!O91="",FALSE,TRUE)</f>
        <v>0</v>
      </c>
      <c r="BB91">
        <f>OR(AND(IF(Metadata!P91="",FALSE,TRUE),OR(exact(Metadata!P91,"not collected"),exact(Metadata!P91,"not provided"),exact(Metadata!P91,"restricted access"))),AND(IF(Metadata!P91="",FALSE,TRUE),OR(exact(Metadata!P91,"air"),exact(Metadata!P91,"built environment"),exact(Metadata!P91,"host-associated"),exact(Metadata!P91,"human-associated"),exact(Metadata!P91,"human-skin"),exact(Metadata!P91,"human-oral"),exact(Metadata!P91,"human-gut"),exact(Metadata!P91,"human-vaginal"),exact(Metadata!P91,"microbial mat/biofilm"),exact(Metadata!P91,"misc environment"),exact(Metadata!P91,"plant-associated"),exact(Metadata!P91,"sediment"),exact(Metadata!P91,"soil"),exact(Metadata!P91,"wastewater/sludge"),exact(Metadata!P91,"water"))))</f>
        <v>0</v>
      </c>
      <c r="BC91">
        <f>IF(Metadata!Q91="",FALSE,TRUE)</f>
        <v>0</v>
      </c>
      <c r="BD91">
        <f>IF(Metadata!R91="",FALSE,TRUE)</f>
        <v>0</v>
      </c>
      <c r="BE91">
        <f>OR(AND(IF(Metadata!S91="",FALSE,TRUE),OR(exact(Metadata!S91,"not collected"),exact(Metadata!S91,"not provided"),exact(Metadata!S91,"restricted access"))),AND(IF(Metadata!S91="",FALSE,ISNUMBER(VALUE(Metadata!S91))),Metadata!S91&gt;=-90.00,Metadata!S91&lt;=90.00))</f>
        <v>0</v>
      </c>
      <c r="BF91">
        <f>AND(IF(Metadata!T91="",FALSE,TRUE),exact(Metadata!T91,"Decimal degrees"))</f>
        <v>0</v>
      </c>
      <c r="BG91">
        <f>OR(AND(IF(Metadata!U91="",FALSE,TRUE),OR(exact(Metadata!U91,"not collected"),exact(Metadata!U91,"not provided"),exact(Metadata!U91,"restricted access"))),AND(IF(Metadata!U91="",FALSE,ISNUMBER(VALUE(Metadata!U91))),Metadata!U91&gt;=-180.00,Metadata!U91&lt;=180.00))</f>
        <v>0</v>
      </c>
      <c r="BH91">
        <f>AND(IF(Metadata!V91="",FALSE,TRUE),exact(Metadata!V91,"Decimal degrees"))</f>
        <v>0</v>
      </c>
      <c r="BI91">
        <f>IF(Metadata!W91="",FALSE,TRUE)</f>
        <v>0</v>
      </c>
      <c r="BJ91">
        <f>OR(AND(IF(Metadata!X91="",FALSE,TRUE),OR(exact(Metadata!X91,"not collected"),exact(Metadata!X91,"not provided"),exact(Metadata!X91,"restricted access"))),AND(IF(Metadata!X91="",FALSE,TRUE),OR(exact(Metadata!X91,"TRUE"),exact(Metadata!X91,"FALSE"))))</f>
        <v>0</v>
      </c>
      <c r="BK91">
        <f>AND(IF(Metadata!Y91="",FALSE,TRUE),exact(Metadata!Y91,"other"))</f>
        <v>0</v>
      </c>
      <c r="BL91">
        <f>IF(Metadata!Z91="",FALSE,TRUE)</f>
        <v>0</v>
      </c>
      <c r="BM91">
        <f>OR(AND(IF(Metadata!AA91="",FALSE,TRUE),OR(exact(Metadata!AA91,"not collected"),exact(Metadata!AA91,"not provided"))),AND(IF(Metadata!AA91="",FALSE,IF(ISERROR(INT(Metadata!AA91)),FALSE,INT(Metadata!AA91)=Metadata!AA91)),Metadata!AA91&gt;0))</f>
        <v>0</v>
      </c>
      <c r="BN91">
        <f>AND(IF(Metadata!AB91="",FALSE,TRUE),exact(Metadata!AB91,"Not applicable"))</f>
        <v>0</v>
      </c>
      <c r="BO91">
        <f>IF(Metadata!AC91="",FALSE,TRUE)</f>
        <v>0</v>
      </c>
    </row>
    <row r="92" spans="1:67">
      <c r="A92" s="5">
        <f>IF(B92=" "," ",HYPERLINK(CONCATENATE("#metadata!",ADDRESS(INDEX($AI$2:$AI$1001,MATCH(ROWS($AG$2:AG92),$AG$2:$AG$1001,0),0),1)),INDEX($AL$2:$AL$1001,MATCH(ROWS($AG$2:AG92),$AG$2:$AG$1001,0),0)))</f>
        <v>0</v>
      </c>
      <c r="B92" s="4">
        <f>IF(OR(INDEX($AH$2:$AH$1001,MATCH(ROWS($AG$2:AG92),$AG$2:$AG$1001,0),1)&gt;=100000,INDEX($AN$1005:$BO$1005,1,MATCH(COLUMNS($AN$1006:AN1006),$AN$1006:$BO$1006,0))&gt;=100000), " ",IF(INDEX($AN$2:$BO$1001,MATCH(ROWS($AG$2:AG92),$AG$2:$AG$1001,0),MATCH(COLUMNS($AN$1006:AN1006),$AN$1006:$BO$1006,0)), HYPERLINK("#",""), HYPERLINK(CONCATENATE("#Metadata!", ADDRESS(INDEX($AI$2:$AI$1001,MATCH(ROWS($AG$2:AG92),$AG$2:$AG$1001,0),0), INDEX($AN$1004:$BO$1004,1,MATCH(COLUMNS($AN$1006:AN1006),$AN$1006:$BO$1006,0)))),"Fix")))</f>
        <v>0</v>
      </c>
      <c r="C92" s="4">
        <f>IF(OR(INDEX($AH$2:$AH$1001,MATCH(ROWS($AG$2:AG92),$AG$2:$AG$1001,0),1)&gt;=100000,INDEX($AN$1005:$BO$1005,1,MATCH(COLUMNS($AN$1006:AO1006),$AN$1006:$BO$1006,0))&gt;=100000), " ",IF(INDEX($AN$2:$BO$1001,MATCH(ROWS($AG$2:AG92),$AG$2:$AG$1001,0),MATCH(COLUMNS($AN$1006:AO1006),$AN$1006:$BO$1006,0)), HYPERLINK("#",""), HYPERLINK(CONCATENATE("#Metadata!", ADDRESS(INDEX($AI$2:$AI$1001,MATCH(ROWS($AG$2:AG92),$AG$2:$AG$1001,0),0), INDEX($AN$1004:$BO$1004,1,MATCH(COLUMNS($AN$1006:AO1006),$AN$1006:$BO$1006,0)))),"Fix")))</f>
        <v>0</v>
      </c>
      <c r="D92" s="4">
        <f>IF(OR(INDEX($AH$2:$AH$1001,MATCH(ROWS($AG$2:AG92),$AG$2:$AG$1001,0),1)&gt;=100000,INDEX($AN$1005:$BO$1005,1,MATCH(COLUMNS($AN$1006:AP1006),$AN$1006:$BO$1006,0))&gt;=100000), " ",IF(INDEX($AN$2:$BO$1001,MATCH(ROWS($AG$2:AG92),$AG$2:$AG$1001,0),MATCH(COLUMNS($AN$1006:AP1006),$AN$1006:$BO$1006,0)), HYPERLINK("#",""), HYPERLINK(CONCATENATE("#Metadata!", ADDRESS(INDEX($AI$2:$AI$1001,MATCH(ROWS($AG$2:AG92),$AG$2:$AG$1001,0),0), INDEX($AN$1004:$BO$1004,1,MATCH(COLUMNS($AN$1006:AP1006),$AN$1006:$BO$1006,0)))),"Fix")))</f>
        <v>0</v>
      </c>
      <c r="E92" s="4">
        <f>IF(OR(INDEX($AH$2:$AH$1001,MATCH(ROWS($AG$2:AG92),$AG$2:$AG$1001,0),1)&gt;=100000,INDEX($AN$1005:$BO$1005,1,MATCH(COLUMNS($AN$1006:AQ1006),$AN$1006:$BO$1006,0))&gt;=100000), " ",IF(INDEX($AN$2:$BO$1001,MATCH(ROWS($AG$2:AG92),$AG$2:$AG$1001,0),MATCH(COLUMNS($AN$1006:AQ1006),$AN$1006:$BO$1006,0)), HYPERLINK("#",""), HYPERLINK(CONCATENATE("#Metadata!", ADDRESS(INDEX($AI$2:$AI$1001,MATCH(ROWS($AG$2:AG92),$AG$2:$AG$1001,0),0), INDEX($AN$1004:$BO$1004,1,MATCH(COLUMNS($AN$1006:AQ1006),$AN$1006:$BO$1006,0)))),"Fix")))</f>
        <v>0</v>
      </c>
      <c r="F92" s="4">
        <f>IF(OR(INDEX($AH$2:$AH$1001,MATCH(ROWS($AG$2:AG92),$AG$2:$AG$1001,0),1)&gt;=100000,INDEX($AN$1005:$BO$1005,1,MATCH(COLUMNS($AN$1006:AR1006),$AN$1006:$BO$1006,0))&gt;=100000), " ",IF(INDEX($AN$2:$BO$1001,MATCH(ROWS($AG$2:AG92),$AG$2:$AG$1001,0),MATCH(COLUMNS($AN$1006:AR1006),$AN$1006:$BO$1006,0)), HYPERLINK("#",""), HYPERLINK(CONCATENATE("#Metadata!", ADDRESS(INDEX($AI$2:$AI$1001,MATCH(ROWS($AG$2:AG92),$AG$2:$AG$1001,0),0), INDEX($AN$1004:$BO$1004,1,MATCH(COLUMNS($AN$1006:AR1006),$AN$1006:$BO$1006,0)))),"Fix")))</f>
        <v>0</v>
      </c>
      <c r="G92" s="4">
        <f>IF(OR(INDEX($AH$2:$AH$1001,MATCH(ROWS($AG$2:AG92),$AG$2:$AG$1001,0),1)&gt;=100000,INDEX($AN$1005:$BO$1005,1,MATCH(COLUMNS($AN$1006:AS1006),$AN$1006:$BO$1006,0))&gt;=100000), " ",IF(INDEX($AN$2:$BO$1001,MATCH(ROWS($AG$2:AG92),$AG$2:$AG$1001,0),MATCH(COLUMNS($AN$1006:AS1006),$AN$1006:$BO$1006,0)), HYPERLINK("#",""), HYPERLINK(CONCATENATE("#Metadata!", ADDRESS(INDEX($AI$2:$AI$1001,MATCH(ROWS($AG$2:AG92),$AG$2:$AG$1001,0),0), INDEX($AN$1004:$BO$1004,1,MATCH(COLUMNS($AN$1006:AS1006),$AN$1006:$BO$1006,0)))),"Fix")))</f>
        <v>0</v>
      </c>
      <c r="H92" s="4">
        <f>IF(OR(INDEX($AH$2:$AH$1001,MATCH(ROWS($AG$2:AG92),$AG$2:$AG$1001,0),1)&gt;=100000,INDEX($AN$1005:$BO$1005,1,MATCH(COLUMNS($AN$1006:AT1006),$AN$1006:$BO$1006,0))&gt;=100000), " ",IF(INDEX($AN$2:$BO$1001,MATCH(ROWS($AG$2:AG92),$AG$2:$AG$1001,0),MATCH(COLUMNS($AN$1006:AT1006),$AN$1006:$BO$1006,0)), HYPERLINK("#",""), HYPERLINK(CONCATENATE("#Metadata!", ADDRESS(INDEX($AI$2:$AI$1001,MATCH(ROWS($AG$2:AG92),$AG$2:$AG$1001,0),0), INDEX($AN$1004:$BO$1004,1,MATCH(COLUMNS($AN$1006:AT1006),$AN$1006:$BO$1006,0)))),"Fix")))</f>
        <v>0</v>
      </c>
      <c r="I92" s="4">
        <f>IF(OR(INDEX($AH$2:$AH$1001,MATCH(ROWS($AG$2:AG92),$AG$2:$AG$1001,0),1)&gt;=100000,INDEX($AN$1005:$BO$1005,1,MATCH(COLUMNS($AN$1006:AU1006),$AN$1006:$BO$1006,0))&gt;=100000), " ",IF(INDEX($AN$2:$BO$1001,MATCH(ROWS($AG$2:AG92),$AG$2:$AG$1001,0),MATCH(COLUMNS($AN$1006:AU1006),$AN$1006:$BO$1006,0)), HYPERLINK("#",""), HYPERLINK(CONCATENATE("#Metadata!", ADDRESS(INDEX($AI$2:$AI$1001,MATCH(ROWS($AG$2:AG92),$AG$2:$AG$1001,0),0), INDEX($AN$1004:$BO$1004,1,MATCH(COLUMNS($AN$1006:AU1006),$AN$1006:$BO$1006,0)))),"Fix")))</f>
        <v>0</v>
      </c>
      <c r="J92" s="4">
        <f>IF(OR(INDEX($AH$2:$AH$1001,MATCH(ROWS($AG$2:AG92),$AG$2:$AG$1001,0),1)&gt;=100000,INDEX($AN$1005:$BO$1005,1,MATCH(COLUMNS($AN$1006:AV1006),$AN$1006:$BO$1006,0))&gt;=100000), " ",IF(INDEX($AN$2:$BO$1001,MATCH(ROWS($AG$2:AG92),$AG$2:$AG$1001,0),MATCH(COLUMNS($AN$1006:AV1006),$AN$1006:$BO$1006,0)), HYPERLINK("#",""), HYPERLINK(CONCATENATE("#Metadata!", ADDRESS(INDEX($AI$2:$AI$1001,MATCH(ROWS($AG$2:AG92),$AG$2:$AG$1001,0),0), INDEX($AN$1004:$BO$1004,1,MATCH(COLUMNS($AN$1006:AV1006),$AN$1006:$BO$1006,0)))),"Fix")))</f>
        <v>0</v>
      </c>
      <c r="K92" s="4">
        <f>IF(OR(INDEX($AH$2:$AH$1001,MATCH(ROWS($AG$2:AG92),$AG$2:$AG$1001,0),1)&gt;=100000,INDEX($AN$1005:$BO$1005,1,MATCH(COLUMNS($AN$1006:AW1006),$AN$1006:$BO$1006,0))&gt;=100000), " ",IF(INDEX($AN$2:$BO$1001,MATCH(ROWS($AG$2:AG92),$AG$2:$AG$1001,0),MATCH(COLUMNS($AN$1006:AW1006),$AN$1006:$BO$1006,0)), HYPERLINK("#",""), HYPERLINK(CONCATENATE("#Metadata!", ADDRESS(INDEX($AI$2:$AI$1001,MATCH(ROWS($AG$2:AG92),$AG$2:$AG$1001,0),0), INDEX($AN$1004:$BO$1004,1,MATCH(COLUMNS($AN$1006:AW1006),$AN$1006:$BO$1006,0)))),"Fix")))</f>
        <v>0</v>
      </c>
      <c r="L92" s="4">
        <f>IF(OR(INDEX($AH$2:$AH$1001,MATCH(ROWS($AG$2:AG92),$AG$2:$AG$1001,0),1)&gt;=100000,INDEX($AN$1005:$BO$1005,1,MATCH(COLUMNS($AN$1006:AX1006),$AN$1006:$BO$1006,0))&gt;=100000), " ",IF(INDEX($AN$2:$BO$1001,MATCH(ROWS($AG$2:AG92),$AG$2:$AG$1001,0),MATCH(COLUMNS($AN$1006:AX1006),$AN$1006:$BO$1006,0)), HYPERLINK("#",""), HYPERLINK(CONCATENATE("#Metadata!", ADDRESS(INDEX($AI$2:$AI$1001,MATCH(ROWS($AG$2:AG92),$AG$2:$AG$1001,0),0), INDEX($AN$1004:$BO$1004,1,MATCH(COLUMNS($AN$1006:AX1006),$AN$1006:$BO$1006,0)))),"Fix")))</f>
        <v>0</v>
      </c>
      <c r="M92" s="4">
        <f>IF(OR(INDEX($AH$2:$AH$1001,MATCH(ROWS($AG$2:AG92),$AG$2:$AG$1001,0),1)&gt;=100000,INDEX($AN$1005:$BO$1005,1,MATCH(COLUMNS($AN$1006:AY1006),$AN$1006:$BO$1006,0))&gt;=100000), " ",IF(INDEX($AN$2:$BO$1001,MATCH(ROWS($AG$2:AG92),$AG$2:$AG$1001,0),MATCH(COLUMNS($AN$1006:AY1006),$AN$1006:$BO$1006,0)), HYPERLINK("#",""), HYPERLINK(CONCATENATE("#Metadata!", ADDRESS(INDEX($AI$2:$AI$1001,MATCH(ROWS($AG$2:AG92),$AG$2:$AG$1001,0),0), INDEX($AN$1004:$BO$1004,1,MATCH(COLUMNS($AN$1006:AY1006),$AN$1006:$BO$1006,0)))),"Fix")))</f>
        <v>0</v>
      </c>
      <c r="N92" s="4">
        <f>IF(OR(INDEX($AH$2:$AH$1001,MATCH(ROWS($AG$2:AG92),$AG$2:$AG$1001,0),1)&gt;=100000,INDEX($AN$1005:$BO$1005,1,MATCH(COLUMNS($AN$1006:AZ1006),$AN$1006:$BO$1006,0))&gt;=100000), " ",IF(INDEX($AN$2:$BO$1001,MATCH(ROWS($AG$2:AG92),$AG$2:$AG$1001,0),MATCH(COLUMNS($AN$1006:AZ1006),$AN$1006:$BO$1006,0)), HYPERLINK("#",""), HYPERLINK(CONCATENATE("#Metadata!", ADDRESS(INDEX($AI$2:$AI$1001,MATCH(ROWS($AG$2:AG92),$AG$2:$AG$1001,0),0), INDEX($AN$1004:$BO$1004,1,MATCH(COLUMNS($AN$1006:AZ1006),$AN$1006:$BO$1006,0)))),"Fix")))</f>
        <v>0</v>
      </c>
      <c r="O92" s="4">
        <f>IF(OR(INDEX($AH$2:$AH$1001,MATCH(ROWS($AG$2:AG92),$AG$2:$AG$1001,0),1)&gt;=100000,INDEX($AN$1005:$BO$1005,1,MATCH(COLUMNS($AN$1006:BA1006),$AN$1006:$BO$1006,0))&gt;=100000), " ",IF(INDEX($AN$2:$BO$1001,MATCH(ROWS($AG$2:AG92),$AG$2:$AG$1001,0),MATCH(COLUMNS($AN$1006:BA1006),$AN$1006:$BO$1006,0)), HYPERLINK("#",""), HYPERLINK(CONCATENATE("#Metadata!", ADDRESS(INDEX($AI$2:$AI$1001,MATCH(ROWS($AG$2:AG92),$AG$2:$AG$1001,0),0), INDEX($AN$1004:$BO$1004,1,MATCH(COLUMNS($AN$1006:BA1006),$AN$1006:$BO$1006,0)))),"Fix")))</f>
        <v>0</v>
      </c>
      <c r="P92" s="4">
        <f>IF(OR(INDEX($AH$2:$AH$1001,MATCH(ROWS($AG$2:AG92),$AG$2:$AG$1001,0),1)&gt;=100000,INDEX($AN$1005:$BO$1005,1,MATCH(COLUMNS($AN$1006:BB1006),$AN$1006:$BO$1006,0))&gt;=100000), " ",IF(INDEX($AN$2:$BO$1001,MATCH(ROWS($AG$2:AG92),$AG$2:$AG$1001,0),MATCH(COLUMNS($AN$1006:BB1006),$AN$1006:$BO$1006,0)), HYPERLINK("#",""), HYPERLINK(CONCATENATE("#Metadata!", ADDRESS(INDEX($AI$2:$AI$1001,MATCH(ROWS($AG$2:AG92),$AG$2:$AG$1001,0),0), INDEX($AN$1004:$BO$1004,1,MATCH(COLUMNS($AN$1006:BB1006),$AN$1006:$BO$1006,0)))),"Fix")))</f>
        <v>0</v>
      </c>
      <c r="Q92" s="4">
        <f>IF(OR(INDEX($AH$2:$AH$1001,MATCH(ROWS($AG$2:AG92),$AG$2:$AG$1001,0),1)&gt;=100000,INDEX($AN$1005:$BO$1005,1,MATCH(COLUMNS($AN$1006:BC1006),$AN$1006:$BO$1006,0))&gt;=100000), " ",IF(INDEX($AN$2:$BO$1001,MATCH(ROWS($AG$2:AG92),$AG$2:$AG$1001,0),MATCH(COLUMNS($AN$1006:BC1006),$AN$1006:$BO$1006,0)), HYPERLINK("#",""), HYPERLINK(CONCATENATE("#Metadata!", ADDRESS(INDEX($AI$2:$AI$1001,MATCH(ROWS($AG$2:AG92),$AG$2:$AG$1001,0),0), INDEX($AN$1004:$BO$1004,1,MATCH(COLUMNS($AN$1006:BC1006),$AN$1006:$BO$1006,0)))),"Fix")))</f>
        <v>0</v>
      </c>
      <c r="R92" s="4">
        <f>IF(OR(INDEX($AH$2:$AH$1001,MATCH(ROWS($AG$2:AG92),$AG$2:$AG$1001,0),1)&gt;=100000,INDEX($AN$1005:$BO$1005,1,MATCH(COLUMNS($AN$1006:BD1006),$AN$1006:$BO$1006,0))&gt;=100000), " ",IF(INDEX($AN$2:$BO$1001,MATCH(ROWS($AG$2:AG92),$AG$2:$AG$1001,0),MATCH(COLUMNS($AN$1006:BD1006),$AN$1006:$BO$1006,0)), HYPERLINK("#",""), HYPERLINK(CONCATENATE("#Metadata!", ADDRESS(INDEX($AI$2:$AI$1001,MATCH(ROWS($AG$2:AG92),$AG$2:$AG$1001,0),0), INDEX($AN$1004:$BO$1004,1,MATCH(COLUMNS($AN$1006:BD1006),$AN$1006:$BO$1006,0)))),"Fix")))</f>
        <v>0</v>
      </c>
      <c r="S92" s="4">
        <f>IF(OR(INDEX($AH$2:$AH$1001,MATCH(ROWS($AG$2:AG92),$AG$2:$AG$1001,0),1)&gt;=100000,INDEX($AN$1005:$BO$1005,1,MATCH(COLUMNS($AN$1006:BE1006),$AN$1006:$BO$1006,0))&gt;=100000), " ",IF(INDEX($AN$2:$BO$1001,MATCH(ROWS($AG$2:AG92),$AG$2:$AG$1001,0),MATCH(COLUMNS($AN$1006:BE1006),$AN$1006:$BO$1006,0)), HYPERLINK("#",""), HYPERLINK(CONCATENATE("#Metadata!", ADDRESS(INDEX($AI$2:$AI$1001,MATCH(ROWS($AG$2:AG92),$AG$2:$AG$1001,0),0), INDEX($AN$1004:$BO$1004,1,MATCH(COLUMNS($AN$1006:BE1006),$AN$1006:$BO$1006,0)))),"Fix")))</f>
        <v>0</v>
      </c>
      <c r="T92" s="4">
        <f>IF(OR(INDEX($AH$2:$AH$1001,MATCH(ROWS($AG$2:AG92),$AG$2:$AG$1001,0),1)&gt;=100000,INDEX($AN$1005:$BO$1005,1,MATCH(COLUMNS($AN$1006:BF1006),$AN$1006:$BO$1006,0))&gt;=100000), " ",IF(INDEX($AN$2:$BO$1001,MATCH(ROWS($AG$2:AG92),$AG$2:$AG$1001,0),MATCH(COLUMNS($AN$1006:BF1006),$AN$1006:$BO$1006,0)), HYPERLINK("#",""), HYPERLINK(CONCATENATE("#Metadata!", ADDRESS(INDEX($AI$2:$AI$1001,MATCH(ROWS($AG$2:AG92),$AG$2:$AG$1001,0),0), INDEX($AN$1004:$BO$1004,1,MATCH(COLUMNS($AN$1006:BF1006),$AN$1006:$BO$1006,0)))),"Fix")))</f>
        <v>0</v>
      </c>
      <c r="U92" s="4">
        <f>IF(OR(INDEX($AH$2:$AH$1001,MATCH(ROWS($AG$2:AG92),$AG$2:$AG$1001,0),1)&gt;=100000,INDEX($AN$1005:$BO$1005,1,MATCH(COLUMNS($AN$1006:BG1006),$AN$1006:$BO$1006,0))&gt;=100000), " ",IF(INDEX($AN$2:$BO$1001,MATCH(ROWS($AG$2:AG92),$AG$2:$AG$1001,0),MATCH(COLUMNS($AN$1006:BG1006),$AN$1006:$BO$1006,0)), HYPERLINK("#",""), HYPERLINK(CONCATENATE("#Metadata!", ADDRESS(INDEX($AI$2:$AI$1001,MATCH(ROWS($AG$2:AG92),$AG$2:$AG$1001,0),0), INDEX($AN$1004:$BO$1004,1,MATCH(COLUMNS($AN$1006:BG1006),$AN$1006:$BO$1006,0)))),"Fix")))</f>
        <v>0</v>
      </c>
      <c r="V92" s="4">
        <f>IF(OR(INDEX($AH$2:$AH$1001,MATCH(ROWS($AG$2:AG92),$AG$2:$AG$1001,0),1)&gt;=100000,INDEX($AN$1005:$BO$1005,1,MATCH(COLUMNS($AN$1006:BH1006),$AN$1006:$BO$1006,0))&gt;=100000), " ",IF(INDEX($AN$2:$BO$1001,MATCH(ROWS($AG$2:AG92),$AG$2:$AG$1001,0),MATCH(COLUMNS($AN$1006:BH1006),$AN$1006:$BO$1006,0)), HYPERLINK("#",""), HYPERLINK(CONCATENATE("#Metadata!", ADDRESS(INDEX($AI$2:$AI$1001,MATCH(ROWS($AG$2:AG92),$AG$2:$AG$1001,0),0), INDEX($AN$1004:$BO$1004,1,MATCH(COLUMNS($AN$1006:BH1006),$AN$1006:$BO$1006,0)))),"Fix")))</f>
        <v>0</v>
      </c>
      <c r="W92" s="4">
        <f>IF(OR(INDEX($AH$2:$AH$1001,MATCH(ROWS($AG$2:AG92),$AG$2:$AG$1001,0),1)&gt;=100000,INDEX($AN$1005:$BO$1005,1,MATCH(COLUMNS($AN$1006:BI1006),$AN$1006:$BO$1006,0))&gt;=100000), " ",IF(INDEX($AN$2:$BO$1001,MATCH(ROWS($AG$2:AG92),$AG$2:$AG$1001,0),MATCH(COLUMNS($AN$1006:BI1006),$AN$1006:$BO$1006,0)), HYPERLINK("#",""), HYPERLINK(CONCATENATE("#Metadata!", ADDRESS(INDEX($AI$2:$AI$1001,MATCH(ROWS($AG$2:AG92),$AG$2:$AG$1001,0),0), INDEX($AN$1004:$BO$1004,1,MATCH(COLUMNS($AN$1006:BI1006),$AN$1006:$BO$1006,0)))),"Fix")))</f>
        <v>0</v>
      </c>
      <c r="X92" s="4">
        <f>IF(OR(INDEX($AH$2:$AH$1001,MATCH(ROWS($AG$2:AG92),$AG$2:$AG$1001,0),1)&gt;=100000,INDEX($AN$1005:$BO$1005,1,MATCH(COLUMNS($AN$1006:BJ1006),$AN$1006:$BO$1006,0))&gt;=100000), " ",IF(INDEX($AN$2:$BO$1001,MATCH(ROWS($AG$2:AG92),$AG$2:$AG$1001,0),MATCH(COLUMNS($AN$1006:BJ1006),$AN$1006:$BO$1006,0)), HYPERLINK("#",""), HYPERLINK(CONCATENATE("#Metadata!", ADDRESS(INDEX($AI$2:$AI$1001,MATCH(ROWS($AG$2:AG92),$AG$2:$AG$1001,0),0), INDEX($AN$1004:$BO$1004,1,MATCH(COLUMNS($AN$1006:BJ1006),$AN$1006:$BO$1006,0)))),"Fix")))</f>
        <v>0</v>
      </c>
      <c r="Y92" s="4">
        <f>IF(OR(INDEX($AH$2:$AH$1001,MATCH(ROWS($AG$2:AG92),$AG$2:$AG$1001,0),1)&gt;=100000,INDEX($AN$1005:$BO$1005,1,MATCH(COLUMNS($AN$1006:BK1006),$AN$1006:$BO$1006,0))&gt;=100000), " ",IF(INDEX($AN$2:$BO$1001,MATCH(ROWS($AG$2:AG92),$AG$2:$AG$1001,0),MATCH(COLUMNS($AN$1006:BK1006),$AN$1006:$BO$1006,0)), HYPERLINK("#",""), HYPERLINK(CONCATENATE("#Metadata!", ADDRESS(INDEX($AI$2:$AI$1001,MATCH(ROWS($AG$2:AG92),$AG$2:$AG$1001,0),0), INDEX($AN$1004:$BO$1004,1,MATCH(COLUMNS($AN$1006:BK1006),$AN$1006:$BO$1006,0)))),"Fix")))</f>
        <v>0</v>
      </c>
      <c r="Z92" s="4">
        <f>IF(OR(INDEX($AH$2:$AH$1001,MATCH(ROWS($AG$2:AG92),$AG$2:$AG$1001,0),1)&gt;=100000,INDEX($AN$1005:$BO$1005,1,MATCH(COLUMNS($AN$1006:BL1006),$AN$1006:$BO$1006,0))&gt;=100000), " ",IF(INDEX($AN$2:$BO$1001,MATCH(ROWS($AG$2:AG92),$AG$2:$AG$1001,0),MATCH(COLUMNS($AN$1006:BL1006),$AN$1006:$BO$1006,0)), HYPERLINK("#",""), HYPERLINK(CONCATENATE("#Metadata!", ADDRESS(INDEX($AI$2:$AI$1001,MATCH(ROWS($AG$2:AG92),$AG$2:$AG$1001,0),0), INDEX($AN$1004:$BO$1004,1,MATCH(COLUMNS($AN$1006:BL1006),$AN$1006:$BO$1006,0)))),"Fix")))</f>
        <v>0</v>
      </c>
      <c r="AA92" s="4">
        <f>IF(OR(INDEX($AH$2:$AH$1001,MATCH(ROWS($AG$2:AG92),$AG$2:$AG$1001,0),1)&gt;=100000,INDEX($AN$1005:$BO$1005,1,MATCH(COLUMNS($AN$1006:BM1006),$AN$1006:$BO$1006,0))&gt;=100000), " ",IF(INDEX($AN$2:$BO$1001,MATCH(ROWS($AG$2:AG92),$AG$2:$AG$1001,0),MATCH(COLUMNS($AN$1006:BM1006),$AN$1006:$BO$1006,0)), HYPERLINK("#",""), HYPERLINK(CONCATENATE("#Metadata!", ADDRESS(INDEX($AI$2:$AI$1001,MATCH(ROWS($AG$2:AG92),$AG$2:$AG$1001,0),0), INDEX($AN$1004:$BO$1004,1,MATCH(COLUMNS($AN$1006:BM1006),$AN$1006:$BO$1006,0)))),"Fix")))</f>
        <v>0</v>
      </c>
      <c r="AB92" s="4">
        <f>IF(OR(INDEX($AH$2:$AH$1001,MATCH(ROWS($AG$2:AG92),$AG$2:$AG$1001,0),1)&gt;=100000,INDEX($AN$1005:$BO$1005,1,MATCH(COLUMNS($AN$1006:BN1006),$AN$1006:$BO$1006,0))&gt;=100000), " ",IF(INDEX($AN$2:$BO$1001,MATCH(ROWS($AG$2:AG92),$AG$2:$AG$1001,0),MATCH(COLUMNS($AN$1006:BN1006),$AN$1006:$BO$1006,0)), HYPERLINK("#",""), HYPERLINK(CONCATENATE("#Metadata!", ADDRESS(INDEX($AI$2:$AI$1001,MATCH(ROWS($AG$2:AG92),$AG$2:$AG$1001,0),0), INDEX($AN$1004:$BO$1004,1,MATCH(COLUMNS($AN$1006:BN1006),$AN$1006:$BO$1006,0)))),"Fix")))</f>
        <v>0</v>
      </c>
      <c r="AC92" s="4">
        <f>IF(OR(INDEX($AH$2:$AH$1001,MATCH(ROWS($AG$2:AG92),$AG$2:$AG$1001,0),1)&gt;=100000,INDEX($AN$1005:$BO$1005,1,MATCH(COLUMNS($AN$1006:BO1006),$AN$1006:$BO$1006,0))&gt;=100000), " ",IF(INDEX($AN$2:$BO$1001,MATCH(ROWS($AG$2:AG92),$AG$2:$AG$1001,0),MATCH(COLUMNS($AN$1006:BO1006),$AN$1006:$BO$1006,0)), HYPERLINK("#",""), HYPERLINK(CONCATENATE("#Metadata!", ADDRESS(INDEX($AI$2:$AI$1001,MATCH(ROWS($AG$2:AG92),$AG$2:$AG$1001,0),0), INDEX($AN$1004:$BO$1004,1,MATCH(COLUMNS($AN$1006:BO1006),$AN$1006:$BO$1006,0)))),"Fix")))</f>
        <v>0</v>
      </c>
      <c r="AG92">
        <v>0</v>
      </c>
      <c r="AH92">
        <v>0</v>
      </c>
      <c r="AI92">
        <v>0</v>
      </c>
      <c r="AJ92">
        <f>IF(AK92,TRUE,AND(AN92:BO92))</f>
        <v>0</v>
      </c>
      <c r="AK92">
        <f>COUNTBLANK(Metadata!B92:AC92)=COLUMNS(Metadata!B92:AC92)</f>
        <v>0</v>
      </c>
      <c r="AL92">
        <v>0</v>
      </c>
      <c r="AN92">
        <f>AND(IF(Metadata!B92="",FALSE,TRUE),COUNTIF(Metadata!B:B, Metadata!B92) = 1,NOT(ISERROR(SUMPRODUCT(SEARCH(MID(Metadata!B92,ROW(INDIRECT("1:"&amp;LEN(Metadata!B92))), 1),"0123456789abcdefghijklmnopqrstuvwxyzABCDEFGHIJKLMNOPQRSTUVWXYZ.")))))</f>
        <v>0</v>
      </c>
      <c r="AO92">
        <f>IF(Metadata!C92="",FALSE,TRUE)</f>
        <v>0</v>
      </c>
      <c r="AP92">
        <f>IF(Metadata!D92="",FALSE,TRUE)</f>
        <v>0</v>
      </c>
      <c r="AQ92">
        <f>OR(AND(IF(Metadata!E92="",FALSE,TRUE),OR(exact(Metadata!E92,"not collected"),exact(Metadata!E92,"not provided"),exact(Metadata!E92,"restricted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R92">
        <f>IF(Metadata!F92="",FALSE,TRUE)</f>
        <v>0</v>
      </c>
      <c r="AS92">
        <f>OR(AND(IF(Metadata!G92="",FALSE,TRUE),OR(exact(Metadata!G92,"not collected"),exact(Metadata!G92,"not provided"))),AND(IF(Metadata!G92="",FALSE,TRUE),OR(exact(Metadata!G92,"TRUE"),exact(Metadata!G92,"FALSE"))))</f>
        <v>0</v>
      </c>
      <c r="AT92">
        <f>OR(AND(IF(Metadata!H92="",FALSE,TRUE),OR(exact(Metadata!H92,"not collected"),exact(Metadata!H92,"not provided"),exact(Metadata!H92,"restricted access"))),AND(IF(Metadata!H92="",FALSE,ISNUMBER(VALUE(Metadata!H92))),Metadata!H92&gt;=-413.0))</f>
        <v>0</v>
      </c>
      <c r="AU92">
        <f>AND(IF(Metadata!I92="",FALSE,TRUE),exact(Metadata!I92,"meters"))</f>
        <v>0</v>
      </c>
      <c r="AV92">
        <f>AND(IF(Metadata!J92="",FALSE,TRUE),OR(exact(Metadata!J92,"Host-associated"),exact(Metadata!J92,"Free-living")))</f>
        <v>0</v>
      </c>
      <c r="AW92">
        <f>AND(IF(Metadata!K92="",FALSE,TRUE),OR(exact(Metadata!K92,"Animal"),exact(Metadata!K92,"Fungus"),exact(Metadata!K92,"Plant"),exact(Metadata!K92,"Saline"),exact(Metadata!K92,"Non-saline")))</f>
        <v>0</v>
      </c>
      <c r="AX92">
        <f>AND(IF(Metadata!L92="",FALSE,TRUE),OR(exact(Metadata!L92,"Plant secretion"),exact(Metadata!L92,"Plant rhizosphere"),exact(Metadata!L92,"Plant surface"),exact(Metadata!L92,"Plant corpus"),exact(Metadata!L92,"Fungus surface"),exact(Metadata!L92,"Fungus corpus"),exact(Metadata!L92,"Animal surface"),exact(Metadata!L92,"Animal proximal gut"),exact(Metadata!L92,"Animal corpus"),exact(Metadata!L92,"Animal distal gut"),exact(Metadata!L92,"Animal secretion"),exact(Metadata!L92,"Sub-surface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Y92">
        <f>IF(Metadata!M92="",FALSE,TRUE)</f>
        <v>0</v>
      </c>
      <c r="AZ92">
        <f>IF(Metadata!N92="",FALSE,TRUE)</f>
        <v>0</v>
      </c>
      <c r="BA92">
        <f>IF(Metadata!O92="",FALSE,TRUE)</f>
        <v>0</v>
      </c>
      <c r="BB92">
        <f>OR(AND(IF(Metadata!P92="",FALSE,TRUE),OR(exact(Metadata!P92,"not collected"),exact(Metadata!P92,"not provided"),exact(Metadata!P92,"restricted access"))),AND(IF(Metadata!P92="",FALSE,TRUE),OR(exact(Metadata!P92,"air"),exact(Metadata!P92,"built environment"),exact(Metadata!P92,"host-associated"),exact(Metadata!P92,"human-associated"),exact(Metadata!P92,"human-skin"),exact(Metadata!P92,"human-oral"),exact(Metadata!P92,"human-gut"),exact(Metadata!P92,"human-vaginal"),exact(Metadata!P92,"microbial mat/biofilm"),exact(Metadata!P92,"misc environment"),exact(Metadata!P92,"plant-associated"),exact(Metadata!P92,"sediment"),exact(Metadata!P92,"soil"),exact(Metadata!P92,"wastewater/sludge"),exact(Metadata!P92,"water"))))</f>
        <v>0</v>
      </c>
      <c r="BC92">
        <f>IF(Metadata!Q92="",FALSE,TRUE)</f>
        <v>0</v>
      </c>
      <c r="BD92">
        <f>IF(Metadata!R92="",FALSE,TRUE)</f>
        <v>0</v>
      </c>
      <c r="BE92">
        <f>OR(AND(IF(Metadata!S92="",FALSE,TRUE),OR(exact(Metadata!S92,"not collected"),exact(Metadata!S92,"not provided"),exact(Metadata!S92,"restricted access"))),AND(IF(Metadata!S92="",FALSE,ISNUMBER(VALUE(Metadata!S92))),Metadata!S92&gt;=-90.00,Metadata!S92&lt;=90.00))</f>
        <v>0</v>
      </c>
      <c r="BF92">
        <f>AND(IF(Metadata!T92="",FALSE,TRUE),exact(Metadata!T92,"Decimal degrees"))</f>
        <v>0</v>
      </c>
      <c r="BG92">
        <f>OR(AND(IF(Metadata!U92="",FALSE,TRUE),OR(exact(Metadata!U92,"not collected"),exact(Metadata!U92,"not provided"),exact(Metadata!U92,"restricted access"))),AND(IF(Metadata!U92="",FALSE,ISNUMBER(VALUE(Metadata!U92))),Metadata!U92&gt;=-180.00,Metadata!U92&lt;=180.00))</f>
        <v>0</v>
      </c>
      <c r="BH92">
        <f>AND(IF(Metadata!V92="",FALSE,TRUE),exact(Metadata!V92,"Decimal degrees"))</f>
        <v>0</v>
      </c>
      <c r="BI92">
        <f>IF(Metadata!W92="",FALSE,TRUE)</f>
        <v>0</v>
      </c>
      <c r="BJ92">
        <f>OR(AND(IF(Metadata!X92="",FALSE,TRUE),OR(exact(Metadata!X92,"not collected"),exact(Metadata!X92,"not provided"),exact(Metadata!X92,"restricted access"))),AND(IF(Metadata!X92="",FALSE,TRUE),OR(exact(Metadata!X92,"TRUE"),exact(Metadata!X92,"FALSE"))))</f>
        <v>0</v>
      </c>
      <c r="BK92">
        <f>AND(IF(Metadata!Y92="",FALSE,TRUE),exact(Metadata!Y92,"other"))</f>
        <v>0</v>
      </c>
      <c r="BL92">
        <f>IF(Metadata!Z92="",FALSE,TRUE)</f>
        <v>0</v>
      </c>
      <c r="BM92">
        <f>OR(AND(IF(Metadata!AA92="",FALSE,TRUE),OR(exact(Metadata!AA92,"not collected"),exact(Metadata!AA92,"not provided"))),AND(IF(Metadata!AA92="",FALSE,IF(ISERROR(INT(Metadata!AA92)),FALSE,INT(Metadata!AA92)=Metadata!AA92)),Metadata!AA92&gt;0))</f>
        <v>0</v>
      </c>
      <c r="BN92">
        <f>AND(IF(Metadata!AB92="",FALSE,TRUE),exact(Metadata!AB92,"Not applicable"))</f>
        <v>0</v>
      </c>
      <c r="BO92">
        <f>IF(Metadata!AC92="",FALSE,TRUE)</f>
        <v>0</v>
      </c>
    </row>
    <row r="93" spans="1:67">
      <c r="A93" s="5">
        <f>IF(B93=" "," ",HYPERLINK(CONCATENATE("#metadata!",ADDRESS(INDEX($AI$2:$AI$1001,MATCH(ROWS($AG$2:AG93),$AG$2:$AG$1001,0),0),1)),INDEX($AL$2:$AL$1001,MATCH(ROWS($AG$2:AG93),$AG$2:$AG$1001,0),0)))</f>
        <v>0</v>
      </c>
      <c r="B93" s="4">
        <f>IF(OR(INDEX($AH$2:$AH$1001,MATCH(ROWS($AG$2:AG93),$AG$2:$AG$1001,0),1)&gt;=100000,INDEX($AN$1005:$BO$1005,1,MATCH(COLUMNS($AN$1006:AN1006),$AN$1006:$BO$1006,0))&gt;=100000), " ",IF(INDEX($AN$2:$BO$1001,MATCH(ROWS($AG$2:AG93),$AG$2:$AG$1001,0),MATCH(COLUMNS($AN$1006:AN1006),$AN$1006:$BO$1006,0)), HYPERLINK("#",""), HYPERLINK(CONCATENATE("#Metadata!", ADDRESS(INDEX($AI$2:$AI$1001,MATCH(ROWS($AG$2:AG93),$AG$2:$AG$1001,0),0), INDEX($AN$1004:$BO$1004,1,MATCH(COLUMNS($AN$1006:AN1006),$AN$1006:$BO$1006,0)))),"Fix")))</f>
        <v>0</v>
      </c>
      <c r="C93" s="4">
        <f>IF(OR(INDEX($AH$2:$AH$1001,MATCH(ROWS($AG$2:AG93),$AG$2:$AG$1001,0),1)&gt;=100000,INDEX($AN$1005:$BO$1005,1,MATCH(COLUMNS($AN$1006:AO1006),$AN$1006:$BO$1006,0))&gt;=100000), " ",IF(INDEX($AN$2:$BO$1001,MATCH(ROWS($AG$2:AG93),$AG$2:$AG$1001,0),MATCH(COLUMNS($AN$1006:AO1006),$AN$1006:$BO$1006,0)), HYPERLINK("#",""), HYPERLINK(CONCATENATE("#Metadata!", ADDRESS(INDEX($AI$2:$AI$1001,MATCH(ROWS($AG$2:AG93),$AG$2:$AG$1001,0),0), INDEX($AN$1004:$BO$1004,1,MATCH(COLUMNS($AN$1006:AO1006),$AN$1006:$BO$1006,0)))),"Fix")))</f>
        <v>0</v>
      </c>
      <c r="D93" s="4">
        <f>IF(OR(INDEX($AH$2:$AH$1001,MATCH(ROWS($AG$2:AG93),$AG$2:$AG$1001,0),1)&gt;=100000,INDEX($AN$1005:$BO$1005,1,MATCH(COLUMNS($AN$1006:AP1006),$AN$1006:$BO$1006,0))&gt;=100000), " ",IF(INDEX($AN$2:$BO$1001,MATCH(ROWS($AG$2:AG93),$AG$2:$AG$1001,0),MATCH(COLUMNS($AN$1006:AP1006),$AN$1006:$BO$1006,0)), HYPERLINK("#",""), HYPERLINK(CONCATENATE("#Metadata!", ADDRESS(INDEX($AI$2:$AI$1001,MATCH(ROWS($AG$2:AG93),$AG$2:$AG$1001,0),0), INDEX($AN$1004:$BO$1004,1,MATCH(COLUMNS($AN$1006:AP1006),$AN$1006:$BO$1006,0)))),"Fix")))</f>
        <v>0</v>
      </c>
      <c r="E93" s="4">
        <f>IF(OR(INDEX($AH$2:$AH$1001,MATCH(ROWS($AG$2:AG93),$AG$2:$AG$1001,0),1)&gt;=100000,INDEX($AN$1005:$BO$1005,1,MATCH(COLUMNS($AN$1006:AQ1006),$AN$1006:$BO$1006,0))&gt;=100000), " ",IF(INDEX($AN$2:$BO$1001,MATCH(ROWS($AG$2:AG93),$AG$2:$AG$1001,0),MATCH(COLUMNS($AN$1006:AQ1006),$AN$1006:$BO$1006,0)), HYPERLINK("#",""), HYPERLINK(CONCATENATE("#Metadata!", ADDRESS(INDEX($AI$2:$AI$1001,MATCH(ROWS($AG$2:AG93),$AG$2:$AG$1001,0),0), INDEX($AN$1004:$BO$1004,1,MATCH(COLUMNS($AN$1006:AQ1006),$AN$1006:$BO$1006,0)))),"Fix")))</f>
        <v>0</v>
      </c>
      <c r="F93" s="4">
        <f>IF(OR(INDEX($AH$2:$AH$1001,MATCH(ROWS($AG$2:AG93),$AG$2:$AG$1001,0),1)&gt;=100000,INDEX($AN$1005:$BO$1005,1,MATCH(COLUMNS($AN$1006:AR1006),$AN$1006:$BO$1006,0))&gt;=100000), " ",IF(INDEX($AN$2:$BO$1001,MATCH(ROWS($AG$2:AG93),$AG$2:$AG$1001,0),MATCH(COLUMNS($AN$1006:AR1006),$AN$1006:$BO$1006,0)), HYPERLINK("#",""), HYPERLINK(CONCATENATE("#Metadata!", ADDRESS(INDEX($AI$2:$AI$1001,MATCH(ROWS($AG$2:AG93),$AG$2:$AG$1001,0),0), INDEX($AN$1004:$BO$1004,1,MATCH(COLUMNS($AN$1006:AR1006),$AN$1006:$BO$1006,0)))),"Fix")))</f>
        <v>0</v>
      </c>
      <c r="G93" s="4">
        <f>IF(OR(INDEX($AH$2:$AH$1001,MATCH(ROWS($AG$2:AG93),$AG$2:$AG$1001,0),1)&gt;=100000,INDEX($AN$1005:$BO$1005,1,MATCH(COLUMNS($AN$1006:AS1006),$AN$1006:$BO$1006,0))&gt;=100000), " ",IF(INDEX($AN$2:$BO$1001,MATCH(ROWS($AG$2:AG93),$AG$2:$AG$1001,0),MATCH(COLUMNS($AN$1006:AS1006),$AN$1006:$BO$1006,0)), HYPERLINK("#",""), HYPERLINK(CONCATENATE("#Metadata!", ADDRESS(INDEX($AI$2:$AI$1001,MATCH(ROWS($AG$2:AG93),$AG$2:$AG$1001,0),0), INDEX($AN$1004:$BO$1004,1,MATCH(COLUMNS($AN$1006:AS1006),$AN$1006:$BO$1006,0)))),"Fix")))</f>
        <v>0</v>
      </c>
      <c r="H93" s="4">
        <f>IF(OR(INDEX($AH$2:$AH$1001,MATCH(ROWS($AG$2:AG93),$AG$2:$AG$1001,0),1)&gt;=100000,INDEX($AN$1005:$BO$1005,1,MATCH(COLUMNS($AN$1006:AT1006),$AN$1006:$BO$1006,0))&gt;=100000), " ",IF(INDEX($AN$2:$BO$1001,MATCH(ROWS($AG$2:AG93),$AG$2:$AG$1001,0),MATCH(COLUMNS($AN$1006:AT1006),$AN$1006:$BO$1006,0)), HYPERLINK("#",""), HYPERLINK(CONCATENATE("#Metadata!", ADDRESS(INDEX($AI$2:$AI$1001,MATCH(ROWS($AG$2:AG93),$AG$2:$AG$1001,0),0), INDEX($AN$1004:$BO$1004,1,MATCH(COLUMNS($AN$1006:AT1006),$AN$1006:$BO$1006,0)))),"Fix")))</f>
        <v>0</v>
      </c>
      <c r="I93" s="4">
        <f>IF(OR(INDEX($AH$2:$AH$1001,MATCH(ROWS($AG$2:AG93),$AG$2:$AG$1001,0),1)&gt;=100000,INDEX($AN$1005:$BO$1005,1,MATCH(COLUMNS($AN$1006:AU1006),$AN$1006:$BO$1006,0))&gt;=100000), " ",IF(INDEX($AN$2:$BO$1001,MATCH(ROWS($AG$2:AG93),$AG$2:$AG$1001,0),MATCH(COLUMNS($AN$1006:AU1006),$AN$1006:$BO$1006,0)), HYPERLINK("#",""), HYPERLINK(CONCATENATE("#Metadata!", ADDRESS(INDEX($AI$2:$AI$1001,MATCH(ROWS($AG$2:AG93),$AG$2:$AG$1001,0),0), INDEX($AN$1004:$BO$1004,1,MATCH(COLUMNS($AN$1006:AU1006),$AN$1006:$BO$1006,0)))),"Fix")))</f>
        <v>0</v>
      </c>
      <c r="J93" s="4">
        <f>IF(OR(INDEX($AH$2:$AH$1001,MATCH(ROWS($AG$2:AG93),$AG$2:$AG$1001,0),1)&gt;=100000,INDEX($AN$1005:$BO$1005,1,MATCH(COLUMNS($AN$1006:AV1006),$AN$1006:$BO$1006,0))&gt;=100000), " ",IF(INDEX($AN$2:$BO$1001,MATCH(ROWS($AG$2:AG93),$AG$2:$AG$1001,0),MATCH(COLUMNS($AN$1006:AV1006),$AN$1006:$BO$1006,0)), HYPERLINK("#",""), HYPERLINK(CONCATENATE("#Metadata!", ADDRESS(INDEX($AI$2:$AI$1001,MATCH(ROWS($AG$2:AG93),$AG$2:$AG$1001,0),0), INDEX($AN$1004:$BO$1004,1,MATCH(COLUMNS($AN$1006:AV1006),$AN$1006:$BO$1006,0)))),"Fix")))</f>
        <v>0</v>
      </c>
      <c r="K93" s="4">
        <f>IF(OR(INDEX($AH$2:$AH$1001,MATCH(ROWS($AG$2:AG93),$AG$2:$AG$1001,0),1)&gt;=100000,INDEX($AN$1005:$BO$1005,1,MATCH(COLUMNS($AN$1006:AW1006),$AN$1006:$BO$1006,0))&gt;=100000), " ",IF(INDEX($AN$2:$BO$1001,MATCH(ROWS($AG$2:AG93),$AG$2:$AG$1001,0),MATCH(COLUMNS($AN$1006:AW1006),$AN$1006:$BO$1006,0)), HYPERLINK("#",""), HYPERLINK(CONCATENATE("#Metadata!", ADDRESS(INDEX($AI$2:$AI$1001,MATCH(ROWS($AG$2:AG93),$AG$2:$AG$1001,0),0), INDEX($AN$1004:$BO$1004,1,MATCH(COLUMNS($AN$1006:AW1006),$AN$1006:$BO$1006,0)))),"Fix")))</f>
        <v>0</v>
      </c>
      <c r="L93" s="4">
        <f>IF(OR(INDEX($AH$2:$AH$1001,MATCH(ROWS($AG$2:AG93),$AG$2:$AG$1001,0),1)&gt;=100000,INDEX($AN$1005:$BO$1005,1,MATCH(COLUMNS($AN$1006:AX1006),$AN$1006:$BO$1006,0))&gt;=100000), " ",IF(INDEX($AN$2:$BO$1001,MATCH(ROWS($AG$2:AG93),$AG$2:$AG$1001,0),MATCH(COLUMNS($AN$1006:AX1006),$AN$1006:$BO$1006,0)), HYPERLINK("#",""), HYPERLINK(CONCATENATE("#Metadata!", ADDRESS(INDEX($AI$2:$AI$1001,MATCH(ROWS($AG$2:AG93),$AG$2:$AG$1001,0),0), INDEX($AN$1004:$BO$1004,1,MATCH(COLUMNS($AN$1006:AX1006),$AN$1006:$BO$1006,0)))),"Fix")))</f>
        <v>0</v>
      </c>
      <c r="M93" s="4">
        <f>IF(OR(INDEX($AH$2:$AH$1001,MATCH(ROWS($AG$2:AG93),$AG$2:$AG$1001,0),1)&gt;=100000,INDEX($AN$1005:$BO$1005,1,MATCH(COLUMNS($AN$1006:AY1006),$AN$1006:$BO$1006,0))&gt;=100000), " ",IF(INDEX($AN$2:$BO$1001,MATCH(ROWS($AG$2:AG93),$AG$2:$AG$1001,0),MATCH(COLUMNS($AN$1006:AY1006),$AN$1006:$BO$1006,0)), HYPERLINK("#",""), HYPERLINK(CONCATENATE("#Metadata!", ADDRESS(INDEX($AI$2:$AI$1001,MATCH(ROWS($AG$2:AG93),$AG$2:$AG$1001,0),0), INDEX($AN$1004:$BO$1004,1,MATCH(COLUMNS($AN$1006:AY1006),$AN$1006:$BO$1006,0)))),"Fix")))</f>
        <v>0</v>
      </c>
      <c r="N93" s="4">
        <f>IF(OR(INDEX($AH$2:$AH$1001,MATCH(ROWS($AG$2:AG93),$AG$2:$AG$1001,0),1)&gt;=100000,INDEX($AN$1005:$BO$1005,1,MATCH(COLUMNS($AN$1006:AZ1006),$AN$1006:$BO$1006,0))&gt;=100000), " ",IF(INDEX($AN$2:$BO$1001,MATCH(ROWS($AG$2:AG93),$AG$2:$AG$1001,0),MATCH(COLUMNS($AN$1006:AZ1006),$AN$1006:$BO$1006,0)), HYPERLINK("#",""), HYPERLINK(CONCATENATE("#Metadata!", ADDRESS(INDEX($AI$2:$AI$1001,MATCH(ROWS($AG$2:AG93),$AG$2:$AG$1001,0),0), INDEX($AN$1004:$BO$1004,1,MATCH(COLUMNS($AN$1006:AZ1006),$AN$1006:$BO$1006,0)))),"Fix")))</f>
        <v>0</v>
      </c>
      <c r="O93" s="4">
        <f>IF(OR(INDEX($AH$2:$AH$1001,MATCH(ROWS($AG$2:AG93),$AG$2:$AG$1001,0),1)&gt;=100000,INDEX($AN$1005:$BO$1005,1,MATCH(COLUMNS($AN$1006:BA1006),$AN$1006:$BO$1006,0))&gt;=100000), " ",IF(INDEX($AN$2:$BO$1001,MATCH(ROWS($AG$2:AG93),$AG$2:$AG$1001,0),MATCH(COLUMNS($AN$1006:BA1006),$AN$1006:$BO$1006,0)), HYPERLINK("#",""), HYPERLINK(CONCATENATE("#Metadata!", ADDRESS(INDEX($AI$2:$AI$1001,MATCH(ROWS($AG$2:AG93),$AG$2:$AG$1001,0),0), INDEX($AN$1004:$BO$1004,1,MATCH(COLUMNS($AN$1006:BA1006),$AN$1006:$BO$1006,0)))),"Fix")))</f>
        <v>0</v>
      </c>
      <c r="P93" s="4">
        <f>IF(OR(INDEX($AH$2:$AH$1001,MATCH(ROWS($AG$2:AG93),$AG$2:$AG$1001,0),1)&gt;=100000,INDEX($AN$1005:$BO$1005,1,MATCH(COLUMNS($AN$1006:BB1006),$AN$1006:$BO$1006,0))&gt;=100000), " ",IF(INDEX($AN$2:$BO$1001,MATCH(ROWS($AG$2:AG93),$AG$2:$AG$1001,0),MATCH(COLUMNS($AN$1006:BB1006),$AN$1006:$BO$1006,0)), HYPERLINK("#",""), HYPERLINK(CONCATENATE("#Metadata!", ADDRESS(INDEX($AI$2:$AI$1001,MATCH(ROWS($AG$2:AG93),$AG$2:$AG$1001,0),0), INDEX($AN$1004:$BO$1004,1,MATCH(COLUMNS($AN$1006:BB1006),$AN$1006:$BO$1006,0)))),"Fix")))</f>
        <v>0</v>
      </c>
      <c r="Q93" s="4">
        <f>IF(OR(INDEX($AH$2:$AH$1001,MATCH(ROWS($AG$2:AG93),$AG$2:$AG$1001,0),1)&gt;=100000,INDEX($AN$1005:$BO$1005,1,MATCH(COLUMNS($AN$1006:BC1006),$AN$1006:$BO$1006,0))&gt;=100000), " ",IF(INDEX($AN$2:$BO$1001,MATCH(ROWS($AG$2:AG93),$AG$2:$AG$1001,0),MATCH(COLUMNS($AN$1006:BC1006),$AN$1006:$BO$1006,0)), HYPERLINK("#",""), HYPERLINK(CONCATENATE("#Metadata!", ADDRESS(INDEX($AI$2:$AI$1001,MATCH(ROWS($AG$2:AG93),$AG$2:$AG$1001,0),0), INDEX($AN$1004:$BO$1004,1,MATCH(COLUMNS($AN$1006:BC1006),$AN$1006:$BO$1006,0)))),"Fix")))</f>
        <v>0</v>
      </c>
      <c r="R93" s="4">
        <f>IF(OR(INDEX($AH$2:$AH$1001,MATCH(ROWS($AG$2:AG93),$AG$2:$AG$1001,0),1)&gt;=100000,INDEX($AN$1005:$BO$1005,1,MATCH(COLUMNS($AN$1006:BD1006),$AN$1006:$BO$1006,0))&gt;=100000), " ",IF(INDEX($AN$2:$BO$1001,MATCH(ROWS($AG$2:AG93),$AG$2:$AG$1001,0),MATCH(COLUMNS($AN$1006:BD1006),$AN$1006:$BO$1006,0)), HYPERLINK("#",""), HYPERLINK(CONCATENATE("#Metadata!", ADDRESS(INDEX($AI$2:$AI$1001,MATCH(ROWS($AG$2:AG93),$AG$2:$AG$1001,0),0), INDEX($AN$1004:$BO$1004,1,MATCH(COLUMNS($AN$1006:BD1006),$AN$1006:$BO$1006,0)))),"Fix")))</f>
        <v>0</v>
      </c>
      <c r="S93" s="4">
        <f>IF(OR(INDEX($AH$2:$AH$1001,MATCH(ROWS($AG$2:AG93),$AG$2:$AG$1001,0),1)&gt;=100000,INDEX($AN$1005:$BO$1005,1,MATCH(COLUMNS($AN$1006:BE1006),$AN$1006:$BO$1006,0))&gt;=100000), " ",IF(INDEX($AN$2:$BO$1001,MATCH(ROWS($AG$2:AG93),$AG$2:$AG$1001,0),MATCH(COLUMNS($AN$1006:BE1006),$AN$1006:$BO$1006,0)), HYPERLINK("#",""), HYPERLINK(CONCATENATE("#Metadata!", ADDRESS(INDEX($AI$2:$AI$1001,MATCH(ROWS($AG$2:AG93),$AG$2:$AG$1001,0),0), INDEX($AN$1004:$BO$1004,1,MATCH(COLUMNS($AN$1006:BE1006),$AN$1006:$BO$1006,0)))),"Fix")))</f>
        <v>0</v>
      </c>
      <c r="T93" s="4">
        <f>IF(OR(INDEX($AH$2:$AH$1001,MATCH(ROWS($AG$2:AG93),$AG$2:$AG$1001,0),1)&gt;=100000,INDEX($AN$1005:$BO$1005,1,MATCH(COLUMNS($AN$1006:BF1006),$AN$1006:$BO$1006,0))&gt;=100000), " ",IF(INDEX($AN$2:$BO$1001,MATCH(ROWS($AG$2:AG93),$AG$2:$AG$1001,0),MATCH(COLUMNS($AN$1006:BF1006),$AN$1006:$BO$1006,0)), HYPERLINK("#",""), HYPERLINK(CONCATENATE("#Metadata!", ADDRESS(INDEX($AI$2:$AI$1001,MATCH(ROWS($AG$2:AG93),$AG$2:$AG$1001,0),0), INDEX($AN$1004:$BO$1004,1,MATCH(COLUMNS($AN$1006:BF1006),$AN$1006:$BO$1006,0)))),"Fix")))</f>
        <v>0</v>
      </c>
      <c r="U93" s="4">
        <f>IF(OR(INDEX($AH$2:$AH$1001,MATCH(ROWS($AG$2:AG93),$AG$2:$AG$1001,0),1)&gt;=100000,INDEX($AN$1005:$BO$1005,1,MATCH(COLUMNS($AN$1006:BG1006),$AN$1006:$BO$1006,0))&gt;=100000), " ",IF(INDEX($AN$2:$BO$1001,MATCH(ROWS($AG$2:AG93),$AG$2:$AG$1001,0),MATCH(COLUMNS($AN$1006:BG1006),$AN$1006:$BO$1006,0)), HYPERLINK("#",""), HYPERLINK(CONCATENATE("#Metadata!", ADDRESS(INDEX($AI$2:$AI$1001,MATCH(ROWS($AG$2:AG93),$AG$2:$AG$1001,0),0), INDEX($AN$1004:$BO$1004,1,MATCH(COLUMNS($AN$1006:BG1006),$AN$1006:$BO$1006,0)))),"Fix")))</f>
        <v>0</v>
      </c>
      <c r="V93" s="4">
        <f>IF(OR(INDEX($AH$2:$AH$1001,MATCH(ROWS($AG$2:AG93),$AG$2:$AG$1001,0),1)&gt;=100000,INDEX($AN$1005:$BO$1005,1,MATCH(COLUMNS($AN$1006:BH1006),$AN$1006:$BO$1006,0))&gt;=100000), " ",IF(INDEX($AN$2:$BO$1001,MATCH(ROWS($AG$2:AG93),$AG$2:$AG$1001,0),MATCH(COLUMNS($AN$1006:BH1006),$AN$1006:$BO$1006,0)), HYPERLINK("#",""), HYPERLINK(CONCATENATE("#Metadata!", ADDRESS(INDEX($AI$2:$AI$1001,MATCH(ROWS($AG$2:AG93),$AG$2:$AG$1001,0),0), INDEX($AN$1004:$BO$1004,1,MATCH(COLUMNS($AN$1006:BH1006),$AN$1006:$BO$1006,0)))),"Fix")))</f>
        <v>0</v>
      </c>
      <c r="W93" s="4">
        <f>IF(OR(INDEX($AH$2:$AH$1001,MATCH(ROWS($AG$2:AG93),$AG$2:$AG$1001,0),1)&gt;=100000,INDEX($AN$1005:$BO$1005,1,MATCH(COLUMNS($AN$1006:BI1006),$AN$1006:$BO$1006,0))&gt;=100000), " ",IF(INDEX($AN$2:$BO$1001,MATCH(ROWS($AG$2:AG93),$AG$2:$AG$1001,0),MATCH(COLUMNS($AN$1006:BI1006),$AN$1006:$BO$1006,0)), HYPERLINK("#",""), HYPERLINK(CONCATENATE("#Metadata!", ADDRESS(INDEX($AI$2:$AI$1001,MATCH(ROWS($AG$2:AG93),$AG$2:$AG$1001,0),0), INDEX($AN$1004:$BO$1004,1,MATCH(COLUMNS($AN$1006:BI1006),$AN$1006:$BO$1006,0)))),"Fix")))</f>
        <v>0</v>
      </c>
      <c r="X93" s="4">
        <f>IF(OR(INDEX($AH$2:$AH$1001,MATCH(ROWS($AG$2:AG93),$AG$2:$AG$1001,0),1)&gt;=100000,INDEX($AN$1005:$BO$1005,1,MATCH(COLUMNS($AN$1006:BJ1006),$AN$1006:$BO$1006,0))&gt;=100000), " ",IF(INDEX($AN$2:$BO$1001,MATCH(ROWS($AG$2:AG93),$AG$2:$AG$1001,0),MATCH(COLUMNS($AN$1006:BJ1006),$AN$1006:$BO$1006,0)), HYPERLINK("#",""), HYPERLINK(CONCATENATE("#Metadata!", ADDRESS(INDEX($AI$2:$AI$1001,MATCH(ROWS($AG$2:AG93),$AG$2:$AG$1001,0),0), INDEX($AN$1004:$BO$1004,1,MATCH(COLUMNS($AN$1006:BJ1006),$AN$1006:$BO$1006,0)))),"Fix")))</f>
        <v>0</v>
      </c>
      <c r="Y93" s="4">
        <f>IF(OR(INDEX($AH$2:$AH$1001,MATCH(ROWS($AG$2:AG93),$AG$2:$AG$1001,0),1)&gt;=100000,INDEX($AN$1005:$BO$1005,1,MATCH(COLUMNS($AN$1006:BK1006),$AN$1006:$BO$1006,0))&gt;=100000), " ",IF(INDEX($AN$2:$BO$1001,MATCH(ROWS($AG$2:AG93),$AG$2:$AG$1001,0),MATCH(COLUMNS($AN$1006:BK1006),$AN$1006:$BO$1006,0)), HYPERLINK("#",""), HYPERLINK(CONCATENATE("#Metadata!", ADDRESS(INDEX($AI$2:$AI$1001,MATCH(ROWS($AG$2:AG93),$AG$2:$AG$1001,0),0), INDEX($AN$1004:$BO$1004,1,MATCH(COLUMNS($AN$1006:BK1006),$AN$1006:$BO$1006,0)))),"Fix")))</f>
        <v>0</v>
      </c>
      <c r="Z93" s="4">
        <f>IF(OR(INDEX($AH$2:$AH$1001,MATCH(ROWS($AG$2:AG93),$AG$2:$AG$1001,0),1)&gt;=100000,INDEX($AN$1005:$BO$1005,1,MATCH(COLUMNS($AN$1006:BL1006),$AN$1006:$BO$1006,0))&gt;=100000), " ",IF(INDEX($AN$2:$BO$1001,MATCH(ROWS($AG$2:AG93),$AG$2:$AG$1001,0),MATCH(COLUMNS($AN$1006:BL1006),$AN$1006:$BO$1006,0)), HYPERLINK("#",""), HYPERLINK(CONCATENATE("#Metadata!", ADDRESS(INDEX($AI$2:$AI$1001,MATCH(ROWS($AG$2:AG93),$AG$2:$AG$1001,0),0), INDEX($AN$1004:$BO$1004,1,MATCH(COLUMNS($AN$1006:BL1006),$AN$1006:$BO$1006,0)))),"Fix")))</f>
        <v>0</v>
      </c>
      <c r="AA93" s="4">
        <f>IF(OR(INDEX($AH$2:$AH$1001,MATCH(ROWS($AG$2:AG93),$AG$2:$AG$1001,0),1)&gt;=100000,INDEX($AN$1005:$BO$1005,1,MATCH(COLUMNS($AN$1006:BM1006),$AN$1006:$BO$1006,0))&gt;=100000), " ",IF(INDEX($AN$2:$BO$1001,MATCH(ROWS($AG$2:AG93),$AG$2:$AG$1001,0),MATCH(COLUMNS($AN$1006:BM1006),$AN$1006:$BO$1006,0)), HYPERLINK("#",""), HYPERLINK(CONCATENATE("#Metadata!", ADDRESS(INDEX($AI$2:$AI$1001,MATCH(ROWS($AG$2:AG93),$AG$2:$AG$1001,0),0), INDEX($AN$1004:$BO$1004,1,MATCH(COLUMNS($AN$1006:BM1006),$AN$1006:$BO$1006,0)))),"Fix")))</f>
        <v>0</v>
      </c>
      <c r="AB93" s="4">
        <f>IF(OR(INDEX($AH$2:$AH$1001,MATCH(ROWS($AG$2:AG93),$AG$2:$AG$1001,0),1)&gt;=100000,INDEX($AN$1005:$BO$1005,1,MATCH(COLUMNS($AN$1006:BN1006),$AN$1006:$BO$1006,0))&gt;=100000), " ",IF(INDEX($AN$2:$BO$1001,MATCH(ROWS($AG$2:AG93),$AG$2:$AG$1001,0),MATCH(COLUMNS($AN$1006:BN1006),$AN$1006:$BO$1006,0)), HYPERLINK("#",""), HYPERLINK(CONCATENATE("#Metadata!", ADDRESS(INDEX($AI$2:$AI$1001,MATCH(ROWS($AG$2:AG93),$AG$2:$AG$1001,0),0), INDEX($AN$1004:$BO$1004,1,MATCH(COLUMNS($AN$1006:BN1006),$AN$1006:$BO$1006,0)))),"Fix")))</f>
        <v>0</v>
      </c>
      <c r="AC93" s="4">
        <f>IF(OR(INDEX($AH$2:$AH$1001,MATCH(ROWS($AG$2:AG93),$AG$2:$AG$1001,0),1)&gt;=100000,INDEX($AN$1005:$BO$1005,1,MATCH(COLUMNS($AN$1006:BO1006),$AN$1006:$BO$1006,0))&gt;=100000), " ",IF(INDEX($AN$2:$BO$1001,MATCH(ROWS($AG$2:AG93),$AG$2:$AG$1001,0),MATCH(COLUMNS($AN$1006:BO1006),$AN$1006:$BO$1006,0)), HYPERLINK("#",""), HYPERLINK(CONCATENATE("#Metadata!", ADDRESS(INDEX($AI$2:$AI$1001,MATCH(ROWS($AG$2:AG93),$AG$2:$AG$1001,0),0), INDEX($AN$1004:$BO$1004,1,MATCH(COLUMNS($AN$1006:BO1006),$AN$1006:$BO$1006,0)))),"Fix")))</f>
        <v>0</v>
      </c>
      <c r="AG93">
        <v>0</v>
      </c>
      <c r="AH93">
        <v>0</v>
      </c>
      <c r="AI93">
        <v>0</v>
      </c>
      <c r="AJ93">
        <f>IF(AK93,TRUE,AND(AN93:BO93))</f>
        <v>0</v>
      </c>
      <c r="AK93">
        <f>COUNTBLANK(Metadata!B93:AC93)=COLUMNS(Metadata!B93:AC93)</f>
        <v>0</v>
      </c>
      <c r="AL93">
        <v>0</v>
      </c>
      <c r="AN93">
        <f>AND(IF(Metadata!B93="",FALSE,TRUE),COUNTIF(Metadata!B:B, Metadata!B93) = 1,NOT(ISERROR(SUMPRODUCT(SEARCH(MID(Metadata!B93,ROW(INDIRECT("1:"&amp;LEN(Metadata!B93))), 1),"0123456789abcdefghijklmnopqrstuvwxyzABCDEFGHIJKLMNOPQRSTUVWXYZ.")))))</f>
        <v>0</v>
      </c>
      <c r="AO93">
        <f>IF(Metadata!C93="",FALSE,TRUE)</f>
        <v>0</v>
      </c>
      <c r="AP93">
        <f>IF(Metadata!D93="",FALSE,TRUE)</f>
        <v>0</v>
      </c>
      <c r="AQ93">
        <f>OR(AND(IF(Metadata!E93="",FALSE,TRUE),OR(exact(Metadata!E93,"not collected"),exact(Metadata!E93,"not provided"),exact(Metadata!E93,"restricted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R93">
        <f>IF(Metadata!F93="",FALSE,TRUE)</f>
        <v>0</v>
      </c>
      <c r="AS93">
        <f>OR(AND(IF(Metadata!G93="",FALSE,TRUE),OR(exact(Metadata!G93,"not collected"),exact(Metadata!G93,"not provided"))),AND(IF(Metadata!G93="",FALSE,TRUE),OR(exact(Metadata!G93,"TRUE"),exact(Metadata!G93,"FALSE"))))</f>
        <v>0</v>
      </c>
      <c r="AT93">
        <f>OR(AND(IF(Metadata!H93="",FALSE,TRUE),OR(exact(Metadata!H93,"not collected"),exact(Metadata!H93,"not provided"),exact(Metadata!H93,"restricted access"))),AND(IF(Metadata!H93="",FALSE,ISNUMBER(VALUE(Metadata!H93))),Metadata!H93&gt;=-413.0))</f>
        <v>0</v>
      </c>
      <c r="AU93">
        <f>AND(IF(Metadata!I93="",FALSE,TRUE),exact(Metadata!I93,"meters"))</f>
        <v>0</v>
      </c>
      <c r="AV93">
        <f>AND(IF(Metadata!J93="",FALSE,TRUE),OR(exact(Metadata!J93,"Host-associated"),exact(Metadata!J93,"Free-living")))</f>
        <v>0</v>
      </c>
      <c r="AW93">
        <f>AND(IF(Metadata!K93="",FALSE,TRUE),OR(exact(Metadata!K93,"Animal"),exact(Metadata!K93,"Fungus"),exact(Metadata!K93,"Plant"),exact(Metadata!K93,"Saline"),exact(Metadata!K93,"Non-saline")))</f>
        <v>0</v>
      </c>
      <c r="AX93">
        <f>AND(IF(Metadata!L93="",FALSE,TRUE),OR(exact(Metadata!L93,"Plant secretion"),exact(Metadata!L93,"Plant rhizosphere"),exact(Metadata!L93,"Plant surface"),exact(Metadata!L93,"Plant corpus"),exact(Metadata!L93,"Fungus surface"),exact(Metadata!L93,"Fungus corpus"),exact(Metadata!L93,"Animal surface"),exact(Metadata!L93,"Animal proximal gut"),exact(Metadata!L93,"Animal corpus"),exact(Metadata!L93,"Animal distal gut"),exact(Metadata!L93,"Animal secretion"),exact(Metadata!L93,"Sub-surface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Y93">
        <f>IF(Metadata!M93="",FALSE,TRUE)</f>
        <v>0</v>
      </c>
      <c r="AZ93">
        <f>IF(Metadata!N93="",FALSE,TRUE)</f>
        <v>0</v>
      </c>
      <c r="BA93">
        <f>IF(Metadata!O93="",FALSE,TRUE)</f>
        <v>0</v>
      </c>
      <c r="BB93">
        <f>OR(AND(IF(Metadata!P93="",FALSE,TRUE),OR(exact(Metadata!P93,"not collected"),exact(Metadata!P93,"not provided"),exact(Metadata!P93,"restricted access"))),AND(IF(Metadata!P93="",FALSE,TRUE),OR(exact(Metadata!P93,"air"),exact(Metadata!P93,"built environment"),exact(Metadata!P93,"host-associated"),exact(Metadata!P93,"human-associated"),exact(Metadata!P93,"human-skin"),exact(Metadata!P93,"human-oral"),exact(Metadata!P93,"human-gut"),exact(Metadata!P93,"human-vaginal"),exact(Metadata!P93,"microbial mat/biofilm"),exact(Metadata!P93,"misc environment"),exact(Metadata!P93,"plant-associated"),exact(Metadata!P93,"sediment"),exact(Metadata!P93,"soil"),exact(Metadata!P93,"wastewater/sludge"),exact(Metadata!P93,"water"))))</f>
        <v>0</v>
      </c>
      <c r="BC93">
        <f>IF(Metadata!Q93="",FALSE,TRUE)</f>
        <v>0</v>
      </c>
      <c r="BD93">
        <f>IF(Metadata!R93="",FALSE,TRUE)</f>
        <v>0</v>
      </c>
      <c r="BE93">
        <f>OR(AND(IF(Metadata!S93="",FALSE,TRUE),OR(exact(Metadata!S93,"not collected"),exact(Metadata!S93,"not provided"),exact(Metadata!S93,"restricted access"))),AND(IF(Metadata!S93="",FALSE,ISNUMBER(VALUE(Metadata!S93))),Metadata!S93&gt;=-90.00,Metadata!S93&lt;=90.00))</f>
        <v>0</v>
      </c>
      <c r="BF93">
        <f>AND(IF(Metadata!T93="",FALSE,TRUE),exact(Metadata!T93,"Decimal degrees"))</f>
        <v>0</v>
      </c>
      <c r="BG93">
        <f>OR(AND(IF(Metadata!U93="",FALSE,TRUE),OR(exact(Metadata!U93,"not collected"),exact(Metadata!U93,"not provided"),exact(Metadata!U93,"restricted access"))),AND(IF(Metadata!U93="",FALSE,ISNUMBER(VALUE(Metadata!U93))),Metadata!U93&gt;=-180.00,Metadata!U93&lt;=180.00))</f>
        <v>0</v>
      </c>
      <c r="BH93">
        <f>AND(IF(Metadata!V93="",FALSE,TRUE),exact(Metadata!V93,"Decimal degrees"))</f>
        <v>0</v>
      </c>
      <c r="BI93">
        <f>IF(Metadata!W93="",FALSE,TRUE)</f>
        <v>0</v>
      </c>
      <c r="BJ93">
        <f>OR(AND(IF(Metadata!X93="",FALSE,TRUE),OR(exact(Metadata!X93,"not collected"),exact(Metadata!X93,"not provided"),exact(Metadata!X93,"restricted access"))),AND(IF(Metadata!X93="",FALSE,TRUE),OR(exact(Metadata!X93,"TRUE"),exact(Metadata!X93,"FALSE"))))</f>
        <v>0</v>
      </c>
      <c r="BK93">
        <f>AND(IF(Metadata!Y93="",FALSE,TRUE),exact(Metadata!Y93,"other"))</f>
        <v>0</v>
      </c>
      <c r="BL93">
        <f>IF(Metadata!Z93="",FALSE,TRUE)</f>
        <v>0</v>
      </c>
      <c r="BM93">
        <f>OR(AND(IF(Metadata!AA93="",FALSE,TRUE),OR(exact(Metadata!AA93,"not collected"),exact(Metadata!AA93,"not provided"))),AND(IF(Metadata!AA93="",FALSE,IF(ISERROR(INT(Metadata!AA93)),FALSE,INT(Metadata!AA93)=Metadata!AA93)),Metadata!AA93&gt;0))</f>
        <v>0</v>
      </c>
      <c r="BN93">
        <f>AND(IF(Metadata!AB93="",FALSE,TRUE),exact(Metadata!AB93,"Not applicable"))</f>
        <v>0</v>
      </c>
      <c r="BO93">
        <f>IF(Metadata!AC93="",FALSE,TRUE)</f>
        <v>0</v>
      </c>
    </row>
    <row r="94" spans="1:67">
      <c r="A94" s="5">
        <f>IF(B94=" "," ",HYPERLINK(CONCATENATE("#metadata!",ADDRESS(INDEX($AI$2:$AI$1001,MATCH(ROWS($AG$2:AG94),$AG$2:$AG$1001,0),0),1)),INDEX($AL$2:$AL$1001,MATCH(ROWS($AG$2:AG94),$AG$2:$AG$1001,0),0)))</f>
        <v>0</v>
      </c>
      <c r="B94" s="4">
        <f>IF(OR(INDEX($AH$2:$AH$1001,MATCH(ROWS($AG$2:AG94),$AG$2:$AG$1001,0),1)&gt;=100000,INDEX($AN$1005:$BO$1005,1,MATCH(COLUMNS($AN$1006:AN1006),$AN$1006:$BO$1006,0))&gt;=100000), " ",IF(INDEX($AN$2:$BO$1001,MATCH(ROWS($AG$2:AG94),$AG$2:$AG$1001,0),MATCH(COLUMNS($AN$1006:AN1006),$AN$1006:$BO$1006,0)), HYPERLINK("#",""), HYPERLINK(CONCATENATE("#Metadata!", ADDRESS(INDEX($AI$2:$AI$1001,MATCH(ROWS($AG$2:AG94),$AG$2:$AG$1001,0),0), INDEX($AN$1004:$BO$1004,1,MATCH(COLUMNS($AN$1006:AN1006),$AN$1006:$BO$1006,0)))),"Fix")))</f>
        <v>0</v>
      </c>
      <c r="C94" s="4">
        <f>IF(OR(INDEX($AH$2:$AH$1001,MATCH(ROWS($AG$2:AG94),$AG$2:$AG$1001,0),1)&gt;=100000,INDEX($AN$1005:$BO$1005,1,MATCH(COLUMNS($AN$1006:AO1006),$AN$1006:$BO$1006,0))&gt;=100000), " ",IF(INDEX($AN$2:$BO$1001,MATCH(ROWS($AG$2:AG94),$AG$2:$AG$1001,0),MATCH(COLUMNS($AN$1006:AO1006),$AN$1006:$BO$1006,0)), HYPERLINK("#",""), HYPERLINK(CONCATENATE("#Metadata!", ADDRESS(INDEX($AI$2:$AI$1001,MATCH(ROWS($AG$2:AG94),$AG$2:$AG$1001,0),0), INDEX($AN$1004:$BO$1004,1,MATCH(COLUMNS($AN$1006:AO1006),$AN$1006:$BO$1006,0)))),"Fix")))</f>
        <v>0</v>
      </c>
      <c r="D94" s="4">
        <f>IF(OR(INDEX($AH$2:$AH$1001,MATCH(ROWS($AG$2:AG94),$AG$2:$AG$1001,0),1)&gt;=100000,INDEX($AN$1005:$BO$1005,1,MATCH(COLUMNS($AN$1006:AP1006),$AN$1006:$BO$1006,0))&gt;=100000), " ",IF(INDEX($AN$2:$BO$1001,MATCH(ROWS($AG$2:AG94),$AG$2:$AG$1001,0),MATCH(COLUMNS($AN$1006:AP1006),$AN$1006:$BO$1006,0)), HYPERLINK("#",""), HYPERLINK(CONCATENATE("#Metadata!", ADDRESS(INDEX($AI$2:$AI$1001,MATCH(ROWS($AG$2:AG94),$AG$2:$AG$1001,0),0), INDEX($AN$1004:$BO$1004,1,MATCH(COLUMNS($AN$1006:AP1006),$AN$1006:$BO$1006,0)))),"Fix")))</f>
        <v>0</v>
      </c>
      <c r="E94" s="4">
        <f>IF(OR(INDEX($AH$2:$AH$1001,MATCH(ROWS($AG$2:AG94),$AG$2:$AG$1001,0),1)&gt;=100000,INDEX($AN$1005:$BO$1005,1,MATCH(COLUMNS($AN$1006:AQ1006),$AN$1006:$BO$1006,0))&gt;=100000), " ",IF(INDEX($AN$2:$BO$1001,MATCH(ROWS($AG$2:AG94),$AG$2:$AG$1001,0),MATCH(COLUMNS($AN$1006:AQ1006),$AN$1006:$BO$1006,0)), HYPERLINK("#",""), HYPERLINK(CONCATENATE("#Metadata!", ADDRESS(INDEX($AI$2:$AI$1001,MATCH(ROWS($AG$2:AG94),$AG$2:$AG$1001,0),0), INDEX($AN$1004:$BO$1004,1,MATCH(COLUMNS($AN$1006:AQ1006),$AN$1006:$BO$1006,0)))),"Fix")))</f>
        <v>0</v>
      </c>
      <c r="F94" s="4">
        <f>IF(OR(INDEX($AH$2:$AH$1001,MATCH(ROWS($AG$2:AG94),$AG$2:$AG$1001,0),1)&gt;=100000,INDEX($AN$1005:$BO$1005,1,MATCH(COLUMNS($AN$1006:AR1006),$AN$1006:$BO$1006,0))&gt;=100000), " ",IF(INDEX($AN$2:$BO$1001,MATCH(ROWS($AG$2:AG94),$AG$2:$AG$1001,0),MATCH(COLUMNS($AN$1006:AR1006),$AN$1006:$BO$1006,0)), HYPERLINK("#",""), HYPERLINK(CONCATENATE("#Metadata!", ADDRESS(INDEX($AI$2:$AI$1001,MATCH(ROWS($AG$2:AG94),$AG$2:$AG$1001,0),0), INDEX($AN$1004:$BO$1004,1,MATCH(COLUMNS($AN$1006:AR1006),$AN$1006:$BO$1006,0)))),"Fix")))</f>
        <v>0</v>
      </c>
      <c r="G94" s="4">
        <f>IF(OR(INDEX($AH$2:$AH$1001,MATCH(ROWS($AG$2:AG94),$AG$2:$AG$1001,0),1)&gt;=100000,INDEX($AN$1005:$BO$1005,1,MATCH(COLUMNS($AN$1006:AS1006),$AN$1006:$BO$1006,0))&gt;=100000), " ",IF(INDEX($AN$2:$BO$1001,MATCH(ROWS($AG$2:AG94),$AG$2:$AG$1001,0),MATCH(COLUMNS($AN$1006:AS1006),$AN$1006:$BO$1006,0)), HYPERLINK("#",""), HYPERLINK(CONCATENATE("#Metadata!", ADDRESS(INDEX($AI$2:$AI$1001,MATCH(ROWS($AG$2:AG94),$AG$2:$AG$1001,0),0), INDEX($AN$1004:$BO$1004,1,MATCH(COLUMNS($AN$1006:AS1006),$AN$1006:$BO$1006,0)))),"Fix")))</f>
        <v>0</v>
      </c>
      <c r="H94" s="4">
        <f>IF(OR(INDEX($AH$2:$AH$1001,MATCH(ROWS($AG$2:AG94),$AG$2:$AG$1001,0),1)&gt;=100000,INDEX($AN$1005:$BO$1005,1,MATCH(COLUMNS($AN$1006:AT1006),$AN$1006:$BO$1006,0))&gt;=100000), " ",IF(INDEX($AN$2:$BO$1001,MATCH(ROWS($AG$2:AG94),$AG$2:$AG$1001,0),MATCH(COLUMNS($AN$1006:AT1006),$AN$1006:$BO$1006,0)), HYPERLINK("#",""), HYPERLINK(CONCATENATE("#Metadata!", ADDRESS(INDEX($AI$2:$AI$1001,MATCH(ROWS($AG$2:AG94),$AG$2:$AG$1001,0),0), INDEX($AN$1004:$BO$1004,1,MATCH(COLUMNS($AN$1006:AT1006),$AN$1006:$BO$1006,0)))),"Fix")))</f>
        <v>0</v>
      </c>
      <c r="I94" s="4">
        <f>IF(OR(INDEX($AH$2:$AH$1001,MATCH(ROWS($AG$2:AG94),$AG$2:$AG$1001,0),1)&gt;=100000,INDEX($AN$1005:$BO$1005,1,MATCH(COLUMNS($AN$1006:AU1006),$AN$1006:$BO$1006,0))&gt;=100000), " ",IF(INDEX($AN$2:$BO$1001,MATCH(ROWS($AG$2:AG94),$AG$2:$AG$1001,0),MATCH(COLUMNS($AN$1006:AU1006),$AN$1006:$BO$1006,0)), HYPERLINK("#",""), HYPERLINK(CONCATENATE("#Metadata!", ADDRESS(INDEX($AI$2:$AI$1001,MATCH(ROWS($AG$2:AG94),$AG$2:$AG$1001,0),0), INDEX($AN$1004:$BO$1004,1,MATCH(COLUMNS($AN$1006:AU1006),$AN$1006:$BO$1006,0)))),"Fix")))</f>
        <v>0</v>
      </c>
      <c r="J94" s="4">
        <f>IF(OR(INDEX($AH$2:$AH$1001,MATCH(ROWS($AG$2:AG94),$AG$2:$AG$1001,0),1)&gt;=100000,INDEX($AN$1005:$BO$1005,1,MATCH(COLUMNS($AN$1006:AV1006),$AN$1006:$BO$1006,0))&gt;=100000), " ",IF(INDEX($AN$2:$BO$1001,MATCH(ROWS($AG$2:AG94),$AG$2:$AG$1001,0),MATCH(COLUMNS($AN$1006:AV1006),$AN$1006:$BO$1006,0)), HYPERLINK("#",""), HYPERLINK(CONCATENATE("#Metadata!", ADDRESS(INDEX($AI$2:$AI$1001,MATCH(ROWS($AG$2:AG94),$AG$2:$AG$1001,0),0), INDEX($AN$1004:$BO$1004,1,MATCH(COLUMNS($AN$1006:AV1006),$AN$1006:$BO$1006,0)))),"Fix")))</f>
        <v>0</v>
      </c>
      <c r="K94" s="4">
        <f>IF(OR(INDEX($AH$2:$AH$1001,MATCH(ROWS($AG$2:AG94),$AG$2:$AG$1001,0),1)&gt;=100000,INDEX($AN$1005:$BO$1005,1,MATCH(COLUMNS($AN$1006:AW1006),$AN$1006:$BO$1006,0))&gt;=100000), " ",IF(INDEX($AN$2:$BO$1001,MATCH(ROWS($AG$2:AG94),$AG$2:$AG$1001,0),MATCH(COLUMNS($AN$1006:AW1006),$AN$1006:$BO$1006,0)), HYPERLINK("#",""), HYPERLINK(CONCATENATE("#Metadata!", ADDRESS(INDEX($AI$2:$AI$1001,MATCH(ROWS($AG$2:AG94),$AG$2:$AG$1001,0),0), INDEX($AN$1004:$BO$1004,1,MATCH(COLUMNS($AN$1006:AW1006),$AN$1006:$BO$1006,0)))),"Fix")))</f>
        <v>0</v>
      </c>
      <c r="L94" s="4">
        <f>IF(OR(INDEX($AH$2:$AH$1001,MATCH(ROWS($AG$2:AG94),$AG$2:$AG$1001,0),1)&gt;=100000,INDEX($AN$1005:$BO$1005,1,MATCH(COLUMNS($AN$1006:AX1006),$AN$1006:$BO$1006,0))&gt;=100000), " ",IF(INDEX($AN$2:$BO$1001,MATCH(ROWS($AG$2:AG94),$AG$2:$AG$1001,0),MATCH(COLUMNS($AN$1006:AX1006),$AN$1006:$BO$1006,0)), HYPERLINK("#",""), HYPERLINK(CONCATENATE("#Metadata!", ADDRESS(INDEX($AI$2:$AI$1001,MATCH(ROWS($AG$2:AG94),$AG$2:$AG$1001,0),0), INDEX($AN$1004:$BO$1004,1,MATCH(COLUMNS($AN$1006:AX1006),$AN$1006:$BO$1006,0)))),"Fix")))</f>
        <v>0</v>
      </c>
      <c r="M94" s="4">
        <f>IF(OR(INDEX($AH$2:$AH$1001,MATCH(ROWS($AG$2:AG94),$AG$2:$AG$1001,0),1)&gt;=100000,INDEX($AN$1005:$BO$1005,1,MATCH(COLUMNS($AN$1006:AY1006),$AN$1006:$BO$1006,0))&gt;=100000), " ",IF(INDEX($AN$2:$BO$1001,MATCH(ROWS($AG$2:AG94),$AG$2:$AG$1001,0),MATCH(COLUMNS($AN$1006:AY1006),$AN$1006:$BO$1006,0)), HYPERLINK("#",""), HYPERLINK(CONCATENATE("#Metadata!", ADDRESS(INDEX($AI$2:$AI$1001,MATCH(ROWS($AG$2:AG94),$AG$2:$AG$1001,0),0), INDEX($AN$1004:$BO$1004,1,MATCH(COLUMNS($AN$1006:AY1006),$AN$1006:$BO$1006,0)))),"Fix")))</f>
        <v>0</v>
      </c>
      <c r="N94" s="4">
        <f>IF(OR(INDEX($AH$2:$AH$1001,MATCH(ROWS($AG$2:AG94),$AG$2:$AG$1001,0),1)&gt;=100000,INDEX($AN$1005:$BO$1005,1,MATCH(COLUMNS($AN$1006:AZ1006),$AN$1006:$BO$1006,0))&gt;=100000), " ",IF(INDEX($AN$2:$BO$1001,MATCH(ROWS($AG$2:AG94),$AG$2:$AG$1001,0),MATCH(COLUMNS($AN$1006:AZ1006),$AN$1006:$BO$1006,0)), HYPERLINK("#",""), HYPERLINK(CONCATENATE("#Metadata!", ADDRESS(INDEX($AI$2:$AI$1001,MATCH(ROWS($AG$2:AG94),$AG$2:$AG$1001,0),0), INDEX($AN$1004:$BO$1004,1,MATCH(COLUMNS($AN$1006:AZ1006),$AN$1006:$BO$1006,0)))),"Fix")))</f>
        <v>0</v>
      </c>
      <c r="O94" s="4">
        <f>IF(OR(INDEX($AH$2:$AH$1001,MATCH(ROWS($AG$2:AG94),$AG$2:$AG$1001,0),1)&gt;=100000,INDEX($AN$1005:$BO$1005,1,MATCH(COLUMNS($AN$1006:BA1006),$AN$1006:$BO$1006,0))&gt;=100000), " ",IF(INDEX($AN$2:$BO$1001,MATCH(ROWS($AG$2:AG94),$AG$2:$AG$1001,0),MATCH(COLUMNS($AN$1006:BA1006),$AN$1006:$BO$1006,0)), HYPERLINK("#",""), HYPERLINK(CONCATENATE("#Metadata!", ADDRESS(INDEX($AI$2:$AI$1001,MATCH(ROWS($AG$2:AG94),$AG$2:$AG$1001,0),0), INDEX($AN$1004:$BO$1004,1,MATCH(COLUMNS($AN$1006:BA1006),$AN$1006:$BO$1006,0)))),"Fix")))</f>
        <v>0</v>
      </c>
      <c r="P94" s="4">
        <f>IF(OR(INDEX($AH$2:$AH$1001,MATCH(ROWS($AG$2:AG94),$AG$2:$AG$1001,0),1)&gt;=100000,INDEX($AN$1005:$BO$1005,1,MATCH(COLUMNS($AN$1006:BB1006),$AN$1006:$BO$1006,0))&gt;=100000), " ",IF(INDEX($AN$2:$BO$1001,MATCH(ROWS($AG$2:AG94),$AG$2:$AG$1001,0),MATCH(COLUMNS($AN$1006:BB1006),$AN$1006:$BO$1006,0)), HYPERLINK("#",""), HYPERLINK(CONCATENATE("#Metadata!", ADDRESS(INDEX($AI$2:$AI$1001,MATCH(ROWS($AG$2:AG94),$AG$2:$AG$1001,0),0), INDEX($AN$1004:$BO$1004,1,MATCH(COLUMNS($AN$1006:BB1006),$AN$1006:$BO$1006,0)))),"Fix")))</f>
        <v>0</v>
      </c>
      <c r="Q94" s="4">
        <f>IF(OR(INDEX($AH$2:$AH$1001,MATCH(ROWS($AG$2:AG94),$AG$2:$AG$1001,0),1)&gt;=100000,INDEX($AN$1005:$BO$1005,1,MATCH(COLUMNS($AN$1006:BC1006),$AN$1006:$BO$1006,0))&gt;=100000), " ",IF(INDEX($AN$2:$BO$1001,MATCH(ROWS($AG$2:AG94),$AG$2:$AG$1001,0),MATCH(COLUMNS($AN$1006:BC1006),$AN$1006:$BO$1006,0)), HYPERLINK("#",""), HYPERLINK(CONCATENATE("#Metadata!", ADDRESS(INDEX($AI$2:$AI$1001,MATCH(ROWS($AG$2:AG94),$AG$2:$AG$1001,0),0), INDEX($AN$1004:$BO$1004,1,MATCH(COLUMNS($AN$1006:BC1006),$AN$1006:$BO$1006,0)))),"Fix")))</f>
        <v>0</v>
      </c>
      <c r="R94" s="4">
        <f>IF(OR(INDEX($AH$2:$AH$1001,MATCH(ROWS($AG$2:AG94),$AG$2:$AG$1001,0),1)&gt;=100000,INDEX($AN$1005:$BO$1005,1,MATCH(COLUMNS($AN$1006:BD1006),$AN$1006:$BO$1006,0))&gt;=100000), " ",IF(INDEX($AN$2:$BO$1001,MATCH(ROWS($AG$2:AG94),$AG$2:$AG$1001,0),MATCH(COLUMNS($AN$1006:BD1006),$AN$1006:$BO$1006,0)), HYPERLINK("#",""), HYPERLINK(CONCATENATE("#Metadata!", ADDRESS(INDEX($AI$2:$AI$1001,MATCH(ROWS($AG$2:AG94),$AG$2:$AG$1001,0),0), INDEX($AN$1004:$BO$1004,1,MATCH(COLUMNS($AN$1006:BD1006),$AN$1006:$BO$1006,0)))),"Fix")))</f>
        <v>0</v>
      </c>
      <c r="S94" s="4">
        <f>IF(OR(INDEX($AH$2:$AH$1001,MATCH(ROWS($AG$2:AG94),$AG$2:$AG$1001,0),1)&gt;=100000,INDEX($AN$1005:$BO$1005,1,MATCH(COLUMNS($AN$1006:BE1006),$AN$1006:$BO$1006,0))&gt;=100000), " ",IF(INDEX($AN$2:$BO$1001,MATCH(ROWS($AG$2:AG94),$AG$2:$AG$1001,0),MATCH(COLUMNS($AN$1006:BE1006),$AN$1006:$BO$1006,0)), HYPERLINK("#",""), HYPERLINK(CONCATENATE("#Metadata!", ADDRESS(INDEX($AI$2:$AI$1001,MATCH(ROWS($AG$2:AG94),$AG$2:$AG$1001,0),0), INDEX($AN$1004:$BO$1004,1,MATCH(COLUMNS($AN$1006:BE1006),$AN$1006:$BO$1006,0)))),"Fix")))</f>
        <v>0</v>
      </c>
      <c r="T94" s="4">
        <f>IF(OR(INDEX($AH$2:$AH$1001,MATCH(ROWS($AG$2:AG94),$AG$2:$AG$1001,0),1)&gt;=100000,INDEX($AN$1005:$BO$1005,1,MATCH(COLUMNS($AN$1006:BF1006),$AN$1006:$BO$1006,0))&gt;=100000), " ",IF(INDEX($AN$2:$BO$1001,MATCH(ROWS($AG$2:AG94),$AG$2:$AG$1001,0),MATCH(COLUMNS($AN$1006:BF1006),$AN$1006:$BO$1006,0)), HYPERLINK("#",""), HYPERLINK(CONCATENATE("#Metadata!", ADDRESS(INDEX($AI$2:$AI$1001,MATCH(ROWS($AG$2:AG94),$AG$2:$AG$1001,0),0), INDEX($AN$1004:$BO$1004,1,MATCH(COLUMNS($AN$1006:BF1006),$AN$1006:$BO$1006,0)))),"Fix")))</f>
        <v>0</v>
      </c>
      <c r="U94" s="4">
        <f>IF(OR(INDEX($AH$2:$AH$1001,MATCH(ROWS($AG$2:AG94),$AG$2:$AG$1001,0),1)&gt;=100000,INDEX($AN$1005:$BO$1005,1,MATCH(COLUMNS($AN$1006:BG1006),$AN$1006:$BO$1006,0))&gt;=100000), " ",IF(INDEX($AN$2:$BO$1001,MATCH(ROWS($AG$2:AG94),$AG$2:$AG$1001,0),MATCH(COLUMNS($AN$1006:BG1006),$AN$1006:$BO$1006,0)), HYPERLINK("#",""), HYPERLINK(CONCATENATE("#Metadata!", ADDRESS(INDEX($AI$2:$AI$1001,MATCH(ROWS($AG$2:AG94),$AG$2:$AG$1001,0),0), INDEX($AN$1004:$BO$1004,1,MATCH(COLUMNS($AN$1006:BG1006),$AN$1006:$BO$1006,0)))),"Fix")))</f>
        <v>0</v>
      </c>
      <c r="V94" s="4">
        <f>IF(OR(INDEX($AH$2:$AH$1001,MATCH(ROWS($AG$2:AG94),$AG$2:$AG$1001,0),1)&gt;=100000,INDEX($AN$1005:$BO$1005,1,MATCH(COLUMNS($AN$1006:BH1006),$AN$1006:$BO$1006,0))&gt;=100000), " ",IF(INDEX($AN$2:$BO$1001,MATCH(ROWS($AG$2:AG94),$AG$2:$AG$1001,0),MATCH(COLUMNS($AN$1006:BH1006),$AN$1006:$BO$1006,0)), HYPERLINK("#",""), HYPERLINK(CONCATENATE("#Metadata!", ADDRESS(INDEX($AI$2:$AI$1001,MATCH(ROWS($AG$2:AG94),$AG$2:$AG$1001,0),0), INDEX($AN$1004:$BO$1004,1,MATCH(COLUMNS($AN$1006:BH1006),$AN$1006:$BO$1006,0)))),"Fix")))</f>
        <v>0</v>
      </c>
      <c r="W94" s="4">
        <f>IF(OR(INDEX($AH$2:$AH$1001,MATCH(ROWS($AG$2:AG94),$AG$2:$AG$1001,0),1)&gt;=100000,INDEX($AN$1005:$BO$1005,1,MATCH(COLUMNS($AN$1006:BI1006),$AN$1006:$BO$1006,0))&gt;=100000), " ",IF(INDEX($AN$2:$BO$1001,MATCH(ROWS($AG$2:AG94),$AG$2:$AG$1001,0),MATCH(COLUMNS($AN$1006:BI1006),$AN$1006:$BO$1006,0)), HYPERLINK("#",""), HYPERLINK(CONCATENATE("#Metadata!", ADDRESS(INDEX($AI$2:$AI$1001,MATCH(ROWS($AG$2:AG94),$AG$2:$AG$1001,0),0), INDEX($AN$1004:$BO$1004,1,MATCH(COLUMNS($AN$1006:BI1006),$AN$1006:$BO$1006,0)))),"Fix")))</f>
        <v>0</v>
      </c>
      <c r="X94" s="4">
        <f>IF(OR(INDEX($AH$2:$AH$1001,MATCH(ROWS($AG$2:AG94),$AG$2:$AG$1001,0),1)&gt;=100000,INDEX($AN$1005:$BO$1005,1,MATCH(COLUMNS($AN$1006:BJ1006),$AN$1006:$BO$1006,0))&gt;=100000), " ",IF(INDEX($AN$2:$BO$1001,MATCH(ROWS($AG$2:AG94),$AG$2:$AG$1001,0),MATCH(COLUMNS($AN$1006:BJ1006),$AN$1006:$BO$1006,0)), HYPERLINK("#",""), HYPERLINK(CONCATENATE("#Metadata!", ADDRESS(INDEX($AI$2:$AI$1001,MATCH(ROWS($AG$2:AG94),$AG$2:$AG$1001,0),0), INDEX($AN$1004:$BO$1004,1,MATCH(COLUMNS($AN$1006:BJ1006),$AN$1006:$BO$1006,0)))),"Fix")))</f>
        <v>0</v>
      </c>
      <c r="Y94" s="4">
        <f>IF(OR(INDEX($AH$2:$AH$1001,MATCH(ROWS($AG$2:AG94),$AG$2:$AG$1001,0),1)&gt;=100000,INDEX($AN$1005:$BO$1005,1,MATCH(COLUMNS($AN$1006:BK1006),$AN$1006:$BO$1006,0))&gt;=100000), " ",IF(INDEX($AN$2:$BO$1001,MATCH(ROWS($AG$2:AG94),$AG$2:$AG$1001,0),MATCH(COLUMNS($AN$1006:BK1006),$AN$1006:$BO$1006,0)), HYPERLINK("#",""), HYPERLINK(CONCATENATE("#Metadata!", ADDRESS(INDEX($AI$2:$AI$1001,MATCH(ROWS($AG$2:AG94),$AG$2:$AG$1001,0),0), INDEX($AN$1004:$BO$1004,1,MATCH(COLUMNS($AN$1006:BK1006),$AN$1006:$BO$1006,0)))),"Fix")))</f>
        <v>0</v>
      </c>
      <c r="Z94" s="4">
        <f>IF(OR(INDEX($AH$2:$AH$1001,MATCH(ROWS($AG$2:AG94),$AG$2:$AG$1001,0),1)&gt;=100000,INDEX($AN$1005:$BO$1005,1,MATCH(COLUMNS($AN$1006:BL1006),$AN$1006:$BO$1006,0))&gt;=100000), " ",IF(INDEX($AN$2:$BO$1001,MATCH(ROWS($AG$2:AG94),$AG$2:$AG$1001,0),MATCH(COLUMNS($AN$1006:BL1006),$AN$1006:$BO$1006,0)), HYPERLINK("#",""), HYPERLINK(CONCATENATE("#Metadata!", ADDRESS(INDEX($AI$2:$AI$1001,MATCH(ROWS($AG$2:AG94),$AG$2:$AG$1001,0),0), INDEX($AN$1004:$BO$1004,1,MATCH(COLUMNS($AN$1006:BL1006),$AN$1006:$BO$1006,0)))),"Fix")))</f>
        <v>0</v>
      </c>
      <c r="AA94" s="4">
        <f>IF(OR(INDEX($AH$2:$AH$1001,MATCH(ROWS($AG$2:AG94),$AG$2:$AG$1001,0),1)&gt;=100000,INDEX($AN$1005:$BO$1005,1,MATCH(COLUMNS($AN$1006:BM1006),$AN$1006:$BO$1006,0))&gt;=100000), " ",IF(INDEX($AN$2:$BO$1001,MATCH(ROWS($AG$2:AG94),$AG$2:$AG$1001,0),MATCH(COLUMNS($AN$1006:BM1006),$AN$1006:$BO$1006,0)), HYPERLINK("#",""), HYPERLINK(CONCATENATE("#Metadata!", ADDRESS(INDEX($AI$2:$AI$1001,MATCH(ROWS($AG$2:AG94),$AG$2:$AG$1001,0),0), INDEX($AN$1004:$BO$1004,1,MATCH(COLUMNS($AN$1006:BM1006),$AN$1006:$BO$1006,0)))),"Fix")))</f>
        <v>0</v>
      </c>
      <c r="AB94" s="4">
        <f>IF(OR(INDEX($AH$2:$AH$1001,MATCH(ROWS($AG$2:AG94),$AG$2:$AG$1001,0),1)&gt;=100000,INDEX($AN$1005:$BO$1005,1,MATCH(COLUMNS($AN$1006:BN1006),$AN$1006:$BO$1006,0))&gt;=100000), " ",IF(INDEX($AN$2:$BO$1001,MATCH(ROWS($AG$2:AG94),$AG$2:$AG$1001,0),MATCH(COLUMNS($AN$1006:BN1006),$AN$1006:$BO$1006,0)), HYPERLINK("#",""), HYPERLINK(CONCATENATE("#Metadata!", ADDRESS(INDEX($AI$2:$AI$1001,MATCH(ROWS($AG$2:AG94),$AG$2:$AG$1001,0),0), INDEX($AN$1004:$BO$1004,1,MATCH(COLUMNS($AN$1006:BN1006),$AN$1006:$BO$1006,0)))),"Fix")))</f>
        <v>0</v>
      </c>
      <c r="AC94" s="4">
        <f>IF(OR(INDEX($AH$2:$AH$1001,MATCH(ROWS($AG$2:AG94),$AG$2:$AG$1001,0),1)&gt;=100000,INDEX($AN$1005:$BO$1005,1,MATCH(COLUMNS($AN$1006:BO1006),$AN$1006:$BO$1006,0))&gt;=100000), " ",IF(INDEX($AN$2:$BO$1001,MATCH(ROWS($AG$2:AG94),$AG$2:$AG$1001,0),MATCH(COLUMNS($AN$1006:BO1006),$AN$1006:$BO$1006,0)), HYPERLINK("#",""), HYPERLINK(CONCATENATE("#Metadata!", ADDRESS(INDEX($AI$2:$AI$1001,MATCH(ROWS($AG$2:AG94),$AG$2:$AG$1001,0),0), INDEX($AN$1004:$BO$1004,1,MATCH(COLUMNS($AN$1006:BO1006),$AN$1006:$BO$1006,0)))),"Fix")))</f>
        <v>0</v>
      </c>
      <c r="AG94">
        <v>0</v>
      </c>
      <c r="AH94">
        <v>0</v>
      </c>
      <c r="AI94">
        <v>0</v>
      </c>
      <c r="AJ94">
        <f>IF(AK94,TRUE,AND(AN94:BO94))</f>
        <v>0</v>
      </c>
      <c r="AK94">
        <f>COUNTBLANK(Metadata!B94:AC94)=COLUMNS(Metadata!B94:AC94)</f>
        <v>0</v>
      </c>
      <c r="AL94">
        <v>0</v>
      </c>
      <c r="AN94">
        <f>AND(IF(Metadata!B94="",FALSE,TRUE),COUNTIF(Metadata!B:B, Metadata!B94) = 1,NOT(ISERROR(SUMPRODUCT(SEARCH(MID(Metadata!B94,ROW(INDIRECT("1:"&amp;LEN(Metadata!B94))), 1),"0123456789abcdefghijklmnopqrstuvwxyzABCDEFGHIJKLMNOPQRSTUVWXYZ.")))))</f>
        <v>0</v>
      </c>
      <c r="AO94">
        <f>IF(Metadata!C94="",FALSE,TRUE)</f>
        <v>0</v>
      </c>
      <c r="AP94">
        <f>IF(Metadata!D94="",FALSE,TRUE)</f>
        <v>0</v>
      </c>
      <c r="AQ94">
        <f>OR(AND(IF(Metadata!E94="",FALSE,TRUE),OR(exact(Metadata!E94,"not collected"),exact(Metadata!E94,"not provided"),exact(Metadata!E94,"restricted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R94">
        <f>IF(Metadata!F94="",FALSE,TRUE)</f>
        <v>0</v>
      </c>
      <c r="AS94">
        <f>OR(AND(IF(Metadata!G94="",FALSE,TRUE),OR(exact(Metadata!G94,"not collected"),exact(Metadata!G94,"not provided"))),AND(IF(Metadata!G94="",FALSE,TRUE),OR(exact(Metadata!G94,"TRUE"),exact(Metadata!G94,"FALSE"))))</f>
        <v>0</v>
      </c>
      <c r="AT94">
        <f>OR(AND(IF(Metadata!H94="",FALSE,TRUE),OR(exact(Metadata!H94,"not collected"),exact(Metadata!H94,"not provided"),exact(Metadata!H94,"restricted access"))),AND(IF(Metadata!H94="",FALSE,ISNUMBER(VALUE(Metadata!H94))),Metadata!H94&gt;=-413.0))</f>
        <v>0</v>
      </c>
      <c r="AU94">
        <f>AND(IF(Metadata!I94="",FALSE,TRUE),exact(Metadata!I94,"meters"))</f>
        <v>0</v>
      </c>
      <c r="AV94">
        <f>AND(IF(Metadata!J94="",FALSE,TRUE),OR(exact(Metadata!J94,"Host-associated"),exact(Metadata!J94,"Free-living")))</f>
        <v>0</v>
      </c>
      <c r="AW94">
        <f>AND(IF(Metadata!K94="",FALSE,TRUE),OR(exact(Metadata!K94,"Animal"),exact(Metadata!K94,"Fungus"),exact(Metadata!K94,"Plant"),exact(Metadata!K94,"Saline"),exact(Metadata!K94,"Non-saline")))</f>
        <v>0</v>
      </c>
      <c r="AX94">
        <f>AND(IF(Metadata!L94="",FALSE,TRUE),OR(exact(Metadata!L94,"Plant secretion"),exact(Metadata!L94,"Plant rhizosphere"),exact(Metadata!L94,"Plant surface"),exact(Metadata!L94,"Plant corpus"),exact(Metadata!L94,"Fungus surface"),exact(Metadata!L94,"Fungus corpus"),exact(Metadata!L94,"Animal surface"),exact(Metadata!L94,"Animal proximal gut"),exact(Metadata!L94,"Animal corpus"),exact(Metadata!L94,"Animal distal gut"),exact(Metadata!L94,"Animal secretion"),exact(Metadata!L94,"Sub-surface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Y94">
        <f>IF(Metadata!M94="",FALSE,TRUE)</f>
        <v>0</v>
      </c>
      <c r="AZ94">
        <f>IF(Metadata!N94="",FALSE,TRUE)</f>
        <v>0</v>
      </c>
      <c r="BA94">
        <f>IF(Metadata!O94="",FALSE,TRUE)</f>
        <v>0</v>
      </c>
      <c r="BB94">
        <f>OR(AND(IF(Metadata!P94="",FALSE,TRUE),OR(exact(Metadata!P94,"not collected"),exact(Metadata!P94,"not provided"),exact(Metadata!P94,"restricted access"))),AND(IF(Metadata!P94="",FALSE,TRUE),OR(exact(Metadata!P94,"air"),exact(Metadata!P94,"built environment"),exact(Metadata!P94,"host-associated"),exact(Metadata!P94,"human-associated"),exact(Metadata!P94,"human-skin"),exact(Metadata!P94,"human-oral"),exact(Metadata!P94,"human-gut"),exact(Metadata!P94,"human-vaginal"),exact(Metadata!P94,"microbial mat/biofilm"),exact(Metadata!P94,"misc environment"),exact(Metadata!P94,"plant-associated"),exact(Metadata!P94,"sediment"),exact(Metadata!P94,"soil"),exact(Metadata!P94,"wastewater/sludge"),exact(Metadata!P94,"water"))))</f>
        <v>0</v>
      </c>
      <c r="BC94">
        <f>IF(Metadata!Q94="",FALSE,TRUE)</f>
        <v>0</v>
      </c>
      <c r="BD94">
        <f>IF(Metadata!R94="",FALSE,TRUE)</f>
        <v>0</v>
      </c>
      <c r="BE94">
        <f>OR(AND(IF(Metadata!S94="",FALSE,TRUE),OR(exact(Metadata!S94,"not collected"),exact(Metadata!S94,"not provided"),exact(Metadata!S94,"restricted access"))),AND(IF(Metadata!S94="",FALSE,ISNUMBER(VALUE(Metadata!S94))),Metadata!S94&gt;=-90.00,Metadata!S94&lt;=90.00))</f>
        <v>0</v>
      </c>
      <c r="BF94">
        <f>AND(IF(Metadata!T94="",FALSE,TRUE),exact(Metadata!T94,"Decimal degrees"))</f>
        <v>0</v>
      </c>
      <c r="BG94">
        <f>OR(AND(IF(Metadata!U94="",FALSE,TRUE),OR(exact(Metadata!U94,"not collected"),exact(Metadata!U94,"not provided"),exact(Metadata!U94,"restricted access"))),AND(IF(Metadata!U94="",FALSE,ISNUMBER(VALUE(Metadata!U94))),Metadata!U94&gt;=-180.00,Metadata!U94&lt;=180.00))</f>
        <v>0</v>
      </c>
      <c r="BH94">
        <f>AND(IF(Metadata!V94="",FALSE,TRUE),exact(Metadata!V94,"Decimal degrees"))</f>
        <v>0</v>
      </c>
      <c r="BI94">
        <f>IF(Metadata!W94="",FALSE,TRUE)</f>
        <v>0</v>
      </c>
      <c r="BJ94">
        <f>OR(AND(IF(Metadata!X94="",FALSE,TRUE),OR(exact(Metadata!X94,"not collected"),exact(Metadata!X94,"not provided"),exact(Metadata!X94,"restricted access"))),AND(IF(Metadata!X94="",FALSE,TRUE),OR(exact(Metadata!X94,"TRUE"),exact(Metadata!X94,"FALSE"))))</f>
        <v>0</v>
      </c>
      <c r="BK94">
        <f>AND(IF(Metadata!Y94="",FALSE,TRUE),exact(Metadata!Y94,"other"))</f>
        <v>0</v>
      </c>
      <c r="BL94">
        <f>IF(Metadata!Z94="",FALSE,TRUE)</f>
        <v>0</v>
      </c>
      <c r="BM94">
        <f>OR(AND(IF(Metadata!AA94="",FALSE,TRUE),OR(exact(Metadata!AA94,"not collected"),exact(Metadata!AA94,"not provided"))),AND(IF(Metadata!AA94="",FALSE,IF(ISERROR(INT(Metadata!AA94)),FALSE,INT(Metadata!AA94)=Metadata!AA94)),Metadata!AA94&gt;0))</f>
        <v>0</v>
      </c>
      <c r="BN94">
        <f>AND(IF(Metadata!AB94="",FALSE,TRUE),exact(Metadata!AB94,"Not applicable"))</f>
        <v>0</v>
      </c>
      <c r="BO94">
        <f>IF(Metadata!AC94="",FALSE,TRUE)</f>
        <v>0</v>
      </c>
    </row>
    <row r="95" spans="1:67">
      <c r="A95" s="5">
        <f>IF(B95=" "," ",HYPERLINK(CONCATENATE("#metadata!",ADDRESS(INDEX($AI$2:$AI$1001,MATCH(ROWS($AG$2:AG95),$AG$2:$AG$1001,0),0),1)),INDEX($AL$2:$AL$1001,MATCH(ROWS($AG$2:AG95),$AG$2:$AG$1001,0),0)))</f>
        <v>0</v>
      </c>
      <c r="B95" s="4">
        <f>IF(OR(INDEX($AH$2:$AH$1001,MATCH(ROWS($AG$2:AG95),$AG$2:$AG$1001,0),1)&gt;=100000,INDEX($AN$1005:$BO$1005,1,MATCH(COLUMNS($AN$1006:AN1006),$AN$1006:$BO$1006,0))&gt;=100000), " ",IF(INDEX($AN$2:$BO$1001,MATCH(ROWS($AG$2:AG95),$AG$2:$AG$1001,0),MATCH(COLUMNS($AN$1006:AN1006),$AN$1006:$BO$1006,0)), HYPERLINK("#",""), HYPERLINK(CONCATENATE("#Metadata!", ADDRESS(INDEX($AI$2:$AI$1001,MATCH(ROWS($AG$2:AG95),$AG$2:$AG$1001,0),0), INDEX($AN$1004:$BO$1004,1,MATCH(COLUMNS($AN$1006:AN1006),$AN$1006:$BO$1006,0)))),"Fix")))</f>
        <v>0</v>
      </c>
      <c r="C95" s="4">
        <f>IF(OR(INDEX($AH$2:$AH$1001,MATCH(ROWS($AG$2:AG95),$AG$2:$AG$1001,0),1)&gt;=100000,INDEX($AN$1005:$BO$1005,1,MATCH(COLUMNS($AN$1006:AO1006),$AN$1006:$BO$1006,0))&gt;=100000), " ",IF(INDEX($AN$2:$BO$1001,MATCH(ROWS($AG$2:AG95),$AG$2:$AG$1001,0),MATCH(COLUMNS($AN$1006:AO1006),$AN$1006:$BO$1006,0)), HYPERLINK("#",""), HYPERLINK(CONCATENATE("#Metadata!", ADDRESS(INDEX($AI$2:$AI$1001,MATCH(ROWS($AG$2:AG95),$AG$2:$AG$1001,0),0), INDEX($AN$1004:$BO$1004,1,MATCH(COLUMNS($AN$1006:AO1006),$AN$1006:$BO$1006,0)))),"Fix")))</f>
        <v>0</v>
      </c>
      <c r="D95" s="4">
        <f>IF(OR(INDEX($AH$2:$AH$1001,MATCH(ROWS($AG$2:AG95),$AG$2:$AG$1001,0),1)&gt;=100000,INDEX($AN$1005:$BO$1005,1,MATCH(COLUMNS($AN$1006:AP1006),$AN$1006:$BO$1006,0))&gt;=100000), " ",IF(INDEX($AN$2:$BO$1001,MATCH(ROWS($AG$2:AG95),$AG$2:$AG$1001,0),MATCH(COLUMNS($AN$1006:AP1006),$AN$1006:$BO$1006,0)), HYPERLINK("#",""), HYPERLINK(CONCATENATE("#Metadata!", ADDRESS(INDEX($AI$2:$AI$1001,MATCH(ROWS($AG$2:AG95),$AG$2:$AG$1001,0),0), INDEX($AN$1004:$BO$1004,1,MATCH(COLUMNS($AN$1006:AP1006),$AN$1006:$BO$1006,0)))),"Fix")))</f>
        <v>0</v>
      </c>
      <c r="E95" s="4">
        <f>IF(OR(INDEX($AH$2:$AH$1001,MATCH(ROWS($AG$2:AG95),$AG$2:$AG$1001,0),1)&gt;=100000,INDEX($AN$1005:$BO$1005,1,MATCH(COLUMNS($AN$1006:AQ1006),$AN$1006:$BO$1006,0))&gt;=100000), " ",IF(INDEX($AN$2:$BO$1001,MATCH(ROWS($AG$2:AG95),$AG$2:$AG$1001,0),MATCH(COLUMNS($AN$1006:AQ1006),$AN$1006:$BO$1006,0)), HYPERLINK("#",""), HYPERLINK(CONCATENATE("#Metadata!", ADDRESS(INDEX($AI$2:$AI$1001,MATCH(ROWS($AG$2:AG95),$AG$2:$AG$1001,0),0), INDEX($AN$1004:$BO$1004,1,MATCH(COLUMNS($AN$1006:AQ1006),$AN$1006:$BO$1006,0)))),"Fix")))</f>
        <v>0</v>
      </c>
      <c r="F95" s="4">
        <f>IF(OR(INDEX($AH$2:$AH$1001,MATCH(ROWS($AG$2:AG95),$AG$2:$AG$1001,0),1)&gt;=100000,INDEX($AN$1005:$BO$1005,1,MATCH(COLUMNS($AN$1006:AR1006),$AN$1006:$BO$1006,0))&gt;=100000), " ",IF(INDEX($AN$2:$BO$1001,MATCH(ROWS($AG$2:AG95),$AG$2:$AG$1001,0),MATCH(COLUMNS($AN$1006:AR1006),$AN$1006:$BO$1006,0)), HYPERLINK("#",""), HYPERLINK(CONCATENATE("#Metadata!", ADDRESS(INDEX($AI$2:$AI$1001,MATCH(ROWS($AG$2:AG95),$AG$2:$AG$1001,0),0), INDEX($AN$1004:$BO$1004,1,MATCH(COLUMNS($AN$1006:AR1006),$AN$1006:$BO$1006,0)))),"Fix")))</f>
        <v>0</v>
      </c>
      <c r="G95" s="4">
        <f>IF(OR(INDEX($AH$2:$AH$1001,MATCH(ROWS($AG$2:AG95),$AG$2:$AG$1001,0),1)&gt;=100000,INDEX($AN$1005:$BO$1005,1,MATCH(COLUMNS($AN$1006:AS1006),$AN$1006:$BO$1006,0))&gt;=100000), " ",IF(INDEX($AN$2:$BO$1001,MATCH(ROWS($AG$2:AG95),$AG$2:$AG$1001,0),MATCH(COLUMNS($AN$1006:AS1006),$AN$1006:$BO$1006,0)), HYPERLINK("#",""), HYPERLINK(CONCATENATE("#Metadata!", ADDRESS(INDEX($AI$2:$AI$1001,MATCH(ROWS($AG$2:AG95),$AG$2:$AG$1001,0),0), INDEX($AN$1004:$BO$1004,1,MATCH(COLUMNS($AN$1006:AS1006),$AN$1006:$BO$1006,0)))),"Fix")))</f>
        <v>0</v>
      </c>
      <c r="H95" s="4">
        <f>IF(OR(INDEX($AH$2:$AH$1001,MATCH(ROWS($AG$2:AG95),$AG$2:$AG$1001,0),1)&gt;=100000,INDEX($AN$1005:$BO$1005,1,MATCH(COLUMNS($AN$1006:AT1006),$AN$1006:$BO$1006,0))&gt;=100000), " ",IF(INDEX($AN$2:$BO$1001,MATCH(ROWS($AG$2:AG95),$AG$2:$AG$1001,0),MATCH(COLUMNS($AN$1006:AT1006),$AN$1006:$BO$1006,0)), HYPERLINK("#",""), HYPERLINK(CONCATENATE("#Metadata!", ADDRESS(INDEX($AI$2:$AI$1001,MATCH(ROWS($AG$2:AG95),$AG$2:$AG$1001,0),0), INDEX($AN$1004:$BO$1004,1,MATCH(COLUMNS($AN$1006:AT1006),$AN$1006:$BO$1006,0)))),"Fix")))</f>
        <v>0</v>
      </c>
      <c r="I95" s="4">
        <f>IF(OR(INDEX($AH$2:$AH$1001,MATCH(ROWS($AG$2:AG95),$AG$2:$AG$1001,0),1)&gt;=100000,INDEX($AN$1005:$BO$1005,1,MATCH(COLUMNS($AN$1006:AU1006),$AN$1006:$BO$1006,0))&gt;=100000), " ",IF(INDEX($AN$2:$BO$1001,MATCH(ROWS($AG$2:AG95),$AG$2:$AG$1001,0),MATCH(COLUMNS($AN$1006:AU1006),$AN$1006:$BO$1006,0)), HYPERLINK("#",""), HYPERLINK(CONCATENATE("#Metadata!", ADDRESS(INDEX($AI$2:$AI$1001,MATCH(ROWS($AG$2:AG95),$AG$2:$AG$1001,0),0), INDEX($AN$1004:$BO$1004,1,MATCH(COLUMNS($AN$1006:AU1006),$AN$1006:$BO$1006,0)))),"Fix")))</f>
        <v>0</v>
      </c>
      <c r="J95" s="4">
        <f>IF(OR(INDEX($AH$2:$AH$1001,MATCH(ROWS($AG$2:AG95),$AG$2:$AG$1001,0),1)&gt;=100000,INDEX($AN$1005:$BO$1005,1,MATCH(COLUMNS($AN$1006:AV1006),$AN$1006:$BO$1006,0))&gt;=100000), " ",IF(INDEX($AN$2:$BO$1001,MATCH(ROWS($AG$2:AG95),$AG$2:$AG$1001,0),MATCH(COLUMNS($AN$1006:AV1006),$AN$1006:$BO$1006,0)), HYPERLINK("#",""), HYPERLINK(CONCATENATE("#Metadata!", ADDRESS(INDEX($AI$2:$AI$1001,MATCH(ROWS($AG$2:AG95),$AG$2:$AG$1001,0),0), INDEX($AN$1004:$BO$1004,1,MATCH(COLUMNS($AN$1006:AV1006),$AN$1006:$BO$1006,0)))),"Fix")))</f>
        <v>0</v>
      </c>
      <c r="K95" s="4">
        <f>IF(OR(INDEX($AH$2:$AH$1001,MATCH(ROWS($AG$2:AG95),$AG$2:$AG$1001,0),1)&gt;=100000,INDEX($AN$1005:$BO$1005,1,MATCH(COLUMNS($AN$1006:AW1006),$AN$1006:$BO$1006,0))&gt;=100000), " ",IF(INDEX($AN$2:$BO$1001,MATCH(ROWS($AG$2:AG95),$AG$2:$AG$1001,0),MATCH(COLUMNS($AN$1006:AW1006),$AN$1006:$BO$1006,0)), HYPERLINK("#",""), HYPERLINK(CONCATENATE("#Metadata!", ADDRESS(INDEX($AI$2:$AI$1001,MATCH(ROWS($AG$2:AG95),$AG$2:$AG$1001,0),0), INDEX($AN$1004:$BO$1004,1,MATCH(COLUMNS($AN$1006:AW1006),$AN$1006:$BO$1006,0)))),"Fix")))</f>
        <v>0</v>
      </c>
      <c r="L95" s="4">
        <f>IF(OR(INDEX($AH$2:$AH$1001,MATCH(ROWS($AG$2:AG95),$AG$2:$AG$1001,0),1)&gt;=100000,INDEX($AN$1005:$BO$1005,1,MATCH(COLUMNS($AN$1006:AX1006),$AN$1006:$BO$1006,0))&gt;=100000), " ",IF(INDEX($AN$2:$BO$1001,MATCH(ROWS($AG$2:AG95),$AG$2:$AG$1001,0),MATCH(COLUMNS($AN$1006:AX1006),$AN$1006:$BO$1006,0)), HYPERLINK("#",""), HYPERLINK(CONCATENATE("#Metadata!", ADDRESS(INDEX($AI$2:$AI$1001,MATCH(ROWS($AG$2:AG95),$AG$2:$AG$1001,0),0), INDEX($AN$1004:$BO$1004,1,MATCH(COLUMNS($AN$1006:AX1006),$AN$1006:$BO$1006,0)))),"Fix")))</f>
        <v>0</v>
      </c>
      <c r="M95" s="4">
        <f>IF(OR(INDEX($AH$2:$AH$1001,MATCH(ROWS($AG$2:AG95),$AG$2:$AG$1001,0),1)&gt;=100000,INDEX($AN$1005:$BO$1005,1,MATCH(COLUMNS($AN$1006:AY1006),$AN$1006:$BO$1006,0))&gt;=100000), " ",IF(INDEX($AN$2:$BO$1001,MATCH(ROWS($AG$2:AG95),$AG$2:$AG$1001,0),MATCH(COLUMNS($AN$1006:AY1006),$AN$1006:$BO$1006,0)), HYPERLINK("#",""), HYPERLINK(CONCATENATE("#Metadata!", ADDRESS(INDEX($AI$2:$AI$1001,MATCH(ROWS($AG$2:AG95),$AG$2:$AG$1001,0),0), INDEX($AN$1004:$BO$1004,1,MATCH(COLUMNS($AN$1006:AY1006),$AN$1006:$BO$1006,0)))),"Fix")))</f>
        <v>0</v>
      </c>
      <c r="N95" s="4">
        <f>IF(OR(INDEX($AH$2:$AH$1001,MATCH(ROWS($AG$2:AG95),$AG$2:$AG$1001,0),1)&gt;=100000,INDEX($AN$1005:$BO$1005,1,MATCH(COLUMNS($AN$1006:AZ1006),$AN$1006:$BO$1006,0))&gt;=100000), " ",IF(INDEX($AN$2:$BO$1001,MATCH(ROWS($AG$2:AG95),$AG$2:$AG$1001,0),MATCH(COLUMNS($AN$1006:AZ1006),$AN$1006:$BO$1006,0)), HYPERLINK("#",""), HYPERLINK(CONCATENATE("#Metadata!", ADDRESS(INDEX($AI$2:$AI$1001,MATCH(ROWS($AG$2:AG95),$AG$2:$AG$1001,0),0), INDEX($AN$1004:$BO$1004,1,MATCH(COLUMNS($AN$1006:AZ1006),$AN$1006:$BO$1006,0)))),"Fix")))</f>
        <v>0</v>
      </c>
      <c r="O95" s="4">
        <f>IF(OR(INDEX($AH$2:$AH$1001,MATCH(ROWS($AG$2:AG95),$AG$2:$AG$1001,0),1)&gt;=100000,INDEX($AN$1005:$BO$1005,1,MATCH(COLUMNS($AN$1006:BA1006),$AN$1006:$BO$1006,0))&gt;=100000), " ",IF(INDEX($AN$2:$BO$1001,MATCH(ROWS($AG$2:AG95),$AG$2:$AG$1001,0),MATCH(COLUMNS($AN$1006:BA1006),$AN$1006:$BO$1006,0)), HYPERLINK("#",""), HYPERLINK(CONCATENATE("#Metadata!", ADDRESS(INDEX($AI$2:$AI$1001,MATCH(ROWS($AG$2:AG95),$AG$2:$AG$1001,0),0), INDEX($AN$1004:$BO$1004,1,MATCH(COLUMNS($AN$1006:BA1006),$AN$1006:$BO$1006,0)))),"Fix")))</f>
        <v>0</v>
      </c>
      <c r="P95" s="4">
        <f>IF(OR(INDEX($AH$2:$AH$1001,MATCH(ROWS($AG$2:AG95),$AG$2:$AG$1001,0),1)&gt;=100000,INDEX($AN$1005:$BO$1005,1,MATCH(COLUMNS($AN$1006:BB1006),$AN$1006:$BO$1006,0))&gt;=100000), " ",IF(INDEX($AN$2:$BO$1001,MATCH(ROWS($AG$2:AG95),$AG$2:$AG$1001,0),MATCH(COLUMNS($AN$1006:BB1006),$AN$1006:$BO$1006,0)), HYPERLINK("#",""), HYPERLINK(CONCATENATE("#Metadata!", ADDRESS(INDEX($AI$2:$AI$1001,MATCH(ROWS($AG$2:AG95),$AG$2:$AG$1001,0),0), INDEX($AN$1004:$BO$1004,1,MATCH(COLUMNS($AN$1006:BB1006),$AN$1006:$BO$1006,0)))),"Fix")))</f>
        <v>0</v>
      </c>
      <c r="Q95" s="4">
        <f>IF(OR(INDEX($AH$2:$AH$1001,MATCH(ROWS($AG$2:AG95),$AG$2:$AG$1001,0),1)&gt;=100000,INDEX($AN$1005:$BO$1005,1,MATCH(COLUMNS($AN$1006:BC1006),$AN$1006:$BO$1006,0))&gt;=100000), " ",IF(INDEX($AN$2:$BO$1001,MATCH(ROWS($AG$2:AG95),$AG$2:$AG$1001,0),MATCH(COLUMNS($AN$1006:BC1006),$AN$1006:$BO$1006,0)), HYPERLINK("#",""), HYPERLINK(CONCATENATE("#Metadata!", ADDRESS(INDEX($AI$2:$AI$1001,MATCH(ROWS($AG$2:AG95),$AG$2:$AG$1001,0),0), INDEX($AN$1004:$BO$1004,1,MATCH(COLUMNS($AN$1006:BC1006),$AN$1006:$BO$1006,0)))),"Fix")))</f>
        <v>0</v>
      </c>
      <c r="R95" s="4">
        <f>IF(OR(INDEX($AH$2:$AH$1001,MATCH(ROWS($AG$2:AG95),$AG$2:$AG$1001,0),1)&gt;=100000,INDEX($AN$1005:$BO$1005,1,MATCH(COLUMNS($AN$1006:BD1006),$AN$1006:$BO$1006,0))&gt;=100000), " ",IF(INDEX($AN$2:$BO$1001,MATCH(ROWS($AG$2:AG95),$AG$2:$AG$1001,0),MATCH(COLUMNS($AN$1006:BD1006),$AN$1006:$BO$1006,0)), HYPERLINK("#",""), HYPERLINK(CONCATENATE("#Metadata!", ADDRESS(INDEX($AI$2:$AI$1001,MATCH(ROWS($AG$2:AG95),$AG$2:$AG$1001,0),0), INDEX($AN$1004:$BO$1004,1,MATCH(COLUMNS($AN$1006:BD1006),$AN$1006:$BO$1006,0)))),"Fix")))</f>
        <v>0</v>
      </c>
      <c r="S95" s="4">
        <f>IF(OR(INDEX($AH$2:$AH$1001,MATCH(ROWS($AG$2:AG95),$AG$2:$AG$1001,0),1)&gt;=100000,INDEX($AN$1005:$BO$1005,1,MATCH(COLUMNS($AN$1006:BE1006),$AN$1006:$BO$1006,0))&gt;=100000), " ",IF(INDEX($AN$2:$BO$1001,MATCH(ROWS($AG$2:AG95),$AG$2:$AG$1001,0),MATCH(COLUMNS($AN$1006:BE1006),$AN$1006:$BO$1006,0)), HYPERLINK("#",""), HYPERLINK(CONCATENATE("#Metadata!", ADDRESS(INDEX($AI$2:$AI$1001,MATCH(ROWS($AG$2:AG95),$AG$2:$AG$1001,0),0), INDEX($AN$1004:$BO$1004,1,MATCH(COLUMNS($AN$1006:BE1006),$AN$1006:$BO$1006,0)))),"Fix")))</f>
        <v>0</v>
      </c>
      <c r="T95" s="4">
        <f>IF(OR(INDEX($AH$2:$AH$1001,MATCH(ROWS($AG$2:AG95),$AG$2:$AG$1001,0),1)&gt;=100000,INDEX($AN$1005:$BO$1005,1,MATCH(COLUMNS($AN$1006:BF1006),$AN$1006:$BO$1006,0))&gt;=100000), " ",IF(INDEX($AN$2:$BO$1001,MATCH(ROWS($AG$2:AG95),$AG$2:$AG$1001,0),MATCH(COLUMNS($AN$1006:BF1006),$AN$1006:$BO$1006,0)), HYPERLINK("#",""), HYPERLINK(CONCATENATE("#Metadata!", ADDRESS(INDEX($AI$2:$AI$1001,MATCH(ROWS($AG$2:AG95),$AG$2:$AG$1001,0),0), INDEX($AN$1004:$BO$1004,1,MATCH(COLUMNS($AN$1006:BF1006),$AN$1006:$BO$1006,0)))),"Fix")))</f>
        <v>0</v>
      </c>
      <c r="U95" s="4">
        <f>IF(OR(INDEX($AH$2:$AH$1001,MATCH(ROWS($AG$2:AG95),$AG$2:$AG$1001,0),1)&gt;=100000,INDEX($AN$1005:$BO$1005,1,MATCH(COLUMNS($AN$1006:BG1006),$AN$1006:$BO$1006,0))&gt;=100000), " ",IF(INDEX($AN$2:$BO$1001,MATCH(ROWS($AG$2:AG95),$AG$2:$AG$1001,0),MATCH(COLUMNS($AN$1006:BG1006),$AN$1006:$BO$1006,0)), HYPERLINK("#",""), HYPERLINK(CONCATENATE("#Metadata!", ADDRESS(INDEX($AI$2:$AI$1001,MATCH(ROWS($AG$2:AG95),$AG$2:$AG$1001,0),0), INDEX($AN$1004:$BO$1004,1,MATCH(COLUMNS($AN$1006:BG1006),$AN$1006:$BO$1006,0)))),"Fix")))</f>
        <v>0</v>
      </c>
      <c r="V95" s="4">
        <f>IF(OR(INDEX($AH$2:$AH$1001,MATCH(ROWS($AG$2:AG95),$AG$2:$AG$1001,0),1)&gt;=100000,INDEX($AN$1005:$BO$1005,1,MATCH(COLUMNS($AN$1006:BH1006),$AN$1006:$BO$1006,0))&gt;=100000), " ",IF(INDEX($AN$2:$BO$1001,MATCH(ROWS($AG$2:AG95),$AG$2:$AG$1001,0),MATCH(COLUMNS($AN$1006:BH1006),$AN$1006:$BO$1006,0)), HYPERLINK("#",""), HYPERLINK(CONCATENATE("#Metadata!", ADDRESS(INDEX($AI$2:$AI$1001,MATCH(ROWS($AG$2:AG95),$AG$2:$AG$1001,0),0), INDEX($AN$1004:$BO$1004,1,MATCH(COLUMNS($AN$1006:BH1006),$AN$1006:$BO$1006,0)))),"Fix")))</f>
        <v>0</v>
      </c>
      <c r="W95" s="4">
        <f>IF(OR(INDEX($AH$2:$AH$1001,MATCH(ROWS($AG$2:AG95),$AG$2:$AG$1001,0),1)&gt;=100000,INDEX($AN$1005:$BO$1005,1,MATCH(COLUMNS($AN$1006:BI1006),$AN$1006:$BO$1006,0))&gt;=100000), " ",IF(INDEX($AN$2:$BO$1001,MATCH(ROWS($AG$2:AG95),$AG$2:$AG$1001,0),MATCH(COLUMNS($AN$1006:BI1006),$AN$1006:$BO$1006,0)), HYPERLINK("#",""), HYPERLINK(CONCATENATE("#Metadata!", ADDRESS(INDEX($AI$2:$AI$1001,MATCH(ROWS($AG$2:AG95),$AG$2:$AG$1001,0),0), INDEX($AN$1004:$BO$1004,1,MATCH(COLUMNS($AN$1006:BI1006),$AN$1006:$BO$1006,0)))),"Fix")))</f>
        <v>0</v>
      </c>
      <c r="X95" s="4">
        <f>IF(OR(INDEX($AH$2:$AH$1001,MATCH(ROWS($AG$2:AG95),$AG$2:$AG$1001,0),1)&gt;=100000,INDEX($AN$1005:$BO$1005,1,MATCH(COLUMNS($AN$1006:BJ1006),$AN$1006:$BO$1006,0))&gt;=100000), " ",IF(INDEX($AN$2:$BO$1001,MATCH(ROWS($AG$2:AG95),$AG$2:$AG$1001,0),MATCH(COLUMNS($AN$1006:BJ1006),$AN$1006:$BO$1006,0)), HYPERLINK("#",""), HYPERLINK(CONCATENATE("#Metadata!", ADDRESS(INDEX($AI$2:$AI$1001,MATCH(ROWS($AG$2:AG95),$AG$2:$AG$1001,0),0), INDEX($AN$1004:$BO$1004,1,MATCH(COLUMNS($AN$1006:BJ1006),$AN$1006:$BO$1006,0)))),"Fix")))</f>
        <v>0</v>
      </c>
      <c r="Y95" s="4">
        <f>IF(OR(INDEX($AH$2:$AH$1001,MATCH(ROWS($AG$2:AG95),$AG$2:$AG$1001,0),1)&gt;=100000,INDEX($AN$1005:$BO$1005,1,MATCH(COLUMNS($AN$1006:BK1006),$AN$1006:$BO$1006,0))&gt;=100000), " ",IF(INDEX($AN$2:$BO$1001,MATCH(ROWS($AG$2:AG95),$AG$2:$AG$1001,0),MATCH(COLUMNS($AN$1006:BK1006),$AN$1006:$BO$1006,0)), HYPERLINK("#",""), HYPERLINK(CONCATENATE("#Metadata!", ADDRESS(INDEX($AI$2:$AI$1001,MATCH(ROWS($AG$2:AG95),$AG$2:$AG$1001,0),0), INDEX($AN$1004:$BO$1004,1,MATCH(COLUMNS($AN$1006:BK1006),$AN$1006:$BO$1006,0)))),"Fix")))</f>
        <v>0</v>
      </c>
      <c r="Z95" s="4">
        <f>IF(OR(INDEX($AH$2:$AH$1001,MATCH(ROWS($AG$2:AG95),$AG$2:$AG$1001,0),1)&gt;=100000,INDEX($AN$1005:$BO$1005,1,MATCH(COLUMNS($AN$1006:BL1006),$AN$1006:$BO$1006,0))&gt;=100000), " ",IF(INDEX($AN$2:$BO$1001,MATCH(ROWS($AG$2:AG95),$AG$2:$AG$1001,0),MATCH(COLUMNS($AN$1006:BL1006),$AN$1006:$BO$1006,0)), HYPERLINK("#",""), HYPERLINK(CONCATENATE("#Metadata!", ADDRESS(INDEX($AI$2:$AI$1001,MATCH(ROWS($AG$2:AG95),$AG$2:$AG$1001,0),0), INDEX($AN$1004:$BO$1004,1,MATCH(COLUMNS($AN$1006:BL1006),$AN$1006:$BO$1006,0)))),"Fix")))</f>
        <v>0</v>
      </c>
      <c r="AA95" s="4">
        <f>IF(OR(INDEX($AH$2:$AH$1001,MATCH(ROWS($AG$2:AG95),$AG$2:$AG$1001,0),1)&gt;=100000,INDEX($AN$1005:$BO$1005,1,MATCH(COLUMNS($AN$1006:BM1006),$AN$1006:$BO$1006,0))&gt;=100000), " ",IF(INDEX($AN$2:$BO$1001,MATCH(ROWS($AG$2:AG95),$AG$2:$AG$1001,0),MATCH(COLUMNS($AN$1006:BM1006),$AN$1006:$BO$1006,0)), HYPERLINK("#",""), HYPERLINK(CONCATENATE("#Metadata!", ADDRESS(INDEX($AI$2:$AI$1001,MATCH(ROWS($AG$2:AG95),$AG$2:$AG$1001,0),0), INDEX($AN$1004:$BO$1004,1,MATCH(COLUMNS($AN$1006:BM1006),$AN$1006:$BO$1006,0)))),"Fix")))</f>
        <v>0</v>
      </c>
      <c r="AB95" s="4">
        <f>IF(OR(INDEX($AH$2:$AH$1001,MATCH(ROWS($AG$2:AG95),$AG$2:$AG$1001,0),1)&gt;=100000,INDEX($AN$1005:$BO$1005,1,MATCH(COLUMNS($AN$1006:BN1006),$AN$1006:$BO$1006,0))&gt;=100000), " ",IF(INDEX($AN$2:$BO$1001,MATCH(ROWS($AG$2:AG95),$AG$2:$AG$1001,0),MATCH(COLUMNS($AN$1006:BN1006),$AN$1006:$BO$1006,0)), HYPERLINK("#",""), HYPERLINK(CONCATENATE("#Metadata!", ADDRESS(INDEX($AI$2:$AI$1001,MATCH(ROWS($AG$2:AG95),$AG$2:$AG$1001,0),0), INDEX($AN$1004:$BO$1004,1,MATCH(COLUMNS($AN$1006:BN1006),$AN$1006:$BO$1006,0)))),"Fix")))</f>
        <v>0</v>
      </c>
      <c r="AC95" s="4">
        <f>IF(OR(INDEX($AH$2:$AH$1001,MATCH(ROWS($AG$2:AG95),$AG$2:$AG$1001,0),1)&gt;=100000,INDEX($AN$1005:$BO$1005,1,MATCH(COLUMNS($AN$1006:BO1006),$AN$1006:$BO$1006,0))&gt;=100000), " ",IF(INDEX($AN$2:$BO$1001,MATCH(ROWS($AG$2:AG95),$AG$2:$AG$1001,0),MATCH(COLUMNS($AN$1006:BO1006),$AN$1006:$BO$1006,0)), HYPERLINK("#",""), HYPERLINK(CONCATENATE("#Metadata!", ADDRESS(INDEX($AI$2:$AI$1001,MATCH(ROWS($AG$2:AG95),$AG$2:$AG$1001,0),0), INDEX($AN$1004:$BO$1004,1,MATCH(COLUMNS($AN$1006:BO1006),$AN$1006:$BO$1006,0)))),"Fix")))</f>
        <v>0</v>
      </c>
      <c r="AG95">
        <v>0</v>
      </c>
      <c r="AH95">
        <v>0</v>
      </c>
      <c r="AI95">
        <v>0</v>
      </c>
      <c r="AJ95">
        <f>IF(AK95,TRUE,AND(AN95:BO95))</f>
        <v>0</v>
      </c>
      <c r="AK95">
        <f>COUNTBLANK(Metadata!B95:AC95)=COLUMNS(Metadata!B95:AC95)</f>
        <v>0</v>
      </c>
      <c r="AL95">
        <v>0</v>
      </c>
      <c r="AN95">
        <f>AND(IF(Metadata!B95="",FALSE,TRUE),COUNTIF(Metadata!B:B, Metadata!B95) = 1,NOT(ISERROR(SUMPRODUCT(SEARCH(MID(Metadata!B95,ROW(INDIRECT("1:"&amp;LEN(Metadata!B95))), 1),"0123456789abcdefghijklmnopqrstuvwxyzABCDEFGHIJKLMNOPQRSTUVWXYZ.")))))</f>
        <v>0</v>
      </c>
      <c r="AO95">
        <f>IF(Metadata!C95="",FALSE,TRUE)</f>
        <v>0</v>
      </c>
      <c r="AP95">
        <f>IF(Metadata!D95="",FALSE,TRUE)</f>
        <v>0</v>
      </c>
      <c r="AQ95">
        <f>OR(AND(IF(Metadata!E95="",FALSE,TRUE),OR(exact(Metadata!E95,"not collected"),exact(Metadata!E95,"not provided"),exact(Metadata!E95,"restricted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R95">
        <f>IF(Metadata!F95="",FALSE,TRUE)</f>
        <v>0</v>
      </c>
      <c r="AS95">
        <f>OR(AND(IF(Metadata!G95="",FALSE,TRUE),OR(exact(Metadata!G95,"not collected"),exact(Metadata!G95,"not provided"))),AND(IF(Metadata!G95="",FALSE,TRUE),OR(exact(Metadata!G95,"TRUE"),exact(Metadata!G95,"FALSE"))))</f>
        <v>0</v>
      </c>
      <c r="AT95">
        <f>OR(AND(IF(Metadata!H95="",FALSE,TRUE),OR(exact(Metadata!H95,"not collected"),exact(Metadata!H95,"not provided"),exact(Metadata!H95,"restricted access"))),AND(IF(Metadata!H95="",FALSE,ISNUMBER(VALUE(Metadata!H95))),Metadata!H95&gt;=-413.0))</f>
        <v>0</v>
      </c>
      <c r="AU95">
        <f>AND(IF(Metadata!I95="",FALSE,TRUE),exact(Metadata!I95,"meters"))</f>
        <v>0</v>
      </c>
      <c r="AV95">
        <f>AND(IF(Metadata!J95="",FALSE,TRUE),OR(exact(Metadata!J95,"Host-associated"),exact(Metadata!J95,"Free-living")))</f>
        <v>0</v>
      </c>
      <c r="AW95">
        <f>AND(IF(Metadata!K95="",FALSE,TRUE),OR(exact(Metadata!K95,"Animal"),exact(Metadata!K95,"Fungus"),exact(Metadata!K95,"Plant"),exact(Metadata!K95,"Saline"),exact(Metadata!K95,"Non-saline")))</f>
        <v>0</v>
      </c>
      <c r="AX95">
        <f>AND(IF(Metadata!L95="",FALSE,TRUE),OR(exact(Metadata!L95,"Plant secretion"),exact(Metadata!L95,"Plant rhizosphere"),exact(Metadata!L95,"Plant surface"),exact(Metadata!L95,"Plant corpus"),exact(Metadata!L95,"Fungus surface"),exact(Metadata!L95,"Fungus corpus"),exact(Metadata!L95,"Animal surface"),exact(Metadata!L95,"Animal proximal gut"),exact(Metadata!L95,"Animal corpus"),exact(Metadata!L95,"Animal distal gut"),exact(Metadata!L95,"Animal secretion"),exact(Metadata!L95,"Sub-surface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Y95">
        <f>IF(Metadata!M95="",FALSE,TRUE)</f>
        <v>0</v>
      </c>
      <c r="AZ95">
        <f>IF(Metadata!N95="",FALSE,TRUE)</f>
        <v>0</v>
      </c>
      <c r="BA95">
        <f>IF(Metadata!O95="",FALSE,TRUE)</f>
        <v>0</v>
      </c>
      <c r="BB95">
        <f>OR(AND(IF(Metadata!P95="",FALSE,TRUE),OR(exact(Metadata!P95,"not collected"),exact(Metadata!P95,"not provided"),exact(Metadata!P95,"restricted access"))),AND(IF(Metadata!P95="",FALSE,TRUE),OR(exact(Metadata!P95,"air"),exact(Metadata!P95,"built environment"),exact(Metadata!P95,"host-associated"),exact(Metadata!P95,"human-associated"),exact(Metadata!P95,"human-skin"),exact(Metadata!P95,"human-oral"),exact(Metadata!P95,"human-gut"),exact(Metadata!P95,"human-vaginal"),exact(Metadata!P95,"microbial mat/biofilm"),exact(Metadata!P95,"misc environment"),exact(Metadata!P95,"plant-associated"),exact(Metadata!P95,"sediment"),exact(Metadata!P95,"soil"),exact(Metadata!P95,"wastewater/sludge"),exact(Metadata!P95,"water"))))</f>
        <v>0</v>
      </c>
      <c r="BC95">
        <f>IF(Metadata!Q95="",FALSE,TRUE)</f>
        <v>0</v>
      </c>
      <c r="BD95">
        <f>IF(Metadata!R95="",FALSE,TRUE)</f>
        <v>0</v>
      </c>
      <c r="BE95">
        <f>OR(AND(IF(Metadata!S95="",FALSE,TRUE),OR(exact(Metadata!S95,"not collected"),exact(Metadata!S95,"not provided"),exact(Metadata!S95,"restricted access"))),AND(IF(Metadata!S95="",FALSE,ISNUMBER(VALUE(Metadata!S95))),Metadata!S95&gt;=-90.00,Metadata!S95&lt;=90.00))</f>
        <v>0</v>
      </c>
      <c r="BF95">
        <f>AND(IF(Metadata!T95="",FALSE,TRUE),exact(Metadata!T95,"Decimal degrees"))</f>
        <v>0</v>
      </c>
      <c r="BG95">
        <f>OR(AND(IF(Metadata!U95="",FALSE,TRUE),OR(exact(Metadata!U95,"not collected"),exact(Metadata!U95,"not provided"),exact(Metadata!U95,"restricted access"))),AND(IF(Metadata!U95="",FALSE,ISNUMBER(VALUE(Metadata!U95))),Metadata!U95&gt;=-180.00,Metadata!U95&lt;=180.00))</f>
        <v>0</v>
      </c>
      <c r="BH95">
        <f>AND(IF(Metadata!V95="",FALSE,TRUE),exact(Metadata!V95,"Decimal degrees"))</f>
        <v>0</v>
      </c>
      <c r="BI95">
        <f>IF(Metadata!W95="",FALSE,TRUE)</f>
        <v>0</v>
      </c>
      <c r="BJ95">
        <f>OR(AND(IF(Metadata!X95="",FALSE,TRUE),OR(exact(Metadata!X95,"not collected"),exact(Metadata!X95,"not provided"),exact(Metadata!X95,"restricted access"))),AND(IF(Metadata!X95="",FALSE,TRUE),OR(exact(Metadata!X95,"TRUE"),exact(Metadata!X95,"FALSE"))))</f>
        <v>0</v>
      </c>
      <c r="BK95">
        <f>AND(IF(Metadata!Y95="",FALSE,TRUE),exact(Metadata!Y95,"other"))</f>
        <v>0</v>
      </c>
      <c r="BL95">
        <f>IF(Metadata!Z95="",FALSE,TRUE)</f>
        <v>0</v>
      </c>
      <c r="BM95">
        <f>OR(AND(IF(Metadata!AA95="",FALSE,TRUE),OR(exact(Metadata!AA95,"not collected"),exact(Metadata!AA95,"not provided"))),AND(IF(Metadata!AA95="",FALSE,IF(ISERROR(INT(Metadata!AA95)),FALSE,INT(Metadata!AA95)=Metadata!AA95)),Metadata!AA95&gt;0))</f>
        <v>0</v>
      </c>
      <c r="BN95">
        <f>AND(IF(Metadata!AB95="",FALSE,TRUE),exact(Metadata!AB95,"Not applicable"))</f>
        <v>0</v>
      </c>
      <c r="BO95">
        <f>IF(Metadata!AC95="",FALSE,TRUE)</f>
        <v>0</v>
      </c>
    </row>
    <row r="96" spans="1:67">
      <c r="A96" s="5">
        <f>IF(B96=" "," ",HYPERLINK(CONCATENATE("#metadata!",ADDRESS(INDEX($AI$2:$AI$1001,MATCH(ROWS($AG$2:AG96),$AG$2:$AG$1001,0),0),1)),INDEX($AL$2:$AL$1001,MATCH(ROWS($AG$2:AG96),$AG$2:$AG$1001,0),0)))</f>
        <v>0</v>
      </c>
      <c r="B96" s="4">
        <f>IF(OR(INDEX($AH$2:$AH$1001,MATCH(ROWS($AG$2:AG96),$AG$2:$AG$1001,0),1)&gt;=100000,INDEX($AN$1005:$BO$1005,1,MATCH(COLUMNS($AN$1006:AN1006),$AN$1006:$BO$1006,0))&gt;=100000), " ",IF(INDEX($AN$2:$BO$1001,MATCH(ROWS($AG$2:AG96),$AG$2:$AG$1001,0),MATCH(COLUMNS($AN$1006:AN1006),$AN$1006:$BO$1006,0)), HYPERLINK("#",""), HYPERLINK(CONCATENATE("#Metadata!", ADDRESS(INDEX($AI$2:$AI$1001,MATCH(ROWS($AG$2:AG96),$AG$2:$AG$1001,0),0), INDEX($AN$1004:$BO$1004,1,MATCH(COLUMNS($AN$1006:AN1006),$AN$1006:$BO$1006,0)))),"Fix")))</f>
        <v>0</v>
      </c>
      <c r="C96" s="4">
        <f>IF(OR(INDEX($AH$2:$AH$1001,MATCH(ROWS($AG$2:AG96),$AG$2:$AG$1001,0),1)&gt;=100000,INDEX($AN$1005:$BO$1005,1,MATCH(COLUMNS($AN$1006:AO1006),$AN$1006:$BO$1006,0))&gt;=100000), " ",IF(INDEX($AN$2:$BO$1001,MATCH(ROWS($AG$2:AG96),$AG$2:$AG$1001,0),MATCH(COLUMNS($AN$1006:AO1006),$AN$1006:$BO$1006,0)), HYPERLINK("#",""), HYPERLINK(CONCATENATE("#Metadata!", ADDRESS(INDEX($AI$2:$AI$1001,MATCH(ROWS($AG$2:AG96),$AG$2:$AG$1001,0),0), INDEX($AN$1004:$BO$1004,1,MATCH(COLUMNS($AN$1006:AO1006),$AN$1006:$BO$1006,0)))),"Fix")))</f>
        <v>0</v>
      </c>
      <c r="D96" s="4">
        <f>IF(OR(INDEX($AH$2:$AH$1001,MATCH(ROWS($AG$2:AG96),$AG$2:$AG$1001,0),1)&gt;=100000,INDEX($AN$1005:$BO$1005,1,MATCH(COLUMNS($AN$1006:AP1006),$AN$1006:$BO$1006,0))&gt;=100000), " ",IF(INDEX($AN$2:$BO$1001,MATCH(ROWS($AG$2:AG96),$AG$2:$AG$1001,0),MATCH(COLUMNS($AN$1006:AP1006),$AN$1006:$BO$1006,0)), HYPERLINK("#",""), HYPERLINK(CONCATENATE("#Metadata!", ADDRESS(INDEX($AI$2:$AI$1001,MATCH(ROWS($AG$2:AG96),$AG$2:$AG$1001,0),0), INDEX($AN$1004:$BO$1004,1,MATCH(COLUMNS($AN$1006:AP1006),$AN$1006:$BO$1006,0)))),"Fix")))</f>
        <v>0</v>
      </c>
      <c r="E96" s="4">
        <f>IF(OR(INDEX($AH$2:$AH$1001,MATCH(ROWS($AG$2:AG96),$AG$2:$AG$1001,0),1)&gt;=100000,INDEX($AN$1005:$BO$1005,1,MATCH(COLUMNS($AN$1006:AQ1006),$AN$1006:$BO$1006,0))&gt;=100000), " ",IF(INDEX($AN$2:$BO$1001,MATCH(ROWS($AG$2:AG96),$AG$2:$AG$1001,0),MATCH(COLUMNS($AN$1006:AQ1006),$AN$1006:$BO$1006,0)), HYPERLINK("#",""), HYPERLINK(CONCATENATE("#Metadata!", ADDRESS(INDEX($AI$2:$AI$1001,MATCH(ROWS($AG$2:AG96),$AG$2:$AG$1001,0),0), INDEX($AN$1004:$BO$1004,1,MATCH(COLUMNS($AN$1006:AQ1006),$AN$1006:$BO$1006,0)))),"Fix")))</f>
        <v>0</v>
      </c>
      <c r="F96" s="4">
        <f>IF(OR(INDEX($AH$2:$AH$1001,MATCH(ROWS($AG$2:AG96),$AG$2:$AG$1001,0),1)&gt;=100000,INDEX($AN$1005:$BO$1005,1,MATCH(COLUMNS($AN$1006:AR1006),$AN$1006:$BO$1006,0))&gt;=100000), " ",IF(INDEX($AN$2:$BO$1001,MATCH(ROWS($AG$2:AG96),$AG$2:$AG$1001,0),MATCH(COLUMNS($AN$1006:AR1006),$AN$1006:$BO$1006,0)), HYPERLINK("#",""), HYPERLINK(CONCATENATE("#Metadata!", ADDRESS(INDEX($AI$2:$AI$1001,MATCH(ROWS($AG$2:AG96),$AG$2:$AG$1001,0),0), INDEX($AN$1004:$BO$1004,1,MATCH(COLUMNS($AN$1006:AR1006),$AN$1006:$BO$1006,0)))),"Fix")))</f>
        <v>0</v>
      </c>
      <c r="G96" s="4">
        <f>IF(OR(INDEX($AH$2:$AH$1001,MATCH(ROWS($AG$2:AG96),$AG$2:$AG$1001,0),1)&gt;=100000,INDEX($AN$1005:$BO$1005,1,MATCH(COLUMNS($AN$1006:AS1006),$AN$1006:$BO$1006,0))&gt;=100000), " ",IF(INDEX($AN$2:$BO$1001,MATCH(ROWS($AG$2:AG96),$AG$2:$AG$1001,0),MATCH(COLUMNS($AN$1006:AS1006),$AN$1006:$BO$1006,0)), HYPERLINK("#",""), HYPERLINK(CONCATENATE("#Metadata!", ADDRESS(INDEX($AI$2:$AI$1001,MATCH(ROWS($AG$2:AG96),$AG$2:$AG$1001,0),0), INDEX($AN$1004:$BO$1004,1,MATCH(COLUMNS($AN$1006:AS1006),$AN$1006:$BO$1006,0)))),"Fix")))</f>
        <v>0</v>
      </c>
      <c r="H96" s="4">
        <f>IF(OR(INDEX($AH$2:$AH$1001,MATCH(ROWS($AG$2:AG96),$AG$2:$AG$1001,0),1)&gt;=100000,INDEX($AN$1005:$BO$1005,1,MATCH(COLUMNS($AN$1006:AT1006),$AN$1006:$BO$1006,0))&gt;=100000), " ",IF(INDEX($AN$2:$BO$1001,MATCH(ROWS($AG$2:AG96),$AG$2:$AG$1001,0),MATCH(COLUMNS($AN$1006:AT1006),$AN$1006:$BO$1006,0)), HYPERLINK("#",""), HYPERLINK(CONCATENATE("#Metadata!", ADDRESS(INDEX($AI$2:$AI$1001,MATCH(ROWS($AG$2:AG96),$AG$2:$AG$1001,0),0), INDEX($AN$1004:$BO$1004,1,MATCH(COLUMNS($AN$1006:AT1006),$AN$1006:$BO$1006,0)))),"Fix")))</f>
        <v>0</v>
      </c>
      <c r="I96" s="4">
        <f>IF(OR(INDEX($AH$2:$AH$1001,MATCH(ROWS($AG$2:AG96),$AG$2:$AG$1001,0),1)&gt;=100000,INDEX($AN$1005:$BO$1005,1,MATCH(COLUMNS($AN$1006:AU1006),$AN$1006:$BO$1006,0))&gt;=100000), " ",IF(INDEX($AN$2:$BO$1001,MATCH(ROWS($AG$2:AG96),$AG$2:$AG$1001,0),MATCH(COLUMNS($AN$1006:AU1006),$AN$1006:$BO$1006,0)), HYPERLINK("#",""), HYPERLINK(CONCATENATE("#Metadata!", ADDRESS(INDEX($AI$2:$AI$1001,MATCH(ROWS($AG$2:AG96),$AG$2:$AG$1001,0),0), INDEX($AN$1004:$BO$1004,1,MATCH(COLUMNS($AN$1006:AU1006),$AN$1006:$BO$1006,0)))),"Fix")))</f>
        <v>0</v>
      </c>
      <c r="J96" s="4">
        <f>IF(OR(INDEX($AH$2:$AH$1001,MATCH(ROWS($AG$2:AG96),$AG$2:$AG$1001,0),1)&gt;=100000,INDEX($AN$1005:$BO$1005,1,MATCH(COLUMNS($AN$1006:AV1006),$AN$1006:$BO$1006,0))&gt;=100000), " ",IF(INDEX($AN$2:$BO$1001,MATCH(ROWS($AG$2:AG96),$AG$2:$AG$1001,0),MATCH(COLUMNS($AN$1006:AV1006),$AN$1006:$BO$1006,0)), HYPERLINK("#",""), HYPERLINK(CONCATENATE("#Metadata!", ADDRESS(INDEX($AI$2:$AI$1001,MATCH(ROWS($AG$2:AG96),$AG$2:$AG$1001,0),0), INDEX($AN$1004:$BO$1004,1,MATCH(COLUMNS($AN$1006:AV1006),$AN$1006:$BO$1006,0)))),"Fix")))</f>
        <v>0</v>
      </c>
      <c r="K96" s="4">
        <f>IF(OR(INDEX($AH$2:$AH$1001,MATCH(ROWS($AG$2:AG96),$AG$2:$AG$1001,0),1)&gt;=100000,INDEX($AN$1005:$BO$1005,1,MATCH(COLUMNS($AN$1006:AW1006),$AN$1006:$BO$1006,0))&gt;=100000), " ",IF(INDEX($AN$2:$BO$1001,MATCH(ROWS($AG$2:AG96),$AG$2:$AG$1001,0),MATCH(COLUMNS($AN$1006:AW1006),$AN$1006:$BO$1006,0)), HYPERLINK("#",""), HYPERLINK(CONCATENATE("#Metadata!", ADDRESS(INDEX($AI$2:$AI$1001,MATCH(ROWS($AG$2:AG96),$AG$2:$AG$1001,0),0), INDEX($AN$1004:$BO$1004,1,MATCH(COLUMNS($AN$1006:AW1006),$AN$1006:$BO$1006,0)))),"Fix")))</f>
        <v>0</v>
      </c>
      <c r="L96" s="4">
        <f>IF(OR(INDEX($AH$2:$AH$1001,MATCH(ROWS($AG$2:AG96),$AG$2:$AG$1001,0),1)&gt;=100000,INDEX($AN$1005:$BO$1005,1,MATCH(COLUMNS($AN$1006:AX1006),$AN$1006:$BO$1006,0))&gt;=100000), " ",IF(INDEX($AN$2:$BO$1001,MATCH(ROWS($AG$2:AG96),$AG$2:$AG$1001,0),MATCH(COLUMNS($AN$1006:AX1006),$AN$1006:$BO$1006,0)), HYPERLINK("#",""), HYPERLINK(CONCATENATE("#Metadata!", ADDRESS(INDEX($AI$2:$AI$1001,MATCH(ROWS($AG$2:AG96),$AG$2:$AG$1001,0),0), INDEX($AN$1004:$BO$1004,1,MATCH(COLUMNS($AN$1006:AX1006),$AN$1006:$BO$1006,0)))),"Fix")))</f>
        <v>0</v>
      </c>
      <c r="M96" s="4">
        <f>IF(OR(INDEX($AH$2:$AH$1001,MATCH(ROWS($AG$2:AG96),$AG$2:$AG$1001,0),1)&gt;=100000,INDEX($AN$1005:$BO$1005,1,MATCH(COLUMNS($AN$1006:AY1006),$AN$1006:$BO$1006,0))&gt;=100000), " ",IF(INDEX($AN$2:$BO$1001,MATCH(ROWS($AG$2:AG96),$AG$2:$AG$1001,0),MATCH(COLUMNS($AN$1006:AY1006),$AN$1006:$BO$1006,0)), HYPERLINK("#",""), HYPERLINK(CONCATENATE("#Metadata!", ADDRESS(INDEX($AI$2:$AI$1001,MATCH(ROWS($AG$2:AG96),$AG$2:$AG$1001,0),0), INDEX($AN$1004:$BO$1004,1,MATCH(COLUMNS($AN$1006:AY1006),$AN$1006:$BO$1006,0)))),"Fix")))</f>
        <v>0</v>
      </c>
      <c r="N96" s="4">
        <f>IF(OR(INDEX($AH$2:$AH$1001,MATCH(ROWS($AG$2:AG96),$AG$2:$AG$1001,0),1)&gt;=100000,INDEX($AN$1005:$BO$1005,1,MATCH(COLUMNS($AN$1006:AZ1006),$AN$1006:$BO$1006,0))&gt;=100000), " ",IF(INDEX($AN$2:$BO$1001,MATCH(ROWS($AG$2:AG96),$AG$2:$AG$1001,0),MATCH(COLUMNS($AN$1006:AZ1006),$AN$1006:$BO$1006,0)), HYPERLINK("#",""), HYPERLINK(CONCATENATE("#Metadata!", ADDRESS(INDEX($AI$2:$AI$1001,MATCH(ROWS($AG$2:AG96),$AG$2:$AG$1001,0),0), INDEX($AN$1004:$BO$1004,1,MATCH(COLUMNS($AN$1006:AZ1006),$AN$1006:$BO$1006,0)))),"Fix")))</f>
        <v>0</v>
      </c>
      <c r="O96" s="4">
        <f>IF(OR(INDEX($AH$2:$AH$1001,MATCH(ROWS($AG$2:AG96),$AG$2:$AG$1001,0),1)&gt;=100000,INDEX($AN$1005:$BO$1005,1,MATCH(COLUMNS($AN$1006:BA1006),$AN$1006:$BO$1006,0))&gt;=100000), " ",IF(INDEX($AN$2:$BO$1001,MATCH(ROWS($AG$2:AG96),$AG$2:$AG$1001,0),MATCH(COLUMNS($AN$1006:BA1006),$AN$1006:$BO$1006,0)), HYPERLINK("#",""), HYPERLINK(CONCATENATE("#Metadata!", ADDRESS(INDEX($AI$2:$AI$1001,MATCH(ROWS($AG$2:AG96),$AG$2:$AG$1001,0),0), INDEX($AN$1004:$BO$1004,1,MATCH(COLUMNS($AN$1006:BA1006),$AN$1006:$BO$1006,0)))),"Fix")))</f>
        <v>0</v>
      </c>
      <c r="P96" s="4">
        <f>IF(OR(INDEX($AH$2:$AH$1001,MATCH(ROWS($AG$2:AG96),$AG$2:$AG$1001,0),1)&gt;=100000,INDEX($AN$1005:$BO$1005,1,MATCH(COLUMNS($AN$1006:BB1006),$AN$1006:$BO$1006,0))&gt;=100000), " ",IF(INDEX($AN$2:$BO$1001,MATCH(ROWS($AG$2:AG96),$AG$2:$AG$1001,0),MATCH(COLUMNS($AN$1006:BB1006),$AN$1006:$BO$1006,0)), HYPERLINK("#",""), HYPERLINK(CONCATENATE("#Metadata!", ADDRESS(INDEX($AI$2:$AI$1001,MATCH(ROWS($AG$2:AG96),$AG$2:$AG$1001,0),0), INDEX($AN$1004:$BO$1004,1,MATCH(COLUMNS($AN$1006:BB1006),$AN$1006:$BO$1006,0)))),"Fix")))</f>
        <v>0</v>
      </c>
      <c r="Q96" s="4">
        <f>IF(OR(INDEX($AH$2:$AH$1001,MATCH(ROWS($AG$2:AG96),$AG$2:$AG$1001,0),1)&gt;=100000,INDEX($AN$1005:$BO$1005,1,MATCH(COLUMNS($AN$1006:BC1006),$AN$1006:$BO$1006,0))&gt;=100000), " ",IF(INDEX($AN$2:$BO$1001,MATCH(ROWS($AG$2:AG96),$AG$2:$AG$1001,0),MATCH(COLUMNS($AN$1006:BC1006),$AN$1006:$BO$1006,0)), HYPERLINK("#",""), HYPERLINK(CONCATENATE("#Metadata!", ADDRESS(INDEX($AI$2:$AI$1001,MATCH(ROWS($AG$2:AG96),$AG$2:$AG$1001,0),0), INDEX($AN$1004:$BO$1004,1,MATCH(COLUMNS($AN$1006:BC1006),$AN$1006:$BO$1006,0)))),"Fix")))</f>
        <v>0</v>
      </c>
      <c r="R96" s="4">
        <f>IF(OR(INDEX($AH$2:$AH$1001,MATCH(ROWS($AG$2:AG96),$AG$2:$AG$1001,0),1)&gt;=100000,INDEX($AN$1005:$BO$1005,1,MATCH(COLUMNS($AN$1006:BD1006),$AN$1006:$BO$1006,0))&gt;=100000), " ",IF(INDEX($AN$2:$BO$1001,MATCH(ROWS($AG$2:AG96),$AG$2:$AG$1001,0),MATCH(COLUMNS($AN$1006:BD1006),$AN$1006:$BO$1006,0)), HYPERLINK("#",""), HYPERLINK(CONCATENATE("#Metadata!", ADDRESS(INDEX($AI$2:$AI$1001,MATCH(ROWS($AG$2:AG96),$AG$2:$AG$1001,0),0), INDEX($AN$1004:$BO$1004,1,MATCH(COLUMNS($AN$1006:BD1006),$AN$1006:$BO$1006,0)))),"Fix")))</f>
        <v>0</v>
      </c>
      <c r="S96" s="4">
        <f>IF(OR(INDEX($AH$2:$AH$1001,MATCH(ROWS($AG$2:AG96),$AG$2:$AG$1001,0),1)&gt;=100000,INDEX($AN$1005:$BO$1005,1,MATCH(COLUMNS($AN$1006:BE1006),$AN$1006:$BO$1006,0))&gt;=100000), " ",IF(INDEX($AN$2:$BO$1001,MATCH(ROWS($AG$2:AG96),$AG$2:$AG$1001,0),MATCH(COLUMNS($AN$1006:BE1006),$AN$1006:$BO$1006,0)), HYPERLINK("#",""), HYPERLINK(CONCATENATE("#Metadata!", ADDRESS(INDEX($AI$2:$AI$1001,MATCH(ROWS($AG$2:AG96),$AG$2:$AG$1001,0),0), INDEX($AN$1004:$BO$1004,1,MATCH(COLUMNS($AN$1006:BE1006),$AN$1006:$BO$1006,0)))),"Fix")))</f>
        <v>0</v>
      </c>
      <c r="T96" s="4">
        <f>IF(OR(INDEX($AH$2:$AH$1001,MATCH(ROWS($AG$2:AG96),$AG$2:$AG$1001,0),1)&gt;=100000,INDEX($AN$1005:$BO$1005,1,MATCH(COLUMNS($AN$1006:BF1006),$AN$1006:$BO$1006,0))&gt;=100000), " ",IF(INDEX($AN$2:$BO$1001,MATCH(ROWS($AG$2:AG96),$AG$2:$AG$1001,0),MATCH(COLUMNS($AN$1006:BF1006),$AN$1006:$BO$1006,0)), HYPERLINK("#",""), HYPERLINK(CONCATENATE("#Metadata!", ADDRESS(INDEX($AI$2:$AI$1001,MATCH(ROWS($AG$2:AG96),$AG$2:$AG$1001,0),0), INDEX($AN$1004:$BO$1004,1,MATCH(COLUMNS($AN$1006:BF1006),$AN$1006:$BO$1006,0)))),"Fix")))</f>
        <v>0</v>
      </c>
      <c r="U96" s="4">
        <f>IF(OR(INDEX($AH$2:$AH$1001,MATCH(ROWS($AG$2:AG96),$AG$2:$AG$1001,0),1)&gt;=100000,INDEX($AN$1005:$BO$1005,1,MATCH(COLUMNS($AN$1006:BG1006),$AN$1006:$BO$1006,0))&gt;=100000), " ",IF(INDEX($AN$2:$BO$1001,MATCH(ROWS($AG$2:AG96),$AG$2:$AG$1001,0),MATCH(COLUMNS($AN$1006:BG1006),$AN$1006:$BO$1006,0)), HYPERLINK("#",""), HYPERLINK(CONCATENATE("#Metadata!", ADDRESS(INDEX($AI$2:$AI$1001,MATCH(ROWS($AG$2:AG96),$AG$2:$AG$1001,0),0), INDEX($AN$1004:$BO$1004,1,MATCH(COLUMNS($AN$1006:BG1006),$AN$1006:$BO$1006,0)))),"Fix")))</f>
        <v>0</v>
      </c>
      <c r="V96" s="4">
        <f>IF(OR(INDEX($AH$2:$AH$1001,MATCH(ROWS($AG$2:AG96),$AG$2:$AG$1001,0),1)&gt;=100000,INDEX($AN$1005:$BO$1005,1,MATCH(COLUMNS($AN$1006:BH1006),$AN$1006:$BO$1006,0))&gt;=100000), " ",IF(INDEX($AN$2:$BO$1001,MATCH(ROWS($AG$2:AG96),$AG$2:$AG$1001,0),MATCH(COLUMNS($AN$1006:BH1006),$AN$1006:$BO$1006,0)), HYPERLINK("#",""), HYPERLINK(CONCATENATE("#Metadata!", ADDRESS(INDEX($AI$2:$AI$1001,MATCH(ROWS($AG$2:AG96),$AG$2:$AG$1001,0),0), INDEX($AN$1004:$BO$1004,1,MATCH(COLUMNS($AN$1006:BH1006),$AN$1006:$BO$1006,0)))),"Fix")))</f>
        <v>0</v>
      </c>
      <c r="W96" s="4">
        <f>IF(OR(INDEX($AH$2:$AH$1001,MATCH(ROWS($AG$2:AG96),$AG$2:$AG$1001,0),1)&gt;=100000,INDEX($AN$1005:$BO$1005,1,MATCH(COLUMNS($AN$1006:BI1006),$AN$1006:$BO$1006,0))&gt;=100000), " ",IF(INDEX($AN$2:$BO$1001,MATCH(ROWS($AG$2:AG96),$AG$2:$AG$1001,0),MATCH(COLUMNS($AN$1006:BI1006),$AN$1006:$BO$1006,0)), HYPERLINK("#",""), HYPERLINK(CONCATENATE("#Metadata!", ADDRESS(INDEX($AI$2:$AI$1001,MATCH(ROWS($AG$2:AG96),$AG$2:$AG$1001,0),0), INDEX($AN$1004:$BO$1004,1,MATCH(COLUMNS($AN$1006:BI1006),$AN$1006:$BO$1006,0)))),"Fix")))</f>
        <v>0</v>
      </c>
      <c r="X96" s="4">
        <f>IF(OR(INDEX($AH$2:$AH$1001,MATCH(ROWS($AG$2:AG96),$AG$2:$AG$1001,0),1)&gt;=100000,INDEX($AN$1005:$BO$1005,1,MATCH(COLUMNS($AN$1006:BJ1006),$AN$1006:$BO$1006,0))&gt;=100000), " ",IF(INDEX($AN$2:$BO$1001,MATCH(ROWS($AG$2:AG96),$AG$2:$AG$1001,0),MATCH(COLUMNS($AN$1006:BJ1006),$AN$1006:$BO$1006,0)), HYPERLINK("#",""), HYPERLINK(CONCATENATE("#Metadata!", ADDRESS(INDEX($AI$2:$AI$1001,MATCH(ROWS($AG$2:AG96),$AG$2:$AG$1001,0),0), INDEX($AN$1004:$BO$1004,1,MATCH(COLUMNS($AN$1006:BJ1006),$AN$1006:$BO$1006,0)))),"Fix")))</f>
        <v>0</v>
      </c>
      <c r="Y96" s="4">
        <f>IF(OR(INDEX($AH$2:$AH$1001,MATCH(ROWS($AG$2:AG96),$AG$2:$AG$1001,0),1)&gt;=100000,INDEX($AN$1005:$BO$1005,1,MATCH(COLUMNS($AN$1006:BK1006),$AN$1006:$BO$1006,0))&gt;=100000), " ",IF(INDEX($AN$2:$BO$1001,MATCH(ROWS($AG$2:AG96),$AG$2:$AG$1001,0),MATCH(COLUMNS($AN$1006:BK1006),$AN$1006:$BO$1006,0)), HYPERLINK("#",""), HYPERLINK(CONCATENATE("#Metadata!", ADDRESS(INDEX($AI$2:$AI$1001,MATCH(ROWS($AG$2:AG96),$AG$2:$AG$1001,0),0), INDEX($AN$1004:$BO$1004,1,MATCH(COLUMNS($AN$1006:BK1006),$AN$1006:$BO$1006,0)))),"Fix")))</f>
        <v>0</v>
      </c>
      <c r="Z96" s="4">
        <f>IF(OR(INDEX($AH$2:$AH$1001,MATCH(ROWS($AG$2:AG96),$AG$2:$AG$1001,0),1)&gt;=100000,INDEX($AN$1005:$BO$1005,1,MATCH(COLUMNS($AN$1006:BL1006),$AN$1006:$BO$1006,0))&gt;=100000), " ",IF(INDEX($AN$2:$BO$1001,MATCH(ROWS($AG$2:AG96),$AG$2:$AG$1001,0),MATCH(COLUMNS($AN$1006:BL1006),$AN$1006:$BO$1006,0)), HYPERLINK("#",""), HYPERLINK(CONCATENATE("#Metadata!", ADDRESS(INDEX($AI$2:$AI$1001,MATCH(ROWS($AG$2:AG96),$AG$2:$AG$1001,0),0), INDEX($AN$1004:$BO$1004,1,MATCH(COLUMNS($AN$1006:BL1006),$AN$1006:$BO$1006,0)))),"Fix")))</f>
        <v>0</v>
      </c>
      <c r="AA96" s="4">
        <f>IF(OR(INDEX($AH$2:$AH$1001,MATCH(ROWS($AG$2:AG96),$AG$2:$AG$1001,0),1)&gt;=100000,INDEX($AN$1005:$BO$1005,1,MATCH(COLUMNS($AN$1006:BM1006),$AN$1006:$BO$1006,0))&gt;=100000), " ",IF(INDEX($AN$2:$BO$1001,MATCH(ROWS($AG$2:AG96),$AG$2:$AG$1001,0),MATCH(COLUMNS($AN$1006:BM1006),$AN$1006:$BO$1006,0)), HYPERLINK("#",""), HYPERLINK(CONCATENATE("#Metadata!", ADDRESS(INDEX($AI$2:$AI$1001,MATCH(ROWS($AG$2:AG96),$AG$2:$AG$1001,0),0), INDEX($AN$1004:$BO$1004,1,MATCH(COLUMNS($AN$1006:BM1006),$AN$1006:$BO$1006,0)))),"Fix")))</f>
        <v>0</v>
      </c>
      <c r="AB96" s="4">
        <f>IF(OR(INDEX($AH$2:$AH$1001,MATCH(ROWS($AG$2:AG96),$AG$2:$AG$1001,0),1)&gt;=100000,INDEX($AN$1005:$BO$1005,1,MATCH(COLUMNS($AN$1006:BN1006),$AN$1006:$BO$1006,0))&gt;=100000), " ",IF(INDEX($AN$2:$BO$1001,MATCH(ROWS($AG$2:AG96),$AG$2:$AG$1001,0),MATCH(COLUMNS($AN$1006:BN1006),$AN$1006:$BO$1006,0)), HYPERLINK("#",""), HYPERLINK(CONCATENATE("#Metadata!", ADDRESS(INDEX($AI$2:$AI$1001,MATCH(ROWS($AG$2:AG96),$AG$2:$AG$1001,0),0), INDEX($AN$1004:$BO$1004,1,MATCH(COLUMNS($AN$1006:BN1006),$AN$1006:$BO$1006,0)))),"Fix")))</f>
        <v>0</v>
      </c>
      <c r="AC96" s="4">
        <f>IF(OR(INDEX($AH$2:$AH$1001,MATCH(ROWS($AG$2:AG96),$AG$2:$AG$1001,0),1)&gt;=100000,INDEX($AN$1005:$BO$1005,1,MATCH(COLUMNS($AN$1006:BO1006),$AN$1006:$BO$1006,0))&gt;=100000), " ",IF(INDEX($AN$2:$BO$1001,MATCH(ROWS($AG$2:AG96),$AG$2:$AG$1001,0),MATCH(COLUMNS($AN$1006:BO1006),$AN$1006:$BO$1006,0)), HYPERLINK("#",""), HYPERLINK(CONCATENATE("#Metadata!", ADDRESS(INDEX($AI$2:$AI$1001,MATCH(ROWS($AG$2:AG96),$AG$2:$AG$1001,0),0), INDEX($AN$1004:$BO$1004,1,MATCH(COLUMNS($AN$1006:BO1006),$AN$1006:$BO$1006,0)))),"Fix")))</f>
        <v>0</v>
      </c>
      <c r="AG96">
        <v>0</v>
      </c>
      <c r="AH96">
        <v>0</v>
      </c>
      <c r="AI96">
        <v>0</v>
      </c>
      <c r="AJ96">
        <f>IF(AK96,TRUE,AND(AN96:BO96))</f>
        <v>0</v>
      </c>
      <c r="AK96">
        <f>COUNTBLANK(Metadata!B96:AC96)=COLUMNS(Metadata!B96:AC96)</f>
        <v>0</v>
      </c>
      <c r="AL96">
        <v>0</v>
      </c>
      <c r="AN96">
        <f>AND(IF(Metadata!B96="",FALSE,TRUE),COUNTIF(Metadata!B:B, Metadata!B96) = 1,NOT(ISERROR(SUMPRODUCT(SEARCH(MID(Metadata!B96,ROW(INDIRECT("1:"&amp;LEN(Metadata!B96))), 1),"0123456789abcdefghijklmnopqrstuvwxyzABCDEFGHIJKLMNOPQRSTUVWXYZ.")))))</f>
        <v>0</v>
      </c>
      <c r="AO96">
        <f>IF(Metadata!C96="",FALSE,TRUE)</f>
        <v>0</v>
      </c>
      <c r="AP96">
        <f>IF(Metadata!D96="",FALSE,TRUE)</f>
        <v>0</v>
      </c>
      <c r="AQ96">
        <f>OR(AND(IF(Metadata!E96="",FALSE,TRUE),OR(exact(Metadata!E96,"not collected"),exact(Metadata!E96,"not provided"),exact(Metadata!E96,"restricted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R96">
        <f>IF(Metadata!F96="",FALSE,TRUE)</f>
        <v>0</v>
      </c>
      <c r="AS96">
        <f>OR(AND(IF(Metadata!G96="",FALSE,TRUE),OR(exact(Metadata!G96,"not collected"),exact(Metadata!G96,"not provided"))),AND(IF(Metadata!G96="",FALSE,TRUE),OR(exact(Metadata!G96,"TRUE"),exact(Metadata!G96,"FALSE"))))</f>
        <v>0</v>
      </c>
      <c r="AT96">
        <f>OR(AND(IF(Metadata!H96="",FALSE,TRUE),OR(exact(Metadata!H96,"not collected"),exact(Metadata!H96,"not provided"),exact(Metadata!H96,"restricted access"))),AND(IF(Metadata!H96="",FALSE,ISNUMBER(VALUE(Metadata!H96))),Metadata!H96&gt;=-413.0))</f>
        <v>0</v>
      </c>
      <c r="AU96">
        <f>AND(IF(Metadata!I96="",FALSE,TRUE),exact(Metadata!I96,"meters"))</f>
        <v>0</v>
      </c>
      <c r="AV96">
        <f>AND(IF(Metadata!J96="",FALSE,TRUE),OR(exact(Metadata!J96,"Host-associated"),exact(Metadata!J96,"Free-living")))</f>
        <v>0</v>
      </c>
      <c r="AW96">
        <f>AND(IF(Metadata!K96="",FALSE,TRUE),OR(exact(Metadata!K96,"Animal"),exact(Metadata!K96,"Fungus"),exact(Metadata!K96,"Plant"),exact(Metadata!K96,"Saline"),exact(Metadata!K96,"Non-saline")))</f>
        <v>0</v>
      </c>
      <c r="AX96">
        <f>AND(IF(Metadata!L96="",FALSE,TRUE),OR(exact(Metadata!L96,"Plant secretion"),exact(Metadata!L96,"Plant rhizosphere"),exact(Metadata!L96,"Plant surface"),exact(Metadata!L96,"Plant corpus"),exact(Metadata!L96,"Fungus surface"),exact(Metadata!L96,"Fungus corpus"),exact(Metadata!L96,"Animal surface"),exact(Metadata!L96,"Animal proximal gut"),exact(Metadata!L96,"Animal corpus"),exact(Metadata!L96,"Animal distal gut"),exact(Metadata!L96,"Animal secretion"),exact(Metadata!L96,"Sub-surface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Y96">
        <f>IF(Metadata!M96="",FALSE,TRUE)</f>
        <v>0</v>
      </c>
      <c r="AZ96">
        <f>IF(Metadata!N96="",FALSE,TRUE)</f>
        <v>0</v>
      </c>
      <c r="BA96">
        <f>IF(Metadata!O96="",FALSE,TRUE)</f>
        <v>0</v>
      </c>
      <c r="BB96">
        <f>OR(AND(IF(Metadata!P96="",FALSE,TRUE),OR(exact(Metadata!P96,"not collected"),exact(Metadata!P96,"not provided"),exact(Metadata!P96,"restricted access"))),AND(IF(Metadata!P96="",FALSE,TRUE),OR(exact(Metadata!P96,"air"),exact(Metadata!P96,"built environment"),exact(Metadata!P96,"host-associated"),exact(Metadata!P96,"human-associated"),exact(Metadata!P96,"human-skin"),exact(Metadata!P96,"human-oral"),exact(Metadata!P96,"human-gut"),exact(Metadata!P96,"human-vaginal"),exact(Metadata!P96,"microbial mat/biofilm"),exact(Metadata!P96,"misc environment"),exact(Metadata!P96,"plant-associated"),exact(Metadata!P96,"sediment"),exact(Metadata!P96,"soil"),exact(Metadata!P96,"wastewater/sludge"),exact(Metadata!P96,"water"))))</f>
        <v>0</v>
      </c>
      <c r="BC96">
        <f>IF(Metadata!Q96="",FALSE,TRUE)</f>
        <v>0</v>
      </c>
      <c r="BD96">
        <f>IF(Metadata!R96="",FALSE,TRUE)</f>
        <v>0</v>
      </c>
      <c r="BE96">
        <f>OR(AND(IF(Metadata!S96="",FALSE,TRUE),OR(exact(Metadata!S96,"not collected"),exact(Metadata!S96,"not provided"),exact(Metadata!S96,"restricted access"))),AND(IF(Metadata!S96="",FALSE,ISNUMBER(VALUE(Metadata!S96))),Metadata!S96&gt;=-90.00,Metadata!S96&lt;=90.00))</f>
        <v>0</v>
      </c>
      <c r="BF96">
        <f>AND(IF(Metadata!T96="",FALSE,TRUE),exact(Metadata!T96,"Decimal degrees"))</f>
        <v>0</v>
      </c>
      <c r="BG96">
        <f>OR(AND(IF(Metadata!U96="",FALSE,TRUE),OR(exact(Metadata!U96,"not collected"),exact(Metadata!U96,"not provided"),exact(Metadata!U96,"restricted access"))),AND(IF(Metadata!U96="",FALSE,ISNUMBER(VALUE(Metadata!U96))),Metadata!U96&gt;=-180.00,Metadata!U96&lt;=180.00))</f>
        <v>0</v>
      </c>
      <c r="BH96">
        <f>AND(IF(Metadata!V96="",FALSE,TRUE),exact(Metadata!V96,"Decimal degrees"))</f>
        <v>0</v>
      </c>
      <c r="BI96">
        <f>IF(Metadata!W96="",FALSE,TRUE)</f>
        <v>0</v>
      </c>
      <c r="BJ96">
        <f>OR(AND(IF(Metadata!X96="",FALSE,TRUE),OR(exact(Metadata!X96,"not collected"),exact(Metadata!X96,"not provided"),exact(Metadata!X96,"restricted access"))),AND(IF(Metadata!X96="",FALSE,TRUE),OR(exact(Metadata!X96,"TRUE"),exact(Metadata!X96,"FALSE"))))</f>
        <v>0</v>
      </c>
      <c r="BK96">
        <f>AND(IF(Metadata!Y96="",FALSE,TRUE),exact(Metadata!Y96,"other"))</f>
        <v>0</v>
      </c>
      <c r="BL96">
        <f>IF(Metadata!Z96="",FALSE,TRUE)</f>
        <v>0</v>
      </c>
      <c r="BM96">
        <f>OR(AND(IF(Metadata!AA96="",FALSE,TRUE),OR(exact(Metadata!AA96,"not collected"),exact(Metadata!AA96,"not provided"))),AND(IF(Metadata!AA96="",FALSE,IF(ISERROR(INT(Metadata!AA96)),FALSE,INT(Metadata!AA96)=Metadata!AA96)),Metadata!AA96&gt;0))</f>
        <v>0</v>
      </c>
      <c r="BN96">
        <f>AND(IF(Metadata!AB96="",FALSE,TRUE),exact(Metadata!AB96,"Not applicable"))</f>
        <v>0</v>
      </c>
      <c r="BO96">
        <f>IF(Metadata!AC96="",FALSE,TRUE)</f>
        <v>0</v>
      </c>
    </row>
    <row r="97" spans="1:67">
      <c r="A97" s="5">
        <f>IF(B97=" "," ",HYPERLINK(CONCATENATE("#metadata!",ADDRESS(INDEX($AI$2:$AI$1001,MATCH(ROWS($AG$2:AG97),$AG$2:$AG$1001,0),0),1)),INDEX($AL$2:$AL$1001,MATCH(ROWS($AG$2:AG97),$AG$2:$AG$1001,0),0)))</f>
        <v>0</v>
      </c>
      <c r="B97" s="4">
        <f>IF(OR(INDEX($AH$2:$AH$1001,MATCH(ROWS($AG$2:AG97),$AG$2:$AG$1001,0),1)&gt;=100000,INDEX($AN$1005:$BO$1005,1,MATCH(COLUMNS($AN$1006:AN1006),$AN$1006:$BO$1006,0))&gt;=100000), " ",IF(INDEX($AN$2:$BO$1001,MATCH(ROWS($AG$2:AG97),$AG$2:$AG$1001,0),MATCH(COLUMNS($AN$1006:AN1006),$AN$1006:$BO$1006,0)), HYPERLINK("#",""), HYPERLINK(CONCATENATE("#Metadata!", ADDRESS(INDEX($AI$2:$AI$1001,MATCH(ROWS($AG$2:AG97),$AG$2:$AG$1001,0),0), INDEX($AN$1004:$BO$1004,1,MATCH(COLUMNS($AN$1006:AN1006),$AN$1006:$BO$1006,0)))),"Fix")))</f>
        <v>0</v>
      </c>
      <c r="C97" s="4">
        <f>IF(OR(INDEX($AH$2:$AH$1001,MATCH(ROWS($AG$2:AG97),$AG$2:$AG$1001,0),1)&gt;=100000,INDEX($AN$1005:$BO$1005,1,MATCH(COLUMNS($AN$1006:AO1006),$AN$1006:$BO$1006,0))&gt;=100000), " ",IF(INDEX($AN$2:$BO$1001,MATCH(ROWS($AG$2:AG97),$AG$2:$AG$1001,0),MATCH(COLUMNS($AN$1006:AO1006),$AN$1006:$BO$1006,0)), HYPERLINK("#",""), HYPERLINK(CONCATENATE("#Metadata!", ADDRESS(INDEX($AI$2:$AI$1001,MATCH(ROWS($AG$2:AG97),$AG$2:$AG$1001,0),0), INDEX($AN$1004:$BO$1004,1,MATCH(COLUMNS($AN$1006:AO1006),$AN$1006:$BO$1006,0)))),"Fix")))</f>
        <v>0</v>
      </c>
      <c r="D97" s="4">
        <f>IF(OR(INDEX($AH$2:$AH$1001,MATCH(ROWS($AG$2:AG97),$AG$2:$AG$1001,0),1)&gt;=100000,INDEX($AN$1005:$BO$1005,1,MATCH(COLUMNS($AN$1006:AP1006),$AN$1006:$BO$1006,0))&gt;=100000), " ",IF(INDEX($AN$2:$BO$1001,MATCH(ROWS($AG$2:AG97),$AG$2:$AG$1001,0),MATCH(COLUMNS($AN$1006:AP1006),$AN$1006:$BO$1006,0)), HYPERLINK("#",""), HYPERLINK(CONCATENATE("#Metadata!", ADDRESS(INDEX($AI$2:$AI$1001,MATCH(ROWS($AG$2:AG97),$AG$2:$AG$1001,0),0), INDEX($AN$1004:$BO$1004,1,MATCH(COLUMNS($AN$1006:AP1006),$AN$1006:$BO$1006,0)))),"Fix")))</f>
        <v>0</v>
      </c>
      <c r="E97" s="4">
        <f>IF(OR(INDEX($AH$2:$AH$1001,MATCH(ROWS($AG$2:AG97),$AG$2:$AG$1001,0),1)&gt;=100000,INDEX($AN$1005:$BO$1005,1,MATCH(COLUMNS($AN$1006:AQ1006),$AN$1006:$BO$1006,0))&gt;=100000), " ",IF(INDEX($AN$2:$BO$1001,MATCH(ROWS($AG$2:AG97),$AG$2:$AG$1001,0),MATCH(COLUMNS($AN$1006:AQ1006),$AN$1006:$BO$1006,0)), HYPERLINK("#",""), HYPERLINK(CONCATENATE("#Metadata!", ADDRESS(INDEX($AI$2:$AI$1001,MATCH(ROWS($AG$2:AG97),$AG$2:$AG$1001,0),0), INDEX($AN$1004:$BO$1004,1,MATCH(COLUMNS($AN$1006:AQ1006),$AN$1006:$BO$1006,0)))),"Fix")))</f>
        <v>0</v>
      </c>
      <c r="F97" s="4">
        <f>IF(OR(INDEX($AH$2:$AH$1001,MATCH(ROWS($AG$2:AG97),$AG$2:$AG$1001,0),1)&gt;=100000,INDEX($AN$1005:$BO$1005,1,MATCH(COLUMNS($AN$1006:AR1006),$AN$1006:$BO$1006,0))&gt;=100000), " ",IF(INDEX($AN$2:$BO$1001,MATCH(ROWS($AG$2:AG97),$AG$2:$AG$1001,0),MATCH(COLUMNS($AN$1006:AR1006),$AN$1006:$BO$1006,0)), HYPERLINK("#",""), HYPERLINK(CONCATENATE("#Metadata!", ADDRESS(INDEX($AI$2:$AI$1001,MATCH(ROWS($AG$2:AG97),$AG$2:$AG$1001,0),0), INDEX($AN$1004:$BO$1004,1,MATCH(COLUMNS($AN$1006:AR1006),$AN$1006:$BO$1006,0)))),"Fix")))</f>
        <v>0</v>
      </c>
      <c r="G97" s="4">
        <f>IF(OR(INDEX($AH$2:$AH$1001,MATCH(ROWS($AG$2:AG97),$AG$2:$AG$1001,0),1)&gt;=100000,INDEX($AN$1005:$BO$1005,1,MATCH(COLUMNS($AN$1006:AS1006),$AN$1006:$BO$1006,0))&gt;=100000), " ",IF(INDEX($AN$2:$BO$1001,MATCH(ROWS($AG$2:AG97),$AG$2:$AG$1001,0),MATCH(COLUMNS($AN$1006:AS1006),$AN$1006:$BO$1006,0)), HYPERLINK("#",""), HYPERLINK(CONCATENATE("#Metadata!", ADDRESS(INDEX($AI$2:$AI$1001,MATCH(ROWS($AG$2:AG97),$AG$2:$AG$1001,0),0), INDEX($AN$1004:$BO$1004,1,MATCH(COLUMNS($AN$1006:AS1006),$AN$1006:$BO$1006,0)))),"Fix")))</f>
        <v>0</v>
      </c>
      <c r="H97" s="4">
        <f>IF(OR(INDEX($AH$2:$AH$1001,MATCH(ROWS($AG$2:AG97),$AG$2:$AG$1001,0),1)&gt;=100000,INDEX($AN$1005:$BO$1005,1,MATCH(COLUMNS($AN$1006:AT1006),$AN$1006:$BO$1006,0))&gt;=100000), " ",IF(INDEX($AN$2:$BO$1001,MATCH(ROWS($AG$2:AG97),$AG$2:$AG$1001,0),MATCH(COLUMNS($AN$1006:AT1006),$AN$1006:$BO$1006,0)), HYPERLINK("#",""), HYPERLINK(CONCATENATE("#Metadata!", ADDRESS(INDEX($AI$2:$AI$1001,MATCH(ROWS($AG$2:AG97),$AG$2:$AG$1001,0),0), INDEX($AN$1004:$BO$1004,1,MATCH(COLUMNS($AN$1006:AT1006),$AN$1006:$BO$1006,0)))),"Fix")))</f>
        <v>0</v>
      </c>
      <c r="I97" s="4">
        <f>IF(OR(INDEX($AH$2:$AH$1001,MATCH(ROWS($AG$2:AG97),$AG$2:$AG$1001,0),1)&gt;=100000,INDEX($AN$1005:$BO$1005,1,MATCH(COLUMNS($AN$1006:AU1006),$AN$1006:$BO$1006,0))&gt;=100000), " ",IF(INDEX($AN$2:$BO$1001,MATCH(ROWS($AG$2:AG97),$AG$2:$AG$1001,0),MATCH(COLUMNS($AN$1006:AU1006),$AN$1006:$BO$1006,0)), HYPERLINK("#",""), HYPERLINK(CONCATENATE("#Metadata!", ADDRESS(INDEX($AI$2:$AI$1001,MATCH(ROWS($AG$2:AG97),$AG$2:$AG$1001,0),0), INDEX($AN$1004:$BO$1004,1,MATCH(COLUMNS($AN$1006:AU1006),$AN$1006:$BO$1006,0)))),"Fix")))</f>
        <v>0</v>
      </c>
      <c r="J97" s="4">
        <f>IF(OR(INDEX($AH$2:$AH$1001,MATCH(ROWS($AG$2:AG97),$AG$2:$AG$1001,0),1)&gt;=100000,INDEX($AN$1005:$BO$1005,1,MATCH(COLUMNS($AN$1006:AV1006),$AN$1006:$BO$1006,0))&gt;=100000), " ",IF(INDEX($AN$2:$BO$1001,MATCH(ROWS($AG$2:AG97),$AG$2:$AG$1001,0),MATCH(COLUMNS($AN$1006:AV1006),$AN$1006:$BO$1006,0)), HYPERLINK("#",""), HYPERLINK(CONCATENATE("#Metadata!", ADDRESS(INDEX($AI$2:$AI$1001,MATCH(ROWS($AG$2:AG97),$AG$2:$AG$1001,0),0), INDEX($AN$1004:$BO$1004,1,MATCH(COLUMNS($AN$1006:AV1006),$AN$1006:$BO$1006,0)))),"Fix")))</f>
        <v>0</v>
      </c>
      <c r="K97" s="4">
        <f>IF(OR(INDEX($AH$2:$AH$1001,MATCH(ROWS($AG$2:AG97),$AG$2:$AG$1001,0),1)&gt;=100000,INDEX($AN$1005:$BO$1005,1,MATCH(COLUMNS($AN$1006:AW1006),$AN$1006:$BO$1006,0))&gt;=100000), " ",IF(INDEX($AN$2:$BO$1001,MATCH(ROWS($AG$2:AG97),$AG$2:$AG$1001,0),MATCH(COLUMNS($AN$1006:AW1006),$AN$1006:$BO$1006,0)), HYPERLINK("#",""), HYPERLINK(CONCATENATE("#Metadata!", ADDRESS(INDEX($AI$2:$AI$1001,MATCH(ROWS($AG$2:AG97),$AG$2:$AG$1001,0),0), INDEX($AN$1004:$BO$1004,1,MATCH(COLUMNS($AN$1006:AW1006),$AN$1006:$BO$1006,0)))),"Fix")))</f>
        <v>0</v>
      </c>
      <c r="L97" s="4">
        <f>IF(OR(INDEX($AH$2:$AH$1001,MATCH(ROWS($AG$2:AG97),$AG$2:$AG$1001,0),1)&gt;=100000,INDEX($AN$1005:$BO$1005,1,MATCH(COLUMNS($AN$1006:AX1006),$AN$1006:$BO$1006,0))&gt;=100000), " ",IF(INDEX($AN$2:$BO$1001,MATCH(ROWS($AG$2:AG97),$AG$2:$AG$1001,0),MATCH(COLUMNS($AN$1006:AX1006),$AN$1006:$BO$1006,0)), HYPERLINK("#",""), HYPERLINK(CONCATENATE("#Metadata!", ADDRESS(INDEX($AI$2:$AI$1001,MATCH(ROWS($AG$2:AG97),$AG$2:$AG$1001,0),0), INDEX($AN$1004:$BO$1004,1,MATCH(COLUMNS($AN$1006:AX1006),$AN$1006:$BO$1006,0)))),"Fix")))</f>
        <v>0</v>
      </c>
      <c r="M97" s="4">
        <f>IF(OR(INDEX($AH$2:$AH$1001,MATCH(ROWS($AG$2:AG97),$AG$2:$AG$1001,0),1)&gt;=100000,INDEX($AN$1005:$BO$1005,1,MATCH(COLUMNS($AN$1006:AY1006),$AN$1006:$BO$1006,0))&gt;=100000), " ",IF(INDEX($AN$2:$BO$1001,MATCH(ROWS($AG$2:AG97),$AG$2:$AG$1001,0),MATCH(COLUMNS($AN$1006:AY1006),$AN$1006:$BO$1006,0)), HYPERLINK("#",""), HYPERLINK(CONCATENATE("#Metadata!", ADDRESS(INDEX($AI$2:$AI$1001,MATCH(ROWS($AG$2:AG97),$AG$2:$AG$1001,0),0), INDEX($AN$1004:$BO$1004,1,MATCH(COLUMNS($AN$1006:AY1006),$AN$1006:$BO$1006,0)))),"Fix")))</f>
        <v>0</v>
      </c>
      <c r="N97" s="4">
        <f>IF(OR(INDEX($AH$2:$AH$1001,MATCH(ROWS($AG$2:AG97),$AG$2:$AG$1001,0),1)&gt;=100000,INDEX($AN$1005:$BO$1005,1,MATCH(COLUMNS($AN$1006:AZ1006),$AN$1006:$BO$1006,0))&gt;=100000), " ",IF(INDEX($AN$2:$BO$1001,MATCH(ROWS($AG$2:AG97),$AG$2:$AG$1001,0),MATCH(COLUMNS($AN$1006:AZ1006),$AN$1006:$BO$1006,0)), HYPERLINK("#",""), HYPERLINK(CONCATENATE("#Metadata!", ADDRESS(INDEX($AI$2:$AI$1001,MATCH(ROWS($AG$2:AG97),$AG$2:$AG$1001,0),0), INDEX($AN$1004:$BO$1004,1,MATCH(COLUMNS($AN$1006:AZ1006),$AN$1006:$BO$1006,0)))),"Fix")))</f>
        <v>0</v>
      </c>
      <c r="O97" s="4">
        <f>IF(OR(INDEX($AH$2:$AH$1001,MATCH(ROWS($AG$2:AG97),$AG$2:$AG$1001,0),1)&gt;=100000,INDEX($AN$1005:$BO$1005,1,MATCH(COLUMNS($AN$1006:BA1006),$AN$1006:$BO$1006,0))&gt;=100000), " ",IF(INDEX($AN$2:$BO$1001,MATCH(ROWS($AG$2:AG97),$AG$2:$AG$1001,0),MATCH(COLUMNS($AN$1006:BA1006),$AN$1006:$BO$1006,0)), HYPERLINK("#",""), HYPERLINK(CONCATENATE("#Metadata!", ADDRESS(INDEX($AI$2:$AI$1001,MATCH(ROWS($AG$2:AG97),$AG$2:$AG$1001,0),0), INDEX($AN$1004:$BO$1004,1,MATCH(COLUMNS($AN$1006:BA1006),$AN$1006:$BO$1006,0)))),"Fix")))</f>
        <v>0</v>
      </c>
      <c r="P97" s="4">
        <f>IF(OR(INDEX($AH$2:$AH$1001,MATCH(ROWS($AG$2:AG97),$AG$2:$AG$1001,0),1)&gt;=100000,INDEX($AN$1005:$BO$1005,1,MATCH(COLUMNS($AN$1006:BB1006),$AN$1006:$BO$1006,0))&gt;=100000), " ",IF(INDEX($AN$2:$BO$1001,MATCH(ROWS($AG$2:AG97),$AG$2:$AG$1001,0),MATCH(COLUMNS($AN$1006:BB1006),$AN$1006:$BO$1006,0)), HYPERLINK("#",""), HYPERLINK(CONCATENATE("#Metadata!", ADDRESS(INDEX($AI$2:$AI$1001,MATCH(ROWS($AG$2:AG97),$AG$2:$AG$1001,0),0), INDEX($AN$1004:$BO$1004,1,MATCH(COLUMNS($AN$1006:BB1006),$AN$1006:$BO$1006,0)))),"Fix")))</f>
        <v>0</v>
      </c>
      <c r="Q97" s="4">
        <f>IF(OR(INDEX($AH$2:$AH$1001,MATCH(ROWS($AG$2:AG97),$AG$2:$AG$1001,0),1)&gt;=100000,INDEX($AN$1005:$BO$1005,1,MATCH(COLUMNS($AN$1006:BC1006),$AN$1006:$BO$1006,0))&gt;=100000), " ",IF(INDEX($AN$2:$BO$1001,MATCH(ROWS($AG$2:AG97),$AG$2:$AG$1001,0),MATCH(COLUMNS($AN$1006:BC1006),$AN$1006:$BO$1006,0)), HYPERLINK("#",""), HYPERLINK(CONCATENATE("#Metadata!", ADDRESS(INDEX($AI$2:$AI$1001,MATCH(ROWS($AG$2:AG97),$AG$2:$AG$1001,0),0), INDEX($AN$1004:$BO$1004,1,MATCH(COLUMNS($AN$1006:BC1006),$AN$1006:$BO$1006,0)))),"Fix")))</f>
        <v>0</v>
      </c>
      <c r="R97" s="4">
        <f>IF(OR(INDEX($AH$2:$AH$1001,MATCH(ROWS($AG$2:AG97),$AG$2:$AG$1001,0),1)&gt;=100000,INDEX($AN$1005:$BO$1005,1,MATCH(COLUMNS($AN$1006:BD1006),$AN$1006:$BO$1006,0))&gt;=100000), " ",IF(INDEX($AN$2:$BO$1001,MATCH(ROWS($AG$2:AG97),$AG$2:$AG$1001,0),MATCH(COLUMNS($AN$1006:BD1006),$AN$1006:$BO$1006,0)), HYPERLINK("#",""), HYPERLINK(CONCATENATE("#Metadata!", ADDRESS(INDEX($AI$2:$AI$1001,MATCH(ROWS($AG$2:AG97),$AG$2:$AG$1001,0),0), INDEX($AN$1004:$BO$1004,1,MATCH(COLUMNS($AN$1006:BD1006),$AN$1006:$BO$1006,0)))),"Fix")))</f>
        <v>0</v>
      </c>
      <c r="S97" s="4">
        <f>IF(OR(INDEX($AH$2:$AH$1001,MATCH(ROWS($AG$2:AG97),$AG$2:$AG$1001,0),1)&gt;=100000,INDEX($AN$1005:$BO$1005,1,MATCH(COLUMNS($AN$1006:BE1006),$AN$1006:$BO$1006,0))&gt;=100000), " ",IF(INDEX($AN$2:$BO$1001,MATCH(ROWS($AG$2:AG97),$AG$2:$AG$1001,0),MATCH(COLUMNS($AN$1006:BE1006),$AN$1006:$BO$1006,0)), HYPERLINK("#",""), HYPERLINK(CONCATENATE("#Metadata!", ADDRESS(INDEX($AI$2:$AI$1001,MATCH(ROWS($AG$2:AG97),$AG$2:$AG$1001,0),0), INDEX($AN$1004:$BO$1004,1,MATCH(COLUMNS($AN$1006:BE1006),$AN$1006:$BO$1006,0)))),"Fix")))</f>
        <v>0</v>
      </c>
      <c r="T97" s="4">
        <f>IF(OR(INDEX($AH$2:$AH$1001,MATCH(ROWS($AG$2:AG97),$AG$2:$AG$1001,0),1)&gt;=100000,INDEX($AN$1005:$BO$1005,1,MATCH(COLUMNS($AN$1006:BF1006),$AN$1006:$BO$1006,0))&gt;=100000), " ",IF(INDEX($AN$2:$BO$1001,MATCH(ROWS($AG$2:AG97),$AG$2:$AG$1001,0),MATCH(COLUMNS($AN$1006:BF1006),$AN$1006:$BO$1006,0)), HYPERLINK("#",""), HYPERLINK(CONCATENATE("#Metadata!", ADDRESS(INDEX($AI$2:$AI$1001,MATCH(ROWS($AG$2:AG97),$AG$2:$AG$1001,0),0), INDEX($AN$1004:$BO$1004,1,MATCH(COLUMNS($AN$1006:BF1006),$AN$1006:$BO$1006,0)))),"Fix")))</f>
        <v>0</v>
      </c>
      <c r="U97" s="4">
        <f>IF(OR(INDEX($AH$2:$AH$1001,MATCH(ROWS($AG$2:AG97),$AG$2:$AG$1001,0),1)&gt;=100000,INDEX($AN$1005:$BO$1005,1,MATCH(COLUMNS($AN$1006:BG1006),$AN$1006:$BO$1006,0))&gt;=100000), " ",IF(INDEX($AN$2:$BO$1001,MATCH(ROWS($AG$2:AG97),$AG$2:$AG$1001,0),MATCH(COLUMNS($AN$1006:BG1006),$AN$1006:$BO$1006,0)), HYPERLINK("#",""), HYPERLINK(CONCATENATE("#Metadata!", ADDRESS(INDEX($AI$2:$AI$1001,MATCH(ROWS($AG$2:AG97),$AG$2:$AG$1001,0),0), INDEX($AN$1004:$BO$1004,1,MATCH(COLUMNS($AN$1006:BG1006),$AN$1006:$BO$1006,0)))),"Fix")))</f>
        <v>0</v>
      </c>
      <c r="V97" s="4">
        <f>IF(OR(INDEX($AH$2:$AH$1001,MATCH(ROWS($AG$2:AG97),$AG$2:$AG$1001,0),1)&gt;=100000,INDEX($AN$1005:$BO$1005,1,MATCH(COLUMNS($AN$1006:BH1006),$AN$1006:$BO$1006,0))&gt;=100000), " ",IF(INDEX($AN$2:$BO$1001,MATCH(ROWS($AG$2:AG97),$AG$2:$AG$1001,0),MATCH(COLUMNS($AN$1006:BH1006),$AN$1006:$BO$1006,0)), HYPERLINK("#",""), HYPERLINK(CONCATENATE("#Metadata!", ADDRESS(INDEX($AI$2:$AI$1001,MATCH(ROWS($AG$2:AG97),$AG$2:$AG$1001,0),0), INDEX($AN$1004:$BO$1004,1,MATCH(COLUMNS($AN$1006:BH1006),$AN$1006:$BO$1006,0)))),"Fix")))</f>
        <v>0</v>
      </c>
      <c r="W97" s="4">
        <f>IF(OR(INDEX($AH$2:$AH$1001,MATCH(ROWS($AG$2:AG97),$AG$2:$AG$1001,0),1)&gt;=100000,INDEX($AN$1005:$BO$1005,1,MATCH(COLUMNS($AN$1006:BI1006),$AN$1006:$BO$1006,0))&gt;=100000), " ",IF(INDEX($AN$2:$BO$1001,MATCH(ROWS($AG$2:AG97),$AG$2:$AG$1001,0),MATCH(COLUMNS($AN$1006:BI1006),$AN$1006:$BO$1006,0)), HYPERLINK("#",""), HYPERLINK(CONCATENATE("#Metadata!", ADDRESS(INDEX($AI$2:$AI$1001,MATCH(ROWS($AG$2:AG97),$AG$2:$AG$1001,0),0), INDEX($AN$1004:$BO$1004,1,MATCH(COLUMNS($AN$1006:BI1006),$AN$1006:$BO$1006,0)))),"Fix")))</f>
        <v>0</v>
      </c>
      <c r="X97" s="4">
        <f>IF(OR(INDEX($AH$2:$AH$1001,MATCH(ROWS($AG$2:AG97),$AG$2:$AG$1001,0),1)&gt;=100000,INDEX($AN$1005:$BO$1005,1,MATCH(COLUMNS($AN$1006:BJ1006),$AN$1006:$BO$1006,0))&gt;=100000), " ",IF(INDEX($AN$2:$BO$1001,MATCH(ROWS($AG$2:AG97),$AG$2:$AG$1001,0),MATCH(COLUMNS($AN$1006:BJ1006),$AN$1006:$BO$1006,0)), HYPERLINK("#",""), HYPERLINK(CONCATENATE("#Metadata!", ADDRESS(INDEX($AI$2:$AI$1001,MATCH(ROWS($AG$2:AG97),$AG$2:$AG$1001,0),0), INDEX($AN$1004:$BO$1004,1,MATCH(COLUMNS($AN$1006:BJ1006),$AN$1006:$BO$1006,0)))),"Fix")))</f>
        <v>0</v>
      </c>
      <c r="Y97" s="4">
        <f>IF(OR(INDEX($AH$2:$AH$1001,MATCH(ROWS($AG$2:AG97),$AG$2:$AG$1001,0),1)&gt;=100000,INDEX($AN$1005:$BO$1005,1,MATCH(COLUMNS($AN$1006:BK1006),$AN$1006:$BO$1006,0))&gt;=100000), " ",IF(INDEX($AN$2:$BO$1001,MATCH(ROWS($AG$2:AG97),$AG$2:$AG$1001,0),MATCH(COLUMNS($AN$1006:BK1006),$AN$1006:$BO$1006,0)), HYPERLINK("#",""), HYPERLINK(CONCATENATE("#Metadata!", ADDRESS(INDEX($AI$2:$AI$1001,MATCH(ROWS($AG$2:AG97),$AG$2:$AG$1001,0),0), INDEX($AN$1004:$BO$1004,1,MATCH(COLUMNS($AN$1006:BK1006),$AN$1006:$BO$1006,0)))),"Fix")))</f>
        <v>0</v>
      </c>
      <c r="Z97" s="4">
        <f>IF(OR(INDEX($AH$2:$AH$1001,MATCH(ROWS($AG$2:AG97),$AG$2:$AG$1001,0),1)&gt;=100000,INDEX($AN$1005:$BO$1005,1,MATCH(COLUMNS($AN$1006:BL1006),$AN$1006:$BO$1006,0))&gt;=100000), " ",IF(INDEX($AN$2:$BO$1001,MATCH(ROWS($AG$2:AG97),$AG$2:$AG$1001,0),MATCH(COLUMNS($AN$1006:BL1006),$AN$1006:$BO$1006,0)), HYPERLINK("#",""), HYPERLINK(CONCATENATE("#Metadata!", ADDRESS(INDEX($AI$2:$AI$1001,MATCH(ROWS($AG$2:AG97),$AG$2:$AG$1001,0),0), INDEX($AN$1004:$BO$1004,1,MATCH(COLUMNS($AN$1006:BL1006),$AN$1006:$BO$1006,0)))),"Fix")))</f>
        <v>0</v>
      </c>
      <c r="AA97" s="4">
        <f>IF(OR(INDEX($AH$2:$AH$1001,MATCH(ROWS($AG$2:AG97),$AG$2:$AG$1001,0),1)&gt;=100000,INDEX($AN$1005:$BO$1005,1,MATCH(COLUMNS($AN$1006:BM1006),$AN$1006:$BO$1006,0))&gt;=100000), " ",IF(INDEX($AN$2:$BO$1001,MATCH(ROWS($AG$2:AG97),$AG$2:$AG$1001,0),MATCH(COLUMNS($AN$1006:BM1006),$AN$1006:$BO$1006,0)), HYPERLINK("#",""), HYPERLINK(CONCATENATE("#Metadata!", ADDRESS(INDEX($AI$2:$AI$1001,MATCH(ROWS($AG$2:AG97),$AG$2:$AG$1001,0),0), INDEX($AN$1004:$BO$1004,1,MATCH(COLUMNS($AN$1006:BM1006),$AN$1006:$BO$1006,0)))),"Fix")))</f>
        <v>0</v>
      </c>
      <c r="AB97" s="4">
        <f>IF(OR(INDEX($AH$2:$AH$1001,MATCH(ROWS($AG$2:AG97),$AG$2:$AG$1001,0),1)&gt;=100000,INDEX($AN$1005:$BO$1005,1,MATCH(COLUMNS($AN$1006:BN1006),$AN$1006:$BO$1006,0))&gt;=100000), " ",IF(INDEX($AN$2:$BO$1001,MATCH(ROWS($AG$2:AG97),$AG$2:$AG$1001,0),MATCH(COLUMNS($AN$1006:BN1006),$AN$1006:$BO$1006,0)), HYPERLINK("#",""), HYPERLINK(CONCATENATE("#Metadata!", ADDRESS(INDEX($AI$2:$AI$1001,MATCH(ROWS($AG$2:AG97),$AG$2:$AG$1001,0),0), INDEX($AN$1004:$BO$1004,1,MATCH(COLUMNS($AN$1006:BN1006),$AN$1006:$BO$1006,0)))),"Fix")))</f>
        <v>0</v>
      </c>
      <c r="AC97" s="4">
        <f>IF(OR(INDEX($AH$2:$AH$1001,MATCH(ROWS($AG$2:AG97),$AG$2:$AG$1001,0),1)&gt;=100000,INDEX($AN$1005:$BO$1005,1,MATCH(COLUMNS($AN$1006:BO1006),$AN$1006:$BO$1006,0))&gt;=100000), " ",IF(INDEX($AN$2:$BO$1001,MATCH(ROWS($AG$2:AG97),$AG$2:$AG$1001,0),MATCH(COLUMNS($AN$1006:BO1006),$AN$1006:$BO$1006,0)), HYPERLINK("#",""), HYPERLINK(CONCATENATE("#Metadata!", ADDRESS(INDEX($AI$2:$AI$1001,MATCH(ROWS($AG$2:AG97),$AG$2:$AG$1001,0),0), INDEX($AN$1004:$BO$1004,1,MATCH(COLUMNS($AN$1006:BO1006),$AN$1006:$BO$1006,0)))),"Fix")))</f>
        <v>0</v>
      </c>
      <c r="AG97">
        <v>0</v>
      </c>
      <c r="AH97">
        <v>0</v>
      </c>
      <c r="AI97">
        <v>0</v>
      </c>
      <c r="AJ97">
        <f>IF(AK97,TRUE,AND(AN97:BO97))</f>
        <v>0</v>
      </c>
      <c r="AK97">
        <f>COUNTBLANK(Metadata!B97:AC97)=COLUMNS(Metadata!B97:AC97)</f>
        <v>0</v>
      </c>
      <c r="AL97">
        <v>0</v>
      </c>
      <c r="AN97">
        <f>AND(IF(Metadata!B97="",FALSE,TRUE),COUNTIF(Metadata!B:B, Metadata!B97) = 1,NOT(ISERROR(SUMPRODUCT(SEARCH(MID(Metadata!B97,ROW(INDIRECT("1:"&amp;LEN(Metadata!B97))), 1),"0123456789abcdefghijklmnopqrstuvwxyzABCDEFGHIJKLMNOPQRSTUVWXYZ.")))))</f>
        <v>0</v>
      </c>
      <c r="AO97">
        <f>IF(Metadata!C97="",FALSE,TRUE)</f>
        <v>0</v>
      </c>
      <c r="AP97">
        <f>IF(Metadata!D97="",FALSE,TRUE)</f>
        <v>0</v>
      </c>
      <c r="AQ97">
        <f>OR(AND(IF(Metadata!E97="",FALSE,TRUE),OR(exact(Metadata!E97,"not collected"),exact(Metadata!E97,"not provided"),exact(Metadata!E97,"restricted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R97">
        <f>IF(Metadata!F97="",FALSE,TRUE)</f>
        <v>0</v>
      </c>
      <c r="AS97">
        <f>OR(AND(IF(Metadata!G97="",FALSE,TRUE),OR(exact(Metadata!G97,"not collected"),exact(Metadata!G97,"not provided"))),AND(IF(Metadata!G97="",FALSE,TRUE),OR(exact(Metadata!G97,"TRUE"),exact(Metadata!G97,"FALSE"))))</f>
        <v>0</v>
      </c>
      <c r="AT97">
        <f>OR(AND(IF(Metadata!H97="",FALSE,TRUE),OR(exact(Metadata!H97,"not collected"),exact(Metadata!H97,"not provided"),exact(Metadata!H97,"restricted access"))),AND(IF(Metadata!H97="",FALSE,ISNUMBER(VALUE(Metadata!H97))),Metadata!H97&gt;=-413.0))</f>
        <v>0</v>
      </c>
      <c r="AU97">
        <f>AND(IF(Metadata!I97="",FALSE,TRUE),exact(Metadata!I97,"meters"))</f>
        <v>0</v>
      </c>
      <c r="AV97">
        <f>AND(IF(Metadata!J97="",FALSE,TRUE),OR(exact(Metadata!J97,"Host-associated"),exact(Metadata!J97,"Free-living")))</f>
        <v>0</v>
      </c>
      <c r="AW97">
        <f>AND(IF(Metadata!K97="",FALSE,TRUE),OR(exact(Metadata!K97,"Animal"),exact(Metadata!K97,"Fungus"),exact(Metadata!K97,"Plant"),exact(Metadata!K97,"Saline"),exact(Metadata!K97,"Non-saline")))</f>
        <v>0</v>
      </c>
      <c r="AX97">
        <f>AND(IF(Metadata!L97="",FALSE,TRUE),OR(exact(Metadata!L97,"Plant secretion"),exact(Metadata!L97,"Plant rhizosphere"),exact(Metadata!L97,"Plant surface"),exact(Metadata!L97,"Plant corpus"),exact(Metadata!L97,"Fungus surface"),exact(Metadata!L97,"Fungus corpus"),exact(Metadata!L97,"Animal surface"),exact(Metadata!L97,"Animal proximal gut"),exact(Metadata!L97,"Animal corpus"),exact(Metadata!L97,"Animal distal gut"),exact(Metadata!L97,"Animal secretion"),exact(Metadata!L97,"Sub-surface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Y97">
        <f>IF(Metadata!M97="",FALSE,TRUE)</f>
        <v>0</v>
      </c>
      <c r="AZ97">
        <f>IF(Metadata!N97="",FALSE,TRUE)</f>
        <v>0</v>
      </c>
      <c r="BA97">
        <f>IF(Metadata!O97="",FALSE,TRUE)</f>
        <v>0</v>
      </c>
      <c r="BB97">
        <f>OR(AND(IF(Metadata!P97="",FALSE,TRUE),OR(exact(Metadata!P97,"not collected"),exact(Metadata!P97,"not provided"),exact(Metadata!P97,"restricted access"))),AND(IF(Metadata!P97="",FALSE,TRUE),OR(exact(Metadata!P97,"air"),exact(Metadata!P97,"built environment"),exact(Metadata!P97,"host-associated"),exact(Metadata!P97,"human-associated"),exact(Metadata!P97,"human-skin"),exact(Metadata!P97,"human-oral"),exact(Metadata!P97,"human-gut"),exact(Metadata!P97,"human-vaginal"),exact(Metadata!P97,"microbial mat/biofilm"),exact(Metadata!P97,"misc environment"),exact(Metadata!P97,"plant-associated"),exact(Metadata!P97,"sediment"),exact(Metadata!P97,"soil"),exact(Metadata!P97,"wastewater/sludge"),exact(Metadata!P97,"water"))))</f>
        <v>0</v>
      </c>
      <c r="BC97">
        <f>IF(Metadata!Q97="",FALSE,TRUE)</f>
        <v>0</v>
      </c>
      <c r="BD97">
        <f>IF(Metadata!R97="",FALSE,TRUE)</f>
        <v>0</v>
      </c>
      <c r="BE97">
        <f>OR(AND(IF(Metadata!S97="",FALSE,TRUE),OR(exact(Metadata!S97,"not collected"),exact(Metadata!S97,"not provided"),exact(Metadata!S97,"restricted access"))),AND(IF(Metadata!S97="",FALSE,ISNUMBER(VALUE(Metadata!S97))),Metadata!S97&gt;=-90.00,Metadata!S97&lt;=90.00))</f>
        <v>0</v>
      </c>
      <c r="BF97">
        <f>AND(IF(Metadata!T97="",FALSE,TRUE),exact(Metadata!T97,"Decimal degrees"))</f>
        <v>0</v>
      </c>
      <c r="BG97">
        <f>OR(AND(IF(Metadata!U97="",FALSE,TRUE),OR(exact(Metadata!U97,"not collected"),exact(Metadata!U97,"not provided"),exact(Metadata!U97,"restricted access"))),AND(IF(Metadata!U97="",FALSE,ISNUMBER(VALUE(Metadata!U97))),Metadata!U97&gt;=-180.00,Metadata!U97&lt;=180.00))</f>
        <v>0</v>
      </c>
      <c r="BH97">
        <f>AND(IF(Metadata!V97="",FALSE,TRUE),exact(Metadata!V97,"Decimal degrees"))</f>
        <v>0</v>
      </c>
      <c r="BI97">
        <f>IF(Metadata!W97="",FALSE,TRUE)</f>
        <v>0</v>
      </c>
      <c r="BJ97">
        <f>OR(AND(IF(Metadata!X97="",FALSE,TRUE),OR(exact(Metadata!X97,"not collected"),exact(Metadata!X97,"not provided"),exact(Metadata!X97,"restricted access"))),AND(IF(Metadata!X97="",FALSE,TRUE),OR(exact(Metadata!X97,"TRUE"),exact(Metadata!X97,"FALSE"))))</f>
        <v>0</v>
      </c>
      <c r="BK97">
        <f>AND(IF(Metadata!Y97="",FALSE,TRUE),exact(Metadata!Y97,"other"))</f>
        <v>0</v>
      </c>
      <c r="BL97">
        <f>IF(Metadata!Z97="",FALSE,TRUE)</f>
        <v>0</v>
      </c>
      <c r="BM97">
        <f>OR(AND(IF(Metadata!AA97="",FALSE,TRUE),OR(exact(Metadata!AA97,"not collected"),exact(Metadata!AA97,"not provided"))),AND(IF(Metadata!AA97="",FALSE,IF(ISERROR(INT(Metadata!AA97)),FALSE,INT(Metadata!AA97)=Metadata!AA97)),Metadata!AA97&gt;0))</f>
        <v>0</v>
      </c>
      <c r="BN97">
        <f>AND(IF(Metadata!AB97="",FALSE,TRUE),exact(Metadata!AB97,"Not applicable"))</f>
        <v>0</v>
      </c>
      <c r="BO97">
        <f>IF(Metadata!AC97="",FALSE,TRUE)</f>
        <v>0</v>
      </c>
    </row>
    <row r="98" spans="1:67">
      <c r="A98" s="5">
        <f>IF(B98=" "," ",HYPERLINK(CONCATENATE("#metadata!",ADDRESS(INDEX($AI$2:$AI$1001,MATCH(ROWS($AG$2:AG98),$AG$2:$AG$1001,0),0),1)),INDEX($AL$2:$AL$1001,MATCH(ROWS($AG$2:AG98),$AG$2:$AG$1001,0),0)))</f>
        <v>0</v>
      </c>
      <c r="B98" s="4">
        <f>IF(OR(INDEX($AH$2:$AH$1001,MATCH(ROWS($AG$2:AG98),$AG$2:$AG$1001,0),1)&gt;=100000,INDEX($AN$1005:$BO$1005,1,MATCH(COLUMNS($AN$1006:AN1006),$AN$1006:$BO$1006,0))&gt;=100000), " ",IF(INDEX($AN$2:$BO$1001,MATCH(ROWS($AG$2:AG98),$AG$2:$AG$1001,0),MATCH(COLUMNS($AN$1006:AN1006),$AN$1006:$BO$1006,0)), HYPERLINK("#",""), HYPERLINK(CONCATENATE("#Metadata!", ADDRESS(INDEX($AI$2:$AI$1001,MATCH(ROWS($AG$2:AG98),$AG$2:$AG$1001,0),0), INDEX($AN$1004:$BO$1004,1,MATCH(COLUMNS($AN$1006:AN1006),$AN$1006:$BO$1006,0)))),"Fix")))</f>
        <v>0</v>
      </c>
      <c r="C98" s="4">
        <f>IF(OR(INDEX($AH$2:$AH$1001,MATCH(ROWS($AG$2:AG98),$AG$2:$AG$1001,0),1)&gt;=100000,INDEX($AN$1005:$BO$1005,1,MATCH(COLUMNS($AN$1006:AO1006),$AN$1006:$BO$1006,0))&gt;=100000), " ",IF(INDEX($AN$2:$BO$1001,MATCH(ROWS($AG$2:AG98),$AG$2:$AG$1001,0),MATCH(COLUMNS($AN$1006:AO1006),$AN$1006:$BO$1006,0)), HYPERLINK("#",""), HYPERLINK(CONCATENATE("#Metadata!", ADDRESS(INDEX($AI$2:$AI$1001,MATCH(ROWS($AG$2:AG98),$AG$2:$AG$1001,0),0), INDEX($AN$1004:$BO$1004,1,MATCH(COLUMNS($AN$1006:AO1006),$AN$1006:$BO$1006,0)))),"Fix")))</f>
        <v>0</v>
      </c>
      <c r="D98" s="4">
        <f>IF(OR(INDEX($AH$2:$AH$1001,MATCH(ROWS($AG$2:AG98),$AG$2:$AG$1001,0),1)&gt;=100000,INDEX($AN$1005:$BO$1005,1,MATCH(COLUMNS($AN$1006:AP1006),$AN$1006:$BO$1006,0))&gt;=100000), " ",IF(INDEX($AN$2:$BO$1001,MATCH(ROWS($AG$2:AG98),$AG$2:$AG$1001,0),MATCH(COLUMNS($AN$1006:AP1006),$AN$1006:$BO$1006,0)), HYPERLINK("#",""), HYPERLINK(CONCATENATE("#Metadata!", ADDRESS(INDEX($AI$2:$AI$1001,MATCH(ROWS($AG$2:AG98),$AG$2:$AG$1001,0),0), INDEX($AN$1004:$BO$1004,1,MATCH(COLUMNS($AN$1006:AP1006),$AN$1006:$BO$1006,0)))),"Fix")))</f>
        <v>0</v>
      </c>
      <c r="E98" s="4">
        <f>IF(OR(INDEX($AH$2:$AH$1001,MATCH(ROWS($AG$2:AG98),$AG$2:$AG$1001,0),1)&gt;=100000,INDEX($AN$1005:$BO$1005,1,MATCH(COLUMNS($AN$1006:AQ1006),$AN$1006:$BO$1006,0))&gt;=100000), " ",IF(INDEX($AN$2:$BO$1001,MATCH(ROWS($AG$2:AG98),$AG$2:$AG$1001,0),MATCH(COLUMNS($AN$1006:AQ1006),$AN$1006:$BO$1006,0)), HYPERLINK("#",""), HYPERLINK(CONCATENATE("#Metadata!", ADDRESS(INDEX($AI$2:$AI$1001,MATCH(ROWS($AG$2:AG98),$AG$2:$AG$1001,0),0), INDEX($AN$1004:$BO$1004,1,MATCH(COLUMNS($AN$1006:AQ1006),$AN$1006:$BO$1006,0)))),"Fix")))</f>
        <v>0</v>
      </c>
      <c r="F98" s="4">
        <f>IF(OR(INDEX($AH$2:$AH$1001,MATCH(ROWS($AG$2:AG98),$AG$2:$AG$1001,0),1)&gt;=100000,INDEX($AN$1005:$BO$1005,1,MATCH(COLUMNS($AN$1006:AR1006),$AN$1006:$BO$1006,0))&gt;=100000), " ",IF(INDEX($AN$2:$BO$1001,MATCH(ROWS($AG$2:AG98),$AG$2:$AG$1001,0),MATCH(COLUMNS($AN$1006:AR1006),$AN$1006:$BO$1006,0)), HYPERLINK("#",""), HYPERLINK(CONCATENATE("#Metadata!", ADDRESS(INDEX($AI$2:$AI$1001,MATCH(ROWS($AG$2:AG98),$AG$2:$AG$1001,0),0), INDEX($AN$1004:$BO$1004,1,MATCH(COLUMNS($AN$1006:AR1006),$AN$1006:$BO$1006,0)))),"Fix")))</f>
        <v>0</v>
      </c>
      <c r="G98" s="4">
        <f>IF(OR(INDEX($AH$2:$AH$1001,MATCH(ROWS($AG$2:AG98),$AG$2:$AG$1001,0),1)&gt;=100000,INDEX($AN$1005:$BO$1005,1,MATCH(COLUMNS($AN$1006:AS1006),$AN$1006:$BO$1006,0))&gt;=100000), " ",IF(INDEX($AN$2:$BO$1001,MATCH(ROWS($AG$2:AG98),$AG$2:$AG$1001,0),MATCH(COLUMNS($AN$1006:AS1006),$AN$1006:$BO$1006,0)), HYPERLINK("#",""), HYPERLINK(CONCATENATE("#Metadata!", ADDRESS(INDEX($AI$2:$AI$1001,MATCH(ROWS($AG$2:AG98),$AG$2:$AG$1001,0),0), INDEX($AN$1004:$BO$1004,1,MATCH(COLUMNS($AN$1006:AS1006),$AN$1006:$BO$1006,0)))),"Fix")))</f>
        <v>0</v>
      </c>
      <c r="H98" s="4">
        <f>IF(OR(INDEX($AH$2:$AH$1001,MATCH(ROWS($AG$2:AG98),$AG$2:$AG$1001,0),1)&gt;=100000,INDEX($AN$1005:$BO$1005,1,MATCH(COLUMNS($AN$1006:AT1006),$AN$1006:$BO$1006,0))&gt;=100000), " ",IF(INDEX($AN$2:$BO$1001,MATCH(ROWS($AG$2:AG98),$AG$2:$AG$1001,0),MATCH(COLUMNS($AN$1006:AT1006),$AN$1006:$BO$1006,0)), HYPERLINK("#",""), HYPERLINK(CONCATENATE("#Metadata!", ADDRESS(INDEX($AI$2:$AI$1001,MATCH(ROWS($AG$2:AG98),$AG$2:$AG$1001,0),0), INDEX($AN$1004:$BO$1004,1,MATCH(COLUMNS($AN$1006:AT1006),$AN$1006:$BO$1006,0)))),"Fix")))</f>
        <v>0</v>
      </c>
      <c r="I98" s="4">
        <f>IF(OR(INDEX($AH$2:$AH$1001,MATCH(ROWS($AG$2:AG98),$AG$2:$AG$1001,0),1)&gt;=100000,INDEX($AN$1005:$BO$1005,1,MATCH(COLUMNS($AN$1006:AU1006),$AN$1006:$BO$1006,0))&gt;=100000), " ",IF(INDEX($AN$2:$BO$1001,MATCH(ROWS($AG$2:AG98),$AG$2:$AG$1001,0),MATCH(COLUMNS($AN$1006:AU1006),$AN$1006:$BO$1006,0)), HYPERLINK("#",""), HYPERLINK(CONCATENATE("#Metadata!", ADDRESS(INDEX($AI$2:$AI$1001,MATCH(ROWS($AG$2:AG98),$AG$2:$AG$1001,0),0), INDEX($AN$1004:$BO$1004,1,MATCH(COLUMNS($AN$1006:AU1006),$AN$1006:$BO$1006,0)))),"Fix")))</f>
        <v>0</v>
      </c>
      <c r="J98" s="4">
        <f>IF(OR(INDEX($AH$2:$AH$1001,MATCH(ROWS($AG$2:AG98),$AG$2:$AG$1001,0),1)&gt;=100000,INDEX($AN$1005:$BO$1005,1,MATCH(COLUMNS($AN$1006:AV1006),$AN$1006:$BO$1006,0))&gt;=100000), " ",IF(INDEX($AN$2:$BO$1001,MATCH(ROWS($AG$2:AG98),$AG$2:$AG$1001,0),MATCH(COLUMNS($AN$1006:AV1006),$AN$1006:$BO$1006,0)), HYPERLINK("#",""), HYPERLINK(CONCATENATE("#Metadata!", ADDRESS(INDEX($AI$2:$AI$1001,MATCH(ROWS($AG$2:AG98),$AG$2:$AG$1001,0),0), INDEX($AN$1004:$BO$1004,1,MATCH(COLUMNS($AN$1006:AV1006),$AN$1006:$BO$1006,0)))),"Fix")))</f>
        <v>0</v>
      </c>
      <c r="K98" s="4">
        <f>IF(OR(INDEX($AH$2:$AH$1001,MATCH(ROWS($AG$2:AG98),$AG$2:$AG$1001,0),1)&gt;=100000,INDEX($AN$1005:$BO$1005,1,MATCH(COLUMNS($AN$1006:AW1006),$AN$1006:$BO$1006,0))&gt;=100000), " ",IF(INDEX($AN$2:$BO$1001,MATCH(ROWS($AG$2:AG98),$AG$2:$AG$1001,0),MATCH(COLUMNS($AN$1006:AW1006),$AN$1006:$BO$1006,0)), HYPERLINK("#",""), HYPERLINK(CONCATENATE("#Metadata!", ADDRESS(INDEX($AI$2:$AI$1001,MATCH(ROWS($AG$2:AG98),$AG$2:$AG$1001,0),0), INDEX($AN$1004:$BO$1004,1,MATCH(COLUMNS($AN$1006:AW1006),$AN$1006:$BO$1006,0)))),"Fix")))</f>
        <v>0</v>
      </c>
      <c r="L98" s="4">
        <f>IF(OR(INDEX($AH$2:$AH$1001,MATCH(ROWS($AG$2:AG98),$AG$2:$AG$1001,0),1)&gt;=100000,INDEX($AN$1005:$BO$1005,1,MATCH(COLUMNS($AN$1006:AX1006),$AN$1006:$BO$1006,0))&gt;=100000), " ",IF(INDEX($AN$2:$BO$1001,MATCH(ROWS($AG$2:AG98),$AG$2:$AG$1001,0),MATCH(COLUMNS($AN$1006:AX1006),$AN$1006:$BO$1006,0)), HYPERLINK("#",""), HYPERLINK(CONCATENATE("#Metadata!", ADDRESS(INDEX($AI$2:$AI$1001,MATCH(ROWS($AG$2:AG98),$AG$2:$AG$1001,0),0), INDEX($AN$1004:$BO$1004,1,MATCH(COLUMNS($AN$1006:AX1006),$AN$1006:$BO$1006,0)))),"Fix")))</f>
        <v>0</v>
      </c>
      <c r="M98" s="4">
        <f>IF(OR(INDEX($AH$2:$AH$1001,MATCH(ROWS($AG$2:AG98),$AG$2:$AG$1001,0),1)&gt;=100000,INDEX($AN$1005:$BO$1005,1,MATCH(COLUMNS($AN$1006:AY1006),$AN$1006:$BO$1006,0))&gt;=100000), " ",IF(INDEX($AN$2:$BO$1001,MATCH(ROWS($AG$2:AG98),$AG$2:$AG$1001,0),MATCH(COLUMNS($AN$1006:AY1006),$AN$1006:$BO$1006,0)), HYPERLINK("#",""), HYPERLINK(CONCATENATE("#Metadata!", ADDRESS(INDEX($AI$2:$AI$1001,MATCH(ROWS($AG$2:AG98),$AG$2:$AG$1001,0),0), INDEX($AN$1004:$BO$1004,1,MATCH(COLUMNS($AN$1006:AY1006),$AN$1006:$BO$1006,0)))),"Fix")))</f>
        <v>0</v>
      </c>
      <c r="N98" s="4">
        <f>IF(OR(INDEX($AH$2:$AH$1001,MATCH(ROWS($AG$2:AG98),$AG$2:$AG$1001,0),1)&gt;=100000,INDEX($AN$1005:$BO$1005,1,MATCH(COLUMNS($AN$1006:AZ1006),$AN$1006:$BO$1006,0))&gt;=100000), " ",IF(INDEX($AN$2:$BO$1001,MATCH(ROWS($AG$2:AG98),$AG$2:$AG$1001,0),MATCH(COLUMNS($AN$1006:AZ1006),$AN$1006:$BO$1006,0)), HYPERLINK("#",""), HYPERLINK(CONCATENATE("#Metadata!", ADDRESS(INDEX($AI$2:$AI$1001,MATCH(ROWS($AG$2:AG98),$AG$2:$AG$1001,0),0), INDEX($AN$1004:$BO$1004,1,MATCH(COLUMNS($AN$1006:AZ1006),$AN$1006:$BO$1006,0)))),"Fix")))</f>
        <v>0</v>
      </c>
      <c r="O98" s="4">
        <f>IF(OR(INDEX($AH$2:$AH$1001,MATCH(ROWS($AG$2:AG98),$AG$2:$AG$1001,0),1)&gt;=100000,INDEX($AN$1005:$BO$1005,1,MATCH(COLUMNS($AN$1006:BA1006),$AN$1006:$BO$1006,0))&gt;=100000), " ",IF(INDEX($AN$2:$BO$1001,MATCH(ROWS($AG$2:AG98),$AG$2:$AG$1001,0),MATCH(COLUMNS($AN$1006:BA1006),$AN$1006:$BO$1006,0)), HYPERLINK("#",""), HYPERLINK(CONCATENATE("#Metadata!", ADDRESS(INDEX($AI$2:$AI$1001,MATCH(ROWS($AG$2:AG98),$AG$2:$AG$1001,0),0), INDEX($AN$1004:$BO$1004,1,MATCH(COLUMNS($AN$1006:BA1006),$AN$1006:$BO$1006,0)))),"Fix")))</f>
        <v>0</v>
      </c>
      <c r="P98" s="4">
        <f>IF(OR(INDEX($AH$2:$AH$1001,MATCH(ROWS($AG$2:AG98),$AG$2:$AG$1001,0),1)&gt;=100000,INDEX($AN$1005:$BO$1005,1,MATCH(COLUMNS($AN$1006:BB1006),$AN$1006:$BO$1006,0))&gt;=100000), " ",IF(INDEX($AN$2:$BO$1001,MATCH(ROWS($AG$2:AG98),$AG$2:$AG$1001,0),MATCH(COLUMNS($AN$1006:BB1006),$AN$1006:$BO$1006,0)), HYPERLINK("#",""), HYPERLINK(CONCATENATE("#Metadata!", ADDRESS(INDEX($AI$2:$AI$1001,MATCH(ROWS($AG$2:AG98),$AG$2:$AG$1001,0),0), INDEX($AN$1004:$BO$1004,1,MATCH(COLUMNS($AN$1006:BB1006),$AN$1006:$BO$1006,0)))),"Fix")))</f>
        <v>0</v>
      </c>
      <c r="Q98" s="4">
        <f>IF(OR(INDEX($AH$2:$AH$1001,MATCH(ROWS($AG$2:AG98),$AG$2:$AG$1001,0),1)&gt;=100000,INDEX($AN$1005:$BO$1005,1,MATCH(COLUMNS($AN$1006:BC1006),$AN$1006:$BO$1006,0))&gt;=100000), " ",IF(INDEX($AN$2:$BO$1001,MATCH(ROWS($AG$2:AG98),$AG$2:$AG$1001,0),MATCH(COLUMNS($AN$1006:BC1006),$AN$1006:$BO$1006,0)), HYPERLINK("#",""), HYPERLINK(CONCATENATE("#Metadata!", ADDRESS(INDEX($AI$2:$AI$1001,MATCH(ROWS($AG$2:AG98),$AG$2:$AG$1001,0),0), INDEX($AN$1004:$BO$1004,1,MATCH(COLUMNS($AN$1006:BC1006),$AN$1006:$BO$1006,0)))),"Fix")))</f>
        <v>0</v>
      </c>
      <c r="R98" s="4">
        <f>IF(OR(INDEX($AH$2:$AH$1001,MATCH(ROWS($AG$2:AG98),$AG$2:$AG$1001,0),1)&gt;=100000,INDEX($AN$1005:$BO$1005,1,MATCH(COLUMNS($AN$1006:BD1006),$AN$1006:$BO$1006,0))&gt;=100000), " ",IF(INDEX($AN$2:$BO$1001,MATCH(ROWS($AG$2:AG98),$AG$2:$AG$1001,0),MATCH(COLUMNS($AN$1006:BD1006),$AN$1006:$BO$1006,0)), HYPERLINK("#",""), HYPERLINK(CONCATENATE("#Metadata!", ADDRESS(INDEX($AI$2:$AI$1001,MATCH(ROWS($AG$2:AG98),$AG$2:$AG$1001,0),0), INDEX($AN$1004:$BO$1004,1,MATCH(COLUMNS($AN$1006:BD1006),$AN$1006:$BO$1006,0)))),"Fix")))</f>
        <v>0</v>
      </c>
      <c r="S98" s="4">
        <f>IF(OR(INDEX($AH$2:$AH$1001,MATCH(ROWS($AG$2:AG98),$AG$2:$AG$1001,0),1)&gt;=100000,INDEX($AN$1005:$BO$1005,1,MATCH(COLUMNS($AN$1006:BE1006),$AN$1006:$BO$1006,0))&gt;=100000), " ",IF(INDEX($AN$2:$BO$1001,MATCH(ROWS($AG$2:AG98),$AG$2:$AG$1001,0),MATCH(COLUMNS($AN$1006:BE1006),$AN$1006:$BO$1006,0)), HYPERLINK("#",""), HYPERLINK(CONCATENATE("#Metadata!", ADDRESS(INDEX($AI$2:$AI$1001,MATCH(ROWS($AG$2:AG98),$AG$2:$AG$1001,0),0), INDEX($AN$1004:$BO$1004,1,MATCH(COLUMNS($AN$1006:BE1006),$AN$1006:$BO$1006,0)))),"Fix")))</f>
        <v>0</v>
      </c>
      <c r="T98" s="4">
        <f>IF(OR(INDEX($AH$2:$AH$1001,MATCH(ROWS($AG$2:AG98),$AG$2:$AG$1001,0),1)&gt;=100000,INDEX($AN$1005:$BO$1005,1,MATCH(COLUMNS($AN$1006:BF1006),$AN$1006:$BO$1006,0))&gt;=100000), " ",IF(INDEX($AN$2:$BO$1001,MATCH(ROWS($AG$2:AG98),$AG$2:$AG$1001,0),MATCH(COLUMNS($AN$1006:BF1006),$AN$1006:$BO$1006,0)), HYPERLINK("#",""), HYPERLINK(CONCATENATE("#Metadata!", ADDRESS(INDEX($AI$2:$AI$1001,MATCH(ROWS($AG$2:AG98),$AG$2:$AG$1001,0),0), INDEX($AN$1004:$BO$1004,1,MATCH(COLUMNS($AN$1006:BF1006),$AN$1006:$BO$1006,0)))),"Fix")))</f>
        <v>0</v>
      </c>
      <c r="U98" s="4">
        <f>IF(OR(INDEX($AH$2:$AH$1001,MATCH(ROWS($AG$2:AG98),$AG$2:$AG$1001,0),1)&gt;=100000,INDEX($AN$1005:$BO$1005,1,MATCH(COLUMNS($AN$1006:BG1006),$AN$1006:$BO$1006,0))&gt;=100000), " ",IF(INDEX($AN$2:$BO$1001,MATCH(ROWS($AG$2:AG98),$AG$2:$AG$1001,0),MATCH(COLUMNS($AN$1006:BG1006),$AN$1006:$BO$1006,0)), HYPERLINK("#",""), HYPERLINK(CONCATENATE("#Metadata!", ADDRESS(INDEX($AI$2:$AI$1001,MATCH(ROWS($AG$2:AG98),$AG$2:$AG$1001,0),0), INDEX($AN$1004:$BO$1004,1,MATCH(COLUMNS($AN$1006:BG1006),$AN$1006:$BO$1006,0)))),"Fix")))</f>
        <v>0</v>
      </c>
      <c r="V98" s="4">
        <f>IF(OR(INDEX($AH$2:$AH$1001,MATCH(ROWS($AG$2:AG98),$AG$2:$AG$1001,0),1)&gt;=100000,INDEX($AN$1005:$BO$1005,1,MATCH(COLUMNS($AN$1006:BH1006),$AN$1006:$BO$1006,0))&gt;=100000), " ",IF(INDEX($AN$2:$BO$1001,MATCH(ROWS($AG$2:AG98),$AG$2:$AG$1001,0),MATCH(COLUMNS($AN$1006:BH1006),$AN$1006:$BO$1006,0)), HYPERLINK("#",""), HYPERLINK(CONCATENATE("#Metadata!", ADDRESS(INDEX($AI$2:$AI$1001,MATCH(ROWS($AG$2:AG98),$AG$2:$AG$1001,0),0), INDEX($AN$1004:$BO$1004,1,MATCH(COLUMNS($AN$1006:BH1006),$AN$1006:$BO$1006,0)))),"Fix")))</f>
        <v>0</v>
      </c>
      <c r="W98" s="4">
        <f>IF(OR(INDEX($AH$2:$AH$1001,MATCH(ROWS($AG$2:AG98),$AG$2:$AG$1001,0),1)&gt;=100000,INDEX($AN$1005:$BO$1005,1,MATCH(COLUMNS($AN$1006:BI1006),$AN$1006:$BO$1006,0))&gt;=100000), " ",IF(INDEX($AN$2:$BO$1001,MATCH(ROWS($AG$2:AG98),$AG$2:$AG$1001,0),MATCH(COLUMNS($AN$1006:BI1006),$AN$1006:$BO$1006,0)), HYPERLINK("#",""), HYPERLINK(CONCATENATE("#Metadata!", ADDRESS(INDEX($AI$2:$AI$1001,MATCH(ROWS($AG$2:AG98),$AG$2:$AG$1001,0),0), INDEX($AN$1004:$BO$1004,1,MATCH(COLUMNS($AN$1006:BI1006),$AN$1006:$BO$1006,0)))),"Fix")))</f>
        <v>0</v>
      </c>
      <c r="X98" s="4">
        <f>IF(OR(INDEX($AH$2:$AH$1001,MATCH(ROWS($AG$2:AG98),$AG$2:$AG$1001,0),1)&gt;=100000,INDEX($AN$1005:$BO$1005,1,MATCH(COLUMNS($AN$1006:BJ1006),$AN$1006:$BO$1006,0))&gt;=100000), " ",IF(INDEX($AN$2:$BO$1001,MATCH(ROWS($AG$2:AG98),$AG$2:$AG$1001,0),MATCH(COLUMNS($AN$1006:BJ1006),$AN$1006:$BO$1006,0)), HYPERLINK("#",""), HYPERLINK(CONCATENATE("#Metadata!", ADDRESS(INDEX($AI$2:$AI$1001,MATCH(ROWS($AG$2:AG98),$AG$2:$AG$1001,0),0), INDEX($AN$1004:$BO$1004,1,MATCH(COLUMNS($AN$1006:BJ1006),$AN$1006:$BO$1006,0)))),"Fix")))</f>
        <v>0</v>
      </c>
      <c r="Y98" s="4">
        <f>IF(OR(INDEX($AH$2:$AH$1001,MATCH(ROWS($AG$2:AG98),$AG$2:$AG$1001,0),1)&gt;=100000,INDEX($AN$1005:$BO$1005,1,MATCH(COLUMNS($AN$1006:BK1006),$AN$1006:$BO$1006,0))&gt;=100000), " ",IF(INDEX($AN$2:$BO$1001,MATCH(ROWS($AG$2:AG98),$AG$2:$AG$1001,0),MATCH(COLUMNS($AN$1006:BK1006),$AN$1006:$BO$1006,0)), HYPERLINK("#",""), HYPERLINK(CONCATENATE("#Metadata!", ADDRESS(INDEX($AI$2:$AI$1001,MATCH(ROWS($AG$2:AG98),$AG$2:$AG$1001,0),0), INDEX($AN$1004:$BO$1004,1,MATCH(COLUMNS($AN$1006:BK1006),$AN$1006:$BO$1006,0)))),"Fix")))</f>
        <v>0</v>
      </c>
      <c r="Z98" s="4">
        <f>IF(OR(INDEX($AH$2:$AH$1001,MATCH(ROWS($AG$2:AG98),$AG$2:$AG$1001,0),1)&gt;=100000,INDEX($AN$1005:$BO$1005,1,MATCH(COLUMNS($AN$1006:BL1006),$AN$1006:$BO$1006,0))&gt;=100000), " ",IF(INDEX($AN$2:$BO$1001,MATCH(ROWS($AG$2:AG98),$AG$2:$AG$1001,0),MATCH(COLUMNS($AN$1006:BL1006),$AN$1006:$BO$1006,0)), HYPERLINK("#",""), HYPERLINK(CONCATENATE("#Metadata!", ADDRESS(INDEX($AI$2:$AI$1001,MATCH(ROWS($AG$2:AG98),$AG$2:$AG$1001,0),0), INDEX($AN$1004:$BO$1004,1,MATCH(COLUMNS($AN$1006:BL1006),$AN$1006:$BO$1006,0)))),"Fix")))</f>
        <v>0</v>
      </c>
      <c r="AA98" s="4">
        <f>IF(OR(INDEX($AH$2:$AH$1001,MATCH(ROWS($AG$2:AG98),$AG$2:$AG$1001,0),1)&gt;=100000,INDEX($AN$1005:$BO$1005,1,MATCH(COLUMNS($AN$1006:BM1006),$AN$1006:$BO$1006,0))&gt;=100000), " ",IF(INDEX($AN$2:$BO$1001,MATCH(ROWS($AG$2:AG98),$AG$2:$AG$1001,0),MATCH(COLUMNS($AN$1006:BM1006),$AN$1006:$BO$1006,0)), HYPERLINK("#",""), HYPERLINK(CONCATENATE("#Metadata!", ADDRESS(INDEX($AI$2:$AI$1001,MATCH(ROWS($AG$2:AG98),$AG$2:$AG$1001,0),0), INDEX($AN$1004:$BO$1004,1,MATCH(COLUMNS($AN$1006:BM1006),$AN$1006:$BO$1006,0)))),"Fix")))</f>
        <v>0</v>
      </c>
      <c r="AB98" s="4">
        <f>IF(OR(INDEX($AH$2:$AH$1001,MATCH(ROWS($AG$2:AG98),$AG$2:$AG$1001,0),1)&gt;=100000,INDEX($AN$1005:$BO$1005,1,MATCH(COLUMNS($AN$1006:BN1006),$AN$1006:$BO$1006,0))&gt;=100000), " ",IF(INDEX($AN$2:$BO$1001,MATCH(ROWS($AG$2:AG98),$AG$2:$AG$1001,0),MATCH(COLUMNS($AN$1006:BN1006),$AN$1006:$BO$1006,0)), HYPERLINK("#",""), HYPERLINK(CONCATENATE("#Metadata!", ADDRESS(INDEX($AI$2:$AI$1001,MATCH(ROWS($AG$2:AG98),$AG$2:$AG$1001,0),0), INDEX($AN$1004:$BO$1004,1,MATCH(COLUMNS($AN$1006:BN1006),$AN$1006:$BO$1006,0)))),"Fix")))</f>
        <v>0</v>
      </c>
      <c r="AC98" s="4">
        <f>IF(OR(INDEX($AH$2:$AH$1001,MATCH(ROWS($AG$2:AG98),$AG$2:$AG$1001,0),1)&gt;=100000,INDEX($AN$1005:$BO$1005,1,MATCH(COLUMNS($AN$1006:BO1006),$AN$1006:$BO$1006,0))&gt;=100000), " ",IF(INDEX($AN$2:$BO$1001,MATCH(ROWS($AG$2:AG98),$AG$2:$AG$1001,0),MATCH(COLUMNS($AN$1006:BO1006),$AN$1006:$BO$1006,0)), HYPERLINK("#",""), HYPERLINK(CONCATENATE("#Metadata!", ADDRESS(INDEX($AI$2:$AI$1001,MATCH(ROWS($AG$2:AG98),$AG$2:$AG$1001,0),0), INDEX($AN$1004:$BO$1004,1,MATCH(COLUMNS($AN$1006:BO1006),$AN$1006:$BO$1006,0)))),"Fix")))</f>
        <v>0</v>
      </c>
      <c r="AG98">
        <v>0</v>
      </c>
      <c r="AH98">
        <v>0</v>
      </c>
      <c r="AI98">
        <v>0</v>
      </c>
      <c r="AJ98">
        <f>IF(AK98,TRUE,AND(AN98:BO98))</f>
        <v>0</v>
      </c>
      <c r="AK98">
        <f>COUNTBLANK(Metadata!B98:AC98)=COLUMNS(Metadata!B98:AC98)</f>
        <v>0</v>
      </c>
      <c r="AL98">
        <v>0</v>
      </c>
      <c r="AN98">
        <f>AND(IF(Metadata!B98="",FALSE,TRUE),COUNTIF(Metadata!B:B, Metadata!B98) = 1,NOT(ISERROR(SUMPRODUCT(SEARCH(MID(Metadata!B98,ROW(INDIRECT("1:"&amp;LEN(Metadata!B98))), 1),"0123456789abcdefghijklmnopqrstuvwxyzABCDEFGHIJKLMNOPQRSTUVWXYZ.")))))</f>
        <v>0</v>
      </c>
      <c r="AO98">
        <f>IF(Metadata!C98="",FALSE,TRUE)</f>
        <v>0</v>
      </c>
      <c r="AP98">
        <f>IF(Metadata!D98="",FALSE,TRUE)</f>
        <v>0</v>
      </c>
      <c r="AQ98">
        <f>OR(AND(IF(Metadata!E98="",FALSE,TRUE),OR(exact(Metadata!E98,"not collected"),exact(Metadata!E98,"not provided"),exact(Metadata!E98,"restricted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R98">
        <f>IF(Metadata!F98="",FALSE,TRUE)</f>
        <v>0</v>
      </c>
      <c r="AS98">
        <f>OR(AND(IF(Metadata!G98="",FALSE,TRUE),OR(exact(Metadata!G98,"not collected"),exact(Metadata!G98,"not provided"))),AND(IF(Metadata!G98="",FALSE,TRUE),OR(exact(Metadata!G98,"TRUE"),exact(Metadata!G98,"FALSE"))))</f>
        <v>0</v>
      </c>
      <c r="AT98">
        <f>OR(AND(IF(Metadata!H98="",FALSE,TRUE),OR(exact(Metadata!H98,"not collected"),exact(Metadata!H98,"not provided"),exact(Metadata!H98,"restricted access"))),AND(IF(Metadata!H98="",FALSE,ISNUMBER(VALUE(Metadata!H98))),Metadata!H98&gt;=-413.0))</f>
        <v>0</v>
      </c>
      <c r="AU98">
        <f>AND(IF(Metadata!I98="",FALSE,TRUE),exact(Metadata!I98,"meters"))</f>
        <v>0</v>
      </c>
      <c r="AV98">
        <f>AND(IF(Metadata!J98="",FALSE,TRUE),OR(exact(Metadata!J98,"Host-associated"),exact(Metadata!J98,"Free-living")))</f>
        <v>0</v>
      </c>
      <c r="AW98">
        <f>AND(IF(Metadata!K98="",FALSE,TRUE),OR(exact(Metadata!K98,"Animal"),exact(Metadata!K98,"Fungus"),exact(Metadata!K98,"Plant"),exact(Metadata!K98,"Saline"),exact(Metadata!K98,"Non-saline")))</f>
        <v>0</v>
      </c>
      <c r="AX98">
        <f>AND(IF(Metadata!L98="",FALSE,TRUE),OR(exact(Metadata!L98,"Plant secretion"),exact(Metadata!L98,"Plant rhizosphere"),exact(Metadata!L98,"Plant surface"),exact(Metadata!L98,"Plant corpus"),exact(Metadata!L98,"Fungus surface"),exact(Metadata!L98,"Fungus corpus"),exact(Metadata!L98,"Animal surface"),exact(Metadata!L98,"Animal proximal gut"),exact(Metadata!L98,"Animal corpus"),exact(Metadata!L98,"Animal distal gut"),exact(Metadata!L98,"Animal secretion"),exact(Metadata!L98,"Sub-surface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Y98">
        <f>IF(Metadata!M98="",FALSE,TRUE)</f>
        <v>0</v>
      </c>
      <c r="AZ98">
        <f>IF(Metadata!N98="",FALSE,TRUE)</f>
        <v>0</v>
      </c>
      <c r="BA98">
        <f>IF(Metadata!O98="",FALSE,TRUE)</f>
        <v>0</v>
      </c>
      <c r="BB98">
        <f>OR(AND(IF(Metadata!P98="",FALSE,TRUE),OR(exact(Metadata!P98,"not collected"),exact(Metadata!P98,"not provided"),exact(Metadata!P98,"restricted access"))),AND(IF(Metadata!P98="",FALSE,TRUE),OR(exact(Metadata!P98,"air"),exact(Metadata!P98,"built environment"),exact(Metadata!P98,"host-associated"),exact(Metadata!P98,"human-associated"),exact(Metadata!P98,"human-skin"),exact(Metadata!P98,"human-oral"),exact(Metadata!P98,"human-gut"),exact(Metadata!P98,"human-vaginal"),exact(Metadata!P98,"microbial mat/biofilm"),exact(Metadata!P98,"misc environment"),exact(Metadata!P98,"plant-associated"),exact(Metadata!P98,"sediment"),exact(Metadata!P98,"soil"),exact(Metadata!P98,"wastewater/sludge"),exact(Metadata!P98,"water"))))</f>
        <v>0</v>
      </c>
      <c r="BC98">
        <f>IF(Metadata!Q98="",FALSE,TRUE)</f>
        <v>0</v>
      </c>
      <c r="BD98">
        <f>IF(Metadata!R98="",FALSE,TRUE)</f>
        <v>0</v>
      </c>
      <c r="BE98">
        <f>OR(AND(IF(Metadata!S98="",FALSE,TRUE),OR(exact(Metadata!S98,"not collected"),exact(Metadata!S98,"not provided"),exact(Metadata!S98,"restricted access"))),AND(IF(Metadata!S98="",FALSE,ISNUMBER(VALUE(Metadata!S98))),Metadata!S98&gt;=-90.00,Metadata!S98&lt;=90.00))</f>
        <v>0</v>
      </c>
      <c r="BF98">
        <f>AND(IF(Metadata!T98="",FALSE,TRUE),exact(Metadata!T98,"Decimal degrees"))</f>
        <v>0</v>
      </c>
      <c r="BG98">
        <f>OR(AND(IF(Metadata!U98="",FALSE,TRUE),OR(exact(Metadata!U98,"not collected"),exact(Metadata!U98,"not provided"),exact(Metadata!U98,"restricted access"))),AND(IF(Metadata!U98="",FALSE,ISNUMBER(VALUE(Metadata!U98))),Metadata!U98&gt;=-180.00,Metadata!U98&lt;=180.00))</f>
        <v>0</v>
      </c>
      <c r="BH98">
        <f>AND(IF(Metadata!V98="",FALSE,TRUE),exact(Metadata!V98,"Decimal degrees"))</f>
        <v>0</v>
      </c>
      <c r="BI98">
        <f>IF(Metadata!W98="",FALSE,TRUE)</f>
        <v>0</v>
      </c>
      <c r="BJ98">
        <f>OR(AND(IF(Metadata!X98="",FALSE,TRUE),OR(exact(Metadata!X98,"not collected"),exact(Metadata!X98,"not provided"),exact(Metadata!X98,"restricted access"))),AND(IF(Metadata!X98="",FALSE,TRUE),OR(exact(Metadata!X98,"TRUE"),exact(Metadata!X98,"FALSE"))))</f>
        <v>0</v>
      </c>
      <c r="BK98">
        <f>AND(IF(Metadata!Y98="",FALSE,TRUE),exact(Metadata!Y98,"other"))</f>
        <v>0</v>
      </c>
      <c r="BL98">
        <f>IF(Metadata!Z98="",FALSE,TRUE)</f>
        <v>0</v>
      </c>
      <c r="BM98">
        <f>OR(AND(IF(Metadata!AA98="",FALSE,TRUE),OR(exact(Metadata!AA98,"not collected"),exact(Metadata!AA98,"not provided"))),AND(IF(Metadata!AA98="",FALSE,IF(ISERROR(INT(Metadata!AA98)),FALSE,INT(Metadata!AA98)=Metadata!AA98)),Metadata!AA98&gt;0))</f>
        <v>0</v>
      </c>
      <c r="BN98">
        <f>AND(IF(Metadata!AB98="",FALSE,TRUE),exact(Metadata!AB98,"Not applicable"))</f>
        <v>0</v>
      </c>
      <c r="BO98">
        <f>IF(Metadata!AC98="",FALSE,TRUE)</f>
        <v>0</v>
      </c>
    </row>
    <row r="99" spans="1:67">
      <c r="A99" s="5">
        <f>IF(B99=" "," ",HYPERLINK(CONCATENATE("#metadata!",ADDRESS(INDEX($AI$2:$AI$1001,MATCH(ROWS($AG$2:AG99),$AG$2:$AG$1001,0),0),1)),INDEX($AL$2:$AL$1001,MATCH(ROWS($AG$2:AG99),$AG$2:$AG$1001,0),0)))</f>
        <v>0</v>
      </c>
      <c r="B99" s="4">
        <f>IF(OR(INDEX($AH$2:$AH$1001,MATCH(ROWS($AG$2:AG99),$AG$2:$AG$1001,0),1)&gt;=100000,INDEX($AN$1005:$BO$1005,1,MATCH(COLUMNS($AN$1006:AN1006),$AN$1006:$BO$1006,0))&gt;=100000), " ",IF(INDEX($AN$2:$BO$1001,MATCH(ROWS($AG$2:AG99),$AG$2:$AG$1001,0),MATCH(COLUMNS($AN$1006:AN1006),$AN$1006:$BO$1006,0)), HYPERLINK("#",""), HYPERLINK(CONCATENATE("#Metadata!", ADDRESS(INDEX($AI$2:$AI$1001,MATCH(ROWS($AG$2:AG99),$AG$2:$AG$1001,0),0), INDEX($AN$1004:$BO$1004,1,MATCH(COLUMNS($AN$1006:AN1006),$AN$1006:$BO$1006,0)))),"Fix")))</f>
        <v>0</v>
      </c>
      <c r="C99" s="4">
        <f>IF(OR(INDEX($AH$2:$AH$1001,MATCH(ROWS($AG$2:AG99),$AG$2:$AG$1001,0),1)&gt;=100000,INDEX($AN$1005:$BO$1005,1,MATCH(COLUMNS($AN$1006:AO1006),$AN$1006:$BO$1006,0))&gt;=100000), " ",IF(INDEX($AN$2:$BO$1001,MATCH(ROWS($AG$2:AG99),$AG$2:$AG$1001,0),MATCH(COLUMNS($AN$1006:AO1006),$AN$1006:$BO$1006,0)), HYPERLINK("#",""), HYPERLINK(CONCATENATE("#Metadata!", ADDRESS(INDEX($AI$2:$AI$1001,MATCH(ROWS($AG$2:AG99),$AG$2:$AG$1001,0),0), INDEX($AN$1004:$BO$1004,1,MATCH(COLUMNS($AN$1006:AO1006),$AN$1006:$BO$1006,0)))),"Fix")))</f>
        <v>0</v>
      </c>
      <c r="D99" s="4">
        <f>IF(OR(INDEX($AH$2:$AH$1001,MATCH(ROWS($AG$2:AG99),$AG$2:$AG$1001,0),1)&gt;=100000,INDEX($AN$1005:$BO$1005,1,MATCH(COLUMNS($AN$1006:AP1006),$AN$1006:$BO$1006,0))&gt;=100000), " ",IF(INDEX($AN$2:$BO$1001,MATCH(ROWS($AG$2:AG99),$AG$2:$AG$1001,0),MATCH(COLUMNS($AN$1006:AP1006),$AN$1006:$BO$1006,0)), HYPERLINK("#",""), HYPERLINK(CONCATENATE("#Metadata!", ADDRESS(INDEX($AI$2:$AI$1001,MATCH(ROWS($AG$2:AG99),$AG$2:$AG$1001,0),0), INDEX($AN$1004:$BO$1004,1,MATCH(COLUMNS($AN$1006:AP1006),$AN$1006:$BO$1006,0)))),"Fix")))</f>
        <v>0</v>
      </c>
      <c r="E99" s="4">
        <f>IF(OR(INDEX($AH$2:$AH$1001,MATCH(ROWS($AG$2:AG99),$AG$2:$AG$1001,0),1)&gt;=100000,INDEX($AN$1005:$BO$1005,1,MATCH(COLUMNS($AN$1006:AQ1006),$AN$1006:$BO$1006,0))&gt;=100000), " ",IF(INDEX($AN$2:$BO$1001,MATCH(ROWS($AG$2:AG99),$AG$2:$AG$1001,0),MATCH(COLUMNS($AN$1006:AQ1006),$AN$1006:$BO$1006,0)), HYPERLINK("#",""), HYPERLINK(CONCATENATE("#Metadata!", ADDRESS(INDEX($AI$2:$AI$1001,MATCH(ROWS($AG$2:AG99),$AG$2:$AG$1001,0),0), INDEX($AN$1004:$BO$1004,1,MATCH(COLUMNS($AN$1006:AQ1006),$AN$1006:$BO$1006,0)))),"Fix")))</f>
        <v>0</v>
      </c>
      <c r="F99" s="4">
        <f>IF(OR(INDEX($AH$2:$AH$1001,MATCH(ROWS($AG$2:AG99),$AG$2:$AG$1001,0),1)&gt;=100000,INDEX($AN$1005:$BO$1005,1,MATCH(COLUMNS($AN$1006:AR1006),$AN$1006:$BO$1006,0))&gt;=100000), " ",IF(INDEX($AN$2:$BO$1001,MATCH(ROWS($AG$2:AG99),$AG$2:$AG$1001,0),MATCH(COLUMNS($AN$1006:AR1006),$AN$1006:$BO$1006,0)), HYPERLINK("#",""), HYPERLINK(CONCATENATE("#Metadata!", ADDRESS(INDEX($AI$2:$AI$1001,MATCH(ROWS($AG$2:AG99),$AG$2:$AG$1001,0),0), INDEX($AN$1004:$BO$1004,1,MATCH(COLUMNS($AN$1006:AR1006),$AN$1006:$BO$1006,0)))),"Fix")))</f>
        <v>0</v>
      </c>
      <c r="G99" s="4">
        <f>IF(OR(INDEX($AH$2:$AH$1001,MATCH(ROWS($AG$2:AG99),$AG$2:$AG$1001,0),1)&gt;=100000,INDEX($AN$1005:$BO$1005,1,MATCH(COLUMNS($AN$1006:AS1006),$AN$1006:$BO$1006,0))&gt;=100000), " ",IF(INDEX($AN$2:$BO$1001,MATCH(ROWS($AG$2:AG99),$AG$2:$AG$1001,0),MATCH(COLUMNS($AN$1006:AS1006),$AN$1006:$BO$1006,0)), HYPERLINK("#",""), HYPERLINK(CONCATENATE("#Metadata!", ADDRESS(INDEX($AI$2:$AI$1001,MATCH(ROWS($AG$2:AG99),$AG$2:$AG$1001,0),0), INDEX($AN$1004:$BO$1004,1,MATCH(COLUMNS($AN$1006:AS1006),$AN$1006:$BO$1006,0)))),"Fix")))</f>
        <v>0</v>
      </c>
      <c r="H99" s="4">
        <f>IF(OR(INDEX($AH$2:$AH$1001,MATCH(ROWS($AG$2:AG99),$AG$2:$AG$1001,0),1)&gt;=100000,INDEX($AN$1005:$BO$1005,1,MATCH(COLUMNS($AN$1006:AT1006),$AN$1006:$BO$1006,0))&gt;=100000), " ",IF(INDEX($AN$2:$BO$1001,MATCH(ROWS($AG$2:AG99),$AG$2:$AG$1001,0),MATCH(COLUMNS($AN$1006:AT1006),$AN$1006:$BO$1006,0)), HYPERLINK("#",""), HYPERLINK(CONCATENATE("#Metadata!", ADDRESS(INDEX($AI$2:$AI$1001,MATCH(ROWS($AG$2:AG99),$AG$2:$AG$1001,0),0), INDEX($AN$1004:$BO$1004,1,MATCH(COLUMNS($AN$1006:AT1006),$AN$1006:$BO$1006,0)))),"Fix")))</f>
        <v>0</v>
      </c>
      <c r="I99" s="4">
        <f>IF(OR(INDEX($AH$2:$AH$1001,MATCH(ROWS($AG$2:AG99),$AG$2:$AG$1001,0),1)&gt;=100000,INDEX($AN$1005:$BO$1005,1,MATCH(COLUMNS($AN$1006:AU1006),$AN$1006:$BO$1006,0))&gt;=100000), " ",IF(INDEX($AN$2:$BO$1001,MATCH(ROWS($AG$2:AG99),$AG$2:$AG$1001,0),MATCH(COLUMNS($AN$1006:AU1006),$AN$1006:$BO$1006,0)), HYPERLINK("#",""), HYPERLINK(CONCATENATE("#Metadata!", ADDRESS(INDEX($AI$2:$AI$1001,MATCH(ROWS($AG$2:AG99),$AG$2:$AG$1001,0),0), INDEX($AN$1004:$BO$1004,1,MATCH(COLUMNS($AN$1006:AU1006),$AN$1006:$BO$1006,0)))),"Fix")))</f>
        <v>0</v>
      </c>
      <c r="J99" s="4">
        <f>IF(OR(INDEX($AH$2:$AH$1001,MATCH(ROWS($AG$2:AG99),$AG$2:$AG$1001,0),1)&gt;=100000,INDEX($AN$1005:$BO$1005,1,MATCH(COLUMNS($AN$1006:AV1006),$AN$1006:$BO$1006,0))&gt;=100000), " ",IF(INDEX($AN$2:$BO$1001,MATCH(ROWS($AG$2:AG99),$AG$2:$AG$1001,0),MATCH(COLUMNS($AN$1006:AV1006),$AN$1006:$BO$1006,0)), HYPERLINK("#",""), HYPERLINK(CONCATENATE("#Metadata!", ADDRESS(INDEX($AI$2:$AI$1001,MATCH(ROWS($AG$2:AG99),$AG$2:$AG$1001,0),0), INDEX($AN$1004:$BO$1004,1,MATCH(COLUMNS($AN$1006:AV1006),$AN$1006:$BO$1006,0)))),"Fix")))</f>
        <v>0</v>
      </c>
      <c r="K99" s="4">
        <f>IF(OR(INDEX($AH$2:$AH$1001,MATCH(ROWS($AG$2:AG99),$AG$2:$AG$1001,0),1)&gt;=100000,INDEX($AN$1005:$BO$1005,1,MATCH(COLUMNS($AN$1006:AW1006),$AN$1006:$BO$1006,0))&gt;=100000), " ",IF(INDEX($AN$2:$BO$1001,MATCH(ROWS($AG$2:AG99),$AG$2:$AG$1001,0),MATCH(COLUMNS($AN$1006:AW1006),$AN$1006:$BO$1006,0)), HYPERLINK("#",""), HYPERLINK(CONCATENATE("#Metadata!", ADDRESS(INDEX($AI$2:$AI$1001,MATCH(ROWS($AG$2:AG99),$AG$2:$AG$1001,0),0), INDEX($AN$1004:$BO$1004,1,MATCH(COLUMNS($AN$1006:AW1006),$AN$1006:$BO$1006,0)))),"Fix")))</f>
        <v>0</v>
      </c>
      <c r="L99" s="4">
        <f>IF(OR(INDEX($AH$2:$AH$1001,MATCH(ROWS($AG$2:AG99),$AG$2:$AG$1001,0),1)&gt;=100000,INDEX($AN$1005:$BO$1005,1,MATCH(COLUMNS($AN$1006:AX1006),$AN$1006:$BO$1006,0))&gt;=100000), " ",IF(INDEX($AN$2:$BO$1001,MATCH(ROWS($AG$2:AG99),$AG$2:$AG$1001,0),MATCH(COLUMNS($AN$1006:AX1006),$AN$1006:$BO$1006,0)), HYPERLINK("#",""), HYPERLINK(CONCATENATE("#Metadata!", ADDRESS(INDEX($AI$2:$AI$1001,MATCH(ROWS($AG$2:AG99),$AG$2:$AG$1001,0),0), INDEX($AN$1004:$BO$1004,1,MATCH(COLUMNS($AN$1006:AX1006),$AN$1006:$BO$1006,0)))),"Fix")))</f>
        <v>0</v>
      </c>
      <c r="M99" s="4">
        <f>IF(OR(INDEX($AH$2:$AH$1001,MATCH(ROWS($AG$2:AG99),$AG$2:$AG$1001,0),1)&gt;=100000,INDEX($AN$1005:$BO$1005,1,MATCH(COLUMNS($AN$1006:AY1006),$AN$1006:$BO$1006,0))&gt;=100000), " ",IF(INDEX($AN$2:$BO$1001,MATCH(ROWS($AG$2:AG99),$AG$2:$AG$1001,0),MATCH(COLUMNS($AN$1006:AY1006),$AN$1006:$BO$1006,0)), HYPERLINK("#",""), HYPERLINK(CONCATENATE("#Metadata!", ADDRESS(INDEX($AI$2:$AI$1001,MATCH(ROWS($AG$2:AG99),$AG$2:$AG$1001,0),0), INDEX($AN$1004:$BO$1004,1,MATCH(COLUMNS($AN$1006:AY1006),$AN$1006:$BO$1006,0)))),"Fix")))</f>
        <v>0</v>
      </c>
      <c r="N99" s="4">
        <f>IF(OR(INDEX($AH$2:$AH$1001,MATCH(ROWS($AG$2:AG99),$AG$2:$AG$1001,0),1)&gt;=100000,INDEX($AN$1005:$BO$1005,1,MATCH(COLUMNS($AN$1006:AZ1006),$AN$1006:$BO$1006,0))&gt;=100000), " ",IF(INDEX($AN$2:$BO$1001,MATCH(ROWS($AG$2:AG99),$AG$2:$AG$1001,0),MATCH(COLUMNS($AN$1006:AZ1006),$AN$1006:$BO$1006,0)), HYPERLINK("#",""), HYPERLINK(CONCATENATE("#Metadata!", ADDRESS(INDEX($AI$2:$AI$1001,MATCH(ROWS($AG$2:AG99),$AG$2:$AG$1001,0),0), INDEX($AN$1004:$BO$1004,1,MATCH(COLUMNS($AN$1006:AZ1006),$AN$1006:$BO$1006,0)))),"Fix")))</f>
        <v>0</v>
      </c>
      <c r="O99" s="4">
        <f>IF(OR(INDEX($AH$2:$AH$1001,MATCH(ROWS($AG$2:AG99),$AG$2:$AG$1001,0),1)&gt;=100000,INDEX($AN$1005:$BO$1005,1,MATCH(COLUMNS($AN$1006:BA1006),$AN$1006:$BO$1006,0))&gt;=100000), " ",IF(INDEX($AN$2:$BO$1001,MATCH(ROWS($AG$2:AG99),$AG$2:$AG$1001,0),MATCH(COLUMNS($AN$1006:BA1006),$AN$1006:$BO$1006,0)), HYPERLINK("#",""), HYPERLINK(CONCATENATE("#Metadata!", ADDRESS(INDEX($AI$2:$AI$1001,MATCH(ROWS($AG$2:AG99),$AG$2:$AG$1001,0),0), INDEX($AN$1004:$BO$1004,1,MATCH(COLUMNS($AN$1006:BA1006),$AN$1006:$BO$1006,0)))),"Fix")))</f>
        <v>0</v>
      </c>
      <c r="P99" s="4">
        <f>IF(OR(INDEX($AH$2:$AH$1001,MATCH(ROWS($AG$2:AG99),$AG$2:$AG$1001,0),1)&gt;=100000,INDEX($AN$1005:$BO$1005,1,MATCH(COLUMNS($AN$1006:BB1006),$AN$1006:$BO$1006,0))&gt;=100000), " ",IF(INDEX($AN$2:$BO$1001,MATCH(ROWS($AG$2:AG99),$AG$2:$AG$1001,0),MATCH(COLUMNS($AN$1006:BB1006),$AN$1006:$BO$1006,0)), HYPERLINK("#",""), HYPERLINK(CONCATENATE("#Metadata!", ADDRESS(INDEX($AI$2:$AI$1001,MATCH(ROWS($AG$2:AG99),$AG$2:$AG$1001,0),0), INDEX($AN$1004:$BO$1004,1,MATCH(COLUMNS($AN$1006:BB1006),$AN$1006:$BO$1006,0)))),"Fix")))</f>
        <v>0</v>
      </c>
      <c r="Q99" s="4">
        <f>IF(OR(INDEX($AH$2:$AH$1001,MATCH(ROWS($AG$2:AG99),$AG$2:$AG$1001,0),1)&gt;=100000,INDEX($AN$1005:$BO$1005,1,MATCH(COLUMNS($AN$1006:BC1006),$AN$1006:$BO$1006,0))&gt;=100000), " ",IF(INDEX($AN$2:$BO$1001,MATCH(ROWS($AG$2:AG99),$AG$2:$AG$1001,0),MATCH(COLUMNS($AN$1006:BC1006),$AN$1006:$BO$1006,0)), HYPERLINK("#",""), HYPERLINK(CONCATENATE("#Metadata!", ADDRESS(INDEX($AI$2:$AI$1001,MATCH(ROWS($AG$2:AG99),$AG$2:$AG$1001,0),0), INDEX($AN$1004:$BO$1004,1,MATCH(COLUMNS($AN$1006:BC1006),$AN$1006:$BO$1006,0)))),"Fix")))</f>
        <v>0</v>
      </c>
      <c r="R99" s="4">
        <f>IF(OR(INDEX($AH$2:$AH$1001,MATCH(ROWS($AG$2:AG99),$AG$2:$AG$1001,0),1)&gt;=100000,INDEX($AN$1005:$BO$1005,1,MATCH(COLUMNS($AN$1006:BD1006),$AN$1006:$BO$1006,0))&gt;=100000), " ",IF(INDEX($AN$2:$BO$1001,MATCH(ROWS($AG$2:AG99),$AG$2:$AG$1001,0),MATCH(COLUMNS($AN$1006:BD1006),$AN$1006:$BO$1006,0)), HYPERLINK("#",""), HYPERLINK(CONCATENATE("#Metadata!", ADDRESS(INDEX($AI$2:$AI$1001,MATCH(ROWS($AG$2:AG99),$AG$2:$AG$1001,0),0), INDEX($AN$1004:$BO$1004,1,MATCH(COLUMNS($AN$1006:BD1006),$AN$1006:$BO$1006,0)))),"Fix")))</f>
        <v>0</v>
      </c>
      <c r="S99" s="4">
        <f>IF(OR(INDEX($AH$2:$AH$1001,MATCH(ROWS($AG$2:AG99),$AG$2:$AG$1001,0),1)&gt;=100000,INDEX($AN$1005:$BO$1005,1,MATCH(COLUMNS($AN$1006:BE1006),$AN$1006:$BO$1006,0))&gt;=100000), " ",IF(INDEX($AN$2:$BO$1001,MATCH(ROWS($AG$2:AG99),$AG$2:$AG$1001,0),MATCH(COLUMNS($AN$1006:BE1006),$AN$1006:$BO$1006,0)), HYPERLINK("#",""), HYPERLINK(CONCATENATE("#Metadata!", ADDRESS(INDEX($AI$2:$AI$1001,MATCH(ROWS($AG$2:AG99),$AG$2:$AG$1001,0),0), INDEX($AN$1004:$BO$1004,1,MATCH(COLUMNS($AN$1006:BE1006),$AN$1006:$BO$1006,0)))),"Fix")))</f>
        <v>0</v>
      </c>
      <c r="T99" s="4">
        <f>IF(OR(INDEX($AH$2:$AH$1001,MATCH(ROWS($AG$2:AG99),$AG$2:$AG$1001,0),1)&gt;=100000,INDEX($AN$1005:$BO$1005,1,MATCH(COLUMNS($AN$1006:BF1006),$AN$1006:$BO$1006,0))&gt;=100000), " ",IF(INDEX($AN$2:$BO$1001,MATCH(ROWS($AG$2:AG99),$AG$2:$AG$1001,0),MATCH(COLUMNS($AN$1006:BF1006),$AN$1006:$BO$1006,0)), HYPERLINK("#",""), HYPERLINK(CONCATENATE("#Metadata!", ADDRESS(INDEX($AI$2:$AI$1001,MATCH(ROWS($AG$2:AG99),$AG$2:$AG$1001,0),0), INDEX($AN$1004:$BO$1004,1,MATCH(COLUMNS($AN$1006:BF1006),$AN$1006:$BO$1006,0)))),"Fix")))</f>
        <v>0</v>
      </c>
      <c r="U99" s="4">
        <f>IF(OR(INDEX($AH$2:$AH$1001,MATCH(ROWS($AG$2:AG99),$AG$2:$AG$1001,0),1)&gt;=100000,INDEX($AN$1005:$BO$1005,1,MATCH(COLUMNS($AN$1006:BG1006),$AN$1006:$BO$1006,0))&gt;=100000), " ",IF(INDEX($AN$2:$BO$1001,MATCH(ROWS($AG$2:AG99),$AG$2:$AG$1001,0),MATCH(COLUMNS($AN$1006:BG1006),$AN$1006:$BO$1006,0)), HYPERLINK("#",""), HYPERLINK(CONCATENATE("#Metadata!", ADDRESS(INDEX($AI$2:$AI$1001,MATCH(ROWS($AG$2:AG99),$AG$2:$AG$1001,0),0), INDEX($AN$1004:$BO$1004,1,MATCH(COLUMNS($AN$1006:BG1006),$AN$1006:$BO$1006,0)))),"Fix")))</f>
        <v>0</v>
      </c>
      <c r="V99" s="4">
        <f>IF(OR(INDEX($AH$2:$AH$1001,MATCH(ROWS($AG$2:AG99),$AG$2:$AG$1001,0),1)&gt;=100000,INDEX($AN$1005:$BO$1005,1,MATCH(COLUMNS($AN$1006:BH1006),$AN$1006:$BO$1006,0))&gt;=100000), " ",IF(INDEX($AN$2:$BO$1001,MATCH(ROWS($AG$2:AG99),$AG$2:$AG$1001,0),MATCH(COLUMNS($AN$1006:BH1006),$AN$1006:$BO$1006,0)), HYPERLINK("#",""), HYPERLINK(CONCATENATE("#Metadata!", ADDRESS(INDEX($AI$2:$AI$1001,MATCH(ROWS($AG$2:AG99),$AG$2:$AG$1001,0),0), INDEX($AN$1004:$BO$1004,1,MATCH(COLUMNS($AN$1006:BH1006),$AN$1006:$BO$1006,0)))),"Fix")))</f>
        <v>0</v>
      </c>
      <c r="W99" s="4">
        <f>IF(OR(INDEX($AH$2:$AH$1001,MATCH(ROWS($AG$2:AG99),$AG$2:$AG$1001,0),1)&gt;=100000,INDEX($AN$1005:$BO$1005,1,MATCH(COLUMNS($AN$1006:BI1006),$AN$1006:$BO$1006,0))&gt;=100000), " ",IF(INDEX($AN$2:$BO$1001,MATCH(ROWS($AG$2:AG99),$AG$2:$AG$1001,0),MATCH(COLUMNS($AN$1006:BI1006),$AN$1006:$BO$1006,0)), HYPERLINK("#",""), HYPERLINK(CONCATENATE("#Metadata!", ADDRESS(INDEX($AI$2:$AI$1001,MATCH(ROWS($AG$2:AG99),$AG$2:$AG$1001,0),0), INDEX($AN$1004:$BO$1004,1,MATCH(COLUMNS($AN$1006:BI1006),$AN$1006:$BO$1006,0)))),"Fix")))</f>
        <v>0</v>
      </c>
      <c r="X99" s="4">
        <f>IF(OR(INDEX($AH$2:$AH$1001,MATCH(ROWS($AG$2:AG99),$AG$2:$AG$1001,0),1)&gt;=100000,INDEX($AN$1005:$BO$1005,1,MATCH(COLUMNS($AN$1006:BJ1006),$AN$1006:$BO$1006,0))&gt;=100000), " ",IF(INDEX($AN$2:$BO$1001,MATCH(ROWS($AG$2:AG99),$AG$2:$AG$1001,0),MATCH(COLUMNS($AN$1006:BJ1006),$AN$1006:$BO$1006,0)), HYPERLINK("#",""), HYPERLINK(CONCATENATE("#Metadata!", ADDRESS(INDEX($AI$2:$AI$1001,MATCH(ROWS($AG$2:AG99),$AG$2:$AG$1001,0),0), INDEX($AN$1004:$BO$1004,1,MATCH(COLUMNS($AN$1006:BJ1006),$AN$1006:$BO$1006,0)))),"Fix")))</f>
        <v>0</v>
      </c>
      <c r="Y99" s="4">
        <f>IF(OR(INDEX($AH$2:$AH$1001,MATCH(ROWS($AG$2:AG99),$AG$2:$AG$1001,0),1)&gt;=100000,INDEX($AN$1005:$BO$1005,1,MATCH(COLUMNS($AN$1006:BK1006),$AN$1006:$BO$1006,0))&gt;=100000), " ",IF(INDEX($AN$2:$BO$1001,MATCH(ROWS($AG$2:AG99),$AG$2:$AG$1001,0),MATCH(COLUMNS($AN$1006:BK1006),$AN$1006:$BO$1006,0)), HYPERLINK("#",""), HYPERLINK(CONCATENATE("#Metadata!", ADDRESS(INDEX($AI$2:$AI$1001,MATCH(ROWS($AG$2:AG99),$AG$2:$AG$1001,0),0), INDEX($AN$1004:$BO$1004,1,MATCH(COLUMNS($AN$1006:BK1006),$AN$1006:$BO$1006,0)))),"Fix")))</f>
        <v>0</v>
      </c>
      <c r="Z99" s="4">
        <f>IF(OR(INDEX($AH$2:$AH$1001,MATCH(ROWS($AG$2:AG99),$AG$2:$AG$1001,0),1)&gt;=100000,INDEX($AN$1005:$BO$1005,1,MATCH(COLUMNS($AN$1006:BL1006),$AN$1006:$BO$1006,0))&gt;=100000), " ",IF(INDEX($AN$2:$BO$1001,MATCH(ROWS($AG$2:AG99),$AG$2:$AG$1001,0),MATCH(COLUMNS($AN$1006:BL1006),$AN$1006:$BO$1006,0)), HYPERLINK("#",""), HYPERLINK(CONCATENATE("#Metadata!", ADDRESS(INDEX($AI$2:$AI$1001,MATCH(ROWS($AG$2:AG99),$AG$2:$AG$1001,0),0), INDEX($AN$1004:$BO$1004,1,MATCH(COLUMNS($AN$1006:BL1006),$AN$1006:$BO$1006,0)))),"Fix")))</f>
        <v>0</v>
      </c>
      <c r="AA99" s="4">
        <f>IF(OR(INDEX($AH$2:$AH$1001,MATCH(ROWS($AG$2:AG99),$AG$2:$AG$1001,0),1)&gt;=100000,INDEX($AN$1005:$BO$1005,1,MATCH(COLUMNS($AN$1006:BM1006),$AN$1006:$BO$1006,0))&gt;=100000), " ",IF(INDEX($AN$2:$BO$1001,MATCH(ROWS($AG$2:AG99),$AG$2:$AG$1001,0),MATCH(COLUMNS($AN$1006:BM1006),$AN$1006:$BO$1006,0)), HYPERLINK("#",""), HYPERLINK(CONCATENATE("#Metadata!", ADDRESS(INDEX($AI$2:$AI$1001,MATCH(ROWS($AG$2:AG99),$AG$2:$AG$1001,0),0), INDEX($AN$1004:$BO$1004,1,MATCH(COLUMNS($AN$1006:BM1006),$AN$1006:$BO$1006,0)))),"Fix")))</f>
        <v>0</v>
      </c>
      <c r="AB99" s="4">
        <f>IF(OR(INDEX($AH$2:$AH$1001,MATCH(ROWS($AG$2:AG99),$AG$2:$AG$1001,0),1)&gt;=100000,INDEX($AN$1005:$BO$1005,1,MATCH(COLUMNS($AN$1006:BN1006),$AN$1006:$BO$1006,0))&gt;=100000), " ",IF(INDEX($AN$2:$BO$1001,MATCH(ROWS($AG$2:AG99),$AG$2:$AG$1001,0),MATCH(COLUMNS($AN$1006:BN1006),$AN$1006:$BO$1006,0)), HYPERLINK("#",""), HYPERLINK(CONCATENATE("#Metadata!", ADDRESS(INDEX($AI$2:$AI$1001,MATCH(ROWS($AG$2:AG99),$AG$2:$AG$1001,0),0), INDEX($AN$1004:$BO$1004,1,MATCH(COLUMNS($AN$1006:BN1006),$AN$1006:$BO$1006,0)))),"Fix")))</f>
        <v>0</v>
      </c>
      <c r="AC99" s="4">
        <f>IF(OR(INDEX($AH$2:$AH$1001,MATCH(ROWS($AG$2:AG99),$AG$2:$AG$1001,0),1)&gt;=100000,INDEX($AN$1005:$BO$1005,1,MATCH(COLUMNS($AN$1006:BO1006),$AN$1006:$BO$1006,0))&gt;=100000), " ",IF(INDEX($AN$2:$BO$1001,MATCH(ROWS($AG$2:AG99),$AG$2:$AG$1001,0),MATCH(COLUMNS($AN$1006:BO1006),$AN$1006:$BO$1006,0)), HYPERLINK("#",""), HYPERLINK(CONCATENATE("#Metadata!", ADDRESS(INDEX($AI$2:$AI$1001,MATCH(ROWS($AG$2:AG99),$AG$2:$AG$1001,0),0), INDEX($AN$1004:$BO$1004,1,MATCH(COLUMNS($AN$1006:BO1006),$AN$1006:$BO$1006,0)))),"Fix")))</f>
        <v>0</v>
      </c>
      <c r="AG99">
        <v>0</v>
      </c>
      <c r="AH99">
        <v>0</v>
      </c>
      <c r="AI99">
        <v>0</v>
      </c>
      <c r="AJ99">
        <f>IF(AK99,TRUE,AND(AN99:BO99))</f>
        <v>0</v>
      </c>
      <c r="AK99">
        <f>COUNTBLANK(Metadata!B99:AC99)=COLUMNS(Metadata!B99:AC99)</f>
        <v>0</v>
      </c>
      <c r="AL99">
        <v>0</v>
      </c>
      <c r="AN99">
        <f>AND(IF(Metadata!B99="",FALSE,TRUE),COUNTIF(Metadata!B:B, Metadata!B99) = 1,NOT(ISERROR(SUMPRODUCT(SEARCH(MID(Metadata!B99,ROW(INDIRECT("1:"&amp;LEN(Metadata!B99))), 1),"0123456789abcdefghijklmnopqrstuvwxyzABCDEFGHIJKLMNOPQRSTUVWXYZ.")))))</f>
        <v>0</v>
      </c>
      <c r="AO99">
        <f>IF(Metadata!C99="",FALSE,TRUE)</f>
        <v>0</v>
      </c>
      <c r="AP99">
        <f>IF(Metadata!D99="",FALSE,TRUE)</f>
        <v>0</v>
      </c>
      <c r="AQ99">
        <f>OR(AND(IF(Metadata!E99="",FALSE,TRUE),OR(exact(Metadata!E99,"not collected"),exact(Metadata!E99,"not provided"),exact(Metadata!E99,"restricted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R99">
        <f>IF(Metadata!F99="",FALSE,TRUE)</f>
        <v>0</v>
      </c>
      <c r="AS99">
        <f>OR(AND(IF(Metadata!G99="",FALSE,TRUE),OR(exact(Metadata!G99,"not collected"),exact(Metadata!G99,"not provided"))),AND(IF(Metadata!G99="",FALSE,TRUE),OR(exact(Metadata!G99,"TRUE"),exact(Metadata!G99,"FALSE"))))</f>
        <v>0</v>
      </c>
      <c r="AT99">
        <f>OR(AND(IF(Metadata!H99="",FALSE,TRUE),OR(exact(Metadata!H99,"not collected"),exact(Metadata!H99,"not provided"),exact(Metadata!H99,"restricted access"))),AND(IF(Metadata!H99="",FALSE,ISNUMBER(VALUE(Metadata!H99))),Metadata!H99&gt;=-413.0))</f>
        <v>0</v>
      </c>
      <c r="AU99">
        <f>AND(IF(Metadata!I99="",FALSE,TRUE),exact(Metadata!I99,"meters"))</f>
        <v>0</v>
      </c>
      <c r="AV99">
        <f>AND(IF(Metadata!J99="",FALSE,TRUE),OR(exact(Metadata!J99,"Host-associated"),exact(Metadata!J99,"Free-living")))</f>
        <v>0</v>
      </c>
      <c r="AW99">
        <f>AND(IF(Metadata!K99="",FALSE,TRUE),OR(exact(Metadata!K99,"Animal"),exact(Metadata!K99,"Fungus"),exact(Metadata!K99,"Plant"),exact(Metadata!K99,"Saline"),exact(Metadata!K99,"Non-saline")))</f>
        <v>0</v>
      </c>
      <c r="AX99">
        <f>AND(IF(Metadata!L99="",FALSE,TRUE),OR(exact(Metadata!L99,"Plant secretion"),exact(Metadata!L99,"Plant rhizosphere"),exact(Metadata!L99,"Plant surface"),exact(Metadata!L99,"Plant corpus"),exact(Metadata!L99,"Fungus surface"),exact(Metadata!L99,"Fungus corpus"),exact(Metadata!L99,"Animal surface"),exact(Metadata!L99,"Animal proximal gut"),exact(Metadata!L99,"Animal corpus"),exact(Metadata!L99,"Animal distal gut"),exact(Metadata!L99,"Animal secretion"),exact(Metadata!L99,"Sub-surface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Y99">
        <f>IF(Metadata!M99="",FALSE,TRUE)</f>
        <v>0</v>
      </c>
      <c r="AZ99">
        <f>IF(Metadata!N99="",FALSE,TRUE)</f>
        <v>0</v>
      </c>
      <c r="BA99">
        <f>IF(Metadata!O99="",FALSE,TRUE)</f>
        <v>0</v>
      </c>
      <c r="BB99">
        <f>OR(AND(IF(Metadata!P99="",FALSE,TRUE),OR(exact(Metadata!P99,"not collected"),exact(Metadata!P99,"not provided"),exact(Metadata!P99,"restricted access"))),AND(IF(Metadata!P99="",FALSE,TRUE),OR(exact(Metadata!P99,"air"),exact(Metadata!P99,"built environment"),exact(Metadata!P99,"host-associated"),exact(Metadata!P99,"human-associated"),exact(Metadata!P99,"human-skin"),exact(Metadata!P99,"human-oral"),exact(Metadata!P99,"human-gut"),exact(Metadata!P99,"human-vaginal"),exact(Metadata!P99,"microbial mat/biofilm"),exact(Metadata!P99,"misc environment"),exact(Metadata!P99,"plant-associated"),exact(Metadata!P99,"sediment"),exact(Metadata!P99,"soil"),exact(Metadata!P99,"wastewater/sludge"),exact(Metadata!P99,"water"))))</f>
        <v>0</v>
      </c>
      <c r="BC99">
        <f>IF(Metadata!Q99="",FALSE,TRUE)</f>
        <v>0</v>
      </c>
      <c r="BD99">
        <f>IF(Metadata!R99="",FALSE,TRUE)</f>
        <v>0</v>
      </c>
      <c r="BE99">
        <f>OR(AND(IF(Metadata!S99="",FALSE,TRUE),OR(exact(Metadata!S99,"not collected"),exact(Metadata!S99,"not provided"),exact(Metadata!S99,"restricted access"))),AND(IF(Metadata!S99="",FALSE,ISNUMBER(VALUE(Metadata!S99))),Metadata!S99&gt;=-90.00,Metadata!S99&lt;=90.00))</f>
        <v>0</v>
      </c>
      <c r="BF99">
        <f>AND(IF(Metadata!T99="",FALSE,TRUE),exact(Metadata!T99,"Decimal degrees"))</f>
        <v>0</v>
      </c>
      <c r="BG99">
        <f>OR(AND(IF(Metadata!U99="",FALSE,TRUE),OR(exact(Metadata!U99,"not collected"),exact(Metadata!U99,"not provided"),exact(Metadata!U99,"restricted access"))),AND(IF(Metadata!U99="",FALSE,ISNUMBER(VALUE(Metadata!U99))),Metadata!U99&gt;=-180.00,Metadata!U99&lt;=180.00))</f>
        <v>0</v>
      </c>
      <c r="BH99">
        <f>AND(IF(Metadata!V99="",FALSE,TRUE),exact(Metadata!V99,"Decimal degrees"))</f>
        <v>0</v>
      </c>
      <c r="BI99">
        <f>IF(Metadata!W99="",FALSE,TRUE)</f>
        <v>0</v>
      </c>
      <c r="BJ99">
        <f>OR(AND(IF(Metadata!X99="",FALSE,TRUE),OR(exact(Metadata!X99,"not collected"),exact(Metadata!X99,"not provided"),exact(Metadata!X99,"restricted access"))),AND(IF(Metadata!X99="",FALSE,TRUE),OR(exact(Metadata!X99,"TRUE"),exact(Metadata!X99,"FALSE"))))</f>
        <v>0</v>
      </c>
      <c r="BK99">
        <f>AND(IF(Metadata!Y99="",FALSE,TRUE),exact(Metadata!Y99,"other"))</f>
        <v>0</v>
      </c>
      <c r="BL99">
        <f>IF(Metadata!Z99="",FALSE,TRUE)</f>
        <v>0</v>
      </c>
      <c r="BM99">
        <f>OR(AND(IF(Metadata!AA99="",FALSE,TRUE),OR(exact(Metadata!AA99,"not collected"),exact(Metadata!AA99,"not provided"))),AND(IF(Metadata!AA99="",FALSE,IF(ISERROR(INT(Metadata!AA99)),FALSE,INT(Metadata!AA99)=Metadata!AA99)),Metadata!AA99&gt;0))</f>
        <v>0</v>
      </c>
      <c r="BN99">
        <f>AND(IF(Metadata!AB99="",FALSE,TRUE),exact(Metadata!AB99,"Not applicable"))</f>
        <v>0</v>
      </c>
      <c r="BO99">
        <f>IF(Metadata!AC99="",FALSE,TRUE)</f>
        <v>0</v>
      </c>
    </row>
    <row r="100" spans="1:67">
      <c r="A100" s="5">
        <f>IF(B100=" "," ",HYPERLINK(CONCATENATE("#metadata!",ADDRESS(INDEX($AI$2:$AI$1001,MATCH(ROWS($AG$2:AG100),$AG$2:$AG$1001,0),0),1)),INDEX($AL$2:$AL$1001,MATCH(ROWS($AG$2:AG100),$AG$2:$AG$1001,0),0)))</f>
        <v>0</v>
      </c>
      <c r="B100" s="4">
        <f>IF(OR(INDEX($AH$2:$AH$1001,MATCH(ROWS($AG$2:AG100),$AG$2:$AG$1001,0),1)&gt;=100000,INDEX($AN$1005:$BO$1005,1,MATCH(COLUMNS($AN$1006:AN1006),$AN$1006:$BO$1006,0))&gt;=100000), " ",IF(INDEX($AN$2:$BO$1001,MATCH(ROWS($AG$2:AG100),$AG$2:$AG$1001,0),MATCH(COLUMNS($AN$1006:AN1006),$AN$1006:$BO$1006,0)), HYPERLINK("#",""), HYPERLINK(CONCATENATE("#Metadata!", ADDRESS(INDEX($AI$2:$AI$1001,MATCH(ROWS($AG$2:AG100),$AG$2:$AG$1001,0),0), INDEX($AN$1004:$BO$1004,1,MATCH(COLUMNS($AN$1006:AN1006),$AN$1006:$BO$1006,0)))),"Fix")))</f>
        <v>0</v>
      </c>
      <c r="C100" s="4">
        <f>IF(OR(INDEX($AH$2:$AH$1001,MATCH(ROWS($AG$2:AG100),$AG$2:$AG$1001,0),1)&gt;=100000,INDEX($AN$1005:$BO$1005,1,MATCH(COLUMNS($AN$1006:AO1006),$AN$1006:$BO$1006,0))&gt;=100000), " ",IF(INDEX($AN$2:$BO$1001,MATCH(ROWS($AG$2:AG100),$AG$2:$AG$1001,0),MATCH(COLUMNS($AN$1006:AO1006),$AN$1006:$BO$1006,0)), HYPERLINK("#",""), HYPERLINK(CONCATENATE("#Metadata!", ADDRESS(INDEX($AI$2:$AI$1001,MATCH(ROWS($AG$2:AG100),$AG$2:$AG$1001,0),0), INDEX($AN$1004:$BO$1004,1,MATCH(COLUMNS($AN$1006:AO1006),$AN$1006:$BO$1006,0)))),"Fix")))</f>
        <v>0</v>
      </c>
      <c r="D100" s="4">
        <f>IF(OR(INDEX($AH$2:$AH$1001,MATCH(ROWS($AG$2:AG100),$AG$2:$AG$1001,0),1)&gt;=100000,INDEX($AN$1005:$BO$1005,1,MATCH(COLUMNS($AN$1006:AP1006),$AN$1006:$BO$1006,0))&gt;=100000), " ",IF(INDEX($AN$2:$BO$1001,MATCH(ROWS($AG$2:AG100),$AG$2:$AG$1001,0),MATCH(COLUMNS($AN$1006:AP1006),$AN$1006:$BO$1006,0)), HYPERLINK("#",""), HYPERLINK(CONCATENATE("#Metadata!", ADDRESS(INDEX($AI$2:$AI$1001,MATCH(ROWS($AG$2:AG100),$AG$2:$AG$1001,0),0), INDEX($AN$1004:$BO$1004,1,MATCH(COLUMNS($AN$1006:AP1006),$AN$1006:$BO$1006,0)))),"Fix")))</f>
        <v>0</v>
      </c>
      <c r="E100" s="4">
        <f>IF(OR(INDEX($AH$2:$AH$1001,MATCH(ROWS($AG$2:AG100),$AG$2:$AG$1001,0),1)&gt;=100000,INDEX($AN$1005:$BO$1005,1,MATCH(COLUMNS($AN$1006:AQ1006),$AN$1006:$BO$1006,0))&gt;=100000), " ",IF(INDEX($AN$2:$BO$1001,MATCH(ROWS($AG$2:AG100),$AG$2:$AG$1001,0),MATCH(COLUMNS($AN$1006:AQ1006),$AN$1006:$BO$1006,0)), HYPERLINK("#",""), HYPERLINK(CONCATENATE("#Metadata!", ADDRESS(INDEX($AI$2:$AI$1001,MATCH(ROWS($AG$2:AG100),$AG$2:$AG$1001,0),0), INDEX($AN$1004:$BO$1004,1,MATCH(COLUMNS($AN$1006:AQ1006),$AN$1006:$BO$1006,0)))),"Fix")))</f>
        <v>0</v>
      </c>
      <c r="F100" s="4">
        <f>IF(OR(INDEX($AH$2:$AH$1001,MATCH(ROWS($AG$2:AG100),$AG$2:$AG$1001,0),1)&gt;=100000,INDEX($AN$1005:$BO$1005,1,MATCH(COLUMNS($AN$1006:AR1006),$AN$1006:$BO$1006,0))&gt;=100000), " ",IF(INDEX($AN$2:$BO$1001,MATCH(ROWS($AG$2:AG100),$AG$2:$AG$1001,0),MATCH(COLUMNS($AN$1006:AR1006),$AN$1006:$BO$1006,0)), HYPERLINK("#",""), HYPERLINK(CONCATENATE("#Metadata!", ADDRESS(INDEX($AI$2:$AI$1001,MATCH(ROWS($AG$2:AG100),$AG$2:$AG$1001,0),0), INDEX($AN$1004:$BO$1004,1,MATCH(COLUMNS($AN$1006:AR1006),$AN$1006:$BO$1006,0)))),"Fix")))</f>
        <v>0</v>
      </c>
      <c r="G100" s="4">
        <f>IF(OR(INDEX($AH$2:$AH$1001,MATCH(ROWS($AG$2:AG100),$AG$2:$AG$1001,0),1)&gt;=100000,INDEX($AN$1005:$BO$1005,1,MATCH(COLUMNS($AN$1006:AS1006),$AN$1006:$BO$1006,0))&gt;=100000), " ",IF(INDEX($AN$2:$BO$1001,MATCH(ROWS($AG$2:AG100),$AG$2:$AG$1001,0),MATCH(COLUMNS($AN$1006:AS1006),$AN$1006:$BO$1006,0)), HYPERLINK("#",""), HYPERLINK(CONCATENATE("#Metadata!", ADDRESS(INDEX($AI$2:$AI$1001,MATCH(ROWS($AG$2:AG100),$AG$2:$AG$1001,0),0), INDEX($AN$1004:$BO$1004,1,MATCH(COLUMNS($AN$1006:AS1006),$AN$1006:$BO$1006,0)))),"Fix")))</f>
        <v>0</v>
      </c>
      <c r="H100" s="4">
        <f>IF(OR(INDEX($AH$2:$AH$1001,MATCH(ROWS($AG$2:AG100),$AG$2:$AG$1001,0),1)&gt;=100000,INDEX($AN$1005:$BO$1005,1,MATCH(COLUMNS($AN$1006:AT1006),$AN$1006:$BO$1006,0))&gt;=100000), " ",IF(INDEX($AN$2:$BO$1001,MATCH(ROWS($AG$2:AG100),$AG$2:$AG$1001,0),MATCH(COLUMNS($AN$1006:AT1006),$AN$1006:$BO$1006,0)), HYPERLINK("#",""), HYPERLINK(CONCATENATE("#Metadata!", ADDRESS(INDEX($AI$2:$AI$1001,MATCH(ROWS($AG$2:AG100),$AG$2:$AG$1001,0),0), INDEX($AN$1004:$BO$1004,1,MATCH(COLUMNS($AN$1006:AT1006),$AN$1006:$BO$1006,0)))),"Fix")))</f>
        <v>0</v>
      </c>
      <c r="I100" s="4">
        <f>IF(OR(INDEX($AH$2:$AH$1001,MATCH(ROWS($AG$2:AG100),$AG$2:$AG$1001,0),1)&gt;=100000,INDEX($AN$1005:$BO$1005,1,MATCH(COLUMNS($AN$1006:AU1006),$AN$1006:$BO$1006,0))&gt;=100000), " ",IF(INDEX($AN$2:$BO$1001,MATCH(ROWS($AG$2:AG100),$AG$2:$AG$1001,0),MATCH(COLUMNS($AN$1006:AU1006),$AN$1006:$BO$1006,0)), HYPERLINK("#",""), HYPERLINK(CONCATENATE("#Metadata!", ADDRESS(INDEX($AI$2:$AI$1001,MATCH(ROWS($AG$2:AG100),$AG$2:$AG$1001,0),0), INDEX($AN$1004:$BO$1004,1,MATCH(COLUMNS($AN$1006:AU1006),$AN$1006:$BO$1006,0)))),"Fix")))</f>
        <v>0</v>
      </c>
      <c r="J100" s="4">
        <f>IF(OR(INDEX($AH$2:$AH$1001,MATCH(ROWS($AG$2:AG100),$AG$2:$AG$1001,0),1)&gt;=100000,INDEX($AN$1005:$BO$1005,1,MATCH(COLUMNS($AN$1006:AV1006),$AN$1006:$BO$1006,0))&gt;=100000), " ",IF(INDEX($AN$2:$BO$1001,MATCH(ROWS($AG$2:AG100),$AG$2:$AG$1001,0),MATCH(COLUMNS($AN$1006:AV1006),$AN$1006:$BO$1006,0)), HYPERLINK("#",""), HYPERLINK(CONCATENATE("#Metadata!", ADDRESS(INDEX($AI$2:$AI$1001,MATCH(ROWS($AG$2:AG100),$AG$2:$AG$1001,0),0), INDEX($AN$1004:$BO$1004,1,MATCH(COLUMNS($AN$1006:AV1006),$AN$1006:$BO$1006,0)))),"Fix")))</f>
        <v>0</v>
      </c>
      <c r="K100" s="4">
        <f>IF(OR(INDEX($AH$2:$AH$1001,MATCH(ROWS($AG$2:AG100),$AG$2:$AG$1001,0),1)&gt;=100000,INDEX($AN$1005:$BO$1005,1,MATCH(COLUMNS($AN$1006:AW1006),$AN$1006:$BO$1006,0))&gt;=100000), " ",IF(INDEX($AN$2:$BO$1001,MATCH(ROWS($AG$2:AG100),$AG$2:$AG$1001,0),MATCH(COLUMNS($AN$1006:AW1006),$AN$1006:$BO$1006,0)), HYPERLINK("#",""), HYPERLINK(CONCATENATE("#Metadata!", ADDRESS(INDEX($AI$2:$AI$1001,MATCH(ROWS($AG$2:AG100),$AG$2:$AG$1001,0),0), INDEX($AN$1004:$BO$1004,1,MATCH(COLUMNS($AN$1006:AW1006),$AN$1006:$BO$1006,0)))),"Fix")))</f>
        <v>0</v>
      </c>
      <c r="L100" s="4">
        <f>IF(OR(INDEX($AH$2:$AH$1001,MATCH(ROWS($AG$2:AG100),$AG$2:$AG$1001,0),1)&gt;=100000,INDEX($AN$1005:$BO$1005,1,MATCH(COLUMNS($AN$1006:AX1006),$AN$1006:$BO$1006,0))&gt;=100000), " ",IF(INDEX($AN$2:$BO$1001,MATCH(ROWS($AG$2:AG100),$AG$2:$AG$1001,0),MATCH(COLUMNS($AN$1006:AX1006),$AN$1006:$BO$1006,0)), HYPERLINK("#",""), HYPERLINK(CONCATENATE("#Metadata!", ADDRESS(INDEX($AI$2:$AI$1001,MATCH(ROWS($AG$2:AG100),$AG$2:$AG$1001,0),0), INDEX($AN$1004:$BO$1004,1,MATCH(COLUMNS($AN$1006:AX1006),$AN$1006:$BO$1006,0)))),"Fix")))</f>
        <v>0</v>
      </c>
      <c r="M100" s="4">
        <f>IF(OR(INDEX($AH$2:$AH$1001,MATCH(ROWS($AG$2:AG100),$AG$2:$AG$1001,0),1)&gt;=100000,INDEX($AN$1005:$BO$1005,1,MATCH(COLUMNS($AN$1006:AY1006),$AN$1006:$BO$1006,0))&gt;=100000), " ",IF(INDEX($AN$2:$BO$1001,MATCH(ROWS($AG$2:AG100),$AG$2:$AG$1001,0),MATCH(COLUMNS($AN$1006:AY1006),$AN$1006:$BO$1006,0)), HYPERLINK("#",""), HYPERLINK(CONCATENATE("#Metadata!", ADDRESS(INDEX($AI$2:$AI$1001,MATCH(ROWS($AG$2:AG100),$AG$2:$AG$1001,0),0), INDEX($AN$1004:$BO$1004,1,MATCH(COLUMNS($AN$1006:AY1006),$AN$1006:$BO$1006,0)))),"Fix")))</f>
        <v>0</v>
      </c>
      <c r="N100" s="4">
        <f>IF(OR(INDEX($AH$2:$AH$1001,MATCH(ROWS($AG$2:AG100),$AG$2:$AG$1001,0),1)&gt;=100000,INDEX($AN$1005:$BO$1005,1,MATCH(COLUMNS($AN$1006:AZ1006),$AN$1006:$BO$1006,0))&gt;=100000), " ",IF(INDEX($AN$2:$BO$1001,MATCH(ROWS($AG$2:AG100),$AG$2:$AG$1001,0),MATCH(COLUMNS($AN$1006:AZ1006),$AN$1006:$BO$1006,0)), HYPERLINK("#",""), HYPERLINK(CONCATENATE("#Metadata!", ADDRESS(INDEX($AI$2:$AI$1001,MATCH(ROWS($AG$2:AG100),$AG$2:$AG$1001,0),0), INDEX($AN$1004:$BO$1004,1,MATCH(COLUMNS($AN$1006:AZ1006),$AN$1006:$BO$1006,0)))),"Fix")))</f>
        <v>0</v>
      </c>
      <c r="O100" s="4">
        <f>IF(OR(INDEX($AH$2:$AH$1001,MATCH(ROWS($AG$2:AG100),$AG$2:$AG$1001,0),1)&gt;=100000,INDEX($AN$1005:$BO$1005,1,MATCH(COLUMNS($AN$1006:BA1006),$AN$1006:$BO$1006,0))&gt;=100000), " ",IF(INDEX($AN$2:$BO$1001,MATCH(ROWS($AG$2:AG100),$AG$2:$AG$1001,0),MATCH(COLUMNS($AN$1006:BA1006),$AN$1006:$BO$1006,0)), HYPERLINK("#",""), HYPERLINK(CONCATENATE("#Metadata!", ADDRESS(INDEX($AI$2:$AI$1001,MATCH(ROWS($AG$2:AG100),$AG$2:$AG$1001,0),0), INDEX($AN$1004:$BO$1004,1,MATCH(COLUMNS($AN$1006:BA1006),$AN$1006:$BO$1006,0)))),"Fix")))</f>
        <v>0</v>
      </c>
      <c r="P100" s="4">
        <f>IF(OR(INDEX($AH$2:$AH$1001,MATCH(ROWS($AG$2:AG100),$AG$2:$AG$1001,0),1)&gt;=100000,INDEX($AN$1005:$BO$1005,1,MATCH(COLUMNS($AN$1006:BB1006),$AN$1006:$BO$1006,0))&gt;=100000), " ",IF(INDEX($AN$2:$BO$1001,MATCH(ROWS($AG$2:AG100),$AG$2:$AG$1001,0),MATCH(COLUMNS($AN$1006:BB1006),$AN$1006:$BO$1006,0)), HYPERLINK("#",""), HYPERLINK(CONCATENATE("#Metadata!", ADDRESS(INDEX($AI$2:$AI$1001,MATCH(ROWS($AG$2:AG100),$AG$2:$AG$1001,0),0), INDEX($AN$1004:$BO$1004,1,MATCH(COLUMNS($AN$1006:BB1006),$AN$1006:$BO$1006,0)))),"Fix")))</f>
        <v>0</v>
      </c>
      <c r="Q100" s="4">
        <f>IF(OR(INDEX($AH$2:$AH$1001,MATCH(ROWS($AG$2:AG100),$AG$2:$AG$1001,0),1)&gt;=100000,INDEX($AN$1005:$BO$1005,1,MATCH(COLUMNS($AN$1006:BC1006),$AN$1006:$BO$1006,0))&gt;=100000), " ",IF(INDEX($AN$2:$BO$1001,MATCH(ROWS($AG$2:AG100),$AG$2:$AG$1001,0),MATCH(COLUMNS($AN$1006:BC1006),$AN$1006:$BO$1006,0)), HYPERLINK("#",""), HYPERLINK(CONCATENATE("#Metadata!", ADDRESS(INDEX($AI$2:$AI$1001,MATCH(ROWS($AG$2:AG100),$AG$2:$AG$1001,0),0), INDEX($AN$1004:$BO$1004,1,MATCH(COLUMNS($AN$1006:BC1006),$AN$1006:$BO$1006,0)))),"Fix")))</f>
        <v>0</v>
      </c>
      <c r="R100" s="4">
        <f>IF(OR(INDEX($AH$2:$AH$1001,MATCH(ROWS($AG$2:AG100),$AG$2:$AG$1001,0),1)&gt;=100000,INDEX($AN$1005:$BO$1005,1,MATCH(COLUMNS($AN$1006:BD1006),$AN$1006:$BO$1006,0))&gt;=100000), " ",IF(INDEX($AN$2:$BO$1001,MATCH(ROWS($AG$2:AG100),$AG$2:$AG$1001,0),MATCH(COLUMNS($AN$1006:BD1006),$AN$1006:$BO$1006,0)), HYPERLINK("#",""), HYPERLINK(CONCATENATE("#Metadata!", ADDRESS(INDEX($AI$2:$AI$1001,MATCH(ROWS($AG$2:AG100),$AG$2:$AG$1001,0),0), INDEX($AN$1004:$BO$1004,1,MATCH(COLUMNS($AN$1006:BD1006),$AN$1006:$BO$1006,0)))),"Fix")))</f>
        <v>0</v>
      </c>
      <c r="S100" s="4">
        <f>IF(OR(INDEX($AH$2:$AH$1001,MATCH(ROWS($AG$2:AG100),$AG$2:$AG$1001,0),1)&gt;=100000,INDEX($AN$1005:$BO$1005,1,MATCH(COLUMNS($AN$1006:BE1006),$AN$1006:$BO$1006,0))&gt;=100000), " ",IF(INDEX($AN$2:$BO$1001,MATCH(ROWS($AG$2:AG100),$AG$2:$AG$1001,0),MATCH(COLUMNS($AN$1006:BE1006),$AN$1006:$BO$1006,0)), HYPERLINK("#",""), HYPERLINK(CONCATENATE("#Metadata!", ADDRESS(INDEX($AI$2:$AI$1001,MATCH(ROWS($AG$2:AG100),$AG$2:$AG$1001,0),0), INDEX($AN$1004:$BO$1004,1,MATCH(COLUMNS($AN$1006:BE1006),$AN$1006:$BO$1006,0)))),"Fix")))</f>
        <v>0</v>
      </c>
      <c r="T100" s="4">
        <f>IF(OR(INDEX($AH$2:$AH$1001,MATCH(ROWS($AG$2:AG100),$AG$2:$AG$1001,0),1)&gt;=100000,INDEX($AN$1005:$BO$1005,1,MATCH(COLUMNS($AN$1006:BF1006),$AN$1006:$BO$1006,0))&gt;=100000), " ",IF(INDEX($AN$2:$BO$1001,MATCH(ROWS($AG$2:AG100),$AG$2:$AG$1001,0),MATCH(COLUMNS($AN$1006:BF1006),$AN$1006:$BO$1006,0)), HYPERLINK("#",""), HYPERLINK(CONCATENATE("#Metadata!", ADDRESS(INDEX($AI$2:$AI$1001,MATCH(ROWS($AG$2:AG100),$AG$2:$AG$1001,0),0), INDEX($AN$1004:$BO$1004,1,MATCH(COLUMNS($AN$1006:BF1006),$AN$1006:$BO$1006,0)))),"Fix")))</f>
        <v>0</v>
      </c>
      <c r="U100" s="4">
        <f>IF(OR(INDEX($AH$2:$AH$1001,MATCH(ROWS($AG$2:AG100),$AG$2:$AG$1001,0),1)&gt;=100000,INDEX($AN$1005:$BO$1005,1,MATCH(COLUMNS($AN$1006:BG1006),$AN$1006:$BO$1006,0))&gt;=100000), " ",IF(INDEX($AN$2:$BO$1001,MATCH(ROWS($AG$2:AG100),$AG$2:$AG$1001,0),MATCH(COLUMNS($AN$1006:BG1006),$AN$1006:$BO$1006,0)), HYPERLINK("#",""), HYPERLINK(CONCATENATE("#Metadata!", ADDRESS(INDEX($AI$2:$AI$1001,MATCH(ROWS($AG$2:AG100),$AG$2:$AG$1001,0),0), INDEX($AN$1004:$BO$1004,1,MATCH(COLUMNS($AN$1006:BG1006),$AN$1006:$BO$1006,0)))),"Fix")))</f>
        <v>0</v>
      </c>
      <c r="V100" s="4">
        <f>IF(OR(INDEX($AH$2:$AH$1001,MATCH(ROWS($AG$2:AG100),$AG$2:$AG$1001,0),1)&gt;=100000,INDEX($AN$1005:$BO$1005,1,MATCH(COLUMNS($AN$1006:BH1006),$AN$1006:$BO$1006,0))&gt;=100000), " ",IF(INDEX($AN$2:$BO$1001,MATCH(ROWS($AG$2:AG100),$AG$2:$AG$1001,0),MATCH(COLUMNS($AN$1006:BH1006),$AN$1006:$BO$1006,0)), HYPERLINK("#",""), HYPERLINK(CONCATENATE("#Metadata!", ADDRESS(INDEX($AI$2:$AI$1001,MATCH(ROWS($AG$2:AG100),$AG$2:$AG$1001,0),0), INDEX($AN$1004:$BO$1004,1,MATCH(COLUMNS($AN$1006:BH1006),$AN$1006:$BO$1006,0)))),"Fix")))</f>
        <v>0</v>
      </c>
      <c r="W100" s="4">
        <f>IF(OR(INDEX($AH$2:$AH$1001,MATCH(ROWS($AG$2:AG100),$AG$2:$AG$1001,0),1)&gt;=100000,INDEX($AN$1005:$BO$1005,1,MATCH(COLUMNS($AN$1006:BI1006),$AN$1006:$BO$1006,0))&gt;=100000), " ",IF(INDEX($AN$2:$BO$1001,MATCH(ROWS($AG$2:AG100),$AG$2:$AG$1001,0),MATCH(COLUMNS($AN$1006:BI1006),$AN$1006:$BO$1006,0)), HYPERLINK("#",""), HYPERLINK(CONCATENATE("#Metadata!", ADDRESS(INDEX($AI$2:$AI$1001,MATCH(ROWS($AG$2:AG100),$AG$2:$AG$1001,0),0), INDEX($AN$1004:$BO$1004,1,MATCH(COLUMNS($AN$1006:BI1006),$AN$1006:$BO$1006,0)))),"Fix")))</f>
        <v>0</v>
      </c>
      <c r="X100" s="4">
        <f>IF(OR(INDEX($AH$2:$AH$1001,MATCH(ROWS($AG$2:AG100),$AG$2:$AG$1001,0),1)&gt;=100000,INDEX($AN$1005:$BO$1005,1,MATCH(COLUMNS($AN$1006:BJ1006),$AN$1006:$BO$1006,0))&gt;=100000), " ",IF(INDEX($AN$2:$BO$1001,MATCH(ROWS($AG$2:AG100),$AG$2:$AG$1001,0),MATCH(COLUMNS($AN$1006:BJ1006),$AN$1006:$BO$1006,0)), HYPERLINK("#",""), HYPERLINK(CONCATENATE("#Metadata!", ADDRESS(INDEX($AI$2:$AI$1001,MATCH(ROWS($AG$2:AG100),$AG$2:$AG$1001,0),0), INDEX($AN$1004:$BO$1004,1,MATCH(COLUMNS($AN$1006:BJ1006),$AN$1006:$BO$1006,0)))),"Fix")))</f>
        <v>0</v>
      </c>
      <c r="Y100" s="4">
        <f>IF(OR(INDEX($AH$2:$AH$1001,MATCH(ROWS($AG$2:AG100),$AG$2:$AG$1001,0),1)&gt;=100000,INDEX($AN$1005:$BO$1005,1,MATCH(COLUMNS($AN$1006:BK1006),$AN$1006:$BO$1006,0))&gt;=100000), " ",IF(INDEX($AN$2:$BO$1001,MATCH(ROWS($AG$2:AG100),$AG$2:$AG$1001,0),MATCH(COLUMNS($AN$1006:BK1006),$AN$1006:$BO$1006,0)), HYPERLINK("#",""), HYPERLINK(CONCATENATE("#Metadata!", ADDRESS(INDEX($AI$2:$AI$1001,MATCH(ROWS($AG$2:AG100),$AG$2:$AG$1001,0),0), INDEX($AN$1004:$BO$1004,1,MATCH(COLUMNS($AN$1006:BK1006),$AN$1006:$BO$1006,0)))),"Fix")))</f>
        <v>0</v>
      </c>
      <c r="Z100" s="4">
        <f>IF(OR(INDEX($AH$2:$AH$1001,MATCH(ROWS($AG$2:AG100),$AG$2:$AG$1001,0),1)&gt;=100000,INDEX($AN$1005:$BO$1005,1,MATCH(COLUMNS($AN$1006:BL1006),$AN$1006:$BO$1006,0))&gt;=100000), " ",IF(INDEX($AN$2:$BO$1001,MATCH(ROWS($AG$2:AG100),$AG$2:$AG$1001,0),MATCH(COLUMNS($AN$1006:BL1006),$AN$1006:$BO$1006,0)), HYPERLINK("#",""), HYPERLINK(CONCATENATE("#Metadata!", ADDRESS(INDEX($AI$2:$AI$1001,MATCH(ROWS($AG$2:AG100),$AG$2:$AG$1001,0),0), INDEX($AN$1004:$BO$1004,1,MATCH(COLUMNS($AN$1006:BL1006),$AN$1006:$BO$1006,0)))),"Fix")))</f>
        <v>0</v>
      </c>
      <c r="AA100" s="4">
        <f>IF(OR(INDEX($AH$2:$AH$1001,MATCH(ROWS($AG$2:AG100),$AG$2:$AG$1001,0),1)&gt;=100000,INDEX($AN$1005:$BO$1005,1,MATCH(COLUMNS($AN$1006:BM1006),$AN$1006:$BO$1006,0))&gt;=100000), " ",IF(INDEX($AN$2:$BO$1001,MATCH(ROWS($AG$2:AG100),$AG$2:$AG$1001,0),MATCH(COLUMNS($AN$1006:BM1006),$AN$1006:$BO$1006,0)), HYPERLINK("#",""), HYPERLINK(CONCATENATE("#Metadata!", ADDRESS(INDEX($AI$2:$AI$1001,MATCH(ROWS($AG$2:AG100),$AG$2:$AG$1001,0),0), INDEX($AN$1004:$BO$1004,1,MATCH(COLUMNS($AN$1006:BM1006),$AN$1006:$BO$1006,0)))),"Fix")))</f>
        <v>0</v>
      </c>
      <c r="AB100" s="4">
        <f>IF(OR(INDEX($AH$2:$AH$1001,MATCH(ROWS($AG$2:AG100),$AG$2:$AG$1001,0),1)&gt;=100000,INDEX($AN$1005:$BO$1005,1,MATCH(COLUMNS($AN$1006:BN1006),$AN$1006:$BO$1006,0))&gt;=100000), " ",IF(INDEX($AN$2:$BO$1001,MATCH(ROWS($AG$2:AG100),$AG$2:$AG$1001,0),MATCH(COLUMNS($AN$1006:BN1006),$AN$1006:$BO$1006,0)), HYPERLINK("#",""), HYPERLINK(CONCATENATE("#Metadata!", ADDRESS(INDEX($AI$2:$AI$1001,MATCH(ROWS($AG$2:AG100),$AG$2:$AG$1001,0),0), INDEX($AN$1004:$BO$1004,1,MATCH(COLUMNS($AN$1006:BN1006),$AN$1006:$BO$1006,0)))),"Fix")))</f>
        <v>0</v>
      </c>
      <c r="AC100" s="4">
        <f>IF(OR(INDEX($AH$2:$AH$1001,MATCH(ROWS($AG$2:AG100),$AG$2:$AG$1001,0),1)&gt;=100000,INDEX($AN$1005:$BO$1005,1,MATCH(COLUMNS($AN$1006:BO1006),$AN$1006:$BO$1006,0))&gt;=100000), " ",IF(INDEX($AN$2:$BO$1001,MATCH(ROWS($AG$2:AG100),$AG$2:$AG$1001,0),MATCH(COLUMNS($AN$1006:BO1006),$AN$1006:$BO$1006,0)), HYPERLINK("#",""), HYPERLINK(CONCATENATE("#Metadata!", ADDRESS(INDEX($AI$2:$AI$1001,MATCH(ROWS($AG$2:AG100),$AG$2:$AG$1001,0),0), INDEX($AN$1004:$BO$1004,1,MATCH(COLUMNS($AN$1006:BO1006),$AN$1006:$BO$1006,0)))),"Fix")))</f>
        <v>0</v>
      </c>
      <c r="AG100">
        <v>0</v>
      </c>
      <c r="AH100">
        <v>0</v>
      </c>
      <c r="AI100">
        <v>0</v>
      </c>
      <c r="AJ100">
        <f>IF(AK100,TRUE,AND(AN100:BO100))</f>
        <v>0</v>
      </c>
      <c r="AK100">
        <f>COUNTBLANK(Metadata!B100:AC100)=COLUMNS(Metadata!B100:AC100)</f>
        <v>0</v>
      </c>
      <c r="AL100">
        <v>0</v>
      </c>
      <c r="AN100">
        <f>AND(IF(Metadata!B100="",FALSE,TRUE),COUNTIF(Metadata!B:B, Metadata!B100) = 1,NOT(ISERROR(SUMPRODUCT(SEARCH(MID(Metadata!B100,ROW(INDIRECT("1:"&amp;LEN(Metadata!B100))), 1),"0123456789abcdefghijklmnopqrstuvwxyzABCDEFGHIJKLMNOPQRSTUVWXYZ.")))))</f>
        <v>0</v>
      </c>
      <c r="AO100">
        <f>IF(Metadata!C100="",FALSE,TRUE)</f>
        <v>0</v>
      </c>
      <c r="AP100">
        <f>IF(Metadata!D100="",FALSE,TRUE)</f>
        <v>0</v>
      </c>
      <c r="AQ100">
        <f>OR(AND(IF(Metadata!E100="",FALSE,TRUE),OR(exact(Metadata!E100,"not collected"),exact(Metadata!E100,"not provided"),exact(Metadata!E100,"restricted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R100">
        <f>IF(Metadata!F100="",FALSE,TRUE)</f>
        <v>0</v>
      </c>
      <c r="AS100">
        <f>OR(AND(IF(Metadata!G100="",FALSE,TRUE),OR(exact(Metadata!G100,"not collected"),exact(Metadata!G100,"not provided"))),AND(IF(Metadata!G100="",FALSE,TRUE),OR(exact(Metadata!G100,"TRUE"),exact(Metadata!G100,"FALSE"))))</f>
        <v>0</v>
      </c>
      <c r="AT100">
        <f>OR(AND(IF(Metadata!H100="",FALSE,TRUE),OR(exact(Metadata!H100,"not collected"),exact(Metadata!H100,"not provided"),exact(Metadata!H100,"restricted access"))),AND(IF(Metadata!H100="",FALSE,ISNUMBER(VALUE(Metadata!H100))),Metadata!H100&gt;=-413.0))</f>
        <v>0</v>
      </c>
      <c r="AU100">
        <f>AND(IF(Metadata!I100="",FALSE,TRUE),exact(Metadata!I100,"meters"))</f>
        <v>0</v>
      </c>
      <c r="AV100">
        <f>AND(IF(Metadata!J100="",FALSE,TRUE),OR(exact(Metadata!J100,"Host-associated"),exact(Metadata!J100,"Free-living")))</f>
        <v>0</v>
      </c>
      <c r="AW100">
        <f>AND(IF(Metadata!K100="",FALSE,TRUE),OR(exact(Metadata!K100,"Animal"),exact(Metadata!K100,"Fungus"),exact(Metadata!K100,"Plant"),exact(Metadata!K100,"Saline"),exact(Metadata!K100,"Non-saline")))</f>
        <v>0</v>
      </c>
      <c r="AX100">
        <f>AND(IF(Metadata!L100="",FALSE,TRUE),OR(exact(Metadata!L100,"Plant secretion"),exact(Metadata!L100,"Plant rhizosphere"),exact(Metadata!L100,"Plant surface"),exact(Metadata!L100,"Plant corpus"),exact(Metadata!L100,"Fungus surface"),exact(Metadata!L100,"Fungus corpus"),exact(Metadata!L100,"Animal surface"),exact(Metadata!L100,"Animal proximal gut"),exact(Metadata!L100,"Animal corpus"),exact(Metadata!L100,"Animal distal gut"),exact(Metadata!L100,"Animal secretion"),exact(Metadata!L100,"Sub-surface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Y100">
        <f>IF(Metadata!M100="",FALSE,TRUE)</f>
        <v>0</v>
      </c>
      <c r="AZ100">
        <f>IF(Metadata!N100="",FALSE,TRUE)</f>
        <v>0</v>
      </c>
      <c r="BA100">
        <f>IF(Metadata!O100="",FALSE,TRUE)</f>
        <v>0</v>
      </c>
      <c r="BB100">
        <f>OR(AND(IF(Metadata!P100="",FALSE,TRUE),OR(exact(Metadata!P100,"not collected"),exact(Metadata!P100,"not provided"),exact(Metadata!P100,"restricted access"))),AND(IF(Metadata!P100="",FALSE,TRUE),OR(exact(Metadata!P100,"air"),exact(Metadata!P100,"built environment"),exact(Metadata!P100,"host-associated"),exact(Metadata!P100,"human-associated"),exact(Metadata!P100,"human-skin"),exact(Metadata!P100,"human-oral"),exact(Metadata!P100,"human-gut"),exact(Metadata!P100,"human-vaginal"),exact(Metadata!P100,"microbial mat/biofilm"),exact(Metadata!P100,"misc environment"),exact(Metadata!P100,"plant-associated"),exact(Metadata!P100,"sediment"),exact(Metadata!P100,"soil"),exact(Metadata!P100,"wastewater/sludge"),exact(Metadata!P100,"water"))))</f>
        <v>0</v>
      </c>
      <c r="BC100">
        <f>IF(Metadata!Q100="",FALSE,TRUE)</f>
        <v>0</v>
      </c>
      <c r="BD100">
        <f>IF(Metadata!R100="",FALSE,TRUE)</f>
        <v>0</v>
      </c>
      <c r="BE100">
        <f>OR(AND(IF(Metadata!S100="",FALSE,TRUE),OR(exact(Metadata!S100,"not collected"),exact(Metadata!S100,"not provided"),exact(Metadata!S100,"restricted access"))),AND(IF(Metadata!S100="",FALSE,ISNUMBER(VALUE(Metadata!S100))),Metadata!S100&gt;=-90.00,Metadata!S100&lt;=90.00))</f>
        <v>0</v>
      </c>
      <c r="BF100">
        <f>AND(IF(Metadata!T100="",FALSE,TRUE),exact(Metadata!T100,"Decimal degrees"))</f>
        <v>0</v>
      </c>
      <c r="BG100">
        <f>OR(AND(IF(Metadata!U100="",FALSE,TRUE),OR(exact(Metadata!U100,"not collected"),exact(Metadata!U100,"not provided"),exact(Metadata!U100,"restricted access"))),AND(IF(Metadata!U100="",FALSE,ISNUMBER(VALUE(Metadata!U100))),Metadata!U100&gt;=-180.00,Metadata!U100&lt;=180.00))</f>
        <v>0</v>
      </c>
      <c r="BH100">
        <f>AND(IF(Metadata!V100="",FALSE,TRUE),exact(Metadata!V100,"Decimal degrees"))</f>
        <v>0</v>
      </c>
      <c r="BI100">
        <f>IF(Metadata!W100="",FALSE,TRUE)</f>
        <v>0</v>
      </c>
      <c r="BJ100">
        <f>OR(AND(IF(Metadata!X100="",FALSE,TRUE),OR(exact(Metadata!X100,"not collected"),exact(Metadata!X100,"not provided"),exact(Metadata!X100,"restricted access"))),AND(IF(Metadata!X100="",FALSE,TRUE),OR(exact(Metadata!X100,"TRUE"),exact(Metadata!X100,"FALSE"))))</f>
        <v>0</v>
      </c>
      <c r="BK100">
        <f>AND(IF(Metadata!Y100="",FALSE,TRUE),exact(Metadata!Y100,"other"))</f>
        <v>0</v>
      </c>
      <c r="BL100">
        <f>IF(Metadata!Z100="",FALSE,TRUE)</f>
        <v>0</v>
      </c>
      <c r="BM100">
        <f>OR(AND(IF(Metadata!AA100="",FALSE,TRUE),OR(exact(Metadata!AA100,"not collected"),exact(Metadata!AA100,"not provided"))),AND(IF(Metadata!AA100="",FALSE,IF(ISERROR(INT(Metadata!AA100)),FALSE,INT(Metadata!AA100)=Metadata!AA100)),Metadata!AA100&gt;0))</f>
        <v>0</v>
      </c>
      <c r="BN100">
        <f>AND(IF(Metadata!AB100="",FALSE,TRUE),exact(Metadata!AB100,"Not applicable"))</f>
        <v>0</v>
      </c>
      <c r="BO100">
        <f>IF(Metadata!AC100="",FALSE,TRUE)</f>
        <v>0</v>
      </c>
    </row>
    <row r="101" spans="1:67">
      <c r="A101" s="5">
        <f>IF(B101=" "," ",HYPERLINK(CONCATENATE("#metadata!",ADDRESS(INDEX($AI$2:$AI$1001,MATCH(ROWS($AG$2:AG101),$AG$2:$AG$1001,0),0),1)),INDEX($AL$2:$AL$1001,MATCH(ROWS($AG$2:AG101),$AG$2:$AG$1001,0),0)))</f>
        <v>0</v>
      </c>
      <c r="B101" s="4">
        <f>IF(OR(INDEX($AH$2:$AH$1001,MATCH(ROWS($AG$2:AG101),$AG$2:$AG$1001,0),1)&gt;=100000,INDEX($AN$1005:$BO$1005,1,MATCH(COLUMNS($AN$1006:AN1006),$AN$1006:$BO$1006,0))&gt;=100000), " ",IF(INDEX($AN$2:$BO$1001,MATCH(ROWS($AG$2:AG101),$AG$2:$AG$1001,0),MATCH(COLUMNS($AN$1006:AN1006),$AN$1006:$BO$1006,0)), HYPERLINK("#",""), HYPERLINK(CONCATENATE("#Metadata!", ADDRESS(INDEX($AI$2:$AI$1001,MATCH(ROWS($AG$2:AG101),$AG$2:$AG$1001,0),0), INDEX($AN$1004:$BO$1004,1,MATCH(COLUMNS($AN$1006:AN1006),$AN$1006:$BO$1006,0)))),"Fix")))</f>
        <v>0</v>
      </c>
      <c r="C101" s="4">
        <f>IF(OR(INDEX($AH$2:$AH$1001,MATCH(ROWS($AG$2:AG101),$AG$2:$AG$1001,0),1)&gt;=100000,INDEX($AN$1005:$BO$1005,1,MATCH(COLUMNS($AN$1006:AO1006),$AN$1006:$BO$1006,0))&gt;=100000), " ",IF(INDEX($AN$2:$BO$1001,MATCH(ROWS($AG$2:AG101),$AG$2:$AG$1001,0),MATCH(COLUMNS($AN$1006:AO1006),$AN$1006:$BO$1006,0)), HYPERLINK("#",""), HYPERLINK(CONCATENATE("#Metadata!", ADDRESS(INDEX($AI$2:$AI$1001,MATCH(ROWS($AG$2:AG101),$AG$2:$AG$1001,0),0), INDEX($AN$1004:$BO$1004,1,MATCH(COLUMNS($AN$1006:AO1006),$AN$1006:$BO$1006,0)))),"Fix")))</f>
        <v>0</v>
      </c>
      <c r="D101" s="4">
        <f>IF(OR(INDEX($AH$2:$AH$1001,MATCH(ROWS($AG$2:AG101),$AG$2:$AG$1001,0),1)&gt;=100000,INDEX($AN$1005:$BO$1005,1,MATCH(COLUMNS($AN$1006:AP1006),$AN$1006:$BO$1006,0))&gt;=100000), " ",IF(INDEX($AN$2:$BO$1001,MATCH(ROWS($AG$2:AG101),$AG$2:$AG$1001,0),MATCH(COLUMNS($AN$1006:AP1006),$AN$1006:$BO$1006,0)), HYPERLINK("#",""), HYPERLINK(CONCATENATE("#Metadata!", ADDRESS(INDEX($AI$2:$AI$1001,MATCH(ROWS($AG$2:AG101),$AG$2:$AG$1001,0),0), INDEX($AN$1004:$BO$1004,1,MATCH(COLUMNS($AN$1006:AP1006),$AN$1006:$BO$1006,0)))),"Fix")))</f>
        <v>0</v>
      </c>
      <c r="E101" s="4">
        <f>IF(OR(INDEX($AH$2:$AH$1001,MATCH(ROWS($AG$2:AG101),$AG$2:$AG$1001,0),1)&gt;=100000,INDEX($AN$1005:$BO$1005,1,MATCH(COLUMNS($AN$1006:AQ1006),$AN$1006:$BO$1006,0))&gt;=100000), " ",IF(INDEX($AN$2:$BO$1001,MATCH(ROWS($AG$2:AG101),$AG$2:$AG$1001,0),MATCH(COLUMNS($AN$1006:AQ1006),$AN$1006:$BO$1006,0)), HYPERLINK("#",""), HYPERLINK(CONCATENATE("#Metadata!", ADDRESS(INDEX($AI$2:$AI$1001,MATCH(ROWS($AG$2:AG101),$AG$2:$AG$1001,0),0), INDEX($AN$1004:$BO$1004,1,MATCH(COLUMNS($AN$1006:AQ1006),$AN$1006:$BO$1006,0)))),"Fix")))</f>
        <v>0</v>
      </c>
      <c r="F101" s="4">
        <f>IF(OR(INDEX($AH$2:$AH$1001,MATCH(ROWS($AG$2:AG101),$AG$2:$AG$1001,0),1)&gt;=100000,INDEX($AN$1005:$BO$1005,1,MATCH(COLUMNS($AN$1006:AR1006),$AN$1006:$BO$1006,0))&gt;=100000), " ",IF(INDEX($AN$2:$BO$1001,MATCH(ROWS($AG$2:AG101),$AG$2:$AG$1001,0),MATCH(COLUMNS($AN$1006:AR1006),$AN$1006:$BO$1006,0)), HYPERLINK("#",""), HYPERLINK(CONCATENATE("#Metadata!", ADDRESS(INDEX($AI$2:$AI$1001,MATCH(ROWS($AG$2:AG101),$AG$2:$AG$1001,0),0), INDEX($AN$1004:$BO$1004,1,MATCH(COLUMNS($AN$1006:AR1006),$AN$1006:$BO$1006,0)))),"Fix")))</f>
        <v>0</v>
      </c>
      <c r="G101" s="4">
        <f>IF(OR(INDEX($AH$2:$AH$1001,MATCH(ROWS($AG$2:AG101),$AG$2:$AG$1001,0),1)&gt;=100000,INDEX($AN$1005:$BO$1005,1,MATCH(COLUMNS($AN$1006:AS1006),$AN$1006:$BO$1006,0))&gt;=100000), " ",IF(INDEX($AN$2:$BO$1001,MATCH(ROWS($AG$2:AG101),$AG$2:$AG$1001,0),MATCH(COLUMNS($AN$1006:AS1006),$AN$1006:$BO$1006,0)), HYPERLINK("#",""), HYPERLINK(CONCATENATE("#Metadata!", ADDRESS(INDEX($AI$2:$AI$1001,MATCH(ROWS($AG$2:AG101),$AG$2:$AG$1001,0),0), INDEX($AN$1004:$BO$1004,1,MATCH(COLUMNS($AN$1006:AS1006),$AN$1006:$BO$1006,0)))),"Fix")))</f>
        <v>0</v>
      </c>
      <c r="H101" s="4">
        <f>IF(OR(INDEX($AH$2:$AH$1001,MATCH(ROWS($AG$2:AG101),$AG$2:$AG$1001,0),1)&gt;=100000,INDEX($AN$1005:$BO$1005,1,MATCH(COLUMNS($AN$1006:AT1006),$AN$1006:$BO$1006,0))&gt;=100000), " ",IF(INDEX($AN$2:$BO$1001,MATCH(ROWS($AG$2:AG101),$AG$2:$AG$1001,0),MATCH(COLUMNS($AN$1006:AT1006),$AN$1006:$BO$1006,0)), HYPERLINK("#",""), HYPERLINK(CONCATENATE("#Metadata!", ADDRESS(INDEX($AI$2:$AI$1001,MATCH(ROWS($AG$2:AG101),$AG$2:$AG$1001,0),0), INDEX($AN$1004:$BO$1004,1,MATCH(COLUMNS($AN$1006:AT1006),$AN$1006:$BO$1006,0)))),"Fix")))</f>
        <v>0</v>
      </c>
      <c r="I101" s="4">
        <f>IF(OR(INDEX($AH$2:$AH$1001,MATCH(ROWS($AG$2:AG101),$AG$2:$AG$1001,0),1)&gt;=100000,INDEX($AN$1005:$BO$1005,1,MATCH(COLUMNS($AN$1006:AU1006),$AN$1006:$BO$1006,0))&gt;=100000), " ",IF(INDEX($AN$2:$BO$1001,MATCH(ROWS($AG$2:AG101),$AG$2:$AG$1001,0),MATCH(COLUMNS($AN$1006:AU1006),$AN$1006:$BO$1006,0)), HYPERLINK("#",""), HYPERLINK(CONCATENATE("#Metadata!", ADDRESS(INDEX($AI$2:$AI$1001,MATCH(ROWS($AG$2:AG101),$AG$2:$AG$1001,0),0), INDEX($AN$1004:$BO$1004,1,MATCH(COLUMNS($AN$1006:AU1006),$AN$1006:$BO$1006,0)))),"Fix")))</f>
        <v>0</v>
      </c>
      <c r="J101" s="4">
        <f>IF(OR(INDEX($AH$2:$AH$1001,MATCH(ROWS($AG$2:AG101),$AG$2:$AG$1001,0),1)&gt;=100000,INDEX($AN$1005:$BO$1005,1,MATCH(COLUMNS($AN$1006:AV1006),$AN$1006:$BO$1006,0))&gt;=100000), " ",IF(INDEX($AN$2:$BO$1001,MATCH(ROWS($AG$2:AG101),$AG$2:$AG$1001,0),MATCH(COLUMNS($AN$1006:AV1006),$AN$1006:$BO$1006,0)), HYPERLINK("#",""), HYPERLINK(CONCATENATE("#Metadata!", ADDRESS(INDEX($AI$2:$AI$1001,MATCH(ROWS($AG$2:AG101),$AG$2:$AG$1001,0),0), INDEX($AN$1004:$BO$1004,1,MATCH(COLUMNS($AN$1006:AV1006),$AN$1006:$BO$1006,0)))),"Fix")))</f>
        <v>0</v>
      </c>
      <c r="K101" s="4">
        <f>IF(OR(INDEX($AH$2:$AH$1001,MATCH(ROWS($AG$2:AG101),$AG$2:$AG$1001,0),1)&gt;=100000,INDEX($AN$1005:$BO$1005,1,MATCH(COLUMNS($AN$1006:AW1006),$AN$1006:$BO$1006,0))&gt;=100000), " ",IF(INDEX($AN$2:$BO$1001,MATCH(ROWS($AG$2:AG101),$AG$2:$AG$1001,0),MATCH(COLUMNS($AN$1006:AW1006),$AN$1006:$BO$1006,0)), HYPERLINK("#",""), HYPERLINK(CONCATENATE("#Metadata!", ADDRESS(INDEX($AI$2:$AI$1001,MATCH(ROWS($AG$2:AG101),$AG$2:$AG$1001,0),0), INDEX($AN$1004:$BO$1004,1,MATCH(COLUMNS($AN$1006:AW1006),$AN$1006:$BO$1006,0)))),"Fix")))</f>
        <v>0</v>
      </c>
      <c r="L101" s="4">
        <f>IF(OR(INDEX($AH$2:$AH$1001,MATCH(ROWS($AG$2:AG101),$AG$2:$AG$1001,0),1)&gt;=100000,INDEX($AN$1005:$BO$1005,1,MATCH(COLUMNS($AN$1006:AX1006),$AN$1006:$BO$1006,0))&gt;=100000), " ",IF(INDEX($AN$2:$BO$1001,MATCH(ROWS($AG$2:AG101),$AG$2:$AG$1001,0),MATCH(COLUMNS($AN$1006:AX1006),$AN$1006:$BO$1006,0)), HYPERLINK("#",""), HYPERLINK(CONCATENATE("#Metadata!", ADDRESS(INDEX($AI$2:$AI$1001,MATCH(ROWS($AG$2:AG101),$AG$2:$AG$1001,0),0), INDEX($AN$1004:$BO$1004,1,MATCH(COLUMNS($AN$1006:AX1006),$AN$1006:$BO$1006,0)))),"Fix")))</f>
        <v>0</v>
      </c>
      <c r="M101" s="4">
        <f>IF(OR(INDEX($AH$2:$AH$1001,MATCH(ROWS($AG$2:AG101),$AG$2:$AG$1001,0),1)&gt;=100000,INDEX($AN$1005:$BO$1005,1,MATCH(COLUMNS($AN$1006:AY1006),$AN$1006:$BO$1006,0))&gt;=100000), " ",IF(INDEX($AN$2:$BO$1001,MATCH(ROWS($AG$2:AG101),$AG$2:$AG$1001,0),MATCH(COLUMNS($AN$1006:AY1006),$AN$1006:$BO$1006,0)), HYPERLINK("#",""), HYPERLINK(CONCATENATE("#Metadata!", ADDRESS(INDEX($AI$2:$AI$1001,MATCH(ROWS($AG$2:AG101),$AG$2:$AG$1001,0),0), INDEX($AN$1004:$BO$1004,1,MATCH(COLUMNS($AN$1006:AY1006),$AN$1006:$BO$1006,0)))),"Fix")))</f>
        <v>0</v>
      </c>
      <c r="N101" s="4">
        <f>IF(OR(INDEX($AH$2:$AH$1001,MATCH(ROWS($AG$2:AG101),$AG$2:$AG$1001,0),1)&gt;=100000,INDEX($AN$1005:$BO$1005,1,MATCH(COLUMNS($AN$1006:AZ1006),$AN$1006:$BO$1006,0))&gt;=100000), " ",IF(INDEX($AN$2:$BO$1001,MATCH(ROWS($AG$2:AG101),$AG$2:$AG$1001,0),MATCH(COLUMNS($AN$1006:AZ1006),$AN$1006:$BO$1006,0)), HYPERLINK("#",""), HYPERLINK(CONCATENATE("#Metadata!", ADDRESS(INDEX($AI$2:$AI$1001,MATCH(ROWS($AG$2:AG101),$AG$2:$AG$1001,0),0), INDEX($AN$1004:$BO$1004,1,MATCH(COLUMNS($AN$1006:AZ1006),$AN$1006:$BO$1006,0)))),"Fix")))</f>
        <v>0</v>
      </c>
      <c r="O101" s="4">
        <f>IF(OR(INDEX($AH$2:$AH$1001,MATCH(ROWS($AG$2:AG101),$AG$2:$AG$1001,0),1)&gt;=100000,INDEX($AN$1005:$BO$1005,1,MATCH(COLUMNS($AN$1006:BA1006),$AN$1006:$BO$1006,0))&gt;=100000), " ",IF(INDEX($AN$2:$BO$1001,MATCH(ROWS($AG$2:AG101),$AG$2:$AG$1001,0),MATCH(COLUMNS($AN$1006:BA1006),$AN$1006:$BO$1006,0)), HYPERLINK("#",""), HYPERLINK(CONCATENATE("#Metadata!", ADDRESS(INDEX($AI$2:$AI$1001,MATCH(ROWS($AG$2:AG101),$AG$2:$AG$1001,0),0), INDEX($AN$1004:$BO$1004,1,MATCH(COLUMNS($AN$1006:BA1006),$AN$1006:$BO$1006,0)))),"Fix")))</f>
        <v>0</v>
      </c>
      <c r="P101" s="4">
        <f>IF(OR(INDEX($AH$2:$AH$1001,MATCH(ROWS($AG$2:AG101),$AG$2:$AG$1001,0),1)&gt;=100000,INDEX($AN$1005:$BO$1005,1,MATCH(COLUMNS($AN$1006:BB1006),$AN$1006:$BO$1006,0))&gt;=100000), " ",IF(INDEX($AN$2:$BO$1001,MATCH(ROWS($AG$2:AG101),$AG$2:$AG$1001,0),MATCH(COLUMNS($AN$1006:BB1006),$AN$1006:$BO$1006,0)), HYPERLINK("#",""), HYPERLINK(CONCATENATE("#Metadata!", ADDRESS(INDEX($AI$2:$AI$1001,MATCH(ROWS($AG$2:AG101),$AG$2:$AG$1001,0),0), INDEX($AN$1004:$BO$1004,1,MATCH(COLUMNS($AN$1006:BB1006),$AN$1006:$BO$1006,0)))),"Fix")))</f>
        <v>0</v>
      </c>
      <c r="Q101" s="4">
        <f>IF(OR(INDEX($AH$2:$AH$1001,MATCH(ROWS($AG$2:AG101),$AG$2:$AG$1001,0),1)&gt;=100000,INDEX($AN$1005:$BO$1005,1,MATCH(COLUMNS($AN$1006:BC1006),$AN$1006:$BO$1006,0))&gt;=100000), " ",IF(INDEX($AN$2:$BO$1001,MATCH(ROWS($AG$2:AG101),$AG$2:$AG$1001,0),MATCH(COLUMNS($AN$1006:BC1006),$AN$1006:$BO$1006,0)), HYPERLINK("#",""), HYPERLINK(CONCATENATE("#Metadata!", ADDRESS(INDEX($AI$2:$AI$1001,MATCH(ROWS($AG$2:AG101),$AG$2:$AG$1001,0),0), INDEX($AN$1004:$BO$1004,1,MATCH(COLUMNS($AN$1006:BC1006),$AN$1006:$BO$1006,0)))),"Fix")))</f>
        <v>0</v>
      </c>
      <c r="R101" s="4">
        <f>IF(OR(INDEX($AH$2:$AH$1001,MATCH(ROWS($AG$2:AG101),$AG$2:$AG$1001,0),1)&gt;=100000,INDEX($AN$1005:$BO$1005,1,MATCH(COLUMNS($AN$1006:BD1006),$AN$1006:$BO$1006,0))&gt;=100000), " ",IF(INDEX($AN$2:$BO$1001,MATCH(ROWS($AG$2:AG101),$AG$2:$AG$1001,0),MATCH(COLUMNS($AN$1006:BD1006),$AN$1006:$BO$1006,0)), HYPERLINK("#",""), HYPERLINK(CONCATENATE("#Metadata!", ADDRESS(INDEX($AI$2:$AI$1001,MATCH(ROWS($AG$2:AG101),$AG$2:$AG$1001,0),0), INDEX($AN$1004:$BO$1004,1,MATCH(COLUMNS($AN$1006:BD1006),$AN$1006:$BO$1006,0)))),"Fix")))</f>
        <v>0</v>
      </c>
      <c r="S101" s="4">
        <f>IF(OR(INDEX($AH$2:$AH$1001,MATCH(ROWS($AG$2:AG101),$AG$2:$AG$1001,0),1)&gt;=100000,INDEX($AN$1005:$BO$1005,1,MATCH(COLUMNS($AN$1006:BE1006),$AN$1006:$BO$1006,0))&gt;=100000), " ",IF(INDEX($AN$2:$BO$1001,MATCH(ROWS($AG$2:AG101),$AG$2:$AG$1001,0),MATCH(COLUMNS($AN$1006:BE1006),$AN$1006:$BO$1006,0)), HYPERLINK("#",""), HYPERLINK(CONCATENATE("#Metadata!", ADDRESS(INDEX($AI$2:$AI$1001,MATCH(ROWS($AG$2:AG101),$AG$2:$AG$1001,0),0), INDEX($AN$1004:$BO$1004,1,MATCH(COLUMNS($AN$1006:BE1006),$AN$1006:$BO$1006,0)))),"Fix")))</f>
        <v>0</v>
      </c>
      <c r="T101" s="4">
        <f>IF(OR(INDEX($AH$2:$AH$1001,MATCH(ROWS($AG$2:AG101),$AG$2:$AG$1001,0),1)&gt;=100000,INDEX($AN$1005:$BO$1005,1,MATCH(COLUMNS($AN$1006:BF1006),$AN$1006:$BO$1006,0))&gt;=100000), " ",IF(INDEX($AN$2:$BO$1001,MATCH(ROWS($AG$2:AG101),$AG$2:$AG$1001,0),MATCH(COLUMNS($AN$1006:BF1006),$AN$1006:$BO$1006,0)), HYPERLINK("#",""), HYPERLINK(CONCATENATE("#Metadata!", ADDRESS(INDEX($AI$2:$AI$1001,MATCH(ROWS($AG$2:AG101),$AG$2:$AG$1001,0),0), INDEX($AN$1004:$BO$1004,1,MATCH(COLUMNS($AN$1006:BF1006),$AN$1006:$BO$1006,0)))),"Fix")))</f>
        <v>0</v>
      </c>
      <c r="U101" s="4">
        <f>IF(OR(INDEX($AH$2:$AH$1001,MATCH(ROWS($AG$2:AG101),$AG$2:$AG$1001,0),1)&gt;=100000,INDEX($AN$1005:$BO$1005,1,MATCH(COLUMNS($AN$1006:BG1006),$AN$1006:$BO$1006,0))&gt;=100000), " ",IF(INDEX($AN$2:$BO$1001,MATCH(ROWS($AG$2:AG101),$AG$2:$AG$1001,0),MATCH(COLUMNS($AN$1006:BG1006),$AN$1006:$BO$1006,0)), HYPERLINK("#",""), HYPERLINK(CONCATENATE("#Metadata!", ADDRESS(INDEX($AI$2:$AI$1001,MATCH(ROWS($AG$2:AG101),$AG$2:$AG$1001,0),0), INDEX($AN$1004:$BO$1004,1,MATCH(COLUMNS($AN$1006:BG1006),$AN$1006:$BO$1006,0)))),"Fix")))</f>
        <v>0</v>
      </c>
      <c r="V101" s="4">
        <f>IF(OR(INDEX($AH$2:$AH$1001,MATCH(ROWS($AG$2:AG101),$AG$2:$AG$1001,0),1)&gt;=100000,INDEX($AN$1005:$BO$1005,1,MATCH(COLUMNS($AN$1006:BH1006),$AN$1006:$BO$1006,0))&gt;=100000), " ",IF(INDEX($AN$2:$BO$1001,MATCH(ROWS($AG$2:AG101),$AG$2:$AG$1001,0),MATCH(COLUMNS($AN$1006:BH1006),$AN$1006:$BO$1006,0)), HYPERLINK("#",""), HYPERLINK(CONCATENATE("#Metadata!", ADDRESS(INDEX($AI$2:$AI$1001,MATCH(ROWS($AG$2:AG101),$AG$2:$AG$1001,0),0), INDEX($AN$1004:$BO$1004,1,MATCH(COLUMNS($AN$1006:BH1006),$AN$1006:$BO$1006,0)))),"Fix")))</f>
        <v>0</v>
      </c>
      <c r="W101" s="4">
        <f>IF(OR(INDEX($AH$2:$AH$1001,MATCH(ROWS($AG$2:AG101),$AG$2:$AG$1001,0),1)&gt;=100000,INDEX($AN$1005:$BO$1005,1,MATCH(COLUMNS($AN$1006:BI1006),$AN$1006:$BO$1006,0))&gt;=100000), " ",IF(INDEX($AN$2:$BO$1001,MATCH(ROWS($AG$2:AG101),$AG$2:$AG$1001,0),MATCH(COLUMNS($AN$1006:BI1006),$AN$1006:$BO$1006,0)), HYPERLINK("#",""), HYPERLINK(CONCATENATE("#Metadata!", ADDRESS(INDEX($AI$2:$AI$1001,MATCH(ROWS($AG$2:AG101),$AG$2:$AG$1001,0),0), INDEX($AN$1004:$BO$1004,1,MATCH(COLUMNS($AN$1006:BI1006),$AN$1006:$BO$1006,0)))),"Fix")))</f>
        <v>0</v>
      </c>
      <c r="X101" s="4">
        <f>IF(OR(INDEX($AH$2:$AH$1001,MATCH(ROWS($AG$2:AG101),$AG$2:$AG$1001,0),1)&gt;=100000,INDEX($AN$1005:$BO$1005,1,MATCH(COLUMNS($AN$1006:BJ1006),$AN$1006:$BO$1006,0))&gt;=100000), " ",IF(INDEX($AN$2:$BO$1001,MATCH(ROWS($AG$2:AG101),$AG$2:$AG$1001,0),MATCH(COLUMNS($AN$1006:BJ1006),$AN$1006:$BO$1006,0)), HYPERLINK("#",""), HYPERLINK(CONCATENATE("#Metadata!", ADDRESS(INDEX($AI$2:$AI$1001,MATCH(ROWS($AG$2:AG101),$AG$2:$AG$1001,0),0), INDEX($AN$1004:$BO$1004,1,MATCH(COLUMNS($AN$1006:BJ1006),$AN$1006:$BO$1006,0)))),"Fix")))</f>
        <v>0</v>
      </c>
      <c r="Y101" s="4">
        <f>IF(OR(INDEX($AH$2:$AH$1001,MATCH(ROWS($AG$2:AG101),$AG$2:$AG$1001,0),1)&gt;=100000,INDEX($AN$1005:$BO$1005,1,MATCH(COLUMNS($AN$1006:BK1006),$AN$1006:$BO$1006,0))&gt;=100000), " ",IF(INDEX($AN$2:$BO$1001,MATCH(ROWS($AG$2:AG101),$AG$2:$AG$1001,0),MATCH(COLUMNS($AN$1006:BK1006),$AN$1006:$BO$1006,0)), HYPERLINK("#",""), HYPERLINK(CONCATENATE("#Metadata!", ADDRESS(INDEX($AI$2:$AI$1001,MATCH(ROWS($AG$2:AG101),$AG$2:$AG$1001,0),0), INDEX($AN$1004:$BO$1004,1,MATCH(COLUMNS($AN$1006:BK1006),$AN$1006:$BO$1006,0)))),"Fix")))</f>
        <v>0</v>
      </c>
      <c r="Z101" s="4">
        <f>IF(OR(INDEX($AH$2:$AH$1001,MATCH(ROWS($AG$2:AG101),$AG$2:$AG$1001,0),1)&gt;=100000,INDEX($AN$1005:$BO$1005,1,MATCH(COLUMNS($AN$1006:BL1006),$AN$1006:$BO$1006,0))&gt;=100000), " ",IF(INDEX($AN$2:$BO$1001,MATCH(ROWS($AG$2:AG101),$AG$2:$AG$1001,0),MATCH(COLUMNS($AN$1006:BL1006),$AN$1006:$BO$1006,0)), HYPERLINK("#",""), HYPERLINK(CONCATENATE("#Metadata!", ADDRESS(INDEX($AI$2:$AI$1001,MATCH(ROWS($AG$2:AG101),$AG$2:$AG$1001,0),0), INDEX($AN$1004:$BO$1004,1,MATCH(COLUMNS($AN$1006:BL1006),$AN$1006:$BO$1006,0)))),"Fix")))</f>
        <v>0</v>
      </c>
      <c r="AA101" s="4">
        <f>IF(OR(INDEX($AH$2:$AH$1001,MATCH(ROWS($AG$2:AG101),$AG$2:$AG$1001,0),1)&gt;=100000,INDEX($AN$1005:$BO$1005,1,MATCH(COLUMNS($AN$1006:BM1006),$AN$1006:$BO$1006,0))&gt;=100000), " ",IF(INDEX($AN$2:$BO$1001,MATCH(ROWS($AG$2:AG101),$AG$2:$AG$1001,0),MATCH(COLUMNS($AN$1006:BM1006),$AN$1006:$BO$1006,0)), HYPERLINK("#",""), HYPERLINK(CONCATENATE("#Metadata!", ADDRESS(INDEX($AI$2:$AI$1001,MATCH(ROWS($AG$2:AG101),$AG$2:$AG$1001,0),0), INDEX($AN$1004:$BO$1004,1,MATCH(COLUMNS($AN$1006:BM1006),$AN$1006:$BO$1006,0)))),"Fix")))</f>
        <v>0</v>
      </c>
      <c r="AB101" s="4">
        <f>IF(OR(INDEX($AH$2:$AH$1001,MATCH(ROWS($AG$2:AG101),$AG$2:$AG$1001,0),1)&gt;=100000,INDEX($AN$1005:$BO$1005,1,MATCH(COLUMNS($AN$1006:BN1006),$AN$1006:$BO$1006,0))&gt;=100000), " ",IF(INDEX($AN$2:$BO$1001,MATCH(ROWS($AG$2:AG101),$AG$2:$AG$1001,0),MATCH(COLUMNS($AN$1006:BN1006),$AN$1006:$BO$1006,0)), HYPERLINK("#",""), HYPERLINK(CONCATENATE("#Metadata!", ADDRESS(INDEX($AI$2:$AI$1001,MATCH(ROWS($AG$2:AG101),$AG$2:$AG$1001,0),0), INDEX($AN$1004:$BO$1004,1,MATCH(COLUMNS($AN$1006:BN1006),$AN$1006:$BO$1006,0)))),"Fix")))</f>
        <v>0</v>
      </c>
      <c r="AC101" s="4">
        <f>IF(OR(INDEX($AH$2:$AH$1001,MATCH(ROWS($AG$2:AG101),$AG$2:$AG$1001,0),1)&gt;=100000,INDEX($AN$1005:$BO$1005,1,MATCH(COLUMNS($AN$1006:BO1006),$AN$1006:$BO$1006,0))&gt;=100000), " ",IF(INDEX($AN$2:$BO$1001,MATCH(ROWS($AG$2:AG101),$AG$2:$AG$1001,0),MATCH(COLUMNS($AN$1006:BO1006),$AN$1006:$BO$1006,0)), HYPERLINK("#",""), HYPERLINK(CONCATENATE("#Metadata!", ADDRESS(INDEX($AI$2:$AI$1001,MATCH(ROWS($AG$2:AG101),$AG$2:$AG$1001,0),0), INDEX($AN$1004:$BO$1004,1,MATCH(COLUMNS($AN$1006:BO1006),$AN$1006:$BO$1006,0)))),"Fix")))</f>
        <v>0</v>
      </c>
      <c r="AG101">
        <v>0</v>
      </c>
      <c r="AH101">
        <v>0</v>
      </c>
      <c r="AI101">
        <v>0</v>
      </c>
      <c r="AJ101">
        <f>IF(AK101,TRUE,AND(AN101:BO101))</f>
        <v>0</v>
      </c>
      <c r="AK101">
        <f>COUNTBLANK(Metadata!B101:AC101)=COLUMNS(Metadata!B101:AC101)</f>
        <v>0</v>
      </c>
      <c r="AL101">
        <v>0</v>
      </c>
      <c r="AN101">
        <f>AND(IF(Metadata!B101="",FALSE,TRUE),COUNTIF(Metadata!B:B, Metadata!B101) = 1,NOT(ISERROR(SUMPRODUCT(SEARCH(MID(Metadata!B101,ROW(INDIRECT("1:"&amp;LEN(Metadata!B101))), 1),"0123456789abcdefghijklmnopqrstuvwxyzABCDEFGHIJKLMNOPQRSTUVWXYZ.")))))</f>
        <v>0</v>
      </c>
      <c r="AO101">
        <f>IF(Metadata!C101="",FALSE,TRUE)</f>
        <v>0</v>
      </c>
      <c r="AP101">
        <f>IF(Metadata!D101="",FALSE,TRUE)</f>
        <v>0</v>
      </c>
      <c r="AQ101">
        <f>OR(AND(IF(Metadata!E101="",FALSE,TRUE),OR(exact(Metadata!E101,"not collected"),exact(Metadata!E101,"not provided"),exact(Metadata!E101,"restricted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R101">
        <f>IF(Metadata!F101="",FALSE,TRUE)</f>
        <v>0</v>
      </c>
      <c r="AS101">
        <f>OR(AND(IF(Metadata!G101="",FALSE,TRUE),OR(exact(Metadata!G101,"not collected"),exact(Metadata!G101,"not provided"))),AND(IF(Metadata!G101="",FALSE,TRUE),OR(exact(Metadata!G101,"TRUE"),exact(Metadata!G101,"FALSE"))))</f>
        <v>0</v>
      </c>
      <c r="AT101">
        <f>OR(AND(IF(Metadata!H101="",FALSE,TRUE),OR(exact(Metadata!H101,"not collected"),exact(Metadata!H101,"not provided"),exact(Metadata!H101,"restricted access"))),AND(IF(Metadata!H101="",FALSE,ISNUMBER(VALUE(Metadata!H101))),Metadata!H101&gt;=-413.0))</f>
        <v>0</v>
      </c>
      <c r="AU101">
        <f>AND(IF(Metadata!I101="",FALSE,TRUE),exact(Metadata!I101,"meters"))</f>
        <v>0</v>
      </c>
      <c r="AV101">
        <f>AND(IF(Metadata!J101="",FALSE,TRUE),OR(exact(Metadata!J101,"Host-associated"),exact(Metadata!J101,"Free-living")))</f>
        <v>0</v>
      </c>
      <c r="AW101">
        <f>AND(IF(Metadata!K101="",FALSE,TRUE),OR(exact(Metadata!K101,"Animal"),exact(Metadata!K101,"Fungus"),exact(Metadata!K101,"Plant"),exact(Metadata!K101,"Saline"),exact(Metadata!K101,"Non-saline")))</f>
        <v>0</v>
      </c>
      <c r="AX101">
        <f>AND(IF(Metadata!L101="",FALSE,TRUE),OR(exact(Metadata!L101,"Plant secretion"),exact(Metadata!L101,"Plant rhizosphere"),exact(Metadata!L101,"Plant surface"),exact(Metadata!L101,"Plant corpus"),exact(Metadata!L101,"Fungus surface"),exact(Metadata!L101,"Fungus corpus"),exact(Metadata!L101,"Animal surface"),exact(Metadata!L101,"Animal proximal gut"),exact(Metadata!L101,"Animal corpus"),exact(Metadata!L101,"Animal distal gut"),exact(Metadata!L101,"Animal secretion"),exact(Metadata!L101,"Sub-surface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Y101">
        <f>IF(Metadata!M101="",FALSE,TRUE)</f>
        <v>0</v>
      </c>
      <c r="AZ101">
        <f>IF(Metadata!N101="",FALSE,TRUE)</f>
        <v>0</v>
      </c>
      <c r="BA101">
        <f>IF(Metadata!O101="",FALSE,TRUE)</f>
        <v>0</v>
      </c>
      <c r="BB101">
        <f>OR(AND(IF(Metadata!P101="",FALSE,TRUE),OR(exact(Metadata!P101,"not collected"),exact(Metadata!P101,"not provided"),exact(Metadata!P101,"restricted access"))),AND(IF(Metadata!P101="",FALSE,TRUE),OR(exact(Metadata!P101,"air"),exact(Metadata!P101,"built environment"),exact(Metadata!P101,"host-associated"),exact(Metadata!P101,"human-associated"),exact(Metadata!P101,"human-skin"),exact(Metadata!P101,"human-oral"),exact(Metadata!P101,"human-gut"),exact(Metadata!P101,"human-vaginal"),exact(Metadata!P101,"microbial mat/biofilm"),exact(Metadata!P101,"misc environment"),exact(Metadata!P101,"plant-associated"),exact(Metadata!P101,"sediment"),exact(Metadata!P101,"soil"),exact(Metadata!P101,"wastewater/sludge"),exact(Metadata!P101,"water"))))</f>
        <v>0</v>
      </c>
      <c r="BC101">
        <f>IF(Metadata!Q101="",FALSE,TRUE)</f>
        <v>0</v>
      </c>
      <c r="BD101">
        <f>IF(Metadata!R101="",FALSE,TRUE)</f>
        <v>0</v>
      </c>
      <c r="BE101">
        <f>OR(AND(IF(Metadata!S101="",FALSE,TRUE),OR(exact(Metadata!S101,"not collected"),exact(Metadata!S101,"not provided"),exact(Metadata!S101,"restricted access"))),AND(IF(Metadata!S101="",FALSE,ISNUMBER(VALUE(Metadata!S101))),Metadata!S101&gt;=-90.00,Metadata!S101&lt;=90.00))</f>
        <v>0</v>
      </c>
      <c r="BF101">
        <f>AND(IF(Metadata!T101="",FALSE,TRUE),exact(Metadata!T101,"Decimal degrees"))</f>
        <v>0</v>
      </c>
      <c r="BG101">
        <f>OR(AND(IF(Metadata!U101="",FALSE,TRUE),OR(exact(Metadata!U101,"not collected"),exact(Metadata!U101,"not provided"),exact(Metadata!U101,"restricted access"))),AND(IF(Metadata!U101="",FALSE,ISNUMBER(VALUE(Metadata!U101))),Metadata!U101&gt;=-180.00,Metadata!U101&lt;=180.00))</f>
        <v>0</v>
      </c>
      <c r="BH101">
        <f>AND(IF(Metadata!V101="",FALSE,TRUE),exact(Metadata!V101,"Decimal degrees"))</f>
        <v>0</v>
      </c>
      <c r="BI101">
        <f>IF(Metadata!W101="",FALSE,TRUE)</f>
        <v>0</v>
      </c>
      <c r="BJ101">
        <f>OR(AND(IF(Metadata!X101="",FALSE,TRUE),OR(exact(Metadata!X101,"not collected"),exact(Metadata!X101,"not provided"),exact(Metadata!X101,"restricted access"))),AND(IF(Metadata!X101="",FALSE,TRUE),OR(exact(Metadata!X101,"TRUE"),exact(Metadata!X101,"FALSE"))))</f>
        <v>0</v>
      </c>
      <c r="BK101">
        <f>AND(IF(Metadata!Y101="",FALSE,TRUE),exact(Metadata!Y101,"other"))</f>
        <v>0</v>
      </c>
      <c r="BL101">
        <f>IF(Metadata!Z101="",FALSE,TRUE)</f>
        <v>0</v>
      </c>
      <c r="BM101">
        <f>OR(AND(IF(Metadata!AA101="",FALSE,TRUE),OR(exact(Metadata!AA101,"not collected"),exact(Metadata!AA101,"not provided"))),AND(IF(Metadata!AA101="",FALSE,IF(ISERROR(INT(Metadata!AA101)),FALSE,INT(Metadata!AA101)=Metadata!AA101)),Metadata!AA101&gt;0))</f>
        <v>0</v>
      </c>
      <c r="BN101">
        <f>AND(IF(Metadata!AB101="",FALSE,TRUE),exact(Metadata!AB101,"Not applicable"))</f>
        <v>0</v>
      </c>
      <c r="BO101">
        <f>IF(Metadata!AC101="",FALSE,TRUE)</f>
        <v>0</v>
      </c>
    </row>
    <row r="102" spans="1:67">
      <c r="A102" s="5">
        <f>IF(B102=" "," ",HYPERLINK(CONCATENATE("#metadata!",ADDRESS(INDEX($AI$2:$AI$1001,MATCH(ROWS($AG$2:AG102),$AG$2:$AG$1001,0),0),1)),INDEX($AL$2:$AL$1001,MATCH(ROWS($AG$2:AG102),$AG$2:$AG$1001,0),0)))</f>
        <v>0</v>
      </c>
      <c r="B102" s="4">
        <f>IF(OR(INDEX($AH$2:$AH$1001,MATCH(ROWS($AG$2:AG102),$AG$2:$AG$1001,0),1)&gt;=100000,INDEX($AN$1005:$BO$1005,1,MATCH(COLUMNS($AN$1006:AN1006),$AN$1006:$BO$1006,0))&gt;=100000), " ",IF(INDEX($AN$2:$BO$1001,MATCH(ROWS($AG$2:AG102),$AG$2:$AG$1001,0),MATCH(COLUMNS($AN$1006:AN1006),$AN$1006:$BO$1006,0)), HYPERLINK("#",""), HYPERLINK(CONCATENATE("#Metadata!", ADDRESS(INDEX($AI$2:$AI$1001,MATCH(ROWS($AG$2:AG102),$AG$2:$AG$1001,0),0), INDEX($AN$1004:$BO$1004,1,MATCH(COLUMNS($AN$1006:AN1006),$AN$1006:$BO$1006,0)))),"Fix")))</f>
        <v>0</v>
      </c>
      <c r="C102" s="4">
        <f>IF(OR(INDEX($AH$2:$AH$1001,MATCH(ROWS($AG$2:AG102),$AG$2:$AG$1001,0),1)&gt;=100000,INDEX($AN$1005:$BO$1005,1,MATCH(COLUMNS($AN$1006:AO1006),$AN$1006:$BO$1006,0))&gt;=100000), " ",IF(INDEX($AN$2:$BO$1001,MATCH(ROWS($AG$2:AG102),$AG$2:$AG$1001,0),MATCH(COLUMNS($AN$1006:AO1006),$AN$1006:$BO$1006,0)), HYPERLINK("#",""), HYPERLINK(CONCATENATE("#Metadata!", ADDRESS(INDEX($AI$2:$AI$1001,MATCH(ROWS($AG$2:AG102),$AG$2:$AG$1001,0),0), INDEX($AN$1004:$BO$1004,1,MATCH(COLUMNS($AN$1006:AO1006),$AN$1006:$BO$1006,0)))),"Fix")))</f>
        <v>0</v>
      </c>
      <c r="D102" s="4">
        <f>IF(OR(INDEX($AH$2:$AH$1001,MATCH(ROWS($AG$2:AG102),$AG$2:$AG$1001,0),1)&gt;=100000,INDEX($AN$1005:$BO$1005,1,MATCH(COLUMNS($AN$1006:AP1006),$AN$1006:$BO$1006,0))&gt;=100000), " ",IF(INDEX($AN$2:$BO$1001,MATCH(ROWS($AG$2:AG102),$AG$2:$AG$1001,0),MATCH(COLUMNS($AN$1006:AP1006),$AN$1006:$BO$1006,0)), HYPERLINK("#",""), HYPERLINK(CONCATENATE("#Metadata!", ADDRESS(INDEX($AI$2:$AI$1001,MATCH(ROWS($AG$2:AG102),$AG$2:$AG$1001,0),0), INDEX($AN$1004:$BO$1004,1,MATCH(COLUMNS($AN$1006:AP1006),$AN$1006:$BO$1006,0)))),"Fix")))</f>
        <v>0</v>
      </c>
      <c r="E102" s="4">
        <f>IF(OR(INDEX($AH$2:$AH$1001,MATCH(ROWS($AG$2:AG102),$AG$2:$AG$1001,0),1)&gt;=100000,INDEX($AN$1005:$BO$1005,1,MATCH(COLUMNS($AN$1006:AQ1006),$AN$1006:$BO$1006,0))&gt;=100000), " ",IF(INDEX($AN$2:$BO$1001,MATCH(ROWS($AG$2:AG102),$AG$2:$AG$1001,0),MATCH(COLUMNS($AN$1006:AQ1006),$AN$1006:$BO$1006,0)), HYPERLINK("#",""), HYPERLINK(CONCATENATE("#Metadata!", ADDRESS(INDEX($AI$2:$AI$1001,MATCH(ROWS($AG$2:AG102),$AG$2:$AG$1001,0),0), INDEX($AN$1004:$BO$1004,1,MATCH(COLUMNS($AN$1006:AQ1006),$AN$1006:$BO$1006,0)))),"Fix")))</f>
        <v>0</v>
      </c>
      <c r="F102" s="4">
        <f>IF(OR(INDEX($AH$2:$AH$1001,MATCH(ROWS($AG$2:AG102),$AG$2:$AG$1001,0),1)&gt;=100000,INDEX($AN$1005:$BO$1005,1,MATCH(COLUMNS($AN$1006:AR1006),$AN$1006:$BO$1006,0))&gt;=100000), " ",IF(INDEX($AN$2:$BO$1001,MATCH(ROWS($AG$2:AG102),$AG$2:$AG$1001,0),MATCH(COLUMNS($AN$1006:AR1006),$AN$1006:$BO$1006,0)), HYPERLINK("#",""), HYPERLINK(CONCATENATE("#Metadata!", ADDRESS(INDEX($AI$2:$AI$1001,MATCH(ROWS($AG$2:AG102),$AG$2:$AG$1001,0),0), INDEX($AN$1004:$BO$1004,1,MATCH(COLUMNS($AN$1006:AR1006),$AN$1006:$BO$1006,0)))),"Fix")))</f>
        <v>0</v>
      </c>
      <c r="G102" s="4">
        <f>IF(OR(INDEX($AH$2:$AH$1001,MATCH(ROWS($AG$2:AG102),$AG$2:$AG$1001,0),1)&gt;=100000,INDEX($AN$1005:$BO$1005,1,MATCH(COLUMNS($AN$1006:AS1006),$AN$1006:$BO$1006,0))&gt;=100000), " ",IF(INDEX($AN$2:$BO$1001,MATCH(ROWS($AG$2:AG102),$AG$2:$AG$1001,0),MATCH(COLUMNS($AN$1006:AS1006),$AN$1006:$BO$1006,0)), HYPERLINK("#",""), HYPERLINK(CONCATENATE("#Metadata!", ADDRESS(INDEX($AI$2:$AI$1001,MATCH(ROWS($AG$2:AG102),$AG$2:$AG$1001,0),0), INDEX($AN$1004:$BO$1004,1,MATCH(COLUMNS($AN$1006:AS1006),$AN$1006:$BO$1006,0)))),"Fix")))</f>
        <v>0</v>
      </c>
      <c r="H102" s="4">
        <f>IF(OR(INDEX($AH$2:$AH$1001,MATCH(ROWS($AG$2:AG102),$AG$2:$AG$1001,0),1)&gt;=100000,INDEX($AN$1005:$BO$1005,1,MATCH(COLUMNS($AN$1006:AT1006),$AN$1006:$BO$1006,0))&gt;=100000), " ",IF(INDEX($AN$2:$BO$1001,MATCH(ROWS($AG$2:AG102),$AG$2:$AG$1001,0),MATCH(COLUMNS($AN$1006:AT1006),$AN$1006:$BO$1006,0)), HYPERLINK("#",""), HYPERLINK(CONCATENATE("#Metadata!", ADDRESS(INDEX($AI$2:$AI$1001,MATCH(ROWS($AG$2:AG102),$AG$2:$AG$1001,0),0), INDEX($AN$1004:$BO$1004,1,MATCH(COLUMNS($AN$1006:AT1006),$AN$1006:$BO$1006,0)))),"Fix")))</f>
        <v>0</v>
      </c>
      <c r="I102" s="4">
        <f>IF(OR(INDEX($AH$2:$AH$1001,MATCH(ROWS($AG$2:AG102),$AG$2:$AG$1001,0),1)&gt;=100000,INDEX($AN$1005:$BO$1005,1,MATCH(COLUMNS($AN$1006:AU1006),$AN$1006:$BO$1006,0))&gt;=100000), " ",IF(INDEX($AN$2:$BO$1001,MATCH(ROWS($AG$2:AG102),$AG$2:$AG$1001,0),MATCH(COLUMNS($AN$1006:AU1006),$AN$1006:$BO$1006,0)), HYPERLINK("#",""), HYPERLINK(CONCATENATE("#Metadata!", ADDRESS(INDEX($AI$2:$AI$1001,MATCH(ROWS($AG$2:AG102),$AG$2:$AG$1001,0),0), INDEX($AN$1004:$BO$1004,1,MATCH(COLUMNS($AN$1006:AU1006),$AN$1006:$BO$1006,0)))),"Fix")))</f>
        <v>0</v>
      </c>
      <c r="J102" s="4">
        <f>IF(OR(INDEX($AH$2:$AH$1001,MATCH(ROWS($AG$2:AG102),$AG$2:$AG$1001,0),1)&gt;=100000,INDEX($AN$1005:$BO$1005,1,MATCH(COLUMNS($AN$1006:AV1006),$AN$1006:$BO$1006,0))&gt;=100000), " ",IF(INDEX($AN$2:$BO$1001,MATCH(ROWS($AG$2:AG102),$AG$2:$AG$1001,0),MATCH(COLUMNS($AN$1006:AV1006),$AN$1006:$BO$1006,0)), HYPERLINK("#",""), HYPERLINK(CONCATENATE("#Metadata!", ADDRESS(INDEX($AI$2:$AI$1001,MATCH(ROWS($AG$2:AG102),$AG$2:$AG$1001,0),0), INDEX($AN$1004:$BO$1004,1,MATCH(COLUMNS($AN$1006:AV1006),$AN$1006:$BO$1006,0)))),"Fix")))</f>
        <v>0</v>
      </c>
      <c r="K102" s="4">
        <f>IF(OR(INDEX($AH$2:$AH$1001,MATCH(ROWS($AG$2:AG102),$AG$2:$AG$1001,0),1)&gt;=100000,INDEX($AN$1005:$BO$1005,1,MATCH(COLUMNS($AN$1006:AW1006),$AN$1006:$BO$1006,0))&gt;=100000), " ",IF(INDEX($AN$2:$BO$1001,MATCH(ROWS($AG$2:AG102),$AG$2:$AG$1001,0),MATCH(COLUMNS($AN$1006:AW1006),$AN$1006:$BO$1006,0)), HYPERLINK("#",""), HYPERLINK(CONCATENATE("#Metadata!", ADDRESS(INDEX($AI$2:$AI$1001,MATCH(ROWS($AG$2:AG102),$AG$2:$AG$1001,0),0), INDEX($AN$1004:$BO$1004,1,MATCH(COLUMNS($AN$1006:AW1006),$AN$1006:$BO$1006,0)))),"Fix")))</f>
        <v>0</v>
      </c>
      <c r="L102" s="4">
        <f>IF(OR(INDEX($AH$2:$AH$1001,MATCH(ROWS($AG$2:AG102),$AG$2:$AG$1001,0),1)&gt;=100000,INDEX($AN$1005:$BO$1005,1,MATCH(COLUMNS($AN$1006:AX1006),$AN$1006:$BO$1006,0))&gt;=100000), " ",IF(INDEX($AN$2:$BO$1001,MATCH(ROWS($AG$2:AG102),$AG$2:$AG$1001,0),MATCH(COLUMNS($AN$1006:AX1006),$AN$1006:$BO$1006,0)), HYPERLINK("#",""), HYPERLINK(CONCATENATE("#Metadata!", ADDRESS(INDEX($AI$2:$AI$1001,MATCH(ROWS($AG$2:AG102),$AG$2:$AG$1001,0),0), INDEX($AN$1004:$BO$1004,1,MATCH(COLUMNS($AN$1006:AX1006),$AN$1006:$BO$1006,0)))),"Fix")))</f>
        <v>0</v>
      </c>
      <c r="M102" s="4">
        <f>IF(OR(INDEX($AH$2:$AH$1001,MATCH(ROWS($AG$2:AG102),$AG$2:$AG$1001,0),1)&gt;=100000,INDEX($AN$1005:$BO$1005,1,MATCH(COLUMNS($AN$1006:AY1006),$AN$1006:$BO$1006,0))&gt;=100000), " ",IF(INDEX($AN$2:$BO$1001,MATCH(ROWS($AG$2:AG102),$AG$2:$AG$1001,0),MATCH(COLUMNS($AN$1006:AY1006),$AN$1006:$BO$1006,0)), HYPERLINK("#",""), HYPERLINK(CONCATENATE("#Metadata!", ADDRESS(INDEX($AI$2:$AI$1001,MATCH(ROWS($AG$2:AG102),$AG$2:$AG$1001,0),0), INDEX($AN$1004:$BO$1004,1,MATCH(COLUMNS($AN$1006:AY1006),$AN$1006:$BO$1006,0)))),"Fix")))</f>
        <v>0</v>
      </c>
      <c r="N102" s="4">
        <f>IF(OR(INDEX($AH$2:$AH$1001,MATCH(ROWS($AG$2:AG102),$AG$2:$AG$1001,0),1)&gt;=100000,INDEX($AN$1005:$BO$1005,1,MATCH(COLUMNS($AN$1006:AZ1006),$AN$1006:$BO$1006,0))&gt;=100000), " ",IF(INDEX($AN$2:$BO$1001,MATCH(ROWS($AG$2:AG102),$AG$2:$AG$1001,0),MATCH(COLUMNS($AN$1006:AZ1006),$AN$1006:$BO$1006,0)), HYPERLINK("#",""), HYPERLINK(CONCATENATE("#Metadata!", ADDRESS(INDEX($AI$2:$AI$1001,MATCH(ROWS($AG$2:AG102),$AG$2:$AG$1001,0),0), INDEX($AN$1004:$BO$1004,1,MATCH(COLUMNS($AN$1006:AZ1006),$AN$1006:$BO$1006,0)))),"Fix")))</f>
        <v>0</v>
      </c>
      <c r="O102" s="4">
        <f>IF(OR(INDEX($AH$2:$AH$1001,MATCH(ROWS($AG$2:AG102),$AG$2:$AG$1001,0),1)&gt;=100000,INDEX($AN$1005:$BO$1005,1,MATCH(COLUMNS($AN$1006:BA1006),$AN$1006:$BO$1006,0))&gt;=100000), " ",IF(INDEX($AN$2:$BO$1001,MATCH(ROWS($AG$2:AG102),$AG$2:$AG$1001,0),MATCH(COLUMNS($AN$1006:BA1006),$AN$1006:$BO$1006,0)), HYPERLINK("#",""), HYPERLINK(CONCATENATE("#Metadata!", ADDRESS(INDEX($AI$2:$AI$1001,MATCH(ROWS($AG$2:AG102),$AG$2:$AG$1001,0),0), INDEX($AN$1004:$BO$1004,1,MATCH(COLUMNS($AN$1006:BA1006),$AN$1006:$BO$1006,0)))),"Fix")))</f>
        <v>0</v>
      </c>
      <c r="P102" s="4">
        <f>IF(OR(INDEX($AH$2:$AH$1001,MATCH(ROWS($AG$2:AG102),$AG$2:$AG$1001,0),1)&gt;=100000,INDEX($AN$1005:$BO$1005,1,MATCH(COLUMNS($AN$1006:BB1006),$AN$1006:$BO$1006,0))&gt;=100000), " ",IF(INDEX($AN$2:$BO$1001,MATCH(ROWS($AG$2:AG102),$AG$2:$AG$1001,0),MATCH(COLUMNS($AN$1006:BB1006),$AN$1006:$BO$1006,0)), HYPERLINK("#",""), HYPERLINK(CONCATENATE("#Metadata!", ADDRESS(INDEX($AI$2:$AI$1001,MATCH(ROWS($AG$2:AG102),$AG$2:$AG$1001,0),0), INDEX($AN$1004:$BO$1004,1,MATCH(COLUMNS($AN$1006:BB1006),$AN$1006:$BO$1006,0)))),"Fix")))</f>
        <v>0</v>
      </c>
      <c r="Q102" s="4">
        <f>IF(OR(INDEX($AH$2:$AH$1001,MATCH(ROWS($AG$2:AG102),$AG$2:$AG$1001,0),1)&gt;=100000,INDEX($AN$1005:$BO$1005,1,MATCH(COLUMNS($AN$1006:BC1006),$AN$1006:$BO$1006,0))&gt;=100000), " ",IF(INDEX($AN$2:$BO$1001,MATCH(ROWS($AG$2:AG102),$AG$2:$AG$1001,0),MATCH(COLUMNS($AN$1006:BC1006),$AN$1006:$BO$1006,0)), HYPERLINK("#",""), HYPERLINK(CONCATENATE("#Metadata!", ADDRESS(INDEX($AI$2:$AI$1001,MATCH(ROWS($AG$2:AG102),$AG$2:$AG$1001,0),0), INDEX($AN$1004:$BO$1004,1,MATCH(COLUMNS($AN$1006:BC1006),$AN$1006:$BO$1006,0)))),"Fix")))</f>
        <v>0</v>
      </c>
      <c r="R102" s="4">
        <f>IF(OR(INDEX($AH$2:$AH$1001,MATCH(ROWS($AG$2:AG102),$AG$2:$AG$1001,0),1)&gt;=100000,INDEX($AN$1005:$BO$1005,1,MATCH(COLUMNS($AN$1006:BD1006),$AN$1006:$BO$1006,0))&gt;=100000), " ",IF(INDEX($AN$2:$BO$1001,MATCH(ROWS($AG$2:AG102),$AG$2:$AG$1001,0),MATCH(COLUMNS($AN$1006:BD1006),$AN$1006:$BO$1006,0)), HYPERLINK("#",""), HYPERLINK(CONCATENATE("#Metadata!", ADDRESS(INDEX($AI$2:$AI$1001,MATCH(ROWS($AG$2:AG102),$AG$2:$AG$1001,0),0), INDEX($AN$1004:$BO$1004,1,MATCH(COLUMNS($AN$1006:BD1006),$AN$1006:$BO$1006,0)))),"Fix")))</f>
        <v>0</v>
      </c>
      <c r="S102" s="4">
        <f>IF(OR(INDEX($AH$2:$AH$1001,MATCH(ROWS($AG$2:AG102),$AG$2:$AG$1001,0),1)&gt;=100000,INDEX($AN$1005:$BO$1005,1,MATCH(COLUMNS($AN$1006:BE1006),$AN$1006:$BO$1006,0))&gt;=100000), " ",IF(INDEX($AN$2:$BO$1001,MATCH(ROWS($AG$2:AG102),$AG$2:$AG$1001,0),MATCH(COLUMNS($AN$1006:BE1006),$AN$1006:$BO$1006,0)), HYPERLINK("#",""), HYPERLINK(CONCATENATE("#Metadata!", ADDRESS(INDEX($AI$2:$AI$1001,MATCH(ROWS($AG$2:AG102),$AG$2:$AG$1001,0),0), INDEX($AN$1004:$BO$1004,1,MATCH(COLUMNS($AN$1006:BE1006),$AN$1006:$BO$1006,0)))),"Fix")))</f>
        <v>0</v>
      </c>
      <c r="T102" s="4">
        <f>IF(OR(INDEX($AH$2:$AH$1001,MATCH(ROWS($AG$2:AG102),$AG$2:$AG$1001,0),1)&gt;=100000,INDEX($AN$1005:$BO$1005,1,MATCH(COLUMNS($AN$1006:BF1006),$AN$1006:$BO$1006,0))&gt;=100000), " ",IF(INDEX($AN$2:$BO$1001,MATCH(ROWS($AG$2:AG102),$AG$2:$AG$1001,0),MATCH(COLUMNS($AN$1006:BF1006),$AN$1006:$BO$1006,0)), HYPERLINK("#",""), HYPERLINK(CONCATENATE("#Metadata!", ADDRESS(INDEX($AI$2:$AI$1001,MATCH(ROWS($AG$2:AG102),$AG$2:$AG$1001,0),0), INDEX($AN$1004:$BO$1004,1,MATCH(COLUMNS($AN$1006:BF1006),$AN$1006:$BO$1006,0)))),"Fix")))</f>
        <v>0</v>
      </c>
      <c r="U102" s="4">
        <f>IF(OR(INDEX($AH$2:$AH$1001,MATCH(ROWS($AG$2:AG102),$AG$2:$AG$1001,0),1)&gt;=100000,INDEX($AN$1005:$BO$1005,1,MATCH(COLUMNS($AN$1006:BG1006),$AN$1006:$BO$1006,0))&gt;=100000), " ",IF(INDEX($AN$2:$BO$1001,MATCH(ROWS($AG$2:AG102),$AG$2:$AG$1001,0),MATCH(COLUMNS($AN$1006:BG1006),$AN$1006:$BO$1006,0)), HYPERLINK("#",""), HYPERLINK(CONCATENATE("#Metadata!", ADDRESS(INDEX($AI$2:$AI$1001,MATCH(ROWS($AG$2:AG102),$AG$2:$AG$1001,0),0), INDEX($AN$1004:$BO$1004,1,MATCH(COLUMNS($AN$1006:BG1006),$AN$1006:$BO$1006,0)))),"Fix")))</f>
        <v>0</v>
      </c>
      <c r="V102" s="4">
        <f>IF(OR(INDEX($AH$2:$AH$1001,MATCH(ROWS($AG$2:AG102),$AG$2:$AG$1001,0),1)&gt;=100000,INDEX($AN$1005:$BO$1005,1,MATCH(COLUMNS($AN$1006:BH1006),$AN$1006:$BO$1006,0))&gt;=100000), " ",IF(INDEX($AN$2:$BO$1001,MATCH(ROWS($AG$2:AG102),$AG$2:$AG$1001,0),MATCH(COLUMNS($AN$1006:BH1006),$AN$1006:$BO$1006,0)), HYPERLINK("#",""), HYPERLINK(CONCATENATE("#Metadata!", ADDRESS(INDEX($AI$2:$AI$1001,MATCH(ROWS($AG$2:AG102),$AG$2:$AG$1001,0),0), INDEX($AN$1004:$BO$1004,1,MATCH(COLUMNS($AN$1006:BH1006),$AN$1006:$BO$1006,0)))),"Fix")))</f>
        <v>0</v>
      </c>
      <c r="W102" s="4">
        <f>IF(OR(INDEX($AH$2:$AH$1001,MATCH(ROWS($AG$2:AG102),$AG$2:$AG$1001,0),1)&gt;=100000,INDEX($AN$1005:$BO$1005,1,MATCH(COLUMNS($AN$1006:BI1006),$AN$1006:$BO$1006,0))&gt;=100000), " ",IF(INDEX($AN$2:$BO$1001,MATCH(ROWS($AG$2:AG102),$AG$2:$AG$1001,0),MATCH(COLUMNS($AN$1006:BI1006),$AN$1006:$BO$1006,0)), HYPERLINK("#",""), HYPERLINK(CONCATENATE("#Metadata!", ADDRESS(INDEX($AI$2:$AI$1001,MATCH(ROWS($AG$2:AG102),$AG$2:$AG$1001,0),0), INDEX($AN$1004:$BO$1004,1,MATCH(COLUMNS($AN$1006:BI1006),$AN$1006:$BO$1006,0)))),"Fix")))</f>
        <v>0</v>
      </c>
      <c r="X102" s="4">
        <f>IF(OR(INDEX($AH$2:$AH$1001,MATCH(ROWS($AG$2:AG102),$AG$2:$AG$1001,0),1)&gt;=100000,INDEX($AN$1005:$BO$1005,1,MATCH(COLUMNS($AN$1006:BJ1006),$AN$1006:$BO$1006,0))&gt;=100000), " ",IF(INDEX($AN$2:$BO$1001,MATCH(ROWS($AG$2:AG102),$AG$2:$AG$1001,0),MATCH(COLUMNS($AN$1006:BJ1006),$AN$1006:$BO$1006,0)), HYPERLINK("#",""), HYPERLINK(CONCATENATE("#Metadata!", ADDRESS(INDEX($AI$2:$AI$1001,MATCH(ROWS($AG$2:AG102),$AG$2:$AG$1001,0),0), INDEX($AN$1004:$BO$1004,1,MATCH(COLUMNS($AN$1006:BJ1006),$AN$1006:$BO$1006,0)))),"Fix")))</f>
        <v>0</v>
      </c>
      <c r="Y102" s="4">
        <f>IF(OR(INDEX($AH$2:$AH$1001,MATCH(ROWS($AG$2:AG102),$AG$2:$AG$1001,0),1)&gt;=100000,INDEX($AN$1005:$BO$1005,1,MATCH(COLUMNS($AN$1006:BK1006),$AN$1006:$BO$1006,0))&gt;=100000), " ",IF(INDEX($AN$2:$BO$1001,MATCH(ROWS($AG$2:AG102),$AG$2:$AG$1001,0),MATCH(COLUMNS($AN$1006:BK1006),$AN$1006:$BO$1006,0)), HYPERLINK("#",""), HYPERLINK(CONCATENATE("#Metadata!", ADDRESS(INDEX($AI$2:$AI$1001,MATCH(ROWS($AG$2:AG102),$AG$2:$AG$1001,0),0), INDEX($AN$1004:$BO$1004,1,MATCH(COLUMNS($AN$1006:BK1006),$AN$1006:$BO$1006,0)))),"Fix")))</f>
        <v>0</v>
      </c>
      <c r="Z102" s="4">
        <f>IF(OR(INDEX($AH$2:$AH$1001,MATCH(ROWS($AG$2:AG102),$AG$2:$AG$1001,0),1)&gt;=100000,INDEX($AN$1005:$BO$1005,1,MATCH(COLUMNS($AN$1006:BL1006),$AN$1006:$BO$1006,0))&gt;=100000), " ",IF(INDEX($AN$2:$BO$1001,MATCH(ROWS($AG$2:AG102),$AG$2:$AG$1001,0),MATCH(COLUMNS($AN$1006:BL1006),$AN$1006:$BO$1006,0)), HYPERLINK("#",""), HYPERLINK(CONCATENATE("#Metadata!", ADDRESS(INDEX($AI$2:$AI$1001,MATCH(ROWS($AG$2:AG102),$AG$2:$AG$1001,0),0), INDEX($AN$1004:$BO$1004,1,MATCH(COLUMNS($AN$1006:BL1006),$AN$1006:$BO$1006,0)))),"Fix")))</f>
        <v>0</v>
      </c>
      <c r="AA102" s="4">
        <f>IF(OR(INDEX($AH$2:$AH$1001,MATCH(ROWS($AG$2:AG102),$AG$2:$AG$1001,0),1)&gt;=100000,INDEX($AN$1005:$BO$1005,1,MATCH(COLUMNS($AN$1006:BM1006),$AN$1006:$BO$1006,0))&gt;=100000), " ",IF(INDEX($AN$2:$BO$1001,MATCH(ROWS($AG$2:AG102),$AG$2:$AG$1001,0),MATCH(COLUMNS($AN$1006:BM1006),$AN$1006:$BO$1006,0)), HYPERLINK("#",""), HYPERLINK(CONCATENATE("#Metadata!", ADDRESS(INDEX($AI$2:$AI$1001,MATCH(ROWS($AG$2:AG102),$AG$2:$AG$1001,0),0), INDEX($AN$1004:$BO$1004,1,MATCH(COLUMNS($AN$1006:BM1006),$AN$1006:$BO$1006,0)))),"Fix")))</f>
        <v>0</v>
      </c>
      <c r="AB102" s="4">
        <f>IF(OR(INDEX($AH$2:$AH$1001,MATCH(ROWS($AG$2:AG102),$AG$2:$AG$1001,0),1)&gt;=100000,INDEX($AN$1005:$BO$1005,1,MATCH(COLUMNS($AN$1006:BN1006),$AN$1006:$BO$1006,0))&gt;=100000), " ",IF(INDEX($AN$2:$BO$1001,MATCH(ROWS($AG$2:AG102),$AG$2:$AG$1001,0),MATCH(COLUMNS($AN$1006:BN1006),$AN$1006:$BO$1006,0)), HYPERLINK("#",""), HYPERLINK(CONCATENATE("#Metadata!", ADDRESS(INDEX($AI$2:$AI$1001,MATCH(ROWS($AG$2:AG102),$AG$2:$AG$1001,0),0), INDEX($AN$1004:$BO$1004,1,MATCH(COLUMNS($AN$1006:BN1006),$AN$1006:$BO$1006,0)))),"Fix")))</f>
        <v>0</v>
      </c>
      <c r="AC102" s="4">
        <f>IF(OR(INDEX($AH$2:$AH$1001,MATCH(ROWS($AG$2:AG102),$AG$2:$AG$1001,0),1)&gt;=100000,INDEX($AN$1005:$BO$1005,1,MATCH(COLUMNS($AN$1006:BO1006),$AN$1006:$BO$1006,0))&gt;=100000), " ",IF(INDEX($AN$2:$BO$1001,MATCH(ROWS($AG$2:AG102),$AG$2:$AG$1001,0),MATCH(COLUMNS($AN$1006:BO1006),$AN$1006:$BO$1006,0)), HYPERLINK("#",""), HYPERLINK(CONCATENATE("#Metadata!", ADDRESS(INDEX($AI$2:$AI$1001,MATCH(ROWS($AG$2:AG102),$AG$2:$AG$1001,0),0), INDEX($AN$1004:$BO$1004,1,MATCH(COLUMNS($AN$1006:BO1006),$AN$1006:$BO$1006,0)))),"Fix")))</f>
        <v>0</v>
      </c>
      <c r="AG102">
        <v>0</v>
      </c>
      <c r="AH102">
        <v>0</v>
      </c>
      <c r="AI102">
        <v>0</v>
      </c>
      <c r="AJ102">
        <f>IF(AK102,TRUE,AND(AN102:BO102))</f>
        <v>0</v>
      </c>
      <c r="AK102">
        <f>COUNTBLANK(Metadata!B102:AC102)=COLUMNS(Metadata!B102:AC102)</f>
        <v>0</v>
      </c>
      <c r="AL102">
        <v>0</v>
      </c>
      <c r="AN102">
        <f>AND(IF(Metadata!B102="",FALSE,TRUE),COUNTIF(Metadata!B:B, Metadata!B102) = 1,NOT(ISERROR(SUMPRODUCT(SEARCH(MID(Metadata!B102,ROW(INDIRECT("1:"&amp;LEN(Metadata!B102))), 1),"0123456789abcdefghijklmnopqrstuvwxyzABCDEFGHIJKLMNOPQRSTUVWXYZ.")))))</f>
        <v>0</v>
      </c>
      <c r="AO102">
        <f>IF(Metadata!C102="",FALSE,TRUE)</f>
        <v>0</v>
      </c>
      <c r="AP102">
        <f>IF(Metadata!D102="",FALSE,TRUE)</f>
        <v>0</v>
      </c>
      <c r="AQ102">
        <f>OR(AND(IF(Metadata!E102="",FALSE,TRUE),OR(exact(Metadata!E102,"not collected"),exact(Metadata!E102,"not provided"),exact(Metadata!E102,"restricted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R102">
        <f>IF(Metadata!F102="",FALSE,TRUE)</f>
        <v>0</v>
      </c>
      <c r="AS102">
        <f>OR(AND(IF(Metadata!G102="",FALSE,TRUE),OR(exact(Metadata!G102,"not collected"),exact(Metadata!G102,"not provided"))),AND(IF(Metadata!G102="",FALSE,TRUE),OR(exact(Metadata!G102,"TRUE"),exact(Metadata!G102,"FALSE"))))</f>
        <v>0</v>
      </c>
      <c r="AT102">
        <f>OR(AND(IF(Metadata!H102="",FALSE,TRUE),OR(exact(Metadata!H102,"not collected"),exact(Metadata!H102,"not provided"),exact(Metadata!H102,"restricted access"))),AND(IF(Metadata!H102="",FALSE,ISNUMBER(VALUE(Metadata!H102))),Metadata!H102&gt;=-413.0))</f>
        <v>0</v>
      </c>
      <c r="AU102">
        <f>AND(IF(Metadata!I102="",FALSE,TRUE),exact(Metadata!I102,"meters"))</f>
        <v>0</v>
      </c>
      <c r="AV102">
        <f>AND(IF(Metadata!J102="",FALSE,TRUE),OR(exact(Metadata!J102,"Host-associated"),exact(Metadata!J102,"Free-living")))</f>
        <v>0</v>
      </c>
      <c r="AW102">
        <f>AND(IF(Metadata!K102="",FALSE,TRUE),OR(exact(Metadata!K102,"Animal"),exact(Metadata!K102,"Fungus"),exact(Metadata!K102,"Plant"),exact(Metadata!K102,"Saline"),exact(Metadata!K102,"Non-saline")))</f>
        <v>0</v>
      </c>
      <c r="AX102">
        <f>AND(IF(Metadata!L102="",FALSE,TRUE),OR(exact(Metadata!L102,"Plant secretion"),exact(Metadata!L102,"Plant rhizosphere"),exact(Metadata!L102,"Plant surface"),exact(Metadata!L102,"Plant corpus"),exact(Metadata!L102,"Fungus surface"),exact(Metadata!L102,"Fungus corpus"),exact(Metadata!L102,"Animal surface"),exact(Metadata!L102,"Animal proximal gut"),exact(Metadata!L102,"Animal corpus"),exact(Metadata!L102,"Animal distal gut"),exact(Metadata!L102,"Animal secretion"),exact(Metadata!L102,"Sub-surface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Y102">
        <f>IF(Metadata!M102="",FALSE,TRUE)</f>
        <v>0</v>
      </c>
      <c r="AZ102">
        <f>IF(Metadata!N102="",FALSE,TRUE)</f>
        <v>0</v>
      </c>
      <c r="BA102">
        <f>IF(Metadata!O102="",FALSE,TRUE)</f>
        <v>0</v>
      </c>
      <c r="BB102">
        <f>OR(AND(IF(Metadata!P102="",FALSE,TRUE),OR(exact(Metadata!P102,"not collected"),exact(Metadata!P102,"not provided"),exact(Metadata!P102,"restricted access"))),AND(IF(Metadata!P102="",FALSE,TRUE),OR(exact(Metadata!P102,"air"),exact(Metadata!P102,"built environment"),exact(Metadata!P102,"host-associated"),exact(Metadata!P102,"human-associated"),exact(Metadata!P102,"human-skin"),exact(Metadata!P102,"human-oral"),exact(Metadata!P102,"human-gut"),exact(Metadata!P102,"human-vaginal"),exact(Metadata!P102,"microbial mat/biofilm"),exact(Metadata!P102,"misc environment"),exact(Metadata!P102,"plant-associated"),exact(Metadata!P102,"sediment"),exact(Metadata!P102,"soil"),exact(Metadata!P102,"wastewater/sludge"),exact(Metadata!P102,"water"))))</f>
        <v>0</v>
      </c>
      <c r="BC102">
        <f>IF(Metadata!Q102="",FALSE,TRUE)</f>
        <v>0</v>
      </c>
      <c r="BD102">
        <f>IF(Metadata!R102="",FALSE,TRUE)</f>
        <v>0</v>
      </c>
      <c r="BE102">
        <f>OR(AND(IF(Metadata!S102="",FALSE,TRUE),OR(exact(Metadata!S102,"not collected"),exact(Metadata!S102,"not provided"),exact(Metadata!S102,"restricted access"))),AND(IF(Metadata!S102="",FALSE,ISNUMBER(VALUE(Metadata!S102))),Metadata!S102&gt;=-90.00,Metadata!S102&lt;=90.00))</f>
        <v>0</v>
      </c>
      <c r="BF102">
        <f>AND(IF(Metadata!T102="",FALSE,TRUE),exact(Metadata!T102,"Decimal degrees"))</f>
        <v>0</v>
      </c>
      <c r="BG102">
        <f>OR(AND(IF(Metadata!U102="",FALSE,TRUE),OR(exact(Metadata!U102,"not collected"),exact(Metadata!U102,"not provided"),exact(Metadata!U102,"restricted access"))),AND(IF(Metadata!U102="",FALSE,ISNUMBER(VALUE(Metadata!U102))),Metadata!U102&gt;=-180.00,Metadata!U102&lt;=180.00))</f>
        <v>0</v>
      </c>
      <c r="BH102">
        <f>AND(IF(Metadata!V102="",FALSE,TRUE),exact(Metadata!V102,"Decimal degrees"))</f>
        <v>0</v>
      </c>
      <c r="BI102">
        <f>IF(Metadata!W102="",FALSE,TRUE)</f>
        <v>0</v>
      </c>
      <c r="BJ102">
        <f>OR(AND(IF(Metadata!X102="",FALSE,TRUE),OR(exact(Metadata!X102,"not collected"),exact(Metadata!X102,"not provided"),exact(Metadata!X102,"restricted access"))),AND(IF(Metadata!X102="",FALSE,TRUE),OR(exact(Metadata!X102,"TRUE"),exact(Metadata!X102,"FALSE"))))</f>
        <v>0</v>
      </c>
      <c r="BK102">
        <f>AND(IF(Metadata!Y102="",FALSE,TRUE),exact(Metadata!Y102,"other"))</f>
        <v>0</v>
      </c>
      <c r="BL102">
        <f>IF(Metadata!Z102="",FALSE,TRUE)</f>
        <v>0</v>
      </c>
      <c r="BM102">
        <f>OR(AND(IF(Metadata!AA102="",FALSE,TRUE),OR(exact(Metadata!AA102,"not collected"),exact(Metadata!AA102,"not provided"))),AND(IF(Metadata!AA102="",FALSE,IF(ISERROR(INT(Metadata!AA102)),FALSE,INT(Metadata!AA102)=Metadata!AA102)),Metadata!AA102&gt;0))</f>
        <v>0</v>
      </c>
      <c r="BN102">
        <f>AND(IF(Metadata!AB102="",FALSE,TRUE),exact(Metadata!AB102,"Not applicable"))</f>
        <v>0</v>
      </c>
      <c r="BO102">
        <f>IF(Metadata!AC102="",FALSE,TRUE)</f>
        <v>0</v>
      </c>
    </row>
    <row r="103" spans="1:67">
      <c r="A103" s="5">
        <f>IF(B103=" "," ",HYPERLINK(CONCATENATE("#metadata!",ADDRESS(INDEX($AI$2:$AI$1001,MATCH(ROWS($AG$2:AG103),$AG$2:$AG$1001,0),0),1)),INDEX($AL$2:$AL$1001,MATCH(ROWS($AG$2:AG103),$AG$2:$AG$1001,0),0)))</f>
        <v>0</v>
      </c>
      <c r="B103" s="4">
        <f>IF(OR(INDEX($AH$2:$AH$1001,MATCH(ROWS($AG$2:AG103),$AG$2:$AG$1001,0),1)&gt;=100000,INDEX($AN$1005:$BO$1005,1,MATCH(COLUMNS($AN$1006:AN1006),$AN$1006:$BO$1006,0))&gt;=100000), " ",IF(INDEX($AN$2:$BO$1001,MATCH(ROWS($AG$2:AG103),$AG$2:$AG$1001,0),MATCH(COLUMNS($AN$1006:AN1006),$AN$1006:$BO$1006,0)), HYPERLINK("#",""), HYPERLINK(CONCATENATE("#Metadata!", ADDRESS(INDEX($AI$2:$AI$1001,MATCH(ROWS($AG$2:AG103),$AG$2:$AG$1001,0),0), INDEX($AN$1004:$BO$1004,1,MATCH(COLUMNS($AN$1006:AN1006),$AN$1006:$BO$1006,0)))),"Fix")))</f>
        <v>0</v>
      </c>
      <c r="C103" s="4">
        <f>IF(OR(INDEX($AH$2:$AH$1001,MATCH(ROWS($AG$2:AG103),$AG$2:$AG$1001,0),1)&gt;=100000,INDEX($AN$1005:$BO$1005,1,MATCH(COLUMNS($AN$1006:AO1006),$AN$1006:$BO$1006,0))&gt;=100000), " ",IF(INDEX($AN$2:$BO$1001,MATCH(ROWS($AG$2:AG103),$AG$2:$AG$1001,0),MATCH(COLUMNS($AN$1006:AO1006),$AN$1006:$BO$1006,0)), HYPERLINK("#",""), HYPERLINK(CONCATENATE("#Metadata!", ADDRESS(INDEX($AI$2:$AI$1001,MATCH(ROWS($AG$2:AG103),$AG$2:$AG$1001,0),0), INDEX($AN$1004:$BO$1004,1,MATCH(COLUMNS($AN$1006:AO1006),$AN$1006:$BO$1006,0)))),"Fix")))</f>
        <v>0</v>
      </c>
      <c r="D103" s="4">
        <f>IF(OR(INDEX($AH$2:$AH$1001,MATCH(ROWS($AG$2:AG103),$AG$2:$AG$1001,0),1)&gt;=100000,INDEX($AN$1005:$BO$1005,1,MATCH(COLUMNS($AN$1006:AP1006),$AN$1006:$BO$1006,0))&gt;=100000), " ",IF(INDEX($AN$2:$BO$1001,MATCH(ROWS($AG$2:AG103),$AG$2:$AG$1001,0),MATCH(COLUMNS($AN$1006:AP1006),$AN$1006:$BO$1006,0)), HYPERLINK("#",""), HYPERLINK(CONCATENATE("#Metadata!", ADDRESS(INDEX($AI$2:$AI$1001,MATCH(ROWS($AG$2:AG103),$AG$2:$AG$1001,0),0), INDEX($AN$1004:$BO$1004,1,MATCH(COLUMNS($AN$1006:AP1006),$AN$1006:$BO$1006,0)))),"Fix")))</f>
        <v>0</v>
      </c>
      <c r="E103" s="4">
        <f>IF(OR(INDEX($AH$2:$AH$1001,MATCH(ROWS($AG$2:AG103),$AG$2:$AG$1001,0),1)&gt;=100000,INDEX($AN$1005:$BO$1005,1,MATCH(COLUMNS($AN$1006:AQ1006),$AN$1006:$BO$1006,0))&gt;=100000), " ",IF(INDEX($AN$2:$BO$1001,MATCH(ROWS($AG$2:AG103),$AG$2:$AG$1001,0),MATCH(COLUMNS($AN$1006:AQ1006),$AN$1006:$BO$1006,0)), HYPERLINK("#",""), HYPERLINK(CONCATENATE("#Metadata!", ADDRESS(INDEX($AI$2:$AI$1001,MATCH(ROWS($AG$2:AG103),$AG$2:$AG$1001,0),0), INDEX($AN$1004:$BO$1004,1,MATCH(COLUMNS($AN$1006:AQ1006),$AN$1006:$BO$1006,0)))),"Fix")))</f>
        <v>0</v>
      </c>
      <c r="F103" s="4">
        <f>IF(OR(INDEX($AH$2:$AH$1001,MATCH(ROWS($AG$2:AG103),$AG$2:$AG$1001,0),1)&gt;=100000,INDEX($AN$1005:$BO$1005,1,MATCH(COLUMNS($AN$1006:AR1006),$AN$1006:$BO$1006,0))&gt;=100000), " ",IF(INDEX($AN$2:$BO$1001,MATCH(ROWS($AG$2:AG103),$AG$2:$AG$1001,0),MATCH(COLUMNS($AN$1006:AR1006),$AN$1006:$BO$1006,0)), HYPERLINK("#",""), HYPERLINK(CONCATENATE("#Metadata!", ADDRESS(INDEX($AI$2:$AI$1001,MATCH(ROWS($AG$2:AG103),$AG$2:$AG$1001,0),0), INDEX($AN$1004:$BO$1004,1,MATCH(COLUMNS($AN$1006:AR1006),$AN$1006:$BO$1006,0)))),"Fix")))</f>
        <v>0</v>
      </c>
      <c r="G103" s="4">
        <f>IF(OR(INDEX($AH$2:$AH$1001,MATCH(ROWS($AG$2:AG103),$AG$2:$AG$1001,0),1)&gt;=100000,INDEX($AN$1005:$BO$1005,1,MATCH(COLUMNS($AN$1006:AS1006),$AN$1006:$BO$1006,0))&gt;=100000), " ",IF(INDEX($AN$2:$BO$1001,MATCH(ROWS($AG$2:AG103),$AG$2:$AG$1001,0),MATCH(COLUMNS($AN$1006:AS1006),$AN$1006:$BO$1006,0)), HYPERLINK("#",""), HYPERLINK(CONCATENATE("#Metadata!", ADDRESS(INDEX($AI$2:$AI$1001,MATCH(ROWS($AG$2:AG103),$AG$2:$AG$1001,0),0), INDEX($AN$1004:$BO$1004,1,MATCH(COLUMNS($AN$1006:AS1006),$AN$1006:$BO$1006,0)))),"Fix")))</f>
        <v>0</v>
      </c>
      <c r="H103" s="4">
        <f>IF(OR(INDEX($AH$2:$AH$1001,MATCH(ROWS($AG$2:AG103),$AG$2:$AG$1001,0),1)&gt;=100000,INDEX($AN$1005:$BO$1005,1,MATCH(COLUMNS($AN$1006:AT1006),$AN$1006:$BO$1006,0))&gt;=100000), " ",IF(INDEX($AN$2:$BO$1001,MATCH(ROWS($AG$2:AG103),$AG$2:$AG$1001,0),MATCH(COLUMNS($AN$1006:AT1006),$AN$1006:$BO$1006,0)), HYPERLINK("#",""), HYPERLINK(CONCATENATE("#Metadata!", ADDRESS(INDEX($AI$2:$AI$1001,MATCH(ROWS($AG$2:AG103),$AG$2:$AG$1001,0),0), INDEX($AN$1004:$BO$1004,1,MATCH(COLUMNS($AN$1006:AT1006),$AN$1006:$BO$1006,0)))),"Fix")))</f>
        <v>0</v>
      </c>
      <c r="I103" s="4">
        <f>IF(OR(INDEX($AH$2:$AH$1001,MATCH(ROWS($AG$2:AG103),$AG$2:$AG$1001,0),1)&gt;=100000,INDEX($AN$1005:$BO$1005,1,MATCH(COLUMNS($AN$1006:AU1006),$AN$1006:$BO$1006,0))&gt;=100000), " ",IF(INDEX($AN$2:$BO$1001,MATCH(ROWS($AG$2:AG103),$AG$2:$AG$1001,0),MATCH(COLUMNS($AN$1006:AU1006),$AN$1006:$BO$1006,0)), HYPERLINK("#",""), HYPERLINK(CONCATENATE("#Metadata!", ADDRESS(INDEX($AI$2:$AI$1001,MATCH(ROWS($AG$2:AG103),$AG$2:$AG$1001,0),0), INDEX($AN$1004:$BO$1004,1,MATCH(COLUMNS($AN$1006:AU1006),$AN$1006:$BO$1006,0)))),"Fix")))</f>
        <v>0</v>
      </c>
      <c r="J103" s="4">
        <f>IF(OR(INDEX($AH$2:$AH$1001,MATCH(ROWS($AG$2:AG103),$AG$2:$AG$1001,0),1)&gt;=100000,INDEX($AN$1005:$BO$1005,1,MATCH(COLUMNS($AN$1006:AV1006),$AN$1006:$BO$1006,0))&gt;=100000), " ",IF(INDEX($AN$2:$BO$1001,MATCH(ROWS($AG$2:AG103),$AG$2:$AG$1001,0),MATCH(COLUMNS($AN$1006:AV1006),$AN$1006:$BO$1006,0)), HYPERLINK("#",""), HYPERLINK(CONCATENATE("#Metadata!", ADDRESS(INDEX($AI$2:$AI$1001,MATCH(ROWS($AG$2:AG103),$AG$2:$AG$1001,0),0), INDEX($AN$1004:$BO$1004,1,MATCH(COLUMNS($AN$1006:AV1006),$AN$1006:$BO$1006,0)))),"Fix")))</f>
        <v>0</v>
      </c>
      <c r="K103" s="4">
        <f>IF(OR(INDEX($AH$2:$AH$1001,MATCH(ROWS($AG$2:AG103),$AG$2:$AG$1001,0),1)&gt;=100000,INDEX($AN$1005:$BO$1005,1,MATCH(COLUMNS($AN$1006:AW1006),$AN$1006:$BO$1006,0))&gt;=100000), " ",IF(INDEX($AN$2:$BO$1001,MATCH(ROWS($AG$2:AG103),$AG$2:$AG$1001,0),MATCH(COLUMNS($AN$1006:AW1006),$AN$1006:$BO$1006,0)), HYPERLINK("#",""), HYPERLINK(CONCATENATE("#Metadata!", ADDRESS(INDEX($AI$2:$AI$1001,MATCH(ROWS($AG$2:AG103),$AG$2:$AG$1001,0),0), INDEX($AN$1004:$BO$1004,1,MATCH(COLUMNS($AN$1006:AW1006),$AN$1006:$BO$1006,0)))),"Fix")))</f>
        <v>0</v>
      </c>
      <c r="L103" s="4">
        <f>IF(OR(INDEX($AH$2:$AH$1001,MATCH(ROWS($AG$2:AG103),$AG$2:$AG$1001,0),1)&gt;=100000,INDEX($AN$1005:$BO$1005,1,MATCH(COLUMNS($AN$1006:AX1006),$AN$1006:$BO$1006,0))&gt;=100000), " ",IF(INDEX($AN$2:$BO$1001,MATCH(ROWS($AG$2:AG103),$AG$2:$AG$1001,0),MATCH(COLUMNS($AN$1006:AX1006),$AN$1006:$BO$1006,0)), HYPERLINK("#",""), HYPERLINK(CONCATENATE("#Metadata!", ADDRESS(INDEX($AI$2:$AI$1001,MATCH(ROWS($AG$2:AG103),$AG$2:$AG$1001,0),0), INDEX($AN$1004:$BO$1004,1,MATCH(COLUMNS($AN$1006:AX1006),$AN$1006:$BO$1006,0)))),"Fix")))</f>
        <v>0</v>
      </c>
      <c r="M103" s="4">
        <f>IF(OR(INDEX($AH$2:$AH$1001,MATCH(ROWS($AG$2:AG103),$AG$2:$AG$1001,0),1)&gt;=100000,INDEX($AN$1005:$BO$1005,1,MATCH(COLUMNS($AN$1006:AY1006),$AN$1006:$BO$1006,0))&gt;=100000), " ",IF(INDEX($AN$2:$BO$1001,MATCH(ROWS($AG$2:AG103),$AG$2:$AG$1001,0),MATCH(COLUMNS($AN$1006:AY1006),$AN$1006:$BO$1006,0)), HYPERLINK("#",""), HYPERLINK(CONCATENATE("#Metadata!", ADDRESS(INDEX($AI$2:$AI$1001,MATCH(ROWS($AG$2:AG103),$AG$2:$AG$1001,0),0), INDEX($AN$1004:$BO$1004,1,MATCH(COLUMNS($AN$1006:AY1006),$AN$1006:$BO$1006,0)))),"Fix")))</f>
        <v>0</v>
      </c>
      <c r="N103" s="4">
        <f>IF(OR(INDEX($AH$2:$AH$1001,MATCH(ROWS($AG$2:AG103),$AG$2:$AG$1001,0),1)&gt;=100000,INDEX($AN$1005:$BO$1005,1,MATCH(COLUMNS($AN$1006:AZ1006),$AN$1006:$BO$1006,0))&gt;=100000), " ",IF(INDEX($AN$2:$BO$1001,MATCH(ROWS($AG$2:AG103),$AG$2:$AG$1001,0),MATCH(COLUMNS($AN$1006:AZ1006),$AN$1006:$BO$1006,0)), HYPERLINK("#",""), HYPERLINK(CONCATENATE("#Metadata!", ADDRESS(INDEX($AI$2:$AI$1001,MATCH(ROWS($AG$2:AG103),$AG$2:$AG$1001,0),0), INDEX($AN$1004:$BO$1004,1,MATCH(COLUMNS($AN$1006:AZ1006),$AN$1006:$BO$1006,0)))),"Fix")))</f>
        <v>0</v>
      </c>
      <c r="O103" s="4">
        <f>IF(OR(INDEX($AH$2:$AH$1001,MATCH(ROWS($AG$2:AG103),$AG$2:$AG$1001,0),1)&gt;=100000,INDEX($AN$1005:$BO$1005,1,MATCH(COLUMNS($AN$1006:BA1006),$AN$1006:$BO$1006,0))&gt;=100000), " ",IF(INDEX($AN$2:$BO$1001,MATCH(ROWS($AG$2:AG103),$AG$2:$AG$1001,0),MATCH(COLUMNS($AN$1006:BA1006),$AN$1006:$BO$1006,0)), HYPERLINK("#",""), HYPERLINK(CONCATENATE("#Metadata!", ADDRESS(INDEX($AI$2:$AI$1001,MATCH(ROWS($AG$2:AG103),$AG$2:$AG$1001,0),0), INDEX($AN$1004:$BO$1004,1,MATCH(COLUMNS($AN$1006:BA1006),$AN$1006:$BO$1006,0)))),"Fix")))</f>
        <v>0</v>
      </c>
      <c r="P103" s="4">
        <f>IF(OR(INDEX($AH$2:$AH$1001,MATCH(ROWS($AG$2:AG103),$AG$2:$AG$1001,0),1)&gt;=100000,INDEX($AN$1005:$BO$1005,1,MATCH(COLUMNS($AN$1006:BB1006),$AN$1006:$BO$1006,0))&gt;=100000), " ",IF(INDEX($AN$2:$BO$1001,MATCH(ROWS($AG$2:AG103),$AG$2:$AG$1001,0),MATCH(COLUMNS($AN$1006:BB1006),$AN$1006:$BO$1006,0)), HYPERLINK("#",""), HYPERLINK(CONCATENATE("#Metadata!", ADDRESS(INDEX($AI$2:$AI$1001,MATCH(ROWS($AG$2:AG103),$AG$2:$AG$1001,0),0), INDEX($AN$1004:$BO$1004,1,MATCH(COLUMNS($AN$1006:BB1006),$AN$1006:$BO$1006,0)))),"Fix")))</f>
        <v>0</v>
      </c>
      <c r="Q103" s="4">
        <f>IF(OR(INDEX($AH$2:$AH$1001,MATCH(ROWS($AG$2:AG103),$AG$2:$AG$1001,0),1)&gt;=100000,INDEX($AN$1005:$BO$1005,1,MATCH(COLUMNS($AN$1006:BC1006),$AN$1006:$BO$1006,0))&gt;=100000), " ",IF(INDEX($AN$2:$BO$1001,MATCH(ROWS($AG$2:AG103),$AG$2:$AG$1001,0),MATCH(COLUMNS($AN$1006:BC1006),$AN$1006:$BO$1006,0)), HYPERLINK("#",""), HYPERLINK(CONCATENATE("#Metadata!", ADDRESS(INDEX($AI$2:$AI$1001,MATCH(ROWS($AG$2:AG103),$AG$2:$AG$1001,0),0), INDEX($AN$1004:$BO$1004,1,MATCH(COLUMNS($AN$1006:BC1006),$AN$1006:$BO$1006,0)))),"Fix")))</f>
        <v>0</v>
      </c>
      <c r="R103" s="4">
        <f>IF(OR(INDEX($AH$2:$AH$1001,MATCH(ROWS($AG$2:AG103),$AG$2:$AG$1001,0),1)&gt;=100000,INDEX($AN$1005:$BO$1005,1,MATCH(COLUMNS($AN$1006:BD1006),$AN$1006:$BO$1006,0))&gt;=100000), " ",IF(INDEX($AN$2:$BO$1001,MATCH(ROWS($AG$2:AG103),$AG$2:$AG$1001,0),MATCH(COLUMNS($AN$1006:BD1006),$AN$1006:$BO$1006,0)), HYPERLINK("#",""), HYPERLINK(CONCATENATE("#Metadata!", ADDRESS(INDEX($AI$2:$AI$1001,MATCH(ROWS($AG$2:AG103),$AG$2:$AG$1001,0),0), INDEX($AN$1004:$BO$1004,1,MATCH(COLUMNS($AN$1006:BD1006),$AN$1006:$BO$1006,0)))),"Fix")))</f>
        <v>0</v>
      </c>
      <c r="S103" s="4">
        <f>IF(OR(INDEX($AH$2:$AH$1001,MATCH(ROWS($AG$2:AG103),$AG$2:$AG$1001,0),1)&gt;=100000,INDEX($AN$1005:$BO$1005,1,MATCH(COLUMNS($AN$1006:BE1006),$AN$1006:$BO$1006,0))&gt;=100000), " ",IF(INDEX($AN$2:$BO$1001,MATCH(ROWS($AG$2:AG103),$AG$2:$AG$1001,0),MATCH(COLUMNS($AN$1006:BE1006),$AN$1006:$BO$1006,0)), HYPERLINK("#",""), HYPERLINK(CONCATENATE("#Metadata!", ADDRESS(INDEX($AI$2:$AI$1001,MATCH(ROWS($AG$2:AG103),$AG$2:$AG$1001,0),0), INDEX($AN$1004:$BO$1004,1,MATCH(COLUMNS($AN$1006:BE1006),$AN$1006:$BO$1006,0)))),"Fix")))</f>
        <v>0</v>
      </c>
      <c r="T103" s="4">
        <f>IF(OR(INDEX($AH$2:$AH$1001,MATCH(ROWS($AG$2:AG103),$AG$2:$AG$1001,0),1)&gt;=100000,INDEX($AN$1005:$BO$1005,1,MATCH(COLUMNS($AN$1006:BF1006),$AN$1006:$BO$1006,0))&gt;=100000), " ",IF(INDEX($AN$2:$BO$1001,MATCH(ROWS($AG$2:AG103),$AG$2:$AG$1001,0),MATCH(COLUMNS($AN$1006:BF1006),$AN$1006:$BO$1006,0)), HYPERLINK("#",""), HYPERLINK(CONCATENATE("#Metadata!", ADDRESS(INDEX($AI$2:$AI$1001,MATCH(ROWS($AG$2:AG103),$AG$2:$AG$1001,0),0), INDEX($AN$1004:$BO$1004,1,MATCH(COLUMNS($AN$1006:BF1006),$AN$1006:$BO$1006,0)))),"Fix")))</f>
        <v>0</v>
      </c>
      <c r="U103" s="4">
        <f>IF(OR(INDEX($AH$2:$AH$1001,MATCH(ROWS($AG$2:AG103),$AG$2:$AG$1001,0),1)&gt;=100000,INDEX($AN$1005:$BO$1005,1,MATCH(COLUMNS($AN$1006:BG1006),$AN$1006:$BO$1006,0))&gt;=100000), " ",IF(INDEX($AN$2:$BO$1001,MATCH(ROWS($AG$2:AG103),$AG$2:$AG$1001,0),MATCH(COLUMNS($AN$1006:BG1006),$AN$1006:$BO$1006,0)), HYPERLINK("#",""), HYPERLINK(CONCATENATE("#Metadata!", ADDRESS(INDEX($AI$2:$AI$1001,MATCH(ROWS($AG$2:AG103),$AG$2:$AG$1001,0),0), INDEX($AN$1004:$BO$1004,1,MATCH(COLUMNS($AN$1006:BG1006),$AN$1006:$BO$1006,0)))),"Fix")))</f>
        <v>0</v>
      </c>
      <c r="V103" s="4">
        <f>IF(OR(INDEX($AH$2:$AH$1001,MATCH(ROWS($AG$2:AG103),$AG$2:$AG$1001,0),1)&gt;=100000,INDEX($AN$1005:$BO$1005,1,MATCH(COLUMNS($AN$1006:BH1006),$AN$1006:$BO$1006,0))&gt;=100000), " ",IF(INDEX($AN$2:$BO$1001,MATCH(ROWS($AG$2:AG103),$AG$2:$AG$1001,0),MATCH(COLUMNS($AN$1006:BH1006),$AN$1006:$BO$1006,0)), HYPERLINK("#",""), HYPERLINK(CONCATENATE("#Metadata!", ADDRESS(INDEX($AI$2:$AI$1001,MATCH(ROWS($AG$2:AG103),$AG$2:$AG$1001,0),0), INDEX($AN$1004:$BO$1004,1,MATCH(COLUMNS($AN$1006:BH1006),$AN$1006:$BO$1006,0)))),"Fix")))</f>
        <v>0</v>
      </c>
      <c r="W103" s="4">
        <f>IF(OR(INDEX($AH$2:$AH$1001,MATCH(ROWS($AG$2:AG103),$AG$2:$AG$1001,0),1)&gt;=100000,INDEX($AN$1005:$BO$1005,1,MATCH(COLUMNS($AN$1006:BI1006),$AN$1006:$BO$1006,0))&gt;=100000), " ",IF(INDEX($AN$2:$BO$1001,MATCH(ROWS($AG$2:AG103),$AG$2:$AG$1001,0),MATCH(COLUMNS($AN$1006:BI1006),$AN$1006:$BO$1006,0)), HYPERLINK("#",""), HYPERLINK(CONCATENATE("#Metadata!", ADDRESS(INDEX($AI$2:$AI$1001,MATCH(ROWS($AG$2:AG103),$AG$2:$AG$1001,0),0), INDEX($AN$1004:$BO$1004,1,MATCH(COLUMNS($AN$1006:BI1006),$AN$1006:$BO$1006,0)))),"Fix")))</f>
        <v>0</v>
      </c>
      <c r="X103" s="4">
        <f>IF(OR(INDEX($AH$2:$AH$1001,MATCH(ROWS($AG$2:AG103),$AG$2:$AG$1001,0),1)&gt;=100000,INDEX($AN$1005:$BO$1005,1,MATCH(COLUMNS($AN$1006:BJ1006),$AN$1006:$BO$1006,0))&gt;=100000), " ",IF(INDEX($AN$2:$BO$1001,MATCH(ROWS($AG$2:AG103),$AG$2:$AG$1001,0),MATCH(COLUMNS($AN$1006:BJ1006),$AN$1006:$BO$1006,0)), HYPERLINK("#",""), HYPERLINK(CONCATENATE("#Metadata!", ADDRESS(INDEX($AI$2:$AI$1001,MATCH(ROWS($AG$2:AG103),$AG$2:$AG$1001,0),0), INDEX($AN$1004:$BO$1004,1,MATCH(COLUMNS($AN$1006:BJ1006),$AN$1006:$BO$1006,0)))),"Fix")))</f>
        <v>0</v>
      </c>
      <c r="Y103" s="4">
        <f>IF(OR(INDEX($AH$2:$AH$1001,MATCH(ROWS($AG$2:AG103),$AG$2:$AG$1001,0),1)&gt;=100000,INDEX($AN$1005:$BO$1005,1,MATCH(COLUMNS($AN$1006:BK1006),$AN$1006:$BO$1006,0))&gt;=100000), " ",IF(INDEX($AN$2:$BO$1001,MATCH(ROWS($AG$2:AG103),$AG$2:$AG$1001,0),MATCH(COLUMNS($AN$1006:BK1006),$AN$1006:$BO$1006,0)), HYPERLINK("#",""), HYPERLINK(CONCATENATE("#Metadata!", ADDRESS(INDEX($AI$2:$AI$1001,MATCH(ROWS($AG$2:AG103),$AG$2:$AG$1001,0),0), INDEX($AN$1004:$BO$1004,1,MATCH(COLUMNS($AN$1006:BK1006),$AN$1006:$BO$1006,0)))),"Fix")))</f>
        <v>0</v>
      </c>
      <c r="Z103" s="4">
        <f>IF(OR(INDEX($AH$2:$AH$1001,MATCH(ROWS($AG$2:AG103),$AG$2:$AG$1001,0),1)&gt;=100000,INDEX($AN$1005:$BO$1005,1,MATCH(COLUMNS($AN$1006:BL1006),$AN$1006:$BO$1006,0))&gt;=100000), " ",IF(INDEX($AN$2:$BO$1001,MATCH(ROWS($AG$2:AG103),$AG$2:$AG$1001,0),MATCH(COLUMNS($AN$1006:BL1006),$AN$1006:$BO$1006,0)), HYPERLINK("#",""), HYPERLINK(CONCATENATE("#Metadata!", ADDRESS(INDEX($AI$2:$AI$1001,MATCH(ROWS($AG$2:AG103),$AG$2:$AG$1001,0),0), INDEX($AN$1004:$BO$1004,1,MATCH(COLUMNS($AN$1006:BL1006),$AN$1006:$BO$1006,0)))),"Fix")))</f>
        <v>0</v>
      </c>
      <c r="AA103" s="4">
        <f>IF(OR(INDEX($AH$2:$AH$1001,MATCH(ROWS($AG$2:AG103),$AG$2:$AG$1001,0),1)&gt;=100000,INDEX($AN$1005:$BO$1005,1,MATCH(COLUMNS($AN$1006:BM1006),$AN$1006:$BO$1006,0))&gt;=100000), " ",IF(INDEX($AN$2:$BO$1001,MATCH(ROWS($AG$2:AG103),$AG$2:$AG$1001,0),MATCH(COLUMNS($AN$1006:BM1006),$AN$1006:$BO$1006,0)), HYPERLINK("#",""), HYPERLINK(CONCATENATE("#Metadata!", ADDRESS(INDEX($AI$2:$AI$1001,MATCH(ROWS($AG$2:AG103),$AG$2:$AG$1001,0),0), INDEX($AN$1004:$BO$1004,1,MATCH(COLUMNS($AN$1006:BM1006),$AN$1006:$BO$1006,0)))),"Fix")))</f>
        <v>0</v>
      </c>
      <c r="AB103" s="4">
        <f>IF(OR(INDEX($AH$2:$AH$1001,MATCH(ROWS($AG$2:AG103),$AG$2:$AG$1001,0),1)&gt;=100000,INDEX($AN$1005:$BO$1005,1,MATCH(COLUMNS($AN$1006:BN1006),$AN$1006:$BO$1006,0))&gt;=100000), " ",IF(INDEX($AN$2:$BO$1001,MATCH(ROWS($AG$2:AG103),$AG$2:$AG$1001,0),MATCH(COLUMNS($AN$1006:BN1006),$AN$1006:$BO$1006,0)), HYPERLINK("#",""), HYPERLINK(CONCATENATE("#Metadata!", ADDRESS(INDEX($AI$2:$AI$1001,MATCH(ROWS($AG$2:AG103),$AG$2:$AG$1001,0),0), INDEX($AN$1004:$BO$1004,1,MATCH(COLUMNS($AN$1006:BN1006),$AN$1006:$BO$1006,0)))),"Fix")))</f>
        <v>0</v>
      </c>
      <c r="AC103" s="4">
        <f>IF(OR(INDEX($AH$2:$AH$1001,MATCH(ROWS($AG$2:AG103),$AG$2:$AG$1001,0),1)&gt;=100000,INDEX($AN$1005:$BO$1005,1,MATCH(COLUMNS($AN$1006:BO1006),$AN$1006:$BO$1006,0))&gt;=100000), " ",IF(INDEX($AN$2:$BO$1001,MATCH(ROWS($AG$2:AG103),$AG$2:$AG$1001,0),MATCH(COLUMNS($AN$1006:BO1006),$AN$1006:$BO$1006,0)), HYPERLINK("#",""), HYPERLINK(CONCATENATE("#Metadata!", ADDRESS(INDEX($AI$2:$AI$1001,MATCH(ROWS($AG$2:AG103),$AG$2:$AG$1001,0),0), INDEX($AN$1004:$BO$1004,1,MATCH(COLUMNS($AN$1006:BO1006),$AN$1006:$BO$1006,0)))),"Fix")))</f>
        <v>0</v>
      </c>
      <c r="AG103">
        <v>0</v>
      </c>
      <c r="AH103">
        <v>0</v>
      </c>
      <c r="AI103">
        <v>0</v>
      </c>
      <c r="AJ103">
        <f>IF(AK103,TRUE,AND(AN103:BO103))</f>
        <v>0</v>
      </c>
      <c r="AK103">
        <f>COUNTBLANK(Metadata!B103:AC103)=COLUMNS(Metadata!B103:AC103)</f>
        <v>0</v>
      </c>
      <c r="AL103">
        <v>0</v>
      </c>
      <c r="AN103">
        <f>AND(IF(Metadata!B103="",FALSE,TRUE),COUNTIF(Metadata!B:B, Metadata!B103) = 1,NOT(ISERROR(SUMPRODUCT(SEARCH(MID(Metadata!B103,ROW(INDIRECT("1:"&amp;LEN(Metadata!B103))), 1),"0123456789abcdefghijklmnopqrstuvwxyzABCDEFGHIJKLMNOPQRSTUVWXYZ.")))))</f>
        <v>0</v>
      </c>
      <c r="AO103">
        <f>IF(Metadata!C103="",FALSE,TRUE)</f>
        <v>0</v>
      </c>
      <c r="AP103">
        <f>IF(Metadata!D103="",FALSE,TRUE)</f>
        <v>0</v>
      </c>
      <c r="AQ103">
        <f>OR(AND(IF(Metadata!E103="",FALSE,TRUE),OR(exact(Metadata!E103,"not collected"),exact(Metadata!E103,"not provided"),exact(Metadata!E103,"restricted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R103">
        <f>IF(Metadata!F103="",FALSE,TRUE)</f>
        <v>0</v>
      </c>
      <c r="AS103">
        <f>OR(AND(IF(Metadata!G103="",FALSE,TRUE),OR(exact(Metadata!G103,"not collected"),exact(Metadata!G103,"not provided"))),AND(IF(Metadata!G103="",FALSE,TRUE),OR(exact(Metadata!G103,"TRUE"),exact(Metadata!G103,"FALSE"))))</f>
        <v>0</v>
      </c>
      <c r="AT103">
        <f>OR(AND(IF(Metadata!H103="",FALSE,TRUE),OR(exact(Metadata!H103,"not collected"),exact(Metadata!H103,"not provided"),exact(Metadata!H103,"restricted access"))),AND(IF(Metadata!H103="",FALSE,ISNUMBER(VALUE(Metadata!H103))),Metadata!H103&gt;=-413.0))</f>
        <v>0</v>
      </c>
      <c r="AU103">
        <f>AND(IF(Metadata!I103="",FALSE,TRUE),exact(Metadata!I103,"meters"))</f>
        <v>0</v>
      </c>
      <c r="AV103">
        <f>AND(IF(Metadata!J103="",FALSE,TRUE),OR(exact(Metadata!J103,"Host-associated"),exact(Metadata!J103,"Free-living")))</f>
        <v>0</v>
      </c>
      <c r="AW103">
        <f>AND(IF(Metadata!K103="",FALSE,TRUE),OR(exact(Metadata!K103,"Animal"),exact(Metadata!K103,"Fungus"),exact(Metadata!K103,"Plant"),exact(Metadata!K103,"Saline"),exact(Metadata!K103,"Non-saline")))</f>
        <v>0</v>
      </c>
      <c r="AX103">
        <f>AND(IF(Metadata!L103="",FALSE,TRUE),OR(exact(Metadata!L103,"Plant secretion"),exact(Metadata!L103,"Plant rhizosphere"),exact(Metadata!L103,"Plant surface"),exact(Metadata!L103,"Plant corpus"),exact(Metadata!L103,"Fungus surface"),exact(Metadata!L103,"Fungus corpus"),exact(Metadata!L103,"Animal surface"),exact(Metadata!L103,"Animal proximal gut"),exact(Metadata!L103,"Animal corpus"),exact(Metadata!L103,"Animal distal gut"),exact(Metadata!L103,"Animal secretion"),exact(Metadata!L103,"Sub-surface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Y103">
        <f>IF(Metadata!M103="",FALSE,TRUE)</f>
        <v>0</v>
      </c>
      <c r="AZ103">
        <f>IF(Metadata!N103="",FALSE,TRUE)</f>
        <v>0</v>
      </c>
      <c r="BA103">
        <f>IF(Metadata!O103="",FALSE,TRUE)</f>
        <v>0</v>
      </c>
      <c r="BB103">
        <f>OR(AND(IF(Metadata!P103="",FALSE,TRUE),OR(exact(Metadata!P103,"not collected"),exact(Metadata!P103,"not provided"),exact(Metadata!P103,"restricted access"))),AND(IF(Metadata!P103="",FALSE,TRUE),OR(exact(Metadata!P103,"air"),exact(Metadata!P103,"built environment"),exact(Metadata!P103,"host-associated"),exact(Metadata!P103,"human-associated"),exact(Metadata!P103,"human-skin"),exact(Metadata!P103,"human-oral"),exact(Metadata!P103,"human-gut"),exact(Metadata!P103,"human-vaginal"),exact(Metadata!P103,"microbial mat/biofilm"),exact(Metadata!P103,"misc environment"),exact(Metadata!P103,"plant-associated"),exact(Metadata!P103,"sediment"),exact(Metadata!P103,"soil"),exact(Metadata!P103,"wastewater/sludge"),exact(Metadata!P103,"water"))))</f>
        <v>0</v>
      </c>
      <c r="BC103">
        <f>IF(Metadata!Q103="",FALSE,TRUE)</f>
        <v>0</v>
      </c>
      <c r="BD103">
        <f>IF(Metadata!R103="",FALSE,TRUE)</f>
        <v>0</v>
      </c>
      <c r="BE103">
        <f>OR(AND(IF(Metadata!S103="",FALSE,TRUE),OR(exact(Metadata!S103,"not collected"),exact(Metadata!S103,"not provided"),exact(Metadata!S103,"restricted access"))),AND(IF(Metadata!S103="",FALSE,ISNUMBER(VALUE(Metadata!S103))),Metadata!S103&gt;=-90.00,Metadata!S103&lt;=90.00))</f>
        <v>0</v>
      </c>
      <c r="BF103">
        <f>AND(IF(Metadata!T103="",FALSE,TRUE),exact(Metadata!T103,"Decimal degrees"))</f>
        <v>0</v>
      </c>
      <c r="BG103">
        <f>OR(AND(IF(Metadata!U103="",FALSE,TRUE),OR(exact(Metadata!U103,"not collected"),exact(Metadata!U103,"not provided"),exact(Metadata!U103,"restricted access"))),AND(IF(Metadata!U103="",FALSE,ISNUMBER(VALUE(Metadata!U103))),Metadata!U103&gt;=-180.00,Metadata!U103&lt;=180.00))</f>
        <v>0</v>
      </c>
      <c r="BH103">
        <f>AND(IF(Metadata!V103="",FALSE,TRUE),exact(Metadata!V103,"Decimal degrees"))</f>
        <v>0</v>
      </c>
      <c r="BI103">
        <f>IF(Metadata!W103="",FALSE,TRUE)</f>
        <v>0</v>
      </c>
      <c r="BJ103">
        <f>OR(AND(IF(Metadata!X103="",FALSE,TRUE),OR(exact(Metadata!X103,"not collected"),exact(Metadata!X103,"not provided"),exact(Metadata!X103,"restricted access"))),AND(IF(Metadata!X103="",FALSE,TRUE),OR(exact(Metadata!X103,"TRUE"),exact(Metadata!X103,"FALSE"))))</f>
        <v>0</v>
      </c>
      <c r="BK103">
        <f>AND(IF(Metadata!Y103="",FALSE,TRUE),exact(Metadata!Y103,"other"))</f>
        <v>0</v>
      </c>
      <c r="BL103">
        <f>IF(Metadata!Z103="",FALSE,TRUE)</f>
        <v>0</v>
      </c>
      <c r="BM103">
        <f>OR(AND(IF(Metadata!AA103="",FALSE,TRUE),OR(exact(Metadata!AA103,"not collected"),exact(Metadata!AA103,"not provided"))),AND(IF(Metadata!AA103="",FALSE,IF(ISERROR(INT(Metadata!AA103)),FALSE,INT(Metadata!AA103)=Metadata!AA103)),Metadata!AA103&gt;0))</f>
        <v>0</v>
      </c>
      <c r="BN103">
        <f>AND(IF(Metadata!AB103="",FALSE,TRUE),exact(Metadata!AB103,"Not applicable"))</f>
        <v>0</v>
      </c>
      <c r="BO103">
        <f>IF(Metadata!AC103="",FALSE,TRUE)</f>
        <v>0</v>
      </c>
    </row>
    <row r="104" spans="1:67">
      <c r="A104" s="5">
        <f>IF(B104=" "," ",HYPERLINK(CONCATENATE("#metadata!",ADDRESS(INDEX($AI$2:$AI$1001,MATCH(ROWS($AG$2:AG104),$AG$2:$AG$1001,0),0),1)),INDEX($AL$2:$AL$1001,MATCH(ROWS($AG$2:AG104),$AG$2:$AG$1001,0),0)))</f>
        <v>0</v>
      </c>
      <c r="B104" s="4">
        <f>IF(OR(INDEX($AH$2:$AH$1001,MATCH(ROWS($AG$2:AG104),$AG$2:$AG$1001,0),1)&gt;=100000,INDEX($AN$1005:$BO$1005,1,MATCH(COLUMNS($AN$1006:AN1006),$AN$1006:$BO$1006,0))&gt;=100000), " ",IF(INDEX($AN$2:$BO$1001,MATCH(ROWS($AG$2:AG104),$AG$2:$AG$1001,0),MATCH(COLUMNS($AN$1006:AN1006),$AN$1006:$BO$1006,0)), HYPERLINK("#",""), HYPERLINK(CONCATENATE("#Metadata!", ADDRESS(INDEX($AI$2:$AI$1001,MATCH(ROWS($AG$2:AG104),$AG$2:$AG$1001,0),0), INDEX($AN$1004:$BO$1004,1,MATCH(COLUMNS($AN$1006:AN1006),$AN$1006:$BO$1006,0)))),"Fix")))</f>
        <v>0</v>
      </c>
      <c r="C104" s="4">
        <f>IF(OR(INDEX($AH$2:$AH$1001,MATCH(ROWS($AG$2:AG104),$AG$2:$AG$1001,0),1)&gt;=100000,INDEX($AN$1005:$BO$1005,1,MATCH(COLUMNS($AN$1006:AO1006),$AN$1006:$BO$1006,0))&gt;=100000), " ",IF(INDEX($AN$2:$BO$1001,MATCH(ROWS($AG$2:AG104),$AG$2:$AG$1001,0),MATCH(COLUMNS($AN$1006:AO1006),$AN$1006:$BO$1006,0)), HYPERLINK("#",""), HYPERLINK(CONCATENATE("#Metadata!", ADDRESS(INDEX($AI$2:$AI$1001,MATCH(ROWS($AG$2:AG104),$AG$2:$AG$1001,0),0), INDEX($AN$1004:$BO$1004,1,MATCH(COLUMNS($AN$1006:AO1006),$AN$1006:$BO$1006,0)))),"Fix")))</f>
        <v>0</v>
      </c>
      <c r="D104" s="4">
        <f>IF(OR(INDEX($AH$2:$AH$1001,MATCH(ROWS($AG$2:AG104),$AG$2:$AG$1001,0),1)&gt;=100000,INDEX($AN$1005:$BO$1005,1,MATCH(COLUMNS($AN$1006:AP1006),$AN$1006:$BO$1006,0))&gt;=100000), " ",IF(INDEX($AN$2:$BO$1001,MATCH(ROWS($AG$2:AG104),$AG$2:$AG$1001,0),MATCH(COLUMNS($AN$1006:AP1006),$AN$1006:$BO$1006,0)), HYPERLINK("#",""), HYPERLINK(CONCATENATE("#Metadata!", ADDRESS(INDEX($AI$2:$AI$1001,MATCH(ROWS($AG$2:AG104),$AG$2:$AG$1001,0),0), INDEX($AN$1004:$BO$1004,1,MATCH(COLUMNS($AN$1006:AP1006),$AN$1006:$BO$1006,0)))),"Fix")))</f>
        <v>0</v>
      </c>
      <c r="E104" s="4">
        <f>IF(OR(INDEX($AH$2:$AH$1001,MATCH(ROWS($AG$2:AG104),$AG$2:$AG$1001,0),1)&gt;=100000,INDEX($AN$1005:$BO$1005,1,MATCH(COLUMNS($AN$1006:AQ1006),$AN$1006:$BO$1006,0))&gt;=100000), " ",IF(INDEX($AN$2:$BO$1001,MATCH(ROWS($AG$2:AG104),$AG$2:$AG$1001,0),MATCH(COLUMNS($AN$1006:AQ1006),$AN$1006:$BO$1006,0)), HYPERLINK("#",""), HYPERLINK(CONCATENATE("#Metadata!", ADDRESS(INDEX($AI$2:$AI$1001,MATCH(ROWS($AG$2:AG104),$AG$2:$AG$1001,0),0), INDEX($AN$1004:$BO$1004,1,MATCH(COLUMNS($AN$1006:AQ1006),$AN$1006:$BO$1006,0)))),"Fix")))</f>
        <v>0</v>
      </c>
      <c r="F104" s="4">
        <f>IF(OR(INDEX($AH$2:$AH$1001,MATCH(ROWS($AG$2:AG104),$AG$2:$AG$1001,0),1)&gt;=100000,INDEX($AN$1005:$BO$1005,1,MATCH(COLUMNS($AN$1006:AR1006),$AN$1006:$BO$1006,0))&gt;=100000), " ",IF(INDEX($AN$2:$BO$1001,MATCH(ROWS($AG$2:AG104),$AG$2:$AG$1001,0),MATCH(COLUMNS($AN$1006:AR1006),$AN$1006:$BO$1006,0)), HYPERLINK("#",""), HYPERLINK(CONCATENATE("#Metadata!", ADDRESS(INDEX($AI$2:$AI$1001,MATCH(ROWS($AG$2:AG104),$AG$2:$AG$1001,0),0), INDEX($AN$1004:$BO$1004,1,MATCH(COLUMNS($AN$1006:AR1006),$AN$1006:$BO$1006,0)))),"Fix")))</f>
        <v>0</v>
      </c>
      <c r="G104" s="4">
        <f>IF(OR(INDEX($AH$2:$AH$1001,MATCH(ROWS($AG$2:AG104),$AG$2:$AG$1001,0),1)&gt;=100000,INDEX($AN$1005:$BO$1005,1,MATCH(COLUMNS($AN$1006:AS1006),$AN$1006:$BO$1006,0))&gt;=100000), " ",IF(INDEX($AN$2:$BO$1001,MATCH(ROWS($AG$2:AG104),$AG$2:$AG$1001,0),MATCH(COLUMNS($AN$1006:AS1006),$AN$1006:$BO$1006,0)), HYPERLINK("#",""), HYPERLINK(CONCATENATE("#Metadata!", ADDRESS(INDEX($AI$2:$AI$1001,MATCH(ROWS($AG$2:AG104),$AG$2:$AG$1001,0),0), INDEX($AN$1004:$BO$1004,1,MATCH(COLUMNS($AN$1006:AS1006),$AN$1006:$BO$1006,0)))),"Fix")))</f>
        <v>0</v>
      </c>
      <c r="H104" s="4">
        <f>IF(OR(INDEX($AH$2:$AH$1001,MATCH(ROWS($AG$2:AG104),$AG$2:$AG$1001,0),1)&gt;=100000,INDEX($AN$1005:$BO$1005,1,MATCH(COLUMNS($AN$1006:AT1006),$AN$1006:$BO$1006,0))&gt;=100000), " ",IF(INDEX($AN$2:$BO$1001,MATCH(ROWS($AG$2:AG104),$AG$2:$AG$1001,0),MATCH(COLUMNS($AN$1006:AT1006),$AN$1006:$BO$1006,0)), HYPERLINK("#",""), HYPERLINK(CONCATENATE("#Metadata!", ADDRESS(INDEX($AI$2:$AI$1001,MATCH(ROWS($AG$2:AG104),$AG$2:$AG$1001,0),0), INDEX($AN$1004:$BO$1004,1,MATCH(COLUMNS($AN$1006:AT1006),$AN$1006:$BO$1006,0)))),"Fix")))</f>
        <v>0</v>
      </c>
      <c r="I104" s="4">
        <f>IF(OR(INDEX($AH$2:$AH$1001,MATCH(ROWS($AG$2:AG104),$AG$2:$AG$1001,0),1)&gt;=100000,INDEX($AN$1005:$BO$1005,1,MATCH(COLUMNS($AN$1006:AU1006),$AN$1006:$BO$1006,0))&gt;=100000), " ",IF(INDEX($AN$2:$BO$1001,MATCH(ROWS($AG$2:AG104),$AG$2:$AG$1001,0),MATCH(COLUMNS($AN$1006:AU1006),$AN$1006:$BO$1006,0)), HYPERLINK("#",""), HYPERLINK(CONCATENATE("#Metadata!", ADDRESS(INDEX($AI$2:$AI$1001,MATCH(ROWS($AG$2:AG104),$AG$2:$AG$1001,0),0), INDEX($AN$1004:$BO$1004,1,MATCH(COLUMNS($AN$1006:AU1006),$AN$1006:$BO$1006,0)))),"Fix")))</f>
        <v>0</v>
      </c>
      <c r="J104" s="4">
        <f>IF(OR(INDEX($AH$2:$AH$1001,MATCH(ROWS($AG$2:AG104),$AG$2:$AG$1001,0),1)&gt;=100000,INDEX($AN$1005:$BO$1005,1,MATCH(COLUMNS($AN$1006:AV1006),$AN$1006:$BO$1006,0))&gt;=100000), " ",IF(INDEX($AN$2:$BO$1001,MATCH(ROWS($AG$2:AG104),$AG$2:$AG$1001,0),MATCH(COLUMNS($AN$1006:AV1006),$AN$1006:$BO$1006,0)), HYPERLINK("#",""), HYPERLINK(CONCATENATE("#Metadata!", ADDRESS(INDEX($AI$2:$AI$1001,MATCH(ROWS($AG$2:AG104),$AG$2:$AG$1001,0),0), INDEX($AN$1004:$BO$1004,1,MATCH(COLUMNS($AN$1006:AV1006),$AN$1006:$BO$1006,0)))),"Fix")))</f>
        <v>0</v>
      </c>
      <c r="K104" s="4">
        <f>IF(OR(INDEX($AH$2:$AH$1001,MATCH(ROWS($AG$2:AG104),$AG$2:$AG$1001,0),1)&gt;=100000,INDEX($AN$1005:$BO$1005,1,MATCH(COLUMNS($AN$1006:AW1006),$AN$1006:$BO$1006,0))&gt;=100000), " ",IF(INDEX($AN$2:$BO$1001,MATCH(ROWS($AG$2:AG104),$AG$2:$AG$1001,0),MATCH(COLUMNS($AN$1006:AW1006),$AN$1006:$BO$1006,0)), HYPERLINK("#",""), HYPERLINK(CONCATENATE("#Metadata!", ADDRESS(INDEX($AI$2:$AI$1001,MATCH(ROWS($AG$2:AG104),$AG$2:$AG$1001,0),0), INDEX($AN$1004:$BO$1004,1,MATCH(COLUMNS($AN$1006:AW1006),$AN$1006:$BO$1006,0)))),"Fix")))</f>
        <v>0</v>
      </c>
      <c r="L104" s="4">
        <f>IF(OR(INDEX($AH$2:$AH$1001,MATCH(ROWS($AG$2:AG104),$AG$2:$AG$1001,0),1)&gt;=100000,INDEX($AN$1005:$BO$1005,1,MATCH(COLUMNS($AN$1006:AX1006),$AN$1006:$BO$1006,0))&gt;=100000), " ",IF(INDEX($AN$2:$BO$1001,MATCH(ROWS($AG$2:AG104),$AG$2:$AG$1001,0),MATCH(COLUMNS($AN$1006:AX1006),$AN$1006:$BO$1006,0)), HYPERLINK("#",""), HYPERLINK(CONCATENATE("#Metadata!", ADDRESS(INDEX($AI$2:$AI$1001,MATCH(ROWS($AG$2:AG104),$AG$2:$AG$1001,0),0), INDEX($AN$1004:$BO$1004,1,MATCH(COLUMNS($AN$1006:AX1006),$AN$1006:$BO$1006,0)))),"Fix")))</f>
        <v>0</v>
      </c>
      <c r="M104" s="4">
        <f>IF(OR(INDEX($AH$2:$AH$1001,MATCH(ROWS($AG$2:AG104),$AG$2:$AG$1001,0),1)&gt;=100000,INDEX($AN$1005:$BO$1005,1,MATCH(COLUMNS($AN$1006:AY1006),$AN$1006:$BO$1006,0))&gt;=100000), " ",IF(INDEX($AN$2:$BO$1001,MATCH(ROWS($AG$2:AG104),$AG$2:$AG$1001,0),MATCH(COLUMNS($AN$1006:AY1006),$AN$1006:$BO$1006,0)), HYPERLINK("#",""), HYPERLINK(CONCATENATE("#Metadata!", ADDRESS(INDEX($AI$2:$AI$1001,MATCH(ROWS($AG$2:AG104),$AG$2:$AG$1001,0),0), INDEX($AN$1004:$BO$1004,1,MATCH(COLUMNS($AN$1006:AY1006),$AN$1006:$BO$1006,0)))),"Fix")))</f>
        <v>0</v>
      </c>
      <c r="N104" s="4">
        <f>IF(OR(INDEX($AH$2:$AH$1001,MATCH(ROWS($AG$2:AG104),$AG$2:$AG$1001,0),1)&gt;=100000,INDEX($AN$1005:$BO$1005,1,MATCH(COLUMNS($AN$1006:AZ1006),$AN$1006:$BO$1006,0))&gt;=100000), " ",IF(INDEX($AN$2:$BO$1001,MATCH(ROWS($AG$2:AG104),$AG$2:$AG$1001,0),MATCH(COLUMNS($AN$1006:AZ1006),$AN$1006:$BO$1006,0)), HYPERLINK("#",""), HYPERLINK(CONCATENATE("#Metadata!", ADDRESS(INDEX($AI$2:$AI$1001,MATCH(ROWS($AG$2:AG104),$AG$2:$AG$1001,0),0), INDEX($AN$1004:$BO$1004,1,MATCH(COLUMNS($AN$1006:AZ1006),$AN$1006:$BO$1006,0)))),"Fix")))</f>
        <v>0</v>
      </c>
      <c r="O104" s="4">
        <f>IF(OR(INDEX($AH$2:$AH$1001,MATCH(ROWS($AG$2:AG104),$AG$2:$AG$1001,0),1)&gt;=100000,INDEX($AN$1005:$BO$1005,1,MATCH(COLUMNS($AN$1006:BA1006),$AN$1006:$BO$1006,0))&gt;=100000), " ",IF(INDEX($AN$2:$BO$1001,MATCH(ROWS($AG$2:AG104),$AG$2:$AG$1001,0),MATCH(COLUMNS($AN$1006:BA1006),$AN$1006:$BO$1006,0)), HYPERLINK("#",""), HYPERLINK(CONCATENATE("#Metadata!", ADDRESS(INDEX($AI$2:$AI$1001,MATCH(ROWS($AG$2:AG104),$AG$2:$AG$1001,0),0), INDEX($AN$1004:$BO$1004,1,MATCH(COLUMNS($AN$1006:BA1006),$AN$1006:$BO$1006,0)))),"Fix")))</f>
        <v>0</v>
      </c>
      <c r="P104" s="4">
        <f>IF(OR(INDEX($AH$2:$AH$1001,MATCH(ROWS($AG$2:AG104),$AG$2:$AG$1001,0),1)&gt;=100000,INDEX($AN$1005:$BO$1005,1,MATCH(COLUMNS($AN$1006:BB1006),$AN$1006:$BO$1006,0))&gt;=100000), " ",IF(INDEX($AN$2:$BO$1001,MATCH(ROWS($AG$2:AG104),$AG$2:$AG$1001,0),MATCH(COLUMNS($AN$1006:BB1006),$AN$1006:$BO$1006,0)), HYPERLINK("#",""), HYPERLINK(CONCATENATE("#Metadata!", ADDRESS(INDEX($AI$2:$AI$1001,MATCH(ROWS($AG$2:AG104),$AG$2:$AG$1001,0),0), INDEX($AN$1004:$BO$1004,1,MATCH(COLUMNS($AN$1006:BB1006),$AN$1006:$BO$1006,0)))),"Fix")))</f>
        <v>0</v>
      </c>
      <c r="Q104" s="4">
        <f>IF(OR(INDEX($AH$2:$AH$1001,MATCH(ROWS($AG$2:AG104),$AG$2:$AG$1001,0),1)&gt;=100000,INDEX($AN$1005:$BO$1005,1,MATCH(COLUMNS($AN$1006:BC1006),$AN$1006:$BO$1006,0))&gt;=100000), " ",IF(INDEX($AN$2:$BO$1001,MATCH(ROWS($AG$2:AG104),$AG$2:$AG$1001,0),MATCH(COLUMNS($AN$1006:BC1006),$AN$1006:$BO$1006,0)), HYPERLINK("#",""), HYPERLINK(CONCATENATE("#Metadata!", ADDRESS(INDEX($AI$2:$AI$1001,MATCH(ROWS($AG$2:AG104),$AG$2:$AG$1001,0),0), INDEX($AN$1004:$BO$1004,1,MATCH(COLUMNS($AN$1006:BC1006),$AN$1006:$BO$1006,0)))),"Fix")))</f>
        <v>0</v>
      </c>
      <c r="R104" s="4">
        <f>IF(OR(INDEX($AH$2:$AH$1001,MATCH(ROWS($AG$2:AG104),$AG$2:$AG$1001,0),1)&gt;=100000,INDEX($AN$1005:$BO$1005,1,MATCH(COLUMNS($AN$1006:BD1006),$AN$1006:$BO$1006,0))&gt;=100000), " ",IF(INDEX($AN$2:$BO$1001,MATCH(ROWS($AG$2:AG104),$AG$2:$AG$1001,0),MATCH(COLUMNS($AN$1006:BD1006),$AN$1006:$BO$1006,0)), HYPERLINK("#",""), HYPERLINK(CONCATENATE("#Metadata!", ADDRESS(INDEX($AI$2:$AI$1001,MATCH(ROWS($AG$2:AG104),$AG$2:$AG$1001,0),0), INDEX($AN$1004:$BO$1004,1,MATCH(COLUMNS($AN$1006:BD1006),$AN$1006:$BO$1006,0)))),"Fix")))</f>
        <v>0</v>
      </c>
      <c r="S104" s="4">
        <f>IF(OR(INDEX($AH$2:$AH$1001,MATCH(ROWS($AG$2:AG104),$AG$2:$AG$1001,0),1)&gt;=100000,INDEX($AN$1005:$BO$1005,1,MATCH(COLUMNS($AN$1006:BE1006),$AN$1006:$BO$1006,0))&gt;=100000), " ",IF(INDEX($AN$2:$BO$1001,MATCH(ROWS($AG$2:AG104),$AG$2:$AG$1001,0),MATCH(COLUMNS($AN$1006:BE1006),$AN$1006:$BO$1006,0)), HYPERLINK("#",""), HYPERLINK(CONCATENATE("#Metadata!", ADDRESS(INDEX($AI$2:$AI$1001,MATCH(ROWS($AG$2:AG104),$AG$2:$AG$1001,0),0), INDEX($AN$1004:$BO$1004,1,MATCH(COLUMNS($AN$1006:BE1006),$AN$1006:$BO$1006,0)))),"Fix")))</f>
        <v>0</v>
      </c>
      <c r="T104" s="4">
        <f>IF(OR(INDEX($AH$2:$AH$1001,MATCH(ROWS($AG$2:AG104),$AG$2:$AG$1001,0),1)&gt;=100000,INDEX($AN$1005:$BO$1005,1,MATCH(COLUMNS($AN$1006:BF1006),$AN$1006:$BO$1006,0))&gt;=100000), " ",IF(INDEX($AN$2:$BO$1001,MATCH(ROWS($AG$2:AG104),$AG$2:$AG$1001,0),MATCH(COLUMNS($AN$1006:BF1006),$AN$1006:$BO$1006,0)), HYPERLINK("#",""), HYPERLINK(CONCATENATE("#Metadata!", ADDRESS(INDEX($AI$2:$AI$1001,MATCH(ROWS($AG$2:AG104),$AG$2:$AG$1001,0),0), INDEX($AN$1004:$BO$1004,1,MATCH(COLUMNS($AN$1006:BF1006),$AN$1006:$BO$1006,0)))),"Fix")))</f>
        <v>0</v>
      </c>
      <c r="U104" s="4">
        <f>IF(OR(INDEX($AH$2:$AH$1001,MATCH(ROWS($AG$2:AG104),$AG$2:$AG$1001,0),1)&gt;=100000,INDEX($AN$1005:$BO$1005,1,MATCH(COLUMNS($AN$1006:BG1006),$AN$1006:$BO$1006,0))&gt;=100000), " ",IF(INDEX($AN$2:$BO$1001,MATCH(ROWS($AG$2:AG104),$AG$2:$AG$1001,0),MATCH(COLUMNS($AN$1006:BG1006),$AN$1006:$BO$1006,0)), HYPERLINK("#",""), HYPERLINK(CONCATENATE("#Metadata!", ADDRESS(INDEX($AI$2:$AI$1001,MATCH(ROWS($AG$2:AG104),$AG$2:$AG$1001,0),0), INDEX($AN$1004:$BO$1004,1,MATCH(COLUMNS($AN$1006:BG1006),$AN$1006:$BO$1006,0)))),"Fix")))</f>
        <v>0</v>
      </c>
      <c r="V104" s="4">
        <f>IF(OR(INDEX($AH$2:$AH$1001,MATCH(ROWS($AG$2:AG104),$AG$2:$AG$1001,0),1)&gt;=100000,INDEX($AN$1005:$BO$1005,1,MATCH(COLUMNS($AN$1006:BH1006),$AN$1006:$BO$1006,0))&gt;=100000), " ",IF(INDEX($AN$2:$BO$1001,MATCH(ROWS($AG$2:AG104),$AG$2:$AG$1001,0),MATCH(COLUMNS($AN$1006:BH1006),$AN$1006:$BO$1006,0)), HYPERLINK("#",""), HYPERLINK(CONCATENATE("#Metadata!", ADDRESS(INDEX($AI$2:$AI$1001,MATCH(ROWS($AG$2:AG104),$AG$2:$AG$1001,0),0), INDEX($AN$1004:$BO$1004,1,MATCH(COLUMNS($AN$1006:BH1006),$AN$1006:$BO$1006,0)))),"Fix")))</f>
        <v>0</v>
      </c>
      <c r="W104" s="4">
        <f>IF(OR(INDEX($AH$2:$AH$1001,MATCH(ROWS($AG$2:AG104),$AG$2:$AG$1001,0),1)&gt;=100000,INDEX($AN$1005:$BO$1005,1,MATCH(COLUMNS($AN$1006:BI1006),$AN$1006:$BO$1006,0))&gt;=100000), " ",IF(INDEX($AN$2:$BO$1001,MATCH(ROWS($AG$2:AG104),$AG$2:$AG$1001,0),MATCH(COLUMNS($AN$1006:BI1006),$AN$1006:$BO$1006,0)), HYPERLINK("#",""), HYPERLINK(CONCATENATE("#Metadata!", ADDRESS(INDEX($AI$2:$AI$1001,MATCH(ROWS($AG$2:AG104),$AG$2:$AG$1001,0),0), INDEX($AN$1004:$BO$1004,1,MATCH(COLUMNS($AN$1006:BI1006),$AN$1006:$BO$1006,0)))),"Fix")))</f>
        <v>0</v>
      </c>
      <c r="X104" s="4">
        <f>IF(OR(INDEX($AH$2:$AH$1001,MATCH(ROWS($AG$2:AG104),$AG$2:$AG$1001,0),1)&gt;=100000,INDEX($AN$1005:$BO$1005,1,MATCH(COLUMNS($AN$1006:BJ1006),$AN$1006:$BO$1006,0))&gt;=100000), " ",IF(INDEX($AN$2:$BO$1001,MATCH(ROWS($AG$2:AG104),$AG$2:$AG$1001,0),MATCH(COLUMNS($AN$1006:BJ1006),$AN$1006:$BO$1006,0)), HYPERLINK("#",""), HYPERLINK(CONCATENATE("#Metadata!", ADDRESS(INDEX($AI$2:$AI$1001,MATCH(ROWS($AG$2:AG104),$AG$2:$AG$1001,0),0), INDEX($AN$1004:$BO$1004,1,MATCH(COLUMNS($AN$1006:BJ1006),$AN$1006:$BO$1006,0)))),"Fix")))</f>
        <v>0</v>
      </c>
      <c r="Y104" s="4">
        <f>IF(OR(INDEX($AH$2:$AH$1001,MATCH(ROWS($AG$2:AG104),$AG$2:$AG$1001,0),1)&gt;=100000,INDEX($AN$1005:$BO$1005,1,MATCH(COLUMNS($AN$1006:BK1006),$AN$1006:$BO$1006,0))&gt;=100000), " ",IF(INDEX($AN$2:$BO$1001,MATCH(ROWS($AG$2:AG104),$AG$2:$AG$1001,0),MATCH(COLUMNS($AN$1006:BK1006),$AN$1006:$BO$1006,0)), HYPERLINK("#",""), HYPERLINK(CONCATENATE("#Metadata!", ADDRESS(INDEX($AI$2:$AI$1001,MATCH(ROWS($AG$2:AG104),$AG$2:$AG$1001,0),0), INDEX($AN$1004:$BO$1004,1,MATCH(COLUMNS($AN$1006:BK1006),$AN$1006:$BO$1006,0)))),"Fix")))</f>
        <v>0</v>
      </c>
      <c r="Z104" s="4">
        <f>IF(OR(INDEX($AH$2:$AH$1001,MATCH(ROWS($AG$2:AG104),$AG$2:$AG$1001,0),1)&gt;=100000,INDEX($AN$1005:$BO$1005,1,MATCH(COLUMNS($AN$1006:BL1006),$AN$1006:$BO$1006,0))&gt;=100000), " ",IF(INDEX($AN$2:$BO$1001,MATCH(ROWS($AG$2:AG104),$AG$2:$AG$1001,0),MATCH(COLUMNS($AN$1006:BL1006),$AN$1006:$BO$1006,0)), HYPERLINK("#",""), HYPERLINK(CONCATENATE("#Metadata!", ADDRESS(INDEX($AI$2:$AI$1001,MATCH(ROWS($AG$2:AG104),$AG$2:$AG$1001,0),0), INDEX($AN$1004:$BO$1004,1,MATCH(COLUMNS($AN$1006:BL1006),$AN$1006:$BO$1006,0)))),"Fix")))</f>
        <v>0</v>
      </c>
      <c r="AA104" s="4">
        <f>IF(OR(INDEX($AH$2:$AH$1001,MATCH(ROWS($AG$2:AG104),$AG$2:$AG$1001,0),1)&gt;=100000,INDEX($AN$1005:$BO$1005,1,MATCH(COLUMNS($AN$1006:BM1006),$AN$1006:$BO$1006,0))&gt;=100000), " ",IF(INDEX($AN$2:$BO$1001,MATCH(ROWS($AG$2:AG104),$AG$2:$AG$1001,0),MATCH(COLUMNS($AN$1006:BM1006),$AN$1006:$BO$1006,0)), HYPERLINK("#",""), HYPERLINK(CONCATENATE("#Metadata!", ADDRESS(INDEX($AI$2:$AI$1001,MATCH(ROWS($AG$2:AG104),$AG$2:$AG$1001,0),0), INDEX($AN$1004:$BO$1004,1,MATCH(COLUMNS($AN$1006:BM1006),$AN$1006:$BO$1006,0)))),"Fix")))</f>
        <v>0</v>
      </c>
      <c r="AB104" s="4">
        <f>IF(OR(INDEX($AH$2:$AH$1001,MATCH(ROWS($AG$2:AG104),$AG$2:$AG$1001,0),1)&gt;=100000,INDEX($AN$1005:$BO$1005,1,MATCH(COLUMNS($AN$1006:BN1006),$AN$1006:$BO$1006,0))&gt;=100000), " ",IF(INDEX($AN$2:$BO$1001,MATCH(ROWS($AG$2:AG104),$AG$2:$AG$1001,0),MATCH(COLUMNS($AN$1006:BN1006),$AN$1006:$BO$1006,0)), HYPERLINK("#",""), HYPERLINK(CONCATENATE("#Metadata!", ADDRESS(INDEX($AI$2:$AI$1001,MATCH(ROWS($AG$2:AG104),$AG$2:$AG$1001,0),0), INDEX($AN$1004:$BO$1004,1,MATCH(COLUMNS($AN$1006:BN1006),$AN$1006:$BO$1006,0)))),"Fix")))</f>
        <v>0</v>
      </c>
      <c r="AC104" s="4">
        <f>IF(OR(INDEX($AH$2:$AH$1001,MATCH(ROWS($AG$2:AG104),$AG$2:$AG$1001,0),1)&gt;=100000,INDEX($AN$1005:$BO$1005,1,MATCH(COLUMNS($AN$1006:BO1006),$AN$1006:$BO$1006,0))&gt;=100000), " ",IF(INDEX($AN$2:$BO$1001,MATCH(ROWS($AG$2:AG104),$AG$2:$AG$1001,0),MATCH(COLUMNS($AN$1006:BO1006),$AN$1006:$BO$1006,0)), HYPERLINK("#",""), HYPERLINK(CONCATENATE("#Metadata!", ADDRESS(INDEX($AI$2:$AI$1001,MATCH(ROWS($AG$2:AG104),$AG$2:$AG$1001,0),0), INDEX($AN$1004:$BO$1004,1,MATCH(COLUMNS($AN$1006:BO1006),$AN$1006:$BO$1006,0)))),"Fix")))</f>
        <v>0</v>
      </c>
      <c r="AG104">
        <v>0</v>
      </c>
      <c r="AH104">
        <v>0</v>
      </c>
      <c r="AI104">
        <v>0</v>
      </c>
      <c r="AJ104">
        <f>IF(AK104,TRUE,AND(AN104:BO104))</f>
        <v>0</v>
      </c>
      <c r="AK104">
        <f>COUNTBLANK(Metadata!B104:AC104)=COLUMNS(Metadata!B104:AC104)</f>
        <v>0</v>
      </c>
      <c r="AL104">
        <v>0</v>
      </c>
      <c r="AN104">
        <f>AND(IF(Metadata!B104="",FALSE,TRUE),COUNTIF(Metadata!B:B, Metadata!B104) = 1,NOT(ISERROR(SUMPRODUCT(SEARCH(MID(Metadata!B104,ROW(INDIRECT("1:"&amp;LEN(Metadata!B104))), 1),"0123456789abcdefghijklmnopqrstuvwxyzABCDEFGHIJKLMNOPQRSTUVWXYZ.")))))</f>
        <v>0</v>
      </c>
      <c r="AO104">
        <f>IF(Metadata!C104="",FALSE,TRUE)</f>
        <v>0</v>
      </c>
      <c r="AP104">
        <f>IF(Metadata!D104="",FALSE,TRUE)</f>
        <v>0</v>
      </c>
      <c r="AQ104">
        <f>OR(AND(IF(Metadata!E104="",FALSE,TRUE),OR(exact(Metadata!E104,"not collected"),exact(Metadata!E104,"not provided"),exact(Metadata!E104,"restricted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R104">
        <f>IF(Metadata!F104="",FALSE,TRUE)</f>
        <v>0</v>
      </c>
      <c r="AS104">
        <f>OR(AND(IF(Metadata!G104="",FALSE,TRUE),OR(exact(Metadata!G104,"not collected"),exact(Metadata!G104,"not provided"))),AND(IF(Metadata!G104="",FALSE,TRUE),OR(exact(Metadata!G104,"TRUE"),exact(Metadata!G104,"FALSE"))))</f>
        <v>0</v>
      </c>
      <c r="AT104">
        <f>OR(AND(IF(Metadata!H104="",FALSE,TRUE),OR(exact(Metadata!H104,"not collected"),exact(Metadata!H104,"not provided"),exact(Metadata!H104,"restricted access"))),AND(IF(Metadata!H104="",FALSE,ISNUMBER(VALUE(Metadata!H104))),Metadata!H104&gt;=-413.0))</f>
        <v>0</v>
      </c>
      <c r="AU104">
        <f>AND(IF(Metadata!I104="",FALSE,TRUE),exact(Metadata!I104,"meters"))</f>
        <v>0</v>
      </c>
      <c r="AV104">
        <f>AND(IF(Metadata!J104="",FALSE,TRUE),OR(exact(Metadata!J104,"Host-associated"),exact(Metadata!J104,"Free-living")))</f>
        <v>0</v>
      </c>
      <c r="AW104">
        <f>AND(IF(Metadata!K104="",FALSE,TRUE),OR(exact(Metadata!K104,"Animal"),exact(Metadata!K104,"Fungus"),exact(Metadata!K104,"Plant"),exact(Metadata!K104,"Saline"),exact(Metadata!K104,"Non-saline")))</f>
        <v>0</v>
      </c>
      <c r="AX104">
        <f>AND(IF(Metadata!L104="",FALSE,TRUE),OR(exact(Metadata!L104,"Plant secretion"),exact(Metadata!L104,"Plant rhizosphere"),exact(Metadata!L104,"Plant surface"),exact(Metadata!L104,"Plant corpus"),exact(Metadata!L104,"Fungus surface"),exact(Metadata!L104,"Fungus corpus"),exact(Metadata!L104,"Animal surface"),exact(Metadata!L104,"Animal proximal gut"),exact(Metadata!L104,"Animal corpus"),exact(Metadata!L104,"Animal distal gut"),exact(Metadata!L104,"Animal secretion"),exact(Metadata!L104,"Sub-surface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Y104">
        <f>IF(Metadata!M104="",FALSE,TRUE)</f>
        <v>0</v>
      </c>
      <c r="AZ104">
        <f>IF(Metadata!N104="",FALSE,TRUE)</f>
        <v>0</v>
      </c>
      <c r="BA104">
        <f>IF(Metadata!O104="",FALSE,TRUE)</f>
        <v>0</v>
      </c>
      <c r="BB104">
        <f>OR(AND(IF(Metadata!P104="",FALSE,TRUE),OR(exact(Metadata!P104,"not collected"),exact(Metadata!P104,"not provided"),exact(Metadata!P104,"restricted access"))),AND(IF(Metadata!P104="",FALSE,TRUE),OR(exact(Metadata!P104,"air"),exact(Metadata!P104,"built environment"),exact(Metadata!P104,"host-associated"),exact(Metadata!P104,"human-associated"),exact(Metadata!P104,"human-skin"),exact(Metadata!P104,"human-oral"),exact(Metadata!P104,"human-gut"),exact(Metadata!P104,"human-vaginal"),exact(Metadata!P104,"microbial mat/biofilm"),exact(Metadata!P104,"misc environment"),exact(Metadata!P104,"plant-associated"),exact(Metadata!P104,"sediment"),exact(Metadata!P104,"soil"),exact(Metadata!P104,"wastewater/sludge"),exact(Metadata!P104,"water"))))</f>
        <v>0</v>
      </c>
      <c r="BC104">
        <f>IF(Metadata!Q104="",FALSE,TRUE)</f>
        <v>0</v>
      </c>
      <c r="BD104">
        <f>IF(Metadata!R104="",FALSE,TRUE)</f>
        <v>0</v>
      </c>
      <c r="BE104">
        <f>OR(AND(IF(Metadata!S104="",FALSE,TRUE),OR(exact(Metadata!S104,"not collected"),exact(Metadata!S104,"not provided"),exact(Metadata!S104,"restricted access"))),AND(IF(Metadata!S104="",FALSE,ISNUMBER(VALUE(Metadata!S104))),Metadata!S104&gt;=-90.00,Metadata!S104&lt;=90.00))</f>
        <v>0</v>
      </c>
      <c r="BF104">
        <f>AND(IF(Metadata!T104="",FALSE,TRUE),exact(Metadata!T104,"Decimal degrees"))</f>
        <v>0</v>
      </c>
      <c r="BG104">
        <f>OR(AND(IF(Metadata!U104="",FALSE,TRUE),OR(exact(Metadata!U104,"not collected"),exact(Metadata!U104,"not provided"),exact(Metadata!U104,"restricted access"))),AND(IF(Metadata!U104="",FALSE,ISNUMBER(VALUE(Metadata!U104))),Metadata!U104&gt;=-180.00,Metadata!U104&lt;=180.00))</f>
        <v>0</v>
      </c>
      <c r="BH104">
        <f>AND(IF(Metadata!V104="",FALSE,TRUE),exact(Metadata!V104,"Decimal degrees"))</f>
        <v>0</v>
      </c>
      <c r="BI104">
        <f>IF(Metadata!W104="",FALSE,TRUE)</f>
        <v>0</v>
      </c>
      <c r="BJ104">
        <f>OR(AND(IF(Metadata!X104="",FALSE,TRUE),OR(exact(Metadata!X104,"not collected"),exact(Metadata!X104,"not provided"),exact(Metadata!X104,"restricted access"))),AND(IF(Metadata!X104="",FALSE,TRUE),OR(exact(Metadata!X104,"TRUE"),exact(Metadata!X104,"FALSE"))))</f>
        <v>0</v>
      </c>
      <c r="BK104">
        <f>AND(IF(Metadata!Y104="",FALSE,TRUE),exact(Metadata!Y104,"other"))</f>
        <v>0</v>
      </c>
      <c r="BL104">
        <f>IF(Metadata!Z104="",FALSE,TRUE)</f>
        <v>0</v>
      </c>
      <c r="BM104">
        <f>OR(AND(IF(Metadata!AA104="",FALSE,TRUE),OR(exact(Metadata!AA104,"not collected"),exact(Metadata!AA104,"not provided"))),AND(IF(Metadata!AA104="",FALSE,IF(ISERROR(INT(Metadata!AA104)),FALSE,INT(Metadata!AA104)=Metadata!AA104)),Metadata!AA104&gt;0))</f>
        <v>0</v>
      </c>
      <c r="BN104">
        <f>AND(IF(Metadata!AB104="",FALSE,TRUE),exact(Metadata!AB104,"Not applicable"))</f>
        <v>0</v>
      </c>
      <c r="BO104">
        <f>IF(Metadata!AC104="",FALSE,TRUE)</f>
        <v>0</v>
      </c>
    </row>
    <row r="105" spans="1:67">
      <c r="A105" s="5">
        <f>IF(B105=" "," ",HYPERLINK(CONCATENATE("#metadata!",ADDRESS(INDEX($AI$2:$AI$1001,MATCH(ROWS($AG$2:AG105),$AG$2:$AG$1001,0),0),1)),INDEX($AL$2:$AL$1001,MATCH(ROWS($AG$2:AG105),$AG$2:$AG$1001,0),0)))</f>
        <v>0</v>
      </c>
      <c r="B105" s="4">
        <f>IF(OR(INDEX($AH$2:$AH$1001,MATCH(ROWS($AG$2:AG105),$AG$2:$AG$1001,0),1)&gt;=100000,INDEX($AN$1005:$BO$1005,1,MATCH(COLUMNS($AN$1006:AN1006),$AN$1006:$BO$1006,0))&gt;=100000), " ",IF(INDEX($AN$2:$BO$1001,MATCH(ROWS($AG$2:AG105),$AG$2:$AG$1001,0),MATCH(COLUMNS($AN$1006:AN1006),$AN$1006:$BO$1006,0)), HYPERLINK("#",""), HYPERLINK(CONCATENATE("#Metadata!", ADDRESS(INDEX($AI$2:$AI$1001,MATCH(ROWS($AG$2:AG105),$AG$2:$AG$1001,0),0), INDEX($AN$1004:$BO$1004,1,MATCH(COLUMNS($AN$1006:AN1006),$AN$1006:$BO$1006,0)))),"Fix")))</f>
        <v>0</v>
      </c>
      <c r="C105" s="4">
        <f>IF(OR(INDEX($AH$2:$AH$1001,MATCH(ROWS($AG$2:AG105),$AG$2:$AG$1001,0),1)&gt;=100000,INDEX($AN$1005:$BO$1005,1,MATCH(COLUMNS($AN$1006:AO1006),$AN$1006:$BO$1006,0))&gt;=100000), " ",IF(INDEX($AN$2:$BO$1001,MATCH(ROWS($AG$2:AG105),$AG$2:$AG$1001,0),MATCH(COLUMNS($AN$1006:AO1006),$AN$1006:$BO$1006,0)), HYPERLINK("#",""), HYPERLINK(CONCATENATE("#Metadata!", ADDRESS(INDEX($AI$2:$AI$1001,MATCH(ROWS($AG$2:AG105),$AG$2:$AG$1001,0),0), INDEX($AN$1004:$BO$1004,1,MATCH(COLUMNS($AN$1006:AO1006),$AN$1006:$BO$1006,0)))),"Fix")))</f>
        <v>0</v>
      </c>
      <c r="D105" s="4">
        <f>IF(OR(INDEX($AH$2:$AH$1001,MATCH(ROWS($AG$2:AG105),$AG$2:$AG$1001,0),1)&gt;=100000,INDEX($AN$1005:$BO$1005,1,MATCH(COLUMNS($AN$1006:AP1006),$AN$1006:$BO$1006,0))&gt;=100000), " ",IF(INDEX($AN$2:$BO$1001,MATCH(ROWS($AG$2:AG105),$AG$2:$AG$1001,0),MATCH(COLUMNS($AN$1006:AP1006),$AN$1006:$BO$1006,0)), HYPERLINK("#",""), HYPERLINK(CONCATENATE("#Metadata!", ADDRESS(INDEX($AI$2:$AI$1001,MATCH(ROWS($AG$2:AG105),$AG$2:$AG$1001,0),0), INDEX($AN$1004:$BO$1004,1,MATCH(COLUMNS($AN$1006:AP1006),$AN$1006:$BO$1006,0)))),"Fix")))</f>
        <v>0</v>
      </c>
      <c r="E105" s="4">
        <f>IF(OR(INDEX($AH$2:$AH$1001,MATCH(ROWS($AG$2:AG105),$AG$2:$AG$1001,0),1)&gt;=100000,INDEX($AN$1005:$BO$1005,1,MATCH(COLUMNS($AN$1006:AQ1006),$AN$1006:$BO$1006,0))&gt;=100000), " ",IF(INDEX($AN$2:$BO$1001,MATCH(ROWS($AG$2:AG105),$AG$2:$AG$1001,0),MATCH(COLUMNS($AN$1006:AQ1006),$AN$1006:$BO$1006,0)), HYPERLINK("#",""), HYPERLINK(CONCATENATE("#Metadata!", ADDRESS(INDEX($AI$2:$AI$1001,MATCH(ROWS($AG$2:AG105),$AG$2:$AG$1001,0),0), INDEX($AN$1004:$BO$1004,1,MATCH(COLUMNS($AN$1006:AQ1006),$AN$1006:$BO$1006,0)))),"Fix")))</f>
        <v>0</v>
      </c>
      <c r="F105" s="4">
        <f>IF(OR(INDEX($AH$2:$AH$1001,MATCH(ROWS($AG$2:AG105),$AG$2:$AG$1001,0),1)&gt;=100000,INDEX($AN$1005:$BO$1005,1,MATCH(COLUMNS($AN$1006:AR1006),$AN$1006:$BO$1006,0))&gt;=100000), " ",IF(INDEX($AN$2:$BO$1001,MATCH(ROWS($AG$2:AG105),$AG$2:$AG$1001,0),MATCH(COLUMNS($AN$1006:AR1006),$AN$1006:$BO$1006,0)), HYPERLINK("#",""), HYPERLINK(CONCATENATE("#Metadata!", ADDRESS(INDEX($AI$2:$AI$1001,MATCH(ROWS($AG$2:AG105),$AG$2:$AG$1001,0),0), INDEX($AN$1004:$BO$1004,1,MATCH(COLUMNS($AN$1006:AR1006),$AN$1006:$BO$1006,0)))),"Fix")))</f>
        <v>0</v>
      </c>
      <c r="G105" s="4">
        <f>IF(OR(INDEX($AH$2:$AH$1001,MATCH(ROWS($AG$2:AG105),$AG$2:$AG$1001,0),1)&gt;=100000,INDEX($AN$1005:$BO$1005,1,MATCH(COLUMNS($AN$1006:AS1006),$AN$1006:$BO$1006,0))&gt;=100000), " ",IF(INDEX($AN$2:$BO$1001,MATCH(ROWS($AG$2:AG105),$AG$2:$AG$1001,0),MATCH(COLUMNS($AN$1006:AS1006),$AN$1006:$BO$1006,0)), HYPERLINK("#",""), HYPERLINK(CONCATENATE("#Metadata!", ADDRESS(INDEX($AI$2:$AI$1001,MATCH(ROWS($AG$2:AG105),$AG$2:$AG$1001,0),0), INDEX($AN$1004:$BO$1004,1,MATCH(COLUMNS($AN$1006:AS1006),$AN$1006:$BO$1006,0)))),"Fix")))</f>
        <v>0</v>
      </c>
      <c r="H105" s="4">
        <f>IF(OR(INDEX($AH$2:$AH$1001,MATCH(ROWS($AG$2:AG105),$AG$2:$AG$1001,0),1)&gt;=100000,INDEX($AN$1005:$BO$1005,1,MATCH(COLUMNS($AN$1006:AT1006),$AN$1006:$BO$1006,0))&gt;=100000), " ",IF(INDEX($AN$2:$BO$1001,MATCH(ROWS($AG$2:AG105),$AG$2:$AG$1001,0),MATCH(COLUMNS($AN$1006:AT1006),$AN$1006:$BO$1006,0)), HYPERLINK("#",""), HYPERLINK(CONCATENATE("#Metadata!", ADDRESS(INDEX($AI$2:$AI$1001,MATCH(ROWS($AG$2:AG105),$AG$2:$AG$1001,0),0), INDEX($AN$1004:$BO$1004,1,MATCH(COLUMNS($AN$1006:AT1006),$AN$1006:$BO$1006,0)))),"Fix")))</f>
        <v>0</v>
      </c>
      <c r="I105" s="4">
        <f>IF(OR(INDEX($AH$2:$AH$1001,MATCH(ROWS($AG$2:AG105),$AG$2:$AG$1001,0),1)&gt;=100000,INDEX($AN$1005:$BO$1005,1,MATCH(COLUMNS($AN$1006:AU1006),$AN$1006:$BO$1006,0))&gt;=100000), " ",IF(INDEX($AN$2:$BO$1001,MATCH(ROWS($AG$2:AG105),$AG$2:$AG$1001,0),MATCH(COLUMNS($AN$1006:AU1006),$AN$1006:$BO$1006,0)), HYPERLINK("#",""), HYPERLINK(CONCATENATE("#Metadata!", ADDRESS(INDEX($AI$2:$AI$1001,MATCH(ROWS($AG$2:AG105),$AG$2:$AG$1001,0),0), INDEX($AN$1004:$BO$1004,1,MATCH(COLUMNS($AN$1006:AU1006),$AN$1006:$BO$1006,0)))),"Fix")))</f>
        <v>0</v>
      </c>
      <c r="J105" s="4">
        <f>IF(OR(INDEX($AH$2:$AH$1001,MATCH(ROWS($AG$2:AG105),$AG$2:$AG$1001,0),1)&gt;=100000,INDEX($AN$1005:$BO$1005,1,MATCH(COLUMNS($AN$1006:AV1006),$AN$1006:$BO$1006,0))&gt;=100000), " ",IF(INDEX($AN$2:$BO$1001,MATCH(ROWS($AG$2:AG105),$AG$2:$AG$1001,0),MATCH(COLUMNS($AN$1006:AV1006),$AN$1006:$BO$1006,0)), HYPERLINK("#",""), HYPERLINK(CONCATENATE("#Metadata!", ADDRESS(INDEX($AI$2:$AI$1001,MATCH(ROWS($AG$2:AG105),$AG$2:$AG$1001,0),0), INDEX($AN$1004:$BO$1004,1,MATCH(COLUMNS($AN$1006:AV1006),$AN$1006:$BO$1006,0)))),"Fix")))</f>
        <v>0</v>
      </c>
      <c r="K105" s="4">
        <f>IF(OR(INDEX($AH$2:$AH$1001,MATCH(ROWS($AG$2:AG105),$AG$2:$AG$1001,0),1)&gt;=100000,INDEX($AN$1005:$BO$1005,1,MATCH(COLUMNS($AN$1006:AW1006),$AN$1006:$BO$1006,0))&gt;=100000), " ",IF(INDEX($AN$2:$BO$1001,MATCH(ROWS($AG$2:AG105),$AG$2:$AG$1001,0),MATCH(COLUMNS($AN$1006:AW1006),$AN$1006:$BO$1006,0)), HYPERLINK("#",""), HYPERLINK(CONCATENATE("#Metadata!", ADDRESS(INDEX($AI$2:$AI$1001,MATCH(ROWS($AG$2:AG105),$AG$2:$AG$1001,0),0), INDEX($AN$1004:$BO$1004,1,MATCH(COLUMNS($AN$1006:AW1006),$AN$1006:$BO$1006,0)))),"Fix")))</f>
        <v>0</v>
      </c>
      <c r="L105" s="4">
        <f>IF(OR(INDEX($AH$2:$AH$1001,MATCH(ROWS($AG$2:AG105),$AG$2:$AG$1001,0),1)&gt;=100000,INDEX($AN$1005:$BO$1005,1,MATCH(COLUMNS($AN$1006:AX1006),$AN$1006:$BO$1006,0))&gt;=100000), " ",IF(INDEX($AN$2:$BO$1001,MATCH(ROWS($AG$2:AG105),$AG$2:$AG$1001,0),MATCH(COLUMNS($AN$1006:AX1006),$AN$1006:$BO$1006,0)), HYPERLINK("#",""), HYPERLINK(CONCATENATE("#Metadata!", ADDRESS(INDEX($AI$2:$AI$1001,MATCH(ROWS($AG$2:AG105),$AG$2:$AG$1001,0),0), INDEX($AN$1004:$BO$1004,1,MATCH(COLUMNS($AN$1006:AX1006),$AN$1006:$BO$1006,0)))),"Fix")))</f>
        <v>0</v>
      </c>
      <c r="M105" s="4">
        <f>IF(OR(INDEX($AH$2:$AH$1001,MATCH(ROWS($AG$2:AG105),$AG$2:$AG$1001,0),1)&gt;=100000,INDEX($AN$1005:$BO$1005,1,MATCH(COLUMNS($AN$1006:AY1006),$AN$1006:$BO$1006,0))&gt;=100000), " ",IF(INDEX($AN$2:$BO$1001,MATCH(ROWS($AG$2:AG105),$AG$2:$AG$1001,0),MATCH(COLUMNS($AN$1006:AY1006),$AN$1006:$BO$1006,0)), HYPERLINK("#",""), HYPERLINK(CONCATENATE("#Metadata!", ADDRESS(INDEX($AI$2:$AI$1001,MATCH(ROWS($AG$2:AG105),$AG$2:$AG$1001,0),0), INDEX($AN$1004:$BO$1004,1,MATCH(COLUMNS($AN$1006:AY1006),$AN$1006:$BO$1006,0)))),"Fix")))</f>
        <v>0</v>
      </c>
      <c r="N105" s="4">
        <f>IF(OR(INDEX($AH$2:$AH$1001,MATCH(ROWS($AG$2:AG105),$AG$2:$AG$1001,0),1)&gt;=100000,INDEX($AN$1005:$BO$1005,1,MATCH(COLUMNS($AN$1006:AZ1006),$AN$1006:$BO$1006,0))&gt;=100000), " ",IF(INDEX($AN$2:$BO$1001,MATCH(ROWS($AG$2:AG105),$AG$2:$AG$1001,0),MATCH(COLUMNS($AN$1006:AZ1006),$AN$1006:$BO$1006,0)), HYPERLINK("#",""), HYPERLINK(CONCATENATE("#Metadata!", ADDRESS(INDEX($AI$2:$AI$1001,MATCH(ROWS($AG$2:AG105),$AG$2:$AG$1001,0),0), INDEX($AN$1004:$BO$1004,1,MATCH(COLUMNS($AN$1006:AZ1006),$AN$1006:$BO$1006,0)))),"Fix")))</f>
        <v>0</v>
      </c>
      <c r="O105" s="4">
        <f>IF(OR(INDEX($AH$2:$AH$1001,MATCH(ROWS($AG$2:AG105),$AG$2:$AG$1001,0),1)&gt;=100000,INDEX($AN$1005:$BO$1005,1,MATCH(COLUMNS($AN$1006:BA1006),$AN$1006:$BO$1006,0))&gt;=100000), " ",IF(INDEX($AN$2:$BO$1001,MATCH(ROWS($AG$2:AG105),$AG$2:$AG$1001,0),MATCH(COLUMNS($AN$1006:BA1006),$AN$1006:$BO$1006,0)), HYPERLINK("#",""), HYPERLINK(CONCATENATE("#Metadata!", ADDRESS(INDEX($AI$2:$AI$1001,MATCH(ROWS($AG$2:AG105),$AG$2:$AG$1001,0),0), INDEX($AN$1004:$BO$1004,1,MATCH(COLUMNS($AN$1006:BA1006),$AN$1006:$BO$1006,0)))),"Fix")))</f>
        <v>0</v>
      </c>
      <c r="P105" s="4">
        <f>IF(OR(INDEX($AH$2:$AH$1001,MATCH(ROWS($AG$2:AG105),$AG$2:$AG$1001,0),1)&gt;=100000,INDEX($AN$1005:$BO$1005,1,MATCH(COLUMNS($AN$1006:BB1006),$AN$1006:$BO$1006,0))&gt;=100000), " ",IF(INDEX($AN$2:$BO$1001,MATCH(ROWS($AG$2:AG105),$AG$2:$AG$1001,0),MATCH(COLUMNS($AN$1006:BB1006),$AN$1006:$BO$1006,0)), HYPERLINK("#",""), HYPERLINK(CONCATENATE("#Metadata!", ADDRESS(INDEX($AI$2:$AI$1001,MATCH(ROWS($AG$2:AG105),$AG$2:$AG$1001,0),0), INDEX($AN$1004:$BO$1004,1,MATCH(COLUMNS($AN$1006:BB1006),$AN$1006:$BO$1006,0)))),"Fix")))</f>
        <v>0</v>
      </c>
      <c r="Q105" s="4">
        <f>IF(OR(INDEX($AH$2:$AH$1001,MATCH(ROWS($AG$2:AG105),$AG$2:$AG$1001,0),1)&gt;=100000,INDEX($AN$1005:$BO$1005,1,MATCH(COLUMNS($AN$1006:BC1006),$AN$1006:$BO$1006,0))&gt;=100000), " ",IF(INDEX($AN$2:$BO$1001,MATCH(ROWS($AG$2:AG105),$AG$2:$AG$1001,0),MATCH(COLUMNS($AN$1006:BC1006),$AN$1006:$BO$1006,0)), HYPERLINK("#",""), HYPERLINK(CONCATENATE("#Metadata!", ADDRESS(INDEX($AI$2:$AI$1001,MATCH(ROWS($AG$2:AG105),$AG$2:$AG$1001,0),0), INDEX($AN$1004:$BO$1004,1,MATCH(COLUMNS($AN$1006:BC1006),$AN$1006:$BO$1006,0)))),"Fix")))</f>
        <v>0</v>
      </c>
      <c r="R105" s="4">
        <f>IF(OR(INDEX($AH$2:$AH$1001,MATCH(ROWS($AG$2:AG105),$AG$2:$AG$1001,0),1)&gt;=100000,INDEX($AN$1005:$BO$1005,1,MATCH(COLUMNS($AN$1006:BD1006),$AN$1006:$BO$1006,0))&gt;=100000), " ",IF(INDEX($AN$2:$BO$1001,MATCH(ROWS($AG$2:AG105),$AG$2:$AG$1001,0),MATCH(COLUMNS($AN$1006:BD1006),$AN$1006:$BO$1006,0)), HYPERLINK("#",""), HYPERLINK(CONCATENATE("#Metadata!", ADDRESS(INDEX($AI$2:$AI$1001,MATCH(ROWS($AG$2:AG105),$AG$2:$AG$1001,0),0), INDEX($AN$1004:$BO$1004,1,MATCH(COLUMNS($AN$1006:BD1006),$AN$1006:$BO$1006,0)))),"Fix")))</f>
        <v>0</v>
      </c>
      <c r="S105" s="4">
        <f>IF(OR(INDEX($AH$2:$AH$1001,MATCH(ROWS($AG$2:AG105),$AG$2:$AG$1001,0),1)&gt;=100000,INDEX($AN$1005:$BO$1005,1,MATCH(COLUMNS($AN$1006:BE1006),$AN$1006:$BO$1006,0))&gt;=100000), " ",IF(INDEX($AN$2:$BO$1001,MATCH(ROWS($AG$2:AG105),$AG$2:$AG$1001,0),MATCH(COLUMNS($AN$1006:BE1006),$AN$1006:$BO$1006,0)), HYPERLINK("#",""), HYPERLINK(CONCATENATE("#Metadata!", ADDRESS(INDEX($AI$2:$AI$1001,MATCH(ROWS($AG$2:AG105),$AG$2:$AG$1001,0),0), INDEX($AN$1004:$BO$1004,1,MATCH(COLUMNS($AN$1006:BE1006),$AN$1006:$BO$1006,0)))),"Fix")))</f>
        <v>0</v>
      </c>
      <c r="T105" s="4">
        <f>IF(OR(INDEX($AH$2:$AH$1001,MATCH(ROWS($AG$2:AG105),$AG$2:$AG$1001,0),1)&gt;=100000,INDEX($AN$1005:$BO$1005,1,MATCH(COLUMNS($AN$1006:BF1006),$AN$1006:$BO$1006,0))&gt;=100000), " ",IF(INDEX($AN$2:$BO$1001,MATCH(ROWS($AG$2:AG105),$AG$2:$AG$1001,0),MATCH(COLUMNS($AN$1006:BF1006),$AN$1006:$BO$1006,0)), HYPERLINK("#",""), HYPERLINK(CONCATENATE("#Metadata!", ADDRESS(INDEX($AI$2:$AI$1001,MATCH(ROWS($AG$2:AG105),$AG$2:$AG$1001,0),0), INDEX($AN$1004:$BO$1004,1,MATCH(COLUMNS($AN$1006:BF1006),$AN$1006:$BO$1006,0)))),"Fix")))</f>
        <v>0</v>
      </c>
      <c r="U105" s="4">
        <f>IF(OR(INDEX($AH$2:$AH$1001,MATCH(ROWS($AG$2:AG105),$AG$2:$AG$1001,0),1)&gt;=100000,INDEX($AN$1005:$BO$1005,1,MATCH(COLUMNS($AN$1006:BG1006),$AN$1006:$BO$1006,0))&gt;=100000), " ",IF(INDEX($AN$2:$BO$1001,MATCH(ROWS($AG$2:AG105),$AG$2:$AG$1001,0),MATCH(COLUMNS($AN$1006:BG1006),$AN$1006:$BO$1006,0)), HYPERLINK("#",""), HYPERLINK(CONCATENATE("#Metadata!", ADDRESS(INDEX($AI$2:$AI$1001,MATCH(ROWS($AG$2:AG105),$AG$2:$AG$1001,0),0), INDEX($AN$1004:$BO$1004,1,MATCH(COLUMNS($AN$1006:BG1006),$AN$1006:$BO$1006,0)))),"Fix")))</f>
        <v>0</v>
      </c>
      <c r="V105" s="4">
        <f>IF(OR(INDEX($AH$2:$AH$1001,MATCH(ROWS($AG$2:AG105),$AG$2:$AG$1001,0),1)&gt;=100000,INDEX($AN$1005:$BO$1005,1,MATCH(COLUMNS($AN$1006:BH1006),$AN$1006:$BO$1006,0))&gt;=100000), " ",IF(INDEX($AN$2:$BO$1001,MATCH(ROWS($AG$2:AG105),$AG$2:$AG$1001,0),MATCH(COLUMNS($AN$1006:BH1006),$AN$1006:$BO$1006,0)), HYPERLINK("#",""), HYPERLINK(CONCATENATE("#Metadata!", ADDRESS(INDEX($AI$2:$AI$1001,MATCH(ROWS($AG$2:AG105),$AG$2:$AG$1001,0),0), INDEX($AN$1004:$BO$1004,1,MATCH(COLUMNS($AN$1006:BH1006),$AN$1006:$BO$1006,0)))),"Fix")))</f>
        <v>0</v>
      </c>
      <c r="W105" s="4">
        <f>IF(OR(INDEX($AH$2:$AH$1001,MATCH(ROWS($AG$2:AG105),$AG$2:$AG$1001,0),1)&gt;=100000,INDEX($AN$1005:$BO$1005,1,MATCH(COLUMNS($AN$1006:BI1006),$AN$1006:$BO$1006,0))&gt;=100000), " ",IF(INDEX($AN$2:$BO$1001,MATCH(ROWS($AG$2:AG105),$AG$2:$AG$1001,0),MATCH(COLUMNS($AN$1006:BI1006),$AN$1006:$BO$1006,0)), HYPERLINK("#",""), HYPERLINK(CONCATENATE("#Metadata!", ADDRESS(INDEX($AI$2:$AI$1001,MATCH(ROWS($AG$2:AG105),$AG$2:$AG$1001,0),0), INDEX($AN$1004:$BO$1004,1,MATCH(COLUMNS($AN$1006:BI1006),$AN$1006:$BO$1006,0)))),"Fix")))</f>
        <v>0</v>
      </c>
      <c r="X105" s="4">
        <f>IF(OR(INDEX($AH$2:$AH$1001,MATCH(ROWS($AG$2:AG105),$AG$2:$AG$1001,0),1)&gt;=100000,INDEX($AN$1005:$BO$1005,1,MATCH(COLUMNS($AN$1006:BJ1006),$AN$1006:$BO$1006,0))&gt;=100000), " ",IF(INDEX($AN$2:$BO$1001,MATCH(ROWS($AG$2:AG105),$AG$2:$AG$1001,0),MATCH(COLUMNS($AN$1006:BJ1006),$AN$1006:$BO$1006,0)), HYPERLINK("#",""), HYPERLINK(CONCATENATE("#Metadata!", ADDRESS(INDEX($AI$2:$AI$1001,MATCH(ROWS($AG$2:AG105),$AG$2:$AG$1001,0),0), INDEX($AN$1004:$BO$1004,1,MATCH(COLUMNS($AN$1006:BJ1006),$AN$1006:$BO$1006,0)))),"Fix")))</f>
        <v>0</v>
      </c>
      <c r="Y105" s="4">
        <f>IF(OR(INDEX($AH$2:$AH$1001,MATCH(ROWS($AG$2:AG105),$AG$2:$AG$1001,0),1)&gt;=100000,INDEX($AN$1005:$BO$1005,1,MATCH(COLUMNS($AN$1006:BK1006),$AN$1006:$BO$1006,0))&gt;=100000), " ",IF(INDEX($AN$2:$BO$1001,MATCH(ROWS($AG$2:AG105),$AG$2:$AG$1001,0),MATCH(COLUMNS($AN$1006:BK1006),$AN$1006:$BO$1006,0)), HYPERLINK("#",""), HYPERLINK(CONCATENATE("#Metadata!", ADDRESS(INDEX($AI$2:$AI$1001,MATCH(ROWS($AG$2:AG105),$AG$2:$AG$1001,0),0), INDEX($AN$1004:$BO$1004,1,MATCH(COLUMNS($AN$1006:BK1006),$AN$1006:$BO$1006,0)))),"Fix")))</f>
        <v>0</v>
      </c>
      <c r="Z105" s="4">
        <f>IF(OR(INDEX($AH$2:$AH$1001,MATCH(ROWS($AG$2:AG105),$AG$2:$AG$1001,0),1)&gt;=100000,INDEX($AN$1005:$BO$1005,1,MATCH(COLUMNS($AN$1006:BL1006),$AN$1006:$BO$1006,0))&gt;=100000), " ",IF(INDEX($AN$2:$BO$1001,MATCH(ROWS($AG$2:AG105),$AG$2:$AG$1001,0),MATCH(COLUMNS($AN$1006:BL1006),$AN$1006:$BO$1006,0)), HYPERLINK("#",""), HYPERLINK(CONCATENATE("#Metadata!", ADDRESS(INDEX($AI$2:$AI$1001,MATCH(ROWS($AG$2:AG105),$AG$2:$AG$1001,0),0), INDEX($AN$1004:$BO$1004,1,MATCH(COLUMNS($AN$1006:BL1006),$AN$1006:$BO$1006,0)))),"Fix")))</f>
        <v>0</v>
      </c>
      <c r="AA105" s="4">
        <f>IF(OR(INDEX($AH$2:$AH$1001,MATCH(ROWS($AG$2:AG105),$AG$2:$AG$1001,0),1)&gt;=100000,INDEX($AN$1005:$BO$1005,1,MATCH(COLUMNS($AN$1006:BM1006),$AN$1006:$BO$1006,0))&gt;=100000), " ",IF(INDEX($AN$2:$BO$1001,MATCH(ROWS($AG$2:AG105),$AG$2:$AG$1001,0),MATCH(COLUMNS($AN$1006:BM1006),$AN$1006:$BO$1006,0)), HYPERLINK("#",""), HYPERLINK(CONCATENATE("#Metadata!", ADDRESS(INDEX($AI$2:$AI$1001,MATCH(ROWS($AG$2:AG105),$AG$2:$AG$1001,0),0), INDEX($AN$1004:$BO$1004,1,MATCH(COLUMNS($AN$1006:BM1006),$AN$1006:$BO$1006,0)))),"Fix")))</f>
        <v>0</v>
      </c>
      <c r="AB105" s="4">
        <f>IF(OR(INDEX($AH$2:$AH$1001,MATCH(ROWS($AG$2:AG105),$AG$2:$AG$1001,0),1)&gt;=100000,INDEX($AN$1005:$BO$1005,1,MATCH(COLUMNS($AN$1006:BN1006),$AN$1006:$BO$1006,0))&gt;=100000), " ",IF(INDEX($AN$2:$BO$1001,MATCH(ROWS($AG$2:AG105),$AG$2:$AG$1001,0),MATCH(COLUMNS($AN$1006:BN1006),$AN$1006:$BO$1006,0)), HYPERLINK("#",""), HYPERLINK(CONCATENATE("#Metadata!", ADDRESS(INDEX($AI$2:$AI$1001,MATCH(ROWS($AG$2:AG105),$AG$2:$AG$1001,0),0), INDEX($AN$1004:$BO$1004,1,MATCH(COLUMNS($AN$1006:BN1006),$AN$1006:$BO$1006,0)))),"Fix")))</f>
        <v>0</v>
      </c>
      <c r="AC105" s="4">
        <f>IF(OR(INDEX($AH$2:$AH$1001,MATCH(ROWS($AG$2:AG105),$AG$2:$AG$1001,0),1)&gt;=100000,INDEX($AN$1005:$BO$1005,1,MATCH(COLUMNS($AN$1006:BO1006),$AN$1006:$BO$1006,0))&gt;=100000), " ",IF(INDEX($AN$2:$BO$1001,MATCH(ROWS($AG$2:AG105),$AG$2:$AG$1001,0),MATCH(COLUMNS($AN$1006:BO1006),$AN$1006:$BO$1006,0)), HYPERLINK("#",""), HYPERLINK(CONCATENATE("#Metadata!", ADDRESS(INDEX($AI$2:$AI$1001,MATCH(ROWS($AG$2:AG105),$AG$2:$AG$1001,0),0), INDEX($AN$1004:$BO$1004,1,MATCH(COLUMNS($AN$1006:BO1006),$AN$1006:$BO$1006,0)))),"Fix")))</f>
        <v>0</v>
      </c>
      <c r="AG105">
        <v>0</v>
      </c>
      <c r="AH105">
        <v>0</v>
      </c>
      <c r="AI105">
        <v>0</v>
      </c>
      <c r="AJ105">
        <f>IF(AK105,TRUE,AND(AN105:BO105))</f>
        <v>0</v>
      </c>
      <c r="AK105">
        <f>COUNTBLANK(Metadata!B105:AC105)=COLUMNS(Metadata!B105:AC105)</f>
        <v>0</v>
      </c>
      <c r="AL105">
        <v>0</v>
      </c>
      <c r="AN105">
        <f>AND(IF(Metadata!B105="",FALSE,TRUE),COUNTIF(Metadata!B:B, Metadata!B105) = 1,NOT(ISERROR(SUMPRODUCT(SEARCH(MID(Metadata!B105,ROW(INDIRECT("1:"&amp;LEN(Metadata!B105))), 1),"0123456789abcdefghijklmnopqrstuvwxyzABCDEFGHIJKLMNOPQRSTUVWXYZ.")))))</f>
        <v>0</v>
      </c>
      <c r="AO105">
        <f>IF(Metadata!C105="",FALSE,TRUE)</f>
        <v>0</v>
      </c>
      <c r="AP105">
        <f>IF(Metadata!D105="",FALSE,TRUE)</f>
        <v>0</v>
      </c>
      <c r="AQ105">
        <f>OR(AND(IF(Metadata!E105="",FALSE,TRUE),OR(exact(Metadata!E105,"not collected"),exact(Metadata!E105,"not provided"),exact(Metadata!E105,"restricted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R105">
        <f>IF(Metadata!F105="",FALSE,TRUE)</f>
        <v>0</v>
      </c>
      <c r="AS105">
        <f>OR(AND(IF(Metadata!G105="",FALSE,TRUE),OR(exact(Metadata!G105,"not collected"),exact(Metadata!G105,"not provided"))),AND(IF(Metadata!G105="",FALSE,TRUE),OR(exact(Metadata!G105,"TRUE"),exact(Metadata!G105,"FALSE"))))</f>
        <v>0</v>
      </c>
      <c r="AT105">
        <f>OR(AND(IF(Metadata!H105="",FALSE,TRUE),OR(exact(Metadata!H105,"not collected"),exact(Metadata!H105,"not provided"),exact(Metadata!H105,"restricted access"))),AND(IF(Metadata!H105="",FALSE,ISNUMBER(VALUE(Metadata!H105))),Metadata!H105&gt;=-413.0))</f>
        <v>0</v>
      </c>
      <c r="AU105">
        <f>AND(IF(Metadata!I105="",FALSE,TRUE),exact(Metadata!I105,"meters"))</f>
        <v>0</v>
      </c>
      <c r="AV105">
        <f>AND(IF(Metadata!J105="",FALSE,TRUE),OR(exact(Metadata!J105,"Host-associated"),exact(Metadata!J105,"Free-living")))</f>
        <v>0</v>
      </c>
      <c r="AW105">
        <f>AND(IF(Metadata!K105="",FALSE,TRUE),OR(exact(Metadata!K105,"Animal"),exact(Metadata!K105,"Fungus"),exact(Metadata!K105,"Plant"),exact(Metadata!K105,"Saline"),exact(Metadata!K105,"Non-saline")))</f>
        <v>0</v>
      </c>
      <c r="AX105">
        <f>AND(IF(Metadata!L105="",FALSE,TRUE),OR(exact(Metadata!L105,"Plant secretion"),exact(Metadata!L105,"Plant rhizosphere"),exact(Metadata!L105,"Plant surface"),exact(Metadata!L105,"Plant corpus"),exact(Metadata!L105,"Fungus surface"),exact(Metadata!L105,"Fungus corpus"),exact(Metadata!L105,"Animal surface"),exact(Metadata!L105,"Animal proximal gut"),exact(Metadata!L105,"Animal corpus"),exact(Metadata!L105,"Animal distal gut"),exact(Metadata!L105,"Animal secretion"),exact(Metadata!L105,"Sub-surface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Y105">
        <f>IF(Metadata!M105="",FALSE,TRUE)</f>
        <v>0</v>
      </c>
      <c r="AZ105">
        <f>IF(Metadata!N105="",FALSE,TRUE)</f>
        <v>0</v>
      </c>
      <c r="BA105">
        <f>IF(Metadata!O105="",FALSE,TRUE)</f>
        <v>0</v>
      </c>
      <c r="BB105">
        <f>OR(AND(IF(Metadata!P105="",FALSE,TRUE),OR(exact(Metadata!P105,"not collected"),exact(Metadata!P105,"not provided"),exact(Metadata!P105,"restricted access"))),AND(IF(Metadata!P105="",FALSE,TRUE),OR(exact(Metadata!P105,"air"),exact(Metadata!P105,"built environment"),exact(Metadata!P105,"host-associated"),exact(Metadata!P105,"human-associated"),exact(Metadata!P105,"human-skin"),exact(Metadata!P105,"human-oral"),exact(Metadata!P105,"human-gut"),exact(Metadata!P105,"human-vaginal"),exact(Metadata!P105,"microbial mat/biofilm"),exact(Metadata!P105,"misc environment"),exact(Metadata!P105,"plant-associated"),exact(Metadata!P105,"sediment"),exact(Metadata!P105,"soil"),exact(Metadata!P105,"wastewater/sludge"),exact(Metadata!P105,"water"))))</f>
        <v>0</v>
      </c>
      <c r="BC105">
        <f>IF(Metadata!Q105="",FALSE,TRUE)</f>
        <v>0</v>
      </c>
      <c r="BD105">
        <f>IF(Metadata!R105="",FALSE,TRUE)</f>
        <v>0</v>
      </c>
      <c r="BE105">
        <f>OR(AND(IF(Metadata!S105="",FALSE,TRUE),OR(exact(Metadata!S105,"not collected"),exact(Metadata!S105,"not provided"),exact(Metadata!S105,"restricted access"))),AND(IF(Metadata!S105="",FALSE,ISNUMBER(VALUE(Metadata!S105))),Metadata!S105&gt;=-90.00,Metadata!S105&lt;=90.00))</f>
        <v>0</v>
      </c>
      <c r="BF105">
        <f>AND(IF(Metadata!T105="",FALSE,TRUE),exact(Metadata!T105,"Decimal degrees"))</f>
        <v>0</v>
      </c>
      <c r="BG105">
        <f>OR(AND(IF(Metadata!U105="",FALSE,TRUE),OR(exact(Metadata!U105,"not collected"),exact(Metadata!U105,"not provided"),exact(Metadata!U105,"restricted access"))),AND(IF(Metadata!U105="",FALSE,ISNUMBER(VALUE(Metadata!U105))),Metadata!U105&gt;=-180.00,Metadata!U105&lt;=180.00))</f>
        <v>0</v>
      </c>
      <c r="BH105">
        <f>AND(IF(Metadata!V105="",FALSE,TRUE),exact(Metadata!V105,"Decimal degrees"))</f>
        <v>0</v>
      </c>
      <c r="BI105">
        <f>IF(Metadata!W105="",FALSE,TRUE)</f>
        <v>0</v>
      </c>
      <c r="BJ105">
        <f>OR(AND(IF(Metadata!X105="",FALSE,TRUE),OR(exact(Metadata!X105,"not collected"),exact(Metadata!X105,"not provided"),exact(Metadata!X105,"restricted access"))),AND(IF(Metadata!X105="",FALSE,TRUE),OR(exact(Metadata!X105,"TRUE"),exact(Metadata!X105,"FALSE"))))</f>
        <v>0</v>
      </c>
      <c r="BK105">
        <f>AND(IF(Metadata!Y105="",FALSE,TRUE),exact(Metadata!Y105,"other"))</f>
        <v>0</v>
      </c>
      <c r="BL105">
        <f>IF(Metadata!Z105="",FALSE,TRUE)</f>
        <v>0</v>
      </c>
      <c r="BM105">
        <f>OR(AND(IF(Metadata!AA105="",FALSE,TRUE),OR(exact(Metadata!AA105,"not collected"),exact(Metadata!AA105,"not provided"))),AND(IF(Metadata!AA105="",FALSE,IF(ISERROR(INT(Metadata!AA105)),FALSE,INT(Metadata!AA105)=Metadata!AA105)),Metadata!AA105&gt;0))</f>
        <v>0</v>
      </c>
      <c r="BN105">
        <f>AND(IF(Metadata!AB105="",FALSE,TRUE),exact(Metadata!AB105,"Not applicable"))</f>
        <v>0</v>
      </c>
      <c r="BO105">
        <f>IF(Metadata!AC105="",FALSE,TRUE)</f>
        <v>0</v>
      </c>
    </row>
    <row r="106" spans="1:67">
      <c r="A106" s="5">
        <f>IF(B106=" "," ",HYPERLINK(CONCATENATE("#metadata!",ADDRESS(INDEX($AI$2:$AI$1001,MATCH(ROWS($AG$2:AG106),$AG$2:$AG$1001,0),0),1)),INDEX($AL$2:$AL$1001,MATCH(ROWS($AG$2:AG106),$AG$2:$AG$1001,0),0)))</f>
        <v>0</v>
      </c>
      <c r="B106" s="4">
        <f>IF(OR(INDEX($AH$2:$AH$1001,MATCH(ROWS($AG$2:AG106),$AG$2:$AG$1001,0),1)&gt;=100000,INDEX($AN$1005:$BO$1005,1,MATCH(COLUMNS($AN$1006:AN1006),$AN$1006:$BO$1006,0))&gt;=100000), " ",IF(INDEX($AN$2:$BO$1001,MATCH(ROWS($AG$2:AG106),$AG$2:$AG$1001,0),MATCH(COLUMNS($AN$1006:AN1006),$AN$1006:$BO$1006,0)), HYPERLINK("#",""), HYPERLINK(CONCATENATE("#Metadata!", ADDRESS(INDEX($AI$2:$AI$1001,MATCH(ROWS($AG$2:AG106),$AG$2:$AG$1001,0),0), INDEX($AN$1004:$BO$1004,1,MATCH(COLUMNS($AN$1006:AN1006),$AN$1006:$BO$1006,0)))),"Fix")))</f>
        <v>0</v>
      </c>
      <c r="C106" s="4">
        <f>IF(OR(INDEX($AH$2:$AH$1001,MATCH(ROWS($AG$2:AG106),$AG$2:$AG$1001,0),1)&gt;=100000,INDEX($AN$1005:$BO$1005,1,MATCH(COLUMNS($AN$1006:AO1006),$AN$1006:$BO$1006,0))&gt;=100000), " ",IF(INDEX($AN$2:$BO$1001,MATCH(ROWS($AG$2:AG106),$AG$2:$AG$1001,0),MATCH(COLUMNS($AN$1006:AO1006),$AN$1006:$BO$1006,0)), HYPERLINK("#",""), HYPERLINK(CONCATENATE("#Metadata!", ADDRESS(INDEX($AI$2:$AI$1001,MATCH(ROWS($AG$2:AG106),$AG$2:$AG$1001,0),0), INDEX($AN$1004:$BO$1004,1,MATCH(COLUMNS($AN$1006:AO1006),$AN$1006:$BO$1006,0)))),"Fix")))</f>
        <v>0</v>
      </c>
      <c r="D106" s="4">
        <f>IF(OR(INDEX($AH$2:$AH$1001,MATCH(ROWS($AG$2:AG106),$AG$2:$AG$1001,0),1)&gt;=100000,INDEX($AN$1005:$BO$1005,1,MATCH(COLUMNS($AN$1006:AP1006),$AN$1006:$BO$1006,0))&gt;=100000), " ",IF(INDEX($AN$2:$BO$1001,MATCH(ROWS($AG$2:AG106),$AG$2:$AG$1001,0),MATCH(COLUMNS($AN$1006:AP1006),$AN$1006:$BO$1006,0)), HYPERLINK("#",""), HYPERLINK(CONCATENATE("#Metadata!", ADDRESS(INDEX($AI$2:$AI$1001,MATCH(ROWS($AG$2:AG106),$AG$2:$AG$1001,0),0), INDEX($AN$1004:$BO$1004,1,MATCH(COLUMNS($AN$1006:AP1006),$AN$1006:$BO$1006,0)))),"Fix")))</f>
        <v>0</v>
      </c>
      <c r="E106" s="4">
        <f>IF(OR(INDEX($AH$2:$AH$1001,MATCH(ROWS($AG$2:AG106),$AG$2:$AG$1001,0),1)&gt;=100000,INDEX($AN$1005:$BO$1005,1,MATCH(COLUMNS($AN$1006:AQ1006),$AN$1006:$BO$1006,0))&gt;=100000), " ",IF(INDEX($AN$2:$BO$1001,MATCH(ROWS($AG$2:AG106),$AG$2:$AG$1001,0),MATCH(COLUMNS($AN$1006:AQ1006),$AN$1006:$BO$1006,0)), HYPERLINK("#",""), HYPERLINK(CONCATENATE("#Metadata!", ADDRESS(INDEX($AI$2:$AI$1001,MATCH(ROWS($AG$2:AG106),$AG$2:$AG$1001,0),0), INDEX($AN$1004:$BO$1004,1,MATCH(COLUMNS($AN$1006:AQ1006),$AN$1006:$BO$1006,0)))),"Fix")))</f>
        <v>0</v>
      </c>
      <c r="F106" s="4">
        <f>IF(OR(INDEX($AH$2:$AH$1001,MATCH(ROWS($AG$2:AG106),$AG$2:$AG$1001,0),1)&gt;=100000,INDEX($AN$1005:$BO$1005,1,MATCH(COLUMNS($AN$1006:AR1006),$AN$1006:$BO$1006,0))&gt;=100000), " ",IF(INDEX($AN$2:$BO$1001,MATCH(ROWS($AG$2:AG106),$AG$2:$AG$1001,0),MATCH(COLUMNS($AN$1006:AR1006),$AN$1006:$BO$1006,0)), HYPERLINK("#",""), HYPERLINK(CONCATENATE("#Metadata!", ADDRESS(INDEX($AI$2:$AI$1001,MATCH(ROWS($AG$2:AG106),$AG$2:$AG$1001,0),0), INDEX($AN$1004:$BO$1004,1,MATCH(COLUMNS($AN$1006:AR1006),$AN$1006:$BO$1006,0)))),"Fix")))</f>
        <v>0</v>
      </c>
      <c r="G106" s="4">
        <f>IF(OR(INDEX($AH$2:$AH$1001,MATCH(ROWS($AG$2:AG106),$AG$2:$AG$1001,0),1)&gt;=100000,INDEX($AN$1005:$BO$1005,1,MATCH(COLUMNS($AN$1006:AS1006),$AN$1006:$BO$1006,0))&gt;=100000), " ",IF(INDEX($AN$2:$BO$1001,MATCH(ROWS($AG$2:AG106),$AG$2:$AG$1001,0),MATCH(COLUMNS($AN$1006:AS1006),$AN$1006:$BO$1006,0)), HYPERLINK("#",""), HYPERLINK(CONCATENATE("#Metadata!", ADDRESS(INDEX($AI$2:$AI$1001,MATCH(ROWS($AG$2:AG106),$AG$2:$AG$1001,0),0), INDEX($AN$1004:$BO$1004,1,MATCH(COLUMNS($AN$1006:AS1006),$AN$1006:$BO$1006,0)))),"Fix")))</f>
        <v>0</v>
      </c>
      <c r="H106" s="4">
        <f>IF(OR(INDEX($AH$2:$AH$1001,MATCH(ROWS($AG$2:AG106),$AG$2:$AG$1001,0),1)&gt;=100000,INDEX($AN$1005:$BO$1005,1,MATCH(COLUMNS($AN$1006:AT1006),$AN$1006:$BO$1006,0))&gt;=100000), " ",IF(INDEX($AN$2:$BO$1001,MATCH(ROWS($AG$2:AG106),$AG$2:$AG$1001,0),MATCH(COLUMNS($AN$1006:AT1006),$AN$1006:$BO$1006,0)), HYPERLINK("#",""), HYPERLINK(CONCATENATE("#Metadata!", ADDRESS(INDEX($AI$2:$AI$1001,MATCH(ROWS($AG$2:AG106),$AG$2:$AG$1001,0),0), INDEX($AN$1004:$BO$1004,1,MATCH(COLUMNS($AN$1006:AT1006),$AN$1006:$BO$1006,0)))),"Fix")))</f>
        <v>0</v>
      </c>
      <c r="I106" s="4">
        <f>IF(OR(INDEX($AH$2:$AH$1001,MATCH(ROWS($AG$2:AG106),$AG$2:$AG$1001,0),1)&gt;=100000,INDEX($AN$1005:$BO$1005,1,MATCH(COLUMNS($AN$1006:AU1006),$AN$1006:$BO$1006,0))&gt;=100000), " ",IF(INDEX($AN$2:$BO$1001,MATCH(ROWS($AG$2:AG106),$AG$2:$AG$1001,0),MATCH(COLUMNS($AN$1006:AU1006),$AN$1006:$BO$1006,0)), HYPERLINK("#",""), HYPERLINK(CONCATENATE("#Metadata!", ADDRESS(INDEX($AI$2:$AI$1001,MATCH(ROWS($AG$2:AG106),$AG$2:$AG$1001,0),0), INDEX($AN$1004:$BO$1004,1,MATCH(COLUMNS($AN$1006:AU1006),$AN$1006:$BO$1006,0)))),"Fix")))</f>
        <v>0</v>
      </c>
      <c r="J106" s="4">
        <f>IF(OR(INDEX($AH$2:$AH$1001,MATCH(ROWS($AG$2:AG106),$AG$2:$AG$1001,0),1)&gt;=100000,INDEX($AN$1005:$BO$1005,1,MATCH(COLUMNS($AN$1006:AV1006),$AN$1006:$BO$1006,0))&gt;=100000), " ",IF(INDEX($AN$2:$BO$1001,MATCH(ROWS($AG$2:AG106),$AG$2:$AG$1001,0),MATCH(COLUMNS($AN$1006:AV1006),$AN$1006:$BO$1006,0)), HYPERLINK("#",""), HYPERLINK(CONCATENATE("#Metadata!", ADDRESS(INDEX($AI$2:$AI$1001,MATCH(ROWS($AG$2:AG106),$AG$2:$AG$1001,0),0), INDEX($AN$1004:$BO$1004,1,MATCH(COLUMNS($AN$1006:AV1006),$AN$1006:$BO$1006,0)))),"Fix")))</f>
        <v>0</v>
      </c>
      <c r="K106" s="4">
        <f>IF(OR(INDEX($AH$2:$AH$1001,MATCH(ROWS($AG$2:AG106),$AG$2:$AG$1001,0),1)&gt;=100000,INDEX($AN$1005:$BO$1005,1,MATCH(COLUMNS($AN$1006:AW1006),$AN$1006:$BO$1006,0))&gt;=100000), " ",IF(INDEX($AN$2:$BO$1001,MATCH(ROWS($AG$2:AG106),$AG$2:$AG$1001,0),MATCH(COLUMNS($AN$1006:AW1006),$AN$1006:$BO$1006,0)), HYPERLINK("#",""), HYPERLINK(CONCATENATE("#Metadata!", ADDRESS(INDEX($AI$2:$AI$1001,MATCH(ROWS($AG$2:AG106),$AG$2:$AG$1001,0),0), INDEX($AN$1004:$BO$1004,1,MATCH(COLUMNS($AN$1006:AW1006),$AN$1006:$BO$1006,0)))),"Fix")))</f>
        <v>0</v>
      </c>
      <c r="L106" s="4">
        <f>IF(OR(INDEX($AH$2:$AH$1001,MATCH(ROWS($AG$2:AG106),$AG$2:$AG$1001,0),1)&gt;=100000,INDEX($AN$1005:$BO$1005,1,MATCH(COLUMNS($AN$1006:AX1006),$AN$1006:$BO$1006,0))&gt;=100000), " ",IF(INDEX($AN$2:$BO$1001,MATCH(ROWS($AG$2:AG106),$AG$2:$AG$1001,0),MATCH(COLUMNS($AN$1006:AX1006),$AN$1006:$BO$1006,0)), HYPERLINK("#",""), HYPERLINK(CONCATENATE("#Metadata!", ADDRESS(INDEX($AI$2:$AI$1001,MATCH(ROWS($AG$2:AG106),$AG$2:$AG$1001,0),0), INDEX($AN$1004:$BO$1004,1,MATCH(COLUMNS($AN$1006:AX1006),$AN$1006:$BO$1006,0)))),"Fix")))</f>
        <v>0</v>
      </c>
      <c r="M106" s="4">
        <f>IF(OR(INDEX($AH$2:$AH$1001,MATCH(ROWS($AG$2:AG106),$AG$2:$AG$1001,0),1)&gt;=100000,INDEX($AN$1005:$BO$1005,1,MATCH(COLUMNS($AN$1006:AY1006),$AN$1006:$BO$1006,0))&gt;=100000), " ",IF(INDEX($AN$2:$BO$1001,MATCH(ROWS($AG$2:AG106),$AG$2:$AG$1001,0),MATCH(COLUMNS($AN$1006:AY1006),$AN$1006:$BO$1006,0)), HYPERLINK("#",""), HYPERLINK(CONCATENATE("#Metadata!", ADDRESS(INDEX($AI$2:$AI$1001,MATCH(ROWS($AG$2:AG106),$AG$2:$AG$1001,0),0), INDEX($AN$1004:$BO$1004,1,MATCH(COLUMNS($AN$1006:AY1006),$AN$1006:$BO$1006,0)))),"Fix")))</f>
        <v>0</v>
      </c>
      <c r="N106" s="4">
        <f>IF(OR(INDEX($AH$2:$AH$1001,MATCH(ROWS($AG$2:AG106),$AG$2:$AG$1001,0),1)&gt;=100000,INDEX($AN$1005:$BO$1005,1,MATCH(COLUMNS($AN$1006:AZ1006),$AN$1006:$BO$1006,0))&gt;=100000), " ",IF(INDEX($AN$2:$BO$1001,MATCH(ROWS($AG$2:AG106),$AG$2:$AG$1001,0),MATCH(COLUMNS($AN$1006:AZ1006),$AN$1006:$BO$1006,0)), HYPERLINK("#",""), HYPERLINK(CONCATENATE("#Metadata!", ADDRESS(INDEX($AI$2:$AI$1001,MATCH(ROWS($AG$2:AG106),$AG$2:$AG$1001,0),0), INDEX($AN$1004:$BO$1004,1,MATCH(COLUMNS($AN$1006:AZ1006),$AN$1006:$BO$1006,0)))),"Fix")))</f>
        <v>0</v>
      </c>
      <c r="O106" s="4">
        <f>IF(OR(INDEX($AH$2:$AH$1001,MATCH(ROWS($AG$2:AG106),$AG$2:$AG$1001,0),1)&gt;=100000,INDEX($AN$1005:$BO$1005,1,MATCH(COLUMNS($AN$1006:BA1006),$AN$1006:$BO$1006,0))&gt;=100000), " ",IF(INDEX($AN$2:$BO$1001,MATCH(ROWS($AG$2:AG106),$AG$2:$AG$1001,0),MATCH(COLUMNS($AN$1006:BA1006),$AN$1006:$BO$1006,0)), HYPERLINK("#",""), HYPERLINK(CONCATENATE("#Metadata!", ADDRESS(INDEX($AI$2:$AI$1001,MATCH(ROWS($AG$2:AG106),$AG$2:$AG$1001,0),0), INDEX($AN$1004:$BO$1004,1,MATCH(COLUMNS($AN$1006:BA1006),$AN$1006:$BO$1006,0)))),"Fix")))</f>
        <v>0</v>
      </c>
      <c r="P106" s="4">
        <f>IF(OR(INDEX($AH$2:$AH$1001,MATCH(ROWS($AG$2:AG106),$AG$2:$AG$1001,0),1)&gt;=100000,INDEX($AN$1005:$BO$1005,1,MATCH(COLUMNS($AN$1006:BB1006),$AN$1006:$BO$1006,0))&gt;=100000), " ",IF(INDEX($AN$2:$BO$1001,MATCH(ROWS($AG$2:AG106),$AG$2:$AG$1001,0),MATCH(COLUMNS($AN$1006:BB1006),$AN$1006:$BO$1006,0)), HYPERLINK("#",""), HYPERLINK(CONCATENATE("#Metadata!", ADDRESS(INDEX($AI$2:$AI$1001,MATCH(ROWS($AG$2:AG106),$AG$2:$AG$1001,0),0), INDEX($AN$1004:$BO$1004,1,MATCH(COLUMNS($AN$1006:BB1006),$AN$1006:$BO$1006,0)))),"Fix")))</f>
        <v>0</v>
      </c>
      <c r="Q106" s="4">
        <f>IF(OR(INDEX($AH$2:$AH$1001,MATCH(ROWS($AG$2:AG106),$AG$2:$AG$1001,0),1)&gt;=100000,INDEX($AN$1005:$BO$1005,1,MATCH(COLUMNS($AN$1006:BC1006),$AN$1006:$BO$1006,0))&gt;=100000), " ",IF(INDEX($AN$2:$BO$1001,MATCH(ROWS($AG$2:AG106),$AG$2:$AG$1001,0),MATCH(COLUMNS($AN$1006:BC1006),$AN$1006:$BO$1006,0)), HYPERLINK("#",""), HYPERLINK(CONCATENATE("#Metadata!", ADDRESS(INDEX($AI$2:$AI$1001,MATCH(ROWS($AG$2:AG106),$AG$2:$AG$1001,0),0), INDEX($AN$1004:$BO$1004,1,MATCH(COLUMNS($AN$1006:BC1006),$AN$1006:$BO$1006,0)))),"Fix")))</f>
        <v>0</v>
      </c>
      <c r="R106" s="4">
        <f>IF(OR(INDEX($AH$2:$AH$1001,MATCH(ROWS($AG$2:AG106),$AG$2:$AG$1001,0),1)&gt;=100000,INDEX($AN$1005:$BO$1005,1,MATCH(COLUMNS($AN$1006:BD1006),$AN$1006:$BO$1006,0))&gt;=100000), " ",IF(INDEX($AN$2:$BO$1001,MATCH(ROWS($AG$2:AG106),$AG$2:$AG$1001,0),MATCH(COLUMNS($AN$1006:BD1006),$AN$1006:$BO$1006,0)), HYPERLINK("#",""), HYPERLINK(CONCATENATE("#Metadata!", ADDRESS(INDEX($AI$2:$AI$1001,MATCH(ROWS($AG$2:AG106),$AG$2:$AG$1001,0),0), INDEX($AN$1004:$BO$1004,1,MATCH(COLUMNS($AN$1006:BD1006),$AN$1006:$BO$1006,0)))),"Fix")))</f>
        <v>0</v>
      </c>
      <c r="S106" s="4">
        <f>IF(OR(INDEX($AH$2:$AH$1001,MATCH(ROWS($AG$2:AG106),$AG$2:$AG$1001,0),1)&gt;=100000,INDEX($AN$1005:$BO$1005,1,MATCH(COLUMNS($AN$1006:BE1006),$AN$1006:$BO$1006,0))&gt;=100000), " ",IF(INDEX($AN$2:$BO$1001,MATCH(ROWS($AG$2:AG106),$AG$2:$AG$1001,0),MATCH(COLUMNS($AN$1006:BE1006),$AN$1006:$BO$1006,0)), HYPERLINK("#",""), HYPERLINK(CONCATENATE("#Metadata!", ADDRESS(INDEX($AI$2:$AI$1001,MATCH(ROWS($AG$2:AG106),$AG$2:$AG$1001,0),0), INDEX($AN$1004:$BO$1004,1,MATCH(COLUMNS($AN$1006:BE1006),$AN$1006:$BO$1006,0)))),"Fix")))</f>
        <v>0</v>
      </c>
      <c r="T106" s="4">
        <f>IF(OR(INDEX($AH$2:$AH$1001,MATCH(ROWS($AG$2:AG106),$AG$2:$AG$1001,0),1)&gt;=100000,INDEX($AN$1005:$BO$1005,1,MATCH(COLUMNS($AN$1006:BF1006),$AN$1006:$BO$1006,0))&gt;=100000), " ",IF(INDEX($AN$2:$BO$1001,MATCH(ROWS($AG$2:AG106),$AG$2:$AG$1001,0),MATCH(COLUMNS($AN$1006:BF1006),$AN$1006:$BO$1006,0)), HYPERLINK("#",""), HYPERLINK(CONCATENATE("#Metadata!", ADDRESS(INDEX($AI$2:$AI$1001,MATCH(ROWS($AG$2:AG106),$AG$2:$AG$1001,0),0), INDEX($AN$1004:$BO$1004,1,MATCH(COLUMNS($AN$1006:BF1006),$AN$1006:$BO$1006,0)))),"Fix")))</f>
        <v>0</v>
      </c>
      <c r="U106" s="4">
        <f>IF(OR(INDEX($AH$2:$AH$1001,MATCH(ROWS($AG$2:AG106),$AG$2:$AG$1001,0),1)&gt;=100000,INDEX($AN$1005:$BO$1005,1,MATCH(COLUMNS($AN$1006:BG1006),$AN$1006:$BO$1006,0))&gt;=100000), " ",IF(INDEX($AN$2:$BO$1001,MATCH(ROWS($AG$2:AG106),$AG$2:$AG$1001,0),MATCH(COLUMNS($AN$1006:BG1006),$AN$1006:$BO$1006,0)), HYPERLINK("#",""), HYPERLINK(CONCATENATE("#Metadata!", ADDRESS(INDEX($AI$2:$AI$1001,MATCH(ROWS($AG$2:AG106),$AG$2:$AG$1001,0),0), INDEX($AN$1004:$BO$1004,1,MATCH(COLUMNS($AN$1006:BG1006),$AN$1006:$BO$1006,0)))),"Fix")))</f>
        <v>0</v>
      </c>
      <c r="V106" s="4">
        <f>IF(OR(INDEX($AH$2:$AH$1001,MATCH(ROWS($AG$2:AG106),$AG$2:$AG$1001,0),1)&gt;=100000,INDEX($AN$1005:$BO$1005,1,MATCH(COLUMNS($AN$1006:BH1006),$AN$1006:$BO$1006,0))&gt;=100000), " ",IF(INDEX($AN$2:$BO$1001,MATCH(ROWS($AG$2:AG106),$AG$2:$AG$1001,0),MATCH(COLUMNS($AN$1006:BH1006),$AN$1006:$BO$1006,0)), HYPERLINK("#",""), HYPERLINK(CONCATENATE("#Metadata!", ADDRESS(INDEX($AI$2:$AI$1001,MATCH(ROWS($AG$2:AG106),$AG$2:$AG$1001,0),0), INDEX($AN$1004:$BO$1004,1,MATCH(COLUMNS($AN$1006:BH1006),$AN$1006:$BO$1006,0)))),"Fix")))</f>
        <v>0</v>
      </c>
      <c r="W106" s="4">
        <f>IF(OR(INDEX($AH$2:$AH$1001,MATCH(ROWS($AG$2:AG106),$AG$2:$AG$1001,0),1)&gt;=100000,INDEX($AN$1005:$BO$1005,1,MATCH(COLUMNS($AN$1006:BI1006),$AN$1006:$BO$1006,0))&gt;=100000), " ",IF(INDEX($AN$2:$BO$1001,MATCH(ROWS($AG$2:AG106),$AG$2:$AG$1001,0),MATCH(COLUMNS($AN$1006:BI1006),$AN$1006:$BO$1006,0)), HYPERLINK("#",""), HYPERLINK(CONCATENATE("#Metadata!", ADDRESS(INDEX($AI$2:$AI$1001,MATCH(ROWS($AG$2:AG106),$AG$2:$AG$1001,0),0), INDEX($AN$1004:$BO$1004,1,MATCH(COLUMNS($AN$1006:BI1006),$AN$1006:$BO$1006,0)))),"Fix")))</f>
        <v>0</v>
      </c>
      <c r="X106" s="4">
        <f>IF(OR(INDEX($AH$2:$AH$1001,MATCH(ROWS($AG$2:AG106),$AG$2:$AG$1001,0),1)&gt;=100000,INDEX($AN$1005:$BO$1005,1,MATCH(COLUMNS($AN$1006:BJ1006),$AN$1006:$BO$1006,0))&gt;=100000), " ",IF(INDEX($AN$2:$BO$1001,MATCH(ROWS($AG$2:AG106),$AG$2:$AG$1001,0),MATCH(COLUMNS($AN$1006:BJ1006),$AN$1006:$BO$1006,0)), HYPERLINK("#",""), HYPERLINK(CONCATENATE("#Metadata!", ADDRESS(INDEX($AI$2:$AI$1001,MATCH(ROWS($AG$2:AG106),$AG$2:$AG$1001,0),0), INDEX($AN$1004:$BO$1004,1,MATCH(COLUMNS($AN$1006:BJ1006),$AN$1006:$BO$1006,0)))),"Fix")))</f>
        <v>0</v>
      </c>
      <c r="Y106" s="4">
        <f>IF(OR(INDEX($AH$2:$AH$1001,MATCH(ROWS($AG$2:AG106),$AG$2:$AG$1001,0),1)&gt;=100000,INDEX($AN$1005:$BO$1005,1,MATCH(COLUMNS($AN$1006:BK1006),$AN$1006:$BO$1006,0))&gt;=100000), " ",IF(INDEX($AN$2:$BO$1001,MATCH(ROWS($AG$2:AG106),$AG$2:$AG$1001,0),MATCH(COLUMNS($AN$1006:BK1006),$AN$1006:$BO$1006,0)), HYPERLINK("#",""), HYPERLINK(CONCATENATE("#Metadata!", ADDRESS(INDEX($AI$2:$AI$1001,MATCH(ROWS($AG$2:AG106),$AG$2:$AG$1001,0),0), INDEX($AN$1004:$BO$1004,1,MATCH(COLUMNS($AN$1006:BK1006),$AN$1006:$BO$1006,0)))),"Fix")))</f>
        <v>0</v>
      </c>
      <c r="Z106" s="4">
        <f>IF(OR(INDEX($AH$2:$AH$1001,MATCH(ROWS($AG$2:AG106),$AG$2:$AG$1001,0),1)&gt;=100000,INDEX($AN$1005:$BO$1005,1,MATCH(COLUMNS($AN$1006:BL1006),$AN$1006:$BO$1006,0))&gt;=100000), " ",IF(INDEX($AN$2:$BO$1001,MATCH(ROWS($AG$2:AG106),$AG$2:$AG$1001,0),MATCH(COLUMNS($AN$1006:BL1006),$AN$1006:$BO$1006,0)), HYPERLINK("#",""), HYPERLINK(CONCATENATE("#Metadata!", ADDRESS(INDEX($AI$2:$AI$1001,MATCH(ROWS($AG$2:AG106),$AG$2:$AG$1001,0),0), INDEX($AN$1004:$BO$1004,1,MATCH(COLUMNS($AN$1006:BL1006),$AN$1006:$BO$1006,0)))),"Fix")))</f>
        <v>0</v>
      </c>
      <c r="AA106" s="4">
        <f>IF(OR(INDEX($AH$2:$AH$1001,MATCH(ROWS($AG$2:AG106),$AG$2:$AG$1001,0),1)&gt;=100000,INDEX($AN$1005:$BO$1005,1,MATCH(COLUMNS($AN$1006:BM1006),$AN$1006:$BO$1006,0))&gt;=100000), " ",IF(INDEX($AN$2:$BO$1001,MATCH(ROWS($AG$2:AG106),$AG$2:$AG$1001,0),MATCH(COLUMNS($AN$1006:BM1006),$AN$1006:$BO$1006,0)), HYPERLINK("#",""), HYPERLINK(CONCATENATE("#Metadata!", ADDRESS(INDEX($AI$2:$AI$1001,MATCH(ROWS($AG$2:AG106),$AG$2:$AG$1001,0),0), INDEX($AN$1004:$BO$1004,1,MATCH(COLUMNS($AN$1006:BM1006),$AN$1006:$BO$1006,0)))),"Fix")))</f>
        <v>0</v>
      </c>
      <c r="AB106" s="4">
        <f>IF(OR(INDEX($AH$2:$AH$1001,MATCH(ROWS($AG$2:AG106),$AG$2:$AG$1001,0),1)&gt;=100000,INDEX($AN$1005:$BO$1005,1,MATCH(COLUMNS($AN$1006:BN1006),$AN$1006:$BO$1006,0))&gt;=100000), " ",IF(INDEX($AN$2:$BO$1001,MATCH(ROWS($AG$2:AG106),$AG$2:$AG$1001,0),MATCH(COLUMNS($AN$1006:BN1006),$AN$1006:$BO$1006,0)), HYPERLINK("#",""), HYPERLINK(CONCATENATE("#Metadata!", ADDRESS(INDEX($AI$2:$AI$1001,MATCH(ROWS($AG$2:AG106),$AG$2:$AG$1001,0),0), INDEX($AN$1004:$BO$1004,1,MATCH(COLUMNS($AN$1006:BN1006),$AN$1006:$BO$1006,0)))),"Fix")))</f>
        <v>0</v>
      </c>
      <c r="AC106" s="4">
        <f>IF(OR(INDEX($AH$2:$AH$1001,MATCH(ROWS($AG$2:AG106),$AG$2:$AG$1001,0),1)&gt;=100000,INDEX($AN$1005:$BO$1005,1,MATCH(COLUMNS($AN$1006:BO1006),$AN$1006:$BO$1006,0))&gt;=100000), " ",IF(INDEX($AN$2:$BO$1001,MATCH(ROWS($AG$2:AG106),$AG$2:$AG$1001,0),MATCH(COLUMNS($AN$1006:BO1006),$AN$1006:$BO$1006,0)), HYPERLINK("#",""), HYPERLINK(CONCATENATE("#Metadata!", ADDRESS(INDEX($AI$2:$AI$1001,MATCH(ROWS($AG$2:AG106),$AG$2:$AG$1001,0),0), INDEX($AN$1004:$BO$1004,1,MATCH(COLUMNS($AN$1006:BO1006),$AN$1006:$BO$1006,0)))),"Fix")))</f>
        <v>0</v>
      </c>
      <c r="AG106">
        <v>0</v>
      </c>
      <c r="AH106">
        <v>0</v>
      </c>
      <c r="AI106">
        <v>0</v>
      </c>
      <c r="AJ106">
        <f>IF(AK106,TRUE,AND(AN106:BO106))</f>
        <v>0</v>
      </c>
      <c r="AK106">
        <f>COUNTBLANK(Metadata!B106:AC106)=COLUMNS(Metadata!B106:AC106)</f>
        <v>0</v>
      </c>
      <c r="AL106">
        <v>0</v>
      </c>
      <c r="AN106">
        <f>AND(IF(Metadata!B106="",FALSE,TRUE),COUNTIF(Metadata!B:B, Metadata!B106) = 1,NOT(ISERROR(SUMPRODUCT(SEARCH(MID(Metadata!B106,ROW(INDIRECT("1:"&amp;LEN(Metadata!B106))), 1),"0123456789abcdefghijklmnopqrstuvwxyzABCDEFGHIJKLMNOPQRSTUVWXYZ.")))))</f>
        <v>0</v>
      </c>
      <c r="AO106">
        <f>IF(Metadata!C106="",FALSE,TRUE)</f>
        <v>0</v>
      </c>
      <c r="AP106">
        <f>IF(Metadata!D106="",FALSE,TRUE)</f>
        <v>0</v>
      </c>
      <c r="AQ106">
        <f>OR(AND(IF(Metadata!E106="",FALSE,TRUE),OR(exact(Metadata!E106,"not collected"),exact(Metadata!E106,"not provided"),exact(Metadata!E106,"restricted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R106">
        <f>IF(Metadata!F106="",FALSE,TRUE)</f>
        <v>0</v>
      </c>
      <c r="AS106">
        <f>OR(AND(IF(Metadata!G106="",FALSE,TRUE),OR(exact(Metadata!G106,"not collected"),exact(Metadata!G106,"not provided"))),AND(IF(Metadata!G106="",FALSE,TRUE),OR(exact(Metadata!G106,"TRUE"),exact(Metadata!G106,"FALSE"))))</f>
        <v>0</v>
      </c>
      <c r="AT106">
        <f>OR(AND(IF(Metadata!H106="",FALSE,TRUE),OR(exact(Metadata!H106,"not collected"),exact(Metadata!H106,"not provided"),exact(Metadata!H106,"restricted access"))),AND(IF(Metadata!H106="",FALSE,ISNUMBER(VALUE(Metadata!H106))),Metadata!H106&gt;=-413.0))</f>
        <v>0</v>
      </c>
      <c r="AU106">
        <f>AND(IF(Metadata!I106="",FALSE,TRUE),exact(Metadata!I106,"meters"))</f>
        <v>0</v>
      </c>
      <c r="AV106">
        <f>AND(IF(Metadata!J106="",FALSE,TRUE),OR(exact(Metadata!J106,"Host-associated"),exact(Metadata!J106,"Free-living")))</f>
        <v>0</v>
      </c>
      <c r="AW106">
        <f>AND(IF(Metadata!K106="",FALSE,TRUE),OR(exact(Metadata!K106,"Animal"),exact(Metadata!K106,"Fungus"),exact(Metadata!K106,"Plant"),exact(Metadata!K106,"Saline"),exact(Metadata!K106,"Non-saline")))</f>
        <v>0</v>
      </c>
      <c r="AX106">
        <f>AND(IF(Metadata!L106="",FALSE,TRUE),OR(exact(Metadata!L106,"Plant secretion"),exact(Metadata!L106,"Plant rhizosphere"),exact(Metadata!L106,"Plant surface"),exact(Metadata!L106,"Plant corpus"),exact(Metadata!L106,"Fungus surface"),exact(Metadata!L106,"Fungus corpus"),exact(Metadata!L106,"Animal surface"),exact(Metadata!L106,"Animal proximal gut"),exact(Metadata!L106,"Animal corpus"),exact(Metadata!L106,"Animal distal gut"),exact(Metadata!L106,"Animal secretion"),exact(Metadata!L106,"Sub-surface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Y106">
        <f>IF(Metadata!M106="",FALSE,TRUE)</f>
        <v>0</v>
      </c>
      <c r="AZ106">
        <f>IF(Metadata!N106="",FALSE,TRUE)</f>
        <v>0</v>
      </c>
      <c r="BA106">
        <f>IF(Metadata!O106="",FALSE,TRUE)</f>
        <v>0</v>
      </c>
      <c r="BB106">
        <f>OR(AND(IF(Metadata!P106="",FALSE,TRUE),OR(exact(Metadata!P106,"not collected"),exact(Metadata!P106,"not provided"),exact(Metadata!P106,"restricted access"))),AND(IF(Metadata!P106="",FALSE,TRUE),OR(exact(Metadata!P106,"air"),exact(Metadata!P106,"built environment"),exact(Metadata!P106,"host-associated"),exact(Metadata!P106,"human-associated"),exact(Metadata!P106,"human-skin"),exact(Metadata!P106,"human-oral"),exact(Metadata!P106,"human-gut"),exact(Metadata!P106,"human-vaginal"),exact(Metadata!P106,"microbial mat/biofilm"),exact(Metadata!P106,"misc environment"),exact(Metadata!P106,"plant-associated"),exact(Metadata!P106,"sediment"),exact(Metadata!P106,"soil"),exact(Metadata!P106,"wastewater/sludge"),exact(Metadata!P106,"water"))))</f>
        <v>0</v>
      </c>
      <c r="BC106">
        <f>IF(Metadata!Q106="",FALSE,TRUE)</f>
        <v>0</v>
      </c>
      <c r="BD106">
        <f>IF(Metadata!R106="",FALSE,TRUE)</f>
        <v>0</v>
      </c>
      <c r="BE106">
        <f>OR(AND(IF(Metadata!S106="",FALSE,TRUE),OR(exact(Metadata!S106,"not collected"),exact(Metadata!S106,"not provided"),exact(Metadata!S106,"restricted access"))),AND(IF(Metadata!S106="",FALSE,ISNUMBER(VALUE(Metadata!S106))),Metadata!S106&gt;=-90.00,Metadata!S106&lt;=90.00))</f>
        <v>0</v>
      </c>
      <c r="BF106">
        <f>AND(IF(Metadata!T106="",FALSE,TRUE),exact(Metadata!T106,"Decimal degrees"))</f>
        <v>0</v>
      </c>
      <c r="BG106">
        <f>OR(AND(IF(Metadata!U106="",FALSE,TRUE),OR(exact(Metadata!U106,"not collected"),exact(Metadata!U106,"not provided"),exact(Metadata!U106,"restricted access"))),AND(IF(Metadata!U106="",FALSE,ISNUMBER(VALUE(Metadata!U106))),Metadata!U106&gt;=-180.00,Metadata!U106&lt;=180.00))</f>
        <v>0</v>
      </c>
      <c r="BH106">
        <f>AND(IF(Metadata!V106="",FALSE,TRUE),exact(Metadata!V106,"Decimal degrees"))</f>
        <v>0</v>
      </c>
      <c r="BI106">
        <f>IF(Metadata!W106="",FALSE,TRUE)</f>
        <v>0</v>
      </c>
      <c r="BJ106">
        <f>OR(AND(IF(Metadata!X106="",FALSE,TRUE),OR(exact(Metadata!X106,"not collected"),exact(Metadata!X106,"not provided"),exact(Metadata!X106,"restricted access"))),AND(IF(Metadata!X106="",FALSE,TRUE),OR(exact(Metadata!X106,"TRUE"),exact(Metadata!X106,"FALSE"))))</f>
        <v>0</v>
      </c>
      <c r="BK106">
        <f>AND(IF(Metadata!Y106="",FALSE,TRUE),exact(Metadata!Y106,"other"))</f>
        <v>0</v>
      </c>
      <c r="BL106">
        <f>IF(Metadata!Z106="",FALSE,TRUE)</f>
        <v>0</v>
      </c>
      <c r="BM106">
        <f>OR(AND(IF(Metadata!AA106="",FALSE,TRUE),OR(exact(Metadata!AA106,"not collected"),exact(Metadata!AA106,"not provided"))),AND(IF(Metadata!AA106="",FALSE,IF(ISERROR(INT(Metadata!AA106)),FALSE,INT(Metadata!AA106)=Metadata!AA106)),Metadata!AA106&gt;0))</f>
        <v>0</v>
      </c>
      <c r="BN106">
        <f>AND(IF(Metadata!AB106="",FALSE,TRUE),exact(Metadata!AB106,"Not applicable"))</f>
        <v>0</v>
      </c>
      <c r="BO106">
        <f>IF(Metadata!AC106="",FALSE,TRUE)</f>
        <v>0</v>
      </c>
    </row>
    <row r="107" spans="1:67">
      <c r="A107" s="5">
        <f>IF(B107=" "," ",HYPERLINK(CONCATENATE("#metadata!",ADDRESS(INDEX($AI$2:$AI$1001,MATCH(ROWS($AG$2:AG107),$AG$2:$AG$1001,0),0),1)),INDEX($AL$2:$AL$1001,MATCH(ROWS($AG$2:AG107),$AG$2:$AG$1001,0),0)))</f>
        <v>0</v>
      </c>
      <c r="B107" s="4">
        <f>IF(OR(INDEX($AH$2:$AH$1001,MATCH(ROWS($AG$2:AG107),$AG$2:$AG$1001,0),1)&gt;=100000,INDEX($AN$1005:$BO$1005,1,MATCH(COLUMNS($AN$1006:AN1006),$AN$1006:$BO$1006,0))&gt;=100000), " ",IF(INDEX($AN$2:$BO$1001,MATCH(ROWS($AG$2:AG107),$AG$2:$AG$1001,0),MATCH(COLUMNS($AN$1006:AN1006),$AN$1006:$BO$1006,0)), HYPERLINK("#",""), HYPERLINK(CONCATENATE("#Metadata!", ADDRESS(INDEX($AI$2:$AI$1001,MATCH(ROWS($AG$2:AG107),$AG$2:$AG$1001,0),0), INDEX($AN$1004:$BO$1004,1,MATCH(COLUMNS($AN$1006:AN1006),$AN$1006:$BO$1006,0)))),"Fix")))</f>
        <v>0</v>
      </c>
      <c r="C107" s="4">
        <f>IF(OR(INDEX($AH$2:$AH$1001,MATCH(ROWS($AG$2:AG107),$AG$2:$AG$1001,0),1)&gt;=100000,INDEX($AN$1005:$BO$1005,1,MATCH(COLUMNS($AN$1006:AO1006),$AN$1006:$BO$1006,0))&gt;=100000), " ",IF(INDEX($AN$2:$BO$1001,MATCH(ROWS($AG$2:AG107),$AG$2:$AG$1001,0),MATCH(COLUMNS($AN$1006:AO1006),$AN$1006:$BO$1006,0)), HYPERLINK("#",""), HYPERLINK(CONCATENATE("#Metadata!", ADDRESS(INDEX($AI$2:$AI$1001,MATCH(ROWS($AG$2:AG107),$AG$2:$AG$1001,0),0), INDEX($AN$1004:$BO$1004,1,MATCH(COLUMNS($AN$1006:AO1006),$AN$1006:$BO$1006,0)))),"Fix")))</f>
        <v>0</v>
      </c>
      <c r="D107" s="4">
        <f>IF(OR(INDEX($AH$2:$AH$1001,MATCH(ROWS($AG$2:AG107),$AG$2:$AG$1001,0),1)&gt;=100000,INDEX($AN$1005:$BO$1005,1,MATCH(COLUMNS($AN$1006:AP1006),$AN$1006:$BO$1006,0))&gt;=100000), " ",IF(INDEX($AN$2:$BO$1001,MATCH(ROWS($AG$2:AG107),$AG$2:$AG$1001,0),MATCH(COLUMNS($AN$1006:AP1006),$AN$1006:$BO$1006,0)), HYPERLINK("#",""), HYPERLINK(CONCATENATE("#Metadata!", ADDRESS(INDEX($AI$2:$AI$1001,MATCH(ROWS($AG$2:AG107),$AG$2:$AG$1001,0),0), INDEX($AN$1004:$BO$1004,1,MATCH(COLUMNS($AN$1006:AP1006),$AN$1006:$BO$1006,0)))),"Fix")))</f>
        <v>0</v>
      </c>
      <c r="E107" s="4">
        <f>IF(OR(INDEX($AH$2:$AH$1001,MATCH(ROWS($AG$2:AG107),$AG$2:$AG$1001,0),1)&gt;=100000,INDEX($AN$1005:$BO$1005,1,MATCH(COLUMNS($AN$1006:AQ1006),$AN$1006:$BO$1006,0))&gt;=100000), " ",IF(INDEX($AN$2:$BO$1001,MATCH(ROWS($AG$2:AG107),$AG$2:$AG$1001,0),MATCH(COLUMNS($AN$1006:AQ1006),$AN$1006:$BO$1006,0)), HYPERLINK("#",""), HYPERLINK(CONCATENATE("#Metadata!", ADDRESS(INDEX($AI$2:$AI$1001,MATCH(ROWS($AG$2:AG107),$AG$2:$AG$1001,0),0), INDEX($AN$1004:$BO$1004,1,MATCH(COLUMNS($AN$1006:AQ1006),$AN$1006:$BO$1006,0)))),"Fix")))</f>
        <v>0</v>
      </c>
      <c r="F107" s="4">
        <f>IF(OR(INDEX($AH$2:$AH$1001,MATCH(ROWS($AG$2:AG107),$AG$2:$AG$1001,0),1)&gt;=100000,INDEX($AN$1005:$BO$1005,1,MATCH(COLUMNS($AN$1006:AR1006),$AN$1006:$BO$1006,0))&gt;=100000), " ",IF(INDEX($AN$2:$BO$1001,MATCH(ROWS($AG$2:AG107),$AG$2:$AG$1001,0),MATCH(COLUMNS($AN$1006:AR1006),$AN$1006:$BO$1006,0)), HYPERLINK("#",""), HYPERLINK(CONCATENATE("#Metadata!", ADDRESS(INDEX($AI$2:$AI$1001,MATCH(ROWS($AG$2:AG107),$AG$2:$AG$1001,0),0), INDEX($AN$1004:$BO$1004,1,MATCH(COLUMNS($AN$1006:AR1006),$AN$1006:$BO$1006,0)))),"Fix")))</f>
        <v>0</v>
      </c>
      <c r="G107" s="4">
        <f>IF(OR(INDEX($AH$2:$AH$1001,MATCH(ROWS($AG$2:AG107),$AG$2:$AG$1001,0),1)&gt;=100000,INDEX($AN$1005:$BO$1005,1,MATCH(COLUMNS($AN$1006:AS1006),$AN$1006:$BO$1006,0))&gt;=100000), " ",IF(INDEX($AN$2:$BO$1001,MATCH(ROWS($AG$2:AG107),$AG$2:$AG$1001,0),MATCH(COLUMNS($AN$1006:AS1006),$AN$1006:$BO$1006,0)), HYPERLINK("#",""), HYPERLINK(CONCATENATE("#Metadata!", ADDRESS(INDEX($AI$2:$AI$1001,MATCH(ROWS($AG$2:AG107),$AG$2:$AG$1001,0),0), INDEX($AN$1004:$BO$1004,1,MATCH(COLUMNS($AN$1006:AS1006),$AN$1006:$BO$1006,0)))),"Fix")))</f>
        <v>0</v>
      </c>
      <c r="H107" s="4">
        <f>IF(OR(INDEX($AH$2:$AH$1001,MATCH(ROWS($AG$2:AG107),$AG$2:$AG$1001,0),1)&gt;=100000,INDEX($AN$1005:$BO$1005,1,MATCH(COLUMNS($AN$1006:AT1006),$AN$1006:$BO$1006,0))&gt;=100000), " ",IF(INDEX($AN$2:$BO$1001,MATCH(ROWS($AG$2:AG107),$AG$2:$AG$1001,0),MATCH(COLUMNS($AN$1006:AT1006),$AN$1006:$BO$1006,0)), HYPERLINK("#",""), HYPERLINK(CONCATENATE("#Metadata!", ADDRESS(INDEX($AI$2:$AI$1001,MATCH(ROWS($AG$2:AG107),$AG$2:$AG$1001,0),0), INDEX($AN$1004:$BO$1004,1,MATCH(COLUMNS($AN$1006:AT1006),$AN$1006:$BO$1006,0)))),"Fix")))</f>
        <v>0</v>
      </c>
      <c r="I107" s="4">
        <f>IF(OR(INDEX($AH$2:$AH$1001,MATCH(ROWS($AG$2:AG107),$AG$2:$AG$1001,0),1)&gt;=100000,INDEX($AN$1005:$BO$1005,1,MATCH(COLUMNS($AN$1006:AU1006),$AN$1006:$BO$1006,0))&gt;=100000), " ",IF(INDEX($AN$2:$BO$1001,MATCH(ROWS($AG$2:AG107),$AG$2:$AG$1001,0),MATCH(COLUMNS($AN$1006:AU1006),$AN$1006:$BO$1006,0)), HYPERLINK("#",""), HYPERLINK(CONCATENATE("#Metadata!", ADDRESS(INDEX($AI$2:$AI$1001,MATCH(ROWS($AG$2:AG107),$AG$2:$AG$1001,0),0), INDEX($AN$1004:$BO$1004,1,MATCH(COLUMNS($AN$1006:AU1006),$AN$1006:$BO$1006,0)))),"Fix")))</f>
        <v>0</v>
      </c>
      <c r="J107" s="4">
        <f>IF(OR(INDEX($AH$2:$AH$1001,MATCH(ROWS($AG$2:AG107),$AG$2:$AG$1001,0),1)&gt;=100000,INDEX($AN$1005:$BO$1005,1,MATCH(COLUMNS($AN$1006:AV1006),$AN$1006:$BO$1006,0))&gt;=100000), " ",IF(INDEX($AN$2:$BO$1001,MATCH(ROWS($AG$2:AG107),$AG$2:$AG$1001,0),MATCH(COLUMNS($AN$1006:AV1006),$AN$1006:$BO$1006,0)), HYPERLINK("#",""), HYPERLINK(CONCATENATE("#Metadata!", ADDRESS(INDEX($AI$2:$AI$1001,MATCH(ROWS($AG$2:AG107),$AG$2:$AG$1001,0),0), INDEX($AN$1004:$BO$1004,1,MATCH(COLUMNS($AN$1006:AV1006),$AN$1006:$BO$1006,0)))),"Fix")))</f>
        <v>0</v>
      </c>
      <c r="K107" s="4">
        <f>IF(OR(INDEX($AH$2:$AH$1001,MATCH(ROWS($AG$2:AG107),$AG$2:$AG$1001,0),1)&gt;=100000,INDEX($AN$1005:$BO$1005,1,MATCH(COLUMNS($AN$1006:AW1006),$AN$1006:$BO$1006,0))&gt;=100000), " ",IF(INDEX($AN$2:$BO$1001,MATCH(ROWS($AG$2:AG107),$AG$2:$AG$1001,0),MATCH(COLUMNS($AN$1006:AW1006),$AN$1006:$BO$1006,0)), HYPERLINK("#",""), HYPERLINK(CONCATENATE("#Metadata!", ADDRESS(INDEX($AI$2:$AI$1001,MATCH(ROWS($AG$2:AG107),$AG$2:$AG$1001,0),0), INDEX($AN$1004:$BO$1004,1,MATCH(COLUMNS($AN$1006:AW1006),$AN$1006:$BO$1006,0)))),"Fix")))</f>
        <v>0</v>
      </c>
      <c r="L107" s="4">
        <f>IF(OR(INDEX($AH$2:$AH$1001,MATCH(ROWS($AG$2:AG107),$AG$2:$AG$1001,0),1)&gt;=100000,INDEX($AN$1005:$BO$1005,1,MATCH(COLUMNS($AN$1006:AX1006),$AN$1006:$BO$1006,0))&gt;=100000), " ",IF(INDEX($AN$2:$BO$1001,MATCH(ROWS($AG$2:AG107),$AG$2:$AG$1001,0),MATCH(COLUMNS($AN$1006:AX1006),$AN$1006:$BO$1006,0)), HYPERLINK("#",""), HYPERLINK(CONCATENATE("#Metadata!", ADDRESS(INDEX($AI$2:$AI$1001,MATCH(ROWS($AG$2:AG107),$AG$2:$AG$1001,0),0), INDEX($AN$1004:$BO$1004,1,MATCH(COLUMNS($AN$1006:AX1006),$AN$1006:$BO$1006,0)))),"Fix")))</f>
        <v>0</v>
      </c>
      <c r="M107" s="4">
        <f>IF(OR(INDEX($AH$2:$AH$1001,MATCH(ROWS($AG$2:AG107),$AG$2:$AG$1001,0),1)&gt;=100000,INDEX($AN$1005:$BO$1005,1,MATCH(COLUMNS($AN$1006:AY1006),$AN$1006:$BO$1006,0))&gt;=100000), " ",IF(INDEX($AN$2:$BO$1001,MATCH(ROWS($AG$2:AG107),$AG$2:$AG$1001,0),MATCH(COLUMNS($AN$1006:AY1006),$AN$1006:$BO$1006,0)), HYPERLINK("#",""), HYPERLINK(CONCATENATE("#Metadata!", ADDRESS(INDEX($AI$2:$AI$1001,MATCH(ROWS($AG$2:AG107),$AG$2:$AG$1001,0),0), INDEX($AN$1004:$BO$1004,1,MATCH(COLUMNS($AN$1006:AY1006),$AN$1006:$BO$1006,0)))),"Fix")))</f>
        <v>0</v>
      </c>
      <c r="N107" s="4">
        <f>IF(OR(INDEX($AH$2:$AH$1001,MATCH(ROWS($AG$2:AG107),$AG$2:$AG$1001,0),1)&gt;=100000,INDEX($AN$1005:$BO$1005,1,MATCH(COLUMNS($AN$1006:AZ1006),$AN$1006:$BO$1006,0))&gt;=100000), " ",IF(INDEX($AN$2:$BO$1001,MATCH(ROWS($AG$2:AG107),$AG$2:$AG$1001,0),MATCH(COLUMNS($AN$1006:AZ1006),$AN$1006:$BO$1006,0)), HYPERLINK("#",""), HYPERLINK(CONCATENATE("#Metadata!", ADDRESS(INDEX($AI$2:$AI$1001,MATCH(ROWS($AG$2:AG107),$AG$2:$AG$1001,0),0), INDEX($AN$1004:$BO$1004,1,MATCH(COLUMNS($AN$1006:AZ1006),$AN$1006:$BO$1006,0)))),"Fix")))</f>
        <v>0</v>
      </c>
      <c r="O107" s="4">
        <f>IF(OR(INDEX($AH$2:$AH$1001,MATCH(ROWS($AG$2:AG107),$AG$2:$AG$1001,0),1)&gt;=100000,INDEX($AN$1005:$BO$1005,1,MATCH(COLUMNS($AN$1006:BA1006),$AN$1006:$BO$1006,0))&gt;=100000), " ",IF(INDEX($AN$2:$BO$1001,MATCH(ROWS($AG$2:AG107),$AG$2:$AG$1001,0),MATCH(COLUMNS($AN$1006:BA1006),$AN$1006:$BO$1006,0)), HYPERLINK("#",""), HYPERLINK(CONCATENATE("#Metadata!", ADDRESS(INDEX($AI$2:$AI$1001,MATCH(ROWS($AG$2:AG107),$AG$2:$AG$1001,0),0), INDEX($AN$1004:$BO$1004,1,MATCH(COLUMNS($AN$1006:BA1006),$AN$1006:$BO$1006,0)))),"Fix")))</f>
        <v>0</v>
      </c>
      <c r="P107" s="4">
        <f>IF(OR(INDEX($AH$2:$AH$1001,MATCH(ROWS($AG$2:AG107),$AG$2:$AG$1001,0),1)&gt;=100000,INDEX($AN$1005:$BO$1005,1,MATCH(COLUMNS($AN$1006:BB1006),$AN$1006:$BO$1006,0))&gt;=100000), " ",IF(INDEX($AN$2:$BO$1001,MATCH(ROWS($AG$2:AG107),$AG$2:$AG$1001,0),MATCH(COLUMNS($AN$1006:BB1006),$AN$1006:$BO$1006,0)), HYPERLINK("#",""), HYPERLINK(CONCATENATE("#Metadata!", ADDRESS(INDEX($AI$2:$AI$1001,MATCH(ROWS($AG$2:AG107),$AG$2:$AG$1001,0),0), INDEX($AN$1004:$BO$1004,1,MATCH(COLUMNS($AN$1006:BB1006),$AN$1006:$BO$1006,0)))),"Fix")))</f>
        <v>0</v>
      </c>
      <c r="Q107" s="4">
        <f>IF(OR(INDEX($AH$2:$AH$1001,MATCH(ROWS($AG$2:AG107),$AG$2:$AG$1001,0),1)&gt;=100000,INDEX($AN$1005:$BO$1005,1,MATCH(COLUMNS($AN$1006:BC1006),$AN$1006:$BO$1006,0))&gt;=100000), " ",IF(INDEX($AN$2:$BO$1001,MATCH(ROWS($AG$2:AG107),$AG$2:$AG$1001,0),MATCH(COLUMNS($AN$1006:BC1006),$AN$1006:$BO$1006,0)), HYPERLINK("#",""), HYPERLINK(CONCATENATE("#Metadata!", ADDRESS(INDEX($AI$2:$AI$1001,MATCH(ROWS($AG$2:AG107),$AG$2:$AG$1001,0),0), INDEX($AN$1004:$BO$1004,1,MATCH(COLUMNS($AN$1006:BC1006),$AN$1006:$BO$1006,0)))),"Fix")))</f>
        <v>0</v>
      </c>
      <c r="R107" s="4">
        <f>IF(OR(INDEX($AH$2:$AH$1001,MATCH(ROWS($AG$2:AG107),$AG$2:$AG$1001,0),1)&gt;=100000,INDEX($AN$1005:$BO$1005,1,MATCH(COLUMNS($AN$1006:BD1006),$AN$1006:$BO$1006,0))&gt;=100000), " ",IF(INDEX($AN$2:$BO$1001,MATCH(ROWS($AG$2:AG107),$AG$2:$AG$1001,0),MATCH(COLUMNS($AN$1006:BD1006),$AN$1006:$BO$1006,0)), HYPERLINK("#",""), HYPERLINK(CONCATENATE("#Metadata!", ADDRESS(INDEX($AI$2:$AI$1001,MATCH(ROWS($AG$2:AG107),$AG$2:$AG$1001,0),0), INDEX($AN$1004:$BO$1004,1,MATCH(COLUMNS($AN$1006:BD1006),$AN$1006:$BO$1006,0)))),"Fix")))</f>
        <v>0</v>
      </c>
      <c r="S107" s="4">
        <f>IF(OR(INDEX($AH$2:$AH$1001,MATCH(ROWS($AG$2:AG107),$AG$2:$AG$1001,0),1)&gt;=100000,INDEX($AN$1005:$BO$1005,1,MATCH(COLUMNS($AN$1006:BE1006),$AN$1006:$BO$1006,0))&gt;=100000), " ",IF(INDEX($AN$2:$BO$1001,MATCH(ROWS($AG$2:AG107),$AG$2:$AG$1001,0),MATCH(COLUMNS($AN$1006:BE1006),$AN$1006:$BO$1006,0)), HYPERLINK("#",""), HYPERLINK(CONCATENATE("#Metadata!", ADDRESS(INDEX($AI$2:$AI$1001,MATCH(ROWS($AG$2:AG107),$AG$2:$AG$1001,0),0), INDEX($AN$1004:$BO$1004,1,MATCH(COLUMNS($AN$1006:BE1006),$AN$1006:$BO$1006,0)))),"Fix")))</f>
        <v>0</v>
      </c>
      <c r="T107" s="4">
        <f>IF(OR(INDEX($AH$2:$AH$1001,MATCH(ROWS($AG$2:AG107),$AG$2:$AG$1001,0),1)&gt;=100000,INDEX($AN$1005:$BO$1005,1,MATCH(COLUMNS($AN$1006:BF1006),$AN$1006:$BO$1006,0))&gt;=100000), " ",IF(INDEX($AN$2:$BO$1001,MATCH(ROWS($AG$2:AG107),$AG$2:$AG$1001,0),MATCH(COLUMNS($AN$1006:BF1006),$AN$1006:$BO$1006,0)), HYPERLINK("#",""), HYPERLINK(CONCATENATE("#Metadata!", ADDRESS(INDEX($AI$2:$AI$1001,MATCH(ROWS($AG$2:AG107),$AG$2:$AG$1001,0),0), INDEX($AN$1004:$BO$1004,1,MATCH(COLUMNS($AN$1006:BF1006),$AN$1006:$BO$1006,0)))),"Fix")))</f>
        <v>0</v>
      </c>
      <c r="U107" s="4">
        <f>IF(OR(INDEX($AH$2:$AH$1001,MATCH(ROWS($AG$2:AG107),$AG$2:$AG$1001,0),1)&gt;=100000,INDEX($AN$1005:$BO$1005,1,MATCH(COLUMNS($AN$1006:BG1006),$AN$1006:$BO$1006,0))&gt;=100000), " ",IF(INDEX($AN$2:$BO$1001,MATCH(ROWS($AG$2:AG107),$AG$2:$AG$1001,0),MATCH(COLUMNS($AN$1006:BG1006),$AN$1006:$BO$1006,0)), HYPERLINK("#",""), HYPERLINK(CONCATENATE("#Metadata!", ADDRESS(INDEX($AI$2:$AI$1001,MATCH(ROWS($AG$2:AG107),$AG$2:$AG$1001,0),0), INDEX($AN$1004:$BO$1004,1,MATCH(COLUMNS($AN$1006:BG1006),$AN$1006:$BO$1006,0)))),"Fix")))</f>
        <v>0</v>
      </c>
      <c r="V107" s="4">
        <f>IF(OR(INDEX($AH$2:$AH$1001,MATCH(ROWS($AG$2:AG107),$AG$2:$AG$1001,0),1)&gt;=100000,INDEX($AN$1005:$BO$1005,1,MATCH(COLUMNS($AN$1006:BH1006),$AN$1006:$BO$1006,0))&gt;=100000), " ",IF(INDEX($AN$2:$BO$1001,MATCH(ROWS($AG$2:AG107),$AG$2:$AG$1001,0),MATCH(COLUMNS($AN$1006:BH1006),$AN$1006:$BO$1006,0)), HYPERLINK("#",""), HYPERLINK(CONCATENATE("#Metadata!", ADDRESS(INDEX($AI$2:$AI$1001,MATCH(ROWS($AG$2:AG107),$AG$2:$AG$1001,0),0), INDEX($AN$1004:$BO$1004,1,MATCH(COLUMNS($AN$1006:BH1006),$AN$1006:$BO$1006,0)))),"Fix")))</f>
        <v>0</v>
      </c>
      <c r="W107" s="4">
        <f>IF(OR(INDEX($AH$2:$AH$1001,MATCH(ROWS($AG$2:AG107),$AG$2:$AG$1001,0),1)&gt;=100000,INDEX($AN$1005:$BO$1005,1,MATCH(COLUMNS($AN$1006:BI1006),$AN$1006:$BO$1006,0))&gt;=100000), " ",IF(INDEX($AN$2:$BO$1001,MATCH(ROWS($AG$2:AG107),$AG$2:$AG$1001,0),MATCH(COLUMNS($AN$1006:BI1006),$AN$1006:$BO$1006,0)), HYPERLINK("#",""), HYPERLINK(CONCATENATE("#Metadata!", ADDRESS(INDEX($AI$2:$AI$1001,MATCH(ROWS($AG$2:AG107),$AG$2:$AG$1001,0),0), INDEX($AN$1004:$BO$1004,1,MATCH(COLUMNS($AN$1006:BI1006),$AN$1006:$BO$1006,0)))),"Fix")))</f>
        <v>0</v>
      </c>
      <c r="X107" s="4">
        <f>IF(OR(INDEX($AH$2:$AH$1001,MATCH(ROWS($AG$2:AG107),$AG$2:$AG$1001,0),1)&gt;=100000,INDEX($AN$1005:$BO$1005,1,MATCH(COLUMNS($AN$1006:BJ1006),$AN$1006:$BO$1006,0))&gt;=100000), " ",IF(INDEX($AN$2:$BO$1001,MATCH(ROWS($AG$2:AG107),$AG$2:$AG$1001,0),MATCH(COLUMNS($AN$1006:BJ1006),$AN$1006:$BO$1006,0)), HYPERLINK("#",""), HYPERLINK(CONCATENATE("#Metadata!", ADDRESS(INDEX($AI$2:$AI$1001,MATCH(ROWS($AG$2:AG107),$AG$2:$AG$1001,0),0), INDEX($AN$1004:$BO$1004,1,MATCH(COLUMNS($AN$1006:BJ1006),$AN$1006:$BO$1006,0)))),"Fix")))</f>
        <v>0</v>
      </c>
      <c r="Y107" s="4">
        <f>IF(OR(INDEX($AH$2:$AH$1001,MATCH(ROWS($AG$2:AG107),$AG$2:$AG$1001,0),1)&gt;=100000,INDEX($AN$1005:$BO$1005,1,MATCH(COLUMNS($AN$1006:BK1006),$AN$1006:$BO$1006,0))&gt;=100000), " ",IF(INDEX($AN$2:$BO$1001,MATCH(ROWS($AG$2:AG107),$AG$2:$AG$1001,0),MATCH(COLUMNS($AN$1006:BK1006),$AN$1006:$BO$1006,0)), HYPERLINK("#",""), HYPERLINK(CONCATENATE("#Metadata!", ADDRESS(INDEX($AI$2:$AI$1001,MATCH(ROWS($AG$2:AG107),$AG$2:$AG$1001,0),0), INDEX($AN$1004:$BO$1004,1,MATCH(COLUMNS($AN$1006:BK1006),$AN$1006:$BO$1006,0)))),"Fix")))</f>
        <v>0</v>
      </c>
      <c r="Z107" s="4">
        <f>IF(OR(INDEX($AH$2:$AH$1001,MATCH(ROWS($AG$2:AG107),$AG$2:$AG$1001,0),1)&gt;=100000,INDEX($AN$1005:$BO$1005,1,MATCH(COLUMNS($AN$1006:BL1006),$AN$1006:$BO$1006,0))&gt;=100000), " ",IF(INDEX($AN$2:$BO$1001,MATCH(ROWS($AG$2:AG107),$AG$2:$AG$1001,0),MATCH(COLUMNS($AN$1006:BL1006),$AN$1006:$BO$1006,0)), HYPERLINK("#",""), HYPERLINK(CONCATENATE("#Metadata!", ADDRESS(INDEX($AI$2:$AI$1001,MATCH(ROWS($AG$2:AG107),$AG$2:$AG$1001,0),0), INDEX($AN$1004:$BO$1004,1,MATCH(COLUMNS($AN$1006:BL1006),$AN$1006:$BO$1006,0)))),"Fix")))</f>
        <v>0</v>
      </c>
      <c r="AA107" s="4">
        <f>IF(OR(INDEX($AH$2:$AH$1001,MATCH(ROWS($AG$2:AG107),$AG$2:$AG$1001,0),1)&gt;=100000,INDEX($AN$1005:$BO$1005,1,MATCH(COLUMNS($AN$1006:BM1006),$AN$1006:$BO$1006,0))&gt;=100000), " ",IF(INDEX($AN$2:$BO$1001,MATCH(ROWS($AG$2:AG107),$AG$2:$AG$1001,0),MATCH(COLUMNS($AN$1006:BM1006),$AN$1006:$BO$1006,0)), HYPERLINK("#",""), HYPERLINK(CONCATENATE("#Metadata!", ADDRESS(INDEX($AI$2:$AI$1001,MATCH(ROWS($AG$2:AG107),$AG$2:$AG$1001,0),0), INDEX($AN$1004:$BO$1004,1,MATCH(COLUMNS($AN$1006:BM1006),$AN$1006:$BO$1006,0)))),"Fix")))</f>
        <v>0</v>
      </c>
      <c r="AB107" s="4">
        <f>IF(OR(INDEX($AH$2:$AH$1001,MATCH(ROWS($AG$2:AG107),$AG$2:$AG$1001,0),1)&gt;=100000,INDEX($AN$1005:$BO$1005,1,MATCH(COLUMNS($AN$1006:BN1006),$AN$1006:$BO$1006,0))&gt;=100000), " ",IF(INDEX($AN$2:$BO$1001,MATCH(ROWS($AG$2:AG107),$AG$2:$AG$1001,0),MATCH(COLUMNS($AN$1006:BN1006),$AN$1006:$BO$1006,0)), HYPERLINK("#",""), HYPERLINK(CONCATENATE("#Metadata!", ADDRESS(INDEX($AI$2:$AI$1001,MATCH(ROWS($AG$2:AG107),$AG$2:$AG$1001,0),0), INDEX($AN$1004:$BO$1004,1,MATCH(COLUMNS($AN$1006:BN1006),$AN$1006:$BO$1006,0)))),"Fix")))</f>
        <v>0</v>
      </c>
      <c r="AC107" s="4">
        <f>IF(OR(INDEX($AH$2:$AH$1001,MATCH(ROWS($AG$2:AG107),$AG$2:$AG$1001,0),1)&gt;=100000,INDEX($AN$1005:$BO$1005,1,MATCH(COLUMNS($AN$1006:BO1006),$AN$1006:$BO$1006,0))&gt;=100000), " ",IF(INDEX($AN$2:$BO$1001,MATCH(ROWS($AG$2:AG107),$AG$2:$AG$1001,0),MATCH(COLUMNS($AN$1006:BO1006),$AN$1006:$BO$1006,0)), HYPERLINK("#",""), HYPERLINK(CONCATENATE("#Metadata!", ADDRESS(INDEX($AI$2:$AI$1001,MATCH(ROWS($AG$2:AG107),$AG$2:$AG$1001,0),0), INDEX($AN$1004:$BO$1004,1,MATCH(COLUMNS($AN$1006:BO1006),$AN$1006:$BO$1006,0)))),"Fix")))</f>
        <v>0</v>
      </c>
      <c r="AG107">
        <v>0</v>
      </c>
      <c r="AH107">
        <v>0</v>
      </c>
      <c r="AI107">
        <v>0</v>
      </c>
      <c r="AJ107">
        <f>IF(AK107,TRUE,AND(AN107:BO107))</f>
        <v>0</v>
      </c>
      <c r="AK107">
        <f>COUNTBLANK(Metadata!B107:AC107)=COLUMNS(Metadata!B107:AC107)</f>
        <v>0</v>
      </c>
      <c r="AL107">
        <v>0</v>
      </c>
      <c r="AN107">
        <f>AND(IF(Metadata!B107="",FALSE,TRUE),COUNTIF(Metadata!B:B, Metadata!B107) = 1,NOT(ISERROR(SUMPRODUCT(SEARCH(MID(Metadata!B107,ROW(INDIRECT("1:"&amp;LEN(Metadata!B107))), 1),"0123456789abcdefghijklmnopqrstuvwxyzABCDEFGHIJKLMNOPQRSTUVWXYZ.")))))</f>
        <v>0</v>
      </c>
      <c r="AO107">
        <f>IF(Metadata!C107="",FALSE,TRUE)</f>
        <v>0</v>
      </c>
      <c r="AP107">
        <f>IF(Metadata!D107="",FALSE,TRUE)</f>
        <v>0</v>
      </c>
      <c r="AQ107">
        <f>OR(AND(IF(Metadata!E107="",FALSE,TRUE),OR(exact(Metadata!E107,"not collected"),exact(Metadata!E107,"not provided"),exact(Metadata!E107,"restricted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R107">
        <f>IF(Metadata!F107="",FALSE,TRUE)</f>
        <v>0</v>
      </c>
      <c r="AS107">
        <f>OR(AND(IF(Metadata!G107="",FALSE,TRUE),OR(exact(Metadata!G107,"not collected"),exact(Metadata!G107,"not provided"))),AND(IF(Metadata!G107="",FALSE,TRUE),OR(exact(Metadata!G107,"TRUE"),exact(Metadata!G107,"FALSE"))))</f>
        <v>0</v>
      </c>
      <c r="AT107">
        <f>OR(AND(IF(Metadata!H107="",FALSE,TRUE),OR(exact(Metadata!H107,"not collected"),exact(Metadata!H107,"not provided"),exact(Metadata!H107,"restricted access"))),AND(IF(Metadata!H107="",FALSE,ISNUMBER(VALUE(Metadata!H107))),Metadata!H107&gt;=-413.0))</f>
        <v>0</v>
      </c>
      <c r="AU107">
        <f>AND(IF(Metadata!I107="",FALSE,TRUE),exact(Metadata!I107,"meters"))</f>
        <v>0</v>
      </c>
      <c r="AV107">
        <f>AND(IF(Metadata!J107="",FALSE,TRUE),OR(exact(Metadata!J107,"Host-associated"),exact(Metadata!J107,"Free-living")))</f>
        <v>0</v>
      </c>
      <c r="AW107">
        <f>AND(IF(Metadata!K107="",FALSE,TRUE),OR(exact(Metadata!K107,"Animal"),exact(Metadata!K107,"Fungus"),exact(Metadata!K107,"Plant"),exact(Metadata!K107,"Saline"),exact(Metadata!K107,"Non-saline")))</f>
        <v>0</v>
      </c>
      <c r="AX107">
        <f>AND(IF(Metadata!L107="",FALSE,TRUE),OR(exact(Metadata!L107,"Plant secretion"),exact(Metadata!L107,"Plant rhizosphere"),exact(Metadata!L107,"Plant surface"),exact(Metadata!L107,"Plant corpus"),exact(Metadata!L107,"Fungus surface"),exact(Metadata!L107,"Fungus corpus"),exact(Metadata!L107,"Animal surface"),exact(Metadata!L107,"Animal proximal gut"),exact(Metadata!L107,"Animal corpus"),exact(Metadata!L107,"Animal distal gut"),exact(Metadata!L107,"Animal secretion"),exact(Metadata!L107,"Sub-surface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Y107">
        <f>IF(Metadata!M107="",FALSE,TRUE)</f>
        <v>0</v>
      </c>
      <c r="AZ107">
        <f>IF(Metadata!N107="",FALSE,TRUE)</f>
        <v>0</v>
      </c>
      <c r="BA107">
        <f>IF(Metadata!O107="",FALSE,TRUE)</f>
        <v>0</v>
      </c>
      <c r="BB107">
        <f>OR(AND(IF(Metadata!P107="",FALSE,TRUE),OR(exact(Metadata!P107,"not collected"),exact(Metadata!P107,"not provided"),exact(Metadata!P107,"restricted access"))),AND(IF(Metadata!P107="",FALSE,TRUE),OR(exact(Metadata!P107,"air"),exact(Metadata!P107,"built environment"),exact(Metadata!P107,"host-associated"),exact(Metadata!P107,"human-associated"),exact(Metadata!P107,"human-skin"),exact(Metadata!P107,"human-oral"),exact(Metadata!P107,"human-gut"),exact(Metadata!P107,"human-vaginal"),exact(Metadata!P107,"microbial mat/biofilm"),exact(Metadata!P107,"misc environment"),exact(Metadata!P107,"plant-associated"),exact(Metadata!P107,"sediment"),exact(Metadata!P107,"soil"),exact(Metadata!P107,"wastewater/sludge"),exact(Metadata!P107,"water"))))</f>
        <v>0</v>
      </c>
      <c r="BC107">
        <f>IF(Metadata!Q107="",FALSE,TRUE)</f>
        <v>0</v>
      </c>
      <c r="BD107">
        <f>IF(Metadata!R107="",FALSE,TRUE)</f>
        <v>0</v>
      </c>
      <c r="BE107">
        <f>OR(AND(IF(Metadata!S107="",FALSE,TRUE),OR(exact(Metadata!S107,"not collected"),exact(Metadata!S107,"not provided"),exact(Metadata!S107,"restricted access"))),AND(IF(Metadata!S107="",FALSE,ISNUMBER(VALUE(Metadata!S107))),Metadata!S107&gt;=-90.00,Metadata!S107&lt;=90.00))</f>
        <v>0</v>
      </c>
      <c r="BF107">
        <f>AND(IF(Metadata!T107="",FALSE,TRUE),exact(Metadata!T107,"Decimal degrees"))</f>
        <v>0</v>
      </c>
      <c r="BG107">
        <f>OR(AND(IF(Metadata!U107="",FALSE,TRUE),OR(exact(Metadata!U107,"not collected"),exact(Metadata!U107,"not provided"),exact(Metadata!U107,"restricted access"))),AND(IF(Metadata!U107="",FALSE,ISNUMBER(VALUE(Metadata!U107))),Metadata!U107&gt;=-180.00,Metadata!U107&lt;=180.00))</f>
        <v>0</v>
      </c>
      <c r="BH107">
        <f>AND(IF(Metadata!V107="",FALSE,TRUE),exact(Metadata!V107,"Decimal degrees"))</f>
        <v>0</v>
      </c>
      <c r="BI107">
        <f>IF(Metadata!W107="",FALSE,TRUE)</f>
        <v>0</v>
      </c>
      <c r="BJ107">
        <f>OR(AND(IF(Metadata!X107="",FALSE,TRUE),OR(exact(Metadata!X107,"not collected"),exact(Metadata!X107,"not provided"),exact(Metadata!X107,"restricted access"))),AND(IF(Metadata!X107="",FALSE,TRUE),OR(exact(Metadata!X107,"TRUE"),exact(Metadata!X107,"FALSE"))))</f>
        <v>0</v>
      </c>
      <c r="BK107">
        <f>AND(IF(Metadata!Y107="",FALSE,TRUE),exact(Metadata!Y107,"other"))</f>
        <v>0</v>
      </c>
      <c r="BL107">
        <f>IF(Metadata!Z107="",FALSE,TRUE)</f>
        <v>0</v>
      </c>
      <c r="BM107">
        <f>OR(AND(IF(Metadata!AA107="",FALSE,TRUE),OR(exact(Metadata!AA107,"not collected"),exact(Metadata!AA107,"not provided"))),AND(IF(Metadata!AA107="",FALSE,IF(ISERROR(INT(Metadata!AA107)),FALSE,INT(Metadata!AA107)=Metadata!AA107)),Metadata!AA107&gt;0))</f>
        <v>0</v>
      </c>
      <c r="BN107">
        <f>AND(IF(Metadata!AB107="",FALSE,TRUE),exact(Metadata!AB107,"Not applicable"))</f>
        <v>0</v>
      </c>
      <c r="BO107">
        <f>IF(Metadata!AC107="",FALSE,TRUE)</f>
        <v>0</v>
      </c>
    </row>
    <row r="108" spans="1:67">
      <c r="A108" s="5">
        <f>IF(B108=" "," ",HYPERLINK(CONCATENATE("#metadata!",ADDRESS(INDEX($AI$2:$AI$1001,MATCH(ROWS($AG$2:AG108),$AG$2:$AG$1001,0),0),1)),INDEX($AL$2:$AL$1001,MATCH(ROWS($AG$2:AG108),$AG$2:$AG$1001,0),0)))</f>
        <v>0</v>
      </c>
      <c r="B108" s="4">
        <f>IF(OR(INDEX($AH$2:$AH$1001,MATCH(ROWS($AG$2:AG108),$AG$2:$AG$1001,0),1)&gt;=100000,INDEX($AN$1005:$BO$1005,1,MATCH(COLUMNS($AN$1006:AN1006),$AN$1006:$BO$1006,0))&gt;=100000), " ",IF(INDEX($AN$2:$BO$1001,MATCH(ROWS($AG$2:AG108),$AG$2:$AG$1001,0),MATCH(COLUMNS($AN$1006:AN1006),$AN$1006:$BO$1006,0)), HYPERLINK("#",""), HYPERLINK(CONCATENATE("#Metadata!", ADDRESS(INDEX($AI$2:$AI$1001,MATCH(ROWS($AG$2:AG108),$AG$2:$AG$1001,0),0), INDEX($AN$1004:$BO$1004,1,MATCH(COLUMNS($AN$1006:AN1006),$AN$1006:$BO$1006,0)))),"Fix")))</f>
        <v>0</v>
      </c>
      <c r="C108" s="4">
        <f>IF(OR(INDEX($AH$2:$AH$1001,MATCH(ROWS($AG$2:AG108),$AG$2:$AG$1001,0),1)&gt;=100000,INDEX($AN$1005:$BO$1005,1,MATCH(COLUMNS($AN$1006:AO1006),$AN$1006:$BO$1006,0))&gt;=100000), " ",IF(INDEX($AN$2:$BO$1001,MATCH(ROWS($AG$2:AG108),$AG$2:$AG$1001,0),MATCH(COLUMNS($AN$1006:AO1006),$AN$1006:$BO$1006,0)), HYPERLINK("#",""), HYPERLINK(CONCATENATE("#Metadata!", ADDRESS(INDEX($AI$2:$AI$1001,MATCH(ROWS($AG$2:AG108),$AG$2:$AG$1001,0),0), INDEX($AN$1004:$BO$1004,1,MATCH(COLUMNS($AN$1006:AO1006),$AN$1006:$BO$1006,0)))),"Fix")))</f>
        <v>0</v>
      </c>
      <c r="D108" s="4">
        <f>IF(OR(INDEX($AH$2:$AH$1001,MATCH(ROWS($AG$2:AG108),$AG$2:$AG$1001,0),1)&gt;=100000,INDEX($AN$1005:$BO$1005,1,MATCH(COLUMNS($AN$1006:AP1006),$AN$1006:$BO$1006,0))&gt;=100000), " ",IF(INDEX($AN$2:$BO$1001,MATCH(ROWS($AG$2:AG108),$AG$2:$AG$1001,0),MATCH(COLUMNS($AN$1006:AP1006),$AN$1006:$BO$1006,0)), HYPERLINK("#",""), HYPERLINK(CONCATENATE("#Metadata!", ADDRESS(INDEX($AI$2:$AI$1001,MATCH(ROWS($AG$2:AG108),$AG$2:$AG$1001,0),0), INDEX($AN$1004:$BO$1004,1,MATCH(COLUMNS($AN$1006:AP1006),$AN$1006:$BO$1006,0)))),"Fix")))</f>
        <v>0</v>
      </c>
      <c r="E108" s="4">
        <f>IF(OR(INDEX($AH$2:$AH$1001,MATCH(ROWS($AG$2:AG108),$AG$2:$AG$1001,0),1)&gt;=100000,INDEX($AN$1005:$BO$1005,1,MATCH(COLUMNS($AN$1006:AQ1006),$AN$1006:$BO$1006,0))&gt;=100000), " ",IF(INDEX($AN$2:$BO$1001,MATCH(ROWS($AG$2:AG108),$AG$2:$AG$1001,0),MATCH(COLUMNS($AN$1006:AQ1006),$AN$1006:$BO$1006,0)), HYPERLINK("#",""), HYPERLINK(CONCATENATE("#Metadata!", ADDRESS(INDEX($AI$2:$AI$1001,MATCH(ROWS($AG$2:AG108),$AG$2:$AG$1001,0),0), INDEX($AN$1004:$BO$1004,1,MATCH(COLUMNS($AN$1006:AQ1006),$AN$1006:$BO$1006,0)))),"Fix")))</f>
        <v>0</v>
      </c>
      <c r="F108" s="4">
        <f>IF(OR(INDEX($AH$2:$AH$1001,MATCH(ROWS($AG$2:AG108),$AG$2:$AG$1001,0),1)&gt;=100000,INDEX($AN$1005:$BO$1005,1,MATCH(COLUMNS($AN$1006:AR1006),$AN$1006:$BO$1006,0))&gt;=100000), " ",IF(INDEX($AN$2:$BO$1001,MATCH(ROWS($AG$2:AG108),$AG$2:$AG$1001,0),MATCH(COLUMNS($AN$1006:AR1006),$AN$1006:$BO$1006,0)), HYPERLINK("#",""), HYPERLINK(CONCATENATE("#Metadata!", ADDRESS(INDEX($AI$2:$AI$1001,MATCH(ROWS($AG$2:AG108),$AG$2:$AG$1001,0),0), INDEX($AN$1004:$BO$1004,1,MATCH(COLUMNS($AN$1006:AR1006),$AN$1006:$BO$1006,0)))),"Fix")))</f>
        <v>0</v>
      </c>
      <c r="G108" s="4">
        <f>IF(OR(INDEX($AH$2:$AH$1001,MATCH(ROWS($AG$2:AG108),$AG$2:$AG$1001,0),1)&gt;=100000,INDEX($AN$1005:$BO$1005,1,MATCH(COLUMNS($AN$1006:AS1006),$AN$1006:$BO$1006,0))&gt;=100000), " ",IF(INDEX($AN$2:$BO$1001,MATCH(ROWS($AG$2:AG108),$AG$2:$AG$1001,0),MATCH(COLUMNS($AN$1006:AS1006),$AN$1006:$BO$1006,0)), HYPERLINK("#",""), HYPERLINK(CONCATENATE("#Metadata!", ADDRESS(INDEX($AI$2:$AI$1001,MATCH(ROWS($AG$2:AG108),$AG$2:$AG$1001,0),0), INDEX($AN$1004:$BO$1004,1,MATCH(COLUMNS($AN$1006:AS1006),$AN$1006:$BO$1006,0)))),"Fix")))</f>
        <v>0</v>
      </c>
      <c r="H108" s="4">
        <f>IF(OR(INDEX($AH$2:$AH$1001,MATCH(ROWS($AG$2:AG108),$AG$2:$AG$1001,0),1)&gt;=100000,INDEX($AN$1005:$BO$1005,1,MATCH(COLUMNS($AN$1006:AT1006),$AN$1006:$BO$1006,0))&gt;=100000), " ",IF(INDEX($AN$2:$BO$1001,MATCH(ROWS($AG$2:AG108),$AG$2:$AG$1001,0),MATCH(COLUMNS($AN$1006:AT1006),$AN$1006:$BO$1006,0)), HYPERLINK("#",""), HYPERLINK(CONCATENATE("#Metadata!", ADDRESS(INDEX($AI$2:$AI$1001,MATCH(ROWS($AG$2:AG108),$AG$2:$AG$1001,0),0), INDEX($AN$1004:$BO$1004,1,MATCH(COLUMNS($AN$1006:AT1006),$AN$1006:$BO$1006,0)))),"Fix")))</f>
        <v>0</v>
      </c>
      <c r="I108" s="4">
        <f>IF(OR(INDEX($AH$2:$AH$1001,MATCH(ROWS($AG$2:AG108),$AG$2:$AG$1001,0),1)&gt;=100000,INDEX($AN$1005:$BO$1005,1,MATCH(COLUMNS($AN$1006:AU1006),$AN$1006:$BO$1006,0))&gt;=100000), " ",IF(INDEX($AN$2:$BO$1001,MATCH(ROWS($AG$2:AG108),$AG$2:$AG$1001,0),MATCH(COLUMNS($AN$1006:AU1006),$AN$1006:$BO$1006,0)), HYPERLINK("#",""), HYPERLINK(CONCATENATE("#Metadata!", ADDRESS(INDEX($AI$2:$AI$1001,MATCH(ROWS($AG$2:AG108),$AG$2:$AG$1001,0),0), INDEX($AN$1004:$BO$1004,1,MATCH(COLUMNS($AN$1006:AU1006),$AN$1006:$BO$1006,0)))),"Fix")))</f>
        <v>0</v>
      </c>
      <c r="J108" s="4">
        <f>IF(OR(INDEX($AH$2:$AH$1001,MATCH(ROWS($AG$2:AG108),$AG$2:$AG$1001,0),1)&gt;=100000,INDEX($AN$1005:$BO$1005,1,MATCH(COLUMNS($AN$1006:AV1006),$AN$1006:$BO$1006,0))&gt;=100000), " ",IF(INDEX($AN$2:$BO$1001,MATCH(ROWS($AG$2:AG108),$AG$2:$AG$1001,0),MATCH(COLUMNS($AN$1006:AV1006),$AN$1006:$BO$1006,0)), HYPERLINK("#",""), HYPERLINK(CONCATENATE("#Metadata!", ADDRESS(INDEX($AI$2:$AI$1001,MATCH(ROWS($AG$2:AG108),$AG$2:$AG$1001,0),0), INDEX($AN$1004:$BO$1004,1,MATCH(COLUMNS($AN$1006:AV1006),$AN$1006:$BO$1006,0)))),"Fix")))</f>
        <v>0</v>
      </c>
      <c r="K108" s="4">
        <f>IF(OR(INDEX($AH$2:$AH$1001,MATCH(ROWS($AG$2:AG108),$AG$2:$AG$1001,0),1)&gt;=100000,INDEX($AN$1005:$BO$1005,1,MATCH(COLUMNS($AN$1006:AW1006),$AN$1006:$BO$1006,0))&gt;=100000), " ",IF(INDEX($AN$2:$BO$1001,MATCH(ROWS($AG$2:AG108),$AG$2:$AG$1001,0),MATCH(COLUMNS($AN$1006:AW1006),$AN$1006:$BO$1006,0)), HYPERLINK("#",""), HYPERLINK(CONCATENATE("#Metadata!", ADDRESS(INDEX($AI$2:$AI$1001,MATCH(ROWS($AG$2:AG108),$AG$2:$AG$1001,0),0), INDEX($AN$1004:$BO$1004,1,MATCH(COLUMNS($AN$1006:AW1006),$AN$1006:$BO$1006,0)))),"Fix")))</f>
        <v>0</v>
      </c>
      <c r="L108" s="4">
        <f>IF(OR(INDEX($AH$2:$AH$1001,MATCH(ROWS($AG$2:AG108),$AG$2:$AG$1001,0),1)&gt;=100000,INDEX($AN$1005:$BO$1005,1,MATCH(COLUMNS($AN$1006:AX1006),$AN$1006:$BO$1006,0))&gt;=100000), " ",IF(INDEX($AN$2:$BO$1001,MATCH(ROWS($AG$2:AG108),$AG$2:$AG$1001,0),MATCH(COLUMNS($AN$1006:AX1006),$AN$1006:$BO$1006,0)), HYPERLINK("#",""), HYPERLINK(CONCATENATE("#Metadata!", ADDRESS(INDEX($AI$2:$AI$1001,MATCH(ROWS($AG$2:AG108),$AG$2:$AG$1001,0),0), INDEX($AN$1004:$BO$1004,1,MATCH(COLUMNS($AN$1006:AX1006),$AN$1006:$BO$1006,0)))),"Fix")))</f>
        <v>0</v>
      </c>
      <c r="M108" s="4">
        <f>IF(OR(INDEX($AH$2:$AH$1001,MATCH(ROWS($AG$2:AG108),$AG$2:$AG$1001,0),1)&gt;=100000,INDEX($AN$1005:$BO$1005,1,MATCH(COLUMNS($AN$1006:AY1006),$AN$1006:$BO$1006,0))&gt;=100000), " ",IF(INDEX($AN$2:$BO$1001,MATCH(ROWS($AG$2:AG108),$AG$2:$AG$1001,0),MATCH(COLUMNS($AN$1006:AY1006),$AN$1006:$BO$1006,0)), HYPERLINK("#",""), HYPERLINK(CONCATENATE("#Metadata!", ADDRESS(INDEX($AI$2:$AI$1001,MATCH(ROWS($AG$2:AG108),$AG$2:$AG$1001,0),0), INDEX($AN$1004:$BO$1004,1,MATCH(COLUMNS($AN$1006:AY1006),$AN$1006:$BO$1006,0)))),"Fix")))</f>
        <v>0</v>
      </c>
      <c r="N108" s="4">
        <f>IF(OR(INDEX($AH$2:$AH$1001,MATCH(ROWS($AG$2:AG108),$AG$2:$AG$1001,0),1)&gt;=100000,INDEX($AN$1005:$BO$1005,1,MATCH(COLUMNS($AN$1006:AZ1006),$AN$1006:$BO$1006,0))&gt;=100000), " ",IF(INDEX($AN$2:$BO$1001,MATCH(ROWS($AG$2:AG108),$AG$2:$AG$1001,0),MATCH(COLUMNS($AN$1006:AZ1006),$AN$1006:$BO$1006,0)), HYPERLINK("#",""), HYPERLINK(CONCATENATE("#Metadata!", ADDRESS(INDEX($AI$2:$AI$1001,MATCH(ROWS($AG$2:AG108),$AG$2:$AG$1001,0),0), INDEX($AN$1004:$BO$1004,1,MATCH(COLUMNS($AN$1006:AZ1006),$AN$1006:$BO$1006,0)))),"Fix")))</f>
        <v>0</v>
      </c>
      <c r="O108" s="4">
        <f>IF(OR(INDEX($AH$2:$AH$1001,MATCH(ROWS($AG$2:AG108),$AG$2:$AG$1001,0),1)&gt;=100000,INDEX($AN$1005:$BO$1005,1,MATCH(COLUMNS($AN$1006:BA1006),$AN$1006:$BO$1006,0))&gt;=100000), " ",IF(INDEX($AN$2:$BO$1001,MATCH(ROWS($AG$2:AG108),$AG$2:$AG$1001,0),MATCH(COLUMNS($AN$1006:BA1006),$AN$1006:$BO$1006,0)), HYPERLINK("#",""), HYPERLINK(CONCATENATE("#Metadata!", ADDRESS(INDEX($AI$2:$AI$1001,MATCH(ROWS($AG$2:AG108),$AG$2:$AG$1001,0),0), INDEX($AN$1004:$BO$1004,1,MATCH(COLUMNS($AN$1006:BA1006),$AN$1006:$BO$1006,0)))),"Fix")))</f>
        <v>0</v>
      </c>
      <c r="P108" s="4">
        <f>IF(OR(INDEX($AH$2:$AH$1001,MATCH(ROWS($AG$2:AG108),$AG$2:$AG$1001,0),1)&gt;=100000,INDEX($AN$1005:$BO$1005,1,MATCH(COLUMNS($AN$1006:BB1006),$AN$1006:$BO$1006,0))&gt;=100000), " ",IF(INDEX($AN$2:$BO$1001,MATCH(ROWS($AG$2:AG108),$AG$2:$AG$1001,0),MATCH(COLUMNS($AN$1006:BB1006),$AN$1006:$BO$1006,0)), HYPERLINK("#",""), HYPERLINK(CONCATENATE("#Metadata!", ADDRESS(INDEX($AI$2:$AI$1001,MATCH(ROWS($AG$2:AG108),$AG$2:$AG$1001,0),0), INDEX($AN$1004:$BO$1004,1,MATCH(COLUMNS($AN$1006:BB1006),$AN$1006:$BO$1006,0)))),"Fix")))</f>
        <v>0</v>
      </c>
      <c r="Q108" s="4">
        <f>IF(OR(INDEX($AH$2:$AH$1001,MATCH(ROWS($AG$2:AG108),$AG$2:$AG$1001,0),1)&gt;=100000,INDEX($AN$1005:$BO$1005,1,MATCH(COLUMNS($AN$1006:BC1006),$AN$1006:$BO$1006,0))&gt;=100000), " ",IF(INDEX($AN$2:$BO$1001,MATCH(ROWS($AG$2:AG108),$AG$2:$AG$1001,0),MATCH(COLUMNS($AN$1006:BC1006),$AN$1006:$BO$1006,0)), HYPERLINK("#",""), HYPERLINK(CONCATENATE("#Metadata!", ADDRESS(INDEX($AI$2:$AI$1001,MATCH(ROWS($AG$2:AG108),$AG$2:$AG$1001,0),0), INDEX($AN$1004:$BO$1004,1,MATCH(COLUMNS($AN$1006:BC1006),$AN$1006:$BO$1006,0)))),"Fix")))</f>
        <v>0</v>
      </c>
      <c r="R108" s="4">
        <f>IF(OR(INDEX($AH$2:$AH$1001,MATCH(ROWS($AG$2:AG108),$AG$2:$AG$1001,0),1)&gt;=100000,INDEX($AN$1005:$BO$1005,1,MATCH(COLUMNS($AN$1006:BD1006),$AN$1006:$BO$1006,0))&gt;=100000), " ",IF(INDEX($AN$2:$BO$1001,MATCH(ROWS($AG$2:AG108),$AG$2:$AG$1001,0),MATCH(COLUMNS($AN$1006:BD1006),$AN$1006:$BO$1006,0)), HYPERLINK("#",""), HYPERLINK(CONCATENATE("#Metadata!", ADDRESS(INDEX($AI$2:$AI$1001,MATCH(ROWS($AG$2:AG108),$AG$2:$AG$1001,0),0), INDEX($AN$1004:$BO$1004,1,MATCH(COLUMNS($AN$1006:BD1006),$AN$1006:$BO$1006,0)))),"Fix")))</f>
        <v>0</v>
      </c>
      <c r="S108" s="4">
        <f>IF(OR(INDEX($AH$2:$AH$1001,MATCH(ROWS($AG$2:AG108),$AG$2:$AG$1001,0),1)&gt;=100000,INDEX($AN$1005:$BO$1005,1,MATCH(COLUMNS($AN$1006:BE1006),$AN$1006:$BO$1006,0))&gt;=100000), " ",IF(INDEX($AN$2:$BO$1001,MATCH(ROWS($AG$2:AG108),$AG$2:$AG$1001,0),MATCH(COLUMNS($AN$1006:BE1006),$AN$1006:$BO$1006,0)), HYPERLINK("#",""), HYPERLINK(CONCATENATE("#Metadata!", ADDRESS(INDEX($AI$2:$AI$1001,MATCH(ROWS($AG$2:AG108),$AG$2:$AG$1001,0),0), INDEX($AN$1004:$BO$1004,1,MATCH(COLUMNS($AN$1006:BE1006),$AN$1006:$BO$1006,0)))),"Fix")))</f>
        <v>0</v>
      </c>
      <c r="T108" s="4">
        <f>IF(OR(INDEX($AH$2:$AH$1001,MATCH(ROWS($AG$2:AG108),$AG$2:$AG$1001,0),1)&gt;=100000,INDEX($AN$1005:$BO$1005,1,MATCH(COLUMNS($AN$1006:BF1006),$AN$1006:$BO$1006,0))&gt;=100000), " ",IF(INDEX($AN$2:$BO$1001,MATCH(ROWS($AG$2:AG108),$AG$2:$AG$1001,0),MATCH(COLUMNS($AN$1006:BF1006),$AN$1006:$BO$1006,0)), HYPERLINK("#",""), HYPERLINK(CONCATENATE("#Metadata!", ADDRESS(INDEX($AI$2:$AI$1001,MATCH(ROWS($AG$2:AG108),$AG$2:$AG$1001,0),0), INDEX($AN$1004:$BO$1004,1,MATCH(COLUMNS($AN$1006:BF1006),$AN$1006:$BO$1006,0)))),"Fix")))</f>
        <v>0</v>
      </c>
      <c r="U108" s="4">
        <f>IF(OR(INDEX($AH$2:$AH$1001,MATCH(ROWS($AG$2:AG108),$AG$2:$AG$1001,0),1)&gt;=100000,INDEX($AN$1005:$BO$1005,1,MATCH(COLUMNS($AN$1006:BG1006),$AN$1006:$BO$1006,0))&gt;=100000), " ",IF(INDEX($AN$2:$BO$1001,MATCH(ROWS($AG$2:AG108),$AG$2:$AG$1001,0),MATCH(COLUMNS($AN$1006:BG1006),$AN$1006:$BO$1006,0)), HYPERLINK("#",""), HYPERLINK(CONCATENATE("#Metadata!", ADDRESS(INDEX($AI$2:$AI$1001,MATCH(ROWS($AG$2:AG108),$AG$2:$AG$1001,0),0), INDEX($AN$1004:$BO$1004,1,MATCH(COLUMNS($AN$1006:BG1006),$AN$1006:$BO$1006,0)))),"Fix")))</f>
        <v>0</v>
      </c>
      <c r="V108" s="4">
        <f>IF(OR(INDEX($AH$2:$AH$1001,MATCH(ROWS($AG$2:AG108),$AG$2:$AG$1001,0),1)&gt;=100000,INDEX($AN$1005:$BO$1005,1,MATCH(COLUMNS($AN$1006:BH1006),$AN$1006:$BO$1006,0))&gt;=100000), " ",IF(INDEX($AN$2:$BO$1001,MATCH(ROWS($AG$2:AG108),$AG$2:$AG$1001,0),MATCH(COLUMNS($AN$1006:BH1006),$AN$1006:$BO$1006,0)), HYPERLINK("#",""), HYPERLINK(CONCATENATE("#Metadata!", ADDRESS(INDEX($AI$2:$AI$1001,MATCH(ROWS($AG$2:AG108),$AG$2:$AG$1001,0),0), INDEX($AN$1004:$BO$1004,1,MATCH(COLUMNS($AN$1006:BH1006),$AN$1006:$BO$1006,0)))),"Fix")))</f>
        <v>0</v>
      </c>
      <c r="W108" s="4">
        <f>IF(OR(INDEX($AH$2:$AH$1001,MATCH(ROWS($AG$2:AG108),$AG$2:$AG$1001,0),1)&gt;=100000,INDEX($AN$1005:$BO$1005,1,MATCH(COLUMNS($AN$1006:BI1006),$AN$1006:$BO$1006,0))&gt;=100000), " ",IF(INDEX($AN$2:$BO$1001,MATCH(ROWS($AG$2:AG108),$AG$2:$AG$1001,0),MATCH(COLUMNS($AN$1006:BI1006),$AN$1006:$BO$1006,0)), HYPERLINK("#",""), HYPERLINK(CONCATENATE("#Metadata!", ADDRESS(INDEX($AI$2:$AI$1001,MATCH(ROWS($AG$2:AG108),$AG$2:$AG$1001,0),0), INDEX($AN$1004:$BO$1004,1,MATCH(COLUMNS($AN$1006:BI1006),$AN$1006:$BO$1006,0)))),"Fix")))</f>
        <v>0</v>
      </c>
      <c r="X108" s="4">
        <f>IF(OR(INDEX($AH$2:$AH$1001,MATCH(ROWS($AG$2:AG108),$AG$2:$AG$1001,0),1)&gt;=100000,INDEX($AN$1005:$BO$1005,1,MATCH(COLUMNS($AN$1006:BJ1006),$AN$1006:$BO$1006,0))&gt;=100000), " ",IF(INDEX($AN$2:$BO$1001,MATCH(ROWS($AG$2:AG108),$AG$2:$AG$1001,0),MATCH(COLUMNS($AN$1006:BJ1006),$AN$1006:$BO$1006,0)), HYPERLINK("#",""), HYPERLINK(CONCATENATE("#Metadata!", ADDRESS(INDEX($AI$2:$AI$1001,MATCH(ROWS($AG$2:AG108),$AG$2:$AG$1001,0),0), INDEX($AN$1004:$BO$1004,1,MATCH(COLUMNS($AN$1006:BJ1006),$AN$1006:$BO$1006,0)))),"Fix")))</f>
        <v>0</v>
      </c>
      <c r="Y108" s="4">
        <f>IF(OR(INDEX($AH$2:$AH$1001,MATCH(ROWS($AG$2:AG108),$AG$2:$AG$1001,0),1)&gt;=100000,INDEX($AN$1005:$BO$1005,1,MATCH(COLUMNS($AN$1006:BK1006),$AN$1006:$BO$1006,0))&gt;=100000), " ",IF(INDEX($AN$2:$BO$1001,MATCH(ROWS($AG$2:AG108),$AG$2:$AG$1001,0),MATCH(COLUMNS($AN$1006:BK1006),$AN$1006:$BO$1006,0)), HYPERLINK("#",""), HYPERLINK(CONCATENATE("#Metadata!", ADDRESS(INDEX($AI$2:$AI$1001,MATCH(ROWS($AG$2:AG108),$AG$2:$AG$1001,0),0), INDEX($AN$1004:$BO$1004,1,MATCH(COLUMNS($AN$1006:BK1006),$AN$1006:$BO$1006,0)))),"Fix")))</f>
        <v>0</v>
      </c>
      <c r="Z108" s="4">
        <f>IF(OR(INDEX($AH$2:$AH$1001,MATCH(ROWS($AG$2:AG108),$AG$2:$AG$1001,0),1)&gt;=100000,INDEX($AN$1005:$BO$1005,1,MATCH(COLUMNS($AN$1006:BL1006),$AN$1006:$BO$1006,0))&gt;=100000), " ",IF(INDEX($AN$2:$BO$1001,MATCH(ROWS($AG$2:AG108),$AG$2:$AG$1001,0),MATCH(COLUMNS($AN$1006:BL1006),$AN$1006:$BO$1006,0)), HYPERLINK("#",""), HYPERLINK(CONCATENATE("#Metadata!", ADDRESS(INDEX($AI$2:$AI$1001,MATCH(ROWS($AG$2:AG108),$AG$2:$AG$1001,0),0), INDEX($AN$1004:$BO$1004,1,MATCH(COLUMNS($AN$1006:BL1006),$AN$1006:$BO$1006,0)))),"Fix")))</f>
        <v>0</v>
      </c>
      <c r="AA108" s="4">
        <f>IF(OR(INDEX($AH$2:$AH$1001,MATCH(ROWS($AG$2:AG108),$AG$2:$AG$1001,0),1)&gt;=100000,INDEX($AN$1005:$BO$1005,1,MATCH(COLUMNS($AN$1006:BM1006),$AN$1006:$BO$1006,0))&gt;=100000), " ",IF(INDEX($AN$2:$BO$1001,MATCH(ROWS($AG$2:AG108),$AG$2:$AG$1001,0),MATCH(COLUMNS($AN$1006:BM1006),$AN$1006:$BO$1006,0)), HYPERLINK("#",""), HYPERLINK(CONCATENATE("#Metadata!", ADDRESS(INDEX($AI$2:$AI$1001,MATCH(ROWS($AG$2:AG108),$AG$2:$AG$1001,0),0), INDEX($AN$1004:$BO$1004,1,MATCH(COLUMNS($AN$1006:BM1006),$AN$1006:$BO$1006,0)))),"Fix")))</f>
        <v>0</v>
      </c>
      <c r="AB108" s="4">
        <f>IF(OR(INDEX($AH$2:$AH$1001,MATCH(ROWS($AG$2:AG108),$AG$2:$AG$1001,0),1)&gt;=100000,INDEX($AN$1005:$BO$1005,1,MATCH(COLUMNS($AN$1006:BN1006),$AN$1006:$BO$1006,0))&gt;=100000), " ",IF(INDEX($AN$2:$BO$1001,MATCH(ROWS($AG$2:AG108),$AG$2:$AG$1001,0),MATCH(COLUMNS($AN$1006:BN1006),$AN$1006:$BO$1006,0)), HYPERLINK("#",""), HYPERLINK(CONCATENATE("#Metadata!", ADDRESS(INDEX($AI$2:$AI$1001,MATCH(ROWS($AG$2:AG108),$AG$2:$AG$1001,0),0), INDEX($AN$1004:$BO$1004,1,MATCH(COLUMNS($AN$1006:BN1006),$AN$1006:$BO$1006,0)))),"Fix")))</f>
        <v>0</v>
      </c>
      <c r="AC108" s="4">
        <f>IF(OR(INDEX($AH$2:$AH$1001,MATCH(ROWS($AG$2:AG108),$AG$2:$AG$1001,0),1)&gt;=100000,INDEX($AN$1005:$BO$1005,1,MATCH(COLUMNS($AN$1006:BO1006),$AN$1006:$BO$1006,0))&gt;=100000), " ",IF(INDEX($AN$2:$BO$1001,MATCH(ROWS($AG$2:AG108),$AG$2:$AG$1001,0),MATCH(COLUMNS($AN$1006:BO1006),$AN$1006:$BO$1006,0)), HYPERLINK("#",""), HYPERLINK(CONCATENATE("#Metadata!", ADDRESS(INDEX($AI$2:$AI$1001,MATCH(ROWS($AG$2:AG108),$AG$2:$AG$1001,0),0), INDEX($AN$1004:$BO$1004,1,MATCH(COLUMNS($AN$1006:BO1006),$AN$1006:$BO$1006,0)))),"Fix")))</f>
        <v>0</v>
      </c>
      <c r="AG108">
        <v>0</v>
      </c>
      <c r="AH108">
        <v>0</v>
      </c>
      <c r="AI108">
        <v>0</v>
      </c>
      <c r="AJ108">
        <f>IF(AK108,TRUE,AND(AN108:BO108))</f>
        <v>0</v>
      </c>
      <c r="AK108">
        <f>COUNTBLANK(Metadata!B108:AC108)=COLUMNS(Metadata!B108:AC108)</f>
        <v>0</v>
      </c>
      <c r="AL108">
        <v>0</v>
      </c>
      <c r="AN108">
        <f>AND(IF(Metadata!B108="",FALSE,TRUE),COUNTIF(Metadata!B:B, Metadata!B108) = 1,NOT(ISERROR(SUMPRODUCT(SEARCH(MID(Metadata!B108,ROW(INDIRECT("1:"&amp;LEN(Metadata!B108))), 1),"0123456789abcdefghijklmnopqrstuvwxyzABCDEFGHIJKLMNOPQRSTUVWXYZ.")))))</f>
        <v>0</v>
      </c>
      <c r="AO108">
        <f>IF(Metadata!C108="",FALSE,TRUE)</f>
        <v>0</v>
      </c>
      <c r="AP108">
        <f>IF(Metadata!D108="",FALSE,TRUE)</f>
        <v>0</v>
      </c>
      <c r="AQ108">
        <f>OR(AND(IF(Metadata!E108="",FALSE,TRUE),OR(exact(Metadata!E108,"not collected"),exact(Metadata!E108,"not provided"),exact(Metadata!E108,"restricted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R108">
        <f>IF(Metadata!F108="",FALSE,TRUE)</f>
        <v>0</v>
      </c>
      <c r="AS108">
        <f>OR(AND(IF(Metadata!G108="",FALSE,TRUE),OR(exact(Metadata!G108,"not collected"),exact(Metadata!G108,"not provided"))),AND(IF(Metadata!G108="",FALSE,TRUE),OR(exact(Metadata!G108,"TRUE"),exact(Metadata!G108,"FALSE"))))</f>
        <v>0</v>
      </c>
      <c r="AT108">
        <f>OR(AND(IF(Metadata!H108="",FALSE,TRUE),OR(exact(Metadata!H108,"not collected"),exact(Metadata!H108,"not provided"),exact(Metadata!H108,"restricted access"))),AND(IF(Metadata!H108="",FALSE,ISNUMBER(VALUE(Metadata!H108))),Metadata!H108&gt;=-413.0))</f>
        <v>0</v>
      </c>
      <c r="AU108">
        <f>AND(IF(Metadata!I108="",FALSE,TRUE),exact(Metadata!I108,"meters"))</f>
        <v>0</v>
      </c>
      <c r="AV108">
        <f>AND(IF(Metadata!J108="",FALSE,TRUE),OR(exact(Metadata!J108,"Host-associated"),exact(Metadata!J108,"Free-living")))</f>
        <v>0</v>
      </c>
      <c r="AW108">
        <f>AND(IF(Metadata!K108="",FALSE,TRUE),OR(exact(Metadata!K108,"Animal"),exact(Metadata!K108,"Fungus"),exact(Metadata!K108,"Plant"),exact(Metadata!K108,"Saline"),exact(Metadata!K108,"Non-saline")))</f>
        <v>0</v>
      </c>
      <c r="AX108">
        <f>AND(IF(Metadata!L108="",FALSE,TRUE),OR(exact(Metadata!L108,"Plant secretion"),exact(Metadata!L108,"Plant rhizosphere"),exact(Metadata!L108,"Plant surface"),exact(Metadata!L108,"Plant corpus"),exact(Metadata!L108,"Fungus surface"),exact(Metadata!L108,"Fungus corpus"),exact(Metadata!L108,"Animal surface"),exact(Metadata!L108,"Animal proximal gut"),exact(Metadata!L108,"Animal corpus"),exact(Metadata!L108,"Animal distal gut"),exact(Metadata!L108,"Animal secretion"),exact(Metadata!L108,"Sub-surface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Y108">
        <f>IF(Metadata!M108="",FALSE,TRUE)</f>
        <v>0</v>
      </c>
      <c r="AZ108">
        <f>IF(Metadata!N108="",FALSE,TRUE)</f>
        <v>0</v>
      </c>
      <c r="BA108">
        <f>IF(Metadata!O108="",FALSE,TRUE)</f>
        <v>0</v>
      </c>
      <c r="BB108">
        <f>OR(AND(IF(Metadata!P108="",FALSE,TRUE),OR(exact(Metadata!P108,"not collected"),exact(Metadata!P108,"not provided"),exact(Metadata!P108,"restricted access"))),AND(IF(Metadata!P108="",FALSE,TRUE),OR(exact(Metadata!P108,"air"),exact(Metadata!P108,"built environment"),exact(Metadata!P108,"host-associated"),exact(Metadata!P108,"human-associated"),exact(Metadata!P108,"human-skin"),exact(Metadata!P108,"human-oral"),exact(Metadata!P108,"human-gut"),exact(Metadata!P108,"human-vaginal"),exact(Metadata!P108,"microbial mat/biofilm"),exact(Metadata!P108,"misc environment"),exact(Metadata!P108,"plant-associated"),exact(Metadata!P108,"sediment"),exact(Metadata!P108,"soil"),exact(Metadata!P108,"wastewater/sludge"),exact(Metadata!P108,"water"))))</f>
        <v>0</v>
      </c>
      <c r="BC108">
        <f>IF(Metadata!Q108="",FALSE,TRUE)</f>
        <v>0</v>
      </c>
      <c r="BD108">
        <f>IF(Metadata!R108="",FALSE,TRUE)</f>
        <v>0</v>
      </c>
      <c r="BE108">
        <f>OR(AND(IF(Metadata!S108="",FALSE,TRUE),OR(exact(Metadata!S108,"not collected"),exact(Metadata!S108,"not provided"),exact(Metadata!S108,"restricted access"))),AND(IF(Metadata!S108="",FALSE,ISNUMBER(VALUE(Metadata!S108))),Metadata!S108&gt;=-90.00,Metadata!S108&lt;=90.00))</f>
        <v>0</v>
      </c>
      <c r="BF108">
        <f>AND(IF(Metadata!T108="",FALSE,TRUE),exact(Metadata!T108,"Decimal degrees"))</f>
        <v>0</v>
      </c>
      <c r="BG108">
        <f>OR(AND(IF(Metadata!U108="",FALSE,TRUE),OR(exact(Metadata!U108,"not collected"),exact(Metadata!U108,"not provided"),exact(Metadata!U108,"restricted access"))),AND(IF(Metadata!U108="",FALSE,ISNUMBER(VALUE(Metadata!U108))),Metadata!U108&gt;=-180.00,Metadata!U108&lt;=180.00))</f>
        <v>0</v>
      </c>
      <c r="BH108">
        <f>AND(IF(Metadata!V108="",FALSE,TRUE),exact(Metadata!V108,"Decimal degrees"))</f>
        <v>0</v>
      </c>
      <c r="BI108">
        <f>IF(Metadata!W108="",FALSE,TRUE)</f>
        <v>0</v>
      </c>
      <c r="BJ108">
        <f>OR(AND(IF(Metadata!X108="",FALSE,TRUE),OR(exact(Metadata!X108,"not collected"),exact(Metadata!X108,"not provided"),exact(Metadata!X108,"restricted access"))),AND(IF(Metadata!X108="",FALSE,TRUE),OR(exact(Metadata!X108,"TRUE"),exact(Metadata!X108,"FALSE"))))</f>
        <v>0</v>
      </c>
      <c r="BK108">
        <f>AND(IF(Metadata!Y108="",FALSE,TRUE),exact(Metadata!Y108,"other"))</f>
        <v>0</v>
      </c>
      <c r="BL108">
        <f>IF(Metadata!Z108="",FALSE,TRUE)</f>
        <v>0</v>
      </c>
      <c r="BM108">
        <f>OR(AND(IF(Metadata!AA108="",FALSE,TRUE),OR(exact(Metadata!AA108,"not collected"),exact(Metadata!AA108,"not provided"))),AND(IF(Metadata!AA108="",FALSE,IF(ISERROR(INT(Metadata!AA108)),FALSE,INT(Metadata!AA108)=Metadata!AA108)),Metadata!AA108&gt;0))</f>
        <v>0</v>
      </c>
      <c r="BN108">
        <f>AND(IF(Metadata!AB108="",FALSE,TRUE),exact(Metadata!AB108,"Not applicable"))</f>
        <v>0</v>
      </c>
      <c r="BO108">
        <f>IF(Metadata!AC108="",FALSE,TRUE)</f>
        <v>0</v>
      </c>
    </row>
    <row r="109" spans="1:67">
      <c r="A109" s="5">
        <f>IF(B109=" "," ",HYPERLINK(CONCATENATE("#metadata!",ADDRESS(INDEX($AI$2:$AI$1001,MATCH(ROWS($AG$2:AG109),$AG$2:$AG$1001,0),0),1)),INDEX($AL$2:$AL$1001,MATCH(ROWS($AG$2:AG109),$AG$2:$AG$1001,0),0)))</f>
        <v>0</v>
      </c>
      <c r="B109" s="4">
        <f>IF(OR(INDEX($AH$2:$AH$1001,MATCH(ROWS($AG$2:AG109),$AG$2:$AG$1001,0),1)&gt;=100000,INDEX($AN$1005:$BO$1005,1,MATCH(COLUMNS($AN$1006:AN1006),$AN$1006:$BO$1006,0))&gt;=100000), " ",IF(INDEX($AN$2:$BO$1001,MATCH(ROWS($AG$2:AG109),$AG$2:$AG$1001,0),MATCH(COLUMNS($AN$1006:AN1006),$AN$1006:$BO$1006,0)), HYPERLINK("#",""), HYPERLINK(CONCATENATE("#Metadata!", ADDRESS(INDEX($AI$2:$AI$1001,MATCH(ROWS($AG$2:AG109),$AG$2:$AG$1001,0),0), INDEX($AN$1004:$BO$1004,1,MATCH(COLUMNS($AN$1006:AN1006),$AN$1006:$BO$1006,0)))),"Fix")))</f>
        <v>0</v>
      </c>
      <c r="C109" s="4">
        <f>IF(OR(INDEX($AH$2:$AH$1001,MATCH(ROWS($AG$2:AG109),$AG$2:$AG$1001,0),1)&gt;=100000,INDEX($AN$1005:$BO$1005,1,MATCH(COLUMNS($AN$1006:AO1006),$AN$1006:$BO$1006,0))&gt;=100000), " ",IF(INDEX($AN$2:$BO$1001,MATCH(ROWS($AG$2:AG109),$AG$2:$AG$1001,0),MATCH(COLUMNS($AN$1006:AO1006),$AN$1006:$BO$1006,0)), HYPERLINK("#",""), HYPERLINK(CONCATENATE("#Metadata!", ADDRESS(INDEX($AI$2:$AI$1001,MATCH(ROWS($AG$2:AG109),$AG$2:$AG$1001,0),0), INDEX($AN$1004:$BO$1004,1,MATCH(COLUMNS($AN$1006:AO1006),$AN$1006:$BO$1006,0)))),"Fix")))</f>
        <v>0</v>
      </c>
      <c r="D109" s="4">
        <f>IF(OR(INDEX($AH$2:$AH$1001,MATCH(ROWS($AG$2:AG109),$AG$2:$AG$1001,0),1)&gt;=100000,INDEX($AN$1005:$BO$1005,1,MATCH(COLUMNS($AN$1006:AP1006),$AN$1006:$BO$1006,0))&gt;=100000), " ",IF(INDEX($AN$2:$BO$1001,MATCH(ROWS($AG$2:AG109),$AG$2:$AG$1001,0),MATCH(COLUMNS($AN$1006:AP1006),$AN$1006:$BO$1006,0)), HYPERLINK("#",""), HYPERLINK(CONCATENATE("#Metadata!", ADDRESS(INDEX($AI$2:$AI$1001,MATCH(ROWS($AG$2:AG109),$AG$2:$AG$1001,0),0), INDEX($AN$1004:$BO$1004,1,MATCH(COLUMNS($AN$1006:AP1006),$AN$1006:$BO$1006,0)))),"Fix")))</f>
        <v>0</v>
      </c>
      <c r="E109" s="4">
        <f>IF(OR(INDEX($AH$2:$AH$1001,MATCH(ROWS($AG$2:AG109),$AG$2:$AG$1001,0),1)&gt;=100000,INDEX($AN$1005:$BO$1005,1,MATCH(COLUMNS($AN$1006:AQ1006),$AN$1006:$BO$1006,0))&gt;=100000), " ",IF(INDEX($AN$2:$BO$1001,MATCH(ROWS($AG$2:AG109),$AG$2:$AG$1001,0),MATCH(COLUMNS($AN$1006:AQ1006),$AN$1006:$BO$1006,0)), HYPERLINK("#",""), HYPERLINK(CONCATENATE("#Metadata!", ADDRESS(INDEX($AI$2:$AI$1001,MATCH(ROWS($AG$2:AG109),$AG$2:$AG$1001,0),0), INDEX($AN$1004:$BO$1004,1,MATCH(COLUMNS($AN$1006:AQ1006),$AN$1006:$BO$1006,0)))),"Fix")))</f>
        <v>0</v>
      </c>
      <c r="F109" s="4">
        <f>IF(OR(INDEX($AH$2:$AH$1001,MATCH(ROWS($AG$2:AG109),$AG$2:$AG$1001,0),1)&gt;=100000,INDEX($AN$1005:$BO$1005,1,MATCH(COLUMNS($AN$1006:AR1006),$AN$1006:$BO$1006,0))&gt;=100000), " ",IF(INDEX($AN$2:$BO$1001,MATCH(ROWS($AG$2:AG109),$AG$2:$AG$1001,0),MATCH(COLUMNS($AN$1006:AR1006),$AN$1006:$BO$1006,0)), HYPERLINK("#",""), HYPERLINK(CONCATENATE("#Metadata!", ADDRESS(INDEX($AI$2:$AI$1001,MATCH(ROWS($AG$2:AG109),$AG$2:$AG$1001,0),0), INDEX($AN$1004:$BO$1004,1,MATCH(COLUMNS($AN$1006:AR1006),$AN$1006:$BO$1006,0)))),"Fix")))</f>
        <v>0</v>
      </c>
      <c r="G109" s="4">
        <f>IF(OR(INDEX($AH$2:$AH$1001,MATCH(ROWS($AG$2:AG109),$AG$2:$AG$1001,0),1)&gt;=100000,INDEX($AN$1005:$BO$1005,1,MATCH(COLUMNS($AN$1006:AS1006),$AN$1006:$BO$1006,0))&gt;=100000), " ",IF(INDEX($AN$2:$BO$1001,MATCH(ROWS($AG$2:AG109),$AG$2:$AG$1001,0),MATCH(COLUMNS($AN$1006:AS1006),$AN$1006:$BO$1006,0)), HYPERLINK("#",""), HYPERLINK(CONCATENATE("#Metadata!", ADDRESS(INDEX($AI$2:$AI$1001,MATCH(ROWS($AG$2:AG109),$AG$2:$AG$1001,0),0), INDEX($AN$1004:$BO$1004,1,MATCH(COLUMNS($AN$1006:AS1006),$AN$1006:$BO$1006,0)))),"Fix")))</f>
        <v>0</v>
      </c>
      <c r="H109" s="4">
        <f>IF(OR(INDEX($AH$2:$AH$1001,MATCH(ROWS($AG$2:AG109),$AG$2:$AG$1001,0),1)&gt;=100000,INDEX($AN$1005:$BO$1005,1,MATCH(COLUMNS($AN$1006:AT1006),$AN$1006:$BO$1006,0))&gt;=100000), " ",IF(INDEX($AN$2:$BO$1001,MATCH(ROWS($AG$2:AG109),$AG$2:$AG$1001,0),MATCH(COLUMNS($AN$1006:AT1006),$AN$1006:$BO$1006,0)), HYPERLINK("#",""), HYPERLINK(CONCATENATE("#Metadata!", ADDRESS(INDEX($AI$2:$AI$1001,MATCH(ROWS($AG$2:AG109),$AG$2:$AG$1001,0),0), INDEX($AN$1004:$BO$1004,1,MATCH(COLUMNS($AN$1006:AT1006),$AN$1006:$BO$1006,0)))),"Fix")))</f>
        <v>0</v>
      </c>
      <c r="I109" s="4">
        <f>IF(OR(INDEX($AH$2:$AH$1001,MATCH(ROWS($AG$2:AG109),$AG$2:$AG$1001,0),1)&gt;=100000,INDEX($AN$1005:$BO$1005,1,MATCH(COLUMNS($AN$1006:AU1006),$AN$1006:$BO$1006,0))&gt;=100000), " ",IF(INDEX($AN$2:$BO$1001,MATCH(ROWS($AG$2:AG109),$AG$2:$AG$1001,0),MATCH(COLUMNS($AN$1006:AU1006),$AN$1006:$BO$1006,0)), HYPERLINK("#",""), HYPERLINK(CONCATENATE("#Metadata!", ADDRESS(INDEX($AI$2:$AI$1001,MATCH(ROWS($AG$2:AG109),$AG$2:$AG$1001,0),0), INDEX($AN$1004:$BO$1004,1,MATCH(COLUMNS($AN$1006:AU1006),$AN$1006:$BO$1006,0)))),"Fix")))</f>
        <v>0</v>
      </c>
      <c r="J109" s="4">
        <f>IF(OR(INDEX($AH$2:$AH$1001,MATCH(ROWS($AG$2:AG109),$AG$2:$AG$1001,0),1)&gt;=100000,INDEX($AN$1005:$BO$1005,1,MATCH(COLUMNS($AN$1006:AV1006),$AN$1006:$BO$1006,0))&gt;=100000), " ",IF(INDEX($AN$2:$BO$1001,MATCH(ROWS($AG$2:AG109),$AG$2:$AG$1001,0),MATCH(COLUMNS($AN$1006:AV1006),$AN$1006:$BO$1006,0)), HYPERLINK("#",""), HYPERLINK(CONCATENATE("#Metadata!", ADDRESS(INDEX($AI$2:$AI$1001,MATCH(ROWS($AG$2:AG109),$AG$2:$AG$1001,0),0), INDEX($AN$1004:$BO$1004,1,MATCH(COLUMNS($AN$1006:AV1006),$AN$1006:$BO$1006,0)))),"Fix")))</f>
        <v>0</v>
      </c>
      <c r="K109" s="4">
        <f>IF(OR(INDEX($AH$2:$AH$1001,MATCH(ROWS($AG$2:AG109),$AG$2:$AG$1001,0),1)&gt;=100000,INDEX($AN$1005:$BO$1005,1,MATCH(COLUMNS($AN$1006:AW1006),$AN$1006:$BO$1006,0))&gt;=100000), " ",IF(INDEX($AN$2:$BO$1001,MATCH(ROWS($AG$2:AG109),$AG$2:$AG$1001,0),MATCH(COLUMNS($AN$1006:AW1006),$AN$1006:$BO$1006,0)), HYPERLINK("#",""), HYPERLINK(CONCATENATE("#Metadata!", ADDRESS(INDEX($AI$2:$AI$1001,MATCH(ROWS($AG$2:AG109),$AG$2:$AG$1001,0),0), INDEX($AN$1004:$BO$1004,1,MATCH(COLUMNS($AN$1006:AW1006),$AN$1006:$BO$1006,0)))),"Fix")))</f>
        <v>0</v>
      </c>
      <c r="L109" s="4">
        <f>IF(OR(INDEX($AH$2:$AH$1001,MATCH(ROWS($AG$2:AG109),$AG$2:$AG$1001,0),1)&gt;=100000,INDEX($AN$1005:$BO$1005,1,MATCH(COLUMNS($AN$1006:AX1006),$AN$1006:$BO$1006,0))&gt;=100000), " ",IF(INDEX($AN$2:$BO$1001,MATCH(ROWS($AG$2:AG109),$AG$2:$AG$1001,0),MATCH(COLUMNS($AN$1006:AX1006),$AN$1006:$BO$1006,0)), HYPERLINK("#",""), HYPERLINK(CONCATENATE("#Metadata!", ADDRESS(INDEX($AI$2:$AI$1001,MATCH(ROWS($AG$2:AG109),$AG$2:$AG$1001,0),0), INDEX($AN$1004:$BO$1004,1,MATCH(COLUMNS($AN$1006:AX1006),$AN$1006:$BO$1006,0)))),"Fix")))</f>
        <v>0</v>
      </c>
      <c r="M109" s="4">
        <f>IF(OR(INDEX($AH$2:$AH$1001,MATCH(ROWS($AG$2:AG109),$AG$2:$AG$1001,0),1)&gt;=100000,INDEX($AN$1005:$BO$1005,1,MATCH(COLUMNS($AN$1006:AY1006),$AN$1006:$BO$1006,0))&gt;=100000), " ",IF(INDEX($AN$2:$BO$1001,MATCH(ROWS($AG$2:AG109),$AG$2:$AG$1001,0),MATCH(COLUMNS($AN$1006:AY1006),$AN$1006:$BO$1006,0)), HYPERLINK("#",""), HYPERLINK(CONCATENATE("#Metadata!", ADDRESS(INDEX($AI$2:$AI$1001,MATCH(ROWS($AG$2:AG109),$AG$2:$AG$1001,0),0), INDEX($AN$1004:$BO$1004,1,MATCH(COLUMNS($AN$1006:AY1006),$AN$1006:$BO$1006,0)))),"Fix")))</f>
        <v>0</v>
      </c>
      <c r="N109" s="4">
        <f>IF(OR(INDEX($AH$2:$AH$1001,MATCH(ROWS($AG$2:AG109),$AG$2:$AG$1001,0),1)&gt;=100000,INDEX($AN$1005:$BO$1005,1,MATCH(COLUMNS($AN$1006:AZ1006),$AN$1006:$BO$1006,0))&gt;=100000), " ",IF(INDEX($AN$2:$BO$1001,MATCH(ROWS($AG$2:AG109),$AG$2:$AG$1001,0),MATCH(COLUMNS($AN$1006:AZ1006),$AN$1006:$BO$1006,0)), HYPERLINK("#",""), HYPERLINK(CONCATENATE("#Metadata!", ADDRESS(INDEX($AI$2:$AI$1001,MATCH(ROWS($AG$2:AG109),$AG$2:$AG$1001,0),0), INDEX($AN$1004:$BO$1004,1,MATCH(COLUMNS($AN$1006:AZ1006),$AN$1006:$BO$1006,0)))),"Fix")))</f>
        <v>0</v>
      </c>
      <c r="O109" s="4">
        <f>IF(OR(INDEX($AH$2:$AH$1001,MATCH(ROWS($AG$2:AG109),$AG$2:$AG$1001,0),1)&gt;=100000,INDEX($AN$1005:$BO$1005,1,MATCH(COLUMNS($AN$1006:BA1006),$AN$1006:$BO$1006,0))&gt;=100000), " ",IF(INDEX($AN$2:$BO$1001,MATCH(ROWS($AG$2:AG109),$AG$2:$AG$1001,0),MATCH(COLUMNS($AN$1006:BA1006),$AN$1006:$BO$1006,0)), HYPERLINK("#",""), HYPERLINK(CONCATENATE("#Metadata!", ADDRESS(INDEX($AI$2:$AI$1001,MATCH(ROWS($AG$2:AG109),$AG$2:$AG$1001,0),0), INDEX($AN$1004:$BO$1004,1,MATCH(COLUMNS($AN$1006:BA1006),$AN$1006:$BO$1006,0)))),"Fix")))</f>
        <v>0</v>
      </c>
      <c r="P109" s="4">
        <f>IF(OR(INDEX($AH$2:$AH$1001,MATCH(ROWS($AG$2:AG109),$AG$2:$AG$1001,0),1)&gt;=100000,INDEX($AN$1005:$BO$1005,1,MATCH(COLUMNS($AN$1006:BB1006),$AN$1006:$BO$1006,0))&gt;=100000), " ",IF(INDEX($AN$2:$BO$1001,MATCH(ROWS($AG$2:AG109),$AG$2:$AG$1001,0),MATCH(COLUMNS($AN$1006:BB1006),$AN$1006:$BO$1006,0)), HYPERLINK("#",""), HYPERLINK(CONCATENATE("#Metadata!", ADDRESS(INDEX($AI$2:$AI$1001,MATCH(ROWS($AG$2:AG109),$AG$2:$AG$1001,0),0), INDEX($AN$1004:$BO$1004,1,MATCH(COLUMNS($AN$1006:BB1006),$AN$1006:$BO$1006,0)))),"Fix")))</f>
        <v>0</v>
      </c>
      <c r="Q109" s="4">
        <f>IF(OR(INDEX($AH$2:$AH$1001,MATCH(ROWS($AG$2:AG109),$AG$2:$AG$1001,0),1)&gt;=100000,INDEX($AN$1005:$BO$1005,1,MATCH(COLUMNS($AN$1006:BC1006),$AN$1006:$BO$1006,0))&gt;=100000), " ",IF(INDEX($AN$2:$BO$1001,MATCH(ROWS($AG$2:AG109),$AG$2:$AG$1001,0),MATCH(COLUMNS($AN$1006:BC1006),$AN$1006:$BO$1006,0)), HYPERLINK("#",""), HYPERLINK(CONCATENATE("#Metadata!", ADDRESS(INDEX($AI$2:$AI$1001,MATCH(ROWS($AG$2:AG109),$AG$2:$AG$1001,0),0), INDEX($AN$1004:$BO$1004,1,MATCH(COLUMNS($AN$1006:BC1006),$AN$1006:$BO$1006,0)))),"Fix")))</f>
        <v>0</v>
      </c>
      <c r="R109" s="4">
        <f>IF(OR(INDEX($AH$2:$AH$1001,MATCH(ROWS($AG$2:AG109),$AG$2:$AG$1001,0),1)&gt;=100000,INDEX($AN$1005:$BO$1005,1,MATCH(COLUMNS($AN$1006:BD1006),$AN$1006:$BO$1006,0))&gt;=100000), " ",IF(INDEX($AN$2:$BO$1001,MATCH(ROWS($AG$2:AG109),$AG$2:$AG$1001,0),MATCH(COLUMNS($AN$1006:BD1006),$AN$1006:$BO$1006,0)), HYPERLINK("#",""), HYPERLINK(CONCATENATE("#Metadata!", ADDRESS(INDEX($AI$2:$AI$1001,MATCH(ROWS($AG$2:AG109),$AG$2:$AG$1001,0),0), INDEX($AN$1004:$BO$1004,1,MATCH(COLUMNS($AN$1006:BD1006),$AN$1006:$BO$1006,0)))),"Fix")))</f>
        <v>0</v>
      </c>
      <c r="S109" s="4">
        <f>IF(OR(INDEX($AH$2:$AH$1001,MATCH(ROWS($AG$2:AG109),$AG$2:$AG$1001,0),1)&gt;=100000,INDEX($AN$1005:$BO$1005,1,MATCH(COLUMNS($AN$1006:BE1006),$AN$1006:$BO$1006,0))&gt;=100000), " ",IF(INDEX($AN$2:$BO$1001,MATCH(ROWS($AG$2:AG109),$AG$2:$AG$1001,0),MATCH(COLUMNS($AN$1006:BE1006),$AN$1006:$BO$1006,0)), HYPERLINK("#",""), HYPERLINK(CONCATENATE("#Metadata!", ADDRESS(INDEX($AI$2:$AI$1001,MATCH(ROWS($AG$2:AG109),$AG$2:$AG$1001,0),0), INDEX($AN$1004:$BO$1004,1,MATCH(COLUMNS($AN$1006:BE1006),$AN$1006:$BO$1006,0)))),"Fix")))</f>
        <v>0</v>
      </c>
      <c r="T109" s="4">
        <f>IF(OR(INDEX($AH$2:$AH$1001,MATCH(ROWS($AG$2:AG109),$AG$2:$AG$1001,0),1)&gt;=100000,INDEX($AN$1005:$BO$1005,1,MATCH(COLUMNS($AN$1006:BF1006),$AN$1006:$BO$1006,0))&gt;=100000), " ",IF(INDEX($AN$2:$BO$1001,MATCH(ROWS($AG$2:AG109),$AG$2:$AG$1001,0),MATCH(COLUMNS($AN$1006:BF1006),$AN$1006:$BO$1006,0)), HYPERLINK("#",""), HYPERLINK(CONCATENATE("#Metadata!", ADDRESS(INDEX($AI$2:$AI$1001,MATCH(ROWS($AG$2:AG109),$AG$2:$AG$1001,0),0), INDEX($AN$1004:$BO$1004,1,MATCH(COLUMNS($AN$1006:BF1006),$AN$1006:$BO$1006,0)))),"Fix")))</f>
        <v>0</v>
      </c>
      <c r="U109" s="4">
        <f>IF(OR(INDEX($AH$2:$AH$1001,MATCH(ROWS($AG$2:AG109),$AG$2:$AG$1001,0),1)&gt;=100000,INDEX($AN$1005:$BO$1005,1,MATCH(COLUMNS($AN$1006:BG1006),$AN$1006:$BO$1006,0))&gt;=100000), " ",IF(INDEX($AN$2:$BO$1001,MATCH(ROWS($AG$2:AG109),$AG$2:$AG$1001,0),MATCH(COLUMNS($AN$1006:BG1006),$AN$1006:$BO$1006,0)), HYPERLINK("#",""), HYPERLINK(CONCATENATE("#Metadata!", ADDRESS(INDEX($AI$2:$AI$1001,MATCH(ROWS($AG$2:AG109),$AG$2:$AG$1001,0),0), INDEX($AN$1004:$BO$1004,1,MATCH(COLUMNS($AN$1006:BG1006),$AN$1006:$BO$1006,0)))),"Fix")))</f>
        <v>0</v>
      </c>
      <c r="V109" s="4">
        <f>IF(OR(INDEX($AH$2:$AH$1001,MATCH(ROWS($AG$2:AG109),$AG$2:$AG$1001,0),1)&gt;=100000,INDEX($AN$1005:$BO$1005,1,MATCH(COLUMNS($AN$1006:BH1006),$AN$1006:$BO$1006,0))&gt;=100000), " ",IF(INDEX($AN$2:$BO$1001,MATCH(ROWS($AG$2:AG109),$AG$2:$AG$1001,0),MATCH(COLUMNS($AN$1006:BH1006),$AN$1006:$BO$1006,0)), HYPERLINK("#",""), HYPERLINK(CONCATENATE("#Metadata!", ADDRESS(INDEX($AI$2:$AI$1001,MATCH(ROWS($AG$2:AG109),$AG$2:$AG$1001,0),0), INDEX($AN$1004:$BO$1004,1,MATCH(COLUMNS($AN$1006:BH1006),$AN$1006:$BO$1006,0)))),"Fix")))</f>
        <v>0</v>
      </c>
      <c r="W109" s="4">
        <f>IF(OR(INDEX($AH$2:$AH$1001,MATCH(ROWS($AG$2:AG109),$AG$2:$AG$1001,0),1)&gt;=100000,INDEX($AN$1005:$BO$1005,1,MATCH(COLUMNS($AN$1006:BI1006),$AN$1006:$BO$1006,0))&gt;=100000), " ",IF(INDEX($AN$2:$BO$1001,MATCH(ROWS($AG$2:AG109),$AG$2:$AG$1001,0),MATCH(COLUMNS($AN$1006:BI1006),$AN$1006:$BO$1006,0)), HYPERLINK("#",""), HYPERLINK(CONCATENATE("#Metadata!", ADDRESS(INDEX($AI$2:$AI$1001,MATCH(ROWS($AG$2:AG109),$AG$2:$AG$1001,0),0), INDEX($AN$1004:$BO$1004,1,MATCH(COLUMNS($AN$1006:BI1006),$AN$1006:$BO$1006,0)))),"Fix")))</f>
        <v>0</v>
      </c>
      <c r="X109" s="4">
        <f>IF(OR(INDEX($AH$2:$AH$1001,MATCH(ROWS($AG$2:AG109),$AG$2:$AG$1001,0),1)&gt;=100000,INDEX($AN$1005:$BO$1005,1,MATCH(COLUMNS($AN$1006:BJ1006),$AN$1006:$BO$1006,0))&gt;=100000), " ",IF(INDEX($AN$2:$BO$1001,MATCH(ROWS($AG$2:AG109),$AG$2:$AG$1001,0),MATCH(COLUMNS($AN$1006:BJ1006),$AN$1006:$BO$1006,0)), HYPERLINK("#",""), HYPERLINK(CONCATENATE("#Metadata!", ADDRESS(INDEX($AI$2:$AI$1001,MATCH(ROWS($AG$2:AG109),$AG$2:$AG$1001,0),0), INDEX($AN$1004:$BO$1004,1,MATCH(COLUMNS($AN$1006:BJ1006),$AN$1006:$BO$1006,0)))),"Fix")))</f>
        <v>0</v>
      </c>
      <c r="Y109" s="4">
        <f>IF(OR(INDEX($AH$2:$AH$1001,MATCH(ROWS($AG$2:AG109),$AG$2:$AG$1001,0),1)&gt;=100000,INDEX($AN$1005:$BO$1005,1,MATCH(COLUMNS($AN$1006:BK1006),$AN$1006:$BO$1006,0))&gt;=100000), " ",IF(INDEX($AN$2:$BO$1001,MATCH(ROWS($AG$2:AG109),$AG$2:$AG$1001,0),MATCH(COLUMNS($AN$1006:BK1006),$AN$1006:$BO$1006,0)), HYPERLINK("#",""), HYPERLINK(CONCATENATE("#Metadata!", ADDRESS(INDEX($AI$2:$AI$1001,MATCH(ROWS($AG$2:AG109),$AG$2:$AG$1001,0),0), INDEX($AN$1004:$BO$1004,1,MATCH(COLUMNS($AN$1006:BK1006),$AN$1006:$BO$1006,0)))),"Fix")))</f>
        <v>0</v>
      </c>
      <c r="Z109" s="4">
        <f>IF(OR(INDEX($AH$2:$AH$1001,MATCH(ROWS($AG$2:AG109),$AG$2:$AG$1001,0),1)&gt;=100000,INDEX($AN$1005:$BO$1005,1,MATCH(COLUMNS($AN$1006:BL1006),$AN$1006:$BO$1006,0))&gt;=100000), " ",IF(INDEX($AN$2:$BO$1001,MATCH(ROWS($AG$2:AG109),$AG$2:$AG$1001,0),MATCH(COLUMNS($AN$1006:BL1006),$AN$1006:$BO$1006,0)), HYPERLINK("#",""), HYPERLINK(CONCATENATE("#Metadata!", ADDRESS(INDEX($AI$2:$AI$1001,MATCH(ROWS($AG$2:AG109),$AG$2:$AG$1001,0),0), INDEX($AN$1004:$BO$1004,1,MATCH(COLUMNS($AN$1006:BL1006),$AN$1006:$BO$1006,0)))),"Fix")))</f>
        <v>0</v>
      </c>
      <c r="AA109" s="4">
        <f>IF(OR(INDEX($AH$2:$AH$1001,MATCH(ROWS($AG$2:AG109),$AG$2:$AG$1001,0),1)&gt;=100000,INDEX($AN$1005:$BO$1005,1,MATCH(COLUMNS($AN$1006:BM1006),$AN$1006:$BO$1006,0))&gt;=100000), " ",IF(INDEX($AN$2:$BO$1001,MATCH(ROWS($AG$2:AG109),$AG$2:$AG$1001,0),MATCH(COLUMNS($AN$1006:BM1006),$AN$1006:$BO$1006,0)), HYPERLINK("#",""), HYPERLINK(CONCATENATE("#Metadata!", ADDRESS(INDEX($AI$2:$AI$1001,MATCH(ROWS($AG$2:AG109),$AG$2:$AG$1001,0),0), INDEX($AN$1004:$BO$1004,1,MATCH(COLUMNS($AN$1006:BM1006),$AN$1006:$BO$1006,0)))),"Fix")))</f>
        <v>0</v>
      </c>
      <c r="AB109" s="4">
        <f>IF(OR(INDEX($AH$2:$AH$1001,MATCH(ROWS($AG$2:AG109),$AG$2:$AG$1001,0),1)&gt;=100000,INDEX($AN$1005:$BO$1005,1,MATCH(COLUMNS($AN$1006:BN1006),$AN$1006:$BO$1006,0))&gt;=100000), " ",IF(INDEX($AN$2:$BO$1001,MATCH(ROWS($AG$2:AG109),$AG$2:$AG$1001,0),MATCH(COLUMNS($AN$1006:BN1006),$AN$1006:$BO$1006,0)), HYPERLINK("#",""), HYPERLINK(CONCATENATE("#Metadata!", ADDRESS(INDEX($AI$2:$AI$1001,MATCH(ROWS($AG$2:AG109),$AG$2:$AG$1001,0),0), INDEX($AN$1004:$BO$1004,1,MATCH(COLUMNS($AN$1006:BN1006),$AN$1006:$BO$1006,0)))),"Fix")))</f>
        <v>0</v>
      </c>
      <c r="AC109" s="4">
        <f>IF(OR(INDEX($AH$2:$AH$1001,MATCH(ROWS($AG$2:AG109),$AG$2:$AG$1001,0),1)&gt;=100000,INDEX($AN$1005:$BO$1005,1,MATCH(COLUMNS($AN$1006:BO1006),$AN$1006:$BO$1006,0))&gt;=100000), " ",IF(INDEX($AN$2:$BO$1001,MATCH(ROWS($AG$2:AG109),$AG$2:$AG$1001,0),MATCH(COLUMNS($AN$1006:BO1006),$AN$1006:$BO$1006,0)), HYPERLINK("#",""), HYPERLINK(CONCATENATE("#Metadata!", ADDRESS(INDEX($AI$2:$AI$1001,MATCH(ROWS($AG$2:AG109),$AG$2:$AG$1001,0),0), INDEX($AN$1004:$BO$1004,1,MATCH(COLUMNS($AN$1006:BO1006),$AN$1006:$BO$1006,0)))),"Fix")))</f>
        <v>0</v>
      </c>
      <c r="AG109">
        <v>0</v>
      </c>
      <c r="AH109">
        <v>0</v>
      </c>
      <c r="AI109">
        <v>0</v>
      </c>
      <c r="AJ109">
        <f>IF(AK109,TRUE,AND(AN109:BO109))</f>
        <v>0</v>
      </c>
      <c r="AK109">
        <f>COUNTBLANK(Metadata!B109:AC109)=COLUMNS(Metadata!B109:AC109)</f>
        <v>0</v>
      </c>
      <c r="AL109">
        <v>0</v>
      </c>
      <c r="AN109">
        <f>AND(IF(Metadata!B109="",FALSE,TRUE),COUNTIF(Metadata!B:B, Metadata!B109) = 1,NOT(ISERROR(SUMPRODUCT(SEARCH(MID(Metadata!B109,ROW(INDIRECT("1:"&amp;LEN(Metadata!B109))), 1),"0123456789abcdefghijklmnopqrstuvwxyzABCDEFGHIJKLMNOPQRSTUVWXYZ.")))))</f>
        <v>0</v>
      </c>
      <c r="AO109">
        <f>IF(Metadata!C109="",FALSE,TRUE)</f>
        <v>0</v>
      </c>
      <c r="AP109">
        <f>IF(Metadata!D109="",FALSE,TRUE)</f>
        <v>0</v>
      </c>
      <c r="AQ109">
        <f>OR(AND(IF(Metadata!E109="",FALSE,TRUE),OR(exact(Metadata!E109,"not collected"),exact(Metadata!E109,"not provided"),exact(Metadata!E109,"restricted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R109">
        <f>IF(Metadata!F109="",FALSE,TRUE)</f>
        <v>0</v>
      </c>
      <c r="AS109">
        <f>OR(AND(IF(Metadata!G109="",FALSE,TRUE),OR(exact(Metadata!G109,"not collected"),exact(Metadata!G109,"not provided"))),AND(IF(Metadata!G109="",FALSE,TRUE),OR(exact(Metadata!G109,"TRUE"),exact(Metadata!G109,"FALSE"))))</f>
        <v>0</v>
      </c>
      <c r="AT109">
        <f>OR(AND(IF(Metadata!H109="",FALSE,TRUE),OR(exact(Metadata!H109,"not collected"),exact(Metadata!H109,"not provided"),exact(Metadata!H109,"restricted access"))),AND(IF(Metadata!H109="",FALSE,ISNUMBER(VALUE(Metadata!H109))),Metadata!H109&gt;=-413.0))</f>
        <v>0</v>
      </c>
      <c r="AU109">
        <f>AND(IF(Metadata!I109="",FALSE,TRUE),exact(Metadata!I109,"meters"))</f>
        <v>0</v>
      </c>
      <c r="AV109">
        <f>AND(IF(Metadata!J109="",FALSE,TRUE),OR(exact(Metadata!J109,"Host-associated"),exact(Metadata!J109,"Free-living")))</f>
        <v>0</v>
      </c>
      <c r="AW109">
        <f>AND(IF(Metadata!K109="",FALSE,TRUE),OR(exact(Metadata!K109,"Animal"),exact(Metadata!K109,"Fungus"),exact(Metadata!K109,"Plant"),exact(Metadata!K109,"Saline"),exact(Metadata!K109,"Non-saline")))</f>
        <v>0</v>
      </c>
      <c r="AX109">
        <f>AND(IF(Metadata!L109="",FALSE,TRUE),OR(exact(Metadata!L109,"Plant secretion"),exact(Metadata!L109,"Plant rhizosphere"),exact(Metadata!L109,"Plant surface"),exact(Metadata!L109,"Plant corpus"),exact(Metadata!L109,"Fungus surface"),exact(Metadata!L109,"Fungus corpus"),exact(Metadata!L109,"Animal surface"),exact(Metadata!L109,"Animal proximal gut"),exact(Metadata!L109,"Animal corpus"),exact(Metadata!L109,"Animal distal gut"),exact(Metadata!L109,"Animal secretion"),exact(Metadata!L109,"Sub-surface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Y109">
        <f>IF(Metadata!M109="",FALSE,TRUE)</f>
        <v>0</v>
      </c>
      <c r="AZ109">
        <f>IF(Metadata!N109="",FALSE,TRUE)</f>
        <v>0</v>
      </c>
      <c r="BA109">
        <f>IF(Metadata!O109="",FALSE,TRUE)</f>
        <v>0</v>
      </c>
      <c r="BB109">
        <f>OR(AND(IF(Metadata!P109="",FALSE,TRUE),OR(exact(Metadata!P109,"not collected"),exact(Metadata!P109,"not provided"),exact(Metadata!P109,"restricted access"))),AND(IF(Metadata!P109="",FALSE,TRUE),OR(exact(Metadata!P109,"air"),exact(Metadata!P109,"built environment"),exact(Metadata!P109,"host-associated"),exact(Metadata!P109,"human-associated"),exact(Metadata!P109,"human-skin"),exact(Metadata!P109,"human-oral"),exact(Metadata!P109,"human-gut"),exact(Metadata!P109,"human-vaginal"),exact(Metadata!P109,"microbial mat/biofilm"),exact(Metadata!P109,"misc environment"),exact(Metadata!P109,"plant-associated"),exact(Metadata!P109,"sediment"),exact(Metadata!P109,"soil"),exact(Metadata!P109,"wastewater/sludge"),exact(Metadata!P109,"water"))))</f>
        <v>0</v>
      </c>
      <c r="BC109">
        <f>IF(Metadata!Q109="",FALSE,TRUE)</f>
        <v>0</v>
      </c>
      <c r="BD109">
        <f>IF(Metadata!R109="",FALSE,TRUE)</f>
        <v>0</v>
      </c>
      <c r="BE109">
        <f>OR(AND(IF(Metadata!S109="",FALSE,TRUE),OR(exact(Metadata!S109,"not collected"),exact(Metadata!S109,"not provided"),exact(Metadata!S109,"restricted access"))),AND(IF(Metadata!S109="",FALSE,ISNUMBER(VALUE(Metadata!S109))),Metadata!S109&gt;=-90.00,Metadata!S109&lt;=90.00))</f>
        <v>0</v>
      </c>
      <c r="BF109">
        <f>AND(IF(Metadata!T109="",FALSE,TRUE),exact(Metadata!T109,"Decimal degrees"))</f>
        <v>0</v>
      </c>
      <c r="BG109">
        <f>OR(AND(IF(Metadata!U109="",FALSE,TRUE),OR(exact(Metadata!U109,"not collected"),exact(Metadata!U109,"not provided"),exact(Metadata!U109,"restricted access"))),AND(IF(Metadata!U109="",FALSE,ISNUMBER(VALUE(Metadata!U109))),Metadata!U109&gt;=-180.00,Metadata!U109&lt;=180.00))</f>
        <v>0</v>
      </c>
      <c r="BH109">
        <f>AND(IF(Metadata!V109="",FALSE,TRUE),exact(Metadata!V109,"Decimal degrees"))</f>
        <v>0</v>
      </c>
      <c r="BI109">
        <f>IF(Metadata!W109="",FALSE,TRUE)</f>
        <v>0</v>
      </c>
      <c r="BJ109">
        <f>OR(AND(IF(Metadata!X109="",FALSE,TRUE),OR(exact(Metadata!X109,"not collected"),exact(Metadata!X109,"not provided"),exact(Metadata!X109,"restricted access"))),AND(IF(Metadata!X109="",FALSE,TRUE),OR(exact(Metadata!X109,"TRUE"),exact(Metadata!X109,"FALSE"))))</f>
        <v>0</v>
      </c>
      <c r="BK109">
        <f>AND(IF(Metadata!Y109="",FALSE,TRUE),exact(Metadata!Y109,"other"))</f>
        <v>0</v>
      </c>
      <c r="BL109">
        <f>IF(Metadata!Z109="",FALSE,TRUE)</f>
        <v>0</v>
      </c>
      <c r="BM109">
        <f>OR(AND(IF(Metadata!AA109="",FALSE,TRUE),OR(exact(Metadata!AA109,"not collected"),exact(Metadata!AA109,"not provided"))),AND(IF(Metadata!AA109="",FALSE,IF(ISERROR(INT(Metadata!AA109)),FALSE,INT(Metadata!AA109)=Metadata!AA109)),Metadata!AA109&gt;0))</f>
        <v>0</v>
      </c>
      <c r="BN109">
        <f>AND(IF(Metadata!AB109="",FALSE,TRUE),exact(Metadata!AB109,"Not applicable"))</f>
        <v>0</v>
      </c>
      <c r="BO109">
        <f>IF(Metadata!AC109="",FALSE,TRUE)</f>
        <v>0</v>
      </c>
    </row>
    <row r="110" spans="1:67">
      <c r="A110" s="5">
        <f>IF(B110=" "," ",HYPERLINK(CONCATENATE("#metadata!",ADDRESS(INDEX($AI$2:$AI$1001,MATCH(ROWS($AG$2:AG110),$AG$2:$AG$1001,0),0),1)),INDEX($AL$2:$AL$1001,MATCH(ROWS($AG$2:AG110),$AG$2:$AG$1001,0),0)))</f>
        <v>0</v>
      </c>
      <c r="B110" s="4">
        <f>IF(OR(INDEX($AH$2:$AH$1001,MATCH(ROWS($AG$2:AG110),$AG$2:$AG$1001,0),1)&gt;=100000,INDEX($AN$1005:$BO$1005,1,MATCH(COLUMNS($AN$1006:AN1006),$AN$1006:$BO$1006,0))&gt;=100000), " ",IF(INDEX($AN$2:$BO$1001,MATCH(ROWS($AG$2:AG110),$AG$2:$AG$1001,0),MATCH(COLUMNS($AN$1006:AN1006),$AN$1006:$BO$1006,0)), HYPERLINK("#",""), HYPERLINK(CONCATENATE("#Metadata!", ADDRESS(INDEX($AI$2:$AI$1001,MATCH(ROWS($AG$2:AG110),$AG$2:$AG$1001,0),0), INDEX($AN$1004:$BO$1004,1,MATCH(COLUMNS($AN$1006:AN1006),$AN$1006:$BO$1006,0)))),"Fix")))</f>
        <v>0</v>
      </c>
      <c r="C110" s="4">
        <f>IF(OR(INDEX($AH$2:$AH$1001,MATCH(ROWS($AG$2:AG110),$AG$2:$AG$1001,0),1)&gt;=100000,INDEX($AN$1005:$BO$1005,1,MATCH(COLUMNS($AN$1006:AO1006),$AN$1006:$BO$1006,0))&gt;=100000), " ",IF(INDEX($AN$2:$BO$1001,MATCH(ROWS($AG$2:AG110),$AG$2:$AG$1001,0),MATCH(COLUMNS($AN$1006:AO1006),$AN$1006:$BO$1006,0)), HYPERLINK("#",""), HYPERLINK(CONCATENATE("#Metadata!", ADDRESS(INDEX($AI$2:$AI$1001,MATCH(ROWS($AG$2:AG110),$AG$2:$AG$1001,0),0), INDEX($AN$1004:$BO$1004,1,MATCH(COLUMNS($AN$1006:AO1006),$AN$1006:$BO$1006,0)))),"Fix")))</f>
        <v>0</v>
      </c>
      <c r="D110" s="4">
        <f>IF(OR(INDEX($AH$2:$AH$1001,MATCH(ROWS($AG$2:AG110),$AG$2:$AG$1001,0),1)&gt;=100000,INDEX($AN$1005:$BO$1005,1,MATCH(COLUMNS($AN$1006:AP1006),$AN$1006:$BO$1006,0))&gt;=100000), " ",IF(INDEX($AN$2:$BO$1001,MATCH(ROWS($AG$2:AG110),$AG$2:$AG$1001,0),MATCH(COLUMNS($AN$1006:AP1006),$AN$1006:$BO$1006,0)), HYPERLINK("#",""), HYPERLINK(CONCATENATE("#Metadata!", ADDRESS(INDEX($AI$2:$AI$1001,MATCH(ROWS($AG$2:AG110),$AG$2:$AG$1001,0),0), INDEX($AN$1004:$BO$1004,1,MATCH(COLUMNS($AN$1006:AP1006),$AN$1006:$BO$1006,0)))),"Fix")))</f>
        <v>0</v>
      </c>
      <c r="E110" s="4">
        <f>IF(OR(INDEX($AH$2:$AH$1001,MATCH(ROWS($AG$2:AG110),$AG$2:$AG$1001,0),1)&gt;=100000,INDEX($AN$1005:$BO$1005,1,MATCH(COLUMNS($AN$1006:AQ1006),$AN$1006:$BO$1006,0))&gt;=100000), " ",IF(INDEX($AN$2:$BO$1001,MATCH(ROWS($AG$2:AG110),$AG$2:$AG$1001,0),MATCH(COLUMNS($AN$1006:AQ1006),$AN$1006:$BO$1006,0)), HYPERLINK("#",""), HYPERLINK(CONCATENATE("#Metadata!", ADDRESS(INDEX($AI$2:$AI$1001,MATCH(ROWS($AG$2:AG110),$AG$2:$AG$1001,0),0), INDEX($AN$1004:$BO$1004,1,MATCH(COLUMNS($AN$1006:AQ1006),$AN$1006:$BO$1006,0)))),"Fix")))</f>
        <v>0</v>
      </c>
      <c r="F110" s="4">
        <f>IF(OR(INDEX($AH$2:$AH$1001,MATCH(ROWS($AG$2:AG110),$AG$2:$AG$1001,0),1)&gt;=100000,INDEX($AN$1005:$BO$1005,1,MATCH(COLUMNS($AN$1006:AR1006),$AN$1006:$BO$1006,0))&gt;=100000), " ",IF(INDEX($AN$2:$BO$1001,MATCH(ROWS($AG$2:AG110),$AG$2:$AG$1001,0),MATCH(COLUMNS($AN$1006:AR1006),$AN$1006:$BO$1006,0)), HYPERLINK("#",""), HYPERLINK(CONCATENATE("#Metadata!", ADDRESS(INDEX($AI$2:$AI$1001,MATCH(ROWS($AG$2:AG110),$AG$2:$AG$1001,0),0), INDEX($AN$1004:$BO$1004,1,MATCH(COLUMNS($AN$1006:AR1006),$AN$1006:$BO$1006,0)))),"Fix")))</f>
        <v>0</v>
      </c>
      <c r="G110" s="4">
        <f>IF(OR(INDEX($AH$2:$AH$1001,MATCH(ROWS($AG$2:AG110),$AG$2:$AG$1001,0),1)&gt;=100000,INDEX($AN$1005:$BO$1005,1,MATCH(COLUMNS($AN$1006:AS1006),$AN$1006:$BO$1006,0))&gt;=100000), " ",IF(INDEX($AN$2:$BO$1001,MATCH(ROWS($AG$2:AG110),$AG$2:$AG$1001,0),MATCH(COLUMNS($AN$1006:AS1006),$AN$1006:$BO$1006,0)), HYPERLINK("#",""), HYPERLINK(CONCATENATE("#Metadata!", ADDRESS(INDEX($AI$2:$AI$1001,MATCH(ROWS($AG$2:AG110),$AG$2:$AG$1001,0),0), INDEX($AN$1004:$BO$1004,1,MATCH(COLUMNS($AN$1006:AS1006),$AN$1006:$BO$1006,0)))),"Fix")))</f>
        <v>0</v>
      </c>
      <c r="H110" s="4">
        <f>IF(OR(INDEX($AH$2:$AH$1001,MATCH(ROWS($AG$2:AG110),$AG$2:$AG$1001,0),1)&gt;=100000,INDEX($AN$1005:$BO$1005,1,MATCH(COLUMNS($AN$1006:AT1006),$AN$1006:$BO$1006,0))&gt;=100000), " ",IF(INDEX($AN$2:$BO$1001,MATCH(ROWS($AG$2:AG110),$AG$2:$AG$1001,0),MATCH(COLUMNS($AN$1006:AT1006),$AN$1006:$BO$1006,0)), HYPERLINK("#",""), HYPERLINK(CONCATENATE("#Metadata!", ADDRESS(INDEX($AI$2:$AI$1001,MATCH(ROWS($AG$2:AG110),$AG$2:$AG$1001,0),0), INDEX($AN$1004:$BO$1004,1,MATCH(COLUMNS($AN$1006:AT1006),$AN$1006:$BO$1006,0)))),"Fix")))</f>
        <v>0</v>
      </c>
      <c r="I110" s="4">
        <f>IF(OR(INDEX($AH$2:$AH$1001,MATCH(ROWS($AG$2:AG110),$AG$2:$AG$1001,0),1)&gt;=100000,INDEX($AN$1005:$BO$1005,1,MATCH(COLUMNS($AN$1006:AU1006),$AN$1006:$BO$1006,0))&gt;=100000), " ",IF(INDEX($AN$2:$BO$1001,MATCH(ROWS($AG$2:AG110),$AG$2:$AG$1001,0),MATCH(COLUMNS($AN$1006:AU1006),$AN$1006:$BO$1006,0)), HYPERLINK("#",""), HYPERLINK(CONCATENATE("#Metadata!", ADDRESS(INDEX($AI$2:$AI$1001,MATCH(ROWS($AG$2:AG110),$AG$2:$AG$1001,0),0), INDEX($AN$1004:$BO$1004,1,MATCH(COLUMNS($AN$1006:AU1006),$AN$1006:$BO$1006,0)))),"Fix")))</f>
        <v>0</v>
      </c>
      <c r="J110" s="4">
        <f>IF(OR(INDEX($AH$2:$AH$1001,MATCH(ROWS($AG$2:AG110),$AG$2:$AG$1001,0),1)&gt;=100000,INDEX($AN$1005:$BO$1005,1,MATCH(COLUMNS($AN$1006:AV1006),$AN$1006:$BO$1006,0))&gt;=100000), " ",IF(INDEX($AN$2:$BO$1001,MATCH(ROWS($AG$2:AG110),$AG$2:$AG$1001,0),MATCH(COLUMNS($AN$1006:AV1006),$AN$1006:$BO$1006,0)), HYPERLINK("#",""), HYPERLINK(CONCATENATE("#Metadata!", ADDRESS(INDEX($AI$2:$AI$1001,MATCH(ROWS($AG$2:AG110),$AG$2:$AG$1001,0),0), INDEX($AN$1004:$BO$1004,1,MATCH(COLUMNS($AN$1006:AV1006),$AN$1006:$BO$1006,0)))),"Fix")))</f>
        <v>0</v>
      </c>
      <c r="K110" s="4">
        <f>IF(OR(INDEX($AH$2:$AH$1001,MATCH(ROWS($AG$2:AG110),$AG$2:$AG$1001,0),1)&gt;=100000,INDEX($AN$1005:$BO$1005,1,MATCH(COLUMNS($AN$1006:AW1006),$AN$1006:$BO$1006,0))&gt;=100000), " ",IF(INDEX($AN$2:$BO$1001,MATCH(ROWS($AG$2:AG110),$AG$2:$AG$1001,0),MATCH(COLUMNS($AN$1006:AW1006),$AN$1006:$BO$1006,0)), HYPERLINK("#",""), HYPERLINK(CONCATENATE("#Metadata!", ADDRESS(INDEX($AI$2:$AI$1001,MATCH(ROWS($AG$2:AG110),$AG$2:$AG$1001,0),0), INDEX($AN$1004:$BO$1004,1,MATCH(COLUMNS($AN$1006:AW1006),$AN$1006:$BO$1006,0)))),"Fix")))</f>
        <v>0</v>
      </c>
      <c r="L110" s="4">
        <f>IF(OR(INDEX($AH$2:$AH$1001,MATCH(ROWS($AG$2:AG110),$AG$2:$AG$1001,0),1)&gt;=100000,INDEX($AN$1005:$BO$1005,1,MATCH(COLUMNS($AN$1006:AX1006),$AN$1006:$BO$1006,0))&gt;=100000), " ",IF(INDEX($AN$2:$BO$1001,MATCH(ROWS($AG$2:AG110),$AG$2:$AG$1001,0),MATCH(COLUMNS($AN$1006:AX1006),$AN$1006:$BO$1006,0)), HYPERLINK("#",""), HYPERLINK(CONCATENATE("#Metadata!", ADDRESS(INDEX($AI$2:$AI$1001,MATCH(ROWS($AG$2:AG110),$AG$2:$AG$1001,0),0), INDEX($AN$1004:$BO$1004,1,MATCH(COLUMNS($AN$1006:AX1006),$AN$1006:$BO$1006,0)))),"Fix")))</f>
        <v>0</v>
      </c>
      <c r="M110" s="4">
        <f>IF(OR(INDEX($AH$2:$AH$1001,MATCH(ROWS($AG$2:AG110),$AG$2:$AG$1001,0),1)&gt;=100000,INDEX($AN$1005:$BO$1005,1,MATCH(COLUMNS($AN$1006:AY1006),$AN$1006:$BO$1006,0))&gt;=100000), " ",IF(INDEX($AN$2:$BO$1001,MATCH(ROWS($AG$2:AG110),$AG$2:$AG$1001,0),MATCH(COLUMNS($AN$1006:AY1006),$AN$1006:$BO$1006,0)), HYPERLINK("#",""), HYPERLINK(CONCATENATE("#Metadata!", ADDRESS(INDEX($AI$2:$AI$1001,MATCH(ROWS($AG$2:AG110),$AG$2:$AG$1001,0),0), INDEX($AN$1004:$BO$1004,1,MATCH(COLUMNS($AN$1006:AY1006),$AN$1006:$BO$1006,0)))),"Fix")))</f>
        <v>0</v>
      </c>
      <c r="N110" s="4">
        <f>IF(OR(INDEX($AH$2:$AH$1001,MATCH(ROWS($AG$2:AG110),$AG$2:$AG$1001,0),1)&gt;=100000,INDEX($AN$1005:$BO$1005,1,MATCH(COLUMNS($AN$1006:AZ1006),$AN$1006:$BO$1006,0))&gt;=100000), " ",IF(INDEX($AN$2:$BO$1001,MATCH(ROWS($AG$2:AG110),$AG$2:$AG$1001,0),MATCH(COLUMNS($AN$1006:AZ1006),$AN$1006:$BO$1006,0)), HYPERLINK("#",""), HYPERLINK(CONCATENATE("#Metadata!", ADDRESS(INDEX($AI$2:$AI$1001,MATCH(ROWS($AG$2:AG110),$AG$2:$AG$1001,0),0), INDEX($AN$1004:$BO$1004,1,MATCH(COLUMNS($AN$1006:AZ1006),$AN$1006:$BO$1006,0)))),"Fix")))</f>
        <v>0</v>
      </c>
      <c r="O110" s="4">
        <f>IF(OR(INDEX($AH$2:$AH$1001,MATCH(ROWS($AG$2:AG110),$AG$2:$AG$1001,0),1)&gt;=100000,INDEX($AN$1005:$BO$1005,1,MATCH(COLUMNS($AN$1006:BA1006),$AN$1006:$BO$1006,0))&gt;=100000), " ",IF(INDEX($AN$2:$BO$1001,MATCH(ROWS($AG$2:AG110),$AG$2:$AG$1001,0),MATCH(COLUMNS($AN$1006:BA1006),$AN$1006:$BO$1006,0)), HYPERLINK("#",""), HYPERLINK(CONCATENATE("#Metadata!", ADDRESS(INDEX($AI$2:$AI$1001,MATCH(ROWS($AG$2:AG110),$AG$2:$AG$1001,0),0), INDEX($AN$1004:$BO$1004,1,MATCH(COLUMNS($AN$1006:BA1006),$AN$1006:$BO$1006,0)))),"Fix")))</f>
        <v>0</v>
      </c>
      <c r="P110" s="4">
        <f>IF(OR(INDEX($AH$2:$AH$1001,MATCH(ROWS($AG$2:AG110),$AG$2:$AG$1001,0),1)&gt;=100000,INDEX($AN$1005:$BO$1005,1,MATCH(COLUMNS($AN$1006:BB1006),$AN$1006:$BO$1006,0))&gt;=100000), " ",IF(INDEX($AN$2:$BO$1001,MATCH(ROWS($AG$2:AG110),$AG$2:$AG$1001,0),MATCH(COLUMNS($AN$1006:BB1006),$AN$1006:$BO$1006,0)), HYPERLINK("#",""), HYPERLINK(CONCATENATE("#Metadata!", ADDRESS(INDEX($AI$2:$AI$1001,MATCH(ROWS($AG$2:AG110),$AG$2:$AG$1001,0),0), INDEX($AN$1004:$BO$1004,1,MATCH(COLUMNS($AN$1006:BB1006),$AN$1006:$BO$1006,0)))),"Fix")))</f>
        <v>0</v>
      </c>
      <c r="Q110" s="4">
        <f>IF(OR(INDEX($AH$2:$AH$1001,MATCH(ROWS($AG$2:AG110),$AG$2:$AG$1001,0),1)&gt;=100000,INDEX($AN$1005:$BO$1005,1,MATCH(COLUMNS($AN$1006:BC1006),$AN$1006:$BO$1006,0))&gt;=100000), " ",IF(INDEX($AN$2:$BO$1001,MATCH(ROWS($AG$2:AG110),$AG$2:$AG$1001,0),MATCH(COLUMNS($AN$1006:BC1006),$AN$1006:$BO$1006,0)), HYPERLINK("#",""), HYPERLINK(CONCATENATE("#Metadata!", ADDRESS(INDEX($AI$2:$AI$1001,MATCH(ROWS($AG$2:AG110),$AG$2:$AG$1001,0),0), INDEX($AN$1004:$BO$1004,1,MATCH(COLUMNS($AN$1006:BC1006),$AN$1006:$BO$1006,0)))),"Fix")))</f>
        <v>0</v>
      </c>
      <c r="R110" s="4">
        <f>IF(OR(INDEX($AH$2:$AH$1001,MATCH(ROWS($AG$2:AG110),$AG$2:$AG$1001,0),1)&gt;=100000,INDEX($AN$1005:$BO$1005,1,MATCH(COLUMNS($AN$1006:BD1006),$AN$1006:$BO$1006,0))&gt;=100000), " ",IF(INDEX($AN$2:$BO$1001,MATCH(ROWS($AG$2:AG110),$AG$2:$AG$1001,0),MATCH(COLUMNS($AN$1006:BD1006),$AN$1006:$BO$1006,0)), HYPERLINK("#",""), HYPERLINK(CONCATENATE("#Metadata!", ADDRESS(INDEX($AI$2:$AI$1001,MATCH(ROWS($AG$2:AG110),$AG$2:$AG$1001,0),0), INDEX($AN$1004:$BO$1004,1,MATCH(COLUMNS($AN$1006:BD1006),$AN$1006:$BO$1006,0)))),"Fix")))</f>
        <v>0</v>
      </c>
      <c r="S110" s="4">
        <f>IF(OR(INDEX($AH$2:$AH$1001,MATCH(ROWS($AG$2:AG110),$AG$2:$AG$1001,0),1)&gt;=100000,INDEX($AN$1005:$BO$1005,1,MATCH(COLUMNS($AN$1006:BE1006),$AN$1006:$BO$1006,0))&gt;=100000), " ",IF(INDEX($AN$2:$BO$1001,MATCH(ROWS($AG$2:AG110),$AG$2:$AG$1001,0),MATCH(COLUMNS($AN$1006:BE1006),$AN$1006:$BO$1006,0)), HYPERLINK("#",""), HYPERLINK(CONCATENATE("#Metadata!", ADDRESS(INDEX($AI$2:$AI$1001,MATCH(ROWS($AG$2:AG110),$AG$2:$AG$1001,0),0), INDEX($AN$1004:$BO$1004,1,MATCH(COLUMNS($AN$1006:BE1006),$AN$1006:$BO$1006,0)))),"Fix")))</f>
        <v>0</v>
      </c>
      <c r="T110" s="4">
        <f>IF(OR(INDEX($AH$2:$AH$1001,MATCH(ROWS($AG$2:AG110),$AG$2:$AG$1001,0),1)&gt;=100000,INDEX($AN$1005:$BO$1005,1,MATCH(COLUMNS($AN$1006:BF1006),$AN$1006:$BO$1006,0))&gt;=100000), " ",IF(INDEX($AN$2:$BO$1001,MATCH(ROWS($AG$2:AG110),$AG$2:$AG$1001,0),MATCH(COLUMNS($AN$1006:BF1006),$AN$1006:$BO$1006,0)), HYPERLINK("#",""), HYPERLINK(CONCATENATE("#Metadata!", ADDRESS(INDEX($AI$2:$AI$1001,MATCH(ROWS($AG$2:AG110),$AG$2:$AG$1001,0),0), INDEX($AN$1004:$BO$1004,1,MATCH(COLUMNS($AN$1006:BF1006),$AN$1006:$BO$1006,0)))),"Fix")))</f>
        <v>0</v>
      </c>
      <c r="U110" s="4">
        <f>IF(OR(INDEX($AH$2:$AH$1001,MATCH(ROWS($AG$2:AG110),$AG$2:$AG$1001,0),1)&gt;=100000,INDEX($AN$1005:$BO$1005,1,MATCH(COLUMNS($AN$1006:BG1006),$AN$1006:$BO$1006,0))&gt;=100000), " ",IF(INDEX($AN$2:$BO$1001,MATCH(ROWS($AG$2:AG110),$AG$2:$AG$1001,0),MATCH(COLUMNS($AN$1006:BG1006),$AN$1006:$BO$1006,0)), HYPERLINK("#",""), HYPERLINK(CONCATENATE("#Metadata!", ADDRESS(INDEX($AI$2:$AI$1001,MATCH(ROWS($AG$2:AG110),$AG$2:$AG$1001,0),0), INDEX($AN$1004:$BO$1004,1,MATCH(COLUMNS($AN$1006:BG1006),$AN$1006:$BO$1006,0)))),"Fix")))</f>
        <v>0</v>
      </c>
      <c r="V110" s="4">
        <f>IF(OR(INDEX($AH$2:$AH$1001,MATCH(ROWS($AG$2:AG110),$AG$2:$AG$1001,0),1)&gt;=100000,INDEX($AN$1005:$BO$1005,1,MATCH(COLUMNS($AN$1006:BH1006),$AN$1006:$BO$1006,0))&gt;=100000), " ",IF(INDEX($AN$2:$BO$1001,MATCH(ROWS($AG$2:AG110),$AG$2:$AG$1001,0),MATCH(COLUMNS($AN$1006:BH1006),$AN$1006:$BO$1006,0)), HYPERLINK("#",""), HYPERLINK(CONCATENATE("#Metadata!", ADDRESS(INDEX($AI$2:$AI$1001,MATCH(ROWS($AG$2:AG110),$AG$2:$AG$1001,0),0), INDEX($AN$1004:$BO$1004,1,MATCH(COLUMNS($AN$1006:BH1006),$AN$1006:$BO$1006,0)))),"Fix")))</f>
        <v>0</v>
      </c>
      <c r="W110" s="4">
        <f>IF(OR(INDEX($AH$2:$AH$1001,MATCH(ROWS($AG$2:AG110),$AG$2:$AG$1001,0),1)&gt;=100000,INDEX($AN$1005:$BO$1005,1,MATCH(COLUMNS($AN$1006:BI1006),$AN$1006:$BO$1006,0))&gt;=100000), " ",IF(INDEX($AN$2:$BO$1001,MATCH(ROWS($AG$2:AG110),$AG$2:$AG$1001,0),MATCH(COLUMNS($AN$1006:BI1006),$AN$1006:$BO$1006,0)), HYPERLINK("#",""), HYPERLINK(CONCATENATE("#Metadata!", ADDRESS(INDEX($AI$2:$AI$1001,MATCH(ROWS($AG$2:AG110),$AG$2:$AG$1001,0),0), INDEX($AN$1004:$BO$1004,1,MATCH(COLUMNS($AN$1006:BI1006),$AN$1006:$BO$1006,0)))),"Fix")))</f>
        <v>0</v>
      </c>
      <c r="X110" s="4">
        <f>IF(OR(INDEX($AH$2:$AH$1001,MATCH(ROWS($AG$2:AG110),$AG$2:$AG$1001,0),1)&gt;=100000,INDEX($AN$1005:$BO$1005,1,MATCH(COLUMNS($AN$1006:BJ1006),$AN$1006:$BO$1006,0))&gt;=100000), " ",IF(INDEX($AN$2:$BO$1001,MATCH(ROWS($AG$2:AG110),$AG$2:$AG$1001,0),MATCH(COLUMNS($AN$1006:BJ1006),$AN$1006:$BO$1006,0)), HYPERLINK("#",""), HYPERLINK(CONCATENATE("#Metadata!", ADDRESS(INDEX($AI$2:$AI$1001,MATCH(ROWS($AG$2:AG110),$AG$2:$AG$1001,0),0), INDEX($AN$1004:$BO$1004,1,MATCH(COLUMNS($AN$1006:BJ1006),$AN$1006:$BO$1006,0)))),"Fix")))</f>
        <v>0</v>
      </c>
      <c r="Y110" s="4">
        <f>IF(OR(INDEX($AH$2:$AH$1001,MATCH(ROWS($AG$2:AG110),$AG$2:$AG$1001,0),1)&gt;=100000,INDEX($AN$1005:$BO$1005,1,MATCH(COLUMNS($AN$1006:BK1006),$AN$1006:$BO$1006,0))&gt;=100000), " ",IF(INDEX($AN$2:$BO$1001,MATCH(ROWS($AG$2:AG110),$AG$2:$AG$1001,0),MATCH(COLUMNS($AN$1006:BK1006),$AN$1006:$BO$1006,0)), HYPERLINK("#",""), HYPERLINK(CONCATENATE("#Metadata!", ADDRESS(INDEX($AI$2:$AI$1001,MATCH(ROWS($AG$2:AG110),$AG$2:$AG$1001,0),0), INDEX($AN$1004:$BO$1004,1,MATCH(COLUMNS($AN$1006:BK1006),$AN$1006:$BO$1006,0)))),"Fix")))</f>
        <v>0</v>
      </c>
      <c r="Z110" s="4">
        <f>IF(OR(INDEX($AH$2:$AH$1001,MATCH(ROWS($AG$2:AG110),$AG$2:$AG$1001,0),1)&gt;=100000,INDEX($AN$1005:$BO$1005,1,MATCH(COLUMNS($AN$1006:BL1006),$AN$1006:$BO$1006,0))&gt;=100000), " ",IF(INDEX($AN$2:$BO$1001,MATCH(ROWS($AG$2:AG110),$AG$2:$AG$1001,0),MATCH(COLUMNS($AN$1006:BL1006),$AN$1006:$BO$1006,0)), HYPERLINK("#",""), HYPERLINK(CONCATENATE("#Metadata!", ADDRESS(INDEX($AI$2:$AI$1001,MATCH(ROWS($AG$2:AG110),$AG$2:$AG$1001,0),0), INDEX($AN$1004:$BO$1004,1,MATCH(COLUMNS($AN$1006:BL1006),$AN$1006:$BO$1006,0)))),"Fix")))</f>
        <v>0</v>
      </c>
      <c r="AA110" s="4">
        <f>IF(OR(INDEX($AH$2:$AH$1001,MATCH(ROWS($AG$2:AG110),$AG$2:$AG$1001,0),1)&gt;=100000,INDEX($AN$1005:$BO$1005,1,MATCH(COLUMNS($AN$1006:BM1006),$AN$1006:$BO$1006,0))&gt;=100000), " ",IF(INDEX($AN$2:$BO$1001,MATCH(ROWS($AG$2:AG110),$AG$2:$AG$1001,0),MATCH(COLUMNS($AN$1006:BM1006),$AN$1006:$BO$1006,0)), HYPERLINK("#",""), HYPERLINK(CONCATENATE("#Metadata!", ADDRESS(INDEX($AI$2:$AI$1001,MATCH(ROWS($AG$2:AG110),$AG$2:$AG$1001,0),0), INDEX($AN$1004:$BO$1004,1,MATCH(COLUMNS($AN$1006:BM1006),$AN$1006:$BO$1006,0)))),"Fix")))</f>
        <v>0</v>
      </c>
      <c r="AB110" s="4">
        <f>IF(OR(INDEX($AH$2:$AH$1001,MATCH(ROWS($AG$2:AG110),$AG$2:$AG$1001,0),1)&gt;=100000,INDEX($AN$1005:$BO$1005,1,MATCH(COLUMNS($AN$1006:BN1006),$AN$1006:$BO$1006,0))&gt;=100000), " ",IF(INDEX($AN$2:$BO$1001,MATCH(ROWS($AG$2:AG110),$AG$2:$AG$1001,0),MATCH(COLUMNS($AN$1006:BN1006),$AN$1006:$BO$1006,0)), HYPERLINK("#",""), HYPERLINK(CONCATENATE("#Metadata!", ADDRESS(INDEX($AI$2:$AI$1001,MATCH(ROWS($AG$2:AG110),$AG$2:$AG$1001,0),0), INDEX($AN$1004:$BO$1004,1,MATCH(COLUMNS($AN$1006:BN1006),$AN$1006:$BO$1006,0)))),"Fix")))</f>
        <v>0</v>
      </c>
      <c r="AC110" s="4">
        <f>IF(OR(INDEX($AH$2:$AH$1001,MATCH(ROWS($AG$2:AG110),$AG$2:$AG$1001,0),1)&gt;=100000,INDEX($AN$1005:$BO$1005,1,MATCH(COLUMNS($AN$1006:BO1006),$AN$1006:$BO$1006,0))&gt;=100000), " ",IF(INDEX($AN$2:$BO$1001,MATCH(ROWS($AG$2:AG110),$AG$2:$AG$1001,0),MATCH(COLUMNS($AN$1006:BO1006),$AN$1006:$BO$1006,0)), HYPERLINK("#",""), HYPERLINK(CONCATENATE("#Metadata!", ADDRESS(INDEX($AI$2:$AI$1001,MATCH(ROWS($AG$2:AG110),$AG$2:$AG$1001,0),0), INDEX($AN$1004:$BO$1004,1,MATCH(COLUMNS($AN$1006:BO1006),$AN$1006:$BO$1006,0)))),"Fix")))</f>
        <v>0</v>
      </c>
      <c r="AG110">
        <v>0</v>
      </c>
      <c r="AH110">
        <v>0</v>
      </c>
      <c r="AI110">
        <v>0</v>
      </c>
      <c r="AJ110">
        <f>IF(AK110,TRUE,AND(AN110:BO110))</f>
        <v>0</v>
      </c>
      <c r="AK110">
        <f>COUNTBLANK(Metadata!B110:AC110)=COLUMNS(Metadata!B110:AC110)</f>
        <v>0</v>
      </c>
      <c r="AL110">
        <v>0</v>
      </c>
      <c r="AN110">
        <f>AND(IF(Metadata!B110="",FALSE,TRUE),COUNTIF(Metadata!B:B, Metadata!B110) = 1,NOT(ISERROR(SUMPRODUCT(SEARCH(MID(Metadata!B110,ROW(INDIRECT("1:"&amp;LEN(Metadata!B110))), 1),"0123456789abcdefghijklmnopqrstuvwxyzABCDEFGHIJKLMNOPQRSTUVWXYZ.")))))</f>
        <v>0</v>
      </c>
      <c r="AO110">
        <f>IF(Metadata!C110="",FALSE,TRUE)</f>
        <v>0</v>
      </c>
      <c r="AP110">
        <f>IF(Metadata!D110="",FALSE,TRUE)</f>
        <v>0</v>
      </c>
      <c r="AQ110">
        <f>OR(AND(IF(Metadata!E110="",FALSE,TRUE),OR(exact(Metadata!E110,"not collected"),exact(Metadata!E110,"not provided"),exact(Metadata!E110,"restricted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R110">
        <f>IF(Metadata!F110="",FALSE,TRUE)</f>
        <v>0</v>
      </c>
      <c r="AS110">
        <f>OR(AND(IF(Metadata!G110="",FALSE,TRUE),OR(exact(Metadata!G110,"not collected"),exact(Metadata!G110,"not provided"))),AND(IF(Metadata!G110="",FALSE,TRUE),OR(exact(Metadata!G110,"TRUE"),exact(Metadata!G110,"FALSE"))))</f>
        <v>0</v>
      </c>
      <c r="AT110">
        <f>OR(AND(IF(Metadata!H110="",FALSE,TRUE),OR(exact(Metadata!H110,"not collected"),exact(Metadata!H110,"not provided"),exact(Metadata!H110,"restricted access"))),AND(IF(Metadata!H110="",FALSE,ISNUMBER(VALUE(Metadata!H110))),Metadata!H110&gt;=-413.0))</f>
        <v>0</v>
      </c>
      <c r="AU110">
        <f>AND(IF(Metadata!I110="",FALSE,TRUE),exact(Metadata!I110,"meters"))</f>
        <v>0</v>
      </c>
      <c r="AV110">
        <f>AND(IF(Metadata!J110="",FALSE,TRUE),OR(exact(Metadata!J110,"Host-associated"),exact(Metadata!J110,"Free-living")))</f>
        <v>0</v>
      </c>
      <c r="AW110">
        <f>AND(IF(Metadata!K110="",FALSE,TRUE),OR(exact(Metadata!K110,"Animal"),exact(Metadata!K110,"Fungus"),exact(Metadata!K110,"Plant"),exact(Metadata!K110,"Saline"),exact(Metadata!K110,"Non-saline")))</f>
        <v>0</v>
      </c>
      <c r="AX110">
        <f>AND(IF(Metadata!L110="",FALSE,TRUE),OR(exact(Metadata!L110,"Plant secretion"),exact(Metadata!L110,"Plant rhizosphere"),exact(Metadata!L110,"Plant surface"),exact(Metadata!L110,"Plant corpus"),exact(Metadata!L110,"Fungus surface"),exact(Metadata!L110,"Fungus corpus"),exact(Metadata!L110,"Animal surface"),exact(Metadata!L110,"Animal proximal gut"),exact(Metadata!L110,"Animal corpus"),exact(Metadata!L110,"Animal distal gut"),exact(Metadata!L110,"Animal secretion"),exact(Metadata!L110,"Sub-surface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Y110">
        <f>IF(Metadata!M110="",FALSE,TRUE)</f>
        <v>0</v>
      </c>
      <c r="AZ110">
        <f>IF(Metadata!N110="",FALSE,TRUE)</f>
        <v>0</v>
      </c>
      <c r="BA110">
        <f>IF(Metadata!O110="",FALSE,TRUE)</f>
        <v>0</v>
      </c>
      <c r="BB110">
        <f>OR(AND(IF(Metadata!P110="",FALSE,TRUE),OR(exact(Metadata!P110,"not collected"),exact(Metadata!P110,"not provided"),exact(Metadata!P110,"restricted access"))),AND(IF(Metadata!P110="",FALSE,TRUE),OR(exact(Metadata!P110,"air"),exact(Metadata!P110,"built environment"),exact(Metadata!P110,"host-associated"),exact(Metadata!P110,"human-associated"),exact(Metadata!P110,"human-skin"),exact(Metadata!P110,"human-oral"),exact(Metadata!P110,"human-gut"),exact(Metadata!P110,"human-vaginal"),exact(Metadata!P110,"microbial mat/biofilm"),exact(Metadata!P110,"misc environment"),exact(Metadata!P110,"plant-associated"),exact(Metadata!P110,"sediment"),exact(Metadata!P110,"soil"),exact(Metadata!P110,"wastewater/sludge"),exact(Metadata!P110,"water"))))</f>
        <v>0</v>
      </c>
      <c r="BC110">
        <f>IF(Metadata!Q110="",FALSE,TRUE)</f>
        <v>0</v>
      </c>
      <c r="BD110">
        <f>IF(Metadata!R110="",FALSE,TRUE)</f>
        <v>0</v>
      </c>
      <c r="BE110">
        <f>OR(AND(IF(Metadata!S110="",FALSE,TRUE),OR(exact(Metadata!S110,"not collected"),exact(Metadata!S110,"not provided"),exact(Metadata!S110,"restricted access"))),AND(IF(Metadata!S110="",FALSE,ISNUMBER(VALUE(Metadata!S110))),Metadata!S110&gt;=-90.00,Metadata!S110&lt;=90.00))</f>
        <v>0</v>
      </c>
      <c r="BF110">
        <f>AND(IF(Metadata!T110="",FALSE,TRUE),exact(Metadata!T110,"Decimal degrees"))</f>
        <v>0</v>
      </c>
      <c r="BG110">
        <f>OR(AND(IF(Metadata!U110="",FALSE,TRUE),OR(exact(Metadata!U110,"not collected"),exact(Metadata!U110,"not provided"),exact(Metadata!U110,"restricted access"))),AND(IF(Metadata!U110="",FALSE,ISNUMBER(VALUE(Metadata!U110))),Metadata!U110&gt;=-180.00,Metadata!U110&lt;=180.00))</f>
        <v>0</v>
      </c>
      <c r="BH110">
        <f>AND(IF(Metadata!V110="",FALSE,TRUE),exact(Metadata!V110,"Decimal degrees"))</f>
        <v>0</v>
      </c>
      <c r="BI110">
        <f>IF(Metadata!W110="",FALSE,TRUE)</f>
        <v>0</v>
      </c>
      <c r="BJ110">
        <f>OR(AND(IF(Metadata!X110="",FALSE,TRUE),OR(exact(Metadata!X110,"not collected"),exact(Metadata!X110,"not provided"),exact(Metadata!X110,"restricted access"))),AND(IF(Metadata!X110="",FALSE,TRUE),OR(exact(Metadata!X110,"TRUE"),exact(Metadata!X110,"FALSE"))))</f>
        <v>0</v>
      </c>
      <c r="BK110">
        <f>AND(IF(Metadata!Y110="",FALSE,TRUE),exact(Metadata!Y110,"other"))</f>
        <v>0</v>
      </c>
      <c r="BL110">
        <f>IF(Metadata!Z110="",FALSE,TRUE)</f>
        <v>0</v>
      </c>
      <c r="BM110">
        <f>OR(AND(IF(Metadata!AA110="",FALSE,TRUE),OR(exact(Metadata!AA110,"not collected"),exact(Metadata!AA110,"not provided"))),AND(IF(Metadata!AA110="",FALSE,IF(ISERROR(INT(Metadata!AA110)),FALSE,INT(Metadata!AA110)=Metadata!AA110)),Metadata!AA110&gt;0))</f>
        <v>0</v>
      </c>
      <c r="BN110">
        <f>AND(IF(Metadata!AB110="",FALSE,TRUE),exact(Metadata!AB110,"Not applicable"))</f>
        <v>0</v>
      </c>
      <c r="BO110">
        <f>IF(Metadata!AC110="",FALSE,TRUE)</f>
        <v>0</v>
      </c>
    </row>
    <row r="111" spans="1:67">
      <c r="A111" s="5">
        <f>IF(B111=" "," ",HYPERLINK(CONCATENATE("#metadata!",ADDRESS(INDEX($AI$2:$AI$1001,MATCH(ROWS($AG$2:AG111),$AG$2:$AG$1001,0),0),1)),INDEX($AL$2:$AL$1001,MATCH(ROWS($AG$2:AG111),$AG$2:$AG$1001,0),0)))</f>
        <v>0</v>
      </c>
      <c r="B111" s="4">
        <f>IF(OR(INDEX($AH$2:$AH$1001,MATCH(ROWS($AG$2:AG111),$AG$2:$AG$1001,0),1)&gt;=100000,INDEX($AN$1005:$BO$1005,1,MATCH(COLUMNS($AN$1006:AN1006),$AN$1006:$BO$1006,0))&gt;=100000), " ",IF(INDEX($AN$2:$BO$1001,MATCH(ROWS($AG$2:AG111),$AG$2:$AG$1001,0),MATCH(COLUMNS($AN$1006:AN1006),$AN$1006:$BO$1006,0)), HYPERLINK("#",""), HYPERLINK(CONCATENATE("#Metadata!", ADDRESS(INDEX($AI$2:$AI$1001,MATCH(ROWS($AG$2:AG111),$AG$2:$AG$1001,0),0), INDEX($AN$1004:$BO$1004,1,MATCH(COLUMNS($AN$1006:AN1006),$AN$1006:$BO$1006,0)))),"Fix")))</f>
        <v>0</v>
      </c>
      <c r="C111" s="4">
        <f>IF(OR(INDEX($AH$2:$AH$1001,MATCH(ROWS($AG$2:AG111),$AG$2:$AG$1001,0),1)&gt;=100000,INDEX($AN$1005:$BO$1005,1,MATCH(COLUMNS($AN$1006:AO1006),$AN$1006:$BO$1006,0))&gt;=100000), " ",IF(INDEX($AN$2:$BO$1001,MATCH(ROWS($AG$2:AG111),$AG$2:$AG$1001,0),MATCH(COLUMNS($AN$1006:AO1006),$AN$1006:$BO$1006,0)), HYPERLINK("#",""), HYPERLINK(CONCATENATE("#Metadata!", ADDRESS(INDEX($AI$2:$AI$1001,MATCH(ROWS($AG$2:AG111),$AG$2:$AG$1001,0),0), INDEX($AN$1004:$BO$1004,1,MATCH(COLUMNS($AN$1006:AO1006),$AN$1006:$BO$1006,0)))),"Fix")))</f>
        <v>0</v>
      </c>
      <c r="D111" s="4">
        <f>IF(OR(INDEX($AH$2:$AH$1001,MATCH(ROWS($AG$2:AG111),$AG$2:$AG$1001,0),1)&gt;=100000,INDEX($AN$1005:$BO$1005,1,MATCH(COLUMNS($AN$1006:AP1006),$AN$1006:$BO$1006,0))&gt;=100000), " ",IF(INDEX($AN$2:$BO$1001,MATCH(ROWS($AG$2:AG111),$AG$2:$AG$1001,0),MATCH(COLUMNS($AN$1006:AP1006),$AN$1006:$BO$1006,0)), HYPERLINK("#",""), HYPERLINK(CONCATENATE("#Metadata!", ADDRESS(INDEX($AI$2:$AI$1001,MATCH(ROWS($AG$2:AG111),$AG$2:$AG$1001,0),0), INDEX($AN$1004:$BO$1004,1,MATCH(COLUMNS($AN$1006:AP1006),$AN$1006:$BO$1006,0)))),"Fix")))</f>
        <v>0</v>
      </c>
      <c r="E111" s="4">
        <f>IF(OR(INDEX($AH$2:$AH$1001,MATCH(ROWS($AG$2:AG111),$AG$2:$AG$1001,0),1)&gt;=100000,INDEX($AN$1005:$BO$1005,1,MATCH(COLUMNS($AN$1006:AQ1006),$AN$1006:$BO$1006,0))&gt;=100000), " ",IF(INDEX($AN$2:$BO$1001,MATCH(ROWS($AG$2:AG111),$AG$2:$AG$1001,0),MATCH(COLUMNS($AN$1006:AQ1006),$AN$1006:$BO$1006,0)), HYPERLINK("#",""), HYPERLINK(CONCATENATE("#Metadata!", ADDRESS(INDEX($AI$2:$AI$1001,MATCH(ROWS($AG$2:AG111),$AG$2:$AG$1001,0),0), INDEX($AN$1004:$BO$1004,1,MATCH(COLUMNS($AN$1006:AQ1006),$AN$1006:$BO$1006,0)))),"Fix")))</f>
        <v>0</v>
      </c>
      <c r="F111" s="4">
        <f>IF(OR(INDEX($AH$2:$AH$1001,MATCH(ROWS($AG$2:AG111),$AG$2:$AG$1001,0),1)&gt;=100000,INDEX($AN$1005:$BO$1005,1,MATCH(COLUMNS($AN$1006:AR1006),$AN$1006:$BO$1006,0))&gt;=100000), " ",IF(INDEX($AN$2:$BO$1001,MATCH(ROWS($AG$2:AG111),$AG$2:$AG$1001,0),MATCH(COLUMNS($AN$1006:AR1006),$AN$1006:$BO$1006,0)), HYPERLINK("#",""), HYPERLINK(CONCATENATE("#Metadata!", ADDRESS(INDEX($AI$2:$AI$1001,MATCH(ROWS($AG$2:AG111),$AG$2:$AG$1001,0),0), INDEX($AN$1004:$BO$1004,1,MATCH(COLUMNS($AN$1006:AR1006),$AN$1006:$BO$1006,0)))),"Fix")))</f>
        <v>0</v>
      </c>
      <c r="G111" s="4">
        <f>IF(OR(INDEX($AH$2:$AH$1001,MATCH(ROWS($AG$2:AG111),$AG$2:$AG$1001,0),1)&gt;=100000,INDEX($AN$1005:$BO$1005,1,MATCH(COLUMNS($AN$1006:AS1006),$AN$1006:$BO$1006,0))&gt;=100000), " ",IF(INDEX($AN$2:$BO$1001,MATCH(ROWS($AG$2:AG111),$AG$2:$AG$1001,0),MATCH(COLUMNS($AN$1006:AS1006),$AN$1006:$BO$1006,0)), HYPERLINK("#",""), HYPERLINK(CONCATENATE("#Metadata!", ADDRESS(INDEX($AI$2:$AI$1001,MATCH(ROWS($AG$2:AG111),$AG$2:$AG$1001,0),0), INDEX($AN$1004:$BO$1004,1,MATCH(COLUMNS($AN$1006:AS1006),$AN$1006:$BO$1006,0)))),"Fix")))</f>
        <v>0</v>
      </c>
      <c r="H111" s="4">
        <f>IF(OR(INDEX($AH$2:$AH$1001,MATCH(ROWS($AG$2:AG111),$AG$2:$AG$1001,0),1)&gt;=100000,INDEX($AN$1005:$BO$1005,1,MATCH(COLUMNS($AN$1006:AT1006),$AN$1006:$BO$1006,0))&gt;=100000), " ",IF(INDEX($AN$2:$BO$1001,MATCH(ROWS($AG$2:AG111),$AG$2:$AG$1001,0),MATCH(COLUMNS($AN$1006:AT1006),$AN$1006:$BO$1006,0)), HYPERLINK("#",""), HYPERLINK(CONCATENATE("#Metadata!", ADDRESS(INDEX($AI$2:$AI$1001,MATCH(ROWS($AG$2:AG111),$AG$2:$AG$1001,0),0), INDEX($AN$1004:$BO$1004,1,MATCH(COLUMNS($AN$1006:AT1006),$AN$1006:$BO$1006,0)))),"Fix")))</f>
        <v>0</v>
      </c>
      <c r="I111" s="4">
        <f>IF(OR(INDEX($AH$2:$AH$1001,MATCH(ROWS($AG$2:AG111),$AG$2:$AG$1001,0),1)&gt;=100000,INDEX($AN$1005:$BO$1005,1,MATCH(COLUMNS($AN$1006:AU1006),$AN$1006:$BO$1006,0))&gt;=100000), " ",IF(INDEX($AN$2:$BO$1001,MATCH(ROWS($AG$2:AG111),$AG$2:$AG$1001,0),MATCH(COLUMNS($AN$1006:AU1006),$AN$1006:$BO$1006,0)), HYPERLINK("#",""), HYPERLINK(CONCATENATE("#Metadata!", ADDRESS(INDEX($AI$2:$AI$1001,MATCH(ROWS($AG$2:AG111),$AG$2:$AG$1001,0),0), INDEX($AN$1004:$BO$1004,1,MATCH(COLUMNS($AN$1006:AU1006),$AN$1006:$BO$1006,0)))),"Fix")))</f>
        <v>0</v>
      </c>
      <c r="J111" s="4">
        <f>IF(OR(INDEX($AH$2:$AH$1001,MATCH(ROWS($AG$2:AG111),$AG$2:$AG$1001,0),1)&gt;=100000,INDEX($AN$1005:$BO$1005,1,MATCH(COLUMNS($AN$1006:AV1006),$AN$1006:$BO$1006,0))&gt;=100000), " ",IF(INDEX($AN$2:$BO$1001,MATCH(ROWS($AG$2:AG111),$AG$2:$AG$1001,0),MATCH(COLUMNS($AN$1006:AV1006),$AN$1006:$BO$1006,0)), HYPERLINK("#",""), HYPERLINK(CONCATENATE("#Metadata!", ADDRESS(INDEX($AI$2:$AI$1001,MATCH(ROWS($AG$2:AG111),$AG$2:$AG$1001,0),0), INDEX($AN$1004:$BO$1004,1,MATCH(COLUMNS($AN$1006:AV1006),$AN$1006:$BO$1006,0)))),"Fix")))</f>
        <v>0</v>
      </c>
      <c r="K111" s="4">
        <f>IF(OR(INDEX($AH$2:$AH$1001,MATCH(ROWS($AG$2:AG111),$AG$2:$AG$1001,0),1)&gt;=100000,INDEX($AN$1005:$BO$1005,1,MATCH(COLUMNS($AN$1006:AW1006),$AN$1006:$BO$1006,0))&gt;=100000), " ",IF(INDEX($AN$2:$BO$1001,MATCH(ROWS($AG$2:AG111),$AG$2:$AG$1001,0),MATCH(COLUMNS($AN$1006:AW1006),$AN$1006:$BO$1006,0)), HYPERLINK("#",""), HYPERLINK(CONCATENATE("#Metadata!", ADDRESS(INDEX($AI$2:$AI$1001,MATCH(ROWS($AG$2:AG111),$AG$2:$AG$1001,0),0), INDEX($AN$1004:$BO$1004,1,MATCH(COLUMNS($AN$1006:AW1006),$AN$1006:$BO$1006,0)))),"Fix")))</f>
        <v>0</v>
      </c>
      <c r="L111" s="4">
        <f>IF(OR(INDEX($AH$2:$AH$1001,MATCH(ROWS($AG$2:AG111),$AG$2:$AG$1001,0),1)&gt;=100000,INDEX($AN$1005:$BO$1005,1,MATCH(COLUMNS($AN$1006:AX1006),$AN$1006:$BO$1006,0))&gt;=100000), " ",IF(INDEX($AN$2:$BO$1001,MATCH(ROWS($AG$2:AG111),$AG$2:$AG$1001,0),MATCH(COLUMNS($AN$1006:AX1006),$AN$1006:$BO$1006,0)), HYPERLINK("#",""), HYPERLINK(CONCATENATE("#Metadata!", ADDRESS(INDEX($AI$2:$AI$1001,MATCH(ROWS($AG$2:AG111),$AG$2:$AG$1001,0),0), INDEX($AN$1004:$BO$1004,1,MATCH(COLUMNS($AN$1006:AX1006),$AN$1006:$BO$1006,0)))),"Fix")))</f>
        <v>0</v>
      </c>
      <c r="M111" s="4">
        <f>IF(OR(INDEX($AH$2:$AH$1001,MATCH(ROWS($AG$2:AG111),$AG$2:$AG$1001,0),1)&gt;=100000,INDEX($AN$1005:$BO$1005,1,MATCH(COLUMNS($AN$1006:AY1006),$AN$1006:$BO$1006,0))&gt;=100000), " ",IF(INDEX($AN$2:$BO$1001,MATCH(ROWS($AG$2:AG111),$AG$2:$AG$1001,0),MATCH(COLUMNS($AN$1006:AY1006),$AN$1006:$BO$1006,0)), HYPERLINK("#",""), HYPERLINK(CONCATENATE("#Metadata!", ADDRESS(INDEX($AI$2:$AI$1001,MATCH(ROWS($AG$2:AG111),$AG$2:$AG$1001,0),0), INDEX($AN$1004:$BO$1004,1,MATCH(COLUMNS($AN$1006:AY1006),$AN$1006:$BO$1006,0)))),"Fix")))</f>
        <v>0</v>
      </c>
      <c r="N111" s="4">
        <f>IF(OR(INDEX($AH$2:$AH$1001,MATCH(ROWS($AG$2:AG111),$AG$2:$AG$1001,0),1)&gt;=100000,INDEX($AN$1005:$BO$1005,1,MATCH(COLUMNS($AN$1006:AZ1006),$AN$1006:$BO$1006,0))&gt;=100000), " ",IF(INDEX($AN$2:$BO$1001,MATCH(ROWS($AG$2:AG111),$AG$2:$AG$1001,0),MATCH(COLUMNS($AN$1006:AZ1006),$AN$1006:$BO$1006,0)), HYPERLINK("#",""), HYPERLINK(CONCATENATE("#Metadata!", ADDRESS(INDEX($AI$2:$AI$1001,MATCH(ROWS($AG$2:AG111),$AG$2:$AG$1001,0),0), INDEX($AN$1004:$BO$1004,1,MATCH(COLUMNS($AN$1006:AZ1006),$AN$1006:$BO$1006,0)))),"Fix")))</f>
        <v>0</v>
      </c>
      <c r="O111" s="4">
        <f>IF(OR(INDEX($AH$2:$AH$1001,MATCH(ROWS($AG$2:AG111),$AG$2:$AG$1001,0),1)&gt;=100000,INDEX($AN$1005:$BO$1005,1,MATCH(COLUMNS($AN$1006:BA1006),$AN$1006:$BO$1006,0))&gt;=100000), " ",IF(INDEX($AN$2:$BO$1001,MATCH(ROWS($AG$2:AG111),$AG$2:$AG$1001,0),MATCH(COLUMNS($AN$1006:BA1006),$AN$1006:$BO$1006,0)), HYPERLINK("#",""), HYPERLINK(CONCATENATE("#Metadata!", ADDRESS(INDEX($AI$2:$AI$1001,MATCH(ROWS($AG$2:AG111),$AG$2:$AG$1001,0),0), INDEX($AN$1004:$BO$1004,1,MATCH(COLUMNS($AN$1006:BA1006),$AN$1006:$BO$1006,0)))),"Fix")))</f>
        <v>0</v>
      </c>
      <c r="P111" s="4">
        <f>IF(OR(INDEX($AH$2:$AH$1001,MATCH(ROWS($AG$2:AG111),$AG$2:$AG$1001,0),1)&gt;=100000,INDEX($AN$1005:$BO$1005,1,MATCH(COLUMNS($AN$1006:BB1006),$AN$1006:$BO$1006,0))&gt;=100000), " ",IF(INDEX($AN$2:$BO$1001,MATCH(ROWS($AG$2:AG111),$AG$2:$AG$1001,0),MATCH(COLUMNS($AN$1006:BB1006),$AN$1006:$BO$1006,0)), HYPERLINK("#",""), HYPERLINK(CONCATENATE("#Metadata!", ADDRESS(INDEX($AI$2:$AI$1001,MATCH(ROWS($AG$2:AG111),$AG$2:$AG$1001,0),0), INDEX($AN$1004:$BO$1004,1,MATCH(COLUMNS($AN$1006:BB1006),$AN$1006:$BO$1006,0)))),"Fix")))</f>
        <v>0</v>
      </c>
      <c r="Q111" s="4">
        <f>IF(OR(INDEX($AH$2:$AH$1001,MATCH(ROWS($AG$2:AG111),$AG$2:$AG$1001,0),1)&gt;=100000,INDEX($AN$1005:$BO$1005,1,MATCH(COLUMNS($AN$1006:BC1006),$AN$1006:$BO$1006,0))&gt;=100000), " ",IF(INDEX($AN$2:$BO$1001,MATCH(ROWS($AG$2:AG111),$AG$2:$AG$1001,0),MATCH(COLUMNS($AN$1006:BC1006),$AN$1006:$BO$1006,0)), HYPERLINK("#",""), HYPERLINK(CONCATENATE("#Metadata!", ADDRESS(INDEX($AI$2:$AI$1001,MATCH(ROWS($AG$2:AG111),$AG$2:$AG$1001,0),0), INDEX($AN$1004:$BO$1004,1,MATCH(COLUMNS($AN$1006:BC1006),$AN$1006:$BO$1006,0)))),"Fix")))</f>
        <v>0</v>
      </c>
      <c r="R111" s="4">
        <f>IF(OR(INDEX($AH$2:$AH$1001,MATCH(ROWS($AG$2:AG111),$AG$2:$AG$1001,0),1)&gt;=100000,INDEX($AN$1005:$BO$1005,1,MATCH(COLUMNS($AN$1006:BD1006),$AN$1006:$BO$1006,0))&gt;=100000), " ",IF(INDEX($AN$2:$BO$1001,MATCH(ROWS($AG$2:AG111),$AG$2:$AG$1001,0),MATCH(COLUMNS($AN$1006:BD1006),$AN$1006:$BO$1006,0)), HYPERLINK("#",""), HYPERLINK(CONCATENATE("#Metadata!", ADDRESS(INDEX($AI$2:$AI$1001,MATCH(ROWS($AG$2:AG111),$AG$2:$AG$1001,0),0), INDEX($AN$1004:$BO$1004,1,MATCH(COLUMNS($AN$1006:BD1006),$AN$1006:$BO$1006,0)))),"Fix")))</f>
        <v>0</v>
      </c>
      <c r="S111" s="4">
        <f>IF(OR(INDEX($AH$2:$AH$1001,MATCH(ROWS($AG$2:AG111),$AG$2:$AG$1001,0),1)&gt;=100000,INDEX($AN$1005:$BO$1005,1,MATCH(COLUMNS($AN$1006:BE1006),$AN$1006:$BO$1006,0))&gt;=100000), " ",IF(INDEX($AN$2:$BO$1001,MATCH(ROWS($AG$2:AG111),$AG$2:$AG$1001,0),MATCH(COLUMNS($AN$1006:BE1006),$AN$1006:$BO$1006,0)), HYPERLINK("#",""), HYPERLINK(CONCATENATE("#Metadata!", ADDRESS(INDEX($AI$2:$AI$1001,MATCH(ROWS($AG$2:AG111),$AG$2:$AG$1001,0),0), INDEX($AN$1004:$BO$1004,1,MATCH(COLUMNS($AN$1006:BE1006),$AN$1006:$BO$1006,0)))),"Fix")))</f>
        <v>0</v>
      </c>
      <c r="T111" s="4">
        <f>IF(OR(INDEX($AH$2:$AH$1001,MATCH(ROWS($AG$2:AG111),$AG$2:$AG$1001,0),1)&gt;=100000,INDEX($AN$1005:$BO$1005,1,MATCH(COLUMNS($AN$1006:BF1006),$AN$1006:$BO$1006,0))&gt;=100000), " ",IF(INDEX($AN$2:$BO$1001,MATCH(ROWS($AG$2:AG111),$AG$2:$AG$1001,0),MATCH(COLUMNS($AN$1006:BF1006),$AN$1006:$BO$1006,0)), HYPERLINK("#",""), HYPERLINK(CONCATENATE("#Metadata!", ADDRESS(INDEX($AI$2:$AI$1001,MATCH(ROWS($AG$2:AG111),$AG$2:$AG$1001,0),0), INDEX($AN$1004:$BO$1004,1,MATCH(COLUMNS($AN$1006:BF1006),$AN$1006:$BO$1006,0)))),"Fix")))</f>
        <v>0</v>
      </c>
      <c r="U111" s="4">
        <f>IF(OR(INDEX($AH$2:$AH$1001,MATCH(ROWS($AG$2:AG111),$AG$2:$AG$1001,0),1)&gt;=100000,INDEX($AN$1005:$BO$1005,1,MATCH(COLUMNS($AN$1006:BG1006),$AN$1006:$BO$1006,0))&gt;=100000), " ",IF(INDEX($AN$2:$BO$1001,MATCH(ROWS($AG$2:AG111),$AG$2:$AG$1001,0),MATCH(COLUMNS($AN$1006:BG1006),$AN$1006:$BO$1006,0)), HYPERLINK("#",""), HYPERLINK(CONCATENATE("#Metadata!", ADDRESS(INDEX($AI$2:$AI$1001,MATCH(ROWS($AG$2:AG111),$AG$2:$AG$1001,0),0), INDEX($AN$1004:$BO$1004,1,MATCH(COLUMNS($AN$1006:BG1006),$AN$1006:$BO$1006,0)))),"Fix")))</f>
        <v>0</v>
      </c>
      <c r="V111" s="4">
        <f>IF(OR(INDEX($AH$2:$AH$1001,MATCH(ROWS($AG$2:AG111),$AG$2:$AG$1001,0),1)&gt;=100000,INDEX($AN$1005:$BO$1005,1,MATCH(COLUMNS($AN$1006:BH1006),$AN$1006:$BO$1006,0))&gt;=100000), " ",IF(INDEX($AN$2:$BO$1001,MATCH(ROWS($AG$2:AG111),$AG$2:$AG$1001,0),MATCH(COLUMNS($AN$1006:BH1006),$AN$1006:$BO$1006,0)), HYPERLINK("#",""), HYPERLINK(CONCATENATE("#Metadata!", ADDRESS(INDEX($AI$2:$AI$1001,MATCH(ROWS($AG$2:AG111),$AG$2:$AG$1001,0),0), INDEX($AN$1004:$BO$1004,1,MATCH(COLUMNS($AN$1006:BH1006),$AN$1006:$BO$1006,0)))),"Fix")))</f>
        <v>0</v>
      </c>
      <c r="W111" s="4">
        <f>IF(OR(INDEX($AH$2:$AH$1001,MATCH(ROWS($AG$2:AG111),$AG$2:$AG$1001,0),1)&gt;=100000,INDEX($AN$1005:$BO$1005,1,MATCH(COLUMNS($AN$1006:BI1006),$AN$1006:$BO$1006,0))&gt;=100000), " ",IF(INDEX($AN$2:$BO$1001,MATCH(ROWS($AG$2:AG111),$AG$2:$AG$1001,0),MATCH(COLUMNS($AN$1006:BI1006),$AN$1006:$BO$1006,0)), HYPERLINK("#",""), HYPERLINK(CONCATENATE("#Metadata!", ADDRESS(INDEX($AI$2:$AI$1001,MATCH(ROWS($AG$2:AG111),$AG$2:$AG$1001,0),0), INDEX($AN$1004:$BO$1004,1,MATCH(COLUMNS($AN$1006:BI1006),$AN$1006:$BO$1006,0)))),"Fix")))</f>
        <v>0</v>
      </c>
      <c r="X111" s="4">
        <f>IF(OR(INDEX($AH$2:$AH$1001,MATCH(ROWS($AG$2:AG111),$AG$2:$AG$1001,0),1)&gt;=100000,INDEX($AN$1005:$BO$1005,1,MATCH(COLUMNS($AN$1006:BJ1006),$AN$1006:$BO$1006,0))&gt;=100000), " ",IF(INDEX($AN$2:$BO$1001,MATCH(ROWS($AG$2:AG111),$AG$2:$AG$1001,0),MATCH(COLUMNS($AN$1006:BJ1006),$AN$1006:$BO$1006,0)), HYPERLINK("#",""), HYPERLINK(CONCATENATE("#Metadata!", ADDRESS(INDEX($AI$2:$AI$1001,MATCH(ROWS($AG$2:AG111),$AG$2:$AG$1001,0),0), INDEX($AN$1004:$BO$1004,1,MATCH(COLUMNS($AN$1006:BJ1006),$AN$1006:$BO$1006,0)))),"Fix")))</f>
        <v>0</v>
      </c>
      <c r="Y111" s="4">
        <f>IF(OR(INDEX($AH$2:$AH$1001,MATCH(ROWS($AG$2:AG111),$AG$2:$AG$1001,0),1)&gt;=100000,INDEX($AN$1005:$BO$1005,1,MATCH(COLUMNS($AN$1006:BK1006),$AN$1006:$BO$1006,0))&gt;=100000), " ",IF(INDEX($AN$2:$BO$1001,MATCH(ROWS($AG$2:AG111),$AG$2:$AG$1001,0),MATCH(COLUMNS($AN$1006:BK1006),$AN$1006:$BO$1006,0)), HYPERLINK("#",""), HYPERLINK(CONCATENATE("#Metadata!", ADDRESS(INDEX($AI$2:$AI$1001,MATCH(ROWS($AG$2:AG111),$AG$2:$AG$1001,0),0), INDEX($AN$1004:$BO$1004,1,MATCH(COLUMNS($AN$1006:BK1006),$AN$1006:$BO$1006,0)))),"Fix")))</f>
        <v>0</v>
      </c>
      <c r="Z111" s="4">
        <f>IF(OR(INDEX($AH$2:$AH$1001,MATCH(ROWS($AG$2:AG111),$AG$2:$AG$1001,0),1)&gt;=100000,INDEX($AN$1005:$BO$1005,1,MATCH(COLUMNS($AN$1006:BL1006),$AN$1006:$BO$1006,0))&gt;=100000), " ",IF(INDEX($AN$2:$BO$1001,MATCH(ROWS($AG$2:AG111),$AG$2:$AG$1001,0),MATCH(COLUMNS($AN$1006:BL1006),$AN$1006:$BO$1006,0)), HYPERLINK("#",""), HYPERLINK(CONCATENATE("#Metadata!", ADDRESS(INDEX($AI$2:$AI$1001,MATCH(ROWS($AG$2:AG111),$AG$2:$AG$1001,0),0), INDEX($AN$1004:$BO$1004,1,MATCH(COLUMNS($AN$1006:BL1006),$AN$1006:$BO$1006,0)))),"Fix")))</f>
        <v>0</v>
      </c>
      <c r="AA111" s="4">
        <f>IF(OR(INDEX($AH$2:$AH$1001,MATCH(ROWS($AG$2:AG111),$AG$2:$AG$1001,0),1)&gt;=100000,INDEX($AN$1005:$BO$1005,1,MATCH(COLUMNS($AN$1006:BM1006),$AN$1006:$BO$1006,0))&gt;=100000), " ",IF(INDEX($AN$2:$BO$1001,MATCH(ROWS($AG$2:AG111),$AG$2:$AG$1001,0),MATCH(COLUMNS($AN$1006:BM1006),$AN$1006:$BO$1006,0)), HYPERLINK("#",""), HYPERLINK(CONCATENATE("#Metadata!", ADDRESS(INDEX($AI$2:$AI$1001,MATCH(ROWS($AG$2:AG111),$AG$2:$AG$1001,0),0), INDEX($AN$1004:$BO$1004,1,MATCH(COLUMNS($AN$1006:BM1006),$AN$1006:$BO$1006,0)))),"Fix")))</f>
        <v>0</v>
      </c>
      <c r="AB111" s="4">
        <f>IF(OR(INDEX($AH$2:$AH$1001,MATCH(ROWS($AG$2:AG111),$AG$2:$AG$1001,0),1)&gt;=100000,INDEX($AN$1005:$BO$1005,1,MATCH(COLUMNS($AN$1006:BN1006),$AN$1006:$BO$1006,0))&gt;=100000), " ",IF(INDEX($AN$2:$BO$1001,MATCH(ROWS($AG$2:AG111),$AG$2:$AG$1001,0),MATCH(COLUMNS($AN$1006:BN1006),$AN$1006:$BO$1006,0)), HYPERLINK("#",""), HYPERLINK(CONCATENATE("#Metadata!", ADDRESS(INDEX($AI$2:$AI$1001,MATCH(ROWS($AG$2:AG111),$AG$2:$AG$1001,0),0), INDEX($AN$1004:$BO$1004,1,MATCH(COLUMNS($AN$1006:BN1006),$AN$1006:$BO$1006,0)))),"Fix")))</f>
        <v>0</v>
      </c>
      <c r="AC111" s="4">
        <f>IF(OR(INDEX($AH$2:$AH$1001,MATCH(ROWS($AG$2:AG111),$AG$2:$AG$1001,0),1)&gt;=100000,INDEX($AN$1005:$BO$1005,1,MATCH(COLUMNS($AN$1006:BO1006),$AN$1006:$BO$1006,0))&gt;=100000), " ",IF(INDEX($AN$2:$BO$1001,MATCH(ROWS($AG$2:AG111),$AG$2:$AG$1001,0),MATCH(COLUMNS($AN$1006:BO1006),$AN$1006:$BO$1006,0)), HYPERLINK("#",""), HYPERLINK(CONCATENATE("#Metadata!", ADDRESS(INDEX($AI$2:$AI$1001,MATCH(ROWS($AG$2:AG111),$AG$2:$AG$1001,0),0), INDEX($AN$1004:$BO$1004,1,MATCH(COLUMNS($AN$1006:BO1006),$AN$1006:$BO$1006,0)))),"Fix")))</f>
        <v>0</v>
      </c>
      <c r="AG111">
        <v>0</v>
      </c>
      <c r="AH111">
        <v>0</v>
      </c>
      <c r="AI111">
        <v>0</v>
      </c>
      <c r="AJ111">
        <f>IF(AK111,TRUE,AND(AN111:BO111))</f>
        <v>0</v>
      </c>
      <c r="AK111">
        <f>COUNTBLANK(Metadata!B111:AC111)=COLUMNS(Metadata!B111:AC111)</f>
        <v>0</v>
      </c>
      <c r="AL111">
        <v>0</v>
      </c>
      <c r="AN111">
        <f>AND(IF(Metadata!B111="",FALSE,TRUE),COUNTIF(Metadata!B:B, Metadata!B111) = 1,NOT(ISERROR(SUMPRODUCT(SEARCH(MID(Metadata!B111,ROW(INDIRECT("1:"&amp;LEN(Metadata!B111))), 1),"0123456789abcdefghijklmnopqrstuvwxyzABCDEFGHIJKLMNOPQRSTUVWXYZ.")))))</f>
        <v>0</v>
      </c>
      <c r="AO111">
        <f>IF(Metadata!C111="",FALSE,TRUE)</f>
        <v>0</v>
      </c>
      <c r="AP111">
        <f>IF(Metadata!D111="",FALSE,TRUE)</f>
        <v>0</v>
      </c>
      <c r="AQ111">
        <f>OR(AND(IF(Metadata!E111="",FALSE,TRUE),OR(exact(Metadata!E111,"not collected"),exact(Metadata!E111,"not provided"),exact(Metadata!E111,"restricted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R111">
        <f>IF(Metadata!F111="",FALSE,TRUE)</f>
        <v>0</v>
      </c>
      <c r="AS111">
        <f>OR(AND(IF(Metadata!G111="",FALSE,TRUE),OR(exact(Metadata!G111,"not collected"),exact(Metadata!G111,"not provided"))),AND(IF(Metadata!G111="",FALSE,TRUE),OR(exact(Metadata!G111,"TRUE"),exact(Metadata!G111,"FALSE"))))</f>
        <v>0</v>
      </c>
      <c r="AT111">
        <f>OR(AND(IF(Metadata!H111="",FALSE,TRUE),OR(exact(Metadata!H111,"not collected"),exact(Metadata!H111,"not provided"),exact(Metadata!H111,"restricted access"))),AND(IF(Metadata!H111="",FALSE,ISNUMBER(VALUE(Metadata!H111))),Metadata!H111&gt;=-413.0))</f>
        <v>0</v>
      </c>
      <c r="AU111">
        <f>AND(IF(Metadata!I111="",FALSE,TRUE),exact(Metadata!I111,"meters"))</f>
        <v>0</v>
      </c>
      <c r="AV111">
        <f>AND(IF(Metadata!J111="",FALSE,TRUE),OR(exact(Metadata!J111,"Host-associated"),exact(Metadata!J111,"Free-living")))</f>
        <v>0</v>
      </c>
      <c r="AW111">
        <f>AND(IF(Metadata!K111="",FALSE,TRUE),OR(exact(Metadata!K111,"Animal"),exact(Metadata!K111,"Fungus"),exact(Metadata!K111,"Plant"),exact(Metadata!K111,"Saline"),exact(Metadata!K111,"Non-saline")))</f>
        <v>0</v>
      </c>
      <c r="AX111">
        <f>AND(IF(Metadata!L111="",FALSE,TRUE),OR(exact(Metadata!L111,"Plant secretion"),exact(Metadata!L111,"Plant rhizosphere"),exact(Metadata!L111,"Plant surface"),exact(Metadata!L111,"Plant corpus"),exact(Metadata!L111,"Fungus surface"),exact(Metadata!L111,"Fungus corpus"),exact(Metadata!L111,"Animal surface"),exact(Metadata!L111,"Animal proximal gut"),exact(Metadata!L111,"Animal corpus"),exact(Metadata!L111,"Animal distal gut"),exact(Metadata!L111,"Animal secretion"),exact(Metadata!L111,"Sub-surface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Y111">
        <f>IF(Metadata!M111="",FALSE,TRUE)</f>
        <v>0</v>
      </c>
      <c r="AZ111">
        <f>IF(Metadata!N111="",FALSE,TRUE)</f>
        <v>0</v>
      </c>
      <c r="BA111">
        <f>IF(Metadata!O111="",FALSE,TRUE)</f>
        <v>0</v>
      </c>
      <c r="BB111">
        <f>OR(AND(IF(Metadata!P111="",FALSE,TRUE),OR(exact(Metadata!P111,"not collected"),exact(Metadata!P111,"not provided"),exact(Metadata!P111,"restricted access"))),AND(IF(Metadata!P111="",FALSE,TRUE),OR(exact(Metadata!P111,"air"),exact(Metadata!P111,"built environment"),exact(Metadata!P111,"host-associated"),exact(Metadata!P111,"human-associated"),exact(Metadata!P111,"human-skin"),exact(Metadata!P111,"human-oral"),exact(Metadata!P111,"human-gut"),exact(Metadata!P111,"human-vaginal"),exact(Metadata!P111,"microbial mat/biofilm"),exact(Metadata!P111,"misc environment"),exact(Metadata!P111,"plant-associated"),exact(Metadata!P111,"sediment"),exact(Metadata!P111,"soil"),exact(Metadata!P111,"wastewater/sludge"),exact(Metadata!P111,"water"))))</f>
        <v>0</v>
      </c>
      <c r="BC111">
        <f>IF(Metadata!Q111="",FALSE,TRUE)</f>
        <v>0</v>
      </c>
      <c r="BD111">
        <f>IF(Metadata!R111="",FALSE,TRUE)</f>
        <v>0</v>
      </c>
      <c r="BE111">
        <f>OR(AND(IF(Metadata!S111="",FALSE,TRUE),OR(exact(Metadata!S111,"not collected"),exact(Metadata!S111,"not provided"),exact(Metadata!S111,"restricted access"))),AND(IF(Metadata!S111="",FALSE,ISNUMBER(VALUE(Metadata!S111))),Metadata!S111&gt;=-90.00,Metadata!S111&lt;=90.00))</f>
        <v>0</v>
      </c>
      <c r="BF111">
        <f>AND(IF(Metadata!T111="",FALSE,TRUE),exact(Metadata!T111,"Decimal degrees"))</f>
        <v>0</v>
      </c>
      <c r="BG111">
        <f>OR(AND(IF(Metadata!U111="",FALSE,TRUE),OR(exact(Metadata!U111,"not collected"),exact(Metadata!U111,"not provided"),exact(Metadata!U111,"restricted access"))),AND(IF(Metadata!U111="",FALSE,ISNUMBER(VALUE(Metadata!U111))),Metadata!U111&gt;=-180.00,Metadata!U111&lt;=180.00))</f>
        <v>0</v>
      </c>
      <c r="BH111">
        <f>AND(IF(Metadata!V111="",FALSE,TRUE),exact(Metadata!V111,"Decimal degrees"))</f>
        <v>0</v>
      </c>
      <c r="BI111">
        <f>IF(Metadata!W111="",FALSE,TRUE)</f>
        <v>0</v>
      </c>
      <c r="BJ111">
        <f>OR(AND(IF(Metadata!X111="",FALSE,TRUE),OR(exact(Metadata!X111,"not collected"),exact(Metadata!X111,"not provided"),exact(Metadata!X111,"restricted access"))),AND(IF(Metadata!X111="",FALSE,TRUE),OR(exact(Metadata!X111,"TRUE"),exact(Metadata!X111,"FALSE"))))</f>
        <v>0</v>
      </c>
      <c r="BK111">
        <f>AND(IF(Metadata!Y111="",FALSE,TRUE),exact(Metadata!Y111,"other"))</f>
        <v>0</v>
      </c>
      <c r="BL111">
        <f>IF(Metadata!Z111="",FALSE,TRUE)</f>
        <v>0</v>
      </c>
      <c r="BM111">
        <f>OR(AND(IF(Metadata!AA111="",FALSE,TRUE),OR(exact(Metadata!AA111,"not collected"),exact(Metadata!AA111,"not provided"))),AND(IF(Metadata!AA111="",FALSE,IF(ISERROR(INT(Metadata!AA111)),FALSE,INT(Metadata!AA111)=Metadata!AA111)),Metadata!AA111&gt;0))</f>
        <v>0</v>
      </c>
      <c r="BN111">
        <f>AND(IF(Metadata!AB111="",FALSE,TRUE),exact(Metadata!AB111,"Not applicable"))</f>
        <v>0</v>
      </c>
      <c r="BO111">
        <f>IF(Metadata!AC111="",FALSE,TRUE)</f>
        <v>0</v>
      </c>
    </row>
    <row r="112" spans="1:67">
      <c r="A112" s="5">
        <f>IF(B112=" "," ",HYPERLINK(CONCATENATE("#metadata!",ADDRESS(INDEX($AI$2:$AI$1001,MATCH(ROWS($AG$2:AG112),$AG$2:$AG$1001,0),0),1)),INDEX($AL$2:$AL$1001,MATCH(ROWS($AG$2:AG112),$AG$2:$AG$1001,0),0)))</f>
        <v>0</v>
      </c>
      <c r="B112" s="4">
        <f>IF(OR(INDEX($AH$2:$AH$1001,MATCH(ROWS($AG$2:AG112),$AG$2:$AG$1001,0),1)&gt;=100000,INDEX($AN$1005:$BO$1005,1,MATCH(COLUMNS($AN$1006:AN1006),$AN$1006:$BO$1006,0))&gt;=100000), " ",IF(INDEX($AN$2:$BO$1001,MATCH(ROWS($AG$2:AG112),$AG$2:$AG$1001,0),MATCH(COLUMNS($AN$1006:AN1006),$AN$1006:$BO$1006,0)), HYPERLINK("#",""), HYPERLINK(CONCATENATE("#Metadata!", ADDRESS(INDEX($AI$2:$AI$1001,MATCH(ROWS($AG$2:AG112),$AG$2:$AG$1001,0),0), INDEX($AN$1004:$BO$1004,1,MATCH(COLUMNS($AN$1006:AN1006),$AN$1006:$BO$1006,0)))),"Fix")))</f>
        <v>0</v>
      </c>
      <c r="C112" s="4">
        <f>IF(OR(INDEX($AH$2:$AH$1001,MATCH(ROWS($AG$2:AG112),$AG$2:$AG$1001,0),1)&gt;=100000,INDEX($AN$1005:$BO$1005,1,MATCH(COLUMNS($AN$1006:AO1006),$AN$1006:$BO$1006,0))&gt;=100000), " ",IF(INDEX($AN$2:$BO$1001,MATCH(ROWS($AG$2:AG112),$AG$2:$AG$1001,0),MATCH(COLUMNS($AN$1006:AO1006),$AN$1006:$BO$1006,0)), HYPERLINK("#",""), HYPERLINK(CONCATENATE("#Metadata!", ADDRESS(INDEX($AI$2:$AI$1001,MATCH(ROWS($AG$2:AG112),$AG$2:$AG$1001,0),0), INDEX($AN$1004:$BO$1004,1,MATCH(COLUMNS($AN$1006:AO1006),$AN$1006:$BO$1006,0)))),"Fix")))</f>
        <v>0</v>
      </c>
      <c r="D112" s="4">
        <f>IF(OR(INDEX($AH$2:$AH$1001,MATCH(ROWS($AG$2:AG112),$AG$2:$AG$1001,0),1)&gt;=100000,INDEX($AN$1005:$BO$1005,1,MATCH(COLUMNS($AN$1006:AP1006),$AN$1006:$BO$1006,0))&gt;=100000), " ",IF(INDEX($AN$2:$BO$1001,MATCH(ROWS($AG$2:AG112),$AG$2:$AG$1001,0),MATCH(COLUMNS($AN$1006:AP1006),$AN$1006:$BO$1006,0)), HYPERLINK("#",""), HYPERLINK(CONCATENATE("#Metadata!", ADDRESS(INDEX($AI$2:$AI$1001,MATCH(ROWS($AG$2:AG112),$AG$2:$AG$1001,0),0), INDEX($AN$1004:$BO$1004,1,MATCH(COLUMNS($AN$1006:AP1006),$AN$1006:$BO$1006,0)))),"Fix")))</f>
        <v>0</v>
      </c>
      <c r="E112" s="4">
        <f>IF(OR(INDEX($AH$2:$AH$1001,MATCH(ROWS($AG$2:AG112),$AG$2:$AG$1001,0),1)&gt;=100000,INDEX($AN$1005:$BO$1005,1,MATCH(COLUMNS($AN$1006:AQ1006),$AN$1006:$BO$1006,0))&gt;=100000), " ",IF(INDEX($AN$2:$BO$1001,MATCH(ROWS($AG$2:AG112),$AG$2:$AG$1001,0),MATCH(COLUMNS($AN$1006:AQ1006),$AN$1006:$BO$1006,0)), HYPERLINK("#",""), HYPERLINK(CONCATENATE("#Metadata!", ADDRESS(INDEX($AI$2:$AI$1001,MATCH(ROWS($AG$2:AG112),$AG$2:$AG$1001,0),0), INDEX($AN$1004:$BO$1004,1,MATCH(COLUMNS($AN$1006:AQ1006),$AN$1006:$BO$1006,0)))),"Fix")))</f>
        <v>0</v>
      </c>
      <c r="F112" s="4">
        <f>IF(OR(INDEX($AH$2:$AH$1001,MATCH(ROWS($AG$2:AG112),$AG$2:$AG$1001,0),1)&gt;=100000,INDEX($AN$1005:$BO$1005,1,MATCH(COLUMNS($AN$1006:AR1006),$AN$1006:$BO$1006,0))&gt;=100000), " ",IF(INDEX($AN$2:$BO$1001,MATCH(ROWS($AG$2:AG112),$AG$2:$AG$1001,0),MATCH(COLUMNS($AN$1006:AR1006),$AN$1006:$BO$1006,0)), HYPERLINK("#",""), HYPERLINK(CONCATENATE("#Metadata!", ADDRESS(INDEX($AI$2:$AI$1001,MATCH(ROWS($AG$2:AG112),$AG$2:$AG$1001,0),0), INDEX($AN$1004:$BO$1004,1,MATCH(COLUMNS($AN$1006:AR1006),$AN$1006:$BO$1006,0)))),"Fix")))</f>
        <v>0</v>
      </c>
      <c r="G112" s="4">
        <f>IF(OR(INDEX($AH$2:$AH$1001,MATCH(ROWS($AG$2:AG112),$AG$2:$AG$1001,0),1)&gt;=100000,INDEX($AN$1005:$BO$1005,1,MATCH(COLUMNS($AN$1006:AS1006),$AN$1006:$BO$1006,0))&gt;=100000), " ",IF(INDEX($AN$2:$BO$1001,MATCH(ROWS($AG$2:AG112),$AG$2:$AG$1001,0),MATCH(COLUMNS($AN$1006:AS1006),$AN$1006:$BO$1006,0)), HYPERLINK("#",""), HYPERLINK(CONCATENATE("#Metadata!", ADDRESS(INDEX($AI$2:$AI$1001,MATCH(ROWS($AG$2:AG112),$AG$2:$AG$1001,0),0), INDEX($AN$1004:$BO$1004,1,MATCH(COLUMNS($AN$1006:AS1006),$AN$1006:$BO$1006,0)))),"Fix")))</f>
        <v>0</v>
      </c>
      <c r="H112" s="4">
        <f>IF(OR(INDEX($AH$2:$AH$1001,MATCH(ROWS($AG$2:AG112),$AG$2:$AG$1001,0),1)&gt;=100000,INDEX($AN$1005:$BO$1005,1,MATCH(COLUMNS($AN$1006:AT1006),$AN$1006:$BO$1006,0))&gt;=100000), " ",IF(INDEX($AN$2:$BO$1001,MATCH(ROWS($AG$2:AG112),$AG$2:$AG$1001,0),MATCH(COLUMNS($AN$1006:AT1006),$AN$1006:$BO$1006,0)), HYPERLINK("#",""), HYPERLINK(CONCATENATE("#Metadata!", ADDRESS(INDEX($AI$2:$AI$1001,MATCH(ROWS($AG$2:AG112),$AG$2:$AG$1001,0),0), INDEX($AN$1004:$BO$1004,1,MATCH(COLUMNS($AN$1006:AT1006),$AN$1006:$BO$1006,0)))),"Fix")))</f>
        <v>0</v>
      </c>
      <c r="I112" s="4">
        <f>IF(OR(INDEX($AH$2:$AH$1001,MATCH(ROWS($AG$2:AG112),$AG$2:$AG$1001,0),1)&gt;=100000,INDEX($AN$1005:$BO$1005,1,MATCH(COLUMNS($AN$1006:AU1006),$AN$1006:$BO$1006,0))&gt;=100000), " ",IF(INDEX($AN$2:$BO$1001,MATCH(ROWS($AG$2:AG112),$AG$2:$AG$1001,0),MATCH(COLUMNS($AN$1006:AU1006),$AN$1006:$BO$1006,0)), HYPERLINK("#",""), HYPERLINK(CONCATENATE("#Metadata!", ADDRESS(INDEX($AI$2:$AI$1001,MATCH(ROWS($AG$2:AG112),$AG$2:$AG$1001,0),0), INDEX($AN$1004:$BO$1004,1,MATCH(COLUMNS($AN$1006:AU1006),$AN$1006:$BO$1006,0)))),"Fix")))</f>
        <v>0</v>
      </c>
      <c r="J112" s="4">
        <f>IF(OR(INDEX($AH$2:$AH$1001,MATCH(ROWS($AG$2:AG112),$AG$2:$AG$1001,0),1)&gt;=100000,INDEX($AN$1005:$BO$1005,1,MATCH(COLUMNS($AN$1006:AV1006),$AN$1006:$BO$1006,0))&gt;=100000), " ",IF(INDEX($AN$2:$BO$1001,MATCH(ROWS($AG$2:AG112),$AG$2:$AG$1001,0),MATCH(COLUMNS($AN$1006:AV1006),$AN$1006:$BO$1006,0)), HYPERLINK("#",""), HYPERLINK(CONCATENATE("#Metadata!", ADDRESS(INDEX($AI$2:$AI$1001,MATCH(ROWS($AG$2:AG112),$AG$2:$AG$1001,0),0), INDEX($AN$1004:$BO$1004,1,MATCH(COLUMNS($AN$1006:AV1006),$AN$1006:$BO$1006,0)))),"Fix")))</f>
        <v>0</v>
      </c>
      <c r="K112" s="4">
        <f>IF(OR(INDEX($AH$2:$AH$1001,MATCH(ROWS($AG$2:AG112),$AG$2:$AG$1001,0),1)&gt;=100000,INDEX($AN$1005:$BO$1005,1,MATCH(COLUMNS($AN$1006:AW1006),$AN$1006:$BO$1006,0))&gt;=100000), " ",IF(INDEX($AN$2:$BO$1001,MATCH(ROWS($AG$2:AG112),$AG$2:$AG$1001,0),MATCH(COLUMNS($AN$1006:AW1006),$AN$1006:$BO$1006,0)), HYPERLINK("#",""), HYPERLINK(CONCATENATE("#Metadata!", ADDRESS(INDEX($AI$2:$AI$1001,MATCH(ROWS($AG$2:AG112),$AG$2:$AG$1001,0),0), INDEX($AN$1004:$BO$1004,1,MATCH(COLUMNS($AN$1006:AW1006),$AN$1006:$BO$1006,0)))),"Fix")))</f>
        <v>0</v>
      </c>
      <c r="L112" s="4">
        <f>IF(OR(INDEX($AH$2:$AH$1001,MATCH(ROWS($AG$2:AG112),$AG$2:$AG$1001,0),1)&gt;=100000,INDEX($AN$1005:$BO$1005,1,MATCH(COLUMNS($AN$1006:AX1006),$AN$1006:$BO$1006,0))&gt;=100000), " ",IF(INDEX($AN$2:$BO$1001,MATCH(ROWS($AG$2:AG112),$AG$2:$AG$1001,0),MATCH(COLUMNS($AN$1006:AX1006),$AN$1006:$BO$1006,0)), HYPERLINK("#",""), HYPERLINK(CONCATENATE("#Metadata!", ADDRESS(INDEX($AI$2:$AI$1001,MATCH(ROWS($AG$2:AG112),$AG$2:$AG$1001,0),0), INDEX($AN$1004:$BO$1004,1,MATCH(COLUMNS($AN$1006:AX1006),$AN$1006:$BO$1006,0)))),"Fix")))</f>
        <v>0</v>
      </c>
      <c r="M112" s="4">
        <f>IF(OR(INDEX($AH$2:$AH$1001,MATCH(ROWS($AG$2:AG112),$AG$2:$AG$1001,0),1)&gt;=100000,INDEX($AN$1005:$BO$1005,1,MATCH(COLUMNS($AN$1006:AY1006),$AN$1006:$BO$1006,0))&gt;=100000), " ",IF(INDEX($AN$2:$BO$1001,MATCH(ROWS($AG$2:AG112),$AG$2:$AG$1001,0),MATCH(COLUMNS($AN$1006:AY1006),$AN$1006:$BO$1006,0)), HYPERLINK("#",""), HYPERLINK(CONCATENATE("#Metadata!", ADDRESS(INDEX($AI$2:$AI$1001,MATCH(ROWS($AG$2:AG112),$AG$2:$AG$1001,0),0), INDEX($AN$1004:$BO$1004,1,MATCH(COLUMNS($AN$1006:AY1006),$AN$1006:$BO$1006,0)))),"Fix")))</f>
        <v>0</v>
      </c>
      <c r="N112" s="4">
        <f>IF(OR(INDEX($AH$2:$AH$1001,MATCH(ROWS($AG$2:AG112),$AG$2:$AG$1001,0),1)&gt;=100000,INDEX($AN$1005:$BO$1005,1,MATCH(COLUMNS($AN$1006:AZ1006),$AN$1006:$BO$1006,0))&gt;=100000), " ",IF(INDEX($AN$2:$BO$1001,MATCH(ROWS($AG$2:AG112),$AG$2:$AG$1001,0),MATCH(COLUMNS($AN$1006:AZ1006),$AN$1006:$BO$1006,0)), HYPERLINK("#",""), HYPERLINK(CONCATENATE("#Metadata!", ADDRESS(INDEX($AI$2:$AI$1001,MATCH(ROWS($AG$2:AG112),$AG$2:$AG$1001,0),0), INDEX($AN$1004:$BO$1004,1,MATCH(COLUMNS($AN$1006:AZ1006),$AN$1006:$BO$1006,0)))),"Fix")))</f>
        <v>0</v>
      </c>
      <c r="O112" s="4">
        <f>IF(OR(INDEX($AH$2:$AH$1001,MATCH(ROWS($AG$2:AG112),$AG$2:$AG$1001,0),1)&gt;=100000,INDEX($AN$1005:$BO$1005,1,MATCH(COLUMNS($AN$1006:BA1006),$AN$1006:$BO$1006,0))&gt;=100000), " ",IF(INDEX($AN$2:$BO$1001,MATCH(ROWS($AG$2:AG112),$AG$2:$AG$1001,0),MATCH(COLUMNS($AN$1006:BA1006),$AN$1006:$BO$1006,0)), HYPERLINK("#",""), HYPERLINK(CONCATENATE("#Metadata!", ADDRESS(INDEX($AI$2:$AI$1001,MATCH(ROWS($AG$2:AG112),$AG$2:$AG$1001,0),0), INDEX($AN$1004:$BO$1004,1,MATCH(COLUMNS($AN$1006:BA1006),$AN$1006:$BO$1006,0)))),"Fix")))</f>
        <v>0</v>
      </c>
      <c r="P112" s="4">
        <f>IF(OR(INDEX($AH$2:$AH$1001,MATCH(ROWS($AG$2:AG112),$AG$2:$AG$1001,0),1)&gt;=100000,INDEX($AN$1005:$BO$1005,1,MATCH(COLUMNS($AN$1006:BB1006),$AN$1006:$BO$1006,0))&gt;=100000), " ",IF(INDEX($AN$2:$BO$1001,MATCH(ROWS($AG$2:AG112),$AG$2:$AG$1001,0),MATCH(COLUMNS($AN$1006:BB1006),$AN$1006:$BO$1006,0)), HYPERLINK("#",""), HYPERLINK(CONCATENATE("#Metadata!", ADDRESS(INDEX($AI$2:$AI$1001,MATCH(ROWS($AG$2:AG112),$AG$2:$AG$1001,0),0), INDEX($AN$1004:$BO$1004,1,MATCH(COLUMNS($AN$1006:BB1006),$AN$1006:$BO$1006,0)))),"Fix")))</f>
        <v>0</v>
      </c>
      <c r="Q112" s="4">
        <f>IF(OR(INDEX($AH$2:$AH$1001,MATCH(ROWS($AG$2:AG112),$AG$2:$AG$1001,0),1)&gt;=100000,INDEX($AN$1005:$BO$1005,1,MATCH(COLUMNS($AN$1006:BC1006),$AN$1006:$BO$1006,0))&gt;=100000), " ",IF(INDEX($AN$2:$BO$1001,MATCH(ROWS($AG$2:AG112),$AG$2:$AG$1001,0),MATCH(COLUMNS($AN$1006:BC1006),$AN$1006:$BO$1006,0)), HYPERLINK("#",""), HYPERLINK(CONCATENATE("#Metadata!", ADDRESS(INDEX($AI$2:$AI$1001,MATCH(ROWS($AG$2:AG112),$AG$2:$AG$1001,0),0), INDEX($AN$1004:$BO$1004,1,MATCH(COLUMNS($AN$1006:BC1006),$AN$1006:$BO$1006,0)))),"Fix")))</f>
        <v>0</v>
      </c>
      <c r="R112" s="4">
        <f>IF(OR(INDEX($AH$2:$AH$1001,MATCH(ROWS($AG$2:AG112),$AG$2:$AG$1001,0),1)&gt;=100000,INDEX($AN$1005:$BO$1005,1,MATCH(COLUMNS($AN$1006:BD1006),$AN$1006:$BO$1006,0))&gt;=100000), " ",IF(INDEX($AN$2:$BO$1001,MATCH(ROWS($AG$2:AG112),$AG$2:$AG$1001,0),MATCH(COLUMNS($AN$1006:BD1006),$AN$1006:$BO$1006,0)), HYPERLINK("#",""), HYPERLINK(CONCATENATE("#Metadata!", ADDRESS(INDEX($AI$2:$AI$1001,MATCH(ROWS($AG$2:AG112),$AG$2:$AG$1001,0),0), INDEX($AN$1004:$BO$1004,1,MATCH(COLUMNS($AN$1006:BD1006),$AN$1006:$BO$1006,0)))),"Fix")))</f>
        <v>0</v>
      </c>
      <c r="S112" s="4">
        <f>IF(OR(INDEX($AH$2:$AH$1001,MATCH(ROWS($AG$2:AG112),$AG$2:$AG$1001,0),1)&gt;=100000,INDEX($AN$1005:$BO$1005,1,MATCH(COLUMNS($AN$1006:BE1006),$AN$1006:$BO$1006,0))&gt;=100000), " ",IF(INDEX($AN$2:$BO$1001,MATCH(ROWS($AG$2:AG112),$AG$2:$AG$1001,0),MATCH(COLUMNS($AN$1006:BE1006),$AN$1006:$BO$1006,0)), HYPERLINK("#",""), HYPERLINK(CONCATENATE("#Metadata!", ADDRESS(INDEX($AI$2:$AI$1001,MATCH(ROWS($AG$2:AG112),$AG$2:$AG$1001,0),0), INDEX($AN$1004:$BO$1004,1,MATCH(COLUMNS($AN$1006:BE1006),$AN$1006:$BO$1006,0)))),"Fix")))</f>
        <v>0</v>
      </c>
      <c r="T112" s="4">
        <f>IF(OR(INDEX($AH$2:$AH$1001,MATCH(ROWS($AG$2:AG112),$AG$2:$AG$1001,0),1)&gt;=100000,INDEX($AN$1005:$BO$1005,1,MATCH(COLUMNS($AN$1006:BF1006),$AN$1006:$BO$1006,0))&gt;=100000), " ",IF(INDEX($AN$2:$BO$1001,MATCH(ROWS($AG$2:AG112),$AG$2:$AG$1001,0),MATCH(COLUMNS($AN$1006:BF1006),$AN$1006:$BO$1006,0)), HYPERLINK("#",""), HYPERLINK(CONCATENATE("#Metadata!", ADDRESS(INDEX($AI$2:$AI$1001,MATCH(ROWS($AG$2:AG112),$AG$2:$AG$1001,0),0), INDEX($AN$1004:$BO$1004,1,MATCH(COLUMNS($AN$1006:BF1006),$AN$1006:$BO$1006,0)))),"Fix")))</f>
        <v>0</v>
      </c>
      <c r="U112" s="4">
        <f>IF(OR(INDEX($AH$2:$AH$1001,MATCH(ROWS($AG$2:AG112),$AG$2:$AG$1001,0),1)&gt;=100000,INDEX($AN$1005:$BO$1005,1,MATCH(COLUMNS($AN$1006:BG1006),$AN$1006:$BO$1006,0))&gt;=100000), " ",IF(INDEX($AN$2:$BO$1001,MATCH(ROWS($AG$2:AG112),$AG$2:$AG$1001,0),MATCH(COLUMNS($AN$1006:BG1006),$AN$1006:$BO$1006,0)), HYPERLINK("#",""), HYPERLINK(CONCATENATE("#Metadata!", ADDRESS(INDEX($AI$2:$AI$1001,MATCH(ROWS($AG$2:AG112),$AG$2:$AG$1001,0),0), INDEX($AN$1004:$BO$1004,1,MATCH(COLUMNS($AN$1006:BG1006),$AN$1006:$BO$1006,0)))),"Fix")))</f>
        <v>0</v>
      </c>
      <c r="V112" s="4">
        <f>IF(OR(INDEX($AH$2:$AH$1001,MATCH(ROWS($AG$2:AG112),$AG$2:$AG$1001,0),1)&gt;=100000,INDEX($AN$1005:$BO$1005,1,MATCH(COLUMNS($AN$1006:BH1006),$AN$1006:$BO$1006,0))&gt;=100000), " ",IF(INDEX($AN$2:$BO$1001,MATCH(ROWS($AG$2:AG112),$AG$2:$AG$1001,0),MATCH(COLUMNS($AN$1006:BH1006),$AN$1006:$BO$1006,0)), HYPERLINK("#",""), HYPERLINK(CONCATENATE("#Metadata!", ADDRESS(INDEX($AI$2:$AI$1001,MATCH(ROWS($AG$2:AG112),$AG$2:$AG$1001,0),0), INDEX($AN$1004:$BO$1004,1,MATCH(COLUMNS($AN$1006:BH1006),$AN$1006:$BO$1006,0)))),"Fix")))</f>
        <v>0</v>
      </c>
      <c r="W112" s="4">
        <f>IF(OR(INDEX($AH$2:$AH$1001,MATCH(ROWS($AG$2:AG112),$AG$2:$AG$1001,0),1)&gt;=100000,INDEX($AN$1005:$BO$1005,1,MATCH(COLUMNS($AN$1006:BI1006),$AN$1006:$BO$1006,0))&gt;=100000), " ",IF(INDEX($AN$2:$BO$1001,MATCH(ROWS($AG$2:AG112),$AG$2:$AG$1001,0),MATCH(COLUMNS($AN$1006:BI1006),$AN$1006:$BO$1006,0)), HYPERLINK("#",""), HYPERLINK(CONCATENATE("#Metadata!", ADDRESS(INDEX($AI$2:$AI$1001,MATCH(ROWS($AG$2:AG112),$AG$2:$AG$1001,0),0), INDEX($AN$1004:$BO$1004,1,MATCH(COLUMNS($AN$1006:BI1006),$AN$1006:$BO$1006,0)))),"Fix")))</f>
        <v>0</v>
      </c>
      <c r="X112" s="4">
        <f>IF(OR(INDEX($AH$2:$AH$1001,MATCH(ROWS($AG$2:AG112),$AG$2:$AG$1001,0),1)&gt;=100000,INDEX($AN$1005:$BO$1005,1,MATCH(COLUMNS($AN$1006:BJ1006),$AN$1006:$BO$1006,0))&gt;=100000), " ",IF(INDEX($AN$2:$BO$1001,MATCH(ROWS($AG$2:AG112),$AG$2:$AG$1001,0),MATCH(COLUMNS($AN$1006:BJ1006),$AN$1006:$BO$1006,0)), HYPERLINK("#",""), HYPERLINK(CONCATENATE("#Metadata!", ADDRESS(INDEX($AI$2:$AI$1001,MATCH(ROWS($AG$2:AG112),$AG$2:$AG$1001,0),0), INDEX($AN$1004:$BO$1004,1,MATCH(COLUMNS($AN$1006:BJ1006),$AN$1006:$BO$1006,0)))),"Fix")))</f>
        <v>0</v>
      </c>
      <c r="Y112" s="4">
        <f>IF(OR(INDEX($AH$2:$AH$1001,MATCH(ROWS($AG$2:AG112),$AG$2:$AG$1001,0),1)&gt;=100000,INDEX($AN$1005:$BO$1005,1,MATCH(COLUMNS($AN$1006:BK1006),$AN$1006:$BO$1006,0))&gt;=100000), " ",IF(INDEX($AN$2:$BO$1001,MATCH(ROWS($AG$2:AG112),$AG$2:$AG$1001,0),MATCH(COLUMNS($AN$1006:BK1006),$AN$1006:$BO$1006,0)), HYPERLINK("#",""), HYPERLINK(CONCATENATE("#Metadata!", ADDRESS(INDEX($AI$2:$AI$1001,MATCH(ROWS($AG$2:AG112),$AG$2:$AG$1001,0),0), INDEX($AN$1004:$BO$1004,1,MATCH(COLUMNS($AN$1006:BK1006),$AN$1006:$BO$1006,0)))),"Fix")))</f>
        <v>0</v>
      </c>
      <c r="Z112" s="4">
        <f>IF(OR(INDEX($AH$2:$AH$1001,MATCH(ROWS($AG$2:AG112),$AG$2:$AG$1001,0),1)&gt;=100000,INDEX($AN$1005:$BO$1005,1,MATCH(COLUMNS($AN$1006:BL1006),$AN$1006:$BO$1006,0))&gt;=100000), " ",IF(INDEX($AN$2:$BO$1001,MATCH(ROWS($AG$2:AG112),$AG$2:$AG$1001,0),MATCH(COLUMNS($AN$1006:BL1006),$AN$1006:$BO$1006,0)), HYPERLINK("#",""), HYPERLINK(CONCATENATE("#Metadata!", ADDRESS(INDEX($AI$2:$AI$1001,MATCH(ROWS($AG$2:AG112),$AG$2:$AG$1001,0),0), INDEX($AN$1004:$BO$1004,1,MATCH(COLUMNS($AN$1006:BL1006),$AN$1006:$BO$1006,0)))),"Fix")))</f>
        <v>0</v>
      </c>
      <c r="AA112" s="4">
        <f>IF(OR(INDEX($AH$2:$AH$1001,MATCH(ROWS($AG$2:AG112),$AG$2:$AG$1001,0),1)&gt;=100000,INDEX($AN$1005:$BO$1005,1,MATCH(COLUMNS($AN$1006:BM1006),$AN$1006:$BO$1006,0))&gt;=100000), " ",IF(INDEX($AN$2:$BO$1001,MATCH(ROWS($AG$2:AG112),$AG$2:$AG$1001,0),MATCH(COLUMNS($AN$1006:BM1006),$AN$1006:$BO$1006,0)), HYPERLINK("#",""), HYPERLINK(CONCATENATE("#Metadata!", ADDRESS(INDEX($AI$2:$AI$1001,MATCH(ROWS($AG$2:AG112),$AG$2:$AG$1001,0),0), INDEX($AN$1004:$BO$1004,1,MATCH(COLUMNS($AN$1006:BM1006),$AN$1006:$BO$1006,0)))),"Fix")))</f>
        <v>0</v>
      </c>
      <c r="AB112" s="4">
        <f>IF(OR(INDEX($AH$2:$AH$1001,MATCH(ROWS($AG$2:AG112),$AG$2:$AG$1001,0),1)&gt;=100000,INDEX($AN$1005:$BO$1005,1,MATCH(COLUMNS($AN$1006:BN1006),$AN$1006:$BO$1006,0))&gt;=100000), " ",IF(INDEX($AN$2:$BO$1001,MATCH(ROWS($AG$2:AG112),$AG$2:$AG$1001,0),MATCH(COLUMNS($AN$1006:BN1006),$AN$1006:$BO$1006,0)), HYPERLINK("#",""), HYPERLINK(CONCATENATE("#Metadata!", ADDRESS(INDEX($AI$2:$AI$1001,MATCH(ROWS($AG$2:AG112),$AG$2:$AG$1001,0),0), INDEX($AN$1004:$BO$1004,1,MATCH(COLUMNS($AN$1006:BN1006),$AN$1006:$BO$1006,0)))),"Fix")))</f>
        <v>0</v>
      </c>
      <c r="AC112" s="4">
        <f>IF(OR(INDEX($AH$2:$AH$1001,MATCH(ROWS($AG$2:AG112),$AG$2:$AG$1001,0),1)&gt;=100000,INDEX($AN$1005:$BO$1005,1,MATCH(COLUMNS($AN$1006:BO1006),$AN$1006:$BO$1006,0))&gt;=100000), " ",IF(INDEX($AN$2:$BO$1001,MATCH(ROWS($AG$2:AG112),$AG$2:$AG$1001,0),MATCH(COLUMNS($AN$1006:BO1006),$AN$1006:$BO$1006,0)), HYPERLINK("#",""), HYPERLINK(CONCATENATE("#Metadata!", ADDRESS(INDEX($AI$2:$AI$1001,MATCH(ROWS($AG$2:AG112),$AG$2:$AG$1001,0),0), INDEX($AN$1004:$BO$1004,1,MATCH(COLUMNS($AN$1006:BO1006),$AN$1006:$BO$1006,0)))),"Fix")))</f>
        <v>0</v>
      </c>
      <c r="AG112">
        <v>0</v>
      </c>
      <c r="AH112">
        <v>0</v>
      </c>
      <c r="AI112">
        <v>0</v>
      </c>
      <c r="AJ112">
        <f>IF(AK112,TRUE,AND(AN112:BO112))</f>
        <v>0</v>
      </c>
      <c r="AK112">
        <f>COUNTBLANK(Metadata!B112:AC112)=COLUMNS(Metadata!B112:AC112)</f>
        <v>0</v>
      </c>
      <c r="AL112">
        <v>0</v>
      </c>
      <c r="AN112">
        <f>AND(IF(Metadata!B112="",FALSE,TRUE),COUNTIF(Metadata!B:B, Metadata!B112) = 1,NOT(ISERROR(SUMPRODUCT(SEARCH(MID(Metadata!B112,ROW(INDIRECT("1:"&amp;LEN(Metadata!B112))), 1),"0123456789abcdefghijklmnopqrstuvwxyzABCDEFGHIJKLMNOPQRSTUVWXYZ.")))))</f>
        <v>0</v>
      </c>
      <c r="AO112">
        <f>IF(Metadata!C112="",FALSE,TRUE)</f>
        <v>0</v>
      </c>
      <c r="AP112">
        <f>IF(Metadata!D112="",FALSE,TRUE)</f>
        <v>0</v>
      </c>
      <c r="AQ112">
        <f>OR(AND(IF(Metadata!E112="",FALSE,TRUE),OR(exact(Metadata!E112,"not collected"),exact(Metadata!E112,"not provided"),exact(Metadata!E112,"restricted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R112">
        <f>IF(Metadata!F112="",FALSE,TRUE)</f>
        <v>0</v>
      </c>
      <c r="AS112">
        <f>OR(AND(IF(Metadata!G112="",FALSE,TRUE),OR(exact(Metadata!G112,"not collected"),exact(Metadata!G112,"not provided"))),AND(IF(Metadata!G112="",FALSE,TRUE),OR(exact(Metadata!G112,"TRUE"),exact(Metadata!G112,"FALSE"))))</f>
        <v>0</v>
      </c>
      <c r="AT112">
        <f>OR(AND(IF(Metadata!H112="",FALSE,TRUE),OR(exact(Metadata!H112,"not collected"),exact(Metadata!H112,"not provided"),exact(Metadata!H112,"restricted access"))),AND(IF(Metadata!H112="",FALSE,ISNUMBER(VALUE(Metadata!H112))),Metadata!H112&gt;=-413.0))</f>
        <v>0</v>
      </c>
      <c r="AU112">
        <f>AND(IF(Metadata!I112="",FALSE,TRUE),exact(Metadata!I112,"meters"))</f>
        <v>0</v>
      </c>
      <c r="AV112">
        <f>AND(IF(Metadata!J112="",FALSE,TRUE),OR(exact(Metadata!J112,"Host-associated"),exact(Metadata!J112,"Free-living")))</f>
        <v>0</v>
      </c>
      <c r="AW112">
        <f>AND(IF(Metadata!K112="",FALSE,TRUE),OR(exact(Metadata!K112,"Animal"),exact(Metadata!K112,"Fungus"),exact(Metadata!K112,"Plant"),exact(Metadata!K112,"Saline"),exact(Metadata!K112,"Non-saline")))</f>
        <v>0</v>
      </c>
      <c r="AX112">
        <f>AND(IF(Metadata!L112="",FALSE,TRUE),OR(exact(Metadata!L112,"Plant secretion"),exact(Metadata!L112,"Plant rhizosphere"),exact(Metadata!L112,"Plant surface"),exact(Metadata!L112,"Plant corpus"),exact(Metadata!L112,"Fungus surface"),exact(Metadata!L112,"Fungus corpus"),exact(Metadata!L112,"Animal surface"),exact(Metadata!L112,"Animal proximal gut"),exact(Metadata!L112,"Animal corpus"),exact(Metadata!L112,"Animal distal gut"),exact(Metadata!L112,"Animal secretion"),exact(Metadata!L112,"Sub-surface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Y112">
        <f>IF(Metadata!M112="",FALSE,TRUE)</f>
        <v>0</v>
      </c>
      <c r="AZ112">
        <f>IF(Metadata!N112="",FALSE,TRUE)</f>
        <v>0</v>
      </c>
      <c r="BA112">
        <f>IF(Metadata!O112="",FALSE,TRUE)</f>
        <v>0</v>
      </c>
      <c r="BB112">
        <f>OR(AND(IF(Metadata!P112="",FALSE,TRUE),OR(exact(Metadata!P112,"not collected"),exact(Metadata!P112,"not provided"),exact(Metadata!P112,"restricted access"))),AND(IF(Metadata!P112="",FALSE,TRUE),OR(exact(Metadata!P112,"air"),exact(Metadata!P112,"built environment"),exact(Metadata!P112,"host-associated"),exact(Metadata!P112,"human-associated"),exact(Metadata!P112,"human-skin"),exact(Metadata!P112,"human-oral"),exact(Metadata!P112,"human-gut"),exact(Metadata!P112,"human-vaginal"),exact(Metadata!P112,"microbial mat/biofilm"),exact(Metadata!P112,"misc environment"),exact(Metadata!P112,"plant-associated"),exact(Metadata!P112,"sediment"),exact(Metadata!P112,"soil"),exact(Metadata!P112,"wastewater/sludge"),exact(Metadata!P112,"water"))))</f>
        <v>0</v>
      </c>
      <c r="BC112">
        <f>IF(Metadata!Q112="",FALSE,TRUE)</f>
        <v>0</v>
      </c>
      <c r="BD112">
        <f>IF(Metadata!R112="",FALSE,TRUE)</f>
        <v>0</v>
      </c>
      <c r="BE112">
        <f>OR(AND(IF(Metadata!S112="",FALSE,TRUE),OR(exact(Metadata!S112,"not collected"),exact(Metadata!S112,"not provided"),exact(Metadata!S112,"restricted access"))),AND(IF(Metadata!S112="",FALSE,ISNUMBER(VALUE(Metadata!S112))),Metadata!S112&gt;=-90.00,Metadata!S112&lt;=90.00))</f>
        <v>0</v>
      </c>
      <c r="BF112">
        <f>AND(IF(Metadata!T112="",FALSE,TRUE),exact(Metadata!T112,"Decimal degrees"))</f>
        <v>0</v>
      </c>
      <c r="BG112">
        <f>OR(AND(IF(Metadata!U112="",FALSE,TRUE),OR(exact(Metadata!U112,"not collected"),exact(Metadata!U112,"not provided"),exact(Metadata!U112,"restricted access"))),AND(IF(Metadata!U112="",FALSE,ISNUMBER(VALUE(Metadata!U112))),Metadata!U112&gt;=-180.00,Metadata!U112&lt;=180.00))</f>
        <v>0</v>
      </c>
      <c r="BH112">
        <f>AND(IF(Metadata!V112="",FALSE,TRUE),exact(Metadata!V112,"Decimal degrees"))</f>
        <v>0</v>
      </c>
      <c r="BI112">
        <f>IF(Metadata!W112="",FALSE,TRUE)</f>
        <v>0</v>
      </c>
      <c r="BJ112">
        <f>OR(AND(IF(Metadata!X112="",FALSE,TRUE),OR(exact(Metadata!X112,"not collected"),exact(Metadata!X112,"not provided"),exact(Metadata!X112,"restricted access"))),AND(IF(Metadata!X112="",FALSE,TRUE),OR(exact(Metadata!X112,"TRUE"),exact(Metadata!X112,"FALSE"))))</f>
        <v>0</v>
      </c>
      <c r="BK112">
        <f>AND(IF(Metadata!Y112="",FALSE,TRUE),exact(Metadata!Y112,"other"))</f>
        <v>0</v>
      </c>
      <c r="BL112">
        <f>IF(Metadata!Z112="",FALSE,TRUE)</f>
        <v>0</v>
      </c>
      <c r="BM112">
        <f>OR(AND(IF(Metadata!AA112="",FALSE,TRUE),OR(exact(Metadata!AA112,"not collected"),exact(Metadata!AA112,"not provided"))),AND(IF(Metadata!AA112="",FALSE,IF(ISERROR(INT(Metadata!AA112)),FALSE,INT(Metadata!AA112)=Metadata!AA112)),Metadata!AA112&gt;0))</f>
        <v>0</v>
      </c>
      <c r="BN112">
        <f>AND(IF(Metadata!AB112="",FALSE,TRUE),exact(Metadata!AB112,"Not applicable"))</f>
        <v>0</v>
      </c>
      <c r="BO112">
        <f>IF(Metadata!AC112="",FALSE,TRUE)</f>
        <v>0</v>
      </c>
    </row>
    <row r="113" spans="1:67">
      <c r="A113" s="5">
        <f>IF(B113=" "," ",HYPERLINK(CONCATENATE("#metadata!",ADDRESS(INDEX($AI$2:$AI$1001,MATCH(ROWS($AG$2:AG113),$AG$2:$AG$1001,0),0),1)),INDEX($AL$2:$AL$1001,MATCH(ROWS($AG$2:AG113),$AG$2:$AG$1001,0),0)))</f>
        <v>0</v>
      </c>
      <c r="B113" s="4">
        <f>IF(OR(INDEX($AH$2:$AH$1001,MATCH(ROWS($AG$2:AG113),$AG$2:$AG$1001,0),1)&gt;=100000,INDEX($AN$1005:$BO$1005,1,MATCH(COLUMNS($AN$1006:AN1006),$AN$1006:$BO$1006,0))&gt;=100000), " ",IF(INDEX($AN$2:$BO$1001,MATCH(ROWS($AG$2:AG113),$AG$2:$AG$1001,0),MATCH(COLUMNS($AN$1006:AN1006),$AN$1006:$BO$1006,0)), HYPERLINK("#",""), HYPERLINK(CONCATENATE("#Metadata!", ADDRESS(INDEX($AI$2:$AI$1001,MATCH(ROWS($AG$2:AG113),$AG$2:$AG$1001,0),0), INDEX($AN$1004:$BO$1004,1,MATCH(COLUMNS($AN$1006:AN1006),$AN$1006:$BO$1006,0)))),"Fix")))</f>
        <v>0</v>
      </c>
      <c r="C113" s="4">
        <f>IF(OR(INDEX($AH$2:$AH$1001,MATCH(ROWS($AG$2:AG113),$AG$2:$AG$1001,0),1)&gt;=100000,INDEX($AN$1005:$BO$1005,1,MATCH(COLUMNS($AN$1006:AO1006),$AN$1006:$BO$1006,0))&gt;=100000), " ",IF(INDEX($AN$2:$BO$1001,MATCH(ROWS($AG$2:AG113),$AG$2:$AG$1001,0),MATCH(COLUMNS($AN$1006:AO1006),$AN$1006:$BO$1006,0)), HYPERLINK("#",""), HYPERLINK(CONCATENATE("#Metadata!", ADDRESS(INDEX($AI$2:$AI$1001,MATCH(ROWS($AG$2:AG113),$AG$2:$AG$1001,0),0), INDEX($AN$1004:$BO$1004,1,MATCH(COLUMNS($AN$1006:AO1006),$AN$1006:$BO$1006,0)))),"Fix")))</f>
        <v>0</v>
      </c>
      <c r="D113" s="4">
        <f>IF(OR(INDEX($AH$2:$AH$1001,MATCH(ROWS($AG$2:AG113),$AG$2:$AG$1001,0),1)&gt;=100000,INDEX($AN$1005:$BO$1005,1,MATCH(COLUMNS($AN$1006:AP1006),$AN$1006:$BO$1006,0))&gt;=100000), " ",IF(INDEX($AN$2:$BO$1001,MATCH(ROWS($AG$2:AG113),$AG$2:$AG$1001,0),MATCH(COLUMNS($AN$1006:AP1006),$AN$1006:$BO$1006,0)), HYPERLINK("#",""), HYPERLINK(CONCATENATE("#Metadata!", ADDRESS(INDEX($AI$2:$AI$1001,MATCH(ROWS($AG$2:AG113),$AG$2:$AG$1001,0),0), INDEX($AN$1004:$BO$1004,1,MATCH(COLUMNS($AN$1006:AP1006),$AN$1006:$BO$1006,0)))),"Fix")))</f>
        <v>0</v>
      </c>
      <c r="E113" s="4">
        <f>IF(OR(INDEX($AH$2:$AH$1001,MATCH(ROWS($AG$2:AG113),$AG$2:$AG$1001,0),1)&gt;=100000,INDEX($AN$1005:$BO$1005,1,MATCH(COLUMNS($AN$1006:AQ1006),$AN$1006:$BO$1006,0))&gt;=100000), " ",IF(INDEX($AN$2:$BO$1001,MATCH(ROWS($AG$2:AG113),$AG$2:$AG$1001,0),MATCH(COLUMNS($AN$1006:AQ1006),$AN$1006:$BO$1006,0)), HYPERLINK("#",""), HYPERLINK(CONCATENATE("#Metadata!", ADDRESS(INDEX($AI$2:$AI$1001,MATCH(ROWS($AG$2:AG113),$AG$2:$AG$1001,0),0), INDEX($AN$1004:$BO$1004,1,MATCH(COLUMNS($AN$1006:AQ1006),$AN$1006:$BO$1006,0)))),"Fix")))</f>
        <v>0</v>
      </c>
      <c r="F113" s="4">
        <f>IF(OR(INDEX($AH$2:$AH$1001,MATCH(ROWS($AG$2:AG113),$AG$2:$AG$1001,0),1)&gt;=100000,INDEX($AN$1005:$BO$1005,1,MATCH(COLUMNS($AN$1006:AR1006),$AN$1006:$BO$1006,0))&gt;=100000), " ",IF(INDEX($AN$2:$BO$1001,MATCH(ROWS($AG$2:AG113),$AG$2:$AG$1001,0),MATCH(COLUMNS($AN$1006:AR1006),$AN$1006:$BO$1006,0)), HYPERLINK("#",""), HYPERLINK(CONCATENATE("#Metadata!", ADDRESS(INDEX($AI$2:$AI$1001,MATCH(ROWS($AG$2:AG113),$AG$2:$AG$1001,0),0), INDEX($AN$1004:$BO$1004,1,MATCH(COLUMNS($AN$1006:AR1006),$AN$1006:$BO$1006,0)))),"Fix")))</f>
        <v>0</v>
      </c>
      <c r="G113" s="4">
        <f>IF(OR(INDEX($AH$2:$AH$1001,MATCH(ROWS($AG$2:AG113),$AG$2:$AG$1001,0),1)&gt;=100000,INDEX($AN$1005:$BO$1005,1,MATCH(COLUMNS($AN$1006:AS1006),$AN$1006:$BO$1006,0))&gt;=100000), " ",IF(INDEX($AN$2:$BO$1001,MATCH(ROWS($AG$2:AG113),$AG$2:$AG$1001,0),MATCH(COLUMNS($AN$1006:AS1006),$AN$1006:$BO$1006,0)), HYPERLINK("#",""), HYPERLINK(CONCATENATE("#Metadata!", ADDRESS(INDEX($AI$2:$AI$1001,MATCH(ROWS($AG$2:AG113),$AG$2:$AG$1001,0),0), INDEX($AN$1004:$BO$1004,1,MATCH(COLUMNS($AN$1006:AS1006),$AN$1006:$BO$1006,0)))),"Fix")))</f>
        <v>0</v>
      </c>
      <c r="H113" s="4">
        <f>IF(OR(INDEX($AH$2:$AH$1001,MATCH(ROWS($AG$2:AG113),$AG$2:$AG$1001,0),1)&gt;=100000,INDEX($AN$1005:$BO$1005,1,MATCH(COLUMNS($AN$1006:AT1006),$AN$1006:$BO$1006,0))&gt;=100000), " ",IF(INDEX($AN$2:$BO$1001,MATCH(ROWS($AG$2:AG113),$AG$2:$AG$1001,0),MATCH(COLUMNS($AN$1006:AT1006),$AN$1006:$BO$1006,0)), HYPERLINK("#",""), HYPERLINK(CONCATENATE("#Metadata!", ADDRESS(INDEX($AI$2:$AI$1001,MATCH(ROWS($AG$2:AG113),$AG$2:$AG$1001,0),0), INDEX($AN$1004:$BO$1004,1,MATCH(COLUMNS($AN$1006:AT1006),$AN$1006:$BO$1006,0)))),"Fix")))</f>
        <v>0</v>
      </c>
      <c r="I113" s="4">
        <f>IF(OR(INDEX($AH$2:$AH$1001,MATCH(ROWS($AG$2:AG113),$AG$2:$AG$1001,0),1)&gt;=100000,INDEX($AN$1005:$BO$1005,1,MATCH(COLUMNS($AN$1006:AU1006),$AN$1006:$BO$1006,0))&gt;=100000), " ",IF(INDEX($AN$2:$BO$1001,MATCH(ROWS($AG$2:AG113),$AG$2:$AG$1001,0),MATCH(COLUMNS($AN$1006:AU1006),$AN$1006:$BO$1006,0)), HYPERLINK("#",""), HYPERLINK(CONCATENATE("#Metadata!", ADDRESS(INDEX($AI$2:$AI$1001,MATCH(ROWS($AG$2:AG113),$AG$2:$AG$1001,0),0), INDEX($AN$1004:$BO$1004,1,MATCH(COLUMNS($AN$1006:AU1006),$AN$1006:$BO$1006,0)))),"Fix")))</f>
        <v>0</v>
      </c>
      <c r="J113" s="4">
        <f>IF(OR(INDEX($AH$2:$AH$1001,MATCH(ROWS($AG$2:AG113),$AG$2:$AG$1001,0),1)&gt;=100000,INDEX($AN$1005:$BO$1005,1,MATCH(COLUMNS($AN$1006:AV1006),$AN$1006:$BO$1006,0))&gt;=100000), " ",IF(INDEX($AN$2:$BO$1001,MATCH(ROWS($AG$2:AG113),$AG$2:$AG$1001,0),MATCH(COLUMNS($AN$1006:AV1006),$AN$1006:$BO$1006,0)), HYPERLINK("#",""), HYPERLINK(CONCATENATE("#Metadata!", ADDRESS(INDEX($AI$2:$AI$1001,MATCH(ROWS($AG$2:AG113),$AG$2:$AG$1001,0),0), INDEX($AN$1004:$BO$1004,1,MATCH(COLUMNS($AN$1006:AV1006),$AN$1006:$BO$1006,0)))),"Fix")))</f>
        <v>0</v>
      </c>
      <c r="K113" s="4">
        <f>IF(OR(INDEX($AH$2:$AH$1001,MATCH(ROWS($AG$2:AG113),$AG$2:$AG$1001,0),1)&gt;=100000,INDEX($AN$1005:$BO$1005,1,MATCH(COLUMNS($AN$1006:AW1006),$AN$1006:$BO$1006,0))&gt;=100000), " ",IF(INDEX($AN$2:$BO$1001,MATCH(ROWS($AG$2:AG113),$AG$2:$AG$1001,0),MATCH(COLUMNS($AN$1006:AW1006),$AN$1006:$BO$1006,0)), HYPERLINK("#",""), HYPERLINK(CONCATENATE("#Metadata!", ADDRESS(INDEX($AI$2:$AI$1001,MATCH(ROWS($AG$2:AG113),$AG$2:$AG$1001,0),0), INDEX($AN$1004:$BO$1004,1,MATCH(COLUMNS($AN$1006:AW1006),$AN$1006:$BO$1006,0)))),"Fix")))</f>
        <v>0</v>
      </c>
      <c r="L113" s="4">
        <f>IF(OR(INDEX($AH$2:$AH$1001,MATCH(ROWS($AG$2:AG113),$AG$2:$AG$1001,0),1)&gt;=100000,INDEX($AN$1005:$BO$1005,1,MATCH(COLUMNS($AN$1006:AX1006),$AN$1006:$BO$1006,0))&gt;=100000), " ",IF(INDEX($AN$2:$BO$1001,MATCH(ROWS($AG$2:AG113),$AG$2:$AG$1001,0),MATCH(COLUMNS($AN$1006:AX1006),$AN$1006:$BO$1006,0)), HYPERLINK("#",""), HYPERLINK(CONCATENATE("#Metadata!", ADDRESS(INDEX($AI$2:$AI$1001,MATCH(ROWS($AG$2:AG113),$AG$2:$AG$1001,0),0), INDEX($AN$1004:$BO$1004,1,MATCH(COLUMNS($AN$1006:AX1006),$AN$1006:$BO$1006,0)))),"Fix")))</f>
        <v>0</v>
      </c>
      <c r="M113" s="4">
        <f>IF(OR(INDEX($AH$2:$AH$1001,MATCH(ROWS($AG$2:AG113),$AG$2:$AG$1001,0),1)&gt;=100000,INDEX($AN$1005:$BO$1005,1,MATCH(COLUMNS($AN$1006:AY1006),$AN$1006:$BO$1006,0))&gt;=100000), " ",IF(INDEX($AN$2:$BO$1001,MATCH(ROWS($AG$2:AG113),$AG$2:$AG$1001,0),MATCH(COLUMNS($AN$1006:AY1006),$AN$1006:$BO$1006,0)), HYPERLINK("#",""), HYPERLINK(CONCATENATE("#Metadata!", ADDRESS(INDEX($AI$2:$AI$1001,MATCH(ROWS($AG$2:AG113),$AG$2:$AG$1001,0),0), INDEX($AN$1004:$BO$1004,1,MATCH(COLUMNS($AN$1006:AY1006),$AN$1006:$BO$1006,0)))),"Fix")))</f>
        <v>0</v>
      </c>
      <c r="N113" s="4">
        <f>IF(OR(INDEX($AH$2:$AH$1001,MATCH(ROWS($AG$2:AG113),$AG$2:$AG$1001,0),1)&gt;=100000,INDEX($AN$1005:$BO$1005,1,MATCH(COLUMNS($AN$1006:AZ1006),$AN$1006:$BO$1006,0))&gt;=100000), " ",IF(INDEX($AN$2:$BO$1001,MATCH(ROWS($AG$2:AG113),$AG$2:$AG$1001,0),MATCH(COLUMNS($AN$1006:AZ1006),$AN$1006:$BO$1006,0)), HYPERLINK("#",""), HYPERLINK(CONCATENATE("#Metadata!", ADDRESS(INDEX($AI$2:$AI$1001,MATCH(ROWS($AG$2:AG113),$AG$2:$AG$1001,0),0), INDEX($AN$1004:$BO$1004,1,MATCH(COLUMNS($AN$1006:AZ1006),$AN$1006:$BO$1006,0)))),"Fix")))</f>
        <v>0</v>
      </c>
      <c r="O113" s="4">
        <f>IF(OR(INDEX($AH$2:$AH$1001,MATCH(ROWS($AG$2:AG113),$AG$2:$AG$1001,0),1)&gt;=100000,INDEX($AN$1005:$BO$1005,1,MATCH(COLUMNS($AN$1006:BA1006),$AN$1006:$BO$1006,0))&gt;=100000), " ",IF(INDEX($AN$2:$BO$1001,MATCH(ROWS($AG$2:AG113),$AG$2:$AG$1001,0),MATCH(COLUMNS($AN$1006:BA1006),$AN$1006:$BO$1006,0)), HYPERLINK("#",""), HYPERLINK(CONCATENATE("#Metadata!", ADDRESS(INDEX($AI$2:$AI$1001,MATCH(ROWS($AG$2:AG113),$AG$2:$AG$1001,0),0), INDEX($AN$1004:$BO$1004,1,MATCH(COLUMNS($AN$1006:BA1006),$AN$1006:$BO$1006,0)))),"Fix")))</f>
        <v>0</v>
      </c>
      <c r="P113" s="4">
        <f>IF(OR(INDEX($AH$2:$AH$1001,MATCH(ROWS($AG$2:AG113),$AG$2:$AG$1001,0),1)&gt;=100000,INDEX($AN$1005:$BO$1005,1,MATCH(COLUMNS($AN$1006:BB1006),$AN$1006:$BO$1006,0))&gt;=100000), " ",IF(INDEX($AN$2:$BO$1001,MATCH(ROWS($AG$2:AG113),$AG$2:$AG$1001,0),MATCH(COLUMNS($AN$1006:BB1006),$AN$1006:$BO$1006,0)), HYPERLINK("#",""), HYPERLINK(CONCATENATE("#Metadata!", ADDRESS(INDEX($AI$2:$AI$1001,MATCH(ROWS($AG$2:AG113),$AG$2:$AG$1001,0),0), INDEX($AN$1004:$BO$1004,1,MATCH(COLUMNS($AN$1006:BB1006),$AN$1006:$BO$1006,0)))),"Fix")))</f>
        <v>0</v>
      </c>
      <c r="Q113" s="4">
        <f>IF(OR(INDEX($AH$2:$AH$1001,MATCH(ROWS($AG$2:AG113),$AG$2:$AG$1001,0),1)&gt;=100000,INDEX($AN$1005:$BO$1005,1,MATCH(COLUMNS($AN$1006:BC1006),$AN$1006:$BO$1006,0))&gt;=100000), " ",IF(INDEX($AN$2:$BO$1001,MATCH(ROWS($AG$2:AG113),$AG$2:$AG$1001,0),MATCH(COLUMNS($AN$1006:BC1006),$AN$1006:$BO$1006,0)), HYPERLINK("#",""), HYPERLINK(CONCATENATE("#Metadata!", ADDRESS(INDEX($AI$2:$AI$1001,MATCH(ROWS($AG$2:AG113),$AG$2:$AG$1001,0),0), INDEX($AN$1004:$BO$1004,1,MATCH(COLUMNS($AN$1006:BC1006),$AN$1006:$BO$1006,0)))),"Fix")))</f>
        <v>0</v>
      </c>
      <c r="R113" s="4">
        <f>IF(OR(INDEX($AH$2:$AH$1001,MATCH(ROWS($AG$2:AG113),$AG$2:$AG$1001,0),1)&gt;=100000,INDEX($AN$1005:$BO$1005,1,MATCH(COLUMNS($AN$1006:BD1006),$AN$1006:$BO$1006,0))&gt;=100000), " ",IF(INDEX($AN$2:$BO$1001,MATCH(ROWS($AG$2:AG113),$AG$2:$AG$1001,0),MATCH(COLUMNS($AN$1006:BD1006),$AN$1006:$BO$1006,0)), HYPERLINK("#",""), HYPERLINK(CONCATENATE("#Metadata!", ADDRESS(INDEX($AI$2:$AI$1001,MATCH(ROWS($AG$2:AG113),$AG$2:$AG$1001,0),0), INDEX($AN$1004:$BO$1004,1,MATCH(COLUMNS($AN$1006:BD1006),$AN$1006:$BO$1006,0)))),"Fix")))</f>
        <v>0</v>
      </c>
      <c r="S113" s="4">
        <f>IF(OR(INDEX($AH$2:$AH$1001,MATCH(ROWS($AG$2:AG113),$AG$2:$AG$1001,0),1)&gt;=100000,INDEX($AN$1005:$BO$1005,1,MATCH(COLUMNS($AN$1006:BE1006),$AN$1006:$BO$1006,0))&gt;=100000), " ",IF(INDEX($AN$2:$BO$1001,MATCH(ROWS($AG$2:AG113),$AG$2:$AG$1001,0),MATCH(COLUMNS($AN$1006:BE1006),$AN$1006:$BO$1006,0)), HYPERLINK("#",""), HYPERLINK(CONCATENATE("#Metadata!", ADDRESS(INDEX($AI$2:$AI$1001,MATCH(ROWS($AG$2:AG113),$AG$2:$AG$1001,0),0), INDEX($AN$1004:$BO$1004,1,MATCH(COLUMNS($AN$1006:BE1006),$AN$1006:$BO$1006,0)))),"Fix")))</f>
        <v>0</v>
      </c>
      <c r="T113" s="4">
        <f>IF(OR(INDEX($AH$2:$AH$1001,MATCH(ROWS($AG$2:AG113),$AG$2:$AG$1001,0),1)&gt;=100000,INDEX($AN$1005:$BO$1005,1,MATCH(COLUMNS($AN$1006:BF1006),$AN$1006:$BO$1006,0))&gt;=100000), " ",IF(INDEX($AN$2:$BO$1001,MATCH(ROWS($AG$2:AG113),$AG$2:$AG$1001,0),MATCH(COLUMNS($AN$1006:BF1006),$AN$1006:$BO$1006,0)), HYPERLINK("#",""), HYPERLINK(CONCATENATE("#Metadata!", ADDRESS(INDEX($AI$2:$AI$1001,MATCH(ROWS($AG$2:AG113),$AG$2:$AG$1001,0),0), INDEX($AN$1004:$BO$1004,1,MATCH(COLUMNS($AN$1006:BF1006),$AN$1006:$BO$1006,0)))),"Fix")))</f>
        <v>0</v>
      </c>
      <c r="U113" s="4">
        <f>IF(OR(INDEX($AH$2:$AH$1001,MATCH(ROWS($AG$2:AG113),$AG$2:$AG$1001,0),1)&gt;=100000,INDEX($AN$1005:$BO$1005,1,MATCH(COLUMNS($AN$1006:BG1006),$AN$1006:$BO$1006,0))&gt;=100000), " ",IF(INDEX($AN$2:$BO$1001,MATCH(ROWS($AG$2:AG113),$AG$2:$AG$1001,0),MATCH(COLUMNS($AN$1006:BG1006),$AN$1006:$BO$1006,0)), HYPERLINK("#",""), HYPERLINK(CONCATENATE("#Metadata!", ADDRESS(INDEX($AI$2:$AI$1001,MATCH(ROWS($AG$2:AG113),$AG$2:$AG$1001,0),0), INDEX($AN$1004:$BO$1004,1,MATCH(COLUMNS($AN$1006:BG1006),$AN$1006:$BO$1006,0)))),"Fix")))</f>
        <v>0</v>
      </c>
      <c r="V113" s="4">
        <f>IF(OR(INDEX($AH$2:$AH$1001,MATCH(ROWS($AG$2:AG113),$AG$2:$AG$1001,0),1)&gt;=100000,INDEX($AN$1005:$BO$1005,1,MATCH(COLUMNS($AN$1006:BH1006),$AN$1006:$BO$1006,0))&gt;=100000), " ",IF(INDEX($AN$2:$BO$1001,MATCH(ROWS($AG$2:AG113),$AG$2:$AG$1001,0),MATCH(COLUMNS($AN$1006:BH1006),$AN$1006:$BO$1006,0)), HYPERLINK("#",""), HYPERLINK(CONCATENATE("#Metadata!", ADDRESS(INDEX($AI$2:$AI$1001,MATCH(ROWS($AG$2:AG113),$AG$2:$AG$1001,0),0), INDEX($AN$1004:$BO$1004,1,MATCH(COLUMNS($AN$1006:BH1006),$AN$1006:$BO$1006,0)))),"Fix")))</f>
        <v>0</v>
      </c>
      <c r="W113" s="4">
        <f>IF(OR(INDEX($AH$2:$AH$1001,MATCH(ROWS($AG$2:AG113),$AG$2:$AG$1001,0),1)&gt;=100000,INDEX($AN$1005:$BO$1005,1,MATCH(COLUMNS($AN$1006:BI1006),$AN$1006:$BO$1006,0))&gt;=100000), " ",IF(INDEX($AN$2:$BO$1001,MATCH(ROWS($AG$2:AG113),$AG$2:$AG$1001,0),MATCH(COLUMNS($AN$1006:BI1006),$AN$1006:$BO$1006,0)), HYPERLINK("#",""), HYPERLINK(CONCATENATE("#Metadata!", ADDRESS(INDEX($AI$2:$AI$1001,MATCH(ROWS($AG$2:AG113),$AG$2:$AG$1001,0),0), INDEX($AN$1004:$BO$1004,1,MATCH(COLUMNS($AN$1006:BI1006),$AN$1006:$BO$1006,0)))),"Fix")))</f>
        <v>0</v>
      </c>
      <c r="X113" s="4">
        <f>IF(OR(INDEX($AH$2:$AH$1001,MATCH(ROWS($AG$2:AG113),$AG$2:$AG$1001,0),1)&gt;=100000,INDEX($AN$1005:$BO$1005,1,MATCH(COLUMNS($AN$1006:BJ1006),$AN$1006:$BO$1006,0))&gt;=100000), " ",IF(INDEX($AN$2:$BO$1001,MATCH(ROWS($AG$2:AG113),$AG$2:$AG$1001,0),MATCH(COLUMNS($AN$1006:BJ1006),$AN$1006:$BO$1006,0)), HYPERLINK("#",""), HYPERLINK(CONCATENATE("#Metadata!", ADDRESS(INDEX($AI$2:$AI$1001,MATCH(ROWS($AG$2:AG113),$AG$2:$AG$1001,0),0), INDEX($AN$1004:$BO$1004,1,MATCH(COLUMNS($AN$1006:BJ1006),$AN$1006:$BO$1006,0)))),"Fix")))</f>
        <v>0</v>
      </c>
      <c r="Y113" s="4">
        <f>IF(OR(INDEX($AH$2:$AH$1001,MATCH(ROWS($AG$2:AG113),$AG$2:$AG$1001,0),1)&gt;=100000,INDEX($AN$1005:$BO$1005,1,MATCH(COLUMNS($AN$1006:BK1006),$AN$1006:$BO$1006,0))&gt;=100000), " ",IF(INDEX($AN$2:$BO$1001,MATCH(ROWS($AG$2:AG113),$AG$2:$AG$1001,0),MATCH(COLUMNS($AN$1006:BK1006),$AN$1006:$BO$1006,0)), HYPERLINK("#",""), HYPERLINK(CONCATENATE("#Metadata!", ADDRESS(INDEX($AI$2:$AI$1001,MATCH(ROWS($AG$2:AG113),$AG$2:$AG$1001,0),0), INDEX($AN$1004:$BO$1004,1,MATCH(COLUMNS($AN$1006:BK1006),$AN$1006:$BO$1006,0)))),"Fix")))</f>
        <v>0</v>
      </c>
      <c r="Z113" s="4">
        <f>IF(OR(INDEX($AH$2:$AH$1001,MATCH(ROWS($AG$2:AG113),$AG$2:$AG$1001,0),1)&gt;=100000,INDEX($AN$1005:$BO$1005,1,MATCH(COLUMNS($AN$1006:BL1006),$AN$1006:$BO$1006,0))&gt;=100000), " ",IF(INDEX($AN$2:$BO$1001,MATCH(ROWS($AG$2:AG113),$AG$2:$AG$1001,0),MATCH(COLUMNS($AN$1006:BL1006),$AN$1006:$BO$1006,0)), HYPERLINK("#",""), HYPERLINK(CONCATENATE("#Metadata!", ADDRESS(INDEX($AI$2:$AI$1001,MATCH(ROWS($AG$2:AG113),$AG$2:$AG$1001,0),0), INDEX($AN$1004:$BO$1004,1,MATCH(COLUMNS($AN$1006:BL1006),$AN$1006:$BO$1006,0)))),"Fix")))</f>
        <v>0</v>
      </c>
      <c r="AA113" s="4">
        <f>IF(OR(INDEX($AH$2:$AH$1001,MATCH(ROWS($AG$2:AG113),$AG$2:$AG$1001,0),1)&gt;=100000,INDEX($AN$1005:$BO$1005,1,MATCH(COLUMNS($AN$1006:BM1006),$AN$1006:$BO$1006,0))&gt;=100000), " ",IF(INDEX($AN$2:$BO$1001,MATCH(ROWS($AG$2:AG113),$AG$2:$AG$1001,0),MATCH(COLUMNS($AN$1006:BM1006),$AN$1006:$BO$1006,0)), HYPERLINK("#",""), HYPERLINK(CONCATENATE("#Metadata!", ADDRESS(INDEX($AI$2:$AI$1001,MATCH(ROWS($AG$2:AG113),$AG$2:$AG$1001,0),0), INDEX($AN$1004:$BO$1004,1,MATCH(COLUMNS($AN$1006:BM1006),$AN$1006:$BO$1006,0)))),"Fix")))</f>
        <v>0</v>
      </c>
      <c r="AB113" s="4">
        <f>IF(OR(INDEX($AH$2:$AH$1001,MATCH(ROWS($AG$2:AG113),$AG$2:$AG$1001,0),1)&gt;=100000,INDEX($AN$1005:$BO$1005,1,MATCH(COLUMNS($AN$1006:BN1006),$AN$1006:$BO$1006,0))&gt;=100000), " ",IF(INDEX($AN$2:$BO$1001,MATCH(ROWS($AG$2:AG113),$AG$2:$AG$1001,0),MATCH(COLUMNS($AN$1006:BN1006),$AN$1006:$BO$1006,0)), HYPERLINK("#",""), HYPERLINK(CONCATENATE("#Metadata!", ADDRESS(INDEX($AI$2:$AI$1001,MATCH(ROWS($AG$2:AG113),$AG$2:$AG$1001,0),0), INDEX($AN$1004:$BO$1004,1,MATCH(COLUMNS($AN$1006:BN1006),$AN$1006:$BO$1006,0)))),"Fix")))</f>
        <v>0</v>
      </c>
      <c r="AC113" s="4">
        <f>IF(OR(INDEX($AH$2:$AH$1001,MATCH(ROWS($AG$2:AG113),$AG$2:$AG$1001,0),1)&gt;=100000,INDEX($AN$1005:$BO$1005,1,MATCH(COLUMNS($AN$1006:BO1006),$AN$1006:$BO$1006,0))&gt;=100000), " ",IF(INDEX($AN$2:$BO$1001,MATCH(ROWS($AG$2:AG113),$AG$2:$AG$1001,0),MATCH(COLUMNS($AN$1006:BO1006),$AN$1006:$BO$1006,0)), HYPERLINK("#",""), HYPERLINK(CONCATENATE("#Metadata!", ADDRESS(INDEX($AI$2:$AI$1001,MATCH(ROWS($AG$2:AG113),$AG$2:$AG$1001,0),0), INDEX($AN$1004:$BO$1004,1,MATCH(COLUMNS($AN$1006:BO1006),$AN$1006:$BO$1006,0)))),"Fix")))</f>
        <v>0</v>
      </c>
      <c r="AG113">
        <v>0</v>
      </c>
      <c r="AH113">
        <v>0</v>
      </c>
      <c r="AI113">
        <v>0</v>
      </c>
      <c r="AJ113">
        <f>IF(AK113,TRUE,AND(AN113:BO113))</f>
        <v>0</v>
      </c>
      <c r="AK113">
        <f>COUNTBLANK(Metadata!B113:AC113)=COLUMNS(Metadata!B113:AC113)</f>
        <v>0</v>
      </c>
      <c r="AL113">
        <v>0</v>
      </c>
      <c r="AN113">
        <f>AND(IF(Metadata!B113="",FALSE,TRUE),COUNTIF(Metadata!B:B, Metadata!B113) = 1,NOT(ISERROR(SUMPRODUCT(SEARCH(MID(Metadata!B113,ROW(INDIRECT("1:"&amp;LEN(Metadata!B113))), 1),"0123456789abcdefghijklmnopqrstuvwxyzABCDEFGHIJKLMNOPQRSTUVWXYZ.")))))</f>
        <v>0</v>
      </c>
      <c r="AO113">
        <f>IF(Metadata!C113="",FALSE,TRUE)</f>
        <v>0</v>
      </c>
      <c r="AP113">
        <f>IF(Metadata!D113="",FALSE,TRUE)</f>
        <v>0</v>
      </c>
      <c r="AQ113">
        <f>OR(AND(IF(Metadata!E113="",FALSE,TRUE),OR(exact(Metadata!E113,"not collected"),exact(Metadata!E113,"not provided"),exact(Metadata!E113,"restricted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R113">
        <f>IF(Metadata!F113="",FALSE,TRUE)</f>
        <v>0</v>
      </c>
      <c r="AS113">
        <f>OR(AND(IF(Metadata!G113="",FALSE,TRUE),OR(exact(Metadata!G113,"not collected"),exact(Metadata!G113,"not provided"))),AND(IF(Metadata!G113="",FALSE,TRUE),OR(exact(Metadata!G113,"TRUE"),exact(Metadata!G113,"FALSE"))))</f>
        <v>0</v>
      </c>
      <c r="AT113">
        <f>OR(AND(IF(Metadata!H113="",FALSE,TRUE),OR(exact(Metadata!H113,"not collected"),exact(Metadata!H113,"not provided"),exact(Metadata!H113,"restricted access"))),AND(IF(Metadata!H113="",FALSE,ISNUMBER(VALUE(Metadata!H113))),Metadata!H113&gt;=-413.0))</f>
        <v>0</v>
      </c>
      <c r="AU113">
        <f>AND(IF(Metadata!I113="",FALSE,TRUE),exact(Metadata!I113,"meters"))</f>
        <v>0</v>
      </c>
      <c r="AV113">
        <f>AND(IF(Metadata!J113="",FALSE,TRUE),OR(exact(Metadata!J113,"Host-associated"),exact(Metadata!J113,"Free-living")))</f>
        <v>0</v>
      </c>
      <c r="AW113">
        <f>AND(IF(Metadata!K113="",FALSE,TRUE),OR(exact(Metadata!K113,"Animal"),exact(Metadata!K113,"Fungus"),exact(Metadata!K113,"Plant"),exact(Metadata!K113,"Saline"),exact(Metadata!K113,"Non-saline")))</f>
        <v>0</v>
      </c>
      <c r="AX113">
        <f>AND(IF(Metadata!L113="",FALSE,TRUE),OR(exact(Metadata!L113,"Plant secretion"),exact(Metadata!L113,"Plant rhizosphere"),exact(Metadata!L113,"Plant surface"),exact(Metadata!L113,"Plant corpus"),exact(Metadata!L113,"Fungus surface"),exact(Metadata!L113,"Fungus corpus"),exact(Metadata!L113,"Animal surface"),exact(Metadata!L113,"Animal proximal gut"),exact(Metadata!L113,"Animal corpus"),exact(Metadata!L113,"Animal distal gut"),exact(Metadata!L113,"Animal secretion"),exact(Metadata!L113,"Sub-surface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Y113">
        <f>IF(Metadata!M113="",FALSE,TRUE)</f>
        <v>0</v>
      </c>
      <c r="AZ113">
        <f>IF(Metadata!N113="",FALSE,TRUE)</f>
        <v>0</v>
      </c>
      <c r="BA113">
        <f>IF(Metadata!O113="",FALSE,TRUE)</f>
        <v>0</v>
      </c>
      <c r="BB113">
        <f>OR(AND(IF(Metadata!P113="",FALSE,TRUE),OR(exact(Metadata!P113,"not collected"),exact(Metadata!P113,"not provided"),exact(Metadata!P113,"restricted access"))),AND(IF(Metadata!P113="",FALSE,TRUE),OR(exact(Metadata!P113,"air"),exact(Metadata!P113,"built environment"),exact(Metadata!P113,"host-associated"),exact(Metadata!P113,"human-associated"),exact(Metadata!P113,"human-skin"),exact(Metadata!P113,"human-oral"),exact(Metadata!P113,"human-gut"),exact(Metadata!P113,"human-vaginal"),exact(Metadata!P113,"microbial mat/biofilm"),exact(Metadata!P113,"misc environment"),exact(Metadata!P113,"plant-associated"),exact(Metadata!P113,"sediment"),exact(Metadata!P113,"soil"),exact(Metadata!P113,"wastewater/sludge"),exact(Metadata!P113,"water"))))</f>
        <v>0</v>
      </c>
      <c r="BC113">
        <f>IF(Metadata!Q113="",FALSE,TRUE)</f>
        <v>0</v>
      </c>
      <c r="BD113">
        <f>IF(Metadata!R113="",FALSE,TRUE)</f>
        <v>0</v>
      </c>
      <c r="BE113">
        <f>OR(AND(IF(Metadata!S113="",FALSE,TRUE),OR(exact(Metadata!S113,"not collected"),exact(Metadata!S113,"not provided"),exact(Metadata!S113,"restricted access"))),AND(IF(Metadata!S113="",FALSE,ISNUMBER(VALUE(Metadata!S113))),Metadata!S113&gt;=-90.00,Metadata!S113&lt;=90.00))</f>
        <v>0</v>
      </c>
      <c r="BF113">
        <f>AND(IF(Metadata!T113="",FALSE,TRUE),exact(Metadata!T113,"Decimal degrees"))</f>
        <v>0</v>
      </c>
      <c r="BG113">
        <f>OR(AND(IF(Metadata!U113="",FALSE,TRUE),OR(exact(Metadata!U113,"not collected"),exact(Metadata!U113,"not provided"),exact(Metadata!U113,"restricted access"))),AND(IF(Metadata!U113="",FALSE,ISNUMBER(VALUE(Metadata!U113))),Metadata!U113&gt;=-180.00,Metadata!U113&lt;=180.00))</f>
        <v>0</v>
      </c>
      <c r="BH113">
        <f>AND(IF(Metadata!V113="",FALSE,TRUE),exact(Metadata!V113,"Decimal degrees"))</f>
        <v>0</v>
      </c>
      <c r="BI113">
        <f>IF(Metadata!W113="",FALSE,TRUE)</f>
        <v>0</v>
      </c>
      <c r="BJ113">
        <f>OR(AND(IF(Metadata!X113="",FALSE,TRUE),OR(exact(Metadata!X113,"not collected"),exact(Metadata!X113,"not provided"),exact(Metadata!X113,"restricted access"))),AND(IF(Metadata!X113="",FALSE,TRUE),OR(exact(Metadata!X113,"TRUE"),exact(Metadata!X113,"FALSE"))))</f>
        <v>0</v>
      </c>
      <c r="BK113">
        <f>AND(IF(Metadata!Y113="",FALSE,TRUE),exact(Metadata!Y113,"other"))</f>
        <v>0</v>
      </c>
      <c r="BL113">
        <f>IF(Metadata!Z113="",FALSE,TRUE)</f>
        <v>0</v>
      </c>
      <c r="BM113">
        <f>OR(AND(IF(Metadata!AA113="",FALSE,TRUE),OR(exact(Metadata!AA113,"not collected"),exact(Metadata!AA113,"not provided"))),AND(IF(Metadata!AA113="",FALSE,IF(ISERROR(INT(Metadata!AA113)),FALSE,INT(Metadata!AA113)=Metadata!AA113)),Metadata!AA113&gt;0))</f>
        <v>0</v>
      </c>
      <c r="BN113">
        <f>AND(IF(Metadata!AB113="",FALSE,TRUE),exact(Metadata!AB113,"Not applicable"))</f>
        <v>0</v>
      </c>
      <c r="BO113">
        <f>IF(Metadata!AC113="",FALSE,TRUE)</f>
        <v>0</v>
      </c>
    </row>
    <row r="114" spans="1:67">
      <c r="A114" s="5">
        <f>IF(B114=" "," ",HYPERLINK(CONCATENATE("#metadata!",ADDRESS(INDEX($AI$2:$AI$1001,MATCH(ROWS($AG$2:AG114),$AG$2:$AG$1001,0),0),1)),INDEX($AL$2:$AL$1001,MATCH(ROWS($AG$2:AG114),$AG$2:$AG$1001,0),0)))</f>
        <v>0</v>
      </c>
      <c r="B114" s="4">
        <f>IF(OR(INDEX($AH$2:$AH$1001,MATCH(ROWS($AG$2:AG114),$AG$2:$AG$1001,0),1)&gt;=100000,INDEX($AN$1005:$BO$1005,1,MATCH(COLUMNS($AN$1006:AN1006),$AN$1006:$BO$1006,0))&gt;=100000), " ",IF(INDEX($AN$2:$BO$1001,MATCH(ROWS($AG$2:AG114),$AG$2:$AG$1001,0),MATCH(COLUMNS($AN$1006:AN1006),$AN$1006:$BO$1006,0)), HYPERLINK("#",""), HYPERLINK(CONCATENATE("#Metadata!", ADDRESS(INDEX($AI$2:$AI$1001,MATCH(ROWS($AG$2:AG114),$AG$2:$AG$1001,0),0), INDEX($AN$1004:$BO$1004,1,MATCH(COLUMNS($AN$1006:AN1006),$AN$1006:$BO$1006,0)))),"Fix")))</f>
        <v>0</v>
      </c>
      <c r="C114" s="4">
        <f>IF(OR(INDEX($AH$2:$AH$1001,MATCH(ROWS($AG$2:AG114),$AG$2:$AG$1001,0),1)&gt;=100000,INDEX($AN$1005:$BO$1005,1,MATCH(COLUMNS($AN$1006:AO1006),$AN$1006:$BO$1006,0))&gt;=100000), " ",IF(INDEX($AN$2:$BO$1001,MATCH(ROWS($AG$2:AG114),$AG$2:$AG$1001,0),MATCH(COLUMNS($AN$1006:AO1006),$AN$1006:$BO$1006,0)), HYPERLINK("#",""), HYPERLINK(CONCATENATE("#Metadata!", ADDRESS(INDEX($AI$2:$AI$1001,MATCH(ROWS($AG$2:AG114),$AG$2:$AG$1001,0),0), INDEX($AN$1004:$BO$1004,1,MATCH(COLUMNS($AN$1006:AO1006),$AN$1006:$BO$1006,0)))),"Fix")))</f>
        <v>0</v>
      </c>
      <c r="D114" s="4">
        <f>IF(OR(INDEX($AH$2:$AH$1001,MATCH(ROWS($AG$2:AG114),$AG$2:$AG$1001,0),1)&gt;=100000,INDEX($AN$1005:$BO$1005,1,MATCH(COLUMNS($AN$1006:AP1006),$AN$1006:$BO$1006,0))&gt;=100000), " ",IF(INDEX($AN$2:$BO$1001,MATCH(ROWS($AG$2:AG114),$AG$2:$AG$1001,0),MATCH(COLUMNS($AN$1006:AP1006),$AN$1006:$BO$1006,0)), HYPERLINK("#",""), HYPERLINK(CONCATENATE("#Metadata!", ADDRESS(INDEX($AI$2:$AI$1001,MATCH(ROWS($AG$2:AG114),$AG$2:$AG$1001,0),0), INDEX($AN$1004:$BO$1004,1,MATCH(COLUMNS($AN$1006:AP1006),$AN$1006:$BO$1006,0)))),"Fix")))</f>
        <v>0</v>
      </c>
      <c r="E114" s="4">
        <f>IF(OR(INDEX($AH$2:$AH$1001,MATCH(ROWS($AG$2:AG114),$AG$2:$AG$1001,0),1)&gt;=100000,INDEX($AN$1005:$BO$1005,1,MATCH(COLUMNS($AN$1006:AQ1006),$AN$1006:$BO$1006,0))&gt;=100000), " ",IF(INDEX($AN$2:$BO$1001,MATCH(ROWS($AG$2:AG114),$AG$2:$AG$1001,0),MATCH(COLUMNS($AN$1006:AQ1006),$AN$1006:$BO$1006,0)), HYPERLINK("#",""), HYPERLINK(CONCATENATE("#Metadata!", ADDRESS(INDEX($AI$2:$AI$1001,MATCH(ROWS($AG$2:AG114),$AG$2:$AG$1001,0),0), INDEX($AN$1004:$BO$1004,1,MATCH(COLUMNS($AN$1006:AQ1006),$AN$1006:$BO$1006,0)))),"Fix")))</f>
        <v>0</v>
      </c>
      <c r="F114" s="4">
        <f>IF(OR(INDEX($AH$2:$AH$1001,MATCH(ROWS($AG$2:AG114),$AG$2:$AG$1001,0),1)&gt;=100000,INDEX($AN$1005:$BO$1005,1,MATCH(COLUMNS($AN$1006:AR1006),$AN$1006:$BO$1006,0))&gt;=100000), " ",IF(INDEX($AN$2:$BO$1001,MATCH(ROWS($AG$2:AG114),$AG$2:$AG$1001,0),MATCH(COLUMNS($AN$1006:AR1006),$AN$1006:$BO$1006,0)), HYPERLINK("#",""), HYPERLINK(CONCATENATE("#Metadata!", ADDRESS(INDEX($AI$2:$AI$1001,MATCH(ROWS($AG$2:AG114),$AG$2:$AG$1001,0),0), INDEX($AN$1004:$BO$1004,1,MATCH(COLUMNS($AN$1006:AR1006),$AN$1006:$BO$1006,0)))),"Fix")))</f>
        <v>0</v>
      </c>
      <c r="G114" s="4">
        <f>IF(OR(INDEX($AH$2:$AH$1001,MATCH(ROWS($AG$2:AG114),$AG$2:$AG$1001,0),1)&gt;=100000,INDEX($AN$1005:$BO$1005,1,MATCH(COLUMNS($AN$1006:AS1006),$AN$1006:$BO$1006,0))&gt;=100000), " ",IF(INDEX($AN$2:$BO$1001,MATCH(ROWS($AG$2:AG114),$AG$2:$AG$1001,0),MATCH(COLUMNS($AN$1006:AS1006),$AN$1006:$BO$1006,0)), HYPERLINK("#",""), HYPERLINK(CONCATENATE("#Metadata!", ADDRESS(INDEX($AI$2:$AI$1001,MATCH(ROWS($AG$2:AG114),$AG$2:$AG$1001,0),0), INDEX($AN$1004:$BO$1004,1,MATCH(COLUMNS($AN$1006:AS1006),$AN$1006:$BO$1006,0)))),"Fix")))</f>
        <v>0</v>
      </c>
      <c r="H114" s="4">
        <f>IF(OR(INDEX($AH$2:$AH$1001,MATCH(ROWS($AG$2:AG114),$AG$2:$AG$1001,0),1)&gt;=100000,INDEX($AN$1005:$BO$1005,1,MATCH(COLUMNS($AN$1006:AT1006),$AN$1006:$BO$1006,0))&gt;=100000), " ",IF(INDEX($AN$2:$BO$1001,MATCH(ROWS($AG$2:AG114),$AG$2:$AG$1001,0),MATCH(COLUMNS($AN$1006:AT1006),$AN$1006:$BO$1006,0)), HYPERLINK("#",""), HYPERLINK(CONCATENATE("#Metadata!", ADDRESS(INDEX($AI$2:$AI$1001,MATCH(ROWS($AG$2:AG114),$AG$2:$AG$1001,0),0), INDEX($AN$1004:$BO$1004,1,MATCH(COLUMNS($AN$1006:AT1006),$AN$1006:$BO$1006,0)))),"Fix")))</f>
        <v>0</v>
      </c>
      <c r="I114" s="4">
        <f>IF(OR(INDEX($AH$2:$AH$1001,MATCH(ROWS($AG$2:AG114),$AG$2:$AG$1001,0),1)&gt;=100000,INDEX($AN$1005:$BO$1005,1,MATCH(COLUMNS($AN$1006:AU1006),$AN$1006:$BO$1006,0))&gt;=100000), " ",IF(INDEX($AN$2:$BO$1001,MATCH(ROWS($AG$2:AG114),$AG$2:$AG$1001,0),MATCH(COLUMNS($AN$1006:AU1006),$AN$1006:$BO$1006,0)), HYPERLINK("#",""), HYPERLINK(CONCATENATE("#Metadata!", ADDRESS(INDEX($AI$2:$AI$1001,MATCH(ROWS($AG$2:AG114),$AG$2:$AG$1001,0),0), INDEX($AN$1004:$BO$1004,1,MATCH(COLUMNS($AN$1006:AU1006),$AN$1006:$BO$1006,0)))),"Fix")))</f>
        <v>0</v>
      </c>
      <c r="J114" s="4">
        <f>IF(OR(INDEX($AH$2:$AH$1001,MATCH(ROWS($AG$2:AG114),$AG$2:$AG$1001,0),1)&gt;=100000,INDEX($AN$1005:$BO$1005,1,MATCH(COLUMNS($AN$1006:AV1006),$AN$1006:$BO$1006,0))&gt;=100000), " ",IF(INDEX($AN$2:$BO$1001,MATCH(ROWS($AG$2:AG114),$AG$2:$AG$1001,0),MATCH(COLUMNS($AN$1006:AV1006),$AN$1006:$BO$1006,0)), HYPERLINK("#",""), HYPERLINK(CONCATENATE("#Metadata!", ADDRESS(INDEX($AI$2:$AI$1001,MATCH(ROWS($AG$2:AG114),$AG$2:$AG$1001,0),0), INDEX($AN$1004:$BO$1004,1,MATCH(COLUMNS($AN$1006:AV1006),$AN$1006:$BO$1006,0)))),"Fix")))</f>
        <v>0</v>
      </c>
      <c r="K114" s="4">
        <f>IF(OR(INDEX($AH$2:$AH$1001,MATCH(ROWS($AG$2:AG114),$AG$2:$AG$1001,0),1)&gt;=100000,INDEX($AN$1005:$BO$1005,1,MATCH(COLUMNS($AN$1006:AW1006),$AN$1006:$BO$1006,0))&gt;=100000), " ",IF(INDEX($AN$2:$BO$1001,MATCH(ROWS($AG$2:AG114),$AG$2:$AG$1001,0),MATCH(COLUMNS($AN$1006:AW1006),$AN$1006:$BO$1006,0)), HYPERLINK("#",""), HYPERLINK(CONCATENATE("#Metadata!", ADDRESS(INDEX($AI$2:$AI$1001,MATCH(ROWS($AG$2:AG114),$AG$2:$AG$1001,0),0), INDEX($AN$1004:$BO$1004,1,MATCH(COLUMNS($AN$1006:AW1006),$AN$1006:$BO$1006,0)))),"Fix")))</f>
        <v>0</v>
      </c>
      <c r="L114" s="4">
        <f>IF(OR(INDEX($AH$2:$AH$1001,MATCH(ROWS($AG$2:AG114),$AG$2:$AG$1001,0),1)&gt;=100000,INDEX($AN$1005:$BO$1005,1,MATCH(COLUMNS($AN$1006:AX1006),$AN$1006:$BO$1006,0))&gt;=100000), " ",IF(INDEX($AN$2:$BO$1001,MATCH(ROWS($AG$2:AG114),$AG$2:$AG$1001,0),MATCH(COLUMNS($AN$1006:AX1006),$AN$1006:$BO$1006,0)), HYPERLINK("#",""), HYPERLINK(CONCATENATE("#Metadata!", ADDRESS(INDEX($AI$2:$AI$1001,MATCH(ROWS($AG$2:AG114),$AG$2:$AG$1001,0),0), INDEX($AN$1004:$BO$1004,1,MATCH(COLUMNS($AN$1006:AX1006),$AN$1006:$BO$1006,0)))),"Fix")))</f>
        <v>0</v>
      </c>
      <c r="M114" s="4">
        <f>IF(OR(INDEX($AH$2:$AH$1001,MATCH(ROWS($AG$2:AG114),$AG$2:$AG$1001,0),1)&gt;=100000,INDEX($AN$1005:$BO$1005,1,MATCH(COLUMNS($AN$1006:AY1006),$AN$1006:$BO$1006,0))&gt;=100000), " ",IF(INDEX($AN$2:$BO$1001,MATCH(ROWS($AG$2:AG114),$AG$2:$AG$1001,0),MATCH(COLUMNS($AN$1006:AY1006),$AN$1006:$BO$1006,0)), HYPERLINK("#",""), HYPERLINK(CONCATENATE("#Metadata!", ADDRESS(INDEX($AI$2:$AI$1001,MATCH(ROWS($AG$2:AG114),$AG$2:$AG$1001,0),0), INDEX($AN$1004:$BO$1004,1,MATCH(COLUMNS($AN$1006:AY1006),$AN$1006:$BO$1006,0)))),"Fix")))</f>
        <v>0</v>
      </c>
      <c r="N114" s="4">
        <f>IF(OR(INDEX($AH$2:$AH$1001,MATCH(ROWS($AG$2:AG114),$AG$2:$AG$1001,0),1)&gt;=100000,INDEX($AN$1005:$BO$1005,1,MATCH(COLUMNS($AN$1006:AZ1006),$AN$1006:$BO$1006,0))&gt;=100000), " ",IF(INDEX($AN$2:$BO$1001,MATCH(ROWS($AG$2:AG114),$AG$2:$AG$1001,0),MATCH(COLUMNS($AN$1006:AZ1006),$AN$1006:$BO$1006,0)), HYPERLINK("#",""), HYPERLINK(CONCATENATE("#Metadata!", ADDRESS(INDEX($AI$2:$AI$1001,MATCH(ROWS($AG$2:AG114),$AG$2:$AG$1001,0),0), INDEX($AN$1004:$BO$1004,1,MATCH(COLUMNS($AN$1006:AZ1006),$AN$1006:$BO$1006,0)))),"Fix")))</f>
        <v>0</v>
      </c>
      <c r="O114" s="4">
        <f>IF(OR(INDEX($AH$2:$AH$1001,MATCH(ROWS($AG$2:AG114),$AG$2:$AG$1001,0),1)&gt;=100000,INDEX($AN$1005:$BO$1005,1,MATCH(COLUMNS($AN$1006:BA1006),$AN$1006:$BO$1006,0))&gt;=100000), " ",IF(INDEX($AN$2:$BO$1001,MATCH(ROWS($AG$2:AG114),$AG$2:$AG$1001,0),MATCH(COLUMNS($AN$1006:BA1006),$AN$1006:$BO$1006,0)), HYPERLINK("#",""), HYPERLINK(CONCATENATE("#Metadata!", ADDRESS(INDEX($AI$2:$AI$1001,MATCH(ROWS($AG$2:AG114),$AG$2:$AG$1001,0),0), INDEX($AN$1004:$BO$1004,1,MATCH(COLUMNS($AN$1006:BA1006),$AN$1006:$BO$1006,0)))),"Fix")))</f>
        <v>0</v>
      </c>
      <c r="P114" s="4">
        <f>IF(OR(INDEX($AH$2:$AH$1001,MATCH(ROWS($AG$2:AG114),$AG$2:$AG$1001,0),1)&gt;=100000,INDEX($AN$1005:$BO$1005,1,MATCH(COLUMNS($AN$1006:BB1006),$AN$1006:$BO$1006,0))&gt;=100000), " ",IF(INDEX($AN$2:$BO$1001,MATCH(ROWS($AG$2:AG114),$AG$2:$AG$1001,0),MATCH(COLUMNS($AN$1006:BB1006),$AN$1006:$BO$1006,0)), HYPERLINK("#",""), HYPERLINK(CONCATENATE("#Metadata!", ADDRESS(INDEX($AI$2:$AI$1001,MATCH(ROWS($AG$2:AG114),$AG$2:$AG$1001,0),0), INDEX($AN$1004:$BO$1004,1,MATCH(COLUMNS($AN$1006:BB1006),$AN$1006:$BO$1006,0)))),"Fix")))</f>
        <v>0</v>
      </c>
      <c r="Q114" s="4">
        <f>IF(OR(INDEX($AH$2:$AH$1001,MATCH(ROWS($AG$2:AG114),$AG$2:$AG$1001,0),1)&gt;=100000,INDEX($AN$1005:$BO$1005,1,MATCH(COLUMNS($AN$1006:BC1006),$AN$1006:$BO$1006,0))&gt;=100000), " ",IF(INDEX($AN$2:$BO$1001,MATCH(ROWS($AG$2:AG114),$AG$2:$AG$1001,0),MATCH(COLUMNS($AN$1006:BC1006),$AN$1006:$BO$1006,0)), HYPERLINK("#",""), HYPERLINK(CONCATENATE("#Metadata!", ADDRESS(INDEX($AI$2:$AI$1001,MATCH(ROWS($AG$2:AG114),$AG$2:$AG$1001,0),0), INDEX($AN$1004:$BO$1004,1,MATCH(COLUMNS($AN$1006:BC1006),$AN$1006:$BO$1006,0)))),"Fix")))</f>
        <v>0</v>
      </c>
      <c r="R114" s="4">
        <f>IF(OR(INDEX($AH$2:$AH$1001,MATCH(ROWS($AG$2:AG114),$AG$2:$AG$1001,0),1)&gt;=100000,INDEX($AN$1005:$BO$1005,1,MATCH(COLUMNS($AN$1006:BD1006),$AN$1006:$BO$1006,0))&gt;=100000), " ",IF(INDEX($AN$2:$BO$1001,MATCH(ROWS($AG$2:AG114),$AG$2:$AG$1001,0),MATCH(COLUMNS($AN$1006:BD1006),$AN$1006:$BO$1006,0)), HYPERLINK("#",""), HYPERLINK(CONCATENATE("#Metadata!", ADDRESS(INDEX($AI$2:$AI$1001,MATCH(ROWS($AG$2:AG114),$AG$2:$AG$1001,0),0), INDEX($AN$1004:$BO$1004,1,MATCH(COLUMNS($AN$1006:BD1006),$AN$1006:$BO$1006,0)))),"Fix")))</f>
        <v>0</v>
      </c>
      <c r="S114" s="4">
        <f>IF(OR(INDEX($AH$2:$AH$1001,MATCH(ROWS($AG$2:AG114),$AG$2:$AG$1001,0),1)&gt;=100000,INDEX($AN$1005:$BO$1005,1,MATCH(COLUMNS($AN$1006:BE1006),$AN$1006:$BO$1006,0))&gt;=100000), " ",IF(INDEX($AN$2:$BO$1001,MATCH(ROWS($AG$2:AG114),$AG$2:$AG$1001,0),MATCH(COLUMNS($AN$1006:BE1006),$AN$1006:$BO$1006,0)), HYPERLINK("#",""), HYPERLINK(CONCATENATE("#Metadata!", ADDRESS(INDEX($AI$2:$AI$1001,MATCH(ROWS($AG$2:AG114),$AG$2:$AG$1001,0),0), INDEX($AN$1004:$BO$1004,1,MATCH(COLUMNS($AN$1006:BE1006),$AN$1006:$BO$1006,0)))),"Fix")))</f>
        <v>0</v>
      </c>
      <c r="T114" s="4">
        <f>IF(OR(INDEX($AH$2:$AH$1001,MATCH(ROWS($AG$2:AG114),$AG$2:$AG$1001,0),1)&gt;=100000,INDEX($AN$1005:$BO$1005,1,MATCH(COLUMNS($AN$1006:BF1006),$AN$1006:$BO$1006,0))&gt;=100000), " ",IF(INDEX($AN$2:$BO$1001,MATCH(ROWS($AG$2:AG114),$AG$2:$AG$1001,0),MATCH(COLUMNS($AN$1006:BF1006),$AN$1006:$BO$1006,0)), HYPERLINK("#",""), HYPERLINK(CONCATENATE("#Metadata!", ADDRESS(INDEX($AI$2:$AI$1001,MATCH(ROWS($AG$2:AG114),$AG$2:$AG$1001,0),0), INDEX($AN$1004:$BO$1004,1,MATCH(COLUMNS($AN$1006:BF1006),$AN$1006:$BO$1006,0)))),"Fix")))</f>
        <v>0</v>
      </c>
      <c r="U114" s="4">
        <f>IF(OR(INDEX($AH$2:$AH$1001,MATCH(ROWS($AG$2:AG114),$AG$2:$AG$1001,0),1)&gt;=100000,INDEX($AN$1005:$BO$1005,1,MATCH(COLUMNS($AN$1006:BG1006),$AN$1006:$BO$1006,0))&gt;=100000), " ",IF(INDEX($AN$2:$BO$1001,MATCH(ROWS($AG$2:AG114),$AG$2:$AG$1001,0),MATCH(COLUMNS($AN$1006:BG1006),$AN$1006:$BO$1006,0)), HYPERLINK("#",""), HYPERLINK(CONCATENATE("#Metadata!", ADDRESS(INDEX($AI$2:$AI$1001,MATCH(ROWS($AG$2:AG114),$AG$2:$AG$1001,0),0), INDEX($AN$1004:$BO$1004,1,MATCH(COLUMNS($AN$1006:BG1006),$AN$1006:$BO$1006,0)))),"Fix")))</f>
        <v>0</v>
      </c>
      <c r="V114" s="4">
        <f>IF(OR(INDEX($AH$2:$AH$1001,MATCH(ROWS($AG$2:AG114),$AG$2:$AG$1001,0),1)&gt;=100000,INDEX($AN$1005:$BO$1005,1,MATCH(COLUMNS($AN$1006:BH1006),$AN$1006:$BO$1006,0))&gt;=100000), " ",IF(INDEX($AN$2:$BO$1001,MATCH(ROWS($AG$2:AG114),$AG$2:$AG$1001,0),MATCH(COLUMNS($AN$1006:BH1006),$AN$1006:$BO$1006,0)), HYPERLINK("#",""), HYPERLINK(CONCATENATE("#Metadata!", ADDRESS(INDEX($AI$2:$AI$1001,MATCH(ROWS($AG$2:AG114),$AG$2:$AG$1001,0),0), INDEX($AN$1004:$BO$1004,1,MATCH(COLUMNS($AN$1006:BH1006),$AN$1006:$BO$1006,0)))),"Fix")))</f>
        <v>0</v>
      </c>
      <c r="W114" s="4">
        <f>IF(OR(INDEX($AH$2:$AH$1001,MATCH(ROWS($AG$2:AG114),$AG$2:$AG$1001,0),1)&gt;=100000,INDEX($AN$1005:$BO$1005,1,MATCH(COLUMNS($AN$1006:BI1006),$AN$1006:$BO$1006,0))&gt;=100000), " ",IF(INDEX($AN$2:$BO$1001,MATCH(ROWS($AG$2:AG114),$AG$2:$AG$1001,0),MATCH(COLUMNS($AN$1006:BI1006),$AN$1006:$BO$1006,0)), HYPERLINK("#",""), HYPERLINK(CONCATENATE("#Metadata!", ADDRESS(INDEX($AI$2:$AI$1001,MATCH(ROWS($AG$2:AG114),$AG$2:$AG$1001,0),0), INDEX($AN$1004:$BO$1004,1,MATCH(COLUMNS($AN$1006:BI1006),$AN$1006:$BO$1006,0)))),"Fix")))</f>
        <v>0</v>
      </c>
      <c r="X114" s="4">
        <f>IF(OR(INDEX($AH$2:$AH$1001,MATCH(ROWS($AG$2:AG114),$AG$2:$AG$1001,0),1)&gt;=100000,INDEX($AN$1005:$BO$1005,1,MATCH(COLUMNS($AN$1006:BJ1006),$AN$1006:$BO$1006,0))&gt;=100000), " ",IF(INDEX($AN$2:$BO$1001,MATCH(ROWS($AG$2:AG114),$AG$2:$AG$1001,0),MATCH(COLUMNS($AN$1006:BJ1006),$AN$1006:$BO$1006,0)), HYPERLINK("#",""), HYPERLINK(CONCATENATE("#Metadata!", ADDRESS(INDEX($AI$2:$AI$1001,MATCH(ROWS($AG$2:AG114),$AG$2:$AG$1001,0),0), INDEX($AN$1004:$BO$1004,1,MATCH(COLUMNS($AN$1006:BJ1006),$AN$1006:$BO$1006,0)))),"Fix")))</f>
        <v>0</v>
      </c>
      <c r="Y114" s="4">
        <f>IF(OR(INDEX($AH$2:$AH$1001,MATCH(ROWS($AG$2:AG114),$AG$2:$AG$1001,0),1)&gt;=100000,INDEX($AN$1005:$BO$1005,1,MATCH(COLUMNS($AN$1006:BK1006),$AN$1006:$BO$1006,0))&gt;=100000), " ",IF(INDEX($AN$2:$BO$1001,MATCH(ROWS($AG$2:AG114),$AG$2:$AG$1001,0),MATCH(COLUMNS($AN$1006:BK1006),$AN$1006:$BO$1006,0)), HYPERLINK("#",""), HYPERLINK(CONCATENATE("#Metadata!", ADDRESS(INDEX($AI$2:$AI$1001,MATCH(ROWS($AG$2:AG114),$AG$2:$AG$1001,0),0), INDEX($AN$1004:$BO$1004,1,MATCH(COLUMNS($AN$1006:BK1006),$AN$1006:$BO$1006,0)))),"Fix")))</f>
        <v>0</v>
      </c>
      <c r="Z114" s="4">
        <f>IF(OR(INDEX($AH$2:$AH$1001,MATCH(ROWS($AG$2:AG114),$AG$2:$AG$1001,0),1)&gt;=100000,INDEX($AN$1005:$BO$1005,1,MATCH(COLUMNS($AN$1006:BL1006),$AN$1006:$BO$1006,0))&gt;=100000), " ",IF(INDEX($AN$2:$BO$1001,MATCH(ROWS($AG$2:AG114),$AG$2:$AG$1001,0),MATCH(COLUMNS($AN$1006:BL1006),$AN$1006:$BO$1006,0)), HYPERLINK("#",""), HYPERLINK(CONCATENATE("#Metadata!", ADDRESS(INDEX($AI$2:$AI$1001,MATCH(ROWS($AG$2:AG114),$AG$2:$AG$1001,0),0), INDEX($AN$1004:$BO$1004,1,MATCH(COLUMNS($AN$1006:BL1006),$AN$1006:$BO$1006,0)))),"Fix")))</f>
        <v>0</v>
      </c>
      <c r="AA114" s="4">
        <f>IF(OR(INDEX($AH$2:$AH$1001,MATCH(ROWS($AG$2:AG114),$AG$2:$AG$1001,0),1)&gt;=100000,INDEX($AN$1005:$BO$1005,1,MATCH(COLUMNS($AN$1006:BM1006),$AN$1006:$BO$1006,0))&gt;=100000), " ",IF(INDEX($AN$2:$BO$1001,MATCH(ROWS($AG$2:AG114),$AG$2:$AG$1001,0),MATCH(COLUMNS($AN$1006:BM1006),$AN$1006:$BO$1006,0)), HYPERLINK("#",""), HYPERLINK(CONCATENATE("#Metadata!", ADDRESS(INDEX($AI$2:$AI$1001,MATCH(ROWS($AG$2:AG114),$AG$2:$AG$1001,0),0), INDEX($AN$1004:$BO$1004,1,MATCH(COLUMNS($AN$1006:BM1006),$AN$1006:$BO$1006,0)))),"Fix")))</f>
        <v>0</v>
      </c>
      <c r="AB114" s="4">
        <f>IF(OR(INDEX($AH$2:$AH$1001,MATCH(ROWS($AG$2:AG114),$AG$2:$AG$1001,0),1)&gt;=100000,INDEX($AN$1005:$BO$1005,1,MATCH(COLUMNS($AN$1006:BN1006),$AN$1006:$BO$1006,0))&gt;=100000), " ",IF(INDEX($AN$2:$BO$1001,MATCH(ROWS($AG$2:AG114),$AG$2:$AG$1001,0),MATCH(COLUMNS($AN$1006:BN1006),$AN$1006:$BO$1006,0)), HYPERLINK("#",""), HYPERLINK(CONCATENATE("#Metadata!", ADDRESS(INDEX($AI$2:$AI$1001,MATCH(ROWS($AG$2:AG114),$AG$2:$AG$1001,0),0), INDEX($AN$1004:$BO$1004,1,MATCH(COLUMNS($AN$1006:BN1006),$AN$1006:$BO$1006,0)))),"Fix")))</f>
        <v>0</v>
      </c>
      <c r="AC114" s="4">
        <f>IF(OR(INDEX($AH$2:$AH$1001,MATCH(ROWS($AG$2:AG114),$AG$2:$AG$1001,0),1)&gt;=100000,INDEX($AN$1005:$BO$1005,1,MATCH(COLUMNS($AN$1006:BO1006),$AN$1006:$BO$1006,0))&gt;=100000), " ",IF(INDEX($AN$2:$BO$1001,MATCH(ROWS($AG$2:AG114),$AG$2:$AG$1001,0),MATCH(COLUMNS($AN$1006:BO1006),$AN$1006:$BO$1006,0)), HYPERLINK("#",""), HYPERLINK(CONCATENATE("#Metadata!", ADDRESS(INDEX($AI$2:$AI$1001,MATCH(ROWS($AG$2:AG114),$AG$2:$AG$1001,0),0), INDEX($AN$1004:$BO$1004,1,MATCH(COLUMNS($AN$1006:BO1006),$AN$1006:$BO$1006,0)))),"Fix")))</f>
        <v>0</v>
      </c>
      <c r="AG114">
        <v>0</v>
      </c>
      <c r="AH114">
        <v>0</v>
      </c>
      <c r="AI114">
        <v>0</v>
      </c>
      <c r="AJ114">
        <f>IF(AK114,TRUE,AND(AN114:BO114))</f>
        <v>0</v>
      </c>
      <c r="AK114">
        <f>COUNTBLANK(Metadata!B114:AC114)=COLUMNS(Metadata!B114:AC114)</f>
        <v>0</v>
      </c>
      <c r="AL114">
        <v>0</v>
      </c>
      <c r="AN114">
        <f>AND(IF(Metadata!B114="",FALSE,TRUE),COUNTIF(Metadata!B:B, Metadata!B114) = 1,NOT(ISERROR(SUMPRODUCT(SEARCH(MID(Metadata!B114,ROW(INDIRECT("1:"&amp;LEN(Metadata!B114))), 1),"0123456789abcdefghijklmnopqrstuvwxyzABCDEFGHIJKLMNOPQRSTUVWXYZ.")))))</f>
        <v>0</v>
      </c>
      <c r="AO114">
        <f>IF(Metadata!C114="",FALSE,TRUE)</f>
        <v>0</v>
      </c>
      <c r="AP114">
        <f>IF(Metadata!D114="",FALSE,TRUE)</f>
        <v>0</v>
      </c>
      <c r="AQ114">
        <f>OR(AND(IF(Metadata!E114="",FALSE,TRUE),OR(exact(Metadata!E114,"not collected"),exact(Metadata!E114,"not provided"),exact(Metadata!E114,"restricted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R114">
        <f>IF(Metadata!F114="",FALSE,TRUE)</f>
        <v>0</v>
      </c>
      <c r="AS114">
        <f>OR(AND(IF(Metadata!G114="",FALSE,TRUE),OR(exact(Metadata!G114,"not collected"),exact(Metadata!G114,"not provided"))),AND(IF(Metadata!G114="",FALSE,TRUE),OR(exact(Metadata!G114,"TRUE"),exact(Metadata!G114,"FALSE"))))</f>
        <v>0</v>
      </c>
      <c r="AT114">
        <f>OR(AND(IF(Metadata!H114="",FALSE,TRUE),OR(exact(Metadata!H114,"not collected"),exact(Metadata!H114,"not provided"),exact(Metadata!H114,"restricted access"))),AND(IF(Metadata!H114="",FALSE,ISNUMBER(VALUE(Metadata!H114))),Metadata!H114&gt;=-413.0))</f>
        <v>0</v>
      </c>
      <c r="AU114">
        <f>AND(IF(Metadata!I114="",FALSE,TRUE),exact(Metadata!I114,"meters"))</f>
        <v>0</v>
      </c>
      <c r="AV114">
        <f>AND(IF(Metadata!J114="",FALSE,TRUE),OR(exact(Metadata!J114,"Host-associated"),exact(Metadata!J114,"Free-living")))</f>
        <v>0</v>
      </c>
      <c r="AW114">
        <f>AND(IF(Metadata!K114="",FALSE,TRUE),OR(exact(Metadata!K114,"Animal"),exact(Metadata!K114,"Fungus"),exact(Metadata!K114,"Plant"),exact(Metadata!K114,"Saline"),exact(Metadata!K114,"Non-saline")))</f>
        <v>0</v>
      </c>
      <c r="AX114">
        <f>AND(IF(Metadata!L114="",FALSE,TRUE),OR(exact(Metadata!L114,"Plant secretion"),exact(Metadata!L114,"Plant rhizosphere"),exact(Metadata!L114,"Plant surface"),exact(Metadata!L114,"Plant corpus"),exact(Metadata!L114,"Fungus surface"),exact(Metadata!L114,"Fungus corpus"),exact(Metadata!L114,"Animal surface"),exact(Metadata!L114,"Animal proximal gut"),exact(Metadata!L114,"Animal corpus"),exact(Metadata!L114,"Animal distal gut"),exact(Metadata!L114,"Animal secretion"),exact(Metadata!L114,"Sub-surface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Y114">
        <f>IF(Metadata!M114="",FALSE,TRUE)</f>
        <v>0</v>
      </c>
      <c r="AZ114">
        <f>IF(Metadata!N114="",FALSE,TRUE)</f>
        <v>0</v>
      </c>
      <c r="BA114">
        <f>IF(Metadata!O114="",FALSE,TRUE)</f>
        <v>0</v>
      </c>
      <c r="BB114">
        <f>OR(AND(IF(Metadata!P114="",FALSE,TRUE),OR(exact(Metadata!P114,"not collected"),exact(Metadata!P114,"not provided"),exact(Metadata!P114,"restricted access"))),AND(IF(Metadata!P114="",FALSE,TRUE),OR(exact(Metadata!P114,"air"),exact(Metadata!P114,"built environment"),exact(Metadata!P114,"host-associated"),exact(Metadata!P114,"human-associated"),exact(Metadata!P114,"human-skin"),exact(Metadata!P114,"human-oral"),exact(Metadata!P114,"human-gut"),exact(Metadata!P114,"human-vaginal"),exact(Metadata!P114,"microbial mat/biofilm"),exact(Metadata!P114,"misc environment"),exact(Metadata!P114,"plant-associated"),exact(Metadata!P114,"sediment"),exact(Metadata!P114,"soil"),exact(Metadata!P114,"wastewater/sludge"),exact(Metadata!P114,"water"))))</f>
        <v>0</v>
      </c>
      <c r="BC114">
        <f>IF(Metadata!Q114="",FALSE,TRUE)</f>
        <v>0</v>
      </c>
      <c r="BD114">
        <f>IF(Metadata!R114="",FALSE,TRUE)</f>
        <v>0</v>
      </c>
      <c r="BE114">
        <f>OR(AND(IF(Metadata!S114="",FALSE,TRUE),OR(exact(Metadata!S114,"not collected"),exact(Metadata!S114,"not provided"),exact(Metadata!S114,"restricted access"))),AND(IF(Metadata!S114="",FALSE,ISNUMBER(VALUE(Metadata!S114))),Metadata!S114&gt;=-90.00,Metadata!S114&lt;=90.00))</f>
        <v>0</v>
      </c>
      <c r="BF114">
        <f>AND(IF(Metadata!T114="",FALSE,TRUE),exact(Metadata!T114,"Decimal degrees"))</f>
        <v>0</v>
      </c>
      <c r="BG114">
        <f>OR(AND(IF(Metadata!U114="",FALSE,TRUE),OR(exact(Metadata!U114,"not collected"),exact(Metadata!U114,"not provided"),exact(Metadata!U114,"restricted access"))),AND(IF(Metadata!U114="",FALSE,ISNUMBER(VALUE(Metadata!U114))),Metadata!U114&gt;=-180.00,Metadata!U114&lt;=180.00))</f>
        <v>0</v>
      </c>
      <c r="BH114">
        <f>AND(IF(Metadata!V114="",FALSE,TRUE),exact(Metadata!V114,"Decimal degrees"))</f>
        <v>0</v>
      </c>
      <c r="BI114">
        <f>IF(Metadata!W114="",FALSE,TRUE)</f>
        <v>0</v>
      </c>
      <c r="BJ114">
        <f>OR(AND(IF(Metadata!X114="",FALSE,TRUE),OR(exact(Metadata!X114,"not collected"),exact(Metadata!X114,"not provided"),exact(Metadata!X114,"restricted access"))),AND(IF(Metadata!X114="",FALSE,TRUE),OR(exact(Metadata!X114,"TRUE"),exact(Metadata!X114,"FALSE"))))</f>
        <v>0</v>
      </c>
      <c r="BK114">
        <f>AND(IF(Metadata!Y114="",FALSE,TRUE),exact(Metadata!Y114,"other"))</f>
        <v>0</v>
      </c>
      <c r="BL114">
        <f>IF(Metadata!Z114="",FALSE,TRUE)</f>
        <v>0</v>
      </c>
      <c r="BM114">
        <f>OR(AND(IF(Metadata!AA114="",FALSE,TRUE),OR(exact(Metadata!AA114,"not collected"),exact(Metadata!AA114,"not provided"))),AND(IF(Metadata!AA114="",FALSE,IF(ISERROR(INT(Metadata!AA114)),FALSE,INT(Metadata!AA114)=Metadata!AA114)),Metadata!AA114&gt;0))</f>
        <v>0</v>
      </c>
      <c r="BN114">
        <f>AND(IF(Metadata!AB114="",FALSE,TRUE),exact(Metadata!AB114,"Not applicable"))</f>
        <v>0</v>
      </c>
      <c r="BO114">
        <f>IF(Metadata!AC114="",FALSE,TRUE)</f>
        <v>0</v>
      </c>
    </row>
    <row r="115" spans="1:67">
      <c r="A115" s="5">
        <f>IF(B115=" "," ",HYPERLINK(CONCATENATE("#metadata!",ADDRESS(INDEX($AI$2:$AI$1001,MATCH(ROWS($AG$2:AG115),$AG$2:$AG$1001,0),0),1)),INDEX($AL$2:$AL$1001,MATCH(ROWS($AG$2:AG115),$AG$2:$AG$1001,0),0)))</f>
        <v>0</v>
      </c>
      <c r="B115" s="4">
        <f>IF(OR(INDEX($AH$2:$AH$1001,MATCH(ROWS($AG$2:AG115),$AG$2:$AG$1001,0),1)&gt;=100000,INDEX($AN$1005:$BO$1005,1,MATCH(COLUMNS($AN$1006:AN1006),$AN$1006:$BO$1006,0))&gt;=100000), " ",IF(INDEX($AN$2:$BO$1001,MATCH(ROWS($AG$2:AG115),$AG$2:$AG$1001,0),MATCH(COLUMNS($AN$1006:AN1006),$AN$1006:$BO$1006,0)), HYPERLINK("#",""), HYPERLINK(CONCATENATE("#Metadata!", ADDRESS(INDEX($AI$2:$AI$1001,MATCH(ROWS($AG$2:AG115),$AG$2:$AG$1001,0),0), INDEX($AN$1004:$BO$1004,1,MATCH(COLUMNS($AN$1006:AN1006),$AN$1006:$BO$1006,0)))),"Fix")))</f>
        <v>0</v>
      </c>
      <c r="C115" s="4">
        <f>IF(OR(INDEX($AH$2:$AH$1001,MATCH(ROWS($AG$2:AG115),$AG$2:$AG$1001,0),1)&gt;=100000,INDEX($AN$1005:$BO$1005,1,MATCH(COLUMNS($AN$1006:AO1006),$AN$1006:$BO$1006,0))&gt;=100000), " ",IF(INDEX($AN$2:$BO$1001,MATCH(ROWS($AG$2:AG115),$AG$2:$AG$1001,0),MATCH(COLUMNS($AN$1006:AO1006),$AN$1006:$BO$1006,0)), HYPERLINK("#",""), HYPERLINK(CONCATENATE("#Metadata!", ADDRESS(INDEX($AI$2:$AI$1001,MATCH(ROWS($AG$2:AG115),$AG$2:$AG$1001,0),0), INDEX($AN$1004:$BO$1004,1,MATCH(COLUMNS($AN$1006:AO1006),$AN$1006:$BO$1006,0)))),"Fix")))</f>
        <v>0</v>
      </c>
      <c r="D115" s="4">
        <f>IF(OR(INDEX($AH$2:$AH$1001,MATCH(ROWS($AG$2:AG115),$AG$2:$AG$1001,0),1)&gt;=100000,INDEX($AN$1005:$BO$1005,1,MATCH(COLUMNS($AN$1006:AP1006),$AN$1006:$BO$1006,0))&gt;=100000), " ",IF(INDEX($AN$2:$BO$1001,MATCH(ROWS($AG$2:AG115),$AG$2:$AG$1001,0),MATCH(COLUMNS($AN$1006:AP1006),$AN$1006:$BO$1006,0)), HYPERLINK("#",""), HYPERLINK(CONCATENATE("#Metadata!", ADDRESS(INDEX($AI$2:$AI$1001,MATCH(ROWS($AG$2:AG115),$AG$2:$AG$1001,0),0), INDEX($AN$1004:$BO$1004,1,MATCH(COLUMNS($AN$1006:AP1006),$AN$1006:$BO$1006,0)))),"Fix")))</f>
        <v>0</v>
      </c>
      <c r="E115" s="4">
        <f>IF(OR(INDEX($AH$2:$AH$1001,MATCH(ROWS($AG$2:AG115),$AG$2:$AG$1001,0),1)&gt;=100000,INDEX($AN$1005:$BO$1005,1,MATCH(COLUMNS($AN$1006:AQ1006),$AN$1006:$BO$1006,0))&gt;=100000), " ",IF(INDEX($AN$2:$BO$1001,MATCH(ROWS($AG$2:AG115),$AG$2:$AG$1001,0),MATCH(COLUMNS($AN$1006:AQ1006),$AN$1006:$BO$1006,0)), HYPERLINK("#",""), HYPERLINK(CONCATENATE("#Metadata!", ADDRESS(INDEX($AI$2:$AI$1001,MATCH(ROWS($AG$2:AG115),$AG$2:$AG$1001,0),0), INDEX($AN$1004:$BO$1004,1,MATCH(COLUMNS($AN$1006:AQ1006),$AN$1006:$BO$1006,0)))),"Fix")))</f>
        <v>0</v>
      </c>
      <c r="F115" s="4">
        <f>IF(OR(INDEX($AH$2:$AH$1001,MATCH(ROWS($AG$2:AG115),$AG$2:$AG$1001,0),1)&gt;=100000,INDEX($AN$1005:$BO$1005,1,MATCH(COLUMNS($AN$1006:AR1006),$AN$1006:$BO$1006,0))&gt;=100000), " ",IF(INDEX($AN$2:$BO$1001,MATCH(ROWS($AG$2:AG115),$AG$2:$AG$1001,0),MATCH(COLUMNS($AN$1006:AR1006),$AN$1006:$BO$1006,0)), HYPERLINK("#",""), HYPERLINK(CONCATENATE("#Metadata!", ADDRESS(INDEX($AI$2:$AI$1001,MATCH(ROWS($AG$2:AG115),$AG$2:$AG$1001,0),0), INDEX($AN$1004:$BO$1004,1,MATCH(COLUMNS($AN$1006:AR1006),$AN$1006:$BO$1006,0)))),"Fix")))</f>
        <v>0</v>
      </c>
      <c r="G115" s="4">
        <f>IF(OR(INDEX($AH$2:$AH$1001,MATCH(ROWS($AG$2:AG115),$AG$2:$AG$1001,0),1)&gt;=100000,INDEX($AN$1005:$BO$1005,1,MATCH(COLUMNS($AN$1006:AS1006),$AN$1006:$BO$1006,0))&gt;=100000), " ",IF(INDEX($AN$2:$BO$1001,MATCH(ROWS($AG$2:AG115),$AG$2:$AG$1001,0),MATCH(COLUMNS($AN$1006:AS1006),$AN$1006:$BO$1006,0)), HYPERLINK("#",""), HYPERLINK(CONCATENATE("#Metadata!", ADDRESS(INDEX($AI$2:$AI$1001,MATCH(ROWS($AG$2:AG115),$AG$2:$AG$1001,0),0), INDEX($AN$1004:$BO$1004,1,MATCH(COLUMNS($AN$1006:AS1006),$AN$1006:$BO$1006,0)))),"Fix")))</f>
        <v>0</v>
      </c>
      <c r="H115" s="4">
        <f>IF(OR(INDEX($AH$2:$AH$1001,MATCH(ROWS($AG$2:AG115),$AG$2:$AG$1001,0),1)&gt;=100000,INDEX($AN$1005:$BO$1005,1,MATCH(COLUMNS($AN$1006:AT1006),$AN$1006:$BO$1006,0))&gt;=100000), " ",IF(INDEX($AN$2:$BO$1001,MATCH(ROWS($AG$2:AG115),$AG$2:$AG$1001,0),MATCH(COLUMNS($AN$1006:AT1006),$AN$1006:$BO$1006,0)), HYPERLINK("#",""), HYPERLINK(CONCATENATE("#Metadata!", ADDRESS(INDEX($AI$2:$AI$1001,MATCH(ROWS($AG$2:AG115),$AG$2:$AG$1001,0),0), INDEX($AN$1004:$BO$1004,1,MATCH(COLUMNS($AN$1006:AT1006),$AN$1006:$BO$1006,0)))),"Fix")))</f>
        <v>0</v>
      </c>
      <c r="I115" s="4">
        <f>IF(OR(INDEX($AH$2:$AH$1001,MATCH(ROWS($AG$2:AG115),$AG$2:$AG$1001,0),1)&gt;=100000,INDEX($AN$1005:$BO$1005,1,MATCH(COLUMNS($AN$1006:AU1006),$AN$1006:$BO$1006,0))&gt;=100000), " ",IF(INDEX($AN$2:$BO$1001,MATCH(ROWS($AG$2:AG115),$AG$2:$AG$1001,0),MATCH(COLUMNS($AN$1006:AU1006),$AN$1006:$BO$1006,0)), HYPERLINK("#",""), HYPERLINK(CONCATENATE("#Metadata!", ADDRESS(INDEX($AI$2:$AI$1001,MATCH(ROWS($AG$2:AG115),$AG$2:$AG$1001,0),0), INDEX($AN$1004:$BO$1004,1,MATCH(COLUMNS($AN$1006:AU1006),$AN$1006:$BO$1006,0)))),"Fix")))</f>
        <v>0</v>
      </c>
      <c r="J115" s="4">
        <f>IF(OR(INDEX($AH$2:$AH$1001,MATCH(ROWS($AG$2:AG115),$AG$2:$AG$1001,0),1)&gt;=100000,INDEX($AN$1005:$BO$1005,1,MATCH(COLUMNS($AN$1006:AV1006),$AN$1006:$BO$1006,0))&gt;=100000), " ",IF(INDEX($AN$2:$BO$1001,MATCH(ROWS($AG$2:AG115),$AG$2:$AG$1001,0),MATCH(COLUMNS($AN$1006:AV1006),$AN$1006:$BO$1006,0)), HYPERLINK("#",""), HYPERLINK(CONCATENATE("#Metadata!", ADDRESS(INDEX($AI$2:$AI$1001,MATCH(ROWS($AG$2:AG115),$AG$2:$AG$1001,0),0), INDEX($AN$1004:$BO$1004,1,MATCH(COLUMNS($AN$1006:AV1006),$AN$1006:$BO$1006,0)))),"Fix")))</f>
        <v>0</v>
      </c>
      <c r="K115" s="4">
        <f>IF(OR(INDEX($AH$2:$AH$1001,MATCH(ROWS($AG$2:AG115),$AG$2:$AG$1001,0),1)&gt;=100000,INDEX($AN$1005:$BO$1005,1,MATCH(COLUMNS($AN$1006:AW1006),$AN$1006:$BO$1006,0))&gt;=100000), " ",IF(INDEX($AN$2:$BO$1001,MATCH(ROWS($AG$2:AG115),$AG$2:$AG$1001,0),MATCH(COLUMNS($AN$1006:AW1006),$AN$1006:$BO$1006,0)), HYPERLINK("#",""), HYPERLINK(CONCATENATE("#Metadata!", ADDRESS(INDEX($AI$2:$AI$1001,MATCH(ROWS($AG$2:AG115),$AG$2:$AG$1001,0),0), INDEX($AN$1004:$BO$1004,1,MATCH(COLUMNS($AN$1006:AW1006),$AN$1006:$BO$1006,0)))),"Fix")))</f>
        <v>0</v>
      </c>
      <c r="L115" s="4">
        <f>IF(OR(INDEX($AH$2:$AH$1001,MATCH(ROWS($AG$2:AG115),$AG$2:$AG$1001,0),1)&gt;=100000,INDEX($AN$1005:$BO$1005,1,MATCH(COLUMNS($AN$1006:AX1006),$AN$1006:$BO$1006,0))&gt;=100000), " ",IF(INDEX($AN$2:$BO$1001,MATCH(ROWS($AG$2:AG115),$AG$2:$AG$1001,0),MATCH(COLUMNS($AN$1006:AX1006),$AN$1006:$BO$1006,0)), HYPERLINK("#",""), HYPERLINK(CONCATENATE("#Metadata!", ADDRESS(INDEX($AI$2:$AI$1001,MATCH(ROWS($AG$2:AG115),$AG$2:$AG$1001,0),0), INDEX($AN$1004:$BO$1004,1,MATCH(COLUMNS($AN$1006:AX1006),$AN$1006:$BO$1006,0)))),"Fix")))</f>
        <v>0</v>
      </c>
      <c r="M115" s="4">
        <f>IF(OR(INDEX($AH$2:$AH$1001,MATCH(ROWS($AG$2:AG115),$AG$2:$AG$1001,0),1)&gt;=100000,INDEX($AN$1005:$BO$1005,1,MATCH(COLUMNS($AN$1006:AY1006),$AN$1006:$BO$1006,0))&gt;=100000), " ",IF(INDEX($AN$2:$BO$1001,MATCH(ROWS($AG$2:AG115),$AG$2:$AG$1001,0),MATCH(COLUMNS($AN$1006:AY1006),$AN$1006:$BO$1006,0)), HYPERLINK("#",""), HYPERLINK(CONCATENATE("#Metadata!", ADDRESS(INDEX($AI$2:$AI$1001,MATCH(ROWS($AG$2:AG115),$AG$2:$AG$1001,0),0), INDEX($AN$1004:$BO$1004,1,MATCH(COLUMNS($AN$1006:AY1006),$AN$1006:$BO$1006,0)))),"Fix")))</f>
        <v>0</v>
      </c>
      <c r="N115" s="4">
        <f>IF(OR(INDEX($AH$2:$AH$1001,MATCH(ROWS($AG$2:AG115),$AG$2:$AG$1001,0),1)&gt;=100000,INDEX($AN$1005:$BO$1005,1,MATCH(COLUMNS($AN$1006:AZ1006),$AN$1006:$BO$1006,0))&gt;=100000), " ",IF(INDEX($AN$2:$BO$1001,MATCH(ROWS($AG$2:AG115),$AG$2:$AG$1001,0),MATCH(COLUMNS($AN$1006:AZ1006),$AN$1006:$BO$1006,0)), HYPERLINK("#",""), HYPERLINK(CONCATENATE("#Metadata!", ADDRESS(INDEX($AI$2:$AI$1001,MATCH(ROWS($AG$2:AG115),$AG$2:$AG$1001,0),0), INDEX($AN$1004:$BO$1004,1,MATCH(COLUMNS($AN$1006:AZ1006),$AN$1006:$BO$1006,0)))),"Fix")))</f>
        <v>0</v>
      </c>
      <c r="O115" s="4">
        <f>IF(OR(INDEX($AH$2:$AH$1001,MATCH(ROWS($AG$2:AG115),$AG$2:$AG$1001,0),1)&gt;=100000,INDEX($AN$1005:$BO$1005,1,MATCH(COLUMNS($AN$1006:BA1006),$AN$1006:$BO$1006,0))&gt;=100000), " ",IF(INDEX($AN$2:$BO$1001,MATCH(ROWS($AG$2:AG115),$AG$2:$AG$1001,0),MATCH(COLUMNS($AN$1006:BA1006),$AN$1006:$BO$1006,0)), HYPERLINK("#",""), HYPERLINK(CONCATENATE("#Metadata!", ADDRESS(INDEX($AI$2:$AI$1001,MATCH(ROWS($AG$2:AG115),$AG$2:$AG$1001,0),0), INDEX($AN$1004:$BO$1004,1,MATCH(COLUMNS($AN$1006:BA1006),$AN$1006:$BO$1006,0)))),"Fix")))</f>
        <v>0</v>
      </c>
      <c r="P115" s="4">
        <f>IF(OR(INDEX($AH$2:$AH$1001,MATCH(ROWS($AG$2:AG115),$AG$2:$AG$1001,0),1)&gt;=100000,INDEX($AN$1005:$BO$1005,1,MATCH(COLUMNS($AN$1006:BB1006),$AN$1006:$BO$1006,0))&gt;=100000), " ",IF(INDEX($AN$2:$BO$1001,MATCH(ROWS($AG$2:AG115),$AG$2:$AG$1001,0),MATCH(COLUMNS($AN$1006:BB1006),$AN$1006:$BO$1006,0)), HYPERLINK("#",""), HYPERLINK(CONCATENATE("#Metadata!", ADDRESS(INDEX($AI$2:$AI$1001,MATCH(ROWS($AG$2:AG115),$AG$2:$AG$1001,0),0), INDEX($AN$1004:$BO$1004,1,MATCH(COLUMNS($AN$1006:BB1006),$AN$1006:$BO$1006,0)))),"Fix")))</f>
        <v>0</v>
      </c>
      <c r="Q115" s="4">
        <f>IF(OR(INDEX($AH$2:$AH$1001,MATCH(ROWS($AG$2:AG115),$AG$2:$AG$1001,0),1)&gt;=100000,INDEX($AN$1005:$BO$1005,1,MATCH(COLUMNS($AN$1006:BC1006),$AN$1006:$BO$1006,0))&gt;=100000), " ",IF(INDEX($AN$2:$BO$1001,MATCH(ROWS($AG$2:AG115),$AG$2:$AG$1001,0),MATCH(COLUMNS($AN$1006:BC1006),$AN$1006:$BO$1006,0)), HYPERLINK("#",""), HYPERLINK(CONCATENATE("#Metadata!", ADDRESS(INDEX($AI$2:$AI$1001,MATCH(ROWS($AG$2:AG115),$AG$2:$AG$1001,0),0), INDEX($AN$1004:$BO$1004,1,MATCH(COLUMNS($AN$1006:BC1006),$AN$1006:$BO$1006,0)))),"Fix")))</f>
        <v>0</v>
      </c>
      <c r="R115" s="4">
        <f>IF(OR(INDEX($AH$2:$AH$1001,MATCH(ROWS($AG$2:AG115),$AG$2:$AG$1001,0),1)&gt;=100000,INDEX($AN$1005:$BO$1005,1,MATCH(COLUMNS($AN$1006:BD1006),$AN$1006:$BO$1006,0))&gt;=100000), " ",IF(INDEX($AN$2:$BO$1001,MATCH(ROWS($AG$2:AG115),$AG$2:$AG$1001,0),MATCH(COLUMNS($AN$1006:BD1006),$AN$1006:$BO$1006,0)), HYPERLINK("#",""), HYPERLINK(CONCATENATE("#Metadata!", ADDRESS(INDEX($AI$2:$AI$1001,MATCH(ROWS($AG$2:AG115),$AG$2:$AG$1001,0),0), INDEX($AN$1004:$BO$1004,1,MATCH(COLUMNS($AN$1006:BD1006),$AN$1006:$BO$1006,0)))),"Fix")))</f>
        <v>0</v>
      </c>
      <c r="S115" s="4">
        <f>IF(OR(INDEX($AH$2:$AH$1001,MATCH(ROWS($AG$2:AG115),$AG$2:$AG$1001,0),1)&gt;=100000,INDEX($AN$1005:$BO$1005,1,MATCH(COLUMNS($AN$1006:BE1006),$AN$1006:$BO$1006,0))&gt;=100000), " ",IF(INDEX($AN$2:$BO$1001,MATCH(ROWS($AG$2:AG115),$AG$2:$AG$1001,0),MATCH(COLUMNS($AN$1006:BE1006),$AN$1006:$BO$1006,0)), HYPERLINK("#",""), HYPERLINK(CONCATENATE("#Metadata!", ADDRESS(INDEX($AI$2:$AI$1001,MATCH(ROWS($AG$2:AG115),$AG$2:$AG$1001,0),0), INDEX($AN$1004:$BO$1004,1,MATCH(COLUMNS($AN$1006:BE1006),$AN$1006:$BO$1006,0)))),"Fix")))</f>
        <v>0</v>
      </c>
      <c r="T115" s="4">
        <f>IF(OR(INDEX($AH$2:$AH$1001,MATCH(ROWS($AG$2:AG115),$AG$2:$AG$1001,0),1)&gt;=100000,INDEX($AN$1005:$BO$1005,1,MATCH(COLUMNS($AN$1006:BF1006),$AN$1006:$BO$1006,0))&gt;=100000), " ",IF(INDEX($AN$2:$BO$1001,MATCH(ROWS($AG$2:AG115),$AG$2:$AG$1001,0),MATCH(COLUMNS($AN$1006:BF1006),$AN$1006:$BO$1006,0)), HYPERLINK("#",""), HYPERLINK(CONCATENATE("#Metadata!", ADDRESS(INDEX($AI$2:$AI$1001,MATCH(ROWS($AG$2:AG115),$AG$2:$AG$1001,0),0), INDEX($AN$1004:$BO$1004,1,MATCH(COLUMNS($AN$1006:BF1006),$AN$1006:$BO$1006,0)))),"Fix")))</f>
        <v>0</v>
      </c>
      <c r="U115" s="4">
        <f>IF(OR(INDEX($AH$2:$AH$1001,MATCH(ROWS($AG$2:AG115),$AG$2:$AG$1001,0),1)&gt;=100000,INDEX($AN$1005:$BO$1005,1,MATCH(COLUMNS($AN$1006:BG1006),$AN$1006:$BO$1006,0))&gt;=100000), " ",IF(INDEX($AN$2:$BO$1001,MATCH(ROWS($AG$2:AG115),$AG$2:$AG$1001,0),MATCH(COLUMNS($AN$1006:BG1006),$AN$1006:$BO$1006,0)), HYPERLINK("#",""), HYPERLINK(CONCATENATE("#Metadata!", ADDRESS(INDEX($AI$2:$AI$1001,MATCH(ROWS($AG$2:AG115),$AG$2:$AG$1001,0),0), INDEX($AN$1004:$BO$1004,1,MATCH(COLUMNS($AN$1006:BG1006),$AN$1006:$BO$1006,0)))),"Fix")))</f>
        <v>0</v>
      </c>
      <c r="V115" s="4">
        <f>IF(OR(INDEX($AH$2:$AH$1001,MATCH(ROWS($AG$2:AG115),$AG$2:$AG$1001,0),1)&gt;=100000,INDEX($AN$1005:$BO$1005,1,MATCH(COLUMNS($AN$1006:BH1006),$AN$1006:$BO$1006,0))&gt;=100000), " ",IF(INDEX($AN$2:$BO$1001,MATCH(ROWS($AG$2:AG115),$AG$2:$AG$1001,0),MATCH(COLUMNS($AN$1006:BH1006),$AN$1006:$BO$1006,0)), HYPERLINK("#",""), HYPERLINK(CONCATENATE("#Metadata!", ADDRESS(INDEX($AI$2:$AI$1001,MATCH(ROWS($AG$2:AG115),$AG$2:$AG$1001,0),0), INDEX($AN$1004:$BO$1004,1,MATCH(COLUMNS($AN$1006:BH1006),$AN$1006:$BO$1006,0)))),"Fix")))</f>
        <v>0</v>
      </c>
      <c r="W115" s="4">
        <f>IF(OR(INDEX($AH$2:$AH$1001,MATCH(ROWS($AG$2:AG115),$AG$2:$AG$1001,0),1)&gt;=100000,INDEX($AN$1005:$BO$1005,1,MATCH(COLUMNS($AN$1006:BI1006),$AN$1006:$BO$1006,0))&gt;=100000), " ",IF(INDEX($AN$2:$BO$1001,MATCH(ROWS($AG$2:AG115),$AG$2:$AG$1001,0),MATCH(COLUMNS($AN$1006:BI1006),$AN$1006:$BO$1006,0)), HYPERLINK("#",""), HYPERLINK(CONCATENATE("#Metadata!", ADDRESS(INDEX($AI$2:$AI$1001,MATCH(ROWS($AG$2:AG115),$AG$2:$AG$1001,0),0), INDEX($AN$1004:$BO$1004,1,MATCH(COLUMNS($AN$1006:BI1006),$AN$1006:$BO$1006,0)))),"Fix")))</f>
        <v>0</v>
      </c>
      <c r="X115" s="4">
        <f>IF(OR(INDEX($AH$2:$AH$1001,MATCH(ROWS($AG$2:AG115),$AG$2:$AG$1001,0),1)&gt;=100000,INDEX($AN$1005:$BO$1005,1,MATCH(COLUMNS($AN$1006:BJ1006),$AN$1006:$BO$1006,0))&gt;=100000), " ",IF(INDEX($AN$2:$BO$1001,MATCH(ROWS($AG$2:AG115),$AG$2:$AG$1001,0),MATCH(COLUMNS($AN$1006:BJ1006),$AN$1006:$BO$1006,0)), HYPERLINK("#",""), HYPERLINK(CONCATENATE("#Metadata!", ADDRESS(INDEX($AI$2:$AI$1001,MATCH(ROWS($AG$2:AG115),$AG$2:$AG$1001,0),0), INDEX($AN$1004:$BO$1004,1,MATCH(COLUMNS($AN$1006:BJ1006),$AN$1006:$BO$1006,0)))),"Fix")))</f>
        <v>0</v>
      </c>
      <c r="Y115" s="4">
        <f>IF(OR(INDEX($AH$2:$AH$1001,MATCH(ROWS($AG$2:AG115),$AG$2:$AG$1001,0),1)&gt;=100000,INDEX($AN$1005:$BO$1005,1,MATCH(COLUMNS($AN$1006:BK1006),$AN$1006:$BO$1006,0))&gt;=100000), " ",IF(INDEX($AN$2:$BO$1001,MATCH(ROWS($AG$2:AG115),$AG$2:$AG$1001,0),MATCH(COLUMNS($AN$1006:BK1006),$AN$1006:$BO$1006,0)), HYPERLINK("#",""), HYPERLINK(CONCATENATE("#Metadata!", ADDRESS(INDEX($AI$2:$AI$1001,MATCH(ROWS($AG$2:AG115),$AG$2:$AG$1001,0),0), INDEX($AN$1004:$BO$1004,1,MATCH(COLUMNS($AN$1006:BK1006),$AN$1006:$BO$1006,0)))),"Fix")))</f>
        <v>0</v>
      </c>
      <c r="Z115" s="4">
        <f>IF(OR(INDEX($AH$2:$AH$1001,MATCH(ROWS($AG$2:AG115),$AG$2:$AG$1001,0),1)&gt;=100000,INDEX($AN$1005:$BO$1005,1,MATCH(COLUMNS($AN$1006:BL1006),$AN$1006:$BO$1006,0))&gt;=100000), " ",IF(INDEX($AN$2:$BO$1001,MATCH(ROWS($AG$2:AG115),$AG$2:$AG$1001,0),MATCH(COLUMNS($AN$1006:BL1006),$AN$1006:$BO$1006,0)), HYPERLINK("#",""), HYPERLINK(CONCATENATE("#Metadata!", ADDRESS(INDEX($AI$2:$AI$1001,MATCH(ROWS($AG$2:AG115),$AG$2:$AG$1001,0),0), INDEX($AN$1004:$BO$1004,1,MATCH(COLUMNS($AN$1006:BL1006),$AN$1006:$BO$1006,0)))),"Fix")))</f>
        <v>0</v>
      </c>
      <c r="AA115" s="4">
        <f>IF(OR(INDEX($AH$2:$AH$1001,MATCH(ROWS($AG$2:AG115),$AG$2:$AG$1001,0),1)&gt;=100000,INDEX($AN$1005:$BO$1005,1,MATCH(COLUMNS($AN$1006:BM1006),$AN$1006:$BO$1006,0))&gt;=100000), " ",IF(INDEX($AN$2:$BO$1001,MATCH(ROWS($AG$2:AG115),$AG$2:$AG$1001,0),MATCH(COLUMNS($AN$1006:BM1006),$AN$1006:$BO$1006,0)), HYPERLINK("#",""), HYPERLINK(CONCATENATE("#Metadata!", ADDRESS(INDEX($AI$2:$AI$1001,MATCH(ROWS($AG$2:AG115),$AG$2:$AG$1001,0),0), INDEX($AN$1004:$BO$1004,1,MATCH(COLUMNS($AN$1006:BM1006),$AN$1006:$BO$1006,0)))),"Fix")))</f>
        <v>0</v>
      </c>
      <c r="AB115" s="4">
        <f>IF(OR(INDEX($AH$2:$AH$1001,MATCH(ROWS($AG$2:AG115),$AG$2:$AG$1001,0),1)&gt;=100000,INDEX($AN$1005:$BO$1005,1,MATCH(COLUMNS($AN$1006:BN1006),$AN$1006:$BO$1006,0))&gt;=100000), " ",IF(INDEX($AN$2:$BO$1001,MATCH(ROWS($AG$2:AG115),$AG$2:$AG$1001,0),MATCH(COLUMNS($AN$1006:BN1006),$AN$1006:$BO$1006,0)), HYPERLINK("#",""), HYPERLINK(CONCATENATE("#Metadata!", ADDRESS(INDEX($AI$2:$AI$1001,MATCH(ROWS($AG$2:AG115),$AG$2:$AG$1001,0),0), INDEX($AN$1004:$BO$1004,1,MATCH(COLUMNS($AN$1006:BN1006),$AN$1006:$BO$1006,0)))),"Fix")))</f>
        <v>0</v>
      </c>
      <c r="AC115" s="4">
        <f>IF(OR(INDEX($AH$2:$AH$1001,MATCH(ROWS($AG$2:AG115),$AG$2:$AG$1001,0),1)&gt;=100000,INDEX($AN$1005:$BO$1005,1,MATCH(COLUMNS($AN$1006:BO1006),$AN$1006:$BO$1006,0))&gt;=100000), " ",IF(INDEX($AN$2:$BO$1001,MATCH(ROWS($AG$2:AG115),$AG$2:$AG$1001,0),MATCH(COLUMNS($AN$1006:BO1006),$AN$1006:$BO$1006,0)), HYPERLINK("#",""), HYPERLINK(CONCATENATE("#Metadata!", ADDRESS(INDEX($AI$2:$AI$1001,MATCH(ROWS($AG$2:AG115),$AG$2:$AG$1001,0),0), INDEX($AN$1004:$BO$1004,1,MATCH(COLUMNS($AN$1006:BO1006),$AN$1006:$BO$1006,0)))),"Fix")))</f>
        <v>0</v>
      </c>
      <c r="AG115">
        <v>0</v>
      </c>
      <c r="AH115">
        <v>0</v>
      </c>
      <c r="AI115">
        <v>0</v>
      </c>
      <c r="AJ115">
        <f>IF(AK115,TRUE,AND(AN115:BO115))</f>
        <v>0</v>
      </c>
      <c r="AK115">
        <f>COUNTBLANK(Metadata!B115:AC115)=COLUMNS(Metadata!B115:AC115)</f>
        <v>0</v>
      </c>
      <c r="AL115">
        <v>0</v>
      </c>
      <c r="AN115">
        <f>AND(IF(Metadata!B115="",FALSE,TRUE),COUNTIF(Metadata!B:B, Metadata!B115) = 1,NOT(ISERROR(SUMPRODUCT(SEARCH(MID(Metadata!B115,ROW(INDIRECT("1:"&amp;LEN(Metadata!B115))), 1),"0123456789abcdefghijklmnopqrstuvwxyzABCDEFGHIJKLMNOPQRSTUVWXYZ.")))))</f>
        <v>0</v>
      </c>
      <c r="AO115">
        <f>IF(Metadata!C115="",FALSE,TRUE)</f>
        <v>0</v>
      </c>
      <c r="AP115">
        <f>IF(Metadata!D115="",FALSE,TRUE)</f>
        <v>0</v>
      </c>
      <c r="AQ115">
        <f>OR(AND(IF(Metadata!E115="",FALSE,TRUE),OR(exact(Metadata!E115,"not collected"),exact(Metadata!E115,"not provided"),exact(Metadata!E115,"restricted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R115">
        <f>IF(Metadata!F115="",FALSE,TRUE)</f>
        <v>0</v>
      </c>
      <c r="AS115">
        <f>OR(AND(IF(Metadata!G115="",FALSE,TRUE),OR(exact(Metadata!G115,"not collected"),exact(Metadata!G115,"not provided"))),AND(IF(Metadata!G115="",FALSE,TRUE),OR(exact(Metadata!G115,"TRUE"),exact(Metadata!G115,"FALSE"))))</f>
        <v>0</v>
      </c>
      <c r="AT115">
        <f>OR(AND(IF(Metadata!H115="",FALSE,TRUE),OR(exact(Metadata!H115,"not collected"),exact(Metadata!H115,"not provided"),exact(Metadata!H115,"restricted access"))),AND(IF(Metadata!H115="",FALSE,ISNUMBER(VALUE(Metadata!H115))),Metadata!H115&gt;=-413.0))</f>
        <v>0</v>
      </c>
      <c r="AU115">
        <f>AND(IF(Metadata!I115="",FALSE,TRUE),exact(Metadata!I115,"meters"))</f>
        <v>0</v>
      </c>
      <c r="AV115">
        <f>AND(IF(Metadata!J115="",FALSE,TRUE),OR(exact(Metadata!J115,"Host-associated"),exact(Metadata!J115,"Free-living")))</f>
        <v>0</v>
      </c>
      <c r="AW115">
        <f>AND(IF(Metadata!K115="",FALSE,TRUE),OR(exact(Metadata!K115,"Animal"),exact(Metadata!K115,"Fungus"),exact(Metadata!K115,"Plant"),exact(Metadata!K115,"Saline"),exact(Metadata!K115,"Non-saline")))</f>
        <v>0</v>
      </c>
      <c r="AX115">
        <f>AND(IF(Metadata!L115="",FALSE,TRUE),OR(exact(Metadata!L115,"Plant secretion"),exact(Metadata!L115,"Plant rhizosphere"),exact(Metadata!L115,"Plant surface"),exact(Metadata!L115,"Plant corpus"),exact(Metadata!L115,"Fungus surface"),exact(Metadata!L115,"Fungus corpus"),exact(Metadata!L115,"Animal surface"),exact(Metadata!L115,"Animal proximal gut"),exact(Metadata!L115,"Animal corpus"),exact(Metadata!L115,"Animal distal gut"),exact(Metadata!L115,"Animal secretion"),exact(Metadata!L115,"Sub-surface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Y115">
        <f>IF(Metadata!M115="",FALSE,TRUE)</f>
        <v>0</v>
      </c>
      <c r="AZ115">
        <f>IF(Metadata!N115="",FALSE,TRUE)</f>
        <v>0</v>
      </c>
      <c r="BA115">
        <f>IF(Metadata!O115="",FALSE,TRUE)</f>
        <v>0</v>
      </c>
      <c r="BB115">
        <f>OR(AND(IF(Metadata!P115="",FALSE,TRUE),OR(exact(Metadata!P115,"not collected"),exact(Metadata!P115,"not provided"),exact(Metadata!P115,"restricted access"))),AND(IF(Metadata!P115="",FALSE,TRUE),OR(exact(Metadata!P115,"air"),exact(Metadata!P115,"built environment"),exact(Metadata!P115,"host-associated"),exact(Metadata!P115,"human-associated"),exact(Metadata!P115,"human-skin"),exact(Metadata!P115,"human-oral"),exact(Metadata!P115,"human-gut"),exact(Metadata!P115,"human-vaginal"),exact(Metadata!P115,"microbial mat/biofilm"),exact(Metadata!P115,"misc environment"),exact(Metadata!P115,"plant-associated"),exact(Metadata!P115,"sediment"),exact(Metadata!P115,"soil"),exact(Metadata!P115,"wastewater/sludge"),exact(Metadata!P115,"water"))))</f>
        <v>0</v>
      </c>
      <c r="BC115">
        <f>IF(Metadata!Q115="",FALSE,TRUE)</f>
        <v>0</v>
      </c>
      <c r="BD115">
        <f>IF(Metadata!R115="",FALSE,TRUE)</f>
        <v>0</v>
      </c>
      <c r="BE115">
        <f>OR(AND(IF(Metadata!S115="",FALSE,TRUE),OR(exact(Metadata!S115,"not collected"),exact(Metadata!S115,"not provided"),exact(Metadata!S115,"restricted access"))),AND(IF(Metadata!S115="",FALSE,ISNUMBER(VALUE(Metadata!S115))),Metadata!S115&gt;=-90.00,Metadata!S115&lt;=90.00))</f>
        <v>0</v>
      </c>
      <c r="BF115">
        <f>AND(IF(Metadata!T115="",FALSE,TRUE),exact(Metadata!T115,"Decimal degrees"))</f>
        <v>0</v>
      </c>
      <c r="BG115">
        <f>OR(AND(IF(Metadata!U115="",FALSE,TRUE),OR(exact(Metadata!U115,"not collected"),exact(Metadata!U115,"not provided"),exact(Metadata!U115,"restricted access"))),AND(IF(Metadata!U115="",FALSE,ISNUMBER(VALUE(Metadata!U115))),Metadata!U115&gt;=-180.00,Metadata!U115&lt;=180.00))</f>
        <v>0</v>
      </c>
      <c r="BH115">
        <f>AND(IF(Metadata!V115="",FALSE,TRUE),exact(Metadata!V115,"Decimal degrees"))</f>
        <v>0</v>
      </c>
      <c r="BI115">
        <f>IF(Metadata!W115="",FALSE,TRUE)</f>
        <v>0</v>
      </c>
      <c r="BJ115">
        <f>OR(AND(IF(Metadata!X115="",FALSE,TRUE),OR(exact(Metadata!X115,"not collected"),exact(Metadata!X115,"not provided"),exact(Metadata!X115,"restricted access"))),AND(IF(Metadata!X115="",FALSE,TRUE),OR(exact(Metadata!X115,"TRUE"),exact(Metadata!X115,"FALSE"))))</f>
        <v>0</v>
      </c>
      <c r="BK115">
        <f>AND(IF(Metadata!Y115="",FALSE,TRUE),exact(Metadata!Y115,"other"))</f>
        <v>0</v>
      </c>
      <c r="BL115">
        <f>IF(Metadata!Z115="",FALSE,TRUE)</f>
        <v>0</v>
      </c>
      <c r="BM115">
        <f>OR(AND(IF(Metadata!AA115="",FALSE,TRUE),OR(exact(Metadata!AA115,"not collected"),exact(Metadata!AA115,"not provided"))),AND(IF(Metadata!AA115="",FALSE,IF(ISERROR(INT(Metadata!AA115)),FALSE,INT(Metadata!AA115)=Metadata!AA115)),Metadata!AA115&gt;0))</f>
        <v>0</v>
      </c>
      <c r="BN115">
        <f>AND(IF(Metadata!AB115="",FALSE,TRUE),exact(Metadata!AB115,"Not applicable"))</f>
        <v>0</v>
      </c>
      <c r="BO115">
        <f>IF(Metadata!AC115="",FALSE,TRUE)</f>
        <v>0</v>
      </c>
    </row>
    <row r="116" spans="1:67">
      <c r="A116" s="5">
        <f>IF(B116=" "," ",HYPERLINK(CONCATENATE("#metadata!",ADDRESS(INDEX($AI$2:$AI$1001,MATCH(ROWS($AG$2:AG116),$AG$2:$AG$1001,0),0),1)),INDEX($AL$2:$AL$1001,MATCH(ROWS($AG$2:AG116),$AG$2:$AG$1001,0),0)))</f>
        <v>0</v>
      </c>
      <c r="B116" s="4">
        <f>IF(OR(INDEX($AH$2:$AH$1001,MATCH(ROWS($AG$2:AG116),$AG$2:$AG$1001,0),1)&gt;=100000,INDEX($AN$1005:$BO$1005,1,MATCH(COLUMNS($AN$1006:AN1006),$AN$1006:$BO$1006,0))&gt;=100000), " ",IF(INDEX($AN$2:$BO$1001,MATCH(ROWS($AG$2:AG116),$AG$2:$AG$1001,0),MATCH(COLUMNS($AN$1006:AN1006),$AN$1006:$BO$1006,0)), HYPERLINK("#",""), HYPERLINK(CONCATENATE("#Metadata!", ADDRESS(INDEX($AI$2:$AI$1001,MATCH(ROWS($AG$2:AG116),$AG$2:$AG$1001,0),0), INDEX($AN$1004:$BO$1004,1,MATCH(COLUMNS($AN$1006:AN1006),$AN$1006:$BO$1006,0)))),"Fix")))</f>
        <v>0</v>
      </c>
      <c r="C116" s="4">
        <f>IF(OR(INDEX($AH$2:$AH$1001,MATCH(ROWS($AG$2:AG116),$AG$2:$AG$1001,0),1)&gt;=100000,INDEX($AN$1005:$BO$1005,1,MATCH(COLUMNS($AN$1006:AO1006),$AN$1006:$BO$1006,0))&gt;=100000), " ",IF(INDEX($AN$2:$BO$1001,MATCH(ROWS($AG$2:AG116),$AG$2:$AG$1001,0),MATCH(COLUMNS($AN$1006:AO1006),$AN$1006:$BO$1006,0)), HYPERLINK("#",""), HYPERLINK(CONCATENATE("#Metadata!", ADDRESS(INDEX($AI$2:$AI$1001,MATCH(ROWS($AG$2:AG116),$AG$2:$AG$1001,0),0), INDEX($AN$1004:$BO$1004,1,MATCH(COLUMNS($AN$1006:AO1006),$AN$1006:$BO$1006,0)))),"Fix")))</f>
        <v>0</v>
      </c>
      <c r="D116" s="4">
        <f>IF(OR(INDEX($AH$2:$AH$1001,MATCH(ROWS($AG$2:AG116),$AG$2:$AG$1001,0),1)&gt;=100000,INDEX($AN$1005:$BO$1005,1,MATCH(COLUMNS($AN$1006:AP1006),$AN$1006:$BO$1006,0))&gt;=100000), " ",IF(INDEX($AN$2:$BO$1001,MATCH(ROWS($AG$2:AG116),$AG$2:$AG$1001,0),MATCH(COLUMNS($AN$1006:AP1006),$AN$1006:$BO$1006,0)), HYPERLINK("#",""), HYPERLINK(CONCATENATE("#Metadata!", ADDRESS(INDEX($AI$2:$AI$1001,MATCH(ROWS($AG$2:AG116),$AG$2:$AG$1001,0),0), INDEX($AN$1004:$BO$1004,1,MATCH(COLUMNS($AN$1006:AP1006),$AN$1006:$BO$1006,0)))),"Fix")))</f>
        <v>0</v>
      </c>
      <c r="E116" s="4">
        <f>IF(OR(INDEX($AH$2:$AH$1001,MATCH(ROWS($AG$2:AG116),$AG$2:$AG$1001,0),1)&gt;=100000,INDEX($AN$1005:$BO$1005,1,MATCH(COLUMNS($AN$1006:AQ1006),$AN$1006:$BO$1006,0))&gt;=100000), " ",IF(INDEX($AN$2:$BO$1001,MATCH(ROWS($AG$2:AG116),$AG$2:$AG$1001,0),MATCH(COLUMNS($AN$1006:AQ1006),$AN$1006:$BO$1006,0)), HYPERLINK("#",""), HYPERLINK(CONCATENATE("#Metadata!", ADDRESS(INDEX($AI$2:$AI$1001,MATCH(ROWS($AG$2:AG116),$AG$2:$AG$1001,0),0), INDEX($AN$1004:$BO$1004,1,MATCH(COLUMNS($AN$1006:AQ1006),$AN$1006:$BO$1006,0)))),"Fix")))</f>
        <v>0</v>
      </c>
      <c r="F116" s="4">
        <f>IF(OR(INDEX($AH$2:$AH$1001,MATCH(ROWS($AG$2:AG116),$AG$2:$AG$1001,0),1)&gt;=100000,INDEX($AN$1005:$BO$1005,1,MATCH(COLUMNS($AN$1006:AR1006),$AN$1006:$BO$1006,0))&gt;=100000), " ",IF(INDEX($AN$2:$BO$1001,MATCH(ROWS($AG$2:AG116),$AG$2:$AG$1001,0),MATCH(COLUMNS($AN$1006:AR1006),$AN$1006:$BO$1006,0)), HYPERLINK("#",""), HYPERLINK(CONCATENATE("#Metadata!", ADDRESS(INDEX($AI$2:$AI$1001,MATCH(ROWS($AG$2:AG116),$AG$2:$AG$1001,0),0), INDEX($AN$1004:$BO$1004,1,MATCH(COLUMNS($AN$1006:AR1006),$AN$1006:$BO$1006,0)))),"Fix")))</f>
        <v>0</v>
      </c>
      <c r="G116" s="4">
        <f>IF(OR(INDEX($AH$2:$AH$1001,MATCH(ROWS($AG$2:AG116),$AG$2:$AG$1001,0),1)&gt;=100000,INDEX($AN$1005:$BO$1005,1,MATCH(COLUMNS($AN$1006:AS1006),$AN$1006:$BO$1006,0))&gt;=100000), " ",IF(INDEX($AN$2:$BO$1001,MATCH(ROWS($AG$2:AG116),$AG$2:$AG$1001,0),MATCH(COLUMNS($AN$1006:AS1006),$AN$1006:$BO$1006,0)), HYPERLINK("#",""), HYPERLINK(CONCATENATE("#Metadata!", ADDRESS(INDEX($AI$2:$AI$1001,MATCH(ROWS($AG$2:AG116),$AG$2:$AG$1001,0),0), INDEX($AN$1004:$BO$1004,1,MATCH(COLUMNS($AN$1006:AS1006),$AN$1006:$BO$1006,0)))),"Fix")))</f>
        <v>0</v>
      </c>
      <c r="H116" s="4">
        <f>IF(OR(INDEX($AH$2:$AH$1001,MATCH(ROWS($AG$2:AG116),$AG$2:$AG$1001,0),1)&gt;=100000,INDEX($AN$1005:$BO$1005,1,MATCH(COLUMNS($AN$1006:AT1006),$AN$1006:$BO$1006,0))&gt;=100000), " ",IF(INDEX($AN$2:$BO$1001,MATCH(ROWS($AG$2:AG116),$AG$2:$AG$1001,0),MATCH(COLUMNS($AN$1006:AT1006),$AN$1006:$BO$1006,0)), HYPERLINK("#",""), HYPERLINK(CONCATENATE("#Metadata!", ADDRESS(INDEX($AI$2:$AI$1001,MATCH(ROWS($AG$2:AG116),$AG$2:$AG$1001,0),0), INDEX($AN$1004:$BO$1004,1,MATCH(COLUMNS($AN$1006:AT1006),$AN$1006:$BO$1006,0)))),"Fix")))</f>
        <v>0</v>
      </c>
      <c r="I116" s="4">
        <f>IF(OR(INDEX($AH$2:$AH$1001,MATCH(ROWS($AG$2:AG116),$AG$2:$AG$1001,0),1)&gt;=100000,INDEX($AN$1005:$BO$1005,1,MATCH(COLUMNS($AN$1006:AU1006),$AN$1006:$BO$1006,0))&gt;=100000), " ",IF(INDEX($AN$2:$BO$1001,MATCH(ROWS($AG$2:AG116),$AG$2:$AG$1001,0),MATCH(COLUMNS($AN$1006:AU1006),$AN$1006:$BO$1006,0)), HYPERLINK("#",""), HYPERLINK(CONCATENATE("#Metadata!", ADDRESS(INDEX($AI$2:$AI$1001,MATCH(ROWS($AG$2:AG116),$AG$2:$AG$1001,0),0), INDEX($AN$1004:$BO$1004,1,MATCH(COLUMNS($AN$1006:AU1006),$AN$1006:$BO$1006,0)))),"Fix")))</f>
        <v>0</v>
      </c>
      <c r="J116" s="4">
        <f>IF(OR(INDEX($AH$2:$AH$1001,MATCH(ROWS($AG$2:AG116),$AG$2:$AG$1001,0),1)&gt;=100000,INDEX($AN$1005:$BO$1005,1,MATCH(COLUMNS($AN$1006:AV1006),$AN$1006:$BO$1006,0))&gt;=100000), " ",IF(INDEX($AN$2:$BO$1001,MATCH(ROWS($AG$2:AG116),$AG$2:$AG$1001,0),MATCH(COLUMNS($AN$1006:AV1006),$AN$1006:$BO$1006,0)), HYPERLINK("#",""), HYPERLINK(CONCATENATE("#Metadata!", ADDRESS(INDEX($AI$2:$AI$1001,MATCH(ROWS($AG$2:AG116),$AG$2:$AG$1001,0),0), INDEX($AN$1004:$BO$1004,1,MATCH(COLUMNS($AN$1006:AV1006),$AN$1006:$BO$1006,0)))),"Fix")))</f>
        <v>0</v>
      </c>
      <c r="K116" s="4">
        <f>IF(OR(INDEX($AH$2:$AH$1001,MATCH(ROWS($AG$2:AG116),$AG$2:$AG$1001,0),1)&gt;=100000,INDEX($AN$1005:$BO$1005,1,MATCH(COLUMNS($AN$1006:AW1006),$AN$1006:$BO$1006,0))&gt;=100000), " ",IF(INDEX($AN$2:$BO$1001,MATCH(ROWS($AG$2:AG116),$AG$2:$AG$1001,0),MATCH(COLUMNS($AN$1006:AW1006),$AN$1006:$BO$1006,0)), HYPERLINK("#",""), HYPERLINK(CONCATENATE("#Metadata!", ADDRESS(INDEX($AI$2:$AI$1001,MATCH(ROWS($AG$2:AG116),$AG$2:$AG$1001,0),0), INDEX($AN$1004:$BO$1004,1,MATCH(COLUMNS($AN$1006:AW1006),$AN$1006:$BO$1006,0)))),"Fix")))</f>
        <v>0</v>
      </c>
      <c r="L116" s="4">
        <f>IF(OR(INDEX($AH$2:$AH$1001,MATCH(ROWS($AG$2:AG116),$AG$2:$AG$1001,0),1)&gt;=100000,INDEX($AN$1005:$BO$1005,1,MATCH(COLUMNS($AN$1006:AX1006),$AN$1006:$BO$1006,0))&gt;=100000), " ",IF(INDEX($AN$2:$BO$1001,MATCH(ROWS($AG$2:AG116),$AG$2:$AG$1001,0),MATCH(COLUMNS($AN$1006:AX1006),$AN$1006:$BO$1006,0)), HYPERLINK("#",""), HYPERLINK(CONCATENATE("#Metadata!", ADDRESS(INDEX($AI$2:$AI$1001,MATCH(ROWS($AG$2:AG116),$AG$2:$AG$1001,0),0), INDEX($AN$1004:$BO$1004,1,MATCH(COLUMNS($AN$1006:AX1006),$AN$1006:$BO$1006,0)))),"Fix")))</f>
        <v>0</v>
      </c>
      <c r="M116" s="4">
        <f>IF(OR(INDEX($AH$2:$AH$1001,MATCH(ROWS($AG$2:AG116),$AG$2:$AG$1001,0),1)&gt;=100000,INDEX($AN$1005:$BO$1005,1,MATCH(COLUMNS($AN$1006:AY1006),$AN$1006:$BO$1006,0))&gt;=100000), " ",IF(INDEX($AN$2:$BO$1001,MATCH(ROWS($AG$2:AG116),$AG$2:$AG$1001,0),MATCH(COLUMNS($AN$1006:AY1006),$AN$1006:$BO$1006,0)), HYPERLINK("#",""), HYPERLINK(CONCATENATE("#Metadata!", ADDRESS(INDEX($AI$2:$AI$1001,MATCH(ROWS($AG$2:AG116),$AG$2:$AG$1001,0),0), INDEX($AN$1004:$BO$1004,1,MATCH(COLUMNS($AN$1006:AY1006),$AN$1006:$BO$1006,0)))),"Fix")))</f>
        <v>0</v>
      </c>
      <c r="N116" s="4">
        <f>IF(OR(INDEX($AH$2:$AH$1001,MATCH(ROWS($AG$2:AG116),$AG$2:$AG$1001,0),1)&gt;=100000,INDEX($AN$1005:$BO$1005,1,MATCH(COLUMNS($AN$1006:AZ1006),$AN$1006:$BO$1006,0))&gt;=100000), " ",IF(INDEX($AN$2:$BO$1001,MATCH(ROWS($AG$2:AG116),$AG$2:$AG$1001,0),MATCH(COLUMNS($AN$1006:AZ1006),$AN$1006:$BO$1006,0)), HYPERLINK("#",""), HYPERLINK(CONCATENATE("#Metadata!", ADDRESS(INDEX($AI$2:$AI$1001,MATCH(ROWS($AG$2:AG116),$AG$2:$AG$1001,0),0), INDEX($AN$1004:$BO$1004,1,MATCH(COLUMNS($AN$1006:AZ1006),$AN$1006:$BO$1006,0)))),"Fix")))</f>
        <v>0</v>
      </c>
      <c r="O116" s="4">
        <f>IF(OR(INDEX($AH$2:$AH$1001,MATCH(ROWS($AG$2:AG116),$AG$2:$AG$1001,0),1)&gt;=100000,INDEX($AN$1005:$BO$1005,1,MATCH(COLUMNS($AN$1006:BA1006),$AN$1006:$BO$1006,0))&gt;=100000), " ",IF(INDEX($AN$2:$BO$1001,MATCH(ROWS($AG$2:AG116),$AG$2:$AG$1001,0),MATCH(COLUMNS($AN$1006:BA1006),$AN$1006:$BO$1006,0)), HYPERLINK("#",""), HYPERLINK(CONCATENATE("#Metadata!", ADDRESS(INDEX($AI$2:$AI$1001,MATCH(ROWS($AG$2:AG116),$AG$2:$AG$1001,0),0), INDEX($AN$1004:$BO$1004,1,MATCH(COLUMNS($AN$1006:BA1006),$AN$1006:$BO$1006,0)))),"Fix")))</f>
        <v>0</v>
      </c>
      <c r="P116" s="4">
        <f>IF(OR(INDEX($AH$2:$AH$1001,MATCH(ROWS($AG$2:AG116),$AG$2:$AG$1001,0),1)&gt;=100000,INDEX($AN$1005:$BO$1005,1,MATCH(COLUMNS($AN$1006:BB1006),$AN$1006:$BO$1006,0))&gt;=100000), " ",IF(INDEX($AN$2:$BO$1001,MATCH(ROWS($AG$2:AG116),$AG$2:$AG$1001,0),MATCH(COLUMNS($AN$1006:BB1006),$AN$1006:$BO$1006,0)), HYPERLINK("#",""), HYPERLINK(CONCATENATE("#Metadata!", ADDRESS(INDEX($AI$2:$AI$1001,MATCH(ROWS($AG$2:AG116),$AG$2:$AG$1001,0),0), INDEX($AN$1004:$BO$1004,1,MATCH(COLUMNS($AN$1006:BB1006),$AN$1006:$BO$1006,0)))),"Fix")))</f>
        <v>0</v>
      </c>
      <c r="Q116" s="4">
        <f>IF(OR(INDEX($AH$2:$AH$1001,MATCH(ROWS($AG$2:AG116),$AG$2:$AG$1001,0),1)&gt;=100000,INDEX($AN$1005:$BO$1005,1,MATCH(COLUMNS($AN$1006:BC1006),$AN$1006:$BO$1006,0))&gt;=100000), " ",IF(INDEX($AN$2:$BO$1001,MATCH(ROWS($AG$2:AG116),$AG$2:$AG$1001,0),MATCH(COLUMNS($AN$1006:BC1006),$AN$1006:$BO$1006,0)), HYPERLINK("#",""), HYPERLINK(CONCATENATE("#Metadata!", ADDRESS(INDEX($AI$2:$AI$1001,MATCH(ROWS($AG$2:AG116),$AG$2:$AG$1001,0),0), INDEX($AN$1004:$BO$1004,1,MATCH(COLUMNS($AN$1006:BC1006),$AN$1006:$BO$1006,0)))),"Fix")))</f>
        <v>0</v>
      </c>
      <c r="R116" s="4">
        <f>IF(OR(INDEX($AH$2:$AH$1001,MATCH(ROWS($AG$2:AG116),$AG$2:$AG$1001,0),1)&gt;=100000,INDEX($AN$1005:$BO$1005,1,MATCH(COLUMNS($AN$1006:BD1006),$AN$1006:$BO$1006,0))&gt;=100000), " ",IF(INDEX($AN$2:$BO$1001,MATCH(ROWS($AG$2:AG116),$AG$2:$AG$1001,0),MATCH(COLUMNS($AN$1006:BD1006),$AN$1006:$BO$1006,0)), HYPERLINK("#",""), HYPERLINK(CONCATENATE("#Metadata!", ADDRESS(INDEX($AI$2:$AI$1001,MATCH(ROWS($AG$2:AG116),$AG$2:$AG$1001,0),0), INDEX($AN$1004:$BO$1004,1,MATCH(COLUMNS($AN$1006:BD1006),$AN$1006:$BO$1006,0)))),"Fix")))</f>
        <v>0</v>
      </c>
      <c r="S116" s="4">
        <f>IF(OR(INDEX($AH$2:$AH$1001,MATCH(ROWS($AG$2:AG116),$AG$2:$AG$1001,0),1)&gt;=100000,INDEX($AN$1005:$BO$1005,1,MATCH(COLUMNS($AN$1006:BE1006),$AN$1006:$BO$1006,0))&gt;=100000), " ",IF(INDEX($AN$2:$BO$1001,MATCH(ROWS($AG$2:AG116),$AG$2:$AG$1001,0),MATCH(COLUMNS($AN$1006:BE1006),$AN$1006:$BO$1006,0)), HYPERLINK("#",""), HYPERLINK(CONCATENATE("#Metadata!", ADDRESS(INDEX($AI$2:$AI$1001,MATCH(ROWS($AG$2:AG116),$AG$2:$AG$1001,0),0), INDEX($AN$1004:$BO$1004,1,MATCH(COLUMNS($AN$1006:BE1006),$AN$1006:$BO$1006,0)))),"Fix")))</f>
        <v>0</v>
      </c>
      <c r="T116" s="4">
        <f>IF(OR(INDEX($AH$2:$AH$1001,MATCH(ROWS($AG$2:AG116),$AG$2:$AG$1001,0),1)&gt;=100000,INDEX($AN$1005:$BO$1005,1,MATCH(COLUMNS($AN$1006:BF1006),$AN$1006:$BO$1006,0))&gt;=100000), " ",IF(INDEX($AN$2:$BO$1001,MATCH(ROWS($AG$2:AG116),$AG$2:$AG$1001,0),MATCH(COLUMNS($AN$1006:BF1006),$AN$1006:$BO$1006,0)), HYPERLINK("#",""), HYPERLINK(CONCATENATE("#Metadata!", ADDRESS(INDEX($AI$2:$AI$1001,MATCH(ROWS($AG$2:AG116),$AG$2:$AG$1001,0),0), INDEX($AN$1004:$BO$1004,1,MATCH(COLUMNS($AN$1006:BF1006),$AN$1006:$BO$1006,0)))),"Fix")))</f>
        <v>0</v>
      </c>
      <c r="U116" s="4">
        <f>IF(OR(INDEX($AH$2:$AH$1001,MATCH(ROWS($AG$2:AG116),$AG$2:$AG$1001,0),1)&gt;=100000,INDEX($AN$1005:$BO$1005,1,MATCH(COLUMNS($AN$1006:BG1006),$AN$1006:$BO$1006,0))&gt;=100000), " ",IF(INDEX($AN$2:$BO$1001,MATCH(ROWS($AG$2:AG116),$AG$2:$AG$1001,0),MATCH(COLUMNS($AN$1006:BG1006),$AN$1006:$BO$1006,0)), HYPERLINK("#",""), HYPERLINK(CONCATENATE("#Metadata!", ADDRESS(INDEX($AI$2:$AI$1001,MATCH(ROWS($AG$2:AG116),$AG$2:$AG$1001,0),0), INDEX($AN$1004:$BO$1004,1,MATCH(COLUMNS($AN$1006:BG1006),$AN$1006:$BO$1006,0)))),"Fix")))</f>
        <v>0</v>
      </c>
      <c r="V116" s="4">
        <f>IF(OR(INDEX($AH$2:$AH$1001,MATCH(ROWS($AG$2:AG116),$AG$2:$AG$1001,0),1)&gt;=100000,INDEX($AN$1005:$BO$1005,1,MATCH(COLUMNS($AN$1006:BH1006),$AN$1006:$BO$1006,0))&gt;=100000), " ",IF(INDEX($AN$2:$BO$1001,MATCH(ROWS($AG$2:AG116),$AG$2:$AG$1001,0),MATCH(COLUMNS($AN$1006:BH1006),$AN$1006:$BO$1006,0)), HYPERLINK("#",""), HYPERLINK(CONCATENATE("#Metadata!", ADDRESS(INDEX($AI$2:$AI$1001,MATCH(ROWS($AG$2:AG116),$AG$2:$AG$1001,0),0), INDEX($AN$1004:$BO$1004,1,MATCH(COLUMNS($AN$1006:BH1006),$AN$1006:$BO$1006,0)))),"Fix")))</f>
        <v>0</v>
      </c>
      <c r="W116" s="4">
        <f>IF(OR(INDEX($AH$2:$AH$1001,MATCH(ROWS($AG$2:AG116),$AG$2:$AG$1001,0),1)&gt;=100000,INDEX($AN$1005:$BO$1005,1,MATCH(COLUMNS($AN$1006:BI1006),$AN$1006:$BO$1006,0))&gt;=100000), " ",IF(INDEX($AN$2:$BO$1001,MATCH(ROWS($AG$2:AG116),$AG$2:$AG$1001,0),MATCH(COLUMNS($AN$1006:BI1006),$AN$1006:$BO$1006,0)), HYPERLINK("#",""), HYPERLINK(CONCATENATE("#Metadata!", ADDRESS(INDEX($AI$2:$AI$1001,MATCH(ROWS($AG$2:AG116),$AG$2:$AG$1001,0),0), INDEX($AN$1004:$BO$1004,1,MATCH(COLUMNS($AN$1006:BI1006),$AN$1006:$BO$1006,0)))),"Fix")))</f>
        <v>0</v>
      </c>
      <c r="X116" s="4">
        <f>IF(OR(INDEX($AH$2:$AH$1001,MATCH(ROWS($AG$2:AG116),$AG$2:$AG$1001,0),1)&gt;=100000,INDEX($AN$1005:$BO$1005,1,MATCH(COLUMNS($AN$1006:BJ1006),$AN$1006:$BO$1006,0))&gt;=100000), " ",IF(INDEX($AN$2:$BO$1001,MATCH(ROWS($AG$2:AG116),$AG$2:$AG$1001,0),MATCH(COLUMNS($AN$1006:BJ1006),$AN$1006:$BO$1006,0)), HYPERLINK("#",""), HYPERLINK(CONCATENATE("#Metadata!", ADDRESS(INDEX($AI$2:$AI$1001,MATCH(ROWS($AG$2:AG116),$AG$2:$AG$1001,0),0), INDEX($AN$1004:$BO$1004,1,MATCH(COLUMNS($AN$1006:BJ1006),$AN$1006:$BO$1006,0)))),"Fix")))</f>
        <v>0</v>
      </c>
      <c r="Y116" s="4">
        <f>IF(OR(INDEX($AH$2:$AH$1001,MATCH(ROWS($AG$2:AG116),$AG$2:$AG$1001,0),1)&gt;=100000,INDEX($AN$1005:$BO$1005,1,MATCH(COLUMNS($AN$1006:BK1006),$AN$1006:$BO$1006,0))&gt;=100000), " ",IF(INDEX($AN$2:$BO$1001,MATCH(ROWS($AG$2:AG116),$AG$2:$AG$1001,0),MATCH(COLUMNS($AN$1006:BK1006),$AN$1006:$BO$1006,0)), HYPERLINK("#",""), HYPERLINK(CONCATENATE("#Metadata!", ADDRESS(INDEX($AI$2:$AI$1001,MATCH(ROWS($AG$2:AG116),$AG$2:$AG$1001,0),0), INDEX($AN$1004:$BO$1004,1,MATCH(COLUMNS($AN$1006:BK1006),$AN$1006:$BO$1006,0)))),"Fix")))</f>
        <v>0</v>
      </c>
      <c r="Z116" s="4">
        <f>IF(OR(INDEX($AH$2:$AH$1001,MATCH(ROWS($AG$2:AG116),$AG$2:$AG$1001,0),1)&gt;=100000,INDEX($AN$1005:$BO$1005,1,MATCH(COLUMNS($AN$1006:BL1006),$AN$1006:$BO$1006,0))&gt;=100000), " ",IF(INDEX($AN$2:$BO$1001,MATCH(ROWS($AG$2:AG116),$AG$2:$AG$1001,0),MATCH(COLUMNS($AN$1006:BL1006),$AN$1006:$BO$1006,0)), HYPERLINK("#",""), HYPERLINK(CONCATENATE("#Metadata!", ADDRESS(INDEX($AI$2:$AI$1001,MATCH(ROWS($AG$2:AG116),$AG$2:$AG$1001,0),0), INDEX($AN$1004:$BO$1004,1,MATCH(COLUMNS($AN$1006:BL1006),$AN$1006:$BO$1006,0)))),"Fix")))</f>
        <v>0</v>
      </c>
      <c r="AA116" s="4">
        <f>IF(OR(INDEX($AH$2:$AH$1001,MATCH(ROWS($AG$2:AG116),$AG$2:$AG$1001,0),1)&gt;=100000,INDEX($AN$1005:$BO$1005,1,MATCH(COLUMNS($AN$1006:BM1006),$AN$1006:$BO$1006,0))&gt;=100000), " ",IF(INDEX($AN$2:$BO$1001,MATCH(ROWS($AG$2:AG116),$AG$2:$AG$1001,0),MATCH(COLUMNS($AN$1006:BM1006),$AN$1006:$BO$1006,0)), HYPERLINK("#",""), HYPERLINK(CONCATENATE("#Metadata!", ADDRESS(INDEX($AI$2:$AI$1001,MATCH(ROWS($AG$2:AG116),$AG$2:$AG$1001,0),0), INDEX($AN$1004:$BO$1004,1,MATCH(COLUMNS($AN$1006:BM1006),$AN$1006:$BO$1006,0)))),"Fix")))</f>
        <v>0</v>
      </c>
      <c r="AB116" s="4">
        <f>IF(OR(INDEX($AH$2:$AH$1001,MATCH(ROWS($AG$2:AG116),$AG$2:$AG$1001,0),1)&gt;=100000,INDEX($AN$1005:$BO$1005,1,MATCH(COLUMNS($AN$1006:BN1006),$AN$1006:$BO$1006,0))&gt;=100000), " ",IF(INDEX($AN$2:$BO$1001,MATCH(ROWS($AG$2:AG116),$AG$2:$AG$1001,0),MATCH(COLUMNS($AN$1006:BN1006),$AN$1006:$BO$1006,0)), HYPERLINK("#",""), HYPERLINK(CONCATENATE("#Metadata!", ADDRESS(INDEX($AI$2:$AI$1001,MATCH(ROWS($AG$2:AG116),$AG$2:$AG$1001,0),0), INDEX($AN$1004:$BO$1004,1,MATCH(COLUMNS($AN$1006:BN1006),$AN$1006:$BO$1006,0)))),"Fix")))</f>
        <v>0</v>
      </c>
      <c r="AC116" s="4">
        <f>IF(OR(INDEX($AH$2:$AH$1001,MATCH(ROWS($AG$2:AG116),$AG$2:$AG$1001,0),1)&gt;=100000,INDEX($AN$1005:$BO$1005,1,MATCH(COLUMNS($AN$1006:BO1006),$AN$1006:$BO$1006,0))&gt;=100000), " ",IF(INDEX($AN$2:$BO$1001,MATCH(ROWS($AG$2:AG116),$AG$2:$AG$1001,0),MATCH(COLUMNS($AN$1006:BO1006),$AN$1006:$BO$1006,0)), HYPERLINK("#",""), HYPERLINK(CONCATENATE("#Metadata!", ADDRESS(INDEX($AI$2:$AI$1001,MATCH(ROWS($AG$2:AG116),$AG$2:$AG$1001,0),0), INDEX($AN$1004:$BO$1004,1,MATCH(COLUMNS($AN$1006:BO1006),$AN$1006:$BO$1006,0)))),"Fix")))</f>
        <v>0</v>
      </c>
      <c r="AG116">
        <v>0</v>
      </c>
      <c r="AH116">
        <v>0</v>
      </c>
      <c r="AI116">
        <v>0</v>
      </c>
      <c r="AJ116">
        <f>IF(AK116,TRUE,AND(AN116:BO116))</f>
        <v>0</v>
      </c>
      <c r="AK116">
        <f>COUNTBLANK(Metadata!B116:AC116)=COLUMNS(Metadata!B116:AC116)</f>
        <v>0</v>
      </c>
      <c r="AL116">
        <v>0</v>
      </c>
      <c r="AN116">
        <f>AND(IF(Metadata!B116="",FALSE,TRUE),COUNTIF(Metadata!B:B, Metadata!B116) = 1,NOT(ISERROR(SUMPRODUCT(SEARCH(MID(Metadata!B116,ROW(INDIRECT("1:"&amp;LEN(Metadata!B116))), 1),"0123456789abcdefghijklmnopqrstuvwxyzABCDEFGHIJKLMNOPQRSTUVWXYZ.")))))</f>
        <v>0</v>
      </c>
      <c r="AO116">
        <f>IF(Metadata!C116="",FALSE,TRUE)</f>
        <v>0</v>
      </c>
      <c r="AP116">
        <f>IF(Metadata!D116="",FALSE,TRUE)</f>
        <v>0</v>
      </c>
      <c r="AQ116">
        <f>OR(AND(IF(Metadata!E116="",FALSE,TRUE),OR(exact(Metadata!E116,"not collected"),exact(Metadata!E116,"not provided"),exact(Metadata!E116,"restricted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R116">
        <f>IF(Metadata!F116="",FALSE,TRUE)</f>
        <v>0</v>
      </c>
      <c r="AS116">
        <f>OR(AND(IF(Metadata!G116="",FALSE,TRUE),OR(exact(Metadata!G116,"not collected"),exact(Metadata!G116,"not provided"))),AND(IF(Metadata!G116="",FALSE,TRUE),OR(exact(Metadata!G116,"TRUE"),exact(Metadata!G116,"FALSE"))))</f>
        <v>0</v>
      </c>
      <c r="AT116">
        <f>OR(AND(IF(Metadata!H116="",FALSE,TRUE),OR(exact(Metadata!H116,"not collected"),exact(Metadata!H116,"not provided"),exact(Metadata!H116,"restricted access"))),AND(IF(Metadata!H116="",FALSE,ISNUMBER(VALUE(Metadata!H116))),Metadata!H116&gt;=-413.0))</f>
        <v>0</v>
      </c>
      <c r="AU116">
        <f>AND(IF(Metadata!I116="",FALSE,TRUE),exact(Metadata!I116,"meters"))</f>
        <v>0</v>
      </c>
      <c r="AV116">
        <f>AND(IF(Metadata!J116="",FALSE,TRUE),OR(exact(Metadata!J116,"Host-associated"),exact(Metadata!J116,"Free-living")))</f>
        <v>0</v>
      </c>
      <c r="AW116">
        <f>AND(IF(Metadata!K116="",FALSE,TRUE),OR(exact(Metadata!K116,"Animal"),exact(Metadata!K116,"Fungus"),exact(Metadata!K116,"Plant"),exact(Metadata!K116,"Saline"),exact(Metadata!K116,"Non-saline")))</f>
        <v>0</v>
      </c>
      <c r="AX116">
        <f>AND(IF(Metadata!L116="",FALSE,TRUE),OR(exact(Metadata!L116,"Plant secretion"),exact(Metadata!L116,"Plant rhizosphere"),exact(Metadata!L116,"Plant surface"),exact(Metadata!L116,"Plant corpus"),exact(Metadata!L116,"Fungus surface"),exact(Metadata!L116,"Fungus corpus"),exact(Metadata!L116,"Animal surface"),exact(Metadata!L116,"Animal proximal gut"),exact(Metadata!L116,"Animal corpus"),exact(Metadata!L116,"Animal distal gut"),exact(Metadata!L116,"Animal secretion"),exact(Metadata!L116,"Sub-surface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Y116">
        <f>IF(Metadata!M116="",FALSE,TRUE)</f>
        <v>0</v>
      </c>
      <c r="AZ116">
        <f>IF(Metadata!N116="",FALSE,TRUE)</f>
        <v>0</v>
      </c>
      <c r="BA116">
        <f>IF(Metadata!O116="",FALSE,TRUE)</f>
        <v>0</v>
      </c>
      <c r="BB116">
        <f>OR(AND(IF(Metadata!P116="",FALSE,TRUE),OR(exact(Metadata!P116,"not collected"),exact(Metadata!P116,"not provided"),exact(Metadata!P116,"restricted access"))),AND(IF(Metadata!P116="",FALSE,TRUE),OR(exact(Metadata!P116,"air"),exact(Metadata!P116,"built environment"),exact(Metadata!P116,"host-associated"),exact(Metadata!P116,"human-associated"),exact(Metadata!P116,"human-skin"),exact(Metadata!P116,"human-oral"),exact(Metadata!P116,"human-gut"),exact(Metadata!P116,"human-vaginal"),exact(Metadata!P116,"microbial mat/biofilm"),exact(Metadata!P116,"misc environment"),exact(Metadata!P116,"plant-associated"),exact(Metadata!P116,"sediment"),exact(Metadata!P116,"soil"),exact(Metadata!P116,"wastewater/sludge"),exact(Metadata!P116,"water"))))</f>
        <v>0</v>
      </c>
      <c r="BC116">
        <f>IF(Metadata!Q116="",FALSE,TRUE)</f>
        <v>0</v>
      </c>
      <c r="BD116">
        <f>IF(Metadata!R116="",FALSE,TRUE)</f>
        <v>0</v>
      </c>
      <c r="BE116">
        <f>OR(AND(IF(Metadata!S116="",FALSE,TRUE),OR(exact(Metadata!S116,"not collected"),exact(Metadata!S116,"not provided"),exact(Metadata!S116,"restricted access"))),AND(IF(Metadata!S116="",FALSE,ISNUMBER(VALUE(Metadata!S116))),Metadata!S116&gt;=-90.00,Metadata!S116&lt;=90.00))</f>
        <v>0</v>
      </c>
      <c r="BF116">
        <f>AND(IF(Metadata!T116="",FALSE,TRUE),exact(Metadata!T116,"Decimal degrees"))</f>
        <v>0</v>
      </c>
      <c r="BG116">
        <f>OR(AND(IF(Metadata!U116="",FALSE,TRUE),OR(exact(Metadata!U116,"not collected"),exact(Metadata!U116,"not provided"),exact(Metadata!U116,"restricted access"))),AND(IF(Metadata!U116="",FALSE,ISNUMBER(VALUE(Metadata!U116))),Metadata!U116&gt;=-180.00,Metadata!U116&lt;=180.00))</f>
        <v>0</v>
      </c>
      <c r="BH116">
        <f>AND(IF(Metadata!V116="",FALSE,TRUE),exact(Metadata!V116,"Decimal degrees"))</f>
        <v>0</v>
      </c>
      <c r="BI116">
        <f>IF(Metadata!W116="",FALSE,TRUE)</f>
        <v>0</v>
      </c>
      <c r="BJ116">
        <f>OR(AND(IF(Metadata!X116="",FALSE,TRUE),OR(exact(Metadata!X116,"not collected"),exact(Metadata!X116,"not provided"),exact(Metadata!X116,"restricted access"))),AND(IF(Metadata!X116="",FALSE,TRUE),OR(exact(Metadata!X116,"TRUE"),exact(Metadata!X116,"FALSE"))))</f>
        <v>0</v>
      </c>
      <c r="BK116">
        <f>AND(IF(Metadata!Y116="",FALSE,TRUE),exact(Metadata!Y116,"other"))</f>
        <v>0</v>
      </c>
      <c r="BL116">
        <f>IF(Metadata!Z116="",FALSE,TRUE)</f>
        <v>0</v>
      </c>
      <c r="BM116">
        <f>OR(AND(IF(Metadata!AA116="",FALSE,TRUE),OR(exact(Metadata!AA116,"not collected"),exact(Metadata!AA116,"not provided"))),AND(IF(Metadata!AA116="",FALSE,IF(ISERROR(INT(Metadata!AA116)),FALSE,INT(Metadata!AA116)=Metadata!AA116)),Metadata!AA116&gt;0))</f>
        <v>0</v>
      </c>
      <c r="BN116">
        <f>AND(IF(Metadata!AB116="",FALSE,TRUE),exact(Metadata!AB116,"Not applicable"))</f>
        <v>0</v>
      </c>
      <c r="BO116">
        <f>IF(Metadata!AC116="",FALSE,TRUE)</f>
        <v>0</v>
      </c>
    </row>
    <row r="117" spans="1:67">
      <c r="A117" s="5">
        <f>IF(B117=" "," ",HYPERLINK(CONCATENATE("#metadata!",ADDRESS(INDEX($AI$2:$AI$1001,MATCH(ROWS($AG$2:AG117),$AG$2:$AG$1001,0),0),1)),INDEX($AL$2:$AL$1001,MATCH(ROWS($AG$2:AG117),$AG$2:$AG$1001,0),0)))</f>
        <v>0</v>
      </c>
      <c r="B117" s="4">
        <f>IF(OR(INDEX($AH$2:$AH$1001,MATCH(ROWS($AG$2:AG117),$AG$2:$AG$1001,0),1)&gt;=100000,INDEX($AN$1005:$BO$1005,1,MATCH(COLUMNS($AN$1006:AN1006),$AN$1006:$BO$1006,0))&gt;=100000), " ",IF(INDEX($AN$2:$BO$1001,MATCH(ROWS($AG$2:AG117),$AG$2:$AG$1001,0),MATCH(COLUMNS($AN$1006:AN1006),$AN$1006:$BO$1006,0)), HYPERLINK("#",""), HYPERLINK(CONCATENATE("#Metadata!", ADDRESS(INDEX($AI$2:$AI$1001,MATCH(ROWS($AG$2:AG117),$AG$2:$AG$1001,0),0), INDEX($AN$1004:$BO$1004,1,MATCH(COLUMNS($AN$1006:AN1006),$AN$1006:$BO$1006,0)))),"Fix")))</f>
        <v>0</v>
      </c>
      <c r="C117" s="4">
        <f>IF(OR(INDEX($AH$2:$AH$1001,MATCH(ROWS($AG$2:AG117),$AG$2:$AG$1001,0),1)&gt;=100000,INDEX($AN$1005:$BO$1005,1,MATCH(COLUMNS($AN$1006:AO1006),$AN$1006:$BO$1006,0))&gt;=100000), " ",IF(INDEX($AN$2:$BO$1001,MATCH(ROWS($AG$2:AG117),$AG$2:$AG$1001,0),MATCH(COLUMNS($AN$1006:AO1006),$AN$1006:$BO$1006,0)), HYPERLINK("#",""), HYPERLINK(CONCATENATE("#Metadata!", ADDRESS(INDEX($AI$2:$AI$1001,MATCH(ROWS($AG$2:AG117),$AG$2:$AG$1001,0),0), INDEX($AN$1004:$BO$1004,1,MATCH(COLUMNS($AN$1006:AO1006),$AN$1006:$BO$1006,0)))),"Fix")))</f>
        <v>0</v>
      </c>
      <c r="D117" s="4">
        <f>IF(OR(INDEX($AH$2:$AH$1001,MATCH(ROWS($AG$2:AG117),$AG$2:$AG$1001,0),1)&gt;=100000,INDEX($AN$1005:$BO$1005,1,MATCH(COLUMNS($AN$1006:AP1006),$AN$1006:$BO$1006,0))&gt;=100000), " ",IF(INDEX($AN$2:$BO$1001,MATCH(ROWS($AG$2:AG117),$AG$2:$AG$1001,0),MATCH(COLUMNS($AN$1006:AP1006),$AN$1006:$BO$1006,0)), HYPERLINK("#",""), HYPERLINK(CONCATENATE("#Metadata!", ADDRESS(INDEX($AI$2:$AI$1001,MATCH(ROWS($AG$2:AG117),$AG$2:$AG$1001,0),0), INDEX($AN$1004:$BO$1004,1,MATCH(COLUMNS($AN$1006:AP1006),$AN$1006:$BO$1006,0)))),"Fix")))</f>
        <v>0</v>
      </c>
      <c r="E117" s="4">
        <f>IF(OR(INDEX($AH$2:$AH$1001,MATCH(ROWS($AG$2:AG117),$AG$2:$AG$1001,0),1)&gt;=100000,INDEX($AN$1005:$BO$1005,1,MATCH(COLUMNS($AN$1006:AQ1006),$AN$1006:$BO$1006,0))&gt;=100000), " ",IF(INDEX($AN$2:$BO$1001,MATCH(ROWS($AG$2:AG117),$AG$2:$AG$1001,0),MATCH(COLUMNS($AN$1006:AQ1006),$AN$1006:$BO$1006,0)), HYPERLINK("#",""), HYPERLINK(CONCATENATE("#Metadata!", ADDRESS(INDEX($AI$2:$AI$1001,MATCH(ROWS($AG$2:AG117),$AG$2:$AG$1001,0),0), INDEX($AN$1004:$BO$1004,1,MATCH(COLUMNS($AN$1006:AQ1006),$AN$1006:$BO$1006,0)))),"Fix")))</f>
        <v>0</v>
      </c>
      <c r="F117" s="4">
        <f>IF(OR(INDEX($AH$2:$AH$1001,MATCH(ROWS($AG$2:AG117),$AG$2:$AG$1001,0),1)&gt;=100000,INDEX($AN$1005:$BO$1005,1,MATCH(COLUMNS($AN$1006:AR1006),$AN$1006:$BO$1006,0))&gt;=100000), " ",IF(INDEX($AN$2:$BO$1001,MATCH(ROWS($AG$2:AG117),$AG$2:$AG$1001,0),MATCH(COLUMNS($AN$1006:AR1006),$AN$1006:$BO$1006,0)), HYPERLINK("#",""), HYPERLINK(CONCATENATE("#Metadata!", ADDRESS(INDEX($AI$2:$AI$1001,MATCH(ROWS($AG$2:AG117),$AG$2:$AG$1001,0),0), INDEX($AN$1004:$BO$1004,1,MATCH(COLUMNS($AN$1006:AR1006),$AN$1006:$BO$1006,0)))),"Fix")))</f>
        <v>0</v>
      </c>
      <c r="G117" s="4">
        <f>IF(OR(INDEX($AH$2:$AH$1001,MATCH(ROWS($AG$2:AG117),$AG$2:$AG$1001,0),1)&gt;=100000,INDEX($AN$1005:$BO$1005,1,MATCH(COLUMNS($AN$1006:AS1006),$AN$1006:$BO$1006,0))&gt;=100000), " ",IF(INDEX($AN$2:$BO$1001,MATCH(ROWS($AG$2:AG117),$AG$2:$AG$1001,0),MATCH(COLUMNS($AN$1006:AS1006),$AN$1006:$BO$1006,0)), HYPERLINK("#",""), HYPERLINK(CONCATENATE("#Metadata!", ADDRESS(INDEX($AI$2:$AI$1001,MATCH(ROWS($AG$2:AG117),$AG$2:$AG$1001,0),0), INDEX($AN$1004:$BO$1004,1,MATCH(COLUMNS($AN$1006:AS1006),$AN$1006:$BO$1006,0)))),"Fix")))</f>
        <v>0</v>
      </c>
      <c r="H117" s="4">
        <f>IF(OR(INDEX($AH$2:$AH$1001,MATCH(ROWS($AG$2:AG117),$AG$2:$AG$1001,0),1)&gt;=100000,INDEX($AN$1005:$BO$1005,1,MATCH(COLUMNS($AN$1006:AT1006),$AN$1006:$BO$1006,0))&gt;=100000), " ",IF(INDEX($AN$2:$BO$1001,MATCH(ROWS($AG$2:AG117),$AG$2:$AG$1001,0),MATCH(COLUMNS($AN$1006:AT1006),$AN$1006:$BO$1006,0)), HYPERLINK("#",""), HYPERLINK(CONCATENATE("#Metadata!", ADDRESS(INDEX($AI$2:$AI$1001,MATCH(ROWS($AG$2:AG117),$AG$2:$AG$1001,0),0), INDEX($AN$1004:$BO$1004,1,MATCH(COLUMNS($AN$1006:AT1006),$AN$1006:$BO$1006,0)))),"Fix")))</f>
        <v>0</v>
      </c>
      <c r="I117" s="4">
        <f>IF(OR(INDEX($AH$2:$AH$1001,MATCH(ROWS($AG$2:AG117),$AG$2:$AG$1001,0),1)&gt;=100000,INDEX($AN$1005:$BO$1005,1,MATCH(COLUMNS($AN$1006:AU1006),$AN$1006:$BO$1006,0))&gt;=100000), " ",IF(INDEX($AN$2:$BO$1001,MATCH(ROWS($AG$2:AG117),$AG$2:$AG$1001,0),MATCH(COLUMNS($AN$1006:AU1006),$AN$1006:$BO$1006,0)), HYPERLINK("#",""), HYPERLINK(CONCATENATE("#Metadata!", ADDRESS(INDEX($AI$2:$AI$1001,MATCH(ROWS($AG$2:AG117),$AG$2:$AG$1001,0),0), INDEX($AN$1004:$BO$1004,1,MATCH(COLUMNS($AN$1006:AU1006),$AN$1006:$BO$1006,0)))),"Fix")))</f>
        <v>0</v>
      </c>
      <c r="J117" s="4">
        <f>IF(OR(INDEX($AH$2:$AH$1001,MATCH(ROWS($AG$2:AG117),$AG$2:$AG$1001,0),1)&gt;=100000,INDEX($AN$1005:$BO$1005,1,MATCH(COLUMNS($AN$1006:AV1006),$AN$1006:$BO$1006,0))&gt;=100000), " ",IF(INDEX($AN$2:$BO$1001,MATCH(ROWS($AG$2:AG117),$AG$2:$AG$1001,0),MATCH(COLUMNS($AN$1006:AV1006),$AN$1006:$BO$1006,0)), HYPERLINK("#",""), HYPERLINK(CONCATENATE("#Metadata!", ADDRESS(INDEX($AI$2:$AI$1001,MATCH(ROWS($AG$2:AG117),$AG$2:$AG$1001,0),0), INDEX($AN$1004:$BO$1004,1,MATCH(COLUMNS($AN$1006:AV1006),$AN$1006:$BO$1006,0)))),"Fix")))</f>
        <v>0</v>
      </c>
      <c r="K117" s="4">
        <f>IF(OR(INDEX($AH$2:$AH$1001,MATCH(ROWS($AG$2:AG117),$AG$2:$AG$1001,0),1)&gt;=100000,INDEX($AN$1005:$BO$1005,1,MATCH(COLUMNS($AN$1006:AW1006),$AN$1006:$BO$1006,0))&gt;=100000), " ",IF(INDEX($AN$2:$BO$1001,MATCH(ROWS($AG$2:AG117),$AG$2:$AG$1001,0),MATCH(COLUMNS($AN$1006:AW1006),$AN$1006:$BO$1006,0)), HYPERLINK("#",""), HYPERLINK(CONCATENATE("#Metadata!", ADDRESS(INDEX($AI$2:$AI$1001,MATCH(ROWS($AG$2:AG117),$AG$2:$AG$1001,0),0), INDEX($AN$1004:$BO$1004,1,MATCH(COLUMNS($AN$1006:AW1006),$AN$1006:$BO$1006,0)))),"Fix")))</f>
        <v>0</v>
      </c>
      <c r="L117" s="4">
        <f>IF(OR(INDEX($AH$2:$AH$1001,MATCH(ROWS($AG$2:AG117),$AG$2:$AG$1001,0),1)&gt;=100000,INDEX($AN$1005:$BO$1005,1,MATCH(COLUMNS($AN$1006:AX1006),$AN$1006:$BO$1006,0))&gt;=100000), " ",IF(INDEX($AN$2:$BO$1001,MATCH(ROWS($AG$2:AG117),$AG$2:$AG$1001,0),MATCH(COLUMNS($AN$1006:AX1006),$AN$1006:$BO$1006,0)), HYPERLINK("#",""), HYPERLINK(CONCATENATE("#Metadata!", ADDRESS(INDEX($AI$2:$AI$1001,MATCH(ROWS($AG$2:AG117),$AG$2:$AG$1001,0),0), INDEX($AN$1004:$BO$1004,1,MATCH(COLUMNS($AN$1006:AX1006),$AN$1006:$BO$1006,0)))),"Fix")))</f>
        <v>0</v>
      </c>
      <c r="M117" s="4">
        <f>IF(OR(INDEX($AH$2:$AH$1001,MATCH(ROWS($AG$2:AG117),$AG$2:$AG$1001,0),1)&gt;=100000,INDEX($AN$1005:$BO$1005,1,MATCH(COLUMNS($AN$1006:AY1006),$AN$1006:$BO$1006,0))&gt;=100000), " ",IF(INDEX($AN$2:$BO$1001,MATCH(ROWS($AG$2:AG117),$AG$2:$AG$1001,0),MATCH(COLUMNS($AN$1006:AY1006),$AN$1006:$BO$1006,0)), HYPERLINK("#",""), HYPERLINK(CONCATENATE("#Metadata!", ADDRESS(INDEX($AI$2:$AI$1001,MATCH(ROWS($AG$2:AG117),$AG$2:$AG$1001,0),0), INDEX($AN$1004:$BO$1004,1,MATCH(COLUMNS($AN$1006:AY1006),$AN$1006:$BO$1006,0)))),"Fix")))</f>
        <v>0</v>
      </c>
      <c r="N117" s="4">
        <f>IF(OR(INDEX($AH$2:$AH$1001,MATCH(ROWS($AG$2:AG117),$AG$2:$AG$1001,0),1)&gt;=100000,INDEX($AN$1005:$BO$1005,1,MATCH(COLUMNS($AN$1006:AZ1006),$AN$1006:$BO$1006,0))&gt;=100000), " ",IF(INDEX($AN$2:$BO$1001,MATCH(ROWS($AG$2:AG117),$AG$2:$AG$1001,0),MATCH(COLUMNS($AN$1006:AZ1006),$AN$1006:$BO$1006,0)), HYPERLINK("#",""), HYPERLINK(CONCATENATE("#Metadata!", ADDRESS(INDEX($AI$2:$AI$1001,MATCH(ROWS($AG$2:AG117),$AG$2:$AG$1001,0),0), INDEX($AN$1004:$BO$1004,1,MATCH(COLUMNS($AN$1006:AZ1006),$AN$1006:$BO$1006,0)))),"Fix")))</f>
        <v>0</v>
      </c>
      <c r="O117" s="4">
        <f>IF(OR(INDEX($AH$2:$AH$1001,MATCH(ROWS($AG$2:AG117),$AG$2:$AG$1001,0),1)&gt;=100000,INDEX($AN$1005:$BO$1005,1,MATCH(COLUMNS($AN$1006:BA1006),$AN$1006:$BO$1006,0))&gt;=100000), " ",IF(INDEX($AN$2:$BO$1001,MATCH(ROWS($AG$2:AG117),$AG$2:$AG$1001,0),MATCH(COLUMNS($AN$1006:BA1006),$AN$1006:$BO$1006,0)), HYPERLINK("#",""), HYPERLINK(CONCATENATE("#Metadata!", ADDRESS(INDEX($AI$2:$AI$1001,MATCH(ROWS($AG$2:AG117),$AG$2:$AG$1001,0),0), INDEX($AN$1004:$BO$1004,1,MATCH(COLUMNS($AN$1006:BA1006),$AN$1006:$BO$1006,0)))),"Fix")))</f>
        <v>0</v>
      </c>
      <c r="P117" s="4">
        <f>IF(OR(INDEX($AH$2:$AH$1001,MATCH(ROWS($AG$2:AG117),$AG$2:$AG$1001,0),1)&gt;=100000,INDEX($AN$1005:$BO$1005,1,MATCH(COLUMNS($AN$1006:BB1006),$AN$1006:$BO$1006,0))&gt;=100000), " ",IF(INDEX($AN$2:$BO$1001,MATCH(ROWS($AG$2:AG117),$AG$2:$AG$1001,0),MATCH(COLUMNS($AN$1006:BB1006),$AN$1006:$BO$1006,0)), HYPERLINK("#",""), HYPERLINK(CONCATENATE("#Metadata!", ADDRESS(INDEX($AI$2:$AI$1001,MATCH(ROWS($AG$2:AG117),$AG$2:$AG$1001,0),0), INDEX($AN$1004:$BO$1004,1,MATCH(COLUMNS($AN$1006:BB1006),$AN$1006:$BO$1006,0)))),"Fix")))</f>
        <v>0</v>
      </c>
      <c r="Q117" s="4">
        <f>IF(OR(INDEX($AH$2:$AH$1001,MATCH(ROWS($AG$2:AG117),$AG$2:$AG$1001,0),1)&gt;=100000,INDEX($AN$1005:$BO$1005,1,MATCH(COLUMNS($AN$1006:BC1006),$AN$1006:$BO$1006,0))&gt;=100000), " ",IF(INDEX($AN$2:$BO$1001,MATCH(ROWS($AG$2:AG117),$AG$2:$AG$1001,0),MATCH(COLUMNS($AN$1006:BC1006),$AN$1006:$BO$1006,0)), HYPERLINK("#",""), HYPERLINK(CONCATENATE("#Metadata!", ADDRESS(INDEX($AI$2:$AI$1001,MATCH(ROWS($AG$2:AG117),$AG$2:$AG$1001,0),0), INDEX($AN$1004:$BO$1004,1,MATCH(COLUMNS($AN$1006:BC1006),$AN$1006:$BO$1006,0)))),"Fix")))</f>
        <v>0</v>
      </c>
      <c r="R117" s="4">
        <f>IF(OR(INDEX($AH$2:$AH$1001,MATCH(ROWS($AG$2:AG117),$AG$2:$AG$1001,0),1)&gt;=100000,INDEX($AN$1005:$BO$1005,1,MATCH(COLUMNS($AN$1006:BD1006),$AN$1006:$BO$1006,0))&gt;=100000), " ",IF(INDEX($AN$2:$BO$1001,MATCH(ROWS($AG$2:AG117),$AG$2:$AG$1001,0),MATCH(COLUMNS($AN$1006:BD1006),$AN$1006:$BO$1006,0)), HYPERLINK("#",""), HYPERLINK(CONCATENATE("#Metadata!", ADDRESS(INDEX($AI$2:$AI$1001,MATCH(ROWS($AG$2:AG117),$AG$2:$AG$1001,0),0), INDEX($AN$1004:$BO$1004,1,MATCH(COLUMNS($AN$1006:BD1006),$AN$1006:$BO$1006,0)))),"Fix")))</f>
        <v>0</v>
      </c>
      <c r="S117" s="4">
        <f>IF(OR(INDEX($AH$2:$AH$1001,MATCH(ROWS($AG$2:AG117),$AG$2:$AG$1001,0),1)&gt;=100000,INDEX($AN$1005:$BO$1005,1,MATCH(COLUMNS($AN$1006:BE1006),$AN$1006:$BO$1006,0))&gt;=100000), " ",IF(INDEX($AN$2:$BO$1001,MATCH(ROWS($AG$2:AG117),$AG$2:$AG$1001,0),MATCH(COLUMNS($AN$1006:BE1006),$AN$1006:$BO$1006,0)), HYPERLINK("#",""), HYPERLINK(CONCATENATE("#Metadata!", ADDRESS(INDEX($AI$2:$AI$1001,MATCH(ROWS($AG$2:AG117),$AG$2:$AG$1001,0),0), INDEX($AN$1004:$BO$1004,1,MATCH(COLUMNS($AN$1006:BE1006),$AN$1006:$BO$1006,0)))),"Fix")))</f>
        <v>0</v>
      </c>
      <c r="T117" s="4">
        <f>IF(OR(INDEX($AH$2:$AH$1001,MATCH(ROWS($AG$2:AG117),$AG$2:$AG$1001,0),1)&gt;=100000,INDEX($AN$1005:$BO$1005,1,MATCH(COLUMNS($AN$1006:BF1006),$AN$1006:$BO$1006,0))&gt;=100000), " ",IF(INDEX($AN$2:$BO$1001,MATCH(ROWS($AG$2:AG117),$AG$2:$AG$1001,0),MATCH(COLUMNS($AN$1006:BF1006),$AN$1006:$BO$1006,0)), HYPERLINK("#",""), HYPERLINK(CONCATENATE("#Metadata!", ADDRESS(INDEX($AI$2:$AI$1001,MATCH(ROWS($AG$2:AG117),$AG$2:$AG$1001,0),0), INDEX($AN$1004:$BO$1004,1,MATCH(COLUMNS($AN$1006:BF1006),$AN$1006:$BO$1006,0)))),"Fix")))</f>
        <v>0</v>
      </c>
      <c r="U117" s="4">
        <f>IF(OR(INDEX($AH$2:$AH$1001,MATCH(ROWS($AG$2:AG117),$AG$2:$AG$1001,0),1)&gt;=100000,INDEX($AN$1005:$BO$1005,1,MATCH(COLUMNS($AN$1006:BG1006),$AN$1006:$BO$1006,0))&gt;=100000), " ",IF(INDEX($AN$2:$BO$1001,MATCH(ROWS($AG$2:AG117),$AG$2:$AG$1001,0),MATCH(COLUMNS($AN$1006:BG1006),$AN$1006:$BO$1006,0)), HYPERLINK("#",""), HYPERLINK(CONCATENATE("#Metadata!", ADDRESS(INDEX($AI$2:$AI$1001,MATCH(ROWS($AG$2:AG117),$AG$2:$AG$1001,0),0), INDEX($AN$1004:$BO$1004,1,MATCH(COLUMNS($AN$1006:BG1006),$AN$1006:$BO$1006,0)))),"Fix")))</f>
        <v>0</v>
      </c>
      <c r="V117" s="4">
        <f>IF(OR(INDEX($AH$2:$AH$1001,MATCH(ROWS($AG$2:AG117),$AG$2:$AG$1001,0),1)&gt;=100000,INDEX($AN$1005:$BO$1005,1,MATCH(COLUMNS($AN$1006:BH1006),$AN$1006:$BO$1006,0))&gt;=100000), " ",IF(INDEX($AN$2:$BO$1001,MATCH(ROWS($AG$2:AG117),$AG$2:$AG$1001,0),MATCH(COLUMNS($AN$1006:BH1006),$AN$1006:$BO$1006,0)), HYPERLINK("#",""), HYPERLINK(CONCATENATE("#Metadata!", ADDRESS(INDEX($AI$2:$AI$1001,MATCH(ROWS($AG$2:AG117),$AG$2:$AG$1001,0),0), INDEX($AN$1004:$BO$1004,1,MATCH(COLUMNS($AN$1006:BH1006),$AN$1006:$BO$1006,0)))),"Fix")))</f>
        <v>0</v>
      </c>
      <c r="W117" s="4">
        <f>IF(OR(INDEX($AH$2:$AH$1001,MATCH(ROWS($AG$2:AG117),$AG$2:$AG$1001,0),1)&gt;=100000,INDEX($AN$1005:$BO$1005,1,MATCH(COLUMNS($AN$1006:BI1006),$AN$1006:$BO$1006,0))&gt;=100000), " ",IF(INDEX($AN$2:$BO$1001,MATCH(ROWS($AG$2:AG117),$AG$2:$AG$1001,0),MATCH(COLUMNS($AN$1006:BI1006),$AN$1006:$BO$1006,0)), HYPERLINK("#",""), HYPERLINK(CONCATENATE("#Metadata!", ADDRESS(INDEX($AI$2:$AI$1001,MATCH(ROWS($AG$2:AG117),$AG$2:$AG$1001,0),0), INDEX($AN$1004:$BO$1004,1,MATCH(COLUMNS($AN$1006:BI1006),$AN$1006:$BO$1006,0)))),"Fix")))</f>
        <v>0</v>
      </c>
      <c r="X117" s="4">
        <f>IF(OR(INDEX($AH$2:$AH$1001,MATCH(ROWS($AG$2:AG117),$AG$2:$AG$1001,0),1)&gt;=100000,INDEX($AN$1005:$BO$1005,1,MATCH(COLUMNS($AN$1006:BJ1006),$AN$1006:$BO$1006,0))&gt;=100000), " ",IF(INDEX($AN$2:$BO$1001,MATCH(ROWS($AG$2:AG117),$AG$2:$AG$1001,0),MATCH(COLUMNS($AN$1006:BJ1006),$AN$1006:$BO$1006,0)), HYPERLINK("#",""), HYPERLINK(CONCATENATE("#Metadata!", ADDRESS(INDEX($AI$2:$AI$1001,MATCH(ROWS($AG$2:AG117),$AG$2:$AG$1001,0),0), INDEX($AN$1004:$BO$1004,1,MATCH(COLUMNS($AN$1006:BJ1006),$AN$1006:$BO$1006,0)))),"Fix")))</f>
        <v>0</v>
      </c>
      <c r="Y117" s="4">
        <f>IF(OR(INDEX($AH$2:$AH$1001,MATCH(ROWS($AG$2:AG117),$AG$2:$AG$1001,0),1)&gt;=100000,INDEX($AN$1005:$BO$1005,1,MATCH(COLUMNS($AN$1006:BK1006),$AN$1006:$BO$1006,0))&gt;=100000), " ",IF(INDEX($AN$2:$BO$1001,MATCH(ROWS($AG$2:AG117),$AG$2:$AG$1001,0),MATCH(COLUMNS($AN$1006:BK1006),$AN$1006:$BO$1006,0)), HYPERLINK("#",""), HYPERLINK(CONCATENATE("#Metadata!", ADDRESS(INDEX($AI$2:$AI$1001,MATCH(ROWS($AG$2:AG117),$AG$2:$AG$1001,0),0), INDEX($AN$1004:$BO$1004,1,MATCH(COLUMNS($AN$1006:BK1006),$AN$1006:$BO$1006,0)))),"Fix")))</f>
        <v>0</v>
      </c>
      <c r="Z117" s="4">
        <f>IF(OR(INDEX($AH$2:$AH$1001,MATCH(ROWS($AG$2:AG117),$AG$2:$AG$1001,0),1)&gt;=100000,INDEX($AN$1005:$BO$1005,1,MATCH(COLUMNS($AN$1006:BL1006),$AN$1006:$BO$1006,0))&gt;=100000), " ",IF(INDEX($AN$2:$BO$1001,MATCH(ROWS($AG$2:AG117),$AG$2:$AG$1001,0),MATCH(COLUMNS($AN$1006:BL1006),$AN$1006:$BO$1006,0)), HYPERLINK("#",""), HYPERLINK(CONCATENATE("#Metadata!", ADDRESS(INDEX($AI$2:$AI$1001,MATCH(ROWS($AG$2:AG117),$AG$2:$AG$1001,0),0), INDEX($AN$1004:$BO$1004,1,MATCH(COLUMNS($AN$1006:BL1006),$AN$1006:$BO$1006,0)))),"Fix")))</f>
        <v>0</v>
      </c>
      <c r="AA117" s="4">
        <f>IF(OR(INDEX($AH$2:$AH$1001,MATCH(ROWS($AG$2:AG117),$AG$2:$AG$1001,0),1)&gt;=100000,INDEX($AN$1005:$BO$1005,1,MATCH(COLUMNS($AN$1006:BM1006),$AN$1006:$BO$1006,0))&gt;=100000), " ",IF(INDEX($AN$2:$BO$1001,MATCH(ROWS($AG$2:AG117),$AG$2:$AG$1001,0),MATCH(COLUMNS($AN$1006:BM1006),$AN$1006:$BO$1006,0)), HYPERLINK("#",""), HYPERLINK(CONCATENATE("#Metadata!", ADDRESS(INDEX($AI$2:$AI$1001,MATCH(ROWS($AG$2:AG117),$AG$2:$AG$1001,0),0), INDEX($AN$1004:$BO$1004,1,MATCH(COLUMNS($AN$1006:BM1006),$AN$1006:$BO$1006,0)))),"Fix")))</f>
        <v>0</v>
      </c>
      <c r="AB117" s="4">
        <f>IF(OR(INDEX($AH$2:$AH$1001,MATCH(ROWS($AG$2:AG117),$AG$2:$AG$1001,0),1)&gt;=100000,INDEX($AN$1005:$BO$1005,1,MATCH(COLUMNS($AN$1006:BN1006),$AN$1006:$BO$1006,0))&gt;=100000), " ",IF(INDEX($AN$2:$BO$1001,MATCH(ROWS($AG$2:AG117),$AG$2:$AG$1001,0),MATCH(COLUMNS($AN$1006:BN1006),$AN$1006:$BO$1006,0)), HYPERLINK("#",""), HYPERLINK(CONCATENATE("#Metadata!", ADDRESS(INDEX($AI$2:$AI$1001,MATCH(ROWS($AG$2:AG117),$AG$2:$AG$1001,0),0), INDEX($AN$1004:$BO$1004,1,MATCH(COLUMNS($AN$1006:BN1006),$AN$1006:$BO$1006,0)))),"Fix")))</f>
        <v>0</v>
      </c>
      <c r="AC117" s="4">
        <f>IF(OR(INDEX($AH$2:$AH$1001,MATCH(ROWS($AG$2:AG117),$AG$2:$AG$1001,0),1)&gt;=100000,INDEX($AN$1005:$BO$1005,1,MATCH(COLUMNS($AN$1006:BO1006),$AN$1006:$BO$1006,0))&gt;=100000), " ",IF(INDEX($AN$2:$BO$1001,MATCH(ROWS($AG$2:AG117),$AG$2:$AG$1001,0),MATCH(COLUMNS($AN$1006:BO1006),$AN$1006:$BO$1006,0)), HYPERLINK("#",""), HYPERLINK(CONCATENATE("#Metadata!", ADDRESS(INDEX($AI$2:$AI$1001,MATCH(ROWS($AG$2:AG117),$AG$2:$AG$1001,0),0), INDEX($AN$1004:$BO$1004,1,MATCH(COLUMNS($AN$1006:BO1006),$AN$1006:$BO$1006,0)))),"Fix")))</f>
        <v>0</v>
      </c>
      <c r="AG117">
        <v>0</v>
      </c>
      <c r="AH117">
        <v>0</v>
      </c>
      <c r="AI117">
        <v>0</v>
      </c>
      <c r="AJ117">
        <f>IF(AK117,TRUE,AND(AN117:BO117))</f>
        <v>0</v>
      </c>
      <c r="AK117">
        <f>COUNTBLANK(Metadata!B117:AC117)=COLUMNS(Metadata!B117:AC117)</f>
        <v>0</v>
      </c>
      <c r="AL117">
        <v>0</v>
      </c>
      <c r="AN117">
        <f>AND(IF(Metadata!B117="",FALSE,TRUE),COUNTIF(Metadata!B:B, Metadata!B117) = 1,NOT(ISERROR(SUMPRODUCT(SEARCH(MID(Metadata!B117,ROW(INDIRECT("1:"&amp;LEN(Metadata!B117))), 1),"0123456789abcdefghijklmnopqrstuvwxyzABCDEFGHIJKLMNOPQRSTUVWXYZ.")))))</f>
        <v>0</v>
      </c>
      <c r="AO117">
        <f>IF(Metadata!C117="",FALSE,TRUE)</f>
        <v>0</v>
      </c>
      <c r="AP117">
        <f>IF(Metadata!D117="",FALSE,TRUE)</f>
        <v>0</v>
      </c>
      <c r="AQ117">
        <f>OR(AND(IF(Metadata!E117="",FALSE,TRUE),OR(exact(Metadata!E117,"not collected"),exact(Metadata!E117,"not provided"),exact(Metadata!E117,"restricted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R117">
        <f>IF(Metadata!F117="",FALSE,TRUE)</f>
        <v>0</v>
      </c>
      <c r="AS117">
        <f>OR(AND(IF(Metadata!G117="",FALSE,TRUE),OR(exact(Metadata!G117,"not collected"),exact(Metadata!G117,"not provided"))),AND(IF(Metadata!G117="",FALSE,TRUE),OR(exact(Metadata!G117,"TRUE"),exact(Metadata!G117,"FALSE"))))</f>
        <v>0</v>
      </c>
      <c r="AT117">
        <f>OR(AND(IF(Metadata!H117="",FALSE,TRUE),OR(exact(Metadata!H117,"not collected"),exact(Metadata!H117,"not provided"),exact(Metadata!H117,"restricted access"))),AND(IF(Metadata!H117="",FALSE,ISNUMBER(VALUE(Metadata!H117))),Metadata!H117&gt;=-413.0))</f>
        <v>0</v>
      </c>
      <c r="AU117">
        <f>AND(IF(Metadata!I117="",FALSE,TRUE),exact(Metadata!I117,"meters"))</f>
        <v>0</v>
      </c>
      <c r="AV117">
        <f>AND(IF(Metadata!J117="",FALSE,TRUE),OR(exact(Metadata!J117,"Host-associated"),exact(Metadata!J117,"Free-living")))</f>
        <v>0</v>
      </c>
      <c r="AW117">
        <f>AND(IF(Metadata!K117="",FALSE,TRUE),OR(exact(Metadata!K117,"Animal"),exact(Metadata!K117,"Fungus"),exact(Metadata!K117,"Plant"),exact(Metadata!K117,"Saline"),exact(Metadata!K117,"Non-saline")))</f>
        <v>0</v>
      </c>
      <c r="AX117">
        <f>AND(IF(Metadata!L117="",FALSE,TRUE),OR(exact(Metadata!L117,"Plant secretion"),exact(Metadata!L117,"Plant rhizosphere"),exact(Metadata!L117,"Plant surface"),exact(Metadata!L117,"Plant corpus"),exact(Metadata!L117,"Fungus surface"),exact(Metadata!L117,"Fungus corpus"),exact(Metadata!L117,"Animal surface"),exact(Metadata!L117,"Animal proximal gut"),exact(Metadata!L117,"Animal corpus"),exact(Metadata!L117,"Animal distal gut"),exact(Metadata!L117,"Animal secretion"),exact(Metadata!L117,"Sub-surface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Y117">
        <f>IF(Metadata!M117="",FALSE,TRUE)</f>
        <v>0</v>
      </c>
      <c r="AZ117">
        <f>IF(Metadata!N117="",FALSE,TRUE)</f>
        <v>0</v>
      </c>
      <c r="BA117">
        <f>IF(Metadata!O117="",FALSE,TRUE)</f>
        <v>0</v>
      </c>
      <c r="BB117">
        <f>OR(AND(IF(Metadata!P117="",FALSE,TRUE),OR(exact(Metadata!P117,"not collected"),exact(Metadata!P117,"not provided"),exact(Metadata!P117,"restricted access"))),AND(IF(Metadata!P117="",FALSE,TRUE),OR(exact(Metadata!P117,"air"),exact(Metadata!P117,"built environment"),exact(Metadata!P117,"host-associated"),exact(Metadata!P117,"human-associated"),exact(Metadata!P117,"human-skin"),exact(Metadata!P117,"human-oral"),exact(Metadata!P117,"human-gut"),exact(Metadata!P117,"human-vaginal"),exact(Metadata!P117,"microbial mat/biofilm"),exact(Metadata!P117,"misc environment"),exact(Metadata!P117,"plant-associated"),exact(Metadata!P117,"sediment"),exact(Metadata!P117,"soil"),exact(Metadata!P117,"wastewater/sludge"),exact(Metadata!P117,"water"))))</f>
        <v>0</v>
      </c>
      <c r="BC117">
        <f>IF(Metadata!Q117="",FALSE,TRUE)</f>
        <v>0</v>
      </c>
      <c r="BD117">
        <f>IF(Metadata!R117="",FALSE,TRUE)</f>
        <v>0</v>
      </c>
      <c r="BE117">
        <f>OR(AND(IF(Metadata!S117="",FALSE,TRUE),OR(exact(Metadata!S117,"not collected"),exact(Metadata!S117,"not provided"),exact(Metadata!S117,"restricted access"))),AND(IF(Metadata!S117="",FALSE,ISNUMBER(VALUE(Metadata!S117))),Metadata!S117&gt;=-90.00,Metadata!S117&lt;=90.00))</f>
        <v>0</v>
      </c>
      <c r="BF117">
        <f>AND(IF(Metadata!T117="",FALSE,TRUE),exact(Metadata!T117,"Decimal degrees"))</f>
        <v>0</v>
      </c>
      <c r="BG117">
        <f>OR(AND(IF(Metadata!U117="",FALSE,TRUE),OR(exact(Metadata!U117,"not collected"),exact(Metadata!U117,"not provided"),exact(Metadata!U117,"restricted access"))),AND(IF(Metadata!U117="",FALSE,ISNUMBER(VALUE(Metadata!U117))),Metadata!U117&gt;=-180.00,Metadata!U117&lt;=180.00))</f>
        <v>0</v>
      </c>
      <c r="BH117">
        <f>AND(IF(Metadata!V117="",FALSE,TRUE),exact(Metadata!V117,"Decimal degrees"))</f>
        <v>0</v>
      </c>
      <c r="BI117">
        <f>IF(Metadata!W117="",FALSE,TRUE)</f>
        <v>0</v>
      </c>
      <c r="BJ117">
        <f>OR(AND(IF(Metadata!X117="",FALSE,TRUE),OR(exact(Metadata!X117,"not collected"),exact(Metadata!X117,"not provided"),exact(Metadata!X117,"restricted access"))),AND(IF(Metadata!X117="",FALSE,TRUE),OR(exact(Metadata!X117,"TRUE"),exact(Metadata!X117,"FALSE"))))</f>
        <v>0</v>
      </c>
      <c r="BK117">
        <f>AND(IF(Metadata!Y117="",FALSE,TRUE),exact(Metadata!Y117,"other"))</f>
        <v>0</v>
      </c>
      <c r="BL117">
        <f>IF(Metadata!Z117="",FALSE,TRUE)</f>
        <v>0</v>
      </c>
      <c r="BM117">
        <f>OR(AND(IF(Metadata!AA117="",FALSE,TRUE),OR(exact(Metadata!AA117,"not collected"),exact(Metadata!AA117,"not provided"))),AND(IF(Metadata!AA117="",FALSE,IF(ISERROR(INT(Metadata!AA117)),FALSE,INT(Metadata!AA117)=Metadata!AA117)),Metadata!AA117&gt;0))</f>
        <v>0</v>
      </c>
      <c r="BN117">
        <f>AND(IF(Metadata!AB117="",FALSE,TRUE),exact(Metadata!AB117,"Not applicable"))</f>
        <v>0</v>
      </c>
      <c r="BO117">
        <f>IF(Metadata!AC117="",FALSE,TRUE)</f>
        <v>0</v>
      </c>
    </row>
    <row r="118" spans="1:67">
      <c r="A118" s="5">
        <f>IF(B118=" "," ",HYPERLINK(CONCATENATE("#metadata!",ADDRESS(INDEX($AI$2:$AI$1001,MATCH(ROWS($AG$2:AG118),$AG$2:$AG$1001,0),0),1)),INDEX($AL$2:$AL$1001,MATCH(ROWS($AG$2:AG118),$AG$2:$AG$1001,0),0)))</f>
        <v>0</v>
      </c>
      <c r="B118" s="4">
        <f>IF(OR(INDEX($AH$2:$AH$1001,MATCH(ROWS($AG$2:AG118),$AG$2:$AG$1001,0),1)&gt;=100000,INDEX($AN$1005:$BO$1005,1,MATCH(COLUMNS($AN$1006:AN1006),$AN$1006:$BO$1006,0))&gt;=100000), " ",IF(INDEX($AN$2:$BO$1001,MATCH(ROWS($AG$2:AG118),$AG$2:$AG$1001,0),MATCH(COLUMNS($AN$1006:AN1006),$AN$1006:$BO$1006,0)), HYPERLINK("#",""), HYPERLINK(CONCATENATE("#Metadata!", ADDRESS(INDEX($AI$2:$AI$1001,MATCH(ROWS($AG$2:AG118),$AG$2:$AG$1001,0),0), INDEX($AN$1004:$BO$1004,1,MATCH(COLUMNS($AN$1006:AN1006),$AN$1006:$BO$1006,0)))),"Fix")))</f>
        <v>0</v>
      </c>
      <c r="C118" s="4">
        <f>IF(OR(INDEX($AH$2:$AH$1001,MATCH(ROWS($AG$2:AG118),$AG$2:$AG$1001,0),1)&gt;=100000,INDEX($AN$1005:$BO$1005,1,MATCH(COLUMNS($AN$1006:AO1006),$AN$1006:$BO$1006,0))&gt;=100000), " ",IF(INDEX($AN$2:$BO$1001,MATCH(ROWS($AG$2:AG118),$AG$2:$AG$1001,0),MATCH(COLUMNS($AN$1006:AO1006),$AN$1006:$BO$1006,0)), HYPERLINK("#",""), HYPERLINK(CONCATENATE("#Metadata!", ADDRESS(INDEX($AI$2:$AI$1001,MATCH(ROWS($AG$2:AG118),$AG$2:$AG$1001,0),0), INDEX($AN$1004:$BO$1004,1,MATCH(COLUMNS($AN$1006:AO1006),$AN$1006:$BO$1006,0)))),"Fix")))</f>
        <v>0</v>
      </c>
      <c r="D118" s="4">
        <f>IF(OR(INDEX($AH$2:$AH$1001,MATCH(ROWS($AG$2:AG118),$AG$2:$AG$1001,0),1)&gt;=100000,INDEX($AN$1005:$BO$1005,1,MATCH(COLUMNS($AN$1006:AP1006),$AN$1006:$BO$1006,0))&gt;=100000), " ",IF(INDEX($AN$2:$BO$1001,MATCH(ROWS($AG$2:AG118),$AG$2:$AG$1001,0),MATCH(COLUMNS($AN$1006:AP1006),$AN$1006:$BO$1006,0)), HYPERLINK("#",""), HYPERLINK(CONCATENATE("#Metadata!", ADDRESS(INDEX($AI$2:$AI$1001,MATCH(ROWS($AG$2:AG118),$AG$2:$AG$1001,0),0), INDEX($AN$1004:$BO$1004,1,MATCH(COLUMNS($AN$1006:AP1006),$AN$1006:$BO$1006,0)))),"Fix")))</f>
        <v>0</v>
      </c>
      <c r="E118" s="4">
        <f>IF(OR(INDEX($AH$2:$AH$1001,MATCH(ROWS($AG$2:AG118),$AG$2:$AG$1001,0),1)&gt;=100000,INDEX($AN$1005:$BO$1005,1,MATCH(COLUMNS($AN$1006:AQ1006),$AN$1006:$BO$1006,0))&gt;=100000), " ",IF(INDEX($AN$2:$BO$1001,MATCH(ROWS($AG$2:AG118),$AG$2:$AG$1001,0),MATCH(COLUMNS($AN$1006:AQ1006),$AN$1006:$BO$1006,0)), HYPERLINK("#",""), HYPERLINK(CONCATENATE("#Metadata!", ADDRESS(INDEX($AI$2:$AI$1001,MATCH(ROWS($AG$2:AG118),$AG$2:$AG$1001,0),0), INDEX($AN$1004:$BO$1004,1,MATCH(COLUMNS($AN$1006:AQ1006),$AN$1006:$BO$1006,0)))),"Fix")))</f>
        <v>0</v>
      </c>
      <c r="F118" s="4">
        <f>IF(OR(INDEX($AH$2:$AH$1001,MATCH(ROWS($AG$2:AG118),$AG$2:$AG$1001,0),1)&gt;=100000,INDEX($AN$1005:$BO$1005,1,MATCH(COLUMNS($AN$1006:AR1006),$AN$1006:$BO$1006,0))&gt;=100000), " ",IF(INDEX($AN$2:$BO$1001,MATCH(ROWS($AG$2:AG118),$AG$2:$AG$1001,0),MATCH(COLUMNS($AN$1006:AR1006),$AN$1006:$BO$1006,0)), HYPERLINK("#",""), HYPERLINK(CONCATENATE("#Metadata!", ADDRESS(INDEX($AI$2:$AI$1001,MATCH(ROWS($AG$2:AG118),$AG$2:$AG$1001,0),0), INDEX($AN$1004:$BO$1004,1,MATCH(COLUMNS($AN$1006:AR1006),$AN$1006:$BO$1006,0)))),"Fix")))</f>
        <v>0</v>
      </c>
      <c r="G118" s="4">
        <f>IF(OR(INDEX($AH$2:$AH$1001,MATCH(ROWS($AG$2:AG118),$AG$2:$AG$1001,0),1)&gt;=100000,INDEX($AN$1005:$BO$1005,1,MATCH(COLUMNS($AN$1006:AS1006),$AN$1006:$BO$1006,0))&gt;=100000), " ",IF(INDEX($AN$2:$BO$1001,MATCH(ROWS($AG$2:AG118),$AG$2:$AG$1001,0),MATCH(COLUMNS($AN$1006:AS1006),$AN$1006:$BO$1006,0)), HYPERLINK("#",""), HYPERLINK(CONCATENATE("#Metadata!", ADDRESS(INDEX($AI$2:$AI$1001,MATCH(ROWS($AG$2:AG118),$AG$2:$AG$1001,0),0), INDEX($AN$1004:$BO$1004,1,MATCH(COLUMNS($AN$1006:AS1006),$AN$1006:$BO$1006,0)))),"Fix")))</f>
        <v>0</v>
      </c>
      <c r="H118" s="4">
        <f>IF(OR(INDEX($AH$2:$AH$1001,MATCH(ROWS($AG$2:AG118),$AG$2:$AG$1001,0),1)&gt;=100000,INDEX($AN$1005:$BO$1005,1,MATCH(COLUMNS($AN$1006:AT1006),$AN$1006:$BO$1006,0))&gt;=100000), " ",IF(INDEX($AN$2:$BO$1001,MATCH(ROWS($AG$2:AG118),$AG$2:$AG$1001,0),MATCH(COLUMNS($AN$1006:AT1006),$AN$1006:$BO$1006,0)), HYPERLINK("#",""), HYPERLINK(CONCATENATE("#Metadata!", ADDRESS(INDEX($AI$2:$AI$1001,MATCH(ROWS($AG$2:AG118),$AG$2:$AG$1001,0),0), INDEX($AN$1004:$BO$1004,1,MATCH(COLUMNS($AN$1006:AT1006),$AN$1006:$BO$1006,0)))),"Fix")))</f>
        <v>0</v>
      </c>
      <c r="I118" s="4">
        <f>IF(OR(INDEX($AH$2:$AH$1001,MATCH(ROWS($AG$2:AG118),$AG$2:$AG$1001,0),1)&gt;=100000,INDEX($AN$1005:$BO$1005,1,MATCH(COLUMNS($AN$1006:AU1006),$AN$1006:$BO$1006,0))&gt;=100000), " ",IF(INDEX($AN$2:$BO$1001,MATCH(ROWS($AG$2:AG118),$AG$2:$AG$1001,0),MATCH(COLUMNS($AN$1006:AU1006),$AN$1006:$BO$1006,0)), HYPERLINK("#",""), HYPERLINK(CONCATENATE("#Metadata!", ADDRESS(INDEX($AI$2:$AI$1001,MATCH(ROWS($AG$2:AG118),$AG$2:$AG$1001,0),0), INDEX($AN$1004:$BO$1004,1,MATCH(COLUMNS($AN$1006:AU1006),$AN$1006:$BO$1006,0)))),"Fix")))</f>
        <v>0</v>
      </c>
      <c r="J118" s="4">
        <f>IF(OR(INDEX($AH$2:$AH$1001,MATCH(ROWS($AG$2:AG118),$AG$2:$AG$1001,0),1)&gt;=100000,INDEX($AN$1005:$BO$1005,1,MATCH(COLUMNS($AN$1006:AV1006),$AN$1006:$BO$1006,0))&gt;=100000), " ",IF(INDEX($AN$2:$BO$1001,MATCH(ROWS($AG$2:AG118),$AG$2:$AG$1001,0),MATCH(COLUMNS($AN$1006:AV1006),$AN$1006:$BO$1006,0)), HYPERLINK("#",""), HYPERLINK(CONCATENATE("#Metadata!", ADDRESS(INDEX($AI$2:$AI$1001,MATCH(ROWS($AG$2:AG118),$AG$2:$AG$1001,0),0), INDEX($AN$1004:$BO$1004,1,MATCH(COLUMNS($AN$1006:AV1006),$AN$1006:$BO$1006,0)))),"Fix")))</f>
        <v>0</v>
      </c>
      <c r="K118" s="4">
        <f>IF(OR(INDEX($AH$2:$AH$1001,MATCH(ROWS($AG$2:AG118),$AG$2:$AG$1001,0),1)&gt;=100000,INDEX($AN$1005:$BO$1005,1,MATCH(COLUMNS($AN$1006:AW1006),$AN$1006:$BO$1006,0))&gt;=100000), " ",IF(INDEX($AN$2:$BO$1001,MATCH(ROWS($AG$2:AG118),$AG$2:$AG$1001,0),MATCH(COLUMNS($AN$1006:AW1006),$AN$1006:$BO$1006,0)), HYPERLINK("#",""), HYPERLINK(CONCATENATE("#Metadata!", ADDRESS(INDEX($AI$2:$AI$1001,MATCH(ROWS($AG$2:AG118),$AG$2:$AG$1001,0),0), INDEX($AN$1004:$BO$1004,1,MATCH(COLUMNS($AN$1006:AW1006),$AN$1006:$BO$1006,0)))),"Fix")))</f>
        <v>0</v>
      </c>
      <c r="L118" s="4">
        <f>IF(OR(INDEX($AH$2:$AH$1001,MATCH(ROWS($AG$2:AG118),$AG$2:$AG$1001,0),1)&gt;=100000,INDEX($AN$1005:$BO$1005,1,MATCH(COLUMNS($AN$1006:AX1006),$AN$1006:$BO$1006,0))&gt;=100000), " ",IF(INDEX($AN$2:$BO$1001,MATCH(ROWS($AG$2:AG118),$AG$2:$AG$1001,0),MATCH(COLUMNS($AN$1006:AX1006),$AN$1006:$BO$1006,0)), HYPERLINK("#",""), HYPERLINK(CONCATENATE("#Metadata!", ADDRESS(INDEX($AI$2:$AI$1001,MATCH(ROWS($AG$2:AG118),$AG$2:$AG$1001,0),0), INDEX($AN$1004:$BO$1004,1,MATCH(COLUMNS($AN$1006:AX1006),$AN$1006:$BO$1006,0)))),"Fix")))</f>
        <v>0</v>
      </c>
      <c r="M118" s="4">
        <f>IF(OR(INDEX($AH$2:$AH$1001,MATCH(ROWS($AG$2:AG118),$AG$2:$AG$1001,0),1)&gt;=100000,INDEX($AN$1005:$BO$1005,1,MATCH(COLUMNS($AN$1006:AY1006),$AN$1006:$BO$1006,0))&gt;=100000), " ",IF(INDEX($AN$2:$BO$1001,MATCH(ROWS($AG$2:AG118),$AG$2:$AG$1001,0),MATCH(COLUMNS($AN$1006:AY1006),$AN$1006:$BO$1006,0)), HYPERLINK("#",""), HYPERLINK(CONCATENATE("#Metadata!", ADDRESS(INDEX($AI$2:$AI$1001,MATCH(ROWS($AG$2:AG118),$AG$2:$AG$1001,0),0), INDEX($AN$1004:$BO$1004,1,MATCH(COLUMNS($AN$1006:AY1006),$AN$1006:$BO$1006,0)))),"Fix")))</f>
        <v>0</v>
      </c>
      <c r="N118" s="4">
        <f>IF(OR(INDEX($AH$2:$AH$1001,MATCH(ROWS($AG$2:AG118),$AG$2:$AG$1001,0),1)&gt;=100000,INDEX($AN$1005:$BO$1005,1,MATCH(COLUMNS($AN$1006:AZ1006),$AN$1006:$BO$1006,0))&gt;=100000), " ",IF(INDEX($AN$2:$BO$1001,MATCH(ROWS($AG$2:AG118),$AG$2:$AG$1001,0),MATCH(COLUMNS($AN$1006:AZ1006),$AN$1006:$BO$1006,0)), HYPERLINK("#",""), HYPERLINK(CONCATENATE("#Metadata!", ADDRESS(INDEX($AI$2:$AI$1001,MATCH(ROWS($AG$2:AG118),$AG$2:$AG$1001,0),0), INDEX($AN$1004:$BO$1004,1,MATCH(COLUMNS($AN$1006:AZ1006),$AN$1006:$BO$1006,0)))),"Fix")))</f>
        <v>0</v>
      </c>
      <c r="O118" s="4">
        <f>IF(OR(INDEX($AH$2:$AH$1001,MATCH(ROWS($AG$2:AG118),$AG$2:$AG$1001,0),1)&gt;=100000,INDEX($AN$1005:$BO$1005,1,MATCH(COLUMNS($AN$1006:BA1006),$AN$1006:$BO$1006,0))&gt;=100000), " ",IF(INDEX($AN$2:$BO$1001,MATCH(ROWS($AG$2:AG118),$AG$2:$AG$1001,0),MATCH(COLUMNS($AN$1006:BA1006),$AN$1006:$BO$1006,0)), HYPERLINK("#",""), HYPERLINK(CONCATENATE("#Metadata!", ADDRESS(INDEX($AI$2:$AI$1001,MATCH(ROWS($AG$2:AG118),$AG$2:$AG$1001,0),0), INDEX($AN$1004:$BO$1004,1,MATCH(COLUMNS($AN$1006:BA1006),$AN$1006:$BO$1006,0)))),"Fix")))</f>
        <v>0</v>
      </c>
      <c r="P118" s="4">
        <f>IF(OR(INDEX($AH$2:$AH$1001,MATCH(ROWS($AG$2:AG118),$AG$2:$AG$1001,0),1)&gt;=100000,INDEX($AN$1005:$BO$1005,1,MATCH(COLUMNS($AN$1006:BB1006),$AN$1006:$BO$1006,0))&gt;=100000), " ",IF(INDEX($AN$2:$BO$1001,MATCH(ROWS($AG$2:AG118),$AG$2:$AG$1001,0),MATCH(COLUMNS($AN$1006:BB1006),$AN$1006:$BO$1006,0)), HYPERLINK("#",""), HYPERLINK(CONCATENATE("#Metadata!", ADDRESS(INDEX($AI$2:$AI$1001,MATCH(ROWS($AG$2:AG118),$AG$2:$AG$1001,0),0), INDEX($AN$1004:$BO$1004,1,MATCH(COLUMNS($AN$1006:BB1006),$AN$1006:$BO$1006,0)))),"Fix")))</f>
        <v>0</v>
      </c>
      <c r="Q118" s="4">
        <f>IF(OR(INDEX($AH$2:$AH$1001,MATCH(ROWS($AG$2:AG118),$AG$2:$AG$1001,0),1)&gt;=100000,INDEX($AN$1005:$BO$1005,1,MATCH(COLUMNS($AN$1006:BC1006),$AN$1006:$BO$1006,0))&gt;=100000), " ",IF(INDEX($AN$2:$BO$1001,MATCH(ROWS($AG$2:AG118),$AG$2:$AG$1001,0),MATCH(COLUMNS($AN$1006:BC1006),$AN$1006:$BO$1006,0)), HYPERLINK("#",""), HYPERLINK(CONCATENATE("#Metadata!", ADDRESS(INDEX($AI$2:$AI$1001,MATCH(ROWS($AG$2:AG118),$AG$2:$AG$1001,0),0), INDEX($AN$1004:$BO$1004,1,MATCH(COLUMNS($AN$1006:BC1006),$AN$1006:$BO$1006,0)))),"Fix")))</f>
        <v>0</v>
      </c>
      <c r="R118" s="4">
        <f>IF(OR(INDEX($AH$2:$AH$1001,MATCH(ROWS($AG$2:AG118),$AG$2:$AG$1001,0),1)&gt;=100000,INDEX($AN$1005:$BO$1005,1,MATCH(COLUMNS($AN$1006:BD1006),$AN$1006:$BO$1006,0))&gt;=100000), " ",IF(INDEX($AN$2:$BO$1001,MATCH(ROWS($AG$2:AG118),$AG$2:$AG$1001,0),MATCH(COLUMNS($AN$1006:BD1006),$AN$1006:$BO$1006,0)), HYPERLINK("#",""), HYPERLINK(CONCATENATE("#Metadata!", ADDRESS(INDEX($AI$2:$AI$1001,MATCH(ROWS($AG$2:AG118),$AG$2:$AG$1001,0),0), INDEX($AN$1004:$BO$1004,1,MATCH(COLUMNS($AN$1006:BD1006),$AN$1006:$BO$1006,0)))),"Fix")))</f>
        <v>0</v>
      </c>
      <c r="S118" s="4">
        <f>IF(OR(INDEX($AH$2:$AH$1001,MATCH(ROWS($AG$2:AG118),$AG$2:$AG$1001,0),1)&gt;=100000,INDEX($AN$1005:$BO$1005,1,MATCH(COLUMNS($AN$1006:BE1006),$AN$1006:$BO$1006,0))&gt;=100000), " ",IF(INDEX($AN$2:$BO$1001,MATCH(ROWS($AG$2:AG118),$AG$2:$AG$1001,0),MATCH(COLUMNS($AN$1006:BE1006),$AN$1006:$BO$1006,0)), HYPERLINK("#",""), HYPERLINK(CONCATENATE("#Metadata!", ADDRESS(INDEX($AI$2:$AI$1001,MATCH(ROWS($AG$2:AG118),$AG$2:$AG$1001,0),0), INDEX($AN$1004:$BO$1004,1,MATCH(COLUMNS($AN$1006:BE1006),$AN$1006:$BO$1006,0)))),"Fix")))</f>
        <v>0</v>
      </c>
      <c r="T118" s="4">
        <f>IF(OR(INDEX($AH$2:$AH$1001,MATCH(ROWS($AG$2:AG118),$AG$2:$AG$1001,0),1)&gt;=100000,INDEX($AN$1005:$BO$1005,1,MATCH(COLUMNS($AN$1006:BF1006),$AN$1006:$BO$1006,0))&gt;=100000), " ",IF(INDEX($AN$2:$BO$1001,MATCH(ROWS($AG$2:AG118),$AG$2:$AG$1001,0),MATCH(COLUMNS($AN$1006:BF1006),$AN$1006:$BO$1006,0)), HYPERLINK("#",""), HYPERLINK(CONCATENATE("#Metadata!", ADDRESS(INDEX($AI$2:$AI$1001,MATCH(ROWS($AG$2:AG118),$AG$2:$AG$1001,0),0), INDEX($AN$1004:$BO$1004,1,MATCH(COLUMNS($AN$1006:BF1006),$AN$1006:$BO$1006,0)))),"Fix")))</f>
        <v>0</v>
      </c>
      <c r="U118" s="4">
        <f>IF(OR(INDEX($AH$2:$AH$1001,MATCH(ROWS($AG$2:AG118),$AG$2:$AG$1001,0),1)&gt;=100000,INDEX($AN$1005:$BO$1005,1,MATCH(COLUMNS($AN$1006:BG1006),$AN$1006:$BO$1006,0))&gt;=100000), " ",IF(INDEX($AN$2:$BO$1001,MATCH(ROWS($AG$2:AG118),$AG$2:$AG$1001,0),MATCH(COLUMNS($AN$1006:BG1006),$AN$1006:$BO$1006,0)), HYPERLINK("#",""), HYPERLINK(CONCATENATE("#Metadata!", ADDRESS(INDEX($AI$2:$AI$1001,MATCH(ROWS($AG$2:AG118),$AG$2:$AG$1001,0),0), INDEX($AN$1004:$BO$1004,1,MATCH(COLUMNS($AN$1006:BG1006),$AN$1006:$BO$1006,0)))),"Fix")))</f>
        <v>0</v>
      </c>
      <c r="V118" s="4">
        <f>IF(OR(INDEX($AH$2:$AH$1001,MATCH(ROWS($AG$2:AG118),$AG$2:$AG$1001,0),1)&gt;=100000,INDEX($AN$1005:$BO$1005,1,MATCH(COLUMNS($AN$1006:BH1006),$AN$1006:$BO$1006,0))&gt;=100000), " ",IF(INDEX($AN$2:$BO$1001,MATCH(ROWS($AG$2:AG118),$AG$2:$AG$1001,0),MATCH(COLUMNS($AN$1006:BH1006),$AN$1006:$BO$1006,0)), HYPERLINK("#",""), HYPERLINK(CONCATENATE("#Metadata!", ADDRESS(INDEX($AI$2:$AI$1001,MATCH(ROWS($AG$2:AG118),$AG$2:$AG$1001,0),0), INDEX($AN$1004:$BO$1004,1,MATCH(COLUMNS($AN$1006:BH1006),$AN$1006:$BO$1006,0)))),"Fix")))</f>
        <v>0</v>
      </c>
      <c r="W118" s="4">
        <f>IF(OR(INDEX($AH$2:$AH$1001,MATCH(ROWS($AG$2:AG118),$AG$2:$AG$1001,0),1)&gt;=100000,INDEX($AN$1005:$BO$1005,1,MATCH(COLUMNS($AN$1006:BI1006),$AN$1006:$BO$1006,0))&gt;=100000), " ",IF(INDEX($AN$2:$BO$1001,MATCH(ROWS($AG$2:AG118),$AG$2:$AG$1001,0),MATCH(COLUMNS($AN$1006:BI1006),$AN$1006:$BO$1006,0)), HYPERLINK("#",""), HYPERLINK(CONCATENATE("#Metadata!", ADDRESS(INDEX($AI$2:$AI$1001,MATCH(ROWS($AG$2:AG118),$AG$2:$AG$1001,0),0), INDEX($AN$1004:$BO$1004,1,MATCH(COLUMNS($AN$1006:BI1006),$AN$1006:$BO$1006,0)))),"Fix")))</f>
        <v>0</v>
      </c>
      <c r="X118" s="4">
        <f>IF(OR(INDEX($AH$2:$AH$1001,MATCH(ROWS($AG$2:AG118),$AG$2:$AG$1001,0),1)&gt;=100000,INDEX($AN$1005:$BO$1005,1,MATCH(COLUMNS($AN$1006:BJ1006),$AN$1006:$BO$1006,0))&gt;=100000), " ",IF(INDEX($AN$2:$BO$1001,MATCH(ROWS($AG$2:AG118),$AG$2:$AG$1001,0),MATCH(COLUMNS($AN$1006:BJ1006),$AN$1006:$BO$1006,0)), HYPERLINK("#",""), HYPERLINK(CONCATENATE("#Metadata!", ADDRESS(INDEX($AI$2:$AI$1001,MATCH(ROWS($AG$2:AG118),$AG$2:$AG$1001,0),0), INDEX($AN$1004:$BO$1004,1,MATCH(COLUMNS($AN$1006:BJ1006),$AN$1006:$BO$1006,0)))),"Fix")))</f>
        <v>0</v>
      </c>
      <c r="Y118" s="4">
        <f>IF(OR(INDEX($AH$2:$AH$1001,MATCH(ROWS($AG$2:AG118),$AG$2:$AG$1001,0),1)&gt;=100000,INDEX($AN$1005:$BO$1005,1,MATCH(COLUMNS($AN$1006:BK1006),$AN$1006:$BO$1006,0))&gt;=100000), " ",IF(INDEX($AN$2:$BO$1001,MATCH(ROWS($AG$2:AG118),$AG$2:$AG$1001,0),MATCH(COLUMNS($AN$1006:BK1006),$AN$1006:$BO$1006,0)), HYPERLINK("#",""), HYPERLINK(CONCATENATE("#Metadata!", ADDRESS(INDEX($AI$2:$AI$1001,MATCH(ROWS($AG$2:AG118),$AG$2:$AG$1001,0),0), INDEX($AN$1004:$BO$1004,1,MATCH(COLUMNS($AN$1006:BK1006),$AN$1006:$BO$1006,0)))),"Fix")))</f>
        <v>0</v>
      </c>
      <c r="Z118" s="4">
        <f>IF(OR(INDEX($AH$2:$AH$1001,MATCH(ROWS($AG$2:AG118),$AG$2:$AG$1001,0),1)&gt;=100000,INDEX($AN$1005:$BO$1005,1,MATCH(COLUMNS($AN$1006:BL1006),$AN$1006:$BO$1006,0))&gt;=100000), " ",IF(INDEX($AN$2:$BO$1001,MATCH(ROWS($AG$2:AG118),$AG$2:$AG$1001,0),MATCH(COLUMNS($AN$1006:BL1006),$AN$1006:$BO$1006,0)), HYPERLINK("#",""), HYPERLINK(CONCATENATE("#Metadata!", ADDRESS(INDEX($AI$2:$AI$1001,MATCH(ROWS($AG$2:AG118),$AG$2:$AG$1001,0),0), INDEX($AN$1004:$BO$1004,1,MATCH(COLUMNS($AN$1006:BL1006),$AN$1006:$BO$1006,0)))),"Fix")))</f>
        <v>0</v>
      </c>
      <c r="AA118" s="4">
        <f>IF(OR(INDEX($AH$2:$AH$1001,MATCH(ROWS($AG$2:AG118),$AG$2:$AG$1001,0),1)&gt;=100000,INDEX($AN$1005:$BO$1005,1,MATCH(COLUMNS($AN$1006:BM1006),$AN$1006:$BO$1006,0))&gt;=100000), " ",IF(INDEX($AN$2:$BO$1001,MATCH(ROWS($AG$2:AG118),$AG$2:$AG$1001,0),MATCH(COLUMNS($AN$1006:BM1006),$AN$1006:$BO$1006,0)), HYPERLINK("#",""), HYPERLINK(CONCATENATE("#Metadata!", ADDRESS(INDEX($AI$2:$AI$1001,MATCH(ROWS($AG$2:AG118),$AG$2:$AG$1001,0),0), INDEX($AN$1004:$BO$1004,1,MATCH(COLUMNS($AN$1006:BM1006),$AN$1006:$BO$1006,0)))),"Fix")))</f>
        <v>0</v>
      </c>
      <c r="AB118" s="4">
        <f>IF(OR(INDEX($AH$2:$AH$1001,MATCH(ROWS($AG$2:AG118),$AG$2:$AG$1001,0),1)&gt;=100000,INDEX($AN$1005:$BO$1005,1,MATCH(COLUMNS($AN$1006:BN1006),$AN$1006:$BO$1006,0))&gt;=100000), " ",IF(INDEX($AN$2:$BO$1001,MATCH(ROWS($AG$2:AG118),$AG$2:$AG$1001,0),MATCH(COLUMNS($AN$1006:BN1006),$AN$1006:$BO$1006,0)), HYPERLINK("#",""), HYPERLINK(CONCATENATE("#Metadata!", ADDRESS(INDEX($AI$2:$AI$1001,MATCH(ROWS($AG$2:AG118),$AG$2:$AG$1001,0),0), INDEX($AN$1004:$BO$1004,1,MATCH(COLUMNS($AN$1006:BN1006),$AN$1006:$BO$1006,0)))),"Fix")))</f>
        <v>0</v>
      </c>
      <c r="AC118" s="4">
        <f>IF(OR(INDEX($AH$2:$AH$1001,MATCH(ROWS($AG$2:AG118),$AG$2:$AG$1001,0),1)&gt;=100000,INDEX($AN$1005:$BO$1005,1,MATCH(COLUMNS($AN$1006:BO1006),$AN$1006:$BO$1006,0))&gt;=100000), " ",IF(INDEX($AN$2:$BO$1001,MATCH(ROWS($AG$2:AG118),$AG$2:$AG$1001,0),MATCH(COLUMNS($AN$1006:BO1006),$AN$1006:$BO$1006,0)), HYPERLINK("#",""), HYPERLINK(CONCATENATE("#Metadata!", ADDRESS(INDEX($AI$2:$AI$1001,MATCH(ROWS($AG$2:AG118),$AG$2:$AG$1001,0),0), INDEX($AN$1004:$BO$1004,1,MATCH(COLUMNS($AN$1006:BO1006),$AN$1006:$BO$1006,0)))),"Fix")))</f>
        <v>0</v>
      </c>
      <c r="AG118">
        <v>0</v>
      </c>
      <c r="AH118">
        <v>0</v>
      </c>
      <c r="AI118">
        <v>0</v>
      </c>
      <c r="AJ118">
        <f>IF(AK118,TRUE,AND(AN118:BO118))</f>
        <v>0</v>
      </c>
      <c r="AK118">
        <f>COUNTBLANK(Metadata!B118:AC118)=COLUMNS(Metadata!B118:AC118)</f>
        <v>0</v>
      </c>
      <c r="AL118">
        <v>0</v>
      </c>
      <c r="AN118">
        <f>AND(IF(Metadata!B118="",FALSE,TRUE),COUNTIF(Metadata!B:B, Metadata!B118) = 1,NOT(ISERROR(SUMPRODUCT(SEARCH(MID(Metadata!B118,ROW(INDIRECT("1:"&amp;LEN(Metadata!B118))), 1),"0123456789abcdefghijklmnopqrstuvwxyzABCDEFGHIJKLMNOPQRSTUVWXYZ.")))))</f>
        <v>0</v>
      </c>
      <c r="AO118">
        <f>IF(Metadata!C118="",FALSE,TRUE)</f>
        <v>0</v>
      </c>
      <c r="AP118">
        <f>IF(Metadata!D118="",FALSE,TRUE)</f>
        <v>0</v>
      </c>
      <c r="AQ118">
        <f>OR(AND(IF(Metadata!E118="",FALSE,TRUE),OR(exact(Metadata!E118,"not collected"),exact(Metadata!E118,"not provided"),exact(Metadata!E118,"restricted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R118">
        <f>IF(Metadata!F118="",FALSE,TRUE)</f>
        <v>0</v>
      </c>
      <c r="AS118">
        <f>OR(AND(IF(Metadata!G118="",FALSE,TRUE),OR(exact(Metadata!G118,"not collected"),exact(Metadata!G118,"not provided"))),AND(IF(Metadata!G118="",FALSE,TRUE),OR(exact(Metadata!G118,"TRUE"),exact(Metadata!G118,"FALSE"))))</f>
        <v>0</v>
      </c>
      <c r="AT118">
        <f>OR(AND(IF(Metadata!H118="",FALSE,TRUE),OR(exact(Metadata!H118,"not collected"),exact(Metadata!H118,"not provided"),exact(Metadata!H118,"restricted access"))),AND(IF(Metadata!H118="",FALSE,ISNUMBER(VALUE(Metadata!H118))),Metadata!H118&gt;=-413.0))</f>
        <v>0</v>
      </c>
      <c r="AU118">
        <f>AND(IF(Metadata!I118="",FALSE,TRUE),exact(Metadata!I118,"meters"))</f>
        <v>0</v>
      </c>
      <c r="AV118">
        <f>AND(IF(Metadata!J118="",FALSE,TRUE),OR(exact(Metadata!J118,"Host-associated"),exact(Metadata!J118,"Free-living")))</f>
        <v>0</v>
      </c>
      <c r="AW118">
        <f>AND(IF(Metadata!K118="",FALSE,TRUE),OR(exact(Metadata!K118,"Animal"),exact(Metadata!K118,"Fungus"),exact(Metadata!K118,"Plant"),exact(Metadata!K118,"Saline"),exact(Metadata!K118,"Non-saline")))</f>
        <v>0</v>
      </c>
      <c r="AX118">
        <f>AND(IF(Metadata!L118="",FALSE,TRUE),OR(exact(Metadata!L118,"Plant secretion"),exact(Metadata!L118,"Plant rhizosphere"),exact(Metadata!L118,"Plant surface"),exact(Metadata!L118,"Plant corpus"),exact(Metadata!L118,"Fungus surface"),exact(Metadata!L118,"Fungus corpus"),exact(Metadata!L118,"Animal surface"),exact(Metadata!L118,"Animal proximal gut"),exact(Metadata!L118,"Animal corpus"),exact(Metadata!L118,"Animal distal gut"),exact(Metadata!L118,"Animal secretion"),exact(Metadata!L118,"Sub-surface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Y118">
        <f>IF(Metadata!M118="",FALSE,TRUE)</f>
        <v>0</v>
      </c>
      <c r="AZ118">
        <f>IF(Metadata!N118="",FALSE,TRUE)</f>
        <v>0</v>
      </c>
      <c r="BA118">
        <f>IF(Metadata!O118="",FALSE,TRUE)</f>
        <v>0</v>
      </c>
      <c r="BB118">
        <f>OR(AND(IF(Metadata!P118="",FALSE,TRUE),OR(exact(Metadata!P118,"not collected"),exact(Metadata!P118,"not provided"),exact(Metadata!P118,"restricted access"))),AND(IF(Metadata!P118="",FALSE,TRUE),OR(exact(Metadata!P118,"air"),exact(Metadata!P118,"built environment"),exact(Metadata!P118,"host-associated"),exact(Metadata!P118,"human-associated"),exact(Metadata!P118,"human-skin"),exact(Metadata!P118,"human-oral"),exact(Metadata!P118,"human-gut"),exact(Metadata!P118,"human-vaginal"),exact(Metadata!P118,"microbial mat/biofilm"),exact(Metadata!P118,"misc environment"),exact(Metadata!P118,"plant-associated"),exact(Metadata!P118,"sediment"),exact(Metadata!P118,"soil"),exact(Metadata!P118,"wastewater/sludge"),exact(Metadata!P118,"water"))))</f>
        <v>0</v>
      </c>
      <c r="BC118">
        <f>IF(Metadata!Q118="",FALSE,TRUE)</f>
        <v>0</v>
      </c>
      <c r="BD118">
        <f>IF(Metadata!R118="",FALSE,TRUE)</f>
        <v>0</v>
      </c>
      <c r="BE118">
        <f>OR(AND(IF(Metadata!S118="",FALSE,TRUE),OR(exact(Metadata!S118,"not collected"),exact(Metadata!S118,"not provided"),exact(Metadata!S118,"restricted access"))),AND(IF(Metadata!S118="",FALSE,ISNUMBER(VALUE(Metadata!S118))),Metadata!S118&gt;=-90.00,Metadata!S118&lt;=90.00))</f>
        <v>0</v>
      </c>
      <c r="BF118">
        <f>AND(IF(Metadata!T118="",FALSE,TRUE),exact(Metadata!T118,"Decimal degrees"))</f>
        <v>0</v>
      </c>
      <c r="BG118">
        <f>OR(AND(IF(Metadata!U118="",FALSE,TRUE),OR(exact(Metadata!U118,"not collected"),exact(Metadata!U118,"not provided"),exact(Metadata!U118,"restricted access"))),AND(IF(Metadata!U118="",FALSE,ISNUMBER(VALUE(Metadata!U118))),Metadata!U118&gt;=-180.00,Metadata!U118&lt;=180.00))</f>
        <v>0</v>
      </c>
      <c r="BH118">
        <f>AND(IF(Metadata!V118="",FALSE,TRUE),exact(Metadata!V118,"Decimal degrees"))</f>
        <v>0</v>
      </c>
      <c r="BI118">
        <f>IF(Metadata!W118="",FALSE,TRUE)</f>
        <v>0</v>
      </c>
      <c r="BJ118">
        <f>OR(AND(IF(Metadata!X118="",FALSE,TRUE),OR(exact(Metadata!X118,"not collected"),exact(Metadata!X118,"not provided"),exact(Metadata!X118,"restricted access"))),AND(IF(Metadata!X118="",FALSE,TRUE),OR(exact(Metadata!X118,"TRUE"),exact(Metadata!X118,"FALSE"))))</f>
        <v>0</v>
      </c>
      <c r="BK118">
        <f>AND(IF(Metadata!Y118="",FALSE,TRUE),exact(Metadata!Y118,"other"))</f>
        <v>0</v>
      </c>
      <c r="BL118">
        <f>IF(Metadata!Z118="",FALSE,TRUE)</f>
        <v>0</v>
      </c>
      <c r="BM118">
        <f>OR(AND(IF(Metadata!AA118="",FALSE,TRUE),OR(exact(Metadata!AA118,"not collected"),exact(Metadata!AA118,"not provided"))),AND(IF(Metadata!AA118="",FALSE,IF(ISERROR(INT(Metadata!AA118)),FALSE,INT(Metadata!AA118)=Metadata!AA118)),Metadata!AA118&gt;0))</f>
        <v>0</v>
      </c>
      <c r="BN118">
        <f>AND(IF(Metadata!AB118="",FALSE,TRUE),exact(Metadata!AB118,"Not applicable"))</f>
        <v>0</v>
      </c>
      <c r="BO118">
        <f>IF(Metadata!AC118="",FALSE,TRUE)</f>
        <v>0</v>
      </c>
    </row>
    <row r="119" spans="1:67">
      <c r="A119" s="5">
        <f>IF(B119=" "," ",HYPERLINK(CONCATENATE("#metadata!",ADDRESS(INDEX($AI$2:$AI$1001,MATCH(ROWS($AG$2:AG119),$AG$2:$AG$1001,0),0),1)),INDEX($AL$2:$AL$1001,MATCH(ROWS($AG$2:AG119),$AG$2:$AG$1001,0),0)))</f>
        <v>0</v>
      </c>
      <c r="B119" s="4">
        <f>IF(OR(INDEX($AH$2:$AH$1001,MATCH(ROWS($AG$2:AG119),$AG$2:$AG$1001,0),1)&gt;=100000,INDEX($AN$1005:$BO$1005,1,MATCH(COLUMNS($AN$1006:AN1006),$AN$1006:$BO$1006,0))&gt;=100000), " ",IF(INDEX($AN$2:$BO$1001,MATCH(ROWS($AG$2:AG119),$AG$2:$AG$1001,0),MATCH(COLUMNS($AN$1006:AN1006),$AN$1006:$BO$1006,0)), HYPERLINK("#",""), HYPERLINK(CONCATENATE("#Metadata!", ADDRESS(INDEX($AI$2:$AI$1001,MATCH(ROWS($AG$2:AG119),$AG$2:$AG$1001,0),0), INDEX($AN$1004:$BO$1004,1,MATCH(COLUMNS($AN$1006:AN1006),$AN$1006:$BO$1006,0)))),"Fix")))</f>
        <v>0</v>
      </c>
      <c r="C119" s="4">
        <f>IF(OR(INDEX($AH$2:$AH$1001,MATCH(ROWS($AG$2:AG119),$AG$2:$AG$1001,0),1)&gt;=100000,INDEX($AN$1005:$BO$1005,1,MATCH(COLUMNS($AN$1006:AO1006),$AN$1006:$BO$1006,0))&gt;=100000), " ",IF(INDEX($AN$2:$BO$1001,MATCH(ROWS($AG$2:AG119),$AG$2:$AG$1001,0),MATCH(COLUMNS($AN$1006:AO1006),$AN$1006:$BO$1006,0)), HYPERLINK("#",""), HYPERLINK(CONCATENATE("#Metadata!", ADDRESS(INDEX($AI$2:$AI$1001,MATCH(ROWS($AG$2:AG119),$AG$2:$AG$1001,0),0), INDEX($AN$1004:$BO$1004,1,MATCH(COLUMNS($AN$1006:AO1006),$AN$1006:$BO$1006,0)))),"Fix")))</f>
        <v>0</v>
      </c>
      <c r="D119" s="4">
        <f>IF(OR(INDEX($AH$2:$AH$1001,MATCH(ROWS($AG$2:AG119),$AG$2:$AG$1001,0),1)&gt;=100000,INDEX($AN$1005:$BO$1005,1,MATCH(COLUMNS($AN$1006:AP1006),$AN$1006:$BO$1006,0))&gt;=100000), " ",IF(INDEX($AN$2:$BO$1001,MATCH(ROWS($AG$2:AG119),$AG$2:$AG$1001,0),MATCH(COLUMNS($AN$1006:AP1006),$AN$1006:$BO$1006,0)), HYPERLINK("#",""), HYPERLINK(CONCATENATE("#Metadata!", ADDRESS(INDEX($AI$2:$AI$1001,MATCH(ROWS($AG$2:AG119),$AG$2:$AG$1001,0),0), INDEX($AN$1004:$BO$1004,1,MATCH(COLUMNS($AN$1006:AP1006),$AN$1006:$BO$1006,0)))),"Fix")))</f>
        <v>0</v>
      </c>
      <c r="E119" s="4">
        <f>IF(OR(INDEX($AH$2:$AH$1001,MATCH(ROWS($AG$2:AG119),$AG$2:$AG$1001,0),1)&gt;=100000,INDEX($AN$1005:$BO$1005,1,MATCH(COLUMNS($AN$1006:AQ1006),$AN$1006:$BO$1006,0))&gt;=100000), " ",IF(INDEX($AN$2:$BO$1001,MATCH(ROWS($AG$2:AG119),$AG$2:$AG$1001,0),MATCH(COLUMNS($AN$1006:AQ1006),$AN$1006:$BO$1006,0)), HYPERLINK("#",""), HYPERLINK(CONCATENATE("#Metadata!", ADDRESS(INDEX($AI$2:$AI$1001,MATCH(ROWS($AG$2:AG119),$AG$2:$AG$1001,0),0), INDEX($AN$1004:$BO$1004,1,MATCH(COLUMNS($AN$1006:AQ1006),$AN$1006:$BO$1006,0)))),"Fix")))</f>
        <v>0</v>
      </c>
      <c r="F119" s="4">
        <f>IF(OR(INDEX($AH$2:$AH$1001,MATCH(ROWS($AG$2:AG119),$AG$2:$AG$1001,0),1)&gt;=100000,INDEX($AN$1005:$BO$1005,1,MATCH(COLUMNS($AN$1006:AR1006),$AN$1006:$BO$1006,0))&gt;=100000), " ",IF(INDEX($AN$2:$BO$1001,MATCH(ROWS($AG$2:AG119),$AG$2:$AG$1001,0),MATCH(COLUMNS($AN$1006:AR1006),$AN$1006:$BO$1006,0)), HYPERLINK("#",""), HYPERLINK(CONCATENATE("#Metadata!", ADDRESS(INDEX($AI$2:$AI$1001,MATCH(ROWS($AG$2:AG119),$AG$2:$AG$1001,0),0), INDEX($AN$1004:$BO$1004,1,MATCH(COLUMNS($AN$1006:AR1006),$AN$1006:$BO$1006,0)))),"Fix")))</f>
        <v>0</v>
      </c>
      <c r="G119" s="4">
        <f>IF(OR(INDEX($AH$2:$AH$1001,MATCH(ROWS($AG$2:AG119),$AG$2:$AG$1001,0),1)&gt;=100000,INDEX($AN$1005:$BO$1005,1,MATCH(COLUMNS($AN$1006:AS1006),$AN$1006:$BO$1006,0))&gt;=100000), " ",IF(INDEX($AN$2:$BO$1001,MATCH(ROWS($AG$2:AG119),$AG$2:$AG$1001,0),MATCH(COLUMNS($AN$1006:AS1006),$AN$1006:$BO$1006,0)), HYPERLINK("#",""), HYPERLINK(CONCATENATE("#Metadata!", ADDRESS(INDEX($AI$2:$AI$1001,MATCH(ROWS($AG$2:AG119),$AG$2:$AG$1001,0),0), INDEX($AN$1004:$BO$1004,1,MATCH(COLUMNS($AN$1006:AS1006),$AN$1006:$BO$1006,0)))),"Fix")))</f>
        <v>0</v>
      </c>
      <c r="H119" s="4">
        <f>IF(OR(INDEX($AH$2:$AH$1001,MATCH(ROWS($AG$2:AG119),$AG$2:$AG$1001,0),1)&gt;=100000,INDEX($AN$1005:$BO$1005,1,MATCH(COLUMNS($AN$1006:AT1006),$AN$1006:$BO$1006,0))&gt;=100000), " ",IF(INDEX($AN$2:$BO$1001,MATCH(ROWS($AG$2:AG119),$AG$2:$AG$1001,0),MATCH(COLUMNS($AN$1006:AT1006),$AN$1006:$BO$1006,0)), HYPERLINK("#",""), HYPERLINK(CONCATENATE("#Metadata!", ADDRESS(INDEX($AI$2:$AI$1001,MATCH(ROWS($AG$2:AG119),$AG$2:$AG$1001,0),0), INDEX($AN$1004:$BO$1004,1,MATCH(COLUMNS($AN$1006:AT1006),$AN$1006:$BO$1006,0)))),"Fix")))</f>
        <v>0</v>
      </c>
      <c r="I119" s="4">
        <f>IF(OR(INDEX($AH$2:$AH$1001,MATCH(ROWS($AG$2:AG119),$AG$2:$AG$1001,0),1)&gt;=100000,INDEX($AN$1005:$BO$1005,1,MATCH(COLUMNS($AN$1006:AU1006),$AN$1006:$BO$1006,0))&gt;=100000), " ",IF(INDEX($AN$2:$BO$1001,MATCH(ROWS($AG$2:AG119),$AG$2:$AG$1001,0),MATCH(COLUMNS($AN$1006:AU1006),$AN$1006:$BO$1006,0)), HYPERLINK("#",""), HYPERLINK(CONCATENATE("#Metadata!", ADDRESS(INDEX($AI$2:$AI$1001,MATCH(ROWS($AG$2:AG119),$AG$2:$AG$1001,0),0), INDEX($AN$1004:$BO$1004,1,MATCH(COLUMNS($AN$1006:AU1006),$AN$1006:$BO$1006,0)))),"Fix")))</f>
        <v>0</v>
      </c>
      <c r="J119" s="4">
        <f>IF(OR(INDEX($AH$2:$AH$1001,MATCH(ROWS($AG$2:AG119),$AG$2:$AG$1001,0),1)&gt;=100000,INDEX($AN$1005:$BO$1005,1,MATCH(COLUMNS($AN$1006:AV1006),$AN$1006:$BO$1006,0))&gt;=100000), " ",IF(INDEX($AN$2:$BO$1001,MATCH(ROWS($AG$2:AG119),$AG$2:$AG$1001,0),MATCH(COLUMNS($AN$1006:AV1006),$AN$1006:$BO$1006,0)), HYPERLINK("#",""), HYPERLINK(CONCATENATE("#Metadata!", ADDRESS(INDEX($AI$2:$AI$1001,MATCH(ROWS($AG$2:AG119),$AG$2:$AG$1001,0),0), INDEX($AN$1004:$BO$1004,1,MATCH(COLUMNS($AN$1006:AV1006),$AN$1006:$BO$1006,0)))),"Fix")))</f>
        <v>0</v>
      </c>
      <c r="K119" s="4">
        <f>IF(OR(INDEX($AH$2:$AH$1001,MATCH(ROWS($AG$2:AG119),$AG$2:$AG$1001,0),1)&gt;=100000,INDEX($AN$1005:$BO$1005,1,MATCH(COLUMNS($AN$1006:AW1006),$AN$1006:$BO$1006,0))&gt;=100000), " ",IF(INDEX($AN$2:$BO$1001,MATCH(ROWS($AG$2:AG119),$AG$2:$AG$1001,0),MATCH(COLUMNS($AN$1006:AW1006),$AN$1006:$BO$1006,0)), HYPERLINK("#",""), HYPERLINK(CONCATENATE("#Metadata!", ADDRESS(INDEX($AI$2:$AI$1001,MATCH(ROWS($AG$2:AG119),$AG$2:$AG$1001,0),0), INDEX($AN$1004:$BO$1004,1,MATCH(COLUMNS($AN$1006:AW1006),$AN$1006:$BO$1006,0)))),"Fix")))</f>
        <v>0</v>
      </c>
      <c r="L119" s="4">
        <f>IF(OR(INDEX($AH$2:$AH$1001,MATCH(ROWS($AG$2:AG119),$AG$2:$AG$1001,0),1)&gt;=100000,INDEX($AN$1005:$BO$1005,1,MATCH(COLUMNS($AN$1006:AX1006),$AN$1006:$BO$1006,0))&gt;=100000), " ",IF(INDEX($AN$2:$BO$1001,MATCH(ROWS($AG$2:AG119),$AG$2:$AG$1001,0),MATCH(COLUMNS($AN$1006:AX1006),$AN$1006:$BO$1006,0)), HYPERLINK("#",""), HYPERLINK(CONCATENATE("#Metadata!", ADDRESS(INDEX($AI$2:$AI$1001,MATCH(ROWS($AG$2:AG119),$AG$2:$AG$1001,0),0), INDEX($AN$1004:$BO$1004,1,MATCH(COLUMNS($AN$1006:AX1006),$AN$1006:$BO$1006,0)))),"Fix")))</f>
        <v>0</v>
      </c>
      <c r="M119" s="4">
        <f>IF(OR(INDEX($AH$2:$AH$1001,MATCH(ROWS($AG$2:AG119),$AG$2:$AG$1001,0),1)&gt;=100000,INDEX($AN$1005:$BO$1005,1,MATCH(COLUMNS($AN$1006:AY1006),$AN$1006:$BO$1006,0))&gt;=100000), " ",IF(INDEX($AN$2:$BO$1001,MATCH(ROWS($AG$2:AG119),$AG$2:$AG$1001,0),MATCH(COLUMNS($AN$1006:AY1006),$AN$1006:$BO$1006,0)), HYPERLINK("#",""), HYPERLINK(CONCATENATE("#Metadata!", ADDRESS(INDEX($AI$2:$AI$1001,MATCH(ROWS($AG$2:AG119),$AG$2:$AG$1001,0),0), INDEX($AN$1004:$BO$1004,1,MATCH(COLUMNS($AN$1006:AY1006),$AN$1006:$BO$1006,0)))),"Fix")))</f>
        <v>0</v>
      </c>
      <c r="N119" s="4">
        <f>IF(OR(INDEX($AH$2:$AH$1001,MATCH(ROWS($AG$2:AG119),$AG$2:$AG$1001,0),1)&gt;=100000,INDEX($AN$1005:$BO$1005,1,MATCH(COLUMNS($AN$1006:AZ1006),$AN$1006:$BO$1006,0))&gt;=100000), " ",IF(INDEX($AN$2:$BO$1001,MATCH(ROWS($AG$2:AG119),$AG$2:$AG$1001,0),MATCH(COLUMNS($AN$1006:AZ1006),$AN$1006:$BO$1006,0)), HYPERLINK("#",""), HYPERLINK(CONCATENATE("#Metadata!", ADDRESS(INDEX($AI$2:$AI$1001,MATCH(ROWS($AG$2:AG119),$AG$2:$AG$1001,0),0), INDEX($AN$1004:$BO$1004,1,MATCH(COLUMNS($AN$1006:AZ1006),$AN$1006:$BO$1006,0)))),"Fix")))</f>
        <v>0</v>
      </c>
      <c r="O119" s="4">
        <f>IF(OR(INDEX($AH$2:$AH$1001,MATCH(ROWS($AG$2:AG119),$AG$2:$AG$1001,0),1)&gt;=100000,INDEX($AN$1005:$BO$1005,1,MATCH(COLUMNS($AN$1006:BA1006),$AN$1006:$BO$1006,0))&gt;=100000), " ",IF(INDEX($AN$2:$BO$1001,MATCH(ROWS($AG$2:AG119),$AG$2:$AG$1001,0),MATCH(COLUMNS($AN$1006:BA1006),$AN$1006:$BO$1006,0)), HYPERLINK("#",""), HYPERLINK(CONCATENATE("#Metadata!", ADDRESS(INDEX($AI$2:$AI$1001,MATCH(ROWS($AG$2:AG119),$AG$2:$AG$1001,0),0), INDEX($AN$1004:$BO$1004,1,MATCH(COLUMNS($AN$1006:BA1006),$AN$1006:$BO$1006,0)))),"Fix")))</f>
        <v>0</v>
      </c>
      <c r="P119" s="4">
        <f>IF(OR(INDEX($AH$2:$AH$1001,MATCH(ROWS($AG$2:AG119),$AG$2:$AG$1001,0),1)&gt;=100000,INDEX($AN$1005:$BO$1005,1,MATCH(COLUMNS($AN$1006:BB1006),$AN$1006:$BO$1006,0))&gt;=100000), " ",IF(INDEX($AN$2:$BO$1001,MATCH(ROWS($AG$2:AG119),$AG$2:$AG$1001,0),MATCH(COLUMNS($AN$1006:BB1006),$AN$1006:$BO$1006,0)), HYPERLINK("#",""), HYPERLINK(CONCATENATE("#Metadata!", ADDRESS(INDEX($AI$2:$AI$1001,MATCH(ROWS($AG$2:AG119),$AG$2:$AG$1001,0),0), INDEX($AN$1004:$BO$1004,1,MATCH(COLUMNS($AN$1006:BB1006),$AN$1006:$BO$1006,0)))),"Fix")))</f>
        <v>0</v>
      </c>
      <c r="Q119" s="4">
        <f>IF(OR(INDEX($AH$2:$AH$1001,MATCH(ROWS($AG$2:AG119),$AG$2:$AG$1001,0),1)&gt;=100000,INDEX($AN$1005:$BO$1005,1,MATCH(COLUMNS($AN$1006:BC1006),$AN$1006:$BO$1006,0))&gt;=100000), " ",IF(INDEX($AN$2:$BO$1001,MATCH(ROWS($AG$2:AG119),$AG$2:$AG$1001,0),MATCH(COLUMNS($AN$1006:BC1006),$AN$1006:$BO$1006,0)), HYPERLINK("#",""), HYPERLINK(CONCATENATE("#Metadata!", ADDRESS(INDEX($AI$2:$AI$1001,MATCH(ROWS($AG$2:AG119),$AG$2:$AG$1001,0),0), INDEX($AN$1004:$BO$1004,1,MATCH(COLUMNS($AN$1006:BC1006),$AN$1006:$BO$1006,0)))),"Fix")))</f>
        <v>0</v>
      </c>
      <c r="R119" s="4">
        <f>IF(OR(INDEX($AH$2:$AH$1001,MATCH(ROWS($AG$2:AG119),$AG$2:$AG$1001,0),1)&gt;=100000,INDEX($AN$1005:$BO$1005,1,MATCH(COLUMNS($AN$1006:BD1006),$AN$1006:$BO$1006,0))&gt;=100000), " ",IF(INDEX($AN$2:$BO$1001,MATCH(ROWS($AG$2:AG119),$AG$2:$AG$1001,0),MATCH(COLUMNS($AN$1006:BD1006),$AN$1006:$BO$1006,0)), HYPERLINK("#",""), HYPERLINK(CONCATENATE("#Metadata!", ADDRESS(INDEX($AI$2:$AI$1001,MATCH(ROWS($AG$2:AG119),$AG$2:$AG$1001,0),0), INDEX($AN$1004:$BO$1004,1,MATCH(COLUMNS($AN$1006:BD1006),$AN$1006:$BO$1006,0)))),"Fix")))</f>
        <v>0</v>
      </c>
      <c r="S119" s="4">
        <f>IF(OR(INDEX($AH$2:$AH$1001,MATCH(ROWS($AG$2:AG119),$AG$2:$AG$1001,0),1)&gt;=100000,INDEX($AN$1005:$BO$1005,1,MATCH(COLUMNS($AN$1006:BE1006),$AN$1006:$BO$1006,0))&gt;=100000), " ",IF(INDEX($AN$2:$BO$1001,MATCH(ROWS($AG$2:AG119),$AG$2:$AG$1001,0),MATCH(COLUMNS($AN$1006:BE1006),$AN$1006:$BO$1006,0)), HYPERLINK("#",""), HYPERLINK(CONCATENATE("#Metadata!", ADDRESS(INDEX($AI$2:$AI$1001,MATCH(ROWS($AG$2:AG119),$AG$2:$AG$1001,0),0), INDEX($AN$1004:$BO$1004,1,MATCH(COLUMNS($AN$1006:BE1006),$AN$1006:$BO$1006,0)))),"Fix")))</f>
        <v>0</v>
      </c>
      <c r="T119" s="4">
        <f>IF(OR(INDEX($AH$2:$AH$1001,MATCH(ROWS($AG$2:AG119),$AG$2:$AG$1001,0),1)&gt;=100000,INDEX($AN$1005:$BO$1005,1,MATCH(COLUMNS($AN$1006:BF1006),$AN$1006:$BO$1006,0))&gt;=100000), " ",IF(INDEX($AN$2:$BO$1001,MATCH(ROWS($AG$2:AG119),$AG$2:$AG$1001,0),MATCH(COLUMNS($AN$1006:BF1006),$AN$1006:$BO$1006,0)), HYPERLINK("#",""), HYPERLINK(CONCATENATE("#Metadata!", ADDRESS(INDEX($AI$2:$AI$1001,MATCH(ROWS($AG$2:AG119),$AG$2:$AG$1001,0),0), INDEX($AN$1004:$BO$1004,1,MATCH(COLUMNS($AN$1006:BF1006),$AN$1006:$BO$1006,0)))),"Fix")))</f>
        <v>0</v>
      </c>
      <c r="U119" s="4">
        <f>IF(OR(INDEX($AH$2:$AH$1001,MATCH(ROWS($AG$2:AG119),$AG$2:$AG$1001,0),1)&gt;=100000,INDEX($AN$1005:$BO$1005,1,MATCH(COLUMNS($AN$1006:BG1006),$AN$1006:$BO$1006,0))&gt;=100000), " ",IF(INDEX($AN$2:$BO$1001,MATCH(ROWS($AG$2:AG119),$AG$2:$AG$1001,0),MATCH(COLUMNS($AN$1006:BG1006),$AN$1006:$BO$1006,0)), HYPERLINK("#",""), HYPERLINK(CONCATENATE("#Metadata!", ADDRESS(INDEX($AI$2:$AI$1001,MATCH(ROWS($AG$2:AG119),$AG$2:$AG$1001,0),0), INDEX($AN$1004:$BO$1004,1,MATCH(COLUMNS($AN$1006:BG1006),$AN$1006:$BO$1006,0)))),"Fix")))</f>
        <v>0</v>
      </c>
      <c r="V119" s="4">
        <f>IF(OR(INDEX($AH$2:$AH$1001,MATCH(ROWS($AG$2:AG119),$AG$2:$AG$1001,0),1)&gt;=100000,INDEX($AN$1005:$BO$1005,1,MATCH(COLUMNS($AN$1006:BH1006),$AN$1006:$BO$1006,0))&gt;=100000), " ",IF(INDEX($AN$2:$BO$1001,MATCH(ROWS($AG$2:AG119),$AG$2:$AG$1001,0),MATCH(COLUMNS($AN$1006:BH1006),$AN$1006:$BO$1006,0)), HYPERLINK("#",""), HYPERLINK(CONCATENATE("#Metadata!", ADDRESS(INDEX($AI$2:$AI$1001,MATCH(ROWS($AG$2:AG119),$AG$2:$AG$1001,0),0), INDEX($AN$1004:$BO$1004,1,MATCH(COLUMNS($AN$1006:BH1006),$AN$1006:$BO$1006,0)))),"Fix")))</f>
        <v>0</v>
      </c>
      <c r="W119" s="4">
        <f>IF(OR(INDEX($AH$2:$AH$1001,MATCH(ROWS($AG$2:AG119),$AG$2:$AG$1001,0),1)&gt;=100000,INDEX($AN$1005:$BO$1005,1,MATCH(COLUMNS($AN$1006:BI1006),$AN$1006:$BO$1006,0))&gt;=100000), " ",IF(INDEX($AN$2:$BO$1001,MATCH(ROWS($AG$2:AG119),$AG$2:$AG$1001,0),MATCH(COLUMNS($AN$1006:BI1006),$AN$1006:$BO$1006,0)), HYPERLINK("#",""), HYPERLINK(CONCATENATE("#Metadata!", ADDRESS(INDEX($AI$2:$AI$1001,MATCH(ROWS($AG$2:AG119),$AG$2:$AG$1001,0),0), INDEX($AN$1004:$BO$1004,1,MATCH(COLUMNS($AN$1006:BI1006),$AN$1006:$BO$1006,0)))),"Fix")))</f>
        <v>0</v>
      </c>
      <c r="X119" s="4">
        <f>IF(OR(INDEX($AH$2:$AH$1001,MATCH(ROWS($AG$2:AG119),$AG$2:$AG$1001,0),1)&gt;=100000,INDEX($AN$1005:$BO$1005,1,MATCH(COLUMNS($AN$1006:BJ1006),$AN$1006:$BO$1006,0))&gt;=100000), " ",IF(INDEX($AN$2:$BO$1001,MATCH(ROWS($AG$2:AG119),$AG$2:$AG$1001,0),MATCH(COLUMNS($AN$1006:BJ1006),$AN$1006:$BO$1006,0)), HYPERLINK("#",""), HYPERLINK(CONCATENATE("#Metadata!", ADDRESS(INDEX($AI$2:$AI$1001,MATCH(ROWS($AG$2:AG119),$AG$2:$AG$1001,0),0), INDEX($AN$1004:$BO$1004,1,MATCH(COLUMNS($AN$1006:BJ1006),$AN$1006:$BO$1006,0)))),"Fix")))</f>
        <v>0</v>
      </c>
      <c r="Y119" s="4">
        <f>IF(OR(INDEX($AH$2:$AH$1001,MATCH(ROWS($AG$2:AG119),$AG$2:$AG$1001,0),1)&gt;=100000,INDEX($AN$1005:$BO$1005,1,MATCH(COLUMNS($AN$1006:BK1006),$AN$1006:$BO$1006,0))&gt;=100000), " ",IF(INDEX($AN$2:$BO$1001,MATCH(ROWS($AG$2:AG119),$AG$2:$AG$1001,0),MATCH(COLUMNS($AN$1006:BK1006),$AN$1006:$BO$1006,0)), HYPERLINK("#",""), HYPERLINK(CONCATENATE("#Metadata!", ADDRESS(INDEX($AI$2:$AI$1001,MATCH(ROWS($AG$2:AG119),$AG$2:$AG$1001,0),0), INDEX($AN$1004:$BO$1004,1,MATCH(COLUMNS($AN$1006:BK1006),$AN$1006:$BO$1006,0)))),"Fix")))</f>
        <v>0</v>
      </c>
      <c r="Z119" s="4">
        <f>IF(OR(INDEX($AH$2:$AH$1001,MATCH(ROWS($AG$2:AG119),$AG$2:$AG$1001,0),1)&gt;=100000,INDEX($AN$1005:$BO$1005,1,MATCH(COLUMNS($AN$1006:BL1006),$AN$1006:$BO$1006,0))&gt;=100000), " ",IF(INDEX($AN$2:$BO$1001,MATCH(ROWS($AG$2:AG119),$AG$2:$AG$1001,0),MATCH(COLUMNS($AN$1006:BL1006),$AN$1006:$BO$1006,0)), HYPERLINK("#",""), HYPERLINK(CONCATENATE("#Metadata!", ADDRESS(INDEX($AI$2:$AI$1001,MATCH(ROWS($AG$2:AG119),$AG$2:$AG$1001,0),0), INDEX($AN$1004:$BO$1004,1,MATCH(COLUMNS($AN$1006:BL1006),$AN$1006:$BO$1006,0)))),"Fix")))</f>
        <v>0</v>
      </c>
      <c r="AA119" s="4">
        <f>IF(OR(INDEX($AH$2:$AH$1001,MATCH(ROWS($AG$2:AG119),$AG$2:$AG$1001,0),1)&gt;=100000,INDEX($AN$1005:$BO$1005,1,MATCH(COLUMNS($AN$1006:BM1006),$AN$1006:$BO$1006,0))&gt;=100000), " ",IF(INDEX($AN$2:$BO$1001,MATCH(ROWS($AG$2:AG119),$AG$2:$AG$1001,0),MATCH(COLUMNS($AN$1006:BM1006),$AN$1006:$BO$1006,0)), HYPERLINK("#",""), HYPERLINK(CONCATENATE("#Metadata!", ADDRESS(INDEX($AI$2:$AI$1001,MATCH(ROWS($AG$2:AG119),$AG$2:$AG$1001,0),0), INDEX($AN$1004:$BO$1004,1,MATCH(COLUMNS($AN$1006:BM1006),$AN$1006:$BO$1006,0)))),"Fix")))</f>
        <v>0</v>
      </c>
      <c r="AB119" s="4">
        <f>IF(OR(INDEX($AH$2:$AH$1001,MATCH(ROWS($AG$2:AG119),$AG$2:$AG$1001,0),1)&gt;=100000,INDEX($AN$1005:$BO$1005,1,MATCH(COLUMNS($AN$1006:BN1006),$AN$1006:$BO$1006,0))&gt;=100000), " ",IF(INDEX($AN$2:$BO$1001,MATCH(ROWS($AG$2:AG119),$AG$2:$AG$1001,0),MATCH(COLUMNS($AN$1006:BN1006),$AN$1006:$BO$1006,0)), HYPERLINK("#",""), HYPERLINK(CONCATENATE("#Metadata!", ADDRESS(INDEX($AI$2:$AI$1001,MATCH(ROWS($AG$2:AG119),$AG$2:$AG$1001,0),0), INDEX($AN$1004:$BO$1004,1,MATCH(COLUMNS($AN$1006:BN1006),$AN$1006:$BO$1006,0)))),"Fix")))</f>
        <v>0</v>
      </c>
      <c r="AC119" s="4">
        <f>IF(OR(INDEX($AH$2:$AH$1001,MATCH(ROWS($AG$2:AG119),$AG$2:$AG$1001,0),1)&gt;=100000,INDEX($AN$1005:$BO$1005,1,MATCH(COLUMNS($AN$1006:BO1006),$AN$1006:$BO$1006,0))&gt;=100000), " ",IF(INDEX($AN$2:$BO$1001,MATCH(ROWS($AG$2:AG119),$AG$2:$AG$1001,0),MATCH(COLUMNS($AN$1006:BO1006),$AN$1006:$BO$1006,0)), HYPERLINK("#",""), HYPERLINK(CONCATENATE("#Metadata!", ADDRESS(INDEX($AI$2:$AI$1001,MATCH(ROWS($AG$2:AG119),$AG$2:$AG$1001,0),0), INDEX($AN$1004:$BO$1004,1,MATCH(COLUMNS($AN$1006:BO1006),$AN$1006:$BO$1006,0)))),"Fix")))</f>
        <v>0</v>
      </c>
      <c r="AG119">
        <v>0</v>
      </c>
      <c r="AH119">
        <v>0</v>
      </c>
      <c r="AI119">
        <v>0</v>
      </c>
      <c r="AJ119">
        <f>IF(AK119,TRUE,AND(AN119:BO119))</f>
        <v>0</v>
      </c>
      <c r="AK119">
        <f>COUNTBLANK(Metadata!B119:AC119)=COLUMNS(Metadata!B119:AC119)</f>
        <v>0</v>
      </c>
      <c r="AL119">
        <v>0</v>
      </c>
      <c r="AN119">
        <f>AND(IF(Metadata!B119="",FALSE,TRUE),COUNTIF(Metadata!B:B, Metadata!B119) = 1,NOT(ISERROR(SUMPRODUCT(SEARCH(MID(Metadata!B119,ROW(INDIRECT("1:"&amp;LEN(Metadata!B119))), 1),"0123456789abcdefghijklmnopqrstuvwxyzABCDEFGHIJKLMNOPQRSTUVWXYZ.")))))</f>
        <v>0</v>
      </c>
      <c r="AO119">
        <f>IF(Metadata!C119="",FALSE,TRUE)</f>
        <v>0</v>
      </c>
      <c r="AP119">
        <f>IF(Metadata!D119="",FALSE,TRUE)</f>
        <v>0</v>
      </c>
      <c r="AQ119">
        <f>OR(AND(IF(Metadata!E119="",FALSE,TRUE),OR(exact(Metadata!E119,"not collected"),exact(Metadata!E119,"not provided"),exact(Metadata!E119,"restricted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R119">
        <f>IF(Metadata!F119="",FALSE,TRUE)</f>
        <v>0</v>
      </c>
      <c r="AS119">
        <f>OR(AND(IF(Metadata!G119="",FALSE,TRUE),OR(exact(Metadata!G119,"not collected"),exact(Metadata!G119,"not provided"))),AND(IF(Metadata!G119="",FALSE,TRUE),OR(exact(Metadata!G119,"TRUE"),exact(Metadata!G119,"FALSE"))))</f>
        <v>0</v>
      </c>
      <c r="AT119">
        <f>OR(AND(IF(Metadata!H119="",FALSE,TRUE),OR(exact(Metadata!H119,"not collected"),exact(Metadata!H119,"not provided"),exact(Metadata!H119,"restricted access"))),AND(IF(Metadata!H119="",FALSE,ISNUMBER(VALUE(Metadata!H119))),Metadata!H119&gt;=-413.0))</f>
        <v>0</v>
      </c>
      <c r="AU119">
        <f>AND(IF(Metadata!I119="",FALSE,TRUE),exact(Metadata!I119,"meters"))</f>
        <v>0</v>
      </c>
      <c r="AV119">
        <f>AND(IF(Metadata!J119="",FALSE,TRUE),OR(exact(Metadata!J119,"Host-associated"),exact(Metadata!J119,"Free-living")))</f>
        <v>0</v>
      </c>
      <c r="AW119">
        <f>AND(IF(Metadata!K119="",FALSE,TRUE),OR(exact(Metadata!K119,"Animal"),exact(Metadata!K119,"Fungus"),exact(Metadata!K119,"Plant"),exact(Metadata!K119,"Saline"),exact(Metadata!K119,"Non-saline")))</f>
        <v>0</v>
      </c>
      <c r="AX119">
        <f>AND(IF(Metadata!L119="",FALSE,TRUE),OR(exact(Metadata!L119,"Plant secretion"),exact(Metadata!L119,"Plant rhizosphere"),exact(Metadata!L119,"Plant surface"),exact(Metadata!L119,"Plant corpus"),exact(Metadata!L119,"Fungus surface"),exact(Metadata!L119,"Fungus corpus"),exact(Metadata!L119,"Animal surface"),exact(Metadata!L119,"Animal proximal gut"),exact(Metadata!L119,"Animal corpus"),exact(Metadata!L119,"Animal distal gut"),exact(Metadata!L119,"Animal secretion"),exact(Metadata!L119,"Sub-surface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Y119">
        <f>IF(Metadata!M119="",FALSE,TRUE)</f>
        <v>0</v>
      </c>
      <c r="AZ119">
        <f>IF(Metadata!N119="",FALSE,TRUE)</f>
        <v>0</v>
      </c>
      <c r="BA119">
        <f>IF(Metadata!O119="",FALSE,TRUE)</f>
        <v>0</v>
      </c>
      <c r="BB119">
        <f>OR(AND(IF(Metadata!P119="",FALSE,TRUE),OR(exact(Metadata!P119,"not collected"),exact(Metadata!P119,"not provided"),exact(Metadata!P119,"restricted access"))),AND(IF(Metadata!P119="",FALSE,TRUE),OR(exact(Metadata!P119,"air"),exact(Metadata!P119,"built environment"),exact(Metadata!P119,"host-associated"),exact(Metadata!P119,"human-associated"),exact(Metadata!P119,"human-skin"),exact(Metadata!P119,"human-oral"),exact(Metadata!P119,"human-gut"),exact(Metadata!P119,"human-vaginal"),exact(Metadata!P119,"microbial mat/biofilm"),exact(Metadata!P119,"misc environment"),exact(Metadata!P119,"plant-associated"),exact(Metadata!P119,"sediment"),exact(Metadata!P119,"soil"),exact(Metadata!P119,"wastewater/sludge"),exact(Metadata!P119,"water"))))</f>
        <v>0</v>
      </c>
      <c r="BC119">
        <f>IF(Metadata!Q119="",FALSE,TRUE)</f>
        <v>0</v>
      </c>
      <c r="BD119">
        <f>IF(Metadata!R119="",FALSE,TRUE)</f>
        <v>0</v>
      </c>
      <c r="BE119">
        <f>OR(AND(IF(Metadata!S119="",FALSE,TRUE),OR(exact(Metadata!S119,"not collected"),exact(Metadata!S119,"not provided"),exact(Metadata!S119,"restricted access"))),AND(IF(Metadata!S119="",FALSE,ISNUMBER(VALUE(Metadata!S119))),Metadata!S119&gt;=-90.00,Metadata!S119&lt;=90.00))</f>
        <v>0</v>
      </c>
      <c r="BF119">
        <f>AND(IF(Metadata!T119="",FALSE,TRUE),exact(Metadata!T119,"Decimal degrees"))</f>
        <v>0</v>
      </c>
      <c r="BG119">
        <f>OR(AND(IF(Metadata!U119="",FALSE,TRUE),OR(exact(Metadata!U119,"not collected"),exact(Metadata!U119,"not provided"),exact(Metadata!U119,"restricted access"))),AND(IF(Metadata!U119="",FALSE,ISNUMBER(VALUE(Metadata!U119))),Metadata!U119&gt;=-180.00,Metadata!U119&lt;=180.00))</f>
        <v>0</v>
      </c>
      <c r="BH119">
        <f>AND(IF(Metadata!V119="",FALSE,TRUE),exact(Metadata!V119,"Decimal degrees"))</f>
        <v>0</v>
      </c>
      <c r="BI119">
        <f>IF(Metadata!W119="",FALSE,TRUE)</f>
        <v>0</v>
      </c>
      <c r="BJ119">
        <f>OR(AND(IF(Metadata!X119="",FALSE,TRUE),OR(exact(Metadata!X119,"not collected"),exact(Metadata!X119,"not provided"),exact(Metadata!X119,"restricted access"))),AND(IF(Metadata!X119="",FALSE,TRUE),OR(exact(Metadata!X119,"TRUE"),exact(Metadata!X119,"FALSE"))))</f>
        <v>0</v>
      </c>
      <c r="BK119">
        <f>AND(IF(Metadata!Y119="",FALSE,TRUE),exact(Metadata!Y119,"other"))</f>
        <v>0</v>
      </c>
      <c r="BL119">
        <f>IF(Metadata!Z119="",FALSE,TRUE)</f>
        <v>0</v>
      </c>
      <c r="BM119">
        <f>OR(AND(IF(Metadata!AA119="",FALSE,TRUE),OR(exact(Metadata!AA119,"not collected"),exact(Metadata!AA119,"not provided"))),AND(IF(Metadata!AA119="",FALSE,IF(ISERROR(INT(Metadata!AA119)),FALSE,INT(Metadata!AA119)=Metadata!AA119)),Metadata!AA119&gt;0))</f>
        <v>0</v>
      </c>
      <c r="BN119">
        <f>AND(IF(Metadata!AB119="",FALSE,TRUE),exact(Metadata!AB119,"Not applicable"))</f>
        <v>0</v>
      </c>
      <c r="BO119">
        <f>IF(Metadata!AC119="",FALSE,TRUE)</f>
        <v>0</v>
      </c>
    </row>
    <row r="120" spans="1:67">
      <c r="A120" s="5">
        <f>IF(B120=" "," ",HYPERLINK(CONCATENATE("#metadata!",ADDRESS(INDEX($AI$2:$AI$1001,MATCH(ROWS($AG$2:AG120),$AG$2:$AG$1001,0),0),1)),INDEX($AL$2:$AL$1001,MATCH(ROWS($AG$2:AG120),$AG$2:$AG$1001,0),0)))</f>
        <v>0</v>
      </c>
      <c r="B120" s="4">
        <f>IF(OR(INDEX($AH$2:$AH$1001,MATCH(ROWS($AG$2:AG120),$AG$2:$AG$1001,0),1)&gt;=100000,INDEX($AN$1005:$BO$1005,1,MATCH(COLUMNS($AN$1006:AN1006),$AN$1006:$BO$1006,0))&gt;=100000), " ",IF(INDEX($AN$2:$BO$1001,MATCH(ROWS($AG$2:AG120),$AG$2:$AG$1001,0),MATCH(COLUMNS($AN$1006:AN1006),$AN$1006:$BO$1006,0)), HYPERLINK("#",""), HYPERLINK(CONCATENATE("#Metadata!", ADDRESS(INDEX($AI$2:$AI$1001,MATCH(ROWS($AG$2:AG120),$AG$2:$AG$1001,0),0), INDEX($AN$1004:$BO$1004,1,MATCH(COLUMNS($AN$1006:AN1006),$AN$1006:$BO$1006,0)))),"Fix")))</f>
        <v>0</v>
      </c>
      <c r="C120" s="4">
        <f>IF(OR(INDEX($AH$2:$AH$1001,MATCH(ROWS($AG$2:AG120),$AG$2:$AG$1001,0),1)&gt;=100000,INDEX($AN$1005:$BO$1005,1,MATCH(COLUMNS($AN$1006:AO1006),$AN$1006:$BO$1006,0))&gt;=100000), " ",IF(INDEX($AN$2:$BO$1001,MATCH(ROWS($AG$2:AG120),$AG$2:$AG$1001,0),MATCH(COLUMNS($AN$1006:AO1006),$AN$1006:$BO$1006,0)), HYPERLINK("#",""), HYPERLINK(CONCATENATE("#Metadata!", ADDRESS(INDEX($AI$2:$AI$1001,MATCH(ROWS($AG$2:AG120),$AG$2:$AG$1001,0),0), INDEX($AN$1004:$BO$1004,1,MATCH(COLUMNS($AN$1006:AO1006),$AN$1006:$BO$1006,0)))),"Fix")))</f>
        <v>0</v>
      </c>
      <c r="D120" s="4">
        <f>IF(OR(INDEX($AH$2:$AH$1001,MATCH(ROWS($AG$2:AG120),$AG$2:$AG$1001,0),1)&gt;=100000,INDEX($AN$1005:$BO$1005,1,MATCH(COLUMNS($AN$1006:AP1006),$AN$1006:$BO$1006,0))&gt;=100000), " ",IF(INDEX($AN$2:$BO$1001,MATCH(ROWS($AG$2:AG120),$AG$2:$AG$1001,0),MATCH(COLUMNS($AN$1006:AP1006),$AN$1006:$BO$1006,0)), HYPERLINK("#",""), HYPERLINK(CONCATENATE("#Metadata!", ADDRESS(INDEX($AI$2:$AI$1001,MATCH(ROWS($AG$2:AG120),$AG$2:$AG$1001,0),0), INDEX($AN$1004:$BO$1004,1,MATCH(COLUMNS($AN$1006:AP1006),$AN$1006:$BO$1006,0)))),"Fix")))</f>
        <v>0</v>
      </c>
      <c r="E120" s="4">
        <f>IF(OR(INDEX($AH$2:$AH$1001,MATCH(ROWS($AG$2:AG120),$AG$2:$AG$1001,0),1)&gt;=100000,INDEX($AN$1005:$BO$1005,1,MATCH(COLUMNS($AN$1006:AQ1006),$AN$1006:$BO$1006,0))&gt;=100000), " ",IF(INDEX($AN$2:$BO$1001,MATCH(ROWS($AG$2:AG120),$AG$2:$AG$1001,0),MATCH(COLUMNS($AN$1006:AQ1006),$AN$1006:$BO$1006,0)), HYPERLINK("#",""), HYPERLINK(CONCATENATE("#Metadata!", ADDRESS(INDEX($AI$2:$AI$1001,MATCH(ROWS($AG$2:AG120),$AG$2:$AG$1001,0),0), INDEX($AN$1004:$BO$1004,1,MATCH(COLUMNS($AN$1006:AQ1006),$AN$1006:$BO$1006,0)))),"Fix")))</f>
        <v>0</v>
      </c>
      <c r="F120" s="4">
        <f>IF(OR(INDEX($AH$2:$AH$1001,MATCH(ROWS($AG$2:AG120),$AG$2:$AG$1001,0),1)&gt;=100000,INDEX($AN$1005:$BO$1005,1,MATCH(COLUMNS($AN$1006:AR1006),$AN$1006:$BO$1006,0))&gt;=100000), " ",IF(INDEX($AN$2:$BO$1001,MATCH(ROWS($AG$2:AG120),$AG$2:$AG$1001,0),MATCH(COLUMNS($AN$1006:AR1006),$AN$1006:$BO$1006,0)), HYPERLINK("#",""), HYPERLINK(CONCATENATE("#Metadata!", ADDRESS(INDEX($AI$2:$AI$1001,MATCH(ROWS($AG$2:AG120),$AG$2:$AG$1001,0),0), INDEX($AN$1004:$BO$1004,1,MATCH(COLUMNS($AN$1006:AR1006),$AN$1006:$BO$1006,0)))),"Fix")))</f>
        <v>0</v>
      </c>
      <c r="G120" s="4">
        <f>IF(OR(INDEX($AH$2:$AH$1001,MATCH(ROWS($AG$2:AG120),$AG$2:$AG$1001,0),1)&gt;=100000,INDEX($AN$1005:$BO$1005,1,MATCH(COLUMNS($AN$1006:AS1006),$AN$1006:$BO$1006,0))&gt;=100000), " ",IF(INDEX($AN$2:$BO$1001,MATCH(ROWS($AG$2:AG120),$AG$2:$AG$1001,0),MATCH(COLUMNS($AN$1006:AS1006),$AN$1006:$BO$1006,0)), HYPERLINK("#",""), HYPERLINK(CONCATENATE("#Metadata!", ADDRESS(INDEX($AI$2:$AI$1001,MATCH(ROWS($AG$2:AG120),$AG$2:$AG$1001,0),0), INDEX($AN$1004:$BO$1004,1,MATCH(COLUMNS($AN$1006:AS1006),$AN$1006:$BO$1006,0)))),"Fix")))</f>
        <v>0</v>
      </c>
      <c r="H120" s="4">
        <f>IF(OR(INDEX($AH$2:$AH$1001,MATCH(ROWS($AG$2:AG120),$AG$2:$AG$1001,0),1)&gt;=100000,INDEX($AN$1005:$BO$1005,1,MATCH(COLUMNS($AN$1006:AT1006),$AN$1006:$BO$1006,0))&gt;=100000), " ",IF(INDEX($AN$2:$BO$1001,MATCH(ROWS($AG$2:AG120),$AG$2:$AG$1001,0),MATCH(COLUMNS($AN$1006:AT1006),$AN$1006:$BO$1006,0)), HYPERLINK("#",""), HYPERLINK(CONCATENATE("#Metadata!", ADDRESS(INDEX($AI$2:$AI$1001,MATCH(ROWS($AG$2:AG120),$AG$2:$AG$1001,0),0), INDEX($AN$1004:$BO$1004,1,MATCH(COLUMNS($AN$1006:AT1006),$AN$1006:$BO$1006,0)))),"Fix")))</f>
        <v>0</v>
      </c>
      <c r="I120" s="4">
        <f>IF(OR(INDEX($AH$2:$AH$1001,MATCH(ROWS($AG$2:AG120),$AG$2:$AG$1001,0),1)&gt;=100000,INDEX($AN$1005:$BO$1005,1,MATCH(COLUMNS($AN$1006:AU1006),$AN$1006:$BO$1006,0))&gt;=100000), " ",IF(INDEX($AN$2:$BO$1001,MATCH(ROWS($AG$2:AG120),$AG$2:$AG$1001,0),MATCH(COLUMNS($AN$1006:AU1006),$AN$1006:$BO$1006,0)), HYPERLINK("#",""), HYPERLINK(CONCATENATE("#Metadata!", ADDRESS(INDEX($AI$2:$AI$1001,MATCH(ROWS($AG$2:AG120),$AG$2:$AG$1001,0),0), INDEX($AN$1004:$BO$1004,1,MATCH(COLUMNS($AN$1006:AU1006),$AN$1006:$BO$1006,0)))),"Fix")))</f>
        <v>0</v>
      </c>
      <c r="J120" s="4">
        <f>IF(OR(INDEX($AH$2:$AH$1001,MATCH(ROWS($AG$2:AG120),$AG$2:$AG$1001,0),1)&gt;=100000,INDEX($AN$1005:$BO$1005,1,MATCH(COLUMNS($AN$1006:AV1006),$AN$1006:$BO$1006,0))&gt;=100000), " ",IF(INDEX($AN$2:$BO$1001,MATCH(ROWS($AG$2:AG120),$AG$2:$AG$1001,0),MATCH(COLUMNS($AN$1006:AV1006),$AN$1006:$BO$1006,0)), HYPERLINK("#",""), HYPERLINK(CONCATENATE("#Metadata!", ADDRESS(INDEX($AI$2:$AI$1001,MATCH(ROWS($AG$2:AG120),$AG$2:$AG$1001,0),0), INDEX($AN$1004:$BO$1004,1,MATCH(COLUMNS($AN$1006:AV1006),$AN$1006:$BO$1006,0)))),"Fix")))</f>
        <v>0</v>
      </c>
      <c r="K120" s="4">
        <f>IF(OR(INDEX($AH$2:$AH$1001,MATCH(ROWS($AG$2:AG120),$AG$2:$AG$1001,0),1)&gt;=100000,INDEX($AN$1005:$BO$1005,1,MATCH(COLUMNS($AN$1006:AW1006),$AN$1006:$BO$1006,0))&gt;=100000), " ",IF(INDEX($AN$2:$BO$1001,MATCH(ROWS($AG$2:AG120),$AG$2:$AG$1001,0),MATCH(COLUMNS($AN$1006:AW1006),$AN$1006:$BO$1006,0)), HYPERLINK("#",""), HYPERLINK(CONCATENATE("#Metadata!", ADDRESS(INDEX($AI$2:$AI$1001,MATCH(ROWS($AG$2:AG120),$AG$2:$AG$1001,0),0), INDEX($AN$1004:$BO$1004,1,MATCH(COLUMNS($AN$1006:AW1006),$AN$1006:$BO$1006,0)))),"Fix")))</f>
        <v>0</v>
      </c>
      <c r="L120" s="4">
        <f>IF(OR(INDEX($AH$2:$AH$1001,MATCH(ROWS($AG$2:AG120),$AG$2:$AG$1001,0),1)&gt;=100000,INDEX($AN$1005:$BO$1005,1,MATCH(COLUMNS($AN$1006:AX1006),$AN$1006:$BO$1006,0))&gt;=100000), " ",IF(INDEX($AN$2:$BO$1001,MATCH(ROWS($AG$2:AG120),$AG$2:$AG$1001,0),MATCH(COLUMNS($AN$1006:AX1006),$AN$1006:$BO$1006,0)), HYPERLINK("#",""), HYPERLINK(CONCATENATE("#Metadata!", ADDRESS(INDEX($AI$2:$AI$1001,MATCH(ROWS($AG$2:AG120),$AG$2:$AG$1001,0),0), INDEX($AN$1004:$BO$1004,1,MATCH(COLUMNS($AN$1006:AX1006),$AN$1006:$BO$1006,0)))),"Fix")))</f>
        <v>0</v>
      </c>
      <c r="M120" s="4">
        <f>IF(OR(INDEX($AH$2:$AH$1001,MATCH(ROWS($AG$2:AG120),$AG$2:$AG$1001,0),1)&gt;=100000,INDEX($AN$1005:$BO$1005,1,MATCH(COLUMNS($AN$1006:AY1006),$AN$1006:$BO$1006,0))&gt;=100000), " ",IF(INDEX($AN$2:$BO$1001,MATCH(ROWS($AG$2:AG120),$AG$2:$AG$1001,0),MATCH(COLUMNS($AN$1006:AY1006),$AN$1006:$BO$1006,0)), HYPERLINK("#",""), HYPERLINK(CONCATENATE("#Metadata!", ADDRESS(INDEX($AI$2:$AI$1001,MATCH(ROWS($AG$2:AG120),$AG$2:$AG$1001,0),0), INDEX($AN$1004:$BO$1004,1,MATCH(COLUMNS($AN$1006:AY1006),$AN$1006:$BO$1006,0)))),"Fix")))</f>
        <v>0</v>
      </c>
      <c r="N120" s="4">
        <f>IF(OR(INDEX($AH$2:$AH$1001,MATCH(ROWS($AG$2:AG120),$AG$2:$AG$1001,0),1)&gt;=100000,INDEX($AN$1005:$BO$1005,1,MATCH(COLUMNS($AN$1006:AZ1006),$AN$1006:$BO$1006,0))&gt;=100000), " ",IF(INDEX($AN$2:$BO$1001,MATCH(ROWS($AG$2:AG120),$AG$2:$AG$1001,0),MATCH(COLUMNS($AN$1006:AZ1006),$AN$1006:$BO$1006,0)), HYPERLINK("#",""), HYPERLINK(CONCATENATE("#Metadata!", ADDRESS(INDEX($AI$2:$AI$1001,MATCH(ROWS($AG$2:AG120),$AG$2:$AG$1001,0),0), INDEX($AN$1004:$BO$1004,1,MATCH(COLUMNS($AN$1006:AZ1006),$AN$1006:$BO$1006,0)))),"Fix")))</f>
        <v>0</v>
      </c>
      <c r="O120" s="4">
        <f>IF(OR(INDEX($AH$2:$AH$1001,MATCH(ROWS($AG$2:AG120),$AG$2:$AG$1001,0),1)&gt;=100000,INDEX($AN$1005:$BO$1005,1,MATCH(COLUMNS($AN$1006:BA1006),$AN$1006:$BO$1006,0))&gt;=100000), " ",IF(INDEX($AN$2:$BO$1001,MATCH(ROWS($AG$2:AG120),$AG$2:$AG$1001,0),MATCH(COLUMNS($AN$1006:BA1006),$AN$1006:$BO$1006,0)), HYPERLINK("#",""), HYPERLINK(CONCATENATE("#Metadata!", ADDRESS(INDEX($AI$2:$AI$1001,MATCH(ROWS($AG$2:AG120),$AG$2:$AG$1001,0),0), INDEX($AN$1004:$BO$1004,1,MATCH(COLUMNS($AN$1006:BA1006),$AN$1006:$BO$1006,0)))),"Fix")))</f>
        <v>0</v>
      </c>
      <c r="P120" s="4">
        <f>IF(OR(INDEX($AH$2:$AH$1001,MATCH(ROWS($AG$2:AG120),$AG$2:$AG$1001,0),1)&gt;=100000,INDEX($AN$1005:$BO$1005,1,MATCH(COLUMNS($AN$1006:BB1006),$AN$1006:$BO$1006,0))&gt;=100000), " ",IF(INDEX($AN$2:$BO$1001,MATCH(ROWS($AG$2:AG120),$AG$2:$AG$1001,0),MATCH(COLUMNS($AN$1006:BB1006),$AN$1006:$BO$1006,0)), HYPERLINK("#",""), HYPERLINK(CONCATENATE("#Metadata!", ADDRESS(INDEX($AI$2:$AI$1001,MATCH(ROWS($AG$2:AG120),$AG$2:$AG$1001,0),0), INDEX($AN$1004:$BO$1004,1,MATCH(COLUMNS($AN$1006:BB1006),$AN$1006:$BO$1006,0)))),"Fix")))</f>
        <v>0</v>
      </c>
      <c r="Q120" s="4">
        <f>IF(OR(INDEX($AH$2:$AH$1001,MATCH(ROWS($AG$2:AG120),$AG$2:$AG$1001,0),1)&gt;=100000,INDEX($AN$1005:$BO$1005,1,MATCH(COLUMNS($AN$1006:BC1006),$AN$1006:$BO$1006,0))&gt;=100000), " ",IF(INDEX($AN$2:$BO$1001,MATCH(ROWS($AG$2:AG120),$AG$2:$AG$1001,0),MATCH(COLUMNS($AN$1006:BC1006),$AN$1006:$BO$1006,0)), HYPERLINK("#",""), HYPERLINK(CONCATENATE("#Metadata!", ADDRESS(INDEX($AI$2:$AI$1001,MATCH(ROWS($AG$2:AG120),$AG$2:$AG$1001,0),0), INDEX($AN$1004:$BO$1004,1,MATCH(COLUMNS($AN$1006:BC1006),$AN$1006:$BO$1006,0)))),"Fix")))</f>
        <v>0</v>
      </c>
      <c r="R120" s="4">
        <f>IF(OR(INDEX($AH$2:$AH$1001,MATCH(ROWS($AG$2:AG120),$AG$2:$AG$1001,0),1)&gt;=100000,INDEX($AN$1005:$BO$1005,1,MATCH(COLUMNS($AN$1006:BD1006),$AN$1006:$BO$1006,0))&gt;=100000), " ",IF(INDEX($AN$2:$BO$1001,MATCH(ROWS($AG$2:AG120),$AG$2:$AG$1001,0),MATCH(COLUMNS($AN$1006:BD1006),$AN$1006:$BO$1006,0)), HYPERLINK("#",""), HYPERLINK(CONCATENATE("#Metadata!", ADDRESS(INDEX($AI$2:$AI$1001,MATCH(ROWS($AG$2:AG120),$AG$2:$AG$1001,0),0), INDEX($AN$1004:$BO$1004,1,MATCH(COLUMNS($AN$1006:BD1006),$AN$1006:$BO$1006,0)))),"Fix")))</f>
        <v>0</v>
      </c>
      <c r="S120" s="4">
        <f>IF(OR(INDEX($AH$2:$AH$1001,MATCH(ROWS($AG$2:AG120),$AG$2:$AG$1001,0),1)&gt;=100000,INDEX($AN$1005:$BO$1005,1,MATCH(COLUMNS($AN$1006:BE1006),$AN$1006:$BO$1006,0))&gt;=100000), " ",IF(INDEX($AN$2:$BO$1001,MATCH(ROWS($AG$2:AG120),$AG$2:$AG$1001,0),MATCH(COLUMNS($AN$1006:BE1006),$AN$1006:$BO$1006,0)), HYPERLINK("#",""), HYPERLINK(CONCATENATE("#Metadata!", ADDRESS(INDEX($AI$2:$AI$1001,MATCH(ROWS($AG$2:AG120),$AG$2:$AG$1001,0),0), INDEX($AN$1004:$BO$1004,1,MATCH(COLUMNS($AN$1006:BE1006),$AN$1006:$BO$1006,0)))),"Fix")))</f>
        <v>0</v>
      </c>
      <c r="T120" s="4">
        <f>IF(OR(INDEX($AH$2:$AH$1001,MATCH(ROWS($AG$2:AG120),$AG$2:$AG$1001,0),1)&gt;=100000,INDEX($AN$1005:$BO$1005,1,MATCH(COLUMNS($AN$1006:BF1006),$AN$1006:$BO$1006,0))&gt;=100000), " ",IF(INDEX($AN$2:$BO$1001,MATCH(ROWS($AG$2:AG120),$AG$2:$AG$1001,0),MATCH(COLUMNS($AN$1006:BF1006),$AN$1006:$BO$1006,0)), HYPERLINK("#",""), HYPERLINK(CONCATENATE("#Metadata!", ADDRESS(INDEX($AI$2:$AI$1001,MATCH(ROWS($AG$2:AG120),$AG$2:$AG$1001,0),0), INDEX($AN$1004:$BO$1004,1,MATCH(COLUMNS($AN$1006:BF1006),$AN$1006:$BO$1006,0)))),"Fix")))</f>
        <v>0</v>
      </c>
      <c r="U120" s="4">
        <f>IF(OR(INDEX($AH$2:$AH$1001,MATCH(ROWS($AG$2:AG120),$AG$2:$AG$1001,0),1)&gt;=100000,INDEX($AN$1005:$BO$1005,1,MATCH(COLUMNS($AN$1006:BG1006),$AN$1006:$BO$1006,0))&gt;=100000), " ",IF(INDEX($AN$2:$BO$1001,MATCH(ROWS($AG$2:AG120),$AG$2:$AG$1001,0),MATCH(COLUMNS($AN$1006:BG1006),$AN$1006:$BO$1006,0)), HYPERLINK("#",""), HYPERLINK(CONCATENATE("#Metadata!", ADDRESS(INDEX($AI$2:$AI$1001,MATCH(ROWS($AG$2:AG120),$AG$2:$AG$1001,0),0), INDEX($AN$1004:$BO$1004,1,MATCH(COLUMNS($AN$1006:BG1006),$AN$1006:$BO$1006,0)))),"Fix")))</f>
        <v>0</v>
      </c>
      <c r="V120" s="4">
        <f>IF(OR(INDEX($AH$2:$AH$1001,MATCH(ROWS($AG$2:AG120),$AG$2:$AG$1001,0),1)&gt;=100000,INDEX($AN$1005:$BO$1005,1,MATCH(COLUMNS($AN$1006:BH1006),$AN$1006:$BO$1006,0))&gt;=100000), " ",IF(INDEX($AN$2:$BO$1001,MATCH(ROWS($AG$2:AG120),$AG$2:$AG$1001,0),MATCH(COLUMNS($AN$1006:BH1006),$AN$1006:$BO$1006,0)), HYPERLINK("#",""), HYPERLINK(CONCATENATE("#Metadata!", ADDRESS(INDEX($AI$2:$AI$1001,MATCH(ROWS($AG$2:AG120),$AG$2:$AG$1001,0),0), INDEX($AN$1004:$BO$1004,1,MATCH(COLUMNS($AN$1006:BH1006),$AN$1006:$BO$1006,0)))),"Fix")))</f>
        <v>0</v>
      </c>
      <c r="W120" s="4">
        <f>IF(OR(INDEX($AH$2:$AH$1001,MATCH(ROWS($AG$2:AG120),$AG$2:$AG$1001,0),1)&gt;=100000,INDEX($AN$1005:$BO$1005,1,MATCH(COLUMNS($AN$1006:BI1006),$AN$1006:$BO$1006,0))&gt;=100000), " ",IF(INDEX($AN$2:$BO$1001,MATCH(ROWS($AG$2:AG120),$AG$2:$AG$1001,0),MATCH(COLUMNS($AN$1006:BI1006),$AN$1006:$BO$1006,0)), HYPERLINK("#",""), HYPERLINK(CONCATENATE("#Metadata!", ADDRESS(INDEX($AI$2:$AI$1001,MATCH(ROWS($AG$2:AG120),$AG$2:$AG$1001,0),0), INDEX($AN$1004:$BO$1004,1,MATCH(COLUMNS($AN$1006:BI1006),$AN$1006:$BO$1006,0)))),"Fix")))</f>
        <v>0</v>
      </c>
      <c r="X120" s="4">
        <f>IF(OR(INDEX($AH$2:$AH$1001,MATCH(ROWS($AG$2:AG120),$AG$2:$AG$1001,0),1)&gt;=100000,INDEX($AN$1005:$BO$1005,1,MATCH(COLUMNS($AN$1006:BJ1006),$AN$1006:$BO$1006,0))&gt;=100000), " ",IF(INDEX($AN$2:$BO$1001,MATCH(ROWS($AG$2:AG120),$AG$2:$AG$1001,0),MATCH(COLUMNS($AN$1006:BJ1006),$AN$1006:$BO$1006,0)), HYPERLINK("#",""), HYPERLINK(CONCATENATE("#Metadata!", ADDRESS(INDEX($AI$2:$AI$1001,MATCH(ROWS($AG$2:AG120),$AG$2:$AG$1001,0),0), INDEX($AN$1004:$BO$1004,1,MATCH(COLUMNS($AN$1006:BJ1006),$AN$1006:$BO$1006,0)))),"Fix")))</f>
        <v>0</v>
      </c>
      <c r="Y120" s="4">
        <f>IF(OR(INDEX($AH$2:$AH$1001,MATCH(ROWS($AG$2:AG120),$AG$2:$AG$1001,0),1)&gt;=100000,INDEX($AN$1005:$BO$1005,1,MATCH(COLUMNS($AN$1006:BK1006),$AN$1006:$BO$1006,0))&gt;=100000), " ",IF(INDEX($AN$2:$BO$1001,MATCH(ROWS($AG$2:AG120),$AG$2:$AG$1001,0),MATCH(COLUMNS($AN$1006:BK1006),$AN$1006:$BO$1006,0)), HYPERLINK("#",""), HYPERLINK(CONCATENATE("#Metadata!", ADDRESS(INDEX($AI$2:$AI$1001,MATCH(ROWS($AG$2:AG120),$AG$2:$AG$1001,0),0), INDEX($AN$1004:$BO$1004,1,MATCH(COLUMNS($AN$1006:BK1006),$AN$1006:$BO$1006,0)))),"Fix")))</f>
        <v>0</v>
      </c>
      <c r="Z120" s="4">
        <f>IF(OR(INDEX($AH$2:$AH$1001,MATCH(ROWS($AG$2:AG120),$AG$2:$AG$1001,0),1)&gt;=100000,INDEX($AN$1005:$BO$1005,1,MATCH(COLUMNS($AN$1006:BL1006),$AN$1006:$BO$1006,0))&gt;=100000), " ",IF(INDEX($AN$2:$BO$1001,MATCH(ROWS($AG$2:AG120),$AG$2:$AG$1001,0),MATCH(COLUMNS($AN$1006:BL1006),$AN$1006:$BO$1006,0)), HYPERLINK("#",""), HYPERLINK(CONCATENATE("#Metadata!", ADDRESS(INDEX($AI$2:$AI$1001,MATCH(ROWS($AG$2:AG120),$AG$2:$AG$1001,0),0), INDEX($AN$1004:$BO$1004,1,MATCH(COLUMNS($AN$1006:BL1006),$AN$1006:$BO$1006,0)))),"Fix")))</f>
        <v>0</v>
      </c>
      <c r="AA120" s="4">
        <f>IF(OR(INDEX($AH$2:$AH$1001,MATCH(ROWS($AG$2:AG120),$AG$2:$AG$1001,0),1)&gt;=100000,INDEX($AN$1005:$BO$1005,1,MATCH(COLUMNS($AN$1006:BM1006),$AN$1006:$BO$1006,0))&gt;=100000), " ",IF(INDEX($AN$2:$BO$1001,MATCH(ROWS($AG$2:AG120),$AG$2:$AG$1001,0),MATCH(COLUMNS($AN$1006:BM1006),$AN$1006:$BO$1006,0)), HYPERLINK("#",""), HYPERLINK(CONCATENATE("#Metadata!", ADDRESS(INDEX($AI$2:$AI$1001,MATCH(ROWS($AG$2:AG120),$AG$2:$AG$1001,0),0), INDEX($AN$1004:$BO$1004,1,MATCH(COLUMNS($AN$1006:BM1006),$AN$1006:$BO$1006,0)))),"Fix")))</f>
        <v>0</v>
      </c>
      <c r="AB120" s="4">
        <f>IF(OR(INDEX($AH$2:$AH$1001,MATCH(ROWS($AG$2:AG120),$AG$2:$AG$1001,0),1)&gt;=100000,INDEX($AN$1005:$BO$1005,1,MATCH(COLUMNS($AN$1006:BN1006),$AN$1006:$BO$1006,0))&gt;=100000), " ",IF(INDEX($AN$2:$BO$1001,MATCH(ROWS($AG$2:AG120),$AG$2:$AG$1001,0),MATCH(COLUMNS($AN$1006:BN1006),$AN$1006:$BO$1006,0)), HYPERLINK("#",""), HYPERLINK(CONCATENATE("#Metadata!", ADDRESS(INDEX($AI$2:$AI$1001,MATCH(ROWS($AG$2:AG120),$AG$2:$AG$1001,0),0), INDEX($AN$1004:$BO$1004,1,MATCH(COLUMNS($AN$1006:BN1006),$AN$1006:$BO$1006,0)))),"Fix")))</f>
        <v>0</v>
      </c>
      <c r="AC120" s="4">
        <f>IF(OR(INDEX($AH$2:$AH$1001,MATCH(ROWS($AG$2:AG120),$AG$2:$AG$1001,0),1)&gt;=100000,INDEX($AN$1005:$BO$1005,1,MATCH(COLUMNS($AN$1006:BO1006),$AN$1006:$BO$1006,0))&gt;=100000), " ",IF(INDEX($AN$2:$BO$1001,MATCH(ROWS($AG$2:AG120),$AG$2:$AG$1001,0),MATCH(COLUMNS($AN$1006:BO1006),$AN$1006:$BO$1006,0)), HYPERLINK("#",""), HYPERLINK(CONCATENATE("#Metadata!", ADDRESS(INDEX($AI$2:$AI$1001,MATCH(ROWS($AG$2:AG120),$AG$2:$AG$1001,0),0), INDEX($AN$1004:$BO$1004,1,MATCH(COLUMNS($AN$1006:BO1006),$AN$1006:$BO$1006,0)))),"Fix")))</f>
        <v>0</v>
      </c>
      <c r="AG120">
        <v>0</v>
      </c>
      <c r="AH120">
        <v>0</v>
      </c>
      <c r="AI120">
        <v>0</v>
      </c>
      <c r="AJ120">
        <f>IF(AK120,TRUE,AND(AN120:BO120))</f>
        <v>0</v>
      </c>
      <c r="AK120">
        <f>COUNTBLANK(Metadata!B120:AC120)=COLUMNS(Metadata!B120:AC120)</f>
        <v>0</v>
      </c>
      <c r="AL120">
        <v>0</v>
      </c>
      <c r="AN120">
        <f>AND(IF(Metadata!B120="",FALSE,TRUE),COUNTIF(Metadata!B:B, Metadata!B120) = 1,NOT(ISERROR(SUMPRODUCT(SEARCH(MID(Metadata!B120,ROW(INDIRECT("1:"&amp;LEN(Metadata!B120))), 1),"0123456789abcdefghijklmnopqrstuvwxyzABCDEFGHIJKLMNOPQRSTUVWXYZ.")))))</f>
        <v>0</v>
      </c>
      <c r="AO120">
        <f>IF(Metadata!C120="",FALSE,TRUE)</f>
        <v>0</v>
      </c>
      <c r="AP120">
        <f>IF(Metadata!D120="",FALSE,TRUE)</f>
        <v>0</v>
      </c>
      <c r="AQ120">
        <f>OR(AND(IF(Metadata!E120="",FALSE,TRUE),OR(exact(Metadata!E120,"not collected"),exact(Metadata!E120,"not provided"),exact(Metadata!E120,"restricted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R120">
        <f>IF(Metadata!F120="",FALSE,TRUE)</f>
        <v>0</v>
      </c>
      <c r="AS120">
        <f>OR(AND(IF(Metadata!G120="",FALSE,TRUE),OR(exact(Metadata!G120,"not collected"),exact(Metadata!G120,"not provided"))),AND(IF(Metadata!G120="",FALSE,TRUE),OR(exact(Metadata!G120,"TRUE"),exact(Metadata!G120,"FALSE"))))</f>
        <v>0</v>
      </c>
      <c r="AT120">
        <f>OR(AND(IF(Metadata!H120="",FALSE,TRUE),OR(exact(Metadata!H120,"not collected"),exact(Metadata!H120,"not provided"),exact(Metadata!H120,"restricted access"))),AND(IF(Metadata!H120="",FALSE,ISNUMBER(VALUE(Metadata!H120))),Metadata!H120&gt;=-413.0))</f>
        <v>0</v>
      </c>
      <c r="AU120">
        <f>AND(IF(Metadata!I120="",FALSE,TRUE),exact(Metadata!I120,"meters"))</f>
        <v>0</v>
      </c>
      <c r="AV120">
        <f>AND(IF(Metadata!J120="",FALSE,TRUE),OR(exact(Metadata!J120,"Host-associated"),exact(Metadata!J120,"Free-living")))</f>
        <v>0</v>
      </c>
      <c r="AW120">
        <f>AND(IF(Metadata!K120="",FALSE,TRUE),OR(exact(Metadata!K120,"Animal"),exact(Metadata!K120,"Fungus"),exact(Metadata!K120,"Plant"),exact(Metadata!K120,"Saline"),exact(Metadata!K120,"Non-saline")))</f>
        <v>0</v>
      </c>
      <c r="AX120">
        <f>AND(IF(Metadata!L120="",FALSE,TRUE),OR(exact(Metadata!L120,"Plant secretion"),exact(Metadata!L120,"Plant rhizosphere"),exact(Metadata!L120,"Plant surface"),exact(Metadata!L120,"Plant corpus"),exact(Metadata!L120,"Fungus surface"),exact(Metadata!L120,"Fungus corpus"),exact(Metadata!L120,"Animal surface"),exact(Metadata!L120,"Animal proximal gut"),exact(Metadata!L120,"Animal corpus"),exact(Metadata!L120,"Animal distal gut"),exact(Metadata!L120,"Animal secretion"),exact(Metadata!L120,"Sub-surface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Y120">
        <f>IF(Metadata!M120="",FALSE,TRUE)</f>
        <v>0</v>
      </c>
      <c r="AZ120">
        <f>IF(Metadata!N120="",FALSE,TRUE)</f>
        <v>0</v>
      </c>
      <c r="BA120">
        <f>IF(Metadata!O120="",FALSE,TRUE)</f>
        <v>0</v>
      </c>
      <c r="BB120">
        <f>OR(AND(IF(Metadata!P120="",FALSE,TRUE),OR(exact(Metadata!P120,"not collected"),exact(Metadata!P120,"not provided"),exact(Metadata!P120,"restricted access"))),AND(IF(Metadata!P120="",FALSE,TRUE),OR(exact(Metadata!P120,"air"),exact(Metadata!P120,"built environment"),exact(Metadata!P120,"host-associated"),exact(Metadata!P120,"human-associated"),exact(Metadata!P120,"human-skin"),exact(Metadata!P120,"human-oral"),exact(Metadata!P120,"human-gut"),exact(Metadata!P120,"human-vaginal"),exact(Metadata!P120,"microbial mat/biofilm"),exact(Metadata!P120,"misc environment"),exact(Metadata!P120,"plant-associated"),exact(Metadata!P120,"sediment"),exact(Metadata!P120,"soil"),exact(Metadata!P120,"wastewater/sludge"),exact(Metadata!P120,"water"))))</f>
        <v>0</v>
      </c>
      <c r="BC120">
        <f>IF(Metadata!Q120="",FALSE,TRUE)</f>
        <v>0</v>
      </c>
      <c r="BD120">
        <f>IF(Metadata!R120="",FALSE,TRUE)</f>
        <v>0</v>
      </c>
      <c r="BE120">
        <f>OR(AND(IF(Metadata!S120="",FALSE,TRUE),OR(exact(Metadata!S120,"not collected"),exact(Metadata!S120,"not provided"),exact(Metadata!S120,"restricted access"))),AND(IF(Metadata!S120="",FALSE,ISNUMBER(VALUE(Metadata!S120))),Metadata!S120&gt;=-90.00,Metadata!S120&lt;=90.00))</f>
        <v>0</v>
      </c>
      <c r="BF120">
        <f>AND(IF(Metadata!T120="",FALSE,TRUE),exact(Metadata!T120,"Decimal degrees"))</f>
        <v>0</v>
      </c>
      <c r="BG120">
        <f>OR(AND(IF(Metadata!U120="",FALSE,TRUE),OR(exact(Metadata!U120,"not collected"),exact(Metadata!U120,"not provided"),exact(Metadata!U120,"restricted access"))),AND(IF(Metadata!U120="",FALSE,ISNUMBER(VALUE(Metadata!U120))),Metadata!U120&gt;=-180.00,Metadata!U120&lt;=180.00))</f>
        <v>0</v>
      </c>
      <c r="BH120">
        <f>AND(IF(Metadata!V120="",FALSE,TRUE),exact(Metadata!V120,"Decimal degrees"))</f>
        <v>0</v>
      </c>
      <c r="BI120">
        <f>IF(Metadata!W120="",FALSE,TRUE)</f>
        <v>0</v>
      </c>
      <c r="BJ120">
        <f>OR(AND(IF(Metadata!X120="",FALSE,TRUE),OR(exact(Metadata!X120,"not collected"),exact(Metadata!X120,"not provided"),exact(Metadata!X120,"restricted access"))),AND(IF(Metadata!X120="",FALSE,TRUE),OR(exact(Metadata!X120,"TRUE"),exact(Metadata!X120,"FALSE"))))</f>
        <v>0</v>
      </c>
      <c r="BK120">
        <f>AND(IF(Metadata!Y120="",FALSE,TRUE),exact(Metadata!Y120,"other"))</f>
        <v>0</v>
      </c>
      <c r="BL120">
        <f>IF(Metadata!Z120="",FALSE,TRUE)</f>
        <v>0</v>
      </c>
      <c r="BM120">
        <f>OR(AND(IF(Metadata!AA120="",FALSE,TRUE),OR(exact(Metadata!AA120,"not collected"),exact(Metadata!AA120,"not provided"))),AND(IF(Metadata!AA120="",FALSE,IF(ISERROR(INT(Metadata!AA120)),FALSE,INT(Metadata!AA120)=Metadata!AA120)),Metadata!AA120&gt;0))</f>
        <v>0</v>
      </c>
      <c r="BN120">
        <f>AND(IF(Metadata!AB120="",FALSE,TRUE),exact(Metadata!AB120,"Not applicable"))</f>
        <v>0</v>
      </c>
      <c r="BO120">
        <f>IF(Metadata!AC120="",FALSE,TRUE)</f>
        <v>0</v>
      </c>
    </row>
    <row r="121" spans="1:67">
      <c r="A121" s="5">
        <f>IF(B121=" "," ",HYPERLINK(CONCATENATE("#metadata!",ADDRESS(INDEX($AI$2:$AI$1001,MATCH(ROWS($AG$2:AG121),$AG$2:$AG$1001,0),0),1)),INDEX($AL$2:$AL$1001,MATCH(ROWS($AG$2:AG121),$AG$2:$AG$1001,0),0)))</f>
        <v>0</v>
      </c>
      <c r="B121" s="4">
        <f>IF(OR(INDEX($AH$2:$AH$1001,MATCH(ROWS($AG$2:AG121),$AG$2:$AG$1001,0),1)&gt;=100000,INDEX($AN$1005:$BO$1005,1,MATCH(COLUMNS($AN$1006:AN1006),$AN$1006:$BO$1006,0))&gt;=100000), " ",IF(INDEX($AN$2:$BO$1001,MATCH(ROWS($AG$2:AG121),$AG$2:$AG$1001,0),MATCH(COLUMNS($AN$1006:AN1006),$AN$1006:$BO$1006,0)), HYPERLINK("#",""), HYPERLINK(CONCATENATE("#Metadata!", ADDRESS(INDEX($AI$2:$AI$1001,MATCH(ROWS($AG$2:AG121),$AG$2:$AG$1001,0),0), INDEX($AN$1004:$BO$1004,1,MATCH(COLUMNS($AN$1006:AN1006),$AN$1006:$BO$1006,0)))),"Fix")))</f>
        <v>0</v>
      </c>
      <c r="C121" s="4">
        <f>IF(OR(INDEX($AH$2:$AH$1001,MATCH(ROWS($AG$2:AG121),$AG$2:$AG$1001,0),1)&gt;=100000,INDEX($AN$1005:$BO$1005,1,MATCH(COLUMNS($AN$1006:AO1006),$AN$1006:$BO$1006,0))&gt;=100000), " ",IF(INDEX($AN$2:$BO$1001,MATCH(ROWS($AG$2:AG121),$AG$2:$AG$1001,0),MATCH(COLUMNS($AN$1006:AO1006),$AN$1006:$BO$1006,0)), HYPERLINK("#",""), HYPERLINK(CONCATENATE("#Metadata!", ADDRESS(INDEX($AI$2:$AI$1001,MATCH(ROWS($AG$2:AG121),$AG$2:$AG$1001,0),0), INDEX($AN$1004:$BO$1004,1,MATCH(COLUMNS($AN$1006:AO1006),$AN$1006:$BO$1006,0)))),"Fix")))</f>
        <v>0</v>
      </c>
      <c r="D121" s="4">
        <f>IF(OR(INDEX($AH$2:$AH$1001,MATCH(ROWS($AG$2:AG121),$AG$2:$AG$1001,0),1)&gt;=100000,INDEX($AN$1005:$BO$1005,1,MATCH(COLUMNS($AN$1006:AP1006),$AN$1006:$BO$1006,0))&gt;=100000), " ",IF(INDEX($AN$2:$BO$1001,MATCH(ROWS($AG$2:AG121),$AG$2:$AG$1001,0),MATCH(COLUMNS($AN$1006:AP1006),$AN$1006:$BO$1006,0)), HYPERLINK("#",""), HYPERLINK(CONCATENATE("#Metadata!", ADDRESS(INDEX($AI$2:$AI$1001,MATCH(ROWS($AG$2:AG121),$AG$2:$AG$1001,0),0), INDEX($AN$1004:$BO$1004,1,MATCH(COLUMNS($AN$1006:AP1006),$AN$1006:$BO$1006,0)))),"Fix")))</f>
        <v>0</v>
      </c>
      <c r="E121" s="4">
        <f>IF(OR(INDEX($AH$2:$AH$1001,MATCH(ROWS($AG$2:AG121),$AG$2:$AG$1001,0),1)&gt;=100000,INDEX($AN$1005:$BO$1005,1,MATCH(COLUMNS($AN$1006:AQ1006),$AN$1006:$BO$1006,0))&gt;=100000), " ",IF(INDEX($AN$2:$BO$1001,MATCH(ROWS($AG$2:AG121),$AG$2:$AG$1001,0),MATCH(COLUMNS($AN$1006:AQ1006),$AN$1006:$BO$1006,0)), HYPERLINK("#",""), HYPERLINK(CONCATENATE("#Metadata!", ADDRESS(INDEX($AI$2:$AI$1001,MATCH(ROWS($AG$2:AG121),$AG$2:$AG$1001,0),0), INDEX($AN$1004:$BO$1004,1,MATCH(COLUMNS($AN$1006:AQ1006),$AN$1006:$BO$1006,0)))),"Fix")))</f>
        <v>0</v>
      </c>
      <c r="F121" s="4">
        <f>IF(OR(INDEX($AH$2:$AH$1001,MATCH(ROWS($AG$2:AG121),$AG$2:$AG$1001,0),1)&gt;=100000,INDEX($AN$1005:$BO$1005,1,MATCH(COLUMNS($AN$1006:AR1006),$AN$1006:$BO$1006,0))&gt;=100000), " ",IF(INDEX($AN$2:$BO$1001,MATCH(ROWS($AG$2:AG121),$AG$2:$AG$1001,0),MATCH(COLUMNS($AN$1006:AR1006),$AN$1006:$BO$1006,0)), HYPERLINK("#",""), HYPERLINK(CONCATENATE("#Metadata!", ADDRESS(INDEX($AI$2:$AI$1001,MATCH(ROWS($AG$2:AG121),$AG$2:$AG$1001,0),0), INDEX($AN$1004:$BO$1004,1,MATCH(COLUMNS($AN$1006:AR1006),$AN$1006:$BO$1006,0)))),"Fix")))</f>
        <v>0</v>
      </c>
      <c r="G121" s="4">
        <f>IF(OR(INDEX($AH$2:$AH$1001,MATCH(ROWS($AG$2:AG121),$AG$2:$AG$1001,0),1)&gt;=100000,INDEX($AN$1005:$BO$1005,1,MATCH(COLUMNS($AN$1006:AS1006),$AN$1006:$BO$1006,0))&gt;=100000), " ",IF(INDEX($AN$2:$BO$1001,MATCH(ROWS($AG$2:AG121),$AG$2:$AG$1001,0),MATCH(COLUMNS($AN$1006:AS1006),$AN$1006:$BO$1006,0)), HYPERLINK("#",""), HYPERLINK(CONCATENATE("#Metadata!", ADDRESS(INDEX($AI$2:$AI$1001,MATCH(ROWS($AG$2:AG121),$AG$2:$AG$1001,0),0), INDEX($AN$1004:$BO$1004,1,MATCH(COLUMNS($AN$1006:AS1006),$AN$1006:$BO$1006,0)))),"Fix")))</f>
        <v>0</v>
      </c>
      <c r="H121" s="4">
        <f>IF(OR(INDEX($AH$2:$AH$1001,MATCH(ROWS($AG$2:AG121),$AG$2:$AG$1001,0),1)&gt;=100000,INDEX($AN$1005:$BO$1005,1,MATCH(COLUMNS($AN$1006:AT1006),$AN$1006:$BO$1006,0))&gt;=100000), " ",IF(INDEX($AN$2:$BO$1001,MATCH(ROWS($AG$2:AG121),$AG$2:$AG$1001,0),MATCH(COLUMNS($AN$1006:AT1006),$AN$1006:$BO$1006,0)), HYPERLINK("#",""), HYPERLINK(CONCATENATE("#Metadata!", ADDRESS(INDEX($AI$2:$AI$1001,MATCH(ROWS($AG$2:AG121),$AG$2:$AG$1001,0),0), INDEX($AN$1004:$BO$1004,1,MATCH(COLUMNS($AN$1006:AT1006),$AN$1006:$BO$1006,0)))),"Fix")))</f>
        <v>0</v>
      </c>
      <c r="I121" s="4">
        <f>IF(OR(INDEX($AH$2:$AH$1001,MATCH(ROWS($AG$2:AG121),$AG$2:$AG$1001,0),1)&gt;=100000,INDEX($AN$1005:$BO$1005,1,MATCH(COLUMNS($AN$1006:AU1006),$AN$1006:$BO$1006,0))&gt;=100000), " ",IF(INDEX($AN$2:$BO$1001,MATCH(ROWS($AG$2:AG121),$AG$2:$AG$1001,0),MATCH(COLUMNS($AN$1006:AU1006),$AN$1006:$BO$1006,0)), HYPERLINK("#",""), HYPERLINK(CONCATENATE("#Metadata!", ADDRESS(INDEX($AI$2:$AI$1001,MATCH(ROWS($AG$2:AG121),$AG$2:$AG$1001,0),0), INDEX($AN$1004:$BO$1004,1,MATCH(COLUMNS($AN$1006:AU1006),$AN$1006:$BO$1006,0)))),"Fix")))</f>
        <v>0</v>
      </c>
      <c r="J121" s="4">
        <f>IF(OR(INDEX($AH$2:$AH$1001,MATCH(ROWS($AG$2:AG121),$AG$2:$AG$1001,0),1)&gt;=100000,INDEX($AN$1005:$BO$1005,1,MATCH(COLUMNS($AN$1006:AV1006),$AN$1006:$BO$1006,0))&gt;=100000), " ",IF(INDEX($AN$2:$BO$1001,MATCH(ROWS($AG$2:AG121),$AG$2:$AG$1001,0),MATCH(COLUMNS($AN$1006:AV1006),$AN$1006:$BO$1006,0)), HYPERLINK("#",""), HYPERLINK(CONCATENATE("#Metadata!", ADDRESS(INDEX($AI$2:$AI$1001,MATCH(ROWS($AG$2:AG121),$AG$2:$AG$1001,0),0), INDEX($AN$1004:$BO$1004,1,MATCH(COLUMNS($AN$1006:AV1006),$AN$1006:$BO$1006,0)))),"Fix")))</f>
        <v>0</v>
      </c>
      <c r="K121" s="4">
        <f>IF(OR(INDEX($AH$2:$AH$1001,MATCH(ROWS($AG$2:AG121),$AG$2:$AG$1001,0),1)&gt;=100000,INDEX($AN$1005:$BO$1005,1,MATCH(COLUMNS($AN$1006:AW1006),$AN$1006:$BO$1006,0))&gt;=100000), " ",IF(INDEX($AN$2:$BO$1001,MATCH(ROWS($AG$2:AG121),$AG$2:$AG$1001,0),MATCH(COLUMNS($AN$1006:AW1006),$AN$1006:$BO$1006,0)), HYPERLINK("#",""), HYPERLINK(CONCATENATE("#Metadata!", ADDRESS(INDEX($AI$2:$AI$1001,MATCH(ROWS($AG$2:AG121),$AG$2:$AG$1001,0),0), INDEX($AN$1004:$BO$1004,1,MATCH(COLUMNS($AN$1006:AW1006),$AN$1006:$BO$1006,0)))),"Fix")))</f>
        <v>0</v>
      </c>
      <c r="L121" s="4">
        <f>IF(OR(INDEX($AH$2:$AH$1001,MATCH(ROWS($AG$2:AG121),$AG$2:$AG$1001,0),1)&gt;=100000,INDEX($AN$1005:$BO$1005,1,MATCH(COLUMNS($AN$1006:AX1006),$AN$1006:$BO$1006,0))&gt;=100000), " ",IF(INDEX($AN$2:$BO$1001,MATCH(ROWS($AG$2:AG121),$AG$2:$AG$1001,0),MATCH(COLUMNS($AN$1006:AX1006),$AN$1006:$BO$1006,0)), HYPERLINK("#",""), HYPERLINK(CONCATENATE("#Metadata!", ADDRESS(INDEX($AI$2:$AI$1001,MATCH(ROWS($AG$2:AG121),$AG$2:$AG$1001,0),0), INDEX($AN$1004:$BO$1004,1,MATCH(COLUMNS($AN$1006:AX1006),$AN$1006:$BO$1006,0)))),"Fix")))</f>
        <v>0</v>
      </c>
      <c r="M121" s="4">
        <f>IF(OR(INDEX($AH$2:$AH$1001,MATCH(ROWS($AG$2:AG121),$AG$2:$AG$1001,0),1)&gt;=100000,INDEX($AN$1005:$BO$1005,1,MATCH(COLUMNS($AN$1006:AY1006),$AN$1006:$BO$1006,0))&gt;=100000), " ",IF(INDEX($AN$2:$BO$1001,MATCH(ROWS($AG$2:AG121),$AG$2:$AG$1001,0),MATCH(COLUMNS($AN$1006:AY1006),$AN$1006:$BO$1006,0)), HYPERLINK("#",""), HYPERLINK(CONCATENATE("#Metadata!", ADDRESS(INDEX($AI$2:$AI$1001,MATCH(ROWS($AG$2:AG121),$AG$2:$AG$1001,0),0), INDEX($AN$1004:$BO$1004,1,MATCH(COLUMNS($AN$1006:AY1006),$AN$1006:$BO$1006,0)))),"Fix")))</f>
        <v>0</v>
      </c>
      <c r="N121" s="4">
        <f>IF(OR(INDEX($AH$2:$AH$1001,MATCH(ROWS($AG$2:AG121),$AG$2:$AG$1001,0),1)&gt;=100000,INDEX($AN$1005:$BO$1005,1,MATCH(COLUMNS($AN$1006:AZ1006),$AN$1006:$BO$1006,0))&gt;=100000), " ",IF(INDEX($AN$2:$BO$1001,MATCH(ROWS($AG$2:AG121),$AG$2:$AG$1001,0),MATCH(COLUMNS($AN$1006:AZ1006),$AN$1006:$BO$1006,0)), HYPERLINK("#",""), HYPERLINK(CONCATENATE("#Metadata!", ADDRESS(INDEX($AI$2:$AI$1001,MATCH(ROWS($AG$2:AG121),$AG$2:$AG$1001,0),0), INDEX($AN$1004:$BO$1004,1,MATCH(COLUMNS($AN$1006:AZ1006),$AN$1006:$BO$1006,0)))),"Fix")))</f>
        <v>0</v>
      </c>
      <c r="O121" s="4">
        <f>IF(OR(INDEX($AH$2:$AH$1001,MATCH(ROWS($AG$2:AG121),$AG$2:$AG$1001,0),1)&gt;=100000,INDEX($AN$1005:$BO$1005,1,MATCH(COLUMNS($AN$1006:BA1006),$AN$1006:$BO$1006,0))&gt;=100000), " ",IF(INDEX($AN$2:$BO$1001,MATCH(ROWS($AG$2:AG121),$AG$2:$AG$1001,0),MATCH(COLUMNS($AN$1006:BA1006),$AN$1006:$BO$1006,0)), HYPERLINK("#",""), HYPERLINK(CONCATENATE("#Metadata!", ADDRESS(INDEX($AI$2:$AI$1001,MATCH(ROWS($AG$2:AG121),$AG$2:$AG$1001,0),0), INDEX($AN$1004:$BO$1004,1,MATCH(COLUMNS($AN$1006:BA1006),$AN$1006:$BO$1006,0)))),"Fix")))</f>
        <v>0</v>
      </c>
      <c r="P121" s="4">
        <f>IF(OR(INDEX($AH$2:$AH$1001,MATCH(ROWS($AG$2:AG121),$AG$2:$AG$1001,0),1)&gt;=100000,INDEX($AN$1005:$BO$1005,1,MATCH(COLUMNS($AN$1006:BB1006),$AN$1006:$BO$1006,0))&gt;=100000), " ",IF(INDEX($AN$2:$BO$1001,MATCH(ROWS($AG$2:AG121),$AG$2:$AG$1001,0),MATCH(COLUMNS($AN$1006:BB1006),$AN$1006:$BO$1006,0)), HYPERLINK("#",""), HYPERLINK(CONCATENATE("#Metadata!", ADDRESS(INDEX($AI$2:$AI$1001,MATCH(ROWS($AG$2:AG121),$AG$2:$AG$1001,0),0), INDEX($AN$1004:$BO$1004,1,MATCH(COLUMNS($AN$1006:BB1006),$AN$1006:$BO$1006,0)))),"Fix")))</f>
        <v>0</v>
      </c>
      <c r="Q121" s="4">
        <f>IF(OR(INDEX($AH$2:$AH$1001,MATCH(ROWS($AG$2:AG121),$AG$2:$AG$1001,0),1)&gt;=100000,INDEX($AN$1005:$BO$1005,1,MATCH(COLUMNS($AN$1006:BC1006),$AN$1006:$BO$1006,0))&gt;=100000), " ",IF(INDEX($AN$2:$BO$1001,MATCH(ROWS($AG$2:AG121),$AG$2:$AG$1001,0),MATCH(COLUMNS($AN$1006:BC1006),$AN$1006:$BO$1006,0)), HYPERLINK("#",""), HYPERLINK(CONCATENATE("#Metadata!", ADDRESS(INDEX($AI$2:$AI$1001,MATCH(ROWS($AG$2:AG121),$AG$2:$AG$1001,0),0), INDEX($AN$1004:$BO$1004,1,MATCH(COLUMNS($AN$1006:BC1006),$AN$1006:$BO$1006,0)))),"Fix")))</f>
        <v>0</v>
      </c>
      <c r="R121" s="4">
        <f>IF(OR(INDEX($AH$2:$AH$1001,MATCH(ROWS($AG$2:AG121),$AG$2:$AG$1001,0),1)&gt;=100000,INDEX($AN$1005:$BO$1005,1,MATCH(COLUMNS($AN$1006:BD1006),$AN$1006:$BO$1006,0))&gt;=100000), " ",IF(INDEX($AN$2:$BO$1001,MATCH(ROWS($AG$2:AG121),$AG$2:$AG$1001,0),MATCH(COLUMNS($AN$1006:BD1006),$AN$1006:$BO$1006,0)), HYPERLINK("#",""), HYPERLINK(CONCATENATE("#Metadata!", ADDRESS(INDEX($AI$2:$AI$1001,MATCH(ROWS($AG$2:AG121),$AG$2:$AG$1001,0),0), INDEX($AN$1004:$BO$1004,1,MATCH(COLUMNS($AN$1006:BD1006),$AN$1006:$BO$1006,0)))),"Fix")))</f>
        <v>0</v>
      </c>
      <c r="S121" s="4">
        <f>IF(OR(INDEX($AH$2:$AH$1001,MATCH(ROWS($AG$2:AG121),$AG$2:$AG$1001,0),1)&gt;=100000,INDEX($AN$1005:$BO$1005,1,MATCH(COLUMNS($AN$1006:BE1006),$AN$1006:$BO$1006,0))&gt;=100000), " ",IF(INDEX($AN$2:$BO$1001,MATCH(ROWS($AG$2:AG121),$AG$2:$AG$1001,0),MATCH(COLUMNS($AN$1006:BE1006),$AN$1006:$BO$1006,0)), HYPERLINK("#",""), HYPERLINK(CONCATENATE("#Metadata!", ADDRESS(INDEX($AI$2:$AI$1001,MATCH(ROWS($AG$2:AG121),$AG$2:$AG$1001,0),0), INDEX($AN$1004:$BO$1004,1,MATCH(COLUMNS($AN$1006:BE1006),$AN$1006:$BO$1006,0)))),"Fix")))</f>
        <v>0</v>
      </c>
      <c r="T121" s="4">
        <f>IF(OR(INDEX($AH$2:$AH$1001,MATCH(ROWS($AG$2:AG121),$AG$2:$AG$1001,0),1)&gt;=100000,INDEX($AN$1005:$BO$1005,1,MATCH(COLUMNS($AN$1006:BF1006),$AN$1006:$BO$1006,0))&gt;=100000), " ",IF(INDEX($AN$2:$BO$1001,MATCH(ROWS($AG$2:AG121),$AG$2:$AG$1001,0),MATCH(COLUMNS($AN$1006:BF1006),$AN$1006:$BO$1006,0)), HYPERLINK("#",""), HYPERLINK(CONCATENATE("#Metadata!", ADDRESS(INDEX($AI$2:$AI$1001,MATCH(ROWS($AG$2:AG121),$AG$2:$AG$1001,0),0), INDEX($AN$1004:$BO$1004,1,MATCH(COLUMNS($AN$1006:BF1006),$AN$1006:$BO$1006,0)))),"Fix")))</f>
        <v>0</v>
      </c>
      <c r="U121" s="4">
        <f>IF(OR(INDEX($AH$2:$AH$1001,MATCH(ROWS($AG$2:AG121),$AG$2:$AG$1001,0),1)&gt;=100000,INDEX($AN$1005:$BO$1005,1,MATCH(COLUMNS($AN$1006:BG1006),$AN$1006:$BO$1006,0))&gt;=100000), " ",IF(INDEX($AN$2:$BO$1001,MATCH(ROWS($AG$2:AG121),$AG$2:$AG$1001,0),MATCH(COLUMNS($AN$1006:BG1006),$AN$1006:$BO$1006,0)), HYPERLINK("#",""), HYPERLINK(CONCATENATE("#Metadata!", ADDRESS(INDEX($AI$2:$AI$1001,MATCH(ROWS($AG$2:AG121),$AG$2:$AG$1001,0),0), INDEX($AN$1004:$BO$1004,1,MATCH(COLUMNS($AN$1006:BG1006),$AN$1006:$BO$1006,0)))),"Fix")))</f>
        <v>0</v>
      </c>
      <c r="V121" s="4">
        <f>IF(OR(INDEX($AH$2:$AH$1001,MATCH(ROWS($AG$2:AG121),$AG$2:$AG$1001,0),1)&gt;=100000,INDEX($AN$1005:$BO$1005,1,MATCH(COLUMNS($AN$1006:BH1006),$AN$1006:$BO$1006,0))&gt;=100000), " ",IF(INDEX($AN$2:$BO$1001,MATCH(ROWS($AG$2:AG121),$AG$2:$AG$1001,0),MATCH(COLUMNS($AN$1006:BH1006),$AN$1006:$BO$1006,0)), HYPERLINK("#",""), HYPERLINK(CONCATENATE("#Metadata!", ADDRESS(INDEX($AI$2:$AI$1001,MATCH(ROWS($AG$2:AG121),$AG$2:$AG$1001,0),0), INDEX($AN$1004:$BO$1004,1,MATCH(COLUMNS($AN$1006:BH1006),$AN$1006:$BO$1006,0)))),"Fix")))</f>
        <v>0</v>
      </c>
      <c r="W121" s="4">
        <f>IF(OR(INDEX($AH$2:$AH$1001,MATCH(ROWS($AG$2:AG121),$AG$2:$AG$1001,0),1)&gt;=100000,INDEX($AN$1005:$BO$1005,1,MATCH(COLUMNS($AN$1006:BI1006),$AN$1006:$BO$1006,0))&gt;=100000), " ",IF(INDEX($AN$2:$BO$1001,MATCH(ROWS($AG$2:AG121),$AG$2:$AG$1001,0),MATCH(COLUMNS($AN$1006:BI1006),$AN$1006:$BO$1006,0)), HYPERLINK("#",""), HYPERLINK(CONCATENATE("#Metadata!", ADDRESS(INDEX($AI$2:$AI$1001,MATCH(ROWS($AG$2:AG121),$AG$2:$AG$1001,0),0), INDEX($AN$1004:$BO$1004,1,MATCH(COLUMNS($AN$1006:BI1006),$AN$1006:$BO$1006,0)))),"Fix")))</f>
        <v>0</v>
      </c>
      <c r="X121" s="4">
        <f>IF(OR(INDEX($AH$2:$AH$1001,MATCH(ROWS($AG$2:AG121),$AG$2:$AG$1001,0),1)&gt;=100000,INDEX($AN$1005:$BO$1005,1,MATCH(COLUMNS($AN$1006:BJ1006),$AN$1006:$BO$1006,0))&gt;=100000), " ",IF(INDEX($AN$2:$BO$1001,MATCH(ROWS($AG$2:AG121),$AG$2:$AG$1001,0),MATCH(COLUMNS($AN$1006:BJ1006),$AN$1006:$BO$1006,0)), HYPERLINK("#",""), HYPERLINK(CONCATENATE("#Metadata!", ADDRESS(INDEX($AI$2:$AI$1001,MATCH(ROWS($AG$2:AG121),$AG$2:$AG$1001,0),0), INDEX($AN$1004:$BO$1004,1,MATCH(COLUMNS($AN$1006:BJ1006),$AN$1006:$BO$1006,0)))),"Fix")))</f>
        <v>0</v>
      </c>
      <c r="Y121" s="4">
        <f>IF(OR(INDEX($AH$2:$AH$1001,MATCH(ROWS($AG$2:AG121),$AG$2:$AG$1001,0),1)&gt;=100000,INDEX($AN$1005:$BO$1005,1,MATCH(COLUMNS($AN$1006:BK1006),$AN$1006:$BO$1006,0))&gt;=100000), " ",IF(INDEX($AN$2:$BO$1001,MATCH(ROWS($AG$2:AG121),$AG$2:$AG$1001,0),MATCH(COLUMNS($AN$1006:BK1006),$AN$1006:$BO$1006,0)), HYPERLINK("#",""), HYPERLINK(CONCATENATE("#Metadata!", ADDRESS(INDEX($AI$2:$AI$1001,MATCH(ROWS($AG$2:AG121),$AG$2:$AG$1001,0),0), INDEX($AN$1004:$BO$1004,1,MATCH(COLUMNS($AN$1006:BK1006),$AN$1006:$BO$1006,0)))),"Fix")))</f>
        <v>0</v>
      </c>
      <c r="Z121" s="4">
        <f>IF(OR(INDEX($AH$2:$AH$1001,MATCH(ROWS($AG$2:AG121),$AG$2:$AG$1001,0),1)&gt;=100000,INDEX($AN$1005:$BO$1005,1,MATCH(COLUMNS($AN$1006:BL1006),$AN$1006:$BO$1006,0))&gt;=100000), " ",IF(INDEX($AN$2:$BO$1001,MATCH(ROWS($AG$2:AG121),$AG$2:$AG$1001,0),MATCH(COLUMNS($AN$1006:BL1006),$AN$1006:$BO$1006,0)), HYPERLINK("#",""), HYPERLINK(CONCATENATE("#Metadata!", ADDRESS(INDEX($AI$2:$AI$1001,MATCH(ROWS($AG$2:AG121),$AG$2:$AG$1001,0),0), INDEX($AN$1004:$BO$1004,1,MATCH(COLUMNS($AN$1006:BL1006),$AN$1006:$BO$1006,0)))),"Fix")))</f>
        <v>0</v>
      </c>
      <c r="AA121" s="4">
        <f>IF(OR(INDEX($AH$2:$AH$1001,MATCH(ROWS($AG$2:AG121),$AG$2:$AG$1001,0),1)&gt;=100000,INDEX($AN$1005:$BO$1005,1,MATCH(COLUMNS($AN$1006:BM1006),$AN$1006:$BO$1006,0))&gt;=100000), " ",IF(INDEX($AN$2:$BO$1001,MATCH(ROWS($AG$2:AG121),$AG$2:$AG$1001,0),MATCH(COLUMNS($AN$1006:BM1006),$AN$1006:$BO$1006,0)), HYPERLINK("#",""), HYPERLINK(CONCATENATE("#Metadata!", ADDRESS(INDEX($AI$2:$AI$1001,MATCH(ROWS($AG$2:AG121),$AG$2:$AG$1001,0),0), INDEX($AN$1004:$BO$1004,1,MATCH(COLUMNS($AN$1006:BM1006),$AN$1006:$BO$1006,0)))),"Fix")))</f>
        <v>0</v>
      </c>
      <c r="AB121" s="4">
        <f>IF(OR(INDEX($AH$2:$AH$1001,MATCH(ROWS($AG$2:AG121),$AG$2:$AG$1001,0),1)&gt;=100000,INDEX($AN$1005:$BO$1005,1,MATCH(COLUMNS($AN$1006:BN1006),$AN$1006:$BO$1006,0))&gt;=100000), " ",IF(INDEX($AN$2:$BO$1001,MATCH(ROWS($AG$2:AG121),$AG$2:$AG$1001,0),MATCH(COLUMNS($AN$1006:BN1006),$AN$1006:$BO$1006,0)), HYPERLINK("#",""), HYPERLINK(CONCATENATE("#Metadata!", ADDRESS(INDEX($AI$2:$AI$1001,MATCH(ROWS($AG$2:AG121),$AG$2:$AG$1001,0),0), INDEX($AN$1004:$BO$1004,1,MATCH(COLUMNS($AN$1006:BN1006),$AN$1006:$BO$1006,0)))),"Fix")))</f>
        <v>0</v>
      </c>
      <c r="AC121" s="4">
        <f>IF(OR(INDEX($AH$2:$AH$1001,MATCH(ROWS($AG$2:AG121),$AG$2:$AG$1001,0),1)&gt;=100000,INDEX($AN$1005:$BO$1005,1,MATCH(COLUMNS($AN$1006:BO1006),$AN$1006:$BO$1006,0))&gt;=100000), " ",IF(INDEX($AN$2:$BO$1001,MATCH(ROWS($AG$2:AG121),$AG$2:$AG$1001,0),MATCH(COLUMNS($AN$1006:BO1006),$AN$1006:$BO$1006,0)), HYPERLINK("#",""), HYPERLINK(CONCATENATE("#Metadata!", ADDRESS(INDEX($AI$2:$AI$1001,MATCH(ROWS($AG$2:AG121),$AG$2:$AG$1001,0),0), INDEX($AN$1004:$BO$1004,1,MATCH(COLUMNS($AN$1006:BO1006),$AN$1006:$BO$1006,0)))),"Fix")))</f>
        <v>0</v>
      </c>
      <c r="AG121">
        <v>0</v>
      </c>
      <c r="AH121">
        <v>0</v>
      </c>
      <c r="AI121">
        <v>0</v>
      </c>
      <c r="AJ121">
        <f>IF(AK121,TRUE,AND(AN121:BO121))</f>
        <v>0</v>
      </c>
      <c r="AK121">
        <f>COUNTBLANK(Metadata!B121:AC121)=COLUMNS(Metadata!B121:AC121)</f>
        <v>0</v>
      </c>
      <c r="AL121">
        <v>0</v>
      </c>
      <c r="AN121">
        <f>AND(IF(Metadata!B121="",FALSE,TRUE),COUNTIF(Metadata!B:B, Metadata!B121) = 1,NOT(ISERROR(SUMPRODUCT(SEARCH(MID(Metadata!B121,ROW(INDIRECT("1:"&amp;LEN(Metadata!B121))), 1),"0123456789abcdefghijklmnopqrstuvwxyzABCDEFGHIJKLMNOPQRSTUVWXYZ.")))))</f>
        <v>0</v>
      </c>
      <c r="AO121">
        <f>IF(Metadata!C121="",FALSE,TRUE)</f>
        <v>0</v>
      </c>
      <c r="AP121">
        <f>IF(Metadata!D121="",FALSE,TRUE)</f>
        <v>0</v>
      </c>
      <c r="AQ121">
        <f>OR(AND(IF(Metadata!E121="",FALSE,TRUE),OR(exact(Metadata!E121,"not collected"),exact(Metadata!E121,"not provided"),exact(Metadata!E121,"restricted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R121">
        <f>IF(Metadata!F121="",FALSE,TRUE)</f>
        <v>0</v>
      </c>
      <c r="AS121">
        <f>OR(AND(IF(Metadata!G121="",FALSE,TRUE),OR(exact(Metadata!G121,"not collected"),exact(Metadata!G121,"not provided"))),AND(IF(Metadata!G121="",FALSE,TRUE),OR(exact(Metadata!G121,"TRUE"),exact(Metadata!G121,"FALSE"))))</f>
        <v>0</v>
      </c>
      <c r="AT121">
        <f>OR(AND(IF(Metadata!H121="",FALSE,TRUE),OR(exact(Metadata!H121,"not collected"),exact(Metadata!H121,"not provided"),exact(Metadata!H121,"restricted access"))),AND(IF(Metadata!H121="",FALSE,ISNUMBER(VALUE(Metadata!H121))),Metadata!H121&gt;=-413.0))</f>
        <v>0</v>
      </c>
      <c r="AU121">
        <f>AND(IF(Metadata!I121="",FALSE,TRUE),exact(Metadata!I121,"meters"))</f>
        <v>0</v>
      </c>
      <c r="AV121">
        <f>AND(IF(Metadata!J121="",FALSE,TRUE),OR(exact(Metadata!J121,"Host-associated"),exact(Metadata!J121,"Free-living")))</f>
        <v>0</v>
      </c>
      <c r="AW121">
        <f>AND(IF(Metadata!K121="",FALSE,TRUE),OR(exact(Metadata!K121,"Animal"),exact(Metadata!K121,"Fungus"),exact(Metadata!K121,"Plant"),exact(Metadata!K121,"Saline"),exact(Metadata!K121,"Non-saline")))</f>
        <v>0</v>
      </c>
      <c r="AX121">
        <f>AND(IF(Metadata!L121="",FALSE,TRUE),OR(exact(Metadata!L121,"Plant secretion"),exact(Metadata!L121,"Plant rhizosphere"),exact(Metadata!L121,"Plant surface"),exact(Metadata!L121,"Plant corpus"),exact(Metadata!L121,"Fungus surface"),exact(Metadata!L121,"Fungus corpus"),exact(Metadata!L121,"Animal surface"),exact(Metadata!L121,"Animal proximal gut"),exact(Metadata!L121,"Animal corpus"),exact(Metadata!L121,"Animal distal gut"),exact(Metadata!L121,"Animal secretion"),exact(Metadata!L121,"Sub-surface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Y121">
        <f>IF(Metadata!M121="",FALSE,TRUE)</f>
        <v>0</v>
      </c>
      <c r="AZ121">
        <f>IF(Metadata!N121="",FALSE,TRUE)</f>
        <v>0</v>
      </c>
      <c r="BA121">
        <f>IF(Metadata!O121="",FALSE,TRUE)</f>
        <v>0</v>
      </c>
      <c r="BB121">
        <f>OR(AND(IF(Metadata!P121="",FALSE,TRUE),OR(exact(Metadata!P121,"not collected"),exact(Metadata!P121,"not provided"),exact(Metadata!P121,"restricted access"))),AND(IF(Metadata!P121="",FALSE,TRUE),OR(exact(Metadata!P121,"air"),exact(Metadata!P121,"built environment"),exact(Metadata!P121,"host-associated"),exact(Metadata!P121,"human-associated"),exact(Metadata!P121,"human-skin"),exact(Metadata!P121,"human-oral"),exact(Metadata!P121,"human-gut"),exact(Metadata!P121,"human-vaginal"),exact(Metadata!P121,"microbial mat/biofilm"),exact(Metadata!P121,"misc environment"),exact(Metadata!P121,"plant-associated"),exact(Metadata!P121,"sediment"),exact(Metadata!P121,"soil"),exact(Metadata!P121,"wastewater/sludge"),exact(Metadata!P121,"water"))))</f>
        <v>0</v>
      </c>
      <c r="BC121">
        <f>IF(Metadata!Q121="",FALSE,TRUE)</f>
        <v>0</v>
      </c>
      <c r="BD121">
        <f>IF(Metadata!R121="",FALSE,TRUE)</f>
        <v>0</v>
      </c>
      <c r="BE121">
        <f>OR(AND(IF(Metadata!S121="",FALSE,TRUE),OR(exact(Metadata!S121,"not collected"),exact(Metadata!S121,"not provided"),exact(Metadata!S121,"restricted access"))),AND(IF(Metadata!S121="",FALSE,ISNUMBER(VALUE(Metadata!S121))),Metadata!S121&gt;=-90.00,Metadata!S121&lt;=90.00))</f>
        <v>0</v>
      </c>
      <c r="BF121">
        <f>AND(IF(Metadata!T121="",FALSE,TRUE),exact(Metadata!T121,"Decimal degrees"))</f>
        <v>0</v>
      </c>
      <c r="BG121">
        <f>OR(AND(IF(Metadata!U121="",FALSE,TRUE),OR(exact(Metadata!U121,"not collected"),exact(Metadata!U121,"not provided"),exact(Metadata!U121,"restricted access"))),AND(IF(Metadata!U121="",FALSE,ISNUMBER(VALUE(Metadata!U121))),Metadata!U121&gt;=-180.00,Metadata!U121&lt;=180.00))</f>
        <v>0</v>
      </c>
      <c r="BH121">
        <f>AND(IF(Metadata!V121="",FALSE,TRUE),exact(Metadata!V121,"Decimal degrees"))</f>
        <v>0</v>
      </c>
      <c r="BI121">
        <f>IF(Metadata!W121="",FALSE,TRUE)</f>
        <v>0</v>
      </c>
      <c r="BJ121">
        <f>OR(AND(IF(Metadata!X121="",FALSE,TRUE),OR(exact(Metadata!X121,"not collected"),exact(Metadata!X121,"not provided"),exact(Metadata!X121,"restricted access"))),AND(IF(Metadata!X121="",FALSE,TRUE),OR(exact(Metadata!X121,"TRUE"),exact(Metadata!X121,"FALSE"))))</f>
        <v>0</v>
      </c>
      <c r="BK121">
        <f>AND(IF(Metadata!Y121="",FALSE,TRUE),exact(Metadata!Y121,"other"))</f>
        <v>0</v>
      </c>
      <c r="BL121">
        <f>IF(Metadata!Z121="",FALSE,TRUE)</f>
        <v>0</v>
      </c>
      <c r="BM121">
        <f>OR(AND(IF(Metadata!AA121="",FALSE,TRUE),OR(exact(Metadata!AA121,"not collected"),exact(Metadata!AA121,"not provided"))),AND(IF(Metadata!AA121="",FALSE,IF(ISERROR(INT(Metadata!AA121)),FALSE,INT(Metadata!AA121)=Metadata!AA121)),Metadata!AA121&gt;0))</f>
        <v>0</v>
      </c>
      <c r="BN121">
        <f>AND(IF(Metadata!AB121="",FALSE,TRUE),exact(Metadata!AB121,"Not applicable"))</f>
        <v>0</v>
      </c>
      <c r="BO121">
        <f>IF(Metadata!AC121="",FALSE,TRUE)</f>
        <v>0</v>
      </c>
    </row>
    <row r="122" spans="1:67">
      <c r="A122" s="5">
        <f>IF(B122=" "," ",HYPERLINK(CONCATENATE("#metadata!",ADDRESS(INDEX($AI$2:$AI$1001,MATCH(ROWS($AG$2:AG122),$AG$2:$AG$1001,0),0),1)),INDEX($AL$2:$AL$1001,MATCH(ROWS($AG$2:AG122),$AG$2:$AG$1001,0),0)))</f>
        <v>0</v>
      </c>
      <c r="B122" s="4">
        <f>IF(OR(INDEX($AH$2:$AH$1001,MATCH(ROWS($AG$2:AG122),$AG$2:$AG$1001,0),1)&gt;=100000,INDEX($AN$1005:$BO$1005,1,MATCH(COLUMNS($AN$1006:AN1006),$AN$1006:$BO$1006,0))&gt;=100000), " ",IF(INDEX($AN$2:$BO$1001,MATCH(ROWS($AG$2:AG122),$AG$2:$AG$1001,0),MATCH(COLUMNS($AN$1006:AN1006),$AN$1006:$BO$1006,0)), HYPERLINK("#",""), HYPERLINK(CONCATENATE("#Metadata!", ADDRESS(INDEX($AI$2:$AI$1001,MATCH(ROWS($AG$2:AG122),$AG$2:$AG$1001,0),0), INDEX($AN$1004:$BO$1004,1,MATCH(COLUMNS($AN$1006:AN1006),$AN$1006:$BO$1006,0)))),"Fix")))</f>
        <v>0</v>
      </c>
      <c r="C122" s="4">
        <f>IF(OR(INDEX($AH$2:$AH$1001,MATCH(ROWS($AG$2:AG122),$AG$2:$AG$1001,0),1)&gt;=100000,INDEX($AN$1005:$BO$1005,1,MATCH(COLUMNS($AN$1006:AO1006),$AN$1006:$BO$1006,0))&gt;=100000), " ",IF(INDEX($AN$2:$BO$1001,MATCH(ROWS($AG$2:AG122),$AG$2:$AG$1001,0),MATCH(COLUMNS($AN$1006:AO1006),$AN$1006:$BO$1006,0)), HYPERLINK("#",""), HYPERLINK(CONCATENATE("#Metadata!", ADDRESS(INDEX($AI$2:$AI$1001,MATCH(ROWS($AG$2:AG122),$AG$2:$AG$1001,0),0), INDEX($AN$1004:$BO$1004,1,MATCH(COLUMNS($AN$1006:AO1006),$AN$1006:$BO$1006,0)))),"Fix")))</f>
        <v>0</v>
      </c>
      <c r="D122" s="4">
        <f>IF(OR(INDEX($AH$2:$AH$1001,MATCH(ROWS($AG$2:AG122),$AG$2:$AG$1001,0),1)&gt;=100000,INDEX($AN$1005:$BO$1005,1,MATCH(COLUMNS($AN$1006:AP1006),$AN$1006:$BO$1006,0))&gt;=100000), " ",IF(INDEX($AN$2:$BO$1001,MATCH(ROWS($AG$2:AG122),$AG$2:$AG$1001,0),MATCH(COLUMNS($AN$1006:AP1006),$AN$1006:$BO$1006,0)), HYPERLINK("#",""), HYPERLINK(CONCATENATE("#Metadata!", ADDRESS(INDEX($AI$2:$AI$1001,MATCH(ROWS($AG$2:AG122),$AG$2:$AG$1001,0),0), INDEX($AN$1004:$BO$1004,1,MATCH(COLUMNS($AN$1006:AP1006),$AN$1006:$BO$1006,0)))),"Fix")))</f>
        <v>0</v>
      </c>
      <c r="E122" s="4">
        <f>IF(OR(INDEX($AH$2:$AH$1001,MATCH(ROWS($AG$2:AG122),$AG$2:$AG$1001,0),1)&gt;=100000,INDEX($AN$1005:$BO$1005,1,MATCH(COLUMNS($AN$1006:AQ1006),$AN$1006:$BO$1006,0))&gt;=100000), " ",IF(INDEX($AN$2:$BO$1001,MATCH(ROWS($AG$2:AG122),$AG$2:$AG$1001,0),MATCH(COLUMNS($AN$1006:AQ1006),$AN$1006:$BO$1006,0)), HYPERLINK("#",""), HYPERLINK(CONCATENATE("#Metadata!", ADDRESS(INDEX($AI$2:$AI$1001,MATCH(ROWS($AG$2:AG122),$AG$2:$AG$1001,0),0), INDEX($AN$1004:$BO$1004,1,MATCH(COLUMNS($AN$1006:AQ1006),$AN$1006:$BO$1006,0)))),"Fix")))</f>
        <v>0</v>
      </c>
      <c r="F122" s="4">
        <f>IF(OR(INDEX($AH$2:$AH$1001,MATCH(ROWS($AG$2:AG122),$AG$2:$AG$1001,0),1)&gt;=100000,INDEX($AN$1005:$BO$1005,1,MATCH(COLUMNS($AN$1006:AR1006),$AN$1006:$BO$1006,0))&gt;=100000), " ",IF(INDEX($AN$2:$BO$1001,MATCH(ROWS($AG$2:AG122),$AG$2:$AG$1001,0),MATCH(COLUMNS($AN$1006:AR1006),$AN$1006:$BO$1006,0)), HYPERLINK("#",""), HYPERLINK(CONCATENATE("#Metadata!", ADDRESS(INDEX($AI$2:$AI$1001,MATCH(ROWS($AG$2:AG122),$AG$2:$AG$1001,0),0), INDEX($AN$1004:$BO$1004,1,MATCH(COLUMNS($AN$1006:AR1006),$AN$1006:$BO$1006,0)))),"Fix")))</f>
        <v>0</v>
      </c>
      <c r="G122" s="4">
        <f>IF(OR(INDEX($AH$2:$AH$1001,MATCH(ROWS($AG$2:AG122),$AG$2:$AG$1001,0),1)&gt;=100000,INDEX($AN$1005:$BO$1005,1,MATCH(COLUMNS($AN$1006:AS1006),$AN$1006:$BO$1006,0))&gt;=100000), " ",IF(INDEX($AN$2:$BO$1001,MATCH(ROWS($AG$2:AG122),$AG$2:$AG$1001,0),MATCH(COLUMNS($AN$1006:AS1006),$AN$1006:$BO$1006,0)), HYPERLINK("#",""), HYPERLINK(CONCATENATE("#Metadata!", ADDRESS(INDEX($AI$2:$AI$1001,MATCH(ROWS($AG$2:AG122),$AG$2:$AG$1001,0),0), INDEX($AN$1004:$BO$1004,1,MATCH(COLUMNS($AN$1006:AS1006),$AN$1006:$BO$1006,0)))),"Fix")))</f>
        <v>0</v>
      </c>
      <c r="H122" s="4">
        <f>IF(OR(INDEX($AH$2:$AH$1001,MATCH(ROWS($AG$2:AG122),$AG$2:$AG$1001,0),1)&gt;=100000,INDEX($AN$1005:$BO$1005,1,MATCH(COLUMNS($AN$1006:AT1006),$AN$1006:$BO$1006,0))&gt;=100000), " ",IF(INDEX($AN$2:$BO$1001,MATCH(ROWS($AG$2:AG122),$AG$2:$AG$1001,0),MATCH(COLUMNS($AN$1006:AT1006),$AN$1006:$BO$1006,0)), HYPERLINK("#",""), HYPERLINK(CONCATENATE("#Metadata!", ADDRESS(INDEX($AI$2:$AI$1001,MATCH(ROWS($AG$2:AG122),$AG$2:$AG$1001,0),0), INDEX($AN$1004:$BO$1004,1,MATCH(COLUMNS($AN$1006:AT1006),$AN$1006:$BO$1006,0)))),"Fix")))</f>
        <v>0</v>
      </c>
      <c r="I122" s="4">
        <f>IF(OR(INDEX($AH$2:$AH$1001,MATCH(ROWS($AG$2:AG122),$AG$2:$AG$1001,0),1)&gt;=100000,INDEX($AN$1005:$BO$1005,1,MATCH(COLUMNS($AN$1006:AU1006),$AN$1006:$BO$1006,0))&gt;=100000), " ",IF(INDEX($AN$2:$BO$1001,MATCH(ROWS($AG$2:AG122),$AG$2:$AG$1001,0),MATCH(COLUMNS($AN$1006:AU1006),$AN$1006:$BO$1006,0)), HYPERLINK("#",""), HYPERLINK(CONCATENATE("#Metadata!", ADDRESS(INDEX($AI$2:$AI$1001,MATCH(ROWS($AG$2:AG122),$AG$2:$AG$1001,0),0), INDEX($AN$1004:$BO$1004,1,MATCH(COLUMNS($AN$1006:AU1006),$AN$1006:$BO$1006,0)))),"Fix")))</f>
        <v>0</v>
      </c>
      <c r="J122" s="4">
        <f>IF(OR(INDEX($AH$2:$AH$1001,MATCH(ROWS($AG$2:AG122),$AG$2:$AG$1001,0),1)&gt;=100000,INDEX($AN$1005:$BO$1005,1,MATCH(COLUMNS($AN$1006:AV1006),$AN$1006:$BO$1006,0))&gt;=100000), " ",IF(INDEX($AN$2:$BO$1001,MATCH(ROWS($AG$2:AG122),$AG$2:$AG$1001,0),MATCH(COLUMNS($AN$1006:AV1006),$AN$1006:$BO$1006,0)), HYPERLINK("#",""), HYPERLINK(CONCATENATE("#Metadata!", ADDRESS(INDEX($AI$2:$AI$1001,MATCH(ROWS($AG$2:AG122),$AG$2:$AG$1001,0),0), INDEX($AN$1004:$BO$1004,1,MATCH(COLUMNS($AN$1006:AV1006),$AN$1006:$BO$1006,0)))),"Fix")))</f>
        <v>0</v>
      </c>
      <c r="K122" s="4">
        <f>IF(OR(INDEX($AH$2:$AH$1001,MATCH(ROWS($AG$2:AG122),$AG$2:$AG$1001,0),1)&gt;=100000,INDEX($AN$1005:$BO$1005,1,MATCH(COLUMNS($AN$1006:AW1006),$AN$1006:$BO$1006,0))&gt;=100000), " ",IF(INDEX($AN$2:$BO$1001,MATCH(ROWS($AG$2:AG122),$AG$2:$AG$1001,0),MATCH(COLUMNS($AN$1006:AW1006),$AN$1006:$BO$1006,0)), HYPERLINK("#",""), HYPERLINK(CONCATENATE("#Metadata!", ADDRESS(INDEX($AI$2:$AI$1001,MATCH(ROWS($AG$2:AG122),$AG$2:$AG$1001,0),0), INDEX($AN$1004:$BO$1004,1,MATCH(COLUMNS($AN$1006:AW1006),$AN$1006:$BO$1006,0)))),"Fix")))</f>
        <v>0</v>
      </c>
      <c r="L122" s="4">
        <f>IF(OR(INDEX($AH$2:$AH$1001,MATCH(ROWS($AG$2:AG122),$AG$2:$AG$1001,0),1)&gt;=100000,INDEX($AN$1005:$BO$1005,1,MATCH(COLUMNS($AN$1006:AX1006),$AN$1006:$BO$1006,0))&gt;=100000), " ",IF(INDEX($AN$2:$BO$1001,MATCH(ROWS($AG$2:AG122),$AG$2:$AG$1001,0),MATCH(COLUMNS($AN$1006:AX1006),$AN$1006:$BO$1006,0)), HYPERLINK("#",""), HYPERLINK(CONCATENATE("#Metadata!", ADDRESS(INDEX($AI$2:$AI$1001,MATCH(ROWS($AG$2:AG122),$AG$2:$AG$1001,0),0), INDEX($AN$1004:$BO$1004,1,MATCH(COLUMNS($AN$1006:AX1006),$AN$1006:$BO$1006,0)))),"Fix")))</f>
        <v>0</v>
      </c>
      <c r="M122" s="4">
        <f>IF(OR(INDEX($AH$2:$AH$1001,MATCH(ROWS($AG$2:AG122),$AG$2:$AG$1001,0),1)&gt;=100000,INDEX($AN$1005:$BO$1005,1,MATCH(COLUMNS($AN$1006:AY1006),$AN$1006:$BO$1006,0))&gt;=100000), " ",IF(INDEX($AN$2:$BO$1001,MATCH(ROWS($AG$2:AG122),$AG$2:$AG$1001,0),MATCH(COLUMNS($AN$1006:AY1006),$AN$1006:$BO$1006,0)), HYPERLINK("#",""), HYPERLINK(CONCATENATE("#Metadata!", ADDRESS(INDEX($AI$2:$AI$1001,MATCH(ROWS($AG$2:AG122),$AG$2:$AG$1001,0),0), INDEX($AN$1004:$BO$1004,1,MATCH(COLUMNS($AN$1006:AY1006),$AN$1006:$BO$1006,0)))),"Fix")))</f>
        <v>0</v>
      </c>
      <c r="N122" s="4">
        <f>IF(OR(INDEX($AH$2:$AH$1001,MATCH(ROWS($AG$2:AG122),$AG$2:$AG$1001,0),1)&gt;=100000,INDEX($AN$1005:$BO$1005,1,MATCH(COLUMNS($AN$1006:AZ1006),$AN$1006:$BO$1006,0))&gt;=100000), " ",IF(INDEX($AN$2:$BO$1001,MATCH(ROWS($AG$2:AG122),$AG$2:$AG$1001,0),MATCH(COLUMNS($AN$1006:AZ1006),$AN$1006:$BO$1006,0)), HYPERLINK("#",""), HYPERLINK(CONCATENATE("#Metadata!", ADDRESS(INDEX($AI$2:$AI$1001,MATCH(ROWS($AG$2:AG122),$AG$2:$AG$1001,0),0), INDEX($AN$1004:$BO$1004,1,MATCH(COLUMNS($AN$1006:AZ1006),$AN$1006:$BO$1006,0)))),"Fix")))</f>
        <v>0</v>
      </c>
      <c r="O122" s="4">
        <f>IF(OR(INDEX($AH$2:$AH$1001,MATCH(ROWS($AG$2:AG122),$AG$2:$AG$1001,0),1)&gt;=100000,INDEX($AN$1005:$BO$1005,1,MATCH(COLUMNS($AN$1006:BA1006),$AN$1006:$BO$1006,0))&gt;=100000), " ",IF(INDEX($AN$2:$BO$1001,MATCH(ROWS($AG$2:AG122),$AG$2:$AG$1001,0),MATCH(COLUMNS($AN$1006:BA1006),$AN$1006:$BO$1006,0)), HYPERLINK("#",""), HYPERLINK(CONCATENATE("#Metadata!", ADDRESS(INDEX($AI$2:$AI$1001,MATCH(ROWS($AG$2:AG122),$AG$2:$AG$1001,0),0), INDEX($AN$1004:$BO$1004,1,MATCH(COLUMNS($AN$1006:BA1006),$AN$1006:$BO$1006,0)))),"Fix")))</f>
        <v>0</v>
      </c>
      <c r="P122" s="4">
        <f>IF(OR(INDEX($AH$2:$AH$1001,MATCH(ROWS($AG$2:AG122),$AG$2:$AG$1001,0),1)&gt;=100000,INDEX($AN$1005:$BO$1005,1,MATCH(COLUMNS($AN$1006:BB1006),$AN$1006:$BO$1006,0))&gt;=100000), " ",IF(INDEX($AN$2:$BO$1001,MATCH(ROWS($AG$2:AG122),$AG$2:$AG$1001,0),MATCH(COLUMNS($AN$1006:BB1006),$AN$1006:$BO$1006,0)), HYPERLINK("#",""), HYPERLINK(CONCATENATE("#Metadata!", ADDRESS(INDEX($AI$2:$AI$1001,MATCH(ROWS($AG$2:AG122),$AG$2:$AG$1001,0),0), INDEX($AN$1004:$BO$1004,1,MATCH(COLUMNS($AN$1006:BB1006),$AN$1006:$BO$1006,0)))),"Fix")))</f>
        <v>0</v>
      </c>
      <c r="Q122" s="4">
        <f>IF(OR(INDEX($AH$2:$AH$1001,MATCH(ROWS($AG$2:AG122),$AG$2:$AG$1001,0),1)&gt;=100000,INDEX($AN$1005:$BO$1005,1,MATCH(COLUMNS($AN$1006:BC1006),$AN$1006:$BO$1006,0))&gt;=100000), " ",IF(INDEX($AN$2:$BO$1001,MATCH(ROWS($AG$2:AG122),$AG$2:$AG$1001,0),MATCH(COLUMNS($AN$1006:BC1006),$AN$1006:$BO$1006,0)), HYPERLINK("#",""), HYPERLINK(CONCATENATE("#Metadata!", ADDRESS(INDEX($AI$2:$AI$1001,MATCH(ROWS($AG$2:AG122),$AG$2:$AG$1001,0),0), INDEX($AN$1004:$BO$1004,1,MATCH(COLUMNS($AN$1006:BC1006),$AN$1006:$BO$1006,0)))),"Fix")))</f>
        <v>0</v>
      </c>
      <c r="R122" s="4">
        <f>IF(OR(INDEX($AH$2:$AH$1001,MATCH(ROWS($AG$2:AG122),$AG$2:$AG$1001,0),1)&gt;=100000,INDEX($AN$1005:$BO$1005,1,MATCH(COLUMNS($AN$1006:BD1006),$AN$1006:$BO$1006,0))&gt;=100000), " ",IF(INDEX($AN$2:$BO$1001,MATCH(ROWS($AG$2:AG122),$AG$2:$AG$1001,0),MATCH(COLUMNS($AN$1006:BD1006),$AN$1006:$BO$1006,0)), HYPERLINK("#",""), HYPERLINK(CONCATENATE("#Metadata!", ADDRESS(INDEX($AI$2:$AI$1001,MATCH(ROWS($AG$2:AG122),$AG$2:$AG$1001,0),0), INDEX($AN$1004:$BO$1004,1,MATCH(COLUMNS($AN$1006:BD1006),$AN$1006:$BO$1006,0)))),"Fix")))</f>
        <v>0</v>
      </c>
      <c r="S122" s="4">
        <f>IF(OR(INDEX($AH$2:$AH$1001,MATCH(ROWS($AG$2:AG122),$AG$2:$AG$1001,0),1)&gt;=100000,INDEX($AN$1005:$BO$1005,1,MATCH(COLUMNS($AN$1006:BE1006),$AN$1006:$BO$1006,0))&gt;=100000), " ",IF(INDEX($AN$2:$BO$1001,MATCH(ROWS($AG$2:AG122),$AG$2:$AG$1001,0),MATCH(COLUMNS($AN$1006:BE1006),$AN$1006:$BO$1006,0)), HYPERLINK("#",""), HYPERLINK(CONCATENATE("#Metadata!", ADDRESS(INDEX($AI$2:$AI$1001,MATCH(ROWS($AG$2:AG122),$AG$2:$AG$1001,0),0), INDEX($AN$1004:$BO$1004,1,MATCH(COLUMNS($AN$1006:BE1006),$AN$1006:$BO$1006,0)))),"Fix")))</f>
        <v>0</v>
      </c>
      <c r="T122" s="4">
        <f>IF(OR(INDEX($AH$2:$AH$1001,MATCH(ROWS($AG$2:AG122),$AG$2:$AG$1001,0),1)&gt;=100000,INDEX($AN$1005:$BO$1005,1,MATCH(COLUMNS($AN$1006:BF1006),$AN$1006:$BO$1006,0))&gt;=100000), " ",IF(INDEX($AN$2:$BO$1001,MATCH(ROWS($AG$2:AG122),$AG$2:$AG$1001,0),MATCH(COLUMNS($AN$1006:BF1006),$AN$1006:$BO$1006,0)), HYPERLINK("#",""), HYPERLINK(CONCATENATE("#Metadata!", ADDRESS(INDEX($AI$2:$AI$1001,MATCH(ROWS($AG$2:AG122),$AG$2:$AG$1001,0),0), INDEX($AN$1004:$BO$1004,1,MATCH(COLUMNS($AN$1006:BF1006),$AN$1006:$BO$1006,0)))),"Fix")))</f>
        <v>0</v>
      </c>
      <c r="U122" s="4">
        <f>IF(OR(INDEX($AH$2:$AH$1001,MATCH(ROWS($AG$2:AG122),$AG$2:$AG$1001,0),1)&gt;=100000,INDEX($AN$1005:$BO$1005,1,MATCH(COLUMNS($AN$1006:BG1006),$AN$1006:$BO$1006,0))&gt;=100000), " ",IF(INDEX($AN$2:$BO$1001,MATCH(ROWS($AG$2:AG122),$AG$2:$AG$1001,0),MATCH(COLUMNS($AN$1006:BG1006),$AN$1006:$BO$1006,0)), HYPERLINK("#",""), HYPERLINK(CONCATENATE("#Metadata!", ADDRESS(INDEX($AI$2:$AI$1001,MATCH(ROWS($AG$2:AG122),$AG$2:$AG$1001,0),0), INDEX($AN$1004:$BO$1004,1,MATCH(COLUMNS($AN$1006:BG1006),$AN$1006:$BO$1006,0)))),"Fix")))</f>
        <v>0</v>
      </c>
      <c r="V122" s="4">
        <f>IF(OR(INDEX($AH$2:$AH$1001,MATCH(ROWS($AG$2:AG122),$AG$2:$AG$1001,0),1)&gt;=100000,INDEX($AN$1005:$BO$1005,1,MATCH(COLUMNS($AN$1006:BH1006),$AN$1006:$BO$1006,0))&gt;=100000), " ",IF(INDEX($AN$2:$BO$1001,MATCH(ROWS($AG$2:AG122),$AG$2:$AG$1001,0),MATCH(COLUMNS($AN$1006:BH1006),$AN$1006:$BO$1006,0)), HYPERLINK("#",""), HYPERLINK(CONCATENATE("#Metadata!", ADDRESS(INDEX($AI$2:$AI$1001,MATCH(ROWS($AG$2:AG122),$AG$2:$AG$1001,0),0), INDEX($AN$1004:$BO$1004,1,MATCH(COLUMNS($AN$1006:BH1006),$AN$1006:$BO$1006,0)))),"Fix")))</f>
        <v>0</v>
      </c>
      <c r="W122" s="4">
        <f>IF(OR(INDEX($AH$2:$AH$1001,MATCH(ROWS($AG$2:AG122),$AG$2:$AG$1001,0),1)&gt;=100000,INDEX($AN$1005:$BO$1005,1,MATCH(COLUMNS($AN$1006:BI1006),$AN$1006:$BO$1006,0))&gt;=100000), " ",IF(INDEX($AN$2:$BO$1001,MATCH(ROWS($AG$2:AG122),$AG$2:$AG$1001,0),MATCH(COLUMNS($AN$1006:BI1006),$AN$1006:$BO$1006,0)), HYPERLINK("#",""), HYPERLINK(CONCATENATE("#Metadata!", ADDRESS(INDEX($AI$2:$AI$1001,MATCH(ROWS($AG$2:AG122),$AG$2:$AG$1001,0),0), INDEX($AN$1004:$BO$1004,1,MATCH(COLUMNS($AN$1006:BI1006),$AN$1006:$BO$1006,0)))),"Fix")))</f>
        <v>0</v>
      </c>
      <c r="X122" s="4">
        <f>IF(OR(INDEX($AH$2:$AH$1001,MATCH(ROWS($AG$2:AG122),$AG$2:$AG$1001,0),1)&gt;=100000,INDEX($AN$1005:$BO$1005,1,MATCH(COLUMNS($AN$1006:BJ1006),$AN$1006:$BO$1006,0))&gt;=100000), " ",IF(INDEX($AN$2:$BO$1001,MATCH(ROWS($AG$2:AG122),$AG$2:$AG$1001,0),MATCH(COLUMNS($AN$1006:BJ1006),$AN$1006:$BO$1006,0)), HYPERLINK("#",""), HYPERLINK(CONCATENATE("#Metadata!", ADDRESS(INDEX($AI$2:$AI$1001,MATCH(ROWS($AG$2:AG122),$AG$2:$AG$1001,0),0), INDEX($AN$1004:$BO$1004,1,MATCH(COLUMNS($AN$1006:BJ1006),$AN$1006:$BO$1006,0)))),"Fix")))</f>
        <v>0</v>
      </c>
      <c r="Y122" s="4">
        <f>IF(OR(INDEX($AH$2:$AH$1001,MATCH(ROWS($AG$2:AG122),$AG$2:$AG$1001,0),1)&gt;=100000,INDEX($AN$1005:$BO$1005,1,MATCH(COLUMNS($AN$1006:BK1006),$AN$1006:$BO$1006,0))&gt;=100000), " ",IF(INDEX($AN$2:$BO$1001,MATCH(ROWS($AG$2:AG122),$AG$2:$AG$1001,0),MATCH(COLUMNS($AN$1006:BK1006),$AN$1006:$BO$1006,0)), HYPERLINK("#",""), HYPERLINK(CONCATENATE("#Metadata!", ADDRESS(INDEX($AI$2:$AI$1001,MATCH(ROWS($AG$2:AG122),$AG$2:$AG$1001,0),0), INDEX($AN$1004:$BO$1004,1,MATCH(COLUMNS($AN$1006:BK1006),$AN$1006:$BO$1006,0)))),"Fix")))</f>
        <v>0</v>
      </c>
      <c r="Z122" s="4">
        <f>IF(OR(INDEX($AH$2:$AH$1001,MATCH(ROWS($AG$2:AG122),$AG$2:$AG$1001,0),1)&gt;=100000,INDEX($AN$1005:$BO$1005,1,MATCH(COLUMNS($AN$1006:BL1006),$AN$1006:$BO$1006,0))&gt;=100000), " ",IF(INDEX($AN$2:$BO$1001,MATCH(ROWS($AG$2:AG122),$AG$2:$AG$1001,0),MATCH(COLUMNS($AN$1006:BL1006),$AN$1006:$BO$1006,0)), HYPERLINK("#",""), HYPERLINK(CONCATENATE("#Metadata!", ADDRESS(INDEX($AI$2:$AI$1001,MATCH(ROWS($AG$2:AG122),$AG$2:$AG$1001,0),0), INDEX($AN$1004:$BO$1004,1,MATCH(COLUMNS($AN$1006:BL1006),$AN$1006:$BO$1006,0)))),"Fix")))</f>
        <v>0</v>
      </c>
      <c r="AA122" s="4">
        <f>IF(OR(INDEX($AH$2:$AH$1001,MATCH(ROWS($AG$2:AG122),$AG$2:$AG$1001,0),1)&gt;=100000,INDEX($AN$1005:$BO$1005,1,MATCH(COLUMNS($AN$1006:BM1006),$AN$1006:$BO$1006,0))&gt;=100000), " ",IF(INDEX($AN$2:$BO$1001,MATCH(ROWS($AG$2:AG122),$AG$2:$AG$1001,0),MATCH(COLUMNS($AN$1006:BM1006),$AN$1006:$BO$1006,0)), HYPERLINK("#",""), HYPERLINK(CONCATENATE("#Metadata!", ADDRESS(INDEX($AI$2:$AI$1001,MATCH(ROWS($AG$2:AG122),$AG$2:$AG$1001,0),0), INDEX($AN$1004:$BO$1004,1,MATCH(COLUMNS($AN$1006:BM1006),$AN$1006:$BO$1006,0)))),"Fix")))</f>
        <v>0</v>
      </c>
      <c r="AB122" s="4">
        <f>IF(OR(INDEX($AH$2:$AH$1001,MATCH(ROWS($AG$2:AG122),$AG$2:$AG$1001,0),1)&gt;=100000,INDEX($AN$1005:$BO$1005,1,MATCH(COLUMNS($AN$1006:BN1006),$AN$1006:$BO$1006,0))&gt;=100000), " ",IF(INDEX($AN$2:$BO$1001,MATCH(ROWS($AG$2:AG122),$AG$2:$AG$1001,0),MATCH(COLUMNS($AN$1006:BN1006),$AN$1006:$BO$1006,0)), HYPERLINK("#",""), HYPERLINK(CONCATENATE("#Metadata!", ADDRESS(INDEX($AI$2:$AI$1001,MATCH(ROWS($AG$2:AG122),$AG$2:$AG$1001,0),0), INDEX($AN$1004:$BO$1004,1,MATCH(COLUMNS($AN$1006:BN1006),$AN$1006:$BO$1006,0)))),"Fix")))</f>
        <v>0</v>
      </c>
      <c r="AC122" s="4">
        <f>IF(OR(INDEX($AH$2:$AH$1001,MATCH(ROWS($AG$2:AG122),$AG$2:$AG$1001,0),1)&gt;=100000,INDEX($AN$1005:$BO$1005,1,MATCH(COLUMNS($AN$1006:BO1006),$AN$1006:$BO$1006,0))&gt;=100000), " ",IF(INDEX($AN$2:$BO$1001,MATCH(ROWS($AG$2:AG122),$AG$2:$AG$1001,0),MATCH(COLUMNS($AN$1006:BO1006),$AN$1006:$BO$1006,0)), HYPERLINK("#",""), HYPERLINK(CONCATENATE("#Metadata!", ADDRESS(INDEX($AI$2:$AI$1001,MATCH(ROWS($AG$2:AG122),$AG$2:$AG$1001,0),0), INDEX($AN$1004:$BO$1004,1,MATCH(COLUMNS($AN$1006:BO1006),$AN$1006:$BO$1006,0)))),"Fix")))</f>
        <v>0</v>
      </c>
      <c r="AG122">
        <v>0</v>
      </c>
      <c r="AH122">
        <v>0</v>
      </c>
      <c r="AI122">
        <v>0</v>
      </c>
      <c r="AJ122">
        <f>IF(AK122,TRUE,AND(AN122:BO122))</f>
        <v>0</v>
      </c>
      <c r="AK122">
        <f>COUNTBLANK(Metadata!B122:AC122)=COLUMNS(Metadata!B122:AC122)</f>
        <v>0</v>
      </c>
      <c r="AL122">
        <v>0</v>
      </c>
      <c r="AN122">
        <f>AND(IF(Metadata!B122="",FALSE,TRUE),COUNTIF(Metadata!B:B, Metadata!B122) = 1,NOT(ISERROR(SUMPRODUCT(SEARCH(MID(Metadata!B122,ROW(INDIRECT("1:"&amp;LEN(Metadata!B122))), 1),"0123456789abcdefghijklmnopqrstuvwxyzABCDEFGHIJKLMNOPQRSTUVWXYZ.")))))</f>
        <v>0</v>
      </c>
      <c r="AO122">
        <f>IF(Metadata!C122="",FALSE,TRUE)</f>
        <v>0</v>
      </c>
      <c r="AP122">
        <f>IF(Metadata!D122="",FALSE,TRUE)</f>
        <v>0</v>
      </c>
      <c r="AQ122">
        <f>OR(AND(IF(Metadata!E122="",FALSE,TRUE),OR(exact(Metadata!E122,"not collected"),exact(Metadata!E122,"not provided"),exact(Metadata!E122,"restricted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R122">
        <f>IF(Metadata!F122="",FALSE,TRUE)</f>
        <v>0</v>
      </c>
      <c r="AS122">
        <f>OR(AND(IF(Metadata!G122="",FALSE,TRUE),OR(exact(Metadata!G122,"not collected"),exact(Metadata!G122,"not provided"))),AND(IF(Metadata!G122="",FALSE,TRUE),OR(exact(Metadata!G122,"TRUE"),exact(Metadata!G122,"FALSE"))))</f>
        <v>0</v>
      </c>
      <c r="AT122">
        <f>OR(AND(IF(Metadata!H122="",FALSE,TRUE),OR(exact(Metadata!H122,"not collected"),exact(Metadata!H122,"not provided"),exact(Metadata!H122,"restricted access"))),AND(IF(Metadata!H122="",FALSE,ISNUMBER(VALUE(Metadata!H122))),Metadata!H122&gt;=-413.0))</f>
        <v>0</v>
      </c>
      <c r="AU122">
        <f>AND(IF(Metadata!I122="",FALSE,TRUE),exact(Metadata!I122,"meters"))</f>
        <v>0</v>
      </c>
      <c r="AV122">
        <f>AND(IF(Metadata!J122="",FALSE,TRUE),OR(exact(Metadata!J122,"Host-associated"),exact(Metadata!J122,"Free-living")))</f>
        <v>0</v>
      </c>
      <c r="AW122">
        <f>AND(IF(Metadata!K122="",FALSE,TRUE),OR(exact(Metadata!K122,"Animal"),exact(Metadata!K122,"Fungus"),exact(Metadata!K122,"Plant"),exact(Metadata!K122,"Saline"),exact(Metadata!K122,"Non-saline")))</f>
        <v>0</v>
      </c>
      <c r="AX122">
        <f>AND(IF(Metadata!L122="",FALSE,TRUE),OR(exact(Metadata!L122,"Plant secretion"),exact(Metadata!L122,"Plant rhizosphere"),exact(Metadata!L122,"Plant surface"),exact(Metadata!L122,"Plant corpus"),exact(Metadata!L122,"Fungus surface"),exact(Metadata!L122,"Fungus corpus"),exact(Metadata!L122,"Animal surface"),exact(Metadata!L122,"Animal proximal gut"),exact(Metadata!L122,"Animal corpus"),exact(Metadata!L122,"Animal distal gut"),exact(Metadata!L122,"Animal secretion"),exact(Metadata!L122,"Sub-surface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Y122">
        <f>IF(Metadata!M122="",FALSE,TRUE)</f>
        <v>0</v>
      </c>
      <c r="AZ122">
        <f>IF(Metadata!N122="",FALSE,TRUE)</f>
        <v>0</v>
      </c>
      <c r="BA122">
        <f>IF(Metadata!O122="",FALSE,TRUE)</f>
        <v>0</v>
      </c>
      <c r="BB122">
        <f>OR(AND(IF(Metadata!P122="",FALSE,TRUE),OR(exact(Metadata!P122,"not collected"),exact(Metadata!P122,"not provided"),exact(Metadata!P122,"restricted access"))),AND(IF(Metadata!P122="",FALSE,TRUE),OR(exact(Metadata!P122,"air"),exact(Metadata!P122,"built environment"),exact(Metadata!P122,"host-associated"),exact(Metadata!P122,"human-associated"),exact(Metadata!P122,"human-skin"),exact(Metadata!P122,"human-oral"),exact(Metadata!P122,"human-gut"),exact(Metadata!P122,"human-vaginal"),exact(Metadata!P122,"microbial mat/biofilm"),exact(Metadata!P122,"misc environment"),exact(Metadata!P122,"plant-associated"),exact(Metadata!P122,"sediment"),exact(Metadata!P122,"soil"),exact(Metadata!P122,"wastewater/sludge"),exact(Metadata!P122,"water"))))</f>
        <v>0</v>
      </c>
      <c r="BC122">
        <f>IF(Metadata!Q122="",FALSE,TRUE)</f>
        <v>0</v>
      </c>
      <c r="BD122">
        <f>IF(Metadata!R122="",FALSE,TRUE)</f>
        <v>0</v>
      </c>
      <c r="BE122">
        <f>OR(AND(IF(Metadata!S122="",FALSE,TRUE),OR(exact(Metadata!S122,"not collected"),exact(Metadata!S122,"not provided"),exact(Metadata!S122,"restricted access"))),AND(IF(Metadata!S122="",FALSE,ISNUMBER(VALUE(Metadata!S122))),Metadata!S122&gt;=-90.00,Metadata!S122&lt;=90.00))</f>
        <v>0</v>
      </c>
      <c r="BF122">
        <f>AND(IF(Metadata!T122="",FALSE,TRUE),exact(Metadata!T122,"Decimal degrees"))</f>
        <v>0</v>
      </c>
      <c r="BG122">
        <f>OR(AND(IF(Metadata!U122="",FALSE,TRUE),OR(exact(Metadata!U122,"not collected"),exact(Metadata!U122,"not provided"),exact(Metadata!U122,"restricted access"))),AND(IF(Metadata!U122="",FALSE,ISNUMBER(VALUE(Metadata!U122))),Metadata!U122&gt;=-180.00,Metadata!U122&lt;=180.00))</f>
        <v>0</v>
      </c>
      <c r="BH122">
        <f>AND(IF(Metadata!V122="",FALSE,TRUE),exact(Metadata!V122,"Decimal degrees"))</f>
        <v>0</v>
      </c>
      <c r="BI122">
        <f>IF(Metadata!W122="",FALSE,TRUE)</f>
        <v>0</v>
      </c>
      <c r="BJ122">
        <f>OR(AND(IF(Metadata!X122="",FALSE,TRUE),OR(exact(Metadata!X122,"not collected"),exact(Metadata!X122,"not provided"),exact(Metadata!X122,"restricted access"))),AND(IF(Metadata!X122="",FALSE,TRUE),OR(exact(Metadata!X122,"TRUE"),exact(Metadata!X122,"FALSE"))))</f>
        <v>0</v>
      </c>
      <c r="BK122">
        <f>AND(IF(Metadata!Y122="",FALSE,TRUE),exact(Metadata!Y122,"other"))</f>
        <v>0</v>
      </c>
      <c r="BL122">
        <f>IF(Metadata!Z122="",FALSE,TRUE)</f>
        <v>0</v>
      </c>
      <c r="BM122">
        <f>OR(AND(IF(Metadata!AA122="",FALSE,TRUE),OR(exact(Metadata!AA122,"not collected"),exact(Metadata!AA122,"not provided"))),AND(IF(Metadata!AA122="",FALSE,IF(ISERROR(INT(Metadata!AA122)),FALSE,INT(Metadata!AA122)=Metadata!AA122)),Metadata!AA122&gt;0))</f>
        <v>0</v>
      </c>
      <c r="BN122">
        <f>AND(IF(Metadata!AB122="",FALSE,TRUE),exact(Metadata!AB122,"Not applicable"))</f>
        <v>0</v>
      </c>
      <c r="BO122">
        <f>IF(Metadata!AC122="",FALSE,TRUE)</f>
        <v>0</v>
      </c>
    </row>
    <row r="123" spans="1:67">
      <c r="A123" s="5">
        <f>IF(B123=" "," ",HYPERLINK(CONCATENATE("#metadata!",ADDRESS(INDEX($AI$2:$AI$1001,MATCH(ROWS($AG$2:AG123),$AG$2:$AG$1001,0),0),1)),INDEX($AL$2:$AL$1001,MATCH(ROWS($AG$2:AG123),$AG$2:$AG$1001,0),0)))</f>
        <v>0</v>
      </c>
      <c r="B123" s="4">
        <f>IF(OR(INDEX($AH$2:$AH$1001,MATCH(ROWS($AG$2:AG123),$AG$2:$AG$1001,0),1)&gt;=100000,INDEX($AN$1005:$BO$1005,1,MATCH(COLUMNS($AN$1006:AN1006),$AN$1006:$BO$1006,0))&gt;=100000), " ",IF(INDEX($AN$2:$BO$1001,MATCH(ROWS($AG$2:AG123),$AG$2:$AG$1001,0),MATCH(COLUMNS($AN$1006:AN1006),$AN$1006:$BO$1006,0)), HYPERLINK("#",""), HYPERLINK(CONCATENATE("#Metadata!", ADDRESS(INDEX($AI$2:$AI$1001,MATCH(ROWS($AG$2:AG123),$AG$2:$AG$1001,0),0), INDEX($AN$1004:$BO$1004,1,MATCH(COLUMNS($AN$1006:AN1006),$AN$1006:$BO$1006,0)))),"Fix")))</f>
        <v>0</v>
      </c>
      <c r="C123" s="4">
        <f>IF(OR(INDEX($AH$2:$AH$1001,MATCH(ROWS($AG$2:AG123),$AG$2:$AG$1001,0),1)&gt;=100000,INDEX($AN$1005:$BO$1005,1,MATCH(COLUMNS($AN$1006:AO1006),$AN$1006:$BO$1006,0))&gt;=100000), " ",IF(INDEX($AN$2:$BO$1001,MATCH(ROWS($AG$2:AG123),$AG$2:$AG$1001,0),MATCH(COLUMNS($AN$1006:AO1006),$AN$1006:$BO$1006,0)), HYPERLINK("#",""), HYPERLINK(CONCATENATE("#Metadata!", ADDRESS(INDEX($AI$2:$AI$1001,MATCH(ROWS($AG$2:AG123),$AG$2:$AG$1001,0),0), INDEX($AN$1004:$BO$1004,1,MATCH(COLUMNS($AN$1006:AO1006),$AN$1006:$BO$1006,0)))),"Fix")))</f>
        <v>0</v>
      </c>
      <c r="D123" s="4">
        <f>IF(OR(INDEX($AH$2:$AH$1001,MATCH(ROWS($AG$2:AG123),$AG$2:$AG$1001,0),1)&gt;=100000,INDEX($AN$1005:$BO$1005,1,MATCH(COLUMNS($AN$1006:AP1006),$AN$1006:$BO$1006,0))&gt;=100000), " ",IF(INDEX($AN$2:$BO$1001,MATCH(ROWS($AG$2:AG123),$AG$2:$AG$1001,0),MATCH(COLUMNS($AN$1006:AP1006),$AN$1006:$BO$1006,0)), HYPERLINK("#",""), HYPERLINK(CONCATENATE("#Metadata!", ADDRESS(INDEX($AI$2:$AI$1001,MATCH(ROWS($AG$2:AG123),$AG$2:$AG$1001,0),0), INDEX($AN$1004:$BO$1004,1,MATCH(COLUMNS($AN$1006:AP1006),$AN$1006:$BO$1006,0)))),"Fix")))</f>
        <v>0</v>
      </c>
      <c r="E123" s="4">
        <f>IF(OR(INDEX($AH$2:$AH$1001,MATCH(ROWS($AG$2:AG123),$AG$2:$AG$1001,0),1)&gt;=100000,INDEX($AN$1005:$BO$1005,1,MATCH(COLUMNS($AN$1006:AQ1006),$AN$1006:$BO$1006,0))&gt;=100000), " ",IF(INDEX($AN$2:$BO$1001,MATCH(ROWS($AG$2:AG123),$AG$2:$AG$1001,0),MATCH(COLUMNS($AN$1006:AQ1006),$AN$1006:$BO$1006,0)), HYPERLINK("#",""), HYPERLINK(CONCATENATE("#Metadata!", ADDRESS(INDEX($AI$2:$AI$1001,MATCH(ROWS($AG$2:AG123),$AG$2:$AG$1001,0),0), INDEX($AN$1004:$BO$1004,1,MATCH(COLUMNS($AN$1006:AQ1006),$AN$1006:$BO$1006,0)))),"Fix")))</f>
        <v>0</v>
      </c>
      <c r="F123" s="4">
        <f>IF(OR(INDEX($AH$2:$AH$1001,MATCH(ROWS($AG$2:AG123),$AG$2:$AG$1001,0),1)&gt;=100000,INDEX($AN$1005:$BO$1005,1,MATCH(COLUMNS($AN$1006:AR1006),$AN$1006:$BO$1006,0))&gt;=100000), " ",IF(INDEX($AN$2:$BO$1001,MATCH(ROWS($AG$2:AG123),$AG$2:$AG$1001,0),MATCH(COLUMNS($AN$1006:AR1006),$AN$1006:$BO$1006,0)), HYPERLINK("#",""), HYPERLINK(CONCATENATE("#Metadata!", ADDRESS(INDEX($AI$2:$AI$1001,MATCH(ROWS($AG$2:AG123),$AG$2:$AG$1001,0),0), INDEX($AN$1004:$BO$1004,1,MATCH(COLUMNS($AN$1006:AR1006),$AN$1006:$BO$1006,0)))),"Fix")))</f>
        <v>0</v>
      </c>
      <c r="G123" s="4">
        <f>IF(OR(INDEX($AH$2:$AH$1001,MATCH(ROWS($AG$2:AG123),$AG$2:$AG$1001,0),1)&gt;=100000,INDEX($AN$1005:$BO$1005,1,MATCH(COLUMNS($AN$1006:AS1006),$AN$1006:$BO$1006,0))&gt;=100000), " ",IF(INDEX($AN$2:$BO$1001,MATCH(ROWS($AG$2:AG123),$AG$2:$AG$1001,0),MATCH(COLUMNS($AN$1006:AS1006),$AN$1006:$BO$1006,0)), HYPERLINK("#",""), HYPERLINK(CONCATENATE("#Metadata!", ADDRESS(INDEX($AI$2:$AI$1001,MATCH(ROWS($AG$2:AG123),$AG$2:$AG$1001,0),0), INDEX($AN$1004:$BO$1004,1,MATCH(COLUMNS($AN$1006:AS1006),$AN$1006:$BO$1006,0)))),"Fix")))</f>
        <v>0</v>
      </c>
      <c r="H123" s="4">
        <f>IF(OR(INDEX($AH$2:$AH$1001,MATCH(ROWS($AG$2:AG123),$AG$2:$AG$1001,0),1)&gt;=100000,INDEX($AN$1005:$BO$1005,1,MATCH(COLUMNS($AN$1006:AT1006),$AN$1006:$BO$1006,0))&gt;=100000), " ",IF(INDEX($AN$2:$BO$1001,MATCH(ROWS($AG$2:AG123),$AG$2:$AG$1001,0),MATCH(COLUMNS($AN$1006:AT1006),$AN$1006:$BO$1006,0)), HYPERLINK("#",""), HYPERLINK(CONCATENATE("#Metadata!", ADDRESS(INDEX($AI$2:$AI$1001,MATCH(ROWS($AG$2:AG123),$AG$2:$AG$1001,0),0), INDEX($AN$1004:$BO$1004,1,MATCH(COLUMNS($AN$1006:AT1006),$AN$1006:$BO$1006,0)))),"Fix")))</f>
        <v>0</v>
      </c>
      <c r="I123" s="4">
        <f>IF(OR(INDEX($AH$2:$AH$1001,MATCH(ROWS($AG$2:AG123),$AG$2:$AG$1001,0),1)&gt;=100000,INDEX($AN$1005:$BO$1005,1,MATCH(COLUMNS($AN$1006:AU1006),$AN$1006:$BO$1006,0))&gt;=100000), " ",IF(INDEX($AN$2:$BO$1001,MATCH(ROWS($AG$2:AG123),$AG$2:$AG$1001,0),MATCH(COLUMNS($AN$1006:AU1006),$AN$1006:$BO$1006,0)), HYPERLINK("#",""), HYPERLINK(CONCATENATE("#Metadata!", ADDRESS(INDEX($AI$2:$AI$1001,MATCH(ROWS($AG$2:AG123),$AG$2:$AG$1001,0),0), INDEX($AN$1004:$BO$1004,1,MATCH(COLUMNS($AN$1006:AU1006),$AN$1006:$BO$1006,0)))),"Fix")))</f>
        <v>0</v>
      </c>
      <c r="J123" s="4">
        <f>IF(OR(INDEX($AH$2:$AH$1001,MATCH(ROWS($AG$2:AG123),$AG$2:$AG$1001,0),1)&gt;=100000,INDEX($AN$1005:$BO$1005,1,MATCH(COLUMNS($AN$1006:AV1006),$AN$1006:$BO$1006,0))&gt;=100000), " ",IF(INDEX($AN$2:$BO$1001,MATCH(ROWS($AG$2:AG123),$AG$2:$AG$1001,0),MATCH(COLUMNS($AN$1006:AV1006),$AN$1006:$BO$1006,0)), HYPERLINK("#",""), HYPERLINK(CONCATENATE("#Metadata!", ADDRESS(INDEX($AI$2:$AI$1001,MATCH(ROWS($AG$2:AG123),$AG$2:$AG$1001,0),0), INDEX($AN$1004:$BO$1004,1,MATCH(COLUMNS($AN$1006:AV1006),$AN$1006:$BO$1006,0)))),"Fix")))</f>
        <v>0</v>
      </c>
      <c r="K123" s="4">
        <f>IF(OR(INDEX($AH$2:$AH$1001,MATCH(ROWS($AG$2:AG123),$AG$2:$AG$1001,0),1)&gt;=100000,INDEX($AN$1005:$BO$1005,1,MATCH(COLUMNS($AN$1006:AW1006),$AN$1006:$BO$1006,0))&gt;=100000), " ",IF(INDEX($AN$2:$BO$1001,MATCH(ROWS($AG$2:AG123),$AG$2:$AG$1001,0),MATCH(COLUMNS($AN$1006:AW1006),$AN$1006:$BO$1006,0)), HYPERLINK("#",""), HYPERLINK(CONCATENATE("#Metadata!", ADDRESS(INDEX($AI$2:$AI$1001,MATCH(ROWS($AG$2:AG123),$AG$2:$AG$1001,0),0), INDEX($AN$1004:$BO$1004,1,MATCH(COLUMNS($AN$1006:AW1006),$AN$1006:$BO$1006,0)))),"Fix")))</f>
        <v>0</v>
      </c>
      <c r="L123" s="4">
        <f>IF(OR(INDEX($AH$2:$AH$1001,MATCH(ROWS($AG$2:AG123),$AG$2:$AG$1001,0),1)&gt;=100000,INDEX($AN$1005:$BO$1005,1,MATCH(COLUMNS($AN$1006:AX1006),$AN$1006:$BO$1006,0))&gt;=100000), " ",IF(INDEX($AN$2:$BO$1001,MATCH(ROWS($AG$2:AG123),$AG$2:$AG$1001,0),MATCH(COLUMNS($AN$1006:AX1006),$AN$1006:$BO$1006,0)), HYPERLINK("#",""), HYPERLINK(CONCATENATE("#Metadata!", ADDRESS(INDEX($AI$2:$AI$1001,MATCH(ROWS($AG$2:AG123),$AG$2:$AG$1001,0),0), INDEX($AN$1004:$BO$1004,1,MATCH(COLUMNS($AN$1006:AX1006),$AN$1006:$BO$1006,0)))),"Fix")))</f>
        <v>0</v>
      </c>
      <c r="M123" s="4">
        <f>IF(OR(INDEX($AH$2:$AH$1001,MATCH(ROWS($AG$2:AG123),$AG$2:$AG$1001,0),1)&gt;=100000,INDEX($AN$1005:$BO$1005,1,MATCH(COLUMNS($AN$1006:AY1006),$AN$1006:$BO$1006,0))&gt;=100000), " ",IF(INDEX($AN$2:$BO$1001,MATCH(ROWS($AG$2:AG123),$AG$2:$AG$1001,0),MATCH(COLUMNS($AN$1006:AY1006),$AN$1006:$BO$1006,0)), HYPERLINK("#",""), HYPERLINK(CONCATENATE("#Metadata!", ADDRESS(INDEX($AI$2:$AI$1001,MATCH(ROWS($AG$2:AG123),$AG$2:$AG$1001,0),0), INDEX($AN$1004:$BO$1004,1,MATCH(COLUMNS($AN$1006:AY1006),$AN$1006:$BO$1006,0)))),"Fix")))</f>
        <v>0</v>
      </c>
      <c r="N123" s="4">
        <f>IF(OR(INDEX($AH$2:$AH$1001,MATCH(ROWS($AG$2:AG123),$AG$2:$AG$1001,0),1)&gt;=100000,INDEX($AN$1005:$BO$1005,1,MATCH(COLUMNS($AN$1006:AZ1006),$AN$1006:$BO$1006,0))&gt;=100000), " ",IF(INDEX($AN$2:$BO$1001,MATCH(ROWS($AG$2:AG123),$AG$2:$AG$1001,0),MATCH(COLUMNS($AN$1006:AZ1006),$AN$1006:$BO$1006,0)), HYPERLINK("#",""), HYPERLINK(CONCATENATE("#Metadata!", ADDRESS(INDEX($AI$2:$AI$1001,MATCH(ROWS($AG$2:AG123),$AG$2:$AG$1001,0),0), INDEX($AN$1004:$BO$1004,1,MATCH(COLUMNS($AN$1006:AZ1006),$AN$1006:$BO$1006,0)))),"Fix")))</f>
        <v>0</v>
      </c>
      <c r="O123" s="4">
        <f>IF(OR(INDEX($AH$2:$AH$1001,MATCH(ROWS($AG$2:AG123),$AG$2:$AG$1001,0),1)&gt;=100000,INDEX($AN$1005:$BO$1005,1,MATCH(COLUMNS($AN$1006:BA1006),$AN$1006:$BO$1006,0))&gt;=100000), " ",IF(INDEX($AN$2:$BO$1001,MATCH(ROWS($AG$2:AG123),$AG$2:$AG$1001,0),MATCH(COLUMNS($AN$1006:BA1006),$AN$1006:$BO$1006,0)), HYPERLINK("#",""), HYPERLINK(CONCATENATE("#Metadata!", ADDRESS(INDEX($AI$2:$AI$1001,MATCH(ROWS($AG$2:AG123),$AG$2:$AG$1001,0),0), INDEX($AN$1004:$BO$1004,1,MATCH(COLUMNS($AN$1006:BA1006),$AN$1006:$BO$1006,0)))),"Fix")))</f>
        <v>0</v>
      </c>
      <c r="P123" s="4">
        <f>IF(OR(INDEX($AH$2:$AH$1001,MATCH(ROWS($AG$2:AG123),$AG$2:$AG$1001,0),1)&gt;=100000,INDEX($AN$1005:$BO$1005,1,MATCH(COLUMNS($AN$1006:BB1006),$AN$1006:$BO$1006,0))&gt;=100000), " ",IF(INDEX($AN$2:$BO$1001,MATCH(ROWS($AG$2:AG123),$AG$2:$AG$1001,0),MATCH(COLUMNS($AN$1006:BB1006),$AN$1006:$BO$1006,0)), HYPERLINK("#",""), HYPERLINK(CONCATENATE("#Metadata!", ADDRESS(INDEX($AI$2:$AI$1001,MATCH(ROWS($AG$2:AG123),$AG$2:$AG$1001,0),0), INDEX($AN$1004:$BO$1004,1,MATCH(COLUMNS($AN$1006:BB1006),$AN$1006:$BO$1006,0)))),"Fix")))</f>
        <v>0</v>
      </c>
      <c r="Q123" s="4">
        <f>IF(OR(INDEX($AH$2:$AH$1001,MATCH(ROWS($AG$2:AG123),$AG$2:$AG$1001,0),1)&gt;=100000,INDEX($AN$1005:$BO$1005,1,MATCH(COLUMNS($AN$1006:BC1006),$AN$1006:$BO$1006,0))&gt;=100000), " ",IF(INDEX($AN$2:$BO$1001,MATCH(ROWS($AG$2:AG123),$AG$2:$AG$1001,0),MATCH(COLUMNS($AN$1006:BC1006),$AN$1006:$BO$1006,0)), HYPERLINK("#",""), HYPERLINK(CONCATENATE("#Metadata!", ADDRESS(INDEX($AI$2:$AI$1001,MATCH(ROWS($AG$2:AG123),$AG$2:$AG$1001,0),0), INDEX($AN$1004:$BO$1004,1,MATCH(COLUMNS($AN$1006:BC1006),$AN$1006:$BO$1006,0)))),"Fix")))</f>
        <v>0</v>
      </c>
      <c r="R123" s="4">
        <f>IF(OR(INDEX($AH$2:$AH$1001,MATCH(ROWS($AG$2:AG123),$AG$2:$AG$1001,0),1)&gt;=100000,INDEX($AN$1005:$BO$1005,1,MATCH(COLUMNS($AN$1006:BD1006),$AN$1006:$BO$1006,0))&gt;=100000), " ",IF(INDEX($AN$2:$BO$1001,MATCH(ROWS($AG$2:AG123),$AG$2:$AG$1001,0),MATCH(COLUMNS($AN$1006:BD1006),$AN$1006:$BO$1006,0)), HYPERLINK("#",""), HYPERLINK(CONCATENATE("#Metadata!", ADDRESS(INDEX($AI$2:$AI$1001,MATCH(ROWS($AG$2:AG123),$AG$2:$AG$1001,0),0), INDEX($AN$1004:$BO$1004,1,MATCH(COLUMNS($AN$1006:BD1006),$AN$1006:$BO$1006,0)))),"Fix")))</f>
        <v>0</v>
      </c>
      <c r="S123" s="4">
        <f>IF(OR(INDEX($AH$2:$AH$1001,MATCH(ROWS($AG$2:AG123),$AG$2:$AG$1001,0),1)&gt;=100000,INDEX($AN$1005:$BO$1005,1,MATCH(COLUMNS($AN$1006:BE1006),$AN$1006:$BO$1006,0))&gt;=100000), " ",IF(INDEX($AN$2:$BO$1001,MATCH(ROWS($AG$2:AG123),$AG$2:$AG$1001,0),MATCH(COLUMNS($AN$1006:BE1006),$AN$1006:$BO$1006,0)), HYPERLINK("#",""), HYPERLINK(CONCATENATE("#Metadata!", ADDRESS(INDEX($AI$2:$AI$1001,MATCH(ROWS($AG$2:AG123),$AG$2:$AG$1001,0),0), INDEX($AN$1004:$BO$1004,1,MATCH(COLUMNS($AN$1006:BE1006),$AN$1006:$BO$1006,0)))),"Fix")))</f>
        <v>0</v>
      </c>
      <c r="T123" s="4">
        <f>IF(OR(INDEX($AH$2:$AH$1001,MATCH(ROWS($AG$2:AG123),$AG$2:$AG$1001,0),1)&gt;=100000,INDEX($AN$1005:$BO$1005,1,MATCH(COLUMNS($AN$1006:BF1006),$AN$1006:$BO$1006,0))&gt;=100000), " ",IF(INDEX($AN$2:$BO$1001,MATCH(ROWS($AG$2:AG123),$AG$2:$AG$1001,0),MATCH(COLUMNS($AN$1006:BF1006),$AN$1006:$BO$1006,0)), HYPERLINK("#",""), HYPERLINK(CONCATENATE("#Metadata!", ADDRESS(INDEX($AI$2:$AI$1001,MATCH(ROWS($AG$2:AG123),$AG$2:$AG$1001,0),0), INDEX($AN$1004:$BO$1004,1,MATCH(COLUMNS($AN$1006:BF1006),$AN$1006:$BO$1006,0)))),"Fix")))</f>
        <v>0</v>
      </c>
      <c r="U123" s="4">
        <f>IF(OR(INDEX($AH$2:$AH$1001,MATCH(ROWS($AG$2:AG123),$AG$2:$AG$1001,0),1)&gt;=100000,INDEX($AN$1005:$BO$1005,1,MATCH(COLUMNS($AN$1006:BG1006),$AN$1006:$BO$1006,0))&gt;=100000), " ",IF(INDEX($AN$2:$BO$1001,MATCH(ROWS($AG$2:AG123),$AG$2:$AG$1001,0),MATCH(COLUMNS($AN$1006:BG1006),$AN$1006:$BO$1006,0)), HYPERLINK("#",""), HYPERLINK(CONCATENATE("#Metadata!", ADDRESS(INDEX($AI$2:$AI$1001,MATCH(ROWS($AG$2:AG123),$AG$2:$AG$1001,0),0), INDEX($AN$1004:$BO$1004,1,MATCH(COLUMNS($AN$1006:BG1006),$AN$1006:$BO$1006,0)))),"Fix")))</f>
        <v>0</v>
      </c>
      <c r="V123" s="4">
        <f>IF(OR(INDEX($AH$2:$AH$1001,MATCH(ROWS($AG$2:AG123),$AG$2:$AG$1001,0),1)&gt;=100000,INDEX($AN$1005:$BO$1005,1,MATCH(COLUMNS($AN$1006:BH1006),$AN$1006:$BO$1006,0))&gt;=100000), " ",IF(INDEX($AN$2:$BO$1001,MATCH(ROWS($AG$2:AG123),$AG$2:$AG$1001,0),MATCH(COLUMNS($AN$1006:BH1006),$AN$1006:$BO$1006,0)), HYPERLINK("#",""), HYPERLINK(CONCATENATE("#Metadata!", ADDRESS(INDEX($AI$2:$AI$1001,MATCH(ROWS($AG$2:AG123),$AG$2:$AG$1001,0),0), INDEX($AN$1004:$BO$1004,1,MATCH(COLUMNS($AN$1006:BH1006),$AN$1006:$BO$1006,0)))),"Fix")))</f>
        <v>0</v>
      </c>
      <c r="W123" s="4">
        <f>IF(OR(INDEX($AH$2:$AH$1001,MATCH(ROWS($AG$2:AG123),$AG$2:$AG$1001,0),1)&gt;=100000,INDEX($AN$1005:$BO$1005,1,MATCH(COLUMNS($AN$1006:BI1006),$AN$1006:$BO$1006,0))&gt;=100000), " ",IF(INDEX($AN$2:$BO$1001,MATCH(ROWS($AG$2:AG123),$AG$2:$AG$1001,0),MATCH(COLUMNS($AN$1006:BI1006),$AN$1006:$BO$1006,0)), HYPERLINK("#",""), HYPERLINK(CONCATENATE("#Metadata!", ADDRESS(INDEX($AI$2:$AI$1001,MATCH(ROWS($AG$2:AG123),$AG$2:$AG$1001,0),0), INDEX($AN$1004:$BO$1004,1,MATCH(COLUMNS($AN$1006:BI1006),$AN$1006:$BO$1006,0)))),"Fix")))</f>
        <v>0</v>
      </c>
      <c r="X123" s="4">
        <f>IF(OR(INDEX($AH$2:$AH$1001,MATCH(ROWS($AG$2:AG123),$AG$2:$AG$1001,0),1)&gt;=100000,INDEX($AN$1005:$BO$1005,1,MATCH(COLUMNS($AN$1006:BJ1006),$AN$1006:$BO$1006,0))&gt;=100000), " ",IF(INDEX($AN$2:$BO$1001,MATCH(ROWS($AG$2:AG123),$AG$2:$AG$1001,0),MATCH(COLUMNS($AN$1006:BJ1006),$AN$1006:$BO$1006,0)), HYPERLINK("#",""), HYPERLINK(CONCATENATE("#Metadata!", ADDRESS(INDEX($AI$2:$AI$1001,MATCH(ROWS($AG$2:AG123),$AG$2:$AG$1001,0),0), INDEX($AN$1004:$BO$1004,1,MATCH(COLUMNS($AN$1006:BJ1006),$AN$1006:$BO$1006,0)))),"Fix")))</f>
        <v>0</v>
      </c>
      <c r="Y123" s="4">
        <f>IF(OR(INDEX($AH$2:$AH$1001,MATCH(ROWS($AG$2:AG123),$AG$2:$AG$1001,0),1)&gt;=100000,INDEX($AN$1005:$BO$1005,1,MATCH(COLUMNS($AN$1006:BK1006),$AN$1006:$BO$1006,0))&gt;=100000), " ",IF(INDEX($AN$2:$BO$1001,MATCH(ROWS($AG$2:AG123),$AG$2:$AG$1001,0),MATCH(COLUMNS($AN$1006:BK1006),$AN$1006:$BO$1006,0)), HYPERLINK("#",""), HYPERLINK(CONCATENATE("#Metadata!", ADDRESS(INDEX($AI$2:$AI$1001,MATCH(ROWS($AG$2:AG123),$AG$2:$AG$1001,0),0), INDEX($AN$1004:$BO$1004,1,MATCH(COLUMNS($AN$1006:BK1006),$AN$1006:$BO$1006,0)))),"Fix")))</f>
        <v>0</v>
      </c>
      <c r="Z123" s="4">
        <f>IF(OR(INDEX($AH$2:$AH$1001,MATCH(ROWS($AG$2:AG123),$AG$2:$AG$1001,0),1)&gt;=100000,INDEX($AN$1005:$BO$1005,1,MATCH(COLUMNS($AN$1006:BL1006),$AN$1006:$BO$1006,0))&gt;=100000), " ",IF(INDEX($AN$2:$BO$1001,MATCH(ROWS($AG$2:AG123),$AG$2:$AG$1001,0),MATCH(COLUMNS($AN$1006:BL1006),$AN$1006:$BO$1006,0)), HYPERLINK("#",""), HYPERLINK(CONCATENATE("#Metadata!", ADDRESS(INDEX($AI$2:$AI$1001,MATCH(ROWS($AG$2:AG123),$AG$2:$AG$1001,0),0), INDEX($AN$1004:$BO$1004,1,MATCH(COLUMNS($AN$1006:BL1006),$AN$1006:$BO$1006,0)))),"Fix")))</f>
        <v>0</v>
      </c>
      <c r="AA123" s="4">
        <f>IF(OR(INDEX($AH$2:$AH$1001,MATCH(ROWS($AG$2:AG123),$AG$2:$AG$1001,0),1)&gt;=100000,INDEX($AN$1005:$BO$1005,1,MATCH(COLUMNS($AN$1006:BM1006),$AN$1006:$BO$1006,0))&gt;=100000), " ",IF(INDEX($AN$2:$BO$1001,MATCH(ROWS($AG$2:AG123),$AG$2:$AG$1001,0),MATCH(COLUMNS($AN$1006:BM1006),$AN$1006:$BO$1006,0)), HYPERLINK("#",""), HYPERLINK(CONCATENATE("#Metadata!", ADDRESS(INDEX($AI$2:$AI$1001,MATCH(ROWS($AG$2:AG123),$AG$2:$AG$1001,0),0), INDEX($AN$1004:$BO$1004,1,MATCH(COLUMNS($AN$1006:BM1006),$AN$1006:$BO$1006,0)))),"Fix")))</f>
        <v>0</v>
      </c>
      <c r="AB123" s="4">
        <f>IF(OR(INDEX($AH$2:$AH$1001,MATCH(ROWS($AG$2:AG123),$AG$2:$AG$1001,0),1)&gt;=100000,INDEX($AN$1005:$BO$1005,1,MATCH(COLUMNS($AN$1006:BN1006),$AN$1006:$BO$1006,0))&gt;=100000), " ",IF(INDEX($AN$2:$BO$1001,MATCH(ROWS($AG$2:AG123),$AG$2:$AG$1001,0),MATCH(COLUMNS($AN$1006:BN1006),$AN$1006:$BO$1006,0)), HYPERLINK("#",""), HYPERLINK(CONCATENATE("#Metadata!", ADDRESS(INDEX($AI$2:$AI$1001,MATCH(ROWS($AG$2:AG123),$AG$2:$AG$1001,0),0), INDEX($AN$1004:$BO$1004,1,MATCH(COLUMNS($AN$1006:BN1006),$AN$1006:$BO$1006,0)))),"Fix")))</f>
        <v>0</v>
      </c>
      <c r="AC123" s="4">
        <f>IF(OR(INDEX($AH$2:$AH$1001,MATCH(ROWS($AG$2:AG123),$AG$2:$AG$1001,0),1)&gt;=100000,INDEX($AN$1005:$BO$1005,1,MATCH(COLUMNS($AN$1006:BO1006),$AN$1006:$BO$1006,0))&gt;=100000), " ",IF(INDEX($AN$2:$BO$1001,MATCH(ROWS($AG$2:AG123),$AG$2:$AG$1001,0),MATCH(COLUMNS($AN$1006:BO1006),$AN$1006:$BO$1006,0)), HYPERLINK("#",""), HYPERLINK(CONCATENATE("#Metadata!", ADDRESS(INDEX($AI$2:$AI$1001,MATCH(ROWS($AG$2:AG123),$AG$2:$AG$1001,0),0), INDEX($AN$1004:$BO$1004,1,MATCH(COLUMNS($AN$1006:BO1006),$AN$1006:$BO$1006,0)))),"Fix")))</f>
        <v>0</v>
      </c>
      <c r="AG123">
        <v>0</v>
      </c>
      <c r="AH123">
        <v>0</v>
      </c>
      <c r="AI123">
        <v>0</v>
      </c>
      <c r="AJ123">
        <f>IF(AK123,TRUE,AND(AN123:BO123))</f>
        <v>0</v>
      </c>
      <c r="AK123">
        <f>COUNTBLANK(Metadata!B123:AC123)=COLUMNS(Metadata!B123:AC123)</f>
        <v>0</v>
      </c>
      <c r="AL123">
        <v>0</v>
      </c>
      <c r="AN123">
        <f>AND(IF(Metadata!B123="",FALSE,TRUE),COUNTIF(Metadata!B:B, Metadata!B123) = 1,NOT(ISERROR(SUMPRODUCT(SEARCH(MID(Metadata!B123,ROW(INDIRECT("1:"&amp;LEN(Metadata!B123))), 1),"0123456789abcdefghijklmnopqrstuvwxyzABCDEFGHIJKLMNOPQRSTUVWXYZ.")))))</f>
        <v>0</v>
      </c>
      <c r="AO123">
        <f>IF(Metadata!C123="",FALSE,TRUE)</f>
        <v>0</v>
      </c>
      <c r="AP123">
        <f>IF(Metadata!D123="",FALSE,TRUE)</f>
        <v>0</v>
      </c>
      <c r="AQ123">
        <f>OR(AND(IF(Metadata!E123="",FALSE,TRUE),OR(exact(Metadata!E123,"not collected"),exact(Metadata!E123,"not provided"),exact(Metadata!E123,"restricted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R123">
        <f>IF(Metadata!F123="",FALSE,TRUE)</f>
        <v>0</v>
      </c>
      <c r="AS123">
        <f>OR(AND(IF(Metadata!G123="",FALSE,TRUE),OR(exact(Metadata!G123,"not collected"),exact(Metadata!G123,"not provided"))),AND(IF(Metadata!G123="",FALSE,TRUE),OR(exact(Metadata!G123,"TRUE"),exact(Metadata!G123,"FALSE"))))</f>
        <v>0</v>
      </c>
      <c r="AT123">
        <f>OR(AND(IF(Metadata!H123="",FALSE,TRUE),OR(exact(Metadata!H123,"not collected"),exact(Metadata!H123,"not provided"),exact(Metadata!H123,"restricted access"))),AND(IF(Metadata!H123="",FALSE,ISNUMBER(VALUE(Metadata!H123))),Metadata!H123&gt;=-413.0))</f>
        <v>0</v>
      </c>
      <c r="AU123">
        <f>AND(IF(Metadata!I123="",FALSE,TRUE),exact(Metadata!I123,"meters"))</f>
        <v>0</v>
      </c>
      <c r="AV123">
        <f>AND(IF(Metadata!J123="",FALSE,TRUE),OR(exact(Metadata!J123,"Host-associated"),exact(Metadata!J123,"Free-living")))</f>
        <v>0</v>
      </c>
      <c r="AW123">
        <f>AND(IF(Metadata!K123="",FALSE,TRUE),OR(exact(Metadata!K123,"Animal"),exact(Metadata!K123,"Fungus"),exact(Metadata!K123,"Plant"),exact(Metadata!K123,"Saline"),exact(Metadata!K123,"Non-saline")))</f>
        <v>0</v>
      </c>
      <c r="AX123">
        <f>AND(IF(Metadata!L123="",FALSE,TRUE),OR(exact(Metadata!L123,"Plant secretion"),exact(Metadata!L123,"Plant rhizosphere"),exact(Metadata!L123,"Plant surface"),exact(Metadata!L123,"Plant corpus"),exact(Metadata!L123,"Fungus surface"),exact(Metadata!L123,"Fungus corpus"),exact(Metadata!L123,"Animal surface"),exact(Metadata!L123,"Animal proximal gut"),exact(Metadata!L123,"Animal corpus"),exact(Metadata!L123,"Animal distal gut"),exact(Metadata!L123,"Animal secretion"),exact(Metadata!L123,"Sub-surface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Y123">
        <f>IF(Metadata!M123="",FALSE,TRUE)</f>
        <v>0</v>
      </c>
      <c r="AZ123">
        <f>IF(Metadata!N123="",FALSE,TRUE)</f>
        <v>0</v>
      </c>
      <c r="BA123">
        <f>IF(Metadata!O123="",FALSE,TRUE)</f>
        <v>0</v>
      </c>
      <c r="BB123">
        <f>OR(AND(IF(Metadata!P123="",FALSE,TRUE),OR(exact(Metadata!P123,"not collected"),exact(Metadata!P123,"not provided"),exact(Metadata!P123,"restricted access"))),AND(IF(Metadata!P123="",FALSE,TRUE),OR(exact(Metadata!P123,"air"),exact(Metadata!P123,"built environment"),exact(Metadata!P123,"host-associated"),exact(Metadata!P123,"human-associated"),exact(Metadata!P123,"human-skin"),exact(Metadata!P123,"human-oral"),exact(Metadata!P123,"human-gut"),exact(Metadata!P123,"human-vaginal"),exact(Metadata!P123,"microbial mat/biofilm"),exact(Metadata!P123,"misc environment"),exact(Metadata!P123,"plant-associated"),exact(Metadata!P123,"sediment"),exact(Metadata!P123,"soil"),exact(Metadata!P123,"wastewater/sludge"),exact(Metadata!P123,"water"))))</f>
        <v>0</v>
      </c>
      <c r="BC123">
        <f>IF(Metadata!Q123="",FALSE,TRUE)</f>
        <v>0</v>
      </c>
      <c r="BD123">
        <f>IF(Metadata!R123="",FALSE,TRUE)</f>
        <v>0</v>
      </c>
      <c r="BE123">
        <f>OR(AND(IF(Metadata!S123="",FALSE,TRUE),OR(exact(Metadata!S123,"not collected"),exact(Metadata!S123,"not provided"),exact(Metadata!S123,"restricted access"))),AND(IF(Metadata!S123="",FALSE,ISNUMBER(VALUE(Metadata!S123))),Metadata!S123&gt;=-90.00,Metadata!S123&lt;=90.00))</f>
        <v>0</v>
      </c>
      <c r="BF123">
        <f>AND(IF(Metadata!T123="",FALSE,TRUE),exact(Metadata!T123,"Decimal degrees"))</f>
        <v>0</v>
      </c>
      <c r="BG123">
        <f>OR(AND(IF(Metadata!U123="",FALSE,TRUE),OR(exact(Metadata!U123,"not collected"),exact(Metadata!U123,"not provided"),exact(Metadata!U123,"restricted access"))),AND(IF(Metadata!U123="",FALSE,ISNUMBER(VALUE(Metadata!U123))),Metadata!U123&gt;=-180.00,Metadata!U123&lt;=180.00))</f>
        <v>0</v>
      </c>
      <c r="BH123">
        <f>AND(IF(Metadata!V123="",FALSE,TRUE),exact(Metadata!V123,"Decimal degrees"))</f>
        <v>0</v>
      </c>
      <c r="BI123">
        <f>IF(Metadata!W123="",FALSE,TRUE)</f>
        <v>0</v>
      </c>
      <c r="BJ123">
        <f>OR(AND(IF(Metadata!X123="",FALSE,TRUE),OR(exact(Metadata!X123,"not collected"),exact(Metadata!X123,"not provided"),exact(Metadata!X123,"restricted access"))),AND(IF(Metadata!X123="",FALSE,TRUE),OR(exact(Metadata!X123,"TRUE"),exact(Metadata!X123,"FALSE"))))</f>
        <v>0</v>
      </c>
      <c r="BK123">
        <f>AND(IF(Metadata!Y123="",FALSE,TRUE),exact(Metadata!Y123,"other"))</f>
        <v>0</v>
      </c>
      <c r="BL123">
        <f>IF(Metadata!Z123="",FALSE,TRUE)</f>
        <v>0</v>
      </c>
      <c r="BM123">
        <f>OR(AND(IF(Metadata!AA123="",FALSE,TRUE),OR(exact(Metadata!AA123,"not collected"),exact(Metadata!AA123,"not provided"))),AND(IF(Metadata!AA123="",FALSE,IF(ISERROR(INT(Metadata!AA123)),FALSE,INT(Metadata!AA123)=Metadata!AA123)),Metadata!AA123&gt;0))</f>
        <v>0</v>
      </c>
      <c r="BN123">
        <f>AND(IF(Metadata!AB123="",FALSE,TRUE),exact(Metadata!AB123,"Not applicable"))</f>
        <v>0</v>
      </c>
      <c r="BO123">
        <f>IF(Metadata!AC123="",FALSE,TRUE)</f>
        <v>0</v>
      </c>
    </row>
    <row r="124" spans="1:67">
      <c r="A124" s="5">
        <f>IF(B124=" "," ",HYPERLINK(CONCATENATE("#metadata!",ADDRESS(INDEX($AI$2:$AI$1001,MATCH(ROWS($AG$2:AG124),$AG$2:$AG$1001,0),0),1)),INDEX($AL$2:$AL$1001,MATCH(ROWS($AG$2:AG124),$AG$2:$AG$1001,0),0)))</f>
        <v>0</v>
      </c>
      <c r="B124" s="4">
        <f>IF(OR(INDEX($AH$2:$AH$1001,MATCH(ROWS($AG$2:AG124),$AG$2:$AG$1001,0),1)&gt;=100000,INDEX($AN$1005:$BO$1005,1,MATCH(COLUMNS($AN$1006:AN1006),$AN$1006:$BO$1006,0))&gt;=100000), " ",IF(INDEX($AN$2:$BO$1001,MATCH(ROWS($AG$2:AG124),$AG$2:$AG$1001,0),MATCH(COLUMNS($AN$1006:AN1006),$AN$1006:$BO$1006,0)), HYPERLINK("#",""), HYPERLINK(CONCATENATE("#Metadata!", ADDRESS(INDEX($AI$2:$AI$1001,MATCH(ROWS($AG$2:AG124),$AG$2:$AG$1001,0),0), INDEX($AN$1004:$BO$1004,1,MATCH(COLUMNS($AN$1006:AN1006),$AN$1006:$BO$1006,0)))),"Fix")))</f>
        <v>0</v>
      </c>
      <c r="C124" s="4">
        <f>IF(OR(INDEX($AH$2:$AH$1001,MATCH(ROWS($AG$2:AG124),$AG$2:$AG$1001,0),1)&gt;=100000,INDEX($AN$1005:$BO$1005,1,MATCH(COLUMNS($AN$1006:AO1006),$AN$1006:$BO$1006,0))&gt;=100000), " ",IF(INDEX($AN$2:$BO$1001,MATCH(ROWS($AG$2:AG124),$AG$2:$AG$1001,0),MATCH(COLUMNS($AN$1006:AO1006),$AN$1006:$BO$1006,0)), HYPERLINK("#",""), HYPERLINK(CONCATENATE("#Metadata!", ADDRESS(INDEX($AI$2:$AI$1001,MATCH(ROWS($AG$2:AG124),$AG$2:$AG$1001,0),0), INDEX($AN$1004:$BO$1004,1,MATCH(COLUMNS($AN$1006:AO1006),$AN$1006:$BO$1006,0)))),"Fix")))</f>
        <v>0</v>
      </c>
      <c r="D124" s="4">
        <f>IF(OR(INDEX($AH$2:$AH$1001,MATCH(ROWS($AG$2:AG124),$AG$2:$AG$1001,0),1)&gt;=100000,INDEX($AN$1005:$BO$1005,1,MATCH(COLUMNS($AN$1006:AP1006),$AN$1006:$BO$1006,0))&gt;=100000), " ",IF(INDEX($AN$2:$BO$1001,MATCH(ROWS($AG$2:AG124),$AG$2:$AG$1001,0),MATCH(COLUMNS($AN$1006:AP1006),$AN$1006:$BO$1006,0)), HYPERLINK("#",""), HYPERLINK(CONCATENATE("#Metadata!", ADDRESS(INDEX($AI$2:$AI$1001,MATCH(ROWS($AG$2:AG124),$AG$2:$AG$1001,0),0), INDEX($AN$1004:$BO$1004,1,MATCH(COLUMNS($AN$1006:AP1006),$AN$1006:$BO$1006,0)))),"Fix")))</f>
        <v>0</v>
      </c>
      <c r="E124" s="4">
        <f>IF(OR(INDEX($AH$2:$AH$1001,MATCH(ROWS($AG$2:AG124),$AG$2:$AG$1001,0),1)&gt;=100000,INDEX($AN$1005:$BO$1005,1,MATCH(COLUMNS($AN$1006:AQ1006),$AN$1006:$BO$1006,0))&gt;=100000), " ",IF(INDEX($AN$2:$BO$1001,MATCH(ROWS($AG$2:AG124),$AG$2:$AG$1001,0),MATCH(COLUMNS($AN$1006:AQ1006),$AN$1006:$BO$1006,0)), HYPERLINK("#",""), HYPERLINK(CONCATENATE("#Metadata!", ADDRESS(INDEX($AI$2:$AI$1001,MATCH(ROWS($AG$2:AG124),$AG$2:$AG$1001,0),0), INDEX($AN$1004:$BO$1004,1,MATCH(COLUMNS($AN$1006:AQ1006),$AN$1006:$BO$1006,0)))),"Fix")))</f>
        <v>0</v>
      </c>
      <c r="F124" s="4">
        <f>IF(OR(INDEX($AH$2:$AH$1001,MATCH(ROWS($AG$2:AG124),$AG$2:$AG$1001,0),1)&gt;=100000,INDEX($AN$1005:$BO$1005,1,MATCH(COLUMNS($AN$1006:AR1006),$AN$1006:$BO$1006,0))&gt;=100000), " ",IF(INDEX($AN$2:$BO$1001,MATCH(ROWS($AG$2:AG124),$AG$2:$AG$1001,0),MATCH(COLUMNS($AN$1006:AR1006),$AN$1006:$BO$1006,0)), HYPERLINK("#",""), HYPERLINK(CONCATENATE("#Metadata!", ADDRESS(INDEX($AI$2:$AI$1001,MATCH(ROWS($AG$2:AG124),$AG$2:$AG$1001,0),0), INDEX($AN$1004:$BO$1004,1,MATCH(COLUMNS($AN$1006:AR1006),$AN$1006:$BO$1006,0)))),"Fix")))</f>
        <v>0</v>
      </c>
      <c r="G124" s="4">
        <f>IF(OR(INDEX($AH$2:$AH$1001,MATCH(ROWS($AG$2:AG124),$AG$2:$AG$1001,0),1)&gt;=100000,INDEX($AN$1005:$BO$1005,1,MATCH(COLUMNS($AN$1006:AS1006),$AN$1006:$BO$1006,0))&gt;=100000), " ",IF(INDEX($AN$2:$BO$1001,MATCH(ROWS($AG$2:AG124),$AG$2:$AG$1001,0),MATCH(COLUMNS($AN$1006:AS1006),$AN$1006:$BO$1006,0)), HYPERLINK("#",""), HYPERLINK(CONCATENATE("#Metadata!", ADDRESS(INDEX($AI$2:$AI$1001,MATCH(ROWS($AG$2:AG124),$AG$2:$AG$1001,0),0), INDEX($AN$1004:$BO$1004,1,MATCH(COLUMNS($AN$1006:AS1006),$AN$1006:$BO$1006,0)))),"Fix")))</f>
        <v>0</v>
      </c>
      <c r="H124" s="4">
        <f>IF(OR(INDEX($AH$2:$AH$1001,MATCH(ROWS($AG$2:AG124),$AG$2:$AG$1001,0),1)&gt;=100000,INDEX($AN$1005:$BO$1005,1,MATCH(COLUMNS($AN$1006:AT1006),$AN$1006:$BO$1006,0))&gt;=100000), " ",IF(INDEX($AN$2:$BO$1001,MATCH(ROWS($AG$2:AG124),$AG$2:$AG$1001,0),MATCH(COLUMNS($AN$1006:AT1006),$AN$1006:$BO$1006,0)), HYPERLINK("#",""), HYPERLINK(CONCATENATE("#Metadata!", ADDRESS(INDEX($AI$2:$AI$1001,MATCH(ROWS($AG$2:AG124),$AG$2:$AG$1001,0),0), INDEX($AN$1004:$BO$1004,1,MATCH(COLUMNS($AN$1006:AT1006),$AN$1006:$BO$1006,0)))),"Fix")))</f>
        <v>0</v>
      </c>
      <c r="I124" s="4">
        <f>IF(OR(INDEX($AH$2:$AH$1001,MATCH(ROWS($AG$2:AG124),$AG$2:$AG$1001,0),1)&gt;=100000,INDEX($AN$1005:$BO$1005,1,MATCH(COLUMNS($AN$1006:AU1006),$AN$1006:$BO$1006,0))&gt;=100000), " ",IF(INDEX($AN$2:$BO$1001,MATCH(ROWS($AG$2:AG124),$AG$2:$AG$1001,0),MATCH(COLUMNS($AN$1006:AU1006),$AN$1006:$BO$1006,0)), HYPERLINK("#",""), HYPERLINK(CONCATENATE("#Metadata!", ADDRESS(INDEX($AI$2:$AI$1001,MATCH(ROWS($AG$2:AG124),$AG$2:$AG$1001,0),0), INDEX($AN$1004:$BO$1004,1,MATCH(COLUMNS($AN$1006:AU1006),$AN$1006:$BO$1006,0)))),"Fix")))</f>
        <v>0</v>
      </c>
      <c r="J124" s="4">
        <f>IF(OR(INDEX($AH$2:$AH$1001,MATCH(ROWS($AG$2:AG124),$AG$2:$AG$1001,0),1)&gt;=100000,INDEX($AN$1005:$BO$1005,1,MATCH(COLUMNS($AN$1006:AV1006),$AN$1006:$BO$1006,0))&gt;=100000), " ",IF(INDEX($AN$2:$BO$1001,MATCH(ROWS($AG$2:AG124),$AG$2:$AG$1001,0),MATCH(COLUMNS($AN$1006:AV1006),$AN$1006:$BO$1006,0)), HYPERLINK("#",""), HYPERLINK(CONCATENATE("#Metadata!", ADDRESS(INDEX($AI$2:$AI$1001,MATCH(ROWS($AG$2:AG124),$AG$2:$AG$1001,0),0), INDEX($AN$1004:$BO$1004,1,MATCH(COLUMNS($AN$1006:AV1006),$AN$1006:$BO$1006,0)))),"Fix")))</f>
        <v>0</v>
      </c>
      <c r="K124" s="4">
        <f>IF(OR(INDEX($AH$2:$AH$1001,MATCH(ROWS($AG$2:AG124),$AG$2:$AG$1001,0),1)&gt;=100000,INDEX($AN$1005:$BO$1005,1,MATCH(COLUMNS($AN$1006:AW1006),$AN$1006:$BO$1006,0))&gt;=100000), " ",IF(INDEX($AN$2:$BO$1001,MATCH(ROWS($AG$2:AG124),$AG$2:$AG$1001,0),MATCH(COLUMNS($AN$1006:AW1006),$AN$1006:$BO$1006,0)), HYPERLINK("#",""), HYPERLINK(CONCATENATE("#Metadata!", ADDRESS(INDEX($AI$2:$AI$1001,MATCH(ROWS($AG$2:AG124),$AG$2:$AG$1001,0),0), INDEX($AN$1004:$BO$1004,1,MATCH(COLUMNS($AN$1006:AW1006),$AN$1006:$BO$1006,0)))),"Fix")))</f>
        <v>0</v>
      </c>
      <c r="L124" s="4">
        <f>IF(OR(INDEX($AH$2:$AH$1001,MATCH(ROWS($AG$2:AG124),$AG$2:$AG$1001,0),1)&gt;=100000,INDEX($AN$1005:$BO$1005,1,MATCH(COLUMNS($AN$1006:AX1006),$AN$1006:$BO$1006,0))&gt;=100000), " ",IF(INDEX($AN$2:$BO$1001,MATCH(ROWS($AG$2:AG124),$AG$2:$AG$1001,0),MATCH(COLUMNS($AN$1006:AX1006),$AN$1006:$BO$1006,0)), HYPERLINK("#",""), HYPERLINK(CONCATENATE("#Metadata!", ADDRESS(INDEX($AI$2:$AI$1001,MATCH(ROWS($AG$2:AG124),$AG$2:$AG$1001,0),0), INDEX($AN$1004:$BO$1004,1,MATCH(COLUMNS($AN$1006:AX1006),$AN$1006:$BO$1006,0)))),"Fix")))</f>
        <v>0</v>
      </c>
      <c r="M124" s="4">
        <f>IF(OR(INDEX($AH$2:$AH$1001,MATCH(ROWS($AG$2:AG124),$AG$2:$AG$1001,0),1)&gt;=100000,INDEX($AN$1005:$BO$1005,1,MATCH(COLUMNS($AN$1006:AY1006),$AN$1006:$BO$1006,0))&gt;=100000), " ",IF(INDEX($AN$2:$BO$1001,MATCH(ROWS($AG$2:AG124),$AG$2:$AG$1001,0),MATCH(COLUMNS($AN$1006:AY1006),$AN$1006:$BO$1006,0)), HYPERLINK("#",""), HYPERLINK(CONCATENATE("#Metadata!", ADDRESS(INDEX($AI$2:$AI$1001,MATCH(ROWS($AG$2:AG124),$AG$2:$AG$1001,0),0), INDEX($AN$1004:$BO$1004,1,MATCH(COLUMNS($AN$1006:AY1006),$AN$1006:$BO$1006,0)))),"Fix")))</f>
        <v>0</v>
      </c>
      <c r="N124" s="4">
        <f>IF(OR(INDEX($AH$2:$AH$1001,MATCH(ROWS($AG$2:AG124),$AG$2:$AG$1001,0),1)&gt;=100000,INDEX($AN$1005:$BO$1005,1,MATCH(COLUMNS($AN$1006:AZ1006),$AN$1006:$BO$1006,0))&gt;=100000), " ",IF(INDEX($AN$2:$BO$1001,MATCH(ROWS($AG$2:AG124),$AG$2:$AG$1001,0),MATCH(COLUMNS($AN$1006:AZ1006),$AN$1006:$BO$1006,0)), HYPERLINK("#",""), HYPERLINK(CONCATENATE("#Metadata!", ADDRESS(INDEX($AI$2:$AI$1001,MATCH(ROWS($AG$2:AG124),$AG$2:$AG$1001,0),0), INDEX($AN$1004:$BO$1004,1,MATCH(COLUMNS($AN$1006:AZ1006),$AN$1006:$BO$1006,0)))),"Fix")))</f>
        <v>0</v>
      </c>
      <c r="O124" s="4">
        <f>IF(OR(INDEX($AH$2:$AH$1001,MATCH(ROWS($AG$2:AG124),$AG$2:$AG$1001,0),1)&gt;=100000,INDEX($AN$1005:$BO$1005,1,MATCH(COLUMNS($AN$1006:BA1006),$AN$1006:$BO$1006,0))&gt;=100000), " ",IF(INDEX($AN$2:$BO$1001,MATCH(ROWS($AG$2:AG124),$AG$2:$AG$1001,0),MATCH(COLUMNS($AN$1006:BA1006),$AN$1006:$BO$1006,0)), HYPERLINK("#",""), HYPERLINK(CONCATENATE("#Metadata!", ADDRESS(INDEX($AI$2:$AI$1001,MATCH(ROWS($AG$2:AG124),$AG$2:$AG$1001,0),0), INDEX($AN$1004:$BO$1004,1,MATCH(COLUMNS($AN$1006:BA1006),$AN$1006:$BO$1006,0)))),"Fix")))</f>
        <v>0</v>
      </c>
      <c r="P124" s="4">
        <f>IF(OR(INDEX($AH$2:$AH$1001,MATCH(ROWS($AG$2:AG124),$AG$2:$AG$1001,0),1)&gt;=100000,INDEX($AN$1005:$BO$1005,1,MATCH(COLUMNS($AN$1006:BB1006),$AN$1006:$BO$1006,0))&gt;=100000), " ",IF(INDEX($AN$2:$BO$1001,MATCH(ROWS($AG$2:AG124),$AG$2:$AG$1001,0),MATCH(COLUMNS($AN$1006:BB1006),$AN$1006:$BO$1006,0)), HYPERLINK("#",""), HYPERLINK(CONCATENATE("#Metadata!", ADDRESS(INDEX($AI$2:$AI$1001,MATCH(ROWS($AG$2:AG124),$AG$2:$AG$1001,0),0), INDEX($AN$1004:$BO$1004,1,MATCH(COLUMNS($AN$1006:BB1006),$AN$1006:$BO$1006,0)))),"Fix")))</f>
        <v>0</v>
      </c>
      <c r="Q124" s="4">
        <f>IF(OR(INDEX($AH$2:$AH$1001,MATCH(ROWS($AG$2:AG124),$AG$2:$AG$1001,0),1)&gt;=100000,INDEX($AN$1005:$BO$1005,1,MATCH(COLUMNS($AN$1006:BC1006),$AN$1006:$BO$1006,0))&gt;=100000), " ",IF(INDEX($AN$2:$BO$1001,MATCH(ROWS($AG$2:AG124),$AG$2:$AG$1001,0),MATCH(COLUMNS($AN$1006:BC1006),$AN$1006:$BO$1006,0)), HYPERLINK("#",""), HYPERLINK(CONCATENATE("#Metadata!", ADDRESS(INDEX($AI$2:$AI$1001,MATCH(ROWS($AG$2:AG124),$AG$2:$AG$1001,0),0), INDEX($AN$1004:$BO$1004,1,MATCH(COLUMNS($AN$1006:BC1006),$AN$1006:$BO$1006,0)))),"Fix")))</f>
        <v>0</v>
      </c>
      <c r="R124" s="4">
        <f>IF(OR(INDEX($AH$2:$AH$1001,MATCH(ROWS($AG$2:AG124),$AG$2:$AG$1001,0),1)&gt;=100000,INDEX($AN$1005:$BO$1005,1,MATCH(COLUMNS($AN$1006:BD1006),$AN$1006:$BO$1006,0))&gt;=100000), " ",IF(INDEX($AN$2:$BO$1001,MATCH(ROWS($AG$2:AG124),$AG$2:$AG$1001,0),MATCH(COLUMNS($AN$1006:BD1006),$AN$1006:$BO$1006,0)), HYPERLINK("#",""), HYPERLINK(CONCATENATE("#Metadata!", ADDRESS(INDEX($AI$2:$AI$1001,MATCH(ROWS($AG$2:AG124),$AG$2:$AG$1001,0),0), INDEX($AN$1004:$BO$1004,1,MATCH(COLUMNS($AN$1006:BD1006),$AN$1006:$BO$1006,0)))),"Fix")))</f>
        <v>0</v>
      </c>
      <c r="S124" s="4">
        <f>IF(OR(INDEX($AH$2:$AH$1001,MATCH(ROWS($AG$2:AG124),$AG$2:$AG$1001,0),1)&gt;=100000,INDEX($AN$1005:$BO$1005,1,MATCH(COLUMNS($AN$1006:BE1006),$AN$1006:$BO$1006,0))&gt;=100000), " ",IF(INDEX($AN$2:$BO$1001,MATCH(ROWS($AG$2:AG124),$AG$2:$AG$1001,0),MATCH(COLUMNS($AN$1006:BE1006),$AN$1006:$BO$1006,0)), HYPERLINK("#",""), HYPERLINK(CONCATENATE("#Metadata!", ADDRESS(INDEX($AI$2:$AI$1001,MATCH(ROWS($AG$2:AG124),$AG$2:$AG$1001,0),0), INDEX($AN$1004:$BO$1004,1,MATCH(COLUMNS($AN$1006:BE1006),$AN$1006:$BO$1006,0)))),"Fix")))</f>
        <v>0</v>
      </c>
      <c r="T124" s="4">
        <f>IF(OR(INDEX($AH$2:$AH$1001,MATCH(ROWS($AG$2:AG124),$AG$2:$AG$1001,0),1)&gt;=100000,INDEX($AN$1005:$BO$1005,1,MATCH(COLUMNS($AN$1006:BF1006),$AN$1006:$BO$1006,0))&gt;=100000), " ",IF(INDEX($AN$2:$BO$1001,MATCH(ROWS($AG$2:AG124),$AG$2:$AG$1001,0),MATCH(COLUMNS($AN$1006:BF1006),$AN$1006:$BO$1006,0)), HYPERLINK("#",""), HYPERLINK(CONCATENATE("#Metadata!", ADDRESS(INDEX($AI$2:$AI$1001,MATCH(ROWS($AG$2:AG124),$AG$2:$AG$1001,0),0), INDEX($AN$1004:$BO$1004,1,MATCH(COLUMNS($AN$1006:BF1006),$AN$1006:$BO$1006,0)))),"Fix")))</f>
        <v>0</v>
      </c>
      <c r="U124" s="4">
        <f>IF(OR(INDEX($AH$2:$AH$1001,MATCH(ROWS($AG$2:AG124),$AG$2:$AG$1001,0),1)&gt;=100000,INDEX($AN$1005:$BO$1005,1,MATCH(COLUMNS($AN$1006:BG1006),$AN$1006:$BO$1006,0))&gt;=100000), " ",IF(INDEX($AN$2:$BO$1001,MATCH(ROWS($AG$2:AG124),$AG$2:$AG$1001,0),MATCH(COLUMNS($AN$1006:BG1006),$AN$1006:$BO$1006,0)), HYPERLINK("#",""), HYPERLINK(CONCATENATE("#Metadata!", ADDRESS(INDEX($AI$2:$AI$1001,MATCH(ROWS($AG$2:AG124),$AG$2:$AG$1001,0),0), INDEX($AN$1004:$BO$1004,1,MATCH(COLUMNS($AN$1006:BG1006),$AN$1006:$BO$1006,0)))),"Fix")))</f>
        <v>0</v>
      </c>
      <c r="V124" s="4">
        <f>IF(OR(INDEX($AH$2:$AH$1001,MATCH(ROWS($AG$2:AG124),$AG$2:$AG$1001,0),1)&gt;=100000,INDEX($AN$1005:$BO$1005,1,MATCH(COLUMNS($AN$1006:BH1006),$AN$1006:$BO$1006,0))&gt;=100000), " ",IF(INDEX($AN$2:$BO$1001,MATCH(ROWS($AG$2:AG124),$AG$2:$AG$1001,0),MATCH(COLUMNS($AN$1006:BH1006),$AN$1006:$BO$1006,0)), HYPERLINK("#",""), HYPERLINK(CONCATENATE("#Metadata!", ADDRESS(INDEX($AI$2:$AI$1001,MATCH(ROWS($AG$2:AG124),$AG$2:$AG$1001,0),0), INDEX($AN$1004:$BO$1004,1,MATCH(COLUMNS($AN$1006:BH1006),$AN$1006:$BO$1006,0)))),"Fix")))</f>
        <v>0</v>
      </c>
      <c r="W124" s="4">
        <f>IF(OR(INDEX($AH$2:$AH$1001,MATCH(ROWS($AG$2:AG124),$AG$2:$AG$1001,0),1)&gt;=100000,INDEX($AN$1005:$BO$1005,1,MATCH(COLUMNS($AN$1006:BI1006),$AN$1006:$BO$1006,0))&gt;=100000), " ",IF(INDEX($AN$2:$BO$1001,MATCH(ROWS($AG$2:AG124),$AG$2:$AG$1001,0),MATCH(COLUMNS($AN$1006:BI1006),$AN$1006:$BO$1006,0)), HYPERLINK("#",""), HYPERLINK(CONCATENATE("#Metadata!", ADDRESS(INDEX($AI$2:$AI$1001,MATCH(ROWS($AG$2:AG124),$AG$2:$AG$1001,0),0), INDEX($AN$1004:$BO$1004,1,MATCH(COLUMNS($AN$1006:BI1006),$AN$1006:$BO$1006,0)))),"Fix")))</f>
        <v>0</v>
      </c>
      <c r="X124" s="4">
        <f>IF(OR(INDEX($AH$2:$AH$1001,MATCH(ROWS($AG$2:AG124),$AG$2:$AG$1001,0),1)&gt;=100000,INDEX($AN$1005:$BO$1005,1,MATCH(COLUMNS($AN$1006:BJ1006),$AN$1006:$BO$1006,0))&gt;=100000), " ",IF(INDEX($AN$2:$BO$1001,MATCH(ROWS($AG$2:AG124),$AG$2:$AG$1001,0),MATCH(COLUMNS($AN$1006:BJ1006),$AN$1006:$BO$1006,0)), HYPERLINK("#",""), HYPERLINK(CONCATENATE("#Metadata!", ADDRESS(INDEX($AI$2:$AI$1001,MATCH(ROWS($AG$2:AG124),$AG$2:$AG$1001,0),0), INDEX($AN$1004:$BO$1004,1,MATCH(COLUMNS($AN$1006:BJ1006),$AN$1006:$BO$1006,0)))),"Fix")))</f>
        <v>0</v>
      </c>
      <c r="Y124" s="4">
        <f>IF(OR(INDEX($AH$2:$AH$1001,MATCH(ROWS($AG$2:AG124),$AG$2:$AG$1001,0),1)&gt;=100000,INDEX($AN$1005:$BO$1005,1,MATCH(COLUMNS($AN$1006:BK1006),$AN$1006:$BO$1006,0))&gt;=100000), " ",IF(INDEX($AN$2:$BO$1001,MATCH(ROWS($AG$2:AG124),$AG$2:$AG$1001,0),MATCH(COLUMNS($AN$1006:BK1006),$AN$1006:$BO$1006,0)), HYPERLINK("#",""), HYPERLINK(CONCATENATE("#Metadata!", ADDRESS(INDEX($AI$2:$AI$1001,MATCH(ROWS($AG$2:AG124),$AG$2:$AG$1001,0),0), INDEX($AN$1004:$BO$1004,1,MATCH(COLUMNS($AN$1006:BK1006),$AN$1006:$BO$1006,0)))),"Fix")))</f>
        <v>0</v>
      </c>
      <c r="Z124" s="4">
        <f>IF(OR(INDEX($AH$2:$AH$1001,MATCH(ROWS($AG$2:AG124),$AG$2:$AG$1001,0),1)&gt;=100000,INDEX($AN$1005:$BO$1005,1,MATCH(COLUMNS($AN$1006:BL1006),$AN$1006:$BO$1006,0))&gt;=100000), " ",IF(INDEX($AN$2:$BO$1001,MATCH(ROWS($AG$2:AG124),$AG$2:$AG$1001,0),MATCH(COLUMNS($AN$1006:BL1006),$AN$1006:$BO$1006,0)), HYPERLINK("#",""), HYPERLINK(CONCATENATE("#Metadata!", ADDRESS(INDEX($AI$2:$AI$1001,MATCH(ROWS($AG$2:AG124),$AG$2:$AG$1001,0),0), INDEX($AN$1004:$BO$1004,1,MATCH(COLUMNS($AN$1006:BL1006),$AN$1006:$BO$1006,0)))),"Fix")))</f>
        <v>0</v>
      </c>
      <c r="AA124" s="4">
        <f>IF(OR(INDEX($AH$2:$AH$1001,MATCH(ROWS($AG$2:AG124),$AG$2:$AG$1001,0),1)&gt;=100000,INDEX($AN$1005:$BO$1005,1,MATCH(COLUMNS($AN$1006:BM1006),$AN$1006:$BO$1006,0))&gt;=100000), " ",IF(INDEX($AN$2:$BO$1001,MATCH(ROWS($AG$2:AG124),$AG$2:$AG$1001,0),MATCH(COLUMNS($AN$1006:BM1006),$AN$1006:$BO$1006,0)), HYPERLINK("#",""), HYPERLINK(CONCATENATE("#Metadata!", ADDRESS(INDEX($AI$2:$AI$1001,MATCH(ROWS($AG$2:AG124),$AG$2:$AG$1001,0),0), INDEX($AN$1004:$BO$1004,1,MATCH(COLUMNS($AN$1006:BM1006),$AN$1006:$BO$1006,0)))),"Fix")))</f>
        <v>0</v>
      </c>
      <c r="AB124" s="4">
        <f>IF(OR(INDEX($AH$2:$AH$1001,MATCH(ROWS($AG$2:AG124),$AG$2:$AG$1001,0),1)&gt;=100000,INDEX($AN$1005:$BO$1005,1,MATCH(COLUMNS($AN$1006:BN1006),$AN$1006:$BO$1006,0))&gt;=100000), " ",IF(INDEX($AN$2:$BO$1001,MATCH(ROWS($AG$2:AG124),$AG$2:$AG$1001,0),MATCH(COLUMNS($AN$1006:BN1006),$AN$1006:$BO$1006,0)), HYPERLINK("#",""), HYPERLINK(CONCATENATE("#Metadata!", ADDRESS(INDEX($AI$2:$AI$1001,MATCH(ROWS($AG$2:AG124),$AG$2:$AG$1001,0),0), INDEX($AN$1004:$BO$1004,1,MATCH(COLUMNS($AN$1006:BN1006),$AN$1006:$BO$1006,0)))),"Fix")))</f>
        <v>0</v>
      </c>
      <c r="AC124" s="4">
        <f>IF(OR(INDEX($AH$2:$AH$1001,MATCH(ROWS($AG$2:AG124),$AG$2:$AG$1001,0),1)&gt;=100000,INDEX($AN$1005:$BO$1005,1,MATCH(COLUMNS($AN$1006:BO1006),$AN$1006:$BO$1006,0))&gt;=100000), " ",IF(INDEX($AN$2:$BO$1001,MATCH(ROWS($AG$2:AG124),$AG$2:$AG$1001,0),MATCH(COLUMNS($AN$1006:BO1006),$AN$1006:$BO$1006,0)), HYPERLINK("#",""), HYPERLINK(CONCATENATE("#Metadata!", ADDRESS(INDEX($AI$2:$AI$1001,MATCH(ROWS($AG$2:AG124),$AG$2:$AG$1001,0),0), INDEX($AN$1004:$BO$1004,1,MATCH(COLUMNS($AN$1006:BO1006),$AN$1006:$BO$1006,0)))),"Fix")))</f>
        <v>0</v>
      </c>
      <c r="AG124">
        <v>0</v>
      </c>
      <c r="AH124">
        <v>0</v>
      </c>
      <c r="AI124">
        <v>0</v>
      </c>
      <c r="AJ124">
        <f>IF(AK124,TRUE,AND(AN124:BO124))</f>
        <v>0</v>
      </c>
      <c r="AK124">
        <f>COUNTBLANK(Metadata!B124:AC124)=COLUMNS(Metadata!B124:AC124)</f>
        <v>0</v>
      </c>
      <c r="AL124">
        <v>0</v>
      </c>
      <c r="AN124">
        <f>AND(IF(Metadata!B124="",FALSE,TRUE),COUNTIF(Metadata!B:B, Metadata!B124) = 1,NOT(ISERROR(SUMPRODUCT(SEARCH(MID(Metadata!B124,ROW(INDIRECT("1:"&amp;LEN(Metadata!B124))), 1),"0123456789abcdefghijklmnopqrstuvwxyzABCDEFGHIJKLMNOPQRSTUVWXYZ.")))))</f>
        <v>0</v>
      </c>
      <c r="AO124">
        <f>IF(Metadata!C124="",FALSE,TRUE)</f>
        <v>0</v>
      </c>
      <c r="AP124">
        <f>IF(Metadata!D124="",FALSE,TRUE)</f>
        <v>0</v>
      </c>
      <c r="AQ124">
        <f>OR(AND(IF(Metadata!E124="",FALSE,TRUE),OR(exact(Metadata!E124,"not collected"),exact(Metadata!E124,"not provided"),exact(Metadata!E124,"restricted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R124">
        <f>IF(Metadata!F124="",FALSE,TRUE)</f>
        <v>0</v>
      </c>
      <c r="AS124">
        <f>OR(AND(IF(Metadata!G124="",FALSE,TRUE),OR(exact(Metadata!G124,"not collected"),exact(Metadata!G124,"not provided"))),AND(IF(Metadata!G124="",FALSE,TRUE),OR(exact(Metadata!G124,"TRUE"),exact(Metadata!G124,"FALSE"))))</f>
        <v>0</v>
      </c>
      <c r="AT124">
        <f>OR(AND(IF(Metadata!H124="",FALSE,TRUE),OR(exact(Metadata!H124,"not collected"),exact(Metadata!H124,"not provided"),exact(Metadata!H124,"restricted access"))),AND(IF(Metadata!H124="",FALSE,ISNUMBER(VALUE(Metadata!H124))),Metadata!H124&gt;=-413.0))</f>
        <v>0</v>
      </c>
      <c r="AU124">
        <f>AND(IF(Metadata!I124="",FALSE,TRUE),exact(Metadata!I124,"meters"))</f>
        <v>0</v>
      </c>
      <c r="AV124">
        <f>AND(IF(Metadata!J124="",FALSE,TRUE),OR(exact(Metadata!J124,"Host-associated"),exact(Metadata!J124,"Free-living")))</f>
        <v>0</v>
      </c>
      <c r="AW124">
        <f>AND(IF(Metadata!K124="",FALSE,TRUE),OR(exact(Metadata!K124,"Animal"),exact(Metadata!K124,"Fungus"),exact(Metadata!K124,"Plant"),exact(Metadata!K124,"Saline"),exact(Metadata!K124,"Non-saline")))</f>
        <v>0</v>
      </c>
      <c r="AX124">
        <f>AND(IF(Metadata!L124="",FALSE,TRUE),OR(exact(Metadata!L124,"Plant secretion"),exact(Metadata!L124,"Plant rhizosphere"),exact(Metadata!L124,"Plant surface"),exact(Metadata!L124,"Plant corpus"),exact(Metadata!L124,"Fungus surface"),exact(Metadata!L124,"Fungus corpus"),exact(Metadata!L124,"Animal surface"),exact(Metadata!L124,"Animal proximal gut"),exact(Metadata!L124,"Animal corpus"),exact(Metadata!L124,"Animal distal gut"),exact(Metadata!L124,"Animal secretion"),exact(Metadata!L124,"Sub-surface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Y124">
        <f>IF(Metadata!M124="",FALSE,TRUE)</f>
        <v>0</v>
      </c>
      <c r="AZ124">
        <f>IF(Metadata!N124="",FALSE,TRUE)</f>
        <v>0</v>
      </c>
      <c r="BA124">
        <f>IF(Metadata!O124="",FALSE,TRUE)</f>
        <v>0</v>
      </c>
      <c r="BB124">
        <f>OR(AND(IF(Metadata!P124="",FALSE,TRUE),OR(exact(Metadata!P124,"not collected"),exact(Metadata!P124,"not provided"),exact(Metadata!P124,"restricted access"))),AND(IF(Metadata!P124="",FALSE,TRUE),OR(exact(Metadata!P124,"air"),exact(Metadata!P124,"built environment"),exact(Metadata!P124,"host-associated"),exact(Metadata!P124,"human-associated"),exact(Metadata!P124,"human-skin"),exact(Metadata!P124,"human-oral"),exact(Metadata!P124,"human-gut"),exact(Metadata!P124,"human-vaginal"),exact(Metadata!P124,"microbial mat/biofilm"),exact(Metadata!P124,"misc environment"),exact(Metadata!P124,"plant-associated"),exact(Metadata!P124,"sediment"),exact(Metadata!P124,"soil"),exact(Metadata!P124,"wastewater/sludge"),exact(Metadata!P124,"water"))))</f>
        <v>0</v>
      </c>
      <c r="BC124">
        <f>IF(Metadata!Q124="",FALSE,TRUE)</f>
        <v>0</v>
      </c>
      <c r="BD124">
        <f>IF(Metadata!R124="",FALSE,TRUE)</f>
        <v>0</v>
      </c>
      <c r="BE124">
        <f>OR(AND(IF(Metadata!S124="",FALSE,TRUE),OR(exact(Metadata!S124,"not collected"),exact(Metadata!S124,"not provided"),exact(Metadata!S124,"restricted access"))),AND(IF(Metadata!S124="",FALSE,ISNUMBER(VALUE(Metadata!S124))),Metadata!S124&gt;=-90.00,Metadata!S124&lt;=90.00))</f>
        <v>0</v>
      </c>
      <c r="BF124">
        <f>AND(IF(Metadata!T124="",FALSE,TRUE),exact(Metadata!T124,"Decimal degrees"))</f>
        <v>0</v>
      </c>
      <c r="BG124">
        <f>OR(AND(IF(Metadata!U124="",FALSE,TRUE),OR(exact(Metadata!U124,"not collected"),exact(Metadata!U124,"not provided"),exact(Metadata!U124,"restricted access"))),AND(IF(Metadata!U124="",FALSE,ISNUMBER(VALUE(Metadata!U124))),Metadata!U124&gt;=-180.00,Metadata!U124&lt;=180.00))</f>
        <v>0</v>
      </c>
      <c r="BH124">
        <f>AND(IF(Metadata!V124="",FALSE,TRUE),exact(Metadata!V124,"Decimal degrees"))</f>
        <v>0</v>
      </c>
      <c r="BI124">
        <f>IF(Metadata!W124="",FALSE,TRUE)</f>
        <v>0</v>
      </c>
      <c r="BJ124">
        <f>OR(AND(IF(Metadata!X124="",FALSE,TRUE),OR(exact(Metadata!X124,"not collected"),exact(Metadata!X124,"not provided"),exact(Metadata!X124,"restricted access"))),AND(IF(Metadata!X124="",FALSE,TRUE),OR(exact(Metadata!X124,"TRUE"),exact(Metadata!X124,"FALSE"))))</f>
        <v>0</v>
      </c>
      <c r="BK124">
        <f>AND(IF(Metadata!Y124="",FALSE,TRUE),exact(Metadata!Y124,"other"))</f>
        <v>0</v>
      </c>
      <c r="BL124">
        <f>IF(Metadata!Z124="",FALSE,TRUE)</f>
        <v>0</v>
      </c>
      <c r="BM124">
        <f>OR(AND(IF(Metadata!AA124="",FALSE,TRUE),OR(exact(Metadata!AA124,"not collected"),exact(Metadata!AA124,"not provided"))),AND(IF(Metadata!AA124="",FALSE,IF(ISERROR(INT(Metadata!AA124)),FALSE,INT(Metadata!AA124)=Metadata!AA124)),Metadata!AA124&gt;0))</f>
        <v>0</v>
      </c>
      <c r="BN124">
        <f>AND(IF(Metadata!AB124="",FALSE,TRUE),exact(Metadata!AB124,"Not applicable"))</f>
        <v>0</v>
      </c>
      <c r="BO124">
        <f>IF(Metadata!AC124="",FALSE,TRUE)</f>
        <v>0</v>
      </c>
    </row>
    <row r="125" spans="1:67">
      <c r="A125" s="5">
        <f>IF(B125=" "," ",HYPERLINK(CONCATENATE("#metadata!",ADDRESS(INDEX($AI$2:$AI$1001,MATCH(ROWS($AG$2:AG125),$AG$2:$AG$1001,0),0),1)),INDEX($AL$2:$AL$1001,MATCH(ROWS($AG$2:AG125),$AG$2:$AG$1001,0),0)))</f>
        <v>0</v>
      </c>
      <c r="B125" s="4">
        <f>IF(OR(INDEX($AH$2:$AH$1001,MATCH(ROWS($AG$2:AG125),$AG$2:$AG$1001,0),1)&gt;=100000,INDEX($AN$1005:$BO$1005,1,MATCH(COLUMNS($AN$1006:AN1006),$AN$1006:$BO$1006,0))&gt;=100000), " ",IF(INDEX($AN$2:$BO$1001,MATCH(ROWS($AG$2:AG125),$AG$2:$AG$1001,0),MATCH(COLUMNS($AN$1006:AN1006),$AN$1006:$BO$1006,0)), HYPERLINK("#",""), HYPERLINK(CONCATENATE("#Metadata!", ADDRESS(INDEX($AI$2:$AI$1001,MATCH(ROWS($AG$2:AG125),$AG$2:$AG$1001,0),0), INDEX($AN$1004:$BO$1004,1,MATCH(COLUMNS($AN$1006:AN1006),$AN$1006:$BO$1006,0)))),"Fix")))</f>
        <v>0</v>
      </c>
      <c r="C125" s="4">
        <f>IF(OR(INDEX($AH$2:$AH$1001,MATCH(ROWS($AG$2:AG125),$AG$2:$AG$1001,0),1)&gt;=100000,INDEX($AN$1005:$BO$1005,1,MATCH(COLUMNS($AN$1006:AO1006),$AN$1006:$BO$1006,0))&gt;=100000), " ",IF(INDEX($AN$2:$BO$1001,MATCH(ROWS($AG$2:AG125),$AG$2:$AG$1001,0),MATCH(COLUMNS($AN$1006:AO1006),$AN$1006:$BO$1006,0)), HYPERLINK("#",""), HYPERLINK(CONCATENATE("#Metadata!", ADDRESS(INDEX($AI$2:$AI$1001,MATCH(ROWS($AG$2:AG125),$AG$2:$AG$1001,0),0), INDEX($AN$1004:$BO$1004,1,MATCH(COLUMNS($AN$1006:AO1006),$AN$1006:$BO$1006,0)))),"Fix")))</f>
        <v>0</v>
      </c>
      <c r="D125" s="4">
        <f>IF(OR(INDEX($AH$2:$AH$1001,MATCH(ROWS($AG$2:AG125),$AG$2:$AG$1001,0),1)&gt;=100000,INDEX($AN$1005:$BO$1005,1,MATCH(COLUMNS($AN$1006:AP1006),$AN$1006:$BO$1006,0))&gt;=100000), " ",IF(INDEX($AN$2:$BO$1001,MATCH(ROWS($AG$2:AG125),$AG$2:$AG$1001,0),MATCH(COLUMNS($AN$1006:AP1006),$AN$1006:$BO$1006,0)), HYPERLINK("#",""), HYPERLINK(CONCATENATE("#Metadata!", ADDRESS(INDEX($AI$2:$AI$1001,MATCH(ROWS($AG$2:AG125),$AG$2:$AG$1001,0),0), INDEX($AN$1004:$BO$1004,1,MATCH(COLUMNS($AN$1006:AP1006),$AN$1006:$BO$1006,0)))),"Fix")))</f>
        <v>0</v>
      </c>
      <c r="E125" s="4">
        <f>IF(OR(INDEX($AH$2:$AH$1001,MATCH(ROWS($AG$2:AG125),$AG$2:$AG$1001,0),1)&gt;=100000,INDEX($AN$1005:$BO$1005,1,MATCH(COLUMNS($AN$1006:AQ1006),$AN$1006:$BO$1006,0))&gt;=100000), " ",IF(INDEX($AN$2:$BO$1001,MATCH(ROWS($AG$2:AG125),$AG$2:$AG$1001,0),MATCH(COLUMNS($AN$1006:AQ1006),$AN$1006:$BO$1006,0)), HYPERLINK("#",""), HYPERLINK(CONCATENATE("#Metadata!", ADDRESS(INDEX($AI$2:$AI$1001,MATCH(ROWS($AG$2:AG125),$AG$2:$AG$1001,0),0), INDEX($AN$1004:$BO$1004,1,MATCH(COLUMNS($AN$1006:AQ1006),$AN$1006:$BO$1006,0)))),"Fix")))</f>
        <v>0</v>
      </c>
      <c r="F125" s="4">
        <f>IF(OR(INDEX($AH$2:$AH$1001,MATCH(ROWS($AG$2:AG125),$AG$2:$AG$1001,0),1)&gt;=100000,INDEX($AN$1005:$BO$1005,1,MATCH(COLUMNS($AN$1006:AR1006),$AN$1006:$BO$1006,0))&gt;=100000), " ",IF(INDEX($AN$2:$BO$1001,MATCH(ROWS($AG$2:AG125),$AG$2:$AG$1001,0),MATCH(COLUMNS($AN$1006:AR1006),$AN$1006:$BO$1006,0)), HYPERLINK("#",""), HYPERLINK(CONCATENATE("#Metadata!", ADDRESS(INDEX($AI$2:$AI$1001,MATCH(ROWS($AG$2:AG125),$AG$2:$AG$1001,0),0), INDEX($AN$1004:$BO$1004,1,MATCH(COLUMNS($AN$1006:AR1006),$AN$1006:$BO$1006,0)))),"Fix")))</f>
        <v>0</v>
      </c>
      <c r="G125" s="4">
        <f>IF(OR(INDEX($AH$2:$AH$1001,MATCH(ROWS($AG$2:AG125),$AG$2:$AG$1001,0),1)&gt;=100000,INDEX($AN$1005:$BO$1005,1,MATCH(COLUMNS($AN$1006:AS1006),$AN$1006:$BO$1006,0))&gt;=100000), " ",IF(INDEX($AN$2:$BO$1001,MATCH(ROWS($AG$2:AG125),$AG$2:$AG$1001,0),MATCH(COLUMNS($AN$1006:AS1006),$AN$1006:$BO$1006,0)), HYPERLINK("#",""), HYPERLINK(CONCATENATE("#Metadata!", ADDRESS(INDEX($AI$2:$AI$1001,MATCH(ROWS($AG$2:AG125),$AG$2:$AG$1001,0),0), INDEX($AN$1004:$BO$1004,1,MATCH(COLUMNS($AN$1006:AS1006),$AN$1006:$BO$1006,0)))),"Fix")))</f>
        <v>0</v>
      </c>
      <c r="H125" s="4">
        <f>IF(OR(INDEX($AH$2:$AH$1001,MATCH(ROWS($AG$2:AG125),$AG$2:$AG$1001,0),1)&gt;=100000,INDEX($AN$1005:$BO$1005,1,MATCH(COLUMNS($AN$1006:AT1006),$AN$1006:$BO$1006,0))&gt;=100000), " ",IF(INDEX($AN$2:$BO$1001,MATCH(ROWS($AG$2:AG125),$AG$2:$AG$1001,0),MATCH(COLUMNS($AN$1006:AT1006),$AN$1006:$BO$1006,0)), HYPERLINK("#",""), HYPERLINK(CONCATENATE("#Metadata!", ADDRESS(INDEX($AI$2:$AI$1001,MATCH(ROWS($AG$2:AG125),$AG$2:$AG$1001,0),0), INDEX($AN$1004:$BO$1004,1,MATCH(COLUMNS($AN$1006:AT1006),$AN$1006:$BO$1006,0)))),"Fix")))</f>
        <v>0</v>
      </c>
      <c r="I125" s="4">
        <f>IF(OR(INDEX($AH$2:$AH$1001,MATCH(ROWS($AG$2:AG125),$AG$2:$AG$1001,0),1)&gt;=100000,INDEX($AN$1005:$BO$1005,1,MATCH(COLUMNS($AN$1006:AU1006),$AN$1006:$BO$1006,0))&gt;=100000), " ",IF(INDEX($AN$2:$BO$1001,MATCH(ROWS($AG$2:AG125),$AG$2:$AG$1001,0),MATCH(COLUMNS($AN$1006:AU1006),$AN$1006:$BO$1006,0)), HYPERLINK("#",""), HYPERLINK(CONCATENATE("#Metadata!", ADDRESS(INDEX($AI$2:$AI$1001,MATCH(ROWS($AG$2:AG125),$AG$2:$AG$1001,0),0), INDEX($AN$1004:$BO$1004,1,MATCH(COLUMNS($AN$1006:AU1006),$AN$1006:$BO$1006,0)))),"Fix")))</f>
        <v>0</v>
      </c>
      <c r="J125" s="4">
        <f>IF(OR(INDEX($AH$2:$AH$1001,MATCH(ROWS($AG$2:AG125),$AG$2:$AG$1001,0),1)&gt;=100000,INDEX($AN$1005:$BO$1005,1,MATCH(COLUMNS($AN$1006:AV1006),$AN$1006:$BO$1006,0))&gt;=100000), " ",IF(INDEX($AN$2:$BO$1001,MATCH(ROWS($AG$2:AG125),$AG$2:$AG$1001,0),MATCH(COLUMNS($AN$1006:AV1006),$AN$1006:$BO$1006,0)), HYPERLINK("#",""), HYPERLINK(CONCATENATE("#Metadata!", ADDRESS(INDEX($AI$2:$AI$1001,MATCH(ROWS($AG$2:AG125),$AG$2:$AG$1001,0),0), INDEX($AN$1004:$BO$1004,1,MATCH(COLUMNS($AN$1006:AV1006),$AN$1006:$BO$1006,0)))),"Fix")))</f>
        <v>0</v>
      </c>
      <c r="K125" s="4">
        <f>IF(OR(INDEX($AH$2:$AH$1001,MATCH(ROWS($AG$2:AG125),$AG$2:$AG$1001,0),1)&gt;=100000,INDEX($AN$1005:$BO$1005,1,MATCH(COLUMNS($AN$1006:AW1006),$AN$1006:$BO$1006,0))&gt;=100000), " ",IF(INDEX($AN$2:$BO$1001,MATCH(ROWS($AG$2:AG125),$AG$2:$AG$1001,0),MATCH(COLUMNS($AN$1006:AW1006),$AN$1006:$BO$1006,0)), HYPERLINK("#",""), HYPERLINK(CONCATENATE("#Metadata!", ADDRESS(INDEX($AI$2:$AI$1001,MATCH(ROWS($AG$2:AG125),$AG$2:$AG$1001,0),0), INDEX($AN$1004:$BO$1004,1,MATCH(COLUMNS($AN$1006:AW1006),$AN$1006:$BO$1006,0)))),"Fix")))</f>
        <v>0</v>
      </c>
      <c r="L125" s="4">
        <f>IF(OR(INDEX($AH$2:$AH$1001,MATCH(ROWS($AG$2:AG125),$AG$2:$AG$1001,0),1)&gt;=100000,INDEX($AN$1005:$BO$1005,1,MATCH(COLUMNS($AN$1006:AX1006),$AN$1006:$BO$1006,0))&gt;=100000), " ",IF(INDEX($AN$2:$BO$1001,MATCH(ROWS($AG$2:AG125),$AG$2:$AG$1001,0),MATCH(COLUMNS($AN$1006:AX1006),$AN$1006:$BO$1006,0)), HYPERLINK("#",""), HYPERLINK(CONCATENATE("#Metadata!", ADDRESS(INDEX($AI$2:$AI$1001,MATCH(ROWS($AG$2:AG125),$AG$2:$AG$1001,0),0), INDEX($AN$1004:$BO$1004,1,MATCH(COLUMNS($AN$1006:AX1006),$AN$1006:$BO$1006,0)))),"Fix")))</f>
        <v>0</v>
      </c>
      <c r="M125" s="4">
        <f>IF(OR(INDEX($AH$2:$AH$1001,MATCH(ROWS($AG$2:AG125),$AG$2:$AG$1001,0),1)&gt;=100000,INDEX($AN$1005:$BO$1005,1,MATCH(COLUMNS($AN$1006:AY1006),$AN$1006:$BO$1006,0))&gt;=100000), " ",IF(INDEX($AN$2:$BO$1001,MATCH(ROWS($AG$2:AG125),$AG$2:$AG$1001,0),MATCH(COLUMNS($AN$1006:AY1006),$AN$1006:$BO$1006,0)), HYPERLINK("#",""), HYPERLINK(CONCATENATE("#Metadata!", ADDRESS(INDEX($AI$2:$AI$1001,MATCH(ROWS($AG$2:AG125),$AG$2:$AG$1001,0),0), INDEX($AN$1004:$BO$1004,1,MATCH(COLUMNS($AN$1006:AY1006),$AN$1006:$BO$1006,0)))),"Fix")))</f>
        <v>0</v>
      </c>
      <c r="N125" s="4">
        <f>IF(OR(INDEX($AH$2:$AH$1001,MATCH(ROWS($AG$2:AG125),$AG$2:$AG$1001,0),1)&gt;=100000,INDEX($AN$1005:$BO$1005,1,MATCH(COLUMNS($AN$1006:AZ1006),$AN$1006:$BO$1006,0))&gt;=100000), " ",IF(INDEX($AN$2:$BO$1001,MATCH(ROWS($AG$2:AG125),$AG$2:$AG$1001,0),MATCH(COLUMNS($AN$1006:AZ1006),$AN$1006:$BO$1006,0)), HYPERLINK("#",""), HYPERLINK(CONCATENATE("#Metadata!", ADDRESS(INDEX($AI$2:$AI$1001,MATCH(ROWS($AG$2:AG125),$AG$2:$AG$1001,0),0), INDEX($AN$1004:$BO$1004,1,MATCH(COLUMNS($AN$1006:AZ1006),$AN$1006:$BO$1006,0)))),"Fix")))</f>
        <v>0</v>
      </c>
      <c r="O125" s="4">
        <f>IF(OR(INDEX($AH$2:$AH$1001,MATCH(ROWS($AG$2:AG125),$AG$2:$AG$1001,0),1)&gt;=100000,INDEX($AN$1005:$BO$1005,1,MATCH(COLUMNS($AN$1006:BA1006),$AN$1006:$BO$1006,0))&gt;=100000), " ",IF(INDEX($AN$2:$BO$1001,MATCH(ROWS($AG$2:AG125),$AG$2:$AG$1001,0),MATCH(COLUMNS($AN$1006:BA1006),$AN$1006:$BO$1006,0)), HYPERLINK("#",""), HYPERLINK(CONCATENATE("#Metadata!", ADDRESS(INDEX($AI$2:$AI$1001,MATCH(ROWS($AG$2:AG125),$AG$2:$AG$1001,0),0), INDEX($AN$1004:$BO$1004,1,MATCH(COLUMNS($AN$1006:BA1006),$AN$1006:$BO$1006,0)))),"Fix")))</f>
        <v>0</v>
      </c>
      <c r="P125" s="4">
        <f>IF(OR(INDEX($AH$2:$AH$1001,MATCH(ROWS($AG$2:AG125),$AG$2:$AG$1001,0),1)&gt;=100000,INDEX($AN$1005:$BO$1005,1,MATCH(COLUMNS($AN$1006:BB1006),$AN$1006:$BO$1006,0))&gt;=100000), " ",IF(INDEX($AN$2:$BO$1001,MATCH(ROWS($AG$2:AG125),$AG$2:$AG$1001,0),MATCH(COLUMNS($AN$1006:BB1006),$AN$1006:$BO$1006,0)), HYPERLINK("#",""), HYPERLINK(CONCATENATE("#Metadata!", ADDRESS(INDEX($AI$2:$AI$1001,MATCH(ROWS($AG$2:AG125),$AG$2:$AG$1001,0),0), INDEX($AN$1004:$BO$1004,1,MATCH(COLUMNS($AN$1006:BB1006),$AN$1006:$BO$1006,0)))),"Fix")))</f>
        <v>0</v>
      </c>
      <c r="Q125" s="4">
        <f>IF(OR(INDEX($AH$2:$AH$1001,MATCH(ROWS($AG$2:AG125),$AG$2:$AG$1001,0),1)&gt;=100000,INDEX($AN$1005:$BO$1005,1,MATCH(COLUMNS($AN$1006:BC1006),$AN$1006:$BO$1006,0))&gt;=100000), " ",IF(INDEX($AN$2:$BO$1001,MATCH(ROWS($AG$2:AG125),$AG$2:$AG$1001,0),MATCH(COLUMNS($AN$1006:BC1006),$AN$1006:$BO$1006,0)), HYPERLINK("#",""), HYPERLINK(CONCATENATE("#Metadata!", ADDRESS(INDEX($AI$2:$AI$1001,MATCH(ROWS($AG$2:AG125),$AG$2:$AG$1001,0),0), INDEX($AN$1004:$BO$1004,1,MATCH(COLUMNS($AN$1006:BC1006),$AN$1006:$BO$1006,0)))),"Fix")))</f>
        <v>0</v>
      </c>
      <c r="R125" s="4">
        <f>IF(OR(INDEX($AH$2:$AH$1001,MATCH(ROWS($AG$2:AG125),$AG$2:$AG$1001,0),1)&gt;=100000,INDEX($AN$1005:$BO$1005,1,MATCH(COLUMNS($AN$1006:BD1006),$AN$1006:$BO$1006,0))&gt;=100000), " ",IF(INDEX($AN$2:$BO$1001,MATCH(ROWS($AG$2:AG125),$AG$2:$AG$1001,0),MATCH(COLUMNS($AN$1006:BD1006),$AN$1006:$BO$1006,0)), HYPERLINK("#",""), HYPERLINK(CONCATENATE("#Metadata!", ADDRESS(INDEX($AI$2:$AI$1001,MATCH(ROWS($AG$2:AG125),$AG$2:$AG$1001,0),0), INDEX($AN$1004:$BO$1004,1,MATCH(COLUMNS($AN$1006:BD1006),$AN$1006:$BO$1006,0)))),"Fix")))</f>
        <v>0</v>
      </c>
      <c r="S125" s="4">
        <f>IF(OR(INDEX($AH$2:$AH$1001,MATCH(ROWS($AG$2:AG125),$AG$2:$AG$1001,0),1)&gt;=100000,INDEX($AN$1005:$BO$1005,1,MATCH(COLUMNS($AN$1006:BE1006),$AN$1006:$BO$1006,0))&gt;=100000), " ",IF(INDEX($AN$2:$BO$1001,MATCH(ROWS($AG$2:AG125),$AG$2:$AG$1001,0),MATCH(COLUMNS($AN$1006:BE1006),$AN$1006:$BO$1006,0)), HYPERLINK("#",""), HYPERLINK(CONCATENATE("#Metadata!", ADDRESS(INDEX($AI$2:$AI$1001,MATCH(ROWS($AG$2:AG125),$AG$2:$AG$1001,0),0), INDEX($AN$1004:$BO$1004,1,MATCH(COLUMNS($AN$1006:BE1006),$AN$1006:$BO$1006,0)))),"Fix")))</f>
        <v>0</v>
      </c>
      <c r="T125" s="4">
        <f>IF(OR(INDEX($AH$2:$AH$1001,MATCH(ROWS($AG$2:AG125),$AG$2:$AG$1001,0),1)&gt;=100000,INDEX($AN$1005:$BO$1005,1,MATCH(COLUMNS($AN$1006:BF1006),$AN$1006:$BO$1006,0))&gt;=100000), " ",IF(INDEX($AN$2:$BO$1001,MATCH(ROWS($AG$2:AG125),$AG$2:$AG$1001,0),MATCH(COLUMNS($AN$1006:BF1006),$AN$1006:$BO$1006,0)), HYPERLINK("#",""), HYPERLINK(CONCATENATE("#Metadata!", ADDRESS(INDEX($AI$2:$AI$1001,MATCH(ROWS($AG$2:AG125),$AG$2:$AG$1001,0),0), INDEX($AN$1004:$BO$1004,1,MATCH(COLUMNS($AN$1006:BF1006),$AN$1006:$BO$1006,0)))),"Fix")))</f>
        <v>0</v>
      </c>
      <c r="U125" s="4">
        <f>IF(OR(INDEX($AH$2:$AH$1001,MATCH(ROWS($AG$2:AG125),$AG$2:$AG$1001,0),1)&gt;=100000,INDEX($AN$1005:$BO$1005,1,MATCH(COLUMNS($AN$1006:BG1006),$AN$1006:$BO$1006,0))&gt;=100000), " ",IF(INDEX($AN$2:$BO$1001,MATCH(ROWS($AG$2:AG125),$AG$2:$AG$1001,0),MATCH(COLUMNS($AN$1006:BG1006),$AN$1006:$BO$1006,0)), HYPERLINK("#",""), HYPERLINK(CONCATENATE("#Metadata!", ADDRESS(INDEX($AI$2:$AI$1001,MATCH(ROWS($AG$2:AG125),$AG$2:$AG$1001,0),0), INDEX($AN$1004:$BO$1004,1,MATCH(COLUMNS($AN$1006:BG1006),$AN$1006:$BO$1006,0)))),"Fix")))</f>
        <v>0</v>
      </c>
      <c r="V125" s="4">
        <f>IF(OR(INDEX($AH$2:$AH$1001,MATCH(ROWS($AG$2:AG125),$AG$2:$AG$1001,0),1)&gt;=100000,INDEX($AN$1005:$BO$1005,1,MATCH(COLUMNS($AN$1006:BH1006),$AN$1006:$BO$1006,0))&gt;=100000), " ",IF(INDEX($AN$2:$BO$1001,MATCH(ROWS($AG$2:AG125),$AG$2:$AG$1001,0),MATCH(COLUMNS($AN$1006:BH1006),$AN$1006:$BO$1006,0)), HYPERLINK("#",""), HYPERLINK(CONCATENATE("#Metadata!", ADDRESS(INDEX($AI$2:$AI$1001,MATCH(ROWS($AG$2:AG125),$AG$2:$AG$1001,0),0), INDEX($AN$1004:$BO$1004,1,MATCH(COLUMNS($AN$1006:BH1006),$AN$1006:$BO$1006,0)))),"Fix")))</f>
        <v>0</v>
      </c>
      <c r="W125" s="4">
        <f>IF(OR(INDEX($AH$2:$AH$1001,MATCH(ROWS($AG$2:AG125),$AG$2:$AG$1001,0),1)&gt;=100000,INDEX($AN$1005:$BO$1005,1,MATCH(COLUMNS($AN$1006:BI1006),$AN$1006:$BO$1006,0))&gt;=100000), " ",IF(INDEX($AN$2:$BO$1001,MATCH(ROWS($AG$2:AG125),$AG$2:$AG$1001,0),MATCH(COLUMNS($AN$1006:BI1006),$AN$1006:$BO$1006,0)), HYPERLINK("#",""), HYPERLINK(CONCATENATE("#Metadata!", ADDRESS(INDEX($AI$2:$AI$1001,MATCH(ROWS($AG$2:AG125),$AG$2:$AG$1001,0),0), INDEX($AN$1004:$BO$1004,1,MATCH(COLUMNS($AN$1006:BI1006),$AN$1006:$BO$1006,0)))),"Fix")))</f>
        <v>0</v>
      </c>
      <c r="X125" s="4">
        <f>IF(OR(INDEX($AH$2:$AH$1001,MATCH(ROWS($AG$2:AG125),$AG$2:$AG$1001,0),1)&gt;=100000,INDEX($AN$1005:$BO$1005,1,MATCH(COLUMNS($AN$1006:BJ1006),$AN$1006:$BO$1006,0))&gt;=100000), " ",IF(INDEX($AN$2:$BO$1001,MATCH(ROWS($AG$2:AG125),$AG$2:$AG$1001,0),MATCH(COLUMNS($AN$1006:BJ1006),$AN$1006:$BO$1006,0)), HYPERLINK("#",""), HYPERLINK(CONCATENATE("#Metadata!", ADDRESS(INDEX($AI$2:$AI$1001,MATCH(ROWS($AG$2:AG125),$AG$2:$AG$1001,0),0), INDEX($AN$1004:$BO$1004,1,MATCH(COLUMNS($AN$1006:BJ1006),$AN$1006:$BO$1006,0)))),"Fix")))</f>
        <v>0</v>
      </c>
      <c r="Y125" s="4">
        <f>IF(OR(INDEX($AH$2:$AH$1001,MATCH(ROWS($AG$2:AG125),$AG$2:$AG$1001,0),1)&gt;=100000,INDEX($AN$1005:$BO$1005,1,MATCH(COLUMNS($AN$1006:BK1006),$AN$1006:$BO$1006,0))&gt;=100000), " ",IF(INDEX($AN$2:$BO$1001,MATCH(ROWS($AG$2:AG125),$AG$2:$AG$1001,0),MATCH(COLUMNS($AN$1006:BK1006),$AN$1006:$BO$1006,0)), HYPERLINK("#",""), HYPERLINK(CONCATENATE("#Metadata!", ADDRESS(INDEX($AI$2:$AI$1001,MATCH(ROWS($AG$2:AG125),$AG$2:$AG$1001,0),0), INDEX($AN$1004:$BO$1004,1,MATCH(COLUMNS($AN$1006:BK1006),$AN$1006:$BO$1006,0)))),"Fix")))</f>
        <v>0</v>
      </c>
      <c r="Z125" s="4">
        <f>IF(OR(INDEX($AH$2:$AH$1001,MATCH(ROWS($AG$2:AG125),$AG$2:$AG$1001,0),1)&gt;=100000,INDEX($AN$1005:$BO$1005,1,MATCH(COLUMNS($AN$1006:BL1006),$AN$1006:$BO$1006,0))&gt;=100000), " ",IF(INDEX($AN$2:$BO$1001,MATCH(ROWS($AG$2:AG125),$AG$2:$AG$1001,0),MATCH(COLUMNS($AN$1006:BL1006),$AN$1006:$BO$1006,0)), HYPERLINK("#",""), HYPERLINK(CONCATENATE("#Metadata!", ADDRESS(INDEX($AI$2:$AI$1001,MATCH(ROWS($AG$2:AG125),$AG$2:$AG$1001,0),0), INDEX($AN$1004:$BO$1004,1,MATCH(COLUMNS($AN$1006:BL1006),$AN$1006:$BO$1006,0)))),"Fix")))</f>
        <v>0</v>
      </c>
      <c r="AA125" s="4">
        <f>IF(OR(INDEX($AH$2:$AH$1001,MATCH(ROWS($AG$2:AG125),$AG$2:$AG$1001,0),1)&gt;=100000,INDEX($AN$1005:$BO$1005,1,MATCH(COLUMNS($AN$1006:BM1006),$AN$1006:$BO$1006,0))&gt;=100000), " ",IF(INDEX($AN$2:$BO$1001,MATCH(ROWS($AG$2:AG125),$AG$2:$AG$1001,0),MATCH(COLUMNS($AN$1006:BM1006),$AN$1006:$BO$1006,0)), HYPERLINK("#",""), HYPERLINK(CONCATENATE("#Metadata!", ADDRESS(INDEX($AI$2:$AI$1001,MATCH(ROWS($AG$2:AG125),$AG$2:$AG$1001,0),0), INDEX($AN$1004:$BO$1004,1,MATCH(COLUMNS($AN$1006:BM1006),$AN$1006:$BO$1006,0)))),"Fix")))</f>
        <v>0</v>
      </c>
      <c r="AB125" s="4">
        <f>IF(OR(INDEX($AH$2:$AH$1001,MATCH(ROWS($AG$2:AG125),$AG$2:$AG$1001,0),1)&gt;=100000,INDEX($AN$1005:$BO$1005,1,MATCH(COLUMNS($AN$1006:BN1006),$AN$1006:$BO$1006,0))&gt;=100000), " ",IF(INDEX($AN$2:$BO$1001,MATCH(ROWS($AG$2:AG125),$AG$2:$AG$1001,0),MATCH(COLUMNS($AN$1006:BN1006),$AN$1006:$BO$1006,0)), HYPERLINK("#",""), HYPERLINK(CONCATENATE("#Metadata!", ADDRESS(INDEX($AI$2:$AI$1001,MATCH(ROWS($AG$2:AG125),$AG$2:$AG$1001,0),0), INDEX($AN$1004:$BO$1004,1,MATCH(COLUMNS($AN$1006:BN1006),$AN$1006:$BO$1006,0)))),"Fix")))</f>
        <v>0</v>
      </c>
      <c r="AC125" s="4">
        <f>IF(OR(INDEX($AH$2:$AH$1001,MATCH(ROWS($AG$2:AG125),$AG$2:$AG$1001,0),1)&gt;=100000,INDEX($AN$1005:$BO$1005,1,MATCH(COLUMNS($AN$1006:BO1006),$AN$1006:$BO$1006,0))&gt;=100000), " ",IF(INDEX($AN$2:$BO$1001,MATCH(ROWS($AG$2:AG125),$AG$2:$AG$1001,0),MATCH(COLUMNS($AN$1006:BO1006),$AN$1006:$BO$1006,0)), HYPERLINK("#",""), HYPERLINK(CONCATENATE("#Metadata!", ADDRESS(INDEX($AI$2:$AI$1001,MATCH(ROWS($AG$2:AG125),$AG$2:$AG$1001,0),0), INDEX($AN$1004:$BO$1004,1,MATCH(COLUMNS($AN$1006:BO1006),$AN$1006:$BO$1006,0)))),"Fix")))</f>
        <v>0</v>
      </c>
      <c r="AG125">
        <v>0</v>
      </c>
      <c r="AH125">
        <v>0</v>
      </c>
      <c r="AI125">
        <v>0</v>
      </c>
      <c r="AJ125">
        <f>IF(AK125,TRUE,AND(AN125:BO125))</f>
        <v>0</v>
      </c>
      <c r="AK125">
        <f>COUNTBLANK(Metadata!B125:AC125)=COLUMNS(Metadata!B125:AC125)</f>
        <v>0</v>
      </c>
      <c r="AL125">
        <v>0</v>
      </c>
      <c r="AN125">
        <f>AND(IF(Metadata!B125="",FALSE,TRUE),COUNTIF(Metadata!B:B, Metadata!B125) = 1,NOT(ISERROR(SUMPRODUCT(SEARCH(MID(Metadata!B125,ROW(INDIRECT("1:"&amp;LEN(Metadata!B125))), 1),"0123456789abcdefghijklmnopqrstuvwxyzABCDEFGHIJKLMNOPQRSTUVWXYZ.")))))</f>
        <v>0</v>
      </c>
      <c r="AO125">
        <f>IF(Metadata!C125="",FALSE,TRUE)</f>
        <v>0</v>
      </c>
      <c r="AP125">
        <f>IF(Metadata!D125="",FALSE,TRUE)</f>
        <v>0</v>
      </c>
      <c r="AQ125">
        <f>OR(AND(IF(Metadata!E125="",FALSE,TRUE),OR(exact(Metadata!E125,"not collected"),exact(Metadata!E125,"not provided"),exact(Metadata!E125,"restricted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R125">
        <f>IF(Metadata!F125="",FALSE,TRUE)</f>
        <v>0</v>
      </c>
      <c r="AS125">
        <f>OR(AND(IF(Metadata!G125="",FALSE,TRUE),OR(exact(Metadata!G125,"not collected"),exact(Metadata!G125,"not provided"))),AND(IF(Metadata!G125="",FALSE,TRUE),OR(exact(Metadata!G125,"TRUE"),exact(Metadata!G125,"FALSE"))))</f>
        <v>0</v>
      </c>
      <c r="AT125">
        <f>OR(AND(IF(Metadata!H125="",FALSE,TRUE),OR(exact(Metadata!H125,"not collected"),exact(Metadata!H125,"not provided"),exact(Metadata!H125,"restricted access"))),AND(IF(Metadata!H125="",FALSE,ISNUMBER(VALUE(Metadata!H125))),Metadata!H125&gt;=-413.0))</f>
        <v>0</v>
      </c>
      <c r="AU125">
        <f>AND(IF(Metadata!I125="",FALSE,TRUE),exact(Metadata!I125,"meters"))</f>
        <v>0</v>
      </c>
      <c r="AV125">
        <f>AND(IF(Metadata!J125="",FALSE,TRUE),OR(exact(Metadata!J125,"Host-associated"),exact(Metadata!J125,"Free-living")))</f>
        <v>0</v>
      </c>
      <c r="AW125">
        <f>AND(IF(Metadata!K125="",FALSE,TRUE),OR(exact(Metadata!K125,"Animal"),exact(Metadata!K125,"Fungus"),exact(Metadata!K125,"Plant"),exact(Metadata!K125,"Saline"),exact(Metadata!K125,"Non-saline")))</f>
        <v>0</v>
      </c>
      <c r="AX125">
        <f>AND(IF(Metadata!L125="",FALSE,TRUE),OR(exact(Metadata!L125,"Plant secretion"),exact(Metadata!L125,"Plant rhizosphere"),exact(Metadata!L125,"Plant surface"),exact(Metadata!L125,"Plant corpus"),exact(Metadata!L125,"Fungus surface"),exact(Metadata!L125,"Fungus corpus"),exact(Metadata!L125,"Animal surface"),exact(Metadata!L125,"Animal proximal gut"),exact(Metadata!L125,"Animal corpus"),exact(Metadata!L125,"Animal distal gut"),exact(Metadata!L125,"Animal secretion"),exact(Metadata!L125,"Sub-surface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Y125">
        <f>IF(Metadata!M125="",FALSE,TRUE)</f>
        <v>0</v>
      </c>
      <c r="AZ125">
        <f>IF(Metadata!N125="",FALSE,TRUE)</f>
        <v>0</v>
      </c>
      <c r="BA125">
        <f>IF(Metadata!O125="",FALSE,TRUE)</f>
        <v>0</v>
      </c>
      <c r="BB125">
        <f>OR(AND(IF(Metadata!P125="",FALSE,TRUE),OR(exact(Metadata!P125,"not collected"),exact(Metadata!P125,"not provided"),exact(Metadata!P125,"restricted access"))),AND(IF(Metadata!P125="",FALSE,TRUE),OR(exact(Metadata!P125,"air"),exact(Metadata!P125,"built environment"),exact(Metadata!P125,"host-associated"),exact(Metadata!P125,"human-associated"),exact(Metadata!P125,"human-skin"),exact(Metadata!P125,"human-oral"),exact(Metadata!P125,"human-gut"),exact(Metadata!P125,"human-vaginal"),exact(Metadata!P125,"microbial mat/biofilm"),exact(Metadata!P125,"misc environment"),exact(Metadata!P125,"plant-associated"),exact(Metadata!P125,"sediment"),exact(Metadata!P125,"soil"),exact(Metadata!P125,"wastewater/sludge"),exact(Metadata!P125,"water"))))</f>
        <v>0</v>
      </c>
      <c r="BC125">
        <f>IF(Metadata!Q125="",FALSE,TRUE)</f>
        <v>0</v>
      </c>
      <c r="BD125">
        <f>IF(Metadata!R125="",FALSE,TRUE)</f>
        <v>0</v>
      </c>
      <c r="BE125">
        <f>OR(AND(IF(Metadata!S125="",FALSE,TRUE),OR(exact(Metadata!S125,"not collected"),exact(Metadata!S125,"not provided"),exact(Metadata!S125,"restricted access"))),AND(IF(Metadata!S125="",FALSE,ISNUMBER(VALUE(Metadata!S125))),Metadata!S125&gt;=-90.00,Metadata!S125&lt;=90.00))</f>
        <v>0</v>
      </c>
      <c r="BF125">
        <f>AND(IF(Metadata!T125="",FALSE,TRUE),exact(Metadata!T125,"Decimal degrees"))</f>
        <v>0</v>
      </c>
      <c r="BG125">
        <f>OR(AND(IF(Metadata!U125="",FALSE,TRUE),OR(exact(Metadata!U125,"not collected"),exact(Metadata!U125,"not provided"),exact(Metadata!U125,"restricted access"))),AND(IF(Metadata!U125="",FALSE,ISNUMBER(VALUE(Metadata!U125))),Metadata!U125&gt;=-180.00,Metadata!U125&lt;=180.00))</f>
        <v>0</v>
      </c>
      <c r="BH125">
        <f>AND(IF(Metadata!V125="",FALSE,TRUE),exact(Metadata!V125,"Decimal degrees"))</f>
        <v>0</v>
      </c>
      <c r="BI125">
        <f>IF(Metadata!W125="",FALSE,TRUE)</f>
        <v>0</v>
      </c>
      <c r="BJ125">
        <f>OR(AND(IF(Metadata!X125="",FALSE,TRUE),OR(exact(Metadata!X125,"not collected"),exact(Metadata!X125,"not provided"),exact(Metadata!X125,"restricted access"))),AND(IF(Metadata!X125="",FALSE,TRUE),OR(exact(Metadata!X125,"TRUE"),exact(Metadata!X125,"FALSE"))))</f>
        <v>0</v>
      </c>
      <c r="BK125">
        <f>AND(IF(Metadata!Y125="",FALSE,TRUE),exact(Metadata!Y125,"other"))</f>
        <v>0</v>
      </c>
      <c r="BL125">
        <f>IF(Metadata!Z125="",FALSE,TRUE)</f>
        <v>0</v>
      </c>
      <c r="BM125">
        <f>OR(AND(IF(Metadata!AA125="",FALSE,TRUE),OR(exact(Metadata!AA125,"not collected"),exact(Metadata!AA125,"not provided"))),AND(IF(Metadata!AA125="",FALSE,IF(ISERROR(INT(Metadata!AA125)),FALSE,INT(Metadata!AA125)=Metadata!AA125)),Metadata!AA125&gt;0))</f>
        <v>0</v>
      </c>
      <c r="BN125">
        <f>AND(IF(Metadata!AB125="",FALSE,TRUE),exact(Metadata!AB125,"Not applicable"))</f>
        <v>0</v>
      </c>
      <c r="BO125">
        <f>IF(Metadata!AC125="",FALSE,TRUE)</f>
        <v>0</v>
      </c>
    </row>
    <row r="126" spans="1:67">
      <c r="A126" s="5">
        <f>IF(B126=" "," ",HYPERLINK(CONCATENATE("#metadata!",ADDRESS(INDEX($AI$2:$AI$1001,MATCH(ROWS($AG$2:AG126),$AG$2:$AG$1001,0),0),1)),INDEX($AL$2:$AL$1001,MATCH(ROWS($AG$2:AG126),$AG$2:$AG$1001,0),0)))</f>
        <v>0</v>
      </c>
      <c r="B126" s="4">
        <f>IF(OR(INDEX($AH$2:$AH$1001,MATCH(ROWS($AG$2:AG126),$AG$2:$AG$1001,0),1)&gt;=100000,INDEX($AN$1005:$BO$1005,1,MATCH(COLUMNS($AN$1006:AN1006),$AN$1006:$BO$1006,0))&gt;=100000), " ",IF(INDEX($AN$2:$BO$1001,MATCH(ROWS($AG$2:AG126),$AG$2:$AG$1001,0),MATCH(COLUMNS($AN$1006:AN1006),$AN$1006:$BO$1006,0)), HYPERLINK("#",""), HYPERLINK(CONCATENATE("#Metadata!", ADDRESS(INDEX($AI$2:$AI$1001,MATCH(ROWS($AG$2:AG126),$AG$2:$AG$1001,0),0), INDEX($AN$1004:$BO$1004,1,MATCH(COLUMNS($AN$1006:AN1006),$AN$1006:$BO$1006,0)))),"Fix")))</f>
        <v>0</v>
      </c>
      <c r="C126" s="4">
        <f>IF(OR(INDEX($AH$2:$AH$1001,MATCH(ROWS($AG$2:AG126),$AG$2:$AG$1001,0),1)&gt;=100000,INDEX($AN$1005:$BO$1005,1,MATCH(COLUMNS($AN$1006:AO1006),$AN$1006:$BO$1006,0))&gt;=100000), " ",IF(INDEX($AN$2:$BO$1001,MATCH(ROWS($AG$2:AG126),$AG$2:$AG$1001,0),MATCH(COLUMNS($AN$1006:AO1006),$AN$1006:$BO$1006,0)), HYPERLINK("#",""), HYPERLINK(CONCATENATE("#Metadata!", ADDRESS(INDEX($AI$2:$AI$1001,MATCH(ROWS($AG$2:AG126),$AG$2:$AG$1001,0),0), INDEX($AN$1004:$BO$1004,1,MATCH(COLUMNS($AN$1006:AO1006),$AN$1006:$BO$1006,0)))),"Fix")))</f>
        <v>0</v>
      </c>
      <c r="D126" s="4">
        <f>IF(OR(INDEX($AH$2:$AH$1001,MATCH(ROWS($AG$2:AG126),$AG$2:$AG$1001,0),1)&gt;=100000,INDEX($AN$1005:$BO$1005,1,MATCH(COLUMNS($AN$1006:AP1006),$AN$1006:$BO$1006,0))&gt;=100000), " ",IF(INDEX($AN$2:$BO$1001,MATCH(ROWS($AG$2:AG126),$AG$2:$AG$1001,0),MATCH(COLUMNS($AN$1006:AP1006),$AN$1006:$BO$1006,0)), HYPERLINK("#",""), HYPERLINK(CONCATENATE("#Metadata!", ADDRESS(INDEX($AI$2:$AI$1001,MATCH(ROWS($AG$2:AG126),$AG$2:$AG$1001,0),0), INDEX($AN$1004:$BO$1004,1,MATCH(COLUMNS($AN$1006:AP1006),$AN$1006:$BO$1006,0)))),"Fix")))</f>
        <v>0</v>
      </c>
      <c r="E126" s="4">
        <f>IF(OR(INDEX($AH$2:$AH$1001,MATCH(ROWS($AG$2:AG126),$AG$2:$AG$1001,0),1)&gt;=100000,INDEX($AN$1005:$BO$1005,1,MATCH(COLUMNS($AN$1006:AQ1006),$AN$1006:$BO$1006,0))&gt;=100000), " ",IF(INDEX($AN$2:$BO$1001,MATCH(ROWS($AG$2:AG126),$AG$2:$AG$1001,0),MATCH(COLUMNS($AN$1006:AQ1006),$AN$1006:$BO$1006,0)), HYPERLINK("#",""), HYPERLINK(CONCATENATE("#Metadata!", ADDRESS(INDEX($AI$2:$AI$1001,MATCH(ROWS($AG$2:AG126),$AG$2:$AG$1001,0),0), INDEX($AN$1004:$BO$1004,1,MATCH(COLUMNS($AN$1006:AQ1006),$AN$1006:$BO$1006,0)))),"Fix")))</f>
        <v>0</v>
      </c>
      <c r="F126" s="4">
        <f>IF(OR(INDEX($AH$2:$AH$1001,MATCH(ROWS($AG$2:AG126),$AG$2:$AG$1001,0),1)&gt;=100000,INDEX($AN$1005:$BO$1005,1,MATCH(COLUMNS($AN$1006:AR1006),$AN$1006:$BO$1006,0))&gt;=100000), " ",IF(INDEX($AN$2:$BO$1001,MATCH(ROWS($AG$2:AG126),$AG$2:$AG$1001,0),MATCH(COLUMNS($AN$1006:AR1006),$AN$1006:$BO$1006,0)), HYPERLINK("#",""), HYPERLINK(CONCATENATE("#Metadata!", ADDRESS(INDEX($AI$2:$AI$1001,MATCH(ROWS($AG$2:AG126),$AG$2:$AG$1001,0),0), INDEX($AN$1004:$BO$1004,1,MATCH(COLUMNS($AN$1006:AR1006),$AN$1006:$BO$1006,0)))),"Fix")))</f>
        <v>0</v>
      </c>
      <c r="G126" s="4">
        <f>IF(OR(INDEX($AH$2:$AH$1001,MATCH(ROWS($AG$2:AG126),$AG$2:$AG$1001,0),1)&gt;=100000,INDEX($AN$1005:$BO$1005,1,MATCH(COLUMNS($AN$1006:AS1006),$AN$1006:$BO$1006,0))&gt;=100000), " ",IF(INDEX($AN$2:$BO$1001,MATCH(ROWS($AG$2:AG126),$AG$2:$AG$1001,0),MATCH(COLUMNS($AN$1006:AS1006),$AN$1006:$BO$1006,0)), HYPERLINK("#",""), HYPERLINK(CONCATENATE("#Metadata!", ADDRESS(INDEX($AI$2:$AI$1001,MATCH(ROWS($AG$2:AG126),$AG$2:$AG$1001,0),0), INDEX($AN$1004:$BO$1004,1,MATCH(COLUMNS($AN$1006:AS1006),$AN$1006:$BO$1006,0)))),"Fix")))</f>
        <v>0</v>
      </c>
      <c r="H126" s="4">
        <f>IF(OR(INDEX($AH$2:$AH$1001,MATCH(ROWS($AG$2:AG126),$AG$2:$AG$1001,0),1)&gt;=100000,INDEX($AN$1005:$BO$1005,1,MATCH(COLUMNS($AN$1006:AT1006),$AN$1006:$BO$1006,0))&gt;=100000), " ",IF(INDEX($AN$2:$BO$1001,MATCH(ROWS($AG$2:AG126),$AG$2:$AG$1001,0),MATCH(COLUMNS($AN$1006:AT1006),$AN$1006:$BO$1006,0)), HYPERLINK("#",""), HYPERLINK(CONCATENATE("#Metadata!", ADDRESS(INDEX($AI$2:$AI$1001,MATCH(ROWS($AG$2:AG126),$AG$2:$AG$1001,0),0), INDEX($AN$1004:$BO$1004,1,MATCH(COLUMNS($AN$1006:AT1006),$AN$1006:$BO$1006,0)))),"Fix")))</f>
        <v>0</v>
      </c>
      <c r="I126" s="4">
        <f>IF(OR(INDEX($AH$2:$AH$1001,MATCH(ROWS($AG$2:AG126),$AG$2:$AG$1001,0),1)&gt;=100000,INDEX($AN$1005:$BO$1005,1,MATCH(COLUMNS($AN$1006:AU1006),$AN$1006:$BO$1006,0))&gt;=100000), " ",IF(INDEX($AN$2:$BO$1001,MATCH(ROWS($AG$2:AG126),$AG$2:$AG$1001,0),MATCH(COLUMNS($AN$1006:AU1006),$AN$1006:$BO$1006,0)), HYPERLINK("#",""), HYPERLINK(CONCATENATE("#Metadata!", ADDRESS(INDEX($AI$2:$AI$1001,MATCH(ROWS($AG$2:AG126),$AG$2:$AG$1001,0),0), INDEX($AN$1004:$BO$1004,1,MATCH(COLUMNS($AN$1006:AU1006),$AN$1006:$BO$1006,0)))),"Fix")))</f>
        <v>0</v>
      </c>
      <c r="J126" s="4">
        <f>IF(OR(INDEX($AH$2:$AH$1001,MATCH(ROWS($AG$2:AG126),$AG$2:$AG$1001,0),1)&gt;=100000,INDEX($AN$1005:$BO$1005,1,MATCH(COLUMNS($AN$1006:AV1006),$AN$1006:$BO$1006,0))&gt;=100000), " ",IF(INDEX($AN$2:$BO$1001,MATCH(ROWS($AG$2:AG126),$AG$2:$AG$1001,0),MATCH(COLUMNS($AN$1006:AV1006),$AN$1006:$BO$1006,0)), HYPERLINK("#",""), HYPERLINK(CONCATENATE("#Metadata!", ADDRESS(INDEX($AI$2:$AI$1001,MATCH(ROWS($AG$2:AG126),$AG$2:$AG$1001,0),0), INDEX($AN$1004:$BO$1004,1,MATCH(COLUMNS($AN$1006:AV1006),$AN$1006:$BO$1006,0)))),"Fix")))</f>
        <v>0</v>
      </c>
      <c r="K126" s="4">
        <f>IF(OR(INDEX($AH$2:$AH$1001,MATCH(ROWS($AG$2:AG126),$AG$2:$AG$1001,0),1)&gt;=100000,INDEX($AN$1005:$BO$1005,1,MATCH(COLUMNS($AN$1006:AW1006),$AN$1006:$BO$1006,0))&gt;=100000), " ",IF(INDEX($AN$2:$BO$1001,MATCH(ROWS($AG$2:AG126),$AG$2:$AG$1001,0),MATCH(COLUMNS($AN$1006:AW1006),$AN$1006:$BO$1006,0)), HYPERLINK("#",""), HYPERLINK(CONCATENATE("#Metadata!", ADDRESS(INDEX($AI$2:$AI$1001,MATCH(ROWS($AG$2:AG126),$AG$2:$AG$1001,0),0), INDEX($AN$1004:$BO$1004,1,MATCH(COLUMNS($AN$1006:AW1006),$AN$1006:$BO$1006,0)))),"Fix")))</f>
        <v>0</v>
      </c>
      <c r="L126" s="4">
        <f>IF(OR(INDEX($AH$2:$AH$1001,MATCH(ROWS($AG$2:AG126),$AG$2:$AG$1001,0),1)&gt;=100000,INDEX($AN$1005:$BO$1005,1,MATCH(COLUMNS($AN$1006:AX1006),$AN$1006:$BO$1006,0))&gt;=100000), " ",IF(INDEX($AN$2:$BO$1001,MATCH(ROWS($AG$2:AG126),$AG$2:$AG$1001,0),MATCH(COLUMNS($AN$1006:AX1006),$AN$1006:$BO$1006,0)), HYPERLINK("#",""), HYPERLINK(CONCATENATE("#Metadata!", ADDRESS(INDEX($AI$2:$AI$1001,MATCH(ROWS($AG$2:AG126),$AG$2:$AG$1001,0),0), INDEX($AN$1004:$BO$1004,1,MATCH(COLUMNS($AN$1006:AX1006),$AN$1006:$BO$1006,0)))),"Fix")))</f>
        <v>0</v>
      </c>
      <c r="M126" s="4">
        <f>IF(OR(INDEX($AH$2:$AH$1001,MATCH(ROWS($AG$2:AG126),$AG$2:$AG$1001,0),1)&gt;=100000,INDEX($AN$1005:$BO$1005,1,MATCH(COLUMNS($AN$1006:AY1006),$AN$1006:$BO$1006,0))&gt;=100000), " ",IF(INDEX($AN$2:$BO$1001,MATCH(ROWS($AG$2:AG126),$AG$2:$AG$1001,0),MATCH(COLUMNS($AN$1006:AY1006),$AN$1006:$BO$1006,0)), HYPERLINK("#",""), HYPERLINK(CONCATENATE("#Metadata!", ADDRESS(INDEX($AI$2:$AI$1001,MATCH(ROWS($AG$2:AG126),$AG$2:$AG$1001,0),0), INDEX($AN$1004:$BO$1004,1,MATCH(COLUMNS($AN$1006:AY1006),$AN$1006:$BO$1006,0)))),"Fix")))</f>
        <v>0</v>
      </c>
      <c r="N126" s="4">
        <f>IF(OR(INDEX($AH$2:$AH$1001,MATCH(ROWS($AG$2:AG126),$AG$2:$AG$1001,0),1)&gt;=100000,INDEX($AN$1005:$BO$1005,1,MATCH(COLUMNS($AN$1006:AZ1006),$AN$1006:$BO$1006,0))&gt;=100000), " ",IF(INDEX($AN$2:$BO$1001,MATCH(ROWS($AG$2:AG126),$AG$2:$AG$1001,0),MATCH(COLUMNS($AN$1006:AZ1006),$AN$1006:$BO$1006,0)), HYPERLINK("#",""), HYPERLINK(CONCATENATE("#Metadata!", ADDRESS(INDEX($AI$2:$AI$1001,MATCH(ROWS($AG$2:AG126),$AG$2:$AG$1001,0),0), INDEX($AN$1004:$BO$1004,1,MATCH(COLUMNS($AN$1006:AZ1006),$AN$1006:$BO$1006,0)))),"Fix")))</f>
        <v>0</v>
      </c>
      <c r="O126" s="4">
        <f>IF(OR(INDEX($AH$2:$AH$1001,MATCH(ROWS($AG$2:AG126),$AG$2:$AG$1001,0),1)&gt;=100000,INDEX($AN$1005:$BO$1005,1,MATCH(COLUMNS($AN$1006:BA1006),$AN$1006:$BO$1006,0))&gt;=100000), " ",IF(INDEX($AN$2:$BO$1001,MATCH(ROWS($AG$2:AG126),$AG$2:$AG$1001,0),MATCH(COLUMNS($AN$1006:BA1006),$AN$1006:$BO$1006,0)), HYPERLINK("#",""), HYPERLINK(CONCATENATE("#Metadata!", ADDRESS(INDEX($AI$2:$AI$1001,MATCH(ROWS($AG$2:AG126),$AG$2:$AG$1001,0),0), INDEX($AN$1004:$BO$1004,1,MATCH(COLUMNS($AN$1006:BA1006),$AN$1006:$BO$1006,0)))),"Fix")))</f>
        <v>0</v>
      </c>
      <c r="P126" s="4">
        <f>IF(OR(INDEX($AH$2:$AH$1001,MATCH(ROWS($AG$2:AG126),$AG$2:$AG$1001,0),1)&gt;=100000,INDEX($AN$1005:$BO$1005,1,MATCH(COLUMNS($AN$1006:BB1006),$AN$1006:$BO$1006,0))&gt;=100000), " ",IF(INDEX($AN$2:$BO$1001,MATCH(ROWS($AG$2:AG126),$AG$2:$AG$1001,0),MATCH(COLUMNS($AN$1006:BB1006),$AN$1006:$BO$1006,0)), HYPERLINK("#",""), HYPERLINK(CONCATENATE("#Metadata!", ADDRESS(INDEX($AI$2:$AI$1001,MATCH(ROWS($AG$2:AG126),$AG$2:$AG$1001,0),0), INDEX($AN$1004:$BO$1004,1,MATCH(COLUMNS($AN$1006:BB1006),$AN$1006:$BO$1006,0)))),"Fix")))</f>
        <v>0</v>
      </c>
      <c r="Q126" s="4">
        <f>IF(OR(INDEX($AH$2:$AH$1001,MATCH(ROWS($AG$2:AG126),$AG$2:$AG$1001,0),1)&gt;=100000,INDEX($AN$1005:$BO$1005,1,MATCH(COLUMNS($AN$1006:BC1006),$AN$1006:$BO$1006,0))&gt;=100000), " ",IF(INDEX($AN$2:$BO$1001,MATCH(ROWS($AG$2:AG126),$AG$2:$AG$1001,0),MATCH(COLUMNS($AN$1006:BC1006),$AN$1006:$BO$1006,0)), HYPERLINK("#",""), HYPERLINK(CONCATENATE("#Metadata!", ADDRESS(INDEX($AI$2:$AI$1001,MATCH(ROWS($AG$2:AG126),$AG$2:$AG$1001,0),0), INDEX($AN$1004:$BO$1004,1,MATCH(COLUMNS($AN$1006:BC1006),$AN$1006:$BO$1006,0)))),"Fix")))</f>
        <v>0</v>
      </c>
      <c r="R126" s="4">
        <f>IF(OR(INDEX($AH$2:$AH$1001,MATCH(ROWS($AG$2:AG126),$AG$2:$AG$1001,0),1)&gt;=100000,INDEX($AN$1005:$BO$1005,1,MATCH(COLUMNS($AN$1006:BD1006),$AN$1006:$BO$1006,0))&gt;=100000), " ",IF(INDEX($AN$2:$BO$1001,MATCH(ROWS($AG$2:AG126),$AG$2:$AG$1001,0),MATCH(COLUMNS($AN$1006:BD1006),$AN$1006:$BO$1006,0)), HYPERLINK("#",""), HYPERLINK(CONCATENATE("#Metadata!", ADDRESS(INDEX($AI$2:$AI$1001,MATCH(ROWS($AG$2:AG126),$AG$2:$AG$1001,0),0), INDEX($AN$1004:$BO$1004,1,MATCH(COLUMNS($AN$1006:BD1006),$AN$1006:$BO$1006,0)))),"Fix")))</f>
        <v>0</v>
      </c>
      <c r="S126" s="4">
        <f>IF(OR(INDEX($AH$2:$AH$1001,MATCH(ROWS($AG$2:AG126),$AG$2:$AG$1001,0),1)&gt;=100000,INDEX($AN$1005:$BO$1005,1,MATCH(COLUMNS($AN$1006:BE1006),$AN$1006:$BO$1006,0))&gt;=100000), " ",IF(INDEX($AN$2:$BO$1001,MATCH(ROWS($AG$2:AG126),$AG$2:$AG$1001,0),MATCH(COLUMNS($AN$1006:BE1006),$AN$1006:$BO$1006,0)), HYPERLINK("#",""), HYPERLINK(CONCATENATE("#Metadata!", ADDRESS(INDEX($AI$2:$AI$1001,MATCH(ROWS($AG$2:AG126),$AG$2:$AG$1001,0),0), INDEX($AN$1004:$BO$1004,1,MATCH(COLUMNS($AN$1006:BE1006),$AN$1006:$BO$1006,0)))),"Fix")))</f>
        <v>0</v>
      </c>
      <c r="T126" s="4">
        <f>IF(OR(INDEX($AH$2:$AH$1001,MATCH(ROWS($AG$2:AG126),$AG$2:$AG$1001,0),1)&gt;=100000,INDEX($AN$1005:$BO$1005,1,MATCH(COLUMNS($AN$1006:BF1006),$AN$1006:$BO$1006,0))&gt;=100000), " ",IF(INDEX($AN$2:$BO$1001,MATCH(ROWS($AG$2:AG126),$AG$2:$AG$1001,0),MATCH(COLUMNS($AN$1006:BF1006),$AN$1006:$BO$1006,0)), HYPERLINK("#",""), HYPERLINK(CONCATENATE("#Metadata!", ADDRESS(INDEX($AI$2:$AI$1001,MATCH(ROWS($AG$2:AG126),$AG$2:$AG$1001,0),0), INDEX($AN$1004:$BO$1004,1,MATCH(COLUMNS($AN$1006:BF1006),$AN$1006:$BO$1006,0)))),"Fix")))</f>
        <v>0</v>
      </c>
      <c r="U126" s="4">
        <f>IF(OR(INDEX($AH$2:$AH$1001,MATCH(ROWS($AG$2:AG126),$AG$2:$AG$1001,0),1)&gt;=100000,INDEX($AN$1005:$BO$1005,1,MATCH(COLUMNS($AN$1006:BG1006),$AN$1006:$BO$1006,0))&gt;=100000), " ",IF(INDEX($AN$2:$BO$1001,MATCH(ROWS($AG$2:AG126),$AG$2:$AG$1001,0),MATCH(COLUMNS($AN$1006:BG1006),$AN$1006:$BO$1006,0)), HYPERLINK("#",""), HYPERLINK(CONCATENATE("#Metadata!", ADDRESS(INDEX($AI$2:$AI$1001,MATCH(ROWS($AG$2:AG126),$AG$2:$AG$1001,0),0), INDEX($AN$1004:$BO$1004,1,MATCH(COLUMNS($AN$1006:BG1006),$AN$1006:$BO$1006,0)))),"Fix")))</f>
        <v>0</v>
      </c>
      <c r="V126" s="4">
        <f>IF(OR(INDEX($AH$2:$AH$1001,MATCH(ROWS($AG$2:AG126),$AG$2:$AG$1001,0),1)&gt;=100000,INDEX($AN$1005:$BO$1005,1,MATCH(COLUMNS($AN$1006:BH1006),$AN$1006:$BO$1006,0))&gt;=100000), " ",IF(INDEX($AN$2:$BO$1001,MATCH(ROWS($AG$2:AG126),$AG$2:$AG$1001,0),MATCH(COLUMNS($AN$1006:BH1006),$AN$1006:$BO$1006,0)), HYPERLINK("#",""), HYPERLINK(CONCATENATE("#Metadata!", ADDRESS(INDEX($AI$2:$AI$1001,MATCH(ROWS($AG$2:AG126),$AG$2:$AG$1001,0),0), INDEX($AN$1004:$BO$1004,1,MATCH(COLUMNS($AN$1006:BH1006),$AN$1006:$BO$1006,0)))),"Fix")))</f>
        <v>0</v>
      </c>
      <c r="W126" s="4">
        <f>IF(OR(INDEX($AH$2:$AH$1001,MATCH(ROWS($AG$2:AG126),$AG$2:$AG$1001,0),1)&gt;=100000,INDEX($AN$1005:$BO$1005,1,MATCH(COLUMNS($AN$1006:BI1006),$AN$1006:$BO$1006,0))&gt;=100000), " ",IF(INDEX($AN$2:$BO$1001,MATCH(ROWS($AG$2:AG126),$AG$2:$AG$1001,0),MATCH(COLUMNS($AN$1006:BI1006),$AN$1006:$BO$1006,0)), HYPERLINK("#",""), HYPERLINK(CONCATENATE("#Metadata!", ADDRESS(INDEX($AI$2:$AI$1001,MATCH(ROWS($AG$2:AG126),$AG$2:$AG$1001,0),0), INDEX($AN$1004:$BO$1004,1,MATCH(COLUMNS($AN$1006:BI1006),$AN$1006:$BO$1006,0)))),"Fix")))</f>
        <v>0</v>
      </c>
      <c r="X126" s="4">
        <f>IF(OR(INDEX($AH$2:$AH$1001,MATCH(ROWS($AG$2:AG126),$AG$2:$AG$1001,0),1)&gt;=100000,INDEX($AN$1005:$BO$1005,1,MATCH(COLUMNS($AN$1006:BJ1006),$AN$1006:$BO$1006,0))&gt;=100000), " ",IF(INDEX($AN$2:$BO$1001,MATCH(ROWS($AG$2:AG126),$AG$2:$AG$1001,0),MATCH(COLUMNS($AN$1006:BJ1006),$AN$1006:$BO$1006,0)), HYPERLINK("#",""), HYPERLINK(CONCATENATE("#Metadata!", ADDRESS(INDEX($AI$2:$AI$1001,MATCH(ROWS($AG$2:AG126),$AG$2:$AG$1001,0),0), INDEX($AN$1004:$BO$1004,1,MATCH(COLUMNS($AN$1006:BJ1006),$AN$1006:$BO$1006,0)))),"Fix")))</f>
        <v>0</v>
      </c>
      <c r="Y126" s="4">
        <f>IF(OR(INDEX($AH$2:$AH$1001,MATCH(ROWS($AG$2:AG126),$AG$2:$AG$1001,0),1)&gt;=100000,INDEX($AN$1005:$BO$1005,1,MATCH(COLUMNS($AN$1006:BK1006),$AN$1006:$BO$1006,0))&gt;=100000), " ",IF(INDEX($AN$2:$BO$1001,MATCH(ROWS($AG$2:AG126),$AG$2:$AG$1001,0),MATCH(COLUMNS($AN$1006:BK1006),$AN$1006:$BO$1006,0)), HYPERLINK("#",""), HYPERLINK(CONCATENATE("#Metadata!", ADDRESS(INDEX($AI$2:$AI$1001,MATCH(ROWS($AG$2:AG126),$AG$2:$AG$1001,0),0), INDEX($AN$1004:$BO$1004,1,MATCH(COLUMNS($AN$1006:BK1006),$AN$1006:$BO$1006,0)))),"Fix")))</f>
        <v>0</v>
      </c>
      <c r="Z126" s="4">
        <f>IF(OR(INDEX($AH$2:$AH$1001,MATCH(ROWS($AG$2:AG126),$AG$2:$AG$1001,0),1)&gt;=100000,INDEX($AN$1005:$BO$1005,1,MATCH(COLUMNS($AN$1006:BL1006),$AN$1006:$BO$1006,0))&gt;=100000), " ",IF(INDEX($AN$2:$BO$1001,MATCH(ROWS($AG$2:AG126),$AG$2:$AG$1001,0),MATCH(COLUMNS($AN$1006:BL1006),$AN$1006:$BO$1006,0)), HYPERLINK("#",""), HYPERLINK(CONCATENATE("#Metadata!", ADDRESS(INDEX($AI$2:$AI$1001,MATCH(ROWS($AG$2:AG126),$AG$2:$AG$1001,0),0), INDEX($AN$1004:$BO$1004,1,MATCH(COLUMNS($AN$1006:BL1006),$AN$1006:$BO$1006,0)))),"Fix")))</f>
        <v>0</v>
      </c>
      <c r="AA126" s="4">
        <f>IF(OR(INDEX($AH$2:$AH$1001,MATCH(ROWS($AG$2:AG126),$AG$2:$AG$1001,0),1)&gt;=100000,INDEX($AN$1005:$BO$1005,1,MATCH(COLUMNS($AN$1006:BM1006),$AN$1006:$BO$1006,0))&gt;=100000), " ",IF(INDEX($AN$2:$BO$1001,MATCH(ROWS($AG$2:AG126),$AG$2:$AG$1001,0),MATCH(COLUMNS($AN$1006:BM1006),$AN$1006:$BO$1006,0)), HYPERLINK("#",""), HYPERLINK(CONCATENATE("#Metadata!", ADDRESS(INDEX($AI$2:$AI$1001,MATCH(ROWS($AG$2:AG126),$AG$2:$AG$1001,0),0), INDEX($AN$1004:$BO$1004,1,MATCH(COLUMNS($AN$1006:BM1006),$AN$1006:$BO$1006,0)))),"Fix")))</f>
        <v>0</v>
      </c>
      <c r="AB126" s="4">
        <f>IF(OR(INDEX($AH$2:$AH$1001,MATCH(ROWS($AG$2:AG126),$AG$2:$AG$1001,0),1)&gt;=100000,INDEX($AN$1005:$BO$1005,1,MATCH(COLUMNS($AN$1006:BN1006),$AN$1006:$BO$1006,0))&gt;=100000), " ",IF(INDEX($AN$2:$BO$1001,MATCH(ROWS($AG$2:AG126),$AG$2:$AG$1001,0),MATCH(COLUMNS($AN$1006:BN1006),$AN$1006:$BO$1006,0)), HYPERLINK("#",""), HYPERLINK(CONCATENATE("#Metadata!", ADDRESS(INDEX($AI$2:$AI$1001,MATCH(ROWS($AG$2:AG126),$AG$2:$AG$1001,0),0), INDEX($AN$1004:$BO$1004,1,MATCH(COLUMNS($AN$1006:BN1006),$AN$1006:$BO$1006,0)))),"Fix")))</f>
        <v>0</v>
      </c>
      <c r="AC126" s="4">
        <f>IF(OR(INDEX($AH$2:$AH$1001,MATCH(ROWS($AG$2:AG126),$AG$2:$AG$1001,0),1)&gt;=100000,INDEX($AN$1005:$BO$1005,1,MATCH(COLUMNS($AN$1006:BO1006),$AN$1006:$BO$1006,0))&gt;=100000), " ",IF(INDEX($AN$2:$BO$1001,MATCH(ROWS($AG$2:AG126),$AG$2:$AG$1001,0),MATCH(COLUMNS($AN$1006:BO1006),$AN$1006:$BO$1006,0)), HYPERLINK("#",""), HYPERLINK(CONCATENATE("#Metadata!", ADDRESS(INDEX($AI$2:$AI$1001,MATCH(ROWS($AG$2:AG126),$AG$2:$AG$1001,0),0), INDEX($AN$1004:$BO$1004,1,MATCH(COLUMNS($AN$1006:BO1006),$AN$1006:$BO$1006,0)))),"Fix")))</f>
        <v>0</v>
      </c>
      <c r="AG126">
        <v>0</v>
      </c>
      <c r="AH126">
        <v>0</v>
      </c>
      <c r="AI126">
        <v>0</v>
      </c>
      <c r="AJ126">
        <f>IF(AK126,TRUE,AND(AN126:BO126))</f>
        <v>0</v>
      </c>
      <c r="AK126">
        <f>COUNTBLANK(Metadata!B126:AC126)=COLUMNS(Metadata!B126:AC126)</f>
        <v>0</v>
      </c>
      <c r="AL126">
        <v>0</v>
      </c>
      <c r="AN126">
        <f>AND(IF(Metadata!B126="",FALSE,TRUE),COUNTIF(Metadata!B:B, Metadata!B126) = 1,NOT(ISERROR(SUMPRODUCT(SEARCH(MID(Metadata!B126,ROW(INDIRECT("1:"&amp;LEN(Metadata!B126))), 1),"0123456789abcdefghijklmnopqrstuvwxyzABCDEFGHIJKLMNOPQRSTUVWXYZ.")))))</f>
        <v>0</v>
      </c>
      <c r="AO126">
        <f>IF(Metadata!C126="",FALSE,TRUE)</f>
        <v>0</v>
      </c>
      <c r="AP126">
        <f>IF(Metadata!D126="",FALSE,TRUE)</f>
        <v>0</v>
      </c>
      <c r="AQ126">
        <f>OR(AND(IF(Metadata!E126="",FALSE,TRUE),OR(exact(Metadata!E126,"not collected"),exact(Metadata!E126,"not provided"),exact(Metadata!E126,"restricted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R126">
        <f>IF(Metadata!F126="",FALSE,TRUE)</f>
        <v>0</v>
      </c>
      <c r="AS126">
        <f>OR(AND(IF(Metadata!G126="",FALSE,TRUE),OR(exact(Metadata!G126,"not collected"),exact(Metadata!G126,"not provided"))),AND(IF(Metadata!G126="",FALSE,TRUE),OR(exact(Metadata!G126,"TRUE"),exact(Metadata!G126,"FALSE"))))</f>
        <v>0</v>
      </c>
      <c r="AT126">
        <f>OR(AND(IF(Metadata!H126="",FALSE,TRUE),OR(exact(Metadata!H126,"not collected"),exact(Metadata!H126,"not provided"),exact(Metadata!H126,"restricted access"))),AND(IF(Metadata!H126="",FALSE,ISNUMBER(VALUE(Metadata!H126))),Metadata!H126&gt;=-413.0))</f>
        <v>0</v>
      </c>
      <c r="AU126">
        <f>AND(IF(Metadata!I126="",FALSE,TRUE),exact(Metadata!I126,"meters"))</f>
        <v>0</v>
      </c>
      <c r="AV126">
        <f>AND(IF(Metadata!J126="",FALSE,TRUE),OR(exact(Metadata!J126,"Host-associated"),exact(Metadata!J126,"Free-living")))</f>
        <v>0</v>
      </c>
      <c r="AW126">
        <f>AND(IF(Metadata!K126="",FALSE,TRUE),OR(exact(Metadata!K126,"Animal"),exact(Metadata!K126,"Fungus"),exact(Metadata!K126,"Plant"),exact(Metadata!K126,"Saline"),exact(Metadata!K126,"Non-saline")))</f>
        <v>0</v>
      </c>
      <c r="AX126">
        <f>AND(IF(Metadata!L126="",FALSE,TRUE),OR(exact(Metadata!L126,"Plant secretion"),exact(Metadata!L126,"Plant rhizosphere"),exact(Metadata!L126,"Plant surface"),exact(Metadata!L126,"Plant corpus"),exact(Metadata!L126,"Fungus surface"),exact(Metadata!L126,"Fungus corpus"),exact(Metadata!L126,"Animal surface"),exact(Metadata!L126,"Animal proximal gut"),exact(Metadata!L126,"Animal corpus"),exact(Metadata!L126,"Animal distal gut"),exact(Metadata!L126,"Animal secretion"),exact(Metadata!L126,"Sub-surface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Y126">
        <f>IF(Metadata!M126="",FALSE,TRUE)</f>
        <v>0</v>
      </c>
      <c r="AZ126">
        <f>IF(Metadata!N126="",FALSE,TRUE)</f>
        <v>0</v>
      </c>
      <c r="BA126">
        <f>IF(Metadata!O126="",FALSE,TRUE)</f>
        <v>0</v>
      </c>
      <c r="BB126">
        <f>OR(AND(IF(Metadata!P126="",FALSE,TRUE),OR(exact(Metadata!P126,"not collected"),exact(Metadata!P126,"not provided"),exact(Metadata!P126,"restricted access"))),AND(IF(Metadata!P126="",FALSE,TRUE),OR(exact(Metadata!P126,"air"),exact(Metadata!P126,"built environment"),exact(Metadata!P126,"host-associated"),exact(Metadata!P126,"human-associated"),exact(Metadata!P126,"human-skin"),exact(Metadata!P126,"human-oral"),exact(Metadata!P126,"human-gut"),exact(Metadata!P126,"human-vaginal"),exact(Metadata!P126,"microbial mat/biofilm"),exact(Metadata!P126,"misc environment"),exact(Metadata!P126,"plant-associated"),exact(Metadata!P126,"sediment"),exact(Metadata!P126,"soil"),exact(Metadata!P126,"wastewater/sludge"),exact(Metadata!P126,"water"))))</f>
        <v>0</v>
      </c>
      <c r="BC126">
        <f>IF(Metadata!Q126="",FALSE,TRUE)</f>
        <v>0</v>
      </c>
      <c r="BD126">
        <f>IF(Metadata!R126="",FALSE,TRUE)</f>
        <v>0</v>
      </c>
      <c r="BE126">
        <f>OR(AND(IF(Metadata!S126="",FALSE,TRUE),OR(exact(Metadata!S126,"not collected"),exact(Metadata!S126,"not provided"),exact(Metadata!S126,"restricted access"))),AND(IF(Metadata!S126="",FALSE,ISNUMBER(VALUE(Metadata!S126))),Metadata!S126&gt;=-90.00,Metadata!S126&lt;=90.00))</f>
        <v>0</v>
      </c>
      <c r="BF126">
        <f>AND(IF(Metadata!T126="",FALSE,TRUE),exact(Metadata!T126,"Decimal degrees"))</f>
        <v>0</v>
      </c>
      <c r="BG126">
        <f>OR(AND(IF(Metadata!U126="",FALSE,TRUE),OR(exact(Metadata!U126,"not collected"),exact(Metadata!U126,"not provided"),exact(Metadata!U126,"restricted access"))),AND(IF(Metadata!U126="",FALSE,ISNUMBER(VALUE(Metadata!U126))),Metadata!U126&gt;=-180.00,Metadata!U126&lt;=180.00))</f>
        <v>0</v>
      </c>
      <c r="BH126">
        <f>AND(IF(Metadata!V126="",FALSE,TRUE),exact(Metadata!V126,"Decimal degrees"))</f>
        <v>0</v>
      </c>
      <c r="BI126">
        <f>IF(Metadata!W126="",FALSE,TRUE)</f>
        <v>0</v>
      </c>
      <c r="BJ126">
        <f>OR(AND(IF(Metadata!X126="",FALSE,TRUE),OR(exact(Metadata!X126,"not collected"),exact(Metadata!X126,"not provided"),exact(Metadata!X126,"restricted access"))),AND(IF(Metadata!X126="",FALSE,TRUE),OR(exact(Metadata!X126,"TRUE"),exact(Metadata!X126,"FALSE"))))</f>
        <v>0</v>
      </c>
      <c r="BK126">
        <f>AND(IF(Metadata!Y126="",FALSE,TRUE),exact(Metadata!Y126,"other"))</f>
        <v>0</v>
      </c>
      <c r="BL126">
        <f>IF(Metadata!Z126="",FALSE,TRUE)</f>
        <v>0</v>
      </c>
      <c r="BM126">
        <f>OR(AND(IF(Metadata!AA126="",FALSE,TRUE),OR(exact(Metadata!AA126,"not collected"),exact(Metadata!AA126,"not provided"))),AND(IF(Metadata!AA126="",FALSE,IF(ISERROR(INT(Metadata!AA126)),FALSE,INT(Metadata!AA126)=Metadata!AA126)),Metadata!AA126&gt;0))</f>
        <v>0</v>
      </c>
      <c r="BN126">
        <f>AND(IF(Metadata!AB126="",FALSE,TRUE),exact(Metadata!AB126,"Not applicable"))</f>
        <v>0</v>
      </c>
      <c r="BO126">
        <f>IF(Metadata!AC126="",FALSE,TRUE)</f>
        <v>0</v>
      </c>
    </row>
    <row r="127" spans="1:67">
      <c r="A127" s="5">
        <f>IF(B127=" "," ",HYPERLINK(CONCATENATE("#metadata!",ADDRESS(INDEX($AI$2:$AI$1001,MATCH(ROWS($AG$2:AG127),$AG$2:$AG$1001,0),0),1)),INDEX($AL$2:$AL$1001,MATCH(ROWS($AG$2:AG127),$AG$2:$AG$1001,0),0)))</f>
        <v>0</v>
      </c>
      <c r="B127" s="4">
        <f>IF(OR(INDEX($AH$2:$AH$1001,MATCH(ROWS($AG$2:AG127),$AG$2:$AG$1001,0),1)&gt;=100000,INDEX($AN$1005:$BO$1005,1,MATCH(COLUMNS($AN$1006:AN1006),$AN$1006:$BO$1006,0))&gt;=100000), " ",IF(INDEX($AN$2:$BO$1001,MATCH(ROWS($AG$2:AG127),$AG$2:$AG$1001,0),MATCH(COLUMNS($AN$1006:AN1006),$AN$1006:$BO$1006,0)), HYPERLINK("#",""), HYPERLINK(CONCATENATE("#Metadata!", ADDRESS(INDEX($AI$2:$AI$1001,MATCH(ROWS($AG$2:AG127),$AG$2:$AG$1001,0),0), INDEX($AN$1004:$BO$1004,1,MATCH(COLUMNS($AN$1006:AN1006),$AN$1006:$BO$1006,0)))),"Fix")))</f>
        <v>0</v>
      </c>
      <c r="C127" s="4">
        <f>IF(OR(INDEX($AH$2:$AH$1001,MATCH(ROWS($AG$2:AG127),$AG$2:$AG$1001,0),1)&gt;=100000,INDEX($AN$1005:$BO$1005,1,MATCH(COLUMNS($AN$1006:AO1006),$AN$1006:$BO$1006,0))&gt;=100000), " ",IF(INDEX($AN$2:$BO$1001,MATCH(ROWS($AG$2:AG127),$AG$2:$AG$1001,0),MATCH(COLUMNS($AN$1006:AO1006),$AN$1006:$BO$1006,0)), HYPERLINK("#",""), HYPERLINK(CONCATENATE("#Metadata!", ADDRESS(INDEX($AI$2:$AI$1001,MATCH(ROWS($AG$2:AG127),$AG$2:$AG$1001,0),0), INDEX($AN$1004:$BO$1004,1,MATCH(COLUMNS($AN$1006:AO1006),$AN$1006:$BO$1006,0)))),"Fix")))</f>
        <v>0</v>
      </c>
      <c r="D127" s="4">
        <f>IF(OR(INDEX($AH$2:$AH$1001,MATCH(ROWS($AG$2:AG127),$AG$2:$AG$1001,0),1)&gt;=100000,INDEX($AN$1005:$BO$1005,1,MATCH(COLUMNS($AN$1006:AP1006),$AN$1006:$BO$1006,0))&gt;=100000), " ",IF(INDEX($AN$2:$BO$1001,MATCH(ROWS($AG$2:AG127),$AG$2:$AG$1001,0),MATCH(COLUMNS($AN$1006:AP1006),$AN$1006:$BO$1006,0)), HYPERLINK("#",""), HYPERLINK(CONCATENATE("#Metadata!", ADDRESS(INDEX($AI$2:$AI$1001,MATCH(ROWS($AG$2:AG127),$AG$2:$AG$1001,0),0), INDEX($AN$1004:$BO$1004,1,MATCH(COLUMNS($AN$1006:AP1006),$AN$1006:$BO$1006,0)))),"Fix")))</f>
        <v>0</v>
      </c>
      <c r="E127" s="4">
        <f>IF(OR(INDEX($AH$2:$AH$1001,MATCH(ROWS($AG$2:AG127),$AG$2:$AG$1001,0),1)&gt;=100000,INDEX($AN$1005:$BO$1005,1,MATCH(COLUMNS($AN$1006:AQ1006),$AN$1006:$BO$1006,0))&gt;=100000), " ",IF(INDEX($AN$2:$BO$1001,MATCH(ROWS($AG$2:AG127),$AG$2:$AG$1001,0),MATCH(COLUMNS($AN$1006:AQ1006),$AN$1006:$BO$1006,0)), HYPERLINK("#",""), HYPERLINK(CONCATENATE("#Metadata!", ADDRESS(INDEX($AI$2:$AI$1001,MATCH(ROWS($AG$2:AG127),$AG$2:$AG$1001,0),0), INDEX($AN$1004:$BO$1004,1,MATCH(COLUMNS($AN$1006:AQ1006),$AN$1006:$BO$1006,0)))),"Fix")))</f>
        <v>0</v>
      </c>
      <c r="F127" s="4">
        <f>IF(OR(INDEX($AH$2:$AH$1001,MATCH(ROWS($AG$2:AG127),$AG$2:$AG$1001,0),1)&gt;=100000,INDEX($AN$1005:$BO$1005,1,MATCH(COLUMNS($AN$1006:AR1006),$AN$1006:$BO$1006,0))&gt;=100000), " ",IF(INDEX($AN$2:$BO$1001,MATCH(ROWS($AG$2:AG127),$AG$2:$AG$1001,0),MATCH(COLUMNS($AN$1006:AR1006),$AN$1006:$BO$1006,0)), HYPERLINK("#",""), HYPERLINK(CONCATENATE("#Metadata!", ADDRESS(INDEX($AI$2:$AI$1001,MATCH(ROWS($AG$2:AG127),$AG$2:$AG$1001,0),0), INDEX($AN$1004:$BO$1004,1,MATCH(COLUMNS($AN$1006:AR1006),$AN$1006:$BO$1006,0)))),"Fix")))</f>
        <v>0</v>
      </c>
      <c r="G127" s="4">
        <f>IF(OR(INDEX($AH$2:$AH$1001,MATCH(ROWS($AG$2:AG127),$AG$2:$AG$1001,0),1)&gt;=100000,INDEX($AN$1005:$BO$1005,1,MATCH(COLUMNS($AN$1006:AS1006),$AN$1006:$BO$1006,0))&gt;=100000), " ",IF(INDEX($AN$2:$BO$1001,MATCH(ROWS($AG$2:AG127),$AG$2:$AG$1001,0),MATCH(COLUMNS($AN$1006:AS1006),$AN$1006:$BO$1006,0)), HYPERLINK("#",""), HYPERLINK(CONCATENATE("#Metadata!", ADDRESS(INDEX($AI$2:$AI$1001,MATCH(ROWS($AG$2:AG127),$AG$2:$AG$1001,0),0), INDEX($AN$1004:$BO$1004,1,MATCH(COLUMNS($AN$1006:AS1006),$AN$1006:$BO$1006,0)))),"Fix")))</f>
        <v>0</v>
      </c>
      <c r="H127" s="4">
        <f>IF(OR(INDEX($AH$2:$AH$1001,MATCH(ROWS($AG$2:AG127),$AG$2:$AG$1001,0),1)&gt;=100000,INDEX($AN$1005:$BO$1005,1,MATCH(COLUMNS($AN$1006:AT1006),$AN$1006:$BO$1006,0))&gt;=100000), " ",IF(INDEX($AN$2:$BO$1001,MATCH(ROWS($AG$2:AG127),$AG$2:$AG$1001,0),MATCH(COLUMNS($AN$1006:AT1006),$AN$1006:$BO$1006,0)), HYPERLINK("#",""), HYPERLINK(CONCATENATE("#Metadata!", ADDRESS(INDEX($AI$2:$AI$1001,MATCH(ROWS($AG$2:AG127),$AG$2:$AG$1001,0),0), INDEX($AN$1004:$BO$1004,1,MATCH(COLUMNS($AN$1006:AT1006),$AN$1006:$BO$1006,0)))),"Fix")))</f>
        <v>0</v>
      </c>
      <c r="I127" s="4">
        <f>IF(OR(INDEX($AH$2:$AH$1001,MATCH(ROWS($AG$2:AG127),$AG$2:$AG$1001,0),1)&gt;=100000,INDEX($AN$1005:$BO$1005,1,MATCH(COLUMNS($AN$1006:AU1006),$AN$1006:$BO$1006,0))&gt;=100000), " ",IF(INDEX($AN$2:$BO$1001,MATCH(ROWS($AG$2:AG127),$AG$2:$AG$1001,0),MATCH(COLUMNS($AN$1006:AU1006),$AN$1006:$BO$1006,0)), HYPERLINK("#",""), HYPERLINK(CONCATENATE("#Metadata!", ADDRESS(INDEX($AI$2:$AI$1001,MATCH(ROWS($AG$2:AG127),$AG$2:$AG$1001,0),0), INDEX($AN$1004:$BO$1004,1,MATCH(COLUMNS($AN$1006:AU1006),$AN$1006:$BO$1006,0)))),"Fix")))</f>
        <v>0</v>
      </c>
      <c r="J127" s="4">
        <f>IF(OR(INDEX($AH$2:$AH$1001,MATCH(ROWS($AG$2:AG127),$AG$2:$AG$1001,0),1)&gt;=100000,INDEX($AN$1005:$BO$1005,1,MATCH(COLUMNS($AN$1006:AV1006),$AN$1006:$BO$1006,0))&gt;=100000), " ",IF(INDEX($AN$2:$BO$1001,MATCH(ROWS($AG$2:AG127),$AG$2:$AG$1001,0),MATCH(COLUMNS($AN$1006:AV1006),$AN$1006:$BO$1006,0)), HYPERLINK("#",""), HYPERLINK(CONCATENATE("#Metadata!", ADDRESS(INDEX($AI$2:$AI$1001,MATCH(ROWS($AG$2:AG127),$AG$2:$AG$1001,0),0), INDEX($AN$1004:$BO$1004,1,MATCH(COLUMNS($AN$1006:AV1006),$AN$1006:$BO$1006,0)))),"Fix")))</f>
        <v>0</v>
      </c>
      <c r="K127" s="4">
        <f>IF(OR(INDEX($AH$2:$AH$1001,MATCH(ROWS($AG$2:AG127),$AG$2:$AG$1001,0),1)&gt;=100000,INDEX($AN$1005:$BO$1005,1,MATCH(COLUMNS($AN$1006:AW1006),$AN$1006:$BO$1006,0))&gt;=100000), " ",IF(INDEX($AN$2:$BO$1001,MATCH(ROWS($AG$2:AG127),$AG$2:$AG$1001,0),MATCH(COLUMNS($AN$1006:AW1006),$AN$1006:$BO$1006,0)), HYPERLINK("#",""), HYPERLINK(CONCATENATE("#Metadata!", ADDRESS(INDEX($AI$2:$AI$1001,MATCH(ROWS($AG$2:AG127),$AG$2:$AG$1001,0),0), INDEX($AN$1004:$BO$1004,1,MATCH(COLUMNS($AN$1006:AW1006),$AN$1006:$BO$1006,0)))),"Fix")))</f>
        <v>0</v>
      </c>
      <c r="L127" s="4">
        <f>IF(OR(INDEX($AH$2:$AH$1001,MATCH(ROWS($AG$2:AG127),$AG$2:$AG$1001,0),1)&gt;=100000,INDEX($AN$1005:$BO$1005,1,MATCH(COLUMNS($AN$1006:AX1006),$AN$1006:$BO$1006,0))&gt;=100000), " ",IF(INDEX($AN$2:$BO$1001,MATCH(ROWS($AG$2:AG127),$AG$2:$AG$1001,0),MATCH(COLUMNS($AN$1006:AX1006),$AN$1006:$BO$1006,0)), HYPERLINK("#",""), HYPERLINK(CONCATENATE("#Metadata!", ADDRESS(INDEX($AI$2:$AI$1001,MATCH(ROWS($AG$2:AG127),$AG$2:$AG$1001,0),0), INDEX($AN$1004:$BO$1004,1,MATCH(COLUMNS($AN$1006:AX1006),$AN$1006:$BO$1006,0)))),"Fix")))</f>
        <v>0</v>
      </c>
      <c r="M127" s="4">
        <f>IF(OR(INDEX($AH$2:$AH$1001,MATCH(ROWS($AG$2:AG127),$AG$2:$AG$1001,0),1)&gt;=100000,INDEX($AN$1005:$BO$1005,1,MATCH(COLUMNS($AN$1006:AY1006),$AN$1006:$BO$1006,0))&gt;=100000), " ",IF(INDEX($AN$2:$BO$1001,MATCH(ROWS($AG$2:AG127),$AG$2:$AG$1001,0),MATCH(COLUMNS($AN$1006:AY1006),$AN$1006:$BO$1006,0)), HYPERLINK("#",""), HYPERLINK(CONCATENATE("#Metadata!", ADDRESS(INDEX($AI$2:$AI$1001,MATCH(ROWS($AG$2:AG127),$AG$2:$AG$1001,0),0), INDEX($AN$1004:$BO$1004,1,MATCH(COLUMNS($AN$1006:AY1006),$AN$1006:$BO$1006,0)))),"Fix")))</f>
        <v>0</v>
      </c>
      <c r="N127" s="4">
        <f>IF(OR(INDEX($AH$2:$AH$1001,MATCH(ROWS($AG$2:AG127),$AG$2:$AG$1001,0),1)&gt;=100000,INDEX($AN$1005:$BO$1005,1,MATCH(COLUMNS($AN$1006:AZ1006),$AN$1006:$BO$1006,0))&gt;=100000), " ",IF(INDEX($AN$2:$BO$1001,MATCH(ROWS($AG$2:AG127),$AG$2:$AG$1001,0),MATCH(COLUMNS($AN$1006:AZ1006),$AN$1006:$BO$1006,0)), HYPERLINK("#",""), HYPERLINK(CONCATENATE("#Metadata!", ADDRESS(INDEX($AI$2:$AI$1001,MATCH(ROWS($AG$2:AG127),$AG$2:$AG$1001,0),0), INDEX($AN$1004:$BO$1004,1,MATCH(COLUMNS($AN$1006:AZ1006),$AN$1006:$BO$1006,0)))),"Fix")))</f>
        <v>0</v>
      </c>
      <c r="O127" s="4">
        <f>IF(OR(INDEX($AH$2:$AH$1001,MATCH(ROWS($AG$2:AG127),$AG$2:$AG$1001,0),1)&gt;=100000,INDEX($AN$1005:$BO$1005,1,MATCH(COLUMNS($AN$1006:BA1006),$AN$1006:$BO$1006,0))&gt;=100000), " ",IF(INDEX($AN$2:$BO$1001,MATCH(ROWS($AG$2:AG127),$AG$2:$AG$1001,0),MATCH(COLUMNS($AN$1006:BA1006),$AN$1006:$BO$1006,0)), HYPERLINK("#",""), HYPERLINK(CONCATENATE("#Metadata!", ADDRESS(INDEX($AI$2:$AI$1001,MATCH(ROWS($AG$2:AG127),$AG$2:$AG$1001,0),0), INDEX($AN$1004:$BO$1004,1,MATCH(COLUMNS($AN$1006:BA1006),$AN$1006:$BO$1006,0)))),"Fix")))</f>
        <v>0</v>
      </c>
      <c r="P127" s="4">
        <f>IF(OR(INDEX($AH$2:$AH$1001,MATCH(ROWS($AG$2:AG127),$AG$2:$AG$1001,0),1)&gt;=100000,INDEX($AN$1005:$BO$1005,1,MATCH(COLUMNS($AN$1006:BB1006),$AN$1006:$BO$1006,0))&gt;=100000), " ",IF(INDEX($AN$2:$BO$1001,MATCH(ROWS($AG$2:AG127),$AG$2:$AG$1001,0),MATCH(COLUMNS($AN$1006:BB1006),$AN$1006:$BO$1006,0)), HYPERLINK("#",""), HYPERLINK(CONCATENATE("#Metadata!", ADDRESS(INDEX($AI$2:$AI$1001,MATCH(ROWS($AG$2:AG127),$AG$2:$AG$1001,0),0), INDEX($AN$1004:$BO$1004,1,MATCH(COLUMNS($AN$1006:BB1006),$AN$1006:$BO$1006,0)))),"Fix")))</f>
        <v>0</v>
      </c>
      <c r="Q127" s="4">
        <f>IF(OR(INDEX($AH$2:$AH$1001,MATCH(ROWS($AG$2:AG127),$AG$2:$AG$1001,0),1)&gt;=100000,INDEX($AN$1005:$BO$1005,1,MATCH(COLUMNS($AN$1006:BC1006),$AN$1006:$BO$1006,0))&gt;=100000), " ",IF(INDEX($AN$2:$BO$1001,MATCH(ROWS($AG$2:AG127),$AG$2:$AG$1001,0),MATCH(COLUMNS($AN$1006:BC1006),$AN$1006:$BO$1006,0)), HYPERLINK("#",""), HYPERLINK(CONCATENATE("#Metadata!", ADDRESS(INDEX($AI$2:$AI$1001,MATCH(ROWS($AG$2:AG127),$AG$2:$AG$1001,0),0), INDEX($AN$1004:$BO$1004,1,MATCH(COLUMNS($AN$1006:BC1006),$AN$1006:$BO$1006,0)))),"Fix")))</f>
        <v>0</v>
      </c>
      <c r="R127" s="4">
        <f>IF(OR(INDEX($AH$2:$AH$1001,MATCH(ROWS($AG$2:AG127),$AG$2:$AG$1001,0),1)&gt;=100000,INDEX($AN$1005:$BO$1005,1,MATCH(COLUMNS($AN$1006:BD1006),$AN$1006:$BO$1006,0))&gt;=100000), " ",IF(INDEX($AN$2:$BO$1001,MATCH(ROWS($AG$2:AG127),$AG$2:$AG$1001,0),MATCH(COLUMNS($AN$1006:BD1006),$AN$1006:$BO$1006,0)), HYPERLINK("#",""), HYPERLINK(CONCATENATE("#Metadata!", ADDRESS(INDEX($AI$2:$AI$1001,MATCH(ROWS($AG$2:AG127),$AG$2:$AG$1001,0),0), INDEX($AN$1004:$BO$1004,1,MATCH(COLUMNS($AN$1006:BD1006),$AN$1006:$BO$1006,0)))),"Fix")))</f>
        <v>0</v>
      </c>
      <c r="S127" s="4">
        <f>IF(OR(INDEX($AH$2:$AH$1001,MATCH(ROWS($AG$2:AG127),$AG$2:$AG$1001,0),1)&gt;=100000,INDEX($AN$1005:$BO$1005,1,MATCH(COLUMNS($AN$1006:BE1006),$AN$1006:$BO$1006,0))&gt;=100000), " ",IF(INDEX($AN$2:$BO$1001,MATCH(ROWS($AG$2:AG127),$AG$2:$AG$1001,0),MATCH(COLUMNS($AN$1006:BE1006),$AN$1006:$BO$1006,0)), HYPERLINK("#",""), HYPERLINK(CONCATENATE("#Metadata!", ADDRESS(INDEX($AI$2:$AI$1001,MATCH(ROWS($AG$2:AG127),$AG$2:$AG$1001,0),0), INDEX($AN$1004:$BO$1004,1,MATCH(COLUMNS($AN$1006:BE1006),$AN$1006:$BO$1006,0)))),"Fix")))</f>
        <v>0</v>
      </c>
      <c r="T127" s="4">
        <f>IF(OR(INDEX($AH$2:$AH$1001,MATCH(ROWS($AG$2:AG127),$AG$2:$AG$1001,0),1)&gt;=100000,INDEX($AN$1005:$BO$1005,1,MATCH(COLUMNS($AN$1006:BF1006),$AN$1006:$BO$1006,0))&gt;=100000), " ",IF(INDEX($AN$2:$BO$1001,MATCH(ROWS($AG$2:AG127),$AG$2:$AG$1001,0),MATCH(COLUMNS($AN$1006:BF1006),$AN$1006:$BO$1006,0)), HYPERLINK("#",""), HYPERLINK(CONCATENATE("#Metadata!", ADDRESS(INDEX($AI$2:$AI$1001,MATCH(ROWS($AG$2:AG127),$AG$2:$AG$1001,0),0), INDEX($AN$1004:$BO$1004,1,MATCH(COLUMNS($AN$1006:BF1006),$AN$1006:$BO$1006,0)))),"Fix")))</f>
        <v>0</v>
      </c>
      <c r="U127" s="4">
        <f>IF(OR(INDEX($AH$2:$AH$1001,MATCH(ROWS($AG$2:AG127),$AG$2:$AG$1001,0),1)&gt;=100000,INDEX($AN$1005:$BO$1005,1,MATCH(COLUMNS($AN$1006:BG1006),$AN$1006:$BO$1006,0))&gt;=100000), " ",IF(INDEX($AN$2:$BO$1001,MATCH(ROWS($AG$2:AG127),$AG$2:$AG$1001,0),MATCH(COLUMNS($AN$1006:BG1006),$AN$1006:$BO$1006,0)), HYPERLINK("#",""), HYPERLINK(CONCATENATE("#Metadata!", ADDRESS(INDEX($AI$2:$AI$1001,MATCH(ROWS($AG$2:AG127),$AG$2:$AG$1001,0),0), INDEX($AN$1004:$BO$1004,1,MATCH(COLUMNS($AN$1006:BG1006),$AN$1006:$BO$1006,0)))),"Fix")))</f>
        <v>0</v>
      </c>
      <c r="V127" s="4">
        <f>IF(OR(INDEX($AH$2:$AH$1001,MATCH(ROWS($AG$2:AG127),$AG$2:$AG$1001,0),1)&gt;=100000,INDEX($AN$1005:$BO$1005,1,MATCH(COLUMNS($AN$1006:BH1006),$AN$1006:$BO$1006,0))&gt;=100000), " ",IF(INDEX($AN$2:$BO$1001,MATCH(ROWS($AG$2:AG127),$AG$2:$AG$1001,0),MATCH(COLUMNS($AN$1006:BH1006),$AN$1006:$BO$1006,0)), HYPERLINK("#",""), HYPERLINK(CONCATENATE("#Metadata!", ADDRESS(INDEX($AI$2:$AI$1001,MATCH(ROWS($AG$2:AG127),$AG$2:$AG$1001,0),0), INDEX($AN$1004:$BO$1004,1,MATCH(COLUMNS($AN$1006:BH1006),$AN$1006:$BO$1006,0)))),"Fix")))</f>
        <v>0</v>
      </c>
      <c r="W127" s="4">
        <f>IF(OR(INDEX($AH$2:$AH$1001,MATCH(ROWS($AG$2:AG127),$AG$2:$AG$1001,0),1)&gt;=100000,INDEX($AN$1005:$BO$1005,1,MATCH(COLUMNS($AN$1006:BI1006),$AN$1006:$BO$1006,0))&gt;=100000), " ",IF(INDEX($AN$2:$BO$1001,MATCH(ROWS($AG$2:AG127),$AG$2:$AG$1001,0),MATCH(COLUMNS($AN$1006:BI1006),$AN$1006:$BO$1006,0)), HYPERLINK("#",""), HYPERLINK(CONCATENATE("#Metadata!", ADDRESS(INDEX($AI$2:$AI$1001,MATCH(ROWS($AG$2:AG127),$AG$2:$AG$1001,0),0), INDEX($AN$1004:$BO$1004,1,MATCH(COLUMNS($AN$1006:BI1006),$AN$1006:$BO$1006,0)))),"Fix")))</f>
        <v>0</v>
      </c>
      <c r="X127" s="4">
        <f>IF(OR(INDEX($AH$2:$AH$1001,MATCH(ROWS($AG$2:AG127),$AG$2:$AG$1001,0),1)&gt;=100000,INDEX($AN$1005:$BO$1005,1,MATCH(COLUMNS($AN$1006:BJ1006),$AN$1006:$BO$1006,0))&gt;=100000), " ",IF(INDEX($AN$2:$BO$1001,MATCH(ROWS($AG$2:AG127),$AG$2:$AG$1001,0),MATCH(COLUMNS($AN$1006:BJ1006),$AN$1006:$BO$1006,0)), HYPERLINK("#",""), HYPERLINK(CONCATENATE("#Metadata!", ADDRESS(INDEX($AI$2:$AI$1001,MATCH(ROWS($AG$2:AG127),$AG$2:$AG$1001,0),0), INDEX($AN$1004:$BO$1004,1,MATCH(COLUMNS($AN$1006:BJ1006),$AN$1006:$BO$1006,0)))),"Fix")))</f>
        <v>0</v>
      </c>
      <c r="Y127" s="4">
        <f>IF(OR(INDEX($AH$2:$AH$1001,MATCH(ROWS($AG$2:AG127),$AG$2:$AG$1001,0),1)&gt;=100000,INDEX($AN$1005:$BO$1005,1,MATCH(COLUMNS($AN$1006:BK1006),$AN$1006:$BO$1006,0))&gt;=100000), " ",IF(INDEX($AN$2:$BO$1001,MATCH(ROWS($AG$2:AG127),$AG$2:$AG$1001,0),MATCH(COLUMNS($AN$1006:BK1006),$AN$1006:$BO$1006,0)), HYPERLINK("#",""), HYPERLINK(CONCATENATE("#Metadata!", ADDRESS(INDEX($AI$2:$AI$1001,MATCH(ROWS($AG$2:AG127),$AG$2:$AG$1001,0),0), INDEX($AN$1004:$BO$1004,1,MATCH(COLUMNS($AN$1006:BK1006),$AN$1006:$BO$1006,0)))),"Fix")))</f>
        <v>0</v>
      </c>
      <c r="Z127" s="4">
        <f>IF(OR(INDEX($AH$2:$AH$1001,MATCH(ROWS($AG$2:AG127),$AG$2:$AG$1001,0),1)&gt;=100000,INDEX($AN$1005:$BO$1005,1,MATCH(COLUMNS($AN$1006:BL1006),$AN$1006:$BO$1006,0))&gt;=100000), " ",IF(INDEX($AN$2:$BO$1001,MATCH(ROWS($AG$2:AG127),$AG$2:$AG$1001,0),MATCH(COLUMNS($AN$1006:BL1006),$AN$1006:$BO$1006,0)), HYPERLINK("#",""), HYPERLINK(CONCATENATE("#Metadata!", ADDRESS(INDEX($AI$2:$AI$1001,MATCH(ROWS($AG$2:AG127),$AG$2:$AG$1001,0),0), INDEX($AN$1004:$BO$1004,1,MATCH(COLUMNS($AN$1006:BL1006),$AN$1006:$BO$1006,0)))),"Fix")))</f>
        <v>0</v>
      </c>
      <c r="AA127" s="4">
        <f>IF(OR(INDEX($AH$2:$AH$1001,MATCH(ROWS($AG$2:AG127),$AG$2:$AG$1001,0),1)&gt;=100000,INDEX($AN$1005:$BO$1005,1,MATCH(COLUMNS($AN$1006:BM1006),$AN$1006:$BO$1006,0))&gt;=100000), " ",IF(INDEX($AN$2:$BO$1001,MATCH(ROWS($AG$2:AG127),$AG$2:$AG$1001,0),MATCH(COLUMNS($AN$1006:BM1006),$AN$1006:$BO$1006,0)), HYPERLINK("#",""), HYPERLINK(CONCATENATE("#Metadata!", ADDRESS(INDEX($AI$2:$AI$1001,MATCH(ROWS($AG$2:AG127),$AG$2:$AG$1001,0),0), INDEX($AN$1004:$BO$1004,1,MATCH(COLUMNS($AN$1006:BM1006),$AN$1006:$BO$1006,0)))),"Fix")))</f>
        <v>0</v>
      </c>
      <c r="AB127" s="4">
        <f>IF(OR(INDEX($AH$2:$AH$1001,MATCH(ROWS($AG$2:AG127),$AG$2:$AG$1001,0),1)&gt;=100000,INDEX($AN$1005:$BO$1005,1,MATCH(COLUMNS($AN$1006:BN1006),$AN$1006:$BO$1006,0))&gt;=100000), " ",IF(INDEX($AN$2:$BO$1001,MATCH(ROWS($AG$2:AG127),$AG$2:$AG$1001,0),MATCH(COLUMNS($AN$1006:BN1006),$AN$1006:$BO$1006,0)), HYPERLINK("#",""), HYPERLINK(CONCATENATE("#Metadata!", ADDRESS(INDEX($AI$2:$AI$1001,MATCH(ROWS($AG$2:AG127),$AG$2:$AG$1001,0),0), INDEX($AN$1004:$BO$1004,1,MATCH(COLUMNS($AN$1006:BN1006),$AN$1006:$BO$1006,0)))),"Fix")))</f>
        <v>0</v>
      </c>
      <c r="AC127" s="4">
        <f>IF(OR(INDEX($AH$2:$AH$1001,MATCH(ROWS($AG$2:AG127),$AG$2:$AG$1001,0),1)&gt;=100000,INDEX($AN$1005:$BO$1005,1,MATCH(COLUMNS($AN$1006:BO1006),$AN$1006:$BO$1006,0))&gt;=100000), " ",IF(INDEX($AN$2:$BO$1001,MATCH(ROWS($AG$2:AG127),$AG$2:$AG$1001,0),MATCH(COLUMNS($AN$1006:BO1006),$AN$1006:$BO$1006,0)), HYPERLINK("#",""), HYPERLINK(CONCATENATE("#Metadata!", ADDRESS(INDEX($AI$2:$AI$1001,MATCH(ROWS($AG$2:AG127),$AG$2:$AG$1001,0),0), INDEX($AN$1004:$BO$1004,1,MATCH(COLUMNS($AN$1006:BO1006),$AN$1006:$BO$1006,0)))),"Fix")))</f>
        <v>0</v>
      </c>
      <c r="AG127">
        <v>0</v>
      </c>
      <c r="AH127">
        <v>0</v>
      </c>
      <c r="AI127">
        <v>0</v>
      </c>
      <c r="AJ127">
        <f>IF(AK127,TRUE,AND(AN127:BO127))</f>
        <v>0</v>
      </c>
      <c r="AK127">
        <f>COUNTBLANK(Metadata!B127:AC127)=COLUMNS(Metadata!B127:AC127)</f>
        <v>0</v>
      </c>
      <c r="AL127">
        <v>0</v>
      </c>
      <c r="AN127">
        <f>AND(IF(Metadata!B127="",FALSE,TRUE),COUNTIF(Metadata!B:B, Metadata!B127) = 1,NOT(ISERROR(SUMPRODUCT(SEARCH(MID(Metadata!B127,ROW(INDIRECT("1:"&amp;LEN(Metadata!B127))), 1),"0123456789abcdefghijklmnopqrstuvwxyzABCDEFGHIJKLMNOPQRSTUVWXYZ.")))))</f>
        <v>0</v>
      </c>
      <c r="AO127">
        <f>IF(Metadata!C127="",FALSE,TRUE)</f>
        <v>0</v>
      </c>
      <c r="AP127">
        <f>IF(Metadata!D127="",FALSE,TRUE)</f>
        <v>0</v>
      </c>
      <c r="AQ127">
        <f>OR(AND(IF(Metadata!E127="",FALSE,TRUE),OR(exact(Metadata!E127,"not collected"),exact(Metadata!E127,"not provided"),exact(Metadata!E127,"restricted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R127">
        <f>IF(Metadata!F127="",FALSE,TRUE)</f>
        <v>0</v>
      </c>
      <c r="AS127">
        <f>OR(AND(IF(Metadata!G127="",FALSE,TRUE),OR(exact(Metadata!G127,"not collected"),exact(Metadata!G127,"not provided"))),AND(IF(Metadata!G127="",FALSE,TRUE),OR(exact(Metadata!G127,"TRUE"),exact(Metadata!G127,"FALSE"))))</f>
        <v>0</v>
      </c>
      <c r="AT127">
        <f>OR(AND(IF(Metadata!H127="",FALSE,TRUE),OR(exact(Metadata!H127,"not collected"),exact(Metadata!H127,"not provided"),exact(Metadata!H127,"restricted access"))),AND(IF(Metadata!H127="",FALSE,ISNUMBER(VALUE(Metadata!H127))),Metadata!H127&gt;=-413.0))</f>
        <v>0</v>
      </c>
      <c r="AU127">
        <f>AND(IF(Metadata!I127="",FALSE,TRUE),exact(Metadata!I127,"meters"))</f>
        <v>0</v>
      </c>
      <c r="AV127">
        <f>AND(IF(Metadata!J127="",FALSE,TRUE),OR(exact(Metadata!J127,"Host-associated"),exact(Metadata!J127,"Free-living")))</f>
        <v>0</v>
      </c>
      <c r="AW127">
        <f>AND(IF(Metadata!K127="",FALSE,TRUE),OR(exact(Metadata!K127,"Animal"),exact(Metadata!K127,"Fungus"),exact(Metadata!K127,"Plant"),exact(Metadata!K127,"Saline"),exact(Metadata!K127,"Non-saline")))</f>
        <v>0</v>
      </c>
      <c r="AX127">
        <f>AND(IF(Metadata!L127="",FALSE,TRUE),OR(exact(Metadata!L127,"Plant secretion"),exact(Metadata!L127,"Plant rhizosphere"),exact(Metadata!L127,"Plant surface"),exact(Metadata!L127,"Plant corpus"),exact(Metadata!L127,"Fungus surface"),exact(Metadata!L127,"Fungus corpus"),exact(Metadata!L127,"Animal surface"),exact(Metadata!L127,"Animal proximal gut"),exact(Metadata!L127,"Animal corpus"),exact(Metadata!L127,"Animal distal gut"),exact(Metadata!L127,"Animal secretion"),exact(Metadata!L127,"Sub-surface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Y127">
        <f>IF(Metadata!M127="",FALSE,TRUE)</f>
        <v>0</v>
      </c>
      <c r="AZ127">
        <f>IF(Metadata!N127="",FALSE,TRUE)</f>
        <v>0</v>
      </c>
      <c r="BA127">
        <f>IF(Metadata!O127="",FALSE,TRUE)</f>
        <v>0</v>
      </c>
      <c r="BB127">
        <f>OR(AND(IF(Metadata!P127="",FALSE,TRUE),OR(exact(Metadata!P127,"not collected"),exact(Metadata!P127,"not provided"),exact(Metadata!P127,"restricted access"))),AND(IF(Metadata!P127="",FALSE,TRUE),OR(exact(Metadata!P127,"air"),exact(Metadata!P127,"built environment"),exact(Metadata!P127,"host-associated"),exact(Metadata!P127,"human-associated"),exact(Metadata!P127,"human-skin"),exact(Metadata!P127,"human-oral"),exact(Metadata!P127,"human-gut"),exact(Metadata!P127,"human-vaginal"),exact(Metadata!P127,"microbial mat/biofilm"),exact(Metadata!P127,"misc environment"),exact(Metadata!P127,"plant-associated"),exact(Metadata!P127,"sediment"),exact(Metadata!P127,"soil"),exact(Metadata!P127,"wastewater/sludge"),exact(Metadata!P127,"water"))))</f>
        <v>0</v>
      </c>
      <c r="BC127">
        <f>IF(Metadata!Q127="",FALSE,TRUE)</f>
        <v>0</v>
      </c>
      <c r="BD127">
        <f>IF(Metadata!R127="",FALSE,TRUE)</f>
        <v>0</v>
      </c>
      <c r="BE127">
        <f>OR(AND(IF(Metadata!S127="",FALSE,TRUE),OR(exact(Metadata!S127,"not collected"),exact(Metadata!S127,"not provided"),exact(Metadata!S127,"restricted access"))),AND(IF(Metadata!S127="",FALSE,ISNUMBER(VALUE(Metadata!S127))),Metadata!S127&gt;=-90.00,Metadata!S127&lt;=90.00))</f>
        <v>0</v>
      </c>
      <c r="BF127">
        <f>AND(IF(Metadata!T127="",FALSE,TRUE),exact(Metadata!T127,"Decimal degrees"))</f>
        <v>0</v>
      </c>
      <c r="BG127">
        <f>OR(AND(IF(Metadata!U127="",FALSE,TRUE),OR(exact(Metadata!U127,"not collected"),exact(Metadata!U127,"not provided"),exact(Metadata!U127,"restricted access"))),AND(IF(Metadata!U127="",FALSE,ISNUMBER(VALUE(Metadata!U127))),Metadata!U127&gt;=-180.00,Metadata!U127&lt;=180.00))</f>
        <v>0</v>
      </c>
      <c r="BH127">
        <f>AND(IF(Metadata!V127="",FALSE,TRUE),exact(Metadata!V127,"Decimal degrees"))</f>
        <v>0</v>
      </c>
      <c r="BI127">
        <f>IF(Metadata!W127="",FALSE,TRUE)</f>
        <v>0</v>
      </c>
      <c r="BJ127">
        <f>OR(AND(IF(Metadata!X127="",FALSE,TRUE),OR(exact(Metadata!X127,"not collected"),exact(Metadata!X127,"not provided"),exact(Metadata!X127,"restricted access"))),AND(IF(Metadata!X127="",FALSE,TRUE),OR(exact(Metadata!X127,"TRUE"),exact(Metadata!X127,"FALSE"))))</f>
        <v>0</v>
      </c>
      <c r="BK127">
        <f>AND(IF(Metadata!Y127="",FALSE,TRUE),exact(Metadata!Y127,"other"))</f>
        <v>0</v>
      </c>
      <c r="BL127">
        <f>IF(Metadata!Z127="",FALSE,TRUE)</f>
        <v>0</v>
      </c>
      <c r="BM127">
        <f>OR(AND(IF(Metadata!AA127="",FALSE,TRUE),OR(exact(Metadata!AA127,"not collected"),exact(Metadata!AA127,"not provided"))),AND(IF(Metadata!AA127="",FALSE,IF(ISERROR(INT(Metadata!AA127)),FALSE,INT(Metadata!AA127)=Metadata!AA127)),Metadata!AA127&gt;0))</f>
        <v>0</v>
      </c>
      <c r="BN127">
        <f>AND(IF(Metadata!AB127="",FALSE,TRUE),exact(Metadata!AB127,"Not applicable"))</f>
        <v>0</v>
      </c>
      <c r="BO127">
        <f>IF(Metadata!AC127="",FALSE,TRUE)</f>
        <v>0</v>
      </c>
    </row>
    <row r="128" spans="1:67">
      <c r="A128" s="5">
        <f>IF(B128=" "," ",HYPERLINK(CONCATENATE("#metadata!",ADDRESS(INDEX($AI$2:$AI$1001,MATCH(ROWS($AG$2:AG128),$AG$2:$AG$1001,0),0),1)),INDEX($AL$2:$AL$1001,MATCH(ROWS($AG$2:AG128),$AG$2:$AG$1001,0),0)))</f>
        <v>0</v>
      </c>
      <c r="B128" s="4">
        <f>IF(OR(INDEX($AH$2:$AH$1001,MATCH(ROWS($AG$2:AG128),$AG$2:$AG$1001,0),1)&gt;=100000,INDEX($AN$1005:$BO$1005,1,MATCH(COLUMNS($AN$1006:AN1006),$AN$1006:$BO$1006,0))&gt;=100000), " ",IF(INDEX($AN$2:$BO$1001,MATCH(ROWS($AG$2:AG128),$AG$2:$AG$1001,0),MATCH(COLUMNS($AN$1006:AN1006),$AN$1006:$BO$1006,0)), HYPERLINK("#",""), HYPERLINK(CONCATENATE("#Metadata!", ADDRESS(INDEX($AI$2:$AI$1001,MATCH(ROWS($AG$2:AG128),$AG$2:$AG$1001,0),0), INDEX($AN$1004:$BO$1004,1,MATCH(COLUMNS($AN$1006:AN1006),$AN$1006:$BO$1006,0)))),"Fix")))</f>
        <v>0</v>
      </c>
      <c r="C128" s="4">
        <f>IF(OR(INDEX($AH$2:$AH$1001,MATCH(ROWS($AG$2:AG128),$AG$2:$AG$1001,0),1)&gt;=100000,INDEX($AN$1005:$BO$1005,1,MATCH(COLUMNS($AN$1006:AO1006),$AN$1006:$BO$1006,0))&gt;=100000), " ",IF(INDEX($AN$2:$BO$1001,MATCH(ROWS($AG$2:AG128),$AG$2:$AG$1001,0),MATCH(COLUMNS($AN$1006:AO1006),$AN$1006:$BO$1006,0)), HYPERLINK("#",""), HYPERLINK(CONCATENATE("#Metadata!", ADDRESS(INDEX($AI$2:$AI$1001,MATCH(ROWS($AG$2:AG128),$AG$2:$AG$1001,0),0), INDEX($AN$1004:$BO$1004,1,MATCH(COLUMNS($AN$1006:AO1006),$AN$1006:$BO$1006,0)))),"Fix")))</f>
        <v>0</v>
      </c>
      <c r="D128" s="4">
        <f>IF(OR(INDEX($AH$2:$AH$1001,MATCH(ROWS($AG$2:AG128),$AG$2:$AG$1001,0),1)&gt;=100000,INDEX($AN$1005:$BO$1005,1,MATCH(COLUMNS($AN$1006:AP1006),$AN$1006:$BO$1006,0))&gt;=100000), " ",IF(INDEX($AN$2:$BO$1001,MATCH(ROWS($AG$2:AG128),$AG$2:$AG$1001,0),MATCH(COLUMNS($AN$1006:AP1006),$AN$1006:$BO$1006,0)), HYPERLINK("#",""), HYPERLINK(CONCATENATE("#Metadata!", ADDRESS(INDEX($AI$2:$AI$1001,MATCH(ROWS($AG$2:AG128),$AG$2:$AG$1001,0),0), INDEX($AN$1004:$BO$1004,1,MATCH(COLUMNS($AN$1006:AP1006),$AN$1006:$BO$1006,0)))),"Fix")))</f>
        <v>0</v>
      </c>
      <c r="E128" s="4">
        <f>IF(OR(INDEX($AH$2:$AH$1001,MATCH(ROWS($AG$2:AG128),$AG$2:$AG$1001,0),1)&gt;=100000,INDEX($AN$1005:$BO$1005,1,MATCH(COLUMNS($AN$1006:AQ1006),$AN$1006:$BO$1006,0))&gt;=100000), " ",IF(INDEX($AN$2:$BO$1001,MATCH(ROWS($AG$2:AG128),$AG$2:$AG$1001,0),MATCH(COLUMNS($AN$1006:AQ1006),$AN$1006:$BO$1006,0)), HYPERLINK("#",""), HYPERLINK(CONCATENATE("#Metadata!", ADDRESS(INDEX($AI$2:$AI$1001,MATCH(ROWS($AG$2:AG128),$AG$2:$AG$1001,0),0), INDEX($AN$1004:$BO$1004,1,MATCH(COLUMNS($AN$1006:AQ1006),$AN$1006:$BO$1006,0)))),"Fix")))</f>
        <v>0</v>
      </c>
      <c r="F128" s="4">
        <f>IF(OR(INDEX($AH$2:$AH$1001,MATCH(ROWS($AG$2:AG128),$AG$2:$AG$1001,0),1)&gt;=100000,INDEX($AN$1005:$BO$1005,1,MATCH(COLUMNS($AN$1006:AR1006),$AN$1006:$BO$1006,0))&gt;=100000), " ",IF(INDEX($AN$2:$BO$1001,MATCH(ROWS($AG$2:AG128),$AG$2:$AG$1001,0),MATCH(COLUMNS($AN$1006:AR1006),$AN$1006:$BO$1006,0)), HYPERLINK("#",""), HYPERLINK(CONCATENATE("#Metadata!", ADDRESS(INDEX($AI$2:$AI$1001,MATCH(ROWS($AG$2:AG128),$AG$2:$AG$1001,0),0), INDEX($AN$1004:$BO$1004,1,MATCH(COLUMNS($AN$1006:AR1006),$AN$1006:$BO$1006,0)))),"Fix")))</f>
        <v>0</v>
      </c>
      <c r="G128" s="4">
        <f>IF(OR(INDEX($AH$2:$AH$1001,MATCH(ROWS($AG$2:AG128),$AG$2:$AG$1001,0),1)&gt;=100000,INDEX($AN$1005:$BO$1005,1,MATCH(COLUMNS($AN$1006:AS1006),$AN$1006:$BO$1006,0))&gt;=100000), " ",IF(INDEX($AN$2:$BO$1001,MATCH(ROWS($AG$2:AG128),$AG$2:$AG$1001,0),MATCH(COLUMNS($AN$1006:AS1006),$AN$1006:$BO$1006,0)), HYPERLINK("#",""), HYPERLINK(CONCATENATE("#Metadata!", ADDRESS(INDEX($AI$2:$AI$1001,MATCH(ROWS($AG$2:AG128),$AG$2:$AG$1001,0),0), INDEX($AN$1004:$BO$1004,1,MATCH(COLUMNS($AN$1006:AS1006),$AN$1006:$BO$1006,0)))),"Fix")))</f>
        <v>0</v>
      </c>
      <c r="H128" s="4">
        <f>IF(OR(INDEX($AH$2:$AH$1001,MATCH(ROWS($AG$2:AG128),$AG$2:$AG$1001,0),1)&gt;=100000,INDEX($AN$1005:$BO$1005,1,MATCH(COLUMNS($AN$1006:AT1006),$AN$1006:$BO$1006,0))&gt;=100000), " ",IF(INDEX($AN$2:$BO$1001,MATCH(ROWS($AG$2:AG128),$AG$2:$AG$1001,0),MATCH(COLUMNS($AN$1006:AT1006),$AN$1006:$BO$1006,0)), HYPERLINK("#",""), HYPERLINK(CONCATENATE("#Metadata!", ADDRESS(INDEX($AI$2:$AI$1001,MATCH(ROWS($AG$2:AG128),$AG$2:$AG$1001,0),0), INDEX($AN$1004:$BO$1004,1,MATCH(COLUMNS($AN$1006:AT1006),$AN$1006:$BO$1006,0)))),"Fix")))</f>
        <v>0</v>
      </c>
      <c r="I128" s="4">
        <f>IF(OR(INDEX($AH$2:$AH$1001,MATCH(ROWS($AG$2:AG128),$AG$2:$AG$1001,0),1)&gt;=100000,INDEX($AN$1005:$BO$1005,1,MATCH(COLUMNS($AN$1006:AU1006),$AN$1006:$BO$1006,0))&gt;=100000), " ",IF(INDEX($AN$2:$BO$1001,MATCH(ROWS($AG$2:AG128),$AG$2:$AG$1001,0),MATCH(COLUMNS($AN$1006:AU1006),$AN$1006:$BO$1006,0)), HYPERLINK("#",""), HYPERLINK(CONCATENATE("#Metadata!", ADDRESS(INDEX($AI$2:$AI$1001,MATCH(ROWS($AG$2:AG128),$AG$2:$AG$1001,0),0), INDEX($AN$1004:$BO$1004,1,MATCH(COLUMNS($AN$1006:AU1006),$AN$1006:$BO$1006,0)))),"Fix")))</f>
        <v>0</v>
      </c>
      <c r="J128" s="4">
        <f>IF(OR(INDEX($AH$2:$AH$1001,MATCH(ROWS($AG$2:AG128),$AG$2:$AG$1001,0),1)&gt;=100000,INDEX($AN$1005:$BO$1005,1,MATCH(COLUMNS($AN$1006:AV1006),$AN$1006:$BO$1006,0))&gt;=100000), " ",IF(INDEX($AN$2:$BO$1001,MATCH(ROWS($AG$2:AG128),$AG$2:$AG$1001,0),MATCH(COLUMNS($AN$1006:AV1006),$AN$1006:$BO$1006,0)), HYPERLINK("#",""), HYPERLINK(CONCATENATE("#Metadata!", ADDRESS(INDEX($AI$2:$AI$1001,MATCH(ROWS($AG$2:AG128),$AG$2:$AG$1001,0),0), INDEX($AN$1004:$BO$1004,1,MATCH(COLUMNS($AN$1006:AV1006),$AN$1006:$BO$1006,0)))),"Fix")))</f>
        <v>0</v>
      </c>
      <c r="K128" s="4">
        <f>IF(OR(INDEX($AH$2:$AH$1001,MATCH(ROWS($AG$2:AG128),$AG$2:$AG$1001,0),1)&gt;=100000,INDEX($AN$1005:$BO$1005,1,MATCH(COLUMNS($AN$1006:AW1006),$AN$1006:$BO$1006,0))&gt;=100000), " ",IF(INDEX($AN$2:$BO$1001,MATCH(ROWS($AG$2:AG128),$AG$2:$AG$1001,0),MATCH(COLUMNS($AN$1006:AW1006),$AN$1006:$BO$1006,0)), HYPERLINK("#",""), HYPERLINK(CONCATENATE("#Metadata!", ADDRESS(INDEX($AI$2:$AI$1001,MATCH(ROWS($AG$2:AG128),$AG$2:$AG$1001,0),0), INDEX($AN$1004:$BO$1004,1,MATCH(COLUMNS($AN$1006:AW1006),$AN$1006:$BO$1006,0)))),"Fix")))</f>
        <v>0</v>
      </c>
      <c r="L128" s="4">
        <f>IF(OR(INDEX($AH$2:$AH$1001,MATCH(ROWS($AG$2:AG128),$AG$2:$AG$1001,0),1)&gt;=100000,INDEX($AN$1005:$BO$1005,1,MATCH(COLUMNS($AN$1006:AX1006),$AN$1006:$BO$1006,0))&gt;=100000), " ",IF(INDEX($AN$2:$BO$1001,MATCH(ROWS($AG$2:AG128),$AG$2:$AG$1001,0),MATCH(COLUMNS($AN$1006:AX1006),$AN$1006:$BO$1006,0)), HYPERLINK("#",""), HYPERLINK(CONCATENATE("#Metadata!", ADDRESS(INDEX($AI$2:$AI$1001,MATCH(ROWS($AG$2:AG128),$AG$2:$AG$1001,0),0), INDEX($AN$1004:$BO$1004,1,MATCH(COLUMNS($AN$1006:AX1006),$AN$1006:$BO$1006,0)))),"Fix")))</f>
        <v>0</v>
      </c>
      <c r="M128" s="4">
        <f>IF(OR(INDEX($AH$2:$AH$1001,MATCH(ROWS($AG$2:AG128),$AG$2:$AG$1001,0),1)&gt;=100000,INDEX($AN$1005:$BO$1005,1,MATCH(COLUMNS($AN$1006:AY1006),$AN$1006:$BO$1006,0))&gt;=100000), " ",IF(INDEX($AN$2:$BO$1001,MATCH(ROWS($AG$2:AG128),$AG$2:$AG$1001,0),MATCH(COLUMNS($AN$1006:AY1006),$AN$1006:$BO$1006,0)), HYPERLINK("#",""), HYPERLINK(CONCATENATE("#Metadata!", ADDRESS(INDEX($AI$2:$AI$1001,MATCH(ROWS($AG$2:AG128),$AG$2:$AG$1001,0),0), INDEX($AN$1004:$BO$1004,1,MATCH(COLUMNS($AN$1006:AY1006),$AN$1006:$BO$1006,0)))),"Fix")))</f>
        <v>0</v>
      </c>
      <c r="N128" s="4">
        <f>IF(OR(INDEX($AH$2:$AH$1001,MATCH(ROWS($AG$2:AG128),$AG$2:$AG$1001,0),1)&gt;=100000,INDEX($AN$1005:$BO$1005,1,MATCH(COLUMNS($AN$1006:AZ1006),$AN$1006:$BO$1006,0))&gt;=100000), " ",IF(INDEX($AN$2:$BO$1001,MATCH(ROWS($AG$2:AG128),$AG$2:$AG$1001,0),MATCH(COLUMNS($AN$1006:AZ1006),$AN$1006:$BO$1006,0)), HYPERLINK("#",""), HYPERLINK(CONCATENATE("#Metadata!", ADDRESS(INDEX($AI$2:$AI$1001,MATCH(ROWS($AG$2:AG128),$AG$2:$AG$1001,0),0), INDEX($AN$1004:$BO$1004,1,MATCH(COLUMNS($AN$1006:AZ1006),$AN$1006:$BO$1006,0)))),"Fix")))</f>
        <v>0</v>
      </c>
      <c r="O128" s="4">
        <f>IF(OR(INDEX($AH$2:$AH$1001,MATCH(ROWS($AG$2:AG128),$AG$2:$AG$1001,0),1)&gt;=100000,INDEX($AN$1005:$BO$1005,1,MATCH(COLUMNS($AN$1006:BA1006),$AN$1006:$BO$1006,0))&gt;=100000), " ",IF(INDEX($AN$2:$BO$1001,MATCH(ROWS($AG$2:AG128),$AG$2:$AG$1001,0),MATCH(COLUMNS($AN$1006:BA1006),$AN$1006:$BO$1006,0)), HYPERLINK("#",""), HYPERLINK(CONCATENATE("#Metadata!", ADDRESS(INDEX($AI$2:$AI$1001,MATCH(ROWS($AG$2:AG128),$AG$2:$AG$1001,0),0), INDEX($AN$1004:$BO$1004,1,MATCH(COLUMNS($AN$1006:BA1006),$AN$1006:$BO$1006,0)))),"Fix")))</f>
        <v>0</v>
      </c>
      <c r="P128" s="4">
        <f>IF(OR(INDEX($AH$2:$AH$1001,MATCH(ROWS($AG$2:AG128),$AG$2:$AG$1001,0),1)&gt;=100000,INDEX($AN$1005:$BO$1005,1,MATCH(COLUMNS($AN$1006:BB1006),$AN$1006:$BO$1006,0))&gt;=100000), " ",IF(INDEX($AN$2:$BO$1001,MATCH(ROWS($AG$2:AG128),$AG$2:$AG$1001,0),MATCH(COLUMNS($AN$1006:BB1006),$AN$1006:$BO$1006,0)), HYPERLINK("#",""), HYPERLINK(CONCATENATE("#Metadata!", ADDRESS(INDEX($AI$2:$AI$1001,MATCH(ROWS($AG$2:AG128),$AG$2:$AG$1001,0),0), INDEX($AN$1004:$BO$1004,1,MATCH(COLUMNS($AN$1006:BB1006),$AN$1006:$BO$1006,0)))),"Fix")))</f>
        <v>0</v>
      </c>
      <c r="Q128" s="4">
        <f>IF(OR(INDEX($AH$2:$AH$1001,MATCH(ROWS($AG$2:AG128),$AG$2:$AG$1001,0),1)&gt;=100000,INDEX($AN$1005:$BO$1005,1,MATCH(COLUMNS($AN$1006:BC1006),$AN$1006:$BO$1006,0))&gt;=100000), " ",IF(INDEX($AN$2:$BO$1001,MATCH(ROWS($AG$2:AG128),$AG$2:$AG$1001,0),MATCH(COLUMNS($AN$1006:BC1006),$AN$1006:$BO$1006,0)), HYPERLINK("#",""), HYPERLINK(CONCATENATE("#Metadata!", ADDRESS(INDEX($AI$2:$AI$1001,MATCH(ROWS($AG$2:AG128),$AG$2:$AG$1001,0),0), INDEX($AN$1004:$BO$1004,1,MATCH(COLUMNS($AN$1006:BC1006),$AN$1006:$BO$1006,0)))),"Fix")))</f>
        <v>0</v>
      </c>
      <c r="R128" s="4">
        <f>IF(OR(INDEX($AH$2:$AH$1001,MATCH(ROWS($AG$2:AG128),$AG$2:$AG$1001,0),1)&gt;=100000,INDEX($AN$1005:$BO$1005,1,MATCH(COLUMNS($AN$1006:BD1006),$AN$1006:$BO$1006,0))&gt;=100000), " ",IF(INDEX($AN$2:$BO$1001,MATCH(ROWS($AG$2:AG128),$AG$2:$AG$1001,0),MATCH(COLUMNS($AN$1006:BD1006),$AN$1006:$BO$1006,0)), HYPERLINK("#",""), HYPERLINK(CONCATENATE("#Metadata!", ADDRESS(INDEX($AI$2:$AI$1001,MATCH(ROWS($AG$2:AG128),$AG$2:$AG$1001,0),0), INDEX($AN$1004:$BO$1004,1,MATCH(COLUMNS($AN$1006:BD1006),$AN$1006:$BO$1006,0)))),"Fix")))</f>
        <v>0</v>
      </c>
      <c r="S128" s="4">
        <f>IF(OR(INDEX($AH$2:$AH$1001,MATCH(ROWS($AG$2:AG128),$AG$2:$AG$1001,0),1)&gt;=100000,INDEX($AN$1005:$BO$1005,1,MATCH(COLUMNS($AN$1006:BE1006),$AN$1006:$BO$1006,0))&gt;=100000), " ",IF(INDEX($AN$2:$BO$1001,MATCH(ROWS($AG$2:AG128),$AG$2:$AG$1001,0),MATCH(COLUMNS($AN$1006:BE1006),$AN$1006:$BO$1006,0)), HYPERLINK("#",""), HYPERLINK(CONCATENATE("#Metadata!", ADDRESS(INDEX($AI$2:$AI$1001,MATCH(ROWS($AG$2:AG128),$AG$2:$AG$1001,0),0), INDEX($AN$1004:$BO$1004,1,MATCH(COLUMNS($AN$1006:BE1006),$AN$1006:$BO$1006,0)))),"Fix")))</f>
        <v>0</v>
      </c>
      <c r="T128" s="4">
        <f>IF(OR(INDEX($AH$2:$AH$1001,MATCH(ROWS($AG$2:AG128),$AG$2:$AG$1001,0),1)&gt;=100000,INDEX($AN$1005:$BO$1005,1,MATCH(COLUMNS($AN$1006:BF1006),$AN$1006:$BO$1006,0))&gt;=100000), " ",IF(INDEX($AN$2:$BO$1001,MATCH(ROWS($AG$2:AG128),$AG$2:$AG$1001,0),MATCH(COLUMNS($AN$1006:BF1006),$AN$1006:$BO$1006,0)), HYPERLINK("#",""), HYPERLINK(CONCATENATE("#Metadata!", ADDRESS(INDEX($AI$2:$AI$1001,MATCH(ROWS($AG$2:AG128),$AG$2:$AG$1001,0),0), INDEX($AN$1004:$BO$1004,1,MATCH(COLUMNS($AN$1006:BF1006),$AN$1006:$BO$1006,0)))),"Fix")))</f>
        <v>0</v>
      </c>
      <c r="U128" s="4">
        <f>IF(OR(INDEX($AH$2:$AH$1001,MATCH(ROWS($AG$2:AG128),$AG$2:$AG$1001,0),1)&gt;=100000,INDEX($AN$1005:$BO$1005,1,MATCH(COLUMNS($AN$1006:BG1006),$AN$1006:$BO$1006,0))&gt;=100000), " ",IF(INDEX($AN$2:$BO$1001,MATCH(ROWS($AG$2:AG128),$AG$2:$AG$1001,0),MATCH(COLUMNS($AN$1006:BG1006),$AN$1006:$BO$1006,0)), HYPERLINK("#",""), HYPERLINK(CONCATENATE("#Metadata!", ADDRESS(INDEX($AI$2:$AI$1001,MATCH(ROWS($AG$2:AG128),$AG$2:$AG$1001,0),0), INDEX($AN$1004:$BO$1004,1,MATCH(COLUMNS($AN$1006:BG1006),$AN$1006:$BO$1006,0)))),"Fix")))</f>
        <v>0</v>
      </c>
      <c r="V128" s="4">
        <f>IF(OR(INDEX($AH$2:$AH$1001,MATCH(ROWS($AG$2:AG128),$AG$2:$AG$1001,0),1)&gt;=100000,INDEX($AN$1005:$BO$1005,1,MATCH(COLUMNS($AN$1006:BH1006),$AN$1006:$BO$1006,0))&gt;=100000), " ",IF(INDEX($AN$2:$BO$1001,MATCH(ROWS($AG$2:AG128),$AG$2:$AG$1001,0),MATCH(COLUMNS($AN$1006:BH1006),$AN$1006:$BO$1006,0)), HYPERLINK("#",""), HYPERLINK(CONCATENATE("#Metadata!", ADDRESS(INDEX($AI$2:$AI$1001,MATCH(ROWS($AG$2:AG128),$AG$2:$AG$1001,0),0), INDEX($AN$1004:$BO$1004,1,MATCH(COLUMNS($AN$1006:BH1006),$AN$1006:$BO$1006,0)))),"Fix")))</f>
        <v>0</v>
      </c>
      <c r="W128" s="4">
        <f>IF(OR(INDEX($AH$2:$AH$1001,MATCH(ROWS($AG$2:AG128),$AG$2:$AG$1001,0),1)&gt;=100000,INDEX($AN$1005:$BO$1005,1,MATCH(COLUMNS($AN$1006:BI1006),$AN$1006:$BO$1006,0))&gt;=100000), " ",IF(INDEX($AN$2:$BO$1001,MATCH(ROWS($AG$2:AG128),$AG$2:$AG$1001,0),MATCH(COLUMNS($AN$1006:BI1006),$AN$1006:$BO$1006,0)), HYPERLINK("#",""), HYPERLINK(CONCATENATE("#Metadata!", ADDRESS(INDEX($AI$2:$AI$1001,MATCH(ROWS($AG$2:AG128),$AG$2:$AG$1001,0),0), INDEX($AN$1004:$BO$1004,1,MATCH(COLUMNS($AN$1006:BI1006),$AN$1006:$BO$1006,0)))),"Fix")))</f>
        <v>0</v>
      </c>
      <c r="X128" s="4">
        <f>IF(OR(INDEX($AH$2:$AH$1001,MATCH(ROWS($AG$2:AG128),$AG$2:$AG$1001,0),1)&gt;=100000,INDEX($AN$1005:$BO$1005,1,MATCH(COLUMNS($AN$1006:BJ1006),$AN$1006:$BO$1006,0))&gt;=100000), " ",IF(INDEX($AN$2:$BO$1001,MATCH(ROWS($AG$2:AG128),$AG$2:$AG$1001,0),MATCH(COLUMNS($AN$1006:BJ1006),$AN$1006:$BO$1006,0)), HYPERLINK("#",""), HYPERLINK(CONCATENATE("#Metadata!", ADDRESS(INDEX($AI$2:$AI$1001,MATCH(ROWS($AG$2:AG128),$AG$2:$AG$1001,0),0), INDEX($AN$1004:$BO$1004,1,MATCH(COLUMNS($AN$1006:BJ1006),$AN$1006:$BO$1006,0)))),"Fix")))</f>
        <v>0</v>
      </c>
      <c r="Y128" s="4">
        <f>IF(OR(INDEX($AH$2:$AH$1001,MATCH(ROWS($AG$2:AG128),$AG$2:$AG$1001,0),1)&gt;=100000,INDEX($AN$1005:$BO$1005,1,MATCH(COLUMNS($AN$1006:BK1006),$AN$1006:$BO$1006,0))&gt;=100000), " ",IF(INDEX($AN$2:$BO$1001,MATCH(ROWS($AG$2:AG128),$AG$2:$AG$1001,0),MATCH(COLUMNS($AN$1006:BK1006),$AN$1006:$BO$1006,0)), HYPERLINK("#",""), HYPERLINK(CONCATENATE("#Metadata!", ADDRESS(INDEX($AI$2:$AI$1001,MATCH(ROWS($AG$2:AG128),$AG$2:$AG$1001,0),0), INDEX($AN$1004:$BO$1004,1,MATCH(COLUMNS($AN$1006:BK1006),$AN$1006:$BO$1006,0)))),"Fix")))</f>
        <v>0</v>
      </c>
      <c r="Z128" s="4">
        <f>IF(OR(INDEX($AH$2:$AH$1001,MATCH(ROWS($AG$2:AG128),$AG$2:$AG$1001,0),1)&gt;=100000,INDEX($AN$1005:$BO$1005,1,MATCH(COLUMNS($AN$1006:BL1006),$AN$1006:$BO$1006,0))&gt;=100000), " ",IF(INDEX($AN$2:$BO$1001,MATCH(ROWS($AG$2:AG128),$AG$2:$AG$1001,0),MATCH(COLUMNS($AN$1006:BL1006),$AN$1006:$BO$1006,0)), HYPERLINK("#",""), HYPERLINK(CONCATENATE("#Metadata!", ADDRESS(INDEX($AI$2:$AI$1001,MATCH(ROWS($AG$2:AG128),$AG$2:$AG$1001,0),0), INDEX($AN$1004:$BO$1004,1,MATCH(COLUMNS($AN$1006:BL1006),$AN$1006:$BO$1006,0)))),"Fix")))</f>
        <v>0</v>
      </c>
      <c r="AA128" s="4">
        <f>IF(OR(INDEX($AH$2:$AH$1001,MATCH(ROWS($AG$2:AG128),$AG$2:$AG$1001,0),1)&gt;=100000,INDEX($AN$1005:$BO$1005,1,MATCH(COLUMNS($AN$1006:BM1006),$AN$1006:$BO$1006,0))&gt;=100000), " ",IF(INDEX($AN$2:$BO$1001,MATCH(ROWS($AG$2:AG128),$AG$2:$AG$1001,0),MATCH(COLUMNS($AN$1006:BM1006),$AN$1006:$BO$1006,0)), HYPERLINK("#",""), HYPERLINK(CONCATENATE("#Metadata!", ADDRESS(INDEX($AI$2:$AI$1001,MATCH(ROWS($AG$2:AG128),$AG$2:$AG$1001,0),0), INDEX($AN$1004:$BO$1004,1,MATCH(COLUMNS($AN$1006:BM1006),$AN$1006:$BO$1006,0)))),"Fix")))</f>
        <v>0</v>
      </c>
      <c r="AB128" s="4">
        <f>IF(OR(INDEX($AH$2:$AH$1001,MATCH(ROWS($AG$2:AG128),$AG$2:$AG$1001,0),1)&gt;=100000,INDEX($AN$1005:$BO$1005,1,MATCH(COLUMNS($AN$1006:BN1006),$AN$1006:$BO$1006,0))&gt;=100000), " ",IF(INDEX($AN$2:$BO$1001,MATCH(ROWS($AG$2:AG128),$AG$2:$AG$1001,0),MATCH(COLUMNS($AN$1006:BN1006),$AN$1006:$BO$1006,0)), HYPERLINK("#",""), HYPERLINK(CONCATENATE("#Metadata!", ADDRESS(INDEX($AI$2:$AI$1001,MATCH(ROWS($AG$2:AG128),$AG$2:$AG$1001,0),0), INDEX($AN$1004:$BO$1004,1,MATCH(COLUMNS($AN$1006:BN1006),$AN$1006:$BO$1006,0)))),"Fix")))</f>
        <v>0</v>
      </c>
      <c r="AC128" s="4">
        <f>IF(OR(INDEX($AH$2:$AH$1001,MATCH(ROWS($AG$2:AG128),$AG$2:$AG$1001,0),1)&gt;=100000,INDEX($AN$1005:$BO$1005,1,MATCH(COLUMNS($AN$1006:BO1006),$AN$1006:$BO$1006,0))&gt;=100000), " ",IF(INDEX($AN$2:$BO$1001,MATCH(ROWS($AG$2:AG128),$AG$2:$AG$1001,0),MATCH(COLUMNS($AN$1006:BO1006),$AN$1006:$BO$1006,0)), HYPERLINK("#",""), HYPERLINK(CONCATENATE("#Metadata!", ADDRESS(INDEX($AI$2:$AI$1001,MATCH(ROWS($AG$2:AG128),$AG$2:$AG$1001,0),0), INDEX($AN$1004:$BO$1004,1,MATCH(COLUMNS($AN$1006:BO1006),$AN$1006:$BO$1006,0)))),"Fix")))</f>
        <v>0</v>
      </c>
      <c r="AG128">
        <v>0</v>
      </c>
      <c r="AH128">
        <v>0</v>
      </c>
      <c r="AI128">
        <v>0</v>
      </c>
      <c r="AJ128">
        <f>IF(AK128,TRUE,AND(AN128:BO128))</f>
        <v>0</v>
      </c>
      <c r="AK128">
        <f>COUNTBLANK(Metadata!B128:AC128)=COLUMNS(Metadata!B128:AC128)</f>
        <v>0</v>
      </c>
      <c r="AL128">
        <v>0</v>
      </c>
      <c r="AN128">
        <f>AND(IF(Metadata!B128="",FALSE,TRUE),COUNTIF(Metadata!B:B, Metadata!B128) = 1,NOT(ISERROR(SUMPRODUCT(SEARCH(MID(Metadata!B128,ROW(INDIRECT("1:"&amp;LEN(Metadata!B128))), 1),"0123456789abcdefghijklmnopqrstuvwxyzABCDEFGHIJKLMNOPQRSTUVWXYZ.")))))</f>
        <v>0</v>
      </c>
      <c r="AO128">
        <f>IF(Metadata!C128="",FALSE,TRUE)</f>
        <v>0</v>
      </c>
      <c r="AP128">
        <f>IF(Metadata!D128="",FALSE,TRUE)</f>
        <v>0</v>
      </c>
      <c r="AQ128">
        <f>OR(AND(IF(Metadata!E128="",FALSE,TRUE),OR(exact(Metadata!E128,"not collected"),exact(Metadata!E128,"not provided"),exact(Metadata!E128,"restricted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R128">
        <f>IF(Metadata!F128="",FALSE,TRUE)</f>
        <v>0</v>
      </c>
      <c r="AS128">
        <f>OR(AND(IF(Metadata!G128="",FALSE,TRUE),OR(exact(Metadata!G128,"not collected"),exact(Metadata!G128,"not provided"))),AND(IF(Metadata!G128="",FALSE,TRUE),OR(exact(Metadata!G128,"TRUE"),exact(Metadata!G128,"FALSE"))))</f>
        <v>0</v>
      </c>
      <c r="AT128">
        <f>OR(AND(IF(Metadata!H128="",FALSE,TRUE),OR(exact(Metadata!H128,"not collected"),exact(Metadata!H128,"not provided"),exact(Metadata!H128,"restricted access"))),AND(IF(Metadata!H128="",FALSE,ISNUMBER(VALUE(Metadata!H128))),Metadata!H128&gt;=-413.0))</f>
        <v>0</v>
      </c>
      <c r="AU128">
        <f>AND(IF(Metadata!I128="",FALSE,TRUE),exact(Metadata!I128,"meters"))</f>
        <v>0</v>
      </c>
      <c r="AV128">
        <f>AND(IF(Metadata!J128="",FALSE,TRUE),OR(exact(Metadata!J128,"Host-associated"),exact(Metadata!J128,"Free-living")))</f>
        <v>0</v>
      </c>
      <c r="AW128">
        <f>AND(IF(Metadata!K128="",FALSE,TRUE),OR(exact(Metadata!K128,"Animal"),exact(Metadata!K128,"Fungus"),exact(Metadata!K128,"Plant"),exact(Metadata!K128,"Saline"),exact(Metadata!K128,"Non-saline")))</f>
        <v>0</v>
      </c>
      <c r="AX128">
        <f>AND(IF(Metadata!L128="",FALSE,TRUE),OR(exact(Metadata!L128,"Plant secretion"),exact(Metadata!L128,"Plant rhizosphere"),exact(Metadata!L128,"Plant surface"),exact(Metadata!L128,"Plant corpus"),exact(Metadata!L128,"Fungus surface"),exact(Metadata!L128,"Fungus corpus"),exact(Metadata!L128,"Animal surface"),exact(Metadata!L128,"Animal proximal gut"),exact(Metadata!L128,"Animal corpus"),exact(Metadata!L128,"Animal distal gut"),exact(Metadata!L128,"Animal secretion"),exact(Metadata!L128,"Sub-surface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Y128">
        <f>IF(Metadata!M128="",FALSE,TRUE)</f>
        <v>0</v>
      </c>
      <c r="AZ128">
        <f>IF(Metadata!N128="",FALSE,TRUE)</f>
        <v>0</v>
      </c>
      <c r="BA128">
        <f>IF(Metadata!O128="",FALSE,TRUE)</f>
        <v>0</v>
      </c>
      <c r="BB128">
        <f>OR(AND(IF(Metadata!P128="",FALSE,TRUE),OR(exact(Metadata!P128,"not collected"),exact(Metadata!P128,"not provided"),exact(Metadata!P128,"restricted access"))),AND(IF(Metadata!P128="",FALSE,TRUE),OR(exact(Metadata!P128,"air"),exact(Metadata!P128,"built environment"),exact(Metadata!P128,"host-associated"),exact(Metadata!P128,"human-associated"),exact(Metadata!P128,"human-skin"),exact(Metadata!P128,"human-oral"),exact(Metadata!P128,"human-gut"),exact(Metadata!P128,"human-vaginal"),exact(Metadata!P128,"microbial mat/biofilm"),exact(Metadata!P128,"misc environment"),exact(Metadata!P128,"plant-associated"),exact(Metadata!P128,"sediment"),exact(Metadata!P128,"soil"),exact(Metadata!P128,"wastewater/sludge"),exact(Metadata!P128,"water"))))</f>
        <v>0</v>
      </c>
      <c r="BC128">
        <f>IF(Metadata!Q128="",FALSE,TRUE)</f>
        <v>0</v>
      </c>
      <c r="BD128">
        <f>IF(Metadata!R128="",FALSE,TRUE)</f>
        <v>0</v>
      </c>
      <c r="BE128">
        <f>OR(AND(IF(Metadata!S128="",FALSE,TRUE),OR(exact(Metadata!S128,"not collected"),exact(Metadata!S128,"not provided"),exact(Metadata!S128,"restricted access"))),AND(IF(Metadata!S128="",FALSE,ISNUMBER(VALUE(Metadata!S128))),Metadata!S128&gt;=-90.00,Metadata!S128&lt;=90.00))</f>
        <v>0</v>
      </c>
      <c r="BF128">
        <f>AND(IF(Metadata!T128="",FALSE,TRUE),exact(Metadata!T128,"Decimal degrees"))</f>
        <v>0</v>
      </c>
      <c r="BG128">
        <f>OR(AND(IF(Metadata!U128="",FALSE,TRUE),OR(exact(Metadata!U128,"not collected"),exact(Metadata!U128,"not provided"),exact(Metadata!U128,"restricted access"))),AND(IF(Metadata!U128="",FALSE,ISNUMBER(VALUE(Metadata!U128))),Metadata!U128&gt;=-180.00,Metadata!U128&lt;=180.00))</f>
        <v>0</v>
      </c>
      <c r="BH128">
        <f>AND(IF(Metadata!V128="",FALSE,TRUE),exact(Metadata!V128,"Decimal degrees"))</f>
        <v>0</v>
      </c>
      <c r="BI128">
        <f>IF(Metadata!W128="",FALSE,TRUE)</f>
        <v>0</v>
      </c>
      <c r="BJ128">
        <f>OR(AND(IF(Metadata!X128="",FALSE,TRUE),OR(exact(Metadata!X128,"not collected"),exact(Metadata!X128,"not provided"),exact(Metadata!X128,"restricted access"))),AND(IF(Metadata!X128="",FALSE,TRUE),OR(exact(Metadata!X128,"TRUE"),exact(Metadata!X128,"FALSE"))))</f>
        <v>0</v>
      </c>
      <c r="BK128">
        <f>AND(IF(Metadata!Y128="",FALSE,TRUE),exact(Metadata!Y128,"other"))</f>
        <v>0</v>
      </c>
      <c r="BL128">
        <f>IF(Metadata!Z128="",FALSE,TRUE)</f>
        <v>0</v>
      </c>
      <c r="BM128">
        <f>OR(AND(IF(Metadata!AA128="",FALSE,TRUE),OR(exact(Metadata!AA128,"not collected"),exact(Metadata!AA128,"not provided"))),AND(IF(Metadata!AA128="",FALSE,IF(ISERROR(INT(Metadata!AA128)),FALSE,INT(Metadata!AA128)=Metadata!AA128)),Metadata!AA128&gt;0))</f>
        <v>0</v>
      </c>
      <c r="BN128">
        <f>AND(IF(Metadata!AB128="",FALSE,TRUE),exact(Metadata!AB128,"Not applicable"))</f>
        <v>0</v>
      </c>
      <c r="BO128">
        <f>IF(Metadata!AC128="",FALSE,TRUE)</f>
        <v>0</v>
      </c>
    </row>
    <row r="129" spans="1:67">
      <c r="A129" s="5">
        <f>IF(B129=" "," ",HYPERLINK(CONCATENATE("#metadata!",ADDRESS(INDEX($AI$2:$AI$1001,MATCH(ROWS($AG$2:AG129),$AG$2:$AG$1001,0),0),1)),INDEX($AL$2:$AL$1001,MATCH(ROWS($AG$2:AG129),$AG$2:$AG$1001,0),0)))</f>
        <v>0</v>
      </c>
      <c r="B129" s="4">
        <f>IF(OR(INDEX($AH$2:$AH$1001,MATCH(ROWS($AG$2:AG129),$AG$2:$AG$1001,0),1)&gt;=100000,INDEX($AN$1005:$BO$1005,1,MATCH(COLUMNS($AN$1006:AN1006),$AN$1006:$BO$1006,0))&gt;=100000), " ",IF(INDEX($AN$2:$BO$1001,MATCH(ROWS($AG$2:AG129),$AG$2:$AG$1001,0),MATCH(COLUMNS($AN$1006:AN1006),$AN$1006:$BO$1006,0)), HYPERLINK("#",""), HYPERLINK(CONCATENATE("#Metadata!", ADDRESS(INDEX($AI$2:$AI$1001,MATCH(ROWS($AG$2:AG129),$AG$2:$AG$1001,0),0), INDEX($AN$1004:$BO$1004,1,MATCH(COLUMNS($AN$1006:AN1006),$AN$1006:$BO$1006,0)))),"Fix")))</f>
        <v>0</v>
      </c>
      <c r="C129" s="4">
        <f>IF(OR(INDEX($AH$2:$AH$1001,MATCH(ROWS($AG$2:AG129),$AG$2:$AG$1001,0),1)&gt;=100000,INDEX($AN$1005:$BO$1005,1,MATCH(COLUMNS($AN$1006:AO1006),$AN$1006:$BO$1006,0))&gt;=100000), " ",IF(INDEX($AN$2:$BO$1001,MATCH(ROWS($AG$2:AG129),$AG$2:$AG$1001,0),MATCH(COLUMNS($AN$1006:AO1006),$AN$1006:$BO$1006,0)), HYPERLINK("#",""), HYPERLINK(CONCATENATE("#Metadata!", ADDRESS(INDEX($AI$2:$AI$1001,MATCH(ROWS($AG$2:AG129),$AG$2:$AG$1001,0),0), INDEX($AN$1004:$BO$1004,1,MATCH(COLUMNS($AN$1006:AO1006),$AN$1006:$BO$1006,0)))),"Fix")))</f>
        <v>0</v>
      </c>
      <c r="D129" s="4">
        <f>IF(OR(INDEX($AH$2:$AH$1001,MATCH(ROWS($AG$2:AG129),$AG$2:$AG$1001,0),1)&gt;=100000,INDEX($AN$1005:$BO$1005,1,MATCH(COLUMNS($AN$1006:AP1006),$AN$1006:$BO$1006,0))&gt;=100000), " ",IF(INDEX($AN$2:$BO$1001,MATCH(ROWS($AG$2:AG129),$AG$2:$AG$1001,0),MATCH(COLUMNS($AN$1006:AP1006),$AN$1006:$BO$1006,0)), HYPERLINK("#",""), HYPERLINK(CONCATENATE("#Metadata!", ADDRESS(INDEX($AI$2:$AI$1001,MATCH(ROWS($AG$2:AG129),$AG$2:$AG$1001,0),0), INDEX($AN$1004:$BO$1004,1,MATCH(COLUMNS($AN$1006:AP1006),$AN$1006:$BO$1006,0)))),"Fix")))</f>
        <v>0</v>
      </c>
      <c r="E129" s="4">
        <f>IF(OR(INDEX($AH$2:$AH$1001,MATCH(ROWS($AG$2:AG129),$AG$2:$AG$1001,0),1)&gt;=100000,INDEX($AN$1005:$BO$1005,1,MATCH(COLUMNS($AN$1006:AQ1006),$AN$1006:$BO$1006,0))&gt;=100000), " ",IF(INDEX($AN$2:$BO$1001,MATCH(ROWS($AG$2:AG129),$AG$2:$AG$1001,0),MATCH(COLUMNS($AN$1006:AQ1006),$AN$1006:$BO$1006,0)), HYPERLINK("#",""), HYPERLINK(CONCATENATE("#Metadata!", ADDRESS(INDEX($AI$2:$AI$1001,MATCH(ROWS($AG$2:AG129),$AG$2:$AG$1001,0),0), INDEX($AN$1004:$BO$1004,1,MATCH(COLUMNS($AN$1006:AQ1006),$AN$1006:$BO$1006,0)))),"Fix")))</f>
        <v>0</v>
      </c>
      <c r="F129" s="4">
        <f>IF(OR(INDEX($AH$2:$AH$1001,MATCH(ROWS($AG$2:AG129),$AG$2:$AG$1001,0),1)&gt;=100000,INDEX($AN$1005:$BO$1005,1,MATCH(COLUMNS($AN$1006:AR1006),$AN$1006:$BO$1006,0))&gt;=100000), " ",IF(INDEX($AN$2:$BO$1001,MATCH(ROWS($AG$2:AG129),$AG$2:$AG$1001,0),MATCH(COLUMNS($AN$1006:AR1006),$AN$1006:$BO$1006,0)), HYPERLINK("#",""), HYPERLINK(CONCATENATE("#Metadata!", ADDRESS(INDEX($AI$2:$AI$1001,MATCH(ROWS($AG$2:AG129),$AG$2:$AG$1001,0),0), INDEX($AN$1004:$BO$1004,1,MATCH(COLUMNS($AN$1006:AR1006),$AN$1006:$BO$1006,0)))),"Fix")))</f>
        <v>0</v>
      </c>
      <c r="G129" s="4">
        <f>IF(OR(INDEX($AH$2:$AH$1001,MATCH(ROWS($AG$2:AG129),$AG$2:$AG$1001,0),1)&gt;=100000,INDEX($AN$1005:$BO$1005,1,MATCH(COLUMNS($AN$1006:AS1006),$AN$1006:$BO$1006,0))&gt;=100000), " ",IF(INDEX($AN$2:$BO$1001,MATCH(ROWS($AG$2:AG129),$AG$2:$AG$1001,0),MATCH(COLUMNS($AN$1006:AS1006),$AN$1006:$BO$1006,0)), HYPERLINK("#",""), HYPERLINK(CONCATENATE("#Metadata!", ADDRESS(INDEX($AI$2:$AI$1001,MATCH(ROWS($AG$2:AG129),$AG$2:$AG$1001,0),0), INDEX($AN$1004:$BO$1004,1,MATCH(COLUMNS($AN$1006:AS1006),$AN$1006:$BO$1006,0)))),"Fix")))</f>
        <v>0</v>
      </c>
      <c r="H129" s="4">
        <f>IF(OR(INDEX($AH$2:$AH$1001,MATCH(ROWS($AG$2:AG129),$AG$2:$AG$1001,0),1)&gt;=100000,INDEX($AN$1005:$BO$1005,1,MATCH(COLUMNS($AN$1006:AT1006),$AN$1006:$BO$1006,0))&gt;=100000), " ",IF(INDEX($AN$2:$BO$1001,MATCH(ROWS($AG$2:AG129),$AG$2:$AG$1001,0),MATCH(COLUMNS($AN$1006:AT1006),$AN$1006:$BO$1006,0)), HYPERLINK("#",""), HYPERLINK(CONCATENATE("#Metadata!", ADDRESS(INDEX($AI$2:$AI$1001,MATCH(ROWS($AG$2:AG129),$AG$2:$AG$1001,0),0), INDEX($AN$1004:$BO$1004,1,MATCH(COLUMNS($AN$1006:AT1006),$AN$1006:$BO$1006,0)))),"Fix")))</f>
        <v>0</v>
      </c>
      <c r="I129" s="4">
        <f>IF(OR(INDEX($AH$2:$AH$1001,MATCH(ROWS($AG$2:AG129),$AG$2:$AG$1001,0),1)&gt;=100000,INDEX($AN$1005:$BO$1005,1,MATCH(COLUMNS($AN$1006:AU1006),$AN$1006:$BO$1006,0))&gt;=100000), " ",IF(INDEX($AN$2:$BO$1001,MATCH(ROWS($AG$2:AG129),$AG$2:$AG$1001,0),MATCH(COLUMNS($AN$1006:AU1006),$AN$1006:$BO$1006,0)), HYPERLINK("#",""), HYPERLINK(CONCATENATE("#Metadata!", ADDRESS(INDEX($AI$2:$AI$1001,MATCH(ROWS($AG$2:AG129),$AG$2:$AG$1001,0),0), INDEX($AN$1004:$BO$1004,1,MATCH(COLUMNS($AN$1006:AU1006),$AN$1006:$BO$1006,0)))),"Fix")))</f>
        <v>0</v>
      </c>
      <c r="J129" s="4">
        <f>IF(OR(INDEX($AH$2:$AH$1001,MATCH(ROWS($AG$2:AG129),$AG$2:$AG$1001,0),1)&gt;=100000,INDEX($AN$1005:$BO$1005,1,MATCH(COLUMNS($AN$1006:AV1006),$AN$1006:$BO$1006,0))&gt;=100000), " ",IF(INDEX($AN$2:$BO$1001,MATCH(ROWS($AG$2:AG129),$AG$2:$AG$1001,0),MATCH(COLUMNS($AN$1006:AV1006),$AN$1006:$BO$1006,0)), HYPERLINK("#",""), HYPERLINK(CONCATENATE("#Metadata!", ADDRESS(INDEX($AI$2:$AI$1001,MATCH(ROWS($AG$2:AG129),$AG$2:$AG$1001,0),0), INDEX($AN$1004:$BO$1004,1,MATCH(COLUMNS($AN$1006:AV1006),$AN$1006:$BO$1006,0)))),"Fix")))</f>
        <v>0</v>
      </c>
      <c r="K129" s="4">
        <f>IF(OR(INDEX($AH$2:$AH$1001,MATCH(ROWS($AG$2:AG129),$AG$2:$AG$1001,0),1)&gt;=100000,INDEX($AN$1005:$BO$1005,1,MATCH(COLUMNS($AN$1006:AW1006),$AN$1006:$BO$1006,0))&gt;=100000), " ",IF(INDEX($AN$2:$BO$1001,MATCH(ROWS($AG$2:AG129),$AG$2:$AG$1001,0),MATCH(COLUMNS($AN$1006:AW1006),$AN$1006:$BO$1006,0)), HYPERLINK("#",""), HYPERLINK(CONCATENATE("#Metadata!", ADDRESS(INDEX($AI$2:$AI$1001,MATCH(ROWS($AG$2:AG129),$AG$2:$AG$1001,0),0), INDEX($AN$1004:$BO$1004,1,MATCH(COLUMNS($AN$1006:AW1006),$AN$1006:$BO$1006,0)))),"Fix")))</f>
        <v>0</v>
      </c>
      <c r="L129" s="4">
        <f>IF(OR(INDEX($AH$2:$AH$1001,MATCH(ROWS($AG$2:AG129),$AG$2:$AG$1001,0),1)&gt;=100000,INDEX($AN$1005:$BO$1005,1,MATCH(COLUMNS($AN$1006:AX1006),$AN$1006:$BO$1006,0))&gt;=100000), " ",IF(INDEX($AN$2:$BO$1001,MATCH(ROWS($AG$2:AG129),$AG$2:$AG$1001,0),MATCH(COLUMNS($AN$1006:AX1006),$AN$1006:$BO$1006,0)), HYPERLINK("#",""), HYPERLINK(CONCATENATE("#Metadata!", ADDRESS(INDEX($AI$2:$AI$1001,MATCH(ROWS($AG$2:AG129),$AG$2:$AG$1001,0),0), INDEX($AN$1004:$BO$1004,1,MATCH(COLUMNS($AN$1006:AX1006),$AN$1006:$BO$1006,0)))),"Fix")))</f>
        <v>0</v>
      </c>
      <c r="M129" s="4">
        <f>IF(OR(INDEX($AH$2:$AH$1001,MATCH(ROWS($AG$2:AG129),$AG$2:$AG$1001,0),1)&gt;=100000,INDEX($AN$1005:$BO$1005,1,MATCH(COLUMNS($AN$1006:AY1006),$AN$1006:$BO$1006,0))&gt;=100000), " ",IF(INDEX($AN$2:$BO$1001,MATCH(ROWS($AG$2:AG129),$AG$2:$AG$1001,0),MATCH(COLUMNS($AN$1006:AY1006),$AN$1006:$BO$1006,0)), HYPERLINK("#",""), HYPERLINK(CONCATENATE("#Metadata!", ADDRESS(INDEX($AI$2:$AI$1001,MATCH(ROWS($AG$2:AG129),$AG$2:$AG$1001,0),0), INDEX($AN$1004:$BO$1004,1,MATCH(COLUMNS($AN$1006:AY1006),$AN$1006:$BO$1006,0)))),"Fix")))</f>
        <v>0</v>
      </c>
      <c r="N129" s="4">
        <f>IF(OR(INDEX($AH$2:$AH$1001,MATCH(ROWS($AG$2:AG129),$AG$2:$AG$1001,0),1)&gt;=100000,INDEX($AN$1005:$BO$1005,1,MATCH(COLUMNS($AN$1006:AZ1006),$AN$1006:$BO$1006,0))&gt;=100000), " ",IF(INDEX($AN$2:$BO$1001,MATCH(ROWS($AG$2:AG129),$AG$2:$AG$1001,0),MATCH(COLUMNS($AN$1006:AZ1006),$AN$1006:$BO$1006,0)), HYPERLINK("#",""), HYPERLINK(CONCATENATE("#Metadata!", ADDRESS(INDEX($AI$2:$AI$1001,MATCH(ROWS($AG$2:AG129),$AG$2:$AG$1001,0),0), INDEX($AN$1004:$BO$1004,1,MATCH(COLUMNS($AN$1006:AZ1006),$AN$1006:$BO$1006,0)))),"Fix")))</f>
        <v>0</v>
      </c>
      <c r="O129" s="4">
        <f>IF(OR(INDEX($AH$2:$AH$1001,MATCH(ROWS($AG$2:AG129),$AG$2:$AG$1001,0),1)&gt;=100000,INDEX($AN$1005:$BO$1005,1,MATCH(COLUMNS($AN$1006:BA1006),$AN$1006:$BO$1006,0))&gt;=100000), " ",IF(INDEX($AN$2:$BO$1001,MATCH(ROWS($AG$2:AG129),$AG$2:$AG$1001,0),MATCH(COLUMNS($AN$1006:BA1006),$AN$1006:$BO$1006,0)), HYPERLINK("#",""), HYPERLINK(CONCATENATE("#Metadata!", ADDRESS(INDEX($AI$2:$AI$1001,MATCH(ROWS($AG$2:AG129),$AG$2:$AG$1001,0),0), INDEX($AN$1004:$BO$1004,1,MATCH(COLUMNS($AN$1006:BA1006),$AN$1006:$BO$1006,0)))),"Fix")))</f>
        <v>0</v>
      </c>
      <c r="P129" s="4">
        <f>IF(OR(INDEX($AH$2:$AH$1001,MATCH(ROWS($AG$2:AG129),$AG$2:$AG$1001,0),1)&gt;=100000,INDEX($AN$1005:$BO$1005,1,MATCH(COLUMNS($AN$1006:BB1006),$AN$1006:$BO$1006,0))&gt;=100000), " ",IF(INDEX($AN$2:$BO$1001,MATCH(ROWS($AG$2:AG129),$AG$2:$AG$1001,0),MATCH(COLUMNS($AN$1006:BB1006),$AN$1006:$BO$1006,0)), HYPERLINK("#",""), HYPERLINK(CONCATENATE("#Metadata!", ADDRESS(INDEX($AI$2:$AI$1001,MATCH(ROWS($AG$2:AG129),$AG$2:$AG$1001,0),0), INDEX($AN$1004:$BO$1004,1,MATCH(COLUMNS($AN$1006:BB1006),$AN$1006:$BO$1006,0)))),"Fix")))</f>
        <v>0</v>
      </c>
      <c r="Q129" s="4">
        <f>IF(OR(INDEX($AH$2:$AH$1001,MATCH(ROWS($AG$2:AG129),$AG$2:$AG$1001,0),1)&gt;=100000,INDEX($AN$1005:$BO$1005,1,MATCH(COLUMNS($AN$1006:BC1006),$AN$1006:$BO$1006,0))&gt;=100000), " ",IF(INDEX($AN$2:$BO$1001,MATCH(ROWS($AG$2:AG129),$AG$2:$AG$1001,0),MATCH(COLUMNS($AN$1006:BC1006),$AN$1006:$BO$1006,0)), HYPERLINK("#",""), HYPERLINK(CONCATENATE("#Metadata!", ADDRESS(INDEX($AI$2:$AI$1001,MATCH(ROWS($AG$2:AG129),$AG$2:$AG$1001,0),0), INDEX($AN$1004:$BO$1004,1,MATCH(COLUMNS($AN$1006:BC1006),$AN$1006:$BO$1006,0)))),"Fix")))</f>
        <v>0</v>
      </c>
      <c r="R129" s="4">
        <f>IF(OR(INDEX($AH$2:$AH$1001,MATCH(ROWS($AG$2:AG129),$AG$2:$AG$1001,0),1)&gt;=100000,INDEX($AN$1005:$BO$1005,1,MATCH(COLUMNS($AN$1006:BD1006),$AN$1006:$BO$1006,0))&gt;=100000), " ",IF(INDEX($AN$2:$BO$1001,MATCH(ROWS($AG$2:AG129),$AG$2:$AG$1001,0),MATCH(COLUMNS($AN$1006:BD1006),$AN$1006:$BO$1006,0)), HYPERLINK("#",""), HYPERLINK(CONCATENATE("#Metadata!", ADDRESS(INDEX($AI$2:$AI$1001,MATCH(ROWS($AG$2:AG129),$AG$2:$AG$1001,0),0), INDEX($AN$1004:$BO$1004,1,MATCH(COLUMNS($AN$1006:BD1006),$AN$1006:$BO$1006,0)))),"Fix")))</f>
        <v>0</v>
      </c>
      <c r="S129" s="4">
        <f>IF(OR(INDEX($AH$2:$AH$1001,MATCH(ROWS($AG$2:AG129),$AG$2:$AG$1001,0),1)&gt;=100000,INDEX($AN$1005:$BO$1005,1,MATCH(COLUMNS($AN$1006:BE1006),$AN$1006:$BO$1006,0))&gt;=100000), " ",IF(INDEX($AN$2:$BO$1001,MATCH(ROWS($AG$2:AG129),$AG$2:$AG$1001,0),MATCH(COLUMNS($AN$1006:BE1006),$AN$1006:$BO$1006,0)), HYPERLINK("#",""), HYPERLINK(CONCATENATE("#Metadata!", ADDRESS(INDEX($AI$2:$AI$1001,MATCH(ROWS($AG$2:AG129),$AG$2:$AG$1001,0),0), INDEX($AN$1004:$BO$1004,1,MATCH(COLUMNS($AN$1006:BE1006),$AN$1006:$BO$1006,0)))),"Fix")))</f>
        <v>0</v>
      </c>
      <c r="T129" s="4">
        <f>IF(OR(INDEX($AH$2:$AH$1001,MATCH(ROWS($AG$2:AG129),$AG$2:$AG$1001,0),1)&gt;=100000,INDEX($AN$1005:$BO$1005,1,MATCH(COLUMNS($AN$1006:BF1006),$AN$1006:$BO$1006,0))&gt;=100000), " ",IF(INDEX($AN$2:$BO$1001,MATCH(ROWS($AG$2:AG129),$AG$2:$AG$1001,0),MATCH(COLUMNS($AN$1006:BF1006),$AN$1006:$BO$1006,0)), HYPERLINK("#",""), HYPERLINK(CONCATENATE("#Metadata!", ADDRESS(INDEX($AI$2:$AI$1001,MATCH(ROWS($AG$2:AG129),$AG$2:$AG$1001,0),0), INDEX($AN$1004:$BO$1004,1,MATCH(COLUMNS($AN$1006:BF1006),$AN$1006:$BO$1006,0)))),"Fix")))</f>
        <v>0</v>
      </c>
      <c r="U129" s="4">
        <f>IF(OR(INDEX($AH$2:$AH$1001,MATCH(ROWS($AG$2:AG129),$AG$2:$AG$1001,0),1)&gt;=100000,INDEX($AN$1005:$BO$1005,1,MATCH(COLUMNS($AN$1006:BG1006),$AN$1006:$BO$1006,0))&gt;=100000), " ",IF(INDEX($AN$2:$BO$1001,MATCH(ROWS($AG$2:AG129),$AG$2:$AG$1001,0),MATCH(COLUMNS($AN$1006:BG1006),$AN$1006:$BO$1006,0)), HYPERLINK("#",""), HYPERLINK(CONCATENATE("#Metadata!", ADDRESS(INDEX($AI$2:$AI$1001,MATCH(ROWS($AG$2:AG129),$AG$2:$AG$1001,0),0), INDEX($AN$1004:$BO$1004,1,MATCH(COLUMNS($AN$1006:BG1006),$AN$1006:$BO$1006,0)))),"Fix")))</f>
        <v>0</v>
      </c>
      <c r="V129" s="4">
        <f>IF(OR(INDEX($AH$2:$AH$1001,MATCH(ROWS($AG$2:AG129),$AG$2:$AG$1001,0),1)&gt;=100000,INDEX($AN$1005:$BO$1005,1,MATCH(COLUMNS($AN$1006:BH1006),$AN$1006:$BO$1006,0))&gt;=100000), " ",IF(INDEX($AN$2:$BO$1001,MATCH(ROWS($AG$2:AG129),$AG$2:$AG$1001,0),MATCH(COLUMNS($AN$1006:BH1006),$AN$1006:$BO$1006,0)), HYPERLINK("#",""), HYPERLINK(CONCATENATE("#Metadata!", ADDRESS(INDEX($AI$2:$AI$1001,MATCH(ROWS($AG$2:AG129),$AG$2:$AG$1001,0),0), INDEX($AN$1004:$BO$1004,1,MATCH(COLUMNS($AN$1006:BH1006),$AN$1006:$BO$1006,0)))),"Fix")))</f>
        <v>0</v>
      </c>
      <c r="W129" s="4">
        <f>IF(OR(INDEX($AH$2:$AH$1001,MATCH(ROWS($AG$2:AG129),$AG$2:$AG$1001,0),1)&gt;=100000,INDEX($AN$1005:$BO$1005,1,MATCH(COLUMNS($AN$1006:BI1006),$AN$1006:$BO$1006,0))&gt;=100000), " ",IF(INDEX($AN$2:$BO$1001,MATCH(ROWS($AG$2:AG129),$AG$2:$AG$1001,0),MATCH(COLUMNS($AN$1006:BI1006),$AN$1006:$BO$1006,0)), HYPERLINK("#",""), HYPERLINK(CONCATENATE("#Metadata!", ADDRESS(INDEX($AI$2:$AI$1001,MATCH(ROWS($AG$2:AG129),$AG$2:$AG$1001,0),0), INDEX($AN$1004:$BO$1004,1,MATCH(COLUMNS($AN$1006:BI1006),$AN$1006:$BO$1006,0)))),"Fix")))</f>
        <v>0</v>
      </c>
      <c r="X129" s="4">
        <f>IF(OR(INDEX($AH$2:$AH$1001,MATCH(ROWS($AG$2:AG129),$AG$2:$AG$1001,0),1)&gt;=100000,INDEX($AN$1005:$BO$1005,1,MATCH(COLUMNS($AN$1006:BJ1006),$AN$1006:$BO$1006,0))&gt;=100000), " ",IF(INDEX($AN$2:$BO$1001,MATCH(ROWS($AG$2:AG129),$AG$2:$AG$1001,0),MATCH(COLUMNS($AN$1006:BJ1006),$AN$1006:$BO$1006,0)), HYPERLINK("#",""), HYPERLINK(CONCATENATE("#Metadata!", ADDRESS(INDEX($AI$2:$AI$1001,MATCH(ROWS($AG$2:AG129),$AG$2:$AG$1001,0),0), INDEX($AN$1004:$BO$1004,1,MATCH(COLUMNS($AN$1006:BJ1006),$AN$1006:$BO$1006,0)))),"Fix")))</f>
        <v>0</v>
      </c>
      <c r="Y129" s="4">
        <f>IF(OR(INDEX($AH$2:$AH$1001,MATCH(ROWS($AG$2:AG129),$AG$2:$AG$1001,0),1)&gt;=100000,INDEX($AN$1005:$BO$1005,1,MATCH(COLUMNS($AN$1006:BK1006),$AN$1006:$BO$1006,0))&gt;=100000), " ",IF(INDEX($AN$2:$BO$1001,MATCH(ROWS($AG$2:AG129),$AG$2:$AG$1001,0),MATCH(COLUMNS($AN$1006:BK1006),$AN$1006:$BO$1006,0)), HYPERLINK("#",""), HYPERLINK(CONCATENATE("#Metadata!", ADDRESS(INDEX($AI$2:$AI$1001,MATCH(ROWS($AG$2:AG129),$AG$2:$AG$1001,0),0), INDEX($AN$1004:$BO$1004,1,MATCH(COLUMNS($AN$1006:BK1006),$AN$1006:$BO$1006,0)))),"Fix")))</f>
        <v>0</v>
      </c>
      <c r="Z129" s="4">
        <f>IF(OR(INDEX($AH$2:$AH$1001,MATCH(ROWS($AG$2:AG129),$AG$2:$AG$1001,0),1)&gt;=100000,INDEX($AN$1005:$BO$1005,1,MATCH(COLUMNS($AN$1006:BL1006),$AN$1006:$BO$1006,0))&gt;=100000), " ",IF(INDEX($AN$2:$BO$1001,MATCH(ROWS($AG$2:AG129),$AG$2:$AG$1001,0),MATCH(COLUMNS($AN$1006:BL1006),$AN$1006:$BO$1006,0)), HYPERLINK("#",""), HYPERLINK(CONCATENATE("#Metadata!", ADDRESS(INDEX($AI$2:$AI$1001,MATCH(ROWS($AG$2:AG129),$AG$2:$AG$1001,0),0), INDEX($AN$1004:$BO$1004,1,MATCH(COLUMNS($AN$1006:BL1006),$AN$1006:$BO$1006,0)))),"Fix")))</f>
        <v>0</v>
      </c>
      <c r="AA129" s="4">
        <f>IF(OR(INDEX($AH$2:$AH$1001,MATCH(ROWS($AG$2:AG129),$AG$2:$AG$1001,0),1)&gt;=100000,INDEX($AN$1005:$BO$1005,1,MATCH(COLUMNS($AN$1006:BM1006),$AN$1006:$BO$1006,0))&gt;=100000), " ",IF(INDEX($AN$2:$BO$1001,MATCH(ROWS($AG$2:AG129),$AG$2:$AG$1001,0),MATCH(COLUMNS($AN$1006:BM1006),$AN$1006:$BO$1006,0)), HYPERLINK("#",""), HYPERLINK(CONCATENATE("#Metadata!", ADDRESS(INDEX($AI$2:$AI$1001,MATCH(ROWS($AG$2:AG129),$AG$2:$AG$1001,0),0), INDEX($AN$1004:$BO$1004,1,MATCH(COLUMNS($AN$1006:BM1006),$AN$1006:$BO$1006,0)))),"Fix")))</f>
        <v>0</v>
      </c>
      <c r="AB129" s="4">
        <f>IF(OR(INDEX($AH$2:$AH$1001,MATCH(ROWS($AG$2:AG129),$AG$2:$AG$1001,0),1)&gt;=100000,INDEX($AN$1005:$BO$1005,1,MATCH(COLUMNS($AN$1006:BN1006),$AN$1006:$BO$1006,0))&gt;=100000), " ",IF(INDEX($AN$2:$BO$1001,MATCH(ROWS($AG$2:AG129),$AG$2:$AG$1001,0),MATCH(COLUMNS($AN$1006:BN1006),$AN$1006:$BO$1006,0)), HYPERLINK("#",""), HYPERLINK(CONCATENATE("#Metadata!", ADDRESS(INDEX($AI$2:$AI$1001,MATCH(ROWS($AG$2:AG129),$AG$2:$AG$1001,0),0), INDEX($AN$1004:$BO$1004,1,MATCH(COLUMNS($AN$1006:BN1006),$AN$1006:$BO$1006,0)))),"Fix")))</f>
        <v>0</v>
      </c>
      <c r="AC129" s="4">
        <f>IF(OR(INDEX($AH$2:$AH$1001,MATCH(ROWS($AG$2:AG129),$AG$2:$AG$1001,0),1)&gt;=100000,INDEX($AN$1005:$BO$1005,1,MATCH(COLUMNS($AN$1006:BO1006),$AN$1006:$BO$1006,0))&gt;=100000), " ",IF(INDEX($AN$2:$BO$1001,MATCH(ROWS($AG$2:AG129),$AG$2:$AG$1001,0),MATCH(COLUMNS($AN$1006:BO1006),$AN$1006:$BO$1006,0)), HYPERLINK("#",""), HYPERLINK(CONCATENATE("#Metadata!", ADDRESS(INDEX($AI$2:$AI$1001,MATCH(ROWS($AG$2:AG129),$AG$2:$AG$1001,0),0), INDEX($AN$1004:$BO$1004,1,MATCH(COLUMNS($AN$1006:BO1006),$AN$1006:$BO$1006,0)))),"Fix")))</f>
        <v>0</v>
      </c>
      <c r="AG129">
        <v>0</v>
      </c>
      <c r="AH129">
        <v>0</v>
      </c>
      <c r="AI129">
        <v>0</v>
      </c>
      <c r="AJ129">
        <f>IF(AK129,TRUE,AND(AN129:BO129))</f>
        <v>0</v>
      </c>
      <c r="AK129">
        <f>COUNTBLANK(Metadata!B129:AC129)=COLUMNS(Metadata!B129:AC129)</f>
        <v>0</v>
      </c>
      <c r="AL129">
        <v>0</v>
      </c>
      <c r="AN129">
        <f>AND(IF(Metadata!B129="",FALSE,TRUE),COUNTIF(Metadata!B:B, Metadata!B129) = 1,NOT(ISERROR(SUMPRODUCT(SEARCH(MID(Metadata!B129,ROW(INDIRECT("1:"&amp;LEN(Metadata!B129))), 1),"0123456789abcdefghijklmnopqrstuvwxyzABCDEFGHIJKLMNOPQRSTUVWXYZ.")))))</f>
        <v>0</v>
      </c>
      <c r="AO129">
        <f>IF(Metadata!C129="",FALSE,TRUE)</f>
        <v>0</v>
      </c>
      <c r="AP129">
        <f>IF(Metadata!D129="",FALSE,TRUE)</f>
        <v>0</v>
      </c>
      <c r="AQ129">
        <f>OR(AND(IF(Metadata!E129="",FALSE,TRUE),OR(exact(Metadata!E129,"not collected"),exact(Metadata!E129,"not provided"),exact(Metadata!E129,"restricted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R129">
        <f>IF(Metadata!F129="",FALSE,TRUE)</f>
        <v>0</v>
      </c>
      <c r="AS129">
        <f>OR(AND(IF(Metadata!G129="",FALSE,TRUE),OR(exact(Metadata!G129,"not collected"),exact(Metadata!G129,"not provided"))),AND(IF(Metadata!G129="",FALSE,TRUE),OR(exact(Metadata!G129,"TRUE"),exact(Metadata!G129,"FALSE"))))</f>
        <v>0</v>
      </c>
      <c r="AT129">
        <f>OR(AND(IF(Metadata!H129="",FALSE,TRUE),OR(exact(Metadata!H129,"not collected"),exact(Metadata!H129,"not provided"),exact(Metadata!H129,"restricted access"))),AND(IF(Metadata!H129="",FALSE,ISNUMBER(VALUE(Metadata!H129))),Metadata!H129&gt;=-413.0))</f>
        <v>0</v>
      </c>
      <c r="AU129">
        <f>AND(IF(Metadata!I129="",FALSE,TRUE),exact(Metadata!I129,"meters"))</f>
        <v>0</v>
      </c>
      <c r="AV129">
        <f>AND(IF(Metadata!J129="",FALSE,TRUE),OR(exact(Metadata!J129,"Host-associated"),exact(Metadata!J129,"Free-living")))</f>
        <v>0</v>
      </c>
      <c r="AW129">
        <f>AND(IF(Metadata!K129="",FALSE,TRUE),OR(exact(Metadata!K129,"Animal"),exact(Metadata!K129,"Fungus"),exact(Metadata!K129,"Plant"),exact(Metadata!K129,"Saline"),exact(Metadata!K129,"Non-saline")))</f>
        <v>0</v>
      </c>
      <c r="AX129">
        <f>AND(IF(Metadata!L129="",FALSE,TRUE),OR(exact(Metadata!L129,"Plant secretion"),exact(Metadata!L129,"Plant rhizosphere"),exact(Metadata!L129,"Plant surface"),exact(Metadata!L129,"Plant corpus"),exact(Metadata!L129,"Fungus surface"),exact(Metadata!L129,"Fungus corpus"),exact(Metadata!L129,"Animal surface"),exact(Metadata!L129,"Animal proximal gut"),exact(Metadata!L129,"Animal corpus"),exact(Metadata!L129,"Animal distal gut"),exact(Metadata!L129,"Animal secretion"),exact(Metadata!L129,"Sub-surface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Y129">
        <f>IF(Metadata!M129="",FALSE,TRUE)</f>
        <v>0</v>
      </c>
      <c r="AZ129">
        <f>IF(Metadata!N129="",FALSE,TRUE)</f>
        <v>0</v>
      </c>
      <c r="BA129">
        <f>IF(Metadata!O129="",FALSE,TRUE)</f>
        <v>0</v>
      </c>
      <c r="BB129">
        <f>OR(AND(IF(Metadata!P129="",FALSE,TRUE),OR(exact(Metadata!P129,"not collected"),exact(Metadata!P129,"not provided"),exact(Metadata!P129,"restricted access"))),AND(IF(Metadata!P129="",FALSE,TRUE),OR(exact(Metadata!P129,"air"),exact(Metadata!P129,"built environment"),exact(Metadata!P129,"host-associated"),exact(Metadata!P129,"human-associated"),exact(Metadata!P129,"human-skin"),exact(Metadata!P129,"human-oral"),exact(Metadata!P129,"human-gut"),exact(Metadata!P129,"human-vaginal"),exact(Metadata!P129,"microbial mat/biofilm"),exact(Metadata!P129,"misc environment"),exact(Metadata!P129,"plant-associated"),exact(Metadata!P129,"sediment"),exact(Metadata!P129,"soil"),exact(Metadata!P129,"wastewater/sludge"),exact(Metadata!P129,"water"))))</f>
        <v>0</v>
      </c>
      <c r="BC129">
        <f>IF(Metadata!Q129="",FALSE,TRUE)</f>
        <v>0</v>
      </c>
      <c r="BD129">
        <f>IF(Metadata!R129="",FALSE,TRUE)</f>
        <v>0</v>
      </c>
      <c r="BE129">
        <f>OR(AND(IF(Metadata!S129="",FALSE,TRUE),OR(exact(Metadata!S129,"not collected"),exact(Metadata!S129,"not provided"),exact(Metadata!S129,"restricted access"))),AND(IF(Metadata!S129="",FALSE,ISNUMBER(VALUE(Metadata!S129))),Metadata!S129&gt;=-90.00,Metadata!S129&lt;=90.00))</f>
        <v>0</v>
      </c>
      <c r="BF129">
        <f>AND(IF(Metadata!T129="",FALSE,TRUE),exact(Metadata!T129,"Decimal degrees"))</f>
        <v>0</v>
      </c>
      <c r="BG129">
        <f>OR(AND(IF(Metadata!U129="",FALSE,TRUE),OR(exact(Metadata!U129,"not collected"),exact(Metadata!U129,"not provided"),exact(Metadata!U129,"restricted access"))),AND(IF(Metadata!U129="",FALSE,ISNUMBER(VALUE(Metadata!U129))),Metadata!U129&gt;=-180.00,Metadata!U129&lt;=180.00))</f>
        <v>0</v>
      </c>
      <c r="BH129">
        <f>AND(IF(Metadata!V129="",FALSE,TRUE),exact(Metadata!V129,"Decimal degrees"))</f>
        <v>0</v>
      </c>
      <c r="BI129">
        <f>IF(Metadata!W129="",FALSE,TRUE)</f>
        <v>0</v>
      </c>
      <c r="BJ129">
        <f>OR(AND(IF(Metadata!X129="",FALSE,TRUE),OR(exact(Metadata!X129,"not collected"),exact(Metadata!X129,"not provided"),exact(Metadata!X129,"restricted access"))),AND(IF(Metadata!X129="",FALSE,TRUE),OR(exact(Metadata!X129,"TRUE"),exact(Metadata!X129,"FALSE"))))</f>
        <v>0</v>
      </c>
      <c r="BK129">
        <f>AND(IF(Metadata!Y129="",FALSE,TRUE),exact(Metadata!Y129,"other"))</f>
        <v>0</v>
      </c>
      <c r="BL129">
        <f>IF(Metadata!Z129="",FALSE,TRUE)</f>
        <v>0</v>
      </c>
      <c r="BM129">
        <f>OR(AND(IF(Metadata!AA129="",FALSE,TRUE),OR(exact(Metadata!AA129,"not collected"),exact(Metadata!AA129,"not provided"))),AND(IF(Metadata!AA129="",FALSE,IF(ISERROR(INT(Metadata!AA129)),FALSE,INT(Metadata!AA129)=Metadata!AA129)),Metadata!AA129&gt;0))</f>
        <v>0</v>
      </c>
      <c r="BN129">
        <f>AND(IF(Metadata!AB129="",FALSE,TRUE),exact(Metadata!AB129,"Not applicable"))</f>
        <v>0</v>
      </c>
      <c r="BO129">
        <f>IF(Metadata!AC129="",FALSE,TRUE)</f>
        <v>0</v>
      </c>
    </row>
    <row r="130" spans="1:67">
      <c r="A130" s="5">
        <f>IF(B130=" "," ",HYPERLINK(CONCATENATE("#metadata!",ADDRESS(INDEX($AI$2:$AI$1001,MATCH(ROWS($AG$2:AG130),$AG$2:$AG$1001,0),0),1)),INDEX($AL$2:$AL$1001,MATCH(ROWS($AG$2:AG130),$AG$2:$AG$1001,0),0)))</f>
        <v>0</v>
      </c>
      <c r="B130" s="4">
        <f>IF(OR(INDEX($AH$2:$AH$1001,MATCH(ROWS($AG$2:AG130),$AG$2:$AG$1001,0),1)&gt;=100000,INDEX($AN$1005:$BO$1005,1,MATCH(COLUMNS($AN$1006:AN1006),$AN$1006:$BO$1006,0))&gt;=100000), " ",IF(INDEX($AN$2:$BO$1001,MATCH(ROWS($AG$2:AG130),$AG$2:$AG$1001,0),MATCH(COLUMNS($AN$1006:AN1006),$AN$1006:$BO$1006,0)), HYPERLINK("#",""), HYPERLINK(CONCATENATE("#Metadata!", ADDRESS(INDEX($AI$2:$AI$1001,MATCH(ROWS($AG$2:AG130),$AG$2:$AG$1001,0),0), INDEX($AN$1004:$BO$1004,1,MATCH(COLUMNS($AN$1006:AN1006),$AN$1006:$BO$1006,0)))),"Fix")))</f>
        <v>0</v>
      </c>
      <c r="C130" s="4">
        <f>IF(OR(INDEX($AH$2:$AH$1001,MATCH(ROWS($AG$2:AG130),$AG$2:$AG$1001,0),1)&gt;=100000,INDEX($AN$1005:$BO$1005,1,MATCH(COLUMNS($AN$1006:AO1006),$AN$1006:$BO$1006,0))&gt;=100000), " ",IF(INDEX($AN$2:$BO$1001,MATCH(ROWS($AG$2:AG130),$AG$2:$AG$1001,0),MATCH(COLUMNS($AN$1006:AO1006),$AN$1006:$BO$1006,0)), HYPERLINK("#",""), HYPERLINK(CONCATENATE("#Metadata!", ADDRESS(INDEX($AI$2:$AI$1001,MATCH(ROWS($AG$2:AG130),$AG$2:$AG$1001,0),0), INDEX($AN$1004:$BO$1004,1,MATCH(COLUMNS($AN$1006:AO1006),$AN$1006:$BO$1006,0)))),"Fix")))</f>
        <v>0</v>
      </c>
      <c r="D130" s="4">
        <f>IF(OR(INDEX($AH$2:$AH$1001,MATCH(ROWS($AG$2:AG130),$AG$2:$AG$1001,0),1)&gt;=100000,INDEX($AN$1005:$BO$1005,1,MATCH(COLUMNS($AN$1006:AP1006),$AN$1006:$BO$1006,0))&gt;=100000), " ",IF(INDEX($AN$2:$BO$1001,MATCH(ROWS($AG$2:AG130),$AG$2:$AG$1001,0),MATCH(COLUMNS($AN$1006:AP1006),$AN$1006:$BO$1006,0)), HYPERLINK("#",""), HYPERLINK(CONCATENATE("#Metadata!", ADDRESS(INDEX($AI$2:$AI$1001,MATCH(ROWS($AG$2:AG130),$AG$2:$AG$1001,0),0), INDEX($AN$1004:$BO$1004,1,MATCH(COLUMNS($AN$1006:AP1006),$AN$1006:$BO$1006,0)))),"Fix")))</f>
        <v>0</v>
      </c>
      <c r="E130" s="4">
        <f>IF(OR(INDEX($AH$2:$AH$1001,MATCH(ROWS($AG$2:AG130),$AG$2:$AG$1001,0),1)&gt;=100000,INDEX($AN$1005:$BO$1005,1,MATCH(COLUMNS($AN$1006:AQ1006),$AN$1006:$BO$1006,0))&gt;=100000), " ",IF(INDEX($AN$2:$BO$1001,MATCH(ROWS($AG$2:AG130),$AG$2:$AG$1001,0),MATCH(COLUMNS($AN$1006:AQ1006),$AN$1006:$BO$1006,0)), HYPERLINK("#",""), HYPERLINK(CONCATENATE("#Metadata!", ADDRESS(INDEX($AI$2:$AI$1001,MATCH(ROWS($AG$2:AG130),$AG$2:$AG$1001,0),0), INDEX($AN$1004:$BO$1004,1,MATCH(COLUMNS($AN$1006:AQ1006),$AN$1006:$BO$1006,0)))),"Fix")))</f>
        <v>0</v>
      </c>
      <c r="F130" s="4">
        <f>IF(OR(INDEX($AH$2:$AH$1001,MATCH(ROWS($AG$2:AG130),$AG$2:$AG$1001,0),1)&gt;=100000,INDEX($AN$1005:$BO$1005,1,MATCH(COLUMNS($AN$1006:AR1006),$AN$1006:$BO$1006,0))&gt;=100000), " ",IF(INDEX($AN$2:$BO$1001,MATCH(ROWS($AG$2:AG130),$AG$2:$AG$1001,0),MATCH(COLUMNS($AN$1006:AR1006),$AN$1006:$BO$1006,0)), HYPERLINK("#",""), HYPERLINK(CONCATENATE("#Metadata!", ADDRESS(INDEX($AI$2:$AI$1001,MATCH(ROWS($AG$2:AG130),$AG$2:$AG$1001,0),0), INDEX($AN$1004:$BO$1004,1,MATCH(COLUMNS($AN$1006:AR1006),$AN$1006:$BO$1006,0)))),"Fix")))</f>
        <v>0</v>
      </c>
      <c r="G130" s="4">
        <f>IF(OR(INDEX($AH$2:$AH$1001,MATCH(ROWS($AG$2:AG130),$AG$2:$AG$1001,0),1)&gt;=100000,INDEX($AN$1005:$BO$1005,1,MATCH(COLUMNS($AN$1006:AS1006),$AN$1006:$BO$1006,0))&gt;=100000), " ",IF(INDEX($AN$2:$BO$1001,MATCH(ROWS($AG$2:AG130),$AG$2:$AG$1001,0),MATCH(COLUMNS($AN$1006:AS1006),$AN$1006:$BO$1006,0)), HYPERLINK("#",""), HYPERLINK(CONCATENATE("#Metadata!", ADDRESS(INDEX($AI$2:$AI$1001,MATCH(ROWS($AG$2:AG130),$AG$2:$AG$1001,0),0), INDEX($AN$1004:$BO$1004,1,MATCH(COLUMNS($AN$1006:AS1006),$AN$1006:$BO$1006,0)))),"Fix")))</f>
        <v>0</v>
      </c>
      <c r="H130" s="4">
        <f>IF(OR(INDEX($AH$2:$AH$1001,MATCH(ROWS($AG$2:AG130),$AG$2:$AG$1001,0),1)&gt;=100000,INDEX($AN$1005:$BO$1005,1,MATCH(COLUMNS($AN$1006:AT1006),$AN$1006:$BO$1006,0))&gt;=100000), " ",IF(INDEX($AN$2:$BO$1001,MATCH(ROWS($AG$2:AG130),$AG$2:$AG$1001,0),MATCH(COLUMNS($AN$1006:AT1006),$AN$1006:$BO$1006,0)), HYPERLINK("#",""), HYPERLINK(CONCATENATE("#Metadata!", ADDRESS(INDEX($AI$2:$AI$1001,MATCH(ROWS($AG$2:AG130),$AG$2:$AG$1001,0),0), INDEX($AN$1004:$BO$1004,1,MATCH(COLUMNS($AN$1006:AT1006),$AN$1006:$BO$1006,0)))),"Fix")))</f>
        <v>0</v>
      </c>
      <c r="I130" s="4">
        <f>IF(OR(INDEX($AH$2:$AH$1001,MATCH(ROWS($AG$2:AG130),$AG$2:$AG$1001,0),1)&gt;=100000,INDEX($AN$1005:$BO$1005,1,MATCH(COLUMNS($AN$1006:AU1006),$AN$1006:$BO$1006,0))&gt;=100000), " ",IF(INDEX($AN$2:$BO$1001,MATCH(ROWS($AG$2:AG130),$AG$2:$AG$1001,0),MATCH(COLUMNS($AN$1006:AU1006),$AN$1006:$BO$1006,0)), HYPERLINK("#",""), HYPERLINK(CONCATENATE("#Metadata!", ADDRESS(INDEX($AI$2:$AI$1001,MATCH(ROWS($AG$2:AG130),$AG$2:$AG$1001,0),0), INDEX($AN$1004:$BO$1004,1,MATCH(COLUMNS($AN$1006:AU1006),$AN$1006:$BO$1006,0)))),"Fix")))</f>
        <v>0</v>
      </c>
      <c r="J130" s="4">
        <f>IF(OR(INDEX($AH$2:$AH$1001,MATCH(ROWS($AG$2:AG130),$AG$2:$AG$1001,0),1)&gt;=100000,INDEX($AN$1005:$BO$1005,1,MATCH(COLUMNS($AN$1006:AV1006),$AN$1006:$BO$1006,0))&gt;=100000), " ",IF(INDEX($AN$2:$BO$1001,MATCH(ROWS($AG$2:AG130),$AG$2:$AG$1001,0),MATCH(COLUMNS($AN$1006:AV1006),$AN$1006:$BO$1006,0)), HYPERLINK("#",""), HYPERLINK(CONCATENATE("#Metadata!", ADDRESS(INDEX($AI$2:$AI$1001,MATCH(ROWS($AG$2:AG130),$AG$2:$AG$1001,0),0), INDEX($AN$1004:$BO$1004,1,MATCH(COLUMNS($AN$1006:AV1006),$AN$1006:$BO$1006,0)))),"Fix")))</f>
        <v>0</v>
      </c>
      <c r="K130" s="4">
        <f>IF(OR(INDEX($AH$2:$AH$1001,MATCH(ROWS($AG$2:AG130),$AG$2:$AG$1001,0),1)&gt;=100000,INDEX($AN$1005:$BO$1005,1,MATCH(COLUMNS($AN$1006:AW1006),$AN$1006:$BO$1006,0))&gt;=100000), " ",IF(INDEX($AN$2:$BO$1001,MATCH(ROWS($AG$2:AG130),$AG$2:$AG$1001,0),MATCH(COLUMNS($AN$1006:AW1006),$AN$1006:$BO$1006,0)), HYPERLINK("#",""), HYPERLINK(CONCATENATE("#Metadata!", ADDRESS(INDEX($AI$2:$AI$1001,MATCH(ROWS($AG$2:AG130),$AG$2:$AG$1001,0),0), INDEX($AN$1004:$BO$1004,1,MATCH(COLUMNS($AN$1006:AW1006),$AN$1006:$BO$1006,0)))),"Fix")))</f>
        <v>0</v>
      </c>
      <c r="L130" s="4">
        <f>IF(OR(INDEX($AH$2:$AH$1001,MATCH(ROWS($AG$2:AG130),$AG$2:$AG$1001,0),1)&gt;=100000,INDEX($AN$1005:$BO$1005,1,MATCH(COLUMNS($AN$1006:AX1006),$AN$1006:$BO$1006,0))&gt;=100000), " ",IF(INDEX($AN$2:$BO$1001,MATCH(ROWS($AG$2:AG130),$AG$2:$AG$1001,0),MATCH(COLUMNS($AN$1006:AX1006),$AN$1006:$BO$1006,0)), HYPERLINK("#",""), HYPERLINK(CONCATENATE("#Metadata!", ADDRESS(INDEX($AI$2:$AI$1001,MATCH(ROWS($AG$2:AG130),$AG$2:$AG$1001,0),0), INDEX($AN$1004:$BO$1004,1,MATCH(COLUMNS($AN$1006:AX1006),$AN$1006:$BO$1006,0)))),"Fix")))</f>
        <v>0</v>
      </c>
      <c r="M130" s="4">
        <f>IF(OR(INDEX($AH$2:$AH$1001,MATCH(ROWS($AG$2:AG130),$AG$2:$AG$1001,0),1)&gt;=100000,INDEX($AN$1005:$BO$1005,1,MATCH(COLUMNS($AN$1006:AY1006),$AN$1006:$BO$1006,0))&gt;=100000), " ",IF(INDEX($AN$2:$BO$1001,MATCH(ROWS($AG$2:AG130),$AG$2:$AG$1001,0),MATCH(COLUMNS($AN$1006:AY1006),$AN$1006:$BO$1006,0)), HYPERLINK("#",""), HYPERLINK(CONCATENATE("#Metadata!", ADDRESS(INDEX($AI$2:$AI$1001,MATCH(ROWS($AG$2:AG130),$AG$2:$AG$1001,0),0), INDEX($AN$1004:$BO$1004,1,MATCH(COLUMNS($AN$1006:AY1006),$AN$1006:$BO$1006,0)))),"Fix")))</f>
        <v>0</v>
      </c>
      <c r="N130" s="4">
        <f>IF(OR(INDEX($AH$2:$AH$1001,MATCH(ROWS($AG$2:AG130),$AG$2:$AG$1001,0),1)&gt;=100000,INDEX($AN$1005:$BO$1005,1,MATCH(COLUMNS($AN$1006:AZ1006),$AN$1006:$BO$1006,0))&gt;=100000), " ",IF(INDEX($AN$2:$BO$1001,MATCH(ROWS($AG$2:AG130),$AG$2:$AG$1001,0),MATCH(COLUMNS($AN$1006:AZ1006),$AN$1006:$BO$1006,0)), HYPERLINK("#",""), HYPERLINK(CONCATENATE("#Metadata!", ADDRESS(INDEX($AI$2:$AI$1001,MATCH(ROWS($AG$2:AG130),$AG$2:$AG$1001,0),0), INDEX($AN$1004:$BO$1004,1,MATCH(COLUMNS($AN$1006:AZ1006),$AN$1006:$BO$1006,0)))),"Fix")))</f>
        <v>0</v>
      </c>
      <c r="O130" s="4">
        <f>IF(OR(INDEX($AH$2:$AH$1001,MATCH(ROWS($AG$2:AG130),$AG$2:$AG$1001,0),1)&gt;=100000,INDEX($AN$1005:$BO$1005,1,MATCH(COLUMNS($AN$1006:BA1006),$AN$1006:$BO$1006,0))&gt;=100000), " ",IF(INDEX($AN$2:$BO$1001,MATCH(ROWS($AG$2:AG130),$AG$2:$AG$1001,0),MATCH(COLUMNS($AN$1006:BA1006),$AN$1006:$BO$1006,0)), HYPERLINK("#",""), HYPERLINK(CONCATENATE("#Metadata!", ADDRESS(INDEX($AI$2:$AI$1001,MATCH(ROWS($AG$2:AG130),$AG$2:$AG$1001,0),0), INDEX($AN$1004:$BO$1004,1,MATCH(COLUMNS($AN$1006:BA1006),$AN$1006:$BO$1006,0)))),"Fix")))</f>
        <v>0</v>
      </c>
      <c r="P130" s="4">
        <f>IF(OR(INDEX($AH$2:$AH$1001,MATCH(ROWS($AG$2:AG130),$AG$2:$AG$1001,0),1)&gt;=100000,INDEX($AN$1005:$BO$1005,1,MATCH(COLUMNS($AN$1006:BB1006),$AN$1006:$BO$1006,0))&gt;=100000), " ",IF(INDEX($AN$2:$BO$1001,MATCH(ROWS($AG$2:AG130),$AG$2:$AG$1001,0),MATCH(COLUMNS($AN$1006:BB1006),$AN$1006:$BO$1006,0)), HYPERLINK("#",""), HYPERLINK(CONCATENATE("#Metadata!", ADDRESS(INDEX($AI$2:$AI$1001,MATCH(ROWS($AG$2:AG130),$AG$2:$AG$1001,0),0), INDEX($AN$1004:$BO$1004,1,MATCH(COLUMNS($AN$1006:BB1006),$AN$1006:$BO$1006,0)))),"Fix")))</f>
        <v>0</v>
      </c>
      <c r="Q130" s="4">
        <f>IF(OR(INDEX($AH$2:$AH$1001,MATCH(ROWS($AG$2:AG130),$AG$2:$AG$1001,0),1)&gt;=100000,INDEX($AN$1005:$BO$1005,1,MATCH(COLUMNS($AN$1006:BC1006),$AN$1006:$BO$1006,0))&gt;=100000), " ",IF(INDEX($AN$2:$BO$1001,MATCH(ROWS($AG$2:AG130),$AG$2:$AG$1001,0),MATCH(COLUMNS($AN$1006:BC1006),$AN$1006:$BO$1006,0)), HYPERLINK("#",""), HYPERLINK(CONCATENATE("#Metadata!", ADDRESS(INDEX($AI$2:$AI$1001,MATCH(ROWS($AG$2:AG130),$AG$2:$AG$1001,0),0), INDEX($AN$1004:$BO$1004,1,MATCH(COLUMNS($AN$1006:BC1006),$AN$1006:$BO$1006,0)))),"Fix")))</f>
        <v>0</v>
      </c>
      <c r="R130" s="4">
        <f>IF(OR(INDEX($AH$2:$AH$1001,MATCH(ROWS($AG$2:AG130),$AG$2:$AG$1001,0),1)&gt;=100000,INDEX($AN$1005:$BO$1005,1,MATCH(COLUMNS($AN$1006:BD1006),$AN$1006:$BO$1006,0))&gt;=100000), " ",IF(INDEX($AN$2:$BO$1001,MATCH(ROWS($AG$2:AG130),$AG$2:$AG$1001,0),MATCH(COLUMNS($AN$1006:BD1006),$AN$1006:$BO$1006,0)), HYPERLINK("#",""), HYPERLINK(CONCATENATE("#Metadata!", ADDRESS(INDEX($AI$2:$AI$1001,MATCH(ROWS($AG$2:AG130),$AG$2:$AG$1001,0),0), INDEX($AN$1004:$BO$1004,1,MATCH(COLUMNS($AN$1006:BD1006),$AN$1006:$BO$1006,0)))),"Fix")))</f>
        <v>0</v>
      </c>
      <c r="S130" s="4">
        <f>IF(OR(INDEX($AH$2:$AH$1001,MATCH(ROWS($AG$2:AG130),$AG$2:$AG$1001,0),1)&gt;=100000,INDEX($AN$1005:$BO$1005,1,MATCH(COLUMNS($AN$1006:BE1006),$AN$1006:$BO$1006,0))&gt;=100000), " ",IF(INDEX($AN$2:$BO$1001,MATCH(ROWS($AG$2:AG130),$AG$2:$AG$1001,0),MATCH(COLUMNS($AN$1006:BE1006),$AN$1006:$BO$1006,0)), HYPERLINK("#",""), HYPERLINK(CONCATENATE("#Metadata!", ADDRESS(INDEX($AI$2:$AI$1001,MATCH(ROWS($AG$2:AG130),$AG$2:$AG$1001,0),0), INDEX($AN$1004:$BO$1004,1,MATCH(COLUMNS($AN$1006:BE1006),$AN$1006:$BO$1006,0)))),"Fix")))</f>
        <v>0</v>
      </c>
      <c r="T130" s="4">
        <f>IF(OR(INDEX($AH$2:$AH$1001,MATCH(ROWS($AG$2:AG130),$AG$2:$AG$1001,0),1)&gt;=100000,INDEX($AN$1005:$BO$1005,1,MATCH(COLUMNS($AN$1006:BF1006),$AN$1006:$BO$1006,0))&gt;=100000), " ",IF(INDEX($AN$2:$BO$1001,MATCH(ROWS($AG$2:AG130),$AG$2:$AG$1001,0),MATCH(COLUMNS($AN$1006:BF1006),$AN$1006:$BO$1006,0)), HYPERLINK("#",""), HYPERLINK(CONCATENATE("#Metadata!", ADDRESS(INDEX($AI$2:$AI$1001,MATCH(ROWS($AG$2:AG130),$AG$2:$AG$1001,0),0), INDEX($AN$1004:$BO$1004,1,MATCH(COLUMNS($AN$1006:BF1006),$AN$1006:$BO$1006,0)))),"Fix")))</f>
        <v>0</v>
      </c>
      <c r="U130" s="4">
        <f>IF(OR(INDEX($AH$2:$AH$1001,MATCH(ROWS($AG$2:AG130),$AG$2:$AG$1001,0),1)&gt;=100000,INDEX($AN$1005:$BO$1005,1,MATCH(COLUMNS($AN$1006:BG1006),$AN$1006:$BO$1006,0))&gt;=100000), " ",IF(INDEX($AN$2:$BO$1001,MATCH(ROWS($AG$2:AG130),$AG$2:$AG$1001,0),MATCH(COLUMNS($AN$1006:BG1006),$AN$1006:$BO$1006,0)), HYPERLINK("#",""), HYPERLINK(CONCATENATE("#Metadata!", ADDRESS(INDEX($AI$2:$AI$1001,MATCH(ROWS($AG$2:AG130),$AG$2:$AG$1001,0),0), INDEX($AN$1004:$BO$1004,1,MATCH(COLUMNS($AN$1006:BG1006),$AN$1006:$BO$1006,0)))),"Fix")))</f>
        <v>0</v>
      </c>
      <c r="V130" s="4">
        <f>IF(OR(INDEX($AH$2:$AH$1001,MATCH(ROWS($AG$2:AG130),$AG$2:$AG$1001,0),1)&gt;=100000,INDEX($AN$1005:$BO$1005,1,MATCH(COLUMNS($AN$1006:BH1006),$AN$1006:$BO$1006,0))&gt;=100000), " ",IF(INDEX($AN$2:$BO$1001,MATCH(ROWS($AG$2:AG130),$AG$2:$AG$1001,0),MATCH(COLUMNS($AN$1006:BH1006),$AN$1006:$BO$1006,0)), HYPERLINK("#",""), HYPERLINK(CONCATENATE("#Metadata!", ADDRESS(INDEX($AI$2:$AI$1001,MATCH(ROWS($AG$2:AG130),$AG$2:$AG$1001,0),0), INDEX($AN$1004:$BO$1004,1,MATCH(COLUMNS($AN$1006:BH1006),$AN$1006:$BO$1006,0)))),"Fix")))</f>
        <v>0</v>
      </c>
      <c r="W130" s="4">
        <f>IF(OR(INDEX($AH$2:$AH$1001,MATCH(ROWS($AG$2:AG130),$AG$2:$AG$1001,0),1)&gt;=100000,INDEX($AN$1005:$BO$1005,1,MATCH(COLUMNS($AN$1006:BI1006),$AN$1006:$BO$1006,0))&gt;=100000), " ",IF(INDEX($AN$2:$BO$1001,MATCH(ROWS($AG$2:AG130),$AG$2:$AG$1001,0),MATCH(COLUMNS($AN$1006:BI1006),$AN$1006:$BO$1006,0)), HYPERLINK("#",""), HYPERLINK(CONCATENATE("#Metadata!", ADDRESS(INDEX($AI$2:$AI$1001,MATCH(ROWS($AG$2:AG130),$AG$2:$AG$1001,0),0), INDEX($AN$1004:$BO$1004,1,MATCH(COLUMNS($AN$1006:BI1006),$AN$1006:$BO$1006,0)))),"Fix")))</f>
        <v>0</v>
      </c>
      <c r="X130" s="4">
        <f>IF(OR(INDEX($AH$2:$AH$1001,MATCH(ROWS($AG$2:AG130),$AG$2:$AG$1001,0),1)&gt;=100000,INDEX($AN$1005:$BO$1005,1,MATCH(COLUMNS($AN$1006:BJ1006),$AN$1006:$BO$1006,0))&gt;=100000), " ",IF(INDEX($AN$2:$BO$1001,MATCH(ROWS($AG$2:AG130),$AG$2:$AG$1001,0),MATCH(COLUMNS($AN$1006:BJ1006),$AN$1006:$BO$1006,0)), HYPERLINK("#",""), HYPERLINK(CONCATENATE("#Metadata!", ADDRESS(INDEX($AI$2:$AI$1001,MATCH(ROWS($AG$2:AG130),$AG$2:$AG$1001,0),0), INDEX($AN$1004:$BO$1004,1,MATCH(COLUMNS($AN$1006:BJ1006),$AN$1006:$BO$1006,0)))),"Fix")))</f>
        <v>0</v>
      </c>
      <c r="Y130" s="4">
        <f>IF(OR(INDEX($AH$2:$AH$1001,MATCH(ROWS($AG$2:AG130),$AG$2:$AG$1001,0),1)&gt;=100000,INDEX($AN$1005:$BO$1005,1,MATCH(COLUMNS($AN$1006:BK1006),$AN$1006:$BO$1006,0))&gt;=100000), " ",IF(INDEX($AN$2:$BO$1001,MATCH(ROWS($AG$2:AG130),$AG$2:$AG$1001,0),MATCH(COLUMNS($AN$1006:BK1006),$AN$1006:$BO$1006,0)), HYPERLINK("#",""), HYPERLINK(CONCATENATE("#Metadata!", ADDRESS(INDEX($AI$2:$AI$1001,MATCH(ROWS($AG$2:AG130),$AG$2:$AG$1001,0),0), INDEX($AN$1004:$BO$1004,1,MATCH(COLUMNS($AN$1006:BK1006),$AN$1006:$BO$1006,0)))),"Fix")))</f>
        <v>0</v>
      </c>
      <c r="Z130" s="4">
        <f>IF(OR(INDEX($AH$2:$AH$1001,MATCH(ROWS($AG$2:AG130),$AG$2:$AG$1001,0),1)&gt;=100000,INDEX($AN$1005:$BO$1005,1,MATCH(COLUMNS($AN$1006:BL1006),$AN$1006:$BO$1006,0))&gt;=100000), " ",IF(INDEX($AN$2:$BO$1001,MATCH(ROWS($AG$2:AG130),$AG$2:$AG$1001,0),MATCH(COLUMNS($AN$1006:BL1006),$AN$1006:$BO$1006,0)), HYPERLINK("#",""), HYPERLINK(CONCATENATE("#Metadata!", ADDRESS(INDEX($AI$2:$AI$1001,MATCH(ROWS($AG$2:AG130),$AG$2:$AG$1001,0),0), INDEX($AN$1004:$BO$1004,1,MATCH(COLUMNS($AN$1006:BL1006),$AN$1006:$BO$1006,0)))),"Fix")))</f>
        <v>0</v>
      </c>
      <c r="AA130" s="4">
        <f>IF(OR(INDEX($AH$2:$AH$1001,MATCH(ROWS($AG$2:AG130),$AG$2:$AG$1001,0),1)&gt;=100000,INDEX($AN$1005:$BO$1005,1,MATCH(COLUMNS($AN$1006:BM1006),$AN$1006:$BO$1006,0))&gt;=100000), " ",IF(INDEX($AN$2:$BO$1001,MATCH(ROWS($AG$2:AG130),$AG$2:$AG$1001,0),MATCH(COLUMNS($AN$1006:BM1006),$AN$1006:$BO$1006,0)), HYPERLINK("#",""), HYPERLINK(CONCATENATE("#Metadata!", ADDRESS(INDEX($AI$2:$AI$1001,MATCH(ROWS($AG$2:AG130),$AG$2:$AG$1001,0),0), INDEX($AN$1004:$BO$1004,1,MATCH(COLUMNS($AN$1006:BM1006),$AN$1006:$BO$1006,0)))),"Fix")))</f>
        <v>0</v>
      </c>
      <c r="AB130" s="4">
        <f>IF(OR(INDEX($AH$2:$AH$1001,MATCH(ROWS($AG$2:AG130),$AG$2:$AG$1001,0),1)&gt;=100000,INDEX($AN$1005:$BO$1005,1,MATCH(COLUMNS($AN$1006:BN1006),$AN$1006:$BO$1006,0))&gt;=100000), " ",IF(INDEX($AN$2:$BO$1001,MATCH(ROWS($AG$2:AG130),$AG$2:$AG$1001,0),MATCH(COLUMNS($AN$1006:BN1006),$AN$1006:$BO$1006,0)), HYPERLINK("#",""), HYPERLINK(CONCATENATE("#Metadata!", ADDRESS(INDEX($AI$2:$AI$1001,MATCH(ROWS($AG$2:AG130),$AG$2:$AG$1001,0),0), INDEX($AN$1004:$BO$1004,1,MATCH(COLUMNS($AN$1006:BN1006),$AN$1006:$BO$1006,0)))),"Fix")))</f>
        <v>0</v>
      </c>
      <c r="AC130" s="4">
        <f>IF(OR(INDEX($AH$2:$AH$1001,MATCH(ROWS($AG$2:AG130),$AG$2:$AG$1001,0),1)&gt;=100000,INDEX($AN$1005:$BO$1005,1,MATCH(COLUMNS($AN$1006:BO1006),$AN$1006:$BO$1006,0))&gt;=100000), " ",IF(INDEX($AN$2:$BO$1001,MATCH(ROWS($AG$2:AG130),$AG$2:$AG$1001,0),MATCH(COLUMNS($AN$1006:BO1006),$AN$1006:$BO$1006,0)), HYPERLINK("#",""), HYPERLINK(CONCATENATE("#Metadata!", ADDRESS(INDEX($AI$2:$AI$1001,MATCH(ROWS($AG$2:AG130),$AG$2:$AG$1001,0),0), INDEX($AN$1004:$BO$1004,1,MATCH(COLUMNS($AN$1006:BO1006),$AN$1006:$BO$1006,0)))),"Fix")))</f>
        <v>0</v>
      </c>
      <c r="AG130">
        <v>0</v>
      </c>
      <c r="AH130">
        <v>0</v>
      </c>
      <c r="AI130">
        <v>0</v>
      </c>
      <c r="AJ130">
        <f>IF(AK130,TRUE,AND(AN130:BO130))</f>
        <v>0</v>
      </c>
      <c r="AK130">
        <f>COUNTBLANK(Metadata!B130:AC130)=COLUMNS(Metadata!B130:AC130)</f>
        <v>0</v>
      </c>
      <c r="AL130">
        <v>0</v>
      </c>
      <c r="AN130">
        <f>AND(IF(Metadata!B130="",FALSE,TRUE),COUNTIF(Metadata!B:B, Metadata!B130) = 1,NOT(ISERROR(SUMPRODUCT(SEARCH(MID(Metadata!B130,ROW(INDIRECT("1:"&amp;LEN(Metadata!B130))), 1),"0123456789abcdefghijklmnopqrstuvwxyzABCDEFGHIJKLMNOPQRSTUVWXYZ.")))))</f>
        <v>0</v>
      </c>
      <c r="AO130">
        <f>IF(Metadata!C130="",FALSE,TRUE)</f>
        <v>0</v>
      </c>
      <c r="AP130">
        <f>IF(Metadata!D130="",FALSE,TRUE)</f>
        <v>0</v>
      </c>
      <c r="AQ130">
        <f>OR(AND(IF(Metadata!E130="",FALSE,TRUE),OR(exact(Metadata!E130,"not collected"),exact(Metadata!E130,"not provided"),exact(Metadata!E130,"restricted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R130">
        <f>IF(Metadata!F130="",FALSE,TRUE)</f>
        <v>0</v>
      </c>
      <c r="AS130">
        <f>OR(AND(IF(Metadata!G130="",FALSE,TRUE),OR(exact(Metadata!G130,"not collected"),exact(Metadata!G130,"not provided"))),AND(IF(Metadata!G130="",FALSE,TRUE),OR(exact(Metadata!G130,"TRUE"),exact(Metadata!G130,"FALSE"))))</f>
        <v>0</v>
      </c>
      <c r="AT130">
        <f>OR(AND(IF(Metadata!H130="",FALSE,TRUE),OR(exact(Metadata!H130,"not collected"),exact(Metadata!H130,"not provided"),exact(Metadata!H130,"restricted access"))),AND(IF(Metadata!H130="",FALSE,ISNUMBER(VALUE(Metadata!H130))),Metadata!H130&gt;=-413.0))</f>
        <v>0</v>
      </c>
      <c r="AU130">
        <f>AND(IF(Metadata!I130="",FALSE,TRUE),exact(Metadata!I130,"meters"))</f>
        <v>0</v>
      </c>
      <c r="AV130">
        <f>AND(IF(Metadata!J130="",FALSE,TRUE),OR(exact(Metadata!J130,"Host-associated"),exact(Metadata!J130,"Free-living")))</f>
        <v>0</v>
      </c>
      <c r="AW130">
        <f>AND(IF(Metadata!K130="",FALSE,TRUE),OR(exact(Metadata!K130,"Animal"),exact(Metadata!K130,"Fungus"),exact(Metadata!K130,"Plant"),exact(Metadata!K130,"Saline"),exact(Metadata!K130,"Non-saline")))</f>
        <v>0</v>
      </c>
      <c r="AX130">
        <f>AND(IF(Metadata!L130="",FALSE,TRUE),OR(exact(Metadata!L130,"Plant secretion"),exact(Metadata!L130,"Plant rhizosphere"),exact(Metadata!L130,"Plant surface"),exact(Metadata!L130,"Plant corpus"),exact(Metadata!L130,"Fungus surface"),exact(Metadata!L130,"Fungus corpus"),exact(Metadata!L130,"Animal surface"),exact(Metadata!L130,"Animal proximal gut"),exact(Metadata!L130,"Animal corpus"),exact(Metadata!L130,"Animal distal gut"),exact(Metadata!L130,"Animal secretion"),exact(Metadata!L130,"Sub-surface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Y130">
        <f>IF(Metadata!M130="",FALSE,TRUE)</f>
        <v>0</v>
      </c>
      <c r="AZ130">
        <f>IF(Metadata!N130="",FALSE,TRUE)</f>
        <v>0</v>
      </c>
      <c r="BA130">
        <f>IF(Metadata!O130="",FALSE,TRUE)</f>
        <v>0</v>
      </c>
      <c r="BB130">
        <f>OR(AND(IF(Metadata!P130="",FALSE,TRUE),OR(exact(Metadata!P130,"not collected"),exact(Metadata!P130,"not provided"),exact(Metadata!P130,"restricted access"))),AND(IF(Metadata!P130="",FALSE,TRUE),OR(exact(Metadata!P130,"air"),exact(Metadata!P130,"built environment"),exact(Metadata!P130,"host-associated"),exact(Metadata!P130,"human-associated"),exact(Metadata!P130,"human-skin"),exact(Metadata!P130,"human-oral"),exact(Metadata!P130,"human-gut"),exact(Metadata!P130,"human-vaginal"),exact(Metadata!P130,"microbial mat/biofilm"),exact(Metadata!P130,"misc environment"),exact(Metadata!P130,"plant-associated"),exact(Metadata!P130,"sediment"),exact(Metadata!P130,"soil"),exact(Metadata!P130,"wastewater/sludge"),exact(Metadata!P130,"water"))))</f>
        <v>0</v>
      </c>
      <c r="BC130">
        <f>IF(Metadata!Q130="",FALSE,TRUE)</f>
        <v>0</v>
      </c>
      <c r="BD130">
        <f>IF(Metadata!R130="",FALSE,TRUE)</f>
        <v>0</v>
      </c>
      <c r="BE130">
        <f>OR(AND(IF(Metadata!S130="",FALSE,TRUE),OR(exact(Metadata!S130,"not collected"),exact(Metadata!S130,"not provided"),exact(Metadata!S130,"restricted access"))),AND(IF(Metadata!S130="",FALSE,ISNUMBER(VALUE(Metadata!S130))),Metadata!S130&gt;=-90.00,Metadata!S130&lt;=90.00))</f>
        <v>0</v>
      </c>
      <c r="BF130">
        <f>AND(IF(Metadata!T130="",FALSE,TRUE),exact(Metadata!T130,"Decimal degrees"))</f>
        <v>0</v>
      </c>
      <c r="BG130">
        <f>OR(AND(IF(Metadata!U130="",FALSE,TRUE),OR(exact(Metadata!U130,"not collected"),exact(Metadata!U130,"not provided"),exact(Metadata!U130,"restricted access"))),AND(IF(Metadata!U130="",FALSE,ISNUMBER(VALUE(Metadata!U130))),Metadata!U130&gt;=-180.00,Metadata!U130&lt;=180.00))</f>
        <v>0</v>
      </c>
      <c r="BH130">
        <f>AND(IF(Metadata!V130="",FALSE,TRUE),exact(Metadata!V130,"Decimal degrees"))</f>
        <v>0</v>
      </c>
      <c r="BI130">
        <f>IF(Metadata!W130="",FALSE,TRUE)</f>
        <v>0</v>
      </c>
      <c r="BJ130">
        <f>OR(AND(IF(Metadata!X130="",FALSE,TRUE),OR(exact(Metadata!X130,"not collected"),exact(Metadata!X130,"not provided"),exact(Metadata!X130,"restricted access"))),AND(IF(Metadata!X130="",FALSE,TRUE),OR(exact(Metadata!X130,"TRUE"),exact(Metadata!X130,"FALSE"))))</f>
        <v>0</v>
      </c>
      <c r="BK130">
        <f>AND(IF(Metadata!Y130="",FALSE,TRUE),exact(Metadata!Y130,"other"))</f>
        <v>0</v>
      </c>
      <c r="BL130">
        <f>IF(Metadata!Z130="",FALSE,TRUE)</f>
        <v>0</v>
      </c>
      <c r="BM130">
        <f>OR(AND(IF(Metadata!AA130="",FALSE,TRUE),OR(exact(Metadata!AA130,"not collected"),exact(Metadata!AA130,"not provided"))),AND(IF(Metadata!AA130="",FALSE,IF(ISERROR(INT(Metadata!AA130)),FALSE,INT(Metadata!AA130)=Metadata!AA130)),Metadata!AA130&gt;0))</f>
        <v>0</v>
      </c>
      <c r="BN130">
        <f>AND(IF(Metadata!AB130="",FALSE,TRUE),exact(Metadata!AB130,"Not applicable"))</f>
        <v>0</v>
      </c>
      <c r="BO130">
        <f>IF(Metadata!AC130="",FALSE,TRUE)</f>
        <v>0</v>
      </c>
    </row>
    <row r="131" spans="1:67">
      <c r="A131" s="5">
        <f>IF(B131=" "," ",HYPERLINK(CONCATENATE("#metadata!",ADDRESS(INDEX($AI$2:$AI$1001,MATCH(ROWS($AG$2:AG131),$AG$2:$AG$1001,0),0),1)),INDEX($AL$2:$AL$1001,MATCH(ROWS($AG$2:AG131),$AG$2:$AG$1001,0),0)))</f>
        <v>0</v>
      </c>
      <c r="B131" s="4">
        <f>IF(OR(INDEX($AH$2:$AH$1001,MATCH(ROWS($AG$2:AG131),$AG$2:$AG$1001,0),1)&gt;=100000,INDEX($AN$1005:$BO$1005,1,MATCH(COLUMNS($AN$1006:AN1006),$AN$1006:$BO$1006,0))&gt;=100000), " ",IF(INDEX($AN$2:$BO$1001,MATCH(ROWS($AG$2:AG131),$AG$2:$AG$1001,0),MATCH(COLUMNS($AN$1006:AN1006),$AN$1006:$BO$1006,0)), HYPERLINK("#",""), HYPERLINK(CONCATENATE("#Metadata!", ADDRESS(INDEX($AI$2:$AI$1001,MATCH(ROWS($AG$2:AG131),$AG$2:$AG$1001,0),0), INDEX($AN$1004:$BO$1004,1,MATCH(COLUMNS($AN$1006:AN1006),$AN$1006:$BO$1006,0)))),"Fix")))</f>
        <v>0</v>
      </c>
      <c r="C131" s="4">
        <f>IF(OR(INDEX($AH$2:$AH$1001,MATCH(ROWS($AG$2:AG131),$AG$2:$AG$1001,0),1)&gt;=100000,INDEX($AN$1005:$BO$1005,1,MATCH(COLUMNS($AN$1006:AO1006),$AN$1006:$BO$1006,0))&gt;=100000), " ",IF(INDEX($AN$2:$BO$1001,MATCH(ROWS($AG$2:AG131),$AG$2:$AG$1001,0),MATCH(COLUMNS($AN$1006:AO1006),$AN$1006:$BO$1006,0)), HYPERLINK("#",""), HYPERLINK(CONCATENATE("#Metadata!", ADDRESS(INDEX($AI$2:$AI$1001,MATCH(ROWS($AG$2:AG131),$AG$2:$AG$1001,0),0), INDEX($AN$1004:$BO$1004,1,MATCH(COLUMNS($AN$1006:AO1006),$AN$1006:$BO$1006,0)))),"Fix")))</f>
        <v>0</v>
      </c>
      <c r="D131" s="4">
        <f>IF(OR(INDEX($AH$2:$AH$1001,MATCH(ROWS($AG$2:AG131),$AG$2:$AG$1001,0),1)&gt;=100000,INDEX($AN$1005:$BO$1005,1,MATCH(COLUMNS($AN$1006:AP1006),$AN$1006:$BO$1006,0))&gt;=100000), " ",IF(INDEX($AN$2:$BO$1001,MATCH(ROWS($AG$2:AG131),$AG$2:$AG$1001,0),MATCH(COLUMNS($AN$1006:AP1006),$AN$1006:$BO$1006,0)), HYPERLINK("#",""), HYPERLINK(CONCATENATE("#Metadata!", ADDRESS(INDEX($AI$2:$AI$1001,MATCH(ROWS($AG$2:AG131),$AG$2:$AG$1001,0),0), INDEX($AN$1004:$BO$1004,1,MATCH(COLUMNS($AN$1006:AP1006),$AN$1006:$BO$1006,0)))),"Fix")))</f>
        <v>0</v>
      </c>
      <c r="E131" s="4">
        <f>IF(OR(INDEX($AH$2:$AH$1001,MATCH(ROWS($AG$2:AG131),$AG$2:$AG$1001,0),1)&gt;=100000,INDEX($AN$1005:$BO$1005,1,MATCH(COLUMNS($AN$1006:AQ1006),$AN$1006:$BO$1006,0))&gt;=100000), " ",IF(INDEX($AN$2:$BO$1001,MATCH(ROWS($AG$2:AG131),$AG$2:$AG$1001,0),MATCH(COLUMNS($AN$1006:AQ1006),$AN$1006:$BO$1006,0)), HYPERLINK("#",""), HYPERLINK(CONCATENATE("#Metadata!", ADDRESS(INDEX($AI$2:$AI$1001,MATCH(ROWS($AG$2:AG131),$AG$2:$AG$1001,0),0), INDEX($AN$1004:$BO$1004,1,MATCH(COLUMNS($AN$1006:AQ1006),$AN$1006:$BO$1006,0)))),"Fix")))</f>
        <v>0</v>
      </c>
      <c r="F131" s="4">
        <f>IF(OR(INDEX($AH$2:$AH$1001,MATCH(ROWS($AG$2:AG131),$AG$2:$AG$1001,0),1)&gt;=100000,INDEX($AN$1005:$BO$1005,1,MATCH(COLUMNS($AN$1006:AR1006),$AN$1006:$BO$1006,0))&gt;=100000), " ",IF(INDEX($AN$2:$BO$1001,MATCH(ROWS($AG$2:AG131),$AG$2:$AG$1001,0),MATCH(COLUMNS($AN$1006:AR1006),$AN$1006:$BO$1006,0)), HYPERLINK("#",""), HYPERLINK(CONCATENATE("#Metadata!", ADDRESS(INDEX($AI$2:$AI$1001,MATCH(ROWS($AG$2:AG131),$AG$2:$AG$1001,0),0), INDEX($AN$1004:$BO$1004,1,MATCH(COLUMNS($AN$1006:AR1006),$AN$1006:$BO$1006,0)))),"Fix")))</f>
        <v>0</v>
      </c>
      <c r="G131" s="4">
        <f>IF(OR(INDEX($AH$2:$AH$1001,MATCH(ROWS($AG$2:AG131),$AG$2:$AG$1001,0),1)&gt;=100000,INDEX($AN$1005:$BO$1005,1,MATCH(COLUMNS($AN$1006:AS1006),$AN$1006:$BO$1006,0))&gt;=100000), " ",IF(INDEX($AN$2:$BO$1001,MATCH(ROWS($AG$2:AG131),$AG$2:$AG$1001,0),MATCH(COLUMNS($AN$1006:AS1006),$AN$1006:$BO$1006,0)), HYPERLINK("#",""), HYPERLINK(CONCATENATE("#Metadata!", ADDRESS(INDEX($AI$2:$AI$1001,MATCH(ROWS($AG$2:AG131),$AG$2:$AG$1001,0),0), INDEX($AN$1004:$BO$1004,1,MATCH(COLUMNS($AN$1006:AS1006),$AN$1006:$BO$1006,0)))),"Fix")))</f>
        <v>0</v>
      </c>
      <c r="H131" s="4">
        <f>IF(OR(INDEX($AH$2:$AH$1001,MATCH(ROWS($AG$2:AG131),$AG$2:$AG$1001,0),1)&gt;=100000,INDEX($AN$1005:$BO$1005,1,MATCH(COLUMNS($AN$1006:AT1006),$AN$1006:$BO$1006,0))&gt;=100000), " ",IF(INDEX($AN$2:$BO$1001,MATCH(ROWS($AG$2:AG131),$AG$2:$AG$1001,0),MATCH(COLUMNS($AN$1006:AT1006),$AN$1006:$BO$1006,0)), HYPERLINK("#",""), HYPERLINK(CONCATENATE("#Metadata!", ADDRESS(INDEX($AI$2:$AI$1001,MATCH(ROWS($AG$2:AG131),$AG$2:$AG$1001,0),0), INDEX($AN$1004:$BO$1004,1,MATCH(COLUMNS($AN$1006:AT1006),$AN$1006:$BO$1006,0)))),"Fix")))</f>
        <v>0</v>
      </c>
      <c r="I131" s="4">
        <f>IF(OR(INDEX($AH$2:$AH$1001,MATCH(ROWS($AG$2:AG131),$AG$2:$AG$1001,0),1)&gt;=100000,INDEX($AN$1005:$BO$1005,1,MATCH(COLUMNS($AN$1006:AU1006),$AN$1006:$BO$1006,0))&gt;=100000), " ",IF(INDEX($AN$2:$BO$1001,MATCH(ROWS($AG$2:AG131),$AG$2:$AG$1001,0),MATCH(COLUMNS($AN$1006:AU1006),$AN$1006:$BO$1006,0)), HYPERLINK("#",""), HYPERLINK(CONCATENATE("#Metadata!", ADDRESS(INDEX($AI$2:$AI$1001,MATCH(ROWS($AG$2:AG131),$AG$2:$AG$1001,0),0), INDEX($AN$1004:$BO$1004,1,MATCH(COLUMNS($AN$1006:AU1006),$AN$1006:$BO$1006,0)))),"Fix")))</f>
        <v>0</v>
      </c>
      <c r="J131" s="4">
        <f>IF(OR(INDEX($AH$2:$AH$1001,MATCH(ROWS($AG$2:AG131),$AG$2:$AG$1001,0),1)&gt;=100000,INDEX($AN$1005:$BO$1005,1,MATCH(COLUMNS($AN$1006:AV1006),$AN$1006:$BO$1006,0))&gt;=100000), " ",IF(INDEX($AN$2:$BO$1001,MATCH(ROWS($AG$2:AG131),$AG$2:$AG$1001,0),MATCH(COLUMNS($AN$1006:AV1006),$AN$1006:$BO$1006,0)), HYPERLINK("#",""), HYPERLINK(CONCATENATE("#Metadata!", ADDRESS(INDEX($AI$2:$AI$1001,MATCH(ROWS($AG$2:AG131),$AG$2:$AG$1001,0),0), INDEX($AN$1004:$BO$1004,1,MATCH(COLUMNS($AN$1006:AV1006),$AN$1006:$BO$1006,0)))),"Fix")))</f>
        <v>0</v>
      </c>
      <c r="K131" s="4">
        <f>IF(OR(INDEX($AH$2:$AH$1001,MATCH(ROWS($AG$2:AG131),$AG$2:$AG$1001,0),1)&gt;=100000,INDEX($AN$1005:$BO$1005,1,MATCH(COLUMNS($AN$1006:AW1006),$AN$1006:$BO$1006,0))&gt;=100000), " ",IF(INDEX($AN$2:$BO$1001,MATCH(ROWS($AG$2:AG131),$AG$2:$AG$1001,0),MATCH(COLUMNS($AN$1006:AW1006),$AN$1006:$BO$1006,0)), HYPERLINK("#",""), HYPERLINK(CONCATENATE("#Metadata!", ADDRESS(INDEX($AI$2:$AI$1001,MATCH(ROWS($AG$2:AG131),$AG$2:$AG$1001,0),0), INDEX($AN$1004:$BO$1004,1,MATCH(COLUMNS($AN$1006:AW1006),$AN$1006:$BO$1006,0)))),"Fix")))</f>
        <v>0</v>
      </c>
      <c r="L131" s="4">
        <f>IF(OR(INDEX($AH$2:$AH$1001,MATCH(ROWS($AG$2:AG131),$AG$2:$AG$1001,0),1)&gt;=100000,INDEX($AN$1005:$BO$1005,1,MATCH(COLUMNS($AN$1006:AX1006),$AN$1006:$BO$1006,0))&gt;=100000), " ",IF(INDEX($AN$2:$BO$1001,MATCH(ROWS($AG$2:AG131),$AG$2:$AG$1001,0),MATCH(COLUMNS($AN$1006:AX1006),$AN$1006:$BO$1006,0)), HYPERLINK("#",""), HYPERLINK(CONCATENATE("#Metadata!", ADDRESS(INDEX($AI$2:$AI$1001,MATCH(ROWS($AG$2:AG131),$AG$2:$AG$1001,0),0), INDEX($AN$1004:$BO$1004,1,MATCH(COLUMNS($AN$1006:AX1006),$AN$1006:$BO$1006,0)))),"Fix")))</f>
        <v>0</v>
      </c>
      <c r="M131" s="4">
        <f>IF(OR(INDEX($AH$2:$AH$1001,MATCH(ROWS($AG$2:AG131),$AG$2:$AG$1001,0),1)&gt;=100000,INDEX($AN$1005:$BO$1005,1,MATCH(COLUMNS($AN$1006:AY1006),$AN$1006:$BO$1006,0))&gt;=100000), " ",IF(INDEX($AN$2:$BO$1001,MATCH(ROWS($AG$2:AG131),$AG$2:$AG$1001,0),MATCH(COLUMNS($AN$1006:AY1006),$AN$1006:$BO$1006,0)), HYPERLINK("#",""), HYPERLINK(CONCATENATE("#Metadata!", ADDRESS(INDEX($AI$2:$AI$1001,MATCH(ROWS($AG$2:AG131),$AG$2:$AG$1001,0),0), INDEX($AN$1004:$BO$1004,1,MATCH(COLUMNS($AN$1006:AY1006),$AN$1006:$BO$1006,0)))),"Fix")))</f>
        <v>0</v>
      </c>
      <c r="N131" s="4">
        <f>IF(OR(INDEX($AH$2:$AH$1001,MATCH(ROWS($AG$2:AG131),$AG$2:$AG$1001,0),1)&gt;=100000,INDEX($AN$1005:$BO$1005,1,MATCH(COLUMNS($AN$1006:AZ1006),$AN$1006:$BO$1006,0))&gt;=100000), " ",IF(INDEX($AN$2:$BO$1001,MATCH(ROWS($AG$2:AG131),$AG$2:$AG$1001,0),MATCH(COLUMNS($AN$1006:AZ1006),$AN$1006:$BO$1006,0)), HYPERLINK("#",""), HYPERLINK(CONCATENATE("#Metadata!", ADDRESS(INDEX($AI$2:$AI$1001,MATCH(ROWS($AG$2:AG131),$AG$2:$AG$1001,0),0), INDEX($AN$1004:$BO$1004,1,MATCH(COLUMNS($AN$1006:AZ1006),$AN$1006:$BO$1006,0)))),"Fix")))</f>
        <v>0</v>
      </c>
      <c r="O131" s="4">
        <f>IF(OR(INDEX($AH$2:$AH$1001,MATCH(ROWS($AG$2:AG131),$AG$2:$AG$1001,0),1)&gt;=100000,INDEX($AN$1005:$BO$1005,1,MATCH(COLUMNS($AN$1006:BA1006),$AN$1006:$BO$1006,0))&gt;=100000), " ",IF(INDEX($AN$2:$BO$1001,MATCH(ROWS($AG$2:AG131),$AG$2:$AG$1001,0),MATCH(COLUMNS($AN$1006:BA1006),$AN$1006:$BO$1006,0)), HYPERLINK("#",""), HYPERLINK(CONCATENATE("#Metadata!", ADDRESS(INDEX($AI$2:$AI$1001,MATCH(ROWS($AG$2:AG131),$AG$2:$AG$1001,0),0), INDEX($AN$1004:$BO$1004,1,MATCH(COLUMNS($AN$1006:BA1006),$AN$1006:$BO$1006,0)))),"Fix")))</f>
        <v>0</v>
      </c>
      <c r="P131" s="4">
        <f>IF(OR(INDEX($AH$2:$AH$1001,MATCH(ROWS($AG$2:AG131),$AG$2:$AG$1001,0),1)&gt;=100000,INDEX($AN$1005:$BO$1005,1,MATCH(COLUMNS($AN$1006:BB1006),$AN$1006:$BO$1006,0))&gt;=100000), " ",IF(INDEX($AN$2:$BO$1001,MATCH(ROWS($AG$2:AG131),$AG$2:$AG$1001,0),MATCH(COLUMNS($AN$1006:BB1006),$AN$1006:$BO$1006,0)), HYPERLINK("#",""), HYPERLINK(CONCATENATE("#Metadata!", ADDRESS(INDEX($AI$2:$AI$1001,MATCH(ROWS($AG$2:AG131),$AG$2:$AG$1001,0),0), INDEX($AN$1004:$BO$1004,1,MATCH(COLUMNS($AN$1006:BB1006),$AN$1006:$BO$1006,0)))),"Fix")))</f>
        <v>0</v>
      </c>
      <c r="Q131" s="4">
        <f>IF(OR(INDEX($AH$2:$AH$1001,MATCH(ROWS($AG$2:AG131),$AG$2:$AG$1001,0),1)&gt;=100000,INDEX($AN$1005:$BO$1005,1,MATCH(COLUMNS($AN$1006:BC1006),$AN$1006:$BO$1006,0))&gt;=100000), " ",IF(INDEX($AN$2:$BO$1001,MATCH(ROWS($AG$2:AG131),$AG$2:$AG$1001,0),MATCH(COLUMNS($AN$1006:BC1006),$AN$1006:$BO$1006,0)), HYPERLINK("#",""), HYPERLINK(CONCATENATE("#Metadata!", ADDRESS(INDEX($AI$2:$AI$1001,MATCH(ROWS($AG$2:AG131),$AG$2:$AG$1001,0),0), INDEX($AN$1004:$BO$1004,1,MATCH(COLUMNS($AN$1006:BC1006),$AN$1006:$BO$1006,0)))),"Fix")))</f>
        <v>0</v>
      </c>
      <c r="R131" s="4">
        <f>IF(OR(INDEX($AH$2:$AH$1001,MATCH(ROWS($AG$2:AG131),$AG$2:$AG$1001,0),1)&gt;=100000,INDEX($AN$1005:$BO$1005,1,MATCH(COLUMNS($AN$1006:BD1006),$AN$1006:$BO$1006,0))&gt;=100000), " ",IF(INDEX($AN$2:$BO$1001,MATCH(ROWS($AG$2:AG131),$AG$2:$AG$1001,0),MATCH(COLUMNS($AN$1006:BD1006),$AN$1006:$BO$1006,0)), HYPERLINK("#",""), HYPERLINK(CONCATENATE("#Metadata!", ADDRESS(INDEX($AI$2:$AI$1001,MATCH(ROWS($AG$2:AG131),$AG$2:$AG$1001,0),0), INDEX($AN$1004:$BO$1004,1,MATCH(COLUMNS($AN$1006:BD1006),$AN$1006:$BO$1006,0)))),"Fix")))</f>
        <v>0</v>
      </c>
      <c r="S131" s="4">
        <f>IF(OR(INDEX($AH$2:$AH$1001,MATCH(ROWS($AG$2:AG131),$AG$2:$AG$1001,0),1)&gt;=100000,INDEX($AN$1005:$BO$1005,1,MATCH(COLUMNS($AN$1006:BE1006),$AN$1006:$BO$1006,0))&gt;=100000), " ",IF(INDEX($AN$2:$BO$1001,MATCH(ROWS($AG$2:AG131),$AG$2:$AG$1001,0),MATCH(COLUMNS($AN$1006:BE1006),$AN$1006:$BO$1006,0)), HYPERLINK("#",""), HYPERLINK(CONCATENATE("#Metadata!", ADDRESS(INDEX($AI$2:$AI$1001,MATCH(ROWS($AG$2:AG131),$AG$2:$AG$1001,0),0), INDEX($AN$1004:$BO$1004,1,MATCH(COLUMNS($AN$1006:BE1006),$AN$1006:$BO$1006,0)))),"Fix")))</f>
        <v>0</v>
      </c>
      <c r="T131" s="4">
        <f>IF(OR(INDEX($AH$2:$AH$1001,MATCH(ROWS($AG$2:AG131),$AG$2:$AG$1001,0),1)&gt;=100000,INDEX($AN$1005:$BO$1005,1,MATCH(COLUMNS($AN$1006:BF1006),$AN$1006:$BO$1006,0))&gt;=100000), " ",IF(INDEX($AN$2:$BO$1001,MATCH(ROWS($AG$2:AG131),$AG$2:$AG$1001,0),MATCH(COLUMNS($AN$1006:BF1006),$AN$1006:$BO$1006,0)), HYPERLINK("#",""), HYPERLINK(CONCATENATE("#Metadata!", ADDRESS(INDEX($AI$2:$AI$1001,MATCH(ROWS($AG$2:AG131),$AG$2:$AG$1001,0),0), INDEX($AN$1004:$BO$1004,1,MATCH(COLUMNS($AN$1006:BF1006),$AN$1006:$BO$1006,0)))),"Fix")))</f>
        <v>0</v>
      </c>
      <c r="U131" s="4">
        <f>IF(OR(INDEX($AH$2:$AH$1001,MATCH(ROWS($AG$2:AG131),$AG$2:$AG$1001,0),1)&gt;=100000,INDEX($AN$1005:$BO$1005,1,MATCH(COLUMNS($AN$1006:BG1006),$AN$1006:$BO$1006,0))&gt;=100000), " ",IF(INDEX($AN$2:$BO$1001,MATCH(ROWS($AG$2:AG131),$AG$2:$AG$1001,0),MATCH(COLUMNS($AN$1006:BG1006),$AN$1006:$BO$1006,0)), HYPERLINK("#",""), HYPERLINK(CONCATENATE("#Metadata!", ADDRESS(INDEX($AI$2:$AI$1001,MATCH(ROWS($AG$2:AG131),$AG$2:$AG$1001,0),0), INDEX($AN$1004:$BO$1004,1,MATCH(COLUMNS($AN$1006:BG1006),$AN$1006:$BO$1006,0)))),"Fix")))</f>
        <v>0</v>
      </c>
      <c r="V131" s="4">
        <f>IF(OR(INDEX($AH$2:$AH$1001,MATCH(ROWS($AG$2:AG131),$AG$2:$AG$1001,0),1)&gt;=100000,INDEX($AN$1005:$BO$1005,1,MATCH(COLUMNS($AN$1006:BH1006),$AN$1006:$BO$1006,0))&gt;=100000), " ",IF(INDEX($AN$2:$BO$1001,MATCH(ROWS($AG$2:AG131),$AG$2:$AG$1001,0),MATCH(COLUMNS($AN$1006:BH1006),$AN$1006:$BO$1006,0)), HYPERLINK("#",""), HYPERLINK(CONCATENATE("#Metadata!", ADDRESS(INDEX($AI$2:$AI$1001,MATCH(ROWS($AG$2:AG131),$AG$2:$AG$1001,0),0), INDEX($AN$1004:$BO$1004,1,MATCH(COLUMNS($AN$1006:BH1006),$AN$1006:$BO$1006,0)))),"Fix")))</f>
        <v>0</v>
      </c>
      <c r="W131" s="4">
        <f>IF(OR(INDEX($AH$2:$AH$1001,MATCH(ROWS($AG$2:AG131),$AG$2:$AG$1001,0),1)&gt;=100000,INDEX($AN$1005:$BO$1005,1,MATCH(COLUMNS($AN$1006:BI1006),$AN$1006:$BO$1006,0))&gt;=100000), " ",IF(INDEX($AN$2:$BO$1001,MATCH(ROWS($AG$2:AG131),$AG$2:$AG$1001,0),MATCH(COLUMNS($AN$1006:BI1006),$AN$1006:$BO$1006,0)), HYPERLINK("#",""), HYPERLINK(CONCATENATE("#Metadata!", ADDRESS(INDEX($AI$2:$AI$1001,MATCH(ROWS($AG$2:AG131),$AG$2:$AG$1001,0),0), INDEX($AN$1004:$BO$1004,1,MATCH(COLUMNS($AN$1006:BI1006),$AN$1006:$BO$1006,0)))),"Fix")))</f>
        <v>0</v>
      </c>
      <c r="X131" s="4">
        <f>IF(OR(INDEX($AH$2:$AH$1001,MATCH(ROWS($AG$2:AG131),$AG$2:$AG$1001,0),1)&gt;=100000,INDEX($AN$1005:$BO$1005,1,MATCH(COLUMNS($AN$1006:BJ1006),$AN$1006:$BO$1006,0))&gt;=100000), " ",IF(INDEX($AN$2:$BO$1001,MATCH(ROWS($AG$2:AG131),$AG$2:$AG$1001,0),MATCH(COLUMNS($AN$1006:BJ1006),$AN$1006:$BO$1006,0)), HYPERLINK("#",""), HYPERLINK(CONCATENATE("#Metadata!", ADDRESS(INDEX($AI$2:$AI$1001,MATCH(ROWS($AG$2:AG131),$AG$2:$AG$1001,0),0), INDEX($AN$1004:$BO$1004,1,MATCH(COLUMNS($AN$1006:BJ1006),$AN$1006:$BO$1006,0)))),"Fix")))</f>
        <v>0</v>
      </c>
      <c r="Y131" s="4">
        <f>IF(OR(INDEX($AH$2:$AH$1001,MATCH(ROWS($AG$2:AG131),$AG$2:$AG$1001,0),1)&gt;=100000,INDEX($AN$1005:$BO$1005,1,MATCH(COLUMNS($AN$1006:BK1006),$AN$1006:$BO$1006,0))&gt;=100000), " ",IF(INDEX($AN$2:$BO$1001,MATCH(ROWS($AG$2:AG131),$AG$2:$AG$1001,0),MATCH(COLUMNS($AN$1006:BK1006),$AN$1006:$BO$1006,0)), HYPERLINK("#",""), HYPERLINK(CONCATENATE("#Metadata!", ADDRESS(INDEX($AI$2:$AI$1001,MATCH(ROWS($AG$2:AG131),$AG$2:$AG$1001,0),0), INDEX($AN$1004:$BO$1004,1,MATCH(COLUMNS($AN$1006:BK1006),$AN$1006:$BO$1006,0)))),"Fix")))</f>
        <v>0</v>
      </c>
      <c r="Z131" s="4">
        <f>IF(OR(INDEX($AH$2:$AH$1001,MATCH(ROWS($AG$2:AG131),$AG$2:$AG$1001,0),1)&gt;=100000,INDEX($AN$1005:$BO$1005,1,MATCH(COLUMNS($AN$1006:BL1006),$AN$1006:$BO$1006,0))&gt;=100000), " ",IF(INDEX($AN$2:$BO$1001,MATCH(ROWS($AG$2:AG131),$AG$2:$AG$1001,0),MATCH(COLUMNS($AN$1006:BL1006),$AN$1006:$BO$1006,0)), HYPERLINK("#",""), HYPERLINK(CONCATENATE("#Metadata!", ADDRESS(INDEX($AI$2:$AI$1001,MATCH(ROWS($AG$2:AG131),$AG$2:$AG$1001,0),0), INDEX($AN$1004:$BO$1004,1,MATCH(COLUMNS($AN$1006:BL1006),$AN$1006:$BO$1006,0)))),"Fix")))</f>
        <v>0</v>
      </c>
      <c r="AA131" s="4">
        <f>IF(OR(INDEX($AH$2:$AH$1001,MATCH(ROWS($AG$2:AG131),$AG$2:$AG$1001,0),1)&gt;=100000,INDEX($AN$1005:$BO$1005,1,MATCH(COLUMNS($AN$1006:BM1006),$AN$1006:$BO$1006,0))&gt;=100000), " ",IF(INDEX($AN$2:$BO$1001,MATCH(ROWS($AG$2:AG131),$AG$2:$AG$1001,0),MATCH(COLUMNS($AN$1006:BM1006),$AN$1006:$BO$1006,0)), HYPERLINK("#",""), HYPERLINK(CONCATENATE("#Metadata!", ADDRESS(INDEX($AI$2:$AI$1001,MATCH(ROWS($AG$2:AG131),$AG$2:$AG$1001,0),0), INDEX($AN$1004:$BO$1004,1,MATCH(COLUMNS($AN$1006:BM1006),$AN$1006:$BO$1006,0)))),"Fix")))</f>
        <v>0</v>
      </c>
      <c r="AB131" s="4">
        <f>IF(OR(INDEX($AH$2:$AH$1001,MATCH(ROWS($AG$2:AG131),$AG$2:$AG$1001,0),1)&gt;=100000,INDEX($AN$1005:$BO$1005,1,MATCH(COLUMNS($AN$1006:BN1006),$AN$1006:$BO$1006,0))&gt;=100000), " ",IF(INDEX($AN$2:$BO$1001,MATCH(ROWS($AG$2:AG131),$AG$2:$AG$1001,0),MATCH(COLUMNS($AN$1006:BN1006),$AN$1006:$BO$1006,0)), HYPERLINK("#",""), HYPERLINK(CONCATENATE("#Metadata!", ADDRESS(INDEX($AI$2:$AI$1001,MATCH(ROWS($AG$2:AG131),$AG$2:$AG$1001,0),0), INDEX($AN$1004:$BO$1004,1,MATCH(COLUMNS($AN$1006:BN1006),$AN$1006:$BO$1006,0)))),"Fix")))</f>
        <v>0</v>
      </c>
      <c r="AC131" s="4">
        <f>IF(OR(INDEX($AH$2:$AH$1001,MATCH(ROWS($AG$2:AG131),$AG$2:$AG$1001,0),1)&gt;=100000,INDEX($AN$1005:$BO$1005,1,MATCH(COLUMNS($AN$1006:BO1006),$AN$1006:$BO$1006,0))&gt;=100000), " ",IF(INDEX($AN$2:$BO$1001,MATCH(ROWS($AG$2:AG131),$AG$2:$AG$1001,0),MATCH(COLUMNS($AN$1006:BO1006),$AN$1006:$BO$1006,0)), HYPERLINK("#",""), HYPERLINK(CONCATENATE("#Metadata!", ADDRESS(INDEX($AI$2:$AI$1001,MATCH(ROWS($AG$2:AG131),$AG$2:$AG$1001,0),0), INDEX($AN$1004:$BO$1004,1,MATCH(COLUMNS($AN$1006:BO1006),$AN$1006:$BO$1006,0)))),"Fix")))</f>
        <v>0</v>
      </c>
      <c r="AG131">
        <v>0</v>
      </c>
      <c r="AH131">
        <v>0</v>
      </c>
      <c r="AI131">
        <v>0</v>
      </c>
      <c r="AJ131">
        <f>IF(AK131,TRUE,AND(AN131:BO131))</f>
        <v>0</v>
      </c>
      <c r="AK131">
        <f>COUNTBLANK(Metadata!B131:AC131)=COLUMNS(Metadata!B131:AC131)</f>
        <v>0</v>
      </c>
      <c r="AL131">
        <v>0</v>
      </c>
      <c r="AN131">
        <f>AND(IF(Metadata!B131="",FALSE,TRUE),COUNTIF(Metadata!B:B, Metadata!B131) = 1,NOT(ISERROR(SUMPRODUCT(SEARCH(MID(Metadata!B131,ROW(INDIRECT("1:"&amp;LEN(Metadata!B131))), 1),"0123456789abcdefghijklmnopqrstuvwxyzABCDEFGHIJKLMNOPQRSTUVWXYZ.")))))</f>
        <v>0</v>
      </c>
      <c r="AO131">
        <f>IF(Metadata!C131="",FALSE,TRUE)</f>
        <v>0</v>
      </c>
      <c r="AP131">
        <f>IF(Metadata!D131="",FALSE,TRUE)</f>
        <v>0</v>
      </c>
      <c r="AQ131">
        <f>OR(AND(IF(Metadata!E131="",FALSE,TRUE),OR(exact(Metadata!E131,"not collected"),exact(Metadata!E131,"not provided"),exact(Metadata!E131,"restricted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R131">
        <f>IF(Metadata!F131="",FALSE,TRUE)</f>
        <v>0</v>
      </c>
      <c r="AS131">
        <f>OR(AND(IF(Metadata!G131="",FALSE,TRUE),OR(exact(Metadata!G131,"not collected"),exact(Metadata!G131,"not provided"))),AND(IF(Metadata!G131="",FALSE,TRUE),OR(exact(Metadata!G131,"TRUE"),exact(Metadata!G131,"FALSE"))))</f>
        <v>0</v>
      </c>
      <c r="AT131">
        <f>OR(AND(IF(Metadata!H131="",FALSE,TRUE),OR(exact(Metadata!H131,"not collected"),exact(Metadata!H131,"not provided"),exact(Metadata!H131,"restricted access"))),AND(IF(Metadata!H131="",FALSE,ISNUMBER(VALUE(Metadata!H131))),Metadata!H131&gt;=-413.0))</f>
        <v>0</v>
      </c>
      <c r="AU131">
        <f>AND(IF(Metadata!I131="",FALSE,TRUE),exact(Metadata!I131,"meters"))</f>
        <v>0</v>
      </c>
      <c r="AV131">
        <f>AND(IF(Metadata!J131="",FALSE,TRUE),OR(exact(Metadata!J131,"Host-associated"),exact(Metadata!J131,"Free-living")))</f>
        <v>0</v>
      </c>
      <c r="AW131">
        <f>AND(IF(Metadata!K131="",FALSE,TRUE),OR(exact(Metadata!K131,"Animal"),exact(Metadata!K131,"Fungus"),exact(Metadata!K131,"Plant"),exact(Metadata!K131,"Saline"),exact(Metadata!K131,"Non-saline")))</f>
        <v>0</v>
      </c>
      <c r="AX131">
        <f>AND(IF(Metadata!L131="",FALSE,TRUE),OR(exact(Metadata!L131,"Plant secretion"),exact(Metadata!L131,"Plant rhizosphere"),exact(Metadata!L131,"Plant surface"),exact(Metadata!L131,"Plant corpus"),exact(Metadata!L131,"Fungus surface"),exact(Metadata!L131,"Fungus corpus"),exact(Metadata!L131,"Animal surface"),exact(Metadata!L131,"Animal proximal gut"),exact(Metadata!L131,"Animal corpus"),exact(Metadata!L131,"Animal distal gut"),exact(Metadata!L131,"Animal secretion"),exact(Metadata!L131,"Sub-surface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Y131">
        <f>IF(Metadata!M131="",FALSE,TRUE)</f>
        <v>0</v>
      </c>
      <c r="AZ131">
        <f>IF(Metadata!N131="",FALSE,TRUE)</f>
        <v>0</v>
      </c>
      <c r="BA131">
        <f>IF(Metadata!O131="",FALSE,TRUE)</f>
        <v>0</v>
      </c>
      <c r="BB131">
        <f>OR(AND(IF(Metadata!P131="",FALSE,TRUE),OR(exact(Metadata!P131,"not collected"),exact(Metadata!P131,"not provided"),exact(Metadata!P131,"restricted access"))),AND(IF(Metadata!P131="",FALSE,TRUE),OR(exact(Metadata!P131,"air"),exact(Metadata!P131,"built environment"),exact(Metadata!P131,"host-associated"),exact(Metadata!P131,"human-associated"),exact(Metadata!P131,"human-skin"),exact(Metadata!P131,"human-oral"),exact(Metadata!P131,"human-gut"),exact(Metadata!P131,"human-vaginal"),exact(Metadata!P131,"microbial mat/biofilm"),exact(Metadata!P131,"misc environment"),exact(Metadata!P131,"plant-associated"),exact(Metadata!P131,"sediment"),exact(Metadata!P131,"soil"),exact(Metadata!P131,"wastewater/sludge"),exact(Metadata!P131,"water"))))</f>
        <v>0</v>
      </c>
      <c r="BC131">
        <f>IF(Metadata!Q131="",FALSE,TRUE)</f>
        <v>0</v>
      </c>
      <c r="BD131">
        <f>IF(Metadata!R131="",FALSE,TRUE)</f>
        <v>0</v>
      </c>
      <c r="BE131">
        <f>OR(AND(IF(Metadata!S131="",FALSE,TRUE),OR(exact(Metadata!S131,"not collected"),exact(Metadata!S131,"not provided"),exact(Metadata!S131,"restricted access"))),AND(IF(Metadata!S131="",FALSE,ISNUMBER(VALUE(Metadata!S131))),Metadata!S131&gt;=-90.00,Metadata!S131&lt;=90.00))</f>
        <v>0</v>
      </c>
      <c r="BF131">
        <f>AND(IF(Metadata!T131="",FALSE,TRUE),exact(Metadata!T131,"Decimal degrees"))</f>
        <v>0</v>
      </c>
      <c r="BG131">
        <f>OR(AND(IF(Metadata!U131="",FALSE,TRUE),OR(exact(Metadata!U131,"not collected"),exact(Metadata!U131,"not provided"),exact(Metadata!U131,"restricted access"))),AND(IF(Metadata!U131="",FALSE,ISNUMBER(VALUE(Metadata!U131))),Metadata!U131&gt;=-180.00,Metadata!U131&lt;=180.00))</f>
        <v>0</v>
      </c>
      <c r="BH131">
        <f>AND(IF(Metadata!V131="",FALSE,TRUE),exact(Metadata!V131,"Decimal degrees"))</f>
        <v>0</v>
      </c>
      <c r="BI131">
        <f>IF(Metadata!W131="",FALSE,TRUE)</f>
        <v>0</v>
      </c>
      <c r="BJ131">
        <f>OR(AND(IF(Metadata!X131="",FALSE,TRUE),OR(exact(Metadata!X131,"not collected"),exact(Metadata!X131,"not provided"),exact(Metadata!X131,"restricted access"))),AND(IF(Metadata!X131="",FALSE,TRUE),OR(exact(Metadata!X131,"TRUE"),exact(Metadata!X131,"FALSE"))))</f>
        <v>0</v>
      </c>
      <c r="BK131">
        <f>AND(IF(Metadata!Y131="",FALSE,TRUE),exact(Metadata!Y131,"other"))</f>
        <v>0</v>
      </c>
      <c r="BL131">
        <f>IF(Metadata!Z131="",FALSE,TRUE)</f>
        <v>0</v>
      </c>
      <c r="BM131">
        <f>OR(AND(IF(Metadata!AA131="",FALSE,TRUE),OR(exact(Metadata!AA131,"not collected"),exact(Metadata!AA131,"not provided"))),AND(IF(Metadata!AA131="",FALSE,IF(ISERROR(INT(Metadata!AA131)),FALSE,INT(Metadata!AA131)=Metadata!AA131)),Metadata!AA131&gt;0))</f>
        <v>0</v>
      </c>
      <c r="BN131">
        <f>AND(IF(Metadata!AB131="",FALSE,TRUE),exact(Metadata!AB131,"Not applicable"))</f>
        <v>0</v>
      </c>
      <c r="BO131">
        <f>IF(Metadata!AC131="",FALSE,TRUE)</f>
        <v>0</v>
      </c>
    </row>
    <row r="132" spans="1:67">
      <c r="A132" s="5">
        <f>IF(B132=" "," ",HYPERLINK(CONCATENATE("#metadata!",ADDRESS(INDEX($AI$2:$AI$1001,MATCH(ROWS($AG$2:AG132),$AG$2:$AG$1001,0),0),1)),INDEX($AL$2:$AL$1001,MATCH(ROWS($AG$2:AG132),$AG$2:$AG$1001,0),0)))</f>
        <v>0</v>
      </c>
      <c r="B132" s="4">
        <f>IF(OR(INDEX($AH$2:$AH$1001,MATCH(ROWS($AG$2:AG132),$AG$2:$AG$1001,0),1)&gt;=100000,INDEX($AN$1005:$BO$1005,1,MATCH(COLUMNS($AN$1006:AN1006),$AN$1006:$BO$1006,0))&gt;=100000), " ",IF(INDEX($AN$2:$BO$1001,MATCH(ROWS($AG$2:AG132),$AG$2:$AG$1001,0),MATCH(COLUMNS($AN$1006:AN1006),$AN$1006:$BO$1006,0)), HYPERLINK("#",""), HYPERLINK(CONCATENATE("#Metadata!", ADDRESS(INDEX($AI$2:$AI$1001,MATCH(ROWS($AG$2:AG132),$AG$2:$AG$1001,0),0), INDEX($AN$1004:$BO$1004,1,MATCH(COLUMNS($AN$1006:AN1006),$AN$1006:$BO$1006,0)))),"Fix")))</f>
        <v>0</v>
      </c>
      <c r="C132" s="4">
        <f>IF(OR(INDEX($AH$2:$AH$1001,MATCH(ROWS($AG$2:AG132),$AG$2:$AG$1001,0),1)&gt;=100000,INDEX($AN$1005:$BO$1005,1,MATCH(COLUMNS($AN$1006:AO1006),$AN$1006:$BO$1006,0))&gt;=100000), " ",IF(INDEX($AN$2:$BO$1001,MATCH(ROWS($AG$2:AG132),$AG$2:$AG$1001,0),MATCH(COLUMNS($AN$1006:AO1006),$AN$1006:$BO$1006,0)), HYPERLINK("#",""), HYPERLINK(CONCATENATE("#Metadata!", ADDRESS(INDEX($AI$2:$AI$1001,MATCH(ROWS($AG$2:AG132),$AG$2:$AG$1001,0),0), INDEX($AN$1004:$BO$1004,1,MATCH(COLUMNS($AN$1006:AO1006),$AN$1006:$BO$1006,0)))),"Fix")))</f>
        <v>0</v>
      </c>
      <c r="D132" s="4">
        <f>IF(OR(INDEX($AH$2:$AH$1001,MATCH(ROWS($AG$2:AG132),$AG$2:$AG$1001,0),1)&gt;=100000,INDEX($AN$1005:$BO$1005,1,MATCH(COLUMNS($AN$1006:AP1006),$AN$1006:$BO$1006,0))&gt;=100000), " ",IF(INDEX($AN$2:$BO$1001,MATCH(ROWS($AG$2:AG132),$AG$2:$AG$1001,0),MATCH(COLUMNS($AN$1006:AP1006),$AN$1006:$BO$1006,0)), HYPERLINK("#",""), HYPERLINK(CONCATENATE("#Metadata!", ADDRESS(INDEX($AI$2:$AI$1001,MATCH(ROWS($AG$2:AG132),$AG$2:$AG$1001,0),0), INDEX($AN$1004:$BO$1004,1,MATCH(COLUMNS($AN$1006:AP1006),$AN$1006:$BO$1006,0)))),"Fix")))</f>
        <v>0</v>
      </c>
      <c r="E132" s="4">
        <f>IF(OR(INDEX($AH$2:$AH$1001,MATCH(ROWS($AG$2:AG132),$AG$2:$AG$1001,0),1)&gt;=100000,INDEX($AN$1005:$BO$1005,1,MATCH(COLUMNS($AN$1006:AQ1006),$AN$1006:$BO$1006,0))&gt;=100000), " ",IF(INDEX($AN$2:$BO$1001,MATCH(ROWS($AG$2:AG132),$AG$2:$AG$1001,0),MATCH(COLUMNS($AN$1006:AQ1006),$AN$1006:$BO$1006,0)), HYPERLINK("#",""), HYPERLINK(CONCATENATE("#Metadata!", ADDRESS(INDEX($AI$2:$AI$1001,MATCH(ROWS($AG$2:AG132),$AG$2:$AG$1001,0),0), INDEX($AN$1004:$BO$1004,1,MATCH(COLUMNS($AN$1006:AQ1006),$AN$1006:$BO$1006,0)))),"Fix")))</f>
        <v>0</v>
      </c>
      <c r="F132" s="4">
        <f>IF(OR(INDEX($AH$2:$AH$1001,MATCH(ROWS($AG$2:AG132),$AG$2:$AG$1001,0),1)&gt;=100000,INDEX($AN$1005:$BO$1005,1,MATCH(COLUMNS($AN$1006:AR1006),$AN$1006:$BO$1006,0))&gt;=100000), " ",IF(INDEX($AN$2:$BO$1001,MATCH(ROWS($AG$2:AG132),$AG$2:$AG$1001,0),MATCH(COLUMNS($AN$1006:AR1006),$AN$1006:$BO$1006,0)), HYPERLINK("#",""), HYPERLINK(CONCATENATE("#Metadata!", ADDRESS(INDEX($AI$2:$AI$1001,MATCH(ROWS($AG$2:AG132),$AG$2:$AG$1001,0),0), INDEX($AN$1004:$BO$1004,1,MATCH(COLUMNS($AN$1006:AR1006),$AN$1006:$BO$1006,0)))),"Fix")))</f>
        <v>0</v>
      </c>
      <c r="G132" s="4">
        <f>IF(OR(INDEX($AH$2:$AH$1001,MATCH(ROWS($AG$2:AG132),$AG$2:$AG$1001,0),1)&gt;=100000,INDEX($AN$1005:$BO$1005,1,MATCH(COLUMNS($AN$1006:AS1006),$AN$1006:$BO$1006,0))&gt;=100000), " ",IF(INDEX($AN$2:$BO$1001,MATCH(ROWS($AG$2:AG132),$AG$2:$AG$1001,0),MATCH(COLUMNS($AN$1006:AS1006),$AN$1006:$BO$1006,0)), HYPERLINK("#",""), HYPERLINK(CONCATENATE("#Metadata!", ADDRESS(INDEX($AI$2:$AI$1001,MATCH(ROWS($AG$2:AG132),$AG$2:$AG$1001,0),0), INDEX($AN$1004:$BO$1004,1,MATCH(COLUMNS($AN$1006:AS1006),$AN$1006:$BO$1006,0)))),"Fix")))</f>
        <v>0</v>
      </c>
      <c r="H132" s="4">
        <f>IF(OR(INDEX($AH$2:$AH$1001,MATCH(ROWS($AG$2:AG132),$AG$2:$AG$1001,0),1)&gt;=100000,INDEX($AN$1005:$BO$1005,1,MATCH(COLUMNS($AN$1006:AT1006),$AN$1006:$BO$1006,0))&gt;=100000), " ",IF(INDEX($AN$2:$BO$1001,MATCH(ROWS($AG$2:AG132),$AG$2:$AG$1001,0),MATCH(COLUMNS($AN$1006:AT1006),$AN$1006:$BO$1006,0)), HYPERLINK("#",""), HYPERLINK(CONCATENATE("#Metadata!", ADDRESS(INDEX($AI$2:$AI$1001,MATCH(ROWS($AG$2:AG132),$AG$2:$AG$1001,0),0), INDEX($AN$1004:$BO$1004,1,MATCH(COLUMNS($AN$1006:AT1006),$AN$1006:$BO$1006,0)))),"Fix")))</f>
        <v>0</v>
      </c>
      <c r="I132" s="4">
        <f>IF(OR(INDEX($AH$2:$AH$1001,MATCH(ROWS($AG$2:AG132),$AG$2:$AG$1001,0),1)&gt;=100000,INDEX($AN$1005:$BO$1005,1,MATCH(COLUMNS($AN$1006:AU1006),$AN$1006:$BO$1006,0))&gt;=100000), " ",IF(INDEX($AN$2:$BO$1001,MATCH(ROWS($AG$2:AG132),$AG$2:$AG$1001,0),MATCH(COLUMNS($AN$1006:AU1006),$AN$1006:$BO$1006,0)), HYPERLINK("#",""), HYPERLINK(CONCATENATE("#Metadata!", ADDRESS(INDEX($AI$2:$AI$1001,MATCH(ROWS($AG$2:AG132),$AG$2:$AG$1001,0),0), INDEX($AN$1004:$BO$1004,1,MATCH(COLUMNS($AN$1006:AU1006),$AN$1006:$BO$1006,0)))),"Fix")))</f>
        <v>0</v>
      </c>
      <c r="J132" s="4">
        <f>IF(OR(INDEX($AH$2:$AH$1001,MATCH(ROWS($AG$2:AG132),$AG$2:$AG$1001,0),1)&gt;=100000,INDEX($AN$1005:$BO$1005,1,MATCH(COLUMNS($AN$1006:AV1006),$AN$1006:$BO$1006,0))&gt;=100000), " ",IF(INDEX($AN$2:$BO$1001,MATCH(ROWS($AG$2:AG132),$AG$2:$AG$1001,0),MATCH(COLUMNS($AN$1006:AV1006),$AN$1006:$BO$1006,0)), HYPERLINK("#",""), HYPERLINK(CONCATENATE("#Metadata!", ADDRESS(INDEX($AI$2:$AI$1001,MATCH(ROWS($AG$2:AG132),$AG$2:$AG$1001,0),0), INDEX($AN$1004:$BO$1004,1,MATCH(COLUMNS($AN$1006:AV1006),$AN$1006:$BO$1006,0)))),"Fix")))</f>
        <v>0</v>
      </c>
      <c r="K132" s="4">
        <f>IF(OR(INDEX($AH$2:$AH$1001,MATCH(ROWS($AG$2:AG132),$AG$2:$AG$1001,0),1)&gt;=100000,INDEX($AN$1005:$BO$1005,1,MATCH(COLUMNS($AN$1006:AW1006),$AN$1006:$BO$1006,0))&gt;=100000), " ",IF(INDEX($AN$2:$BO$1001,MATCH(ROWS($AG$2:AG132),$AG$2:$AG$1001,0),MATCH(COLUMNS($AN$1006:AW1006),$AN$1006:$BO$1006,0)), HYPERLINK("#",""), HYPERLINK(CONCATENATE("#Metadata!", ADDRESS(INDEX($AI$2:$AI$1001,MATCH(ROWS($AG$2:AG132),$AG$2:$AG$1001,0),0), INDEX($AN$1004:$BO$1004,1,MATCH(COLUMNS($AN$1006:AW1006),$AN$1006:$BO$1006,0)))),"Fix")))</f>
        <v>0</v>
      </c>
      <c r="L132" s="4">
        <f>IF(OR(INDEX($AH$2:$AH$1001,MATCH(ROWS($AG$2:AG132),$AG$2:$AG$1001,0),1)&gt;=100000,INDEX($AN$1005:$BO$1005,1,MATCH(COLUMNS($AN$1006:AX1006),$AN$1006:$BO$1006,0))&gt;=100000), " ",IF(INDEX($AN$2:$BO$1001,MATCH(ROWS($AG$2:AG132),$AG$2:$AG$1001,0),MATCH(COLUMNS($AN$1006:AX1006),$AN$1006:$BO$1006,0)), HYPERLINK("#",""), HYPERLINK(CONCATENATE("#Metadata!", ADDRESS(INDEX($AI$2:$AI$1001,MATCH(ROWS($AG$2:AG132),$AG$2:$AG$1001,0),0), INDEX($AN$1004:$BO$1004,1,MATCH(COLUMNS($AN$1006:AX1006),$AN$1006:$BO$1006,0)))),"Fix")))</f>
        <v>0</v>
      </c>
      <c r="M132" s="4">
        <f>IF(OR(INDEX($AH$2:$AH$1001,MATCH(ROWS($AG$2:AG132),$AG$2:$AG$1001,0),1)&gt;=100000,INDEX($AN$1005:$BO$1005,1,MATCH(COLUMNS($AN$1006:AY1006),$AN$1006:$BO$1006,0))&gt;=100000), " ",IF(INDEX($AN$2:$BO$1001,MATCH(ROWS($AG$2:AG132),$AG$2:$AG$1001,0),MATCH(COLUMNS($AN$1006:AY1006),$AN$1006:$BO$1006,0)), HYPERLINK("#",""), HYPERLINK(CONCATENATE("#Metadata!", ADDRESS(INDEX($AI$2:$AI$1001,MATCH(ROWS($AG$2:AG132),$AG$2:$AG$1001,0),0), INDEX($AN$1004:$BO$1004,1,MATCH(COLUMNS($AN$1006:AY1006),$AN$1006:$BO$1006,0)))),"Fix")))</f>
        <v>0</v>
      </c>
      <c r="N132" s="4">
        <f>IF(OR(INDEX($AH$2:$AH$1001,MATCH(ROWS($AG$2:AG132),$AG$2:$AG$1001,0),1)&gt;=100000,INDEX($AN$1005:$BO$1005,1,MATCH(COLUMNS($AN$1006:AZ1006),$AN$1006:$BO$1006,0))&gt;=100000), " ",IF(INDEX($AN$2:$BO$1001,MATCH(ROWS($AG$2:AG132),$AG$2:$AG$1001,0),MATCH(COLUMNS($AN$1006:AZ1006),$AN$1006:$BO$1006,0)), HYPERLINK("#",""), HYPERLINK(CONCATENATE("#Metadata!", ADDRESS(INDEX($AI$2:$AI$1001,MATCH(ROWS($AG$2:AG132),$AG$2:$AG$1001,0),0), INDEX($AN$1004:$BO$1004,1,MATCH(COLUMNS($AN$1006:AZ1006),$AN$1006:$BO$1006,0)))),"Fix")))</f>
        <v>0</v>
      </c>
      <c r="O132" s="4">
        <f>IF(OR(INDEX($AH$2:$AH$1001,MATCH(ROWS($AG$2:AG132),$AG$2:$AG$1001,0),1)&gt;=100000,INDEX($AN$1005:$BO$1005,1,MATCH(COLUMNS($AN$1006:BA1006),$AN$1006:$BO$1006,0))&gt;=100000), " ",IF(INDEX($AN$2:$BO$1001,MATCH(ROWS($AG$2:AG132),$AG$2:$AG$1001,0),MATCH(COLUMNS($AN$1006:BA1006),$AN$1006:$BO$1006,0)), HYPERLINK("#",""), HYPERLINK(CONCATENATE("#Metadata!", ADDRESS(INDEX($AI$2:$AI$1001,MATCH(ROWS($AG$2:AG132),$AG$2:$AG$1001,0),0), INDEX($AN$1004:$BO$1004,1,MATCH(COLUMNS($AN$1006:BA1006),$AN$1006:$BO$1006,0)))),"Fix")))</f>
        <v>0</v>
      </c>
      <c r="P132" s="4">
        <f>IF(OR(INDEX($AH$2:$AH$1001,MATCH(ROWS($AG$2:AG132),$AG$2:$AG$1001,0),1)&gt;=100000,INDEX($AN$1005:$BO$1005,1,MATCH(COLUMNS($AN$1006:BB1006),$AN$1006:$BO$1006,0))&gt;=100000), " ",IF(INDEX($AN$2:$BO$1001,MATCH(ROWS($AG$2:AG132),$AG$2:$AG$1001,0),MATCH(COLUMNS($AN$1006:BB1006),$AN$1006:$BO$1006,0)), HYPERLINK("#",""), HYPERLINK(CONCATENATE("#Metadata!", ADDRESS(INDEX($AI$2:$AI$1001,MATCH(ROWS($AG$2:AG132),$AG$2:$AG$1001,0),0), INDEX($AN$1004:$BO$1004,1,MATCH(COLUMNS($AN$1006:BB1006),$AN$1006:$BO$1006,0)))),"Fix")))</f>
        <v>0</v>
      </c>
      <c r="Q132" s="4">
        <f>IF(OR(INDEX($AH$2:$AH$1001,MATCH(ROWS($AG$2:AG132),$AG$2:$AG$1001,0),1)&gt;=100000,INDEX($AN$1005:$BO$1005,1,MATCH(COLUMNS($AN$1006:BC1006),$AN$1006:$BO$1006,0))&gt;=100000), " ",IF(INDEX($AN$2:$BO$1001,MATCH(ROWS($AG$2:AG132),$AG$2:$AG$1001,0),MATCH(COLUMNS($AN$1006:BC1006),$AN$1006:$BO$1006,0)), HYPERLINK("#",""), HYPERLINK(CONCATENATE("#Metadata!", ADDRESS(INDEX($AI$2:$AI$1001,MATCH(ROWS($AG$2:AG132),$AG$2:$AG$1001,0),0), INDEX($AN$1004:$BO$1004,1,MATCH(COLUMNS($AN$1006:BC1006),$AN$1006:$BO$1006,0)))),"Fix")))</f>
        <v>0</v>
      </c>
      <c r="R132" s="4">
        <f>IF(OR(INDEX($AH$2:$AH$1001,MATCH(ROWS($AG$2:AG132),$AG$2:$AG$1001,0),1)&gt;=100000,INDEX($AN$1005:$BO$1005,1,MATCH(COLUMNS($AN$1006:BD1006),$AN$1006:$BO$1006,0))&gt;=100000), " ",IF(INDEX($AN$2:$BO$1001,MATCH(ROWS($AG$2:AG132),$AG$2:$AG$1001,0),MATCH(COLUMNS($AN$1006:BD1006),$AN$1006:$BO$1006,0)), HYPERLINK("#",""), HYPERLINK(CONCATENATE("#Metadata!", ADDRESS(INDEX($AI$2:$AI$1001,MATCH(ROWS($AG$2:AG132),$AG$2:$AG$1001,0),0), INDEX($AN$1004:$BO$1004,1,MATCH(COLUMNS($AN$1006:BD1006),$AN$1006:$BO$1006,0)))),"Fix")))</f>
        <v>0</v>
      </c>
      <c r="S132" s="4">
        <f>IF(OR(INDEX($AH$2:$AH$1001,MATCH(ROWS($AG$2:AG132),$AG$2:$AG$1001,0),1)&gt;=100000,INDEX($AN$1005:$BO$1005,1,MATCH(COLUMNS($AN$1006:BE1006),$AN$1006:$BO$1006,0))&gt;=100000), " ",IF(INDEX($AN$2:$BO$1001,MATCH(ROWS($AG$2:AG132),$AG$2:$AG$1001,0),MATCH(COLUMNS($AN$1006:BE1006),$AN$1006:$BO$1006,0)), HYPERLINK("#",""), HYPERLINK(CONCATENATE("#Metadata!", ADDRESS(INDEX($AI$2:$AI$1001,MATCH(ROWS($AG$2:AG132),$AG$2:$AG$1001,0),0), INDEX($AN$1004:$BO$1004,1,MATCH(COLUMNS($AN$1006:BE1006),$AN$1006:$BO$1006,0)))),"Fix")))</f>
        <v>0</v>
      </c>
      <c r="T132" s="4">
        <f>IF(OR(INDEX($AH$2:$AH$1001,MATCH(ROWS($AG$2:AG132),$AG$2:$AG$1001,0),1)&gt;=100000,INDEX($AN$1005:$BO$1005,1,MATCH(COLUMNS($AN$1006:BF1006),$AN$1006:$BO$1006,0))&gt;=100000), " ",IF(INDEX($AN$2:$BO$1001,MATCH(ROWS($AG$2:AG132),$AG$2:$AG$1001,0),MATCH(COLUMNS($AN$1006:BF1006),$AN$1006:$BO$1006,0)), HYPERLINK("#",""), HYPERLINK(CONCATENATE("#Metadata!", ADDRESS(INDEX($AI$2:$AI$1001,MATCH(ROWS($AG$2:AG132),$AG$2:$AG$1001,0),0), INDEX($AN$1004:$BO$1004,1,MATCH(COLUMNS($AN$1006:BF1006),$AN$1006:$BO$1006,0)))),"Fix")))</f>
        <v>0</v>
      </c>
      <c r="U132" s="4">
        <f>IF(OR(INDEX($AH$2:$AH$1001,MATCH(ROWS($AG$2:AG132),$AG$2:$AG$1001,0),1)&gt;=100000,INDEX($AN$1005:$BO$1005,1,MATCH(COLUMNS($AN$1006:BG1006),$AN$1006:$BO$1006,0))&gt;=100000), " ",IF(INDEX($AN$2:$BO$1001,MATCH(ROWS($AG$2:AG132),$AG$2:$AG$1001,0),MATCH(COLUMNS($AN$1006:BG1006),$AN$1006:$BO$1006,0)), HYPERLINK("#",""), HYPERLINK(CONCATENATE("#Metadata!", ADDRESS(INDEX($AI$2:$AI$1001,MATCH(ROWS($AG$2:AG132),$AG$2:$AG$1001,0),0), INDEX($AN$1004:$BO$1004,1,MATCH(COLUMNS($AN$1006:BG1006),$AN$1006:$BO$1006,0)))),"Fix")))</f>
        <v>0</v>
      </c>
      <c r="V132" s="4">
        <f>IF(OR(INDEX($AH$2:$AH$1001,MATCH(ROWS($AG$2:AG132),$AG$2:$AG$1001,0),1)&gt;=100000,INDEX($AN$1005:$BO$1005,1,MATCH(COLUMNS($AN$1006:BH1006),$AN$1006:$BO$1006,0))&gt;=100000), " ",IF(INDEX($AN$2:$BO$1001,MATCH(ROWS($AG$2:AG132),$AG$2:$AG$1001,0),MATCH(COLUMNS($AN$1006:BH1006),$AN$1006:$BO$1006,0)), HYPERLINK("#",""), HYPERLINK(CONCATENATE("#Metadata!", ADDRESS(INDEX($AI$2:$AI$1001,MATCH(ROWS($AG$2:AG132),$AG$2:$AG$1001,0),0), INDEX($AN$1004:$BO$1004,1,MATCH(COLUMNS($AN$1006:BH1006),$AN$1006:$BO$1006,0)))),"Fix")))</f>
        <v>0</v>
      </c>
      <c r="W132" s="4">
        <f>IF(OR(INDEX($AH$2:$AH$1001,MATCH(ROWS($AG$2:AG132),$AG$2:$AG$1001,0),1)&gt;=100000,INDEX($AN$1005:$BO$1005,1,MATCH(COLUMNS($AN$1006:BI1006),$AN$1006:$BO$1006,0))&gt;=100000), " ",IF(INDEX($AN$2:$BO$1001,MATCH(ROWS($AG$2:AG132),$AG$2:$AG$1001,0),MATCH(COLUMNS($AN$1006:BI1006),$AN$1006:$BO$1006,0)), HYPERLINK("#",""), HYPERLINK(CONCATENATE("#Metadata!", ADDRESS(INDEX($AI$2:$AI$1001,MATCH(ROWS($AG$2:AG132),$AG$2:$AG$1001,0),0), INDEX($AN$1004:$BO$1004,1,MATCH(COLUMNS($AN$1006:BI1006),$AN$1006:$BO$1006,0)))),"Fix")))</f>
        <v>0</v>
      </c>
      <c r="X132" s="4">
        <f>IF(OR(INDEX($AH$2:$AH$1001,MATCH(ROWS($AG$2:AG132),$AG$2:$AG$1001,0),1)&gt;=100000,INDEX($AN$1005:$BO$1005,1,MATCH(COLUMNS($AN$1006:BJ1006),$AN$1006:$BO$1006,0))&gt;=100000), " ",IF(INDEX($AN$2:$BO$1001,MATCH(ROWS($AG$2:AG132),$AG$2:$AG$1001,0),MATCH(COLUMNS($AN$1006:BJ1006),$AN$1006:$BO$1006,0)), HYPERLINK("#",""), HYPERLINK(CONCATENATE("#Metadata!", ADDRESS(INDEX($AI$2:$AI$1001,MATCH(ROWS($AG$2:AG132),$AG$2:$AG$1001,0),0), INDEX($AN$1004:$BO$1004,1,MATCH(COLUMNS($AN$1006:BJ1006),$AN$1006:$BO$1006,0)))),"Fix")))</f>
        <v>0</v>
      </c>
      <c r="Y132" s="4">
        <f>IF(OR(INDEX($AH$2:$AH$1001,MATCH(ROWS($AG$2:AG132),$AG$2:$AG$1001,0),1)&gt;=100000,INDEX($AN$1005:$BO$1005,1,MATCH(COLUMNS($AN$1006:BK1006),$AN$1006:$BO$1006,0))&gt;=100000), " ",IF(INDEX($AN$2:$BO$1001,MATCH(ROWS($AG$2:AG132),$AG$2:$AG$1001,0),MATCH(COLUMNS($AN$1006:BK1006),$AN$1006:$BO$1006,0)), HYPERLINK("#",""), HYPERLINK(CONCATENATE("#Metadata!", ADDRESS(INDEX($AI$2:$AI$1001,MATCH(ROWS($AG$2:AG132),$AG$2:$AG$1001,0),0), INDEX($AN$1004:$BO$1004,1,MATCH(COLUMNS($AN$1006:BK1006),$AN$1006:$BO$1006,0)))),"Fix")))</f>
        <v>0</v>
      </c>
      <c r="Z132" s="4">
        <f>IF(OR(INDEX($AH$2:$AH$1001,MATCH(ROWS($AG$2:AG132),$AG$2:$AG$1001,0),1)&gt;=100000,INDEX($AN$1005:$BO$1005,1,MATCH(COLUMNS($AN$1006:BL1006),$AN$1006:$BO$1006,0))&gt;=100000), " ",IF(INDEX($AN$2:$BO$1001,MATCH(ROWS($AG$2:AG132),$AG$2:$AG$1001,0),MATCH(COLUMNS($AN$1006:BL1006),$AN$1006:$BO$1006,0)), HYPERLINK("#",""), HYPERLINK(CONCATENATE("#Metadata!", ADDRESS(INDEX($AI$2:$AI$1001,MATCH(ROWS($AG$2:AG132),$AG$2:$AG$1001,0),0), INDEX($AN$1004:$BO$1004,1,MATCH(COLUMNS($AN$1006:BL1006),$AN$1006:$BO$1006,0)))),"Fix")))</f>
        <v>0</v>
      </c>
      <c r="AA132" s="4">
        <f>IF(OR(INDEX($AH$2:$AH$1001,MATCH(ROWS($AG$2:AG132),$AG$2:$AG$1001,0),1)&gt;=100000,INDEX($AN$1005:$BO$1005,1,MATCH(COLUMNS($AN$1006:BM1006),$AN$1006:$BO$1006,0))&gt;=100000), " ",IF(INDEX($AN$2:$BO$1001,MATCH(ROWS($AG$2:AG132),$AG$2:$AG$1001,0),MATCH(COLUMNS($AN$1006:BM1006),$AN$1006:$BO$1006,0)), HYPERLINK("#",""), HYPERLINK(CONCATENATE("#Metadata!", ADDRESS(INDEX($AI$2:$AI$1001,MATCH(ROWS($AG$2:AG132),$AG$2:$AG$1001,0),0), INDEX($AN$1004:$BO$1004,1,MATCH(COLUMNS($AN$1006:BM1006),$AN$1006:$BO$1006,0)))),"Fix")))</f>
        <v>0</v>
      </c>
      <c r="AB132" s="4">
        <f>IF(OR(INDEX($AH$2:$AH$1001,MATCH(ROWS($AG$2:AG132),$AG$2:$AG$1001,0),1)&gt;=100000,INDEX($AN$1005:$BO$1005,1,MATCH(COLUMNS($AN$1006:BN1006),$AN$1006:$BO$1006,0))&gt;=100000), " ",IF(INDEX($AN$2:$BO$1001,MATCH(ROWS($AG$2:AG132),$AG$2:$AG$1001,0),MATCH(COLUMNS($AN$1006:BN1006),$AN$1006:$BO$1006,0)), HYPERLINK("#",""), HYPERLINK(CONCATENATE("#Metadata!", ADDRESS(INDEX($AI$2:$AI$1001,MATCH(ROWS($AG$2:AG132),$AG$2:$AG$1001,0),0), INDEX($AN$1004:$BO$1004,1,MATCH(COLUMNS($AN$1006:BN1006),$AN$1006:$BO$1006,0)))),"Fix")))</f>
        <v>0</v>
      </c>
      <c r="AC132" s="4">
        <f>IF(OR(INDEX($AH$2:$AH$1001,MATCH(ROWS($AG$2:AG132),$AG$2:$AG$1001,0),1)&gt;=100000,INDEX($AN$1005:$BO$1005,1,MATCH(COLUMNS($AN$1006:BO1006),$AN$1006:$BO$1006,0))&gt;=100000), " ",IF(INDEX($AN$2:$BO$1001,MATCH(ROWS($AG$2:AG132),$AG$2:$AG$1001,0),MATCH(COLUMNS($AN$1006:BO1006),$AN$1006:$BO$1006,0)), HYPERLINK("#",""), HYPERLINK(CONCATENATE("#Metadata!", ADDRESS(INDEX($AI$2:$AI$1001,MATCH(ROWS($AG$2:AG132),$AG$2:$AG$1001,0),0), INDEX($AN$1004:$BO$1004,1,MATCH(COLUMNS($AN$1006:BO1006),$AN$1006:$BO$1006,0)))),"Fix")))</f>
        <v>0</v>
      </c>
      <c r="AG132">
        <v>0</v>
      </c>
      <c r="AH132">
        <v>0</v>
      </c>
      <c r="AI132">
        <v>0</v>
      </c>
      <c r="AJ132">
        <f>IF(AK132,TRUE,AND(AN132:BO132))</f>
        <v>0</v>
      </c>
      <c r="AK132">
        <f>COUNTBLANK(Metadata!B132:AC132)=COLUMNS(Metadata!B132:AC132)</f>
        <v>0</v>
      </c>
      <c r="AL132">
        <v>0</v>
      </c>
      <c r="AN132">
        <f>AND(IF(Metadata!B132="",FALSE,TRUE),COUNTIF(Metadata!B:B, Metadata!B132) = 1,NOT(ISERROR(SUMPRODUCT(SEARCH(MID(Metadata!B132,ROW(INDIRECT("1:"&amp;LEN(Metadata!B132))), 1),"0123456789abcdefghijklmnopqrstuvwxyzABCDEFGHIJKLMNOPQRSTUVWXYZ.")))))</f>
        <v>0</v>
      </c>
      <c r="AO132">
        <f>IF(Metadata!C132="",FALSE,TRUE)</f>
        <v>0</v>
      </c>
      <c r="AP132">
        <f>IF(Metadata!D132="",FALSE,TRUE)</f>
        <v>0</v>
      </c>
      <c r="AQ132">
        <f>OR(AND(IF(Metadata!E132="",FALSE,TRUE),OR(exact(Metadata!E132,"not collected"),exact(Metadata!E132,"not provided"),exact(Metadata!E132,"restricted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R132">
        <f>IF(Metadata!F132="",FALSE,TRUE)</f>
        <v>0</v>
      </c>
      <c r="AS132">
        <f>OR(AND(IF(Metadata!G132="",FALSE,TRUE),OR(exact(Metadata!G132,"not collected"),exact(Metadata!G132,"not provided"))),AND(IF(Metadata!G132="",FALSE,TRUE),OR(exact(Metadata!G132,"TRUE"),exact(Metadata!G132,"FALSE"))))</f>
        <v>0</v>
      </c>
      <c r="AT132">
        <f>OR(AND(IF(Metadata!H132="",FALSE,TRUE),OR(exact(Metadata!H132,"not collected"),exact(Metadata!H132,"not provided"),exact(Metadata!H132,"restricted access"))),AND(IF(Metadata!H132="",FALSE,ISNUMBER(VALUE(Metadata!H132))),Metadata!H132&gt;=-413.0))</f>
        <v>0</v>
      </c>
      <c r="AU132">
        <f>AND(IF(Metadata!I132="",FALSE,TRUE),exact(Metadata!I132,"meters"))</f>
        <v>0</v>
      </c>
      <c r="AV132">
        <f>AND(IF(Metadata!J132="",FALSE,TRUE),OR(exact(Metadata!J132,"Host-associated"),exact(Metadata!J132,"Free-living")))</f>
        <v>0</v>
      </c>
      <c r="AW132">
        <f>AND(IF(Metadata!K132="",FALSE,TRUE),OR(exact(Metadata!K132,"Animal"),exact(Metadata!K132,"Fungus"),exact(Metadata!K132,"Plant"),exact(Metadata!K132,"Saline"),exact(Metadata!K132,"Non-saline")))</f>
        <v>0</v>
      </c>
      <c r="AX132">
        <f>AND(IF(Metadata!L132="",FALSE,TRUE),OR(exact(Metadata!L132,"Plant secretion"),exact(Metadata!L132,"Plant rhizosphere"),exact(Metadata!L132,"Plant surface"),exact(Metadata!L132,"Plant corpus"),exact(Metadata!L132,"Fungus surface"),exact(Metadata!L132,"Fungus corpus"),exact(Metadata!L132,"Animal surface"),exact(Metadata!L132,"Animal proximal gut"),exact(Metadata!L132,"Animal corpus"),exact(Metadata!L132,"Animal distal gut"),exact(Metadata!L132,"Animal secretion"),exact(Metadata!L132,"Sub-surface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Y132">
        <f>IF(Metadata!M132="",FALSE,TRUE)</f>
        <v>0</v>
      </c>
      <c r="AZ132">
        <f>IF(Metadata!N132="",FALSE,TRUE)</f>
        <v>0</v>
      </c>
      <c r="BA132">
        <f>IF(Metadata!O132="",FALSE,TRUE)</f>
        <v>0</v>
      </c>
      <c r="BB132">
        <f>OR(AND(IF(Metadata!P132="",FALSE,TRUE),OR(exact(Metadata!P132,"not collected"),exact(Metadata!P132,"not provided"),exact(Metadata!P132,"restricted access"))),AND(IF(Metadata!P132="",FALSE,TRUE),OR(exact(Metadata!P132,"air"),exact(Metadata!P132,"built environment"),exact(Metadata!P132,"host-associated"),exact(Metadata!P132,"human-associated"),exact(Metadata!P132,"human-skin"),exact(Metadata!P132,"human-oral"),exact(Metadata!P132,"human-gut"),exact(Metadata!P132,"human-vaginal"),exact(Metadata!P132,"microbial mat/biofilm"),exact(Metadata!P132,"misc environment"),exact(Metadata!P132,"plant-associated"),exact(Metadata!P132,"sediment"),exact(Metadata!P132,"soil"),exact(Metadata!P132,"wastewater/sludge"),exact(Metadata!P132,"water"))))</f>
        <v>0</v>
      </c>
      <c r="BC132">
        <f>IF(Metadata!Q132="",FALSE,TRUE)</f>
        <v>0</v>
      </c>
      <c r="BD132">
        <f>IF(Metadata!R132="",FALSE,TRUE)</f>
        <v>0</v>
      </c>
      <c r="BE132">
        <f>OR(AND(IF(Metadata!S132="",FALSE,TRUE),OR(exact(Metadata!S132,"not collected"),exact(Metadata!S132,"not provided"),exact(Metadata!S132,"restricted access"))),AND(IF(Metadata!S132="",FALSE,ISNUMBER(VALUE(Metadata!S132))),Metadata!S132&gt;=-90.00,Metadata!S132&lt;=90.00))</f>
        <v>0</v>
      </c>
      <c r="BF132">
        <f>AND(IF(Metadata!T132="",FALSE,TRUE),exact(Metadata!T132,"Decimal degrees"))</f>
        <v>0</v>
      </c>
      <c r="BG132">
        <f>OR(AND(IF(Metadata!U132="",FALSE,TRUE),OR(exact(Metadata!U132,"not collected"),exact(Metadata!U132,"not provided"),exact(Metadata!U132,"restricted access"))),AND(IF(Metadata!U132="",FALSE,ISNUMBER(VALUE(Metadata!U132))),Metadata!U132&gt;=-180.00,Metadata!U132&lt;=180.00))</f>
        <v>0</v>
      </c>
      <c r="BH132">
        <f>AND(IF(Metadata!V132="",FALSE,TRUE),exact(Metadata!V132,"Decimal degrees"))</f>
        <v>0</v>
      </c>
      <c r="BI132">
        <f>IF(Metadata!W132="",FALSE,TRUE)</f>
        <v>0</v>
      </c>
      <c r="BJ132">
        <f>OR(AND(IF(Metadata!X132="",FALSE,TRUE),OR(exact(Metadata!X132,"not collected"),exact(Metadata!X132,"not provided"),exact(Metadata!X132,"restricted access"))),AND(IF(Metadata!X132="",FALSE,TRUE),OR(exact(Metadata!X132,"TRUE"),exact(Metadata!X132,"FALSE"))))</f>
        <v>0</v>
      </c>
      <c r="BK132">
        <f>AND(IF(Metadata!Y132="",FALSE,TRUE),exact(Metadata!Y132,"other"))</f>
        <v>0</v>
      </c>
      <c r="BL132">
        <f>IF(Metadata!Z132="",FALSE,TRUE)</f>
        <v>0</v>
      </c>
      <c r="BM132">
        <f>OR(AND(IF(Metadata!AA132="",FALSE,TRUE),OR(exact(Metadata!AA132,"not collected"),exact(Metadata!AA132,"not provided"))),AND(IF(Metadata!AA132="",FALSE,IF(ISERROR(INT(Metadata!AA132)),FALSE,INT(Metadata!AA132)=Metadata!AA132)),Metadata!AA132&gt;0))</f>
        <v>0</v>
      </c>
      <c r="BN132">
        <f>AND(IF(Metadata!AB132="",FALSE,TRUE),exact(Metadata!AB132,"Not applicable"))</f>
        <v>0</v>
      </c>
      <c r="BO132">
        <f>IF(Metadata!AC132="",FALSE,TRUE)</f>
        <v>0</v>
      </c>
    </row>
    <row r="133" spans="1:67">
      <c r="A133" s="5">
        <f>IF(B133=" "," ",HYPERLINK(CONCATENATE("#metadata!",ADDRESS(INDEX($AI$2:$AI$1001,MATCH(ROWS($AG$2:AG133),$AG$2:$AG$1001,0),0),1)),INDEX($AL$2:$AL$1001,MATCH(ROWS($AG$2:AG133),$AG$2:$AG$1001,0),0)))</f>
        <v>0</v>
      </c>
      <c r="B133" s="4">
        <f>IF(OR(INDEX($AH$2:$AH$1001,MATCH(ROWS($AG$2:AG133),$AG$2:$AG$1001,0),1)&gt;=100000,INDEX($AN$1005:$BO$1005,1,MATCH(COLUMNS($AN$1006:AN1006),$AN$1006:$BO$1006,0))&gt;=100000), " ",IF(INDEX($AN$2:$BO$1001,MATCH(ROWS($AG$2:AG133),$AG$2:$AG$1001,0),MATCH(COLUMNS($AN$1006:AN1006),$AN$1006:$BO$1006,0)), HYPERLINK("#",""), HYPERLINK(CONCATENATE("#Metadata!", ADDRESS(INDEX($AI$2:$AI$1001,MATCH(ROWS($AG$2:AG133),$AG$2:$AG$1001,0),0), INDEX($AN$1004:$BO$1004,1,MATCH(COLUMNS($AN$1006:AN1006),$AN$1006:$BO$1006,0)))),"Fix")))</f>
        <v>0</v>
      </c>
      <c r="C133" s="4">
        <f>IF(OR(INDEX($AH$2:$AH$1001,MATCH(ROWS($AG$2:AG133),$AG$2:$AG$1001,0),1)&gt;=100000,INDEX($AN$1005:$BO$1005,1,MATCH(COLUMNS($AN$1006:AO1006),$AN$1006:$BO$1006,0))&gt;=100000), " ",IF(INDEX($AN$2:$BO$1001,MATCH(ROWS($AG$2:AG133),$AG$2:$AG$1001,0),MATCH(COLUMNS($AN$1006:AO1006),$AN$1006:$BO$1006,0)), HYPERLINK("#",""), HYPERLINK(CONCATENATE("#Metadata!", ADDRESS(INDEX($AI$2:$AI$1001,MATCH(ROWS($AG$2:AG133),$AG$2:$AG$1001,0),0), INDEX($AN$1004:$BO$1004,1,MATCH(COLUMNS($AN$1006:AO1006),$AN$1006:$BO$1006,0)))),"Fix")))</f>
        <v>0</v>
      </c>
      <c r="D133" s="4">
        <f>IF(OR(INDEX($AH$2:$AH$1001,MATCH(ROWS($AG$2:AG133),$AG$2:$AG$1001,0),1)&gt;=100000,INDEX($AN$1005:$BO$1005,1,MATCH(COLUMNS($AN$1006:AP1006),$AN$1006:$BO$1006,0))&gt;=100000), " ",IF(INDEX($AN$2:$BO$1001,MATCH(ROWS($AG$2:AG133),$AG$2:$AG$1001,0),MATCH(COLUMNS($AN$1006:AP1006),$AN$1006:$BO$1006,0)), HYPERLINK("#",""), HYPERLINK(CONCATENATE("#Metadata!", ADDRESS(INDEX($AI$2:$AI$1001,MATCH(ROWS($AG$2:AG133),$AG$2:$AG$1001,0),0), INDEX($AN$1004:$BO$1004,1,MATCH(COLUMNS($AN$1006:AP1006),$AN$1006:$BO$1006,0)))),"Fix")))</f>
        <v>0</v>
      </c>
      <c r="E133" s="4">
        <f>IF(OR(INDEX($AH$2:$AH$1001,MATCH(ROWS($AG$2:AG133),$AG$2:$AG$1001,0),1)&gt;=100000,INDEX($AN$1005:$BO$1005,1,MATCH(COLUMNS($AN$1006:AQ1006),$AN$1006:$BO$1006,0))&gt;=100000), " ",IF(INDEX($AN$2:$BO$1001,MATCH(ROWS($AG$2:AG133),$AG$2:$AG$1001,0),MATCH(COLUMNS($AN$1006:AQ1006),$AN$1006:$BO$1006,0)), HYPERLINK("#",""), HYPERLINK(CONCATENATE("#Metadata!", ADDRESS(INDEX($AI$2:$AI$1001,MATCH(ROWS($AG$2:AG133),$AG$2:$AG$1001,0),0), INDEX($AN$1004:$BO$1004,1,MATCH(COLUMNS($AN$1006:AQ1006),$AN$1006:$BO$1006,0)))),"Fix")))</f>
        <v>0</v>
      </c>
      <c r="F133" s="4">
        <f>IF(OR(INDEX($AH$2:$AH$1001,MATCH(ROWS($AG$2:AG133),$AG$2:$AG$1001,0),1)&gt;=100000,INDEX($AN$1005:$BO$1005,1,MATCH(COLUMNS($AN$1006:AR1006),$AN$1006:$BO$1006,0))&gt;=100000), " ",IF(INDEX($AN$2:$BO$1001,MATCH(ROWS($AG$2:AG133),$AG$2:$AG$1001,0),MATCH(COLUMNS($AN$1006:AR1006),$AN$1006:$BO$1006,0)), HYPERLINK("#",""), HYPERLINK(CONCATENATE("#Metadata!", ADDRESS(INDEX($AI$2:$AI$1001,MATCH(ROWS($AG$2:AG133),$AG$2:$AG$1001,0),0), INDEX($AN$1004:$BO$1004,1,MATCH(COLUMNS($AN$1006:AR1006),$AN$1006:$BO$1006,0)))),"Fix")))</f>
        <v>0</v>
      </c>
      <c r="G133" s="4">
        <f>IF(OR(INDEX($AH$2:$AH$1001,MATCH(ROWS($AG$2:AG133),$AG$2:$AG$1001,0),1)&gt;=100000,INDEX($AN$1005:$BO$1005,1,MATCH(COLUMNS($AN$1006:AS1006),$AN$1006:$BO$1006,0))&gt;=100000), " ",IF(INDEX($AN$2:$BO$1001,MATCH(ROWS($AG$2:AG133),$AG$2:$AG$1001,0),MATCH(COLUMNS($AN$1006:AS1006),$AN$1006:$BO$1006,0)), HYPERLINK("#",""), HYPERLINK(CONCATENATE("#Metadata!", ADDRESS(INDEX($AI$2:$AI$1001,MATCH(ROWS($AG$2:AG133),$AG$2:$AG$1001,0),0), INDEX($AN$1004:$BO$1004,1,MATCH(COLUMNS($AN$1006:AS1006),$AN$1006:$BO$1006,0)))),"Fix")))</f>
        <v>0</v>
      </c>
      <c r="H133" s="4">
        <f>IF(OR(INDEX($AH$2:$AH$1001,MATCH(ROWS($AG$2:AG133),$AG$2:$AG$1001,0),1)&gt;=100000,INDEX($AN$1005:$BO$1005,1,MATCH(COLUMNS($AN$1006:AT1006),$AN$1006:$BO$1006,0))&gt;=100000), " ",IF(INDEX($AN$2:$BO$1001,MATCH(ROWS($AG$2:AG133),$AG$2:$AG$1001,0),MATCH(COLUMNS($AN$1006:AT1006),$AN$1006:$BO$1006,0)), HYPERLINK("#",""), HYPERLINK(CONCATENATE("#Metadata!", ADDRESS(INDEX($AI$2:$AI$1001,MATCH(ROWS($AG$2:AG133),$AG$2:$AG$1001,0),0), INDEX($AN$1004:$BO$1004,1,MATCH(COLUMNS($AN$1006:AT1006),$AN$1006:$BO$1006,0)))),"Fix")))</f>
        <v>0</v>
      </c>
      <c r="I133" s="4">
        <f>IF(OR(INDEX($AH$2:$AH$1001,MATCH(ROWS($AG$2:AG133),$AG$2:$AG$1001,0),1)&gt;=100000,INDEX($AN$1005:$BO$1005,1,MATCH(COLUMNS($AN$1006:AU1006),$AN$1006:$BO$1006,0))&gt;=100000), " ",IF(INDEX($AN$2:$BO$1001,MATCH(ROWS($AG$2:AG133),$AG$2:$AG$1001,0),MATCH(COLUMNS($AN$1006:AU1006),$AN$1006:$BO$1006,0)), HYPERLINK("#",""), HYPERLINK(CONCATENATE("#Metadata!", ADDRESS(INDEX($AI$2:$AI$1001,MATCH(ROWS($AG$2:AG133),$AG$2:$AG$1001,0),0), INDEX($AN$1004:$BO$1004,1,MATCH(COLUMNS($AN$1006:AU1006),$AN$1006:$BO$1006,0)))),"Fix")))</f>
        <v>0</v>
      </c>
      <c r="J133" s="4">
        <f>IF(OR(INDEX($AH$2:$AH$1001,MATCH(ROWS($AG$2:AG133),$AG$2:$AG$1001,0),1)&gt;=100000,INDEX($AN$1005:$BO$1005,1,MATCH(COLUMNS($AN$1006:AV1006),$AN$1006:$BO$1006,0))&gt;=100000), " ",IF(INDEX($AN$2:$BO$1001,MATCH(ROWS($AG$2:AG133),$AG$2:$AG$1001,0),MATCH(COLUMNS($AN$1006:AV1006),$AN$1006:$BO$1006,0)), HYPERLINK("#",""), HYPERLINK(CONCATENATE("#Metadata!", ADDRESS(INDEX($AI$2:$AI$1001,MATCH(ROWS($AG$2:AG133),$AG$2:$AG$1001,0),0), INDEX($AN$1004:$BO$1004,1,MATCH(COLUMNS($AN$1006:AV1006),$AN$1006:$BO$1006,0)))),"Fix")))</f>
        <v>0</v>
      </c>
      <c r="K133" s="4">
        <f>IF(OR(INDEX($AH$2:$AH$1001,MATCH(ROWS($AG$2:AG133),$AG$2:$AG$1001,0),1)&gt;=100000,INDEX($AN$1005:$BO$1005,1,MATCH(COLUMNS($AN$1006:AW1006),$AN$1006:$BO$1006,0))&gt;=100000), " ",IF(INDEX($AN$2:$BO$1001,MATCH(ROWS($AG$2:AG133),$AG$2:$AG$1001,0),MATCH(COLUMNS($AN$1006:AW1006),$AN$1006:$BO$1006,0)), HYPERLINK("#",""), HYPERLINK(CONCATENATE("#Metadata!", ADDRESS(INDEX($AI$2:$AI$1001,MATCH(ROWS($AG$2:AG133),$AG$2:$AG$1001,0),0), INDEX($AN$1004:$BO$1004,1,MATCH(COLUMNS($AN$1006:AW1006),$AN$1006:$BO$1006,0)))),"Fix")))</f>
        <v>0</v>
      </c>
      <c r="L133" s="4">
        <f>IF(OR(INDEX($AH$2:$AH$1001,MATCH(ROWS($AG$2:AG133),$AG$2:$AG$1001,0),1)&gt;=100000,INDEX($AN$1005:$BO$1005,1,MATCH(COLUMNS($AN$1006:AX1006),$AN$1006:$BO$1006,0))&gt;=100000), " ",IF(INDEX($AN$2:$BO$1001,MATCH(ROWS($AG$2:AG133),$AG$2:$AG$1001,0),MATCH(COLUMNS($AN$1006:AX1006),$AN$1006:$BO$1006,0)), HYPERLINK("#",""), HYPERLINK(CONCATENATE("#Metadata!", ADDRESS(INDEX($AI$2:$AI$1001,MATCH(ROWS($AG$2:AG133),$AG$2:$AG$1001,0),0), INDEX($AN$1004:$BO$1004,1,MATCH(COLUMNS($AN$1006:AX1006),$AN$1006:$BO$1006,0)))),"Fix")))</f>
        <v>0</v>
      </c>
      <c r="M133" s="4">
        <f>IF(OR(INDEX($AH$2:$AH$1001,MATCH(ROWS($AG$2:AG133),$AG$2:$AG$1001,0),1)&gt;=100000,INDEX($AN$1005:$BO$1005,1,MATCH(COLUMNS($AN$1006:AY1006),$AN$1006:$BO$1006,0))&gt;=100000), " ",IF(INDEX($AN$2:$BO$1001,MATCH(ROWS($AG$2:AG133),$AG$2:$AG$1001,0),MATCH(COLUMNS($AN$1006:AY1006),$AN$1006:$BO$1006,0)), HYPERLINK("#",""), HYPERLINK(CONCATENATE("#Metadata!", ADDRESS(INDEX($AI$2:$AI$1001,MATCH(ROWS($AG$2:AG133),$AG$2:$AG$1001,0),0), INDEX($AN$1004:$BO$1004,1,MATCH(COLUMNS($AN$1006:AY1006),$AN$1006:$BO$1006,0)))),"Fix")))</f>
        <v>0</v>
      </c>
      <c r="N133" s="4">
        <f>IF(OR(INDEX($AH$2:$AH$1001,MATCH(ROWS($AG$2:AG133),$AG$2:$AG$1001,0),1)&gt;=100000,INDEX($AN$1005:$BO$1005,1,MATCH(COLUMNS($AN$1006:AZ1006),$AN$1006:$BO$1006,0))&gt;=100000), " ",IF(INDEX($AN$2:$BO$1001,MATCH(ROWS($AG$2:AG133),$AG$2:$AG$1001,0),MATCH(COLUMNS($AN$1006:AZ1006),$AN$1006:$BO$1006,0)), HYPERLINK("#",""), HYPERLINK(CONCATENATE("#Metadata!", ADDRESS(INDEX($AI$2:$AI$1001,MATCH(ROWS($AG$2:AG133),$AG$2:$AG$1001,0),0), INDEX($AN$1004:$BO$1004,1,MATCH(COLUMNS($AN$1006:AZ1006),$AN$1006:$BO$1006,0)))),"Fix")))</f>
        <v>0</v>
      </c>
      <c r="O133" s="4">
        <f>IF(OR(INDEX($AH$2:$AH$1001,MATCH(ROWS($AG$2:AG133),$AG$2:$AG$1001,0),1)&gt;=100000,INDEX($AN$1005:$BO$1005,1,MATCH(COLUMNS($AN$1006:BA1006),$AN$1006:$BO$1006,0))&gt;=100000), " ",IF(INDEX($AN$2:$BO$1001,MATCH(ROWS($AG$2:AG133),$AG$2:$AG$1001,0),MATCH(COLUMNS($AN$1006:BA1006),$AN$1006:$BO$1006,0)), HYPERLINK("#",""), HYPERLINK(CONCATENATE("#Metadata!", ADDRESS(INDEX($AI$2:$AI$1001,MATCH(ROWS($AG$2:AG133),$AG$2:$AG$1001,0),0), INDEX($AN$1004:$BO$1004,1,MATCH(COLUMNS($AN$1006:BA1006),$AN$1006:$BO$1006,0)))),"Fix")))</f>
        <v>0</v>
      </c>
      <c r="P133" s="4">
        <f>IF(OR(INDEX($AH$2:$AH$1001,MATCH(ROWS($AG$2:AG133),$AG$2:$AG$1001,0),1)&gt;=100000,INDEX($AN$1005:$BO$1005,1,MATCH(COLUMNS($AN$1006:BB1006),$AN$1006:$BO$1006,0))&gt;=100000), " ",IF(INDEX($AN$2:$BO$1001,MATCH(ROWS($AG$2:AG133),$AG$2:$AG$1001,0),MATCH(COLUMNS($AN$1006:BB1006),$AN$1006:$BO$1006,0)), HYPERLINK("#",""), HYPERLINK(CONCATENATE("#Metadata!", ADDRESS(INDEX($AI$2:$AI$1001,MATCH(ROWS($AG$2:AG133),$AG$2:$AG$1001,0),0), INDEX($AN$1004:$BO$1004,1,MATCH(COLUMNS($AN$1006:BB1006),$AN$1006:$BO$1006,0)))),"Fix")))</f>
        <v>0</v>
      </c>
      <c r="Q133" s="4">
        <f>IF(OR(INDEX($AH$2:$AH$1001,MATCH(ROWS($AG$2:AG133),$AG$2:$AG$1001,0),1)&gt;=100000,INDEX($AN$1005:$BO$1005,1,MATCH(COLUMNS($AN$1006:BC1006),$AN$1006:$BO$1006,0))&gt;=100000), " ",IF(INDEX($AN$2:$BO$1001,MATCH(ROWS($AG$2:AG133),$AG$2:$AG$1001,0),MATCH(COLUMNS($AN$1006:BC1006),$AN$1006:$BO$1006,0)), HYPERLINK("#",""), HYPERLINK(CONCATENATE("#Metadata!", ADDRESS(INDEX($AI$2:$AI$1001,MATCH(ROWS($AG$2:AG133),$AG$2:$AG$1001,0),0), INDEX($AN$1004:$BO$1004,1,MATCH(COLUMNS($AN$1006:BC1006),$AN$1006:$BO$1006,0)))),"Fix")))</f>
        <v>0</v>
      </c>
      <c r="R133" s="4">
        <f>IF(OR(INDEX($AH$2:$AH$1001,MATCH(ROWS($AG$2:AG133),$AG$2:$AG$1001,0),1)&gt;=100000,INDEX($AN$1005:$BO$1005,1,MATCH(COLUMNS($AN$1006:BD1006),$AN$1006:$BO$1006,0))&gt;=100000), " ",IF(INDEX($AN$2:$BO$1001,MATCH(ROWS($AG$2:AG133),$AG$2:$AG$1001,0),MATCH(COLUMNS($AN$1006:BD1006),$AN$1006:$BO$1006,0)), HYPERLINK("#",""), HYPERLINK(CONCATENATE("#Metadata!", ADDRESS(INDEX($AI$2:$AI$1001,MATCH(ROWS($AG$2:AG133),$AG$2:$AG$1001,0),0), INDEX($AN$1004:$BO$1004,1,MATCH(COLUMNS($AN$1006:BD1006),$AN$1006:$BO$1006,0)))),"Fix")))</f>
        <v>0</v>
      </c>
      <c r="S133" s="4">
        <f>IF(OR(INDEX($AH$2:$AH$1001,MATCH(ROWS($AG$2:AG133),$AG$2:$AG$1001,0),1)&gt;=100000,INDEX($AN$1005:$BO$1005,1,MATCH(COLUMNS($AN$1006:BE1006),$AN$1006:$BO$1006,0))&gt;=100000), " ",IF(INDEX($AN$2:$BO$1001,MATCH(ROWS($AG$2:AG133),$AG$2:$AG$1001,0),MATCH(COLUMNS($AN$1006:BE1006),$AN$1006:$BO$1006,0)), HYPERLINK("#",""), HYPERLINK(CONCATENATE("#Metadata!", ADDRESS(INDEX($AI$2:$AI$1001,MATCH(ROWS($AG$2:AG133),$AG$2:$AG$1001,0),0), INDEX($AN$1004:$BO$1004,1,MATCH(COLUMNS($AN$1006:BE1006),$AN$1006:$BO$1006,0)))),"Fix")))</f>
        <v>0</v>
      </c>
      <c r="T133" s="4">
        <f>IF(OR(INDEX($AH$2:$AH$1001,MATCH(ROWS($AG$2:AG133),$AG$2:$AG$1001,0),1)&gt;=100000,INDEX($AN$1005:$BO$1005,1,MATCH(COLUMNS($AN$1006:BF1006),$AN$1006:$BO$1006,0))&gt;=100000), " ",IF(INDEX($AN$2:$BO$1001,MATCH(ROWS($AG$2:AG133),$AG$2:$AG$1001,0),MATCH(COLUMNS($AN$1006:BF1006),$AN$1006:$BO$1006,0)), HYPERLINK("#",""), HYPERLINK(CONCATENATE("#Metadata!", ADDRESS(INDEX($AI$2:$AI$1001,MATCH(ROWS($AG$2:AG133),$AG$2:$AG$1001,0),0), INDEX($AN$1004:$BO$1004,1,MATCH(COLUMNS($AN$1006:BF1006),$AN$1006:$BO$1006,0)))),"Fix")))</f>
        <v>0</v>
      </c>
      <c r="U133" s="4">
        <f>IF(OR(INDEX($AH$2:$AH$1001,MATCH(ROWS($AG$2:AG133),$AG$2:$AG$1001,0),1)&gt;=100000,INDEX($AN$1005:$BO$1005,1,MATCH(COLUMNS($AN$1006:BG1006),$AN$1006:$BO$1006,0))&gt;=100000), " ",IF(INDEX($AN$2:$BO$1001,MATCH(ROWS($AG$2:AG133),$AG$2:$AG$1001,0),MATCH(COLUMNS($AN$1006:BG1006),$AN$1006:$BO$1006,0)), HYPERLINK("#",""), HYPERLINK(CONCATENATE("#Metadata!", ADDRESS(INDEX($AI$2:$AI$1001,MATCH(ROWS($AG$2:AG133),$AG$2:$AG$1001,0),0), INDEX($AN$1004:$BO$1004,1,MATCH(COLUMNS($AN$1006:BG1006),$AN$1006:$BO$1006,0)))),"Fix")))</f>
        <v>0</v>
      </c>
      <c r="V133" s="4">
        <f>IF(OR(INDEX($AH$2:$AH$1001,MATCH(ROWS($AG$2:AG133),$AG$2:$AG$1001,0),1)&gt;=100000,INDEX($AN$1005:$BO$1005,1,MATCH(COLUMNS($AN$1006:BH1006),$AN$1006:$BO$1006,0))&gt;=100000), " ",IF(INDEX($AN$2:$BO$1001,MATCH(ROWS($AG$2:AG133),$AG$2:$AG$1001,0),MATCH(COLUMNS($AN$1006:BH1006),$AN$1006:$BO$1006,0)), HYPERLINK("#",""), HYPERLINK(CONCATENATE("#Metadata!", ADDRESS(INDEX($AI$2:$AI$1001,MATCH(ROWS($AG$2:AG133),$AG$2:$AG$1001,0),0), INDEX($AN$1004:$BO$1004,1,MATCH(COLUMNS($AN$1006:BH1006),$AN$1006:$BO$1006,0)))),"Fix")))</f>
        <v>0</v>
      </c>
      <c r="W133" s="4">
        <f>IF(OR(INDEX($AH$2:$AH$1001,MATCH(ROWS($AG$2:AG133),$AG$2:$AG$1001,0),1)&gt;=100000,INDEX($AN$1005:$BO$1005,1,MATCH(COLUMNS($AN$1006:BI1006),$AN$1006:$BO$1006,0))&gt;=100000), " ",IF(INDEX($AN$2:$BO$1001,MATCH(ROWS($AG$2:AG133),$AG$2:$AG$1001,0),MATCH(COLUMNS($AN$1006:BI1006),$AN$1006:$BO$1006,0)), HYPERLINK("#",""), HYPERLINK(CONCATENATE("#Metadata!", ADDRESS(INDEX($AI$2:$AI$1001,MATCH(ROWS($AG$2:AG133),$AG$2:$AG$1001,0),0), INDEX($AN$1004:$BO$1004,1,MATCH(COLUMNS($AN$1006:BI1006),$AN$1006:$BO$1006,0)))),"Fix")))</f>
        <v>0</v>
      </c>
      <c r="X133" s="4">
        <f>IF(OR(INDEX($AH$2:$AH$1001,MATCH(ROWS($AG$2:AG133),$AG$2:$AG$1001,0),1)&gt;=100000,INDEX($AN$1005:$BO$1005,1,MATCH(COLUMNS($AN$1006:BJ1006),$AN$1006:$BO$1006,0))&gt;=100000), " ",IF(INDEX($AN$2:$BO$1001,MATCH(ROWS($AG$2:AG133),$AG$2:$AG$1001,0),MATCH(COLUMNS($AN$1006:BJ1006),$AN$1006:$BO$1006,0)), HYPERLINK("#",""), HYPERLINK(CONCATENATE("#Metadata!", ADDRESS(INDEX($AI$2:$AI$1001,MATCH(ROWS($AG$2:AG133),$AG$2:$AG$1001,0),0), INDEX($AN$1004:$BO$1004,1,MATCH(COLUMNS($AN$1006:BJ1006),$AN$1006:$BO$1006,0)))),"Fix")))</f>
        <v>0</v>
      </c>
      <c r="Y133" s="4">
        <f>IF(OR(INDEX($AH$2:$AH$1001,MATCH(ROWS($AG$2:AG133),$AG$2:$AG$1001,0),1)&gt;=100000,INDEX($AN$1005:$BO$1005,1,MATCH(COLUMNS($AN$1006:BK1006),$AN$1006:$BO$1006,0))&gt;=100000), " ",IF(INDEX($AN$2:$BO$1001,MATCH(ROWS($AG$2:AG133),$AG$2:$AG$1001,0),MATCH(COLUMNS($AN$1006:BK1006),$AN$1006:$BO$1006,0)), HYPERLINK("#",""), HYPERLINK(CONCATENATE("#Metadata!", ADDRESS(INDEX($AI$2:$AI$1001,MATCH(ROWS($AG$2:AG133),$AG$2:$AG$1001,0),0), INDEX($AN$1004:$BO$1004,1,MATCH(COLUMNS($AN$1006:BK1006),$AN$1006:$BO$1006,0)))),"Fix")))</f>
        <v>0</v>
      </c>
      <c r="Z133" s="4">
        <f>IF(OR(INDEX($AH$2:$AH$1001,MATCH(ROWS($AG$2:AG133),$AG$2:$AG$1001,0),1)&gt;=100000,INDEX($AN$1005:$BO$1005,1,MATCH(COLUMNS($AN$1006:BL1006),$AN$1006:$BO$1006,0))&gt;=100000), " ",IF(INDEX($AN$2:$BO$1001,MATCH(ROWS($AG$2:AG133),$AG$2:$AG$1001,0),MATCH(COLUMNS($AN$1006:BL1006),$AN$1006:$BO$1006,0)), HYPERLINK("#",""), HYPERLINK(CONCATENATE("#Metadata!", ADDRESS(INDEX($AI$2:$AI$1001,MATCH(ROWS($AG$2:AG133),$AG$2:$AG$1001,0),0), INDEX($AN$1004:$BO$1004,1,MATCH(COLUMNS($AN$1006:BL1006),$AN$1006:$BO$1006,0)))),"Fix")))</f>
        <v>0</v>
      </c>
      <c r="AA133" s="4">
        <f>IF(OR(INDEX($AH$2:$AH$1001,MATCH(ROWS($AG$2:AG133),$AG$2:$AG$1001,0),1)&gt;=100000,INDEX($AN$1005:$BO$1005,1,MATCH(COLUMNS($AN$1006:BM1006),$AN$1006:$BO$1006,0))&gt;=100000), " ",IF(INDEX($AN$2:$BO$1001,MATCH(ROWS($AG$2:AG133),$AG$2:$AG$1001,0),MATCH(COLUMNS($AN$1006:BM1006),$AN$1006:$BO$1006,0)), HYPERLINK("#",""), HYPERLINK(CONCATENATE("#Metadata!", ADDRESS(INDEX($AI$2:$AI$1001,MATCH(ROWS($AG$2:AG133),$AG$2:$AG$1001,0),0), INDEX($AN$1004:$BO$1004,1,MATCH(COLUMNS($AN$1006:BM1006),$AN$1006:$BO$1006,0)))),"Fix")))</f>
        <v>0</v>
      </c>
      <c r="AB133" s="4">
        <f>IF(OR(INDEX($AH$2:$AH$1001,MATCH(ROWS($AG$2:AG133),$AG$2:$AG$1001,0),1)&gt;=100000,INDEX($AN$1005:$BO$1005,1,MATCH(COLUMNS($AN$1006:BN1006),$AN$1006:$BO$1006,0))&gt;=100000), " ",IF(INDEX($AN$2:$BO$1001,MATCH(ROWS($AG$2:AG133),$AG$2:$AG$1001,0),MATCH(COLUMNS($AN$1006:BN1006),$AN$1006:$BO$1006,0)), HYPERLINK("#",""), HYPERLINK(CONCATENATE("#Metadata!", ADDRESS(INDEX($AI$2:$AI$1001,MATCH(ROWS($AG$2:AG133),$AG$2:$AG$1001,0),0), INDEX($AN$1004:$BO$1004,1,MATCH(COLUMNS($AN$1006:BN1006),$AN$1006:$BO$1006,0)))),"Fix")))</f>
        <v>0</v>
      </c>
      <c r="AC133" s="4">
        <f>IF(OR(INDEX($AH$2:$AH$1001,MATCH(ROWS($AG$2:AG133),$AG$2:$AG$1001,0),1)&gt;=100000,INDEX($AN$1005:$BO$1005,1,MATCH(COLUMNS($AN$1006:BO1006),$AN$1006:$BO$1006,0))&gt;=100000), " ",IF(INDEX($AN$2:$BO$1001,MATCH(ROWS($AG$2:AG133),$AG$2:$AG$1001,0),MATCH(COLUMNS($AN$1006:BO1006),$AN$1006:$BO$1006,0)), HYPERLINK("#",""), HYPERLINK(CONCATENATE("#Metadata!", ADDRESS(INDEX($AI$2:$AI$1001,MATCH(ROWS($AG$2:AG133),$AG$2:$AG$1001,0),0), INDEX($AN$1004:$BO$1004,1,MATCH(COLUMNS($AN$1006:BO1006),$AN$1006:$BO$1006,0)))),"Fix")))</f>
        <v>0</v>
      </c>
      <c r="AG133">
        <v>0</v>
      </c>
      <c r="AH133">
        <v>0</v>
      </c>
      <c r="AI133">
        <v>0</v>
      </c>
      <c r="AJ133">
        <f>IF(AK133,TRUE,AND(AN133:BO133))</f>
        <v>0</v>
      </c>
      <c r="AK133">
        <f>COUNTBLANK(Metadata!B133:AC133)=COLUMNS(Metadata!B133:AC133)</f>
        <v>0</v>
      </c>
      <c r="AL133">
        <v>0</v>
      </c>
      <c r="AN133">
        <f>AND(IF(Metadata!B133="",FALSE,TRUE),COUNTIF(Metadata!B:B, Metadata!B133) = 1,NOT(ISERROR(SUMPRODUCT(SEARCH(MID(Metadata!B133,ROW(INDIRECT("1:"&amp;LEN(Metadata!B133))), 1),"0123456789abcdefghijklmnopqrstuvwxyzABCDEFGHIJKLMNOPQRSTUVWXYZ.")))))</f>
        <v>0</v>
      </c>
      <c r="AO133">
        <f>IF(Metadata!C133="",FALSE,TRUE)</f>
        <v>0</v>
      </c>
      <c r="AP133">
        <f>IF(Metadata!D133="",FALSE,TRUE)</f>
        <v>0</v>
      </c>
      <c r="AQ133">
        <f>OR(AND(IF(Metadata!E133="",FALSE,TRUE),OR(exact(Metadata!E133,"not collected"),exact(Metadata!E133,"not provided"),exact(Metadata!E133,"restricted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R133">
        <f>IF(Metadata!F133="",FALSE,TRUE)</f>
        <v>0</v>
      </c>
      <c r="AS133">
        <f>OR(AND(IF(Metadata!G133="",FALSE,TRUE),OR(exact(Metadata!G133,"not collected"),exact(Metadata!G133,"not provided"))),AND(IF(Metadata!G133="",FALSE,TRUE),OR(exact(Metadata!G133,"TRUE"),exact(Metadata!G133,"FALSE"))))</f>
        <v>0</v>
      </c>
      <c r="AT133">
        <f>OR(AND(IF(Metadata!H133="",FALSE,TRUE),OR(exact(Metadata!H133,"not collected"),exact(Metadata!H133,"not provided"),exact(Metadata!H133,"restricted access"))),AND(IF(Metadata!H133="",FALSE,ISNUMBER(VALUE(Metadata!H133))),Metadata!H133&gt;=-413.0))</f>
        <v>0</v>
      </c>
      <c r="AU133">
        <f>AND(IF(Metadata!I133="",FALSE,TRUE),exact(Metadata!I133,"meters"))</f>
        <v>0</v>
      </c>
      <c r="AV133">
        <f>AND(IF(Metadata!J133="",FALSE,TRUE),OR(exact(Metadata!J133,"Host-associated"),exact(Metadata!J133,"Free-living")))</f>
        <v>0</v>
      </c>
      <c r="AW133">
        <f>AND(IF(Metadata!K133="",FALSE,TRUE),OR(exact(Metadata!K133,"Animal"),exact(Metadata!K133,"Fungus"),exact(Metadata!K133,"Plant"),exact(Metadata!K133,"Saline"),exact(Metadata!K133,"Non-saline")))</f>
        <v>0</v>
      </c>
      <c r="AX133">
        <f>AND(IF(Metadata!L133="",FALSE,TRUE),OR(exact(Metadata!L133,"Plant secretion"),exact(Metadata!L133,"Plant rhizosphere"),exact(Metadata!L133,"Plant surface"),exact(Metadata!L133,"Plant corpus"),exact(Metadata!L133,"Fungus surface"),exact(Metadata!L133,"Fungus corpus"),exact(Metadata!L133,"Animal surface"),exact(Metadata!L133,"Animal proximal gut"),exact(Metadata!L133,"Animal corpus"),exact(Metadata!L133,"Animal distal gut"),exact(Metadata!L133,"Animal secretion"),exact(Metadata!L133,"Sub-surface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Y133">
        <f>IF(Metadata!M133="",FALSE,TRUE)</f>
        <v>0</v>
      </c>
      <c r="AZ133">
        <f>IF(Metadata!N133="",FALSE,TRUE)</f>
        <v>0</v>
      </c>
      <c r="BA133">
        <f>IF(Metadata!O133="",FALSE,TRUE)</f>
        <v>0</v>
      </c>
      <c r="BB133">
        <f>OR(AND(IF(Metadata!P133="",FALSE,TRUE),OR(exact(Metadata!P133,"not collected"),exact(Metadata!P133,"not provided"),exact(Metadata!P133,"restricted access"))),AND(IF(Metadata!P133="",FALSE,TRUE),OR(exact(Metadata!P133,"air"),exact(Metadata!P133,"built environment"),exact(Metadata!P133,"host-associated"),exact(Metadata!P133,"human-associated"),exact(Metadata!P133,"human-skin"),exact(Metadata!P133,"human-oral"),exact(Metadata!P133,"human-gut"),exact(Metadata!P133,"human-vaginal"),exact(Metadata!P133,"microbial mat/biofilm"),exact(Metadata!P133,"misc environment"),exact(Metadata!P133,"plant-associated"),exact(Metadata!P133,"sediment"),exact(Metadata!P133,"soil"),exact(Metadata!P133,"wastewater/sludge"),exact(Metadata!P133,"water"))))</f>
        <v>0</v>
      </c>
      <c r="BC133">
        <f>IF(Metadata!Q133="",FALSE,TRUE)</f>
        <v>0</v>
      </c>
      <c r="BD133">
        <f>IF(Metadata!R133="",FALSE,TRUE)</f>
        <v>0</v>
      </c>
      <c r="BE133">
        <f>OR(AND(IF(Metadata!S133="",FALSE,TRUE),OR(exact(Metadata!S133,"not collected"),exact(Metadata!S133,"not provided"),exact(Metadata!S133,"restricted access"))),AND(IF(Metadata!S133="",FALSE,ISNUMBER(VALUE(Metadata!S133))),Metadata!S133&gt;=-90.00,Metadata!S133&lt;=90.00))</f>
        <v>0</v>
      </c>
      <c r="BF133">
        <f>AND(IF(Metadata!T133="",FALSE,TRUE),exact(Metadata!T133,"Decimal degrees"))</f>
        <v>0</v>
      </c>
      <c r="BG133">
        <f>OR(AND(IF(Metadata!U133="",FALSE,TRUE),OR(exact(Metadata!U133,"not collected"),exact(Metadata!U133,"not provided"),exact(Metadata!U133,"restricted access"))),AND(IF(Metadata!U133="",FALSE,ISNUMBER(VALUE(Metadata!U133))),Metadata!U133&gt;=-180.00,Metadata!U133&lt;=180.00))</f>
        <v>0</v>
      </c>
      <c r="BH133">
        <f>AND(IF(Metadata!V133="",FALSE,TRUE),exact(Metadata!V133,"Decimal degrees"))</f>
        <v>0</v>
      </c>
      <c r="BI133">
        <f>IF(Metadata!W133="",FALSE,TRUE)</f>
        <v>0</v>
      </c>
      <c r="BJ133">
        <f>OR(AND(IF(Metadata!X133="",FALSE,TRUE),OR(exact(Metadata!X133,"not collected"),exact(Metadata!X133,"not provided"),exact(Metadata!X133,"restricted access"))),AND(IF(Metadata!X133="",FALSE,TRUE),OR(exact(Metadata!X133,"TRUE"),exact(Metadata!X133,"FALSE"))))</f>
        <v>0</v>
      </c>
      <c r="BK133">
        <f>AND(IF(Metadata!Y133="",FALSE,TRUE),exact(Metadata!Y133,"other"))</f>
        <v>0</v>
      </c>
      <c r="BL133">
        <f>IF(Metadata!Z133="",FALSE,TRUE)</f>
        <v>0</v>
      </c>
      <c r="BM133">
        <f>OR(AND(IF(Metadata!AA133="",FALSE,TRUE),OR(exact(Metadata!AA133,"not collected"),exact(Metadata!AA133,"not provided"))),AND(IF(Metadata!AA133="",FALSE,IF(ISERROR(INT(Metadata!AA133)),FALSE,INT(Metadata!AA133)=Metadata!AA133)),Metadata!AA133&gt;0))</f>
        <v>0</v>
      </c>
      <c r="BN133">
        <f>AND(IF(Metadata!AB133="",FALSE,TRUE),exact(Metadata!AB133,"Not applicable"))</f>
        <v>0</v>
      </c>
      <c r="BO133">
        <f>IF(Metadata!AC133="",FALSE,TRUE)</f>
        <v>0</v>
      </c>
    </row>
    <row r="134" spans="1:67">
      <c r="A134" s="5">
        <f>IF(B134=" "," ",HYPERLINK(CONCATENATE("#metadata!",ADDRESS(INDEX($AI$2:$AI$1001,MATCH(ROWS($AG$2:AG134),$AG$2:$AG$1001,0),0),1)),INDEX($AL$2:$AL$1001,MATCH(ROWS($AG$2:AG134),$AG$2:$AG$1001,0),0)))</f>
        <v>0</v>
      </c>
      <c r="B134" s="4">
        <f>IF(OR(INDEX($AH$2:$AH$1001,MATCH(ROWS($AG$2:AG134),$AG$2:$AG$1001,0),1)&gt;=100000,INDEX($AN$1005:$BO$1005,1,MATCH(COLUMNS($AN$1006:AN1006),$AN$1006:$BO$1006,0))&gt;=100000), " ",IF(INDEX($AN$2:$BO$1001,MATCH(ROWS($AG$2:AG134),$AG$2:$AG$1001,0),MATCH(COLUMNS($AN$1006:AN1006),$AN$1006:$BO$1006,0)), HYPERLINK("#",""), HYPERLINK(CONCATENATE("#Metadata!", ADDRESS(INDEX($AI$2:$AI$1001,MATCH(ROWS($AG$2:AG134),$AG$2:$AG$1001,0),0), INDEX($AN$1004:$BO$1004,1,MATCH(COLUMNS($AN$1006:AN1006),$AN$1006:$BO$1006,0)))),"Fix")))</f>
        <v>0</v>
      </c>
      <c r="C134" s="4">
        <f>IF(OR(INDEX($AH$2:$AH$1001,MATCH(ROWS($AG$2:AG134),$AG$2:$AG$1001,0),1)&gt;=100000,INDEX($AN$1005:$BO$1005,1,MATCH(COLUMNS($AN$1006:AO1006),$AN$1006:$BO$1006,0))&gt;=100000), " ",IF(INDEX($AN$2:$BO$1001,MATCH(ROWS($AG$2:AG134),$AG$2:$AG$1001,0),MATCH(COLUMNS($AN$1006:AO1006),$AN$1006:$BO$1006,0)), HYPERLINK("#",""), HYPERLINK(CONCATENATE("#Metadata!", ADDRESS(INDEX($AI$2:$AI$1001,MATCH(ROWS($AG$2:AG134),$AG$2:$AG$1001,0),0), INDEX($AN$1004:$BO$1004,1,MATCH(COLUMNS($AN$1006:AO1006),$AN$1006:$BO$1006,0)))),"Fix")))</f>
        <v>0</v>
      </c>
      <c r="D134" s="4">
        <f>IF(OR(INDEX($AH$2:$AH$1001,MATCH(ROWS($AG$2:AG134),$AG$2:$AG$1001,0),1)&gt;=100000,INDEX($AN$1005:$BO$1005,1,MATCH(COLUMNS($AN$1006:AP1006),$AN$1006:$BO$1006,0))&gt;=100000), " ",IF(INDEX($AN$2:$BO$1001,MATCH(ROWS($AG$2:AG134),$AG$2:$AG$1001,0),MATCH(COLUMNS($AN$1006:AP1006),$AN$1006:$BO$1006,0)), HYPERLINK("#",""), HYPERLINK(CONCATENATE("#Metadata!", ADDRESS(INDEX($AI$2:$AI$1001,MATCH(ROWS($AG$2:AG134),$AG$2:$AG$1001,0),0), INDEX($AN$1004:$BO$1004,1,MATCH(COLUMNS($AN$1006:AP1006),$AN$1006:$BO$1006,0)))),"Fix")))</f>
        <v>0</v>
      </c>
      <c r="E134" s="4">
        <f>IF(OR(INDEX($AH$2:$AH$1001,MATCH(ROWS($AG$2:AG134),$AG$2:$AG$1001,0),1)&gt;=100000,INDEX($AN$1005:$BO$1005,1,MATCH(COLUMNS($AN$1006:AQ1006),$AN$1006:$BO$1006,0))&gt;=100000), " ",IF(INDEX($AN$2:$BO$1001,MATCH(ROWS($AG$2:AG134),$AG$2:$AG$1001,0),MATCH(COLUMNS($AN$1006:AQ1006),$AN$1006:$BO$1006,0)), HYPERLINK("#",""), HYPERLINK(CONCATENATE("#Metadata!", ADDRESS(INDEX($AI$2:$AI$1001,MATCH(ROWS($AG$2:AG134),$AG$2:$AG$1001,0),0), INDEX($AN$1004:$BO$1004,1,MATCH(COLUMNS($AN$1006:AQ1006),$AN$1006:$BO$1006,0)))),"Fix")))</f>
        <v>0</v>
      </c>
      <c r="F134" s="4">
        <f>IF(OR(INDEX($AH$2:$AH$1001,MATCH(ROWS($AG$2:AG134),$AG$2:$AG$1001,0),1)&gt;=100000,INDEX($AN$1005:$BO$1005,1,MATCH(COLUMNS($AN$1006:AR1006),$AN$1006:$BO$1006,0))&gt;=100000), " ",IF(INDEX($AN$2:$BO$1001,MATCH(ROWS($AG$2:AG134),$AG$2:$AG$1001,0),MATCH(COLUMNS($AN$1006:AR1006),$AN$1006:$BO$1006,0)), HYPERLINK("#",""), HYPERLINK(CONCATENATE("#Metadata!", ADDRESS(INDEX($AI$2:$AI$1001,MATCH(ROWS($AG$2:AG134),$AG$2:$AG$1001,0),0), INDEX($AN$1004:$BO$1004,1,MATCH(COLUMNS($AN$1006:AR1006),$AN$1006:$BO$1006,0)))),"Fix")))</f>
        <v>0</v>
      </c>
      <c r="G134" s="4">
        <f>IF(OR(INDEX($AH$2:$AH$1001,MATCH(ROWS($AG$2:AG134),$AG$2:$AG$1001,0),1)&gt;=100000,INDEX($AN$1005:$BO$1005,1,MATCH(COLUMNS($AN$1006:AS1006),$AN$1006:$BO$1006,0))&gt;=100000), " ",IF(INDEX($AN$2:$BO$1001,MATCH(ROWS($AG$2:AG134),$AG$2:$AG$1001,0),MATCH(COLUMNS($AN$1006:AS1006),$AN$1006:$BO$1006,0)), HYPERLINK("#",""), HYPERLINK(CONCATENATE("#Metadata!", ADDRESS(INDEX($AI$2:$AI$1001,MATCH(ROWS($AG$2:AG134),$AG$2:$AG$1001,0),0), INDEX($AN$1004:$BO$1004,1,MATCH(COLUMNS($AN$1006:AS1006),$AN$1006:$BO$1006,0)))),"Fix")))</f>
        <v>0</v>
      </c>
      <c r="H134" s="4">
        <f>IF(OR(INDEX($AH$2:$AH$1001,MATCH(ROWS($AG$2:AG134),$AG$2:$AG$1001,0),1)&gt;=100000,INDEX($AN$1005:$BO$1005,1,MATCH(COLUMNS($AN$1006:AT1006),$AN$1006:$BO$1006,0))&gt;=100000), " ",IF(INDEX($AN$2:$BO$1001,MATCH(ROWS($AG$2:AG134),$AG$2:$AG$1001,0),MATCH(COLUMNS($AN$1006:AT1006),$AN$1006:$BO$1006,0)), HYPERLINK("#",""), HYPERLINK(CONCATENATE("#Metadata!", ADDRESS(INDEX($AI$2:$AI$1001,MATCH(ROWS($AG$2:AG134),$AG$2:$AG$1001,0),0), INDEX($AN$1004:$BO$1004,1,MATCH(COLUMNS($AN$1006:AT1006),$AN$1006:$BO$1006,0)))),"Fix")))</f>
        <v>0</v>
      </c>
      <c r="I134" s="4">
        <f>IF(OR(INDEX($AH$2:$AH$1001,MATCH(ROWS($AG$2:AG134),$AG$2:$AG$1001,0),1)&gt;=100000,INDEX($AN$1005:$BO$1005,1,MATCH(COLUMNS($AN$1006:AU1006),$AN$1006:$BO$1006,0))&gt;=100000), " ",IF(INDEX($AN$2:$BO$1001,MATCH(ROWS($AG$2:AG134),$AG$2:$AG$1001,0),MATCH(COLUMNS($AN$1006:AU1006),$AN$1006:$BO$1006,0)), HYPERLINK("#",""), HYPERLINK(CONCATENATE("#Metadata!", ADDRESS(INDEX($AI$2:$AI$1001,MATCH(ROWS($AG$2:AG134),$AG$2:$AG$1001,0),0), INDEX($AN$1004:$BO$1004,1,MATCH(COLUMNS($AN$1006:AU1006),$AN$1006:$BO$1006,0)))),"Fix")))</f>
        <v>0</v>
      </c>
      <c r="J134" s="4">
        <f>IF(OR(INDEX($AH$2:$AH$1001,MATCH(ROWS($AG$2:AG134),$AG$2:$AG$1001,0),1)&gt;=100000,INDEX($AN$1005:$BO$1005,1,MATCH(COLUMNS($AN$1006:AV1006),$AN$1006:$BO$1006,0))&gt;=100000), " ",IF(INDEX($AN$2:$BO$1001,MATCH(ROWS($AG$2:AG134),$AG$2:$AG$1001,0),MATCH(COLUMNS($AN$1006:AV1006),$AN$1006:$BO$1006,0)), HYPERLINK("#",""), HYPERLINK(CONCATENATE("#Metadata!", ADDRESS(INDEX($AI$2:$AI$1001,MATCH(ROWS($AG$2:AG134),$AG$2:$AG$1001,0),0), INDEX($AN$1004:$BO$1004,1,MATCH(COLUMNS($AN$1006:AV1006),$AN$1006:$BO$1006,0)))),"Fix")))</f>
        <v>0</v>
      </c>
      <c r="K134" s="4">
        <f>IF(OR(INDEX($AH$2:$AH$1001,MATCH(ROWS($AG$2:AG134),$AG$2:$AG$1001,0),1)&gt;=100000,INDEX($AN$1005:$BO$1005,1,MATCH(COLUMNS($AN$1006:AW1006),$AN$1006:$BO$1006,0))&gt;=100000), " ",IF(INDEX($AN$2:$BO$1001,MATCH(ROWS($AG$2:AG134),$AG$2:$AG$1001,0),MATCH(COLUMNS($AN$1006:AW1006),$AN$1006:$BO$1006,0)), HYPERLINK("#",""), HYPERLINK(CONCATENATE("#Metadata!", ADDRESS(INDEX($AI$2:$AI$1001,MATCH(ROWS($AG$2:AG134),$AG$2:$AG$1001,0),0), INDEX($AN$1004:$BO$1004,1,MATCH(COLUMNS($AN$1006:AW1006),$AN$1006:$BO$1006,0)))),"Fix")))</f>
        <v>0</v>
      </c>
      <c r="L134" s="4">
        <f>IF(OR(INDEX($AH$2:$AH$1001,MATCH(ROWS($AG$2:AG134),$AG$2:$AG$1001,0),1)&gt;=100000,INDEX($AN$1005:$BO$1005,1,MATCH(COLUMNS($AN$1006:AX1006),$AN$1006:$BO$1006,0))&gt;=100000), " ",IF(INDEX($AN$2:$BO$1001,MATCH(ROWS($AG$2:AG134),$AG$2:$AG$1001,0),MATCH(COLUMNS($AN$1006:AX1006),$AN$1006:$BO$1006,0)), HYPERLINK("#",""), HYPERLINK(CONCATENATE("#Metadata!", ADDRESS(INDEX($AI$2:$AI$1001,MATCH(ROWS($AG$2:AG134),$AG$2:$AG$1001,0),0), INDEX($AN$1004:$BO$1004,1,MATCH(COLUMNS($AN$1006:AX1006),$AN$1006:$BO$1006,0)))),"Fix")))</f>
        <v>0</v>
      </c>
      <c r="M134" s="4">
        <f>IF(OR(INDEX($AH$2:$AH$1001,MATCH(ROWS($AG$2:AG134),$AG$2:$AG$1001,0),1)&gt;=100000,INDEX($AN$1005:$BO$1005,1,MATCH(COLUMNS($AN$1006:AY1006),$AN$1006:$BO$1006,0))&gt;=100000), " ",IF(INDEX($AN$2:$BO$1001,MATCH(ROWS($AG$2:AG134),$AG$2:$AG$1001,0),MATCH(COLUMNS($AN$1006:AY1006),$AN$1006:$BO$1006,0)), HYPERLINK("#",""), HYPERLINK(CONCATENATE("#Metadata!", ADDRESS(INDEX($AI$2:$AI$1001,MATCH(ROWS($AG$2:AG134),$AG$2:$AG$1001,0),0), INDEX($AN$1004:$BO$1004,1,MATCH(COLUMNS($AN$1006:AY1006),$AN$1006:$BO$1006,0)))),"Fix")))</f>
        <v>0</v>
      </c>
      <c r="N134" s="4">
        <f>IF(OR(INDEX($AH$2:$AH$1001,MATCH(ROWS($AG$2:AG134),$AG$2:$AG$1001,0),1)&gt;=100000,INDEX($AN$1005:$BO$1005,1,MATCH(COLUMNS($AN$1006:AZ1006),$AN$1006:$BO$1006,0))&gt;=100000), " ",IF(INDEX($AN$2:$BO$1001,MATCH(ROWS($AG$2:AG134),$AG$2:$AG$1001,0),MATCH(COLUMNS($AN$1006:AZ1006),$AN$1006:$BO$1006,0)), HYPERLINK("#",""), HYPERLINK(CONCATENATE("#Metadata!", ADDRESS(INDEX($AI$2:$AI$1001,MATCH(ROWS($AG$2:AG134),$AG$2:$AG$1001,0),0), INDEX($AN$1004:$BO$1004,1,MATCH(COLUMNS($AN$1006:AZ1006),$AN$1006:$BO$1006,0)))),"Fix")))</f>
        <v>0</v>
      </c>
      <c r="O134" s="4">
        <f>IF(OR(INDEX($AH$2:$AH$1001,MATCH(ROWS($AG$2:AG134),$AG$2:$AG$1001,0),1)&gt;=100000,INDEX($AN$1005:$BO$1005,1,MATCH(COLUMNS($AN$1006:BA1006),$AN$1006:$BO$1006,0))&gt;=100000), " ",IF(INDEX($AN$2:$BO$1001,MATCH(ROWS($AG$2:AG134),$AG$2:$AG$1001,0),MATCH(COLUMNS($AN$1006:BA1006),$AN$1006:$BO$1006,0)), HYPERLINK("#",""), HYPERLINK(CONCATENATE("#Metadata!", ADDRESS(INDEX($AI$2:$AI$1001,MATCH(ROWS($AG$2:AG134),$AG$2:$AG$1001,0),0), INDEX($AN$1004:$BO$1004,1,MATCH(COLUMNS($AN$1006:BA1006),$AN$1006:$BO$1006,0)))),"Fix")))</f>
        <v>0</v>
      </c>
      <c r="P134" s="4">
        <f>IF(OR(INDEX($AH$2:$AH$1001,MATCH(ROWS($AG$2:AG134),$AG$2:$AG$1001,0),1)&gt;=100000,INDEX($AN$1005:$BO$1005,1,MATCH(COLUMNS($AN$1006:BB1006),$AN$1006:$BO$1006,0))&gt;=100000), " ",IF(INDEX($AN$2:$BO$1001,MATCH(ROWS($AG$2:AG134),$AG$2:$AG$1001,0),MATCH(COLUMNS($AN$1006:BB1006),$AN$1006:$BO$1006,0)), HYPERLINK("#",""), HYPERLINK(CONCATENATE("#Metadata!", ADDRESS(INDEX($AI$2:$AI$1001,MATCH(ROWS($AG$2:AG134),$AG$2:$AG$1001,0),0), INDEX($AN$1004:$BO$1004,1,MATCH(COLUMNS($AN$1006:BB1006),$AN$1006:$BO$1006,0)))),"Fix")))</f>
        <v>0</v>
      </c>
      <c r="Q134" s="4">
        <f>IF(OR(INDEX($AH$2:$AH$1001,MATCH(ROWS($AG$2:AG134),$AG$2:$AG$1001,0),1)&gt;=100000,INDEX($AN$1005:$BO$1005,1,MATCH(COLUMNS($AN$1006:BC1006),$AN$1006:$BO$1006,0))&gt;=100000), " ",IF(INDEX($AN$2:$BO$1001,MATCH(ROWS($AG$2:AG134),$AG$2:$AG$1001,0),MATCH(COLUMNS($AN$1006:BC1006),$AN$1006:$BO$1006,0)), HYPERLINK("#",""), HYPERLINK(CONCATENATE("#Metadata!", ADDRESS(INDEX($AI$2:$AI$1001,MATCH(ROWS($AG$2:AG134),$AG$2:$AG$1001,0),0), INDEX($AN$1004:$BO$1004,1,MATCH(COLUMNS($AN$1006:BC1006),$AN$1006:$BO$1006,0)))),"Fix")))</f>
        <v>0</v>
      </c>
      <c r="R134" s="4">
        <f>IF(OR(INDEX($AH$2:$AH$1001,MATCH(ROWS($AG$2:AG134),$AG$2:$AG$1001,0),1)&gt;=100000,INDEX($AN$1005:$BO$1005,1,MATCH(COLUMNS($AN$1006:BD1006),$AN$1006:$BO$1006,0))&gt;=100000), " ",IF(INDEX($AN$2:$BO$1001,MATCH(ROWS($AG$2:AG134),$AG$2:$AG$1001,0),MATCH(COLUMNS($AN$1006:BD1006),$AN$1006:$BO$1006,0)), HYPERLINK("#",""), HYPERLINK(CONCATENATE("#Metadata!", ADDRESS(INDEX($AI$2:$AI$1001,MATCH(ROWS($AG$2:AG134),$AG$2:$AG$1001,0),0), INDEX($AN$1004:$BO$1004,1,MATCH(COLUMNS($AN$1006:BD1006),$AN$1006:$BO$1006,0)))),"Fix")))</f>
        <v>0</v>
      </c>
      <c r="S134" s="4">
        <f>IF(OR(INDEX($AH$2:$AH$1001,MATCH(ROWS($AG$2:AG134),$AG$2:$AG$1001,0),1)&gt;=100000,INDEX($AN$1005:$BO$1005,1,MATCH(COLUMNS($AN$1006:BE1006),$AN$1006:$BO$1006,0))&gt;=100000), " ",IF(INDEX($AN$2:$BO$1001,MATCH(ROWS($AG$2:AG134),$AG$2:$AG$1001,0),MATCH(COLUMNS($AN$1006:BE1006),$AN$1006:$BO$1006,0)), HYPERLINK("#",""), HYPERLINK(CONCATENATE("#Metadata!", ADDRESS(INDEX($AI$2:$AI$1001,MATCH(ROWS($AG$2:AG134),$AG$2:$AG$1001,0),0), INDEX($AN$1004:$BO$1004,1,MATCH(COLUMNS($AN$1006:BE1006),$AN$1006:$BO$1006,0)))),"Fix")))</f>
        <v>0</v>
      </c>
      <c r="T134" s="4">
        <f>IF(OR(INDEX($AH$2:$AH$1001,MATCH(ROWS($AG$2:AG134),$AG$2:$AG$1001,0),1)&gt;=100000,INDEX($AN$1005:$BO$1005,1,MATCH(COLUMNS($AN$1006:BF1006),$AN$1006:$BO$1006,0))&gt;=100000), " ",IF(INDEX($AN$2:$BO$1001,MATCH(ROWS($AG$2:AG134),$AG$2:$AG$1001,0),MATCH(COLUMNS($AN$1006:BF1006),$AN$1006:$BO$1006,0)), HYPERLINK("#",""), HYPERLINK(CONCATENATE("#Metadata!", ADDRESS(INDEX($AI$2:$AI$1001,MATCH(ROWS($AG$2:AG134),$AG$2:$AG$1001,0),0), INDEX($AN$1004:$BO$1004,1,MATCH(COLUMNS($AN$1006:BF1006),$AN$1006:$BO$1006,0)))),"Fix")))</f>
        <v>0</v>
      </c>
      <c r="U134" s="4">
        <f>IF(OR(INDEX($AH$2:$AH$1001,MATCH(ROWS($AG$2:AG134),$AG$2:$AG$1001,0),1)&gt;=100000,INDEX($AN$1005:$BO$1005,1,MATCH(COLUMNS($AN$1006:BG1006),$AN$1006:$BO$1006,0))&gt;=100000), " ",IF(INDEX($AN$2:$BO$1001,MATCH(ROWS($AG$2:AG134),$AG$2:$AG$1001,0),MATCH(COLUMNS($AN$1006:BG1006),$AN$1006:$BO$1006,0)), HYPERLINK("#",""), HYPERLINK(CONCATENATE("#Metadata!", ADDRESS(INDEX($AI$2:$AI$1001,MATCH(ROWS($AG$2:AG134),$AG$2:$AG$1001,0),0), INDEX($AN$1004:$BO$1004,1,MATCH(COLUMNS($AN$1006:BG1006),$AN$1006:$BO$1006,0)))),"Fix")))</f>
        <v>0</v>
      </c>
      <c r="V134" s="4">
        <f>IF(OR(INDEX($AH$2:$AH$1001,MATCH(ROWS($AG$2:AG134),$AG$2:$AG$1001,0),1)&gt;=100000,INDEX($AN$1005:$BO$1005,1,MATCH(COLUMNS($AN$1006:BH1006),$AN$1006:$BO$1006,0))&gt;=100000), " ",IF(INDEX($AN$2:$BO$1001,MATCH(ROWS($AG$2:AG134),$AG$2:$AG$1001,0),MATCH(COLUMNS($AN$1006:BH1006),$AN$1006:$BO$1006,0)), HYPERLINK("#",""), HYPERLINK(CONCATENATE("#Metadata!", ADDRESS(INDEX($AI$2:$AI$1001,MATCH(ROWS($AG$2:AG134),$AG$2:$AG$1001,0),0), INDEX($AN$1004:$BO$1004,1,MATCH(COLUMNS($AN$1006:BH1006),$AN$1006:$BO$1006,0)))),"Fix")))</f>
        <v>0</v>
      </c>
      <c r="W134" s="4">
        <f>IF(OR(INDEX($AH$2:$AH$1001,MATCH(ROWS($AG$2:AG134),$AG$2:$AG$1001,0),1)&gt;=100000,INDEX($AN$1005:$BO$1005,1,MATCH(COLUMNS($AN$1006:BI1006),$AN$1006:$BO$1006,0))&gt;=100000), " ",IF(INDEX($AN$2:$BO$1001,MATCH(ROWS($AG$2:AG134),$AG$2:$AG$1001,0),MATCH(COLUMNS($AN$1006:BI1006),$AN$1006:$BO$1006,0)), HYPERLINK("#",""), HYPERLINK(CONCATENATE("#Metadata!", ADDRESS(INDEX($AI$2:$AI$1001,MATCH(ROWS($AG$2:AG134),$AG$2:$AG$1001,0),0), INDEX($AN$1004:$BO$1004,1,MATCH(COLUMNS($AN$1006:BI1006),$AN$1006:$BO$1006,0)))),"Fix")))</f>
        <v>0</v>
      </c>
      <c r="X134" s="4">
        <f>IF(OR(INDEX($AH$2:$AH$1001,MATCH(ROWS($AG$2:AG134),$AG$2:$AG$1001,0),1)&gt;=100000,INDEX($AN$1005:$BO$1005,1,MATCH(COLUMNS($AN$1006:BJ1006),$AN$1006:$BO$1006,0))&gt;=100000), " ",IF(INDEX($AN$2:$BO$1001,MATCH(ROWS($AG$2:AG134),$AG$2:$AG$1001,0),MATCH(COLUMNS($AN$1006:BJ1006),$AN$1006:$BO$1006,0)), HYPERLINK("#",""), HYPERLINK(CONCATENATE("#Metadata!", ADDRESS(INDEX($AI$2:$AI$1001,MATCH(ROWS($AG$2:AG134),$AG$2:$AG$1001,0),0), INDEX($AN$1004:$BO$1004,1,MATCH(COLUMNS($AN$1006:BJ1006),$AN$1006:$BO$1006,0)))),"Fix")))</f>
        <v>0</v>
      </c>
      <c r="Y134" s="4">
        <f>IF(OR(INDEX($AH$2:$AH$1001,MATCH(ROWS($AG$2:AG134),$AG$2:$AG$1001,0),1)&gt;=100000,INDEX($AN$1005:$BO$1005,1,MATCH(COLUMNS($AN$1006:BK1006),$AN$1006:$BO$1006,0))&gt;=100000), " ",IF(INDEX($AN$2:$BO$1001,MATCH(ROWS($AG$2:AG134),$AG$2:$AG$1001,0),MATCH(COLUMNS($AN$1006:BK1006),$AN$1006:$BO$1006,0)), HYPERLINK("#",""), HYPERLINK(CONCATENATE("#Metadata!", ADDRESS(INDEX($AI$2:$AI$1001,MATCH(ROWS($AG$2:AG134),$AG$2:$AG$1001,0),0), INDEX($AN$1004:$BO$1004,1,MATCH(COLUMNS($AN$1006:BK1006),$AN$1006:$BO$1006,0)))),"Fix")))</f>
        <v>0</v>
      </c>
      <c r="Z134" s="4">
        <f>IF(OR(INDEX($AH$2:$AH$1001,MATCH(ROWS($AG$2:AG134),$AG$2:$AG$1001,0),1)&gt;=100000,INDEX($AN$1005:$BO$1005,1,MATCH(COLUMNS($AN$1006:BL1006),$AN$1006:$BO$1006,0))&gt;=100000), " ",IF(INDEX($AN$2:$BO$1001,MATCH(ROWS($AG$2:AG134),$AG$2:$AG$1001,0),MATCH(COLUMNS($AN$1006:BL1006),$AN$1006:$BO$1006,0)), HYPERLINK("#",""), HYPERLINK(CONCATENATE("#Metadata!", ADDRESS(INDEX($AI$2:$AI$1001,MATCH(ROWS($AG$2:AG134),$AG$2:$AG$1001,0),0), INDEX($AN$1004:$BO$1004,1,MATCH(COLUMNS($AN$1006:BL1006),$AN$1006:$BO$1006,0)))),"Fix")))</f>
        <v>0</v>
      </c>
      <c r="AA134" s="4">
        <f>IF(OR(INDEX($AH$2:$AH$1001,MATCH(ROWS($AG$2:AG134),$AG$2:$AG$1001,0),1)&gt;=100000,INDEX($AN$1005:$BO$1005,1,MATCH(COLUMNS($AN$1006:BM1006),$AN$1006:$BO$1006,0))&gt;=100000), " ",IF(INDEX($AN$2:$BO$1001,MATCH(ROWS($AG$2:AG134),$AG$2:$AG$1001,0),MATCH(COLUMNS($AN$1006:BM1006),$AN$1006:$BO$1006,0)), HYPERLINK("#",""), HYPERLINK(CONCATENATE("#Metadata!", ADDRESS(INDEX($AI$2:$AI$1001,MATCH(ROWS($AG$2:AG134),$AG$2:$AG$1001,0),0), INDEX($AN$1004:$BO$1004,1,MATCH(COLUMNS($AN$1006:BM1006),$AN$1006:$BO$1006,0)))),"Fix")))</f>
        <v>0</v>
      </c>
      <c r="AB134" s="4">
        <f>IF(OR(INDEX($AH$2:$AH$1001,MATCH(ROWS($AG$2:AG134),$AG$2:$AG$1001,0),1)&gt;=100000,INDEX($AN$1005:$BO$1005,1,MATCH(COLUMNS($AN$1006:BN1006),$AN$1006:$BO$1006,0))&gt;=100000), " ",IF(INDEX($AN$2:$BO$1001,MATCH(ROWS($AG$2:AG134),$AG$2:$AG$1001,0),MATCH(COLUMNS($AN$1006:BN1006),$AN$1006:$BO$1006,0)), HYPERLINK("#",""), HYPERLINK(CONCATENATE("#Metadata!", ADDRESS(INDEX($AI$2:$AI$1001,MATCH(ROWS($AG$2:AG134),$AG$2:$AG$1001,0),0), INDEX($AN$1004:$BO$1004,1,MATCH(COLUMNS($AN$1006:BN1006),$AN$1006:$BO$1006,0)))),"Fix")))</f>
        <v>0</v>
      </c>
      <c r="AC134" s="4">
        <f>IF(OR(INDEX($AH$2:$AH$1001,MATCH(ROWS($AG$2:AG134),$AG$2:$AG$1001,0),1)&gt;=100000,INDEX($AN$1005:$BO$1005,1,MATCH(COLUMNS($AN$1006:BO1006),$AN$1006:$BO$1006,0))&gt;=100000), " ",IF(INDEX($AN$2:$BO$1001,MATCH(ROWS($AG$2:AG134),$AG$2:$AG$1001,0),MATCH(COLUMNS($AN$1006:BO1006),$AN$1006:$BO$1006,0)), HYPERLINK("#",""), HYPERLINK(CONCATENATE("#Metadata!", ADDRESS(INDEX($AI$2:$AI$1001,MATCH(ROWS($AG$2:AG134),$AG$2:$AG$1001,0),0), INDEX($AN$1004:$BO$1004,1,MATCH(COLUMNS($AN$1006:BO1006),$AN$1006:$BO$1006,0)))),"Fix")))</f>
        <v>0</v>
      </c>
      <c r="AG134">
        <v>0</v>
      </c>
      <c r="AH134">
        <v>0</v>
      </c>
      <c r="AI134">
        <v>0</v>
      </c>
      <c r="AJ134">
        <f>IF(AK134,TRUE,AND(AN134:BO134))</f>
        <v>0</v>
      </c>
      <c r="AK134">
        <f>COUNTBLANK(Metadata!B134:AC134)=COLUMNS(Metadata!B134:AC134)</f>
        <v>0</v>
      </c>
      <c r="AL134">
        <v>0</v>
      </c>
      <c r="AN134">
        <f>AND(IF(Metadata!B134="",FALSE,TRUE),COUNTIF(Metadata!B:B, Metadata!B134) = 1,NOT(ISERROR(SUMPRODUCT(SEARCH(MID(Metadata!B134,ROW(INDIRECT("1:"&amp;LEN(Metadata!B134))), 1),"0123456789abcdefghijklmnopqrstuvwxyzABCDEFGHIJKLMNOPQRSTUVWXYZ.")))))</f>
        <v>0</v>
      </c>
      <c r="AO134">
        <f>IF(Metadata!C134="",FALSE,TRUE)</f>
        <v>0</v>
      </c>
      <c r="AP134">
        <f>IF(Metadata!D134="",FALSE,TRUE)</f>
        <v>0</v>
      </c>
      <c r="AQ134">
        <f>OR(AND(IF(Metadata!E134="",FALSE,TRUE),OR(exact(Metadata!E134,"not collected"),exact(Metadata!E134,"not provided"),exact(Metadata!E134,"restricted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R134">
        <f>IF(Metadata!F134="",FALSE,TRUE)</f>
        <v>0</v>
      </c>
      <c r="AS134">
        <f>OR(AND(IF(Metadata!G134="",FALSE,TRUE),OR(exact(Metadata!G134,"not collected"),exact(Metadata!G134,"not provided"))),AND(IF(Metadata!G134="",FALSE,TRUE),OR(exact(Metadata!G134,"TRUE"),exact(Metadata!G134,"FALSE"))))</f>
        <v>0</v>
      </c>
      <c r="AT134">
        <f>OR(AND(IF(Metadata!H134="",FALSE,TRUE),OR(exact(Metadata!H134,"not collected"),exact(Metadata!H134,"not provided"),exact(Metadata!H134,"restricted access"))),AND(IF(Metadata!H134="",FALSE,ISNUMBER(VALUE(Metadata!H134))),Metadata!H134&gt;=-413.0))</f>
        <v>0</v>
      </c>
      <c r="AU134">
        <f>AND(IF(Metadata!I134="",FALSE,TRUE),exact(Metadata!I134,"meters"))</f>
        <v>0</v>
      </c>
      <c r="AV134">
        <f>AND(IF(Metadata!J134="",FALSE,TRUE),OR(exact(Metadata!J134,"Host-associated"),exact(Metadata!J134,"Free-living")))</f>
        <v>0</v>
      </c>
      <c r="AW134">
        <f>AND(IF(Metadata!K134="",FALSE,TRUE),OR(exact(Metadata!K134,"Animal"),exact(Metadata!K134,"Fungus"),exact(Metadata!K134,"Plant"),exact(Metadata!K134,"Saline"),exact(Metadata!K134,"Non-saline")))</f>
        <v>0</v>
      </c>
      <c r="AX134">
        <f>AND(IF(Metadata!L134="",FALSE,TRUE),OR(exact(Metadata!L134,"Plant secretion"),exact(Metadata!L134,"Plant rhizosphere"),exact(Metadata!L134,"Plant surface"),exact(Metadata!L134,"Plant corpus"),exact(Metadata!L134,"Fungus surface"),exact(Metadata!L134,"Fungus corpus"),exact(Metadata!L134,"Animal surface"),exact(Metadata!L134,"Animal proximal gut"),exact(Metadata!L134,"Animal corpus"),exact(Metadata!L134,"Animal distal gut"),exact(Metadata!L134,"Animal secretion"),exact(Metadata!L134,"Sub-surface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Y134">
        <f>IF(Metadata!M134="",FALSE,TRUE)</f>
        <v>0</v>
      </c>
      <c r="AZ134">
        <f>IF(Metadata!N134="",FALSE,TRUE)</f>
        <v>0</v>
      </c>
      <c r="BA134">
        <f>IF(Metadata!O134="",FALSE,TRUE)</f>
        <v>0</v>
      </c>
      <c r="BB134">
        <f>OR(AND(IF(Metadata!P134="",FALSE,TRUE),OR(exact(Metadata!P134,"not collected"),exact(Metadata!P134,"not provided"),exact(Metadata!P134,"restricted access"))),AND(IF(Metadata!P134="",FALSE,TRUE),OR(exact(Metadata!P134,"air"),exact(Metadata!P134,"built environment"),exact(Metadata!P134,"host-associated"),exact(Metadata!P134,"human-associated"),exact(Metadata!P134,"human-skin"),exact(Metadata!P134,"human-oral"),exact(Metadata!P134,"human-gut"),exact(Metadata!P134,"human-vaginal"),exact(Metadata!P134,"microbial mat/biofilm"),exact(Metadata!P134,"misc environment"),exact(Metadata!P134,"plant-associated"),exact(Metadata!P134,"sediment"),exact(Metadata!P134,"soil"),exact(Metadata!P134,"wastewater/sludge"),exact(Metadata!P134,"water"))))</f>
        <v>0</v>
      </c>
      <c r="BC134">
        <f>IF(Metadata!Q134="",FALSE,TRUE)</f>
        <v>0</v>
      </c>
      <c r="BD134">
        <f>IF(Metadata!R134="",FALSE,TRUE)</f>
        <v>0</v>
      </c>
      <c r="BE134">
        <f>OR(AND(IF(Metadata!S134="",FALSE,TRUE),OR(exact(Metadata!S134,"not collected"),exact(Metadata!S134,"not provided"),exact(Metadata!S134,"restricted access"))),AND(IF(Metadata!S134="",FALSE,ISNUMBER(VALUE(Metadata!S134))),Metadata!S134&gt;=-90.00,Metadata!S134&lt;=90.00))</f>
        <v>0</v>
      </c>
      <c r="BF134">
        <f>AND(IF(Metadata!T134="",FALSE,TRUE),exact(Metadata!T134,"Decimal degrees"))</f>
        <v>0</v>
      </c>
      <c r="BG134">
        <f>OR(AND(IF(Metadata!U134="",FALSE,TRUE),OR(exact(Metadata!U134,"not collected"),exact(Metadata!U134,"not provided"),exact(Metadata!U134,"restricted access"))),AND(IF(Metadata!U134="",FALSE,ISNUMBER(VALUE(Metadata!U134))),Metadata!U134&gt;=-180.00,Metadata!U134&lt;=180.00))</f>
        <v>0</v>
      </c>
      <c r="BH134">
        <f>AND(IF(Metadata!V134="",FALSE,TRUE),exact(Metadata!V134,"Decimal degrees"))</f>
        <v>0</v>
      </c>
      <c r="BI134">
        <f>IF(Metadata!W134="",FALSE,TRUE)</f>
        <v>0</v>
      </c>
      <c r="BJ134">
        <f>OR(AND(IF(Metadata!X134="",FALSE,TRUE),OR(exact(Metadata!X134,"not collected"),exact(Metadata!X134,"not provided"),exact(Metadata!X134,"restricted access"))),AND(IF(Metadata!X134="",FALSE,TRUE),OR(exact(Metadata!X134,"TRUE"),exact(Metadata!X134,"FALSE"))))</f>
        <v>0</v>
      </c>
      <c r="BK134">
        <f>AND(IF(Metadata!Y134="",FALSE,TRUE),exact(Metadata!Y134,"other"))</f>
        <v>0</v>
      </c>
      <c r="BL134">
        <f>IF(Metadata!Z134="",FALSE,TRUE)</f>
        <v>0</v>
      </c>
      <c r="BM134">
        <f>OR(AND(IF(Metadata!AA134="",FALSE,TRUE),OR(exact(Metadata!AA134,"not collected"),exact(Metadata!AA134,"not provided"))),AND(IF(Metadata!AA134="",FALSE,IF(ISERROR(INT(Metadata!AA134)),FALSE,INT(Metadata!AA134)=Metadata!AA134)),Metadata!AA134&gt;0))</f>
        <v>0</v>
      </c>
      <c r="BN134">
        <f>AND(IF(Metadata!AB134="",FALSE,TRUE),exact(Metadata!AB134,"Not applicable"))</f>
        <v>0</v>
      </c>
      <c r="BO134">
        <f>IF(Metadata!AC134="",FALSE,TRUE)</f>
        <v>0</v>
      </c>
    </row>
    <row r="135" spans="1:67">
      <c r="A135" s="5">
        <f>IF(B135=" "," ",HYPERLINK(CONCATENATE("#metadata!",ADDRESS(INDEX($AI$2:$AI$1001,MATCH(ROWS($AG$2:AG135),$AG$2:$AG$1001,0),0),1)),INDEX($AL$2:$AL$1001,MATCH(ROWS($AG$2:AG135),$AG$2:$AG$1001,0),0)))</f>
        <v>0</v>
      </c>
      <c r="B135" s="4">
        <f>IF(OR(INDEX($AH$2:$AH$1001,MATCH(ROWS($AG$2:AG135),$AG$2:$AG$1001,0),1)&gt;=100000,INDEX($AN$1005:$BO$1005,1,MATCH(COLUMNS($AN$1006:AN1006),$AN$1006:$BO$1006,0))&gt;=100000), " ",IF(INDEX($AN$2:$BO$1001,MATCH(ROWS($AG$2:AG135),$AG$2:$AG$1001,0),MATCH(COLUMNS($AN$1006:AN1006),$AN$1006:$BO$1006,0)), HYPERLINK("#",""), HYPERLINK(CONCATENATE("#Metadata!", ADDRESS(INDEX($AI$2:$AI$1001,MATCH(ROWS($AG$2:AG135),$AG$2:$AG$1001,0),0), INDEX($AN$1004:$BO$1004,1,MATCH(COLUMNS($AN$1006:AN1006),$AN$1006:$BO$1006,0)))),"Fix")))</f>
        <v>0</v>
      </c>
      <c r="C135" s="4">
        <f>IF(OR(INDEX($AH$2:$AH$1001,MATCH(ROWS($AG$2:AG135),$AG$2:$AG$1001,0),1)&gt;=100000,INDEX($AN$1005:$BO$1005,1,MATCH(COLUMNS($AN$1006:AO1006),$AN$1006:$BO$1006,0))&gt;=100000), " ",IF(INDEX($AN$2:$BO$1001,MATCH(ROWS($AG$2:AG135),$AG$2:$AG$1001,0),MATCH(COLUMNS($AN$1006:AO1006),$AN$1006:$BO$1006,0)), HYPERLINK("#",""), HYPERLINK(CONCATENATE("#Metadata!", ADDRESS(INDEX($AI$2:$AI$1001,MATCH(ROWS($AG$2:AG135),$AG$2:$AG$1001,0),0), INDEX($AN$1004:$BO$1004,1,MATCH(COLUMNS($AN$1006:AO1006),$AN$1006:$BO$1006,0)))),"Fix")))</f>
        <v>0</v>
      </c>
      <c r="D135" s="4">
        <f>IF(OR(INDEX($AH$2:$AH$1001,MATCH(ROWS($AG$2:AG135),$AG$2:$AG$1001,0),1)&gt;=100000,INDEX($AN$1005:$BO$1005,1,MATCH(COLUMNS($AN$1006:AP1006),$AN$1006:$BO$1006,0))&gt;=100000), " ",IF(INDEX($AN$2:$BO$1001,MATCH(ROWS($AG$2:AG135),$AG$2:$AG$1001,0),MATCH(COLUMNS($AN$1006:AP1006),$AN$1006:$BO$1006,0)), HYPERLINK("#",""), HYPERLINK(CONCATENATE("#Metadata!", ADDRESS(INDEX($AI$2:$AI$1001,MATCH(ROWS($AG$2:AG135),$AG$2:$AG$1001,0),0), INDEX($AN$1004:$BO$1004,1,MATCH(COLUMNS($AN$1006:AP1006),$AN$1006:$BO$1006,0)))),"Fix")))</f>
        <v>0</v>
      </c>
      <c r="E135" s="4">
        <f>IF(OR(INDEX($AH$2:$AH$1001,MATCH(ROWS($AG$2:AG135),$AG$2:$AG$1001,0),1)&gt;=100000,INDEX($AN$1005:$BO$1005,1,MATCH(COLUMNS($AN$1006:AQ1006),$AN$1006:$BO$1006,0))&gt;=100000), " ",IF(INDEX($AN$2:$BO$1001,MATCH(ROWS($AG$2:AG135),$AG$2:$AG$1001,0),MATCH(COLUMNS($AN$1006:AQ1006),$AN$1006:$BO$1006,0)), HYPERLINK("#",""), HYPERLINK(CONCATENATE("#Metadata!", ADDRESS(INDEX($AI$2:$AI$1001,MATCH(ROWS($AG$2:AG135),$AG$2:$AG$1001,0),0), INDEX($AN$1004:$BO$1004,1,MATCH(COLUMNS($AN$1006:AQ1006),$AN$1006:$BO$1006,0)))),"Fix")))</f>
        <v>0</v>
      </c>
      <c r="F135" s="4">
        <f>IF(OR(INDEX($AH$2:$AH$1001,MATCH(ROWS($AG$2:AG135),$AG$2:$AG$1001,0),1)&gt;=100000,INDEX($AN$1005:$BO$1005,1,MATCH(COLUMNS($AN$1006:AR1006),$AN$1006:$BO$1006,0))&gt;=100000), " ",IF(INDEX($AN$2:$BO$1001,MATCH(ROWS($AG$2:AG135),$AG$2:$AG$1001,0),MATCH(COLUMNS($AN$1006:AR1006),$AN$1006:$BO$1006,0)), HYPERLINK("#",""), HYPERLINK(CONCATENATE("#Metadata!", ADDRESS(INDEX($AI$2:$AI$1001,MATCH(ROWS($AG$2:AG135),$AG$2:$AG$1001,0),0), INDEX($AN$1004:$BO$1004,1,MATCH(COLUMNS($AN$1006:AR1006),$AN$1006:$BO$1006,0)))),"Fix")))</f>
        <v>0</v>
      </c>
      <c r="G135" s="4">
        <f>IF(OR(INDEX($AH$2:$AH$1001,MATCH(ROWS($AG$2:AG135),$AG$2:$AG$1001,0),1)&gt;=100000,INDEX($AN$1005:$BO$1005,1,MATCH(COLUMNS($AN$1006:AS1006),$AN$1006:$BO$1006,0))&gt;=100000), " ",IF(INDEX($AN$2:$BO$1001,MATCH(ROWS($AG$2:AG135),$AG$2:$AG$1001,0),MATCH(COLUMNS($AN$1006:AS1006),$AN$1006:$BO$1006,0)), HYPERLINK("#",""), HYPERLINK(CONCATENATE("#Metadata!", ADDRESS(INDEX($AI$2:$AI$1001,MATCH(ROWS($AG$2:AG135),$AG$2:$AG$1001,0),0), INDEX($AN$1004:$BO$1004,1,MATCH(COLUMNS($AN$1006:AS1006),$AN$1006:$BO$1006,0)))),"Fix")))</f>
        <v>0</v>
      </c>
      <c r="H135" s="4">
        <f>IF(OR(INDEX($AH$2:$AH$1001,MATCH(ROWS($AG$2:AG135),$AG$2:$AG$1001,0),1)&gt;=100000,INDEX($AN$1005:$BO$1005,1,MATCH(COLUMNS($AN$1006:AT1006),$AN$1006:$BO$1006,0))&gt;=100000), " ",IF(INDEX($AN$2:$BO$1001,MATCH(ROWS($AG$2:AG135),$AG$2:$AG$1001,0),MATCH(COLUMNS($AN$1006:AT1006),$AN$1006:$BO$1006,0)), HYPERLINK("#",""), HYPERLINK(CONCATENATE("#Metadata!", ADDRESS(INDEX($AI$2:$AI$1001,MATCH(ROWS($AG$2:AG135),$AG$2:$AG$1001,0),0), INDEX($AN$1004:$BO$1004,1,MATCH(COLUMNS($AN$1006:AT1006),$AN$1006:$BO$1006,0)))),"Fix")))</f>
        <v>0</v>
      </c>
      <c r="I135" s="4">
        <f>IF(OR(INDEX($AH$2:$AH$1001,MATCH(ROWS($AG$2:AG135),$AG$2:$AG$1001,0),1)&gt;=100000,INDEX($AN$1005:$BO$1005,1,MATCH(COLUMNS($AN$1006:AU1006),$AN$1006:$BO$1006,0))&gt;=100000), " ",IF(INDEX($AN$2:$BO$1001,MATCH(ROWS($AG$2:AG135),$AG$2:$AG$1001,0),MATCH(COLUMNS($AN$1006:AU1006),$AN$1006:$BO$1006,0)), HYPERLINK("#",""), HYPERLINK(CONCATENATE("#Metadata!", ADDRESS(INDEX($AI$2:$AI$1001,MATCH(ROWS($AG$2:AG135),$AG$2:$AG$1001,0),0), INDEX($AN$1004:$BO$1004,1,MATCH(COLUMNS($AN$1006:AU1006),$AN$1006:$BO$1006,0)))),"Fix")))</f>
        <v>0</v>
      </c>
      <c r="J135" s="4">
        <f>IF(OR(INDEX($AH$2:$AH$1001,MATCH(ROWS($AG$2:AG135),$AG$2:$AG$1001,0),1)&gt;=100000,INDEX($AN$1005:$BO$1005,1,MATCH(COLUMNS($AN$1006:AV1006),$AN$1006:$BO$1006,0))&gt;=100000), " ",IF(INDEX($AN$2:$BO$1001,MATCH(ROWS($AG$2:AG135),$AG$2:$AG$1001,0),MATCH(COLUMNS($AN$1006:AV1006),$AN$1006:$BO$1006,0)), HYPERLINK("#",""), HYPERLINK(CONCATENATE("#Metadata!", ADDRESS(INDEX($AI$2:$AI$1001,MATCH(ROWS($AG$2:AG135),$AG$2:$AG$1001,0),0), INDEX($AN$1004:$BO$1004,1,MATCH(COLUMNS($AN$1006:AV1006),$AN$1006:$BO$1006,0)))),"Fix")))</f>
        <v>0</v>
      </c>
      <c r="K135" s="4">
        <f>IF(OR(INDEX($AH$2:$AH$1001,MATCH(ROWS($AG$2:AG135),$AG$2:$AG$1001,0),1)&gt;=100000,INDEX($AN$1005:$BO$1005,1,MATCH(COLUMNS($AN$1006:AW1006),$AN$1006:$BO$1006,0))&gt;=100000), " ",IF(INDEX($AN$2:$BO$1001,MATCH(ROWS($AG$2:AG135),$AG$2:$AG$1001,0),MATCH(COLUMNS($AN$1006:AW1006),$AN$1006:$BO$1006,0)), HYPERLINK("#",""), HYPERLINK(CONCATENATE("#Metadata!", ADDRESS(INDEX($AI$2:$AI$1001,MATCH(ROWS($AG$2:AG135),$AG$2:$AG$1001,0),0), INDEX($AN$1004:$BO$1004,1,MATCH(COLUMNS($AN$1006:AW1006),$AN$1006:$BO$1006,0)))),"Fix")))</f>
        <v>0</v>
      </c>
      <c r="L135" s="4">
        <f>IF(OR(INDEX($AH$2:$AH$1001,MATCH(ROWS($AG$2:AG135),$AG$2:$AG$1001,0),1)&gt;=100000,INDEX($AN$1005:$BO$1005,1,MATCH(COLUMNS($AN$1006:AX1006),$AN$1006:$BO$1006,0))&gt;=100000), " ",IF(INDEX($AN$2:$BO$1001,MATCH(ROWS($AG$2:AG135),$AG$2:$AG$1001,0),MATCH(COLUMNS($AN$1006:AX1006),$AN$1006:$BO$1006,0)), HYPERLINK("#",""), HYPERLINK(CONCATENATE("#Metadata!", ADDRESS(INDEX($AI$2:$AI$1001,MATCH(ROWS($AG$2:AG135),$AG$2:$AG$1001,0),0), INDEX($AN$1004:$BO$1004,1,MATCH(COLUMNS($AN$1006:AX1006),$AN$1006:$BO$1006,0)))),"Fix")))</f>
        <v>0</v>
      </c>
      <c r="M135" s="4">
        <f>IF(OR(INDEX($AH$2:$AH$1001,MATCH(ROWS($AG$2:AG135),$AG$2:$AG$1001,0),1)&gt;=100000,INDEX($AN$1005:$BO$1005,1,MATCH(COLUMNS($AN$1006:AY1006),$AN$1006:$BO$1006,0))&gt;=100000), " ",IF(INDEX($AN$2:$BO$1001,MATCH(ROWS($AG$2:AG135),$AG$2:$AG$1001,0),MATCH(COLUMNS($AN$1006:AY1006),$AN$1006:$BO$1006,0)), HYPERLINK("#",""), HYPERLINK(CONCATENATE("#Metadata!", ADDRESS(INDEX($AI$2:$AI$1001,MATCH(ROWS($AG$2:AG135),$AG$2:$AG$1001,0),0), INDEX($AN$1004:$BO$1004,1,MATCH(COLUMNS($AN$1006:AY1006),$AN$1006:$BO$1006,0)))),"Fix")))</f>
        <v>0</v>
      </c>
      <c r="N135" s="4">
        <f>IF(OR(INDEX($AH$2:$AH$1001,MATCH(ROWS($AG$2:AG135),$AG$2:$AG$1001,0),1)&gt;=100000,INDEX($AN$1005:$BO$1005,1,MATCH(COLUMNS($AN$1006:AZ1006),$AN$1006:$BO$1006,0))&gt;=100000), " ",IF(INDEX($AN$2:$BO$1001,MATCH(ROWS($AG$2:AG135),$AG$2:$AG$1001,0),MATCH(COLUMNS($AN$1006:AZ1006),$AN$1006:$BO$1006,0)), HYPERLINK("#",""), HYPERLINK(CONCATENATE("#Metadata!", ADDRESS(INDEX($AI$2:$AI$1001,MATCH(ROWS($AG$2:AG135),$AG$2:$AG$1001,0),0), INDEX($AN$1004:$BO$1004,1,MATCH(COLUMNS($AN$1006:AZ1006),$AN$1006:$BO$1006,0)))),"Fix")))</f>
        <v>0</v>
      </c>
      <c r="O135" s="4">
        <f>IF(OR(INDEX($AH$2:$AH$1001,MATCH(ROWS($AG$2:AG135),$AG$2:$AG$1001,0),1)&gt;=100000,INDEX($AN$1005:$BO$1005,1,MATCH(COLUMNS($AN$1006:BA1006),$AN$1006:$BO$1006,0))&gt;=100000), " ",IF(INDEX($AN$2:$BO$1001,MATCH(ROWS($AG$2:AG135),$AG$2:$AG$1001,0),MATCH(COLUMNS($AN$1006:BA1006),$AN$1006:$BO$1006,0)), HYPERLINK("#",""), HYPERLINK(CONCATENATE("#Metadata!", ADDRESS(INDEX($AI$2:$AI$1001,MATCH(ROWS($AG$2:AG135),$AG$2:$AG$1001,0),0), INDEX($AN$1004:$BO$1004,1,MATCH(COLUMNS($AN$1006:BA1006),$AN$1006:$BO$1006,0)))),"Fix")))</f>
        <v>0</v>
      </c>
      <c r="P135" s="4">
        <f>IF(OR(INDEX($AH$2:$AH$1001,MATCH(ROWS($AG$2:AG135),$AG$2:$AG$1001,0),1)&gt;=100000,INDEX($AN$1005:$BO$1005,1,MATCH(COLUMNS($AN$1006:BB1006),$AN$1006:$BO$1006,0))&gt;=100000), " ",IF(INDEX($AN$2:$BO$1001,MATCH(ROWS($AG$2:AG135),$AG$2:$AG$1001,0),MATCH(COLUMNS($AN$1006:BB1006),$AN$1006:$BO$1006,0)), HYPERLINK("#",""), HYPERLINK(CONCATENATE("#Metadata!", ADDRESS(INDEX($AI$2:$AI$1001,MATCH(ROWS($AG$2:AG135),$AG$2:$AG$1001,0),0), INDEX($AN$1004:$BO$1004,1,MATCH(COLUMNS($AN$1006:BB1006),$AN$1006:$BO$1006,0)))),"Fix")))</f>
        <v>0</v>
      </c>
      <c r="Q135" s="4">
        <f>IF(OR(INDEX($AH$2:$AH$1001,MATCH(ROWS($AG$2:AG135),$AG$2:$AG$1001,0),1)&gt;=100000,INDEX($AN$1005:$BO$1005,1,MATCH(COLUMNS($AN$1006:BC1006),$AN$1006:$BO$1006,0))&gt;=100000), " ",IF(INDEX($AN$2:$BO$1001,MATCH(ROWS($AG$2:AG135),$AG$2:$AG$1001,0),MATCH(COLUMNS($AN$1006:BC1006),$AN$1006:$BO$1006,0)), HYPERLINK("#",""), HYPERLINK(CONCATENATE("#Metadata!", ADDRESS(INDEX($AI$2:$AI$1001,MATCH(ROWS($AG$2:AG135),$AG$2:$AG$1001,0),0), INDEX($AN$1004:$BO$1004,1,MATCH(COLUMNS($AN$1006:BC1006),$AN$1006:$BO$1006,0)))),"Fix")))</f>
        <v>0</v>
      </c>
      <c r="R135" s="4">
        <f>IF(OR(INDEX($AH$2:$AH$1001,MATCH(ROWS($AG$2:AG135),$AG$2:$AG$1001,0),1)&gt;=100000,INDEX($AN$1005:$BO$1005,1,MATCH(COLUMNS($AN$1006:BD1006),$AN$1006:$BO$1006,0))&gt;=100000), " ",IF(INDEX($AN$2:$BO$1001,MATCH(ROWS($AG$2:AG135),$AG$2:$AG$1001,0),MATCH(COLUMNS($AN$1006:BD1006),$AN$1006:$BO$1006,0)), HYPERLINK("#",""), HYPERLINK(CONCATENATE("#Metadata!", ADDRESS(INDEX($AI$2:$AI$1001,MATCH(ROWS($AG$2:AG135),$AG$2:$AG$1001,0),0), INDEX($AN$1004:$BO$1004,1,MATCH(COLUMNS($AN$1006:BD1006),$AN$1006:$BO$1006,0)))),"Fix")))</f>
        <v>0</v>
      </c>
      <c r="S135" s="4">
        <f>IF(OR(INDEX($AH$2:$AH$1001,MATCH(ROWS($AG$2:AG135),$AG$2:$AG$1001,0),1)&gt;=100000,INDEX($AN$1005:$BO$1005,1,MATCH(COLUMNS($AN$1006:BE1006),$AN$1006:$BO$1006,0))&gt;=100000), " ",IF(INDEX($AN$2:$BO$1001,MATCH(ROWS($AG$2:AG135),$AG$2:$AG$1001,0),MATCH(COLUMNS($AN$1006:BE1006),$AN$1006:$BO$1006,0)), HYPERLINK("#",""), HYPERLINK(CONCATENATE("#Metadata!", ADDRESS(INDEX($AI$2:$AI$1001,MATCH(ROWS($AG$2:AG135),$AG$2:$AG$1001,0),0), INDEX($AN$1004:$BO$1004,1,MATCH(COLUMNS($AN$1006:BE1006),$AN$1006:$BO$1006,0)))),"Fix")))</f>
        <v>0</v>
      </c>
      <c r="T135" s="4">
        <f>IF(OR(INDEX($AH$2:$AH$1001,MATCH(ROWS($AG$2:AG135),$AG$2:$AG$1001,0),1)&gt;=100000,INDEX($AN$1005:$BO$1005,1,MATCH(COLUMNS($AN$1006:BF1006),$AN$1006:$BO$1006,0))&gt;=100000), " ",IF(INDEX($AN$2:$BO$1001,MATCH(ROWS($AG$2:AG135),$AG$2:$AG$1001,0),MATCH(COLUMNS($AN$1006:BF1006),$AN$1006:$BO$1006,0)), HYPERLINK("#",""), HYPERLINK(CONCATENATE("#Metadata!", ADDRESS(INDEX($AI$2:$AI$1001,MATCH(ROWS($AG$2:AG135),$AG$2:$AG$1001,0),0), INDEX($AN$1004:$BO$1004,1,MATCH(COLUMNS($AN$1006:BF1006),$AN$1006:$BO$1006,0)))),"Fix")))</f>
        <v>0</v>
      </c>
      <c r="U135" s="4">
        <f>IF(OR(INDEX($AH$2:$AH$1001,MATCH(ROWS($AG$2:AG135),$AG$2:$AG$1001,0),1)&gt;=100000,INDEX($AN$1005:$BO$1005,1,MATCH(COLUMNS($AN$1006:BG1006),$AN$1006:$BO$1006,0))&gt;=100000), " ",IF(INDEX($AN$2:$BO$1001,MATCH(ROWS($AG$2:AG135),$AG$2:$AG$1001,0),MATCH(COLUMNS($AN$1006:BG1006),$AN$1006:$BO$1006,0)), HYPERLINK("#",""), HYPERLINK(CONCATENATE("#Metadata!", ADDRESS(INDEX($AI$2:$AI$1001,MATCH(ROWS($AG$2:AG135),$AG$2:$AG$1001,0),0), INDEX($AN$1004:$BO$1004,1,MATCH(COLUMNS($AN$1006:BG1006),$AN$1006:$BO$1006,0)))),"Fix")))</f>
        <v>0</v>
      </c>
      <c r="V135" s="4">
        <f>IF(OR(INDEX($AH$2:$AH$1001,MATCH(ROWS($AG$2:AG135),$AG$2:$AG$1001,0),1)&gt;=100000,INDEX($AN$1005:$BO$1005,1,MATCH(COLUMNS($AN$1006:BH1006),$AN$1006:$BO$1006,0))&gt;=100000), " ",IF(INDEX($AN$2:$BO$1001,MATCH(ROWS($AG$2:AG135),$AG$2:$AG$1001,0),MATCH(COLUMNS($AN$1006:BH1006),$AN$1006:$BO$1006,0)), HYPERLINK("#",""), HYPERLINK(CONCATENATE("#Metadata!", ADDRESS(INDEX($AI$2:$AI$1001,MATCH(ROWS($AG$2:AG135),$AG$2:$AG$1001,0),0), INDEX($AN$1004:$BO$1004,1,MATCH(COLUMNS($AN$1006:BH1006),$AN$1006:$BO$1006,0)))),"Fix")))</f>
        <v>0</v>
      </c>
      <c r="W135" s="4">
        <f>IF(OR(INDEX($AH$2:$AH$1001,MATCH(ROWS($AG$2:AG135),$AG$2:$AG$1001,0),1)&gt;=100000,INDEX($AN$1005:$BO$1005,1,MATCH(COLUMNS($AN$1006:BI1006),$AN$1006:$BO$1006,0))&gt;=100000), " ",IF(INDEX($AN$2:$BO$1001,MATCH(ROWS($AG$2:AG135),$AG$2:$AG$1001,0),MATCH(COLUMNS($AN$1006:BI1006),$AN$1006:$BO$1006,0)), HYPERLINK("#",""), HYPERLINK(CONCATENATE("#Metadata!", ADDRESS(INDEX($AI$2:$AI$1001,MATCH(ROWS($AG$2:AG135),$AG$2:$AG$1001,0),0), INDEX($AN$1004:$BO$1004,1,MATCH(COLUMNS($AN$1006:BI1006),$AN$1006:$BO$1006,0)))),"Fix")))</f>
        <v>0</v>
      </c>
      <c r="X135" s="4">
        <f>IF(OR(INDEX($AH$2:$AH$1001,MATCH(ROWS($AG$2:AG135),$AG$2:$AG$1001,0),1)&gt;=100000,INDEX($AN$1005:$BO$1005,1,MATCH(COLUMNS($AN$1006:BJ1006),$AN$1006:$BO$1006,0))&gt;=100000), " ",IF(INDEX($AN$2:$BO$1001,MATCH(ROWS($AG$2:AG135),$AG$2:$AG$1001,0),MATCH(COLUMNS($AN$1006:BJ1006),$AN$1006:$BO$1006,0)), HYPERLINK("#",""), HYPERLINK(CONCATENATE("#Metadata!", ADDRESS(INDEX($AI$2:$AI$1001,MATCH(ROWS($AG$2:AG135),$AG$2:$AG$1001,0),0), INDEX($AN$1004:$BO$1004,1,MATCH(COLUMNS($AN$1006:BJ1006),$AN$1006:$BO$1006,0)))),"Fix")))</f>
        <v>0</v>
      </c>
      <c r="Y135" s="4">
        <f>IF(OR(INDEX($AH$2:$AH$1001,MATCH(ROWS($AG$2:AG135),$AG$2:$AG$1001,0),1)&gt;=100000,INDEX($AN$1005:$BO$1005,1,MATCH(COLUMNS($AN$1006:BK1006),$AN$1006:$BO$1006,0))&gt;=100000), " ",IF(INDEX($AN$2:$BO$1001,MATCH(ROWS($AG$2:AG135),$AG$2:$AG$1001,0),MATCH(COLUMNS($AN$1006:BK1006),$AN$1006:$BO$1006,0)), HYPERLINK("#",""), HYPERLINK(CONCATENATE("#Metadata!", ADDRESS(INDEX($AI$2:$AI$1001,MATCH(ROWS($AG$2:AG135),$AG$2:$AG$1001,0),0), INDEX($AN$1004:$BO$1004,1,MATCH(COLUMNS($AN$1006:BK1006),$AN$1006:$BO$1006,0)))),"Fix")))</f>
        <v>0</v>
      </c>
      <c r="Z135" s="4">
        <f>IF(OR(INDEX($AH$2:$AH$1001,MATCH(ROWS($AG$2:AG135),$AG$2:$AG$1001,0),1)&gt;=100000,INDEX($AN$1005:$BO$1005,1,MATCH(COLUMNS($AN$1006:BL1006),$AN$1006:$BO$1006,0))&gt;=100000), " ",IF(INDEX($AN$2:$BO$1001,MATCH(ROWS($AG$2:AG135),$AG$2:$AG$1001,0),MATCH(COLUMNS($AN$1006:BL1006),$AN$1006:$BO$1006,0)), HYPERLINK("#",""), HYPERLINK(CONCATENATE("#Metadata!", ADDRESS(INDEX($AI$2:$AI$1001,MATCH(ROWS($AG$2:AG135),$AG$2:$AG$1001,0),0), INDEX($AN$1004:$BO$1004,1,MATCH(COLUMNS($AN$1006:BL1006),$AN$1006:$BO$1006,0)))),"Fix")))</f>
        <v>0</v>
      </c>
      <c r="AA135" s="4">
        <f>IF(OR(INDEX($AH$2:$AH$1001,MATCH(ROWS($AG$2:AG135),$AG$2:$AG$1001,0),1)&gt;=100000,INDEX($AN$1005:$BO$1005,1,MATCH(COLUMNS($AN$1006:BM1006),$AN$1006:$BO$1006,0))&gt;=100000), " ",IF(INDEX($AN$2:$BO$1001,MATCH(ROWS($AG$2:AG135),$AG$2:$AG$1001,0),MATCH(COLUMNS($AN$1006:BM1006),$AN$1006:$BO$1006,0)), HYPERLINK("#",""), HYPERLINK(CONCATENATE("#Metadata!", ADDRESS(INDEX($AI$2:$AI$1001,MATCH(ROWS($AG$2:AG135),$AG$2:$AG$1001,0),0), INDEX($AN$1004:$BO$1004,1,MATCH(COLUMNS($AN$1006:BM1006),$AN$1006:$BO$1006,0)))),"Fix")))</f>
        <v>0</v>
      </c>
      <c r="AB135" s="4">
        <f>IF(OR(INDEX($AH$2:$AH$1001,MATCH(ROWS($AG$2:AG135),$AG$2:$AG$1001,0),1)&gt;=100000,INDEX($AN$1005:$BO$1005,1,MATCH(COLUMNS($AN$1006:BN1006),$AN$1006:$BO$1006,0))&gt;=100000), " ",IF(INDEX($AN$2:$BO$1001,MATCH(ROWS($AG$2:AG135),$AG$2:$AG$1001,0),MATCH(COLUMNS($AN$1006:BN1006),$AN$1006:$BO$1006,0)), HYPERLINK("#",""), HYPERLINK(CONCATENATE("#Metadata!", ADDRESS(INDEX($AI$2:$AI$1001,MATCH(ROWS($AG$2:AG135),$AG$2:$AG$1001,0),0), INDEX($AN$1004:$BO$1004,1,MATCH(COLUMNS($AN$1006:BN1006),$AN$1006:$BO$1006,0)))),"Fix")))</f>
        <v>0</v>
      </c>
      <c r="AC135" s="4">
        <f>IF(OR(INDEX($AH$2:$AH$1001,MATCH(ROWS($AG$2:AG135),$AG$2:$AG$1001,0),1)&gt;=100000,INDEX($AN$1005:$BO$1005,1,MATCH(COLUMNS($AN$1006:BO1006),$AN$1006:$BO$1006,0))&gt;=100000), " ",IF(INDEX($AN$2:$BO$1001,MATCH(ROWS($AG$2:AG135),$AG$2:$AG$1001,0),MATCH(COLUMNS($AN$1006:BO1006),$AN$1006:$BO$1006,0)), HYPERLINK("#",""), HYPERLINK(CONCATENATE("#Metadata!", ADDRESS(INDEX($AI$2:$AI$1001,MATCH(ROWS($AG$2:AG135),$AG$2:$AG$1001,0),0), INDEX($AN$1004:$BO$1004,1,MATCH(COLUMNS($AN$1006:BO1006),$AN$1006:$BO$1006,0)))),"Fix")))</f>
        <v>0</v>
      </c>
      <c r="AG135">
        <v>0</v>
      </c>
      <c r="AH135">
        <v>0</v>
      </c>
      <c r="AI135">
        <v>0</v>
      </c>
      <c r="AJ135">
        <f>IF(AK135,TRUE,AND(AN135:BO135))</f>
        <v>0</v>
      </c>
      <c r="AK135">
        <f>COUNTBLANK(Metadata!B135:AC135)=COLUMNS(Metadata!B135:AC135)</f>
        <v>0</v>
      </c>
      <c r="AL135">
        <v>0</v>
      </c>
      <c r="AN135">
        <f>AND(IF(Metadata!B135="",FALSE,TRUE),COUNTIF(Metadata!B:B, Metadata!B135) = 1,NOT(ISERROR(SUMPRODUCT(SEARCH(MID(Metadata!B135,ROW(INDIRECT("1:"&amp;LEN(Metadata!B135))), 1),"0123456789abcdefghijklmnopqrstuvwxyzABCDEFGHIJKLMNOPQRSTUVWXYZ.")))))</f>
        <v>0</v>
      </c>
      <c r="AO135">
        <f>IF(Metadata!C135="",FALSE,TRUE)</f>
        <v>0</v>
      </c>
      <c r="AP135">
        <f>IF(Metadata!D135="",FALSE,TRUE)</f>
        <v>0</v>
      </c>
      <c r="AQ135">
        <f>OR(AND(IF(Metadata!E135="",FALSE,TRUE),OR(exact(Metadata!E135,"not collected"),exact(Metadata!E135,"not provided"),exact(Metadata!E135,"restricted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R135">
        <f>IF(Metadata!F135="",FALSE,TRUE)</f>
        <v>0</v>
      </c>
      <c r="AS135">
        <f>OR(AND(IF(Metadata!G135="",FALSE,TRUE),OR(exact(Metadata!G135,"not collected"),exact(Metadata!G135,"not provided"))),AND(IF(Metadata!G135="",FALSE,TRUE),OR(exact(Metadata!G135,"TRUE"),exact(Metadata!G135,"FALSE"))))</f>
        <v>0</v>
      </c>
      <c r="AT135">
        <f>OR(AND(IF(Metadata!H135="",FALSE,TRUE),OR(exact(Metadata!H135,"not collected"),exact(Metadata!H135,"not provided"),exact(Metadata!H135,"restricted access"))),AND(IF(Metadata!H135="",FALSE,ISNUMBER(VALUE(Metadata!H135))),Metadata!H135&gt;=-413.0))</f>
        <v>0</v>
      </c>
      <c r="AU135">
        <f>AND(IF(Metadata!I135="",FALSE,TRUE),exact(Metadata!I135,"meters"))</f>
        <v>0</v>
      </c>
      <c r="AV135">
        <f>AND(IF(Metadata!J135="",FALSE,TRUE),OR(exact(Metadata!J135,"Host-associated"),exact(Metadata!J135,"Free-living")))</f>
        <v>0</v>
      </c>
      <c r="AW135">
        <f>AND(IF(Metadata!K135="",FALSE,TRUE),OR(exact(Metadata!K135,"Animal"),exact(Metadata!K135,"Fungus"),exact(Metadata!K135,"Plant"),exact(Metadata!K135,"Saline"),exact(Metadata!K135,"Non-saline")))</f>
        <v>0</v>
      </c>
      <c r="AX135">
        <f>AND(IF(Metadata!L135="",FALSE,TRUE),OR(exact(Metadata!L135,"Plant secretion"),exact(Metadata!L135,"Plant rhizosphere"),exact(Metadata!L135,"Plant surface"),exact(Metadata!L135,"Plant corpus"),exact(Metadata!L135,"Fungus surface"),exact(Metadata!L135,"Fungus corpus"),exact(Metadata!L135,"Animal surface"),exact(Metadata!L135,"Animal proximal gut"),exact(Metadata!L135,"Animal corpus"),exact(Metadata!L135,"Animal distal gut"),exact(Metadata!L135,"Animal secretion"),exact(Metadata!L135,"Sub-surface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Y135">
        <f>IF(Metadata!M135="",FALSE,TRUE)</f>
        <v>0</v>
      </c>
      <c r="AZ135">
        <f>IF(Metadata!N135="",FALSE,TRUE)</f>
        <v>0</v>
      </c>
      <c r="BA135">
        <f>IF(Metadata!O135="",FALSE,TRUE)</f>
        <v>0</v>
      </c>
      <c r="BB135">
        <f>OR(AND(IF(Metadata!P135="",FALSE,TRUE),OR(exact(Metadata!P135,"not collected"),exact(Metadata!P135,"not provided"),exact(Metadata!P135,"restricted access"))),AND(IF(Metadata!P135="",FALSE,TRUE),OR(exact(Metadata!P135,"air"),exact(Metadata!P135,"built environment"),exact(Metadata!P135,"host-associated"),exact(Metadata!P135,"human-associated"),exact(Metadata!P135,"human-skin"),exact(Metadata!P135,"human-oral"),exact(Metadata!P135,"human-gut"),exact(Metadata!P135,"human-vaginal"),exact(Metadata!P135,"microbial mat/biofilm"),exact(Metadata!P135,"misc environment"),exact(Metadata!P135,"plant-associated"),exact(Metadata!P135,"sediment"),exact(Metadata!P135,"soil"),exact(Metadata!P135,"wastewater/sludge"),exact(Metadata!P135,"water"))))</f>
        <v>0</v>
      </c>
      <c r="BC135">
        <f>IF(Metadata!Q135="",FALSE,TRUE)</f>
        <v>0</v>
      </c>
      <c r="BD135">
        <f>IF(Metadata!R135="",FALSE,TRUE)</f>
        <v>0</v>
      </c>
      <c r="BE135">
        <f>OR(AND(IF(Metadata!S135="",FALSE,TRUE),OR(exact(Metadata!S135,"not collected"),exact(Metadata!S135,"not provided"),exact(Metadata!S135,"restricted access"))),AND(IF(Metadata!S135="",FALSE,ISNUMBER(VALUE(Metadata!S135))),Metadata!S135&gt;=-90.00,Metadata!S135&lt;=90.00))</f>
        <v>0</v>
      </c>
      <c r="BF135">
        <f>AND(IF(Metadata!T135="",FALSE,TRUE),exact(Metadata!T135,"Decimal degrees"))</f>
        <v>0</v>
      </c>
      <c r="BG135">
        <f>OR(AND(IF(Metadata!U135="",FALSE,TRUE),OR(exact(Metadata!U135,"not collected"),exact(Metadata!U135,"not provided"),exact(Metadata!U135,"restricted access"))),AND(IF(Metadata!U135="",FALSE,ISNUMBER(VALUE(Metadata!U135))),Metadata!U135&gt;=-180.00,Metadata!U135&lt;=180.00))</f>
        <v>0</v>
      </c>
      <c r="BH135">
        <f>AND(IF(Metadata!V135="",FALSE,TRUE),exact(Metadata!V135,"Decimal degrees"))</f>
        <v>0</v>
      </c>
      <c r="BI135">
        <f>IF(Metadata!W135="",FALSE,TRUE)</f>
        <v>0</v>
      </c>
      <c r="BJ135">
        <f>OR(AND(IF(Metadata!X135="",FALSE,TRUE),OR(exact(Metadata!X135,"not collected"),exact(Metadata!X135,"not provided"),exact(Metadata!X135,"restricted access"))),AND(IF(Metadata!X135="",FALSE,TRUE),OR(exact(Metadata!X135,"TRUE"),exact(Metadata!X135,"FALSE"))))</f>
        <v>0</v>
      </c>
      <c r="BK135">
        <f>AND(IF(Metadata!Y135="",FALSE,TRUE),exact(Metadata!Y135,"other"))</f>
        <v>0</v>
      </c>
      <c r="BL135">
        <f>IF(Metadata!Z135="",FALSE,TRUE)</f>
        <v>0</v>
      </c>
      <c r="BM135">
        <f>OR(AND(IF(Metadata!AA135="",FALSE,TRUE),OR(exact(Metadata!AA135,"not collected"),exact(Metadata!AA135,"not provided"))),AND(IF(Metadata!AA135="",FALSE,IF(ISERROR(INT(Metadata!AA135)),FALSE,INT(Metadata!AA135)=Metadata!AA135)),Metadata!AA135&gt;0))</f>
        <v>0</v>
      </c>
      <c r="BN135">
        <f>AND(IF(Metadata!AB135="",FALSE,TRUE),exact(Metadata!AB135,"Not applicable"))</f>
        <v>0</v>
      </c>
      <c r="BO135">
        <f>IF(Metadata!AC135="",FALSE,TRUE)</f>
        <v>0</v>
      </c>
    </row>
    <row r="136" spans="1:67">
      <c r="A136" s="5">
        <f>IF(B136=" "," ",HYPERLINK(CONCATENATE("#metadata!",ADDRESS(INDEX($AI$2:$AI$1001,MATCH(ROWS($AG$2:AG136),$AG$2:$AG$1001,0),0),1)),INDEX($AL$2:$AL$1001,MATCH(ROWS($AG$2:AG136),$AG$2:$AG$1001,0),0)))</f>
        <v>0</v>
      </c>
      <c r="B136" s="4">
        <f>IF(OR(INDEX($AH$2:$AH$1001,MATCH(ROWS($AG$2:AG136),$AG$2:$AG$1001,0),1)&gt;=100000,INDEX($AN$1005:$BO$1005,1,MATCH(COLUMNS($AN$1006:AN1006),$AN$1006:$BO$1006,0))&gt;=100000), " ",IF(INDEX($AN$2:$BO$1001,MATCH(ROWS($AG$2:AG136),$AG$2:$AG$1001,0),MATCH(COLUMNS($AN$1006:AN1006),$AN$1006:$BO$1006,0)), HYPERLINK("#",""), HYPERLINK(CONCATENATE("#Metadata!", ADDRESS(INDEX($AI$2:$AI$1001,MATCH(ROWS($AG$2:AG136),$AG$2:$AG$1001,0),0), INDEX($AN$1004:$BO$1004,1,MATCH(COLUMNS($AN$1006:AN1006),$AN$1006:$BO$1006,0)))),"Fix")))</f>
        <v>0</v>
      </c>
      <c r="C136" s="4">
        <f>IF(OR(INDEX($AH$2:$AH$1001,MATCH(ROWS($AG$2:AG136),$AG$2:$AG$1001,0),1)&gt;=100000,INDEX($AN$1005:$BO$1005,1,MATCH(COLUMNS($AN$1006:AO1006),$AN$1006:$BO$1006,0))&gt;=100000), " ",IF(INDEX($AN$2:$BO$1001,MATCH(ROWS($AG$2:AG136),$AG$2:$AG$1001,0),MATCH(COLUMNS($AN$1006:AO1006),$AN$1006:$BO$1006,0)), HYPERLINK("#",""), HYPERLINK(CONCATENATE("#Metadata!", ADDRESS(INDEX($AI$2:$AI$1001,MATCH(ROWS($AG$2:AG136),$AG$2:$AG$1001,0),0), INDEX($AN$1004:$BO$1004,1,MATCH(COLUMNS($AN$1006:AO1006),$AN$1006:$BO$1006,0)))),"Fix")))</f>
        <v>0</v>
      </c>
      <c r="D136" s="4">
        <f>IF(OR(INDEX($AH$2:$AH$1001,MATCH(ROWS($AG$2:AG136),$AG$2:$AG$1001,0),1)&gt;=100000,INDEX($AN$1005:$BO$1005,1,MATCH(COLUMNS($AN$1006:AP1006),$AN$1006:$BO$1006,0))&gt;=100000), " ",IF(INDEX($AN$2:$BO$1001,MATCH(ROWS($AG$2:AG136),$AG$2:$AG$1001,0),MATCH(COLUMNS($AN$1006:AP1006),$AN$1006:$BO$1006,0)), HYPERLINK("#",""), HYPERLINK(CONCATENATE("#Metadata!", ADDRESS(INDEX($AI$2:$AI$1001,MATCH(ROWS($AG$2:AG136),$AG$2:$AG$1001,0),0), INDEX($AN$1004:$BO$1004,1,MATCH(COLUMNS($AN$1006:AP1006),$AN$1006:$BO$1006,0)))),"Fix")))</f>
        <v>0</v>
      </c>
      <c r="E136" s="4">
        <f>IF(OR(INDEX($AH$2:$AH$1001,MATCH(ROWS($AG$2:AG136),$AG$2:$AG$1001,0),1)&gt;=100000,INDEX($AN$1005:$BO$1005,1,MATCH(COLUMNS($AN$1006:AQ1006),$AN$1006:$BO$1006,0))&gt;=100000), " ",IF(INDEX($AN$2:$BO$1001,MATCH(ROWS($AG$2:AG136),$AG$2:$AG$1001,0),MATCH(COLUMNS($AN$1006:AQ1006),$AN$1006:$BO$1006,0)), HYPERLINK("#",""), HYPERLINK(CONCATENATE("#Metadata!", ADDRESS(INDEX($AI$2:$AI$1001,MATCH(ROWS($AG$2:AG136),$AG$2:$AG$1001,0),0), INDEX($AN$1004:$BO$1004,1,MATCH(COLUMNS($AN$1006:AQ1006),$AN$1006:$BO$1006,0)))),"Fix")))</f>
        <v>0</v>
      </c>
      <c r="F136" s="4">
        <f>IF(OR(INDEX($AH$2:$AH$1001,MATCH(ROWS($AG$2:AG136),$AG$2:$AG$1001,0),1)&gt;=100000,INDEX($AN$1005:$BO$1005,1,MATCH(COLUMNS($AN$1006:AR1006),$AN$1006:$BO$1006,0))&gt;=100000), " ",IF(INDEX($AN$2:$BO$1001,MATCH(ROWS($AG$2:AG136),$AG$2:$AG$1001,0),MATCH(COLUMNS($AN$1006:AR1006),$AN$1006:$BO$1006,0)), HYPERLINK("#",""), HYPERLINK(CONCATENATE("#Metadata!", ADDRESS(INDEX($AI$2:$AI$1001,MATCH(ROWS($AG$2:AG136),$AG$2:$AG$1001,0),0), INDEX($AN$1004:$BO$1004,1,MATCH(COLUMNS($AN$1006:AR1006),$AN$1006:$BO$1006,0)))),"Fix")))</f>
        <v>0</v>
      </c>
      <c r="G136" s="4">
        <f>IF(OR(INDEX($AH$2:$AH$1001,MATCH(ROWS($AG$2:AG136),$AG$2:$AG$1001,0),1)&gt;=100000,INDEX($AN$1005:$BO$1005,1,MATCH(COLUMNS($AN$1006:AS1006),$AN$1006:$BO$1006,0))&gt;=100000), " ",IF(INDEX($AN$2:$BO$1001,MATCH(ROWS($AG$2:AG136),$AG$2:$AG$1001,0),MATCH(COLUMNS($AN$1006:AS1006),$AN$1006:$BO$1006,0)), HYPERLINK("#",""), HYPERLINK(CONCATENATE("#Metadata!", ADDRESS(INDEX($AI$2:$AI$1001,MATCH(ROWS($AG$2:AG136),$AG$2:$AG$1001,0),0), INDEX($AN$1004:$BO$1004,1,MATCH(COLUMNS($AN$1006:AS1006),$AN$1006:$BO$1006,0)))),"Fix")))</f>
        <v>0</v>
      </c>
      <c r="H136" s="4">
        <f>IF(OR(INDEX($AH$2:$AH$1001,MATCH(ROWS($AG$2:AG136),$AG$2:$AG$1001,0),1)&gt;=100000,INDEX($AN$1005:$BO$1005,1,MATCH(COLUMNS($AN$1006:AT1006),$AN$1006:$BO$1006,0))&gt;=100000), " ",IF(INDEX($AN$2:$BO$1001,MATCH(ROWS($AG$2:AG136),$AG$2:$AG$1001,0),MATCH(COLUMNS($AN$1006:AT1006),$AN$1006:$BO$1006,0)), HYPERLINK("#",""), HYPERLINK(CONCATENATE("#Metadata!", ADDRESS(INDEX($AI$2:$AI$1001,MATCH(ROWS($AG$2:AG136),$AG$2:$AG$1001,0),0), INDEX($AN$1004:$BO$1004,1,MATCH(COLUMNS($AN$1006:AT1006),$AN$1006:$BO$1006,0)))),"Fix")))</f>
        <v>0</v>
      </c>
      <c r="I136" s="4">
        <f>IF(OR(INDEX($AH$2:$AH$1001,MATCH(ROWS($AG$2:AG136),$AG$2:$AG$1001,0),1)&gt;=100000,INDEX($AN$1005:$BO$1005,1,MATCH(COLUMNS($AN$1006:AU1006),$AN$1006:$BO$1006,0))&gt;=100000), " ",IF(INDEX($AN$2:$BO$1001,MATCH(ROWS($AG$2:AG136),$AG$2:$AG$1001,0),MATCH(COLUMNS($AN$1006:AU1006),$AN$1006:$BO$1006,0)), HYPERLINK("#",""), HYPERLINK(CONCATENATE("#Metadata!", ADDRESS(INDEX($AI$2:$AI$1001,MATCH(ROWS($AG$2:AG136),$AG$2:$AG$1001,0),0), INDEX($AN$1004:$BO$1004,1,MATCH(COLUMNS($AN$1006:AU1006),$AN$1006:$BO$1006,0)))),"Fix")))</f>
        <v>0</v>
      </c>
      <c r="J136" s="4">
        <f>IF(OR(INDEX($AH$2:$AH$1001,MATCH(ROWS($AG$2:AG136),$AG$2:$AG$1001,0),1)&gt;=100000,INDEX($AN$1005:$BO$1005,1,MATCH(COLUMNS($AN$1006:AV1006),$AN$1006:$BO$1006,0))&gt;=100000), " ",IF(INDEX($AN$2:$BO$1001,MATCH(ROWS($AG$2:AG136),$AG$2:$AG$1001,0),MATCH(COLUMNS($AN$1006:AV1006),$AN$1006:$BO$1006,0)), HYPERLINK("#",""), HYPERLINK(CONCATENATE("#Metadata!", ADDRESS(INDEX($AI$2:$AI$1001,MATCH(ROWS($AG$2:AG136),$AG$2:$AG$1001,0),0), INDEX($AN$1004:$BO$1004,1,MATCH(COLUMNS($AN$1006:AV1006),$AN$1006:$BO$1006,0)))),"Fix")))</f>
        <v>0</v>
      </c>
      <c r="K136" s="4">
        <f>IF(OR(INDEX($AH$2:$AH$1001,MATCH(ROWS($AG$2:AG136),$AG$2:$AG$1001,0),1)&gt;=100000,INDEX($AN$1005:$BO$1005,1,MATCH(COLUMNS($AN$1006:AW1006),$AN$1006:$BO$1006,0))&gt;=100000), " ",IF(INDEX($AN$2:$BO$1001,MATCH(ROWS($AG$2:AG136),$AG$2:$AG$1001,0),MATCH(COLUMNS($AN$1006:AW1006),$AN$1006:$BO$1006,0)), HYPERLINK("#",""), HYPERLINK(CONCATENATE("#Metadata!", ADDRESS(INDEX($AI$2:$AI$1001,MATCH(ROWS($AG$2:AG136),$AG$2:$AG$1001,0),0), INDEX($AN$1004:$BO$1004,1,MATCH(COLUMNS($AN$1006:AW1006),$AN$1006:$BO$1006,0)))),"Fix")))</f>
        <v>0</v>
      </c>
      <c r="L136" s="4">
        <f>IF(OR(INDEX($AH$2:$AH$1001,MATCH(ROWS($AG$2:AG136),$AG$2:$AG$1001,0),1)&gt;=100000,INDEX($AN$1005:$BO$1005,1,MATCH(COLUMNS($AN$1006:AX1006),$AN$1006:$BO$1006,0))&gt;=100000), " ",IF(INDEX($AN$2:$BO$1001,MATCH(ROWS($AG$2:AG136),$AG$2:$AG$1001,0),MATCH(COLUMNS($AN$1006:AX1006),$AN$1006:$BO$1006,0)), HYPERLINK("#",""), HYPERLINK(CONCATENATE("#Metadata!", ADDRESS(INDEX($AI$2:$AI$1001,MATCH(ROWS($AG$2:AG136),$AG$2:$AG$1001,0),0), INDEX($AN$1004:$BO$1004,1,MATCH(COLUMNS($AN$1006:AX1006),$AN$1006:$BO$1006,0)))),"Fix")))</f>
        <v>0</v>
      </c>
      <c r="M136" s="4">
        <f>IF(OR(INDEX($AH$2:$AH$1001,MATCH(ROWS($AG$2:AG136),$AG$2:$AG$1001,0),1)&gt;=100000,INDEX($AN$1005:$BO$1005,1,MATCH(COLUMNS($AN$1006:AY1006),$AN$1006:$BO$1006,0))&gt;=100000), " ",IF(INDEX($AN$2:$BO$1001,MATCH(ROWS($AG$2:AG136),$AG$2:$AG$1001,0),MATCH(COLUMNS($AN$1006:AY1006),$AN$1006:$BO$1006,0)), HYPERLINK("#",""), HYPERLINK(CONCATENATE("#Metadata!", ADDRESS(INDEX($AI$2:$AI$1001,MATCH(ROWS($AG$2:AG136),$AG$2:$AG$1001,0),0), INDEX($AN$1004:$BO$1004,1,MATCH(COLUMNS($AN$1006:AY1006),$AN$1006:$BO$1006,0)))),"Fix")))</f>
        <v>0</v>
      </c>
      <c r="N136" s="4">
        <f>IF(OR(INDEX($AH$2:$AH$1001,MATCH(ROWS($AG$2:AG136),$AG$2:$AG$1001,0),1)&gt;=100000,INDEX($AN$1005:$BO$1005,1,MATCH(COLUMNS($AN$1006:AZ1006),$AN$1006:$BO$1006,0))&gt;=100000), " ",IF(INDEX($AN$2:$BO$1001,MATCH(ROWS($AG$2:AG136),$AG$2:$AG$1001,0),MATCH(COLUMNS($AN$1006:AZ1006),$AN$1006:$BO$1006,0)), HYPERLINK("#",""), HYPERLINK(CONCATENATE("#Metadata!", ADDRESS(INDEX($AI$2:$AI$1001,MATCH(ROWS($AG$2:AG136),$AG$2:$AG$1001,0),0), INDEX($AN$1004:$BO$1004,1,MATCH(COLUMNS($AN$1006:AZ1006),$AN$1006:$BO$1006,0)))),"Fix")))</f>
        <v>0</v>
      </c>
      <c r="O136" s="4">
        <f>IF(OR(INDEX($AH$2:$AH$1001,MATCH(ROWS($AG$2:AG136),$AG$2:$AG$1001,0),1)&gt;=100000,INDEX($AN$1005:$BO$1005,1,MATCH(COLUMNS($AN$1006:BA1006),$AN$1006:$BO$1006,0))&gt;=100000), " ",IF(INDEX($AN$2:$BO$1001,MATCH(ROWS($AG$2:AG136),$AG$2:$AG$1001,0),MATCH(COLUMNS($AN$1006:BA1006),$AN$1006:$BO$1006,0)), HYPERLINK("#",""), HYPERLINK(CONCATENATE("#Metadata!", ADDRESS(INDEX($AI$2:$AI$1001,MATCH(ROWS($AG$2:AG136),$AG$2:$AG$1001,0),0), INDEX($AN$1004:$BO$1004,1,MATCH(COLUMNS($AN$1006:BA1006),$AN$1006:$BO$1006,0)))),"Fix")))</f>
        <v>0</v>
      </c>
      <c r="P136" s="4">
        <f>IF(OR(INDEX($AH$2:$AH$1001,MATCH(ROWS($AG$2:AG136),$AG$2:$AG$1001,0),1)&gt;=100000,INDEX($AN$1005:$BO$1005,1,MATCH(COLUMNS($AN$1006:BB1006),$AN$1006:$BO$1006,0))&gt;=100000), " ",IF(INDEX($AN$2:$BO$1001,MATCH(ROWS($AG$2:AG136),$AG$2:$AG$1001,0),MATCH(COLUMNS($AN$1006:BB1006),$AN$1006:$BO$1006,0)), HYPERLINK("#",""), HYPERLINK(CONCATENATE("#Metadata!", ADDRESS(INDEX($AI$2:$AI$1001,MATCH(ROWS($AG$2:AG136),$AG$2:$AG$1001,0),0), INDEX($AN$1004:$BO$1004,1,MATCH(COLUMNS($AN$1006:BB1006),$AN$1006:$BO$1006,0)))),"Fix")))</f>
        <v>0</v>
      </c>
      <c r="Q136" s="4">
        <f>IF(OR(INDEX($AH$2:$AH$1001,MATCH(ROWS($AG$2:AG136),$AG$2:$AG$1001,0),1)&gt;=100000,INDEX($AN$1005:$BO$1005,1,MATCH(COLUMNS($AN$1006:BC1006),$AN$1006:$BO$1006,0))&gt;=100000), " ",IF(INDEX($AN$2:$BO$1001,MATCH(ROWS($AG$2:AG136),$AG$2:$AG$1001,0),MATCH(COLUMNS($AN$1006:BC1006),$AN$1006:$BO$1006,0)), HYPERLINK("#",""), HYPERLINK(CONCATENATE("#Metadata!", ADDRESS(INDEX($AI$2:$AI$1001,MATCH(ROWS($AG$2:AG136),$AG$2:$AG$1001,0),0), INDEX($AN$1004:$BO$1004,1,MATCH(COLUMNS($AN$1006:BC1006),$AN$1006:$BO$1006,0)))),"Fix")))</f>
        <v>0</v>
      </c>
      <c r="R136" s="4">
        <f>IF(OR(INDEX($AH$2:$AH$1001,MATCH(ROWS($AG$2:AG136),$AG$2:$AG$1001,0),1)&gt;=100000,INDEX($AN$1005:$BO$1005,1,MATCH(COLUMNS($AN$1006:BD1006),$AN$1006:$BO$1006,0))&gt;=100000), " ",IF(INDEX($AN$2:$BO$1001,MATCH(ROWS($AG$2:AG136),$AG$2:$AG$1001,0),MATCH(COLUMNS($AN$1006:BD1006),$AN$1006:$BO$1006,0)), HYPERLINK("#",""), HYPERLINK(CONCATENATE("#Metadata!", ADDRESS(INDEX($AI$2:$AI$1001,MATCH(ROWS($AG$2:AG136),$AG$2:$AG$1001,0),0), INDEX($AN$1004:$BO$1004,1,MATCH(COLUMNS($AN$1006:BD1006),$AN$1006:$BO$1006,0)))),"Fix")))</f>
        <v>0</v>
      </c>
      <c r="S136" s="4">
        <f>IF(OR(INDEX($AH$2:$AH$1001,MATCH(ROWS($AG$2:AG136),$AG$2:$AG$1001,0),1)&gt;=100000,INDEX($AN$1005:$BO$1005,1,MATCH(COLUMNS($AN$1006:BE1006),$AN$1006:$BO$1006,0))&gt;=100000), " ",IF(INDEX($AN$2:$BO$1001,MATCH(ROWS($AG$2:AG136),$AG$2:$AG$1001,0),MATCH(COLUMNS($AN$1006:BE1006),$AN$1006:$BO$1006,0)), HYPERLINK("#",""), HYPERLINK(CONCATENATE("#Metadata!", ADDRESS(INDEX($AI$2:$AI$1001,MATCH(ROWS($AG$2:AG136),$AG$2:$AG$1001,0),0), INDEX($AN$1004:$BO$1004,1,MATCH(COLUMNS($AN$1006:BE1006),$AN$1006:$BO$1006,0)))),"Fix")))</f>
        <v>0</v>
      </c>
      <c r="T136" s="4">
        <f>IF(OR(INDEX($AH$2:$AH$1001,MATCH(ROWS($AG$2:AG136),$AG$2:$AG$1001,0),1)&gt;=100000,INDEX($AN$1005:$BO$1005,1,MATCH(COLUMNS($AN$1006:BF1006),$AN$1006:$BO$1006,0))&gt;=100000), " ",IF(INDEX($AN$2:$BO$1001,MATCH(ROWS($AG$2:AG136),$AG$2:$AG$1001,0),MATCH(COLUMNS($AN$1006:BF1006),$AN$1006:$BO$1006,0)), HYPERLINK("#",""), HYPERLINK(CONCATENATE("#Metadata!", ADDRESS(INDEX($AI$2:$AI$1001,MATCH(ROWS($AG$2:AG136),$AG$2:$AG$1001,0),0), INDEX($AN$1004:$BO$1004,1,MATCH(COLUMNS($AN$1006:BF1006),$AN$1006:$BO$1006,0)))),"Fix")))</f>
        <v>0</v>
      </c>
      <c r="U136" s="4">
        <f>IF(OR(INDEX($AH$2:$AH$1001,MATCH(ROWS($AG$2:AG136),$AG$2:$AG$1001,0),1)&gt;=100000,INDEX($AN$1005:$BO$1005,1,MATCH(COLUMNS($AN$1006:BG1006),$AN$1006:$BO$1006,0))&gt;=100000), " ",IF(INDEX($AN$2:$BO$1001,MATCH(ROWS($AG$2:AG136),$AG$2:$AG$1001,0),MATCH(COLUMNS($AN$1006:BG1006),$AN$1006:$BO$1006,0)), HYPERLINK("#",""), HYPERLINK(CONCATENATE("#Metadata!", ADDRESS(INDEX($AI$2:$AI$1001,MATCH(ROWS($AG$2:AG136),$AG$2:$AG$1001,0),0), INDEX($AN$1004:$BO$1004,1,MATCH(COLUMNS($AN$1006:BG1006),$AN$1006:$BO$1006,0)))),"Fix")))</f>
        <v>0</v>
      </c>
      <c r="V136" s="4">
        <f>IF(OR(INDEX($AH$2:$AH$1001,MATCH(ROWS($AG$2:AG136),$AG$2:$AG$1001,0),1)&gt;=100000,INDEX($AN$1005:$BO$1005,1,MATCH(COLUMNS($AN$1006:BH1006),$AN$1006:$BO$1006,0))&gt;=100000), " ",IF(INDEX($AN$2:$BO$1001,MATCH(ROWS($AG$2:AG136),$AG$2:$AG$1001,0),MATCH(COLUMNS($AN$1006:BH1006),$AN$1006:$BO$1006,0)), HYPERLINK("#",""), HYPERLINK(CONCATENATE("#Metadata!", ADDRESS(INDEX($AI$2:$AI$1001,MATCH(ROWS($AG$2:AG136),$AG$2:$AG$1001,0),0), INDEX($AN$1004:$BO$1004,1,MATCH(COLUMNS($AN$1006:BH1006),$AN$1006:$BO$1006,0)))),"Fix")))</f>
        <v>0</v>
      </c>
      <c r="W136" s="4">
        <f>IF(OR(INDEX($AH$2:$AH$1001,MATCH(ROWS($AG$2:AG136),$AG$2:$AG$1001,0),1)&gt;=100000,INDEX($AN$1005:$BO$1005,1,MATCH(COLUMNS($AN$1006:BI1006),$AN$1006:$BO$1006,0))&gt;=100000), " ",IF(INDEX($AN$2:$BO$1001,MATCH(ROWS($AG$2:AG136),$AG$2:$AG$1001,0),MATCH(COLUMNS($AN$1006:BI1006),$AN$1006:$BO$1006,0)), HYPERLINK("#",""), HYPERLINK(CONCATENATE("#Metadata!", ADDRESS(INDEX($AI$2:$AI$1001,MATCH(ROWS($AG$2:AG136),$AG$2:$AG$1001,0),0), INDEX($AN$1004:$BO$1004,1,MATCH(COLUMNS($AN$1006:BI1006),$AN$1006:$BO$1006,0)))),"Fix")))</f>
        <v>0</v>
      </c>
      <c r="X136" s="4">
        <f>IF(OR(INDEX($AH$2:$AH$1001,MATCH(ROWS($AG$2:AG136),$AG$2:$AG$1001,0),1)&gt;=100000,INDEX($AN$1005:$BO$1005,1,MATCH(COLUMNS($AN$1006:BJ1006),$AN$1006:$BO$1006,0))&gt;=100000), " ",IF(INDEX($AN$2:$BO$1001,MATCH(ROWS($AG$2:AG136),$AG$2:$AG$1001,0),MATCH(COLUMNS($AN$1006:BJ1006),$AN$1006:$BO$1006,0)), HYPERLINK("#",""), HYPERLINK(CONCATENATE("#Metadata!", ADDRESS(INDEX($AI$2:$AI$1001,MATCH(ROWS($AG$2:AG136),$AG$2:$AG$1001,0),0), INDEX($AN$1004:$BO$1004,1,MATCH(COLUMNS($AN$1006:BJ1006),$AN$1006:$BO$1006,0)))),"Fix")))</f>
        <v>0</v>
      </c>
      <c r="Y136" s="4">
        <f>IF(OR(INDEX($AH$2:$AH$1001,MATCH(ROWS($AG$2:AG136),$AG$2:$AG$1001,0),1)&gt;=100000,INDEX($AN$1005:$BO$1005,1,MATCH(COLUMNS($AN$1006:BK1006),$AN$1006:$BO$1006,0))&gt;=100000), " ",IF(INDEX($AN$2:$BO$1001,MATCH(ROWS($AG$2:AG136),$AG$2:$AG$1001,0),MATCH(COLUMNS($AN$1006:BK1006),$AN$1006:$BO$1006,0)), HYPERLINK("#",""), HYPERLINK(CONCATENATE("#Metadata!", ADDRESS(INDEX($AI$2:$AI$1001,MATCH(ROWS($AG$2:AG136),$AG$2:$AG$1001,0),0), INDEX($AN$1004:$BO$1004,1,MATCH(COLUMNS($AN$1006:BK1006),$AN$1006:$BO$1006,0)))),"Fix")))</f>
        <v>0</v>
      </c>
      <c r="Z136" s="4">
        <f>IF(OR(INDEX($AH$2:$AH$1001,MATCH(ROWS($AG$2:AG136),$AG$2:$AG$1001,0),1)&gt;=100000,INDEX($AN$1005:$BO$1005,1,MATCH(COLUMNS($AN$1006:BL1006),$AN$1006:$BO$1006,0))&gt;=100000), " ",IF(INDEX($AN$2:$BO$1001,MATCH(ROWS($AG$2:AG136),$AG$2:$AG$1001,0),MATCH(COLUMNS($AN$1006:BL1006),$AN$1006:$BO$1006,0)), HYPERLINK("#",""), HYPERLINK(CONCATENATE("#Metadata!", ADDRESS(INDEX($AI$2:$AI$1001,MATCH(ROWS($AG$2:AG136),$AG$2:$AG$1001,0),0), INDEX($AN$1004:$BO$1004,1,MATCH(COLUMNS($AN$1006:BL1006),$AN$1006:$BO$1006,0)))),"Fix")))</f>
        <v>0</v>
      </c>
      <c r="AA136" s="4">
        <f>IF(OR(INDEX($AH$2:$AH$1001,MATCH(ROWS($AG$2:AG136),$AG$2:$AG$1001,0),1)&gt;=100000,INDEX($AN$1005:$BO$1005,1,MATCH(COLUMNS($AN$1006:BM1006),$AN$1006:$BO$1006,0))&gt;=100000), " ",IF(INDEX($AN$2:$BO$1001,MATCH(ROWS($AG$2:AG136),$AG$2:$AG$1001,0),MATCH(COLUMNS($AN$1006:BM1006),$AN$1006:$BO$1006,0)), HYPERLINK("#",""), HYPERLINK(CONCATENATE("#Metadata!", ADDRESS(INDEX($AI$2:$AI$1001,MATCH(ROWS($AG$2:AG136),$AG$2:$AG$1001,0),0), INDEX($AN$1004:$BO$1004,1,MATCH(COLUMNS($AN$1006:BM1006),$AN$1006:$BO$1006,0)))),"Fix")))</f>
        <v>0</v>
      </c>
      <c r="AB136" s="4">
        <f>IF(OR(INDEX($AH$2:$AH$1001,MATCH(ROWS($AG$2:AG136),$AG$2:$AG$1001,0),1)&gt;=100000,INDEX($AN$1005:$BO$1005,1,MATCH(COLUMNS($AN$1006:BN1006),$AN$1006:$BO$1006,0))&gt;=100000), " ",IF(INDEX($AN$2:$BO$1001,MATCH(ROWS($AG$2:AG136),$AG$2:$AG$1001,0),MATCH(COLUMNS($AN$1006:BN1006),$AN$1006:$BO$1006,0)), HYPERLINK("#",""), HYPERLINK(CONCATENATE("#Metadata!", ADDRESS(INDEX($AI$2:$AI$1001,MATCH(ROWS($AG$2:AG136),$AG$2:$AG$1001,0),0), INDEX($AN$1004:$BO$1004,1,MATCH(COLUMNS($AN$1006:BN1006),$AN$1006:$BO$1006,0)))),"Fix")))</f>
        <v>0</v>
      </c>
      <c r="AC136" s="4">
        <f>IF(OR(INDEX($AH$2:$AH$1001,MATCH(ROWS($AG$2:AG136),$AG$2:$AG$1001,0),1)&gt;=100000,INDEX($AN$1005:$BO$1005,1,MATCH(COLUMNS($AN$1006:BO1006),$AN$1006:$BO$1006,0))&gt;=100000), " ",IF(INDEX($AN$2:$BO$1001,MATCH(ROWS($AG$2:AG136),$AG$2:$AG$1001,0),MATCH(COLUMNS($AN$1006:BO1006),$AN$1006:$BO$1006,0)), HYPERLINK("#",""), HYPERLINK(CONCATENATE("#Metadata!", ADDRESS(INDEX($AI$2:$AI$1001,MATCH(ROWS($AG$2:AG136),$AG$2:$AG$1001,0),0), INDEX($AN$1004:$BO$1004,1,MATCH(COLUMNS($AN$1006:BO1006),$AN$1006:$BO$1006,0)))),"Fix")))</f>
        <v>0</v>
      </c>
      <c r="AG136">
        <v>0</v>
      </c>
      <c r="AH136">
        <v>0</v>
      </c>
      <c r="AI136">
        <v>0</v>
      </c>
      <c r="AJ136">
        <f>IF(AK136,TRUE,AND(AN136:BO136))</f>
        <v>0</v>
      </c>
      <c r="AK136">
        <f>COUNTBLANK(Metadata!B136:AC136)=COLUMNS(Metadata!B136:AC136)</f>
        <v>0</v>
      </c>
      <c r="AL136">
        <v>0</v>
      </c>
      <c r="AN136">
        <f>AND(IF(Metadata!B136="",FALSE,TRUE),COUNTIF(Metadata!B:B, Metadata!B136) = 1,NOT(ISERROR(SUMPRODUCT(SEARCH(MID(Metadata!B136,ROW(INDIRECT("1:"&amp;LEN(Metadata!B136))), 1),"0123456789abcdefghijklmnopqrstuvwxyzABCDEFGHIJKLMNOPQRSTUVWXYZ.")))))</f>
        <v>0</v>
      </c>
      <c r="AO136">
        <f>IF(Metadata!C136="",FALSE,TRUE)</f>
        <v>0</v>
      </c>
      <c r="AP136">
        <f>IF(Metadata!D136="",FALSE,TRUE)</f>
        <v>0</v>
      </c>
      <c r="AQ136">
        <f>OR(AND(IF(Metadata!E136="",FALSE,TRUE),OR(exact(Metadata!E136,"not collected"),exact(Metadata!E136,"not provided"),exact(Metadata!E136,"restricted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R136">
        <f>IF(Metadata!F136="",FALSE,TRUE)</f>
        <v>0</v>
      </c>
      <c r="AS136">
        <f>OR(AND(IF(Metadata!G136="",FALSE,TRUE),OR(exact(Metadata!G136,"not collected"),exact(Metadata!G136,"not provided"))),AND(IF(Metadata!G136="",FALSE,TRUE),OR(exact(Metadata!G136,"TRUE"),exact(Metadata!G136,"FALSE"))))</f>
        <v>0</v>
      </c>
      <c r="AT136">
        <f>OR(AND(IF(Metadata!H136="",FALSE,TRUE),OR(exact(Metadata!H136,"not collected"),exact(Metadata!H136,"not provided"),exact(Metadata!H136,"restricted access"))),AND(IF(Metadata!H136="",FALSE,ISNUMBER(VALUE(Metadata!H136))),Metadata!H136&gt;=-413.0))</f>
        <v>0</v>
      </c>
      <c r="AU136">
        <f>AND(IF(Metadata!I136="",FALSE,TRUE),exact(Metadata!I136,"meters"))</f>
        <v>0</v>
      </c>
      <c r="AV136">
        <f>AND(IF(Metadata!J136="",FALSE,TRUE),OR(exact(Metadata!J136,"Host-associated"),exact(Metadata!J136,"Free-living")))</f>
        <v>0</v>
      </c>
      <c r="AW136">
        <f>AND(IF(Metadata!K136="",FALSE,TRUE),OR(exact(Metadata!K136,"Animal"),exact(Metadata!K136,"Fungus"),exact(Metadata!K136,"Plant"),exact(Metadata!K136,"Saline"),exact(Metadata!K136,"Non-saline")))</f>
        <v>0</v>
      </c>
      <c r="AX136">
        <f>AND(IF(Metadata!L136="",FALSE,TRUE),OR(exact(Metadata!L136,"Plant secretion"),exact(Metadata!L136,"Plant rhizosphere"),exact(Metadata!L136,"Plant surface"),exact(Metadata!L136,"Plant corpus"),exact(Metadata!L136,"Fungus surface"),exact(Metadata!L136,"Fungus corpus"),exact(Metadata!L136,"Animal surface"),exact(Metadata!L136,"Animal proximal gut"),exact(Metadata!L136,"Animal corpus"),exact(Metadata!L136,"Animal distal gut"),exact(Metadata!L136,"Animal secretion"),exact(Metadata!L136,"Sub-surface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Y136">
        <f>IF(Metadata!M136="",FALSE,TRUE)</f>
        <v>0</v>
      </c>
      <c r="AZ136">
        <f>IF(Metadata!N136="",FALSE,TRUE)</f>
        <v>0</v>
      </c>
      <c r="BA136">
        <f>IF(Metadata!O136="",FALSE,TRUE)</f>
        <v>0</v>
      </c>
      <c r="BB136">
        <f>OR(AND(IF(Metadata!P136="",FALSE,TRUE),OR(exact(Metadata!P136,"not collected"),exact(Metadata!P136,"not provided"),exact(Metadata!P136,"restricted access"))),AND(IF(Metadata!P136="",FALSE,TRUE),OR(exact(Metadata!P136,"air"),exact(Metadata!P136,"built environment"),exact(Metadata!P136,"host-associated"),exact(Metadata!P136,"human-associated"),exact(Metadata!P136,"human-skin"),exact(Metadata!P136,"human-oral"),exact(Metadata!P136,"human-gut"),exact(Metadata!P136,"human-vaginal"),exact(Metadata!P136,"microbial mat/biofilm"),exact(Metadata!P136,"misc environment"),exact(Metadata!P136,"plant-associated"),exact(Metadata!P136,"sediment"),exact(Metadata!P136,"soil"),exact(Metadata!P136,"wastewater/sludge"),exact(Metadata!P136,"water"))))</f>
        <v>0</v>
      </c>
      <c r="BC136">
        <f>IF(Metadata!Q136="",FALSE,TRUE)</f>
        <v>0</v>
      </c>
      <c r="BD136">
        <f>IF(Metadata!R136="",FALSE,TRUE)</f>
        <v>0</v>
      </c>
      <c r="BE136">
        <f>OR(AND(IF(Metadata!S136="",FALSE,TRUE),OR(exact(Metadata!S136,"not collected"),exact(Metadata!S136,"not provided"),exact(Metadata!S136,"restricted access"))),AND(IF(Metadata!S136="",FALSE,ISNUMBER(VALUE(Metadata!S136))),Metadata!S136&gt;=-90.00,Metadata!S136&lt;=90.00))</f>
        <v>0</v>
      </c>
      <c r="BF136">
        <f>AND(IF(Metadata!T136="",FALSE,TRUE),exact(Metadata!T136,"Decimal degrees"))</f>
        <v>0</v>
      </c>
      <c r="BG136">
        <f>OR(AND(IF(Metadata!U136="",FALSE,TRUE),OR(exact(Metadata!U136,"not collected"),exact(Metadata!U136,"not provided"),exact(Metadata!U136,"restricted access"))),AND(IF(Metadata!U136="",FALSE,ISNUMBER(VALUE(Metadata!U136))),Metadata!U136&gt;=-180.00,Metadata!U136&lt;=180.00))</f>
        <v>0</v>
      </c>
      <c r="BH136">
        <f>AND(IF(Metadata!V136="",FALSE,TRUE),exact(Metadata!V136,"Decimal degrees"))</f>
        <v>0</v>
      </c>
      <c r="BI136">
        <f>IF(Metadata!W136="",FALSE,TRUE)</f>
        <v>0</v>
      </c>
      <c r="BJ136">
        <f>OR(AND(IF(Metadata!X136="",FALSE,TRUE),OR(exact(Metadata!X136,"not collected"),exact(Metadata!X136,"not provided"),exact(Metadata!X136,"restricted access"))),AND(IF(Metadata!X136="",FALSE,TRUE),OR(exact(Metadata!X136,"TRUE"),exact(Metadata!X136,"FALSE"))))</f>
        <v>0</v>
      </c>
      <c r="BK136">
        <f>AND(IF(Metadata!Y136="",FALSE,TRUE),exact(Metadata!Y136,"other"))</f>
        <v>0</v>
      </c>
      <c r="BL136">
        <f>IF(Metadata!Z136="",FALSE,TRUE)</f>
        <v>0</v>
      </c>
      <c r="BM136">
        <f>OR(AND(IF(Metadata!AA136="",FALSE,TRUE),OR(exact(Metadata!AA136,"not collected"),exact(Metadata!AA136,"not provided"))),AND(IF(Metadata!AA136="",FALSE,IF(ISERROR(INT(Metadata!AA136)),FALSE,INT(Metadata!AA136)=Metadata!AA136)),Metadata!AA136&gt;0))</f>
        <v>0</v>
      </c>
      <c r="BN136">
        <f>AND(IF(Metadata!AB136="",FALSE,TRUE),exact(Metadata!AB136,"Not applicable"))</f>
        <v>0</v>
      </c>
      <c r="BO136">
        <f>IF(Metadata!AC136="",FALSE,TRUE)</f>
        <v>0</v>
      </c>
    </row>
    <row r="137" spans="1:67">
      <c r="A137" s="5">
        <f>IF(B137=" "," ",HYPERLINK(CONCATENATE("#metadata!",ADDRESS(INDEX($AI$2:$AI$1001,MATCH(ROWS($AG$2:AG137),$AG$2:$AG$1001,0),0),1)),INDEX($AL$2:$AL$1001,MATCH(ROWS($AG$2:AG137),$AG$2:$AG$1001,0),0)))</f>
        <v>0</v>
      </c>
      <c r="B137" s="4">
        <f>IF(OR(INDEX($AH$2:$AH$1001,MATCH(ROWS($AG$2:AG137),$AG$2:$AG$1001,0),1)&gt;=100000,INDEX($AN$1005:$BO$1005,1,MATCH(COLUMNS($AN$1006:AN1006),$AN$1006:$BO$1006,0))&gt;=100000), " ",IF(INDEX($AN$2:$BO$1001,MATCH(ROWS($AG$2:AG137),$AG$2:$AG$1001,0),MATCH(COLUMNS($AN$1006:AN1006),$AN$1006:$BO$1006,0)), HYPERLINK("#",""), HYPERLINK(CONCATENATE("#Metadata!", ADDRESS(INDEX($AI$2:$AI$1001,MATCH(ROWS($AG$2:AG137),$AG$2:$AG$1001,0),0), INDEX($AN$1004:$BO$1004,1,MATCH(COLUMNS($AN$1006:AN1006),$AN$1006:$BO$1006,0)))),"Fix")))</f>
        <v>0</v>
      </c>
      <c r="C137" s="4">
        <f>IF(OR(INDEX($AH$2:$AH$1001,MATCH(ROWS($AG$2:AG137),$AG$2:$AG$1001,0),1)&gt;=100000,INDEX($AN$1005:$BO$1005,1,MATCH(COLUMNS($AN$1006:AO1006),$AN$1006:$BO$1006,0))&gt;=100000), " ",IF(INDEX($AN$2:$BO$1001,MATCH(ROWS($AG$2:AG137),$AG$2:$AG$1001,0),MATCH(COLUMNS($AN$1006:AO1006),$AN$1006:$BO$1006,0)), HYPERLINK("#",""), HYPERLINK(CONCATENATE("#Metadata!", ADDRESS(INDEX($AI$2:$AI$1001,MATCH(ROWS($AG$2:AG137),$AG$2:$AG$1001,0),0), INDEX($AN$1004:$BO$1004,1,MATCH(COLUMNS($AN$1006:AO1006),$AN$1006:$BO$1006,0)))),"Fix")))</f>
        <v>0</v>
      </c>
      <c r="D137" s="4">
        <f>IF(OR(INDEX($AH$2:$AH$1001,MATCH(ROWS($AG$2:AG137),$AG$2:$AG$1001,0),1)&gt;=100000,INDEX($AN$1005:$BO$1005,1,MATCH(COLUMNS($AN$1006:AP1006),$AN$1006:$BO$1006,0))&gt;=100000), " ",IF(INDEX($AN$2:$BO$1001,MATCH(ROWS($AG$2:AG137),$AG$2:$AG$1001,0),MATCH(COLUMNS($AN$1006:AP1006),$AN$1006:$BO$1006,0)), HYPERLINK("#",""), HYPERLINK(CONCATENATE("#Metadata!", ADDRESS(INDEX($AI$2:$AI$1001,MATCH(ROWS($AG$2:AG137),$AG$2:$AG$1001,0),0), INDEX($AN$1004:$BO$1004,1,MATCH(COLUMNS($AN$1006:AP1006),$AN$1006:$BO$1006,0)))),"Fix")))</f>
        <v>0</v>
      </c>
      <c r="E137" s="4">
        <f>IF(OR(INDEX($AH$2:$AH$1001,MATCH(ROWS($AG$2:AG137),$AG$2:$AG$1001,0),1)&gt;=100000,INDEX($AN$1005:$BO$1005,1,MATCH(COLUMNS($AN$1006:AQ1006),$AN$1006:$BO$1006,0))&gt;=100000), " ",IF(INDEX($AN$2:$BO$1001,MATCH(ROWS($AG$2:AG137),$AG$2:$AG$1001,0),MATCH(COLUMNS($AN$1006:AQ1006),$AN$1006:$BO$1006,0)), HYPERLINK("#",""), HYPERLINK(CONCATENATE("#Metadata!", ADDRESS(INDEX($AI$2:$AI$1001,MATCH(ROWS($AG$2:AG137),$AG$2:$AG$1001,0),0), INDEX($AN$1004:$BO$1004,1,MATCH(COLUMNS($AN$1006:AQ1006),$AN$1006:$BO$1006,0)))),"Fix")))</f>
        <v>0</v>
      </c>
      <c r="F137" s="4">
        <f>IF(OR(INDEX($AH$2:$AH$1001,MATCH(ROWS($AG$2:AG137),$AG$2:$AG$1001,0),1)&gt;=100000,INDEX($AN$1005:$BO$1005,1,MATCH(COLUMNS($AN$1006:AR1006),$AN$1006:$BO$1006,0))&gt;=100000), " ",IF(INDEX($AN$2:$BO$1001,MATCH(ROWS($AG$2:AG137),$AG$2:$AG$1001,0),MATCH(COLUMNS($AN$1006:AR1006),$AN$1006:$BO$1006,0)), HYPERLINK("#",""), HYPERLINK(CONCATENATE("#Metadata!", ADDRESS(INDEX($AI$2:$AI$1001,MATCH(ROWS($AG$2:AG137),$AG$2:$AG$1001,0),0), INDEX($AN$1004:$BO$1004,1,MATCH(COLUMNS($AN$1006:AR1006),$AN$1006:$BO$1006,0)))),"Fix")))</f>
        <v>0</v>
      </c>
      <c r="G137" s="4">
        <f>IF(OR(INDEX($AH$2:$AH$1001,MATCH(ROWS($AG$2:AG137),$AG$2:$AG$1001,0),1)&gt;=100000,INDEX($AN$1005:$BO$1005,1,MATCH(COLUMNS($AN$1006:AS1006),$AN$1006:$BO$1006,0))&gt;=100000), " ",IF(INDEX($AN$2:$BO$1001,MATCH(ROWS($AG$2:AG137),$AG$2:$AG$1001,0),MATCH(COLUMNS($AN$1006:AS1006),$AN$1006:$BO$1006,0)), HYPERLINK("#",""), HYPERLINK(CONCATENATE("#Metadata!", ADDRESS(INDEX($AI$2:$AI$1001,MATCH(ROWS($AG$2:AG137),$AG$2:$AG$1001,0),0), INDEX($AN$1004:$BO$1004,1,MATCH(COLUMNS($AN$1006:AS1006),$AN$1006:$BO$1006,0)))),"Fix")))</f>
        <v>0</v>
      </c>
      <c r="H137" s="4">
        <f>IF(OR(INDEX($AH$2:$AH$1001,MATCH(ROWS($AG$2:AG137),$AG$2:$AG$1001,0),1)&gt;=100000,INDEX($AN$1005:$BO$1005,1,MATCH(COLUMNS($AN$1006:AT1006),$AN$1006:$BO$1006,0))&gt;=100000), " ",IF(INDEX($AN$2:$BO$1001,MATCH(ROWS($AG$2:AG137),$AG$2:$AG$1001,0),MATCH(COLUMNS($AN$1006:AT1006),$AN$1006:$BO$1006,0)), HYPERLINK("#",""), HYPERLINK(CONCATENATE("#Metadata!", ADDRESS(INDEX($AI$2:$AI$1001,MATCH(ROWS($AG$2:AG137),$AG$2:$AG$1001,0),0), INDEX($AN$1004:$BO$1004,1,MATCH(COLUMNS($AN$1006:AT1006),$AN$1006:$BO$1006,0)))),"Fix")))</f>
        <v>0</v>
      </c>
      <c r="I137" s="4">
        <f>IF(OR(INDEX($AH$2:$AH$1001,MATCH(ROWS($AG$2:AG137),$AG$2:$AG$1001,0),1)&gt;=100000,INDEX($AN$1005:$BO$1005,1,MATCH(COLUMNS($AN$1006:AU1006),$AN$1006:$BO$1006,0))&gt;=100000), " ",IF(INDEX($AN$2:$BO$1001,MATCH(ROWS($AG$2:AG137),$AG$2:$AG$1001,0),MATCH(COLUMNS($AN$1006:AU1006),$AN$1006:$BO$1006,0)), HYPERLINK("#",""), HYPERLINK(CONCATENATE("#Metadata!", ADDRESS(INDEX($AI$2:$AI$1001,MATCH(ROWS($AG$2:AG137),$AG$2:$AG$1001,0),0), INDEX($AN$1004:$BO$1004,1,MATCH(COLUMNS($AN$1006:AU1006),$AN$1006:$BO$1006,0)))),"Fix")))</f>
        <v>0</v>
      </c>
      <c r="J137" s="4">
        <f>IF(OR(INDEX($AH$2:$AH$1001,MATCH(ROWS($AG$2:AG137),$AG$2:$AG$1001,0),1)&gt;=100000,INDEX($AN$1005:$BO$1005,1,MATCH(COLUMNS($AN$1006:AV1006),$AN$1006:$BO$1006,0))&gt;=100000), " ",IF(INDEX($AN$2:$BO$1001,MATCH(ROWS($AG$2:AG137),$AG$2:$AG$1001,0),MATCH(COLUMNS($AN$1006:AV1006),$AN$1006:$BO$1006,0)), HYPERLINK("#",""), HYPERLINK(CONCATENATE("#Metadata!", ADDRESS(INDEX($AI$2:$AI$1001,MATCH(ROWS($AG$2:AG137),$AG$2:$AG$1001,0),0), INDEX($AN$1004:$BO$1004,1,MATCH(COLUMNS($AN$1006:AV1006),$AN$1006:$BO$1006,0)))),"Fix")))</f>
        <v>0</v>
      </c>
      <c r="K137" s="4">
        <f>IF(OR(INDEX($AH$2:$AH$1001,MATCH(ROWS($AG$2:AG137),$AG$2:$AG$1001,0),1)&gt;=100000,INDEX($AN$1005:$BO$1005,1,MATCH(COLUMNS($AN$1006:AW1006),$AN$1006:$BO$1006,0))&gt;=100000), " ",IF(INDEX($AN$2:$BO$1001,MATCH(ROWS($AG$2:AG137),$AG$2:$AG$1001,0),MATCH(COLUMNS($AN$1006:AW1006),$AN$1006:$BO$1006,0)), HYPERLINK("#",""), HYPERLINK(CONCATENATE("#Metadata!", ADDRESS(INDEX($AI$2:$AI$1001,MATCH(ROWS($AG$2:AG137),$AG$2:$AG$1001,0),0), INDEX($AN$1004:$BO$1004,1,MATCH(COLUMNS($AN$1006:AW1006),$AN$1006:$BO$1006,0)))),"Fix")))</f>
        <v>0</v>
      </c>
      <c r="L137" s="4">
        <f>IF(OR(INDEX($AH$2:$AH$1001,MATCH(ROWS($AG$2:AG137),$AG$2:$AG$1001,0),1)&gt;=100000,INDEX($AN$1005:$BO$1005,1,MATCH(COLUMNS($AN$1006:AX1006),$AN$1006:$BO$1006,0))&gt;=100000), " ",IF(INDEX($AN$2:$BO$1001,MATCH(ROWS($AG$2:AG137),$AG$2:$AG$1001,0),MATCH(COLUMNS($AN$1006:AX1006),$AN$1006:$BO$1006,0)), HYPERLINK("#",""), HYPERLINK(CONCATENATE("#Metadata!", ADDRESS(INDEX($AI$2:$AI$1001,MATCH(ROWS($AG$2:AG137),$AG$2:$AG$1001,0),0), INDEX($AN$1004:$BO$1004,1,MATCH(COLUMNS($AN$1006:AX1006),$AN$1006:$BO$1006,0)))),"Fix")))</f>
        <v>0</v>
      </c>
      <c r="M137" s="4">
        <f>IF(OR(INDEX($AH$2:$AH$1001,MATCH(ROWS($AG$2:AG137),$AG$2:$AG$1001,0),1)&gt;=100000,INDEX($AN$1005:$BO$1005,1,MATCH(COLUMNS($AN$1006:AY1006),$AN$1006:$BO$1006,0))&gt;=100000), " ",IF(INDEX($AN$2:$BO$1001,MATCH(ROWS($AG$2:AG137),$AG$2:$AG$1001,0),MATCH(COLUMNS($AN$1006:AY1006),$AN$1006:$BO$1006,0)), HYPERLINK("#",""), HYPERLINK(CONCATENATE("#Metadata!", ADDRESS(INDEX($AI$2:$AI$1001,MATCH(ROWS($AG$2:AG137),$AG$2:$AG$1001,0),0), INDEX($AN$1004:$BO$1004,1,MATCH(COLUMNS($AN$1006:AY1006),$AN$1006:$BO$1006,0)))),"Fix")))</f>
        <v>0</v>
      </c>
      <c r="N137" s="4">
        <f>IF(OR(INDEX($AH$2:$AH$1001,MATCH(ROWS($AG$2:AG137),$AG$2:$AG$1001,0),1)&gt;=100000,INDEX($AN$1005:$BO$1005,1,MATCH(COLUMNS($AN$1006:AZ1006),$AN$1006:$BO$1006,0))&gt;=100000), " ",IF(INDEX($AN$2:$BO$1001,MATCH(ROWS($AG$2:AG137),$AG$2:$AG$1001,0),MATCH(COLUMNS($AN$1006:AZ1006),$AN$1006:$BO$1006,0)), HYPERLINK("#",""), HYPERLINK(CONCATENATE("#Metadata!", ADDRESS(INDEX($AI$2:$AI$1001,MATCH(ROWS($AG$2:AG137),$AG$2:$AG$1001,0),0), INDEX($AN$1004:$BO$1004,1,MATCH(COLUMNS($AN$1006:AZ1006),$AN$1006:$BO$1006,0)))),"Fix")))</f>
        <v>0</v>
      </c>
      <c r="O137" s="4">
        <f>IF(OR(INDEX($AH$2:$AH$1001,MATCH(ROWS($AG$2:AG137),$AG$2:$AG$1001,0),1)&gt;=100000,INDEX($AN$1005:$BO$1005,1,MATCH(COLUMNS($AN$1006:BA1006),$AN$1006:$BO$1006,0))&gt;=100000), " ",IF(INDEX($AN$2:$BO$1001,MATCH(ROWS($AG$2:AG137),$AG$2:$AG$1001,0),MATCH(COLUMNS($AN$1006:BA1006),$AN$1006:$BO$1006,0)), HYPERLINK("#",""), HYPERLINK(CONCATENATE("#Metadata!", ADDRESS(INDEX($AI$2:$AI$1001,MATCH(ROWS($AG$2:AG137),$AG$2:$AG$1001,0),0), INDEX($AN$1004:$BO$1004,1,MATCH(COLUMNS($AN$1006:BA1006),$AN$1006:$BO$1006,0)))),"Fix")))</f>
        <v>0</v>
      </c>
      <c r="P137" s="4">
        <f>IF(OR(INDEX($AH$2:$AH$1001,MATCH(ROWS($AG$2:AG137),$AG$2:$AG$1001,0),1)&gt;=100000,INDEX($AN$1005:$BO$1005,1,MATCH(COLUMNS($AN$1006:BB1006),$AN$1006:$BO$1006,0))&gt;=100000), " ",IF(INDEX($AN$2:$BO$1001,MATCH(ROWS($AG$2:AG137),$AG$2:$AG$1001,0),MATCH(COLUMNS($AN$1006:BB1006),$AN$1006:$BO$1006,0)), HYPERLINK("#",""), HYPERLINK(CONCATENATE("#Metadata!", ADDRESS(INDEX($AI$2:$AI$1001,MATCH(ROWS($AG$2:AG137),$AG$2:$AG$1001,0),0), INDEX($AN$1004:$BO$1004,1,MATCH(COLUMNS($AN$1006:BB1006),$AN$1006:$BO$1006,0)))),"Fix")))</f>
        <v>0</v>
      </c>
      <c r="Q137" s="4">
        <f>IF(OR(INDEX($AH$2:$AH$1001,MATCH(ROWS($AG$2:AG137),$AG$2:$AG$1001,0),1)&gt;=100000,INDEX($AN$1005:$BO$1005,1,MATCH(COLUMNS($AN$1006:BC1006),$AN$1006:$BO$1006,0))&gt;=100000), " ",IF(INDEX($AN$2:$BO$1001,MATCH(ROWS($AG$2:AG137),$AG$2:$AG$1001,0),MATCH(COLUMNS($AN$1006:BC1006),$AN$1006:$BO$1006,0)), HYPERLINK("#",""), HYPERLINK(CONCATENATE("#Metadata!", ADDRESS(INDEX($AI$2:$AI$1001,MATCH(ROWS($AG$2:AG137),$AG$2:$AG$1001,0),0), INDEX($AN$1004:$BO$1004,1,MATCH(COLUMNS($AN$1006:BC1006),$AN$1006:$BO$1006,0)))),"Fix")))</f>
        <v>0</v>
      </c>
      <c r="R137" s="4">
        <f>IF(OR(INDEX($AH$2:$AH$1001,MATCH(ROWS($AG$2:AG137),$AG$2:$AG$1001,0),1)&gt;=100000,INDEX($AN$1005:$BO$1005,1,MATCH(COLUMNS($AN$1006:BD1006),$AN$1006:$BO$1006,0))&gt;=100000), " ",IF(INDEX($AN$2:$BO$1001,MATCH(ROWS($AG$2:AG137),$AG$2:$AG$1001,0),MATCH(COLUMNS($AN$1006:BD1006),$AN$1006:$BO$1006,0)), HYPERLINK("#",""), HYPERLINK(CONCATENATE("#Metadata!", ADDRESS(INDEX($AI$2:$AI$1001,MATCH(ROWS($AG$2:AG137),$AG$2:$AG$1001,0),0), INDEX($AN$1004:$BO$1004,1,MATCH(COLUMNS($AN$1006:BD1006),$AN$1006:$BO$1006,0)))),"Fix")))</f>
        <v>0</v>
      </c>
      <c r="S137" s="4">
        <f>IF(OR(INDEX($AH$2:$AH$1001,MATCH(ROWS($AG$2:AG137),$AG$2:$AG$1001,0),1)&gt;=100000,INDEX($AN$1005:$BO$1005,1,MATCH(COLUMNS($AN$1006:BE1006),$AN$1006:$BO$1006,0))&gt;=100000), " ",IF(INDEX($AN$2:$BO$1001,MATCH(ROWS($AG$2:AG137),$AG$2:$AG$1001,0),MATCH(COLUMNS($AN$1006:BE1006),$AN$1006:$BO$1006,0)), HYPERLINK("#",""), HYPERLINK(CONCATENATE("#Metadata!", ADDRESS(INDEX($AI$2:$AI$1001,MATCH(ROWS($AG$2:AG137),$AG$2:$AG$1001,0),0), INDEX($AN$1004:$BO$1004,1,MATCH(COLUMNS($AN$1006:BE1006),$AN$1006:$BO$1006,0)))),"Fix")))</f>
        <v>0</v>
      </c>
      <c r="T137" s="4">
        <f>IF(OR(INDEX($AH$2:$AH$1001,MATCH(ROWS($AG$2:AG137),$AG$2:$AG$1001,0),1)&gt;=100000,INDEX($AN$1005:$BO$1005,1,MATCH(COLUMNS($AN$1006:BF1006),$AN$1006:$BO$1006,0))&gt;=100000), " ",IF(INDEX($AN$2:$BO$1001,MATCH(ROWS($AG$2:AG137),$AG$2:$AG$1001,0),MATCH(COLUMNS($AN$1006:BF1006),$AN$1006:$BO$1006,0)), HYPERLINK("#",""), HYPERLINK(CONCATENATE("#Metadata!", ADDRESS(INDEX($AI$2:$AI$1001,MATCH(ROWS($AG$2:AG137),$AG$2:$AG$1001,0),0), INDEX($AN$1004:$BO$1004,1,MATCH(COLUMNS($AN$1006:BF1006),$AN$1006:$BO$1006,0)))),"Fix")))</f>
        <v>0</v>
      </c>
      <c r="U137" s="4">
        <f>IF(OR(INDEX($AH$2:$AH$1001,MATCH(ROWS($AG$2:AG137),$AG$2:$AG$1001,0),1)&gt;=100000,INDEX($AN$1005:$BO$1005,1,MATCH(COLUMNS($AN$1006:BG1006),$AN$1006:$BO$1006,0))&gt;=100000), " ",IF(INDEX($AN$2:$BO$1001,MATCH(ROWS($AG$2:AG137),$AG$2:$AG$1001,0),MATCH(COLUMNS($AN$1006:BG1006),$AN$1006:$BO$1006,0)), HYPERLINK("#",""), HYPERLINK(CONCATENATE("#Metadata!", ADDRESS(INDEX($AI$2:$AI$1001,MATCH(ROWS($AG$2:AG137),$AG$2:$AG$1001,0),0), INDEX($AN$1004:$BO$1004,1,MATCH(COLUMNS($AN$1006:BG1006),$AN$1006:$BO$1006,0)))),"Fix")))</f>
        <v>0</v>
      </c>
      <c r="V137" s="4">
        <f>IF(OR(INDEX($AH$2:$AH$1001,MATCH(ROWS($AG$2:AG137),$AG$2:$AG$1001,0),1)&gt;=100000,INDEX($AN$1005:$BO$1005,1,MATCH(COLUMNS($AN$1006:BH1006),$AN$1006:$BO$1006,0))&gt;=100000), " ",IF(INDEX($AN$2:$BO$1001,MATCH(ROWS($AG$2:AG137),$AG$2:$AG$1001,0),MATCH(COLUMNS($AN$1006:BH1006),$AN$1006:$BO$1006,0)), HYPERLINK("#",""), HYPERLINK(CONCATENATE("#Metadata!", ADDRESS(INDEX($AI$2:$AI$1001,MATCH(ROWS($AG$2:AG137),$AG$2:$AG$1001,0),0), INDEX($AN$1004:$BO$1004,1,MATCH(COLUMNS($AN$1006:BH1006),$AN$1006:$BO$1006,0)))),"Fix")))</f>
        <v>0</v>
      </c>
      <c r="W137" s="4">
        <f>IF(OR(INDEX($AH$2:$AH$1001,MATCH(ROWS($AG$2:AG137),$AG$2:$AG$1001,0),1)&gt;=100000,INDEX($AN$1005:$BO$1005,1,MATCH(COLUMNS($AN$1006:BI1006),$AN$1006:$BO$1006,0))&gt;=100000), " ",IF(INDEX($AN$2:$BO$1001,MATCH(ROWS($AG$2:AG137),$AG$2:$AG$1001,0),MATCH(COLUMNS($AN$1006:BI1006),$AN$1006:$BO$1006,0)), HYPERLINK("#",""), HYPERLINK(CONCATENATE("#Metadata!", ADDRESS(INDEX($AI$2:$AI$1001,MATCH(ROWS($AG$2:AG137),$AG$2:$AG$1001,0),0), INDEX($AN$1004:$BO$1004,1,MATCH(COLUMNS($AN$1006:BI1006),$AN$1006:$BO$1006,0)))),"Fix")))</f>
        <v>0</v>
      </c>
      <c r="X137" s="4">
        <f>IF(OR(INDEX($AH$2:$AH$1001,MATCH(ROWS($AG$2:AG137),$AG$2:$AG$1001,0),1)&gt;=100000,INDEX($AN$1005:$BO$1005,1,MATCH(COLUMNS($AN$1006:BJ1006),$AN$1006:$BO$1006,0))&gt;=100000), " ",IF(INDEX($AN$2:$BO$1001,MATCH(ROWS($AG$2:AG137),$AG$2:$AG$1001,0),MATCH(COLUMNS($AN$1006:BJ1006),$AN$1006:$BO$1006,0)), HYPERLINK("#",""), HYPERLINK(CONCATENATE("#Metadata!", ADDRESS(INDEX($AI$2:$AI$1001,MATCH(ROWS($AG$2:AG137),$AG$2:$AG$1001,0),0), INDEX($AN$1004:$BO$1004,1,MATCH(COLUMNS($AN$1006:BJ1006),$AN$1006:$BO$1006,0)))),"Fix")))</f>
        <v>0</v>
      </c>
      <c r="Y137" s="4">
        <f>IF(OR(INDEX($AH$2:$AH$1001,MATCH(ROWS($AG$2:AG137),$AG$2:$AG$1001,0),1)&gt;=100000,INDEX($AN$1005:$BO$1005,1,MATCH(COLUMNS($AN$1006:BK1006),$AN$1006:$BO$1006,0))&gt;=100000), " ",IF(INDEX($AN$2:$BO$1001,MATCH(ROWS($AG$2:AG137),$AG$2:$AG$1001,0),MATCH(COLUMNS($AN$1006:BK1006),$AN$1006:$BO$1006,0)), HYPERLINK("#",""), HYPERLINK(CONCATENATE("#Metadata!", ADDRESS(INDEX($AI$2:$AI$1001,MATCH(ROWS($AG$2:AG137),$AG$2:$AG$1001,0),0), INDEX($AN$1004:$BO$1004,1,MATCH(COLUMNS($AN$1006:BK1006),$AN$1006:$BO$1006,0)))),"Fix")))</f>
        <v>0</v>
      </c>
      <c r="Z137" s="4">
        <f>IF(OR(INDEX($AH$2:$AH$1001,MATCH(ROWS($AG$2:AG137),$AG$2:$AG$1001,0),1)&gt;=100000,INDEX($AN$1005:$BO$1005,1,MATCH(COLUMNS($AN$1006:BL1006),$AN$1006:$BO$1006,0))&gt;=100000), " ",IF(INDEX($AN$2:$BO$1001,MATCH(ROWS($AG$2:AG137),$AG$2:$AG$1001,0),MATCH(COLUMNS($AN$1006:BL1006),$AN$1006:$BO$1006,0)), HYPERLINK("#",""), HYPERLINK(CONCATENATE("#Metadata!", ADDRESS(INDEX($AI$2:$AI$1001,MATCH(ROWS($AG$2:AG137),$AG$2:$AG$1001,0),0), INDEX($AN$1004:$BO$1004,1,MATCH(COLUMNS($AN$1006:BL1006),$AN$1006:$BO$1006,0)))),"Fix")))</f>
        <v>0</v>
      </c>
      <c r="AA137" s="4">
        <f>IF(OR(INDEX($AH$2:$AH$1001,MATCH(ROWS($AG$2:AG137),$AG$2:$AG$1001,0),1)&gt;=100000,INDEX($AN$1005:$BO$1005,1,MATCH(COLUMNS($AN$1006:BM1006),$AN$1006:$BO$1006,0))&gt;=100000), " ",IF(INDEX($AN$2:$BO$1001,MATCH(ROWS($AG$2:AG137),$AG$2:$AG$1001,0),MATCH(COLUMNS($AN$1006:BM1006),$AN$1006:$BO$1006,0)), HYPERLINK("#",""), HYPERLINK(CONCATENATE("#Metadata!", ADDRESS(INDEX($AI$2:$AI$1001,MATCH(ROWS($AG$2:AG137),$AG$2:$AG$1001,0),0), INDEX($AN$1004:$BO$1004,1,MATCH(COLUMNS($AN$1006:BM1006),$AN$1006:$BO$1006,0)))),"Fix")))</f>
        <v>0</v>
      </c>
      <c r="AB137" s="4">
        <f>IF(OR(INDEX($AH$2:$AH$1001,MATCH(ROWS($AG$2:AG137),$AG$2:$AG$1001,0),1)&gt;=100000,INDEX($AN$1005:$BO$1005,1,MATCH(COLUMNS($AN$1006:BN1006),$AN$1006:$BO$1006,0))&gt;=100000), " ",IF(INDEX($AN$2:$BO$1001,MATCH(ROWS($AG$2:AG137),$AG$2:$AG$1001,0),MATCH(COLUMNS($AN$1006:BN1006),$AN$1006:$BO$1006,0)), HYPERLINK("#",""), HYPERLINK(CONCATENATE("#Metadata!", ADDRESS(INDEX($AI$2:$AI$1001,MATCH(ROWS($AG$2:AG137),$AG$2:$AG$1001,0),0), INDEX($AN$1004:$BO$1004,1,MATCH(COLUMNS($AN$1006:BN1006),$AN$1006:$BO$1006,0)))),"Fix")))</f>
        <v>0</v>
      </c>
      <c r="AC137" s="4">
        <f>IF(OR(INDEX($AH$2:$AH$1001,MATCH(ROWS($AG$2:AG137),$AG$2:$AG$1001,0),1)&gt;=100000,INDEX($AN$1005:$BO$1005,1,MATCH(COLUMNS($AN$1006:BO1006),$AN$1006:$BO$1006,0))&gt;=100000), " ",IF(INDEX($AN$2:$BO$1001,MATCH(ROWS($AG$2:AG137),$AG$2:$AG$1001,0),MATCH(COLUMNS($AN$1006:BO1006),$AN$1006:$BO$1006,0)), HYPERLINK("#",""), HYPERLINK(CONCATENATE("#Metadata!", ADDRESS(INDEX($AI$2:$AI$1001,MATCH(ROWS($AG$2:AG137),$AG$2:$AG$1001,0),0), INDEX($AN$1004:$BO$1004,1,MATCH(COLUMNS($AN$1006:BO1006),$AN$1006:$BO$1006,0)))),"Fix")))</f>
        <v>0</v>
      </c>
      <c r="AG137">
        <v>0</v>
      </c>
      <c r="AH137">
        <v>0</v>
      </c>
      <c r="AI137">
        <v>0</v>
      </c>
      <c r="AJ137">
        <f>IF(AK137,TRUE,AND(AN137:BO137))</f>
        <v>0</v>
      </c>
      <c r="AK137">
        <f>COUNTBLANK(Metadata!B137:AC137)=COLUMNS(Metadata!B137:AC137)</f>
        <v>0</v>
      </c>
      <c r="AL137">
        <v>0</v>
      </c>
      <c r="AN137">
        <f>AND(IF(Metadata!B137="",FALSE,TRUE),COUNTIF(Metadata!B:B, Metadata!B137) = 1,NOT(ISERROR(SUMPRODUCT(SEARCH(MID(Metadata!B137,ROW(INDIRECT("1:"&amp;LEN(Metadata!B137))), 1),"0123456789abcdefghijklmnopqrstuvwxyzABCDEFGHIJKLMNOPQRSTUVWXYZ.")))))</f>
        <v>0</v>
      </c>
      <c r="AO137">
        <f>IF(Metadata!C137="",FALSE,TRUE)</f>
        <v>0</v>
      </c>
      <c r="AP137">
        <f>IF(Metadata!D137="",FALSE,TRUE)</f>
        <v>0</v>
      </c>
      <c r="AQ137">
        <f>OR(AND(IF(Metadata!E137="",FALSE,TRUE),OR(exact(Metadata!E137,"not collected"),exact(Metadata!E137,"not provided"),exact(Metadata!E137,"restricted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R137">
        <f>IF(Metadata!F137="",FALSE,TRUE)</f>
        <v>0</v>
      </c>
      <c r="AS137">
        <f>OR(AND(IF(Metadata!G137="",FALSE,TRUE),OR(exact(Metadata!G137,"not collected"),exact(Metadata!G137,"not provided"))),AND(IF(Metadata!G137="",FALSE,TRUE),OR(exact(Metadata!G137,"TRUE"),exact(Metadata!G137,"FALSE"))))</f>
        <v>0</v>
      </c>
      <c r="AT137">
        <f>OR(AND(IF(Metadata!H137="",FALSE,TRUE),OR(exact(Metadata!H137,"not collected"),exact(Metadata!H137,"not provided"),exact(Metadata!H137,"restricted access"))),AND(IF(Metadata!H137="",FALSE,ISNUMBER(VALUE(Metadata!H137))),Metadata!H137&gt;=-413.0))</f>
        <v>0</v>
      </c>
      <c r="AU137">
        <f>AND(IF(Metadata!I137="",FALSE,TRUE),exact(Metadata!I137,"meters"))</f>
        <v>0</v>
      </c>
      <c r="AV137">
        <f>AND(IF(Metadata!J137="",FALSE,TRUE),OR(exact(Metadata!J137,"Host-associated"),exact(Metadata!J137,"Free-living")))</f>
        <v>0</v>
      </c>
      <c r="AW137">
        <f>AND(IF(Metadata!K137="",FALSE,TRUE),OR(exact(Metadata!K137,"Animal"),exact(Metadata!K137,"Fungus"),exact(Metadata!K137,"Plant"),exact(Metadata!K137,"Saline"),exact(Metadata!K137,"Non-saline")))</f>
        <v>0</v>
      </c>
      <c r="AX137">
        <f>AND(IF(Metadata!L137="",FALSE,TRUE),OR(exact(Metadata!L137,"Plant secretion"),exact(Metadata!L137,"Plant rhizosphere"),exact(Metadata!L137,"Plant surface"),exact(Metadata!L137,"Plant corpus"),exact(Metadata!L137,"Fungus surface"),exact(Metadata!L137,"Fungus corpus"),exact(Metadata!L137,"Animal surface"),exact(Metadata!L137,"Animal proximal gut"),exact(Metadata!L137,"Animal corpus"),exact(Metadata!L137,"Animal distal gut"),exact(Metadata!L137,"Animal secretion"),exact(Metadata!L137,"Sub-surface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Y137">
        <f>IF(Metadata!M137="",FALSE,TRUE)</f>
        <v>0</v>
      </c>
      <c r="AZ137">
        <f>IF(Metadata!N137="",FALSE,TRUE)</f>
        <v>0</v>
      </c>
      <c r="BA137">
        <f>IF(Metadata!O137="",FALSE,TRUE)</f>
        <v>0</v>
      </c>
      <c r="BB137">
        <f>OR(AND(IF(Metadata!P137="",FALSE,TRUE),OR(exact(Metadata!P137,"not collected"),exact(Metadata!P137,"not provided"),exact(Metadata!P137,"restricted access"))),AND(IF(Metadata!P137="",FALSE,TRUE),OR(exact(Metadata!P137,"air"),exact(Metadata!P137,"built environment"),exact(Metadata!P137,"host-associated"),exact(Metadata!P137,"human-associated"),exact(Metadata!P137,"human-skin"),exact(Metadata!P137,"human-oral"),exact(Metadata!P137,"human-gut"),exact(Metadata!P137,"human-vaginal"),exact(Metadata!P137,"microbial mat/biofilm"),exact(Metadata!P137,"misc environment"),exact(Metadata!P137,"plant-associated"),exact(Metadata!P137,"sediment"),exact(Metadata!P137,"soil"),exact(Metadata!P137,"wastewater/sludge"),exact(Metadata!P137,"water"))))</f>
        <v>0</v>
      </c>
      <c r="BC137">
        <f>IF(Metadata!Q137="",FALSE,TRUE)</f>
        <v>0</v>
      </c>
      <c r="BD137">
        <f>IF(Metadata!R137="",FALSE,TRUE)</f>
        <v>0</v>
      </c>
      <c r="BE137">
        <f>OR(AND(IF(Metadata!S137="",FALSE,TRUE),OR(exact(Metadata!S137,"not collected"),exact(Metadata!S137,"not provided"),exact(Metadata!S137,"restricted access"))),AND(IF(Metadata!S137="",FALSE,ISNUMBER(VALUE(Metadata!S137))),Metadata!S137&gt;=-90.00,Metadata!S137&lt;=90.00))</f>
        <v>0</v>
      </c>
      <c r="BF137">
        <f>AND(IF(Metadata!T137="",FALSE,TRUE),exact(Metadata!T137,"Decimal degrees"))</f>
        <v>0</v>
      </c>
      <c r="BG137">
        <f>OR(AND(IF(Metadata!U137="",FALSE,TRUE),OR(exact(Metadata!U137,"not collected"),exact(Metadata!U137,"not provided"),exact(Metadata!U137,"restricted access"))),AND(IF(Metadata!U137="",FALSE,ISNUMBER(VALUE(Metadata!U137))),Metadata!U137&gt;=-180.00,Metadata!U137&lt;=180.00))</f>
        <v>0</v>
      </c>
      <c r="BH137">
        <f>AND(IF(Metadata!V137="",FALSE,TRUE),exact(Metadata!V137,"Decimal degrees"))</f>
        <v>0</v>
      </c>
      <c r="BI137">
        <f>IF(Metadata!W137="",FALSE,TRUE)</f>
        <v>0</v>
      </c>
      <c r="BJ137">
        <f>OR(AND(IF(Metadata!X137="",FALSE,TRUE),OR(exact(Metadata!X137,"not collected"),exact(Metadata!X137,"not provided"),exact(Metadata!X137,"restricted access"))),AND(IF(Metadata!X137="",FALSE,TRUE),OR(exact(Metadata!X137,"TRUE"),exact(Metadata!X137,"FALSE"))))</f>
        <v>0</v>
      </c>
      <c r="BK137">
        <f>AND(IF(Metadata!Y137="",FALSE,TRUE),exact(Metadata!Y137,"other"))</f>
        <v>0</v>
      </c>
      <c r="BL137">
        <f>IF(Metadata!Z137="",FALSE,TRUE)</f>
        <v>0</v>
      </c>
      <c r="BM137">
        <f>OR(AND(IF(Metadata!AA137="",FALSE,TRUE),OR(exact(Metadata!AA137,"not collected"),exact(Metadata!AA137,"not provided"))),AND(IF(Metadata!AA137="",FALSE,IF(ISERROR(INT(Metadata!AA137)),FALSE,INT(Metadata!AA137)=Metadata!AA137)),Metadata!AA137&gt;0))</f>
        <v>0</v>
      </c>
      <c r="BN137">
        <f>AND(IF(Metadata!AB137="",FALSE,TRUE),exact(Metadata!AB137,"Not applicable"))</f>
        <v>0</v>
      </c>
      <c r="BO137">
        <f>IF(Metadata!AC137="",FALSE,TRUE)</f>
        <v>0</v>
      </c>
    </row>
    <row r="138" spans="1:67">
      <c r="A138" s="5">
        <f>IF(B138=" "," ",HYPERLINK(CONCATENATE("#metadata!",ADDRESS(INDEX($AI$2:$AI$1001,MATCH(ROWS($AG$2:AG138),$AG$2:$AG$1001,0),0),1)),INDEX($AL$2:$AL$1001,MATCH(ROWS($AG$2:AG138),$AG$2:$AG$1001,0),0)))</f>
        <v>0</v>
      </c>
      <c r="B138" s="4">
        <f>IF(OR(INDEX($AH$2:$AH$1001,MATCH(ROWS($AG$2:AG138),$AG$2:$AG$1001,0),1)&gt;=100000,INDEX($AN$1005:$BO$1005,1,MATCH(COLUMNS($AN$1006:AN1006),$AN$1006:$BO$1006,0))&gt;=100000), " ",IF(INDEX($AN$2:$BO$1001,MATCH(ROWS($AG$2:AG138),$AG$2:$AG$1001,0),MATCH(COLUMNS($AN$1006:AN1006),$AN$1006:$BO$1006,0)), HYPERLINK("#",""), HYPERLINK(CONCATENATE("#Metadata!", ADDRESS(INDEX($AI$2:$AI$1001,MATCH(ROWS($AG$2:AG138),$AG$2:$AG$1001,0),0), INDEX($AN$1004:$BO$1004,1,MATCH(COLUMNS($AN$1006:AN1006),$AN$1006:$BO$1006,0)))),"Fix")))</f>
        <v>0</v>
      </c>
      <c r="C138" s="4">
        <f>IF(OR(INDEX($AH$2:$AH$1001,MATCH(ROWS($AG$2:AG138),$AG$2:$AG$1001,0),1)&gt;=100000,INDEX($AN$1005:$BO$1005,1,MATCH(COLUMNS($AN$1006:AO1006),$AN$1006:$BO$1006,0))&gt;=100000), " ",IF(INDEX($AN$2:$BO$1001,MATCH(ROWS($AG$2:AG138),$AG$2:$AG$1001,0),MATCH(COLUMNS($AN$1006:AO1006),$AN$1006:$BO$1006,0)), HYPERLINK("#",""), HYPERLINK(CONCATENATE("#Metadata!", ADDRESS(INDEX($AI$2:$AI$1001,MATCH(ROWS($AG$2:AG138),$AG$2:$AG$1001,0),0), INDEX($AN$1004:$BO$1004,1,MATCH(COLUMNS($AN$1006:AO1006),$AN$1006:$BO$1006,0)))),"Fix")))</f>
        <v>0</v>
      </c>
      <c r="D138" s="4">
        <f>IF(OR(INDEX($AH$2:$AH$1001,MATCH(ROWS($AG$2:AG138),$AG$2:$AG$1001,0),1)&gt;=100000,INDEX($AN$1005:$BO$1005,1,MATCH(COLUMNS($AN$1006:AP1006),$AN$1006:$BO$1006,0))&gt;=100000), " ",IF(INDEX($AN$2:$BO$1001,MATCH(ROWS($AG$2:AG138),$AG$2:$AG$1001,0),MATCH(COLUMNS($AN$1006:AP1006),$AN$1006:$BO$1006,0)), HYPERLINK("#",""), HYPERLINK(CONCATENATE("#Metadata!", ADDRESS(INDEX($AI$2:$AI$1001,MATCH(ROWS($AG$2:AG138),$AG$2:$AG$1001,0),0), INDEX($AN$1004:$BO$1004,1,MATCH(COLUMNS($AN$1006:AP1006),$AN$1006:$BO$1006,0)))),"Fix")))</f>
        <v>0</v>
      </c>
      <c r="E138" s="4">
        <f>IF(OR(INDEX($AH$2:$AH$1001,MATCH(ROWS($AG$2:AG138),$AG$2:$AG$1001,0),1)&gt;=100000,INDEX($AN$1005:$BO$1005,1,MATCH(COLUMNS($AN$1006:AQ1006),$AN$1006:$BO$1006,0))&gt;=100000), " ",IF(INDEX($AN$2:$BO$1001,MATCH(ROWS($AG$2:AG138),$AG$2:$AG$1001,0),MATCH(COLUMNS($AN$1006:AQ1006),$AN$1006:$BO$1006,0)), HYPERLINK("#",""), HYPERLINK(CONCATENATE("#Metadata!", ADDRESS(INDEX($AI$2:$AI$1001,MATCH(ROWS($AG$2:AG138),$AG$2:$AG$1001,0),0), INDEX($AN$1004:$BO$1004,1,MATCH(COLUMNS($AN$1006:AQ1006),$AN$1006:$BO$1006,0)))),"Fix")))</f>
        <v>0</v>
      </c>
      <c r="F138" s="4">
        <f>IF(OR(INDEX($AH$2:$AH$1001,MATCH(ROWS($AG$2:AG138),$AG$2:$AG$1001,0),1)&gt;=100000,INDEX($AN$1005:$BO$1005,1,MATCH(COLUMNS($AN$1006:AR1006),$AN$1006:$BO$1006,0))&gt;=100000), " ",IF(INDEX($AN$2:$BO$1001,MATCH(ROWS($AG$2:AG138),$AG$2:$AG$1001,0),MATCH(COLUMNS($AN$1006:AR1006),$AN$1006:$BO$1006,0)), HYPERLINK("#",""), HYPERLINK(CONCATENATE("#Metadata!", ADDRESS(INDEX($AI$2:$AI$1001,MATCH(ROWS($AG$2:AG138),$AG$2:$AG$1001,0),0), INDEX($AN$1004:$BO$1004,1,MATCH(COLUMNS($AN$1006:AR1006),$AN$1006:$BO$1006,0)))),"Fix")))</f>
        <v>0</v>
      </c>
      <c r="G138" s="4">
        <f>IF(OR(INDEX($AH$2:$AH$1001,MATCH(ROWS($AG$2:AG138),$AG$2:$AG$1001,0),1)&gt;=100000,INDEX($AN$1005:$BO$1005,1,MATCH(COLUMNS($AN$1006:AS1006),$AN$1006:$BO$1006,0))&gt;=100000), " ",IF(INDEX($AN$2:$BO$1001,MATCH(ROWS($AG$2:AG138),$AG$2:$AG$1001,0),MATCH(COLUMNS($AN$1006:AS1006),$AN$1006:$BO$1006,0)), HYPERLINK("#",""), HYPERLINK(CONCATENATE("#Metadata!", ADDRESS(INDEX($AI$2:$AI$1001,MATCH(ROWS($AG$2:AG138),$AG$2:$AG$1001,0),0), INDEX($AN$1004:$BO$1004,1,MATCH(COLUMNS($AN$1006:AS1006),$AN$1006:$BO$1006,0)))),"Fix")))</f>
        <v>0</v>
      </c>
      <c r="H138" s="4">
        <f>IF(OR(INDEX($AH$2:$AH$1001,MATCH(ROWS($AG$2:AG138),$AG$2:$AG$1001,0),1)&gt;=100000,INDEX($AN$1005:$BO$1005,1,MATCH(COLUMNS($AN$1006:AT1006),$AN$1006:$BO$1006,0))&gt;=100000), " ",IF(INDEX($AN$2:$BO$1001,MATCH(ROWS($AG$2:AG138),$AG$2:$AG$1001,0),MATCH(COLUMNS($AN$1006:AT1006),$AN$1006:$BO$1006,0)), HYPERLINK("#",""), HYPERLINK(CONCATENATE("#Metadata!", ADDRESS(INDEX($AI$2:$AI$1001,MATCH(ROWS($AG$2:AG138),$AG$2:$AG$1001,0),0), INDEX($AN$1004:$BO$1004,1,MATCH(COLUMNS($AN$1006:AT1006),$AN$1006:$BO$1006,0)))),"Fix")))</f>
        <v>0</v>
      </c>
      <c r="I138" s="4">
        <f>IF(OR(INDEX($AH$2:$AH$1001,MATCH(ROWS($AG$2:AG138),$AG$2:$AG$1001,0),1)&gt;=100000,INDEX($AN$1005:$BO$1005,1,MATCH(COLUMNS($AN$1006:AU1006),$AN$1006:$BO$1006,0))&gt;=100000), " ",IF(INDEX($AN$2:$BO$1001,MATCH(ROWS($AG$2:AG138),$AG$2:$AG$1001,0),MATCH(COLUMNS($AN$1006:AU1006),$AN$1006:$BO$1006,0)), HYPERLINK("#",""), HYPERLINK(CONCATENATE("#Metadata!", ADDRESS(INDEX($AI$2:$AI$1001,MATCH(ROWS($AG$2:AG138),$AG$2:$AG$1001,0),0), INDEX($AN$1004:$BO$1004,1,MATCH(COLUMNS($AN$1006:AU1006),$AN$1006:$BO$1006,0)))),"Fix")))</f>
        <v>0</v>
      </c>
      <c r="J138" s="4">
        <f>IF(OR(INDEX($AH$2:$AH$1001,MATCH(ROWS($AG$2:AG138),$AG$2:$AG$1001,0),1)&gt;=100000,INDEX($AN$1005:$BO$1005,1,MATCH(COLUMNS($AN$1006:AV1006),$AN$1006:$BO$1006,0))&gt;=100000), " ",IF(INDEX($AN$2:$BO$1001,MATCH(ROWS($AG$2:AG138),$AG$2:$AG$1001,0),MATCH(COLUMNS($AN$1006:AV1006),$AN$1006:$BO$1006,0)), HYPERLINK("#",""), HYPERLINK(CONCATENATE("#Metadata!", ADDRESS(INDEX($AI$2:$AI$1001,MATCH(ROWS($AG$2:AG138),$AG$2:$AG$1001,0),0), INDEX($AN$1004:$BO$1004,1,MATCH(COLUMNS($AN$1006:AV1006),$AN$1006:$BO$1006,0)))),"Fix")))</f>
        <v>0</v>
      </c>
      <c r="K138" s="4">
        <f>IF(OR(INDEX($AH$2:$AH$1001,MATCH(ROWS($AG$2:AG138),$AG$2:$AG$1001,0),1)&gt;=100000,INDEX($AN$1005:$BO$1005,1,MATCH(COLUMNS($AN$1006:AW1006),$AN$1006:$BO$1006,0))&gt;=100000), " ",IF(INDEX($AN$2:$BO$1001,MATCH(ROWS($AG$2:AG138),$AG$2:$AG$1001,0),MATCH(COLUMNS($AN$1006:AW1006),$AN$1006:$BO$1006,0)), HYPERLINK("#",""), HYPERLINK(CONCATENATE("#Metadata!", ADDRESS(INDEX($AI$2:$AI$1001,MATCH(ROWS($AG$2:AG138),$AG$2:$AG$1001,0),0), INDEX($AN$1004:$BO$1004,1,MATCH(COLUMNS($AN$1006:AW1006),$AN$1006:$BO$1006,0)))),"Fix")))</f>
        <v>0</v>
      </c>
      <c r="L138" s="4">
        <f>IF(OR(INDEX($AH$2:$AH$1001,MATCH(ROWS($AG$2:AG138),$AG$2:$AG$1001,0),1)&gt;=100000,INDEX($AN$1005:$BO$1005,1,MATCH(COLUMNS($AN$1006:AX1006),$AN$1006:$BO$1006,0))&gt;=100000), " ",IF(INDEX($AN$2:$BO$1001,MATCH(ROWS($AG$2:AG138),$AG$2:$AG$1001,0),MATCH(COLUMNS($AN$1006:AX1006),$AN$1006:$BO$1006,0)), HYPERLINK("#",""), HYPERLINK(CONCATENATE("#Metadata!", ADDRESS(INDEX($AI$2:$AI$1001,MATCH(ROWS($AG$2:AG138),$AG$2:$AG$1001,0),0), INDEX($AN$1004:$BO$1004,1,MATCH(COLUMNS($AN$1006:AX1006),$AN$1006:$BO$1006,0)))),"Fix")))</f>
        <v>0</v>
      </c>
      <c r="M138" s="4">
        <f>IF(OR(INDEX($AH$2:$AH$1001,MATCH(ROWS($AG$2:AG138),$AG$2:$AG$1001,0),1)&gt;=100000,INDEX($AN$1005:$BO$1005,1,MATCH(COLUMNS($AN$1006:AY1006),$AN$1006:$BO$1006,0))&gt;=100000), " ",IF(INDEX($AN$2:$BO$1001,MATCH(ROWS($AG$2:AG138),$AG$2:$AG$1001,0),MATCH(COLUMNS($AN$1006:AY1006),$AN$1006:$BO$1006,0)), HYPERLINK("#",""), HYPERLINK(CONCATENATE("#Metadata!", ADDRESS(INDEX($AI$2:$AI$1001,MATCH(ROWS($AG$2:AG138),$AG$2:$AG$1001,0),0), INDEX($AN$1004:$BO$1004,1,MATCH(COLUMNS($AN$1006:AY1006),$AN$1006:$BO$1006,0)))),"Fix")))</f>
        <v>0</v>
      </c>
      <c r="N138" s="4">
        <f>IF(OR(INDEX($AH$2:$AH$1001,MATCH(ROWS($AG$2:AG138),$AG$2:$AG$1001,0),1)&gt;=100000,INDEX($AN$1005:$BO$1005,1,MATCH(COLUMNS($AN$1006:AZ1006),$AN$1006:$BO$1006,0))&gt;=100000), " ",IF(INDEX($AN$2:$BO$1001,MATCH(ROWS($AG$2:AG138),$AG$2:$AG$1001,0),MATCH(COLUMNS($AN$1006:AZ1006),$AN$1006:$BO$1006,0)), HYPERLINK("#",""), HYPERLINK(CONCATENATE("#Metadata!", ADDRESS(INDEX($AI$2:$AI$1001,MATCH(ROWS($AG$2:AG138),$AG$2:$AG$1001,0),0), INDEX($AN$1004:$BO$1004,1,MATCH(COLUMNS($AN$1006:AZ1006),$AN$1006:$BO$1006,0)))),"Fix")))</f>
        <v>0</v>
      </c>
      <c r="O138" s="4">
        <f>IF(OR(INDEX($AH$2:$AH$1001,MATCH(ROWS($AG$2:AG138),$AG$2:$AG$1001,0),1)&gt;=100000,INDEX($AN$1005:$BO$1005,1,MATCH(COLUMNS($AN$1006:BA1006),$AN$1006:$BO$1006,0))&gt;=100000), " ",IF(INDEX($AN$2:$BO$1001,MATCH(ROWS($AG$2:AG138),$AG$2:$AG$1001,0),MATCH(COLUMNS($AN$1006:BA1006),$AN$1006:$BO$1006,0)), HYPERLINK("#",""), HYPERLINK(CONCATENATE("#Metadata!", ADDRESS(INDEX($AI$2:$AI$1001,MATCH(ROWS($AG$2:AG138),$AG$2:$AG$1001,0),0), INDEX($AN$1004:$BO$1004,1,MATCH(COLUMNS($AN$1006:BA1006),$AN$1006:$BO$1006,0)))),"Fix")))</f>
        <v>0</v>
      </c>
      <c r="P138" s="4">
        <f>IF(OR(INDEX($AH$2:$AH$1001,MATCH(ROWS($AG$2:AG138),$AG$2:$AG$1001,0),1)&gt;=100000,INDEX($AN$1005:$BO$1005,1,MATCH(COLUMNS($AN$1006:BB1006),$AN$1006:$BO$1006,0))&gt;=100000), " ",IF(INDEX($AN$2:$BO$1001,MATCH(ROWS($AG$2:AG138),$AG$2:$AG$1001,0),MATCH(COLUMNS($AN$1006:BB1006),$AN$1006:$BO$1006,0)), HYPERLINK("#",""), HYPERLINK(CONCATENATE("#Metadata!", ADDRESS(INDEX($AI$2:$AI$1001,MATCH(ROWS($AG$2:AG138),$AG$2:$AG$1001,0),0), INDEX($AN$1004:$BO$1004,1,MATCH(COLUMNS($AN$1006:BB1006),$AN$1006:$BO$1006,0)))),"Fix")))</f>
        <v>0</v>
      </c>
      <c r="Q138" s="4">
        <f>IF(OR(INDEX($AH$2:$AH$1001,MATCH(ROWS($AG$2:AG138),$AG$2:$AG$1001,0),1)&gt;=100000,INDEX($AN$1005:$BO$1005,1,MATCH(COLUMNS($AN$1006:BC1006),$AN$1006:$BO$1006,0))&gt;=100000), " ",IF(INDEX($AN$2:$BO$1001,MATCH(ROWS($AG$2:AG138),$AG$2:$AG$1001,0),MATCH(COLUMNS($AN$1006:BC1006),$AN$1006:$BO$1006,0)), HYPERLINK("#",""), HYPERLINK(CONCATENATE("#Metadata!", ADDRESS(INDEX($AI$2:$AI$1001,MATCH(ROWS($AG$2:AG138),$AG$2:$AG$1001,0),0), INDEX($AN$1004:$BO$1004,1,MATCH(COLUMNS($AN$1006:BC1006),$AN$1006:$BO$1006,0)))),"Fix")))</f>
        <v>0</v>
      </c>
      <c r="R138" s="4">
        <f>IF(OR(INDEX($AH$2:$AH$1001,MATCH(ROWS($AG$2:AG138),$AG$2:$AG$1001,0),1)&gt;=100000,INDEX($AN$1005:$BO$1005,1,MATCH(COLUMNS($AN$1006:BD1006),$AN$1006:$BO$1006,0))&gt;=100000), " ",IF(INDEX($AN$2:$BO$1001,MATCH(ROWS($AG$2:AG138),$AG$2:$AG$1001,0),MATCH(COLUMNS($AN$1006:BD1006),$AN$1006:$BO$1006,0)), HYPERLINK("#",""), HYPERLINK(CONCATENATE("#Metadata!", ADDRESS(INDEX($AI$2:$AI$1001,MATCH(ROWS($AG$2:AG138),$AG$2:$AG$1001,0),0), INDEX($AN$1004:$BO$1004,1,MATCH(COLUMNS($AN$1006:BD1006),$AN$1006:$BO$1006,0)))),"Fix")))</f>
        <v>0</v>
      </c>
      <c r="S138" s="4">
        <f>IF(OR(INDEX($AH$2:$AH$1001,MATCH(ROWS($AG$2:AG138),$AG$2:$AG$1001,0),1)&gt;=100000,INDEX($AN$1005:$BO$1005,1,MATCH(COLUMNS($AN$1006:BE1006),$AN$1006:$BO$1006,0))&gt;=100000), " ",IF(INDEX($AN$2:$BO$1001,MATCH(ROWS($AG$2:AG138),$AG$2:$AG$1001,0),MATCH(COLUMNS($AN$1006:BE1006),$AN$1006:$BO$1006,0)), HYPERLINK("#",""), HYPERLINK(CONCATENATE("#Metadata!", ADDRESS(INDEX($AI$2:$AI$1001,MATCH(ROWS($AG$2:AG138),$AG$2:$AG$1001,0),0), INDEX($AN$1004:$BO$1004,1,MATCH(COLUMNS($AN$1006:BE1006),$AN$1006:$BO$1006,0)))),"Fix")))</f>
        <v>0</v>
      </c>
      <c r="T138" s="4">
        <f>IF(OR(INDEX($AH$2:$AH$1001,MATCH(ROWS($AG$2:AG138),$AG$2:$AG$1001,0),1)&gt;=100000,INDEX($AN$1005:$BO$1005,1,MATCH(COLUMNS($AN$1006:BF1006),$AN$1006:$BO$1006,0))&gt;=100000), " ",IF(INDEX($AN$2:$BO$1001,MATCH(ROWS($AG$2:AG138),$AG$2:$AG$1001,0),MATCH(COLUMNS($AN$1006:BF1006),$AN$1006:$BO$1006,0)), HYPERLINK("#",""), HYPERLINK(CONCATENATE("#Metadata!", ADDRESS(INDEX($AI$2:$AI$1001,MATCH(ROWS($AG$2:AG138),$AG$2:$AG$1001,0),0), INDEX($AN$1004:$BO$1004,1,MATCH(COLUMNS($AN$1006:BF1006),$AN$1006:$BO$1006,0)))),"Fix")))</f>
        <v>0</v>
      </c>
      <c r="U138" s="4">
        <f>IF(OR(INDEX($AH$2:$AH$1001,MATCH(ROWS($AG$2:AG138),$AG$2:$AG$1001,0),1)&gt;=100000,INDEX($AN$1005:$BO$1005,1,MATCH(COLUMNS($AN$1006:BG1006),$AN$1006:$BO$1006,0))&gt;=100000), " ",IF(INDEX($AN$2:$BO$1001,MATCH(ROWS($AG$2:AG138),$AG$2:$AG$1001,0),MATCH(COLUMNS($AN$1006:BG1006),$AN$1006:$BO$1006,0)), HYPERLINK("#",""), HYPERLINK(CONCATENATE("#Metadata!", ADDRESS(INDEX($AI$2:$AI$1001,MATCH(ROWS($AG$2:AG138),$AG$2:$AG$1001,0),0), INDEX($AN$1004:$BO$1004,1,MATCH(COLUMNS($AN$1006:BG1006),$AN$1006:$BO$1006,0)))),"Fix")))</f>
        <v>0</v>
      </c>
      <c r="V138" s="4">
        <f>IF(OR(INDEX($AH$2:$AH$1001,MATCH(ROWS($AG$2:AG138),$AG$2:$AG$1001,0),1)&gt;=100000,INDEX($AN$1005:$BO$1005,1,MATCH(COLUMNS($AN$1006:BH1006),$AN$1006:$BO$1006,0))&gt;=100000), " ",IF(INDEX($AN$2:$BO$1001,MATCH(ROWS($AG$2:AG138),$AG$2:$AG$1001,0),MATCH(COLUMNS($AN$1006:BH1006),$AN$1006:$BO$1006,0)), HYPERLINK("#",""), HYPERLINK(CONCATENATE("#Metadata!", ADDRESS(INDEX($AI$2:$AI$1001,MATCH(ROWS($AG$2:AG138),$AG$2:$AG$1001,0),0), INDEX($AN$1004:$BO$1004,1,MATCH(COLUMNS($AN$1006:BH1006),$AN$1006:$BO$1006,0)))),"Fix")))</f>
        <v>0</v>
      </c>
      <c r="W138" s="4">
        <f>IF(OR(INDEX($AH$2:$AH$1001,MATCH(ROWS($AG$2:AG138),$AG$2:$AG$1001,0),1)&gt;=100000,INDEX($AN$1005:$BO$1005,1,MATCH(COLUMNS($AN$1006:BI1006),$AN$1006:$BO$1006,0))&gt;=100000), " ",IF(INDEX($AN$2:$BO$1001,MATCH(ROWS($AG$2:AG138),$AG$2:$AG$1001,0),MATCH(COLUMNS($AN$1006:BI1006),$AN$1006:$BO$1006,0)), HYPERLINK("#",""), HYPERLINK(CONCATENATE("#Metadata!", ADDRESS(INDEX($AI$2:$AI$1001,MATCH(ROWS($AG$2:AG138),$AG$2:$AG$1001,0),0), INDEX($AN$1004:$BO$1004,1,MATCH(COLUMNS($AN$1006:BI1006),$AN$1006:$BO$1006,0)))),"Fix")))</f>
        <v>0</v>
      </c>
      <c r="X138" s="4">
        <f>IF(OR(INDEX($AH$2:$AH$1001,MATCH(ROWS($AG$2:AG138),$AG$2:$AG$1001,0),1)&gt;=100000,INDEX($AN$1005:$BO$1005,1,MATCH(COLUMNS($AN$1006:BJ1006),$AN$1006:$BO$1006,0))&gt;=100000), " ",IF(INDEX($AN$2:$BO$1001,MATCH(ROWS($AG$2:AG138),$AG$2:$AG$1001,0),MATCH(COLUMNS($AN$1006:BJ1006),$AN$1006:$BO$1006,0)), HYPERLINK("#",""), HYPERLINK(CONCATENATE("#Metadata!", ADDRESS(INDEX($AI$2:$AI$1001,MATCH(ROWS($AG$2:AG138),$AG$2:$AG$1001,0),0), INDEX($AN$1004:$BO$1004,1,MATCH(COLUMNS($AN$1006:BJ1006),$AN$1006:$BO$1006,0)))),"Fix")))</f>
        <v>0</v>
      </c>
      <c r="Y138" s="4">
        <f>IF(OR(INDEX($AH$2:$AH$1001,MATCH(ROWS($AG$2:AG138),$AG$2:$AG$1001,0),1)&gt;=100000,INDEX($AN$1005:$BO$1005,1,MATCH(COLUMNS($AN$1006:BK1006),$AN$1006:$BO$1006,0))&gt;=100000), " ",IF(INDEX($AN$2:$BO$1001,MATCH(ROWS($AG$2:AG138),$AG$2:$AG$1001,0),MATCH(COLUMNS($AN$1006:BK1006),$AN$1006:$BO$1006,0)), HYPERLINK("#",""), HYPERLINK(CONCATENATE("#Metadata!", ADDRESS(INDEX($AI$2:$AI$1001,MATCH(ROWS($AG$2:AG138),$AG$2:$AG$1001,0),0), INDEX($AN$1004:$BO$1004,1,MATCH(COLUMNS($AN$1006:BK1006),$AN$1006:$BO$1006,0)))),"Fix")))</f>
        <v>0</v>
      </c>
      <c r="Z138" s="4">
        <f>IF(OR(INDEX($AH$2:$AH$1001,MATCH(ROWS($AG$2:AG138),$AG$2:$AG$1001,0),1)&gt;=100000,INDEX($AN$1005:$BO$1005,1,MATCH(COLUMNS($AN$1006:BL1006),$AN$1006:$BO$1006,0))&gt;=100000), " ",IF(INDEX($AN$2:$BO$1001,MATCH(ROWS($AG$2:AG138),$AG$2:$AG$1001,0),MATCH(COLUMNS($AN$1006:BL1006),$AN$1006:$BO$1006,0)), HYPERLINK("#",""), HYPERLINK(CONCATENATE("#Metadata!", ADDRESS(INDEX($AI$2:$AI$1001,MATCH(ROWS($AG$2:AG138),$AG$2:$AG$1001,0),0), INDEX($AN$1004:$BO$1004,1,MATCH(COLUMNS($AN$1006:BL1006),$AN$1006:$BO$1006,0)))),"Fix")))</f>
        <v>0</v>
      </c>
      <c r="AA138" s="4">
        <f>IF(OR(INDEX($AH$2:$AH$1001,MATCH(ROWS($AG$2:AG138),$AG$2:$AG$1001,0),1)&gt;=100000,INDEX($AN$1005:$BO$1005,1,MATCH(COLUMNS($AN$1006:BM1006),$AN$1006:$BO$1006,0))&gt;=100000), " ",IF(INDEX($AN$2:$BO$1001,MATCH(ROWS($AG$2:AG138),$AG$2:$AG$1001,0),MATCH(COLUMNS($AN$1006:BM1006),$AN$1006:$BO$1006,0)), HYPERLINK("#",""), HYPERLINK(CONCATENATE("#Metadata!", ADDRESS(INDEX($AI$2:$AI$1001,MATCH(ROWS($AG$2:AG138),$AG$2:$AG$1001,0),0), INDEX($AN$1004:$BO$1004,1,MATCH(COLUMNS($AN$1006:BM1006),$AN$1006:$BO$1006,0)))),"Fix")))</f>
        <v>0</v>
      </c>
      <c r="AB138" s="4">
        <f>IF(OR(INDEX($AH$2:$AH$1001,MATCH(ROWS($AG$2:AG138),$AG$2:$AG$1001,0),1)&gt;=100000,INDEX($AN$1005:$BO$1005,1,MATCH(COLUMNS($AN$1006:BN1006),$AN$1006:$BO$1006,0))&gt;=100000), " ",IF(INDEX($AN$2:$BO$1001,MATCH(ROWS($AG$2:AG138),$AG$2:$AG$1001,0),MATCH(COLUMNS($AN$1006:BN1006),$AN$1006:$BO$1006,0)), HYPERLINK("#",""), HYPERLINK(CONCATENATE("#Metadata!", ADDRESS(INDEX($AI$2:$AI$1001,MATCH(ROWS($AG$2:AG138),$AG$2:$AG$1001,0),0), INDEX($AN$1004:$BO$1004,1,MATCH(COLUMNS($AN$1006:BN1006),$AN$1006:$BO$1006,0)))),"Fix")))</f>
        <v>0</v>
      </c>
      <c r="AC138" s="4">
        <f>IF(OR(INDEX($AH$2:$AH$1001,MATCH(ROWS($AG$2:AG138),$AG$2:$AG$1001,0),1)&gt;=100000,INDEX($AN$1005:$BO$1005,1,MATCH(COLUMNS($AN$1006:BO1006),$AN$1006:$BO$1006,0))&gt;=100000), " ",IF(INDEX($AN$2:$BO$1001,MATCH(ROWS($AG$2:AG138),$AG$2:$AG$1001,0),MATCH(COLUMNS($AN$1006:BO1006),$AN$1006:$BO$1006,0)), HYPERLINK("#",""), HYPERLINK(CONCATENATE("#Metadata!", ADDRESS(INDEX($AI$2:$AI$1001,MATCH(ROWS($AG$2:AG138),$AG$2:$AG$1001,0),0), INDEX($AN$1004:$BO$1004,1,MATCH(COLUMNS($AN$1006:BO1006),$AN$1006:$BO$1006,0)))),"Fix")))</f>
        <v>0</v>
      </c>
      <c r="AG138">
        <v>0</v>
      </c>
      <c r="AH138">
        <v>0</v>
      </c>
      <c r="AI138">
        <v>0</v>
      </c>
      <c r="AJ138">
        <f>IF(AK138,TRUE,AND(AN138:BO138))</f>
        <v>0</v>
      </c>
      <c r="AK138">
        <f>COUNTBLANK(Metadata!B138:AC138)=COLUMNS(Metadata!B138:AC138)</f>
        <v>0</v>
      </c>
      <c r="AL138">
        <v>0</v>
      </c>
      <c r="AN138">
        <f>AND(IF(Metadata!B138="",FALSE,TRUE),COUNTIF(Metadata!B:B, Metadata!B138) = 1,NOT(ISERROR(SUMPRODUCT(SEARCH(MID(Metadata!B138,ROW(INDIRECT("1:"&amp;LEN(Metadata!B138))), 1),"0123456789abcdefghijklmnopqrstuvwxyzABCDEFGHIJKLMNOPQRSTUVWXYZ.")))))</f>
        <v>0</v>
      </c>
      <c r="AO138">
        <f>IF(Metadata!C138="",FALSE,TRUE)</f>
        <v>0</v>
      </c>
      <c r="AP138">
        <f>IF(Metadata!D138="",FALSE,TRUE)</f>
        <v>0</v>
      </c>
      <c r="AQ138">
        <f>OR(AND(IF(Metadata!E138="",FALSE,TRUE),OR(exact(Metadata!E138,"not collected"),exact(Metadata!E138,"not provided"),exact(Metadata!E138,"restricted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R138">
        <f>IF(Metadata!F138="",FALSE,TRUE)</f>
        <v>0</v>
      </c>
      <c r="AS138">
        <f>OR(AND(IF(Metadata!G138="",FALSE,TRUE),OR(exact(Metadata!G138,"not collected"),exact(Metadata!G138,"not provided"))),AND(IF(Metadata!G138="",FALSE,TRUE),OR(exact(Metadata!G138,"TRUE"),exact(Metadata!G138,"FALSE"))))</f>
        <v>0</v>
      </c>
      <c r="AT138">
        <f>OR(AND(IF(Metadata!H138="",FALSE,TRUE),OR(exact(Metadata!H138,"not collected"),exact(Metadata!H138,"not provided"),exact(Metadata!H138,"restricted access"))),AND(IF(Metadata!H138="",FALSE,ISNUMBER(VALUE(Metadata!H138))),Metadata!H138&gt;=-413.0))</f>
        <v>0</v>
      </c>
      <c r="AU138">
        <f>AND(IF(Metadata!I138="",FALSE,TRUE),exact(Metadata!I138,"meters"))</f>
        <v>0</v>
      </c>
      <c r="AV138">
        <f>AND(IF(Metadata!J138="",FALSE,TRUE),OR(exact(Metadata!J138,"Host-associated"),exact(Metadata!J138,"Free-living")))</f>
        <v>0</v>
      </c>
      <c r="AW138">
        <f>AND(IF(Metadata!K138="",FALSE,TRUE),OR(exact(Metadata!K138,"Animal"),exact(Metadata!K138,"Fungus"),exact(Metadata!K138,"Plant"),exact(Metadata!K138,"Saline"),exact(Metadata!K138,"Non-saline")))</f>
        <v>0</v>
      </c>
      <c r="AX138">
        <f>AND(IF(Metadata!L138="",FALSE,TRUE),OR(exact(Metadata!L138,"Plant secretion"),exact(Metadata!L138,"Plant rhizosphere"),exact(Metadata!L138,"Plant surface"),exact(Metadata!L138,"Plant corpus"),exact(Metadata!L138,"Fungus surface"),exact(Metadata!L138,"Fungus corpus"),exact(Metadata!L138,"Animal surface"),exact(Metadata!L138,"Animal proximal gut"),exact(Metadata!L138,"Animal corpus"),exact(Metadata!L138,"Animal distal gut"),exact(Metadata!L138,"Animal secretion"),exact(Metadata!L138,"Sub-surface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Y138">
        <f>IF(Metadata!M138="",FALSE,TRUE)</f>
        <v>0</v>
      </c>
      <c r="AZ138">
        <f>IF(Metadata!N138="",FALSE,TRUE)</f>
        <v>0</v>
      </c>
      <c r="BA138">
        <f>IF(Metadata!O138="",FALSE,TRUE)</f>
        <v>0</v>
      </c>
      <c r="BB138">
        <f>OR(AND(IF(Metadata!P138="",FALSE,TRUE),OR(exact(Metadata!P138,"not collected"),exact(Metadata!P138,"not provided"),exact(Metadata!P138,"restricted access"))),AND(IF(Metadata!P138="",FALSE,TRUE),OR(exact(Metadata!P138,"air"),exact(Metadata!P138,"built environment"),exact(Metadata!P138,"host-associated"),exact(Metadata!P138,"human-associated"),exact(Metadata!P138,"human-skin"),exact(Metadata!P138,"human-oral"),exact(Metadata!P138,"human-gut"),exact(Metadata!P138,"human-vaginal"),exact(Metadata!P138,"microbial mat/biofilm"),exact(Metadata!P138,"misc environment"),exact(Metadata!P138,"plant-associated"),exact(Metadata!P138,"sediment"),exact(Metadata!P138,"soil"),exact(Metadata!P138,"wastewater/sludge"),exact(Metadata!P138,"water"))))</f>
        <v>0</v>
      </c>
      <c r="BC138">
        <f>IF(Metadata!Q138="",FALSE,TRUE)</f>
        <v>0</v>
      </c>
      <c r="BD138">
        <f>IF(Metadata!R138="",FALSE,TRUE)</f>
        <v>0</v>
      </c>
      <c r="BE138">
        <f>OR(AND(IF(Metadata!S138="",FALSE,TRUE),OR(exact(Metadata!S138,"not collected"),exact(Metadata!S138,"not provided"),exact(Metadata!S138,"restricted access"))),AND(IF(Metadata!S138="",FALSE,ISNUMBER(VALUE(Metadata!S138))),Metadata!S138&gt;=-90.00,Metadata!S138&lt;=90.00))</f>
        <v>0</v>
      </c>
      <c r="BF138">
        <f>AND(IF(Metadata!T138="",FALSE,TRUE),exact(Metadata!T138,"Decimal degrees"))</f>
        <v>0</v>
      </c>
      <c r="BG138">
        <f>OR(AND(IF(Metadata!U138="",FALSE,TRUE),OR(exact(Metadata!U138,"not collected"),exact(Metadata!U138,"not provided"),exact(Metadata!U138,"restricted access"))),AND(IF(Metadata!U138="",FALSE,ISNUMBER(VALUE(Metadata!U138))),Metadata!U138&gt;=-180.00,Metadata!U138&lt;=180.00))</f>
        <v>0</v>
      </c>
      <c r="BH138">
        <f>AND(IF(Metadata!V138="",FALSE,TRUE),exact(Metadata!V138,"Decimal degrees"))</f>
        <v>0</v>
      </c>
      <c r="BI138">
        <f>IF(Metadata!W138="",FALSE,TRUE)</f>
        <v>0</v>
      </c>
      <c r="BJ138">
        <f>OR(AND(IF(Metadata!X138="",FALSE,TRUE),OR(exact(Metadata!X138,"not collected"),exact(Metadata!X138,"not provided"),exact(Metadata!X138,"restricted access"))),AND(IF(Metadata!X138="",FALSE,TRUE),OR(exact(Metadata!X138,"TRUE"),exact(Metadata!X138,"FALSE"))))</f>
        <v>0</v>
      </c>
      <c r="BK138">
        <f>AND(IF(Metadata!Y138="",FALSE,TRUE),exact(Metadata!Y138,"other"))</f>
        <v>0</v>
      </c>
      <c r="BL138">
        <f>IF(Metadata!Z138="",FALSE,TRUE)</f>
        <v>0</v>
      </c>
      <c r="BM138">
        <f>OR(AND(IF(Metadata!AA138="",FALSE,TRUE),OR(exact(Metadata!AA138,"not collected"),exact(Metadata!AA138,"not provided"))),AND(IF(Metadata!AA138="",FALSE,IF(ISERROR(INT(Metadata!AA138)),FALSE,INT(Metadata!AA138)=Metadata!AA138)),Metadata!AA138&gt;0))</f>
        <v>0</v>
      </c>
      <c r="BN138">
        <f>AND(IF(Metadata!AB138="",FALSE,TRUE),exact(Metadata!AB138,"Not applicable"))</f>
        <v>0</v>
      </c>
      <c r="BO138">
        <f>IF(Metadata!AC138="",FALSE,TRUE)</f>
        <v>0</v>
      </c>
    </row>
    <row r="139" spans="1:67">
      <c r="A139" s="5">
        <f>IF(B139=" "," ",HYPERLINK(CONCATENATE("#metadata!",ADDRESS(INDEX($AI$2:$AI$1001,MATCH(ROWS($AG$2:AG139),$AG$2:$AG$1001,0),0),1)),INDEX($AL$2:$AL$1001,MATCH(ROWS($AG$2:AG139),$AG$2:$AG$1001,0),0)))</f>
        <v>0</v>
      </c>
      <c r="B139" s="4">
        <f>IF(OR(INDEX($AH$2:$AH$1001,MATCH(ROWS($AG$2:AG139),$AG$2:$AG$1001,0),1)&gt;=100000,INDEX($AN$1005:$BO$1005,1,MATCH(COLUMNS($AN$1006:AN1006),$AN$1006:$BO$1006,0))&gt;=100000), " ",IF(INDEX($AN$2:$BO$1001,MATCH(ROWS($AG$2:AG139),$AG$2:$AG$1001,0),MATCH(COLUMNS($AN$1006:AN1006),$AN$1006:$BO$1006,0)), HYPERLINK("#",""), HYPERLINK(CONCATENATE("#Metadata!", ADDRESS(INDEX($AI$2:$AI$1001,MATCH(ROWS($AG$2:AG139),$AG$2:$AG$1001,0),0), INDEX($AN$1004:$BO$1004,1,MATCH(COLUMNS($AN$1006:AN1006),$AN$1006:$BO$1006,0)))),"Fix")))</f>
        <v>0</v>
      </c>
      <c r="C139" s="4">
        <f>IF(OR(INDEX($AH$2:$AH$1001,MATCH(ROWS($AG$2:AG139),$AG$2:$AG$1001,0),1)&gt;=100000,INDEX($AN$1005:$BO$1005,1,MATCH(COLUMNS($AN$1006:AO1006),$AN$1006:$BO$1006,0))&gt;=100000), " ",IF(INDEX($AN$2:$BO$1001,MATCH(ROWS($AG$2:AG139),$AG$2:$AG$1001,0),MATCH(COLUMNS($AN$1006:AO1006),$AN$1006:$BO$1006,0)), HYPERLINK("#",""), HYPERLINK(CONCATENATE("#Metadata!", ADDRESS(INDEX($AI$2:$AI$1001,MATCH(ROWS($AG$2:AG139),$AG$2:$AG$1001,0),0), INDEX($AN$1004:$BO$1004,1,MATCH(COLUMNS($AN$1006:AO1006),$AN$1006:$BO$1006,0)))),"Fix")))</f>
        <v>0</v>
      </c>
      <c r="D139" s="4">
        <f>IF(OR(INDEX($AH$2:$AH$1001,MATCH(ROWS($AG$2:AG139),$AG$2:$AG$1001,0),1)&gt;=100000,INDEX($AN$1005:$BO$1005,1,MATCH(COLUMNS($AN$1006:AP1006),$AN$1006:$BO$1006,0))&gt;=100000), " ",IF(INDEX($AN$2:$BO$1001,MATCH(ROWS($AG$2:AG139),$AG$2:$AG$1001,0),MATCH(COLUMNS($AN$1006:AP1006),$AN$1006:$BO$1006,0)), HYPERLINK("#",""), HYPERLINK(CONCATENATE("#Metadata!", ADDRESS(INDEX($AI$2:$AI$1001,MATCH(ROWS($AG$2:AG139),$AG$2:$AG$1001,0),0), INDEX($AN$1004:$BO$1004,1,MATCH(COLUMNS($AN$1006:AP1006),$AN$1006:$BO$1006,0)))),"Fix")))</f>
        <v>0</v>
      </c>
      <c r="E139" s="4">
        <f>IF(OR(INDEX($AH$2:$AH$1001,MATCH(ROWS($AG$2:AG139),$AG$2:$AG$1001,0),1)&gt;=100000,INDEX($AN$1005:$BO$1005,1,MATCH(COLUMNS($AN$1006:AQ1006),$AN$1006:$BO$1006,0))&gt;=100000), " ",IF(INDEX($AN$2:$BO$1001,MATCH(ROWS($AG$2:AG139),$AG$2:$AG$1001,0),MATCH(COLUMNS($AN$1006:AQ1006),$AN$1006:$BO$1006,0)), HYPERLINK("#",""), HYPERLINK(CONCATENATE("#Metadata!", ADDRESS(INDEX($AI$2:$AI$1001,MATCH(ROWS($AG$2:AG139),$AG$2:$AG$1001,0),0), INDEX($AN$1004:$BO$1004,1,MATCH(COLUMNS($AN$1006:AQ1006),$AN$1006:$BO$1006,0)))),"Fix")))</f>
        <v>0</v>
      </c>
      <c r="F139" s="4">
        <f>IF(OR(INDEX($AH$2:$AH$1001,MATCH(ROWS($AG$2:AG139),$AG$2:$AG$1001,0),1)&gt;=100000,INDEX($AN$1005:$BO$1005,1,MATCH(COLUMNS($AN$1006:AR1006),$AN$1006:$BO$1006,0))&gt;=100000), " ",IF(INDEX($AN$2:$BO$1001,MATCH(ROWS($AG$2:AG139),$AG$2:$AG$1001,0),MATCH(COLUMNS($AN$1006:AR1006),$AN$1006:$BO$1006,0)), HYPERLINK("#",""), HYPERLINK(CONCATENATE("#Metadata!", ADDRESS(INDEX($AI$2:$AI$1001,MATCH(ROWS($AG$2:AG139),$AG$2:$AG$1001,0),0), INDEX($AN$1004:$BO$1004,1,MATCH(COLUMNS($AN$1006:AR1006),$AN$1006:$BO$1006,0)))),"Fix")))</f>
        <v>0</v>
      </c>
      <c r="G139" s="4">
        <f>IF(OR(INDEX($AH$2:$AH$1001,MATCH(ROWS($AG$2:AG139),$AG$2:$AG$1001,0),1)&gt;=100000,INDEX($AN$1005:$BO$1005,1,MATCH(COLUMNS($AN$1006:AS1006),$AN$1006:$BO$1006,0))&gt;=100000), " ",IF(INDEX($AN$2:$BO$1001,MATCH(ROWS($AG$2:AG139),$AG$2:$AG$1001,0),MATCH(COLUMNS($AN$1006:AS1006),$AN$1006:$BO$1006,0)), HYPERLINK("#",""), HYPERLINK(CONCATENATE("#Metadata!", ADDRESS(INDEX($AI$2:$AI$1001,MATCH(ROWS($AG$2:AG139),$AG$2:$AG$1001,0),0), INDEX($AN$1004:$BO$1004,1,MATCH(COLUMNS($AN$1006:AS1006),$AN$1006:$BO$1006,0)))),"Fix")))</f>
        <v>0</v>
      </c>
      <c r="H139" s="4">
        <f>IF(OR(INDEX($AH$2:$AH$1001,MATCH(ROWS($AG$2:AG139),$AG$2:$AG$1001,0),1)&gt;=100000,INDEX($AN$1005:$BO$1005,1,MATCH(COLUMNS($AN$1006:AT1006),$AN$1006:$BO$1006,0))&gt;=100000), " ",IF(INDEX($AN$2:$BO$1001,MATCH(ROWS($AG$2:AG139),$AG$2:$AG$1001,0),MATCH(COLUMNS($AN$1006:AT1006),$AN$1006:$BO$1006,0)), HYPERLINK("#",""), HYPERLINK(CONCATENATE("#Metadata!", ADDRESS(INDEX($AI$2:$AI$1001,MATCH(ROWS($AG$2:AG139),$AG$2:$AG$1001,0),0), INDEX($AN$1004:$BO$1004,1,MATCH(COLUMNS($AN$1006:AT1006),$AN$1006:$BO$1006,0)))),"Fix")))</f>
        <v>0</v>
      </c>
      <c r="I139" s="4">
        <f>IF(OR(INDEX($AH$2:$AH$1001,MATCH(ROWS($AG$2:AG139),$AG$2:$AG$1001,0),1)&gt;=100000,INDEX($AN$1005:$BO$1005,1,MATCH(COLUMNS($AN$1006:AU1006),$AN$1006:$BO$1006,0))&gt;=100000), " ",IF(INDEX($AN$2:$BO$1001,MATCH(ROWS($AG$2:AG139),$AG$2:$AG$1001,0),MATCH(COLUMNS($AN$1006:AU1006),$AN$1006:$BO$1006,0)), HYPERLINK("#",""), HYPERLINK(CONCATENATE("#Metadata!", ADDRESS(INDEX($AI$2:$AI$1001,MATCH(ROWS($AG$2:AG139),$AG$2:$AG$1001,0),0), INDEX($AN$1004:$BO$1004,1,MATCH(COLUMNS($AN$1006:AU1006),$AN$1006:$BO$1006,0)))),"Fix")))</f>
        <v>0</v>
      </c>
      <c r="J139" s="4">
        <f>IF(OR(INDEX($AH$2:$AH$1001,MATCH(ROWS($AG$2:AG139),$AG$2:$AG$1001,0),1)&gt;=100000,INDEX($AN$1005:$BO$1005,1,MATCH(COLUMNS($AN$1006:AV1006),$AN$1006:$BO$1006,0))&gt;=100000), " ",IF(INDEX($AN$2:$BO$1001,MATCH(ROWS($AG$2:AG139),$AG$2:$AG$1001,0),MATCH(COLUMNS($AN$1006:AV1006),$AN$1006:$BO$1006,0)), HYPERLINK("#",""), HYPERLINK(CONCATENATE("#Metadata!", ADDRESS(INDEX($AI$2:$AI$1001,MATCH(ROWS($AG$2:AG139),$AG$2:$AG$1001,0),0), INDEX($AN$1004:$BO$1004,1,MATCH(COLUMNS($AN$1006:AV1006),$AN$1006:$BO$1006,0)))),"Fix")))</f>
        <v>0</v>
      </c>
      <c r="K139" s="4">
        <f>IF(OR(INDEX($AH$2:$AH$1001,MATCH(ROWS($AG$2:AG139),$AG$2:$AG$1001,0),1)&gt;=100000,INDEX($AN$1005:$BO$1005,1,MATCH(COLUMNS($AN$1006:AW1006),$AN$1006:$BO$1006,0))&gt;=100000), " ",IF(INDEX($AN$2:$BO$1001,MATCH(ROWS($AG$2:AG139),$AG$2:$AG$1001,0),MATCH(COLUMNS($AN$1006:AW1006),$AN$1006:$BO$1006,0)), HYPERLINK("#",""), HYPERLINK(CONCATENATE("#Metadata!", ADDRESS(INDEX($AI$2:$AI$1001,MATCH(ROWS($AG$2:AG139),$AG$2:$AG$1001,0),0), INDEX($AN$1004:$BO$1004,1,MATCH(COLUMNS($AN$1006:AW1006),$AN$1006:$BO$1006,0)))),"Fix")))</f>
        <v>0</v>
      </c>
      <c r="L139" s="4">
        <f>IF(OR(INDEX($AH$2:$AH$1001,MATCH(ROWS($AG$2:AG139),$AG$2:$AG$1001,0),1)&gt;=100000,INDEX($AN$1005:$BO$1005,1,MATCH(COLUMNS($AN$1006:AX1006),$AN$1006:$BO$1006,0))&gt;=100000), " ",IF(INDEX($AN$2:$BO$1001,MATCH(ROWS($AG$2:AG139),$AG$2:$AG$1001,0),MATCH(COLUMNS($AN$1006:AX1006),$AN$1006:$BO$1006,0)), HYPERLINK("#",""), HYPERLINK(CONCATENATE("#Metadata!", ADDRESS(INDEX($AI$2:$AI$1001,MATCH(ROWS($AG$2:AG139),$AG$2:$AG$1001,0),0), INDEX($AN$1004:$BO$1004,1,MATCH(COLUMNS($AN$1006:AX1006),$AN$1006:$BO$1006,0)))),"Fix")))</f>
        <v>0</v>
      </c>
      <c r="M139" s="4">
        <f>IF(OR(INDEX($AH$2:$AH$1001,MATCH(ROWS($AG$2:AG139),$AG$2:$AG$1001,0),1)&gt;=100000,INDEX($AN$1005:$BO$1005,1,MATCH(COLUMNS($AN$1006:AY1006),$AN$1006:$BO$1006,0))&gt;=100000), " ",IF(INDEX($AN$2:$BO$1001,MATCH(ROWS($AG$2:AG139),$AG$2:$AG$1001,0),MATCH(COLUMNS($AN$1006:AY1006),$AN$1006:$BO$1006,0)), HYPERLINK("#",""), HYPERLINK(CONCATENATE("#Metadata!", ADDRESS(INDEX($AI$2:$AI$1001,MATCH(ROWS($AG$2:AG139),$AG$2:$AG$1001,0),0), INDEX($AN$1004:$BO$1004,1,MATCH(COLUMNS($AN$1006:AY1006),$AN$1006:$BO$1006,0)))),"Fix")))</f>
        <v>0</v>
      </c>
      <c r="N139" s="4">
        <f>IF(OR(INDEX($AH$2:$AH$1001,MATCH(ROWS($AG$2:AG139),$AG$2:$AG$1001,0),1)&gt;=100000,INDEX($AN$1005:$BO$1005,1,MATCH(COLUMNS($AN$1006:AZ1006),$AN$1006:$BO$1006,0))&gt;=100000), " ",IF(INDEX($AN$2:$BO$1001,MATCH(ROWS($AG$2:AG139),$AG$2:$AG$1001,0),MATCH(COLUMNS($AN$1006:AZ1006),$AN$1006:$BO$1006,0)), HYPERLINK("#",""), HYPERLINK(CONCATENATE("#Metadata!", ADDRESS(INDEX($AI$2:$AI$1001,MATCH(ROWS($AG$2:AG139),$AG$2:$AG$1001,0),0), INDEX($AN$1004:$BO$1004,1,MATCH(COLUMNS($AN$1006:AZ1006),$AN$1006:$BO$1006,0)))),"Fix")))</f>
        <v>0</v>
      </c>
      <c r="O139" s="4">
        <f>IF(OR(INDEX($AH$2:$AH$1001,MATCH(ROWS($AG$2:AG139),$AG$2:$AG$1001,0),1)&gt;=100000,INDEX($AN$1005:$BO$1005,1,MATCH(COLUMNS($AN$1006:BA1006),$AN$1006:$BO$1006,0))&gt;=100000), " ",IF(INDEX($AN$2:$BO$1001,MATCH(ROWS($AG$2:AG139),$AG$2:$AG$1001,0),MATCH(COLUMNS($AN$1006:BA1006),$AN$1006:$BO$1006,0)), HYPERLINK("#",""), HYPERLINK(CONCATENATE("#Metadata!", ADDRESS(INDEX($AI$2:$AI$1001,MATCH(ROWS($AG$2:AG139),$AG$2:$AG$1001,0),0), INDEX($AN$1004:$BO$1004,1,MATCH(COLUMNS($AN$1006:BA1006),$AN$1006:$BO$1006,0)))),"Fix")))</f>
        <v>0</v>
      </c>
      <c r="P139" s="4">
        <f>IF(OR(INDEX($AH$2:$AH$1001,MATCH(ROWS($AG$2:AG139),$AG$2:$AG$1001,0),1)&gt;=100000,INDEX($AN$1005:$BO$1005,1,MATCH(COLUMNS($AN$1006:BB1006),$AN$1006:$BO$1006,0))&gt;=100000), " ",IF(INDEX($AN$2:$BO$1001,MATCH(ROWS($AG$2:AG139),$AG$2:$AG$1001,0),MATCH(COLUMNS($AN$1006:BB1006),$AN$1006:$BO$1006,0)), HYPERLINK("#",""), HYPERLINK(CONCATENATE("#Metadata!", ADDRESS(INDEX($AI$2:$AI$1001,MATCH(ROWS($AG$2:AG139),$AG$2:$AG$1001,0),0), INDEX($AN$1004:$BO$1004,1,MATCH(COLUMNS($AN$1006:BB1006),$AN$1006:$BO$1006,0)))),"Fix")))</f>
        <v>0</v>
      </c>
      <c r="Q139" s="4">
        <f>IF(OR(INDEX($AH$2:$AH$1001,MATCH(ROWS($AG$2:AG139),$AG$2:$AG$1001,0),1)&gt;=100000,INDEX($AN$1005:$BO$1005,1,MATCH(COLUMNS($AN$1006:BC1006),$AN$1006:$BO$1006,0))&gt;=100000), " ",IF(INDEX($AN$2:$BO$1001,MATCH(ROWS($AG$2:AG139),$AG$2:$AG$1001,0),MATCH(COLUMNS($AN$1006:BC1006),$AN$1006:$BO$1006,0)), HYPERLINK("#",""), HYPERLINK(CONCATENATE("#Metadata!", ADDRESS(INDEX($AI$2:$AI$1001,MATCH(ROWS($AG$2:AG139),$AG$2:$AG$1001,0),0), INDEX($AN$1004:$BO$1004,1,MATCH(COLUMNS($AN$1006:BC1006),$AN$1006:$BO$1006,0)))),"Fix")))</f>
        <v>0</v>
      </c>
      <c r="R139" s="4">
        <f>IF(OR(INDEX($AH$2:$AH$1001,MATCH(ROWS($AG$2:AG139),$AG$2:$AG$1001,0),1)&gt;=100000,INDEX($AN$1005:$BO$1005,1,MATCH(COLUMNS($AN$1006:BD1006),$AN$1006:$BO$1006,0))&gt;=100000), " ",IF(INDEX($AN$2:$BO$1001,MATCH(ROWS($AG$2:AG139),$AG$2:$AG$1001,0),MATCH(COLUMNS($AN$1006:BD1006),$AN$1006:$BO$1006,0)), HYPERLINK("#",""), HYPERLINK(CONCATENATE("#Metadata!", ADDRESS(INDEX($AI$2:$AI$1001,MATCH(ROWS($AG$2:AG139),$AG$2:$AG$1001,0),0), INDEX($AN$1004:$BO$1004,1,MATCH(COLUMNS($AN$1006:BD1006),$AN$1006:$BO$1006,0)))),"Fix")))</f>
        <v>0</v>
      </c>
      <c r="S139" s="4">
        <f>IF(OR(INDEX($AH$2:$AH$1001,MATCH(ROWS($AG$2:AG139),$AG$2:$AG$1001,0),1)&gt;=100000,INDEX($AN$1005:$BO$1005,1,MATCH(COLUMNS($AN$1006:BE1006),$AN$1006:$BO$1006,0))&gt;=100000), " ",IF(INDEX($AN$2:$BO$1001,MATCH(ROWS($AG$2:AG139),$AG$2:$AG$1001,0),MATCH(COLUMNS($AN$1006:BE1006),$AN$1006:$BO$1006,0)), HYPERLINK("#",""), HYPERLINK(CONCATENATE("#Metadata!", ADDRESS(INDEX($AI$2:$AI$1001,MATCH(ROWS($AG$2:AG139),$AG$2:$AG$1001,0),0), INDEX($AN$1004:$BO$1004,1,MATCH(COLUMNS($AN$1006:BE1006),$AN$1006:$BO$1006,0)))),"Fix")))</f>
        <v>0</v>
      </c>
      <c r="T139" s="4">
        <f>IF(OR(INDEX($AH$2:$AH$1001,MATCH(ROWS($AG$2:AG139),$AG$2:$AG$1001,0),1)&gt;=100000,INDEX($AN$1005:$BO$1005,1,MATCH(COLUMNS($AN$1006:BF1006),$AN$1006:$BO$1006,0))&gt;=100000), " ",IF(INDEX($AN$2:$BO$1001,MATCH(ROWS($AG$2:AG139),$AG$2:$AG$1001,0),MATCH(COLUMNS($AN$1006:BF1006),$AN$1006:$BO$1006,0)), HYPERLINK("#",""), HYPERLINK(CONCATENATE("#Metadata!", ADDRESS(INDEX($AI$2:$AI$1001,MATCH(ROWS($AG$2:AG139),$AG$2:$AG$1001,0),0), INDEX($AN$1004:$BO$1004,1,MATCH(COLUMNS($AN$1006:BF1006),$AN$1006:$BO$1006,0)))),"Fix")))</f>
        <v>0</v>
      </c>
      <c r="U139" s="4">
        <f>IF(OR(INDEX($AH$2:$AH$1001,MATCH(ROWS($AG$2:AG139),$AG$2:$AG$1001,0),1)&gt;=100000,INDEX($AN$1005:$BO$1005,1,MATCH(COLUMNS($AN$1006:BG1006),$AN$1006:$BO$1006,0))&gt;=100000), " ",IF(INDEX($AN$2:$BO$1001,MATCH(ROWS($AG$2:AG139),$AG$2:$AG$1001,0),MATCH(COLUMNS($AN$1006:BG1006),$AN$1006:$BO$1006,0)), HYPERLINK("#",""), HYPERLINK(CONCATENATE("#Metadata!", ADDRESS(INDEX($AI$2:$AI$1001,MATCH(ROWS($AG$2:AG139),$AG$2:$AG$1001,0),0), INDEX($AN$1004:$BO$1004,1,MATCH(COLUMNS($AN$1006:BG1006),$AN$1006:$BO$1006,0)))),"Fix")))</f>
        <v>0</v>
      </c>
      <c r="V139" s="4">
        <f>IF(OR(INDEX($AH$2:$AH$1001,MATCH(ROWS($AG$2:AG139),$AG$2:$AG$1001,0),1)&gt;=100000,INDEX($AN$1005:$BO$1005,1,MATCH(COLUMNS($AN$1006:BH1006),$AN$1006:$BO$1006,0))&gt;=100000), " ",IF(INDEX($AN$2:$BO$1001,MATCH(ROWS($AG$2:AG139),$AG$2:$AG$1001,0),MATCH(COLUMNS($AN$1006:BH1006),$AN$1006:$BO$1006,0)), HYPERLINK("#",""), HYPERLINK(CONCATENATE("#Metadata!", ADDRESS(INDEX($AI$2:$AI$1001,MATCH(ROWS($AG$2:AG139),$AG$2:$AG$1001,0),0), INDEX($AN$1004:$BO$1004,1,MATCH(COLUMNS($AN$1006:BH1006),$AN$1006:$BO$1006,0)))),"Fix")))</f>
        <v>0</v>
      </c>
      <c r="W139" s="4">
        <f>IF(OR(INDEX($AH$2:$AH$1001,MATCH(ROWS($AG$2:AG139),$AG$2:$AG$1001,0),1)&gt;=100000,INDEX($AN$1005:$BO$1005,1,MATCH(COLUMNS($AN$1006:BI1006),$AN$1006:$BO$1006,0))&gt;=100000), " ",IF(INDEX($AN$2:$BO$1001,MATCH(ROWS($AG$2:AG139),$AG$2:$AG$1001,0),MATCH(COLUMNS($AN$1006:BI1006),$AN$1006:$BO$1006,0)), HYPERLINK("#",""), HYPERLINK(CONCATENATE("#Metadata!", ADDRESS(INDEX($AI$2:$AI$1001,MATCH(ROWS($AG$2:AG139),$AG$2:$AG$1001,0),0), INDEX($AN$1004:$BO$1004,1,MATCH(COLUMNS($AN$1006:BI1006),$AN$1006:$BO$1006,0)))),"Fix")))</f>
        <v>0</v>
      </c>
      <c r="X139" s="4">
        <f>IF(OR(INDEX($AH$2:$AH$1001,MATCH(ROWS($AG$2:AG139),$AG$2:$AG$1001,0),1)&gt;=100000,INDEX($AN$1005:$BO$1005,1,MATCH(COLUMNS($AN$1006:BJ1006),$AN$1006:$BO$1006,0))&gt;=100000), " ",IF(INDEX($AN$2:$BO$1001,MATCH(ROWS($AG$2:AG139),$AG$2:$AG$1001,0),MATCH(COLUMNS($AN$1006:BJ1006),$AN$1006:$BO$1006,0)), HYPERLINK("#",""), HYPERLINK(CONCATENATE("#Metadata!", ADDRESS(INDEX($AI$2:$AI$1001,MATCH(ROWS($AG$2:AG139),$AG$2:$AG$1001,0),0), INDEX($AN$1004:$BO$1004,1,MATCH(COLUMNS($AN$1006:BJ1006),$AN$1006:$BO$1006,0)))),"Fix")))</f>
        <v>0</v>
      </c>
      <c r="Y139" s="4">
        <f>IF(OR(INDEX($AH$2:$AH$1001,MATCH(ROWS($AG$2:AG139),$AG$2:$AG$1001,0),1)&gt;=100000,INDEX($AN$1005:$BO$1005,1,MATCH(COLUMNS($AN$1006:BK1006),$AN$1006:$BO$1006,0))&gt;=100000), " ",IF(INDEX($AN$2:$BO$1001,MATCH(ROWS($AG$2:AG139),$AG$2:$AG$1001,0),MATCH(COLUMNS($AN$1006:BK1006),$AN$1006:$BO$1006,0)), HYPERLINK("#",""), HYPERLINK(CONCATENATE("#Metadata!", ADDRESS(INDEX($AI$2:$AI$1001,MATCH(ROWS($AG$2:AG139),$AG$2:$AG$1001,0),0), INDEX($AN$1004:$BO$1004,1,MATCH(COLUMNS($AN$1006:BK1006),$AN$1006:$BO$1006,0)))),"Fix")))</f>
        <v>0</v>
      </c>
      <c r="Z139" s="4">
        <f>IF(OR(INDEX($AH$2:$AH$1001,MATCH(ROWS($AG$2:AG139),$AG$2:$AG$1001,0),1)&gt;=100000,INDEX($AN$1005:$BO$1005,1,MATCH(COLUMNS($AN$1006:BL1006),$AN$1006:$BO$1006,0))&gt;=100000), " ",IF(INDEX($AN$2:$BO$1001,MATCH(ROWS($AG$2:AG139),$AG$2:$AG$1001,0),MATCH(COLUMNS($AN$1006:BL1006),$AN$1006:$BO$1006,0)), HYPERLINK("#",""), HYPERLINK(CONCATENATE("#Metadata!", ADDRESS(INDEX($AI$2:$AI$1001,MATCH(ROWS($AG$2:AG139),$AG$2:$AG$1001,0),0), INDEX($AN$1004:$BO$1004,1,MATCH(COLUMNS($AN$1006:BL1006),$AN$1006:$BO$1006,0)))),"Fix")))</f>
        <v>0</v>
      </c>
      <c r="AA139" s="4">
        <f>IF(OR(INDEX($AH$2:$AH$1001,MATCH(ROWS($AG$2:AG139),$AG$2:$AG$1001,0),1)&gt;=100000,INDEX($AN$1005:$BO$1005,1,MATCH(COLUMNS($AN$1006:BM1006),$AN$1006:$BO$1006,0))&gt;=100000), " ",IF(INDEX($AN$2:$BO$1001,MATCH(ROWS($AG$2:AG139),$AG$2:$AG$1001,0),MATCH(COLUMNS($AN$1006:BM1006),$AN$1006:$BO$1006,0)), HYPERLINK("#",""), HYPERLINK(CONCATENATE("#Metadata!", ADDRESS(INDEX($AI$2:$AI$1001,MATCH(ROWS($AG$2:AG139),$AG$2:$AG$1001,0),0), INDEX($AN$1004:$BO$1004,1,MATCH(COLUMNS($AN$1006:BM1006),$AN$1006:$BO$1006,0)))),"Fix")))</f>
        <v>0</v>
      </c>
      <c r="AB139" s="4">
        <f>IF(OR(INDEX($AH$2:$AH$1001,MATCH(ROWS($AG$2:AG139),$AG$2:$AG$1001,0),1)&gt;=100000,INDEX($AN$1005:$BO$1005,1,MATCH(COLUMNS($AN$1006:BN1006),$AN$1006:$BO$1006,0))&gt;=100000), " ",IF(INDEX($AN$2:$BO$1001,MATCH(ROWS($AG$2:AG139),$AG$2:$AG$1001,0),MATCH(COLUMNS($AN$1006:BN1006),$AN$1006:$BO$1006,0)), HYPERLINK("#",""), HYPERLINK(CONCATENATE("#Metadata!", ADDRESS(INDEX($AI$2:$AI$1001,MATCH(ROWS($AG$2:AG139),$AG$2:$AG$1001,0),0), INDEX($AN$1004:$BO$1004,1,MATCH(COLUMNS($AN$1006:BN1006),$AN$1006:$BO$1006,0)))),"Fix")))</f>
        <v>0</v>
      </c>
      <c r="AC139" s="4">
        <f>IF(OR(INDEX($AH$2:$AH$1001,MATCH(ROWS($AG$2:AG139),$AG$2:$AG$1001,0),1)&gt;=100000,INDEX($AN$1005:$BO$1005,1,MATCH(COLUMNS($AN$1006:BO1006),$AN$1006:$BO$1006,0))&gt;=100000), " ",IF(INDEX($AN$2:$BO$1001,MATCH(ROWS($AG$2:AG139),$AG$2:$AG$1001,0),MATCH(COLUMNS($AN$1006:BO1006),$AN$1006:$BO$1006,0)), HYPERLINK("#",""), HYPERLINK(CONCATENATE("#Metadata!", ADDRESS(INDEX($AI$2:$AI$1001,MATCH(ROWS($AG$2:AG139),$AG$2:$AG$1001,0),0), INDEX($AN$1004:$BO$1004,1,MATCH(COLUMNS($AN$1006:BO1006),$AN$1006:$BO$1006,0)))),"Fix")))</f>
        <v>0</v>
      </c>
      <c r="AG139">
        <v>0</v>
      </c>
      <c r="AH139">
        <v>0</v>
      </c>
      <c r="AI139">
        <v>0</v>
      </c>
      <c r="AJ139">
        <f>IF(AK139,TRUE,AND(AN139:BO139))</f>
        <v>0</v>
      </c>
      <c r="AK139">
        <f>COUNTBLANK(Metadata!B139:AC139)=COLUMNS(Metadata!B139:AC139)</f>
        <v>0</v>
      </c>
      <c r="AL139">
        <v>0</v>
      </c>
      <c r="AN139">
        <f>AND(IF(Metadata!B139="",FALSE,TRUE),COUNTIF(Metadata!B:B, Metadata!B139) = 1,NOT(ISERROR(SUMPRODUCT(SEARCH(MID(Metadata!B139,ROW(INDIRECT("1:"&amp;LEN(Metadata!B139))), 1),"0123456789abcdefghijklmnopqrstuvwxyzABCDEFGHIJKLMNOPQRSTUVWXYZ.")))))</f>
        <v>0</v>
      </c>
      <c r="AO139">
        <f>IF(Metadata!C139="",FALSE,TRUE)</f>
        <v>0</v>
      </c>
      <c r="AP139">
        <f>IF(Metadata!D139="",FALSE,TRUE)</f>
        <v>0</v>
      </c>
      <c r="AQ139">
        <f>OR(AND(IF(Metadata!E139="",FALSE,TRUE),OR(exact(Metadata!E139,"not collected"),exact(Metadata!E139,"not provided"),exact(Metadata!E139,"restricted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R139">
        <f>IF(Metadata!F139="",FALSE,TRUE)</f>
        <v>0</v>
      </c>
      <c r="AS139">
        <f>OR(AND(IF(Metadata!G139="",FALSE,TRUE),OR(exact(Metadata!G139,"not collected"),exact(Metadata!G139,"not provided"))),AND(IF(Metadata!G139="",FALSE,TRUE),OR(exact(Metadata!G139,"TRUE"),exact(Metadata!G139,"FALSE"))))</f>
        <v>0</v>
      </c>
      <c r="AT139">
        <f>OR(AND(IF(Metadata!H139="",FALSE,TRUE),OR(exact(Metadata!H139,"not collected"),exact(Metadata!H139,"not provided"),exact(Metadata!H139,"restricted access"))),AND(IF(Metadata!H139="",FALSE,ISNUMBER(VALUE(Metadata!H139))),Metadata!H139&gt;=-413.0))</f>
        <v>0</v>
      </c>
      <c r="AU139">
        <f>AND(IF(Metadata!I139="",FALSE,TRUE),exact(Metadata!I139,"meters"))</f>
        <v>0</v>
      </c>
      <c r="AV139">
        <f>AND(IF(Metadata!J139="",FALSE,TRUE),OR(exact(Metadata!J139,"Host-associated"),exact(Metadata!J139,"Free-living")))</f>
        <v>0</v>
      </c>
      <c r="AW139">
        <f>AND(IF(Metadata!K139="",FALSE,TRUE),OR(exact(Metadata!K139,"Animal"),exact(Metadata!K139,"Fungus"),exact(Metadata!K139,"Plant"),exact(Metadata!K139,"Saline"),exact(Metadata!K139,"Non-saline")))</f>
        <v>0</v>
      </c>
      <c r="AX139">
        <f>AND(IF(Metadata!L139="",FALSE,TRUE),OR(exact(Metadata!L139,"Plant secretion"),exact(Metadata!L139,"Plant rhizosphere"),exact(Metadata!L139,"Plant surface"),exact(Metadata!L139,"Plant corpus"),exact(Metadata!L139,"Fungus surface"),exact(Metadata!L139,"Fungus corpus"),exact(Metadata!L139,"Animal surface"),exact(Metadata!L139,"Animal proximal gut"),exact(Metadata!L139,"Animal corpus"),exact(Metadata!L139,"Animal distal gut"),exact(Metadata!L139,"Animal secretion"),exact(Metadata!L139,"Sub-surface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Y139">
        <f>IF(Metadata!M139="",FALSE,TRUE)</f>
        <v>0</v>
      </c>
      <c r="AZ139">
        <f>IF(Metadata!N139="",FALSE,TRUE)</f>
        <v>0</v>
      </c>
      <c r="BA139">
        <f>IF(Metadata!O139="",FALSE,TRUE)</f>
        <v>0</v>
      </c>
      <c r="BB139">
        <f>OR(AND(IF(Metadata!P139="",FALSE,TRUE),OR(exact(Metadata!P139,"not collected"),exact(Metadata!P139,"not provided"),exact(Metadata!P139,"restricted access"))),AND(IF(Metadata!P139="",FALSE,TRUE),OR(exact(Metadata!P139,"air"),exact(Metadata!P139,"built environment"),exact(Metadata!P139,"host-associated"),exact(Metadata!P139,"human-associated"),exact(Metadata!P139,"human-skin"),exact(Metadata!P139,"human-oral"),exact(Metadata!P139,"human-gut"),exact(Metadata!P139,"human-vaginal"),exact(Metadata!P139,"microbial mat/biofilm"),exact(Metadata!P139,"misc environment"),exact(Metadata!P139,"plant-associated"),exact(Metadata!P139,"sediment"),exact(Metadata!P139,"soil"),exact(Metadata!P139,"wastewater/sludge"),exact(Metadata!P139,"water"))))</f>
        <v>0</v>
      </c>
      <c r="BC139">
        <f>IF(Metadata!Q139="",FALSE,TRUE)</f>
        <v>0</v>
      </c>
      <c r="BD139">
        <f>IF(Metadata!R139="",FALSE,TRUE)</f>
        <v>0</v>
      </c>
      <c r="BE139">
        <f>OR(AND(IF(Metadata!S139="",FALSE,TRUE),OR(exact(Metadata!S139,"not collected"),exact(Metadata!S139,"not provided"),exact(Metadata!S139,"restricted access"))),AND(IF(Metadata!S139="",FALSE,ISNUMBER(VALUE(Metadata!S139))),Metadata!S139&gt;=-90.00,Metadata!S139&lt;=90.00))</f>
        <v>0</v>
      </c>
      <c r="BF139">
        <f>AND(IF(Metadata!T139="",FALSE,TRUE),exact(Metadata!T139,"Decimal degrees"))</f>
        <v>0</v>
      </c>
      <c r="BG139">
        <f>OR(AND(IF(Metadata!U139="",FALSE,TRUE),OR(exact(Metadata!U139,"not collected"),exact(Metadata!U139,"not provided"),exact(Metadata!U139,"restricted access"))),AND(IF(Metadata!U139="",FALSE,ISNUMBER(VALUE(Metadata!U139))),Metadata!U139&gt;=-180.00,Metadata!U139&lt;=180.00))</f>
        <v>0</v>
      </c>
      <c r="BH139">
        <f>AND(IF(Metadata!V139="",FALSE,TRUE),exact(Metadata!V139,"Decimal degrees"))</f>
        <v>0</v>
      </c>
      <c r="BI139">
        <f>IF(Metadata!W139="",FALSE,TRUE)</f>
        <v>0</v>
      </c>
      <c r="BJ139">
        <f>OR(AND(IF(Metadata!X139="",FALSE,TRUE),OR(exact(Metadata!X139,"not collected"),exact(Metadata!X139,"not provided"),exact(Metadata!X139,"restricted access"))),AND(IF(Metadata!X139="",FALSE,TRUE),OR(exact(Metadata!X139,"TRUE"),exact(Metadata!X139,"FALSE"))))</f>
        <v>0</v>
      </c>
      <c r="BK139">
        <f>AND(IF(Metadata!Y139="",FALSE,TRUE),exact(Metadata!Y139,"other"))</f>
        <v>0</v>
      </c>
      <c r="BL139">
        <f>IF(Metadata!Z139="",FALSE,TRUE)</f>
        <v>0</v>
      </c>
      <c r="BM139">
        <f>OR(AND(IF(Metadata!AA139="",FALSE,TRUE),OR(exact(Metadata!AA139,"not collected"),exact(Metadata!AA139,"not provided"))),AND(IF(Metadata!AA139="",FALSE,IF(ISERROR(INT(Metadata!AA139)),FALSE,INT(Metadata!AA139)=Metadata!AA139)),Metadata!AA139&gt;0))</f>
        <v>0</v>
      </c>
      <c r="BN139">
        <f>AND(IF(Metadata!AB139="",FALSE,TRUE),exact(Metadata!AB139,"Not applicable"))</f>
        <v>0</v>
      </c>
      <c r="BO139">
        <f>IF(Metadata!AC139="",FALSE,TRUE)</f>
        <v>0</v>
      </c>
    </row>
    <row r="140" spans="1:67">
      <c r="A140" s="5">
        <f>IF(B140=" "," ",HYPERLINK(CONCATENATE("#metadata!",ADDRESS(INDEX($AI$2:$AI$1001,MATCH(ROWS($AG$2:AG140),$AG$2:$AG$1001,0),0),1)),INDEX($AL$2:$AL$1001,MATCH(ROWS($AG$2:AG140),$AG$2:$AG$1001,0),0)))</f>
        <v>0</v>
      </c>
      <c r="B140" s="4">
        <f>IF(OR(INDEX($AH$2:$AH$1001,MATCH(ROWS($AG$2:AG140),$AG$2:$AG$1001,0),1)&gt;=100000,INDEX($AN$1005:$BO$1005,1,MATCH(COLUMNS($AN$1006:AN1006),$AN$1006:$BO$1006,0))&gt;=100000), " ",IF(INDEX($AN$2:$BO$1001,MATCH(ROWS($AG$2:AG140),$AG$2:$AG$1001,0),MATCH(COLUMNS($AN$1006:AN1006),$AN$1006:$BO$1006,0)), HYPERLINK("#",""), HYPERLINK(CONCATENATE("#Metadata!", ADDRESS(INDEX($AI$2:$AI$1001,MATCH(ROWS($AG$2:AG140),$AG$2:$AG$1001,0),0), INDEX($AN$1004:$BO$1004,1,MATCH(COLUMNS($AN$1006:AN1006),$AN$1006:$BO$1006,0)))),"Fix")))</f>
        <v>0</v>
      </c>
      <c r="C140" s="4">
        <f>IF(OR(INDEX($AH$2:$AH$1001,MATCH(ROWS($AG$2:AG140),$AG$2:$AG$1001,0),1)&gt;=100000,INDEX($AN$1005:$BO$1005,1,MATCH(COLUMNS($AN$1006:AO1006),$AN$1006:$BO$1006,0))&gt;=100000), " ",IF(INDEX($AN$2:$BO$1001,MATCH(ROWS($AG$2:AG140),$AG$2:$AG$1001,0),MATCH(COLUMNS($AN$1006:AO1006),$AN$1006:$BO$1006,0)), HYPERLINK("#",""), HYPERLINK(CONCATENATE("#Metadata!", ADDRESS(INDEX($AI$2:$AI$1001,MATCH(ROWS($AG$2:AG140),$AG$2:$AG$1001,0),0), INDEX($AN$1004:$BO$1004,1,MATCH(COLUMNS($AN$1006:AO1006),$AN$1006:$BO$1006,0)))),"Fix")))</f>
        <v>0</v>
      </c>
      <c r="D140" s="4">
        <f>IF(OR(INDEX($AH$2:$AH$1001,MATCH(ROWS($AG$2:AG140),$AG$2:$AG$1001,0),1)&gt;=100000,INDEX($AN$1005:$BO$1005,1,MATCH(COLUMNS($AN$1006:AP1006),$AN$1006:$BO$1006,0))&gt;=100000), " ",IF(INDEX($AN$2:$BO$1001,MATCH(ROWS($AG$2:AG140),$AG$2:$AG$1001,0),MATCH(COLUMNS($AN$1006:AP1006),$AN$1006:$BO$1006,0)), HYPERLINK("#",""), HYPERLINK(CONCATENATE("#Metadata!", ADDRESS(INDEX($AI$2:$AI$1001,MATCH(ROWS($AG$2:AG140),$AG$2:$AG$1001,0),0), INDEX($AN$1004:$BO$1004,1,MATCH(COLUMNS($AN$1006:AP1006),$AN$1006:$BO$1006,0)))),"Fix")))</f>
        <v>0</v>
      </c>
      <c r="E140" s="4">
        <f>IF(OR(INDEX($AH$2:$AH$1001,MATCH(ROWS($AG$2:AG140),$AG$2:$AG$1001,0),1)&gt;=100000,INDEX($AN$1005:$BO$1005,1,MATCH(COLUMNS($AN$1006:AQ1006),$AN$1006:$BO$1006,0))&gt;=100000), " ",IF(INDEX($AN$2:$BO$1001,MATCH(ROWS($AG$2:AG140),$AG$2:$AG$1001,0),MATCH(COLUMNS($AN$1006:AQ1006),$AN$1006:$BO$1006,0)), HYPERLINK("#",""), HYPERLINK(CONCATENATE("#Metadata!", ADDRESS(INDEX($AI$2:$AI$1001,MATCH(ROWS($AG$2:AG140),$AG$2:$AG$1001,0),0), INDEX($AN$1004:$BO$1004,1,MATCH(COLUMNS($AN$1006:AQ1006),$AN$1006:$BO$1006,0)))),"Fix")))</f>
        <v>0</v>
      </c>
      <c r="F140" s="4">
        <f>IF(OR(INDEX($AH$2:$AH$1001,MATCH(ROWS($AG$2:AG140),$AG$2:$AG$1001,0),1)&gt;=100000,INDEX($AN$1005:$BO$1005,1,MATCH(COLUMNS($AN$1006:AR1006),$AN$1006:$BO$1006,0))&gt;=100000), " ",IF(INDEX($AN$2:$BO$1001,MATCH(ROWS($AG$2:AG140),$AG$2:$AG$1001,0),MATCH(COLUMNS($AN$1006:AR1006),$AN$1006:$BO$1006,0)), HYPERLINK("#",""), HYPERLINK(CONCATENATE("#Metadata!", ADDRESS(INDEX($AI$2:$AI$1001,MATCH(ROWS($AG$2:AG140),$AG$2:$AG$1001,0),0), INDEX($AN$1004:$BO$1004,1,MATCH(COLUMNS($AN$1006:AR1006),$AN$1006:$BO$1006,0)))),"Fix")))</f>
        <v>0</v>
      </c>
      <c r="G140" s="4">
        <f>IF(OR(INDEX($AH$2:$AH$1001,MATCH(ROWS($AG$2:AG140),$AG$2:$AG$1001,0),1)&gt;=100000,INDEX($AN$1005:$BO$1005,1,MATCH(COLUMNS($AN$1006:AS1006),$AN$1006:$BO$1006,0))&gt;=100000), " ",IF(INDEX($AN$2:$BO$1001,MATCH(ROWS($AG$2:AG140),$AG$2:$AG$1001,0),MATCH(COLUMNS($AN$1006:AS1006),$AN$1006:$BO$1006,0)), HYPERLINK("#",""), HYPERLINK(CONCATENATE("#Metadata!", ADDRESS(INDEX($AI$2:$AI$1001,MATCH(ROWS($AG$2:AG140),$AG$2:$AG$1001,0),0), INDEX($AN$1004:$BO$1004,1,MATCH(COLUMNS($AN$1006:AS1006),$AN$1006:$BO$1006,0)))),"Fix")))</f>
        <v>0</v>
      </c>
      <c r="H140" s="4">
        <f>IF(OR(INDEX($AH$2:$AH$1001,MATCH(ROWS($AG$2:AG140),$AG$2:$AG$1001,0),1)&gt;=100000,INDEX($AN$1005:$BO$1005,1,MATCH(COLUMNS($AN$1006:AT1006),$AN$1006:$BO$1006,0))&gt;=100000), " ",IF(INDEX($AN$2:$BO$1001,MATCH(ROWS($AG$2:AG140),$AG$2:$AG$1001,0),MATCH(COLUMNS($AN$1006:AT1006),$AN$1006:$BO$1006,0)), HYPERLINK("#",""), HYPERLINK(CONCATENATE("#Metadata!", ADDRESS(INDEX($AI$2:$AI$1001,MATCH(ROWS($AG$2:AG140),$AG$2:$AG$1001,0),0), INDEX($AN$1004:$BO$1004,1,MATCH(COLUMNS($AN$1006:AT1006),$AN$1006:$BO$1006,0)))),"Fix")))</f>
        <v>0</v>
      </c>
      <c r="I140" s="4">
        <f>IF(OR(INDEX($AH$2:$AH$1001,MATCH(ROWS($AG$2:AG140),$AG$2:$AG$1001,0),1)&gt;=100000,INDEX($AN$1005:$BO$1005,1,MATCH(COLUMNS($AN$1006:AU1006),$AN$1006:$BO$1006,0))&gt;=100000), " ",IF(INDEX($AN$2:$BO$1001,MATCH(ROWS($AG$2:AG140),$AG$2:$AG$1001,0),MATCH(COLUMNS($AN$1006:AU1006),$AN$1006:$BO$1006,0)), HYPERLINK("#",""), HYPERLINK(CONCATENATE("#Metadata!", ADDRESS(INDEX($AI$2:$AI$1001,MATCH(ROWS($AG$2:AG140),$AG$2:$AG$1001,0),0), INDEX($AN$1004:$BO$1004,1,MATCH(COLUMNS($AN$1006:AU1006),$AN$1006:$BO$1006,0)))),"Fix")))</f>
        <v>0</v>
      </c>
      <c r="J140" s="4">
        <f>IF(OR(INDEX($AH$2:$AH$1001,MATCH(ROWS($AG$2:AG140),$AG$2:$AG$1001,0),1)&gt;=100000,INDEX($AN$1005:$BO$1005,1,MATCH(COLUMNS($AN$1006:AV1006),$AN$1006:$BO$1006,0))&gt;=100000), " ",IF(INDEX($AN$2:$BO$1001,MATCH(ROWS($AG$2:AG140),$AG$2:$AG$1001,0),MATCH(COLUMNS($AN$1006:AV1006),$AN$1006:$BO$1006,0)), HYPERLINK("#",""), HYPERLINK(CONCATENATE("#Metadata!", ADDRESS(INDEX($AI$2:$AI$1001,MATCH(ROWS($AG$2:AG140),$AG$2:$AG$1001,0),0), INDEX($AN$1004:$BO$1004,1,MATCH(COLUMNS($AN$1006:AV1006),$AN$1006:$BO$1006,0)))),"Fix")))</f>
        <v>0</v>
      </c>
      <c r="K140" s="4">
        <f>IF(OR(INDEX($AH$2:$AH$1001,MATCH(ROWS($AG$2:AG140),$AG$2:$AG$1001,0),1)&gt;=100000,INDEX($AN$1005:$BO$1005,1,MATCH(COLUMNS($AN$1006:AW1006),$AN$1006:$BO$1006,0))&gt;=100000), " ",IF(INDEX($AN$2:$BO$1001,MATCH(ROWS($AG$2:AG140),$AG$2:$AG$1001,0),MATCH(COLUMNS($AN$1006:AW1006),$AN$1006:$BO$1006,0)), HYPERLINK("#",""), HYPERLINK(CONCATENATE("#Metadata!", ADDRESS(INDEX($AI$2:$AI$1001,MATCH(ROWS($AG$2:AG140),$AG$2:$AG$1001,0),0), INDEX($AN$1004:$BO$1004,1,MATCH(COLUMNS($AN$1006:AW1006),$AN$1006:$BO$1006,0)))),"Fix")))</f>
        <v>0</v>
      </c>
      <c r="L140" s="4">
        <f>IF(OR(INDEX($AH$2:$AH$1001,MATCH(ROWS($AG$2:AG140),$AG$2:$AG$1001,0),1)&gt;=100000,INDEX($AN$1005:$BO$1005,1,MATCH(COLUMNS($AN$1006:AX1006),$AN$1006:$BO$1006,0))&gt;=100000), " ",IF(INDEX($AN$2:$BO$1001,MATCH(ROWS($AG$2:AG140),$AG$2:$AG$1001,0),MATCH(COLUMNS($AN$1006:AX1006),$AN$1006:$BO$1006,0)), HYPERLINK("#",""), HYPERLINK(CONCATENATE("#Metadata!", ADDRESS(INDEX($AI$2:$AI$1001,MATCH(ROWS($AG$2:AG140),$AG$2:$AG$1001,0),0), INDEX($AN$1004:$BO$1004,1,MATCH(COLUMNS($AN$1006:AX1006),$AN$1006:$BO$1006,0)))),"Fix")))</f>
        <v>0</v>
      </c>
      <c r="M140" s="4">
        <f>IF(OR(INDEX($AH$2:$AH$1001,MATCH(ROWS($AG$2:AG140),$AG$2:$AG$1001,0),1)&gt;=100000,INDEX($AN$1005:$BO$1005,1,MATCH(COLUMNS($AN$1006:AY1006),$AN$1006:$BO$1006,0))&gt;=100000), " ",IF(INDEX($AN$2:$BO$1001,MATCH(ROWS($AG$2:AG140),$AG$2:$AG$1001,0),MATCH(COLUMNS($AN$1006:AY1006),$AN$1006:$BO$1006,0)), HYPERLINK("#",""), HYPERLINK(CONCATENATE("#Metadata!", ADDRESS(INDEX($AI$2:$AI$1001,MATCH(ROWS($AG$2:AG140),$AG$2:$AG$1001,0),0), INDEX($AN$1004:$BO$1004,1,MATCH(COLUMNS($AN$1006:AY1006),$AN$1006:$BO$1006,0)))),"Fix")))</f>
        <v>0</v>
      </c>
      <c r="N140" s="4">
        <f>IF(OR(INDEX($AH$2:$AH$1001,MATCH(ROWS($AG$2:AG140),$AG$2:$AG$1001,0),1)&gt;=100000,INDEX($AN$1005:$BO$1005,1,MATCH(COLUMNS($AN$1006:AZ1006),$AN$1006:$BO$1006,0))&gt;=100000), " ",IF(INDEX($AN$2:$BO$1001,MATCH(ROWS($AG$2:AG140),$AG$2:$AG$1001,0),MATCH(COLUMNS($AN$1006:AZ1006),$AN$1006:$BO$1006,0)), HYPERLINK("#",""), HYPERLINK(CONCATENATE("#Metadata!", ADDRESS(INDEX($AI$2:$AI$1001,MATCH(ROWS($AG$2:AG140),$AG$2:$AG$1001,0),0), INDEX($AN$1004:$BO$1004,1,MATCH(COLUMNS($AN$1006:AZ1006),$AN$1006:$BO$1006,0)))),"Fix")))</f>
        <v>0</v>
      </c>
      <c r="O140" s="4">
        <f>IF(OR(INDEX($AH$2:$AH$1001,MATCH(ROWS($AG$2:AG140),$AG$2:$AG$1001,0),1)&gt;=100000,INDEX($AN$1005:$BO$1005,1,MATCH(COLUMNS($AN$1006:BA1006),$AN$1006:$BO$1006,0))&gt;=100000), " ",IF(INDEX($AN$2:$BO$1001,MATCH(ROWS($AG$2:AG140),$AG$2:$AG$1001,0),MATCH(COLUMNS($AN$1006:BA1006),$AN$1006:$BO$1006,0)), HYPERLINK("#",""), HYPERLINK(CONCATENATE("#Metadata!", ADDRESS(INDEX($AI$2:$AI$1001,MATCH(ROWS($AG$2:AG140),$AG$2:$AG$1001,0),0), INDEX($AN$1004:$BO$1004,1,MATCH(COLUMNS($AN$1006:BA1006),$AN$1006:$BO$1006,0)))),"Fix")))</f>
        <v>0</v>
      </c>
      <c r="P140" s="4">
        <f>IF(OR(INDEX($AH$2:$AH$1001,MATCH(ROWS($AG$2:AG140),$AG$2:$AG$1001,0),1)&gt;=100000,INDEX($AN$1005:$BO$1005,1,MATCH(COLUMNS($AN$1006:BB1006),$AN$1006:$BO$1006,0))&gt;=100000), " ",IF(INDEX($AN$2:$BO$1001,MATCH(ROWS($AG$2:AG140),$AG$2:$AG$1001,0),MATCH(COLUMNS($AN$1006:BB1006),$AN$1006:$BO$1006,0)), HYPERLINK("#",""), HYPERLINK(CONCATENATE("#Metadata!", ADDRESS(INDEX($AI$2:$AI$1001,MATCH(ROWS($AG$2:AG140),$AG$2:$AG$1001,0),0), INDEX($AN$1004:$BO$1004,1,MATCH(COLUMNS($AN$1006:BB1006),$AN$1006:$BO$1006,0)))),"Fix")))</f>
        <v>0</v>
      </c>
      <c r="Q140" s="4">
        <f>IF(OR(INDEX($AH$2:$AH$1001,MATCH(ROWS($AG$2:AG140),$AG$2:$AG$1001,0),1)&gt;=100000,INDEX($AN$1005:$BO$1005,1,MATCH(COLUMNS($AN$1006:BC1006),$AN$1006:$BO$1006,0))&gt;=100000), " ",IF(INDEX($AN$2:$BO$1001,MATCH(ROWS($AG$2:AG140),$AG$2:$AG$1001,0),MATCH(COLUMNS($AN$1006:BC1006),$AN$1006:$BO$1006,0)), HYPERLINK("#",""), HYPERLINK(CONCATENATE("#Metadata!", ADDRESS(INDEX($AI$2:$AI$1001,MATCH(ROWS($AG$2:AG140),$AG$2:$AG$1001,0),0), INDEX($AN$1004:$BO$1004,1,MATCH(COLUMNS($AN$1006:BC1006),$AN$1006:$BO$1006,0)))),"Fix")))</f>
        <v>0</v>
      </c>
      <c r="R140" s="4">
        <f>IF(OR(INDEX($AH$2:$AH$1001,MATCH(ROWS($AG$2:AG140),$AG$2:$AG$1001,0),1)&gt;=100000,INDEX($AN$1005:$BO$1005,1,MATCH(COLUMNS($AN$1006:BD1006),$AN$1006:$BO$1006,0))&gt;=100000), " ",IF(INDEX($AN$2:$BO$1001,MATCH(ROWS($AG$2:AG140),$AG$2:$AG$1001,0),MATCH(COLUMNS($AN$1006:BD1006),$AN$1006:$BO$1006,0)), HYPERLINK("#",""), HYPERLINK(CONCATENATE("#Metadata!", ADDRESS(INDEX($AI$2:$AI$1001,MATCH(ROWS($AG$2:AG140),$AG$2:$AG$1001,0),0), INDEX($AN$1004:$BO$1004,1,MATCH(COLUMNS($AN$1006:BD1006),$AN$1006:$BO$1006,0)))),"Fix")))</f>
        <v>0</v>
      </c>
      <c r="S140" s="4">
        <f>IF(OR(INDEX($AH$2:$AH$1001,MATCH(ROWS($AG$2:AG140),$AG$2:$AG$1001,0),1)&gt;=100000,INDEX($AN$1005:$BO$1005,1,MATCH(COLUMNS($AN$1006:BE1006),$AN$1006:$BO$1006,0))&gt;=100000), " ",IF(INDEX($AN$2:$BO$1001,MATCH(ROWS($AG$2:AG140),$AG$2:$AG$1001,0),MATCH(COLUMNS($AN$1006:BE1006),$AN$1006:$BO$1006,0)), HYPERLINK("#",""), HYPERLINK(CONCATENATE("#Metadata!", ADDRESS(INDEX($AI$2:$AI$1001,MATCH(ROWS($AG$2:AG140),$AG$2:$AG$1001,0),0), INDEX($AN$1004:$BO$1004,1,MATCH(COLUMNS($AN$1006:BE1006),$AN$1006:$BO$1006,0)))),"Fix")))</f>
        <v>0</v>
      </c>
      <c r="T140" s="4">
        <f>IF(OR(INDEX($AH$2:$AH$1001,MATCH(ROWS($AG$2:AG140),$AG$2:$AG$1001,0),1)&gt;=100000,INDEX($AN$1005:$BO$1005,1,MATCH(COLUMNS($AN$1006:BF1006),$AN$1006:$BO$1006,0))&gt;=100000), " ",IF(INDEX($AN$2:$BO$1001,MATCH(ROWS($AG$2:AG140),$AG$2:$AG$1001,0),MATCH(COLUMNS($AN$1006:BF1006),$AN$1006:$BO$1006,0)), HYPERLINK("#",""), HYPERLINK(CONCATENATE("#Metadata!", ADDRESS(INDEX($AI$2:$AI$1001,MATCH(ROWS($AG$2:AG140),$AG$2:$AG$1001,0),0), INDEX($AN$1004:$BO$1004,1,MATCH(COLUMNS($AN$1006:BF1006),$AN$1006:$BO$1006,0)))),"Fix")))</f>
        <v>0</v>
      </c>
      <c r="U140" s="4">
        <f>IF(OR(INDEX($AH$2:$AH$1001,MATCH(ROWS($AG$2:AG140),$AG$2:$AG$1001,0),1)&gt;=100000,INDEX($AN$1005:$BO$1005,1,MATCH(COLUMNS($AN$1006:BG1006),$AN$1006:$BO$1006,0))&gt;=100000), " ",IF(INDEX($AN$2:$BO$1001,MATCH(ROWS($AG$2:AG140),$AG$2:$AG$1001,0),MATCH(COLUMNS($AN$1006:BG1006),$AN$1006:$BO$1006,0)), HYPERLINK("#",""), HYPERLINK(CONCATENATE("#Metadata!", ADDRESS(INDEX($AI$2:$AI$1001,MATCH(ROWS($AG$2:AG140),$AG$2:$AG$1001,0),0), INDEX($AN$1004:$BO$1004,1,MATCH(COLUMNS($AN$1006:BG1006),$AN$1006:$BO$1006,0)))),"Fix")))</f>
        <v>0</v>
      </c>
      <c r="V140" s="4">
        <f>IF(OR(INDEX($AH$2:$AH$1001,MATCH(ROWS($AG$2:AG140),$AG$2:$AG$1001,0),1)&gt;=100000,INDEX($AN$1005:$BO$1005,1,MATCH(COLUMNS($AN$1006:BH1006),$AN$1006:$BO$1006,0))&gt;=100000), " ",IF(INDEX($AN$2:$BO$1001,MATCH(ROWS($AG$2:AG140),$AG$2:$AG$1001,0),MATCH(COLUMNS($AN$1006:BH1006),$AN$1006:$BO$1006,0)), HYPERLINK("#",""), HYPERLINK(CONCATENATE("#Metadata!", ADDRESS(INDEX($AI$2:$AI$1001,MATCH(ROWS($AG$2:AG140),$AG$2:$AG$1001,0),0), INDEX($AN$1004:$BO$1004,1,MATCH(COLUMNS($AN$1006:BH1006),$AN$1006:$BO$1006,0)))),"Fix")))</f>
        <v>0</v>
      </c>
      <c r="W140" s="4">
        <f>IF(OR(INDEX($AH$2:$AH$1001,MATCH(ROWS($AG$2:AG140),$AG$2:$AG$1001,0),1)&gt;=100000,INDEX($AN$1005:$BO$1005,1,MATCH(COLUMNS($AN$1006:BI1006),$AN$1006:$BO$1006,0))&gt;=100000), " ",IF(INDEX($AN$2:$BO$1001,MATCH(ROWS($AG$2:AG140),$AG$2:$AG$1001,0),MATCH(COLUMNS($AN$1006:BI1006),$AN$1006:$BO$1006,0)), HYPERLINK("#",""), HYPERLINK(CONCATENATE("#Metadata!", ADDRESS(INDEX($AI$2:$AI$1001,MATCH(ROWS($AG$2:AG140),$AG$2:$AG$1001,0),0), INDEX($AN$1004:$BO$1004,1,MATCH(COLUMNS($AN$1006:BI1006),$AN$1006:$BO$1006,0)))),"Fix")))</f>
        <v>0</v>
      </c>
      <c r="X140" s="4">
        <f>IF(OR(INDEX($AH$2:$AH$1001,MATCH(ROWS($AG$2:AG140),$AG$2:$AG$1001,0),1)&gt;=100000,INDEX($AN$1005:$BO$1005,1,MATCH(COLUMNS($AN$1006:BJ1006),$AN$1006:$BO$1006,0))&gt;=100000), " ",IF(INDEX($AN$2:$BO$1001,MATCH(ROWS($AG$2:AG140),$AG$2:$AG$1001,0),MATCH(COLUMNS($AN$1006:BJ1006),$AN$1006:$BO$1006,0)), HYPERLINK("#",""), HYPERLINK(CONCATENATE("#Metadata!", ADDRESS(INDEX($AI$2:$AI$1001,MATCH(ROWS($AG$2:AG140),$AG$2:$AG$1001,0),0), INDEX($AN$1004:$BO$1004,1,MATCH(COLUMNS($AN$1006:BJ1006),$AN$1006:$BO$1006,0)))),"Fix")))</f>
        <v>0</v>
      </c>
      <c r="Y140" s="4">
        <f>IF(OR(INDEX($AH$2:$AH$1001,MATCH(ROWS($AG$2:AG140),$AG$2:$AG$1001,0),1)&gt;=100000,INDEX($AN$1005:$BO$1005,1,MATCH(COLUMNS($AN$1006:BK1006),$AN$1006:$BO$1006,0))&gt;=100000), " ",IF(INDEX($AN$2:$BO$1001,MATCH(ROWS($AG$2:AG140),$AG$2:$AG$1001,0),MATCH(COLUMNS($AN$1006:BK1006),$AN$1006:$BO$1006,0)), HYPERLINK("#",""), HYPERLINK(CONCATENATE("#Metadata!", ADDRESS(INDEX($AI$2:$AI$1001,MATCH(ROWS($AG$2:AG140),$AG$2:$AG$1001,0),0), INDEX($AN$1004:$BO$1004,1,MATCH(COLUMNS($AN$1006:BK1006),$AN$1006:$BO$1006,0)))),"Fix")))</f>
        <v>0</v>
      </c>
      <c r="Z140" s="4">
        <f>IF(OR(INDEX($AH$2:$AH$1001,MATCH(ROWS($AG$2:AG140),$AG$2:$AG$1001,0),1)&gt;=100000,INDEX($AN$1005:$BO$1005,1,MATCH(COLUMNS($AN$1006:BL1006),$AN$1006:$BO$1006,0))&gt;=100000), " ",IF(INDEX($AN$2:$BO$1001,MATCH(ROWS($AG$2:AG140),$AG$2:$AG$1001,0),MATCH(COLUMNS($AN$1006:BL1006),$AN$1006:$BO$1006,0)), HYPERLINK("#",""), HYPERLINK(CONCATENATE("#Metadata!", ADDRESS(INDEX($AI$2:$AI$1001,MATCH(ROWS($AG$2:AG140),$AG$2:$AG$1001,0),0), INDEX($AN$1004:$BO$1004,1,MATCH(COLUMNS($AN$1006:BL1006),$AN$1006:$BO$1006,0)))),"Fix")))</f>
        <v>0</v>
      </c>
      <c r="AA140" s="4">
        <f>IF(OR(INDEX($AH$2:$AH$1001,MATCH(ROWS($AG$2:AG140),$AG$2:$AG$1001,0),1)&gt;=100000,INDEX($AN$1005:$BO$1005,1,MATCH(COLUMNS($AN$1006:BM1006),$AN$1006:$BO$1006,0))&gt;=100000), " ",IF(INDEX($AN$2:$BO$1001,MATCH(ROWS($AG$2:AG140),$AG$2:$AG$1001,0),MATCH(COLUMNS($AN$1006:BM1006),$AN$1006:$BO$1006,0)), HYPERLINK("#",""), HYPERLINK(CONCATENATE("#Metadata!", ADDRESS(INDEX($AI$2:$AI$1001,MATCH(ROWS($AG$2:AG140),$AG$2:$AG$1001,0),0), INDEX($AN$1004:$BO$1004,1,MATCH(COLUMNS($AN$1006:BM1006),$AN$1006:$BO$1006,0)))),"Fix")))</f>
        <v>0</v>
      </c>
      <c r="AB140" s="4">
        <f>IF(OR(INDEX($AH$2:$AH$1001,MATCH(ROWS($AG$2:AG140),$AG$2:$AG$1001,0),1)&gt;=100000,INDEX($AN$1005:$BO$1005,1,MATCH(COLUMNS($AN$1006:BN1006),$AN$1006:$BO$1006,0))&gt;=100000), " ",IF(INDEX($AN$2:$BO$1001,MATCH(ROWS($AG$2:AG140),$AG$2:$AG$1001,0),MATCH(COLUMNS($AN$1006:BN1006),$AN$1006:$BO$1006,0)), HYPERLINK("#",""), HYPERLINK(CONCATENATE("#Metadata!", ADDRESS(INDEX($AI$2:$AI$1001,MATCH(ROWS($AG$2:AG140),$AG$2:$AG$1001,0),0), INDEX($AN$1004:$BO$1004,1,MATCH(COLUMNS($AN$1006:BN1006),$AN$1006:$BO$1006,0)))),"Fix")))</f>
        <v>0</v>
      </c>
      <c r="AC140" s="4">
        <f>IF(OR(INDEX($AH$2:$AH$1001,MATCH(ROWS($AG$2:AG140),$AG$2:$AG$1001,0),1)&gt;=100000,INDEX($AN$1005:$BO$1005,1,MATCH(COLUMNS($AN$1006:BO1006),$AN$1006:$BO$1006,0))&gt;=100000), " ",IF(INDEX($AN$2:$BO$1001,MATCH(ROWS($AG$2:AG140),$AG$2:$AG$1001,0),MATCH(COLUMNS($AN$1006:BO1006),$AN$1006:$BO$1006,0)), HYPERLINK("#",""), HYPERLINK(CONCATENATE("#Metadata!", ADDRESS(INDEX($AI$2:$AI$1001,MATCH(ROWS($AG$2:AG140),$AG$2:$AG$1001,0),0), INDEX($AN$1004:$BO$1004,1,MATCH(COLUMNS($AN$1006:BO1006),$AN$1006:$BO$1006,0)))),"Fix")))</f>
        <v>0</v>
      </c>
      <c r="AG140">
        <v>0</v>
      </c>
      <c r="AH140">
        <v>0</v>
      </c>
      <c r="AI140">
        <v>0</v>
      </c>
      <c r="AJ140">
        <f>IF(AK140,TRUE,AND(AN140:BO140))</f>
        <v>0</v>
      </c>
      <c r="AK140">
        <f>COUNTBLANK(Metadata!B140:AC140)=COLUMNS(Metadata!B140:AC140)</f>
        <v>0</v>
      </c>
      <c r="AL140">
        <v>0</v>
      </c>
      <c r="AN140">
        <f>AND(IF(Metadata!B140="",FALSE,TRUE),COUNTIF(Metadata!B:B, Metadata!B140) = 1,NOT(ISERROR(SUMPRODUCT(SEARCH(MID(Metadata!B140,ROW(INDIRECT("1:"&amp;LEN(Metadata!B140))), 1),"0123456789abcdefghijklmnopqrstuvwxyzABCDEFGHIJKLMNOPQRSTUVWXYZ.")))))</f>
        <v>0</v>
      </c>
      <c r="AO140">
        <f>IF(Metadata!C140="",FALSE,TRUE)</f>
        <v>0</v>
      </c>
      <c r="AP140">
        <f>IF(Metadata!D140="",FALSE,TRUE)</f>
        <v>0</v>
      </c>
      <c r="AQ140">
        <f>OR(AND(IF(Metadata!E140="",FALSE,TRUE),OR(exact(Metadata!E140,"not collected"),exact(Metadata!E140,"not provided"),exact(Metadata!E140,"restricted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R140">
        <f>IF(Metadata!F140="",FALSE,TRUE)</f>
        <v>0</v>
      </c>
      <c r="AS140">
        <f>OR(AND(IF(Metadata!G140="",FALSE,TRUE),OR(exact(Metadata!G140,"not collected"),exact(Metadata!G140,"not provided"))),AND(IF(Metadata!G140="",FALSE,TRUE),OR(exact(Metadata!G140,"TRUE"),exact(Metadata!G140,"FALSE"))))</f>
        <v>0</v>
      </c>
      <c r="AT140">
        <f>OR(AND(IF(Metadata!H140="",FALSE,TRUE),OR(exact(Metadata!H140,"not collected"),exact(Metadata!H140,"not provided"),exact(Metadata!H140,"restricted access"))),AND(IF(Metadata!H140="",FALSE,ISNUMBER(VALUE(Metadata!H140))),Metadata!H140&gt;=-413.0))</f>
        <v>0</v>
      </c>
      <c r="AU140">
        <f>AND(IF(Metadata!I140="",FALSE,TRUE),exact(Metadata!I140,"meters"))</f>
        <v>0</v>
      </c>
      <c r="AV140">
        <f>AND(IF(Metadata!J140="",FALSE,TRUE),OR(exact(Metadata!J140,"Host-associated"),exact(Metadata!J140,"Free-living")))</f>
        <v>0</v>
      </c>
      <c r="AW140">
        <f>AND(IF(Metadata!K140="",FALSE,TRUE),OR(exact(Metadata!K140,"Animal"),exact(Metadata!K140,"Fungus"),exact(Metadata!K140,"Plant"),exact(Metadata!K140,"Saline"),exact(Metadata!K140,"Non-saline")))</f>
        <v>0</v>
      </c>
      <c r="AX140">
        <f>AND(IF(Metadata!L140="",FALSE,TRUE),OR(exact(Metadata!L140,"Plant secretion"),exact(Metadata!L140,"Plant rhizosphere"),exact(Metadata!L140,"Plant surface"),exact(Metadata!L140,"Plant corpus"),exact(Metadata!L140,"Fungus surface"),exact(Metadata!L140,"Fungus corpus"),exact(Metadata!L140,"Animal surface"),exact(Metadata!L140,"Animal proximal gut"),exact(Metadata!L140,"Animal corpus"),exact(Metadata!L140,"Animal distal gut"),exact(Metadata!L140,"Animal secretion"),exact(Metadata!L140,"Sub-surface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Y140">
        <f>IF(Metadata!M140="",FALSE,TRUE)</f>
        <v>0</v>
      </c>
      <c r="AZ140">
        <f>IF(Metadata!N140="",FALSE,TRUE)</f>
        <v>0</v>
      </c>
      <c r="BA140">
        <f>IF(Metadata!O140="",FALSE,TRUE)</f>
        <v>0</v>
      </c>
      <c r="BB140">
        <f>OR(AND(IF(Metadata!P140="",FALSE,TRUE),OR(exact(Metadata!P140,"not collected"),exact(Metadata!P140,"not provided"),exact(Metadata!P140,"restricted access"))),AND(IF(Metadata!P140="",FALSE,TRUE),OR(exact(Metadata!P140,"air"),exact(Metadata!P140,"built environment"),exact(Metadata!P140,"host-associated"),exact(Metadata!P140,"human-associated"),exact(Metadata!P140,"human-skin"),exact(Metadata!P140,"human-oral"),exact(Metadata!P140,"human-gut"),exact(Metadata!P140,"human-vaginal"),exact(Metadata!P140,"microbial mat/biofilm"),exact(Metadata!P140,"misc environment"),exact(Metadata!P140,"plant-associated"),exact(Metadata!P140,"sediment"),exact(Metadata!P140,"soil"),exact(Metadata!P140,"wastewater/sludge"),exact(Metadata!P140,"water"))))</f>
        <v>0</v>
      </c>
      <c r="BC140">
        <f>IF(Metadata!Q140="",FALSE,TRUE)</f>
        <v>0</v>
      </c>
      <c r="BD140">
        <f>IF(Metadata!R140="",FALSE,TRUE)</f>
        <v>0</v>
      </c>
      <c r="BE140">
        <f>OR(AND(IF(Metadata!S140="",FALSE,TRUE),OR(exact(Metadata!S140,"not collected"),exact(Metadata!S140,"not provided"),exact(Metadata!S140,"restricted access"))),AND(IF(Metadata!S140="",FALSE,ISNUMBER(VALUE(Metadata!S140))),Metadata!S140&gt;=-90.00,Metadata!S140&lt;=90.00))</f>
        <v>0</v>
      </c>
      <c r="BF140">
        <f>AND(IF(Metadata!T140="",FALSE,TRUE),exact(Metadata!T140,"Decimal degrees"))</f>
        <v>0</v>
      </c>
      <c r="BG140">
        <f>OR(AND(IF(Metadata!U140="",FALSE,TRUE),OR(exact(Metadata!U140,"not collected"),exact(Metadata!U140,"not provided"),exact(Metadata!U140,"restricted access"))),AND(IF(Metadata!U140="",FALSE,ISNUMBER(VALUE(Metadata!U140))),Metadata!U140&gt;=-180.00,Metadata!U140&lt;=180.00))</f>
        <v>0</v>
      </c>
      <c r="BH140">
        <f>AND(IF(Metadata!V140="",FALSE,TRUE),exact(Metadata!V140,"Decimal degrees"))</f>
        <v>0</v>
      </c>
      <c r="BI140">
        <f>IF(Metadata!W140="",FALSE,TRUE)</f>
        <v>0</v>
      </c>
      <c r="BJ140">
        <f>OR(AND(IF(Metadata!X140="",FALSE,TRUE),OR(exact(Metadata!X140,"not collected"),exact(Metadata!X140,"not provided"),exact(Metadata!X140,"restricted access"))),AND(IF(Metadata!X140="",FALSE,TRUE),OR(exact(Metadata!X140,"TRUE"),exact(Metadata!X140,"FALSE"))))</f>
        <v>0</v>
      </c>
      <c r="BK140">
        <f>AND(IF(Metadata!Y140="",FALSE,TRUE),exact(Metadata!Y140,"other"))</f>
        <v>0</v>
      </c>
      <c r="BL140">
        <f>IF(Metadata!Z140="",FALSE,TRUE)</f>
        <v>0</v>
      </c>
      <c r="BM140">
        <f>OR(AND(IF(Metadata!AA140="",FALSE,TRUE),OR(exact(Metadata!AA140,"not collected"),exact(Metadata!AA140,"not provided"))),AND(IF(Metadata!AA140="",FALSE,IF(ISERROR(INT(Metadata!AA140)),FALSE,INT(Metadata!AA140)=Metadata!AA140)),Metadata!AA140&gt;0))</f>
        <v>0</v>
      </c>
      <c r="BN140">
        <f>AND(IF(Metadata!AB140="",FALSE,TRUE),exact(Metadata!AB140,"Not applicable"))</f>
        <v>0</v>
      </c>
      <c r="BO140">
        <f>IF(Metadata!AC140="",FALSE,TRUE)</f>
        <v>0</v>
      </c>
    </row>
    <row r="141" spans="1:67">
      <c r="A141" s="5">
        <f>IF(B141=" "," ",HYPERLINK(CONCATENATE("#metadata!",ADDRESS(INDEX($AI$2:$AI$1001,MATCH(ROWS($AG$2:AG141),$AG$2:$AG$1001,0),0),1)),INDEX($AL$2:$AL$1001,MATCH(ROWS($AG$2:AG141),$AG$2:$AG$1001,0),0)))</f>
        <v>0</v>
      </c>
      <c r="B141" s="4">
        <f>IF(OR(INDEX($AH$2:$AH$1001,MATCH(ROWS($AG$2:AG141),$AG$2:$AG$1001,0),1)&gt;=100000,INDEX($AN$1005:$BO$1005,1,MATCH(COLUMNS($AN$1006:AN1006),$AN$1006:$BO$1006,0))&gt;=100000), " ",IF(INDEX($AN$2:$BO$1001,MATCH(ROWS($AG$2:AG141),$AG$2:$AG$1001,0),MATCH(COLUMNS($AN$1006:AN1006),$AN$1006:$BO$1006,0)), HYPERLINK("#",""), HYPERLINK(CONCATENATE("#Metadata!", ADDRESS(INDEX($AI$2:$AI$1001,MATCH(ROWS($AG$2:AG141),$AG$2:$AG$1001,0),0), INDEX($AN$1004:$BO$1004,1,MATCH(COLUMNS($AN$1006:AN1006),$AN$1006:$BO$1006,0)))),"Fix")))</f>
        <v>0</v>
      </c>
      <c r="C141" s="4">
        <f>IF(OR(INDEX($AH$2:$AH$1001,MATCH(ROWS($AG$2:AG141),$AG$2:$AG$1001,0),1)&gt;=100000,INDEX($AN$1005:$BO$1005,1,MATCH(COLUMNS($AN$1006:AO1006),$AN$1006:$BO$1006,0))&gt;=100000), " ",IF(INDEX($AN$2:$BO$1001,MATCH(ROWS($AG$2:AG141),$AG$2:$AG$1001,0),MATCH(COLUMNS($AN$1006:AO1006),$AN$1006:$BO$1006,0)), HYPERLINK("#",""), HYPERLINK(CONCATENATE("#Metadata!", ADDRESS(INDEX($AI$2:$AI$1001,MATCH(ROWS($AG$2:AG141),$AG$2:$AG$1001,0),0), INDEX($AN$1004:$BO$1004,1,MATCH(COLUMNS($AN$1006:AO1006),$AN$1006:$BO$1006,0)))),"Fix")))</f>
        <v>0</v>
      </c>
      <c r="D141" s="4">
        <f>IF(OR(INDEX($AH$2:$AH$1001,MATCH(ROWS($AG$2:AG141),$AG$2:$AG$1001,0),1)&gt;=100000,INDEX($AN$1005:$BO$1005,1,MATCH(COLUMNS($AN$1006:AP1006),$AN$1006:$BO$1006,0))&gt;=100000), " ",IF(INDEX($AN$2:$BO$1001,MATCH(ROWS($AG$2:AG141),$AG$2:$AG$1001,0),MATCH(COLUMNS($AN$1006:AP1006),$AN$1006:$BO$1006,0)), HYPERLINK("#",""), HYPERLINK(CONCATENATE("#Metadata!", ADDRESS(INDEX($AI$2:$AI$1001,MATCH(ROWS($AG$2:AG141),$AG$2:$AG$1001,0),0), INDEX($AN$1004:$BO$1004,1,MATCH(COLUMNS($AN$1006:AP1006),$AN$1006:$BO$1006,0)))),"Fix")))</f>
        <v>0</v>
      </c>
      <c r="E141" s="4">
        <f>IF(OR(INDEX($AH$2:$AH$1001,MATCH(ROWS($AG$2:AG141),$AG$2:$AG$1001,0),1)&gt;=100000,INDEX($AN$1005:$BO$1005,1,MATCH(COLUMNS($AN$1006:AQ1006),$AN$1006:$BO$1006,0))&gt;=100000), " ",IF(INDEX($AN$2:$BO$1001,MATCH(ROWS($AG$2:AG141),$AG$2:$AG$1001,0),MATCH(COLUMNS($AN$1006:AQ1006),$AN$1006:$BO$1006,0)), HYPERLINK("#",""), HYPERLINK(CONCATENATE("#Metadata!", ADDRESS(INDEX($AI$2:$AI$1001,MATCH(ROWS($AG$2:AG141),$AG$2:$AG$1001,0),0), INDEX($AN$1004:$BO$1004,1,MATCH(COLUMNS($AN$1006:AQ1006),$AN$1006:$BO$1006,0)))),"Fix")))</f>
        <v>0</v>
      </c>
      <c r="F141" s="4">
        <f>IF(OR(INDEX($AH$2:$AH$1001,MATCH(ROWS($AG$2:AG141),$AG$2:$AG$1001,0),1)&gt;=100000,INDEX($AN$1005:$BO$1005,1,MATCH(COLUMNS($AN$1006:AR1006),$AN$1006:$BO$1006,0))&gt;=100000), " ",IF(INDEX($AN$2:$BO$1001,MATCH(ROWS($AG$2:AG141),$AG$2:$AG$1001,0),MATCH(COLUMNS($AN$1006:AR1006),$AN$1006:$BO$1006,0)), HYPERLINK("#",""), HYPERLINK(CONCATENATE("#Metadata!", ADDRESS(INDEX($AI$2:$AI$1001,MATCH(ROWS($AG$2:AG141),$AG$2:$AG$1001,0),0), INDEX($AN$1004:$BO$1004,1,MATCH(COLUMNS($AN$1006:AR1006),$AN$1006:$BO$1006,0)))),"Fix")))</f>
        <v>0</v>
      </c>
      <c r="G141" s="4">
        <f>IF(OR(INDEX($AH$2:$AH$1001,MATCH(ROWS($AG$2:AG141),$AG$2:$AG$1001,0),1)&gt;=100000,INDEX($AN$1005:$BO$1005,1,MATCH(COLUMNS($AN$1006:AS1006),$AN$1006:$BO$1006,0))&gt;=100000), " ",IF(INDEX($AN$2:$BO$1001,MATCH(ROWS($AG$2:AG141),$AG$2:$AG$1001,0),MATCH(COLUMNS($AN$1006:AS1006),$AN$1006:$BO$1006,0)), HYPERLINK("#",""), HYPERLINK(CONCATENATE("#Metadata!", ADDRESS(INDEX($AI$2:$AI$1001,MATCH(ROWS($AG$2:AG141),$AG$2:$AG$1001,0),0), INDEX($AN$1004:$BO$1004,1,MATCH(COLUMNS($AN$1006:AS1006),$AN$1006:$BO$1006,0)))),"Fix")))</f>
        <v>0</v>
      </c>
      <c r="H141" s="4">
        <f>IF(OR(INDEX($AH$2:$AH$1001,MATCH(ROWS($AG$2:AG141),$AG$2:$AG$1001,0),1)&gt;=100000,INDEX($AN$1005:$BO$1005,1,MATCH(COLUMNS($AN$1006:AT1006),$AN$1006:$BO$1006,0))&gt;=100000), " ",IF(INDEX($AN$2:$BO$1001,MATCH(ROWS($AG$2:AG141),$AG$2:$AG$1001,0),MATCH(COLUMNS($AN$1006:AT1006),$AN$1006:$BO$1006,0)), HYPERLINK("#",""), HYPERLINK(CONCATENATE("#Metadata!", ADDRESS(INDEX($AI$2:$AI$1001,MATCH(ROWS($AG$2:AG141),$AG$2:$AG$1001,0),0), INDEX($AN$1004:$BO$1004,1,MATCH(COLUMNS($AN$1006:AT1006),$AN$1006:$BO$1006,0)))),"Fix")))</f>
        <v>0</v>
      </c>
      <c r="I141" s="4">
        <f>IF(OR(INDEX($AH$2:$AH$1001,MATCH(ROWS($AG$2:AG141),$AG$2:$AG$1001,0),1)&gt;=100000,INDEX($AN$1005:$BO$1005,1,MATCH(COLUMNS($AN$1006:AU1006),$AN$1006:$BO$1006,0))&gt;=100000), " ",IF(INDEX($AN$2:$BO$1001,MATCH(ROWS($AG$2:AG141),$AG$2:$AG$1001,0),MATCH(COLUMNS($AN$1006:AU1006),$AN$1006:$BO$1006,0)), HYPERLINK("#",""), HYPERLINK(CONCATENATE("#Metadata!", ADDRESS(INDEX($AI$2:$AI$1001,MATCH(ROWS($AG$2:AG141),$AG$2:$AG$1001,0),0), INDEX($AN$1004:$BO$1004,1,MATCH(COLUMNS($AN$1006:AU1006),$AN$1006:$BO$1006,0)))),"Fix")))</f>
        <v>0</v>
      </c>
      <c r="J141" s="4">
        <f>IF(OR(INDEX($AH$2:$AH$1001,MATCH(ROWS($AG$2:AG141),$AG$2:$AG$1001,0),1)&gt;=100000,INDEX($AN$1005:$BO$1005,1,MATCH(COLUMNS($AN$1006:AV1006),$AN$1006:$BO$1006,0))&gt;=100000), " ",IF(INDEX($AN$2:$BO$1001,MATCH(ROWS($AG$2:AG141),$AG$2:$AG$1001,0),MATCH(COLUMNS($AN$1006:AV1006),$AN$1006:$BO$1006,0)), HYPERLINK("#",""), HYPERLINK(CONCATENATE("#Metadata!", ADDRESS(INDEX($AI$2:$AI$1001,MATCH(ROWS($AG$2:AG141),$AG$2:$AG$1001,0),0), INDEX($AN$1004:$BO$1004,1,MATCH(COLUMNS($AN$1006:AV1006),$AN$1006:$BO$1006,0)))),"Fix")))</f>
        <v>0</v>
      </c>
      <c r="K141" s="4">
        <f>IF(OR(INDEX($AH$2:$AH$1001,MATCH(ROWS($AG$2:AG141),$AG$2:$AG$1001,0),1)&gt;=100000,INDEX($AN$1005:$BO$1005,1,MATCH(COLUMNS($AN$1006:AW1006),$AN$1006:$BO$1006,0))&gt;=100000), " ",IF(INDEX($AN$2:$BO$1001,MATCH(ROWS($AG$2:AG141),$AG$2:$AG$1001,0),MATCH(COLUMNS($AN$1006:AW1006),$AN$1006:$BO$1006,0)), HYPERLINK("#",""), HYPERLINK(CONCATENATE("#Metadata!", ADDRESS(INDEX($AI$2:$AI$1001,MATCH(ROWS($AG$2:AG141),$AG$2:$AG$1001,0),0), INDEX($AN$1004:$BO$1004,1,MATCH(COLUMNS($AN$1006:AW1006),$AN$1006:$BO$1006,0)))),"Fix")))</f>
        <v>0</v>
      </c>
      <c r="L141" s="4">
        <f>IF(OR(INDEX($AH$2:$AH$1001,MATCH(ROWS($AG$2:AG141),$AG$2:$AG$1001,0),1)&gt;=100000,INDEX($AN$1005:$BO$1005,1,MATCH(COLUMNS($AN$1006:AX1006),$AN$1006:$BO$1006,0))&gt;=100000), " ",IF(INDEX($AN$2:$BO$1001,MATCH(ROWS($AG$2:AG141),$AG$2:$AG$1001,0),MATCH(COLUMNS($AN$1006:AX1006),$AN$1006:$BO$1006,0)), HYPERLINK("#",""), HYPERLINK(CONCATENATE("#Metadata!", ADDRESS(INDEX($AI$2:$AI$1001,MATCH(ROWS($AG$2:AG141),$AG$2:$AG$1001,0),0), INDEX($AN$1004:$BO$1004,1,MATCH(COLUMNS($AN$1006:AX1006),$AN$1006:$BO$1006,0)))),"Fix")))</f>
        <v>0</v>
      </c>
      <c r="M141" s="4">
        <f>IF(OR(INDEX($AH$2:$AH$1001,MATCH(ROWS($AG$2:AG141),$AG$2:$AG$1001,0),1)&gt;=100000,INDEX($AN$1005:$BO$1005,1,MATCH(COLUMNS($AN$1006:AY1006),$AN$1006:$BO$1006,0))&gt;=100000), " ",IF(INDEX($AN$2:$BO$1001,MATCH(ROWS($AG$2:AG141),$AG$2:$AG$1001,0),MATCH(COLUMNS($AN$1006:AY1006),$AN$1006:$BO$1006,0)), HYPERLINK("#",""), HYPERLINK(CONCATENATE("#Metadata!", ADDRESS(INDEX($AI$2:$AI$1001,MATCH(ROWS($AG$2:AG141),$AG$2:$AG$1001,0),0), INDEX($AN$1004:$BO$1004,1,MATCH(COLUMNS($AN$1006:AY1006),$AN$1006:$BO$1006,0)))),"Fix")))</f>
        <v>0</v>
      </c>
      <c r="N141" s="4">
        <f>IF(OR(INDEX($AH$2:$AH$1001,MATCH(ROWS($AG$2:AG141),$AG$2:$AG$1001,0),1)&gt;=100000,INDEX($AN$1005:$BO$1005,1,MATCH(COLUMNS($AN$1006:AZ1006),$AN$1006:$BO$1006,0))&gt;=100000), " ",IF(INDEX($AN$2:$BO$1001,MATCH(ROWS($AG$2:AG141),$AG$2:$AG$1001,0),MATCH(COLUMNS($AN$1006:AZ1006),$AN$1006:$BO$1006,0)), HYPERLINK("#",""), HYPERLINK(CONCATENATE("#Metadata!", ADDRESS(INDEX($AI$2:$AI$1001,MATCH(ROWS($AG$2:AG141),$AG$2:$AG$1001,0),0), INDEX($AN$1004:$BO$1004,1,MATCH(COLUMNS($AN$1006:AZ1006),$AN$1006:$BO$1006,0)))),"Fix")))</f>
        <v>0</v>
      </c>
      <c r="O141" s="4">
        <f>IF(OR(INDEX($AH$2:$AH$1001,MATCH(ROWS($AG$2:AG141),$AG$2:$AG$1001,0),1)&gt;=100000,INDEX($AN$1005:$BO$1005,1,MATCH(COLUMNS($AN$1006:BA1006),$AN$1006:$BO$1006,0))&gt;=100000), " ",IF(INDEX($AN$2:$BO$1001,MATCH(ROWS($AG$2:AG141),$AG$2:$AG$1001,0),MATCH(COLUMNS($AN$1006:BA1006),$AN$1006:$BO$1006,0)), HYPERLINK("#",""), HYPERLINK(CONCATENATE("#Metadata!", ADDRESS(INDEX($AI$2:$AI$1001,MATCH(ROWS($AG$2:AG141),$AG$2:$AG$1001,0),0), INDEX($AN$1004:$BO$1004,1,MATCH(COLUMNS($AN$1006:BA1006),$AN$1006:$BO$1006,0)))),"Fix")))</f>
        <v>0</v>
      </c>
      <c r="P141" s="4">
        <f>IF(OR(INDEX($AH$2:$AH$1001,MATCH(ROWS($AG$2:AG141),$AG$2:$AG$1001,0),1)&gt;=100000,INDEX($AN$1005:$BO$1005,1,MATCH(COLUMNS($AN$1006:BB1006),$AN$1006:$BO$1006,0))&gt;=100000), " ",IF(INDEX($AN$2:$BO$1001,MATCH(ROWS($AG$2:AG141),$AG$2:$AG$1001,0),MATCH(COLUMNS($AN$1006:BB1006),$AN$1006:$BO$1006,0)), HYPERLINK("#",""), HYPERLINK(CONCATENATE("#Metadata!", ADDRESS(INDEX($AI$2:$AI$1001,MATCH(ROWS($AG$2:AG141),$AG$2:$AG$1001,0),0), INDEX($AN$1004:$BO$1004,1,MATCH(COLUMNS($AN$1006:BB1006),$AN$1006:$BO$1006,0)))),"Fix")))</f>
        <v>0</v>
      </c>
      <c r="Q141" s="4">
        <f>IF(OR(INDEX($AH$2:$AH$1001,MATCH(ROWS($AG$2:AG141),$AG$2:$AG$1001,0),1)&gt;=100000,INDEX($AN$1005:$BO$1005,1,MATCH(COLUMNS($AN$1006:BC1006),$AN$1006:$BO$1006,0))&gt;=100000), " ",IF(INDEX($AN$2:$BO$1001,MATCH(ROWS($AG$2:AG141),$AG$2:$AG$1001,0),MATCH(COLUMNS($AN$1006:BC1006),$AN$1006:$BO$1006,0)), HYPERLINK("#",""), HYPERLINK(CONCATENATE("#Metadata!", ADDRESS(INDEX($AI$2:$AI$1001,MATCH(ROWS($AG$2:AG141),$AG$2:$AG$1001,0),0), INDEX($AN$1004:$BO$1004,1,MATCH(COLUMNS($AN$1006:BC1006),$AN$1006:$BO$1006,0)))),"Fix")))</f>
        <v>0</v>
      </c>
      <c r="R141" s="4">
        <f>IF(OR(INDEX($AH$2:$AH$1001,MATCH(ROWS($AG$2:AG141),$AG$2:$AG$1001,0),1)&gt;=100000,INDEX($AN$1005:$BO$1005,1,MATCH(COLUMNS($AN$1006:BD1006),$AN$1006:$BO$1006,0))&gt;=100000), " ",IF(INDEX($AN$2:$BO$1001,MATCH(ROWS($AG$2:AG141),$AG$2:$AG$1001,0),MATCH(COLUMNS($AN$1006:BD1006),$AN$1006:$BO$1006,0)), HYPERLINK("#",""), HYPERLINK(CONCATENATE("#Metadata!", ADDRESS(INDEX($AI$2:$AI$1001,MATCH(ROWS($AG$2:AG141),$AG$2:$AG$1001,0),0), INDEX($AN$1004:$BO$1004,1,MATCH(COLUMNS($AN$1006:BD1006),$AN$1006:$BO$1006,0)))),"Fix")))</f>
        <v>0</v>
      </c>
      <c r="S141" s="4">
        <f>IF(OR(INDEX($AH$2:$AH$1001,MATCH(ROWS($AG$2:AG141),$AG$2:$AG$1001,0),1)&gt;=100000,INDEX($AN$1005:$BO$1005,1,MATCH(COLUMNS($AN$1006:BE1006),$AN$1006:$BO$1006,0))&gt;=100000), " ",IF(INDEX($AN$2:$BO$1001,MATCH(ROWS($AG$2:AG141),$AG$2:$AG$1001,0),MATCH(COLUMNS($AN$1006:BE1006),$AN$1006:$BO$1006,0)), HYPERLINK("#",""), HYPERLINK(CONCATENATE("#Metadata!", ADDRESS(INDEX($AI$2:$AI$1001,MATCH(ROWS($AG$2:AG141),$AG$2:$AG$1001,0),0), INDEX($AN$1004:$BO$1004,1,MATCH(COLUMNS($AN$1006:BE1006),$AN$1006:$BO$1006,0)))),"Fix")))</f>
        <v>0</v>
      </c>
      <c r="T141" s="4">
        <f>IF(OR(INDEX($AH$2:$AH$1001,MATCH(ROWS($AG$2:AG141),$AG$2:$AG$1001,0),1)&gt;=100000,INDEX($AN$1005:$BO$1005,1,MATCH(COLUMNS($AN$1006:BF1006),$AN$1006:$BO$1006,0))&gt;=100000), " ",IF(INDEX($AN$2:$BO$1001,MATCH(ROWS($AG$2:AG141),$AG$2:$AG$1001,0),MATCH(COLUMNS($AN$1006:BF1006),$AN$1006:$BO$1006,0)), HYPERLINK("#",""), HYPERLINK(CONCATENATE("#Metadata!", ADDRESS(INDEX($AI$2:$AI$1001,MATCH(ROWS($AG$2:AG141),$AG$2:$AG$1001,0),0), INDEX($AN$1004:$BO$1004,1,MATCH(COLUMNS($AN$1006:BF1006),$AN$1006:$BO$1006,0)))),"Fix")))</f>
        <v>0</v>
      </c>
      <c r="U141" s="4">
        <f>IF(OR(INDEX($AH$2:$AH$1001,MATCH(ROWS($AG$2:AG141),$AG$2:$AG$1001,0),1)&gt;=100000,INDEX($AN$1005:$BO$1005,1,MATCH(COLUMNS($AN$1006:BG1006),$AN$1006:$BO$1006,0))&gt;=100000), " ",IF(INDEX($AN$2:$BO$1001,MATCH(ROWS($AG$2:AG141),$AG$2:$AG$1001,0),MATCH(COLUMNS($AN$1006:BG1006),$AN$1006:$BO$1006,0)), HYPERLINK("#",""), HYPERLINK(CONCATENATE("#Metadata!", ADDRESS(INDEX($AI$2:$AI$1001,MATCH(ROWS($AG$2:AG141),$AG$2:$AG$1001,0),0), INDEX($AN$1004:$BO$1004,1,MATCH(COLUMNS($AN$1006:BG1006),$AN$1006:$BO$1006,0)))),"Fix")))</f>
        <v>0</v>
      </c>
      <c r="V141" s="4">
        <f>IF(OR(INDEX($AH$2:$AH$1001,MATCH(ROWS($AG$2:AG141),$AG$2:$AG$1001,0),1)&gt;=100000,INDEX($AN$1005:$BO$1005,1,MATCH(COLUMNS($AN$1006:BH1006),$AN$1006:$BO$1006,0))&gt;=100000), " ",IF(INDEX($AN$2:$BO$1001,MATCH(ROWS($AG$2:AG141),$AG$2:$AG$1001,0),MATCH(COLUMNS($AN$1006:BH1006),$AN$1006:$BO$1006,0)), HYPERLINK("#",""), HYPERLINK(CONCATENATE("#Metadata!", ADDRESS(INDEX($AI$2:$AI$1001,MATCH(ROWS($AG$2:AG141),$AG$2:$AG$1001,0),0), INDEX($AN$1004:$BO$1004,1,MATCH(COLUMNS($AN$1006:BH1006),$AN$1006:$BO$1006,0)))),"Fix")))</f>
        <v>0</v>
      </c>
      <c r="W141" s="4">
        <f>IF(OR(INDEX($AH$2:$AH$1001,MATCH(ROWS($AG$2:AG141),$AG$2:$AG$1001,0),1)&gt;=100000,INDEX($AN$1005:$BO$1005,1,MATCH(COLUMNS($AN$1006:BI1006),$AN$1006:$BO$1006,0))&gt;=100000), " ",IF(INDEX($AN$2:$BO$1001,MATCH(ROWS($AG$2:AG141),$AG$2:$AG$1001,0),MATCH(COLUMNS($AN$1006:BI1006),$AN$1006:$BO$1006,0)), HYPERLINK("#",""), HYPERLINK(CONCATENATE("#Metadata!", ADDRESS(INDEX($AI$2:$AI$1001,MATCH(ROWS($AG$2:AG141),$AG$2:$AG$1001,0),0), INDEX($AN$1004:$BO$1004,1,MATCH(COLUMNS($AN$1006:BI1006),$AN$1006:$BO$1006,0)))),"Fix")))</f>
        <v>0</v>
      </c>
      <c r="X141" s="4">
        <f>IF(OR(INDEX($AH$2:$AH$1001,MATCH(ROWS($AG$2:AG141),$AG$2:$AG$1001,0),1)&gt;=100000,INDEX($AN$1005:$BO$1005,1,MATCH(COLUMNS($AN$1006:BJ1006),$AN$1006:$BO$1006,0))&gt;=100000), " ",IF(INDEX($AN$2:$BO$1001,MATCH(ROWS($AG$2:AG141),$AG$2:$AG$1001,0),MATCH(COLUMNS($AN$1006:BJ1006),$AN$1006:$BO$1006,0)), HYPERLINK("#",""), HYPERLINK(CONCATENATE("#Metadata!", ADDRESS(INDEX($AI$2:$AI$1001,MATCH(ROWS($AG$2:AG141),$AG$2:$AG$1001,0),0), INDEX($AN$1004:$BO$1004,1,MATCH(COLUMNS($AN$1006:BJ1006),$AN$1006:$BO$1006,0)))),"Fix")))</f>
        <v>0</v>
      </c>
      <c r="Y141" s="4">
        <f>IF(OR(INDEX($AH$2:$AH$1001,MATCH(ROWS($AG$2:AG141),$AG$2:$AG$1001,0),1)&gt;=100000,INDEX($AN$1005:$BO$1005,1,MATCH(COLUMNS($AN$1006:BK1006),$AN$1006:$BO$1006,0))&gt;=100000), " ",IF(INDEX($AN$2:$BO$1001,MATCH(ROWS($AG$2:AG141),$AG$2:$AG$1001,0),MATCH(COLUMNS($AN$1006:BK1006),$AN$1006:$BO$1006,0)), HYPERLINK("#",""), HYPERLINK(CONCATENATE("#Metadata!", ADDRESS(INDEX($AI$2:$AI$1001,MATCH(ROWS($AG$2:AG141),$AG$2:$AG$1001,0),0), INDEX($AN$1004:$BO$1004,1,MATCH(COLUMNS($AN$1006:BK1006),$AN$1006:$BO$1006,0)))),"Fix")))</f>
        <v>0</v>
      </c>
      <c r="Z141" s="4">
        <f>IF(OR(INDEX($AH$2:$AH$1001,MATCH(ROWS($AG$2:AG141),$AG$2:$AG$1001,0),1)&gt;=100000,INDEX($AN$1005:$BO$1005,1,MATCH(COLUMNS($AN$1006:BL1006),$AN$1006:$BO$1006,0))&gt;=100000), " ",IF(INDEX($AN$2:$BO$1001,MATCH(ROWS($AG$2:AG141),$AG$2:$AG$1001,0),MATCH(COLUMNS($AN$1006:BL1006),$AN$1006:$BO$1006,0)), HYPERLINK("#",""), HYPERLINK(CONCATENATE("#Metadata!", ADDRESS(INDEX($AI$2:$AI$1001,MATCH(ROWS($AG$2:AG141),$AG$2:$AG$1001,0),0), INDEX($AN$1004:$BO$1004,1,MATCH(COLUMNS($AN$1006:BL1006),$AN$1006:$BO$1006,0)))),"Fix")))</f>
        <v>0</v>
      </c>
      <c r="AA141" s="4">
        <f>IF(OR(INDEX($AH$2:$AH$1001,MATCH(ROWS($AG$2:AG141),$AG$2:$AG$1001,0),1)&gt;=100000,INDEX($AN$1005:$BO$1005,1,MATCH(COLUMNS($AN$1006:BM1006),$AN$1006:$BO$1006,0))&gt;=100000), " ",IF(INDEX($AN$2:$BO$1001,MATCH(ROWS($AG$2:AG141),$AG$2:$AG$1001,0),MATCH(COLUMNS($AN$1006:BM1006),$AN$1006:$BO$1006,0)), HYPERLINK("#",""), HYPERLINK(CONCATENATE("#Metadata!", ADDRESS(INDEX($AI$2:$AI$1001,MATCH(ROWS($AG$2:AG141),$AG$2:$AG$1001,0),0), INDEX($AN$1004:$BO$1004,1,MATCH(COLUMNS($AN$1006:BM1006),$AN$1006:$BO$1006,0)))),"Fix")))</f>
        <v>0</v>
      </c>
      <c r="AB141" s="4">
        <f>IF(OR(INDEX($AH$2:$AH$1001,MATCH(ROWS($AG$2:AG141),$AG$2:$AG$1001,0),1)&gt;=100000,INDEX($AN$1005:$BO$1005,1,MATCH(COLUMNS($AN$1006:BN1006),$AN$1006:$BO$1006,0))&gt;=100000), " ",IF(INDEX($AN$2:$BO$1001,MATCH(ROWS($AG$2:AG141),$AG$2:$AG$1001,0),MATCH(COLUMNS($AN$1006:BN1006),$AN$1006:$BO$1006,0)), HYPERLINK("#",""), HYPERLINK(CONCATENATE("#Metadata!", ADDRESS(INDEX($AI$2:$AI$1001,MATCH(ROWS($AG$2:AG141),$AG$2:$AG$1001,0),0), INDEX($AN$1004:$BO$1004,1,MATCH(COLUMNS($AN$1006:BN1006),$AN$1006:$BO$1006,0)))),"Fix")))</f>
        <v>0</v>
      </c>
      <c r="AC141" s="4">
        <f>IF(OR(INDEX($AH$2:$AH$1001,MATCH(ROWS($AG$2:AG141),$AG$2:$AG$1001,0),1)&gt;=100000,INDEX($AN$1005:$BO$1005,1,MATCH(COLUMNS($AN$1006:BO1006),$AN$1006:$BO$1006,0))&gt;=100000), " ",IF(INDEX($AN$2:$BO$1001,MATCH(ROWS($AG$2:AG141),$AG$2:$AG$1001,0),MATCH(COLUMNS($AN$1006:BO1006),$AN$1006:$BO$1006,0)), HYPERLINK("#",""), HYPERLINK(CONCATENATE("#Metadata!", ADDRESS(INDEX($AI$2:$AI$1001,MATCH(ROWS($AG$2:AG141),$AG$2:$AG$1001,0),0), INDEX($AN$1004:$BO$1004,1,MATCH(COLUMNS($AN$1006:BO1006),$AN$1006:$BO$1006,0)))),"Fix")))</f>
        <v>0</v>
      </c>
      <c r="AG141">
        <v>0</v>
      </c>
      <c r="AH141">
        <v>0</v>
      </c>
      <c r="AI141">
        <v>0</v>
      </c>
      <c r="AJ141">
        <f>IF(AK141,TRUE,AND(AN141:BO141))</f>
        <v>0</v>
      </c>
      <c r="AK141">
        <f>COUNTBLANK(Metadata!B141:AC141)=COLUMNS(Metadata!B141:AC141)</f>
        <v>0</v>
      </c>
      <c r="AL141">
        <v>0</v>
      </c>
      <c r="AN141">
        <f>AND(IF(Metadata!B141="",FALSE,TRUE),COUNTIF(Metadata!B:B, Metadata!B141) = 1,NOT(ISERROR(SUMPRODUCT(SEARCH(MID(Metadata!B141,ROW(INDIRECT("1:"&amp;LEN(Metadata!B141))), 1),"0123456789abcdefghijklmnopqrstuvwxyzABCDEFGHIJKLMNOPQRSTUVWXYZ.")))))</f>
        <v>0</v>
      </c>
      <c r="AO141">
        <f>IF(Metadata!C141="",FALSE,TRUE)</f>
        <v>0</v>
      </c>
      <c r="AP141">
        <f>IF(Metadata!D141="",FALSE,TRUE)</f>
        <v>0</v>
      </c>
      <c r="AQ141">
        <f>OR(AND(IF(Metadata!E141="",FALSE,TRUE),OR(exact(Metadata!E141,"not collected"),exact(Metadata!E141,"not provided"),exact(Metadata!E141,"restricted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R141">
        <f>IF(Metadata!F141="",FALSE,TRUE)</f>
        <v>0</v>
      </c>
      <c r="AS141">
        <f>OR(AND(IF(Metadata!G141="",FALSE,TRUE),OR(exact(Metadata!G141,"not collected"),exact(Metadata!G141,"not provided"))),AND(IF(Metadata!G141="",FALSE,TRUE),OR(exact(Metadata!G141,"TRUE"),exact(Metadata!G141,"FALSE"))))</f>
        <v>0</v>
      </c>
      <c r="AT141">
        <f>OR(AND(IF(Metadata!H141="",FALSE,TRUE),OR(exact(Metadata!H141,"not collected"),exact(Metadata!H141,"not provided"),exact(Metadata!H141,"restricted access"))),AND(IF(Metadata!H141="",FALSE,ISNUMBER(VALUE(Metadata!H141))),Metadata!H141&gt;=-413.0))</f>
        <v>0</v>
      </c>
      <c r="AU141">
        <f>AND(IF(Metadata!I141="",FALSE,TRUE),exact(Metadata!I141,"meters"))</f>
        <v>0</v>
      </c>
      <c r="AV141">
        <f>AND(IF(Metadata!J141="",FALSE,TRUE),OR(exact(Metadata!J141,"Host-associated"),exact(Metadata!J141,"Free-living")))</f>
        <v>0</v>
      </c>
      <c r="AW141">
        <f>AND(IF(Metadata!K141="",FALSE,TRUE),OR(exact(Metadata!K141,"Animal"),exact(Metadata!K141,"Fungus"),exact(Metadata!K141,"Plant"),exact(Metadata!K141,"Saline"),exact(Metadata!K141,"Non-saline")))</f>
        <v>0</v>
      </c>
      <c r="AX141">
        <f>AND(IF(Metadata!L141="",FALSE,TRUE),OR(exact(Metadata!L141,"Plant secretion"),exact(Metadata!L141,"Plant rhizosphere"),exact(Metadata!L141,"Plant surface"),exact(Metadata!L141,"Plant corpus"),exact(Metadata!L141,"Fungus surface"),exact(Metadata!L141,"Fungus corpus"),exact(Metadata!L141,"Animal surface"),exact(Metadata!L141,"Animal proximal gut"),exact(Metadata!L141,"Animal corpus"),exact(Metadata!L141,"Animal distal gut"),exact(Metadata!L141,"Animal secretion"),exact(Metadata!L141,"Sub-surface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Y141">
        <f>IF(Metadata!M141="",FALSE,TRUE)</f>
        <v>0</v>
      </c>
      <c r="AZ141">
        <f>IF(Metadata!N141="",FALSE,TRUE)</f>
        <v>0</v>
      </c>
      <c r="BA141">
        <f>IF(Metadata!O141="",FALSE,TRUE)</f>
        <v>0</v>
      </c>
      <c r="BB141">
        <f>OR(AND(IF(Metadata!P141="",FALSE,TRUE),OR(exact(Metadata!P141,"not collected"),exact(Metadata!P141,"not provided"),exact(Metadata!P141,"restricted access"))),AND(IF(Metadata!P141="",FALSE,TRUE),OR(exact(Metadata!P141,"air"),exact(Metadata!P141,"built environment"),exact(Metadata!P141,"host-associated"),exact(Metadata!P141,"human-associated"),exact(Metadata!P141,"human-skin"),exact(Metadata!P141,"human-oral"),exact(Metadata!P141,"human-gut"),exact(Metadata!P141,"human-vaginal"),exact(Metadata!P141,"microbial mat/biofilm"),exact(Metadata!P141,"misc environment"),exact(Metadata!P141,"plant-associated"),exact(Metadata!P141,"sediment"),exact(Metadata!P141,"soil"),exact(Metadata!P141,"wastewater/sludge"),exact(Metadata!P141,"water"))))</f>
        <v>0</v>
      </c>
      <c r="BC141">
        <f>IF(Metadata!Q141="",FALSE,TRUE)</f>
        <v>0</v>
      </c>
      <c r="BD141">
        <f>IF(Metadata!R141="",FALSE,TRUE)</f>
        <v>0</v>
      </c>
      <c r="BE141">
        <f>OR(AND(IF(Metadata!S141="",FALSE,TRUE),OR(exact(Metadata!S141,"not collected"),exact(Metadata!S141,"not provided"),exact(Metadata!S141,"restricted access"))),AND(IF(Metadata!S141="",FALSE,ISNUMBER(VALUE(Metadata!S141))),Metadata!S141&gt;=-90.00,Metadata!S141&lt;=90.00))</f>
        <v>0</v>
      </c>
      <c r="BF141">
        <f>AND(IF(Metadata!T141="",FALSE,TRUE),exact(Metadata!T141,"Decimal degrees"))</f>
        <v>0</v>
      </c>
      <c r="BG141">
        <f>OR(AND(IF(Metadata!U141="",FALSE,TRUE),OR(exact(Metadata!U141,"not collected"),exact(Metadata!U141,"not provided"),exact(Metadata!U141,"restricted access"))),AND(IF(Metadata!U141="",FALSE,ISNUMBER(VALUE(Metadata!U141))),Metadata!U141&gt;=-180.00,Metadata!U141&lt;=180.00))</f>
        <v>0</v>
      </c>
      <c r="BH141">
        <f>AND(IF(Metadata!V141="",FALSE,TRUE),exact(Metadata!V141,"Decimal degrees"))</f>
        <v>0</v>
      </c>
      <c r="BI141">
        <f>IF(Metadata!W141="",FALSE,TRUE)</f>
        <v>0</v>
      </c>
      <c r="BJ141">
        <f>OR(AND(IF(Metadata!X141="",FALSE,TRUE),OR(exact(Metadata!X141,"not collected"),exact(Metadata!X141,"not provided"),exact(Metadata!X141,"restricted access"))),AND(IF(Metadata!X141="",FALSE,TRUE),OR(exact(Metadata!X141,"TRUE"),exact(Metadata!X141,"FALSE"))))</f>
        <v>0</v>
      </c>
      <c r="BK141">
        <f>AND(IF(Metadata!Y141="",FALSE,TRUE),exact(Metadata!Y141,"other"))</f>
        <v>0</v>
      </c>
      <c r="BL141">
        <f>IF(Metadata!Z141="",FALSE,TRUE)</f>
        <v>0</v>
      </c>
      <c r="BM141">
        <f>OR(AND(IF(Metadata!AA141="",FALSE,TRUE),OR(exact(Metadata!AA141,"not collected"),exact(Metadata!AA141,"not provided"))),AND(IF(Metadata!AA141="",FALSE,IF(ISERROR(INT(Metadata!AA141)),FALSE,INT(Metadata!AA141)=Metadata!AA141)),Metadata!AA141&gt;0))</f>
        <v>0</v>
      </c>
      <c r="BN141">
        <f>AND(IF(Metadata!AB141="",FALSE,TRUE),exact(Metadata!AB141,"Not applicable"))</f>
        <v>0</v>
      </c>
      <c r="BO141">
        <f>IF(Metadata!AC141="",FALSE,TRUE)</f>
        <v>0</v>
      </c>
    </row>
    <row r="142" spans="1:67">
      <c r="A142" s="5">
        <f>IF(B142=" "," ",HYPERLINK(CONCATENATE("#metadata!",ADDRESS(INDEX($AI$2:$AI$1001,MATCH(ROWS($AG$2:AG142),$AG$2:$AG$1001,0),0),1)),INDEX($AL$2:$AL$1001,MATCH(ROWS($AG$2:AG142),$AG$2:$AG$1001,0),0)))</f>
        <v>0</v>
      </c>
      <c r="B142" s="4">
        <f>IF(OR(INDEX($AH$2:$AH$1001,MATCH(ROWS($AG$2:AG142),$AG$2:$AG$1001,0),1)&gt;=100000,INDEX($AN$1005:$BO$1005,1,MATCH(COLUMNS($AN$1006:AN1006),$AN$1006:$BO$1006,0))&gt;=100000), " ",IF(INDEX($AN$2:$BO$1001,MATCH(ROWS($AG$2:AG142),$AG$2:$AG$1001,0),MATCH(COLUMNS($AN$1006:AN1006),$AN$1006:$BO$1006,0)), HYPERLINK("#",""), HYPERLINK(CONCATENATE("#Metadata!", ADDRESS(INDEX($AI$2:$AI$1001,MATCH(ROWS($AG$2:AG142),$AG$2:$AG$1001,0),0), INDEX($AN$1004:$BO$1004,1,MATCH(COLUMNS($AN$1006:AN1006),$AN$1006:$BO$1006,0)))),"Fix")))</f>
        <v>0</v>
      </c>
      <c r="C142" s="4">
        <f>IF(OR(INDEX($AH$2:$AH$1001,MATCH(ROWS($AG$2:AG142),$AG$2:$AG$1001,0),1)&gt;=100000,INDEX($AN$1005:$BO$1005,1,MATCH(COLUMNS($AN$1006:AO1006),$AN$1006:$BO$1006,0))&gt;=100000), " ",IF(INDEX($AN$2:$BO$1001,MATCH(ROWS($AG$2:AG142),$AG$2:$AG$1001,0),MATCH(COLUMNS($AN$1006:AO1006),$AN$1006:$BO$1006,0)), HYPERLINK("#",""), HYPERLINK(CONCATENATE("#Metadata!", ADDRESS(INDEX($AI$2:$AI$1001,MATCH(ROWS($AG$2:AG142),$AG$2:$AG$1001,0),0), INDEX($AN$1004:$BO$1004,1,MATCH(COLUMNS($AN$1006:AO1006),$AN$1006:$BO$1006,0)))),"Fix")))</f>
        <v>0</v>
      </c>
      <c r="D142" s="4">
        <f>IF(OR(INDEX($AH$2:$AH$1001,MATCH(ROWS($AG$2:AG142),$AG$2:$AG$1001,0),1)&gt;=100000,INDEX($AN$1005:$BO$1005,1,MATCH(COLUMNS($AN$1006:AP1006),$AN$1006:$BO$1006,0))&gt;=100000), " ",IF(INDEX($AN$2:$BO$1001,MATCH(ROWS($AG$2:AG142),$AG$2:$AG$1001,0),MATCH(COLUMNS($AN$1006:AP1006),$AN$1006:$BO$1006,0)), HYPERLINK("#",""), HYPERLINK(CONCATENATE("#Metadata!", ADDRESS(INDEX($AI$2:$AI$1001,MATCH(ROWS($AG$2:AG142),$AG$2:$AG$1001,0),0), INDEX($AN$1004:$BO$1004,1,MATCH(COLUMNS($AN$1006:AP1006),$AN$1006:$BO$1006,0)))),"Fix")))</f>
        <v>0</v>
      </c>
      <c r="E142" s="4">
        <f>IF(OR(INDEX($AH$2:$AH$1001,MATCH(ROWS($AG$2:AG142),$AG$2:$AG$1001,0),1)&gt;=100000,INDEX($AN$1005:$BO$1005,1,MATCH(COLUMNS($AN$1006:AQ1006),$AN$1006:$BO$1006,0))&gt;=100000), " ",IF(INDEX($AN$2:$BO$1001,MATCH(ROWS($AG$2:AG142),$AG$2:$AG$1001,0),MATCH(COLUMNS($AN$1006:AQ1006),$AN$1006:$BO$1006,0)), HYPERLINK("#",""), HYPERLINK(CONCATENATE("#Metadata!", ADDRESS(INDEX($AI$2:$AI$1001,MATCH(ROWS($AG$2:AG142),$AG$2:$AG$1001,0),0), INDEX($AN$1004:$BO$1004,1,MATCH(COLUMNS($AN$1006:AQ1006),$AN$1006:$BO$1006,0)))),"Fix")))</f>
        <v>0</v>
      </c>
      <c r="F142" s="4">
        <f>IF(OR(INDEX($AH$2:$AH$1001,MATCH(ROWS($AG$2:AG142),$AG$2:$AG$1001,0),1)&gt;=100000,INDEX($AN$1005:$BO$1005,1,MATCH(COLUMNS($AN$1006:AR1006),$AN$1006:$BO$1006,0))&gt;=100000), " ",IF(INDEX($AN$2:$BO$1001,MATCH(ROWS($AG$2:AG142),$AG$2:$AG$1001,0),MATCH(COLUMNS($AN$1006:AR1006),$AN$1006:$BO$1006,0)), HYPERLINK("#",""), HYPERLINK(CONCATENATE("#Metadata!", ADDRESS(INDEX($AI$2:$AI$1001,MATCH(ROWS($AG$2:AG142),$AG$2:$AG$1001,0),0), INDEX($AN$1004:$BO$1004,1,MATCH(COLUMNS($AN$1006:AR1006),$AN$1006:$BO$1006,0)))),"Fix")))</f>
        <v>0</v>
      </c>
      <c r="G142" s="4">
        <f>IF(OR(INDEX($AH$2:$AH$1001,MATCH(ROWS($AG$2:AG142),$AG$2:$AG$1001,0),1)&gt;=100000,INDEX($AN$1005:$BO$1005,1,MATCH(COLUMNS($AN$1006:AS1006),$AN$1006:$BO$1006,0))&gt;=100000), " ",IF(INDEX($AN$2:$BO$1001,MATCH(ROWS($AG$2:AG142),$AG$2:$AG$1001,0),MATCH(COLUMNS($AN$1006:AS1006),$AN$1006:$BO$1006,0)), HYPERLINK("#",""), HYPERLINK(CONCATENATE("#Metadata!", ADDRESS(INDEX($AI$2:$AI$1001,MATCH(ROWS($AG$2:AG142),$AG$2:$AG$1001,0),0), INDEX($AN$1004:$BO$1004,1,MATCH(COLUMNS($AN$1006:AS1006),$AN$1006:$BO$1006,0)))),"Fix")))</f>
        <v>0</v>
      </c>
      <c r="H142" s="4">
        <f>IF(OR(INDEX($AH$2:$AH$1001,MATCH(ROWS($AG$2:AG142),$AG$2:$AG$1001,0),1)&gt;=100000,INDEX($AN$1005:$BO$1005,1,MATCH(COLUMNS($AN$1006:AT1006),$AN$1006:$BO$1006,0))&gt;=100000), " ",IF(INDEX($AN$2:$BO$1001,MATCH(ROWS($AG$2:AG142),$AG$2:$AG$1001,0),MATCH(COLUMNS($AN$1006:AT1006),$AN$1006:$BO$1006,0)), HYPERLINK("#",""), HYPERLINK(CONCATENATE("#Metadata!", ADDRESS(INDEX($AI$2:$AI$1001,MATCH(ROWS($AG$2:AG142),$AG$2:$AG$1001,0),0), INDEX($AN$1004:$BO$1004,1,MATCH(COLUMNS($AN$1006:AT1006),$AN$1006:$BO$1006,0)))),"Fix")))</f>
        <v>0</v>
      </c>
      <c r="I142" s="4">
        <f>IF(OR(INDEX($AH$2:$AH$1001,MATCH(ROWS($AG$2:AG142),$AG$2:$AG$1001,0),1)&gt;=100000,INDEX($AN$1005:$BO$1005,1,MATCH(COLUMNS($AN$1006:AU1006),$AN$1006:$BO$1006,0))&gt;=100000), " ",IF(INDEX($AN$2:$BO$1001,MATCH(ROWS($AG$2:AG142),$AG$2:$AG$1001,0),MATCH(COLUMNS($AN$1006:AU1006),$AN$1006:$BO$1006,0)), HYPERLINK("#",""), HYPERLINK(CONCATENATE("#Metadata!", ADDRESS(INDEX($AI$2:$AI$1001,MATCH(ROWS($AG$2:AG142),$AG$2:$AG$1001,0),0), INDEX($AN$1004:$BO$1004,1,MATCH(COLUMNS($AN$1006:AU1006),$AN$1006:$BO$1006,0)))),"Fix")))</f>
        <v>0</v>
      </c>
      <c r="J142" s="4">
        <f>IF(OR(INDEX($AH$2:$AH$1001,MATCH(ROWS($AG$2:AG142),$AG$2:$AG$1001,0),1)&gt;=100000,INDEX($AN$1005:$BO$1005,1,MATCH(COLUMNS($AN$1006:AV1006),$AN$1006:$BO$1006,0))&gt;=100000), " ",IF(INDEX($AN$2:$BO$1001,MATCH(ROWS($AG$2:AG142),$AG$2:$AG$1001,0),MATCH(COLUMNS($AN$1006:AV1006),$AN$1006:$BO$1006,0)), HYPERLINK("#",""), HYPERLINK(CONCATENATE("#Metadata!", ADDRESS(INDEX($AI$2:$AI$1001,MATCH(ROWS($AG$2:AG142),$AG$2:$AG$1001,0),0), INDEX($AN$1004:$BO$1004,1,MATCH(COLUMNS($AN$1006:AV1006),$AN$1006:$BO$1006,0)))),"Fix")))</f>
        <v>0</v>
      </c>
      <c r="K142" s="4">
        <f>IF(OR(INDEX($AH$2:$AH$1001,MATCH(ROWS($AG$2:AG142),$AG$2:$AG$1001,0),1)&gt;=100000,INDEX($AN$1005:$BO$1005,1,MATCH(COLUMNS($AN$1006:AW1006),$AN$1006:$BO$1006,0))&gt;=100000), " ",IF(INDEX($AN$2:$BO$1001,MATCH(ROWS($AG$2:AG142),$AG$2:$AG$1001,0),MATCH(COLUMNS($AN$1006:AW1006),$AN$1006:$BO$1006,0)), HYPERLINK("#",""), HYPERLINK(CONCATENATE("#Metadata!", ADDRESS(INDEX($AI$2:$AI$1001,MATCH(ROWS($AG$2:AG142),$AG$2:$AG$1001,0),0), INDEX($AN$1004:$BO$1004,1,MATCH(COLUMNS($AN$1006:AW1006),$AN$1006:$BO$1006,0)))),"Fix")))</f>
        <v>0</v>
      </c>
      <c r="L142" s="4">
        <f>IF(OR(INDEX($AH$2:$AH$1001,MATCH(ROWS($AG$2:AG142),$AG$2:$AG$1001,0),1)&gt;=100000,INDEX($AN$1005:$BO$1005,1,MATCH(COLUMNS($AN$1006:AX1006),$AN$1006:$BO$1006,0))&gt;=100000), " ",IF(INDEX($AN$2:$BO$1001,MATCH(ROWS($AG$2:AG142),$AG$2:$AG$1001,0),MATCH(COLUMNS($AN$1006:AX1006),$AN$1006:$BO$1006,0)), HYPERLINK("#",""), HYPERLINK(CONCATENATE("#Metadata!", ADDRESS(INDEX($AI$2:$AI$1001,MATCH(ROWS($AG$2:AG142),$AG$2:$AG$1001,0),0), INDEX($AN$1004:$BO$1004,1,MATCH(COLUMNS($AN$1006:AX1006),$AN$1006:$BO$1006,0)))),"Fix")))</f>
        <v>0</v>
      </c>
      <c r="M142" s="4">
        <f>IF(OR(INDEX($AH$2:$AH$1001,MATCH(ROWS($AG$2:AG142),$AG$2:$AG$1001,0),1)&gt;=100000,INDEX($AN$1005:$BO$1005,1,MATCH(COLUMNS($AN$1006:AY1006),$AN$1006:$BO$1006,0))&gt;=100000), " ",IF(INDEX($AN$2:$BO$1001,MATCH(ROWS($AG$2:AG142),$AG$2:$AG$1001,0),MATCH(COLUMNS($AN$1006:AY1006),$AN$1006:$BO$1006,0)), HYPERLINK("#",""), HYPERLINK(CONCATENATE("#Metadata!", ADDRESS(INDEX($AI$2:$AI$1001,MATCH(ROWS($AG$2:AG142),$AG$2:$AG$1001,0),0), INDEX($AN$1004:$BO$1004,1,MATCH(COLUMNS($AN$1006:AY1006),$AN$1006:$BO$1006,0)))),"Fix")))</f>
        <v>0</v>
      </c>
      <c r="N142" s="4">
        <f>IF(OR(INDEX($AH$2:$AH$1001,MATCH(ROWS($AG$2:AG142),$AG$2:$AG$1001,0),1)&gt;=100000,INDEX($AN$1005:$BO$1005,1,MATCH(COLUMNS($AN$1006:AZ1006),$AN$1006:$BO$1006,0))&gt;=100000), " ",IF(INDEX($AN$2:$BO$1001,MATCH(ROWS($AG$2:AG142),$AG$2:$AG$1001,0),MATCH(COLUMNS($AN$1006:AZ1006),$AN$1006:$BO$1006,0)), HYPERLINK("#",""), HYPERLINK(CONCATENATE("#Metadata!", ADDRESS(INDEX($AI$2:$AI$1001,MATCH(ROWS($AG$2:AG142),$AG$2:$AG$1001,0),0), INDEX($AN$1004:$BO$1004,1,MATCH(COLUMNS($AN$1006:AZ1006),$AN$1006:$BO$1006,0)))),"Fix")))</f>
        <v>0</v>
      </c>
      <c r="O142" s="4">
        <f>IF(OR(INDEX($AH$2:$AH$1001,MATCH(ROWS($AG$2:AG142),$AG$2:$AG$1001,0),1)&gt;=100000,INDEX($AN$1005:$BO$1005,1,MATCH(COLUMNS($AN$1006:BA1006),$AN$1006:$BO$1006,0))&gt;=100000), " ",IF(INDEX($AN$2:$BO$1001,MATCH(ROWS($AG$2:AG142),$AG$2:$AG$1001,0),MATCH(COLUMNS($AN$1006:BA1006),$AN$1006:$BO$1006,0)), HYPERLINK("#",""), HYPERLINK(CONCATENATE("#Metadata!", ADDRESS(INDEX($AI$2:$AI$1001,MATCH(ROWS($AG$2:AG142),$AG$2:$AG$1001,0),0), INDEX($AN$1004:$BO$1004,1,MATCH(COLUMNS($AN$1006:BA1006),$AN$1006:$BO$1006,0)))),"Fix")))</f>
        <v>0</v>
      </c>
      <c r="P142" s="4">
        <f>IF(OR(INDEX($AH$2:$AH$1001,MATCH(ROWS($AG$2:AG142),$AG$2:$AG$1001,0),1)&gt;=100000,INDEX($AN$1005:$BO$1005,1,MATCH(COLUMNS($AN$1006:BB1006),$AN$1006:$BO$1006,0))&gt;=100000), " ",IF(INDEX($AN$2:$BO$1001,MATCH(ROWS($AG$2:AG142),$AG$2:$AG$1001,0),MATCH(COLUMNS($AN$1006:BB1006),$AN$1006:$BO$1006,0)), HYPERLINK("#",""), HYPERLINK(CONCATENATE("#Metadata!", ADDRESS(INDEX($AI$2:$AI$1001,MATCH(ROWS($AG$2:AG142),$AG$2:$AG$1001,0),0), INDEX($AN$1004:$BO$1004,1,MATCH(COLUMNS($AN$1006:BB1006),$AN$1006:$BO$1006,0)))),"Fix")))</f>
        <v>0</v>
      </c>
      <c r="Q142" s="4">
        <f>IF(OR(INDEX($AH$2:$AH$1001,MATCH(ROWS($AG$2:AG142),$AG$2:$AG$1001,0),1)&gt;=100000,INDEX($AN$1005:$BO$1005,1,MATCH(COLUMNS($AN$1006:BC1006),$AN$1006:$BO$1006,0))&gt;=100000), " ",IF(INDEX($AN$2:$BO$1001,MATCH(ROWS($AG$2:AG142),$AG$2:$AG$1001,0),MATCH(COLUMNS($AN$1006:BC1006),$AN$1006:$BO$1006,0)), HYPERLINK("#",""), HYPERLINK(CONCATENATE("#Metadata!", ADDRESS(INDEX($AI$2:$AI$1001,MATCH(ROWS($AG$2:AG142),$AG$2:$AG$1001,0),0), INDEX($AN$1004:$BO$1004,1,MATCH(COLUMNS($AN$1006:BC1006),$AN$1006:$BO$1006,0)))),"Fix")))</f>
        <v>0</v>
      </c>
      <c r="R142" s="4">
        <f>IF(OR(INDEX($AH$2:$AH$1001,MATCH(ROWS($AG$2:AG142),$AG$2:$AG$1001,0),1)&gt;=100000,INDEX($AN$1005:$BO$1005,1,MATCH(COLUMNS($AN$1006:BD1006),$AN$1006:$BO$1006,0))&gt;=100000), " ",IF(INDEX($AN$2:$BO$1001,MATCH(ROWS($AG$2:AG142),$AG$2:$AG$1001,0),MATCH(COLUMNS($AN$1006:BD1006),$AN$1006:$BO$1006,0)), HYPERLINK("#",""), HYPERLINK(CONCATENATE("#Metadata!", ADDRESS(INDEX($AI$2:$AI$1001,MATCH(ROWS($AG$2:AG142),$AG$2:$AG$1001,0),0), INDEX($AN$1004:$BO$1004,1,MATCH(COLUMNS($AN$1006:BD1006),$AN$1006:$BO$1006,0)))),"Fix")))</f>
        <v>0</v>
      </c>
      <c r="S142" s="4">
        <f>IF(OR(INDEX($AH$2:$AH$1001,MATCH(ROWS($AG$2:AG142),$AG$2:$AG$1001,0),1)&gt;=100000,INDEX($AN$1005:$BO$1005,1,MATCH(COLUMNS($AN$1006:BE1006),$AN$1006:$BO$1006,0))&gt;=100000), " ",IF(INDEX($AN$2:$BO$1001,MATCH(ROWS($AG$2:AG142),$AG$2:$AG$1001,0),MATCH(COLUMNS($AN$1006:BE1006),$AN$1006:$BO$1006,0)), HYPERLINK("#",""), HYPERLINK(CONCATENATE("#Metadata!", ADDRESS(INDEX($AI$2:$AI$1001,MATCH(ROWS($AG$2:AG142),$AG$2:$AG$1001,0),0), INDEX($AN$1004:$BO$1004,1,MATCH(COLUMNS($AN$1006:BE1006),$AN$1006:$BO$1006,0)))),"Fix")))</f>
        <v>0</v>
      </c>
      <c r="T142" s="4">
        <f>IF(OR(INDEX($AH$2:$AH$1001,MATCH(ROWS($AG$2:AG142),$AG$2:$AG$1001,0),1)&gt;=100000,INDEX($AN$1005:$BO$1005,1,MATCH(COLUMNS($AN$1006:BF1006),$AN$1006:$BO$1006,0))&gt;=100000), " ",IF(INDEX($AN$2:$BO$1001,MATCH(ROWS($AG$2:AG142),$AG$2:$AG$1001,0),MATCH(COLUMNS($AN$1006:BF1006),$AN$1006:$BO$1006,0)), HYPERLINK("#",""), HYPERLINK(CONCATENATE("#Metadata!", ADDRESS(INDEX($AI$2:$AI$1001,MATCH(ROWS($AG$2:AG142),$AG$2:$AG$1001,0),0), INDEX($AN$1004:$BO$1004,1,MATCH(COLUMNS($AN$1006:BF1006),$AN$1006:$BO$1006,0)))),"Fix")))</f>
        <v>0</v>
      </c>
      <c r="U142" s="4">
        <f>IF(OR(INDEX($AH$2:$AH$1001,MATCH(ROWS($AG$2:AG142),$AG$2:$AG$1001,0),1)&gt;=100000,INDEX($AN$1005:$BO$1005,1,MATCH(COLUMNS($AN$1006:BG1006),$AN$1006:$BO$1006,0))&gt;=100000), " ",IF(INDEX($AN$2:$BO$1001,MATCH(ROWS($AG$2:AG142),$AG$2:$AG$1001,0),MATCH(COLUMNS($AN$1006:BG1006),$AN$1006:$BO$1006,0)), HYPERLINK("#",""), HYPERLINK(CONCATENATE("#Metadata!", ADDRESS(INDEX($AI$2:$AI$1001,MATCH(ROWS($AG$2:AG142),$AG$2:$AG$1001,0),0), INDEX($AN$1004:$BO$1004,1,MATCH(COLUMNS($AN$1006:BG1006),$AN$1006:$BO$1006,0)))),"Fix")))</f>
        <v>0</v>
      </c>
      <c r="V142" s="4">
        <f>IF(OR(INDEX($AH$2:$AH$1001,MATCH(ROWS($AG$2:AG142),$AG$2:$AG$1001,0),1)&gt;=100000,INDEX($AN$1005:$BO$1005,1,MATCH(COLUMNS($AN$1006:BH1006),$AN$1006:$BO$1006,0))&gt;=100000), " ",IF(INDEX($AN$2:$BO$1001,MATCH(ROWS($AG$2:AG142),$AG$2:$AG$1001,0),MATCH(COLUMNS($AN$1006:BH1006),$AN$1006:$BO$1006,0)), HYPERLINK("#",""), HYPERLINK(CONCATENATE("#Metadata!", ADDRESS(INDEX($AI$2:$AI$1001,MATCH(ROWS($AG$2:AG142),$AG$2:$AG$1001,0),0), INDEX($AN$1004:$BO$1004,1,MATCH(COLUMNS($AN$1006:BH1006),$AN$1006:$BO$1006,0)))),"Fix")))</f>
        <v>0</v>
      </c>
      <c r="W142" s="4">
        <f>IF(OR(INDEX($AH$2:$AH$1001,MATCH(ROWS($AG$2:AG142),$AG$2:$AG$1001,0),1)&gt;=100000,INDEX($AN$1005:$BO$1005,1,MATCH(COLUMNS($AN$1006:BI1006),$AN$1006:$BO$1006,0))&gt;=100000), " ",IF(INDEX($AN$2:$BO$1001,MATCH(ROWS($AG$2:AG142),$AG$2:$AG$1001,0),MATCH(COLUMNS($AN$1006:BI1006),$AN$1006:$BO$1006,0)), HYPERLINK("#",""), HYPERLINK(CONCATENATE("#Metadata!", ADDRESS(INDEX($AI$2:$AI$1001,MATCH(ROWS($AG$2:AG142),$AG$2:$AG$1001,0),0), INDEX($AN$1004:$BO$1004,1,MATCH(COLUMNS($AN$1006:BI1006),$AN$1006:$BO$1006,0)))),"Fix")))</f>
        <v>0</v>
      </c>
      <c r="X142" s="4">
        <f>IF(OR(INDEX($AH$2:$AH$1001,MATCH(ROWS($AG$2:AG142),$AG$2:$AG$1001,0),1)&gt;=100000,INDEX($AN$1005:$BO$1005,1,MATCH(COLUMNS($AN$1006:BJ1006),$AN$1006:$BO$1006,0))&gt;=100000), " ",IF(INDEX($AN$2:$BO$1001,MATCH(ROWS($AG$2:AG142),$AG$2:$AG$1001,0),MATCH(COLUMNS($AN$1006:BJ1006),$AN$1006:$BO$1006,0)), HYPERLINK("#",""), HYPERLINK(CONCATENATE("#Metadata!", ADDRESS(INDEX($AI$2:$AI$1001,MATCH(ROWS($AG$2:AG142),$AG$2:$AG$1001,0),0), INDEX($AN$1004:$BO$1004,1,MATCH(COLUMNS($AN$1006:BJ1006),$AN$1006:$BO$1006,0)))),"Fix")))</f>
        <v>0</v>
      </c>
      <c r="Y142" s="4">
        <f>IF(OR(INDEX($AH$2:$AH$1001,MATCH(ROWS($AG$2:AG142),$AG$2:$AG$1001,0),1)&gt;=100000,INDEX($AN$1005:$BO$1005,1,MATCH(COLUMNS($AN$1006:BK1006),$AN$1006:$BO$1006,0))&gt;=100000), " ",IF(INDEX($AN$2:$BO$1001,MATCH(ROWS($AG$2:AG142),$AG$2:$AG$1001,0),MATCH(COLUMNS($AN$1006:BK1006),$AN$1006:$BO$1006,0)), HYPERLINK("#",""), HYPERLINK(CONCATENATE("#Metadata!", ADDRESS(INDEX($AI$2:$AI$1001,MATCH(ROWS($AG$2:AG142),$AG$2:$AG$1001,0),0), INDEX($AN$1004:$BO$1004,1,MATCH(COLUMNS($AN$1006:BK1006),$AN$1006:$BO$1006,0)))),"Fix")))</f>
        <v>0</v>
      </c>
      <c r="Z142" s="4">
        <f>IF(OR(INDEX($AH$2:$AH$1001,MATCH(ROWS($AG$2:AG142),$AG$2:$AG$1001,0),1)&gt;=100000,INDEX($AN$1005:$BO$1005,1,MATCH(COLUMNS($AN$1006:BL1006),$AN$1006:$BO$1006,0))&gt;=100000), " ",IF(INDEX($AN$2:$BO$1001,MATCH(ROWS($AG$2:AG142),$AG$2:$AG$1001,0),MATCH(COLUMNS($AN$1006:BL1006),$AN$1006:$BO$1006,0)), HYPERLINK("#",""), HYPERLINK(CONCATENATE("#Metadata!", ADDRESS(INDEX($AI$2:$AI$1001,MATCH(ROWS($AG$2:AG142),$AG$2:$AG$1001,0),0), INDEX($AN$1004:$BO$1004,1,MATCH(COLUMNS($AN$1006:BL1006),$AN$1006:$BO$1006,0)))),"Fix")))</f>
        <v>0</v>
      </c>
      <c r="AA142" s="4">
        <f>IF(OR(INDEX($AH$2:$AH$1001,MATCH(ROWS($AG$2:AG142),$AG$2:$AG$1001,0),1)&gt;=100000,INDEX($AN$1005:$BO$1005,1,MATCH(COLUMNS($AN$1006:BM1006),$AN$1006:$BO$1006,0))&gt;=100000), " ",IF(INDEX($AN$2:$BO$1001,MATCH(ROWS($AG$2:AG142),$AG$2:$AG$1001,0),MATCH(COLUMNS($AN$1006:BM1006),$AN$1006:$BO$1006,0)), HYPERLINK("#",""), HYPERLINK(CONCATENATE("#Metadata!", ADDRESS(INDEX($AI$2:$AI$1001,MATCH(ROWS($AG$2:AG142),$AG$2:$AG$1001,0),0), INDEX($AN$1004:$BO$1004,1,MATCH(COLUMNS($AN$1006:BM1006),$AN$1006:$BO$1006,0)))),"Fix")))</f>
        <v>0</v>
      </c>
      <c r="AB142" s="4">
        <f>IF(OR(INDEX($AH$2:$AH$1001,MATCH(ROWS($AG$2:AG142),$AG$2:$AG$1001,0),1)&gt;=100000,INDEX($AN$1005:$BO$1005,1,MATCH(COLUMNS($AN$1006:BN1006),$AN$1006:$BO$1006,0))&gt;=100000), " ",IF(INDEX($AN$2:$BO$1001,MATCH(ROWS($AG$2:AG142),$AG$2:$AG$1001,0),MATCH(COLUMNS($AN$1006:BN1006),$AN$1006:$BO$1006,0)), HYPERLINK("#",""), HYPERLINK(CONCATENATE("#Metadata!", ADDRESS(INDEX($AI$2:$AI$1001,MATCH(ROWS($AG$2:AG142),$AG$2:$AG$1001,0),0), INDEX($AN$1004:$BO$1004,1,MATCH(COLUMNS($AN$1006:BN1006),$AN$1006:$BO$1006,0)))),"Fix")))</f>
        <v>0</v>
      </c>
      <c r="AC142" s="4">
        <f>IF(OR(INDEX($AH$2:$AH$1001,MATCH(ROWS($AG$2:AG142),$AG$2:$AG$1001,0),1)&gt;=100000,INDEX($AN$1005:$BO$1005,1,MATCH(COLUMNS($AN$1006:BO1006),$AN$1006:$BO$1006,0))&gt;=100000), " ",IF(INDEX($AN$2:$BO$1001,MATCH(ROWS($AG$2:AG142),$AG$2:$AG$1001,0),MATCH(COLUMNS($AN$1006:BO1006),$AN$1006:$BO$1006,0)), HYPERLINK("#",""), HYPERLINK(CONCATENATE("#Metadata!", ADDRESS(INDEX($AI$2:$AI$1001,MATCH(ROWS($AG$2:AG142),$AG$2:$AG$1001,0),0), INDEX($AN$1004:$BO$1004,1,MATCH(COLUMNS($AN$1006:BO1006),$AN$1006:$BO$1006,0)))),"Fix")))</f>
        <v>0</v>
      </c>
      <c r="AG142">
        <v>0</v>
      </c>
      <c r="AH142">
        <v>0</v>
      </c>
      <c r="AI142">
        <v>0</v>
      </c>
      <c r="AJ142">
        <f>IF(AK142,TRUE,AND(AN142:BO142))</f>
        <v>0</v>
      </c>
      <c r="AK142">
        <f>COUNTBLANK(Metadata!B142:AC142)=COLUMNS(Metadata!B142:AC142)</f>
        <v>0</v>
      </c>
      <c r="AL142">
        <v>0</v>
      </c>
      <c r="AN142">
        <f>AND(IF(Metadata!B142="",FALSE,TRUE),COUNTIF(Metadata!B:B, Metadata!B142) = 1,NOT(ISERROR(SUMPRODUCT(SEARCH(MID(Metadata!B142,ROW(INDIRECT("1:"&amp;LEN(Metadata!B142))), 1),"0123456789abcdefghijklmnopqrstuvwxyzABCDEFGHIJKLMNOPQRSTUVWXYZ.")))))</f>
        <v>0</v>
      </c>
      <c r="AO142">
        <f>IF(Metadata!C142="",FALSE,TRUE)</f>
        <v>0</v>
      </c>
      <c r="AP142">
        <f>IF(Metadata!D142="",FALSE,TRUE)</f>
        <v>0</v>
      </c>
      <c r="AQ142">
        <f>OR(AND(IF(Metadata!E142="",FALSE,TRUE),OR(exact(Metadata!E142,"not collected"),exact(Metadata!E142,"not provided"),exact(Metadata!E142,"restricted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R142">
        <f>IF(Metadata!F142="",FALSE,TRUE)</f>
        <v>0</v>
      </c>
      <c r="AS142">
        <f>OR(AND(IF(Metadata!G142="",FALSE,TRUE),OR(exact(Metadata!G142,"not collected"),exact(Metadata!G142,"not provided"))),AND(IF(Metadata!G142="",FALSE,TRUE),OR(exact(Metadata!G142,"TRUE"),exact(Metadata!G142,"FALSE"))))</f>
        <v>0</v>
      </c>
      <c r="AT142">
        <f>OR(AND(IF(Metadata!H142="",FALSE,TRUE),OR(exact(Metadata!H142,"not collected"),exact(Metadata!H142,"not provided"),exact(Metadata!H142,"restricted access"))),AND(IF(Metadata!H142="",FALSE,ISNUMBER(VALUE(Metadata!H142))),Metadata!H142&gt;=-413.0))</f>
        <v>0</v>
      </c>
      <c r="AU142">
        <f>AND(IF(Metadata!I142="",FALSE,TRUE),exact(Metadata!I142,"meters"))</f>
        <v>0</v>
      </c>
      <c r="AV142">
        <f>AND(IF(Metadata!J142="",FALSE,TRUE),OR(exact(Metadata!J142,"Host-associated"),exact(Metadata!J142,"Free-living")))</f>
        <v>0</v>
      </c>
      <c r="AW142">
        <f>AND(IF(Metadata!K142="",FALSE,TRUE),OR(exact(Metadata!K142,"Animal"),exact(Metadata!K142,"Fungus"),exact(Metadata!K142,"Plant"),exact(Metadata!K142,"Saline"),exact(Metadata!K142,"Non-saline")))</f>
        <v>0</v>
      </c>
      <c r="AX142">
        <f>AND(IF(Metadata!L142="",FALSE,TRUE),OR(exact(Metadata!L142,"Plant secretion"),exact(Metadata!L142,"Plant rhizosphere"),exact(Metadata!L142,"Plant surface"),exact(Metadata!L142,"Plant corpus"),exact(Metadata!L142,"Fungus surface"),exact(Metadata!L142,"Fungus corpus"),exact(Metadata!L142,"Animal surface"),exact(Metadata!L142,"Animal proximal gut"),exact(Metadata!L142,"Animal corpus"),exact(Metadata!L142,"Animal distal gut"),exact(Metadata!L142,"Animal secretion"),exact(Metadata!L142,"Sub-surface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Y142">
        <f>IF(Metadata!M142="",FALSE,TRUE)</f>
        <v>0</v>
      </c>
      <c r="AZ142">
        <f>IF(Metadata!N142="",FALSE,TRUE)</f>
        <v>0</v>
      </c>
      <c r="BA142">
        <f>IF(Metadata!O142="",FALSE,TRUE)</f>
        <v>0</v>
      </c>
      <c r="BB142">
        <f>OR(AND(IF(Metadata!P142="",FALSE,TRUE),OR(exact(Metadata!P142,"not collected"),exact(Metadata!P142,"not provided"),exact(Metadata!P142,"restricted access"))),AND(IF(Metadata!P142="",FALSE,TRUE),OR(exact(Metadata!P142,"air"),exact(Metadata!P142,"built environment"),exact(Metadata!P142,"host-associated"),exact(Metadata!P142,"human-associated"),exact(Metadata!P142,"human-skin"),exact(Metadata!P142,"human-oral"),exact(Metadata!P142,"human-gut"),exact(Metadata!P142,"human-vaginal"),exact(Metadata!P142,"microbial mat/biofilm"),exact(Metadata!P142,"misc environment"),exact(Metadata!P142,"plant-associated"),exact(Metadata!P142,"sediment"),exact(Metadata!P142,"soil"),exact(Metadata!P142,"wastewater/sludge"),exact(Metadata!P142,"water"))))</f>
        <v>0</v>
      </c>
      <c r="BC142">
        <f>IF(Metadata!Q142="",FALSE,TRUE)</f>
        <v>0</v>
      </c>
      <c r="BD142">
        <f>IF(Metadata!R142="",FALSE,TRUE)</f>
        <v>0</v>
      </c>
      <c r="BE142">
        <f>OR(AND(IF(Metadata!S142="",FALSE,TRUE),OR(exact(Metadata!S142,"not collected"),exact(Metadata!S142,"not provided"),exact(Metadata!S142,"restricted access"))),AND(IF(Metadata!S142="",FALSE,ISNUMBER(VALUE(Metadata!S142))),Metadata!S142&gt;=-90.00,Metadata!S142&lt;=90.00))</f>
        <v>0</v>
      </c>
      <c r="BF142">
        <f>AND(IF(Metadata!T142="",FALSE,TRUE),exact(Metadata!T142,"Decimal degrees"))</f>
        <v>0</v>
      </c>
      <c r="BG142">
        <f>OR(AND(IF(Metadata!U142="",FALSE,TRUE),OR(exact(Metadata!U142,"not collected"),exact(Metadata!U142,"not provided"),exact(Metadata!U142,"restricted access"))),AND(IF(Metadata!U142="",FALSE,ISNUMBER(VALUE(Metadata!U142))),Metadata!U142&gt;=-180.00,Metadata!U142&lt;=180.00))</f>
        <v>0</v>
      </c>
      <c r="BH142">
        <f>AND(IF(Metadata!V142="",FALSE,TRUE),exact(Metadata!V142,"Decimal degrees"))</f>
        <v>0</v>
      </c>
      <c r="BI142">
        <f>IF(Metadata!W142="",FALSE,TRUE)</f>
        <v>0</v>
      </c>
      <c r="BJ142">
        <f>OR(AND(IF(Metadata!X142="",FALSE,TRUE),OR(exact(Metadata!X142,"not collected"),exact(Metadata!X142,"not provided"),exact(Metadata!X142,"restricted access"))),AND(IF(Metadata!X142="",FALSE,TRUE),OR(exact(Metadata!X142,"TRUE"),exact(Metadata!X142,"FALSE"))))</f>
        <v>0</v>
      </c>
      <c r="BK142">
        <f>AND(IF(Metadata!Y142="",FALSE,TRUE),exact(Metadata!Y142,"other"))</f>
        <v>0</v>
      </c>
      <c r="BL142">
        <f>IF(Metadata!Z142="",FALSE,TRUE)</f>
        <v>0</v>
      </c>
      <c r="BM142">
        <f>OR(AND(IF(Metadata!AA142="",FALSE,TRUE),OR(exact(Metadata!AA142,"not collected"),exact(Metadata!AA142,"not provided"))),AND(IF(Metadata!AA142="",FALSE,IF(ISERROR(INT(Metadata!AA142)),FALSE,INT(Metadata!AA142)=Metadata!AA142)),Metadata!AA142&gt;0))</f>
        <v>0</v>
      </c>
      <c r="BN142">
        <f>AND(IF(Metadata!AB142="",FALSE,TRUE),exact(Metadata!AB142,"Not applicable"))</f>
        <v>0</v>
      </c>
      <c r="BO142">
        <f>IF(Metadata!AC142="",FALSE,TRUE)</f>
        <v>0</v>
      </c>
    </row>
    <row r="143" spans="1:67">
      <c r="A143" s="5">
        <f>IF(B143=" "," ",HYPERLINK(CONCATENATE("#metadata!",ADDRESS(INDEX($AI$2:$AI$1001,MATCH(ROWS($AG$2:AG143),$AG$2:$AG$1001,0),0),1)),INDEX($AL$2:$AL$1001,MATCH(ROWS($AG$2:AG143),$AG$2:$AG$1001,0),0)))</f>
        <v>0</v>
      </c>
      <c r="B143" s="4">
        <f>IF(OR(INDEX($AH$2:$AH$1001,MATCH(ROWS($AG$2:AG143),$AG$2:$AG$1001,0),1)&gt;=100000,INDEX($AN$1005:$BO$1005,1,MATCH(COLUMNS($AN$1006:AN1006),$AN$1006:$BO$1006,0))&gt;=100000), " ",IF(INDEX($AN$2:$BO$1001,MATCH(ROWS($AG$2:AG143),$AG$2:$AG$1001,0),MATCH(COLUMNS($AN$1006:AN1006),$AN$1006:$BO$1006,0)), HYPERLINK("#",""), HYPERLINK(CONCATENATE("#Metadata!", ADDRESS(INDEX($AI$2:$AI$1001,MATCH(ROWS($AG$2:AG143),$AG$2:$AG$1001,0),0), INDEX($AN$1004:$BO$1004,1,MATCH(COLUMNS($AN$1006:AN1006),$AN$1006:$BO$1006,0)))),"Fix")))</f>
        <v>0</v>
      </c>
      <c r="C143" s="4">
        <f>IF(OR(INDEX($AH$2:$AH$1001,MATCH(ROWS($AG$2:AG143),$AG$2:$AG$1001,0),1)&gt;=100000,INDEX($AN$1005:$BO$1005,1,MATCH(COLUMNS($AN$1006:AO1006),$AN$1006:$BO$1006,0))&gt;=100000), " ",IF(INDEX($AN$2:$BO$1001,MATCH(ROWS($AG$2:AG143),$AG$2:$AG$1001,0),MATCH(COLUMNS($AN$1006:AO1006),$AN$1006:$BO$1006,0)), HYPERLINK("#",""), HYPERLINK(CONCATENATE("#Metadata!", ADDRESS(INDEX($AI$2:$AI$1001,MATCH(ROWS($AG$2:AG143),$AG$2:$AG$1001,0),0), INDEX($AN$1004:$BO$1004,1,MATCH(COLUMNS($AN$1006:AO1006),$AN$1006:$BO$1006,0)))),"Fix")))</f>
        <v>0</v>
      </c>
      <c r="D143" s="4">
        <f>IF(OR(INDEX($AH$2:$AH$1001,MATCH(ROWS($AG$2:AG143),$AG$2:$AG$1001,0),1)&gt;=100000,INDEX($AN$1005:$BO$1005,1,MATCH(COLUMNS($AN$1006:AP1006),$AN$1006:$BO$1006,0))&gt;=100000), " ",IF(INDEX($AN$2:$BO$1001,MATCH(ROWS($AG$2:AG143),$AG$2:$AG$1001,0),MATCH(COLUMNS($AN$1006:AP1006),$AN$1006:$BO$1006,0)), HYPERLINK("#",""), HYPERLINK(CONCATENATE("#Metadata!", ADDRESS(INDEX($AI$2:$AI$1001,MATCH(ROWS($AG$2:AG143),$AG$2:$AG$1001,0),0), INDEX($AN$1004:$BO$1004,1,MATCH(COLUMNS($AN$1006:AP1006),$AN$1006:$BO$1006,0)))),"Fix")))</f>
        <v>0</v>
      </c>
      <c r="E143" s="4">
        <f>IF(OR(INDEX($AH$2:$AH$1001,MATCH(ROWS($AG$2:AG143),$AG$2:$AG$1001,0),1)&gt;=100000,INDEX($AN$1005:$BO$1005,1,MATCH(COLUMNS($AN$1006:AQ1006),$AN$1006:$BO$1006,0))&gt;=100000), " ",IF(INDEX($AN$2:$BO$1001,MATCH(ROWS($AG$2:AG143),$AG$2:$AG$1001,0),MATCH(COLUMNS($AN$1006:AQ1006),$AN$1006:$BO$1006,0)), HYPERLINK("#",""), HYPERLINK(CONCATENATE("#Metadata!", ADDRESS(INDEX($AI$2:$AI$1001,MATCH(ROWS($AG$2:AG143),$AG$2:$AG$1001,0),0), INDEX($AN$1004:$BO$1004,1,MATCH(COLUMNS($AN$1006:AQ1006),$AN$1006:$BO$1006,0)))),"Fix")))</f>
        <v>0</v>
      </c>
      <c r="F143" s="4">
        <f>IF(OR(INDEX($AH$2:$AH$1001,MATCH(ROWS($AG$2:AG143),$AG$2:$AG$1001,0),1)&gt;=100000,INDEX($AN$1005:$BO$1005,1,MATCH(COLUMNS($AN$1006:AR1006),$AN$1006:$BO$1006,0))&gt;=100000), " ",IF(INDEX($AN$2:$BO$1001,MATCH(ROWS($AG$2:AG143),$AG$2:$AG$1001,0),MATCH(COLUMNS($AN$1006:AR1006),$AN$1006:$BO$1006,0)), HYPERLINK("#",""), HYPERLINK(CONCATENATE("#Metadata!", ADDRESS(INDEX($AI$2:$AI$1001,MATCH(ROWS($AG$2:AG143),$AG$2:$AG$1001,0),0), INDEX($AN$1004:$BO$1004,1,MATCH(COLUMNS($AN$1006:AR1006),$AN$1006:$BO$1006,0)))),"Fix")))</f>
        <v>0</v>
      </c>
      <c r="G143" s="4">
        <f>IF(OR(INDEX($AH$2:$AH$1001,MATCH(ROWS($AG$2:AG143),$AG$2:$AG$1001,0),1)&gt;=100000,INDEX($AN$1005:$BO$1005,1,MATCH(COLUMNS($AN$1006:AS1006),$AN$1006:$BO$1006,0))&gt;=100000), " ",IF(INDEX($AN$2:$BO$1001,MATCH(ROWS($AG$2:AG143),$AG$2:$AG$1001,0),MATCH(COLUMNS($AN$1006:AS1006),$AN$1006:$BO$1006,0)), HYPERLINK("#",""), HYPERLINK(CONCATENATE("#Metadata!", ADDRESS(INDEX($AI$2:$AI$1001,MATCH(ROWS($AG$2:AG143),$AG$2:$AG$1001,0),0), INDEX($AN$1004:$BO$1004,1,MATCH(COLUMNS($AN$1006:AS1006),$AN$1006:$BO$1006,0)))),"Fix")))</f>
        <v>0</v>
      </c>
      <c r="H143" s="4">
        <f>IF(OR(INDEX($AH$2:$AH$1001,MATCH(ROWS($AG$2:AG143),$AG$2:$AG$1001,0),1)&gt;=100000,INDEX($AN$1005:$BO$1005,1,MATCH(COLUMNS($AN$1006:AT1006),$AN$1006:$BO$1006,0))&gt;=100000), " ",IF(INDEX($AN$2:$BO$1001,MATCH(ROWS($AG$2:AG143),$AG$2:$AG$1001,0),MATCH(COLUMNS($AN$1006:AT1006),$AN$1006:$BO$1006,0)), HYPERLINK("#",""), HYPERLINK(CONCATENATE("#Metadata!", ADDRESS(INDEX($AI$2:$AI$1001,MATCH(ROWS($AG$2:AG143),$AG$2:$AG$1001,0),0), INDEX($AN$1004:$BO$1004,1,MATCH(COLUMNS($AN$1006:AT1006),$AN$1006:$BO$1006,0)))),"Fix")))</f>
        <v>0</v>
      </c>
      <c r="I143" s="4">
        <f>IF(OR(INDEX($AH$2:$AH$1001,MATCH(ROWS($AG$2:AG143),$AG$2:$AG$1001,0),1)&gt;=100000,INDEX($AN$1005:$BO$1005,1,MATCH(COLUMNS($AN$1006:AU1006),$AN$1006:$BO$1006,0))&gt;=100000), " ",IF(INDEX($AN$2:$BO$1001,MATCH(ROWS($AG$2:AG143),$AG$2:$AG$1001,0),MATCH(COLUMNS($AN$1006:AU1006),$AN$1006:$BO$1006,0)), HYPERLINK("#",""), HYPERLINK(CONCATENATE("#Metadata!", ADDRESS(INDEX($AI$2:$AI$1001,MATCH(ROWS($AG$2:AG143),$AG$2:$AG$1001,0),0), INDEX($AN$1004:$BO$1004,1,MATCH(COLUMNS($AN$1006:AU1006),$AN$1006:$BO$1006,0)))),"Fix")))</f>
        <v>0</v>
      </c>
      <c r="J143" s="4">
        <f>IF(OR(INDEX($AH$2:$AH$1001,MATCH(ROWS($AG$2:AG143),$AG$2:$AG$1001,0),1)&gt;=100000,INDEX($AN$1005:$BO$1005,1,MATCH(COLUMNS($AN$1006:AV1006),$AN$1006:$BO$1006,0))&gt;=100000), " ",IF(INDEX($AN$2:$BO$1001,MATCH(ROWS($AG$2:AG143),$AG$2:$AG$1001,0),MATCH(COLUMNS($AN$1006:AV1006),$AN$1006:$BO$1006,0)), HYPERLINK("#",""), HYPERLINK(CONCATENATE("#Metadata!", ADDRESS(INDEX($AI$2:$AI$1001,MATCH(ROWS($AG$2:AG143),$AG$2:$AG$1001,0),0), INDEX($AN$1004:$BO$1004,1,MATCH(COLUMNS($AN$1006:AV1006),$AN$1006:$BO$1006,0)))),"Fix")))</f>
        <v>0</v>
      </c>
      <c r="K143" s="4">
        <f>IF(OR(INDEX($AH$2:$AH$1001,MATCH(ROWS($AG$2:AG143),$AG$2:$AG$1001,0),1)&gt;=100000,INDEX($AN$1005:$BO$1005,1,MATCH(COLUMNS($AN$1006:AW1006),$AN$1006:$BO$1006,0))&gt;=100000), " ",IF(INDEX($AN$2:$BO$1001,MATCH(ROWS($AG$2:AG143),$AG$2:$AG$1001,0),MATCH(COLUMNS($AN$1006:AW1006),$AN$1006:$BO$1006,0)), HYPERLINK("#",""), HYPERLINK(CONCATENATE("#Metadata!", ADDRESS(INDEX($AI$2:$AI$1001,MATCH(ROWS($AG$2:AG143),$AG$2:$AG$1001,0),0), INDEX($AN$1004:$BO$1004,1,MATCH(COLUMNS($AN$1006:AW1006),$AN$1006:$BO$1006,0)))),"Fix")))</f>
        <v>0</v>
      </c>
      <c r="L143" s="4">
        <f>IF(OR(INDEX($AH$2:$AH$1001,MATCH(ROWS($AG$2:AG143),$AG$2:$AG$1001,0),1)&gt;=100000,INDEX($AN$1005:$BO$1005,1,MATCH(COLUMNS($AN$1006:AX1006),$AN$1006:$BO$1006,0))&gt;=100000), " ",IF(INDEX($AN$2:$BO$1001,MATCH(ROWS($AG$2:AG143),$AG$2:$AG$1001,0),MATCH(COLUMNS($AN$1006:AX1006),$AN$1006:$BO$1006,0)), HYPERLINK("#",""), HYPERLINK(CONCATENATE("#Metadata!", ADDRESS(INDEX($AI$2:$AI$1001,MATCH(ROWS($AG$2:AG143),$AG$2:$AG$1001,0),0), INDEX($AN$1004:$BO$1004,1,MATCH(COLUMNS($AN$1006:AX1006),$AN$1006:$BO$1006,0)))),"Fix")))</f>
        <v>0</v>
      </c>
      <c r="M143" s="4">
        <f>IF(OR(INDEX($AH$2:$AH$1001,MATCH(ROWS($AG$2:AG143),$AG$2:$AG$1001,0),1)&gt;=100000,INDEX($AN$1005:$BO$1005,1,MATCH(COLUMNS($AN$1006:AY1006),$AN$1006:$BO$1006,0))&gt;=100000), " ",IF(INDEX($AN$2:$BO$1001,MATCH(ROWS($AG$2:AG143),$AG$2:$AG$1001,0),MATCH(COLUMNS($AN$1006:AY1006),$AN$1006:$BO$1006,0)), HYPERLINK("#",""), HYPERLINK(CONCATENATE("#Metadata!", ADDRESS(INDEX($AI$2:$AI$1001,MATCH(ROWS($AG$2:AG143),$AG$2:$AG$1001,0),0), INDEX($AN$1004:$BO$1004,1,MATCH(COLUMNS($AN$1006:AY1006),$AN$1006:$BO$1006,0)))),"Fix")))</f>
        <v>0</v>
      </c>
      <c r="N143" s="4">
        <f>IF(OR(INDEX($AH$2:$AH$1001,MATCH(ROWS($AG$2:AG143),$AG$2:$AG$1001,0),1)&gt;=100000,INDEX($AN$1005:$BO$1005,1,MATCH(COLUMNS($AN$1006:AZ1006),$AN$1006:$BO$1006,0))&gt;=100000), " ",IF(INDEX($AN$2:$BO$1001,MATCH(ROWS($AG$2:AG143),$AG$2:$AG$1001,0),MATCH(COLUMNS($AN$1006:AZ1006),$AN$1006:$BO$1006,0)), HYPERLINK("#",""), HYPERLINK(CONCATENATE("#Metadata!", ADDRESS(INDEX($AI$2:$AI$1001,MATCH(ROWS($AG$2:AG143),$AG$2:$AG$1001,0),0), INDEX($AN$1004:$BO$1004,1,MATCH(COLUMNS($AN$1006:AZ1006),$AN$1006:$BO$1006,0)))),"Fix")))</f>
        <v>0</v>
      </c>
      <c r="O143" s="4">
        <f>IF(OR(INDEX($AH$2:$AH$1001,MATCH(ROWS($AG$2:AG143),$AG$2:$AG$1001,0),1)&gt;=100000,INDEX($AN$1005:$BO$1005,1,MATCH(COLUMNS($AN$1006:BA1006),$AN$1006:$BO$1006,0))&gt;=100000), " ",IF(INDEX($AN$2:$BO$1001,MATCH(ROWS($AG$2:AG143),$AG$2:$AG$1001,0),MATCH(COLUMNS($AN$1006:BA1006),$AN$1006:$BO$1006,0)), HYPERLINK("#",""), HYPERLINK(CONCATENATE("#Metadata!", ADDRESS(INDEX($AI$2:$AI$1001,MATCH(ROWS($AG$2:AG143),$AG$2:$AG$1001,0),0), INDEX($AN$1004:$BO$1004,1,MATCH(COLUMNS($AN$1006:BA1006),$AN$1006:$BO$1006,0)))),"Fix")))</f>
        <v>0</v>
      </c>
      <c r="P143" s="4">
        <f>IF(OR(INDEX($AH$2:$AH$1001,MATCH(ROWS($AG$2:AG143),$AG$2:$AG$1001,0),1)&gt;=100000,INDEX($AN$1005:$BO$1005,1,MATCH(COLUMNS($AN$1006:BB1006),$AN$1006:$BO$1006,0))&gt;=100000), " ",IF(INDEX($AN$2:$BO$1001,MATCH(ROWS($AG$2:AG143),$AG$2:$AG$1001,0),MATCH(COLUMNS($AN$1006:BB1006),$AN$1006:$BO$1006,0)), HYPERLINK("#",""), HYPERLINK(CONCATENATE("#Metadata!", ADDRESS(INDEX($AI$2:$AI$1001,MATCH(ROWS($AG$2:AG143),$AG$2:$AG$1001,0),0), INDEX($AN$1004:$BO$1004,1,MATCH(COLUMNS($AN$1006:BB1006),$AN$1006:$BO$1006,0)))),"Fix")))</f>
        <v>0</v>
      </c>
      <c r="Q143" s="4">
        <f>IF(OR(INDEX($AH$2:$AH$1001,MATCH(ROWS($AG$2:AG143),$AG$2:$AG$1001,0),1)&gt;=100000,INDEX($AN$1005:$BO$1005,1,MATCH(COLUMNS($AN$1006:BC1006),$AN$1006:$BO$1006,0))&gt;=100000), " ",IF(INDEX($AN$2:$BO$1001,MATCH(ROWS($AG$2:AG143),$AG$2:$AG$1001,0),MATCH(COLUMNS($AN$1006:BC1006),$AN$1006:$BO$1006,0)), HYPERLINK("#",""), HYPERLINK(CONCATENATE("#Metadata!", ADDRESS(INDEX($AI$2:$AI$1001,MATCH(ROWS($AG$2:AG143),$AG$2:$AG$1001,0),0), INDEX($AN$1004:$BO$1004,1,MATCH(COLUMNS($AN$1006:BC1006),$AN$1006:$BO$1006,0)))),"Fix")))</f>
        <v>0</v>
      </c>
      <c r="R143" s="4">
        <f>IF(OR(INDEX($AH$2:$AH$1001,MATCH(ROWS($AG$2:AG143),$AG$2:$AG$1001,0),1)&gt;=100000,INDEX($AN$1005:$BO$1005,1,MATCH(COLUMNS($AN$1006:BD1006),$AN$1006:$BO$1006,0))&gt;=100000), " ",IF(INDEX($AN$2:$BO$1001,MATCH(ROWS($AG$2:AG143),$AG$2:$AG$1001,0),MATCH(COLUMNS($AN$1006:BD1006),$AN$1006:$BO$1006,0)), HYPERLINK("#",""), HYPERLINK(CONCATENATE("#Metadata!", ADDRESS(INDEX($AI$2:$AI$1001,MATCH(ROWS($AG$2:AG143),$AG$2:$AG$1001,0),0), INDEX($AN$1004:$BO$1004,1,MATCH(COLUMNS($AN$1006:BD1006),$AN$1006:$BO$1006,0)))),"Fix")))</f>
        <v>0</v>
      </c>
      <c r="S143" s="4">
        <f>IF(OR(INDEX($AH$2:$AH$1001,MATCH(ROWS($AG$2:AG143),$AG$2:$AG$1001,0),1)&gt;=100000,INDEX($AN$1005:$BO$1005,1,MATCH(COLUMNS($AN$1006:BE1006),$AN$1006:$BO$1006,0))&gt;=100000), " ",IF(INDEX($AN$2:$BO$1001,MATCH(ROWS($AG$2:AG143),$AG$2:$AG$1001,0),MATCH(COLUMNS($AN$1006:BE1006),$AN$1006:$BO$1006,0)), HYPERLINK("#",""), HYPERLINK(CONCATENATE("#Metadata!", ADDRESS(INDEX($AI$2:$AI$1001,MATCH(ROWS($AG$2:AG143),$AG$2:$AG$1001,0),0), INDEX($AN$1004:$BO$1004,1,MATCH(COLUMNS($AN$1006:BE1006),$AN$1006:$BO$1006,0)))),"Fix")))</f>
        <v>0</v>
      </c>
      <c r="T143" s="4">
        <f>IF(OR(INDEX($AH$2:$AH$1001,MATCH(ROWS($AG$2:AG143),$AG$2:$AG$1001,0),1)&gt;=100000,INDEX($AN$1005:$BO$1005,1,MATCH(COLUMNS($AN$1006:BF1006),$AN$1006:$BO$1006,0))&gt;=100000), " ",IF(INDEX($AN$2:$BO$1001,MATCH(ROWS($AG$2:AG143),$AG$2:$AG$1001,0),MATCH(COLUMNS($AN$1006:BF1006),$AN$1006:$BO$1006,0)), HYPERLINK("#",""), HYPERLINK(CONCATENATE("#Metadata!", ADDRESS(INDEX($AI$2:$AI$1001,MATCH(ROWS($AG$2:AG143),$AG$2:$AG$1001,0),0), INDEX($AN$1004:$BO$1004,1,MATCH(COLUMNS($AN$1006:BF1006),$AN$1006:$BO$1006,0)))),"Fix")))</f>
        <v>0</v>
      </c>
      <c r="U143" s="4">
        <f>IF(OR(INDEX($AH$2:$AH$1001,MATCH(ROWS($AG$2:AG143),$AG$2:$AG$1001,0),1)&gt;=100000,INDEX($AN$1005:$BO$1005,1,MATCH(COLUMNS($AN$1006:BG1006),$AN$1006:$BO$1006,0))&gt;=100000), " ",IF(INDEX($AN$2:$BO$1001,MATCH(ROWS($AG$2:AG143),$AG$2:$AG$1001,0),MATCH(COLUMNS($AN$1006:BG1006),$AN$1006:$BO$1006,0)), HYPERLINK("#",""), HYPERLINK(CONCATENATE("#Metadata!", ADDRESS(INDEX($AI$2:$AI$1001,MATCH(ROWS($AG$2:AG143),$AG$2:$AG$1001,0),0), INDEX($AN$1004:$BO$1004,1,MATCH(COLUMNS($AN$1006:BG1006),$AN$1006:$BO$1006,0)))),"Fix")))</f>
        <v>0</v>
      </c>
      <c r="V143" s="4">
        <f>IF(OR(INDEX($AH$2:$AH$1001,MATCH(ROWS($AG$2:AG143),$AG$2:$AG$1001,0),1)&gt;=100000,INDEX($AN$1005:$BO$1005,1,MATCH(COLUMNS($AN$1006:BH1006),$AN$1006:$BO$1006,0))&gt;=100000), " ",IF(INDEX($AN$2:$BO$1001,MATCH(ROWS($AG$2:AG143),$AG$2:$AG$1001,0),MATCH(COLUMNS($AN$1006:BH1006),$AN$1006:$BO$1006,0)), HYPERLINK("#",""), HYPERLINK(CONCATENATE("#Metadata!", ADDRESS(INDEX($AI$2:$AI$1001,MATCH(ROWS($AG$2:AG143),$AG$2:$AG$1001,0),0), INDEX($AN$1004:$BO$1004,1,MATCH(COLUMNS($AN$1006:BH1006),$AN$1006:$BO$1006,0)))),"Fix")))</f>
        <v>0</v>
      </c>
      <c r="W143" s="4">
        <f>IF(OR(INDEX($AH$2:$AH$1001,MATCH(ROWS($AG$2:AG143),$AG$2:$AG$1001,0),1)&gt;=100000,INDEX($AN$1005:$BO$1005,1,MATCH(COLUMNS($AN$1006:BI1006),$AN$1006:$BO$1006,0))&gt;=100000), " ",IF(INDEX($AN$2:$BO$1001,MATCH(ROWS($AG$2:AG143),$AG$2:$AG$1001,0),MATCH(COLUMNS($AN$1006:BI1006),$AN$1006:$BO$1006,0)), HYPERLINK("#",""), HYPERLINK(CONCATENATE("#Metadata!", ADDRESS(INDEX($AI$2:$AI$1001,MATCH(ROWS($AG$2:AG143),$AG$2:$AG$1001,0),0), INDEX($AN$1004:$BO$1004,1,MATCH(COLUMNS($AN$1006:BI1006),$AN$1006:$BO$1006,0)))),"Fix")))</f>
        <v>0</v>
      </c>
      <c r="X143" s="4">
        <f>IF(OR(INDEX($AH$2:$AH$1001,MATCH(ROWS($AG$2:AG143),$AG$2:$AG$1001,0),1)&gt;=100000,INDEX($AN$1005:$BO$1005,1,MATCH(COLUMNS($AN$1006:BJ1006),$AN$1006:$BO$1006,0))&gt;=100000), " ",IF(INDEX($AN$2:$BO$1001,MATCH(ROWS($AG$2:AG143),$AG$2:$AG$1001,0),MATCH(COLUMNS($AN$1006:BJ1006),$AN$1006:$BO$1006,0)), HYPERLINK("#",""), HYPERLINK(CONCATENATE("#Metadata!", ADDRESS(INDEX($AI$2:$AI$1001,MATCH(ROWS($AG$2:AG143),$AG$2:$AG$1001,0),0), INDEX($AN$1004:$BO$1004,1,MATCH(COLUMNS($AN$1006:BJ1006),$AN$1006:$BO$1006,0)))),"Fix")))</f>
        <v>0</v>
      </c>
      <c r="Y143" s="4">
        <f>IF(OR(INDEX($AH$2:$AH$1001,MATCH(ROWS($AG$2:AG143),$AG$2:$AG$1001,0),1)&gt;=100000,INDEX($AN$1005:$BO$1005,1,MATCH(COLUMNS($AN$1006:BK1006),$AN$1006:$BO$1006,0))&gt;=100000), " ",IF(INDEX($AN$2:$BO$1001,MATCH(ROWS($AG$2:AG143),$AG$2:$AG$1001,0),MATCH(COLUMNS($AN$1006:BK1006),$AN$1006:$BO$1006,0)), HYPERLINK("#",""), HYPERLINK(CONCATENATE("#Metadata!", ADDRESS(INDEX($AI$2:$AI$1001,MATCH(ROWS($AG$2:AG143),$AG$2:$AG$1001,0),0), INDEX($AN$1004:$BO$1004,1,MATCH(COLUMNS($AN$1006:BK1006),$AN$1006:$BO$1006,0)))),"Fix")))</f>
        <v>0</v>
      </c>
      <c r="Z143" s="4">
        <f>IF(OR(INDEX($AH$2:$AH$1001,MATCH(ROWS($AG$2:AG143),$AG$2:$AG$1001,0),1)&gt;=100000,INDEX($AN$1005:$BO$1005,1,MATCH(COLUMNS($AN$1006:BL1006),$AN$1006:$BO$1006,0))&gt;=100000), " ",IF(INDEX($AN$2:$BO$1001,MATCH(ROWS($AG$2:AG143),$AG$2:$AG$1001,0),MATCH(COLUMNS($AN$1006:BL1006),$AN$1006:$BO$1006,0)), HYPERLINK("#",""), HYPERLINK(CONCATENATE("#Metadata!", ADDRESS(INDEX($AI$2:$AI$1001,MATCH(ROWS($AG$2:AG143),$AG$2:$AG$1001,0),0), INDEX($AN$1004:$BO$1004,1,MATCH(COLUMNS($AN$1006:BL1006),$AN$1006:$BO$1006,0)))),"Fix")))</f>
        <v>0</v>
      </c>
      <c r="AA143" s="4">
        <f>IF(OR(INDEX($AH$2:$AH$1001,MATCH(ROWS($AG$2:AG143),$AG$2:$AG$1001,0),1)&gt;=100000,INDEX($AN$1005:$BO$1005,1,MATCH(COLUMNS($AN$1006:BM1006),$AN$1006:$BO$1006,0))&gt;=100000), " ",IF(INDEX($AN$2:$BO$1001,MATCH(ROWS($AG$2:AG143),$AG$2:$AG$1001,0),MATCH(COLUMNS($AN$1006:BM1006),$AN$1006:$BO$1006,0)), HYPERLINK("#",""), HYPERLINK(CONCATENATE("#Metadata!", ADDRESS(INDEX($AI$2:$AI$1001,MATCH(ROWS($AG$2:AG143),$AG$2:$AG$1001,0),0), INDEX($AN$1004:$BO$1004,1,MATCH(COLUMNS($AN$1006:BM1006),$AN$1006:$BO$1006,0)))),"Fix")))</f>
        <v>0</v>
      </c>
      <c r="AB143" s="4">
        <f>IF(OR(INDEX($AH$2:$AH$1001,MATCH(ROWS($AG$2:AG143),$AG$2:$AG$1001,0),1)&gt;=100000,INDEX($AN$1005:$BO$1005,1,MATCH(COLUMNS($AN$1006:BN1006),$AN$1006:$BO$1006,0))&gt;=100000), " ",IF(INDEX($AN$2:$BO$1001,MATCH(ROWS($AG$2:AG143),$AG$2:$AG$1001,0),MATCH(COLUMNS($AN$1006:BN1006),$AN$1006:$BO$1006,0)), HYPERLINK("#",""), HYPERLINK(CONCATENATE("#Metadata!", ADDRESS(INDEX($AI$2:$AI$1001,MATCH(ROWS($AG$2:AG143),$AG$2:$AG$1001,0),0), INDEX($AN$1004:$BO$1004,1,MATCH(COLUMNS($AN$1006:BN1006),$AN$1006:$BO$1006,0)))),"Fix")))</f>
        <v>0</v>
      </c>
      <c r="AC143" s="4">
        <f>IF(OR(INDEX($AH$2:$AH$1001,MATCH(ROWS($AG$2:AG143),$AG$2:$AG$1001,0),1)&gt;=100000,INDEX($AN$1005:$BO$1005,1,MATCH(COLUMNS($AN$1006:BO1006),$AN$1006:$BO$1006,0))&gt;=100000), " ",IF(INDEX($AN$2:$BO$1001,MATCH(ROWS($AG$2:AG143),$AG$2:$AG$1001,0),MATCH(COLUMNS($AN$1006:BO1006),$AN$1006:$BO$1006,0)), HYPERLINK("#",""), HYPERLINK(CONCATENATE("#Metadata!", ADDRESS(INDEX($AI$2:$AI$1001,MATCH(ROWS($AG$2:AG143),$AG$2:$AG$1001,0),0), INDEX($AN$1004:$BO$1004,1,MATCH(COLUMNS($AN$1006:BO1006),$AN$1006:$BO$1006,0)))),"Fix")))</f>
        <v>0</v>
      </c>
      <c r="AG143">
        <v>0</v>
      </c>
      <c r="AH143">
        <v>0</v>
      </c>
      <c r="AI143">
        <v>0</v>
      </c>
      <c r="AJ143">
        <f>IF(AK143,TRUE,AND(AN143:BO143))</f>
        <v>0</v>
      </c>
      <c r="AK143">
        <f>COUNTBLANK(Metadata!B143:AC143)=COLUMNS(Metadata!B143:AC143)</f>
        <v>0</v>
      </c>
      <c r="AL143">
        <v>0</v>
      </c>
      <c r="AN143">
        <f>AND(IF(Metadata!B143="",FALSE,TRUE),COUNTIF(Metadata!B:B, Metadata!B143) = 1,NOT(ISERROR(SUMPRODUCT(SEARCH(MID(Metadata!B143,ROW(INDIRECT("1:"&amp;LEN(Metadata!B143))), 1),"0123456789abcdefghijklmnopqrstuvwxyzABCDEFGHIJKLMNOPQRSTUVWXYZ.")))))</f>
        <v>0</v>
      </c>
      <c r="AO143">
        <f>IF(Metadata!C143="",FALSE,TRUE)</f>
        <v>0</v>
      </c>
      <c r="AP143">
        <f>IF(Metadata!D143="",FALSE,TRUE)</f>
        <v>0</v>
      </c>
      <c r="AQ143">
        <f>OR(AND(IF(Metadata!E143="",FALSE,TRUE),OR(exact(Metadata!E143,"not collected"),exact(Metadata!E143,"not provided"),exact(Metadata!E143,"restricted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R143">
        <f>IF(Metadata!F143="",FALSE,TRUE)</f>
        <v>0</v>
      </c>
      <c r="AS143">
        <f>OR(AND(IF(Metadata!G143="",FALSE,TRUE),OR(exact(Metadata!G143,"not collected"),exact(Metadata!G143,"not provided"))),AND(IF(Metadata!G143="",FALSE,TRUE),OR(exact(Metadata!G143,"TRUE"),exact(Metadata!G143,"FALSE"))))</f>
        <v>0</v>
      </c>
      <c r="AT143">
        <f>OR(AND(IF(Metadata!H143="",FALSE,TRUE),OR(exact(Metadata!H143,"not collected"),exact(Metadata!H143,"not provided"),exact(Metadata!H143,"restricted access"))),AND(IF(Metadata!H143="",FALSE,ISNUMBER(VALUE(Metadata!H143))),Metadata!H143&gt;=-413.0))</f>
        <v>0</v>
      </c>
      <c r="AU143">
        <f>AND(IF(Metadata!I143="",FALSE,TRUE),exact(Metadata!I143,"meters"))</f>
        <v>0</v>
      </c>
      <c r="AV143">
        <f>AND(IF(Metadata!J143="",FALSE,TRUE),OR(exact(Metadata!J143,"Host-associated"),exact(Metadata!J143,"Free-living")))</f>
        <v>0</v>
      </c>
      <c r="AW143">
        <f>AND(IF(Metadata!K143="",FALSE,TRUE),OR(exact(Metadata!K143,"Animal"),exact(Metadata!K143,"Fungus"),exact(Metadata!K143,"Plant"),exact(Metadata!K143,"Saline"),exact(Metadata!K143,"Non-saline")))</f>
        <v>0</v>
      </c>
      <c r="AX143">
        <f>AND(IF(Metadata!L143="",FALSE,TRUE),OR(exact(Metadata!L143,"Plant secretion"),exact(Metadata!L143,"Plant rhizosphere"),exact(Metadata!L143,"Plant surface"),exact(Metadata!L143,"Plant corpus"),exact(Metadata!L143,"Fungus surface"),exact(Metadata!L143,"Fungus corpus"),exact(Metadata!L143,"Animal surface"),exact(Metadata!L143,"Animal proximal gut"),exact(Metadata!L143,"Animal corpus"),exact(Metadata!L143,"Animal distal gut"),exact(Metadata!L143,"Animal secretion"),exact(Metadata!L143,"Sub-surface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Y143">
        <f>IF(Metadata!M143="",FALSE,TRUE)</f>
        <v>0</v>
      </c>
      <c r="AZ143">
        <f>IF(Metadata!N143="",FALSE,TRUE)</f>
        <v>0</v>
      </c>
      <c r="BA143">
        <f>IF(Metadata!O143="",FALSE,TRUE)</f>
        <v>0</v>
      </c>
      <c r="BB143">
        <f>OR(AND(IF(Metadata!P143="",FALSE,TRUE),OR(exact(Metadata!P143,"not collected"),exact(Metadata!P143,"not provided"),exact(Metadata!P143,"restricted access"))),AND(IF(Metadata!P143="",FALSE,TRUE),OR(exact(Metadata!P143,"air"),exact(Metadata!P143,"built environment"),exact(Metadata!P143,"host-associated"),exact(Metadata!P143,"human-associated"),exact(Metadata!P143,"human-skin"),exact(Metadata!P143,"human-oral"),exact(Metadata!P143,"human-gut"),exact(Metadata!P143,"human-vaginal"),exact(Metadata!P143,"microbial mat/biofilm"),exact(Metadata!P143,"misc environment"),exact(Metadata!P143,"plant-associated"),exact(Metadata!P143,"sediment"),exact(Metadata!P143,"soil"),exact(Metadata!P143,"wastewater/sludge"),exact(Metadata!P143,"water"))))</f>
        <v>0</v>
      </c>
      <c r="BC143">
        <f>IF(Metadata!Q143="",FALSE,TRUE)</f>
        <v>0</v>
      </c>
      <c r="BD143">
        <f>IF(Metadata!R143="",FALSE,TRUE)</f>
        <v>0</v>
      </c>
      <c r="BE143">
        <f>OR(AND(IF(Metadata!S143="",FALSE,TRUE),OR(exact(Metadata!S143,"not collected"),exact(Metadata!S143,"not provided"),exact(Metadata!S143,"restricted access"))),AND(IF(Metadata!S143="",FALSE,ISNUMBER(VALUE(Metadata!S143))),Metadata!S143&gt;=-90.00,Metadata!S143&lt;=90.00))</f>
        <v>0</v>
      </c>
      <c r="BF143">
        <f>AND(IF(Metadata!T143="",FALSE,TRUE),exact(Metadata!T143,"Decimal degrees"))</f>
        <v>0</v>
      </c>
      <c r="BG143">
        <f>OR(AND(IF(Metadata!U143="",FALSE,TRUE),OR(exact(Metadata!U143,"not collected"),exact(Metadata!U143,"not provided"),exact(Metadata!U143,"restricted access"))),AND(IF(Metadata!U143="",FALSE,ISNUMBER(VALUE(Metadata!U143))),Metadata!U143&gt;=-180.00,Metadata!U143&lt;=180.00))</f>
        <v>0</v>
      </c>
      <c r="BH143">
        <f>AND(IF(Metadata!V143="",FALSE,TRUE),exact(Metadata!V143,"Decimal degrees"))</f>
        <v>0</v>
      </c>
      <c r="BI143">
        <f>IF(Metadata!W143="",FALSE,TRUE)</f>
        <v>0</v>
      </c>
      <c r="BJ143">
        <f>OR(AND(IF(Metadata!X143="",FALSE,TRUE),OR(exact(Metadata!X143,"not collected"),exact(Metadata!X143,"not provided"),exact(Metadata!X143,"restricted access"))),AND(IF(Metadata!X143="",FALSE,TRUE),OR(exact(Metadata!X143,"TRUE"),exact(Metadata!X143,"FALSE"))))</f>
        <v>0</v>
      </c>
      <c r="BK143">
        <f>AND(IF(Metadata!Y143="",FALSE,TRUE),exact(Metadata!Y143,"other"))</f>
        <v>0</v>
      </c>
      <c r="BL143">
        <f>IF(Metadata!Z143="",FALSE,TRUE)</f>
        <v>0</v>
      </c>
      <c r="BM143">
        <f>OR(AND(IF(Metadata!AA143="",FALSE,TRUE),OR(exact(Metadata!AA143,"not collected"),exact(Metadata!AA143,"not provided"))),AND(IF(Metadata!AA143="",FALSE,IF(ISERROR(INT(Metadata!AA143)),FALSE,INT(Metadata!AA143)=Metadata!AA143)),Metadata!AA143&gt;0))</f>
        <v>0</v>
      </c>
      <c r="BN143">
        <f>AND(IF(Metadata!AB143="",FALSE,TRUE),exact(Metadata!AB143,"Not applicable"))</f>
        <v>0</v>
      </c>
      <c r="BO143">
        <f>IF(Metadata!AC143="",FALSE,TRUE)</f>
        <v>0</v>
      </c>
    </row>
    <row r="144" spans="1:67">
      <c r="A144" s="5">
        <f>IF(B144=" "," ",HYPERLINK(CONCATENATE("#metadata!",ADDRESS(INDEX($AI$2:$AI$1001,MATCH(ROWS($AG$2:AG144),$AG$2:$AG$1001,0),0),1)),INDEX($AL$2:$AL$1001,MATCH(ROWS($AG$2:AG144),$AG$2:$AG$1001,0),0)))</f>
        <v>0</v>
      </c>
      <c r="B144" s="4">
        <f>IF(OR(INDEX($AH$2:$AH$1001,MATCH(ROWS($AG$2:AG144),$AG$2:$AG$1001,0),1)&gt;=100000,INDEX($AN$1005:$BO$1005,1,MATCH(COLUMNS($AN$1006:AN1006),$AN$1006:$BO$1006,0))&gt;=100000), " ",IF(INDEX($AN$2:$BO$1001,MATCH(ROWS($AG$2:AG144),$AG$2:$AG$1001,0),MATCH(COLUMNS($AN$1006:AN1006),$AN$1006:$BO$1006,0)), HYPERLINK("#",""), HYPERLINK(CONCATENATE("#Metadata!", ADDRESS(INDEX($AI$2:$AI$1001,MATCH(ROWS($AG$2:AG144),$AG$2:$AG$1001,0),0), INDEX($AN$1004:$BO$1004,1,MATCH(COLUMNS($AN$1006:AN1006),$AN$1006:$BO$1006,0)))),"Fix")))</f>
        <v>0</v>
      </c>
      <c r="C144" s="4">
        <f>IF(OR(INDEX($AH$2:$AH$1001,MATCH(ROWS($AG$2:AG144),$AG$2:$AG$1001,0),1)&gt;=100000,INDEX($AN$1005:$BO$1005,1,MATCH(COLUMNS($AN$1006:AO1006),$AN$1006:$BO$1006,0))&gt;=100000), " ",IF(INDEX($AN$2:$BO$1001,MATCH(ROWS($AG$2:AG144),$AG$2:$AG$1001,0),MATCH(COLUMNS($AN$1006:AO1006),$AN$1006:$BO$1006,0)), HYPERLINK("#",""), HYPERLINK(CONCATENATE("#Metadata!", ADDRESS(INDEX($AI$2:$AI$1001,MATCH(ROWS($AG$2:AG144),$AG$2:$AG$1001,0),0), INDEX($AN$1004:$BO$1004,1,MATCH(COLUMNS($AN$1006:AO1006),$AN$1006:$BO$1006,0)))),"Fix")))</f>
        <v>0</v>
      </c>
      <c r="D144" s="4">
        <f>IF(OR(INDEX($AH$2:$AH$1001,MATCH(ROWS($AG$2:AG144),$AG$2:$AG$1001,0),1)&gt;=100000,INDEX($AN$1005:$BO$1005,1,MATCH(COLUMNS($AN$1006:AP1006),$AN$1006:$BO$1006,0))&gt;=100000), " ",IF(INDEX($AN$2:$BO$1001,MATCH(ROWS($AG$2:AG144),$AG$2:$AG$1001,0),MATCH(COLUMNS($AN$1006:AP1006),$AN$1006:$BO$1006,0)), HYPERLINK("#",""), HYPERLINK(CONCATENATE("#Metadata!", ADDRESS(INDEX($AI$2:$AI$1001,MATCH(ROWS($AG$2:AG144),$AG$2:$AG$1001,0),0), INDEX($AN$1004:$BO$1004,1,MATCH(COLUMNS($AN$1006:AP1006),$AN$1006:$BO$1006,0)))),"Fix")))</f>
        <v>0</v>
      </c>
      <c r="E144" s="4">
        <f>IF(OR(INDEX($AH$2:$AH$1001,MATCH(ROWS($AG$2:AG144),$AG$2:$AG$1001,0),1)&gt;=100000,INDEX($AN$1005:$BO$1005,1,MATCH(COLUMNS($AN$1006:AQ1006),$AN$1006:$BO$1006,0))&gt;=100000), " ",IF(INDEX($AN$2:$BO$1001,MATCH(ROWS($AG$2:AG144),$AG$2:$AG$1001,0),MATCH(COLUMNS($AN$1006:AQ1006),$AN$1006:$BO$1006,0)), HYPERLINK("#",""), HYPERLINK(CONCATENATE("#Metadata!", ADDRESS(INDEX($AI$2:$AI$1001,MATCH(ROWS($AG$2:AG144),$AG$2:$AG$1001,0),0), INDEX($AN$1004:$BO$1004,1,MATCH(COLUMNS($AN$1006:AQ1006),$AN$1006:$BO$1006,0)))),"Fix")))</f>
        <v>0</v>
      </c>
      <c r="F144" s="4">
        <f>IF(OR(INDEX($AH$2:$AH$1001,MATCH(ROWS($AG$2:AG144),$AG$2:$AG$1001,0),1)&gt;=100000,INDEX($AN$1005:$BO$1005,1,MATCH(COLUMNS($AN$1006:AR1006),$AN$1006:$BO$1006,0))&gt;=100000), " ",IF(INDEX($AN$2:$BO$1001,MATCH(ROWS($AG$2:AG144),$AG$2:$AG$1001,0),MATCH(COLUMNS($AN$1006:AR1006),$AN$1006:$BO$1006,0)), HYPERLINK("#",""), HYPERLINK(CONCATENATE("#Metadata!", ADDRESS(INDEX($AI$2:$AI$1001,MATCH(ROWS($AG$2:AG144),$AG$2:$AG$1001,0),0), INDEX($AN$1004:$BO$1004,1,MATCH(COLUMNS($AN$1006:AR1006),$AN$1006:$BO$1006,0)))),"Fix")))</f>
        <v>0</v>
      </c>
      <c r="G144" s="4">
        <f>IF(OR(INDEX($AH$2:$AH$1001,MATCH(ROWS($AG$2:AG144),$AG$2:$AG$1001,0),1)&gt;=100000,INDEX($AN$1005:$BO$1005,1,MATCH(COLUMNS($AN$1006:AS1006),$AN$1006:$BO$1006,0))&gt;=100000), " ",IF(INDEX($AN$2:$BO$1001,MATCH(ROWS($AG$2:AG144),$AG$2:$AG$1001,0),MATCH(COLUMNS($AN$1006:AS1006),$AN$1006:$BO$1006,0)), HYPERLINK("#",""), HYPERLINK(CONCATENATE("#Metadata!", ADDRESS(INDEX($AI$2:$AI$1001,MATCH(ROWS($AG$2:AG144),$AG$2:$AG$1001,0),0), INDEX($AN$1004:$BO$1004,1,MATCH(COLUMNS($AN$1006:AS1006),$AN$1006:$BO$1006,0)))),"Fix")))</f>
        <v>0</v>
      </c>
      <c r="H144" s="4">
        <f>IF(OR(INDEX($AH$2:$AH$1001,MATCH(ROWS($AG$2:AG144),$AG$2:$AG$1001,0),1)&gt;=100000,INDEX($AN$1005:$BO$1005,1,MATCH(COLUMNS($AN$1006:AT1006),$AN$1006:$BO$1006,0))&gt;=100000), " ",IF(INDEX($AN$2:$BO$1001,MATCH(ROWS($AG$2:AG144),$AG$2:$AG$1001,0),MATCH(COLUMNS($AN$1006:AT1006),$AN$1006:$BO$1006,0)), HYPERLINK("#",""), HYPERLINK(CONCATENATE("#Metadata!", ADDRESS(INDEX($AI$2:$AI$1001,MATCH(ROWS($AG$2:AG144),$AG$2:$AG$1001,0),0), INDEX($AN$1004:$BO$1004,1,MATCH(COLUMNS($AN$1006:AT1006),$AN$1006:$BO$1006,0)))),"Fix")))</f>
        <v>0</v>
      </c>
      <c r="I144" s="4">
        <f>IF(OR(INDEX($AH$2:$AH$1001,MATCH(ROWS($AG$2:AG144),$AG$2:$AG$1001,0),1)&gt;=100000,INDEX($AN$1005:$BO$1005,1,MATCH(COLUMNS($AN$1006:AU1006),$AN$1006:$BO$1006,0))&gt;=100000), " ",IF(INDEX($AN$2:$BO$1001,MATCH(ROWS($AG$2:AG144),$AG$2:$AG$1001,0),MATCH(COLUMNS($AN$1006:AU1006),$AN$1006:$BO$1006,0)), HYPERLINK("#",""), HYPERLINK(CONCATENATE("#Metadata!", ADDRESS(INDEX($AI$2:$AI$1001,MATCH(ROWS($AG$2:AG144),$AG$2:$AG$1001,0),0), INDEX($AN$1004:$BO$1004,1,MATCH(COLUMNS($AN$1006:AU1006),$AN$1006:$BO$1006,0)))),"Fix")))</f>
        <v>0</v>
      </c>
      <c r="J144" s="4">
        <f>IF(OR(INDEX($AH$2:$AH$1001,MATCH(ROWS($AG$2:AG144),$AG$2:$AG$1001,0),1)&gt;=100000,INDEX($AN$1005:$BO$1005,1,MATCH(COLUMNS($AN$1006:AV1006),$AN$1006:$BO$1006,0))&gt;=100000), " ",IF(INDEX($AN$2:$BO$1001,MATCH(ROWS($AG$2:AG144),$AG$2:$AG$1001,0),MATCH(COLUMNS($AN$1006:AV1006),$AN$1006:$BO$1006,0)), HYPERLINK("#",""), HYPERLINK(CONCATENATE("#Metadata!", ADDRESS(INDEX($AI$2:$AI$1001,MATCH(ROWS($AG$2:AG144),$AG$2:$AG$1001,0),0), INDEX($AN$1004:$BO$1004,1,MATCH(COLUMNS($AN$1006:AV1006),$AN$1006:$BO$1006,0)))),"Fix")))</f>
        <v>0</v>
      </c>
      <c r="K144" s="4">
        <f>IF(OR(INDEX($AH$2:$AH$1001,MATCH(ROWS($AG$2:AG144),$AG$2:$AG$1001,0),1)&gt;=100000,INDEX($AN$1005:$BO$1005,1,MATCH(COLUMNS($AN$1006:AW1006),$AN$1006:$BO$1006,0))&gt;=100000), " ",IF(INDEX($AN$2:$BO$1001,MATCH(ROWS($AG$2:AG144),$AG$2:$AG$1001,0),MATCH(COLUMNS($AN$1006:AW1006),$AN$1006:$BO$1006,0)), HYPERLINK("#",""), HYPERLINK(CONCATENATE("#Metadata!", ADDRESS(INDEX($AI$2:$AI$1001,MATCH(ROWS($AG$2:AG144),$AG$2:$AG$1001,0),0), INDEX($AN$1004:$BO$1004,1,MATCH(COLUMNS($AN$1006:AW1006),$AN$1006:$BO$1006,0)))),"Fix")))</f>
        <v>0</v>
      </c>
      <c r="L144" s="4">
        <f>IF(OR(INDEX($AH$2:$AH$1001,MATCH(ROWS($AG$2:AG144),$AG$2:$AG$1001,0),1)&gt;=100000,INDEX($AN$1005:$BO$1005,1,MATCH(COLUMNS($AN$1006:AX1006),$AN$1006:$BO$1006,0))&gt;=100000), " ",IF(INDEX($AN$2:$BO$1001,MATCH(ROWS($AG$2:AG144),$AG$2:$AG$1001,0),MATCH(COLUMNS($AN$1006:AX1006),$AN$1006:$BO$1006,0)), HYPERLINK("#",""), HYPERLINK(CONCATENATE("#Metadata!", ADDRESS(INDEX($AI$2:$AI$1001,MATCH(ROWS($AG$2:AG144),$AG$2:$AG$1001,0),0), INDEX($AN$1004:$BO$1004,1,MATCH(COLUMNS($AN$1006:AX1006),$AN$1006:$BO$1006,0)))),"Fix")))</f>
        <v>0</v>
      </c>
      <c r="M144" s="4">
        <f>IF(OR(INDEX($AH$2:$AH$1001,MATCH(ROWS($AG$2:AG144),$AG$2:$AG$1001,0),1)&gt;=100000,INDEX($AN$1005:$BO$1005,1,MATCH(COLUMNS($AN$1006:AY1006),$AN$1006:$BO$1006,0))&gt;=100000), " ",IF(INDEX($AN$2:$BO$1001,MATCH(ROWS($AG$2:AG144),$AG$2:$AG$1001,0),MATCH(COLUMNS($AN$1006:AY1006),$AN$1006:$BO$1006,0)), HYPERLINK("#",""), HYPERLINK(CONCATENATE("#Metadata!", ADDRESS(INDEX($AI$2:$AI$1001,MATCH(ROWS($AG$2:AG144),$AG$2:$AG$1001,0),0), INDEX($AN$1004:$BO$1004,1,MATCH(COLUMNS($AN$1006:AY1006),$AN$1006:$BO$1006,0)))),"Fix")))</f>
        <v>0</v>
      </c>
      <c r="N144" s="4">
        <f>IF(OR(INDEX($AH$2:$AH$1001,MATCH(ROWS($AG$2:AG144),$AG$2:$AG$1001,0),1)&gt;=100000,INDEX($AN$1005:$BO$1005,1,MATCH(COLUMNS($AN$1006:AZ1006),$AN$1006:$BO$1006,0))&gt;=100000), " ",IF(INDEX($AN$2:$BO$1001,MATCH(ROWS($AG$2:AG144),$AG$2:$AG$1001,0),MATCH(COLUMNS($AN$1006:AZ1006),$AN$1006:$BO$1006,0)), HYPERLINK("#",""), HYPERLINK(CONCATENATE("#Metadata!", ADDRESS(INDEX($AI$2:$AI$1001,MATCH(ROWS($AG$2:AG144),$AG$2:$AG$1001,0),0), INDEX($AN$1004:$BO$1004,1,MATCH(COLUMNS($AN$1006:AZ1006),$AN$1006:$BO$1006,0)))),"Fix")))</f>
        <v>0</v>
      </c>
      <c r="O144" s="4">
        <f>IF(OR(INDEX($AH$2:$AH$1001,MATCH(ROWS($AG$2:AG144),$AG$2:$AG$1001,0),1)&gt;=100000,INDEX($AN$1005:$BO$1005,1,MATCH(COLUMNS($AN$1006:BA1006),$AN$1006:$BO$1006,0))&gt;=100000), " ",IF(INDEX($AN$2:$BO$1001,MATCH(ROWS($AG$2:AG144),$AG$2:$AG$1001,0),MATCH(COLUMNS($AN$1006:BA1006),$AN$1006:$BO$1006,0)), HYPERLINK("#",""), HYPERLINK(CONCATENATE("#Metadata!", ADDRESS(INDEX($AI$2:$AI$1001,MATCH(ROWS($AG$2:AG144),$AG$2:$AG$1001,0),0), INDEX($AN$1004:$BO$1004,1,MATCH(COLUMNS($AN$1006:BA1006),$AN$1006:$BO$1006,0)))),"Fix")))</f>
        <v>0</v>
      </c>
      <c r="P144" s="4">
        <f>IF(OR(INDEX($AH$2:$AH$1001,MATCH(ROWS($AG$2:AG144),$AG$2:$AG$1001,0),1)&gt;=100000,INDEX($AN$1005:$BO$1005,1,MATCH(COLUMNS($AN$1006:BB1006),$AN$1006:$BO$1006,0))&gt;=100000), " ",IF(INDEX($AN$2:$BO$1001,MATCH(ROWS($AG$2:AG144),$AG$2:$AG$1001,0),MATCH(COLUMNS($AN$1006:BB1006),$AN$1006:$BO$1006,0)), HYPERLINK("#",""), HYPERLINK(CONCATENATE("#Metadata!", ADDRESS(INDEX($AI$2:$AI$1001,MATCH(ROWS($AG$2:AG144),$AG$2:$AG$1001,0),0), INDEX($AN$1004:$BO$1004,1,MATCH(COLUMNS($AN$1006:BB1006),$AN$1006:$BO$1006,0)))),"Fix")))</f>
        <v>0</v>
      </c>
      <c r="Q144" s="4">
        <f>IF(OR(INDEX($AH$2:$AH$1001,MATCH(ROWS($AG$2:AG144),$AG$2:$AG$1001,0),1)&gt;=100000,INDEX($AN$1005:$BO$1005,1,MATCH(COLUMNS($AN$1006:BC1006),$AN$1006:$BO$1006,0))&gt;=100000), " ",IF(INDEX($AN$2:$BO$1001,MATCH(ROWS($AG$2:AG144),$AG$2:$AG$1001,0),MATCH(COLUMNS($AN$1006:BC1006),$AN$1006:$BO$1006,0)), HYPERLINK("#",""), HYPERLINK(CONCATENATE("#Metadata!", ADDRESS(INDEX($AI$2:$AI$1001,MATCH(ROWS($AG$2:AG144),$AG$2:$AG$1001,0),0), INDEX($AN$1004:$BO$1004,1,MATCH(COLUMNS($AN$1006:BC1006),$AN$1006:$BO$1006,0)))),"Fix")))</f>
        <v>0</v>
      </c>
      <c r="R144" s="4">
        <f>IF(OR(INDEX($AH$2:$AH$1001,MATCH(ROWS($AG$2:AG144),$AG$2:$AG$1001,0),1)&gt;=100000,INDEX($AN$1005:$BO$1005,1,MATCH(COLUMNS($AN$1006:BD1006),$AN$1006:$BO$1006,0))&gt;=100000), " ",IF(INDEX($AN$2:$BO$1001,MATCH(ROWS($AG$2:AG144),$AG$2:$AG$1001,0),MATCH(COLUMNS($AN$1006:BD1006),$AN$1006:$BO$1006,0)), HYPERLINK("#",""), HYPERLINK(CONCATENATE("#Metadata!", ADDRESS(INDEX($AI$2:$AI$1001,MATCH(ROWS($AG$2:AG144),$AG$2:$AG$1001,0),0), INDEX($AN$1004:$BO$1004,1,MATCH(COLUMNS($AN$1006:BD1006),$AN$1006:$BO$1006,0)))),"Fix")))</f>
        <v>0</v>
      </c>
      <c r="S144" s="4">
        <f>IF(OR(INDEX($AH$2:$AH$1001,MATCH(ROWS($AG$2:AG144),$AG$2:$AG$1001,0),1)&gt;=100000,INDEX($AN$1005:$BO$1005,1,MATCH(COLUMNS($AN$1006:BE1006),$AN$1006:$BO$1006,0))&gt;=100000), " ",IF(INDEX($AN$2:$BO$1001,MATCH(ROWS($AG$2:AG144),$AG$2:$AG$1001,0),MATCH(COLUMNS($AN$1006:BE1006),$AN$1006:$BO$1006,0)), HYPERLINK("#",""), HYPERLINK(CONCATENATE("#Metadata!", ADDRESS(INDEX($AI$2:$AI$1001,MATCH(ROWS($AG$2:AG144),$AG$2:$AG$1001,0),0), INDEX($AN$1004:$BO$1004,1,MATCH(COLUMNS($AN$1006:BE1006),$AN$1006:$BO$1006,0)))),"Fix")))</f>
        <v>0</v>
      </c>
      <c r="T144" s="4">
        <f>IF(OR(INDEX($AH$2:$AH$1001,MATCH(ROWS($AG$2:AG144),$AG$2:$AG$1001,0),1)&gt;=100000,INDEX($AN$1005:$BO$1005,1,MATCH(COLUMNS($AN$1006:BF1006),$AN$1006:$BO$1006,0))&gt;=100000), " ",IF(INDEX($AN$2:$BO$1001,MATCH(ROWS($AG$2:AG144),$AG$2:$AG$1001,0),MATCH(COLUMNS($AN$1006:BF1006),$AN$1006:$BO$1006,0)), HYPERLINK("#",""), HYPERLINK(CONCATENATE("#Metadata!", ADDRESS(INDEX($AI$2:$AI$1001,MATCH(ROWS($AG$2:AG144),$AG$2:$AG$1001,0),0), INDEX($AN$1004:$BO$1004,1,MATCH(COLUMNS($AN$1006:BF1006),$AN$1006:$BO$1006,0)))),"Fix")))</f>
        <v>0</v>
      </c>
      <c r="U144" s="4">
        <f>IF(OR(INDEX($AH$2:$AH$1001,MATCH(ROWS($AG$2:AG144),$AG$2:$AG$1001,0),1)&gt;=100000,INDEX($AN$1005:$BO$1005,1,MATCH(COLUMNS($AN$1006:BG1006),$AN$1006:$BO$1006,0))&gt;=100000), " ",IF(INDEX($AN$2:$BO$1001,MATCH(ROWS($AG$2:AG144),$AG$2:$AG$1001,0),MATCH(COLUMNS($AN$1006:BG1006),$AN$1006:$BO$1006,0)), HYPERLINK("#",""), HYPERLINK(CONCATENATE("#Metadata!", ADDRESS(INDEX($AI$2:$AI$1001,MATCH(ROWS($AG$2:AG144),$AG$2:$AG$1001,0),0), INDEX($AN$1004:$BO$1004,1,MATCH(COLUMNS($AN$1006:BG1006),$AN$1006:$BO$1006,0)))),"Fix")))</f>
        <v>0</v>
      </c>
      <c r="V144" s="4">
        <f>IF(OR(INDEX($AH$2:$AH$1001,MATCH(ROWS($AG$2:AG144),$AG$2:$AG$1001,0),1)&gt;=100000,INDEX($AN$1005:$BO$1005,1,MATCH(COLUMNS($AN$1006:BH1006),$AN$1006:$BO$1006,0))&gt;=100000), " ",IF(INDEX($AN$2:$BO$1001,MATCH(ROWS($AG$2:AG144),$AG$2:$AG$1001,0),MATCH(COLUMNS($AN$1006:BH1006),$AN$1006:$BO$1006,0)), HYPERLINK("#",""), HYPERLINK(CONCATENATE("#Metadata!", ADDRESS(INDEX($AI$2:$AI$1001,MATCH(ROWS($AG$2:AG144),$AG$2:$AG$1001,0),0), INDEX($AN$1004:$BO$1004,1,MATCH(COLUMNS($AN$1006:BH1006),$AN$1006:$BO$1006,0)))),"Fix")))</f>
        <v>0</v>
      </c>
      <c r="W144" s="4">
        <f>IF(OR(INDEX($AH$2:$AH$1001,MATCH(ROWS($AG$2:AG144),$AG$2:$AG$1001,0),1)&gt;=100000,INDEX($AN$1005:$BO$1005,1,MATCH(COLUMNS($AN$1006:BI1006),$AN$1006:$BO$1006,0))&gt;=100000), " ",IF(INDEX($AN$2:$BO$1001,MATCH(ROWS($AG$2:AG144),$AG$2:$AG$1001,0),MATCH(COLUMNS($AN$1006:BI1006),$AN$1006:$BO$1006,0)), HYPERLINK("#",""), HYPERLINK(CONCATENATE("#Metadata!", ADDRESS(INDEX($AI$2:$AI$1001,MATCH(ROWS($AG$2:AG144),$AG$2:$AG$1001,0),0), INDEX($AN$1004:$BO$1004,1,MATCH(COLUMNS($AN$1006:BI1006),$AN$1006:$BO$1006,0)))),"Fix")))</f>
        <v>0</v>
      </c>
      <c r="X144" s="4">
        <f>IF(OR(INDEX($AH$2:$AH$1001,MATCH(ROWS($AG$2:AG144),$AG$2:$AG$1001,0),1)&gt;=100000,INDEX($AN$1005:$BO$1005,1,MATCH(COLUMNS($AN$1006:BJ1006),$AN$1006:$BO$1006,0))&gt;=100000), " ",IF(INDEX($AN$2:$BO$1001,MATCH(ROWS($AG$2:AG144),$AG$2:$AG$1001,0),MATCH(COLUMNS($AN$1006:BJ1006),$AN$1006:$BO$1006,0)), HYPERLINK("#",""), HYPERLINK(CONCATENATE("#Metadata!", ADDRESS(INDEX($AI$2:$AI$1001,MATCH(ROWS($AG$2:AG144),$AG$2:$AG$1001,0),0), INDEX($AN$1004:$BO$1004,1,MATCH(COLUMNS($AN$1006:BJ1006),$AN$1006:$BO$1006,0)))),"Fix")))</f>
        <v>0</v>
      </c>
      <c r="Y144" s="4">
        <f>IF(OR(INDEX($AH$2:$AH$1001,MATCH(ROWS($AG$2:AG144),$AG$2:$AG$1001,0),1)&gt;=100000,INDEX($AN$1005:$BO$1005,1,MATCH(COLUMNS($AN$1006:BK1006),$AN$1006:$BO$1006,0))&gt;=100000), " ",IF(INDEX($AN$2:$BO$1001,MATCH(ROWS($AG$2:AG144),$AG$2:$AG$1001,0),MATCH(COLUMNS($AN$1006:BK1006),$AN$1006:$BO$1006,0)), HYPERLINK("#",""), HYPERLINK(CONCATENATE("#Metadata!", ADDRESS(INDEX($AI$2:$AI$1001,MATCH(ROWS($AG$2:AG144),$AG$2:$AG$1001,0),0), INDEX($AN$1004:$BO$1004,1,MATCH(COLUMNS($AN$1006:BK1006),$AN$1006:$BO$1006,0)))),"Fix")))</f>
        <v>0</v>
      </c>
      <c r="Z144" s="4">
        <f>IF(OR(INDEX($AH$2:$AH$1001,MATCH(ROWS($AG$2:AG144),$AG$2:$AG$1001,0),1)&gt;=100000,INDEX($AN$1005:$BO$1005,1,MATCH(COLUMNS($AN$1006:BL1006),$AN$1006:$BO$1006,0))&gt;=100000), " ",IF(INDEX($AN$2:$BO$1001,MATCH(ROWS($AG$2:AG144),$AG$2:$AG$1001,0),MATCH(COLUMNS($AN$1006:BL1006),$AN$1006:$BO$1006,0)), HYPERLINK("#",""), HYPERLINK(CONCATENATE("#Metadata!", ADDRESS(INDEX($AI$2:$AI$1001,MATCH(ROWS($AG$2:AG144),$AG$2:$AG$1001,0),0), INDEX($AN$1004:$BO$1004,1,MATCH(COLUMNS($AN$1006:BL1006),$AN$1006:$BO$1006,0)))),"Fix")))</f>
        <v>0</v>
      </c>
      <c r="AA144" s="4">
        <f>IF(OR(INDEX($AH$2:$AH$1001,MATCH(ROWS($AG$2:AG144),$AG$2:$AG$1001,0),1)&gt;=100000,INDEX($AN$1005:$BO$1005,1,MATCH(COLUMNS($AN$1006:BM1006),$AN$1006:$BO$1006,0))&gt;=100000), " ",IF(INDEX($AN$2:$BO$1001,MATCH(ROWS($AG$2:AG144),$AG$2:$AG$1001,0),MATCH(COLUMNS($AN$1006:BM1006),$AN$1006:$BO$1006,0)), HYPERLINK("#",""), HYPERLINK(CONCATENATE("#Metadata!", ADDRESS(INDEX($AI$2:$AI$1001,MATCH(ROWS($AG$2:AG144),$AG$2:$AG$1001,0),0), INDEX($AN$1004:$BO$1004,1,MATCH(COLUMNS($AN$1006:BM1006),$AN$1006:$BO$1006,0)))),"Fix")))</f>
        <v>0</v>
      </c>
      <c r="AB144" s="4">
        <f>IF(OR(INDEX($AH$2:$AH$1001,MATCH(ROWS($AG$2:AG144),$AG$2:$AG$1001,0),1)&gt;=100000,INDEX($AN$1005:$BO$1005,1,MATCH(COLUMNS($AN$1006:BN1006),$AN$1006:$BO$1006,0))&gt;=100000), " ",IF(INDEX($AN$2:$BO$1001,MATCH(ROWS($AG$2:AG144),$AG$2:$AG$1001,0),MATCH(COLUMNS($AN$1006:BN1006),$AN$1006:$BO$1006,0)), HYPERLINK("#",""), HYPERLINK(CONCATENATE("#Metadata!", ADDRESS(INDEX($AI$2:$AI$1001,MATCH(ROWS($AG$2:AG144),$AG$2:$AG$1001,0),0), INDEX($AN$1004:$BO$1004,1,MATCH(COLUMNS($AN$1006:BN1006),$AN$1006:$BO$1006,0)))),"Fix")))</f>
        <v>0</v>
      </c>
      <c r="AC144" s="4">
        <f>IF(OR(INDEX($AH$2:$AH$1001,MATCH(ROWS($AG$2:AG144),$AG$2:$AG$1001,0),1)&gt;=100000,INDEX($AN$1005:$BO$1005,1,MATCH(COLUMNS($AN$1006:BO1006),$AN$1006:$BO$1006,0))&gt;=100000), " ",IF(INDEX($AN$2:$BO$1001,MATCH(ROWS($AG$2:AG144),$AG$2:$AG$1001,0),MATCH(COLUMNS($AN$1006:BO1006),$AN$1006:$BO$1006,0)), HYPERLINK("#",""), HYPERLINK(CONCATENATE("#Metadata!", ADDRESS(INDEX($AI$2:$AI$1001,MATCH(ROWS($AG$2:AG144),$AG$2:$AG$1001,0),0), INDEX($AN$1004:$BO$1004,1,MATCH(COLUMNS($AN$1006:BO1006),$AN$1006:$BO$1006,0)))),"Fix")))</f>
        <v>0</v>
      </c>
      <c r="AG144">
        <v>0</v>
      </c>
      <c r="AH144">
        <v>0</v>
      </c>
      <c r="AI144">
        <v>0</v>
      </c>
      <c r="AJ144">
        <f>IF(AK144,TRUE,AND(AN144:BO144))</f>
        <v>0</v>
      </c>
      <c r="AK144">
        <f>COUNTBLANK(Metadata!B144:AC144)=COLUMNS(Metadata!B144:AC144)</f>
        <v>0</v>
      </c>
      <c r="AL144">
        <v>0</v>
      </c>
      <c r="AN144">
        <f>AND(IF(Metadata!B144="",FALSE,TRUE),COUNTIF(Metadata!B:B, Metadata!B144) = 1,NOT(ISERROR(SUMPRODUCT(SEARCH(MID(Metadata!B144,ROW(INDIRECT("1:"&amp;LEN(Metadata!B144))), 1),"0123456789abcdefghijklmnopqrstuvwxyzABCDEFGHIJKLMNOPQRSTUVWXYZ.")))))</f>
        <v>0</v>
      </c>
      <c r="AO144">
        <f>IF(Metadata!C144="",FALSE,TRUE)</f>
        <v>0</v>
      </c>
      <c r="AP144">
        <f>IF(Metadata!D144="",FALSE,TRUE)</f>
        <v>0</v>
      </c>
      <c r="AQ144">
        <f>OR(AND(IF(Metadata!E144="",FALSE,TRUE),OR(exact(Metadata!E144,"not collected"),exact(Metadata!E144,"not provided"),exact(Metadata!E144,"restricted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R144">
        <f>IF(Metadata!F144="",FALSE,TRUE)</f>
        <v>0</v>
      </c>
      <c r="AS144">
        <f>OR(AND(IF(Metadata!G144="",FALSE,TRUE),OR(exact(Metadata!G144,"not collected"),exact(Metadata!G144,"not provided"))),AND(IF(Metadata!G144="",FALSE,TRUE),OR(exact(Metadata!G144,"TRUE"),exact(Metadata!G144,"FALSE"))))</f>
        <v>0</v>
      </c>
      <c r="AT144">
        <f>OR(AND(IF(Metadata!H144="",FALSE,TRUE),OR(exact(Metadata!H144,"not collected"),exact(Metadata!H144,"not provided"),exact(Metadata!H144,"restricted access"))),AND(IF(Metadata!H144="",FALSE,ISNUMBER(VALUE(Metadata!H144))),Metadata!H144&gt;=-413.0))</f>
        <v>0</v>
      </c>
      <c r="AU144">
        <f>AND(IF(Metadata!I144="",FALSE,TRUE),exact(Metadata!I144,"meters"))</f>
        <v>0</v>
      </c>
      <c r="AV144">
        <f>AND(IF(Metadata!J144="",FALSE,TRUE),OR(exact(Metadata!J144,"Host-associated"),exact(Metadata!J144,"Free-living")))</f>
        <v>0</v>
      </c>
      <c r="AW144">
        <f>AND(IF(Metadata!K144="",FALSE,TRUE),OR(exact(Metadata!K144,"Animal"),exact(Metadata!K144,"Fungus"),exact(Metadata!K144,"Plant"),exact(Metadata!K144,"Saline"),exact(Metadata!K144,"Non-saline")))</f>
        <v>0</v>
      </c>
      <c r="AX144">
        <f>AND(IF(Metadata!L144="",FALSE,TRUE),OR(exact(Metadata!L144,"Plant secretion"),exact(Metadata!L144,"Plant rhizosphere"),exact(Metadata!L144,"Plant surface"),exact(Metadata!L144,"Plant corpus"),exact(Metadata!L144,"Fungus surface"),exact(Metadata!L144,"Fungus corpus"),exact(Metadata!L144,"Animal surface"),exact(Metadata!L144,"Animal proximal gut"),exact(Metadata!L144,"Animal corpus"),exact(Metadata!L144,"Animal distal gut"),exact(Metadata!L144,"Animal secretion"),exact(Metadata!L144,"Sub-surface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Y144">
        <f>IF(Metadata!M144="",FALSE,TRUE)</f>
        <v>0</v>
      </c>
      <c r="AZ144">
        <f>IF(Metadata!N144="",FALSE,TRUE)</f>
        <v>0</v>
      </c>
      <c r="BA144">
        <f>IF(Metadata!O144="",FALSE,TRUE)</f>
        <v>0</v>
      </c>
      <c r="BB144">
        <f>OR(AND(IF(Metadata!P144="",FALSE,TRUE),OR(exact(Metadata!P144,"not collected"),exact(Metadata!P144,"not provided"),exact(Metadata!P144,"restricted access"))),AND(IF(Metadata!P144="",FALSE,TRUE),OR(exact(Metadata!P144,"air"),exact(Metadata!P144,"built environment"),exact(Metadata!P144,"host-associated"),exact(Metadata!P144,"human-associated"),exact(Metadata!P144,"human-skin"),exact(Metadata!P144,"human-oral"),exact(Metadata!P144,"human-gut"),exact(Metadata!P144,"human-vaginal"),exact(Metadata!P144,"microbial mat/biofilm"),exact(Metadata!P144,"misc environment"),exact(Metadata!P144,"plant-associated"),exact(Metadata!P144,"sediment"),exact(Metadata!P144,"soil"),exact(Metadata!P144,"wastewater/sludge"),exact(Metadata!P144,"water"))))</f>
        <v>0</v>
      </c>
      <c r="BC144">
        <f>IF(Metadata!Q144="",FALSE,TRUE)</f>
        <v>0</v>
      </c>
      <c r="BD144">
        <f>IF(Metadata!R144="",FALSE,TRUE)</f>
        <v>0</v>
      </c>
      <c r="BE144">
        <f>OR(AND(IF(Metadata!S144="",FALSE,TRUE),OR(exact(Metadata!S144,"not collected"),exact(Metadata!S144,"not provided"),exact(Metadata!S144,"restricted access"))),AND(IF(Metadata!S144="",FALSE,ISNUMBER(VALUE(Metadata!S144))),Metadata!S144&gt;=-90.00,Metadata!S144&lt;=90.00))</f>
        <v>0</v>
      </c>
      <c r="BF144">
        <f>AND(IF(Metadata!T144="",FALSE,TRUE),exact(Metadata!T144,"Decimal degrees"))</f>
        <v>0</v>
      </c>
      <c r="BG144">
        <f>OR(AND(IF(Metadata!U144="",FALSE,TRUE),OR(exact(Metadata!U144,"not collected"),exact(Metadata!U144,"not provided"),exact(Metadata!U144,"restricted access"))),AND(IF(Metadata!U144="",FALSE,ISNUMBER(VALUE(Metadata!U144))),Metadata!U144&gt;=-180.00,Metadata!U144&lt;=180.00))</f>
        <v>0</v>
      </c>
      <c r="BH144">
        <f>AND(IF(Metadata!V144="",FALSE,TRUE),exact(Metadata!V144,"Decimal degrees"))</f>
        <v>0</v>
      </c>
      <c r="BI144">
        <f>IF(Metadata!W144="",FALSE,TRUE)</f>
        <v>0</v>
      </c>
      <c r="BJ144">
        <f>OR(AND(IF(Metadata!X144="",FALSE,TRUE),OR(exact(Metadata!X144,"not collected"),exact(Metadata!X144,"not provided"),exact(Metadata!X144,"restricted access"))),AND(IF(Metadata!X144="",FALSE,TRUE),OR(exact(Metadata!X144,"TRUE"),exact(Metadata!X144,"FALSE"))))</f>
        <v>0</v>
      </c>
      <c r="BK144">
        <f>AND(IF(Metadata!Y144="",FALSE,TRUE),exact(Metadata!Y144,"other"))</f>
        <v>0</v>
      </c>
      <c r="BL144">
        <f>IF(Metadata!Z144="",FALSE,TRUE)</f>
        <v>0</v>
      </c>
      <c r="BM144">
        <f>OR(AND(IF(Metadata!AA144="",FALSE,TRUE),OR(exact(Metadata!AA144,"not collected"),exact(Metadata!AA144,"not provided"))),AND(IF(Metadata!AA144="",FALSE,IF(ISERROR(INT(Metadata!AA144)),FALSE,INT(Metadata!AA144)=Metadata!AA144)),Metadata!AA144&gt;0))</f>
        <v>0</v>
      </c>
      <c r="BN144">
        <f>AND(IF(Metadata!AB144="",FALSE,TRUE),exact(Metadata!AB144,"Not applicable"))</f>
        <v>0</v>
      </c>
      <c r="BO144">
        <f>IF(Metadata!AC144="",FALSE,TRUE)</f>
        <v>0</v>
      </c>
    </row>
    <row r="145" spans="1:67">
      <c r="A145" s="5">
        <f>IF(B145=" "," ",HYPERLINK(CONCATENATE("#metadata!",ADDRESS(INDEX($AI$2:$AI$1001,MATCH(ROWS($AG$2:AG145),$AG$2:$AG$1001,0),0),1)),INDEX($AL$2:$AL$1001,MATCH(ROWS($AG$2:AG145),$AG$2:$AG$1001,0),0)))</f>
        <v>0</v>
      </c>
      <c r="B145" s="4">
        <f>IF(OR(INDEX($AH$2:$AH$1001,MATCH(ROWS($AG$2:AG145),$AG$2:$AG$1001,0),1)&gt;=100000,INDEX($AN$1005:$BO$1005,1,MATCH(COLUMNS($AN$1006:AN1006),$AN$1006:$BO$1006,0))&gt;=100000), " ",IF(INDEX($AN$2:$BO$1001,MATCH(ROWS($AG$2:AG145),$AG$2:$AG$1001,0),MATCH(COLUMNS($AN$1006:AN1006),$AN$1006:$BO$1006,0)), HYPERLINK("#",""), HYPERLINK(CONCATENATE("#Metadata!", ADDRESS(INDEX($AI$2:$AI$1001,MATCH(ROWS($AG$2:AG145),$AG$2:$AG$1001,0),0), INDEX($AN$1004:$BO$1004,1,MATCH(COLUMNS($AN$1006:AN1006),$AN$1006:$BO$1006,0)))),"Fix")))</f>
        <v>0</v>
      </c>
      <c r="C145" s="4">
        <f>IF(OR(INDEX($AH$2:$AH$1001,MATCH(ROWS($AG$2:AG145),$AG$2:$AG$1001,0),1)&gt;=100000,INDEX($AN$1005:$BO$1005,1,MATCH(COLUMNS($AN$1006:AO1006),$AN$1006:$BO$1006,0))&gt;=100000), " ",IF(INDEX($AN$2:$BO$1001,MATCH(ROWS($AG$2:AG145),$AG$2:$AG$1001,0),MATCH(COLUMNS($AN$1006:AO1006),$AN$1006:$BO$1006,0)), HYPERLINK("#",""), HYPERLINK(CONCATENATE("#Metadata!", ADDRESS(INDEX($AI$2:$AI$1001,MATCH(ROWS($AG$2:AG145),$AG$2:$AG$1001,0),0), INDEX($AN$1004:$BO$1004,1,MATCH(COLUMNS($AN$1006:AO1006),$AN$1006:$BO$1006,0)))),"Fix")))</f>
        <v>0</v>
      </c>
      <c r="D145" s="4">
        <f>IF(OR(INDEX($AH$2:$AH$1001,MATCH(ROWS($AG$2:AG145),$AG$2:$AG$1001,0),1)&gt;=100000,INDEX($AN$1005:$BO$1005,1,MATCH(COLUMNS($AN$1006:AP1006),$AN$1006:$BO$1006,0))&gt;=100000), " ",IF(INDEX($AN$2:$BO$1001,MATCH(ROWS($AG$2:AG145),$AG$2:$AG$1001,0),MATCH(COLUMNS($AN$1006:AP1006),$AN$1006:$BO$1006,0)), HYPERLINK("#",""), HYPERLINK(CONCATENATE("#Metadata!", ADDRESS(INDEX($AI$2:$AI$1001,MATCH(ROWS($AG$2:AG145),$AG$2:$AG$1001,0),0), INDEX($AN$1004:$BO$1004,1,MATCH(COLUMNS($AN$1006:AP1006),$AN$1006:$BO$1006,0)))),"Fix")))</f>
        <v>0</v>
      </c>
      <c r="E145" s="4">
        <f>IF(OR(INDEX($AH$2:$AH$1001,MATCH(ROWS($AG$2:AG145),$AG$2:$AG$1001,0),1)&gt;=100000,INDEX($AN$1005:$BO$1005,1,MATCH(COLUMNS($AN$1006:AQ1006),$AN$1006:$BO$1006,0))&gt;=100000), " ",IF(INDEX($AN$2:$BO$1001,MATCH(ROWS($AG$2:AG145),$AG$2:$AG$1001,0),MATCH(COLUMNS($AN$1006:AQ1006),$AN$1006:$BO$1006,0)), HYPERLINK("#",""), HYPERLINK(CONCATENATE("#Metadata!", ADDRESS(INDEX($AI$2:$AI$1001,MATCH(ROWS($AG$2:AG145),$AG$2:$AG$1001,0),0), INDEX($AN$1004:$BO$1004,1,MATCH(COLUMNS($AN$1006:AQ1006),$AN$1006:$BO$1006,0)))),"Fix")))</f>
        <v>0</v>
      </c>
      <c r="F145" s="4">
        <f>IF(OR(INDEX($AH$2:$AH$1001,MATCH(ROWS($AG$2:AG145),$AG$2:$AG$1001,0),1)&gt;=100000,INDEX($AN$1005:$BO$1005,1,MATCH(COLUMNS($AN$1006:AR1006),$AN$1006:$BO$1006,0))&gt;=100000), " ",IF(INDEX($AN$2:$BO$1001,MATCH(ROWS($AG$2:AG145),$AG$2:$AG$1001,0),MATCH(COLUMNS($AN$1006:AR1006),$AN$1006:$BO$1006,0)), HYPERLINK("#",""), HYPERLINK(CONCATENATE("#Metadata!", ADDRESS(INDEX($AI$2:$AI$1001,MATCH(ROWS($AG$2:AG145),$AG$2:$AG$1001,0),0), INDEX($AN$1004:$BO$1004,1,MATCH(COLUMNS($AN$1006:AR1006),$AN$1006:$BO$1006,0)))),"Fix")))</f>
        <v>0</v>
      </c>
      <c r="G145" s="4">
        <f>IF(OR(INDEX($AH$2:$AH$1001,MATCH(ROWS($AG$2:AG145),$AG$2:$AG$1001,0),1)&gt;=100000,INDEX($AN$1005:$BO$1005,1,MATCH(COLUMNS($AN$1006:AS1006),$AN$1006:$BO$1006,0))&gt;=100000), " ",IF(INDEX($AN$2:$BO$1001,MATCH(ROWS($AG$2:AG145),$AG$2:$AG$1001,0),MATCH(COLUMNS($AN$1006:AS1006),$AN$1006:$BO$1006,0)), HYPERLINK("#",""), HYPERLINK(CONCATENATE("#Metadata!", ADDRESS(INDEX($AI$2:$AI$1001,MATCH(ROWS($AG$2:AG145),$AG$2:$AG$1001,0),0), INDEX($AN$1004:$BO$1004,1,MATCH(COLUMNS($AN$1006:AS1006),$AN$1006:$BO$1006,0)))),"Fix")))</f>
        <v>0</v>
      </c>
      <c r="H145" s="4">
        <f>IF(OR(INDEX($AH$2:$AH$1001,MATCH(ROWS($AG$2:AG145),$AG$2:$AG$1001,0),1)&gt;=100000,INDEX($AN$1005:$BO$1005,1,MATCH(COLUMNS($AN$1006:AT1006),$AN$1006:$BO$1006,0))&gt;=100000), " ",IF(INDEX($AN$2:$BO$1001,MATCH(ROWS($AG$2:AG145),$AG$2:$AG$1001,0),MATCH(COLUMNS($AN$1006:AT1006),$AN$1006:$BO$1006,0)), HYPERLINK("#",""), HYPERLINK(CONCATENATE("#Metadata!", ADDRESS(INDEX($AI$2:$AI$1001,MATCH(ROWS($AG$2:AG145),$AG$2:$AG$1001,0),0), INDEX($AN$1004:$BO$1004,1,MATCH(COLUMNS($AN$1006:AT1006),$AN$1006:$BO$1006,0)))),"Fix")))</f>
        <v>0</v>
      </c>
      <c r="I145" s="4">
        <f>IF(OR(INDEX($AH$2:$AH$1001,MATCH(ROWS($AG$2:AG145),$AG$2:$AG$1001,0),1)&gt;=100000,INDEX($AN$1005:$BO$1005,1,MATCH(COLUMNS($AN$1006:AU1006),$AN$1006:$BO$1006,0))&gt;=100000), " ",IF(INDEX($AN$2:$BO$1001,MATCH(ROWS($AG$2:AG145),$AG$2:$AG$1001,0),MATCH(COLUMNS($AN$1006:AU1006),$AN$1006:$BO$1006,0)), HYPERLINK("#",""), HYPERLINK(CONCATENATE("#Metadata!", ADDRESS(INDEX($AI$2:$AI$1001,MATCH(ROWS($AG$2:AG145),$AG$2:$AG$1001,0),0), INDEX($AN$1004:$BO$1004,1,MATCH(COLUMNS($AN$1006:AU1006),$AN$1006:$BO$1006,0)))),"Fix")))</f>
        <v>0</v>
      </c>
      <c r="J145" s="4">
        <f>IF(OR(INDEX($AH$2:$AH$1001,MATCH(ROWS($AG$2:AG145),$AG$2:$AG$1001,0),1)&gt;=100000,INDEX($AN$1005:$BO$1005,1,MATCH(COLUMNS($AN$1006:AV1006),$AN$1006:$BO$1006,0))&gt;=100000), " ",IF(INDEX($AN$2:$BO$1001,MATCH(ROWS($AG$2:AG145),$AG$2:$AG$1001,0),MATCH(COLUMNS($AN$1006:AV1006),$AN$1006:$BO$1006,0)), HYPERLINK("#",""), HYPERLINK(CONCATENATE("#Metadata!", ADDRESS(INDEX($AI$2:$AI$1001,MATCH(ROWS($AG$2:AG145),$AG$2:$AG$1001,0),0), INDEX($AN$1004:$BO$1004,1,MATCH(COLUMNS($AN$1006:AV1006),$AN$1006:$BO$1006,0)))),"Fix")))</f>
        <v>0</v>
      </c>
      <c r="K145" s="4">
        <f>IF(OR(INDEX($AH$2:$AH$1001,MATCH(ROWS($AG$2:AG145),$AG$2:$AG$1001,0),1)&gt;=100000,INDEX($AN$1005:$BO$1005,1,MATCH(COLUMNS($AN$1006:AW1006),$AN$1006:$BO$1006,0))&gt;=100000), " ",IF(INDEX($AN$2:$BO$1001,MATCH(ROWS($AG$2:AG145),$AG$2:$AG$1001,0),MATCH(COLUMNS($AN$1006:AW1006),$AN$1006:$BO$1006,0)), HYPERLINK("#",""), HYPERLINK(CONCATENATE("#Metadata!", ADDRESS(INDEX($AI$2:$AI$1001,MATCH(ROWS($AG$2:AG145),$AG$2:$AG$1001,0),0), INDEX($AN$1004:$BO$1004,1,MATCH(COLUMNS($AN$1006:AW1006),$AN$1006:$BO$1006,0)))),"Fix")))</f>
        <v>0</v>
      </c>
      <c r="L145" s="4">
        <f>IF(OR(INDEX($AH$2:$AH$1001,MATCH(ROWS($AG$2:AG145),$AG$2:$AG$1001,0),1)&gt;=100000,INDEX($AN$1005:$BO$1005,1,MATCH(COLUMNS($AN$1006:AX1006),$AN$1006:$BO$1006,0))&gt;=100000), " ",IF(INDEX($AN$2:$BO$1001,MATCH(ROWS($AG$2:AG145),$AG$2:$AG$1001,0),MATCH(COLUMNS($AN$1006:AX1006),$AN$1006:$BO$1006,0)), HYPERLINK("#",""), HYPERLINK(CONCATENATE("#Metadata!", ADDRESS(INDEX($AI$2:$AI$1001,MATCH(ROWS($AG$2:AG145),$AG$2:$AG$1001,0),0), INDEX($AN$1004:$BO$1004,1,MATCH(COLUMNS($AN$1006:AX1006),$AN$1006:$BO$1006,0)))),"Fix")))</f>
        <v>0</v>
      </c>
      <c r="M145" s="4">
        <f>IF(OR(INDEX($AH$2:$AH$1001,MATCH(ROWS($AG$2:AG145),$AG$2:$AG$1001,0),1)&gt;=100000,INDEX($AN$1005:$BO$1005,1,MATCH(COLUMNS($AN$1006:AY1006),$AN$1006:$BO$1006,0))&gt;=100000), " ",IF(INDEX($AN$2:$BO$1001,MATCH(ROWS($AG$2:AG145),$AG$2:$AG$1001,0),MATCH(COLUMNS($AN$1006:AY1006),$AN$1006:$BO$1006,0)), HYPERLINK("#",""), HYPERLINK(CONCATENATE("#Metadata!", ADDRESS(INDEX($AI$2:$AI$1001,MATCH(ROWS($AG$2:AG145),$AG$2:$AG$1001,0),0), INDEX($AN$1004:$BO$1004,1,MATCH(COLUMNS($AN$1006:AY1006),$AN$1006:$BO$1006,0)))),"Fix")))</f>
        <v>0</v>
      </c>
      <c r="N145" s="4">
        <f>IF(OR(INDEX($AH$2:$AH$1001,MATCH(ROWS($AG$2:AG145),$AG$2:$AG$1001,0),1)&gt;=100000,INDEX($AN$1005:$BO$1005,1,MATCH(COLUMNS($AN$1006:AZ1006),$AN$1006:$BO$1006,0))&gt;=100000), " ",IF(INDEX($AN$2:$BO$1001,MATCH(ROWS($AG$2:AG145),$AG$2:$AG$1001,0),MATCH(COLUMNS($AN$1006:AZ1006),$AN$1006:$BO$1006,0)), HYPERLINK("#",""), HYPERLINK(CONCATENATE("#Metadata!", ADDRESS(INDEX($AI$2:$AI$1001,MATCH(ROWS($AG$2:AG145),$AG$2:$AG$1001,0),0), INDEX($AN$1004:$BO$1004,1,MATCH(COLUMNS($AN$1006:AZ1006),$AN$1006:$BO$1006,0)))),"Fix")))</f>
        <v>0</v>
      </c>
      <c r="O145" s="4">
        <f>IF(OR(INDEX($AH$2:$AH$1001,MATCH(ROWS($AG$2:AG145),$AG$2:$AG$1001,0),1)&gt;=100000,INDEX($AN$1005:$BO$1005,1,MATCH(COLUMNS($AN$1006:BA1006),$AN$1006:$BO$1006,0))&gt;=100000), " ",IF(INDEX($AN$2:$BO$1001,MATCH(ROWS($AG$2:AG145),$AG$2:$AG$1001,0),MATCH(COLUMNS($AN$1006:BA1006),$AN$1006:$BO$1006,0)), HYPERLINK("#",""), HYPERLINK(CONCATENATE("#Metadata!", ADDRESS(INDEX($AI$2:$AI$1001,MATCH(ROWS($AG$2:AG145),$AG$2:$AG$1001,0),0), INDEX($AN$1004:$BO$1004,1,MATCH(COLUMNS($AN$1006:BA1006),$AN$1006:$BO$1006,0)))),"Fix")))</f>
        <v>0</v>
      </c>
      <c r="P145" s="4">
        <f>IF(OR(INDEX($AH$2:$AH$1001,MATCH(ROWS($AG$2:AG145),$AG$2:$AG$1001,0),1)&gt;=100000,INDEX($AN$1005:$BO$1005,1,MATCH(COLUMNS($AN$1006:BB1006),$AN$1006:$BO$1006,0))&gt;=100000), " ",IF(INDEX($AN$2:$BO$1001,MATCH(ROWS($AG$2:AG145),$AG$2:$AG$1001,0),MATCH(COLUMNS($AN$1006:BB1006),$AN$1006:$BO$1006,0)), HYPERLINK("#",""), HYPERLINK(CONCATENATE("#Metadata!", ADDRESS(INDEX($AI$2:$AI$1001,MATCH(ROWS($AG$2:AG145),$AG$2:$AG$1001,0),0), INDEX($AN$1004:$BO$1004,1,MATCH(COLUMNS($AN$1006:BB1006),$AN$1006:$BO$1006,0)))),"Fix")))</f>
        <v>0</v>
      </c>
      <c r="Q145" s="4">
        <f>IF(OR(INDEX($AH$2:$AH$1001,MATCH(ROWS($AG$2:AG145),$AG$2:$AG$1001,0),1)&gt;=100000,INDEX($AN$1005:$BO$1005,1,MATCH(COLUMNS($AN$1006:BC1006),$AN$1006:$BO$1006,0))&gt;=100000), " ",IF(INDEX($AN$2:$BO$1001,MATCH(ROWS($AG$2:AG145),$AG$2:$AG$1001,0),MATCH(COLUMNS($AN$1006:BC1006),$AN$1006:$BO$1006,0)), HYPERLINK("#",""), HYPERLINK(CONCATENATE("#Metadata!", ADDRESS(INDEX($AI$2:$AI$1001,MATCH(ROWS($AG$2:AG145),$AG$2:$AG$1001,0),0), INDEX($AN$1004:$BO$1004,1,MATCH(COLUMNS($AN$1006:BC1006),$AN$1006:$BO$1006,0)))),"Fix")))</f>
        <v>0</v>
      </c>
      <c r="R145" s="4">
        <f>IF(OR(INDEX($AH$2:$AH$1001,MATCH(ROWS($AG$2:AG145),$AG$2:$AG$1001,0),1)&gt;=100000,INDEX($AN$1005:$BO$1005,1,MATCH(COLUMNS($AN$1006:BD1006),$AN$1006:$BO$1006,0))&gt;=100000), " ",IF(INDEX($AN$2:$BO$1001,MATCH(ROWS($AG$2:AG145),$AG$2:$AG$1001,0),MATCH(COLUMNS($AN$1006:BD1006),$AN$1006:$BO$1006,0)), HYPERLINK("#",""), HYPERLINK(CONCATENATE("#Metadata!", ADDRESS(INDEX($AI$2:$AI$1001,MATCH(ROWS($AG$2:AG145),$AG$2:$AG$1001,0),0), INDEX($AN$1004:$BO$1004,1,MATCH(COLUMNS($AN$1006:BD1006),$AN$1006:$BO$1006,0)))),"Fix")))</f>
        <v>0</v>
      </c>
      <c r="S145" s="4">
        <f>IF(OR(INDEX($AH$2:$AH$1001,MATCH(ROWS($AG$2:AG145),$AG$2:$AG$1001,0),1)&gt;=100000,INDEX($AN$1005:$BO$1005,1,MATCH(COLUMNS($AN$1006:BE1006),$AN$1006:$BO$1006,0))&gt;=100000), " ",IF(INDEX($AN$2:$BO$1001,MATCH(ROWS($AG$2:AG145),$AG$2:$AG$1001,0),MATCH(COLUMNS($AN$1006:BE1006),$AN$1006:$BO$1006,0)), HYPERLINK("#",""), HYPERLINK(CONCATENATE("#Metadata!", ADDRESS(INDEX($AI$2:$AI$1001,MATCH(ROWS($AG$2:AG145),$AG$2:$AG$1001,0),0), INDEX($AN$1004:$BO$1004,1,MATCH(COLUMNS($AN$1006:BE1006),$AN$1006:$BO$1006,0)))),"Fix")))</f>
        <v>0</v>
      </c>
      <c r="T145" s="4">
        <f>IF(OR(INDEX($AH$2:$AH$1001,MATCH(ROWS($AG$2:AG145),$AG$2:$AG$1001,0),1)&gt;=100000,INDEX($AN$1005:$BO$1005,1,MATCH(COLUMNS($AN$1006:BF1006),$AN$1006:$BO$1006,0))&gt;=100000), " ",IF(INDEX($AN$2:$BO$1001,MATCH(ROWS($AG$2:AG145),$AG$2:$AG$1001,0),MATCH(COLUMNS($AN$1006:BF1006),$AN$1006:$BO$1006,0)), HYPERLINK("#",""), HYPERLINK(CONCATENATE("#Metadata!", ADDRESS(INDEX($AI$2:$AI$1001,MATCH(ROWS($AG$2:AG145),$AG$2:$AG$1001,0),0), INDEX($AN$1004:$BO$1004,1,MATCH(COLUMNS($AN$1006:BF1006),$AN$1006:$BO$1006,0)))),"Fix")))</f>
        <v>0</v>
      </c>
      <c r="U145" s="4">
        <f>IF(OR(INDEX($AH$2:$AH$1001,MATCH(ROWS($AG$2:AG145),$AG$2:$AG$1001,0),1)&gt;=100000,INDEX($AN$1005:$BO$1005,1,MATCH(COLUMNS($AN$1006:BG1006),$AN$1006:$BO$1006,0))&gt;=100000), " ",IF(INDEX($AN$2:$BO$1001,MATCH(ROWS($AG$2:AG145),$AG$2:$AG$1001,0),MATCH(COLUMNS($AN$1006:BG1006),$AN$1006:$BO$1006,0)), HYPERLINK("#",""), HYPERLINK(CONCATENATE("#Metadata!", ADDRESS(INDEX($AI$2:$AI$1001,MATCH(ROWS($AG$2:AG145),$AG$2:$AG$1001,0),0), INDEX($AN$1004:$BO$1004,1,MATCH(COLUMNS($AN$1006:BG1006),$AN$1006:$BO$1006,0)))),"Fix")))</f>
        <v>0</v>
      </c>
      <c r="V145" s="4">
        <f>IF(OR(INDEX($AH$2:$AH$1001,MATCH(ROWS($AG$2:AG145),$AG$2:$AG$1001,0),1)&gt;=100000,INDEX($AN$1005:$BO$1005,1,MATCH(COLUMNS($AN$1006:BH1006),$AN$1006:$BO$1006,0))&gt;=100000), " ",IF(INDEX($AN$2:$BO$1001,MATCH(ROWS($AG$2:AG145),$AG$2:$AG$1001,0),MATCH(COLUMNS($AN$1006:BH1006),$AN$1006:$BO$1006,0)), HYPERLINK("#",""), HYPERLINK(CONCATENATE("#Metadata!", ADDRESS(INDEX($AI$2:$AI$1001,MATCH(ROWS($AG$2:AG145),$AG$2:$AG$1001,0),0), INDEX($AN$1004:$BO$1004,1,MATCH(COLUMNS($AN$1006:BH1006),$AN$1006:$BO$1006,0)))),"Fix")))</f>
        <v>0</v>
      </c>
      <c r="W145" s="4">
        <f>IF(OR(INDEX($AH$2:$AH$1001,MATCH(ROWS($AG$2:AG145),$AG$2:$AG$1001,0),1)&gt;=100000,INDEX($AN$1005:$BO$1005,1,MATCH(COLUMNS($AN$1006:BI1006),$AN$1006:$BO$1006,0))&gt;=100000), " ",IF(INDEX($AN$2:$BO$1001,MATCH(ROWS($AG$2:AG145),$AG$2:$AG$1001,0),MATCH(COLUMNS($AN$1006:BI1006),$AN$1006:$BO$1006,0)), HYPERLINK("#",""), HYPERLINK(CONCATENATE("#Metadata!", ADDRESS(INDEX($AI$2:$AI$1001,MATCH(ROWS($AG$2:AG145),$AG$2:$AG$1001,0),0), INDEX($AN$1004:$BO$1004,1,MATCH(COLUMNS($AN$1006:BI1006),$AN$1006:$BO$1006,0)))),"Fix")))</f>
        <v>0</v>
      </c>
      <c r="X145" s="4">
        <f>IF(OR(INDEX($AH$2:$AH$1001,MATCH(ROWS($AG$2:AG145),$AG$2:$AG$1001,0),1)&gt;=100000,INDEX($AN$1005:$BO$1005,1,MATCH(COLUMNS($AN$1006:BJ1006),$AN$1006:$BO$1006,0))&gt;=100000), " ",IF(INDEX($AN$2:$BO$1001,MATCH(ROWS($AG$2:AG145),$AG$2:$AG$1001,0),MATCH(COLUMNS($AN$1006:BJ1006),$AN$1006:$BO$1006,0)), HYPERLINK("#",""), HYPERLINK(CONCATENATE("#Metadata!", ADDRESS(INDEX($AI$2:$AI$1001,MATCH(ROWS($AG$2:AG145),$AG$2:$AG$1001,0),0), INDEX($AN$1004:$BO$1004,1,MATCH(COLUMNS($AN$1006:BJ1006),$AN$1006:$BO$1006,0)))),"Fix")))</f>
        <v>0</v>
      </c>
      <c r="Y145" s="4">
        <f>IF(OR(INDEX($AH$2:$AH$1001,MATCH(ROWS($AG$2:AG145),$AG$2:$AG$1001,0),1)&gt;=100000,INDEX($AN$1005:$BO$1005,1,MATCH(COLUMNS($AN$1006:BK1006),$AN$1006:$BO$1006,0))&gt;=100000), " ",IF(INDEX($AN$2:$BO$1001,MATCH(ROWS($AG$2:AG145),$AG$2:$AG$1001,0),MATCH(COLUMNS($AN$1006:BK1006),$AN$1006:$BO$1006,0)), HYPERLINK("#",""), HYPERLINK(CONCATENATE("#Metadata!", ADDRESS(INDEX($AI$2:$AI$1001,MATCH(ROWS($AG$2:AG145),$AG$2:$AG$1001,0),0), INDEX($AN$1004:$BO$1004,1,MATCH(COLUMNS($AN$1006:BK1006),$AN$1006:$BO$1006,0)))),"Fix")))</f>
        <v>0</v>
      </c>
      <c r="Z145" s="4">
        <f>IF(OR(INDEX($AH$2:$AH$1001,MATCH(ROWS($AG$2:AG145),$AG$2:$AG$1001,0),1)&gt;=100000,INDEX($AN$1005:$BO$1005,1,MATCH(COLUMNS($AN$1006:BL1006),$AN$1006:$BO$1006,0))&gt;=100000), " ",IF(INDEX($AN$2:$BO$1001,MATCH(ROWS($AG$2:AG145),$AG$2:$AG$1001,0),MATCH(COLUMNS($AN$1006:BL1006),$AN$1006:$BO$1006,0)), HYPERLINK("#",""), HYPERLINK(CONCATENATE("#Metadata!", ADDRESS(INDEX($AI$2:$AI$1001,MATCH(ROWS($AG$2:AG145),$AG$2:$AG$1001,0),0), INDEX($AN$1004:$BO$1004,1,MATCH(COLUMNS($AN$1006:BL1006),$AN$1006:$BO$1006,0)))),"Fix")))</f>
        <v>0</v>
      </c>
      <c r="AA145" s="4">
        <f>IF(OR(INDEX($AH$2:$AH$1001,MATCH(ROWS($AG$2:AG145),$AG$2:$AG$1001,0),1)&gt;=100000,INDEX($AN$1005:$BO$1005,1,MATCH(COLUMNS($AN$1006:BM1006),$AN$1006:$BO$1006,0))&gt;=100000), " ",IF(INDEX($AN$2:$BO$1001,MATCH(ROWS($AG$2:AG145),$AG$2:$AG$1001,0),MATCH(COLUMNS($AN$1006:BM1006),$AN$1006:$BO$1006,0)), HYPERLINK("#",""), HYPERLINK(CONCATENATE("#Metadata!", ADDRESS(INDEX($AI$2:$AI$1001,MATCH(ROWS($AG$2:AG145),$AG$2:$AG$1001,0),0), INDEX($AN$1004:$BO$1004,1,MATCH(COLUMNS($AN$1006:BM1006),$AN$1006:$BO$1006,0)))),"Fix")))</f>
        <v>0</v>
      </c>
      <c r="AB145" s="4">
        <f>IF(OR(INDEX($AH$2:$AH$1001,MATCH(ROWS($AG$2:AG145),$AG$2:$AG$1001,0),1)&gt;=100000,INDEX($AN$1005:$BO$1005,1,MATCH(COLUMNS($AN$1006:BN1006),$AN$1006:$BO$1006,0))&gt;=100000), " ",IF(INDEX($AN$2:$BO$1001,MATCH(ROWS($AG$2:AG145),$AG$2:$AG$1001,0),MATCH(COLUMNS($AN$1006:BN1006),$AN$1006:$BO$1006,0)), HYPERLINK("#",""), HYPERLINK(CONCATENATE("#Metadata!", ADDRESS(INDEX($AI$2:$AI$1001,MATCH(ROWS($AG$2:AG145),$AG$2:$AG$1001,0),0), INDEX($AN$1004:$BO$1004,1,MATCH(COLUMNS($AN$1006:BN1006),$AN$1006:$BO$1006,0)))),"Fix")))</f>
        <v>0</v>
      </c>
      <c r="AC145" s="4">
        <f>IF(OR(INDEX($AH$2:$AH$1001,MATCH(ROWS($AG$2:AG145),$AG$2:$AG$1001,0),1)&gt;=100000,INDEX($AN$1005:$BO$1005,1,MATCH(COLUMNS($AN$1006:BO1006),$AN$1006:$BO$1006,0))&gt;=100000), " ",IF(INDEX($AN$2:$BO$1001,MATCH(ROWS($AG$2:AG145),$AG$2:$AG$1001,0),MATCH(COLUMNS($AN$1006:BO1006),$AN$1006:$BO$1006,0)), HYPERLINK("#",""), HYPERLINK(CONCATENATE("#Metadata!", ADDRESS(INDEX($AI$2:$AI$1001,MATCH(ROWS($AG$2:AG145),$AG$2:$AG$1001,0),0), INDEX($AN$1004:$BO$1004,1,MATCH(COLUMNS($AN$1006:BO1006),$AN$1006:$BO$1006,0)))),"Fix")))</f>
        <v>0</v>
      </c>
      <c r="AG145">
        <v>0</v>
      </c>
      <c r="AH145">
        <v>0</v>
      </c>
      <c r="AI145">
        <v>0</v>
      </c>
      <c r="AJ145">
        <f>IF(AK145,TRUE,AND(AN145:BO145))</f>
        <v>0</v>
      </c>
      <c r="AK145">
        <f>COUNTBLANK(Metadata!B145:AC145)=COLUMNS(Metadata!B145:AC145)</f>
        <v>0</v>
      </c>
      <c r="AL145">
        <v>0</v>
      </c>
      <c r="AN145">
        <f>AND(IF(Metadata!B145="",FALSE,TRUE),COUNTIF(Metadata!B:B, Metadata!B145) = 1,NOT(ISERROR(SUMPRODUCT(SEARCH(MID(Metadata!B145,ROW(INDIRECT("1:"&amp;LEN(Metadata!B145))), 1),"0123456789abcdefghijklmnopqrstuvwxyzABCDEFGHIJKLMNOPQRSTUVWXYZ.")))))</f>
        <v>0</v>
      </c>
      <c r="AO145">
        <f>IF(Metadata!C145="",FALSE,TRUE)</f>
        <v>0</v>
      </c>
      <c r="AP145">
        <f>IF(Metadata!D145="",FALSE,TRUE)</f>
        <v>0</v>
      </c>
      <c r="AQ145">
        <f>OR(AND(IF(Metadata!E145="",FALSE,TRUE),OR(exact(Metadata!E145,"not collected"),exact(Metadata!E145,"not provided"),exact(Metadata!E145,"restricted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R145">
        <f>IF(Metadata!F145="",FALSE,TRUE)</f>
        <v>0</v>
      </c>
      <c r="AS145">
        <f>OR(AND(IF(Metadata!G145="",FALSE,TRUE),OR(exact(Metadata!G145,"not collected"),exact(Metadata!G145,"not provided"))),AND(IF(Metadata!G145="",FALSE,TRUE),OR(exact(Metadata!G145,"TRUE"),exact(Metadata!G145,"FALSE"))))</f>
        <v>0</v>
      </c>
      <c r="AT145">
        <f>OR(AND(IF(Metadata!H145="",FALSE,TRUE),OR(exact(Metadata!H145,"not collected"),exact(Metadata!H145,"not provided"),exact(Metadata!H145,"restricted access"))),AND(IF(Metadata!H145="",FALSE,ISNUMBER(VALUE(Metadata!H145))),Metadata!H145&gt;=-413.0))</f>
        <v>0</v>
      </c>
      <c r="AU145">
        <f>AND(IF(Metadata!I145="",FALSE,TRUE),exact(Metadata!I145,"meters"))</f>
        <v>0</v>
      </c>
      <c r="AV145">
        <f>AND(IF(Metadata!J145="",FALSE,TRUE),OR(exact(Metadata!J145,"Host-associated"),exact(Metadata!J145,"Free-living")))</f>
        <v>0</v>
      </c>
      <c r="AW145">
        <f>AND(IF(Metadata!K145="",FALSE,TRUE),OR(exact(Metadata!K145,"Animal"),exact(Metadata!K145,"Fungus"),exact(Metadata!K145,"Plant"),exact(Metadata!K145,"Saline"),exact(Metadata!K145,"Non-saline")))</f>
        <v>0</v>
      </c>
      <c r="AX145">
        <f>AND(IF(Metadata!L145="",FALSE,TRUE),OR(exact(Metadata!L145,"Plant secretion"),exact(Metadata!L145,"Plant rhizosphere"),exact(Metadata!L145,"Plant surface"),exact(Metadata!L145,"Plant corpus"),exact(Metadata!L145,"Fungus surface"),exact(Metadata!L145,"Fungus corpus"),exact(Metadata!L145,"Animal surface"),exact(Metadata!L145,"Animal proximal gut"),exact(Metadata!L145,"Animal corpus"),exact(Metadata!L145,"Animal distal gut"),exact(Metadata!L145,"Animal secretion"),exact(Metadata!L145,"Sub-surface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Y145">
        <f>IF(Metadata!M145="",FALSE,TRUE)</f>
        <v>0</v>
      </c>
      <c r="AZ145">
        <f>IF(Metadata!N145="",FALSE,TRUE)</f>
        <v>0</v>
      </c>
      <c r="BA145">
        <f>IF(Metadata!O145="",FALSE,TRUE)</f>
        <v>0</v>
      </c>
      <c r="BB145">
        <f>OR(AND(IF(Metadata!P145="",FALSE,TRUE),OR(exact(Metadata!P145,"not collected"),exact(Metadata!P145,"not provided"),exact(Metadata!P145,"restricted access"))),AND(IF(Metadata!P145="",FALSE,TRUE),OR(exact(Metadata!P145,"air"),exact(Metadata!P145,"built environment"),exact(Metadata!P145,"host-associated"),exact(Metadata!P145,"human-associated"),exact(Metadata!P145,"human-skin"),exact(Metadata!P145,"human-oral"),exact(Metadata!P145,"human-gut"),exact(Metadata!P145,"human-vaginal"),exact(Metadata!P145,"microbial mat/biofilm"),exact(Metadata!P145,"misc environment"),exact(Metadata!P145,"plant-associated"),exact(Metadata!P145,"sediment"),exact(Metadata!P145,"soil"),exact(Metadata!P145,"wastewater/sludge"),exact(Metadata!P145,"water"))))</f>
        <v>0</v>
      </c>
      <c r="BC145">
        <f>IF(Metadata!Q145="",FALSE,TRUE)</f>
        <v>0</v>
      </c>
      <c r="BD145">
        <f>IF(Metadata!R145="",FALSE,TRUE)</f>
        <v>0</v>
      </c>
      <c r="BE145">
        <f>OR(AND(IF(Metadata!S145="",FALSE,TRUE),OR(exact(Metadata!S145,"not collected"),exact(Metadata!S145,"not provided"),exact(Metadata!S145,"restricted access"))),AND(IF(Metadata!S145="",FALSE,ISNUMBER(VALUE(Metadata!S145))),Metadata!S145&gt;=-90.00,Metadata!S145&lt;=90.00))</f>
        <v>0</v>
      </c>
      <c r="BF145">
        <f>AND(IF(Metadata!T145="",FALSE,TRUE),exact(Metadata!T145,"Decimal degrees"))</f>
        <v>0</v>
      </c>
      <c r="BG145">
        <f>OR(AND(IF(Metadata!U145="",FALSE,TRUE),OR(exact(Metadata!U145,"not collected"),exact(Metadata!U145,"not provided"),exact(Metadata!U145,"restricted access"))),AND(IF(Metadata!U145="",FALSE,ISNUMBER(VALUE(Metadata!U145))),Metadata!U145&gt;=-180.00,Metadata!U145&lt;=180.00))</f>
        <v>0</v>
      </c>
      <c r="BH145">
        <f>AND(IF(Metadata!V145="",FALSE,TRUE),exact(Metadata!V145,"Decimal degrees"))</f>
        <v>0</v>
      </c>
      <c r="BI145">
        <f>IF(Metadata!W145="",FALSE,TRUE)</f>
        <v>0</v>
      </c>
      <c r="BJ145">
        <f>OR(AND(IF(Metadata!X145="",FALSE,TRUE),OR(exact(Metadata!X145,"not collected"),exact(Metadata!X145,"not provided"),exact(Metadata!X145,"restricted access"))),AND(IF(Metadata!X145="",FALSE,TRUE),OR(exact(Metadata!X145,"TRUE"),exact(Metadata!X145,"FALSE"))))</f>
        <v>0</v>
      </c>
      <c r="BK145">
        <f>AND(IF(Metadata!Y145="",FALSE,TRUE),exact(Metadata!Y145,"other"))</f>
        <v>0</v>
      </c>
      <c r="BL145">
        <f>IF(Metadata!Z145="",FALSE,TRUE)</f>
        <v>0</v>
      </c>
      <c r="BM145">
        <f>OR(AND(IF(Metadata!AA145="",FALSE,TRUE),OR(exact(Metadata!AA145,"not collected"),exact(Metadata!AA145,"not provided"))),AND(IF(Metadata!AA145="",FALSE,IF(ISERROR(INT(Metadata!AA145)),FALSE,INT(Metadata!AA145)=Metadata!AA145)),Metadata!AA145&gt;0))</f>
        <v>0</v>
      </c>
      <c r="BN145">
        <f>AND(IF(Metadata!AB145="",FALSE,TRUE),exact(Metadata!AB145,"Not applicable"))</f>
        <v>0</v>
      </c>
      <c r="BO145">
        <f>IF(Metadata!AC145="",FALSE,TRUE)</f>
        <v>0</v>
      </c>
    </row>
    <row r="146" spans="1:67">
      <c r="A146" s="5">
        <f>IF(B146=" "," ",HYPERLINK(CONCATENATE("#metadata!",ADDRESS(INDEX($AI$2:$AI$1001,MATCH(ROWS($AG$2:AG146),$AG$2:$AG$1001,0),0),1)),INDEX($AL$2:$AL$1001,MATCH(ROWS($AG$2:AG146),$AG$2:$AG$1001,0),0)))</f>
        <v>0</v>
      </c>
      <c r="B146" s="4">
        <f>IF(OR(INDEX($AH$2:$AH$1001,MATCH(ROWS($AG$2:AG146),$AG$2:$AG$1001,0),1)&gt;=100000,INDEX($AN$1005:$BO$1005,1,MATCH(COLUMNS($AN$1006:AN1006),$AN$1006:$BO$1006,0))&gt;=100000), " ",IF(INDEX($AN$2:$BO$1001,MATCH(ROWS($AG$2:AG146),$AG$2:$AG$1001,0),MATCH(COLUMNS($AN$1006:AN1006),$AN$1006:$BO$1006,0)), HYPERLINK("#",""), HYPERLINK(CONCATENATE("#Metadata!", ADDRESS(INDEX($AI$2:$AI$1001,MATCH(ROWS($AG$2:AG146),$AG$2:$AG$1001,0),0), INDEX($AN$1004:$BO$1004,1,MATCH(COLUMNS($AN$1006:AN1006),$AN$1006:$BO$1006,0)))),"Fix")))</f>
        <v>0</v>
      </c>
      <c r="C146" s="4">
        <f>IF(OR(INDEX($AH$2:$AH$1001,MATCH(ROWS($AG$2:AG146),$AG$2:$AG$1001,0),1)&gt;=100000,INDEX($AN$1005:$BO$1005,1,MATCH(COLUMNS($AN$1006:AO1006),$AN$1006:$BO$1006,0))&gt;=100000), " ",IF(INDEX($AN$2:$BO$1001,MATCH(ROWS($AG$2:AG146),$AG$2:$AG$1001,0),MATCH(COLUMNS($AN$1006:AO1006),$AN$1006:$BO$1006,0)), HYPERLINK("#",""), HYPERLINK(CONCATENATE("#Metadata!", ADDRESS(INDEX($AI$2:$AI$1001,MATCH(ROWS($AG$2:AG146),$AG$2:$AG$1001,0),0), INDEX($AN$1004:$BO$1004,1,MATCH(COLUMNS($AN$1006:AO1006),$AN$1006:$BO$1006,0)))),"Fix")))</f>
        <v>0</v>
      </c>
      <c r="D146" s="4">
        <f>IF(OR(INDEX($AH$2:$AH$1001,MATCH(ROWS($AG$2:AG146),$AG$2:$AG$1001,0),1)&gt;=100000,INDEX($AN$1005:$BO$1005,1,MATCH(COLUMNS($AN$1006:AP1006),$AN$1006:$BO$1006,0))&gt;=100000), " ",IF(INDEX($AN$2:$BO$1001,MATCH(ROWS($AG$2:AG146),$AG$2:$AG$1001,0),MATCH(COLUMNS($AN$1006:AP1006),$AN$1006:$BO$1006,0)), HYPERLINK("#",""), HYPERLINK(CONCATENATE("#Metadata!", ADDRESS(INDEX($AI$2:$AI$1001,MATCH(ROWS($AG$2:AG146),$AG$2:$AG$1001,0),0), INDEX($AN$1004:$BO$1004,1,MATCH(COLUMNS($AN$1006:AP1006),$AN$1006:$BO$1006,0)))),"Fix")))</f>
        <v>0</v>
      </c>
      <c r="E146" s="4">
        <f>IF(OR(INDEX($AH$2:$AH$1001,MATCH(ROWS($AG$2:AG146),$AG$2:$AG$1001,0),1)&gt;=100000,INDEX($AN$1005:$BO$1005,1,MATCH(COLUMNS($AN$1006:AQ1006),$AN$1006:$BO$1006,0))&gt;=100000), " ",IF(INDEX($AN$2:$BO$1001,MATCH(ROWS($AG$2:AG146),$AG$2:$AG$1001,0),MATCH(COLUMNS($AN$1006:AQ1006),$AN$1006:$BO$1006,0)), HYPERLINK("#",""), HYPERLINK(CONCATENATE("#Metadata!", ADDRESS(INDEX($AI$2:$AI$1001,MATCH(ROWS($AG$2:AG146),$AG$2:$AG$1001,0),0), INDEX($AN$1004:$BO$1004,1,MATCH(COLUMNS($AN$1006:AQ1006),$AN$1006:$BO$1006,0)))),"Fix")))</f>
        <v>0</v>
      </c>
      <c r="F146" s="4">
        <f>IF(OR(INDEX($AH$2:$AH$1001,MATCH(ROWS($AG$2:AG146),$AG$2:$AG$1001,0),1)&gt;=100000,INDEX($AN$1005:$BO$1005,1,MATCH(COLUMNS($AN$1006:AR1006),$AN$1006:$BO$1006,0))&gt;=100000), " ",IF(INDEX($AN$2:$BO$1001,MATCH(ROWS($AG$2:AG146),$AG$2:$AG$1001,0),MATCH(COLUMNS($AN$1006:AR1006),$AN$1006:$BO$1006,0)), HYPERLINK("#",""), HYPERLINK(CONCATENATE("#Metadata!", ADDRESS(INDEX($AI$2:$AI$1001,MATCH(ROWS($AG$2:AG146),$AG$2:$AG$1001,0),0), INDEX($AN$1004:$BO$1004,1,MATCH(COLUMNS($AN$1006:AR1006),$AN$1006:$BO$1006,0)))),"Fix")))</f>
        <v>0</v>
      </c>
      <c r="G146" s="4">
        <f>IF(OR(INDEX($AH$2:$AH$1001,MATCH(ROWS($AG$2:AG146),$AG$2:$AG$1001,0),1)&gt;=100000,INDEX($AN$1005:$BO$1005,1,MATCH(COLUMNS($AN$1006:AS1006),$AN$1006:$BO$1006,0))&gt;=100000), " ",IF(INDEX($AN$2:$BO$1001,MATCH(ROWS($AG$2:AG146),$AG$2:$AG$1001,0),MATCH(COLUMNS($AN$1006:AS1006),$AN$1006:$BO$1006,0)), HYPERLINK("#",""), HYPERLINK(CONCATENATE("#Metadata!", ADDRESS(INDEX($AI$2:$AI$1001,MATCH(ROWS($AG$2:AG146),$AG$2:$AG$1001,0),0), INDEX($AN$1004:$BO$1004,1,MATCH(COLUMNS($AN$1006:AS1006),$AN$1006:$BO$1006,0)))),"Fix")))</f>
        <v>0</v>
      </c>
      <c r="H146" s="4">
        <f>IF(OR(INDEX($AH$2:$AH$1001,MATCH(ROWS($AG$2:AG146),$AG$2:$AG$1001,0),1)&gt;=100000,INDEX($AN$1005:$BO$1005,1,MATCH(COLUMNS($AN$1006:AT1006),$AN$1006:$BO$1006,0))&gt;=100000), " ",IF(INDEX($AN$2:$BO$1001,MATCH(ROWS($AG$2:AG146),$AG$2:$AG$1001,0),MATCH(COLUMNS($AN$1006:AT1006),$AN$1006:$BO$1006,0)), HYPERLINK("#",""), HYPERLINK(CONCATENATE("#Metadata!", ADDRESS(INDEX($AI$2:$AI$1001,MATCH(ROWS($AG$2:AG146),$AG$2:$AG$1001,0),0), INDEX($AN$1004:$BO$1004,1,MATCH(COLUMNS($AN$1006:AT1006),$AN$1006:$BO$1006,0)))),"Fix")))</f>
        <v>0</v>
      </c>
      <c r="I146" s="4">
        <f>IF(OR(INDEX($AH$2:$AH$1001,MATCH(ROWS($AG$2:AG146),$AG$2:$AG$1001,0),1)&gt;=100000,INDEX($AN$1005:$BO$1005,1,MATCH(COLUMNS($AN$1006:AU1006),$AN$1006:$BO$1006,0))&gt;=100000), " ",IF(INDEX($AN$2:$BO$1001,MATCH(ROWS($AG$2:AG146),$AG$2:$AG$1001,0),MATCH(COLUMNS($AN$1006:AU1006),$AN$1006:$BO$1006,0)), HYPERLINK("#",""), HYPERLINK(CONCATENATE("#Metadata!", ADDRESS(INDEX($AI$2:$AI$1001,MATCH(ROWS($AG$2:AG146),$AG$2:$AG$1001,0),0), INDEX($AN$1004:$BO$1004,1,MATCH(COLUMNS($AN$1006:AU1006),$AN$1006:$BO$1006,0)))),"Fix")))</f>
        <v>0</v>
      </c>
      <c r="J146" s="4">
        <f>IF(OR(INDEX($AH$2:$AH$1001,MATCH(ROWS($AG$2:AG146),$AG$2:$AG$1001,0),1)&gt;=100000,INDEX($AN$1005:$BO$1005,1,MATCH(COLUMNS($AN$1006:AV1006),$AN$1006:$BO$1006,0))&gt;=100000), " ",IF(INDEX($AN$2:$BO$1001,MATCH(ROWS($AG$2:AG146),$AG$2:$AG$1001,0),MATCH(COLUMNS($AN$1006:AV1006),$AN$1006:$BO$1006,0)), HYPERLINK("#",""), HYPERLINK(CONCATENATE("#Metadata!", ADDRESS(INDEX($AI$2:$AI$1001,MATCH(ROWS($AG$2:AG146),$AG$2:$AG$1001,0),0), INDEX($AN$1004:$BO$1004,1,MATCH(COLUMNS($AN$1006:AV1006),$AN$1006:$BO$1006,0)))),"Fix")))</f>
        <v>0</v>
      </c>
      <c r="K146" s="4">
        <f>IF(OR(INDEX($AH$2:$AH$1001,MATCH(ROWS($AG$2:AG146),$AG$2:$AG$1001,0),1)&gt;=100000,INDEX($AN$1005:$BO$1005,1,MATCH(COLUMNS($AN$1006:AW1006),$AN$1006:$BO$1006,0))&gt;=100000), " ",IF(INDEX($AN$2:$BO$1001,MATCH(ROWS($AG$2:AG146),$AG$2:$AG$1001,0),MATCH(COLUMNS($AN$1006:AW1006),$AN$1006:$BO$1006,0)), HYPERLINK("#",""), HYPERLINK(CONCATENATE("#Metadata!", ADDRESS(INDEX($AI$2:$AI$1001,MATCH(ROWS($AG$2:AG146),$AG$2:$AG$1001,0),0), INDEX($AN$1004:$BO$1004,1,MATCH(COLUMNS($AN$1006:AW1006),$AN$1006:$BO$1006,0)))),"Fix")))</f>
        <v>0</v>
      </c>
      <c r="L146" s="4">
        <f>IF(OR(INDEX($AH$2:$AH$1001,MATCH(ROWS($AG$2:AG146),$AG$2:$AG$1001,0),1)&gt;=100000,INDEX($AN$1005:$BO$1005,1,MATCH(COLUMNS($AN$1006:AX1006),$AN$1006:$BO$1006,0))&gt;=100000), " ",IF(INDEX($AN$2:$BO$1001,MATCH(ROWS($AG$2:AG146),$AG$2:$AG$1001,0),MATCH(COLUMNS($AN$1006:AX1006),$AN$1006:$BO$1006,0)), HYPERLINK("#",""), HYPERLINK(CONCATENATE("#Metadata!", ADDRESS(INDEX($AI$2:$AI$1001,MATCH(ROWS($AG$2:AG146),$AG$2:$AG$1001,0),0), INDEX($AN$1004:$BO$1004,1,MATCH(COLUMNS($AN$1006:AX1006),$AN$1006:$BO$1006,0)))),"Fix")))</f>
        <v>0</v>
      </c>
      <c r="M146" s="4">
        <f>IF(OR(INDEX($AH$2:$AH$1001,MATCH(ROWS($AG$2:AG146),$AG$2:$AG$1001,0),1)&gt;=100000,INDEX($AN$1005:$BO$1005,1,MATCH(COLUMNS($AN$1006:AY1006),$AN$1006:$BO$1006,0))&gt;=100000), " ",IF(INDEX($AN$2:$BO$1001,MATCH(ROWS($AG$2:AG146),$AG$2:$AG$1001,0),MATCH(COLUMNS($AN$1006:AY1006),$AN$1006:$BO$1006,0)), HYPERLINK("#",""), HYPERLINK(CONCATENATE("#Metadata!", ADDRESS(INDEX($AI$2:$AI$1001,MATCH(ROWS($AG$2:AG146),$AG$2:$AG$1001,0),0), INDEX($AN$1004:$BO$1004,1,MATCH(COLUMNS($AN$1006:AY1006),$AN$1006:$BO$1006,0)))),"Fix")))</f>
        <v>0</v>
      </c>
      <c r="N146" s="4">
        <f>IF(OR(INDEX($AH$2:$AH$1001,MATCH(ROWS($AG$2:AG146),$AG$2:$AG$1001,0),1)&gt;=100000,INDEX($AN$1005:$BO$1005,1,MATCH(COLUMNS($AN$1006:AZ1006),$AN$1006:$BO$1006,0))&gt;=100000), " ",IF(INDEX($AN$2:$BO$1001,MATCH(ROWS($AG$2:AG146),$AG$2:$AG$1001,0),MATCH(COLUMNS($AN$1006:AZ1006),$AN$1006:$BO$1006,0)), HYPERLINK("#",""), HYPERLINK(CONCATENATE("#Metadata!", ADDRESS(INDEX($AI$2:$AI$1001,MATCH(ROWS($AG$2:AG146),$AG$2:$AG$1001,0),0), INDEX($AN$1004:$BO$1004,1,MATCH(COLUMNS($AN$1006:AZ1006),$AN$1006:$BO$1006,0)))),"Fix")))</f>
        <v>0</v>
      </c>
      <c r="O146" s="4">
        <f>IF(OR(INDEX($AH$2:$AH$1001,MATCH(ROWS($AG$2:AG146),$AG$2:$AG$1001,0),1)&gt;=100000,INDEX($AN$1005:$BO$1005,1,MATCH(COLUMNS($AN$1006:BA1006),$AN$1006:$BO$1006,0))&gt;=100000), " ",IF(INDEX($AN$2:$BO$1001,MATCH(ROWS($AG$2:AG146),$AG$2:$AG$1001,0),MATCH(COLUMNS($AN$1006:BA1006),$AN$1006:$BO$1006,0)), HYPERLINK("#",""), HYPERLINK(CONCATENATE("#Metadata!", ADDRESS(INDEX($AI$2:$AI$1001,MATCH(ROWS($AG$2:AG146),$AG$2:$AG$1001,0),0), INDEX($AN$1004:$BO$1004,1,MATCH(COLUMNS($AN$1006:BA1006),$AN$1006:$BO$1006,0)))),"Fix")))</f>
        <v>0</v>
      </c>
      <c r="P146" s="4">
        <f>IF(OR(INDEX($AH$2:$AH$1001,MATCH(ROWS($AG$2:AG146),$AG$2:$AG$1001,0),1)&gt;=100000,INDEX($AN$1005:$BO$1005,1,MATCH(COLUMNS($AN$1006:BB1006),$AN$1006:$BO$1006,0))&gt;=100000), " ",IF(INDEX($AN$2:$BO$1001,MATCH(ROWS($AG$2:AG146),$AG$2:$AG$1001,0),MATCH(COLUMNS($AN$1006:BB1006),$AN$1006:$BO$1006,0)), HYPERLINK("#",""), HYPERLINK(CONCATENATE("#Metadata!", ADDRESS(INDEX($AI$2:$AI$1001,MATCH(ROWS($AG$2:AG146),$AG$2:$AG$1001,0),0), INDEX($AN$1004:$BO$1004,1,MATCH(COLUMNS($AN$1006:BB1006),$AN$1006:$BO$1006,0)))),"Fix")))</f>
        <v>0</v>
      </c>
      <c r="Q146" s="4">
        <f>IF(OR(INDEX($AH$2:$AH$1001,MATCH(ROWS($AG$2:AG146),$AG$2:$AG$1001,0),1)&gt;=100000,INDEX($AN$1005:$BO$1005,1,MATCH(COLUMNS($AN$1006:BC1006),$AN$1006:$BO$1006,0))&gt;=100000), " ",IF(INDEX($AN$2:$BO$1001,MATCH(ROWS($AG$2:AG146),$AG$2:$AG$1001,0),MATCH(COLUMNS($AN$1006:BC1006),$AN$1006:$BO$1006,0)), HYPERLINK("#",""), HYPERLINK(CONCATENATE("#Metadata!", ADDRESS(INDEX($AI$2:$AI$1001,MATCH(ROWS($AG$2:AG146),$AG$2:$AG$1001,0),0), INDEX($AN$1004:$BO$1004,1,MATCH(COLUMNS($AN$1006:BC1006),$AN$1006:$BO$1006,0)))),"Fix")))</f>
        <v>0</v>
      </c>
      <c r="R146" s="4">
        <f>IF(OR(INDEX($AH$2:$AH$1001,MATCH(ROWS($AG$2:AG146),$AG$2:$AG$1001,0),1)&gt;=100000,INDEX($AN$1005:$BO$1005,1,MATCH(COLUMNS($AN$1006:BD1006),$AN$1006:$BO$1006,0))&gt;=100000), " ",IF(INDEX($AN$2:$BO$1001,MATCH(ROWS($AG$2:AG146),$AG$2:$AG$1001,0),MATCH(COLUMNS($AN$1006:BD1006),$AN$1006:$BO$1006,0)), HYPERLINK("#",""), HYPERLINK(CONCATENATE("#Metadata!", ADDRESS(INDEX($AI$2:$AI$1001,MATCH(ROWS($AG$2:AG146),$AG$2:$AG$1001,0),0), INDEX($AN$1004:$BO$1004,1,MATCH(COLUMNS($AN$1006:BD1006),$AN$1006:$BO$1006,0)))),"Fix")))</f>
        <v>0</v>
      </c>
      <c r="S146" s="4">
        <f>IF(OR(INDEX($AH$2:$AH$1001,MATCH(ROWS($AG$2:AG146),$AG$2:$AG$1001,0),1)&gt;=100000,INDEX($AN$1005:$BO$1005,1,MATCH(COLUMNS($AN$1006:BE1006),$AN$1006:$BO$1006,0))&gt;=100000), " ",IF(INDEX($AN$2:$BO$1001,MATCH(ROWS($AG$2:AG146),$AG$2:$AG$1001,0),MATCH(COLUMNS($AN$1006:BE1006),$AN$1006:$BO$1006,0)), HYPERLINK("#",""), HYPERLINK(CONCATENATE("#Metadata!", ADDRESS(INDEX($AI$2:$AI$1001,MATCH(ROWS($AG$2:AG146),$AG$2:$AG$1001,0),0), INDEX($AN$1004:$BO$1004,1,MATCH(COLUMNS($AN$1006:BE1006),$AN$1006:$BO$1006,0)))),"Fix")))</f>
        <v>0</v>
      </c>
      <c r="T146" s="4">
        <f>IF(OR(INDEX($AH$2:$AH$1001,MATCH(ROWS($AG$2:AG146),$AG$2:$AG$1001,0),1)&gt;=100000,INDEX($AN$1005:$BO$1005,1,MATCH(COLUMNS($AN$1006:BF1006),$AN$1006:$BO$1006,0))&gt;=100000), " ",IF(INDEX($AN$2:$BO$1001,MATCH(ROWS($AG$2:AG146),$AG$2:$AG$1001,0),MATCH(COLUMNS($AN$1006:BF1006),$AN$1006:$BO$1006,0)), HYPERLINK("#",""), HYPERLINK(CONCATENATE("#Metadata!", ADDRESS(INDEX($AI$2:$AI$1001,MATCH(ROWS($AG$2:AG146),$AG$2:$AG$1001,0),0), INDEX($AN$1004:$BO$1004,1,MATCH(COLUMNS($AN$1006:BF1006),$AN$1006:$BO$1006,0)))),"Fix")))</f>
        <v>0</v>
      </c>
      <c r="U146" s="4">
        <f>IF(OR(INDEX($AH$2:$AH$1001,MATCH(ROWS($AG$2:AG146),$AG$2:$AG$1001,0),1)&gt;=100000,INDEX($AN$1005:$BO$1005,1,MATCH(COLUMNS($AN$1006:BG1006),$AN$1006:$BO$1006,0))&gt;=100000), " ",IF(INDEX($AN$2:$BO$1001,MATCH(ROWS($AG$2:AG146),$AG$2:$AG$1001,0),MATCH(COLUMNS($AN$1006:BG1006),$AN$1006:$BO$1006,0)), HYPERLINK("#",""), HYPERLINK(CONCATENATE("#Metadata!", ADDRESS(INDEX($AI$2:$AI$1001,MATCH(ROWS($AG$2:AG146),$AG$2:$AG$1001,0),0), INDEX($AN$1004:$BO$1004,1,MATCH(COLUMNS($AN$1006:BG1006),$AN$1006:$BO$1006,0)))),"Fix")))</f>
        <v>0</v>
      </c>
      <c r="V146" s="4">
        <f>IF(OR(INDEX($AH$2:$AH$1001,MATCH(ROWS($AG$2:AG146),$AG$2:$AG$1001,0),1)&gt;=100000,INDEX($AN$1005:$BO$1005,1,MATCH(COLUMNS($AN$1006:BH1006),$AN$1006:$BO$1006,0))&gt;=100000), " ",IF(INDEX($AN$2:$BO$1001,MATCH(ROWS($AG$2:AG146),$AG$2:$AG$1001,0),MATCH(COLUMNS($AN$1006:BH1006),$AN$1006:$BO$1006,0)), HYPERLINK("#",""), HYPERLINK(CONCATENATE("#Metadata!", ADDRESS(INDEX($AI$2:$AI$1001,MATCH(ROWS($AG$2:AG146),$AG$2:$AG$1001,0),0), INDEX($AN$1004:$BO$1004,1,MATCH(COLUMNS($AN$1006:BH1006),$AN$1006:$BO$1006,0)))),"Fix")))</f>
        <v>0</v>
      </c>
      <c r="W146" s="4">
        <f>IF(OR(INDEX($AH$2:$AH$1001,MATCH(ROWS($AG$2:AG146),$AG$2:$AG$1001,0),1)&gt;=100000,INDEX($AN$1005:$BO$1005,1,MATCH(COLUMNS($AN$1006:BI1006),$AN$1006:$BO$1006,0))&gt;=100000), " ",IF(INDEX($AN$2:$BO$1001,MATCH(ROWS($AG$2:AG146),$AG$2:$AG$1001,0),MATCH(COLUMNS($AN$1006:BI1006),$AN$1006:$BO$1006,0)), HYPERLINK("#",""), HYPERLINK(CONCATENATE("#Metadata!", ADDRESS(INDEX($AI$2:$AI$1001,MATCH(ROWS($AG$2:AG146),$AG$2:$AG$1001,0),0), INDEX($AN$1004:$BO$1004,1,MATCH(COLUMNS($AN$1006:BI1006),$AN$1006:$BO$1006,0)))),"Fix")))</f>
        <v>0</v>
      </c>
      <c r="X146" s="4">
        <f>IF(OR(INDEX($AH$2:$AH$1001,MATCH(ROWS($AG$2:AG146),$AG$2:$AG$1001,0),1)&gt;=100000,INDEX($AN$1005:$BO$1005,1,MATCH(COLUMNS($AN$1006:BJ1006),$AN$1006:$BO$1006,0))&gt;=100000), " ",IF(INDEX($AN$2:$BO$1001,MATCH(ROWS($AG$2:AG146),$AG$2:$AG$1001,0),MATCH(COLUMNS($AN$1006:BJ1006),$AN$1006:$BO$1006,0)), HYPERLINK("#",""), HYPERLINK(CONCATENATE("#Metadata!", ADDRESS(INDEX($AI$2:$AI$1001,MATCH(ROWS($AG$2:AG146),$AG$2:$AG$1001,0),0), INDEX($AN$1004:$BO$1004,1,MATCH(COLUMNS($AN$1006:BJ1006),$AN$1006:$BO$1006,0)))),"Fix")))</f>
        <v>0</v>
      </c>
      <c r="Y146" s="4">
        <f>IF(OR(INDEX($AH$2:$AH$1001,MATCH(ROWS($AG$2:AG146),$AG$2:$AG$1001,0),1)&gt;=100000,INDEX($AN$1005:$BO$1005,1,MATCH(COLUMNS($AN$1006:BK1006),$AN$1006:$BO$1006,0))&gt;=100000), " ",IF(INDEX($AN$2:$BO$1001,MATCH(ROWS($AG$2:AG146),$AG$2:$AG$1001,0),MATCH(COLUMNS($AN$1006:BK1006),$AN$1006:$BO$1006,0)), HYPERLINK("#",""), HYPERLINK(CONCATENATE("#Metadata!", ADDRESS(INDEX($AI$2:$AI$1001,MATCH(ROWS($AG$2:AG146),$AG$2:$AG$1001,0),0), INDEX($AN$1004:$BO$1004,1,MATCH(COLUMNS($AN$1006:BK1006),$AN$1006:$BO$1006,0)))),"Fix")))</f>
        <v>0</v>
      </c>
      <c r="Z146" s="4">
        <f>IF(OR(INDEX($AH$2:$AH$1001,MATCH(ROWS($AG$2:AG146),$AG$2:$AG$1001,0),1)&gt;=100000,INDEX($AN$1005:$BO$1005,1,MATCH(COLUMNS($AN$1006:BL1006),$AN$1006:$BO$1006,0))&gt;=100000), " ",IF(INDEX($AN$2:$BO$1001,MATCH(ROWS($AG$2:AG146),$AG$2:$AG$1001,0),MATCH(COLUMNS($AN$1006:BL1006),$AN$1006:$BO$1006,0)), HYPERLINK("#",""), HYPERLINK(CONCATENATE("#Metadata!", ADDRESS(INDEX($AI$2:$AI$1001,MATCH(ROWS($AG$2:AG146),$AG$2:$AG$1001,0),0), INDEX($AN$1004:$BO$1004,1,MATCH(COLUMNS($AN$1006:BL1006),$AN$1006:$BO$1006,0)))),"Fix")))</f>
        <v>0</v>
      </c>
      <c r="AA146" s="4">
        <f>IF(OR(INDEX($AH$2:$AH$1001,MATCH(ROWS($AG$2:AG146),$AG$2:$AG$1001,0),1)&gt;=100000,INDEX($AN$1005:$BO$1005,1,MATCH(COLUMNS($AN$1006:BM1006),$AN$1006:$BO$1006,0))&gt;=100000), " ",IF(INDEX($AN$2:$BO$1001,MATCH(ROWS($AG$2:AG146),$AG$2:$AG$1001,0),MATCH(COLUMNS($AN$1006:BM1006),$AN$1006:$BO$1006,0)), HYPERLINK("#",""), HYPERLINK(CONCATENATE("#Metadata!", ADDRESS(INDEX($AI$2:$AI$1001,MATCH(ROWS($AG$2:AG146),$AG$2:$AG$1001,0),0), INDEX($AN$1004:$BO$1004,1,MATCH(COLUMNS($AN$1006:BM1006),$AN$1006:$BO$1006,0)))),"Fix")))</f>
        <v>0</v>
      </c>
      <c r="AB146" s="4">
        <f>IF(OR(INDEX($AH$2:$AH$1001,MATCH(ROWS($AG$2:AG146),$AG$2:$AG$1001,0),1)&gt;=100000,INDEX($AN$1005:$BO$1005,1,MATCH(COLUMNS($AN$1006:BN1006),$AN$1006:$BO$1006,0))&gt;=100000), " ",IF(INDEX($AN$2:$BO$1001,MATCH(ROWS($AG$2:AG146),$AG$2:$AG$1001,0),MATCH(COLUMNS($AN$1006:BN1006),$AN$1006:$BO$1006,0)), HYPERLINK("#",""), HYPERLINK(CONCATENATE("#Metadata!", ADDRESS(INDEX($AI$2:$AI$1001,MATCH(ROWS($AG$2:AG146),$AG$2:$AG$1001,0),0), INDEX($AN$1004:$BO$1004,1,MATCH(COLUMNS($AN$1006:BN1006),$AN$1006:$BO$1006,0)))),"Fix")))</f>
        <v>0</v>
      </c>
      <c r="AC146" s="4">
        <f>IF(OR(INDEX($AH$2:$AH$1001,MATCH(ROWS($AG$2:AG146),$AG$2:$AG$1001,0),1)&gt;=100000,INDEX($AN$1005:$BO$1005,1,MATCH(COLUMNS($AN$1006:BO1006),$AN$1006:$BO$1006,0))&gt;=100000), " ",IF(INDEX($AN$2:$BO$1001,MATCH(ROWS($AG$2:AG146),$AG$2:$AG$1001,0),MATCH(COLUMNS($AN$1006:BO1006),$AN$1006:$BO$1006,0)), HYPERLINK("#",""), HYPERLINK(CONCATENATE("#Metadata!", ADDRESS(INDEX($AI$2:$AI$1001,MATCH(ROWS($AG$2:AG146),$AG$2:$AG$1001,0),0), INDEX($AN$1004:$BO$1004,1,MATCH(COLUMNS($AN$1006:BO1006),$AN$1006:$BO$1006,0)))),"Fix")))</f>
        <v>0</v>
      </c>
      <c r="AG146">
        <v>0</v>
      </c>
      <c r="AH146">
        <v>0</v>
      </c>
      <c r="AI146">
        <v>0</v>
      </c>
      <c r="AJ146">
        <f>IF(AK146,TRUE,AND(AN146:BO146))</f>
        <v>0</v>
      </c>
      <c r="AK146">
        <f>COUNTBLANK(Metadata!B146:AC146)=COLUMNS(Metadata!B146:AC146)</f>
        <v>0</v>
      </c>
      <c r="AL146">
        <v>0</v>
      </c>
      <c r="AN146">
        <f>AND(IF(Metadata!B146="",FALSE,TRUE),COUNTIF(Metadata!B:B, Metadata!B146) = 1,NOT(ISERROR(SUMPRODUCT(SEARCH(MID(Metadata!B146,ROW(INDIRECT("1:"&amp;LEN(Metadata!B146))), 1),"0123456789abcdefghijklmnopqrstuvwxyzABCDEFGHIJKLMNOPQRSTUVWXYZ.")))))</f>
        <v>0</v>
      </c>
      <c r="AO146">
        <f>IF(Metadata!C146="",FALSE,TRUE)</f>
        <v>0</v>
      </c>
      <c r="AP146">
        <f>IF(Metadata!D146="",FALSE,TRUE)</f>
        <v>0</v>
      </c>
      <c r="AQ146">
        <f>OR(AND(IF(Metadata!E146="",FALSE,TRUE),OR(exact(Metadata!E146,"not collected"),exact(Metadata!E146,"not provided"),exact(Metadata!E146,"restricted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R146">
        <f>IF(Metadata!F146="",FALSE,TRUE)</f>
        <v>0</v>
      </c>
      <c r="AS146">
        <f>OR(AND(IF(Metadata!G146="",FALSE,TRUE),OR(exact(Metadata!G146,"not collected"),exact(Metadata!G146,"not provided"))),AND(IF(Metadata!G146="",FALSE,TRUE),OR(exact(Metadata!G146,"TRUE"),exact(Metadata!G146,"FALSE"))))</f>
        <v>0</v>
      </c>
      <c r="AT146">
        <f>OR(AND(IF(Metadata!H146="",FALSE,TRUE),OR(exact(Metadata!H146,"not collected"),exact(Metadata!H146,"not provided"),exact(Metadata!H146,"restricted access"))),AND(IF(Metadata!H146="",FALSE,ISNUMBER(VALUE(Metadata!H146))),Metadata!H146&gt;=-413.0))</f>
        <v>0</v>
      </c>
      <c r="AU146">
        <f>AND(IF(Metadata!I146="",FALSE,TRUE),exact(Metadata!I146,"meters"))</f>
        <v>0</v>
      </c>
      <c r="AV146">
        <f>AND(IF(Metadata!J146="",FALSE,TRUE),OR(exact(Metadata!J146,"Host-associated"),exact(Metadata!J146,"Free-living")))</f>
        <v>0</v>
      </c>
      <c r="AW146">
        <f>AND(IF(Metadata!K146="",FALSE,TRUE),OR(exact(Metadata!K146,"Animal"),exact(Metadata!K146,"Fungus"),exact(Metadata!K146,"Plant"),exact(Metadata!K146,"Saline"),exact(Metadata!K146,"Non-saline")))</f>
        <v>0</v>
      </c>
      <c r="AX146">
        <f>AND(IF(Metadata!L146="",FALSE,TRUE),OR(exact(Metadata!L146,"Plant secretion"),exact(Metadata!L146,"Plant rhizosphere"),exact(Metadata!L146,"Plant surface"),exact(Metadata!L146,"Plant corpus"),exact(Metadata!L146,"Fungus surface"),exact(Metadata!L146,"Fungus corpus"),exact(Metadata!L146,"Animal surface"),exact(Metadata!L146,"Animal proximal gut"),exact(Metadata!L146,"Animal corpus"),exact(Metadata!L146,"Animal distal gut"),exact(Metadata!L146,"Animal secretion"),exact(Metadata!L146,"Sub-surface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Y146">
        <f>IF(Metadata!M146="",FALSE,TRUE)</f>
        <v>0</v>
      </c>
      <c r="AZ146">
        <f>IF(Metadata!N146="",FALSE,TRUE)</f>
        <v>0</v>
      </c>
      <c r="BA146">
        <f>IF(Metadata!O146="",FALSE,TRUE)</f>
        <v>0</v>
      </c>
      <c r="BB146">
        <f>OR(AND(IF(Metadata!P146="",FALSE,TRUE),OR(exact(Metadata!P146,"not collected"),exact(Metadata!P146,"not provided"),exact(Metadata!P146,"restricted access"))),AND(IF(Metadata!P146="",FALSE,TRUE),OR(exact(Metadata!P146,"air"),exact(Metadata!P146,"built environment"),exact(Metadata!P146,"host-associated"),exact(Metadata!P146,"human-associated"),exact(Metadata!P146,"human-skin"),exact(Metadata!P146,"human-oral"),exact(Metadata!P146,"human-gut"),exact(Metadata!P146,"human-vaginal"),exact(Metadata!P146,"microbial mat/biofilm"),exact(Metadata!P146,"misc environment"),exact(Metadata!P146,"plant-associated"),exact(Metadata!P146,"sediment"),exact(Metadata!P146,"soil"),exact(Metadata!P146,"wastewater/sludge"),exact(Metadata!P146,"water"))))</f>
        <v>0</v>
      </c>
      <c r="BC146">
        <f>IF(Metadata!Q146="",FALSE,TRUE)</f>
        <v>0</v>
      </c>
      <c r="BD146">
        <f>IF(Metadata!R146="",FALSE,TRUE)</f>
        <v>0</v>
      </c>
      <c r="BE146">
        <f>OR(AND(IF(Metadata!S146="",FALSE,TRUE),OR(exact(Metadata!S146,"not collected"),exact(Metadata!S146,"not provided"),exact(Metadata!S146,"restricted access"))),AND(IF(Metadata!S146="",FALSE,ISNUMBER(VALUE(Metadata!S146))),Metadata!S146&gt;=-90.00,Metadata!S146&lt;=90.00))</f>
        <v>0</v>
      </c>
      <c r="BF146">
        <f>AND(IF(Metadata!T146="",FALSE,TRUE),exact(Metadata!T146,"Decimal degrees"))</f>
        <v>0</v>
      </c>
      <c r="BG146">
        <f>OR(AND(IF(Metadata!U146="",FALSE,TRUE),OR(exact(Metadata!U146,"not collected"),exact(Metadata!U146,"not provided"),exact(Metadata!U146,"restricted access"))),AND(IF(Metadata!U146="",FALSE,ISNUMBER(VALUE(Metadata!U146))),Metadata!U146&gt;=-180.00,Metadata!U146&lt;=180.00))</f>
        <v>0</v>
      </c>
      <c r="BH146">
        <f>AND(IF(Metadata!V146="",FALSE,TRUE),exact(Metadata!V146,"Decimal degrees"))</f>
        <v>0</v>
      </c>
      <c r="BI146">
        <f>IF(Metadata!W146="",FALSE,TRUE)</f>
        <v>0</v>
      </c>
      <c r="BJ146">
        <f>OR(AND(IF(Metadata!X146="",FALSE,TRUE),OR(exact(Metadata!X146,"not collected"),exact(Metadata!X146,"not provided"),exact(Metadata!X146,"restricted access"))),AND(IF(Metadata!X146="",FALSE,TRUE),OR(exact(Metadata!X146,"TRUE"),exact(Metadata!X146,"FALSE"))))</f>
        <v>0</v>
      </c>
      <c r="BK146">
        <f>AND(IF(Metadata!Y146="",FALSE,TRUE),exact(Metadata!Y146,"other"))</f>
        <v>0</v>
      </c>
      <c r="BL146">
        <f>IF(Metadata!Z146="",FALSE,TRUE)</f>
        <v>0</v>
      </c>
      <c r="BM146">
        <f>OR(AND(IF(Metadata!AA146="",FALSE,TRUE),OR(exact(Metadata!AA146,"not collected"),exact(Metadata!AA146,"not provided"))),AND(IF(Metadata!AA146="",FALSE,IF(ISERROR(INT(Metadata!AA146)),FALSE,INT(Metadata!AA146)=Metadata!AA146)),Metadata!AA146&gt;0))</f>
        <v>0</v>
      </c>
      <c r="BN146">
        <f>AND(IF(Metadata!AB146="",FALSE,TRUE),exact(Metadata!AB146,"Not applicable"))</f>
        <v>0</v>
      </c>
      <c r="BO146">
        <f>IF(Metadata!AC146="",FALSE,TRUE)</f>
        <v>0</v>
      </c>
    </row>
    <row r="147" spans="1:67">
      <c r="A147" s="5">
        <f>IF(B147=" "," ",HYPERLINK(CONCATENATE("#metadata!",ADDRESS(INDEX($AI$2:$AI$1001,MATCH(ROWS($AG$2:AG147),$AG$2:$AG$1001,0),0),1)),INDEX($AL$2:$AL$1001,MATCH(ROWS($AG$2:AG147),$AG$2:$AG$1001,0),0)))</f>
        <v>0</v>
      </c>
      <c r="B147" s="4">
        <f>IF(OR(INDEX($AH$2:$AH$1001,MATCH(ROWS($AG$2:AG147),$AG$2:$AG$1001,0),1)&gt;=100000,INDEX($AN$1005:$BO$1005,1,MATCH(COLUMNS($AN$1006:AN1006),$AN$1006:$BO$1006,0))&gt;=100000), " ",IF(INDEX($AN$2:$BO$1001,MATCH(ROWS($AG$2:AG147),$AG$2:$AG$1001,0),MATCH(COLUMNS($AN$1006:AN1006),$AN$1006:$BO$1006,0)), HYPERLINK("#",""), HYPERLINK(CONCATENATE("#Metadata!", ADDRESS(INDEX($AI$2:$AI$1001,MATCH(ROWS($AG$2:AG147),$AG$2:$AG$1001,0),0), INDEX($AN$1004:$BO$1004,1,MATCH(COLUMNS($AN$1006:AN1006),$AN$1006:$BO$1006,0)))),"Fix")))</f>
        <v>0</v>
      </c>
      <c r="C147" s="4">
        <f>IF(OR(INDEX($AH$2:$AH$1001,MATCH(ROWS($AG$2:AG147),$AG$2:$AG$1001,0),1)&gt;=100000,INDEX($AN$1005:$BO$1005,1,MATCH(COLUMNS($AN$1006:AO1006),$AN$1006:$BO$1006,0))&gt;=100000), " ",IF(INDEX($AN$2:$BO$1001,MATCH(ROWS($AG$2:AG147),$AG$2:$AG$1001,0),MATCH(COLUMNS($AN$1006:AO1006),$AN$1006:$BO$1006,0)), HYPERLINK("#",""), HYPERLINK(CONCATENATE("#Metadata!", ADDRESS(INDEX($AI$2:$AI$1001,MATCH(ROWS($AG$2:AG147),$AG$2:$AG$1001,0),0), INDEX($AN$1004:$BO$1004,1,MATCH(COLUMNS($AN$1006:AO1006),$AN$1006:$BO$1006,0)))),"Fix")))</f>
        <v>0</v>
      </c>
      <c r="D147" s="4">
        <f>IF(OR(INDEX($AH$2:$AH$1001,MATCH(ROWS($AG$2:AG147),$AG$2:$AG$1001,0),1)&gt;=100000,INDEX($AN$1005:$BO$1005,1,MATCH(COLUMNS($AN$1006:AP1006),$AN$1006:$BO$1006,0))&gt;=100000), " ",IF(INDEX($AN$2:$BO$1001,MATCH(ROWS($AG$2:AG147),$AG$2:$AG$1001,0),MATCH(COLUMNS($AN$1006:AP1006),$AN$1006:$BO$1006,0)), HYPERLINK("#",""), HYPERLINK(CONCATENATE("#Metadata!", ADDRESS(INDEX($AI$2:$AI$1001,MATCH(ROWS($AG$2:AG147),$AG$2:$AG$1001,0),0), INDEX($AN$1004:$BO$1004,1,MATCH(COLUMNS($AN$1006:AP1006),$AN$1006:$BO$1006,0)))),"Fix")))</f>
        <v>0</v>
      </c>
      <c r="E147" s="4">
        <f>IF(OR(INDEX($AH$2:$AH$1001,MATCH(ROWS($AG$2:AG147),$AG$2:$AG$1001,0),1)&gt;=100000,INDEX($AN$1005:$BO$1005,1,MATCH(COLUMNS($AN$1006:AQ1006),$AN$1006:$BO$1006,0))&gt;=100000), " ",IF(INDEX($AN$2:$BO$1001,MATCH(ROWS($AG$2:AG147),$AG$2:$AG$1001,0),MATCH(COLUMNS($AN$1006:AQ1006),$AN$1006:$BO$1006,0)), HYPERLINK("#",""), HYPERLINK(CONCATENATE("#Metadata!", ADDRESS(INDEX($AI$2:$AI$1001,MATCH(ROWS($AG$2:AG147),$AG$2:$AG$1001,0),0), INDEX($AN$1004:$BO$1004,1,MATCH(COLUMNS($AN$1006:AQ1006),$AN$1006:$BO$1006,0)))),"Fix")))</f>
        <v>0</v>
      </c>
      <c r="F147" s="4">
        <f>IF(OR(INDEX($AH$2:$AH$1001,MATCH(ROWS($AG$2:AG147),$AG$2:$AG$1001,0),1)&gt;=100000,INDEX($AN$1005:$BO$1005,1,MATCH(COLUMNS($AN$1006:AR1006),$AN$1006:$BO$1006,0))&gt;=100000), " ",IF(INDEX($AN$2:$BO$1001,MATCH(ROWS($AG$2:AG147),$AG$2:$AG$1001,0),MATCH(COLUMNS($AN$1006:AR1006),$AN$1006:$BO$1006,0)), HYPERLINK("#",""), HYPERLINK(CONCATENATE("#Metadata!", ADDRESS(INDEX($AI$2:$AI$1001,MATCH(ROWS($AG$2:AG147),$AG$2:$AG$1001,0),0), INDEX($AN$1004:$BO$1004,1,MATCH(COLUMNS($AN$1006:AR1006),$AN$1006:$BO$1006,0)))),"Fix")))</f>
        <v>0</v>
      </c>
      <c r="G147" s="4">
        <f>IF(OR(INDEX($AH$2:$AH$1001,MATCH(ROWS($AG$2:AG147),$AG$2:$AG$1001,0),1)&gt;=100000,INDEX($AN$1005:$BO$1005,1,MATCH(COLUMNS($AN$1006:AS1006),$AN$1006:$BO$1006,0))&gt;=100000), " ",IF(INDEX($AN$2:$BO$1001,MATCH(ROWS($AG$2:AG147),$AG$2:$AG$1001,0),MATCH(COLUMNS($AN$1006:AS1006),$AN$1006:$BO$1006,0)), HYPERLINK("#",""), HYPERLINK(CONCATENATE("#Metadata!", ADDRESS(INDEX($AI$2:$AI$1001,MATCH(ROWS($AG$2:AG147),$AG$2:$AG$1001,0),0), INDEX($AN$1004:$BO$1004,1,MATCH(COLUMNS($AN$1006:AS1006),$AN$1006:$BO$1006,0)))),"Fix")))</f>
        <v>0</v>
      </c>
      <c r="H147" s="4">
        <f>IF(OR(INDEX($AH$2:$AH$1001,MATCH(ROWS($AG$2:AG147),$AG$2:$AG$1001,0),1)&gt;=100000,INDEX($AN$1005:$BO$1005,1,MATCH(COLUMNS($AN$1006:AT1006),$AN$1006:$BO$1006,0))&gt;=100000), " ",IF(INDEX($AN$2:$BO$1001,MATCH(ROWS($AG$2:AG147),$AG$2:$AG$1001,0),MATCH(COLUMNS($AN$1006:AT1006),$AN$1006:$BO$1006,0)), HYPERLINK("#",""), HYPERLINK(CONCATENATE("#Metadata!", ADDRESS(INDEX($AI$2:$AI$1001,MATCH(ROWS($AG$2:AG147),$AG$2:$AG$1001,0),0), INDEX($AN$1004:$BO$1004,1,MATCH(COLUMNS($AN$1006:AT1006),$AN$1006:$BO$1006,0)))),"Fix")))</f>
        <v>0</v>
      </c>
      <c r="I147" s="4">
        <f>IF(OR(INDEX($AH$2:$AH$1001,MATCH(ROWS($AG$2:AG147),$AG$2:$AG$1001,0),1)&gt;=100000,INDEX($AN$1005:$BO$1005,1,MATCH(COLUMNS($AN$1006:AU1006),$AN$1006:$BO$1006,0))&gt;=100000), " ",IF(INDEX($AN$2:$BO$1001,MATCH(ROWS($AG$2:AG147),$AG$2:$AG$1001,0),MATCH(COLUMNS($AN$1006:AU1006),$AN$1006:$BO$1006,0)), HYPERLINK("#",""), HYPERLINK(CONCATENATE("#Metadata!", ADDRESS(INDEX($AI$2:$AI$1001,MATCH(ROWS($AG$2:AG147),$AG$2:$AG$1001,0),0), INDEX($AN$1004:$BO$1004,1,MATCH(COLUMNS($AN$1006:AU1006),$AN$1006:$BO$1006,0)))),"Fix")))</f>
        <v>0</v>
      </c>
      <c r="J147" s="4">
        <f>IF(OR(INDEX($AH$2:$AH$1001,MATCH(ROWS($AG$2:AG147),$AG$2:$AG$1001,0),1)&gt;=100000,INDEX($AN$1005:$BO$1005,1,MATCH(COLUMNS($AN$1006:AV1006),$AN$1006:$BO$1006,0))&gt;=100000), " ",IF(INDEX($AN$2:$BO$1001,MATCH(ROWS($AG$2:AG147),$AG$2:$AG$1001,0),MATCH(COLUMNS($AN$1006:AV1006),$AN$1006:$BO$1006,0)), HYPERLINK("#",""), HYPERLINK(CONCATENATE("#Metadata!", ADDRESS(INDEX($AI$2:$AI$1001,MATCH(ROWS($AG$2:AG147),$AG$2:$AG$1001,0),0), INDEX($AN$1004:$BO$1004,1,MATCH(COLUMNS($AN$1006:AV1006),$AN$1006:$BO$1006,0)))),"Fix")))</f>
        <v>0</v>
      </c>
      <c r="K147" s="4">
        <f>IF(OR(INDEX($AH$2:$AH$1001,MATCH(ROWS($AG$2:AG147),$AG$2:$AG$1001,0),1)&gt;=100000,INDEX($AN$1005:$BO$1005,1,MATCH(COLUMNS($AN$1006:AW1006),$AN$1006:$BO$1006,0))&gt;=100000), " ",IF(INDEX($AN$2:$BO$1001,MATCH(ROWS($AG$2:AG147),$AG$2:$AG$1001,0),MATCH(COLUMNS($AN$1006:AW1006),$AN$1006:$BO$1006,0)), HYPERLINK("#",""), HYPERLINK(CONCATENATE("#Metadata!", ADDRESS(INDEX($AI$2:$AI$1001,MATCH(ROWS($AG$2:AG147),$AG$2:$AG$1001,0),0), INDEX($AN$1004:$BO$1004,1,MATCH(COLUMNS($AN$1006:AW1006),$AN$1006:$BO$1006,0)))),"Fix")))</f>
        <v>0</v>
      </c>
      <c r="L147" s="4">
        <f>IF(OR(INDEX($AH$2:$AH$1001,MATCH(ROWS($AG$2:AG147),$AG$2:$AG$1001,0),1)&gt;=100000,INDEX($AN$1005:$BO$1005,1,MATCH(COLUMNS($AN$1006:AX1006),$AN$1006:$BO$1006,0))&gt;=100000), " ",IF(INDEX($AN$2:$BO$1001,MATCH(ROWS($AG$2:AG147),$AG$2:$AG$1001,0),MATCH(COLUMNS($AN$1006:AX1006),$AN$1006:$BO$1006,0)), HYPERLINK("#",""), HYPERLINK(CONCATENATE("#Metadata!", ADDRESS(INDEX($AI$2:$AI$1001,MATCH(ROWS($AG$2:AG147),$AG$2:$AG$1001,0),0), INDEX($AN$1004:$BO$1004,1,MATCH(COLUMNS($AN$1006:AX1006),$AN$1006:$BO$1006,0)))),"Fix")))</f>
        <v>0</v>
      </c>
      <c r="M147" s="4">
        <f>IF(OR(INDEX($AH$2:$AH$1001,MATCH(ROWS($AG$2:AG147),$AG$2:$AG$1001,0),1)&gt;=100000,INDEX($AN$1005:$BO$1005,1,MATCH(COLUMNS($AN$1006:AY1006),$AN$1006:$BO$1006,0))&gt;=100000), " ",IF(INDEX($AN$2:$BO$1001,MATCH(ROWS($AG$2:AG147),$AG$2:$AG$1001,0),MATCH(COLUMNS($AN$1006:AY1006),$AN$1006:$BO$1006,0)), HYPERLINK("#",""), HYPERLINK(CONCATENATE("#Metadata!", ADDRESS(INDEX($AI$2:$AI$1001,MATCH(ROWS($AG$2:AG147),$AG$2:$AG$1001,0),0), INDEX($AN$1004:$BO$1004,1,MATCH(COLUMNS($AN$1006:AY1006),$AN$1006:$BO$1006,0)))),"Fix")))</f>
        <v>0</v>
      </c>
      <c r="N147" s="4">
        <f>IF(OR(INDEX($AH$2:$AH$1001,MATCH(ROWS($AG$2:AG147),$AG$2:$AG$1001,0),1)&gt;=100000,INDEX($AN$1005:$BO$1005,1,MATCH(COLUMNS($AN$1006:AZ1006),$AN$1006:$BO$1006,0))&gt;=100000), " ",IF(INDEX($AN$2:$BO$1001,MATCH(ROWS($AG$2:AG147),$AG$2:$AG$1001,0),MATCH(COLUMNS($AN$1006:AZ1006),$AN$1006:$BO$1006,0)), HYPERLINK("#",""), HYPERLINK(CONCATENATE("#Metadata!", ADDRESS(INDEX($AI$2:$AI$1001,MATCH(ROWS($AG$2:AG147),$AG$2:$AG$1001,0),0), INDEX($AN$1004:$BO$1004,1,MATCH(COLUMNS($AN$1006:AZ1006),$AN$1006:$BO$1006,0)))),"Fix")))</f>
        <v>0</v>
      </c>
      <c r="O147" s="4">
        <f>IF(OR(INDEX($AH$2:$AH$1001,MATCH(ROWS($AG$2:AG147),$AG$2:$AG$1001,0),1)&gt;=100000,INDEX($AN$1005:$BO$1005,1,MATCH(COLUMNS($AN$1006:BA1006),$AN$1006:$BO$1006,0))&gt;=100000), " ",IF(INDEX($AN$2:$BO$1001,MATCH(ROWS($AG$2:AG147),$AG$2:$AG$1001,0),MATCH(COLUMNS($AN$1006:BA1006),$AN$1006:$BO$1006,0)), HYPERLINK("#",""), HYPERLINK(CONCATENATE("#Metadata!", ADDRESS(INDEX($AI$2:$AI$1001,MATCH(ROWS($AG$2:AG147),$AG$2:$AG$1001,0),0), INDEX($AN$1004:$BO$1004,1,MATCH(COLUMNS($AN$1006:BA1006),$AN$1006:$BO$1006,0)))),"Fix")))</f>
        <v>0</v>
      </c>
      <c r="P147" s="4">
        <f>IF(OR(INDEX($AH$2:$AH$1001,MATCH(ROWS($AG$2:AG147),$AG$2:$AG$1001,0),1)&gt;=100000,INDEX($AN$1005:$BO$1005,1,MATCH(COLUMNS($AN$1006:BB1006),$AN$1006:$BO$1006,0))&gt;=100000), " ",IF(INDEX($AN$2:$BO$1001,MATCH(ROWS($AG$2:AG147),$AG$2:$AG$1001,0),MATCH(COLUMNS($AN$1006:BB1006),$AN$1006:$BO$1006,0)), HYPERLINK("#",""), HYPERLINK(CONCATENATE("#Metadata!", ADDRESS(INDEX($AI$2:$AI$1001,MATCH(ROWS($AG$2:AG147),$AG$2:$AG$1001,0),0), INDEX($AN$1004:$BO$1004,1,MATCH(COLUMNS($AN$1006:BB1006),$AN$1006:$BO$1006,0)))),"Fix")))</f>
        <v>0</v>
      </c>
      <c r="Q147" s="4">
        <f>IF(OR(INDEX($AH$2:$AH$1001,MATCH(ROWS($AG$2:AG147),$AG$2:$AG$1001,0),1)&gt;=100000,INDEX($AN$1005:$BO$1005,1,MATCH(COLUMNS($AN$1006:BC1006),$AN$1006:$BO$1006,0))&gt;=100000), " ",IF(INDEX($AN$2:$BO$1001,MATCH(ROWS($AG$2:AG147),$AG$2:$AG$1001,0),MATCH(COLUMNS($AN$1006:BC1006),$AN$1006:$BO$1006,0)), HYPERLINK("#",""), HYPERLINK(CONCATENATE("#Metadata!", ADDRESS(INDEX($AI$2:$AI$1001,MATCH(ROWS($AG$2:AG147),$AG$2:$AG$1001,0),0), INDEX($AN$1004:$BO$1004,1,MATCH(COLUMNS($AN$1006:BC1006),$AN$1006:$BO$1006,0)))),"Fix")))</f>
        <v>0</v>
      </c>
      <c r="R147" s="4">
        <f>IF(OR(INDEX($AH$2:$AH$1001,MATCH(ROWS($AG$2:AG147),$AG$2:$AG$1001,0),1)&gt;=100000,INDEX($AN$1005:$BO$1005,1,MATCH(COLUMNS($AN$1006:BD1006),$AN$1006:$BO$1006,0))&gt;=100000), " ",IF(INDEX($AN$2:$BO$1001,MATCH(ROWS($AG$2:AG147),$AG$2:$AG$1001,0),MATCH(COLUMNS($AN$1006:BD1006),$AN$1006:$BO$1006,0)), HYPERLINK("#",""), HYPERLINK(CONCATENATE("#Metadata!", ADDRESS(INDEX($AI$2:$AI$1001,MATCH(ROWS($AG$2:AG147),$AG$2:$AG$1001,0),0), INDEX($AN$1004:$BO$1004,1,MATCH(COLUMNS($AN$1006:BD1006),$AN$1006:$BO$1006,0)))),"Fix")))</f>
        <v>0</v>
      </c>
      <c r="S147" s="4">
        <f>IF(OR(INDEX($AH$2:$AH$1001,MATCH(ROWS($AG$2:AG147),$AG$2:$AG$1001,0),1)&gt;=100000,INDEX($AN$1005:$BO$1005,1,MATCH(COLUMNS($AN$1006:BE1006),$AN$1006:$BO$1006,0))&gt;=100000), " ",IF(INDEX($AN$2:$BO$1001,MATCH(ROWS($AG$2:AG147),$AG$2:$AG$1001,0),MATCH(COLUMNS($AN$1006:BE1006),$AN$1006:$BO$1006,0)), HYPERLINK("#",""), HYPERLINK(CONCATENATE("#Metadata!", ADDRESS(INDEX($AI$2:$AI$1001,MATCH(ROWS($AG$2:AG147),$AG$2:$AG$1001,0),0), INDEX($AN$1004:$BO$1004,1,MATCH(COLUMNS($AN$1006:BE1006),$AN$1006:$BO$1006,0)))),"Fix")))</f>
        <v>0</v>
      </c>
      <c r="T147" s="4">
        <f>IF(OR(INDEX($AH$2:$AH$1001,MATCH(ROWS($AG$2:AG147),$AG$2:$AG$1001,0),1)&gt;=100000,INDEX($AN$1005:$BO$1005,1,MATCH(COLUMNS($AN$1006:BF1006),$AN$1006:$BO$1006,0))&gt;=100000), " ",IF(INDEX($AN$2:$BO$1001,MATCH(ROWS($AG$2:AG147),$AG$2:$AG$1001,0),MATCH(COLUMNS($AN$1006:BF1006),$AN$1006:$BO$1006,0)), HYPERLINK("#",""), HYPERLINK(CONCATENATE("#Metadata!", ADDRESS(INDEX($AI$2:$AI$1001,MATCH(ROWS($AG$2:AG147),$AG$2:$AG$1001,0),0), INDEX($AN$1004:$BO$1004,1,MATCH(COLUMNS($AN$1006:BF1006),$AN$1006:$BO$1006,0)))),"Fix")))</f>
        <v>0</v>
      </c>
      <c r="U147" s="4">
        <f>IF(OR(INDEX($AH$2:$AH$1001,MATCH(ROWS($AG$2:AG147),$AG$2:$AG$1001,0),1)&gt;=100000,INDEX($AN$1005:$BO$1005,1,MATCH(COLUMNS($AN$1006:BG1006),$AN$1006:$BO$1006,0))&gt;=100000), " ",IF(INDEX($AN$2:$BO$1001,MATCH(ROWS($AG$2:AG147),$AG$2:$AG$1001,0),MATCH(COLUMNS($AN$1006:BG1006),$AN$1006:$BO$1006,0)), HYPERLINK("#",""), HYPERLINK(CONCATENATE("#Metadata!", ADDRESS(INDEX($AI$2:$AI$1001,MATCH(ROWS($AG$2:AG147),$AG$2:$AG$1001,0),0), INDEX($AN$1004:$BO$1004,1,MATCH(COLUMNS($AN$1006:BG1006),$AN$1006:$BO$1006,0)))),"Fix")))</f>
        <v>0</v>
      </c>
      <c r="V147" s="4">
        <f>IF(OR(INDEX($AH$2:$AH$1001,MATCH(ROWS($AG$2:AG147),$AG$2:$AG$1001,0),1)&gt;=100000,INDEX($AN$1005:$BO$1005,1,MATCH(COLUMNS($AN$1006:BH1006),$AN$1006:$BO$1006,0))&gt;=100000), " ",IF(INDEX($AN$2:$BO$1001,MATCH(ROWS($AG$2:AG147),$AG$2:$AG$1001,0),MATCH(COLUMNS($AN$1006:BH1006),$AN$1006:$BO$1006,0)), HYPERLINK("#",""), HYPERLINK(CONCATENATE("#Metadata!", ADDRESS(INDEX($AI$2:$AI$1001,MATCH(ROWS($AG$2:AG147),$AG$2:$AG$1001,0),0), INDEX($AN$1004:$BO$1004,1,MATCH(COLUMNS($AN$1006:BH1006),$AN$1006:$BO$1006,0)))),"Fix")))</f>
        <v>0</v>
      </c>
      <c r="W147" s="4">
        <f>IF(OR(INDEX($AH$2:$AH$1001,MATCH(ROWS($AG$2:AG147),$AG$2:$AG$1001,0),1)&gt;=100000,INDEX($AN$1005:$BO$1005,1,MATCH(COLUMNS($AN$1006:BI1006),$AN$1006:$BO$1006,0))&gt;=100000), " ",IF(INDEX($AN$2:$BO$1001,MATCH(ROWS($AG$2:AG147),$AG$2:$AG$1001,0),MATCH(COLUMNS($AN$1006:BI1006),$AN$1006:$BO$1006,0)), HYPERLINK("#",""), HYPERLINK(CONCATENATE("#Metadata!", ADDRESS(INDEX($AI$2:$AI$1001,MATCH(ROWS($AG$2:AG147),$AG$2:$AG$1001,0),0), INDEX($AN$1004:$BO$1004,1,MATCH(COLUMNS($AN$1006:BI1006),$AN$1006:$BO$1006,0)))),"Fix")))</f>
        <v>0</v>
      </c>
      <c r="X147" s="4">
        <f>IF(OR(INDEX($AH$2:$AH$1001,MATCH(ROWS($AG$2:AG147),$AG$2:$AG$1001,0),1)&gt;=100000,INDEX($AN$1005:$BO$1005,1,MATCH(COLUMNS($AN$1006:BJ1006),$AN$1006:$BO$1006,0))&gt;=100000), " ",IF(INDEX($AN$2:$BO$1001,MATCH(ROWS($AG$2:AG147),$AG$2:$AG$1001,0),MATCH(COLUMNS($AN$1006:BJ1006),$AN$1006:$BO$1006,0)), HYPERLINK("#",""), HYPERLINK(CONCATENATE("#Metadata!", ADDRESS(INDEX($AI$2:$AI$1001,MATCH(ROWS($AG$2:AG147),$AG$2:$AG$1001,0),0), INDEX($AN$1004:$BO$1004,1,MATCH(COLUMNS($AN$1006:BJ1006),$AN$1006:$BO$1006,0)))),"Fix")))</f>
        <v>0</v>
      </c>
      <c r="Y147" s="4">
        <f>IF(OR(INDEX($AH$2:$AH$1001,MATCH(ROWS($AG$2:AG147),$AG$2:$AG$1001,0),1)&gt;=100000,INDEX($AN$1005:$BO$1005,1,MATCH(COLUMNS($AN$1006:BK1006),$AN$1006:$BO$1006,0))&gt;=100000), " ",IF(INDEX($AN$2:$BO$1001,MATCH(ROWS($AG$2:AG147),$AG$2:$AG$1001,0),MATCH(COLUMNS($AN$1006:BK1006),$AN$1006:$BO$1006,0)), HYPERLINK("#",""), HYPERLINK(CONCATENATE("#Metadata!", ADDRESS(INDEX($AI$2:$AI$1001,MATCH(ROWS($AG$2:AG147),$AG$2:$AG$1001,0),0), INDEX($AN$1004:$BO$1004,1,MATCH(COLUMNS($AN$1006:BK1006),$AN$1006:$BO$1006,0)))),"Fix")))</f>
        <v>0</v>
      </c>
      <c r="Z147" s="4">
        <f>IF(OR(INDEX($AH$2:$AH$1001,MATCH(ROWS($AG$2:AG147),$AG$2:$AG$1001,0),1)&gt;=100000,INDEX($AN$1005:$BO$1005,1,MATCH(COLUMNS($AN$1006:BL1006),$AN$1006:$BO$1006,0))&gt;=100000), " ",IF(INDEX($AN$2:$BO$1001,MATCH(ROWS($AG$2:AG147),$AG$2:$AG$1001,0),MATCH(COLUMNS($AN$1006:BL1006),$AN$1006:$BO$1006,0)), HYPERLINK("#",""), HYPERLINK(CONCATENATE("#Metadata!", ADDRESS(INDEX($AI$2:$AI$1001,MATCH(ROWS($AG$2:AG147),$AG$2:$AG$1001,0),0), INDEX($AN$1004:$BO$1004,1,MATCH(COLUMNS($AN$1006:BL1006),$AN$1006:$BO$1006,0)))),"Fix")))</f>
        <v>0</v>
      </c>
      <c r="AA147" s="4">
        <f>IF(OR(INDEX($AH$2:$AH$1001,MATCH(ROWS($AG$2:AG147),$AG$2:$AG$1001,0),1)&gt;=100000,INDEX($AN$1005:$BO$1005,1,MATCH(COLUMNS($AN$1006:BM1006),$AN$1006:$BO$1006,0))&gt;=100000), " ",IF(INDEX($AN$2:$BO$1001,MATCH(ROWS($AG$2:AG147),$AG$2:$AG$1001,0),MATCH(COLUMNS($AN$1006:BM1006),$AN$1006:$BO$1006,0)), HYPERLINK("#",""), HYPERLINK(CONCATENATE("#Metadata!", ADDRESS(INDEX($AI$2:$AI$1001,MATCH(ROWS($AG$2:AG147),$AG$2:$AG$1001,0),0), INDEX($AN$1004:$BO$1004,1,MATCH(COLUMNS($AN$1006:BM1006),$AN$1006:$BO$1006,0)))),"Fix")))</f>
        <v>0</v>
      </c>
      <c r="AB147" s="4">
        <f>IF(OR(INDEX($AH$2:$AH$1001,MATCH(ROWS($AG$2:AG147),$AG$2:$AG$1001,0),1)&gt;=100000,INDEX($AN$1005:$BO$1005,1,MATCH(COLUMNS($AN$1006:BN1006),$AN$1006:$BO$1006,0))&gt;=100000), " ",IF(INDEX($AN$2:$BO$1001,MATCH(ROWS($AG$2:AG147),$AG$2:$AG$1001,0),MATCH(COLUMNS($AN$1006:BN1006),$AN$1006:$BO$1006,0)), HYPERLINK("#",""), HYPERLINK(CONCATENATE("#Metadata!", ADDRESS(INDEX($AI$2:$AI$1001,MATCH(ROWS($AG$2:AG147),$AG$2:$AG$1001,0),0), INDEX($AN$1004:$BO$1004,1,MATCH(COLUMNS($AN$1006:BN1006),$AN$1006:$BO$1006,0)))),"Fix")))</f>
        <v>0</v>
      </c>
      <c r="AC147" s="4">
        <f>IF(OR(INDEX($AH$2:$AH$1001,MATCH(ROWS($AG$2:AG147),$AG$2:$AG$1001,0),1)&gt;=100000,INDEX($AN$1005:$BO$1005,1,MATCH(COLUMNS($AN$1006:BO1006),$AN$1006:$BO$1006,0))&gt;=100000), " ",IF(INDEX($AN$2:$BO$1001,MATCH(ROWS($AG$2:AG147),$AG$2:$AG$1001,0),MATCH(COLUMNS($AN$1006:BO1006),$AN$1006:$BO$1006,0)), HYPERLINK("#",""), HYPERLINK(CONCATENATE("#Metadata!", ADDRESS(INDEX($AI$2:$AI$1001,MATCH(ROWS($AG$2:AG147),$AG$2:$AG$1001,0),0), INDEX($AN$1004:$BO$1004,1,MATCH(COLUMNS($AN$1006:BO1006),$AN$1006:$BO$1006,0)))),"Fix")))</f>
        <v>0</v>
      </c>
      <c r="AG147">
        <v>0</v>
      </c>
      <c r="AH147">
        <v>0</v>
      </c>
      <c r="AI147">
        <v>0</v>
      </c>
      <c r="AJ147">
        <f>IF(AK147,TRUE,AND(AN147:BO147))</f>
        <v>0</v>
      </c>
      <c r="AK147">
        <f>COUNTBLANK(Metadata!B147:AC147)=COLUMNS(Metadata!B147:AC147)</f>
        <v>0</v>
      </c>
      <c r="AL147">
        <v>0</v>
      </c>
      <c r="AN147">
        <f>AND(IF(Metadata!B147="",FALSE,TRUE),COUNTIF(Metadata!B:B, Metadata!B147) = 1,NOT(ISERROR(SUMPRODUCT(SEARCH(MID(Metadata!B147,ROW(INDIRECT("1:"&amp;LEN(Metadata!B147))), 1),"0123456789abcdefghijklmnopqrstuvwxyzABCDEFGHIJKLMNOPQRSTUVWXYZ.")))))</f>
        <v>0</v>
      </c>
      <c r="AO147">
        <f>IF(Metadata!C147="",FALSE,TRUE)</f>
        <v>0</v>
      </c>
      <c r="AP147">
        <f>IF(Metadata!D147="",FALSE,TRUE)</f>
        <v>0</v>
      </c>
      <c r="AQ147">
        <f>OR(AND(IF(Metadata!E147="",FALSE,TRUE),OR(exact(Metadata!E147,"not collected"),exact(Metadata!E147,"not provided"),exact(Metadata!E147,"restricted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R147">
        <f>IF(Metadata!F147="",FALSE,TRUE)</f>
        <v>0</v>
      </c>
      <c r="AS147">
        <f>OR(AND(IF(Metadata!G147="",FALSE,TRUE),OR(exact(Metadata!G147,"not collected"),exact(Metadata!G147,"not provided"))),AND(IF(Metadata!G147="",FALSE,TRUE),OR(exact(Metadata!G147,"TRUE"),exact(Metadata!G147,"FALSE"))))</f>
        <v>0</v>
      </c>
      <c r="AT147">
        <f>OR(AND(IF(Metadata!H147="",FALSE,TRUE),OR(exact(Metadata!H147,"not collected"),exact(Metadata!H147,"not provided"),exact(Metadata!H147,"restricted access"))),AND(IF(Metadata!H147="",FALSE,ISNUMBER(VALUE(Metadata!H147))),Metadata!H147&gt;=-413.0))</f>
        <v>0</v>
      </c>
      <c r="AU147">
        <f>AND(IF(Metadata!I147="",FALSE,TRUE),exact(Metadata!I147,"meters"))</f>
        <v>0</v>
      </c>
      <c r="AV147">
        <f>AND(IF(Metadata!J147="",FALSE,TRUE),OR(exact(Metadata!J147,"Host-associated"),exact(Metadata!J147,"Free-living")))</f>
        <v>0</v>
      </c>
      <c r="AW147">
        <f>AND(IF(Metadata!K147="",FALSE,TRUE),OR(exact(Metadata!K147,"Animal"),exact(Metadata!K147,"Fungus"),exact(Metadata!K147,"Plant"),exact(Metadata!K147,"Saline"),exact(Metadata!K147,"Non-saline")))</f>
        <v>0</v>
      </c>
      <c r="AX147">
        <f>AND(IF(Metadata!L147="",FALSE,TRUE),OR(exact(Metadata!L147,"Plant secretion"),exact(Metadata!L147,"Plant rhizosphere"),exact(Metadata!L147,"Plant surface"),exact(Metadata!L147,"Plant corpus"),exact(Metadata!L147,"Fungus surface"),exact(Metadata!L147,"Fungus corpus"),exact(Metadata!L147,"Animal surface"),exact(Metadata!L147,"Animal proximal gut"),exact(Metadata!L147,"Animal corpus"),exact(Metadata!L147,"Animal distal gut"),exact(Metadata!L147,"Animal secretion"),exact(Metadata!L147,"Sub-surface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Y147">
        <f>IF(Metadata!M147="",FALSE,TRUE)</f>
        <v>0</v>
      </c>
      <c r="AZ147">
        <f>IF(Metadata!N147="",FALSE,TRUE)</f>
        <v>0</v>
      </c>
      <c r="BA147">
        <f>IF(Metadata!O147="",FALSE,TRUE)</f>
        <v>0</v>
      </c>
      <c r="BB147">
        <f>OR(AND(IF(Metadata!P147="",FALSE,TRUE),OR(exact(Metadata!P147,"not collected"),exact(Metadata!P147,"not provided"),exact(Metadata!P147,"restricted access"))),AND(IF(Metadata!P147="",FALSE,TRUE),OR(exact(Metadata!P147,"air"),exact(Metadata!P147,"built environment"),exact(Metadata!P147,"host-associated"),exact(Metadata!P147,"human-associated"),exact(Metadata!P147,"human-skin"),exact(Metadata!P147,"human-oral"),exact(Metadata!P147,"human-gut"),exact(Metadata!P147,"human-vaginal"),exact(Metadata!P147,"microbial mat/biofilm"),exact(Metadata!P147,"misc environment"),exact(Metadata!P147,"plant-associated"),exact(Metadata!P147,"sediment"),exact(Metadata!P147,"soil"),exact(Metadata!P147,"wastewater/sludge"),exact(Metadata!P147,"water"))))</f>
        <v>0</v>
      </c>
      <c r="BC147">
        <f>IF(Metadata!Q147="",FALSE,TRUE)</f>
        <v>0</v>
      </c>
      <c r="BD147">
        <f>IF(Metadata!R147="",FALSE,TRUE)</f>
        <v>0</v>
      </c>
      <c r="BE147">
        <f>OR(AND(IF(Metadata!S147="",FALSE,TRUE),OR(exact(Metadata!S147,"not collected"),exact(Metadata!S147,"not provided"),exact(Metadata!S147,"restricted access"))),AND(IF(Metadata!S147="",FALSE,ISNUMBER(VALUE(Metadata!S147))),Metadata!S147&gt;=-90.00,Metadata!S147&lt;=90.00))</f>
        <v>0</v>
      </c>
      <c r="BF147">
        <f>AND(IF(Metadata!T147="",FALSE,TRUE),exact(Metadata!T147,"Decimal degrees"))</f>
        <v>0</v>
      </c>
      <c r="BG147">
        <f>OR(AND(IF(Metadata!U147="",FALSE,TRUE),OR(exact(Metadata!U147,"not collected"),exact(Metadata!U147,"not provided"),exact(Metadata!U147,"restricted access"))),AND(IF(Metadata!U147="",FALSE,ISNUMBER(VALUE(Metadata!U147))),Metadata!U147&gt;=-180.00,Metadata!U147&lt;=180.00))</f>
        <v>0</v>
      </c>
      <c r="BH147">
        <f>AND(IF(Metadata!V147="",FALSE,TRUE),exact(Metadata!V147,"Decimal degrees"))</f>
        <v>0</v>
      </c>
      <c r="BI147">
        <f>IF(Metadata!W147="",FALSE,TRUE)</f>
        <v>0</v>
      </c>
      <c r="BJ147">
        <f>OR(AND(IF(Metadata!X147="",FALSE,TRUE),OR(exact(Metadata!X147,"not collected"),exact(Metadata!X147,"not provided"),exact(Metadata!X147,"restricted access"))),AND(IF(Metadata!X147="",FALSE,TRUE),OR(exact(Metadata!X147,"TRUE"),exact(Metadata!X147,"FALSE"))))</f>
        <v>0</v>
      </c>
      <c r="BK147">
        <f>AND(IF(Metadata!Y147="",FALSE,TRUE),exact(Metadata!Y147,"other"))</f>
        <v>0</v>
      </c>
      <c r="BL147">
        <f>IF(Metadata!Z147="",FALSE,TRUE)</f>
        <v>0</v>
      </c>
      <c r="BM147">
        <f>OR(AND(IF(Metadata!AA147="",FALSE,TRUE),OR(exact(Metadata!AA147,"not collected"),exact(Metadata!AA147,"not provided"))),AND(IF(Metadata!AA147="",FALSE,IF(ISERROR(INT(Metadata!AA147)),FALSE,INT(Metadata!AA147)=Metadata!AA147)),Metadata!AA147&gt;0))</f>
        <v>0</v>
      </c>
      <c r="BN147">
        <f>AND(IF(Metadata!AB147="",FALSE,TRUE),exact(Metadata!AB147,"Not applicable"))</f>
        <v>0</v>
      </c>
      <c r="BO147">
        <f>IF(Metadata!AC147="",FALSE,TRUE)</f>
        <v>0</v>
      </c>
    </row>
    <row r="148" spans="1:67">
      <c r="A148" s="5">
        <f>IF(B148=" "," ",HYPERLINK(CONCATENATE("#metadata!",ADDRESS(INDEX($AI$2:$AI$1001,MATCH(ROWS($AG$2:AG148),$AG$2:$AG$1001,0),0),1)),INDEX($AL$2:$AL$1001,MATCH(ROWS($AG$2:AG148),$AG$2:$AG$1001,0),0)))</f>
        <v>0</v>
      </c>
      <c r="B148" s="4">
        <f>IF(OR(INDEX($AH$2:$AH$1001,MATCH(ROWS($AG$2:AG148),$AG$2:$AG$1001,0),1)&gt;=100000,INDEX($AN$1005:$BO$1005,1,MATCH(COLUMNS($AN$1006:AN1006),$AN$1006:$BO$1006,0))&gt;=100000), " ",IF(INDEX($AN$2:$BO$1001,MATCH(ROWS($AG$2:AG148),$AG$2:$AG$1001,0),MATCH(COLUMNS($AN$1006:AN1006),$AN$1006:$BO$1006,0)), HYPERLINK("#",""), HYPERLINK(CONCATENATE("#Metadata!", ADDRESS(INDEX($AI$2:$AI$1001,MATCH(ROWS($AG$2:AG148),$AG$2:$AG$1001,0),0), INDEX($AN$1004:$BO$1004,1,MATCH(COLUMNS($AN$1006:AN1006),$AN$1006:$BO$1006,0)))),"Fix")))</f>
        <v>0</v>
      </c>
      <c r="C148" s="4">
        <f>IF(OR(INDEX($AH$2:$AH$1001,MATCH(ROWS($AG$2:AG148),$AG$2:$AG$1001,0),1)&gt;=100000,INDEX($AN$1005:$BO$1005,1,MATCH(COLUMNS($AN$1006:AO1006),$AN$1006:$BO$1006,0))&gt;=100000), " ",IF(INDEX($AN$2:$BO$1001,MATCH(ROWS($AG$2:AG148),$AG$2:$AG$1001,0),MATCH(COLUMNS($AN$1006:AO1006),$AN$1006:$BO$1006,0)), HYPERLINK("#",""), HYPERLINK(CONCATENATE("#Metadata!", ADDRESS(INDEX($AI$2:$AI$1001,MATCH(ROWS($AG$2:AG148),$AG$2:$AG$1001,0),0), INDEX($AN$1004:$BO$1004,1,MATCH(COLUMNS($AN$1006:AO1006),$AN$1006:$BO$1006,0)))),"Fix")))</f>
        <v>0</v>
      </c>
      <c r="D148" s="4">
        <f>IF(OR(INDEX($AH$2:$AH$1001,MATCH(ROWS($AG$2:AG148),$AG$2:$AG$1001,0),1)&gt;=100000,INDEX($AN$1005:$BO$1005,1,MATCH(COLUMNS($AN$1006:AP1006),$AN$1006:$BO$1006,0))&gt;=100000), " ",IF(INDEX($AN$2:$BO$1001,MATCH(ROWS($AG$2:AG148),$AG$2:$AG$1001,0),MATCH(COLUMNS($AN$1006:AP1006),$AN$1006:$BO$1006,0)), HYPERLINK("#",""), HYPERLINK(CONCATENATE("#Metadata!", ADDRESS(INDEX($AI$2:$AI$1001,MATCH(ROWS($AG$2:AG148),$AG$2:$AG$1001,0),0), INDEX($AN$1004:$BO$1004,1,MATCH(COLUMNS($AN$1006:AP1006),$AN$1006:$BO$1006,0)))),"Fix")))</f>
        <v>0</v>
      </c>
      <c r="E148" s="4">
        <f>IF(OR(INDEX($AH$2:$AH$1001,MATCH(ROWS($AG$2:AG148),$AG$2:$AG$1001,0),1)&gt;=100000,INDEX($AN$1005:$BO$1005,1,MATCH(COLUMNS($AN$1006:AQ1006),$AN$1006:$BO$1006,0))&gt;=100000), " ",IF(INDEX($AN$2:$BO$1001,MATCH(ROWS($AG$2:AG148),$AG$2:$AG$1001,0),MATCH(COLUMNS($AN$1006:AQ1006),$AN$1006:$BO$1006,0)), HYPERLINK("#",""), HYPERLINK(CONCATENATE("#Metadata!", ADDRESS(INDEX($AI$2:$AI$1001,MATCH(ROWS($AG$2:AG148),$AG$2:$AG$1001,0),0), INDEX($AN$1004:$BO$1004,1,MATCH(COLUMNS($AN$1006:AQ1006),$AN$1006:$BO$1006,0)))),"Fix")))</f>
        <v>0</v>
      </c>
      <c r="F148" s="4">
        <f>IF(OR(INDEX($AH$2:$AH$1001,MATCH(ROWS($AG$2:AG148),$AG$2:$AG$1001,0),1)&gt;=100000,INDEX($AN$1005:$BO$1005,1,MATCH(COLUMNS($AN$1006:AR1006),$AN$1006:$BO$1006,0))&gt;=100000), " ",IF(INDEX($AN$2:$BO$1001,MATCH(ROWS($AG$2:AG148),$AG$2:$AG$1001,0),MATCH(COLUMNS($AN$1006:AR1006),$AN$1006:$BO$1006,0)), HYPERLINK("#",""), HYPERLINK(CONCATENATE("#Metadata!", ADDRESS(INDEX($AI$2:$AI$1001,MATCH(ROWS($AG$2:AG148),$AG$2:$AG$1001,0),0), INDEX($AN$1004:$BO$1004,1,MATCH(COLUMNS($AN$1006:AR1006),$AN$1006:$BO$1006,0)))),"Fix")))</f>
        <v>0</v>
      </c>
      <c r="G148" s="4">
        <f>IF(OR(INDEX($AH$2:$AH$1001,MATCH(ROWS($AG$2:AG148),$AG$2:$AG$1001,0),1)&gt;=100000,INDEX($AN$1005:$BO$1005,1,MATCH(COLUMNS($AN$1006:AS1006),$AN$1006:$BO$1006,0))&gt;=100000), " ",IF(INDEX($AN$2:$BO$1001,MATCH(ROWS($AG$2:AG148),$AG$2:$AG$1001,0),MATCH(COLUMNS($AN$1006:AS1006),$AN$1006:$BO$1006,0)), HYPERLINK("#",""), HYPERLINK(CONCATENATE("#Metadata!", ADDRESS(INDEX($AI$2:$AI$1001,MATCH(ROWS($AG$2:AG148),$AG$2:$AG$1001,0),0), INDEX($AN$1004:$BO$1004,1,MATCH(COLUMNS($AN$1006:AS1006),$AN$1006:$BO$1006,0)))),"Fix")))</f>
        <v>0</v>
      </c>
      <c r="H148" s="4">
        <f>IF(OR(INDEX($AH$2:$AH$1001,MATCH(ROWS($AG$2:AG148),$AG$2:$AG$1001,0),1)&gt;=100000,INDEX($AN$1005:$BO$1005,1,MATCH(COLUMNS($AN$1006:AT1006),$AN$1006:$BO$1006,0))&gt;=100000), " ",IF(INDEX($AN$2:$BO$1001,MATCH(ROWS($AG$2:AG148),$AG$2:$AG$1001,0),MATCH(COLUMNS($AN$1006:AT1006),$AN$1006:$BO$1006,0)), HYPERLINK("#",""), HYPERLINK(CONCATENATE("#Metadata!", ADDRESS(INDEX($AI$2:$AI$1001,MATCH(ROWS($AG$2:AG148),$AG$2:$AG$1001,0),0), INDEX($AN$1004:$BO$1004,1,MATCH(COLUMNS($AN$1006:AT1006),$AN$1006:$BO$1006,0)))),"Fix")))</f>
        <v>0</v>
      </c>
      <c r="I148" s="4">
        <f>IF(OR(INDEX($AH$2:$AH$1001,MATCH(ROWS($AG$2:AG148),$AG$2:$AG$1001,0),1)&gt;=100000,INDEX($AN$1005:$BO$1005,1,MATCH(COLUMNS($AN$1006:AU1006),$AN$1006:$BO$1006,0))&gt;=100000), " ",IF(INDEX($AN$2:$BO$1001,MATCH(ROWS($AG$2:AG148),$AG$2:$AG$1001,0),MATCH(COLUMNS($AN$1006:AU1006),$AN$1006:$BO$1006,0)), HYPERLINK("#",""), HYPERLINK(CONCATENATE("#Metadata!", ADDRESS(INDEX($AI$2:$AI$1001,MATCH(ROWS($AG$2:AG148),$AG$2:$AG$1001,0),0), INDEX($AN$1004:$BO$1004,1,MATCH(COLUMNS($AN$1006:AU1006),$AN$1006:$BO$1006,0)))),"Fix")))</f>
        <v>0</v>
      </c>
      <c r="J148" s="4">
        <f>IF(OR(INDEX($AH$2:$AH$1001,MATCH(ROWS($AG$2:AG148),$AG$2:$AG$1001,0),1)&gt;=100000,INDEX($AN$1005:$BO$1005,1,MATCH(COLUMNS($AN$1006:AV1006),$AN$1006:$BO$1006,0))&gt;=100000), " ",IF(INDEX($AN$2:$BO$1001,MATCH(ROWS($AG$2:AG148),$AG$2:$AG$1001,0),MATCH(COLUMNS($AN$1006:AV1006),$AN$1006:$BO$1006,0)), HYPERLINK("#",""), HYPERLINK(CONCATENATE("#Metadata!", ADDRESS(INDEX($AI$2:$AI$1001,MATCH(ROWS($AG$2:AG148),$AG$2:$AG$1001,0),0), INDEX($AN$1004:$BO$1004,1,MATCH(COLUMNS($AN$1006:AV1006),$AN$1006:$BO$1006,0)))),"Fix")))</f>
        <v>0</v>
      </c>
      <c r="K148" s="4">
        <f>IF(OR(INDEX($AH$2:$AH$1001,MATCH(ROWS($AG$2:AG148),$AG$2:$AG$1001,0),1)&gt;=100000,INDEX($AN$1005:$BO$1005,1,MATCH(COLUMNS($AN$1006:AW1006),$AN$1006:$BO$1006,0))&gt;=100000), " ",IF(INDEX($AN$2:$BO$1001,MATCH(ROWS($AG$2:AG148),$AG$2:$AG$1001,0),MATCH(COLUMNS($AN$1006:AW1006),$AN$1006:$BO$1006,0)), HYPERLINK("#",""), HYPERLINK(CONCATENATE("#Metadata!", ADDRESS(INDEX($AI$2:$AI$1001,MATCH(ROWS($AG$2:AG148),$AG$2:$AG$1001,0),0), INDEX($AN$1004:$BO$1004,1,MATCH(COLUMNS($AN$1006:AW1006),$AN$1006:$BO$1006,0)))),"Fix")))</f>
        <v>0</v>
      </c>
      <c r="L148" s="4">
        <f>IF(OR(INDEX($AH$2:$AH$1001,MATCH(ROWS($AG$2:AG148),$AG$2:$AG$1001,0),1)&gt;=100000,INDEX($AN$1005:$BO$1005,1,MATCH(COLUMNS($AN$1006:AX1006),$AN$1006:$BO$1006,0))&gt;=100000), " ",IF(INDEX($AN$2:$BO$1001,MATCH(ROWS($AG$2:AG148),$AG$2:$AG$1001,0),MATCH(COLUMNS($AN$1006:AX1006),$AN$1006:$BO$1006,0)), HYPERLINK("#",""), HYPERLINK(CONCATENATE("#Metadata!", ADDRESS(INDEX($AI$2:$AI$1001,MATCH(ROWS($AG$2:AG148),$AG$2:$AG$1001,0),0), INDEX($AN$1004:$BO$1004,1,MATCH(COLUMNS($AN$1006:AX1006),$AN$1006:$BO$1006,0)))),"Fix")))</f>
        <v>0</v>
      </c>
      <c r="M148" s="4">
        <f>IF(OR(INDEX($AH$2:$AH$1001,MATCH(ROWS($AG$2:AG148),$AG$2:$AG$1001,0),1)&gt;=100000,INDEX($AN$1005:$BO$1005,1,MATCH(COLUMNS($AN$1006:AY1006),$AN$1006:$BO$1006,0))&gt;=100000), " ",IF(INDEX($AN$2:$BO$1001,MATCH(ROWS($AG$2:AG148),$AG$2:$AG$1001,0),MATCH(COLUMNS($AN$1006:AY1006),$AN$1006:$BO$1006,0)), HYPERLINK("#",""), HYPERLINK(CONCATENATE("#Metadata!", ADDRESS(INDEX($AI$2:$AI$1001,MATCH(ROWS($AG$2:AG148),$AG$2:$AG$1001,0),0), INDEX($AN$1004:$BO$1004,1,MATCH(COLUMNS($AN$1006:AY1006),$AN$1006:$BO$1006,0)))),"Fix")))</f>
        <v>0</v>
      </c>
      <c r="N148" s="4">
        <f>IF(OR(INDEX($AH$2:$AH$1001,MATCH(ROWS($AG$2:AG148),$AG$2:$AG$1001,0),1)&gt;=100000,INDEX($AN$1005:$BO$1005,1,MATCH(COLUMNS($AN$1006:AZ1006),$AN$1006:$BO$1006,0))&gt;=100000), " ",IF(INDEX($AN$2:$BO$1001,MATCH(ROWS($AG$2:AG148),$AG$2:$AG$1001,0),MATCH(COLUMNS($AN$1006:AZ1006),$AN$1006:$BO$1006,0)), HYPERLINK("#",""), HYPERLINK(CONCATENATE("#Metadata!", ADDRESS(INDEX($AI$2:$AI$1001,MATCH(ROWS($AG$2:AG148),$AG$2:$AG$1001,0),0), INDEX($AN$1004:$BO$1004,1,MATCH(COLUMNS($AN$1006:AZ1006),$AN$1006:$BO$1006,0)))),"Fix")))</f>
        <v>0</v>
      </c>
      <c r="O148" s="4">
        <f>IF(OR(INDEX($AH$2:$AH$1001,MATCH(ROWS($AG$2:AG148),$AG$2:$AG$1001,0),1)&gt;=100000,INDEX($AN$1005:$BO$1005,1,MATCH(COLUMNS($AN$1006:BA1006),$AN$1006:$BO$1006,0))&gt;=100000), " ",IF(INDEX($AN$2:$BO$1001,MATCH(ROWS($AG$2:AG148),$AG$2:$AG$1001,0),MATCH(COLUMNS($AN$1006:BA1006),$AN$1006:$BO$1006,0)), HYPERLINK("#",""), HYPERLINK(CONCATENATE("#Metadata!", ADDRESS(INDEX($AI$2:$AI$1001,MATCH(ROWS($AG$2:AG148),$AG$2:$AG$1001,0),0), INDEX($AN$1004:$BO$1004,1,MATCH(COLUMNS($AN$1006:BA1006),$AN$1006:$BO$1006,0)))),"Fix")))</f>
        <v>0</v>
      </c>
      <c r="P148" s="4">
        <f>IF(OR(INDEX($AH$2:$AH$1001,MATCH(ROWS($AG$2:AG148),$AG$2:$AG$1001,0),1)&gt;=100000,INDEX($AN$1005:$BO$1005,1,MATCH(COLUMNS($AN$1006:BB1006),$AN$1006:$BO$1006,0))&gt;=100000), " ",IF(INDEX($AN$2:$BO$1001,MATCH(ROWS($AG$2:AG148),$AG$2:$AG$1001,0),MATCH(COLUMNS($AN$1006:BB1006),$AN$1006:$BO$1006,0)), HYPERLINK("#",""), HYPERLINK(CONCATENATE("#Metadata!", ADDRESS(INDEX($AI$2:$AI$1001,MATCH(ROWS($AG$2:AG148),$AG$2:$AG$1001,0),0), INDEX($AN$1004:$BO$1004,1,MATCH(COLUMNS($AN$1006:BB1006),$AN$1006:$BO$1006,0)))),"Fix")))</f>
        <v>0</v>
      </c>
      <c r="Q148" s="4">
        <f>IF(OR(INDEX($AH$2:$AH$1001,MATCH(ROWS($AG$2:AG148),$AG$2:$AG$1001,0),1)&gt;=100000,INDEX($AN$1005:$BO$1005,1,MATCH(COLUMNS($AN$1006:BC1006),$AN$1006:$BO$1006,0))&gt;=100000), " ",IF(INDEX($AN$2:$BO$1001,MATCH(ROWS($AG$2:AG148),$AG$2:$AG$1001,0),MATCH(COLUMNS($AN$1006:BC1006),$AN$1006:$BO$1006,0)), HYPERLINK("#",""), HYPERLINK(CONCATENATE("#Metadata!", ADDRESS(INDEX($AI$2:$AI$1001,MATCH(ROWS($AG$2:AG148),$AG$2:$AG$1001,0),0), INDEX($AN$1004:$BO$1004,1,MATCH(COLUMNS($AN$1006:BC1006),$AN$1006:$BO$1006,0)))),"Fix")))</f>
        <v>0</v>
      </c>
      <c r="R148" s="4">
        <f>IF(OR(INDEX($AH$2:$AH$1001,MATCH(ROWS($AG$2:AG148),$AG$2:$AG$1001,0),1)&gt;=100000,INDEX($AN$1005:$BO$1005,1,MATCH(COLUMNS($AN$1006:BD1006),$AN$1006:$BO$1006,0))&gt;=100000), " ",IF(INDEX($AN$2:$BO$1001,MATCH(ROWS($AG$2:AG148),$AG$2:$AG$1001,0),MATCH(COLUMNS($AN$1006:BD1006),$AN$1006:$BO$1006,0)), HYPERLINK("#",""), HYPERLINK(CONCATENATE("#Metadata!", ADDRESS(INDEX($AI$2:$AI$1001,MATCH(ROWS($AG$2:AG148),$AG$2:$AG$1001,0),0), INDEX($AN$1004:$BO$1004,1,MATCH(COLUMNS($AN$1006:BD1006),$AN$1006:$BO$1006,0)))),"Fix")))</f>
        <v>0</v>
      </c>
      <c r="S148" s="4">
        <f>IF(OR(INDEX($AH$2:$AH$1001,MATCH(ROWS($AG$2:AG148),$AG$2:$AG$1001,0),1)&gt;=100000,INDEX($AN$1005:$BO$1005,1,MATCH(COLUMNS($AN$1006:BE1006),$AN$1006:$BO$1006,0))&gt;=100000), " ",IF(INDEX($AN$2:$BO$1001,MATCH(ROWS($AG$2:AG148),$AG$2:$AG$1001,0),MATCH(COLUMNS($AN$1006:BE1006),$AN$1006:$BO$1006,0)), HYPERLINK("#",""), HYPERLINK(CONCATENATE("#Metadata!", ADDRESS(INDEX($AI$2:$AI$1001,MATCH(ROWS($AG$2:AG148),$AG$2:$AG$1001,0),0), INDEX($AN$1004:$BO$1004,1,MATCH(COLUMNS($AN$1006:BE1006),$AN$1006:$BO$1006,0)))),"Fix")))</f>
        <v>0</v>
      </c>
      <c r="T148" s="4">
        <f>IF(OR(INDEX($AH$2:$AH$1001,MATCH(ROWS($AG$2:AG148),$AG$2:$AG$1001,0),1)&gt;=100000,INDEX($AN$1005:$BO$1005,1,MATCH(COLUMNS($AN$1006:BF1006),$AN$1006:$BO$1006,0))&gt;=100000), " ",IF(INDEX($AN$2:$BO$1001,MATCH(ROWS($AG$2:AG148),$AG$2:$AG$1001,0),MATCH(COLUMNS($AN$1006:BF1006),$AN$1006:$BO$1006,0)), HYPERLINK("#",""), HYPERLINK(CONCATENATE("#Metadata!", ADDRESS(INDEX($AI$2:$AI$1001,MATCH(ROWS($AG$2:AG148),$AG$2:$AG$1001,0),0), INDEX($AN$1004:$BO$1004,1,MATCH(COLUMNS($AN$1006:BF1006),$AN$1006:$BO$1006,0)))),"Fix")))</f>
        <v>0</v>
      </c>
      <c r="U148" s="4">
        <f>IF(OR(INDEX($AH$2:$AH$1001,MATCH(ROWS($AG$2:AG148),$AG$2:$AG$1001,0),1)&gt;=100000,INDEX($AN$1005:$BO$1005,1,MATCH(COLUMNS($AN$1006:BG1006),$AN$1006:$BO$1006,0))&gt;=100000), " ",IF(INDEX($AN$2:$BO$1001,MATCH(ROWS($AG$2:AG148),$AG$2:$AG$1001,0),MATCH(COLUMNS($AN$1006:BG1006),$AN$1006:$BO$1006,0)), HYPERLINK("#",""), HYPERLINK(CONCATENATE("#Metadata!", ADDRESS(INDEX($AI$2:$AI$1001,MATCH(ROWS($AG$2:AG148),$AG$2:$AG$1001,0),0), INDEX($AN$1004:$BO$1004,1,MATCH(COLUMNS($AN$1006:BG1006),$AN$1006:$BO$1006,0)))),"Fix")))</f>
        <v>0</v>
      </c>
      <c r="V148" s="4">
        <f>IF(OR(INDEX($AH$2:$AH$1001,MATCH(ROWS($AG$2:AG148),$AG$2:$AG$1001,0),1)&gt;=100000,INDEX($AN$1005:$BO$1005,1,MATCH(COLUMNS($AN$1006:BH1006),$AN$1006:$BO$1006,0))&gt;=100000), " ",IF(INDEX($AN$2:$BO$1001,MATCH(ROWS($AG$2:AG148),$AG$2:$AG$1001,0),MATCH(COLUMNS($AN$1006:BH1006),$AN$1006:$BO$1006,0)), HYPERLINK("#",""), HYPERLINK(CONCATENATE("#Metadata!", ADDRESS(INDEX($AI$2:$AI$1001,MATCH(ROWS($AG$2:AG148),$AG$2:$AG$1001,0),0), INDEX($AN$1004:$BO$1004,1,MATCH(COLUMNS($AN$1006:BH1006),$AN$1006:$BO$1006,0)))),"Fix")))</f>
        <v>0</v>
      </c>
      <c r="W148" s="4">
        <f>IF(OR(INDEX($AH$2:$AH$1001,MATCH(ROWS($AG$2:AG148),$AG$2:$AG$1001,0),1)&gt;=100000,INDEX($AN$1005:$BO$1005,1,MATCH(COLUMNS($AN$1006:BI1006),$AN$1006:$BO$1006,0))&gt;=100000), " ",IF(INDEX($AN$2:$BO$1001,MATCH(ROWS($AG$2:AG148),$AG$2:$AG$1001,0),MATCH(COLUMNS($AN$1006:BI1006),$AN$1006:$BO$1006,0)), HYPERLINK("#",""), HYPERLINK(CONCATENATE("#Metadata!", ADDRESS(INDEX($AI$2:$AI$1001,MATCH(ROWS($AG$2:AG148),$AG$2:$AG$1001,0),0), INDEX($AN$1004:$BO$1004,1,MATCH(COLUMNS($AN$1006:BI1006),$AN$1006:$BO$1006,0)))),"Fix")))</f>
        <v>0</v>
      </c>
      <c r="X148" s="4">
        <f>IF(OR(INDEX($AH$2:$AH$1001,MATCH(ROWS($AG$2:AG148),$AG$2:$AG$1001,0),1)&gt;=100000,INDEX($AN$1005:$BO$1005,1,MATCH(COLUMNS($AN$1006:BJ1006),$AN$1006:$BO$1006,0))&gt;=100000), " ",IF(INDEX($AN$2:$BO$1001,MATCH(ROWS($AG$2:AG148),$AG$2:$AG$1001,0),MATCH(COLUMNS($AN$1006:BJ1006),$AN$1006:$BO$1006,0)), HYPERLINK("#",""), HYPERLINK(CONCATENATE("#Metadata!", ADDRESS(INDEX($AI$2:$AI$1001,MATCH(ROWS($AG$2:AG148),$AG$2:$AG$1001,0),0), INDEX($AN$1004:$BO$1004,1,MATCH(COLUMNS($AN$1006:BJ1006),$AN$1006:$BO$1006,0)))),"Fix")))</f>
        <v>0</v>
      </c>
      <c r="Y148" s="4">
        <f>IF(OR(INDEX($AH$2:$AH$1001,MATCH(ROWS($AG$2:AG148),$AG$2:$AG$1001,0),1)&gt;=100000,INDEX($AN$1005:$BO$1005,1,MATCH(COLUMNS($AN$1006:BK1006),$AN$1006:$BO$1006,0))&gt;=100000), " ",IF(INDEX($AN$2:$BO$1001,MATCH(ROWS($AG$2:AG148),$AG$2:$AG$1001,0),MATCH(COLUMNS($AN$1006:BK1006),$AN$1006:$BO$1006,0)), HYPERLINK("#",""), HYPERLINK(CONCATENATE("#Metadata!", ADDRESS(INDEX($AI$2:$AI$1001,MATCH(ROWS($AG$2:AG148),$AG$2:$AG$1001,0),0), INDEX($AN$1004:$BO$1004,1,MATCH(COLUMNS($AN$1006:BK1006),$AN$1006:$BO$1006,0)))),"Fix")))</f>
        <v>0</v>
      </c>
      <c r="Z148" s="4">
        <f>IF(OR(INDEX($AH$2:$AH$1001,MATCH(ROWS($AG$2:AG148),$AG$2:$AG$1001,0),1)&gt;=100000,INDEX($AN$1005:$BO$1005,1,MATCH(COLUMNS($AN$1006:BL1006),$AN$1006:$BO$1006,0))&gt;=100000), " ",IF(INDEX($AN$2:$BO$1001,MATCH(ROWS($AG$2:AG148),$AG$2:$AG$1001,0),MATCH(COLUMNS($AN$1006:BL1006),$AN$1006:$BO$1006,0)), HYPERLINK("#",""), HYPERLINK(CONCATENATE("#Metadata!", ADDRESS(INDEX($AI$2:$AI$1001,MATCH(ROWS($AG$2:AG148),$AG$2:$AG$1001,0),0), INDEX($AN$1004:$BO$1004,1,MATCH(COLUMNS($AN$1006:BL1006),$AN$1006:$BO$1006,0)))),"Fix")))</f>
        <v>0</v>
      </c>
      <c r="AA148" s="4">
        <f>IF(OR(INDEX($AH$2:$AH$1001,MATCH(ROWS($AG$2:AG148),$AG$2:$AG$1001,0),1)&gt;=100000,INDEX($AN$1005:$BO$1005,1,MATCH(COLUMNS($AN$1006:BM1006),$AN$1006:$BO$1006,0))&gt;=100000), " ",IF(INDEX($AN$2:$BO$1001,MATCH(ROWS($AG$2:AG148),$AG$2:$AG$1001,0),MATCH(COLUMNS($AN$1006:BM1006),$AN$1006:$BO$1006,0)), HYPERLINK("#",""), HYPERLINK(CONCATENATE("#Metadata!", ADDRESS(INDEX($AI$2:$AI$1001,MATCH(ROWS($AG$2:AG148),$AG$2:$AG$1001,0),0), INDEX($AN$1004:$BO$1004,1,MATCH(COLUMNS($AN$1006:BM1006),$AN$1006:$BO$1006,0)))),"Fix")))</f>
        <v>0</v>
      </c>
      <c r="AB148" s="4">
        <f>IF(OR(INDEX($AH$2:$AH$1001,MATCH(ROWS($AG$2:AG148),$AG$2:$AG$1001,0),1)&gt;=100000,INDEX($AN$1005:$BO$1005,1,MATCH(COLUMNS($AN$1006:BN1006),$AN$1006:$BO$1006,0))&gt;=100000), " ",IF(INDEX($AN$2:$BO$1001,MATCH(ROWS($AG$2:AG148),$AG$2:$AG$1001,0),MATCH(COLUMNS($AN$1006:BN1006),$AN$1006:$BO$1006,0)), HYPERLINK("#",""), HYPERLINK(CONCATENATE("#Metadata!", ADDRESS(INDEX($AI$2:$AI$1001,MATCH(ROWS($AG$2:AG148),$AG$2:$AG$1001,0),0), INDEX($AN$1004:$BO$1004,1,MATCH(COLUMNS($AN$1006:BN1006),$AN$1006:$BO$1006,0)))),"Fix")))</f>
        <v>0</v>
      </c>
      <c r="AC148" s="4">
        <f>IF(OR(INDEX($AH$2:$AH$1001,MATCH(ROWS($AG$2:AG148),$AG$2:$AG$1001,0),1)&gt;=100000,INDEX($AN$1005:$BO$1005,1,MATCH(COLUMNS($AN$1006:BO1006),$AN$1006:$BO$1006,0))&gt;=100000), " ",IF(INDEX($AN$2:$BO$1001,MATCH(ROWS($AG$2:AG148),$AG$2:$AG$1001,0),MATCH(COLUMNS($AN$1006:BO1006),$AN$1006:$BO$1006,0)), HYPERLINK("#",""), HYPERLINK(CONCATENATE("#Metadata!", ADDRESS(INDEX($AI$2:$AI$1001,MATCH(ROWS($AG$2:AG148),$AG$2:$AG$1001,0),0), INDEX($AN$1004:$BO$1004,1,MATCH(COLUMNS($AN$1006:BO1006),$AN$1006:$BO$1006,0)))),"Fix")))</f>
        <v>0</v>
      </c>
      <c r="AG148">
        <v>0</v>
      </c>
      <c r="AH148">
        <v>0</v>
      </c>
      <c r="AI148">
        <v>0</v>
      </c>
      <c r="AJ148">
        <f>IF(AK148,TRUE,AND(AN148:BO148))</f>
        <v>0</v>
      </c>
      <c r="AK148">
        <f>COUNTBLANK(Metadata!B148:AC148)=COLUMNS(Metadata!B148:AC148)</f>
        <v>0</v>
      </c>
      <c r="AL148">
        <v>0</v>
      </c>
      <c r="AN148">
        <f>AND(IF(Metadata!B148="",FALSE,TRUE),COUNTIF(Metadata!B:B, Metadata!B148) = 1,NOT(ISERROR(SUMPRODUCT(SEARCH(MID(Metadata!B148,ROW(INDIRECT("1:"&amp;LEN(Metadata!B148))), 1),"0123456789abcdefghijklmnopqrstuvwxyzABCDEFGHIJKLMNOPQRSTUVWXYZ.")))))</f>
        <v>0</v>
      </c>
      <c r="AO148">
        <f>IF(Metadata!C148="",FALSE,TRUE)</f>
        <v>0</v>
      </c>
      <c r="AP148">
        <f>IF(Metadata!D148="",FALSE,TRUE)</f>
        <v>0</v>
      </c>
      <c r="AQ148">
        <f>OR(AND(IF(Metadata!E148="",FALSE,TRUE),OR(exact(Metadata!E148,"not collected"),exact(Metadata!E148,"not provided"),exact(Metadata!E148,"restricted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R148">
        <f>IF(Metadata!F148="",FALSE,TRUE)</f>
        <v>0</v>
      </c>
      <c r="AS148">
        <f>OR(AND(IF(Metadata!G148="",FALSE,TRUE),OR(exact(Metadata!G148,"not collected"),exact(Metadata!G148,"not provided"))),AND(IF(Metadata!G148="",FALSE,TRUE),OR(exact(Metadata!G148,"TRUE"),exact(Metadata!G148,"FALSE"))))</f>
        <v>0</v>
      </c>
      <c r="AT148">
        <f>OR(AND(IF(Metadata!H148="",FALSE,TRUE),OR(exact(Metadata!H148,"not collected"),exact(Metadata!H148,"not provided"),exact(Metadata!H148,"restricted access"))),AND(IF(Metadata!H148="",FALSE,ISNUMBER(VALUE(Metadata!H148))),Metadata!H148&gt;=-413.0))</f>
        <v>0</v>
      </c>
      <c r="AU148">
        <f>AND(IF(Metadata!I148="",FALSE,TRUE),exact(Metadata!I148,"meters"))</f>
        <v>0</v>
      </c>
      <c r="AV148">
        <f>AND(IF(Metadata!J148="",FALSE,TRUE),OR(exact(Metadata!J148,"Host-associated"),exact(Metadata!J148,"Free-living")))</f>
        <v>0</v>
      </c>
      <c r="AW148">
        <f>AND(IF(Metadata!K148="",FALSE,TRUE),OR(exact(Metadata!K148,"Animal"),exact(Metadata!K148,"Fungus"),exact(Metadata!K148,"Plant"),exact(Metadata!K148,"Saline"),exact(Metadata!K148,"Non-saline")))</f>
        <v>0</v>
      </c>
      <c r="AX148">
        <f>AND(IF(Metadata!L148="",FALSE,TRUE),OR(exact(Metadata!L148,"Plant secretion"),exact(Metadata!L148,"Plant rhizosphere"),exact(Metadata!L148,"Plant surface"),exact(Metadata!L148,"Plant corpus"),exact(Metadata!L148,"Fungus surface"),exact(Metadata!L148,"Fungus corpus"),exact(Metadata!L148,"Animal surface"),exact(Metadata!L148,"Animal proximal gut"),exact(Metadata!L148,"Animal corpus"),exact(Metadata!L148,"Animal distal gut"),exact(Metadata!L148,"Animal secretion"),exact(Metadata!L148,"Sub-surface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Y148">
        <f>IF(Metadata!M148="",FALSE,TRUE)</f>
        <v>0</v>
      </c>
      <c r="AZ148">
        <f>IF(Metadata!N148="",FALSE,TRUE)</f>
        <v>0</v>
      </c>
      <c r="BA148">
        <f>IF(Metadata!O148="",FALSE,TRUE)</f>
        <v>0</v>
      </c>
      <c r="BB148">
        <f>OR(AND(IF(Metadata!P148="",FALSE,TRUE),OR(exact(Metadata!P148,"not collected"),exact(Metadata!P148,"not provided"),exact(Metadata!P148,"restricted access"))),AND(IF(Metadata!P148="",FALSE,TRUE),OR(exact(Metadata!P148,"air"),exact(Metadata!P148,"built environment"),exact(Metadata!P148,"host-associated"),exact(Metadata!P148,"human-associated"),exact(Metadata!P148,"human-skin"),exact(Metadata!P148,"human-oral"),exact(Metadata!P148,"human-gut"),exact(Metadata!P148,"human-vaginal"),exact(Metadata!P148,"microbial mat/biofilm"),exact(Metadata!P148,"misc environment"),exact(Metadata!P148,"plant-associated"),exact(Metadata!P148,"sediment"),exact(Metadata!P148,"soil"),exact(Metadata!P148,"wastewater/sludge"),exact(Metadata!P148,"water"))))</f>
        <v>0</v>
      </c>
      <c r="BC148">
        <f>IF(Metadata!Q148="",FALSE,TRUE)</f>
        <v>0</v>
      </c>
      <c r="BD148">
        <f>IF(Metadata!R148="",FALSE,TRUE)</f>
        <v>0</v>
      </c>
      <c r="BE148">
        <f>OR(AND(IF(Metadata!S148="",FALSE,TRUE),OR(exact(Metadata!S148,"not collected"),exact(Metadata!S148,"not provided"),exact(Metadata!S148,"restricted access"))),AND(IF(Metadata!S148="",FALSE,ISNUMBER(VALUE(Metadata!S148))),Metadata!S148&gt;=-90.00,Metadata!S148&lt;=90.00))</f>
        <v>0</v>
      </c>
      <c r="BF148">
        <f>AND(IF(Metadata!T148="",FALSE,TRUE),exact(Metadata!T148,"Decimal degrees"))</f>
        <v>0</v>
      </c>
      <c r="BG148">
        <f>OR(AND(IF(Metadata!U148="",FALSE,TRUE),OR(exact(Metadata!U148,"not collected"),exact(Metadata!U148,"not provided"),exact(Metadata!U148,"restricted access"))),AND(IF(Metadata!U148="",FALSE,ISNUMBER(VALUE(Metadata!U148))),Metadata!U148&gt;=-180.00,Metadata!U148&lt;=180.00))</f>
        <v>0</v>
      </c>
      <c r="BH148">
        <f>AND(IF(Metadata!V148="",FALSE,TRUE),exact(Metadata!V148,"Decimal degrees"))</f>
        <v>0</v>
      </c>
      <c r="BI148">
        <f>IF(Metadata!W148="",FALSE,TRUE)</f>
        <v>0</v>
      </c>
      <c r="BJ148">
        <f>OR(AND(IF(Metadata!X148="",FALSE,TRUE),OR(exact(Metadata!X148,"not collected"),exact(Metadata!X148,"not provided"),exact(Metadata!X148,"restricted access"))),AND(IF(Metadata!X148="",FALSE,TRUE),OR(exact(Metadata!X148,"TRUE"),exact(Metadata!X148,"FALSE"))))</f>
        <v>0</v>
      </c>
      <c r="BK148">
        <f>AND(IF(Metadata!Y148="",FALSE,TRUE),exact(Metadata!Y148,"other"))</f>
        <v>0</v>
      </c>
      <c r="BL148">
        <f>IF(Metadata!Z148="",FALSE,TRUE)</f>
        <v>0</v>
      </c>
      <c r="BM148">
        <f>OR(AND(IF(Metadata!AA148="",FALSE,TRUE),OR(exact(Metadata!AA148,"not collected"),exact(Metadata!AA148,"not provided"))),AND(IF(Metadata!AA148="",FALSE,IF(ISERROR(INT(Metadata!AA148)),FALSE,INT(Metadata!AA148)=Metadata!AA148)),Metadata!AA148&gt;0))</f>
        <v>0</v>
      </c>
      <c r="BN148">
        <f>AND(IF(Metadata!AB148="",FALSE,TRUE),exact(Metadata!AB148,"Not applicable"))</f>
        <v>0</v>
      </c>
      <c r="BO148">
        <f>IF(Metadata!AC148="",FALSE,TRUE)</f>
        <v>0</v>
      </c>
    </row>
    <row r="149" spans="1:67">
      <c r="A149" s="5">
        <f>IF(B149=" "," ",HYPERLINK(CONCATENATE("#metadata!",ADDRESS(INDEX($AI$2:$AI$1001,MATCH(ROWS($AG$2:AG149),$AG$2:$AG$1001,0),0),1)),INDEX($AL$2:$AL$1001,MATCH(ROWS($AG$2:AG149),$AG$2:$AG$1001,0),0)))</f>
        <v>0</v>
      </c>
      <c r="B149" s="4">
        <f>IF(OR(INDEX($AH$2:$AH$1001,MATCH(ROWS($AG$2:AG149),$AG$2:$AG$1001,0),1)&gt;=100000,INDEX($AN$1005:$BO$1005,1,MATCH(COLUMNS($AN$1006:AN1006),$AN$1006:$BO$1006,0))&gt;=100000), " ",IF(INDEX($AN$2:$BO$1001,MATCH(ROWS($AG$2:AG149),$AG$2:$AG$1001,0),MATCH(COLUMNS($AN$1006:AN1006),$AN$1006:$BO$1006,0)), HYPERLINK("#",""), HYPERLINK(CONCATENATE("#Metadata!", ADDRESS(INDEX($AI$2:$AI$1001,MATCH(ROWS($AG$2:AG149),$AG$2:$AG$1001,0),0), INDEX($AN$1004:$BO$1004,1,MATCH(COLUMNS($AN$1006:AN1006),$AN$1006:$BO$1006,0)))),"Fix")))</f>
        <v>0</v>
      </c>
      <c r="C149" s="4">
        <f>IF(OR(INDEX($AH$2:$AH$1001,MATCH(ROWS($AG$2:AG149),$AG$2:$AG$1001,0),1)&gt;=100000,INDEX($AN$1005:$BO$1005,1,MATCH(COLUMNS($AN$1006:AO1006),$AN$1006:$BO$1006,0))&gt;=100000), " ",IF(INDEX($AN$2:$BO$1001,MATCH(ROWS($AG$2:AG149),$AG$2:$AG$1001,0),MATCH(COLUMNS($AN$1006:AO1006),$AN$1006:$BO$1006,0)), HYPERLINK("#",""), HYPERLINK(CONCATENATE("#Metadata!", ADDRESS(INDEX($AI$2:$AI$1001,MATCH(ROWS($AG$2:AG149),$AG$2:$AG$1001,0),0), INDEX($AN$1004:$BO$1004,1,MATCH(COLUMNS($AN$1006:AO1006),$AN$1006:$BO$1006,0)))),"Fix")))</f>
        <v>0</v>
      </c>
      <c r="D149" s="4">
        <f>IF(OR(INDEX($AH$2:$AH$1001,MATCH(ROWS($AG$2:AG149),$AG$2:$AG$1001,0),1)&gt;=100000,INDEX($AN$1005:$BO$1005,1,MATCH(COLUMNS($AN$1006:AP1006),$AN$1006:$BO$1006,0))&gt;=100000), " ",IF(INDEX($AN$2:$BO$1001,MATCH(ROWS($AG$2:AG149),$AG$2:$AG$1001,0),MATCH(COLUMNS($AN$1006:AP1006),$AN$1006:$BO$1006,0)), HYPERLINK("#",""), HYPERLINK(CONCATENATE("#Metadata!", ADDRESS(INDEX($AI$2:$AI$1001,MATCH(ROWS($AG$2:AG149),$AG$2:$AG$1001,0),0), INDEX($AN$1004:$BO$1004,1,MATCH(COLUMNS($AN$1006:AP1006),$AN$1006:$BO$1006,0)))),"Fix")))</f>
        <v>0</v>
      </c>
      <c r="E149" s="4">
        <f>IF(OR(INDEX($AH$2:$AH$1001,MATCH(ROWS($AG$2:AG149),$AG$2:$AG$1001,0),1)&gt;=100000,INDEX($AN$1005:$BO$1005,1,MATCH(COLUMNS($AN$1006:AQ1006),$AN$1006:$BO$1006,0))&gt;=100000), " ",IF(INDEX($AN$2:$BO$1001,MATCH(ROWS($AG$2:AG149),$AG$2:$AG$1001,0),MATCH(COLUMNS($AN$1006:AQ1006),$AN$1006:$BO$1006,0)), HYPERLINK("#",""), HYPERLINK(CONCATENATE("#Metadata!", ADDRESS(INDEX($AI$2:$AI$1001,MATCH(ROWS($AG$2:AG149),$AG$2:$AG$1001,0),0), INDEX($AN$1004:$BO$1004,1,MATCH(COLUMNS($AN$1006:AQ1006),$AN$1006:$BO$1006,0)))),"Fix")))</f>
        <v>0</v>
      </c>
      <c r="F149" s="4">
        <f>IF(OR(INDEX($AH$2:$AH$1001,MATCH(ROWS($AG$2:AG149),$AG$2:$AG$1001,0),1)&gt;=100000,INDEX($AN$1005:$BO$1005,1,MATCH(COLUMNS($AN$1006:AR1006),$AN$1006:$BO$1006,0))&gt;=100000), " ",IF(INDEX($AN$2:$BO$1001,MATCH(ROWS($AG$2:AG149),$AG$2:$AG$1001,0),MATCH(COLUMNS($AN$1006:AR1006),$AN$1006:$BO$1006,0)), HYPERLINK("#",""), HYPERLINK(CONCATENATE("#Metadata!", ADDRESS(INDEX($AI$2:$AI$1001,MATCH(ROWS($AG$2:AG149),$AG$2:$AG$1001,0),0), INDEX($AN$1004:$BO$1004,1,MATCH(COLUMNS($AN$1006:AR1006),$AN$1006:$BO$1006,0)))),"Fix")))</f>
        <v>0</v>
      </c>
      <c r="G149" s="4">
        <f>IF(OR(INDEX($AH$2:$AH$1001,MATCH(ROWS($AG$2:AG149),$AG$2:$AG$1001,0),1)&gt;=100000,INDEX($AN$1005:$BO$1005,1,MATCH(COLUMNS($AN$1006:AS1006),$AN$1006:$BO$1006,0))&gt;=100000), " ",IF(INDEX($AN$2:$BO$1001,MATCH(ROWS($AG$2:AG149),$AG$2:$AG$1001,0),MATCH(COLUMNS($AN$1006:AS1006),$AN$1006:$BO$1006,0)), HYPERLINK("#",""), HYPERLINK(CONCATENATE("#Metadata!", ADDRESS(INDEX($AI$2:$AI$1001,MATCH(ROWS($AG$2:AG149),$AG$2:$AG$1001,0),0), INDEX($AN$1004:$BO$1004,1,MATCH(COLUMNS($AN$1006:AS1006),$AN$1006:$BO$1006,0)))),"Fix")))</f>
        <v>0</v>
      </c>
      <c r="H149" s="4">
        <f>IF(OR(INDEX($AH$2:$AH$1001,MATCH(ROWS($AG$2:AG149),$AG$2:$AG$1001,0),1)&gt;=100000,INDEX($AN$1005:$BO$1005,1,MATCH(COLUMNS($AN$1006:AT1006),$AN$1006:$BO$1006,0))&gt;=100000), " ",IF(INDEX($AN$2:$BO$1001,MATCH(ROWS($AG$2:AG149),$AG$2:$AG$1001,0),MATCH(COLUMNS($AN$1006:AT1006),$AN$1006:$BO$1006,0)), HYPERLINK("#",""), HYPERLINK(CONCATENATE("#Metadata!", ADDRESS(INDEX($AI$2:$AI$1001,MATCH(ROWS($AG$2:AG149),$AG$2:$AG$1001,0),0), INDEX($AN$1004:$BO$1004,1,MATCH(COLUMNS($AN$1006:AT1006),$AN$1006:$BO$1006,0)))),"Fix")))</f>
        <v>0</v>
      </c>
      <c r="I149" s="4">
        <f>IF(OR(INDEX($AH$2:$AH$1001,MATCH(ROWS($AG$2:AG149),$AG$2:$AG$1001,0),1)&gt;=100000,INDEX($AN$1005:$BO$1005,1,MATCH(COLUMNS($AN$1006:AU1006),$AN$1006:$BO$1006,0))&gt;=100000), " ",IF(INDEX($AN$2:$BO$1001,MATCH(ROWS($AG$2:AG149),$AG$2:$AG$1001,0),MATCH(COLUMNS($AN$1006:AU1006),$AN$1006:$BO$1006,0)), HYPERLINK("#",""), HYPERLINK(CONCATENATE("#Metadata!", ADDRESS(INDEX($AI$2:$AI$1001,MATCH(ROWS($AG$2:AG149),$AG$2:$AG$1001,0),0), INDEX($AN$1004:$BO$1004,1,MATCH(COLUMNS($AN$1006:AU1006),$AN$1006:$BO$1006,0)))),"Fix")))</f>
        <v>0</v>
      </c>
      <c r="J149" s="4">
        <f>IF(OR(INDEX($AH$2:$AH$1001,MATCH(ROWS($AG$2:AG149),$AG$2:$AG$1001,0),1)&gt;=100000,INDEX($AN$1005:$BO$1005,1,MATCH(COLUMNS($AN$1006:AV1006),$AN$1006:$BO$1006,0))&gt;=100000), " ",IF(INDEX($AN$2:$BO$1001,MATCH(ROWS($AG$2:AG149),$AG$2:$AG$1001,0),MATCH(COLUMNS($AN$1006:AV1006),$AN$1006:$BO$1006,0)), HYPERLINK("#",""), HYPERLINK(CONCATENATE("#Metadata!", ADDRESS(INDEX($AI$2:$AI$1001,MATCH(ROWS($AG$2:AG149),$AG$2:$AG$1001,0),0), INDEX($AN$1004:$BO$1004,1,MATCH(COLUMNS($AN$1006:AV1006),$AN$1006:$BO$1006,0)))),"Fix")))</f>
        <v>0</v>
      </c>
      <c r="K149" s="4">
        <f>IF(OR(INDEX($AH$2:$AH$1001,MATCH(ROWS($AG$2:AG149),$AG$2:$AG$1001,0),1)&gt;=100000,INDEX($AN$1005:$BO$1005,1,MATCH(COLUMNS($AN$1006:AW1006),$AN$1006:$BO$1006,0))&gt;=100000), " ",IF(INDEX($AN$2:$BO$1001,MATCH(ROWS($AG$2:AG149),$AG$2:$AG$1001,0),MATCH(COLUMNS($AN$1006:AW1006),$AN$1006:$BO$1006,0)), HYPERLINK("#",""), HYPERLINK(CONCATENATE("#Metadata!", ADDRESS(INDEX($AI$2:$AI$1001,MATCH(ROWS($AG$2:AG149),$AG$2:$AG$1001,0),0), INDEX($AN$1004:$BO$1004,1,MATCH(COLUMNS($AN$1006:AW1006),$AN$1006:$BO$1006,0)))),"Fix")))</f>
        <v>0</v>
      </c>
      <c r="L149" s="4">
        <f>IF(OR(INDEX($AH$2:$AH$1001,MATCH(ROWS($AG$2:AG149),$AG$2:$AG$1001,0),1)&gt;=100000,INDEX($AN$1005:$BO$1005,1,MATCH(COLUMNS($AN$1006:AX1006),$AN$1006:$BO$1006,0))&gt;=100000), " ",IF(INDEX($AN$2:$BO$1001,MATCH(ROWS($AG$2:AG149),$AG$2:$AG$1001,0),MATCH(COLUMNS($AN$1006:AX1006),$AN$1006:$BO$1006,0)), HYPERLINK("#",""), HYPERLINK(CONCATENATE("#Metadata!", ADDRESS(INDEX($AI$2:$AI$1001,MATCH(ROWS($AG$2:AG149),$AG$2:$AG$1001,0),0), INDEX($AN$1004:$BO$1004,1,MATCH(COLUMNS($AN$1006:AX1006),$AN$1006:$BO$1006,0)))),"Fix")))</f>
        <v>0</v>
      </c>
      <c r="M149" s="4">
        <f>IF(OR(INDEX($AH$2:$AH$1001,MATCH(ROWS($AG$2:AG149),$AG$2:$AG$1001,0),1)&gt;=100000,INDEX($AN$1005:$BO$1005,1,MATCH(COLUMNS($AN$1006:AY1006),$AN$1006:$BO$1006,0))&gt;=100000), " ",IF(INDEX($AN$2:$BO$1001,MATCH(ROWS($AG$2:AG149),$AG$2:$AG$1001,0),MATCH(COLUMNS($AN$1006:AY1006),$AN$1006:$BO$1006,0)), HYPERLINK("#",""), HYPERLINK(CONCATENATE("#Metadata!", ADDRESS(INDEX($AI$2:$AI$1001,MATCH(ROWS($AG$2:AG149),$AG$2:$AG$1001,0),0), INDEX($AN$1004:$BO$1004,1,MATCH(COLUMNS($AN$1006:AY1006),$AN$1006:$BO$1006,0)))),"Fix")))</f>
        <v>0</v>
      </c>
      <c r="N149" s="4">
        <f>IF(OR(INDEX($AH$2:$AH$1001,MATCH(ROWS($AG$2:AG149),$AG$2:$AG$1001,0),1)&gt;=100000,INDEX($AN$1005:$BO$1005,1,MATCH(COLUMNS($AN$1006:AZ1006),$AN$1006:$BO$1006,0))&gt;=100000), " ",IF(INDEX($AN$2:$BO$1001,MATCH(ROWS($AG$2:AG149),$AG$2:$AG$1001,0),MATCH(COLUMNS($AN$1006:AZ1006),$AN$1006:$BO$1006,0)), HYPERLINK("#",""), HYPERLINK(CONCATENATE("#Metadata!", ADDRESS(INDEX($AI$2:$AI$1001,MATCH(ROWS($AG$2:AG149),$AG$2:$AG$1001,0),0), INDEX($AN$1004:$BO$1004,1,MATCH(COLUMNS($AN$1006:AZ1006),$AN$1006:$BO$1006,0)))),"Fix")))</f>
        <v>0</v>
      </c>
      <c r="O149" s="4">
        <f>IF(OR(INDEX($AH$2:$AH$1001,MATCH(ROWS($AG$2:AG149),$AG$2:$AG$1001,0),1)&gt;=100000,INDEX($AN$1005:$BO$1005,1,MATCH(COLUMNS($AN$1006:BA1006),$AN$1006:$BO$1006,0))&gt;=100000), " ",IF(INDEX($AN$2:$BO$1001,MATCH(ROWS($AG$2:AG149),$AG$2:$AG$1001,0),MATCH(COLUMNS($AN$1006:BA1006),$AN$1006:$BO$1006,0)), HYPERLINK("#",""), HYPERLINK(CONCATENATE("#Metadata!", ADDRESS(INDEX($AI$2:$AI$1001,MATCH(ROWS($AG$2:AG149),$AG$2:$AG$1001,0),0), INDEX($AN$1004:$BO$1004,1,MATCH(COLUMNS($AN$1006:BA1006),$AN$1006:$BO$1006,0)))),"Fix")))</f>
        <v>0</v>
      </c>
      <c r="P149" s="4">
        <f>IF(OR(INDEX($AH$2:$AH$1001,MATCH(ROWS($AG$2:AG149),$AG$2:$AG$1001,0),1)&gt;=100000,INDEX($AN$1005:$BO$1005,1,MATCH(COLUMNS($AN$1006:BB1006),$AN$1006:$BO$1006,0))&gt;=100000), " ",IF(INDEX($AN$2:$BO$1001,MATCH(ROWS($AG$2:AG149),$AG$2:$AG$1001,0),MATCH(COLUMNS($AN$1006:BB1006),$AN$1006:$BO$1006,0)), HYPERLINK("#",""), HYPERLINK(CONCATENATE("#Metadata!", ADDRESS(INDEX($AI$2:$AI$1001,MATCH(ROWS($AG$2:AG149),$AG$2:$AG$1001,0),0), INDEX($AN$1004:$BO$1004,1,MATCH(COLUMNS($AN$1006:BB1006),$AN$1006:$BO$1006,0)))),"Fix")))</f>
        <v>0</v>
      </c>
      <c r="Q149" s="4">
        <f>IF(OR(INDEX($AH$2:$AH$1001,MATCH(ROWS($AG$2:AG149),$AG$2:$AG$1001,0),1)&gt;=100000,INDEX($AN$1005:$BO$1005,1,MATCH(COLUMNS($AN$1006:BC1006),$AN$1006:$BO$1006,0))&gt;=100000), " ",IF(INDEX($AN$2:$BO$1001,MATCH(ROWS($AG$2:AG149),$AG$2:$AG$1001,0),MATCH(COLUMNS($AN$1006:BC1006),$AN$1006:$BO$1006,0)), HYPERLINK("#",""), HYPERLINK(CONCATENATE("#Metadata!", ADDRESS(INDEX($AI$2:$AI$1001,MATCH(ROWS($AG$2:AG149),$AG$2:$AG$1001,0),0), INDEX($AN$1004:$BO$1004,1,MATCH(COLUMNS($AN$1006:BC1006),$AN$1006:$BO$1006,0)))),"Fix")))</f>
        <v>0</v>
      </c>
      <c r="R149" s="4">
        <f>IF(OR(INDEX($AH$2:$AH$1001,MATCH(ROWS($AG$2:AG149),$AG$2:$AG$1001,0),1)&gt;=100000,INDEX($AN$1005:$BO$1005,1,MATCH(COLUMNS($AN$1006:BD1006),$AN$1006:$BO$1006,0))&gt;=100000), " ",IF(INDEX($AN$2:$BO$1001,MATCH(ROWS($AG$2:AG149),$AG$2:$AG$1001,0),MATCH(COLUMNS($AN$1006:BD1006),$AN$1006:$BO$1006,0)), HYPERLINK("#",""), HYPERLINK(CONCATENATE("#Metadata!", ADDRESS(INDEX($AI$2:$AI$1001,MATCH(ROWS($AG$2:AG149),$AG$2:$AG$1001,0),0), INDEX($AN$1004:$BO$1004,1,MATCH(COLUMNS($AN$1006:BD1006),$AN$1006:$BO$1006,0)))),"Fix")))</f>
        <v>0</v>
      </c>
      <c r="S149" s="4">
        <f>IF(OR(INDEX($AH$2:$AH$1001,MATCH(ROWS($AG$2:AG149),$AG$2:$AG$1001,0),1)&gt;=100000,INDEX($AN$1005:$BO$1005,1,MATCH(COLUMNS($AN$1006:BE1006),$AN$1006:$BO$1006,0))&gt;=100000), " ",IF(INDEX($AN$2:$BO$1001,MATCH(ROWS($AG$2:AG149),$AG$2:$AG$1001,0),MATCH(COLUMNS($AN$1006:BE1006),$AN$1006:$BO$1006,0)), HYPERLINK("#",""), HYPERLINK(CONCATENATE("#Metadata!", ADDRESS(INDEX($AI$2:$AI$1001,MATCH(ROWS($AG$2:AG149),$AG$2:$AG$1001,0),0), INDEX($AN$1004:$BO$1004,1,MATCH(COLUMNS($AN$1006:BE1006),$AN$1006:$BO$1006,0)))),"Fix")))</f>
        <v>0</v>
      </c>
      <c r="T149" s="4">
        <f>IF(OR(INDEX($AH$2:$AH$1001,MATCH(ROWS($AG$2:AG149),$AG$2:$AG$1001,0),1)&gt;=100000,INDEX($AN$1005:$BO$1005,1,MATCH(COLUMNS($AN$1006:BF1006),$AN$1006:$BO$1006,0))&gt;=100000), " ",IF(INDEX($AN$2:$BO$1001,MATCH(ROWS($AG$2:AG149),$AG$2:$AG$1001,0),MATCH(COLUMNS($AN$1006:BF1006),$AN$1006:$BO$1006,0)), HYPERLINK("#",""), HYPERLINK(CONCATENATE("#Metadata!", ADDRESS(INDEX($AI$2:$AI$1001,MATCH(ROWS($AG$2:AG149),$AG$2:$AG$1001,0),0), INDEX($AN$1004:$BO$1004,1,MATCH(COLUMNS($AN$1006:BF1006),$AN$1006:$BO$1006,0)))),"Fix")))</f>
        <v>0</v>
      </c>
      <c r="U149" s="4">
        <f>IF(OR(INDEX($AH$2:$AH$1001,MATCH(ROWS($AG$2:AG149),$AG$2:$AG$1001,0),1)&gt;=100000,INDEX($AN$1005:$BO$1005,1,MATCH(COLUMNS($AN$1006:BG1006),$AN$1006:$BO$1006,0))&gt;=100000), " ",IF(INDEX($AN$2:$BO$1001,MATCH(ROWS($AG$2:AG149),$AG$2:$AG$1001,0),MATCH(COLUMNS($AN$1006:BG1006),$AN$1006:$BO$1006,0)), HYPERLINK("#",""), HYPERLINK(CONCATENATE("#Metadata!", ADDRESS(INDEX($AI$2:$AI$1001,MATCH(ROWS($AG$2:AG149),$AG$2:$AG$1001,0),0), INDEX($AN$1004:$BO$1004,1,MATCH(COLUMNS($AN$1006:BG1006),$AN$1006:$BO$1006,0)))),"Fix")))</f>
        <v>0</v>
      </c>
      <c r="V149" s="4">
        <f>IF(OR(INDEX($AH$2:$AH$1001,MATCH(ROWS($AG$2:AG149),$AG$2:$AG$1001,0),1)&gt;=100000,INDEX($AN$1005:$BO$1005,1,MATCH(COLUMNS($AN$1006:BH1006),$AN$1006:$BO$1006,0))&gt;=100000), " ",IF(INDEX($AN$2:$BO$1001,MATCH(ROWS($AG$2:AG149),$AG$2:$AG$1001,0),MATCH(COLUMNS($AN$1006:BH1006),$AN$1006:$BO$1006,0)), HYPERLINK("#",""), HYPERLINK(CONCATENATE("#Metadata!", ADDRESS(INDEX($AI$2:$AI$1001,MATCH(ROWS($AG$2:AG149),$AG$2:$AG$1001,0),0), INDEX($AN$1004:$BO$1004,1,MATCH(COLUMNS($AN$1006:BH1006),$AN$1006:$BO$1006,0)))),"Fix")))</f>
        <v>0</v>
      </c>
      <c r="W149" s="4">
        <f>IF(OR(INDEX($AH$2:$AH$1001,MATCH(ROWS($AG$2:AG149),$AG$2:$AG$1001,0),1)&gt;=100000,INDEX($AN$1005:$BO$1005,1,MATCH(COLUMNS($AN$1006:BI1006),$AN$1006:$BO$1006,0))&gt;=100000), " ",IF(INDEX($AN$2:$BO$1001,MATCH(ROWS($AG$2:AG149),$AG$2:$AG$1001,0),MATCH(COLUMNS($AN$1006:BI1006),$AN$1006:$BO$1006,0)), HYPERLINK("#",""), HYPERLINK(CONCATENATE("#Metadata!", ADDRESS(INDEX($AI$2:$AI$1001,MATCH(ROWS($AG$2:AG149),$AG$2:$AG$1001,0),0), INDEX($AN$1004:$BO$1004,1,MATCH(COLUMNS($AN$1006:BI1006),$AN$1006:$BO$1006,0)))),"Fix")))</f>
        <v>0</v>
      </c>
      <c r="X149" s="4">
        <f>IF(OR(INDEX($AH$2:$AH$1001,MATCH(ROWS($AG$2:AG149),$AG$2:$AG$1001,0),1)&gt;=100000,INDEX($AN$1005:$BO$1005,1,MATCH(COLUMNS($AN$1006:BJ1006),$AN$1006:$BO$1006,0))&gt;=100000), " ",IF(INDEX($AN$2:$BO$1001,MATCH(ROWS($AG$2:AG149),$AG$2:$AG$1001,0),MATCH(COLUMNS($AN$1006:BJ1006),$AN$1006:$BO$1006,0)), HYPERLINK("#",""), HYPERLINK(CONCATENATE("#Metadata!", ADDRESS(INDEX($AI$2:$AI$1001,MATCH(ROWS($AG$2:AG149),$AG$2:$AG$1001,0),0), INDEX($AN$1004:$BO$1004,1,MATCH(COLUMNS($AN$1006:BJ1006),$AN$1006:$BO$1006,0)))),"Fix")))</f>
        <v>0</v>
      </c>
      <c r="Y149" s="4">
        <f>IF(OR(INDEX($AH$2:$AH$1001,MATCH(ROWS($AG$2:AG149),$AG$2:$AG$1001,0),1)&gt;=100000,INDEX($AN$1005:$BO$1005,1,MATCH(COLUMNS($AN$1006:BK1006),$AN$1006:$BO$1006,0))&gt;=100000), " ",IF(INDEX($AN$2:$BO$1001,MATCH(ROWS($AG$2:AG149),$AG$2:$AG$1001,0),MATCH(COLUMNS($AN$1006:BK1006),$AN$1006:$BO$1006,0)), HYPERLINK("#",""), HYPERLINK(CONCATENATE("#Metadata!", ADDRESS(INDEX($AI$2:$AI$1001,MATCH(ROWS($AG$2:AG149),$AG$2:$AG$1001,0),0), INDEX($AN$1004:$BO$1004,1,MATCH(COLUMNS($AN$1006:BK1006),$AN$1006:$BO$1006,0)))),"Fix")))</f>
        <v>0</v>
      </c>
      <c r="Z149" s="4">
        <f>IF(OR(INDEX($AH$2:$AH$1001,MATCH(ROWS($AG$2:AG149),$AG$2:$AG$1001,0),1)&gt;=100000,INDEX($AN$1005:$BO$1005,1,MATCH(COLUMNS($AN$1006:BL1006),$AN$1006:$BO$1006,0))&gt;=100000), " ",IF(INDEX($AN$2:$BO$1001,MATCH(ROWS($AG$2:AG149),$AG$2:$AG$1001,0),MATCH(COLUMNS($AN$1006:BL1006),$AN$1006:$BO$1006,0)), HYPERLINK("#",""), HYPERLINK(CONCATENATE("#Metadata!", ADDRESS(INDEX($AI$2:$AI$1001,MATCH(ROWS($AG$2:AG149),$AG$2:$AG$1001,0),0), INDEX($AN$1004:$BO$1004,1,MATCH(COLUMNS($AN$1006:BL1006),$AN$1006:$BO$1006,0)))),"Fix")))</f>
        <v>0</v>
      </c>
      <c r="AA149" s="4">
        <f>IF(OR(INDEX($AH$2:$AH$1001,MATCH(ROWS($AG$2:AG149),$AG$2:$AG$1001,0),1)&gt;=100000,INDEX($AN$1005:$BO$1005,1,MATCH(COLUMNS($AN$1006:BM1006),$AN$1006:$BO$1006,0))&gt;=100000), " ",IF(INDEX($AN$2:$BO$1001,MATCH(ROWS($AG$2:AG149),$AG$2:$AG$1001,0),MATCH(COLUMNS($AN$1006:BM1006),$AN$1006:$BO$1006,0)), HYPERLINK("#",""), HYPERLINK(CONCATENATE("#Metadata!", ADDRESS(INDEX($AI$2:$AI$1001,MATCH(ROWS($AG$2:AG149),$AG$2:$AG$1001,0),0), INDEX($AN$1004:$BO$1004,1,MATCH(COLUMNS($AN$1006:BM1006),$AN$1006:$BO$1006,0)))),"Fix")))</f>
        <v>0</v>
      </c>
      <c r="AB149" s="4">
        <f>IF(OR(INDEX($AH$2:$AH$1001,MATCH(ROWS($AG$2:AG149),$AG$2:$AG$1001,0),1)&gt;=100000,INDEX($AN$1005:$BO$1005,1,MATCH(COLUMNS($AN$1006:BN1006),$AN$1006:$BO$1006,0))&gt;=100000), " ",IF(INDEX($AN$2:$BO$1001,MATCH(ROWS($AG$2:AG149),$AG$2:$AG$1001,0),MATCH(COLUMNS($AN$1006:BN1006),$AN$1006:$BO$1006,0)), HYPERLINK("#",""), HYPERLINK(CONCATENATE("#Metadata!", ADDRESS(INDEX($AI$2:$AI$1001,MATCH(ROWS($AG$2:AG149),$AG$2:$AG$1001,0),0), INDEX($AN$1004:$BO$1004,1,MATCH(COLUMNS($AN$1006:BN1006),$AN$1006:$BO$1006,0)))),"Fix")))</f>
        <v>0</v>
      </c>
      <c r="AC149" s="4">
        <f>IF(OR(INDEX($AH$2:$AH$1001,MATCH(ROWS($AG$2:AG149),$AG$2:$AG$1001,0),1)&gt;=100000,INDEX($AN$1005:$BO$1005,1,MATCH(COLUMNS($AN$1006:BO1006),$AN$1006:$BO$1006,0))&gt;=100000), " ",IF(INDEX($AN$2:$BO$1001,MATCH(ROWS($AG$2:AG149),$AG$2:$AG$1001,0),MATCH(COLUMNS($AN$1006:BO1006),$AN$1006:$BO$1006,0)), HYPERLINK("#",""), HYPERLINK(CONCATENATE("#Metadata!", ADDRESS(INDEX($AI$2:$AI$1001,MATCH(ROWS($AG$2:AG149),$AG$2:$AG$1001,0),0), INDEX($AN$1004:$BO$1004,1,MATCH(COLUMNS($AN$1006:BO1006),$AN$1006:$BO$1006,0)))),"Fix")))</f>
        <v>0</v>
      </c>
      <c r="AG149">
        <v>0</v>
      </c>
      <c r="AH149">
        <v>0</v>
      </c>
      <c r="AI149">
        <v>0</v>
      </c>
      <c r="AJ149">
        <f>IF(AK149,TRUE,AND(AN149:BO149))</f>
        <v>0</v>
      </c>
      <c r="AK149">
        <f>COUNTBLANK(Metadata!B149:AC149)=COLUMNS(Metadata!B149:AC149)</f>
        <v>0</v>
      </c>
      <c r="AL149">
        <v>0</v>
      </c>
      <c r="AN149">
        <f>AND(IF(Metadata!B149="",FALSE,TRUE),COUNTIF(Metadata!B:B, Metadata!B149) = 1,NOT(ISERROR(SUMPRODUCT(SEARCH(MID(Metadata!B149,ROW(INDIRECT("1:"&amp;LEN(Metadata!B149))), 1),"0123456789abcdefghijklmnopqrstuvwxyzABCDEFGHIJKLMNOPQRSTUVWXYZ.")))))</f>
        <v>0</v>
      </c>
      <c r="AO149">
        <f>IF(Metadata!C149="",FALSE,TRUE)</f>
        <v>0</v>
      </c>
      <c r="AP149">
        <f>IF(Metadata!D149="",FALSE,TRUE)</f>
        <v>0</v>
      </c>
      <c r="AQ149">
        <f>OR(AND(IF(Metadata!E149="",FALSE,TRUE),OR(exact(Metadata!E149,"not collected"),exact(Metadata!E149,"not provided"),exact(Metadata!E149,"restricted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R149">
        <f>IF(Metadata!F149="",FALSE,TRUE)</f>
        <v>0</v>
      </c>
      <c r="AS149">
        <f>OR(AND(IF(Metadata!G149="",FALSE,TRUE),OR(exact(Metadata!G149,"not collected"),exact(Metadata!G149,"not provided"))),AND(IF(Metadata!G149="",FALSE,TRUE),OR(exact(Metadata!G149,"TRUE"),exact(Metadata!G149,"FALSE"))))</f>
        <v>0</v>
      </c>
      <c r="AT149">
        <f>OR(AND(IF(Metadata!H149="",FALSE,TRUE),OR(exact(Metadata!H149,"not collected"),exact(Metadata!H149,"not provided"),exact(Metadata!H149,"restricted access"))),AND(IF(Metadata!H149="",FALSE,ISNUMBER(VALUE(Metadata!H149))),Metadata!H149&gt;=-413.0))</f>
        <v>0</v>
      </c>
      <c r="AU149">
        <f>AND(IF(Metadata!I149="",FALSE,TRUE),exact(Metadata!I149,"meters"))</f>
        <v>0</v>
      </c>
      <c r="AV149">
        <f>AND(IF(Metadata!J149="",FALSE,TRUE),OR(exact(Metadata!J149,"Host-associated"),exact(Metadata!J149,"Free-living")))</f>
        <v>0</v>
      </c>
      <c r="AW149">
        <f>AND(IF(Metadata!K149="",FALSE,TRUE),OR(exact(Metadata!K149,"Animal"),exact(Metadata!K149,"Fungus"),exact(Metadata!K149,"Plant"),exact(Metadata!K149,"Saline"),exact(Metadata!K149,"Non-saline")))</f>
        <v>0</v>
      </c>
      <c r="AX149">
        <f>AND(IF(Metadata!L149="",FALSE,TRUE),OR(exact(Metadata!L149,"Plant secretion"),exact(Metadata!L149,"Plant rhizosphere"),exact(Metadata!L149,"Plant surface"),exact(Metadata!L149,"Plant corpus"),exact(Metadata!L149,"Fungus surface"),exact(Metadata!L149,"Fungus corpus"),exact(Metadata!L149,"Animal surface"),exact(Metadata!L149,"Animal proximal gut"),exact(Metadata!L149,"Animal corpus"),exact(Metadata!L149,"Animal distal gut"),exact(Metadata!L149,"Animal secretion"),exact(Metadata!L149,"Sub-surface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Y149">
        <f>IF(Metadata!M149="",FALSE,TRUE)</f>
        <v>0</v>
      </c>
      <c r="AZ149">
        <f>IF(Metadata!N149="",FALSE,TRUE)</f>
        <v>0</v>
      </c>
      <c r="BA149">
        <f>IF(Metadata!O149="",FALSE,TRUE)</f>
        <v>0</v>
      </c>
      <c r="BB149">
        <f>OR(AND(IF(Metadata!P149="",FALSE,TRUE),OR(exact(Metadata!P149,"not collected"),exact(Metadata!P149,"not provided"),exact(Metadata!P149,"restricted access"))),AND(IF(Metadata!P149="",FALSE,TRUE),OR(exact(Metadata!P149,"air"),exact(Metadata!P149,"built environment"),exact(Metadata!P149,"host-associated"),exact(Metadata!P149,"human-associated"),exact(Metadata!P149,"human-skin"),exact(Metadata!P149,"human-oral"),exact(Metadata!P149,"human-gut"),exact(Metadata!P149,"human-vaginal"),exact(Metadata!P149,"microbial mat/biofilm"),exact(Metadata!P149,"misc environment"),exact(Metadata!P149,"plant-associated"),exact(Metadata!P149,"sediment"),exact(Metadata!P149,"soil"),exact(Metadata!P149,"wastewater/sludge"),exact(Metadata!P149,"water"))))</f>
        <v>0</v>
      </c>
      <c r="BC149">
        <f>IF(Metadata!Q149="",FALSE,TRUE)</f>
        <v>0</v>
      </c>
      <c r="BD149">
        <f>IF(Metadata!R149="",FALSE,TRUE)</f>
        <v>0</v>
      </c>
      <c r="BE149">
        <f>OR(AND(IF(Metadata!S149="",FALSE,TRUE),OR(exact(Metadata!S149,"not collected"),exact(Metadata!S149,"not provided"),exact(Metadata!S149,"restricted access"))),AND(IF(Metadata!S149="",FALSE,ISNUMBER(VALUE(Metadata!S149))),Metadata!S149&gt;=-90.00,Metadata!S149&lt;=90.00))</f>
        <v>0</v>
      </c>
      <c r="BF149">
        <f>AND(IF(Metadata!T149="",FALSE,TRUE),exact(Metadata!T149,"Decimal degrees"))</f>
        <v>0</v>
      </c>
      <c r="BG149">
        <f>OR(AND(IF(Metadata!U149="",FALSE,TRUE),OR(exact(Metadata!U149,"not collected"),exact(Metadata!U149,"not provided"),exact(Metadata!U149,"restricted access"))),AND(IF(Metadata!U149="",FALSE,ISNUMBER(VALUE(Metadata!U149))),Metadata!U149&gt;=-180.00,Metadata!U149&lt;=180.00))</f>
        <v>0</v>
      </c>
      <c r="BH149">
        <f>AND(IF(Metadata!V149="",FALSE,TRUE),exact(Metadata!V149,"Decimal degrees"))</f>
        <v>0</v>
      </c>
      <c r="BI149">
        <f>IF(Metadata!W149="",FALSE,TRUE)</f>
        <v>0</v>
      </c>
      <c r="BJ149">
        <f>OR(AND(IF(Metadata!X149="",FALSE,TRUE),OR(exact(Metadata!X149,"not collected"),exact(Metadata!X149,"not provided"),exact(Metadata!X149,"restricted access"))),AND(IF(Metadata!X149="",FALSE,TRUE),OR(exact(Metadata!X149,"TRUE"),exact(Metadata!X149,"FALSE"))))</f>
        <v>0</v>
      </c>
      <c r="BK149">
        <f>AND(IF(Metadata!Y149="",FALSE,TRUE),exact(Metadata!Y149,"other"))</f>
        <v>0</v>
      </c>
      <c r="BL149">
        <f>IF(Metadata!Z149="",FALSE,TRUE)</f>
        <v>0</v>
      </c>
      <c r="BM149">
        <f>OR(AND(IF(Metadata!AA149="",FALSE,TRUE),OR(exact(Metadata!AA149,"not collected"),exact(Metadata!AA149,"not provided"))),AND(IF(Metadata!AA149="",FALSE,IF(ISERROR(INT(Metadata!AA149)),FALSE,INT(Metadata!AA149)=Metadata!AA149)),Metadata!AA149&gt;0))</f>
        <v>0</v>
      </c>
      <c r="BN149">
        <f>AND(IF(Metadata!AB149="",FALSE,TRUE),exact(Metadata!AB149,"Not applicable"))</f>
        <v>0</v>
      </c>
      <c r="BO149">
        <f>IF(Metadata!AC149="",FALSE,TRUE)</f>
        <v>0</v>
      </c>
    </row>
    <row r="150" spans="1:67">
      <c r="A150" s="5">
        <f>IF(B150=" "," ",HYPERLINK(CONCATENATE("#metadata!",ADDRESS(INDEX($AI$2:$AI$1001,MATCH(ROWS($AG$2:AG150),$AG$2:$AG$1001,0),0),1)),INDEX($AL$2:$AL$1001,MATCH(ROWS($AG$2:AG150),$AG$2:$AG$1001,0),0)))</f>
        <v>0</v>
      </c>
      <c r="B150" s="4">
        <f>IF(OR(INDEX($AH$2:$AH$1001,MATCH(ROWS($AG$2:AG150),$AG$2:$AG$1001,0),1)&gt;=100000,INDEX($AN$1005:$BO$1005,1,MATCH(COLUMNS($AN$1006:AN1006),$AN$1006:$BO$1006,0))&gt;=100000), " ",IF(INDEX($AN$2:$BO$1001,MATCH(ROWS($AG$2:AG150),$AG$2:$AG$1001,0),MATCH(COLUMNS($AN$1006:AN1006),$AN$1006:$BO$1006,0)), HYPERLINK("#",""), HYPERLINK(CONCATENATE("#Metadata!", ADDRESS(INDEX($AI$2:$AI$1001,MATCH(ROWS($AG$2:AG150),$AG$2:$AG$1001,0),0), INDEX($AN$1004:$BO$1004,1,MATCH(COLUMNS($AN$1006:AN1006),$AN$1006:$BO$1006,0)))),"Fix")))</f>
        <v>0</v>
      </c>
      <c r="C150" s="4">
        <f>IF(OR(INDEX($AH$2:$AH$1001,MATCH(ROWS($AG$2:AG150),$AG$2:$AG$1001,0),1)&gt;=100000,INDEX($AN$1005:$BO$1005,1,MATCH(COLUMNS($AN$1006:AO1006),$AN$1006:$BO$1006,0))&gt;=100000), " ",IF(INDEX($AN$2:$BO$1001,MATCH(ROWS($AG$2:AG150),$AG$2:$AG$1001,0),MATCH(COLUMNS($AN$1006:AO1006),$AN$1006:$BO$1006,0)), HYPERLINK("#",""), HYPERLINK(CONCATENATE("#Metadata!", ADDRESS(INDEX($AI$2:$AI$1001,MATCH(ROWS($AG$2:AG150),$AG$2:$AG$1001,0),0), INDEX($AN$1004:$BO$1004,1,MATCH(COLUMNS($AN$1006:AO1006),$AN$1006:$BO$1006,0)))),"Fix")))</f>
        <v>0</v>
      </c>
      <c r="D150" s="4">
        <f>IF(OR(INDEX($AH$2:$AH$1001,MATCH(ROWS($AG$2:AG150),$AG$2:$AG$1001,0),1)&gt;=100000,INDEX($AN$1005:$BO$1005,1,MATCH(COLUMNS($AN$1006:AP1006),$AN$1006:$BO$1006,0))&gt;=100000), " ",IF(INDEX($AN$2:$BO$1001,MATCH(ROWS($AG$2:AG150),$AG$2:$AG$1001,0),MATCH(COLUMNS($AN$1006:AP1006),$AN$1006:$BO$1006,0)), HYPERLINK("#",""), HYPERLINK(CONCATENATE("#Metadata!", ADDRESS(INDEX($AI$2:$AI$1001,MATCH(ROWS($AG$2:AG150),$AG$2:$AG$1001,0),0), INDEX($AN$1004:$BO$1004,1,MATCH(COLUMNS($AN$1006:AP1006),$AN$1006:$BO$1006,0)))),"Fix")))</f>
        <v>0</v>
      </c>
      <c r="E150" s="4">
        <f>IF(OR(INDEX($AH$2:$AH$1001,MATCH(ROWS($AG$2:AG150),$AG$2:$AG$1001,0),1)&gt;=100000,INDEX($AN$1005:$BO$1005,1,MATCH(COLUMNS($AN$1006:AQ1006),$AN$1006:$BO$1006,0))&gt;=100000), " ",IF(INDEX($AN$2:$BO$1001,MATCH(ROWS($AG$2:AG150),$AG$2:$AG$1001,0),MATCH(COLUMNS($AN$1006:AQ1006),$AN$1006:$BO$1006,0)), HYPERLINK("#",""), HYPERLINK(CONCATENATE("#Metadata!", ADDRESS(INDEX($AI$2:$AI$1001,MATCH(ROWS($AG$2:AG150),$AG$2:$AG$1001,0),0), INDEX($AN$1004:$BO$1004,1,MATCH(COLUMNS($AN$1006:AQ1006),$AN$1006:$BO$1006,0)))),"Fix")))</f>
        <v>0</v>
      </c>
      <c r="F150" s="4">
        <f>IF(OR(INDEX($AH$2:$AH$1001,MATCH(ROWS($AG$2:AG150),$AG$2:$AG$1001,0),1)&gt;=100000,INDEX($AN$1005:$BO$1005,1,MATCH(COLUMNS($AN$1006:AR1006),$AN$1006:$BO$1006,0))&gt;=100000), " ",IF(INDEX($AN$2:$BO$1001,MATCH(ROWS($AG$2:AG150),$AG$2:$AG$1001,0),MATCH(COLUMNS($AN$1006:AR1006),$AN$1006:$BO$1006,0)), HYPERLINK("#",""), HYPERLINK(CONCATENATE("#Metadata!", ADDRESS(INDEX($AI$2:$AI$1001,MATCH(ROWS($AG$2:AG150),$AG$2:$AG$1001,0),0), INDEX($AN$1004:$BO$1004,1,MATCH(COLUMNS($AN$1006:AR1006),$AN$1006:$BO$1006,0)))),"Fix")))</f>
        <v>0</v>
      </c>
      <c r="G150" s="4">
        <f>IF(OR(INDEX($AH$2:$AH$1001,MATCH(ROWS($AG$2:AG150),$AG$2:$AG$1001,0),1)&gt;=100000,INDEX($AN$1005:$BO$1005,1,MATCH(COLUMNS($AN$1006:AS1006),$AN$1006:$BO$1006,0))&gt;=100000), " ",IF(INDEX($AN$2:$BO$1001,MATCH(ROWS($AG$2:AG150),$AG$2:$AG$1001,0),MATCH(COLUMNS($AN$1006:AS1006),$AN$1006:$BO$1006,0)), HYPERLINK("#",""), HYPERLINK(CONCATENATE("#Metadata!", ADDRESS(INDEX($AI$2:$AI$1001,MATCH(ROWS($AG$2:AG150),$AG$2:$AG$1001,0),0), INDEX($AN$1004:$BO$1004,1,MATCH(COLUMNS($AN$1006:AS1006),$AN$1006:$BO$1006,0)))),"Fix")))</f>
        <v>0</v>
      </c>
      <c r="H150" s="4">
        <f>IF(OR(INDEX($AH$2:$AH$1001,MATCH(ROWS($AG$2:AG150),$AG$2:$AG$1001,0),1)&gt;=100000,INDEX($AN$1005:$BO$1005,1,MATCH(COLUMNS($AN$1006:AT1006),$AN$1006:$BO$1006,0))&gt;=100000), " ",IF(INDEX($AN$2:$BO$1001,MATCH(ROWS($AG$2:AG150),$AG$2:$AG$1001,0),MATCH(COLUMNS($AN$1006:AT1006),$AN$1006:$BO$1006,0)), HYPERLINK("#",""), HYPERLINK(CONCATENATE("#Metadata!", ADDRESS(INDEX($AI$2:$AI$1001,MATCH(ROWS($AG$2:AG150),$AG$2:$AG$1001,0),0), INDEX($AN$1004:$BO$1004,1,MATCH(COLUMNS($AN$1006:AT1006),$AN$1006:$BO$1006,0)))),"Fix")))</f>
        <v>0</v>
      </c>
      <c r="I150" s="4">
        <f>IF(OR(INDEX($AH$2:$AH$1001,MATCH(ROWS($AG$2:AG150),$AG$2:$AG$1001,0),1)&gt;=100000,INDEX($AN$1005:$BO$1005,1,MATCH(COLUMNS($AN$1006:AU1006),$AN$1006:$BO$1006,0))&gt;=100000), " ",IF(INDEX($AN$2:$BO$1001,MATCH(ROWS($AG$2:AG150),$AG$2:$AG$1001,0),MATCH(COLUMNS($AN$1006:AU1006),$AN$1006:$BO$1006,0)), HYPERLINK("#",""), HYPERLINK(CONCATENATE("#Metadata!", ADDRESS(INDEX($AI$2:$AI$1001,MATCH(ROWS($AG$2:AG150),$AG$2:$AG$1001,0),0), INDEX($AN$1004:$BO$1004,1,MATCH(COLUMNS($AN$1006:AU1006),$AN$1006:$BO$1006,0)))),"Fix")))</f>
        <v>0</v>
      </c>
      <c r="J150" s="4">
        <f>IF(OR(INDEX($AH$2:$AH$1001,MATCH(ROWS($AG$2:AG150),$AG$2:$AG$1001,0),1)&gt;=100000,INDEX($AN$1005:$BO$1005,1,MATCH(COLUMNS($AN$1006:AV1006),$AN$1006:$BO$1006,0))&gt;=100000), " ",IF(INDEX($AN$2:$BO$1001,MATCH(ROWS($AG$2:AG150),$AG$2:$AG$1001,0),MATCH(COLUMNS($AN$1006:AV1006),$AN$1006:$BO$1006,0)), HYPERLINK("#",""), HYPERLINK(CONCATENATE("#Metadata!", ADDRESS(INDEX($AI$2:$AI$1001,MATCH(ROWS($AG$2:AG150),$AG$2:$AG$1001,0),0), INDEX($AN$1004:$BO$1004,1,MATCH(COLUMNS($AN$1006:AV1006),$AN$1006:$BO$1006,0)))),"Fix")))</f>
        <v>0</v>
      </c>
      <c r="K150" s="4">
        <f>IF(OR(INDEX($AH$2:$AH$1001,MATCH(ROWS($AG$2:AG150),$AG$2:$AG$1001,0),1)&gt;=100000,INDEX($AN$1005:$BO$1005,1,MATCH(COLUMNS($AN$1006:AW1006),$AN$1006:$BO$1006,0))&gt;=100000), " ",IF(INDEX($AN$2:$BO$1001,MATCH(ROWS($AG$2:AG150),$AG$2:$AG$1001,0),MATCH(COLUMNS($AN$1006:AW1006),$AN$1006:$BO$1006,0)), HYPERLINK("#",""), HYPERLINK(CONCATENATE("#Metadata!", ADDRESS(INDEX($AI$2:$AI$1001,MATCH(ROWS($AG$2:AG150),$AG$2:$AG$1001,0),0), INDEX($AN$1004:$BO$1004,1,MATCH(COLUMNS($AN$1006:AW1006),$AN$1006:$BO$1006,0)))),"Fix")))</f>
        <v>0</v>
      </c>
      <c r="L150" s="4">
        <f>IF(OR(INDEX($AH$2:$AH$1001,MATCH(ROWS($AG$2:AG150),$AG$2:$AG$1001,0),1)&gt;=100000,INDEX($AN$1005:$BO$1005,1,MATCH(COLUMNS($AN$1006:AX1006),$AN$1006:$BO$1006,0))&gt;=100000), " ",IF(INDEX($AN$2:$BO$1001,MATCH(ROWS($AG$2:AG150),$AG$2:$AG$1001,0),MATCH(COLUMNS($AN$1006:AX1006),$AN$1006:$BO$1006,0)), HYPERLINK("#",""), HYPERLINK(CONCATENATE("#Metadata!", ADDRESS(INDEX($AI$2:$AI$1001,MATCH(ROWS($AG$2:AG150),$AG$2:$AG$1001,0),0), INDEX($AN$1004:$BO$1004,1,MATCH(COLUMNS($AN$1006:AX1006),$AN$1006:$BO$1006,0)))),"Fix")))</f>
        <v>0</v>
      </c>
      <c r="M150" s="4">
        <f>IF(OR(INDEX($AH$2:$AH$1001,MATCH(ROWS($AG$2:AG150),$AG$2:$AG$1001,0),1)&gt;=100000,INDEX($AN$1005:$BO$1005,1,MATCH(COLUMNS($AN$1006:AY1006),$AN$1006:$BO$1006,0))&gt;=100000), " ",IF(INDEX($AN$2:$BO$1001,MATCH(ROWS($AG$2:AG150),$AG$2:$AG$1001,0),MATCH(COLUMNS($AN$1006:AY1006),$AN$1006:$BO$1006,0)), HYPERLINK("#",""), HYPERLINK(CONCATENATE("#Metadata!", ADDRESS(INDEX($AI$2:$AI$1001,MATCH(ROWS($AG$2:AG150),$AG$2:$AG$1001,0),0), INDEX($AN$1004:$BO$1004,1,MATCH(COLUMNS($AN$1006:AY1006),$AN$1006:$BO$1006,0)))),"Fix")))</f>
        <v>0</v>
      </c>
      <c r="N150" s="4">
        <f>IF(OR(INDEX($AH$2:$AH$1001,MATCH(ROWS($AG$2:AG150),$AG$2:$AG$1001,0),1)&gt;=100000,INDEX($AN$1005:$BO$1005,1,MATCH(COLUMNS($AN$1006:AZ1006),$AN$1006:$BO$1006,0))&gt;=100000), " ",IF(INDEX($AN$2:$BO$1001,MATCH(ROWS($AG$2:AG150),$AG$2:$AG$1001,0),MATCH(COLUMNS($AN$1006:AZ1006),$AN$1006:$BO$1006,0)), HYPERLINK("#",""), HYPERLINK(CONCATENATE("#Metadata!", ADDRESS(INDEX($AI$2:$AI$1001,MATCH(ROWS($AG$2:AG150),$AG$2:$AG$1001,0),0), INDEX($AN$1004:$BO$1004,1,MATCH(COLUMNS($AN$1006:AZ1006),$AN$1006:$BO$1006,0)))),"Fix")))</f>
        <v>0</v>
      </c>
      <c r="O150" s="4">
        <f>IF(OR(INDEX($AH$2:$AH$1001,MATCH(ROWS($AG$2:AG150),$AG$2:$AG$1001,0),1)&gt;=100000,INDEX($AN$1005:$BO$1005,1,MATCH(COLUMNS($AN$1006:BA1006),$AN$1006:$BO$1006,0))&gt;=100000), " ",IF(INDEX($AN$2:$BO$1001,MATCH(ROWS($AG$2:AG150),$AG$2:$AG$1001,0),MATCH(COLUMNS($AN$1006:BA1006),$AN$1006:$BO$1006,0)), HYPERLINK("#",""), HYPERLINK(CONCATENATE("#Metadata!", ADDRESS(INDEX($AI$2:$AI$1001,MATCH(ROWS($AG$2:AG150),$AG$2:$AG$1001,0),0), INDEX($AN$1004:$BO$1004,1,MATCH(COLUMNS($AN$1006:BA1006),$AN$1006:$BO$1006,0)))),"Fix")))</f>
        <v>0</v>
      </c>
      <c r="P150" s="4">
        <f>IF(OR(INDEX($AH$2:$AH$1001,MATCH(ROWS($AG$2:AG150),$AG$2:$AG$1001,0),1)&gt;=100000,INDEX($AN$1005:$BO$1005,1,MATCH(COLUMNS($AN$1006:BB1006),$AN$1006:$BO$1006,0))&gt;=100000), " ",IF(INDEX($AN$2:$BO$1001,MATCH(ROWS($AG$2:AG150),$AG$2:$AG$1001,0),MATCH(COLUMNS($AN$1006:BB1006),$AN$1006:$BO$1006,0)), HYPERLINK("#",""), HYPERLINK(CONCATENATE("#Metadata!", ADDRESS(INDEX($AI$2:$AI$1001,MATCH(ROWS($AG$2:AG150),$AG$2:$AG$1001,0),0), INDEX($AN$1004:$BO$1004,1,MATCH(COLUMNS($AN$1006:BB1006),$AN$1006:$BO$1006,0)))),"Fix")))</f>
        <v>0</v>
      </c>
      <c r="Q150" s="4">
        <f>IF(OR(INDEX($AH$2:$AH$1001,MATCH(ROWS($AG$2:AG150),$AG$2:$AG$1001,0),1)&gt;=100000,INDEX($AN$1005:$BO$1005,1,MATCH(COLUMNS($AN$1006:BC1006),$AN$1006:$BO$1006,0))&gt;=100000), " ",IF(INDEX($AN$2:$BO$1001,MATCH(ROWS($AG$2:AG150),$AG$2:$AG$1001,0),MATCH(COLUMNS($AN$1006:BC1006),$AN$1006:$BO$1006,0)), HYPERLINK("#",""), HYPERLINK(CONCATENATE("#Metadata!", ADDRESS(INDEX($AI$2:$AI$1001,MATCH(ROWS($AG$2:AG150),$AG$2:$AG$1001,0),0), INDEX($AN$1004:$BO$1004,1,MATCH(COLUMNS($AN$1006:BC1006),$AN$1006:$BO$1006,0)))),"Fix")))</f>
        <v>0</v>
      </c>
      <c r="R150" s="4">
        <f>IF(OR(INDEX($AH$2:$AH$1001,MATCH(ROWS($AG$2:AG150),$AG$2:$AG$1001,0),1)&gt;=100000,INDEX($AN$1005:$BO$1005,1,MATCH(COLUMNS($AN$1006:BD1006),$AN$1006:$BO$1006,0))&gt;=100000), " ",IF(INDEX($AN$2:$BO$1001,MATCH(ROWS($AG$2:AG150),$AG$2:$AG$1001,0),MATCH(COLUMNS($AN$1006:BD1006),$AN$1006:$BO$1006,0)), HYPERLINK("#",""), HYPERLINK(CONCATENATE("#Metadata!", ADDRESS(INDEX($AI$2:$AI$1001,MATCH(ROWS($AG$2:AG150),$AG$2:$AG$1001,0),0), INDEX($AN$1004:$BO$1004,1,MATCH(COLUMNS($AN$1006:BD1006),$AN$1006:$BO$1006,0)))),"Fix")))</f>
        <v>0</v>
      </c>
      <c r="S150" s="4">
        <f>IF(OR(INDEX($AH$2:$AH$1001,MATCH(ROWS($AG$2:AG150),$AG$2:$AG$1001,0),1)&gt;=100000,INDEX($AN$1005:$BO$1005,1,MATCH(COLUMNS($AN$1006:BE1006),$AN$1006:$BO$1006,0))&gt;=100000), " ",IF(INDEX($AN$2:$BO$1001,MATCH(ROWS($AG$2:AG150),$AG$2:$AG$1001,0),MATCH(COLUMNS($AN$1006:BE1006),$AN$1006:$BO$1006,0)), HYPERLINK("#",""), HYPERLINK(CONCATENATE("#Metadata!", ADDRESS(INDEX($AI$2:$AI$1001,MATCH(ROWS($AG$2:AG150),$AG$2:$AG$1001,0),0), INDEX($AN$1004:$BO$1004,1,MATCH(COLUMNS($AN$1006:BE1006),$AN$1006:$BO$1006,0)))),"Fix")))</f>
        <v>0</v>
      </c>
      <c r="T150" s="4">
        <f>IF(OR(INDEX($AH$2:$AH$1001,MATCH(ROWS($AG$2:AG150),$AG$2:$AG$1001,0),1)&gt;=100000,INDEX($AN$1005:$BO$1005,1,MATCH(COLUMNS($AN$1006:BF1006),$AN$1006:$BO$1006,0))&gt;=100000), " ",IF(INDEX($AN$2:$BO$1001,MATCH(ROWS($AG$2:AG150),$AG$2:$AG$1001,0),MATCH(COLUMNS($AN$1006:BF1006),$AN$1006:$BO$1006,0)), HYPERLINK("#",""), HYPERLINK(CONCATENATE("#Metadata!", ADDRESS(INDEX($AI$2:$AI$1001,MATCH(ROWS($AG$2:AG150),$AG$2:$AG$1001,0),0), INDEX($AN$1004:$BO$1004,1,MATCH(COLUMNS($AN$1006:BF1006),$AN$1006:$BO$1006,0)))),"Fix")))</f>
        <v>0</v>
      </c>
      <c r="U150" s="4">
        <f>IF(OR(INDEX($AH$2:$AH$1001,MATCH(ROWS($AG$2:AG150),$AG$2:$AG$1001,0),1)&gt;=100000,INDEX($AN$1005:$BO$1005,1,MATCH(COLUMNS($AN$1006:BG1006),$AN$1006:$BO$1006,0))&gt;=100000), " ",IF(INDEX($AN$2:$BO$1001,MATCH(ROWS($AG$2:AG150),$AG$2:$AG$1001,0),MATCH(COLUMNS($AN$1006:BG1006),$AN$1006:$BO$1006,0)), HYPERLINK("#",""), HYPERLINK(CONCATENATE("#Metadata!", ADDRESS(INDEX($AI$2:$AI$1001,MATCH(ROWS($AG$2:AG150),$AG$2:$AG$1001,0),0), INDEX($AN$1004:$BO$1004,1,MATCH(COLUMNS($AN$1006:BG1006),$AN$1006:$BO$1006,0)))),"Fix")))</f>
        <v>0</v>
      </c>
      <c r="V150" s="4">
        <f>IF(OR(INDEX($AH$2:$AH$1001,MATCH(ROWS($AG$2:AG150),$AG$2:$AG$1001,0),1)&gt;=100000,INDEX($AN$1005:$BO$1005,1,MATCH(COLUMNS($AN$1006:BH1006),$AN$1006:$BO$1006,0))&gt;=100000), " ",IF(INDEX($AN$2:$BO$1001,MATCH(ROWS($AG$2:AG150),$AG$2:$AG$1001,0),MATCH(COLUMNS($AN$1006:BH1006),$AN$1006:$BO$1006,0)), HYPERLINK("#",""), HYPERLINK(CONCATENATE("#Metadata!", ADDRESS(INDEX($AI$2:$AI$1001,MATCH(ROWS($AG$2:AG150),$AG$2:$AG$1001,0),0), INDEX($AN$1004:$BO$1004,1,MATCH(COLUMNS($AN$1006:BH1006),$AN$1006:$BO$1006,0)))),"Fix")))</f>
        <v>0</v>
      </c>
      <c r="W150" s="4">
        <f>IF(OR(INDEX($AH$2:$AH$1001,MATCH(ROWS($AG$2:AG150),$AG$2:$AG$1001,0),1)&gt;=100000,INDEX($AN$1005:$BO$1005,1,MATCH(COLUMNS($AN$1006:BI1006),$AN$1006:$BO$1006,0))&gt;=100000), " ",IF(INDEX($AN$2:$BO$1001,MATCH(ROWS($AG$2:AG150),$AG$2:$AG$1001,0),MATCH(COLUMNS($AN$1006:BI1006),$AN$1006:$BO$1006,0)), HYPERLINK("#",""), HYPERLINK(CONCATENATE("#Metadata!", ADDRESS(INDEX($AI$2:$AI$1001,MATCH(ROWS($AG$2:AG150),$AG$2:$AG$1001,0),0), INDEX($AN$1004:$BO$1004,1,MATCH(COLUMNS($AN$1006:BI1006),$AN$1006:$BO$1006,0)))),"Fix")))</f>
        <v>0</v>
      </c>
      <c r="X150" s="4">
        <f>IF(OR(INDEX($AH$2:$AH$1001,MATCH(ROWS($AG$2:AG150),$AG$2:$AG$1001,0),1)&gt;=100000,INDEX($AN$1005:$BO$1005,1,MATCH(COLUMNS($AN$1006:BJ1006),$AN$1006:$BO$1006,0))&gt;=100000), " ",IF(INDEX($AN$2:$BO$1001,MATCH(ROWS($AG$2:AG150),$AG$2:$AG$1001,0),MATCH(COLUMNS($AN$1006:BJ1006),$AN$1006:$BO$1006,0)), HYPERLINK("#",""), HYPERLINK(CONCATENATE("#Metadata!", ADDRESS(INDEX($AI$2:$AI$1001,MATCH(ROWS($AG$2:AG150),$AG$2:$AG$1001,0),0), INDEX($AN$1004:$BO$1004,1,MATCH(COLUMNS($AN$1006:BJ1006),$AN$1006:$BO$1006,0)))),"Fix")))</f>
        <v>0</v>
      </c>
      <c r="Y150" s="4">
        <f>IF(OR(INDEX($AH$2:$AH$1001,MATCH(ROWS($AG$2:AG150),$AG$2:$AG$1001,0),1)&gt;=100000,INDEX($AN$1005:$BO$1005,1,MATCH(COLUMNS($AN$1006:BK1006),$AN$1006:$BO$1006,0))&gt;=100000), " ",IF(INDEX($AN$2:$BO$1001,MATCH(ROWS($AG$2:AG150),$AG$2:$AG$1001,0),MATCH(COLUMNS($AN$1006:BK1006),$AN$1006:$BO$1006,0)), HYPERLINK("#",""), HYPERLINK(CONCATENATE("#Metadata!", ADDRESS(INDEX($AI$2:$AI$1001,MATCH(ROWS($AG$2:AG150),$AG$2:$AG$1001,0),0), INDEX($AN$1004:$BO$1004,1,MATCH(COLUMNS($AN$1006:BK1006),$AN$1006:$BO$1006,0)))),"Fix")))</f>
        <v>0</v>
      </c>
      <c r="Z150" s="4">
        <f>IF(OR(INDEX($AH$2:$AH$1001,MATCH(ROWS($AG$2:AG150),$AG$2:$AG$1001,0),1)&gt;=100000,INDEX($AN$1005:$BO$1005,1,MATCH(COLUMNS($AN$1006:BL1006),$AN$1006:$BO$1006,0))&gt;=100000), " ",IF(INDEX($AN$2:$BO$1001,MATCH(ROWS($AG$2:AG150),$AG$2:$AG$1001,0),MATCH(COLUMNS($AN$1006:BL1006),$AN$1006:$BO$1006,0)), HYPERLINK("#",""), HYPERLINK(CONCATENATE("#Metadata!", ADDRESS(INDEX($AI$2:$AI$1001,MATCH(ROWS($AG$2:AG150),$AG$2:$AG$1001,0),0), INDEX($AN$1004:$BO$1004,1,MATCH(COLUMNS($AN$1006:BL1006),$AN$1006:$BO$1006,0)))),"Fix")))</f>
        <v>0</v>
      </c>
      <c r="AA150" s="4">
        <f>IF(OR(INDEX($AH$2:$AH$1001,MATCH(ROWS($AG$2:AG150),$AG$2:$AG$1001,0),1)&gt;=100000,INDEX($AN$1005:$BO$1005,1,MATCH(COLUMNS($AN$1006:BM1006),$AN$1006:$BO$1006,0))&gt;=100000), " ",IF(INDEX($AN$2:$BO$1001,MATCH(ROWS($AG$2:AG150),$AG$2:$AG$1001,0),MATCH(COLUMNS($AN$1006:BM1006),$AN$1006:$BO$1006,0)), HYPERLINK("#",""), HYPERLINK(CONCATENATE("#Metadata!", ADDRESS(INDEX($AI$2:$AI$1001,MATCH(ROWS($AG$2:AG150),$AG$2:$AG$1001,0),0), INDEX($AN$1004:$BO$1004,1,MATCH(COLUMNS($AN$1006:BM1006),$AN$1006:$BO$1006,0)))),"Fix")))</f>
        <v>0</v>
      </c>
      <c r="AB150" s="4">
        <f>IF(OR(INDEX($AH$2:$AH$1001,MATCH(ROWS($AG$2:AG150),$AG$2:$AG$1001,0),1)&gt;=100000,INDEX($AN$1005:$BO$1005,1,MATCH(COLUMNS($AN$1006:BN1006),$AN$1006:$BO$1006,0))&gt;=100000), " ",IF(INDEX($AN$2:$BO$1001,MATCH(ROWS($AG$2:AG150),$AG$2:$AG$1001,0),MATCH(COLUMNS($AN$1006:BN1006),$AN$1006:$BO$1006,0)), HYPERLINK("#",""), HYPERLINK(CONCATENATE("#Metadata!", ADDRESS(INDEX($AI$2:$AI$1001,MATCH(ROWS($AG$2:AG150),$AG$2:$AG$1001,0),0), INDEX($AN$1004:$BO$1004,1,MATCH(COLUMNS($AN$1006:BN1006),$AN$1006:$BO$1006,0)))),"Fix")))</f>
        <v>0</v>
      </c>
      <c r="AC150" s="4">
        <f>IF(OR(INDEX($AH$2:$AH$1001,MATCH(ROWS($AG$2:AG150),$AG$2:$AG$1001,0),1)&gt;=100000,INDEX($AN$1005:$BO$1005,1,MATCH(COLUMNS($AN$1006:BO1006),$AN$1006:$BO$1006,0))&gt;=100000), " ",IF(INDEX($AN$2:$BO$1001,MATCH(ROWS($AG$2:AG150),$AG$2:$AG$1001,0),MATCH(COLUMNS($AN$1006:BO1006),$AN$1006:$BO$1006,0)), HYPERLINK("#",""), HYPERLINK(CONCATENATE("#Metadata!", ADDRESS(INDEX($AI$2:$AI$1001,MATCH(ROWS($AG$2:AG150),$AG$2:$AG$1001,0),0), INDEX($AN$1004:$BO$1004,1,MATCH(COLUMNS($AN$1006:BO1006),$AN$1006:$BO$1006,0)))),"Fix")))</f>
        <v>0</v>
      </c>
      <c r="AG150">
        <v>0</v>
      </c>
      <c r="AH150">
        <v>0</v>
      </c>
      <c r="AI150">
        <v>0</v>
      </c>
      <c r="AJ150">
        <f>IF(AK150,TRUE,AND(AN150:BO150))</f>
        <v>0</v>
      </c>
      <c r="AK150">
        <f>COUNTBLANK(Metadata!B150:AC150)=COLUMNS(Metadata!B150:AC150)</f>
        <v>0</v>
      </c>
      <c r="AL150">
        <v>0</v>
      </c>
      <c r="AN150">
        <f>AND(IF(Metadata!B150="",FALSE,TRUE),COUNTIF(Metadata!B:B, Metadata!B150) = 1,NOT(ISERROR(SUMPRODUCT(SEARCH(MID(Metadata!B150,ROW(INDIRECT("1:"&amp;LEN(Metadata!B150))), 1),"0123456789abcdefghijklmnopqrstuvwxyzABCDEFGHIJKLMNOPQRSTUVWXYZ.")))))</f>
        <v>0</v>
      </c>
      <c r="AO150">
        <f>IF(Metadata!C150="",FALSE,TRUE)</f>
        <v>0</v>
      </c>
      <c r="AP150">
        <f>IF(Metadata!D150="",FALSE,TRUE)</f>
        <v>0</v>
      </c>
      <c r="AQ150">
        <f>OR(AND(IF(Metadata!E150="",FALSE,TRUE),OR(exact(Metadata!E150,"not collected"),exact(Metadata!E150,"not provided"),exact(Metadata!E150,"restricted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R150">
        <f>IF(Metadata!F150="",FALSE,TRUE)</f>
        <v>0</v>
      </c>
      <c r="AS150">
        <f>OR(AND(IF(Metadata!G150="",FALSE,TRUE),OR(exact(Metadata!G150,"not collected"),exact(Metadata!G150,"not provided"))),AND(IF(Metadata!G150="",FALSE,TRUE),OR(exact(Metadata!G150,"TRUE"),exact(Metadata!G150,"FALSE"))))</f>
        <v>0</v>
      </c>
      <c r="AT150">
        <f>OR(AND(IF(Metadata!H150="",FALSE,TRUE),OR(exact(Metadata!H150,"not collected"),exact(Metadata!H150,"not provided"),exact(Metadata!H150,"restricted access"))),AND(IF(Metadata!H150="",FALSE,ISNUMBER(VALUE(Metadata!H150))),Metadata!H150&gt;=-413.0))</f>
        <v>0</v>
      </c>
      <c r="AU150">
        <f>AND(IF(Metadata!I150="",FALSE,TRUE),exact(Metadata!I150,"meters"))</f>
        <v>0</v>
      </c>
      <c r="AV150">
        <f>AND(IF(Metadata!J150="",FALSE,TRUE),OR(exact(Metadata!J150,"Host-associated"),exact(Metadata!J150,"Free-living")))</f>
        <v>0</v>
      </c>
      <c r="AW150">
        <f>AND(IF(Metadata!K150="",FALSE,TRUE),OR(exact(Metadata!K150,"Animal"),exact(Metadata!K150,"Fungus"),exact(Metadata!K150,"Plant"),exact(Metadata!K150,"Saline"),exact(Metadata!K150,"Non-saline")))</f>
        <v>0</v>
      </c>
      <c r="AX150">
        <f>AND(IF(Metadata!L150="",FALSE,TRUE),OR(exact(Metadata!L150,"Plant secretion"),exact(Metadata!L150,"Plant rhizosphere"),exact(Metadata!L150,"Plant surface"),exact(Metadata!L150,"Plant corpus"),exact(Metadata!L150,"Fungus surface"),exact(Metadata!L150,"Fungus corpus"),exact(Metadata!L150,"Animal surface"),exact(Metadata!L150,"Animal proximal gut"),exact(Metadata!L150,"Animal corpus"),exact(Metadata!L150,"Animal distal gut"),exact(Metadata!L150,"Animal secretion"),exact(Metadata!L150,"Sub-surface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Y150">
        <f>IF(Metadata!M150="",FALSE,TRUE)</f>
        <v>0</v>
      </c>
      <c r="AZ150">
        <f>IF(Metadata!N150="",FALSE,TRUE)</f>
        <v>0</v>
      </c>
      <c r="BA150">
        <f>IF(Metadata!O150="",FALSE,TRUE)</f>
        <v>0</v>
      </c>
      <c r="BB150">
        <f>OR(AND(IF(Metadata!P150="",FALSE,TRUE),OR(exact(Metadata!P150,"not collected"),exact(Metadata!P150,"not provided"),exact(Metadata!P150,"restricted access"))),AND(IF(Metadata!P150="",FALSE,TRUE),OR(exact(Metadata!P150,"air"),exact(Metadata!P150,"built environment"),exact(Metadata!P150,"host-associated"),exact(Metadata!P150,"human-associated"),exact(Metadata!P150,"human-skin"),exact(Metadata!P150,"human-oral"),exact(Metadata!P150,"human-gut"),exact(Metadata!P150,"human-vaginal"),exact(Metadata!P150,"microbial mat/biofilm"),exact(Metadata!P150,"misc environment"),exact(Metadata!P150,"plant-associated"),exact(Metadata!P150,"sediment"),exact(Metadata!P150,"soil"),exact(Metadata!P150,"wastewater/sludge"),exact(Metadata!P150,"water"))))</f>
        <v>0</v>
      </c>
      <c r="BC150">
        <f>IF(Metadata!Q150="",FALSE,TRUE)</f>
        <v>0</v>
      </c>
      <c r="BD150">
        <f>IF(Metadata!R150="",FALSE,TRUE)</f>
        <v>0</v>
      </c>
      <c r="BE150">
        <f>OR(AND(IF(Metadata!S150="",FALSE,TRUE),OR(exact(Metadata!S150,"not collected"),exact(Metadata!S150,"not provided"),exact(Metadata!S150,"restricted access"))),AND(IF(Metadata!S150="",FALSE,ISNUMBER(VALUE(Metadata!S150))),Metadata!S150&gt;=-90.00,Metadata!S150&lt;=90.00))</f>
        <v>0</v>
      </c>
      <c r="BF150">
        <f>AND(IF(Metadata!T150="",FALSE,TRUE),exact(Metadata!T150,"Decimal degrees"))</f>
        <v>0</v>
      </c>
      <c r="BG150">
        <f>OR(AND(IF(Metadata!U150="",FALSE,TRUE),OR(exact(Metadata!U150,"not collected"),exact(Metadata!U150,"not provided"),exact(Metadata!U150,"restricted access"))),AND(IF(Metadata!U150="",FALSE,ISNUMBER(VALUE(Metadata!U150))),Metadata!U150&gt;=-180.00,Metadata!U150&lt;=180.00))</f>
        <v>0</v>
      </c>
      <c r="BH150">
        <f>AND(IF(Metadata!V150="",FALSE,TRUE),exact(Metadata!V150,"Decimal degrees"))</f>
        <v>0</v>
      </c>
      <c r="BI150">
        <f>IF(Metadata!W150="",FALSE,TRUE)</f>
        <v>0</v>
      </c>
      <c r="BJ150">
        <f>OR(AND(IF(Metadata!X150="",FALSE,TRUE),OR(exact(Metadata!X150,"not collected"),exact(Metadata!X150,"not provided"),exact(Metadata!X150,"restricted access"))),AND(IF(Metadata!X150="",FALSE,TRUE),OR(exact(Metadata!X150,"TRUE"),exact(Metadata!X150,"FALSE"))))</f>
        <v>0</v>
      </c>
      <c r="BK150">
        <f>AND(IF(Metadata!Y150="",FALSE,TRUE),exact(Metadata!Y150,"other"))</f>
        <v>0</v>
      </c>
      <c r="BL150">
        <f>IF(Metadata!Z150="",FALSE,TRUE)</f>
        <v>0</v>
      </c>
      <c r="BM150">
        <f>OR(AND(IF(Metadata!AA150="",FALSE,TRUE),OR(exact(Metadata!AA150,"not collected"),exact(Metadata!AA150,"not provided"))),AND(IF(Metadata!AA150="",FALSE,IF(ISERROR(INT(Metadata!AA150)),FALSE,INT(Metadata!AA150)=Metadata!AA150)),Metadata!AA150&gt;0))</f>
        <v>0</v>
      </c>
      <c r="BN150">
        <f>AND(IF(Metadata!AB150="",FALSE,TRUE),exact(Metadata!AB150,"Not applicable"))</f>
        <v>0</v>
      </c>
      <c r="BO150">
        <f>IF(Metadata!AC150="",FALSE,TRUE)</f>
        <v>0</v>
      </c>
    </row>
    <row r="151" spans="1:67">
      <c r="A151" s="5">
        <f>IF(B151=" "," ",HYPERLINK(CONCATENATE("#metadata!",ADDRESS(INDEX($AI$2:$AI$1001,MATCH(ROWS($AG$2:AG151),$AG$2:$AG$1001,0),0),1)),INDEX($AL$2:$AL$1001,MATCH(ROWS($AG$2:AG151),$AG$2:$AG$1001,0),0)))</f>
        <v>0</v>
      </c>
      <c r="B151" s="4">
        <f>IF(OR(INDEX($AH$2:$AH$1001,MATCH(ROWS($AG$2:AG151),$AG$2:$AG$1001,0),1)&gt;=100000,INDEX($AN$1005:$BO$1005,1,MATCH(COLUMNS($AN$1006:AN1006),$AN$1006:$BO$1006,0))&gt;=100000), " ",IF(INDEX($AN$2:$BO$1001,MATCH(ROWS($AG$2:AG151),$AG$2:$AG$1001,0),MATCH(COLUMNS($AN$1006:AN1006),$AN$1006:$BO$1006,0)), HYPERLINK("#",""), HYPERLINK(CONCATENATE("#Metadata!", ADDRESS(INDEX($AI$2:$AI$1001,MATCH(ROWS($AG$2:AG151),$AG$2:$AG$1001,0),0), INDEX($AN$1004:$BO$1004,1,MATCH(COLUMNS($AN$1006:AN1006),$AN$1006:$BO$1006,0)))),"Fix")))</f>
        <v>0</v>
      </c>
      <c r="C151" s="4">
        <f>IF(OR(INDEX($AH$2:$AH$1001,MATCH(ROWS($AG$2:AG151),$AG$2:$AG$1001,0),1)&gt;=100000,INDEX($AN$1005:$BO$1005,1,MATCH(COLUMNS($AN$1006:AO1006),$AN$1006:$BO$1006,0))&gt;=100000), " ",IF(INDEX($AN$2:$BO$1001,MATCH(ROWS($AG$2:AG151),$AG$2:$AG$1001,0),MATCH(COLUMNS($AN$1006:AO1006),$AN$1006:$BO$1006,0)), HYPERLINK("#",""), HYPERLINK(CONCATENATE("#Metadata!", ADDRESS(INDEX($AI$2:$AI$1001,MATCH(ROWS($AG$2:AG151),$AG$2:$AG$1001,0),0), INDEX($AN$1004:$BO$1004,1,MATCH(COLUMNS($AN$1006:AO1006),$AN$1006:$BO$1006,0)))),"Fix")))</f>
        <v>0</v>
      </c>
      <c r="D151" s="4">
        <f>IF(OR(INDEX($AH$2:$AH$1001,MATCH(ROWS($AG$2:AG151),$AG$2:$AG$1001,0),1)&gt;=100000,INDEX($AN$1005:$BO$1005,1,MATCH(COLUMNS($AN$1006:AP1006),$AN$1006:$BO$1006,0))&gt;=100000), " ",IF(INDEX($AN$2:$BO$1001,MATCH(ROWS($AG$2:AG151),$AG$2:$AG$1001,0),MATCH(COLUMNS($AN$1006:AP1006),$AN$1006:$BO$1006,0)), HYPERLINK("#",""), HYPERLINK(CONCATENATE("#Metadata!", ADDRESS(INDEX($AI$2:$AI$1001,MATCH(ROWS($AG$2:AG151),$AG$2:$AG$1001,0),0), INDEX($AN$1004:$BO$1004,1,MATCH(COLUMNS($AN$1006:AP1006),$AN$1006:$BO$1006,0)))),"Fix")))</f>
        <v>0</v>
      </c>
      <c r="E151" s="4">
        <f>IF(OR(INDEX($AH$2:$AH$1001,MATCH(ROWS($AG$2:AG151),$AG$2:$AG$1001,0),1)&gt;=100000,INDEX($AN$1005:$BO$1005,1,MATCH(COLUMNS($AN$1006:AQ1006),$AN$1006:$BO$1006,0))&gt;=100000), " ",IF(INDEX($AN$2:$BO$1001,MATCH(ROWS($AG$2:AG151),$AG$2:$AG$1001,0),MATCH(COLUMNS($AN$1006:AQ1006),$AN$1006:$BO$1006,0)), HYPERLINK("#",""), HYPERLINK(CONCATENATE("#Metadata!", ADDRESS(INDEX($AI$2:$AI$1001,MATCH(ROWS($AG$2:AG151),$AG$2:$AG$1001,0),0), INDEX($AN$1004:$BO$1004,1,MATCH(COLUMNS($AN$1006:AQ1006),$AN$1006:$BO$1006,0)))),"Fix")))</f>
        <v>0</v>
      </c>
      <c r="F151" s="4">
        <f>IF(OR(INDEX($AH$2:$AH$1001,MATCH(ROWS($AG$2:AG151),$AG$2:$AG$1001,0),1)&gt;=100000,INDEX($AN$1005:$BO$1005,1,MATCH(COLUMNS($AN$1006:AR1006),$AN$1006:$BO$1006,0))&gt;=100000), " ",IF(INDEX($AN$2:$BO$1001,MATCH(ROWS($AG$2:AG151),$AG$2:$AG$1001,0),MATCH(COLUMNS($AN$1006:AR1006),$AN$1006:$BO$1006,0)), HYPERLINK("#",""), HYPERLINK(CONCATENATE("#Metadata!", ADDRESS(INDEX($AI$2:$AI$1001,MATCH(ROWS($AG$2:AG151),$AG$2:$AG$1001,0),0), INDEX($AN$1004:$BO$1004,1,MATCH(COLUMNS($AN$1006:AR1006),$AN$1006:$BO$1006,0)))),"Fix")))</f>
        <v>0</v>
      </c>
      <c r="G151" s="4">
        <f>IF(OR(INDEX($AH$2:$AH$1001,MATCH(ROWS($AG$2:AG151),$AG$2:$AG$1001,0),1)&gt;=100000,INDEX($AN$1005:$BO$1005,1,MATCH(COLUMNS($AN$1006:AS1006),$AN$1006:$BO$1006,0))&gt;=100000), " ",IF(INDEX($AN$2:$BO$1001,MATCH(ROWS($AG$2:AG151),$AG$2:$AG$1001,0),MATCH(COLUMNS($AN$1006:AS1006),$AN$1006:$BO$1006,0)), HYPERLINK("#",""), HYPERLINK(CONCATENATE("#Metadata!", ADDRESS(INDEX($AI$2:$AI$1001,MATCH(ROWS($AG$2:AG151),$AG$2:$AG$1001,0),0), INDEX($AN$1004:$BO$1004,1,MATCH(COLUMNS($AN$1006:AS1006),$AN$1006:$BO$1006,0)))),"Fix")))</f>
        <v>0</v>
      </c>
      <c r="H151" s="4">
        <f>IF(OR(INDEX($AH$2:$AH$1001,MATCH(ROWS($AG$2:AG151),$AG$2:$AG$1001,0),1)&gt;=100000,INDEX($AN$1005:$BO$1005,1,MATCH(COLUMNS($AN$1006:AT1006),$AN$1006:$BO$1006,0))&gt;=100000), " ",IF(INDEX($AN$2:$BO$1001,MATCH(ROWS($AG$2:AG151),$AG$2:$AG$1001,0),MATCH(COLUMNS($AN$1006:AT1006),$AN$1006:$BO$1006,0)), HYPERLINK("#",""), HYPERLINK(CONCATENATE("#Metadata!", ADDRESS(INDEX($AI$2:$AI$1001,MATCH(ROWS($AG$2:AG151),$AG$2:$AG$1001,0),0), INDEX($AN$1004:$BO$1004,1,MATCH(COLUMNS($AN$1006:AT1006),$AN$1006:$BO$1006,0)))),"Fix")))</f>
        <v>0</v>
      </c>
      <c r="I151" s="4">
        <f>IF(OR(INDEX($AH$2:$AH$1001,MATCH(ROWS($AG$2:AG151),$AG$2:$AG$1001,0),1)&gt;=100000,INDEX($AN$1005:$BO$1005,1,MATCH(COLUMNS($AN$1006:AU1006),$AN$1006:$BO$1006,0))&gt;=100000), " ",IF(INDEX($AN$2:$BO$1001,MATCH(ROWS($AG$2:AG151),$AG$2:$AG$1001,0),MATCH(COLUMNS($AN$1006:AU1006),$AN$1006:$BO$1006,0)), HYPERLINK("#",""), HYPERLINK(CONCATENATE("#Metadata!", ADDRESS(INDEX($AI$2:$AI$1001,MATCH(ROWS($AG$2:AG151),$AG$2:$AG$1001,0),0), INDEX($AN$1004:$BO$1004,1,MATCH(COLUMNS($AN$1006:AU1006),$AN$1006:$BO$1006,0)))),"Fix")))</f>
        <v>0</v>
      </c>
      <c r="J151" s="4">
        <f>IF(OR(INDEX($AH$2:$AH$1001,MATCH(ROWS($AG$2:AG151),$AG$2:$AG$1001,0),1)&gt;=100000,INDEX($AN$1005:$BO$1005,1,MATCH(COLUMNS($AN$1006:AV1006),$AN$1006:$BO$1006,0))&gt;=100000), " ",IF(INDEX($AN$2:$BO$1001,MATCH(ROWS($AG$2:AG151),$AG$2:$AG$1001,0),MATCH(COLUMNS($AN$1006:AV1006),$AN$1006:$BO$1006,0)), HYPERLINK("#",""), HYPERLINK(CONCATENATE("#Metadata!", ADDRESS(INDEX($AI$2:$AI$1001,MATCH(ROWS($AG$2:AG151),$AG$2:$AG$1001,0),0), INDEX($AN$1004:$BO$1004,1,MATCH(COLUMNS($AN$1006:AV1006),$AN$1006:$BO$1006,0)))),"Fix")))</f>
        <v>0</v>
      </c>
      <c r="K151" s="4">
        <f>IF(OR(INDEX($AH$2:$AH$1001,MATCH(ROWS($AG$2:AG151),$AG$2:$AG$1001,0),1)&gt;=100000,INDEX($AN$1005:$BO$1005,1,MATCH(COLUMNS($AN$1006:AW1006),$AN$1006:$BO$1006,0))&gt;=100000), " ",IF(INDEX($AN$2:$BO$1001,MATCH(ROWS($AG$2:AG151),$AG$2:$AG$1001,0),MATCH(COLUMNS($AN$1006:AW1006),$AN$1006:$BO$1006,0)), HYPERLINK("#",""), HYPERLINK(CONCATENATE("#Metadata!", ADDRESS(INDEX($AI$2:$AI$1001,MATCH(ROWS($AG$2:AG151),$AG$2:$AG$1001,0),0), INDEX($AN$1004:$BO$1004,1,MATCH(COLUMNS($AN$1006:AW1006),$AN$1006:$BO$1006,0)))),"Fix")))</f>
        <v>0</v>
      </c>
      <c r="L151" s="4">
        <f>IF(OR(INDEX($AH$2:$AH$1001,MATCH(ROWS($AG$2:AG151),$AG$2:$AG$1001,0),1)&gt;=100000,INDEX($AN$1005:$BO$1005,1,MATCH(COLUMNS($AN$1006:AX1006),$AN$1006:$BO$1006,0))&gt;=100000), " ",IF(INDEX($AN$2:$BO$1001,MATCH(ROWS($AG$2:AG151),$AG$2:$AG$1001,0),MATCH(COLUMNS($AN$1006:AX1006),$AN$1006:$BO$1006,0)), HYPERLINK("#",""), HYPERLINK(CONCATENATE("#Metadata!", ADDRESS(INDEX($AI$2:$AI$1001,MATCH(ROWS($AG$2:AG151),$AG$2:$AG$1001,0),0), INDEX($AN$1004:$BO$1004,1,MATCH(COLUMNS($AN$1006:AX1006),$AN$1006:$BO$1006,0)))),"Fix")))</f>
        <v>0</v>
      </c>
      <c r="M151" s="4">
        <f>IF(OR(INDEX($AH$2:$AH$1001,MATCH(ROWS($AG$2:AG151),$AG$2:$AG$1001,0),1)&gt;=100000,INDEX($AN$1005:$BO$1005,1,MATCH(COLUMNS($AN$1006:AY1006),$AN$1006:$BO$1006,0))&gt;=100000), " ",IF(INDEX($AN$2:$BO$1001,MATCH(ROWS($AG$2:AG151),$AG$2:$AG$1001,0),MATCH(COLUMNS($AN$1006:AY1006),$AN$1006:$BO$1006,0)), HYPERLINK("#",""), HYPERLINK(CONCATENATE("#Metadata!", ADDRESS(INDEX($AI$2:$AI$1001,MATCH(ROWS($AG$2:AG151),$AG$2:$AG$1001,0),0), INDEX($AN$1004:$BO$1004,1,MATCH(COLUMNS($AN$1006:AY1006),$AN$1006:$BO$1006,0)))),"Fix")))</f>
        <v>0</v>
      </c>
      <c r="N151" s="4">
        <f>IF(OR(INDEX($AH$2:$AH$1001,MATCH(ROWS($AG$2:AG151),$AG$2:$AG$1001,0),1)&gt;=100000,INDEX($AN$1005:$BO$1005,1,MATCH(COLUMNS($AN$1006:AZ1006),$AN$1006:$BO$1006,0))&gt;=100000), " ",IF(INDEX($AN$2:$BO$1001,MATCH(ROWS($AG$2:AG151),$AG$2:$AG$1001,0),MATCH(COLUMNS($AN$1006:AZ1006),$AN$1006:$BO$1006,0)), HYPERLINK("#",""), HYPERLINK(CONCATENATE("#Metadata!", ADDRESS(INDEX($AI$2:$AI$1001,MATCH(ROWS($AG$2:AG151),$AG$2:$AG$1001,0),0), INDEX($AN$1004:$BO$1004,1,MATCH(COLUMNS($AN$1006:AZ1006),$AN$1006:$BO$1006,0)))),"Fix")))</f>
        <v>0</v>
      </c>
      <c r="O151" s="4">
        <f>IF(OR(INDEX($AH$2:$AH$1001,MATCH(ROWS($AG$2:AG151),$AG$2:$AG$1001,0),1)&gt;=100000,INDEX($AN$1005:$BO$1005,1,MATCH(COLUMNS($AN$1006:BA1006),$AN$1006:$BO$1006,0))&gt;=100000), " ",IF(INDEX($AN$2:$BO$1001,MATCH(ROWS($AG$2:AG151),$AG$2:$AG$1001,0),MATCH(COLUMNS($AN$1006:BA1006),$AN$1006:$BO$1006,0)), HYPERLINK("#",""), HYPERLINK(CONCATENATE("#Metadata!", ADDRESS(INDEX($AI$2:$AI$1001,MATCH(ROWS($AG$2:AG151),$AG$2:$AG$1001,0),0), INDEX($AN$1004:$BO$1004,1,MATCH(COLUMNS($AN$1006:BA1006),$AN$1006:$BO$1006,0)))),"Fix")))</f>
        <v>0</v>
      </c>
      <c r="P151" s="4">
        <f>IF(OR(INDEX($AH$2:$AH$1001,MATCH(ROWS($AG$2:AG151),$AG$2:$AG$1001,0),1)&gt;=100000,INDEX($AN$1005:$BO$1005,1,MATCH(COLUMNS($AN$1006:BB1006),$AN$1006:$BO$1006,0))&gt;=100000), " ",IF(INDEX($AN$2:$BO$1001,MATCH(ROWS($AG$2:AG151),$AG$2:$AG$1001,0),MATCH(COLUMNS($AN$1006:BB1006),$AN$1006:$BO$1006,0)), HYPERLINK("#",""), HYPERLINK(CONCATENATE("#Metadata!", ADDRESS(INDEX($AI$2:$AI$1001,MATCH(ROWS($AG$2:AG151),$AG$2:$AG$1001,0),0), INDEX($AN$1004:$BO$1004,1,MATCH(COLUMNS($AN$1006:BB1006),$AN$1006:$BO$1006,0)))),"Fix")))</f>
        <v>0</v>
      </c>
      <c r="Q151" s="4">
        <f>IF(OR(INDEX($AH$2:$AH$1001,MATCH(ROWS($AG$2:AG151),$AG$2:$AG$1001,0),1)&gt;=100000,INDEX($AN$1005:$BO$1005,1,MATCH(COLUMNS($AN$1006:BC1006),$AN$1006:$BO$1006,0))&gt;=100000), " ",IF(INDEX($AN$2:$BO$1001,MATCH(ROWS($AG$2:AG151),$AG$2:$AG$1001,0),MATCH(COLUMNS($AN$1006:BC1006),$AN$1006:$BO$1006,0)), HYPERLINK("#",""), HYPERLINK(CONCATENATE("#Metadata!", ADDRESS(INDEX($AI$2:$AI$1001,MATCH(ROWS($AG$2:AG151),$AG$2:$AG$1001,0),0), INDEX($AN$1004:$BO$1004,1,MATCH(COLUMNS($AN$1006:BC1006),$AN$1006:$BO$1006,0)))),"Fix")))</f>
        <v>0</v>
      </c>
      <c r="R151" s="4">
        <f>IF(OR(INDEX($AH$2:$AH$1001,MATCH(ROWS($AG$2:AG151),$AG$2:$AG$1001,0),1)&gt;=100000,INDEX($AN$1005:$BO$1005,1,MATCH(COLUMNS($AN$1006:BD1006),$AN$1006:$BO$1006,0))&gt;=100000), " ",IF(INDEX($AN$2:$BO$1001,MATCH(ROWS($AG$2:AG151),$AG$2:$AG$1001,0),MATCH(COLUMNS($AN$1006:BD1006),$AN$1006:$BO$1006,0)), HYPERLINK("#",""), HYPERLINK(CONCATENATE("#Metadata!", ADDRESS(INDEX($AI$2:$AI$1001,MATCH(ROWS($AG$2:AG151),$AG$2:$AG$1001,0),0), INDEX($AN$1004:$BO$1004,1,MATCH(COLUMNS($AN$1006:BD1006),$AN$1006:$BO$1006,0)))),"Fix")))</f>
        <v>0</v>
      </c>
      <c r="S151" s="4">
        <f>IF(OR(INDEX($AH$2:$AH$1001,MATCH(ROWS($AG$2:AG151),$AG$2:$AG$1001,0),1)&gt;=100000,INDEX($AN$1005:$BO$1005,1,MATCH(COLUMNS($AN$1006:BE1006),$AN$1006:$BO$1006,0))&gt;=100000), " ",IF(INDEX($AN$2:$BO$1001,MATCH(ROWS($AG$2:AG151),$AG$2:$AG$1001,0),MATCH(COLUMNS($AN$1006:BE1006),$AN$1006:$BO$1006,0)), HYPERLINK("#",""), HYPERLINK(CONCATENATE("#Metadata!", ADDRESS(INDEX($AI$2:$AI$1001,MATCH(ROWS($AG$2:AG151),$AG$2:$AG$1001,0),0), INDEX($AN$1004:$BO$1004,1,MATCH(COLUMNS($AN$1006:BE1006),$AN$1006:$BO$1006,0)))),"Fix")))</f>
        <v>0</v>
      </c>
      <c r="T151" s="4">
        <f>IF(OR(INDEX($AH$2:$AH$1001,MATCH(ROWS($AG$2:AG151),$AG$2:$AG$1001,0),1)&gt;=100000,INDEX($AN$1005:$BO$1005,1,MATCH(COLUMNS($AN$1006:BF1006),$AN$1006:$BO$1006,0))&gt;=100000), " ",IF(INDEX($AN$2:$BO$1001,MATCH(ROWS($AG$2:AG151),$AG$2:$AG$1001,0),MATCH(COLUMNS($AN$1006:BF1006),$AN$1006:$BO$1006,0)), HYPERLINK("#",""), HYPERLINK(CONCATENATE("#Metadata!", ADDRESS(INDEX($AI$2:$AI$1001,MATCH(ROWS($AG$2:AG151),$AG$2:$AG$1001,0),0), INDEX($AN$1004:$BO$1004,1,MATCH(COLUMNS($AN$1006:BF1006),$AN$1006:$BO$1006,0)))),"Fix")))</f>
        <v>0</v>
      </c>
      <c r="U151" s="4">
        <f>IF(OR(INDEX($AH$2:$AH$1001,MATCH(ROWS($AG$2:AG151),$AG$2:$AG$1001,0),1)&gt;=100000,INDEX($AN$1005:$BO$1005,1,MATCH(COLUMNS($AN$1006:BG1006),$AN$1006:$BO$1006,0))&gt;=100000), " ",IF(INDEX($AN$2:$BO$1001,MATCH(ROWS($AG$2:AG151),$AG$2:$AG$1001,0),MATCH(COLUMNS($AN$1006:BG1006),$AN$1006:$BO$1006,0)), HYPERLINK("#",""), HYPERLINK(CONCATENATE("#Metadata!", ADDRESS(INDEX($AI$2:$AI$1001,MATCH(ROWS($AG$2:AG151),$AG$2:$AG$1001,0),0), INDEX($AN$1004:$BO$1004,1,MATCH(COLUMNS($AN$1006:BG1006),$AN$1006:$BO$1006,0)))),"Fix")))</f>
        <v>0</v>
      </c>
      <c r="V151" s="4">
        <f>IF(OR(INDEX($AH$2:$AH$1001,MATCH(ROWS($AG$2:AG151),$AG$2:$AG$1001,0),1)&gt;=100000,INDEX($AN$1005:$BO$1005,1,MATCH(COLUMNS($AN$1006:BH1006),$AN$1006:$BO$1006,0))&gt;=100000), " ",IF(INDEX($AN$2:$BO$1001,MATCH(ROWS($AG$2:AG151),$AG$2:$AG$1001,0),MATCH(COLUMNS($AN$1006:BH1006),$AN$1006:$BO$1006,0)), HYPERLINK("#",""), HYPERLINK(CONCATENATE("#Metadata!", ADDRESS(INDEX($AI$2:$AI$1001,MATCH(ROWS($AG$2:AG151),$AG$2:$AG$1001,0),0), INDEX($AN$1004:$BO$1004,1,MATCH(COLUMNS($AN$1006:BH1006),$AN$1006:$BO$1006,0)))),"Fix")))</f>
        <v>0</v>
      </c>
      <c r="W151" s="4">
        <f>IF(OR(INDEX($AH$2:$AH$1001,MATCH(ROWS($AG$2:AG151),$AG$2:$AG$1001,0),1)&gt;=100000,INDEX($AN$1005:$BO$1005,1,MATCH(COLUMNS($AN$1006:BI1006),$AN$1006:$BO$1006,0))&gt;=100000), " ",IF(INDEX($AN$2:$BO$1001,MATCH(ROWS($AG$2:AG151),$AG$2:$AG$1001,0),MATCH(COLUMNS($AN$1006:BI1006),$AN$1006:$BO$1006,0)), HYPERLINK("#",""), HYPERLINK(CONCATENATE("#Metadata!", ADDRESS(INDEX($AI$2:$AI$1001,MATCH(ROWS($AG$2:AG151),$AG$2:$AG$1001,0),0), INDEX($AN$1004:$BO$1004,1,MATCH(COLUMNS($AN$1006:BI1006),$AN$1006:$BO$1006,0)))),"Fix")))</f>
        <v>0</v>
      </c>
      <c r="X151" s="4">
        <f>IF(OR(INDEX($AH$2:$AH$1001,MATCH(ROWS($AG$2:AG151),$AG$2:$AG$1001,0),1)&gt;=100000,INDEX($AN$1005:$BO$1005,1,MATCH(COLUMNS($AN$1006:BJ1006),$AN$1006:$BO$1006,0))&gt;=100000), " ",IF(INDEX($AN$2:$BO$1001,MATCH(ROWS($AG$2:AG151),$AG$2:$AG$1001,0),MATCH(COLUMNS($AN$1006:BJ1006),$AN$1006:$BO$1006,0)), HYPERLINK("#",""), HYPERLINK(CONCATENATE("#Metadata!", ADDRESS(INDEX($AI$2:$AI$1001,MATCH(ROWS($AG$2:AG151),$AG$2:$AG$1001,0),0), INDEX($AN$1004:$BO$1004,1,MATCH(COLUMNS($AN$1006:BJ1006),$AN$1006:$BO$1006,0)))),"Fix")))</f>
        <v>0</v>
      </c>
      <c r="Y151" s="4">
        <f>IF(OR(INDEX($AH$2:$AH$1001,MATCH(ROWS($AG$2:AG151),$AG$2:$AG$1001,0),1)&gt;=100000,INDEX($AN$1005:$BO$1005,1,MATCH(COLUMNS($AN$1006:BK1006),$AN$1006:$BO$1006,0))&gt;=100000), " ",IF(INDEX($AN$2:$BO$1001,MATCH(ROWS($AG$2:AG151),$AG$2:$AG$1001,0),MATCH(COLUMNS($AN$1006:BK1006),$AN$1006:$BO$1006,0)), HYPERLINK("#",""), HYPERLINK(CONCATENATE("#Metadata!", ADDRESS(INDEX($AI$2:$AI$1001,MATCH(ROWS($AG$2:AG151),$AG$2:$AG$1001,0),0), INDEX($AN$1004:$BO$1004,1,MATCH(COLUMNS($AN$1006:BK1006),$AN$1006:$BO$1006,0)))),"Fix")))</f>
        <v>0</v>
      </c>
      <c r="Z151" s="4">
        <f>IF(OR(INDEX($AH$2:$AH$1001,MATCH(ROWS($AG$2:AG151),$AG$2:$AG$1001,0),1)&gt;=100000,INDEX($AN$1005:$BO$1005,1,MATCH(COLUMNS($AN$1006:BL1006),$AN$1006:$BO$1006,0))&gt;=100000), " ",IF(INDEX($AN$2:$BO$1001,MATCH(ROWS($AG$2:AG151),$AG$2:$AG$1001,0),MATCH(COLUMNS($AN$1006:BL1006),$AN$1006:$BO$1006,0)), HYPERLINK("#",""), HYPERLINK(CONCATENATE("#Metadata!", ADDRESS(INDEX($AI$2:$AI$1001,MATCH(ROWS($AG$2:AG151),$AG$2:$AG$1001,0),0), INDEX($AN$1004:$BO$1004,1,MATCH(COLUMNS($AN$1006:BL1006),$AN$1006:$BO$1006,0)))),"Fix")))</f>
        <v>0</v>
      </c>
      <c r="AA151" s="4">
        <f>IF(OR(INDEX($AH$2:$AH$1001,MATCH(ROWS($AG$2:AG151),$AG$2:$AG$1001,0),1)&gt;=100000,INDEX($AN$1005:$BO$1005,1,MATCH(COLUMNS($AN$1006:BM1006),$AN$1006:$BO$1006,0))&gt;=100000), " ",IF(INDEX($AN$2:$BO$1001,MATCH(ROWS($AG$2:AG151),$AG$2:$AG$1001,0),MATCH(COLUMNS($AN$1006:BM1006),$AN$1006:$BO$1006,0)), HYPERLINK("#",""), HYPERLINK(CONCATENATE("#Metadata!", ADDRESS(INDEX($AI$2:$AI$1001,MATCH(ROWS($AG$2:AG151),$AG$2:$AG$1001,0),0), INDEX($AN$1004:$BO$1004,1,MATCH(COLUMNS($AN$1006:BM1006),$AN$1006:$BO$1006,0)))),"Fix")))</f>
        <v>0</v>
      </c>
      <c r="AB151" s="4">
        <f>IF(OR(INDEX($AH$2:$AH$1001,MATCH(ROWS($AG$2:AG151),$AG$2:$AG$1001,0),1)&gt;=100000,INDEX($AN$1005:$BO$1005,1,MATCH(COLUMNS($AN$1006:BN1006),$AN$1006:$BO$1006,0))&gt;=100000), " ",IF(INDEX($AN$2:$BO$1001,MATCH(ROWS($AG$2:AG151),$AG$2:$AG$1001,0),MATCH(COLUMNS($AN$1006:BN1006),$AN$1006:$BO$1006,0)), HYPERLINK("#",""), HYPERLINK(CONCATENATE("#Metadata!", ADDRESS(INDEX($AI$2:$AI$1001,MATCH(ROWS($AG$2:AG151),$AG$2:$AG$1001,0),0), INDEX($AN$1004:$BO$1004,1,MATCH(COLUMNS($AN$1006:BN1006),$AN$1006:$BO$1006,0)))),"Fix")))</f>
        <v>0</v>
      </c>
      <c r="AC151" s="4">
        <f>IF(OR(INDEX($AH$2:$AH$1001,MATCH(ROWS($AG$2:AG151),$AG$2:$AG$1001,0),1)&gt;=100000,INDEX($AN$1005:$BO$1005,1,MATCH(COLUMNS($AN$1006:BO1006),$AN$1006:$BO$1006,0))&gt;=100000), " ",IF(INDEX($AN$2:$BO$1001,MATCH(ROWS($AG$2:AG151),$AG$2:$AG$1001,0),MATCH(COLUMNS($AN$1006:BO1006),$AN$1006:$BO$1006,0)), HYPERLINK("#",""), HYPERLINK(CONCATENATE("#Metadata!", ADDRESS(INDEX($AI$2:$AI$1001,MATCH(ROWS($AG$2:AG151),$AG$2:$AG$1001,0),0), INDEX($AN$1004:$BO$1004,1,MATCH(COLUMNS($AN$1006:BO1006),$AN$1006:$BO$1006,0)))),"Fix")))</f>
        <v>0</v>
      </c>
      <c r="AG151">
        <v>0</v>
      </c>
      <c r="AH151">
        <v>0</v>
      </c>
      <c r="AI151">
        <v>0</v>
      </c>
      <c r="AJ151">
        <f>IF(AK151,TRUE,AND(AN151:BO151))</f>
        <v>0</v>
      </c>
      <c r="AK151">
        <f>COUNTBLANK(Metadata!B151:AC151)=COLUMNS(Metadata!B151:AC151)</f>
        <v>0</v>
      </c>
      <c r="AL151">
        <v>0</v>
      </c>
      <c r="AN151">
        <f>AND(IF(Metadata!B151="",FALSE,TRUE),COUNTIF(Metadata!B:B, Metadata!B151) = 1,NOT(ISERROR(SUMPRODUCT(SEARCH(MID(Metadata!B151,ROW(INDIRECT("1:"&amp;LEN(Metadata!B151))), 1),"0123456789abcdefghijklmnopqrstuvwxyzABCDEFGHIJKLMNOPQRSTUVWXYZ.")))))</f>
        <v>0</v>
      </c>
      <c r="AO151">
        <f>IF(Metadata!C151="",FALSE,TRUE)</f>
        <v>0</v>
      </c>
      <c r="AP151">
        <f>IF(Metadata!D151="",FALSE,TRUE)</f>
        <v>0</v>
      </c>
      <c r="AQ151">
        <f>OR(AND(IF(Metadata!E151="",FALSE,TRUE),OR(exact(Metadata!E151,"not collected"),exact(Metadata!E151,"not provided"),exact(Metadata!E151,"restricted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R151">
        <f>IF(Metadata!F151="",FALSE,TRUE)</f>
        <v>0</v>
      </c>
      <c r="AS151">
        <f>OR(AND(IF(Metadata!G151="",FALSE,TRUE),OR(exact(Metadata!G151,"not collected"),exact(Metadata!G151,"not provided"))),AND(IF(Metadata!G151="",FALSE,TRUE),OR(exact(Metadata!G151,"TRUE"),exact(Metadata!G151,"FALSE"))))</f>
        <v>0</v>
      </c>
      <c r="AT151">
        <f>OR(AND(IF(Metadata!H151="",FALSE,TRUE),OR(exact(Metadata!H151,"not collected"),exact(Metadata!H151,"not provided"),exact(Metadata!H151,"restricted access"))),AND(IF(Metadata!H151="",FALSE,ISNUMBER(VALUE(Metadata!H151))),Metadata!H151&gt;=-413.0))</f>
        <v>0</v>
      </c>
      <c r="AU151">
        <f>AND(IF(Metadata!I151="",FALSE,TRUE),exact(Metadata!I151,"meters"))</f>
        <v>0</v>
      </c>
      <c r="AV151">
        <f>AND(IF(Metadata!J151="",FALSE,TRUE),OR(exact(Metadata!J151,"Host-associated"),exact(Metadata!J151,"Free-living")))</f>
        <v>0</v>
      </c>
      <c r="AW151">
        <f>AND(IF(Metadata!K151="",FALSE,TRUE),OR(exact(Metadata!K151,"Animal"),exact(Metadata!K151,"Fungus"),exact(Metadata!K151,"Plant"),exact(Metadata!K151,"Saline"),exact(Metadata!K151,"Non-saline")))</f>
        <v>0</v>
      </c>
      <c r="AX151">
        <f>AND(IF(Metadata!L151="",FALSE,TRUE),OR(exact(Metadata!L151,"Plant secretion"),exact(Metadata!L151,"Plant rhizosphere"),exact(Metadata!L151,"Plant surface"),exact(Metadata!L151,"Plant corpus"),exact(Metadata!L151,"Fungus surface"),exact(Metadata!L151,"Fungus corpus"),exact(Metadata!L151,"Animal surface"),exact(Metadata!L151,"Animal proximal gut"),exact(Metadata!L151,"Animal corpus"),exact(Metadata!L151,"Animal distal gut"),exact(Metadata!L151,"Animal secretion"),exact(Metadata!L151,"Sub-surface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Y151">
        <f>IF(Metadata!M151="",FALSE,TRUE)</f>
        <v>0</v>
      </c>
      <c r="AZ151">
        <f>IF(Metadata!N151="",FALSE,TRUE)</f>
        <v>0</v>
      </c>
      <c r="BA151">
        <f>IF(Metadata!O151="",FALSE,TRUE)</f>
        <v>0</v>
      </c>
      <c r="BB151">
        <f>OR(AND(IF(Metadata!P151="",FALSE,TRUE),OR(exact(Metadata!P151,"not collected"),exact(Metadata!P151,"not provided"),exact(Metadata!P151,"restricted access"))),AND(IF(Metadata!P151="",FALSE,TRUE),OR(exact(Metadata!P151,"air"),exact(Metadata!P151,"built environment"),exact(Metadata!P151,"host-associated"),exact(Metadata!P151,"human-associated"),exact(Metadata!P151,"human-skin"),exact(Metadata!P151,"human-oral"),exact(Metadata!P151,"human-gut"),exact(Metadata!P151,"human-vaginal"),exact(Metadata!P151,"microbial mat/biofilm"),exact(Metadata!P151,"misc environment"),exact(Metadata!P151,"plant-associated"),exact(Metadata!P151,"sediment"),exact(Metadata!P151,"soil"),exact(Metadata!P151,"wastewater/sludge"),exact(Metadata!P151,"water"))))</f>
        <v>0</v>
      </c>
      <c r="BC151">
        <f>IF(Metadata!Q151="",FALSE,TRUE)</f>
        <v>0</v>
      </c>
      <c r="BD151">
        <f>IF(Metadata!R151="",FALSE,TRUE)</f>
        <v>0</v>
      </c>
      <c r="BE151">
        <f>OR(AND(IF(Metadata!S151="",FALSE,TRUE),OR(exact(Metadata!S151,"not collected"),exact(Metadata!S151,"not provided"),exact(Metadata!S151,"restricted access"))),AND(IF(Metadata!S151="",FALSE,ISNUMBER(VALUE(Metadata!S151))),Metadata!S151&gt;=-90.00,Metadata!S151&lt;=90.00))</f>
        <v>0</v>
      </c>
      <c r="BF151">
        <f>AND(IF(Metadata!T151="",FALSE,TRUE),exact(Metadata!T151,"Decimal degrees"))</f>
        <v>0</v>
      </c>
      <c r="BG151">
        <f>OR(AND(IF(Metadata!U151="",FALSE,TRUE),OR(exact(Metadata!U151,"not collected"),exact(Metadata!U151,"not provided"),exact(Metadata!U151,"restricted access"))),AND(IF(Metadata!U151="",FALSE,ISNUMBER(VALUE(Metadata!U151))),Metadata!U151&gt;=-180.00,Metadata!U151&lt;=180.00))</f>
        <v>0</v>
      </c>
      <c r="BH151">
        <f>AND(IF(Metadata!V151="",FALSE,TRUE),exact(Metadata!V151,"Decimal degrees"))</f>
        <v>0</v>
      </c>
      <c r="BI151">
        <f>IF(Metadata!W151="",FALSE,TRUE)</f>
        <v>0</v>
      </c>
      <c r="BJ151">
        <f>OR(AND(IF(Metadata!X151="",FALSE,TRUE),OR(exact(Metadata!X151,"not collected"),exact(Metadata!X151,"not provided"),exact(Metadata!X151,"restricted access"))),AND(IF(Metadata!X151="",FALSE,TRUE),OR(exact(Metadata!X151,"TRUE"),exact(Metadata!X151,"FALSE"))))</f>
        <v>0</v>
      </c>
      <c r="BK151">
        <f>AND(IF(Metadata!Y151="",FALSE,TRUE),exact(Metadata!Y151,"other"))</f>
        <v>0</v>
      </c>
      <c r="BL151">
        <f>IF(Metadata!Z151="",FALSE,TRUE)</f>
        <v>0</v>
      </c>
      <c r="BM151">
        <f>OR(AND(IF(Metadata!AA151="",FALSE,TRUE),OR(exact(Metadata!AA151,"not collected"),exact(Metadata!AA151,"not provided"))),AND(IF(Metadata!AA151="",FALSE,IF(ISERROR(INT(Metadata!AA151)),FALSE,INT(Metadata!AA151)=Metadata!AA151)),Metadata!AA151&gt;0))</f>
        <v>0</v>
      </c>
      <c r="BN151">
        <f>AND(IF(Metadata!AB151="",FALSE,TRUE),exact(Metadata!AB151,"Not applicable"))</f>
        <v>0</v>
      </c>
      <c r="BO151">
        <f>IF(Metadata!AC151="",FALSE,TRUE)</f>
        <v>0</v>
      </c>
    </row>
    <row r="152" spans="1:67">
      <c r="A152" s="5">
        <f>IF(B152=" "," ",HYPERLINK(CONCATENATE("#metadata!",ADDRESS(INDEX($AI$2:$AI$1001,MATCH(ROWS($AG$2:AG152),$AG$2:$AG$1001,0),0),1)),INDEX($AL$2:$AL$1001,MATCH(ROWS($AG$2:AG152),$AG$2:$AG$1001,0),0)))</f>
        <v>0</v>
      </c>
      <c r="B152" s="4">
        <f>IF(OR(INDEX($AH$2:$AH$1001,MATCH(ROWS($AG$2:AG152),$AG$2:$AG$1001,0),1)&gt;=100000,INDEX($AN$1005:$BO$1005,1,MATCH(COLUMNS($AN$1006:AN1006),$AN$1006:$BO$1006,0))&gt;=100000), " ",IF(INDEX($AN$2:$BO$1001,MATCH(ROWS($AG$2:AG152),$AG$2:$AG$1001,0),MATCH(COLUMNS($AN$1006:AN1006),$AN$1006:$BO$1006,0)), HYPERLINK("#",""), HYPERLINK(CONCATENATE("#Metadata!", ADDRESS(INDEX($AI$2:$AI$1001,MATCH(ROWS($AG$2:AG152),$AG$2:$AG$1001,0),0), INDEX($AN$1004:$BO$1004,1,MATCH(COLUMNS($AN$1006:AN1006),$AN$1006:$BO$1006,0)))),"Fix")))</f>
        <v>0</v>
      </c>
      <c r="C152" s="4">
        <f>IF(OR(INDEX($AH$2:$AH$1001,MATCH(ROWS($AG$2:AG152),$AG$2:$AG$1001,0),1)&gt;=100000,INDEX($AN$1005:$BO$1005,1,MATCH(COLUMNS($AN$1006:AO1006),$AN$1006:$BO$1006,0))&gt;=100000), " ",IF(INDEX($AN$2:$BO$1001,MATCH(ROWS($AG$2:AG152),$AG$2:$AG$1001,0),MATCH(COLUMNS($AN$1006:AO1006),$AN$1006:$BO$1006,0)), HYPERLINK("#",""), HYPERLINK(CONCATENATE("#Metadata!", ADDRESS(INDEX($AI$2:$AI$1001,MATCH(ROWS($AG$2:AG152),$AG$2:$AG$1001,0),0), INDEX($AN$1004:$BO$1004,1,MATCH(COLUMNS($AN$1006:AO1006),$AN$1006:$BO$1006,0)))),"Fix")))</f>
        <v>0</v>
      </c>
      <c r="D152" s="4">
        <f>IF(OR(INDEX($AH$2:$AH$1001,MATCH(ROWS($AG$2:AG152),$AG$2:$AG$1001,0),1)&gt;=100000,INDEX($AN$1005:$BO$1005,1,MATCH(COLUMNS($AN$1006:AP1006),$AN$1006:$BO$1006,0))&gt;=100000), " ",IF(INDEX($AN$2:$BO$1001,MATCH(ROWS($AG$2:AG152),$AG$2:$AG$1001,0),MATCH(COLUMNS($AN$1006:AP1006),$AN$1006:$BO$1006,0)), HYPERLINK("#",""), HYPERLINK(CONCATENATE("#Metadata!", ADDRESS(INDEX($AI$2:$AI$1001,MATCH(ROWS($AG$2:AG152),$AG$2:$AG$1001,0),0), INDEX($AN$1004:$BO$1004,1,MATCH(COLUMNS($AN$1006:AP1006),$AN$1006:$BO$1006,0)))),"Fix")))</f>
        <v>0</v>
      </c>
      <c r="E152" s="4">
        <f>IF(OR(INDEX($AH$2:$AH$1001,MATCH(ROWS($AG$2:AG152),$AG$2:$AG$1001,0),1)&gt;=100000,INDEX($AN$1005:$BO$1005,1,MATCH(COLUMNS($AN$1006:AQ1006),$AN$1006:$BO$1006,0))&gt;=100000), " ",IF(INDEX($AN$2:$BO$1001,MATCH(ROWS($AG$2:AG152),$AG$2:$AG$1001,0),MATCH(COLUMNS($AN$1006:AQ1006),$AN$1006:$BO$1006,0)), HYPERLINK("#",""), HYPERLINK(CONCATENATE("#Metadata!", ADDRESS(INDEX($AI$2:$AI$1001,MATCH(ROWS($AG$2:AG152),$AG$2:$AG$1001,0),0), INDEX($AN$1004:$BO$1004,1,MATCH(COLUMNS($AN$1006:AQ1006),$AN$1006:$BO$1006,0)))),"Fix")))</f>
        <v>0</v>
      </c>
      <c r="F152" s="4">
        <f>IF(OR(INDEX($AH$2:$AH$1001,MATCH(ROWS($AG$2:AG152),$AG$2:$AG$1001,0),1)&gt;=100000,INDEX($AN$1005:$BO$1005,1,MATCH(COLUMNS($AN$1006:AR1006),$AN$1006:$BO$1006,0))&gt;=100000), " ",IF(INDEX($AN$2:$BO$1001,MATCH(ROWS($AG$2:AG152),$AG$2:$AG$1001,0),MATCH(COLUMNS($AN$1006:AR1006),$AN$1006:$BO$1006,0)), HYPERLINK("#",""), HYPERLINK(CONCATENATE("#Metadata!", ADDRESS(INDEX($AI$2:$AI$1001,MATCH(ROWS($AG$2:AG152),$AG$2:$AG$1001,0),0), INDEX($AN$1004:$BO$1004,1,MATCH(COLUMNS($AN$1006:AR1006),$AN$1006:$BO$1006,0)))),"Fix")))</f>
        <v>0</v>
      </c>
      <c r="G152" s="4">
        <f>IF(OR(INDEX($AH$2:$AH$1001,MATCH(ROWS($AG$2:AG152),$AG$2:$AG$1001,0),1)&gt;=100000,INDEX($AN$1005:$BO$1005,1,MATCH(COLUMNS($AN$1006:AS1006),$AN$1006:$BO$1006,0))&gt;=100000), " ",IF(INDEX($AN$2:$BO$1001,MATCH(ROWS($AG$2:AG152),$AG$2:$AG$1001,0),MATCH(COLUMNS($AN$1006:AS1006),$AN$1006:$BO$1006,0)), HYPERLINK("#",""), HYPERLINK(CONCATENATE("#Metadata!", ADDRESS(INDEX($AI$2:$AI$1001,MATCH(ROWS($AG$2:AG152),$AG$2:$AG$1001,0),0), INDEX($AN$1004:$BO$1004,1,MATCH(COLUMNS($AN$1006:AS1006),$AN$1006:$BO$1006,0)))),"Fix")))</f>
        <v>0</v>
      </c>
      <c r="H152" s="4">
        <f>IF(OR(INDEX($AH$2:$AH$1001,MATCH(ROWS($AG$2:AG152),$AG$2:$AG$1001,0),1)&gt;=100000,INDEX($AN$1005:$BO$1005,1,MATCH(COLUMNS($AN$1006:AT1006),$AN$1006:$BO$1006,0))&gt;=100000), " ",IF(INDEX($AN$2:$BO$1001,MATCH(ROWS($AG$2:AG152),$AG$2:$AG$1001,0),MATCH(COLUMNS($AN$1006:AT1006),$AN$1006:$BO$1006,0)), HYPERLINK("#",""), HYPERLINK(CONCATENATE("#Metadata!", ADDRESS(INDEX($AI$2:$AI$1001,MATCH(ROWS($AG$2:AG152),$AG$2:$AG$1001,0),0), INDEX($AN$1004:$BO$1004,1,MATCH(COLUMNS($AN$1006:AT1006),$AN$1006:$BO$1006,0)))),"Fix")))</f>
        <v>0</v>
      </c>
      <c r="I152" s="4">
        <f>IF(OR(INDEX($AH$2:$AH$1001,MATCH(ROWS($AG$2:AG152),$AG$2:$AG$1001,0),1)&gt;=100000,INDEX($AN$1005:$BO$1005,1,MATCH(COLUMNS($AN$1006:AU1006),$AN$1006:$BO$1006,0))&gt;=100000), " ",IF(INDEX($AN$2:$BO$1001,MATCH(ROWS($AG$2:AG152),$AG$2:$AG$1001,0),MATCH(COLUMNS($AN$1006:AU1006),$AN$1006:$BO$1006,0)), HYPERLINK("#",""), HYPERLINK(CONCATENATE("#Metadata!", ADDRESS(INDEX($AI$2:$AI$1001,MATCH(ROWS($AG$2:AG152),$AG$2:$AG$1001,0),0), INDEX($AN$1004:$BO$1004,1,MATCH(COLUMNS($AN$1006:AU1006),$AN$1006:$BO$1006,0)))),"Fix")))</f>
        <v>0</v>
      </c>
      <c r="J152" s="4">
        <f>IF(OR(INDEX($AH$2:$AH$1001,MATCH(ROWS($AG$2:AG152),$AG$2:$AG$1001,0),1)&gt;=100000,INDEX($AN$1005:$BO$1005,1,MATCH(COLUMNS($AN$1006:AV1006),$AN$1006:$BO$1006,0))&gt;=100000), " ",IF(INDEX($AN$2:$BO$1001,MATCH(ROWS($AG$2:AG152),$AG$2:$AG$1001,0),MATCH(COLUMNS($AN$1006:AV1006),$AN$1006:$BO$1006,0)), HYPERLINK("#",""), HYPERLINK(CONCATENATE("#Metadata!", ADDRESS(INDEX($AI$2:$AI$1001,MATCH(ROWS($AG$2:AG152),$AG$2:$AG$1001,0),0), INDEX($AN$1004:$BO$1004,1,MATCH(COLUMNS($AN$1006:AV1006),$AN$1006:$BO$1006,0)))),"Fix")))</f>
        <v>0</v>
      </c>
      <c r="K152" s="4">
        <f>IF(OR(INDEX($AH$2:$AH$1001,MATCH(ROWS($AG$2:AG152),$AG$2:$AG$1001,0),1)&gt;=100000,INDEX($AN$1005:$BO$1005,1,MATCH(COLUMNS($AN$1006:AW1006),$AN$1006:$BO$1006,0))&gt;=100000), " ",IF(INDEX($AN$2:$BO$1001,MATCH(ROWS($AG$2:AG152),$AG$2:$AG$1001,0),MATCH(COLUMNS($AN$1006:AW1006),$AN$1006:$BO$1006,0)), HYPERLINK("#",""), HYPERLINK(CONCATENATE("#Metadata!", ADDRESS(INDEX($AI$2:$AI$1001,MATCH(ROWS($AG$2:AG152),$AG$2:$AG$1001,0),0), INDEX($AN$1004:$BO$1004,1,MATCH(COLUMNS($AN$1006:AW1006),$AN$1006:$BO$1006,0)))),"Fix")))</f>
        <v>0</v>
      </c>
      <c r="L152" s="4">
        <f>IF(OR(INDEX($AH$2:$AH$1001,MATCH(ROWS($AG$2:AG152),$AG$2:$AG$1001,0),1)&gt;=100000,INDEX($AN$1005:$BO$1005,1,MATCH(COLUMNS($AN$1006:AX1006),$AN$1006:$BO$1006,0))&gt;=100000), " ",IF(INDEX($AN$2:$BO$1001,MATCH(ROWS($AG$2:AG152),$AG$2:$AG$1001,0),MATCH(COLUMNS($AN$1006:AX1006),$AN$1006:$BO$1006,0)), HYPERLINK("#",""), HYPERLINK(CONCATENATE("#Metadata!", ADDRESS(INDEX($AI$2:$AI$1001,MATCH(ROWS($AG$2:AG152),$AG$2:$AG$1001,0),0), INDEX($AN$1004:$BO$1004,1,MATCH(COLUMNS($AN$1006:AX1006),$AN$1006:$BO$1006,0)))),"Fix")))</f>
        <v>0</v>
      </c>
      <c r="M152" s="4">
        <f>IF(OR(INDEX($AH$2:$AH$1001,MATCH(ROWS($AG$2:AG152),$AG$2:$AG$1001,0),1)&gt;=100000,INDEX($AN$1005:$BO$1005,1,MATCH(COLUMNS($AN$1006:AY1006),$AN$1006:$BO$1006,0))&gt;=100000), " ",IF(INDEX($AN$2:$BO$1001,MATCH(ROWS($AG$2:AG152),$AG$2:$AG$1001,0),MATCH(COLUMNS($AN$1006:AY1006),$AN$1006:$BO$1006,0)), HYPERLINK("#",""), HYPERLINK(CONCATENATE("#Metadata!", ADDRESS(INDEX($AI$2:$AI$1001,MATCH(ROWS($AG$2:AG152),$AG$2:$AG$1001,0),0), INDEX($AN$1004:$BO$1004,1,MATCH(COLUMNS($AN$1006:AY1006),$AN$1006:$BO$1006,0)))),"Fix")))</f>
        <v>0</v>
      </c>
      <c r="N152" s="4">
        <f>IF(OR(INDEX($AH$2:$AH$1001,MATCH(ROWS($AG$2:AG152),$AG$2:$AG$1001,0),1)&gt;=100000,INDEX($AN$1005:$BO$1005,1,MATCH(COLUMNS($AN$1006:AZ1006),$AN$1006:$BO$1006,0))&gt;=100000), " ",IF(INDEX($AN$2:$BO$1001,MATCH(ROWS($AG$2:AG152),$AG$2:$AG$1001,0),MATCH(COLUMNS($AN$1006:AZ1006),$AN$1006:$BO$1006,0)), HYPERLINK("#",""), HYPERLINK(CONCATENATE("#Metadata!", ADDRESS(INDEX($AI$2:$AI$1001,MATCH(ROWS($AG$2:AG152),$AG$2:$AG$1001,0),0), INDEX($AN$1004:$BO$1004,1,MATCH(COLUMNS($AN$1006:AZ1006),$AN$1006:$BO$1006,0)))),"Fix")))</f>
        <v>0</v>
      </c>
      <c r="O152" s="4">
        <f>IF(OR(INDEX($AH$2:$AH$1001,MATCH(ROWS($AG$2:AG152),$AG$2:$AG$1001,0),1)&gt;=100000,INDEX($AN$1005:$BO$1005,1,MATCH(COLUMNS($AN$1006:BA1006),$AN$1006:$BO$1006,0))&gt;=100000), " ",IF(INDEX($AN$2:$BO$1001,MATCH(ROWS($AG$2:AG152),$AG$2:$AG$1001,0),MATCH(COLUMNS($AN$1006:BA1006),$AN$1006:$BO$1006,0)), HYPERLINK("#",""), HYPERLINK(CONCATENATE("#Metadata!", ADDRESS(INDEX($AI$2:$AI$1001,MATCH(ROWS($AG$2:AG152),$AG$2:$AG$1001,0),0), INDEX($AN$1004:$BO$1004,1,MATCH(COLUMNS($AN$1006:BA1006),$AN$1006:$BO$1006,0)))),"Fix")))</f>
        <v>0</v>
      </c>
      <c r="P152" s="4">
        <f>IF(OR(INDEX($AH$2:$AH$1001,MATCH(ROWS($AG$2:AG152),$AG$2:$AG$1001,0),1)&gt;=100000,INDEX($AN$1005:$BO$1005,1,MATCH(COLUMNS($AN$1006:BB1006),$AN$1006:$BO$1006,0))&gt;=100000), " ",IF(INDEX($AN$2:$BO$1001,MATCH(ROWS($AG$2:AG152),$AG$2:$AG$1001,0),MATCH(COLUMNS($AN$1006:BB1006),$AN$1006:$BO$1006,0)), HYPERLINK("#",""), HYPERLINK(CONCATENATE("#Metadata!", ADDRESS(INDEX($AI$2:$AI$1001,MATCH(ROWS($AG$2:AG152),$AG$2:$AG$1001,0),0), INDEX($AN$1004:$BO$1004,1,MATCH(COLUMNS($AN$1006:BB1006),$AN$1006:$BO$1006,0)))),"Fix")))</f>
        <v>0</v>
      </c>
      <c r="Q152" s="4">
        <f>IF(OR(INDEX($AH$2:$AH$1001,MATCH(ROWS($AG$2:AG152),$AG$2:$AG$1001,0),1)&gt;=100000,INDEX($AN$1005:$BO$1005,1,MATCH(COLUMNS($AN$1006:BC1006),$AN$1006:$BO$1006,0))&gt;=100000), " ",IF(INDEX($AN$2:$BO$1001,MATCH(ROWS($AG$2:AG152),$AG$2:$AG$1001,0),MATCH(COLUMNS($AN$1006:BC1006),$AN$1006:$BO$1006,0)), HYPERLINK("#",""), HYPERLINK(CONCATENATE("#Metadata!", ADDRESS(INDEX($AI$2:$AI$1001,MATCH(ROWS($AG$2:AG152),$AG$2:$AG$1001,0),0), INDEX($AN$1004:$BO$1004,1,MATCH(COLUMNS($AN$1006:BC1006),$AN$1006:$BO$1006,0)))),"Fix")))</f>
        <v>0</v>
      </c>
      <c r="R152" s="4">
        <f>IF(OR(INDEX($AH$2:$AH$1001,MATCH(ROWS($AG$2:AG152),$AG$2:$AG$1001,0),1)&gt;=100000,INDEX($AN$1005:$BO$1005,1,MATCH(COLUMNS($AN$1006:BD1006),$AN$1006:$BO$1006,0))&gt;=100000), " ",IF(INDEX($AN$2:$BO$1001,MATCH(ROWS($AG$2:AG152),$AG$2:$AG$1001,0),MATCH(COLUMNS($AN$1006:BD1006),$AN$1006:$BO$1006,0)), HYPERLINK("#",""), HYPERLINK(CONCATENATE("#Metadata!", ADDRESS(INDEX($AI$2:$AI$1001,MATCH(ROWS($AG$2:AG152),$AG$2:$AG$1001,0),0), INDEX($AN$1004:$BO$1004,1,MATCH(COLUMNS($AN$1006:BD1006),$AN$1006:$BO$1006,0)))),"Fix")))</f>
        <v>0</v>
      </c>
      <c r="S152" s="4">
        <f>IF(OR(INDEX($AH$2:$AH$1001,MATCH(ROWS($AG$2:AG152),$AG$2:$AG$1001,0),1)&gt;=100000,INDEX($AN$1005:$BO$1005,1,MATCH(COLUMNS($AN$1006:BE1006),$AN$1006:$BO$1006,0))&gt;=100000), " ",IF(INDEX($AN$2:$BO$1001,MATCH(ROWS($AG$2:AG152),$AG$2:$AG$1001,0),MATCH(COLUMNS($AN$1006:BE1006),$AN$1006:$BO$1006,0)), HYPERLINK("#",""), HYPERLINK(CONCATENATE("#Metadata!", ADDRESS(INDEX($AI$2:$AI$1001,MATCH(ROWS($AG$2:AG152),$AG$2:$AG$1001,0),0), INDEX($AN$1004:$BO$1004,1,MATCH(COLUMNS($AN$1006:BE1006),$AN$1006:$BO$1006,0)))),"Fix")))</f>
        <v>0</v>
      </c>
      <c r="T152" s="4">
        <f>IF(OR(INDEX($AH$2:$AH$1001,MATCH(ROWS($AG$2:AG152),$AG$2:$AG$1001,0),1)&gt;=100000,INDEX($AN$1005:$BO$1005,1,MATCH(COLUMNS($AN$1006:BF1006),$AN$1006:$BO$1006,0))&gt;=100000), " ",IF(INDEX($AN$2:$BO$1001,MATCH(ROWS($AG$2:AG152),$AG$2:$AG$1001,0),MATCH(COLUMNS($AN$1006:BF1006),$AN$1006:$BO$1006,0)), HYPERLINK("#",""), HYPERLINK(CONCATENATE("#Metadata!", ADDRESS(INDEX($AI$2:$AI$1001,MATCH(ROWS($AG$2:AG152),$AG$2:$AG$1001,0),0), INDEX($AN$1004:$BO$1004,1,MATCH(COLUMNS($AN$1006:BF1006),$AN$1006:$BO$1006,0)))),"Fix")))</f>
        <v>0</v>
      </c>
      <c r="U152" s="4">
        <f>IF(OR(INDEX($AH$2:$AH$1001,MATCH(ROWS($AG$2:AG152),$AG$2:$AG$1001,0),1)&gt;=100000,INDEX($AN$1005:$BO$1005,1,MATCH(COLUMNS($AN$1006:BG1006),$AN$1006:$BO$1006,0))&gt;=100000), " ",IF(INDEX($AN$2:$BO$1001,MATCH(ROWS($AG$2:AG152),$AG$2:$AG$1001,0),MATCH(COLUMNS($AN$1006:BG1006),$AN$1006:$BO$1006,0)), HYPERLINK("#",""), HYPERLINK(CONCATENATE("#Metadata!", ADDRESS(INDEX($AI$2:$AI$1001,MATCH(ROWS($AG$2:AG152),$AG$2:$AG$1001,0),0), INDEX($AN$1004:$BO$1004,1,MATCH(COLUMNS($AN$1006:BG1006),$AN$1006:$BO$1006,0)))),"Fix")))</f>
        <v>0</v>
      </c>
      <c r="V152" s="4">
        <f>IF(OR(INDEX($AH$2:$AH$1001,MATCH(ROWS($AG$2:AG152),$AG$2:$AG$1001,0),1)&gt;=100000,INDEX($AN$1005:$BO$1005,1,MATCH(COLUMNS($AN$1006:BH1006),$AN$1006:$BO$1006,0))&gt;=100000), " ",IF(INDEX($AN$2:$BO$1001,MATCH(ROWS($AG$2:AG152),$AG$2:$AG$1001,0),MATCH(COLUMNS($AN$1006:BH1006),$AN$1006:$BO$1006,0)), HYPERLINK("#",""), HYPERLINK(CONCATENATE("#Metadata!", ADDRESS(INDEX($AI$2:$AI$1001,MATCH(ROWS($AG$2:AG152),$AG$2:$AG$1001,0),0), INDEX($AN$1004:$BO$1004,1,MATCH(COLUMNS($AN$1006:BH1006),$AN$1006:$BO$1006,0)))),"Fix")))</f>
        <v>0</v>
      </c>
      <c r="W152" s="4">
        <f>IF(OR(INDEX($AH$2:$AH$1001,MATCH(ROWS($AG$2:AG152),$AG$2:$AG$1001,0),1)&gt;=100000,INDEX($AN$1005:$BO$1005,1,MATCH(COLUMNS($AN$1006:BI1006),$AN$1006:$BO$1006,0))&gt;=100000), " ",IF(INDEX($AN$2:$BO$1001,MATCH(ROWS($AG$2:AG152),$AG$2:$AG$1001,0),MATCH(COLUMNS($AN$1006:BI1006),$AN$1006:$BO$1006,0)), HYPERLINK("#",""), HYPERLINK(CONCATENATE("#Metadata!", ADDRESS(INDEX($AI$2:$AI$1001,MATCH(ROWS($AG$2:AG152),$AG$2:$AG$1001,0),0), INDEX($AN$1004:$BO$1004,1,MATCH(COLUMNS($AN$1006:BI1006),$AN$1006:$BO$1006,0)))),"Fix")))</f>
        <v>0</v>
      </c>
      <c r="X152" s="4">
        <f>IF(OR(INDEX($AH$2:$AH$1001,MATCH(ROWS($AG$2:AG152),$AG$2:$AG$1001,0),1)&gt;=100000,INDEX($AN$1005:$BO$1005,1,MATCH(COLUMNS($AN$1006:BJ1006),$AN$1006:$BO$1006,0))&gt;=100000), " ",IF(INDEX($AN$2:$BO$1001,MATCH(ROWS($AG$2:AG152),$AG$2:$AG$1001,0),MATCH(COLUMNS($AN$1006:BJ1006),$AN$1006:$BO$1006,0)), HYPERLINK("#",""), HYPERLINK(CONCATENATE("#Metadata!", ADDRESS(INDEX($AI$2:$AI$1001,MATCH(ROWS($AG$2:AG152),$AG$2:$AG$1001,0),0), INDEX($AN$1004:$BO$1004,1,MATCH(COLUMNS($AN$1006:BJ1006),$AN$1006:$BO$1006,0)))),"Fix")))</f>
        <v>0</v>
      </c>
      <c r="Y152" s="4">
        <f>IF(OR(INDEX($AH$2:$AH$1001,MATCH(ROWS($AG$2:AG152),$AG$2:$AG$1001,0),1)&gt;=100000,INDEX($AN$1005:$BO$1005,1,MATCH(COLUMNS($AN$1006:BK1006),$AN$1006:$BO$1006,0))&gt;=100000), " ",IF(INDEX($AN$2:$BO$1001,MATCH(ROWS($AG$2:AG152),$AG$2:$AG$1001,0),MATCH(COLUMNS($AN$1006:BK1006),$AN$1006:$BO$1006,0)), HYPERLINK("#",""), HYPERLINK(CONCATENATE("#Metadata!", ADDRESS(INDEX($AI$2:$AI$1001,MATCH(ROWS($AG$2:AG152),$AG$2:$AG$1001,0),0), INDEX($AN$1004:$BO$1004,1,MATCH(COLUMNS($AN$1006:BK1006),$AN$1006:$BO$1006,0)))),"Fix")))</f>
        <v>0</v>
      </c>
      <c r="Z152" s="4">
        <f>IF(OR(INDEX($AH$2:$AH$1001,MATCH(ROWS($AG$2:AG152),$AG$2:$AG$1001,0),1)&gt;=100000,INDEX($AN$1005:$BO$1005,1,MATCH(COLUMNS($AN$1006:BL1006),$AN$1006:$BO$1006,0))&gt;=100000), " ",IF(INDEX($AN$2:$BO$1001,MATCH(ROWS($AG$2:AG152),$AG$2:$AG$1001,0),MATCH(COLUMNS($AN$1006:BL1006),$AN$1006:$BO$1006,0)), HYPERLINK("#",""), HYPERLINK(CONCATENATE("#Metadata!", ADDRESS(INDEX($AI$2:$AI$1001,MATCH(ROWS($AG$2:AG152),$AG$2:$AG$1001,0),0), INDEX($AN$1004:$BO$1004,1,MATCH(COLUMNS($AN$1006:BL1006),$AN$1006:$BO$1006,0)))),"Fix")))</f>
        <v>0</v>
      </c>
      <c r="AA152" s="4">
        <f>IF(OR(INDEX($AH$2:$AH$1001,MATCH(ROWS($AG$2:AG152),$AG$2:$AG$1001,0),1)&gt;=100000,INDEX($AN$1005:$BO$1005,1,MATCH(COLUMNS($AN$1006:BM1006),$AN$1006:$BO$1006,0))&gt;=100000), " ",IF(INDEX($AN$2:$BO$1001,MATCH(ROWS($AG$2:AG152),$AG$2:$AG$1001,0),MATCH(COLUMNS($AN$1006:BM1006),$AN$1006:$BO$1006,0)), HYPERLINK("#",""), HYPERLINK(CONCATENATE("#Metadata!", ADDRESS(INDEX($AI$2:$AI$1001,MATCH(ROWS($AG$2:AG152),$AG$2:$AG$1001,0),0), INDEX($AN$1004:$BO$1004,1,MATCH(COLUMNS($AN$1006:BM1006),$AN$1006:$BO$1006,0)))),"Fix")))</f>
        <v>0</v>
      </c>
      <c r="AB152" s="4">
        <f>IF(OR(INDEX($AH$2:$AH$1001,MATCH(ROWS($AG$2:AG152),$AG$2:$AG$1001,0),1)&gt;=100000,INDEX($AN$1005:$BO$1005,1,MATCH(COLUMNS($AN$1006:BN1006),$AN$1006:$BO$1006,0))&gt;=100000), " ",IF(INDEX($AN$2:$BO$1001,MATCH(ROWS($AG$2:AG152),$AG$2:$AG$1001,0),MATCH(COLUMNS($AN$1006:BN1006),$AN$1006:$BO$1006,0)), HYPERLINK("#",""), HYPERLINK(CONCATENATE("#Metadata!", ADDRESS(INDEX($AI$2:$AI$1001,MATCH(ROWS($AG$2:AG152),$AG$2:$AG$1001,0),0), INDEX($AN$1004:$BO$1004,1,MATCH(COLUMNS($AN$1006:BN1006),$AN$1006:$BO$1006,0)))),"Fix")))</f>
        <v>0</v>
      </c>
      <c r="AC152" s="4">
        <f>IF(OR(INDEX($AH$2:$AH$1001,MATCH(ROWS($AG$2:AG152),$AG$2:$AG$1001,0),1)&gt;=100000,INDEX($AN$1005:$BO$1005,1,MATCH(COLUMNS($AN$1006:BO1006),$AN$1006:$BO$1006,0))&gt;=100000), " ",IF(INDEX($AN$2:$BO$1001,MATCH(ROWS($AG$2:AG152),$AG$2:$AG$1001,0),MATCH(COLUMNS($AN$1006:BO1006),$AN$1006:$BO$1006,0)), HYPERLINK("#",""), HYPERLINK(CONCATENATE("#Metadata!", ADDRESS(INDEX($AI$2:$AI$1001,MATCH(ROWS($AG$2:AG152),$AG$2:$AG$1001,0),0), INDEX($AN$1004:$BO$1004,1,MATCH(COLUMNS($AN$1006:BO1006),$AN$1006:$BO$1006,0)))),"Fix")))</f>
        <v>0</v>
      </c>
      <c r="AG152">
        <v>0</v>
      </c>
      <c r="AH152">
        <v>0</v>
      </c>
      <c r="AI152">
        <v>0</v>
      </c>
      <c r="AJ152">
        <f>IF(AK152,TRUE,AND(AN152:BO152))</f>
        <v>0</v>
      </c>
      <c r="AK152">
        <f>COUNTBLANK(Metadata!B152:AC152)=COLUMNS(Metadata!B152:AC152)</f>
        <v>0</v>
      </c>
      <c r="AL152">
        <v>0</v>
      </c>
      <c r="AN152">
        <f>AND(IF(Metadata!B152="",FALSE,TRUE),COUNTIF(Metadata!B:B, Metadata!B152) = 1,NOT(ISERROR(SUMPRODUCT(SEARCH(MID(Metadata!B152,ROW(INDIRECT("1:"&amp;LEN(Metadata!B152))), 1),"0123456789abcdefghijklmnopqrstuvwxyzABCDEFGHIJKLMNOPQRSTUVWXYZ.")))))</f>
        <v>0</v>
      </c>
      <c r="AO152">
        <f>IF(Metadata!C152="",FALSE,TRUE)</f>
        <v>0</v>
      </c>
      <c r="AP152">
        <f>IF(Metadata!D152="",FALSE,TRUE)</f>
        <v>0</v>
      </c>
      <c r="AQ152">
        <f>OR(AND(IF(Metadata!E152="",FALSE,TRUE),OR(exact(Metadata!E152,"not collected"),exact(Metadata!E152,"not provided"),exact(Metadata!E152,"restricted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R152">
        <f>IF(Metadata!F152="",FALSE,TRUE)</f>
        <v>0</v>
      </c>
      <c r="AS152">
        <f>OR(AND(IF(Metadata!G152="",FALSE,TRUE),OR(exact(Metadata!G152,"not collected"),exact(Metadata!G152,"not provided"))),AND(IF(Metadata!G152="",FALSE,TRUE),OR(exact(Metadata!G152,"TRUE"),exact(Metadata!G152,"FALSE"))))</f>
        <v>0</v>
      </c>
      <c r="AT152">
        <f>OR(AND(IF(Metadata!H152="",FALSE,TRUE),OR(exact(Metadata!H152,"not collected"),exact(Metadata!H152,"not provided"),exact(Metadata!H152,"restricted access"))),AND(IF(Metadata!H152="",FALSE,ISNUMBER(VALUE(Metadata!H152))),Metadata!H152&gt;=-413.0))</f>
        <v>0</v>
      </c>
      <c r="AU152">
        <f>AND(IF(Metadata!I152="",FALSE,TRUE),exact(Metadata!I152,"meters"))</f>
        <v>0</v>
      </c>
      <c r="AV152">
        <f>AND(IF(Metadata!J152="",FALSE,TRUE),OR(exact(Metadata!J152,"Host-associated"),exact(Metadata!J152,"Free-living")))</f>
        <v>0</v>
      </c>
      <c r="AW152">
        <f>AND(IF(Metadata!K152="",FALSE,TRUE),OR(exact(Metadata!K152,"Animal"),exact(Metadata!K152,"Fungus"),exact(Metadata!K152,"Plant"),exact(Metadata!K152,"Saline"),exact(Metadata!K152,"Non-saline")))</f>
        <v>0</v>
      </c>
      <c r="AX152">
        <f>AND(IF(Metadata!L152="",FALSE,TRUE),OR(exact(Metadata!L152,"Plant secretion"),exact(Metadata!L152,"Plant rhizosphere"),exact(Metadata!L152,"Plant surface"),exact(Metadata!L152,"Plant corpus"),exact(Metadata!L152,"Fungus surface"),exact(Metadata!L152,"Fungus corpus"),exact(Metadata!L152,"Animal surface"),exact(Metadata!L152,"Animal proximal gut"),exact(Metadata!L152,"Animal corpus"),exact(Metadata!L152,"Animal distal gut"),exact(Metadata!L152,"Animal secretion"),exact(Metadata!L152,"Sub-surface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Y152">
        <f>IF(Metadata!M152="",FALSE,TRUE)</f>
        <v>0</v>
      </c>
      <c r="AZ152">
        <f>IF(Metadata!N152="",FALSE,TRUE)</f>
        <v>0</v>
      </c>
      <c r="BA152">
        <f>IF(Metadata!O152="",FALSE,TRUE)</f>
        <v>0</v>
      </c>
      <c r="BB152">
        <f>OR(AND(IF(Metadata!P152="",FALSE,TRUE),OR(exact(Metadata!P152,"not collected"),exact(Metadata!P152,"not provided"),exact(Metadata!P152,"restricted access"))),AND(IF(Metadata!P152="",FALSE,TRUE),OR(exact(Metadata!P152,"air"),exact(Metadata!P152,"built environment"),exact(Metadata!P152,"host-associated"),exact(Metadata!P152,"human-associated"),exact(Metadata!P152,"human-skin"),exact(Metadata!P152,"human-oral"),exact(Metadata!P152,"human-gut"),exact(Metadata!P152,"human-vaginal"),exact(Metadata!P152,"microbial mat/biofilm"),exact(Metadata!P152,"misc environment"),exact(Metadata!P152,"plant-associated"),exact(Metadata!P152,"sediment"),exact(Metadata!P152,"soil"),exact(Metadata!P152,"wastewater/sludge"),exact(Metadata!P152,"water"))))</f>
        <v>0</v>
      </c>
      <c r="BC152">
        <f>IF(Metadata!Q152="",FALSE,TRUE)</f>
        <v>0</v>
      </c>
      <c r="BD152">
        <f>IF(Metadata!R152="",FALSE,TRUE)</f>
        <v>0</v>
      </c>
      <c r="BE152">
        <f>OR(AND(IF(Metadata!S152="",FALSE,TRUE),OR(exact(Metadata!S152,"not collected"),exact(Metadata!S152,"not provided"),exact(Metadata!S152,"restricted access"))),AND(IF(Metadata!S152="",FALSE,ISNUMBER(VALUE(Metadata!S152))),Metadata!S152&gt;=-90.00,Metadata!S152&lt;=90.00))</f>
        <v>0</v>
      </c>
      <c r="BF152">
        <f>AND(IF(Metadata!T152="",FALSE,TRUE),exact(Metadata!T152,"Decimal degrees"))</f>
        <v>0</v>
      </c>
      <c r="BG152">
        <f>OR(AND(IF(Metadata!U152="",FALSE,TRUE),OR(exact(Metadata!U152,"not collected"),exact(Metadata!U152,"not provided"),exact(Metadata!U152,"restricted access"))),AND(IF(Metadata!U152="",FALSE,ISNUMBER(VALUE(Metadata!U152))),Metadata!U152&gt;=-180.00,Metadata!U152&lt;=180.00))</f>
        <v>0</v>
      </c>
      <c r="BH152">
        <f>AND(IF(Metadata!V152="",FALSE,TRUE),exact(Metadata!V152,"Decimal degrees"))</f>
        <v>0</v>
      </c>
      <c r="BI152">
        <f>IF(Metadata!W152="",FALSE,TRUE)</f>
        <v>0</v>
      </c>
      <c r="BJ152">
        <f>OR(AND(IF(Metadata!X152="",FALSE,TRUE),OR(exact(Metadata!X152,"not collected"),exact(Metadata!X152,"not provided"),exact(Metadata!X152,"restricted access"))),AND(IF(Metadata!X152="",FALSE,TRUE),OR(exact(Metadata!X152,"TRUE"),exact(Metadata!X152,"FALSE"))))</f>
        <v>0</v>
      </c>
      <c r="BK152">
        <f>AND(IF(Metadata!Y152="",FALSE,TRUE),exact(Metadata!Y152,"other"))</f>
        <v>0</v>
      </c>
      <c r="BL152">
        <f>IF(Metadata!Z152="",FALSE,TRUE)</f>
        <v>0</v>
      </c>
      <c r="BM152">
        <f>OR(AND(IF(Metadata!AA152="",FALSE,TRUE),OR(exact(Metadata!AA152,"not collected"),exact(Metadata!AA152,"not provided"))),AND(IF(Metadata!AA152="",FALSE,IF(ISERROR(INT(Metadata!AA152)),FALSE,INT(Metadata!AA152)=Metadata!AA152)),Metadata!AA152&gt;0))</f>
        <v>0</v>
      </c>
      <c r="BN152">
        <f>AND(IF(Metadata!AB152="",FALSE,TRUE),exact(Metadata!AB152,"Not applicable"))</f>
        <v>0</v>
      </c>
      <c r="BO152">
        <f>IF(Metadata!AC152="",FALSE,TRUE)</f>
        <v>0</v>
      </c>
    </row>
    <row r="153" spans="1:67">
      <c r="A153" s="5">
        <f>IF(B153=" "," ",HYPERLINK(CONCATENATE("#metadata!",ADDRESS(INDEX($AI$2:$AI$1001,MATCH(ROWS($AG$2:AG153),$AG$2:$AG$1001,0),0),1)),INDEX($AL$2:$AL$1001,MATCH(ROWS($AG$2:AG153),$AG$2:$AG$1001,0),0)))</f>
        <v>0</v>
      </c>
      <c r="B153" s="4">
        <f>IF(OR(INDEX($AH$2:$AH$1001,MATCH(ROWS($AG$2:AG153),$AG$2:$AG$1001,0),1)&gt;=100000,INDEX($AN$1005:$BO$1005,1,MATCH(COLUMNS($AN$1006:AN1006),$AN$1006:$BO$1006,0))&gt;=100000), " ",IF(INDEX($AN$2:$BO$1001,MATCH(ROWS($AG$2:AG153),$AG$2:$AG$1001,0),MATCH(COLUMNS($AN$1006:AN1006),$AN$1006:$BO$1006,0)), HYPERLINK("#",""), HYPERLINK(CONCATENATE("#Metadata!", ADDRESS(INDEX($AI$2:$AI$1001,MATCH(ROWS($AG$2:AG153),$AG$2:$AG$1001,0),0), INDEX($AN$1004:$BO$1004,1,MATCH(COLUMNS($AN$1006:AN1006),$AN$1006:$BO$1006,0)))),"Fix")))</f>
        <v>0</v>
      </c>
      <c r="C153" s="4">
        <f>IF(OR(INDEX($AH$2:$AH$1001,MATCH(ROWS($AG$2:AG153),$AG$2:$AG$1001,0),1)&gt;=100000,INDEX($AN$1005:$BO$1005,1,MATCH(COLUMNS($AN$1006:AO1006),$AN$1006:$BO$1006,0))&gt;=100000), " ",IF(INDEX($AN$2:$BO$1001,MATCH(ROWS($AG$2:AG153),$AG$2:$AG$1001,0),MATCH(COLUMNS($AN$1006:AO1006),$AN$1006:$BO$1006,0)), HYPERLINK("#",""), HYPERLINK(CONCATENATE("#Metadata!", ADDRESS(INDEX($AI$2:$AI$1001,MATCH(ROWS($AG$2:AG153),$AG$2:$AG$1001,0),0), INDEX($AN$1004:$BO$1004,1,MATCH(COLUMNS($AN$1006:AO1006),$AN$1006:$BO$1006,0)))),"Fix")))</f>
        <v>0</v>
      </c>
      <c r="D153" s="4">
        <f>IF(OR(INDEX($AH$2:$AH$1001,MATCH(ROWS($AG$2:AG153),$AG$2:$AG$1001,0),1)&gt;=100000,INDEX($AN$1005:$BO$1005,1,MATCH(COLUMNS($AN$1006:AP1006),$AN$1006:$BO$1006,0))&gt;=100000), " ",IF(INDEX($AN$2:$BO$1001,MATCH(ROWS($AG$2:AG153),$AG$2:$AG$1001,0),MATCH(COLUMNS($AN$1006:AP1006),$AN$1006:$BO$1006,0)), HYPERLINK("#",""), HYPERLINK(CONCATENATE("#Metadata!", ADDRESS(INDEX($AI$2:$AI$1001,MATCH(ROWS($AG$2:AG153),$AG$2:$AG$1001,0),0), INDEX($AN$1004:$BO$1004,1,MATCH(COLUMNS($AN$1006:AP1006),$AN$1006:$BO$1006,0)))),"Fix")))</f>
        <v>0</v>
      </c>
      <c r="E153" s="4">
        <f>IF(OR(INDEX($AH$2:$AH$1001,MATCH(ROWS($AG$2:AG153),$AG$2:$AG$1001,0),1)&gt;=100000,INDEX($AN$1005:$BO$1005,1,MATCH(COLUMNS($AN$1006:AQ1006),$AN$1006:$BO$1006,0))&gt;=100000), " ",IF(INDEX($AN$2:$BO$1001,MATCH(ROWS($AG$2:AG153),$AG$2:$AG$1001,0),MATCH(COLUMNS($AN$1006:AQ1006),$AN$1006:$BO$1006,0)), HYPERLINK("#",""), HYPERLINK(CONCATENATE("#Metadata!", ADDRESS(INDEX($AI$2:$AI$1001,MATCH(ROWS($AG$2:AG153),$AG$2:$AG$1001,0),0), INDEX($AN$1004:$BO$1004,1,MATCH(COLUMNS($AN$1006:AQ1006),$AN$1006:$BO$1006,0)))),"Fix")))</f>
        <v>0</v>
      </c>
      <c r="F153" s="4">
        <f>IF(OR(INDEX($AH$2:$AH$1001,MATCH(ROWS($AG$2:AG153),$AG$2:$AG$1001,0),1)&gt;=100000,INDEX($AN$1005:$BO$1005,1,MATCH(COLUMNS($AN$1006:AR1006),$AN$1006:$BO$1006,0))&gt;=100000), " ",IF(INDEX($AN$2:$BO$1001,MATCH(ROWS($AG$2:AG153),$AG$2:$AG$1001,0),MATCH(COLUMNS($AN$1006:AR1006),$AN$1006:$BO$1006,0)), HYPERLINK("#",""), HYPERLINK(CONCATENATE("#Metadata!", ADDRESS(INDEX($AI$2:$AI$1001,MATCH(ROWS($AG$2:AG153),$AG$2:$AG$1001,0),0), INDEX($AN$1004:$BO$1004,1,MATCH(COLUMNS($AN$1006:AR1006),$AN$1006:$BO$1006,0)))),"Fix")))</f>
        <v>0</v>
      </c>
      <c r="G153" s="4">
        <f>IF(OR(INDEX($AH$2:$AH$1001,MATCH(ROWS($AG$2:AG153),$AG$2:$AG$1001,0),1)&gt;=100000,INDEX($AN$1005:$BO$1005,1,MATCH(COLUMNS($AN$1006:AS1006),$AN$1006:$BO$1006,0))&gt;=100000), " ",IF(INDEX($AN$2:$BO$1001,MATCH(ROWS($AG$2:AG153),$AG$2:$AG$1001,0),MATCH(COLUMNS($AN$1006:AS1006),$AN$1006:$BO$1006,0)), HYPERLINK("#",""), HYPERLINK(CONCATENATE("#Metadata!", ADDRESS(INDEX($AI$2:$AI$1001,MATCH(ROWS($AG$2:AG153),$AG$2:$AG$1001,0),0), INDEX($AN$1004:$BO$1004,1,MATCH(COLUMNS($AN$1006:AS1006),$AN$1006:$BO$1006,0)))),"Fix")))</f>
        <v>0</v>
      </c>
      <c r="H153" s="4">
        <f>IF(OR(INDEX($AH$2:$AH$1001,MATCH(ROWS($AG$2:AG153),$AG$2:$AG$1001,0),1)&gt;=100000,INDEX($AN$1005:$BO$1005,1,MATCH(COLUMNS($AN$1006:AT1006),$AN$1006:$BO$1006,0))&gt;=100000), " ",IF(INDEX($AN$2:$BO$1001,MATCH(ROWS($AG$2:AG153),$AG$2:$AG$1001,0),MATCH(COLUMNS($AN$1006:AT1006),$AN$1006:$BO$1006,0)), HYPERLINK("#",""), HYPERLINK(CONCATENATE("#Metadata!", ADDRESS(INDEX($AI$2:$AI$1001,MATCH(ROWS($AG$2:AG153),$AG$2:$AG$1001,0),0), INDEX($AN$1004:$BO$1004,1,MATCH(COLUMNS($AN$1006:AT1006),$AN$1006:$BO$1006,0)))),"Fix")))</f>
        <v>0</v>
      </c>
      <c r="I153" s="4">
        <f>IF(OR(INDEX($AH$2:$AH$1001,MATCH(ROWS($AG$2:AG153),$AG$2:$AG$1001,0),1)&gt;=100000,INDEX($AN$1005:$BO$1005,1,MATCH(COLUMNS($AN$1006:AU1006),$AN$1006:$BO$1006,0))&gt;=100000), " ",IF(INDEX($AN$2:$BO$1001,MATCH(ROWS($AG$2:AG153),$AG$2:$AG$1001,0),MATCH(COLUMNS($AN$1006:AU1006),$AN$1006:$BO$1006,0)), HYPERLINK("#",""), HYPERLINK(CONCATENATE("#Metadata!", ADDRESS(INDEX($AI$2:$AI$1001,MATCH(ROWS($AG$2:AG153),$AG$2:$AG$1001,0),0), INDEX($AN$1004:$BO$1004,1,MATCH(COLUMNS($AN$1006:AU1006),$AN$1006:$BO$1006,0)))),"Fix")))</f>
        <v>0</v>
      </c>
      <c r="J153" s="4">
        <f>IF(OR(INDEX($AH$2:$AH$1001,MATCH(ROWS($AG$2:AG153),$AG$2:$AG$1001,0),1)&gt;=100000,INDEX($AN$1005:$BO$1005,1,MATCH(COLUMNS($AN$1006:AV1006),$AN$1006:$BO$1006,0))&gt;=100000), " ",IF(INDEX($AN$2:$BO$1001,MATCH(ROWS($AG$2:AG153),$AG$2:$AG$1001,0),MATCH(COLUMNS($AN$1006:AV1006),$AN$1006:$BO$1006,0)), HYPERLINK("#",""), HYPERLINK(CONCATENATE("#Metadata!", ADDRESS(INDEX($AI$2:$AI$1001,MATCH(ROWS($AG$2:AG153),$AG$2:$AG$1001,0),0), INDEX($AN$1004:$BO$1004,1,MATCH(COLUMNS($AN$1006:AV1006),$AN$1006:$BO$1006,0)))),"Fix")))</f>
        <v>0</v>
      </c>
      <c r="K153" s="4">
        <f>IF(OR(INDEX($AH$2:$AH$1001,MATCH(ROWS($AG$2:AG153),$AG$2:$AG$1001,0),1)&gt;=100000,INDEX($AN$1005:$BO$1005,1,MATCH(COLUMNS($AN$1006:AW1006),$AN$1006:$BO$1006,0))&gt;=100000), " ",IF(INDEX($AN$2:$BO$1001,MATCH(ROWS($AG$2:AG153),$AG$2:$AG$1001,0),MATCH(COLUMNS($AN$1006:AW1006),$AN$1006:$BO$1006,0)), HYPERLINK("#",""), HYPERLINK(CONCATENATE("#Metadata!", ADDRESS(INDEX($AI$2:$AI$1001,MATCH(ROWS($AG$2:AG153),$AG$2:$AG$1001,0),0), INDEX($AN$1004:$BO$1004,1,MATCH(COLUMNS($AN$1006:AW1006),$AN$1006:$BO$1006,0)))),"Fix")))</f>
        <v>0</v>
      </c>
      <c r="L153" s="4">
        <f>IF(OR(INDEX($AH$2:$AH$1001,MATCH(ROWS($AG$2:AG153),$AG$2:$AG$1001,0),1)&gt;=100000,INDEX($AN$1005:$BO$1005,1,MATCH(COLUMNS($AN$1006:AX1006),$AN$1006:$BO$1006,0))&gt;=100000), " ",IF(INDEX($AN$2:$BO$1001,MATCH(ROWS($AG$2:AG153),$AG$2:$AG$1001,0),MATCH(COLUMNS($AN$1006:AX1006),$AN$1006:$BO$1006,0)), HYPERLINK("#",""), HYPERLINK(CONCATENATE("#Metadata!", ADDRESS(INDEX($AI$2:$AI$1001,MATCH(ROWS($AG$2:AG153),$AG$2:$AG$1001,0),0), INDEX($AN$1004:$BO$1004,1,MATCH(COLUMNS($AN$1006:AX1006),$AN$1006:$BO$1006,0)))),"Fix")))</f>
        <v>0</v>
      </c>
      <c r="M153" s="4">
        <f>IF(OR(INDEX($AH$2:$AH$1001,MATCH(ROWS($AG$2:AG153),$AG$2:$AG$1001,0),1)&gt;=100000,INDEX($AN$1005:$BO$1005,1,MATCH(COLUMNS($AN$1006:AY1006),$AN$1006:$BO$1006,0))&gt;=100000), " ",IF(INDEX($AN$2:$BO$1001,MATCH(ROWS($AG$2:AG153),$AG$2:$AG$1001,0),MATCH(COLUMNS($AN$1006:AY1006),$AN$1006:$BO$1006,0)), HYPERLINK("#",""), HYPERLINK(CONCATENATE("#Metadata!", ADDRESS(INDEX($AI$2:$AI$1001,MATCH(ROWS($AG$2:AG153),$AG$2:$AG$1001,0),0), INDEX($AN$1004:$BO$1004,1,MATCH(COLUMNS($AN$1006:AY1006),$AN$1006:$BO$1006,0)))),"Fix")))</f>
        <v>0</v>
      </c>
      <c r="N153" s="4">
        <f>IF(OR(INDEX($AH$2:$AH$1001,MATCH(ROWS($AG$2:AG153),$AG$2:$AG$1001,0),1)&gt;=100000,INDEX($AN$1005:$BO$1005,1,MATCH(COLUMNS($AN$1006:AZ1006),$AN$1006:$BO$1006,0))&gt;=100000), " ",IF(INDEX($AN$2:$BO$1001,MATCH(ROWS($AG$2:AG153),$AG$2:$AG$1001,0),MATCH(COLUMNS($AN$1006:AZ1006),$AN$1006:$BO$1006,0)), HYPERLINK("#",""), HYPERLINK(CONCATENATE("#Metadata!", ADDRESS(INDEX($AI$2:$AI$1001,MATCH(ROWS($AG$2:AG153),$AG$2:$AG$1001,0),0), INDEX($AN$1004:$BO$1004,1,MATCH(COLUMNS($AN$1006:AZ1006),$AN$1006:$BO$1006,0)))),"Fix")))</f>
        <v>0</v>
      </c>
      <c r="O153" s="4">
        <f>IF(OR(INDEX($AH$2:$AH$1001,MATCH(ROWS($AG$2:AG153),$AG$2:$AG$1001,0),1)&gt;=100000,INDEX($AN$1005:$BO$1005,1,MATCH(COLUMNS($AN$1006:BA1006),$AN$1006:$BO$1006,0))&gt;=100000), " ",IF(INDEX($AN$2:$BO$1001,MATCH(ROWS($AG$2:AG153),$AG$2:$AG$1001,0),MATCH(COLUMNS($AN$1006:BA1006),$AN$1006:$BO$1006,0)), HYPERLINK("#",""), HYPERLINK(CONCATENATE("#Metadata!", ADDRESS(INDEX($AI$2:$AI$1001,MATCH(ROWS($AG$2:AG153),$AG$2:$AG$1001,0),0), INDEX($AN$1004:$BO$1004,1,MATCH(COLUMNS($AN$1006:BA1006),$AN$1006:$BO$1006,0)))),"Fix")))</f>
        <v>0</v>
      </c>
      <c r="P153" s="4">
        <f>IF(OR(INDEX($AH$2:$AH$1001,MATCH(ROWS($AG$2:AG153),$AG$2:$AG$1001,0),1)&gt;=100000,INDEX($AN$1005:$BO$1005,1,MATCH(COLUMNS($AN$1006:BB1006),$AN$1006:$BO$1006,0))&gt;=100000), " ",IF(INDEX($AN$2:$BO$1001,MATCH(ROWS($AG$2:AG153),$AG$2:$AG$1001,0),MATCH(COLUMNS($AN$1006:BB1006),$AN$1006:$BO$1006,0)), HYPERLINK("#",""), HYPERLINK(CONCATENATE("#Metadata!", ADDRESS(INDEX($AI$2:$AI$1001,MATCH(ROWS($AG$2:AG153),$AG$2:$AG$1001,0),0), INDEX($AN$1004:$BO$1004,1,MATCH(COLUMNS($AN$1006:BB1006),$AN$1006:$BO$1006,0)))),"Fix")))</f>
        <v>0</v>
      </c>
      <c r="Q153" s="4">
        <f>IF(OR(INDEX($AH$2:$AH$1001,MATCH(ROWS($AG$2:AG153),$AG$2:$AG$1001,0),1)&gt;=100000,INDEX($AN$1005:$BO$1005,1,MATCH(COLUMNS($AN$1006:BC1006),$AN$1006:$BO$1006,0))&gt;=100000), " ",IF(INDEX($AN$2:$BO$1001,MATCH(ROWS($AG$2:AG153),$AG$2:$AG$1001,0),MATCH(COLUMNS($AN$1006:BC1006),$AN$1006:$BO$1006,0)), HYPERLINK("#",""), HYPERLINK(CONCATENATE("#Metadata!", ADDRESS(INDEX($AI$2:$AI$1001,MATCH(ROWS($AG$2:AG153),$AG$2:$AG$1001,0),0), INDEX($AN$1004:$BO$1004,1,MATCH(COLUMNS($AN$1006:BC1006),$AN$1006:$BO$1006,0)))),"Fix")))</f>
        <v>0</v>
      </c>
      <c r="R153" s="4">
        <f>IF(OR(INDEX($AH$2:$AH$1001,MATCH(ROWS($AG$2:AG153),$AG$2:$AG$1001,0),1)&gt;=100000,INDEX($AN$1005:$BO$1005,1,MATCH(COLUMNS($AN$1006:BD1006),$AN$1006:$BO$1006,0))&gt;=100000), " ",IF(INDEX($AN$2:$BO$1001,MATCH(ROWS($AG$2:AG153),$AG$2:$AG$1001,0),MATCH(COLUMNS($AN$1006:BD1006),$AN$1006:$BO$1006,0)), HYPERLINK("#",""), HYPERLINK(CONCATENATE("#Metadata!", ADDRESS(INDEX($AI$2:$AI$1001,MATCH(ROWS($AG$2:AG153),$AG$2:$AG$1001,0),0), INDEX($AN$1004:$BO$1004,1,MATCH(COLUMNS($AN$1006:BD1006),$AN$1006:$BO$1006,0)))),"Fix")))</f>
        <v>0</v>
      </c>
      <c r="S153" s="4">
        <f>IF(OR(INDEX($AH$2:$AH$1001,MATCH(ROWS($AG$2:AG153),$AG$2:$AG$1001,0),1)&gt;=100000,INDEX($AN$1005:$BO$1005,1,MATCH(COLUMNS($AN$1006:BE1006),$AN$1006:$BO$1006,0))&gt;=100000), " ",IF(INDEX($AN$2:$BO$1001,MATCH(ROWS($AG$2:AG153),$AG$2:$AG$1001,0),MATCH(COLUMNS($AN$1006:BE1006),$AN$1006:$BO$1006,0)), HYPERLINK("#",""), HYPERLINK(CONCATENATE("#Metadata!", ADDRESS(INDEX($AI$2:$AI$1001,MATCH(ROWS($AG$2:AG153),$AG$2:$AG$1001,0),0), INDEX($AN$1004:$BO$1004,1,MATCH(COLUMNS($AN$1006:BE1006),$AN$1006:$BO$1006,0)))),"Fix")))</f>
        <v>0</v>
      </c>
      <c r="T153" s="4">
        <f>IF(OR(INDEX($AH$2:$AH$1001,MATCH(ROWS($AG$2:AG153),$AG$2:$AG$1001,0),1)&gt;=100000,INDEX($AN$1005:$BO$1005,1,MATCH(COLUMNS($AN$1006:BF1006),$AN$1006:$BO$1006,0))&gt;=100000), " ",IF(INDEX($AN$2:$BO$1001,MATCH(ROWS($AG$2:AG153),$AG$2:$AG$1001,0),MATCH(COLUMNS($AN$1006:BF1006),$AN$1006:$BO$1006,0)), HYPERLINK("#",""), HYPERLINK(CONCATENATE("#Metadata!", ADDRESS(INDEX($AI$2:$AI$1001,MATCH(ROWS($AG$2:AG153),$AG$2:$AG$1001,0),0), INDEX($AN$1004:$BO$1004,1,MATCH(COLUMNS($AN$1006:BF1006),$AN$1006:$BO$1006,0)))),"Fix")))</f>
        <v>0</v>
      </c>
      <c r="U153" s="4">
        <f>IF(OR(INDEX($AH$2:$AH$1001,MATCH(ROWS($AG$2:AG153),$AG$2:$AG$1001,0),1)&gt;=100000,INDEX($AN$1005:$BO$1005,1,MATCH(COLUMNS($AN$1006:BG1006),$AN$1006:$BO$1006,0))&gt;=100000), " ",IF(INDEX($AN$2:$BO$1001,MATCH(ROWS($AG$2:AG153),$AG$2:$AG$1001,0),MATCH(COLUMNS($AN$1006:BG1006),$AN$1006:$BO$1006,0)), HYPERLINK("#",""), HYPERLINK(CONCATENATE("#Metadata!", ADDRESS(INDEX($AI$2:$AI$1001,MATCH(ROWS($AG$2:AG153),$AG$2:$AG$1001,0),0), INDEX($AN$1004:$BO$1004,1,MATCH(COLUMNS($AN$1006:BG1006),$AN$1006:$BO$1006,0)))),"Fix")))</f>
        <v>0</v>
      </c>
      <c r="V153" s="4">
        <f>IF(OR(INDEX($AH$2:$AH$1001,MATCH(ROWS($AG$2:AG153),$AG$2:$AG$1001,0),1)&gt;=100000,INDEX($AN$1005:$BO$1005,1,MATCH(COLUMNS($AN$1006:BH1006),$AN$1006:$BO$1006,0))&gt;=100000), " ",IF(INDEX($AN$2:$BO$1001,MATCH(ROWS($AG$2:AG153),$AG$2:$AG$1001,0),MATCH(COLUMNS($AN$1006:BH1006),$AN$1006:$BO$1006,0)), HYPERLINK("#",""), HYPERLINK(CONCATENATE("#Metadata!", ADDRESS(INDEX($AI$2:$AI$1001,MATCH(ROWS($AG$2:AG153),$AG$2:$AG$1001,0),0), INDEX($AN$1004:$BO$1004,1,MATCH(COLUMNS($AN$1006:BH1006),$AN$1006:$BO$1006,0)))),"Fix")))</f>
        <v>0</v>
      </c>
      <c r="W153" s="4">
        <f>IF(OR(INDEX($AH$2:$AH$1001,MATCH(ROWS($AG$2:AG153),$AG$2:$AG$1001,0),1)&gt;=100000,INDEX($AN$1005:$BO$1005,1,MATCH(COLUMNS($AN$1006:BI1006),$AN$1006:$BO$1006,0))&gt;=100000), " ",IF(INDEX($AN$2:$BO$1001,MATCH(ROWS($AG$2:AG153),$AG$2:$AG$1001,0),MATCH(COLUMNS($AN$1006:BI1006),$AN$1006:$BO$1006,0)), HYPERLINK("#",""), HYPERLINK(CONCATENATE("#Metadata!", ADDRESS(INDEX($AI$2:$AI$1001,MATCH(ROWS($AG$2:AG153),$AG$2:$AG$1001,0),0), INDEX($AN$1004:$BO$1004,1,MATCH(COLUMNS($AN$1006:BI1006),$AN$1006:$BO$1006,0)))),"Fix")))</f>
        <v>0</v>
      </c>
      <c r="X153" s="4">
        <f>IF(OR(INDEX($AH$2:$AH$1001,MATCH(ROWS($AG$2:AG153),$AG$2:$AG$1001,0),1)&gt;=100000,INDEX($AN$1005:$BO$1005,1,MATCH(COLUMNS($AN$1006:BJ1006),$AN$1006:$BO$1006,0))&gt;=100000), " ",IF(INDEX($AN$2:$BO$1001,MATCH(ROWS($AG$2:AG153),$AG$2:$AG$1001,0),MATCH(COLUMNS($AN$1006:BJ1006),$AN$1006:$BO$1006,0)), HYPERLINK("#",""), HYPERLINK(CONCATENATE("#Metadata!", ADDRESS(INDEX($AI$2:$AI$1001,MATCH(ROWS($AG$2:AG153),$AG$2:$AG$1001,0),0), INDEX($AN$1004:$BO$1004,1,MATCH(COLUMNS($AN$1006:BJ1006),$AN$1006:$BO$1006,0)))),"Fix")))</f>
        <v>0</v>
      </c>
      <c r="Y153" s="4">
        <f>IF(OR(INDEX($AH$2:$AH$1001,MATCH(ROWS($AG$2:AG153),$AG$2:$AG$1001,0),1)&gt;=100000,INDEX($AN$1005:$BO$1005,1,MATCH(COLUMNS($AN$1006:BK1006),$AN$1006:$BO$1006,0))&gt;=100000), " ",IF(INDEX($AN$2:$BO$1001,MATCH(ROWS($AG$2:AG153),$AG$2:$AG$1001,0),MATCH(COLUMNS($AN$1006:BK1006),$AN$1006:$BO$1006,0)), HYPERLINK("#",""), HYPERLINK(CONCATENATE("#Metadata!", ADDRESS(INDEX($AI$2:$AI$1001,MATCH(ROWS($AG$2:AG153),$AG$2:$AG$1001,0),0), INDEX($AN$1004:$BO$1004,1,MATCH(COLUMNS($AN$1006:BK1006),$AN$1006:$BO$1006,0)))),"Fix")))</f>
        <v>0</v>
      </c>
      <c r="Z153" s="4">
        <f>IF(OR(INDEX($AH$2:$AH$1001,MATCH(ROWS($AG$2:AG153),$AG$2:$AG$1001,0),1)&gt;=100000,INDEX($AN$1005:$BO$1005,1,MATCH(COLUMNS($AN$1006:BL1006),$AN$1006:$BO$1006,0))&gt;=100000), " ",IF(INDEX($AN$2:$BO$1001,MATCH(ROWS($AG$2:AG153),$AG$2:$AG$1001,0),MATCH(COLUMNS($AN$1006:BL1006),$AN$1006:$BO$1006,0)), HYPERLINK("#",""), HYPERLINK(CONCATENATE("#Metadata!", ADDRESS(INDEX($AI$2:$AI$1001,MATCH(ROWS($AG$2:AG153),$AG$2:$AG$1001,0),0), INDEX($AN$1004:$BO$1004,1,MATCH(COLUMNS($AN$1006:BL1006),$AN$1006:$BO$1006,0)))),"Fix")))</f>
        <v>0</v>
      </c>
      <c r="AA153" s="4">
        <f>IF(OR(INDEX($AH$2:$AH$1001,MATCH(ROWS($AG$2:AG153),$AG$2:$AG$1001,0),1)&gt;=100000,INDEX($AN$1005:$BO$1005,1,MATCH(COLUMNS($AN$1006:BM1006),$AN$1006:$BO$1006,0))&gt;=100000), " ",IF(INDEX($AN$2:$BO$1001,MATCH(ROWS($AG$2:AG153),$AG$2:$AG$1001,0),MATCH(COLUMNS($AN$1006:BM1006),$AN$1006:$BO$1006,0)), HYPERLINK("#",""), HYPERLINK(CONCATENATE("#Metadata!", ADDRESS(INDEX($AI$2:$AI$1001,MATCH(ROWS($AG$2:AG153),$AG$2:$AG$1001,0),0), INDEX($AN$1004:$BO$1004,1,MATCH(COLUMNS($AN$1006:BM1006),$AN$1006:$BO$1006,0)))),"Fix")))</f>
        <v>0</v>
      </c>
      <c r="AB153" s="4">
        <f>IF(OR(INDEX($AH$2:$AH$1001,MATCH(ROWS($AG$2:AG153),$AG$2:$AG$1001,0),1)&gt;=100000,INDEX($AN$1005:$BO$1005,1,MATCH(COLUMNS($AN$1006:BN1006),$AN$1006:$BO$1006,0))&gt;=100000), " ",IF(INDEX($AN$2:$BO$1001,MATCH(ROWS($AG$2:AG153),$AG$2:$AG$1001,0),MATCH(COLUMNS($AN$1006:BN1006),$AN$1006:$BO$1006,0)), HYPERLINK("#",""), HYPERLINK(CONCATENATE("#Metadata!", ADDRESS(INDEX($AI$2:$AI$1001,MATCH(ROWS($AG$2:AG153),$AG$2:$AG$1001,0),0), INDEX($AN$1004:$BO$1004,1,MATCH(COLUMNS($AN$1006:BN1006),$AN$1006:$BO$1006,0)))),"Fix")))</f>
        <v>0</v>
      </c>
      <c r="AC153" s="4">
        <f>IF(OR(INDEX($AH$2:$AH$1001,MATCH(ROWS($AG$2:AG153),$AG$2:$AG$1001,0),1)&gt;=100000,INDEX($AN$1005:$BO$1005,1,MATCH(COLUMNS($AN$1006:BO1006),$AN$1006:$BO$1006,0))&gt;=100000), " ",IF(INDEX($AN$2:$BO$1001,MATCH(ROWS($AG$2:AG153),$AG$2:$AG$1001,0),MATCH(COLUMNS($AN$1006:BO1006),$AN$1006:$BO$1006,0)), HYPERLINK("#",""), HYPERLINK(CONCATENATE("#Metadata!", ADDRESS(INDEX($AI$2:$AI$1001,MATCH(ROWS($AG$2:AG153),$AG$2:$AG$1001,0),0), INDEX($AN$1004:$BO$1004,1,MATCH(COLUMNS($AN$1006:BO1006),$AN$1006:$BO$1006,0)))),"Fix")))</f>
        <v>0</v>
      </c>
      <c r="AG153">
        <v>0</v>
      </c>
      <c r="AH153">
        <v>0</v>
      </c>
      <c r="AI153">
        <v>0</v>
      </c>
      <c r="AJ153">
        <f>IF(AK153,TRUE,AND(AN153:BO153))</f>
        <v>0</v>
      </c>
      <c r="AK153">
        <f>COUNTBLANK(Metadata!B153:AC153)=COLUMNS(Metadata!B153:AC153)</f>
        <v>0</v>
      </c>
      <c r="AL153">
        <v>0</v>
      </c>
      <c r="AN153">
        <f>AND(IF(Metadata!B153="",FALSE,TRUE),COUNTIF(Metadata!B:B, Metadata!B153) = 1,NOT(ISERROR(SUMPRODUCT(SEARCH(MID(Metadata!B153,ROW(INDIRECT("1:"&amp;LEN(Metadata!B153))), 1),"0123456789abcdefghijklmnopqrstuvwxyzABCDEFGHIJKLMNOPQRSTUVWXYZ.")))))</f>
        <v>0</v>
      </c>
      <c r="AO153">
        <f>IF(Metadata!C153="",FALSE,TRUE)</f>
        <v>0</v>
      </c>
      <c r="AP153">
        <f>IF(Metadata!D153="",FALSE,TRUE)</f>
        <v>0</v>
      </c>
      <c r="AQ153">
        <f>OR(AND(IF(Metadata!E153="",FALSE,TRUE),OR(exact(Metadata!E153,"not collected"),exact(Metadata!E153,"not provided"),exact(Metadata!E153,"restricted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R153">
        <f>IF(Metadata!F153="",FALSE,TRUE)</f>
        <v>0</v>
      </c>
      <c r="AS153">
        <f>OR(AND(IF(Metadata!G153="",FALSE,TRUE),OR(exact(Metadata!G153,"not collected"),exact(Metadata!G153,"not provided"))),AND(IF(Metadata!G153="",FALSE,TRUE),OR(exact(Metadata!G153,"TRUE"),exact(Metadata!G153,"FALSE"))))</f>
        <v>0</v>
      </c>
      <c r="AT153">
        <f>OR(AND(IF(Metadata!H153="",FALSE,TRUE),OR(exact(Metadata!H153,"not collected"),exact(Metadata!H153,"not provided"),exact(Metadata!H153,"restricted access"))),AND(IF(Metadata!H153="",FALSE,ISNUMBER(VALUE(Metadata!H153))),Metadata!H153&gt;=-413.0))</f>
        <v>0</v>
      </c>
      <c r="AU153">
        <f>AND(IF(Metadata!I153="",FALSE,TRUE),exact(Metadata!I153,"meters"))</f>
        <v>0</v>
      </c>
      <c r="AV153">
        <f>AND(IF(Metadata!J153="",FALSE,TRUE),OR(exact(Metadata!J153,"Host-associated"),exact(Metadata!J153,"Free-living")))</f>
        <v>0</v>
      </c>
      <c r="AW153">
        <f>AND(IF(Metadata!K153="",FALSE,TRUE),OR(exact(Metadata!K153,"Animal"),exact(Metadata!K153,"Fungus"),exact(Metadata!K153,"Plant"),exact(Metadata!K153,"Saline"),exact(Metadata!K153,"Non-saline")))</f>
        <v>0</v>
      </c>
      <c r="AX153">
        <f>AND(IF(Metadata!L153="",FALSE,TRUE),OR(exact(Metadata!L153,"Plant secretion"),exact(Metadata!L153,"Plant rhizosphere"),exact(Metadata!L153,"Plant surface"),exact(Metadata!L153,"Plant corpus"),exact(Metadata!L153,"Fungus surface"),exact(Metadata!L153,"Fungus corpus"),exact(Metadata!L153,"Animal surface"),exact(Metadata!L153,"Animal proximal gut"),exact(Metadata!L153,"Animal corpus"),exact(Metadata!L153,"Animal distal gut"),exact(Metadata!L153,"Animal secretion"),exact(Metadata!L153,"Sub-surface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Y153">
        <f>IF(Metadata!M153="",FALSE,TRUE)</f>
        <v>0</v>
      </c>
      <c r="AZ153">
        <f>IF(Metadata!N153="",FALSE,TRUE)</f>
        <v>0</v>
      </c>
      <c r="BA153">
        <f>IF(Metadata!O153="",FALSE,TRUE)</f>
        <v>0</v>
      </c>
      <c r="BB153">
        <f>OR(AND(IF(Metadata!P153="",FALSE,TRUE),OR(exact(Metadata!P153,"not collected"),exact(Metadata!P153,"not provided"),exact(Metadata!P153,"restricted access"))),AND(IF(Metadata!P153="",FALSE,TRUE),OR(exact(Metadata!P153,"air"),exact(Metadata!P153,"built environment"),exact(Metadata!P153,"host-associated"),exact(Metadata!P153,"human-associated"),exact(Metadata!P153,"human-skin"),exact(Metadata!P153,"human-oral"),exact(Metadata!P153,"human-gut"),exact(Metadata!P153,"human-vaginal"),exact(Metadata!P153,"microbial mat/biofilm"),exact(Metadata!P153,"misc environment"),exact(Metadata!P153,"plant-associated"),exact(Metadata!P153,"sediment"),exact(Metadata!P153,"soil"),exact(Metadata!P153,"wastewater/sludge"),exact(Metadata!P153,"water"))))</f>
        <v>0</v>
      </c>
      <c r="BC153">
        <f>IF(Metadata!Q153="",FALSE,TRUE)</f>
        <v>0</v>
      </c>
      <c r="BD153">
        <f>IF(Metadata!R153="",FALSE,TRUE)</f>
        <v>0</v>
      </c>
      <c r="BE153">
        <f>OR(AND(IF(Metadata!S153="",FALSE,TRUE),OR(exact(Metadata!S153,"not collected"),exact(Metadata!S153,"not provided"),exact(Metadata!S153,"restricted access"))),AND(IF(Metadata!S153="",FALSE,ISNUMBER(VALUE(Metadata!S153))),Metadata!S153&gt;=-90.00,Metadata!S153&lt;=90.00))</f>
        <v>0</v>
      </c>
      <c r="BF153">
        <f>AND(IF(Metadata!T153="",FALSE,TRUE),exact(Metadata!T153,"Decimal degrees"))</f>
        <v>0</v>
      </c>
      <c r="BG153">
        <f>OR(AND(IF(Metadata!U153="",FALSE,TRUE),OR(exact(Metadata!U153,"not collected"),exact(Metadata!U153,"not provided"),exact(Metadata!U153,"restricted access"))),AND(IF(Metadata!U153="",FALSE,ISNUMBER(VALUE(Metadata!U153))),Metadata!U153&gt;=-180.00,Metadata!U153&lt;=180.00))</f>
        <v>0</v>
      </c>
      <c r="BH153">
        <f>AND(IF(Metadata!V153="",FALSE,TRUE),exact(Metadata!V153,"Decimal degrees"))</f>
        <v>0</v>
      </c>
      <c r="BI153">
        <f>IF(Metadata!W153="",FALSE,TRUE)</f>
        <v>0</v>
      </c>
      <c r="BJ153">
        <f>OR(AND(IF(Metadata!X153="",FALSE,TRUE),OR(exact(Metadata!X153,"not collected"),exact(Metadata!X153,"not provided"),exact(Metadata!X153,"restricted access"))),AND(IF(Metadata!X153="",FALSE,TRUE),OR(exact(Metadata!X153,"TRUE"),exact(Metadata!X153,"FALSE"))))</f>
        <v>0</v>
      </c>
      <c r="BK153">
        <f>AND(IF(Metadata!Y153="",FALSE,TRUE),exact(Metadata!Y153,"other"))</f>
        <v>0</v>
      </c>
      <c r="BL153">
        <f>IF(Metadata!Z153="",FALSE,TRUE)</f>
        <v>0</v>
      </c>
      <c r="BM153">
        <f>OR(AND(IF(Metadata!AA153="",FALSE,TRUE),OR(exact(Metadata!AA153,"not collected"),exact(Metadata!AA153,"not provided"))),AND(IF(Metadata!AA153="",FALSE,IF(ISERROR(INT(Metadata!AA153)),FALSE,INT(Metadata!AA153)=Metadata!AA153)),Metadata!AA153&gt;0))</f>
        <v>0</v>
      </c>
      <c r="BN153">
        <f>AND(IF(Metadata!AB153="",FALSE,TRUE),exact(Metadata!AB153,"Not applicable"))</f>
        <v>0</v>
      </c>
      <c r="BO153">
        <f>IF(Metadata!AC153="",FALSE,TRUE)</f>
        <v>0</v>
      </c>
    </row>
    <row r="154" spans="1:67">
      <c r="A154" s="5">
        <f>IF(B154=" "," ",HYPERLINK(CONCATENATE("#metadata!",ADDRESS(INDEX($AI$2:$AI$1001,MATCH(ROWS($AG$2:AG154),$AG$2:$AG$1001,0),0),1)),INDEX($AL$2:$AL$1001,MATCH(ROWS($AG$2:AG154),$AG$2:$AG$1001,0),0)))</f>
        <v>0</v>
      </c>
      <c r="B154" s="4">
        <f>IF(OR(INDEX($AH$2:$AH$1001,MATCH(ROWS($AG$2:AG154),$AG$2:$AG$1001,0),1)&gt;=100000,INDEX($AN$1005:$BO$1005,1,MATCH(COLUMNS($AN$1006:AN1006),$AN$1006:$BO$1006,0))&gt;=100000), " ",IF(INDEX($AN$2:$BO$1001,MATCH(ROWS($AG$2:AG154),$AG$2:$AG$1001,0),MATCH(COLUMNS($AN$1006:AN1006),$AN$1006:$BO$1006,0)), HYPERLINK("#",""), HYPERLINK(CONCATENATE("#Metadata!", ADDRESS(INDEX($AI$2:$AI$1001,MATCH(ROWS($AG$2:AG154),$AG$2:$AG$1001,0),0), INDEX($AN$1004:$BO$1004,1,MATCH(COLUMNS($AN$1006:AN1006),$AN$1006:$BO$1006,0)))),"Fix")))</f>
        <v>0</v>
      </c>
      <c r="C154" s="4">
        <f>IF(OR(INDEX($AH$2:$AH$1001,MATCH(ROWS($AG$2:AG154),$AG$2:$AG$1001,0),1)&gt;=100000,INDEX($AN$1005:$BO$1005,1,MATCH(COLUMNS($AN$1006:AO1006),$AN$1006:$BO$1006,0))&gt;=100000), " ",IF(INDEX($AN$2:$BO$1001,MATCH(ROWS($AG$2:AG154),$AG$2:$AG$1001,0),MATCH(COLUMNS($AN$1006:AO1006),$AN$1006:$BO$1006,0)), HYPERLINK("#",""), HYPERLINK(CONCATENATE("#Metadata!", ADDRESS(INDEX($AI$2:$AI$1001,MATCH(ROWS($AG$2:AG154),$AG$2:$AG$1001,0),0), INDEX($AN$1004:$BO$1004,1,MATCH(COLUMNS($AN$1006:AO1006),$AN$1006:$BO$1006,0)))),"Fix")))</f>
        <v>0</v>
      </c>
      <c r="D154" s="4">
        <f>IF(OR(INDEX($AH$2:$AH$1001,MATCH(ROWS($AG$2:AG154),$AG$2:$AG$1001,0),1)&gt;=100000,INDEX($AN$1005:$BO$1005,1,MATCH(COLUMNS($AN$1006:AP1006),$AN$1006:$BO$1006,0))&gt;=100000), " ",IF(INDEX($AN$2:$BO$1001,MATCH(ROWS($AG$2:AG154),$AG$2:$AG$1001,0),MATCH(COLUMNS($AN$1006:AP1006),$AN$1006:$BO$1006,0)), HYPERLINK("#",""), HYPERLINK(CONCATENATE("#Metadata!", ADDRESS(INDEX($AI$2:$AI$1001,MATCH(ROWS($AG$2:AG154),$AG$2:$AG$1001,0),0), INDEX($AN$1004:$BO$1004,1,MATCH(COLUMNS($AN$1006:AP1006),$AN$1006:$BO$1006,0)))),"Fix")))</f>
        <v>0</v>
      </c>
      <c r="E154" s="4">
        <f>IF(OR(INDEX($AH$2:$AH$1001,MATCH(ROWS($AG$2:AG154),$AG$2:$AG$1001,0),1)&gt;=100000,INDEX($AN$1005:$BO$1005,1,MATCH(COLUMNS($AN$1006:AQ1006),$AN$1006:$BO$1006,0))&gt;=100000), " ",IF(INDEX($AN$2:$BO$1001,MATCH(ROWS($AG$2:AG154),$AG$2:$AG$1001,0),MATCH(COLUMNS($AN$1006:AQ1006),$AN$1006:$BO$1006,0)), HYPERLINK("#",""), HYPERLINK(CONCATENATE("#Metadata!", ADDRESS(INDEX($AI$2:$AI$1001,MATCH(ROWS($AG$2:AG154),$AG$2:$AG$1001,0),0), INDEX($AN$1004:$BO$1004,1,MATCH(COLUMNS($AN$1006:AQ1006),$AN$1006:$BO$1006,0)))),"Fix")))</f>
        <v>0</v>
      </c>
      <c r="F154" s="4">
        <f>IF(OR(INDEX($AH$2:$AH$1001,MATCH(ROWS($AG$2:AG154),$AG$2:$AG$1001,0),1)&gt;=100000,INDEX($AN$1005:$BO$1005,1,MATCH(COLUMNS($AN$1006:AR1006),$AN$1006:$BO$1006,0))&gt;=100000), " ",IF(INDEX($AN$2:$BO$1001,MATCH(ROWS($AG$2:AG154),$AG$2:$AG$1001,0),MATCH(COLUMNS($AN$1006:AR1006),$AN$1006:$BO$1006,0)), HYPERLINK("#",""), HYPERLINK(CONCATENATE("#Metadata!", ADDRESS(INDEX($AI$2:$AI$1001,MATCH(ROWS($AG$2:AG154),$AG$2:$AG$1001,0),0), INDEX($AN$1004:$BO$1004,1,MATCH(COLUMNS($AN$1006:AR1006),$AN$1006:$BO$1006,0)))),"Fix")))</f>
        <v>0</v>
      </c>
      <c r="G154" s="4">
        <f>IF(OR(INDEX($AH$2:$AH$1001,MATCH(ROWS($AG$2:AG154),$AG$2:$AG$1001,0),1)&gt;=100000,INDEX($AN$1005:$BO$1005,1,MATCH(COLUMNS($AN$1006:AS1006),$AN$1006:$BO$1006,0))&gt;=100000), " ",IF(INDEX($AN$2:$BO$1001,MATCH(ROWS($AG$2:AG154),$AG$2:$AG$1001,0),MATCH(COLUMNS($AN$1006:AS1006),$AN$1006:$BO$1006,0)), HYPERLINK("#",""), HYPERLINK(CONCATENATE("#Metadata!", ADDRESS(INDEX($AI$2:$AI$1001,MATCH(ROWS($AG$2:AG154),$AG$2:$AG$1001,0),0), INDEX($AN$1004:$BO$1004,1,MATCH(COLUMNS($AN$1006:AS1006),$AN$1006:$BO$1006,0)))),"Fix")))</f>
        <v>0</v>
      </c>
      <c r="H154" s="4">
        <f>IF(OR(INDEX($AH$2:$AH$1001,MATCH(ROWS($AG$2:AG154),$AG$2:$AG$1001,0),1)&gt;=100000,INDEX($AN$1005:$BO$1005,1,MATCH(COLUMNS($AN$1006:AT1006),$AN$1006:$BO$1006,0))&gt;=100000), " ",IF(INDEX($AN$2:$BO$1001,MATCH(ROWS($AG$2:AG154),$AG$2:$AG$1001,0),MATCH(COLUMNS($AN$1006:AT1006),$AN$1006:$BO$1006,0)), HYPERLINK("#",""), HYPERLINK(CONCATENATE("#Metadata!", ADDRESS(INDEX($AI$2:$AI$1001,MATCH(ROWS($AG$2:AG154),$AG$2:$AG$1001,0),0), INDEX($AN$1004:$BO$1004,1,MATCH(COLUMNS($AN$1006:AT1006),$AN$1006:$BO$1006,0)))),"Fix")))</f>
        <v>0</v>
      </c>
      <c r="I154" s="4">
        <f>IF(OR(INDEX($AH$2:$AH$1001,MATCH(ROWS($AG$2:AG154),$AG$2:$AG$1001,0),1)&gt;=100000,INDEX($AN$1005:$BO$1005,1,MATCH(COLUMNS($AN$1006:AU1006),$AN$1006:$BO$1006,0))&gt;=100000), " ",IF(INDEX($AN$2:$BO$1001,MATCH(ROWS($AG$2:AG154),$AG$2:$AG$1001,0),MATCH(COLUMNS($AN$1006:AU1006),$AN$1006:$BO$1006,0)), HYPERLINK("#",""), HYPERLINK(CONCATENATE("#Metadata!", ADDRESS(INDEX($AI$2:$AI$1001,MATCH(ROWS($AG$2:AG154),$AG$2:$AG$1001,0),0), INDEX($AN$1004:$BO$1004,1,MATCH(COLUMNS($AN$1006:AU1006),$AN$1006:$BO$1006,0)))),"Fix")))</f>
        <v>0</v>
      </c>
      <c r="J154" s="4">
        <f>IF(OR(INDEX($AH$2:$AH$1001,MATCH(ROWS($AG$2:AG154),$AG$2:$AG$1001,0),1)&gt;=100000,INDEX($AN$1005:$BO$1005,1,MATCH(COLUMNS($AN$1006:AV1006),$AN$1006:$BO$1006,0))&gt;=100000), " ",IF(INDEX($AN$2:$BO$1001,MATCH(ROWS($AG$2:AG154),$AG$2:$AG$1001,0),MATCH(COLUMNS($AN$1006:AV1006),$AN$1006:$BO$1006,0)), HYPERLINK("#",""), HYPERLINK(CONCATENATE("#Metadata!", ADDRESS(INDEX($AI$2:$AI$1001,MATCH(ROWS($AG$2:AG154),$AG$2:$AG$1001,0),0), INDEX($AN$1004:$BO$1004,1,MATCH(COLUMNS($AN$1006:AV1006),$AN$1006:$BO$1006,0)))),"Fix")))</f>
        <v>0</v>
      </c>
      <c r="K154" s="4">
        <f>IF(OR(INDEX($AH$2:$AH$1001,MATCH(ROWS($AG$2:AG154),$AG$2:$AG$1001,0),1)&gt;=100000,INDEX($AN$1005:$BO$1005,1,MATCH(COLUMNS($AN$1006:AW1006),$AN$1006:$BO$1006,0))&gt;=100000), " ",IF(INDEX($AN$2:$BO$1001,MATCH(ROWS($AG$2:AG154),$AG$2:$AG$1001,0),MATCH(COLUMNS($AN$1006:AW1006),$AN$1006:$BO$1006,0)), HYPERLINK("#",""), HYPERLINK(CONCATENATE("#Metadata!", ADDRESS(INDEX($AI$2:$AI$1001,MATCH(ROWS($AG$2:AG154),$AG$2:$AG$1001,0),0), INDEX($AN$1004:$BO$1004,1,MATCH(COLUMNS($AN$1006:AW1006),$AN$1006:$BO$1006,0)))),"Fix")))</f>
        <v>0</v>
      </c>
      <c r="L154" s="4">
        <f>IF(OR(INDEX($AH$2:$AH$1001,MATCH(ROWS($AG$2:AG154),$AG$2:$AG$1001,0),1)&gt;=100000,INDEX($AN$1005:$BO$1005,1,MATCH(COLUMNS($AN$1006:AX1006),$AN$1006:$BO$1006,0))&gt;=100000), " ",IF(INDEX($AN$2:$BO$1001,MATCH(ROWS($AG$2:AG154),$AG$2:$AG$1001,0),MATCH(COLUMNS($AN$1006:AX1006),$AN$1006:$BO$1006,0)), HYPERLINK("#",""), HYPERLINK(CONCATENATE("#Metadata!", ADDRESS(INDEX($AI$2:$AI$1001,MATCH(ROWS($AG$2:AG154),$AG$2:$AG$1001,0),0), INDEX($AN$1004:$BO$1004,1,MATCH(COLUMNS($AN$1006:AX1006),$AN$1006:$BO$1006,0)))),"Fix")))</f>
        <v>0</v>
      </c>
      <c r="M154" s="4">
        <f>IF(OR(INDEX($AH$2:$AH$1001,MATCH(ROWS($AG$2:AG154),$AG$2:$AG$1001,0),1)&gt;=100000,INDEX($AN$1005:$BO$1005,1,MATCH(COLUMNS($AN$1006:AY1006),$AN$1006:$BO$1006,0))&gt;=100000), " ",IF(INDEX($AN$2:$BO$1001,MATCH(ROWS($AG$2:AG154),$AG$2:$AG$1001,0),MATCH(COLUMNS($AN$1006:AY1006),$AN$1006:$BO$1006,0)), HYPERLINK("#",""), HYPERLINK(CONCATENATE("#Metadata!", ADDRESS(INDEX($AI$2:$AI$1001,MATCH(ROWS($AG$2:AG154),$AG$2:$AG$1001,0),0), INDEX($AN$1004:$BO$1004,1,MATCH(COLUMNS($AN$1006:AY1006),$AN$1006:$BO$1006,0)))),"Fix")))</f>
        <v>0</v>
      </c>
      <c r="N154" s="4">
        <f>IF(OR(INDEX($AH$2:$AH$1001,MATCH(ROWS($AG$2:AG154),$AG$2:$AG$1001,0),1)&gt;=100000,INDEX($AN$1005:$BO$1005,1,MATCH(COLUMNS($AN$1006:AZ1006),$AN$1006:$BO$1006,0))&gt;=100000), " ",IF(INDEX($AN$2:$BO$1001,MATCH(ROWS($AG$2:AG154),$AG$2:$AG$1001,0),MATCH(COLUMNS($AN$1006:AZ1006),$AN$1006:$BO$1006,0)), HYPERLINK("#",""), HYPERLINK(CONCATENATE("#Metadata!", ADDRESS(INDEX($AI$2:$AI$1001,MATCH(ROWS($AG$2:AG154),$AG$2:$AG$1001,0),0), INDEX($AN$1004:$BO$1004,1,MATCH(COLUMNS($AN$1006:AZ1006),$AN$1006:$BO$1006,0)))),"Fix")))</f>
        <v>0</v>
      </c>
      <c r="O154" s="4">
        <f>IF(OR(INDEX($AH$2:$AH$1001,MATCH(ROWS($AG$2:AG154),$AG$2:$AG$1001,0),1)&gt;=100000,INDEX($AN$1005:$BO$1005,1,MATCH(COLUMNS($AN$1006:BA1006),$AN$1006:$BO$1006,0))&gt;=100000), " ",IF(INDEX($AN$2:$BO$1001,MATCH(ROWS($AG$2:AG154),$AG$2:$AG$1001,0),MATCH(COLUMNS($AN$1006:BA1006),$AN$1006:$BO$1006,0)), HYPERLINK("#",""), HYPERLINK(CONCATENATE("#Metadata!", ADDRESS(INDEX($AI$2:$AI$1001,MATCH(ROWS($AG$2:AG154),$AG$2:$AG$1001,0),0), INDEX($AN$1004:$BO$1004,1,MATCH(COLUMNS($AN$1006:BA1006),$AN$1006:$BO$1006,0)))),"Fix")))</f>
        <v>0</v>
      </c>
      <c r="P154" s="4">
        <f>IF(OR(INDEX($AH$2:$AH$1001,MATCH(ROWS($AG$2:AG154),$AG$2:$AG$1001,0),1)&gt;=100000,INDEX($AN$1005:$BO$1005,1,MATCH(COLUMNS($AN$1006:BB1006),$AN$1006:$BO$1006,0))&gt;=100000), " ",IF(INDEX($AN$2:$BO$1001,MATCH(ROWS($AG$2:AG154),$AG$2:$AG$1001,0),MATCH(COLUMNS($AN$1006:BB1006),$AN$1006:$BO$1006,0)), HYPERLINK("#",""), HYPERLINK(CONCATENATE("#Metadata!", ADDRESS(INDEX($AI$2:$AI$1001,MATCH(ROWS($AG$2:AG154),$AG$2:$AG$1001,0),0), INDEX($AN$1004:$BO$1004,1,MATCH(COLUMNS($AN$1006:BB1006),$AN$1006:$BO$1006,0)))),"Fix")))</f>
        <v>0</v>
      </c>
      <c r="Q154" s="4">
        <f>IF(OR(INDEX($AH$2:$AH$1001,MATCH(ROWS($AG$2:AG154),$AG$2:$AG$1001,0),1)&gt;=100000,INDEX($AN$1005:$BO$1005,1,MATCH(COLUMNS($AN$1006:BC1006),$AN$1006:$BO$1006,0))&gt;=100000), " ",IF(INDEX($AN$2:$BO$1001,MATCH(ROWS($AG$2:AG154),$AG$2:$AG$1001,0),MATCH(COLUMNS($AN$1006:BC1006),$AN$1006:$BO$1006,0)), HYPERLINK("#",""), HYPERLINK(CONCATENATE("#Metadata!", ADDRESS(INDEX($AI$2:$AI$1001,MATCH(ROWS($AG$2:AG154),$AG$2:$AG$1001,0),0), INDEX($AN$1004:$BO$1004,1,MATCH(COLUMNS($AN$1006:BC1006),$AN$1006:$BO$1006,0)))),"Fix")))</f>
        <v>0</v>
      </c>
      <c r="R154" s="4">
        <f>IF(OR(INDEX($AH$2:$AH$1001,MATCH(ROWS($AG$2:AG154),$AG$2:$AG$1001,0),1)&gt;=100000,INDEX($AN$1005:$BO$1005,1,MATCH(COLUMNS($AN$1006:BD1006),$AN$1006:$BO$1006,0))&gt;=100000), " ",IF(INDEX($AN$2:$BO$1001,MATCH(ROWS($AG$2:AG154),$AG$2:$AG$1001,0),MATCH(COLUMNS($AN$1006:BD1006),$AN$1006:$BO$1006,0)), HYPERLINK("#",""), HYPERLINK(CONCATENATE("#Metadata!", ADDRESS(INDEX($AI$2:$AI$1001,MATCH(ROWS($AG$2:AG154),$AG$2:$AG$1001,0),0), INDEX($AN$1004:$BO$1004,1,MATCH(COLUMNS($AN$1006:BD1006),$AN$1006:$BO$1006,0)))),"Fix")))</f>
        <v>0</v>
      </c>
      <c r="S154" s="4">
        <f>IF(OR(INDEX($AH$2:$AH$1001,MATCH(ROWS($AG$2:AG154),$AG$2:$AG$1001,0),1)&gt;=100000,INDEX($AN$1005:$BO$1005,1,MATCH(COLUMNS($AN$1006:BE1006),$AN$1006:$BO$1006,0))&gt;=100000), " ",IF(INDEX($AN$2:$BO$1001,MATCH(ROWS($AG$2:AG154),$AG$2:$AG$1001,0),MATCH(COLUMNS($AN$1006:BE1006),$AN$1006:$BO$1006,0)), HYPERLINK("#",""), HYPERLINK(CONCATENATE("#Metadata!", ADDRESS(INDEX($AI$2:$AI$1001,MATCH(ROWS($AG$2:AG154),$AG$2:$AG$1001,0),0), INDEX($AN$1004:$BO$1004,1,MATCH(COLUMNS($AN$1006:BE1006),$AN$1006:$BO$1006,0)))),"Fix")))</f>
        <v>0</v>
      </c>
      <c r="T154" s="4">
        <f>IF(OR(INDEX($AH$2:$AH$1001,MATCH(ROWS($AG$2:AG154),$AG$2:$AG$1001,0),1)&gt;=100000,INDEX($AN$1005:$BO$1005,1,MATCH(COLUMNS($AN$1006:BF1006),$AN$1006:$BO$1006,0))&gt;=100000), " ",IF(INDEX($AN$2:$BO$1001,MATCH(ROWS($AG$2:AG154),$AG$2:$AG$1001,0),MATCH(COLUMNS($AN$1006:BF1006),$AN$1006:$BO$1006,0)), HYPERLINK("#",""), HYPERLINK(CONCATENATE("#Metadata!", ADDRESS(INDEX($AI$2:$AI$1001,MATCH(ROWS($AG$2:AG154),$AG$2:$AG$1001,0),0), INDEX($AN$1004:$BO$1004,1,MATCH(COLUMNS($AN$1006:BF1006),$AN$1006:$BO$1006,0)))),"Fix")))</f>
        <v>0</v>
      </c>
      <c r="U154" s="4">
        <f>IF(OR(INDEX($AH$2:$AH$1001,MATCH(ROWS($AG$2:AG154),$AG$2:$AG$1001,0),1)&gt;=100000,INDEX($AN$1005:$BO$1005,1,MATCH(COLUMNS($AN$1006:BG1006),$AN$1006:$BO$1006,0))&gt;=100000), " ",IF(INDEX($AN$2:$BO$1001,MATCH(ROWS($AG$2:AG154),$AG$2:$AG$1001,0),MATCH(COLUMNS($AN$1006:BG1006),$AN$1006:$BO$1006,0)), HYPERLINK("#",""), HYPERLINK(CONCATENATE("#Metadata!", ADDRESS(INDEX($AI$2:$AI$1001,MATCH(ROWS($AG$2:AG154),$AG$2:$AG$1001,0),0), INDEX($AN$1004:$BO$1004,1,MATCH(COLUMNS($AN$1006:BG1006),$AN$1006:$BO$1006,0)))),"Fix")))</f>
        <v>0</v>
      </c>
      <c r="V154" s="4">
        <f>IF(OR(INDEX($AH$2:$AH$1001,MATCH(ROWS($AG$2:AG154),$AG$2:$AG$1001,0),1)&gt;=100000,INDEX($AN$1005:$BO$1005,1,MATCH(COLUMNS($AN$1006:BH1006),$AN$1006:$BO$1006,0))&gt;=100000), " ",IF(INDEX($AN$2:$BO$1001,MATCH(ROWS($AG$2:AG154),$AG$2:$AG$1001,0),MATCH(COLUMNS($AN$1006:BH1006),$AN$1006:$BO$1006,0)), HYPERLINK("#",""), HYPERLINK(CONCATENATE("#Metadata!", ADDRESS(INDEX($AI$2:$AI$1001,MATCH(ROWS($AG$2:AG154),$AG$2:$AG$1001,0),0), INDEX($AN$1004:$BO$1004,1,MATCH(COLUMNS($AN$1006:BH1006),$AN$1006:$BO$1006,0)))),"Fix")))</f>
        <v>0</v>
      </c>
      <c r="W154" s="4">
        <f>IF(OR(INDEX($AH$2:$AH$1001,MATCH(ROWS($AG$2:AG154),$AG$2:$AG$1001,0),1)&gt;=100000,INDEX($AN$1005:$BO$1005,1,MATCH(COLUMNS($AN$1006:BI1006),$AN$1006:$BO$1006,0))&gt;=100000), " ",IF(INDEX($AN$2:$BO$1001,MATCH(ROWS($AG$2:AG154),$AG$2:$AG$1001,0),MATCH(COLUMNS($AN$1006:BI1006),$AN$1006:$BO$1006,0)), HYPERLINK("#",""), HYPERLINK(CONCATENATE("#Metadata!", ADDRESS(INDEX($AI$2:$AI$1001,MATCH(ROWS($AG$2:AG154),$AG$2:$AG$1001,0),0), INDEX($AN$1004:$BO$1004,1,MATCH(COLUMNS($AN$1006:BI1006),$AN$1006:$BO$1006,0)))),"Fix")))</f>
        <v>0</v>
      </c>
      <c r="X154" s="4">
        <f>IF(OR(INDEX($AH$2:$AH$1001,MATCH(ROWS($AG$2:AG154),$AG$2:$AG$1001,0),1)&gt;=100000,INDEX($AN$1005:$BO$1005,1,MATCH(COLUMNS($AN$1006:BJ1006),$AN$1006:$BO$1006,0))&gt;=100000), " ",IF(INDEX($AN$2:$BO$1001,MATCH(ROWS($AG$2:AG154),$AG$2:$AG$1001,0),MATCH(COLUMNS($AN$1006:BJ1006),$AN$1006:$BO$1006,0)), HYPERLINK("#",""), HYPERLINK(CONCATENATE("#Metadata!", ADDRESS(INDEX($AI$2:$AI$1001,MATCH(ROWS($AG$2:AG154),$AG$2:$AG$1001,0),0), INDEX($AN$1004:$BO$1004,1,MATCH(COLUMNS($AN$1006:BJ1006),$AN$1006:$BO$1006,0)))),"Fix")))</f>
        <v>0</v>
      </c>
      <c r="Y154" s="4">
        <f>IF(OR(INDEX($AH$2:$AH$1001,MATCH(ROWS($AG$2:AG154),$AG$2:$AG$1001,0),1)&gt;=100000,INDEX($AN$1005:$BO$1005,1,MATCH(COLUMNS($AN$1006:BK1006),$AN$1006:$BO$1006,0))&gt;=100000), " ",IF(INDEX($AN$2:$BO$1001,MATCH(ROWS($AG$2:AG154),$AG$2:$AG$1001,0),MATCH(COLUMNS($AN$1006:BK1006),$AN$1006:$BO$1006,0)), HYPERLINK("#",""), HYPERLINK(CONCATENATE("#Metadata!", ADDRESS(INDEX($AI$2:$AI$1001,MATCH(ROWS($AG$2:AG154),$AG$2:$AG$1001,0),0), INDEX($AN$1004:$BO$1004,1,MATCH(COLUMNS($AN$1006:BK1006),$AN$1006:$BO$1006,0)))),"Fix")))</f>
        <v>0</v>
      </c>
      <c r="Z154" s="4">
        <f>IF(OR(INDEX($AH$2:$AH$1001,MATCH(ROWS($AG$2:AG154),$AG$2:$AG$1001,0),1)&gt;=100000,INDEX($AN$1005:$BO$1005,1,MATCH(COLUMNS($AN$1006:BL1006),$AN$1006:$BO$1006,0))&gt;=100000), " ",IF(INDEX($AN$2:$BO$1001,MATCH(ROWS($AG$2:AG154),$AG$2:$AG$1001,0),MATCH(COLUMNS($AN$1006:BL1006),$AN$1006:$BO$1006,0)), HYPERLINK("#",""), HYPERLINK(CONCATENATE("#Metadata!", ADDRESS(INDEX($AI$2:$AI$1001,MATCH(ROWS($AG$2:AG154),$AG$2:$AG$1001,0),0), INDEX($AN$1004:$BO$1004,1,MATCH(COLUMNS($AN$1006:BL1006),$AN$1006:$BO$1006,0)))),"Fix")))</f>
        <v>0</v>
      </c>
      <c r="AA154" s="4">
        <f>IF(OR(INDEX($AH$2:$AH$1001,MATCH(ROWS($AG$2:AG154),$AG$2:$AG$1001,0),1)&gt;=100000,INDEX($AN$1005:$BO$1005,1,MATCH(COLUMNS($AN$1006:BM1006),$AN$1006:$BO$1006,0))&gt;=100000), " ",IF(INDEX($AN$2:$BO$1001,MATCH(ROWS($AG$2:AG154),$AG$2:$AG$1001,0),MATCH(COLUMNS($AN$1006:BM1006),$AN$1006:$BO$1006,0)), HYPERLINK("#",""), HYPERLINK(CONCATENATE("#Metadata!", ADDRESS(INDEX($AI$2:$AI$1001,MATCH(ROWS($AG$2:AG154),$AG$2:$AG$1001,0),0), INDEX($AN$1004:$BO$1004,1,MATCH(COLUMNS($AN$1006:BM1006),$AN$1006:$BO$1006,0)))),"Fix")))</f>
        <v>0</v>
      </c>
      <c r="AB154" s="4">
        <f>IF(OR(INDEX($AH$2:$AH$1001,MATCH(ROWS($AG$2:AG154),$AG$2:$AG$1001,0),1)&gt;=100000,INDEX($AN$1005:$BO$1005,1,MATCH(COLUMNS($AN$1006:BN1006),$AN$1006:$BO$1006,0))&gt;=100000), " ",IF(INDEX($AN$2:$BO$1001,MATCH(ROWS($AG$2:AG154),$AG$2:$AG$1001,0),MATCH(COLUMNS($AN$1006:BN1006),$AN$1006:$BO$1006,0)), HYPERLINK("#",""), HYPERLINK(CONCATENATE("#Metadata!", ADDRESS(INDEX($AI$2:$AI$1001,MATCH(ROWS($AG$2:AG154),$AG$2:$AG$1001,0),0), INDEX($AN$1004:$BO$1004,1,MATCH(COLUMNS($AN$1006:BN1006),$AN$1006:$BO$1006,0)))),"Fix")))</f>
        <v>0</v>
      </c>
      <c r="AC154" s="4">
        <f>IF(OR(INDEX($AH$2:$AH$1001,MATCH(ROWS($AG$2:AG154),$AG$2:$AG$1001,0),1)&gt;=100000,INDEX($AN$1005:$BO$1005,1,MATCH(COLUMNS($AN$1006:BO1006),$AN$1006:$BO$1006,0))&gt;=100000), " ",IF(INDEX($AN$2:$BO$1001,MATCH(ROWS($AG$2:AG154),$AG$2:$AG$1001,0),MATCH(COLUMNS($AN$1006:BO1006),$AN$1006:$BO$1006,0)), HYPERLINK("#",""), HYPERLINK(CONCATENATE("#Metadata!", ADDRESS(INDEX($AI$2:$AI$1001,MATCH(ROWS($AG$2:AG154),$AG$2:$AG$1001,0),0), INDEX($AN$1004:$BO$1004,1,MATCH(COLUMNS($AN$1006:BO1006),$AN$1006:$BO$1006,0)))),"Fix")))</f>
        <v>0</v>
      </c>
      <c r="AG154">
        <v>0</v>
      </c>
      <c r="AH154">
        <v>0</v>
      </c>
      <c r="AI154">
        <v>0</v>
      </c>
      <c r="AJ154">
        <f>IF(AK154,TRUE,AND(AN154:BO154))</f>
        <v>0</v>
      </c>
      <c r="AK154">
        <f>COUNTBLANK(Metadata!B154:AC154)=COLUMNS(Metadata!B154:AC154)</f>
        <v>0</v>
      </c>
      <c r="AL154">
        <v>0</v>
      </c>
      <c r="AN154">
        <f>AND(IF(Metadata!B154="",FALSE,TRUE),COUNTIF(Metadata!B:B, Metadata!B154) = 1,NOT(ISERROR(SUMPRODUCT(SEARCH(MID(Metadata!B154,ROW(INDIRECT("1:"&amp;LEN(Metadata!B154))), 1),"0123456789abcdefghijklmnopqrstuvwxyzABCDEFGHIJKLMNOPQRSTUVWXYZ.")))))</f>
        <v>0</v>
      </c>
      <c r="AO154">
        <f>IF(Metadata!C154="",FALSE,TRUE)</f>
        <v>0</v>
      </c>
      <c r="AP154">
        <f>IF(Metadata!D154="",FALSE,TRUE)</f>
        <v>0</v>
      </c>
      <c r="AQ154">
        <f>OR(AND(IF(Metadata!E154="",FALSE,TRUE),OR(exact(Metadata!E154,"not collected"),exact(Metadata!E154,"not provided"),exact(Metadata!E154,"restricted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R154">
        <f>IF(Metadata!F154="",FALSE,TRUE)</f>
        <v>0</v>
      </c>
      <c r="AS154">
        <f>OR(AND(IF(Metadata!G154="",FALSE,TRUE),OR(exact(Metadata!G154,"not collected"),exact(Metadata!G154,"not provided"))),AND(IF(Metadata!G154="",FALSE,TRUE),OR(exact(Metadata!G154,"TRUE"),exact(Metadata!G154,"FALSE"))))</f>
        <v>0</v>
      </c>
      <c r="AT154">
        <f>OR(AND(IF(Metadata!H154="",FALSE,TRUE),OR(exact(Metadata!H154,"not collected"),exact(Metadata!H154,"not provided"),exact(Metadata!H154,"restricted access"))),AND(IF(Metadata!H154="",FALSE,ISNUMBER(VALUE(Metadata!H154))),Metadata!H154&gt;=-413.0))</f>
        <v>0</v>
      </c>
      <c r="AU154">
        <f>AND(IF(Metadata!I154="",FALSE,TRUE),exact(Metadata!I154,"meters"))</f>
        <v>0</v>
      </c>
      <c r="AV154">
        <f>AND(IF(Metadata!J154="",FALSE,TRUE),OR(exact(Metadata!J154,"Host-associated"),exact(Metadata!J154,"Free-living")))</f>
        <v>0</v>
      </c>
      <c r="AW154">
        <f>AND(IF(Metadata!K154="",FALSE,TRUE),OR(exact(Metadata!K154,"Animal"),exact(Metadata!K154,"Fungus"),exact(Metadata!K154,"Plant"),exact(Metadata!K154,"Saline"),exact(Metadata!K154,"Non-saline")))</f>
        <v>0</v>
      </c>
      <c r="AX154">
        <f>AND(IF(Metadata!L154="",FALSE,TRUE),OR(exact(Metadata!L154,"Plant secretion"),exact(Metadata!L154,"Plant rhizosphere"),exact(Metadata!L154,"Plant surface"),exact(Metadata!L154,"Plant corpus"),exact(Metadata!L154,"Fungus surface"),exact(Metadata!L154,"Fungus corpus"),exact(Metadata!L154,"Animal surface"),exact(Metadata!L154,"Animal proximal gut"),exact(Metadata!L154,"Animal corpus"),exact(Metadata!L154,"Animal distal gut"),exact(Metadata!L154,"Animal secretion"),exact(Metadata!L154,"Sub-surface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Y154">
        <f>IF(Metadata!M154="",FALSE,TRUE)</f>
        <v>0</v>
      </c>
      <c r="AZ154">
        <f>IF(Metadata!N154="",FALSE,TRUE)</f>
        <v>0</v>
      </c>
      <c r="BA154">
        <f>IF(Metadata!O154="",FALSE,TRUE)</f>
        <v>0</v>
      </c>
      <c r="BB154">
        <f>OR(AND(IF(Metadata!P154="",FALSE,TRUE),OR(exact(Metadata!P154,"not collected"),exact(Metadata!P154,"not provided"),exact(Metadata!P154,"restricted access"))),AND(IF(Metadata!P154="",FALSE,TRUE),OR(exact(Metadata!P154,"air"),exact(Metadata!P154,"built environment"),exact(Metadata!P154,"host-associated"),exact(Metadata!P154,"human-associated"),exact(Metadata!P154,"human-skin"),exact(Metadata!P154,"human-oral"),exact(Metadata!P154,"human-gut"),exact(Metadata!P154,"human-vaginal"),exact(Metadata!P154,"microbial mat/biofilm"),exact(Metadata!P154,"misc environment"),exact(Metadata!P154,"plant-associated"),exact(Metadata!P154,"sediment"),exact(Metadata!P154,"soil"),exact(Metadata!P154,"wastewater/sludge"),exact(Metadata!P154,"water"))))</f>
        <v>0</v>
      </c>
      <c r="BC154">
        <f>IF(Metadata!Q154="",FALSE,TRUE)</f>
        <v>0</v>
      </c>
      <c r="BD154">
        <f>IF(Metadata!R154="",FALSE,TRUE)</f>
        <v>0</v>
      </c>
      <c r="BE154">
        <f>OR(AND(IF(Metadata!S154="",FALSE,TRUE),OR(exact(Metadata!S154,"not collected"),exact(Metadata!S154,"not provided"),exact(Metadata!S154,"restricted access"))),AND(IF(Metadata!S154="",FALSE,ISNUMBER(VALUE(Metadata!S154))),Metadata!S154&gt;=-90.00,Metadata!S154&lt;=90.00))</f>
        <v>0</v>
      </c>
      <c r="BF154">
        <f>AND(IF(Metadata!T154="",FALSE,TRUE),exact(Metadata!T154,"Decimal degrees"))</f>
        <v>0</v>
      </c>
      <c r="BG154">
        <f>OR(AND(IF(Metadata!U154="",FALSE,TRUE),OR(exact(Metadata!U154,"not collected"),exact(Metadata!U154,"not provided"),exact(Metadata!U154,"restricted access"))),AND(IF(Metadata!U154="",FALSE,ISNUMBER(VALUE(Metadata!U154))),Metadata!U154&gt;=-180.00,Metadata!U154&lt;=180.00))</f>
        <v>0</v>
      </c>
      <c r="BH154">
        <f>AND(IF(Metadata!V154="",FALSE,TRUE),exact(Metadata!V154,"Decimal degrees"))</f>
        <v>0</v>
      </c>
      <c r="BI154">
        <f>IF(Metadata!W154="",FALSE,TRUE)</f>
        <v>0</v>
      </c>
      <c r="BJ154">
        <f>OR(AND(IF(Metadata!X154="",FALSE,TRUE),OR(exact(Metadata!X154,"not collected"),exact(Metadata!X154,"not provided"),exact(Metadata!X154,"restricted access"))),AND(IF(Metadata!X154="",FALSE,TRUE),OR(exact(Metadata!X154,"TRUE"),exact(Metadata!X154,"FALSE"))))</f>
        <v>0</v>
      </c>
      <c r="BK154">
        <f>AND(IF(Metadata!Y154="",FALSE,TRUE),exact(Metadata!Y154,"other"))</f>
        <v>0</v>
      </c>
      <c r="BL154">
        <f>IF(Metadata!Z154="",FALSE,TRUE)</f>
        <v>0</v>
      </c>
      <c r="BM154">
        <f>OR(AND(IF(Metadata!AA154="",FALSE,TRUE),OR(exact(Metadata!AA154,"not collected"),exact(Metadata!AA154,"not provided"))),AND(IF(Metadata!AA154="",FALSE,IF(ISERROR(INT(Metadata!AA154)),FALSE,INT(Metadata!AA154)=Metadata!AA154)),Metadata!AA154&gt;0))</f>
        <v>0</v>
      </c>
      <c r="BN154">
        <f>AND(IF(Metadata!AB154="",FALSE,TRUE),exact(Metadata!AB154,"Not applicable"))</f>
        <v>0</v>
      </c>
      <c r="BO154">
        <f>IF(Metadata!AC154="",FALSE,TRUE)</f>
        <v>0</v>
      </c>
    </row>
    <row r="155" spans="1:67">
      <c r="A155" s="5">
        <f>IF(B155=" "," ",HYPERLINK(CONCATENATE("#metadata!",ADDRESS(INDEX($AI$2:$AI$1001,MATCH(ROWS($AG$2:AG155),$AG$2:$AG$1001,0),0),1)),INDEX($AL$2:$AL$1001,MATCH(ROWS($AG$2:AG155),$AG$2:$AG$1001,0),0)))</f>
        <v>0</v>
      </c>
      <c r="B155" s="4">
        <f>IF(OR(INDEX($AH$2:$AH$1001,MATCH(ROWS($AG$2:AG155),$AG$2:$AG$1001,0),1)&gt;=100000,INDEX($AN$1005:$BO$1005,1,MATCH(COLUMNS($AN$1006:AN1006),$AN$1006:$BO$1006,0))&gt;=100000), " ",IF(INDEX($AN$2:$BO$1001,MATCH(ROWS($AG$2:AG155),$AG$2:$AG$1001,0),MATCH(COLUMNS($AN$1006:AN1006),$AN$1006:$BO$1006,0)), HYPERLINK("#",""), HYPERLINK(CONCATENATE("#Metadata!", ADDRESS(INDEX($AI$2:$AI$1001,MATCH(ROWS($AG$2:AG155),$AG$2:$AG$1001,0),0), INDEX($AN$1004:$BO$1004,1,MATCH(COLUMNS($AN$1006:AN1006),$AN$1006:$BO$1006,0)))),"Fix")))</f>
        <v>0</v>
      </c>
      <c r="C155" s="4">
        <f>IF(OR(INDEX($AH$2:$AH$1001,MATCH(ROWS($AG$2:AG155),$AG$2:$AG$1001,0),1)&gt;=100000,INDEX($AN$1005:$BO$1005,1,MATCH(COLUMNS($AN$1006:AO1006),$AN$1006:$BO$1006,0))&gt;=100000), " ",IF(INDEX($AN$2:$BO$1001,MATCH(ROWS($AG$2:AG155),$AG$2:$AG$1001,0),MATCH(COLUMNS($AN$1006:AO1006),$AN$1006:$BO$1006,0)), HYPERLINK("#",""), HYPERLINK(CONCATENATE("#Metadata!", ADDRESS(INDEX($AI$2:$AI$1001,MATCH(ROWS($AG$2:AG155),$AG$2:$AG$1001,0),0), INDEX($AN$1004:$BO$1004,1,MATCH(COLUMNS($AN$1006:AO1006),$AN$1006:$BO$1006,0)))),"Fix")))</f>
        <v>0</v>
      </c>
      <c r="D155" s="4">
        <f>IF(OR(INDEX($AH$2:$AH$1001,MATCH(ROWS($AG$2:AG155),$AG$2:$AG$1001,0),1)&gt;=100000,INDEX($AN$1005:$BO$1005,1,MATCH(COLUMNS($AN$1006:AP1006),$AN$1006:$BO$1006,0))&gt;=100000), " ",IF(INDEX($AN$2:$BO$1001,MATCH(ROWS($AG$2:AG155),$AG$2:$AG$1001,0),MATCH(COLUMNS($AN$1006:AP1006),$AN$1006:$BO$1006,0)), HYPERLINK("#",""), HYPERLINK(CONCATENATE("#Metadata!", ADDRESS(INDEX($AI$2:$AI$1001,MATCH(ROWS($AG$2:AG155),$AG$2:$AG$1001,0),0), INDEX($AN$1004:$BO$1004,1,MATCH(COLUMNS($AN$1006:AP1006),$AN$1006:$BO$1006,0)))),"Fix")))</f>
        <v>0</v>
      </c>
      <c r="E155" s="4">
        <f>IF(OR(INDEX($AH$2:$AH$1001,MATCH(ROWS($AG$2:AG155),$AG$2:$AG$1001,0),1)&gt;=100000,INDEX($AN$1005:$BO$1005,1,MATCH(COLUMNS($AN$1006:AQ1006),$AN$1006:$BO$1006,0))&gt;=100000), " ",IF(INDEX($AN$2:$BO$1001,MATCH(ROWS($AG$2:AG155),$AG$2:$AG$1001,0),MATCH(COLUMNS($AN$1006:AQ1006),$AN$1006:$BO$1006,0)), HYPERLINK("#",""), HYPERLINK(CONCATENATE("#Metadata!", ADDRESS(INDEX($AI$2:$AI$1001,MATCH(ROWS($AG$2:AG155),$AG$2:$AG$1001,0),0), INDEX($AN$1004:$BO$1004,1,MATCH(COLUMNS($AN$1006:AQ1006),$AN$1006:$BO$1006,0)))),"Fix")))</f>
        <v>0</v>
      </c>
      <c r="F155" s="4">
        <f>IF(OR(INDEX($AH$2:$AH$1001,MATCH(ROWS($AG$2:AG155),$AG$2:$AG$1001,0),1)&gt;=100000,INDEX($AN$1005:$BO$1005,1,MATCH(COLUMNS($AN$1006:AR1006),$AN$1006:$BO$1006,0))&gt;=100000), " ",IF(INDEX($AN$2:$BO$1001,MATCH(ROWS($AG$2:AG155),$AG$2:$AG$1001,0),MATCH(COLUMNS($AN$1006:AR1006),$AN$1006:$BO$1006,0)), HYPERLINK("#",""), HYPERLINK(CONCATENATE("#Metadata!", ADDRESS(INDEX($AI$2:$AI$1001,MATCH(ROWS($AG$2:AG155),$AG$2:$AG$1001,0),0), INDEX($AN$1004:$BO$1004,1,MATCH(COLUMNS($AN$1006:AR1006),$AN$1006:$BO$1006,0)))),"Fix")))</f>
        <v>0</v>
      </c>
      <c r="G155" s="4">
        <f>IF(OR(INDEX($AH$2:$AH$1001,MATCH(ROWS($AG$2:AG155),$AG$2:$AG$1001,0),1)&gt;=100000,INDEX($AN$1005:$BO$1005,1,MATCH(COLUMNS($AN$1006:AS1006),$AN$1006:$BO$1006,0))&gt;=100000), " ",IF(INDEX($AN$2:$BO$1001,MATCH(ROWS($AG$2:AG155),$AG$2:$AG$1001,0),MATCH(COLUMNS($AN$1006:AS1006),$AN$1006:$BO$1006,0)), HYPERLINK("#",""), HYPERLINK(CONCATENATE("#Metadata!", ADDRESS(INDEX($AI$2:$AI$1001,MATCH(ROWS($AG$2:AG155),$AG$2:$AG$1001,0),0), INDEX($AN$1004:$BO$1004,1,MATCH(COLUMNS($AN$1006:AS1006),$AN$1006:$BO$1006,0)))),"Fix")))</f>
        <v>0</v>
      </c>
      <c r="H155" s="4">
        <f>IF(OR(INDEX($AH$2:$AH$1001,MATCH(ROWS($AG$2:AG155),$AG$2:$AG$1001,0),1)&gt;=100000,INDEX($AN$1005:$BO$1005,1,MATCH(COLUMNS($AN$1006:AT1006),$AN$1006:$BO$1006,0))&gt;=100000), " ",IF(INDEX($AN$2:$BO$1001,MATCH(ROWS($AG$2:AG155),$AG$2:$AG$1001,0),MATCH(COLUMNS($AN$1006:AT1006),$AN$1006:$BO$1006,0)), HYPERLINK("#",""), HYPERLINK(CONCATENATE("#Metadata!", ADDRESS(INDEX($AI$2:$AI$1001,MATCH(ROWS($AG$2:AG155),$AG$2:$AG$1001,0),0), INDEX($AN$1004:$BO$1004,1,MATCH(COLUMNS($AN$1006:AT1006),$AN$1006:$BO$1006,0)))),"Fix")))</f>
        <v>0</v>
      </c>
      <c r="I155" s="4">
        <f>IF(OR(INDEX($AH$2:$AH$1001,MATCH(ROWS($AG$2:AG155),$AG$2:$AG$1001,0),1)&gt;=100000,INDEX($AN$1005:$BO$1005,1,MATCH(COLUMNS($AN$1006:AU1006),$AN$1006:$BO$1006,0))&gt;=100000), " ",IF(INDEX($AN$2:$BO$1001,MATCH(ROWS($AG$2:AG155),$AG$2:$AG$1001,0),MATCH(COLUMNS($AN$1006:AU1006),$AN$1006:$BO$1006,0)), HYPERLINK("#",""), HYPERLINK(CONCATENATE("#Metadata!", ADDRESS(INDEX($AI$2:$AI$1001,MATCH(ROWS($AG$2:AG155),$AG$2:$AG$1001,0),0), INDEX($AN$1004:$BO$1004,1,MATCH(COLUMNS($AN$1006:AU1006),$AN$1006:$BO$1006,0)))),"Fix")))</f>
        <v>0</v>
      </c>
      <c r="J155" s="4">
        <f>IF(OR(INDEX($AH$2:$AH$1001,MATCH(ROWS($AG$2:AG155),$AG$2:$AG$1001,0),1)&gt;=100000,INDEX($AN$1005:$BO$1005,1,MATCH(COLUMNS($AN$1006:AV1006),$AN$1006:$BO$1006,0))&gt;=100000), " ",IF(INDEX($AN$2:$BO$1001,MATCH(ROWS($AG$2:AG155),$AG$2:$AG$1001,0),MATCH(COLUMNS($AN$1006:AV1006),$AN$1006:$BO$1006,0)), HYPERLINK("#",""), HYPERLINK(CONCATENATE("#Metadata!", ADDRESS(INDEX($AI$2:$AI$1001,MATCH(ROWS($AG$2:AG155),$AG$2:$AG$1001,0),0), INDEX($AN$1004:$BO$1004,1,MATCH(COLUMNS($AN$1006:AV1006),$AN$1006:$BO$1006,0)))),"Fix")))</f>
        <v>0</v>
      </c>
      <c r="K155" s="4">
        <f>IF(OR(INDEX($AH$2:$AH$1001,MATCH(ROWS($AG$2:AG155),$AG$2:$AG$1001,0),1)&gt;=100000,INDEX($AN$1005:$BO$1005,1,MATCH(COLUMNS($AN$1006:AW1006),$AN$1006:$BO$1006,0))&gt;=100000), " ",IF(INDEX($AN$2:$BO$1001,MATCH(ROWS($AG$2:AG155),$AG$2:$AG$1001,0),MATCH(COLUMNS($AN$1006:AW1006),$AN$1006:$BO$1006,0)), HYPERLINK("#",""), HYPERLINK(CONCATENATE("#Metadata!", ADDRESS(INDEX($AI$2:$AI$1001,MATCH(ROWS($AG$2:AG155),$AG$2:$AG$1001,0),0), INDEX($AN$1004:$BO$1004,1,MATCH(COLUMNS($AN$1006:AW1006),$AN$1006:$BO$1006,0)))),"Fix")))</f>
        <v>0</v>
      </c>
      <c r="L155" s="4">
        <f>IF(OR(INDEX($AH$2:$AH$1001,MATCH(ROWS($AG$2:AG155),$AG$2:$AG$1001,0),1)&gt;=100000,INDEX($AN$1005:$BO$1005,1,MATCH(COLUMNS($AN$1006:AX1006),$AN$1006:$BO$1006,0))&gt;=100000), " ",IF(INDEX($AN$2:$BO$1001,MATCH(ROWS($AG$2:AG155),$AG$2:$AG$1001,0),MATCH(COLUMNS($AN$1006:AX1006),$AN$1006:$BO$1006,0)), HYPERLINK("#",""), HYPERLINK(CONCATENATE("#Metadata!", ADDRESS(INDEX($AI$2:$AI$1001,MATCH(ROWS($AG$2:AG155),$AG$2:$AG$1001,0),0), INDEX($AN$1004:$BO$1004,1,MATCH(COLUMNS($AN$1006:AX1006),$AN$1006:$BO$1006,0)))),"Fix")))</f>
        <v>0</v>
      </c>
      <c r="M155" s="4">
        <f>IF(OR(INDEX($AH$2:$AH$1001,MATCH(ROWS($AG$2:AG155),$AG$2:$AG$1001,0),1)&gt;=100000,INDEX($AN$1005:$BO$1005,1,MATCH(COLUMNS($AN$1006:AY1006),$AN$1006:$BO$1006,0))&gt;=100000), " ",IF(INDEX($AN$2:$BO$1001,MATCH(ROWS($AG$2:AG155),$AG$2:$AG$1001,0),MATCH(COLUMNS($AN$1006:AY1006),$AN$1006:$BO$1006,0)), HYPERLINK("#",""), HYPERLINK(CONCATENATE("#Metadata!", ADDRESS(INDEX($AI$2:$AI$1001,MATCH(ROWS($AG$2:AG155),$AG$2:$AG$1001,0),0), INDEX($AN$1004:$BO$1004,1,MATCH(COLUMNS($AN$1006:AY1006),$AN$1006:$BO$1006,0)))),"Fix")))</f>
        <v>0</v>
      </c>
      <c r="N155" s="4">
        <f>IF(OR(INDEX($AH$2:$AH$1001,MATCH(ROWS($AG$2:AG155),$AG$2:$AG$1001,0),1)&gt;=100000,INDEX($AN$1005:$BO$1005,1,MATCH(COLUMNS($AN$1006:AZ1006),$AN$1006:$BO$1006,0))&gt;=100000), " ",IF(INDEX($AN$2:$BO$1001,MATCH(ROWS($AG$2:AG155),$AG$2:$AG$1001,0),MATCH(COLUMNS($AN$1006:AZ1006),$AN$1006:$BO$1006,0)), HYPERLINK("#",""), HYPERLINK(CONCATENATE("#Metadata!", ADDRESS(INDEX($AI$2:$AI$1001,MATCH(ROWS($AG$2:AG155),$AG$2:$AG$1001,0),0), INDEX($AN$1004:$BO$1004,1,MATCH(COLUMNS($AN$1006:AZ1006),$AN$1006:$BO$1006,0)))),"Fix")))</f>
        <v>0</v>
      </c>
      <c r="O155" s="4">
        <f>IF(OR(INDEX($AH$2:$AH$1001,MATCH(ROWS($AG$2:AG155),$AG$2:$AG$1001,0),1)&gt;=100000,INDEX($AN$1005:$BO$1005,1,MATCH(COLUMNS($AN$1006:BA1006),$AN$1006:$BO$1006,0))&gt;=100000), " ",IF(INDEX($AN$2:$BO$1001,MATCH(ROWS($AG$2:AG155),$AG$2:$AG$1001,0),MATCH(COLUMNS($AN$1006:BA1006),$AN$1006:$BO$1006,0)), HYPERLINK("#",""), HYPERLINK(CONCATENATE("#Metadata!", ADDRESS(INDEX($AI$2:$AI$1001,MATCH(ROWS($AG$2:AG155),$AG$2:$AG$1001,0),0), INDEX($AN$1004:$BO$1004,1,MATCH(COLUMNS($AN$1006:BA1006),$AN$1006:$BO$1006,0)))),"Fix")))</f>
        <v>0</v>
      </c>
      <c r="P155" s="4">
        <f>IF(OR(INDEX($AH$2:$AH$1001,MATCH(ROWS($AG$2:AG155),$AG$2:$AG$1001,0),1)&gt;=100000,INDEX($AN$1005:$BO$1005,1,MATCH(COLUMNS($AN$1006:BB1006),$AN$1006:$BO$1006,0))&gt;=100000), " ",IF(INDEX($AN$2:$BO$1001,MATCH(ROWS($AG$2:AG155),$AG$2:$AG$1001,0),MATCH(COLUMNS($AN$1006:BB1006),$AN$1006:$BO$1006,0)), HYPERLINK("#",""), HYPERLINK(CONCATENATE("#Metadata!", ADDRESS(INDEX($AI$2:$AI$1001,MATCH(ROWS($AG$2:AG155),$AG$2:$AG$1001,0),0), INDEX($AN$1004:$BO$1004,1,MATCH(COLUMNS($AN$1006:BB1006),$AN$1006:$BO$1006,0)))),"Fix")))</f>
        <v>0</v>
      </c>
      <c r="Q155" s="4">
        <f>IF(OR(INDEX($AH$2:$AH$1001,MATCH(ROWS($AG$2:AG155),$AG$2:$AG$1001,0),1)&gt;=100000,INDEX($AN$1005:$BO$1005,1,MATCH(COLUMNS($AN$1006:BC1006),$AN$1006:$BO$1006,0))&gt;=100000), " ",IF(INDEX($AN$2:$BO$1001,MATCH(ROWS($AG$2:AG155),$AG$2:$AG$1001,0),MATCH(COLUMNS($AN$1006:BC1006),$AN$1006:$BO$1006,0)), HYPERLINK("#",""), HYPERLINK(CONCATENATE("#Metadata!", ADDRESS(INDEX($AI$2:$AI$1001,MATCH(ROWS($AG$2:AG155),$AG$2:$AG$1001,0),0), INDEX($AN$1004:$BO$1004,1,MATCH(COLUMNS($AN$1006:BC1006),$AN$1006:$BO$1006,0)))),"Fix")))</f>
        <v>0</v>
      </c>
      <c r="R155" s="4">
        <f>IF(OR(INDEX($AH$2:$AH$1001,MATCH(ROWS($AG$2:AG155),$AG$2:$AG$1001,0),1)&gt;=100000,INDEX($AN$1005:$BO$1005,1,MATCH(COLUMNS($AN$1006:BD1006),$AN$1006:$BO$1006,0))&gt;=100000), " ",IF(INDEX($AN$2:$BO$1001,MATCH(ROWS($AG$2:AG155),$AG$2:$AG$1001,0),MATCH(COLUMNS($AN$1006:BD1006),$AN$1006:$BO$1006,0)), HYPERLINK("#",""), HYPERLINK(CONCATENATE("#Metadata!", ADDRESS(INDEX($AI$2:$AI$1001,MATCH(ROWS($AG$2:AG155),$AG$2:$AG$1001,0),0), INDEX($AN$1004:$BO$1004,1,MATCH(COLUMNS($AN$1006:BD1006),$AN$1006:$BO$1006,0)))),"Fix")))</f>
        <v>0</v>
      </c>
      <c r="S155" s="4">
        <f>IF(OR(INDEX($AH$2:$AH$1001,MATCH(ROWS($AG$2:AG155),$AG$2:$AG$1001,0),1)&gt;=100000,INDEX($AN$1005:$BO$1005,1,MATCH(COLUMNS($AN$1006:BE1006),$AN$1006:$BO$1006,0))&gt;=100000), " ",IF(INDEX($AN$2:$BO$1001,MATCH(ROWS($AG$2:AG155),$AG$2:$AG$1001,0),MATCH(COLUMNS($AN$1006:BE1006),$AN$1006:$BO$1006,0)), HYPERLINK("#",""), HYPERLINK(CONCATENATE("#Metadata!", ADDRESS(INDEX($AI$2:$AI$1001,MATCH(ROWS($AG$2:AG155),$AG$2:$AG$1001,0),0), INDEX($AN$1004:$BO$1004,1,MATCH(COLUMNS($AN$1006:BE1006),$AN$1006:$BO$1006,0)))),"Fix")))</f>
        <v>0</v>
      </c>
      <c r="T155" s="4">
        <f>IF(OR(INDEX($AH$2:$AH$1001,MATCH(ROWS($AG$2:AG155),$AG$2:$AG$1001,0),1)&gt;=100000,INDEX($AN$1005:$BO$1005,1,MATCH(COLUMNS($AN$1006:BF1006),$AN$1006:$BO$1006,0))&gt;=100000), " ",IF(INDEX($AN$2:$BO$1001,MATCH(ROWS($AG$2:AG155),$AG$2:$AG$1001,0),MATCH(COLUMNS($AN$1006:BF1006),$AN$1006:$BO$1006,0)), HYPERLINK("#",""), HYPERLINK(CONCATENATE("#Metadata!", ADDRESS(INDEX($AI$2:$AI$1001,MATCH(ROWS($AG$2:AG155),$AG$2:$AG$1001,0),0), INDEX($AN$1004:$BO$1004,1,MATCH(COLUMNS($AN$1006:BF1006),$AN$1006:$BO$1006,0)))),"Fix")))</f>
        <v>0</v>
      </c>
      <c r="U155" s="4">
        <f>IF(OR(INDEX($AH$2:$AH$1001,MATCH(ROWS($AG$2:AG155),$AG$2:$AG$1001,0),1)&gt;=100000,INDEX($AN$1005:$BO$1005,1,MATCH(COLUMNS($AN$1006:BG1006),$AN$1006:$BO$1006,0))&gt;=100000), " ",IF(INDEX($AN$2:$BO$1001,MATCH(ROWS($AG$2:AG155),$AG$2:$AG$1001,0),MATCH(COLUMNS($AN$1006:BG1006),$AN$1006:$BO$1006,0)), HYPERLINK("#",""), HYPERLINK(CONCATENATE("#Metadata!", ADDRESS(INDEX($AI$2:$AI$1001,MATCH(ROWS($AG$2:AG155),$AG$2:$AG$1001,0),0), INDEX($AN$1004:$BO$1004,1,MATCH(COLUMNS($AN$1006:BG1006),$AN$1006:$BO$1006,0)))),"Fix")))</f>
        <v>0</v>
      </c>
      <c r="V155" s="4">
        <f>IF(OR(INDEX($AH$2:$AH$1001,MATCH(ROWS($AG$2:AG155),$AG$2:$AG$1001,0),1)&gt;=100000,INDEX($AN$1005:$BO$1005,1,MATCH(COLUMNS($AN$1006:BH1006),$AN$1006:$BO$1006,0))&gt;=100000), " ",IF(INDEX($AN$2:$BO$1001,MATCH(ROWS($AG$2:AG155),$AG$2:$AG$1001,0),MATCH(COLUMNS($AN$1006:BH1006),$AN$1006:$BO$1006,0)), HYPERLINK("#",""), HYPERLINK(CONCATENATE("#Metadata!", ADDRESS(INDEX($AI$2:$AI$1001,MATCH(ROWS($AG$2:AG155),$AG$2:$AG$1001,0),0), INDEX($AN$1004:$BO$1004,1,MATCH(COLUMNS($AN$1006:BH1006),$AN$1006:$BO$1006,0)))),"Fix")))</f>
        <v>0</v>
      </c>
      <c r="W155" s="4">
        <f>IF(OR(INDEX($AH$2:$AH$1001,MATCH(ROWS($AG$2:AG155),$AG$2:$AG$1001,0),1)&gt;=100000,INDEX($AN$1005:$BO$1005,1,MATCH(COLUMNS($AN$1006:BI1006),$AN$1006:$BO$1006,0))&gt;=100000), " ",IF(INDEX($AN$2:$BO$1001,MATCH(ROWS($AG$2:AG155),$AG$2:$AG$1001,0),MATCH(COLUMNS($AN$1006:BI1006),$AN$1006:$BO$1006,0)), HYPERLINK("#",""), HYPERLINK(CONCATENATE("#Metadata!", ADDRESS(INDEX($AI$2:$AI$1001,MATCH(ROWS($AG$2:AG155),$AG$2:$AG$1001,0),0), INDEX($AN$1004:$BO$1004,1,MATCH(COLUMNS($AN$1006:BI1006),$AN$1006:$BO$1006,0)))),"Fix")))</f>
        <v>0</v>
      </c>
      <c r="X155" s="4">
        <f>IF(OR(INDEX($AH$2:$AH$1001,MATCH(ROWS($AG$2:AG155),$AG$2:$AG$1001,0),1)&gt;=100000,INDEX($AN$1005:$BO$1005,1,MATCH(COLUMNS($AN$1006:BJ1006),$AN$1006:$BO$1006,0))&gt;=100000), " ",IF(INDEX($AN$2:$BO$1001,MATCH(ROWS($AG$2:AG155),$AG$2:$AG$1001,0),MATCH(COLUMNS($AN$1006:BJ1006),$AN$1006:$BO$1006,0)), HYPERLINK("#",""), HYPERLINK(CONCATENATE("#Metadata!", ADDRESS(INDEX($AI$2:$AI$1001,MATCH(ROWS($AG$2:AG155),$AG$2:$AG$1001,0),0), INDEX($AN$1004:$BO$1004,1,MATCH(COLUMNS($AN$1006:BJ1006),$AN$1006:$BO$1006,0)))),"Fix")))</f>
        <v>0</v>
      </c>
      <c r="Y155" s="4">
        <f>IF(OR(INDEX($AH$2:$AH$1001,MATCH(ROWS($AG$2:AG155),$AG$2:$AG$1001,0),1)&gt;=100000,INDEX($AN$1005:$BO$1005,1,MATCH(COLUMNS($AN$1006:BK1006),$AN$1006:$BO$1006,0))&gt;=100000), " ",IF(INDEX($AN$2:$BO$1001,MATCH(ROWS($AG$2:AG155),$AG$2:$AG$1001,0),MATCH(COLUMNS($AN$1006:BK1006),$AN$1006:$BO$1006,0)), HYPERLINK("#",""), HYPERLINK(CONCATENATE("#Metadata!", ADDRESS(INDEX($AI$2:$AI$1001,MATCH(ROWS($AG$2:AG155),$AG$2:$AG$1001,0),0), INDEX($AN$1004:$BO$1004,1,MATCH(COLUMNS($AN$1006:BK1006),$AN$1006:$BO$1006,0)))),"Fix")))</f>
        <v>0</v>
      </c>
      <c r="Z155" s="4">
        <f>IF(OR(INDEX($AH$2:$AH$1001,MATCH(ROWS($AG$2:AG155),$AG$2:$AG$1001,0),1)&gt;=100000,INDEX($AN$1005:$BO$1005,1,MATCH(COLUMNS($AN$1006:BL1006),$AN$1006:$BO$1006,0))&gt;=100000), " ",IF(INDEX($AN$2:$BO$1001,MATCH(ROWS($AG$2:AG155),$AG$2:$AG$1001,0),MATCH(COLUMNS($AN$1006:BL1006),$AN$1006:$BO$1006,0)), HYPERLINK("#",""), HYPERLINK(CONCATENATE("#Metadata!", ADDRESS(INDEX($AI$2:$AI$1001,MATCH(ROWS($AG$2:AG155),$AG$2:$AG$1001,0),0), INDEX($AN$1004:$BO$1004,1,MATCH(COLUMNS($AN$1006:BL1006),$AN$1006:$BO$1006,0)))),"Fix")))</f>
        <v>0</v>
      </c>
      <c r="AA155" s="4">
        <f>IF(OR(INDEX($AH$2:$AH$1001,MATCH(ROWS($AG$2:AG155),$AG$2:$AG$1001,0),1)&gt;=100000,INDEX($AN$1005:$BO$1005,1,MATCH(COLUMNS($AN$1006:BM1006),$AN$1006:$BO$1006,0))&gt;=100000), " ",IF(INDEX($AN$2:$BO$1001,MATCH(ROWS($AG$2:AG155),$AG$2:$AG$1001,0),MATCH(COLUMNS($AN$1006:BM1006),$AN$1006:$BO$1006,0)), HYPERLINK("#",""), HYPERLINK(CONCATENATE("#Metadata!", ADDRESS(INDEX($AI$2:$AI$1001,MATCH(ROWS($AG$2:AG155),$AG$2:$AG$1001,0),0), INDEX($AN$1004:$BO$1004,1,MATCH(COLUMNS($AN$1006:BM1006),$AN$1006:$BO$1006,0)))),"Fix")))</f>
        <v>0</v>
      </c>
      <c r="AB155" s="4">
        <f>IF(OR(INDEX($AH$2:$AH$1001,MATCH(ROWS($AG$2:AG155),$AG$2:$AG$1001,0),1)&gt;=100000,INDEX($AN$1005:$BO$1005,1,MATCH(COLUMNS($AN$1006:BN1006),$AN$1006:$BO$1006,0))&gt;=100000), " ",IF(INDEX($AN$2:$BO$1001,MATCH(ROWS($AG$2:AG155),$AG$2:$AG$1001,0),MATCH(COLUMNS($AN$1006:BN1006),$AN$1006:$BO$1006,0)), HYPERLINK("#",""), HYPERLINK(CONCATENATE("#Metadata!", ADDRESS(INDEX($AI$2:$AI$1001,MATCH(ROWS($AG$2:AG155),$AG$2:$AG$1001,0),0), INDEX($AN$1004:$BO$1004,1,MATCH(COLUMNS($AN$1006:BN1006),$AN$1006:$BO$1006,0)))),"Fix")))</f>
        <v>0</v>
      </c>
      <c r="AC155" s="4">
        <f>IF(OR(INDEX($AH$2:$AH$1001,MATCH(ROWS($AG$2:AG155),$AG$2:$AG$1001,0),1)&gt;=100000,INDEX($AN$1005:$BO$1005,1,MATCH(COLUMNS($AN$1006:BO1006),$AN$1006:$BO$1006,0))&gt;=100000), " ",IF(INDEX($AN$2:$BO$1001,MATCH(ROWS($AG$2:AG155),$AG$2:$AG$1001,0),MATCH(COLUMNS($AN$1006:BO1006),$AN$1006:$BO$1006,0)), HYPERLINK("#",""), HYPERLINK(CONCATENATE("#Metadata!", ADDRESS(INDEX($AI$2:$AI$1001,MATCH(ROWS($AG$2:AG155),$AG$2:$AG$1001,0),0), INDEX($AN$1004:$BO$1004,1,MATCH(COLUMNS($AN$1006:BO1006),$AN$1006:$BO$1006,0)))),"Fix")))</f>
        <v>0</v>
      </c>
      <c r="AG155">
        <v>0</v>
      </c>
      <c r="AH155">
        <v>0</v>
      </c>
      <c r="AI155">
        <v>0</v>
      </c>
      <c r="AJ155">
        <f>IF(AK155,TRUE,AND(AN155:BO155))</f>
        <v>0</v>
      </c>
      <c r="AK155">
        <f>COUNTBLANK(Metadata!B155:AC155)=COLUMNS(Metadata!B155:AC155)</f>
        <v>0</v>
      </c>
      <c r="AL155">
        <v>0</v>
      </c>
      <c r="AN155">
        <f>AND(IF(Metadata!B155="",FALSE,TRUE),COUNTIF(Metadata!B:B, Metadata!B155) = 1,NOT(ISERROR(SUMPRODUCT(SEARCH(MID(Metadata!B155,ROW(INDIRECT("1:"&amp;LEN(Metadata!B155))), 1),"0123456789abcdefghijklmnopqrstuvwxyzABCDEFGHIJKLMNOPQRSTUVWXYZ.")))))</f>
        <v>0</v>
      </c>
      <c r="AO155">
        <f>IF(Metadata!C155="",FALSE,TRUE)</f>
        <v>0</v>
      </c>
      <c r="AP155">
        <f>IF(Metadata!D155="",FALSE,TRUE)</f>
        <v>0</v>
      </c>
      <c r="AQ155">
        <f>OR(AND(IF(Metadata!E155="",FALSE,TRUE),OR(exact(Metadata!E155,"not collected"),exact(Metadata!E155,"not provided"),exact(Metadata!E155,"restricted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R155">
        <f>IF(Metadata!F155="",FALSE,TRUE)</f>
        <v>0</v>
      </c>
      <c r="AS155">
        <f>OR(AND(IF(Metadata!G155="",FALSE,TRUE),OR(exact(Metadata!G155,"not collected"),exact(Metadata!G155,"not provided"))),AND(IF(Metadata!G155="",FALSE,TRUE),OR(exact(Metadata!G155,"TRUE"),exact(Metadata!G155,"FALSE"))))</f>
        <v>0</v>
      </c>
      <c r="AT155">
        <f>OR(AND(IF(Metadata!H155="",FALSE,TRUE),OR(exact(Metadata!H155,"not collected"),exact(Metadata!H155,"not provided"),exact(Metadata!H155,"restricted access"))),AND(IF(Metadata!H155="",FALSE,ISNUMBER(VALUE(Metadata!H155))),Metadata!H155&gt;=-413.0))</f>
        <v>0</v>
      </c>
      <c r="AU155">
        <f>AND(IF(Metadata!I155="",FALSE,TRUE),exact(Metadata!I155,"meters"))</f>
        <v>0</v>
      </c>
      <c r="AV155">
        <f>AND(IF(Metadata!J155="",FALSE,TRUE),OR(exact(Metadata!J155,"Host-associated"),exact(Metadata!J155,"Free-living")))</f>
        <v>0</v>
      </c>
      <c r="AW155">
        <f>AND(IF(Metadata!K155="",FALSE,TRUE),OR(exact(Metadata!K155,"Animal"),exact(Metadata!K155,"Fungus"),exact(Metadata!K155,"Plant"),exact(Metadata!K155,"Saline"),exact(Metadata!K155,"Non-saline")))</f>
        <v>0</v>
      </c>
      <c r="AX155">
        <f>AND(IF(Metadata!L155="",FALSE,TRUE),OR(exact(Metadata!L155,"Plant secretion"),exact(Metadata!L155,"Plant rhizosphere"),exact(Metadata!L155,"Plant surface"),exact(Metadata!L155,"Plant corpus"),exact(Metadata!L155,"Fungus surface"),exact(Metadata!L155,"Fungus corpus"),exact(Metadata!L155,"Animal surface"),exact(Metadata!L155,"Animal proximal gut"),exact(Metadata!L155,"Animal corpus"),exact(Metadata!L155,"Animal distal gut"),exact(Metadata!L155,"Animal secretion"),exact(Metadata!L155,"Sub-surface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Y155">
        <f>IF(Metadata!M155="",FALSE,TRUE)</f>
        <v>0</v>
      </c>
      <c r="AZ155">
        <f>IF(Metadata!N155="",FALSE,TRUE)</f>
        <v>0</v>
      </c>
      <c r="BA155">
        <f>IF(Metadata!O155="",FALSE,TRUE)</f>
        <v>0</v>
      </c>
      <c r="BB155">
        <f>OR(AND(IF(Metadata!P155="",FALSE,TRUE),OR(exact(Metadata!P155,"not collected"),exact(Metadata!P155,"not provided"),exact(Metadata!P155,"restricted access"))),AND(IF(Metadata!P155="",FALSE,TRUE),OR(exact(Metadata!P155,"air"),exact(Metadata!P155,"built environment"),exact(Metadata!P155,"host-associated"),exact(Metadata!P155,"human-associated"),exact(Metadata!P155,"human-skin"),exact(Metadata!P155,"human-oral"),exact(Metadata!P155,"human-gut"),exact(Metadata!P155,"human-vaginal"),exact(Metadata!P155,"microbial mat/biofilm"),exact(Metadata!P155,"misc environment"),exact(Metadata!P155,"plant-associated"),exact(Metadata!P155,"sediment"),exact(Metadata!P155,"soil"),exact(Metadata!P155,"wastewater/sludge"),exact(Metadata!P155,"water"))))</f>
        <v>0</v>
      </c>
      <c r="BC155">
        <f>IF(Metadata!Q155="",FALSE,TRUE)</f>
        <v>0</v>
      </c>
      <c r="BD155">
        <f>IF(Metadata!R155="",FALSE,TRUE)</f>
        <v>0</v>
      </c>
      <c r="BE155">
        <f>OR(AND(IF(Metadata!S155="",FALSE,TRUE),OR(exact(Metadata!S155,"not collected"),exact(Metadata!S155,"not provided"),exact(Metadata!S155,"restricted access"))),AND(IF(Metadata!S155="",FALSE,ISNUMBER(VALUE(Metadata!S155))),Metadata!S155&gt;=-90.00,Metadata!S155&lt;=90.00))</f>
        <v>0</v>
      </c>
      <c r="BF155">
        <f>AND(IF(Metadata!T155="",FALSE,TRUE),exact(Metadata!T155,"Decimal degrees"))</f>
        <v>0</v>
      </c>
      <c r="BG155">
        <f>OR(AND(IF(Metadata!U155="",FALSE,TRUE),OR(exact(Metadata!U155,"not collected"),exact(Metadata!U155,"not provided"),exact(Metadata!U155,"restricted access"))),AND(IF(Metadata!U155="",FALSE,ISNUMBER(VALUE(Metadata!U155))),Metadata!U155&gt;=-180.00,Metadata!U155&lt;=180.00))</f>
        <v>0</v>
      </c>
      <c r="BH155">
        <f>AND(IF(Metadata!V155="",FALSE,TRUE),exact(Metadata!V155,"Decimal degrees"))</f>
        <v>0</v>
      </c>
      <c r="BI155">
        <f>IF(Metadata!W155="",FALSE,TRUE)</f>
        <v>0</v>
      </c>
      <c r="BJ155">
        <f>OR(AND(IF(Metadata!X155="",FALSE,TRUE),OR(exact(Metadata!X155,"not collected"),exact(Metadata!X155,"not provided"),exact(Metadata!X155,"restricted access"))),AND(IF(Metadata!X155="",FALSE,TRUE),OR(exact(Metadata!X155,"TRUE"),exact(Metadata!X155,"FALSE"))))</f>
        <v>0</v>
      </c>
      <c r="BK155">
        <f>AND(IF(Metadata!Y155="",FALSE,TRUE),exact(Metadata!Y155,"other"))</f>
        <v>0</v>
      </c>
      <c r="BL155">
        <f>IF(Metadata!Z155="",FALSE,TRUE)</f>
        <v>0</v>
      </c>
      <c r="BM155">
        <f>OR(AND(IF(Metadata!AA155="",FALSE,TRUE),OR(exact(Metadata!AA155,"not collected"),exact(Metadata!AA155,"not provided"))),AND(IF(Metadata!AA155="",FALSE,IF(ISERROR(INT(Metadata!AA155)),FALSE,INT(Metadata!AA155)=Metadata!AA155)),Metadata!AA155&gt;0))</f>
        <v>0</v>
      </c>
      <c r="BN155">
        <f>AND(IF(Metadata!AB155="",FALSE,TRUE),exact(Metadata!AB155,"Not applicable"))</f>
        <v>0</v>
      </c>
      <c r="BO155">
        <f>IF(Metadata!AC155="",FALSE,TRUE)</f>
        <v>0</v>
      </c>
    </row>
    <row r="156" spans="1:67">
      <c r="A156" s="5">
        <f>IF(B156=" "," ",HYPERLINK(CONCATENATE("#metadata!",ADDRESS(INDEX($AI$2:$AI$1001,MATCH(ROWS($AG$2:AG156),$AG$2:$AG$1001,0),0),1)),INDEX($AL$2:$AL$1001,MATCH(ROWS($AG$2:AG156),$AG$2:$AG$1001,0),0)))</f>
        <v>0</v>
      </c>
      <c r="B156" s="4">
        <f>IF(OR(INDEX($AH$2:$AH$1001,MATCH(ROWS($AG$2:AG156),$AG$2:$AG$1001,0),1)&gt;=100000,INDEX($AN$1005:$BO$1005,1,MATCH(COLUMNS($AN$1006:AN1006),$AN$1006:$BO$1006,0))&gt;=100000), " ",IF(INDEX($AN$2:$BO$1001,MATCH(ROWS($AG$2:AG156),$AG$2:$AG$1001,0),MATCH(COLUMNS($AN$1006:AN1006),$AN$1006:$BO$1006,0)), HYPERLINK("#",""), HYPERLINK(CONCATENATE("#Metadata!", ADDRESS(INDEX($AI$2:$AI$1001,MATCH(ROWS($AG$2:AG156),$AG$2:$AG$1001,0),0), INDEX($AN$1004:$BO$1004,1,MATCH(COLUMNS($AN$1006:AN1006),$AN$1006:$BO$1006,0)))),"Fix")))</f>
        <v>0</v>
      </c>
      <c r="C156" s="4">
        <f>IF(OR(INDEX($AH$2:$AH$1001,MATCH(ROWS($AG$2:AG156),$AG$2:$AG$1001,0),1)&gt;=100000,INDEX($AN$1005:$BO$1005,1,MATCH(COLUMNS($AN$1006:AO1006),$AN$1006:$BO$1006,0))&gt;=100000), " ",IF(INDEX($AN$2:$BO$1001,MATCH(ROWS($AG$2:AG156),$AG$2:$AG$1001,0),MATCH(COLUMNS($AN$1006:AO1006),$AN$1006:$BO$1006,0)), HYPERLINK("#",""), HYPERLINK(CONCATENATE("#Metadata!", ADDRESS(INDEX($AI$2:$AI$1001,MATCH(ROWS($AG$2:AG156),$AG$2:$AG$1001,0),0), INDEX($AN$1004:$BO$1004,1,MATCH(COLUMNS($AN$1006:AO1006),$AN$1006:$BO$1006,0)))),"Fix")))</f>
        <v>0</v>
      </c>
      <c r="D156" s="4">
        <f>IF(OR(INDEX($AH$2:$AH$1001,MATCH(ROWS($AG$2:AG156),$AG$2:$AG$1001,0),1)&gt;=100000,INDEX($AN$1005:$BO$1005,1,MATCH(COLUMNS($AN$1006:AP1006),$AN$1006:$BO$1006,0))&gt;=100000), " ",IF(INDEX($AN$2:$BO$1001,MATCH(ROWS($AG$2:AG156),$AG$2:$AG$1001,0),MATCH(COLUMNS($AN$1006:AP1006),$AN$1006:$BO$1006,0)), HYPERLINK("#",""), HYPERLINK(CONCATENATE("#Metadata!", ADDRESS(INDEX($AI$2:$AI$1001,MATCH(ROWS($AG$2:AG156),$AG$2:$AG$1001,0),0), INDEX($AN$1004:$BO$1004,1,MATCH(COLUMNS($AN$1006:AP1006),$AN$1006:$BO$1006,0)))),"Fix")))</f>
        <v>0</v>
      </c>
      <c r="E156" s="4">
        <f>IF(OR(INDEX($AH$2:$AH$1001,MATCH(ROWS($AG$2:AG156),$AG$2:$AG$1001,0),1)&gt;=100000,INDEX($AN$1005:$BO$1005,1,MATCH(COLUMNS($AN$1006:AQ1006),$AN$1006:$BO$1006,0))&gt;=100000), " ",IF(INDEX($AN$2:$BO$1001,MATCH(ROWS($AG$2:AG156),$AG$2:$AG$1001,0),MATCH(COLUMNS($AN$1006:AQ1006),$AN$1006:$BO$1006,0)), HYPERLINK("#",""), HYPERLINK(CONCATENATE("#Metadata!", ADDRESS(INDEX($AI$2:$AI$1001,MATCH(ROWS($AG$2:AG156),$AG$2:$AG$1001,0),0), INDEX($AN$1004:$BO$1004,1,MATCH(COLUMNS($AN$1006:AQ1006),$AN$1006:$BO$1006,0)))),"Fix")))</f>
        <v>0</v>
      </c>
      <c r="F156" s="4">
        <f>IF(OR(INDEX($AH$2:$AH$1001,MATCH(ROWS($AG$2:AG156),$AG$2:$AG$1001,0),1)&gt;=100000,INDEX($AN$1005:$BO$1005,1,MATCH(COLUMNS($AN$1006:AR1006),$AN$1006:$BO$1006,0))&gt;=100000), " ",IF(INDEX($AN$2:$BO$1001,MATCH(ROWS($AG$2:AG156),$AG$2:$AG$1001,0),MATCH(COLUMNS($AN$1006:AR1006),$AN$1006:$BO$1006,0)), HYPERLINK("#",""), HYPERLINK(CONCATENATE("#Metadata!", ADDRESS(INDEX($AI$2:$AI$1001,MATCH(ROWS($AG$2:AG156),$AG$2:$AG$1001,0),0), INDEX($AN$1004:$BO$1004,1,MATCH(COLUMNS($AN$1006:AR1006),$AN$1006:$BO$1006,0)))),"Fix")))</f>
        <v>0</v>
      </c>
      <c r="G156" s="4">
        <f>IF(OR(INDEX($AH$2:$AH$1001,MATCH(ROWS($AG$2:AG156),$AG$2:$AG$1001,0),1)&gt;=100000,INDEX($AN$1005:$BO$1005,1,MATCH(COLUMNS($AN$1006:AS1006),$AN$1006:$BO$1006,0))&gt;=100000), " ",IF(INDEX($AN$2:$BO$1001,MATCH(ROWS($AG$2:AG156),$AG$2:$AG$1001,0),MATCH(COLUMNS($AN$1006:AS1006),$AN$1006:$BO$1006,0)), HYPERLINK("#",""), HYPERLINK(CONCATENATE("#Metadata!", ADDRESS(INDEX($AI$2:$AI$1001,MATCH(ROWS($AG$2:AG156),$AG$2:$AG$1001,0),0), INDEX($AN$1004:$BO$1004,1,MATCH(COLUMNS($AN$1006:AS1006),$AN$1006:$BO$1006,0)))),"Fix")))</f>
        <v>0</v>
      </c>
      <c r="H156" s="4">
        <f>IF(OR(INDEX($AH$2:$AH$1001,MATCH(ROWS($AG$2:AG156),$AG$2:$AG$1001,0),1)&gt;=100000,INDEX($AN$1005:$BO$1005,1,MATCH(COLUMNS($AN$1006:AT1006),$AN$1006:$BO$1006,0))&gt;=100000), " ",IF(INDEX($AN$2:$BO$1001,MATCH(ROWS($AG$2:AG156),$AG$2:$AG$1001,0),MATCH(COLUMNS($AN$1006:AT1006),$AN$1006:$BO$1006,0)), HYPERLINK("#",""), HYPERLINK(CONCATENATE("#Metadata!", ADDRESS(INDEX($AI$2:$AI$1001,MATCH(ROWS($AG$2:AG156),$AG$2:$AG$1001,0),0), INDEX($AN$1004:$BO$1004,1,MATCH(COLUMNS($AN$1006:AT1006),$AN$1006:$BO$1006,0)))),"Fix")))</f>
        <v>0</v>
      </c>
      <c r="I156" s="4">
        <f>IF(OR(INDEX($AH$2:$AH$1001,MATCH(ROWS($AG$2:AG156),$AG$2:$AG$1001,0),1)&gt;=100000,INDEX($AN$1005:$BO$1005,1,MATCH(COLUMNS($AN$1006:AU1006),$AN$1006:$BO$1006,0))&gt;=100000), " ",IF(INDEX($AN$2:$BO$1001,MATCH(ROWS($AG$2:AG156),$AG$2:$AG$1001,0),MATCH(COLUMNS($AN$1006:AU1006),$AN$1006:$BO$1006,0)), HYPERLINK("#",""), HYPERLINK(CONCATENATE("#Metadata!", ADDRESS(INDEX($AI$2:$AI$1001,MATCH(ROWS($AG$2:AG156),$AG$2:$AG$1001,0),0), INDEX($AN$1004:$BO$1004,1,MATCH(COLUMNS($AN$1006:AU1006),$AN$1006:$BO$1006,0)))),"Fix")))</f>
        <v>0</v>
      </c>
      <c r="J156" s="4">
        <f>IF(OR(INDEX($AH$2:$AH$1001,MATCH(ROWS($AG$2:AG156),$AG$2:$AG$1001,0),1)&gt;=100000,INDEX($AN$1005:$BO$1005,1,MATCH(COLUMNS($AN$1006:AV1006),$AN$1006:$BO$1006,0))&gt;=100000), " ",IF(INDEX($AN$2:$BO$1001,MATCH(ROWS($AG$2:AG156),$AG$2:$AG$1001,0),MATCH(COLUMNS($AN$1006:AV1006),$AN$1006:$BO$1006,0)), HYPERLINK("#",""), HYPERLINK(CONCATENATE("#Metadata!", ADDRESS(INDEX($AI$2:$AI$1001,MATCH(ROWS($AG$2:AG156),$AG$2:$AG$1001,0),0), INDEX($AN$1004:$BO$1004,1,MATCH(COLUMNS($AN$1006:AV1006),$AN$1006:$BO$1006,0)))),"Fix")))</f>
        <v>0</v>
      </c>
      <c r="K156" s="4">
        <f>IF(OR(INDEX($AH$2:$AH$1001,MATCH(ROWS($AG$2:AG156),$AG$2:$AG$1001,0),1)&gt;=100000,INDEX($AN$1005:$BO$1005,1,MATCH(COLUMNS($AN$1006:AW1006),$AN$1006:$BO$1006,0))&gt;=100000), " ",IF(INDEX($AN$2:$BO$1001,MATCH(ROWS($AG$2:AG156),$AG$2:$AG$1001,0),MATCH(COLUMNS($AN$1006:AW1006),$AN$1006:$BO$1006,0)), HYPERLINK("#",""), HYPERLINK(CONCATENATE("#Metadata!", ADDRESS(INDEX($AI$2:$AI$1001,MATCH(ROWS($AG$2:AG156),$AG$2:$AG$1001,0),0), INDEX($AN$1004:$BO$1004,1,MATCH(COLUMNS($AN$1006:AW1006),$AN$1006:$BO$1006,0)))),"Fix")))</f>
        <v>0</v>
      </c>
      <c r="L156" s="4">
        <f>IF(OR(INDEX($AH$2:$AH$1001,MATCH(ROWS($AG$2:AG156),$AG$2:$AG$1001,0),1)&gt;=100000,INDEX($AN$1005:$BO$1005,1,MATCH(COLUMNS($AN$1006:AX1006),$AN$1006:$BO$1006,0))&gt;=100000), " ",IF(INDEX($AN$2:$BO$1001,MATCH(ROWS($AG$2:AG156),$AG$2:$AG$1001,0),MATCH(COLUMNS($AN$1006:AX1006),$AN$1006:$BO$1006,0)), HYPERLINK("#",""), HYPERLINK(CONCATENATE("#Metadata!", ADDRESS(INDEX($AI$2:$AI$1001,MATCH(ROWS($AG$2:AG156),$AG$2:$AG$1001,0),0), INDEX($AN$1004:$BO$1004,1,MATCH(COLUMNS($AN$1006:AX1006),$AN$1006:$BO$1006,0)))),"Fix")))</f>
        <v>0</v>
      </c>
      <c r="M156" s="4">
        <f>IF(OR(INDEX($AH$2:$AH$1001,MATCH(ROWS($AG$2:AG156),$AG$2:$AG$1001,0),1)&gt;=100000,INDEX($AN$1005:$BO$1005,1,MATCH(COLUMNS($AN$1006:AY1006),$AN$1006:$BO$1006,0))&gt;=100000), " ",IF(INDEX($AN$2:$BO$1001,MATCH(ROWS($AG$2:AG156),$AG$2:$AG$1001,0),MATCH(COLUMNS($AN$1006:AY1006),$AN$1006:$BO$1006,0)), HYPERLINK("#",""), HYPERLINK(CONCATENATE("#Metadata!", ADDRESS(INDEX($AI$2:$AI$1001,MATCH(ROWS($AG$2:AG156),$AG$2:$AG$1001,0),0), INDEX($AN$1004:$BO$1004,1,MATCH(COLUMNS($AN$1006:AY1006),$AN$1006:$BO$1006,0)))),"Fix")))</f>
        <v>0</v>
      </c>
      <c r="N156" s="4">
        <f>IF(OR(INDEX($AH$2:$AH$1001,MATCH(ROWS($AG$2:AG156),$AG$2:$AG$1001,0),1)&gt;=100000,INDEX($AN$1005:$BO$1005,1,MATCH(COLUMNS($AN$1006:AZ1006),$AN$1006:$BO$1006,0))&gt;=100000), " ",IF(INDEX($AN$2:$BO$1001,MATCH(ROWS($AG$2:AG156),$AG$2:$AG$1001,0),MATCH(COLUMNS($AN$1006:AZ1006),$AN$1006:$BO$1006,0)), HYPERLINK("#",""), HYPERLINK(CONCATENATE("#Metadata!", ADDRESS(INDEX($AI$2:$AI$1001,MATCH(ROWS($AG$2:AG156),$AG$2:$AG$1001,0),0), INDEX($AN$1004:$BO$1004,1,MATCH(COLUMNS($AN$1006:AZ1006),$AN$1006:$BO$1006,0)))),"Fix")))</f>
        <v>0</v>
      </c>
      <c r="O156" s="4">
        <f>IF(OR(INDEX($AH$2:$AH$1001,MATCH(ROWS($AG$2:AG156),$AG$2:$AG$1001,0),1)&gt;=100000,INDEX($AN$1005:$BO$1005,1,MATCH(COLUMNS($AN$1006:BA1006),$AN$1006:$BO$1006,0))&gt;=100000), " ",IF(INDEX($AN$2:$BO$1001,MATCH(ROWS($AG$2:AG156),$AG$2:$AG$1001,0),MATCH(COLUMNS($AN$1006:BA1006),$AN$1006:$BO$1006,0)), HYPERLINK("#",""), HYPERLINK(CONCATENATE("#Metadata!", ADDRESS(INDEX($AI$2:$AI$1001,MATCH(ROWS($AG$2:AG156),$AG$2:$AG$1001,0),0), INDEX($AN$1004:$BO$1004,1,MATCH(COLUMNS($AN$1006:BA1006),$AN$1006:$BO$1006,0)))),"Fix")))</f>
        <v>0</v>
      </c>
      <c r="P156" s="4">
        <f>IF(OR(INDEX($AH$2:$AH$1001,MATCH(ROWS($AG$2:AG156),$AG$2:$AG$1001,0),1)&gt;=100000,INDEX($AN$1005:$BO$1005,1,MATCH(COLUMNS($AN$1006:BB1006),$AN$1006:$BO$1006,0))&gt;=100000), " ",IF(INDEX($AN$2:$BO$1001,MATCH(ROWS($AG$2:AG156),$AG$2:$AG$1001,0),MATCH(COLUMNS($AN$1006:BB1006),$AN$1006:$BO$1006,0)), HYPERLINK("#",""), HYPERLINK(CONCATENATE("#Metadata!", ADDRESS(INDEX($AI$2:$AI$1001,MATCH(ROWS($AG$2:AG156),$AG$2:$AG$1001,0),0), INDEX($AN$1004:$BO$1004,1,MATCH(COLUMNS($AN$1006:BB1006),$AN$1006:$BO$1006,0)))),"Fix")))</f>
        <v>0</v>
      </c>
      <c r="Q156" s="4">
        <f>IF(OR(INDEX($AH$2:$AH$1001,MATCH(ROWS($AG$2:AG156),$AG$2:$AG$1001,0),1)&gt;=100000,INDEX($AN$1005:$BO$1005,1,MATCH(COLUMNS($AN$1006:BC1006),$AN$1006:$BO$1006,0))&gt;=100000), " ",IF(INDEX($AN$2:$BO$1001,MATCH(ROWS($AG$2:AG156),$AG$2:$AG$1001,0),MATCH(COLUMNS($AN$1006:BC1006),$AN$1006:$BO$1006,0)), HYPERLINK("#",""), HYPERLINK(CONCATENATE("#Metadata!", ADDRESS(INDEX($AI$2:$AI$1001,MATCH(ROWS($AG$2:AG156),$AG$2:$AG$1001,0),0), INDEX($AN$1004:$BO$1004,1,MATCH(COLUMNS($AN$1006:BC1006),$AN$1006:$BO$1006,0)))),"Fix")))</f>
        <v>0</v>
      </c>
      <c r="R156" s="4">
        <f>IF(OR(INDEX($AH$2:$AH$1001,MATCH(ROWS($AG$2:AG156),$AG$2:$AG$1001,0),1)&gt;=100000,INDEX($AN$1005:$BO$1005,1,MATCH(COLUMNS($AN$1006:BD1006),$AN$1006:$BO$1006,0))&gt;=100000), " ",IF(INDEX($AN$2:$BO$1001,MATCH(ROWS($AG$2:AG156),$AG$2:$AG$1001,0),MATCH(COLUMNS($AN$1006:BD1006),$AN$1006:$BO$1006,0)), HYPERLINK("#",""), HYPERLINK(CONCATENATE("#Metadata!", ADDRESS(INDEX($AI$2:$AI$1001,MATCH(ROWS($AG$2:AG156),$AG$2:$AG$1001,0),0), INDEX($AN$1004:$BO$1004,1,MATCH(COLUMNS($AN$1006:BD1006),$AN$1006:$BO$1006,0)))),"Fix")))</f>
        <v>0</v>
      </c>
      <c r="S156" s="4">
        <f>IF(OR(INDEX($AH$2:$AH$1001,MATCH(ROWS($AG$2:AG156),$AG$2:$AG$1001,0),1)&gt;=100000,INDEX($AN$1005:$BO$1005,1,MATCH(COLUMNS($AN$1006:BE1006),$AN$1006:$BO$1006,0))&gt;=100000), " ",IF(INDEX($AN$2:$BO$1001,MATCH(ROWS($AG$2:AG156),$AG$2:$AG$1001,0),MATCH(COLUMNS($AN$1006:BE1006),$AN$1006:$BO$1006,0)), HYPERLINK("#",""), HYPERLINK(CONCATENATE("#Metadata!", ADDRESS(INDEX($AI$2:$AI$1001,MATCH(ROWS($AG$2:AG156),$AG$2:$AG$1001,0),0), INDEX($AN$1004:$BO$1004,1,MATCH(COLUMNS($AN$1006:BE1006),$AN$1006:$BO$1006,0)))),"Fix")))</f>
        <v>0</v>
      </c>
      <c r="T156" s="4">
        <f>IF(OR(INDEX($AH$2:$AH$1001,MATCH(ROWS($AG$2:AG156),$AG$2:$AG$1001,0),1)&gt;=100000,INDEX($AN$1005:$BO$1005,1,MATCH(COLUMNS($AN$1006:BF1006),$AN$1006:$BO$1006,0))&gt;=100000), " ",IF(INDEX($AN$2:$BO$1001,MATCH(ROWS($AG$2:AG156),$AG$2:$AG$1001,0),MATCH(COLUMNS($AN$1006:BF1006),$AN$1006:$BO$1006,0)), HYPERLINK("#",""), HYPERLINK(CONCATENATE("#Metadata!", ADDRESS(INDEX($AI$2:$AI$1001,MATCH(ROWS($AG$2:AG156),$AG$2:$AG$1001,0),0), INDEX($AN$1004:$BO$1004,1,MATCH(COLUMNS($AN$1006:BF1006),$AN$1006:$BO$1006,0)))),"Fix")))</f>
        <v>0</v>
      </c>
      <c r="U156" s="4">
        <f>IF(OR(INDEX($AH$2:$AH$1001,MATCH(ROWS($AG$2:AG156),$AG$2:$AG$1001,0),1)&gt;=100000,INDEX($AN$1005:$BO$1005,1,MATCH(COLUMNS($AN$1006:BG1006),$AN$1006:$BO$1006,0))&gt;=100000), " ",IF(INDEX($AN$2:$BO$1001,MATCH(ROWS($AG$2:AG156),$AG$2:$AG$1001,0),MATCH(COLUMNS($AN$1006:BG1006),$AN$1006:$BO$1006,0)), HYPERLINK("#",""), HYPERLINK(CONCATENATE("#Metadata!", ADDRESS(INDEX($AI$2:$AI$1001,MATCH(ROWS($AG$2:AG156),$AG$2:$AG$1001,0),0), INDEX($AN$1004:$BO$1004,1,MATCH(COLUMNS($AN$1006:BG1006),$AN$1006:$BO$1006,0)))),"Fix")))</f>
        <v>0</v>
      </c>
      <c r="V156" s="4">
        <f>IF(OR(INDEX($AH$2:$AH$1001,MATCH(ROWS($AG$2:AG156),$AG$2:$AG$1001,0),1)&gt;=100000,INDEX($AN$1005:$BO$1005,1,MATCH(COLUMNS($AN$1006:BH1006),$AN$1006:$BO$1006,0))&gt;=100000), " ",IF(INDEX($AN$2:$BO$1001,MATCH(ROWS($AG$2:AG156),$AG$2:$AG$1001,0),MATCH(COLUMNS($AN$1006:BH1006),$AN$1006:$BO$1006,0)), HYPERLINK("#",""), HYPERLINK(CONCATENATE("#Metadata!", ADDRESS(INDEX($AI$2:$AI$1001,MATCH(ROWS($AG$2:AG156),$AG$2:$AG$1001,0),0), INDEX($AN$1004:$BO$1004,1,MATCH(COLUMNS($AN$1006:BH1006),$AN$1006:$BO$1006,0)))),"Fix")))</f>
        <v>0</v>
      </c>
      <c r="W156" s="4">
        <f>IF(OR(INDEX($AH$2:$AH$1001,MATCH(ROWS($AG$2:AG156),$AG$2:$AG$1001,0),1)&gt;=100000,INDEX($AN$1005:$BO$1005,1,MATCH(COLUMNS($AN$1006:BI1006),$AN$1006:$BO$1006,0))&gt;=100000), " ",IF(INDEX($AN$2:$BO$1001,MATCH(ROWS($AG$2:AG156),$AG$2:$AG$1001,0),MATCH(COLUMNS($AN$1006:BI1006),$AN$1006:$BO$1006,0)), HYPERLINK("#",""), HYPERLINK(CONCATENATE("#Metadata!", ADDRESS(INDEX($AI$2:$AI$1001,MATCH(ROWS($AG$2:AG156),$AG$2:$AG$1001,0),0), INDEX($AN$1004:$BO$1004,1,MATCH(COLUMNS($AN$1006:BI1006),$AN$1006:$BO$1006,0)))),"Fix")))</f>
        <v>0</v>
      </c>
      <c r="X156" s="4">
        <f>IF(OR(INDEX($AH$2:$AH$1001,MATCH(ROWS($AG$2:AG156),$AG$2:$AG$1001,0),1)&gt;=100000,INDEX($AN$1005:$BO$1005,1,MATCH(COLUMNS($AN$1006:BJ1006),$AN$1006:$BO$1006,0))&gt;=100000), " ",IF(INDEX($AN$2:$BO$1001,MATCH(ROWS($AG$2:AG156),$AG$2:$AG$1001,0),MATCH(COLUMNS($AN$1006:BJ1006),$AN$1006:$BO$1006,0)), HYPERLINK("#",""), HYPERLINK(CONCATENATE("#Metadata!", ADDRESS(INDEX($AI$2:$AI$1001,MATCH(ROWS($AG$2:AG156),$AG$2:$AG$1001,0),0), INDEX($AN$1004:$BO$1004,1,MATCH(COLUMNS($AN$1006:BJ1006),$AN$1006:$BO$1006,0)))),"Fix")))</f>
        <v>0</v>
      </c>
      <c r="Y156" s="4">
        <f>IF(OR(INDEX($AH$2:$AH$1001,MATCH(ROWS($AG$2:AG156),$AG$2:$AG$1001,0),1)&gt;=100000,INDEX($AN$1005:$BO$1005,1,MATCH(COLUMNS($AN$1006:BK1006),$AN$1006:$BO$1006,0))&gt;=100000), " ",IF(INDEX($AN$2:$BO$1001,MATCH(ROWS($AG$2:AG156),$AG$2:$AG$1001,0),MATCH(COLUMNS($AN$1006:BK1006),$AN$1006:$BO$1006,0)), HYPERLINK("#",""), HYPERLINK(CONCATENATE("#Metadata!", ADDRESS(INDEX($AI$2:$AI$1001,MATCH(ROWS($AG$2:AG156),$AG$2:$AG$1001,0),0), INDEX($AN$1004:$BO$1004,1,MATCH(COLUMNS($AN$1006:BK1006),$AN$1006:$BO$1006,0)))),"Fix")))</f>
        <v>0</v>
      </c>
      <c r="Z156" s="4">
        <f>IF(OR(INDEX($AH$2:$AH$1001,MATCH(ROWS($AG$2:AG156),$AG$2:$AG$1001,0),1)&gt;=100000,INDEX($AN$1005:$BO$1005,1,MATCH(COLUMNS($AN$1006:BL1006),$AN$1006:$BO$1006,0))&gt;=100000), " ",IF(INDEX($AN$2:$BO$1001,MATCH(ROWS($AG$2:AG156),$AG$2:$AG$1001,0),MATCH(COLUMNS($AN$1006:BL1006),$AN$1006:$BO$1006,0)), HYPERLINK("#",""), HYPERLINK(CONCATENATE("#Metadata!", ADDRESS(INDEX($AI$2:$AI$1001,MATCH(ROWS($AG$2:AG156),$AG$2:$AG$1001,0),0), INDEX($AN$1004:$BO$1004,1,MATCH(COLUMNS($AN$1006:BL1006),$AN$1006:$BO$1006,0)))),"Fix")))</f>
        <v>0</v>
      </c>
      <c r="AA156" s="4">
        <f>IF(OR(INDEX($AH$2:$AH$1001,MATCH(ROWS($AG$2:AG156),$AG$2:$AG$1001,0),1)&gt;=100000,INDEX($AN$1005:$BO$1005,1,MATCH(COLUMNS($AN$1006:BM1006),$AN$1006:$BO$1006,0))&gt;=100000), " ",IF(INDEX($AN$2:$BO$1001,MATCH(ROWS($AG$2:AG156),$AG$2:$AG$1001,0),MATCH(COLUMNS($AN$1006:BM1006),$AN$1006:$BO$1006,0)), HYPERLINK("#",""), HYPERLINK(CONCATENATE("#Metadata!", ADDRESS(INDEX($AI$2:$AI$1001,MATCH(ROWS($AG$2:AG156),$AG$2:$AG$1001,0),0), INDEX($AN$1004:$BO$1004,1,MATCH(COLUMNS($AN$1006:BM1006),$AN$1006:$BO$1006,0)))),"Fix")))</f>
        <v>0</v>
      </c>
      <c r="AB156" s="4">
        <f>IF(OR(INDEX($AH$2:$AH$1001,MATCH(ROWS($AG$2:AG156),$AG$2:$AG$1001,0),1)&gt;=100000,INDEX($AN$1005:$BO$1005,1,MATCH(COLUMNS($AN$1006:BN1006),$AN$1006:$BO$1006,0))&gt;=100000), " ",IF(INDEX($AN$2:$BO$1001,MATCH(ROWS($AG$2:AG156),$AG$2:$AG$1001,0),MATCH(COLUMNS($AN$1006:BN1006),$AN$1006:$BO$1006,0)), HYPERLINK("#",""), HYPERLINK(CONCATENATE("#Metadata!", ADDRESS(INDEX($AI$2:$AI$1001,MATCH(ROWS($AG$2:AG156),$AG$2:$AG$1001,0),0), INDEX($AN$1004:$BO$1004,1,MATCH(COLUMNS($AN$1006:BN1006),$AN$1006:$BO$1006,0)))),"Fix")))</f>
        <v>0</v>
      </c>
      <c r="AC156" s="4">
        <f>IF(OR(INDEX($AH$2:$AH$1001,MATCH(ROWS($AG$2:AG156),$AG$2:$AG$1001,0),1)&gt;=100000,INDEX($AN$1005:$BO$1005,1,MATCH(COLUMNS($AN$1006:BO1006),$AN$1006:$BO$1006,0))&gt;=100000), " ",IF(INDEX($AN$2:$BO$1001,MATCH(ROWS($AG$2:AG156),$AG$2:$AG$1001,0),MATCH(COLUMNS($AN$1006:BO1006),$AN$1006:$BO$1006,0)), HYPERLINK("#",""), HYPERLINK(CONCATENATE("#Metadata!", ADDRESS(INDEX($AI$2:$AI$1001,MATCH(ROWS($AG$2:AG156),$AG$2:$AG$1001,0),0), INDEX($AN$1004:$BO$1004,1,MATCH(COLUMNS($AN$1006:BO1006),$AN$1006:$BO$1006,0)))),"Fix")))</f>
        <v>0</v>
      </c>
      <c r="AG156">
        <v>0</v>
      </c>
      <c r="AH156">
        <v>0</v>
      </c>
      <c r="AI156">
        <v>0</v>
      </c>
      <c r="AJ156">
        <f>IF(AK156,TRUE,AND(AN156:BO156))</f>
        <v>0</v>
      </c>
      <c r="AK156">
        <f>COUNTBLANK(Metadata!B156:AC156)=COLUMNS(Metadata!B156:AC156)</f>
        <v>0</v>
      </c>
      <c r="AL156">
        <v>0</v>
      </c>
      <c r="AN156">
        <f>AND(IF(Metadata!B156="",FALSE,TRUE),COUNTIF(Metadata!B:B, Metadata!B156) = 1,NOT(ISERROR(SUMPRODUCT(SEARCH(MID(Metadata!B156,ROW(INDIRECT("1:"&amp;LEN(Metadata!B156))), 1),"0123456789abcdefghijklmnopqrstuvwxyzABCDEFGHIJKLMNOPQRSTUVWXYZ.")))))</f>
        <v>0</v>
      </c>
      <c r="AO156">
        <f>IF(Metadata!C156="",FALSE,TRUE)</f>
        <v>0</v>
      </c>
      <c r="AP156">
        <f>IF(Metadata!D156="",FALSE,TRUE)</f>
        <v>0</v>
      </c>
      <c r="AQ156">
        <f>OR(AND(IF(Metadata!E156="",FALSE,TRUE),OR(exact(Metadata!E156,"not collected"),exact(Metadata!E156,"not provided"),exact(Metadata!E156,"restricted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R156">
        <f>IF(Metadata!F156="",FALSE,TRUE)</f>
        <v>0</v>
      </c>
      <c r="AS156">
        <f>OR(AND(IF(Metadata!G156="",FALSE,TRUE),OR(exact(Metadata!G156,"not collected"),exact(Metadata!G156,"not provided"))),AND(IF(Metadata!G156="",FALSE,TRUE),OR(exact(Metadata!G156,"TRUE"),exact(Metadata!G156,"FALSE"))))</f>
        <v>0</v>
      </c>
      <c r="AT156">
        <f>OR(AND(IF(Metadata!H156="",FALSE,TRUE),OR(exact(Metadata!H156,"not collected"),exact(Metadata!H156,"not provided"),exact(Metadata!H156,"restricted access"))),AND(IF(Metadata!H156="",FALSE,ISNUMBER(VALUE(Metadata!H156))),Metadata!H156&gt;=-413.0))</f>
        <v>0</v>
      </c>
      <c r="AU156">
        <f>AND(IF(Metadata!I156="",FALSE,TRUE),exact(Metadata!I156,"meters"))</f>
        <v>0</v>
      </c>
      <c r="AV156">
        <f>AND(IF(Metadata!J156="",FALSE,TRUE),OR(exact(Metadata!J156,"Host-associated"),exact(Metadata!J156,"Free-living")))</f>
        <v>0</v>
      </c>
      <c r="AW156">
        <f>AND(IF(Metadata!K156="",FALSE,TRUE),OR(exact(Metadata!K156,"Animal"),exact(Metadata!K156,"Fungus"),exact(Metadata!K156,"Plant"),exact(Metadata!K156,"Saline"),exact(Metadata!K156,"Non-saline")))</f>
        <v>0</v>
      </c>
      <c r="AX156">
        <f>AND(IF(Metadata!L156="",FALSE,TRUE),OR(exact(Metadata!L156,"Plant secretion"),exact(Metadata!L156,"Plant rhizosphere"),exact(Metadata!L156,"Plant surface"),exact(Metadata!L156,"Plant corpus"),exact(Metadata!L156,"Fungus surface"),exact(Metadata!L156,"Fungus corpus"),exact(Metadata!L156,"Animal surface"),exact(Metadata!L156,"Animal proximal gut"),exact(Metadata!L156,"Animal corpus"),exact(Metadata!L156,"Animal distal gut"),exact(Metadata!L156,"Animal secretion"),exact(Metadata!L156,"Sub-surface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Y156">
        <f>IF(Metadata!M156="",FALSE,TRUE)</f>
        <v>0</v>
      </c>
      <c r="AZ156">
        <f>IF(Metadata!N156="",FALSE,TRUE)</f>
        <v>0</v>
      </c>
      <c r="BA156">
        <f>IF(Metadata!O156="",FALSE,TRUE)</f>
        <v>0</v>
      </c>
      <c r="BB156">
        <f>OR(AND(IF(Metadata!P156="",FALSE,TRUE),OR(exact(Metadata!P156,"not collected"),exact(Metadata!P156,"not provided"),exact(Metadata!P156,"restricted access"))),AND(IF(Metadata!P156="",FALSE,TRUE),OR(exact(Metadata!P156,"air"),exact(Metadata!P156,"built environment"),exact(Metadata!P156,"host-associated"),exact(Metadata!P156,"human-associated"),exact(Metadata!P156,"human-skin"),exact(Metadata!P156,"human-oral"),exact(Metadata!P156,"human-gut"),exact(Metadata!P156,"human-vaginal"),exact(Metadata!P156,"microbial mat/biofilm"),exact(Metadata!P156,"misc environment"),exact(Metadata!P156,"plant-associated"),exact(Metadata!P156,"sediment"),exact(Metadata!P156,"soil"),exact(Metadata!P156,"wastewater/sludge"),exact(Metadata!P156,"water"))))</f>
        <v>0</v>
      </c>
      <c r="BC156">
        <f>IF(Metadata!Q156="",FALSE,TRUE)</f>
        <v>0</v>
      </c>
      <c r="BD156">
        <f>IF(Metadata!R156="",FALSE,TRUE)</f>
        <v>0</v>
      </c>
      <c r="BE156">
        <f>OR(AND(IF(Metadata!S156="",FALSE,TRUE),OR(exact(Metadata!S156,"not collected"),exact(Metadata!S156,"not provided"),exact(Metadata!S156,"restricted access"))),AND(IF(Metadata!S156="",FALSE,ISNUMBER(VALUE(Metadata!S156))),Metadata!S156&gt;=-90.00,Metadata!S156&lt;=90.00))</f>
        <v>0</v>
      </c>
      <c r="BF156">
        <f>AND(IF(Metadata!T156="",FALSE,TRUE),exact(Metadata!T156,"Decimal degrees"))</f>
        <v>0</v>
      </c>
      <c r="BG156">
        <f>OR(AND(IF(Metadata!U156="",FALSE,TRUE),OR(exact(Metadata!U156,"not collected"),exact(Metadata!U156,"not provided"),exact(Metadata!U156,"restricted access"))),AND(IF(Metadata!U156="",FALSE,ISNUMBER(VALUE(Metadata!U156))),Metadata!U156&gt;=-180.00,Metadata!U156&lt;=180.00))</f>
        <v>0</v>
      </c>
      <c r="BH156">
        <f>AND(IF(Metadata!V156="",FALSE,TRUE),exact(Metadata!V156,"Decimal degrees"))</f>
        <v>0</v>
      </c>
      <c r="BI156">
        <f>IF(Metadata!W156="",FALSE,TRUE)</f>
        <v>0</v>
      </c>
      <c r="BJ156">
        <f>OR(AND(IF(Metadata!X156="",FALSE,TRUE),OR(exact(Metadata!X156,"not collected"),exact(Metadata!X156,"not provided"),exact(Metadata!X156,"restricted access"))),AND(IF(Metadata!X156="",FALSE,TRUE),OR(exact(Metadata!X156,"TRUE"),exact(Metadata!X156,"FALSE"))))</f>
        <v>0</v>
      </c>
      <c r="BK156">
        <f>AND(IF(Metadata!Y156="",FALSE,TRUE),exact(Metadata!Y156,"other"))</f>
        <v>0</v>
      </c>
      <c r="BL156">
        <f>IF(Metadata!Z156="",FALSE,TRUE)</f>
        <v>0</v>
      </c>
      <c r="BM156">
        <f>OR(AND(IF(Metadata!AA156="",FALSE,TRUE),OR(exact(Metadata!AA156,"not collected"),exact(Metadata!AA156,"not provided"))),AND(IF(Metadata!AA156="",FALSE,IF(ISERROR(INT(Metadata!AA156)),FALSE,INT(Metadata!AA156)=Metadata!AA156)),Metadata!AA156&gt;0))</f>
        <v>0</v>
      </c>
      <c r="BN156">
        <f>AND(IF(Metadata!AB156="",FALSE,TRUE),exact(Metadata!AB156,"Not applicable"))</f>
        <v>0</v>
      </c>
      <c r="BO156">
        <f>IF(Metadata!AC156="",FALSE,TRUE)</f>
        <v>0</v>
      </c>
    </row>
    <row r="157" spans="1:67">
      <c r="A157" s="5">
        <f>IF(B157=" "," ",HYPERLINK(CONCATENATE("#metadata!",ADDRESS(INDEX($AI$2:$AI$1001,MATCH(ROWS($AG$2:AG157),$AG$2:$AG$1001,0),0),1)),INDEX($AL$2:$AL$1001,MATCH(ROWS($AG$2:AG157),$AG$2:$AG$1001,0),0)))</f>
        <v>0</v>
      </c>
      <c r="B157" s="4">
        <f>IF(OR(INDEX($AH$2:$AH$1001,MATCH(ROWS($AG$2:AG157),$AG$2:$AG$1001,0),1)&gt;=100000,INDEX($AN$1005:$BO$1005,1,MATCH(COLUMNS($AN$1006:AN1006),$AN$1006:$BO$1006,0))&gt;=100000), " ",IF(INDEX($AN$2:$BO$1001,MATCH(ROWS($AG$2:AG157),$AG$2:$AG$1001,0),MATCH(COLUMNS($AN$1006:AN1006),$AN$1006:$BO$1006,0)), HYPERLINK("#",""), HYPERLINK(CONCATENATE("#Metadata!", ADDRESS(INDEX($AI$2:$AI$1001,MATCH(ROWS($AG$2:AG157),$AG$2:$AG$1001,0),0), INDEX($AN$1004:$BO$1004,1,MATCH(COLUMNS($AN$1006:AN1006),$AN$1006:$BO$1006,0)))),"Fix")))</f>
        <v>0</v>
      </c>
      <c r="C157" s="4">
        <f>IF(OR(INDEX($AH$2:$AH$1001,MATCH(ROWS($AG$2:AG157),$AG$2:$AG$1001,0),1)&gt;=100000,INDEX($AN$1005:$BO$1005,1,MATCH(COLUMNS($AN$1006:AO1006),$AN$1006:$BO$1006,0))&gt;=100000), " ",IF(INDEX($AN$2:$BO$1001,MATCH(ROWS($AG$2:AG157),$AG$2:$AG$1001,0),MATCH(COLUMNS($AN$1006:AO1006),$AN$1006:$BO$1006,0)), HYPERLINK("#",""), HYPERLINK(CONCATENATE("#Metadata!", ADDRESS(INDEX($AI$2:$AI$1001,MATCH(ROWS($AG$2:AG157),$AG$2:$AG$1001,0),0), INDEX($AN$1004:$BO$1004,1,MATCH(COLUMNS($AN$1006:AO1006),$AN$1006:$BO$1006,0)))),"Fix")))</f>
        <v>0</v>
      </c>
      <c r="D157" s="4">
        <f>IF(OR(INDEX($AH$2:$AH$1001,MATCH(ROWS($AG$2:AG157),$AG$2:$AG$1001,0),1)&gt;=100000,INDEX($AN$1005:$BO$1005,1,MATCH(COLUMNS($AN$1006:AP1006),$AN$1006:$BO$1006,0))&gt;=100000), " ",IF(INDEX($AN$2:$BO$1001,MATCH(ROWS($AG$2:AG157),$AG$2:$AG$1001,0),MATCH(COLUMNS($AN$1006:AP1006),$AN$1006:$BO$1006,0)), HYPERLINK("#",""), HYPERLINK(CONCATENATE("#Metadata!", ADDRESS(INDEX($AI$2:$AI$1001,MATCH(ROWS($AG$2:AG157),$AG$2:$AG$1001,0),0), INDEX($AN$1004:$BO$1004,1,MATCH(COLUMNS($AN$1006:AP1006),$AN$1006:$BO$1006,0)))),"Fix")))</f>
        <v>0</v>
      </c>
      <c r="E157" s="4">
        <f>IF(OR(INDEX($AH$2:$AH$1001,MATCH(ROWS($AG$2:AG157),$AG$2:$AG$1001,0),1)&gt;=100000,INDEX($AN$1005:$BO$1005,1,MATCH(COLUMNS($AN$1006:AQ1006),$AN$1006:$BO$1006,0))&gt;=100000), " ",IF(INDEX($AN$2:$BO$1001,MATCH(ROWS($AG$2:AG157),$AG$2:$AG$1001,0),MATCH(COLUMNS($AN$1006:AQ1006),$AN$1006:$BO$1006,0)), HYPERLINK("#",""), HYPERLINK(CONCATENATE("#Metadata!", ADDRESS(INDEX($AI$2:$AI$1001,MATCH(ROWS($AG$2:AG157),$AG$2:$AG$1001,0),0), INDEX($AN$1004:$BO$1004,1,MATCH(COLUMNS($AN$1006:AQ1006),$AN$1006:$BO$1006,0)))),"Fix")))</f>
        <v>0</v>
      </c>
      <c r="F157" s="4">
        <f>IF(OR(INDEX($AH$2:$AH$1001,MATCH(ROWS($AG$2:AG157),$AG$2:$AG$1001,0),1)&gt;=100000,INDEX($AN$1005:$BO$1005,1,MATCH(COLUMNS($AN$1006:AR1006),$AN$1006:$BO$1006,0))&gt;=100000), " ",IF(INDEX($AN$2:$BO$1001,MATCH(ROWS($AG$2:AG157),$AG$2:$AG$1001,0),MATCH(COLUMNS($AN$1006:AR1006),$AN$1006:$BO$1006,0)), HYPERLINK("#",""), HYPERLINK(CONCATENATE("#Metadata!", ADDRESS(INDEX($AI$2:$AI$1001,MATCH(ROWS($AG$2:AG157),$AG$2:$AG$1001,0),0), INDEX($AN$1004:$BO$1004,1,MATCH(COLUMNS($AN$1006:AR1006),$AN$1006:$BO$1006,0)))),"Fix")))</f>
        <v>0</v>
      </c>
      <c r="G157" s="4">
        <f>IF(OR(INDEX($AH$2:$AH$1001,MATCH(ROWS($AG$2:AG157),$AG$2:$AG$1001,0),1)&gt;=100000,INDEX($AN$1005:$BO$1005,1,MATCH(COLUMNS($AN$1006:AS1006),$AN$1006:$BO$1006,0))&gt;=100000), " ",IF(INDEX($AN$2:$BO$1001,MATCH(ROWS($AG$2:AG157),$AG$2:$AG$1001,0),MATCH(COLUMNS($AN$1006:AS1006),$AN$1006:$BO$1006,0)), HYPERLINK("#",""), HYPERLINK(CONCATENATE("#Metadata!", ADDRESS(INDEX($AI$2:$AI$1001,MATCH(ROWS($AG$2:AG157),$AG$2:$AG$1001,0),0), INDEX($AN$1004:$BO$1004,1,MATCH(COLUMNS($AN$1006:AS1006),$AN$1006:$BO$1006,0)))),"Fix")))</f>
        <v>0</v>
      </c>
      <c r="H157" s="4">
        <f>IF(OR(INDEX($AH$2:$AH$1001,MATCH(ROWS($AG$2:AG157),$AG$2:$AG$1001,0),1)&gt;=100000,INDEX($AN$1005:$BO$1005,1,MATCH(COLUMNS($AN$1006:AT1006),$AN$1006:$BO$1006,0))&gt;=100000), " ",IF(INDEX($AN$2:$BO$1001,MATCH(ROWS($AG$2:AG157),$AG$2:$AG$1001,0),MATCH(COLUMNS($AN$1006:AT1006),$AN$1006:$BO$1006,0)), HYPERLINK("#",""), HYPERLINK(CONCATENATE("#Metadata!", ADDRESS(INDEX($AI$2:$AI$1001,MATCH(ROWS($AG$2:AG157),$AG$2:$AG$1001,0),0), INDEX($AN$1004:$BO$1004,1,MATCH(COLUMNS($AN$1006:AT1006),$AN$1006:$BO$1006,0)))),"Fix")))</f>
        <v>0</v>
      </c>
      <c r="I157" s="4">
        <f>IF(OR(INDEX($AH$2:$AH$1001,MATCH(ROWS($AG$2:AG157),$AG$2:$AG$1001,0),1)&gt;=100000,INDEX($AN$1005:$BO$1005,1,MATCH(COLUMNS($AN$1006:AU1006),$AN$1006:$BO$1006,0))&gt;=100000), " ",IF(INDEX($AN$2:$BO$1001,MATCH(ROWS($AG$2:AG157),$AG$2:$AG$1001,0),MATCH(COLUMNS($AN$1006:AU1006),$AN$1006:$BO$1006,0)), HYPERLINK("#",""), HYPERLINK(CONCATENATE("#Metadata!", ADDRESS(INDEX($AI$2:$AI$1001,MATCH(ROWS($AG$2:AG157),$AG$2:$AG$1001,0),0), INDEX($AN$1004:$BO$1004,1,MATCH(COLUMNS($AN$1006:AU1006),$AN$1006:$BO$1006,0)))),"Fix")))</f>
        <v>0</v>
      </c>
      <c r="J157" s="4">
        <f>IF(OR(INDEX($AH$2:$AH$1001,MATCH(ROWS($AG$2:AG157),$AG$2:$AG$1001,0),1)&gt;=100000,INDEX($AN$1005:$BO$1005,1,MATCH(COLUMNS($AN$1006:AV1006),$AN$1006:$BO$1006,0))&gt;=100000), " ",IF(INDEX($AN$2:$BO$1001,MATCH(ROWS($AG$2:AG157),$AG$2:$AG$1001,0),MATCH(COLUMNS($AN$1006:AV1006),$AN$1006:$BO$1006,0)), HYPERLINK("#",""), HYPERLINK(CONCATENATE("#Metadata!", ADDRESS(INDEX($AI$2:$AI$1001,MATCH(ROWS($AG$2:AG157),$AG$2:$AG$1001,0),0), INDEX($AN$1004:$BO$1004,1,MATCH(COLUMNS($AN$1006:AV1006),$AN$1006:$BO$1006,0)))),"Fix")))</f>
        <v>0</v>
      </c>
      <c r="K157" s="4">
        <f>IF(OR(INDEX($AH$2:$AH$1001,MATCH(ROWS($AG$2:AG157),$AG$2:$AG$1001,0),1)&gt;=100000,INDEX($AN$1005:$BO$1005,1,MATCH(COLUMNS($AN$1006:AW1006),$AN$1006:$BO$1006,0))&gt;=100000), " ",IF(INDEX($AN$2:$BO$1001,MATCH(ROWS($AG$2:AG157),$AG$2:$AG$1001,0),MATCH(COLUMNS($AN$1006:AW1006),$AN$1006:$BO$1006,0)), HYPERLINK("#",""), HYPERLINK(CONCATENATE("#Metadata!", ADDRESS(INDEX($AI$2:$AI$1001,MATCH(ROWS($AG$2:AG157),$AG$2:$AG$1001,0),0), INDEX($AN$1004:$BO$1004,1,MATCH(COLUMNS($AN$1006:AW1006),$AN$1006:$BO$1006,0)))),"Fix")))</f>
        <v>0</v>
      </c>
      <c r="L157" s="4">
        <f>IF(OR(INDEX($AH$2:$AH$1001,MATCH(ROWS($AG$2:AG157),$AG$2:$AG$1001,0),1)&gt;=100000,INDEX($AN$1005:$BO$1005,1,MATCH(COLUMNS($AN$1006:AX1006),$AN$1006:$BO$1006,0))&gt;=100000), " ",IF(INDEX($AN$2:$BO$1001,MATCH(ROWS($AG$2:AG157),$AG$2:$AG$1001,0),MATCH(COLUMNS($AN$1006:AX1006),$AN$1006:$BO$1006,0)), HYPERLINK("#",""), HYPERLINK(CONCATENATE("#Metadata!", ADDRESS(INDEX($AI$2:$AI$1001,MATCH(ROWS($AG$2:AG157),$AG$2:$AG$1001,0),0), INDEX($AN$1004:$BO$1004,1,MATCH(COLUMNS($AN$1006:AX1006),$AN$1006:$BO$1006,0)))),"Fix")))</f>
        <v>0</v>
      </c>
      <c r="M157" s="4">
        <f>IF(OR(INDEX($AH$2:$AH$1001,MATCH(ROWS($AG$2:AG157),$AG$2:$AG$1001,0),1)&gt;=100000,INDEX($AN$1005:$BO$1005,1,MATCH(COLUMNS($AN$1006:AY1006),$AN$1006:$BO$1006,0))&gt;=100000), " ",IF(INDEX($AN$2:$BO$1001,MATCH(ROWS($AG$2:AG157),$AG$2:$AG$1001,0),MATCH(COLUMNS($AN$1006:AY1006),$AN$1006:$BO$1006,0)), HYPERLINK("#",""), HYPERLINK(CONCATENATE("#Metadata!", ADDRESS(INDEX($AI$2:$AI$1001,MATCH(ROWS($AG$2:AG157),$AG$2:$AG$1001,0),0), INDEX($AN$1004:$BO$1004,1,MATCH(COLUMNS($AN$1006:AY1006),$AN$1006:$BO$1006,0)))),"Fix")))</f>
        <v>0</v>
      </c>
      <c r="N157" s="4">
        <f>IF(OR(INDEX($AH$2:$AH$1001,MATCH(ROWS($AG$2:AG157),$AG$2:$AG$1001,0),1)&gt;=100000,INDEX($AN$1005:$BO$1005,1,MATCH(COLUMNS($AN$1006:AZ1006),$AN$1006:$BO$1006,0))&gt;=100000), " ",IF(INDEX($AN$2:$BO$1001,MATCH(ROWS($AG$2:AG157),$AG$2:$AG$1001,0),MATCH(COLUMNS($AN$1006:AZ1006),$AN$1006:$BO$1006,0)), HYPERLINK("#",""), HYPERLINK(CONCATENATE("#Metadata!", ADDRESS(INDEX($AI$2:$AI$1001,MATCH(ROWS($AG$2:AG157),$AG$2:$AG$1001,0),0), INDEX($AN$1004:$BO$1004,1,MATCH(COLUMNS($AN$1006:AZ1006),$AN$1006:$BO$1006,0)))),"Fix")))</f>
        <v>0</v>
      </c>
      <c r="O157" s="4">
        <f>IF(OR(INDEX($AH$2:$AH$1001,MATCH(ROWS($AG$2:AG157),$AG$2:$AG$1001,0),1)&gt;=100000,INDEX($AN$1005:$BO$1005,1,MATCH(COLUMNS($AN$1006:BA1006),$AN$1006:$BO$1006,0))&gt;=100000), " ",IF(INDEX($AN$2:$BO$1001,MATCH(ROWS($AG$2:AG157),$AG$2:$AG$1001,0),MATCH(COLUMNS($AN$1006:BA1006),$AN$1006:$BO$1006,0)), HYPERLINK("#",""), HYPERLINK(CONCATENATE("#Metadata!", ADDRESS(INDEX($AI$2:$AI$1001,MATCH(ROWS($AG$2:AG157),$AG$2:$AG$1001,0),0), INDEX($AN$1004:$BO$1004,1,MATCH(COLUMNS($AN$1006:BA1006),$AN$1006:$BO$1006,0)))),"Fix")))</f>
        <v>0</v>
      </c>
      <c r="P157" s="4">
        <f>IF(OR(INDEX($AH$2:$AH$1001,MATCH(ROWS($AG$2:AG157),$AG$2:$AG$1001,0),1)&gt;=100000,INDEX($AN$1005:$BO$1005,1,MATCH(COLUMNS($AN$1006:BB1006),$AN$1006:$BO$1006,0))&gt;=100000), " ",IF(INDEX($AN$2:$BO$1001,MATCH(ROWS($AG$2:AG157),$AG$2:$AG$1001,0),MATCH(COLUMNS($AN$1006:BB1006),$AN$1006:$BO$1006,0)), HYPERLINK("#",""), HYPERLINK(CONCATENATE("#Metadata!", ADDRESS(INDEX($AI$2:$AI$1001,MATCH(ROWS($AG$2:AG157),$AG$2:$AG$1001,0),0), INDEX($AN$1004:$BO$1004,1,MATCH(COLUMNS($AN$1006:BB1006),$AN$1006:$BO$1006,0)))),"Fix")))</f>
        <v>0</v>
      </c>
      <c r="Q157" s="4">
        <f>IF(OR(INDEX($AH$2:$AH$1001,MATCH(ROWS($AG$2:AG157),$AG$2:$AG$1001,0),1)&gt;=100000,INDEX($AN$1005:$BO$1005,1,MATCH(COLUMNS($AN$1006:BC1006),$AN$1006:$BO$1006,0))&gt;=100000), " ",IF(INDEX($AN$2:$BO$1001,MATCH(ROWS($AG$2:AG157),$AG$2:$AG$1001,0),MATCH(COLUMNS($AN$1006:BC1006),$AN$1006:$BO$1006,0)), HYPERLINK("#",""), HYPERLINK(CONCATENATE("#Metadata!", ADDRESS(INDEX($AI$2:$AI$1001,MATCH(ROWS($AG$2:AG157),$AG$2:$AG$1001,0),0), INDEX($AN$1004:$BO$1004,1,MATCH(COLUMNS($AN$1006:BC1006),$AN$1006:$BO$1006,0)))),"Fix")))</f>
        <v>0</v>
      </c>
      <c r="R157" s="4">
        <f>IF(OR(INDEX($AH$2:$AH$1001,MATCH(ROWS($AG$2:AG157),$AG$2:$AG$1001,0),1)&gt;=100000,INDEX($AN$1005:$BO$1005,1,MATCH(COLUMNS($AN$1006:BD1006),$AN$1006:$BO$1006,0))&gt;=100000), " ",IF(INDEX($AN$2:$BO$1001,MATCH(ROWS($AG$2:AG157),$AG$2:$AG$1001,0),MATCH(COLUMNS($AN$1006:BD1006),$AN$1006:$BO$1006,0)), HYPERLINK("#",""), HYPERLINK(CONCATENATE("#Metadata!", ADDRESS(INDEX($AI$2:$AI$1001,MATCH(ROWS($AG$2:AG157),$AG$2:$AG$1001,0),0), INDEX($AN$1004:$BO$1004,1,MATCH(COLUMNS($AN$1006:BD1006),$AN$1006:$BO$1006,0)))),"Fix")))</f>
        <v>0</v>
      </c>
      <c r="S157" s="4">
        <f>IF(OR(INDEX($AH$2:$AH$1001,MATCH(ROWS($AG$2:AG157),$AG$2:$AG$1001,0),1)&gt;=100000,INDEX($AN$1005:$BO$1005,1,MATCH(COLUMNS($AN$1006:BE1006),$AN$1006:$BO$1006,0))&gt;=100000), " ",IF(INDEX($AN$2:$BO$1001,MATCH(ROWS($AG$2:AG157),$AG$2:$AG$1001,0),MATCH(COLUMNS($AN$1006:BE1006),$AN$1006:$BO$1006,0)), HYPERLINK("#",""), HYPERLINK(CONCATENATE("#Metadata!", ADDRESS(INDEX($AI$2:$AI$1001,MATCH(ROWS($AG$2:AG157),$AG$2:$AG$1001,0),0), INDEX($AN$1004:$BO$1004,1,MATCH(COLUMNS($AN$1006:BE1006),$AN$1006:$BO$1006,0)))),"Fix")))</f>
        <v>0</v>
      </c>
      <c r="T157" s="4">
        <f>IF(OR(INDEX($AH$2:$AH$1001,MATCH(ROWS($AG$2:AG157),$AG$2:$AG$1001,0),1)&gt;=100000,INDEX($AN$1005:$BO$1005,1,MATCH(COLUMNS($AN$1006:BF1006),$AN$1006:$BO$1006,0))&gt;=100000), " ",IF(INDEX($AN$2:$BO$1001,MATCH(ROWS($AG$2:AG157),$AG$2:$AG$1001,0),MATCH(COLUMNS($AN$1006:BF1006),$AN$1006:$BO$1006,0)), HYPERLINK("#",""), HYPERLINK(CONCATENATE("#Metadata!", ADDRESS(INDEX($AI$2:$AI$1001,MATCH(ROWS($AG$2:AG157),$AG$2:$AG$1001,0),0), INDEX($AN$1004:$BO$1004,1,MATCH(COLUMNS($AN$1006:BF1006),$AN$1006:$BO$1006,0)))),"Fix")))</f>
        <v>0</v>
      </c>
      <c r="U157" s="4">
        <f>IF(OR(INDEX($AH$2:$AH$1001,MATCH(ROWS($AG$2:AG157),$AG$2:$AG$1001,0),1)&gt;=100000,INDEX($AN$1005:$BO$1005,1,MATCH(COLUMNS($AN$1006:BG1006),$AN$1006:$BO$1006,0))&gt;=100000), " ",IF(INDEX($AN$2:$BO$1001,MATCH(ROWS($AG$2:AG157),$AG$2:$AG$1001,0),MATCH(COLUMNS($AN$1006:BG1006),$AN$1006:$BO$1006,0)), HYPERLINK("#",""), HYPERLINK(CONCATENATE("#Metadata!", ADDRESS(INDEX($AI$2:$AI$1001,MATCH(ROWS($AG$2:AG157),$AG$2:$AG$1001,0),0), INDEX($AN$1004:$BO$1004,1,MATCH(COLUMNS($AN$1006:BG1006),$AN$1006:$BO$1006,0)))),"Fix")))</f>
        <v>0</v>
      </c>
      <c r="V157" s="4">
        <f>IF(OR(INDEX($AH$2:$AH$1001,MATCH(ROWS($AG$2:AG157),$AG$2:$AG$1001,0),1)&gt;=100000,INDEX($AN$1005:$BO$1005,1,MATCH(COLUMNS($AN$1006:BH1006),$AN$1006:$BO$1006,0))&gt;=100000), " ",IF(INDEX($AN$2:$BO$1001,MATCH(ROWS($AG$2:AG157),$AG$2:$AG$1001,0),MATCH(COLUMNS($AN$1006:BH1006),$AN$1006:$BO$1006,0)), HYPERLINK("#",""), HYPERLINK(CONCATENATE("#Metadata!", ADDRESS(INDEX($AI$2:$AI$1001,MATCH(ROWS($AG$2:AG157),$AG$2:$AG$1001,0),0), INDEX($AN$1004:$BO$1004,1,MATCH(COLUMNS($AN$1006:BH1006),$AN$1006:$BO$1006,0)))),"Fix")))</f>
        <v>0</v>
      </c>
      <c r="W157" s="4">
        <f>IF(OR(INDEX($AH$2:$AH$1001,MATCH(ROWS($AG$2:AG157),$AG$2:$AG$1001,0),1)&gt;=100000,INDEX($AN$1005:$BO$1005,1,MATCH(COLUMNS($AN$1006:BI1006),$AN$1006:$BO$1006,0))&gt;=100000), " ",IF(INDEX($AN$2:$BO$1001,MATCH(ROWS($AG$2:AG157),$AG$2:$AG$1001,0),MATCH(COLUMNS($AN$1006:BI1006),$AN$1006:$BO$1006,0)), HYPERLINK("#",""), HYPERLINK(CONCATENATE("#Metadata!", ADDRESS(INDEX($AI$2:$AI$1001,MATCH(ROWS($AG$2:AG157),$AG$2:$AG$1001,0),0), INDEX($AN$1004:$BO$1004,1,MATCH(COLUMNS($AN$1006:BI1006),$AN$1006:$BO$1006,0)))),"Fix")))</f>
        <v>0</v>
      </c>
      <c r="X157" s="4">
        <f>IF(OR(INDEX($AH$2:$AH$1001,MATCH(ROWS($AG$2:AG157),$AG$2:$AG$1001,0),1)&gt;=100000,INDEX($AN$1005:$BO$1005,1,MATCH(COLUMNS($AN$1006:BJ1006),$AN$1006:$BO$1006,0))&gt;=100000), " ",IF(INDEX($AN$2:$BO$1001,MATCH(ROWS($AG$2:AG157),$AG$2:$AG$1001,0),MATCH(COLUMNS($AN$1006:BJ1006),$AN$1006:$BO$1006,0)), HYPERLINK("#",""), HYPERLINK(CONCATENATE("#Metadata!", ADDRESS(INDEX($AI$2:$AI$1001,MATCH(ROWS($AG$2:AG157),$AG$2:$AG$1001,0),0), INDEX($AN$1004:$BO$1004,1,MATCH(COLUMNS($AN$1006:BJ1006),$AN$1006:$BO$1006,0)))),"Fix")))</f>
        <v>0</v>
      </c>
      <c r="Y157" s="4">
        <f>IF(OR(INDEX($AH$2:$AH$1001,MATCH(ROWS($AG$2:AG157),$AG$2:$AG$1001,0),1)&gt;=100000,INDEX($AN$1005:$BO$1005,1,MATCH(COLUMNS($AN$1006:BK1006),$AN$1006:$BO$1006,0))&gt;=100000), " ",IF(INDEX($AN$2:$BO$1001,MATCH(ROWS($AG$2:AG157),$AG$2:$AG$1001,0),MATCH(COLUMNS($AN$1006:BK1006),$AN$1006:$BO$1006,0)), HYPERLINK("#",""), HYPERLINK(CONCATENATE("#Metadata!", ADDRESS(INDEX($AI$2:$AI$1001,MATCH(ROWS($AG$2:AG157),$AG$2:$AG$1001,0),0), INDEX($AN$1004:$BO$1004,1,MATCH(COLUMNS($AN$1006:BK1006),$AN$1006:$BO$1006,0)))),"Fix")))</f>
        <v>0</v>
      </c>
      <c r="Z157" s="4">
        <f>IF(OR(INDEX($AH$2:$AH$1001,MATCH(ROWS($AG$2:AG157),$AG$2:$AG$1001,0),1)&gt;=100000,INDEX($AN$1005:$BO$1005,1,MATCH(COLUMNS($AN$1006:BL1006),$AN$1006:$BO$1006,0))&gt;=100000), " ",IF(INDEX($AN$2:$BO$1001,MATCH(ROWS($AG$2:AG157),$AG$2:$AG$1001,0),MATCH(COLUMNS($AN$1006:BL1006),$AN$1006:$BO$1006,0)), HYPERLINK("#",""), HYPERLINK(CONCATENATE("#Metadata!", ADDRESS(INDEX($AI$2:$AI$1001,MATCH(ROWS($AG$2:AG157),$AG$2:$AG$1001,0),0), INDEX($AN$1004:$BO$1004,1,MATCH(COLUMNS($AN$1006:BL1006),$AN$1006:$BO$1006,0)))),"Fix")))</f>
        <v>0</v>
      </c>
      <c r="AA157" s="4">
        <f>IF(OR(INDEX($AH$2:$AH$1001,MATCH(ROWS($AG$2:AG157),$AG$2:$AG$1001,0),1)&gt;=100000,INDEX($AN$1005:$BO$1005,1,MATCH(COLUMNS($AN$1006:BM1006),$AN$1006:$BO$1006,0))&gt;=100000), " ",IF(INDEX($AN$2:$BO$1001,MATCH(ROWS($AG$2:AG157),$AG$2:$AG$1001,0),MATCH(COLUMNS($AN$1006:BM1006),$AN$1006:$BO$1006,0)), HYPERLINK("#",""), HYPERLINK(CONCATENATE("#Metadata!", ADDRESS(INDEX($AI$2:$AI$1001,MATCH(ROWS($AG$2:AG157),$AG$2:$AG$1001,0),0), INDEX($AN$1004:$BO$1004,1,MATCH(COLUMNS($AN$1006:BM1006),$AN$1006:$BO$1006,0)))),"Fix")))</f>
        <v>0</v>
      </c>
      <c r="AB157" s="4">
        <f>IF(OR(INDEX($AH$2:$AH$1001,MATCH(ROWS($AG$2:AG157),$AG$2:$AG$1001,0),1)&gt;=100000,INDEX($AN$1005:$BO$1005,1,MATCH(COLUMNS($AN$1006:BN1006),$AN$1006:$BO$1006,0))&gt;=100000), " ",IF(INDEX($AN$2:$BO$1001,MATCH(ROWS($AG$2:AG157),$AG$2:$AG$1001,0),MATCH(COLUMNS($AN$1006:BN1006),$AN$1006:$BO$1006,0)), HYPERLINK("#",""), HYPERLINK(CONCATENATE("#Metadata!", ADDRESS(INDEX($AI$2:$AI$1001,MATCH(ROWS($AG$2:AG157),$AG$2:$AG$1001,0),0), INDEX($AN$1004:$BO$1004,1,MATCH(COLUMNS($AN$1006:BN1006),$AN$1006:$BO$1006,0)))),"Fix")))</f>
        <v>0</v>
      </c>
      <c r="AC157" s="4">
        <f>IF(OR(INDEX($AH$2:$AH$1001,MATCH(ROWS($AG$2:AG157),$AG$2:$AG$1001,0),1)&gt;=100000,INDEX($AN$1005:$BO$1005,1,MATCH(COLUMNS($AN$1006:BO1006),$AN$1006:$BO$1006,0))&gt;=100000), " ",IF(INDEX($AN$2:$BO$1001,MATCH(ROWS($AG$2:AG157),$AG$2:$AG$1001,0),MATCH(COLUMNS($AN$1006:BO1006),$AN$1006:$BO$1006,0)), HYPERLINK("#",""), HYPERLINK(CONCATENATE("#Metadata!", ADDRESS(INDEX($AI$2:$AI$1001,MATCH(ROWS($AG$2:AG157),$AG$2:$AG$1001,0),0), INDEX($AN$1004:$BO$1004,1,MATCH(COLUMNS($AN$1006:BO1006),$AN$1006:$BO$1006,0)))),"Fix")))</f>
        <v>0</v>
      </c>
      <c r="AG157">
        <v>0</v>
      </c>
      <c r="AH157">
        <v>0</v>
      </c>
      <c r="AI157">
        <v>0</v>
      </c>
      <c r="AJ157">
        <f>IF(AK157,TRUE,AND(AN157:BO157))</f>
        <v>0</v>
      </c>
      <c r="AK157">
        <f>COUNTBLANK(Metadata!B157:AC157)=COLUMNS(Metadata!B157:AC157)</f>
        <v>0</v>
      </c>
      <c r="AL157">
        <v>0</v>
      </c>
      <c r="AN157">
        <f>AND(IF(Metadata!B157="",FALSE,TRUE),COUNTIF(Metadata!B:B, Metadata!B157) = 1,NOT(ISERROR(SUMPRODUCT(SEARCH(MID(Metadata!B157,ROW(INDIRECT("1:"&amp;LEN(Metadata!B157))), 1),"0123456789abcdefghijklmnopqrstuvwxyzABCDEFGHIJKLMNOPQRSTUVWXYZ.")))))</f>
        <v>0</v>
      </c>
      <c r="AO157">
        <f>IF(Metadata!C157="",FALSE,TRUE)</f>
        <v>0</v>
      </c>
      <c r="AP157">
        <f>IF(Metadata!D157="",FALSE,TRUE)</f>
        <v>0</v>
      </c>
      <c r="AQ157">
        <f>OR(AND(IF(Metadata!E157="",FALSE,TRUE),OR(exact(Metadata!E157,"not collected"),exact(Metadata!E157,"not provided"),exact(Metadata!E157,"restricted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R157">
        <f>IF(Metadata!F157="",FALSE,TRUE)</f>
        <v>0</v>
      </c>
      <c r="AS157">
        <f>OR(AND(IF(Metadata!G157="",FALSE,TRUE),OR(exact(Metadata!G157,"not collected"),exact(Metadata!G157,"not provided"))),AND(IF(Metadata!G157="",FALSE,TRUE),OR(exact(Metadata!G157,"TRUE"),exact(Metadata!G157,"FALSE"))))</f>
        <v>0</v>
      </c>
      <c r="AT157">
        <f>OR(AND(IF(Metadata!H157="",FALSE,TRUE),OR(exact(Metadata!H157,"not collected"),exact(Metadata!H157,"not provided"),exact(Metadata!H157,"restricted access"))),AND(IF(Metadata!H157="",FALSE,ISNUMBER(VALUE(Metadata!H157))),Metadata!H157&gt;=-413.0))</f>
        <v>0</v>
      </c>
      <c r="AU157">
        <f>AND(IF(Metadata!I157="",FALSE,TRUE),exact(Metadata!I157,"meters"))</f>
        <v>0</v>
      </c>
      <c r="AV157">
        <f>AND(IF(Metadata!J157="",FALSE,TRUE),OR(exact(Metadata!J157,"Host-associated"),exact(Metadata!J157,"Free-living")))</f>
        <v>0</v>
      </c>
      <c r="AW157">
        <f>AND(IF(Metadata!K157="",FALSE,TRUE),OR(exact(Metadata!K157,"Animal"),exact(Metadata!K157,"Fungus"),exact(Metadata!K157,"Plant"),exact(Metadata!K157,"Saline"),exact(Metadata!K157,"Non-saline")))</f>
        <v>0</v>
      </c>
      <c r="AX157">
        <f>AND(IF(Metadata!L157="",FALSE,TRUE),OR(exact(Metadata!L157,"Plant secretion"),exact(Metadata!L157,"Plant rhizosphere"),exact(Metadata!L157,"Plant surface"),exact(Metadata!L157,"Plant corpus"),exact(Metadata!L157,"Fungus surface"),exact(Metadata!L157,"Fungus corpus"),exact(Metadata!L157,"Animal surface"),exact(Metadata!L157,"Animal proximal gut"),exact(Metadata!L157,"Animal corpus"),exact(Metadata!L157,"Animal distal gut"),exact(Metadata!L157,"Animal secretion"),exact(Metadata!L157,"Sub-surface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Y157">
        <f>IF(Metadata!M157="",FALSE,TRUE)</f>
        <v>0</v>
      </c>
      <c r="AZ157">
        <f>IF(Metadata!N157="",FALSE,TRUE)</f>
        <v>0</v>
      </c>
      <c r="BA157">
        <f>IF(Metadata!O157="",FALSE,TRUE)</f>
        <v>0</v>
      </c>
      <c r="BB157">
        <f>OR(AND(IF(Metadata!P157="",FALSE,TRUE),OR(exact(Metadata!P157,"not collected"),exact(Metadata!P157,"not provided"),exact(Metadata!P157,"restricted access"))),AND(IF(Metadata!P157="",FALSE,TRUE),OR(exact(Metadata!P157,"air"),exact(Metadata!P157,"built environment"),exact(Metadata!P157,"host-associated"),exact(Metadata!P157,"human-associated"),exact(Metadata!P157,"human-skin"),exact(Metadata!P157,"human-oral"),exact(Metadata!P157,"human-gut"),exact(Metadata!P157,"human-vaginal"),exact(Metadata!P157,"microbial mat/biofilm"),exact(Metadata!P157,"misc environment"),exact(Metadata!P157,"plant-associated"),exact(Metadata!P157,"sediment"),exact(Metadata!P157,"soil"),exact(Metadata!P157,"wastewater/sludge"),exact(Metadata!P157,"water"))))</f>
        <v>0</v>
      </c>
      <c r="BC157">
        <f>IF(Metadata!Q157="",FALSE,TRUE)</f>
        <v>0</v>
      </c>
      <c r="BD157">
        <f>IF(Metadata!R157="",FALSE,TRUE)</f>
        <v>0</v>
      </c>
      <c r="BE157">
        <f>OR(AND(IF(Metadata!S157="",FALSE,TRUE),OR(exact(Metadata!S157,"not collected"),exact(Metadata!S157,"not provided"),exact(Metadata!S157,"restricted access"))),AND(IF(Metadata!S157="",FALSE,ISNUMBER(VALUE(Metadata!S157))),Metadata!S157&gt;=-90.00,Metadata!S157&lt;=90.00))</f>
        <v>0</v>
      </c>
      <c r="BF157">
        <f>AND(IF(Metadata!T157="",FALSE,TRUE),exact(Metadata!T157,"Decimal degrees"))</f>
        <v>0</v>
      </c>
      <c r="BG157">
        <f>OR(AND(IF(Metadata!U157="",FALSE,TRUE),OR(exact(Metadata!U157,"not collected"),exact(Metadata!U157,"not provided"),exact(Metadata!U157,"restricted access"))),AND(IF(Metadata!U157="",FALSE,ISNUMBER(VALUE(Metadata!U157))),Metadata!U157&gt;=-180.00,Metadata!U157&lt;=180.00))</f>
        <v>0</v>
      </c>
      <c r="BH157">
        <f>AND(IF(Metadata!V157="",FALSE,TRUE),exact(Metadata!V157,"Decimal degrees"))</f>
        <v>0</v>
      </c>
      <c r="BI157">
        <f>IF(Metadata!W157="",FALSE,TRUE)</f>
        <v>0</v>
      </c>
      <c r="BJ157">
        <f>OR(AND(IF(Metadata!X157="",FALSE,TRUE),OR(exact(Metadata!X157,"not collected"),exact(Metadata!X157,"not provided"),exact(Metadata!X157,"restricted access"))),AND(IF(Metadata!X157="",FALSE,TRUE),OR(exact(Metadata!X157,"TRUE"),exact(Metadata!X157,"FALSE"))))</f>
        <v>0</v>
      </c>
      <c r="BK157">
        <f>AND(IF(Metadata!Y157="",FALSE,TRUE),exact(Metadata!Y157,"other"))</f>
        <v>0</v>
      </c>
      <c r="BL157">
        <f>IF(Metadata!Z157="",FALSE,TRUE)</f>
        <v>0</v>
      </c>
      <c r="BM157">
        <f>OR(AND(IF(Metadata!AA157="",FALSE,TRUE),OR(exact(Metadata!AA157,"not collected"),exact(Metadata!AA157,"not provided"))),AND(IF(Metadata!AA157="",FALSE,IF(ISERROR(INT(Metadata!AA157)),FALSE,INT(Metadata!AA157)=Metadata!AA157)),Metadata!AA157&gt;0))</f>
        <v>0</v>
      </c>
      <c r="BN157">
        <f>AND(IF(Metadata!AB157="",FALSE,TRUE),exact(Metadata!AB157,"Not applicable"))</f>
        <v>0</v>
      </c>
      <c r="BO157">
        <f>IF(Metadata!AC157="",FALSE,TRUE)</f>
        <v>0</v>
      </c>
    </row>
    <row r="158" spans="1:67">
      <c r="A158" s="5">
        <f>IF(B158=" "," ",HYPERLINK(CONCATENATE("#metadata!",ADDRESS(INDEX($AI$2:$AI$1001,MATCH(ROWS($AG$2:AG158),$AG$2:$AG$1001,0),0),1)),INDEX($AL$2:$AL$1001,MATCH(ROWS($AG$2:AG158),$AG$2:$AG$1001,0),0)))</f>
        <v>0</v>
      </c>
      <c r="B158" s="4">
        <f>IF(OR(INDEX($AH$2:$AH$1001,MATCH(ROWS($AG$2:AG158),$AG$2:$AG$1001,0),1)&gt;=100000,INDEX($AN$1005:$BO$1005,1,MATCH(COLUMNS($AN$1006:AN1006),$AN$1006:$BO$1006,0))&gt;=100000), " ",IF(INDEX($AN$2:$BO$1001,MATCH(ROWS($AG$2:AG158),$AG$2:$AG$1001,0),MATCH(COLUMNS($AN$1006:AN1006),$AN$1006:$BO$1006,0)), HYPERLINK("#",""), HYPERLINK(CONCATENATE("#Metadata!", ADDRESS(INDEX($AI$2:$AI$1001,MATCH(ROWS($AG$2:AG158),$AG$2:$AG$1001,0),0), INDEX($AN$1004:$BO$1004,1,MATCH(COLUMNS($AN$1006:AN1006),$AN$1006:$BO$1006,0)))),"Fix")))</f>
        <v>0</v>
      </c>
      <c r="C158" s="4">
        <f>IF(OR(INDEX($AH$2:$AH$1001,MATCH(ROWS($AG$2:AG158),$AG$2:$AG$1001,0),1)&gt;=100000,INDEX($AN$1005:$BO$1005,1,MATCH(COLUMNS($AN$1006:AO1006),$AN$1006:$BO$1006,0))&gt;=100000), " ",IF(INDEX($AN$2:$BO$1001,MATCH(ROWS($AG$2:AG158),$AG$2:$AG$1001,0),MATCH(COLUMNS($AN$1006:AO1006),$AN$1006:$BO$1006,0)), HYPERLINK("#",""), HYPERLINK(CONCATENATE("#Metadata!", ADDRESS(INDEX($AI$2:$AI$1001,MATCH(ROWS($AG$2:AG158),$AG$2:$AG$1001,0),0), INDEX($AN$1004:$BO$1004,1,MATCH(COLUMNS($AN$1006:AO1006),$AN$1006:$BO$1006,0)))),"Fix")))</f>
        <v>0</v>
      </c>
      <c r="D158" s="4">
        <f>IF(OR(INDEX($AH$2:$AH$1001,MATCH(ROWS($AG$2:AG158),$AG$2:$AG$1001,0),1)&gt;=100000,INDEX($AN$1005:$BO$1005,1,MATCH(COLUMNS($AN$1006:AP1006),$AN$1006:$BO$1006,0))&gt;=100000), " ",IF(INDEX($AN$2:$BO$1001,MATCH(ROWS($AG$2:AG158),$AG$2:$AG$1001,0),MATCH(COLUMNS($AN$1006:AP1006),$AN$1006:$BO$1006,0)), HYPERLINK("#",""), HYPERLINK(CONCATENATE("#Metadata!", ADDRESS(INDEX($AI$2:$AI$1001,MATCH(ROWS($AG$2:AG158),$AG$2:$AG$1001,0),0), INDEX($AN$1004:$BO$1004,1,MATCH(COLUMNS($AN$1006:AP1006),$AN$1006:$BO$1006,0)))),"Fix")))</f>
        <v>0</v>
      </c>
      <c r="E158" s="4">
        <f>IF(OR(INDEX($AH$2:$AH$1001,MATCH(ROWS($AG$2:AG158),$AG$2:$AG$1001,0),1)&gt;=100000,INDEX($AN$1005:$BO$1005,1,MATCH(COLUMNS($AN$1006:AQ1006),$AN$1006:$BO$1006,0))&gt;=100000), " ",IF(INDEX($AN$2:$BO$1001,MATCH(ROWS($AG$2:AG158),$AG$2:$AG$1001,0),MATCH(COLUMNS($AN$1006:AQ1006),$AN$1006:$BO$1006,0)), HYPERLINK("#",""), HYPERLINK(CONCATENATE("#Metadata!", ADDRESS(INDEX($AI$2:$AI$1001,MATCH(ROWS($AG$2:AG158),$AG$2:$AG$1001,0),0), INDEX($AN$1004:$BO$1004,1,MATCH(COLUMNS($AN$1006:AQ1006),$AN$1006:$BO$1006,0)))),"Fix")))</f>
        <v>0</v>
      </c>
      <c r="F158" s="4">
        <f>IF(OR(INDEX($AH$2:$AH$1001,MATCH(ROWS($AG$2:AG158),$AG$2:$AG$1001,0),1)&gt;=100000,INDEX($AN$1005:$BO$1005,1,MATCH(COLUMNS($AN$1006:AR1006),$AN$1006:$BO$1006,0))&gt;=100000), " ",IF(INDEX($AN$2:$BO$1001,MATCH(ROWS($AG$2:AG158),$AG$2:$AG$1001,0),MATCH(COLUMNS($AN$1006:AR1006),$AN$1006:$BO$1006,0)), HYPERLINK("#",""), HYPERLINK(CONCATENATE("#Metadata!", ADDRESS(INDEX($AI$2:$AI$1001,MATCH(ROWS($AG$2:AG158),$AG$2:$AG$1001,0),0), INDEX($AN$1004:$BO$1004,1,MATCH(COLUMNS($AN$1006:AR1006),$AN$1006:$BO$1006,0)))),"Fix")))</f>
        <v>0</v>
      </c>
      <c r="G158" s="4">
        <f>IF(OR(INDEX($AH$2:$AH$1001,MATCH(ROWS($AG$2:AG158),$AG$2:$AG$1001,0),1)&gt;=100000,INDEX($AN$1005:$BO$1005,1,MATCH(COLUMNS($AN$1006:AS1006),$AN$1006:$BO$1006,0))&gt;=100000), " ",IF(INDEX($AN$2:$BO$1001,MATCH(ROWS($AG$2:AG158),$AG$2:$AG$1001,0),MATCH(COLUMNS($AN$1006:AS1006),$AN$1006:$BO$1006,0)), HYPERLINK("#",""), HYPERLINK(CONCATENATE("#Metadata!", ADDRESS(INDEX($AI$2:$AI$1001,MATCH(ROWS($AG$2:AG158),$AG$2:$AG$1001,0),0), INDEX($AN$1004:$BO$1004,1,MATCH(COLUMNS($AN$1006:AS1006),$AN$1006:$BO$1006,0)))),"Fix")))</f>
        <v>0</v>
      </c>
      <c r="H158" s="4">
        <f>IF(OR(INDEX($AH$2:$AH$1001,MATCH(ROWS($AG$2:AG158),$AG$2:$AG$1001,0),1)&gt;=100000,INDEX($AN$1005:$BO$1005,1,MATCH(COLUMNS($AN$1006:AT1006),$AN$1006:$BO$1006,0))&gt;=100000), " ",IF(INDEX($AN$2:$BO$1001,MATCH(ROWS($AG$2:AG158),$AG$2:$AG$1001,0),MATCH(COLUMNS($AN$1006:AT1006),$AN$1006:$BO$1006,0)), HYPERLINK("#",""), HYPERLINK(CONCATENATE("#Metadata!", ADDRESS(INDEX($AI$2:$AI$1001,MATCH(ROWS($AG$2:AG158),$AG$2:$AG$1001,0),0), INDEX($AN$1004:$BO$1004,1,MATCH(COLUMNS($AN$1006:AT1006),$AN$1006:$BO$1006,0)))),"Fix")))</f>
        <v>0</v>
      </c>
      <c r="I158" s="4">
        <f>IF(OR(INDEX($AH$2:$AH$1001,MATCH(ROWS($AG$2:AG158),$AG$2:$AG$1001,0),1)&gt;=100000,INDEX($AN$1005:$BO$1005,1,MATCH(COLUMNS($AN$1006:AU1006),$AN$1006:$BO$1006,0))&gt;=100000), " ",IF(INDEX($AN$2:$BO$1001,MATCH(ROWS($AG$2:AG158),$AG$2:$AG$1001,0),MATCH(COLUMNS($AN$1006:AU1006),$AN$1006:$BO$1006,0)), HYPERLINK("#",""), HYPERLINK(CONCATENATE("#Metadata!", ADDRESS(INDEX($AI$2:$AI$1001,MATCH(ROWS($AG$2:AG158),$AG$2:$AG$1001,0),0), INDEX($AN$1004:$BO$1004,1,MATCH(COLUMNS($AN$1006:AU1006),$AN$1006:$BO$1006,0)))),"Fix")))</f>
        <v>0</v>
      </c>
      <c r="J158" s="4">
        <f>IF(OR(INDEX($AH$2:$AH$1001,MATCH(ROWS($AG$2:AG158),$AG$2:$AG$1001,0),1)&gt;=100000,INDEX($AN$1005:$BO$1005,1,MATCH(COLUMNS($AN$1006:AV1006),$AN$1006:$BO$1006,0))&gt;=100000), " ",IF(INDEX($AN$2:$BO$1001,MATCH(ROWS($AG$2:AG158),$AG$2:$AG$1001,0),MATCH(COLUMNS($AN$1006:AV1006),$AN$1006:$BO$1006,0)), HYPERLINK("#",""), HYPERLINK(CONCATENATE("#Metadata!", ADDRESS(INDEX($AI$2:$AI$1001,MATCH(ROWS($AG$2:AG158),$AG$2:$AG$1001,0),0), INDEX($AN$1004:$BO$1004,1,MATCH(COLUMNS($AN$1006:AV1006),$AN$1006:$BO$1006,0)))),"Fix")))</f>
        <v>0</v>
      </c>
      <c r="K158" s="4">
        <f>IF(OR(INDEX($AH$2:$AH$1001,MATCH(ROWS($AG$2:AG158),$AG$2:$AG$1001,0),1)&gt;=100000,INDEX($AN$1005:$BO$1005,1,MATCH(COLUMNS($AN$1006:AW1006),$AN$1006:$BO$1006,0))&gt;=100000), " ",IF(INDEX($AN$2:$BO$1001,MATCH(ROWS($AG$2:AG158),$AG$2:$AG$1001,0),MATCH(COLUMNS($AN$1006:AW1006),$AN$1006:$BO$1006,0)), HYPERLINK("#",""), HYPERLINK(CONCATENATE("#Metadata!", ADDRESS(INDEX($AI$2:$AI$1001,MATCH(ROWS($AG$2:AG158),$AG$2:$AG$1001,0),0), INDEX($AN$1004:$BO$1004,1,MATCH(COLUMNS($AN$1006:AW1006),$AN$1006:$BO$1006,0)))),"Fix")))</f>
        <v>0</v>
      </c>
      <c r="L158" s="4">
        <f>IF(OR(INDEX($AH$2:$AH$1001,MATCH(ROWS($AG$2:AG158),$AG$2:$AG$1001,0),1)&gt;=100000,INDEX($AN$1005:$BO$1005,1,MATCH(COLUMNS($AN$1006:AX1006),$AN$1006:$BO$1006,0))&gt;=100000), " ",IF(INDEX($AN$2:$BO$1001,MATCH(ROWS($AG$2:AG158),$AG$2:$AG$1001,0),MATCH(COLUMNS($AN$1006:AX1006),$AN$1006:$BO$1006,0)), HYPERLINK("#",""), HYPERLINK(CONCATENATE("#Metadata!", ADDRESS(INDEX($AI$2:$AI$1001,MATCH(ROWS($AG$2:AG158),$AG$2:$AG$1001,0),0), INDEX($AN$1004:$BO$1004,1,MATCH(COLUMNS($AN$1006:AX1006),$AN$1006:$BO$1006,0)))),"Fix")))</f>
        <v>0</v>
      </c>
      <c r="M158" s="4">
        <f>IF(OR(INDEX($AH$2:$AH$1001,MATCH(ROWS($AG$2:AG158),$AG$2:$AG$1001,0),1)&gt;=100000,INDEX($AN$1005:$BO$1005,1,MATCH(COLUMNS($AN$1006:AY1006),$AN$1006:$BO$1006,0))&gt;=100000), " ",IF(INDEX($AN$2:$BO$1001,MATCH(ROWS($AG$2:AG158),$AG$2:$AG$1001,0),MATCH(COLUMNS($AN$1006:AY1006),$AN$1006:$BO$1006,0)), HYPERLINK("#",""), HYPERLINK(CONCATENATE("#Metadata!", ADDRESS(INDEX($AI$2:$AI$1001,MATCH(ROWS($AG$2:AG158),$AG$2:$AG$1001,0),0), INDEX($AN$1004:$BO$1004,1,MATCH(COLUMNS($AN$1006:AY1006),$AN$1006:$BO$1006,0)))),"Fix")))</f>
        <v>0</v>
      </c>
      <c r="N158" s="4">
        <f>IF(OR(INDEX($AH$2:$AH$1001,MATCH(ROWS($AG$2:AG158),$AG$2:$AG$1001,0),1)&gt;=100000,INDEX($AN$1005:$BO$1005,1,MATCH(COLUMNS($AN$1006:AZ1006),$AN$1006:$BO$1006,0))&gt;=100000), " ",IF(INDEX($AN$2:$BO$1001,MATCH(ROWS($AG$2:AG158),$AG$2:$AG$1001,0),MATCH(COLUMNS($AN$1006:AZ1006),$AN$1006:$BO$1006,0)), HYPERLINK("#",""), HYPERLINK(CONCATENATE("#Metadata!", ADDRESS(INDEX($AI$2:$AI$1001,MATCH(ROWS($AG$2:AG158),$AG$2:$AG$1001,0),0), INDEX($AN$1004:$BO$1004,1,MATCH(COLUMNS($AN$1006:AZ1006),$AN$1006:$BO$1006,0)))),"Fix")))</f>
        <v>0</v>
      </c>
      <c r="O158" s="4">
        <f>IF(OR(INDEX($AH$2:$AH$1001,MATCH(ROWS($AG$2:AG158),$AG$2:$AG$1001,0),1)&gt;=100000,INDEX($AN$1005:$BO$1005,1,MATCH(COLUMNS($AN$1006:BA1006),$AN$1006:$BO$1006,0))&gt;=100000), " ",IF(INDEX($AN$2:$BO$1001,MATCH(ROWS($AG$2:AG158),$AG$2:$AG$1001,0),MATCH(COLUMNS($AN$1006:BA1006),$AN$1006:$BO$1006,0)), HYPERLINK("#",""), HYPERLINK(CONCATENATE("#Metadata!", ADDRESS(INDEX($AI$2:$AI$1001,MATCH(ROWS($AG$2:AG158),$AG$2:$AG$1001,0),0), INDEX($AN$1004:$BO$1004,1,MATCH(COLUMNS($AN$1006:BA1006),$AN$1006:$BO$1006,0)))),"Fix")))</f>
        <v>0</v>
      </c>
      <c r="P158" s="4">
        <f>IF(OR(INDEX($AH$2:$AH$1001,MATCH(ROWS($AG$2:AG158),$AG$2:$AG$1001,0),1)&gt;=100000,INDEX($AN$1005:$BO$1005,1,MATCH(COLUMNS($AN$1006:BB1006),$AN$1006:$BO$1006,0))&gt;=100000), " ",IF(INDEX($AN$2:$BO$1001,MATCH(ROWS($AG$2:AG158),$AG$2:$AG$1001,0),MATCH(COLUMNS($AN$1006:BB1006),$AN$1006:$BO$1006,0)), HYPERLINK("#",""), HYPERLINK(CONCATENATE("#Metadata!", ADDRESS(INDEX($AI$2:$AI$1001,MATCH(ROWS($AG$2:AG158),$AG$2:$AG$1001,0),0), INDEX($AN$1004:$BO$1004,1,MATCH(COLUMNS($AN$1006:BB1006),$AN$1006:$BO$1006,0)))),"Fix")))</f>
        <v>0</v>
      </c>
      <c r="Q158" s="4">
        <f>IF(OR(INDEX($AH$2:$AH$1001,MATCH(ROWS($AG$2:AG158),$AG$2:$AG$1001,0),1)&gt;=100000,INDEX($AN$1005:$BO$1005,1,MATCH(COLUMNS($AN$1006:BC1006),$AN$1006:$BO$1006,0))&gt;=100000), " ",IF(INDEX($AN$2:$BO$1001,MATCH(ROWS($AG$2:AG158),$AG$2:$AG$1001,0),MATCH(COLUMNS($AN$1006:BC1006),$AN$1006:$BO$1006,0)), HYPERLINK("#",""), HYPERLINK(CONCATENATE("#Metadata!", ADDRESS(INDEX($AI$2:$AI$1001,MATCH(ROWS($AG$2:AG158),$AG$2:$AG$1001,0),0), INDEX($AN$1004:$BO$1004,1,MATCH(COLUMNS($AN$1006:BC1006),$AN$1006:$BO$1006,0)))),"Fix")))</f>
        <v>0</v>
      </c>
      <c r="R158" s="4">
        <f>IF(OR(INDEX($AH$2:$AH$1001,MATCH(ROWS($AG$2:AG158),$AG$2:$AG$1001,0),1)&gt;=100000,INDEX($AN$1005:$BO$1005,1,MATCH(COLUMNS($AN$1006:BD1006),$AN$1006:$BO$1006,0))&gt;=100000), " ",IF(INDEX($AN$2:$BO$1001,MATCH(ROWS($AG$2:AG158),$AG$2:$AG$1001,0),MATCH(COLUMNS($AN$1006:BD1006),$AN$1006:$BO$1006,0)), HYPERLINK("#",""), HYPERLINK(CONCATENATE("#Metadata!", ADDRESS(INDEX($AI$2:$AI$1001,MATCH(ROWS($AG$2:AG158),$AG$2:$AG$1001,0),0), INDEX($AN$1004:$BO$1004,1,MATCH(COLUMNS($AN$1006:BD1006),$AN$1006:$BO$1006,0)))),"Fix")))</f>
        <v>0</v>
      </c>
      <c r="S158" s="4">
        <f>IF(OR(INDEX($AH$2:$AH$1001,MATCH(ROWS($AG$2:AG158),$AG$2:$AG$1001,0),1)&gt;=100000,INDEX($AN$1005:$BO$1005,1,MATCH(COLUMNS($AN$1006:BE1006),$AN$1006:$BO$1006,0))&gt;=100000), " ",IF(INDEX($AN$2:$BO$1001,MATCH(ROWS($AG$2:AG158),$AG$2:$AG$1001,0),MATCH(COLUMNS($AN$1006:BE1006),$AN$1006:$BO$1006,0)), HYPERLINK("#",""), HYPERLINK(CONCATENATE("#Metadata!", ADDRESS(INDEX($AI$2:$AI$1001,MATCH(ROWS($AG$2:AG158),$AG$2:$AG$1001,0),0), INDEX($AN$1004:$BO$1004,1,MATCH(COLUMNS($AN$1006:BE1006),$AN$1006:$BO$1006,0)))),"Fix")))</f>
        <v>0</v>
      </c>
      <c r="T158" s="4">
        <f>IF(OR(INDEX($AH$2:$AH$1001,MATCH(ROWS($AG$2:AG158),$AG$2:$AG$1001,0),1)&gt;=100000,INDEX($AN$1005:$BO$1005,1,MATCH(COLUMNS($AN$1006:BF1006),$AN$1006:$BO$1006,0))&gt;=100000), " ",IF(INDEX($AN$2:$BO$1001,MATCH(ROWS($AG$2:AG158),$AG$2:$AG$1001,0),MATCH(COLUMNS($AN$1006:BF1006),$AN$1006:$BO$1006,0)), HYPERLINK("#",""), HYPERLINK(CONCATENATE("#Metadata!", ADDRESS(INDEX($AI$2:$AI$1001,MATCH(ROWS($AG$2:AG158),$AG$2:$AG$1001,0),0), INDEX($AN$1004:$BO$1004,1,MATCH(COLUMNS($AN$1006:BF1006),$AN$1006:$BO$1006,0)))),"Fix")))</f>
        <v>0</v>
      </c>
      <c r="U158" s="4">
        <f>IF(OR(INDEX($AH$2:$AH$1001,MATCH(ROWS($AG$2:AG158),$AG$2:$AG$1001,0),1)&gt;=100000,INDEX($AN$1005:$BO$1005,1,MATCH(COLUMNS($AN$1006:BG1006),$AN$1006:$BO$1006,0))&gt;=100000), " ",IF(INDEX($AN$2:$BO$1001,MATCH(ROWS($AG$2:AG158),$AG$2:$AG$1001,0),MATCH(COLUMNS($AN$1006:BG1006),$AN$1006:$BO$1006,0)), HYPERLINK("#",""), HYPERLINK(CONCATENATE("#Metadata!", ADDRESS(INDEX($AI$2:$AI$1001,MATCH(ROWS($AG$2:AG158),$AG$2:$AG$1001,0),0), INDEX($AN$1004:$BO$1004,1,MATCH(COLUMNS($AN$1006:BG1006),$AN$1006:$BO$1006,0)))),"Fix")))</f>
        <v>0</v>
      </c>
      <c r="V158" s="4">
        <f>IF(OR(INDEX($AH$2:$AH$1001,MATCH(ROWS($AG$2:AG158),$AG$2:$AG$1001,0),1)&gt;=100000,INDEX($AN$1005:$BO$1005,1,MATCH(COLUMNS($AN$1006:BH1006),$AN$1006:$BO$1006,0))&gt;=100000), " ",IF(INDEX($AN$2:$BO$1001,MATCH(ROWS($AG$2:AG158),$AG$2:$AG$1001,0),MATCH(COLUMNS($AN$1006:BH1006),$AN$1006:$BO$1006,0)), HYPERLINK("#",""), HYPERLINK(CONCATENATE("#Metadata!", ADDRESS(INDEX($AI$2:$AI$1001,MATCH(ROWS($AG$2:AG158),$AG$2:$AG$1001,0),0), INDEX($AN$1004:$BO$1004,1,MATCH(COLUMNS($AN$1006:BH1006),$AN$1006:$BO$1006,0)))),"Fix")))</f>
        <v>0</v>
      </c>
      <c r="W158" s="4">
        <f>IF(OR(INDEX($AH$2:$AH$1001,MATCH(ROWS($AG$2:AG158),$AG$2:$AG$1001,0),1)&gt;=100000,INDEX($AN$1005:$BO$1005,1,MATCH(COLUMNS($AN$1006:BI1006),$AN$1006:$BO$1006,0))&gt;=100000), " ",IF(INDEX($AN$2:$BO$1001,MATCH(ROWS($AG$2:AG158),$AG$2:$AG$1001,0),MATCH(COLUMNS($AN$1006:BI1006),$AN$1006:$BO$1006,0)), HYPERLINK("#",""), HYPERLINK(CONCATENATE("#Metadata!", ADDRESS(INDEX($AI$2:$AI$1001,MATCH(ROWS($AG$2:AG158),$AG$2:$AG$1001,0),0), INDEX($AN$1004:$BO$1004,1,MATCH(COLUMNS($AN$1006:BI1006),$AN$1006:$BO$1006,0)))),"Fix")))</f>
        <v>0</v>
      </c>
      <c r="X158" s="4">
        <f>IF(OR(INDEX($AH$2:$AH$1001,MATCH(ROWS($AG$2:AG158),$AG$2:$AG$1001,0),1)&gt;=100000,INDEX($AN$1005:$BO$1005,1,MATCH(COLUMNS($AN$1006:BJ1006),$AN$1006:$BO$1006,0))&gt;=100000), " ",IF(INDEX($AN$2:$BO$1001,MATCH(ROWS($AG$2:AG158),$AG$2:$AG$1001,0),MATCH(COLUMNS($AN$1006:BJ1006),$AN$1006:$BO$1006,0)), HYPERLINK("#",""), HYPERLINK(CONCATENATE("#Metadata!", ADDRESS(INDEX($AI$2:$AI$1001,MATCH(ROWS($AG$2:AG158),$AG$2:$AG$1001,0),0), INDEX($AN$1004:$BO$1004,1,MATCH(COLUMNS($AN$1006:BJ1006),$AN$1006:$BO$1006,0)))),"Fix")))</f>
        <v>0</v>
      </c>
      <c r="Y158" s="4">
        <f>IF(OR(INDEX($AH$2:$AH$1001,MATCH(ROWS($AG$2:AG158),$AG$2:$AG$1001,0),1)&gt;=100000,INDEX($AN$1005:$BO$1005,1,MATCH(COLUMNS($AN$1006:BK1006),$AN$1006:$BO$1006,0))&gt;=100000), " ",IF(INDEX($AN$2:$BO$1001,MATCH(ROWS($AG$2:AG158),$AG$2:$AG$1001,0),MATCH(COLUMNS($AN$1006:BK1006),$AN$1006:$BO$1006,0)), HYPERLINK("#",""), HYPERLINK(CONCATENATE("#Metadata!", ADDRESS(INDEX($AI$2:$AI$1001,MATCH(ROWS($AG$2:AG158),$AG$2:$AG$1001,0),0), INDEX($AN$1004:$BO$1004,1,MATCH(COLUMNS($AN$1006:BK1006),$AN$1006:$BO$1006,0)))),"Fix")))</f>
        <v>0</v>
      </c>
      <c r="Z158" s="4">
        <f>IF(OR(INDEX($AH$2:$AH$1001,MATCH(ROWS($AG$2:AG158),$AG$2:$AG$1001,0),1)&gt;=100000,INDEX($AN$1005:$BO$1005,1,MATCH(COLUMNS($AN$1006:BL1006),$AN$1006:$BO$1006,0))&gt;=100000), " ",IF(INDEX($AN$2:$BO$1001,MATCH(ROWS($AG$2:AG158),$AG$2:$AG$1001,0),MATCH(COLUMNS($AN$1006:BL1006),$AN$1006:$BO$1006,0)), HYPERLINK("#",""), HYPERLINK(CONCATENATE("#Metadata!", ADDRESS(INDEX($AI$2:$AI$1001,MATCH(ROWS($AG$2:AG158),$AG$2:$AG$1001,0),0), INDEX($AN$1004:$BO$1004,1,MATCH(COLUMNS($AN$1006:BL1006),$AN$1006:$BO$1006,0)))),"Fix")))</f>
        <v>0</v>
      </c>
      <c r="AA158" s="4">
        <f>IF(OR(INDEX($AH$2:$AH$1001,MATCH(ROWS($AG$2:AG158),$AG$2:$AG$1001,0),1)&gt;=100000,INDEX($AN$1005:$BO$1005,1,MATCH(COLUMNS($AN$1006:BM1006),$AN$1006:$BO$1006,0))&gt;=100000), " ",IF(INDEX($AN$2:$BO$1001,MATCH(ROWS($AG$2:AG158),$AG$2:$AG$1001,0),MATCH(COLUMNS($AN$1006:BM1006),$AN$1006:$BO$1006,0)), HYPERLINK("#",""), HYPERLINK(CONCATENATE("#Metadata!", ADDRESS(INDEX($AI$2:$AI$1001,MATCH(ROWS($AG$2:AG158),$AG$2:$AG$1001,0),0), INDEX($AN$1004:$BO$1004,1,MATCH(COLUMNS($AN$1006:BM1006),$AN$1006:$BO$1006,0)))),"Fix")))</f>
        <v>0</v>
      </c>
      <c r="AB158" s="4">
        <f>IF(OR(INDEX($AH$2:$AH$1001,MATCH(ROWS($AG$2:AG158),$AG$2:$AG$1001,0),1)&gt;=100000,INDEX($AN$1005:$BO$1005,1,MATCH(COLUMNS($AN$1006:BN1006),$AN$1006:$BO$1006,0))&gt;=100000), " ",IF(INDEX($AN$2:$BO$1001,MATCH(ROWS($AG$2:AG158),$AG$2:$AG$1001,0),MATCH(COLUMNS($AN$1006:BN1006),$AN$1006:$BO$1006,0)), HYPERLINK("#",""), HYPERLINK(CONCATENATE("#Metadata!", ADDRESS(INDEX($AI$2:$AI$1001,MATCH(ROWS($AG$2:AG158),$AG$2:$AG$1001,0),0), INDEX($AN$1004:$BO$1004,1,MATCH(COLUMNS($AN$1006:BN1006),$AN$1006:$BO$1006,0)))),"Fix")))</f>
        <v>0</v>
      </c>
      <c r="AC158" s="4">
        <f>IF(OR(INDEX($AH$2:$AH$1001,MATCH(ROWS($AG$2:AG158),$AG$2:$AG$1001,0),1)&gt;=100000,INDEX($AN$1005:$BO$1005,1,MATCH(COLUMNS($AN$1006:BO1006),$AN$1006:$BO$1006,0))&gt;=100000), " ",IF(INDEX($AN$2:$BO$1001,MATCH(ROWS($AG$2:AG158),$AG$2:$AG$1001,0),MATCH(COLUMNS($AN$1006:BO1006),$AN$1006:$BO$1006,0)), HYPERLINK("#",""), HYPERLINK(CONCATENATE("#Metadata!", ADDRESS(INDEX($AI$2:$AI$1001,MATCH(ROWS($AG$2:AG158),$AG$2:$AG$1001,0),0), INDEX($AN$1004:$BO$1004,1,MATCH(COLUMNS($AN$1006:BO1006),$AN$1006:$BO$1006,0)))),"Fix")))</f>
        <v>0</v>
      </c>
      <c r="AG158">
        <v>0</v>
      </c>
      <c r="AH158">
        <v>0</v>
      </c>
      <c r="AI158">
        <v>0</v>
      </c>
      <c r="AJ158">
        <f>IF(AK158,TRUE,AND(AN158:BO158))</f>
        <v>0</v>
      </c>
      <c r="AK158">
        <f>COUNTBLANK(Metadata!B158:AC158)=COLUMNS(Metadata!B158:AC158)</f>
        <v>0</v>
      </c>
      <c r="AL158">
        <v>0</v>
      </c>
      <c r="AN158">
        <f>AND(IF(Metadata!B158="",FALSE,TRUE),COUNTIF(Metadata!B:B, Metadata!B158) = 1,NOT(ISERROR(SUMPRODUCT(SEARCH(MID(Metadata!B158,ROW(INDIRECT("1:"&amp;LEN(Metadata!B158))), 1),"0123456789abcdefghijklmnopqrstuvwxyzABCDEFGHIJKLMNOPQRSTUVWXYZ.")))))</f>
        <v>0</v>
      </c>
      <c r="AO158">
        <f>IF(Metadata!C158="",FALSE,TRUE)</f>
        <v>0</v>
      </c>
      <c r="AP158">
        <f>IF(Metadata!D158="",FALSE,TRUE)</f>
        <v>0</v>
      </c>
      <c r="AQ158">
        <f>OR(AND(IF(Metadata!E158="",FALSE,TRUE),OR(exact(Metadata!E158,"not collected"),exact(Metadata!E158,"not provided"),exact(Metadata!E158,"restricted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R158">
        <f>IF(Metadata!F158="",FALSE,TRUE)</f>
        <v>0</v>
      </c>
      <c r="AS158">
        <f>OR(AND(IF(Metadata!G158="",FALSE,TRUE),OR(exact(Metadata!G158,"not collected"),exact(Metadata!G158,"not provided"))),AND(IF(Metadata!G158="",FALSE,TRUE),OR(exact(Metadata!G158,"TRUE"),exact(Metadata!G158,"FALSE"))))</f>
        <v>0</v>
      </c>
      <c r="AT158">
        <f>OR(AND(IF(Metadata!H158="",FALSE,TRUE),OR(exact(Metadata!H158,"not collected"),exact(Metadata!H158,"not provided"),exact(Metadata!H158,"restricted access"))),AND(IF(Metadata!H158="",FALSE,ISNUMBER(VALUE(Metadata!H158))),Metadata!H158&gt;=-413.0))</f>
        <v>0</v>
      </c>
      <c r="AU158">
        <f>AND(IF(Metadata!I158="",FALSE,TRUE),exact(Metadata!I158,"meters"))</f>
        <v>0</v>
      </c>
      <c r="AV158">
        <f>AND(IF(Metadata!J158="",FALSE,TRUE),OR(exact(Metadata!J158,"Host-associated"),exact(Metadata!J158,"Free-living")))</f>
        <v>0</v>
      </c>
      <c r="AW158">
        <f>AND(IF(Metadata!K158="",FALSE,TRUE),OR(exact(Metadata!K158,"Animal"),exact(Metadata!K158,"Fungus"),exact(Metadata!K158,"Plant"),exact(Metadata!K158,"Saline"),exact(Metadata!K158,"Non-saline")))</f>
        <v>0</v>
      </c>
      <c r="AX158">
        <f>AND(IF(Metadata!L158="",FALSE,TRUE),OR(exact(Metadata!L158,"Plant secretion"),exact(Metadata!L158,"Plant rhizosphere"),exact(Metadata!L158,"Plant surface"),exact(Metadata!L158,"Plant corpus"),exact(Metadata!L158,"Fungus surface"),exact(Metadata!L158,"Fungus corpus"),exact(Metadata!L158,"Animal surface"),exact(Metadata!L158,"Animal proximal gut"),exact(Metadata!L158,"Animal corpus"),exact(Metadata!L158,"Animal distal gut"),exact(Metadata!L158,"Animal secretion"),exact(Metadata!L158,"Sub-surface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Y158">
        <f>IF(Metadata!M158="",FALSE,TRUE)</f>
        <v>0</v>
      </c>
      <c r="AZ158">
        <f>IF(Metadata!N158="",FALSE,TRUE)</f>
        <v>0</v>
      </c>
      <c r="BA158">
        <f>IF(Metadata!O158="",FALSE,TRUE)</f>
        <v>0</v>
      </c>
      <c r="BB158">
        <f>OR(AND(IF(Metadata!P158="",FALSE,TRUE),OR(exact(Metadata!P158,"not collected"),exact(Metadata!P158,"not provided"),exact(Metadata!P158,"restricted access"))),AND(IF(Metadata!P158="",FALSE,TRUE),OR(exact(Metadata!P158,"air"),exact(Metadata!P158,"built environment"),exact(Metadata!P158,"host-associated"),exact(Metadata!P158,"human-associated"),exact(Metadata!P158,"human-skin"),exact(Metadata!P158,"human-oral"),exact(Metadata!P158,"human-gut"),exact(Metadata!P158,"human-vaginal"),exact(Metadata!P158,"microbial mat/biofilm"),exact(Metadata!P158,"misc environment"),exact(Metadata!P158,"plant-associated"),exact(Metadata!P158,"sediment"),exact(Metadata!P158,"soil"),exact(Metadata!P158,"wastewater/sludge"),exact(Metadata!P158,"water"))))</f>
        <v>0</v>
      </c>
      <c r="BC158">
        <f>IF(Metadata!Q158="",FALSE,TRUE)</f>
        <v>0</v>
      </c>
      <c r="BD158">
        <f>IF(Metadata!R158="",FALSE,TRUE)</f>
        <v>0</v>
      </c>
      <c r="BE158">
        <f>OR(AND(IF(Metadata!S158="",FALSE,TRUE),OR(exact(Metadata!S158,"not collected"),exact(Metadata!S158,"not provided"),exact(Metadata!S158,"restricted access"))),AND(IF(Metadata!S158="",FALSE,ISNUMBER(VALUE(Metadata!S158))),Metadata!S158&gt;=-90.00,Metadata!S158&lt;=90.00))</f>
        <v>0</v>
      </c>
      <c r="BF158">
        <f>AND(IF(Metadata!T158="",FALSE,TRUE),exact(Metadata!T158,"Decimal degrees"))</f>
        <v>0</v>
      </c>
      <c r="BG158">
        <f>OR(AND(IF(Metadata!U158="",FALSE,TRUE),OR(exact(Metadata!U158,"not collected"),exact(Metadata!U158,"not provided"),exact(Metadata!U158,"restricted access"))),AND(IF(Metadata!U158="",FALSE,ISNUMBER(VALUE(Metadata!U158))),Metadata!U158&gt;=-180.00,Metadata!U158&lt;=180.00))</f>
        <v>0</v>
      </c>
      <c r="BH158">
        <f>AND(IF(Metadata!V158="",FALSE,TRUE),exact(Metadata!V158,"Decimal degrees"))</f>
        <v>0</v>
      </c>
      <c r="BI158">
        <f>IF(Metadata!W158="",FALSE,TRUE)</f>
        <v>0</v>
      </c>
      <c r="BJ158">
        <f>OR(AND(IF(Metadata!X158="",FALSE,TRUE),OR(exact(Metadata!X158,"not collected"),exact(Metadata!X158,"not provided"),exact(Metadata!X158,"restricted access"))),AND(IF(Metadata!X158="",FALSE,TRUE),OR(exact(Metadata!X158,"TRUE"),exact(Metadata!X158,"FALSE"))))</f>
        <v>0</v>
      </c>
      <c r="BK158">
        <f>AND(IF(Metadata!Y158="",FALSE,TRUE),exact(Metadata!Y158,"other"))</f>
        <v>0</v>
      </c>
      <c r="BL158">
        <f>IF(Metadata!Z158="",FALSE,TRUE)</f>
        <v>0</v>
      </c>
      <c r="BM158">
        <f>OR(AND(IF(Metadata!AA158="",FALSE,TRUE),OR(exact(Metadata!AA158,"not collected"),exact(Metadata!AA158,"not provided"))),AND(IF(Metadata!AA158="",FALSE,IF(ISERROR(INT(Metadata!AA158)),FALSE,INT(Metadata!AA158)=Metadata!AA158)),Metadata!AA158&gt;0))</f>
        <v>0</v>
      </c>
      <c r="BN158">
        <f>AND(IF(Metadata!AB158="",FALSE,TRUE),exact(Metadata!AB158,"Not applicable"))</f>
        <v>0</v>
      </c>
      <c r="BO158">
        <f>IF(Metadata!AC158="",FALSE,TRUE)</f>
        <v>0</v>
      </c>
    </row>
    <row r="159" spans="1:67">
      <c r="A159" s="5">
        <f>IF(B159=" "," ",HYPERLINK(CONCATENATE("#metadata!",ADDRESS(INDEX($AI$2:$AI$1001,MATCH(ROWS($AG$2:AG159),$AG$2:$AG$1001,0),0),1)),INDEX($AL$2:$AL$1001,MATCH(ROWS($AG$2:AG159),$AG$2:$AG$1001,0),0)))</f>
        <v>0</v>
      </c>
      <c r="B159" s="4">
        <f>IF(OR(INDEX($AH$2:$AH$1001,MATCH(ROWS($AG$2:AG159),$AG$2:$AG$1001,0),1)&gt;=100000,INDEX($AN$1005:$BO$1005,1,MATCH(COLUMNS($AN$1006:AN1006),$AN$1006:$BO$1006,0))&gt;=100000), " ",IF(INDEX($AN$2:$BO$1001,MATCH(ROWS($AG$2:AG159),$AG$2:$AG$1001,0),MATCH(COLUMNS($AN$1006:AN1006),$AN$1006:$BO$1006,0)), HYPERLINK("#",""), HYPERLINK(CONCATENATE("#Metadata!", ADDRESS(INDEX($AI$2:$AI$1001,MATCH(ROWS($AG$2:AG159),$AG$2:$AG$1001,0),0), INDEX($AN$1004:$BO$1004,1,MATCH(COLUMNS($AN$1006:AN1006),$AN$1006:$BO$1006,0)))),"Fix")))</f>
        <v>0</v>
      </c>
      <c r="C159" s="4">
        <f>IF(OR(INDEX($AH$2:$AH$1001,MATCH(ROWS($AG$2:AG159),$AG$2:$AG$1001,0),1)&gt;=100000,INDEX($AN$1005:$BO$1005,1,MATCH(COLUMNS($AN$1006:AO1006),$AN$1006:$BO$1006,0))&gt;=100000), " ",IF(INDEX($AN$2:$BO$1001,MATCH(ROWS($AG$2:AG159),$AG$2:$AG$1001,0),MATCH(COLUMNS($AN$1006:AO1006),$AN$1006:$BO$1006,0)), HYPERLINK("#",""), HYPERLINK(CONCATENATE("#Metadata!", ADDRESS(INDEX($AI$2:$AI$1001,MATCH(ROWS($AG$2:AG159),$AG$2:$AG$1001,0),0), INDEX($AN$1004:$BO$1004,1,MATCH(COLUMNS($AN$1006:AO1006),$AN$1006:$BO$1006,0)))),"Fix")))</f>
        <v>0</v>
      </c>
      <c r="D159" s="4">
        <f>IF(OR(INDEX($AH$2:$AH$1001,MATCH(ROWS($AG$2:AG159),$AG$2:$AG$1001,0),1)&gt;=100000,INDEX($AN$1005:$BO$1005,1,MATCH(COLUMNS($AN$1006:AP1006),$AN$1006:$BO$1006,0))&gt;=100000), " ",IF(INDEX($AN$2:$BO$1001,MATCH(ROWS($AG$2:AG159),$AG$2:$AG$1001,0),MATCH(COLUMNS($AN$1006:AP1006),$AN$1006:$BO$1006,0)), HYPERLINK("#",""), HYPERLINK(CONCATENATE("#Metadata!", ADDRESS(INDEX($AI$2:$AI$1001,MATCH(ROWS($AG$2:AG159),$AG$2:$AG$1001,0),0), INDEX($AN$1004:$BO$1004,1,MATCH(COLUMNS($AN$1006:AP1006),$AN$1006:$BO$1006,0)))),"Fix")))</f>
        <v>0</v>
      </c>
      <c r="E159" s="4">
        <f>IF(OR(INDEX($AH$2:$AH$1001,MATCH(ROWS($AG$2:AG159),$AG$2:$AG$1001,0),1)&gt;=100000,INDEX($AN$1005:$BO$1005,1,MATCH(COLUMNS($AN$1006:AQ1006),$AN$1006:$BO$1006,0))&gt;=100000), " ",IF(INDEX($AN$2:$BO$1001,MATCH(ROWS($AG$2:AG159),$AG$2:$AG$1001,0),MATCH(COLUMNS($AN$1006:AQ1006),$AN$1006:$BO$1006,0)), HYPERLINK("#",""), HYPERLINK(CONCATENATE("#Metadata!", ADDRESS(INDEX($AI$2:$AI$1001,MATCH(ROWS($AG$2:AG159),$AG$2:$AG$1001,0),0), INDEX($AN$1004:$BO$1004,1,MATCH(COLUMNS($AN$1006:AQ1006),$AN$1006:$BO$1006,0)))),"Fix")))</f>
        <v>0</v>
      </c>
      <c r="F159" s="4">
        <f>IF(OR(INDEX($AH$2:$AH$1001,MATCH(ROWS($AG$2:AG159),$AG$2:$AG$1001,0),1)&gt;=100000,INDEX($AN$1005:$BO$1005,1,MATCH(COLUMNS($AN$1006:AR1006),$AN$1006:$BO$1006,0))&gt;=100000), " ",IF(INDEX($AN$2:$BO$1001,MATCH(ROWS($AG$2:AG159),$AG$2:$AG$1001,0),MATCH(COLUMNS($AN$1006:AR1006),$AN$1006:$BO$1006,0)), HYPERLINK("#",""), HYPERLINK(CONCATENATE("#Metadata!", ADDRESS(INDEX($AI$2:$AI$1001,MATCH(ROWS($AG$2:AG159),$AG$2:$AG$1001,0),0), INDEX($AN$1004:$BO$1004,1,MATCH(COLUMNS($AN$1006:AR1006),$AN$1006:$BO$1006,0)))),"Fix")))</f>
        <v>0</v>
      </c>
      <c r="G159" s="4">
        <f>IF(OR(INDEX($AH$2:$AH$1001,MATCH(ROWS($AG$2:AG159),$AG$2:$AG$1001,0),1)&gt;=100000,INDEX($AN$1005:$BO$1005,1,MATCH(COLUMNS($AN$1006:AS1006),$AN$1006:$BO$1006,0))&gt;=100000), " ",IF(INDEX($AN$2:$BO$1001,MATCH(ROWS($AG$2:AG159),$AG$2:$AG$1001,0),MATCH(COLUMNS($AN$1006:AS1006),$AN$1006:$BO$1006,0)), HYPERLINK("#",""), HYPERLINK(CONCATENATE("#Metadata!", ADDRESS(INDEX($AI$2:$AI$1001,MATCH(ROWS($AG$2:AG159),$AG$2:$AG$1001,0),0), INDEX($AN$1004:$BO$1004,1,MATCH(COLUMNS($AN$1006:AS1006),$AN$1006:$BO$1006,0)))),"Fix")))</f>
        <v>0</v>
      </c>
      <c r="H159" s="4">
        <f>IF(OR(INDEX($AH$2:$AH$1001,MATCH(ROWS($AG$2:AG159),$AG$2:$AG$1001,0),1)&gt;=100000,INDEX($AN$1005:$BO$1005,1,MATCH(COLUMNS($AN$1006:AT1006),$AN$1006:$BO$1006,0))&gt;=100000), " ",IF(INDEX($AN$2:$BO$1001,MATCH(ROWS($AG$2:AG159),$AG$2:$AG$1001,0),MATCH(COLUMNS($AN$1006:AT1006),$AN$1006:$BO$1006,0)), HYPERLINK("#",""), HYPERLINK(CONCATENATE("#Metadata!", ADDRESS(INDEX($AI$2:$AI$1001,MATCH(ROWS($AG$2:AG159),$AG$2:$AG$1001,0),0), INDEX($AN$1004:$BO$1004,1,MATCH(COLUMNS($AN$1006:AT1006),$AN$1006:$BO$1006,0)))),"Fix")))</f>
        <v>0</v>
      </c>
      <c r="I159" s="4">
        <f>IF(OR(INDEX($AH$2:$AH$1001,MATCH(ROWS($AG$2:AG159),$AG$2:$AG$1001,0),1)&gt;=100000,INDEX($AN$1005:$BO$1005,1,MATCH(COLUMNS($AN$1006:AU1006),$AN$1006:$BO$1006,0))&gt;=100000), " ",IF(INDEX($AN$2:$BO$1001,MATCH(ROWS($AG$2:AG159),$AG$2:$AG$1001,0),MATCH(COLUMNS($AN$1006:AU1006),$AN$1006:$BO$1006,0)), HYPERLINK("#",""), HYPERLINK(CONCATENATE("#Metadata!", ADDRESS(INDEX($AI$2:$AI$1001,MATCH(ROWS($AG$2:AG159),$AG$2:$AG$1001,0),0), INDEX($AN$1004:$BO$1004,1,MATCH(COLUMNS($AN$1006:AU1006),$AN$1006:$BO$1006,0)))),"Fix")))</f>
        <v>0</v>
      </c>
      <c r="J159" s="4">
        <f>IF(OR(INDEX($AH$2:$AH$1001,MATCH(ROWS($AG$2:AG159),$AG$2:$AG$1001,0),1)&gt;=100000,INDEX($AN$1005:$BO$1005,1,MATCH(COLUMNS($AN$1006:AV1006),$AN$1006:$BO$1006,0))&gt;=100000), " ",IF(INDEX($AN$2:$BO$1001,MATCH(ROWS($AG$2:AG159),$AG$2:$AG$1001,0),MATCH(COLUMNS($AN$1006:AV1006),$AN$1006:$BO$1006,0)), HYPERLINK("#",""), HYPERLINK(CONCATENATE("#Metadata!", ADDRESS(INDEX($AI$2:$AI$1001,MATCH(ROWS($AG$2:AG159),$AG$2:$AG$1001,0),0), INDEX($AN$1004:$BO$1004,1,MATCH(COLUMNS($AN$1006:AV1006),$AN$1006:$BO$1006,0)))),"Fix")))</f>
        <v>0</v>
      </c>
      <c r="K159" s="4">
        <f>IF(OR(INDEX($AH$2:$AH$1001,MATCH(ROWS($AG$2:AG159),$AG$2:$AG$1001,0),1)&gt;=100000,INDEX($AN$1005:$BO$1005,1,MATCH(COLUMNS($AN$1006:AW1006),$AN$1006:$BO$1006,0))&gt;=100000), " ",IF(INDEX($AN$2:$BO$1001,MATCH(ROWS($AG$2:AG159),$AG$2:$AG$1001,0),MATCH(COLUMNS($AN$1006:AW1006),$AN$1006:$BO$1006,0)), HYPERLINK("#",""), HYPERLINK(CONCATENATE("#Metadata!", ADDRESS(INDEX($AI$2:$AI$1001,MATCH(ROWS($AG$2:AG159),$AG$2:$AG$1001,0),0), INDEX($AN$1004:$BO$1004,1,MATCH(COLUMNS($AN$1006:AW1006),$AN$1006:$BO$1006,0)))),"Fix")))</f>
        <v>0</v>
      </c>
      <c r="L159" s="4">
        <f>IF(OR(INDEX($AH$2:$AH$1001,MATCH(ROWS($AG$2:AG159),$AG$2:$AG$1001,0),1)&gt;=100000,INDEX($AN$1005:$BO$1005,1,MATCH(COLUMNS($AN$1006:AX1006),$AN$1006:$BO$1006,0))&gt;=100000), " ",IF(INDEX($AN$2:$BO$1001,MATCH(ROWS($AG$2:AG159),$AG$2:$AG$1001,0),MATCH(COLUMNS($AN$1006:AX1006),$AN$1006:$BO$1006,0)), HYPERLINK("#",""), HYPERLINK(CONCATENATE("#Metadata!", ADDRESS(INDEX($AI$2:$AI$1001,MATCH(ROWS($AG$2:AG159),$AG$2:$AG$1001,0),0), INDEX($AN$1004:$BO$1004,1,MATCH(COLUMNS($AN$1006:AX1006),$AN$1006:$BO$1006,0)))),"Fix")))</f>
        <v>0</v>
      </c>
      <c r="M159" s="4">
        <f>IF(OR(INDEX($AH$2:$AH$1001,MATCH(ROWS($AG$2:AG159),$AG$2:$AG$1001,0),1)&gt;=100000,INDEX($AN$1005:$BO$1005,1,MATCH(COLUMNS($AN$1006:AY1006),$AN$1006:$BO$1006,0))&gt;=100000), " ",IF(INDEX($AN$2:$BO$1001,MATCH(ROWS($AG$2:AG159),$AG$2:$AG$1001,0),MATCH(COLUMNS($AN$1006:AY1006),$AN$1006:$BO$1006,0)), HYPERLINK("#",""), HYPERLINK(CONCATENATE("#Metadata!", ADDRESS(INDEX($AI$2:$AI$1001,MATCH(ROWS($AG$2:AG159),$AG$2:$AG$1001,0),0), INDEX($AN$1004:$BO$1004,1,MATCH(COLUMNS($AN$1006:AY1006),$AN$1006:$BO$1006,0)))),"Fix")))</f>
        <v>0</v>
      </c>
      <c r="N159" s="4">
        <f>IF(OR(INDEX($AH$2:$AH$1001,MATCH(ROWS($AG$2:AG159),$AG$2:$AG$1001,0),1)&gt;=100000,INDEX($AN$1005:$BO$1005,1,MATCH(COLUMNS($AN$1006:AZ1006),$AN$1006:$BO$1006,0))&gt;=100000), " ",IF(INDEX($AN$2:$BO$1001,MATCH(ROWS($AG$2:AG159),$AG$2:$AG$1001,0),MATCH(COLUMNS($AN$1006:AZ1006),$AN$1006:$BO$1006,0)), HYPERLINK("#",""), HYPERLINK(CONCATENATE("#Metadata!", ADDRESS(INDEX($AI$2:$AI$1001,MATCH(ROWS($AG$2:AG159),$AG$2:$AG$1001,0),0), INDEX($AN$1004:$BO$1004,1,MATCH(COLUMNS($AN$1006:AZ1006),$AN$1006:$BO$1006,0)))),"Fix")))</f>
        <v>0</v>
      </c>
      <c r="O159" s="4">
        <f>IF(OR(INDEX($AH$2:$AH$1001,MATCH(ROWS($AG$2:AG159),$AG$2:$AG$1001,0),1)&gt;=100000,INDEX($AN$1005:$BO$1005,1,MATCH(COLUMNS($AN$1006:BA1006),$AN$1006:$BO$1006,0))&gt;=100000), " ",IF(INDEX($AN$2:$BO$1001,MATCH(ROWS($AG$2:AG159),$AG$2:$AG$1001,0),MATCH(COLUMNS($AN$1006:BA1006),$AN$1006:$BO$1006,0)), HYPERLINK("#",""), HYPERLINK(CONCATENATE("#Metadata!", ADDRESS(INDEX($AI$2:$AI$1001,MATCH(ROWS($AG$2:AG159),$AG$2:$AG$1001,0),0), INDEX($AN$1004:$BO$1004,1,MATCH(COLUMNS($AN$1006:BA1006),$AN$1006:$BO$1006,0)))),"Fix")))</f>
        <v>0</v>
      </c>
      <c r="P159" s="4">
        <f>IF(OR(INDEX($AH$2:$AH$1001,MATCH(ROWS($AG$2:AG159),$AG$2:$AG$1001,0),1)&gt;=100000,INDEX($AN$1005:$BO$1005,1,MATCH(COLUMNS($AN$1006:BB1006),$AN$1006:$BO$1006,0))&gt;=100000), " ",IF(INDEX($AN$2:$BO$1001,MATCH(ROWS($AG$2:AG159),$AG$2:$AG$1001,0),MATCH(COLUMNS($AN$1006:BB1006),$AN$1006:$BO$1006,0)), HYPERLINK("#",""), HYPERLINK(CONCATENATE("#Metadata!", ADDRESS(INDEX($AI$2:$AI$1001,MATCH(ROWS($AG$2:AG159),$AG$2:$AG$1001,0),0), INDEX($AN$1004:$BO$1004,1,MATCH(COLUMNS($AN$1006:BB1006),$AN$1006:$BO$1006,0)))),"Fix")))</f>
        <v>0</v>
      </c>
      <c r="Q159" s="4">
        <f>IF(OR(INDEX($AH$2:$AH$1001,MATCH(ROWS($AG$2:AG159),$AG$2:$AG$1001,0),1)&gt;=100000,INDEX($AN$1005:$BO$1005,1,MATCH(COLUMNS($AN$1006:BC1006),$AN$1006:$BO$1006,0))&gt;=100000), " ",IF(INDEX($AN$2:$BO$1001,MATCH(ROWS($AG$2:AG159),$AG$2:$AG$1001,0),MATCH(COLUMNS($AN$1006:BC1006),$AN$1006:$BO$1006,0)), HYPERLINK("#",""), HYPERLINK(CONCATENATE("#Metadata!", ADDRESS(INDEX($AI$2:$AI$1001,MATCH(ROWS($AG$2:AG159),$AG$2:$AG$1001,0),0), INDEX($AN$1004:$BO$1004,1,MATCH(COLUMNS($AN$1006:BC1006),$AN$1006:$BO$1006,0)))),"Fix")))</f>
        <v>0</v>
      </c>
      <c r="R159" s="4">
        <f>IF(OR(INDEX($AH$2:$AH$1001,MATCH(ROWS($AG$2:AG159),$AG$2:$AG$1001,0),1)&gt;=100000,INDEX($AN$1005:$BO$1005,1,MATCH(COLUMNS($AN$1006:BD1006),$AN$1006:$BO$1006,0))&gt;=100000), " ",IF(INDEX($AN$2:$BO$1001,MATCH(ROWS($AG$2:AG159),$AG$2:$AG$1001,0),MATCH(COLUMNS($AN$1006:BD1006),$AN$1006:$BO$1006,0)), HYPERLINK("#",""), HYPERLINK(CONCATENATE("#Metadata!", ADDRESS(INDEX($AI$2:$AI$1001,MATCH(ROWS($AG$2:AG159),$AG$2:$AG$1001,0),0), INDEX($AN$1004:$BO$1004,1,MATCH(COLUMNS($AN$1006:BD1006),$AN$1006:$BO$1006,0)))),"Fix")))</f>
        <v>0</v>
      </c>
      <c r="S159" s="4">
        <f>IF(OR(INDEX($AH$2:$AH$1001,MATCH(ROWS($AG$2:AG159),$AG$2:$AG$1001,0),1)&gt;=100000,INDEX($AN$1005:$BO$1005,1,MATCH(COLUMNS($AN$1006:BE1006),$AN$1006:$BO$1006,0))&gt;=100000), " ",IF(INDEX($AN$2:$BO$1001,MATCH(ROWS($AG$2:AG159),$AG$2:$AG$1001,0),MATCH(COLUMNS($AN$1006:BE1006),$AN$1006:$BO$1006,0)), HYPERLINK("#",""), HYPERLINK(CONCATENATE("#Metadata!", ADDRESS(INDEX($AI$2:$AI$1001,MATCH(ROWS($AG$2:AG159),$AG$2:$AG$1001,0),0), INDEX($AN$1004:$BO$1004,1,MATCH(COLUMNS($AN$1006:BE1006),$AN$1006:$BO$1006,0)))),"Fix")))</f>
        <v>0</v>
      </c>
      <c r="T159" s="4">
        <f>IF(OR(INDEX($AH$2:$AH$1001,MATCH(ROWS($AG$2:AG159),$AG$2:$AG$1001,0),1)&gt;=100000,INDEX($AN$1005:$BO$1005,1,MATCH(COLUMNS($AN$1006:BF1006),$AN$1006:$BO$1006,0))&gt;=100000), " ",IF(INDEX($AN$2:$BO$1001,MATCH(ROWS($AG$2:AG159),$AG$2:$AG$1001,0),MATCH(COLUMNS($AN$1006:BF1006),$AN$1006:$BO$1006,0)), HYPERLINK("#",""), HYPERLINK(CONCATENATE("#Metadata!", ADDRESS(INDEX($AI$2:$AI$1001,MATCH(ROWS($AG$2:AG159),$AG$2:$AG$1001,0),0), INDEX($AN$1004:$BO$1004,1,MATCH(COLUMNS($AN$1006:BF1006),$AN$1006:$BO$1006,0)))),"Fix")))</f>
        <v>0</v>
      </c>
      <c r="U159" s="4">
        <f>IF(OR(INDEX($AH$2:$AH$1001,MATCH(ROWS($AG$2:AG159),$AG$2:$AG$1001,0),1)&gt;=100000,INDEX($AN$1005:$BO$1005,1,MATCH(COLUMNS($AN$1006:BG1006),$AN$1006:$BO$1006,0))&gt;=100000), " ",IF(INDEX($AN$2:$BO$1001,MATCH(ROWS($AG$2:AG159),$AG$2:$AG$1001,0),MATCH(COLUMNS($AN$1006:BG1006),$AN$1006:$BO$1006,0)), HYPERLINK("#",""), HYPERLINK(CONCATENATE("#Metadata!", ADDRESS(INDEX($AI$2:$AI$1001,MATCH(ROWS($AG$2:AG159),$AG$2:$AG$1001,0),0), INDEX($AN$1004:$BO$1004,1,MATCH(COLUMNS($AN$1006:BG1006),$AN$1006:$BO$1006,0)))),"Fix")))</f>
        <v>0</v>
      </c>
      <c r="V159" s="4">
        <f>IF(OR(INDEX($AH$2:$AH$1001,MATCH(ROWS($AG$2:AG159),$AG$2:$AG$1001,0),1)&gt;=100000,INDEX($AN$1005:$BO$1005,1,MATCH(COLUMNS($AN$1006:BH1006),$AN$1006:$BO$1006,0))&gt;=100000), " ",IF(INDEX($AN$2:$BO$1001,MATCH(ROWS($AG$2:AG159),$AG$2:$AG$1001,0),MATCH(COLUMNS($AN$1006:BH1006),$AN$1006:$BO$1006,0)), HYPERLINK("#",""), HYPERLINK(CONCATENATE("#Metadata!", ADDRESS(INDEX($AI$2:$AI$1001,MATCH(ROWS($AG$2:AG159),$AG$2:$AG$1001,0),0), INDEX($AN$1004:$BO$1004,1,MATCH(COLUMNS($AN$1006:BH1006),$AN$1006:$BO$1006,0)))),"Fix")))</f>
        <v>0</v>
      </c>
      <c r="W159" s="4">
        <f>IF(OR(INDEX($AH$2:$AH$1001,MATCH(ROWS($AG$2:AG159),$AG$2:$AG$1001,0),1)&gt;=100000,INDEX($AN$1005:$BO$1005,1,MATCH(COLUMNS($AN$1006:BI1006),$AN$1006:$BO$1006,0))&gt;=100000), " ",IF(INDEX($AN$2:$BO$1001,MATCH(ROWS($AG$2:AG159),$AG$2:$AG$1001,0),MATCH(COLUMNS($AN$1006:BI1006),$AN$1006:$BO$1006,0)), HYPERLINK("#",""), HYPERLINK(CONCATENATE("#Metadata!", ADDRESS(INDEX($AI$2:$AI$1001,MATCH(ROWS($AG$2:AG159),$AG$2:$AG$1001,0),0), INDEX($AN$1004:$BO$1004,1,MATCH(COLUMNS($AN$1006:BI1006),$AN$1006:$BO$1006,0)))),"Fix")))</f>
        <v>0</v>
      </c>
      <c r="X159" s="4">
        <f>IF(OR(INDEX($AH$2:$AH$1001,MATCH(ROWS($AG$2:AG159),$AG$2:$AG$1001,0),1)&gt;=100000,INDEX($AN$1005:$BO$1005,1,MATCH(COLUMNS($AN$1006:BJ1006),$AN$1006:$BO$1006,0))&gt;=100000), " ",IF(INDEX($AN$2:$BO$1001,MATCH(ROWS($AG$2:AG159),$AG$2:$AG$1001,0),MATCH(COLUMNS($AN$1006:BJ1006),$AN$1006:$BO$1006,0)), HYPERLINK("#",""), HYPERLINK(CONCATENATE("#Metadata!", ADDRESS(INDEX($AI$2:$AI$1001,MATCH(ROWS($AG$2:AG159),$AG$2:$AG$1001,0),0), INDEX($AN$1004:$BO$1004,1,MATCH(COLUMNS($AN$1006:BJ1006),$AN$1006:$BO$1006,0)))),"Fix")))</f>
        <v>0</v>
      </c>
      <c r="Y159" s="4">
        <f>IF(OR(INDEX($AH$2:$AH$1001,MATCH(ROWS($AG$2:AG159),$AG$2:$AG$1001,0),1)&gt;=100000,INDEX($AN$1005:$BO$1005,1,MATCH(COLUMNS($AN$1006:BK1006),$AN$1006:$BO$1006,0))&gt;=100000), " ",IF(INDEX($AN$2:$BO$1001,MATCH(ROWS($AG$2:AG159),$AG$2:$AG$1001,0),MATCH(COLUMNS($AN$1006:BK1006),$AN$1006:$BO$1006,0)), HYPERLINK("#",""), HYPERLINK(CONCATENATE("#Metadata!", ADDRESS(INDEX($AI$2:$AI$1001,MATCH(ROWS($AG$2:AG159),$AG$2:$AG$1001,0),0), INDEX($AN$1004:$BO$1004,1,MATCH(COLUMNS($AN$1006:BK1006),$AN$1006:$BO$1006,0)))),"Fix")))</f>
        <v>0</v>
      </c>
      <c r="Z159" s="4">
        <f>IF(OR(INDEX($AH$2:$AH$1001,MATCH(ROWS($AG$2:AG159),$AG$2:$AG$1001,0),1)&gt;=100000,INDEX($AN$1005:$BO$1005,1,MATCH(COLUMNS($AN$1006:BL1006),$AN$1006:$BO$1006,0))&gt;=100000), " ",IF(INDEX($AN$2:$BO$1001,MATCH(ROWS($AG$2:AG159),$AG$2:$AG$1001,0),MATCH(COLUMNS($AN$1006:BL1006),$AN$1006:$BO$1006,0)), HYPERLINK("#",""), HYPERLINK(CONCATENATE("#Metadata!", ADDRESS(INDEX($AI$2:$AI$1001,MATCH(ROWS($AG$2:AG159),$AG$2:$AG$1001,0),0), INDEX($AN$1004:$BO$1004,1,MATCH(COLUMNS($AN$1006:BL1006),$AN$1006:$BO$1006,0)))),"Fix")))</f>
        <v>0</v>
      </c>
      <c r="AA159" s="4">
        <f>IF(OR(INDEX($AH$2:$AH$1001,MATCH(ROWS($AG$2:AG159),$AG$2:$AG$1001,0),1)&gt;=100000,INDEX($AN$1005:$BO$1005,1,MATCH(COLUMNS($AN$1006:BM1006),$AN$1006:$BO$1006,0))&gt;=100000), " ",IF(INDEX($AN$2:$BO$1001,MATCH(ROWS($AG$2:AG159),$AG$2:$AG$1001,0),MATCH(COLUMNS($AN$1006:BM1006),$AN$1006:$BO$1006,0)), HYPERLINK("#",""), HYPERLINK(CONCATENATE("#Metadata!", ADDRESS(INDEX($AI$2:$AI$1001,MATCH(ROWS($AG$2:AG159),$AG$2:$AG$1001,0),0), INDEX($AN$1004:$BO$1004,1,MATCH(COLUMNS($AN$1006:BM1006),$AN$1006:$BO$1006,0)))),"Fix")))</f>
        <v>0</v>
      </c>
      <c r="AB159" s="4">
        <f>IF(OR(INDEX($AH$2:$AH$1001,MATCH(ROWS($AG$2:AG159),$AG$2:$AG$1001,0),1)&gt;=100000,INDEX($AN$1005:$BO$1005,1,MATCH(COLUMNS($AN$1006:BN1006),$AN$1006:$BO$1006,0))&gt;=100000), " ",IF(INDEX($AN$2:$BO$1001,MATCH(ROWS($AG$2:AG159),$AG$2:$AG$1001,0),MATCH(COLUMNS($AN$1006:BN1006),$AN$1006:$BO$1006,0)), HYPERLINK("#",""), HYPERLINK(CONCATENATE("#Metadata!", ADDRESS(INDEX($AI$2:$AI$1001,MATCH(ROWS($AG$2:AG159),$AG$2:$AG$1001,0),0), INDEX($AN$1004:$BO$1004,1,MATCH(COLUMNS($AN$1006:BN1006),$AN$1006:$BO$1006,0)))),"Fix")))</f>
        <v>0</v>
      </c>
      <c r="AC159" s="4">
        <f>IF(OR(INDEX($AH$2:$AH$1001,MATCH(ROWS($AG$2:AG159),$AG$2:$AG$1001,0),1)&gt;=100000,INDEX($AN$1005:$BO$1005,1,MATCH(COLUMNS($AN$1006:BO1006),$AN$1006:$BO$1006,0))&gt;=100000), " ",IF(INDEX($AN$2:$BO$1001,MATCH(ROWS($AG$2:AG159),$AG$2:$AG$1001,0),MATCH(COLUMNS($AN$1006:BO1006),$AN$1006:$BO$1006,0)), HYPERLINK("#",""), HYPERLINK(CONCATENATE("#Metadata!", ADDRESS(INDEX($AI$2:$AI$1001,MATCH(ROWS($AG$2:AG159),$AG$2:$AG$1001,0),0), INDEX($AN$1004:$BO$1004,1,MATCH(COLUMNS($AN$1006:BO1006),$AN$1006:$BO$1006,0)))),"Fix")))</f>
        <v>0</v>
      </c>
      <c r="AG159">
        <v>0</v>
      </c>
      <c r="AH159">
        <v>0</v>
      </c>
      <c r="AI159">
        <v>0</v>
      </c>
      <c r="AJ159">
        <f>IF(AK159,TRUE,AND(AN159:BO159))</f>
        <v>0</v>
      </c>
      <c r="AK159">
        <f>COUNTBLANK(Metadata!B159:AC159)=COLUMNS(Metadata!B159:AC159)</f>
        <v>0</v>
      </c>
      <c r="AL159">
        <v>0</v>
      </c>
      <c r="AN159">
        <f>AND(IF(Metadata!B159="",FALSE,TRUE),COUNTIF(Metadata!B:B, Metadata!B159) = 1,NOT(ISERROR(SUMPRODUCT(SEARCH(MID(Metadata!B159,ROW(INDIRECT("1:"&amp;LEN(Metadata!B159))), 1),"0123456789abcdefghijklmnopqrstuvwxyzABCDEFGHIJKLMNOPQRSTUVWXYZ.")))))</f>
        <v>0</v>
      </c>
      <c r="AO159">
        <f>IF(Metadata!C159="",FALSE,TRUE)</f>
        <v>0</v>
      </c>
      <c r="AP159">
        <f>IF(Metadata!D159="",FALSE,TRUE)</f>
        <v>0</v>
      </c>
      <c r="AQ159">
        <f>OR(AND(IF(Metadata!E159="",FALSE,TRUE),OR(exact(Metadata!E159,"not collected"),exact(Metadata!E159,"not provided"),exact(Metadata!E159,"restricted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R159">
        <f>IF(Metadata!F159="",FALSE,TRUE)</f>
        <v>0</v>
      </c>
      <c r="AS159">
        <f>OR(AND(IF(Metadata!G159="",FALSE,TRUE),OR(exact(Metadata!G159,"not collected"),exact(Metadata!G159,"not provided"))),AND(IF(Metadata!G159="",FALSE,TRUE),OR(exact(Metadata!G159,"TRUE"),exact(Metadata!G159,"FALSE"))))</f>
        <v>0</v>
      </c>
      <c r="AT159">
        <f>OR(AND(IF(Metadata!H159="",FALSE,TRUE),OR(exact(Metadata!H159,"not collected"),exact(Metadata!H159,"not provided"),exact(Metadata!H159,"restricted access"))),AND(IF(Metadata!H159="",FALSE,ISNUMBER(VALUE(Metadata!H159))),Metadata!H159&gt;=-413.0))</f>
        <v>0</v>
      </c>
      <c r="AU159">
        <f>AND(IF(Metadata!I159="",FALSE,TRUE),exact(Metadata!I159,"meters"))</f>
        <v>0</v>
      </c>
      <c r="AV159">
        <f>AND(IF(Metadata!J159="",FALSE,TRUE),OR(exact(Metadata!J159,"Host-associated"),exact(Metadata!J159,"Free-living")))</f>
        <v>0</v>
      </c>
      <c r="AW159">
        <f>AND(IF(Metadata!K159="",FALSE,TRUE),OR(exact(Metadata!K159,"Animal"),exact(Metadata!K159,"Fungus"),exact(Metadata!K159,"Plant"),exact(Metadata!K159,"Saline"),exact(Metadata!K159,"Non-saline")))</f>
        <v>0</v>
      </c>
      <c r="AX159">
        <f>AND(IF(Metadata!L159="",FALSE,TRUE),OR(exact(Metadata!L159,"Plant secretion"),exact(Metadata!L159,"Plant rhizosphere"),exact(Metadata!L159,"Plant surface"),exact(Metadata!L159,"Plant corpus"),exact(Metadata!L159,"Fungus surface"),exact(Metadata!L159,"Fungus corpus"),exact(Metadata!L159,"Animal surface"),exact(Metadata!L159,"Animal proximal gut"),exact(Metadata!L159,"Animal corpus"),exact(Metadata!L159,"Animal distal gut"),exact(Metadata!L159,"Animal secretion"),exact(Metadata!L159,"Sub-surface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Y159">
        <f>IF(Metadata!M159="",FALSE,TRUE)</f>
        <v>0</v>
      </c>
      <c r="AZ159">
        <f>IF(Metadata!N159="",FALSE,TRUE)</f>
        <v>0</v>
      </c>
      <c r="BA159">
        <f>IF(Metadata!O159="",FALSE,TRUE)</f>
        <v>0</v>
      </c>
      <c r="BB159">
        <f>OR(AND(IF(Metadata!P159="",FALSE,TRUE),OR(exact(Metadata!P159,"not collected"),exact(Metadata!P159,"not provided"),exact(Metadata!P159,"restricted access"))),AND(IF(Metadata!P159="",FALSE,TRUE),OR(exact(Metadata!P159,"air"),exact(Metadata!P159,"built environment"),exact(Metadata!P159,"host-associated"),exact(Metadata!P159,"human-associated"),exact(Metadata!P159,"human-skin"),exact(Metadata!P159,"human-oral"),exact(Metadata!P159,"human-gut"),exact(Metadata!P159,"human-vaginal"),exact(Metadata!P159,"microbial mat/biofilm"),exact(Metadata!P159,"misc environment"),exact(Metadata!P159,"plant-associated"),exact(Metadata!P159,"sediment"),exact(Metadata!P159,"soil"),exact(Metadata!P159,"wastewater/sludge"),exact(Metadata!P159,"water"))))</f>
        <v>0</v>
      </c>
      <c r="BC159">
        <f>IF(Metadata!Q159="",FALSE,TRUE)</f>
        <v>0</v>
      </c>
      <c r="BD159">
        <f>IF(Metadata!R159="",FALSE,TRUE)</f>
        <v>0</v>
      </c>
      <c r="BE159">
        <f>OR(AND(IF(Metadata!S159="",FALSE,TRUE),OR(exact(Metadata!S159,"not collected"),exact(Metadata!S159,"not provided"),exact(Metadata!S159,"restricted access"))),AND(IF(Metadata!S159="",FALSE,ISNUMBER(VALUE(Metadata!S159))),Metadata!S159&gt;=-90.00,Metadata!S159&lt;=90.00))</f>
        <v>0</v>
      </c>
      <c r="BF159">
        <f>AND(IF(Metadata!T159="",FALSE,TRUE),exact(Metadata!T159,"Decimal degrees"))</f>
        <v>0</v>
      </c>
      <c r="BG159">
        <f>OR(AND(IF(Metadata!U159="",FALSE,TRUE),OR(exact(Metadata!U159,"not collected"),exact(Metadata!U159,"not provided"),exact(Metadata!U159,"restricted access"))),AND(IF(Metadata!U159="",FALSE,ISNUMBER(VALUE(Metadata!U159))),Metadata!U159&gt;=-180.00,Metadata!U159&lt;=180.00))</f>
        <v>0</v>
      </c>
      <c r="BH159">
        <f>AND(IF(Metadata!V159="",FALSE,TRUE),exact(Metadata!V159,"Decimal degrees"))</f>
        <v>0</v>
      </c>
      <c r="BI159">
        <f>IF(Metadata!W159="",FALSE,TRUE)</f>
        <v>0</v>
      </c>
      <c r="BJ159">
        <f>OR(AND(IF(Metadata!X159="",FALSE,TRUE),OR(exact(Metadata!X159,"not collected"),exact(Metadata!X159,"not provided"),exact(Metadata!X159,"restricted access"))),AND(IF(Metadata!X159="",FALSE,TRUE),OR(exact(Metadata!X159,"TRUE"),exact(Metadata!X159,"FALSE"))))</f>
        <v>0</v>
      </c>
      <c r="BK159">
        <f>AND(IF(Metadata!Y159="",FALSE,TRUE),exact(Metadata!Y159,"other"))</f>
        <v>0</v>
      </c>
      <c r="BL159">
        <f>IF(Metadata!Z159="",FALSE,TRUE)</f>
        <v>0</v>
      </c>
      <c r="BM159">
        <f>OR(AND(IF(Metadata!AA159="",FALSE,TRUE),OR(exact(Metadata!AA159,"not collected"),exact(Metadata!AA159,"not provided"))),AND(IF(Metadata!AA159="",FALSE,IF(ISERROR(INT(Metadata!AA159)),FALSE,INT(Metadata!AA159)=Metadata!AA159)),Metadata!AA159&gt;0))</f>
        <v>0</v>
      </c>
      <c r="BN159">
        <f>AND(IF(Metadata!AB159="",FALSE,TRUE),exact(Metadata!AB159,"Not applicable"))</f>
        <v>0</v>
      </c>
      <c r="BO159">
        <f>IF(Metadata!AC159="",FALSE,TRUE)</f>
        <v>0</v>
      </c>
    </row>
    <row r="160" spans="1:67">
      <c r="A160" s="5">
        <f>IF(B160=" "," ",HYPERLINK(CONCATENATE("#metadata!",ADDRESS(INDEX($AI$2:$AI$1001,MATCH(ROWS($AG$2:AG160),$AG$2:$AG$1001,0),0),1)),INDEX($AL$2:$AL$1001,MATCH(ROWS($AG$2:AG160),$AG$2:$AG$1001,0),0)))</f>
        <v>0</v>
      </c>
      <c r="B160" s="4">
        <f>IF(OR(INDEX($AH$2:$AH$1001,MATCH(ROWS($AG$2:AG160),$AG$2:$AG$1001,0),1)&gt;=100000,INDEX($AN$1005:$BO$1005,1,MATCH(COLUMNS($AN$1006:AN1006),$AN$1006:$BO$1006,0))&gt;=100000), " ",IF(INDEX($AN$2:$BO$1001,MATCH(ROWS($AG$2:AG160),$AG$2:$AG$1001,0),MATCH(COLUMNS($AN$1006:AN1006),$AN$1006:$BO$1006,0)), HYPERLINK("#",""), HYPERLINK(CONCATENATE("#Metadata!", ADDRESS(INDEX($AI$2:$AI$1001,MATCH(ROWS($AG$2:AG160),$AG$2:$AG$1001,0),0), INDEX($AN$1004:$BO$1004,1,MATCH(COLUMNS($AN$1006:AN1006),$AN$1006:$BO$1006,0)))),"Fix")))</f>
        <v>0</v>
      </c>
      <c r="C160" s="4">
        <f>IF(OR(INDEX($AH$2:$AH$1001,MATCH(ROWS($AG$2:AG160),$AG$2:$AG$1001,0),1)&gt;=100000,INDEX($AN$1005:$BO$1005,1,MATCH(COLUMNS($AN$1006:AO1006),$AN$1006:$BO$1006,0))&gt;=100000), " ",IF(INDEX($AN$2:$BO$1001,MATCH(ROWS($AG$2:AG160),$AG$2:$AG$1001,0),MATCH(COLUMNS($AN$1006:AO1006),$AN$1006:$BO$1006,0)), HYPERLINK("#",""), HYPERLINK(CONCATENATE("#Metadata!", ADDRESS(INDEX($AI$2:$AI$1001,MATCH(ROWS($AG$2:AG160),$AG$2:$AG$1001,0),0), INDEX($AN$1004:$BO$1004,1,MATCH(COLUMNS($AN$1006:AO1006),$AN$1006:$BO$1006,0)))),"Fix")))</f>
        <v>0</v>
      </c>
      <c r="D160" s="4">
        <f>IF(OR(INDEX($AH$2:$AH$1001,MATCH(ROWS($AG$2:AG160),$AG$2:$AG$1001,0),1)&gt;=100000,INDEX($AN$1005:$BO$1005,1,MATCH(COLUMNS($AN$1006:AP1006),$AN$1006:$BO$1006,0))&gt;=100000), " ",IF(INDEX($AN$2:$BO$1001,MATCH(ROWS($AG$2:AG160),$AG$2:$AG$1001,0),MATCH(COLUMNS($AN$1006:AP1006),$AN$1006:$BO$1006,0)), HYPERLINK("#",""), HYPERLINK(CONCATENATE("#Metadata!", ADDRESS(INDEX($AI$2:$AI$1001,MATCH(ROWS($AG$2:AG160),$AG$2:$AG$1001,0),0), INDEX($AN$1004:$BO$1004,1,MATCH(COLUMNS($AN$1006:AP1006),$AN$1006:$BO$1006,0)))),"Fix")))</f>
        <v>0</v>
      </c>
      <c r="E160" s="4">
        <f>IF(OR(INDEX($AH$2:$AH$1001,MATCH(ROWS($AG$2:AG160),$AG$2:$AG$1001,0),1)&gt;=100000,INDEX($AN$1005:$BO$1005,1,MATCH(COLUMNS($AN$1006:AQ1006),$AN$1006:$BO$1006,0))&gt;=100000), " ",IF(INDEX($AN$2:$BO$1001,MATCH(ROWS($AG$2:AG160),$AG$2:$AG$1001,0),MATCH(COLUMNS($AN$1006:AQ1006),$AN$1006:$BO$1006,0)), HYPERLINK("#",""), HYPERLINK(CONCATENATE("#Metadata!", ADDRESS(INDEX($AI$2:$AI$1001,MATCH(ROWS($AG$2:AG160),$AG$2:$AG$1001,0),0), INDEX($AN$1004:$BO$1004,1,MATCH(COLUMNS($AN$1006:AQ1006),$AN$1006:$BO$1006,0)))),"Fix")))</f>
        <v>0</v>
      </c>
      <c r="F160" s="4">
        <f>IF(OR(INDEX($AH$2:$AH$1001,MATCH(ROWS($AG$2:AG160),$AG$2:$AG$1001,0),1)&gt;=100000,INDEX($AN$1005:$BO$1005,1,MATCH(COLUMNS($AN$1006:AR1006),$AN$1006:$BO$1006,0))&gt;=100000), " ",IF(INDEX($AN$2:$BO$1001,MATCH(ROWS($AG$2:AG160),$AG$2:$AG$1001,0),MATCH(COLUMNS($AN$1006:AR1006),$AN$1006:$BO$1006,0)), HYPERLINK("#",""), HYPERLINK(CONCATENATE("#Metadata!", ADDRESS(INDEX($AI$2:$AI$1001,MATCH(ROWS($AG$2:AG160),$AG$2:$AG$1001,0),0), INDEX($AN$1004:$BO$1004,1,MATCH(COLUMNS($AN$1006:AR1006),$AN$1006:$BO$1006,0)))),"Fix")))</f>
        <v>0</v>
      </c>
      <c r="G160" s="4">
        <f>IF(OR(INDEX($AH$2:$AH$1001,MATCH(ROWS($AG$2:AG160),$AG$2:$AG$1001,0),1)&gt;=100000,INDEX($AN$1005:$BO$1005,1,MATCH(COLUMNS($AN$1006:AS1006),$AN$1006:$BO$1006,0))&gt;=100000), " ",IF(INDEX($AN$2:$BO$1001,MATCH(ROWS($AG$2:AG160),$AG$2:$AG$1001,0),MATCH(COLUMNS($AN$1006:AS1006),$AN$1006:$BO$1006,0)), HYPERLINK("#",""), HYPERLINK(CONCATENATE("#Metadata!", ADDRESS(INDEX($AI$2:$AI$1001,MATCH(ROWS($AG$2:AG160),$AG$2:$AG$1001,0),0), INDEX($AN$1004:$BO$1004,1,MATCH(COLUMNS($AN$1006:AS1006),$AN$1006:$BO$1006,0)))),"Fix")))</f>
        <v>0</v>
      </c>
      <c r="H160" s="4">
        <f>IF(OR(INDEX($AH$2:$AH$1001,MATCH(ROWS($AG$2:AG160),$AG$2:$AG$1001,0),1)&gt;=100000,INDEX($AN$1005:$BO$1005,1,MATCH(COLUMNS($AN$1006:AT1006),$AN$1006:$BO$1006,0))&gt;=100000), " ",IF(INDEX($AN$2:$BO$1001,MATCH(ROWS($AG$2:AG160),$AG$2:$AG$1001,0),MATCH(COLUMNS($AN$1006:AT1006),$AN$1006:$BO$1006,0)), HYPERLINK("#",""), HYPERLINK(CONCATENATE("#Metadata!", ADDRESS(INDEX($AI$2:$AI$1001,MATCH(ROWS($AG$2:AG160),$AG$2:$AG$1001,0),0), INDEX($AN$1004:$BO$1004,1,MATCH(COLUMNS($AN$1006:AT1006),$AN$1006:$BO$1006,0)))),"Fix")))</f>
        <v>0</v>
      </c>
      <c r="I160" s="4">
        <f>IF(OR(INDEX($AH$2:$AH$1001,MATCH(ROWS($AG$2:AG160),$AG$2:$AG$1001,0),1)&gt;=100000,INDEX($AN$1005:$BO$1005,1,MATCH(COLUMNS($AN$1006:AU1006),$AN$1006:$BO$1006,0))&gt;=100000), " ",IF(INDEX($AN$2:$BO$1001,MATCH(ROWS($AG$2:AG160),$AG$2:$AG$1001,0),MATCH(COLUMNS($AN$1006:AU1006),$AN$1006:$BO$1006,0)), HYPERLINK("#",""), HYPERLINK(CONCATENATE("#Metadata!", ADDRESS(INDEX($AI$2:$AI$1001,MATCH(ROWS($AG$2:AG160),$AG$2:$AG$1001,0),0), INDEX($AN$1004:$BO$1004,1,MATCH(COLUMNS($AN$1006:AU1006),$AN$1006:$BO$1006,0)))),"Fix")))</f>
        <v>0</v>
      </c>
      <c r="J160" s="4">
        <f>IF(OR(INDEX($AH$2:$AH$1001,MATCH(ROWS($AG$2:AG160),$AG$2:$AG$1001,0),1)&gt;=100000,INDEX($AN$1005:$BO$1005,1,MATCH(COLUMNS($AN$1006:AV1006),$AN$1006:$BO$1006,0))&gt;=100000), " ",IF(INDEX($AN$2:$BO$1001,MATCH(ROWS($AG$2:AG160),$AG$2:$AG$1001,0),MATCH(COLUMNS($AN$1006:AV1006),$AN$1006:$BO$1006,0)), HYPERLINK("#",""), HYPERLINK(CONCATENATE("#Metadata!", ADDRESS(INDEX($AI$2:$AI$1001,MATCH(ROWS($AG$2:AG160),$AG$2:$AG$1001,0),0), INDEX($AN$1004:$BO$1004,1,MATCH(COLUMNS($AN$1006:AV1006),$AN$1006:$BO$1006,0)))),"Fix")))</f>
        <v>0</v>
      </c>
      <c r="K160" s="4">
        <f>IF(OR(INDEX($AH$2:$AH$1001,MATCH(ROWS($AG$2:AG160),$AG$2:$AG$1001,0),1)&gt;=100000,INDEX($AN$1005:$BO$1005,1,MATCH(COLUMNS($AN$1006:AW1006),$AN$1006:$BO$1006,0))&gt;=100000), " ",IF(INDEX($AN$2:$BO$1001,MATCH(ROWS($AG$2:AG160),$AG$2:$AG$1001,0),MATCH(COLUMNS($AN$1006:AW1006),$AN$1006:$BO$1006,0)), HYPERLINK("#",""), HYPERLINK(CONCATENATE("#Metadata!", ADDRESS(INDEX($AI$2:$AI$1001,MATCH(ROWS($AG$2:AG160),$AG$2:$AG$1001,0),0), INDEX($AN$1004:$BO$1004,1,MATCH(COLUMNS($AN$1006:AW1006),$AN$1006:$BO$1006,0)))),"Fix")))</f>
        <v>0</v>
      </c>
      <c r="L160" s="4">
        <f>IF(OR(INDEX($AH$2:$AH$1001,MATCH(ROWS($AG$2:AG160),$AG$2:$AG$1001,0),1)&gt;=100000,INDEX($AN$1005:$BO$1005,1,MATCH(COLUMNS($AN$1006:AX1006),$AN$1006:$BO$1006,0))&gt;=100000), " ",IF(INDEX($AN$2:$BO$1001,MATCH(ROWS($AG$2:AG160),$AG$2:$AG$1001,0),MATCH(COLUMNS($AN$1006:AX1006),$AN$1006:$BO$1006,0)), HYPERLINK("#",""), HYPERLINK(CONCATENATE("#Metadata!", ADDRESS(INDEX($AI$2:$AI$1001,MATCH(ROWS($AG$2:AG160),$AG$2:$AG$1001,0),0), INDEX($AN$1004:$BO$1004,1,MATCH(COLUMNS($AN$1006:AX1006),$AN$1006:$BO$1006,0)))),"Fix")))</f>
        <v>0</v>
      </c>
      <c r="M160" s="4">
        <f>IF(OR(INDEX($AH$2:$AH$1001,MATCH(ROWS($AG$2:AG160),$AG$2:$AG$1001,0),1)&gt;=100000,INDEX($AN$1005:$BO$1005,1,MATCH(COLUMNS($AN$1006:AY1006),$AN$1006:$BO$1006,0))&gt;=100000), " ",IF(INDEX($AN$2:$BO$1001,MATCH(ROWS($AG$2:AG160),$AG$2:$AG$1001,0),MATCH(COLUMNS($AN$1006:AY1006),$AN$1006:$BO$1006,0)), HYPERLINK("#",""), HYPERLINK(CONCATENATE("#Metadata!", ADDRESS(INDEX($AI$2:$AI$1001,MATCH(ROWS($AG$2:AG160),$AG$2:$AG$1001,0),0), INDEX($AN$1004:$BO$1004,1,MATCH(COLUMNS($AN$1006:AY1006),$AN$1006:$BO$1006,0)))),"Fix")))</f>
        <v>0</v>
      </c>
      <c r="N160" s="4">
        <f>IF(OR(INDEX($AH$2:$AH$1001,MATCH(ROWS($AG$2:AG160),$AG$2:$AG$1001,0),1)&gt;=100000,INDEX($AN$1005:$BO$1005,1,MATCH(COLUMNS($AN$1006:AZ1006),$AN$1006:$BO$1006,0))&gt;=100000), " ",IF(INDEX($AN$2:$BO$1001,MATCH(ROWS($AG$2:AG160),$AG$2:$AG$1001,0),MATCH(COLUMNS($AN$1006:AZ1006),$AN$1006:$BO$1006,0)), HYPERLINK("#",""), HYPERLINK(CONCATENATE("#Metadata!", ADDRESS(INDEX($AI$2:$AI$1001,MATCH(ROWS($AG$2:AG160),$AG$2:$AG$1001,0),0), INDEX($AN$1004:$BO$1004,1,MATCH(COLUMNS($AN$1006:AZ1006),$AN$1006:$BO$1006,0)))),"Fix")))</f>
        <v>0</v>
      </c>
      <c r="O160" s="4">
        <f>IF(OR(INDEX($AH$2:$AH$1001,MATCH(ROWS($AG$2:AG160),$AG$2:$AG$1001,0),1)&gt;=100000,INDEX($AN$1005:$BO$1005,1,MATCH(COLUMNS($AN$1006:BA1006),$AN$1006:$BO$1006,0))&gt;=100000), " ",IF(INDEX($AN$2:$BO$1001,MATCH(ROWS($AG$2:AG160),$AG$2:$AG$1001,0),MATCH(COLUMNS($AN$1006:BA1006),$AN$1006:$BO$1006,0)), HYPERLINK("#",""), HYPERLINK(CONCATENATE("#Metadata!", ADDRESS(INDEX($AI$2:$AI$1001,MATCH(ROWS($AG$2:AG160),$AG$2:$AG$1001,0),0), INDEX($AN$1004:$BO$1004,1,MATCH(COLUMNS($AN$1006:BA1006),$AN$1006:$BO$1006,0)))),"Fix")))</f>
        <v>0</v>
      </c>
      <c r="P160" s="4">
        <f>IF(OR(INDEX($AH$2:$AH$1001,MATCH(ROWS($AG$2:AG160),$AG$2:$AG$1001,0),1)&gt;=100000,INDEX($AN$1005:$BO$1005,1,MATCH(COLUMNS($AN$1006:BB1006),$AN$1006:$BO$1006,0))&gt;=100000), " ",IF(INDEX($AN$2:$BO$1001,MATCH(ROWS($AG$2:AG160),$AG$2:$AG$1001,0),MATCH(COLUMNS($AN$1006:BB1006),$AN$1006:$BO$1006,0)), HYPERLINK("#",""), HYPERLINK(CONCATENATE("#Metadata!", ADDRESS(INDEX($AI$2:$AI$1001,MATCH(ROWS($AG$2:AG160),$AG$2:$AG$1001,0),0), INDEX($AN$1004:$BO$1004,1,MATCH(COLUMNS($AN$1006:BB1006),$AN$1006:$BO$1006,0)))),"Fix")))</f>
        <v>0</v>
      </c>
      <c r="Q160" s="4">
        <f>IF(OR(INDEX($AH$2:$AH$1001,MATCH(ROWS($AG$2:AG160),$AG$2:$AG$1001,0),1)&gt;=100000,INDEX($AN$1005:$BO$1005,1,MATCH(COLUMNS($AN$1006:BC1006),$AN$1006:$BO$1006,0))&gt;=100000), " ",IF(INDEX($AN$2:$BO$1001,MATCH(ROWS($AG$2:AG160),$AG$2:$AG$1001,0),MATCH(COLUMNS($AN$1006:BC1006),$AN$1006:$BO$1006,0)), HYPERLINK("#",""), HYPERLINK(CONCATENATE("#Metadata!", ADDRESS(INDEX($AI$2:$AI$1001,MATCH(ROWS($AG$2:AG160),$AG$2:$AG$1001,0),0), INDEX($AN$1004:$BO$1004,1,MATCH(COLUMNS($AN$1006:BC1006),$AN$1006:$BO$1006,0)))),"Fix")))</f>
        <v>0</v>
      </c>
      <c r="R160" s="4">
        <f>IF(OR(INDEX($AH$2:$AH$1001,MATCH(ROWS($AG$2:AG160),$AG$2:$AG$1001,0),1)&gt;=100000,INDEX($AN$1005:$BO$1005,1,MATCH(COLUMNS($AN$1006:BD1006),$AN$1006:$BO$1006,0))&gt;=100000), " ",IF(INDEX($AN$2:$BO$1001,MATCH(ROWS($AG$2:AG160),$AG$2:$AG$1001,0),MATCH(COLUMNS($AN$1006:BD1006),$AN$1006:$BO$1006,0)), HYPERLINK("#",""), HYPERLINK(CONCATENATE("#Metadata!", ADDRESS(INDEX($AI$2:$AI$1001,MATCH(ROWS($AG$2:AG160),$AG$2:$AG$1001,0),0), INDEX($AN$1004:$BO$1004,1,MATCH(COLUMNS($AN$1006:BD1006),$AN$1006:$BO$1006,0)))),"Fix")))</f>
        <v>0</v>
      </c>
      <c r="S160" s="4">
        <f>IF(OR(INDEX($AH$2:$AH$1001,MATCH(ROWS($AG$2:AG160),$AG$2:$AG$1001,0),1)&gt;=100000,INDEX($AN$1005:$BO$1005,1,MATCH(COLUMNS($AN$1006:BE1006),$AN$1006:$BO$1006,0))&gt;=100000), " ",IF(INDEX($AN$2:$BO$1001,MATCH(ROWS($AG$2:AG160),$AG$2:$AG$1001,0),MATCH(COLUMNS($AN$1006:BE1006),$AN$1006:$BO$1006,0)), HYPERLINK("#",""), HYPERLINK(CONCATENATE("#Metadata!", ADDRESS(INDEX($AI$2:$AI$1001,MATCH(ROWS($AG$2:AG160),$AG$2:$AG$1001,0),0), INDEX($AN$1004:$BO$1004,1,MATCH(COLUMNS($AN$1006:BE1006),$AN$1006:$BO$1006,0)))),"Fix")))</f>
        <v>0</v>
      </c>
      <c r="T160" s="4">
        <f>IF(OR(INDEX($AH$2:$AH$1001,MATCH(ROWS($AG$2:AG160),$AG$2:$AG$1001,0),1)&gt;=100000,INDEX($AN$1005:$BO$1005,1,MATCH(COLUMNS($AN$1006:BF1006),$AN$1006:$BO$1006,0))&gt;=100000), " ",IF(INDEX($AN$2:$BO$1001,MATCH(ROWS($AG$2:AG160),$AG$2:$AG$1001,0),MATCH(COLUMNS($AN$1006:BF1006),$AN$1006:$BO$1006,0)), HYPERLINK("#",""), HYPERLINK(CONCATENATE("#Metadata!", ADDRESS(INDEX($AI$2:$AI$1001,MATCH(ROWS($AG$2:AG160),$AG$2:$AG$1001,0),0), INDEX($AN$1004:$BO$1004,1,MATCH(COLUMNS($AN$1006:BF1006),$AN$1006:$BO$1006,0)))),"Fix")))</f>
        <v>0</v>
      </c>
      <c r="U160" s="4">
        <f>IF(OR(INDEX($AH$2:$AH$1001,MATCH(ROWS($AG$2:AG160),$AG$2:$AG$1001,0),1)&gt;=100000,INDEX($AN$1005:$BO$1005,1,MATCH(COLUMNS($AN$1006:BG1006),$AN$1006:$BO$1006,0))&gt;=100000), " ",IF(INDEX($AN$2:$BO$1001,MATCH(ROWS($AG$2:AG160),$AG$2:$AG$1001,0),MATCH(COLUMNS($AN$1006:BG1006),$AN$1006:$BO$1006,0)), HYPERLINK("#",""), HYPERLINK(CONCATENATE("#Metadata!", ADDRESS(INDEX($AI$2:$AI$1001,MATCH(ROWS($AG$2:AG160),$AG$2:$AG$1001,0),0), INDEX($AN$1004:$BO$1004,1,MATCH(COLUMNS($AN$1006:BG1006),$AN$1006:$BO$1006,0)))),"Fix")))</f>
        <v>0</v>
      </c>
      <c r="V160" s="4">
        <f>IF(OR(INDEX($AH$2:$AH$1001,MATCH(ROWS($AG$2:AG160),$AG$2:$AG$1001,0),1)&gt;=100000,INDEX($AN$1005:$BO$1005,1,MATCH(COLUMNS($AN$1006:BH1006),$AN$1006:$BO$1006,0))&gt;=100000), " ",IF(INDEX($AN$2:$BO$1001,MATCH(ROWS($AG$2:AG160),$AG$2:$AG$1001,0),MATCH(COLUMNS($AN$1006:BH1006),$AN$1006:$BO$1006,0)), HYPERLINK("#",""), HYPERLINK(CONCATENATE("#Metadata!", ADDRESS(INDEX($AI$2:$AI$1001,MATCH(ROWS($AG$2:AG160),$AG$2:$AG$1001,0),0), INDEX($AN$1004:$BO$1004,1,MATCH(COLUMNS($AN$1006:BH1006),$AN$1006:$BO$1006,0)))),"Fix")))</f>
        <v>0</v>
      </c>
      <c r="W160" s="4">
        <f>IF(OR(INDEX($AH$2:$AH$1001,MATCH(ROWS($AG$2:AG160),$AG$2:$AG$1001,0),1)&gt;=100000,INDEX($AN$1005:$BO$1005,1,MATCH(COLUMNS($AN$1006:BI1006),$AN$1006:$BO$1006,0))&gt;=100000), " ",IF(INDEX($AN$2:$BO$1001,MATCH(ROWS($AG$2:AG160),$AG$2:$AG$1001,0),MATCH(COLUMNS($AN$1006:BI1006),$AN$1006:$BO$1006,0)), HYPERLINK("#",""), HYPERLINK(CONCATENATE("#Metadata!", ADDRESS(INDEX($AI$2:$AI$1001,MATCH(ROWS($AG$2:AG160),$AG$2:$AG$1001,0),0), INDEX($AN$1004:$BO$1004,1,MATCH(COLUMNS($AN$1006:BI1006),$AN$1006:$BO$1006,0)))),"Fix")))</f>
        <v>0</v>
      </c>
      <c r="X160" s="4">
        <f>IF(OR(INDEX($AH$2:$AH$1001,MATCH(ROWS($AG$2:AG160),$AG$2:$AG$1001,0),1)&gt;=100000,INDEX($AN$1005:$BO$1005,1,MATCH(COLUMNS($AN$1006:BJ1006),$AN$1006:$BO$1006,0))&gt;=100000), " ",IF(INDEX($AN$2:$BO$1001,MATCH(ROWS($AG$2:AG160),$AG$2:$AG$1001,0),MATCH(COLUMNS($AN$1006:BJ1006),$AN$1006:$BO$1006,0)), HYPERLINK("#",""), HYPERLINK(CONCATENATE("#Metadata!", ADDRESS(INDEX($AI$2:$AI$1001,MATCH(ROWS($AG$2:AG160),$AG$2:$AG$1001,0),0), INDEX($AN$1004:$BO$1004,1,MATCH(COLUMNS($AN$1006:BJ1006),$AN$1006:$BO$1006,0)))),"Fix")))</f>
        <v>0</v>
      </c>
      <c r="Y160" s="4">
        <f>IF(OR(INDEX($AH$2:$AH$1001,MATCH(ROWS($AG$2:AG160),$AG$2:$AG$1001,0),1)&gt;=100000,INDEX($AN$1005:$BO$1005,1,MATCH(COLUMNS($AN$1006:BK1006),$AN$1006:$BO$1006,0))&gt;=100000), " ",IF(INDEX($AN$2:$BO$1001,MATCH(ROWS($AG$2:AG160),$AG$2:$AG$1001,0),MATCH(COLUMNS($AN$1006:BK1006),$AN$1006:$BO$1006,0)), HYPERLINK("#",""), HYPERLINK(CONCATENATE("#Metadata!", ADDRESS(INDEX($AI$2:$AI$1001,MATCH(ROWS($AG$2:AG160),$AG$2:$AG$1001,0),0), INDEX($AN$1004:$BO$1004,1,MATCH(COLUMNS($AN$1006:BK1006),$AN$1006:$BO$1006,0)))),"Fix")))</f>
        <v>0</v>
      </c>
      <c r="Z160" s="4">
        <f>IF(OR(INDEX($AH$2:$AH$1001,MATCH(ROWS($AG$2:AG160),$AG$2:$AG$1001,0),1)&gt;=100000,INDEX($AN$1005:$BO$1005,1,MATCH(COLUMNS($AN$1006:BL1006),$AN$1006:$BO$1006,0))&gt;=100000), " ",IF(INDEX($AN$2:$BO$1001,MATCH(ROWS($AG$2:AG160),$AG$2:$AG$1001,0),MATCH(COLUMNS($AN$1006:BL1006),$AN$1006:$BO$1006,0)), HYPERLINK("#",""), HYPERLINK(CONCATENATE("#Metadata!", ADDRESS(INDEX($AI$2:$AI$1001,MATCH(ROWS($AG$2:AG160),$AG$2:$AG$1001,0),0), INDEX($AN$1004:$BO$1004,1,MATCH(COLUMNS($AN$1006:BL1006),$AN$1006:$BO$1006,0)))),"Fix")))</f>
        <v>0</v>
      </c>
      <c r="AA160" s="4">
        <f>IF(OR(INDEX($AH$2:$AH$1001,MATCH(ROWS($AG$2:AG160),$AG$2:$AG$1001,0),1)&gt;=100000,INDEX($AN$1005:$BO$1005,1,MATCH(COLUMNS($AN$1006:BM1006),$AN$1006:$BO$1006,0))&gt;=100000), " ",IF(INDEX($AN$2:$BO$1001,MATCH(ROWS($AG$2:AG160),$AG$2:$AG$1001,0),MATCH(COLUMNS($AN$1006:BM1006),$AN$1006:$BO$1006,0)), HYPERLINK("#",""), HYPERLINK(CONCATENATE("#Metadata!", ADDRESS(INDEX($AI$2:$AI$1001,MATCH(ROWS($AG$2:AG160),$AG$2:$AG$1001,0),0), INDEX($AN$1004:$BO$1004,1,MATCH(COLUMNS($AN$1006:BM1006),$AN$1006:$BO$1006,0)))),"Fix")))</f>
        <v>0</v>
      </c>
      <c r="AB160" s="4">
        <f>IF(OR(INDEX($AH$2:$AH$1001,MATCH(ROWS($AG$2:AG160),$AG$2:$AG$1001,0),1)&gt;=100000,INDEX($AN$1005:$BO$1005,1,MATCH(COLUMNS($AN$1006:BN1006),$AN$1006:$BO$1006,0))&gt;=100000), " ",IF(INDEX($AN$2:$BO$1001,MATCH(ROWS($AG$2:AG160),$AG$2:$AG$1001,0),MATCH(COLUMNS($AN$1006:BN1006),$AN$1006:$BO$1006,0)), HYPERLINK("#",""), HYPERLINK(CONCATENATE("#Metadata!", ADDRESS(INDEX($AI$2:$AI$1001,MATCH(ROWS($AG$2:AG160),$AG$2:$AG$1001,0),0), INDEX($AN$1004:$BO$1004,1,MATCH(COLUMNS($AN$1006:BN1006),$AN$1006:$BO$1006,0)))),"Fix")))</f>
        <v>0</v>
      </c>
      <c r="AC160" s="4">
        <f>IF(OR(INDEX($AH$2:$AH$1001,MATCH(ROWS($AG$2:AG160),$AG$2:$AG$1001,0),1)&gt;=100000,INDEX($AN$1005:$BO$1005,1,MATCH(COLUMNS($AN$1006:BO1006),$AN$1006:$BO$1006,0))&gt;=100000), " ",IF(INDEX($AN$2:$BO$1001,MATCH(ROWS($AG$2:AG160),$AG$2:$AG$1001,0),MATCH(COLUMNS($AN$1006:BO1006),$AN$1006:$BO$1006,0)), HYPERLINK("#",""), HYPERLINK(CONCATENATE("#Metadata!", ADDRESS(INDEX($AI$2:$AI$1001,MATCH(ROWS($AG$2:AG160),$AG$2:$AG$1001,0),0), INDEX($AN$1004:$BO$1004,1,MATCH(COLUMNS($AN$1006:BO1006),$AN$1006:$BO$1006,0)))),"Fix")))</f>
        <v>0</v>
      </c>
      <c r="AG160">
        <v>0</v>
      </c>
      <c r="AH160">
        <v>0</v>
      </c>
      <c r="AI160">
        <v>0</v>
      </c>
      <c r="AJ160">
        <f>IF(AK160,TRUE,AND(AN160:BO160))</f>
        <v>0</v>
      </c>
      <c r="AK160">
        <f>COUNTBLANK(Metadata!B160:AC160)=COLUMNS(Metadata!B160:AC160)</f>
        <v>0</v>
      </c>
      <c r="AL160">
        <v>0</v>
      </c>
      <c r="AN160">
        <f>AND(IF(Metadata!B160="",FALSE,TRUE),COUNTIF(Metadata!B:B, Metadata!B160) = 1,NOT(ISERROR(SUMPRODUCT(SEARCH(MID(Metadata!B160,ROW(INDIRECT("1:"&amp;LEN(Metadata!B160))), 1),"0123456789abcdefghijklmnopqrstuvwxyzABCDEFGHIJKLMNOPQRSTUVWXYZ.")))))</f>
        <v>0</v>
      </c>
      <c r="AO160">
        <f>IF(Metadata!C160="",FALSE,TRUE)</f>
        <v>0</v>
      </c>
      <c r="AP160">
        <f>IF(Metadata!D160="",FALSE,TRUE)</f>
        <v>0</v>
      </c>
      <c r="AQ160">
        <f>OR(AND(IF(Metadata!E160="",FALSE,TRUE),OR(exact(Metadata!E160,"not collected"),exact(Metadata!E160,"not provided"),exact(Metadata!E160,"restricted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R160">
        <f>IF(Metadata!F160="",FALSE,TRUE)</f>
        <v>0</v>
      </c>
      <c r="AS160">
        <f>OR(AND(IF(Metadata!G160="",FALSE,TRUE),OR(exact(Metadata!G160,"not collected"),exact(Metadata!G160,"not provided"))),AND(IF(Metadata!G160="",FALSE,TRUE),OR(exact(Metadata!G160,"TRUE"),exact(Metadata!G160,"FALSE"))))</f>
        <v>0</v>
      </c>
      <c r="AT160">
        <f>OR(AND(IF(Metadata!H160="",FALSE,TRUE),OR(exact(Metadata!H160,"not collected"),exact(Metadata!H160,"not provided"),exact(Metadata!H160,"restricted access"))),AND(IF(Metadata!H160="",FALSE,ISNUMBER(VALUE(Metadata!H160))),Metadata!H160&gt;=-413.0))</f>
        <v>0</v>
      </c>
      <c r="AU160">
        <f>AND(IF(Metadata!I160="",FALSE,TRUE),exact(Metadata!I160,"meters"))</f>
        <v>0</v>
      </c>
      <c r="AV160">
        <f>AND(IF(Metadata!J160="",FALSE,TRUE),OR(exact(Metadata!J160,"Host-associated"),exact(Metadata!J160,"Free-living")))</f>
        <v>0</v>
      </c>
      <c r="AW160">
        <f>AND(IF(Metadata!K160="",FALSE,TRUE),OR(exact(Metadata!K160,"Animal"),exact(Metadata!K160,"Fungus"),exact(Metadata!K160,"Plant"),exact(Metadata!K160,"Saline"),exact(Metadata!K160,"Non-saline")))</f>
        <v>0</v>
      </c>
      <c r="AX160">
        <f>AND(IF(Metadata!L160="",FALSE,TRUE),OR(exact(Metadata!L160,"Plant secretion"),exact(Metadata!L160,"Plant rhizosphere"),exact(Metadata!L160,"Plant surface"),exact(Metadata!L160,"Plant corpus"),exact(Metadata!L160,"Fungus surface"),exact(Metadata!L160,"Fungus corpus"),exact(Metadata!L160,"Animal surface"),exact(Metadata!L160,"Animal proximal gut"),exact(Metadata!L160,"Animal corpus"),exact(Metadata!L160,"Animal distal gut"),exact(Metadata!L160,"Animal secretion"),exact(Metadata!L160,"Sub-surface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Y160">
        <f>IF(Metadata!M160="",FALSE,TRUE)</f>
        <v>0</v>
      </c>
      <c r="AZ160">
        <f>IF(Metadata!N160="",FALSE,TRUE)</f>
        <v>0</v>
      </c>
      <c r="BA160">
        <f>IF(Metadata!O160="",FALSE,TRUE)</f>
        <v>0</v>
      </c>
      <c r="BB160">
        <f>OR(AND(IF(Metadata!P160="",FALSE,TRUE),OR(exact(Metadata!P160,"not collected"),exact(Metadata!P160,"not provided"),exact(Metadata!P160,"restricted access"))),AND(IF(Metadata!P160="",FALSE,TRUE),OR(exact(Metadata!P160,"air"),exact(Metadata!P160,"built environment"),exact(Metadata!P160,"host-associated"),exact(Metadata!P160,"human-associated"),exact(Metadata!P160,"human-skin"),exact(Metadata!P160,"human-oral"),exact(Metadata!P160,"human-gut"),exact(Metadata!P160,"human-vaginal"),exact(Metadata!P160,"microbial mat/biofilm"),exact(Metadata!P160,"misc environment"),exact(Metadata!P160,"plant-associated"),exact(Metadata!P160,"sediment"),exact(Metadata!P160,"soil"),exact(Metadata!P160,"wastewater/sludge"),exact(Metadata!P160,"water"))))</f>
        <v>0</v>
      </c>
      <c r="BC160">
        <f>IF(Metadata!Q160="",FALSE,TRUE)</f>
        <v>0</v>
      </c>
      <c r="BD160">
        <f>IF(Metadata!R160="",FALSE,TRUE)</f>
        <v>0</v>
      </c>
      <c r="BE160">
        <f>OR(AND(IF(Metadata!S160="",FALSE,TRUE),OR(exact(Metadata!S160,"not collected"),exact(Metadata!S160,"not provided"),exact(Metadata!S160,"restricted access"))),AND(IF(Metadata!S160="",FALSE,ISNUMBER(VALUE(Metadata!S160))),Metadata!S160&gt;=-90.00,Metadata!S160&lt;=90.00))</f>
        <v>0</v>
      </c>
      <c r="BF160">
        <f>AND(IF(Metadata!T160="",FALSE,TRUE),exact(Metadata!T160,"Decimal degrees"))</f>
        <v>0</v>
      </c>
      <c r="BG160">
        <f>OR(AND(IF(Metadata!U160="",FALSE,TRUE),OR(exact(Metadata!U160,"not collected"),exact(Metadata!U160,"not provided"),exact(Metadata!U160,"restricted access"))),AND(IF(Metadata!U160="",FALSE,ISNUMBER(VALUE(Metadata!U160))),Metadata!U160&gt;=-180.00,Metadata!U160&lt;=180.00))</f>
        <v>0</v>
      </c>
      <c r="BH160">
        <f>AND(IF(Metadata!V160="",FALSE,TRUE),exact(Metadata!V160,"Decimal degrees"))</f>
        <v>0</v>
      </c>
      <c r="BI160">
        <f>IF(Metadata!W160="",FALSE,TRUE)</f>
        <v>0</v>
      </c>
      <c r="BJ160">
        <f>OR(AND(IF(Metadata!X160="",FALSE,TRUE),OR(exact(Metadata!X160,"not collected"),exact(Metadata!X160,"not provided"),exact(Metadata!X160,"restricted access"))),AND(IF(Metadata!X160="",FALSE,TRUE),OR(exact(Metadata!X160,"TRUE"),exact(Metadata!X160,"FALSE"))))</f>
        <v>0</v>
      </c>
      <c r="BK160">
        <f>AND(IF(Metadata!Y160="",FALSE,TRUE),exact(Metadata!Y160,"other"))</f>
        <v>0</v>
      </c>
      <c r="BL160">
        <f>IF(Metadata!Z160="",FALSE,TRUE)</f>
        <v>0</v>
      </c>
      <c r="BM160">
        <f>OR(AND(IF(Metadata!AA160="",FALSE,TRUE),OR(exact(Metadata!AA160,"not collected"),exact(Metadata!AA160,"not provided"))),AND(IF(Metadata!AA160="",FALSE,IF(ISERROR(INT(Metadata!AA160)),FALSE,INT(Metadata!AA160)=Metadata!AA160)),Metadata!AA160&gt;0))</f>
        <v>0</v>
      </c>
      <c r="BN160">
        <f>AND(IF(Metadata!AB160="",FALSE,TRUE),exact(Metadata!AB160,"Not applicable"))</f>
        <v>0</v>
      </c>
      <c r="BO160">
        <f>IF(Metadata!AC160="",FALSE,TRUE)</f>
        <v>0</v>
      </c>
    </row>
    <row r="161" spans="1:67">
      <c r="A161" s="5">
        <f>IF(B161=" "," ",HYPERLINK(CONCATENATE("#metadata!",ADDRESS(INDEX($AI$2:$AI$1001,MATCH(ROWS($AG$2:AG161),$AG$2:$AG$1001,0),0),1)),INDEX($AL$2:$AL$1001,MATCH(ROWS($AG$2:AG161),$AG$2:$AG$1001,0),0)))</f>
        <v>0</v>
      </c>
      <c r="B161" s="4">
        <f>IF(OR(INDEX($AH$2:$AH$1001,MATCH(ROWS($AG$2:AG161),$AG$2:$AG$1001,0),1)&gt;=100000,INDEX($AN$1005:$BO$1005,1,MATCH(COLUMNS($AN$1006:AN1006),$AN$1006:$BO$1006,0))&gt;=100000), " ",IF(INDEX($AN$2:$BO$1001,MATCH(ROWS($AG$2:AG161),$AG$2:$AG$1001,0),MATCH(COLUMNS($AN$1006:AN1006),$AN$1006:$BO$1006,0)), HYPERLINK("#",""), HYPERLINK(CONCATENATE("#Metadata!", ADDRESS(INDEX($AI$2:$AI$1001,MATCH(ROWS($AG$2:AG161),$AG$2:$AG$1001,0),0), INDEX($AN$1004:$BO$1004,1,MATCH(COLUMNS($AN$1006:AN1006),$AN$1006:$BO$1006,0)))),"Fix")))</f>
        <v>0</v>
      </c>
      <c r="C161" s="4">
        <f>IF(OR(INDEX($AH$2:$AH$1001,MATCH(ROWS($AG$2:AG161),$AG$2:$AG$1001,0),1)&gt;=100000,INDEX($AN$1005:$BO$1005,1,MATCH(COLUMNS($AN$1006:AO1006),$AN$1006:$BO$1006,0))&gt;=100000), " ",IF(INDEX($AN$2:$BO$1001,MATCH(ROWS($AG$2:AG161),$AG$2:$AG$1001,0),MATCH(COLUMNS($AN$1006:AO1006),$AN$1006:$BO$1006,0)), HYPERLINK("#",""), HYPERLINK(CONCATENATE("#Metadata!", ADDRESS(INDEX($AI$2:$AI$1001,MATCH(ROWS($AG$2:AG161),$AG$2:$AG$1001,0),0), INDEX($AN$1004:$BO$1004,1,MATCH(COLUMNS($AN$1006:AO1006),$AN$1006:$BO$1006,0)))),"Fix")))</f>
        <v>0</v>
      </c>
      <c r="D161" s="4">
        <f>IF(OR(INDEX($AH$2:$AH$1001,MATCH(ROWS($AG$2:AG161),$AG$2:$AG$1001,0),1)&gt;=100000,INDEX($AN$1005:$BO$1005,1,MATCH(COLUMNS($AN$1006:AP1006),$AN$1006:$BO$1006,0))&gt;=100000), " ",IF(INDEX($AN$2:$BO$1001,MATCH(ROWS($AG$2:AG161),$AG$2:$AG$1001,0),MATCH(COLUMNS($AN$1006:AP1006),$AN$1006:$BO$1006,0)), HYPERLINK("#",""), HYPERLINK(CONCATENATE("#Metadata!", ADDRESS(INDEX($AI$2:$AI$1001,MATCH(ROWS($AG$2:AG161),$AG$2:$AG$1001,0),0), INDEX($AN$1004:$BO$1004,1,MATCH(COLUMNS($AN$1006:AP1006),$AN$1006:$BO$1006,0)))),"Fix")))</f>
        <v>0</v>
      </c>
      <c r="E161" s="4">
        <f>IF(OR(INDEX($AH$2:$AH$1001,MATCH(ROWS($AG$2:AG161),$AG$2:$AG$1001,0),1)&gt;=100000,INDEX($AN$1005:$BO$1005,1,MATCH(COLUMNS($AN$1006:AQ1006),$AN$1006:$BO$1006,0))&gt;=100000), " ",IF(INDEX($AN$2:$BO$1001,MATCH(ROWS($AG$2:AG161),$AG$2:$AG$1001,0),MATCH(COLUMNS($AN$1006:AQ1006),$AN$1006:$BO$1006,0)), HYPERLINK("#",""), HYPERLINK(CONCATENATE("#Metadata!", ADDRESS(INDEX($AI$2:$AI$1001,MATCH(ROWS($AG$2:AG161),$AG$2:$AG$1001,0),0), INDEX($AN$1004:$BO$1004,1,MATCH(COLUMNS($AN$1006:AQ1006),$AN$1006:$BO$1006,0)))),"Fix")))</f>
        <v>0</v>
      </c>
      <c r="F161" s="4">
        <f>IF(OR(INDEX($AH$2:$AH$1001,MATCH(ROWS($AG$2:AG161),$AG$2:$AG$1001,0),1)&gt;=100000,INDEX($AN$1005:$BO$1005,1,MATCH(COLUMNS($AN$1006:AR1006),$AN$1006:$BO$1006,0))&gt;=100000), " ",IF(INDEX($AN$2:$BO$1001,MATCH(ROWS($AG$2:AG161),$AG$2:$AG$1001,0),MATCH(COLUMNS($AN$1006:AR1006),$AN$1006:$BO$1006,0)), HYPERLINK("#",""), HYPERLINK(CONCATENATE("#Metadata!", ADDRESS(INDEX($AI$2:$AI$1001,MATCH(ROWS($AG$2:AG161),$AG$2:$AG$1001,0),0), INDEX($AN$1004:$BO$1004,1,MATCH(COLUMNS($AN$1006:AR1006),$AN$1006:$BO$1006,0)))),"Fix")))</f>
        <v>0</v>
      </c>
      <c r="G161" s="4">
        <f>IF(OR(INDEX($AH$2:$AH$1001,MATCH(ROWS($AG$2:AG161),$AG$2:$AG$1001,0),1)&gt;=100000,INDEX($AN$1005:$BO$1005,1,MATCH(COLUMNS($AN$1006:AS1006),$AN$1006:$BO$1006,0))&gt;=100000), " ",IF(INDEX($AN$2:$BO$1001,MATCH(ROWS($AG$2:AG161),$AG$2:$AG$1001,0),MATCH(COLUMNS($AN$1006:AS1006),$AN$1006:$BO$1006,0)), HYPERLINK("#",""), HYPERLINK(CONCATENATE("#Metadata!", ADDRESS(INDEX($AI$2:$AI$1001,MATCH(ROWS($AG$2:AG161),$AG$2:$AG$1001,0),0), INDEX($AN$1004:$BO$1004,1,MATCH(COLUMNS($AN$1006:AS1006),$AN$1006:$BO$1006,0)))),"Fix")))</f>
        <v>0</v>
      </c>
      <c r="H161" s="4">
        <f>IF(OR(INDEX($AH$2:$AH$1001,MATCH(ROWS($AG$2:AG161),$AG$2:$AG$1001,0),1)&gt;=100000,INDEX($AN$1005:$BO$1005,1,MATCH(COLUMNS($AN$1006:AT1006),$AN$1006:$BO$1006,0))&gt;=100000), " ",IF(INDEX($AN$2:$BO$1001,MATCH(ROWS($AG$2:AG161),$AG$2:$AG$1001,0),MATCH(COLUMNS($AN$1006:AT1006),$AN$1006:$BO$1006,0)), HYPERLINK("#",""), HYPERLINK(CONCATENATE("#Metadata!", ADDRESS(INDEX($AI$2:$AI$1001,MATCH(ROWS($AG$2:AG161),$AG$2:$AG$1001,0),0), INDEX($AN$1004:$BO$1004,1,MATCH(COLUMNS($AN$1006:AT1006),$AN$1006:$BO$1006,0)))),"Fix")))</f>
        <v>0</v>
      </c>
      <c r="I161" s="4">
        <f>IF(OR(INDEX($AH$2:$AH$1001,MATCH(ROWS($AG$2:AG161),$AG$2:$AG$1001,0),1)&gt;=100000,INDEX($AN$1005:$BO$1005,1,MATCH(COLUMNS($AN$1006:AU1006),$AN$1006:$BO$1006,0))&gt;=100000), " ",IF(INDEX($AN$2:$BO$1001,MATCH(ROWS($AG$2:AG161),$AG$2:$AG$1001,0),MATCH(COLUMNS($AN$1006:AU1006),$AN$1006:$BO$1006,0)), HYPERLINK("#",""), HYPERLINK(CONCATENATE("#Metadata!", ADDRESS(INDEX($AI$2:$AI$1001,MATCH(ROWS($AG$2:AG161),$AG$2:$AG$1001,0),0), INDEX($AN$1004:$BO$1004,1,MATCH(COLUMNS($AN$1006:AU1006),$AN$1006:$BO$1006,0)))),"Fix")))</f>
        <v>0</v>
      </c>
      <c r="J161" s="4">
        <f>IF(OR(INDEX($AH$2:$AH$1001,MATCH(ROWS($AG$2:AG161),$AG$2:$AG$1001,0),1)&gt;=100000,INDEX($AN$1005:$BO$1005,1,MATCH(COLUMNS($AN$1006:AV1006),$AN$1006:$BO$1006,0))&gt;=100000), " ",IF(INDEX($AN$2:$BO$1001,MATCH(ROWS($AG$2:AG161),$AG$2:$AG$1001,0),MATCH(COLUMNS($AN$1006:AV1006),$AN$1006:$BO$1006,0)), HYPERLINK("#",""), HYPERLINK(CONCATENATE("#Metadata!", ADDRESS(INDEX($AI$2:$AI$1001,MATCH(ROWS($AG$2:AG161),$AG$2:$AG$1001,0),0), INDEX($AN$1004:$BO$1004,1,MATCH(COLUMNS($AN$1006:AV1006),$AN$1006:$BO$1006,0)))),"Fix")))</f>
        <v>0</v>
      </c>
      <c r="K161" s="4">
        <f>IF(OR(INDEX($AH$2:$AH$1001,MATCH(ROWS($AG$2:AG161),$AG$2:$AG$1001,0),1)&gt;=100000,INDEX($AN$1005:$BO$1005,1,MATCH(COLUMNS($AN$1006:AW1006),$AN$1006:$BO$1006,0))&gt;=100000), " ",IF(INDEX($AN$2:$BO$1001,MATCH(ROWS($AG$2:AG161),$AG$2:$AG$1001,0),MATCH(COLUMNS($AN$1006:AW1006),$AN$1006:$BO$1006,0)), HYPERLINK("#",""), HYPERLINK(CONCATENATE("#Metadata!", ADDRESS(INDEX($AI$2:$AI$1001,MATCH(ROWS($AG$2:AG161),$AG$2:$AG$1001,0),0), INDEX($AN$1004:$BO$1004,1,MATCH(COLUMNS($AN$1006:AW1006),$AN$1006:$BO$1006,0)))),"Fix")))</f>
        <v>0</v>
      </c>
      <c r="L161" s="4">
        <f>IF(OR(INDEX($AH$2:$AH$1001,MATCH(ROWS($AG$2:AG161),$AG$2:$AG$1001,0),1)&gt;=100000,INDEX($AN$1005:$BO$1005,1,MATCH(COLUMNS($AN$1006:AX1006),$AN$1006:$BO$1006,0))&gt;=100000), " ",IF(INDEX($AN$2:$BO$1001,MATCH(ROWS($AG$2:AG161),$AG$2:$AG$1001,0),MATCH(COLUMNS($AN$1006:AX1006),$AN$1006:$BO$1006,0)), HYPERLINK("#",""), HYPERLINK(CONCATENATE("#Metadata!", ADDRESS(INDEX($AI$2:$AI$1001,MATCH(ROWS($AG$2:AG161),$AG$2:$AG$1001,0),0), INDEX($AN$1004:$BO$1004,1,MATCH(COLUMNS($AN$1006:AX1006),$AN$1006:$BO$1006,0)))),"Fix")))</f>
        <v>0</v>
      </c>
      <c r="M161" s="4">
        <f>IF(OR(INDEX($AH$2:$AH$1001,MATCH(ROWS($AG$2:AG161),$AG$2:$AG$1001,0),1)&gt;=100000,INDEX($AN$1005:$BO$1005,1,MATCH(COLUMNS($AN$1006:AY1006),$AN$1006:$BO$1006,0))&gt;=100000), " ",IF(INDEX($AN$2:$BO$1001,MATCH(ROWS($AG$2:AG161),$AG$2:$AG$1001,0),MATCH(COLUMNS($AN$1006:AY1006),$AN$1006:$BO$1006,0)), HYPERLINK("#",""), HYPERLINK(CONCATENATE("#Metadata!", ADDRESS(INDEX($AI$2:$AI$1001,MATCH(ROWS($AG$2:AG161),$AG$2:$AG$1001,0),0), INDEX($AN$1004:$BO$1004,1,MATCH(COLUMNS($AN$1006:AY1006),$AN$1006:$BO$1006,0)))),"Fix")))</f>
        <v>0</v>
      </c>
      <c r="N161" s="4">
        <f>IF(OR(INDEX($AH$2:$AH$1001,MATCH(ROWS($AG$2:AG161),$AG$2:$AG$1001,0),1)&gt;=100000,INDEX($AN$1005:$BO$1005,1,MATCH(COLUMNS($AN$1006:AZ1006),$AN$1006:$BO$1006,0))&gt;=100000), " ",IF(INDEX($AN$2:$BO$1001,MATCH(ROWS($AG$2:AG161),$AG$2:$AG$1001,0),MATCH(COLUMNS($AN$1006:AZ1006),$AN$1006:$BO$1006,0)), HYPERLINK("#",""), HYPERLINK(CONCATENATE("#Metadata!", ADDRESS(INDEX($AI$2:$AI$1001,MATCH(ROWS($AG$2:AG161),$AG$2:$AG$1001,0),0), INDEX($AN$1004:$BO$1004,1,MATCH(COLUMNS($AN$1006:AZ1006),$AN$1006:$BO$1006,0)))),"Fix")))</f>
        <v>0</v>
      </c>
      <c r="O161" s="4">
        <f>IF(OR(INDEX($AH$2:$AH$1001,MATCH(ROWS($AG$2:AG161),$AG$2:$AG$1001,0),1)&gt;=100000,INDEX($AN$1005:$BO$1005,1,MATCH(COLUMNS($AN$1006:BA1006),$AN$1006:$BO$1006,0))&gt;=100000), " ",IF(INDEX($AN$2:$BO$1001,MATCH(ROWS($AG$2:AG161),$AG$2:$AG$1001,0),MATCH(COLUMNS($AN$1006:BA1006),$AN$1006:$BO$1006,0)), HYPERLINK("#",""), HYPERLINK(CONCATENATE("#Metadata!", ADDRESS(INDEX($AI$2:$AI$1001,MATCH(ROWS($AG$2:AG161),$AG$2:$AG$1001,0),0), INDEX($AN$1004:$BO$1004,1,MATCH(COLUMNS($AN$1006:BA1006),$AN$1006:$BO$1006,0)))),"Fix")))</f>
        <v>0</v>
      </c>
      <c r="P161" s="4">
        <f>IF(OR(INDEX($AH$2:$AH$1001,MATCH(ROWS($AG$2:AG161),$AG$2:$AG$1001,0),1)&gt;=100000,INDEX($AN$1005:$BO$1005,1,MATCH(COLUMNS($AN$1006:BB1006),$AN$1006:$BO$1006,0))&gt;=100000), " ",IF(INDEX($AN$2:$BO$1001,MATCH(ROWS($AG$2:AG161),$AG$2:$AG$1001,0),MATCH(COLUMNS($AN$1006:BB1006),$AN$1006:$BO$1006,0)), HYPERLINK("#",""), HYPERLINK(CONCATENATE("#Metadata!", ADDRESS(INDEX($AI$2:$AI$1001,MATCH(ROWS($AG$2:AG161),$AG$2:$AG$1001,0),0), INDEX($AN$1004:$BO$1004,1,MATCH(COLUMNS($AN$1006:BB1006),$AN$1006:$BO$1006,0)))),"Fix")))</f>
        <v>0</v>
      </c>
      <c r="Q161" s="4">
        <f>IF(OR(INDEX($AH$2:$AH$1001,MATCH(ROWS($AG$2:AG161),$AG$2:$AG$1001,0),1)&gt;=100000,INDEX($AN$1005:$BO$1005,1,MATCH(COLUMNS($AN$1006:BC1006),$AN$1006:$BO$1006,0))&gt;=100000), " ",IF(INDEX($AN$2:$BO$1001,MATCH(ROWS($AG$2:AG161),$AG$2:$AG$1001,0),MATCH(COLUMNS($AN$1006:BC1006),$AN$1006:$BO$1006,0)), HYPERLINK("#",""), HYPERLINK(CONCATENATE("#Metadata!", ADDRESS(INDEX($AI$2:$AI$1001,MATCH(ROWS($AG$2:AG161),$AG$2:$AG$1001,0),0), INDEX($AN$1004:$BO$1004,1,MATCH(COLUMNS($AN$1006:BC1006),$AN$1006:$BO$1006,0)))),"Fix")))</f>
        <v>0</v>
      </c>
      <c r="R161" s="4">
        <f>IF(OR(INDEX($AH$2:$AH$1001,MATCH(ROWS($AG$2:AG161),$AG$2:$AG$1001,0),1)&gt;=100000,INDEX($AN$1005:$BO$1005,1,MATCH(COLUMNS($AN$1006:BD1006),$AN$1006:$BO$1006,0))&gt;=100000), " ",IF(INDEX($AN$2:$BO$1001,MATCH(ROWS($AG$2:AG161),$AG$2:$AG$1001,0),MATCH(COLUMNS($AN$1006:BD1006),$AN$1006:$BO$1006,0)), HYPERLINK("#",""), HYPERLINK(CONCATENATE("#Metadata!", ADDRESS(INDEX($AI$2:$AI$1001,MATCH(ROWS($AG$2:AG161),$AG$2:$AG$1001,0),0), INDEX($AN$1004:$BO$1004,1,MATCH(COLUMNS($AN$1006:BD1006),$AN$1006:$BO$1006,0)))),"Fix")))</f>
        <v>0</v>
      </c>
      <c r="S161" s="4">
        <f>IF(OR(INDEX($AH$2:$AH$1001,MATCH(ROWS($AG$2:AG161),$AG$2:$AG$1001,0),1)&gt;=100000,INDEX($AN$1005:$BO$1005,1,MATCH(COLUMNS($AN$1006:BE1006),$AN$1006:$BO$1006,0))&gt;=100000), " ",IF(INDEX($AN$2:$BO$1001,MATCH(ROWS($AG$2:AG161),$AG$2:$AG$1001,0),MATCH(COLUMNS($AN$1006:BE1006),$AN$1006:$BO$1006,0)), HYPERLINK("#",""), HYPERLINK(CONCATENATE("#Metadata!", ADDRESS(INDEX($AI$2:$AI$1001,MATCH(ROWS($AG$2:AG161),$AG$2:$AG$1001,0),0), INDEX($AN$1004:$BO$1004,1,MATCH(COLUMNS($AN$1006:BE1006),$AN$1006:$BO$1006,0)))),"Fix")))</f>
        <v>0</v>
      </c>
      <c r="T161" s="4">
        <f>IF(OR(INDEX($AH$2:$AH$1001,MATCH(ROWS($AG$2:AG161),$AG$2:$AG$1001,0),1)&gt;=100000,INDEX($AN$1005:$BO$1005,1,MATCH(COLUMNS($AN$1006:BF1006),$AN$1006:$BO$1006,0))&gt;=100000), " ",IF(INDEX($AN$2:$BO$1001,MATCH(ROWS($AG$2:AG161),$AG$2:$AG$1001,0),MATCH(COLUMNS($AN$1006:BF1006),$AN$1006:$BO$1006,0)), HYPERLINK("#",""), HYPERLINK(CONCATENATE("#Metadata!", ADDRESS(INDEX($AI$2:$AI$1001,MATCH(ROWS($AG$2:AG161),$AG$2:$AG$1001,0),0), INDEX($AN$1004:$BO$1004,1,MATCH(COLUMNS($AN$1006:BF1006),$AN$1006:$BO$1006,0)))),"Fix")))</f>
        <v>0</v>
      </c>
      <c r="U161" s="4">
        <f>IF(OR(INDEX($AH$2:$AH$1001,MATCH(ROWS($AG$2:AG161),$AG$2:$AG$1001,0),1)&gt;=100000,INDEX($AN$1005:$BO$1005,1,MATCH(COLUMNS($AN$1006:BG1006),$AN$1006:$BO$1006,0))&gt;=100000), " ",IF(INDEX($AN$2:$BO$1001,MATCH(ROWS($AG$2:AG161),$AG$2:$AG$1001,0),MATCH(COLUMNS($AN$1006:BG1006),$AN$1006:$BO$1006,0)), HYPERLINK("#",""), HYPERLINK(CONCATENATE("#Metadata!", ADDRESS(INDEX($AI$2:$AI$1001,MATCH(ROWS($AG$2:AG161),$AG$2:$AG$1001,0),0), INDEX($AN$1004:$BO$1004,1,MATCH(COLUMNS($AN$1006:BG1006),$AN$1006:$BO$1006,0)))),"Fix")))</f>
        <v>0</v>
      </c>
      <c r="V161" s="4">
        <f>IF(OR(INDEX($AH$2:$AH$1001,MATCH(ROWS($AG$2:AG161),$AG$2:$AG$1001,0),1)&gt;=100000,INDEX($AN$1005:$BO$1005,1,MATCH(COLUMNS($AN$1006:BH1006),$AN$1006:$BO$1006,0))&gt;=100000), " ",IF(INDEX($AN$2:$BO$1001,MATCH(ROWS($AG$2:AG161),$AG$2:$AG$1001,0),MATCH(COLUMNS($AN$1006:BH1006),$AN$1006:$BO$1006,0)), HYPERLINK("#",""), HYPERLINK(CONCATENATE("#Metadata!", ADDRESS(INDEX($AI$2:$AI$1001,MATCH(ROWS($AG$2:AG161),$AG$2:$AG$1001,0),0), INDEX($AN$1004:$BO$1004,1,MATCH(COLUMNS($AN$1006:BH1006),$AN$1006:$BO$1006,0)))),"Fix")))</f>
        <v>0</v>
      </c>
      <c r="W161" s="4">
        <f>IF(OR(INDEX($AH$2:$AH$1001,MATCH(ROWS($AG$2:AG161),$AG$2:$AG$1001,0),1)&gt;=100000,INDEX($AN$1005:$BO$1005,1,MATCH(COLUMNS($AN$1006:BI1006),$AN$1006:$BO$1006,0))&gt;=100000), " ",IF(INDEX($AN$2:$BO$1001,MATCH(ROWS($AG$2:AG161),$AG$2:$AG$1001,0),MATCH(COLUMNS($AN$1006:BI1006),$AN$1006:$BO$1006,0)), HYPERLINK("#",""), HYPERLINK(CONCATENATE("#Metadata!", ADDRESS(INDEX($AI$2:$AI$1001,MATCH(ROWS($AG$2:AG161),$AG$2:$AG$1001,0),0), INDEX($AN$1004:$BO$1004,1,MATCH(COLUMNS($AN$1006:BI1006),$AN$1006:$BO$1006,0)))),"Fix")))</f>
        <v>0</v>
      </c>
      <c r="X161" s="4">
        <f>IF(OR(INDEX($AH$2:$AH$1001,MATCH(ROWS($AG$2:AG161),$AG$2:$AG$1001,0),1)&gt;=100000,INDEX($AN$1005:$BO$1005,1,MATCH(COLUMNS($AN$1006:BJ1006),$AN$1006:$BO$1006,0))&gt;=100000), " ",IF(INDEX($AN$2:$BO$1001,MATCH(ROWS($AG$2:AG161),$AG$2:$AG$1001,0),MATCH(COLUMNS($AN$1006:BJ1006),$AN$1006:$BO$1006,0)), HYPERLINK("#",""), HYPERLINK(CONCATENATE("#Metadata!", ADDRESS(INDEX($AI$2:$AI$1001,MATCH(ROWS($AG$2:AG161),$AG$2:$AG$1001,0),0), INDEX($AN$1004:$BO$1004,1,MATCH(COLUMNS($AN$1006:BJ1006),$AN$1006:$BO$1006,0)))),"Fix")))</f>
        <v>0</v>
      </c>
      <c r="Y161" s="4">
        <f>IF(OR(INDEX($AH$2:$AH$1001,MATCH(ROWS($AG$2:AG161),$AG$2:$AG$1001,0),1)&gt;=100000,INDEX($AN$1005:$BO$1005,1,MATCH(COLUMNS($AN$1006:BK1006),$AN$1006:$BO$1006,0))&gt;=100000), " ",IF(INDEX($AN$2:$BO$1001,MATCH(ROWS($AG$2:AG161),$AG$2:$AG$1001,0),MATCH(COLUMNS($AN$1006:BK1006),$AN$1006:$BO$1006,0)), HYPERLINK("#",""), HYPERLINK(CONCATENATE("#Metadata!", ADDRESS(INDEX($AI$2:$AI$1001,MATCH(ROWS($AG$2:AG161),$AG$2:$AG$1001,0),0), INDEX($AN$1004:$BO$1004,1,MATCH(COLUMNS($AN$1006:BK1006),$AN$1006:$BO$1006,0)))),"Fix")))</f>
        <v>0</v>
      </c>
      <c r="Z161" s="4">
        <f>IF(OR(INDEX($AH$2:$AH$1001,MATCH(ROWS($AG$2:AG161),$AG$2:$AG$1001,0),1)&gt;=100000,INDEX($AN$1005:$BO$1005,1,MATCH(COLUMNS($AN$1006:BL1006),$AN$1006:$BO$1006,0))&gt;=100000), " ",IF(INDEX($AN$2:$BO$1001,MATCH(ROWS($AG$2:AG161),$AG$2:$AG$1001,0),MATCH(COLUMNS($AN$1006:BL1006),$AN$1006:$BO$1006,0)), HYPERLINK("#",""), HYPERLINK(CONCATENATE("#Metadata!", ADDRESS(INDEX($AI$2:$AI$1001,MATCH(ROWS($AG$2:AG161),$AG$2:$AG$1001,0),0), INDEX($AN$1004:$BO$1004,1,MATCH(COLUMNS($AN$1006:BL1006),$AN$1006:$BO$1006,0)))),"Fix")))</f>
        <v>0</v>
      </c>
      <c r="AA161" s="4">
        <f>IF(OR(INDEX($AH$2:$AH$1001,MATCH(ROWS($AG$2:AG161),$AG$2:$AG$1001,0),1)&gt;=100000,INDEX($AN$1005:$BO$1005,1,MATCH(COLUMNS($AN$1006:BM1006),$AN$1006:$BO$1006,0))&gt;=100000), " ",IF(INDEX($AN$2:$BO$1001,MATCH(ROWS($AG$2:AG161),$AG$2:$AG$1001,0),MATCH(COLUMNS($AN$1006:BM1006),$AN$1006:$BO$1006,0)), HYPERLINK("#",""), HYPERLINK(CONCATENATE("#Metadata!", ADDRESS(INDEX($AI$2:$AI$1001,MATCH(ROWS($AG$2:AG161),$AG$2:$AG$1001,0),0), INDEX($AN$1004:$BO$1004,1,MATCH(COLUMNS($AN$1006:BM1006),$AN$1006:$BO$1006,0)))),"Fix")))</f>
        <v>0</v>
      </c>
      <c r="AB161" s="4">
        <f>IF(OR(INDEX($AH$2:$AH$1001,MATCH(ROWS($AG$2:AG161),$AG$2:$AG$1001,0),1)&gt;=100000,INDEX($AN$1005:$BO$1005,1,MATCH(COLUMNS($AN$1006:BN1006),$AN$1006:$BO$1006,0))&gt;=100000), " ",IF(INDEX($AN$2:$BO$1001,MATCH(ROWS($AG$2:AG161),$AG$2:$AG$1001,0),MATCH(COLUMNS($AN$1006:BN1006),$AN$1006:$BO$1006,0)), HYPERLINK("#",""), HYPERLINK(CONCATENATE("#Metadata!", ADDRESS(INDEX($AI$2:$AI$1001,MATCH(ROWS($AG$2:AG161),$AG$2:$AG$1001,0),0), INDEX($AN$1004:$BO$1004,1,MATCH(COLUMNS($AN$1006:BN1006),$AN$1006:$BO$1006,0)))),"Fix")))</f>
        <v>0</v>
      </c>
      <c r="AC161" s="4">
        <f>IF(OR(INDEX($AH$2:$AH$1001,MATCH(ROWS($AG$2:AG161),$AG$2:$AG$1001,0),1)&gt;=100000,INDEX($AN$1005:$BO$1005,1,MATCH(COLUMNS($AN$1006:BO1006),$AN$1006:$BO$1006,0))&gt;=100000), " ",IF(INDEX($AN$2:$BO$1001,MATCH(ROWS($AG$2:AG161),$AG$2:$AG$1001,0),MATCH(COLUMNS($AN$1006:BO1006),$AN$1006:$BO$1006,0)), HYPERLINK("#",""), HYPERLINK(CONCATENATE("#Metadata!", ADDRESS(INDEX($AI$2:$AI$1001,MATCH(ROWS($AG$2:AG161),$AG$2:$AG$1001,0),0), INDEX($AN$1004:$BO$1004,1,MATCH(COLUMNS($AN$1006:BO1006),$AN$1006:$BO$1006,0)))),"Fix")))</f>
        <v>0</v>
      </c>
      <c r="AG161">
        <v>0</v>
      </c>
      <c r="AH161">
        <v>0</v>
      </c>
      <c r="AI161">
        <v>0</v>
      </c>
      <c r="AJ161">
        <f>IF(AK161,TRUE,AND(AN161:BO161))</f>
        <v>0</v>
      </c>
      <c r="AK161">
        <f>COUNTBLANK(Metadata!B161:AC161)=COLUMNS(Metadata!B161:AC161)</f>
        <v>0</v>
      </c>
      <c r="AL161">
        <v>0</v>
      </c>
      <c r="AN161">
        <f>AND(IF(Metadata!B161="",FALSE,TRUE),COUNTIF(Metadata!B:B, Metadata!B161) = 1,NOT(ISERROR(SUMPRODUCT(SEARCH(MID(Metadata!B161,ROW(INDIRECT("1:"&amp;LEN(Metadata!B161))), 1),"0123456789abcdefghijklmnopqrstuvwxyzABCDEFGHIJKLMNOPQRSTUVWXYZ.")))))</f>
        <v>0</v>
      </c>
      <c r="AO161">
        <f>IF(Metadata!C161="",FALSE,TRUE)</f>
        <v>0</v>
      </c>
      <c r="AP161">
        <f>IF(Metadata!D161="",FALSE,TRUE)</f>
        <v>0</v>
      </c>
      <c r="AQ161">
        <f>OR(AND(IF(Metadata!E161="",FALSE,TRUE),OR(exact(Metadata!E161,"not collected"),exact(Metadata!E161,"not provided"),exact(Metadata!E161,"restricted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R161">
        <f>IF(Metadata!F161="",FALSE,TRUE)</f>
        <v>0</v>
      </c>
      <c r="AS161">
        <f>OR(AND(IF(Metadata!G161="",FALSE,TRUE),OR(exact(Metadata!G161,"not collected"),exact(Metadata!G161,"not provided"))),AND(IF(Metadata!G161="",FALSE,TRUE),OR(exact(Metadata!G161,"TRUE"),exact(Metadata!G161,"FALSE"))))</f>
        <v>0</v>
      </c>
      <c r="AT161">
        <f>OR(AND(IF(Metadata!H161="",FALSE,TRUE),OR(exact(Metadata!H161,"not collected"),exact(Metadata!H161,"not provided"),exact(Metadata!H161,"restricted access"))),AND(IF(Metadata!H161="",FALSE,ISNUMBER(VALUE(Metadata!H161))),Metadata!H161&gt;=-413.0))</f>
        <v>0</v>
      </c>
      <c r="AU161">
        <f>AND(IF(Metadata!I161="",FALSE,TRUE),exact(Metadata!I161,"meters"))</f>
        <v>0</v>
      </c>
      <c r="AV161">
        <f>AND(IF(Metadata!J161="",FALSE,TRUE),OR(exact(Metadata!J161,"Host-associated"),exact(Metadata!J161,"Free-living")))</f>
        <v>0</v>
      </c>
      <c r="AW161">
        <f>AND(IF(Metadata!K161="",FALSE,TRUE),OR(exact(Metadata!K161,"Animal"),exact(Metadata!K161,"Fungus"),exact(Metadata!K161,"Plant"),exact(Metadata!K161,"Saline"),exact(Metadata!K161,"Non-saline")))</f>
        <v>0</v>
      </c>
      <c r="AX161">
        <f>AND(IF(Metadata!L161="",FALSE,TRUE),OR(exact(Metadata!L161,"Plant secretion"),exact(Metadata!L161,"Plant rhizosphere"),exact(Metadata!L161,"Plant surface"),exact(Metadata!L161,"Plant corpus"),exact(Metadata!L161,"Fungus surface"),exact(Metadata!L161,"Fungus corpus"),exact(Metadata!L161,"Animal surface"),exact(Metadata!L161,"Animal proximal gut"),exact(Metadata!L161,"Animal corpus"),exact(Metadata!L161,"Animal distal gut"),exact(Metadata!L161,"Animal secretion"),exact(Metadata!L161,"Sub-surface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Y161">
        <f>IF(Metadata!M161="",FALSE,TRUE)</f>
        <v>0</v>
      </c>
      <c r="AZ161">
        <f>IF(Metadata!N161="",FALSE,TRUE)</f>
        <v>0</v>
      </c>
      <c r="BA161">
        <f>IF(Metadata!O161="",FALSE,TRUE)</f>
        <v>0</v>
      </c>
      <c r="BB161">
        <f>OR(AND(IF(Metadata!P161="",FALSE,TRUE),OR(exact(Metadata!P161,"not collected"),exact(Metadata!P161,"not provided"),exact(Metadata!P161,"restricted access"))),AND(IF(Metadata!P161="",FALSE,TRUE),OR(exact(Metadata!P161,"air"),exact(Metadata!P161,"built environment"),exact(Metadata!P161,"host-associated"),exact(Metadata!P161,"human-associated"),exact(Metadata!P161,"human-skin"),exact(Metadata!P161,"human-oral"),exact(Metadata!P161,"human-gut"),exact(Metadata!P161,"human-vaginal"),exact(Metadata!P161,"microbial mat/biofilm"),exact(Metadata!P161,"misc environment"),exact(Metadata!P161,"plant-associated"),exact(Metadata!P161,"sediment"),exact(Metadata!P161,"soil"),exact(Metadata!P161,"wastewater/sludge"),exact(Metadata!P161,"water"))))</f>
        <v>0</v>
      </c>
      <c r="BC161">
        <f>IF(Metadata!Q161="",FALSE,TRUE)</f>
        <v>0</v>
      </c>
      <c r="BD161">
        <f>IF(Metadata!R161="",FALSE,TRUE)</f>
        <v>0</v>
      </c>
      <c r="BE161">
        <f>OR(AND(IF(Metadata!S161="",FALSE,TRUE),OR(exact(Metadata!S161,"not collected"),exact(Metadata!S161,"not provided"),exact(Metadata!S161,"restricted access"))),AND(IF(Metadata!S161="",FALSE,ISNUMBER(VALUE(Metadata!S161))),Metadata!S161&gt;=-90.00,Metadata!S161&lt;=90.00))</f>
        <v>0</v>
      </c>
      <c r="BF161">
        <f>AND(IF(Metadata!T161="",FALSE,TRUE),exact(Metadata!T161,"Decimal degrees"))</f>
        <v>0</v>
      </c>
      <c r="BG161">
        <f>OR(AND(IF(Metadata!U161="",FALSE,TRUE),OR(exact(Metadata!U161,"not collected"),exact(Metadata!U161,"not provided"),exact(Metadata!U161,"restricted access"))),AND(IF(Metadata!U161="",FALSE,ISNUMBER(VALUE(Metadata!U161))),Metadata!U161&gt;=-180.00,Metadata!U161&lt;=180.00))</f>
        <v>0</v>
      </c>
      <c r="BH161">
        <f>AND(IF(Metadata!V161="",FALSE,TRUE),exact(Metadata!V161,"Decimal degrees"))</f>
        <v>0</v>
      </c>
      <c r="BI161">
        <f>IF(Metadata!W161="",FALSE,TRUE)</f>
        <v>0</v>
      </c>
      <c r="BJ161">
        <f>OR(AND(IF(Metadata!X161="",FALSE,TRUE),OR(exact(Metadata!X161,"not collected"),exact(Metadata!X161,"not provided"),exact(Metadata!X161,"restricted access"))),AND(IF(Metadata!X161="",FALSE,TRUE),OR(exact(Metadata!X161,"TRUE"),exact(Metadata!X161,"FALSE"))))</f>
        <v>0</v>
      </c>
      <c r="BK161">
        <f>AND(IF(Metadata!Y161="",FALSE,TRUE),exact(Metadata!Y161,"other"))</f>
        <v>0</v>
      </c>
      <c r="BL161">
        <f>IF(Metadata!Z161="",FALSE,TRUE)</f>
        <v>0</v>
      </c>
      <c r="BM161">
        <f>OR(AND(IF(Metadata!AA161="",FALSE,TRUE),OR(exact(Metadata!AA161,"not collected"),exact(Metadata!AA161,"not provided"))),AND(IF(Metadata!AA161="",FALSE,IF(ISERROR(INT(Metadata!AA161)),FALSE,INT(Metadata!AA161)=Metadata!AA161)),Metadata!AA161&gt;0))</f>
        <v>0</v>
      </c>
      <c r="BN161">
        <f>AND(IF(Metadata!AB161="",FALSE,TRUE),exact(Metadata!AB161,"Not applicable"))</f>
        <v>0</v>
      </c>
      <c r="BO161">
        <f>IF(Metadata!AC161="",FALSE,TRUE)</f>
        <v>0</v>
      </c>
    </row>
    <row r="162" spans="1:67">
      <c r="A162" s="5">
        <f>IF(B162=" "," ",HYPERLINK(CONCATENATE("#metadata!",ADDRESS(INDEX($AI$2:$AI$1001,MATCH(ROWS($AG$2:AG162),$AG$2:$AG$1001,0),0),1)),INDEX($AL$2:$AL$1001,MATCH(ROWS($AG$2:AG162),$AG$2:$AG$1001,0),0)))</f>
        <v>0</v>
      </c>
      <c r="B162" s="4">
        <f>IF(OR(INDEX($AH$2:$AH$1001,MATCH(ROWS($AG$2:AG162),$AG$2:$AG$1001,0),1)&gt;=100000,INDEX($AN$1005:$BO$1005,1,MATCH(COLUMNS($AN$1006:AN1006),$AN$1006:$BO$1006,0))&gt;=100000), " ",IF(INDEX($AN$2:$BO$1001,MATCH(ROWS($AG$2:AG162),$AG$2:$AG$1001,0),MATCH(COLUMNS($AN$1006:AN1006),$AN$1006:$BO$1006,0)), HYPERLINK("#",""), HYPERLINK(CONCATENATE("#Metadata!", ADDRESS(INDEX($AI$2:$AI$1001,MATCH(ROWS($AG$2:AG162),$AG$2:$AG$1001,0),0), INDEX($AN$1004:$BO$1004,1,MATCH(COLUMNS($AN$1006:AN1006),$AN$1006:$BO$1006,0)))),"Fix")))</f>
        <v>0</v>
      </c>
      <c r="C162" s="4">
        <f>IF(OR(INDEX($AH$2:$AH$1001,MATCH(ROWS($AG$2:AG162),$AG$2:$AG$1001,0),1)&gt;=100000,INDEX($AN$1005:$BO$1005,1,MATCH(COLUMNS($AN$1006:AO1006),$AN$1006:$BO$1006,0))&gt;=100000), " ",IF(INDEX($AN$2:$BO$1001,MATCH(ROWS($AG$2:AG162),$AG$2:$AG$1001,0),MATCH(COLUMNS($AN$1006:AO1006),$AN$1006:$BO$1006,0)), HYPERLINK("#",""), HYPERLINK(CONCATENATE("#Metadata!", ADDRESS(INDEX($AI$2:$AI$1001,MATCH(ROWS($AG$2:AG162),$AG$2:$AG$1001,0),0), INDEX($AN$1004:$BO$1004,1,MATCH(COLUMNS($AN$1006:AO1006),$AN$1006:$BO$1006,0)))),"Fix")))</f>
        <v>0</v>
      </c>
      <c r="D162" s="4">
        <f>IF(OR(INDEX($AH$2:$AH$1001,MATCH(ROWS($AG$2:AG162),$AG$2:$AG$1001,0),1)&gt;=100000,INDEX($AN$1005:$BO$1005,1,MATCH(COLUMNS($AN$1006:AP1006),$AN$1006:$BO$1006,0))&gt;=100000), " ",IF(INDEX($AN$2:$BO$1001,MATCH(ROWS($AG$2:AG162),$AG$2:$AG$1001,0),MATCH(COLUMNS($AN$1006:AP1006),$AN$1006:$BO$1006,0)), HYPERLINK("#",""), HYPERLINK(CONCATENATE("#Metadata!", ADDRESS(INDEX($AI$2:$AI$1001,MATCH(ROWS($AG$2:AG162),$AG$2:$AG$1001,0),0), INDEX($AN$1004:$BO$1004,1,MATCH(COLUMNS($AN$1006:AP1006),$AN$1006:$BO$1006,0)))),"Fix")))</f>
        <v>0</v>
      </c>
      <c r="E162" s="4">
        <f>IF(OR(INDEX($AH$2:$AH$1001,MATCH(ROWS($AG$2:AG162),$AG$2:$AG$1001,0),1)&gt;=100000,INDEX($AN$1005:$BO$1005,1,MATCH(COLUMNS($AN$1006:AQ1006),$AN$1006:$BO$1006,0))&gt;=100000), " ",IF(INDEX($AN$2:$BO$1001,MATCH(ROWS($AG$2:AG162),$AG$2:$AG$1001,0),MATCH(COLUMNS($AN$1006:AQ1006),$AN$1006:$BO$1006,0)), HYPERLINK("#",""), HYPERLINK(CONCATENATE("#Metadata!", ADDRESS(INDEX($AI$2:$AI$1001,MATCH(ROWS($AG$2:AG162),$AG$2:$AG$1001,0),0), INDEX($AN$1004:$BO$1004,1,MATCH(COLUMNS($AN$1006:AQ1006),$AN$1006:$BO$1006,0)))),"Fix")))</f>
        <v>0</v>
      </c>
      <c r="F162" s="4">
        <f>IF(OR(INDEX($AH$2:$AH$1001,MATCH(ROWS($AG$2:AG162),$AG$2:$AG$1001,0),1)&gt;=100000,INDEX($AN$1005:$BO$1005,1,MATCH(COLUMNS($AN$1006:AR1006),$AN$1006:$BO$1006,0))&gt;=100000), " ",IF(INDEX($AN$2:$BO$1001,MATCH(ROWS($AG$2:AG162),$AG$2:$AG$1001,0),MATCH(COLUMNS($AN$1006:AR1006),$AN$1006:$BO$1006,0)), HYPERLINK("#",""), HYPERLINK(CONCATENATE("#Metadata!", ADDRESS(INDEX($AI$2:$AI$1001,MATCH(ROWS($AG$2:AG162),$AG$2:$AG$1001,0),0), INDEX($AN$1004:$BO$1004,1,MATCH(COLUMNS($AN$1006:AR1006),$AN$1006:$BO$1006,0)))),"Fix")))</f>
        <v>0</v>
      </c>
      <c r="G162" s="4">
        <f>IF(OR(INDEX($AH$2:$AH$1001,MATCH(ROWS($AG$2:AG162),$AG$2:$AG$1001,0),1)&gt;=100000,INDEX($AN$1005:$BO$1005,1,MATCH(COLUMNS($AN$1006:AS1006),$AN$1006:$BO$1006,0))&gt;=100000), " ",IF(INDEX($AN$2:$BO$1001,MATCH(ROWS($AG$2:AG162),$AG$2:$AG$1001,0),MATCH(COLUMNS($AN$1006:AS1006),$AN$1006:$BO$1006,0)), HYPERLINK("#",""), HYPERLINK(CONCATENATE("#Metadata!", ADDRESS(INDEX($AI$2:$AI$1001,MATCH(ROWS($AG$2:AG162),$AG$2:$AG$1001,0),0), INDEX($AN$1004:$BO$1004,1,MATCH(COLUMNS($AN$1006:AS1006),$AN$1006:$BO$1006,0)))),"Fix")))</f>
        <v>0</v>
      </c>
      <c r="H162" s="4">
        <f>IF(OR(INDEX($AH$2:$AH$1001,MATCH(ROWS($AG$2:AG162),$AG$2:$AG$1001,0),1)&gt;=100000,INDEX($AN$1005:$BO$1005,1,MATCH(COLUMNS($AN$1006:AT1006),$AN$1006:$BO$1006,0))&gt;=100000), " ",IF(INDEX($AN$2:$BO$1001,MATCH(ROWS($AG$2:AG162),$AG$2:$AG$1001,0),MATCH(COLUMNS($AN$1006:AT1006),$AN$1006:$BO$1006,0)), HYPERLINK("#",""), HYPERLINK(CONCATENATE("#Metadata!", ADDRESS(INDEX($AI$2:$AI$1001,MATCH(ROWS($AG$2:AG162),$AG$2:$AG$1001,0),0), INDEX($AN$1004:$BO$1004,1,MATCH(COLUMNS($AN$1006:AT1006),$AN$1006:$BO$1006,0)))),"Fix")))</f>
        <v>0</v>
      </c>
      <c r="I162" s="4">
        <f>IF(OR(INDEX($AH$2:$AH$1001,MATCH(ROWS($AG$2:AG162),$AG$2:$AG$1001,0),1)&gt;=100000,INDEX($AN$1005:$BO$1005,1,MATCH(COLUMNS($AN$1006:AU1006),$AN$1006:$BO$1006,0))&gt;=100000), " ",IF(INDEX($AN$2:$BO$1001,MATCH(ROWS($AG$2:AG162),$AG$2:$AG$1001,0),MATCH(COLUMNS($AN$1006:AU1006),$AN$1006:$BO$1006,0)), HYPERLINK("#",""), HYPERLINK(CONCATENATE("#Metadata!", ADDRESS(INDEX($AI$2:$AI$1001,MATCH(ROWS($AG$2:AG162),$AG$2:$AG$1001,0),0), INDEX($AN$1004:$BO$1004,1,MATCH(COLUMNS($AN$1006:AU1006),$AN$1006:$BO$1006,0)))),"Fix")))</f>
        <v>0</v>
      </c>
      <c r="J162" s="4">
        <f>IF(OR(INDEX($AH$2:$AH$1001,MATCH(ROWS($AG$2:AG162),$AG$2:$AG$1001,0),1)&gt;=100000,INDEX($AN$1005:$BO$1005,1,MATCH(COLUMNS($AN$1006:AV1006),$AN$1006:$BO$1006,0))&gt;=100000), " ",IF(INDEX($AN$2:$BO$1001,MATCH(ROWS($AG$2:AG162),$AG$2:$AG$1001,0),MATCH(COLUMNS($AN$1006:AV1006),$AN$1006:$BO$1006,0)), HYPERLINK("#",""), HYPERLINK(CONCATENATE("#Metadata!", ADDRESS(INDEX($AI$2:$AI$1001,MATCH(ROWS($AG$2:AG162),$AG$2:$AG$1001,0),0), INDEX($AN$1004:$BO$1004,1,MATCH(COLUMNS($AN$1006:AV1006),$AN$1006:$BO$1006,0)))),"Fix")))</f>
        <v>0</v>
      </c>
      <c r="K162" s="4">
        <f>IF(OR(INDEX($AH$2:$AH$1001,MATCH(ROWS($AG$2:AG162),$AG$2:$AG$1001,0),1)&gt;=100000,INDEX($AN$1005:$BO$1005,1,MATCH(COLUMNS($AN$1006:AW1006),$AN$1006:$BO$1006,0))&gt;=100000), " ",IF(INDEX($AN$2:$BO$1001,MATCH(ROWS($AG$2:AG162),$AG$2:$AG$1001,0),MATCH(COLUMNS($AN$1006:AW1006),$AN$1006:$BO$1006,0)), HYPERLINK("#",""), HYPERLINK(CONCATENATE("#Metadata!", ADDRESS(INDEX($AI$2:$AI$1001,MATCH(ROWS($AG$2:AG162),$AG$2:$AG$1001,0),0), INDEX($AN$1004:$BO$1004,1,MATCH(COLUMNS($AN$1006:AW1006),$AN$1006:$BO$1006,0)))),"Fix")))</f>
        <v>0</v>
      </c>
      <c r="L162" s="4">
        <f>IF(OR(INDEX($AH$2:$AH$1001,MATCH(ROWS($AG$2:AG162),$AG$2:$AG$1001,0),1)&gt;=100000,INDEX($AN$1005:$BO$1005,1,MATCH(COLUMNS($AN$1006:AX1006),$AN$1006:$BO$1006,0))&gt;=100000), " ",IF(INDEX($AN$2:$BO$1001,MATCH(ROWS($AG$2:AG162),$AG$2:$AG$1001,0),MATCH(COLUMNS($AN$1006:AX1006),$AN$1006:$BO$1006,0)), HYPERLINK("#",""), HYPERLINK(CONCATENATE("#Metadata!", ADDRESS(INDEX($AI$2:$AI$1001,MATCH(ROWS($AG$2:AG162),$AG$2:$AG$1001,0),0), INDEX($AN$1004:$BO$1004,1,MATCH(COLUMNS($AN$1006:AX1006),$AN$1006:$BO$1006,0)))),"Fix")))</f>
        <v>0</v>
      </c>
      <c r="M162" s="4">
        <f>IF(OR(INDEX($AH$2:$AH$1001,MATCH(ROWS($AG$2:AG162),$AG$2:$AG$1001,0),1)&gt;=100000,INDEX($AN$1005:$BO$1005,1,MATCH(COLUMNS($AN$1006:AY1006),$AN$1006:$BO$1006,0))&gt;=100000), " ",IF(INDEX($AN$2:$BO$1001,MATCH(ROWS($AG$2:AG162),$AG$2:$AG$1001,0),MATCH(COLUMNS($AN$1006:AY1006),$AN$1006:$BO$1006,0)), HYPERLINK("#",""), HYPERLINK(CONCATENATE("#Metadata!", ADDRESS(INDEX($AI$2:$AI$1001,MATCH(ROWS($AG$2:AG162),$AG$2:$AG$1001,0),0), INDEX($AN$1004:$BO$1004,1,MATCH(COLUMNS($AN$1006:AY1006),$AN$1006:$BO$1006,0)))),"Fix")))</f>
        <v>0</v>
      </c>
      <c r="N162" s="4">
        <f>IF(OR(INDEX($AH$2:$AH$1001,MATCH(ROWS($AG$2:AG162),$AG$2:$AG$1001,0),1)&gt;=100000,INDEX($AN$1005:$BO$1005,1,MATCH(COLUMNS($AN$1006:AZ1006),$AN$1006:$BO$1006,0))&gt;=100000), " ",IF(INDEX($AN$2:$BO$1001,MATCH(ROWS($AG$2:AG162),$AG$2:$AG$1001,0),MATCH(COLUMNS($AN$1006:AZ1006),$AN$1006:$BO$1006,0)), HYPERLINK("#",""), HYPERLINK(CONCATENATE("#Metadata!", ADDRESS(INDEX($AI$2:$AI$1001,MATCH(ROWS($AG$2:AG162),$AG$2:$AG$1001,0),0), INDEX($AN$1004:$BO$1004,1,MATCH(COLUMNS($AN$1006:AZ1006),$AN$1006:$BO$1006,0)))),"Fix")))</f>
        <v>0</v>
      </c>
      <c r="O162" s="4">
        <f>IF(OR(INDEX($AH$2:$AH$1001,MATCH(ROWS($AG$2:AG162),$AG$2:$AG$1001,0),1)&gt;=100000,INDEX($AN$1005:$BO$1005,1,MATCH(COLUMNS($AN$1006:BA1006),$AN$1006:$BO$1006,0))&gt;=100000), " ",IF(INDEX($AN$2:$BO$1001,MATCH(ROWS($AG$2:AG162),$AG$2:$AG$1001,0),MATCH(COLUMNS($AN$1006:BA1006),$AN$1006:$BO$1006,0)), HYPERLINK("#",""), HYPERLINK(CONCATENATE("#Metadata!", ADDRESS(INDEX($AI$2:$AI$1001,MATCH(ROWS($AG$2:AG162),$AG$2:$AG$1001,0),0), INDEX($AN$1004:$BO$1004,1,MATCH(COLUMNS($AN$1006:BA1006),$AN$1006:$BO$1006,0)))),"Fix")))</f>
        <v>0</v>
      </c>
      <c r="P162" s="4">
        <f>IF(OR(INDEX($AH$2:$AH$1001,MATCH(ROWS($AG$2:AG162),$AG$2:$AG$1001,0),1)&gt;=100000,INDEX($AN$1005:$BO$1005,1,MATCH(COLUMNS($AN$1006:BB1006),$AN$1006:$BO$1006,0))&gt;=100000), " ",IF(INDEX($AN$2:$BO$1001,MATCH(ROWS($AG$2:AG162),$AG$2:$AG$1001,0),MATCH(COLUMNS($AN$1006:BB1006),$AN$1006:$BO$1006,0)), HYPERLINK("#",""), HYPERLINK(CONCATENATE("#Metadata!", ADDRESS(INDEX($AI$2:$AI$1001,MATCH(ROWS($AG$2:AG162),$AG$2:$AG$1001,0),0), INDEX($AN$1004:$BO$1004,1,MATCH(COLUMNS($AN$1006:BB1006),$AN$1006:$BO$1006,0)))),"Fix")))</f>
        <v>0</v>
      </c>
      <c r="Q162" s="4">
        <f>IF(OR(INDEX($AH$2:$AH$1001,MATCH(ROWS($AG$2:AG162),$AG$2:$AG$1001,0),1)&gt;=100000,INDEX($AN$1005:$BO$1005,1,MATCH(COLUMNS($AN$1006:BC1006),$AN$1006:$BO$1006,0))&gt;=100000), " ",IF(INDEX($AN$2:$BO$1001,MATCH(ROWS($AG$2:AG162),$AG$2:$AG$1001,0),MATCH(COLUMNS($AN$1006:BC1006),$AN$1006:$BO$1006,0)), HYPERLINK("#",""), HYPERLINK(CONCATENATE("#Metadata!", ADDRESS(INDEX($AI$2:$AI$1001,MATCH(ROWS($AG$2:AG162),$AG$2:$AG$1001,0),0), INDEX($AN$1004:$BO$1004,1,MATCH(COLUMNS($AN$1006:BC1006),$AN$1006:$BO$1006,0)))),"Fix")))</f>
        <v>0</v>
      </c>
      <c r="R162" s="4">
        <f>IF(OR(INDEX($AH$2:$AH$1001,MATCH(ROWS($AG$2:AG162),$AG$2:$AG$1001,0),1)&gt;=100000,INDEX($AN$1005:$BO$1005,1,MATCH(COLUMNS($AN$1006:BD1006),$AN$1006:$BO$1006,0))&gt;=100000), " ",IF(INDEX($AN$2:$BO$1001,MATCH(ROWS($AG$2:AG162),$AG$2:$AG$1001,0),MATCH(COLUMNS($AN$1006:BD1006),$AN$1006:$BO$1006,0)), HYPERLINK("#",""), HYPERLINK(CONCATENATE("#Metadata!", ADDRESS(INDEX($AI$2:$AI$1001,MATCH(ROWS($AG$2:AG162),$AG$2:$AG$1001,0),0), INDEX($AN$1004:$BO$1004,1,MATCH(COLUMNS($AN$1006:BD1006),$AN$1006:$BO$1006,0)))),"Fix")))</f>
        <v>0</v>
      </c>
      <c r="S162" s="4">
        <f>IF(OR(INDEX($AH$2:$AH$1001,MATCH(ROWS($AG$2:AG162),$AG$2:$AG$1001,0),1)&gt;=100000,INDEX($AN$1005:$BO$1005,1,MATCH(COLUMNS($AN$1006:BE1006),$AN$1006:$BO$1006,0))&gt;=100000), " ",IF(INDEX($AN$2:$BO$1001,MATCH(ROWS($AG$2:AG162),$AG$2:$AG$1001,0),MATCH(COLUMNS($AN$1006:BE1006),$AN$1006:$BO$1006,0)), HYPERLINK("#",""), HYPERLINK(CONCATENATE("#Metadata!", ADDRESS(INDEX($AI$2:$AI$1001,MATCH(ROWS($AG$2:AG162),$AG$2:$AG$1001,0),0), INDEX($AN$1004:$BO$1004,1,MATCH(COLUMNS($AN$1006:BE1006),$AN$1006:$BO$1006,0)))),"Fix")))</f>
        <v>0</v>
      </c>
      <c r="T162" s="4">
        <f>IF(OR(INDEX($AH$2:$AH$1001,MATCH(ROWS($AG$2:AG162),$AG$2:$AG$1001,0),1)&gt;=100000,INDEX($AN$1005:$BO$1005,1,MATCH(COLUMNS($AN$1006:BF1006),$AN$1006:$BO$1006,0))&gt;=100000), " ",IF(INDEX($AN$2:$BO$1001,MATCH(ROWS($AG$2:AG162),$AG$2:$AG$1001,0),MATCH(COLUMNS($AN$1006:BF1006),$AN$1006:$BO$1006,0)), HYPERLINK("#",""), HYPERLINK(CONCATENATE("#Metadata!", ADDRESS(INDEX($AI$2:$AI$1001,MATCH(ROWS($AG$2:AG162),$AG$2:$AG$1001,0),0), INDEX($AN$1004:$BO$1004,1,MATCH(COLUMNS($AN$1006:BF1006),$AN$1006:$BO$1006,0)))),"Fix")))</f>
        <v>0</v>
      </c>
      <c r="U162" s="4">
        <f>IF(OR(INDEX($AH$2:$AH$1001,MATCH(ROWS($AG$2:AG162),$AG$2:$AG$1001,0),1)&gt;=100000,INDEX($AN$1005:$BO$1005,1,MATCH(COLUMNS($AN$1006:BG1006),$AN$1006:$BO$1006,0))&gt;=100000), " ",IF(INDEX($AN$2:$BO$1001,MATCH(ROWS($AG$2:AG162),$AG$2:$AG$1001,0),MATCH(COLUMNS($AN$1006:BG1006),$AN$1006:$BO$1006,0)), HYPERLINK("#",""), HYPERLINK(CONCATENATE("#Metadata!", ADDRESS(INDEX($AI$2:$AI$1001,MATCH(ROWS($AG$2:AG162),$AG$2:$AG$1001,0),0), INDEX($AN$1004:$BO$1004,1,MATCH(COLUMNS($AN$1006:BG1006),$AN$1006:$BO$1006,0)))),"Fix")))</f>
        <v>0</v>
      </c>
      <c r="V162" s="4">
        <f>IF(OR(INDEX($AH$2:$AH$1001,MATCH(ROWS($AG$2:AG162),$AG$2:$AG$1001,0),1)&gt;=100000,INDEX($AN$1005:$BO$1005,1,MATCH(COLUMNS($AN$1006:BH1006),$AN$1006:$BO$1006,0))&gt;=100000), " ",IF(INDEX($AN$2:$BO$1001,MATCH(ROWS($AG$2:AG162),$AG$2:$AG$1001,0),MATCH(COLUMNS($AN$1006:BH1006),$AN$1006:$BO$1006,0)), HYPERLINK("#",""), HYPERLINK(CONCATENATE("#Metadata!", ADDRESS(INDEX($AI$2:$AI$1001,MATCH(ROWS($AG$2:AG162),$AG$2:$AG$1001,0),0), INDEX($AN$1004:$BO$1004,1,MATCH(COLUMNS($AN$1006:BH1006),$AN$1006:$BO$1006,0)))),"Fix")))</f>
        <v>0</v>
      </c>
      <c r="W162" s="4">
        <f>IF(OR(INDEX($AH$2:$AH$1001,MATCH(ROWS($AG$2:AG162),$AG$2:$AG$1001,0),1)&gt;=100000,INDEX($AN$1005:$BO$1005,1,MATCH(COLUMNS($AN$1006:BI1006),$AN$1006:$BO$1006,0))&gt;=100000), " ",IF(INDEX($AN$2:$BO$1001,MATCH(ROWS($AG$2:AG162),$AG$2:$AG$1001,0),MATCH(COLUMNS($AN$1006:BI1006),$AN$1006:$BO$1006,0)), HYPERLINK("#",""), HYPERLINK(CONCATENATE("#Metadata!", ADDRESS(INDEX($AI$2:$AI$1001,MATCH(ROWS($AG$2:AG162),$AG$2:$AG$1001,0),0), INDEX($AN$1004:$BO$1004,1,MATCH(COLUMNS($AN$1006:BI1006),$AN$1006:$BO$1006,0)))),"Fix")))</f>
        <v>0</v>
      </c>
      <c r="X162" s="4">
        <f>IF(OR(INDEX($AH$2:$AH$1001,MATCH(ROWS($AG$2:AG162),$AG$2:$AG$1001,0),1)&gt;=100000,INDEX($AN$1005:$BO$1005,1,MATCH(COLUMNS($AN$1006:BJ1006),$AN$1006:$BO$1006,0))&gt;=100000), " ",IF(INDEX($AN$2:$BO$1001,MATCH(ROWS($AG$2:AG162),$AG$2:$AG$1001,0),MATCH(COLUMNS($AN$1006:BJ1006),$AN$1006:$BO$1006,0)), HYPERLINK("#",""), HYPERLINK(CONCATENATE("#Metadata!", ADDRESS(INDEX($AI$2:$AI$1001,MATCH(ROWS($AG$2:AG162),$AG$2:$AG$1001,0),0), INDEX($AN$1004:$BO$1004,1,MATCH(COLUMNS($AN$1006:BJ1006),$AN$1006:$BO$1006,0)))),"Fix")))</f>
        <v>0</v>
      </c>
      <c r="Y162" s="4">
        <f>IF(OR(INDEX($AH$2:$AH$1001,MATCH(ROWS($AG$2:AG162),$AG$2:$AG$1001,0),1)&gt;=100000,INDEX($AN$1005:$BO$1005,1,MATCH(COLUMNS($AN$1006:BK1006),$AN$1006:$BO$1006,0))&gt;=100000), " ",IF(INDEX($AN$2:$BO$1001,MATCH(ROWS($AG$2:AG162),$AG$2:$AG$1001,0),MATCH(COLUMNS($AN$1006:BK1006),$AN$1006:$BO$1006,0)), HYPERLINK("#",""), HYPERLINK(CONCATENATE("#Metadata!", ADDRESS(INDEX($AI$2:$AI$1001,MATCH(ROWS($AG$2:AG162),$AG$2:$AG$1001,0),0), INDEX($AN$1004:$BO$1004,1,MATCH(COLUMNS($AN$1006:BK1006),$AN$1006:$BO$1006,0)))),"Fix")))</f>
        <v>0</v>
      </c>
      <c r="Z162" s="4">
        <f>IF(OR(INDEX($AH$2:$AH$1001,MATCH(ROWS($AG$2:AG162),$AG$2:$AG$1001,0),1)&gt;=100000,INDEX($AN$1005:$BO$1005,1,MATCH(COLUMNS($AN$1006:BL1006),$AN$1006:$BO$1006,0))&gt;=100000), " ",IF(INDEX($AN$2:$BO$1001,MATCH(ROWS($AG$2:AG162),$AG$2:$AG$1001,0),MATCH(COLUMNS($AN$1006:BL1006),$AN$1006:$BO$1006,0)), HYPERLINK("#",""), HYPERLINK(CONCATENATE("#Metadata!", ADDRESS(INDEX($AI$2:$AI$1001,MATCH(ROWS($AG$2:AG162),$AG$2:$AG$1001,0),0), INDEX($AN$1004:$BO$1004,1,MATCH(COLUMNS($AN$1006:BL1006),$AN$1006:$BO$1006,0)))),"Fix")))</f>
        <v>0</v>
      </c>
      <c r="AA162" s="4">
        <f>IF(OR(INDEX($AH$2:$AH$1001,MATCH(ROWS($AG$2:AG162),$AG$2:$AG$1001,0),1)&gt;=100000,INDEX($AN$1005:$BO$1005,1,MATCH(COLUMNS($AN$1006:BM1006),$AN$1006:$BO$1006,0))&gt;=100000), " ",IF(INDEX($AN$2:$BO$1001,MATCH(ROWS($AG$2:AG162),$AG$2:$AG$1001,0),MATCH(COLUMNS($AN$1006:BM1006),$AN$1006:$BO$1006,0)), HYPERLINK("#",""), HYPERLINK(CONCATENATE("#Metadata!", ADDRESS(INDEX($AI$2:$AI$1001,MATCH(ROWS($AG$2:AG162),$AG$2:$AG$1001,0),0), INDEX($AN$1004:$BO$1004,1,MATCH(COLUMNS($AN$1006:BM1006),$AN$1006:$BO$1006,0)))),"Fix")))</f>
        <v>0</v>
      </c>
      <c r="AB162" s="4">
        <f>IF(OR(INDEX($AH$2:$AH$1001,MATCH(ROWS($AG$2:AG162),$AG$2:$AG$1001,0),1)&gt;=100000,INDEX($AN$1005:$BO$1005,1,MATCH(COLUMNS($AN$1006:BN1006),$AN$1006:$BO$1006,0))&gt;=100000), " ",IF(INDEX($AN$2:$BO$1001,MATCH(ROWS($AG$2:AG162),$AG$2:$AG$1001,0),MATCH(COLUMNS($AN$1006:BN1006),$AN$1006:$BO$1006,0)), HYPERLINK("#",""), HYPERLINK(CONCATENATE("#Metadata!", ADDRESS(INDEX($AI$2:$AI$1001,MATCH(ROWS($AG$2:AG162),$AG$2:$AG$1001,0),0), INDEX($AN$1004:$BO$1004,1,MATCH(COLUMNS($AN$1006:BN1006),$AN$1006:$BO$1006,0)))),"Fix")))</f>
        <v>0</v>
      </c>
      <c r="AC162" s="4">
        <f>IF(OR(INDEX($AH$2:$AH$1001,MATCH(ROWS($AG$2:AG162),$AG$2:$AG$1001,0),1)&gt;=100000,INDEX($AN$1005:$BO$1005,1,MATCH(COLUMNS($AN$1006:BO1006),$AN$1006:$BO$1006,0))&gt;=100000), " ",IF(INDEX($AN$2:$BO$1001,MATCH(ROWS($AG$2:AG162),$AG$2:$AG$1001,0),MATCH(COLUMNS($AN$1006:BO1006),$AN$1006:$BO$1006,0)), HYPERLINK("#",""), HYPERLINK(CONCATENATE("#Metadata!", ADDRESS(INDEX($AI$2:$AI$1001,MATCH(ROWS($AG$2:AG162),$AG$2:$AG$1001,0),0), INDEX($AN$1004:$BO$1004,1,MATCH(COLUMNS($AN$1006:BO1006),$AN$1006:$BO$1006,0)))),"Fix")))</f>
        <v>0</v>
      </c>
      <c r="AG162">
        <v>0</v>
      </c>
      <c r="AH162">
        <v>0</v>
      </c>
      <c r="AI162">
        <v>0</v>
      </c>
      <c r="AJ162">
        <f>IF(AK162,TRUE,AND(AN162:BO162))</f>
        <v>0</v>
      </c>
      <c r="AK162">
        <f>COUNTBLANK(Metadata!B162:AC162)=COLUMNS(Metadata!B162:AC162)</f>
        <v>0</v>
      </c>
      <c r="AL162">
        <v>0</v>
      </c>
      <c r="AN162">
        <f>AND(IF(Metadata!B162="",FALSE,TRUE),COUNTIF(Metadata!B:B, Metadata!B162) = 1,NOT(ISERROR(SUMPRODUCT(SEARCH(MID(Metadata!B162,ROW(INDIRECT("1:"&amp;LEN(Metadata!B162))), 1),"0123456789abcdefghijklmnopqrstuvwxyzABCDEFGHIJKLMNOPQRSTUVWXYZ.")))))</f>
        <v>0</v>
      </c>
      <c r="AO162">
        <f>IF(Metadata!C162="",FALSE,TRUE)</f>
        <v>0</v>
      </c>
      <c r="AP162">
        <f>IF(Metadata!D162="",FALSE,TRUE)</f>
        <v>0</v>
      </c>
      <c r="AQ162">
        <f>OR(AND(IF(Metadata!E162="",FALSE,TRUE),OR(exact(Metadata!E162,"not collected"),exact(Metadata!E162,"not provided"),exact(Metadata!E162,"restricted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R162">
        <f>IF(Metadata!F162="",FALSE,TRUE)</f>
        <v>0</v>
      </c>
      <c r="AS162">
        <f>OR(AND(IF(Metadata!G162="",FALSE,TRUE),OR(exact(Metadata!G162,"not collected"),exact(Metadata!G162,"not provided"))),AND(IF(Metadata!G162="",FALSE,TRUE),OR(exact(Metadata!G162,"TRUE"),exact(Metadata!G162,"FALSE"))))</f>
        <v>0</v>
      </c>
      <c r="AT162">
        <f>OR(AND(IF(Metadata!H162="",FALSE,TRUE),OR(exact(Metadata!H162,"not collected"),exact(Metadata!H162,"not provided"),exact(Metadata!H162,"restricted access"))),AND(IF(Metadata!H162="",FALSE,ISNUMBER(VALUE(Metadata!H162))),Metadata!H162&gt;=-413.0))</f>
        <v>0</v>
      </c>
      <c r="AU162">
        <f>AND(IF(Metadata!I162="",FALSE,TRUE),exact(Metadata!I162,"meters"))</f>
        <v>0</v>
      </c>
      <c r="AV162">
        <f>AND(IF(Metadata!J162="",FALSE,TRUE),OR(exact(Metadata!J162,"Host-associated"),exact(Metadata!J162,"Free-living")))</f>
        <v>0</v>
      </c>
      <c r="AW162">
        <f>AND(IF(Metadata!K162="",FALSE,TRUE),OR(exact(Metadata!K162,"Animal"),exact(Metadata!K162,"Fungus"),exact(Metadata!K162,"Plant"),exact(Metadata!K162,"Saline"),exact(Metadata!K162,"Non-saline")))</f>
        <v>0</v>
      </c>
      <c r="AX162">
        <f>AND(IF(Metadata!L162="",FALSE,TRUE),OR(exact(Metadata!L162,"Plant secretion"),exact(Metadata!L162,"Plant rhizosphere"),exact(Metadata!L162,"Plant surface"),exact(Metadata!L162,"Plant corpus"),exact(Metadata!L162,"Fungus surface"),exact(Metadata!L162,"Fungus corpus"),exact(Metadata!L162,"Animal surface"),exact(Metadata!L162,"Animal proximal gut"),exact(Metadata!L162,"Animal corpus"),exact(Metadata!L162,"Animal distal gut"),exact(Metadata!L162,"Animal secretion"),exact(Metadata!L162,"Sub-surface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Y162">
        <f>IF(Metadata!M162="",FALSE,TRUE)</f>
        <v>0</v>
      </c>
      <c r="AZ162">
        <f>IF(Metadata!N162="",FALSE,TRUE)</f>
        <v>0</v>
      </c>
      <c r="BA162">
        <f>IF(Metadata!O162="",FALSE,TRUE)</f>
        <v>0</v>
      </c>
      <c r="BB162">
        <f>OR(AND(IF(Metadata!P162="",FALSE,TRUE),OR(exact(Metadata!P162,"not collected"),exact(Metadata!P162,"not provided"),exact(Metadata!P162,"restricted access"))),AND(IF(Metadata!P162="",FALSE,TRUE),OR(exact(Metadata!P162,"air"),exact(Metadata!P162,"built environment"),exact(Metadata!P162,"host-associated"),exact(Metadata!P162,"human-associated"),exact(Metadata!P162,"human-skin"),exact(Metadata!P162,"human-oral"),exact(Metadata!P162,"human-gut"),exact(Metadata!P162,"human-vaginal"),exact(Metadata!P162,"microbial mat/biofilm"),exact(Metadata!P162,"misc environment"),exact(Metadata!P162,"plant-associated"),exact(Metadata!P162,"sediment"),exact(Metadata!P162,"soil"),exact(Metadata!P162,"wastewater/sludge"),exact(Metadata!P162,"water"))))</f>
        <v>0</v>
      </c>
      <c r="BC162">
        <f>IF(Metadata!Q162="",FALSE,TRUE)</f>
        <v>0</v>
      </c>
      <c r="BD162">
        <f>IF(Metadata!R162="",FALSE,TRUE)</f>
        <v>0</v>
      </c>
      <c r="BE162">
        <f>OR(AND(IF(Metadata!S162="",FALSE,TRUE),OR(exact(Metadata!S162,"not collected"),exact(Metadata!S162,"not provided"),exact(Metadata!S162,"restricted access"))),AND(IF(Metadata!S162="",FALSE,ISNUMBER(VALUE(Metadata!S162))),Metadata!S162&gt;=-90.00,Metadata!S162&lt;=90.00))</f>
        <v>0</v>
      </c>
      <c r="BF162">
        <f>AND(IF(Metadata!T162="",FALSE,TRUE),exact(Metadata!T162,"Decimal degrees"))</f>
        <v>0</v>
      </c>
      <c r="BG162">
        <f>OR(AND(IF(Metadata!U162="",FALSE,TRUE),OR(exact(Metadata!U162,"not collected"),exact(Metadata!U162,"not provided"),exact(Metadata!U162,"restricted access"))),AND(IF(Metadata!U162="",FALSE,ISNUMBER(VALUE(Metadata!U162))),Metadata!U162&gt;=-180.00,Metadata!U162&lt;=180.00))</f>
        <v>0</v>
      </c>
      <c r="BH162">
        <f>AND(IF(Metadata!V162="",FALSE,TRUE),exact(Metadata!V162,"Decimal degrees"))</f>
        <v>0</v>
      </c>
      <c r="BI162">
        <f>IF(Metadata!W162="",FALSE,TRUE)</f>
        <v>0</v>
      </c>
      <c r="BJ162">
        <f>OR(AND(IF(Metadata!X162="",FALSE,TRUE),OR(exact(Metadata!X162,"not collected"),exact(Metadata!X162,"not provided"),exact(Metadata!X162,"restricted access"))),AND(IF(Metadata!X162="",FALSE,TRUE),OR(exact(Metadata!X162,"TRUE"),exact(Metadata!X162,"FALSE"))))</f>
        <v>0</v>
      </c>
      <c r="BK162">
        <f>AND(IF(Metadata!Y162="",FALSE,TRUE),exact(Metadata!Y162,"other"))</f>
        <v>0</v>
      </c>
      <c r="BL162">
        <f>IF(Metadata!Z162="",FALSE,TRUE)</f>
        <v>0</v>
      </c>
      <c r="BM162">
        <f>OR(AND(IF(Metadata!AA162="",FALSE,TRUE),OR(exact(Metadata!AA162,"not collected"),exact(Metadata!AA162,"not provided"))),AND(IF(Metadata!AA162="",FALSE,IF(ISERROR(INT(Metadata!AA162)),FALSE,INT(Metadata!AA162)=Metadata!AA162)),Metadata!AA162&gt;0))</f>
        <v>0</v>
      </c>
      <c r="BN162">
        <f>AND(IF(Metadata!AB162="",FALSE,TRUE),exact(Metadata!AB162,"Not applicable"))</f>
        <v>0</v>
      </c>
      <c r="BO162">
        <f>IF(Metadata!AC162="",FALSE,TRUE)</f>
        <v>0</v>
      </c>
    </row>
    <row r="163" spans="1:67">
      <c r="A163" s="5">
        <f>IF(B163=" "," ",HYPERLINK(CONCATENATE("#metadata!",ADDRESS(INDEX($AI$2:$AI$1001,MATCH(ROWS($AG$2:AG163),$AG$2:$AG$1001,0),0),1)),INDEX($AL$2:$AL$1001,MATCH(ROWS($AG$2:AG163),$AG$2:$AG$1001,0),0)))</f>
        <v>0</v>
      </c>
      <c r="B163" s="4">
        <f>IF(OR(INDEX($AH$2:$AH$1001,MATCH(ROWS($AG$2:AG163),$AG$2:$AG$1001,0),1)&gt;=100000,INDEX($AN$1005:$BO$1005,1,MATCH(COLUMNS($AN$1006:AN1006),$AN$1006:$BO$1006,0))&gt;=100000), " ",IF(INDEX($AN$2:$BO$1001,MATCH(ROWS($AG$2:AG163),$AG$2:$AG$1001,0),MATCH(COLUMNS($AN$1006:AN1006),$AN$1006:$BO$1006,0)), HYPERLINK("#",""), HYPERLINK(CONCATENATE("#Metadata!", ADDRESS(INDEX($AI$2:$AI$1001,MATCH(ROWS($AG$2:AG163),$AG$2:$AG$1001,0),0), INDEX($AN$1004:$BO$1004,1,MATCH(COLUMNS($AN$1006:AN1006),$AN$1006:$BO$1006,0)))),"Fix")))</f>
        <v>0</v>
      </c>
      <c r="C163" s="4">
        <f>IF(OR(INDEX($AH$2:$AH$1001,MATCH(ROWS($AG$2:AG163),$AG$2:$AG$1001,0),1)&gt;=100000,INDEX($AN$1005:$BO$1005,1,MATCH(COLUMNS($AN$1006:AO1006),$AN$1006:$BO$1006,0))&gt;=100000), " ",IF(INDEX($AN$2:$BO$1001,MATCH(ROWS($AG$2:AG163),$AG$2:$AG$1001,0),MATCH(COLUMNS($AN$1006:AO1006),$AN$1006:$BO$1006,0)), HYPERLINK("#",""), HYPERLINK(CONCATENATE("#Metadata!", ADDRESS(INDEX($AI$2:$AI$1001,MATCH(ROWS($AG$2:AG163),$AG$2:$AG$1001,0),0), INDEX($AN$1004:$BO$1004,1,MATCH(COLUMNS($AN$1006:AO1006),$AN$1006:$BO$1006,0)))),"Fix")))</f>
        <v>0</v>
      </c>
      <c r="D163" s="4">
        <f>IF(OR(INDEX($AH$2:$AH$1001,MATCH(ROWS($AG$2:AG163),$AG$2:$AG$1001,0),1)&gt;=100000,INDEX($AN$1005:$BO$1005,1,MATCH(COLUMNS($AN$1006:AP1006),$AN$1006:$BO$1006,0))&gt;=100000), " ",IF(INDEX($AN$2:$BO$1001,MATCH(ROWS($AG$2:AG163),$AG$2:$AG$1001,0),MATCH(COLUMNS($AN$1006:AP1006),$AN$1006:$BO$1006,0)), HYPERLINK("#",""), HYPERLINK(CONCATENATE("#Metadata!", ADDRESS(INDEX($AI$2:$AI$1001,MATCH(ROWS($AG$2:AG163),$AG$2:$AG$1001,0),0), INDEX($AN$1004:$BO$1004,1,MATCH(COLUMNS($AN$1006:AP1006),$AN$1006:$BO$1006,0)))),"Fix")))</f>
        <v>0</v>
      </c>
      <c r="E163" s="4">
        <f>IF(OR(INDEX($AH$2:$AH$1001,MATCH(ROWS($AG$2:AG163),$AG$2:$AG$1001,0),1)&gt;=100000,INDEX($AN$1005:$BO$1005,1,MATCH(COLUMNS($AN$1006:AQ1006),$AN$1006:$BO$1006,0))&gt;=100000), " ",IF(INDEX($AN$2:$BO$1001,MATCH(ROWS($AG$2:AG163),$AG$2:$AG$1001,0),MATCH(COLUMNS($AN$1006:AQ1006),$AN$1006:$BO$1006,0)), HYPERLINK("#",""), HYPERLINK(CONCATENATE("#Metadata!", ADDRESS(INDEX($AI$2:$AI$1001,MATCH(ROWS($AG$2:AG163),$AG$2:$AG$1001,0),0), INDEX($AN$1004:$BO$1004,1,MATCH(COLUMNS($AN$1006:AQ1006),$AN$1006:$BO$1006,0)))),"Fix")))</f>
        <v>0</v>
      </c>
      <c r="F163" s="4">
        <f>IF(OR(INDEX($AH$2:$AH$1001,MATCH(ROWS($AG$2:AG163),$AG$2:$AG$1001,0),1)&gt;=100000,INDEX($AN$1005:$BO$1005,1,MATCH(COLUMNS($AN$1006:AR1006),$AN$1006:$BO$1006,0))&gt;=100000), " ",IF(INDEX($AN$2:$BO$1001,MATCH(ROWS($AG$2:AG163),$AG$2:$AG$1001,0),MATCH(COLUMNS($AN$1006:AR1006),$AN$1006:$BO$1006,0)), HYPERLINK("#",""), HYPERLINK(CONCATENATE("#Metadata!", ADDRESS(INDEX($AI$2:$AI$1001,MATCH(ROWS($AG$2:AG163),$AG$2:$AG$1001,0),0), INDEX($AN$1004:$BO$1004,1,MATCH(COLUMNS($AN$1006:AR1006),$AN$1006:$BO$1006,0)))),"Fix")))</f>
        <v>0</v>
      </c>
      <c r="G163" s="4">
        <f>IF(OR(INDEX($AH$2:$AH$1001,MATCH(ROWS($AG$2:AG163),$AG$2:$AG$1001,0),1)&gt;=100000,INDEX($AN$1005:$BO$1005,1,MATCH(COLUMNS($AN$1006:AS1006),$AN$1006:$BO$1006,0))&gt;=100000), " ",IF(INDEX($AN$2:$BO$1001,MATCH(ROWS($AG$2:AG163),$AG$2:$AG$1001,0),MATCH(COLUMNS($AN$1006:AS1006),$AN$1006:$BO$1006,0)), HYPERLINK("#",""), HYPERLINK(CONCATENATE("#Metadata!", ADDRESS(INDEX($AI$2:$AI$1001,MATCH(ROWS($AG$2:AG163),$AG$2:$AG$1001,0),0), INDEX($AN$1004:$BO$1004,1,MATCH(COLUMNS($AN$1006:AS1006),$AN$1006:$BO$1006,0)))),"Fix")))</f>
        <v>0</v>
      </c>
      <c r="H163" s="4">
        <f>IF(OR(INDEX($AH$2:$AH$1001,MATCH(ROWS($AG$2:AG163),$AG$2:$AG$1001,0),1)&gt;=100000,INDEX($AN$1005:$BO$1005,1,MATCH(COLUMNS($AN$1006:AT1006),$AN$1006:$BO$1006,0))&gt;=100000), " ",IF(INDEX($AN$2:$BO$1001,MATCH(ROWS($AG$2:AG163),$AG$2:$AG$1001,0),MATCH(COLUMNS($AN$1006:AT1006),$AN$1006:$BO$1006,0)), HYPERLINK("#",""), HYPERLINK(CONCATENATE("#Metadata!", ADDRESS(INDEX($AI$2:$AI$1001,MATCH(ROWS($AG$2:AG163),$AG$2:$AG$1001,0),0), INDEX($AN$1004:$BO$1004,1,MATCH(COLUMNS($AN$1006:AT1006),$AN$1006:$BO$1006,0)))),"Fix")))</f>
        <v>0</v>
      </c>
      <c r="I163" s="4">
        <f>IF(OR(INDEX($AH$2:$AH$1001,MATCH(ROWS($AG$2:AG163),$AG$2:$AG$1001,0),1)&gt;=100000,INDEX($AN$1005:$BO$1005,1,MATCH(COLUMNS($AN$1006:AU1006),$AN$1006:$BO$1006,0))&gt;=100000), " ",IF(INDEX($AN$2:$BO$1001,MATCH(ROWS($AG$2:AG163),$AG$2:$AG$1001,0),MATCH(COLUMNS($AN$1006:AU1006),$AN$1006:$BO$1006,0)), HYPERLINK("#",""), HYPERLINK(CONCATENATE("#Metadata!", ADDRESS(INDEX($AI$2:$AI$1001,MATCH(ROWS($AG$2:AG163),$AG$2:$AG$1001,0),0), INDEX($AN$1004:$BO$1004,1,MATCH(COLUMNS($AN$1006:AU1006),$AN$1006:$BO$1006,0)))),"Fix")))</f>
        <v>0</v>
      </c>
      <c r="J163" s="4">
        <f>IF(OR(INDEX($AH$2:$AH$1001,MATCH(ROWS($AG$2:AG163),$AG$2:$AG$1001,0),1)&gt;=100000,INDEX($AN$1005:$BO$1005,1,MATCH(COLUMNS($AN$1006:AV1006),$AN$1006:$BO$1006,0))&gt;=100000), " ",IF(INDEX($AN$2:$BO$1001,MATCH(ROWS($AG$2:AG163),$AG$2:$AG$1001,0),MATCH(COLUMNS($AN$1006:AV1006),$AN$1006:$BO$1006,0)), HYPERLINK("#",""), HYPERLINK(CONCATENATE("#Metadata!", ADDRESS(INDEX($AI$2:$AI$1001,MATCH(ROWS($AG$2:AG163),$AG$2:$AG$1001,0),0), INDEX($AN$1004:$BO$1004,1,MATCH(COLUMNS($AN$1006:AV1006),$AN$1006:$BO$1006,0)))),"Fix")))</f>
        <v>0</v>
      </c>
      <c r="K163" s="4">
        <f>IF(OR(INDEX($AH$2:$AH$1001,MATCH(ROWS($AG$2:AG163),$AG$2:$AG$1001,0),1)&gt;=100000,INDEX($AN$1005:$BO$1005,1,MATCH(COLUMNS($AN$1006:AW1006),$AN$1006:$BO$1006,0))&gt;=100000), " ",IF(INDEX($AN$2:$BO$1001,MATCH(ROWS($AG$2:AG163),$AG$2:$AG$1001,0),MATCH(COLUMNS($AN$1006:AW1006),$AN$1006:$BO$1006,0)), HYPERLINK("#",""), HYPERLINK(CONCATENATE("#Metadata!", ADDRESS(INDEX($AI$2:$AI$1001,MATCH(ROWS($AG$2:AG163),$AG$2:$AG$1001,0),0), INDEX($AN$1004:$BO$1004,1,MATCH(COLUMNS($AN$1006:AW1006),$AN$1006:$BO$1006,0)))),"Fix")))</f>
        <v>0</v>
      </c>
      <c r="L163" s="4">
        <f>IF(OR(INDEX($AH$2:$AH$1001,MATCH(ROWS($AG$2:AG163),$AG$2:$AG$1001,0),1)&gt;=100000,INDEX($AN$1005:$BO$1005,1,MATCH(COLUMNS($AN$1006:AX1006),$AN$1006:$BO$1006,0))&gt;=100000), " ",IF(INDEX($AN$2:$BO$1001,MATCH(ROWS($AG$2:AG163),$AG$2:$AG$1001,0),MATCH(COLUMNS($AN$1006:AX1006),$AN$1006:$BO$1006,0)), HYPERLINK("#",""), HYPERLINK(CONCATENATE("#Metadata!", ADDRESS(INDEX($AI$2:$AI$1001,MATCH(ROWS($AG$2:AG163),$AG$2:$AG$1001,0),0), INDEX($AN$1004:$BO$1004,1,MATCH(COLUMNS($AN$1006:AX1006),$AN$1006:$BO$1006,0)))),"Fix")))</f>
        <v>0</v>
      </c>
      <c r="M163" s="4">
        <f>IF(OR(INDEX($AH$2:$AH$1001,MATCH(ROWS($AG$2:AG163),$AG$2:$AG$1001,0),1)&gt;=100000,INDEX($AN$1005:$BO$1005,1,MATCH(COLUMNS($AN$1006:AY1006),$AN$1006:$BO$1006,0))&gt;=100000), " ",IF(INDEX($AN$2:$BO$1001,MATCH(ROWS($AG$2:AG163),$AG$2:$AG$1001,0),MATCH(COLUMNS($AN$1006:AY1006),$AN$1006:$BO$1006,0)), HYPERLINK("#",""), HYPERLINK(CONCATENATE("#Metadata!", ADDRESS(INDEX($AI$2:$AI$1001,MATCH(ROWS($AG$2:AG163),$AG$2:$AG$1001,0),0), INDEX($AN$1004:$BO$1004,1,MATCH(COLUMNS($AN$1006:AY1006),$AN$1006:$BO$1006,0)))),"Fix")))</f>
        <v>0</v>
      </c>
      <c r="N163" s="4">
        <f>IF(OR(INDEX($AH$2:$AH$1001,MATCH(ROWS($AG$2:AG163),$AG$2:$AG$1001,0),1)&gt;=100000,INDEX($AN$1005:$BO$1005,1,MATCH(COLUMNS($AN$1006:AZ1006),$AN$1006:$BO$1006,0))&gt;=100000), " ",IF(INDEX($AN$2:$BO$1001,MATCH(ROWS($AG$2:AG163),$AG$2:$AG$1001,0),MATCH(COLUMNS($AN$1006:AZ1006),$AN$1006:$BO$1006,0)), HYPERLINK("#",""), HYPERLINK(CONCATENATE("#Metadata!", ADDRESS(INDEX($AI$2:$AI$1001,MATCH(ROWS($AG$2:AG163),$AG$2:$AG$1001,0),0), INDEX($AN$1004:$BO$1004,1,MATCH(COLUMNS($AN$1006:AZ1006),$AN$1006:$BO$1006,0)))),"Fix")))</f>
        <v>0</v>
      </c>
      <c r="O163" s="4">
        <f>IF(OR(INDEX($AH$2:$AH$1001,MATCH(ROWS($AG$2:AG163),$AG$2:$AG$1001,0),1)&gt;=100000,INDEX($AN$1005:$BO$1005,1,MATCH(COLUMNS($AN$1006:BA1006),$AN$1006:$BO$1006,0))&gt;=100000), " ",IF(INDEX($AN$2:$BO$1001,MATCH(ROWS($AG$2:AG163),$AG$2:$AG$1001,0),MATCH(COLUMNS($AN$1006:BA1006),$AN$1006:$BO$1006,0)), HYPERLINK("#",""), HYPERLINK(CONCATENATE("#Metadata!", ADDRESS(INDEX($AI$2:$AI$1001,MATCH(ROWS($AG$2:AG163),$AG$2:$AG$1001,0),0), INDEX($AN$1004:$BO$1004,1,MATCH(COLUMNS($AN$1006:BA1006),$AN$1006:$BO$1006,0)))),"Fix")))</f>
        <v>0</v>
      </c>
      <c r="P163" s="4">
        <f>IF(OR(INDEX($AH$2:$AH$1001,MATCH(ROWS($AG$2:AG163),$AG$2:$AG$1001,0),1)&gt;=100000,INDEX($AN$1005:$BO$1005,1,MATCH(COLUMNS($AN$1006:BB1006),$AN$1006:$BO$1006,0))&gt;=100000), " ",IF(INDEX($AN$2:$BO$1001,MATCH(ROWS($AG$2:AG163),$AG$2:$AG$1001,0),MATCH(COLUMNS($AN$1006:BB1006),$AN$1006:$BO$1006,0)), HYPERLINK("#",""), HYPERLINK(CONCATENATE("#Metadata!", ADDRESS(INDEX($AI$2:$AI$1001,MATCH(ROWS($AG$2:AG163),$AG$2:$AG$1001,0),0), INDEX($AN$1004:$BO$1004,1,MATCH(COLUMNS($AN$1006:BB1006),$AN$1006:$BO$1006,0)))),"Fix")))</f>
        <v>0</v>
      </c>
      <c r="Q163" s="4">
        <f>IF(OR(INDEX($AH$2:$AH$1001,MATCH(ROWS($AG$2:AG163),$AG$2:$AG$1001,0),1)&gt;=100000,INDEX($AN$1005:$BO$1005,1,MATCH(COLUMNS($AN$1006:BC1006),$AN$1006:$BO$1006,0))&gt;=100000), " ",IF(INDEX($AN$2:$BO$1001,MATCH(ROWS($AG$2:AG163),$AG$2:$AG$1001,0),MATCH(COLUMNS($AN$1006:BC1006),$AN$1006:$BO$1006,0)), HYPERLINK("#",""), HYPERLINK(CONCATENATE("#Metadata!", ADDRESS(INDEX($AI$2:$AI$1001,MATCH(ROWS($AG$2:AG163),$AG$2:$AG$1001,0),0), INDEX($AN$1004:$BO$1004,1,MATCH(COLUMNS($AN$1006:BC1006),$AN$1006:$BO$1006,0)))),"Fix")))</f>
        <v>0</v>
      </c>
      <c r="R163" s="4">
        <f>IF(OR(INDEX($AH$2:$AH$1001,MATCH(ROWS($AG$2:AG163),$AG$2:$AG$1001,0),1)&gt;=100000,INDEX($AN$1005:$BO$1005,1,MATCH(COLUMNS($AN$1006:BD1006),$AN$1006:$BO$1006,0))&gt;=100000), " ",IF(INDEX($AN$2:$BO$1001,MATCH(ROWS($AG$2:AG163),$AG$2:$AG$1001,0),MATCH(COLUMNS($AN$1006:BD1006),$AN$1006:$BO$1006,0)), HYPERLINK("#",""), HYPERLINK(CONCATENATE("#Metadata!", ADDRESS(INDEX($AI$2:$AI$1001,MATCH(ROWS($AG$2:AG163),$AG$2:$AG$1001,0),0), INDEX($AN$1004:$BO$1004,1,MATCH(COLUMNS($AN$1006:BD1006),$AN$1006:$BO$1006,0)))),"Fix")))</f>
        <v>0</v>
      </c>
      <c r="S163" s="4">
        <f>IF(OR(INDEX($AH$2:$AH$1001,MATCH(ROWS($AG$2:AG163),$AG$2:$AG$1001,0),1)&gt;=100000,INDEX($AN$1005:$BO$1005,1,MATCH(COLUMNS($AN$1006:BE1006),$AN$1006:$BO$1006,0))&gt;=100000), " ",IF(INDEX($AN$2:$BO$1001,MATCH(ROWS($AG$2:AG163),$AG$2:$AG$1001,0),MATCH(COLUMNS($AN$1006:BE1006),$AN$1006:$BO$1006,0)), HYPERLINK("#",""), HYPERLINK(CONCATENATE("#Metadata!", ADDRESS(INDEX($AI$2:$AI$1001,MATCH(ROWS($AG$2:AG163),$AG$2:$AG$1001,0),0), INDEX($AN$1004:$BO$1004,1,MATCH(COLUMNS($AN$1006:BE1006),$AN$1006:$BO$1006,0)))),"Fix")))</f>
        <v>0</v>
      </c>
      <c r="T163" s="4">
        <f>IF(OR(INDEX($AH$2:$AH$1001,MATCH(ROWS($AG$2:AG163),$AG$2:$AG$1001,0),1)&gt;=100000,INDEX($AN$1005:$BO$1005,1,MATCH(COLUMNS($AN$1006:BF1006),$AN$1006:$BO$1006,0))&gt;=100000), " ",IF(INDEX($AN$2:$BO$1001,MATCH(ROWS($AG$2:AG163),$AG$2:$AG$1001,0),MATCH(COLUMNS($AN$1006:BF1006),$AN$1006:$BO$1006,0)), HYPERLINK("#",""), HYPERLINK(CONCATENATE("#Metadata!", ADDRESS(INDEX($AI$2:$AI$1001,MATCH(ROWS($AG$2:AG163),$AG$2:$AG$1001,0),0), INDEX($AN$1004:$BO$1004,1,MATCH(COLUMNS($AN$1006:BF1006),$AN$1006:$BO$1006,0)))),"Fix")))</f>
        <v>0</v>
      </c>
      <c r="U163" s="4">
        <f>IF(OR(INDEX($AH$2:$AH$1001,MATCH(ROWS($AG$2:AG163),$AG$2:$AG$1001,0),1)&gt;=100000,INDEX($AN$1005:$BO$1005,1,MATCH(COLUMNS($AN$1006:BG1006),$AN$1006:$BO$1006,0))&gt;=100000), " ",IF(INDEX($AN$2:$BO$1001,MATCH(ROWS($AG$2:AG163),$AG$2:$AG$1001,0),MATCH(COLUMNS($AN$1006:BG1006),$AN$1006:$BO$1006,0)), HYPERLINK("#",""), HYPERLINK(CONCATENATE("#Metadata!", ADDRESS(INDEX($AI$2:$AI$1001,MATCH(ROWS($AG$2:AG163),$AG$2:$AG$1001,0),0), INDEX($AN$1004:$BO$1004,1,MATCH(COLUMNS($AN$1006:BG1006),$AN$1006:$BO$1006,0)))),"Fix")))</f>
        <v>0</v>
      </c>
      <c r="V163" s="4">
        <f>IF(OR(INDEX($AH$2:$AH$1001,MATCH(ROWS($AG$2:AG163),$AG$2:$AG$1001,0),1)&gt;=100000,INDEX($AN$1005:$BO$1005,1,MATCH(COLUMNS($AN$1006:BH1006),$AN$1006:$BO$1006,0))&gt;=100000), " ",IF(INDEX($AN$2:$BO$1001,MATCH(ROWS($AG$2:AG163),$AG$2:$AG$1001,0),MATCH(COLUMNS($AN$1006:BH1006),$AN$1006:$BO$1006,0)), HYPERLINK("#",""), HYPERLINK(CONCATENATE("#Metadata!", ADDRESS(INDEX($AI$2:$AI$1001,MATCH(ROWS($AG$2:AG163),$AG$2:$AG$1001,0),0), INDEX($AN$1004:$BO$1004,1,MATCH(COLUMNS($AN$1006:BH1006),$AN$1006:$BO$1006,0)))),"Fix")))</f>
        <v>0</v>
      </c>
      <c r="W163" s="4">
        <f>IF(OR(INDEX($AH$2:$AH$1001,MATCH(ROWS($AG$2:AG163),$AG$2:$AG$1001,0),1)&gt;=100000,INDEX($AN$1005:$BO$1005,1,MATCH(COLUMNS($AN$1006:BI1006),$AN$1006:$BO$1006,0))&gt;=100000), " ",IF(INDEX($AN$2:$BO$1001,MATCH(ROWS($AG$2:AG163),$AG$2:$AG$1001,0),MATCH(COLUMNS($AN$1006:BI1006),$AN$1006:$BO$1006,0)), HYPERLINK("#",""), HYPERLINK(CONCATENATE("#Metadata!", ADDRESS(INDEX($AI$2:$AI$1001,MATCH(ROWS($AG$2:AG163),$AG$2:$AG$1001,0),0), INDEX($AN$1004:$BO$1004,1,MATCH(COLUMNS($AN$1006:BI1006),$AN$1006:$BO$1006,0)))),"Fix")))</f>
        <v>0</v>
      </c>
      <c r="X163" s="4">
        <f>IF(OR(INDEX($AH$2:$AH$1001,MATCH(ROWS($AG$2:AG163),$AG$2:$AG$1001,0),1)&gt;=100000,INDEX($AN$1005:$BO$1005,1,MATCH(COLUMNS($AN$1006:BJ1006),$AN$1006:$BO$1006,0))&gt;=100000), " ",IF(INDEX($AN$2:$BO$1001,MATCH(ROWS($AG$2:AG163),$AG$2:$AG$1001,0),MATCH(COLUMNS($AN$1006:BJ1006),$AN$1006:$BO$1006,0)), HYPERLINK("#",""), HYPERLINK(CONCATENATE("#Metadata!", ADDRESS(INDEX($AI$2:$AI$1001,MATCH(ROWS($AG$2:AG163),$AG$2:$AG$1001,0),0), INDEX($AN$1004:$BO$1004,1,MATCH(COLUMNS($AN$1006:BJ1006),$AN$1006:$BO$1006,0)))),"Fix")))</f>
        <v>0</v>
      </c>
      <c r="Y163" s="4">
        <f>IF(OR(INDEX($AH$2:$AH$1001,MATCH(ROWS($AG$2:AG163),$AG$2:$AG$1001,0),1)&gt;=100000,INDEX($AN$1005:$BO$1005,1,MATCH(COLUMNS($AN$1006:BK1006),$AN$1006:$BO$1006,0))&gt;=100000), " ",IF(INDEX($AN$2:$BO$1001,MATCH(ROWS($AG$2:AG163),$AG$2:$AG$1001,0),MATCH(COLUMNS($AN$1006:BK1006),$AN$1006:$BO$1006,0)), HYPERLINK("#",""), HYPERLINK(CONCATENATE("#Metadata!", ADDRESS(INDEX($AI$2:$AI$1001,MATCH(ROWS($AG$2:AG163),$AG$2:$AG$1001,0),0), INDEX($AN$1004:$BO$1004,1,MATCH(COLUMNS($AN$1006:BK1006),$AN$1006:$BO$1006,0)))),"Fix")))</f>
        <v>0</v>
      </c>
      <c r="Z163" s="4">
        <f>IF(OR(INDEX($AH$2:$AH$1001,MATCH(ROWS($AG$2:AG163),$AG$2:$AG$1001,0),1)&gt;=100000,INDEX($AN$1005:$BO$1005,1,MATCH(COLUMNS($AN$1006:BL1006),$AN$1006:$BO$1006,0))&gt;=100000), " ",IF(INDEX($AN$2:$BO$1001,MATCH(ROWS($AG$2:AG163),$AG$2:$AG$1001,0),MATCH(COLUMNS($AN$1006:BL1006),$AN$1006:$BO$1006,0)), HYPERLINK("#",""), HYPERLINK(CONCATENATE("#Metadata!", ADDRESS(INDEX($AI$2:$AI$1001,MATCH(ROWS($AG$2:AG163),$AG$2:$AG$1001,0),0), INDEX($AN$1004:$BO$1004,1,MATCH(COLUMNS($AN$1006:BL1006),$AN$1006:$BO$1006,0)))),"Fix")))</f>
        <v>0</v>
      </c>
      <c r="AA163" s="4">
        <f>IF(OR(INDEX($AH$2:$AH$1001,MATCH(ROWS($AG$2:AG163),$AG$2:$AG$1001,0),1)&gt;=100000,INDEX($AN$1005:$BO$1005,1,MATCH(COLUMNS($AN$1006:BM1006),$AN$1006:$BO$1006,0))&gt;=100000), " ",IF(INDEX($AN$2:$BO$1001,MATCH(ROWS($AG$2:AG163),$AG$2:$AG$1001,0),MATCH(COLUMNS($AN$1006:BM1006),$AN$1006:$BO$1006,0)), HYPERLINK("#",""), HYPERLINK(CONCATENATE("#Metadata!", ADDRESS(INDEX($AI$2:$AI$1001,MATCH(ROWS($AG$2:AG163),$AG$2:$AG$1001,0),0), INDEX($AN$1004:$BO$1004,1,MATCH(COLUMNS($AN$1006:BM1006),$AN$1006:$BO$1006,0)))),"Fix")))</f>
        <v>0</v>
      </c>
      <c r="AB163" s="4">
        <f>IF(OR(INDEX($AH$2:$AH$1001,MATCH(ROWS($AG$2:AG163),$AG$2:$AG$1001,0),1)&gt;=100000,INDEX($AN$1005:$BO$1005,1,MATCH(COLUMNS($AN$1006:BN1006),$AN$1006:$BO$1006,0))&gt;=100000), " ",IF(INDEX($AN$2:$BO$1001,MATCH(ROWS($AG$2:AG163),$AG$2:$AG$1001,0),MATCH(COLUMNS($AN$1006:BN1006),$AN$1006:$BO$1006,0)), HYPERLINK("#",""), HYPERLINK(CONCATENATE("#Metadata!", ADDRESS(INDEX($AI$2:$AI$1001,MATCH(ROWS($AG$2:AG163),$AG$2:$AG$1001,0),0), INDEX($AN$1004:$BO$1004,1,MATCH(COLUMNS($AN$1006:BN1006),$AN$1006:$BO$1006,0)))),"Fix")))</f>
        <v>0</v>
      </c>
      <c r="AC163" s="4">
        <f>IF(OR(INDEX($AH$2:$AH$1001,MATCH(ROWS($AG$2:AG163),$AG$2:$AG$1001,0),1)&gt;=100000,INDEX($AN$1005:$BO$1005,1,MATCH(COLUMNS($AN$1006:BO1006),$AN$1006:$BO$1006,0))&gt;=100000), " ",IF(INDEX($AN$2:$BO$1001,MATCH(ROWS($AG$2:AG163),$AG$2:$AG$1001,0),MATCH(COLUMNS($AN$1006:BO1006),$AN$1006:$BO$1006,0)), HYPERLINK("#",""), HYPERLINK(CONCATENATE("#Metadata!", ADDRESS(INDEX($AI$2:$AI$1001,MATCH(ROWS($AG$2:AG163),$AG$2:$AG$1001,0),0), INDEX($AN$1004:$BO$1004,1,MATCH(COLUMNS($AN$1006:BO1006),$AN$1006:$BO$1006,0)))),"Fix")))</f>
        <v>0</v>
      </c>
      <c r="AG163">
        <v>0</v>
      </c>
      <c r="AH163">
        <v>0</v>
      </c>
      <c r="AI163">
        <v>0</v>
      </c>
      <c r="AJ163">
        <f>IF(AK163,TRUE,AND(AN163:BO163))</f>
        <v>0</v>
      </c>
      <c r="AK163">
        <f>COUNTBLANK(Metadata!B163:AC163)=COLUMNS(Metadata!B163:AC163)</f>
        <v>0</v>
      </c>
      <c r="AL163">
        <v>0</v>
      </c>
      <c r="AN163">
        <f>AND(IF(Metadata!B163="",FALSE,TRUE),COUNTIF(Metadata!B:B, Metadata!B163) = 1,NOT(ISERROR(SUMPRODUCT(SEARCH(MID(Metadata!B163,ROW(INDIRECT("1:"&amp;LEN(Metadata!B163))), 1),"0123456789abcdefghijklmnopqrstuvwxyzABCDEFGHIJKLMNOPQRSTUVWXYZ.")))))</f>
        <v>0</v>
      </c>
      <c r="AO163">
        <f>IF(Metadata!C163="",FALSE,TRUE)</f>
        <v>0</v>
      </c>
      <c r="AP163">
        <f>IF(Metadata!D163="",FALSE,TRUE)</f>
        <v>0</v>
      </c>
      <c r="AQ163">
        <f>OR(AND(IF(Metadata!E163="",FALSE,TRUE),OR(exact(Metadata!E163,"not collected"),exact(Metadata!E163,"not provided"),exact(Metadata!E163,"restricted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R163">
        <f>IF(Metadata!F163="",FALSE,TRUE)</f>
        <v>0</v>
      </c>
      <c r="AS163">
        <f>OR(AND(IF(Metadata!G163="",FALSE,TRUE),OR(exact(Metadata!G163,"not collected"),exact(Metadata!G163,"not provided"))),AND(IF(Metadata!G163="",FALSE,TRUE),OR(exact(Metadata!G163,"TRUE"),exact(Metadata!G163,"FALSE"))))</f>
        <v>0</v>
      </c>
      <c r="AT163">
        <f>OR(AND(IF(Metadata!H163="",FALSE,TRUE),OR(exact(Metadata!H163,"not collected"),exact(Metadata!H163,"not provided"),exact(Metadata!H163,"restricted access"))),AND(IF(Metadata!H163="",FALSE,ISNUMBER(VALUE(Metadata!H163))),Metadata!H163&gt;=-413.0))</f>
        <v>0</v>
      </c>
      <c r="AU163">
        <f>AND(IF(Metadata!I163="",FALSE,TRUE),exact(Metadata!I163,"meters"))</f>
        <v>0</v>
      </c>
      <c r="AV163">
        <f>AND(IF(Metadata!J163="",FALSE,TRUE),OR(exact(Metadata!J163,"Host-associated"),exact(Metadata!J163,"Free-living")))</f>
        <v>0</v>
      </c>
      <c r="AW163">
        <f>AND(IF(Metadata!K163="",FALSE,TRUE),OR(exact(Metadata!K163,"Animal"),exact(Metadata!K163,"Fungus"),exact(Metadata!K163,"Plant"),exact(Metadata!K163,"Saline"),exact(Metadata!K163,"Non-saline")))</f>
        <v>0</v>
      </c>
      <c r="AX163">
        <f>AND(IF(Metadata!L163="",FALSE,TRUE),OR(exact(Metadata!L163,"Plant secretion"),exact(Metadata!L163,"Plant rhizosphere"),exact(Metadata!L163,"Plant surface"),exact(Metadata!L163,"Plant corpus"),exact(Metadata!L163,"Fungus surface"),exact(Metadata!L163,"Fungus corpus"),exact(Metadata!L163,"Animal surface"),exact(Metadata!L163,"Animal proximal gut"),exact(Metadata!L163,"Animal corpus"),exact(Metadata!L163,"Animal distal gut"),exact(Metadata!L163,"Animal secretion"),exact(Metadata!L163,"Sub-surface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Y163">
        <f>IF(Metadata!M163="",FALSE,TRUE)</f>
        <v>0</v>
      </c>
      <c r="AZ163">
        <f>IF(Metadata!N163="",FALSE,TRUE)</f>
        <v>0</v>
      </c>
      <c r="BA163">
        <f>IF(Metadata!O163="",FALSE,TRUE)</f>
        <v>0</v>
      </c>
      <c r="BB163">
        <f>OR(AND(IF(Metadata!P163="",FALSE,TRUE),OR(exact(Metadata!P163,"not collected"),exact(Metadata!P163,"not provided"),exact(Metadata!P163,"restricted access"))),AND(IF(Metadata!P163="",FALSE,TRUE),OR(exact(Metadata!P163,"air"),exact(Metadata!P163,"built environment"),exact(Metadata!P163,"host-associated"),exact(Metadata!P163,"human-associated"),exact(Metadata!P163,"human-skin"),exact(Metadata!P163,"human-oral"),exact(Metadata!P163,"human-gut"),exact(Metadata!P163,"human-vaginal"),exact(Metadata!P163,"microbial mat/biofilm"),exact(Metadata!P163,"misc environment"),exact(Metadata!P163,"plant-associated"),exact(Metadata!P163,"sediment"),exact(Metadata!P163,"soil"),exact(Metadata!P163,"wastewater/sludge"),exact(Metadata!P163,"water"))))</f>
        <v>0</v>
      </c>
      <c r="BC163">
        <f>IF(Metadata!Q163="",FALSE,TRUE)</f>
        <v>0</v>
      </c>
      <c r="BD163">
        <f>IF(Metadata!R163="",FALSE,TRUE)</f>
        <v>0</v>
      </c>
      <c r="BE163">
        <f>OR(AND(IF(Metadata!S163="",FALSE,TRUE),OR(exact(Metadata!S163,"not collected"),exact(Metadata!S163,"not provided"),exact(Metadata!S163,"restricted access"))),AND(IF(Metadata!S163="",FALSE,ISNUMBER(VALUE(Metadata!S163))),Metadata!S163&gt;=-90.00,Metadata!S163&lt;=90.00))</f>
        <v>0</v>
      </c>
      <c r="BF163">
        <f>AND(IF(Metadata!T163="",FALSE,TRUE),exact(Metadata!T163,"Decimal degrees"))</f>
        <v>0</v>
      </c>
      <c r="BG163">
        <f>OR(AND(IF(Metadata!U163="",FALSE,TRUE),OR(exact(Metadata!U163,"not collected"),exact(Metadata!U163,"not provided"),exact(Metadata!U163,"restricted access"))),AND(IF(Metadata!U163="",FALSE,ISNUMBER(VALUE(Metadata!U163))),Metadata!U163&gt;=-180.00,Metadata!U163&lt;=180.00))</f>
        <v>0</v>
      </c>
      <c r="BH163">
        <f>AND(IF(Metadata!V163="",FALSE,TRUE),exact(Metadata!V163,"Decimal degrees"))</f>
        <v>0</v>
      </c>
      <c r="BI163">
        <f>IF(Metadata!W163="",FALSE,TRUE)</f>
        <v>0</v>
      </c>
      <c r="BJ163">
        <f>OR(AND(IF(Metadata!X163="",FALSE,TRUE),OR(exact(Metadata!X163,"not collected"),exact(Metadata!X163,"not provided"),exact(Metadata!X163,"restricted access"))),AND(IF(Metadata!X163="",FALSE,TRUE),OR(exact(Metadata!X163,"TRUE"),exact(Metadata!X163,"FALSE"))))</f>
        <v>0</v>
      </c>
      <c r="BK163">
        <f>AND(IF(Metadata!Y163="",FALSE,TRUE),exact(Metadata!Y163,"other"))</f>
        <v>0</v>
      </c>
      <c r="BL163">
        <f>IF(Metadata!Z163="",FALSE,TRUE)</f>
        <v>0</v>
      </c>
      <c r="BM163">
        <f>OR(AND(IF(Metadata!AA163="",FALSE,TRUE),OR(exact(Metadata!AA163,"not collected"),exact(Metadata!AA163,"not provided"))),AND(IF(Metadata!AA163="",FALSE,IF(ISERROR(INT(Metadata!AA163)),FALSE,INT(Metadata!AA163)=Metadata!AA163)),Metadata!AA163&gt;0))</f>
        <v>0</v>
      </c>
      <c r="BN163">
        <f>AND(IF(Metadata!AB163="",FALSE,TRUE),exact(Metadata!AB163,"Not applicable"))</f>
        <v>0</v>
      </c>
      <c r="BO163">
        <f>IF(Metadata!AC163="",FALSE,TRUE)</f>
        <v>0</v>
      </c>
    </row>
    <row r="164" spans="1:67">
      <c r="A164" s="5">
        <f>IF(B164=" "," ",HYPERLINK(CONCATENATE("#metadata!",ADDRESS(INDEX($AI$2:$AI$1001,MATCH(ROWS($AG$2:AG164),$AG$2:$AG$1001,0),0),1)),INDEX($AL$2:$AL$1001,MATCH(ROWS($AG$2:AG164),$AG$2:$AG$1001,0),0)))</f>
        <v>0</v>
      </c>
      <c r="B164" s="4">
        <f>IF(OR(INDEX($AH$2:$AH$1001,MATCH(ROWS($AG$2:AG164),$AG$2:$AG$1001,0),1)&gt;=100000,INDEX($AN$1005:$BO$1005,1,MATCH(COLUMNS($AN$1006:AN1006),$AN$1006:$BO$1006,0))&gt;=100000), " ",IF(INDEX($AN$2:$BO$1001,MATCH(ROWS($AG$2:AG164),$AG$2:$AG$1001,0),MATCH(COLUMNS($AN$1006:AN1006),$AN$1006:$BO$1006,0)), HYPERLINK("#",""), HYPERLINK(CONCATENATE("#Metadata!", ADDRESS(INDEX($AI$2:$AI$1001,MATCH(ROWS($AG$2:AG164),$AG$2:$AG$1001,0),0), INDEX($AN$1004:$BO$1004,1,MATCH(COLUMNS($AN$1006:AN1006),$AN$1006:$BO$1006,0)))),"Fix")))</f>
        <v>0</v>
      </c>
      <c r="C164" s="4">
        <f>IF(OR(INDEX($AH$2:$AH$1001,MATCH(ROWS($AG$2:AG164),$AG$2:$AG$1001,0),1)&gt;=100000,INDEX($AN$1005:$BO$1005,1,MATCH(COLUMNS($AN$1006:AO1006),$AN$1006:$BO$1006,0))&gt;=100000), " ",IF(INDEX($AN$2:$BO$1001,MATCH(ROWS($AG$2:AG164),$AG$2:$AG$1001,0),MATCH(COLUMNS($AN$1006:AO1006),$AN$1006:$BO$1006,0)), HYPERLINK("#",""), HYPERLINK(CONCATENATE("#Metadata!", ADDRESS(INDEX($AI$2:$AI$1001,MATCH(ROWS($AG$2:AG164),$AG$2:$AG$1001,0),0), INDEX($AN$1004:$BO$1004,1,MATCH(COLUMNS($AN$1006:AO1006),$AN$1006:$BO$1006,0)))),"Fix")))</f>
        <v>0</v>
      </c>
      <c r="D164" s="4">
        <f>IF(OR(INDEX($AH$2:$AH$1001,MATCH(ROWS($AG$2:AG164),$AG$2:$AG$1001,0),1)&gt;=100000,INDEX($AN$1005:$BO$1005,1,MATCH(COLUMNS($AN$1006:AP1006),$AN$1006:$BO$1006,0))&gt;=100000), " ",IF(INDEX($AN$2:$BO$1001,MATCH(ROWS($AG$2:AG164),$AG$2:$AG$1001,0),MATCH(COLUMNS($AN$1006:AP1006),$AN$1006:$BO$1006,0)), HYPERLINK("#",""), HYPERLINK(CONCATENATE("#Metadata!", ADDRESS(INDEX($AI$2:$AI$1001,MATCH(ROWS($AG$2:AG164),$AG$2:$AG$1001,0),0), INDEX($AN$1004:$BO$1004,1,MATCH(COLUMNS($AN$1006:AP1006),$AN$1006:$BO$1006,0)))),"Fix")))</f>
        <v>0</v>
      </c>
      <c r="E164" s="4">
        <f>IF(OR(INDEX($AH$2:$AH$1001,MATCH(ROWS($AG$2:AG164),$AG$2:$AG$1001,0),1)&gt;=100000,INDEX($AN$1005:$BO$1005,1,MATCH(COLUMNS($AN$1006:AQ1006),$AN$1006:$BO$1006,0))&gt;=100000), " ",IF(INDEX($AN$2:$BO$1001,MATCH(ROWS($AG$2:AG164),$AG$2:$AG$1001,0),MATCH(COLUMNS($AN$1006:AQ1006),$AN$1006:$BO$1006,0)), HYPERLINK("#",""), HYPERLINK(CONCATENATE("#Metadata!", ADDRESS(INDEX($AI$2:$AI$1001,MATCH(ROWS($AG$2:AG164),$AG$2:$AG$1001,0),0), INDEX($AN$1004:$BO$1004,1,MATCH(COLUMNS($AN$1006:AQ1006),$AN$1006:$BO$1006,0)))),"Fix")))</f>
        <v>0</v>
      </c>
      <c r="F164" s="4">
        <f>IF(OR(INDEX($AH$2:$AH$1001,MATCH(ROWS($AG$2:AG164),$AG$2:$AG$1001,0),1)&gt;=100000,INDEX($AN$1005:$BO$1005,1,MATCH(COLUMNS($AN$1006:AR1006),$AN$1006:$BO$1006,0))&gt;=100000), " ",IF(INDEX($AN$2:$BO$1001,MATCH(ROWS($AG$2:AG164),$AG$2:$AG$1001,0),MATCH(COLUMNS($AN$1006:AR1006),$AN$1006:$BO$1006,0)), HYPERLINK("#",""), HYPERLINK(CONCATENATE("#Metadata!", ADDRESS(INDEX($AI$2:$AI$1001,MATCH(ROWS($AG$2:AG164),$AG$2:$AG$1001,0),0), INDEX($AN$1004:$BO$1004,1,MATCH(COLUMNS($AN$1006:AR1006),$AN$1006:$BO$1006,0)))),"Fix")))</f>
        <v>0</v>
      </c>
      <c r="G164" s="4">
        <f>IF(OR(INDEX($AH$2:$AH$1001,MATCH(ROWS($AG$2:AG164),$AG$2:$AG$1001,0),1)&gt;=100000,INDEX($AN$1005:$BO$1005,1,MATCH(COLUMNS($AN$1006:AS1006),$AN$1006:$BO$1006,0))&gt;=100000), " ",IF(INDEX($AN$2:$BO$1001,MATCH(ROWS($AG$2:AG164),$AG$2:$AG$1001,0),MATCH(COLUMNS($AN$1006:AS1006),$AN$1006:$BO$1006,0)), HYPERLINK("#",""), HYPERLINK(CONCATENATE("#Metadata!", ADDRESS(INDEX($AI$2:$AI$1001,MATCH(ROWS($AG$2:AG164),$AG$2:$AG$1001,0),0), INDEX($AN$1004:$BO$1004,1,MATCH(COLUMNS($AN$1006:AS1006),$AN$1006:$BO$1006,0)))),"Fix")))</f>
        <v>0</v>
      </c>
      <c r="H164" s="4">
        <f>IF(OR(INDEX($AH$2:$AH$1001,MATCH(ROWS($AG$2:AG164),$AG$2:$AG$1001,0),1)&gt;=100000,INDEX($AN$1005:$BO$1005,1,MATCH(COLUMNS($AN$1006:AT1006),$AN$1006:$BO$1006,0))&gt;=100000), " ",IF(INDEX($AN$2:$BO$1001,MATCH(ROWS($AG$2:AG164),$AG$2:$AG$1001,0),MATCH(COLUMNS($AN$1006:AT1006),$AN$1006:$BO$1006,0)), HYPERLINK("#",""), HYPERLINK(CONCATENATE("#Metadata!", ADDRESS(INDEX($AI$2:$AI$1001,MATCH(ROWS($AG$2:AG164),$AG$2:$AG$1001,0),0), INDEX($AN$1004:$BO$1004,1,MATCH(COLUMNS($AN$1006:AT1006),$AN$1006:$BO$1006,0)))),"Fix")))</f>
        <v>0</v>
      </c>
      <c r="I164" s="4">
        <f>IF(OR(INDEX($AH$2:$AH$1001,MATCH(ROWS($AG$2:AG164),$AG$2:$AG$1001,0),1)&gt;=100000,INDEX($AN$1005:$BO$1005,1,MATCH(COLUMNS($AN$1006:AU1006),$AN$1006:$BO$1006,0))&gt;=100000), " ",IF(INDEX($AN$2:$BO$1001,MATCH(ROWS($AG$2:AG164),$AG$2:$AG$1001,0),MATCH(COLUMNS($AN$1006:AU1006),$AN$1006:$BO$1006,0)), HYPERLINK("#",""), HYPERLINK(CONCATENATE("#Metadata!", ADDRESS(INDEX($AI$2:$AI$1001,MATCH(ROWS($AG$2:AG164),$AG$2:$AG$1001,0),0), INDEX($AN$1004:$BO$1004,1,MATCH(COLUMNS($AN$1006:AU1006),$AN$1006:$BO$1006,0)))),"Fix")))</f>
        <v>0</v>
      </c>
      <c r="J164" s="4">
        <f>IF(OR(INDEX($AH$2:$AH$1001,MATCH(ROWS($AG$2:AG164),$AG$2:$AG$1001,0),1)&gt;=100000,INDEX($AN$1005:$BO$1005,1,MATCH(COLUMNS($AN$1006:AV1006),$AN$1006:$BO$1006,0))&gt;=100000), " ",IF(INDEX($AN$2:$BO$1001,MATCH(ROWS($AG$2:AG164),$AG$2:$AG$1001,0),MATCH(COLUMNS($AN$1006:AV1006),$AN$1006:$BO$1006,0)), HYPERLINK("#",""), HYPERLINK(CONCATENATE("#Metadata!", ADDRESS(INDEX($AI$2:$AI$1001,MATCH(ROWS($AG$2:AG164),$AG$2:$AG$1001,0),0), INDEX($AN$1004:$BO$1004,1,MATCH(COLUMNS($AN$1006:AV1006),$AN$1006:$BO$1006,0)))),"Fix")))</f>
        <v>0</v>
      </c>
      <c r="K164" s="4">
        <f>IF(OR(INDEX($AH$2:$AH$1001,MATCH(ROWS($AG$2:AG164),$AG$2:$AG$1001,0),1)&gt;=100000,INDEX($AN$1005:$BO$1005,1,MATCH(COLUMNS($AN$1006:AW1006),$AN$1006:$BO$1006,0))&gt;=100000), " ",IF(INDEX($AN$2:$BO$1001,MATCH(ROWS($AG$2:AG164),$AG$2:$AG$1001,0),MATCH(COLUMNS($AN$1006:AW1006),$AN$1006:$BO$1006,0)), HYPERLINK("#",""), HYPERLINK(CONCATENATE("#Metadata!", ADDRESS(INDEX($AI$2:$AI$1001,MATCH(ROWS($AG$2:AG164),$AG$2:$AG$1001,0),0), INDEX($AN$1004:$BO$1004,1,MATCH(COLUMNS($AN$1006:AW1006),$AN$1006:$BO$1006,0)))),"Fix")))</f>
        <v>0</v>
      </c>
      <c r="L164" s="4">
        <f>IF(OR(INDEX($AH$2:$AH$1001,MATCH(ROWS($AG$2:AG164),$AG$2:$AG$1001,0),1)&gt;=100000,INDEX($AN$1005:$BO$1005,1,MATCH(COLUMNS($AN$1006:AX1006),$AN$1006:$BO$1006,0))&gt;=100000), " ",IF(INDEX($AN$2:$BO$1001,MATCH(ROWS($AG$2:AG164),$AG$2:$AG$1001,0),MATCH(COLUMNS($AN$1006:AX1006),$AN$1006:$BO$1006,0)), HYPERLINK("#",""), HYPERLINK(CONCATENATE("#Metadata!", ADDRESS(INDEX($AI$2:$AI$1001,MATCH(ROWS($AG$2:AG164),$AG$2:$AG$1001,0),0), INDEX($AN$1004:$BO$1004,1,MATCH(COLUMNS($AN$1006:AX1006),$AN$1006:$BO$1006,0)))),"Fix")))</f>
        <v>0</v>
      </c>
      <c r="M164" s="4">
        <f>IF(OR(INDEX($AH$2:$AH$1001,MATCH(ROWS($AG$2:AG164),$AG$2:$AG$1001,0),1)&gt;=100000,INDEX($AN$1005:$BO$1005,1,MATCH(COLUMNS($AN$1006:AY1006),$AN$1006:$BO$1006,0))&gt;=100000), " ",IF(INDEX($AN$2:$BO$1001,MATCH(ROWS($AG$2:AG164),$AG$2:$AG$1001,0),MATCH(COLUMNS($AN$1006:AY1006),$AN$1006:$BO$1006,0)), HYPERLINK("#",""), HYPERLINK(CONCATENATE("#Metadata!", ADDRESS(INDEX($AI$2:$AI$1001,MATCH(ROWS($AG$2:AG164),$AG$2:$AG$1001,0),0), INDEX($AN$1004:$BO$1004,1,MATCH(COLUMNS($AN$1006:AY1006),$AN$1006:$BO$1006,0)))),"Fix")))</f>
        <v>0</v>
      </c>
      <c r="N164" s="4">
        <f>IF(OR(INDEX($AH$2:$AH$1001,MATCH(ROWS($AG$2:AG164),$AG$2:$AG$1001,0),1)&gt;=100000,INDEX($AN$1005:$BO$1005,1,MATCH(COLUMNS($AN$1006:AZ1006),$AN$1006:$BO$1006,0))&gt;=100000), " ",IF(INDEX($AN$2:$BO$1001,MATCH(ROWS($AG$2:AG164),$AG$2:$AG$1001,0),MATCH(COLUMNS($AN$1006:AZ1006),$AN$1006:$BO$1006,0)), HYPERLINK("#",""), HYPERLINK(CONCATENATE("#Metadata!", ADDRESS(INDEX($AI$2:$AI$1001,MATCH(ROWS($AG$2:AG164),$AG$2:$AG$1001,0),0), INDEX($AN$1004:$BO$1004,1,MATCH(COLUMNS($AN$1006:AZ1006),$AN$1006:$BO$1006,0)))),"Fix")))</f>
        <v>0</v>
      </c>
      <c r="O164" s="4">
        <f>IF(OR(INDEX($AH$2:$AH$1001,MATCH(ROWS($AG$2:AG164),$AG$2:$AG$1001,0),1)&gt;=100000,INDEX($AN$1005:$BO$1005,1,MATCH(COLUMNS($AN$1006:BA1006),$AN$1006:$BO$1006,0))&gt;=100000), " ",IF(INDEX($AN$2:$BO$1001,MATCH(ROWS($AG$2:AG164),$AG$2:$AG$1001,0),MATCH(COLUMNS($AN$1006:BA1006),$AN$1006:$BO$1006,0)), HYPERLINK("#",""), HYPERLINK(CONCATENATE("#Metadata!", ADDRESS(INDEX($AI$2:$AI$1001,MATCH(ROWS($AG$2:AG164),$AG$2:$AG$1001,0),0), INDEX($AN$1004:$BO$1004,1,MATCH(COLUMNS($AN$1006:BA1006),$AN$1006:$BO$1006,0)))),"Fix")))</f>
        <v>0</v>
      </c>
      <c r="P164" s="4">
        <f>IF(OR(INDEX($AH$2:$AH$1001,MATCH(ROWS($AG$2:AG164),$AG$2:$AG$1001,0),1)&gt;=100000,INDEX($AN$1005:$BO$1005,1,MATCH(COLUMNS($AN$1006:BB1006),$AN$1006:$BO$1006,0))&gt;=100000), " ",IF(INDEX($AN$2:$BO$1001,MATCH(ROWS($AG$2:AG164),$AG$2:$AG$1001,0),MATCH(COLUMNS($AN$1006:BB1006),$AN$1006:$BO$1006,0)), HYPERLINK("#",""), HYPERLINK(CONCATENATE("#Metadata!", ADDRESS(INDEX($AI$2:$AI$1001,MATCH(ROWS($AG$2:AG164),$AG$2:$AG$1001,0),0), INDEX($AN$1004:$BO$1004,1,MATCH(COLUMNS($AN$1006:BB1006),$AN$1006:$BO$1006,0)))),"Fix")))</f>
        <v>0</v>
      </c>
      <c r="Q164" s="4">
        <f>IF(OR(INDEX($AH$2:$AH$1001,MATCH(ROWS($AG$2:AG164),$AG$2:$AG$1001,0),1)&gt;=100000,INDEX($AN$1005:$BO$1005,1,MATCH(COLUMNS($AN$1006:BC1006),$AN$1006:$BO$1006,0))&gt;=100000), " ",IF(INDEX($AN$2:$BO$1001,MATCH(ROWS($AG$2:AG164),$AG$2:$AG$1001,0),MATCH(COLUMNS($AN$1006:BC1006),$AN$1006:$BO$1006,0)), HYPERLINK("#",""), HYPERLINK(CONCATENATE("#Metadata!", ADDRESS(INDEX($AI$2:$AI$1001,MATCH(ROWS($AG$2:AG164),$AG$2:$AG$1001,0),0), INDEX($AN$1004:$BO$1004,1,MATCH(COLUMNS($AN$1006:BC1006),$AN$1006:$BO$1006,0)))),"Fix")))</f>
        <v>0</v>
      </c>
      <c r="R164" s="4">
        <f>IF(OR(INDEX($AH$2:$AH$1001,MATCH(ROWS($AG$2:AG164),$AG$2:$AG$1001,0),1)&gt;=100000,INDEX($AN$1005:$BO$1005,1,MATCH(COLUMNS($AN$1006:BD1006),$AN$1006:$BO$1006,0))&gt;=100000), " ",IF(INDEX($AN$2:$BO$1001,MATCH(ROWS($AG$2:AG164),$AG$2:$AG$1001,0),MATCH(COLUMNS($AN$1006:BD1006),$AN$1006:$BO$1006,0)), HYPERLINK("#",""), HYPERLINK(CONCATENATE("#Metadata!", ADDRESS(INDEX($AI$2:$AI$1001,MATCH(ROWS($AG$2:AG164),$AG$2:$AG$1001,0),0), INDEX($AN$1004:$BO$1004,1,MATCH(COLUMNS($AN$1006:BD1006),$AN$1006:$BO$1006,0)))),"Fix")))</f>
        <v>0</v>
      </c>
      <c r="S164" s="4">
        <f>IF(OR(INDEX($AH$2:$AH$1001,MATCH(ROWS($AG$2:AG164),$AG$2:$AG$1001,0),1)&gt;=100000,INDEX($AN$1005:$BO$1005,1,MATCH(COLUMNS($AN$1006:BE1006),$AN$1006:$BO$1006,0))&gt;=100000), " ",IF(INDEX($AN$2:$BO$1001,MATCH(ROWS($AG$2:AG164),$AG$2:$AG$1001,0),MATCH(COLUMNS($AN$1006:BE1006),$AN$1006:$BO$1006,0)), HYPERLINK("#",""), HYPERLINK(CONCATENATE("#Metadata!", ADDRESS(INDEX($AI$2:$AI$1001,MATCH(ROWS($AG$2:AG164),$AG$2:$AG$1001,0),0), INDEX($AN$1004:$BO$1004,1,MATCH(COLUMNS($AN$1006:BE1006),$AN$1006:$BO$1006,0)))),"Fix")))</f>
        <v>0</v>
      </c>
      <c r="T164" s="4">
        <f>IF(OR(INDEX($AH$2:$AH$1001,MATCH(ROWS($AG$2:AG164),$AG$2:$AG$1001,0),1)&gt;=100000,INDEX($AN$1005:$BO$1005,1,MATCH(COLUMNS($AN$1006:BF1006),$AN$1006:$BO$1006,0))&gt;=100000), " ",IF(INDEX($AN$2:$BO$1001,MATCH(ROWS($AG$2:AG164),$AG$2:$AG$1001,0),MATCH(COLUMNS($AN$1006:BF1006),$AN$1006:$BO$1006,0)), HYPERLINK("#",""), HYPERLINK(CONCATENATE("#Metadata!", ADDRESS(INDEX($AI$2:$AI$1001,MATCH(ROWS($AG$2:AG164),$AG$2:$AG$1001,0),0), INDEX($AN$1004:$BO$1004,1,MATCH(COLUMNS($AN$1006:BF1006),$AN$1006:$BO$1006,0)))),"Fix")))</f>
        <v>0</v>
      </c>
      <c r="U164" s="4">
        <f>IF(OR(INDEX($AH$2:$AH$1001,MATCH(ROWS($AG$2:AG164),$AG$2:$AG$1001,0),1)&gt;=100000,INDEX($AN$1005:$BO$1005,1,MATCH(COLUMNS($AN$1006:BG1006),$AN$1006:$BO$1006,0))&gt;=100000), " ",IF(INDEX($AN$2:$BO$1001,MATCH(ROWS($AG$2:AG164),$AG$2:$AG$1001,0),MATCH(COLUMNS($AN$1006:BG1006),$AN$1006:$BO$1006,0)), HYPERLINK("#",""), HYPERLINK(CONCATENATE("#Metadata!", ADDRESS(INDEX($AI$2:$AI$1001,MATCH(ROWS($AG$2:AG164),$AG$2:$AG$1001,0),0), INDEX($AN$1004:$BO$1004,1,MATCH(COLUMNS($AN$1006:BG1006),$AN$1006:$BO$1006,0)))),"Fix")))</f>
        <v>0</v>
      </c>
      <c r="V164" s="4">
        <f>IF(OR(INDEX($AH$2:$AH$1001,MATCH(ROWS($AG$2:AG164),$AG$2:$AG$1001,0),1)&gt;=100000,INDEX($AN$1005:$BO$1005,1,MATCH(COLUMNS($AN$1006:BH1006),$AN$1006:$BO$1006,0))&gt;=100000), " ",IF(INDEX($AN$2:$BO$1001,MATCH(ROWS($AG$2:AG164),$AG$2:$AG$1001,0),MATCH(COLUMNS($AN$1006:BH1006),$AN$1006:$BO$1006,0)), HYPERLINK("#",""), HYPERLINK(CONCATENATE("#Metadata!", ADDRESS(INDEX($AI$2:$AI$1001,MATCH(ROWS($AG$2:AG164),$AG$2:$AG$1001,0),0), INDEX($AN$1004:$BO$1004,1,MATCH(COLUMNS($AN$1006:BH1006),$AN$1006:$BO$1006,0)))),"Fix")))</f>
        <v>0</v>
      </c>
      <c r="W164" s="4">
        <f>IF(OR(INDEX($AH$2:$AH$1001,MATCH(ROWS($AG$2:AG164),$AG$2:$AG$1001,0),1)&gt;=100000,INDEX($AN$1005:$BO$1005,1,MATCH(COLUMNS($AN$1006:BI1006),$AN$1006:$BO$1006,0))&gt;=100000), " ",IF(INDEX($AN$2:$BO$1001,MATCH(ROWS($AG$2:AG164),$AG$2:$AG$1001,0),MATCH(COLUMNS($AN$1006:BI1006),$AN$1006:$BO$1006,0)), HYPERLINK("#",""), HYPERLINK(CONCATENATE("#Metadata!", ADDRESS(INDEX($AI$2:$AI$1001,MATCH(ROWS($AG$2:AG164),$AG$2:$AG$1001,0),0), INDEX($AN$1004:$BO$1004,1,MATCH(COLUMNS($AN$1006:BI1006),$AN$1006:$BO$1006,0)))),"Fix")))</f>
        <v>0</v>
      </c>
      <c r="X164" s="4">
        <f>IF(OR(INDEX($AH$2:$AH$1001,MATCH(ROWS($AG$2:AG164),$AG$2:$AG$1001,0),1)&gt;=100000,INDEX($AN$1005:$BO$1005,1,MATCH(COLUMNS($AN$1006:BJ1006),$AN$1006:$BO$1006,0))&gt;=100000), " ",IF(INDEX($AN$2:$BO$1001,MATCH(ROWS($AG$2:AG164),$AG$2:$AG$1001,0),MATCH(COLUMNS($AN$1006:BJ1006),$AN$1006:$BO$1006,0)), HYPERLINK("#",""), HYPERLINK(CONCATENATE("#Metadata!", ADDRESS(INDEX($AI$2:$AI$1001,MATCH(ROWS($AG$2:AG164),$AG$2:$AG$1001,0),0), INDEX($AN$1004:$BO$1004,1,MATCH(COLUMNS($AN$1006:BJ1006),$AN$1006:$BO$1006,0)))),"Fix")))</f>
        <v>0</v>
      </c>
      <c r="Y164" s="4">
        <f>IF(OR(INDEX($AH$2:$AH$1001,MATCH(ROWS($AG$2:AG164),$AG$2:$AG$1001,0),1)&gt;=100000,INDEX($AN$1005:$BO$1005,1,MATCH(COLUMNS($AN$1006:BK1006),$AN$1006:$BO$1006,0))&gt;=100000), " ",IF(INDEX($AN$2:$BO$1001,MATCH(ROWS($AG$2:AG164),$AG$2:$AG$1001,0),MATCH(COLUMNS($AN$1006:BK1006),$AN$1006:$BO$1006,0)), HYPERLINK("#",""), HYPERLINK(CONCATENATE("#Metadata!", ADDRESS(INDEX($AI$2:$AI$1001,MATCH(ROWS($AG$2:AG164),$AG$2:$AG$1001,0),0), INDEX($AN$1004:$BO$1004,1,MATCH(COLUMNS($AN$1006:BK1006),$AN$1006:$BO$1006,0)))),"Fix")))</f>
        <v>0</v>
      </c>
      <c r="Z164" s="4">
        <f>IF(OR(INDEX($AH$2:$AH$1001,MATCH(ROWS($AG$2:AG164),$AG$2:$AG$1001,0),1)&gt;=100000,INDEX($AN$1005:$BO$1005,1,MATCH(COLUMNS($AN$1006:BL1006),$AN$1006:$BO$1006,0))&gt;=100000), " ",IF(INDEX($AN$2:$BO$1001,MATCH(ROWS($AG$2:AG164),$AG$2:$AG$1001,0),MATCH(COLUMNS($AN$1006:BL1006),$AN$1006:$BO$1006,0)), HYPERLINK("#",""), HYPERLINK(CONCATENATE("#Metadata!", ADDRESS(INDEX($AI$2:$AI$1001,MATCH(ROWS($AG$2:AG164),$AG$2:$AG$1001,0),0), INDEX($AN$1004:$BO$1004,1,MATCH(COLUMNS($AN$1006:BL1006),$AN$1006:$BO$1006,0)))),"Fix")))</f>
        <v>0</v>
      </c>
      <c r="AA164" s="4">
        <f>IF(OR(INDEX($AH$2:$AH$1001,MATCH(ROWS($AG$2:AG164),$AG$2:$AG$1001,0),1)&gt;=100000,INDEX($AN$1005:$BO$1005,1,MATCH(COLUMNS($AN$1006:BM1006),$AN$1006:$BO$1006,0))&gt;=100000), " ",IF(INDEX($AN$2:$BO$1001,MATCH(ROWS($AG$2:AG164),$AG$2:$AG$1001,0),MATCH(COLUMNS($AN$1006:BM1006),$AN$1006:$BO$1006,0)), HYPERLINK("#",""), HYPERLINK(CONCATENATE("#Metadata!", ADDRESS(INDEX($AI$2:$AI$1001,MATCH(ROWS($AG$2:AG164),$AG$2:$AG$1001,0),0), INDEX($AN$1004:$BO$1004,1,MATCH(COLUMNS($AN$1006:BM1006),$AN$1006:$BO$1006,0)))),"Fix")))</f>
        <v>0</v>
      </c>
      <c r="AB164" s="4">
        <f>IF(OR(INDEX($AH$2:$AH$1001,MATCH(ROWS($AG$2:AG164),$AG$2:$AG$1001,0),1)&gt;=100000,INDEX($AN$1005:$BO$1005,1,MATCH(COLUMNS($AN$1006:BN1006),$AN$1006:$BO$1006,0))&gt;=100000), " ",IF(INDEX($AN$2:$BO$1001,MATCH(ROWS($AG$2:AG164),$AG$2:$AG$1001,0),MATCH(COLUMNS($AN$1006:BN1006),$AN$1006:$BO$1006,0)), HYPERLINK("#",""), HYPERLINK(CONCATENATE("#Metadata!", ADDRESS(INDEX($AI$2:$AI$1001,MATCH(ROWS($AG$2:AG164),$AG$2:$AG$1001,0),0), INDEX($AN$1004:$BO$1004,1,MATCH(COLUMNS($AN$1006:BN1006),$AN$1006:$BO$1006,0)))),"Fix")))</f>
        <v>0</v>
      </c>
      <c r="AC164" s="4">
        <f>IF(OR(INDEX($AH$2:$AH$1001,MATCH(ROWS($AG$2:AG164),$AG$2:$AG$1001,0),1)&gt;=100000,INDEX($AN$1005:$BO$1005,1,MATCH(COLUMNS($AN$1006:BO1006),$AN$1006:$BO$1006,0))&gt;=100000), " ",IF(INDEX($AN$2:$BO$1001,MATCH(ROWS($AG$2:AG164),$AG$2:$AG$1001,0),MATCH(COLUMNS($AN$1006:BO1006),$AN$1006:$BO$1006,0)), HYPERLINK("#",""), HYPERLINK(CONCATENATE("#Metadata!", ADDRESS(INDEX($AI$2:$AI$1001,MATCH(ROWS($AG$2:AG164),$AG$2:$AG$1001,0),0), INDEX($AN$1004:$BO$1004,1,MATCH(COLUMNS($AN$1006:BO1006),$AN$1006:$BO$1006,0)))),"Fix")))</f>
        <v>0</v>
      </c>
      <c r="AG164">
        <v>0</v>
      </c>
      <c r="AH164">
        <v>0</v>
      </c>
      <c r="AI164">
        <v>0</v>
      </c>
      <c r="AJ164">
        <f>IF(AK164,TRUE,AND(AN164:BO164))</f>
        <v>0</v>
      </c>
      <c r="AK164">
        <f>COUNTBLANK(Metadata!B164:AC164)=COLUMNS(Metadata!B164:AC164)</f>
        <v>0</v>
      </c>
      <c r="AL164">
        <v>0</v>
      </c>
      <c r="AN164">
        <f>AND(IF(Metadata!B164="",FALSE,TRUE),COUNTIF(Metadata!B:B, Metadata!B164) = 1,NOT(ISERROR(SUMPRODUCT(SEARCH(MID(Metadata!B164,ROW(INDIRECT("1:"&amp;LEN(Metadata!B164))), 1),"0123456789abcdefghijklmnopqrstuvwxyzABCDEFGHIJKLMNOPQRSTUVWXYZ.")))))</f>
        <v>0</v>
      </c>
      <c r="AO164">
        <f>IF(Metadata!C164="",FALSE,TRUE)</f>
        <v>0</v>
      </c>
      <c r="AP164">
        <f>IF(Metadata!D164="",FALSE,TRUE)</f>
        <v>0</v>
      </c>
      <c r="AQ164">
        <f>OR(AND(IF(Metadata!E164="",FALSE,TRUE),OR(exact(Metadata!E164,"not collected"),exact(Metadata!E164,"not provided"),exact(Metadata!E164,"restricted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R164">
        <f>IF(Metadata!F164="",FALSE,TRUE)</f>
        <v>0</v>
      </c>
      <c r="AS164">
        <f>OR(AND(IF(Metadata!G164="",FALSE,TRUE),OR(exact(Metadata!G164,"not collected"),exact(Metadata!G164,"not provided"))),AND(IF(Metadata!G164="",FALSE,TRUE),OR(exact(Metadata!G164,"TRUE"),exact(Metadata!G164,"FALSE"))))</f>
        <v>0</v>
      </c>
      <c r="AT164">
        <f>OR(AND(IF(Metadata!H164="",FALSE,TRUE),OR(exact(Metadata!H164,"not collected"),exact(Metadata!H164,"not provided"),exact(Metadata!H164,"restricted access"))),AND(IF(Metadata!H164="",FALSE,ISNUMBER(VALUE(Metadata!H164))),Metadata!H164&gt;=-413.0))</f>
        <v>0</v>
      </c>
      <c r="AU164">
        <f>AND(IF(Metadata!I164="",FALSE,TRUE),exact(Metadata!I164,"meters"))</f>
        <v>0</v>
      </c>
      <c r="AV164">
        <f>AND(IF(Metadata!J164="",FALSE,TRUE),OR(exact(Metadata!J164,"Host-associated"),exact(Metadata!J164,"Free-living")))</f>
        <v>0</v>
      </c>
      <c r="AW164">
        <f>AND(IF(Metadata!K164="",FALSE,TRUE),OR(exact(Metadata!K164,"Animal"),exact(Metadata!K164,"Fungus"),exact(Metadata!K164,"Plant"),exact(Metadata!K164,"Saline"),exact(Metadata!K164,"Non-saline")))</f>
        <v>0</v>
      </c>
      <c r="AX164">
        <f>AND(IF(Metadata!L164="",FALSE,TRUE),OR(exact(Metadata!L164,"Plant secretion"),exact(Metadata!L164,"Plant rhizosphere"),exact(Metadata!L164,"Plant surface"),exact(Metadata!L164,"Plant corpus"),exact(Metadata!L164,"Fungus surface"),exact(Metadata!L164,"Fungus corpus"),exact(Metadata!L164,"Animal surface"),exact(Metadata!L164,"Animal proximal gut"),exact(Metadata!L164,"Animal corpus"),exact(Metadata!L164,"Animal distal gut"),exact(Metadata!L164,"Animal secretion"),exact(Metadata!L164,"Sub-surface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Y164">
        <f>IF(Metadata!M164="",FALSE,TRUE)</f>
        <v>0</v>
      </c>
      <c r="AZ164">
        <f>IF(Metadata!N164="",FALSE,TRUE)</f>
        <v>0</v>
      </c>
      <c r="BA164">
        <f>IF(Metadata!O164="",FALSE,TRUE)</f>
        <v>0</v>
      </c>
      <c r="BB164">
        <f>OR(AND(IF(Metadata!P164="",FALSE,TRUE),OR(exact(Metadata!P164,"not collected"),exact(Metadata!P164,"not provided"),exact(Metadata!P164,"restricted access"))),AND(IF(Metadata!P164="",FALSE,TRUE),OR(exact(Metadata!P164,"air"),exact(Metadata!P164,"built environment"),exact(Metadata!P164,"host-associated"),exact(Metadata!P164,"human-associated"),exact(Metadata!P164,"human-skin"),exact(Metadata!P164,"human-oral"),exact(Metadata!P164,"human-gut"),exact(Metadata!P164,"human-vaginal"),exact(Metadata!P164,"microbial mat/biofilm"),exact(Metadata!P164,"misc environment"),exact(Metadata!P164,"plant-associated"),exact(Metadata!P164,"sediment"),exact(Metadata!P164,"soil"),exact(Metadata!P164,"wastewater/sludge"),exact(Metadata!P164,"water"))))</f>
        <v>0</v>
      </c>
      <c r="BC164">
        <f>IF(Metadata!Q164="",FALSE,TRUE)</f>
        <v>0</v>
      </c>
      <c r="BD164">
        <f>IF(Metadata!R164="",FALSE,TRUE)</f>
        <v>0</v>
      </c>
      <c r="BE164">
        <f>OR(AND(IF(Metadata!S164="",FALSE,TRUE),OR(exact(Metadata!S164,"not collected"),exact(Metadata!S164,"not provided"),exact(Metadata!S164,"restricted access"))),AND(IF(Metadata!S164="",FALSE,ISNUMBER(VALUE(Metadata!S164))),Metadata!S164&gt;=-90.00,Metadata!S164&lt;=90.00))</f>
        <v>0</v>
      </c>
      <c r="BF164">
        <f>AND(IF(Metadata!T164="",FALSE,TRUE),exact(Metadata!T164,"Decimal degrees"))</f>
        <v>0</v>
      </c>
      <c r="BG164">
        <f>OR(AND(IF(Metadata!U164="",FALSE,TRUE),OR(exact(Metadata!U164,"not collected"),exact(Metadata!U164,"not provided"),exact(Metadata!U164,"restricted access"))),AND(IF(Metadata!U164="",FALSE,ISNUMBER(VALUE(Metadata!U164))),Metadata!U164&gt;=-180.00,Metadata!U164&lt;=180.00))</f>
        <v>0</v>
      </c>
      <c r="BH164">
        <f>AND(IF(Metadata!V164="",FALSE,TRUE),exact(Metadata!V164,"Decimal degrees"))</f>
        <v>0</v>
      </c>
      <c r="BI164">
        <f>IF(Metadata!W164="",FALSE,TRUE)</f>
        <v>0</v>
      </c>
      <c r="BJ164">
        <f>OR(AND(IF(Metadata!X164="",FALSE,TRUE),OR(exact(Metadata!X164,"not collected"),exact(Metadata!X164,"not provided"),exact(Metadata!X164,"restricted access"))),AND(IF(Metadata!X164="",FALSE,TRUE),OR(exact(Metadata!X164,"TRUE"),exact(Metadata!X164,"FALSE"))))</f>
        <v>0</v>
      </c>
      <c r="BK164">
        <f>AND(IF(Metadata!Y164="",FALSE,TRUE),exact(Metadata!Y164,"other"))</f>
        <v>0</v>
      </c>
      <c r="BL164">
        <f>IF(Metadata!Z164="",FALSE,TRUE)</f>
        <v>0</v>
      </c>
      <c r="BM164">
        <f>OR(AND(IF(Metadata!AA164="",FALSE,TRUE),OR(exact(Metadata!AA164,"not collected"),exact(Metadata!AA164,"not provided"))),AND(IF(Metadata!AA164="",FALSE,IF(ISERROR(INT(Metadata!AA164)),FALSE,INT(Metadata!AA164)=Metadata!AA164)),Metadata!AA164&gt;0))</f>
        <v>0</v>
      </c>
      <c r="BN164">
        <f>AND(IF(Metadata!AB164="",FALSE,TRUE),exact(Metadata!AB164,"Not applicable"))</f>
        <v>0</v>
      </c>
      <c r="BO164">
        <f>IF(Metadata!AC164="",FALSE,TRUE)</f>
        <v>0</v>
      </c>
    </row>
    <row r="165" spans="1:67">
      <c r="A165" s="5">
        <f>IF(B165=" "," ",HYPERLINK(CONCATENATE("#metadata!",ADDRESS(INDEX($AI$2:$AI$1001,MATCH(ROWS($AG$2:AG165),$AG$2:$AG$1001,0),0),1)),INDEX($AL$2:$AL$1001,MATCH(ROWS($AG$2:AG165),$AG$2:$AG$1001,0),0)))</f>
        <v>0</v>
      </c>
      <c r="B165" s="4">
        <f>IF(OR(INDEX($AH$2:$AH$1001,MATCH(ROWS($AG$2:AG165),$AG$2:$AG$1001,0),1)&gt;=100000,INDEX($AN$1005:$BO$1005,1,MATCH(COLUMNS($AN$1006:AN1006),$AN$1006:$BO$1006,0))&gt;=100000), " ",IF(INDEX($AN$2:$BO$1001,MATCH(ROWS($AG$2:AG165),$AG$2:$AG$1001,0),MATCH(COLUMNS($AN$1006:AN1006),$AN$1006:$BO$1006,0)), HYPERLINK("#",""), HYPERLINK(CONCATENATE("#Metadata!", ADDRESS(INDEX($AI$2:$AI$1001,MATCH(ROWS($AG$2:AG165),$AG$2:$AG$1001,0),0), INDEX($AN$1004:$BO$1004,1,MATCH(COLUMNS($AN$1006:AN1006),$AN$1006:$BO$1006,0)))),"Fix")))</f>
        <v>0</v>
      </c>
      <c r="C165" s="4">
        <f>IF(OR(INDEX($AH$2:$AH$1001,MATCH(ROWS($AG$2:AG165),$AG$2:$AG$1001,0),1)&gt;=100000,INDEX($AN$1005:$BO$1005,1,MATCH(COLUMNS($AN$1006:AO1006),$AN$1006:$BO$1006,0))&gt;=100000), " ",IF(INDEX($AN$2:$BO$1001,MATCH(ROWS($AG$2:AG165),$AG$2:$AG$1001,0),MATCH(COLUMNS($AN$1006:AO1006),$AN$1006:$BO$1006,0)), HYPERLINK("#",""), HYPERLINK(CONCATENATE("#Metadata!", ADDRESS(INDEX($AI$2:$AI$1001,MATCH(ROWS($AG$2:AG165),$AG$2:$AG$1001,0),0), INDEX($AN$1004:$BO$1004,1,MATCH(COLUMNS($AN$1006:AO1006),$AN$1006:$BO$1006,0)))),"Fix")))</f>
        <v>0</v>
      </c>
      <c r="D165" s="4">
        <f>IF(OR(INDEX($AH$2:$AH$1001,MATCH(ROWS($AG$2:AG165),$AG$2:$AG$1001,0),1)&gt;=100000,INDEX($AN$1005:$BO$1005,1,MATCH(COLUMNS($AN$1006:AP1006),$AN$1006:$BO$1006,0))&gt;=100000), " ",IF(INDEX($AN$2:$BO$1001,MATCH(ROWS($AG$2:AG165),$AG$2:$AG$1001,0),MATCH(COLUMNS($AN$1006:AP1006),$AN$1006:$BO$1006,0)), HYPERLINK("#",""), HYPERLINK(CONCATENATE("#Metadata!", ADDRESS(INDEX($AI$2:$AI$1001,MATCH(ROWS($AG$2:AG165),$AG$2:$AG$1001,0),0), INDEX($AN$1004:$BO$1004,1,MATCH(COLUMNS($AN$1006:AP1006),$AN$1006:$BO$1006,0)))),"Fix")))</f>
        <v>0</v>
      </c>
      <c r="E165" s="4">
        <f>IF(OR(INDEX($AH$2:$AH$1001,MATCH(ROWS($AG$2:AG165),$AG$2:$AG$1001,0),1)&gt;=100000,INDEX($AN$1005:$BO$1005,1,MATCH(COLUMNS($AN$1006:AQ1006),$AN$1006:$BO$1006,0))&gt;=100000), " ",IF(INDEX($AN$2:$BO$1001,MATCH(ROWS($AG$2:AG165),$AG$2:$AG$1001,0),MATCH(COLUMNS($AN$1006:AQ1006),$AN$1006:$BO$1006,0)), HYPERLINK("#",""), HYPERLINK(CONCATENATE("#Metadata!", ADDRESS(INDEX($AI$2:$AI$1001,MATCH(ROWS($AG$2:AG165),$AG$2:$AG$1001,0),0), INDEX($AN$1004:$BO$1004,1,MATCH(COLUMNS($AN$1006:AQ1006),$AN$1006:$BO$1006,0)))),"Fix")))</f>
        <v>0</v>
      </c>
      <c r="F165" s="4">
        <f>IF(OR(INDEX($AH$2:$AH$1001,MATCH(ROWS($AG$2:AG165),$AG$2:$AG$1001,0),1)&gt;=100000,INDEX($AN$1005:$BO$1005,1,MATCH(COLUMNS($AN$1006:AR1006),$AN$1006:$BO$1006,0))&gt;=100000), " ",IF(INDEX($AN$2:$BO$1001,MATCH(ROWS($AG$2:AG165),$AG$2:$AG$1001,0),MATCH(COLUMNS($AN$1006:AR1006),$AN$1006:$BO$1006,0)), HYPERLINK("#",""), HYPERLINK(CONCATENATE("#Metadata!", ADDRESS(INDEX($AI$2:$AI$1001,MATCH(ROWS($AG$2:AG165),$AG$2:$AG$1001,0),0), INDEX($AN$1004:$BO$1004,1,MATCH(COLUMNS($AN$1006:AR1006),$AN$1006:$BO$1006,0)))),"Fix")))</f>
        <v>0</v>
      </c>
      <c r="G165" s="4">
        <f>IF(OR(INDEX($AH$2:$AH$1001,MATCH(ROWS($AG$2:AG165),$AG$2:$AG$1001,0),1)&gt;=100000,INDEX($AN$1005:$BO$1005,1,MATCH(COLUMNS($AN$1006:AS1006),$AN$1006:$BO$1006,0))&gt;=100000), " ",IF(INDEX($AN$2:$BO$1001,MATCH(ROWS($AG$2:AG165),$AG$2:$AG$1001,0),MATCH(COLUMNS($AN$1006:AS1006),$AN$1006:$BO$1006,0)), HYPERLINK("#",""), HYPERLINK(CONCATENATE("#Metadata!", ADDRESS(INDEX($AI$2:$AI$1001,MATCH(ROWS($AG$2:AG165),$AG$2:$AG$1001,0),0), INDEX($AN$1004:$BO$1004,1,MATCH(COLUMNS($AN$1006:AS1006),$AN$1006:$BO$1006,0)))),"Fix")))</f>
        <v>0</v>
      </c>
      <c r="H165" s="4">
        <f>IF(OR(INDEX($AH$2:$AH$1001,MATCH(ROWS($AG$2:AG165),$AG$2:$AG$1001,0),1)&gt;=100000,INDEX($AN$1005:$BO$1005,1,MATCH(COLUMNS($AN$1006:AT1006),$AN$1006:$BO$1006,0))&gt;=100000), " ",IF(INDEX($AN$2:$BO$1001,MATCH(ROWS($AG$2:AG165),$AG$2:$AG$1001,0),MATCH(COLUMNS($AN$1006:AT1006),$AN$1006:$BO$1006,0)), HYPERLINK("#",""), HYPERLINK(CONCATENATE("#Metadata!", ADDRESS(INDEX($AI$2:$AI$1001,MATCH(ROWS($AG$2:AG165),$AG$2:$AG$1001,0),0), INDEX($AN$1004:$BO$1004,1,MATCH(COLUMNS($AN$1006:AT1006),$AN$1006:$BO$1006,0)))),"Fix")))</f>
        <v>0</v>
      </c>
      <c r="I165" s="4">
        <f>IF(OR(INDEX($AH$2:$AH$1001,MATCH(ROWS($AG$2:AG165),$AG$2:$AG$1001,0),1)&gt;=100000,INDEX($AN$1005:$BO$1005,1,MATCH(COLUMNS($AN$1006:AU1006),$AN$1006:$BO$1006,0))&gt;=100000), " ",IF(INDEX($AN$2:$BO$1001,MATCH(ROWS($AG$2:AG165),$AG$2:$AG$1001,0),MATCH(COLUMNS($AN$1006:AU1006),$AN$1006:$BO$1006,0)), HYPERLINK("#",""), HYPERLINK(CONCATENATE("#Metadata!", ADDRESS(INDEX($AI$2:$AI$1001,MATCH(ROWS($AG$2:AG165),$AG$2:$AG$1001,0),0), INDEX($AN$1004:$BO$1004,1,MATCH(COLUMNS($AN$1006:AU1006),$AN$1006:$BO$1006,0)))),"Fix")))</f>
        <v>0</v>
      </c>
      <c r="J165" s="4">
        <f>IF(OR(INDEX($AH$2:$AH$1001,MATCH(ROWS($AG$2:AG165),$AG$2:$AG$1001,0),1)&gt;=100000,INDEX($AN$1005:$BO$1005,1,MATCH(COLUMNS($AN$1006:AV1006),$AN$1006:$BO$1006,0))&gt;=100000), " ",IF(INDEX($AN$2:$BO$1001,MATCH(ROWS($AG$2:AG165),$AG$2:$AG$1001,0),MATCH(COLUMNS($AN$1006:AV1006),$AN$1006:$BO$1006,0)), HYPERLINK("#",""), HYPERLINK(CONCATENATE("#Metadata!", ADDRESS(INDEX($AI$2:$AI$1001,MATCH(ROWS($AG$2:AG165),$AG$2:$AG$1001,0),0), INDEX($AN$1004:$BO$1004,1,MATCH(COLUMNS($AN$1006:AV1006),$AN$1006:$BO$1006,0)))),"Fix")))</f>
        <v>0</v>
      </c>
      <c r="K165" s="4">
        <f>IF(OR(INDEX($AH$2:$AH$1001,MATCH(ROWS($AG$2:AG165),$AG$2:$AG$1001,0),1)&gt;=100000,INDEX($AN$1005:$BO$1005,1,MATCH(COLUMNS($AN$1006:AW1006),$AN$1006:$BO$1006,0))&gt;=100000), " ",IF(INDEX($AN$2:$BO$1001,MATCH(ROWS($AG$2:AG165),$AG$2:$AG$1001,0),MATCH(COLUMNS($AN$1006:AW1006),$AN$1006:$BO$1006,0)), HYPERLINK("#",""), HYPERLINK(CONCATENATE("#Metadata!", ADDRESS(INDEX($AI$2:$AI$1001,MATCH(ROWS($AG$2:AG165),$AG$2:$AG$1001,0),0), INDEX($AN$1004:$BO$1004,1,MATCH(COLUMNS($AN$1006:AW1006),$AN$1006:$BO$1006,0)))),"Fix")))</f>
        <v>0</v>
      </c>
      <c r="L165" s="4">
        <f>IF(OR(INDEX($AH$2:$AH$1001,MATCH(ROWS($AG$2:AG165),$AG$2:$AG$1001,0),1)&gt;=100000,INDEX($AN$1005:$BO$1005,1,MATCH(COLUMNS($AN$1006:AX1006),$AN$1006:$BO$1006,0))&gt;=100000), " ",IF(INDEX($AN$2:$BO$1001,MATCH(ROWS($AG$2:AG165),$AG$2:$AG$1001,0),MATCH(COLUMNS($AN$1006:AX1006),$AN$1006:$BO$1006,0)), HYPERLINK("#",""), HYPERLINK(CONCATENATE("#Metadata!", ADDRESS(INDEX($AI$2:$AI$1001,MATCH(ROWS($AG$2:AG165),$AG$2:$AG$1001,0),0), INDEX($AN$1004:$BO$1004,1,MATCH(COLUMNS($AN$1006:AX1006),$AN$1006:$BO$1006,0)))),"Fix")))</f>
        <v>0</v>
      </c>
      <c r="M165" s="4">
        <f>IF(OR(INDEX($AH$2:$AH$1001,MATCH(ROWS($AG$2:AG165),$AG$2:$AG$1001,0),1)&gt;=100000,INDEX($AN$1005:$BO$1005,1,MATCH(COLUMNS($AN$1006:AY1006),$AN$1006:$BO$1006,0))&gt;=100000), " ",IF(INDEX($AN$2:$BO$1001,MATCH(ROWS($AG$2:AG165),$AG$2:$AG$1001,0),MATCH(COLUMNS($AN$1006:AY1006),$AN$1006:$BO$1006,0)), HYPERLINK("#",""), HYPERLINK(CONCATENATE("#Metadata!", ADDRESS(INDEX($AI$2:$AI$1001,MATCH(ROWS($AG$2:AG165),$AG$2:$AG$1001,0),0), INDEX($AN$1004:$BO$1004,1,MATCH(COLUMNS($AN$1006:AY1006),$AN$1006:$BO$1006,0)))),"Fix")))</f>
        <v>0</v>
      </c>
      <c r="N165" s="4">
        <f>IF(OR(INDEX($AH$2:$AH$1001,MATCH(ROWS($AG$2:AG165),$AG$2:$AG$1001,0),1)&gt;=100000,INDEX($AN$1005:$BO$1005,1,MATCH(COLUMNS($AN$1006:AZ1006),$AN$1006:$BO$1006,0))&gt;=100000), " ",IF(INDEX($AN$2:$BO$1001,MATCH(ROWS($AG$2:AG165),$AG$2:$AG$1001,0),MATCH(COLUMNS($AN$1006:AZ1006),$AN$1006:$BO$1006,0)), HYPERLINK("#",""), HYPERLINK(CONCATENATE("#Metadata!", ADDRESS(INDEX($AI$2:$AI$1001,MATCH(ROWS($AG$2:AG165),$AG$2:$AG$1001,0),0), INDEX($AN$1004:$BO$1004,1,MATCH(COLUMNS($AN$1006:AZ1006),$AN$1006:$BO$1006,0)))),"Fix")))</f>
        <v>0</v>
      </c>
      <c r="O165" s="4">
        <f>IF(OR(INDEX($AH$2:$AH$1001,MATCH(ROWS($AG$2:AG165),$AG$2:$AG$1001,0),1)&gt;=100000,INDEX($AN$1005:$BO$1005,1,MATCH(COLUMNS($AN$1006:BA1006),$AN$1006:$BO$1006,0))&gt;=100000), " ",IF(INDEX($AN$2:$BO$1001,MATCH(ROWS($AG$2:AG165),$AG$2:$AG$1001,0),MATCH(COLUMNS($AN$1006:BA1006),$AN$1006:$BO$1006,0)), HYPERLINK("#",""), HYPERLINK(CONCATENATE("#Metadata!", ADDRESS(INDEX($AI$2:$AI$1001,MATCH(ROWS($AG$2:AG165),$AG$2:$AG$1001,0),0), INDEX($AN$1004:$BO$1004,1,MATCH(COLUMNS($AN$1006:BA1006),$AN$1006:$BO$1006,0)))),"Fix")))</f>
        <v>0</v>
      </c>
      <c r="P165" s="4">
        <f>IF(OR(INDEX($AH$2:$AH$1001,MATCH(ROWS($AG$2:AG165),$AG$2:$AG$1001,0),1)&gt;=100000,INDEX($AN$1005:$BO$1005,1,MATCH(COLUMNS($AN$1006:BB1006),$AN$1006:$BO$1006,0))&gt;=100000), " ",IF(INDEX($AN$2:$BO$1001,MATCH(ROWS($AG$2:AG165),$AG$2:$AG$1001,0),MATCH(COLUMNS($AN$1006:BB1006),$AN$1006:$BO$1006,0)), HYPERLINK("#",""), HYPERLINK(CONCATENATE("#Metadata!", ADDRESS(INDEX($AI$2:$AI$1001,MATCH(ROWS($AG$2:AG165),$AG$2:$AG$1001,0),0), INDEX($AN$1004:$BO$1004,1,MATCH(COLUMNS($AN$1006:BB1006),$AN$1006:$BO$1006,0)))),"Fix")))</f>
        <v>0</v>
      </c>
      <c r="Q165" s="4">
        <f>IF(OR(INDEX($AH$2:$AH$1001,MATCH(ROWS($AG$2:AG165),$AG$2:$AG$1001,0),1)&gt;=100000,INDEX($AN$1005:$BO$1005,1,MATCH(COLUMNS($AN$1006:BC1006),$AN$1006:$BO$1006,0))&gt;=100000), " ",IF(INDEX($AN$2:$BO$1001,MATCH(ROWS($AG$2:AG165),$AG$2:$AG$1001,0),MATCH(COLUMNS($AN$1006:BC1006),$AN$1006:$BO$1006,0)), HYPERLINK("#",""), HYPERLINK(CONCATENATE("#Metadata!", ADDRESS(INDEX($AI$2:$AI$1001,MATCH(ROWS($AG$2:AG165),$AG$2:$AG$1001,0),0), INDEX($AN$1004:$BO$1004,1,MATCH(COLUMNS($AN$1006:BC1006),$AN$1006:$BO$1006,0)))),"Fix")))</f>
        <v>0</v>
      </c>
      <c r="R165" s="4">
        <f>IF(OR(INDEX($AH$2:$AH$1001,MATCH(ROWS($AG$2:AG165),$AG$2:$AG$1001,0),1)&gt;=100000,INDEX($AN$1005:$BO$1005,1,MATCH(COLUMNS($AN$1006:BD1006),$AN$1006:$BO$1006,0))&gt;=100000), " ",IF(INDEX($AN$2:$BO$1001,MATCH(ROWS($AG$2:AG165),$AG$2:$AG$1001,0),MATCH(COLUMNS($AN$1006:BD1006),$AN$1006:$BO$1006,0)), HYPERLINK("#",""), HYPERLINK(CONCATENATE("#Metadata!", ADDRESS(INDEX($AI$2:$AI$1001,MATCH(ROWS($AG$2:AG165),$AG$2:$AG$1001,0),0), INDEX($AN$1004:$BO$1004,1,MATCH(COLUMNS($AN$1006:BD1006),$AN$1006:$BO$1006,0)))),"Fix")))</f>
        <v>0</v>
      </c>
      <c r="S165" s="4">
        <f>IF(OR(INDEX($AH$2:$AH$1001,MATCH(ROWS($AG$2:AG165),$AG$2:$AG$1001,0),1)&gt;=100000,INDEX($AN$1005:$BO$1005,1,MATCH(COLUMNS($AN$1006:BE1006),$AN$1006:$BO$1006,0))&gt;=100000), " ",IF(INDEX($AN$2:$BO$1001,MATCH(ROWS($AG$2:AG165),$AG$2:$AG$1001,0),MATCH(COLUMNS($AN$1006:BE1006),$AN$1006:$BO$1006,0)), HYPERLINK("#",""), HYPERLINK(CONCATENATE("#Metadata!", ADDRESS(INDEX($AI$2:$AI$1001,MATCH(ROWS($AG$2:AG165),$AG$2:$AG$1001,0),0), INDEX($AN$1004:$BO$1004,1,MATCH(COLUMNS($AN$1006:BE1006),$AN$1006:$BO$1006,0)))),"Fix")))</f>
        <v>0</v>
      </c>
      <c r="T165" s="4">
        <f>IF(OR(INDEX($AH$2:$AH$1001,MATCH(ROWS($AG$2:AG165),$AG$2:$AG$1001,0),1)&gt;=100000,INDEX($AN$1005:$BO$1005,1,MATCH(COLUMNS($AN$1006:BF1006),$AN$1006:$BO$1006,0))&gt;=100000), " ",IF(INDEX($AN$2:$BO$1001,MATCH(ROWS($AG$2:AG165),$AG$2:$AG$1001,0),MATCH(COLUMNS($AN$1006:BF1006),$AN$1006:$BO$1006,0)), HYPERLINK("#",""), HYPERLINK(CONCATENATE("#Metadata!", ADDRESS(INDEX($AI$2:$AI$1001,MATCH(ROWS($AG$2:AG165),$AG$2:$AG$1001,0),0), INDEX($AN$1004:$BO$1004,1,MATCH(COLUMNS($AN$1006:BF1006),$AN$1006:$BO$1006,0)))),"Fix")))</f>
        <v>0</v>
      </c>
      <c r="U165" s="4">
        <f>IF(OR(INDEX($AH$2:$AH$1001,MATCH(ROWS($AG$2:AG165),$AG$2:$AG$1001,0),1)&gt;=100000,INDEX($AN$1005:$BO$1005,1,MATCH(COLUMNS($AN$1006:BG1006),$AN$1006:$BO$1006,0))&gt;=100000), " ",IF(INDEX($AN$2:$BO$1001,MATCH(ROWS($AG$2:AG165),$AG$2:$AG$1001,0),MATCH(COLUMNS($AN$1006:BG1006),$AN$1006:$BO$1006,0)), HYPERLINK("#",""), HYPERLINK(CONCATENATE("#Metadata!", ADDRESS(INDEX($AI$2:$AI$1001,MATCH(ROWS($AG$2:AG165),$AG$2:$AG$1001,0),0), INDEX($AN$1004:$BO$1004,1,MATCH(COLUMNS($AN$1006:BG1006),$AN$1006:$BO$1006,0)))),"Fix")))</f>
        <v>0</v>
      </c>
      <c r="V165" s="4">
        <f>IF(OR(INDEX($AH$2:$AH$1001,MATCH(ROWS($AG$2:AG165),$AG$2:$AG$1001,0),1)&gt;=100000,INDEX($AN$1005:$BO$1005,1,MATCH(COLUMNS($AN$1006:BH1006),$AN$1006:$BO$1006,0))&gt;=100000), " ",IF(INDEX($AN$2:$BO$1001,MATCH(ROWS($AG$2:AG165),$AG$2:$AG$1001,0),MATCH(COLUMNS($AN$1006:BH1006),$AN$1006:$BO$1006,0)), HYPERLINK("#",""), HYPERLINK(CONCATENATE("#Metadata!", ADDRESS(INDEX($AI$2:$AI$1001,MATCH(ROWS($AG$2:AG165),$AG$2:$AG$1001,0),0), INDEX($AN$1004:$BO$1004,1,MATCH(COLUMNS($AN$1006:BH1006),$AN$1006:$BO$1006,0)))),"Fix")))</f>
        <v>0</v>
      </c>
      <c r="W165" s="4">
        <f>IF(OR(INDEX($AH$2:$AH$1001,MATCH(ROWS($AG$2:AG165),$AG$2:$AG$1001,0),1)&gt;=100000,INDEX($AN$1005:$BO$1005,1,MATCH(COLUMNS($AN$1006:BI1006),$AN$1006:$BO$1006,0))&gt;=100000), " ",IF(INDEX($AN$2:$BO$1001,MATCH(ROWS($AG$2:AG165),$AG$2:$AG$1001,0),MATCH(COLUMNS($AN$1006:BI1006),$AN$1006:$BO$1006,0)), HYPERLINK("#",""), HYPERLINK(CONCATENATE("#Metadata!", ADDRESS(INDEX($AI$2:$AI$1001,MATCH(ROWS($AG$2:AG165),$AG$2:$AG$1001,0),0), INDEX($AN$1004:$BO$1004,1,MATCH(COLUMNS($AN$1006:BI1006),$AN$1006:$BO$1006,0)))),"Fix")))</f>
        <v>0</v>
      </c>
      <c r="X165" s="4">
        <f>IF(OR(INDEX($AH$2:$AH$1001,MATCH(ROWS($AG$2:AG165),$AG$2:$AG$1001,0),1)&gt;=100000,INDEX($AN$1005:$BO$1005,1,MATCH(COLUMNS($AN$1006:BJ1006),$AN$1006:$BO$1006,0))&gt;=100000), " ",IF(INDEX($AN$2:$BO$1001,MATCH(ROWS($AG$2:AG165),$AG$2:$AG$1001,0),MATCH(COLUMNS($AN$1006:BJ1006),$AN$1006:$BO$1006,0)), HYPERLINK("#",""), HYPERLINK(CONCATENATE("#Metadata!", ADDRESS(INDEX($AI$2:$AI$1001,MATCH(ROWS($AG$2:AG165),$AG$2:$AG$1001,0),0), INDEX($AN$1004:$BO$1004,1,MATCH(COLUMNS($AN$1006:BJ1006),$AN$1006:$BO$1006,0)))),"Fix")))</f>
        <v>0</v>
      </c>
      <c r="Y165" s="4">
        <f>IF(OR(INDEX($AH$2:$AH$1001,MATCH(ROWS($AG$2:AG165),$AG$2:$AG$1001,0),1)&gt;=100000,INDEX($AN$1005:$BO$1005,1,MATCH(COLUMNS($AN$1006:BK1006),$AN$1006:$BO$1006,0))&gt;=100000), " ",IF(INDEX($AN$2:$BO$1001,MATCH(ROWS($AG$2:AG165),$AG$2:$AG$1001,0),MATCH(COLUMNS($AN$1006:BK1006),$AN$1006:$BO$1006,0)), HYPERLINK("#",""), HYPERLINK(CONCATENATE("#Metadata!", ADDRESS(INDEX($AI$2:$AI$1001,MATCH(ROWS($AG$2:AG165),$AG$2:$AG$1001,0),0), INDEX($AN$1004:$BO$1004,1,MATCH(COLUMNS($AN$1006:BK1006),$AN$1006:$BO$1006,0)))),"Fix")))</f>
        <v>0</v>
      </c>
      <c r="Z165" s="4">
        <f>IF(OR(INDEX($AH$2:$AH$1001,MATCH(ROWS($AG$2:AG165),$AG$2:$AG$1001,0),1)&gt;=100000,INDEX($AN$1005:$BO$1005,1,MATCH(COLUMNS($AN$1006:BL1006),$AN$1006:$BO$1006,0))&gt;=100000), " ",IF(INDEX($AN$2:$BO$1001,MATCH(ROWS($AG$2:AG165),$AG$2:$AG$1001,0),MATCH(COLUMNS($AN$1006:BL1006),$AN$1006:$BO$1006,0)), HYPERLINK("#",""), HYPERLINK(CONCATENATE("#Metadata!", ADDRESS(INDEX($AI$2:$AI$1001,MATCH(ROWS($AG$2:AG165),$AG$2:$AG$1001,0),0), INDEX($AN$1004:$BO$1004,1,MATCH(COLUMNS($AN$1006:BL1006),$AN$1006:$BO$1006,0)))),"Fix")))</f>
        <v>0</v>
      </c>
      <c r="AA165" s="4">
        <f>IF(OR(INDEX($AH$2:$AH$1001,MATCH(ROWS($AG$2:AG165),$AG$2:$AG$1001,0),1)&gt;=100000,INDEX($AN$1005:$BO$1005,1,MATCH(COLUMNS($AN$1006:BM1006),$AN$1006:$BO$1006,0))&gt;=100000), " ",IF(INDEX($AN$2:$BO$1001,MATCH(ROWS($AG$2:AG165),$AG$2:$AG$1001,0),MATCH(COLUMNS($AN$1006:BM1006),$AN$1006:$BO$1006,0)), HYPERLINK("#",""), HYPERLINK(CONCATENATE("#Metadata!", ADDRESS(INDEX($AI$2:$AI$1001,MATCH(ROWS($AG$2:AG165),$AG$2:$AG$1001,0),0), INDEX($AN$1004:$BO$1004,1,MATCH(COLUMNS($AN$1006:BM1006),$AN$1006:$BO$1006,0)))),"Fix")))</f>
        <v>0</v>
      </c>
      <c r="AB165" s="4">
        <f>IF(OR(INDEX($AH$2:$AH$1001,MATCH(ROWS($AG$2:AG165),$AG$2:$AG$1001,0),1)&gt;=100000,INDEX($AN$1005:$BO$1005,1,MATCH(COLUMNS($AN$1006:BN1006),$AN$1006:$BO$1006,0))&gt;=100000), " ",IF(INDEX($AN$2:$BO$1001,MATCH(ROWS($AG$2:AG165),$AG$2:$AG$1001,0),MATCH(COLUMNS($AN$1006:BN1006),$AN$1006:$BO$1006,0)), HYPERLINK("#",""), HYPERLINK(CONCATENATE("#Metadata!", ADDRESS(INDEX($AI$2:$AI$1001,MATCH(ROWS($AG$2:AG165),$AG$2:$AG$1001,0),0), INDEX($AN$1004:$BO$1004,1,MATCH(COLUMNS($AN$1006:BN1006),$AN$1006:$BO$1006,0)))),"Fix")))</f>
        <v>0</v>
      </c>
      <c r="AC165" s="4">
        <f>IF(OR(INDEX($AH$2:$AH$1001,MATCH(ROWS($AG$2:AG165),$AG$2:$AG$1001,0),1)&gt;=100000,INDEX($AN$1005:$BO$1005,1,MATCH(COLUMNS($AN$1006:BO1006),$AN$1006:$BO$1006,0))&gt;=100000), " ",IF(INDEX($AN$2:$BO$1001,MATCH(ROWS($AG$2:AG165),$AG$2:$AG$1001,0),MATCH(COLUMNS($AN$1006:BO1006),$AN$1006:$BO$1006,0)), HYPERLINK("#",""), HYPERLINK(CONCATENATE("#Metadata!", ADDRESS(INDEX($AI$2:$AI$1001,MATCH(ROWS($AG$2:AG165),$AG$2:$AG$1001,0),0), INDEX($AN$1004:$BO$1004,1,MATCH(COLUMNS($AN$1006:BO1006),$AN$1006:$BO$1006,0)))),"Fix")))</f>
        <v>0</v>
      </c>
      <c r="AG165">
        <v>0</v>
      </c>
      <c r="AH165">
        <v>0</v>
      </c>
      <c r="AI165">
        <v>0</v>
      </c>
      <c r="AJ165">
        <f>IF(AK165,TRUE,AND(AN165:BO165))</f>
        <v>0</v>
      </c>
      <c r="AK165">
        <f>COUNTBLANK(Metadata!B165:AC165)=COLUMNS(Metadata!B165:AC165)</f>
        <v>0</v>
      </c>
      <c r="AL165">
        <v>0</v>
      </c>
      <c r="AN165">
        <f>AND(IF(Metadata!B165="",FALSE,TRUE),COUNTIF(Metadata!B:B, Metadata!B165) = 1,NOT(ISERROR(SUMPRODUCT(SEARCH(MID(Metadata!B165,ROW(INDIRECT("1:"&amp;LEN(Metadata!B165))), 1),"0123456789abcdefghijklmnopqrstuvwxyzABCDEFGHIJKLMNOPQRSTUVWXYZ.")))))</f>
        <v>0</v>
      </c>
      <c r="AO165">
        <f>IF(Metadata!C165="",FALSE,TRUE)</f>
        <v>0</v>
      </c>
      <c r="AP165">
        <f>IF(Metadata!D165="",FALSE,TRUE)</f>
        <v>0</v>
      </c>
      <c r="AQ165">
        <f>OR(AND(IF(Metadata!E165="",FALSE,TRUE),OR(exact(Metadata!E165,"not collected"),exact(Metadata!E165,"not provided"),exact(Metadata!E165,"restricted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R165">
        <f>IF(Metadata!F165="",FALSE,TRUE)</f>
        <v>0</v>
      </c>
      <c r="AS165">
        <f>OR(AND(IF(Metadata!G165="",FALSE,TRUE),OR(exact(Metadata!G165,"not collected"),exact(Metadata!G165,"not provided"))),AND(IF(Metadata!G165="",FALSE,TRUE),OR(exact(Metadata!G165,"TRUE"),exact(Metadata!G165,"FALSE"))))</f>
        <v>0</v>
      </c>
      <c r="AT165">
        <f>OR(AND(IF(Metadata!H165="",FALSE,TRUE),OR(exact(Metadata!H165,"not collected"),exact(Metadata!H165,"not provided"),exact(Metadata!H165,"restricted access"))),AND(IF(Metadata!H165="",FALSE,ISNUMBER(VALUE(Metadata!H165))),Metadata!H165&gt;=-413.0))</f>
        <v>0</v>
      </c>
      <c r="AU165">
        <f>AND(IF(Metadata!I165="",FALSE,TRUE),exact(Metadata!I165,"meters"))</f>
        <v>0</v>
      </c>
      <c r="AV165">
        <f>AND(IF(Metadata!J165="",FALSE,TRUE),OR(exact(Metadata!J165,"Host-associated"),exact(Metadata!J165,"Free-living")))</f>
        <v>0</v>
      </c>
      <c r="AW165">
        <f>AND(IF(Metadata!K165="",FALSE,TRUE),OR(exact(Metadata!K165,"Animal"),exact(Metadata!K165,"Fungus"),exact(Metadata!K165,"Plant"),exact(Metadata!K165,"Saline"),exact(Metadata!K165,"Non-saline")))</f>
        <v>0</v>
      </c>
      <c r="AX165">
        <f>AND(IF(Metadata!L165="",FALSE,TRUE),OR(exact(Metadata!L165,"Plant secretion"),exact(Metadata!L165,"Plant rhizosphere"),exact(Metadata!L165,"Plant surface"),exact(Metadata!L165,"Plant corpus"),exact(Metadata!L165,"Fungus surface"),exact(Metadata!L165,"Fungus corpus"),exact(Metadata!L165,"Animal surface"),exact(Metadata!L165,"Animal proximal gut"),exact(Metadata!L165,"Animal corpus"),exact(Metadata!L165,"Animal distal gut"),exact(Metadata!L165,"Animal secretion"),exact(Metadata!L165,"Sub-surface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Y165">
        <f>IF(Metadata!M165="",FALSE,TRUE)</f>
        <v>0</v>
      </c>
      <c r="AZ165">
        <f>IF(Metadata!N165="",FALSE,TRUE)</f>
        <v>0</v>
      </c>
      <c r="BA165">
        <f>IF(Metadata!O165="",FALSE,TRUE)</f>
        <v>0</v>
      </c>
      <c r="BB165">
        <f>OR(AND(IF(Metadata!P165="",FALSE,TRUE),OR(exact(Metadata!P165,"not collected"),exact(Metadata!P165,"not provided"),exact(Metadata!P165,"restricted access"))),AND(IF(Metadata!P165="",FALSE,TRUE),OR(exact(Metadata!P165,"air"),exact(Metadata!P165,"built environment"),exact(Metadata!P165,"host-associated"),exact(Metadata!P165,"human-associated"),exact(Metadata!P165,"human-skin"),exact(Metadata!P165,"human-oral"),exact(Metadata!P165,"human-gut"),exact(Metadata!P165,"human-vaginal"),exact(Metadata!P165,"microbial mat/biofilm"),exact(Metadata!P165,"misc environment"),exact(Metadata!P165,"plant-associated"),exact(Metadata!P165,"sediment"),exact(Metadata!P165,"soil"),exact(Metadata!P165,"wastewater/sludge"),exact(Metadata!P165,"water"))))</f>
        <v>0</v>
      </c>
      <c r="BC165">
        <f>IF(Metadata!Q165="",FALSE,TRUE)</f>
        <v>0</v>
      </c>
      <c r="BD165">
        <f>IF(Metadata!R165="",FALSE,TRUE)</f>
        <v>0</v>
      </c>
      <c r="BE165">
        <f>OR(AND(IF(Metadata!S165="",FALSE,TRUE),OR(exact(Metadata!S165,"not collected"),exact(Metadata!S165,"not provided"),exact(Metadata!S165,"restricted access"))),AND(IF(Metadata!S165="",FALSE,ISNUMBER(VALUE(Metadata!S165))),Metadata!S165&gt;=-90.00,Metadata!S165&lt;=90.00))</f>
        <v>0</v>
      </c>
      <c r="BF165">
        <f>AND(IF(Metadata!T165="",FALSE,TRUE),exact(Metadata!T165,"Decimal degrees"))</f>
        <v>0</v>
      </c>
      <c r="BG165">
        <f>OR(AND(IF(Metadata!U165="",FALSE,TRUE),OR(exact(Metadata!U165,"not collected"),exact(Metadata!U165,"not provided"),exact(Metadata!U165,"restricted access"))),AND(IF(Metadata!U165="",FALSE,ISNUMBER(VALUE(Metadata!U165))),Metadata!U165&gt;=-180.00,Metadata!U165&lt;=180.00))</f>
        <v>0</v>
      </c>
      <c r="BH165">
        <f>AND(IF(Metadata!V165="",FALSE,TRUE),exact(Metadata!V165,"Decimal degrees"))</f>
        <v>0</v>
      </c>
      <c r="BI165">
        <f>IF(Metadata!W165="",FALSE,TRUE)</f>
        <v>0</v>
      </c>
      <c r="BJ165">
        <f>OR(AND(IF(Metadata!X165="",FALSE,TRUE),OR(exact(Metadata!X165,"not collected"),exact(Metadata!X165,"not provided"),exact(Metadata!X165,"restricted access"))),AND(IF(Metadata!X165="",FALSE,TRUE),OR(exact(Metadata!X165,"TRUE"),exact(Metadata!X165,"FALSE"))))</f>
        <v>0</v>
      </c>
      <c r="BK165">
        <f>AND(IF(Metadata!Y165="",FALSE,TRUE),exact(Metadata!Y165,"other"))</f>
        <v>0</v>
      </c>
      <c r="BL165">
        <f>IF(Metadata!Z165="",FALSE,TRUE)</f>
        <v>0</v>
      </c>
      <c r="BM165">
        <f>OR(AND(IF(Metadata!AA165="",FALSE,TRUE),OR(exact(Metadata!AA165,"not collected"),exact(Metadata!AA165,"not provided"))),AND(IF(Metadata!AA165="",FALSE,IF(ISERROR(INT(Metadata!AA165)),FALSE,INT(Metadata!AA165)=Metadata!AA165)),Metadata!AA165&gt;0))</f>
        <v>0</v>
      </c>
      <c r="BN165">
        <f>AND(IF(Metadata!AB165="",FALSE,TRUE),exact(Metadata!AB165,"Not applicable"))</f>
        <v>0</v>
      </c>
      <c r="BO165">
        <f>IF(Metadata!AC165="",FALSE,TRUE)</f>
        <v>0</v>
      </c>
    </row>
    <row r="166" spans="1:67">
      <c r="A166" s="5">
        <f>IF(B166=" "," ",HYPERLINK(CONCATENATE("#metadata!",ADDRESS(INDEX($AI$2:$AI$1001,MATCH(ROWS($AG$2:AG166),$AG$2:$AG$1001,0),0),1)),INDEX($AL$2:$AL$1001,MATCH(ROWS($AG$2:AG166),$AG$2:$AG$1001,0),0)))</f>
        <v>0</v>
      </c>
      <c r="B166" s="4">
        <f>IF(OR(INDEX($AH$2:$AH$1001,MATCH(ROWS($AG$2:AG166),$AG$2:$AG$1001,0),1)&gt;=100000,INDEX($AN$1005:$BO$1005,1,MATCH(COLUMNS($AN$1006:AN1006),$AN$1006:$BO$1006,0))&gt;=100000), " ",IF(INDEX($AN$2:$BO$1001,MATCH(ROWS($AG$2:AG166),$AG$2:$AG$1001,0),MATCH(COLUMNS($AN$1006:AN1006),$AN$1006:$BO$1006,0)), HYPERLINK("#",""), HYPERLINK(CONCATENATE("#Metadata!", ADDRESS(INDEX($AI$2:$AI$1001,MATCH(ROWS($AG$2:AG166),$AG$2:$AG$1001,0),0), INDEX($AN$1004:$BO$1004,1,MATCH(COLUMNS($AN$1006:AN1006),$AN$1006:$BO$1006,0)))),"Fix")))</f>
        <v>0</v>
      </c>
      <c r="C166" s="4">
        <f>IF(OR(INDEX($AH$2:$AH$1001,MATCH(ROWS($AG$2:AG166),$AG$2:$AG$1001,0),1)&gt;=100000,INDEX($AN$1005:$BO$1005,1,MATCH(COLUMNS($AN$1006:AO1006),$AN$1006:$BO$1006,0))&gt;=100000), " ",IF(INDEX($AN$2:$BO$1001,MATCH(ROWS($AG$2:AG166),$AG$2:$AG$1001,0),MATCH(COLUMNS($AN$1006:AO1006),$AN$1006:$BO$1006,0)), HYPERLINK("#",""), HYPERLINK(CONCATENATE("#Metadata!", ADDRESS(INDEX($AI$2:$AI$1001,MATCH(ROWS($AG$2:AG166),$AG$2:$AG$1001,0),0), INDEX($AN$1004:$BO$1004,1,MATCH(COLUMNS($AN$1006:AO1006),$AN$1006:$BO$1006,0)))),"Fix")))</f>
        <v>0</v>
      </c>
      <c r="D166" s="4">
        <f>IF(OR(INDEX($AH$2:$AH$1001,MATCH(ROWS($AG$2:AG166),$AG$2:$AG$1001,0),1)&gt;=100000,INDEX($AN$1005:$BO$1005,1,MATCH(COLUMNS($AN$1006:AP1006),$AN$1006:$BO$1006,0))&gt;=100000), " ",IF(INDEX($AN$2:$BO$1001,MATCH(ROWS($AG$2:AG166),$AG$2:$AG$1001,0),MATCH(COLUMNS($AN$1006:AP1006),$AN$1006:$BO$1006,0)), HYPERLINK("#",""), HYPERLINK(CONCATENATE("#Metadata!", ADDRESS(INDEX($AI$2:$AI$1001,MATCH(ROWS($AG$2:AG166),$AG$2:$AG$1001,0),0), INDEX($AN$1004:$BO$1004,1,MATCH(COLUMNS($AN$1006:AP1006),$AN$1006:$BO$1006,0)))),"Fix")))</f>
        <v>0</v>
      </c>
      <c r="E166" s="4">
        <f>IF(OR(INDEX($AH$2:$AH$1001,MATCH(ROWS($AG$2:AG166),$AG$2:$AG$1001,0),1)&gt;=100000,INDEX($AN$1005:$BO$1005,1,MATCH(COLUMNS($AN$1006:AQ1006),$AN$1006:$BO$1006,0))&gt;=100000), " ",IF(INDEX($AN$2:$BO$1001,MATCH(ROWS($AG$2:AG166),$AG$2:$AG$1001,0),MATCH(COLUMNS($AN$1006:AQ1006),$AN$1006:$BO$1006,0)), HYPERLINK("#",""), HYPERLINK(CONCATENATE("#Metadata!", ADDRESS(INDEX($AI$2:$AI$1001,MATCH(ROWS($AG$2:AG166),$AG$2:$AG$1001,0),0), INDEX($AN$1004:$BO$1004,1,MATCH(COLUMNS($AN$1006:AQ1006),$AN$1006:$BO$1006,0)))),"Fix")))</f>
        <v>0</v>
      </c>
      <c r="F166" s="4">
        <f>IF(OR(INDEX($AH$2:$AH$1001,MATCH(ROWS($AG$2:AG166),$AG$2:$AG$1001,0),1)&gt;=100000,INDEX($AN$1005:$BO$1005,1,MATCH(COLUMNS($AN$1006:AR1006),$AN$1006:$BO$1006,0))&gt;=100000), " ",IF(INDEX($AN$2:$BO$1001,MATCH(ROWS($AG$2:AG166),$AG$2:$AG$1001,0),MATCH(COLUMNS($AN$1006:AR1006),$AN$1006:$BO$1006,0)), HYPERLINK("#",""), HYPERLINK(CONCATENATE("#Metadata!", ADDRESS(INDEX($AI$2:$AI$1001,MATCH(ROWS($AG$2:AG166),$AG$2:$AG$1001,0),0), INDEX($AN$1004:$BO$1004,1,MATCH(COLUMNS($AN$1006:AR1006),$AN$1006:$BO$1006,0)))),"Fix")))</f>
        <v>0</v>
      </c>
      <c r="G166" s="4">
        <f>IF(OR(INDEX($AH$2:$AH$1001,MATCH(ROWS($AG$2:AG166),$AG$2:$AG$1001,0),1)&gt;=100000,INDEX($AN$1005:$BO$1005,1,MATCH(COLUMNS($AN$1006:AS1006),$AN$1006:$BO$1006,0))&gt;=100000), " ",IF(INDEX($AN$2:$BO$1001,MATCH(ROWS($AG$2:AG166),$AG$2:$AG$1001,0),MATCH(COLUMNS($AN$1006:AS1006),$AN$1006:$BO$1006,0)), HYPERLINK("#",""), HYPERLINK(CONCATENATE("#Metadata!", ADDRESS(INDEX($AI$2:$AI$1001,MATCH(ROWS($AG$2:AG166),$AG$2:$AG$1001,0),0), INDEX($AN$1004:$BO$1004,1,MATCH(COLUMNS($AN$1006:AS1006),$AN$1006:$BO$1006,0)))),"Fix")))</f>
        <v>0</v>
      </c>
      <c r="H166" s="4">
        <f>IF(OR(INDEX($AH$2:$AH$1001,MATCH(ROWS($AG$2:AG166),$AG$2:$AG$1001,0),1)&gt;=100000,INDEX($AN$1005:$BO$1005,1,MATCH(COLUMNS($AN$1006:AT1006),$AN$1006:$BO$1006,0))&gt;=100000), " ",IF(INDEX($AN$2:$BO$1001,MATCH(ROWS($AG$2:AG166),$AG$2:$AG$1001,0),MATCH(COLUMNS($AN$1006:AT1006),$AN$1006:$BO$1006,0)), HYPERLINK("#",""), HYPERLINK(CONCATENATE("#Metadata!", ADDRESS(INDEX($AI$2:$AI$1001,MATCH(ROWS($AG$2:AG166),$AG$2:$AG$1001,0),0), INDEX($AN$1004:$BO$1004,1,MATCH(COLUMNS($AN$1006:AT1006),$AN$1006:$BO$1006,0)))),"Fix")))</f>
        <v>0</v>
      </c>
      <c r="I166" s="4">
        <f>IF(OR(INDEX($AH$2:$AH$1001,MATCH(ROWS($AG$2:AG166),$AG$2:$AG$1001,0),1)&gt;=100000,INDEX($AN$1005:$BO$1005,1,MATCH(COLUMNS($AN$1006:AU1006),$AN$1006:$BO$1006,0))&gt;=100000), " ",IF(INDEX($AN$2:$BO$1001,MATCH(ROWS($AG$2:AG166),$AG$2:$AG$1001,0),MATCH(COLUMNS($AN$1006:AU1006),$AN$1006:$BO$1006,0)), HYPERLINK("#",""), HYPERLINK(CONCATENATE("#Metadata!", ADDRESS(INDEX($AI$2:$AI$1001,MATCH(ROWS($AG$2:AG166),$AG$2:$AG$1001,0),0), INDEX($AN$1004:$BO$1004,1,MATCH(COLUMNS($AN$1006:AU1006),$AN$1006:$BO$1006,0)))),"Fix")))</f>
        <v>0</v>
      </c>
      <c r="J166" s="4">
        <f>IF(OR(INDEX($AH$2:$AH$1001,MATCH(ROWS($AG$2:AG166),$AG$2:$AG$1001,0),1)&gt;=100000,INDEX($AN$1005:$BO$1005,1,MATCH(COLUMNS($AN$1006:AV1006),$AN$1006:$BO$1006,0))&gt;=100000), " ",IF(INDEX($AN$2:$BO$1001,MATCH(ROWS($AG$2:AG166),$AG$2:$AG$1001,0),MATCH(COLUMNS($AN$1006:AV1006),$AN$1006:$BO$1006,0)), HYPERLINK("#",""), HYPERLINK(CONCATENATE("#Metadata!", ADDRESS(INDEX($AI$2:$AI$1001,MATCH(ROWS($AG$2:AG166),$AG$2:$AG$1001,0),0), INDEX($AN$1004:$BO$1004,1,MATCH(COLUMNS($AN$1006:AV1006),$AN$1006:$BO$1006,0)))),"Fix")))</f>
        <v>0</v>
      </c>
      <c r="K166" s="4">
        <f>IF(OR(INDEX($AH$2:$AH$1001,MATCH(ROWS($AG$2:AG166),$AG$2:$AG$1001,0),1)&gt;=100000,INDEX($AN$1005:$BO$1005,1,MATCH(COLUMNS($AN$1006:AW1006),$AN$1006:$BO$1006,0))&gt;=100000), " ",IF(INDEX($AN$2:$BO$1001,MATCH(ROWS($AG$2:AG166),$AG$2:$AG$1001,0),MATCH(COLUMNS($AN$1006:AW1006),$AN$1006:$BO$1006,0)), HYPERLINK("#",""), HYPERLINK(CONCATENATE("#Metadata!", ADDRESS(INDEX($AI$2:$AI$1001,MATCH(ROWS($AG$2:AG166),$AG$2:$AG$1001,0),0), INDEX($AN$1004:$BO$1004,1,MATCH(COLUMNS($AN$1006:AW1006),$AN$1006:$BO$1006,0)))),"Fix")))</f>
        <v>0</v>
      </c>
      <c r="L166" s="4">
        <f>IF(OR(INDEX($AH$2:$AH$1001,MATCH(ROWS($AG$2:AG166),$AG$2:$AG$1001,0),1)&gt;=100000,INDEX($AN$1005:$BO$1005,1,MATCH(COLUMNS($AN$1006:AX1006),$AN$1006:$BO$1006,0))&gt;=100000), " ",IF(INDEX($AN$2:$BO$1001,MATCH(ROWS($AG$2:AG166),$AG$2:$AG$1001,0),MATCH(COLUMNS($AN$1006:AX1006),$AN$1006:$BO$1006,0)), HYPERLINK("#",""), HYPERLINK(CONCATENATE("#Metadata!", ADDRESS(INDEX($AI$2:$AI$1001,MATCH(ROWS($AG$2:AG166),$AG$2:$AG$1001,0),0), INDEX($AN$1004:$BO$1004,1,MATCH(COLUMNS($AN$1006:AX1006),$AN$1006:$BO$1006,0)))),"Fix")))</f>
        <v>0</v>
      </c>
      <c r="M166" s="4">
        <f>IF(OR(INDEX($AH$2:$AH$1001,MATCH(ROWS($AG$2:AG166),$AG$2:$AG$1001,0),1)&gt;=100000,INDEX($AN$1005:$BO$1005,1,MATCH(COLUMNS($AN$1006:AY1006),$AN$1006:$BO$1006,0))&gt;=100000), " ",IF(INDEX($AN$2:$BO$1001,MATCH(ROWS($AG$2:AG166),$AG$2:$AG$1001,0),MATCH(COLUMNS($AN$1006:AY1006),$AN$1006:$BO$1006,0)), HYPERLINK("#",""), HYPERLINK(CONCATENATE("#Metadata!", ADDRESS(INDEX($AI$2:$AI$1001,MATCH(ROWS($AG$2:AG166),$AG$2:$AG$1001,0),0), INDEX($AN$1004:$BO$1004,1,MATCH(COLUMNS($AN$1006:AY1006),$AN$1006:$BO$1006,0)))),"Fix")))</f>
        <v>0</v>
      </c>
      <c r="N166" s="4">
        <f>IF(OR(INDEX($AH$2:$AH$1001,MATCH(ROWS($AG$2:AG166),$AG$2:$AG$1001,0),1)&gt;=100000,INDEX($AN$1005:$BO$1005,1,MATCH(COLUMNS($AN$1006:AZ1006),$AN$1006:$BO$1006,0))&gt;=100000), " ",IF(INDEX($AN$2:$BO$1001,MATCH(ROWS($AG$2:AG166),$AG$2:$AG$1001,0),MATCH(COLUMNS($AN$1006:AZ1006),$AN$1006:$BO$1006,0)), HYPERLINK("#",""), HYPERLINK(CONCATENATE("#Metadata!", ADDRESS(INDEX($AI$2:$AI$1001,MATCH(ROWS($AG$2:AG166),$AG$2:$AG$1001,0),0), INDEX($AN$1004:$BO$1004,1,MATCH(COLUMNS($AN$1006:AZ1006),$AN$1006:$BO$1006,0)))),"Fix")))</f>
        <v>0</v>
      </c>
      <c r="O166" s="4">
        <f>IF(OR(INDEX($AH$2:$AH$1001,MATCH(ROWS($AG$2:AG166),$AG$2:$AG$1001,0),1)&gt;=100000,INDEX($AN$1005:$BO$1005,1,MATCH(COLUMNS($AN$1006:BA1006),$AN$1006:$BO$1006,0))&gt;=100000), " ",IF(INDEX($AN$2:$BO$1001,MATCH(ROWS($AG$2:AG166),$AG$2:$AG$1001,0),MATCH(COLUMNS($AN$1006:BA1006),$AN$1006:$BO$1006,0)), HYPERLINK("#",""), HYPERLINK(CONCATENATE("#Metadata!", ADDRESS(INDEX($AI$2:$AI$1001,MATCH(ROWS($AG$2:AG166),$AG$2:$AG$1001,0),0), INDEX($AN$1004:$BO$1004,1,MATCH(COLUMNS($AN$1006:BA1006),$AN$1006:$BO$1006,0)))),"Fix")))</f>
        <v>0</v>
      </c>
      <c r="P166" s="4">
        <f>IF(OR(INDEX($AH$2:$AH$1001,MATCH(ROWS($AG$2:AG166),$AG$2:$AG$1001,0),1)&gt;=100000,INDEX($AN$1005:$BO$1005,1,MATCH(COLUMNS($AN$1006:BB1006),$AN$1006:$BO$1006,0))&gt;=100000), " ",IF(INDEX($AN$2:$BO$1001,MATCH(ROWS($AG$2:AG166),$AG$2:$AG$1001,0),MATCH(COLUMNS($AN$1006:BB1006),$AN$1006:$BO$1006,0)), HYPERLINK("#",""), HYPERLINK(CONCATENATE("#Metadata!", ADDRESS(INDEX($AI$2:$AI$1001,MATCH(ROWS($AG$2:AG166),$AG$2:$AG$1001,0),0), INDEX($AN$1004:$BO$1004,1,MATCH(COLUMNS($AN$1006:BB1006),$AN$1006:$BO$1006,0)))),"Fix")))</f>
        <v>0</v>
      </c>
      <c r="Q166" s="4">
        <f>IF(OR(INDEX($AH$2:$AH$1001,MATCH(ROWS($AG$2:AG166),$AG$2:$AG$1001,0),1)&gt;=100000,INDEX($AN$1005:$BO$1005,1,MATCH(COLUMNS($AN$1006:BC1006),$AN$1006:$BO$1006,0))&gt;=100000), " ",IF(INDEX($AN$2:$BO$1001,MATCH(ROWS($AG$2:AG166),$AG$2:$AG$1001,0),MATCH(COLUMNS($AN$1006:BC1006),$AN$1006:$BO$1006,0)), HYPERLINK("#",""), HYPERLINK(CONCATENATE("#Metadata!", ADDRESS(INDEX($AI$2:$AI$1001,MATCH(ROWS($AG$2:AG166),$AG$2:$AG$1001,0),0), INDEX($AN$1004:$BO$1004,1,MATCH(COLUMNS($AN$1006:BC1006),$AN$1006:$BO$1006,0)))),"Fix")))</f>
        <v>0</v>
      </c>
      <c r="R166" s="4">
        <f>IF(OR(INDEX($AH$2:$AH$1001,MATCH(ROWS($AG$2:AG166),$AG$2:$AG$1001,0),1)&gt;=100000,INDEX($AN$1005:$BO$1005,1,MATCH(COLUMNS($AN$1006:BD1006),$AN$1006:$BO$1006,0))&gt;=100000), " ",IF(INDEX($AN$2:$BO$1001,MATCH(ROWS($AG$2:AG166),$AG$2:$AG$1001,0),MATCH(COLUMNS($AN$1006:BD1006),$AN$1006:$BO$1006,0)), HYPERLINK("#",""), HYPERLINK(CONCATENATE("#Metadata!", ADDRESS(INDEX($AI$2:$AI$1001,MATCH(ROWS($AG$2:AG166),$AG$2:$AG$1001,0),0), INDEX($AN$1004:$BO$1004,1,MATCH(COLUMNS($AN$1006:BD1006),$AN$1006:$BO$1006,0)))),"Fix")))</f>
        <v>0</v>
      </c>
      <c r="S166" s="4">
        <f>IF(OR(INDEX($AH$2:$AH$1001,MATCH(ROWS($AG$2:AG166),$AG$2:$AG$1001,0),1)&gt;=100000,INDEX($AN$1005:$BO$1005,1,MATCH(COLUMNS($AN$1006:BE1006),$AN$1006:$BO$1006,0))&gt;=100000), " ",IF(INDEX($AN$2:$BO$1001,MATCH(ROWS($AG$2:AG166),$AG$2:$AG$1001,0),MATCH(COLUMNS($AN$1006:BE1006),$AN$1006:$BO$1006,0)), HYPERLINK("#",""), HYPERLINK(CONCATENATE("#Metadata!", ADDRESS(INDEX($AI$2:$AI$1001,MATCH(ROWS($AG$2:AG166),$AG$2:$AG$1001,0),0), INDEX($AN$1004:$BO$1004,1,MATCH(COLUMNS($AN$1006:BE1006),$AN$1006:$BO$1006,0)))),"Fix")))</f>
        <v>0</v>
      </c>
      <c r="T166" s="4">
        <f>IF(OR(INDEX($AH$2:$AH$1001,MATCH(ROWS($AG$2:AG166),$AG$2:$AG$1001,0),1)&gt;=100000,INDEX($AN$1005:$BO$1005,1,MATCH(COLUMNS($AN$1006:BF1006),$AN$1006:$BO$1006,0))&gt;=100000), " ",IF(INDEX($AN$2:$BO$1001,MATCH(ROWS($AG$2:AG166),$AG$2:$AG$1001,0),MATCH(COLUMNS($AN$1006:BF1006),$AN$1006:$BO$1006,0)), HYPERLINK("#",""), HYPERLINK(CONCATENATE("#Metadata!", ADDRESS(INDEX($AI$2:$AI$1001,MATCH(ROWS($AG$2:AG166),$AG$2:$AG$1001,0),0), INDEX($AN$1004:$BO$1004,1,MATCH(COLUMNS($AN$1006:BF1006),$AN$1006:$BO$1006,0)))),"Fix")))</f>
        <v>0</v>
      </c>
      <c r="U166" s="4">
        <f>IF(OR(INDEX($AH$2:$AH$1001,MATCH(ROWS($AG$2:AG166),$AG$2:$AG$1001,0),1)&gt;=100000,INDEX($AN$1005:$BO$1005,1,MATCH(COLUMNS($AN$1006:BG1006),$AN$1006:$BO$1006,0))&gt;=100000), " ",IF(INDEX($AN$2:$BO$1001,MATCH(ROWS($AG$2:AG166),$AG$2:$AG$1001,0),MATCH(COLUMNS($AN$1006:BG1006),$AN$1006:$BO$1006,0)), HYPERLINK("#",""), HYPERLINK(CONCATENATE("#Metadata!", ADDRESS(INDEX($AI$2:$AI$1001,MATCH(ROWS($AG$2:AG166),$AG$2:$AG$1001,0),0), INDEX($AN$1004:$BO$1004,1,MATCH(COLUMNS($AN$1006:BG1006),$AN$1006:$BO$1006,0)))),"Fix")))</f>
        <v>0</v>
      </c>
      <c r="V166" s="4">
        <f>IF(OR(INDEX($AH$2:$AH$1001,MATCH(ROWS($AG$2:AG166),$AG$2:$AG$1001,0),1)&gt;=100000,INDEX($AN$1005:$BO$1005,1,MATCH(COLUMNS($AN$1006:BH1006),$AN$1006:$BO$1006,0))&gt;=100000), " ",IF(INDEX($AN$2:$BO$1001,MATCH(ROWS($AG$2:AG166),$AG$2:$AG$1001,0),MATCH(COLUMNS($AN$1006:BH1006),$AN$1006:$BO$1006,0)), HYPERLINK("#",""), HYPERLINK(CONCATENATE("#Metadata!", ADDRESS(INDEX($AI$2:$AI$1001,MATCH(ROWS($AG$2:AG166),$AG$2:$AG$1001,0),0), INDEX($AN$1004:$BO$1004,1,MATCH(COLUMNS($AN$1006:BH1006),$AN$1006:$BO$1006,0)))),"Fix")))</f>
        <v>0</v>
      </c>
      <c r="W166" s="4">
        <f>IF(OR(INDEX($AH$2:$AH$1001,MATCH(ROWS($AG$2:AG166),$AG$2:$AG$1001,0),1)&gt;=100000,INDEX($AN$1005:$BO$1005,1,MATCH(COLUMNS($AN$1006:BI1006),$AN$1006:$BO$1006,0))&gt;=100000), " ",IF(INDEX($AN$2:$BO$1001,MATCH(ROWS($AG$2:AG166),$AG$2:$AG$1001,0),MATCH(COLUMNS($AN$1006:BI1006),$AN$1006:$BO$1006,0)), HYPERLINK("#",""), HYPERLINK(CONCATENATE("#Metadata!", ADDRESS(INDEX($AI$2:$AI$1001,MATCH(ROWS($AG$2:AG166),$AG$2:$AG$1001,0),0), INDEX($AN$1004:$BO$1004,1,MATCH(COLUMNS($AN$1006:BI1006),$AN$1006:$BO$1006,0)))),"Fix")))</f>
        <v>0</v>
      </c>
      <c r="X166" s="4">
        <f>IF(OR(INDEX($AH$2:$AH$1001,MATCH(ROWS($AG$2:AG166),$AG$2:$AG$1001,0),1)&gt;=100000,INDEX($AN$1005:$BO$1005,1,MATCH(COLUMNS($AN$1006:BJ1006),$AN$1006:$BO$1006,0))&gt;=100000), " ",IF(INDEX($AN$2:$BO$1001,MATCH(ROWS($AG$2:AG166),$AG$2:$AG$1001,0),MATCH(COLUMNS($AN$1006:BJ1006),$AN$1006:$BO$1006,0)), HYPERLINK("#",""), HYPERLINK(CONCATENATE("#Metadata!", ADDRESS(INDEX($AI$2:$AI$1001,MATCH(ROWS($AG$2:AG166),$AG$2:$AG$1001,0),0), INDEX($AN$1004:$BO$1004,1,MATCH(COLUMNS($AN$1006:BJ1006),$AN$1006:$BO$1006,0)))),"Fix")))</f>
        <v>0</v>
      </c>
      <c r="Y166" s="4">
        <f>IF(OR(INDEX($AH$2:$AH$1001,MATCH(ROWS($AG$2:AG166),$AG$2:$AG$1001,0),1)&gt;=100000,INDEX($AN$1005:$BO$1005,1,MATCH(COLUMNS($AN$1006:BK1006),$AN$1006:$BO$1006,0))&gt;=100000), " ",IF(INDEX($AN$2:$BO$1001,MATCH(ROWS($AG$2:AG166),$AG$2:$AG$1001,0),MATCH(COLUMNS($AN$1006:BK1006),$AN$1006:$BO$1006,0)), HYPERLINK("#",""), HYPERLINK(CONCATENATE("#Metadata!", ADDRESS(INDEX($AI$2:$AI$1001,MATCH(ROWS($AG$2:AG166),$AG$2:$AG$1001,0),0), INDEX($AN$1004:$BO$1004,1,MATCH(COLUMNS($AN$1006:BK1006),$AN$1006:$BO$1006,0)))),"Fix")))</f>
        <v>0</v>
      </c>
      <c r="Z166" s="4">
        <f>IF(OR(INDEX($AH$2:$AH$1001,MATCH(ROWS($AG$2:AG166),$AG$2:$AG$1001,0),1)&gt;=100000,INDEX($AN$1005:$BO$1005,1,MATCH(COLUMNS($AN$1006:BL1006),$AN$1006:$BO$1006,0))&gt;=100000), " ",IF(INDEX($AN$2:$BO$1001,MATCH(ROWS($AG$2:AG166),$AG$2:$AG$1001,0),MATCH(COLUMNS($AN$1006:BL1006),$AN$1006:$BO$1006,0)), HYPERLINK("#",""), HYPERLINK(CONCATENATE("#Metadata!", ADDRESS(INDEX($AI$2:$AI$1001,MATCH(ROWS($AG$2:AG166),$AG$2:$AG$1001,0),0), INDEX($AN$1004:$BO$1004,1,MATCH(COLUMNS($AN$1006:BL1006),$AN$1006:$BO$1006,0)))),"Fix")))</f>
        <v>0</v>
      </c>
      <c r="AA166" s="4">
        <f>IF(OR(INDEX($AH$2:$AH$1001,MATCH(ROWS($AG$2:AG166),$AG$2:$AG$1001,0),1)&gt;=100000,INDEX($AN$1005:$BO$1005,1,MATCH(COLUMNS($AN$1006:BM1006),$AN$1006:$BO$1006,0))&gt;=100000), " ",IF(INDEX($AN$2:$BO$1001,MATCH(ROWS($AG$2:AG166),$AG$2:$AG$1001,0),MATCH(COLUMNS($AN$1006:BM1006),$AN$1006:$BO$1006,0)), HYPERLINK("#",""), HYPERLINK(CONCATENATE("#Metadata!", ADDRESS(INDEX($AI$2:$AI$1001,MATCH(ROWS($AG$2:AG166),$AG$2:$AG$1001,0),0), INDEX($AN$1004:$BO$1004,1,MATCH(COLUMNS($AN$1006:BM1006),$AN$1006:$BO$1006,0)))),"Fix")))</f>
        <v>0</v>
      </c>
      <c r="AB166" s="4">
        <f>IF(OR(INDEX($AH$2:$AH$1001,MATCH(ROWS($AG$2:AG166),$AG$2:$AG$1001,0),1)&gt;=100000,INDEX($AN$1005:$BO$1005,1,MATCH(COLUMNS($AN$1006:BN1006),$AN$1006:$BO$1006,0))&gt;=100000), " ",IF(INDEX($AN$2:$BO$1001,MATCH(ROWS($AG$2:AG166),$AG$2:$AG$1001,0),MATCH(COLUMNS($AN$1006:BN1006),$AN$1006:$BO$1006,0)), HYPERLINK("#",""), HYPERLINK(CONCATENATE("#Metadata!", ADDRESS(INDEX($AI$2:$AI$1001,MATCH(ROWS($AG$2:AG166),$AG$2:$AG$1001,0),0), INDEX($AN$1004:$BO$1004,1,MATCH(COLUMNS($AN$1006:BN1006),$AN$1006:$BO$1006,0)))),"Fix")))</f>
        <v>0</v>
      </c>
      <c r="AC166" s="4">
        <f>IF(OR(INDEX($AH$2:$AH$1001,MATCH(ROWS($AG$2:AG166),$AG$2:$AG$1001,0),1)&gt;=100000,INDEX($AN$1005:$BO$1005,1,MATCH(COLUMNS($AN$1006:BO1006),$AN$1006:$BO$1006,0))&gt;=100000), " ",IF(INDEX($AN$2:$BO$1001,MATCH(ROWS($AG$2:AG166),$AG$2:$AG$1001,0),MATCH(COLUMNS($AN$1006:BO1006),$AN$1006:$BO$1006,0)), HYPERLINK("#",""), HYPERLINK(CONCATENATE("#Metadata!", ADDRESS(INDEX($AI$2:$AI$1001,MATCH(ROWS($AG$2:AG166),$AG$2:$AG$1001,0),0), INDEX($AN$1004:$BO$1004,1,MATCH(COLUMNS($AN$1006:BO1006),$AN$1006:$BO$1006,0)))),"Fix")))</f>
        <v>0</v>
      </c>
      <c r="AG166">
        <v>0</v>
      </c>
      <c r="AH166">
        <v>0</v>
      </c>
      <c r="AI166">
        <v>0</v>
      </c>
      <c r="AJ166">
        <f>IF(AK166,TRUE,AND(AN166:BO166))</f>
        <v>0</v>
      </c>
      <c r="AK166">
        <f>COUNTBLANK(Metadata!B166:AC166)=COLUMNS(Metadata!B166:AC166)</f>
        <v>0</v>
      </c>
      <c r="AL166">
        <v>0</v>
      </c>
      <c r="AN166">
        <f>AND(IF(Metadata!B166="",FALSE,TRUE),COUNTIF(Metadata!B:B, Metadata!B166) = 1,NOT(ISERROR(SUMPRODUCT(SEARCH(MID(Metadata!B166,ROW(INDIRECT("1:"&amp;LEN(Metadata!B166))), 1),"0123456789abcdefghijklmnopqrstuvwxyzABCDEFGHIJKLMNOPQRSTUVWXYZ.")))))</f>
        <v>0</v>
      </c>
      <c r="AO166">
        <f>IF(Metadata!C166="",FALSE,TRUE)</f>
        <v>0</v>
      </c>
      <c r="AP166">
        <f>IF(Metadata!D166="",FALSE,TRUE)</f>
        <v>0</v>
      </c>
      <c r="AQ166">
        <f>OR(AND(IF(Metadata!E166="",FALSE,TRUE),OR(exact(Metadata!E166,"not collected"),exact(Metadata!E166,"not provided"),exact(Metadata!E166,"restricted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R166">
        <f>IF(Metadata!F166="",FALSE,TRUE)</f>
        <v>0</v>
      </c>
      <c r="AS166">
        <f>OR(AND(IF(Metadata!G166="",FALSE,TRUE),OR(exact(Metadata!G166,"not collected"),exact(Metadata!G166,"not provided"))),AND(IF(Metadata!G166="",FALSE,TRUE),OR(exact(Metadata!G166,"TRUE"),exact(Metadata!G166,"FALSE"))))</f>
        <v>0</v>
      </c>
      <c r="AT166">
        <f>OR(AND(IF(Metadata!H166="",FALSE,TRUE),OR(exact(Metadata!H166,"not collected"),exact(Metadata!H166,"not provided"),exact(Metadata!H166,"restricted access"))),AND(IF(Metadata!H166="",FALSE,ISNUMBER(VALUE(Metadata!H166))),Metadata!H166&gt;=-413.0))</f>
        <v>0</v>
      </c>
      <c r="AU166">
        <f>AND(IF(Metadata!I166="",FALSE,TRUE),exact(Metadata!I166,"meters"))</f>
        <v>0</v>
      </c>
      <c r="AV166">
        <f>AND(IF(Metadata!J166="",FALSE,TRUE),OR(exact(Metadata!J166,"Host-associated"),exact(Metadata!J166,"Free-living")))</f>
        <v>0</v>
      </c>
      <c r="AW166">
        <f>AND(IF(Metadata!K166="",FALSE,TRUE),OR(exact(Metadata!K166,"Animal"),exact(Metadata!K166,"Fungus"),exact(Metadata!K166,"Plant"),exact(Metadata!K166,"Saline"),exact(Metadata!K166,"Non-saline")))</f>
        <v>0</v>
      </c>
      <c r="AX166">
        <f>AND(IF(Metadata!L166="",FALSE,TRUE),OR(exact(Metadata!L166,"Plant secretion"),exact(Metadata!L166,"Plant rhizosphere"),exact(Metadata!L166,"Plant surface"),exact(Metadata!L166,"Plant corpus"),exact(Metadata!L166,"Fungus surface"),exact(Metadata!L166,"Fungus corpus"),exact(Metadata!L166,"Animal surface"),exact(Metadata!L166,"Animal proximal gut"),exact(Metadata!L166,"Animal corpus"),exact(Metadata!L166,"Animal distal gut"),exact(Metadata!L166,"Animal secretion"),exact(Metadata!L166,"Sub-surface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Y166">
        <f>IF(Metadata!M166="",FALSE,TRUE)</f>
        <v>0</v>
      </c>
      <c r="AZ166">
        <f>IF(Metadata!N166="",FALSE,TRUE)</f>
        <v>0</v>
      </c>
      <c r="BA166">
        <f>IF(Metadata!O166="",FALSE,TRUE)</f>
        <v>0</v>
      </c>
      <c r="BB166">
        <f>OR(AND(IF(Metadata!P166="",FALSE,TRUE),OR(exact(Metadata!P166,"not collected"),exact(Metadata!P166,"not provided"),exact(Metadata!P166,"restricted access"))),AND(IF(Metadata!P166="",FALSE,TRUE),OR(exact(Metadata!P166,"air"),exact(Metadata!P166,"built environment"),exact(Metadata!P166,"host-associated"),exact(Metadata!P166,"human-associated"),exact(Metadata!P166,"human-skin"),exact(Metadata!P166,"human-oral"),exact(Metadata!P166,"human-gut"),exact(Metadata!P166,"human-vaginal"),exact(Metadata!P166,"microbial mat/biofilm"),exact(Metadata!P166,"misc environment"),exact(Metadata!P166,"plant-associated"),exact(Metadata!P166,"sediment"),exact(Metadata!P166,"soil"),exact(Metadata!P166,"wastewater/sludge"),exact(Metadata!P166,"water"))))</f>
        <v>0</v>
      </c>
      <c r="BC166">
        <f>IF(Metadata!Q166="",FALSE,TRUE)</f>
        <v>0</v>
      </c>
      <c r="BD166">
        <f>IF(Metadata!R166="",FALSE,TRUE)</f>
        <v>0</v>
      </c>
      <c r="BE166">
        <f>OR(AND(IF(Metadata!S166="",FALSE,TRUE),OR(exact(Metadata!S166,"not collected"),exact(Metadata!S166,"not provided"),exact(Metadata!S166,"restricted access"))),AND(IF(Metadata!S166="",FALSE,ISNUMBER(VALUE(Metadata!S166))),Metadata!S166&gt;=-90.00,Metadata!S166&lt;=90.00))</f>
        <v>0</v>
      </c>
      <c r="BF166">
        <f>AND(IF(Metadata!T166="",FALSE,TRUE),exact(Metadata!T166,"Decimal degrees"))</f>
        <v>0</v>
      </c>
      <c r="BG166">
        <f>OR(AND(IF(Metadata!U166="",FALSE,TRUE),OR(exact(Metadata!U166,"not collected"),exact(Metadata!U166,"not provided"),exact(Metadata!U166,"restricted access"))),AND(IF(Metadata!U166="",FALSE,ISNUMBER(VALUE(Metadata!U166))),Metadata!U166&gt;=-180.00,Metadata!U166&lt;=180.00))</f>
        <v>0</v>
      </c>
      <c r="BH166">
        <f>AND(IF(Metadata!V166="",FALSE,TRUE),exact(Metadata!V166,"Decimal degrees"))</f>
        <v>0</v>
      </c>
      <c r="BI166">
        <f>IF(Metadata!W166="",FALSE,TRUE)</f>
        <v>0</v>
      </c>
      <c r="BJ166">
        <f>OR(AND(IF(Metadata!X166="",FALSE,TRUE),OR(exact(Metadata!X166,"not collected"),exact(Metadata!X166,"not provided"),exact(Metadata!X166,"restricted access"))),AND(IF(Metadata!X166="",FALSE,TRUE),OR(exact(Metadata!X166,"TRUE"),exact(Metadata!X166,"FALSE"))))</f>
        <v>0</v>
      </c>
      <c r="BK166">
        <f>AND(IF(Metadata!Y166="",FALSE,TRUE),exact(Metadata!Y166,"other"))</f>
        <v>0</v>
      </c>
      <c r="BL166">
        <f>IF(Metadata!Z166="",FALSE,TRUE)</f>
        <v>0</v>
      </c>
      <c r="BM166">
        <f>OR(AND(IF(Metadata!AA166="",FALSE,TRUE),OR(exact(Metadata!AA166,"not collected"),exact(Metadata!AA166,"not provided"))),AND(IF(Metadata!AA166="",FALSE,IF(ISERROR(INT(Metadata!AA166)),FALSE,INT(Metadata!AA166)=Metadata!AA166)),Metadata!AA166&gt;0))</f>
        <v>0</v>
      </c>
      <c r="BN166">
        <f>AND(IF(Metadata!AB166="",FALSE,TRUE),exact(Metadata!AB166,"Not applicable"))</f>
        <v>0</v>
      </c>
      <c r="BO166">
        <f>IF(Metadata!AC166="",FALSE,TRUE)</f>
        <v>0</v>
      </c>
    </row>
    <row r="167" spans="1:67">
      <c r="A167" s="5">
        <f>IF(B167=" "," ",HYPERLINK(CONCATENATE("#metadata!",ADDRESS(INDEX($AI$2:$AI$1001,MATCH(ROWS($AG$2:AG167),$AG$2:$AG$1001,0),0),1)),INDEX($AL$2:$AL$1001,MATCH(ROWS($AG$2:AG167),$AG$2:$AG$1001,0),0)))</f>
        <v>0</v>
      </c>
      <c r="B167" s="4">
        <f>IF(OR(INDEX($AH$2:$AH$1001,MATCH(ROWS($AG$2:AG167),$AG$2:$AG$1001,0),1)&gt;=100000,INDEX($AN$1005:$BO$1005,1,MATCH(COLUMNS($AN$1006:AN1006),$AN$1006:$BO$1006,0))&gt;=100000), " ",IF(INDEX($AN$2:$BO$1001,MATCH(ROWS($AG$2:AG167),$AG$2:$AG$1001,0),MATCH(COLUMNS($AN$1006:AN1006),$AN$1006:$BO$1006,0)), HYPERLINK("#",""), HYPERLINK(CONCATENATE("#Metadata!", ADDRESS(INDEX($AI$2:$AI$1001,MATCH(ROWS($AG$2:AG167),$AG$2:$AG$1001,0),0), INDEX($AN$1004:$BO$1004,1,MATCH(COLUMNS($AN$1006:AN1006),$AN$1006:$BO$1006,0)))),"Fix")))</f>
        <v>0</v>
      </c>
      <c r="C167" s="4">
        <f>IF(OR(INDEX($AH$2:$AH$1001,MATCH(ROWS($AG$2:AG167),$AG$2:$AG$1001,0),1)&gt;=100000,INDEX($AN$1005:$BO$1005,1,MATCH(COLUMNS($AN$1006:AO1006),$AN$1006:$BO$1006,0))&gt;=100000), " ",IF(INDEX($AN$2:$BO$1001,MATCH(ROWS($AG$2:AG167),$AG$2:$AG$1001,0),MATCH(COLUMNS($AN$1006:AO1006),$AN$1006:$BO$1006,0)), HYPERLINK("#",""), HYPERLINK(CONCATENATE("#Metadata!", ADDRESS(INDEX($AI$2:$AI$1001,MATCH(ROWS($AG$2:AG167),$AG$2:$AG$1001,0),0), INDEX($AN$1004:$BO$1004,1,MATCH(COLUMNS($AN$1006:AO1006),$AN$1006:$BO$1006,0)))),"Fix")))</f>
        <v>0</v>
      </c>
      <c r="D167" s="4">
        <f>IF(OR(INDEX($AH$2:$AH$1001,MATCH(ROWS($AG$2:AG167),$AG$2:$AG$1001,0),1)&gt;=100000,INDEX($AN$1005:$BO$1005,1,MATCH(COLUMNS($AN$1006:AP1006),$AN$1006:$BO$1006,0))&gt;=100000), " ",IF(INDEX($AN$2:$BO$1001,MATCH(ROWS($AG$2:AG167),$AG$2:$AG$1001,0),MATCH(COLUMNS($AN$1006:AP1006),$AN$1006:$BO$1006,0)), HYPERLINK("#",""), HYPERLINK(CONCATENATE("#Metadata!", ADDRESS(INDEX($AI$2:$AI$1001,MATCH(ROWS($AG$2:AG167),$AG$2:$AG$1001,0),0), INDEX($AN$1004:$BO$1004,1,MATCH(COLUMNS($AN$1006:AP1006),$AN$1006:$BO$1006,0)))),"Fix")))</f>
        <v>0</v>
      </c>
      <c r="E167" s="4">
        <f>IF(OR(INDEX($AH$2:$AH$1001,MATCH(ROWS($AG$2:AG167),$AG$2:$AG$1001,0),1)&gt;=100000,INDEX($AN$1005:$BO$1005,1,MATCH(COLUMNS($AN$1006:AQ1006),$AN$1006:$BO$1006,0))&gt;=100000), " ",IF(INDEX($AN$2:$BO$1001,MATCH(ROWS($AG$2:AG167),$AG$2:$AG$1001,0),MATCH(COLUMNS($AN$1006:AQ1006),$AN$1006:$BO$1006,0)), HYPERLINK("#",""), HYPERLINK(CONCATENATE("#Metadata!", ADDRESS(INDEX($AI$2:$AI$1001,MATCH(ROWS($AG$2:AG167),$AG$2:$AG$1001,0),0), INDEX($AN$1004:$BO$1004,1,MATCH(COLUMNS($AN$1006:AQ1006),$AN$1006:$BO$1006,0)))),"Fix")))</f>
        <v>0</v>
      </c>
      <c r="F167" s="4">
        <f>IF(OR(INDEX($AH$2:$AH$1001,MATCH(ROWS($AG$2:AG167),$AG$2:$AG$1001,0),1)&gt;=100000,INDEX($AN$1005:$BO$1005,1,MATCH(COLUMNS($AN$1006:AR1006),$AN$1006:$BO$1006,0))&gt;=100000), " ",IF(INDEX($AN$2:$BO$1001,MATCH(ROWS($AG$2:AG167),$AG$2:$AG$1001,0),MATCH(COLUMNS($AN$1006:AR1006),$AN$1006:$BO$1006,0)), HYPERLINK("#",""), HYPERLINK(CONCATENATE("#Metadata!", ADDRESS(INDEX($AI$2:$AI$1001,MATCH(ROWS($AG$2:AG167),$AG$2:$AG$1001,0),0), INDEX($AN$1004:$BO$1004,1,MATCH(COLUMNS($AN$1006:AR1006),$AN$1006:$BO$1006,0)))),"Fix")))</f>
        <v>0</v>
      </c>
      <c r="G167" s="4">
        <f>IF(OR(INDEX($AH$2:$AH$1001,MATCH(ROWS($AG$2:AG167),$AG$2:$AG$1001,0),1)&gt;=100000,INDEX($AN$1005:$BO$1005,1,MATCH(COLUMNS($AN$1006:AS1006),$AN$1006:$BO$1006,0))&gt;=100000), " ",IF(INDEX($AN$2:$BO$1001,MATCH(ROWS($AG$2:AG167),$AG$2:$AG$1001,0),MATCH(COLUMNS($AN$1006:AS1006),$AN$1006:$BO$1006,0)), HYPERLINK("#",""), HYPERLINK(CONCATENATE("#Metadata!", ADDRESS(INDEX($AI$2:$AI$1001,MATCH(ROWS($AG$2:AG167),$AG$2:$AG$1001,0),0), INDEX($AN$1004:$BO$1004,1,MATCH(COLUMNS($AN$1006:AS1006),$AN$1006:$BO$1006,0)))),"Fix")))</f>
        <v>0</v>
      </c>
      <c r="H167" s="4">
        <f>IF(OR(INDEX($AH$2:$AH$1001,MATCH(ROWS($AG$2:AG167),$AG$2:$AG$1001,0),1)&gt;=100000,INDEX($AN$1005:$BO$1005,1,MATCH(COLUMNS($AN$1006:AT1006),$AN$1006:$BO$1006,0))&gt;=100000), " ",IF(INDEX($AN$2:$BO$1001,MATCH(ROWS($AG$2:AG167),$AG$2:$AG$1001,0),MATCH(COLUMNS($AN$1006:AT1006),$AN$1006:$BO$1006,0)), HYPERLINK("#",""), HYPERLINK(CONCATENATE("#Metadata!", ADDRESS(INDEX($AI$2:$AI$1001,MATCH(ROWS($AG$2:AG167),$AG$2:$AG$1001,0),0), INDEX($AN$1004:$BO$1004,1,MATCH(COLUMNS($AN$1006:AT1006),$AN$1006:$BO$1006,0)))),"Fix")))</f>
        <v>0</v>
      </c>
      <c r="I167" s="4">
        <f>IF(OR(INDEX($AH$2:$AH$1001,MATCH(ROWS($AG$2:AG167),$AG$2:$AG$1001,0),1)&gt;=100000,INDEX($AN$1005:$BO$1005,1,MATCH(COLUMNS($AN$1006:AU1006),$AN$1006:$BO$1006,0))&gt;=100000), " ",IF(INDEX($AN$2:$BO$1001,MATCH(ROWS($AG$2:AG167),$AG$2:$AG$1001,0),MATCH(COLUMNS($AN$1006:AU1006),$AN$1006:$BO$1006,0)), HYPERLINK("#",""), HYPERLINK(CONCATENATE("#Metadata!", ADDRESS(INDEX($AI$2:$AI$1001,MATCH(ROWS($AG$2:AG167),$AG$2:$AG$1001,0),0), INDEX($AN$1004:$BO$1004,1,MATCH(COLUMNS($AN$1006:AU1006),$AN$1006:$BO$1006,0)))),"Fix")))</f>
        <v>0</v>
      </c>
      <c r="J167" s="4">
        <f>IF(OR(INDEX($AH$2:$AH$1001,MATCH(ROWS($AG$2:AG167),$AG$2:$AG$1001,0),1)&gt;=100000,INDEX($AN$1005:$BO$1005,1,MATCH(COLUMNS($AN$1006:AV1006),$AN$1006:$BO$1006,0))&gt;=100000), " ",IF(INDEX($AN$2:$BO$1001,MATCH(ROWS($AG$2:AG167),$AG$2:$AG$1001,0),MATCH(COLUMNS($AN$1006:AV1006),$AN$1006:$BO$1006,0)), HYPERLINK("#",""), HYPERLINK(CONCATENATE("#Metadata!", ADDRESS(INDEX($AI$2:$AI$1001,MATCH(ROWS($AG$2:AG167),$AG$2:$AG$1001,0),0), INDEX($AN$1004:$BO$1004,1,MATCH(COLUMNS($AN$1006:AV1006),$AN$1006:$BO$1006,0)))),"Fix")))</f>
        <v>0</v>
      </c>
      <c r="K167" s="4">
        <f>IF(OR(INDEX($AH$2:$AH$1001,MATCH(ROWS($AG$2:AG167),$AG$2:$AG$1001,0),1)&gt;=100000,INDEX($AN$1005:$BO$1005,1,MATCH(COLUMNS($AN$1006:AW1006),$AN$1006:$BO$1006,0))&gt;=100000), " ",IF(INDEX($AN$2:$BO$1001,MATCH(ROWS($AG$2:AG167),$AG$2:$AG$1001,0),MATCH(COLUMNS($AN$1006:AW1006),$AN$1006:$BO$1006,0)), HYPERLINK("#",""), HYPERLINK(CONCATENATE("#Metadata!", ADDRESS(INDEX($AI$2:$AI$1001,MATCH(ROWS($AG$2:AG167),$AG$2:$AG$1001,0),0), INDEX($AN$1004:$BO$1004,1,MATCH(COLUMNS($AN$1006:AW1006),$AN$1006:$BO$1006,0)))),"Fix")))</f>
        <v>0</v>
      </c>
      <c r="L167" s="4">
        <f>IF(OR(INDEX($AH$2:$AH$1001,MATCH(ROWS($AG$2:AG167),$AG$2:$AG$1001,0),1)&gt;=100000,INDEX($AN$1005:$BO$1005,1,MATCH(COLUMNS($AN$1006:AX1006),$AN$1006:$BO$1006,0))&gt;=100000), " ",IF(INDEX($AN$2:$BO$1001,MATCH(ROWS($AG$2:AG167),$AG$2:$AG$1001,0),MATCH(COLUMNS($AN$1006:AX1006),$AN$1006:$BO$1006,0)), HYPERLINK("#",""), HYPERLINK(CONCATENATE("#Metadata!", ADDRESS(INDEX($AI$2:$AI$1001,MATCH(ROWS($AG$2:AG167),$AG$2:$AG$1001,0),0), INDEX($AN$1004:$BO$1004,1,MATCH(COLUMNS($AN$1006:AX1006),$AN$1006:$BO$1006,0)))),"Fix")))</f>
        <v>0</v>
      </c>
      <c r="M167" s="4">
        <f>IF(OR(INDEX($AH$2:$AH$1001,MATCH(ROWS($AG$2:AG167),$AG$2:$AG$1001,0),1)&gt;=100000,INDEX($AN$1005:$BO$1005,1,MATCH(COLUMNS($AN$1006:AY1006),$AN$1006:$BO$1006,0))&gt;=100000), " ",IF(INDEX($AN$2:$BO$1001,MATCH(ROWS($AG$2:AG167),$AG$2:$AG$1001,0),MATCH(COLUMNS($AN$1006:AY1006),$AN$1006:$BO$1006,0)), HYPERLINK("#",""), HYPERLINK(CONCATENATE("#Metadata!", ADDRESS(INDEX($AI$2:$AI$1001,MATCH(ROWS($AG$2:AG167),$AG$2:$AG$1001,0),0), INDEX($AN$1004:$BO$1004,1,MATCH(COLUMNS($AN$1006:AY1006),$AN$1006:$BO$1006,0)))),"Fix")))</f>
        <v>0</v>
      </c>
      <c r="N167" s="4">
        <f>IF(OR(INDEX($AH$2:$AH$1001,MATCH(ROWS($AG$2:AG167),$AG$2:$AG$1001,0),1)&gt;=100000,INDEX($AN$1005:$BO$1005,1,MATCH(COLUMNS($AN$1006:AZ1006),$AN$1006:$BO$1006,0))&gt;=100000), " ",IF(INDEX($AN$2:$BO$1001,MATCH(ROWS($AG$2:AG167),$AG$2:$AG$1001,0),MATCH(COLUMNS($AN$1006:AZ1006),$AN$1006:$BO$1006,0)), HYPERLINK("#",""), HYPERLINK(CONCATENATE("#Metadata!", ADDRESS(INDEX($AI$2:$AI$1001,MATCH(ROWS($AG$2:AG167),$AG$2:$AG$1001,0),0), INDEX($AN$1004:$BO$1004,1,MATCH(COLUMNS($AN$1006:AZ1006),$AN$1006:$BO$1006,0)))),"Fix")))</f>
        <v>0</v>
      </c>
      <c r="O167" s="4">
        <f>IF(OR(INDEX($AH$2:$AH$1001,MATCH(ROWS($AG$2:AG167),$AG$2:$AG$1001,0),1)&gt;=100000,INDEX($AN$1005:$BO$1005,1,MATCH(COLUMNS($AN$1006:BA1006),$AN$1006:$BO$1006,0))&gt;=100000), " ",IF(INDEX($AN$2:$BO$1001,MATCH(ROWS($AG$2:AG167),$AG$2:$AG$1001,0),MATCH(COLUMNS($AN$1006:BA1006),$AN$1006:$BO$1006,0)), HYPERLINK("#",""), HYPERLINK(CONCATENATE("#Metadata!", ADDRESS(INDEX($AI$2:$AI$1001,MATCH(ROWS($AG$2:AG167),$AG$2:$AG$1001,0),0), INDEX($AN$1004:$BO$1004,1,MATCH(COLUMNS($AN$1006:BA1006),$AN$1006:$BO$1006,0)))),"Fix")))</f>
        <v>0</v>
      </c>
      <c r="P167" s="4">
        <f>IF(OR(INDEX($AH$2:$AH$1001,MATCH(ROWS($AG$2:AG167),$AG$2:$AG$1001,0),1)&gt;=100000,INDEX($AN$1005:$BO$1005,1,MATCH(COLUMNS($AN$1006:BB1006),$AN$1006:$BO$1006,0))&gt;=100000), " ",IF(INDEX($AN$2:$BO$1001,MATCH(ROWS($AG$2:AG167),$AG$2:$AG$1001,0),MATCH(COLUMNS($AN$1006:BB1006),$AN$1006:$BO$1006,0)), HYPERLINK("#",""), HYPERLINK(CONCATENATE("#Metadata!", ADDRESS(INDEX($AI$2:$AI$1001,MATCH(ROWS($AG$2:AG167),$AG$2:$AG$1001,0),0), INDEX($AN$1004:$BO$1004,1,MATCH(COLUMNS($AN$1006:BB1006),$AN$1006:$BO$1006,0)))),"Fix")))</f>
        <v>0</v>
      </c>
      <c r="Q167" s="4">
        <f>IF(OR(INDEX($AH$2:$AH$1001,MATCH(ROWS($AG$2:AG167),$AG$2:$AG$1001,0),1)&gt;=100000,INDEX($AN$1005:$BO$1005,1,MATCH(COLUMNS($AN$1006:BC1006),$AN$1006:$BO$1006,0))&gt;=100000), " ",IF(INDEX($AN$2:$BO$1001,MATCH(ROWS($AG$2:AG167),$AG$2:$AG$1001,0),MATCH(COLUMNS($AN$1006:BC1006),$AN$1006:$BO$1006,0)), HYPERLINK("#",""), HYPERLINK(CONCATENATE("#Metadata!", ADDRESS(INDEX($AI$2:$AI$1001,MATCH(ROWS($AG$2:AG167),$AG$2:$AG$1001,0),0), INDEX($AN$1004:$BO$1004,1,MATCH(COLUMNS($AN$1006:BC1006),$AN$1006:$BO$1006,0)))),"Fix")))</f>
        <v>0</v>
      </c>
      <c r="R167" s="4">
        <f>IF(OR(INDEX($AH$2:$AH$1001,MATCH(ROWS($AG$2:AG167),$AG$2:$AG$1001,0),1)&gt;=100000,INDEX($AN$1005:$BO$1005,1,MATCH(COLUMNS($AN$1006:BD1006),$AN$1006:$BO$1006,0))&gt;=100000), " ",IF(INDEX($AN$2:$BO$1001,MATCH(ROWS($AG$2:AG167),$AG$2:$AG$1001,0),MATCH(COLUMNS($AN$1006:BD1006),$AN$1006:$BO$1006,0)), HYPERLINK("#",""), HYPERLINK(CONCATENATE("#Metadata!", ADDRESS(INDEX($AI$2:$AI$1001,MATCH(ROWS($AG$2:AG167),$AG$2:$AG$1001,0),0), INDEX($AN$1004:$BO$1004,1,MATCH(COLUMNS($AN$1006:BD1006),$AN$1006:$BO$1006,0)))),"Fix")))</f>
        <v>0</v>
      </c>
      <c r="S167" s="4">
        <f>IF(OR(INDEX($AH$2:$AH$1001,MATCH(ROWS($AG$2:AG167),$AG$2:$AG$1001,0),1)&gt;=100000,INDEX($AN$1005:$BO$1005,1,MATCH(COLUMNS($AN$1006:BE1006),$AN$1006:$BO$1006,0))&gt;=100000), " ",IF(INDEX($AN$2:$BO$1001,MATCH(ROWS($AG$2:AG167),$AG$2:$AG$1001,0),MATCH(COLUMNS($AN$1006:BE1006),$AN$1006:$BO$1006,0)), HYPERLINK("#",""), HYPERLINK(CONCATENATE("#Metadata!", ADDRESS(INDEX($AI$2:$AI$1001,MATCH(ROWS($AG$2:AG167),$AG$2:$AG$1001,0),0), INDEX($AN$1004:$BO$1004,1,MATCH(COLUMNS($AN$1006:BE1006),$AN$1006:$BO$1006,0)))),"Fix")))</f>
        <v>0</v>
      </c>
      <c r="T167" s="4">
        <f>IF(OR(INDEX($AH$2:$AH$1001,MATCH(ROWS($AG$2:AG167),$AG$2:$AG$1001,0),1)&gt;=100000,INDEX($AN$1005:$BO$1005,1,MATCH(COLUMNS($AN$1006:BF1006),$AN$1006:$BO$1006,0))&gt;=100000), " ",IF(INDEX($AN$2:$BO$1001,MATCH(ROWS($AG$2:AG167),$AG$2:$AG$1001,0),MATCH(COLUMNS($AN$1006:BF1006),$AN$1006:$BO$1006,0)), HYPERLINK("#",""), HYPERLINK(CONCATENATE("#Metadata!", ADDRESS(INDEX($AI$2:$AI$1001,MATCH(ROWS($AG$2:AG167),$AG$2:$AG$1001,0),0), INDEX($AN$1004:$BO$1004,1,MATCH(COLUMNS($AN$1006:BF1006),$AN$1006:$BO$1006,0)))),"Fix")))</f>
        <v>0</v>
      </c>
      <c r="U167" s="4">
        <f>IF(OR(INDEX($AH$2:$AH$1001,MATCH(ROWS($AG$2:AG167),$AG$2:$AG$1001,0),1)&gt;=100000,INDEX($AN$1005:$BO$1005,1,MATCH(COLUMNS($AN$1006:BG1006),$AN$1006:$BO$1006,0))&gt;=100000), " ",IF(INDEX($AN$2:$BO$1001,MATCH(ROWS($AG$2:AG167),$AG$2:$AG$1001,0),MATCH(COLUMNS($AN$1006:BG1006),$AN$1006:$BO$1006,0)), HYPERLINK("#",""), HYPERLINK(CONCATENATE("#Metadata!", ADDRESS(INDEX($AI$2:$AI$1001,MATCH(ROWS($AG$2:AG167),$AG$2:$AG$1001,0),0), INDEX($AN$1004:$BO$1004,1,MATCH(COLUMNS($AN$1006:BG1006),$AN$1006:$BO$1006,0)))),"Fix")))</f>
        <v>0</v>
      </c>
      <c r="V167" s="4">
        <f>IF(OR(INDEX($AH$2:$AH$1001,MATCH(ROWS($AG$2:AG167),$AG$2:$AG$1001,0),1)&gt;=100000,INDEX($AN$1005:$BO$1005,1,MATCH(COLUMNS($AN$1006:BH1006),$AN$1006:$BO$1006,0))&gt;=100000), " ",IF(INDEX($AN$2:$BO$1001,MATCH(ROWS($AG$2:AG167),$AG$2:$AG$1001,0),MATCH(COLUMNS($AN$1006:BH1006),$AN$1006:$BO$1006,0)), HYPERLINK("#",""), HYPERLINK(CONCATENATE("#Metadata!", ADDRESS(INDEX($AI$2:$AI$1001,MATCH(ROWS($AG$2:AG167),$AG$2:$AG$1001,0),0), INDEX($AN$1004:$BO$1004,1,MATCH(COLUMNS($AN$1006:BH1006),$AN$1006:$BO$1006,0)))),"Fix")))</f>
        <v>0</v>
      </c>
      <c r="W167" s="4">
        <f>IF(OR(INDEX($AH$2:$AH$1001,MATCH(ROWS($AG$2:AG167),$AG$2:$AG$1001,0),1)&gt;=100000,INDEX($AN$1005:$BO$1005,1,MATCH(COLUMNS($AN$1006:BI1006),$AN$1006:$BO$1006,0))&gt;=100000), " ",IF(INDEX($AN$2:$BO$1001,MATCH(ROWS($AG$2:AG167),$AG$2:$AG$1001,0),MATCH(COLUMNS($AN$1006:BI1006),$AN$1006:$BO$1006,0)), HYPERLINK("#",""), HYPERLINK(CONCATENATE("#Metadata!", ADDRESS(INDEX($AI$2:$AI$1001,MATCH(ROWS($AG$2:AG167),$AG$2:$AG$1001,0),0), INDEX($AN$1004:$BO$1004,1,MATCH(COLUMNS($AN$1006:BI1006),$AN$1006:$BO$1006,0)))),"Fix")))</f>
        <v>0</v>
      </c>
      <c r="X167" s="4">
        <f>IF(OR(INDEX($AH$2:$AH$1001,MATCH(ROWS($AG$2:AG167),$AG$2:$AG$1001,0),1)&gt;=100000,INDEX($AN$1005:$BO$1005,1,MATCH(COLUMNS($AN$1006:BJ1006),$AN$1006:$BO$1006,0))&gt;=100000), " ",IF(INDEX($AN$2:$BO$1001,MATCH(ROWS($AG$2:AG167),$AG$2:$AG$1001,0),MATCH(COLUMNS($AN$1006:BJ1006),$AN$1006:$BO$1006,0)), HYPERLINK("#",""), HYPERLINK(CONCATENATE("#Metadata!", ADDRESS(INDEX($AI$2:$AI$1001,MATCH(ROWS($AG$2:AG167),$AG$2:$AG$1001,0),0), INDEX($AN$1004:$BO$1004,1,MATCH(COLUMNS($AN$1006:BJ1006),$AN$1006:$BO$1006,0)))),"Fix")))</f>
        <v>0</v>
      </c>
      <c r="Y167" s="4">
        <f>IF(OR(INDEX($AH$2:$AH$1001,MATCH(ROWS($AG$2:AG167),$AG$2:$AG$1001,0),1)&gt;=100000,INDEX($AN$1005:$BO$1005,1,MATCH(COLUMNS($AN$1006:BK1006),$AN$1006:$BO$1006,0))&gt;=100000), " ",IF(INDEX($AN$2:$BO$1001,MATCH(ROWS($AG$2:AG167),$AG$2:$AG$1001,0),MATCH(COLUMNS($AN$1006:BK1006),$AN$1006:$BO$1006,0)), HYPERLINK("#",""), HYPERLINK(CONCATENATE("#Metadata!", ADDRESS(INDEX($AI$2:$AI$1001,MATCH(ROWS($AG$2:AG167),$AG$2:$AG$1001,0),0), INDEX($AN$1004:$BO$1004,1,MATCH(COLUMNS($AN$1006:BK1006),$AN$1006:$BO$1006,0)))),"Fix")))</f>
        <v>0</v>
      </c>
      <c r="Z167" s="4">
        <f>IF(OR(INDEX($AH$2:$AH$1001,MATCH(ROWS($AG$2:AG167),$AG$2:$AG$1001,0),1)&gt;=100000,INDEX($AN$1005:$BO$1005,1,MATCH(COLUMNS($AN$1006:BL1006),$AN$1006:$BO$1006,0))&gt;=100000), " ",IF(INDEX($AN$2:$BO$1001,MATCH(ROWS($AG$2:AG167),$AG$2:$AG$1001,0),MATCH(COLUMNS($AN$1006:BL1006),$AN$1006:$BO$1006,0)), HYPERLINK("#",""), HYPERLINK(CONCATENATE("#Metadata!", ADDRESS(INDEX($AI$2:$AI$1001,MATCH(ROWS($AG$2:AG167),$AG$2:$AG$1001,0),0), INDEX($AN$1004:$BO$1004,1,MATCH(COLUMNS($AN$1006:BL1006),$AN$1006:$BO$1006,0)))),"Fix")))</f>
        <v>0</v>
      </c>
      <c r="AA167" s="4">
        <f>IF(OR(INDEX($AH$2:$AH$1001,MATCH(ROWS($AG$2:AG167),$AG$2:$AG$1001,0),1)&gt;=100000,INDEX($AN$1005:$BO$1005,1,MATCH(COLUMNS($AN$1006:BM1006),$AN$1006:$BO$1006,0))&gt;=100000), " ",IF(INDEX($AN$2:$BO$1001,MATCH(ROWS($AG$2:AG167),$AG$2:$AG$1001,0),MATCH(COLUMNS($AN$1006:BM1006),$AN$1006:$BO$1006,0)), HYPERLINK("#",""), HYPERLINK(CONCATENATE("#Metadata!", ADDRESS(INDEX($AI$2:$AI$1001,MATCH(ROWS($AG$2:AG167),$AG$2:$AG$1001,0),0), INDEX($AN$1004:$BO$1004,1,MATCH(COLUMNS($AN$1006:BM1006),$AN$1006:$BO$1006,0)))),"Fix")))</f>
        <v>0</v>
      </c>
      <c r="AB167" s="4">
        <f>IF(OR(INDEX($AH$2:$AH$1001,MATCH(ROWS($AG$2:AG167),$AG$2:$AG$1001,0),1)&gt;=100000,INDEX($AN$1005:$BO$1005,1,MATCH(COLUMNS($AN$1006:BN1006),$AN$1006:$BO$1006,0))&gt;=100000), " ",IF(INDEX($AN$2:$BO$1001,MATCH(ROWS($AG$2:AG167),$AG$2:$AG$1001,0),MATCH(COLUMNS($AN$1006:BN1006),$AN$1006:$BO$1006,0)), HYPERLINK("#",""), HYPERLINK(CONCATENATE("#Metadata!", ADDRESS(INDEX($AI$2:$AI$1001,MATCH(ROWS($AG$2:AG167),$AG$2:$AG$1001,0),0), INDEX($AN$1004:$BO$1004,1,MATCH(COLUMNS($AN$1006:BN1006),$AN$1006:$BO$1006,0)))),"Fix")))</f>
        <v>0</v>
      </c>
      <c r="AC167" s="4">
        <f>IF(OR(INDEX($AH$2:$AH$1001,MATCH(ROWS($AG$2:AG167),$AG$2:$AG$1001,0),1)&gt;=100000,INDEX($AN$1005:$BO$1005,1,MATCH(COLUMNS($AN$1006:BO1006),$AN$1006:$BO$1006,0))&gt;=100000), " ",IF(INDEX($AN$2:$BO$1001,MATCH(ROWS($AG$2:AG167),$AG$2:$AG$1001,0),MATCH(COLUMNS($AN$1006:BO1006),$AN$1006:$BO$1006,0)), HYPERLINK("#",""), HYPERLINK(CONCATENATE("#Metadata!", ADDRESS(INDEX($AI$2:$AI$1001,MATCH(ROWS($AG$2:AG167),$AG$2:$AG$1001,0),0), INDEX($AN$1004:$BO$1004,1,MATCH(COLUMNS($AN$1006:BO1006),$AN$1006:$BO$1006,0)))),"Fix")))</f>
        <v>0</v>
      </c>
      <c r="AG167">
        <v>0</v>
      </c>
      <c r="AH167">
        <v>0</v>
      </c>
      <c r="AI167">
        <v>0</v>
      </c>
      <c r="AJ167">
        <f>IF(AK167,TRUE,AND(AN167:BO167))</f>
        <v>0</v>
      </c>
      <c r="AK167">
        <f>COUNTBLANK(Metadata!B167:AC167)=COLUMNS(Metadata!B167:AC167)</f>
        <v>0</v>
      </c>
      <c r="AL167">
        <v>0</v>
      </c>
      <c r="AN167">
        <f>AND(IF(Metadata!B167="",FALSE,TRUE),COUNTIF(Metadata!B:B, Metadata!B167) = 1,NOT(ISERROR(SUMPRODUCT(SEARCH(MID(Metadata!B167,ROW(INDIRECT("1:"&amp;LEN(Metadata!B167))), 1),"0123456789abcdefghijklmnopqrstuvwxyzABCDEFGHIJKLMNOPQRSTUVWXYZ.")))))</f>
        <v>0</v>
      </c>
      <c r="AO167">
        <f>IF(Metadata!C167="",FALSE,TRUE)</f>
        <v>0</v>
      </c>
      <c r="AP167">
        <f>IF(Metadata!D167="",FALSE,TRUE)</f>
        <v>0</v>
      </c>
      <c r="AQ167">
        <f>OR(AND(IF(Metadata!E167="",FALSE,TRUE),OR(exact(Metadata!E167,"not collected"),exact(Metadata!E167,"not provided"),exact(Metadata!E167,"restricted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R167">
        <f>IF(Metadata!F167="",FALSE,TRUE)</f>
        <v>0</v>
      </c>
      <c r="AS167">
        <f>OR(AND(IF(Metadata!G167="",FALSE,TRUE),OR(exact(Metadata!G167,"not collected"),exact(Metadata!G167,"not provided"))),AND(IF(Metadata!G167="",FALSE,TRUE),OR(exact(Metadata!G167,"TRUE"),exact(Metadata!G167,"FALSE"))))</f>
        <v>0</v>
      </c>
      <c r="AT167">
        <f>OR(AND(IF(Metadata!H167="",FALSE,TRUE),OR(exact(Metadata!H167,"not collected"),exact(Metadata!H167,"not provided"),exact(Metadata!H167,"restricted access"))),AND(IF(Metadata!H167="",FALSE,ISNUMBER(VALUE(Metadata!H167))),Metadata!H167&gt;=-413.0))</f>
        <v>0</v>
      </c>
      <c r="AU167">
        <f>AND(IF(Metadata!I167="",FALSE,TRUE),exact(Metadata!I167,"meters"))</f>
        <v>0</v>
      </c>
      <c r="AV167">
        <f>AND(IF(Metadata!J167="",FALSE,TRUE),OR(exact(Metadata!J167,"Host-associated"),exact(Metadata!J167,"Free-living")))</f>
        <v>0</v>
      </c>
      <c r="AW167">
        <f>AND(IF(Metadata!K167="",FALSE,TRUE),OR(exact(Metadata!K167,"Animal"),exact(Metadata!K167,"Fungus"),exact(Metadata!K167,"Plant"),exact(Metadata!K167,"Saline"),exact(Metadata!K167,"Non-saline")))</f>
        <v>0</v>
      </c>
      <c r="AX167">
        <f>AND(IF(Metadata!L167="",FALSE,TRUE),OR(exact(Metadata!L167,"Plant secretion"),exact(Metadata!L167,"Plant rhizosphere"),exact(Metadata!L167,"Plant surface"),exact(Metadata!L167,"Plant corpus"),exact(Metadata!L167,"Fungus surface"),exact(Metadata!L167,"Fungus corpus"),exact(Metadata!L167,"Animal surface"),exact(Metadata!L167,"Animal proximal gut"),exact(Metadata!L167,"Animal corpus"),exact(Metadata!L167,"Animal distal gut"),exact(Metadata!L167,"Animal secretion"),exact(Metadata!L167,"Sub-surface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Y167">
        <f>IF(Metadata!M167="",FALSE,TRUE)</f>
        <v>0</v>
      </c>
      <c r="AZ167">
        <f>IF(Metadata!N167="",FALSE,TRUE)</f>
        <v>0</v>
      </c>
      <c r="BA167">
        <f>IF(Metadata!O167="",FALSE,TRUE)</f>
        <v>0</v>
      </c>
      <c r="BB167">
        <f>OR(AND(IF(Metadata!P167="",FALSE,TRUE),OR(exact(Metadata!P167,"not collected"),exact(Metadata!P167,"not provided"),exact(Metadata!P167,"restricted access"))),AND(IF(Metadata!P167="",FALSE,TRUE),OR(exact(Metadata!P167,"air"),exact(Metadata!P167,"built environment"),exact(Metadata!P167,"host-associated"),exact(Metadata!P167,"human-associated"),exact(Metadata!P167,"human-skin"),exact(Metadata!P167,"human-oral"),exact(Metadata!P167,"human-gut"),exact(Metadata!P167,"human-vaginal"),exact(Metadata!P167,"microbial mat/biofilm"),exact(Metadata!P167,"misc environment"),exact(Metadata!P167,"plant-associated"),exact(Metadata!P167,"sediment"),exact(Metadata!P167,"soil"),exact(Metadata!P167,"wastewater/sludge"),exact(Metadata!P167,"water"))))</f>
        <v>0</v>
      </c>
      <c r="BC167">
        <f>IF(Metadata!Q167="",FALSE,TRUE)</f>
        <v>0</v>
      </c>
      <c r="BD167">
        <f>IF(Metadata!R167="",FALSE,TRUE)</f>
        <v>0</v>
      </c>
      <c r="BE167">
        <f>OR(AND(IF(Metadata!S167="",FALSE,TRUE),OR(exact(Metadata!S167,"not collected"),exact(Metadata!S167,"not provided"),exact(Metadata!S167,"restricted access"))),AND(IF(Metadata!S167="",FALSE,ISNUMBER(VALUE(Metadata!S167))),Metadata!S167&gt;=-90.00,Metadata!S167&lt;=90.00))</f>
        <v>0</v>
      </c>
      <c r="BF167">
        <f>AND(IF(Metadata!T167="",FALSE,TRUE),exact(Metadata!T167,"Decimal degrees"))</f>
        <v>0</v>
      </c>
      <c r="BG167">
        <f>OR(AND(IF(Metadata!U167="",FALSE,TRUE),OR(exact(Metadata!U167,"not collected"),exact(Metadata!U167,"not provided"),exact(Metadata!U167,"restricted access"))),AND(IF(Metadata!U167="",FALSE,ISNUMBER(VALUE(Metadata!U167))),Metadata!U167&gt;=-180.00,Metadata!U167&lt;=180.00))</f>
        <v>0</v>
      </c>
      <c r="BH167">
        <f>AND(IF(Metadata!V167="",FALSE,TRUE),exact(Metadata!V167,"Decimal degrees"))</f>
        <v>0</v>
      </c>
      <c r="BI167">
        <f>IF(Metadata!W167="",FALSE,TRUE)</f>
        <v>0</v>
      </c>
      <c r="BJ167">
        <f>OR(AND(IF(Metadata!X167="",FALSE,TRUE),OR(exact(Metadata!X167,"not collected"),exact(Metadata!X167,"not provided"),exact(Metadata!X167,"restricted access"))),AND(IF(Metadata!X167="",FALSE,TRUE),OR(exact(Metadata!X167,"TRUE"),exact(Metadata!X167,"FALSE"))))</f>
        <v>0</v>
      </c>
      <c r="BK167">
        <f>AND(IF(Metadata!Y167="",FALSE,TRUE),exact(Metadata!Y167,"other"))</f>
        <v>0</v>
      </c>
      <c r="BL167">
        <f>IF(Metadata!Z167="",FALSE,TRUE)</f>
        <v>0</v>
      </c>
      <c r="BM167">
        <f>OR(AND(IF(Metadata!AA167="",FALSE,TRUE),OR(exact(Metadata!AA167,"not collected"),exact(Metadata!AA167,"not provided"))),AND(IF(Metadata!AA167="",FALSE,IF(ISERROR(INT(Metadata!AA167)),FALSE,INT(Metadata!AA167)=Metadata!AA167)),Metadata!AA167&gt;0))</f>
        <v>0</v>
      </c>
      <c r="BN167">
        <f>AND(IF(Metadata!AB167="",FALSE,TRUE),exact(Metadata!AB167,"Not applicable"))</f>
        <v>0</v>
      </c>
      <c r="BO167">
        <f>IF(Metadata!AC167="",FALSE,TRUE)</f>
        <v>0</v>
      </c>
    </row>
    <row r="168" spans="1:67">
      <c r="A168" s="5">
        <f>IF(B168=" "," ",HYPERLINK(CONCATENATE("#metadata!",ADDRESS(INDEX($AI$2:$AI$1001,MATCH(ROWS($AG$2:AG168),$AG$2:$AG$1001,0),0),1)),INDEX($AL$2:$AL$1001,MATCH(ROWS($AG$2:AG168),$AG$2:$AG$1001,0),0)))</f>
        <v>0</v>
      </c>
      <c r="B168" s="4">
        <f>IF(OR(INDEX($AH$2:$AH$1001,MATCH(ROWS($AG$2:AG168),$AG$2:$AG$1001,0),1)&gt;=100000,INDEX($AN$1005:$BO$1005,1,MATCH(COLUMNS($AN$1006:AN1006),$AN$1006:$BO$1006,0))&gt;=100000), " ",IF(INDEX($AN$2:$BO$1001,MATCH(ROWS($AG$2:AG168),$AG$2:$AG$1001,0),MATCH(COLUMNS($AN$1006:AN1006),$AN$1006:$BO$1006,0)), HYPERLINK("#",""), HYPERLINK(CONCATENATE("#Metadata!", ADDRESS(INDEX($AI$2:$AI$1001,MATCH(ROWS($AG$2:AG168),$AG$2:$AG$1001,0),0), INDEX($AN$1004:$BO$1004,1,MATCH(COLUMNS($AN$1006:AN1006),$AN$1006:$BO$1006,0)))),"Fix")))</f>
        <v>0</v>
      </c>
      <c r="C168" s="4">
        <f>IF(OR(INDEX($AH$2:$AH$1001,MATCH(ROWS($AG$2:AG168),$AG$2:$AG$1001,0),1)&gt;=100000,INDEX($AN$1005:$BO$1005,1,MATCH(COLUMNS($AN$1006:AO1006),$AN$1006:$BO$1006,0))&gt;=100000), " ",IF(INDEX($AN$2:$BO$1001,MATCH(ROWS($AG$2:AG168),$AG$2:$AG$1001,0),MATCH(COLUMNS($AN$1006:AO1006),$AN$1006:$BO$1006,0)), HYPERLINK("#",""), HYPERLINK(CONCATENATE("#Metadata!", ADDRESS(INDEX($AI$2:$AI$1001,MATCH(ROWS($AG$2:AG168),$AG$2:$AG$1001,0),0), INDEX($AN$1004:$BO$1004,1,MATCH(COLUMNS($AN$1006:AO1006),$AN$1006:$BO$1006,0)))),"Fix")))</f>
        <v>0</v>
      </c>
      <c r="D168" s="4">
        <f>IF(OR(INDEX($AH$2:$AH$1001,MATCH(ROWS($AG$2:AG168),$AG$2:$AG$1001,0),1)&gt;=100000,INDEX($AN$1005:$BO$1005,1,MATCH(COLUMNS($AN$1006:AP1006),$AN$1006:$BO$1006,0))&gt;=100000), " ",IF(INDEX($AN$2:$BO$1001,MATCH(ROWS($AG$2:AG168),$AG$2:$AG$1001,0),MATCH(COLUMNS($AN$1006:AP1006),$AN$1006:$BO$1006,0)), HYPERLINK("#",""), HYPERLINK(CONCATENATE("#Metadata!", ADDRESS(INDEX($AI$2:$AI$1001,MATCH(ROWS($AG$2:AG168),$AG$2:$AG$1001,0),0), INDEX($AN$1004:$BO$1004,1,MATCH(COLUMNS($AN$1006:AP1006),$AN$1006:$BO$1006,0)))),"Fix")))</f>
        <v>0</v>
      </c>
      <c r="E168" s="4">
        <f>IF(OR(INDEX($AH$2:$AH$1001,MATCH(ROWS($AG$2:AG168),$AG$2:$AG$1001,0),1)&gt;=100000,INDEX($AN$1005:$BO$1005,1,MATCH(COLUMNS($AN$1006:AQ1006),$AN$1006:$BO$1006,0))&gt;=100000), " ",IF(INDEX($AN$2:$BO$1001,MATCH(ROWS($AG$2:AG168),$AG$2:$AG$1001,0),MATCH(COLUMNS($AN$1006:AQ1006),$AN$1006:$BO$1006,0)), HYPERLINK("#",""), HYPERLINK(CONCATENATE("#Metadata!", ADDRESS(INDEX($AI$2:$AI$1001,MATCH(ROWS($AG$2:AG168),$AG$2:$AG$1001,0),0), INDEX($AN$1004:$BO$1004,1,MATCH(COLUMNS($AN$1006:AQ1006),$AN$1006:$BO$1006,0)))),"Fix")))</f>
        <v>0</v>
      </c>
      <c r="F168" s="4">
        <f>IF(OR(INDEX($AH$2:$AH$1001,MATCH(ROWS($AG$2:AG168),$AG$2:$AG$1001,0),1)&gt;=100000,INDEX($AN$1005:$BO$1005,1,MATCH(COLUMNS($AN$1006:AR1006),$AN$1006:$BO$1006,0))&gt;=100000), " ",IF(INDEX($AN$2:$BO$1001,MATCH(ROWS($AG$2:AG168),$AG$2:$AG$1001,0),MATCH(COLUMNS($AN$1006:AR1006),$AN$1006:$BO$1006,0)), HYPERLINK("#",""), HYPERLINK(CONCATENATE("#Metadata!", ADDRESS(INDEX($AI$2:$AI$1001,MATCH(ROWS($AG$2:AG168),$AG$2:$AG$1001,0),0), INDEX($AN$1004:$BO$1004,1,MATCH(COLUMNS($AN$1006:AR1006),$AN$1006:$BO$1006,0)))),"Fix")))</f>
        <v>0</v>
      </c>
      <c r="G168" s="4">
        <f>IF(OR(INDEX($AH$2:$AH$1001,MATCH(ROWS($AG$2:AG168),$AG$2:$AG$1001,0),1)&gt;=100000,INDEX($AN$1005:$BO$1005,1,MATCH(COLUMNS($AN$1006:AS1006),$AN$1006:$BO$1006,0))&gt;=100000), " ",IF(INDEX($AN$2:$BO$1001,MATCH(ROWS($AG$2:AG168),$AG$2:$AG$1001,0),MATCH(COLUMNS($AN$1006:AS1006),$AN$1006:$BO$1006,0)), HYPERLINK("#",""), HYPERLINK(CONCATENATE("#Metadata!", ADDRESS(INDEX($AI$2:$AI$1001,MATCH(ROWS($AG$2:AG168),$AG$2:$AG$1001,0),0), INDEX($AN$1004:$BO$1004,1,MATCH(COLUMNS($AN$1006:AS1006),$AN$1006:$BO$1006,0)))),"Fix")))</f>
        <v>0</v>
      </c>
      <c r="H168" s="4">
        <f>IF(OR(INDEX($AH$2:$AH$1001,MATCH(ROWS($AG$2:AG168),$AG$2:$AG$1001,0),1)&gt;=100000,INDEX($AN$1005:$BO$1005,1,MATCH(COLUMNS($AN$1006:AT1006),$AN$1006:$BO$1006,0))&gt;=100000), " ",IF(INDEX($AN$2:$BO$1001,MATCH(ROWS($AG$2:AG168),$AG$2:$AG$1001,0),MATCH(COLUMNS($AN$1006:AT1006),$AN$1006:$BO$1006,0)), HYPERLINK("#",""), HYPERLINK(CONCATENATE("#Metadata!", ADDRESS(INDEX($AI$2:$AI$1001,MATCH(ROWS($AG$2:AG168),$AG$2:$AG$1001,0),0), INDEX($AN$1004:$BO$1004,1,MATCH(COLUMNS($AN$1006:AT1006),$AN$1006:$BO$1006,0)))),"Fix")))</f>
        <v>0</v>
      </c>
      <c r="I168" s="4">
        <f>IF(OR(INDEX($AH$2:$AH$1001,MATCH(ROWS($AG$2:AG168),$AG$2:$AG$1001,0),1)&gt;=100000,INDEX($AN$1005:$BO$1005,1,MATCH(COLUMNS($AN$1006:AU1006),$AN$1006:$BO$1006,0))&gt;=100000), " ",IF(INDEX($AN$2:$BO$1001,MATCH(ROWS($AG$2:AG168),$AG$2:$AG$1001,0),MATCH(COLUMNS($AN$1006:AU1006),$AN$1006:$BO$1006,0)), HYPERLINK("#",""), HYPERLINK(CONCATENATE("#Metadata!", ADDRESS(INDEX($AI$2:$AI$1001,MATCH(ROWS($AG$2:AG168),$AG$2:$AG$1001,0),0), INDEX($AN$1004:$BO$1004,1,MATCH(COLUMNS($AN$1006:AU1006),$AN$1006:$BO$1006,0)))),"Fix")))</f>
        <v>0</v>
      </c>
      <c r="J168" s="4">
        <f>IF(OR(INDEX($AH$2:$AH$1001,MATCH(ROWS($AG$2:AG168),$AG$2:$AG$1001,0),1)&gt;=100000,INDEX($AN$1005:$BO$1005,1,MATCH(COLUMNS($AN$1006:AV1006),$AN$1006:$BO$1006,0))&gt;=100000), " ",IF(INDEX($AN$2:$BO$1001,MATCH(ROWS($AG$2:AG168),$AG$2:$AG$1001,0),MATCH(COLUMNS($AN$1006:AV1006),$AN$1006:$BO$1006,0)), HYPERLINK("#",""), HYPERLINK(CONCATENATE("#Metadata!", ADDRESS(INDEX($AI$2:$AI$1001,MATCH(ROWS($AG$2:AG168),$AG$2:$AG$1001,0),0), INDEX($AN$1004:$BO$1004,1,MATCH(COLUMNS($AN$1006:AV1006),$AN$1006:$BO$1006,0)))),"Fix")))</f>
        <v>0</v>
      </c>
      <c r="K168" s="4">
        <f>IF(OR(INDEX($AH$2:$AH$1001,MATCH(ROWS($AG$2:AG168),$AG$2:$AG$1001,0),1)&gt;=100000,INDEX($AN$1005:$BO$1005,1,MATCH(COLUMNS($AN$1006:AW1006),$AN$1006:$BO$1006,0))&gt;=100000), " ",IF(INDEX($AN$2:$BO$1001,MATCH(ROWS($AG$2:AG168),$AG$2:$AG$1001,0),MATCH(COLUMNS($AN$1006:AW1006),$AN$1006:$BO$1006,0)), HYPERLINK("#",""), HYPERLINK(CONCATENATE("#Metadata!", ADDRESS(INDEX($AI$2:$AI$1001,MATCH(ROWS($AG$2:AG168),$AG$2:$AG$1001,0),0), INDEX($AN$1004:$BO$1004,1,MATCH(COLUMNS($AN$1006:AW1006),$AN$1006:$BO$1006,0)))),"Fix")))</f>
        <v>0</v>
      </c>
      <c r="L168" s="4">
        <f>IF(OR(INDEX($AH$2:$AH$1001,MATCH(ROWS($AG$2:AG168),$AG$2:$AG$1001,0),1)&gt;=100000,INDEX($AN$1005:$BO$1005,1,MATCH(COLUMNS($AN$1006:AX1006),$AN$1006:$BO$1006,0))&gt;=100000), " ",IF(INDEX($AN$2:$BO$1001,MATCH(ROWS($AG$2:AG168),$AG$2:$AG$1001,0),MATCH(COLUMNS($AN$1006:AX1006),$AN$1006:$BO$1006,0)), HYPERLINK("#",""), HYPERLINK(CONCATENATE("#Metadata!", ADDRESS(INDEX($AI$2:$AI$1001,MATCH(ROWS($AG$2:AG168),$AG$2:$AG$1001,0),0), INDEX($AN$1004:$BO$1004,1,MATCH(COLUMNS($AN$1006:AX1006),$AN$1006:$BO$1006,0)))),"Fix")))</f>
        <v>0</v>
      </c>
      <c r="M168" s="4">
        <f>IF(OR(INDEX($AH$2:$AH$1001,MATCH(ROWS($AG$2:AG168),$AG$2:$AG$1001,0),1)&gt;=100000,INDEX($AN$1005:$BO$1005,1,MATCH(COLUMNS($AN$1006:AY1006),$AN$1006:$BO$1006,0))&gt;=100000), " ",IF(INDEX($AN$2:$BO$1001,MATCH(ROWS($AG$2:AG168),$AG$2:$AG$1001,0),MATCH(COLUMNS($AN$1006:AY1006),$AN$1006:$BO$1006,0)), HYPERLINK("#",""), HYPERLINK(CONCATENATE("#Metadata!", ADDRESS(INDEX($AI$2:$AI$1001,MATCH(ROWS($AG$2:AG168),$AG$2:$AG$1001,0),0), INDEX($AN$1004:$BO$1004,1,MATCH(COLUMNS($AN$1006:AY1006),$AN$1006:$BO$1006,0)))),"Fix")))</f>
        <v>0</v>
      </c>
      <c r="N168" s="4">
        <f>IF(OR(INDEX($AH$2:$AH$1001,MATCH(ROWS($AG$2:AG168),$AG$2:$AG$1001,0),1)&gt;=100000,INDEX($AN$1005:$BO$1005,1,MATCH(COLUMNS($AN$1006:AZ1006),$AN$1006:$BO$1006,0))&gt;=100000), " ",IF(INDEX($AN$2:$BO$1001,MATCH(ROWS($AG$2:AG168),$AG$2:$AG$1001,0),MATCH(COLUMNS($AN$1006:AZ1006),$AN$1006:$BO$1006,0)), HYPERLINK("#",""), HYPERLINK(CONCATENATE("#Metadata!", ADDRESS(INDEX($AI$2:$AI$1001,MATCH(ROWS($AG$2:AG168),$AG$2:$AG$1001,0),0), INDEX($AN$1004:$BO$1004,1,MATCH(COLUMNS($AN$1006:AZ1006),$AN$1006:$BO$1006,0)))),"Fix")))</f>
        <v>0</v>
      </c>
      <c r="O168" s="4">
        <f>IF(OR(INDEX($AH$2:$AH$1001,MATCH(ROWS($AG$2:AG168),$AG$2:$AG$1001,0),1)&gt;=100000,INDEX($AN$1005:$BO$1005,1,MATCH(COLUMNS($AN$1006:BA1006),$AN$1006:$BO$1006,0))&gt;=100000), " ",IF(INDEX($AN$2:$BO$1001,MATCH(ROWS($AG$2:AG168),$AG$2:$AG$1001,0),MATCH(COLUMNS($AN$1006:BA1006),$AN$1006:$BO$1006,0)), HYPERLINK("#",""), HYPERLINK(CONCATENATE("#Metadata!", ADDRESS(INDEX($AI$2:$AI$1001,MATCH(ROWS($AG$2:AG168),$AG$2:$AG$1001,0),0), INDEX($AN$1004:$BO$1004,1,MATCH(COLUMNS($AN$1006:BA1006),$AN$1006:$BO$1006,0)))),"Fix")))</f>
        <v>0</v>
      </c>
      <c r="P168" s="4">
        <f>IF(OR(INDEX($AH$2:$AH$1001,MATCH(ROWS($AG$2:AG168),$AG$2:$AG$1001,0),1)&gt;=100000,INDEX($AN$1005:$BO$1005,1,MATCH(COLUMNS($AN$1006:BB1006),$AN$1006:$BO$1006,0))&gt;=100000), " ",IF(INDEX($AN$2:$BO$1001,MATCH(ROWS($AG$2:AG168),$AG$2:$AG$1001,0),MATCH(COLUMNS($AN$1006:BB1006),$AN$1006:$BO$1006,0)), HYPERLINK("#",""), HYPERLINK(CONCATENATE("#Metadata!", ADDRESS(INDEX($AI$2:$AI$1001,MATCH(ROWS($AG$2:AG168),$AG$2:$AG$1001,0),0), INDEX($AN$1004:$BO$1004,1,MATCH(COLUMNS($AN$1006:BB1006),$AN$1006:$BO$1006,0)))),"Fix")))</f>
        <v>0</v>
      </c>
      <c r="Q168" s="4">
        <f>IF(OR(INDEX($AH$2:$AH$1001,MATCH(ROWS($AG$2:AG168),$AG$2:$AG$1001,0),1)&gt;=100000,INDEX($AN$1005:$BO$1005,1,MATCH(COLUMNS($AN$1006:BC1006),$AN$1006:$BO$1006,0))&gt;=100000), " ",IF(INDEX($AN$2:$BO$1001,MATCH(ROWS($AG$2:AG168),$AG$2:$AG$1001,0),MATCH(COLUMNS($AN$1006:BC1006),$AN$1006:$BO$1006,0)), HYPERLINK("#",""), HYPERLINK(CONCATENATE("#Metadata!", ADDRESS(INDEX($AI$2:$AI$1001,MATCH(ROWS($AG$2:AG168),$AG$2:$AG$1001,0),0), INDEX($AN$1004:$BO$1004,1,MATCH(COLUMNS($AN$1006:BC1006),$AN$1006:$BO$1006,0)))),"Fix")))</f>
        <v>0</v>
      </c>
      <c r="R168" s="4">
        <f>IF(OR(INDEX($AH$2:$AH$1001,MATCH(ROWS($AG$2:AG168),$AG$2:$AG$1001,0),1)&gt;=100000,INDEX($AN$1005:$BO$1005,1,MATCH(COLUMNS($AN$1006:BD1006),$AN$1006:$BO$1006,0))&gt;=100000), " ",IF(INDEX($AN$2:$BO$1001,MATCH(ROWS($AG$2:AG168),$AG$2:$AG$1001,0),MATCH(COLUMNS($AN$1006:BD1006),$AN$1006:$BO$1006,0)), HYPERLINK("#",""), HYPERLINK(CONCATENATE("#Metadata!", ADDRESS(INDEX($AI$2:$AI$1001,MATCH(ROWS($AG$2:AG168),$AG$2:$AG$1001,0),0), INDEX($AN$1004:$BO$1004,1,MATCH(COLUMNS($AN$1006:BD1006),$AN$1006:$BO$1006,0)))),"Fix")))</f>
        <v>0</v>
      </c>
      <c r="S168" s="4">
        <f>IF(OR(INDEX($AH$2:$AH$1001,MATCH(ROWS($AG$2:AG168),$AG$2:$AG$1001,0),1)&gt;=100000,INDEX($AN$1005:$BO$1005,1,MATCH(COLUMNS($AN$1006:BE1006),$AN$1006:$BO$1006,0))&gt;=100000), " ",IF(INDEX($AN$2:$BO$1001,MATCH(ROWS($AG$2:AG168),$AG$2:$AG$1001,0),MATCH(COLUMNS($AN$1006:BE1006),$AN$1006:$BO$1006,0)), HYPERLINK("#",""), HYPERLINK(CONCATENATE("#Metadata!", ADDRESS(INDEX($AI$2:$AI$1001,MATCH(ROWS($AG$2:AG168),$AG$2:$AG$1001,0),0), INDEX($AN$1004:$BO$1004,1,MATCH(COLUMNS($AN$1006:BE1006),$AN$1006:$BO$1006,0)))),"Fix")))</f>
        <v>0</v>
      </c>
      <c r="T168" s="4">
        <f>IF(OR(INDEX($AH$2:$AH$1001,MATCH(ROWS($AG$2:AG168),$AG$2:$AG$1001,0),1)&gt;=100000,INDEX($AN$1005:$BO$1005,1,MATCH(COLUMNS($AN$1006:BF1006),$AN$1006:$BO$1006,0))&gt;=100000), " ",IF(INDEX($AN$2:$BO$1001,MATCH(ROWS($AG$2:AG168),$AG$2:$AG$1001,0),MATCH(COLUMNS($AN$1006:BF1006),$AN$1006:$BO$1006,0)), HYPERLINK("#",""), HYPERLINK(CONCATENATE("#Metadata!", ADDRESS(INDEX($AI$2:$AI$1001,MATCH(ROWS($AG$2:AG168),$AG$2:$AG$1001,0),0), INDEX($AN$1004:$BO$1004,1,MATCH(COLUMNS($AN$1006:BF1006),$AN$1006:$BO$1006,0)))),"Fix")))</f>
        <v>0</v>
      </c>
      <c r="U168" s="4">
        <f>IF(OR(INDEX($AH$2:$AH$1001,MATCH(ROWS($AG$2:AG168),$AG$2:$AG$1001,0),1)&gt;=100000,INDEX($AN$1005:$BO$1005,1,MATCH(COLUMNS($AN$1006:BG1006),$AN$1006:$BO$1006,0))&gt;=100000), " ",IF(INDEX($AN$2:$BO$1001,MATCH(ROWS($AG$2:AG168),$AG$2:$AG$1001,0),MATCH(COLUMNS($AN$1006:BG1006),$AN$1006:$BO$1006,0)), HYPERLINK("#",""), HYPERLINK(CONCATENATE("#Metadata!", ADDRESS(INDEX($AI$2:$AI$1001,MATCH(ROWS($AG$2:AG168),$AG$2:$AG$1001,0),0), INDEX($AN$1004:$BO$1004,1,MATCH(COLUMNS($AN$1006:BG1006),$AN$1006:$BO$1006,0)))),"Fix")))</f>
        <v>0</v>
      </c>
      <c r="V168" s="4">
        <f>IF(OR(INDEX($AH$2:$AH$1001,MATCH(ROWS($AG$2:AG168),$AG$2:$AG$1001,0),1)&gt;=100000,INDEX($AN$1005:$BO$1005,1,MATCH(COLUMNS($AN$1006:BH1006),$AN$1006:$BO$1006,0))&gt;=100000), " ",IF(INDEX($AN$2:$BO$1001,MATCH(ROWS($AG$2:AG168),$AG$2:$AG$1001,0),MATCH(COLUMNS($AN$1006:BH1006),$AN$1006:$BO$1006,0)), HYPERLINK("#",""), HYPERLINK(CONCATENATE("#Metadata!", ADDRESS(INDEX($AI$2:$AI$1001,MATCH(ROWS($AG$2:AG168),$AG$2:$AG$1001,0),0), INDEX($AN$1004:$BO$1004,1,MATCH(COLUMNS($AN$1006:BH1006),$AN$1006:$BO$1006,0)))),"Fix")))</f>
        <v>0</v>
      </c>
      <c r="W168" s="4">
        <f>IF(OR(INDEX($AH$2:$AH$1001,MATCH(ROWS($AG$2:AG168),$AG$2:$AG$1001,0),1)&gt;=100000,INDEX($AN$1005:$BO$1005,1,MATCH(COLUMNS($AN$1006:BI1006),$AN$1006:$BO$1006,0))&gt;=100000), " ",IF(INDEX($AN$2:$BO$1001,MATCH(ROWS($AG$2:AG168),$AG$2:$AG$1001,0),MATCH(COLUMNS($AN$1006:BI1006),$AN$1006:$BO$1006,0)), HYPERLINK("#",""), HYPERLINK(CONCATENATE("#Metadata!", ADDRESS(INDEX($AI$2:$AI$1001,MATCH(ROWS($AG$2:AG168),$AG$2:$AG$1001,0),0), INDEX($AN$1004:$BO$1004,1,MATCH(COLUMNS($AN$1006:BI1006),$AN$1006:$BO$1006,0)))),"Fix")))</f>
        <v>0</v>
      </c>
      <c r="X168" s="4">
        <f>IF(OR(INDEX($AH$2:$AH$1001,MATCH(ROWS($AG$2:AG168),$AG$2:$AG$1001,0),1)&gt;=100000,INDEX($AN$1005:$BO$1005,1,MATCH(COLUMNS($AN$1006:BJ1006),$AN$1006:$BO$1006,0))&gt;=100000), " ",IF(INDEX($AN$2:$BO$1001,MATCH(ROWS($AG$2:AG168),$AG$2:$AG$1001,0),MATCH(COLUMNS($AN$1006:BJ1006),$AN$1006:$BO$1006,0)), HYPERLINK("#",""), HYPERLINK(CONCATENATE("#Metadata!", ADDRESS(INDEX($AI$2:$AI$1001,MATCH(ROWS($AG$2:AG168),$AG$2:$AG$1001,0),0), INDEX($AN$1004:$BO$1004,1,MATCH(COLUMNS($AN$1006:BJ1006),$AN$1006:$BO$1006,0)))),"Fix")))</f>
        <v>0</v>
      </c>
      <c r="Y168" s="4">
        <f>IF(OR(INDEX($AH$2:$AH$1001,MATCH(ROWS($AG$2:AG168),$AG$2:$AG$1001,0),1)&gt;=100000,INDEX($AN$1005:$BO$1005,1,MATCH(COLUMNS($AN$1006:BK1006),$AN$1006:$BO$1006,0))&gt;=100000), " ",IF(INDEX($AN$2:$BO$1001,MATCH(ROWS($AG$2:AG168),$AG$2:$AG$1001,0),MATCH(COLUMNS($AN$1006:BK1006),$AN$1006:$BO$1006,0)), HYPERLINK("#",""), HYPERLINK(CONCATENATE("#Metadata!", ADDRESS(INDEX($AI$2:$AI$1001,MATCH(ROWS($AG$2:AG168),$AG$2:$AG$1001,0),0), INDEX($AN$1004:$BO$1004,1,MATCH(COLUMNS($AN$1006:BK1006),$AN$1006:$BO$1006,0)))),"Fix")))</f>
        <v>0</v>
      </c>
      <c r="Z168" s="4">
        <f>IF(OR(INDEX($AH$2:$AH$1001,MATCH(ROWS($AG$2:AG168),$AG$2:$AG$1001,0),1)&gt;=100000,INDEX($AN$1005:$BO$1005,1,MATCH(COLUMNS($AN$1006:BL1006),$AN$1006:$BO$1006,0))&gt;=100000), " ",IF(INDEX($AN$2:$BO$1001,MATCH(ROWS($AG$2:AG168),$AG$2:$AG$1001,0),MATCH(COLUMNS($AN$1006:BL1006),$AN$1006:$BO$1006,0)), HYPERLINK("#",""), HYPERLINK(CONCATENATE("#Metadata!", ADDRESS(INDEX($AI$2:$AI$1001,MATCH(ROWS($AG$2:AG168),$AG$2:$AG$1001,0),0), INDEX($AN$1004:$BO$1004,1,MATCH(COLUMNS($AN$1006:BL1006),$AN$1006:$BO$1006,0)))),"Fix")))</f>
        <v>0</v>
      </c>
      <c r="AA168" s="4">
        <f>IF(OR(INDEX($AH$2:$AH$1001,MATCH(ROWS($AG$2:AG168),$AG$2:$AG$1001,0),1)&gt;=100000,INDEX($AN$1005:$BO$1005,1,MATCH(COLUMNS($AN$1006:BM1006),$AN$1006:$BO$1006,0))&gt;=100000), " ",IF(INDEX($AN$2:$BO$1001,MATCH(ROWS($AG$2:AG168),$AG$2:$AG$1001,0),MATCH(COLUMNS($AN$1006:BM1006),$AN$1006:$BO$1006,0)), HYPERLINK("#",""), HYPERLINK(CONCATENATE("#Metadata!", ADDRESS(INDEX($AI$2:$AI$1001,MATCH(ROWS($AG$2:AG168),$AG$2:$AG$1001,0),0), INDEX($AN$1004:$BO$1004,1,MATCH(COLUMNS($AN$1006:BM1006),$AN$1006:$BO$1006,0)))),"Fix")))</f>
        <v>0</v>
      </c>
      <c r="AB168" s="4">
        <f>IF(OR(INDEX($AH$2:$AH$1001,MATCH(ROWS($AG$2:AG168),$AG$2:$AG$1001,0),1)&gt;=100000,INDEX($AN$1005:$BO$1005,1,MATCH(COLUMNS($AN$1006:BN1006),$AN$1006:$BO$1006,0))&gt;=100000), " ",IF(INDEX($AN$2:$BO$1001,MATCH(ROWS($AG$2:AG168),$AG$2:$AG$1001,0),MATCH(COLUMNS($AN$1006:BN1006),$AN$1006:$BO$1006,0)), HYPERLINK("#",""), HYPERLINK(CONCATENATE("#Metadata!", ADDRESS(INDEX($AI$2:$AI$1001,MATCH(ROWS($AG$2:AG168),$AG$2:$AG$1001,0),0), INDEX($AN$1004:$BO$1004,1,MATCH(COLUMNS($AN$1006:BN1006),$AN$1006:$BO$1006,0)))),"Fix")))</f>
        <v>0</v>
      </c>
      <c r="AC168" s="4">
        <f>IF(OR(INDEX($AH$2:$AH$1001,MATCH(ROWS($AG$2:AG168),$AG$2:$AG$1001,0),1)&gt;=100000,INDEX($AN$1005:$BO$1005,1,MATCH(COLUMNS($AN$1006:BO1006),$AN$1006:$BO$1006,0))&gt;=100000), " ",IF(INDEX($AN$2:$BO$1001,MATCH(ROWS($AG$2:AG168),$AG$2:$AG$1001,0),MATCH(COLUMNS($AN$1006:BO1006),$AN$1006:$BO$1006,0)), HYPERLINK("#",""), HYPERLINK(CONCATENATE("#Metadata!", ADDRESS(INDEX($AI$2:$AI$1001,MATCH(ROWS($AG$2:AG168),$AG$2:$AG$1001,0),0), INDEX($AN$1004:$BO$1004,1,MATCH(COLUMNS($AN$1006:BO1006),$AN$1006:$BO$1006,0)))),"Fix")))</f>
        <v>0</v>
      </c>
      <c r="AG168">
        <v>0</v>
      </c>
      <c r="AH168">
        <v>0</v>
      </c>
      <c r="AI168">
        <v>0</v>
      </c>
      <c r="AJ168">
        <f>IF(AK168,TRUE,AND(AN168:BO168))</f>
        <v>0</v>
      </c>
      <c r="AK168">
        <f>COUNTBLANK(Metadata!B168:AC168)=COLUMNS(Metadata!B168:AC168)</f>
        <v>0</v>
      </c>
      <c r="AL168">
        <v>0</v>
      </c>
      <c r="AN168">
        <f>AND(IF(Metadata!B168="",FALSE,TRUE),COUNTIF(Metadata!B:B, Metadata!B168) = 1,NOT(ISERROR(SUMPRODUCT(SEARCH(MID(Metadata!B168,ROW(INDIRECT("1:"&amp;LEN(Metadata!B168))), 1),"0123456789abcdefghijklmnopqrstuvwxyzABCDEFGHIJKLMNOPQRSTUVWXYZ.")))))</f>
        <v>0</v>
      </c>
      <c r="AO168">
        <f>IF(Metadata!C168="",FALSE,TRUE)</f>
        <v>0</v>
      </c>
      <c r="AP168">
        <f>IF(Metadata!D168="",FALSE,TRUE)</f>
        <v>0</v>
      </c>
      <c r="AQ168">
        <f>OR(AND(IF(Metadata!E168="",FALSE,TRUE),OR(exact(Metadata!E168,"not collected"),exact(Metadata!E168,"not provided"),exact(Metadata!E168,"restricted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R168">
        <f>IF(Metadata!F168="",FALSE,TRUE)</f>
        <v>0</v>
      </c>
      <c r="AS168">
        <f>OR(AND(IF(Metadata!G168="",FALSE,TRUE),OR(exact(Metadata!G168,"not collected"),exact(Metadata!G168,"not provided"))),AND(IF(Metadata!G168="",FALSE,TRUE),OR(exact(Metadata!G168,"TRUE"),exact(Metadata!G168,"FALSE"))))</f>
        <v>0</v>
      </c>
      <c r="AT168">
        <f>OR(AND(IF(Metadata!H168="",FALSE,TRUE),OR(exact(Metadata!H168,"not collected"),exact(Metadata!H168,"not provided"),exact(Metadata!H168,"restricted access"))),AND(IF(Metadata!H168="",FALSE,ISNUMBER(VALUE(Metadata!H168))),Metadata!H168&gt;=-413.0))</f>
        <v>0</v>
      </c>
      <c r="AU168">
        <f>AND(IF(Metadata!I168="",FALSE,TRUE),exact(Metadata!I168,"meters"))</f>
        <v>0</v>
      </c>
      <c r="AV168">
        <f>AND(IF(Metadata!J168="",FALSE,TRUE),OR(exact(Metadata!J168,"Host-associated"),exact(Metadata!J168,"Free-living")))</f>
        <v>0</v>
      </c>
      <c r="AW168">
        <f>AND(IF(Metadata!K168="",FALSE,TRUE),OR(exact(Metadata!K168,"Animal"),exact(Metadata!K168,"Fungus"),exact(Metadata!K168,"Plant"),exact(Metadata!K168,"Saline"),exact(Metadata!K168,"Non-saline")))</f>
        <v>0</v>
      </c>
      <c r="AX168">
        <f>AND(IF(Metadata!L168="",FALSE,TRUE),OR(exact(Metadata!L168,"Plant secretion"),exact(Metadata!L168,"Plant rhizosphere"),exact(Metadata!L168,"Plant surface"),exact(Metadata!L168,"Plant corpus"),exact(Metadata!L168,"Fungus surface"),exact(Metadata!L168,"Fungus corpus"),exact(Metadata!L168,"Animal surface"),exact(Metadata!L168,"Animal proximal gut"),exact(Metadata!L168,"Animal corpus"),exact(Metadata!L168,"Animal distal gut"),exact(Metadata!L168,"Animal secretion"),exact(Metadata!L168,"Sub-surface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Y168">
        <f>IF(Metadata!M168="",FALSE,TRUE)</f>
        <v>0</v>
      </c>
      <c r="AZ168">
        <f>IF(Metadata!N168="",FALSE,TRUE)</f>
        <v>0</v>
      </c>
      <c r="BA168">
        <f>IF(Metadata!O168="",FALSE,TRUE)</f>
        <v>0</v>
      </c>
      <c r="BB168">
        <f>OR(AND(IF(Metadata!P168="",FALSE,TRUE),OR(exact(Metadata!P168,"not collected"),exact(Metadata!P168,"not provided"),exact(Metadata!P168,"restricted access"))),AND(IF(Metadata!P168="",FALSE,TRUE),OR(exact(Metadata!P168,"air"),exact(Metadata!P168,"built environment"),exact(Metadata!P168,"host-associated"),exact(Metadata!P168,"human-associated"),exact(Metadata!P168,"human-skin"),exact(Metadata!P168,"human-oral"),exact(Metadata!P168,"human-gut"),exact(Metadata!P168,"human-vaginal"),exact(Metadata!P168,"microbial mat/biofilm"),exact(Metadata!P168,"misc environment"),exact(Metadata!P168,"plant-associated"),exact(Metadata!P168,"sediment"),exact(Metadata!P168,"soil"),exact(Metadata!P168,"wastewater/sludge"),exact(Metadata!P168,"water"))))</f>
        <v>0</v>
      </c>
      <c r="BC168">
        <f>IF(Metadata!Q168="",FALSE,TRUE)</f>
        <v>0</v>
      </c>
      <c r="BD168">
        <f>IF(Metadata!R168="",FALSE,TRUE)</f>
        <v>0</v>
      </c>
      <c r="BE168">
        <f>OR(AND(IF(Metadata!S168="",FALSE,TRUE),OR(exact(Metadata!S168,"not collected"),exact(Metadata!S168,"not provided"),exact(Metadata!S168,"restricted access"))),AND(IF(Metadata!S168="",FALSE,ISNUMBER(VALUE(Metadata!S168))),Metadata!S168&gt;=-90.00,Metadata!S168&lt;=90.00))</f>
        <v>0</v>
      </c>
      <c r="BF168">
        <f>AND(IF(Metadata!T168="",FALSE,TRUE),exact(Metadata!T168,"Decimal degrees"))</f>
        <v>0</v>
      </c>
      <c r="BG168">
        <f>OR(AND(IF(Metadata!U168="",FALSE,TRUE),OR(exact(Metadata!U168,"not collected"),exact(Metadata!U168,"not provided"),exact(Metadata!U168,"restricted access"))),AND(IF(Metadata!U168="",FALSE,ISNUMBER(VALUE(Metadata!U168))),Metadata!U168&gt;=-180.00,Metadata!U168&lt;=180.00))</f>
        <v>0</v>
      </c>
      <c r="BH168">
        <f>AND(IF(Metadata!V168="",FALSE,TRUE),exact(Metadata!V168,"Decimal degrees"))</f>
        <v>0</v>
      </c>
      <c r="BI168">
        <f>IF(Metadata!W168="",FALSE,TRUE)</f>
        <v>0</v>
      </c>
      <c r="BJ168">
        <f>OR(AND(IF(Metadata!X168="",FALSE,TRUE),OR(exact(Metadata!X168,"not collected"),exact(Metadata!X168,"not provided"),exact(Metadata!X168,"restricted access"))),AND(IF(Metadata!X168="",FALSE,TRUE),OR(exact(Metadata!X168,"TRUE"),exact(Metadata!X168,"FALSE"))))</f>
        <v>0</v>
      </c>
      <c r="BK168">
        <f>AND(IF(Metadata!Y168="",FALSE,TRUE),exact(Metadata!Y168,"other"))</f>
        <v>0</v>
      </c>
      <c r="BL168">
        <f>IF(Metadata!Z168="",FALSE,TRUE)</f>
        <v>0</v>
      </c>
      <c r="BM168">
        <f>OR(AND(IF(Metadata!AA168="",FALSE,TRUE),OR(exact(Metadata!AA168,"not collected"),exact(Metadata!AA168,"not provided"))),AND(IF(Metadata!AA168="",FALSE,IF(ISERROR(INT(Metadata!AA168)),FALSE,INT(Metadata!AA168)=Metadata!AA168)),Metadata!AA168&gt;0))</f>
        <v>0</v>
      </c>
      <c r="BN168">
        <f>AND(IF(Metadata!AB168="",FALSE,TRUE),exact(Metadata!AB168,"Not applicable"))</f>
        <v>0</v>
      </c>
      <c r="BO168">
        <f>IF(Metadata!AC168="",FALSE,TRUE)</f>
        <v>0</v>
      </c>
    </row>
    <row r="169" spans="1:67">
      <c r="A169" s="5">
        <f>IF(B169=" "," ",HYPERLINK(CONCATENATE("#metadata!",ADDRESS(INDEX($AI$2:$AI$1001,MATCH(ROWS($AG$2:AG169),$AG$2:$AG$1001,0),0),1)),INDEX($AL$2:$AL$1001,MATCH(ROWS($AG$2:AG169),$AG$2:$AG$1001,0),0)))</f>
        <v>0</v>
      </c>
      <c r="B169" s="4">
        <f>IF(OR(INDEX($AH$2:$AH$1001,MATCH(ROWS($AG$2:AG169),$AG$2:$AG$1001,0),1)&gt;=100000,INDEX($AN$1005:$BO$1005,1,MATCH(COLUMNS($AN$1006:AN1006),$AN$1006:$BO$1006,0))&gt;=100000), " ",IF(INDEX($AN$2:$BO$1001,MATCH(ROWS($AG$2:AG169),$AG$2:$AG$1001,0),MATCH(COLUMNS($AN$1006:AN1006),$AN$1006:$BO$1006,0)), HYPERLINK("#",""), HYPERLINK(CONCATENATE("#Metadata!", ADDRESS(INDEX($AI$2:$AI$1001,MATCH(ROWS($AG$2:AG169),$AG$2:$AG$1001,0),0), INDEX($AN$1004:$BO$1004,1,MATCH(COLUMNS($AN$1006:AN1006),$AN$1006:$BO$1006,0)))),"Fix")))</f>
        <v>0</v>
      </c>
      <c r="C169" s="4">
        <f>IF(OR(INDEX($AH$2:$AH$1001,MATCH(ROWS($AG$2:AG169),$AG$2:$AG$1001,0),1)&gt;=100000,INDEX($AN$1005:$BO$1005,1,MATCH(COLUMNS($AN$1006:AO1006),$AN$1006:$BO$1006,0))&gt;=100000), " ",IF(INDEX($AN$2:$BO$1001,MATCH(ROWS($AG$2:AG169),$AG$2:$AG$1001,0),MATCH(COLUMNS($AN$1006:AO1006),$AN$1006:$BO$1006,0)), HYPERLINK("#",""), HYPERLINK(CONCATENATE("#Metadata!", ADDRESS(INDEX($AI$2:$AI$1001,MATCH(ROWS($AG$2:AG169),$AG$2:$AG$1001,0),0), INDEX($AN$1004:$BO$1004,1,MATCH(COLUMNS($AN$1006:AO1006),$AN$1006:$BO$1006,0)))),"Fix")))</f>
        <v>0</v>
      </c>
      <c r="D169" s="4">
        <f>IF(OR(INDEX($AH$2:$AH$1001,MATCH(ROWS($AG$2:AG169),$AG$2:$AG$1001,0),1)&gt;=100000,INDEX($AN$1005:$BO$1005,1,MATCH(COLUMNS($AN$1006:AP1006),$AN$1006:$BO$1006,0))&gt;=100000), " ",IF(INDEX($AN$2:$BO$1001,MATCH(ROWS($AG$2:AG169),$AG$2:$AG$1001,0),MATCH(COLUMNS($AN$1006:AP1006),$AN$1006:$BO$1006,0)), HYPERLINK("#",""), HYPERLINK(CONCATENATE("#Metadata!", ADDRESS(INDEX($AI$2:$AI$1001,MATCH(ROWS($AG$2:AG169),$AG$2:$AG$1001,0),0), INDEX($AN$1004:$BO$1004,1,MATCH(COLUMNS($AN$1006:AP1006),$AN$1006:$BO$1006,0)))),"Fix")))</f>
        <v>0</v>
      </c>
      <c r="E169" s="4">
        <f>IF(OR(INDEX($AH$2:$AH$1001,MATCH(ROWS($AG$2:AG169),$AG$2:$AG$1001,0),1)&gt;=100000,INDEX($AN$1005:$BO$1005,1,MATCH(COLUMNS($AN$1006:AQ1006),$AN$1006:$BO$1006,0))&gt;=100000), " ",IF(INDEX($AN$2:$BO$1001,MATCH(ROWS($AG$2:AG169),$AG$2:$AG$1001,0),MATCH(COLUMNS($AN$1006:AQ1006),$AN$1006:$BO$1006,0)), HYPERLINK("#",""), HYPERLINK(CONCATENATE("#Metadata!", ADDRESS(INDEX($AI$2:$AI$1001,MATCH(ROWS($AG$2:AG169),$AG$2:$AG$1001,0),0), INDEX($AN$1004:$BO$1004,1,MATCH(COLUMNS($AN$1006:AQ1006),$AN$1006:$BO$1006,0)))),"Fix")))</f>
        <v>0</v>
      </c>
      <c r="F169" s="4">
        <f>IF(OR(INDEX($AH$2:$AH$1001,MATCH(ROWS($AG$2:AG169),$AG$2:$AG$1001,0),1)&gt;=100000,INDEX($AN$1005:$BO$1005,1,MATCH(COLUMNS($AN$1006:AR1006),$AN$1006:$BO$1006,0))&gt;=100000), " ",IF(INDEX($AN$2:$BO$1001,MATCH(ROWS($AG$2:AG169),$AG$2:$AG$1001,0),MATCH(COLUMNS($AN$1006:AR1006),$AN$1006:$BO$1006,0)), HYPERLINK("#",""), HYPERLINK(CONCATENATE("#Metadata!", ADDRESS(INDEX($AI$2:$AI$1001,MATCH(ROWS($AG$2:AG169),$AG$2:$AG$1001,0),0), INDEX($AN$1004:$BO$1004,1,MATCH(COLUMNS($AN$1006:AR1006),$AN$1006:$BO$1006,0)))),"Fix")))</f>
        <v>0</v>
      </c>
      <c r="G169" s="4">
        <f>IF(OR(INDEX($AH$2:$AH$1001,MATCH(ROWS($AG$2:AG169),$AG$2:$AG$1001,0),1)&gt;=100000,INDEX($AN$1005:$BO$1005,1,MATCH(COLUMNS($AN$1006:AS1006),$AN$1006:$BO$1006,0))&gt;=100000), " ",IF(INDEX($AN$2:$BO$1001,MATCH(ROWS($AG$2:AG169),$AG$2:$AG$1001,0),MATCH(COLUMNS($AN$1006:AS1006),$AN$1006:$BO$1006,0)), HYPERLINK("#",""), HYPERLINK(CONCATENATE("#Metadata!", ADDRESS(INDEX($AI$2:$AI$1001,MATCH(ROWS($AG$2:AG169),$AG$2:$AG$1001,0),0), INDEX($AN$1004:$BO$1004,1,MATCH(COLUMNS($AN$1006:AS1006),$AN$1006:$BO$1006,0)))),"Fix")))</f>
        <v>0</v>
      </c>
      <c r="H169" s="4">
        <f>IF(OR(INDEX($AH$2:$AH$1001,MATCH(ROWS($AG$2:AG169),$AG$2:$AG$1001,0),1)&gt;=100000,INDEX($AN$1005:$BO$1005,1,MATCH(COLUMNS($AN$1006:AT1006),$AN$1006:$BO$1006,0))&gt;=100000), " ",IF(INDEX($AN$2:$BO$1001,MATCH(ROWS($AG$2:AG169),$AG$2:$AG$1001,0),MATCH(COLUMNS($AN$1006:AT1006),$AN$1006:$BO$1006,0)), HYPERLINK("#",""), HYPERLINK(CONCATENATE("#Metadata!", ADDRESS(INDEX($AI$2:$AI$1001,MATCH(ROWS($AG$2:AG169),$AG$2:$AG$1001,0),0), INDEX($AN$1004:$BO$1004,1,MATCH(COLUMNS($AN$1006:AT1006),$AN$1006:$BO$1006,0)))),"Fix")))</f>
        <v>0</v>
      </c>
      <c r="I169" s="4">
        <f>IF(OR(INDEX($AH$2:$AH$1001,MATCH(ROWS($AG$2:AG169),$AG$2:$AG$1001,0),1)&gt;=100000,INDEX($AN$1005:$BO$1005,1,MATCH(COLUMNS($AN$1006:AU1006),$AN$1006:$BO$1006,0))&gt;=100000), " ",IF(INDEX($AN$2:$BO$1001,MATCH(ROWS($AG$2:AG169),$AG$2:$AG$1001,0),MATCH(COLUMNS($AN$1006:AU1006),$AN$1006:$BO$1006,0)), HYPERLINK("#",""), HYPERLINK(CONCATENATE("#Metadata!", ADDRESS(INDEX($AI$2:$AI$1001,MATCH(ROWS($AG$2:AG169),$AG$2:$AG$1001,0),0), INDEX($AN$1004:$BO$1004,1,MATCH(COLUMNS($AN$1006:AU1006),$AN$1006:$BO$1006,0)))),"Fix")))</f>
        <v>0</v>
      </c>
      <c r="J169" s="4">
        <f>IF(OR(INDEX($AH$2:$AH$1001,MATCH(ROWS($AG$2:AG169),$AG$2:$AG$1001,0),1)&gt;=100000,INDEX($AN$1005:$BO$1005,1,MATCH(COLUMNS($AN$1006:AV1006),$AN$1006:$BO$1006,0))&gt;=100000), " ",IF(INDEX($AN$2:$BO$1001,MATCH(ROWS($AG$2:AG169),$AG$2:$AG$1001,0),MATCH(COLUMNS($AN$1006:AV1006),$AN$1006:$BO$1006,0)), HYPERLINK("#",""), HYPERLINK(CONCATENATE("#Metadata!", ADDRESS(INDEX($AI$2:$AI$1001,MATCH(ROWS($AG$2:AG169),$AG$2:$AG$1001,0),0), INDEX($AN$1004:$BO$1004,1,MATCH(COLUMNS($AN$1006:AV1006),$AN$1006:$BO$1006,0)))),"Fix")))</f>
        <v>0</v>
      </c>
      <c r="K169" s="4">
        <f>IF(OR(INDEX($AH$2:$AH$1001,MATCH(ROWS($AG$2:AG169),$AG$2:$AG$1001,0),1)&gt;=100000,INDEX($AN$1005:$BO$1005,1,MATCH(COLUMNS($AN$1006:AW1006),$AN$1006:$BO$1006,0))&gt;=100000), " ",IF(INDEX($AN$2:$BO$1001,MATCH(ROWS($AG$2:AG169),$AG$2:$AG$1001,0),MATCH(COLUMNS($AN$1006:AW1006),$AN$1006:$BO$1006,0)), HYPERLINK("#",""), HYPERLINK(CONCATENATE("#Metadata!", ADDRESS(INDEX($AI$2:$AI$1001,MATCH(ROWS($AG$2:AG169),$AG$2:$AG$1001,0),0), INDEX($AN$1004:$BO$1004,1,MATCH(COLUMNS($AN$1006:AW1006),$AN$1006:$BO$1006,0)))),"Fix")))</f>
        <v>0</v>
      </c>
      <c r="L169" s="4">
        <f>IF(OR(INDEX($AH$2:$AH$1001,MATCH(ROWS($AG$2:AG169),$AG$2:$AG$1001,0),1)&gt;=100000,INDEX($AN$1005:$BO$1005,1,MATCH(COLUMNS($AN$1006:AX1006),$AN$1006:$BO$1006,0))&gt;=100000), " ",IF(INDEX($AN$2:$BO$1001,MATCH(ROWS($AG$2:AG169),$AG$2:$AG$1001,0),MATCH(COLUMNS($AN$1006:AX1006),$AN$1006:$BO$1006,0)), HYPERLINK("#",""), HYPERLINK(CONCATENATE("#Metadata!", ADDRESS(INDEX($AI$2:$AI$1001,MATCH(ROWS($AG$2:AG169),$AG$2:$AG$1001,0),0), INDEX($AN$1004:$BO$1004,1,MATCH(COLUMNS($AN$1006:AX1006),$AN$1006:$BO$1006,0)))),"Fix")))</f>
        <v>0</v>
      </c>
      <c r="M169" s="4">
        <f>IF(OR(INDEX($AH$2:$AH$1001,MATCH(ROWS($AG$2:AG169),$AG$2:$AG$1001,0),1)&gt;=100000,INDEX($AN$1005:$BO$1005,1,MATCH(COLUMNS($AN$1006:AY1006),$AN$1006:$BO$1006,0))&gt;=100000), " ",IF(INDEX($AN$2:$BO$1001,MATCH(ROWS($AG$2:AG169),$AG$2:$AG$1001,0),MATCH(COLUMNS($AN$1006:AY1006),$AN$1006:$BO$1006,0)), HYPERLINK("#",""), HYPERLINK(CONCATENATE("#Metadata!", ADDRESS(INDEX($AI$2:$AI$1001,MATCH(ROWS($AG$2:AG169),$AG$2:$AG$1001,0),0), INDEX($AN$1004:$BO$1004,1,MATCH(COLUMNS($AN$1006:AY1006),$AN$1006:$BO$1006,0)))),"Fix")))</f>
        <v>0</v>
      </c>
      <c r="N169" s="4">
        <f>IF(OR(INDEX($AH$2:$AH$1001,MATCH(ROWS($AG$2:AG169),$AG$2:$AG$1001,0),1)&gt;=100000,INDEX($AN$1005:$BO$1005,1,MATCH(COLUMNS($AN$1006:AZ1006),$AN$1006:$BO$1006,0))&gt;=100000), " ",IF(INDEX($AN$2:$BO$1001,MATCH(ROWS($AG$2:AG169),$AG$2:$AG$1001,0),MATCH(COLUMNS($AN$1006:AZ1006),$AN$1006:$BO$1006,0)), HYPERLINK("#",""), HYPERLINK(CONCATENATE("#Metadata!", ADDRESS(INDEX($AI$2:$AI$1001,MATCH(ROWS($AG$2:AG169),$AG$2:$AG$1001,0),0), INDEX($AN$1004:$BO$1004,1,MATCH(COLUMNS($AN$1006:AZ1006),$AN$1006:$BO$1006,0)))),"Fix")))</f>
        <v>0</v>
      </c>
      <c r="O169" s="4">
        <f>IF(OR(INDEX($AH$2:$AH$1001,MATCH(ROWS($AG$2:AG169),$AG$2:$AG$1001,0),1)&gt;=100000,INDEX($AN$1005:$BO$1005,1,MATCH(COLUMNS($AN$1006:BA1006),$AN$1006:$BO$1006,0))&gt;=100000), " ",IF(INDEX($AN$2:$BO$1001,MATCH(ROWS($AG$2:AG169),$AG$2:$AG$1001,0),MATCH(COLUMNS($AN$1006:BA1006),$AN$1006:$BO$1006,0)), HYPERLINK("#",""), HYPERLINK(CONCATENATE("#Metadata!", ADDRESS(INDEX($AI$2:$AI$1001,MATCH(ROWS($AG$2:AG169),$AG$2:$AG$1001,0),0), INDEX($AN$1004:$BO$1004,1,MATCH(COLUMNS($AN$1006:BA1006),$AN$1006:$BO$1006,0)))),"Fix")))</f>
        <v>0</v>
      </c>
      <c r="P169" s="4">
        <f>IF(OR(INDEX($AH$2:$AH$1001,MATCH(ROWS($AG$2:AG169),$AG$2:$AG$1001,0),1)&gt;=100000,INDEX($AN$1005:$BO$1005,1,MATCH(COLUMNS($AN$1006:BB1006),$AN$1006:$BO$1006,0))&gt;=100000), " ",IF(INDEX($AN$2:$BO$1001,MATCH(ROWS($AG$2:AG169),$AG$2:$AG$1001,0),MATCH(COLUMNS($AN$1006:BB1006),$AN$1006:$BO$1006,0)), HYPERLINK("#",""), HYPERLINK(CONCATENATE("#Metadata!", ADDRESS(INDEX($AI$2:$AI$1001,MATCH(ROWS($AG$2:AG169),$AG$2:$AG$1001,0),0), INDEX($AN$1004:$BO$1004,1,MATCH(COLUMNS($AN$1006:BB1006),$AN$1006:$BO$1006,0)))),"Fix")))</f>
        <v>0</v>
      </c>
      <c r="Q169" s="4">
        <f>IF(OR(INDEX($AH$2:$AH$1001,MATCH(ROWS($AG$2:AG169),$AG$2:$AG$1001,0),1)&gt;=100000,INDEX($AN$1005:$BO$1005,1,MATCH(COLUMNS($AN$1006:BC1006),$AN$1006:$BO$1006,0))&gt;=100000), " ",IF(INDEX($AN$2:$BO$1001,MATCH(ROWS($AG$2:AG169),$AG$2:$AG$1001,0),MATCH(COLUMNS($AN$1006:BC1006),$AN$1006:$BO$1006,0)), HYPERLINK("#",""), HYPERLINK(CONCATENATE("#Metadata!", ADDRESS(INDEX($AI$2:$AI$1001,MATCH(ROWS($AG$2:AG169),$AG$2:$AG$1001,0),0), INDEX($AN$1004:$BO$1004,1,MATCH(COLUMNS($AN$1006:BC1006),$AN$1006:$BO$1006,0)))),"Fix")))</f>
        <v>0</v>
      </c>
      <c r="R169" s="4">
        <f>IF(OR(INDEX($AH$2:$AH$1001,MATCH(ROWS($AG$2:AG169),$AG$2:$AG$1001,0),1)&gt;=100000,INDEX($AN$1005:$BO$1005,1,MATCH(COLUMNS($AN$1006:BD1006),$AN$1006:$BO$1006,0))&gt;=100000), " ",IF(INDEX($AN$2:$BO$1001,MATCH(ROWS($AG$2:AG169),$AG$2:$AG$1001,0),MATCH(COLUMNS($AN$1006:BD1006),$AN$1006:$BO$1006,0)), HYPERLINK("#",""), HYPERLINK(CONCATENATE("#Metadata!", ADDRESS(INDEX($AI$2:$AI$1001,MATCH(ROWS($AG$2:AG169),$AG$2:$AG$1001,0),0), INDEX($AN$1004:$BO$1004,1,MATCH(COLUMNS($AN$1006:BD1006),$AN$1006:$BO$1006,0)))),"Fix")))</f>
        <v>0</v>
      </c>
      <c r="S169" s="4">
        <f>IF(OR(INDEX($AH$2:$AH$1001,MATCH(ROWS($AG$2:AG169),$AG$2:$AG$1001,0),1)&gt;=100000,INDEX($AN$1005:$BO$1005,1,MATCH(COLUMNS($AN$1006:BE1006),$AN$1006:$BO$1006,0))&gt;=100000), " ",IF(INDEX($AN$2:$BO$1001,MATCH(ROWS($AG$2:AG169),$AG$2:$AG$1001,0),MATCH(COLUMNS($AN$1006:BE1006),$AN$1006:$BO$1006,0)), HYPERLINK("#",""), HYPERLINK(CONCATENATE("#Metadata!", ADDRESS(INDEX($AI$2:$AI$1001,MATCH(ROWS($AG$2:AG169),$AG$2:$AG$1001,0),0), INDEX($AN$1004:$BO$1004,1,MATCH(COLUMNS($AN$1006:BE1006),$AN$1006:$BO$1006,0)))),"Fix")))</f>
        <v>0</v>
      </c>
      <c r="T169" s="4">
        <f>IF(OR(INDEX($AH$2:$AH$1001,MATCH(ROWS($AG$2:AG169),$AG$2:$AG$1001,0),1)&gt;=100000,INDEX($AN$1005:$BO$1005,1,MATCH(COLUMNS($AN$1006:BF1006),$AN$1006:$BO$1006,0))&gt;=100000), " ",IF(INDEX($AN$2:$BO$1001,MATCH(ROWS($AG$2:AG169),$AG$2:$AG$1001,0),MATCH(COLUMNS($AN$1006:BF1006),$AN$1006:$BO$1006,0)), HYPERLINK("#",""), HYPERLINK(CONCATENATE("#Metadata!", ADDRESS(INDEX($AI$2:$AI$1001,MATCH(ROWS($AG$2:AG169),$AG$2:$AG$1001,0),0), INDEX($AN$1004:$BO$1004,1,MATCH(COLUMNS($AN$1006:BF1006),$AN$1006:$BO$1006,0)))),"Fix")))</f>
        <v>0</v>
      </c>
      <c r="U169" s="4">
        <f>IF(OR(INDEX($AH$2:$AH$1001,MATCH(ROWS($AG$2:AG169),$AG$2:$AG$1001,0),1)&gt;=100000,INDEX($AN$1005:$BO$1005,1,MATCH(COLUMNS($AN$1006:BG1006),$AN$1006:$BO$1006,0))&gt;=100000), " ",IF(INDEX($AN$2:$BO$1001,MATCH(ROWS($AG$2:AG169),$AG$2:$AG$1001,0),MATCH(COLUMNS($AN$1006:BG1006),$AN$1006:$BO$1006,0)), HYPERLINK("#",""), HYPERLINK(CONCATENATE("#Metadata!", ADDRESS(INDEX($AI$2:$AI$1001,MATCH(ROWS($AG$2:AG169),$AG$2:$AG$1001,0),0), INDEX($AN$1004:$BO$1004,1,MATCH(COLUMNS($AN$1006:BG1006),$AN$1006:$BO$1006,0)))),"Fix")))</f>
        <v>0</v>
      </c>
      <c r="V169" s="4">
        <f>IF(OR(INDEX($AH$2:$AH$1001,MATCH(ROWS($AG$2:AG169),$AG$2:$AG$1001,0),1)&gt;=100000,INDEX($AN$1005:$BO$1005,1,MATCH(COLUMNS($AN$1006:BH1006),$AN$1006:$BO$1006,0))&gt;=100000), " ",IF(INDEX($AN$2:$BO$1001,MATCH(ROWS($AG$2:AG169),$AG$2:$AG$1001,0),MATCH(COLUMNS($AN$1006:BH1006),$AN$1006:$BO$1006,0)), HYPERLINK("#",""), HYPERLINK(CONCATENATE("#Metadata!", ADDRESS(INDEX($AI$2:$AI$1001,MATCH(ROWS($AG$2:AG169),$AG$2:$AG$1001,0),0), INDEX($AN$1004:$BO$1004,1,MATCH(COLUMNS($AN$1006:BH1006),$AN$1006:$BO$1006,0)))),"Fix")))</f>
        <v>0</v>
      </c>
      <c r="W169" s="4">
        <f>IF(OR(INDEX($AH$2:$AH$1001,MATCH(ROWS($AG$2:AG169),$AG$2:$AG$1001,0),1)&gt;=100000,INDEX($AN$1005:$BO$1005,1,MATCH(COLUMNS($AN$1006:BI1006),$AN$1006:$BO$1006,0))&gt;=100000), " ",IF(INDEX($AN$2:$BO$1001,MATCH(ROWS($AG$2:AG169),$AG$2:$AG$1001,0),MATCH(COLUMNS($AN$1006:BI1006),$AN$1006:$BO$1006,0)), HYPERLINK("#",""), HYPERLINK(CONCATENATE("#Metadata!", ADDRESS(INDEX($AI$2:$AI$1001,MATCH(ROWS($AG$2:AG169),$AG$2:$AG$1001,0),0), INDEX($AN$1004:$BO$1004,1,MATCH(COLUMNS($AN$1006:BI1006),$AN$1006:$BO$1006,0)))),"Fix")))</f>
        <v>0</v>
      </c>
      <c r="X169" s="4">
        <f>IF(OR(INDEX($AH$2:$AH$1001,MATCH(ROWS($AG$2:AG169),$AG$2:$AG$1001,0),1)&gt;=100000,INDEX($AN$1005:$BO$1005,1,MATCH(COLUMNS($AN$1006:BJ1006),$AN$1006:$BO$1006,0))&gt;=100000), " ",IF(INDEX($AN$2:$BO$1001,MATCH(ROWS($AG$2:AG169),$AG$2:$AG$1001,0),MATCH(COLUMNS($AN$1006:BJ1006),$AN$1006:$BO$1006,0)), HYPERLINK("#",""), HYPERLINK(CONCATENATE("#Metadata!", ADDRESS(INDEX($AI$2:$AI$1001,MATCH(ROWS($AG$2:AG169),$AG$2:$AG$1001,0),0), INDEX($AN$1004:$BO$1004,1,MATCH(COLUMNS($AN$1006:BJ1006),$AN$1006:$BO$1006,0)))),"Fix")))</f>
        <v>0</v>
      </c>
      <c r="Y169" s="4">
        <f>IF(OR(INDEX($AH$2:$AH$1001,MATCH(ROWS($AG$2:AG169),$AG$2:$AG$1001,0),1)&gt;=100000,INDEX($AN$1005:$BO$1005,1,MATCH(COLUMNS($AN$1006:BK1006),$AN$1006:$BO$1006,0))&gt;=100000), " ",IF(INDEX($AN$2:$BO$1001,MATCH(ROWS($AG$2:AG169),$AG$2:$AG$1001,0),MATCH(COLUMNS($AN$1006:BK1006),$AN$1006:$BO$1006,0)), HYPERLINK("#",""), HYPERLINK(CONCATENATE("#Metadata!", ADDRESS(INDEX($AI$2:$AI$1001,MATCH(ROWS($AG$2:AG169),$AG$2:$AG$1001,0),0), INDEX($AN$1004:$BO$1004,1,MATCH(COLUMNS($AN$1006:BK1006),$AN$1006:$BO$1006,0)))),"Fix")))</f>
        <v>0</v>
      </c>
      <c r="Z169" s="4">
        <f>IF(OR(INDEX($AH$2:$AH$1001,MATCH(ROWS($AG$2:AG169),$AG$2:$AG$1001,0),1)&gt;=100000,INDEX($AN$1005:$BO$1005,1,MATCH(COLUMNS($AN$1006:BL1006),$AN$1006:$BO$1006,0))&gt;=100000), " ",IF(INDEX($AN$2:$BO$1001,MATCH(ROWS($AG$2:AG169),$AG$2:$AG$1001,0),MATCH(COLUMNS($AN$1006:BL1006),$AN$1006:$BO$1006,0)), HYPERLINK("#",""), HYPERLINK(CONCATENATE("#Metadata!", ADDRESS(INDEX($AI$2:$AI$1001,MATCH(ROWS($AG$2:AG169),$AG$2:$AG$1001,0),0), INDEX($AN$1004:$BO$1004,1,MATCH(COLUMNS($AN$1006:BL1006),$AN$1006:$BO$1006,0)))),"Fix")))</f>
        <v>0</v>
      </c>
      <c r="AA169" s="4">
        <f>IF(OR(INDEX($AH$2:$AH$1001,MATCH(ROWS($AG$2:AG169),$AG$2:$AG$1001,0),1)&gt;=100000,INDEX($AN$1005:$BO$1005,1,MATCH(COLUMNS($AN$1006:BM1006),$AN$1006:$BO$1006,0))&gt;=100000), " ",IF(INDEX($AN$2:$BO$1001,MATCH(ROWS($AG$2:AG169),$AG$2:$AG$1001,0),MATCH(COLUMNS($AN$1006:BM1006),$AN$1006:$BO$1006,0)), HYPERLINK("#",""), HYPERLINK(CONCATENATE("#Metadata!", ADDRESS(INDEX($AI$2:$AI$1001,MATCH(ROWS($AG$2:AG169),$AG$2:$AG$1001,0),0), INDEX($AN$1004:$BO$1004,1,MATCH(COLUMNS($AN$1006:BM1006),$AN$1006:$BO$1006,0)))),"Fix")))</f>
        <v>0</v>
      </c>
      <c r="AB169" s="4">
        <f>IF(OR(INDEX($AH$2:$AH$1001,MATCH(ROWS($AG$2:AG169),$AG$2:$AG$1001,0),1)&gt;=100000,INDEX($AN$1005:$BO$1005,1,MATCH(COLUMNS($AN$1006:BN1006),$AN$1006:$BO$1006,0))&gt;=100000), " ",IF(INDEX($AN$2:$BO$1001,MATCH(ROWS($AG$2:AG169),$AG$2:$AG$1001,0),MATCH(COLUMNS($AN$1006:BN1006),$AN$1006:$BO$1006,0)), HYPERLINK("#",""), HYPERLINK(CONCATENATE("#Metadata!", ADDRESS(INDEX($AI$2:$AI$1001,MATCH(ROWS($AG$2:AG169),$AG$2:$AG$1001,0),0), INDEX($AN$1004:$BO$1004,1,MATCH(COLUMNS($AN$1006:BN1006),$AN$1006:$BO$1006,0)))),"Fix")))</f>
        <v>0</v>
      </c>
      <c r="AC169" s="4">
        <f>IF(OR(INDEX($AH$2:$AH$1001,MATCH(ROWS($AG$2:AG169),$AG$2:$AG$1001,0),1)&gt;=100000,INDEX($AN$1005:$BO$1005,1,MATCH(COLUMNS($AN$1006:BO1006),$AN$1006:$BO$1006,0))&gt;=100000), " ",IF(INDEX($AN$2:$BO$1001,MATCH(ROWS($AG$2:AG169),$AG$2:$AG$1001,0),MATCH(COLUMNS($AN$1006:BO1006),$AN$1006:$BO$1006,0)), HYPERLINK("#",""), HYPERLINK(CONCATENATE("#Metadata!", ADDRESS(INDEX($AI$2:$AI$1001,MATCH(ROWS($AG$2:AG169),$AG$2:$AG$1001,0),0), INDEX($AN$1004:$BO$1004,1,MATCH(COLUMNS($AN$1006:BO1006),$AN$1006:$BO$1006,0)))),"Fix")))</f>
        <v>0</v>
      </c>
      <c r="AG169">
        <v>0</v>
      </c>
      <c r="AH169">
        <v>0</v>
      </c>
      <c r="AI169">
        <v>0</v>
      </c>
      <c r="AJ169">
        <f>IF(AK169,TRUE,AND(AN169:BO169))</f>
        <v>0</v>
      </c>
      <c r="AK169">
        <f>COUNTBLANK(Metadata!B169:AC169)=COLUMNS(Metadata!B169:AC169)</f>
        <v>0</v>
      </c>
      <c r="AL169">
        <v>0</v>
      </c>
      <c r="AN169">
        <f>AND(IF(Metadata!B169="",FALSE,TRUE),COUNTIF(Metadata!B:B, Metadata!B169) = 1,NOT(ISERROR(SUMPRODUCT(SEARCH(MID(Metadata!B169,ROW(INDIRECT("1:"&amp;LEN(Metadata!B169))), 1),"0123456789abcdefghijklmnopqrstuvwxyzABCDEFGHIJKLMNOPQRSTUVWXYZ.")))))</f>
        <v>0</v>
      </c>
      <c r="AO169">
        <f>IF(Metadata!C169="",FALSE,TRUE)</f>
        <v>0</v>
      </c>
      <c r="AP169">
        <f>IF(Metadata!D169="",FALSE,TRUE)</f>
        <v>0</v>
      </c>
      <c r="AQ169">
        <f>OR(AND(IF(Metadata!E169="",FALSE,TRUE),OR(exact(Metadata!E169,"not collected"),exact(Metadata!E169,"not provided"),exact(Metadata!E169,"restricted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R169">
        <f>IF(Metadata!F169="",FALSE,TRUE)</f>
        <v>0</v>
      </c>
      <c r="AS169">
        <f>OR(AND(IF(Metadata!G169="",FALSE,TRUE),OR(exact(Metadata!G169,"not collected"),exact(Metadata!G169,"not provided"))),AND(IF(Metadata!G169="",FALSE,TRUE),OR(exact(Metadata!G169,"TRUE"),exact(Metadata!G169,"FALSE"))))</f>
        <v>0</v>
      </c>
      <c r="AT169">
        <f>OR(AND(IF(Metadata!H169="",FALSE,TRUE),OR(exact(Metadata!H169,"not collected"),exact(Metadata!H169,"not provided"),exact(Metadata!H169,"restricted access"))),AND(IF(Metadata!H169="",FALSE,ISNUMBER(VALUE(Metadata!H169))),Metadata!H169&gt;=-413.0))</f>
        <v>0</v>
      </c>
      <c r="AU169">
        <f>AND(IF(Metadata!I169="",FALSE,TRUE),exact(Metadata!I169,"meters"))</f>
        <v>0</v>
      </c>
      <c r="AV169">
        <f>AND(IF(Metadata!J169="",FALSE,TRUE),OR(exact(Metadata!J169,"Host-associated"),exact(Metadata!J169,"Free-living")))</f>
        <v>0</v>
      </c>
      <c r="AW169">
        <f>AND(IF(Metadata!K169="",FALSE,TRUE),OR(exact(Metadata!K169,"Animal"),exact(Metadata!K169,"Fungus"),exact(Metadata!K169,"Plant"),exact(Metadata!K169,"Saline"),exact(Metadata!K169,"Non-saline")))</f>
        <v>0</v>
      </c>
      <c r="AX169">
        <f>AND(IF(Metadata!L169="",FALSE,TRUE),OR(exact(Metadata!L169,"Plant secretion"),exact(Metadata!L169,"Plant rhizosphere"),exact(Metadata!L169,"Plant surface"),exact(Metadata!L169,"Plant corpus"),exact(Metadata!L169,"Fungus surface"),exact(Metadata!L169,"Fungus corpus"),exact(Metadata!L169,"Animal surface"),exact(Metadata!L169,"Animal proximal gut"),exact(Metadata!L169,"Animal corpus"),exact(Metadata!L169,"Animal distal gut"),exact(Metadata!L169,"Animal secretion"),exact(Metadata!L169,"Sub-surface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Y169">
        <f>IF(Metadata!M169="",FALSE,TRUE)</f>
        <v>0</v>
      </c>
      <c r="AZ169">
        <f>IF(Metadata!N169="",FALSE,TRUE)</f>
        <v>0</v>
      </c>
      <c r="BA169">
        <f>IF(Metadata!O169="",FALSE,TRUE)</f>
        <v>0</v>
      </c>
      <c r="BB169">
        <f>OR(AND(IF(Metadata!P169="",FALSE,TRUE),OR(exact(Metadata!P169,"not collected"),exact(Metadata!P169,"not provided"),exact(Metadata!P169,"restricted access"))),AND(IF(Metadata!P169="",FALSE,TRUE),OR(exact(Metadata!P169,"air"),exact(Metadata!P169,"built environment"),exact(Metadata!P169,"host-associated"),exact(Metadata!P169,"human-associated"),exact(Metadata!P169,"human-skin"),exact(Metadata!P169,"human-oral"),exact(Metadata!P169,"human-gut"),exact(Metadata!P169,"human-vaginal"),exact(Metadata!P169,"microbial mat/biofilm"),exact(Metadata!P169,"misc environment"),exact(Metadata!P169,"plant-associated"),exact(Metadata!P169,"sediment"),exact(Metadata!P169,"soil"),exact(Metadata!P169,"wastewater/sludge"),exact(Metadata!P169,"water"))))</f>
        <v>0</v>
      </c>
      <c r="BC169">
        <f>IF(Metadata!Q169="",FALSE,TRUE)</f>
        <v>0</v>
      </c>
      <c r="BD169">
        <f>IF(Metadata!R169="",FALSE,TRUE)</f>
        <v>0</v>
      </c>
      <c r="BE169">
        <f>OR(AND(IF(Metadata!S169="",FALSE,TRUE),OR(exact(Metadata!S169,"not collected"),exact(Metadata!S169,"not provided"),exact(Metadata!S169,"restricted access"))),AND(IF(Metadata!S169="",FALSE,ISNUMBER(VALUE(Metadata!S169))),Metadata!S169&gt;=-90.00,Metadata!S169&lt;=90.00))</f>
        <v>0</v>
      </c>
      <c r="BF169">
        <f>AND(IF(Metadata!T169="",FALSE,TRUE),exact(Metadata!T169,"Decimal degrees"))</f>
        <v>0</v>
      </c>
      <c r="BG169">
        <f>OR(AND(IF(Metadata!U169="",FALSE,TRUE),OR(exact(Metadata!U169,"not collected"),exact(Metadata!U169,"not provided"),exact(Metadata!U169,"restricted access"))),AND(IF(Metadata!U169="",FALSE,ISNUMBER(VALUE(Metadata!U169))),Metadata!U169&gt;=-180.00,Metadata!U169&lt;=180.00))</f>
        <v>0</v>
      </c>
      <c r="BH169">
        <f>AND(IF(Metadata!V169="",FALSE,TRUE),exact(Metadata!V169,"Decimal degrees"))</f>
        <v>0</v>
      </c>
      <c r="BI169">
        <f>IF(Metadata!W169="",FALSE,TRUE)</f>
        <v>0</v>
      </c>
      <c r="BJ169">
        <f>OR(AND(IF(Metadata!X169="",FALSE,TRUE),OR(exact(Metadata!X169,"not collected"),exact(Metadata!X169,"not provided"),exact(Metadata!X169,"restricted access"))),AND(IF(Metadata!X169="",FALSE,TRUE),OR(exact(Metadata!X169,"TRUE"),exact(Metadata!X169,"FALSE"))))</f>
        <v>0</v>
      </c>
      <c r="BK169">
        <f>AND(IF(Metadata!Y169="",FALSE,TRUE),exact(Metadata!Y169,"other"))</f>
        <v>0</v>
      </c>
      <c r="BL169">
        <f>IF(Metadata!Z169="",FALSE,TRUE)</f>
        <v>0</v>
      </c>
      <c r="BM169">
        <f>OR(AND(IF(Metadata!AA169="",FALSE,TRUE),OR(exact(Metadata!AA169,"not collected"),exact(Metadata!AA169,"not provided"))),AND(IF(Metadata!AA169="",FALSE,IF(ISERROR(INT(Metadata!AA169)),FALSE,INT(Metadata!AA169)=Metadata!AA169)),Metadata!AA169&gt;0))</f>
        <v>0</v>
      </c>
      <c r="BN169">
        <f>AND(IF(Metadata!AB169="",FALSE,TRUE),exact(Metadata!AB169,"Not applicable"))</f>
        <v>0</v>
      </c>
      <c r="BO169">
        <f>IF(Metadata!AC169="",FALSE,TRUE)</f>
        <v>0</v>
      </c>
    </row>
    <row r="170" spans="1:67">
      <c r="A170" s="5">
        <f>IF(B170=" "," ",HYPERLINK(CONCATENATE("#metadata!",ADDRESS(INDEX($AI$2:$AI$1001,MATCH(ROWS($AG$2:AG170),$AG$2:$AG$1001,0),0),1)),INDEX($AL$2:$AL$1001,MATCH(ROWS($AG$2:AG170),$AG$2:$AG$1001,0),0)))</f>
        <v>0</v>
      </c>
      <c r="B170" s="4">
        <f>IF(OR(INDEX($AH$2:$AH$1001,MATCH(ROWS($AG$2:AG170),$AG$2:$AG$1001,0),1)&gt;=100000,INDEX($AN$1005:$BO$1005,1,MATCH(COLUMNS($AN$1006:AN1006),$AN$1006:$BO$1006,0))&gt;=100000), " ",IF(INDEX($AN$2:$BO$1001,MATCH(ROWS($AG$2:AG170),$AG$2:$AG$1001,0),MATCH(COLUMNS($AN$1006:AN1006),$AN$1006:$BO$1006,0)), HYPERLINK("#",""), HYPERLINK(CONCATENATE("#Metadata!", ADDRESS(INDEX($AI$2:$AI$1001,MATCH(ROWS($AG$2:AG170),$AG$2:$AG$1001,0),0), INDEX($AN$1004:$BO$1004,1,MATCH(COLUMNS($AN$1006:AN1006),$AN$1006:$BO$1006,0)))),"Fix")))</f>
        <v>0</v>
      </c>
      <c r="C170" s="4">
        <f>IF(OR(INDEX($AH$2:$AH$1001,MATCH(ROWS($AG$2:AG170),$AG$2:$AG$1001,0),1)&gt;=100000,INDEX($AN$1005:$BO$1005,1,MATCH(COLUMNS($AN$1006:AO1006),$AN$1006:$BO$1006,0))&gt;=100000), " ",IF(INDEX($AN$2:$BO$1001,MATCH(ROWS($AG$2:AG170),$AG$2:$AG$1001,0),MATCH(COLUMNS($AN$1006:AO1006),$AN$1006:$BO$1006,0)), HYPERLINK("#",""), HYPERLINK(CONCATENATE("#Metadata!", ADDRESS(INDEX($AI$2:$AI$1001,MATCH(ROWS($AG$2:AG170),$AG$2:$AG$1001,0),0), INDEX($AN$1004:$BO$1004,1,MATCH(COLUMNS($AN$1006:AO1006),$AN$1006:$BO$1006,0)))),"Fix")))</f>
        <v>0</v>
      </c>
      <c r="D170" s="4">
        <f>IF(OR(INDEX($AH$2:$AH$1001,MATCH(ROWS($AG$2:AG170),$AG$2:$AG$1001,0),1)&gt;=100000,INDEX($AN$1005:$BO$1005,1,MATCH(COLUMNS($AN$1006:AP1006),$AN$1006:$BO$1006,0))&gt;=100000), " ",IF(INDEX($AN$2:$BO$1001,MATCH(ROWS($AG$2:AG170),$AG$2:$AG$1001,0),MATCH(COLUMNS($AN$1006:AP1006),$AN$1006:$BO$1006,0)), HYPERLINK("#",""), HYPERLINK(CONCATENATE("#Metadata!", ADDRESS(INDEX($AI$2:$AI$1001,MATCH(ROWS($AG$2:AG170),$AG$2:$AG$1001,0),0), INDEX($AN$1004:$BO$1004,1,MATCH(COLUMNS($AN$1006:AP1006),$AN$1006:$BO$1006,0)))),"Fix")))</f>
        <v>0</v>
      </c>
      <c r="E170" s="4">
        <f>IF(OR(INDEX($AH$2:$AH$1001,MATCH(ROWS($AG$2:AG170),$AG$2:$AG$1001,0),1)&gt;=100000,INDEX($AN$1005:$BO$1005,1,MATCH(COLUMNS($AN$1006:AQ1006),$AN$1006:$BO$1006,0))&gt;=100000), " ",IF(INDEX($AN$2:$BO$1001,MATCH(ROWS($AG$2:AG170),$AG$2:$AG$1001,0),MATCH(COLUMNS($AN$1006:AQ1006),$AN$1006:$BO$1006,0)), HYPERLINK("#",""), HYPERLINK(CONCATENATE("#Metadata!", ADDRESS(INDEX($AI$2:$AI$1001,MATCH(ROWS($AG$2:AG170),$AG$2:$AG$1001,0),0), INDEX($AN$1004:$BO$1004,1,MATCH(COLUMNS($AN$1006:AQ1006),$AN$1006:$BO$1006,0)))),"Fix")))</f>
        <v>0</v>
      </c>
      <c r="F170" s="4">
        <f>IF(OR(INDEX($AH$2:$AH$1001,MATCH(ROWS($AG$2:AG170),$AG$2:$AG$1001,0),1)&gt;=100000,INDEX($AN$1005:$BO$1005,1,MATCH(COLUMNS($AN$1006:AR1006),$AN$1006:$BO$1006,0))&gt;=100000), " ",IF(INDEX($AN$2:$BO$1001,MATCH(ROWS($AG$2:AG170),$AG$2:$AG$1001,0),MATCH(COLUMNS($AN$1006:AR1006),$AN$1006:$BO$1006,0)), HYPERLINK("#",""), HYPERLINK(CONCATENATE("#Metadata!", ADDRESS(INDEX($AI$2:$AI$1001,MATCH(ROWS($AG$2:AG170),$AG$2:$AG$1001,0),0), INDEX($AN$1004:$BO$1004,1,MATCH(COLUMNS($AN$1006:AR1006),$AN$1006:$BO$1006,0)))),"Fix")))</f>
        <v>0</v>
      </c>
      <c r="G170" s="4">
        <f>IF(OR(INDEX($AH$2:$AH$1001,MATCH(ROWS($AG$2:AG170),$AG$2:$AG$1001,0),1)&gt;=100000,INDEX($AN$1005:$BO$1005,1,MATCH(COLUMNS($AN$1006:AS1006),$AN$1006:$BO$1006,0))&gt;=100000), " ",IF(INDEX($AN$2:$BO$1001,MATCH(ROWS($AG$2:AG170),$AG$2:$AG$1001,0),MATCH(COLUMNS($AN$1006:AS1006),$AN$1006:$BO$1006,0)), HYPERLINK("#",""), HYPERLINK(CONCATENATE("#Metadata!", ADDRESS(INDEX($AI$2:$AI$1001,MATCH(ROWS($AG$2:AG170),$AG$2:$AG$1001,0),0), INDEX($AN$1004:$BO$1004,1,MATCH(COLUMNS($AN$1006:AS1006),$AN$1006:$BO$1006,0)))),"Fix")))</f>
        <v>0</v>
      </c>
      <c r="H170" s="4">
        <f>IF(OR(INDEX($AH$2:$AH$1001,MATCH(ROWS($AG$2:AG170),$AG$2:$AG$1001,0),1)&gt;=100000,INDEX($AN$1005:$BO$1005,1,MATCH(COLUMNS($AN$1006:AT1006),$AN$1006:$BO$1006,0))&gt;=100000), " ",IF(INDEX($AN$2:$BO$1001,MATCH(ROWS($AG$2:AG170),$AG$2:$AG$1001,0),MATCH(COLUMNS($AN$1006:AT1006),$AN$1006:$BO$1006,0)), HYPERLINK("#",""), HYPERLINK(CONCATENATE("#Metadata!", ADDRESS(INDEX($AI$2:$AI$1001,MATCH(ROWS($AG$2:AG170),$AG$2:$AG$1001,0),0), INDEX($AN$1004:$BO$1004,1,MATCH(COLUMNS($AN$1006:AT1006),$AN$1006:$BO$1006,0)))),"Fix")))</f>
        <v>0</v>
      </c>
      <c r="I170" s="4">
        <f>IF(OR(INDEX($AH$2:$AH$1001,MATCH(ROWS($AG$2:AG170),$AG$2:$AG$1001,0),1)&gt;=100000,INDEX($AN$1005:$BO$1005,1,MATCH(COLUMNS($AN$1006:AU1006),$AN$1006:$BO$1006,0))&gt;=100000), " ",IF(INDEX($AN$2:$BO$1001,MATCH(ROWS($AG$2:AG170),$AG$2:$AG$1001,0),MATCH(COLUMNS($AN$1006:AU1006),$AN$1006:$BO$1006,0)), HYPERLINK("#",""), HYPERLINK(CONCATENATE("#Metadata!", ADDRESS(INDEX($AI$2:$AI$1001,MATCH(ROWS($AG$2:AG170),$AG$2:$AG$1001,0),0), INDEX($AN$1004:$BO$1004,1,MATCH(COLUMNS($AN$1006:AU1006),$AN$1006:$BO$1006,0)))),"Fix")))</f>
        <v>0</v>
      </c>
      <c r="J170" s="4">
        <f>IF(OR(INDEX($AH$2:$AH$1001,MATCH(ROWS($AG$2:AG170),$AG$2:$AG$1001,0),1)&gt;=100000,INDEX($AN$1005:$BO$1005,1,MATCH(COLUMNS($AN$1006:AV1006),$AN$1006:$BO$1006,0))&gt;=100000), " ",IF(INDEX($AN$2:$BO$1001,MATCH(ROWS($AG$2:AG170),$AG$2:$AG$1001,0),MATCH(COLUMNS($AN$1006:AV1006),$AN$1006:$BO$1006,0)), HYPERLINK("#",""), HYPERLINK(CONCATENATE("#Metadata!", ADDRESS(INDEX($AI$2:$AI$1001,MATCH(ROWS($AG$2:AG170),$AG$2:$AG$1001,0),0), INDEX($AN$1004:$BO$1004,1,MATCH(COLUMNS($AN$1006:AV1006),$AN$1006:$BO$1006,0)))),"Fix")))</f>
        <v>0</v>
      </c>
      <c r="K170" s="4">
        <f>IF(OR(INDEX($AH$2:$AH$1001,MATCH(ROWS($AG$2:AG170),$AG$2:$AG$1001,0),1)&gt;=100000,INDEX($AN$1005:$BO$1005,1,MATCH(COLUMNS($AN$1006:AW1006),$AN$1006:$BO$1006,0))&gt;=100000), " ",IF(INDEX($AN$2:$BO$1001,MATCH(ROWS($AG$2:AG170),$AG$2:$AG$1001,0),MATCH(COLUMNS($AN$1006:AW1006),$AN$1006:$BO$1006,0)), HYPERLINK("#",""), HYPERLINK(CONCATENATE("#Metadata!", ADDRESS(INDEX($AI$2:$AI$1001,MATCH(ROWS($AG$2:AG170),$AG$2:$AG$1001,0),0), INDEX($AN$1004:$BO$1004,1,MATCH(COLUMNS($AN$1006:AW1006),$AN$1006:$BO$1006,0)))),"Fix")))</f>
        <v>0</v>
      </c>
      <c r="L170" s="4">
        <f>IF(OR(INDEX($AH$2:$AH$1001,MATCH(ROWS($AG$2:AG170),$AG$2:$AG$1001,0),1)&gt;=100000,INDEX($AN$1005:$BO$1005,1,MATCH(COLUMNS($AN$1006:AX1006),$AN$1006:$BO$1006,0))&gt;=100000), " ",IF(INDEX($AN$2:$BO$1001,MATCH(ROWS($AG$2:AG170),$AG$2:$AG$1001,0),MATCH(COLUMNS($AN$1006:AX1006),$AN$1006:$BO$1006,0)), HYPERLINK("#",""), HYPERLINK(CONCATENATE("#Metadata!", ADDRESS(INDEX($AI$2:$AI$1001,MATCH(ROWS($AG$2:AG170),$AG$2:$AG$1001,0),0), INDEX($AN$1004:$BO$1004,1,MATCH(COLUMNS($AN$1006:AX1006),$AN$1006:$BO$1006,0)))),"Fix")))</f>
        <v>0</v>
      </c>
      <c r="M170" s="4">
        <f>IF(OR(INDEX($AH$2:$AH$1001,MATCH(ROWS($AG$2:AG170),$AG$2:$AG$1001,0),1)&gt;=100000,INDEX($AN$1005:$BO$1005,1,MATCH(COLUMNS($AN$1006:AY1006),$AN$1006:$BO$1006,0))&gt;=100000), " ",IF(INDEX($AN$2:$BO$1001,MATCH(ROWS($AG$2:AG170),$AG$2:$AG$1001,0),MATCH(COLUMNS($AN$1006:AY1006),$AN$1006:$BO$1006,0)), HYPERLINK("#",""), HYPERLINK(CONCATENATE("#Metadata!", ADDRESS(INDEX($AI$2:$AI$1001,MATCH(ROWS($AG$2:AG170),$AG$2:$AG$1001,0),0), INDEX($AN$1004:$BO$1004,1,MATCH(COLUMNS($AN$1006:AY1006),$AN$1006:$BO$1006,0)))),"Fix")))</f>
        <v>0</v>
      </c>
      <c r="N170" s="4">
        <f>IF(OR(INDEX($AH$2:$AH$1001,MATCH(ROWS($AG$2:AG170),$AG$2:$AG$1001,0),1)&gt;=100000,INDEX($AN$1005:$BO$1005,1,MATCH(COLUMNS($AN$1006:AZ1006),$AN$1006:$BO$1006,0))&gt;=100000), " ",IF(INDEX($AN$2:$BO$1001,MATCH(ROWS($AG$2:AG170),$AG$2:$AG$1001,0),MATCH(COLUMNS($AN$1006:AZ1006),$AN$1006:$BO$1006,0)), HYPERLINK("#",""), HYPERLINK(CONCATENATE("#Metadata!", ADDRESS(INDEX($AI$2:$AI$1001,MATCH(ROWS($AG$2:AG170),$AG$2:$AG$1001,0),0), INDEX($AN$1004:$BO$1004,1,MATCH(COLUMNS($AN$1006:AZ1006),$AN$1006:$BO$1006,0)))),"Fix")))</f>
        <v>0</v>
      </c>
      <c r="O170" s="4">
        <f>IF(OR(INDEX($AH$2:$AH$1001,MATCH(ROWS($AG$2:AG170),$AG$2:$AG$1001,0),1)&gt;=100000,INDEX($AN$1005:$BO$1005,1,MATCH(COLUMNS($AN$1006:BA1006),$AN$1006:$BO$1006,0))&gt;=100000), " ",IF(INDEX($AN$2:$BO$1001,MATCH(ROWS($AG$2:AG170),$AG$2:$AG$1001,0),MATCH(COLUMNS($AN$1006:BA1006),$AN$1006:$BO$1006,0)), HYPERLINK("#",""), HYPERLINK(CONCATENATE("#Metadata!", ADDRESS(INDEX($AI$2:$AI$1001,MATCH(ROWS($AG$2:AG170),$AG$2:$AG$1001,0),0), INDEX($AN$1004:$BO$1004,1,MATCH(COLUMNS($AN$1006:BA1006),$AN$1006:$BO$1006,0)))),"Fix")))</f>
        <v>0</v>
      </c>
      <c r="P170" s="4">
        <f>IF(OR(INDEX($AH$2:$AH$1001,MATCH(ROWS($AG$2:AG170),$AG$2:$AG$1001,0),1)&gt;=100000,INDEX($AN$1005:$BO$1005,1,MATCH(COLUMNS($AN$1006:BB1006),$AN$1006:$BO$1006,0))&gt;=100000), " ",IF(INDEX($AN$2:$BO$1001,MATCH(ROWS($AG$2:AG170),$AG$2:$AG$1001,0),MATCH(COLUMNS($AN$1006:BB1006),$AN$1006:$BO$1006,0)), HYPERLINK("#",""), HYPERLINK(CONCATENATE("#Metadata!", ADDRESS(INDEX($AI$2:$AI$1001,MATCH(ROWS($AG$2:AG170),$AG$2:$AG$1001,0),0), INDEX($AN$1004:$BO$1004,1,MATCH(COLUMNS($AN$1006:BB1006),$AN$1006:$BO$1006,0)))),"Fix")))</f>
        <v>0</v>
      </c>
      <c r="Q170" s="4">
        <f>IF(OR(INDEX($AH$2:$AH$1001,MATCH(ROWS($AG$2:AG170),$AG$2:$AG$1001,0),1)&gt;=100000,INDEX($AN$1005:$BO$1005,1,MATCH(COLUMNS($AN$1006:BC1006),$AN$1006:$BO$1006,0))&gt;=100000), " ",IF(INDEX($AN$2:$BO$1001,MATCH(ROWS($AG$2:AG170),$AG$2:$AG$1001,0),MATCH(COLUMNS($AN$1006:BC1006),$AN$1006:$BO$1006,0)), HYPERLINK("#",""), HYPERLINK(CONCATENATE("#Metadata!", ADDRESS(INDEX($AI$2:$AI$1001,MATCH(ROWS($AG$2:AG170),$AG$2:$AG$1001,0),0), INDEX($AN$1004:$BO$1004,1,MATCH(COLUMNS($AN$1006:BC1006),$AN$1006:$BO$1006,0)))),"Fix")))</f>
        <v>0</v>
      </c>
      <c r="R170" s="4">
        <f>IF(OR(INDEX($AH$2:$AH$1001,MATCH(ROWS($AG$2:AG170),$AG$2:$AG$1001,0),1)&gt;=100000,INDEX($AN$1005:$BO$1005,1,MATCH(COLUMNS($AN$1006:BD1006),$AN$1006:$BO$1006,0))&gt;=100000), " ",IF(INDEX($AN$2:$BO$1001,MATCH(ROWS($AG$2:AG170),$AG$2:$AG$1001,0),MATCH(COLUMNS($AN$1006:BD1006),$AN$1006:$BO$1006,0)), HYPERLINK("#",""), HYPERLINK(CONCATENATE("#Metadata!", ADDRESS(INDEX($AI$2:$AI$1001,MATCH(ROWS($AG$2:AG170),$AG$2:$AG$1001,0),0), INDEX($AN$1004:$BO$1004,1,MATCH(COLUMNS($AN$1006:BD1006),$AN$1006:$BO$1006,0)))),"Fix")))</f>
        <v>0</v>
      </c>
      <c r="S170" s="4">
        <f>IF(OR(INDEX($AH$2:$AH$1001,MATCH(ROWS($AG$2:AG170),$AG$2:$AG$1001,0),1)&gt;=100000,INDEX($AN$1005:$BO$1005,1,MATCH(COLUMNS($AN$1006:BE1006),$AN$1006:$BO$1006,0))&gt;=100000), " ",IF(INDEX($AN$2:$BO$1001,MATCH(ROWS($AG$2:AG170),$AG$2:$AG$1001,0),MATCH(COLUMNS($AN$1006:BE1006),$AN$1006:$BO$1006,0)), HYPERLINK("#",""), HYPERLINK(CONCATENATE("#Metadata!", ADDRESS(INDEX($AI$2:$AI$1001,MATCH(ROWS($AG$2:AG170),$AG$2:$AG$1001,0),0), INDEX($AN$1004:$BO$1004,1,MATCH(COLUMNS($AN$1006:BE1006),$AN$1006:$BO$1006,0)))),"Fix")))</f>
        <v>0</v>
      </c>
      <c r="T170" s="4">
        <f>IF(OR(INDEX($AH$2:$AH$1001,MATCH(ROWS($AG$2:AG170),$AG$2:$AG$1001,0),1)&gt;=100000,INDEX($AN$1005:$BO$1005,1,MATCH(COLUMNS($AN$1006:BF1006),$AN$1006:$BO$1006,0))&gt;=100000), " ",IF(INDEX($AN$2:$BO$1001,MATCH(ROWS($AG$2:AG170),$AG$2:$AG$1001,0),MATCH(COLUMNS($AN$1006:BF1006),$AN$1006:$BO$1006,0)), HYPERLINK("#",""), HYPERLINK(CONCATENATE("#Metadata!", ADDRESS(INDEX($AI$2:$AI$1001,MATCH(ROWS($AG$2:AG170),$AG$2:$AG$1001,0),0), INDEX($AN$1004:$BO$1004,1,MATCH(COLUMNS($AN$1006:BF1006),$AN$1006:$BO$1006,0)))),"Fix")))</f>
        <v>0</v>
      </c>
      <c r="U170" s="4">
        <f>IF(OR(INDEX($AH$2:$AH$1001,MATCH(ROWS($AG$2:AG170),$AG$2:$AG$1001,0),1)&gt;=100000,INDEX($AN$1005:$BO$1005,1,MATCH(COLUMNS($AN$1006:BG1006),$AN$1006:$BO$1006,0))&gt;=100000), " ",IF(INDEX($AN$2:$BO$1001,MATCH(ROWS($AG$2:AG170),$AG$2:$AG$1001,0),MATCH(COLUMNS($AN$1006:BG1006),$AN$1006:$BO$1006,0)), HYPERLINK("#",""), HYPERLINK(CONCATENATE("#Metadata!", ADDRESS(INDEX($AI$2:$AI$1001,MATCH(ROWS($AG$2:AG170),$AG$2:$AG$1001,0),0), INDEX($AN$1004:$BO$1004,1,MATCH(COLUMNS($AN$1006:BG1006),$AN$1006:$BO$1006,0)))),"Fix")))</f>
        <v>0</v>
      </c>
      <c r="V170" s="4">
        <f>IF(OR(INDEX($AH$2:$AH$1001,MATCH(ROWS($AG$2:AG170),$AG$2:$AG$1001,0),1)&gt;=100000,INDEX($AN$1005:$BO$1005,1,MATCH(COLUMNS($AN$1006:BH1006),$AN$1006:$BO$1006,0))&gt;=100000), " ",IF(INDEX($AN$2:$BO$1001,MATCH(ROWS($AG$2:AG170),$AG$2:$AG$1001,0),MATCH(COLUMNS($AN$1006:BH1006),$AN$1006:$BO$1006,0)), HYPERLINK("#",""), HYPERLINK(CONCATENATE("#Metadata!", ADDRESS(INDEX($AI$2:$AI$1001,MATCH(ROWS($AG$2:AG170),$AG$2:$AG$1001,0),0), INDEX($AN$1004:$BO$1004,1,MATCH(COLUMNS($AN$1006:BH1006),$AN$1006:$BO$1006,0)))),"Fix")))</f>
        <v>0</v>
      </c>
      <c r="W170" s="4">
        <f>IF(OR(INDEX($AH$2:$AH$1001,MATCH(ROWS($AG$2:AG170),$AG$2:$AG$1001,0),1)&gt;=100000,INDEX($AN$1005:$BO$1005,1,MATCH(COLUMNS($AN$1006:BI1006),$AN$1006:$BO$1006,0))&gt;=100000), " ",IF(INDEX($AN$2:$BO$1001,MATCH(ROWS($AG$2:AG170),$AG$2:$AG$1001,0),MATCH(COLUMNS($AN$1006:BI1006),$AN$1006:$BO$1006,0)), HYPERLINK("#",""), HYPERLINK(CONCATENATE("#Metadata!", ADDRESS(INDEX($AI$2:$AI$1001,MATCH(ROWS($AG$2:AG170),$AG$2:$AG$1001,0),0), INDEX($AN$1004:$BO$1004,1,MATCH(COLUMNS($AN$1006:BI1006),$AN$1006:$BO$1006,0)))),"Fix")))</f>
        <v>0</v>
      </c>
      <c r="X170" s="4">
        <f>IF(OR(INDEX($AH$2:$AH$1001,MATCH(ROWS($AG$2:AG170),$AG$2:$AG$1001,0),1)&gt;=100000,INDEX($AN$1005:$BO$1005,1,MATCH(COLUMNS($AN$1006:BJ1006),$AN$1006:$BO$1006,0))&gt;=100000), " ",IF(INDEX($AN$2:$BO$1001,MATCH(ROWS($AG$2:AG170),$AG$2:$AG$1001,0),MATCH(COLUMNS($AN$1006:BJ1006),$AN$1006:$BO$1006,0)), HYPERLINK("#",""), HYPERLINK(CONCATENATE("#Metadata!", ADDRESS(INDEX($AI$2:$AI$1001,MATCH(ROWS($AG$2:AG170),$AG$2:$AG$1001,0),0), INDEX($AN$1004:$BO$1004,1,MATCH(COLUMNS($AN$1006:BJ1006),$AN$1006:$BO$1006,0)))),"Fix")))</f>
        <v>0</v>
      </c>
      <c r="Y170" s="4">
        <f>IF(OR(INDEX($AH$2:$AH$1001,MATCH(ROWS($AG$2:AG170),$AG$2:$AG$1001,0),1)&gt;=100000,INDEX($AN$1005:$BO$1005,1,MATCH(COLUMNS($AN$1006:BK1006),$AN$1006:$BO$1006,0))&gt;=100000), " ",IF(INDEX($AN$2:$BO$1001,MATCH(ROWS($AG$2:AG170),$AG$2:$AG$1001,0),MATCH(COLUMNS($AN$1006:BK1006),$AN$1006:$BO$1006,0)), HYPERLINK("#",""), HYPERLINK(CONCATENATE("#Metadata!", ADDRESS(INDEX($AI$2:$AI$1001,MATCH(ROWS($AG$2:AG170),$AG$2:$AG$1001,0),0), INDEX($AN$1004:$BO$1004,1,MATCH(COLUMNS($AN$1006:BK1006),$AN$1006:$BO$1006,0)))),"Fix")))</f>
        <v>0</v>
      </c>
      <c r="Z170" s="4">
        <f>IF(OR(INDEX($AH$2:$AH$1001,MATCH(ROWS($AG$2:AG170),$AG$2:$AG$1001,0),1)&gt;=100000,INDEX($AN$1005:$BO$1005,1,MATCH(COLUMNS($AN$1006:BL1006),$AN$1006:$BO$1006,0))&gt;=100000), " ",IF(INDEX($AN$2:$BO$1001,MATCH(ROWS($AG$2:AG170),$AG$2:$AG$1001,0),MATCH(COLUMNS($AN$1006:BL1006),$AN$1006:$BO$1006,0)), HYPERLINK("#",""), HYPERLINK(CONCATENATE("#Metadata!", ADDRESS(INDEX($AI$2:$AI$1001,MATCH(ROWS($AG$2:AG170),$AG$2:$AG$1001,0),0), INDEX($AN$1004:$BO$1004,1,MATCH(COLUMNS($AN$1006:BL1006),$AN$1006:$BO$1006,0)))),"Fix")))</f>
        <v>0</v>
      </c>
      <c r="AA170" s="4">
        <f>IF(OR(INDEX($AH$2:$AH$1001,MATCH(ROWS($AG$2:AG170),$AG$2:$AG$1001,0),1)&gt;=100000,INDEX($AN$1005:$BO$1005,1,MATCH(COLUMNS($AN$1006:BM1006),$AN$1006:$BO$1006,0))&gt;=100000), " ",IF(INDEX($AN$2:$BO$1001,MATCH(ROWS($AG$2:AG170),$AG$2:$AG$1001,0),MATCH(COLUMNS($AN$1006:BM1006),$AN$1006:$BO$1006,0)), HYPERLINK("#",""), HYPERLINK(CONCATENATE("#Metadata!", ADDRESS(INDEX($AI$2:$AI$1001,MATCH(ROWS($AG$2:AG170),$AG$2:$AG$1001,0),0), INDEX($AN$1004:$BO$1004,1,MATCH(COLUMNS($AN$1006:BM1006),$AN$1006:$BO$1006,0)))),"Fix")))</f>
        <v>0</v>
      </c>
      <c r="AB170" s="4">
        <f>IF(OR(INDEX($AH$2:$AH$1001,MATCH(ROWS($AG$2:AG170),$AG$2:$AG$1001,0),1)&gt;=100000,INDEX($AN$1005:$BO$1005,1,MATCH(COLUMNS($AN$1006:BN1006),$AN$1006:$BO$1006,0))&gt;=100000), " ",IF(INDEX($AN$2:$BO$1001,MATCH(ROWS($AG$2:AG170),$AG$2:$AG$1001,0),MATCH(COLUMNS($AN$1006:BN1006),$AN$1006:$BO$1006,0)), HYPERLINK("#",""), HYPERLINK(CONCATENATE("#Metadata!", ADDRESS(INDEX($AI$2:$AI$1001,MATCH(ROWS($AG$2:AG170),$AG$2:$AG$1001,0),0), INDEX($AN$1004:$BO$1004,1,MATCH(COLUMNS($AN$1006:BN1006),$AN$1006:$BO$1006,0)))),"Fix")))</f>
        <v>0</v>
      </c>
      <c r="AC170" s="4">
        <f>IF(OR(INDEX($AH$2:$AH$1001,MATCH(ROWS($AG$2:AG170),$AG$2:$AG$1001,0),1)&gt;=100000,INDEX($AN$1005:$BO$1005,1,MATCH(COLUMNS($AN$1006:BO1006),$AN$1006:$BO$1006,0))&gt;=100000), " ",IF(INDEX($AN$2:$BO$1001,MATCH(ROWS($AG$2:AG170),$AG$2:$AG$1001,0),MATCH(COLUMNS($AN$1006:BO1006),$AN$1006:$BO$1006,0)), HYPERLINK("#",""), HYPERLINK(CONCATENATE("#Metadata!", ADDRESS(INDEX($AI$2:$AI$1001,MATCH(ROWS($AG$2:AG170),$AG$2:$AG$1001,0),0), INDEX($AN$1004:$BO$1004,1,MATCH(COLUMNS($AN$1006:BO1006),$AN$1006:$BO$1006,0)))),"Fix")))</f>
        <v>0</v>
      </c>
      <c r="AG170">
        <v>0</v>
      </c>
      <c r="AH170">
        <v>0</v>
      </c>
      <c r="AI170">
        <v>0</v>
      </c>
      <c r="AJ170">
        <f>IF(AK170,TRUE,AND(AN170:BO170))</f>
        <v>0</v>
      </c>
      <c r="AK170">
        <f>COUNTBLANK(Metadata!B170:AC170)=COLUMNS(Metadata!B170:AC170)</f>
        <v>0</v>
      </c>
      <c r="AL170">
        <v>0</v>
      </c>
      <c r="AN170">
        <f>AND(IF(Metadata!B170="",FALSE,TRUE),COUNTIF(Metadata!B:B, Metadata!B170) = 1,NOT(ISERROR(SUMPRODUCT(SEARCH(MID(Metadata!B170,ROW(INDIRECT("1:"&amp;LEN(Metadata!B170))), 1),"0123456789abcdefghijklmnopqrstuvwxyzABCDEFGHIJKLMNOPQRSTUVWXYZ.")))))</f>
        <v>0</v>
      </c>
      <c r="AO170">
        <f>IF(Metadata!C170="",FALSE,TRUE)</f>
        <v>0</v>
      </c>
      <c r="AP170">
        <f>IF(Metadata!D170="",FALSE,TRUE)</f>
        <v>0</v>
      </c>
      <c r="AQ170">
        <f>OR(AND(IF(Metadata!E170="",FALSE,TRUE),OR(exact(Metadata!E170,"not collected"),exact(Metadata!E170,"not provided"),exact(Metadata!E170,"restricted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R170">
        <f>IF(Metadata!F170="",FALSE,TRUE)</f>
        <v>0</v>
      </c>
      <c r="AS170">
        <f>OR(AND(IF(Metadata!G170="",FALSE,TRUE),OR(exact(Metadata!G170,"not collected"),exact(Metadata!G170,"not provided"))),AND(IF(Metadata!G170="",FALSE,TRUE),OR(exact(Metadata!G170,"TRUE"),exact(Metadata!G170,"FALSE"))))</f>
        <v>0</v>
      </c>
      <c r="AT170">
        <f>OR(AND(IF(Metadata!H170="",FALSE,TRUE),OR(exact(Metadata!H170,"not collected"),exact(Metadata!H170,"not provided"),exact(Metadata!H170,"restricted access"))),AND(IF(Metadata!H170="",FALSE,ISNUMBER(VALUE(Metadata!H170))),Metadata!H170&gt;=-413.0))</f>
        <v>0</v>
      </c>
      <c r="AU170">
        <f>AND(IF(Metadata!I170="",FALSE,TRUE),exact(Metadata!I170,"meters"))</f>
        <v>0</v>
      </c>
      <c r="AV170">
        <f>AND(IF(Metadata!J170="",FALSE,TRUE),OR(exact(Metadata!J170,"Host-associated"),exact(Metadata!J170,"Free-living")))</f>
        <v>0</v>
      </c>
      <c r="AW170">
        <f>AND(IF(Metadata!K170="",FALSE,TRUE),OR(exact(Metadata!K170,"Animal"),exact(Metadata!K170,"Fungus"),exact(Metadata!K170,"Plant"),exact(Metadata!K170,"Saline"),exact(Metadata!K170,"Non-saline")))</f>
        <v>0</v>
      </c>
      <c r="AX170">
        <f>AND(IF(Metadata!L170="",FALSE,TRUE),OR(exact(Metadata!L170,"Plant secretion"),exact(Metadata!L170,"Plant rhizosphere"),exact(Metadata!L170,"Plant surface"),exact(Metadata!L170,"Plant corpus"),exact(Metadata!L170,"Fungus surface"),exact(Metadata!L170,"Fungus corpus"),exact(Metadata!L170,"Animal surface"),exact(Metadata!L170,"Animal proximal gut"),exact(Metadata!L170,"Animal corpus"),exact(Metadata!L170,"Animal distal gut"),exact(Metadata!L170,"Animal secretion"),exact(Metadata!L170,"Sub-surface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Y170">
        <f>IF(Metadata!M170="",FALSE,TRUE)</f>
        <v>0</v>
      </c>
      <c r="AZ170">
        <f>IF(Metadata!N170="",FALSE,TRUE)</f>
        <v>0</v>
      </c>
      <c r="BA170">
        <f>IF(Metadata!O170="",FALSE,TRUE)</f>
        <v>0</v>
      </c>
      <c r="BB170">
        <f>OR(AND(IF(Metadata!P170="",FALSE,TRUE),OR(exact(Metadata!P170,"not collected"),exact(Metadata!P170,"not provided"),exact(Metadata!P170,"restricted access"))),AND(IF(Metadata!P170="",FALSE,TRUE),OR(exact(Metadata!P170,"air"),exact(Metadata!P170,"built environment"),exact(Metadata!P170,"host-associated"),exact(Metadata!P170,"human-associated"),exact(Metadata!P170,"human-skin"),exact(Metadata!P170,"human-oral"),exact(Metadata!P170,"human-gut"),exact(Metadata!P170,"human-vaginal"),exact(Metadata!P170,"microbial mat/biofilm"),exact(Metadata!P170,"misc environment"),exact(Metadata!P170,"plant-associated"),exact(Metadata!P170,"sediment"),exact(Metadata!P170,"soil"),exact(Metadata!P170,"wastewater/sludge"),exact(Metadata!P170,"water"))))</f>
        <v>0</v>
      </c>
      <c r="BC170">
        <f>IF(Metadata!Q170="",FALSE,TRUE)</f>
        <v>0</v>
      </c>
      <c r="BD170">
        <f>IF(Metadata!R170="",FALSE,TRUE)</f>
        <v>0</v>
      </c>
      <c r="BE170">
        <f>OR(AND(IF(Metadata!S170="",FALSE,TRUE),OR(exact(Metadata!S170,"not collected"),exact(Metadata!S170,"not provided"),exact(Metadata!S170,"restricted access"))),AND(IF(Metadata!S170="",FALSE,ISNUMBER(VALUE(Metadata!S170))),Metadata!S170&gt;=-90.00,Metadata!S170&lt;=90.00))</f>
        <v>0</v>
      </c>
      <c r="BF170">
        <f>AND(IF(Metadata!T170="",FALSE,TRUE),exact(Metadata!T170,"Decimal degrees"))</f>
        <v>0</v>
      </c>
      <c r="BG170">
        <f>OR(AND(IF(Metadata!U170="",FALSE,TRUE),OR(exact(Metadata!U170,"not collected"),exact(Metadata!U170,"not provided"),exact(Metadata!U170,"restricted access"))),AND(IF(Metadata!U170="",FALSE,ISNUMBER(VALUE(Metadata!U170))),Metadata!U170&gt;=-180.00,Metadata!U170&lt;=180.00))</f>
        <v>0</v>
      </c>
      <c r="BH170">
        <f>AND(IF(Metadata!V170="",FALSE,TRUE),exact(Metadata!V170,"Decimal degrees"))</f>
        <v>0</v>
      </c>
      <c r="BI170">
        <f>IF(Metadata!W170="",FALSE,TRUE)</f>
        <v>0</v>
      </c>
      <c r="BJ170">
        <f>OR(AND(IF(Metadata!X170="",FALSE,TRUE),OR(exact(Metadata!X170,"not collected"),exact(Metadata!X170,"not provided"),exact(Metadata!X170,"restricted access"))),AND(IF(Metadata!X170="",FALSE,TRUE),OR(exact(Metadata!X170,"TRUE"),exact(Metadata!X170,"FALSE"))))</f>
        <v>0</v>
      </c>
      <c r="BK170">
        <f>AND(IF(Metadata!Y170="",FALSE,TRUE),exact(Metadata!Y170,"other"))</f>
        <v>0</v>
      </c>
      <c r="BL170">
        <f>IF(Metadata!Z170="",FALSE,TRUE)</f>
        <v>0</v>
      </c>
      <c r="BM170">
        <f>OR(AND(IF(Metadata!AA170="",FALSE,TRUE),OR(exact(Metadata!AA170,"not collected"),exact(Metadata!AA170,"not provided"))),AND(IF(Metadata!AA170="",FALSE,IF(ISERROR(INT(Metadata!AA170)),FALSE,INT(Metadata!AA170)=Metadata!AA170)),Metadata!AA170&gt;0))</f>
        <v>0</v>
      </c>
      <c r="BN170">
        <f>AND(IF(Metadata!AB170="",FALSE,TRUE),exact(Metadata!AB170,"Not applicable"))</f>
        <v>0</v>
      </c>
      <c r="BO170">
        <f>IF(Metadata!AC170="",FALSE,TRUE)</f>
        <v>0</v>
      </c>
    </row>
    <row r="171" spans="1:67">
      <c r="A171" s="5">
        <f>IF(B171=" "," ",HYPERLINK(CONCATENATE("#metadata!",ADDRESS(INDEX($AI$2:$AI$1001,MATCH(ROWS($AG$2:AG171),$AG$2:$AG$1001,0),0),1)),INDEX($AL$2:$AL$1001,MATCH(ROWS($AG$2:AG171),$AG$2:$AG$1001,0),0)))</f>
        <v>0</v>
      </c>
      <c r="B171" s="4">
        <f>IF(OR(INDEX($AH$2:$AH$1001,MATCH(ROWS($AG$2:AG171),$AG$2:$AG$1001,0),1)&gt;=100000,INDEX($AN$1005:$BO$1005,1,MATCH(COLUMNS($AN$1006:AN1006),$AN$1006:$BO$1006,0))&gt;=100000), " ",IF(INDEX($AN$2:$BO$1001,MATCH(ROWS($AG$2:AG171),$AG$2:$AG$1001,0),MATCH(COLUMNS($AN$1006:AN1006),$AN$1006:$BO$1006,0)), HYPERLINK("#",""), HYPERLINK(CONCATENATE("#Metadata!", ADDRESS(INDEX($AI$2:$AI$1001,MATCH(ROWS($AG$2:AG171),$AG$2:$AG$1001,0),0), INDEX($AN$1004:$BO$1004,1,MATCH(COLUMNS($AN$1006:AN1006),$AN$1006:$BO$1006,0)))),"Fix")))</f>
        <v>0</v>
      </c>
      <c r="C171" s="4">
        <f>IF(OR(INDEX($AH$2:$AH$1001,MATCH(ROWS($AG$2:AG171),$AG$2:$AG$1001,0),1)&gt;=100000,INDEX($AN$1005:$BO$1005,1,MATCH(COLUMNS($AN$1006:AO1006),$AN$1006:$BO$1006,0))&gt;=100000), " ",IF(INDEX($AN$2:$BO$1001,MATCH(ROWS($AG$2:AG171),$AG$2:$AG$1001,0),MATCH(COLUMNS($AN$1006:AO1006),$AN$1006:$BO$1006,0)), HYPERLINK("#",""), HYPERLINK(CONCATENATE("#Metadata!", ADDRESS(INDEX($AI$2:$AI$1001,MATCH(ROWS($AG$2:AG171),$AG$2:$AG$1001,0),0), INDEX($AN$1004:$BO$1004,1,MATCH(COLUMNS($AN$1006:AO1006),$AN$1006:$BO$1006,0)))),"Fix")))</f>
        <v>0</v>
      </c>
      <c r="D171" s="4">
        <f>IF(OR(INDEX($AH$2:$AH$1001,MATCH(ROWS($AG$2:AG171),$AG$2:$AG$1001,0),1)&gt;=100000,INDEX($AN$1005:$BO$1005,1,MATCH(COLUMNS($AN$1006:AP1006),$AN$1006:$BO$1006,0))&gt;=100000), " ",IF(INDEX($AN$2:$BO$1001,MATCH(ROWS($AG$2:AG171),$AG$2:$AG$1001,0),MATCH(COLUMNS($AN$1006:AP1006),$AN$1006:$BO$1006,0)), HYPERLINK("#",""), HYPERLINK(CONCATENATE("#Metadata!", ADDRESS(INDEX($AI$2:$AI$1001,MATCH(ROWS($AG$2:AG171),$AG$2:$AG$1001,0),0), INDEX($AN$1004:$BO$1004,1,MATCH(COLUMNS($AN$1006:AP1006),$AN$1006:$BO$1006,0)))),"Fix")))</f>
        <v>0</v>
      </c>
      <c r="E171" s="4">
        <f>IF(OR(INDEX($AH$2:$AH$1001,MATCH(ROWS($AG$2:AG171),$AG$2:$AG$1001,0),1)&gt;=100000,INDEX($AN$1005:$BO$1005,1,MATCH(COLUMNS($AN$1006:AQ1006),$AN$1006:$BO$1006,0))&gt;=100000), " ",IF(INDEX($AN$2:$BO$1001,MATCH(ROWS($AG$2:AG171),$AG$2:$AG$1001,0),MATCH(COLUMNS($AN$1006:AQ1006),$AN$1006:$BO$1006,0)), HYPERLINK("#",""), HYPERLINK(CONCATENATE("#Metadata!", ADDRESS(INDEX($AI$2:$AI$1001,MATCH(ROWS($AG$2:AG171),$AG$2:$AG$1001,0),0), INDEX($AN$1004:$BO$1004,1,MATCH(COLUMNS($AN$1006:AQ1006),$AN$1006:$BO$1006,0)))),"Fix")))</f>
        <v>0</v>
      </c>
      <c r="F171" s="4">
        <f>IF(OR(INDEX($AH$2:$AH$1001,MATCH(ROWS($AG$2:AG171),$AG$2:$AG$1001,0),1)&gt;=100000,INDEX($AN$1005:$BO$1005,1,MATCH(COLUMNS($AN$1006:AR1006),$AN$1006:$BO$1006,0))&gt;=100000), " ",IF(INDEX($AN$2:$BO$1001,MATCH(ROWS($AG$2:AG171),$AG$2:$AG$1001,0),MATCH(COLUMNS($AN$1006:AR1006),$AN$1006:$BO$1006,0)), HYPERLINK("#",""), HYPERLINK(CONCATENATE("#Metadata!", ADDRESS(INDEX($AI$2:$AI$1001,MATCH(ROWS($AG$2:AG171),$AG$2:$AG$1001,0),0), INDEX($AN$1004:$BO$1004,1,MATCH(COLUMNS($AN$1006:AR1006),$AN$1006:$BO$1006,0)))),"Fix")))</f>
        <v>0</v>
      </c>
      <c r="G171" s="4">
        <f>IF(OR(INDEX($AH$2:$AH$1001,MATCH(ROWS($AG$2:AG171),$AG$2:$AG$1001,0),1)&gt;=100000,INDEX($AN$1005:$BO$1005,1,MATCH(COLUMNS($AN$1006:AS1006),$AN$1006:$BO$1006,0))&gt;=100000), " ",IF(INDEX($AN$2:$BO$1001,MATCH(ROWS($AG$2:AG171),$AG$2:$AG$1001,0),MATCH(COLUMNS($AN$1006:AS1006),$AN$1006:$BO$1006,0)), HYPERLINK("#",""), HYPERLINK(CONCATENATE("#Metadata!", ADDRESS(INDEX($AI$2:$AI$1001,MATCH(ROWS($AG$2:AG171),$AG$2:$AG$1001,0),0), INDEX($AN$1004:$BO$1004,1,MATCH(COLUMNS($AN$1006:AS1006),$AN$1006:$BO$1006,0)))),"Fix")))</f>
        <v>0</v>
      </c>
      <c r="H171" s="4">
        <f>IF(OR(INDEX($AH$2:$AH$1001,MATCH(ROWS($AG$2:AG171),$AG$2:$AG$1001,0),1)&gt;=100000,INDEX($AN$1005:$BO$1005,1,MATCH(COLUMNS($AN$1006:AT1006),$AN$1006:$BO$1006,0))&gt;=100000), " ",IF(INDEX($AN$2:$BO$1001,MATCH(ROWS($AG$2:AG171),$AG$2:$AG$1001,0),MATCH(COLUMNS($AN$1006:AT1006),$AN$1006:$BO$1006,0)), HYPERLINK("#",""), HYPERLINK(CONCATENATE("#Metadata!", ADDRESS(INDEX($AI$2:$AI$1001,MATCH(ROWS($AG$2:AG171),$AG$2:$AG$1001,0),0), INDEX($AN$1004:$BO$1004,1,MATCH(COLUMNS($AN$1006:AT1006),$AN$1006:$BO$1006,0)))),"Fix")))</f>
        <v>0</v>
      </c>
      <c r="I171" s="4">
        <f>IF(OR(INDEX($AH$2:$AH$1001,MATCH(ROWS($AG$2:AG171),$AG$2:$AG$1001,0),1)&gt;=100000,INDEX($AN$1005:$BO$1005,1,MATCH(COLUMNS($AN$1006:AU1006),$AN$1006:$BO$1006,0))&gt;=100000), " ",IF(INDEX($AN$2:$BO$1001,MATCH(ROWS($AG$2:AG171),$AG$2:$AG$1001,0),MATCH(COLUMNS($AN$1006:AU1006),$AN$1006:$BO$1006,0)), HYPERLINK("#",""), HYPERLINK(CONCATENATE("#Metadata!", ADDRESS(INDEX($AI$2:$AI$1001,MATCH(ROWS($AG$2:AG171),$AG$2:$AG$1001,0),0), INDEX($AN$1004:$BO$1004,1,MATCH(COLUMNS($AN$1006:AU1006),$AN$1006:$BO$1006,0)))),"Fix")))</f>
        <v>0</v>
      </c>
      <c r="J171" s="4">
        <f>IF(OR(INDEX($AH$2:$AH$1001,MATCH(ROWS($AG$2:AG171),$AG$2:$AG$1001,0),1)&gt;=100000,INDEX($AN$1005:$BO$1005,1,MATCH(COLUMNS($AN$1006:AV1006),$AN$1006:$BO$1006,0))&gt;=100000), " ",IF(INDEX($AN$2:$BO$1001,MATCH(ROWS($AG$2:AG171),$AG$2:$AG$1001,0),MATCH(COLUMNS($AN$1006:AV1006),$AN$1006:$BO$1006,0)), HYPERLINK("#",""), HYPERLINK(CONCATENATE("#Metadata!", ADDRESS(INDEX($AI$2:$AI$1001,MATCH(ROWS($AG$2:AG171),$AG$2:$AG$1001,0),0), INDEX($AN$1004:$BO$1004,1,MATCH(COLUMNS($AN$1006:AV1006),$AN$1006:$BO$1006,0)))),"Fix")))</f>
        <v>0</v>
      </c>
      <c r="K171" s="4">
        <f>IF(OR(INDEX($AH$2:$AH$1001,MATCH(ROWS($AG$2:AG171),$AG$2:$AG$1001,0),1)&gt;=100000,INDEX($AN$1005:$BO$1005,1,MATCH(COLUMNS($AN$1006:AW1006),$AN$1006:$BO$1006,0))&gt;=100000), " ",IF(INDEX($AN$2:$BO$1001,MATCH(ROWS($AG$2:AG171),$AG$2:$AG$1001,0),MATCH(COLUMNS($AN$1006:AW1006),$AN$1006:$BO$1006,0)), HYPERLINK("#",""), HYPERLINK(CONCATENATE("#Metadata!", ADDRESS(INDEX($AI$2:$AI$1001,MATCH(ROWS($AG$2:AG171),$AG$2:$AG$1001,0),0), INDEX($AN$1004:$BO$1004,1,MATCH(COLUMNS($AN$1006:AW1006),$AN$1006:$BO$1006,0)))),"Fix")))</f>
        <v>0</v>
      </c>
      <c r="L171" s="4">
        <f>IF(OR(INDEX($AH$2:$AH$1001,MATCH(ROWS($AG$2:AG171),$AG$2:$AG$1001,0),1)&gt;=100000,INDEX($AN$1005:$BO$1005,1,MATCH(COLUMNS($AN$1006:AX1006),$AN$1006:$BO$1006,0))&gt;=100000), " ",IF(INDEX($AN$2:$BO$1001,MATCH(ROWS($AG$2:AG171),$AG$2:$AG$1001,0),MATCH(COLUMNS($AN$1006:AX1006),$AN$1006:$BO$1006,0)), HYPERLINK("#",""), HYPERLINK(CONCATENATE("#Metadata!", ADDRESS(INDEX($AI$2:$AI$1001,MATCH(ROWS($AG$2:AG171),$AG$2:$AG$1001,0),0), INDEX($AN$1004:$BO$1004,1,MATCH(COLUMNS($AN$1006:AX1006),$AN$1006:$BO$1006,0)))),"Fix")))</f>
        <v>0</v>
      </c>
      <c r="M171" s="4">
        <f>IF(OR(INDEX($AH$2:$AH$1001,MATCH(ROWS($AG$2:AG171),$AG$2:$AG$1001,0),1)&gt;=100000,INDEX($AN$1005:$BO$1005,1,MATCH(COLUMNS($AN$1006:AY1006),$AN$1006:$BO$1006,0))&gt;=100000), " ",IF(INDEX($AN$2:$BO$1001,MATCH(ROWS($AG$2:AG171),$AG$2:$AG$1001,0),MATCH(COLUMNS($AN$1006:AY1006),$AN$1006:$BO$1006,0)), HYPERLINK("#",""), HYPERLINK(CONCATENATE("#Metadata!", ADDRESS(INDEX($AI$2:$AI$1001,MATCH(ROWS($AG$2:AG171),$AG$2:$AG$1001,0),0), INDEX($AN$1004:$BO$1004,1,MATCH(COLUMNS($AN$1006:AY1006),$AN$1006:$BO$1006,0)))),"Fix")))</f>
        <v>0</v>
      </c>
      <c r="N171" s="4">
        <f>IF(OR(INDEX($AH$2:$AH$1001,MATCH(ROWS($AG$2:AG171),$AG$2:$AG$1001,0),1)&gt;=100000,INDEX($AN$1005:$BO$1005,1,MATCH(COLUMNS($AN$1006:AZ1006),$AN$1006:$BO$1006,0))&gt;=100000), " ",IF(INDEX($AN$2:$BO$1001,MATCH(ROWS($AG$2:AG171),$AG$2:$AG$1001,0),MATCH(COLUMNS($AN$1006:AZ1006),$AN$1006:$BO$1006,0)), HYPERLINK("#",""), HYPERLINK(CONCATENATE("#Metadata!", ADDRESS(INDEX($AI$2:$AI$1001,MATCH(ROWS($AG$2:AG171),$AG$2:$AG$1001,0),0), INDEX($AN$1004:$BO$1004,1,MATCH(COLUMNS($AN$1006:AZ1006),$AN$1006:$BO$1006,0)))),"Fix")))</f>
        <v>0</v>
      </c>
      <c r="O171" s="4">
        <f>IF(OR(INDEX($AH$2:$AH$1001,MATCH(ROWS($AG$2:AG171),$AG$2:$AG$1001,0),1)&gt;=100000,INDEX($AN$1005:$BO$1005,1,MATCH(COLUMNS($AN$1006:BA1006),$AN$1006:$BO$1006,0))&gt;=100000), " ",IF(INDEX($AN$2:$BO$1001,MATCH(ROWS($AG$2:AG171),$AG$2:$AG$1001,0),MATCH(COLUMNS($AN$1006:BA1006),$AN$1006:$BO$1006,0)), HYPERLINK("#",""), HYPERLINK(CONCATENATE("#Metadata!", ADDRESS(INDEX($AI$2:$AI$1001,MATCH(ROWS($AG$2:AG171),$AG$2:$AG$1001,0),0), INDEX($AN$1004:$BO$1004,1,MATCH(COLUMNS($AN$1006:BA1006),$AN$1006:$BO$1006,0)))),"Fix")))</f>
        <v>0</v>
      </c>
      <c r="P171" s="4">
        <f>IF(OR(INDEX($AH$2:$AH$1001,MATCH(ROWS($AG$2:AG171),$AG$2:$AG$1001,0),1)&gt;=100000,INDEX($AN$1005:$BO$1005,1,MATCH(COLUMNS($AN$1006:BB1006),$AN$1006:$BO$1006,0))&gt;=100000), " ",IF(INDEX($AN$2:$BO$1001,MATCH(ROWS($AG$2:AG171),$AG$2:$AG$1001,0),MATCH(COLUMNS($AN$1006:BB1006),$AN$1006:$BO$1006,0)), HYPERLINK("#",""), HYPERLINK(CONCATENATE("#Metadata!", ADDRESS(INDEX($AI$2:$AI$1001,MATCH(ROWS($AG$2:AG171),$AG$2:$AG$1001,0),0), INDEX($AN$1004:$BO$1004,1,MATCH(COLUMNS($AN$1006:BB1006),$AN$1006:$BO$1006,0)))),"Fix")))</f>
        <v>0</v>
      </c>
      <c r="Q171" s="4">
        <f>IF(OR(INDEX($AH$2:$AH$1001,MATCH(ROWS($AG$2:AG171),$AG$2:$AG$1001,0),1)&gt;=100000,INDEX($AN$1005:$BO$1005,1,MATCH(COLUMNS($AN$1006:BC1006),$AN$1006:$BO$1006,0))&gt;=100000), " ",IF(INDEX($AN$2:$BO$1001,MATCH(ROWS($AG$2:AG171),$AG$2:$AG$1001,0),MATCH(COLUMNS($AN$1006:BC1006),$AN$1006:$BO$1006,0)), HYPERLINK("#",""), HYPERLINK(CONCATENATE("#Metadata!", ADDRESS(INDEX($AI$2:$AI$1001,MATCH(ROWS($AG$2:AG171),$AG$2:$AG$1001,0),0), INDEX($AN$1004:$BO$1004,1,MATCH(COLUMNS($AN$1006:BC1006),$AN$1006:$BO$1006,0)))),"Fix")))</f>
        <v>0</v>
      </c>
      <c r="R171" s="4">
        <f>IF(OR(INDEX($AH$2:$AH$1001,MATCH(ROWS($AG$2:AG171),$AG$2:$AG$1001,0),1)&gt;=100000,INDEX($AN$1005:$BO$1005,1,MATCH(COLUMNS($AN$1006:BD1006),$AN$1006:$BO$1006,0))&gt;=100000), " ",IF(INDEX($AN$2:$BO$1001,MATCH(ROWS($AG$2:AG171),$AG$2:$AG$1001,0),MATCH(COLUMNS($AN$1006:BD1006),$AN$1006:$BO$1006,0)), HYPERLINK("#",""), HYPERLINK(CONCATENATE("#Metadata!", ADDRESS(INDEX($AI$2:$AI$1001,MATCH(ROWS($AG$2:AG171),$AG$2:$AG$1001,0),0), INDEX($AN$1004:$BO$1004,1,MATCH(COLUMNS($AN$1006:BD1006),$AN$1006:$BO$1006,0)))),"Fix")))</f>
        <v>0</v>
      </c>
      <c r="S171" s="4">
        <f>IF(OR(INDEX($AH$2:$AH$1001,MATCH(ROWS($AG$2:AG171),$AG$2:$AG$1001,0),1)&gt;=100000,INDEX($AN$1005:$BO$1005,1,MATCH(COLUMNS($AN$1006:BE1006),$AN$1006:$BO$1006,0))&gt;=100000), " ",IF(INDEX($AN$2:$BO$1001,MATCH(ROWS($AG$2:AG171),$AG$2:$AG$1001,0),MATCH(COLUMNS($AN$1006:BE1006),$AN$1006:$BO$1006,0)), HYPERLINK("#",""), HYPERLINK(CONCATENATE("#Metadata!", ADDRESS(INDEX($AI$2:$AI$1001,MATCH(ROWS($AG$2:AG171),$AG$2:$AG$1001,0),0), INDEX($AN$1004:$BO$1004,1,MATCH(COLUMNS($AN$1006:BE1006),$AN$1006:$BO$1006,0)))),"Fix")))</f>
        <v>0</v>
      </c>
      <c r="T171" s="4">
        <f>IF(OR(INDEX($AH$2:$AH$1001,MATCH(ROWS($AG$2:AG171),$AG$2:$AG$1001,0),1)&gt;=100000,INDEX($AN$1005:$BO$1005,1,MATCH(COLUMNS($AN$1006:BF1006),$AN$1006:$BO$1006,0))&gt;=100000), " ",IF(INDEX($AN$2:$BO$1001,MATCH(ROWS($AG$2:AG171),$AG$2:$AG$1001,0),MATCH(COLUMNS($AN$1006:BF1006),$AN$1006:$BO$1006,0)), HYPERLINK("#",""), HYPERLINK(CONCATENATE("#Metadata!", ADDRESS(INDEX($AI$2:$AI$1001,MATCH(ROWS($AG$2:AG171),$AG$2:$AG$1001,0),0), INDEX($AN$1004:$BO$1004,1,MATCH(COLUMNS($AN$1006:BF1006),$AN$1006:$BO$1006,0)))),"Fix")))</f>
        <v>0</v>
      </c>
      <c r="U171" s="4">
        <f>IF(OR(INDEX($AH$2:$AH$1001,MATCH(ROWS($AG$2:AG171),$AG$2:$AG$1001,0),1)&gt;=100000,INDEX($AN$1005:$BO$1005,1,MATCH(COLUMNS($AN$1006:BG1006),$AN$1006:$BO$1006,0))&gt;=100000), " ",IF(INDEX($AN$2:$BO$1001,MATCH(ROWS($AG$2:AG171),$AG$2:$AG$1001,0),MATCH(COLUMNS($AN$1006:BG1006),$AN$1006:$BO$1006,0)), HYPERLINK("#",""), HYPERLINK(CONCATENATE("#Metadata!", ADDRESS(INDEX($AI$2:$AI$1001,MATCH(ROWS($AG$2:AG171),$AG$2:$AG$1001,0),0), INDEX($AN$1004:$BO$1004,1,MATCH(COLUMNS($AN$1006:BG1006),$AN$1006:$BO$1006,0)))),"Fix")))</f>
        <v>0</v>
      </c>
      <c r="V171" s="4">
        <f>IF(OR(INDEX($AH$2:$AH$1001,MATCH(ROWS($AG$2:AG171),$AG$2:$AG$1001,0),1)&gt;=100000,INDEX($AN$1005:$BO$1005,1,MATCH(COLUMNS($AN$1006:BH1006),$AN$1006:$BO$1006,0))&gt;=100000), " ",IF(INDEX($AN$2:$BO$1001,MATCH(ROWS($AG$2:AG171),$AG$2:$AG$1001,0),MATCH(COLUMNS($AN$1006:BH1006),$AN$1006:$BO$1006,0)), HYPERLINK("#",""), HYPERLINK(CONCATENATE("#Metadata!", ADDRESS(INDEX($AI$2:$AI$1001,MATCH(ROWS($AG$2:AG171),$AG$2:$AG$1001,0),0), INDEX($AN$1004:$BO$1004,1,MATCH(COLUMNS($AN$1006:BH1006),$AN$1006:$BO$1006,0)))),"Fix")))</f>
        <v>0</v>
      </c>
      <c r="W171" s="4">
        <f>IF(OR(INDEX($AH$2:$AH$1001,MATCH(ROWS($AG$2:AG171),$AG$2:$AG$1001,0),1)&gt;=100000,INDEX($AN$1005:$BO$1005,1,MATCH(COLUMNS($AN$1006:BI1006),$AN$1006:$BO$1006,0))&gt;=100000), " ",IF(INDEX($AN$2:$BO$1001,MATCH(ROWS($AG$2:AG171),$AG$2:$AG$1001,0),MATCH(COLUMNS($AN$1006:BI1006),$AN$1006:$BO$1006,0)), HYPERLINK("#",""), HYPERLINK(CONCATENATE("#Metadata!", ADDRESS(INDEX($AI$2:$AI$1001,MATCH(ROWS($AG$2:AG171),$AG$2:$AG$1001,0),0), INDEX($AN$1004:$BO$1004,1,MATCH(COLUMNS($AN$1006:BI1006),$AN$1006:$BO$1006,0)))),"Fix")))</f>
        <v>0</v>
      </c>
      <c r="X171" s="4">
        <f>IF(OR(INDEX($AH$2:$AH$1001,MATCH(ROWS($AG$2:AG171),$AG$2:$AG$1001,0),1)&gt;=100000,INDEX($AN$1005:$BO$1005,1,MATCH(COLUMNS($AN$1006:BJ1006),$AN$1006:$BO$1006,0))&gt;=100000), " ",IF(INDEX($AN$2:$BO$1001,MATCH(ROWS($AG$2:AG171),$AG$2:$AG$1001,0),MATCH(COLUMNS($AN$1006:BJ1006),$AN$1006:$BO$1006,0)), HYPERLINK("#",""), HYPERLINK(CONCATENATE("#Metadata!", ADDRESS(INDEX($AI$2:$AI$1001,MATCH(ROWS($AG$2:AG171),$AG$2:$AG$1001,0),0), INDEX($AN$1004:$BO$1004,1,MATCH(COLUMNS($AN$1006:BJ1006),$AN$1006:$BO$1006,0)))),"Fix")))</f>
        <v>0</v>
      </c>
      <c r="Y171" s="4">
        <f>IF(OR(INDEX($AH$2:$AH$1001,MATCH(ROWS($AG$2:AG171),$AG$2:$AG$1001,0),1)&gt;=100000,INDEX($AN$1005:$BO$1005,1,MATCH(COLUMNS($AN$1006:BK1006),$AN$1006:$BO$1006,0))&gt;=100000), " ",IF(INDEX($AN$2:$BO$1001,MATCH(ROWS($AG$2:AG171),$AG$2:$AG$1001,0),MATCH(COLUMNS($AN$1006:BK1006),$AN$1006:$BO$1006,0)), HYPERLINK("#",""), HYPERLINK(CONCATENATE("#Metadata!", ADDRESS(INDEX($AI$2:$AI$1001,MATCH(ROWS($AG$2:AG171),$AG$2:$AG$1001,0),0), INDEX($AN$1004:$BO$1004,1,MATCH(COLUMNS($AN$1006:BK1006),$AN$1006:$BO$1006,0)))),"Fix")))</f>
        <v>0</v>
      </c>
      <c r="Z171" s="4">
        <f>IF(OR(INDEX($AH$2:$AH$1001,MATCH(ROWS($AG$2:AG171),$AG$2:$AG$1001,0),1)&gt;=100000,INDEX($AN$1005:$BO$1005,1,MATCH(COLUMNS($AN$1006:BL1006),$AN$1006:$BO$1006,0))&gt;=100000), " ",IF(INDEX($AN$2:$BO$1001,MATCH(ROWS($AG$2:AG171),$AG$2:$AG$1001,0),MATCH(COLUMNS($AN$1006:BL1006),$AN$1006:$BO$1006,0)), HYPERLINK("#",""), HYPERLINK(CONCATENATE("#Metadata!", ADDRESS(INDEX($AI$2:$AI$1001,MATCH(ROWS($AG$2:AG171),$AG$2:$AG$1001,0),0), INDEX($AN$1004:$BO$1004,1,MATCH(COLUMNS($AN$1006:BL1006),$AN$1006:$BO$1006,0)))),"Fix")))</f>
        <v>0</v>
      </c>
      <c r="AA171" s="4">
        <f>IF(OR(INDEX($AH$2:$AH$1001,MATCH(ROWS($AG$2:AG171),$AG$2:$AG$1001,0),1)&gt;=100000,INDEX($AN$1005:$BO$1005,1,MATCH(COLUMNS($AN$1006:BM1006),$AN$1006:$BO$1006,0))&gt;=100000), " ",IF(INDEX($AN$2:$BO$1001,MATCH(ROWS($AG$2:AG171),$AG$2:$AG$1001,0),MATCH(COLUMNS($AN$1006:BM1006),$AN$1006:$BO$1006,0)), HYPERLINK("#",""), HYPERLINK(CONCATENATE("#Metadata!", ADDRESS(INDEX($AI$2:$AI$1001,MATCH(ROWS($AG$2:AG171),$AG$2:$AG$1001,0),0), INDEX($AN$1004:$BO$1004,1,MATCH(COLUMNS($AN$1006:BM1006),$AN$1006:$BO$1006,0)))),"Fix")))</f>
        <v>0</v>
      </c>
      <c r="AB171" s="4">
        <f>IF(OR(INDEX($AH$2:$AH$1001,MATCH(ROWS($AG$2:AG171),$AG$2:$AG$1001,0),1)&gt;=100000,INDEX($AN$1005:$BO$1005,1,MATCH(COLUMNS($AN$1006:BN1006),$AN$1006:$BO$1006,0))&gt;=100000), " ",IF(INDEX($AN$2:$BO$1001,MATCH(ROWS($AG$2:AG171),$AG$2:$AG$1001,0),MATCH(COLUMNS($AN$1006:BN1006),$AN$1006:$BO$1006,0)), HYPERLINK("#",""), HYPERLINK(CONCATENATE("#Metadata!", ADDRESS(INDEX($AI$2:$AI$1001,MATCH(ROWS($AG$2:AG171),$AG$2:$AG$1001,0),0), INDEX($AN$1004:$BO$1004,1,MATCH(COLUMNS($AN$1006:BN1006),$AN$1006:$BO$1006,0)))),"Fix")))</f>
        <v>0</v>
      </c>
      <c r="AC171" s="4">
        <f>IF(OR(INDEX($AH$2:$AH$1001,MATCH(ROWS($AG$2:AG171),$AG$2:$AG$1001,0),1)&gt;=100000,INDEX($AN$1005:$BO$1005,1,MATCH(COLUMNS($AN$1006:BO1006),$AN$1006:$BO$1006,0))&gt;=100000), " ",IF(INDEX($AN$2:$BO$1001,MATCH(ROWS($AG$2:AG171),$AG$2:$AG$1001,0),MATCH(COLUMNS($AN$1006:BO1006),$AN$1006:$BO$1006,0)), HYPERLINK("#",""), HYPERLINK(CONCATENATE("#Metadata!", ADDRESS(INDEX($AI$2:$AI$1001,MATCH(ROWS($AG$2:AG171),$AG$2:$AG$1001,0),0), INDEX($AN$1004:$BO$1004,1,MATCH(COLUMNS($AN$1006:BO1006),$AN$1006:$BO$1006,0)))),"Fix")))</f>
        <v>0</v>
      </c>
      <c r="AG171">
        <v>0</v>
      </c>
      <c r="AH171">
        <v>0</v>
      </c>
      <c r="AI171">
        <v>0</v>
      </c>
      <c r="AJ171">
        <f>IF(AK171,TRUE,AND(AN171:BO171))</f>
        <v>0</v>
      </c>
      <c r="AK171">
        <f>COUNTBLANK(Metadata!B171:AC171)=COLUMNS(Metadata!B171:AC171)</f>
        <v>0</v>
      </c>
      <c r="AL171">
        <v>0</v>
      </c>
      <c r="AN171">
        <f>AND(IF(Metadata!B171="",FALSE,TRUE),COUNTIF(Metadata!B:B, Metadata!B171) = 1,NOT(ISERROR(SUMPRODUCT(SEARCH(MID(Metadata!B171,ROW(INDIRECT("1:"&amp;LEN(Metadata!B171))), 1),"0123456789abcdefghijklmnopqrstuvwxyzABCDEFGHIJKLMNOPQRSTUVWXYZ.")))))</f>
        <v>0</v>
      </c>
      <c r="AO171">
        <f>IF(Metadata!C171="",FALSE,TRUE)</f>
        <v>0</v>
      </c>
      <c r="AP171">
        <f>IF(Metadata!D171="",FALSE,TRUE)</f>
        <v>0</v>
      </c>
      <c r="AQ171">
        <f>OR(AND(IF(Metadata!E171="",FALSE,TRUE),OR(exact(Metadata!E171,"not collected"),exact(Metadata!E171,"not provided"),exact(Metadata!E171,"restricted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R171">
        <f>IF(Metadata!F171="",FALSE,TRUE)</f>
        <v>0</v>
      </c>
      <c r="AS171">
        <f>OR(AND(IF(Metadata!G171="",FALSE,TRUE),OR(exact(Metadata!G171,"not collected"),exact(Metadata!G171,"not provided"))),AND(IF(Metadata!G171="",FALSE,TRUE),OR(exact(Metadata!G171,"TRUE"),exact(Metadata!G171,"FALSE"))))</f>
        <v>0</v>
      </c>
      <c r="AT171">
        <f>OR(AND(IF(Metadata!H171="",FALSE,TRUE),OR(exact(Metadata!H171,"not collected"),exact(Metadata!H171,"not provided"),exact(Metadata!H171,"restricted access"))),AND(IF(Metadata!H171="",FALSE,ISNUMBER(VALUE(Metadata!H171))),Metadata!H171&gt;=-413.0))</f>
        <v>0</v>
      </c>
      <c r="AU171">
        <f>AND(IF(Metadata!I171="",FALSE,TRUE),exact(Metadata!I171,"meters"))</f>
        <v>0</v>
      </c>
      <c r="AV171">
        <f>AND(IF(Metadata!J171="",FALSE,TRUE),OR(exact(Metadata!J171,"Host-associated"),exact(Metadata!J171,"Free-living")))</f>
        <v>0</v>
      </c>
      <c r="AW171">
        <f>AND(IF(Metadata!K171="",FALSE,TRUE),OR(exact(Metadata!K171,"Animal"),exact(Metadata!K171,"Fungus"),exact(Metadata!K171,"Plant"),exact(Metadata!K171,"Saline"),exact(Metadata!K171,"Non-saline")))</f>
        <v>0</v>
      </c>
      <c r="AX171">
        <f>AND(IF(Metadata!L171="",FALSE,TRUE),OR(exact(Metadata!L171,"Plant secretion"),exact(Metadata!L171,"Plant rhizosphere"),exact(Metadata!L171,"Plant surface"),exact(Metadata!L171,"Plant corpus"),exact(Metadata!L171,"Fungus surface"),exact(Metadata!L171,"Fungus corpus"),exact(Metadata!L171,"Animal surface"),exact(Metadata!L171,"Animal proximal gut"),exact(Metadata!L171,"Animal corpus"),exact(Metadata!L171,"Animal distal gut"),exact(Metadata!L171,"Animal secretion"),exact(Metadata!L171,"Sub-surface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Y171">
        <f>IF(Metadata!M171="",FALSE,TRUE)</f>
        <v>0</v>
      </c>
      <c r="AZ171">
        <f>IF(Metadata!N171="",FALSE,TRUE)</f>
        <v>0</v>
      </c>
      <c r="BA171">
        <f>IF(Metadata!O171="",FALSE,TRUE)</f>
        <v>0</v>
      </c>
      <c r="BB171">
        <f>OR(AND(IF(Metadata!P171="",FALSE,TRUE),OR(exact(Metadata!P171,"not collected"),exact(Metadata!P171,"not provided"),exact(Metadata!P171,"restricted access"))),AND(IF(Metadata!P171="",FALSE,TRUE),OR(exact(Metadata!P171,"air"),exact(Metadata!P171,"built environment"),exact(Metadata!P171,"host-associated"),exact(Metadata!P171,"human-associated"),exact(Metadata!P171,"human-skin"),exact(Metadata!P171,"human-oral"),exact(Metadata!P171,"human-gut"),exact(Metadata!P171,"human-vaginal"),exact(Metadata!P171,"microbial mat/biofilm"),exact(Metadata!P171,"misc environment"),exact(Metadata!P171,"plant-associated"),exact(Metadata!P171,"sediment"),exact(Metadata!P171,"soil"),exact(Metadata!P171,"wastewater/sludge"),exact(Metadata!P171,"water"))))</f>
        <v>0</v>
      </c>
      <c r="BC171">
        <f>IF(Metadata!Q171="",FALSE,TRUE)</f>
        <v>0</v>
      </c>
      <c r="BD171">
        <f>IF(Metadata!R171="",FALSE,TRUE)</f>
        <v>0</v>
      </c>
      <c r="BE171">
        <f>OR(AND(IF(Metadata!S171="",FALSE,TRUE),OR(exact(Metadata!S171,"not collected"),exact(Metadata!S171,"not provided"),exact(Metadata!S171,"restricted access"))),AND(IF(Metadata!S171="",FALSE,ISNUMBER(VALUE(Metadata!S171))),Metadata!S171&gt;=-90.00,Metadata!S171&lt;=90.00))</f>
        <v>0</v>
      </c>
      <c r="BF171">
        <f>AND(IF(Metadata!T171="",FALSE,TRUE),exact(Metadata!T171,"Decimal degrees"))</f>
        <v>0</v>
      </c>
      <c r="BG171">
        <f>OR(AND(IF(Metadata!U171="",FALSE,TRUE),OR(exact(Metadata!U171,"not collected"),exact(Metadata!U171,"not provided"),exact(Metadata!U171,"restricted access"))),AND(IF(Metadata!U171="",FALSE,ISNUMBER(VALUE(Metadata!U171))),Metadata!U171&gt;=-180.00,Metadata!U171&lt;=180.00))</f>
        <v>0</v>
      </c>
      <c r="BH171">
        <f>AND(IF(Metadata!V171="",FALSE,TRUE),exact(Metadata!V171,"Decimal degrees"))</f>
        <v>0</v>
      </c>
      <c r="BI171">
        <f>IF(Metadata!W171="",FALSE,TRUE)</f>
        <v>0</v>
      </c>
      <c r="BJ171">
        <f>OR(AND(IF(Metadata!X171="",FALSE,TRUE),OR(exact(Metadata!X171,"not collected"),exact(Metadata!X171,"not provided"),exact(Metadata!X171,"restricted access"))),AND(IF(Metadata!X171="",FALSE,TRUE),OR(exact(Metadata!X171,"TRUE"),exact(Metadata!X171,"FALSE"))))</f>
        <v>0</v>
      </c>
      <c r="BK171">
        <f>AND(IF(Metadata!Y171="",FALSE,TRUE),exact(Metadata!Y171,"other"))</f>
        <v>0</v>
      </c>
      <c r="BL171">
        <f>IF(Metadata!Z171="",FALSE,TRUE)</f>
        <v>0</v>
      </c>
      <c r="BM171">
        <f>OR(AND(IF(Metadata!AA171="",FALSE,TRUE),OR(exact(Metadata!AA171,"not collected"),exact(Metadata!AA171,"not provided"))),AND(IF(Metadata!AA171="",FALSE,IF(ISERROR(INT(Metadata!AA171)),FALSE,INT(Metadata!AA171)=Metadata!AA171)),Metadata!AA171&gt;0))</f>
        <v>0</v>
      </c>
      <c r="BN171">
        <f>AND(IF(Metadata!AB171="",FALSE,TRUE),exact(Metadata!AB171,"Not applicable"))</f>
        <v>0</v>
      </c>
      <c r="BO171">
        <f>IF(Metadata!AC171="",FALSE,TRUE)</f>
        <v>0</v>
      </c>
    </row>
    <row r="172" spans="1:67">
      <c r="A172" s="5">
        <f>IF(B172=" "," ",HYPERLINK(CONCATENATE("#metadata!",ADDRESS(INDEX($AI$2:$AI$1001,MATCH(ROWS($AG$2:AG172),$AG$2:$AG$1001,0),0),1)),INDEX($AL$2:$AL$1001,MATCH(ROWS($AG$2:AG172),$AG$2:$AG$1001,0),0)))</f>
        <v>0</v>
      </c>
      <c r="B172" s="4">
        <f>IF(OR(INDEX($AH$2:$AH$1001,MATCH(ROWS($AG$2:AG172),$AG$2:$AG$1001,0),1)&gt;=100000,INDEX($AN$1005:$BO$1005,1,MATCH(COLUMNS($AN$1006:AN1006),$AN$1006:$BO$1006,0))&gt;=100000), " ",IF(INDEX($AN$2:$BO$1001,MATCH(ROWS($AG$2:AG172),$AG$2:$AG$1001,0),MATCH(COLUMNS($AN$1006:AN1006),$AN$1006:$BO$1006,0)), HYPERLINK("#",""), HYPERLINK(CONCATENATE("#Metadata!", ADDRESS(INDEX($AI$2:$AI$1001,MATCH(ROWS($AG$2:AG172),$AG$2:$AG$1001,0),0), INDEX($AN$1004:$BO$1004,1,MATCH(COLUMNS($AN$1006:AN1006),$AN$1006:$BO$1006,0)))),"Fix")))</f>
        <v>0</v>
      </c>
      <c r="C172" s="4">
        <f>IF(OR(INDEX($AH$2:$AH$1001,MATCH(ROWS($AG$2:AG172),$AG$2:$AG$1001,0),1)&gt;=100000,INDEX($AN$1005:$BO$1005,1,MATCH(COLUMNS($AN$1006:AO1006),$AN$1006:$BO$1006,0))&gt;=100000), " ",IF(INDEX($AN$2:$BO$1001,MATCH(ROWS($AG$2:AG172),$AG$2:$AG$1001,0),MATCH(COLUMNS($AN$1006:AO1006),$AN$1006:$BO$1006,0)), HYPERLINK("#",""), HYPERLINK(CONCATENATE("#Metadata!", ADDRESS(INDEX($AI$2:$AI$1001,MATCH(ROWS($AG$2:AG172),$AG$2:$AG$1001,0),0), INDEX($AN$1004:$BO$1004,1,MATCH(COLUMNS($AN$1006:AO1006),$AN$1006:$BO$1006,0)))),"Fix")))</f>
        <v>0</v>
      </c>
      <c r="D172" s="4">
        <f>IF(OR(INDEX($AH$2:$AH$1001,MATCH(ROWS($AG$2:AG172),$AG$2:$AG$1001,0),1)&gt;=100000,INDEX($AN$1005:$BO$1005,1,MATCH(COLUMNS($AN$1006:AP1006),$AN$1006:$BO$1006,0))&gt;=100000), " ",IF(INDEX($AN$2:$BO$1001,MATCH(ROWS($AG$2:AG172),$AG$2:$AG$1001,0),MATCH(COLUMNS($AN$1006:AP1006),$AN$1006:$BO$1006,0)), HYPERLINK("#",""), HYPERLINK(CONCATENATE("#Metadata!", ADDRESS(INDEX($AI$2:$AI$1001,MATCH(ROWS($AG$2:AG172),$AG$2:$AG$1001,0),0), INDEX($AN$1004:$BO$1004,1,MATCH(COLUMNS($AN$1006:AP1006),$AN$1006:$BO$1006,0)))),"Fix")))</f>
        <v>0</v>
      </c>
      <c r="E172" s="4">
        <f>IF(OR(INDEX($AH$2:$AH$1001,MATCH(ROWS($AG$2:AG172),$AG$2:$AG$1001,0),1)&gt;=100000,INDEX($AN$1005:$BO$1005,1,MATCH(COLUMNS($AN$1006:AQ1006),$AN$1006:$BO$1006,0))&gt;=100000), " ",IF(INDEX($AN$2:$BO$1001,MATCH(ROWS($AG$2:AG172),$AG$2:$AG$1001,0),MATCH(COLUMNS($AN$1006:AQ1006),$AN$1006:$BO$1006,0)), HYPERLINK("#",""), HYPERLINK(CONCATENATE("#Metadata!", ADDRESS(INDEX($AI$2:$AI$1001,MATCH(ROWS($AG$2:AG172),$AG$2:$AG$1001,0),0), INDEX($AN$1004:$BO$1004,1,MATCH(COLUMNS($AN$1006:AQ1006),$AN$1006:$BO$1006,0)))),"Fix")))</f>
        <v>0</v>
      </c>
      <c r="F172" s="4">
        <f>IF(OR(INDEX($AH$2:$AH$1001,MATCH(ROWS($AG$2:AG172),$AG$2:$AG$1001,0),1)&gt;=100000,INDEX($AN$1005:$BO$1005,1,MATCH(COLUMNS($AN$1006:AR1006),$AN$1006:$BO$1006,0))&gt;=100000), " ",IF(INDEX($AN$2:$BO$1001,MATCH(ROWS($AG$2:AG172),$AG$2:$AG$1001,0),MATCH(COLUMNS($AN$1006:AR1006),$AN$1006:$BO$1006,0)), HYPERLINK("#",""), HYPERLINK(CONCATENATE("#Metadata!", ADDRESS(INDEX($AI$2:$AI$1001,MATCH(ROWS($AG$2:AG172),$AG$2:$AG$1001,0),0), INDEX($AN$1004:$BO$1004,1,MATCH(COLUMNS($AN$1006:AR1006),$AN$1006:$BO$1006,0)))),"Fix")))</f>
        <v>0</v>
      </c>
      <c r="G172" s="4">
        <f>IF(OR(INDEX($AH$2:$AH$1001,MATCH(ROWS($AG$2:AG172),$AG$2:$AG$1001,0),1)&gt;=100000,INDEX($AN$1005:$BO$1005,1,MATCH(COLUMNS($AN$1006:AS1006),$AN$1006:$BO$1006,0))&gt;=100000), " ",IF(INDEX($AN$2:$BO$1001,MATCH(ROWS($AG$2:AG172),$AG$2:$AG$1001,0),MATCH(COLUMNS($AN$1006:AS1006),$AN$1006:$BO$1006,0)), HYPERLINK("#",""), HYPERLINK(CONCATENATE("#Metadata!", ADDRESS(INDEX($AI$2:$AI$1001,MATCH(ROWS($AG$2:AG172),$AG$2:$AG$1001,0),0), INDEX($AN$1004:$BO$1004,1,MATCH(COLUMNS($AN$1006:AS1006),$AN$1006:$BO$1006,0)))),"Fix")))</f>
        <v>0</v>
      </c>
      <c r="H172" s="4">
        <f>IF(OR(INDEX($AH$2:$AH$1001,MATCH(ROWS($AG$2:AG172),$AG$2:$AG$1001,0),1)&gt;=100000,INDEX($AN$1005:$BO$1005,1,MATCH(COLUMNS($AN$1006:AT1006),$AN$1006:$BO$1006,0))&gt;=100000), " ",IF(INDEX($AN$2:$BO$1001,MATCH(ROWS($AG$2:AG172),$AG$2:$AG$1001,0),MATCH(COLUMNS($AN$1006:AT1006),$AN$1006:$BO$1006,0)), HYPERLINK("#",""), HYPERLINK(CONCATENATE("#Metadata!", ADDRESS(INDEX($AI$2:$AI$1001,MATCH(ROWS($AG$2:AG172),$AG$2:$AG$1001,0),0), INDEX($AN$1004:$BO$1004,1,MATCH(COLUMNS($AN$1006:AT1006),$AN$1006:$BO$1006,0)))),"Fix")))</f>
        <v>0</v>
      </c>
      <c r="I172" s="4">
        <f>IF(OR(INDEX($AH$2:$AH$1001,MATCH(ROWS($AG$2:AG172),$AG$2:$AG$1001,0),1)&gt;=100000,INDEX($AN$1005:$BO$1005,1,MATCH(COLUMNS($AN$1006:AU1006),$AN$1006:$BO$1006,0))&gt;=100000), " ",IF(INDEX($AN$2:$BO$1001,MATCH(ROWS($AG$2:AG172),$AG$2:$AG$1001,0),MATCH(COLUMNS($AN$1006:AU1006),$AN$1006:$BO$1006,0)), HYPERLINK("#",""), HYPERLINK(CONCATENATE("#Metadata!", ADDRESS(INDEX($AI$2:$AI$1001,MATCH(ROWS($AG$2:AG172),$AG$2:$AG$1001,0),0), INDEX($AN$1004:$BO$1004,1,MATCH(COLUMNS($AN$1006:AU1006),$AN$1006:$BO$1006,0)))),"Fix")))</f>
        <v>0</v>
      </c>
      <c r="J172" s="4">
        <f>IF(OR(INDEX($AH$2:$AH$1001,MATCH(ROWS($AG$2:AG172),$AG$2:$AG$1001,0),1)&gt;=100000,INDEX($AN$1005:$BO$1005,1,MATCH(COLUMNS($AN$1006:AV1006),$AN$1006:$BO$1006,0))&gt;=100000), " ",IF(INDEX($AN$2:$BO$1001,MATCH(ROWS($AG$2:AG172),$AG$2:$AG$1001,0),MATCH(COLUMNS($AN$1006:AV1006),$AN$1006:$BO$1006,0)), HYPERLINK("#",""), HYPERLINK(CONCATENATE("#Metadata!", ADDRESS(INDEX($AI$2:$AI$1001,MATCH(ROWS($AG$2:AG172),$AG$2:$AG$1001,0),0), INDEX($AN$1004:$BO$1004,1,MATCH(COLUMNS($AN$1006:AV1006),$AN$1006:$BO$1006,0)))),"Fix")))</f>
        <v>0</v>
      </c>
      <c r="K172" s="4">
        <f>IF(OR(INDEX($AH$2:$AH$1001,MATCH(ROWS($AG$2:AG172),$AG$2:$AG$1001,0),1)&gt;=100000,INDEX($AN$1005:$BO$1005,1,MATCH(COLUMNS($AN$1006:AW1006),$AN$1006:$BO$1006,0))&gt;=100000), " ",IF(INDEX($AN$2:$BO$1001,MATCH(ROWS($AG$2:AG172),$AG$2:$AG$1001,0),MATCH(COLUMNS($AN$1006:AW1006),$AN$1006:$BO$1006,0)), HYPERLINK("#",""), HYPERLINK(CONCATENATE("#Metadata!", ADDRESS(INDEX($AI$2:$AI$1001,MATCH(ROWS($AG$2:AG172),$AG$2:$AG$1001,0),0), INDEX($AN$1004:$BO$1004,1,MATCH(COLUMNS($AN$1006:AW1006),$AN$1006:$BO$1006,0)))),"Fix")))</f>
        <v>0</v>
      </c>
      <c r="L172" s="4">
        <f>IF(OR(INDEX($AH$2:$AH$1001,MATCH(ROWS($AG$2:AG172),$AG$2:$AG$1001,0),1)&gt;=100000,INDEX($AN$1005:$BO$1005,1,MATCH(COLUMNS($AN$1006:AX1006),$AN$1006:$BO$1006,0))&gt;=100000), " ",IF(INDEX($AN$2:$BO$1001,MATCH(ROWS($AG$2:AG172),$AG$2:$AG$1001,0),MATCH(COLUMNS($AN$1006:AX1006),$AN$1006:$BO$1006,0)), HYPERLINK("#",""), HYPERLINK(CONCATENATE("#Metadata!", ADDRESS(INDEX($AI$2:$AI$1001,MATCH(ROWS($AG$2:AG172),$AG$2:$AG$1001,0),0), INDEX($AN$1004:$BO$1004,1,MATCH(COLUMNS($AN$1006:AX1006),$AN$1006:$BO$1006,0)))),"Fix")))</f>
        <v>0</v>
      </c>
      <c r="M172" s="4">
        <f>IF(OR(INDEX($AH$2:$AH$1001,MATCH(ROWS($AG$2:AG172),$AG$2:$AG$1001,0),1)&gt;=100000,INDEX($AN$1005:$BO$1005,1,MATCH(COLUMNS($AN$1006:AY1006),$AN$1006:$BO$1006,0))&gt;=100000), " ",IF(INDEX($AN$2:$BO$1001,MATCH(ROWS($AG$2:AG172),$AG$2:$AG$1001,0),MATCH(COLUMNS($AN$1006:AY1006),$AN$1006:$BO$1006,0)), HYPERLINK("#",""), HYPERLINK(CONCATENATE("#Metadata!", ADDRESS(INDEX($AI$2:$AI$1001,MATCH(ROWS($AG$2:AG172),$AG$2:$AG$1001,0),0), INDEX($AN$1004:$BO$1004,1,MATCH(COLUMNS($AN$1006:AY1006),$AN$1006:$BO$1006,0)))),"Fix")))</f>
        <v>0</v>
      </c>
      <c r="N172" s="4">
        <f>IF(OR(INDEX($AH$2:$AH$1001,MATCH(ROWS($AG$2:AG172),$AG$2:$AG$1001,0),1)&gt;=100000,INDEX($AN$1005:$BO$1005,1,MATCH(COLUMNS($AN$1006:AZ1006),$AN$1006:$BO$1006,0))&gt;=100000), " ",IF(INDEX($AN$2:$BO$1001,MATCH(ROWS($AG$2:AG172),$AG$2:$AG$1001,0),MATCH(COLUMNS($AN$1006:AZ1006),$AN$1006:$BO$1006,0)), HYPERLINK("#",""), HYPERLINK(CONCATENATE("#Metadata!", ADDRESS(INDEX($AI$2:$AI$1001,MATCH(ROWS($AG$2:AG172),$AG$2:$AG$1001,0),0), INDEX($AN$1004:$BO$1004,1,MATCH(COLUMNS($AN$1006:AZ1006),$AN$1006:$BO$1006,0)))),"Fix")))</f>
        <v>0</v>
      </c>
      <c r="O172" s="4">
        <f>IF(OR(INDEX($AH$2:$AH$1001,MATCH(ROWS($AG$2:AG172),$AG$2:$AG$1001,0),1)&gt;=100000,INDEX($AN$1005:$BO$1005,1,MATCH(COLUMNS($AN$1006:BA1006),$AN$1006:$BO$1006,0))&gt;=100000), " ",IF(INDEX($AN$2:$BO$1001,MATCH(ROWS($AG$2:AG172),$AG$2:$AG$1001,0),MATCH(COLUMNS($AN$1006:BA1006),$AN$1006:$BO$1006,0)), HYPERLINK("#",""), HYPERLINK(CONCATENATE("#Metadata!", ADDRESS(INDEX($AI$2:$AI$1001,MATCH(ROWS($AG$2:AG172),$AG$2:$AG$1001,0),0), INDEX($AN$1004:$BO$1004,1,MATCH(COLUMNS($AN$1006:BA1006),$AN$1006:$BO$1006,0)))),"Fix")))</f>
        <v>0</v>
      </c>
      <c r="P172" s="4">
        <f>IF(OR(INDEX($AH$2:$AH$1001,MATCH(ROWS($AG$2:AG172),$AG$2:$AG$1001,0),1)&gt;=100000,INDEX($AN$1005:$BO$1005,1,MATCH(COLUMNS($AN$1006:BB1006),$AN$1006:$BO$1006,0))&gt;=100000), " ",IF(INDEX($AN$2:$BO$1001,MATCH(ROWS($AG$2:AG172),$AG$2:$AG$1001,0),MATCH(COLUMNS($AN$1006:BB1006),$AN$1006:$BO$1006,0)), HYPERLINK("#",""), HYPERLINK(CONCATENATE("#Metadata!", ADDRESS(INDEX($AI$2:$AI$1001,MATCH(ROWS($AG$2:AG172),$AG$2:$AG$1001,0),0), INDEX($AN$1004:$BO$1004,1,MATCH(COLUMNS($AN$1006:BB1006),$AN$1006:$BO$1006,0)))),"Fix")))</f>
        <v>0</v>
      </c>
      <c r="Q172" s="4">
        <f>IF(OR(INDEX($AH$2:$AH$1001,MATCH(ROWS($AG$2:AG172),$AG$2:$AG$1001,0),1)&gt;=100000,INDEX($AN$1005:$BO$1005,1,MATCH(COLUMNS($AN$1006:BC1006),$AN$1006:$BO$1006,0))&gt;=100000), " ",IF(INDEX($AN$2:$BO$1001,MATCH(ROWS($AG$2:AG172),$AG$2:$AG$1001,0),MATCH(COLUMNS($AN$1006:BC1006),$AN$1006:$BO$1006,0)), HYPERLINK("#",""), HYPERLINK(CONCATENATE("#Metadata!", ADDRESS(INDEX($AI$2:$AI$1001,MATCH(ROWS($AG$2:AG172),$AG$2:$AG$1001,0),0), INDEX($AN$1004:$BO$1004,1,MATCH(COLUMNS($AN$1006:BC1006),$AN$1006:$BO$1006,0)))),"Fix")))</f>
        <v>0</v>
      </c>
      <c r="R172" s="4">
        <f>IF(OR(INDEX($AH$2:$AH$1001,MATCH(ROWS($AG$2:AG172),$AG$2:$AG$1001,0),1)&gt;=100000,INDEX($AN$1005:$BO$1005,1,MATCH(COLUMNS($AN$1006:BD1006),$AN$1006:$BO$1006,0))&gt;=100000), " ",IF(INDEX($AN$2:$BO$1001,MATCH(ROWS($AG$2:AG172),$AG$2:$AG$1001,0),MATCH(COLUMNS($AN$1006:BD1006),$AN$1006:$BO$1006,0)), HYPERLINK("#",""), HYPERLINK(CONCATENATE("#Metadata!", ADDRESS(INDEX($AI$2:$AI$1001,MATCH(ROWS($AG$2:AG172),$AG$2:$AG$1001,0),0), INDEX($AN$1004:$BO$1004,1,MATCH(COLUMNS($AN$1006:BD1006),$AN$1006:$BO$1006,0)))),"Fix")))</f>
        <v>0</v>
      </c>
      <c r="S172" s="4">
        <f>IF(OR(INDEX($AH$2:$AH$1001,MATCH(ROWS($AG$2:AG172),$AG$2:$AG$1001,0),1)&gt;=100000,INDEX($AN$1005:$BO$1005,1,MATCH(COLUMNS($AN$1006:BE1006),$AN$1006:$BO$1006,0))&gt;=100000), " ",IF(INDEX($AN$2:$BO$1001,MATCH(ROWS($AG$2:AG172),$AG$2:$AG$1001,0),MATCH(COLUMNS($AN$1006:BE1006),$AN$1006:$BO$1006,0)), HYPERLINK("#",""), HYPERLINK(CONCATENATE("#Metadata!", ADDRESS(INDEX($AI$2:$AI$1001,MATCH(ROWS($AG$2:AG172),$AG$2:$AG$1001,0),0), INDEX($AN$1004:$BO$1004,1,MATCH(COLUMNS($AN$1006:BE1006),$AN$1006:$BO$1006,0)))),"Fix")))</f>
        <v>0</v>
      </c>
      <c r="T172" s="4">
        <f>IF(OR(INDEX($AH$2:$AH$1001,MATCH(ROWS($AG$2:AG172),$AG$2:$AG$1001,0),1)&gt;=100000,INDEX($AN$1005:$BO$1005,1,MATCH(COLUMNS($AN$1006:BF1006),$AN$1006:$BO$1006,0))&gt;=100000), " ",IF(INDEX($AN$2:$BO$1001,MATCH(ROWS($AG$2:AG172),$AG$2:$AG$1001,0),MATCH(COLUMNS($AN$1006:BF1006),$AN$1006:$BO$1006,0)), HYPERLINK("#",""), HYPERLINK(CONCATENATE("#Metadata!", ADDRESS(INDEX($AI$2:$AI$1001,MATCH(ROWS($AG$2:AG172),$AG$2:$AG$1001,0),0), INDEX($AN$1004:$BO$1004,1,MATCH(COLUMNS($AN$1006:BF1006),$AN$1006:$BO$1006,0)))),"Fix")))</f>
        <v>0</v>
      </c>
      <c r="U172" s="4">
        <f>IF(OR(INDEX($AH$2:$AH$1001,MATCH(ROWS($AG$2:AG172),$AG$2:$AG$1001,0),1)&gt;=100000,INDEX($AN$1005:$BO$1005,1,MATCH(COLUMNS($AN$1006:BG1006),$AN$1006:$BO$1006,0))&gt;=100000), " ",IF(INDEX($AN$2:$BO$1001,MATCH(ROWS($AG$2:AG172),$AG$2:$AG$1001,0),MATCH(COLUMNS($AN$1006:BG1006),$AN$1006:$BO$1006,0)), HYPERLINK("#",""), HYPERLINK(CONCATENATE("#Metadata!", ADDRESS(INDEX($AI$2:$AI$1001,MATCH(ROWS($AG$2:AG172),$AG$2:$AG$1001,0),0), INDEX($AN$1004:$BO$1004,1,MATCH(COLUMNS($AN$1006:BG1006),$AN$1006:$BO$1006,0)))),"Fix")))</f>
        <v>0</v>
      </c>
      <c r="V172" s="4">
        <f>IF(OR(INDEX($AH$2:$AH$1001,MATCH(ROWS($AG$2:AG172),$AG$2:$AG$1001,0),1)&gt;=100000,INDEX($AN$1005:$BO$1005,1,MATCH(COLUMNS($AN$1006:BH1006),$AN$1006:$BO$1006,0))&gt;=100000), " ",IF(INDEX($AN$2:$BO$1001,MATCH(ROWS($AG$2:AG172),$AG$2:$AG$1001,0),MATCH(COLUMNS($AN$1006:BH1006),$AN$1006:$BO$1006,0)), HYPERLINK("#",""), HYPERLINK(CONCATENATE("#Metadata!", ADDRESS(INDEX($AI$2:$AI$1001,MATCH(ROWS($AG$2:AG172),$AG$2:$AG$1001,0),0), INDEX($AN$1004:$BO$1004,1,MATCH(COLUMNS($AN$1006:BH1006),$AN$1006:$BO$1006,0)))),"Fix")))</f>
        <v>0</v>
      </c>
      <c r="W172" s="4">
        <f>IF(OR(INDEX($AH$2:$AH$1001,MATCH(ROWS($AG$2:AG172),$AG$2:$AG$1001,0),1)&gt;=100000,INDEX($AN$1005:$BO$1005,1,MATCH(COLUMNS($AN$1006:BI1006),$AN$1006:$BO$1006,0))&gt;=100000), " ",IF(INDEX($AN$2:$BO$1001,MATCH(ROWS($AG$2:AG172),$AG$2:$AG$1001,0),MATCH(COLUMNS($AN$1006:BI1006),$AN$1006:$BO$1006,0)), HYPERLINK("#",""), HYPERLINK(CONCATENATE("#Metadata!", ADDRESS(INDEX($AI$2:$AI$1001,MATCH(ROWS($AG$2:AG172),$AG$2:$AG$1001,0),0), INDEX($AN$1004:$BO$1004,1,MATCH(COLUMNS($AN$1006:BI1006),$AN$1006:$BO$1006,0)))),"Fix")))</f>
        <v>0</v>
      </c>
      <c r="X172" s="4">
        <f>IF(OR(INDEX($AH$2:$AH$1001,MATCH(ROWS($AG$2:AG172),$AG$2:$AG$1001,0),1)&gt;=100000,INDEX($AN$1005:$BO$1005,1,MATCH(COLUMNS($AN$1006:BJ1006),$AN$1006:$BO$1006,0))&gt;=100000), " ",IF(INDEX($AN$2:$BO$1001,MATCH(ROWS($AG$2:AG172),$AG$2:$AG$1001,0),MATCH(COLUMNS($AN$1006:BJ1006),$AN$1006:$BO$1006,0)), HYPERLINK("#",""), HYPERLINK(CONCATENATE("#Metadata!", ADDRESS(INDEX($AI$2:$AI$1001,MATCH(ROWS($AG$2:AG172),$AG$2:$AG$1001,0),0), INDEX($AN$1004:$BO$1004,1,MATCH(COLUMNS($AN$1006:BJ1006),$AN$1006:$BO$1006,0)))),"Fix")))</f>
        <v>0</v>
      </c>
      <c r="Y172" s="4">
        <f>IF(OR(INDEX($AH$2:$AH$1001,MATCH(ROWS($AG$2:AG172),$AG$2:$AG$1001,0),1)&gt;=100000,INDEX($AN$1005:$BO$1005,1,MATCH(COLUMNS($AN$1006:BK1006),$AN$1006:$BO$1006,0))&gt;=100000), " ",IF(INDEX($AN$2:$BO$1001,MATCH(ROWS($AG$2:AG172),$AG$2:$AG$1001,0),MATCH(COLUMNS($AN$1006:BK1006),$AN$1006:$BO$1006,0)), HYPERLINK("#",""), HYPERLINK(CONCATENATE("#Metadata!", ADDRESS(INDEX($AI$2:$AI$1001,MATCH(ROWS($AG$2:AG172),$AG$2:$AG$1001,0),0), INDEX($AN$1004:$BO$1004,1,MATCH(COLUMNS($AN$1006:BK1006),$AN$1006:$BO$1006,0)))),"Fix")))</f>
        <v>0</v>
      </c>
      <c r="Z172" s="4">
        <f>IF(OR(INDEX($AH$2:$AH$1001,MATCH(ROWS($AG$2:AG172),$AG$2:$AG$1001,0),1)&gt;=100000,INDEX($AN$1005:$BO$1005,1,MATCH(COLUMNS($AN$1006:BL1006),$AN$1006:$BO$1006,0))&gt;=100000), " ",IF(INDEX($AN$2:$BO$1001,MATCH(ROWS($AG$2:AG172),$AG$2:$AG$1001,0),MATCH(COLUMNS($AN$1006:BL1006),$AN$1006:$BO$1006,0)), HYPERLINK("#",""), HYPERLINK(CONCATENATE("#Metadata!", ADDRESS(INDEX($AI$2:$AI$1001,MATCH(ROWS($AG$2:AG172),$AG$2:$AG$1001,0),0), INDEX($AN$1004:$BO$1004,1,MATCH(COLUMNS($AN$1006:BL1006),$AN$1006:$BO$1006,0)))),"Fix")))</f>
        <v>0</v>
      </c>
      <c r="AA172" s="4">
        <f>IF(OR(INDEX($AH$2:$AH$1001,MATCH(ROWS($AG$2:AG172),$AG$2:$AG$1001,0),1)&gt;=100000,INDEX($AN$1005:$BO$1005,1,MATCH(COLUMNS($AN$1006:BM1006),$AN$1006:$BO$1006,0))&gt;=100000), " ",IF(INDEX($AN$2:$BO$1001,MATCH(ROWS($AG$2:AG172),$AG$2:$AG$1001,0),MATCH(COLUMNS($AN$1006:BM1006),$AN$1006:$BO$1006,0)), HYPERLINK("#",""), HYPERLINK(CONCATENATE("#Metadata!", ADDRESS(INDEX($AI$2:$AI$1001,MATCH(ROWS($AG$2:AG172),$AG$2:$AG$1001,0),0), INDEX($AN$1004:$BO$1004,1,MATCH(COLUMNS($AN$1006:BM1006),$AN$1006:$BO$1006,0)))),"Fix")))</f>
        <v>0</v>
      </c>
      <c r="AB172" s="4">
        <f>IF(OR(INDEX($AH$2:$AH$1001,MATCH(ROWS($AG$2:AG172),$AG$2:$AG$1001,0),1)&gt;=100000,INDEX($AN$1005:$BO$1005,1,MATCH(COLUMNS($AN$1006:BN1006),$AN$1006:$BO$1006,0))&gt;=100000), " ",IF(INDEX($AN$2:$BO$1001,MATCH(ROWS($AG$2:AG172),$AG$2:$AG$1001,0),MATCH(COLUMNS($AN$1006:BN1006),$AN$1006:$BO$1006,0)), HYPERLINK("#",""), HYPERLINK(CONCATENATE("#Metadata!", ADDRESS(INDEX($AI$2:$AI$1001,MATCH(ROWS($AG$2:AG172),$AG$2:$AG$1001,0),0), INDEX($AN$1004:$BO$1004,1,MATCH(COLUMNS($AN$1006:BN1006),$AN$1006:$BO$1006,0)))),"Fix")))</f>
        <v>0</v>
      </c>
      <c r="AC172" s="4">
        <f>IF(OR(INDEX($AH$2:$AH$1001,MATCH(ROWS($AG$2:AG172),$AG$2:$AG$1001,0),1)&gt;=100000,INDEX($AN$1005:$BO$1005,1,MATCH(COLUMNS($AN$1006:BO1006),$AN$1006:$BO$1006,0))&gt;=100000), " ",IF(INDEX($AN$2:$BO$1001,MATCH(ROWS($AG$2:AG172),$AG$2:$AG$1001,0),MATCH(COLUMNS($AN$1006:BO1006),$AN$1006:$BO$1006,0)), HYPERLINK("#",""), HYPERLINK(CONCATENATE("#Metadata!", ADDRESS(INDEX($AI$2:$AI$1001,MATCH(ROWS($AG$2:AG172),$AG$2:$AG$1001,0),0), INDEX($AN$1004:$BO$1004,1,MATCH(COLUMNS($AN$1006:BO1006),$AN$1006:$BO$1006,0)))),"Fix")))</f>
        <v>0</v>
      </c>
      <c r="AG172">
        <v>0</v>
      </c>
      <c r="AH172">
        <v>0</v>
      </c>
      <c r="AI172">
        <v>0</v>
      </c>
      <c r="AJ172">
        <f>IF(AK172,TRUE,AND(AN172:BO172))</f>
        <v>0</v>
      </c>
      <c r="AK172">
        <f>COUNTBLANK(Metadata!B172:AC172)=COLUMNS(Metadata!B172:AC172)</f>
        <v>0</v>
      </c>
      <c r="AL172">
        <v>0</v>
      </c>
      <c r="AN172">
        <f>AND(IF(Metadata!B172="",FALSE,TRUE),COUNTIF(Metadata!B:B, Metadata!B172) = 1,NOT(ISERROR(SUMPRODUCT(SEARCH(MID(Metadata!B172,ROW(INDIRECT("1:"&amp;LEN(Metadata!B172))), 1),"0123456789abcdefghijklmnopqrstuvwxyzABCDEFGHIJKLMNOPQRSTUVWXYZ.")))))</f>
        <v>0</v>
      </c>
      <c r="AO172">
        <f>IF(Metadata!C172="",FALSE,TRUE)</f>
        <v>0</v>
      </c>
      <c r="AP172">
        <f>IF(Metadata!D172="",FALSE,TRUE)</f>
        <v>0</v>
      </c>
      <c r="AQ172">
        <f>OR(AND(IF(Metadata!E172="",FALSE,TRUE),OR(exact(Metadata!E172,"not collected"),exact(Metadata!E172,"not provided"),exact(Metadata!E172,"restricted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R172">
        <f>IF(Metadata!F172="",FALSE,TRUE)</f>
        <v>0</v>
      </c>
      <c r="AS172">
        <f>OR(AND(IF(Metadata!G172="",FALSE,TRUE),OR(exact(Metadata!G172,"not collected"),exact(Metadata!G172,"not provided"))),AND(IF(Metadata!G172="",FALSE,TRUE),OR(exact(Metadata!G172,"TRUE"),exact(Metadata!G172,"FALSE"))))</f>
        <v>0</v>
      </c>
      <c r="AT172">
        <f>OR(AND(IF(Metadata!H172="",FALSE,TRUE),OR(exact(Metadata!H172,"not collected"),exact(Metadata!H172,"not provided"),exact(Metadata!H172,"restricted access"))),AND(IF(Metadata!H172="",FALSE,ISNUMBER(VALUE(Metadata!H172))),Metadata!H172&gt;=-413.0))</f>
        <v>0</v>
      </c>
      <c r="AU172">
        <f>AND(IF(Metadata!I172="",FALSE,TRUE),exact(Metadata!I172,"meters"))</f>
        <v>0</v>
      </c>
      <c r="AV172">
        <f>AND(IF(Metadata!J172="",FALSE,TRUE),OR(exact(Metadata!J172,"Host-associated"),exact(Metadata!J172,"Free-living")))</f>
        <v>0</v>
      </c>
      <c r="AW172">
        <f>AND(IF(Metadata!K172="",FALSE,TRUE),OR(exact(Metadata!K172,"Animal"),exact(Metadata!K172,"Fungus"),exact(Metadata!K172,"Plant"),exact(Metadata!K172,"Saline"),exact(Metadata!K172,"Non-saline")))</f>
        <v>0</v>
      </c>
      <c r="AX172">
        <f>AND(IF(Metadata!L172="",FALSE,TRUE),OR(exact(Metadata!L172,"Plant secretion"),exact(Metadata!L172,"Plant rhizosphere"),exact(Metadata!L172,"Plant surface"),exact(Metadata!L172,"Plant corpus"),exact(Metadata!L172,"Fungus surface"),exact(Metadata!L172,"Fungus corpus"),exact(Metadata!L172,"Animal surface"),exact(Metadata!L172,"Animal proximal gut"),exact(Metadata!L172,"Animal corpus"),exact(Metadata!L172,"Animal distal gut"),exact(Metadata!L172,"Animal secretion"),exact(Metadata!L172,"Sub-surface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Y172">
        <f>IF(Metadata!M172="",FALSE,TRUE)</f>
        <v>0</v>
      </c>
      <c r="AZ172">
        <f>IF(Metadata!N172="",FALSE,TRUE)</f>
        <v>0</v>
      </c>
      <c r="BA172">
        <f>IF(Metadata!O172="",FALSE,TRUE)</f>
        <v>0</v>
      </c>
      <c r="BB172">
        <f>OR(AND(IF(Metadata!P172="",FALSE,TRUE),OR(exact(Metadata!P172,"not collected"),exact(Metadata!P172,"not provided"),exact(Metadata!P172,"restricted access"))),AND(IF(Metadata!P172="",FALSE,TRUE),OR(exact(Metadata!P172,"air"),exact(Metadata!P172,"built environment"),exact(Metadata!P172,"host-associated"),exact(Metadata!P172,"human-associated"),exact(Metadata!P172,"human-skin"),exact(Metadata!P172,"human-oral"),exact(Metadata!P172,"human-gut"),exact(Metadata!P172,"human-vaginal"),exact(Metadata!P172,"microbial mat/biofilm"),exact(Metadata!P172,"misc environment"),exact(Metadata!P172,"plant-associated"),exact(Metadata!P172,"sediment"),exact(Metadata!P172,"soil"),exact(Metadata!P172,"wastewater/sludge"),exact(Metadata!P172,"water"))))</f>
        <v>0</v>
      </c>
      <c r="BC172">
        <f>IF(Metadata!Q172="",FALSE,TRUE)</f>
        <v>0</v>
      </c>
      <c r="BD172">
        <f>IF(Metadata!R172="",FALSE,TRUE)</f>
        <v>0</v>
      </c>
      <c r="BE172">
        <f>OR(AND(IF(Metadata!S172="",FALSE,TRUE),OR(exact(Metadata!S172,"not collected"),exact(Metadata!S172,"not provided"),exact(Metadata!S172,"restricted access"))),AND(IF(Metadata!S172="",FALSE,ISNUMBER(VALUE(Metadata!S172))),Metadata!S172&gt;=-90.00,Metadata!S172&lt;=90.00))</f>
        <v>0</v>
      </c>
      <c r="BF172">
        <f>AND(IF(Metadata!T172="",FALSE,TRUE),exact(Metadata!T172,"Decimal degrees"))</f>
        <v>0</v>
      </c>
      <c r="BG172">
        <f>OR(AND(IF(Metadata!U172="",FALSE,TRUE),OR(exact(Metadata!U172,"not collected"),exact(Metadata!U172,"not provided"),exact(Metadata!U172,"restricted access"))),AND(IF(Metadata!U172="",FALSE,ISNUMBER(VALUE(Metadata!U172))),Metadata!U172&gt;=-180.00,Metadata!U172&lt;=180.00))</f>
        <v>0</v>
      </c>
      <c r="BH172">
        <f>AND(IF(Metadata!V172="",FALSE,TRUE),exact(Metadata!V172,"Decimal degrees"))</f>
        <v>0</v>
      </c>
      <c r="BI172">
        <f>IF(Metadata!W172="",FALSE,TRUE)</f>
        <v>0</v>
      </c>
      <c r="BJ172">
        <f>OR(AND(IF(Metadata!X172="",FALSE,TRUE),OR(exact(Metadata!X172,"not collected"),exact(Metadata!X172,"not provided"),exact(Metadata!X172,"restricted access"))),AND(IF(Metadata!X172="",FALSE,TRUE),OR(exact(Metadata!X172,"TRUE"),exact(Metadata!X172,"FALSE"))))</f>
        <v>0</v>
      </c>
      <c r="BK172">
        <f>AND(IF(Metadata!Y172="",FALSE,TRUE),exact(Metadata!Y172,"other"))</f>
        <v>0</v>
      </c>
      <c r="BL172">
        <f>IF(Metadata!Z172="",FALSE,TRUE)</f>
        <v>0</v>
      </c>
      <c r="BM172">
        <f>OR(AND(IF(Metadata!AA172="",FALSE,TRUE),OR(exact(Metadata!AA172,"not collected"),exact(Metadata!AA172,"not provided"))),AND(IF(Metadata!AA172="",FALSE,IF(ISERROR(INT(Metadata!AA172)),FALSE,INT(Metadata!AA172)=Metadata!AA172)),Metadata!AA172&gt;0))</f>
        <v>0</v>
      </c>
      <c r="BN172">
        <f>AND(IF(Metadata!AB172="",FALSE,TRUE),exact(Metadata!AB172,"Not applicable"))</f>
        <v>0</v>
      </c>
      <c r="BO172">
        <f>IF(Metadata!AC172="",FALSE,TRUE)</f>
        <v>0</v>
      </c>
    </row>
    <row r="173" spans="1:67">
      <c r="A173" s="5">
        <f>IF(B173=" "," ",HYPERLINK(CONCATENATE("#metadata!",ADDRESS(INDEX($AI$2:$AI$1001,MATCH(ROWS($AG$2:AG173),$AG$2:$AG$1001,0),0),1)),INDEX($AL$2:$AL$1001,MATCH(ROWS($AG$2:AG173),$AG$2:$AG$1001,0),0)))</f>
        <v>0</v>
      </c>
      <c r="B173" s="4">
        <f>IF(OR(INDEX($AH$2:$AH$1001,MATCH(ROWS($AG$2:AG173),$AG$2:$AG$1001,0),1)&gt;=100000,INDEX($AN$1005:$BO$1005,1,MATCH(COLUMNS($AN$1006:AN1006),$AN$1006:$BO$1006,0))&gt;=100000), " ",IF(INDEX($AN$2:$BO$1001,MATCH(ROWS($AG$2:AG173),$AG$2:$AG$1001,0),MATCH(COLUMNS($AN$1006:AN1006),$AN$1006:$BO$1006,0)), HYPERLINK("#",""), HYPERLINK(CONCATENATE("#Metadata!", ADDRESS(INDEX($AI$2:$AI$1001,MATCH(ROWS($AG$2:AG173),$AG$2:$AG$1001,0),0), INDEX($AN$1004:$BO$1004,1,MATCH(COLUMNS($AN$1006:AN1006),$AN$1006:$BO$1006,0)))),"Fix")))</f>
        <v>0</v>
      </c>
      <c r="C173" s="4">
        <f>IF(OR(INDEX($AH$2:$AH$1001,MATCH(ROWS($AG$2:AG173),$AG$2:$AG$1001,0),1)&gt;=100000,INDEX($AN$1005:$BO$1005,1,MATCH(COLUMNS($AN$1006:AO1006),$AN$1006:$BO$1006,0))&gt;=100000), " ",IF(INDEX($AN$2:$BO$1001,MATCH(ROWS($AG$2:AG173),$AG$2:$AG$1001,0),MATCH(COLUMNS($AN$1006:AO1006),$AN$1006:$BO$1006,0)), HYPERLINK("#",""), HYPERLINK(CONCATENATE("#Metadata!", ADDRESS(INDEX($AI$2:$AI$1001,MATCH(ROWS($AG$2:AG173),$AG$2:$AG$1001,0),0), INDEX($AN$1004:$BO$1004,1,MATCH(COLUMNS($AN$1006:AO1006),$AN$1006:$BO$1006,0)))),"Fix")))</f>
        <v>0</v>
      </c>
      <c r="D173" s="4">
        <f>IF(OR(INDEX($AH$2:$AH$1001,MATCH(ROWS($AG$2:AG173),$AG$2:$AG$1001,0),1)&gt;=100000,INDEX($AN$1005:$BO$1005,1,MATCH(COLUMNS($AN$1006:AP1006),$AN$1006:$BO$1006,0))&gt;=100000), " ",IF(INDEX($AN$2:$BO$1001,MATCH(ROWS($AG$2:AG173),$AG$2:$AG$1001,0),MATCH(COLUMNS($AN$1006:AP1006),$AN$1006:$BO$1006,0)), HYPERLINK("#",""), HYPERLINK(CONCATENATE("#Metadata!", ADDRESS(INDEX($AI$2:$AI$1001,MATCH(ROWS($AG$2:AG173),$AG$2:$AG$1001,0),0), INDEX($AN$1004:$BO$1004,1,MATCH(COLUMNS($AN$1006:AP1006),$AN$1006:$BO$1006,0)))),"Fix")))</f>
        <v>0</v>
      </c>
      <c r="E173" s="4">
        <f>IF(OR(INDEX($AH$2:$AH$1001,MATCH(ROWS($AG$2:AG173),$AG$2:$AG$1001,0),1)&gt;=100000,INDEX($AN$1005:$BO$1005,1,MATCH(COLUMNS($AN$1006:AQ1006),$AN$1006:$BO$1006,0))&gt;=100000), " ",IF(INDEX($AN$2:$BO$1001,MATCH(ROWS($AG$2:AG173),$AG$2:$AG$1001,0),MATCH(COLUMNS($AN$1006:AQ1006),$AN$1006:$BO$1006,0)), HYPERLINK("#",""), HYPERLINK(CONCATENATE("#Metadata!", ADDRESS(INDEX($AI$2:$AI$1001,MATCH(ROWS($AG$2:AG173),$AG$2:$AG$1001,0),0), INDEX($AN$1004:$BO$1004,1,MATCH(COLUMNS($AN$1006:AQ1006),$AN$1006:$BO$1006,0)))),"Fix")))</f>
        <v>0</v>
      </c>
      <c r="F173" s="4">
        <f>IF(OR(INDEX($AH$2:$AH$1001,MATCH(ROWS($AG$2:AG173),$AG$2:$AG$1001,0),1)&gt;=100000,INDEX($AN$1005:$BO$1005,1,MATCH(COLUMNS($AN$1006:AR1006),$AN$1006:$BO$1006,0))&gt;=100000), " ",IF(INDEX($AN$2:$BO$1001,MATCH(ROWS($AG$2:AG173),$AG$2:$AG$1001,0),MATCH(COLUMNS($AN$1006:AR1006),$AN$1006:$BO$1006,0)), HYPERLINK("#",""), HYPERLINK(CONCATENATE("#Metadata!", ADDRESS(INDEX($AI$2:$AI$1001,MATCH(ROWS($AG$2:AG173),$AG$2:$AG$1001,0),0), INDEX($AN$1004:$BO$1004,1,MATCH(COLUMNS($AN$1006:AR1006),$AN$1006:$BO$1006,0)))),"Fix")))</f>
        <v>0</v>
      </c>
      <c r="G173" s="4">
        <f>IF(OR(INDEX($AH$2:$AH$1001,MATCH(ROWS($AG$2:AG173),$AG$2:$AG$1001,0),1)&gt;=100000,INDEX($AN$1005:$BO$1005,1,MATCH(COLUMNS($AN$1006:AS1006),$AN$1006:$BO$1006,0))&gt;=100000), " ",IF(INDEX($AN$2:$BO$1001,MATCH(ROWS($AG$2:AG173),$AG$2:$AG$1001,0),MATCH(COLUMNS($AN$1006:AS1006),$AN$1006:$BO$1006,0)), HYPERLINK("#",""), HYPERLINK(CONCATENATE("#Metadata!", ADDRESS(INDEX($AI$2:$AI$1001,MATCH(ROWS($AG$2:AG173),$AG$2:$AG$1001,0),0), INDEX($AN$1004:$BO$1004,1,MATCH(COLUMNS($AN$1006:AS1006),$AN$1006:$BO$1006,0)))),"Fix")))</f>
        <v>0</v>
      </c>
      <c r="H173" s="4">
        <f>IF(OR(INDEX($AH$2:$AH$1001,MATCH(ROWS($AG$2:AG173),$AG$2:$AG$1001,0),1)&gt;=100000,INDEX($AN$1005:$BO$1005,1,MATCH(COLUMNS($AN$1006:AT1006),$AN$1006:$BO$1006,0))&gt;=100000), " ",IF(INDEX($AN$2:$BO$1001,MATCH(ROWS($AG$2:AG173),$AG$2:$AG$1001,0),MATCH(COLUMNS($AN$1006:AT1006),$AN$1006:$BO$1006,0)), HYPERLINK("#",""), HYPERLINK(CONCATENATE("#Metadata!", ADDRESS(INDEX($AI$2:$AI$1001,MATCH(ROWS($AG$2:AG173),$AG$2:$AG$1001,0),0), INDEX($AN$1004:$BO$1004,1,MATCH(COLUMNS($AN$1006:AT1006),$AN$1006:$BO$1006,0)))),"Fix")))</f>
        <v>0</v>
      </c>
      <c r="I173" s="4">
        <f>IF(OR(INDEX($AH$2:$AH$1001,MATCH(ROWS($AG$2:AG173),$AG$2:$AG$1001,0),1)&gt;=100000,INDEX($AN$1005:$BO$1005,1,MATCH(COLUMNS($AN$1006:AU1006),$AN$1006:$BO$1006,0))&gt;=100000), " ",IF(INDEX($AN$2:$BO$1001,MATCH(ROWS($AG$2:AG173),$AG$2:$AG$1001,0),MATCH(COLUMNS($AN$1006:AU1006),$AN$1006:$BO$1006,0)), HYPERLINK("#",""), HYPERLINK(CONCATENATE("#Metadata!", ADDRESS(INDEX($AI$2:$AI$1001,MATCH(ROWS($AG$2:AG173),$AG$2:$AG$1001,0),0), INDEX($AN$1004:$BO$1004,1,MATCH(COLUMNS($AN$1006:AU1006),$AN$1006:$BO$1006,0)))),"Fix")))</f>
        <v>0</v>
      </c>
      <c r="J173" s="4">
        <f>IF(OR(INDEX($AH$2:$AH$1001,MATCH(ROWS($AG$2:AG173),$AG$2:$AG$1001,0),1)&gt;=100000,INDEX($AN$1005:$BO$1005,1,MATCH(COLUMNS($AN$1006:AV1006),$AN$1006:$BO$1006,0))&gt;=100000), " ",IF(INDEX($AN$2:$BO$1001,MATCH(ROWS($AG$2:AG173),$AG$2:$AG$1001,0),MATCH(COLUMNS($AN$1006:AV1006),$AN$1006:$BO$1006,0)), HYPERLINK("#",""), HYPERLINK(CONCATENATE("#Metadata!", ADDRESS(INDEX($AI$2:$AI$1001,MATCH(ROWS($AG$2:AG173),$AG$2:$AG$1001,0),0), INDEX($AN$1004:$BO$1004,1,MATCH(COLUMNS($AN$1006:AV1006),$AN$1006:$BO$1006,0)))),"Fix")))</f>
        <v>0</v>
      </c>
      <c r="K173" s="4">
        <f>IF(OR(INDEX($AH$2:$AH$1001,MATCH(ROWS($AG$2:AG173),$AG$2:$AG$1001,0),1)&gt;=100000,INDEX($AN$1005:$BO$1005,1,MATCH(COLUMNS($AN$1006:AW1006),$AN$1006:$BO$1006,0))&gt;=100000), " ",IF(INDEX($AN$2:$BO$1001,MATCH(ROWS($AG$2:AG173),$AG$2:$AG$1001,0),MATCH(COLUMNS($AN$1006:AW1006),$AN$1006:$BO$1006,0)), HYPERLINK("#",""), HYPERLINK(CONCATENATE("#Metadata!", ADDRESS(INDEX($AI$2:$AI$1001,MATCH(ROWS($AG$2:AG173),$AG$2:$AG$1001,0),0), INDEX($AN$1004:$BO$1004,1,MATCH(COLUMNS($AN$1006:AW1006),$AN$1006:$BO$1006,0)))),"Fix")))</f>
        <v>0</v>
      </c>
      <c r="L173" s="4">
        <f>IF(OR(INDEX($AH$2:$AH$1001,MATCH(ROWS($AG$2:AG173),$AG$2:$AG$1001,0),1)&gt;=100000,INDEX($AN$1005:$BO$1005,1,MATCH(COLUMNS($AN$1006:AX1006),$AN$1006:$BO$1006,0))&gt;=100000), " ",IF(INDEX($AN$2:$BO$1001,MATCH(ROWS($AG$2:AG173),$AG$2:$AG$1001,0),MATCH(COLUMNS($AN$1006:AX1006),$AN$1006:$BO$1006,0)), HYPERLINK("#",""), HYPERLINK(CONCATENATE("#Metadata!", ADDRESS(INDEX($AI$2:$AI$1001,MATCH(ROWS($AG$2:AG173),$AG$2:$AG$1001,0),0), INDEX($AN$1004:$BO$1004,1,MATCH(COLUMNS($AN$1006:AX1006),$AN$1006:$BO$1006,0)))),"Fix")))</f>
        <v>0</v>
      </c>
      <c r="M173" s="4">
        <f>IF(OR(INDEX($AH$2:$AH$1001,MATCH(ROWS($AG$2:AG173),$AG$2:$AG$1001,0),1)&gt;=100000,INDEX($AN$1005:$BO$1005,1,MATCH(COLUMNS($AN$1006:AY1006),$AN$1006:$BO$1006,0))&gt;=100000), " ",IF(INDEX($AN$2:$BO$1001,MATCH(ROWS($AG$2:AG173),$AG$2:$AG$1001,0),MATCH(COLUMNS($AN$1006:AY1006),$AN$1006:$BO$1006,0)), HYPERLINK("#",""), HYPERLINK(CONCATENATE("#Metadata!", ADDRESS(INDEX($AI$2:$AI$1001,MATCH(ROWS($AG$2:AG173),$AG$2:$AG$1001,0),0), INDEX($AN$1004:$BO$1004,1,MATCH(COLUMNS($AN$1006:AY1006),$AN$1006:$BO$1006,0)))),"Fix")))</f>
        <v>0</v>
      </c>
      <c r="N173" s="4">
        <f>IF(OR(INDEX($AH$2:$AH$1001,MATCH(ROWS($AG$2:AG173),$AG$2:$AG$1001,0),1)&gt;=100000,INDEX($AN$1005:$BO$1005,1,MATCH(COLUMNS($AN$1006:AZ1006),$AN$1006:$BO$1006,0))&gt;=100000), " ",IF(INDEX($AN$2:$BO$1001,MATCH(ROWS($AG$2:AG173),$AG$2:$AG$1001,0),MATCH(COLUMNS($AN$1006:AZ1006),$AN$1006:$BO$1006,0)), HYPERLINK("#",""), HYPERLINK(CONCATENATE("#Metadata!", ADDRESS(INDEX($AI$2:$AI$1001,MATCH(ROWS($AG$2:AG173),$AG$2:$AG$1001,0),0), INDEX($AN$1004:$BO$1004,1,MATCH(COLUMNS($AN$1006:AZ1006),$AN$1006:$BO$1006,0)))),"Fix")))</f>
        <v>0</v>
      </c>
      <c r="O173" s="4">
        <f>IF(OR(INDEX($AH$2:$AH$1001,MATCH(ROWS($AG$2:AG173),$AG$2:$AG$1001,0),1)&gt;=100000,INDEX($AN$1005:$BO$1005,1,MATCH(COLUMNS($AN$1006:BA1006),$AN$1006:$BO$1006,0))&gt;=100000), " ",IF(INDEX($AN$2:$BO$1001,MATCH(ROWS($AG$2:AG173),$AG$2:$AG$1001,0),MATCH(COLUMNS($AN$1006:BA1006),$AN$1006:$BO$1006,0)), HYPERLINK("#",""), HYPERLINK(CONCATENATE("#Metadata!", ADDRESS(INDEX($AI$2:$AI$1001,MATCH(ROWS($AG$2:AG173),$AG$2:$AG$1001,0),0), INDEX($AN$1004:$BO$1004,1,MATCH(COLUMNS($AN$1006:BA1006),$AN$1006:$BO$1006,0)))),"Fix")))</f>
        <v>0</v>
      </c>
      <c r="P173" s="4">
        <f>IF(OR(INDEX($AH$2:$AH$1001,MATCH(ROWS($AG$2:AG173),$AG$2:$AG$1001,0),1)&gt;=100000,INDEX($AN$1005:$BO$1005,1,MATCH(COLUMNS($AN$1006:BB1006),$AN$1006:$BO$1006,0))&gt;=100000), " ",IF(INDEX($AN$2:$BO$1001,MATCH(ROWS($AG$2:AG173),$AG$2:$AG$1001,0),MATCH(COLUMNS($AN$1006:BB1006),$AN$1006:$BO$1006,0)), HYPERLINK("#",""), HYPERLINK(CONCATENATE("#Metadata!", ADDRESS(INDEX($AI$2:$AI$1001,MATCH(ROWS($AG$2:AG173),$AG$2:$AG$1001,0),0), INDEX($AN$1004:$BO$1004,1,MATCH(COLUMNS($AN$1006:BB1006),$AN$1006:$BO$1006,0)))),"Fix")))</f>
        <v>0</v>
      </c>
      <c r="Q173" s="4">
        <f>IF(OR(INDEX($AH$2:$AH$1001,MATCH(ROWS($AG$2:AG173),$AG$2:$AG$1001,0),1)&gt;=100000,INDEX($AN$1005:$BO$1005,1,MATCH(COLUMNS($AN$1006:BC1006),$AN$1006:$BO$1006,0))&gt;=100000), " ",IF(INDEX($AN$2:$BO$1001,MATCH(ROWS($AG$2:AG173),$AG$2:$AG$1001,0),MATCH(COLUMNS($AN$1006:BC1006),$AN$1006:$BO$1006,0)), HYPERLINK("#",""), HYPERLINK(CONCATENATE("#Metadata!", ADDRESS(INDEX($AI$2:$AI$1001,MATCH(ROWS($AG$2:AG173),$AG$2:$AG$1001,0),0), INDEX($AN$1004:$BO$1004,1,MATCH(COLUMNS($AN$1006:BC1006),$AN$1006:$BO$1006,0)))),"Fix")))</f>
        <v>0</v>
      </c>
      <c r="R173" s="4">
        <f>IF(OR(INDEX($AH$2:$AH$1001,MATCH(ROWS($AG$2:AG173),$AG$2:$AG$1001,0),1)&gt;=100000,INDEX($AN$1005:$BO$1005,1,MATCH(COLUMNS($AN$1006:BD1006),$AN$1006:$BO$1006,0))&gt;=100000), " ",IF(INDEX($AN$2:$BO$1001,MATCH(ROWS($AG$2:AG173),$AG$2:$AG$1001,0),MATCH(COLUMNS($AN$1006:BD1006),$AN$1006:$BO$1006,0)), HYPERLINK("#",""), HYPERLINK(CONCATENATE("#Metadata!", ADDRESS(INDEX($AI$2:$AI$1001,MATCH(ROWS($AG$2:AG173),$AG$2:$AG$1001,0),0), INDEX($AN$1004:$BO$1004,1,MATCH(COLUMNS($AN$1006:BD1006),$AN$1006:$BO$1006,0)))),"Fix")))</f>
        <v>0</v>
      </c>
      <c r="S173" s="4">
        <f>IF(OR(INDEX($AH$2:$AH$1001,MATCH(ROWS($AG$2:AG173),$AG$2:$AG$1001,0),1)&gt;=100000,INDEX($AN$1005:$BO$1005,1,MATCH(COLUMNS($AN$1006:BE1006),$AN$1006:$BO$1006,0))&gt;=100000), " ",IF(INDEX($AN$2:$BO$1001,MATCH(ROWS($AG$2:AG173),$AG$2:$AG$1001,0),MATCH(COLUMNS($AN$1006:BE1006),$AN$1006:$BO$1006,0)), HYPERLINK("#",""), HYPERLINK(CONCATENATE("#Metadata!", ADDRESS(INDEX($AI$2:$AI$1001,MATCH(ROWS($AG$2:AG173),$AG$2:$AG$1001,0),0), INDEX($AN$1004:$BO$1004,1,MATCH(COLUMNS($AN$1006:BE1006),$AN$1006:$BO$1006,0)))),"Fix")))</f>
        <v>0</v>
      </c>
      <c r="T173" s="4">
        <f>IF(OR(INDEX($AH$2:$AH$1001,MATCH(ROWS($AG$2:AG173),$AG$2:$AG$1001,0),1)&gt;=100000,INDEX($AN$1005:$BO$1005,1,MATCH(COLUMNS($AN$1006:BF1006),$AN$1006:$BO$1006,0))&gt;=100000), " ",IF(INDEX($AN$2:$BO$1001,MATCH(ROWS($AG$2:AG173),$AG$2:$AG$1001,0),MATCH(COLUMNS($AN$1006:BF1006),$AN$1006:$BO$1006,0)), HYPERLINK("#",""), HYPERLINK(CONCATENATE("#Metadata!", ADDRESS(INDEX($AI$2:$AI$1001,MATCH(ROWS($AG$2:AG173),$AG$2:$AG$1001,0),0), INDEX($AN$1004:$BO$1004,1,MATCH(COLUMNS($AN$1006:BF1006),$AN$1006:$BO$1006,0)))),"Fix")))</f>
        <v>0</v>
      </c>
      <c r="U173" s="4">
        <f>IF(OR(INDEX($AH$2:$AH$1001,MATCH(ROWS($AG$2:AG173),$AG$2:$AG$1001,0),1)&gt;=100000,INDEX($AN$1005:$BO$1005,1,MATCH(COLUMNS($AN$1006:BG1006),$AN$1006:$BO$1006,0))&gt;=100000), " ",IF(INDEX($AN$2:$BO$1001,MATCH(ROWS($AG$2:AG173),$AG$2:$AG$1001,0),MATCH(COLUMNS($AN$1006:BG1006),$AN$1006:$BO$1006,0)), HYPERLINK("#",""), HYPERLINK(CONCATENATE("#Metadata!", ADDRESS(INDEX($AI$2:$AI$1001,MATCH(ROWS($AG$2:AG173),$AG$2:$AG$1001,0),0), INDEX($AN$1004:$BO$1004,1,MATCH(COLUMNS($AN$1006:BG1006),$AN$1006:$BO$1006,0)))),"Fix")))</f>
        <v>0</v>
      </c>
      <c r="V173" s="4">
        <f>IF(OR(INDEX($AH$2:$AH$1001,MATCH(ROWS($AG$2:AG173),$AG$2:$AG$1001,0),1)&gt;=100000,INDEX($AN$1005:$BO$1005,1,MATCH(COLUMNS($AN$1006:BH1006),$AN$1006:$BO$1006,0))&gt;=100000), " ",IF(INDEX($AN$2:$BO$1001,MATCH(ROWS($AG$2:AG173),$AG$2:$AG$1001,0),MATCH(COLUMNS($AN$1006:BH1006),$AN$1006:$BO$1006,0)), HYPERLINK("#",""), HYPERLINK(CONCATENATE("#Metadata!", ADDRESS(INDEX($AI$2:$AI$1001,MATCH(ROWS($AG$2:AG173),$AG$2:$AG$1001,0),0), INDEX($AN$1004:$BO$1004,1,MATCH(COLUMNS($AN$1006:BH1006),$AN$1006:$BO$1006,0)))),"Fix")))</f>
        <v>0</v>
      </c>
      <c r="W173" s="4">
        <f>IF(OR(INDEX($AH$2:$AH$1001,MATCH(ROWS($AG$2:AG173),$AG$2:$AG$1001,0),1)&gt;=100000,INDEX($AN$1005:$BO$1005,1,MATCH(COLUMNS($AN$1006:BI1006),$AN$1006:$BO$1006,0))&gt;=100000), " ",IF(INDEX($AN$2:$BO$1001,MATCH(ROWS($AG$2:AG173),$AG$2:$AG$1001,0),MATCH(COLUMNS($AN$1006:BI1006),$AN$1006:$BO$1006,0)), HYPERLINK("#",""), HYPERLINK(CONCATENATE("#Metadata!", ADDRESS(INDEX($AI$2:$AI$1001,MATCH(ROWS($AG$2:AG173),$AG$2:$AG$1001,0),0), INDEX($AN$1004:$BO$1004,1,MATCH(COLUMNS($AN$1006:BI1006),$AN$1006:$BO$1006,0)))),"Fix")))</f>
        <v>0</v>
      </c>
      <c r="X173" s="4">
        <f>IF(OR(INDEX($AH$2:$AH$1001,MATCH(ROWS($AG$2:AG173),$AG$2:$AG$1001,0),1)&gt;=100000,INDEX($AN$1005:$BO$1005,1,MATCH(COLUMNS($AN$1006:BJ1006),$AN$1006:$BO$1006,0))&gt;=100000), " ",IF(INDEX($AN$2:$BO$1001,MATCH(ROWS($AG$2:AG173),$AG$2:$AG$1001,0),MATCH(COLUMNS($AN$1006:BJ1006),$AN$1006:$BO$1006,0)), HYPERLINK("#",""), HYPERLINK(CONCATENATE("#Metadata!", ADDRESS(INDEX($AI$2:$AI$1001,MATCH(ROWS($AG$2:AG173),$AG$2:$AG$1001,0),0), INDEX($AN$1004:$BO$1004,1,MATCH(COLUMNS($AN$1006:BJ1006),$AN$1006:$BO$1006,0)))),"Fix")))</f>
        <v>0</v>
      </c>
      <c r="Y173" s="4">
        <f>IF(OR(INDEX($AH$2:$AH$1001,MATCH(ROWS($AG$2:AG173),$AG$2:$AG$1001,0),1)&gt;=100000,INDEX($AN$1005:$BO$1005,1,MATCH(COLUMNS($AN$1006:BK1006),$AN$1006:$BO$1006,0))&gt;=100000), " ",IF(INDEX($AN$2:$BO$1001,MATCH(ROWS($AG$2:AG173),$AG$2:$AG$1001,0),MATCH(COLUMNS($AN$1006:BK1006),$AN$1006:$BO$1006,0)), HYPERLINK("#",""), HYPERLINK(CONCATENATE("#Metadata!", ADDRESS(INDEX($AI$2:$AI$1001,MATCH(ROWS($AG$2:AG173),$AG$2:$AG$1001,0),0), INDEX($AN$1004:$BO$1004,1,MATCH(COLUMNS($AN$1006:BK1006),$AN$1006:$BO$1006,0)))),"Fix")))</f>
        <v>0</v>
      </c>
      <c r="Z173" s="4">
        <f>IF(OR(INDEX($AH$2:$AH$1001,MATCH(ROWS($AG$2:AG173),$AG$2:$AG$1001,0),1)&gt;=100000,INDEX($AN$1005:$BO$1005,1,MATCH(COLUMNS($AN$1006:BL1006),$AN$1006:$BO$1006,0))&gt;=100000), " ",IF(INDEX($AN$2:$BO$1001,MATCH(ROWS($AG$2:AG173),$AG$2:$AG$1001,0),MATCH(COLUMNS($AN$1006:BL1006),$AN$1006:$BO$1006,0)), HYPERLINK("#",""), HYPERLINK(CONCATENATE("#Metadata!", ADDRESS(INDEX($AI$2:$AI$1001,MATCH(ROWS($AG$2:AG173),$AG$2:$AG$1001,0),0), INDEX($AN$1004:$BO$1004,1,MATCH(COLUMNS($AN$1006:BL1006),$AN$1006:$BO$1006,0)))),"Fix")))</f>
        <v>0</v>
      </c>
      <c r="AA173" s="4">
        <f>IF(OR(INDEX($AH$2:$AH$1001,MATCH(ROWS($AG$2:AG173),$AG$2:$AG$1001,0),1)&gt;=100000,INDEX($AN$1005:$BO$1005,1,MATCH(COLUMNS($AN$1006:BM1006),$AN$1006:$BO$1006,0))&gt;=100000), " ",IF(INDEX($AN$2:$BO$1001,MATCH(ROWS($AG$2:AG173),$AG$2:$AG$1001,0),MATCH(COLUMNS($AN$1006:BM1006),$AN$1006:$BO$1006,0)), HYPERLINK("#",""), HYPERLINK(CONCATENATE("#Metadata!", ADDRESS(INDEX($AI$2:$AI$1001,MATCH(ROWS($AG$2:AG173),$AG$2:$AG$1001,0),0), INDEX($AN$1004:$BO$1004,1,MATCH(COLUMNS($AN$1006:BM1006),$AN$1006:$BO$1006,0)))),"Fix")))</f>
        <v>0</v>
      </c>
      <c r="AB173" s="4">
        <f>IF(OR(INDEX($AH$2:$AH$1001,MATCH(ROWS($AG$2:AG173),$AG$2:$AG$1001,0),1)&gt;=100000,INDEX($AN$1005:$BO$1005,1,MATCH(COLUMNS($AN$1006:BN1006),$AN$1006:$BO$1006,0))&gt;=100000), " ",IF(INDEX($AN$2:$BO$1001,MATCH(ROWS($AG$2:AG173),$AG$2:$AG$1001,0),MATCH(COLUMNS($AN$1006:BN1006),$AN$1006:$BO$1006,0)), HYPERLINK("#",""), HYPERLINK(CONCATENATE("#Metadata!", ADDRESS(INDEX($AI$2:$AI$1001,MATCH(ROWS($AG$2:AG173),$AG$2:$AG$1001,0),0), INDEX($AN$1004:$BO$1004,1,MATCH(COLUMNS($AN$1006:BN1006),$AN$1006:$BO$1006,0)))),"Fix")))</f>
        <v>0</v>
      </c>
      <c r="AC173" s="4">
        <f>IF(OR(INDEX($AH$2:$AH$1001,MATCH(ROWS($AG$2:AG173),$AG$2:$AG$1001,0),1)&gt;=100000,INDEX($AN$1005:$BO$1005,1,MATCH(COLUMNS($AN$1006:BO1006),$AN$1006:$BO$1006,0))&gt;=100000), " ",IF(INDEX($AN$2:$BO$1001,MATCH(ROWS($AG$2:AG173),$AG$2:$AG$1001,0),MATCH(COLUMNS($AN$1006:BO1006),$AN$1006:$BO$1006,0)), HYPERLINK("#",""), HYPERLINK(CONCATENATE("#Metadata!", ADDRESS(INDEX($AI$2:$AI$1001,MATCH(ROWS($AG$2:AG173),$AG$2:$AG$1001,0),0), INDEX($AN$1004:$BO$1004,1,MATCH(COLUMNS($AN$1006:BO1006),$AN$1006:$BO$1006,0)))),"Fix")))</f>
        <v>0</v>
      </c>
      <c r="AG173">
        <v>0</v>
      </c>
      <c r="AH173">
        <v>0</v>
      </c>
      <c r="AI173">
        <v>0</v>
      </c>
      <c r="AJ173">
        <f>IF(AK173,TRUE,AND(AN173:BO173))</f>
        <v>0</v>
      </c>
      <c r="AK173">
        <f>COUNTBLANK(Metadata!B173:AC173)=COLUMNS(Metadata!B173:AC173)</f>
        <v>0</v>
      </c>
      <c r="AL173">
        <v>0</v>
      </c>
      <c r="AN173">
        <f>AND(IF(Metadata!B173="",FALSE,TRUE),COUNTIF(Metadata!B:B, Metadata!B173) = 1,NOT(ISERROR(SUMPRODUCT(SEARCH(MID(Metadata!B173,ROW(INDIRECT("1:"&amp;LEN(Metadata!B173))), 1),"0123456789abcdefghijklmnopqrstuvwxyzABCDEFGHIJKLMNOPQRSTUVWXYZ.")))))</f>
        <v>0</v>
      </c>
      <c r="AO173">
        <f>IF(Metadata!C173="",FALSE,TRUE)</f>
        <v>0</v>
      </c>
      <c r="AP173">
        <f>IF(Metadata!D173="",FALSE,TRUE)</f>
        <v>0</v>
      </c>
      <c r="AQ173">
        <f>OR(AND(IF(Metadata!E173="",FALSE,TRUE),OR(exact(Metadata!E173,"not collected"),exact(Metadata!E173,"not provided"),exact(Metadata!E173,"restricted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R173">
        <f>IF(Metadata!F173="",FALSE,TRUE)</f>
        <v>0</v>
      </c>
      <c r="AS173">
        <f>OR(AND(IF(Metadata!G173="",FALSE,TRUE),OR(exact(Metadata!G173,"not collected"),exact(Metadata!G173,"not provided"))),AND(IF(Metadata!G173="",FALSE,TRUE),OR(exact(Metadata!G173,"TRUE"),exact(Metadata!G173,"FALSE"))))</f>
        <v>0</v>
      </c>
      <c r="AT173">
        <f>OR(AND(IF(Metadata!H173="",FALSE,TRUE),OR(exact(Metadata!H173,"not collected"),exact(Metadata!H173,"not provided"),exact(Metadata!H173,"restricted access"))),AND(IF(Metadata!H173="",FALSE,ISNUMBER(VALUE(Metadata!H173))),Metadata!H173&gt;=-413.0))</f>
        <v>0</v>
      </c>
      <c r="AU173">
        <f>AND(IF(Metadata!I173="",FALSE,TRUE),exact(Metadata!I173,"meters"))</f>
        <v>0</v>
      </c>
      <c r="AV173">
        <f>AND(IF(Metadata!J173="",FALSE,TRUE),OR(exact(Metadata!J173,"Host-associated"),exact(Metadata!J173,"Free-living")))</f>
        <v>0</v>
      </c>
      <c r="AW173">
        <f>AND(IF(Metadata!K173="",FALSE,TRUE),OR(exact(Metadata!K173,"Animal"),exact(Metadata!K173,"Fungus"),exact(Metadata!K173,"Plant"),exact(Metadata!K173,"Saline"),exact(Metadata!K173,"Non-saline")))</f>
        <v>0</v>
      </c>
      <c r="AX173">
        <f>AND(IF(Metadata!L173="",FALSE,TRUE),OR(exact(Metadata!L173,"Plant secretion"),exact(Metadata!L173,"Plant rhizosphere"),exact(Metadata!L173,"Plant surface"),exact(Metadata!L173,"Plant corpus"),exact(Metadata!L173,"Fungus surface"),exact(Metadata!L173,"Fungus corpus"),exact(Metadata!L173,"Animal surface"),exact(Metadata!L173,"Animal proximal gut"),exact(Metadata!L173,"Animal corpus"),exact(Metadata!L173,"Animal distal gut"),exact(Metadata!L173,"Animal secretion"),exact(Metadata!L173,"Sub-surface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Y173">
        <f>IF(Metadata!M173="",FALSE,TRUE)</f>
        <v>0</v>
      </c>
      <c r="AZ173">
        <f>IF(Metadata!N173="",FALSE,TRUE)</f>
        <v>0</v>
      </c>
      <c r="BA173">
        <f>IF(Metadata!O173="",FALSE,TRUE)</f>
        <v>0</v>
      </c>
      <c r="BB173">
        <f>OR(AND(IF(Metadata!P173="",FALSE,TRUE),OR(exact(Metadata!P173,"not collected"),exact(Metadata!P173,"not provided"),exact(Metadata!P173,"restricted access"))),AND(IF(Metadata!P173="",FALSE,TRUE),OR(exact(Metadata!P173,"air"),exact(Metadata!P173,"built environment"),exact(Metadata!P173,"host-associated"),exact(Metadata!P173,"human-associated"),exact(Metadata!P173,"human-skin"),exact(Metadata!P173,"human-oral"),exact(Metadata!P173,"human-gut"),exact(Metadata!P173,"human-vaginal"),exact(Metadata!P173,"microbial mat/biofilm"),exact(Metadata!P173,"misc environment"),exact(Metadata!P173,"plant-associated"),exact(Metadata!P173,"sediment"),exact(Metadata!P173,"soil"),exact(Metadata!P173,"wastewater/sludge"),exact(Metadata!P173,"water"))))</f>
        <v>0</v>
      </c>
      <c r="BC173">
        <f>IF(Metadata!Q173="",FALSE,TRUE)</f>
        <v>0</v>
      </c>
      <c r="BD173">
        <f>IF(Metadata!R173="",FALSE,TRUE)</f>
        <v>0</v>
      </c>
      <c r="BE173">
        <f>OR(AND(IF(Metadata!S173="",FALSE,TRUE),OR(exact(Metadata!S173,"not collected"),exact(Metadata!S173,"not provided"),exact(Metadata!S173,"restricted access"))),AND(IF(Metadata!S173="",FALSE,ISNUMBER(VALUE(Metadata!S173))),Metadata!S173&gt;=-90.00,Metadata!S173&lt;=90.00))</f>
        <v>0</v>
      </c>
      <c r="BF173">
        <f>AND(IF(Metadata!T173="",FALSE,TRUE),exact(Metadata!T173,"Decimal degrees"))</f>
        <v>0</v>
      </c>
      <c r="BG173">
        <f>OR(AND(IF(Metadata!U173="",FALSE,TRUE),OR(exact(Metadata!U173,"not collected"),exact(Metadata!U173,"not provided"),exact(Metadata!U173,"restricted access"))),AND(IF(Metadata!U173="",FALSE,ISNUMBER(VALUE(Metadata!U173))),Metadata!U173&gt;=-180.00,Metadata!U173&lt;=180.00))</f>
        <v>0</v>
      </c>
      <c r="BH173">
        <f>AND(IF(Metadata!V173="",FALSE,TRUE),exact(Metadata!V173,"Decimal degrees"))</f>
        <v>0</v>
      </c>
      <c r="BI173">
        <f>IF(Metadata!W173="",FALSE,TRUE)</f>
        <v>0</v>
      </c>
      <c r="BJ173">
        <f>OR(AND(IF(Metadata!X173="",FALSE,TRUE),OR(exact(Metadata!X173,"not collected"),exact(Metadata!X173,"not provided"),exact(Metadata!X173,"restricted access"))),AND(IF(Metadata!X173="",FALSE,TRUE),OR(exact(Metadata!X173,"TRUE"),exact(Metadata!X173,"FALSE"))))</f>
        <v>0</v>
      </c>
      <c r="BK173">
        <f>AND(IF(Metadata!Y173="",FALSE,TRUE),exact(Metadata!Y173,"other"))</f>
        <v>0</v>
      </c>
      <c r="BL173">
        <f>IF(Metadata!Z173="",FALSE,TRUE)</f>
        <v>0</v>
      </c>
      <c r="BM173">
        <f>OR(AND(IF(Metadata!AA173="",FALSE,TRUE),OR(exact(Metadata!AA173,"not collected"),exact(Metadata!AA173,"not provided"))),AND(IF(Metadata!AA173="",FALSE,IF(ISERROR(INT(Metadata!AA173)),FALSE,INT(Metadata!AA173)=Metadata!AA173)),Metadata!AA173&gt;0))</f>
        <v>0</v>
      </c>
      <c r="BN173">
        <f>AND(IF(Metadata!AB173="",FALSE,TRUE),exact(Metadata!AB173,"Not applicable"))</f>
        <v>0</v>
      </c>
      <c r="BO173">
        <f>IF(Metadata!AC173="",FALSE,TRUE)</f>
        <v>0</v>
      </c>
    </row>
    <row r="174" spans="1:67">
      <c r="A174" s="5">
        <f>IF(B174=" "," ",HYPERLINK(CONCATENATE("#metadata!",ADDRESS(INDEX($AI$2:$AI$1001,MATCH(ROWS($AG$2:AG174),$AG$2:$AG$1001,0),0),1)),INDEX($AL$2:$AL$1001,MATCH(ROWS($AG$2:AG174),$AG$2:$AG$1001,0),0)))</f>
        <v>0</v>
      </c>
      <c r="B174" s="4">
        <f>IF(OR(INDEX($AH$2:$AH$1001,MATCH(ROWS($AG$2:AG174),$AG$2:$AG$1001,0),1)&gt;=100000,INDEX($AN$1005:$BO$1005,1,MATCH(COLUMNS($AN$1006:AN1006),$AN$1006:$BO$1006,0))&gt;=100000), " ",IF(INDEX($AN$2:$BO$1001,MATCH(ROWS($AG$2:AG174),$AG$2:$AG$1001,0),MATCH(COLUMNS($AN$1006:AN1006),$AN$1006:$BO$1006,0)), HYPERLINK("#",""), HYPERLINK(CONCATENATE("#Metadata!", ADDRESS(INDEX($AI$2:$AI$1001,MATCH(ROWS($AG$2:AG174),$AG$2:$AG$1001,0),0), INDEX($AN$1004:$BO$1004,1,MATCH(COLUMNS($AN$1006:AN1006),$AN$1006:$BO$1006,0)))),"Fix")))</f>
        <v>0</v>
      </c>
      <c r="C174" s="4">
        <f>IF(OR(INDEX($AH$2:$AH$1001,MATCH(ROWS($AG$2:AG174),$AG$2:$AG$1001,0),1)&gt;=100000,INDEX($AN$1005:$BO$1005,1,MATCH(COLUMNS($AN$1006:AO1006),$AN$1006:$BO$1006,0))&gt;=100000), " ",IF(INDEX($AN$2:$BO$1001,MATCH(ROWS($AG$2:AG174),$AG$2:$AG$1001,0),MATCH(COLUMNS($AN$1006:AO1006),$AN$1006:$BO$1006,0)), HYPERLINK("#",""), HYPERLINK(CONCATENATE("#Metadata!", ADDRESS(INDEX($AI$2:$AI$1001,MATCH(ROWS($AG$2:AG174),$AG$2:$AG$1001,0),0), INDEX($AN$1004:$BO$1004,1,MATCH(COLUMNS($AN$1006:AO1006),$AN$1006:$BO$1006,0)))),"Fix")))</f>
        <v>0</v>
      </c>
      <c r="D174" s="4">
        <f>IF(OR(INDEX($AH$2:$AH$1001,MATCH(ROWS($AG$2:AG174),$AG$2:$AG$1001,0),1)&gt;=100000,INDEX($AN$1005:$BO$1005,1,MATCH(COLUMNS($AN$1006:AP1006),$AN$1006:$BO$1006,0))&gt;=100000), " ",IF(INDEX($AN$2:$BO$1001,MATCH(ROWS($AG$2:AG174),$AG$2:$AG$1001,0),MATCH(COLUMNS($AN$1006:AP1006),$AN$1006:$BO$1006,0)), HYPERLINK("#",""), HYPERLINK(CONCATENATE("#Metadata!", ADDRESS(INDEX($AI$2:$AI$1001,MATCH(ROWS($AG$2:AG174),$AG$2:$AG$1001,0),0), INDEX($AN$1004:$BO$1004,1,MATCH(COLUMNS($AN$1006:AP1006),$AN$1006:$BO$1006,0)))),"Fix")))</f>
        <v>0</v>
      </c>
      <c r="E174" s="4">
        <f>IF(OR(INDEX($AH$2:$AH$1001,MATCH(ROWS($AG$2:AG174),$AG$2:$AG$1001,0),1)&gt;=100000,INDEX($AN$1005:$BO$1005,1,MATCH(COLUMNS($AN$1006:AQ1006),$AN$1006:$BO$1006,0))&gt;=100000), " ",IF(INDEX($AN$2:$BO$1001,MATCH(ROWS($AG$2:AG174),$AG$2:$AG$1001,0),MATCH(COLUMNS($AN$1006:AQ1006),$AN$1006:$BO$1006,0)), HYPERLINK("#",""), HYPERLINK(CONCATENATE("#Metadata!", ADDRESS(INDEX($AI$2:$AI$1001,MATCH(ROWS($AG$2:AG174),$AG$2:$AG$1001,0),0), INDEX($AN$1004:$BO$1004,1,MATCH(COLUMNS($AN$1006:AQ1006),$AN$1006:$BO$1006,0)))),"Fix")))</f>
        <v>0</v>
      </c>
      <c r="F174" s="4">
        <f>IF(OR(INDEX($AH$2:$AH$1001,MATCH(ROWS($AG$2:AG174),$AG$2:$AG$1001,0),1)&gt;=100000,INDEX($AN$1005:$BO$1005,1,MATCH(COLUMNS($AN$1006:AR1006),$AN$1006:$BO$1006,0))&gt;=100000), " ",IF(INDEX($AN$2:$BO$1001,MATCH(ROWS($AG$2:AG174),$AG$2:$AG$1001,0),MATCH(COLUMNS($AN$1006:AR1006),$AN$1006:$BO$1006,0)), HYPERLINK("#",""), HYPERLINK(CONCATENATE("#Metadata!", ADDRESS(INDEX($AI$2:$AI$1001,MATCH(ROWS($AG$2:AG174),$AG$2:$AG$1001,0),0), INDEX($AN$1004:$BO$1004,1,MATCH(COLUMNS($AN$1006:AR1006),$AN$1006:$BO$1006,0)))),"Fix")))</f>
        <v>0</v>
      </c>
      <c r="G174" s="4">
        <f>IF(OR(INDEX($AH$2:$AH$1001,MATCH(ROWS($AG$2:AG174),$AG$2:$AG$1001,0),1)&gt;=100000,INDEX($AN$1005:$BO$1005,1,MATCH(COLUMNS($AN$1006:AS1006),$AN$1006:$BO$1006,0))&gt;=100000), " ",IF(INDEX($AN$2:$BO$1001,MATCH(ROWS($AG$2:AG174),$AG$2:$AG$1001,0),MATCH(COLUMNS($AN$1006:AS1006),$AN$1006:$BO$1006,0)), HYPERLINK("#",""), HYPERLINK(CONCATENATE("#Metadata!", ADDRESS(INDEX($AI$2:$AI$1001,MATCH(ROWS($AG$2:AG174),$AG$2:$AG$1001,0),0), INDEX($AN$1004:$BO$1004,1,MATCH(COLUMNS($AN$1006:AS1006),$AN$1006:$BO$1006,0)))),"Fix")))</f>
        <v>0</v>
      </c>
      <c r="H174" s="4">
        <f>IF(OR(INDEX($AH$2:$AH$1001,MATCH(ROWS($AG$2:AG174),$AG$2:$AG$1001,0),1)&gt;=100000,INDEX($AN$1005:$BO$1005,1,MATCH(COLUMNS($AN$1006:AT1006),$AN$1006:$BO$1006,0))&gt;=100000), " ",IF(INDEX($AN$2:$BO$1001,MATCH(ROWS($AG$2:AG174),$AG$2:$AG$1001,0),MATCH(COLUMNS($AN$1006:AT1006),$AN$1006:$BO$1006,0)), HYPERLINK("#",""), HYPERLINK(CONCATENATE("#Metadata!", ADDRESS(INDEX($AI$2:$AI$1001,MATCH(ROWS($AG$2:AG174),$AG$2:$AG$1001,0),0), INDEX($AN$1004:$BO$1004,1,MATCH(COLUMNS($AN$1006:AT1006),$AN$1006:$BO$1006,0)))),"Fix")))</f>
        <v>0</v>
      </c>
      <c r="I174" s="4">
        <f>IF(OR(INDEX($AH$2:$AH$1001,MATCH(ROWS($AG$2:AG174),$AG$2:$AG$1001,0),1)&gt;=100000,INDEX($AN$1005:$BO$1005,1,MATCH(COLUMNS($AN$1006:AU1006),$AN$1006:$BO$1006,0))&gt;=100000), " ",IF(INDEX($AN$2:$BO$1001,MATCH(ROWS($AG$2:AG174),$AG$2:$AG$1001,0),MATCH(COLUMNS($AN$1006:AU1006),$AN$1006:$BO$1006,0)), HYPERLINK("#",""), HYPERLINK(CONCATENATE("#Metadata!", ADDRESS(INDEX($AI$2:$AI$1001,MATCH(ROWS($AG$2:AG174),$AG$2:$AG$1001,0),0), INDEX($AN$1004:$BO$1004,1,MATCH(COLUMNS($AN$1006:AU1006),$AN$1006:$BO$1006,0)))),"Fix")))</f>
        <v>0</v>
      </c>
      <c r="J174" s="4">
        <f>IF(OR(INDEX($AH$2:$AH$1001,MATCH(ROWS($AG$2:AG174),$AG$2:$AG$1001,0),1)&gt;=100000,INDEX($AN$1005:$BO$1005,1,MATCH(COLUMNS($AN$1006:AV1006),$AN$1006:$BO$1006,0))&gt;=100000), " ",IF(INDEX($AN$2:$BO$1001,MATCH(ROWS($AG$2:AG174),$AG$2:$AG$1001,0),MATCH(COLUMNS($AN$1006:AV1006),$AN$1006:$BO$1006,0)), HYPERLINK("#",""), HYPERLINK(CONCATENATE("#Metadata!", ADDRESS(INDEX($AI$2:$AI$1001,MATCH(ROWS($AG$2:AG174),$AG$2:$AG$1001,0),0), INDEX($AN$1004:$BO$1004,1,MATCH(COLUMNS($AN$1006:AV1006),$AN$1006:$BO$1006,0)))),"Fix")))</f>
        <v>0</v>
      </c>
      <c r="K174" s="4">
        <f>IF(OR(INDEX($AH$2:$AH$1001,MATCH(ROWS($AG$2:AG174),$AG$2:$AG$1001,0),1)&gt;=100000,INDEX($AN$1005:$BO$1005,1,MATCH(COLUMNS($AN$1006:AW1006),$AN$1006:$BO$1006,0))&gt;=100000), " ",IF(INDEX($AN$2:$BO$1001,MATCH(ROWS($AG$2:AG174),$AG$2:$AG$1001,0),MATCH(COLUMNS($AN$1006:AW1006),$AN$1006:$BO$1006,0)), HYPERLINK("#",""), HYPERLINK(CONCATENATE("#Metadata!", ADDRESS(INDEX($AI$2:$AI$1001,MATCH(ROWS($AG$2:AG174),$AG$2:$AG$1001,0),0), INDEX($AN$1004:$BO$1004,1,MATCH(COLUMNS($AN$1006:AW1006),$AN$1006:$BO$1006,0)))),"Fix")))</f>
        <v>0</v>
      </c>
      <c r="L174" s="4">
        <f>IF(OR(INDEX($AH$2:$AH$1001,MATCH(ROWS($AG$2:AG174),$AG$2:$AG$1001,0),1)&gt;=100000,INDEX($AN$1005:$BO$1005,1,MATCH(COLUMNS($AN$1006:AX1006),$AN$1006:$BO$1006,0))&gt;=100000), " ",IF(INDEX($AN$2:$BO$1001,MATCH(ROWS($AG$2:AG174),$AG$2:$AG$1001,0),MATCH(COLUMNS($AN$1006:AX1006),$AN$1006:$BO$1006,0)), HYPERLINK("#",""), HYPERLINK(CONCATENATE("#Metadata!", ADDRESS(INDEX($AI$2:$AI$1001,MATCH(ROWS($AG$2:AG174),$AG$2:$AG$1001,0),0), INDEX($AN$1004:$BO$1004,1,MATCH(COLUMNS($AN$1006:AX1006),$AN$1006:$BO$1006,0)))),"Fix")))</f>
        <v>0</v>
      </c>
      <c r="M174" s="4">
        <f>IF(OR(INDEX($AH$2:$AH$1001,MATCH(ROWS($AG$2:AG174),$AG$2:$AG$1001,0),1)&gt;=100000,INDEX($AN$1005:$BO$1005,1,MATCH(COLUMNS($AN$1006:AY1006),$AN$1006:$BO$1006,0))&gt;=100000), " ",IF(INDEX($AN$2:$BO$1001,MATCH(ROWS($AG$2:AG174),$AG$2:$AG$1001,0),MATCH(COLUMNS($AN$1006:AY1006),$AN$1006:$BO$1006,0)), HYPERLINK("#",""), HYPERLINK(CONCATENATE("#Metadata!", ADDRESS(INDEX($AI$2:$AI$1001,MATCH(ROWS($AG$2:AG174),$AG$2:$AG$1001,0),0), INDEX($AN$1004:$BO$1004,1,MATCH(COLUMNS($AN$1006:AY1006),$AN$1006:$BO$1006,0)))),"Fix")))</f>
        <v>0</v>
      </c>
      <c r="N174" s="4">
        <f>IF(OR(INDEX($AH$2:$AH$1001,MATCH(ROWS($AG$2:AG174),$AG$2:$AG$1001,0),1)&gt;=100000,INDEX($AN$1005:$BO$1005,1,MATCH(COLUMNS($AN$1006:AZ1006),$AN$1006:$BO$1006,0))&gt;=100000), " ",IF(INDEX($AN$2:$BO$1001,MATCH(ROWS($AG$2:AG174),$AG$2:$AG$1001,0),MATCH(COLUMNS($AN$1006:AZ1006),$AN$1006:$BO$1006,0)), HYPERLINK("#",""), HYPERLINK(CONCATENATE("#Metadata!", ADDRESS(INDEX($AI$2:$AI$1001,MATCH(ROWS($AG$2:AG174),$AG$2:$AG$1001,0),0), INDEX($AN$1004:$BO$1004,1,MATCH(COLUMNS($AN$1006:AZ1006),$AN$1006:$BO$1006,0)))),"Fix")))</f>
        <v>0</v>
      </c>
      <c r="O174" s="4">
        <f>IF(OR(INDEX($AH$2:$AH$1001,MATCH(ROWS($AG$2:AG174),$AG$2:$AG$1001,0),1)&gt;=100000,INDEX($AN$1005:$BO$1005,1,MATCH(COLUMNS($AN$1006:BA1006),$AN$1006:$BO$1006,0))&gt;=100000), " ",IF(INDEX($AN$2:$BO$1001,MATCH(ROWS($AG$2:AG174),$AG$2:$AG$1001,0),MATCH(COLUMNS($AN$1006:BA1006),$AN$1006:$BO$1006,0)), HYPERLINK("#",""), HYPERLINK(CONCATENATE("#Metadata!", ADDRESS(INDEX($AI$2:$AI$1001,MATCH(ROWS($AG$2:AG174),$AG$2:$AG$1001,0),0), INDEX($AN$1004:$BO$1004,1,MATCH(COLUMNS($AN$1006:BA1006),$AN$1006:$BO$1006,0)))),"Fix")))</f>
        <v>0</v>
      </c>
      <c r="P174" s="4">
        <f>IF(OR(INDEX($AH$2:$AH$1001,MATCH(ROWS($AG$2:AG174),$AG$2:$AG$1001,0),1)&gt;=100000,INDEX($AN$1005:$BO$1005,1,MATCH(COLUMNS($AN$1006:BB1006),$AN$1006:$BO$1006,0))&gt;=100000), " ",IF(INDEX($AN$2:$BO$1001,MATCH(ROWS($AG$2:AG174),$AG$2:$AG$1001,0),MATCH(COLUMNS($AN$1006:BB1006),$AN$1006:$BO$1006,0)), HYPERLINK("#",""), HYPERLINK(CONCATENATE("#Metadata!", ADDRESS(INDEX($AI$2:$AI$1001,MATCH(ROWS($AG$2:AG174),$AG$2:$AG$1001,0),0), INDEX($AN$1004:$BO$1004,1,MATCH(COLUMNS($AN$1006:BB1006),$AN$1006:$BO$1006,0)))),"Fix")))</f>
        <v>0</v>
      </c>
      <c r="Q174" s="4">
        <f>IF(OR(INDEX($AH$2:$AH$1001,MATCH(ROWS($AG$2:AG174),$AG$2:$AG$1001,0),1)&gt;=100000,INDEX($AN$1005:$BO$1005,1,MATCH(COLUMNS($AN$1006:BC1006),$AN$1006:$BO$1006,0))&gt;=100000), " ",IF(INDEX($AN$2:$BO$1001,MATCH(ROWS($AG$2:AG174),$AG$2:$AG$1001,0),MATCH(COLUMNS($AN$1006:BC1006),$AN$1006:$BO$1006,0)), HYPERLINK("#",""), HYPERLINK(CONCATENATE("#Metadata!", ADDRESS(INDEX($AI$2:$AI$1001,MATCH(ROWS($AG$2:AG174),$AG$2:$AG$1001,0),0), INDEX($AN$1004:$BO$1004,1,MATCH(COLUMNS($AN$1006:BC1006),$AN$1006:$BO$1006,0)))),"Fix")))</f>
        <v>0</v>
      </c>
      <c r="R174" s="4">
        <f>IF(OR(INDEX($AH$2:$AH$1001,MATCH(ROWS($AG$2:AG174),$AG$2:$AG$1001,0),1)&gt;=100000,INDEX($AN$1005:$BO$1005,1,MATCH(COLUMNS($AN$1006:BD1006),$AN$1006:$BO$1006,0))&gt;=100000), " ",IF(INDEX($AN$2:$BO$1001,MATCH(ROWS($AG$2:AG174),$AG$2:$AG$1001,0),MATCH(COLUMNS($AN$1006:BD1006),$AN$1006:$BO$1006,0)), HYPERLINK("#",""), HYPERLINK(CONCATENATE("#Metadata!", ADDRESS(INDEX($AI$2:$AI$1001,MATCH(ROWS($AG$2:AG174),$AG$2:$AG$1001,0),0), INDEX($AN$1004:$BO$1004,1,MATCH(COLUMNS($AN$1006:BD1006),$AN$1006:$BO$1006,0)))),"Fix")))</f>
        <v>0</v>
      </c>
      <c r="S174" s="4">
        <f>IF(OR(INDEX($AH$2:$AH$1001,MATCH(ROWS($AG$2:AG174),$AG$2:$AG$1001,0),1)&gt;=100000,INDEX($AN$1005:$BO$1005,1,MATCH(COLUMNS($AN$1006:BE1006),$AN$1006:$BO$1006,0))&gt;=100000), " ",IF(INDEX($AN$2:$BO$1001,MATCH(ROWS($AG$2:AG174),$AG$2:$AG$1001,0),MATCH(COLUMNS($AN$1006:BE1006),$AN$1006:$BO$1006,0)), HYPERLINK("#",""), HYPERLINK(CONCATENATE("#Metadata!", ADDRESS(INDEX($AI$2:$AI$1001,MATCH(ROWS($AG$2:AG174),$AG$2:$AG$1001,0),0), INDEX($AN$1004:$BO$1004,1,MATCH(COLUMNS($AN$1006:BE1006),$AN$1006:$BO$1006,0)))),"Fix")))</f>
        <v>0</v>
      </c>
      <c r="T174" s="4">
        <f>IF(OR(INDEX($AH$2:$AH$1001,MATCH(ROWS($AG$2:AG174),$AG$2:$AG$1001,0),1)&gt;=100000,INDEX($AN$1005:$BO$1005,1,MATCH(COLUMNS($AN$1006:BF1006),$AN$1006:$BO$1006,0))&gt;=100000), " ",IF(INDEX($AN$2:$BO$1001,MATCH(ROWS($AG$2:AG174),$AG$2:$AG$1001,0),MATCH(COLUMNS($AN$1006:BF1006),$AN$1006:$BO$1006,0)), HYPERLINK("#",""), HYPERLINK(CONCATENATE("#Metadata!", ADDRESS(INDEX($AI$2:$AI$1001,MATCH(ROWS($AG$2:AG174),$AG$2:$AG$1001,0),0), INDEX($AN$1004:$BO$1004,1,MATCH(COLUMNS($AN$1006:BF1006),$AN$1006:$BO$1006,0)))),"Fix")))</f>
        <v>0</v>
      </c>
      <c r="U174" s="4">
        <f>IF(OR(INDEX($AH$2:$AH$1001,MATCH(ROWS($AG$2:AG174),$AG$2:$AG$1001,0),1)&gt;=100000,INDEX($AN$1005:$BO$1005,1,MATCH(COLUMNS($AN$1006:BG1006),$AN$1006:$BO$1006,0))&gt;=100000), " ",IF(INDEX($AN$2:$BO$1001,MATCH(ROWS($AG$2:AG174),$AG$2:$AG$1001,0),MATCH(COLUMNS($AN$1006:BG1006),$AN$1006:$BO$1006,0)), HYPERLINK("#",""), HYPERLINK(CONCATENATE("#Metadata!", ADDRESS(INDEX($AI$2:$AI$1001,MATCH(ROWS($AG$2:AG174),$AG$2:$AG$1001,0),0), INDEX($AN$1004:$BO$1004,1,MATCH(COLUMNS($AN$1006:BG1006),$AN$1006:$BO$1006,0)))),"Fix")))</f>
        <v>0</v>
      </c>
      <c r="V174" s="4">
        <f>IF(OR(INDEX($AH$2:$AH$1001,MATCH(ROWS($AG$2:AG174),$AG$2:$AG$1001,0),1)&gt;=100000,INDEX($AN$1005:$BO$1005,1,MATCH(COLUMNS($AN$1006:BH1006),$AN$1006:$BO$1006,0))&gt;=100000), " ",IF(INDEX($AN$2:$BO$1001,MATCH(ROWS($AG$2:AG174),$AG$2:$AG$1001,0),MATCH(COLUMNS($AN$1006:BH1006),$AN$1006:$BO$1006,0)), HYPERLINK("#",""), HYPERLINK(CONCATENATE("#Metadata!", ADDRESS(INDEX($AI$2:$AI$1001,MATCH(ROWS($AG$2:AG174),$AG$2:$AG$1001,0),0), INDEX($AN$1004:$BO$1004,1,MATCH(COLUMNS($AN$1006:BH1006),$AN$1006:$BO$1006,0)))),"Fix")))</f>
        <v>0</v>
      </c>
      <c r="W174" s="4">
        <f>IF(OR(INDEX($AH$2:$AH$1001,MATCH(ROWS($AG$2:AG174),$AG$2:$AG$1001,0),1)&gt;=100000,INDEX($AN$1005:$BO$1005,1,MATCH(COLUMNS($AN$1006:BI1006),$AN$1006:$BO$1006,0))&gt;=100000), " ",IF(INDEX($AN$2:$BO$1001,MATCH(ROWS($AG$2:AG174),$AG$2:$AG$1001,0),MATCH(COLUMNS($AN$1006:BI1006),$AN$1006:$BO$1006,0)), HYPERLINK("#",""), HYPERLINK(CONCATENATE("#Metadata!", ADDRESS(INDEX($AI$2:$AI$1001,MATCH(ROWS($AG$2:AG174),$AG$2:$AG$1001,0),0), INDEX($AN$1004:$BO$1004,1,MATCH(COLUMNS($AN$1006:BI1006),$AN$1006:$BO$1006,0)))),"Fix")))</f>
        <v>0</v>
      </c>
      <c r="X174" s="4">
        <f>IF(OR(INDEX($AH$2:$AH$1001,MATCH(ROWS($AG$2:AG174),$AG$2:$AG$1001,0),1)&gt;=100000,INDEX($AN$1005:$BO$1005,1,MATCH(COLUMNS($AN$1006:BJ1006),$AN$1006:$BO$1006,0))&gt;=100000), " ",IF(INDEX($AN$2:$BO$1001,MATCH(ROWS($AG$2:AG174),$AG$2:$AG$1001,0),MATCH(COLUMNS($AN$1006:BJ1006),$AN$1006:$BO$1006,0)), HYPERLINK("#",""), HYPERLINK(CONCATENATE("#Metadata!", ADDRESS(INDEX($AI$2:$AI$1001,MATCH(ROWS($AG$2:AG174),$AG$2:$AG$1001,0),0), INDEX($AN$1004:$BO$1004,1,MATCH(COLUMNS($AN$1006:BJ1006),$AN$1006:$BO$1006,0)))),"Fix")))</f>
        <v>0</v>
      </c>
      <c r="Y174" s="4">
        <f>IF(OR(INDEX($AH$2:$AH$1001,MATCH(ROWS($AG$2:AG174),$AG$2:$AG$1001,0),1)&gt;=100000,INDEX($AN$1005:$BO$1005,1,MATCH(COLUMNS($AN$1006:BK1006),$AN$1006:$BO$1006,0))&gt;=100000), " ",IF(INDEX($AN$2:$BO$1001,MATCH(ROWS($AG$2:AG174),$AG$2:$AG$1001,0),MATCH(COLUMNS($AN$1006:BK1006),$AN$1006:$BO$1006,0)), HYPERLINK("#",""), HYPERLINK(CONCATENATE("#Metadata!", ADDRESS(INDEX($AI$2:$AI$1001,MATCH(ROWS($AG$2:AG174),$AG$2:$AG$1001,0),0), INDEX($AN$1004:$BO$1004,1,MATCH(COLUMNS($AN$1006:BK1006),$AN$1006:$BO$1006,0)))),"Fix")))</f>
        <v>0</v>
      </c>
      <c r="Z174" s="4">
        <f>IF(OR(INDEX($AH$2:$AH$1001,MATCH(ROWS($AG$2:AG174),$AG$2:$AG$1001,0),1)&gt;=100000,INDEX($AN$1005:$BO$1005,1,MATCH(COLUMNS($AN$1006:BL1006),$AN$1006:$BO$1006,0))&gt;=100000), " ",IF(INDEX($AN$2:$BO$1001,MATCH(ROWS($AG$2:AG174),$AG$2:$AG$1001,0),MATCH(COLUMNS($AN$1006:BL1006),$AN$1006:$BO$1006,0)), HYPERLINK("#",""), HYPERLINK(CONCATENATE("#Metadata!", ADDRESS(INDEX($AI$2:$AI$1001,MATCH(ROWS($AG$2:AG174),$AG$2:$AG$1001,0),0), INDEX($AN$1004:$BO$1004,1,MATCH(COLUMNS($AN$1006:BL1006),$AN$1006:$BO$1006,0)))),"Fix")))</f>
        <v>0</v>
      </c>
      <c r="AA174" s="4">
        <f>IF(OR(INDEX($AH$2:$AH$1001,MATCH(ROWS($AG$2:AG174),$AG$2:$AG$1001,0),1)&gt;=100000,INDEX($AN$1005:$BO$1005,1,MATCH(COLUMNS($AN$1006:BM1006),$AN$1006:$BO$1006,0))&gt;=100000), " ",IF(INDEX($AN$2:$BO$1001,MATCH(ROWS($AG$2:AG174),$AG$2:$AG$1001,0),MATCH(COLUMNS($AN$1006:BM1006),$AN$1006:$BO$1006,0)), HYPERLINK("#",""), HYPERLINK(CONCATENATE("#Metadata!", ADDRESS(INDEX($AI$2:$AI$1001,MATCH(ROWS($AG$2:AG174),$AG$2:$AG$1001,0),0), INDEX($AN$1004:$BO$1004,1,MATCH(COLUMNS($AN$1006:BM1006),$AN$1006:$BO$1006,0)))),"Fix")))</f>
        <v>0</v>
      </c>
      <c r="AB174" s="4">
        <f>IF(OR(INDEX($AH$2:$AH$1001,MATCH(ROWS($AG$2:AG174),$AG$2:$AG$1001,0),1)&gt;=100000,INDEX($AN$1005:$BO$1005,1,MATCH(COLUMNS($AN$1006:BN1006),$AN$1006:$BO$1006,0))&gt;=100000), " ",IF(INDEX($AN$2:$BO$1001,MATCH(ROWS($AG$2:AG174),$AG$2:$AG$1001,0),MATCH(COLUMNS($AN$1006:BN1006),$AN$1006:$BO$1006,0)), HYPERLINK("#",""), HYPERLINK(CONCATENATE("#Metadata!", ADDRESS(INDEX($AI$2:$AI$1001,MATCH(ROWS($AG$2:AG174),$AG$2:$AG$1001,0),0), INDEX($AN$1004:$BO$1004,1,MATCH(COLUMNS($AN$1006:BN1006),$AN$1006:$BO$1006,0)))),"Fix")))</f>
        <v>0</v>
      </c>
      <c r="AC174" s="4">
        <f>IF(OR(INDEX($AH$2:$AH$1001,MATCH(ROWS($AG$2:AG174),$AG$2:$AG$1001,0),1)&gt;=100000,INDEX($AN$1005:$BO$1005,1,MATCH(COLUMNS($AN$1006:BO1006),$AN$1006:$BO$1006,0))&gt;=100000), " ",IF(INDEX($AN$2:$BO$1001,MATCH(ROWS($AG$2:AG174),$AG$2:$AG$1001,0),MATCH(COLUMNS($AN$1006:BO1006),$AN$1006:$BO$1006,0)), HYPERLINK("#",""), HYPERLINK(CONCATENATE("#Metadata!", ADDRESS(INDEX($AI$2:$AI$1001,MATCH(ROWS($AG$2:AG174),$AG$2:$AG$1001,0),0), INDEX($AN$1004:$BO$1004,1,MATCH(COLUMNS($AN$1006:BO1006),$AN$1006:$BO$1006,0)))),"Fix")))</f>
        <v>0</v>
      </c>
      <c r="AG174">
        <v>0</v>
      </c>
      <c r="AH174">
        <v>0</v>
      </c>
      <c r="AI174">
        <v>0</v>
      </c>
      <c r="AJ174">
        <f>IF(AK174,TRUE,AND(AN174:BO174))</f>
        <v>0</v>
      </c>
      <c r="AK174">
        <f>COUNTBLANK(Metadata!B174:AC174)=COLUMNS(Metadata!B174:AC174)</f>
        <v>0</v>
      </c>
      <c r="AL174">
        <v>0</v>
      </c>
      <c r="AN174">
        <f>AND(IF(Metadata!B174="",FALSE,TRUE),COUNTIF(Metadata!B:B, Metadata!B174) = 1,NOT(ISERROR(SUMPRODUCT(SEARCH(MID(Metadata!B174,ROW(INDIRECT("1:"&amp;LEN(Metadata!B174))), 1),"0123456789abcdefghijklmnopqrstuvwxyzABCDEFGHIJKLMNOPQRSTUVWXYZ.")))))</f>
        <v>0</v>
      </c>
      <c r="AO174">
        <f>IF(Metadata!C174="",FALSE,TRUE)</f>
        <v>0</v>
      </c>
      <c r="AP174">
        <f>IF(Metadata!D174="",FALSE,TRUE)</f>
        <v>0</v>
      </c>
      <c r="AQ174">
        <f>OR(AND(IF(Metadata!E174="",FALSE,TRUE),OR(exact(Metadata!E174,"not collected"),exact(Metadata!E174,"not provided"),exact(Metadata!E174,"restricted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R174">
        <f>IF(Metadata!F174="",FALSE,TRUE)</f>
        <v>0</v>
      </c>
      <c r="AS174">
        <f>OR(AND(IF(Metadata!G174="",FALSE,TRUE),OR(exact(Metadata!G174,"not collected"),exact(Metadata!G174,"not provided"))),AND(IF(Metadata!G174="",FALSE,TRUE),OR(exact(Metadata!G174,"TRUE"),exact(Metadata!G174,"FALSE"))))</f>
        <v>0</v>
      </c>
      <c r="AT174">
        <f>OR(AND(IF(Metadata!H174="",FALSE,TRUE),OR(exact(Metadata!H174,"not collected"),exact(Metadata!H174,"not provided"),exact(Metadata!H174,"restricted access"))),AND(IF(Metadata!H174="",FALSE,ISNUMBER(VALUE(Metadata!H174))),Metadata!H174&gt;=-413.0))</f>
        <v>0</v>
      </c>
      <c r="AU174">
        <f>AND(IF(Metadata!I174="",FALSE,TRUE),exact(Metadata!I174,"meters"))</f>
        <v>0</v>
      </c>
      <c r="AV174">
        <f>AND(IF(Metadata!J174="",FALSE,TRUE),OR(exact(Metadata!J174,"Host-associated"),exact(Metadata!J174,"Free-living")))</f>
        <v>0</v>
      </c>
      <c r="AW174">
        <f>AND(IF(Metadata!K174="",FALSE,TRUE),OR(exact(Metadata!K174,"Animal"),exact(Metadata!K174,"Fungus"),exact(Metadata!K174,"Plant"),exact(Metadata!K174,"Saline"),exact(Metadata!K174,"Non-saline")))</f>
        <v>0</v>
      </c>
      <c r="AX174">
        <f>AND(IF(Metadata!L174="",FALSE,TRUE),OR(exact(Metadata!L174,"Plant secretion"),exact(Metadata!L174,"Plant rhizosphere"),exact(Metadata!L174,"Plant surface"),exact(Metadata!L174,"Plant corpus"),exact(Metadata!L174,"Fungus surface"),exact(Metadata!L174,"Fungus corpus"),exact(Metadata!L174,"Animal surface"),exact(Metadata!L174,"Animal proximal gut"),exact(Metadata!L174,"Animal corpus"),exact(Metadata!L174,"Animal distal gut"),exact(Metadata!L174,"Animal secretion"),exact(Metadata!L174,"Sub-surface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Y174">
        <f>IF(Metadata!M174="",FALSE,TRUE)</f>
        <v>0</v>
      </c>
      <c r="AZ174">
        <f>IF(Metadata!N174="",FALSE,TRUE)</f>
        <v>0</v>
      </c>
      <c r="BA174">
        <f>IF(Metadata!O174="",FALSE,TRUE)</f>
        <v>0</v>
      </c>
      <c r="BB174">
        <f>OR(AND(IF(Metadata!P174="",FALSE,TRUE),OR(exact(Metadata!P174,"not collected"),exact(Metadata!P174,"not provided"),exact(Metadata!P174,"restricted access"))),AND(IF(Metadata!P174="",FALSE,TRUE),OR(exact(Metadata!P174,"air"),exact(Metadata!P174,"built environment"),exact(Metadata!P174,"host-associated"),exact(Metadata!P174,"human-associated"),exact(Metadata!P174,"human-skin"),exact(Metadata!P174,"human-oral"),exact(Metadata!P174,"human-gut"),exact(Metadata!P174,"human-vaginal"),exact(Metadata!P174,"microbial mat/biofilm"),exact(Metadata!P174,"misc environment"),exact(Metadata!P174,"plant-associated"),exact(Metadata!P174,"sediment"),exact(Metadata!P174,"soil"),exact(Metadata!P174,"wastewater/sludge"),exact(Metadata!P174,"water"))))</f>
        <v>0</v>
      </c>
      <c r="BC174">
        <f>IF(Metadata!Q174="",FALSE,TRUE)</f>
        <v>0</v>
      </c>
      <c r="BD174">
        <f>IF(Metadata!R174="",FALSE,TRUE)</f>
        <v>0</v>
      </c>
      <c r="BE174">
        <f>OR(AND(IF(Metadata!S174="",FALSE,TRUE),OR(exact(Metadata!S174,"not collected"),exact(Metadata!S174,"not provided"),exact(Metadata!S174,"restricted access"))),AND(IF(Metadata!S174="",FALSE,ISNUMBER(VALUE(Metadata!S174))),Metadata!S174&gt;=-90.00,Metadata!S174&lt;=90.00))</f>
        <v>0</v>
      </c>
      <c r="BF174">
        <f>AND(IF(Metadata!T174="",FALSE,TRUE),exact(Metadata!T174,"Decimal degrees"))</f>
        <v>0</v>
      </c>
      <c r="BG174">
        <f>OR(AND(IF(Metadata!U174="",FALSE,TRUE),OR(exact(Metadata!U174,"not collected"),exact(Metadata!U174,"not provided"),exact(Metadata!U174,"restricted access"))),AND(IF(Metadata!U174="",FALSE,ISNUMBER(VALUE(Metadata!U174))),Metadata!U174&gt;=-180.00,Metadata!U174&lt;=180.00))</f>
        <v>0</v>
      </c>
      <c r="BH174">
        <f>AND(IF(Metadata!V174="",FALSE,TRUE),exact(Metadata!V174,"Decimal degrees"))</f>
        <v>0</v>
      </c>
      <c r="BI174">
        <f>IF(Metadata!W174="",FALSE,TRUE)</f>
        <v>0</v>
      </c>
      <c r="BJ174">
        <f>OR(AND(IF(Metadata!X174="",FALSE,TRUE),OR(exact(Metadata!X174,"not collected"),exact(Metadata!X174,"not provided"),exact(Metadata!X174,"restricted access"))),AND(IF(Metadata!X174="",FALSE,TRUE),OR(exact(Metadata!X174,"TRUE"),exact(Metadata!X174,"FALSE"))))</f>
        <v>0</v>
      </c>
      <c r="BK174">
        <f>AND(IF(Metadata!Y174="",FALSE,TRUE),exact(Metadata!Y174,"other"))</f>
        <v>0</v>
      </c>
      <c r="BL174">
        <f>IF(Metadata!Z174="",FALSE,TRUE)</f>
        <v>0</v>
      </c>
      <c r="BM174">
        <f>OR(AND(IF(Metadata!AA174="",FALSE,TRUE),OR(exact(Metadata!AA174,"not collected"),exact(Metadata!AA174,"not provided"))),AND(IF(Metadata!AA174="",FALSE,IF(ISERROR(INT(Metadata!AA174)),FALSE,INT(Metadata!AA174)=Metadata!AA174)),Metadata!AA174&gt;0))</f>
        <v>0</v>
      </c>
      <c r="BN174">
        <f>AND(IF(Metadata!AB174="",FALSE,TRUE),exact(Metadata!AB174,"Not applicable"))</f>
        <v>0</v>
      </c>
      <c r="BO174">
        <f>IF(Metadata!AC174="",FALSE,TRUE)</f>
        <v>0</v>
      </c>
    </row>
    <row r="175" spans="1:67">
      <c r="A175" s="5">
        <f>IF(B175=" "," ",HYPERLINK(CONCATENATE("#metadata!",ADDRESS(INDEX($AI$2:$AI$1001,MATCH(ROWS($AG$2:AG175),$AG$2:$AG$1001,0),0),1)),INDEX($AL$2:$AL$1001,MATCH(ROWS($AG$2:AG175),$AG$2:$AG$1001,0),0)))</f>
        <v>0</v>
      </c>
      <c r="B175" s="4">
        <f>IF(OR(INDEX($AH$2:$AH$1001,MATCH(ROWS($AG$2:AG175),$AG$2:$AG$1001,0),1)&gt;=100000,INDEX($AN$1005:$BO$1005,1,MATCH(COLUMNS($AN$1006:AN1006),$AN$1006:$BO$1006,0))&gt;=100000), " ",IF(INDEX($AN$2:$BO$1001,MATCH(ROWS($AG$2:AG175),$AG$2:$AG$1001,0),MATCH(COLUMNS($AN$1006:AN1006),$AN$1006:$BO$1006,0)), HYPERLINK("#",""), HYPERLINK(CONCATENATE("#Metadata!", ADDRESS(INDEX($AI$2:$AI$1001,MATCH(ROWS($AG$2:AG175),$AG$2:$AG$1001,0),0), INDEX($AN$1004:$BO$1004,1,MATCH(COLUMNS($AN$1006:AN1006),$AN$1006:$BO$1006,0)))),"Fix")))</f>
        <v>0</v>
      </c>
      <c r="C175" s="4">
        <f>IF(OR(INDEX($AH$2:$AH$1001,MATCH(ROWS($AG$2:AG175),$AG$2:$AG$1001,0),1)&gt;=100000,INDEX($AN$1005:$BO$1005,1,MATCH(COLUMNS($AN$1006:AO1006),$AN$1006:$BO$1006,0))&gt;=100000), " ",IF(INDEX($AN$2:$BO$1001,MATCH(ROWS($AG$2:AG175),$AG$2:$AG$1001,0),MATCH(COLUMNS($AN$1006:AO1006),$AN$1006:$BO$1006,0)), HYPERLINK("#",""), HYPERLINK(CONCATENATE("#Metadata!", ADDRESS(INDEX($AI$2:$AI$1001,MATCH(ROWS($AG$2:AG175),$AG$2:$AG$1001,0),0), INDEX($AN$1004:$BO$1004,1,MATCH(COLUMNS($AN$1006:AO1006),$AN$1006:$BO$1006,0)))),"Fix")))</f>
        <v>0</v>
      </c>
      <c r="D175" s="4">
        <f>IF(OR(INDEX($AH$2:$AH$1001,MATCH(ROWS($AG$2:AG175),$AG$2:$AG$1001,0),1)&gt;=100000,INDEX($AN$1005:$BO$1005,1,MATCH(COLUMNS($AN$1006:AP1006),$AN$1006:$BO$1006,0))&gt;=100000), " ",IF(INDEX($AN$2:$BO$1001,MATCH(ROWS($AG$2:AG175),$AG$2:$AG$1001,0),MATCH(COLUMNS($AN$1006:AP1006),$AN$1006:$BO$1006,0)), HYPERLINK("#",""), HYPERLINK(CONCATENATE("#Metadata!", ADDRESS(INDEX($AI$2:$AI$1001,MATCH(ROWS($AG$2:AG175),$AG$2:$AG$1001,0),0), INDEX($AN$1004:$BO$1004,1,MATCH(COLUMNS($AN$1006:AP1006),$AN$1006:$BO$1006,0)))),"Fix")))</f>
        <v>0</v>
      </c>
      <c r="E175" s="4">
        <f>IF(OR(INDEX($AH$2:$AH$1001,MATCH(ROWS($AG$2:AG175),$AG$2:$AG$1001,0),1)&gt;=100000,INDEX($AN$1005:$BO$1005,1,MATCH(COLUMNS($AN$1006:AQ1006),$AN$1006:$BO$1006,0))&gt;=100000), " ",IF(INDEX($AN$2:$BO$1001,MATCH(ROWS($AG$2:AG175),$AG$2:$AG$1001,0),MATCH(COLUMNS($AN$1006:AQ1006),$AN$1006:$BO$1006,0)), HYPERLINK("#",""), HYPERLINK(CONCATENATE("#Metadata!", ADDRESS(INDEX($AI$2:$AI$1001,MATCH(ROWS($AG$2:AG175),$AG$2:$AG$1001,0),0), INDEX($AN$1004:$BO$1004,1,MATCH(COLUMNS($AN$1006:AQ1006),$AN$1006:$BO$1006,0)))),"Fix")))</f>
        <v>0</v>
      </c>
      <c r="F175" s="4">
        <f>IF(OR(INDEX($AH$2:$AH$1001,MATCH(ROWS($AG$2:AG175),$AG$2:$AG$1001,0),1)&gt;=100000,INDEX($AN$1005:$BO$1005,1,MATCH(COLUMNS($AN$1006:AR1006),$AN$1006:$BO$1006,0))&gt;=100000), " ",IF(INDEX($AN$2:$BO$1001,MATCH(ROWS($AG$2:AG175),$AG$2:$AG$1001,0),MATCH(COLUMNS($AN$1006:AR1006),$AN$1006:$BO$1006,0)), HYPERLINK("#",""), HYPERLINK(CONCATENATE("#Metadata!", ADDRESS(INDEX($AI$2:$AI$1001,MATCH(ROWS($AG$2:AG175),$AG$2:$AG$1001,0),0), INDEX($AN$1004:$BO$1004,1,MATCH(COLUMNS($AN$1006:AR1006),$AN$1006:$BO$1006,0)))),"Fix")))</f>
        <v>0</v>
      </c>
      <c r="G175" s="4">
        <f>IF(OR(INDEX($AH$2:$AH$1001,MATCH(ROWS($AG$2:AG175),$AG$2:$AG$1001,0),1)&gt;=100000,INDEX($AN$1005:$BO$1005,1,MATCH(COLUMNS($AN$1006:AS1006),$AN$1006:$BO$1006,0))&gt;=100000), " ",IF(INDEX($AN$2:$BO$1001,MATCH(ROWS($AG$2:AG175),$AG$2:$AG$1001,0),MATCH(COLUMNS($AN$1006:AS1006),$AN$1006:$BO$1006,0)), HYPERLINK("#",""), HYPERLINK(CONCATENATE("#Metadata!", ADDRESS(INDEX($AI$2:$AI$1001,MATCH(ROWS($AG$2:AG175),$AG$2:$AG$1001,0),0), INDEX($AN$1004:$BO$1004,1,MATCH(COLUMNS($AN$1006:AS1006),$AN$1006:$BO$1006,0)))),"Fix")))</f>
        <v>0</v>
      </c>
      <c r="H175" s="4">
        <f>IF(OR(INDEX($AH$2:$AH$1001,MATCH(ROWS($AG$2:AG175),$AG$2:$AG$1001,0),1)&gt;=100000,INDEX($AN$1005:$BO$1005,1,MATCH(COLUMNS($AN$1006:AT1006),$AN$1006:$BO$1006,0))&gt;=100000), " ",IF(INDEX($AN$2:$BO$1001,MATCH(ROWS($AG$2:AG175),$AG$2:$AG$1001,0),MATCH(COLUMNS($AN$1006:AT1006),$AN$1006:$BO$1006,0)), HYPERLINK("#",""), HYPERLINK(CONCATENATE("#Metadata!", ADDRESS(INDEX($AI$2:$AI$1001,MATCH(ROWS($AG$2:AG175),$AG$2:$AG$1001,0),0), INDEX($AN$1004:$BO$1004,1,MATCH(COLUMNS($AN$1006:AT1006),$AN$1006:$BO$1006,0)))),"Fix")))</f>
        <v>0</v>
      </c>
      <c r="I175" s="4">
        <f>IF(OR(INDEX($AH$2:$AH$1001,MATCH(ROWS($AG$2:AG175),$AG$2:$AG$1001,0),1)&gt;=100000,INDEX($AN$1005:$BO$1005,1,MATCH(COLUMNS($AN$1006:AU1006),$AN$1006:$BO$1006,0))&gt;=100000), " ",IF(INDEX($AN$2:$BO$1001,MATCH(ROWS($AG$2:AG175),$AG$2:$AG$1001,0),MATCH(COLUMNS($AN$1006:AU1006),$AN$1006:$BO$1006,0)), HYPERLINK("#",""), HYPERLINK(CONCATENATE("#Metadata!", ADDRESS(INDEX($AI$2:$AI$1001,MATCH(ROWS($AG$2:AG175),$AG$2:$AG$1001,0),0), INDEX($AN$1004:$BO$1004,1,MATCH(COLUMNS($AN$1006:AU1006),$AN$1006:$BO$1006,0)))),"Fix")))</f>
        <v>0</v>
      </c>
      <c r="J175" s="4">
        <f>IF(OR(INDEX($AH$2:$AH$1001,MATCH(ROWS($AG$2:AG175),$AG$2:$AG$1001,0),1)&gt;=100000,INDEX($AN$1005:$BO$1005,1,MATCH(COLUMNS($AN$1006:AV1006),$AN$1006:$BO$1006,0))&gt;=100000), " ",IF(INDEX($AN$2:$BO$1001,MATCH(ROWS($AG$2:AG175),$AG$2:$AG$1001,0),MATCH(COLUMNS($AN$1006:AV1006),$AN$1006:$BO$1006,0)), HYPERLINK("#",""), HYPERLINK(CONCATENATE("#Metadata!", ADDRESS(INDEX($AI$2:$AI$1001,MATCH(ROWS($AG$2:AG175),$AG$2:$AG$1001,0),0), INDEX($AN$1004:$BO$1004,1,MATCH(COLUMNS($AN$1006:AV1006),$AN$1006:$BO$1006,0)))),"Fix")))</f>
        <v>0</v>
      </c>
      <c r="K175" s="4">
        <f>IF(OR(INDEX($AH$2:$AH$1001,MATCH(ROWS($AG$2:AG175),$AG$2:$AG$1001,0),1)&gt;=100000,INDEX($AN$1005:$BO$1005,1,MATCH(COLUMNS($AN$1006:AW1006),$AN$1006:$BO$1006,0))&gt;=100000), " ",IF(INDEX($AN$2:$BO$1001,MATCH(ROWS($AG$2:AG175),$AG$2:$AG$1001,0),MATCH(COLUMNS($AN$1006:AW1006),$AN$1006:$BO$1006,0)), HYPERLINK("#",""), HYPERLINK(CONCATENATE("#Metadata!", ADDRESS(INDEX($AI$2:$AI$1001,MATCH(ROWS($AG$2:AG175),$AG$2:$AG$1001,0),0), INDEX($AN$1004:$BO$1004,1,MATCH(COLUMNS($AN$1006:AW1006),$AN$1006:$BO$1006,0)))),"Fix")))</f>
        <v>0</v>
      </c>
      <c r="L175" s="4">
        <f>IF(OR(INDEX($AH$2:$AH$1001,MATCH(ROWS($AG$2:AG175),$AG$2:$AG$1001,0),1)&gt;=100000,INDEX($AN$1005:$BO$1005,1,MATCH(COLUMNS($AN$1006:AX1006),$AN$1006:$BO$1006,0))&gt;=100000), " ",IF(INDEX($AN$2:$BO$1001,MATCH(ROWS($AG$2:AG175),$AG$2:$AG$1001,0),MATCH(COLUMNS($AN$1006:AX1006),$AN$1006:$BO$1006,0)), HYPERLINK("#",""), HYPERLINK(CONCATENATE("#Metadata!", ADDRESS(INDEX($AI$2:$AI$1001,MATCH(ROWS($AG$2:AG175),$AG$2:$AG$1001,0),0), INDEX($AN$1004:$BO$1004,1,MATCH(COLUMNS($AN$1006:AX1006),$AN$1006:$BO$1006,0)))),"Fix")))</f>
        <v>0</v>
      </c>
      <c r="M175" s="4">
        <f>IF(OR(INDEX($AH$2:$AH$1001,MATCH(ROWS($AG$2:AG175),$AG$2:$AG$1001,0),1)&gt;=100000,INDEX($AN$1005:$BO$1005,1,MATCH(COLUMNS($AN$1006:AY1006),$AN$1006:$BO$1006,0))&gt;=100000), " ",IF(INDEX($AN$2:$BO$1001,MATCH(ROWS($AG$2:AG175),$AG$2:$AG$1001,0),MATCH(COLUMNS($AN$1006:AY1006),$AN$1006:$BO$1006,0)), HYPERLINK("#",""), HYPERLINK(CONCATENATE("#Metadata!", ADDRESS(INDEX($AI$2:$AI$1001,MATCH(ROWS($AG$2:AG175),$AG$2:$AG$1001,0),0), INDEX($AN$1004:$BO$1004,1,MATCH(COLUMNS($AN$1006:AY1006),$AN$1006:$BO$1006,0)))),"Fix")))</f>
        <v>0</v>
      </c>
      <c r="N175" s="4">
        <f>IF(OR(INDEX($AH$2:$AH$1001,MATCH(ROWS($AG$2:AG175),$AG$2:$AG$1001,0),1)&gt;=100000,INDEX($AN$1005:$BO$1005,1,MATCH(COLUMNS($AN$1006:AZ1006),$AN$1006:$BO$1006,0))&gt;=100000), " ",IF(INDEX($AN$2:$BO$1001,MATCH(ROWS($AG$2:AG175),$AG$2:$AG$1001,0),MATCH(COLUMNS($AN$1006:AZ1006),$AN$1006:$BO$1006,0)), HYPERLINK("#",""), HYPERLINK(CONCATENATE("#Metadata!", ADDRESS(INDEX($AI$2:$AI$1001,MATCH(ROWS($AG$2:AG175),$AG$2:$AG$1001,0),0), INDEX($AN$1004:$BO$1004,1,MATCH(COLUMNS($AN$1006:AZ1006),$AN$1006:$BO$1006,0)))),"Fix")))</f>
        <v>0</v>
      </c>
      <c r="O175" s="4">
        <f>IF(OR(INDEX($AH$2:$AH$1001,MATCH(ROWS($AG$2:AG175),$AG$2:$AG$1001,0),1)&gt;=100000,INDEX($AN$1005:$BO$1005,1,MATCH(COLUMNS($AN$1006:BA1006),$AN$1006:$BO$1006,0))&gt;=100000), " ",IF(INDEX($AN$2:$BO$1001,MATCH(ROWS($AG$2:AG175),$AG$2:$AG$1001,0),MATCH(COLUMNS($AN$1006:BA1006),$AN$1006:$BO$1006,0)), HYPERLINK("#",""), HYPERLINK(CONCATENATE("#Metadata!", ADDRESS(INDEX($AI$2:$AI$1001,MATCH(ROWS($AG$2:AG175),$AG$2:$AG$1001,0),0), INDEX($AN$1004:$BO$1004,1,MATCH(COLUMNS($AN$1006:BA1006),$AN$1006:$BO$1006,0)))),"Fix")))</f>
        <v>0</v>
      </c>
      <c r="P175" s="4">
        <f>IF(OR(INDEX($AH$2:$AH$1001,MATCH(ROWS($AG$2:AG175),$AG$2:$AG$1001,0),1)&gt;=100000,INDEX($AN$1005:$BO$1005,1,MATCH(COLUMNS($AN$1006:BB1006),$AN$1006:$BO$1006,0))&gt;=100000), " ",IF(INDEX($AN$2:$BO$1001,MATCH(ROWS($AG$2:AG175),$AG$2:$AG$1001,0),MATCH(COLUMNS($AN$1006:BB1006),$AN$1006:$BO$1006,0)), HYPERLINK("#",""), HYPERLINK(CONCATENATE("#Metadata!", ADDRESS(INDEX($AI$2:$AI$1001,MATCH(ROWS($AG$2:AG175),$AG$2:$AG$1001,0),0), INDEX($AN$1004:$BO$1004,1,MATCH(COLUMNS($AN$1006:BB1006),$AN$1006:$BO$1006,0)))),"Fix")))</f>
        <v>0</v>
      </c>
      <c r="Q175" s="4">
        <f>IF(OR(INDEX($AH$2:$AH$1001,MATCH(ROWS($AG$2:AG175),$AG$2:$AG$1001,0),1)&gt;=100000,INDEX($AN$1005:$BO$1005,1,MATCH(COLUMNS($AN$1006:BC1006),$AN$1006:$BO$1006,0))&gt;=100000), " ",IF(INDEX($AN$2:$BO$1001,MATCH(ROWS($AG$2:AG175),$AG$2:$AG$1001,0),MATCH(COLUMNS($AN$1006:BC1006),$AN$1006:$BO$1006,0)), HYPERLINK("#",""), HYPERLINK(CONCATENATE("#Metadata!", ADDRESS(INDEX($AI$2:$AI$1001,MATCH(ROWS($AG$2:AG175),$AG$2:$AG$1001,0),0), INDEX($AN$1004:$BO$1004,1,MATCH(COLUMNS($AN$1006:BC1006),$AN$1006:$BO$1006,0)))),"Fix")))</f>
        <v>0</v>
      </c>
      <c r="R175" s="4">
        <f>IF(OR(INDEX($AH$2:$AH$1001,MATCH(ROWS($AG$2:AG175),$AG$2:$AG$1001,0),1)&gt;=100000,INDEX($AN$1005:$BO$1005,1,MATCH(COLUMNS($AN$1006:BD1006),$AN$1006:$BO$1006,0))&gt;=100000), " ",IF(INDEX($AN$2:$BO$1001,MATCH(ROWS($AG$2:AG175),$AG$2:$AG$1001,0),MATCH(COLUMNS($AN$1006:BD1006),$AN$1006:$BO$1006,0)), HYPERLINK("#",""), HYPERLINK(CONCATENATE("#Metadata!", ADDRESS(INDEX($AI$2:$AI$1001,MATCH(ROWS($AG$2:AG175),$AG$2:$AG$1001,0),0), INDEX($AN$1004:$BO$1004,1,MATCH(COLUMNS($AN$1006:BD1006),$AN$1006:$BO$1006,0)))),"Fix")))</f>
        <v>0</v>
      </c>
      <c r="S175" s="4">
        <f>IF(OR(INDEX($AH$2:$AH$1001,MATCH(ROWS($AG$2:AG175),$AG$2:$AG$1001,0),1)&gt;=100000,INDEX($AN$1005:$BO$1005,1,MATCH(COLUMNS($AN$1006:BE1006),$AN$1006:$BO$1006,0))&gt;=100000), " ",IF(INDEX($AN$2:$BO$1001,MATCH(ROWS($AG$2:AG175),$AG$2:$AG$1001,0),MATCH(COLUMNS($AN$1006:BE1006),$AN$1006:$BO$1006,0)), HYPERLINK("#",""), HYPERLINK(CONCATENATE("#Metadata!", ADDRESS(INDEX($AI$2:$AI$1001,MATCH(ROWS($AG$2:AG175),$AG$2:$AG$1001,0),0), INDEX($AN$1004:$BO$1004,1,MATCH(COLUMNS($AN$1006:BE1006),$AN$1006:$BO$1006,0)))),"Fix")))</f>
        <v>0</v>
      </c>
      <c r="T175" s="4">
        <f>IF(OR(INDEX($AH$2:$AH$1001,MATCH(ROWS($AG$2:AG175),$AG$2:$AG$1001,0),1)&gt;=100000,INDEX($AN$1005:$BO$1005,1,MATCH(COLUMNS($AN$1006:BF1006),$AN$1006:$BO$1006,0))&gt;=100000), " ",IF(INDEX($AN$2:$BO$1001,MATCH(ROWS($AG$2:AG175),$AG$2:$AG$1001,0),MATCH(COLUMNS($AN$1006:BF1006),$AN$1006:$BO$1006,0)), HYPERLINK("#",""), HYPERLINK(CONCATENATE("#Metadata!", ADDRESS(INDEX($AI$2:$AI$1001,MATCH(ROWS($AG$2:AG175),$AG$2:$AG$1001,0),0), INDEX($AN$1004:$BO$1004,1,MATCH(COLUMNS($AN$1006:BF1006),$AN$1006:$BO$1006,0)))),"Fix")))</f>
        <v>0</v>
      </c>
      <c r="U175" s="4">
        <f>IF(OR(INDEX($AH$2:$AH$1001,MATCH(ROWS($AG$2:AG175),$AG$2:$AG$1001,0),1)&gt;=100000,INDEX($AN$1005:$BO$1005,1,MATCH(COLUMNS($AN$1006:BG1006),$AN$1006:$BO$1006,0))&gt;=100000), " ",IF(INDEX($AN$2:$BO$1001,MATCH(ROWS($AG$2:AG175),$AG$2:$AG$1001,0),MATCH(COLUMNS($AN$1006:BG1006),$AN$1006:$BO$1006,0)), HYPERLINK("#",""), HYPERLINK(CONCATENATE("#Metadata!", ADDRESS(INDEX($AI$2:$AI$1001,MATCH(ROWS($AG$2:AG175),$AG$2:$AG$1001,0),0), INDEX($AN$1004:$BO$1004,1,MATCH(COLUMNS($AN$1006:BG1006),$AN$1006:$BO$1006,0)))),"Fix")))</f>
        <v>0</v>
      </c>
      <c r="V175" s="4">
        <f>IF(OR(INDEX($AH$2:$AH$1001,MATCH(ROWS($AG$2:AG175),$AG$2:$AG$1001,0),1)&gt;=100000,INDEX($AN$1005:$BO$1005,1,MATCH(COLUMNS($AN$1006:BH1006),$AN$1006:$BO$1006,0))&gt;=100000), " ",IF(INDEX($AN$2:$BO$1001,MATCH(ROWS($AG$2:AG175),$AG$2:$AG$1001,0),MATCH(COLUMNS($AN$1006:BH1006),$AN$1006:$BO$1006,0)), HYPERLINK("#",""), HYPERLINK(CONCATENATE("#Metadata!", ADDRESS(INDEX($AI$2:$AI$1001,MATCH(ROWS($AG$2:AG175),$AG$2:$AG$1001,0),0), INDEX($AN$1004:$BO$1004,1,MATCH(COLUMNS($AN$1006:BH1006),$AN$1006:$BO$1006,0)))),"Fix")))</f>
        <v>0</v>
      </c>
      <c r="W175" s="4">
        <f>IF(OR(INDEX($AH$2:$AH$1001,MATCH(ROWS($AG$2:AG175),$AG$2:$AG$1001,0),1)&gt;=100000,INDEX($AN$1005:$BO$1005,1,MATCH(COLUMNS($AN$1006:BI1006),$AN$1006:$BO$1006,0))&gt;=100000), " ",IF(INDEX($AN$2:$BO$1001,MATCH(ROWS($AG$2:AG175),$AG$2:$AG$1001,0),MATCH(COLUMNS($AN$1006:BI1006),$AN$1006:$BO$1006,0)), HYPERLINK("#",""), HYPERLINK(CONCATENATE("#Metadata!", ADDRESS(INDEX($AI$2:$AI$1001,MATCH(ROWS($AG$2:AG175),$AG$2:$AG$1001,0),0), INDEX($AN$1004:$BO$1004,1,MATCH(COLUMNS($AN$1006:BI1006),$AN$1006:$BO$1006,0)))),"Fix")))</f>
        <v>0</v>
      </c>
      <c r="X175" s="4">
        <f>IF(OR(INDEX($AH$2:$AH$1001,MATCH(ROWS($AG$2:AG175),$AG$2:$AG$1001,0),1)&gt;=100000,INDEX($AN$1005:$BO$1005,1,MATCH(COLUMNS($AN$1006:BJ1006),$AN$1006:$BO$1006,0))&gt;=100000), " ",IF(INDEX($AN$2:$BO$1001,MATCH(ROWS($AG$2:AG175),$AG$2:$AG$1001,0),MATCH(COLUMNS($AN$1006:BJ1006),$AN$1006:$BO$1006,0)), HYPERLINK("#",""), HYPERLINK(CONCATENATE("#Metadata!", ADDRESS(INDEX($AI$2:$AI$1001,MATCH(ROWS($AG$2:AG175),$AG$2:$AG$1001,0),0), INDEX($AN$1004:$BO$1004,1,MATCH(COLUMNS($AN$1006:BJ1006),$AN$1006:$BO$1006,0)))),"Fix")))</f>
        <v>0</v>
      </c>
      <c r="Y175" s="4">
        <f>IF(OR(INDEX($AH$2:$AH$1001,MATCH(ROWS($AG$2:AG175),$AG$2:$AG$1001,0),1)&gt;=100000,INDEX($AN$1005:$BO$1005,1,MATCH(COLUMNS($AN$1006:BK1006),$AN$1006:$BO$1006,0))&gt;=100000), " ",IF(INDEX($AN$2:$BO$1001,MATCH(ROWS($AG$2:AG175),$AG$2:$AG$1001,0),MATCH(COLUMNS($AN$1006:BK1006),$AN$1006:$BO$1006,0)), HYPERLINK("#",""), HYPERLINK(CONCATENATE("#Metadata!", ADDRESS(INDEX($AI$2:$AI$1001,MATCH(ROWS($AG$2:AG175),$AG$2:$AG$1001,0),0), INDEX($AN$1004:$BO$1004,1,MATCH(COLUMNS($AN$1006:BK1006),$AN$1006:$BO$1006,0)))),"Fix")))</f>
        <v>0</v>
      </c>
      <c r="Z175" s="4">
        <f>IF(OR(INDEX($AH$2:$AH$1001,MATCH(ROWS($AG$2:AG175),$AG$2:$AG$1001,0),1)&gt;=100000,INDEX($AN$1005:$BO$1005,1,MATCH(COLUMNS($AN$1006:BL1006),$AN$1006:$BO$1006,0))&gt;=100000), " ",IF(INDEX($AN$2:$BO$1001,MATCH(ROWS($AG$2:AG175),$AG$2:$AG$1001,0),MATCH(COLUMNS($AN$1006:BL1006),$AN$1006:$BO$1006,0)), HYPERLINK("#",""), HYPERLINK(CONCATENATE("#Metadata!", ADDRESS(INDEX($AI$2:$AI$1001,MATCH(ROWS($AG$2:AG175),$AG$2:$AG$1001,0),0), INDEX($AN$1004:$BO$1004,1,MATCH(COLUMNS($AN$1006:BL1006),$AN$1006:$BO$1006,0)))),"Fix")))</f>
        <v>0</v>
      </c>
      <c r="AA175" s="4">
        <f>IF(OR(INDEX($AH$2:$AH$1001,MATCH(ROWS($AG$2:AG175),$AG$2:$AG$1001,0),1)&gt;=100000,INDEX($AN$1005:$BO$1005,1,MATCH(COLUMNS($AN$1006:BM1006),$AN$1006:$BO$1006,0))&gt;=100000), " ",IF(INDEX($AN$2:$BO$1001,MATCH(ROWS($AG$2:AG175),$AG$2:$AG$1001,0),MATCH(COLUMNS($AN$1006:BM1006),$AN$1006:$BO$1006,0)), HYPERLINK("#",""), HYPERLINK(CONCATENATE("#Metadata!", ADDRESS(INDEX($AI$2:$AI$1001,MATCH(ROWS($AG$2:AG175),$AG$2:$AG$1001,0),0), INDEX($AN$1004:$BO$1004,1,MATCH(COLUMNS($AN$1006:BM1006),$AN$1006:$BO$1006,0)))),"Fix")))</f>
        <v>0</v>
      </c>
      <c r="AB175" s="4">
        <f>IF(OR(INDEX($AH$2:$AH$1001,MATCH(ROWS($AG$2:AG175),$AG$2:$AG$1001,0),1)&gt;=100000,INDEX($AN$1005:$BO$1005,1,MATCH(COLUMNS($AN$1006:BN1006),$AN$1006:$BO$1006,0))&gt;=100000), " ",IF(INDEX($AN$2:$BO$1001,MATCH(ROWS($AG$2:AG175),$AG$2:$AG$1001,0),MATCH(COLUMNS($AN$1006:BN1006),$AN$1006:$BO$1006,0)), HYPERLINK("#",""), HYPERLINK(CONCATENATE("#Metadata!", ADDRESS(INDEX($AI$2:$AI$1001,MATCH(ROWS($AG$2:AG175),$AG$2:$AG$1001,0),0), INDEX($AN$1004:$BO$1004,1,MATCH(COLUMNS($AN$1006:BN1006),$AN$1006:$BO$1006,0)))),"Fix")))</f>
        <v>0</v>
      </c>
      <c r="AC175" s="4">
        <f>IF(OR(INDEX($AH$2:$AH$1001,MATCH(ROWS($AG$2:AG175),$AG$2:$AG$1001,0),1)&gt;=100000,INDEX($AN$1005:$BO$1005,1,MATCH(COLUMNS($AN$1006:BO1006),$AN$1006:$BO$1006,0))&gt;=100000), " ",IF(INDEX($AN$2:$BO$1001,MATCH(ROWS($AG$2:AG175),$AG$2:$AG$1001,0),MATCH(COLUMNS($AN$1006:BO1006),$AN$1006:$BO$1006,0)), HYPERLINK("#",""), HYPERLINK(CONCATENATE("#Metadata!", ADDRESS(INDEX($AI$2:$AI$1001,MATCH(ROWS($AG$2:AG175),$AG$2:$AG$1001,0),0), INDEX($AN$1004:$BO$1004,1,MATCH(COLUMNS($AN$1006:BO1006),$AN$1006:$BO$1006,0)))),"Fix")))</f>
        <v>0</v>
      </c>
      <c r="AG175">
        <v>0</v>
      </c>
      <c r="AH175">
        <v>0</v>
      </c>
      <c r="AI175">
        <v>0</v>
      </c>
      <c r="AJ175">
        <f>IF(AK175,TRUE,AND(AN175:BO175))</f>
        <v>0</v>
      </c>
      <c r="AK175">
        <f>COUNTBLANK(Metadata!B175:AC175)=COLUMNS(Metadata!B175:AC175)</f>
        <v>0</v>
      </c>
      <c r="AL175">
        <v>0</v>
      </c>
      <c r="AN175">
        <f>AND(IF(Metadata!B175="",FALSE,TRUE),COUNTIF(Metadata!B:B, Metadata!B175) = 1,NOT(ISERROR(SUMPRODUCT(SEARCH(MID(Metadata!B175,ROW(INDIRECT("1:"&amp;LEN(Metadata!B175))), 1),"0123456789abcdefghijklmnopqrstuvwxyzABCDEFGHIJKLMNOPQRSTUVWXYZ.")))))</f>
        <v>0</v>
      </c>
      <c r="AO175">
        <f>IF(Metadata!C175="",FALSE,TRUE)</f>
        <v>0</v>
      </c>
      <c r="AP175">
        <f>IF(Metadata!D175="",FALSE,TRUE)</f>
        <v>0</v>
      </c>
      <c r="AQ175">
        <f>OR(AND(IF(Metadata!E175="",FALSE,TRUE),OR(exact(Metadata!E175,"not collected"),exact(Metadata!E175,"not provided"),exact(Metadata!E175,"restricted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R175">
        <f>IF(Metadata!F175="",FALSE,TRUE)</f>
        <v>0</v>
      </c>
      <c r="AS175">
        <f>OR(AND(IF(Metadata!G175="",FALSE,TRUE),OR(exact(Metadata!G175,"not collected"),exact(Metadata!G175,"not provided"))),AND(IF(Metadata!G175="",FALSE,TRUE),OR(exact(Metadata!G175,"TRUE"),exact(Metadata!G175,"FALSE"))))</f>
        <v>0</v>
      </c>
      <c r="AT175">
        <f>OR(AND(IF(Metadata!H175="",FALSE,TRUE),OR(exact(Metadata!H175,"not collected"),exact(Metadata!H175,"not provided"),exact(Metadata!H175,"restricted access"))),AND(IF(Metadata!H175="",FALSE,ISNUMBER(VALUE(Metadata!H175))),Metadata!H175&gt;=-413.0))</f>
        <v>0</v>
      </c>
      <c r="AU175">
        <f>AND(IF(Metadata!I175="",FALSE,TRUE),exact(Metadata!I175,"meters"))</f>
        <v>0</v>
      </c>
      <c r="AV175">
        <f>AND(IF(Metadata!J175="",FALSE,TRUE),OR(exact(Metadata!J175,"Host-associated"),exact(Metadata!J175,"Free-living")))</f>
        <v>0</v>
      </c>
      <c r="AW175">
        <f>AND(IF(Metadata!K175="",FALSE,TRUE),OR(exact(Metadata!K175,"Animal"),exact(Metadata!K175,"Fungus"),exact(Metadata!K175,"Plant"),exact(Metadata!K175,"Saline"),exact(Metadata!K175,"Non-saline")))</f>
        <v>0</v>
      </c>
      <c r="AX175">
        <f>AND(IF(Metadata!L175="",FALSE,TRUE),OR(exact(Metadata!L175,"Plant secretion"),exact(Metadata!L175,"Plant rhizosphere"),exact(Metadata!L175,"Plant surface"),exact(Metadata!L175,"Plant corpus"),exact(Metadata!L175,"Fungus surface"),exact(Metadata!L175,"Fungus corpus"),exact(Metadata!L175,"Animal surface"),exact(Metadata!L175,"Animal proximal gut"),exact(Metadata!L175,"Animal corpus"),exact(Metadata!L175,"Animal distal gut"),exact(Metadata!L175,"Animal secretion"),exact(Metadata!L175,"Sub-surface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Y175">
        <f>IF(Metadata!M175="",FALSE,TRUE)</f>
        <v>0</v>
      </c>
      <c r="AZ175">
        <f>IF(Metadata!N175="",FALSE,TRUE)</f>
        <v>0</v>
      </c>
      <c r="BA175">
        <f>IF(Metadata!O175="",FALSE,TRUE)</f>
        <v>0</v>
      </c>
      <c r="BB175">
        <f>OR(AND(IF(Metadata!P175="",FALSE,TRUE),OR(exact(Metadata!P175,"not collected"),exact(Metadata!P175,"not provided"),exact(Metadata!P175,"restricted access"))),AND(IF(Metadata!P175="",FALSE,TRUE),OR(exact(Metadata!P175,"air"),exact(Metadata!P175,"built environment"),exact(Metadata!P175,"host-associated"),exact(Metadata!P175,"human-associated"),exact(Metadata!P175,"human-skin"),exact(Metadata!P175,"human-oral"),exact(Metadata!P175,"human-gut"),exact(Metadata!P175,"human-vaginal"),exact(Metadata!P175,"microbial mat/biofilm"),exact(Metadata!P175,"misc environment"),exact(Metadata!P175,"plant-associated"),exact(Metadata!P175,"sediment"),exact(Metadata!P175,"soil"),exact(Metadata!P175,"wastewater/sludge"),exact(Metadata!P175,"water"))))</f>
        <v>0</v>
      </c>
      <c r="BC175">
        <f>IF(Metadata!Q175="",FALSE,TRUE)</f>
        <v>0</v>
      </c>
      <c r="BD175">
        <f>IF(Metadata!R175="",FALSE,TRUE)</f>
        <v>0</v>
      </c>
      <c r="BE175">
        <f>OR(AND(IF(Metadata!S175="",FALSE,TRUE),OR(exact(Metadata!S175,"not collected"),exact(Metadata!S175,"not provided"),exact(Metadata!S175,"restricted access"))),AND(IF(Metadata!S175="",FALSE,ISNUMBER(VALUE(Metadata!S175))),Metadata!S175&gt;=-90.00,Metadata!S175&lt;=90.00))</f>
        <v>0</v>
      </c>
      <c r="BF175">
        <f>AND(IF(Metadata!T175="",FALSE,TRUE),exact(Metadata!T175,"Decimal degrees"))</f>
        <v>0</v>
      </c>
      <c r="BG175">
        <f>OR(AND(IF(Metadata!U175="",FALSE,TRUE),OR(exact(Metadata!U175,"not collected"),exact(Metadata!U175,"not provided"),exact(Metadata!U175,"restricted access"))),AND(IF(Metadata!U175="",FALSE,ISNUMBER(VALUE(Metadata!U175))),Metadata!U175&gt;=-180.00,Metadata!U175&lt;=180.00))</f>
        <v>0</v>
      </c>
      <c r="BH175">
        <f>AND(IF(Metadata!V175="",FALSE,TRUE),exact(Metadata!V175,"Decimal degrees"))</f>
        <v>0</v>
      </c>
      <c r="BI175">
        <f>IF(Metadata!W175="",FALSE,TRUE)</f>
        <v>0</v>
      </c>
      <c r="BJ175">
        <f>OR(AND(IF(Metadata!X175="",FALSE,TRUE),OR(exact(Metadata!X175,"not collected"),exact(Metadata!X175,"not provided"),exact(Metadata!X175,"restricted access"))),AND(IF(Metadata!X175="",FALSE,TRUE),OR(exact(Metadata!X175,"TRUE"),exact(Metadata!X175,"FALSE"))))</f>
        <v>0</v>
      </c>
      <c r="BK175">
        <f>AND(IF(Metadata!Y175="",FALSE,TRUE),exact(Metadata!Y175,"other"))</f>
        <v>0</v>
      </c>
      <c r="BL175">
        <f>IF(Metadata!Z175="",FALSE,TRUE)</f>
        <v>0</v>
      </c>
      <c r="BM175">
        <f>OR(AND(IF(Metadata!AA175="",FALSE,TRUE),OR(exact(Metadata!AA175,"not collected"),exact(Metadata!AA175,"not provided"))),AND(IF(Metadata!AA175="",FALSE,IF(ISERROR(INT(Metadata!AA175)),FALSE,INT(Metadata!AA175)=Metadata!AA175)),Metadata!AA175&gt;0))</f>
        <v>0</v>
      </c>
      <c r="BN175">
        <f>AND(IF(Metadata!AB175="",FALSE,TRUE),exact(Metadata!AB175,"Not applicable"))</f>
        <v>0</v>
      </c>
      <c r="BO175">
        <f>IF(Metadata!AC175="",FALSE,TRUE)</f>
        <v>0</v>
      </c>
    </row>
    <row r="176" spans="1:67">
      <c r="A176" s="5">
        <f>IF(B176=" "," ",HYPERLINK(CONCATENATE("#metadata!",ADDRESS(INDEX($AI$2:$AI$1001,MATCH(ROWS($AG$2:AG176),$AG$2:$AG$1001,0),0),1)),INDEX($AL$2:$AL$1001,MATCH(ROWS($AG$2:AG176),$AG$2:$AG$1001,0),0)))</f>
        <v>0</v>
      </c>
      <c r="B176" s="4">
        <f>IF(OR(INDEX($AH$2:$AH$1001,MATCH(ROWS($AG$2:AG176),$AG$2:$AG$1001,0),1)&gt;=100000,INDEX($AN$1005:$BO$1005,1,MATCH(COLUMNS($AN$1006:AN1006),$AN$1006:$BO$1006,0))&gt;=100000), " ",IF(INDEX($AN$2:$BO$1001,MATCH(ROWS($AG$2:AG176),$AG$2:$AG$1001,0),MATCH(COLUMNS($AN$1006:AN1006),$AN$1006:$BO$1006,0)), HYPERLINK("#",""), HYPERLINK(CONCATENATE("#Metadata!", ADDRESS(INDEX($AI$2:$AI$1001,MATCH(ROWS($AG$2:AG176),$AG$2:$AG$1001,0),0), INDEX($AN$1004:$BO$1004,1,MATCH(COLUMNS($AN$1006:AN1006),$AN$1006:$BO$1006,0)))),"Fix")))</f>
        <v>0</v>
      </c>
      <c r="C176" s="4">
        <f>IF(OR(INDEX($AH$2:$AH$1001,MATCH(ROWS($AG$2:AG176),$AG$2:$AG$1001,0),1)&gt;=100000,INDEX($AN$1005:$BO$1005,1,MATCH(COLUMNS($AN$1006:AO1006),$AN$1006:$BO$1006,0))&gt;=100000), " ",IF(INDEX($AN$2:$BO$1001,MATCH(ROWS($AG$2:AG176),$AG$2:$AG$1001,0),MATCH(COLUMNS($AN$1006:AO1006),$AN$1006:$BO$1006,0)), HYPERLINK("#",""), HYPERLINK(CONCATENATE("#Metadata!", ADDRESS(INDEX($AI$2:$AI$1001,MATCH(ROWS($AG$2:AG176),$AG$2:$AG$1001,0),0), INDEX($AN$1004:$BO$1004,1,MATCH(COLUMNS($AN$1006:AO1006),$AN$1006:$BO$1006,0)))),"Fix")))</f>
        <v>0</v>
      </c>
      <c r="D176" s="4">
        <f>IF(OR(INDEX($AH$2:$AH$1001,MATCH(ROWS($AG$2:AG176),$AG$2:$AG$1001,0),1)&gt;=100000,INDEX($AN$1005:$BO$1005,1,MATCH(COLUMNS($AN$1006:AP1006),$AN$1006:$BO$1006,0))&gt;=100000), " ",IF(INDEX($AN$2:$BO$1001,MATCH(ROWS($AG$2:AG176),$AG$2:$AG$1001,0),MATCH(COLUMNS($AN$1006:AP1006),$AN$1006:$BO$1006,0)), HYPERLINK("#",""), HYPERLINK(CONCATENATE("#Metadata!", ADDRESS(INDEX($AI$2:$AI$1001,MATCH(ROWS($AG$2:AG176),$AG$2:$AG$1001,0),0), INDEX($AN$1004:$BO$1004,1,MATCH(COLUMNS($AN$1006:AP1006),$AN$1006:$BO$1006,0)))),"Fix")))</f>
        <v>0</v>
      </c>
      <c r="E176" s="4">
        <f>IF(OR(INDEX($AH$2:$AH$1001,MATCH(ROWS($AG$2:AG176),$AG$2:$AG$1001,0),1)&gt;=100000,INDEX($AN$1005:$BO$1005,1,MATCH(COLUMNS($AN$1006:AQ1006),$AN$1006:$BO$1006,0))&gt;=100000), " ",IF(INDEX($AN$2:$BO$1001,MATCH(ROWS($AG$2:AG176),$AG$2:$AG$1001,0),MATCH(COLUMNS($AN$1006:AQ1006),$AN$1006:$BO$1006,0)), HYPERLINK("#",""), HYPERLINK(CONCATENATE("#Metadata!", ADDRESS(INDEX($AI$2:$AI$1001,MATCH(ROWS($AG$2:AG176),$AG$2:$AG$1001,0),0), INDEX($AN$1004:$BO$1004,1,MATCH(COLUMNS($AN$1006:AQ1006),$AN$1006:$BO$1006,0)))),"Fix")))</f>
        <v>0</v>
      </c>
      <c r="F176" s="4">
        <f>IF(OR(INDEX($AH$2:$AH$1001,MATCH(ROWS($AG$2:AG176),$AG$2:$AG$1001,0),1)&gt;=100000,INDEX($AN$1005:$BO$1005,1,MATCH(COLUMNS($AN$1006:AR1006),$AN$1006:$BO$1006,0))&gt;=100000), " ",IF(INDEX($AN$2:$BO$1001,MATCH(ROWS($AG$2:AG176),$AG$2:$AG$1001,0),MATCH(COLUMNS($AN$1006:AR1006),$AN$1006:$BO$1006,0)), HYPERLINK("#",""), HYPERLINK(CONCATENATE("#Metadata!", ADDRESS(INDEX($AI$2:$AI$1001,MATCH(ROWS($AG$2:AG176),$AG$2:$AG$1001,0),0), INDEX($AN$1004:$BO$1004,1,MATCH(COLUMNS($AN$1006:AR1006),$AN$1006:$BO$1006,0)))),"Fix")))</f>
        <v>0</v>
      </c>
      <c r="G176" s="4">
        <f>IF(OR(INDEX($AH$2:$AH$1001,MATCH(ROWS($AG$2:AG176),$AG$2:$AG$1001,0),1)&gt;=100000,INDEX($AN$1005:$BO$1005,1,MATCH(COLUMNS($AN$1006:AS1006),$AN$1006:$BO$1006,0))&gt;=100000), " ",IF(INDEX($AN$2:$BO$1001,MATCH(ROWS($AG$2:AG176),$AG$2:$AG$1001,0),MATCH(COLUMNS($AN$1006:AS1006),$AN$1006:$BO$1006,0)), HYPERLINK("#",""), HYPERLINK(CONCATENATE("#Metadata!", ADDRESS(INDEX($AI$2:$AI$1001,MATCH(ROWS($AG$2:AG176),$AG$2:$AG$1001,0),0), INDEX($AN$1004:$BO$1004,1,MATCH(COLUMNS($AN$1006:AS1006),$AN$1006:$BO$1006,0)))),"Fix")))</f>
        <v>0</v>
      </c>
      <c r="H176" s="4">
        <f>IF(OR(INDEX($AH$2:$AH$1001,MATCH(ROWS($AG$2:AG176),$AG$2:$AG$1001,0),1)&gt;=100000,INDEX($AN$1005:$BO$1005,1,MATCH(COLUMNS($AN$1006:AT1006),$AN$1006:$BO$1006,0))&gt;=100000), " ",IF(INDEX($AN$2:$BO$1001,MATCH(ROWS($AG$2:AG176),$AG$2:$AG$1001,0),MATCH(COLUMNS($AN$1006:AT1006),$AN$1006:$BO$1006,0)), HYPERLINK("#",""), HYPERLINK(CONCATENATE("#Metadata!", ADDRESS(INDEX($AI$2:$AI$1001,MATCH(ROWS($AG$2:AG176),$AG$2:$AG$1001,0),0), INDEX($AN$1004:$BO$1004,1,MATCH(COLUMNS($AN$1006:AT1006),$AN$1006:$BO$1006,0)))),"Fix")))</f>
        <v>0</v>
      </c>
      <c r="I176" s="4">
        <f>IF(OR(INDEX($AH$2:$AH$1001,MATCH(ROWS($AG$2:AG176),$AG$2:$AG$1001,0),1)&gt;=100000,INDEX($AN$1005:$BO$1005,1,MATCH(COLUMNS($AN$1006:AU1006),$AN$1006:$BO$1006,0))&gt;=100000), " ",IF(INDEX($AN$2:$BO$1001,MATCH(ROWS($AG$2:AG176),$AG$2:$AG$1001,0),MATCH(COLUMNS($AN$1006:AU1006),$AN$1006:$BO$1006,0)), HYPERLINK("#",""), HYPERLINK(CONCATENATE("#Metadata!", ADDRESS(INDEX($AI$2:$AI$1001,MATCH(ROWS($AG$2:AG176),$AG$2:$AG$1001,0),0), INDEX($AN$1004:$BO$1004,1,MATCH(COLUMNS($AN$1006:AU1006),$AN$1006:$BO$1006,0)))),"Fix")))</f>
        <v>0</v>
      </c>
      <c r="J176" s="4">
        <f>IF(OR(INDEX($AH$2:$AH$1001,MATCH(ROWS($AG$2:AG176),$AG$2:$AG$1001,0),1)&gt;=100000,INDEX($AN$1005:$BO$1005,1,MATCH(COLUMNS($AN$1006:AV1006),$AN$1006:$BO$1006,0))&gt;=100000), " ",IF(INDEX($AN$2:$BO$1001,MATCH(ROWS($AG$2:AG176),$AG$2:$AG$1001,0),MATCH(COLUMNS($AN$1006:AV1006),$AN$1006:$BO$1006,0)), HYPERLINK("#",""), HYPERLINK(CONCATENATE("#Metadata!", ADDRESS(INDEX($AI$2:$AI$1001,MATCH(ROWS($AG$2:AG176),$AG$2:$AG$1001,0),0), INDEX($AN$1004:$BO$1004,1,MATCH(COLUMNS($AN$1006:AV1006),$AN$1006:$BO$1006,0)))),"Fix")))</f>
        <v>0</v>
      </c>
      <c r="K176" s="4">
        <f>IF(OR(INDEX($AH$2:$AH$1001,MATCH(ROWS($AG$2:AG176),$AG$2:$AG$1001,0),1)&gt;=100000,INDEX($AN$1005:$BO$1005,1,MATCH(COLUMNS($AN$1006:AW1006),$AN$1006:$BO$1006,0))&gt;=100000), " ",IF(INDEX($AN$2:$BO$1001,MATCH(ROWS($AG$2:AG176),$AG$2:$AG$1001,0),MATCH(COLUMNS($AN$1006:AW1006),$AN$1006:$BO$1006,0)), HYPERLINK("#",""), HYPERLINK(CONCATENATE("#Metadata!", ADDRESS(INDEX($AI$2:$AI$1001,MATCH(ROWS($AG$2:AG176),$AG$2:$AG$1001,0),0), INDEX($AN$1004:$BO$1004,1,MATCH(COLUMNS($AN$1006:AW1006),$AN$1006:$BO$1006,0)))),"Fix")))</f>
        <v>0</v>
      </c>
      <c r="L176" s="4">
        <f>IF(OR(INDEX($AH$2:$AH$1001,MATCH(ROWS($AG$2:AG176),$AG$2:$AG$1001,0),1)&gt;=100000,INDEX($AN$1005:$BO$1005,1,MATCH(COLUMNS($AN$1006:AX1006),$AN$1006:$BO$1006,0))&gt;=100000), " ",IF(INDEX($AN$2:$BO$1001,MATCH(ROWS($AG$2:AG176),$AG$2:$AG$1001,0),MATCH(COLUMNS($AN$1006:AX1006),$AN$1006:$BO$1006,0)), HYPERLINK("#",""), HYPERLINK(CONCATENATE("#Metadata!", ADDRESS(INDEX($AI$2:$AI$1001,MATCH(ROWS($AG$2:AG176),$AG$2:$AG$1001,0),0), INDEX($AN$1004:$BO$1004,1,MATCH(COLUMNS($AN$1006:AX1006),$AN$1006:$BO$1006,0)))),"Fix")))</f>
        <v>0</v>
      </c>
      <c r="M176" s="4">
        <f>IF(OR(INDEX($AH$2:$AH$1001,MATCH(ROWS($AG$2:AG176),$AG$2:$AG$1001,0),1)&gt;=100000,INDEX($AN$1005:$BO$1005,1,MATCH(COLUMNS($AN$1006:AY1006),$AN$1006:$BO$1006,0))&gt;=100000), " ",IF(INDEX($AN$2:$BO$1001,MATCH(ROWS($AG$2:AG176),$AG$2:$AG$1001,0),MATCH(COLUMNS($AN$1006:AY1006),$AN$1006:$BO$1006,0)), HYPERLINK("#",""), HYPERLINK(CONCATENATE("#Metadata!", ADDRESS(INDEX($AI$2:$AI$1001,MATCH(ROWS($AG$2:AG176),$AG$2:$AG$1001,0),0), INDEX($AN$1004:$BO$1004,1,MATCH(COLUMNS($AN$1006:AY1006),$AN$1006:$BO$1006,0)))),"Fix")))</f>
        <v>0</v>
      </c>
      <c r="N176" s="4">
        <f>IF(OR(INDEX($AH$2:$AH$1001,MATCH(ROWS($AG$2:AG176),$AG$2:$AG$1001,0),1)&gt;=100000,INDEX($AN$1005:$BO$1005,1,MATCH(COLUMNS($AN$1006:AZ1006),$AN$1006:$BO$1006,0))&gt;=100000), " ",IF(INDEX($AN$2:$BO$1001,MATCH(ROWS($AG$2:AG176),$AG$2:$AG$1001,0),MATCH(COLUMNS($AN$1006:AZ1006),$AN$1006:$BO$1006,0)), HYPERLINK("#",""), HYPERLINK(CONCATENATE("#Metadata!", ADDRESS(INDEX($AI$2:$AI$1001,MATCH(ROWS($AG$2:AG176),$AG$2:$AG$1001,0),0), INDEX($AN$1004:$BO$1004,1,MATCH(COLUMNS($AN$1006:AZ1006),$AN$1006:$BO$1006,0)))),"Fix")))</f>
        <v>0</v>
      </c>
      <c r="O176" s="4">
        <f>IF(OR(INDEX($AH$2:$AH$1001,MATCH(ROWS($AG$2:AG176),$AG$2:$AG$1001,0),1)&gt;=100000,INDEX($AN$1005:$BO$1005,1,MATCH(COLUMNS($AN$1006:BA1006),$AN$1006:$BO$1006,0))&gt;=100000), " ",IF(INDEX($AN$2:$BO$1001,MATCH(ROWS($AG$2:AG176),$AG$2:$AG$1001,0),MATCH(COLUMNS($AN$1006:BA1006),$AN$1006:$BO$1006,0)), HYPERLINK("#",""), HYPERLINK(CONCATENATE("#Metadata!", ADDRESS(INDEX($AI$2:$AI$1001,MATCH(ROWS($AG$2:AG176),$AG$2:$AG$1001,0),0), INDEX($AN$1004:$BO$1004,1,MATCH(COLUMNS($AN$1006:BA1006),$AN$1006:$BO$1006,0)))),"Fix")))</f>
        <v>0</v>
      </c>
      <c r="P176" s="4">
        <f>IF(OR(INDEX($AH$2:$AH$1001,MATCH(ROWS($AG$2:AG176),$AG$2:$AG$1001,0),1)&gt;=100000,INDEX($AN$1005:$BO$1005,1,MATCH(COLUMNS($AN$1006:BB1006),$AN$1006:$BO$1006,0))&gt;=100000), " ",IF(INDEX($AN$2:$BO$1001,MATCH(ROWS($AG$2:AG176),$AG$2:$AG$1001,0),MATCH(COLUMNS($AN$1006:BB1006),$AN$1006:$BO$1006,0)), HYPERLINK("#",""), HYPERLINK(CONCATENATE("#Metadata!", ADDRESS(INDEX($AI$2:$AI$1001,MATCH(ROWS($AG$2:AG176),$AG$2:$AG$1001,0),0), INDEX($AN$1004:$BO$1004,1,MATCH(COLUMNS($AN$1006:BB1006),$AN$1006:$BO$1006,0)))),"Fix")))</f>
        <v>0</v>
      </c>
      <c r="Q176" s="4">
        <f>IF(OR(INDEX($AH$2:$AH$1001,MATCH(ROWS($AG$2:AG176),$AG$2:$AG$1001,0),1)&gt;=100000,INDEX($AN$1005:$BO$1005,1,MATCH(COLUMNS($AN$1006:BC1006),$AN$1006:$BO$1006,0))&gt;=100000), " ",IF(INDEX($AN$2:$BO$1001,MATCH(ROWS($AG$2:AG176),$AG$2:$AG$1001,0),MATCH(COLUMNS($AN$1006:BC1006),$AN$1006:$BO$1006,0)), HYPERLINK("#",""), HYPERLINK(CONCATENATE("#Metadata!", ADDRESS(INDEX($AI$2:$AI$1001,MATCH(ROWS($AG$2:AG176),$AG$2:$AG$1001,0),0), INDEX($AN$1004:$BO$1004,1,MATCH(COLUMNS($AN$1006:BC1006),$AN$1006:$BO$1006,0)))),"Fix")))</f>
        <v>0</v>
      </c>
      <c r="R176" s="4">
        <f>IF(OR(INDEX($AH$2:$AH$1001,MATCH(ROWS($AG$2:AG176),$AG$2:$AG$1001,0),1)&gt;=100000,INDEX($AN$1005:$BO$1005,1,MATCH(COLUMNS($AN$1006:BD1006),$AN$1006:$BO$1006,0))&gt;=100000), " ",IF(INDEX($AN$2:$BO$1001,MATCH(ROWS($AG$2:AG176),$AG$2:$AG$1001,0),MATCH(COLUMNS($AN$1006:BD1006),$AN$1006:$BO$1006,0)), HYPERLINK("#",""), HYPERLINK(CONCATENATE("#Metadata!", ADDRESS(INDEX($AI$2:$AI$1001,MATCH(ROWS($AG$2:AG176),$AG$2:$AG$1001,0),0), INDEX($AN$1004:$BO$1004,1,MATCH(COLUMNS($AN$1006:BD1006),$AN$1006:$BO$1006,0)))),"Fix")))</f>
        <v>0</v>
      </c>
      <c r="S176" s="4">
        <f>IF(OR(INDEX($AH$2:$AH$1001,MATCH(ROWS($AG$2:AG176),$AG$2:$AG$1001,0),1)&gt;=100000,INDEX($AN$1005:$BO$1005,1,MATCH(COLUMNS($AN$1006:BE1006),$AN$1006:$BO$1006,0))&gt;=100000), " ",IF(INDEX($AN$2:$BO$1001,MATCH(ROWS($AG$2:AG176),$AG$2:$AG$1001,0),MATCH(COLUMNS($AN$1006:BE1006),$AN$1006:$BO$1006,0)), HYPERLINK("#",""), HYPERLINK(CONCATENATE("#Metadata!", ADDRESS(INDEX($AI$2:$AI$1001,MATCH(ROWS($AG$2:AG176),$AG$2:$AG$1001,0),0), INDEX($AN$1004:$BO$1004,1,MATCH(COLUMNS($AN$1006:BE1006),$AN$1006:$BO$1006,0)))),"Fix")))</f>
        <v>0</v>
      </c>
      <c r="T176" s="4">
        <f>IF(OR(INDEX($AH$2:$AH$1001,MATCH(ROWS($AG$2:AG176),$AG$2:$AG$1001,0),1)&gt;=100000,INDEX($AN$1005:$BO$1005,1,MATCH(COLUMNS($AN$1006:BF1006),$AN$1006:$BO$1006,0))&gt;=100000), " ",IF(INDEX($AN$2:$BO$1001,MATCH(ROWS($AG$2:AG176),$AG$2:$AG$1001,0),MATCH(COLUMNS($AN$1006:BF1006),$AN$1006:$BO$1006,0)), HYPERLINK("#",""), HYPERLINK(CONCATENATE("#Metadata!", ADDRESS(INDEX($AI$2:$AI$1001,MATCH(ROWS($AG$2:AG176),$AG$2:$AG$1001,0),0), INDEX($AN$1004:$BO$1004,1,MATCH(COLUMNS($AN$1006:BF1006),$AN$1006:$BO$1006,0)))),"Fix")))</f>
        <v>0</v>
      </c>
      <c r="U176" s="4">
        <f>IF(OR(INDEX($AH$2:$AH$1001,MATCH(ROWS($AG$2:AG176),$AG$2:$AG$1001,0),1)&gt;=100000,INDEX($AN$1005:$BO$1005,1,MATCH(COLUMNS($AN$1006:BG1006),$AN$1006:$BO$1006,0))&gt;=100000), " ",IF(INDEX($AN$2:$BO$1001,MATCH(ROWS($AG$2:AG176),$AG$2:$AG$1001,0),MATCH(COLUMNS($AN$1006:BG1006),$AN$1006:$BO$1006,0)), HYPERLINK("#",""), HYPERLINK(CONCATENATE("#Metadata!", ADDRESS(INDEX($AI$2:$AI$1001,MATCH(ROWS($AG$2:AG176),$AG$2:$AG$1001,0),0), INDEX($AN$1004:$BO$1004,1,MATCH(COLUMNS($AN$1006:BG1006),$AN$1006:$BO$1006,0)))),"Fix")))</f>
        <v>0</v>
      </c>
      <c r="V176" s="4">
        <f>IF(OR(INDEX($AH$2:$AH$1001,MATCH(ROWS($AG$2:AG176),$AG$2:$AG$1001,0),1)&gt;=100000,INDEX($AN$1005:$BO$1005,1,MATCH(COLUMNS($AN$1006:BH1006),$AN$1006:$BO$1006,0))&gt;=100000), " ",IF(INDEX($AN$2:$BO$1001,MATCH(ROWS($AG$2:AG176),$AG$2:$AG$1001,0),MATCH(COLUMNS($AN$1006:BH1006),$AN$1006:$BO$1006,0)), HYPERLINK("#",""), HYPERLINK(CONCATENATE("#Metadata!", ADDRESS(INDEX($AI$2:$AI$1001,MATCH(ROWS($AG$2:AG176),$AG$2:$AG$1001,0),0), INDEX($AN$1004:$BO$1004,1,MATCH(COLUMNS($AN$1006:BH1006),$AN$1006:$BO$1006,0)))),"Fix")))</f>
        <v>0</v>
      </c>
      <c r="W176" s="4">
        <f>IF(OR(INDEX($AH$2:$AH$1001,MATCH(ROWS($AG$2:AG176),$AG$2:$AG$1001,0),1)&gt;=100000,INDEX($AN$1005:$BO$1005,1,MATCH(COLUMNS($AN$1006:BI1006),$AN$1006:$BO$1006,0))&gt;=100000), " ",IF(INDEX($AN$2:$BO$1001,MATCH(ROWS($AG$2:AG176),$AG$2:$AG$1001,0),MATCH(COLUMNS($AN$1006:BI1006),$AN$1006:$BO$1006,0)), HYPERLINK("#",""), HYPERLINK(CONCATENATE("#Metadata!", ADDRESS(INDEX($AI$2:$AI$1001,MATCH(ROWS($AG$2:AG176),$AG$2:$AG$1001,0),0), INDEX($AN$1004:$BO$1004,1,MATCH(COLUMNS($AN$1006:BI1006),$AN$1006:$BO$1006,0)))),"Fix")))</f>
        <v>0</v>
      </c>
      <c r="X176" s="4">
        <f>IF(OR(INDEX($AH$2:$AH$1001,MATCH(ROWS($AG$2:AG176),$AG$2:$AG$1001,0),1)&gt;=100000,INDEX($AN$1005:$BO$1005,1,MATCH(COLUMNS($AN$1006:BJ1006),$AN$1006:$BO$1006,0))&gt;=100000), " ",IF(INDEX($AN$2:$BO$1001,MATCH(ROWS($AG$2:AG176),$AG$2:$AG$1001,0),MATCH(COLUMNS($AN$1006:BJ1006),$AN$1006:$BO$1006,0)), HYPERLINK("#",""), HYPERLINK(CONCATENATE("#Metadata!", ADDRESS(INDEX($AI$2:$AI$1001,MATCH(ROWS($AG$2:AG176),$AG$2:$AG$1001,0),0), INDEX($AN$1004:$BO$1004,1,MATCH(COLUMNS($AN$1006:BJ1006),$AN$1006:$BO$1006,0)))),"Fix")))</f>
        <v>0</v>
      </c>
      <c r="Y176" s="4">
        <f>IF(OR(INDEX($AH$2:$AH$1001,MATCH(ROWS($AG$2:AG176),$AG$2:$AG$1001,0),1)&gt;=100000,INDEX($AN$1005:$BO$1005,1,MATCH(COLUMNS($AN$1006:BK1006),$AN$1006:$BO$1006,0))&gt;=100000), " ",IF(INDEX($AN$2:$BO$1001,MATCH(ROWS($AG$2:AG176),$AG$2:$AG$1001,0),MATCH(COLUMNS($AN$1006:BK1006),$AN$1006:$BO$1006,0)), HYPERLINK("#",""), HYPERLINK(CONCATENATE("#Metadata!", ADDRESS(INDEX($AI$2:$AI$1001,MATCH(ROWS($AG$2:AG176),$AG$2:$AG$1001,0),0), INDEX($AN$1004:$BO$1004,1,MATCH(COLUMNS($AN$1006:BK1006),$AN$1006:$BO$1006,0)))),"Fix")))</f>
        <v>0</v>
      </c>
      <c r="Z176" s="4">
        <f>IF(OR(INDEX($AH$2:$AH$1001,MATCH(ROWS($AG$2:AG176),$AG$2:$AG$1001,0),1)&gt;=100000,INDEX($AN$1005:$BO$1005,1,MATCH(COLUMNS($AN$1006:BL1006),$AN$1006:$BO$1006,0))&gt;=100000), " ",IF(INDEX($AN$2:$BO$1001,MATCH(ROWS($AG$2:AG176),$AG$2:$AG$1001,0),MATCH(COLUMNS($AN$1006:BL1006),$AN$1006:$BO$1006,0)), HYPERLINK("#",""), HYPERLINK(CONCATENATE("#Metadata!", ADDRESS(INDEX($AI$2:$AI$1001,MATCH(ROWS($AG$2:AG176),$AG$2:$AG$1001,0),0), INDEX($AN$1004:$BO$1004,1,MATCH(COLUMNS($AN$1006:BL1006),$AN$1006:$BO$1006,0)))),"Fix")))</f>
        <v>0</v>
      </c>
      <c r="AA176" s="4">
        <f>IF(OR(INDEX($AH$2:$AH$1001,MATCH(ROWS($AG$2:AG176),$AG$2:$AG$1001,0),1)&gt;=100000,INDEX($AN$1005:$BO$1005,1,MATCH(COLUMNS($AN$1006:BM1006),$AN$1006:$BO$1006,0))&gt;=100000), " ",IF(INDEX($AN$2:$BO$1001,MATCH(ROWS($AG$2:AG176),$AG$2:$AG$1001,0),MATCH(COLUMNS($AN$1006:BM1006),$AN$1006:$BO$1006,0)), HYPERLINK("#",""), HYPERLINK(CONCATENATE("#Metadata!", ADDRESS(INDEX($AI$2:$AI$1001,MATCH(ROWS($AG$2:AG176),$AG$2:$AG$1001,0),0), INDEX($AN$1004:$BO$1004,1,MATCH(COLUMNS($AN$1006:BM1006),$AN$1006:$BO$1006,0)))),"Fix")))</f>
        <v>0</v>
      </c>
      <c r="AB176" s="4">
        <f>IF(OR(INDEX($AH$2:$AH$1001,MATCH(ROWS($AG$2:AG176),$AG$2:$AG$1001,0),1)&gt;=100000,INDEX($AN$1005:$BO$1005,1,MATCH(COLUMNS($AN$1006:BN1006),$AN$1006:$BO$1006,0))&gt;=100000), " ",IF(INDEX($AN$2:$BO$1001,MATCH(ROWS($AG$2:AG176),$AG$2:$AG$1001,0),MATCH(COLUMNS($AN$1006:BN1006),$AN$1006:$BO$1006,0)), HYPERLINK("#",""), HYPERLINK(CONCATENATE("#Metadata!", ADDRESS(INDEX($AI$2:$AI$1001,MATCH(ROWS($AG$2:AG176),$AG$2:$AG$1001,0),0), INDEX($AN$1004:$BO$1004,1,MATCH(COLUMNS($AN$1006:BN1006),$AN$1006:$BO$1006,0)))),"Fix")))</f>
        <v>0</v>
      </c>
      <c r="AC176" s="4">
        <f>IF(OR(INDEX($AH$2:$AH$1001,MATCH(ROWS($AG$2:AG176),$AG$2:$AG$1001,0),1)&gt;=100000,INDEX($AN$1005:$BO$1005,1,MATCH(COLUMNS($AN$1006:BO1006),$AN$1006:$BO$1006,0))&gt;=100000), " ",IF(INDEX($AN$2:$BO$1001,MATCH(ROWS($AG$2:AG176),$AG$2:$AG$1001,0),MATCH(COLUMNS($AN$1006:BO1006),$AN$1006:$BO$1006,0)), HYPERLINK("#",""), HYPERLINK(CONCATENATE("#Metadata!", ADDRESS(INDEX($AI$2:$AI$1001,MATCH(ROWS($AG$2:AG176),$AG$2:$AG$1001,0),0), INDEX($AN$1004:$BO$1004,1,MATCH(COLUMNS($AN$1006:BO1006),$AN$1006:$BO$1006,0)))),"Fix")))</f>
        <v>0</v>
      </c>
      <c r="AG176">
        <v>0</v>
      </c>
      <c r="AH176">
        <v>0</v>
      </c>
      <c r="AI176">
        <v>0</v>
      </c>
      <c r="AJ176">
        <f>IF(AK176,TRUE,AND(AN176:BO176))</f>
        <v>0</v>
      </c>
      <c r="AK176">
        <f>COUNTBLANK(Metadata!B176:AC176)=COLUMNS(Metadata!B176:AC176)</f>
        <v>0</v>
      </c>
      <c r="AL176">
        <v>0</v>
      </c>
      <c r="AN176">
        <f>AND(IF(Metadata!B176="",FALSE,TRUE),COUNTIF(Metadata!B:B, Metadata!B176) = 1,NOT(ISERROR(SUMPRODUCT(SEARCH(MID(Metadata!B176,ROW(INDIRECT("1:"&amp;LEN(Metadata!B176))), 1),"0123456789abcdefghijklmnopqrstuvwxyzABCDEFGHIJKLMNOPQRSTUVWXYZ.")))))</f>
        <v>0</v>
      </c>
      <c r="AO176">
        <f>IF(Metadata!C176="",FALSE,TRUE)</f>
        <v>0</v>
      </c>
      <c r="AP176">
        <f>IF(Metadata!D176="",FALSE,TRUE)</f>
        <v>0</v>
      </c>
      <c r="AQ176">
        <f>OR(AND(IF(Metadata!E176="",FALSE,TRUE),OR(exact(Metadata!E176,"not collected"),exact(Metadata!E176,"not provided"),exact(Metadata!E176,"restricted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R176">
        <f>IF(Metadata!F176="",FALSE,TRUE)</f>
        <v>0</v>
      </c>
      <c r="AS176">
        <f>OR(AND(IF(Metadata!G176="",FALSE,TRUE),OR(exact(Metadata!G176,"not collected"),exact(Metadata!G176,"not provided"))),AND(IF(Metadata!G176="",FALSE,TRUE),OR(exact(Metadata!G176,"TRUE"),exact(Metadata!G176,"FALSE"))))</f>
        <v>0</v>
      </c>
      <c r="AT176">
        <f>OR(AND(IF(Metadata!H176="",FALSE,TRUE),OR(exact(Metadata!H176,"not collected"),exact(Metadata!H176,"not provided"),exact(Metadata!H176,"restricted access"))),AND(IF(Metadata!H176="",FALSE,ISNUMBER(VALUE(Metadata!H176))),Metadata!H176&gt;=-413.0))</f>
        <v>0</v>
      </c>
      <c r="AU176">
        <f>AND(IF(Metadata!I176="",FALSE,TRUE),exact(Metadata!I176,"meters"))</f>
        <v>0</v>
      </c>
      <c r="AV176">
        <f>AND(IF(Metadata!J176="",FALSE,TRUE),OR(exact(Metadata!J176,"Host-associated"),exact(Metadata!J176,"Free-living")))</f>
        <v>0</v>
      </c>
      <c r="AW176">
        <f>AND(IF(Metadata!K176="",FALSE,TRUE),OR(exact(Metadata!K176,"Animal"),exact(Metadata!K176,"Fungus"),exact(Metadata!K176,"Plant"),exact(Metadata!K176,"Saline"),exact(Metadata!K176,"Non-saline")))</f>
        <v>0</v>
      </c>
      <c r="AX176">
        <f>AND(IF(Metadata!L176="",FALSE,TRUE),OR(exact(Metadata!L176,"Plant secretion"),exact(Metadata!L176,"Plant rhizosphere"),exact(Metadata!L176,"Plant surface"),exact(Metadata!L176,"Plant corpus"),exact(Metadata!L176,"Fungus surface"),exact(Metadata!L176,"Fungus corpus"),exact(Metadata!L176,"Animal surface"),exact(Metadata!L176,"Animal proximal gut"),exact(Metadata!L176,"Animal corpus"),exact(Metadata!L176,"Animal distal gut"),exact(Metadata!L176,"Animal secretion"),exact(Metadata!L176,"Sub-surface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Y176">
        <f>IF(Metadata!M176="",FALSE,TRUE)</f>
        <v>0</v>
      </c>
      <c r="AZ176">
        <f>IF(Metadata!N176="",FALSE,TRUE)</f>
        <v>0</v>
      </c>
      <c r="BA176">
        <f>IF(Metadata!O176="",FALSE,TRUE)</f>
        <v>0</v>
      </c>
      <c r="BB176">
        <f>OR(AND(IF(Metadata!P176="",FALSE,TRUE),OR(exact(Metadata!P176,"not collected"),exact(Metadata!P176,"not provided"),exact(Metadata!P176,"restricted access"))),AND(IF(Metadata!P176="",FALSE,TRUE),OR(exact(Metadata!P176,"air"),exact(Metadata!P176,"built environment"),exact(Metadata!P176,"host-associated"),exact(Metadata!P176,"human-associated"),exact(Metadata!P176,"human-skin"),exact(Metadata!P176,"human-oral"),exact(Metadata!P176,"human-gut"),exact(Metadata!P176,"human-vaginal"),exact(Metadata!P176,"microbial mat/biofilm"),exact(Metadata!P176,"misc environment"),exact(Metadata!P176,"plant-associated"),exact(Metadata!P176,"sediment"),exact(Metadata!P176,"soil"),exact(Metadata!P176,"wastewater/sludge"),exact(Metadata!P176,"water"))))</f>
        <v>0</v>
      </c>
      <c r="BC176">
        <f>IF(Metadata!Q176="",FALSE,TRUE)</f>
        <v>0</v>
      </c>
      <c r="BD176">
        <f>IF(Metadata!R176="",FALSE,TRUE)</f>
        <v>0</v>
      </c>
      <c r="BE176">
        <f>OR(AND(IF(Metadata!S176="",FALSE,TRUE),OR(exact(Metadata!S176,"not collected"),exact(Metadata!S176,"not provided"),exact(Metadata!S176,"restricted access"))),AND(IF(Metadata!S176="",FALSE,ISNUMBER(VALUE(Metadata!S176))),Metadata!S176&gt;=-90.00,Metadata!S176&lt;=90.00))</f>
        <v>0</v>
      </c>
      <c r="BF176">
        <f>AND(IF(Metadata!T176="",FALSE,TRUE),exact(Metadata!T176,"Decimal degrees"))</f>
        <v>0</v>
      </c>
      <c r="BG176">
        <f>OR(AND(IF(Metadata!U176="",FALSE,TRUE),OR(exact(Metadata!U176,"not collected"),exact(Metadata!U176,"not provided"),exact(Metadata!U176,"restricted access"))),AND(IF(Metadata!U176="",FALSE,ISNUMBER(VALUE(Metadata!U176))),Metadata!U176&gt;=-180.00,Metadata!U176&lt;=180.00))</f>
        <v>0</v>
      </c>
      <c r="BH176">
        <f>AND(IF(Metadata!V176="",FALSE,TRUE),exact(Metadata!V176,"Decimal degrees"))</f>
        <v>0</v>
      </c>
      <c r="BI176">
        <f>IF(Metadata!W176="",FALSE,TRUE)</f>
        <v>0</v>
      </c>
      <c r="BJ176">
        <f>OR(AND(IF(Metadata!X176="",FALSE,TRUE),OR(exact(Metadata!X176,"not collected"),exact(Metadata!X176,"not provided"),exact(Metadata!X176,"restricted access"))),AND(IF(Metadata!X176="",FALSE,TRUE),OR(exact(Metadata!X176,"TRUE"),exact(Metadata!X176,"FALSE"))))</f>
        <v>0</v>
      </c>
      <c r="BK176">
        <f>AND(IF(Metadata!Y176="",FALSE,TRUE),exact(Metadata!Y176,"other"))</f>
        <v>0</v>
      </c>
      <c r="BL176">
        <f>IF(Metadata!Z176="",FALSE,TRUE)</f>
        <v>0</v>
      </c>
      <c r="BM176">
        <f>OR(AND(IF(Metadata!AA176="",FALSE,TRUE),OR(exact(Metadata!AA176,"not collected"),exact(Metadata!AA176,"not provided"))),AND(IF(Metadata!AA176="",FALSE,IF(ISERROR(INT(Metadata!AA176)),FALSE,INT(Metadata!AA176)=Metadata!AA176)),Metadata!AA176&gt;0))</f>
        <v>0</v>
      </c>
      <c r="BN176">
        <f>AND(IF(Metadata!AB176="",FALSE,TRUE),exact(Metadata!AB176,"Not applicable"))</f>
        <v>0</v>
      </c>
      <c r="BO176">
        <f>IF(Metadata!AC176="",FALSE,TRUE)</f>
        <v>0</v>
      </c>
    </row>
    <row r="177" spans="1:67">
      <c r="A177" s="5">
        <f>IF(B177=" "," ",HYPERLINK(CONCATENATE("#metadata!",ADDRESS(INDEX($AI$2:$AI$1001,MATCH(ROWS($AG$2:AG177),$AG$2:$AG$1001,0),0),1)),INDEX($AL$2:$AL$1001,MATCH(ROWS($AG$2:AG177),$AG$2:$AG$1001,0),0)))</f>
        <v>0</v>
      </c>
      <c r="B177" s="4">
        <f>IF(OR(INDEX($AH$2:$AH$1001,MATCH(ROWS($AG$2:AG177),$AG$2:$AG$1001,0),1)&gt;=100000,INDEX($AN$1005:$BO$1005,1,MATCH(COLUMNS($AN$1006:AN1006),$AN$1006:$BO$1006,0))&gt;=100000), " ",IF(INDEX($AN$2:$BO$1001,MATCH(ROWS($AG$2:AG177),$AG$2:$AG$1001,0),MATCH(COLUMNS($AN$1006:AN1006),$AN$1006:$BO$1006,0)), HYPERLINK("#",""), HYPERLINK(CONCATENATE("#Metadata!", ADDRESS(INDEX($AI$2:$AI$1001,MATCH(ROWS($AG$2:AG177),$AG$2:$AG$1001,0),0), INDEX($AN$1004:$BO$1004,1,MATCH(COLUMNS($AN$1006:AN1006),$AN$1006:$BO$1006,0)))),"Fix")))</f>
        <v>0</v>
      </c>
      <c r="C177" s="4">
        <f>IF(OR(INDEX($AH$2:$AH$1001,MATCH(ROWS($AG$2:AG177),$AG$2:$AG$1001,0),1)&gt;=100000,INDEX($AN$1005:$BO$1005,1,MATCH(COLUMNS($AN$1006:AO1006),$AN$1006:$BO$1006,0))&gt;=100000), " ",IF(INDEX($AN$2:$BO$1001,MATCH(ROWS($AG$2:AG177),$AG$2:$AG$1001,0),MATCH(COLUMNS($AN$1006:AO1006),$AN$1006:$BO$1006,0)), HYPERLINK("#",""), HYPERLINK(CONCATENATE("#Metadata!", ADDRESS(INDEX($AI$2:$AI$1001,MATCH(ROWS($AG$2:AG177),$AG$2:$AG$1001,0),0), INDEX($AN$1004:$BO$1004,1,MATCH(COLUMNS($AN$1006:AO1006),$AN$1006:$BO$1006,0)))),"Fix")))</f>
        <v>0</v>
      </c>
      <c r="D177" s="4">
        <f>IF(OR(INDEX($AH$2:$AH$1001,MATCH(ROWS($AG$2:AG177),$AG$2:$AG$1001,0),1)&gt;=100000,INDEX($AN$1005:$BO$1005,1,MATCH(COLUMNS($AN$1006:AP1006),$AN$1006:$BO$1006,0))&gt;=100000), " ",IF(INDEX($AN$2:$BO$1001,MATCH(ROWS($AG$2:AG177),$AG$2:$AG$1001,0),MATCH(COLUMNS($AN$1006:AP1006),$AN$1006:$BO$1006,0)), HYPERLINK("#",""), HYPERLINK(CONCATENATE("#Metadata!", ADDRESS(INDEX($AI$2:$AI$1001,MATCH(ROWS($AG$2:AG177),$AG$2:$AG$1001,0),0), INDEX($AN$1004:$BO$1004,1,MATCH(COLUMNS($AN$1006:AP1006),$AN$1006:$BO$1006,0)))),"Fix")))</f>
        <v>0</v>
      </c>
      <c r="E177" s="4">
        <f>IF(OR(INDEX($AH$2:$AH$1001,MATCH(ROWS($AG$2:AG177),$AG$2:$AG$1001,0),1)&gt;=100000,INDEX($AN$1005:$BO$1005,1,MATCH(COLUMNS($AN$1006:AQ1006),$AN$1006:$BO$1006,0))&gt;=100000), " ",IF(INDEX($AN$2:$BO$1001,MATCH(ROWS($AG$2:AG177),$AG$2:$AG$1001,0),MATCH(COLUMNS($AN$1006:AQ1006),$AN$1006:$BO$1006,0)), HYPERLINK("#",""), HYPERLINK(CONCATENATE("#Metadata!", ADDRESS(INDEX($AI$2:$AI$1001,MATCH(ROWS($AG$2:AG177),$AG$2:$AG$1001,0),0), INDEX($AN$1004:$BO$1004,1,MATCH(COLUMNS($AN$1006:AQ1006),$AN$1006:$BO$1006,0)))),"Fix")))</f>
        <v>0</v>
      </c>
      <c r="F177" s="4">
        <f>IF(OR(INDEX($AH$2:$AH$1001,MATCH(ROWS($AG$2:AG177),$AG$2:$AG$1001,0),1)&gt;=100000,INDEX($AN$1005:$BO$1005,1,MATCH(COLUMNS($AN$1006:AR1006),$AN$1006:$BO$1006,0))&gt;=100000), " ",IF(INDEX($AN$2:$BO$1001,MATCH(ROWS($AG$2:AG177),$AG$2:$AG$1001,0),MATCH(COLUMNS($AN$1006:AR1006),$AN$1006:$BO$1006,0)), HYPERLINK("#",""), HYPERLINK(CONCATENATE("#Metadata!", ADDRESS(INDEX($AI$2:$AI$1001,MATCH(ROWS($AG$2:AG177),$AG$2:$AG$1001,0),0), INDEX($AN$1004:$BO$1004,1,MATCH(COLUMNS($AN$1006:AR1006),$AN$1006:$BO$1006,0)))),"Fix")))</f>
        <v>0</v>
      </c>
      <c r="G177" s="4">
        <f>IF(OR(INDEX($AH$2:$AH$1001,MATCH(ROWS($AG$2:AG177),$AG$2:$AG$1001,0),1)&gt;=100000,INDEX($AN$1005:$BO$1005,1,MATCH(COLUMNS($AN$1006:AS1006),$AN$1006:$BO$1006,0))&gt;=100000), " ",IF(INDEX($AN$2:$BO$1001,MATCH(ROWS($AG$2:AG177),$AG$2:$AG$1001,0),MATCH(COLUMNS($AN$1006:AS1006),$AN$1006:$BO$1006,0)), HYPERLINK("#",""), HYPERLINK(CONCATENATE("#Metadata!", ADDRESS(INDEX($AI$2:$AI$1001,MATCH(ROWS($AG$2:AG177),$AG$2:$AG$1001,0),0), INDEX($AN$1004:$BO$1004,1,MATCH(COLUMNS($AN$1006:AS1006),$AN$1006:$BO$1006,0)))),"Fix")))</f>
        <v>0</v>
      </c>
      <c r="H177" s="4">
        <f>IF(OR(INDEX($AH$2:$AH$1001,MATCH(ROWS($AG$2:AG177),$AG$2:$AG$1001,0),1)&gt;=100000,INDEX($AN$1005:$BO$1005,1,MATCH(COLUMNS($AN$1006:AT1006),$AN$1006:$BO$1006,0))&gt;=100000), " ",IF(INDEX($AN$2:$BO$1001,MATCH(ROWS($AG$2:AG177),$AG$2:$AG$1001,0),MATCH(COLUMNS($AN$1006:AT1006),$AN$1006:$BO$1006,0)), HYPERLINK("#",""), HYPERLINK(CONCATENATE("#Metadata!", ADDRESS(INDEX($AI$2:$AI$1001,MATCH(ROWS($AG$2:AG177),$AG$2:$AG$1001,0),0), INDEX($AN$1004:$BO$1004,1,MATCH(COLUMNS($AN$1006:AT1006),$AN$1006:$BO$1006,0)))),"Fix")))</f>
        <v>0</v>
      </c>
      <c r="I177" s="4">
        <f>IF(OR(INDEX($AH$2:$AH$1001,MATCH(ROWS($AG$2:AG177),$AG$2:$AG$1001,0),1)&gt;=100000,INDEX($AN$1005:$BO$1005,1,MATCH(COLUMNS($AN$1006:AU1006),$AN$1006:$BO$1006,0))&gt;=100000), " ",IF(INDEX($AN$2:$BO$1001,MATCH(ROWS($AG$2:AG177),$AG$2:$AG$1001,0),MATCH(COLUMNS($AN$1006:AU1006),$AN$1006:$BO$1006,0)), HYPERLINK("#",""), HYPERLINK(CONCATENATE("#Metadata!", ADDRESS(INDEX($AI$2:$AI$1001,MATCH(ROWS($AG$2:AG177),$AG$2:$AG$1001,0),0), INDEX($AN$1004:$BO$1004,1,MATCH(COLUMNS($AN$1006:AU1006),$AN$1006:$BO$1006,0)))),"Fix")))</f>
        <v>0</v>
      </c>
      <c r="J177" s="4">
        <f>IF(OR(INDEX($AH$2:$AH$1001,MATCH(ROWS($AG$2:AG177),$AG$2:$AG$1001,0),1)&gt;=100000,INDEX($AN$1005:$BO$1005,1,MATCH(COLUMNS($AN$1006:AV1006),$AN$1006:$BO$1006,0))&gt;=100000), " ",IF(INDEX($AN$2:$BO$1001,MATCH(ROWS($AG$2:AG177),$AG$2:$AG$1001,0),MATCH(COLUMNS($AN$1006:AV1006),$AN$1006:$BO$1006,0)), HYPERLINK("#",""), HYPERLINK(CONCATENATE("#Metadata!", ADDRESS(INDEX($AI$2:$AI$1001,MATCH(ROWS($AG$2:AG177),$AG$2:$AG$1001,0),0), INDEX($AN$1004:$BO$1004,1,MATCH(COLUMNS($AN$1006:AV1006),$AN$1006:$BO$1006,0)))),"Fix")))</f>
        <v>0</v>
      </c>
      <c r="K177" s="4">
        <f>IF(OR(INDEX($AH$2:$AH$1001,MATCH(ROWS($AG$2:AG177),$AG$2:$AG$1001,0),1)&gt;=100000,INDEX($AN$1005:$BO$1005,1,MATCH(COLUMNS($AN$1006:AW1006),$AN$1006:$BO$1006,0))&gt;=100000), " ",IF(INDEX($AN$2:$BO$1001,MATCH(ROWS($AG$2:AG177),$AG$2:$AG$1001,0),MATCH(COLUMNS($AN$1006:AW1006),$AN$1006:$BO$1006,0)), HYPERLINK("#",""), HYPERLINK(CONCATENATE("#Metadata!", ADDRESS(INDEX($AI$2:$AI$1001,MATCH(ROWS($AG$2:AG177),$AG$2:$AG$1001,0),0), INDEX($AN$1004:$BO$1004,1,MATCH(COLUMNS($AN$1006:AW1006),$AN$1006:$BO$1006,0)))),"Fix")))</f>
        <v>0</v>
      </c>
      <c r="L177" s="4">
        <f>IF(OR(INDEX($AH$2:$AH$1001,MATCH(ROWS($AG$2:AG177),$AG$2:$AG$1001,0),1)&gt;=100000,INDEX($AN$1005:$BO$1005,1,MATCH(COLUMNS($AN$1006:AX1006),$AN$1006:$BO$1006,0))&gt;=100000), " ",IF(INDEX($AN$2:$BO$1001,MATCH(ROWS($AG$2:AG177),$AG$2:$AG$1001,0),MATCH(COLUMNS($AN$1006:AX1006),$AN$1006:$BO$1006,0)), HYPERLINK("#",""), HYPERLINK(CONCATENATE("#Metadata!", ADDRESS(INDEX($AI$2:$AI$1001,MATCH(ROWS($AG$2:AG177),$AG$2:$AG$1001,0),0), INDEX($AN$1004:$BO$1004,1,MATCH(COLUMNS($AN$1006:AX1006),$AN$1006:$BO$1006,0)))),"Fix")))</f>
        <v>0</v>
      </c>
      <c r="M177" s="4">
        <f>IF(OR(INDEX($AH$2:$AH$1001,MATCH(ROWS($AG$2:AG177),$AG$2:$AG$1001,0),1)&gt;=100000,INDEX($AN$1005:$BO$1005,1,MATCH(COLUMNS($AN$1006:AY1006),$AN$1006:$BO$1006,0))&gt;=100000), " ",IF(INDEX($AN$2:$BO$1001,MATCH(ROWS($AG$2:AG177),$AG$2:$AG$1001,0),MATCH(COLUMNS($AN$1006:AY1006),$AN$1006:$BO$1006,0)), HYPERLINK("#",""), HYPERLINK(CONCATENATE("#Metadata!", ADDRESS(INDEX($AI$2:$AI$1001,MATCH(ROWS($AG$2:AG177),$AG$2:$AG$1001,0),0), INDEX($AN$1004:$BO$1004,1,MATCH(COLUMNS($AN$1006:AY1006),$AN$1006:$BO$1006,0)))),"Fix")))</f>
        <v>0</v>
      </c>
      <c r="N177" s="4">
        <f>IF(OR(INDEX($AH$2:$AH$1001,MATCH(ROWS($AG$2:AG177),$AG$2:$AG$1001,0),1)&gt;=100000,INDEX($AN$1005:$BO$1005,1,MATCH(COLUMNS($AN$1006:AZ1006),$AN$1006:$BO$1006,0))&gt;=100000), " ",IF(INDEX($AN$2:$BO$1001,MATCH(ROWS($AG$2:AG177),$AG$2:$AG$1001,0),MATCH(COLUMNS($AN$1006:AZ1006),$AN$1006:$BO$1006,0)), HYPERLINK("#",""), HYPERLINK(CONCATENATE("#Metadata!", ADDRESS(INDEX($AI$2:$AI$1001,MATCH(ROWS($AG$2:AG177),$AG$2:$AG$1001,0),0), INDEX($AN$1004:$BO$1004,1,MATCH(COLUMNS($AN$1006:AZ1006),$AN$1006:$BO$1006,0)))),"Fix")))</f>
        <v>0</v>
      </c>
      <c r="O177" s="4">
        <f>IF(OR(INDEX($AH$2:$AH$1001,MATCH(ROWS($AG$2:AG177),$AG$2:$AG$1001,0),1)&gt;=100000,INDEX($AN$1005:$BO$1005,1,MATCH(COLUMNS($AN$1006:BA1006),$AN$1006:$BO$1006,0))&gt;=100000), " ",IF(INDEX($AN$2:$BO$1001,MATCH(ROWS($AG$2:AG177),$AG$2:$AG$1001,0),MATCH(COLUMNS($AN$1006:BA1006),$AN$1006:$BO$1006,0)), HYPERLINK("#",""), HYPERLINK(CONCATENATE("#Metadata!", ADDRESS(INDEX($AI$2:$AI$1001,MATCH(ROWS($AG$2:AG177),$AG$2:$AG$1001,0),0), INDEX($AN$1004:$BO$1004,1,MATCH(COLUMNS($AN$1006:BA1006),$AN$1006:$BO$1006,0)))),"Fix")))</f>
        <v>0</v>
      </c>
      <c r="P177" s="4">
        <f>IF(OR(INDEX($AH$2:$AH$1001,MATCH(ROWS($AG$2:AG177),$AG$2:$AG$1001,0),1)&gt;=100000,INDEX($AN$1005:$BO$1005,1,MATCH(COLUMNS($AN$1006:BB1006),$AN$1006:$BO$1006,0))&gt;=100000), " ",IF(INDEX($AN$2:$BO$1001,MATCH(ROWS($AG$2:AG177),$AG$2:$AG$1001,0),MATCH(COLUMNS($AN$1006:BB1006),$AN$1006:$BO$1006,0)), HYPERLINK("#",""), HYPERLINK(CONCATENATE("#Metadata!", ADDRESS(INDEX($AI$2:$AI$1001,MATCH(ROWS($AG$2:AG177),$AG$2:$AG$1001,0),0), INDEX($AN$1004:$BO$1004,1,MATCH(COLUMNS($AN$1006:BB1006),$AN$1006:$BO$1006,0)))),"Fix")))</f>
        <v>0</v>
      </c>
      <c r="Q177" s="4">
        <f>IF(OR(INDEX($AH$2:$AH$1001,MATCH(ROWS($AG$2:AG177),$AG$2:$AG$1001,0),1)&gt;=100000,INDEX($AN$1005:$BO$1005,1,MATCH(COLUMNS($AN$1006:BC1006),$AN$1006:$BO$1006,0))&gt;=100000), " ",IF(INDEX($AN$2:$BO$1001,MATCH(ROWS($AG$2:AG177),$AG$2:$AG$1001,0),MATCH(COLUMNS($AN$1006:BC1006),$AN$1006:$BO$1006,0)), HYPERLINK("#",""), HYPERLINK(CONCATENATE("#Metadata!", ADDRESS(INDEX($AI$2:$AI$1001,MATCH(ROWS($AG$2:AG177),$AG$2:$AG$1001,0),0), INDEX($AN$1004:$BO$1004,1,MATCH(COLUMNS($AN$1006:BC1006),$AN$1006:$BO$1006,0)))),"Fix")))</f>
        <v>0</v>
      </c>
      <c r="R177" s="4">
        <f>IF(OR(INDEX($AH$2:$AH$1001,MATCH(ROWS($AG$2:AG177),$AG$2:$AG$1001,0),1)&gt;=100000,INDEX($AN$1005:$BO$1005,1,MATCH(COLUMNS($AN$1006:BD1006),$AN$1006:$BO$1006,0))&gt;=100000), " ",IF(INDEX($AN$2:$BO$1001,MATCH(ROWS($AG$2:AG177),$AG$2:$AG$1001,0),MATCH(COLUMNS($AN$1006:BD1006),$AN$1006:$BO$1006,0)), HYPERLINK("#",""), HYPERLINK(CONCATENATE("#Metadata!", ADDRESS(INDEX($AI$2:$AI$1001,MATCH(ROWS($AG$2:AG177),$AG$2:$AG$1001,0),0), INDEX($AN$1004:$BO$1004,1,MATCH(COLUMNS($AN$1006:BD1006),$AN$1006:$BO$1006,0)))),"Fix")))</f>
        <v>0</v>
      </c>
      <c r="S177" s="4">
        <f>IF(OR(INDEX($AH$2:$AH$1001,MATCH(ROWS($AG$2:AG177),$AG$2:$AG$1001,0),1)&gt;=100000,INDEX($AN$1005:$BO$1005,1,MATCH(COLUMNS($AN$1006:BE1006),$AN$1006:$BO$1006,0))&gt;=100000), " ",IF(INDEX($AN$2:$BO$1001,MATCH(ROWS($AG$2:AG177),$AG$2:$AG$1001,0),MATCH(COLUMNS($AN$1006:BE1006),$AN$1006:$BO$1006,0)), HYPERLINK("#",""), HYPERLINK(CONCATENATE("#Metadata!", ADDRESS(INDEX($AI$2:$AI$1001,MATCH(ROWS($AG$2:AG177),$AG$2:$AG$1001,0),0), INDEX($AN$1004:$BO$1004,1,MATCH(COLUMNS($AN$1006:BE1006),$AN$1006:$BO$1006,0)))),"Fix")))</f>
        <v>0</v>
      </c>
      <c r="T177" s="4">
        <f>IF(OR(INDEX($AH$2:$AH$1001,MATCH(ROWS($AG$2:AG177),$AG$2:$AG$1001,0),1)&gt;=100000,INDEX($AN$1005:$BO$1005,1,MATCH(COLUMNS($AN$1006:BF1006),$AN$1006:$BO$1006,0))&gt;=100000), " ",IF(INDEX($AN$2:$BO$1001,MATCH(ROWS($AG$2:AG177),$AG$2:$AG$1001,0),MATCH(COLUMNS($AN$1006:BF1006),$AN$1006:$BO$1006,0)), HYPERLINK("#",""), HYPERLINK(CONCATENATE("#Metadata!", ADDRESS(INDEX($AI$2:$AI$1001,MATCH(ROWS($AG$2:AG177),$AG$2:$AG$1001,0),0), INDEX($AN$1004:$BO$1004,1,MATCH(COLUMNS($AN$1006:BF1006),$AN$1006:$BO$1006,0)))),"Fix")))</f>
        <v>0</v>
      </c>
      <c r="U177" s="4">
        <f>IF(OR(INDEX($AH$2:$AH$1001,MATCH(ROWS($AG$2:AG177),$AG$2:$AG$1001,0),1)&gt;=100000,INDEX($AN$1005:$BO$1005,1,MATCH(COLUMNS($AN$1006:BG1006),$AN$1006:$BO$1006,0))&gt;=100000), " ",IF(INDEX($AN$2:$BO$1001,MATCH(ROWS($AG$2:AG177),$AG$2:$AG$1001,0),MATCH(COLUMNS($AN$1006:BG1006),$AN$1006:$BO$1006,0)), HYPERLINK("#",""), HYPERLINK(CONCATENATE("#Metadata!", ADDRESS(INDEX($AI$2:$AI$1001,MATCH(ROWS($AG$2:AG177),$AG$2:$AG$1001,0),0), INDEX($AN$1004:$BO$1004,1,MATCH(COLUMNS($AN$1006:BG1006),$AN$1006:$BO$1006,0)))),"Fix")))</f>
        <v>0</v>
      </c>
      <c r="V177" s="4">
        <f>IF(OR(INDEX($AH$2:$AH$1001,MATCH(ROWS($AG$2:AG177),$AG$2:$AG$1001,0),1)&gt;=100000,INDEX($AN$1005:$BO$1005,1,MATCH(COLUMNS($AN$1006:BH1006),$AN$1006:$BO$1006,0))&gt;=100000), " ",IF(INDEX($AN$2:$BO$1001,MATCH(ROWS($AG$2:AG177),$AG$2:$AG$1001,0),MATCH(COLUMNS($AN$1006:BH1006),$AN$1006:$BO$1006,0)), HYPERLINK("#",""), HYPERLINK(CONCATENATE("#Metadata!", ADDRESS(INDEX($AI$2:$AI$1001,MATCH(ROWS($AG$2:AG177),$AG$2:$AG$1001,0),0), INDEX($AN$1004:$BO$1004,1,MATCH(COLUMNS($AN$1006:BH1006),$AN$1006:$BO$1006,0)))),"Fix")))</f>
        <v>0</v>
      </c>
      <c r="W177" s="4">
        <f>IF(OR(INDEX($AH$2:$AH$1001,MATCH(ROWS($AG$2:AG177),$AG$2:$AG$1001,0),1)&gt;=100000,INDEX($AN$1005:$BO$1005,1,MATCH(COLUMNS($AN$1006:BI1006),$AN$1006:$BO$1006,0))&gt;=100000), " ",IF(INDEX($AN$2:$BO$1001,MATCH(ROWS($AG$2:AG177),$AG$2:$AG$1001,0),MATCH(COLUMNS($AN$1006:BI1006),$AN$1006:$BO$1006,0)), HYPERLINK("#",""), HYPERLINK(CONCATENATE("#Metadata!", ADDRESS(INDEX($AI$2:$AI$1001,MATCH(ROWS($AG$2:AG177),$AG$2:$AG$1001,0),0), INDEX($AN$1004:$BO$1004,1,MATCH(COLUMNS($AN$1006:BI1006),$AN$1006:$BO$1006,0)))),"Fix")))</f>
        <v>0</v>
      </c>
      <c r="X177" s="4">
        <f>IF(OR(INDEX($AH$2:$AH$1001,MATCH(ROWS($AG$2:AG177),$AG$2:$AG$1001,0),1)&gt;=100000,INDEX($AN$1005:$BO$1005,1,MATCH(COLUMNS($AN$1006:BJ1006),$AN$1006:$BO$1006,0))&gt;=100000), " ",IF(INDEX($AN$2:$BO$1001,MATCH(ROWS($AG$2:AG177),$AG$2:$AG$1001,0),MATCH(COLUMNS($AN$1006:BJ1006),$AN$1006:$BO$1006,0)), HYPERLINK("#",""), HYPERLINK(CONCATENATE("#Metadata!", ADDRESS(INDEX($AI$2:$AI$1001,MATCH(ROWS($AG$2:AG177),$AG$2:$AG$1001,0),0), INDEX($AN$1004:$BO$1004,1,MATCH(COLUMNS($AN$1006:BJ1006),$AN$1006:$BO$1006,0)))),"Fix")))</f>
        <v>0</v>
      </c>
      <c r="Y177" s="4">
        <f>IF(OR(INDEX($AH$2:$AH$1001,MATCH(ROWS($AG$2:AG177),$AG$2:$AG$1001,0),1)&gt;=100000,INDEX($AN$1005:$BO$1005,1,MATCH(COLUMNS($AN$1006:BK1006),$AN$1006:$BO$1006,0))&gt;=100000), " ",IF(INDEX($AN$2:$BO$1001,MATCH(ROWS($AG$2:AG177),$AG$2:$AG$1001,0),MATCH(COLUMNS($AN$1006:BK1006),$AN$1006:$BO$1006,0)), HYPERLINK("#",""), HYPERLINK(CONCATENATE("#Metadata!", ADDRESS(INDEX($AI$2:$AI$1001,MATCH(ROWS($AG$2:AG177),$AG$2:$AG$1001,0),0), INDEX($AN$1004:$BO$1004,1,MATCH(COLUMNS($AN$1006:BK1006),$AN$1006:$BO$1006,0)))),"Fix")))</f>
        <v>0</v>
      </c>
      <c r="Z177" s="4">
        <f>IF(OR(INDEX($AH$2:$AH$1001,MATCH(ROWS($AG$2:AG177),$AG$2:$AG$1001,0),1)&gt;=100000,INDEX($AN$1005:$BO$1005,1,MATCH(COLUMNS($AN$1006:BL1006),$AN$1006:$BO$1006,0))&gt;=100000), " ",IF(INDEX($AN$2:$BO$1001,MATCH(ROWS($AG$2:AG177),$AG$2:$AG$1001,0),MATCH(COLUMNS($AN$1006:BL1006),$AN$1006:$BO$1006,0)), HYPERLINK("#",""), HYPERLINK(CONCATENATE("#Metadata!", ADDRESS(INDEX($AI$2:$AI$1001,MATCH(ROWS($AG$2:AG177),$AG$2:$AG$1001,0),0), INDEX($AN$1004:$BO$1004,1,MATCH(COLUMNS($AN$1006:BL1006),$AN$1006:$BO$1006,0)))),"Fix")))</f>
        <v>0</v>
      </c>
      <c r="AA177" s="4">
        <f>IF(OR(INDEX($AH$2:$AH$1001,MATCH(ROWS($AG$2:AG177),$AG$2:$AG$1001,0),1)&gt;=100000,INDEX($AN$1005:$BO$1005,1,MATCH(COLUMNS($AN$1006:BM1006),$AN$1006:$BO$1006,0))&gt;=100000), " ",IF(INDEX($AN$2:$BO$1001,MATCH(ROWS($AG$2:AG177),$AG$2:$AG$1001,0),MATCH(COLUMNS($AN$1006:BM1006),$AN$1006:$BO$1006,0)), HYPERLINK("#",""), HYPERLINK(CONCATENATE("#Metadata!", ADDRESS(INDEX($AI$2:$AI$1001,MATCH(ROWS($AG$2:AG177),$AG$2:$AG$1001,0),0), INDEX($AN$1004:$BO$1004,1,MATCH(COLUMNS($AN$1006:BM1006),$AN$1006:$BO$1006,0)))),"Fix")))</f>
        <v>0</v>
      </c>
      <c r="AB177" s="4">
        <f>IF(OR(INDEX($AH$2:$AH$1001,MATCH(ROWS($AG$2:AG177),$AG$2:$AG$1001,0),1)&gt;=100000,INDEX($AN$1005:$BO$1005,1,MATCH(COLUMNS($AN$1006:BN1006),$AN$1006:$BO$1006,0))&gt;=100000), " ",IF(INDEX($AN$2:$BO$1001,MATCH(ROWS($AG$2:AG177),$AG$2:$AG$1001,0),MATCH(COLUMNS($AN$1006:BN1006),$AN$1006:$BO$1006,0)), HYPERLINK("#",""), HYPERLINK(CONCATENATE("#Metadata!", ADDRESS(INDEX($AI$2:$AI$1001,MATCH(ROWS($AG$2:AG177),$AG$2:$AG$1001,0),0), INDEX($AN$1004:$BO$1004,1,MATCH(COLUMNS($AN$1006:BN1006),$AN$1006:$BO$1006,0)))),"Fix")))</f>
        <v>0</v>
      </c>
      <c r="AC177" s="4">
        <f>IF(OR(INDEX($AH$2:$AH$1001,MATCH(ROWS($AG$2:AG177),$AG$2:$AG$1001,0),1)&gt;=100000,INDEX($AN$1005:$BO$1005,1,MATCH(COLUMNS($AN$1006:BO1006),$AN$1006:$BO$1006,0))&gt;=100000), " ",IF(INDEX($AN$2:$BO$1001,MATCH(ROWS($AG$2:AG177),$AG$2:$AG$1001,0),MATCH(COLUMNS($AN$1006:BO1006),$AN$1006:$BO$1006,0)), HYPERLINK("#",""), HYPERLINK(CONCATENATE("#Metadata!", ADDRESS(INDEX($AI$2:$AI$1001,MATCH(ROWS($AG$2:AG177),$AG$2:$AG$1001,0),0), INDEX($AN$1004:$BO$1004,1,MATCH(COLUMNS($AN$1006:BO1006),$AN$1006:$BO$1006,0)))),"Fix")))</f>
        <v>0</v>
      </c>
      <c r="AG177">
        <v>0</v>
      </c>
      <c r="AH177">
        <v>0</v>
      </c>
      <c r="AI177">
        <v>0</v>
      </c>
      <c r="AJ177">
        <f>IF(AK177,TRUE,AND(AN177:BO177))</f>
        <v>0</v>
      </c>
      <c r="AK177">
        <f>COUNTBLANK(Metadata!B177:AC177)=COLUMNS(Metadata!B177:AC177)</f>
        <v>0</v>
      </c>
      <c r="AL177">
        <v>0</v>
      </c>
      <c r="AN177">
        <f>AND(IF(Metadata!B177="",FALSE,TRUE),COUNTIF(Metadata!B:B, Metadata!B177) = 1,NOT(ISERROR(SUMPRODUCT(SEARCH(MID(Metadata!B177,ROW(INDIRECT("1:"&amp;LEN(Metadata!B177))), 1),"0123456789abcdefghijklmnopqrstuvwxyzABCDEFGHIJKLMNOPQRSTUVWXYZ.")))))</f>
        <v>0</v>
      </c>
      <c r="AO177">
        <f>IF(Metadata!C177="",FALSE,TRUE)</f>
        <v>0</v>
      </c>
      <c r="AP177">
        <f>IF(Metadata!D177="",FALSE,TRUE)</f>
        <v>0</v>
      </c>
      <c r="AQ177">
        <f>OR(AND(IF(Metadata!E177="",FALSE,TRUE),OR(exact(Metadata!E177,"not collected"),exact(Metadata!E177,"not provided"),exact(Metadata!E177,"restricted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R177">
        <f>IF(Metadata!F177="",FALSE,TRUE)</f>
        <v>0</v>
      </c>
      <c r="AS177">
        <f>OR(AND(IF(Metadata!G177="",FALSE,TRUE),OR(exact(Metadata!G177,"not collected"),exact(Metadata!G177,"not provided"))),AND(IF(Metadata!G177="",FALSE,TRUE),OR(exact(Metadata!G177,"TRUE"),exact(Metadata!G177,"FALSE"))))</f>
        <v>0</v>
      </c>
      <c r="AT177">
        <f>OR(AND(IF(Metadata!H177="",FALSE,TRUE),OR(exact(Metadata!H177,"not collected"),exact(Metadata!H177,"not provided"),exact(Metadata!H177,"restricted access"))),AND(IF(Metadata!H177="",FALSE,ISNUMBER(VALUE(Metadata!H177))),Metadata!H177&gt;=-413.0))</f>
        <v>0</v>
      </c>
      <c r="AU177">
        <f>AND(IF(Metadata!I177="",FALSE,TRUE),exact(Metadata!I177,"meters"))</f>
        <v>0</v>
      </c>
      <c r="AV177">
        <f>AND(IF(Metadata!J177="",FALSE,TRUE),OR(exact(Metadata!J177,"Host-associated"),exact(Metadata!J177,"Free-living")))</f>
        <v>0</v>
      </c>
      <c r="AW177">
        <f>AND(IF(Metadata!K177="",FALSE,TRUE),OR(exact(Metadata!K177,"Animal"),exact(Metadata!K177,"Fungus"),exact(Metadata!K177,"Plant"),exact(Metadata!K177,"Saline"),exact(Metadata!K177,"Non-saline")))</f>
        <v>0</v>
      </c>
      <c r="AX177">
        <f>AND(IF(Metadata!L177="",FALSE,TRUE),OR(exact(Metadata!L177,"Plant secretion"),exact(Metadata!L177,"Plant rhizosphere"),exact(Metadata!L177,"Plant surface"),exact(Metadata!L177,"Plant corpus"),exact(Metadata!L177,"Fungus surface"),exact(Metadata!L177,"Fungus corpus"),exact(Metadata!L177,"Animal surface"),exact(Metadata!L177,"Animal proximal gut"),exact(Metadata!L177,"Animal corpus"),exact(Metadata!L177,"Animal distal gut"),exact(Metadata!L177,"Animal secretion"),exact(Metadata!L177,"Sub-surface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Y177">
        <f>IF(Metadata!M177="",FALSE,TRUE)</f>
        <v>0</v>
      </c>
      <c r="AZ177">
        <f>IF(Metadata!N177="",FALSE,TRUE)</f>
        <v>0</v>
      </c>
      <c r="BA177">
        <f>IF(Metadata!O177="",FALSE,TRUE)</f>
        <v>0</v>
      </c>
      <c r="BB177">
        <f>OR(AND(IF(Metadata!P177="",FALSE,TRUE),OR(exact(Metadata!P177,"not collected"),exact(Metadata!P177,"not provided"),exact(Metadata!P177,"restricted access"))),AND(IF(Metadata!P177="",FALSE,TRUE),OR(exact(Metadata!P177,"air"),exact(Metadata!P177,"built environment"),exact(Metadata!P177,"host-associated"),exact(Metadata!P177,"human-associated"),exact(Metadata!P177,"human-skin"),exact(Metadata!P177,"human-oral"),exact(Metadata!P177,"human-gut"),exact(Metadata!P177,"human-vaginal"),exact(Metadata!P177,"microbial mat/biofilm"),exact(Metadata!P177,"misc environment"),exact(Metadata!P177,"plant-associated"),exact(Metadata!P177,"sediment"),exact(Metadata!P177,"soil"),exact(Metadata!P177,"wastewater/sludge"),exact(Metadata!P177,"water"))))</f>
        <v>0</v>
      </c>
      <c r="BC177">
        <f>IF(Metadata!Q177="",FALSE,TRUE)</f>
        <v>0</v>
      </c>
      <c r="BD177">
        <f>IF(Metadata!R177="",FALSE,TRUE)</f>
        <v>0</v>
      </c>
      <c r="BE177">
        <f>OR(AND(IF(Metadata!S177="",FALSE,TRUE),OR(exact(Metadata!S177,"not collected"),exact(Metadata!S177,"not provided"),exact(Metadata!S177,"restricted access"))),AND(IF(Metadata!S177="",FALSE,ISNUMBER(VALUE(Metadata!S177))),Metadata!S177&gt;=-90.00,Metadata!S177&lt;=90.00))</f>
        <v>0</v>
      </c>
      <c r="BF177">
        <f>AND(IF(Metadata!T177="",FALSE,TRUE),exact(Metadata!T177,"Decimal degrees"))</f>
        <v>0</v>
      </c>
      <c r="BG177">
        <f>OR(AND(IF(Metadata!U177="",FALSE,TRUE),OR(exact(Metadata!U177,"not collected"),exact(Metadata!U177,"not provided"),exact(Metadata!U177,"restricted access"))),AND(IF(Metadata!U177="",FALSE,ISNUMBER(VALUE(Metadata!U177))),Metadata!U177&gt;=-180.00,Metadata!U177&lt;=180.00))</f>
        <v>0</v>
      </c>
      <c r="BH177">
        <f>AND(IF(Metadata!V177="",FALSE,TRUE),exact(Metadata!V177,"Decimal degrees"))</f>
        <v>0</v>
      </c>
      <c r="BI177">
        <f>IF(Metadata!W177="",FALSE,TRUE)</f>
        <v>0</v>
      </c>
      <c r="BJ177">
        <f>OR(AND(IF(Metadata!X177="",FALSE,TRUE),OR(exact(Metadata!X177,"not collected"),exact(Metadata!X177,"not provided"),exact(Metadata!X177,"restricted access"))),AND(IF(Metadata!X177="",FALSE,TRUE),OR(exact(Metadata!X177,"TRUE"),exact(Metadata!X177,"FALSE"))))</f>
        <v>0</v>
      </c>
      <c r="BK177">
        <f>AND(IF(Metadata!Y177="",FALSE,TRUE),exact(Metadata!Y177,"other"))</f>
        <v>0</v>
      </c>
      <c r="BL177">
        <f>IF(Metadata!Z177="",FALSE,TRUE)</f>
        <v>0</v>
      </c>
      <c r="BM177">
        <f>OR(AND(IF(Metadata!AA177="",FALSE,TRUE),OR(exact(Metadata!AA177,"not collected"),exact(Metadata!AA177,"not provided"))),AND(IF(Metadata!AA177="",FALSE,IF(ISERROR(INT(Metadata!AA177)),FALSE,INT(Metadata!AA177)=Metadata!AA177)),Metadata!AA177&gt;0))</f>
        <v>0</v>
      </c>
      <c r="BN177">
        <f>AND(IF(Metadata!AB177="",FALSE,TRUE),exact(Metadata!AB177,"Not applicable"))</f>
        <v>0</v>
      </c>
      <c r="BO177">
        <f>IF(Metadata!AC177="",FALSE,TRUE)</f>
        <v>0</v>
      </c>
    </row>
    <row r="178" spans="1:67">
      <c r="A178" s="5">
        <f>IF(B178=" "," ",HYPERLINK(CONCATENATE("#metadata!",ADDRESS(INDEX($AI$2:$AI$1001,MATCH(ROWS($AG$2:AG178),$AG$2:$AG$1001,0),0),1)),INDEX($AL$2:$AL$1001,MATCH(ROWS($AG$2:AG178),$AG$2:$AG$1001,0),0)))</f>
        <v>0</v>
      </c>
      <c r="B178" s="4">
        <f>IF(OR(INDEX($AH$2:$AH$1001,MATCH(ROWS($AG$2:AG178),$AG$2:$AG$1001,0),1)&gt;=100000,INDEX($AN$1005:$BO$1005,1,MATCH(COLUMNS($AN$1006:AN1006),$AN$1006:$BO$1006,0))&gt;=100000), " ",IF(INDEX($AN$2:$BO$1001,MATCH(ROWS($AG$2:AG178),$AG$2:$AG$1001,0),MATCH(COLUMNS($AN$1006:AN1006),$AN$1006:$BO$1006,0)), HYPERLINK("#",""), HYPERLINK(CONCATENATE("#Metadata!", ADDRESS(INDEX($AI$2:$AI$1001,MATCH(ROWS($AG$2:AG178),$AG$2:$AG$1001,0),0), INDEX($AN$1004:$BO$1004,1,MATCH(COLUMNS($AN$1006:AN1006),$AN$1006:$BO$1006,0)))),"Fix")))</f>
        <v>0</v>
      </c>
      <c r="C178" s="4">
        <f>IF(OR(INDEX($AH$2:$AH$1001,MATCH(ROWS($AG$2:AG178),$AG$2:$AG$1001,0),1)&gt;=100000,INDEX($AN$1005:$BO$1005,1,MATCH(COLUMNS($AN$1006:AO1006),$AN$1006:$BO$1006,0))&gt;=100000), " ",IF(INDEX($AN$2:$BO$1001,MATCH(ROWS($AG$2:AG178),$AG$2:$AG$1001,0),MATCH(COLUMNS($AN$1006:AO1006),$AN$1006:$BO$1006,0)), HYPERLINK("#",""), HYPERLINK(CONCATENATE("#Metadata!", ADDRESS(INDEX($AI$2:$AI$1001,MATCH(ROWS($AG$2:AG178),$AG$2:$AG$1001,0),0), INDEX($AN$1004:$BO$1004,1,MATCH(COLUMNS($AN$1006:AO1006),$AN$1006:$BO$1006,0)))),"Fix")))</f>
        <v>0</v>
      </c>
      <c r="D178" s="4">
        <f>IF(OR(INDEX($AH$2:$AH$1001,MATCH(ROWS($AG$2:AG178),$AG$2:$AG$1001,0),1)&gt;=100000,INDEX($AN$1005:$BO$1005,1,MATCH(COLUMNS($AN$1006:AP1006),$AN$1006:$BO$1006,0))&gt;=100000), " ",IF(INDEX($AN$2:$BO$1001,MATCH(ROWS($AG$2:AG178),$AG$2:$AG$1001,0),MATCH(COLUMNS($AN$1006:AP1006),$AN$1006:$BO$1006,0)), HYPERLINK("#",""), HYPERLINK(CONCATENATE("#Metadata!", ADDRESS(INDEX($AI$2:$AI$1001,MATCH(ROWS($AG$2:AG178),$AG$2:$AG$1001,0),0), INDEX($AN$1004:$BO$1004,1,MATCH(COLUMNS($AN$1006:AP1006),$AN$1006:$BO$1006,0)))),"Fix")))</f>
        <v>0</v>
      </c>
      <c r="E178" s="4">
        <f>IF(OR(INDEX($AH$2:$AH$1001,MATCH(ROWS($AG$2:AG178),$AG$2:$AG$1001,0),1)&gt;=100000,INDEX($AN$1005:$BO$1005,1,MATCH(COLUMNS($AN$1006:AQ1006),$AN$1006:$BO$1006,0))&gt;=100000), " ",IF(INDEX($AN$2:$BO$1001,MATCH(ROWS($AG$2:AG178),$AG$2:$AG$1001,0),MATCH(COLUMNS($AN$1006:AQ1006),$AN$1006:$BO$1006,0)), HYPERLINK("#",""), HYPERLINK(CONCATENATE("#Metadata!", ADDRESS(INDEX($AI$2:$AI$1001,MATCH(ROWS($AG$2:AG178),$AG$2:$AG$1001,0),0), INDEX($AN$1004:$BO$1004,1,MATCH(COLUMNS($AN$1006:AQ1006),$AN$1006:$BO$1006,0)))),"Fix")))</f>
        <v>0</v>
      </c>
      <c r="F178" s="4">
        <f>IF(OR(INDEX($AH$2:$AH$1001,MATCH(ROWS($AG$2:AG178),$AG$2:$AG$1001,0),1)&gt;=100000,INDEX($AN$1005:$BO$1005,1,MATCH(COLUMNS($AN$1006:AR1006),$AN$1006:$BO$1006,0))&gt;=100000), " ",IF(INDEX($AN$2:$BO$1001,MATCH(ROWS($AG$2:AG178),$AG$2:$AG$1001,0),MATCH(COLUMNS($AN$1006:AR1006),$AN$1006:$BO$1006,0)), HYPERLINK("#",""), HYPERLINK(CONCATENATE("#Metadata!", ADDRESS(INDEX($AI$2:$AI$1001,MATCH(ROWS($AG$2:AG178),$AG$2:$AG$1001,0),0), INDEX($AN$1004:$BO$1004,1,MATCH(COLUMNS($AN$1006:AR1006),$AN$1006:$BO$1006,0)))),"Fix")))</f>
        <v>0</v>
      </c>
      <c r="G178" s="4">
        <f>IF(OR(INDEX($AH$2:$AH$1001,MATCH(ROWS($AG$2:AG178),$AG$2:$AG$1001,0),1)&gt;=100000,INDEX($AN$1005:$BO$1005,1,MATCH(COLUMNS($AN$1006:AS1006),$AN$1006:$BO$1006,0))&gt;=100000), " ",IF(INDEX($AN$2:$BO$1001,MATCH(ROWS($AG$2:AG178),$AG$2:$AG$1001,0),MATCH(COLUMNS($AN$1006:AS1006),$AN$1006:$BO$1006,0)), HYPERLINK("#",""), HYPERLINK(CONCATENATE("#Metadata!", ADDRESS(INDEX($AI$2:$AI$1001,MATCH(ROWS($AG$2:AG178),$AG$2:$AG$1001,0),0), INDEX($AN$1004:$BO$1004,1,MATCH(COLUMNS($AN$1006:AS1006),$AN$1006:$BO$1006,0)))),"Fix")))</f>
        <v>0</v>
      </c>
      <c r="H178" s="4">
        <f>IF(OR(INDEX($AH$2:$AH$1001,MATCH(ROWS($AG$2:AG178),$AG$2:$AG$1001,0),1)&gt;=100000,INDEX($AN$1005:$BO$1005,1,MATCH(COLUMNS($AN$1006:AT1006),$AN$1006:$BO$1006,0))&gt;=100000), " ",IF(INDEX($AN$2:$BO$1001,MATCH(ROWS($AG$2:AG178),$AG$2:$AG$1001,0),MATCH(COLUMNS($AN$1006:AT1006),$AN$1006:$BO$1006,0)), HYPERLINK("#",""), HYPERLINK(CONCATENATE("#Metadata!", ADDRESS(INDEX($AI$2:$AI$1001,MATCH(ROWS($AG$2:AG178),$AG$2:$AG$1001,0),0), INDEX($AN$1004:$BO$1004,1,MATCH(COLUMNS($AN$1006:AT1006),$AN$1006:$BO$1006,0)))),"Fix")))</f>
        <v>0</v>
      </c>
      <c r="I178" s="4">
        <f>IF(OR(INDEX($AH$2:$AH$1001,MATCH(ROWS($AG$2:AG178),$AG$2:$AG$1001,0),1)&gt;=100000,INDEX($AN$1005:$BO$1005,1,MATCH(COLUMNS($AN$1006:AU1006),$AN$1006:$BO$1006,0))&gt;=100000), " ",IF(INDEX($AN$2:$BO$1001,MATCH(ROWS($AG$2:AG178),$AG$2:$AG$1001,0),MATCH(COLUMNS($AN$1006:AU1006),$AN$1006:$BO$1006,0)), HYPERLINK("#",""), HYPERLINK(CONCATENATE("#Metadata!", ADDRESS(INDEX($AI$2:$AI$1001,MATCH(ROWS($AG$2:AG178),$AG$2:$AG$1001,0),0), INDEX($AN$1004:$BO$1004,1,MATCH(COLUMNS($AN$1006:AU1006),$AN$1006:$BO$1006,0)))),"Fix")))</f>
        <v>0</v>
      </c>
      <c r="J178" s="4">
        <f>IF(OR(INDEX($AH$2:$AH$1001,MATCH(ROWS($AG$2:AG178),$AG$2:$AG$1001,0),1)&gt;=100000,INDEX($AN$1005:$BO$1005,1,MATCH(COLUMNS($AN$1006:AV1006),$AN$1006:$BO$1006,0))&gt;=100000), " ",IF(INDEX($AN$2:$BO$1001,MATCH(ROWS($AG$2:AG178),$AG$2:$AG$1001,0),MATCH(COLUMNS($AN$1006:AV1006),$AN$1006:$BO$1006,0)), HYPERLINK("#",""), HYPERLINK(CONCATENATE("#Metadata!", ADDRESS(INDEX($AI$2:$AI$1001,MATCH(ROWS($AG$2:AG178),$AG$2:$AG$1001,0),0), INDEX($AN$1004:$BO$1004,1,MATCH(COLUMNS($AN$1006:AV1006),$AN$1006:$BO$1006,0)))),"Fix")))</f>
        <v>0</v>
      </c>
      <c r="K178" s="4">
        <f>IF(OR(INDEX($AH$2:$AH$1001,MATCH(ROWS($AG$2:AG178),$AG$2:$AG$1001,0),1)&gt;=100000,INDEX($AN$1005:$BO$1005,1,MATCH(COLUMNS($AN$1006:AW1006),$AN$1006:$BO$1006,0))&gt;=100000), " ",IF(INDEX($AN$2:$BO$1001,MATCH(ROWS($AG$2:AG178),$AG$2:$AG$1001,0),MATCH(COLUMNS($AN$1006:AW1006),$AN$1006:$BO$1006,0)), HYPERLINK("#",""), HYPERLINK(CONCATENATE("#Metadata!", ADDRESS(INDEX($AI$2:$AI$1001,MATCH(ROWS($AG$2:AG178),$AG$2:$AG$1001,0),0), INDEX($AN$1004:$BO$1004,1,MATCH(COLUMNS($AN$1006:AW1006),$AN$1006:$BO$1006,0)))),"Fix")))</f>
        <v>0</v>
      </c>
      <c r="L178" s="4">
        <f>IF(OR(INDEX($AH$2:$AH$1001,MATCH(ROWS($AG$2:AG178),$AG$2:$AG$1001,0),1)&gt;=100000,INDEX($AN$1005:$BO$1005,1,MATCH(COLUMNS($AN$1006:AX1006),$AN$1006:$BO$1006,0))&gt;=100000), " ",IF(INDEX($AN$2:$BO$1001,MATCH(ROWS($AG$2:AG178),$AG$2:$AG$1001,0),MATCH(COLUMNS($AN$1006:AX1006),$AN$1006:$BO$1006,0)), HYPERLINK("#",""), HYPERLINK(CONCATENATE("#Metadata!", ADDRESS(INDEX($AI$2:$AI$1001,MATCH(ROWS($AG$2:AG178),$AG$2:$AG$1001,0),0), INDEX($AN$1004:$BO$1004,1,MATCH(COLUMNS($AN$1006:AX1006),$AN$1006:$BO$1006,0)))),"Fix")))</f>
        <v>0</v>
      </c>
      <c r="M178" s="4">
        <f>IF(OR(INDEX($AH$2:$AH$1001,MATCH(ROWS($AG$2:AG178),$AG$2:$AG$1001,0),1)&gt;=100000,INDEX($AN$1005:$BO$1005,1,MATCH(COLUMNS($AN$1006:AY1006),$AN$1006:$BO$1006,0))&gt;=100000), " ",IF(INDEX($AN$2:$BO$1001,MATCH(ROWS($AG$2:AG178),$AG$2:$AG$1001,0),MATCH(COLUMNS($AN$1006:AY1006),$AN$1006:$BO$1006,0)), HYPERLINK("#",""), HYPERLINK(CONCATENATE("#Metadata!", ADDRESS(INDEX($AI$2:$AI$1001,MATCH(ROWS($AG$2:AG178),$AG$2:$AG$1001,0),0), INDEX($AN$1004:$BO$1004,1,MATCH(COLUMNS($AN$1006:AY1006),$AN$1006:$BO$1006,0)))),"Fix")))</f>
        <v>0</v>
      </c>
      <c r="N178" s="4">
        <f>IF(OR(INDEX($AH$2:$AH$1001,MATCH(ROWS($AG$2:AG178),$AG$2:$AG$1001,0),1)&gt;=100000,INDEX($AN$1005:$BO$1005,1,MATCH(COLUMNS($AN$1006:AZ1006),$AN$1006:$BO$1006,0))&gt;=100000), " ",IF(INDEX($AN$2:$BO$1001,MATCH(ROWS($AG$2:AG178),$AG$2:$AG$1001,0),MATCH(COLUMNS($AN$1006:AZ1006),$AN$1006:$BO$1006,0)), HYPERLINK("#",""), HYPERLINK(CONCATENATE("#Metadata!", ADDRESS(INDEX($AI$2:$AI$1001,MATCH(ROWS($AG$2:AG178),$AG$2:$AG$1001,0),0), INDEX($AN$1004:$BO$1004,1,MATCH(COLUMNS($AN$1006:AZ1006),$AN$1006:$BO$1006,0)))),"Fix")))</f>
        <v>0</v>
      </c>
      <c r="O178" s="4">
        <f>IF(OR(INDEX($AH$2:$AH$1001,MATCH(ROWS($AG$2:AG178),$AG$2:$AG$1001,0),1)&gt;=100000,INDEX($AN$1005:$BO$1005,1,MATCH(COLUMNS($AN$1006:BA1006),$AN$1006:$BO$1006,0))&gt;=100000), " ",IF(INDEX($AN$2:$BO$1001,MATCH(ROWS($AG$2:AG178),$AG$2:$AG$1001,0),MATCH(COLUMNS($AN$1006:BA1006),$AN$1006:$BO$1006,0)), HYPERLINK("#",""), HYPERLINK(CONCATENATE("#Metadata!", ADDRESS(INDEX($AI$2:$AI$1001,MATCH(ROWS($AG$2:AG178),$AG$2:$AG$1001,0),0), INDEX($AN$1004:$BO$1004,1,MATCH(COLUMNS($AN$1006:BA1006),$AN$1006:$BO$1006,0)))),"Fix")))</f>
        <v>0</v>
      </c>
      <c r="P178" s="4">
        <f>IF(OR(INDEX($AH$2:$AH$1001,MATCH(ROWS($AG$2:AG178),$AG$2:$AG$1001,0),1)&gt;=100000,INDEX($AN$1005:$BO$1005,1,MATCH(COLUMNS($AN$1006:BB1006),$AN$1006:$BO$1006,0))&gt;=100000), " ",IF(INDEX($AN$2:$BO$1001,MATCH(ROWS($AG$2:AG178),$AG$2:$AG$1001,0),MATCH(COLUMNS($AN$1006:BB1006),$AN$1006:$BO$1006,0)), HYPERLINK("#",""), HYPERLINK(CONCATENATE("#Metadata!", ADDRESS(INDEX($AI$2:$AI$1001,MATCH(ROWS($AG$2:AG178),$AG$2:$AG$1001,0),0), INDEX($AN$1004:$BO$1004,1,MATCH(COLUMNS($AN$1006:BB1006),$AN$1006:$BO$1006,0)))),"Fix")))</f>
        <v>0</v>
      </c>
      <c r="Q178" s="4">
        <f>IF(OR(INDEX($AH$2:$AH$1001,MATCH(ROWS($AG$2:AG178),$AG$2:$AG$1001,0),1)&gt;=100000,INDEX($AN$1005:$BO$1005,1,MATCH(COLUMNS($AN$1006:BC1006),$AN$1006:$BO$1006,0))&gt;=100000), " ",IF(INDEX($AN$2:$BO$1001,MATCH(ROWS($AG$2:AG178),$AG$2:$AG$1001,0),MATCH(COLUMNS($AN$1006:BC1006),$AN$1006:$BO$1006,0)), HYPERLINK("#",""), HYPERLINK(CONCATENATE("#Metadata!", ADDRESS(INDEX($AI$2:$AI$1001,MATCH(ROWS($AG$2:AG178),$AG$2:$AG$1001,0),0), INDEX($AN$1004:$BO$1004,1,MATCH(COLUMNS($AN$1006:BC1006),$AN$1006:$BO$1006,0)))),"Fix")))</f>
        <v>0</v>
      </c>
      <c r="R178" s="4">
        <f>IF(OR(INDEX($AH$2:$AH$1001,MATCH(ROWS($AG$2:AG178),$AG$2:$AG$1001,0),1)&gt;=100000,INDEX($AN$1005:$BO$1005,1,MATCH(COLUMNS($AN$1006:BD1006),$AN$1006:$BO$1006,0))&gt;=100000), " ",IF(INDEX($AN$2:$BO$1001,MATCH(ROWS($AG$2:AG178),$AG$2:$AG$1001,0),MATCH(COLUMNS($AN$1006:BD1006),$AN$1006:$BO$1006,0)), HYPERLINK("#",""), HYPERLINK(CONCATENATE("#Metadata!", ADDRESS(INDEX($AI$2:$AI$1001,MATCH(ROWS($AG$2:AG178),$AG$2:$AG$1001,0),0), INDEX($AN$1004:$BO$1004,1,MATCH(COLUMNS($AN$1006:BD1006),$AN$1006:$BO$1006,0)))),"Fix")))</f>
        <v>0</v>
      </c>
      <c r="S178" s="4">
        <f>IF(OR(INDEX($AH$2:$AH$1001,MATCH(ROWS($AG$2:AG178),$AG$2:$AG$1001,0),1)&gt;=100000,INDEX($AN$1005:$BO$1005,1,MATCH(COLUMNS($AN$1006:BE1006),$AN$1006:$BO$1006,0))&gt;=100000), " ",IF(INDEX($AN$2:$BO$1001,MATCH(ROWS($AG$2:AG178),$AG$2:$AG$1001,0),MATCH(COLUMNS($AN$1006:BE1006),$AN$1006:$BO$1006,0)), HYPERLINK("#",""), HYPERLINK(CONCATENATE("#Metadata!", ADDRESS(INDEX($AI$2:$AI$1001,MATCH(ROWS($AG$2:AG178),$AG$2:$AG$1001,0),0), INDEX($AN$1004:$BO$1004,1,MATCH(COLUMNS($AN$1006:BE1006),$AN$1006:$BO$1006,0)))),"Fix")))</f>
        <v>0</v>
      </c>
      <c r="T178" s="4">
        <f>IF(OR(INDEX($AH$2:$AH$1001,MATCH(ROWS($AG$2:AG178),$AG$2:$AG$1001,0),1)&gt;=100000,INDEX($AN$1005:$BO$1005,1,MATCH(COLUMNS($AN$1006:BF1006),$AN$1006:$BO$1006,0))&gt;=100000), " ",IF(INDEX($AN$2:$BO$1001,MATCH(ROWS($AG$2:AG178),$AG$2:$AG$1001,0),MATCH(COLUMNS($AN$1006:BF1006),$AN$1006:$BO$1006,0)), HYPERLINK("#",""), HYPERLINK(CONCATENATE("#Metadata!", ADDRESS(INDEX($AI$2:$AI$1001,MATCH(ROWS($AG$2:AG178),$AG$2:$AG$1001,0),0), INDEX($AN$1004:$BO$1004,1,MATCH(COLUMNS($AN$1006:BF1006),$AN$1006:$BO$1006,0)))),"Fix")))</f>
        <v>0</v>
      </c>
      <c r="U178" s="4">
        <f>IF(OR(INDEX($AH$2:$AH$1001,MATCH(ROWS($AG$2:AG178),$AG$2:$AG$1001,0),1)&gt;=100000,INDEX($AN$1005:$BO$1005,1,MATCH(COLUMNS($AN$1006:BG1006),$AN$1006:$BO$1006,0))&gt;=100000), " ",IF(INDEX($AN$2:$BO$1001,MATCH(ROWS($AG$2:AG178),$AG$2:$AG$1001,0),MATCH(COLUMNS($AN$1006:BG1006),$AN$1006:$BO$1006,0)), HYPERLINK("#",""), HYPERLINK(CONCATENATE("#Metadata!", ADDRESS(INDEX($AI$2:$AI$1001,MATCH(ROWS($AG$2:AG178),$AG$2:$AG$1001,0),0), INDEX($AN$1004:$BO$1004,1,MATCH(COLUMNS($AN$1006:BG1006),$AN$1006:$BO$1006,0)))),"Fix")))</f>
        <v>0</v>
      </c>
      <c r="V178" s="4">
        <f>IF(OR(INDEX($AH$2:$AH$1001,MATCH(ROWS($AG$2:AG178),$AG$2:$AG$1001,0),1)&gt;=100000,INDEX($AN$1005:$BO$1005,1,MATCH(COLUMNS($AN$1006:BH1006),$AN$1006:$BO$1006,0))&gt;=100000), " ",IF(INDEX($AN$2:$BO$1001,MATCH(ROWS($AG$2:AG178),$AG$2:$AG$1001,0),MATCH(COLUMNS($AN$1006:BH1006),$AN$1006:$BO$1006,0)), HYPERLINK("#",""), HYPERLINK(CONCATENATE("#Metadata!", ADDRESS(INDEX($AI$2:$AI$1001,MATCH(ROWS($AG$2:AG178),$AG$2:$AG$1001,0),0), INDEX($AN$1004:$BO$1004,1,MATCH(COLUMNS($AN$1006:BH1006),$AN$1006:$BO$1006,0)))),"Fix")))</f>
        <v>0</v>
      </c>
      <c r="W178" s="4">
        <f>IF(OR(INDEX($AH$2:$AH$1001,MATCH(ROWS($AG$2:AG178),$AG$2:$AG$1001,0),1)&gt;=100000,INDEX($AN$1005:$BO$1005,1,MATCH(COLUMNS($AN$1006:BI1006),$AN$1006:$BO$1006,0))&gt;=100000), " ",IF(INDEX($AN$2:$BO$1001,MATCH(ROWS($AG$2:AG178),$AG$2:$AG$1001,0),MATCH(COLUMNS($AN$1006:BI1006),$AN$1006:$BO$1006,0)), HYPERLINK("#",""), HYPERLINK(CONCATENATE("#Metadata!", ADDRESS(INDEX($AI$2:$AI$1001,MATCH(ROWS($AG$2:AG178),$AG$2:$AG$1001,0),0), INDEX($AN$1004:$BO$1004,1,MATCH(COLUMNS($AN$1006:BI1006),$AN$1006:$BO$1006,0)))),"Fix")))</f>
        <v>0</v>
      </c>
      <c r="X178" s="4">
        <f>IF(OR(INDEX($AH$2:$AH$1001,MATCH(ROWS($AG$2:AG178),$AG$2:$AG$1001,0),1)&gt;=100000,INDEX($AN$1005:$BO$1005,1,MATCH(COLUMNS($AN$1006:BJ1006),$AN$1006:$BO$1006,0))&gt;=100000), " ",IF(INDEX($AN$2:$BO$1001,MATCH(ROWS($AG$2:AG178),$AG$2:$AG$1001,0),MATCH(COLUMNS($AN$1006:BJ1006),$AN$1006:$BO$1006,0)), HYPERLINK("#",""), HYPERLINK(CONCATENATE("#Metadata!", ADDRESS(INDEX($AI$2:$AI$1001,MATCH(ROWS($AG$2:AG178),$AG$2:$AG$1001,0),0), INDEX($AN$1004:$BO$1004,1,MATCH(COLUMNS($AN$1006:BJ1006),$AN$1006:$BO$1006,0)))),"Fix")))</f>
        <v>0</v>
      </c>
      <c r="Y178" s="4">
        <f>IF(OR(INDEX($AH$2:$AH$1001,MATCH(ROWS($AG$2:AG178),$AG$2:$AG$1001,0),1)&gt;=100000,INDEX($AN$1005:$BO$1005,1,MATCH(COLUMNS($AN$1006:BK1006),$AN$1006:$BO$1006,0))&gt;=100000), " ",IF(INDEX($AN$2:$BO$1001,MATCH(ROWS($AG$2:AG178),$AG$2:$AG$1001,0),MATCH(COLUMNS($AN$1006:BK1006),$AN$1006:$BO$1006,0)), HYPERLINK("#",""), HYPERLINK(CONCATENATE("#Metadata!", ADDRESS(INDEX($AI$2:$AI$1001,MATCH(ROWS($AG$2:AG178),$AG$2:$AG$1001,0),0), INDEX($AN$1004:$BO$1004,1,MATCH(COLUMNS($AN$1006:BK1006),$AN$1006:$BO$1006,0)))),"Fix")))</f>
        <v>0</v>
      </c>
      <c r="Z178" s="4">
        <f>IF(OR(INDEX($AH$2:$AH$1001,MATCH(ROWS($AG$2:AG178),$AG$2:$AG$1001,0),1)&gt;=100000,INDEX($AN$1005:$BO$1005,1,MATCH(COLUMNS($AN$1006:BL1006),$AN$1006:$BO$1006,0))&gt;=100000), " ",IF(INDEX($AN$2:$BO$1001,MATCH(ROWS($AG$2:AG178),$AG$2:$AG$1001,0),MATCH(COLUMNS($AN$1006:BL1006),$AN$1006:$BO$1006,0)), HYPERLINK("#",""), HYPERLINK(CONCATENATE("#Metadata!", ADDRESS(INDEX($AI$2:$AI$1001,MATCH(ROWS($AG$2:AG178),$AG$2:$AG$1001,0),0), INDEX($AN$1004:$BO$1004,1,MATCH(COLUMNS($AN$1006:BL1006),$AN$1006:$BO$1006,0)))),"Fix")))</f>
        <v>0</v>
      </c>
      <c r="AA178" s="4">
        <f>IF(OR(INDEX($AH$2:$AH$1001,MATCH(ROWS($AG$2:AG178),$AG$2:$AG$1001,0),1)&gt;=100000,INDEX($AN$1005:$BO$1005,1,MATCH(COLUMNS($AN$1006:BM1006),$AN$1006:$BO$1006,0))&gt;=100000), " ",IF(INDEX($AN$2:$BO$1001,MATCH(ROWS($AG$2:AG178),$AG$2:$AG$1001,0),MATCH(COLUMNS($AN$1006:BM1006),$AN$1006:$BO$1006,0)), HYPERLINK("#",""), HYPERLINK(CONCATENATE("#Metadata!", ADDRESS(INDEX($AI$2:$AI$1001,MATCH(ROWS($AG$2:AG178),$AG$2:$AG$1001,0),0), INDEX($AN$1004:$BO$1004,1,MATCH(COLUMNS($AN$1006:BM1006),$AN$1006:$BO$1006,0)))),"Fix")))</f>
        <v>0</v>
      </c>
      <c r="AB178" s="4">
        <f>IF(OR(INDEX($AH$2:$AH$1001,MATCH(ROWS($AG$2:AG178),$AG$2:$AG$1001,0),1)&gt;=100000,INDEX($AN$1005:$BO$1005,1,MATCH(COLUMNS($AN$1006:BN1006),$AN$1006:$BO$1006,0))&gt;=100000), " ",IF(INDEX($AN$2:$BO$1001,MATCH(ROWS($AG$2:AG178),$AG$2:$AG$1001,0),MATCH(COLUMNS($AN$1006:BN1006),$AN$1006:$BO$1006,0)), HYPERLINK("#",""), HYPERLINK(CONCATENATE("#Metadata!", ADDRESS(INDEX($AI$2:$AI$1001,MATCH(ROWS($AG$2:AG178),$AG$2:$AG$1001,0),0), INDEX($AN$1004:$BO$1004,1,MATCH(COLUMNS($AN$1006:BN1006),$AN$1006:$BO$1006,0)))),"Fix")))</f>
        <v>0</v>
      </c>
      <c r="AC178" s="4">
        <f>IF(OR(INDEX($AH$2:$AH$1001,MATCH(ROWS($AG$2:AG178),$AG$2:$AG$1001,0),1)&gt;=100000,INDEX($AN$1005:$BO$1005,1,MATCH(COLUMNS($AN$1006:BO1006),$AN$1006:$BO$1006,0))&gt;=100000), " ",IF(INDEX($AN$2:$BO$1001,MATCH(ROWS($AG$2:AG178),$AG$2:$AG$1001,0),MATCH(COLUMNS($AN$1006:BO1006),$AN$1006:$BO$1006,0)), HYPERLINK("#",""), HYPERLINK(CONCATENATE("#Metadata!", ADDRESS(INDEX($AI$2:$AI$1001,MATCH(ROWS($AG$2:AG178),$AG$2:$AG$1001,0),0), INDEX($AN$1004:$BO$1004,1,MATCH(COLUMNS($AN$1006:BO1006),$AN$1006:$BO$1006,0)))),"Fix")))</f>
        <v>0</v>
      </c>
      <c r="AG178">
        <v>0</v>
      </c>
      <c r="AH178">
        <v>0</v>
      </c>
      <c r="AI178">
        <v>0</v>
      </c>
      <c r="AJ178">
        <f>IF(AK178,TRUE,AND(AN178:BO178))</f>
        <v>0</v>
      </c>
      <c r="AK178">
        <f>COUNTBLANK(Metadata!B178:AC178)=COLUMNS(Metadata!B178:AC178)</f>
        <v>0</v>
      </c>
      <c r="AL178">
        <v>0</v>
      </c>
      <c r="AN178">
        <f>AND(IF(Metadata!B178="",FALSE,TRUE),COUNTIF(Metadata!B:B, Metadata!B178) = 1,NOT(ISERROR(SUMPRODUCT(SEARCH(MID(Metadata!B178,ROW(INDIRECT("1:"&amp;LEN(Metadata!B178))), 1),"0123456789abcdefghijklmnopqrstuvwxyzABCDEFGHIJKLMNOPQRSTUVWXYZ.")))))</f>
        <v>0</v>
      </c>
      <c r="AO178">
        <f>IF(Metadata!C178="",FALSE,TRUE)</f>
        <v>0</v>
      </c>
      <c r="AP178">
        <f>IF(Metadata!D178="",FALSE,TRUE)</f>
        <v>0</v>
      </c>
      <c r="AQ178">
        <f>OR(AND(IF(Metadata!E178="",FALSE,TRUE),OR(exact(Metadata!E178,"not collected"),exact(Metadata!E178,"not provided"),exact(Metadata!E178,"restricted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R178">
        <f>IF(Metadata!F178="",FALSE,TRUE)</f>
        <v>0</v>
      </c>
      <c r="AS178">
        <f>OR(AND(IF(Metadata!G178="",FALSE,TRUE),OR(exact(Metadata!G178,"not collected"),exact(Metadata!G178,"not provided"))),AND(IF(Metadata!G178="",FALSE,TRUE),OR(exact(Metadata!G178,"TRUE"),exact(Metadata!G178,"FALSE"))))</f>
        <v>0</v>
      </c>
      <c r="AT178">
        <f>OR(AND(IF(Metadata!H178="",FALSE,TRUE),OR(exact(Metadata!H178,"not collected"),exact(Metadata!H178,"not provided"),exact(Metadata!H178,"restricted access"))),AND(IF(Metadata!H178="",FALSE,ISNUMBER(VALUE(Metadata!H178))),Metadata!H178&gt;=-413.0))</f>
        <v>0</v>
      </c>
      <c r="AU178">
        <f>AND(IF(Metadata!I178="",FALSE,TRUE),exact(Metadata!I178,"meters"))</f>
        <v>0</v>
      </c>
      <c r="AV178">
        <f>AND(IF(Metadata!J178="",FALSE,TRUE),OR(exact(Metadata!J178,"Host-associated"),exact(Metadata!J178,"Free-living")))</f>
        <v>0</v>
      </c>
      <c r="AW178">
        <f>AND(IF(Metadata!K178="",FALSE,TRUE),OR(exact(Metadata!K178,"Animal"),exact(Metadata!K178,"Fungus"),exact(Metadata!K178,"Plant"),exact(Metadata!K178,"Saline"),exact(Metadata!K178,"Non-saline")))</f>
        <v>0</v>
      </c>
      <c r="AX178">
        <f>AND(IF(Metadata!L178="",FALSE,TRUE),OR(exact(Metadata!L178,"Plant secretion"),exact(Metadata!L178,"Plant rhizosphere"),exact(Metadata!L178,"Plant surface"),exact(Metadata!L178,"Plant corpus"),exact(Metadata!L178,"Fungus surface"),exact(Metadata!L178,"Fungus corpus"),exact(Metadata!L178,"Animal surface"),exact(Metadata!L178,"Animal proximal gut"),exact(Metadata!L178,"Animal corpus"),exact(Metadata!L178,"Animal distal gut"),exact(Metadata!L178,"Animal secretion"),exact(Metadata!L178,"Sub-surface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Y178">
        <f>IF(Metadata!M178="",FALSE,TRUE)</f>
        <v>0</v>
      </c>
      <c r="AZ178">
        <f>IF(Metadata!N178="",FALSE,TRUE)</f>
        <v>0</v>
      </c>
      <c r="BA178">
        <f>IF(Metadata!O178="",FALSE,TRUE)</f>
        <v>0</v>
      </c>
      <c r="BB178">
        <f>OR(AND(IF(Metadata!P178="",FALSE,TRUE),OR(exact(Metadata!P178,"not collected"),exact(Metadata!P178,"not provided"),exact(Metadata!P178,"restricted access"))),AND(IF(Metadata!P178="",FALSE,TRUE),OR(exact(Metadata!P178,"air"),exact(Metadata!P178,"built environment"),exact(Metadata!P178,"host-associated"),exact(Metadata!P178,"human-associated"),exact(Metadata!P178,"human-skin"),exact(Metadata!P178,"human-oral"),exact(Metadata!P178,"human-gut"),exact(Metadata!P178,"human-vaginal"),exact(Metadata!P178,"microbial mat/biofilm"),exact(Metadata!P178,"misc environment"),exact(Metadata!P178,"plant-associated"),exact(Metadata!P178,"sediment"),exact(Metadata!P178,"soil"),exact(Metadata!P178,"wastewater/sludge"),exact(Metadata!P178,"water"))))</f>
        <v>0</v>
      </c>
      <c r="BC178">
        <f>IF(Metadata!Q178="",FALSE,TRUE)</f>
        <v>0</v>
      </c>
      <c r="BD178">
        <f>IF(Metadata!R178="",FALSE,TRUE)</f>
        <v>0</v>
      </c>
      <c r="BE178">
        <f>OR(AND(IF(Metadata!S178="",FALSE,TRUE),OR(exact(Metadata!S178,"not collected"),exact(Metadata!S178,"not provided"),exact(Metadata!S178,"restricted access"))),AND(IF(Metadata!S178="",FALSE,ISNUMBER(VALUE(Metadata!S178))),Metadata!S178&gt;=-90.00,Metadata!S178&lt;=90.00))</f>
        <v>0</v>
      </c>
      <c r="BF178">
        <f>AND(IF(Metadata!T178="",FALSE,TRUE),exact(Metadata!T178,"Decimal degrees"))</f>
        <v>0</v>
      </c>
      <c r="BG178">
        <f>OR(AND(IF(Metadata!U178="",FALSE,TRUE),OR(exact(Metadata!U178,"not collected"),exact(Metadata!U178,"not provided"),exact(Metadata!U178,"restricted access"))),AND(IF(Metadata!U178="",FALSE,ISNUMBER(VALUE(Metadata!U178))),Metadata!U178&gt;=-180.00,Metadata!U178&lt;=180.00))</f>
        <v>0</v>
      </c>
      <c r="BH178">
        <f>AND(IF(Metadata!V178="",FALSE,TRUE),exact(Metadata!V178,"Decimal degrees"))</f>
        <v>0</v>
      </c>
      <c r="BI178">
        <f>IF(Metadata!W178="",FALSE,TRUE)</f>
        <v>0</v>
      </c>
      <c r="BJ178">
        <f>OR(AND(IF(Metadata!X178="",FALSE,TRUE),OR(exact(Metadata!X178,"not collected"),exact(Metadata!X178,"not provided"),exact(Metadata!X178,"restricted access"))),AND(IF(Metadata!X178="",FALSE,TRUE),OR(exact(Metadata!X178,"TRUE"),exact(Metadata!X178,"FALSE"))))</f>
        <v>0</v>
      </c>
      <c r="BK178">
        <f>AND(IF(Metadata!Y178="",FALSE,TRUE),exact(Metadata!Y178,"other"))</f>
        <v>0</v>
      </c>
      <c r="BL178">
        <f>IF(Metadata!Z178="",FALSE,TRUE)</f>
        <v>0</v>
      </c>
      <c r="BM178">
        <f>OR(AND(IF(Metadata!AA178="",FALSE,TRUE),OR(exact(Metadata!AA178,"not collected"),exact(Metadata!AA178,"not provided"))),AND(IF(Metadata!AA178="",FALSE,IF(ISERROR(INT(Metadata!AA178)),FALSE,INT(Metadata!AA178)=Metadata!AA178)),Metadata!AA178&gt;0))</f>
        <v>0</v>
      </c>
      <c r="BN178">
        <f>AND(IF(Metadata!AB178="",FALSE,TRUE),exact(Metadata!AB178,"Not applicable"))</f>
        <v>0</v>
      </c>
      <c r="BO178">
        <f>IF(Metadata!AC178="",FALSE,TRUE)</f>
        <v>0</v>
      </c>
    </row>
    <row r="179" spans="1:67">
      <c r="A179" s="5">
        <f>IF(B179=" "," ",HYPERLINK(CONCATENATE("#metadata!",ADDRESS(INDEX($AI$2:$AI$1001,MATCH(ROWS($AG$2:AG179),$AG$2:$AG$1001,0),0),1)),INDEX($AL$2:$AL$1001,MATCH(ROWS($AG$2:AG179),$AG$2:$AG$1001,0),0)))</f>
        <v>0</v>
      </c>
      <c r="B179" s="4">
        <f>IF(OR(INDEX($AH$2:$AH$1001,MATCH(ROWS($AG$2:AG179),$AG$2:$AG$1001,0),1)&gt;=100000,INDEX($AN$1005:$BO$1005,1,MATCH(COLUMNS($AN$1006:AN1006),$AN$1006:$BO$1006,0))&gt;=100000), " ",IF(INDEX($AN$2:$BO$1001,MATCH(ROWS($AG$2:AG179),$AG$2:$AG$1001,0),MATCH(COLUMNS($AN$1006:AN1006),$AN$1006:$BO$1006,0)), HYPERLINK("#",""), HYPERLINK(CONCATENATE("#Metadata!", ADDRESS(INDEX($AI$2:$AI$1001,MATCH(ROWS($AG$2:AG179),$AG$2:$AG$1001,0),0), INDEX($AN$1004:$BO$1004,1,MATCH(COLUMNS($AN$1006:AN1006),$AN$1006:$BO$1006,0)))),"Fix")))</f>
        <v>0</v>
      </c>
      <c r="C179" s="4">
        <f>IF(OR(INDEX($AH$2:$AH$1001,MATCH(ROWS($AG$2:AG179),$AG$2:$AG$1001,0),1)&gt;=100000,INDEX($AN$1005:$BO$1005,1,MATCH(COLUMNS($AN$1006:AO1006),$AN$1006:$BO$1006,0))&gt;=100000), " ",IF(INDEX($AN$2:$BO$1001,MATCH(ROWS($AG$2:AG179),$AG$2:$AG$1001,0),MATCH(COLUMNS($AN$1006:AO1006),$AN$1006:$BO$1006,0)), HYPERLINK("#",""), HYPERLINK(CONCATENATE("#Metadata!", ADDRESS(INDEX($AI$2:$AI$1001,MATCH(ROWS($AG$2:AG179),$AG$2:$AG$1001,0),0), INDEX($AN$1004:$BO$1004,1,MATCH(COLUMNS($AN$1006:AO1006),$AN$1006:$BO$1006,0)))),"Fix")))</f>
        <v>0</v>
      </c>
      <c r="D179" s="4">
        <f>IF(OR(INDEX($AH$2:$AH$1001,MATCH(ROWS($AG$2:AG179),$AG$2:$AG$1001,0),1)&gt;=100000,INDEX($AN$1005:$BO$1005,1,MATCH(COLUMNS($AN$1006:AP1006),$AN$1006:$BO$1006,0))&gt;=100000), " ",IF(INDEX($AN$2:$BO$1001,MATCH(ROWS($AG$2:AG179),$AG$2:$AG$1001,0),MATCH(COLUMNS($AN$1006:AP1006),$AN$1006:$BO$1006,0)), HYPERLINK("#",""), HYPERLINK(CONCATENATE("#Metadata!", ADDRESS(INDEX($AI$2:$AI$1001,MATCH(ROWS($AG$2:AG179),$AG$2:$AG$1001,0),0), INDEX($AN$1004:$BO$1004,1,MATCH(COLUMNS($AN$1006:AP1006),$AN$1006:$BO$1006,0)))),"Fix")))</f>
        <v>0</v>
      </c>
      <c r="E179" s="4">
        <f>IF(OR(INDEX($AH$2:$AH$1001,MATCH(ROWS($AG$2:AG179),$AG$2:$AG$1001,0),1)&gt;=100000,INDEX($AN$1005:$BO$1005,1,MATCH(COLUMNS($AN$1006:AQ1006),$AN$1006:$BO$1006,0))&gt;=100000), " ",IF(INDEX($AN$2:$BO$1001,MATCH(ROWS($AG$2:AG179),$AG$2:$AG$1001,0),MATCH(COLUMNS($AN$1006:AQ1006),$AN$1006:$BO$1006,0)), HYPERLINK("#",""), HYPERLINK(CONCATENATE("#Metadata!", ADDRESS(INDEX($AI$2:$AI$1001,MATCH(ROWS($AG$2:AG179),$AG$2:$AG$1001,0),0), INDEX($AN$1004:$BO$1004,1,MATCH(COLUMNS($AN$1006:AQ1006),$AN$1006:$BO$1006,0)))),"Fix")))</f>
        <v>0</v>
      </c>
      <c r="F179" s="4">
        <f>IF(OR(INDEX($AH$2:$AH$1001,MATCH(ROWS($AG$2:AG179),$AG$2:$AG$1001,0),1)&gt;=100000,INDEX($AN$1005:$BO$1005,1,MATCH(COLUMNS($AN$1006:AR1006),$AN$1006:$BO$1006,0))&gt;=100000), " ",IF(INDEX($AN$2:$BO$1001,MATCH(ROWS($AG$2:AG179),$AG$2:$AG$1001,0),MATCH(COLUMNS($AN$1006:AR1006),$AN$1006:$BO$1006,0)), HYPERLINK("#",""), HYPERLINK(CONCATENATE("#Metadata!", ADDRESS(INDEX($AI$2:$AI$1001,MATCH(ROWS($AG$2:AG179),$AG$2:$AG$1001,0),0), INDEX($AN$1004:$BO$1004,1,MATCH(COLUMNS($AN$1006:AR1006),$AN$1006:$BO$1006,0)))),"Fix")))</f>
        <v>0</v>
      </c>
      <c r="G179" s="4">
        <f>IF(OR(INDEX($AH$2:$AH$1001,MATCH(ROWS($AG$2:AG179),$AG$2:$AG$1001,0),1)&gt;=100000,INDEX($AN$1005:$BO$1005,1,MATCH(COLUMNS($AN$1006:AS1006),$AN$1006:$BO$1006,0))&gt;=100000), " ",IF(INDEX($AN$2:$BO$1001,MATCH(ROWS($AG$2:AG179),$AG$2:$AG$1001,0),MATCH(COLUMNS($AN$1006:AS1006),$AN$1006:$BO$1006,0)), HYPERLINK("#",""), HYPERLINK(CONCATENATE("#Metadata!", ADDRESS(INDEX($AI$2:$AI$1001,MATCH(ROWS($AG$2:AG179),$AG$2:$AG$1001,0),0), INDEX($AN$1004:$BO$1004,1,MATCH(COLUMNS($AN$1006:AS1006),$AN$1006:$BO$1006,0)))),"Fix")))</f>
        <v>0</v>
      </c>
      <c r="H179" s="4">
        <f>IF(OR(INDEX($AH$2:$AH$1001,MATCH(ROWS($AG$2:AG179),$AG$2:$AG$1001,0),1)&gt;=100000,INDEX($AN$1005:$BO$1005,1,MATCH(COLUMNS($AN$1006:AT1006),$AN$1006:$BO$1006,0))&gt;=100000), " ",IF(INDEX($AN$2:$BO$1001,MATCH(ROWS($AG$2:AG179),$AG$2:$AG$1001,0),MATCH(COLUMNS($AN$1006:AT1006),$AN$1006:$BO$1006,0)), HYPERLINK("#",""), HYPERLINK(CONCATENATE("#Metadata!", ADDRESS(INDEX($AI$2:$AI$1001,MATCH(ROWS($AG$2:AG179),$AG$2:$AG$1001,0),0), INDEX($AN$1004:$BO$1004,1,MATCH(COLUMNS($AN$1006:AT1006),$AN$1006:$BO$1006,0)))),"Fix")))</f>
        <v>0</v>
      </c>
      <c r="I179" s="4">
        <f>IF(OR(INDEX($AH$2:$AH$1001,MATCH(ROWS($AG$2:AG179),$AG$2:$AG$1001,0),1)&gt;=100000,INDEX($AN$1005:$BO$1005,1,MATCH(COLUMNS($AN$1006:AU1006),$AN$1006:$BO$1006,0))&gt;=100000), " ",IF(INDEX($AN$2:$BO$1001,MATCH(ROWS($AG$2:AG179),$AG$2:$AG$1001,0),MATCH(COLUMNS($AN$1006:AU1006),$AN$1006:$BO$1006,0)), HYPERLINK("#",""), HYPERLINK(CONCATENATE("#Metadata!", ADDRESS(INDEX($AI$2:$AI$1001,MATCH(ROWS($AG$2:AG179),$AG$2:$AG$1001,0),0), INDEX($AN$1004:$BO$1004,1,MATCH(COLUMNS($AN$1006:AU1006),$AN$1006:$BO$1006,0)))),"Fix")))</f>
        <v>0</v>
      </c>
      <c r="J179" s="4">
        <f>IF(OR(INDEX($AH$2:$AH$1001,MATCH(ROWS($AG$2:AG179),$AG$2:$AG$1001,0),1)&gt;=100000,INDEX($AN$1005:$BO$1005,1,MATCH(COLUMNS($AN$1006:AV1006),$AN$1006:$BO$1006,0))&gt;=100000), " ",IF(INDEX($AN$2:$BO$1001,MATCH(ROWS($AG$2:AG179),$AG$2:$AG$1001,0),MATCH(COLUMNS($AN$1006:AV1006),$AN$1006:$BO$1006,0)), HYPERLINK("#",""), HYPERLINK(CONCATENATE("#Metadata!", ADDRESS(INDEX($AI$2:$AI$1001,MATCH(ROWS($AG$2:AG179),$AG$2:$AG$1001,0),0), INDEX($AN$1004:$BO$1004,1,MATCH(COLUMNS($AN$1006:AV1006),$AN$1006:$BO$1006,0)))),"Fix")))</f>
        <v>0</v>
      </c>
      <c r="K179" s="4">
        <f>IF(OR(INDEX($AH$2:$AH$1001,MATCH(ROWS($AG$2:AG179),$AG$2:$AG$1001,0),1)&gt;=100000,INDEX($AN$1005:$BO$1005,1,MATCH(COLUMNS($AN$1006:AW1006),$AN$1006:$BO$1006,0))&gt;=100000), " ",IF(INDEX($AN$2:$BO$1001,MATCH(ROWS($AG$2:AG179),$AG$2:$AG$1001,0),MATCH(COLUMNS($AN$1006:AW1006),$AN$1006:$BO$1006,0)), HYPERLINK("#",""), HYPERLINK(CONCATENATE("#Metadata!", ADDRESS(INDEX($AI$2:$AI$1001,MATCH(ROWS($AG$2:AG179),$AG$2:$AG$1001,0),0), INDEX($AN$1004:$BO$1004,1,MATCH(COLUMNS($AN$1006:AW1006),$AN$1006:$BO$1006,0)))),"Fix")))</f>
        <v>0</v>
      </c>
      <c r="L179" s="4">
        <f>IF(OR(INDEX($AH$2:$AH$1001,MATCH(ROWS($AG$2:AG179),$AG$2:$AG$1001,0),1)&gt;=100000,INDEX($AN$1005:$BO$1005,1,MATCH(COLUMNS($AN$1006:AX1006),$AN$1006:$BO$1006,0))&gt;=100000), " ",IF(INDEX($AN$2:$BO$1001,MATCH(ROWS($AG$2:AG179),$AG$2:$AG$1001,0),MATCH(COLUMNS($AN$1006:AX1006),$AN$1006:$BO$1006,0)), HYPERLINK("#",""), HYPERLINK(CONCATENATE("#Metadata!", ADDRESS(INDEX($AI$2:$AI$1001,MATCH(ROWS($AG$2:AG179),$AG$2:$AG$1001,0),0), INDEX($AN$1004:$BO$1004,1,MATCH(COLUMNS($AN$1006:AX1006),$AN$1006:$BO$1006,0)))),"Fix")))</f>
        <v>0</v>
      </c>
      <c r="M179" s="4">
        <f>IF(OR(INDEX($AH$2:$AH$1001,MATCH(ROWS($AG$2:AG179),$AG$2:$AG$1001,0),1)&gt;=100000,INDEX($AN$1005:$BO$1005,1,MATCH(COLUMNS($AN$1006:AY1006),$AN$1006:$BO$1006,0))&gt;=100000), " ",IF(INDEX($AN$2:$BO$1001,MATCH(ROWS($AG$2:AG179),$AG$2:$AG$1001,0),MATCH(COLUMNS($AN$1006:AY1006),$AN$1006:$BO$1006,0)), HYPERLINK("#",""), HYPERLINK(CONCATENATE("#Metadata!", ADDRESS(INDEX($AI$2:$AI$1001,MATCH(ROWS($AG$2:AG179),$AG$2:$AG$1001,0),0), INDEX($AN$1004:$BO$1004,1,MATCH(COLUMNS($AN$1006:AY1006),$AN$1006:$BO$1006,0)))),"Fix")))</f>
        <v>0</v>
      </c>
      <c r="N179" s="4">
        <f>IF(OR(INDEX($AH$2:$AH$1001,MATCH(ROWS($AG$2:AG179),$AG$2:$AG$1001,0),1)&gt;=100000,INDEX($AN$1005:$BO$1005,1,MATCH(COLUMNS($AN$1006:AZ1006),$AN$1006:$BO$1006,0))&gt;=100000), " ",IF(INDEX($AN$2:$BO$1001,MATCH(ROWS($AG$2:AG179),$AG$2:$AG$1001,0),MATCH(COLUMNS($AN$1006:AZ1006),$AN$1006:$BO$1006,0)), HYPERLINK("#",""), HYPERLINK(CONCATENATE("#Metadata!", ADDRESS(INDEX($AI$2:$AI$1001,MATCH(ROWS($AG$2:AG179),$AG$2:$AG$1001,0),0), INDEX($AN$1004:$BO$1004,1,MATCH(COLUMNS($AN$1006:AZ1006),$AN$1006:$BO$1006,0)))),"Fix")))</f>
        <v>0</v>
      </c>
      <c r="O179" s="4">
        <f>IF(OR(INDEX($AH$2:$AH$1001,MATCH(ROWS($AG$2:AG179),$AG$2:$AG$1001,0),1)&gt;=100000,INDEX($AN$1005:$BO$1005,1,MATCH(COLUMNS($AN$1006:BA1006),$AN$1006:$BO$1006,0))&gt;=100000), " ",IF(INDEX($AN$2:$BO$1001,MATCH(ROWS($AG$2:AG179),$AG$2:$AG$1001,0),MATCH(COLUMNS($AN$1006:BA1006),$AN$1006:$BO$1006,0)), HYPERLINK("#",""), HYPERLINK(CONCATENATE("#Metadata!", ADDRESS(INDEX($AI$2:$AI$1001,MATCH(ROWS($AG$2:AG179),$AG$2:$AG$1001,0),0), INDEX($AN$1004:$BO$1004,1,MATCH(COLUMNS($AN$1006:BA1006),$AN$1006:$BO$1006,0)))),"Fix")))</f>
        <v>0</v>
      </c>
      <c r="P179" s="4">
        <f>IF(OR(INDEX($AH$2:$AH$1001,MATCH(ROWS($AG$2:AG179),$AG$2:$AG$1001,0),1)&gt;=100000,INDEX($AN$1005:$BO$1005,1,MATCH(COLUMNS($AN$1006:BB1006),$AN$1006:$BO$1006,0))&gt;=100000), " ",IF(INDEX($AN$2:$BO$1001,MATCH(ROWS($AG$2:AG179),$AG$2:$AG$1001,0),MATCH(COLUMNS($AN$1006:BB1006),$AN$1006:$BO$1006,0)), HYPERLINK("#",""), HYPERLINK(CONCATENATE("#Metadata!", ADDRESS(INDEX($AI$2:$AI$1001,MATCH(ROWS($AG$2:AG179),$AG$2:$AG$1001,0),0), INDEX($AN$1004:$BO$1004,1,MATCH(COLUMNS($AN$1006:BB1006),$AN$1006:$BO$1006,0)))),"Fix")))</f>
        <v>0</v>
      </c>
      <c r="Q179" s="4">
        <f>IF(OR(INDEX($AH$2:$AH$1001,MATCH(ROWS($AG$2:AG179),$AG$2:$AG$1001,0),1)&gt;=100000,INDEX($AN$1005:$BO$1005,1,MATCH(COLUMNS($AN$1006:BC1006),$AN$1006:$BO$1006,0))&gt;=100000), " ",IF(INDEX($AN$2:$BO$1001,MATCH(ROWS($AG$2:AG179),$AG$2:$AG$1001,0),MATCH(COLUMNS($AN$1006:BC1006),$AN$1006:$BO$1006,0)), HYPERLINK("#",""), HYPERLINK(CONCATENATE("#Metadata!", ADDRESS(INDEX($AI$2:$AI$1001,MATCH(ROWS($AG$2:AG179),$AG$2:$AG$1001,0),0), INDEX($AN$1004:$BO$1004,1,MATCH(COLUMNS($AN$1006:BC1006),$AN$1006:$BO$1006,0)))),"Fix")))</f>
        <v>0</v>
      </c>
      <c r="R179" s="4">
        <f>IF(OR(INDEX($AH$2:$AH$1001,MATCH(ROWS($AG$2:AG179),$AG$2:$AG$1001,0),1)&gt;=100000,INDEX($AN$1005:$BO$1005,1,MATCH(COLUMNS($AN$1006:BD1006),$AN$1006:$BO$1006,0))&gt;=100000), " ",IF(INDEX($AN$2:$BO$1001,MATCH(ROWS($AG$2:AG179),$AG$2:$AG$1001,0),MATCH(COLUMNS($AN$1006:BD1006),$AN$1006:$BO$1006,0)), HYPERLINK("#",""), HYPERLINK(CONCATENATE("#Metadata!", ADDRESS(INDEX($AI$2:$AI$1001,MATCH(ROWS($AG$2:AG179),$AG$2:$AG$1001,0),0), INDEX($AN$1004:$BO$1004,1,MATCH(COLUMNS($AN$1006:BD1006),$AN$1006:$BO$1006,0)))),"Fix")))</f>
        <v>0</v>
      </c>
      <c r="S179" s="4">
        <f>IF(OR(INDEX($AH$2:$AH$1001,MATCH(ROWS($AG$2:AG179),$AG$2:$AG$1001,0),1)&gt;=100000,INDEX($AN$1005:$BO$1005,1,MATCH(COLUMNS($AN$1006:BE1006),$AN$1006:$BO$1006,0))&gt;=100000), " ",IF(INDEX($AN$2:$BO$1001,MATCH(ROWS($AG$2:AG179),$AG$2:$AG$1001,0),MATCH(COLUMNS($AN$1006:BE1006),$AN$1006:$BO$1006,0)), HYPERLINK("#",""), HYPERLINK(CONCATENATE("#Metadata!", ADDRESS(INDEX($AI$2:$AI$1001,MATCH(ROWS($AG$2:AG179),$AG$2:$AG$1001,0),0), INDEX($AN$1004:$BO$1004,1,MATCH(COLUMNS($AN$1006:BE1006),$AN$1006:$BO$1006,0)))),"Fix")))</f>
        <v>0</v>
      </c>
      <c r="T179" s="4">
        <f>IF(OR(INDEX($AH$2:$AH$1001,MATCH(ROWS($AG$2:AG179),$AG$2:$AG$1001,0),1)&gt;=100000,INDEX($AN$1005:$BO$1005,1,MATCH(COLUMNS($AN$1006:BF1006),$AN$1006:$BO$1006,0))&gt;=100000), " ",IF(INDEX($AN$2:$BO$1001,MATCH(ROWS($AG$2:AG179),$AG$2:$AG$1001,0),MATCH(COLUMNS($AN$1006:BF1006),$AN$1006:$BO$1006,0)), HYPERLINK("#",""), HYPERLINK(CONCATENATE("#Metadata!", ADDRESS(INDEX($AI$2:$AI$1001,MATCH(ROWS($AG$2:AG179),$AG$2:$AG$1001,0),0), INDEX($AN$1004:$BO$1004,1,MATCH(COLUMNS($AN$1006:BF1006),$AN$1006:$BO$1006,0)))),"Fix")))</f>
        <v>0</v>
      </c>
      <c r="U179" s="4">
        <f>IF(OR(INDEX($AH$2:$AH$1001,MATCH(ROWS($AG$2:AG179),$AG$2:$AG$1001,0),1)&gt;=100000,INDEX($AN$1005:$BO$1005,1,MATCH(COLUMNS($AN$1006:BG1006),$AN$1006:$BO$1006,0))&gt;=100000), " ",IF(INDEX($AN$2:$BO$1001,MATCH(ROWS($AG$2:AG179),$AG$2:$AG$1001,0),MATCH(COLUMNS($AN$1006:BG1006),$AN$1006:$BO$1006,0)), HYPERLINK("#",""), HYPERLINK(CONCATENATE("#Metadata!", ADDRESS(INDEX($AI$2:$AI$1001,MATCH(ROWS($AG$2:AG179),$AG$2:$AG$1001,0),0), INDEX($AN$1004:$BO$1004,1,MATCH(COLUMNS($AN$1006:BG1006),$AN$1006:$BO$1006,0)))),"Fix")))</f>
        <v>0</v>
      </c>
      <c r="V179" s="4">
        <f>IF(OR(INDEX($AH$2:$AH$1001,MATCH(ROWS($AG$2:AG179),$AG$2:$AG$1001,0),1)&gt;=100000,INDEX($AN$1005:$BO$1005,1,MATCH(COLUMNS($AN$1006:BH1006),$AN$1006:$BO$1006,0))&gt;=100000), " ",IF(INDEX($AN$2:$BO$1001,MATCH(ROWS($AG$2:AG179),$AG$2:$AG$1001,0),MATCH(COLUMNS($AN$1006:BH1006),$AN$1006:$BO$1006,0)), HYPERLINK("#",""), HYPERLINK(CONCATENATE("#Metadata!", ADDRESS(INDEX($AI$2:$AI$1001,MATCH(ROWS($AG$2:AG179),$AG$2:$AG$1001,0),0), INDEX($AN$1004:$BO$1004,1,MATCH(COLUMNS($AN$1006:BH1006),$AN$1006:$BO$1006,0)))),"Fix")))</f>
        <v>0</v>
      </c>
      <c r="W179" s="4">
        <f>IF(OR(INDEX($AH$2:$AH$1001,MATCH(ROWS($AG$2:AG179),$AG$2:$AG$1001,0),1)&gt;=100000,INDEX($AN$1005:$BO$1005,1,MATCH(COLUMNS($AN$1006:BI1006),$AN$1006:$BO$1006,0))&gt;=100000), " ",IF(INDEX($AN$2:$BO$1001,MATCH(ROWS($AG$2:AG179),$AG$2:$AG$1001,0),MATCH(COLUMNS($AN$1006:BI1006),$AN$1006:$BO$1006,0)), HYPERLINK("#",""), HYPERLINK(CONCATENATE("#Metadata!", ADDRESS(INDEX($AI$2:$AI$1001,MATCH(ROWS($AG$2:AG179),$AG$2:$AG$1001,0),0), INDEX($AN$1004:$BO$1004,1,MATCH(COLUMNS($AN$1006:BI1006),$AN$1006:$BO$1006,0)))),"Fix")))</f>
        <v>0</v>
      </c>
      <c r="X179" s="4">
        <f>IF(OR(INDEX($AH$2:$AH$1001,MATCH(ROWS($AG$2:AG179),$AG$2:$AG$1001,0),1)&gt;=100000,INDEX($AN$1005:$BO$1005,1,MATCH(COLUMNS($AN$1006:BJ1006),$AN$1006:$BO$1006,0))&gt;=100000), " ",IF(INDEX($AN$2:$BO$1001,MATCH(ROWS($AG$2:AG179),$AG$2:$AG$1001,0),MATCH(COLUMNS($AN$1006:BJ1006),$AN$1006:$BO$1006,0)), HYPERLINK("#",""), HYPERLINK(CONCATENATE("#Metadata!", ADDRESS(INDEX($AI$2:$AI$1001,MATCH(ROWS($AG$2:AG179),$AG$2:$AG$1001,0),0), INDEX($AN$1004:$BO$1004,1,MATCH(COLUMNS($AN$1006:BJ1006),$AN$1006:$BO$1006,0)))),"Fix")))</f>
        <v>0</v>
      </c>
      <c r="Y179" s="4">
        <f>IF(OR(INDEX($AH$2:$AH$1001,MATCH(ROWS($AG$2:AG179),$AG$2:$AG$1001,0),1)&gt;=100000,INDEX($AN$1005:$BO$1005,1,MATCH(COLUMNS($AN$1006:BK1006),$AN$1006:$BO$1006,0))&gt;=100000), " ",IF(INDEX($AN$2:$BO$1001,MATCH(ROWS($AG$2:AG179),$AG$2:$AG$1001,0),MATCH(COLUMNS($AN$1006:BK1006),$AN$1006:$BO$1006,0)), HYPERLINK("#",""), HYPERLINK(CONCATENATE("#Metadata!", ADDRESS(INDEX($AI$2:$AI$1001,MATCH(ROWS($AG$2:AG179),$AG$2:$AG$1001,0),0), INDEX($AN$1004:$BO$1004,1,MATCH(COLUMNS($AN$1006:BK1006),$AN$1006:$BO$1006,0)))),"Fix")))</f>
        <v>0</v>
      </c>
      <c r="Z179" s="4">
        <f>IF(OR(INDEX($AH$2:$AH$1001,MATCH(ROWS($AG$2:AG179),$AG$2:$AG$1001,0),1)&gt;=100000,INDEX($AN$1005:$BO$1005,1,MATCH(COLUMNS($AN$1006:BL1006),$AN$1006:$BO$1006,0))&gt;=100000), " ",IF(INDEX($AN$2:$BO$1001,MATCH(ROWS($AG$2:AG179),$AG$2:$AG$1001,0),MATCH(COLUMNS($AN$1006:BL1006),$AN$1006:$BO$1006,0)), HYPERLINK("#",""), HYPERLINK(CONCATENATE("#Metadata!", ADDRESS(INDEX($AI$2:$AI$1001,MATCH(ROWS($AG$2:AG179),$AG$2:$AG$1001,0),0), INDEX($AN$1004:$BO$1004,1,MATCH(COLUMNS($AN$1006:BL1006),$AN$1006:$BO$1006,0)))),"Fix")))</f>
        <v>0</v>
      </c>
      <c r="AA179" s="4">
        <f>IF(OR(INDEX($AH$2:$AH$1001,MATCH(ROWS($AG$2:AG179),$AG$2:$AG$1001,0),1)&gt;=100000,INDEX($AN$1005:$BO$1005,1,MATCH(COLUMNS($AN$1006:BM1006),$AN$1006:$BO$1006,0))&gt;=100000), " ",IF(INDEX($AN$2:$BO$1001,MATCH(ROWS($AG$2:AG179),$AG$2:$AG$1001,0),MATCH(COLUMNS($AN$1006:BM1006),$AN$1006:$BO$1006,0)), HYPERLINK("#",""), HYPERLINK(CONCATENATE("#Metadata!", ADDRESS(INDEX($AI$2:$AI$1001,MATCH(ROWS($AG$2:AG179),$AG$2:$AG$1001,0),0), INDEX($AN$1004:$BO$1004,1,MATCH(COLUMNS($AN$1006:BM1006),$AN$1006:$BO$1006,0)))),"Fix")))</f>
        <v>0</v>
      </c>
      <c r="AB179" s="4">
        <f>IF(OR(INDEX($AH$2:$AH$1001,MATCH(ROWS($AG$2:AG179),$AG$2:$AG$1001,0),1)&gt;=100000,INDEX($AN$1005:$BO$1005,1,MATCH(COLUMNS($AN$1006:BN1006),$AN$1006:$BO$1006,0))&gt;=100000), " ",IF(INDEX($AN$2:$BO$1001,MATCH(ROWS($AG$2:AG179),$AG$2:$AG$1001,0),MATCH(COLUMNS($AN$1006:BN1006),$AN$1006:$BO$1006,0)), HYPERLINK("#",""), HYPERLINK(CONCATENATE("#Metadata!", ADDRESS(INDEX($AI$2:$AI$1001,MATCH(ROWS($AG$2:AG179),$AG$2:$AG$1001,0),0), INDEX($AN$1004:$BO$1004,1,MATCH(COLUMNS($AN$1006:BN1006),$AN$1006:$BO$1006,0)))),"Fix")))</f>
        <v>0</v>
      </c>
      <c r="AC179" s="4">
        <f>IF(OR(INDEX($AH$2:$AH$1001,MATCH(ROWS($AG$2:AG179),$AG$2:$AG$1001,0),1)&gt;=100000,INDEX($AN$1005:$BO$1005,1,MATCH(COLUMNS($AN$1006:BO1006),$AN$1006:$BO$1006,0))&gt;=100000), " ",IF(INDEX($AN$2:$BO$1001,MATCH(ROWS($AG$2:AG179),$AG$2:$AG$1001,0),MATCH(COLUMNS($AN$1006:BO1006),$AN$1006:$BO$1006,0)), HYPERLINK("#",""), HYPERLINK(CONCATENATE("#Metadata!", ADDRESS(INDEX($AI$2:$AI$1001,MATCH(ROWS($AG$2:AG179),$AG$2:$AG$1001,0),0), INDEX($AN$1004:$BO$1004,1,MATCH(COLUMNS($AN$1006:BO1006),$AN$1006:$BO$1006,0)))),"Fix")))</f>
        <v>0</v>
      </c>
      <c r="AG179">
        <v>0</v>
      </c>
      <c r="AH179">
        <v>0</v>
      </c>
      <c r="AI179">
        <v>0</v>
      </c>
      <c r="AJ179">
        <f>IF(AK179,TRUE,AND(AN179:BO179))</f>
        <v>0</v>
      </c>
      <c r="AK179">
        <f>COUNTBLANK(Metadata!B179:AC179)=COLUMNS(Metadata!B179:AC179)</f>
        <v>0</v>
      </c>
      <c r="AL179">
        <v>0</v>
      </c>
      <c r="AN179">
        <f>AND(IF(Metadata!B179="",FALSE,TRUE),COUNTIF(Metadata!B:B, Metadata!B179) = 1,NOT(ISERROR(SUMPRODUCT(SEARCH(MID(Metadata!B179,ROW(INDIRECT("1:"&amp;LEN(Metadata!B179))), 1),"0123456789abcdefghijklmnopqrstuvwxyzABCDEFGHIJKLMNOPQRSTUVWXYZ.")))))</f>
        <v>0</v>
      </c>
      <c r="AO179">
        <f>IF(Metadata!C179="",FALSE,TRUE)</f>
        <v>0</v>
      </c>
      <c r="AP179">
        <f>IF(Metadata!D179="",FALSE,TRUE)</f>
        <v>0</v>
      </c>
      <c r="AQ179">
        <f>OR(AND(IF(Metadata!E179="",FALSE,TRUE),OR(exact(Metadata!E179,"not collected"),exact(Metadata!E179,"not provided"),exact(Metadata!E179,"restricted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R179">
        <f>IF(Metadata!F179="",FALSE,TRUE)</f>
        <v>0</v>
      </c>
      <c r="AS179">
        <f>OR(AND(IF(Metadata!G179="",FALSE,TRUE),OR(exact(Metadata!G179,"not collected"),exact(Metadata!G179,"not provided"))),AND(IF(Metadata!G179="",FALSE,TRUE),OR(exact(Metadata!G179,"TRUE"),exact(Metadata!G179,"FALSE"))))</f>
        <v>0</v>
      </c>
      <c r="AT179">
        <f>OR(AND(IF(Metadata!H179="",FALSE,TRUE),OR(exact(Metadata!H179,"not collected"),exact(Metadata!H179,"not provided"),exact(Metadata!H179,"restricted access"))),AND(IF(Metadata!H179="",FALSE,ISNUMBER(VALUE(Metadata!H179))),Metadata!H179&gt;=-413.0))</f>
        <v>0</v>
      </c>
      <c r="AU179">
        <f>AND(IF(Metadata!I179="",FALSE,TRUE),exact(Metadata!I179,"meters"))</f>
        <v>0</v>
      </c>
      <c r="AV179">
        <f>AND(IF(Metadata!J179="",FALSE,TRUE),OR(exact(Metadata!J179,"Host-associated"),exact(Metadata!J179,"Free-living")))</f>
        <v>0</v>
      </c>
      <c r="AW179">
        <f>AND(IF(Metadata!K179="",FALSE,TRUE),OR(exact(Metadata!K179,"Animal"),exact(Metadata!K179,"Fungus"),exact(Metadata!K179,"Plant"),exact(Metadata!K179,"Saline"),exact(Metadata!K179,"Non-saline")))</f>
        <v>0</v>
      </c>
      <c r="AX179">
        <f>AND(IF(Metadata!L179="",FALSE,TRUE),OR(exact(Metadata!L179,"Plant secretion"),exact(Metadata!L179,"Plant rhizosphere"),exact(Metadata!L179,"Plant surface"),exact(Metadata!L179,"Plant corpus"),exact(Metadata!L179,"Fungus surface"),exact(Metadata!L179,"Fungus corpus"),exact(Metadata!L179,"Animal surface"),exact(Metadata!L179,"Animal proximal gut"),exact(Metadata!L179,"Animal corpus"),exact(Metadata!L179,"Animal distal gut"),exact(Metadata!L179,"Animal secretion"),exact(Metadata!L179,"Sub-surface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Y179">
        <f>IF(Metadata!M179="",FALSE,TRUE)</f>
        <v>0</v>
      </c>
      <c r="AZ179">
        <f>IF(Metadata!N179="",FALSE,TRUE)</f>
        <v>0</v>
      </c>
      <c r="BA179">
        <f>IF(Metadata!O179="",FALSE,TRUE)</f>
        <v>0</v>
      </c>
      <c r="BB179">
        <f>OR(AND(IF(Metadata!P179="",FALSE,TRUE),OR(exact(Metadata!P179,"not collected"),exact(Metadata!P179,"not provided"),exact(Metadata!P179,"restricted access"))),AND(IF(Metadata!P179="",FALSE,TRUE),OR(exact(Metadata!P179,"air"),exact(Metadata!P179,"built environment"),exact(Metadata!P179,"host-associated"),exact(Metadata!P179,"human-associated"),exact(Metadata!P179,"human-skin"),exact(Metadata!P179,"human-oral"),exact(Metadata!P179,"human-gut"),exact(Metadata!P179,"human-vaginal"),exact(Metadata!P179,"microbial mat/biofilm"),exact(Metadata!P179,"misc environment"),exact(Metadata!P179,"plant-associated"),exact(Metadata!P179,"sediment"),exact(Metadata!P179,"soil"),exact(Metadata!P179,"wastewater/sludge"),exact(Metadata!P179,"water"))))</f>
        <v>0</v>
      </c>
      <c r="BC179">
        <f>IF(Metadata!Q179="",FALSE,TRUE)</f>
        <v>0</v>
      </c>
      <c r="BD179">
        <f>IF(Metadata!R179="",FALSE,TRUE)</f>
        <v>0</v>
      </c>
      <c r="BE179">
        <f>OR(AND(IF(Metadata!S179="",FALSE,TRUE),OR(exact(Metadata!S179,"not collected"),exact(Metadata!S179,"not provided"),exact(Metadata!S179,"restricted access"))),AND(IF(Metadata!S179="",FALSE,ISNUMBER(VALUE(Metadata!S179))),Metadata!S179&gt;=-90.00,Metadata!S179&lt;=90.00))</f>
        <v>0</v>
      </c>
      <c r="BF179">
        <f>AND(IF(Metadata!T179="",FALSE,TRUE),exact(Metadata!T179,"Decimal degrees"))</f>
        <v>0</v>
      </c>
      <c r="BG179">
        <f>OR(AND(IF(Metadata!U179="",FALSE,TRUE),OR(exact(Metadata!U179,"not collected"),exact(Metadata!U179,"not provided"),exact(Metadata!U179,"restricted access"))),AND(IF(Metadata!U179="",FALSE,ISNUMBER(VALUE(Metadata!U179))),Metadata!U179&gt;=-180.00,Metadata!U179&lt;=180.00))</f>
        <v>0</v>
      </c>
      <c r="BH179">
        <f>AND(IF(Metadata!V179="",FALSE,TRUE),exact(Metadata!V179,"Decimal degrees"))</f>
        <v>0</v>
      </c>
      <c r="BI179">
        <f>IF(Metadata!W179="",FALSE,TRUE)</f>
        <v>0</v>
      </c>
      <c r="BJ179">
        <f>OR(AND(IF(Metadata!X179="",FALSE,TRUE),OR(exact(Metadata!X179,"not collected"),exact(Metadata!X179,"not provided"),exact(Metadata!X179,"restricted access"))),AND(IF(Metadata!X179="",FALSE,TRUE),OR(exact(Metadata!X179,"TRUE"),exact(Metadata!X179,"FALSE"))))</f>
        <v>0</v>
      </c>
      <c r="BK179">
        <f>AND(IF(Metadata!Y179="",FALSE,TRUE),exact(Metadata!Y179,"other"))</f>
        <v>0</v>
      </c>
      <c r="BL179">
        <f>IF(Metadata!Z179="",FALSE,TRUE)</f>
        <v>0</v>
      </c>
      <c r="BM179">
        <f>OR(AND(IF(Metadata!AA179="",FALSE,TRUE),OR(exact(Metadata!AA179,"not collected"),exact(Metadata!AA179,"not provided"))),AND(IF(Metadata!AA179="",FALSE,IF(ISERROR(INT(Metadata!AA179)),FALSE,INT(Metadata!AA179)=Metadata!AA179)),Metadata!AA179&gt;0))</f>
        <v>0</v>
      </c>
      <c r="BN179">
        <f>AND(IF(Metadata!AB179="",FALSE,TRUE),exact(Metadata!AB179,"Not applicable"))</f>
        <v>0</v>
      </c>
      <c r="BO179">
        <f>IF(Metadata!AC179="",FALSE,TRUE)</f>
        <v>0</v>
      </c>
    </row>
    <row r="180" spans="1:67">
      <c r="A180" s="5">
        <f>IF(B180=" "," ",HYPERLINK(CONCATENATE("#metadata!",ADDRESS(INDEX($AI$2:$AI$1001,MATCH(ROWS($AG$2:AG180),$AG$2:$AG$1001,0),0),1)),INDEX($AL$2:$AL$1001,MATCH(ROWS($AG$2:AG180),$AG$2:$AG$1001,0),0)))</f>
        <v>0</v>
      </c>
      <c r="B180" s="4">
        <f>IF(OR(INDEX($AH$2:$AH$1001,MATCH(ROWS($AG$2:AG180),$AG$2:$AG$1001,0),1)&gt;=100000,INDEX($AN$1005:$BO$1005,1,MATCH(COLUMNS($AN$1006:AN1006),$AN$1006:$BO$1006,0))&gt;=100000), " ",IF(INDEX($AN$2:$BO$1001,MATCH(ROWS($AG$2:AG180),$AG$2:$AG$1001,0),MATCH(COLUMNS($AN$1006:AN1006),$AN$1006:$BO$1006,0)), HYPERLINK("#",""), HYPERLINK(CONCATENATE("#Metadata!", ADDRESS(INDEX($AI$2:$AI$1001,MATCH(ROWS($AG$2:AG180),$AG$2:$AG$1001,0),0), INDEX($AN$1004:$BO$1004,1,MATCH(COLUMNS($AN$1006:AN1006),$AN$1006:$BO$1006,0)))),"Fix")))</f>
        <v>0</v>
      </c>
      <c r="C180" s="4">
        <f>IF(OR(INDEX($AH$2:$AH$1001,MATCH(ROWS($AG$2:AG180),$AG$2:$AG$1001,0),1)&gt;=100000,INDEX($AN$1005:$BO$1005,1,MATCH(COLUMNS($AN$1006:AO1006),$AN$1006:$BO$1006,0))&gt;=100000), " ",IF(INDEX($AN$2:$BO$1001,MATCH(ROWS($AG$2:AG180),$AG$2:$AG$1001,0),MATCH(COLUMNS($AN$1006:AO1006),$AN$1006:$BO$1006,0)), HYPERLINK("#",""), HYPERLINK(CONCATENATE("#Metadata!", ADDRESS(INDEX($AI$2:$AI$1001,MATCH(ROWS($AG$2:AG180),$AG$2:$AG$1001,0),0), INDEX($AN$1004:$BO$1004,1,MATCH(COLUMNS($AN$1006:AO1006),$AN$1006:$BO$1006,0)))),"Fix")))</f>
        <v>0</v>
      </c>
      <c r="D180" s="4">
        <f>IF(OR(INDEX($AH$2:$AH$1001,MATCH(ROWS($AG$2:AG180),$AG$2:$AG$1001,0),1)&gt;=100000,INDEX($AN$1005:$BO$1005,1,MATCH(COLUMNS($AN$1006:AP1006),$AN$1006:$BO$1006,0))&gt;=100000), " ",IF(INDEX($AN$2:$BO$1001,MATCH(ROWS($AG$2:AG180),$AG$2:$AG$1001,0),MATCH(COLUMNS($AN$1006:AP1006),$AN$1006:$BO$1006,0)), HYPERLINK("#",""), HYPERLINK(CONCATENATE("#Metadata!", ADDRESS(INDEX($AI$2:$AI$1001,MATCH(ROWS($AG$2:AG180),$AG$2:$AG$1001,0),0), INDEX($AN$1004:$BO$1004,1,MATCH(COLUMNS($AN$1006:AP1006),$AN$1006:$BO$1006,0)))),"Fix")))</f>
        <v>0</v>
      </c>
      <c r="E180" s="4">
        <f>IF(OR(INDEX($AH$2:$AH$1001,MATCH(ROWS($AG$2:AG180),$AG$2:$AG$1001,0),1)&gt;=100000,INDEX($AN$1005:$BO$1005,1,MATCH(COLUMNS($AN$1006:AQ1006),$AN$1006:$BO$1006,0))&gt;=100000), " ",IF(INDEX($AN$2:$BO$1001,MATCH(ROWS($AG$2:AG180),$AG$2:$AG$1001,0),MATCH(COLUMNS($AN$1006:AQ1006),$AN$1006:$BO$1006,0)), HYPERLINK("#",""), HYPERLINK(CONCATENATE("#Metadata!", ADDRESS(INDEX($AI$2:$AI$1001,MATCH(ROWS($AG$2:AG180),$AG$2:$AG$1001,0),0), INDEX($AN$1004:$BO$1004,1,MATCH(COLUMNS($AN$1006:AQ1006),$AN$1006:$BO$1006,0)))),"Fix")))</f>
        <v>0</v>
      </c>
      <c r="F180" s="4">
        <f>IF(OR(INDEX($AH$2:$AH$1001,MATCH(ROWS($AG$2:AG180),$AG$2:$AG$1001,0),1)&gt;=100000,INDEX($AN$1005:$BO$1005,1,MATCH(COLUMNS($AN$1006:AR1006),$AN$1006:$BO$1006,0))&gt;=100000), " ",IF(INDEX($AN$2:$BO$1001,MATCH(ROWS($AG$2:AG180),$AG$2:$AG$1001,0),MATCH(COLUMNS($AN$1006:AR1006),$AN$1006:$BO$1006,0)), HYPERLINK("#",""), HYPERLINK(CONCATENATE("#Metadata!", ADDRESS(INDEX($AI$2:$AI$1001,MATCH(ROWS($AG$2:AG180),$AG$2:$AG$1001,0),0), INDEX($AN$1004:$BO$1004,1,MATCH(COLUMNS($AN$1006:AR1006),$AN$1006:$BO$1006,0)))),"Fix")))</f>
        <v>0</v>
      </c>
      <c r="G180" s="4">
        <f>IF(OR(INDEX($AH$2:$AH$1001,MATCH(ROWS($AG$2:AG180),$AG$2:$AG$1001,0),1)&gt;=100000,INDEX($AN$1005:$BO$1005,1,MATCH(COLUMNS($AN$1006:AS1006),$AN$1006:$BO$1006,0))&gt;=100000), " ",IF(INDEX($AN$2:$BO$1001,MATCH(ROWS($AG$2:AG180),$AG$2:$AG$1001,0),MATCH(COLUMNS($AN$1006:AS1006),$AN$1006:$BO$1006,0)), HYPERLINK("#",""), HYPERLINK(CONCATENATE("#Metadata!", ADDRESS(INDEX($AI$2:$AI$1001,MATCH(ROWS($AG$2:AG180),$AG$2:$AG$1001,0),0), INDEX($AN$1004:$BO$1004,1,MATCH(COLUMNS($AN$1006:AS1006),$AN$1006:$BO$1006,0)))),"Fix")))</f>
        <v>0</v>
      </c>
      <c r="H180" s="4">
        <f>IF(OR(INDEX($AH$2:$AH$1001,MATCH(ROWS($AG$2:AG180),$AG$2:$AG$1001,0),1)&gt;=100000,INDEX($AN$1005:$BO$1005,1,MATCH(COLUMNS($AN$1006:AT1006),$AN$1006:$BO$1006,0))&gt;=100000), " ",IF(INDEX($AN$2:$BO$1001,MATCH(ROWS($AG$2:AG180),$AG$2:$AG$1001,0),MATCH(COLUMNS($AN$1006:AT1006),$AN$1006:$BO$1006,0)), HYPERLINK("#",""), HYPERLINK(CONCATENATE("#Metadata!", ADDRESS(INDEX($AI$2:$AI$1001,MATCH(ROWS($AG$2:AG180),$AG$2:$AG$1001,0),0), INDEX($AN$1004:$BO$1004,1,MATCH(COLUMNS($AN$1006:AT1006),$AN$1006:$BO$1006,0)))),"Fix")))</f>
        <v>0</v>
      </c>
      <c r="I180" s="4">
        <f>IF(OR(INDEX($AH$2:$AH$1001,MATCH(ROWS($AG$2:AG180),$AG$2:$AG$1001,0),1)&gt;=100000,INDEX($AN$1005:$BO$1005,1,MATCH(COLUMNS($AN$1006:AU1006),$AN$1006:$BO$1006,0))&gt;=100000), " ",IF(INDEX($AN$2:$BO$1001,MATCH(ROWS($AG$2:AG180),$AG$2:$AG$1001,0),MATCH(COLUMNS($AN$1006:AU1006),$AN$1006:$BO$1006,0)), HYPERLINK("#",""), HYPERLINK(CONCATENATE("#Metadata!", ADDRESS(INDEX($AI$2:$AI$1001,MATCH(ROWS($AG$2:AG180),$AG$2:$AG$1001,0),0), INDEX($AN$1004:$BO$1004,1,MATCH(COLUMNS($AN$1006:AU1006),$AN$1006:$BO$1006,0)))),"Fix")))</f>
        <v>0</v>
      </c>
      <c r="J180" s="4">
        <f>IF(OR(INDEX($AH$2:$AH$1001,MATCH(ROWS($AG$2:AG180),$AG$2:$AG$1001,0),1)&gt;=100000,INDEX($AN$1005:$BO$1005,1,MATCH(COLUMNS($AN$1006:AV1006),$AN$1006:$BO$1006,0))&gt;=100000), " ",IF(INDEX($AN$2:$BO$1001,MATCH(ROWS($AG$2:AG180),$AG$2:$AG$1001,0),MATCH(COLUMNS($AN$1006:AV1006),$AN$1006:$BO$1006,0)), HYPERLINK("#",""), HYPERLINK(CONCATENATE("#Metadata!", ADDRESS(INDEX($AI$2:$AI$1001,MATCH(ROWS($AG$2:AG180),$AG$2:$AG$1001,0),0), INDEX($AN$1004:$BO$1004,1,MATCH(COLUMNS($AN$1006:AV1006),$AN$1006:$BO$1006,0)))),"Fix")))</f>
        <v>0</v>
      </c>
      <c r="K180" s="4">
        <f>IF(OR(INDEX($AH$2:$AH$1001,MATCH(ROWS($AG$2:AG180),$AG$2:$AG$1001,0),1)&gt;=100000,INDEX($AN$1005:$BO$1005,1,MATCH(COLUMNS($AN$1006:AW1006),$AN$1006:$BO$1006,0))&gt;=100000), " ",IF(INDEX($AN$2:$BO$1001,MATCH(ROWS($AG$2:AG180),$AG$2:$AG$1001,0),MATCH(COLUMNS($AN$1006:AW1006),$AN$1006:$BO$1006,0)), HYPERLINK("#",""), HYPERLINK(CONCATENATE("#Metadata!", ADDRESS(INDEX($AI$2:$AI$1001,MATCH(ROWS($AG$2:AG180),$AG$2:$AG$1001,0),0), INDEX($AN$1004:$BO$1004,1,MATCH(COLUMNS($AN$1006:AW1006),$AN$1006:$BO$1006,0)))),"Fix")))</f>
        <v>0</v>
      </c>
      <c r="L180" s="4">
        <f>IF(OR(INDEX($AH$2:$AH$1001,MATCH(ROWS($AG$2:AG180),$AG$2:$AG$1001,0),1)&gt;=100000,INDEX($AN$1005:$BO$1005,1,MATCH(COLUMNS($AN$1006:AX1006),$AN$1006:$BO$1006,0))&gt;=100000), " ",IF(INDEX($AN$2:$BO$1001,MATCH(ROWS($AG$2:AG180),$AG$2:$AG$1001,0),MATCH(COLUMNS($AN$1006:AX1006),$AN$1006:$BO$1006,0)), HYPERLINK("#",""), HYPERLINK(CONCATENATE("#Metadata!", ADDRESS(INDEX($AI$2:$AI$1001,MATCH(ROWS($AG$2:AG180),$AG$2:$AG$1001,0),0), INDEX($AN$1004:$BO$1004,1,MATCH(COLUMNS($AN$1006:AX1006),$AN$1006:$BO$1006,0)))),"Fix")))</f>
        <v>0</v>
      </c>
      <c r="M180" s="4">
        <f>IF(OR(INDEX($AH$2:$AH$1001,MATCH(ROWS($AG$2:AG180),$AG$2:$AG$1001,0),1)&gt;=100000,INDEX($AN$1005:$BO$1005,1,MATCH(COLUMNS($AN$1006:AY1006),$AN$1006:$BO$1006,0))&gt;=100000), " ",IF(INDEX($AN$2:$BO$1001,MATCH(ROWS($AG$2:AG180),$AG$2:$AG$1001,0),MATCH(COLUMNS($AN$1006:AY1006),$AN$1006:$BO$1006,0)), HYPERLINK("#",""), HYPERLINK(CONCATENATE("#Metadata!", ADDRESS(INDEX($AI$2:$AI$1001,MATCH(ROWS($AG$2:AG180),$AG$2:$AG$1001,0),0), INDEX($AN$1004:$BO$1004,1,MATCH(COLUMNS($AN$1006:AY1006),$AN$1006:$BO$1006,0)))),"Fix")))</f>
        <v>0</v>
      </c>
      <c r="N180" s="4">
        <f>IF(OR(INDEX($AH$2:$AH$1001,MATCH(ROWS($AG$2:AG180),$AG$2:$AG$1001,0),1)&gt;=100000,INDEX($AN$1005:$BO$1005,1,MATCH(COLUMNS($AN$1006:AZ1006),$AN$1006:$BO$1006,0))&gt;=100000), " ",IF(INDEX($AN$2:$BO$1001,MATCH(ROWS($AG$2:AG180),$AG$2:$AG$1001,0),MATCH(COLUMNS($AN$1006:AZ1006),$AN$1006:$BO$1006,0)), HYPERLINK("#",""), HYPERLINK(CONCATENATE("#Metadata!", ADDRESS(INDEX($AI$2:$AI$1001,MATCH(ROWS($AG$2:AG180),$AG$2:$AG$1001,0),0), INDEX($AN$1004:$BO$1004,1,MATCH(COLUMNS($AN$1006:AZ1006),$AN$1006:$BO$1006,0)))),"Fix")))</f>
        <v>0</v>
      </c>
      <c r="O180" s="4">
        <f>IF(OR(INDEX($AH$2:$AH$1001,MATCH(ROWS($AG$2:AG180),$AG$2:$AG$1001,0),1)&gt;=100000,INDEX($AN$1005:$BO$1005,1,MATCH(COLUMNS($AN$1006:BA1006),$AN$1006:$BO$1006,0))&gt;=100000), " ",IF(INDEX($AN$2:$BO$1001,MATCH(ROWS($AG$2:AG180),$AG$2:$AG$1001,0),MATCH(COLUMNS($AN$1006:BA1006),$AN$1006:$BO$1006,0)), HYPERLINK("#",""), HYPERLINK(CONCATENATE("#Metadata!", ADDRESS(INDEX($AI$2:$AI$1001,MATCH(ROWS($AG$2:AG180),$AG$2:$AG$1001,0),0), INDEX($AN$1004:$BO$1004,1,MATCH(COLUMNS($AN$1006:BA1006),$AN$1006:$BO$1006,0)))),"Fix")))</f>
        <v>0</v>
      </c>
      <c r="P180" s="4">
        <f>IF(OR(INDEX($AH$2:$AH$1001,MATCH(ROWS($AG$2:AG180),$AG$2:$AG$1001,0),1)&gt;=100000,INDEX($AN$1005:$BO$1005,1,MATCH(COLUMNS($AN$1006:BB1006),$AN$1006:$BO$1006,0))&gt;=100000), " ",IF(INDEX($AN$2:$BO$1001,MATCH(ROWS($AG$2:AG180),$AG$2:$AG$1001,0),MATCH(COLUMNS($AN$1006:BB1006),$AN$1006:$BO$1006,0)), HYPERLINK("#",""), HYPERLINK(CONCATENATE("#Metadata!", ADDRESS(INDEX($AI$2:$AI$1001,MATCH(ROWS($AG$2:AG180),$AG$2:$AG$1001,0),0), INDEX($AN$1004:$BO$1004,1,MATCH(COLUMNS($AN$1006:BB1006),$AN$1006:$BO$1006,0)))),"Fix")))</f>
        <v>0</v>
      </c>
      <c r="Q180" s="4">
        <f>IF(OR(INDEX($AH$2:$AH$1001,MATCH(ROWS($AG$2:AG180),$AG$2:$AG$1001,0),1)&gt;=100000,INDEX($AN$1005:$BO$1005,1,MATCH(COLUMNS($AN$1006:BC1006),$AN$1006:$BO$1006,0))&gt;=100000), " ",IF(INDEX($AN$2:$BO$1001,MATCH(ROWS($AG$2:AG180),$AG$2:$AG$1001,0),MATCH(COLUMNS($AN$1006:BC1006),$AN$1006:$BO$1006,0)), HYPERLINK("#",""), HYPERLINK(CONCATENATE("#Metadata!", ADDRESS(INDEX($AI$2:$AI$1001,MATCH(ROWS($AG$2:AG180),$AG$2:$AG$1001,0),0), INDEX($AN$1004:$BO$1004,1,MATCH(COLUMNS($AN$1006:BC1006),$AN$1006:$BO$1006,0)))),"Fix")))</f>
        <v>0</v>
      </c>
      <c r="R180" s="4">
        <f>IF(OR(INDEX($AH$2:$AH$1001,MATCH(ROWS($AG$2:AG180),$AG$2:$AG$1001,0),1)&gt;=100000,INDEX($AN$1005:$BO$1005,1,MATCH(COLUMNS($AN$1006:BD1006),$AN$1006:$BO$1006,0))&gt;=100000), " ",IF(INDEX($AN$2:$BO$1001,MATCH(ROWS($AG$2:AG180),$AG$2:$AG$1001,0),MATCH(COLUMNS($AN$1006:BD1006),$AN$1006:$BO$1006,0)), HYPERLINK("#",""), HYPERLINK(CONCATENATE("#Metadata!", ADDRESS(INDEX($AI$2:$AI$1001,MATCH(ROWS($AG$2:AG180),$AG$2:$AG$1001,0),0), INDEX($AN$1004:$BO$1004,1,MATCH(COLUMNS($AN$1006:BD1006),$AN$1006:$BO$1006,0)))),"Fix")))</f>
        <v>0</v>
      </c>
      <c r="S180" s="4">
        <f>IF(OR(INDEX($AH$2:$AH$1001,MATCH(ROWS($AG$2:AG180),$AG$2:$AG$1001,0),1)&gt;=100000,INDEX($AN$1005:$BO$1005,1,MATCH(COLUMNS($AN$1006:BE1006),$AN$1006:$BO$1006,0))&gt;=100000), " ",IF(INDEX($AN$2:$BO$1001,MATCH(ROWS($AG$2:AG180),$AG$2:$AG$1001,0),MATCH(COLUMNS($AN$1006:BE1006),$AN$1006:$BO$1006,0)), HYPERLINK("#",""), HYPERLINK(CONCATENATE("#Metadata!", ADDRESS(INDEX($AI$2:$AI$1001,MATCH(ROWS($AG$2:AG180),$AG$2:$AG$1001,0),0), INDEX($AN$1004:$BO$1004,1,MATCH(COLUMNS($AN$1006:BE1006),$AN$1006:$BO$1006,0)))),"Fix")))</f>
        <v>0</v>
      </c>
      <c r="T180" s="4">
        <f>IF(OR(INDEX($AH$2:$AH$1001,MATCH(ROWS($AG$2:AG180),$AG$2:$AG$1001,0),1)&gt;=100000,INDEX($AN$1005:$BO$1005,1,MATCH(COLUMNS($AN$1006:BF1006),$AN$1006:$BO$1006,0))&gt;=100000), " ",IF(INDEX($AN$2:$BO$1001,MATCH(ROWS($AG$2:AG180),$AG$2:$AG$1001,0),MATCH(COLUMNS($AN$1006:BF1006),$AN$1006:$BO$1006,0)), HYPERLINK("#",""), HYPERLINK(CONCATENATE("#Metadata!", ADDRESS(INDEX($AI$2:$AI$1001,MATCH(ROWS($AG$2:AG180),$AG$2:$AG$1001,0),0), INDEX($AN$1004:$BO$1004,1,MATCH(COLUMNS($AN$1006:BF1006),$AN$1006:$BO$1006,0)))),"Fix")))</f>
        <v>0</v>
      </c>
      <c r="U180" s="4">
        <f>IF(OR(INDEX($AH$2:$AH$1001,MATCH(ROWS($AG$2:AG180),$AG$2:$AG$1001,0),1)&gt;=100000,INDEX($AN$1005:$BO$1005,1,MATCH(COLUMNS($AN$1006:BG1006),$AN$1006:$BO$1006,0))&gt;=100000), " ",IF(INDEX($AN$2:$BO$1001,MATCH(ROWS($AG$2:AG180),$AG$2:$AG$1001,0),MATCH(COLUMNS($AN$1006:BG1006),$AN$1006:$BO$1006,0)), HYPERLINK("#",""), HYPERLINK(CONCATENATE("#Metadata!", ADDRESS(INDEX($AI$2:$AI$1001,MATCH(ROWS($AG$2:AG180),$AG$2:$AG$1001,0),0), INDEX($AN$1004:$BO$1004,1,MATCH(COLUMNS($AN$1006:BG1006),$AN$1006:$BO$1006,0)))),"Fix")))</f>
        <v>0</v>
      </c>
      <c r="V180" s="4">
        <f>IF(OR(INDEX($AH$2:$AH$1001,MATCH(ROWS($AG$2:AG180),$AG$2:$AG$1001,0),1)&gt;=100000,INDEX($AN$1005:$BO$1005,1,MATCH(COLUMNS($AN$1006:BH1006),$AN$1006:$BO$1006,0))&gt;=100000), " ",IF(INDEX($AN$2:$BO$1001,MATCH(ROWS($AG$2:AG180),$AG$2:$AG$1001,0),MATCH(COLUMNS($AN$1006:BH1006),$AN$1006:$BO$1006,0)), HYPERLINK("#",""), HYPERLINK(CONCATENATE("#Metadata!", ADDRESS(INDEX($AI$2:$AI$1001,MATCH(ROWS($AG$2:AG180),$AG$2:$AG$1001,0),0), INDEX($AN$1004:$BO$1004,1,MATCH(COLUMNS($AN$1006:BH1006),$AN$1006:$BO$1006,0)))),"Fix")))</f>
        <v>0</v>
      </c>
      <c r="W180" s="4">
        <f>IF(OR(INDEX($AH$2:$AH$1001,MATCH(ROWS($AG$2:AG180),$AG$2:$AG$1001,0),1)&gt;=100000,INDEX($AN$1005:$BO$1005,1,MATCH(COLUMNS($AN$1006:BI1006),$AN$1006:$BO$1006,0))&gt;=100000), " ",IF(INDEX($AN$2:$BO$1001,MATCH(ROWS($AG$2:AG180),$AG$2:$AG$1001,0),MATCH(COLUMNS($AN$1006:BI1006),$AN$1006:$BO$1006,0)), HYPERLINK("#",""), HYPERLINK(CONCATENATE("#Metadata!", ADDRESS(INDEX($AI$2:$AI$1001,MATCH(ROWS($AG$2:AG180),$AG$2:$AG$1001,0),0), INDEX($AN$1004:$BO$1004,1,MATCH(COLUMNS($AN$1006:BI1006),$AN$1006:$BO$1006,0)))),"Fix")))</f>
        <v>0</v>
      </c>
      <c r="X180" s="4">
        <f>IF(OR(INDEX($AH$2:$AH$1001,MATCH(ROWS($AG$2:AG180),$AG$2:$AG$1001,0),1)&gt;=100000,INDEX($AN$1005:$BO$1005,1,MATCH(COLUMNS($AN$1006:BJ1006),$AN$1006:$BO$1006,0))&gt;=100000), " ",IF(INDEX($AN$2:$BO$1001,MATCH(ROWS($AG$2:AG180),$AG$2:$AG$1001,0),MATCH(COLUMNS($AN$1006:BJ1006),$AN$1006:$BO$1006,0)), HYPERLINK("#",""), HYPERLINK(CONCATENATE("#Metadata!", ADDRESS(INDEX($AI$2:$AI$1001,MATCH(ROWS($AG$2:AG180),$AG$2:$AG$1001,0),0), INDEX($AN$1004:$BO$1004,1,MATCH(COLUMNS($AN$1006:BJ1006),$AN$1006:$BO$1006,0)))),"Fix")))</f>
        <v>0</v>
      </c>
      <c r="Y180" s="4">
        <f>IF(OR(INDEX($AH$2:$AH$1001,MATCH(ROWS($AG$2:AG180),$AG$2:$AG$1001,0),1)&gt;=100000,INDEX($AN$1005:$BO$1005,1,MATCH(COLUMNS($AN$1006:BK1006),$AN$1006:$BO$1006,0))&gt;=100000), " ",IF(INDEX($AN$2:$BO$1001,MATCH(ROWS($AG$2:AG180),$AG$2:$AG$1001,0),MATCH(COLUMNS($AN$1006:BK1006),$AN$1006:$BO$1006,0)), HYPERLINK("#",""), HYPERLINK(CONCATENATE("#Metadata!", ADDRESS(INDEX($AI$2:$AI$1001,MATCH(ROWS($AG$2:AG180),$AG$2:$AG$1001,0),0), INDEX($AN$1004:$BO$1004,1,MATCH(COLUMNS($AN$1006:BK1006),$AN$1006:$BO$1006,0)))),"Fix")))</f>
        <v>0</v>
      </c>
      <c r="Z180" s="4">
        <f>IF(OR(INDEX($AH$2:$AH$1001,MATCH(ROWS($AG$2:AG180),$AG$2:$AG$1001,0),1)&gt;=100000,INDEX($AN$1005:$BO$1005,1,MATCH(COLUMNS($AN$1006:BL1006),$AN$1006:$BO$1006,0))&gt;=100000), " ",IF(INDEX($AN$2:$BO$1001,MATCH(ROWS($AG$2:AG180),$AG$2:$AG$1001,0),MATCH(COLUMNS($AN$1006:BL1006),$AN$1006:$BO$1006,0)), HYPERLINK("#",""), HYPERLINK(CONCATENATE("#Metadata!", ADDRESS(INDEX($AI$2:$AI$1001,MATCH(ROWS($AG$2:AG180),$AG$2:$AG$1001,0),0), INDEX($AN$1004:$BO$1004,1,MATCH(COLUMNS($AN$1006:BL1006),$AN$1006:$BO$1006,0)))),"Fix")))</f>
        <v>0</v>
      </c>
      <c r="AA180" s="4">
        <f>IF(OR(INDEX($AH$2:$AH$1001,MATCH(ROWS($AG$2:AG180),$AG$2:$AG$1001,0),1)&gt;=100000,INDEX($AN$1005:$BO$1005,1,MATCH(COLUMNS($AN$1006:BM1006),$AN$1006:$BO$1006,0))&gt;=100000), " ",IF(INDEX($AN$2:$BO$1001,MATCH(ROWS($AG$2:AG180),$AG$2:$AG$1001,0),MATCH(COLUMNS($AN$1006:BM1006),$AN$1006:$BO$1006,0)), HYPERLINK("#",""), HYPERLINK(CONCATENATE("#Metadata!", ADDRESS(INDEX($AI$2:$AI$1001,MATCH(ROWS($AG$2:AG180),$AG$2:$AG$1001,0),0), INDEX($AN$1004:$BO$1004,1,MATCH(COLUMNS($AN$1006:BM1006),$AN$1006:$BO$1006,0)))),"Fix")))</f>
        <v>0</v>
      </c>
      <c r="AB180" s="4">
        <f>IF(OR(INDEX($AH$2:$AH$1001,MATCH(ROWS($AG$2:AG180),$AG$2:$AG$1001,0),1)&gt;=100000,INDEX($AN$1005:$BO$1005,1,MATCH(COLUMNS($AN$1006:BN1006),$AN$1006:$BO$1006,0))&gt;=100000), " ",IF(INDEX($AN$2:$BO$1001,MATCH(ROWS($AG$2:AG180),$AG$2:$AG$1001,0),MATCH(COLUMNS($AN$1006:BN1006),$AN$1006:$BO$1006,0)), HYPERLINK("#",""), HYPERLINK(CONCATENATE("#Metadata!", ADDRESS(INDEX($AI$2:$AI$1001,MATCH(ROWS($AG$2:AG180),$AG$2:$AG$1001,0),0), INDEX($AN$1004:$BO$1004,1,MATCH(COLUMNS($AN$1006:BN1006),$AN$1006:$BO$1006,0)))),"Fix")))</f>
        <v>0</v>
      </c>
      <c r="AC180" s="4">
        <f>IF(OR(INDEX($AH$2:$AH$1001,MATCH(ROWS($AG$2:AG180),$AG$2:$AG$1001,0),1)&gt;=100000,INDEX($AN$1005:$BO$1005,1,MATCH(COLUMNS($AN$1006:BO1006),$AN$1006:$BO$1006,0))&gt;=100000), " ",IF(INDEX($AN$2:$BO$1001,MATCH(ROWS($AG$2:AG180),$AG$2:$AG$1001,0),MATCH(COLUMNS($AN$1006:BO1006),$AN$1006:$BO$1006,0)), HYPERLINK("#",""), HYPERLINK(CONCATENATE("#Metadata!", ADDRESS(INDEX($AI$2:$AI$1001,MATCH(ROWS($AG$2:AG180),$AG$2:$AG$1001,0),0), INDEX($AN$1004:$BO$1004,1,MATCH(COLUMNS($AN$1006:BO1006),$AN$1006:$BO$1006,0)))),"Fix")))</f>
        <v>0</v>
      </c>
      <c r="AG180">
        <v>0</v>
      </c>
      <c r="AH180">
        <v>0</v>
      </c>
      <c r="AI180">
        <v>0</v>
      </c>
      <c r="AJ180">
        <f>IF(AK180,TRUE,AND(AN180:BO180))</f>
        <v>0</v>
      </c>
      <c r="AK180">
        <f>COUNTBLANK(Metadata!B180:AC180)=COLUMNS(Metadata!B180:AC180)</f>
        <v>0</v>
      </c>
      <c r="AL180">
        <v>0</v>
      </c>
      <c r="AN180">
        <f>AND(IF(Metadata!B180="",FALSE,TRUE),COUNTIF(Metadata!B:B, Metadata!B180) = 1,NOT(ISERROR(SUMPRODUCT(SEARCH(MID(Metadata!B180,ROW(INDIRECT("1:"&amp;LEN(Metadata!B180))), 1),"0123456789abcdefghijklmnopqrstuvwxyzABCDEFGHIJKLMNOPQRSTUVWXYZ.")))))</f>
        <v>0</v>
      </c>
      <c r="AO180">
        <f>IF(Metadata!C180="",FALSE,TRUE)</f>
        <v>0</v>
      </c>
      <c r="AP180">
        <f>IF(Metadata!D180="",FALSE,TRUE)</f>
        <v>0</v>
      </c>
      <c r="AQ180">
        <f>OR(AND(IF(Metadata!E180="",FALSE,TRUE),OR(exact(Metadata!E180,"not collected"),exact(Metadata!E180,"not provided"),exact(Metadata!E180,"restricted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R180">
        <f>IF(Metadata!F180="",FALSE,TRUE)</f>
        <v>0</v>
      </c>
      <c r="AS180">
        <f>OR(AND(IF(Metadata!G180="",FALSE,TRUE),OR(exact(Metadata!G180,"not collected"),exact(Metadata!G180,"not provided"))),AND(IF(Metadata!G180="",FALSE,TRUE),OR(exact(Metadata!G180,"TRUE"),exact(Metadata!G180,"FALSE"))))</f>
        <v>0</v>
      </c>
      <c r="AT180">
        <f>OR(AND(IF(Metadata!H180="",FALSE,TRUE),OR(exact(Metadata!H180,"not collected"),exact(Metadata!H180,"not provided"),exact(Metadata!H180,"restricted access"))),AND(IF(Metadata!H180="",FALSE,ISNUMBER(VALUE(Metadata!H180))),Metadata!H180&gt;=-413.0))</f>
        <v>0</v>
      </c>
      <c r="AU180">
        <f>AND(IF(Metadata!I180="",FALSE,TRUE),exact(Metadata!I180,"meters"))</f>
        <v>0</v>
      </c>
      <c r="AV180">
        <f>AND(IF(Metadata!J180="",FALSE,TRUE),OR(exact(Metadata!J180,"Host-associated"),exact(Metadata!J180,"Free-living")))</f>
        <v>0</v>
      </c>
      <c r="AW180">
        <f>AND(IF(Metadata!K180="",FALSE,TRUE),OR(exact(Metadata!K180,"Animal"),exact(Metadata!K180,"Fungus"),exact(Metadata!K180,"Plant"),exact(Metadata!K180,"Saline"),exact(Metadata!K180,"Non-saline")))</f>
        <v>0</v>
      </c>
      <c r="AX180">
        <f>AND(IF(Metadata!L180="",FALSE,TRUE),OR(exact(Metadata!L180,"Plant secretion"),exact(Metadata!L180,"Plant rhizosphere"),exact(Metadata!L180,"Plant surface"),exact(Metadata!L180,"Plant corpus"),exact(Metadata!L180,"Fungus surface"),exact(Metadata!L180,"Fungus corpus"),exact(Metadata!L180,"Animal surface"),exact(Metadata!L180,"Animal proximal gut"),exact(Metadata!L180,"Animal corpus"),exact(Metadata!L180,"Animal distal gut"),exact(Metadata!L180,"Animal secretion"),exact(Metadata!L180,"Sub-surface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Y180">
        <f>IF(Metadata!M180="",FALSE,TRUE)</f>
        <v>0</v>
      </c>
      <c r="AZ180">
        <f>IF(Metadata!N180="",FALSE,TRUE)</f>
        <v>0</v>
      </c>
      <c r="BA180">
        <f>IF(Metadata!O180="",FALSE,TRUE)</f>
        <v>0</v>
      </c>
      <c r="BB180">
        <f>OR(AND(IF(Metadata!P180="",FALSE,TRUE),OR(exact(Metadata!P180,"not collected"),exact(Metadata!P180,"not provided"),exact(Metadata!P180,"restricted access"))),AND(IF(Metadata!P180="",FALSE,TRUE),OR(exact(Metadata!P180,"air"),exact(Metadata!P180,"built environment"),exact(Metadata!P180,"host-associated"),exact(Metadata!P180,"human-associated"),exact(Metadata!P180,"human-skin"),exact(Metadata!P180,"human-oral"),exact(Metadata!P180,"human-gut"),exact(Metadata!P180,"human-vaginal"),exact(Metadata!P180,"microbial mat/biofilm"),exact(Metadata!P180,"misc environment"),exact(Metadata!P180,"plant-associated"),exact(Metadata!P180,"sediment"),exact(Metadata!P180,"soil"),exact(Metadata!P180,"wastewater/sludge"),exact(Metadata!P180,"water"))))</f>
        <v>0</v>
      </c>
      <c r="BC180">
        <f>IF(Metadata!Q180="",FALSE,TRUE)</f>
        <v>0</v>
      </c>
      <c r="BD180">
        <f>IF(Metadata!R180="",FALSE,TRUE)</f>
        <v>0</v>
      </c>
      <c r="BE180">
        <f>OR(AND(IF(Metadata!S180="",FALSE,TRUE),OR(exact(Metadata!S180,"not collected"),exact(Metadata!S180,"not provided"),exact(Metadata!S180,"restricted access"))),AND(IF(Metadata!S180="",FALSE,ISNUMBER(VALUE(Metadata!S180))),Metadata!S180&gt;=-90.00,Metadata!S180&lt;=90.00))</f>
        <v>0</v>
      </c>
      <c r="BF180">
        <f>AND(IF(Metadata!T180="",FALSE,TRUE),exact(Metadata!T180,"Decimal degrees"))</f>
        <v>0</v>
      </c>
      <c r="BG180">
        <f>OR(AND(IF(Metadata!U180="",FALSE,TRUE),OR(exact(Metadata!U180,"not collected"),exact(Metadata!U180,"not provided"),exact(Metadata!U180,"restricted access"))),AND(IF(Metadata!U180="",FALSE,ISNUMBER(VALUE(Metadata!U180))),Metadata!U180&gt;=-180.00,Metadata!U180&lt;=180.00))</f>
        <v>0</v>
      </c>
      <c r="BH180">
        <f>AND(IF(Metadata!V180="",FALSE,TRUE),exact(Metadata!V180,"Decimal degrees"))</f>
        <v>0</v>
      </c>
      <c r="BI180">
        <f>IF(Metadata!W180="",FALSE,TRUE)</f>
        <v>0</v>
      </c>
      <c r="BJ180">
        <f>OR(AND(IF(Metadata!X180="",FALSE,TRUE),OR(exact(Metadata!X180,"not collected"),exact(Metadata!X180,"not provided"),exact(Metadata!X180,"restricted access"))),AND(IF(Metadata!X180="",FALSE,TRUE),OR(exact(Metadata!X180,"TRUE"),exact(Metadata!X180,"FALSE"))))</f>
        <v>0</v>
      </c>
      <c r="BK180">
        <f>AND(IF(Metadata!Y180="",FALSE,TRUE),exact(Metadata!Y180,"other"))</f>
        <v>0</v>
      </c>
      <c r="BL180">
        <f>IF(Metadata!Z180="",FALSE,TRUE)</f>
        <v>0</v>
      </c>
      <c r="BM180">
        <f>OR(AND(IF(Metadata!AA180="",FALSE,TRUE),OR(exact(Metadata!AA180,"not collected"),exact(Metadata!AA180,"not provided"))),AND(IF(Metadata!AA180="",FALSE,IF(ISERROR(INT(Metadata!AA180)),FALSE,INT(Metadata!AA180)=Metadata!AA180)),Metadata!AA180&gt;0))</f>
        <v>0</v>
      </c>
      <c r="BN180">
        <f>AND(IF(Metadata!AB180="",FALSE,TRUE),exact(Metadata!AB180,"Not applicable"))</f>
        <v>0</v>
      </c>
      <c r="BO180">
        <f>IF(Metadata!AC180="",FALSE,TRUE)</f>
        <v>0</v>
      </c>
    </row>
    <row r="181" spans="1:67">
      <c r="A181" s="5">
        <f>IF(B181=" "," ",HYPERLINK(CONCATENATE("#metadata!",ADDRESS(INDEX($AI$2:$AI$1001,MATCH(ROWS($AG$2:AG181),$AG$2:$AG$1001,0),0),1)),INDEX($AL$2:$AL$1001,MATCH(ROWS($AG$2:AG181),$AG$2:$AG$1001,0),0)))</f>
        <v>0</v>
      </c>
      <c r="B181" s="4">
        <f>IF(OR(INDEX($AH$2:$AH$1001,MATCH(ROWS($AG$2:AG181),$AG$2:$AG$1001,0),1)&gt;=100000,INDEX($AN$1005:$BO$1005,1,MATCH(COLUMNS($AN$1006:AN1006),$AN$1006:$BO$1006,0))&gt;=100000), " ",IF(INDEX($AN$2:$BO$1001,MATCH(ROWS($AG$2:AG181),$AG$2:$AG$1001,0),MATCH(COLUMNS($AN$1006:AN1006),$AN$1006:$BO$1006,0)), HYPERLINK("#",""), HYPERLINK(CONCATENATE("#Metadata!", ADDRESS(INDEX($AI$2:$AI$1001,MATCH(ROWS($AG$2:AG181),$AG$2:$AG$1001,0),0), INDEX($AN$1004:$BO$1004,1,MATCH(COLUMNS($AN$1006:AN1006),$AN$1006:$BO$1006,0)))),"Fix")))</f>
        <v>0</v>
      </c>
      <c r="C181" s="4">
        <f>IF(OR(INDEX($AH$2:$AH$1001,MATCH(ROWS($AG$2:AG181),$AG$2:$AG$1001,0),1)&gt;=100000,INDEX($AN$1005:$BO$1005,1,MATCH(COLUMNS($AN$1006:AO1006),$AN$1006:$BO$1006,0))&gt;=100000), " ",IF(INDEX($AN$2:$BO$1001,MATCH(ROWS($AG$2:AG181),$AG$2:$AG$1001,0),MATCH(COLUMNS($AN$1006:AO1006),$AN$1006:$BO$1006,0)), HYPERLINK("#",""), HYPERLINK(CONCATENATE("#Metadata!", ADDRESS(INDEX($AI$2:$AI$1001,MATCH(ROWS($AG$2:AG181),$AG$2:$AG$1001,0),0), INDEX($AN$1004:$BO$1004,1,MATCH(COLUMNS($AN$1006:AO1006),$AN$1006:$BO$1006,0)))),"Fix")))</f>
        <v>0</v>
      </c>
      <c r="D181" s="4">
        <f>IF(OR(INDEX($AH$2:$AH$1001,MATCH(ROWS($AG$2:AG181),$AG$2:$AG$1001,0),1)&gt;=100000,INDEX($AN$1005:$BO$1005,1,MATCH(COLUMNS($AN$1006:AP1006),$AN$1006:$BO$1006,0))&gt;=100000), " ",IF(INDEX($AN$2:$BO$1001,MATCH(ROWS($AG$2:AG181),$AG$2:$AG$1001,0),MATCH(COLUMNS($AN$1006:AP1006),$AN$1006:$BO$1006,0)), HYPERLINK("#",""), HYPERLINK(CONCATENATE("#Metadata!", ADDRESS(INDEX($AI$2:$AI$1001,MATCH(ROWS($AG$2:AG181),$AG$2:$AG$1001,0),0), INDEX($AN$1004:$BO$1004,1,MATCH(COLUMNS($AN$1006:AP1006),$AN$1006:$BO$1006,0)))),"Fix")))</f>
        <v>0</v>
      </c>
      <c r="E181" s="4">
        <f>IF(OR(INDEX($AH$2:$AH$1001,MATCH(ROWS($AG$2:AG181),$AG$2:$AG$1001,0),1)&gt;=100000,INDEX($AN$1005:$BO$1005,1,MATCH(COLUMNS($AN$1006:AQ1006),$AN$1006:$BO$1006,0))&gt;=100000), " ",IF(INDEX($AN$2:$BO$1001,MATCH(ROWS($AG$2:AG181),$AG$2:$AG$1001,0),MATCH(COLUMNS($AN$1006:AQ1006),$AN$1006:$BO$1006,0)), HYPERLINK("#",""), HYPERLINK(CONCATENATE("#Metadata!", ADDRESS(INDEX($AI$2:$AI$1001,MATCH(ROWS($AG$2:AG181),$AG$2:$AG$1001,0),0), INDEX($AN$1004:$BO$1004,1,MATCH(COLUMNS($AN$1006:AQ1006),$AN$1006:$BO$1006,0)))),"Fix")))</f>
        <v>0</v>
      </c>
      <c r="F181" s="4">
        <f>IF(OR(INDEX($AH$2:$AH$1001,MATCH(ROWS($AG$2:AG181),$AG$2:$AG$1001,0),1)&gt;=100000,INDEX($AN$1005:$BO$1005,1,MATCH(COLUMNS($AN$1006:AR1006),$AN$1006:$BO$1006,0))&gt;=100000), " ",IF(INDEX($AN$2:$BO$1001,MATCH(ROWS($AG$2:AG181),$AG$2:$AG$1001,0),MATCH(COLUMNS($AN$1006:AR1006),$AN$1006:$BO$1006,0)), HYPERLINK("#",""), HYPERLINK(CONCATENATE("#Metadata!", ADDRESS(INDEX($AI$2:$AI$1001,MATCH(ROWS($AG$2:AG181),$AG$2:$AG$1001,0),0), INDEX($AN$1004:$BO$1004,1,MATCH(COLUMNS($AN$1006:AR1006),$AN$1006:$BO$1006,0)))),"Fix")))</f>
        <v>0</v>
      </c>
      <c r="G181" s="4">
        <f>IF(OR(INDEX($AH$2:$AH$1001,MATCH(ROWS($AG$2:AG181),$AG$2:$AG$1001,0),1)&gt;=100000,INDEX($AN$1005:$BO$1005,1,MATCH(COLUMNS($AN$1006:AS1006),$AN$1006:$BO$1006,0))&gt;=100000), " ",IF(INDEX($AN$2:$BO$1001,MATCH(ROWS($AG$2:AG181),$AG$2:$AG$1001,0),MATCH(COLUMNS($AN$1006:AS1006),$AN$1006:$BO$1006,0)), HYPERLINK("#",""), HYPERLINK(CONCATENATE("#Metadata!", ADDRESS(INDEX($AI$2:$AI$1001,MATCH(ROWS($AG$2:AG181),$AG$2:$AG$1001,0),0), INDEX($AN$1004:$BO$1004,1,MATCH(COLUMNS($AN$1006:AS1006),$AN$1006:$BO$1006,0)))),"Fix")))</f>
        <v>0</v>
      </c>
      <c r="H181" s="4">
        <f>IF(OR(INDEX($AH$2:$AH$1001,MATCH(ROWS($AG$2:AG181),$AG$2:$AG$1001,0),1)&gt;=100000,INDEX($AN$1005:$BO$1005,1,MATCH(COLUMNS($AN$1006:AT1006),$AN$1006:$BO$1006,0))&gt;=100000), " ",IF(INDEX($AN$2:$BO$1001,MATCH(ROWS($AG$2:AG181),$AG$2:$AG$1001,0),MATCH(COLUMNS($AN$1006:AT1006),$AN$1006:$BO$1006,0)), HYPERLINK("#",""), HYPERLINK(CONCATENATE("#Metadata!", ADDRESS(INDEX($AI$2:$AI$1001,MATCH(ROWS($AG$2:AG181),$AG$2:$AG$1001,0),0), INDEX($AN$1004:$BO$1004,1,MATCH(COLUMNS($AN$1006:AT1006),$AN$1006:$BO$1006,0)))),"Fix")))</f>
        <v>0</v>
      </c>
      <c r="I181" s="4">
        <f>IF(OR(INDEX($AH$2:$AH$1001,MATCH(ROWS($AG$2:AG181),$AG$2:$AG$1001,0),1)&gt;=100000,INDEX($AN$1005:$BO$1005,1,MATCH(COLUMNS($AN$1006:AU1006),$AN$1006:$BO$1006,0))&gt;=100000), " ",IF(INDEX($AN$2:$BO$1001,MATCH(ROWS($AG$2:AG181),$AG$2:$AG$1001,0),MATCH(COLUMNS($AN$1006:AU1006),$AN$1006:$BO$1006,0)), HYPERLINK("#",""), HYPERLINK(CONCATENATE("#Metadata!", ADDRESS(INDEX($AI$2:$AI$1001,MATCH(ROWS($AG$2:AG181),$AG$2:$AG$1001,0),0), INDEX($AN$1004:$BO$1004,1,MATCH(COLUMNS($AN$1006:AU1006),$AN$1006:$BO$1006,0)))),"Fix")))</f>
        <v>0</v>
      </c>
      <c r="J181" s="4">
        <f>IF(OR(INDEX($AH$2:$AH$1001,MATCH(ROWS($AG$2:AG181),$AG$2:$AG$1001,0),1)&gt;=100000,INDEX($AN$1005:$BO$1005,1,MATCH(COLUMNS($AN$1006:AV1006),$AN$1006:$BO$1006,0))&gt;=100000), " ",IF(INDEX($AN$2:$BO$1001,MATCH(ROWS($AG$2:AG181),$AG$2:$AG$1001,0),MATCH(COLUMNS($AN$1006:AV1006),$AN$1006:$BO$1006,0)), HYPERLINK("#",""), HYPERLINK(CONCATENATE("#Metadata!", ADDRESS(INDEX($AI$2:$AI$1001,MATCH(ROWS($AG$2:AG181),$AG$2:$AG$1001,0),0), INDEX($AN$1004:$BO$1004,1,MATCH(COLUMNS($AN$1006:AV1006),$AN$1006:$BO$1006,0)))),"Fix")))</f>
        <v>0</v>
      </c>
      <c r="K181" s="4">
        <f>IF(OR(INDEX($AH$2:$AH$1001,MATCH(ROWS($AG$2:AG181),$AG$2:$AG$1001,0),1)&gt;=100000,INDEX($AN$1005:$BO$1005,1,MATCH(COLUMNS($AN$1006:AW1006),$AN$1006:$BO$1006,0))&gt;=100000), " ",IF(INDEX($AN$2:$BO$1001,MATCH(ROWS($AG$2:AG181),$AG$2:$AG$1001,0),MATCH(COLUMNS($AN$1006:AW1006),$AN$1006:$BO$1006,0)), HYPERLINK("#",""), HYPERLINK(CONCATENATE("#Metadata!", ADDRESS(INDEX($AI$2:$AI$1001,MATCH(ROWS($AG$2:AG181),$AG$2:$AG$1001,0),0), INDEX($AN$1004:$BO$1004,1,MATCH(COLUMNS($AN$1006:AW1006),$AN$1006:$BO$1006,0)))),"Fix")))</f>
        <v>0</v>
      </c>
      <c r="L181" s="4">
        <f>IF(OR(INDEX($AH$2:$AH$1001,MATCH(ROWS($AG$2:AG181),$AG$2:$AG$1001,0),1)&gt;=100000,INDEX($AN$1005:$BO$1005,1,MATCH(COLUMNS($AN$1006:AX1006),$AN$1006:$BO$1006,0))&gt;=100000), " ",IF(INDEX($AN$2:$BO$1001,MATCH(ROWS($AG$2:AG181),$AG$2:$AG$1001,0),MATCH(COLUMNS($AN$1006:AX1006),$AN$1006:$BO$1006,0)), HYPERLINK("#",""), HYPERLINK(CONCATENATE("#Metadata!", ADDRESS(INDEX($AI$2:$AI$1001,MATCH(ROWS($AG$2:AG181),$AG$2:$AG$1001,0),0), INDEX($AN$1004:$BO$1004,1,MATCH(COLUMNS($AN$1006:AX1006),$AN$1006:$BO$1006,0)))),"Fix")))</f>
        <v>0</v>
      </c>
      <c r="M181" s="4">
        <f>IF(OR(INDEX($AH$2:$AH$1001,MATCH(ROWS($AG$2:AG181),$AG$2:$AG$1001,0),1)&gt;=100000,INDEX($AN$1005:$BO$1005,1,MATCH(COLUMNS($AN$1006:AY1006),$AN$1006:$BO$1006,0))&gt;=100000), " ",IF(INDEX($AN$2:$BO$1001,MATCH(ROWS($AG$2:AG181),$AG$2:$AG$1001,0),MATCH(COLUMNS($AN$1006:AY1006),$AN$1006:$BO$1006,0)), HYPERLINK("#",""), HYPERLINK(CONCATENATE("#Metadata!", ADDRESS(INDEX($AI$2:$AI$1001,MATCH(ROWS($AG$2:AG181),$AG$2:$AG$1001,0),0), INDEX($AN$1004:$BO$1004,1,MATCH(COLUMNS($AN$1006:AY1006),$AN$1006:$BO$1006,0)))),"Fix")))</f>
        <v>0</v>
      </c>
      <c r="N181" s="4">
        <f>IF(OR(INDEX($AH$2:$AH$1001,MATCH(ROWS($AG$2:AG181),$AG$2:$AG$1001,0),1)&gt;=100000,INDEX($AN$1005:$BO$1005,1,MATCH(COLUMNS($AN$1006:AZ1006),$AN$1006:$BO$1006,0))&gt;=100000), " ",IF(INDEX($AN$2:$BO$1001,MATCH(ROWS($AG$2:AG181),$AG$2:$AG$1001,0),MATCH(COLUMNS($AN$1006:AZ1006),$AN$1006:$BO$1006,0)), HYPERLINK("#",""), HYPERLINK(CONCATENATE("#Metadata!", ADDRESS(INDEX($AI$2:$AI$1001,MATCH(ROWS($AG$2:AG181),$AG$2:$AG$1001,0),0), INDEX($AN$1004:$BO$1004,1,MATCH(COLUMNS($AN$1006:AZ1006),$AN$1006:$BO$1006,0)))),"Fix")))</f>
        <v>0</v>
      </c>
      <c r="O181" s="4">
        <f>IF(OR(INDEX($AH$2:$AH$1001,MATCH(ROWS($AG$2:AG181),$AG$2:$AG$1001,0),1)&gt;=100000,INDEX($AN$1005:$BO$1005,1,MATCH(COLUMNS($AN$1006:BA1006),$AN$1006:$BO$1006,0))&gt;=100000), " ",IF(INDEX($AN$2:$BO$1001,MATCH(ROWS($AG$2:AG181),$AG$2:$AG$1001,0),MATCH(COLUMNS($AN$1006:BA1006),$AN$1006:$BO$1006,0)), HYPERLINK("#",""), HYPERLINK(CONCATENATE("#Metadata!", ADDRESS(INDEX($AI$2:$AI$1001,MATCH(ROWS($AG$2:AG181),$AG$2:$AG$1001,0),0), INDEX($AN$1004:$BO$1004,1,MATCH(COLUMNS($AN$1006:BA1006),$AN$1006:$BO$1006,0)))),"Fix")))</f>
        <v>0</v>
      </c>
      <c r="P181" s="4">
        <f>IF(OR(INDEX($AH$2:$AH$1001,MATCH(ROWS($AG$2:AG181),$AG$2:$AG$1001,0),1)&gt;=100000,INDEX($AN$1005:$BO$1005,1,MATCH(COLUMNS($AN$1006:BB1006),$AN$1006:$BO$1006,0))&gt;=100000), " ",IF(INDEX($AN$2:$BO$1001,MATCH(ROWS($AG$2:AG181),$AG$2:$AG$1001,0),MATCH(COLUMNS($AN$1006:BB1006),$AN$1006:$BO$1006,0)), HYPERLINK("#",""), HYPERLINK(CONCATENATE("#Metadata!", ADDRESS(INDEX($AI$2:$AI$1001,MATCH(ROWS($AG$2:AG181),$AG$2:$AG$1001,0),0), INDEX($AN$1004:$BO$1004,1,MATCH(COLUMNS($AN$1006:BB1006),$AN$1006:$BO$1006,0)))),"Fix")))</f>
        <v>0</v>
      </c>
      <c r="Q181" s="4">
        <f>IF(OR(INDEX($AH$2:$AH$1001,MATCH(ROWS($AG$2:AG181),$AG$2:$AG$1001,0),1)&gt;=100000,INDEX($AN$1005:$BO$1005,1,MATCH(COLUMNS($AN$1006:BC1006),$AN$1006:$BO$1006,0))&gt;=100000), " ",IF(INDEX($AN$2:$BO$1001,MATCH(ROWS($AG$2:AG181),$AG$2:$AG$1001,0),MATCH(COLUMNS($AN$1006:BC1006),$AN$1006:$BO$1006,0)), HYPERLINK("#",""), HYPERLINK(CONCATENATE("#Metadata!", ADDRESS(INDEX($AI$2:$AI$1001,MATCH(ROWS($AG$2:AG181),$AG$2:$AG$1001,0),0), INDEX($AN$1004:$BO$1004,1,MATCH(COLUMNS($AN$1006:BC1006),$AN$1006:$BO$1006,0)))),"Fix")))</f>
        <v>0</v>
      </c>
      <c r="R181" s="4">
        <f>IF(OR(INDEX($AH$2:$AH$1001,MATCH(ROWS($AG$2:AG181),$AG$2:$AG$1001,0),1)&gt;=100000,INDEX($AN$1005:$BO$1005,1,MATCH(COLUMNS($AN$1006:BD1006),$AN$1006:$BO$1006,0))&gt;=100000), " ",IF(INDEX($AN$2:$BO$1001,MATCH(ROWS($AG$2:AG181),$AG$2:$AG$1001,0),MATCH(COLUMNS($AN$1006:BD1006),$AN$1006:$BO$1006,0)), HYPERLINK("#",""), HYPERLINK(CONCATENATE("#Metadata!", ADDRESS(INDEX($AI$2:$AI$1001,MATCH(ROWS($AG$2:AG181),$AG$2:$AG$1001,0),0), INDEX($AN$1004:$BO$1004,1,MATCH(COLUMNS($AN$1006:BD1006),$AN$1006:$BO$1006,0)))),"Fix")))</f>
        <v>0</v>
      </c>
      <c r="S181" s="4">
        <f>IF(OR(INDEX($AH$2:$AH$1001,MATCH(ROWS($AG$2:AG181),$AG$2:$AG$1001,0),1)&gt;=100000,INDEX($AN$1005:$BO$1005,1,MATCH(COLUMNS($AN$1006:BE1006),$AN$1006:$BO$1006,0))&gt;=100000), " ",IF(INDEX($AN$2:$BO$1001,MATCH(ROWS($AG$2:AG181),$AG$2:$AG$1001,0),MATCH(COLUMNS($AN$1006:BE1006),$AN$1006:$BO$1006,0)), HYPERLINK("#",""), HYPERLINK(CONCATENATE("#Metadata!", ADDRESS(INDEX($AI$2:$AI$1001,MATCH(ROWS($AG$2:AG181),$AG$2:$AG$1001,0),0), INDEX($AN$1004:$BO$1004,1,MATCH(COLUMNS($AN$1006:BE1006),$AN$1006:$BO$1006,0)))),"Fix")))</f>
        <v>0</v>
      </c>
      <c r="T181" s="4">
        <f>IF(OR(INDEX($AH$2:$AH$1001,MATCH(ROWS($AG$2:AG181),$AG$2:$AG$1001,0),1)&gt;=100000,INDEX($AN$1005:$BO$1005,1,MATCH(COLUMNS($AN$1006:BF1006),$AN$1006:$BO$1006,0))&gt;=100000), " ",IF(INDEX($AN$2:$BO$1001,MATCH(ROWS($AG$2:AG181),$AG$2:$AG$1001,0),MATCH(COLUMNS($AN$1006:BF1006),$AN$1006:$BO$1006,0)), HYPERLINK("#",""), HYPERLINK(CONCATENATE("#Metadata!", ADDRESS(INDEX($AI$2:$AI$1001,MATCH(ROWS($AG$2:AG181),$AG$2:$AG$1001,0),0), INDEX($AN$1004:$BO$1004,1,MATCH(COLUMNS($AN$1006:BF1006),$AN$1006:$BO$1006,0)))),"Fix")))</f>
        <v>0</v>
      </c>
      <c r="U181" s="4">
        <f>IF(OR(INDEX($AH$2:$AH$1001,MATCH(ROWS($AG$2:AG181),$AG$2:$AG$1001,0),1)&gt;=100000,INDEX($AN$1005:$BO$1005,1,MATCH(COLUMNS($AN$1006:BG1006),$AN$1006:$BO$1006,0))&gt;=100000), " ",IF(INDEX($AN$2:$BO$1001,MATCH(ROWS($AG$2:AG181),$AG$2:$AG$1001,0),MATCH(COLUMNS($AN$1006:BG1006),$AN$1006:$BO$1006,0)), HYPERLINK("#",""), HYPERLINK(CONCATENATE("#Metadata!", ADDRESS(INDEX($AI$2:$AI$1001,MATCH(ROWS($AG$2:AG181),$AG$2:$AG$1001,0),0), INDEX($AN$1004:$BO$1004,1,MATCH(COLUMNS($AN$1006:BG1006),$AN$1006:$BO$1006,0)))),"Fix")))</f>
        <v>0</v>
      </c>
      <c r="V181" s="4">
        <f>IF(OR(INDEX($AH$2:$AH$1001,MATCH(ROWS($AG$2:AG181),$AG$2:$AG$1001,0),1)&gt;=100000,INDEX($AN$1005:$BO$1005,1,MATCH(COLUMNS($AN$1006:BH1006),$AN$1006:$BO$1006,0))&gt;=100000), " ",IF(INDEX($AN$2:$BO$1001,MATCH(ROWS($AG$2:AG181),$AG$2:$AG$1001,0),MATCH(COLUMNS($AN$1006:BH1006),$AN$1006:$BO$1006,0)), HYPERLINK("#",""), HYPERLINK(CONCATENATE("#Metadata!", ADDRESS(INDEX($AI$2:$AI$1001,MATCH(ROWS($AG$2:AG181),$AG$2:$AG$1001,0),0), INDEX($AN$1004:$BO$1004,1,MATCH(COLUMNS($AN$1006:BH1006),$AN$1006:$BO$1006,0)))),"Fix")))</f>
        <v>0</v>
      </c>
      <c r="W181" s="4">
        <f>IF(OR(INDEX($AH$2:$AH$1001,MATCH(ROWS($AG$2:AG181),$AG$2:$AG$1001,0),1)&gt;=100000,INDEX($AN$1005:$BO$1005,1,MATCH(COLUMNS($AN$1006:BI1006),$AN$1006:$BO$1006,0))&gt;=100000), " ",IF(INDEX($AN$2:$BO$1001,MATCH(ROWS($AG$2:AG181),$AG$2:$AG$1001,0),MATCH(COLUMNS($AN$1006:BI1006),$AN$1006:$BO$1006,0)), HYPERLINK("#",""), HYPERLINK(CONCATENATE("#Metadata!", ADDRESS(INDEX($AI$2:$AI$1001,MATCH(ROWS($AG$2:AG181),$AG$2:$AG$1001,0),0), INDEX($AN$1004:$BO$1004,1,MATCH(COLUMNS($AN$1006:BI1006),$AN$1006:$BO$1006,0)))),"Fix")))</f>
        <v>0</v>
      </c>
      <c r="X181" s="4">
        <f>IF(OR(INDEX($AH$2:$AH$1001,MATCH(ROWS($AG$2:AG181),$AG$2:$AG$1001,0),1)&gt;=100000,INDEX($AN$1005:$BO$1005,1,MATCH(COLUMNS($AN$1006:BJ1006),$AN$1006:$BO$1006,0))&gt;=100000), " ",IF(INDEX($AN$2:$BO$1001,MATCH(ROWS($AG$2:AG181),$AG$2:$AG$1001,0),MATCH(COLUMNS($AN$1006:BJ1006),$AN$1006:$BO$1006,0)), HYPERLINK("#",""), HYPERLINK(CONCATENATE("#Metadata!", ADDRESS(INDEX($AI$2:$AI$1001,MATCH(ROWS($AG$2:AG181),$AG$2:$AG$1001,0),0), INDEX($AN$1004:$BO$1004,1,MATCH(COLUMNS($AN$1006:BJ1006),$AN$1006:$BO$1006,0)))),"Fix")))</f>
        <v>0</v>
      </c>
      <c r="Y181" s="4">
        <f>IF(OR(INDEX($AH$2:$AH$1001,MATCH(ROWS($AG$2:AG181),$AG$2:$AG$1001,0),1)&gt;=100000,INDEX($AN$1005:$BO$1005,1,MATCH(COLUMNS($AN$1006:BK1006),$AN$1006:$BO$1006,0))&gt;=100000), " ",IF(INDEX($AN$2:$BO$1001,MATCH(ROWS($AG$2:AG181),$AG$2:$AG$1001,0),MATCH(COLUMNS($AN$1006:BK1006),$AN$1006:$BO$1006,0)), HYPERLINK("#",""), HYPERLINK(CONCATENATE("#Metadata!", ADDRESS(INDEX($AI$2:$AI$1001,MATCH(ROWS($AG$2:AG181),$AG$2:$AG$1001,0),0), INDEX($AN$1004:$BO$1004,1,MATCH(COLUMNS($AN$1006:BK1006),$AN$1006:$BO$1006,0)))),"Fix")))</f>
        <v>0</v>
      </c>
      <c r="Z181" s="4">
        <f>IF(OR(INDEX($AH$2:$AH$1001,MATCH(ROWS($AG$2:AG181),$AG$2:$AG$1001,0),1)&gt;=100000,INDEX($AN$1005:$BO$1005,1,MATCH(COLUMNS($AN$1006:BL1006),$AN$1006:$BO$1006,0))&gt;=100000), " ",IF(INDEX($AN$2:$BO$1001,MATCH(ROWS($AG$2:AG181),$AG$2:$AG$1001,0),MATCH(COLUMNS($AN$1006:BL1006),$AN$1006:$BO$1006,0)), HYPERLINK("#",""), HYPERLINK(CONCATENATE("#Metadata!", ADDRESS(INDEX($AI$2:$AI$1001,MATCH(ROWS($AG$2:AG181),$AG$2:$AG$1001,0),0), INDEX($AN$1004:$BO$1004,1,MATCH(COLUMNS($AN$1006:BL1006),$AN$1006:$BO$1006,0)))),"Fix")))</f>
        <v>0</v>
      </c>
      <c r="AA181" s="4">
        <f>IF(OR(INDEX($AH$2:$AH$1001,MATCH(ROWS($AG$2:AG181),$AG$2:$AG$1001,0),1)&gt;=100000,INDEX($AN$1005:$BO$1005,1,MATCH(COLUMNS($AN$1006:BM1006),$AN$1006:$BO$1006,0))&gt;=100000), " ",IF(INDEX($AN$2:$BO$1001,MATCH(ROWS($AG$2:AG181),$AG$2:$AG$1001,0),MATCH(COLUMNS($AN$1006:BM1006),$AN$1006:$BO$1006,0)), HYPERLINK("#",""), HYPERLINK(CONCATENATE("#Metadata!", ADDRESS(INDEX($AI$2:$AI$1001,MATCH(ROWS($AG$2:AG181),$AG$2:$AG$1001,0),0), INDEX($AN$1004:$BO$1004,1,MATCH(COLUMNS($AN$1006:BM1006),$AN$1006:$BO$1006,0)))),"Fix")))</f>
        <v>0</v>
      </c>
      <c r="AB181" s="4">
        <f>IF(OR(INDEX($AH$2:$AH$1001,MATCH(ROWS($AG$2:AG181),$AG$2:$AG$1001,0),1)&gt;=100000,INDEX($AN$1005:$BO$1005,1,MATCH(COLUMNS($AN$1006:BN1006),$AN$1006:$BO$1006,0))&gt;=100000), " ",IF(INDEX($AN$2:$BO$1001,MATCH(ROWS($AG$2:AG181),$AG$2:$AG$1001,0),MATCH(COLUMNS($AN$1006:BN1006),$AN$1006:$BO$1006,0)), HYPERLINK("#",""), HYPERLINK(CONCATENATE("#Metadata!", ADDRESS(INDEX($AI$2:$AI$1001,MATCH(ROWS($AG$2:AG181),$AG$2:$AG$1001,0),0), INDEX($AN$1004:$BO$1004,1,MATCH(COLUMNS($AN$1006:BN1006),$AN$1006:$BO$1006,0)))),"Fix")))</f>
        <v>0</v>
      </c>
      <c r="AC181" s="4">
        <f>IF(OR(INDEX($AH$2:$AH$1001,MATCH(ROWS($AG$2:AG181),$AG$2:$AG$1001,0),1)&gt;=100000,INDEX($AN$1005:$BO$1005,1,MATCH(COLUMNS($AN$1006:BO1006),$AN$1006:$BO$1006,0))&gt;=100000), " ",IF(INDEX($AN$2:$BO$1001,MATCH(ROWS($AG$2:AG181),$AG$2:$AG$1001,0),MATCH(COLUMNS($AN$1006:BO1006),$AN$1006:$BO$1006,0)), HYPERLINK("#",""), HYPERLINK(CONCATENATE("#Metadata!", ADDRESS(INDEX($AI$2:$AI$1001,MATCH(ROWS($AG$2:AG181),$AG$2:$AG$1001,0),0), INDEX($AN$1004:$BO$1004,1,MATCH(COLUMNS($AN$1006:BO1006),$AN$1006:$BO$1006,0)))),"Fix")))</f>
        <v>0</v>
      </c>
      <c r="AG181">
        <v>0</v>
      </c>
      <c r="AH181">
        <v>0</v>
      </c>
      <c r="AI181">
        <v>0</v>
      </c>
      <c r="AJ181">
        <f>IF(AK181,TRUE,AND(AN181:BO181))</f>
        <v>0</v>
      </c>
      <c r="AK181">
        <f>COUNTBLANK(Metadata!B181:AC181)=COLUMNS(Metadata!B181:AC181)</f>
        <v>0</v>
      </c>
      <c r="AL181">
        <v>0</v>
      </c>
      <c r="AN181">
        <f>AND(IF(Metadata!B181="",FALSE,TRUE),COUNTIF(Metadata!B:B, Metadata!B181) = 1,NOT(ISERROR(SUMPRODUCT(SEARCH(MID(Metadata!B181,ROW(INDIRECT("1:"&amp;LEN(Metadata!B181))), 1),"0123456789abcdefghijklmnopqrstuvwxyzABCDEFGHIJKLMNOPQRSTUVWXYZ.")))))</f>
        <v>0</v>
      </c>
      <c r="AO181">
        <f>IF(Metadata!C181="",FALSE,TRUE)</f>
        <v>0</v>
      </c>
      <c r="AP181">
        <f>IF(Metadata!D181="",FALSE,TRUE)</f>
        <v>0</v>
      </c>
      <c r="AQ181">
        <f>OR(AND(IF(Metadata!E181="",FALSE,TRUE),OR(exact(Metadata!E181,"not collected"),exact(Metadata!E181,"not provided"),exact(Metadata!E181,"restricted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R181">
        <f>IF(Metadata!F181="",FALSE,TRUE)</f>
        <v>0</v>
      </c>
      <c r="AS181">
        <f>OR(AND(IF(Metadata!G181="",FALSE,TRUE),OR(exact(Metadata!G181,"not collected"),exact(Metadata!G181,"not provided"))),AND(IF(Metadata!G181="",FALSE,TRUE),OR(exact(Metadata!G181,"TRUE"),exact(Metadata!G181,"FALSE"))))</f>
        <v>0</v>
      </c>
      <c r="AT181">
        <f>OR(AND(IF(Metadata!H181="",FALSE,TRUE),OR(exact(Metadata!H181,"not collected"),exact(Metadata!H181,"not provided"),exact(Metadata!H181,"restricted access"))),AND(IF(Metadata!H181="",FALSE,ISNUMBER(VALUE(Metadata!H181))),Metadata!H181&gt;=-413.0))</f>
        <v>0</v>
      </c>
      <c r="AU181">
        <f>AND(IF(Metadata!I181="",FALSE,TRUE),exact(Metadata!I181,"meters"))</f>
        <v>0</v>
      </c>
      <c r="AV181">
        <f>AND(IF(Metadata!J181="",FALSE,TRUE),OR(exact(Metadata!J181,"Host-associated"),exact(Metadata!J181,"Free-living")))</f>
        <v>0</v>
      </c>
      <c r="AW181">
        <f>AND(IF(Metadata!K181="",FALSE,TRUE),OR(exact(Metadata!K181,"Animal"),exact(Metadata!K181,"Fungus"),exact(Metadata!K181,"Plant"),exact(Metadata!K181,"Saline"),exact(Metadata!K181,"Non-saline")))</f>
        <v>0</v>
      </c>
      <c r="AX181">
        <f>AND(IF(Metadata!L181="",FALSE,TRUE),OR(exact(Metadata!L181,"Plant secretion"),exact(Metadata!L181,"Plant rhizosphere"),exact(Metadata!L181,"Plant surface"),exact(Metadata!L181,"Plant corpus"),exact(Metadata!L181,"Fungus surface"),exact(Metadata!L181,"Fungus corpus"),exact(Metadata!L181,"Animal surface"),exact(Metadata!L181,"Animal proximal gut"),exact(Metadata!L181,"Animal corpus"),exact(Metadata!L181,"Animal distal gut"),exact(Metadata!L181,"Animal secretion"),exact(Metadata!L181,"Sub-surface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Y181">
        <f>IF(Metadata!M181="",FALSE,TRUE)</f>
        <v>0</v>
      </c>
      <c r="AZ181">
        <f>IF(Metadata!N181="",FALSE,TRUE)</f>
        <v>0</v>
      </c>
      <c r="BA181">
        <f>IF(Metadata!O181="",FALSE,TRUE)</f>
        <v>0</v>
      </c>
      <c r="BB181">
        <f>OR(AND(IF(Metadata!P181="",FALSE,TRUE),OR(exact(Metadata!P181,"not collected"),exact(Metadata!P181,"not provided"),exact(Metadata!P181,"restricted access"))),AND(IF(Metadata!P181="",FALSE,TRUE),OR(exact(Metadata!P181,"air"),exact(Metadata!P181,"built environment"),exact(Metadata!P181,"host-associated"),exact(Metadata!P181,"human-associated"),exact(Metadata!P181,"human-skin"),exact(Metadata!P181,"human-oral"),exact(Metadata!P181,"human-gut"),exact(Metadata!P181,"human-vaginal"),exact(Metadata!P181,"microbial mat/biofilm"),exact(Metadata!P181,"misc environment"),exact(Metadata!P181,"plant-associated"),exact(Metadata!P181,"sediment"),exact(Metadata!P181,"soil"),exact(Metadata!P181,"wastewater/sludge"),exact(Metadata!P181,"water"))))</f>
        <v>0</v>
      </c>
      <c r="BC181">
        <f>IF(Metadata!Q181="",FALSE,TRUE)</f>
        <v>0</v>
      </c>
      <c r="BD181">
        <f>IF(Metadata!R181="",FALSE,TRUE)</f>
        <v>0</v>
      </c>
      <c r="BE181">
        <f>OR(AND(IF(Metadata!S181="",FALSE,TRUE),OR(exact(Metadata!S181,"not collected"),exact(Metadata!S181,"not provided"),exact(Metadata!S181,"restricted access"))),AND(IF(Metadata!S181="",FALSE,ISNUMBER(VALUE(Metadata!S181))),Metadata!S181&gt;=-90.00,Metadata!S181&lt;=90.00))</f>
        <v>0</v>
      </c>
      <c r="BF181">
        <f>AND(IF(Metadata!T181="",FALSE,TRUE),exact(Metadata!T181,"Decimal degrees"))</f>
        <v>0</v>
      </c>
      <c r="BG181">
        <f>OR(AND(IF(Metadata!U181="",FALSE,TRUE),OR(exact(Metadata!U181,"not collected"),exact(Metadata!U181,"not provided"),exact(Metadata!U181,"restricted access"))),AND(IF(Metadata!U181="",FALSE,ISNUMBER(VALUE(Metadata!U181))),Metadata!U181&gt;=-180.00,Metadata!U181&lt;=180.00))</f>
        <v>0</v>
      </c>
      <c r="BH181">
        <f>AND(IF(Metadata!V181="",FALSE,TRUE),exact(Metadata!V181,"Decimal degrees"))</f>
        <v>0</v>
      </c>
      <c r="BI181">
        <f>IF(Metadata!W181="",FALSE,TRUE)</f>
        <v>0</v>
      </c>
      <c r="BJ181">
        <f>OR(AND(IF(Metadata!X181="",FALSE,TRUE),OR(exact(Metadata!X181,"not collected"),exact(Metadata!X181,"not provided"),exact(Metadata!X181,"restricted access"))),AND(IF(Metadata!X181="",FALSE,TRUE),OR(exact(Metadata!X181,"TRUE"),exact(Metadata!X181,"FALSE"))))</f>
        <v>0</v>
      </c>
      <c r="BK181">
        <f>AND(IF(Metadata!Y181="",FALSE,TRUE),exact(Metadata!Y181,"other"))</f>
        <v>0</v>
      </c>
      <c r="BL181">
        <f>IF(Metadata!Z181="",FALSE,TRUE)</f>
        <v>0</v>
      </c>
      <c r="BM181">
        <f>OR(AND(IF(Metadata!AA181="",FALSE,TRUE),OR(exact(Metadata!AA181,"not collected"),exact(Metadata!AA181,"not provided"))),AND(IF(Metadata!AA181="",FALSE,IF(ISERROR(INT(Metadata!AA181)),FALSE,INT(Metadata!AA181)=Metadata!AA181)),Metadata!AA181&gt;0))</f>
        <v>0</v>
      </c>
      <c r="BN181">
        <f>AND(IF(Metadata!AB181="",FALSE,TRUE),exact(Metadata!AB181,"Not applicable"))</f>
        <v>0</v>
      </c>
      <c r="BO181">
        <f>IF(Metadata!AC181="",FALSE,TRUE)</f>
        <v>0</v>
      </c>
    </row>
    <row r="182" spans="1:67">
      <c r="A182" s="5">
        <f>IF(B182=" "," ",HYPERLINK(CONCATENATE("#metadata!",ADDRESS(INDEX($AI$2:$AI$1001,MATCH(ROWS($AG$2:AG182),$AG$2:$AG$1001,0),0),1)),INDEX($AL$2:$AL$1001,MATCH(ROWS($AG$2:AG182),$AG$2:$AG$1001,0),0)))</f>
        <v>0</v>
      </c>
      <c r="B182" s="4">
        <f>IF(OR(INDEX($AH$2:$AH$1001,MATCH(ROWS($AG$2:AG182),$AG$2:$AG$1001,0),1)&gt;=100000,INDEX($AN$1005:$BO$1005,1,MATCH(COLUMNS($AN$1006:AN1006),$AN$1006:$BO$1006,0))&gt;=100000), " ",IF(INDEX($AN$2:$BO$1001,MATCH(ROWS($AG$2:AG182),$AG$2:$AG$1001,0),MATCH(COLUMNS($AN$1006:AN1006),$AN$1006:$BO$1006,0)), HYPERLINK("#",""), HYPERLINK(CONCATENATE("#Metadata!", ADDRESS(INDEX($AI$2:$AI$1001,MATCH(ROWS($AG$2:AG182),$AG$2:$AG$1001,0),0), INDEX($AN$1004:$BO$1004,1,MATCH(COLUMNS($AN$1006:AN1006),$AN$1006:$BO$1006,0)))),"Fix")))</f>
        <v>0</v>
      </c>
      <c r="C182" s="4">
        <f>IF(OR(INDEX($AH$2:$AH$1001,MATCH(ROWS($AG$2:AG182),$AG$2:$AG$1001,0),1)&gt;=100000,INDEX($AN$1005:$BO$1005,1,MATCH(COLUMNS($AN$1006:AO1006),$AN$1006:$BO$1006,0))&gt;=100000), " ",IF(INDEX($AN$2:$BO$1001,MATCH(ROWS($AG$2:AG182),$AG$2:$AG$1001,0),MATCH(COLUMNS($AN$1006:AO1006),$AN$1006:$BO$1006,0)), HYPERLINK("#",""), HYPERLINK(CONCATENATE("#Metadata!", ADDRESS(INDEX($AI$2:$AI$1001,MATCH(ROWS($AG$2:AG182),$AG$2:$AG$1001,0),0), INDEX($AN$1004:$BO$1004,1,MATCH(COLUMNS($AN$1006:AO1006),$AN$1006:$BO$1006,0)))),"Fix")))</f>
        <v>0</v>
      </c>
      <c r="D182" s="4">
        <f>IF(OR(INDEX($AH$2:$AH$1001,MATCH(ROWS($AG$2:AG182),$AG$2:$AG$1001,0),1)&gt;=100000,INDEX($AN$1005:$BO$1005,1,MATCH(COLUMNS($AN$1006:AP1006),$AN$1006:$BO$1006,0))&gt;=100000), " ",IF(INDEX($AN$2:$BO$1001,MATCH(ROWS($AG$2:AG182),$AG$2:$AG$1001,0),MATCH(COLUMNS($AN$1006:AP1006),$AN$1006:$BO$1006,0)), HYPERLINK("#",""), HYPERLINK(CONCATENATE("#Metadata!", ADDRESS(INDEX($AI$2:$AI$1001,MATCH(ROWS($AG$2:AG182),$AG$2:$AG$1001,0),0), INDEX($AN$1004:$BO$1004,1,MATCH(COLUMNS($AN$1006:AP1006),$AN$1006:$BO$1006,0)))),"Fix")))</f>
        <v>0</v>
      </c>
      <c r="E182" s="4">
        <f>IF(OR(INDEX($AH$2:$AH$1001,MATCH(ROWS($AG$2:AG182),$AG$2:$AG$1001,0),1)&gt;=100000,INDEX($AN$1005:$BO$1005,1,MATCH(COLUMNS($AN$1006:AQ1006),$AN$1006:$BO$1006,0))&gt;=100000), " ",IF(INDEX($AN$2:$BO$1001,MATCH(ROWS($AG$2:AG182),$AG$2:$AG$1001,0),MATCH(COLUMNS($AN$1006:AQ1006),$AN$1006:$BO$1006,0)), HYPERLINK("#",""), HYPERLINK(CONCATENATE("#Metadata!", ADDRESS(INDEX($AI$2:$AI$1001,MATCH(ROWS($AG$2:AG182),$AG$2:$AG$1001,0),0), INDEX($AN$1004:$BO$1004,1,MATCH(COLUMNS($AN$1006:AQ1006),$AN$1006:$BO$1006,0)))),"Fix")))</f>
        <v>0</v>
      </c>
      <c r="F182" s="4">
        <f>IF(OR(INDEX($AH$2:$AH$1001,MATCH(ROWS($AG$2:AG182),$AG$2:$AG$1001,0),1)&gt;=100000,INDEX($AN$1005:$BO$1005,1,MATCH(COLUMNS($AN$1006:AR1006),$AN$1006:$BO$1006,0))&gt;=100000), " ",IF(INDEX($AN$2:$BO$1001,MATCH(ROWS($AG$2:AG182),$AG$2:$AG$1001,0),MATCH(COLUMNS($AN$1006:AR1006),$AN$1006:$BO$1006,0)), HYPERLINK("#",""), HYPERLINK(CONCATENATE("#Metadata!", ADDRESS(INDEX($AI$2:$AI$1001,MATCH(ROWS($AG$2:AG182),$AG$2:$AG$1001,0),0), INDEX($AN$1004:$BO$1004,1,MATCH(COLUMNS($AN$1006:AR1006),$AN$1006:$BO$1006,0)))),"Fix")))</f>
        <v>0</v>
      </c>
      <c r="G182" s="4">
        <f>IF(OR(INDEX($AH$2:$AH$1001,MATCH(ROWS($AG$2:AG182),$AG$2:$AG$1001,0),1)&gt;=100000,INDEX($AN$1005:$BO$1005,1,MATCH(COLUMNS($AN$1006:AS1006),$AN$1006:$BO$1006,0))&gt;=100000), " ",IF(INDEX($AN$2:$BO$1001,MATCH(ROWS($AG$2:AG182),$AG$2:$AG$1001,0),MATCH(COLUMNS($AN$1006:AS1006),$AN$1006:$BO$1006,0)), HYPERLINK("#",""), HYPERLINK(CONCATENATE("#Metadata!", ADDRESS(INDEX($AI$2:$AI$1001,MATCH(ROWS($AG$2:AG182),$AG$2:$AG$1001,0),0), INDEX($AN$1004:$BO$1004,1,MATCH(COLUMNS($AN$1006:AS1006),$AN$1006:$BO$1006,0)))),"Fix")))</f>
        <v>0</v>
      </c>
      <c r="H182" s="4">
        <f>IF(OR(INDEX($AH$2:$AH$1001,MATCH(ROWS($AG$2:AG182),$AG$2:$AG$1001,0),1)&gt;=100000,INDEX($AN$1005:$BO$1005,1,MATCH(COLUMNS($AN$1006:AT1006),$AN$1006:$BO$1006,0))&gt;=100000), " ",IF(INDEX($AN$2:$BO$1001,MATCH(ROWS($AG$2:AG182),$AG$2:$AG$1001,0),MATCH(COLUMNS($AN$1006:AT1006),$AN$1006:$BO$1006,0)), HYPERLINK("#",""), HYPERLINK(CONCATENATE("#Metadata!", ADDRESS(INDEX($AI$2:$AI$1001,MATCH(ROWS($AG$2:AG182),$AG$2:$AG$1001,0),0), INDEX($AN$1004:$BO$1004,1,MATCH(COLUMNS($AN$1006:AT1006),$AN$1006:$BO$1006,0)))),"Fix")))</f>
        <v>0</v>
      </c>
      <c r="I182" s="4">
        <f>IF(OR(INDEX($AH$2:$AH$1001,MATCH(ROWS($AG$2:AG182),$AG$2:$AG$1001,0),1)&gt;=100000,INDEX($AN$1005:$BO$1005,1,MATCH(COLUMNS($AN$1006:AU1006),$AN$1006:$BO$1006,0))&gt;=100000), " ",IF(INDEX($AN$2:$BO$1001,MATCH(ROWS($AG$2:AG182),$AG$2:$AG$1001,0),MATCH(COLUMNS($AN$1006:AU1006),$AN$1006:$BO$1006,0)), HYPERLINK("#",""), HYPERLINK(CONCATENATE("#Metadata!", ADDRESS(INDEX($AI$2:$AI$1001,MATCH(ROWS($AG$2:AG182),$AG$2:$AG$1001,0),0), INDEX($AN$1004:$BO$1004,1,MATCH(COLUMNS($AN$1006:AU1006),$AN$1006:$BO$1006,0)))),"Fix")))</f>
        <v>0</v>
      </c>
      <c r="J182" s="4">
        <f>IF(OR(INDEX($AH$2:$AH$1001,MATCH(ROWS($AG$2:AG182),$AG$2:$AG$1001,0),1)&gt;=100000,INDEX($AN$1005:$BO$1005,1,MATCH(COLUMNS($AN$1006:AV1006),$AN$1006:$BO$1006,0))&gt;=100000), " ",IF(INDEX($AN$2:$BO$1001,MATCH(ROWS($AG$2:AG182),$AG$2:$AG$1001,0),MATCH(COLUMNS($AN$1006:AV1006),$AN$1006:$BO$1006,0)), HYPERLINK("#",""), HYPERLINK(CONCATENATE("#Metadata!", ADDRESS(INDEX($AI$2:$AI$1001,MATCH(ROWS($AG$2:AG182),$AG$2:$AG$1001,0),0), INDEX($AN$1004:$BO$1004,1,MATCH(COLUMNS($AN$1006:AV1006),$AN$1006:$BO$1006,0)))),"Fix")))</f>
        <v>0</v>
      </c>
      <c r="K182" s="4">
        <f>IF(OR(INDEX($AH$2:$AH$1001,MATCH(ROWS($AG$2:AG182),$AG$2:$AG$1001,0),1)&gt;=100000,INDEX($AN$1005:$BO$1005,1,MATCH(COLUMNS($AN$1006:AW1006),$AN$1006:$BO$1006,0))&gt;=100000), " ",IF(INDEX($AN$2:$BO$1001,MATCH(ROWS($AG$2:AG182),$AG$2:$AG$1001,0),MATCH(COLUMNS($AN$1006:AW1006),$AN$1006:$BO$1006,0)), HYPERLINK("#",""), HYPERLINK(CONCATENATE("#Metadata!", ADDRESS(INDEX($AI$2:$AI$1001,MATCH(ROWS($AG$2:AG182),$AG$2:$AG$1001,0),0), INDEX($AN$1004:$BO$1004,1,MATCH(COLUMNS($AN$1006:AW1006),$AN$1006:$BO$1006,0)))),"Fix")))</f>
        <v>0</v>
      </c>
      <c r="L182" s="4">
        <f>IF(OR(INDEX($AH$2:$AH$1001,MATCH(ROWS($AG$2:AG182),$AG$2:$AG$1001,0),1)&gt;=100000,INDEX($AN$1005:$BO$1005,1,MATCH(COLUMNS($AN$1006:AX1006),$AN$1006:$BO$1006,0))&gt;=100000), " ",IF(INDEX($AN$2:$BO$1001,MATCH(ROWS($AG$2:AG182),$AG$2:$AG$1001,0),MATCH(COLUMNS($AN$1006:AX1006),$AN$1006:$BO$1006,0)), HYPERLINK("#",""), HYPERLINK(CONCATENATE("#Metadata!", ADDRESS(INDEX($AI$2:$AI$1001,MATCH(ROWS($AG$2:AG182),$AG$2:$AG$1001,0),0), INDEX($AN$1004:$BO$1004,1,MATCH(COLUMNS($AN$1006:AX1006),$AN$1006:$BO$1006,0)))),"Fix")))</f>
        <v>0</v>
      </c>
      <c r="M182" s="4">
        <f>IF(OR(INDEX($AH$2:$AH$1001,MATCH(ROWS($AG$2:AG182),$AG$2:$AG$1001,0),1)&gt;=100000,INDEX($AN$1005:$BO$1005,1,MATCH(COLUMNS($AN$1006:AY1006),$AN$1006:$BO$1006,0))&gt;=100000), " ",IF(INDEX($AN$2:$BO$1001,MATCH(ROWS($AG$2:AG182),$AG$2:$AG$1001,0),MATCH(COLUMNS($AN$1006:AY1006),$AN$1006:$BO$1006,0)), HYPERLINK("#",""), HYPERLINK(CONCATENATE("#Metadata!", ADDRESS(INDEX($AI$2:$AI$1001,MATCH(ROWS($AG$2:AG182),$AG$2:$AG$1001,0),0), INDEX($AN$1004:$BO$1004,1,MATCH(COLUMNS($AN$1006:AY1006),$AN$1006:$BO$1006,0)))),"Fix")))</f>
        <v>0</v>
      </c>
      <c r="N182" s="4">
        <f>IF(OR(INDEX($AH$2:$AH$1001,MATCH(ROWS($AG$2:AG182),$AG$2:$AG$1001,0),1)&gt;=100000,INDEX($AN$1005:$BO$1005,1,MATCH(COLUMNS($AN$1006:AZ1006),$AN$1006:$BO$1006,0))&gt;=100000), " ",IF(INDEX($AN$2:$BO$1001,MATCH(ROWS($AG$2:AG182),$AG$2:$AG$1001,0),MATCH(COLUMNS($AN$1006:AZ1006),$AN$1006:$BO$1006,0)), HYPERLINK("#",""), HYPERLINK(CONCATENATE("#Metadata!", ADDRESS(INDEX($AI$2:$AI$1001,MATCH(ROWS($AG$2:AG182),$AG$2:$AG$1001,0),0), INDEX($AN$1004:$BO$1004,1,MATCH(COLUMNS($AN$1006:AZ1006),$AN$1006:$BO$1006,0)))),"Fix")))</f>
        <v>0</v>
      </c>
      <c r="O182" s="4">
        <f>IF(OR(INDEX($AH$2:$AH$1001,MATCH(ROWS($AG$2:AG182),$AG$2:$AG$1001,0),1)&gt;=100000,INDEX($AN$1005:$BO$1005,1,MATCH(COLUMNS($AN$1006:BA1006),$AN$1006:$BO$1006,0))&gt;=100000), " ",IF(INDEX($AN$2:$BO$1001,MATCH(ROWS($AG$2:AG182),$AG$2:$AG$1001,0),MATCH(COLUMNS($AN$1006:BA1006),$AN$1006:$BO$1006,0)), HYPERLINK("#",""), HYPERLINK(CONCATENATE("#Metadata!", ADDRESS(INDEX($AI$2:$AI$1001,MATCH(ROWS($AG$2:AG182),$AG$2:$AG$1001,0),0), INDEX($AN$1004:$BO$1004,1,MATCH(COLUMNS($AN$1006:BA1006),$AN$1006:$BO$1006,0)))),"Fix")))</f>
        <v>0</v>
      </c>
      <c r="P182" s="4">
        <f>IF(OR(INDEX($AH$2:$AH$1001,MATCH(ROWS($AG$2:AG182),$AG$2:$AG$1001,0),1)&gt;=100000,INDEX($AN$1005:$BO$1005,1,MATCH(COLUMNS($AN$1006:BB1006),$AN$1006:$BO$1006,0))&gt;=100000), " ",IF(INDEX($AN$2:$BO$1001,MATCH(ROWS($AG$2:AG182),$AG$2:$AG$1001,0),MATCH(COLUMNS($AN$1006:BB1006),$AN$1006:$BO$1006,0)), HYPERLINK("#",""), HYPERLINK(CONCATENATE("#Metadata!", ADDRESS(INDEX($AI$2:$AI$1001,MATCH(ROWS($AG$2:AG182),$AG$2:$AG$1001,0),0), INDEX($AN$1004:$BO$1004,1,MATCH(COLUMNS($AN$1006:BB1006),$AN$1006:$BO$1006,0)))),"Fix")))</f>
        <v>0</v>
      </c>
      <c r="Q182" s="4">
        <f>IF(OR(INDEX($AH$2:$AH$1001,MATCH(ROWS($AG$2:AG182),$AG$2:$AG$1001,0),1)&gt;=100000,INDEX($AN$1005:$BO$1005,1,MATCH(COLUMNS($AN$1006:BC1006),$AN$1006:$BO$1006,0))&gt;=100000), " ",IF(INDEX($AN$2:$BO$1001,MATCH(ROWS($AG$2:AG182),$AG$2:$AG$1001,0),MATCH(COLUMNS($AN$1006:BC1006),$AN$1006:$BO$1006,0)), HYPERLINK("#",""), HYPERLINK(CONCATENATE("#Metadata!", ADDRESS(INDEX($AI$2:$AI$1001,MATCH(ROWS($AG$2:AG182),$AG$2:$AG$1001,0),0), INDEX($AN$1004:$BO$1004,1,MATCH(COLUMNS($AN$1006:BC1006),$AN$1006:$BO$1006,0)))),"Fix")))</f>
        <v>0</v>
      </c>
      <c r="R182" s="4">
        <f>IF(OR(INDEX($AH$2:$AH$1001,MATCH(ROWS($AG$2:AG182),$AG$2:$AG$1001,0),1)&gt;=100000,INDEX($AN$1005:$BO$1005,1,MATCH(COLUMNS($AN$1006:BD1006),$AN$1006:$BO$1006,0))&gt;=100000), " ",IF(INDEX($AN$2:$BO$1001,MATCH(ROWS($AG$2:AG182),$AG$2:$AG$1001,0),MATCH(COLUMNS($AN$1006:BD1006),$AN$1006:$BO$1006,0)), HYPERLINK("#",""), HYPERLINK(CONCATENATE("#Metadata!", ADDRESS(INDEX($AI$2:$AI$1001,MATCH(ROWS($AG$2:AG182),$AG$2:$AG$1001,0),0), INDEX($AN$1004:$BO$1004,1,MATCH(COLUMNS($AN$1006:BD1006),$AN$1006:$BO$1006,0)))),"Fix")))</f>
        <v>0</v>
      </c>
      <c r="S182" s="4">
        <f>IF(OR(INDEX($AH$2:$AH$1001,MATCH(ROWS($AG$2:AG182),$AG$2:$AG$1001,0),1)&gt;=100000,INDEX($AN$1005:$BO$1005,1,MATCH(COLUMNS($AN$1006:BE1006),$AN$1006:$BO$1006,0))&gt;=100000), " ",IF(INDEX($AN$2:$BO$1001,MATCH(ROWS($AG$2:AG182),$AG$2:$AG$1001,0),MATCH(COLUMNS($AN$1006:BE1006),$AN$1006:$BO$1006,0)), HYPERLINK("#",""), HYPERLINK(CONCATENATE("#Metadata!", ADDRESS(INDEX($AI$2:$AI$1001,MATCH(ROWS($AG$2:AG182),$AG$2:$AG$1001,0),0), INDEX($AN$1004:$BO$1004,1,MATCH(COLUMNS($AN$1006:BE1006),$AN$1006:$BO$1006,0)))),"Fix")))</f>
        <v>0</v>
      </c>
      <c r="T182" s="4">
        <f>IF(OR(INDEX($AH$2:$AH$1001,MATCH(ROWS($AG$2:AG182),$AG$2:$AG$1001,0),1)&gt;=100000,INDEX($AN$1005:$BO$1005,1,MATCH(COLUMNS($AN$1006:BF1006),$AN$1006:$BO$1006,0))&gt;=100000), " ",IF(INDEX($AN$2:$BO$1001,MATCH(ROWS($AG$2:AG182),$AG$2:$AG$1001,0),MATCH(COLUMNS($AN$1006:BF1006),$AN$1006:$BO$1006,0)), HYPERLINK("#",""), HYPERLINK(CONCATENATE("#Metadata!", ADDRESS(INDEX($AI$2:$AI$1001,MATCH(ROWS($AG$2:AG182),$AG$2:$AG$1001,0),0), INDEX($AN$1004:$BO$1004,1,MATCH(COLUMNS($AN$1006:BF1006),$AN$1006:$BO$1006,0)))),"Fix")))</f>
        <v>0</v>
      </c>
      <c r="U182" s="4">
        <f>IF(OR(INDEX($AH$2:$AH$1001,MATCH(ROWS($AG$2:AG182),$AG$2:$AG$1001,0),1)&gt;=100000,INDEX($AN$1005:$BO$1005,1,MATCH(COLUMNS($AN$1006:BG1006),$AN$1006:$BO$1006,0))&gt;=100000), " ",IF(INDEX($AN$2:$BO$1001,MATCH(ROWS($AG$2:AG182),$AG$2:$AG$1001,0),MATCH(COLUMNS($AN$1006:BG1006),$AN$1006:$BO$1006,0)), HYPERLINK("#",""), HYPERLINK(CONCATENATE("#Metadata!", ADDRESS(INDEX($AI$2:$AI$1001,MATCH(ROWS($AG$2:AG182),$AG$2:$AG$1001,0),0), INDEX($AN$1004:$BO$1004,1,MATCH(COLUMNS($AN$1006:BG1006),$AN$1006:$BO$1006,0)))),"Fix")))</f>
        <v>0</v>
      </c>
      <c r="V182" s="4">
        <f>IF(OR(INDEX($AH$2:$AH$1001,MATCH(ROWS($AG$2:AG182),$AG$2:$AG$1001,0),1)&gt;=100000,INDEX($AN$1005:$BO$1005,1,MATCH(COLUMNS($AN$1006:BH1006),$AN$1006:$BO$1006,0))&gt;=100000), " ",IF(INDEX($AN$2:$BO$1001,MATCH(ROWS($AG$2:AG182),$AG$2:$AG$1001,0),MATCH(COLUMNS($AN$1006:BH1006),$AN$1006:$BO$1006,0)), HYPERLINK("#",""), HYPERLINK(CONCATENATE("#Metadata!", ADDRESS(INDEX($AI$2:$AI$1001,MATCH(ROWS($AG$2:AG182),$AG$2:$AG$1001,0),0), INDEX($AN$1004:$BO$1004,1,MATCH(COLUMNS($AN$1006:BH1006),$AN$1006:$BO$1006,0)))),"Fix")))</f>
        <v>0</v>
      </c>
      <c r="W182" s="4">
        <f>IF(OR(INDEX($AH$2:$AH$1001,MATCH(ROWS($AG$2:AG182),$AG$2:$AG$1001,0),1)&gt;=100000,INDEX($AN$1005:$BO$1005,1,MATCH(COLUMNS($AN$1006:BI1006),$AN$1006:$BO$1006,0))&gt;=100000), " ",IF(INDEX($AN$2:$BO$1001,MATCH(ROWS($AG$2:AG182),$AG$2:$AG$1001,0),MATCH(COLUMNS($AN$1006:BI1006),$AN$1006:$BO$1006,0)), HYPERLINK("#",""), HYPERLINK(CONCATENATE("#Metadata!", ADDRESS(INDEX($AI$2:$AI$1001,MATCH(ROWS($AG$2:AG182),$AG$2:$AG$1001,0),0), INDEX($AN$1004:$BO$1004,1,MATCH(COLUMNS($AN$1006:BI1006),$AN$1006:$BO$1006,0)))),"Fix")))</f>
        <v>0</v>
      </c>
      <c r="X182" s="4">
        <f>IF(OR(INDEX($AH$2:$AH$1001,MATCH(ROWS($AG$2:AG182),$AG$2:$AG$1001,0),1)&gt;=100000,INDEX($AN$1005:$BO$1005,1,MATCH(COLUMNS($AN$1006:BJ1006),$AN$1006:$BO$1006,0))&gt;=100000), " ",IF(INDEX($AN$2:$BO$1001,MATCH(ROWS($AG$2:AG182),$AG$2:$AG$1001,0),MATCH(COLUMNS($AN$1006:BJ1006),$AN$1006:$BO$1006,0)), HYPERLINK("#",""), HYPERLINK(CONCATENATE("#Metadata!", ADDRESS(INDEX($AI$2:$AI$1001,MATCH(ROWS($AG$2:AG182),$AG$2:$AG$1001,0),0), INDEX($AN$1004:$BO$1004,1,MATCH(COLUMNS($AN$1006:BJ1006),$AN$1006:$BO$1006,0)))),"Fix")))</f>
        <v>0</v>
      </c>
      <c r="Y182" s="4">
        <f>IF(OR(INDEX($AH$2:$AH$1001,MATCH(ROWS($AG$2:AG182),$AG$2:$AG$1001,0),1)&gt;=100000,INDEX($AN$1005:$BO$1005,1,MATCH(COLUMNS($AN$1006:BK1006),$AN$1006:$BO$1006,0))&gt;=100000), " ",IF(INDEX($AN$2:$BO$1001,MATCH(ROWS($AG$2:AG182),$AG$2:$AG$1001,0),MATCH(COLUMNS($AN$1006:BK1006),$AN$1006:$BO$1006,0)), HYPERLINK("#",""), HYPERLINK(CONCATENATE("#Metadata!", ADDRESS(INDEX($AI$2:$AI$1001,MATCH(ROWS($AG$2:AG182),$AG$2:$AG$1001,0),0), INDEX($AN$1004:$BO$1004,1,MATCH(COLUMNS($AN$1006:BK1006),$AN$1006:$BO$1006,0)))),"Fix")))</f>
        <v>0</v>
      </c>
      <c r="Z182" s="4">
        <f>IF(OR(INDEX($AH$2:$AH$1001,MATCH(ROWS($AG$2:AG182),$AG$2:$AG$1001,0),1)&gt;=100000,INDEX($AN$1005:$BO$1005,1,MATCH(COLUMNS($AN$1006:BL1006),$AN$1006:$BO$1006,0))&gt;=100000), " ",IF(INDEX($AN$2:$BO$1001,MATCH(ROWS($AG$2:AG182),$AG$2:$AG$1001,0),MATCH(COLUMNS($AN$1006:BL1006),$AN$1006:$BO$1006,0)), HYPERLINK("#",""), HYPERLINK(CONCATENATE("#Metadata!", ADDRESS(INDEX($AI$2:$AI$1001,MATCH(ROWS($AG$2:AG182),$AG$2:$AG$1001,0),0), INDEX($AN$1004:$BO$1004,1,MATCH(COLUMNS($AN$1006:BL1006),$AN$1006:$BO$1006,0)))),"Fix")))</f>
        <v>0</v>
      </c>
      <c r="AA182" s="4">
        <f>IF(OR(INDEX($AH$2:$AH$1001,MATCH(ROWS($AG$2:AG182),$AG$2:$AG$1001,0),1)&gt;=100000,INDEX($AN$1005:$BO$1005,1,MATCH(COLUMNS($AN$1006:BM1006),$AN$1006:$BO$1006,0))&gt;=100000), " ",IF(INDEX($AN$2:$BO$1001,MATCH(ROWS($AG$2:AG182),$AG$2:$AG$1001,0),MATCH(COLUMNS($AN$1006:BM1006),$AN$1006:$BO$1006,0)), HYPERLINK("#",""), HYPERLINK(CONCATENATE("#Metadata!", ADDRESS(INDEX($AI$2:$AI$1001,MATCH(ROWS($AG$2:AG182),$AG$2:$AG$1001,0),0), INDEX($AN$1004:$BO$1004,1,MATCH(COLUMNS($AN$1006:BM1006),$AN$1006:$BO$1006,0)))),"Fix")))</f>
        <v>0</v>
      </c>
      <c r="AB182" s="4">
        <f>IF(OR(INDEX($AH$2:$AH$1001,MATCH(ROWS($AG$2:AG182),$AG$2:$AG$1001,0),1)&gt;=100000,INDEX($AN$1005:$BO$1005,1,MATCH(COLUMNS($AN$1006:BN1006),$AN$1006:$BO$1006,0))&gt;=100000), " ",IF(INDEX($AN$2:$BO$1001,MATCH(ROWS($AG$2:AG182),$AG$2:$AG$1001,0),MATCH(COLUMNS($AN$1006:BN1006),$AN$1006:$BO$1006,0)), HYPERLINK("#",""), HYPERLINK(CONCATENATE("#Metadata!", ADDRESS(INDEX($AI$2:$AI$1001,MATCH(ROWS($AG$2:AG182),$AG$2:$AG$1001,0),0), INDEX($AN$1004:$BO$1004,1,MATCH(COLUMNS($AN$1006:BN1006),$AN$1006:$BO$1006,0)))),"Fix")))</f>
        <v>0</v>
      </c>
      <c r="AC182" s="4">
        <f>IF(OR(INDEX($AH$2:$AH$1001,MATCH(ROWS($AG$2:AG182),$AG$2:$AG$1001,0),1)&gt;=100000,INDEX($AN$1005:$BO$1005,1,MATCH(COLUMNS($AN$1006:BO1006),$AN$1006:$BO$1006,0))&gt;=100000), " ",IF(INDEX($AN$2:$BO$1001,MATCH(ROWS($AG$2:AG182),$AG$2:$AG$1001,0),MATCH(COLUMNS($AN$1006:BO1006),$AN$1006:$BO$1006,0)), HYPERLINK("#",""), HYPERLINK(CONCATENATE("#Metadata!", ADDRESS(INDEX($AI$2:$AI$1001,MATCH(ROWS($AG$2:AG182),$AG$2:$AG$1001,0),0), INDEX($AN$1004:$BO$1004,1,MATCH(COLUMNS($AN$1006:BO1006),$AN$1006:$BO$1006,0)))),"Fix")))</f>
        <v>0</v>
      </c>
      <c r="AG182">
        <v>0</v>
      </c>
      <c r="AH182">
        <v>0</v>
      </c>
      <c r="AI182">
        <v>0</v>
      </c>
      <c r="AJ182">
        <f>IF(AK182,TRUE,AND(AN182:BO182))</f>
        <v>0</v>
      </c>
      <c r="AK182">
        <f>COUNTBLANK(Metadata!B182:AC182)=COLUMNS(Metadata!B182:AC182)</f>
        <v>0</v>
      </c>
      <c r="AL182">
        <v>0</v>
      </c>
      <c r="AN182">
        <f>AND(IF(Metadata!B182="",FALSE,TRUE),COUNTIF(Metadata!B:B, Metadata!B182) = 1,NOT(ISERROR(SUMPRODUCT(SEARCH(MID(Metadata!B182,ROW(INDIRECT("1:"&amp;LEN(Metadata!B182))), 1),"0123456789abcdefghijklmnopqrstuvwxyzABCDEFGHIJKLMNOPQRSTUVWXYZ.")))))</f>
        <v>0</v>
      </c>
      <c r="AO182">
        <f>IF(Metadata!C182="",FALSE,TRUE)</f>
        <v>0</v>
      </c>
      <c r="AP182">
        <f>IF(Metadata!D182="",FALSE,TRUE)</f>
        <v>0</v>
      </c>
      <c r="AQ182">
        <f>OR(AND(IF(Metadata!E182="",FALSE,TRUE),OR(exact(Metadata!E182,"not collected"),exact(Metadata!E182,"not provided"),exact(Metadata!E182,"restricted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R182">
        <f>IF(Metadata!F182="",FALSE,TRUE)</f>
        <v>0</v>
      </c>
      <c r="AS182">
        <f>OR(AND(IF(Metadata!G182="",FALSE,TRUE),OR(exact(Metadata!G182,"not collected"),exact(Metadata!G182,"not provided"))),AND(IF(Metadata!G182="",FALSE,TRUE),OR(exact(Metadata!G182,"TRUE"),exact(Metadata!G182,"FALSE"))))</f>
        <v>0</v>
      </c>
      <c r="AT182">
        <f>OR(AND(IF(Metadata!H182="",FALSE,TRUE),OR(exact(Metadata!H182,"not collected"),exact(Metadata!H182,"not provided"),exact(Metadata!H182,"restricted access"))),AND(IF(Metadata!H182="",FALSE,ISNUMBER(VALUE(Metadata!H182))),Metadata!H182&gt;=-413.0))</f>
        <v>0</v>
      </c>
      <c r="AU182">
        <f>AND(IF(Metadata!I182="",FALSE,TRUE),exact(Metadata!I182,"meters"))</f>
        <v>0</v>
      </c>
      <c r="AV182">
        <f>AND(IF(Metadata!J182="",FALSE,TRUE),OR(exact(Metadata!J182,"Host-associated"),exact(Metadata!J182,"Free-living")))</f>
        <v>0</v>
      </c>
      <c r="AW182">
        <f>AND(IF(Metadata!K182="",FALSE,TRUE),OR(exact(Metadata!K182,"Animal"),exact(Metadata!K182,"Fungus"),exact(Metadata!K182,"Plant"),exact(Metadata!K182,"Saline"),exact(Metadata!K182,"Non-saline")))</f>
        <v>0</v>
      </c>
      <c r="AX182">
        <f>AND(IF(Metadata!L182="",FALSE,TRUE),OR(exact(Metadata!L182,"Plant secretion"),exact(Metadata!L182,"Plant rhizosphere"),exact(Metadata!L182,"Plant surface"),exact(Metadata!L182,"Plant corpus"),exact(Metadata!L182,"Fungus surface"),exact(Metadata!L182,"Fungus corpus"),exact(Metadata!L182,"Animal surface"),exact(Metadata!L182,"Animal proximal gut"),exact(Metadata!L182,"Animal corpus"),exact(Metadata!L182,"Animal distal gut"),exact(Metadata!L182,"Animal secretion"),exact(Metadata!L182,"Sub-surface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Y182">
        <f>IF(Metadata!M182="",FALSE,TRUE)</f>
        <v>0</v>
      </c>
      <c r="AZ182">
        <f>IF(Metadata!N182="",FALSE,TRUE)</f>
        <v>0</v>
      </c>
      <c r="BA182">
        <f>IF(Metadata!O182="",FALSE,TRUE)</f>
        <v>0</v>
      </c>
      <c r="BB182">
        <f>OR(AND(IF(Metadata!P182="",FALSE,TRUE),OR(exact(Metadata!P182,"not collected"),exact(Metadata!P182,"not provided"),exact(Metadata!P182,"restricted access"))),AND(IF(Metadata!P182="",FALSE,TRUE),OR(exact(Metadata!P182,"air"),exact(Metadata!P182,"built environment"),exact(Metadata!P182,"host-associated"),exact(Metadata!P182,"human-associated"),exact(Metadata!P182,"human-skin"),exact(Metadata!P182,"human-oral"),exact(Metadata!P182,"human-gut"),exact(Metadata!P182,"human-vaginal"),exact(Metadata!P182,"microbial mat/biofilm"),exact(Metadata!P182,"misc environment"),exact(Metadata!P182,"plant-associated"),exact(Metadata!P182,"sediment"),exact(Metadata!P182,"soil"),exact(Metadata!P182,"wastewater/sludge"),exact(Metadata!P182,"water"))))</f>
        <v>0</v>
      </c>
      <c r="BC182">
        <f>IF(Metadata!Q182="",FALSE,TRUE)</f>
        <v>0</v>
      </c>
      <c r="BD182">
        <f>IF(Metadata!R182="",FALSE,TRUE)</f>
        <v>0</v>
      </c>
      <c r="BE182">
        <f>OR(AND(IF(Metadata!S182="",FALSE,TRUE),OR(exact(Metadata!S182,"not collected"),exact(Metadata!S182,"not provided"),exact(Metadata!S182,"restricted access"))),AND(IF(Metadata!S182="",FALSE,ISNUMBER(VALUE(Metadata!S182))),Metadata!S182&gt;=-90.00,Metadata!S182&lt;=90.00))</f>
        <v>0</v>
      </c>
      <c r="BF182">
        <f>AND(IF(Metadata!T182="",FALSE,TRUE),exact(Metadata!T182,"Decimal degrees"))</f>
        <v>0</v>
      </c>
      <c r="BG182">
        <f>OR(AND(IF(Metadata!U182="",FALSE,TRUE),OR(exact(Metadata!U182,"not collected"),exact(Metadata!U182,"not provided"),exact(Metadata!U182,"restricted access"))),AND(IF(Metadata!U182="",FALSE,ISNUMBER(VALUE(Metadata!U182))),Metadata!U182&gt;=-180.00,Metadata!U182&lt;=180.00))</f>
        <v>0</v>
      </c>
      <c r="BH182">
        <f>AND(IF(Metadata!V182="",FALSE,TRUE),exact(Metadata!V182,"Decimal degrees"))</f>
        <v>0</v>
      </c>
      <c r="BI182">
        <f>IF(Metadata!W182="",FALSE,TRUE)</f>
        <v>0</v>
      </c>
      <c r="BJ182">
        <f>OR(AND(IF(Metadata!X182="",FALSE,TRUE),OR(exact(Metadata!X182,"not collected"),exact(Metadata!X182,"not provided"),exact(Metadata!X182,"restricted access"))),AND(IF(Metadata!X182="",FALSE,TRUE),OR(exact(Metadata!X182,"TRUE"),exact(Metadata!X182,"FALSE"))))</f>
        <v>0</v>
      </c>
      <c r="BK182">
        <f>AND(IF(Metadata!Y182="",FALSE,TRUE),exact(Metadata!Y182,"other"))</f>
        <v>0</v>
      </c>
      <c r="BL182">
        <f>IF(Metadata!Z182="",FALSE,TRUE)</f>
        <v>0</v>
      </c>
      <c r="BM182">
        <f>OR(AND(IF(Metadata!AA182="",FALSE,TRUE),OR(exact(Metadata!AA182,"not collected"),exact(Metadata!AA182,"not provided"))),AND(IF(Metadata!AA182="",FALSE,IF(ISERROR(INT(Metadata!AA182)),FALSE,INT(Metadata!AA182)=Metadata!AA182)),Metadata!AA182&gt;0))</f>
        <v>0</v>
      </c>
      <c r="BN182">
        <f>AND(IF(Metadata!AB182="",FALSE,TRUE),exact(Metadata!AB182,"Not applicable"))</f>
        <v>0</v>
      </c>
      <c r="BO182">
        <f>IF(Metadata!AC182="",FALSE,TRUE)</f>
        <v>0</v>
      </c>
    </row>
    <row r="183" spans="1:67">
      <c r="A183" s="5">
        <f>IF(B183=" "," ",HYPERLINK(CONCATENATE("#metadata!",ADDRESS(INDEX($AI$2:$AI$1001,MATCH(ROWS($AG$2:AG183),$AG$2:$AG$1001,0),0),1)),INDEX($AL$2:$AL$1001,MATCH(ROWS($AG$2:AG183),$AG$2:$AG$1001,0),0)))</f>
        <v>0</v>
      </c>
      <c r="B183" s="4">
        <f>IF(OR(INDEX($AH$2:$AH$1001,MATCH(ROWS($AG$2:AG183),$AG$2:$AG$1001,0),1)&gt;=100000,INDEX($AN$1005:$BO$1005,1,MATCH(COLUMNS($AN$1006:AN1006),$AN$1006:$BO$1006,0))&gt;=100000), " ",IF(INDEX($AN$2:$BO$1001,MATCH(ROWS($AG$2:AG183),$AG$2:$AG$1001,0),MATCH(COLUMNS($AN$1006:AN1006),$AN$1006:$BO$1006,0)), HYPERLINK("#",""), HYPERLINK(CONCATENATE("#Metadata!", ADDRESS(INDEX($AI$2:$AI$1001,MATCH(ROWS($AG$2:AG183),$AG$2:$AG$1001,0),0), INDEX($AN$1004:$BO$1004,1,MATCH(COLUMNS($AN$1006:AN1006),$AN$1006:$BO$1006,0)))),"Fix")))</f>
        <v>0</v>
      </c>
      <c r="C183" s="4">
        <f>IF(OR(INDEX($AH$2:$AH$1001,MATCH(ROWS($AG$2:AG183),$AG$2:$AG$1001,0),1)&gt;=100000,INDEX($AN$1005:$BO$1005,1,MATCH(COLUMNS($AN$1006:AO1006),$AN$1006:$BO$1006,0))&gt;=100000), " ",IF(INDEX($AN$2:$BO$1001,MATCH(ROWS($AG$2:AG183),$AG$2:$AG$1001,0),MATCH(COLUMNS($AN$1006:AO1006),$AN$1006:$BO$1006,0)), HYPERLINK("#",""), HYPERLINK(CONCATENATE("#Metadata!", ADDRESS(INDEX($AI$2:$AI$1001,MATCH(ROWS($AG$2:AG183),$AG$2:$AG$1001,0),0), INDEX($AN$1004:$BO$1004,1,MATCH(COLUMNS($AN$1006:AO1006),$AN$1006:$BO$1006,0)))),"Fix")))</f>
        <v>0</v>
      </c>
      <c r="D183" s="4">
        <f>IF(OR(INDEX($AH$2:$AH$1001,MATCH(ROWS($AG$2:AG183),$AG$2:$AG$1001,0),1)&gt;=100000,INDEX($AN$1005:$BO$1005,1,MATCH(COLUMNS($AN$1006:AP1006),$AN$1006:$BO$1006,0))&gt;=100000), " ",IF(INDEX($AN$2:$BO$1001,MATCH(ROWS($AG$2:AG183),$AG$2:$AG$1001,0),MATCH(COLUMNS($AN$1006:AP1006),$AN$1006:$BO$1006,0)), HYPERLINK("#",""), HYPERLINK(CONCATENATE("#Metadata!", ADDRESS(INDEX($AI$2:$AI$1001,MATCH(ROWS($AG$2:AG183),$AG$2:$AG$1001,0),0), INDEX($AN$1004:$BO$1004,1,MATCH(COLUMNS($AN$1006:AP1006),$AN$1006:$BO$1006,0)))),"Fix")))</f>
        <v>0</v>
      </c>
      <c r="E183" s="4">
        <f>IF(OR(INDEX($AH$2:$AH$1001,MATCH(ROWS($AG$2:AG183),$AG$2:$AG$1001,0),1)&gt;=100000,INDEX($AN$1005:$BO$1005,1,MATCH(COLUMNS($AN$1006:AQ1006),$AN$1006:$BO$1006,0))&gt;=100000), " ",IF(INDEX($AN$2:$BO$1001,MATCH(ROWS($AG$2:AG183),$AG$2:$AG$1001,0),MATCH(COLUMNS($AN$1006:AQ1006),$AN$1006:$BO$1006,0)), HYPERLINK("#",""), HYPERLINK(CONCATENATE("#Metadata!", ADDRESS(INDEX($AI$2:$AI$1001,MATCH(ROWS($AG$2:AG183),$AG$2:$AG$1001,0),0), INDEX($AN$1004:$BO$1004,1,MATCH(COLUMNS($AN$1006:AQ1006),$AN$1006:$BO$1006,0)))),"Fix")))</f>
        <v>0</v>
      </c>
      <c r="F183" s="4">
        <f>IF(OR(INDEX($AH$2:$AH$1001,MATCH(ROWS($AG$2:AG183),$AG$2:$AG$1001,0),1)&gt;=100000,INDEX($AN$1005:$BO$1005,1,MATCH(COLUMNS($AN$1006:AR1006),$AN$1006:$BO$1006,0))&gt;=100000), " ",IF(INDEX($AN$2:$BO$1001,MATCH(ROWS($AG$2:AG183),$AG$2:$AG$1001,0),MATCH(COLUMNS($AN$1006:AR1006),$AN$1006:$BO$1006,0)), HYPERLINK("#",""), HYPERLINK(CONCATENATE("#Metadata!", ADDRESS(INDEX($AI$2:$AI$1001,MATCH(ROWS($AG$2:AG183),$AG$2:$AG$1001,0),0), INDEX($AN$1004:$BO$1004,1,MATCH(COLUMNS($AN$1006:AR1006),$AN$1006:$BO$1006,0)))),"Fix")))</f>
        <v>0</v>
      </c>
      <c r="G183" s="4">
        <f>IF(OR(INDEX($AH$2:$AH$1001,MATCH(ROWS($AG$2:AG183),$AG$2:$AG$1001,0),1)&gt;=100000,INDEX($AN$1005:$BO$1005,1,MATCH(COLUMNS($AN$1006:AS1006),$AN$1006:$BO$1006,0))&gt;=100000), " ",IF(INDEX($AN$2:$BO$1001,MATCH(ROWS($AG$2:AG183),$AG$2:$AG$1001,0),MATCH(COLUMNS($AN$1006:AS1006),$AN$1006:$BO$1006,0)), HYPERLINK("#",""), HYPERLINK(CONCATENATE("#Metadata!", ADDRESS(INDEX($AI$2:$AI$1001,MATCH(ROWS($AG$2:AG183),$AG$2:$AG$1001,0),0), INDEX($AN$1004:$BO$1004,1,MATCH(COLUMNS($AN$1006:AS1006),$AN$1006:$BO$1006,0)))),"Fix")))</f>
        <v>0</v>
      </c>
      <c r="H183" s="4">
        <f>IF(OR(INDEX($AH$2:$AH$1001,MATCH(ROWS($AG$2:AG183),$AG$2:$AG$1001,0),1)&gt;=100000,INDEX($AN$1005:$BO$1005,1,MATCH(COLUMNS($AN$1006:AT1006),$AN$1006:$BO$1006,0))&gt;=100000), " ",IF(INDEX($AN$2:$BO$1001,MATCH(ROWS($AG$2:AG183),$AG$2:$AG$1001,0),MATCH(COLUMNS($AN$1006:AT1006),$AN$1006:$BO$1006,0)), HYPERLINK("#",""), HYPERLINK(CONCATENATE("#Metadata!", ADDRESS(INDEX($AI$2:$AI$1001,MATCH(ROWS($AG$2:AG183),$AG$2:$AG$1001,0),0), INDEX($AN$1004:$BO$1004,1,MATCH(COLUMNS($AN$1006:AT1006),$AN$1006:$BO$1006,0)))),"Fix")))</f>
        <v>0</v>
      </c>
      <c r="I183" s="4">
        <f>IF(OR(INDEX($AH$2:$AH$1001,MATCH(ROWS($AG$2:AG183),$AG$2:$AG$1001,0),1)&gt;=100000,INDEX($AN$1005:$BO$1005,1,MATCH(COLUMNS($AN$1006:AU1006),$AN$1006:$BO$1006,0))&gt;=100000), " ",IF(INDEX($AN$2:$BO$1001,MATCH(ROWS($AG$2:AG183),$AG$2:$AG$1001,0),MATCH(COLUMNS($AN$1006:AU1006),$AN$1006:$BO$1006,0)), HYPERLINK("#",""), HYPERLINK(CONCATENATE("#Metadata!", ADDRESS(INDEX($AI$2:$AI$1001,MATCH(ROWS($AG$2:AG183),$AG$2:$AG$1001,0),0), INDEX($AN$1004:$BO$1004,1,MATCH(COLUMNS($AN$1006:AU1006),$AN$1006:$BO$1006,0)))),"Fix")))</f>
        <v>0</v>
      </c>
      <c r="J183" s="4">
        <f>IF(OR(INDEX($AH$2:$AH$1001,MATCH(ROWS($AG$2:AG183),$AG$2:$AG$1001,0),1)&gt;=100000,INDEX($AN$1005:$BO$1005,1,MATCH(COLUMNS($AN$1006:AV1006),$AN$1006:$BO$1006,0))&gt;=100000), " ",IF(INDEX($AN$2:$BO$1001,MATCH(ROWS($AG$2:AG183),$AG$2:$AG$1001,0),MATCH(COLUMNS($AN$1006:AV1006),$AN$1006:$BO$1006,0)), HYPERLINK("#",""), HYPERLINK(CONCATENATE("#Metadata!", ADDRESS(INDEX($AI$2:$AI$1001,MATCH(ROWS($AG$2:AG183),$AG$2:$AG$1001,0),0), INDEX($AN$1004:$BO$1004,1,MATCH(COLUMNS($AN$1006:AV1006),$AN$1006:$BO$1006,0)))),"Fix")))</f>
        <v>0</v>
      </c>
      <c r="K183" s="4">
        <f>IF(OR(INDEX($AH$2:$AH$1001,MATCH(ROWS($AG$2:AG183),$AG$2:$AG$1001,0),1)&gt;=100000,INDEX($AN$1005:$BO$1005,1,MATCH(COLUMNS($AN$1006:AW1006),$AN$1006:$BO$1006,0))&gt;=100000), " ",IF(INDEX($AN$2:$BO$1001,MATCH(ROWS($AG$2:AG183),$AG$2:$AG$1001,0),MATCH(COLUMNS($AN$1006:AW1006),$AN$1006:$BO$1006,0)), HYPERLINK("#",""), HYPERLINK(CONCATENATE("#Metadata!", ADDRESS(INDEX($AI$2:$AI$1001,MATCH(ROWS($AG$2:AG183),$AG$2:$AG$1001,0),0), INDEX($AN$1004:$BO$1004,1,MATCH(COLUMNS($AN$1006:AW1006),$AN$1006:$BO$1006,0)))),"Fix")))</f>
        <v>0</v>
      </c>
      <c r="L183" s="4">
        <f>IF(OR(INDEX($AH$2:$AH$1001,MATCH(ROWS($AG$2:AG183),$AG$2:$AG$1001,0),1)&gt;=100000,INDEX($AN$1005:$BO$1005,1,MATCH(COLUMNS($AN$1006:AX1006),$AN$1006:$BO$1006,0))&gt;=100000), " ",IF(INDEX($AN$2:$BO$1001,MATCH(ROWS($AG$2:AG183),$AG$2:$AG$1001,0),MATCH(COLUMNS($AN$1006:AX1006),$AN$1006:$BO$1006,0)), HYPERLINK("#",""), HYPERLINK(CONCATENATE("#Metadata!", ADDRESS(INDEX($AI$2:$AI$1001,MATCH(ROWS($AG$2:AG183),$AG$2:$AG$1001,0),0), INDEX($AN$1004:$BO$1004,1,MATCH(COLUMNS($AN$1006:AX1006),$AN$1006:$BO$1006,0)))),"Fix")))</f>
        <v>0</v>
      </c>
      <c r="M183" s="4">
        <f>IF(OR(INDEX($AH$2:$AH$1001,MATCH(ROWS($AG$2:AG183),$AG$2:$AG$1001,0),1)&gt;=100000,INDEX($AN$1005:$BO$1005,1,MATCH(COLUMNS($AN$1006:AY1006),$AN$1006:$BO$1006,0))&gt;=100000), " ",IF(INDEX($AN$2:$BO$1001,MATCH(ROWS($AG$2:AG183),$AG$2:$AG$1001,0),MATCH(COLUMNS($AN$1006:AY1006),$AN$1006:$BO$1006,0)), HYPERLINK("#",""), HYPERLINK(CONCATENATE("#Metadata!", ADDRESS(INDEX($AI$2:$AI$1001,MATCH(ROWS($AG$2:AG183),$AG$2:$AG$1001,0),0), INDEX($AN$1004:$BO$1004,1,MATCH(COLUMNS($AN$1006:AY1006),$AN$1006:$BO$1006,0)))),"Fix")))</f>
        <v>0</v>
      </c>
      <c r="N183" s="4">
        <f>IF(OR(INDEX($AH$2:$AH$1001,MATCH(ROWS($AG$2:AG183),$AG$2:$AG$1001,0),1)&gt;=100000,INDEX($AN$1005:$BO$1005,1,MATCH(COLUMNS($AN$1006:AZ1006),$AN$1006:$BO$1006,0))&gt;=100000), " ",IF(INDEX($AN$2:$BO$1001,MATCH(ROWS($AG$2:AG183),$AG$2:$AG$1001,0),MATCH(COLUMNS($AN$1006:AZ1006),$AN$1006:$BO$1006,0)), HYPERLINK("#",""), HYPERLINK(CONCATENATE("#Metadata!", ADDRESS(INDEX($AI$2:$AI$1001,MATCH(ROWS($AG$2:AG183),$AG$2:$AG$1001,0),0), INDEX($AN$1004:$BO$1004,1,MATCH(COLUMNS($AN$1006:AZ1006),$AN$1006:$BO$1006,0)))),"Fix")))</f>
        <v>0</v>
      </c>
      <c r="O183" s="4">
        <f>IF(OR(INDEX($AH$2:$AH$1001,MATCH(ROWS($AG$2:AG183),$AG$2:$AG$1001,0),1)&gt;=100000,INDEX($AN$1005:$BO$1005,1,MATCH(COLUMNS($AN$1006:BA1006),$AN$1006:$BO$1006,0))&gt;=100000), " ",IF(INDEX($AN$2:$BO$1001,MATCH(ROWS($AG$2:AG183),$AG$2:$AG$1001,0),MATCH(COLUMNS($AN$1006:BA1006),$AN$1006:$BO$1006,0)), HYPERLINK("#",""), HYPERLINK(CONCATENATE("#Metadata!", ADDRESS(INDEX($AI$2:$AI$1001,MATCH(ROWS($AG$2:AG183),$AG$2:$AG$1001,0),0), INDEX($AN$1004:$BO$1004,1,MATCH(COLUMNS($AN$1006:BA1006),$AN$1006:$BO$1006,0)))),"Fix")))</f>
        <v>0</v>
      </c>
      <c r="P183" s="4">
        <f>IF(OR(INDEX($AH$2:$AH$1001,MATCH(ROWS($AG$2:AG183),$AG$2:$AG$1001,0),1)&gt;=100000,INDEX($AN$1005:$BO$1005,1,MATCH(COLUMNS($AN$1006:BB1006),$AN$1006:$BO$1006,0))&gt;=100000), " ",IF(INDEX($AN$2:$BO$1001,MATCH(ROWS($AG$2:AG183),$AG$2:$AG$1001,0),MATCH(COLUMNS($AN$1006:BB1006),$AN$1006:$BO$1006,0)), HYPERLINK("#",""), HYPERLINK(CONCATENATE("#Metadata!", ADDRESS(INDEX($AI$2:$AI$1001,MATCH(ROWS($AG$2:AG183),$AG$2:$AG$1001,0),0), INDEX($AN$1004:$BO$1004,1,MATCH(COLUMNS($AN$1006:BB1006),$AN$1006:$BO$1006,0)))),"Fix")))</f>
        <v>0</v>
      </c>
      <c r="Q183" s="4">
        <f>IF(OR(INDEX($AH$2:$AH$1001,MATCH(ROWS($AG$2:AG183),$AG$2:$AG$1001,0),1)&gt;=100000,INDEX($AN$1005:$BO$1005,1,MATCH(COLUMNS($AN$1006:BC1006),$AN$1006:$BO$1006,0))&gt;=100000), " ",IF(INDEX($AN$2:$BO$1001,MATCH(ROWS($AG$2:AG183),$AG$2:$AG$1001,0),MATCH(COLUMNS($AN$1006:BC1006),$AN$1006:$BO$1006,0)), HYPERLINK("#",""), HYPERLINK(CONCATENATE("#Metadata!", ADDRESS(INDEX($AI$2:$AI$1001,MATCH(ROWS($AG$2:AG183),$AG$2:$AG$1001,0),0), INDEX($AN$1004:$BO$1004,1,MATCH(COLUMNS($AN$1006:BC1006),$AN$1006:$BO$1006,0)))),"Fix")))</f>
        <v>0</v>
      </c>
      <c r="R183" s="4">
        <f>IF(OR(INDEX($AH$2:$AH$1001,MATCH(ROWS($AG$2:AG183),$AG$2:$AG$1001,0),1)&gt;=100000,INDEX($AN$1005:$BO$1005,1,MATCH(COLUMNS($AN$1006:BD1006),$AN$1006:$BO$1006,0))&gt;=100000), " ",IF(INDEX($AN$2:$BO$1001,MATCH(ROWS($AG$2:AG183),$AG$2:$AG$1001,0),MATCH(COLUMNS($AN$1006:BD1006),$AN$1006:$BO$1006,0)), HYPERLINK("#",""), HYPERLINK(CONCATENATE("#Metadata!", ADDRESS(INDEX($AI$2:$AI$1001,MATCH(ROWS($AG$2:AG183),$AG$2:$AG$1001,0),0), INDEX($AN$1004:$BO$1004,1,MATCH(COLUMNS($AN$1006:BD1006),$AN$1006:$BO$1006,0)))),"Fix")))</f>
        <v>0</v>
      </c>
      <c r="S183" s="4">
        <f>IF(OR(INDEX($AH$2:$AH$1001,MATCH(ROWS($AG$2:AG183),$AG$2:$AG$1001,0),1)&gt;=100000,INDEX($AN$1005:$BO$1005,1,MATCH(COLUMNS($AN$1006:BE1006),$AN$1006:$BO$1006,0))&gt;=100000), " ",IF(INDEX($AN$2:$BO$1001,MATCH(ROWS($AG$2:AG183),$AG$2:$AG$1001,0),MATCH(COLUMNS($AN$1006:BE1006),$AN$1006:$BO$1006,0)), HYPERLINK("#",""), HYPERLINK(CONCATENATE("#Metadata!", ADDRESS(INDEX($AI$2:$AI$1001,MATCH(ROWS($AG$2:AG183),$AG$2:$AG$1001,0),0), INDEX($AN$1004:$BO$1004,1,MATCH(COLUMNS($AN$1006:BE1006),$AN$1006:$BO$1006,0)))),"Fix")))</f>
        <v>0</v>
      </c>
      <c r="T183" s="4">
        <f>IF(OR(INDEX($AH$2:$AH$1001,MATCH(ROWS($AG$2:AG183),$AG$2:$AG$1001,0),1)&gt;=100000,INDEX($AN$1005:$BO$1005,1,MATCH(COLUMNS($AN$1006:BF1006),$AN$1006:$BO$1006,0))&gt;=100000), " ",IF(INDEX($AN$2:$BO$1001,MATCH(ROWS($AG$2:AG183),$AG$2:$AG$1001,0),MATCH(COLUMNS($AN$1006:BF1006),$AN$1006:$BO$1006,0)), HYPERLINK("#",""), HYPERLINK(CONCATENATE("#Metadata!", ADDRESS(INDEX($AI$2:$AI$1001,MATCH(ROWS($AG$2:AG183),$AG$2:$AG$1001,0),0), INDEX($AN$1004:$BO$1004,1,MATCH(COLUMNS($AN$1006:BF1006),$AN$1006:$BO$1006,0)))),"Fix")))</f>
        <v>0</v>
      </c>
      <c r="U183" s="4">
        <f>IF(OR(INDEX($AH$2:$AH$1001,MATCH(ROWS($AG$2:AG183),$AG$2:$AG$1001,0),1)&gt;=100000,INDEX($AN$1005:$BO$1005,1,MATCH(COLUMNS($AN$1006:BG1006),$AN$1006:$BO$1006,0))&gt;=100000), " ",IF(INDEX($AN$2:$BO$1001,MATCH(ROWS($AG$2:AG183),$AG$2:$AG$1001,0),MATCH(COLUMNS($AN$1006:BG1006),$AN$1006:$BO$1006,0)), HYPERLINK("#",""), HYPERLINK(CONCATENATE("#Metadata!", ADDRESS(INDEX($AI$2:$AI$1001,MATCH(ROWS($AG$2:AG183),$AG$2:$AG$1001,0),0), INDEX($AN$1004:$BO$1004,1,MATCH(COLUMNS($AN$1006:BG1006),$AN$1006:$BO$1006,0)))),"Fix")))</f>
        <v>0</v>
      </c>
      <c r="V183" s="4">
        <f>IF(OR(INDEX($AH$2:$AH$1001,MATCH(ROWS($AG$2:AG183),$AG$2:$AG$1001,0),1)&gt;=100000,INDEX($AN$1005:$BO$1005,1,MATCH(COLUMNS($AN$1006:BH1006),$AN$1006:$BO$1006,0))&gt;=100000), " ",IF(INDEX($AN$2:$BO$1001,MATCH(ROWS($AG$2:AG183),$AG$2:$AG$1001,0),MATCH(COLUMNS($AN$1006:BH1006),$AN$1006:$BO$1006,0)), HYPERLINK("#",""), HYPERLINK(CONCATENATE("#Metadata!", ADDRESS(INDEX($AI$2:$AI$1001,MATCH(ROWS($AG$2:AG183),$AG$2:$AG$1001,0),0), INDEX($AN$1004:$BO$1004,1,MATCH(COLUMNS($AN$1006:BH1006),$AN$1006:$BO$1006,0)))),"Fix")))</f>
        <v>0</v>
      </c>
      <c r="W183" s="4">
        <f>IF(OR(INDEX($AH$2:$AH$1001,MATCH(ROWS($AG$2:AG183),$AG$2:$AG$1001,0),1)&gt;=100000,INDEX($AN$1005:$BO$1005,1,MATCH(COLUMNS($AN$1006:BI1006),$AN$1006:$BO$1006,0))&gt;=100000), " ",IF(INDEX($AN$2:$BO$1001,MATCH(ROWS($AG$2:AG183),$AG$2:$AG$1001,0),MATCH(COLUMNS($AN$1006:BI1006),$AN$1006:$BO$1006,0)), HYPERLINK("#",""), HYPERLINK(CONCATENATE("#Metadata!", ADDRESS(INDEX($AI$2:$AI$1001,MATCH(ROWS($AG$2:AG183),$AG$2:$AG$1001,0),0), INDEX($AN$1004:$BO$1004,1,MATCH(COLUMNS($AN$1006:BI1006),$AN$1006:$BO$1006,0)))),"Fix")))</f>
        <v>0</v>
      </c>
      <c r="X183" s="4">
        <f>IF(OR(INDEX($AH$2:$AH$1001,MATCH(ROWS($AG$2:AG183),$AG$2:$AG$1001,0),1)&gt;=100000,INDEX($AN$1005:$BO$1005,1,MATCH(COLUMNS($AN$1006:BJ1006),$AN$1006:$BO$1006,0))&gt;=100000), " ",IF(INDEX($AN$2:$BO$1001,MATCH(ROWS($AG$2:AG183),$AG$2:$AG$1001,0),MATCH(COLUMNS($AN$1006:BJ1006),$AN$1006:$BO$1006,0)), HYPERLINK("#",""), HYPERLINK(CONCATENATE("#Metadata!", ADDRESS(INDEX($AI$2:$AI$1001,MATCH(ROWS($AG$2:AG183),$AG$2:$AG$1001,0),0), INDEX($AN$1004:$BO$1004,1,MATCH(COLUMNS($AN$1006:BJ1006),$AN$1006:$BO$1006,0)))),"Fix")))</f>
        <v>0</v>
      </c>
      <c r="Y183" s="4">
        <f>IF(OR(INDEX($AH$2:$AH$1001,MATCH(ROWS($AG$2:AG183),$AG$2:$AG$1001,0),1)&gt;=100000,INDEX($AN$1005:$BO$1005,1,MATCH(COLUMNS($AN$1006:BK1006),$AN$1006:$BO$1006,0))&gt;=100000), " ",IF(INDEX($AN$2:$BO$1001,MATCH(ROWS($AG$2:AG183),$AG$2:$AG$1001,0),MATCH(COLUMNS($AN$1006:BK1006),$AN$1006:$BO$1006,0)), HYPERLINK("#",""), HYPERLINK(CONCATENATE("#Metadata!", ADDRESS(INDEX($AI$2:$AI$1001,MATCH(ROWS($AG$2:AG183),$AG$2:$AG$1001,0),0), INDEX($AN$1004:$BO$1004,1,MATCH(COLUMNS($AN$1006:BK1006),$AN$1006:$BO$1006,0)))),"Fix")))</f>
        <v>0</v>
      </c>
      <c r="Z183" s="4">
        <f>IF(OR(INDEX($AH$2:$AH$1001,MATCH(ROWS($AG$2:AG183),$AG$2:$AG$1001,0),1)&gt;=100000,INDEX($AN$1005:$BO$1005,1,MATCH(COLUMNS($AN$1006:BL1006),$AN$1006:$BO$1006,0))&gt;=100000), " ",IF(INDEX($AN$2:$BO$1001,MATCH(ROWS($AG$2:AG183),$AG$2:$AG$1001,0),MATCH(COLUMNS($AN$1006:BL1006),$AN$1006:$BO$1006,0)), HYPERLINK("#",""), HYPERLINK(CONCATENATE("#Metadata!", ADDRESS(INDEX($AI$2:$AI$1001,MATCH(ROWS($AG$2:AG183),$AG$2:$AG$1001,0),0), INDEX($AN$1004:$BO$1004,1,MATCH(COLUMNS($AN$1006:BL1006),$AN$1006:$BO$1006,0)))),"Fix")))</f>
        <v>0</v>
      </c>
      <c r="AA183" s="4">
        <f>IF(OR(INDEX($AH$2:$AH$1001,MATCH(ROWS($AG$2:AG183),$AG$2:$AG$1001,0),1)&gt;=100000,INDEX($AN$1005:$BO$1005,1,MATCH(COLUMNS($AN$1006:BM1006),$AN$1006:$BO$1006,0))&gt;=100000), " ",IF(INDEX($AN$2:$BO$1001,MATCH(ROWS($AG$2:AG183),$AG$2:$AG$1001,0),MATCH(COLUMNS($AN$1006:BM1006),$AN$1006:$BO$1006,0)), HYPERLINK("#",""), HYPERLINK(CONCATENATE("#Metadata!", ADDRESS(INDEX($AI$2:$AI$1001,MATCH(ROWS($AG$2:AG183),$AG$2:$AG$1001,0),0), INDEX($AN$1004:$BO$1004,1,MATCH(COLUMNS($AN$1006:BM1006),$AN$1006:$BO$1006,0)))),"Fix")))</f>
        <v>0</v>
      </c>
      <c r="AB183" s="4">
        <f>IF(OR(INDEX($AH$2:$AH$1001,MATCH(ROWS($AG$2:AG183),$AG$2:$AG$1001,0),1)&gt;=100000,INDEX($AN$1005:$BO$1005,1,MATCH(COLUMNS($AN$1006:BN1006),$AN$1006:$BO$1006,0))&gt;=100000), " ",IF(INDEX($AN$2:$BO$1001,MATCH(ROWS($AG$2:AG183),$AG$2:$AG$1001,0),MATCH(COLUMNS($AN$1006:BN1006),$AN$1006:$BO$1006,0)), HYPERLINK("#",""), HYPERLINK(CONCATENATE("#Metadata!", ADDRESS(INDEX($AI$2:$AI$1001,MATCH(ROWS($AG$2:AG183),$AG$2:$AG$1001,0),0), INDEX($AN$1004:$BO$1004,1,MATCH(COLUMNS($AN$1006:BN1006),$AN$1006:$BO$1006,0)))),"Fix")))</f>
        <v>0</v>
      </c>
      <c r="AC183" s="4">
        <f>IF(OR(INDEX($AH$2:$AH$1001,MATCH(ROWS($AG$2:AG183),$AG$2:$AG$1001,0),1)&gt;=100000,INDEX($AN$1005:$BO$1005,1,MATCH(COLUMNS($AN$1006:BO1006),$AN$1006:$BO$1006,0))&gt;=100000), " ",IF(INDEX($AN$2:$BO$1001,MATCH(ROWS($AG$2:AG183),$AG$2:$AG$1001,0),MATCH(COLUMNS($AN$1006:BO1006),$AN$1006:$BO$1006,0)), HYPERLINK("#",""), HYPERLINK(CONCATENATE("#Metadata!", ADDRESS(INDEX($AI$2:$AI$1001,MATCH(ROWS($AG$2:AG183),$AG$2:$AG$1001,0),0), INDEX($AN$1004:$BO$1004,1,MATCH(COLUMNS($AN$1006:BO1006),$AN$1006:$BO$1006,0)))),"Fix")))</f>
        <v>0</v>
      </c>
      <c r="AG183">
        <v>0</v>
      </c>
      <c r="AH183">
        <v>0</v>
      </c>
      <c r="AI183">
        <v>0</v>
      </c>
      <c r="AJ183">
        <f>IF(AK183,TRUE,AND(AN183:BO183))</f>
        <v>0</v>
      </c>
      <c r="AK183">
        <f>COUNTBLANK(Metadata!B183:AC183)=COLUMNS(Metadata!B183:AC183)</f>
        <v>0</v>
      </c>
      <c r="AL183">
        <v>0</v>
      </c>
      <c r="AN183">
        <f>AND(IF(Metadata!B183="",FALSE,TRUE),COUNTIF(Metadata!B:B, Metadata!B183) = 1,NOT(ISERROR(SUMPRODUCT(SEARCH(MID(Metadata!B183,ROW(INDIRECT("1:"&amp;LEN(Metadata!B183))), 1),"0123456789abcdefghijklmnopqrstuvwxyzABCDEFGHIJKLMNOPQRSTUVWXYZ.")))))</f>
        <v>0</v>
      </c>
      <c r="AO183">
        <f>IF(Metadata!C183="",FALSE,TRUE)</f>
        <v>0</v>
      </c>
      <c r="AP183">
        <f>IF(Metadata!D183="",FALSE,TRUE)</f>
        <v>0</v>
      </c>
      <c r="AQ183">
        <f>OR(AND(IF(Metadata!E183="",FALSE,TRUE),OR(exact(Metadata!E183,"not collected"),exact(Metadata!E183,"not provided"),exact(Metadata!E183,"restricted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R183">
        <f>IF(Metadata!F183="",FALSE,TRUE)</f>
        <v>0</v>
      </c>
      <c r="AS183">
        <f>OR(AND(IF(Metadata!G183="",FALSE,TRUE),OR(exact(Metadata!G183,"not collected"),exact(Metadata!G183,"not provided"))),AND(IF(Metadata!G183="",FALSE,TRUE),OR(exact(Metadata!G183,"TRUE"),exact(Metadata!G183,"FALSE"))))</f>
        <v>0</v>
      </c>
      <c r="AT183">
        <f>OR(AND(IF(Metadata!H183="",FALSE,TRUE),OR(exact(Metadata!H183,"not collected"),exact(Metadata!H183,"not provided"),exact(Metadata!H183,"restricted access"))),AND(IF(Metadata!H183="",FALSE,ISNUMBER(VALUE(Metadata!H183))),Metadata!H183&gt;=-413.0))</f>
        <v>0</v>
      </c>
      <c r="AU183">
        <f>AND(IF(Metadata!I183="",FALSE,TRUE),exact(Metadata!I183,"meters"))</f>
        <v>0</v>
      </c>
      <c r="AV183">
        <f>AND(IF(Metadata!J183="",FALSE,TRUE),OR(exact(Metadata!J183,"Host-associated"),exact(Metadata!J183,"Free-living")))</f>
        <v>0</v>
      </c>
      <c r="AW183">
        <f>AND(IF(Metadata!K183="",FALSE,TRUE),OR(exact(Metadata!K183,"Animal"),exact(Metadata!K183,"Fungus"),exact(Metadata!K183,"Plant"),exact(Metadata!K183,"Saline"),exact(Metadata!K183,"Non-saline")))</f>
        <v>0</v>
      </c>
      <c r="AX183">
        <f>AND(IF(Metadata!L183="",FALSE,TRUE),OR(exact(Metadata!L183,"Plant secretion"),exact(Metadata!L183,"Plant rhizosphere"),exact(Metadata!L183,"Plant surface"),exact(Metadata!L183,"Plant corpus"),exact(Metadata!L183,"Fungus surface"),exact(Metadata!L183,"Fungus corpus"),exact(Metadata!L183,"Animal surface"),exact(Metadata!L183,"Animal proximal gut"),exact(Metadata!L183,"Animal corpus"),exact(Metadata!L183,"Animal distal gut"),exact(Metadata!L183,"Animal secretion"),exact(Metadata!L183,"Sub-surface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Y183">
        <f>IF(Metadata!M183="",FALSE,TRUE)</f>
        <v>0</v>
      </c>
      <c r="AZ183">
        <f>IF(Metadata!N183="",FALSE,TRUE)</f>
        <v>0</v>
      </c>
      <c r="BA183">
        <f>IF(Metadata!O183="",FALSE,TRUE)</f>
        <v>0</v>
      </c>
      <c r="BB183">
        <f>OR(AND(IF(Metadata!P183="",FALSE,TRUE),OR(exact(Metadata!P183,"not collected"),exact(Metadata!P183,"not provided"),exact(Metadata!P183,"restricted access"))),AND(IF(Metadata!P183="",FALSE,TRUE),OR(exact(Metadata!P183,"air"),exact(Metadata!P183,"built environment"),exact(Metadata!P183,"host-associated"),exact(Metadata!P183,"human-associated"),exact(Metadata!P183,"human-skin"),exact(Metadata!P183,"human-oral"),exact(Metadata!P183,"human-gut"),exact(Metadata!P183,"human-vaginal"),exact(Metadata!P183,"microbial mat/biofilm"),exact(Metadata!P183,"misc environment"),exact(Metadata!P183,"plant-associated"),exact(Metadata!P183,"sediment"),exact(Metadata!P183,"soil"),exact(Metadata!P183,"wastewater/sludge"),exact(Metadata!P183,"water"))))</f>
        <v>0</v>
      </c>
      <c r="BC183">
        <f>IF(Metadata!Q183="",FALSE,TRUE)</f>
        <v>0</v>
      </c>
      <c r="BD183">
        <f>IF(Metadata!R183="",FALSE,TRUE)</f>
        <v>0</v>
      </c>
      <c r="BE183">
        <f>OR(AND(IF(Metadata!S183="",FALSE,TRUE),OR(exact(Metadata!S183,"not collected"),exact(Metadata!S183,"not provided"),exact(Metadata!S183,"restricted access"))),AND(IF(Metadata!S183="",FALSE,ISNUMBER(VALUE(Metadata!S183))),Metadata!S183&gt;=-90.00,Metadata!S183&lt;=90.00))</f>
        <v>0</v>
      </c>
      <c r="BF183">
        <f>AND(IF(Metadata!T183="",FALSE,TRUE),exact(Metadata!T183,"Decimal degrees"))</f>
        <v>0</v>
      </c>
      <c r="BG183">
        <f>OR(AND(IF(Metadata!U183="",FALSE,TRUE),OR(exact(Metadata!U183,"not collected"),exact(Metadata!U183,"not provided"),exact(Metadata!U183,"restricted access"))),AND(IF(Metadata!U183="",FALSE,ISNUMBER(VALUE(Metadata!U183))),Metadata!U183&gt;=-180.00,Metadata!U183&lt;=180.00))</f>
        <v>0</v>
      </c>
      <c r="BH183">
        <f>AND(IF(Metadata!V183="",FALSE,TRUE),exact(Metadata!V183,"Decimal degrees"))</f>
        <v>0</v>
      </c>
      <c r="BI183">
        <f>IF(Metadata!W183="",FALSE,TRUE)</f>
        <v>0</v>
      </c>
      <c r="BJ183">
        <f>OR(AND(IF(Metadata!X183="",FALSE,TRUE),OR(exact(Metadata!X183,"not collected"),exact(Metadata!X183,"not provided"),exact(Metadata!X183,"restricted access"))),AND(IF(Metadata!X183="",FALSE,TRUE),OR(exact(Metadata!X183,"TRUE"),exact(Metadata!X183,"FALSE"))))</f>
        <v>0</v>
      </c>
      <c r="BK183">
        <f>AND(IF(Metadata!Y183="",FALSE,TRUE),exact(Metadata!Y183,"other"))</f>
        <v>0</v>
      </c>
      <c r="BL183">
        <f>IF(Metadata!Z183="",FALSE,TRUE)</f>
        <v>0</v>
      </c>
      <c r="BM183">
        <f>OR(AND(IF(Metadata!AA183="",FALSE,TRUE),OR(exact(Metadata!AA183,"not collected"),exact(Metadata!AA183,"not provided"))),AND(IF(Metadata!AA183="",FALSE,IF(ISERROR(INT(Metadata!AA183)),FALSE,INT(Metadata!AA183)=Metadata!AA183)),Metadata!AA183&gt;0))</f>
        <v>0</v>
      </c>
      <c r="BN183">
        <f>AND(IF(Metadata!AB183="",FALSE,TRUE),exact(Metadata!AB183,"Not applicable"))</f>
        <v>0</v>
      </c>
      <c r="BO183">
        <f>IF(Metadata!AC183="",FALSE,TRUE)</f>
        <v>0</v>
      </c>
    </row>
    <row r="184" spans="1:67">
      <c r="A184" s="5">
        <f>IF(B184=" "," ",HYPERLINK(CONCATENATE("#metadata!",ADDRESS(INDEX($AI$2:$AI$1001,MATCH(ROWS($AG$2:AG184),$AG$2:$AG$1001,0),0),1)),INDEX($AL$2:$AL$1001,MATCH(ROWS($AG$2:AG184),$AG$2:$AG$1001,0),0)))</f>
        <v>0</v>
      </c>
      <c r="B184" s="4">
        <f>IF(OR(INDEX($AH$2:$AH$1001,MATCH(ROWS($AG$2:AG184),$AG$2:$AG$1001,0),1)&gt;=100000,INDEX($AN$1005:$BO$1005,1,MATCH(COLUMNS($AN$1006:AN1006),$AN$1006:$BO$1006,0))&gt;=100000), " ",IF(INDEX($AN$2:$BO$1001,MATCH(ROWS($AG$2:AG184),$AG$2:$AG$1001,0),MATCH(COLUMNS($AN$1006:AN1006),$AN$1006:$BO$1006,0)), HYPERLINK("#",""), HYPERLINK(CONCATENATE("#Metadata!", ADDRESS(INDEX($AI$2:$AI$1001,MATCH(ROWS($AG$2:AG184),$AG$2:$AG$1001,0),0), INDEX($AN$1004:$BO$1004,1,MATCH(COLUMNS($AN$1006:AN1006),$AN$1006:$BO$1006,0)))),"Fix")))</f>
        <v>0</v>
      </c>
      <c r="C184" s="4">
        <f>IF(OR(INDEX($AH$2:$AH$1001,MATCH(ROWS($AG$2:AG184),$AG$2:$AG$1001,0),1)&gt;=100000,INDEX($AN$1005:$BO$1005,1,MATCH(COLUMNS($AN$1006:AO1006),$AN$1006:$BO$1006,0))&gt;=100000), " ",IF(INDEX($AN$2:$BO$1001,MATCH(ROWS($AG$2:AG184),$AG$2:$AG$1001,0),MATCH(COLUMNS($AN$1006:AO1006),$AN$1006:$BO$1006,0)), HYPERLINK("#",""), HYPERLINK(CONCATENATE("#Metadata!", ADDRESS(INDEX($AI$2:$AI$1001,MATCH(ROWS($AG$2:AG184),$AG$2:$AG$1001,0),0), INDEX($AN$1004:$BO$1004,1,MATCH(COLUMNS($AN$1006:AO1006),$AN$1006:$BO$1006,0)))),"Fix")))</f>
        <v>0</v>
      </c>
      <c r="D184" s="4">
        <f>IF(OR(INDEX($AH$2:$AH$1001,MATCH(ROWS($AG$2:AG184),$AG$2:$AG$1001,0),1)&gt;=100000,INDEX($AN$1005:$BO$1005,1,MATCH(COLUMNS($AN$1006:AP1006),$AN$1006:$BO$1006,0))&gt;=100000), " ",IF(INDEX($AN$2:$BO$1001,MATCH(ROWS($AG$2:AG184),$AG$2:$AG$1001,0),MATCH(COLUMNS($AN$1006:AP1006),$AN$1006:$BO$1006,0)), HYPERLINK("#",""), HYPERLINK(CONCATENATE("#Metadata!", ADDRESS(INDEX($AI$2:$AI$1001,MATCH(ROWS($AG$2:AG184),$AG$2:$AG$1001,0),0), INDEX($AN$1004:$BO$1004,1,MATCH(COLUMNS($AN$1006:AP1006),$AN$1006:$BO$1006,0)))),"Fix")))</f>
        <v>0</v>
      </c>
      <c r="E184" s="4">
        <f>IF(OR(INDEX($AH$2:$AH$1001,MATCH(ROWS($AG$2:AG184),$AG$2:$AG$1001,0),1)&gt;=100000,INDEX($AN$1005:$BO$1005,1,MATCH(COLUMNS($AN$1006:AQ1006),$AN$1006:$BO$1006,0))&gt;=100000), " ",IF(INDEX($AN$2:$BO$1001,MATCH(ROWS($AG$2:AG184),$AG$2:$AG$1001,0),MATCH(COLUMNS($AN$1006:AQ1006),$AN$1006:$BO$1006,0)), HYPERLINK("#",""), HYPERLINK(CONCATENATE("#Metadata!", ADDRESS(INDEX($AI$2:$AI$1001,MATCH(ROWS($AG$2:AG184),$AG$2:$AG$1001,0),0), INDEX($AN$1004:$BO$1004,1,MATCH(COLUMNS($AN$1006:AQ1006),$AN$1006:$BO$1006,0)))),"Fix")))</f>
        <v>0</v>
      </c>
      <c r="F184" s="4">
        <f>IF(OR(INDEX($AH$2:$AH$1001,MATCH(ROWS($AG$2:AG184),$AG$2:$AG$1001,0),1)&gt;=100000,INDEX($AN$1005:$BO$1005,1,MATCH(COLUMNS($AN$1006:AR1006),$AN$1006:$BO$1006,0))&gt;=100000), " ",IF(INDEX($AN$2:$BO$1001,MATCH(ROWS($AG$2:AG184),$AG$2:$AG$1001,0),MATCH(COLUMNS($AN$1006:AR1006),$AN$1006:$BO$1006,0)), HYPERLINK("#",""), HYPERLINK(CONCATENATE("#Metadata!", ADDRESS(INDEX($AI$2:$AI$1001,MATCH(ROWS($AG$2:AG184),$AG$2:$AG$1001,0),0), INDEX($AN$1004:$BO$1004,1,MATCH(COLUMNS($AN$1006:AR1006),$AN$1006:$BO$1006,0)))),"Fix")))</f>
        <v>0</v>
      </c>
      <c r="G184" s="4">
        <f>IF(OR(INDEX($AH$2:$AH$1001,MATCH(ROWS($AG$2:AG184),$AG$2:$AG$1001,0),1)&gt;=100000,INDEX($AN$1005:$BO$1005,1,MATCH(COLUMNS($AN$1006:AS1006),$AN$1006:$BO$1006,0))&gt;=100000), " ",IF(INDEX($AN$2:$BO$1001,MATCH(ROWS($AG$2:AG184),$AG$2:$AG$1001,0),MATCH(COLUMNS($AN$1006:AS1006),$AN$1006:$BO$1006,0)), HYPERLINK("#",""), HYPERLINK(CONCATENATE("#Metadata!", ADDRESS(INDEX($AI$2:$AI$1001,MATCH(ROWS($AG$2:AG184),$AG$2:$AG$1001,0),0), INDEX($AN$1004:$BO$1004,1,MATCH(COLUMNS($AN$1006:AS1006),$AN$1006:$BO$1006,0)))),"Fix")))</f>
        <v>0</v>
      </c>
      <c r="H184" s="4">
        <f>IF(OR(INDEX($AH$2:$AH$1001,MATCH(ROWS($AG$2:AG184),$AG$2:$AG$1001,0),1)&gt;=100000,INDEX($AN$1005:$BO$1005,1,MATCH(COLUMNS($AN$1006:AT1006),$AN$1006:$BO$1006,0))&gt;=100000), " ",IF(INDEX($AN$2:$BO$1001,MATCH(ROWS($AG$2:AG184),$AG$2:$AG$1001,0),MATCH(COLUMNS($AN$1006:AT1006),$AN$1006:$BO$1006,0)), HYPERLINK("#",""), HYPERLINK(CONCATENATE("#Metadata!", ADDRESS(INDEX($AI$2:$AI$1001,MATCH(ROWS($AG$2:AG184),$AG$2:$AG$1001,0),0), INDEX($AN$1004:$BO$1004,1,MATCH(COLUMNS($AN$1006:AT1006),$AN$1006:$BO$1006,0)))),"Fix")))</f>
        <v>0</v>
      </c>
      <c r="I184" s="4">
        <f>IF(OR(INDEX($AH$2:$AH$1001,MATCH(ROWS($AG$2:AG184),$AG$2:$AG$1001,0),1)&gt;=100000,INDEX($AN$1005:$BO$1005,1,MATCH(COLUMNS($AN$1006:AU1006),$AN$1006:$BO$1006,0))&gt;=100000), " ",IF(INDEX($AN$2:$BO$1001,MATCH(ROWS($AG$2:AG184),$AG$2:$AG$1001,0),MATCH(COLUMNS($AN$1006:AU1006),$AN$1006:$BO$1006,0)), HYPERLINK("#",""), HYPERLINK(CONCATENATE("#Metadata!", ADDRESS(INDEX($AI$2:$AI$1001,MATCH(ROWS($AG$2:AG184),$AG$2:$AG$1001,0),0), INDEX($AN$1004:$BO$1004,1,MATCH(COLUMNS($AN$1006:AU1006),$AN$1006:$BO$1006,0)))),"Fix")))</f>
        <v>0</v>
      </c>
      <c r="J184" s="4">
        <f>IF(OR(INDEX($AH$2:$AH$1001,MATCH(ROWS($AG$2:AG184),$AG$2:$AG$1001,0),1)&gt;=100000,INDEX($AN$1005:$BO$1005,1,MATCH(COLUMNS($AN$1006:AV1006),$AN$1006:$BO$1006,0))&gt;=100000), " ",IF(INDEX($AN$2:$BO$1001,MATCH(ROWS($AG$2:AG184),$AG$2:$AG$1001,0),MATCH(COLUMNS($AN$1006:AV1006),$AN$1006:$BO$1006,0)), HYPERLINK("#",""), HYPERLINK(CONCATENATE("#Metadata!", ADDRESS(INDEX($AI$2:$AI$1001,MATCH(ROWS($AG$2:AG184),$AG$2:$AG$1001,0),0), INDEX($AN$1004:$BO$1004,1,MATCH(COLUMNS($AN$1006:AV1006),$AN$1006:$BO$1006,0)))),"Fix")))</f>
        <v>0</v>
      </c>
      <c r="K184" s="4">
        <f>IF(OR(INDEX($AH$2:$AH$1001,MATCH(ROWS($AG$2:AG184),$AG$2:$AG$1001,0),1)&gt;=100000,INDEX($AN$1005:$BO$1005,1,MATCH(COLUMNS($AN$1006:AW1006),$AN$1006:$BO$1006,0))&gt;=100000), " ",IF(INDEX($AN$2:$BO$1001,MATCH(ROWS($AG$2:AG184),$AG$2:$AG$1001,0),MATCH(COLUMNS($AN$1006:AW1006),$AN$1006:$BO$1006,0)), HYPERLINK("#",""), HYPERLINK(CONCATENATE("#Metadata!", ADDRESS(INDEX($AI$2:$AI$1001,MATCH(ROWS($AG$2:AG184),$AG$2:$AG$1001,0),0), INDEX($AN$1004:$BO$1004,1,MATCH(COLUMNS($AN$1006:AW1006),$AN$1006:$BO$1006,0)))),"Fix")))</f>
        <v>0</v>
      </c>
      <c r="L184" s="4">
        <f>IF(OR(INDEX($AH$2:$AH$1001,MATCH(ROWS($AG$2:AG184),$AG$2:$AG$1001,0),1)&gt;=100000,INDEX($AN$1005:$BO$1005,1,MATCH(COLUMNS($AN$1006:AX1006),$AN$1006:$BO$1006,0))&gt;=100000), " ",IF(INDEX($AN$2:$BO$1001,MATCH(ROWS($AG$2:AG184),$AG$2:$AG$1001,0),MATCH(COLUMNS($AN$1006:AX1006),$AN$1006:$BO$1006,0)), HYPERLINK("#",""), HYPERLINK(CONCATENATE("#Metadata!", ADDRESS(INDEX($AI$2:$AI$1001,MATCH(ROWS($AG$2:AG184),$AG$2:$AG$1001,0),0), INDEX($AN$1004:$BO$1004,1,MATCH(COLUMNS($AN$1006:AX1006),$AN$1006:$BO$1006,0)))),"Fix")))</f>
        <v>0</v>
      </c>
      <c r="M184" s="4">
        <f>IF(OR(INDEX($AH$2:$AH$1001,MATCH(ROWS($AG$2:AG184),$AG$2:$AG$1001,0),1)&gt;=100000,INDEX($AN$1005:$BO$1005,1,MATCH(COLUMNS($AN$1006:AY1006),$AN$1006:$BO$1006,0))&gt;=100000), " ",IF(INDEX($AN$2:$BO$1001,MATCH(ROWS($AG$2:AG184),$AG$2:$AG$1001,0),MATCH(COLUMNS($AN$1006:AY1006),$AN$1006:$BO$1006,0)), HYPERLINK("#",""), HYPERLINK(CONCATENATE("#Metadata!", ADDRESS(INDEX($AI$2:$AI$1001,MATCH(ROWS($AG$2:AG184),$AG$2:$AG$1001,0),0), INDEX($AN$1004:$BO$1004,1,MATCH(COLUMNS($AN$1006:AY1006),$AN$1006:$BO$1006,0)))),"Fix")))</f>
        <v>0</v>
      </c>
      <c r="N184" s="4">
        <f>IF(OR(INDEX($AH$2:$AH$1001,MATCH(ROWS($AG$2:AG184),$AG$2:$AG$1001,0),1)&gt;=100000,INDEX($AN$1005:$BO$1005,1,MATCH(COLUMNS($AN$1006:AZ1006),$AN$1006:$BO$1006,0))&gt;=100000), " ",IF(INDEX($AN$2:$BO$1001,MATCH(ROWS($AG$2:AG184),$AG$2:$AG$1001,0),MATCH(COLUMNS($AN$1006:AZ1006),$AN$1006:$BO$1006,0)), HYPERLINK("#",""), HYPERLINK(CONCATENATE("#Metadata!", ADDRESS(INDEX($AI$2:$AI$1001,MATCH(ROWS($AG$2:AG184),$AG$2:$AG$1001,0),0), INDEX($AN$1004:$BO$1004,1,MATCH(COLUMNS($AN$1006:AZ1006),$AN$1006:$BO$1006,0)))),"Fix")))</f>
        <v>0</v>
      </c>
      <c r="O184" s="4">
        <f>IF(OR(INDEX($AH$2:$AH$1001,MATCH(ROWS($AG$2:AG184),$AG$2:$AG$1001,0),1)&gt;=100000,INDEX($AN$1005:$BO$1005,1,MATCH(COLUMNS($AN$1006:BA1006),$AN$1006:$BO$1006,0))&gt;=100000), " ",IF(INDEX($AN$2:$BO$1001,MATCH(ROWS($AG$2:AG184),$AG$2:$AG$1001,0),MATCH(COLUMNS($AN$1006:BA1006),$AN$1006:$BO$1006,0)), HYPERLINK("#",""), HYPERLINK(CONCATENATE("#Metadata!", ADDRESS(INDEX($AI$2:$AI$1001,MATCH(ROWS($AG$2:AG184),$AG$2:$AG$1001,0),0), INDEX($AN$1004:$BO$1004,1,MATCH(COLUMNS($AN$1006:BA1006),$AN$1006:$BO$1006,0)))),"Fix")))</f>
        <v>0</v>
      </c>
      <c r="P184" s="4">
        <f>IF(OR(INDEX($AH$2:$AH$1001,MATCH(ROWS($AG$2:AG184),$AG$2:$AG$1001,0),1)&gt;=100000,INDEX($AN$1005:$BO$1005,1,MATCH(COLUMNS($AN$1006:BB1006),$AN$1006:$BO$1006,0))&gt;=100000), " ",IF(INDEX($AN$2:$BO$1001,MATCH(ROWS($AG$2:AG184),$AG$2:$AG$1001,0),MATCH(COLUMNS($AN$1006:BB1006),$AN$1006:$BO$1006,0)), HYPERLINK("#",""), HYPERLINK(CONCATENATE("#Metadata!", ADDRESS(INDEX($AI$2:$AI$1001,MATCH(ROWS($AG$2:AG184),$AG$2:$AG$1001,0),0), INDEX($AN$1004:$BO$1004,1,MATCH(COLUMNS($AN$1006:BB1006),$AN$1006:$BO$1006,0)))),"Fix")))</f>
        <v>0</v>
      </c>
      <c r="Q184" s="4">
        <f>IF(OR(INDEX($AH$2:$AH$1001,MATCH(ROWS($AG$2:AG184),$AG$2:$AG$1001,0),1)&gt;=100000,INDEX($AN$1005:$BO$1005,1,MATCH(COLUMNS($AN$1006:BC1006),$AN$1006:$BO$1006,0))&gt;=100000), " ",IF(INDEX($AN$2:$BO$1001,MATCH(ROWS($AG$2:AG184),$AG$2:$AG$1001,0),MATCH(COLUMNS($AN$1006:BC1006),$AN$1006:$BO$1006,0)), HYPERLINK("#",""), HYPERLINK(CONCATENATE("#Metadata!", ADDRESS(INDEX($AI$2:$AI$1001,MATCH(ROWS($AG$2:AG184),$AG$2:$AG$1001,0),0), INDEX($AN$1004:$BO$1004,1,MATCH(COLUMNS($AN$1006:BC1006),$AN$1006:$BO$1006,0)))),"Fix")))</f>
        <v>0</v>
      </c>
      <c r="R184" s="4">
        <f>IF(OR(INDEX($AH$2:$AH$1001,MATCH(ROWS($AG$2:AG184),$AG$2:$AG$1001,0),1)&gt;=100000,INDEX($AN$1005:$BO$1005,1,MATCH(COLUMNS($AN$1006:BD1006),$AN$1006:$BO$1006,0))&gt;=100000), " ",IF(INDEX($AN$2:$BO$1001,MATCH(ROWS($AG$2:AG184),$AG$2:$AG$1001,0),MATCH(COLUMNS($AN$1006:BD1006),$AN$1006:$BO$1006,0)), HYPERLINK("#",""), HYPERLINK(CONCATENATE("#Metadata!", ADDRESS(INDEX($AI$2:$AI$1001,MATCH(ROWS($AG$2:AG184),$AG$2:$AG$1001,0),0), INDEX($AN$1004:$BO$1004,1,MATCH(COLUMNS($AN$1006:BD1006),$AN$1006:$BO$1006,0)))),"Fix")))</f>
        <v>0</v>
      </c>
      <c r="S184" s="4">
        <f>IF(OR(INDEX($AH$2:$AH$1001,MATCH(ROWS($AG$2:AG184),$AG$2:$AG$1001,0),1)&gt;=100000,INDEX($AN$1005:$BO$1005,1,MATCH(COLUMNS($AN$1006:BE1006),$AN$1006:$BO$1006,0))&gt;=100000), " ",IF(INDEX($AN$2:$BO$1001,MATCH(ROWS($AG$2:AG184),$AG$2:$AG$1001,0),MATCH(COLUMNS($AN$1006:BE1006),$AN$1006:$BO$1006,0)), HYPERLINK("#",""), HYPERLINK(CONCATENATE("#Metadata!", ADDRESS(INDEX($AI$2:$AI$1001,MATCH(ROWS($AG$2:AG184),$AG$2:$AG$1001,0),0), INDEX($AN$1004:$BO$1004,1,MATCH(COLUMNS($AN$1006:BE1006),$AN$1006:$BO$1006,0)))),"Fix")))</f>
        <v>0</v>
      </c>
      <c r="T184" s="4">
        <f>IF(OR(INDEX($AH$2:$AH$1001,MATCH(ROWS($AG$2:AG184),$AG$2:$AG$1001,0),1)&gt;=100000,INDEX($AN$1005:$BO$1005,1,MATCH(COLUMNS($AN$1006:BF1006),$AN$1006:$BO$1006,0))&gt;=100000), " ",IF(INDEX($AN$2:$BO$1001,MATCH(ROWS($AG$2:AG184),$AG$2:$AG$1001,0),MATCH(COLUMNS($AN$1006:BF1006),$AN$1006:$BO$1006,0)), HYPERLINK("#",""), HYPERLINK(CONCATENATE("#Metadata!", ADDRESS(INDEX($AI$2:$AI$1001,MATCH(ROWS($AG$2:AG184),$AG$2:$AG$1001,0),0), INDEX($AN$1004:$BO$1004,1,MATCH(COLUMNS($AN$1006:BF1006),$AN$1006:$BO$1006,0)))),"Fix")))</f>
        <v>0</v>
      </c>
      <c r="U184" s="4">
        <f>IF(OR(INDEX($AH$2:$AH$1001,MATCH(ROWS($AG$2:AG184),$AG$2:$AG$1001,0),1)&gt;=100000,INDEX($AN$1005:$BO$1005,1,MATCH(COLUMNS($AN$1006:BG1006),$AN$1006:$BO$1006,0))&gt;=100000), " ",IF(INDEX($AN$2:$BO$1001,MATCH(ROWS($AG$2:AG184),$AG$2:$AG$1001,0),MATCH(COLUMNS($AN$1006:BG1006),$AN$1006:$BO$1006,0)), HYPERLINK("#",""), HYPERLINK(CONCATENATE("#Metadata!", ADDRESS(INDEX($AI$2:$AI$1001,MATCH(ROWS($AG$2:AG184),$AG$2:$AG$1001,0),0), INDEX($AN$1004:$BO$1004,1,MATCH(COLUMNS($AN$1006:BG1006),$AN$1006:$BO$1006,0)))),"Fix")))</f>
        <v>0</v>
      </c>
      <c r="V184" s="4">
        <f>IF(OR(INDEX($AH$2:$AH$1001,MATCH(ROWS($AG$2:AG184),$AG$2:$AG$1001,0),1)&gt;=100000,INDEX($AN$1005:$BO$1005,1,MATCH(COLUMNS($AN$1006:BH1006),$AN$1006:$BO$1006,0))&gt;=100000), " ",IF(INDEX($AN$2:$BO$1001,MATCH(ROWS($AG$2:AG184),$AG$2:$AG$1001,0),MATCH(COLUMNS($AN$1006:BH1006),$AN$1006:$BO$1006,0)), HYPERLINK("#",""), HYPERLINK(CONCATENATE("#Metadata!", ADDRESS(INDEX($AI$2:$AI$1001,MATCH(ROWS($AG$2:AG184),$AG$2:$AG$1001,0),0), INDEX($AN$1004:$BO$1004,1,MATCH(COLUMNS($AN$1006:BH1006),$AN$1006:$BO$1006,0)))),"Fix")))</f>
        <v>0</v>
      </c>
      <c r="W184" s="4">
        <f>IF(OR(INDEX($AH$2:$AH$1001,MATCH(ROWS($AG$2:AG184),$AG$2:$AG$1001,0),1)&gt;=100000,INDEX($AN$1005:$BO$1005,1,MATCH(COLUMNS($AN$1006:BI1006),$AN$1006:$BO$1006,0))&gt;=100000), " ",IF(INDEX($AN$2:$BO$1001,MATCH(ROWS($AG$2:AG184),$AG$2:$AG$1001,0),MATCH(COLUMNS($AN$1006:BI1006),$AN$1006:$BO$1006,0)), HYPERLINK("#",""), HYPERLINK(CONCATENATE("#Metadata!", ADDRESS(INDEX($AI$2:$AI$1001,MATCH(ROWS($AG$2:AG184),$AG$2:$AG$1001,0),0), INDEX($AN$1004:$BO$1004,1,MATCH(COLUMNS($AN$1006:BI1006),$AN$1006:$BO$1006,0)))),"Fix")))</f>
        <v>0</v>
      </c>
      <c r="X184" s="4">
        <f>IF(OR(INDEX($AH$2:$AH$1001,MATCH(ROWS($AG$2:AG184),$AG$2:$AG$1001,0),1)&gt;=100000,INDEX($AN$1005:$BO$1005,1,MATCH(COLUMNS($AN$1006:BJ1006),$AN$1006:$BO$1006,0))&gt;=100000), " ",IF(INDEX($AN$2:$BO$1001,MATCH(ROWS($AG$2:AG184),$AG$2:$AG$1001,0),MATCH(COLUMNS($AN$1006:BJ1006),$AN$1006:$BO$1006,0)), HYPERLINK("#",""), HYPERLINK(CONCATENATE("#Metadata!", ADDRESS(INDEX($AI$2:$AI$1001,MATCH(ROWS($AG$2:AG184),$AG$2:$AG$1001,0),0), INDEX($AN$1004:$BO$1004,1,MATCH(COLUMNS($AN$1006:BJ1006),$AN$1006:$BO$1006,0)))),"Fix")))</f>
        <v>0</v>
      </c>
      <c r="Y184" s="4">
        <f>IF(OR(INDEX($AH$2:$AH$1001,MATCH(ROWS($AG$2:AG184),$AG$2:$AG$1001,0),1)&gt;=100000,INDEX($AN$1005:$BO$1005,1,MATCH(COLUMNS($AN$1006:BK1006),$AN$1006:$BO$1006,0))&gt;=100000), " ",IF(INDEX($AN$2:$BO$1001,MATCH(ROWS($AG$2:AG184),$AG$2:$AG$1001,0),MATCH(COLUMNS($AN$1006:BK1006),$AN$1006:$BO$1006,0)), HYPERLINK("#",""), HYPERLINK(CONCATENATE("#Metadata!", ADDRESS(INDEX($AI$2:$AI$1001,MATCH(ROWS($AG$2:AG184),$AG$2:$AG$1001,0),0), INDEX($AN$1004:$BO$1004,1,MATCH(COLUMNS($AN$1006:BK1006),$AN$1006:$BO$1006,0)))),"Fix")))</f>
        <v>0</v>
      </c>
      <c r="Z184" s="4">
        <f>IF(OR(INDEX($AH$2:$AH$1001,MATCH(ROWS($AG$2:AG184),$AG$2:$AG$1001,0),1)&gt;=100000,INDEX($AN$1005:$BO$1005,1,MATCH(COLUMNS($AN$1006:BL1006),$AN$1006:$BO$1006,0))&gt;=100000), " ",IF(INDEX($AN$2:$BO$1001,MATCH(ROWS($AG$2:AG184),$AG$2:$AG$1001,0),MATCH(COLUMNS($AN$1006:BL1006),$AN$1006:$BO$1006,0)), HYPERLINK("#",""), HYPERLINK(CONCATENATE("#Metadata!", ADDRESS(INDEX($AI$2:$AI$1001,MATCH(ROWS($AG$2:AG184),$AG$2:$AG$1001,0),0), INDEX($AN$1004:$BO$1004,1,MATCH(COLUMNS($AN$1006:BL1006),$AN$1006:$BO$1006,0)))),"Fix")))</f>
        <v>0</v>
      </c>
      <c r="AA184" s="4">
        <f>IF(OR(INDEX($AH$2:$AH$1001,MATCH(ROWS($AG$2:AG184),$AG$2:$AG$1001,0),1)&gt;=100000,INDEX($AN$1005:$BO$1005,1,MATCH(COLUMNS($AN$1006:BM1006),$AN$1006:$BO$1006,0))&gt;=100000), " ",IF(INDEX($AN$2:$BO$1001,MATCH(ROWS($AG$2:AG184),$AG$2:$AG$1001,0),MATCH(COLUMNS($AN$1006:BM1006),$AN$1006:$BO$1006,0)), HYPERLINK("#",""), HYPERLINK(CONCATENATE("#Metadata!", ADDRESS(INDEX($AI$2:$AI$1001,MATCH(ROWS($AG$2:AG184),$AG$2:$AG$1001,0),0), INDEX($AN$1004:$BO$1004,1,MATCH(COLUMNS($AN$1006:BM1006),$AN$1006:$BO$1006,0)))),"Fix")))</f>
        <v>0</v>
      </c>
      <c r="AB184" s="4">
        <f>IF(OR(INDEX($AH$2:$AH$1001,MATCH(ROWS($AG$2:AG184),$AG$2:$AG$1001,0),1)&gt;=100000,INDEX($AN$1005:$BO$1005,1,MATCH(COLUMNS($AN$1006:BN1006),$AN$1006:$BO$1006,0))&gt;=100000), " ",IF(INDEX($AN$2:$BO$1001,MATCH(ROWS($AG$2:AG184),$AG$2:$AG$1001,0),MATCH(COLUMNS($AN$1006:BN1006),$AN$1006:$BO$1006,0)), HYPERLINK("#",""), HYPERLINK(CONCATENATE("#Metadata!", ADDRESS(INDEX($AI$2:$AI$1001,MATCH(ROWS($AG$2:AG184),$AG$2:$AG$1001,0),0), INDEX($AN$1004:$BO$1004,1,MATCH(COLUMNS($AN$1006:BN1006),$AN$1006:$BO$1006,0)))),"Fix")))</f>
        <v>0</v>
      </c>
      <c r="AC184" s="4">
        <f>IF(OR(INDEX($AH$2:$AH$1001,MATCH(ROWS($AG$2:AG184),$AG$2:$AG$1001,0),1)&gt;=100000,INDEX($AN$1005:$BO$1005,1,MATCH(COLUMNS($AN$1006:BO1006),$AN$1006:$BO$1006,0))&gt;=100000), " ",IF(INDEX($AN$2:$BO$1001,MATCH(ROWS($AG$2:AG184),$AG$2:$AG$1001,0),MATCH(COLUMNS($AN$1006:BO1006),$AN$1006:$BO$1006,0)), HYPERLINK("#",""), HYPERLINK(CONCATENATE("#Metadata!", ADDRESS(INDEX($AI$2:$AI$1001,MATCH(ROWS($AG$2:AG184),$AG$2:$AG$1001,0),0), INDEX($AN$1004:$BO$1004,1,MATCH(COLUMNS($AN$1006:BO1006),$AN$1006:$BO$1006,0)))),"Fix")))</f>
        <v>0</v>
      </c>
      <c r="AG184">
        <v>0</v>
      </c>
      <c r="AH184">
        <v>0</v>
      </c>
      <c r="AI184">
        <v>0</v>
      </c>
      <c r="AJ184">
        <f>IF(AK184,TRUE,AND(AN184:BO184))</f>
        <v>0</v>
      </c>
      <c r="AK184">
        <f>COUNTBLANK(Metadata!B184:AC184)=COLUMNS(Metadata!B184:AC184)</f>
        <v>0</v>
      </c>
      <c r="AL184">
        <v>0</v>
      </c>
      <c r="AN184">
        <f>AND(IF(Metadata!B184="",FALSE,TRUE),COUNTIF(Metadata!B:B, Metadata!B184) = 1,NOT(ISERROR(SUMPRODUCT(SEARCH(MID(Metadata!B184,ROW(INDIRECT("1:"&amp;LEN(Metadata!B184))), 1),"0123456789abcdefghijklmnopqrstuvwxyzABCDEFGHIJKLMNOPQRSTUVWXYZ.")))))</f>
        <v>0</v>
      </c>
      <c r="AO184">
        <f>IF(Metadata!C184="",FALSE,TRUE)</f>
        <v>0</v>
      </c>
      <c r="AP184">
        <f>IF(Metadata!D184="",FALSE,TRUE)</f>
        <v>0</v>
      </c>
      <c r="AQ184">
        <f>OR(AND(IF(Metadata!E184="",FALSE,TRUE),OR(exact(Metadata!E184,"not collected"),exact(Metadata!E184,"not provided"),exact(Metadata!E184,"restricted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R184">
        <f>IF(Metadata!F184="",FALSE,TRUE)</f>
        <v>0</v>
      </c>
      <c r="AS184">
        <f>OR(AND(IF(Metadata!G184="",FALSE,TRUE),OR(exact(Metadata!G184,"not collected"),exact(Metadata!G184,"not provided"))),AND(IF(Metadata!G184="",FALSE,TRUE),OR(exact(Metadata!G184,"TRUE"),exact(Metadata!G184,"FALSE"))))</f>
        <v>0</v>
      </c>
      <c r="AT184">
        <f>OR(AND(IF(Metadata!H184="",FALSE,TRUE),OR(exact(Metadata!H184,"not collected"),exact(Metadata!H184,"not provided"),exact(Metadata!H184,"restricted access"))),AND(IF(Metadata!H184="",FALSE,ISNUMBER(VALUE(Metadata!H184))),Metadata!H184&gt;=-413.0))</f>
        <v>0</v>
      </c>
      <c r="AU184">
        <f>AND(IF(Metadata!I184="",FALSE,TRUE),exact(Metadata!I184,"meters"))</f>
        <v>0</v>
      </c>
      <c r="AV184">
        <f>AND(IF(Metadata!J184="",FALSE,TRUE),OR(exact(Metadata!J184,"Host-associated"),exact(Metadata!J184,"Free-living")))</f>
        <v>0</v>
      </c>
      <c r="AW184">
        <f>AND(IF(Metadata!K184="",FALSE,TRUE),OR(exact(Metadata!K184,"Animal"),exact(Metadata!K184,"Fungus"),exact(Metadata!K184,"Plant"),exact(Metadata!K184,"Saline"),exact(Metadata!K184,"Non-saline")))</f>
        <v>0</v>
      </c>
      <c r="AX184">
        <f>AND(IF(Metadata!L184="",FALSE,TRUE),OR(exact(Metadata!L184,"Plant secretion"),exact(Metadata!L184,"Plant rhizosphere"),exact(Metadata!L184,"Plant surface"),exact(Metadata!L184,"Plant corpus"),exact(Metadata!L184,"Fungus surface"),exact(Metadata!L184,"Fungus corpus"),exact(Metadata!L184,"Animal surface"),exact(Metadata!L184,"Animal proximal gut"),exact(Metadata!L184,"Animal corpus"),exact(Metadata!L184,"Animal distal gut"),exact(Metadata!L184,"Animal secretion"),exact(Metadata!L184,"Sub-surface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Y184">
        <f>IF(Metadata!M184="",FALSE,TRUE)</f>
        <v>0</v>
      </c>
      <c r="AZ184">
        <f>IF(Metadata!N184="",FALSE,TRUE)</f>
        <v>0</v>
      </c>
      <c r="BA184">
        <f>IF(Metadata!O184="",FALSE,TRUE)</f>
        <v>0</v>
      </c>
      <c r="BB184">
        <f>OR(AND(IF(Metadata!P184="",FALSE,TRUE),OR(exact(Metadata!P184,"not collected"),exact(Metadata!P184,"not provided"),exact(Metadata!P184,"restricted access"))),AND(IF(Metadata!P184="",FALSE,TRUE),OR(exact(Metadata!P184,"air"),exact(Metadata!P184,"built environment"),exact(Metadata!P184,"host-associated"),exact(Metadata!P184,"human-associated"),exact(Metadata!P184,"human-skin"),exact(Metadata!P184,"human-oral"),exact(Metadata!P184,"human-gut"),exact(Metadata!P184,"human-vaginal"),exact(Metadata!P184,"microbial mat/biofilm"),exact(Metadata!P184,"misc environment"),exact(Metadata!P184,"plant-associated"),exact(Metadata!P184,"sediment"),exact(Metadata!P184,"soil"),exact(Metadata!P184,"wastewater/sludge"),exact(Metadata!P184,"water"))))</f>
        <v>0</v>
      </c>
      <c r="BC184">
        <f>IF(Metadata!Q184="",FALSE,TRUE)</f>
        <v>0</v>
      </c>
      <c r="BD184">
        <f>IF(Metadata!R184="",FALSE,TRUE)</f>
        <v>0</v>
      </c>
      <c r="BE184">
        <f>OR(AND(IF(Metadata!S184="",FALSE,TRUE),OR(exact(Metadata!S184,"not collected"),exact(Metadata!S184,"not provided"),exact(Metadata!S184,"restricted access"))),AND(IF(Metadata!S184="",FALSE,ISNUMBER(VALUE(Metadata!S184))),Metadata!S184&gt;=-90.00,Metadata!S184&lt;=90.00))</f>
        <v>0</v>
      </c>
      <c r="BF184">
        <f>AND(IF(Metadata!T184="",FALSE,TRUE),exact(Metadata!T184,"Decimal degrees"))</f>
        <v>0</v>
      </c>
      <c r="BG184">
        <f>OR(AND(IF(Metadata!U184="",FALSE,TRUE),OR(exact(Metadata!U184,"not collected"),exact(Metadata!U184,"not provided"),exact(Metadata!U184,"restricted access"))),AND(IF(Metadata!U184="",FALSE,ISNUMBER(VALUE(Metadata!U184))),Metadata!U184&gt;=-180.00,Metadata!U184&lt;=180.00))</f>
        <v>0</v>
      </c>
      <c r="BH184">
        <f>AND(IF(Metadata!V184="",FALSE,TRUE),exact(Metadata!V184,"Decimal degrees"))</f>
        <v>0</v>
      </c>
      <c r="BI184">
        <f>IF(Metadata!W184="",FALSE,TRUE)</f>
        <v>0</v>
      </c>
      <c r="BJ184">
        <f>OR(AND(IF(Metadata!X184="",FALSE,TRUE),OR(exact(Metadata!X184,"not collected"),exact(Metadata!X184,"not provided"),exact(Metadata!X184,"restricted access"))),AND(IF(Metadata!X184="",FALSE,TRUE),OR(exact(Metadata!X184,"TRUE"),exact(Metadata!X184,"FALSE"))))</f>
        <v>0</v>
      </c>
      <c r="BK184">
        <f>AND(IF(Metadata!Y184="",FALSE,TRUE),exact(Metadata!Y184,"other"))</f>
        <v>0</v>
      </c>
      <c r="BL184">
        <f>IF(Metadata!Z184="",FALSE,TRUE)</f>
        <v>0</v>
      </c>
      <c r="BM184">
        <f>OR(AND(IF(Metadata!AA184="",FALSE,TRUE),OR(exact(Metadata!AA184,"not collected"),exact(Metadata!AA184,"not provided"))),AND(IF(Metadata!AA184="",FALSE,IF(ISERROR(INT(Metadata!AA184)),FALSE,INT(Metadata!AA184)=Metadata!AA184)),Metadata!AA184&gt;0))</f>
        <v>0</v>
      </c>
      <c r="BN184">
        <f>AND(IF(Metadata!AB184="",FALSE,TRUE),exact(Metadata!AB184,"Not applicable"))</f>
        <v>0</v>
      </c>
      <c r="BO184">
        <f>IF(Metadata!AC184="",FALSE,TRUE)</f>
        <v>0</v>
      </c>
    </row>
    <row r="185" spans="1:67">
      <c r="A185" s="5">
        <f>IF(B185=" "," ",HYPERLINK(CONCATENATE("#metadata!",ADDRESS(INDEX($AI$2:$AI$1001,MATCH(ROWS($AG$2:AG185),$AG$2:$AG$1001,0),0),1)),INDEX($AL$2:$AL$1001,MATCH(ROWS($AG$2:AG185),$AG$2:$AG$1001,0),0)))</f>
        <v>0</v>
      </c>
      <c r="B185" s="4">
        <f>IF(OR(INDEX($AH$2:$AH$1001,MATCH(ROWS($AG$2:AG185),$AG$2:$AG$1001,0),1)&gt;=100000,INDEX($AN$1005:$BO$1005,1,MATCH(COLUMNS($AN$1006:AN1006),$AN$1006:$BO$1006,0))&gt;=100000), " ",IF(INDEX($AN$2:$BO$1001,MATCH(ROWS($AG$2:AG185),$AG$2:$AG$1001,0),MATCH(COLUMNS($AN$1006:AN1006),$AN$1006:$BO$1006,0)), HYPERLINK("#",""), HYPERLINK(CONCATENATE("#Metadata!", ADDRESS(INDEX($AI$2:$AI$1001,MATCH(ROWS($AG$2:AG185),$AG$2:$AG$1001,0),0), INDEX($AN$1004:$BO$1004,1,MATCH(COLUMNS($AN$1006:AN1006),$AN$1006:$BO$1006,0)))),"Fix")))</f>
        <v>0</v>
      </c>
      <c r="C185" s="4">
        <f>IF(OR(INDEX($AH$2:$AH$1001,MATCH(ROWS($AG$2:AG185),$AG$2:$AG$1001,0),1)&gt;=100000,INDEX($AN$1005:$BO$1005,1,MATCH(COLUMNS($AN$1006:AO1006),$AN$1006:$BO$1006,0))&gt;=100000), " ",IF(INDEX($AN$2:$BO$1001,MATCH(ROWS($AG$2:AG185),$AG$2:$AG$1001,0),MATCH(COLUMNS($AN$1006:AO1006),$AN$1006:$BO$1006,0)), HYPERLINK("#",""), HYPERLINK(CONCATENATE("#Metadata!", ADDRESS(INDEX($AI$2:$AI$1001,MATCH(ROWS($AG$2:AG185),$AG$2:$AG$1001,0),0), INDEX($AN$1004:$BO$1004,1,MATCH(COLUMNS($AN$1006:AO1006),$AN$1006:$BO$1006,0)))),"Fix")))</f>
        <v>0</v>
      </c>
      <c r="D185" s="4">
        <f>IF(OR(INDEX($AH$2:$AH$1001,MATCH(ROWS($AG$2:AG185),$AG$2:$AG$1001,0),1)&gt;=100000,INDEX($AN$1005:$BO$1005,1,MATCH(COLUMNS($AN$1006:AP1006),$AN$1006:$BO$1006,0))&gt;=100000), " ",IF(INDEX($AN$2:$BO$1001,MATCH(ROWS($AG$2:AG185),$AG$2:$AG$1001,0),MATCH(COLUMNS($AN$1006:AP1006),$AN$1006:$BO$1006,0)), HYPERLINK("#",""), HYPERLINK(CONCATENATE("#Metadata!", ADDRESS(INDEX($AI$2:$AI$1001,MATCH(ROWS($AG$2:AG185),$AG$2:$AG$1001,0),0), INDEX($AN$1004:$BO$1004,1,MATCH(COLUMNS($AN$1006:AP1006),$AN$1006:$BO$1006,0)))),"Fix")))</f>
        <v>0</v>
      </c>
      <c r="E185" s="4">
        <f>IF(OR(INDEX($AH$2:$AH$1001,MATCH(ROWS($AG$2:AG185),$AG$2:$AG$1001,0),1)&gt;=100000,INDEX($AN$1005:$BO$1005,1,MATCH(COLUMNS($AN$1006:AQ1006),$AN$1006:$BO$1006,0))&gt;=100000), " ",IF(INDEX($AN$2:$BO$1001,MATCH(ROWS($AG$2:AG185),$AG$2:$AG$1001,0),MATCH(COLUMNS($AN$1006:AQ1006),$AN$1006:$BO$1006,0)), HYPERLINK("#",""), HYPERLINK(CONCATENATE("#Metadata!", ADDRESS(INDEX($AI$2:$AI$1001,MATCH(ROWS($AG$2:AG185),$AG$2:$AG$1001,0),0), INDEX($AN$1004:$BO$1004,1,MATCH(COLUMNS($AN$1006:AQ1006),$AN$1006:$BO$1006,0)))),"Fix")))</f>
        <v>0</v>
      </c>
      <c r="F185" s="4">
        <f>IF(OR(INDEX($AH$2:$AH$1001,MATCH(ROWS($AG$2:AG185),$AG$2:$AG$1001,0),1)&gt;=100000,INDEX($AN$1005:$BO$1005,1,MATCH(COLUMNS($AN$1006:AR1006),$AN$1006:$BO$1006,0))&gt;=100000), " ",IF(INDEX($AN$2:$BO$1001,MATCH(ROWS($AG$2:AG185),$AG$2:$AG$1001,0),MATCH(COLUMNS($AN$1006:AR1006),$AN$1006:$BO$1006,0)), HYPERLINK("#",""), HYPERLINK(CONCATENATE("#Metadata!", ADDRESS(INDEX($AI$2:$AI$1001,MATCH(ROWS($AG$2:AG185),$AG$2:$AG$1001,0),0), INDEX($AN$1004:$BO$1004,1,MATCH(COLUMNS($AN$1006:AR1006),$AN$1006:$BO$1006,0)))),"Fix")))</f>
        <v>0</v>
      </c>
      <c r="G185" s="4">
        <f>IF(OR(INDEX($AH$2:$AH$1001,MATCH(ROWS($AG$2:AG185),$AG$2:$AG$1001,0),1)&gt;=100000,INDEX($AN$1005:$BO$1005,1,MATCH(COLUMNS($AN$1006:AS1006),$AN$1006:$BO$1006,0))&gt;=100000), " ",IF(INDEX($AN$2:$BO$1001,MATCH(ROWS($AG$2:AG185),$AG$2:$AG$1001,0),MATCH(COLUMNS($AN$1006:AS1006),$AN$1006:$BO$1006,0)), HYPERLINK("#",""), HYPERLINK(CONCATENATE("#Metadata!", ADDRESS(INDEX($AI$2:$AI$1001,MATCH(ROWS($AG$2:AG185),$AG$2:$AG$1001,0),0), INDEX($AN$1004:$BO$1004,1,MATCH(COLUMNS($AN$1006:AS1006),$AN$1006:$BO$1006,0)))),"Fix")))</f>
        <v>0</v>
      </c>
      <c r="H185" s="4">
        <f>IF(OR(INDEX($AH$2:$AH$1001,MATCH(ROWS($AG$2:AG185),$AG$2:$AG$1001,0),1)&gt;=100000,INDEX($AN$1005:$BO$1005,1,MATCH(COLUMNS($AN$1006:AT1006),$AN$1006:$BO$1006,0))&gt;=100000), " ",IF(INDEX($AN$2:$BO$1001,MATCH(ROWS($AG$2:AG185),$AG$2:$AG$1001,0),MATCH(COLUMNS($AN$1006:AT1006),$AN$1006:$BO$1006,0)), HYPERLINK("#",""), HYPERLINK(CONCATENATE("#Metadata!", ADDRESS(INDEX($AI$2:$AI$1001,MATCH(ROWS($AG$2:AG185),$AG$2:$AG$1001,0),0), INDEX($AN$1004:$BO$1004,1,MATCH(COLUMNS($AN$1006:AT1006),$AN$1006:$BO$1006,0)))),"Fix")))</f>
        <v>0</v>
      </c>
      <c r="I185" s="4">
        <f>IF(OR(INDEX($AH$2:$AH$1001,MATCH(ROWS($AG$2:AG185),$AG$2:$AG$1001,0),1)&gt;=100000,INDEX($AN$1005:$BO$1005,1,MATCH(COLUMNS($AN$1006:AU1006),$AN$1006:$BO$1006,0))&gt;=100000), " ",IF(INDEX($AN$2:$BO$1001,MATCH(ROWS($AG$2:AG185),$AG$2:$AG$1001,0),MATCH(COLUMNS($AN$1006:AU1006),$AN$1006:$BO$1006,0)), HYPERLINK("#",""), HYPERLINK(CONCATENATE("#Metadata!", ADDRESS(INDEX($AI$2:$AI$1001,MATCH(ROWS($AG$2:AG185),$AG$2:$AG$1001,0),0), INDEX($AN$1004:$BO$1004,1,MATCH(COLUMNS($AN$1006:AU1006),$AN$1006:$BO$1006,0)))),"Fix")))</f>
        <v>0</v>
      </c>
      <c r="J185" s="4">
        <f>IF(OR(INDEX($AH$2:$AH$1001,MATCH(ROWS($AG$2:AG185),$AG$2:$AG$1001,0),1)&gt;=100000,INDEX($AN$1005:$BO$1005,1,MATCH(COLUMNS($AN$1006:AV1006),$AN$1006:$BO$1006,0))&gt;=100000), " ",IF(INDEX($AN$2:$BO$1001,MATCH(ROWS($AG$2:AG185),$AG$2:$AG$1001,0),MATCH(COLUMNS($AN$1006:AV1006),$AN$1006:$BO$1006,0)), HYPERLINK("#",""), HYPERLINK(CONCATENATE("#Metadata!", ADDRESS(INDEX($AI$2:$AI$1001,MATCH(ROWS($AG$2:AG185),$AG$2:$AG$1001,0),0), INDEX($AN$1004:$BO$1004,1,MATCH(COLUMNS($AN$1006:AV1006),$AN$1006:$BO$1006,0)))),"Fix")))</f>
        <v>0</v>
      </c>
      <c r="K185" s="4">
        <f>IF(OR(INDEX($AH$2:$AH$1001,MATCH(ROWS($AG$2:AG185),$AG$2:$AG$1001,0),1)&gt;=100000,INDEX($AN$1005:$BO$1005,1,MATCH(COLUMNS($AN$1006:AW1006),$AN$1006:$BO$1006,0))&gt;=100000), " ",IF(INDEX($AN$2:$BO$1001,MATCH(ROWS($AG$2:AG185),$AG$2:$AG$1001,0),MATCH(COLUMNS($AN$1006:AW1006),$AN$1006:$BO$1006,0)), HYPERLINK("#",""), HYPERLINK(CONCATENATE("#Metadata!", ADDRESS(INDEX($AI$2:$AI$1001,MATCH(ROWS($AG$2:AG185),$AG$2:$AG$1001,0),0), INDEX($AN$1004:$BO$1004,1,MATCH(COLUMNS($AN$1006:AW1006),$AN$1006:$BO$1006,0)))),"Fix")))</f>
        <v>0</v>
      </c>
      <c r="L185" s="4">
        <f>IF(OR(INDEX($AH$2:$AH$1001,MATCH(ROWS($AG$2:AG185),$AG$2:$AG$1001,0),1)&gt;=100000,INDEX($AN$1005:$BO$1005,1,MATCH(COLUMNS($AN$1006:AX1006),$AN$1006:$BO$1006,0))&gt;=100000), " ",IF(INDEX($AN$2:$BO$1001,MATCH(ROWS($AG$2:AG185),$AG$2:$AG$1001,0),MATCH(COLUMNS($AN$1006:AX1006),$AN$1006:$BO$1006,0)), HYPERLINK("#",""), HYPERLINK(CONCATENATE("#Metadata!", ADDRESS(INDEX($AI$2:$AI$1001,MATCH(ROWS($AG$2:AG185),$AG$2:$AG$1001,0),0), INDEX($AN$1004:$BO$1004,1,MATCH(COLUMNS($AN$1006:AX1006),$AN$1006:$BO$1006,0)))),"Fix")))</f>
        <v>0</v>
      </c>
      <c r="M185" s="4">
        <f>IF(OR(INDEX($AH$2:$AH$1001,MATCH(ROWS($AG$2:AG185),$AG$2:$AG$1001,0),1)&gt;=100000,INDEX($AN$1005:$BO$1005,1,MATCH(COLUMNS($AN$1006:AY1006),$AN$1006:$BO$1006,0))&gt;=100000), " ",IF(INDEX($AN$2:$BO$1001,MATCH(ROWS($AG$2:AG185),$AG$2:$AG$1001,0),MATCH(COLUMNS($AN$1006:AY1006),$AN$1006:$BO$1006,0)), HYPERLINK("#",""), HYPERLINK(CONCATENATE("#Metadata!", ADDRESS(INDEX($AI$2:$AI$1001,MATCH(ROWS($AG$2:AG185),$AG$2:$AG$1001,0),0), INDEX($AN$1004:$BO$1004,1,MATCH(COLUMNS($AN$1006:AY1006),$AN$1006:$BO$1006,0)))),"Fix")))</f>
        <v>0</v>
      </c>
      <c r="N185" s="4">
        <f>IF(OR(INDEX($AH$2:$AH$1001,MATCH(ROWS($AG$2:AG185),$AG$2:$AG$1001,0),1)&gt;=100000,INDEX($AN$1005:$BO$1005,1,MATCH(COLUMNS($AN$1006:AZ1006),$AN$1006:$BO$1006,0))&gt;=100000), " ",IF(INDEX($AN$2:$BO$1001,MATCH(ROWS($AG$2:AG185),$AG$2:$AG$1001,0),MATCH(COLUMNS($AN$1006:AZ1006),$AN$1006:$BO$1006,0)), HYPERLINK("#",""), HYPERLINK(CONCATENATE("#Metadata!", ADDRESS(INDEX($AI$2:$AI$1001,MATCH(ROWS($AG$2:AG185),$AG$2:$AG$1001,0),0), INDEX($AN$1004:$BO$1004,1,MATCH(COLUMNS($AN$1006:AZ1006),$AN$1006:$BO$1006,0)))),"Fix")))</f>
        <v>0</v>
      </c>
      <c r="O185" s="4">
        <f>IF(OR(INDEX($AH$2:$AH$1001,MATCH(ROWS($AG$2:AG185),$AG$2:$AG$1001,0),1)&gt;=100000,INDEX($AN$1005:$BO$1005,1,MATCH(COLUMNS($AN$1006:BA1006),$AN$1006:$BO$1006,0))&gt;=100000), " ",IF(INDEX($AN$2:$BO$1001,MATCH(ROWS($AG$2:AG185),$AG$2:$AG$1001,0),MATCH(COLUMNS($AN$1006:BA1006),$AN$1006:$BO$1006,0)), HYPERLINK("#",""), HYPERLINK(CONCATENATE("#Metadata!", ADDRESS(INDEX($AI$2:$AI$1001,MATCH(ROWS($AG$2:AG185),$AG$2:$AG$1001,0),0), INDEX($AN$1004:$BO$1004,1,MATCH(COLUMNS($AN$1006:BA1006),$AN$1006:$BO$1006,0)))),"Fix")))</f>
        <v>0</v>
      </c>
      <c r="P185" s="4">
        <f>IF(OR(INDEX($AH$2:$AH$1001,MATCH(ROWS($AG$2:AG185),$AG$2:$AG$1001,0),1)&gt;=100000,INDEX($AN$1005:$BO$1005,1,MATCH(COLUMNS($AN$1006:BB1006),$AN$1006:$BO$1006,0))&gt;=100000), " ",IF(INDEX($AN$2:$BO$1001,MATCH(ROWS($AG$2:AG185),$AG$2:$AG$1001,0),MATCH(COLUMNS($AN$1006:BB1006),$AN$1006:$BO$1006,0)), HYPERLINK("#",""), HYPERLINK(CONCATENATE("#Metadata!", ADDRESS(INDEX($AI$2:$AI$1001,MATCH(ROWS($AG$2:AG185),$AG$2:$AG$1001,0),0), INDEX($AN$1004:$BO$1004,1,MATCH(COLUMNS($AN$1006:BB1006),$AN$1006:$BO$1006,0)))),"Fix")))</f>
        <v>0</v>
      </c>
      <c r="Q185" s="4">
        <f>IF(OR(INDEX($AH$2:$AH$1001,MATCH(ROWS($AG$2:AG185),$AG$2:$AG$1001,0),1)&gt;=100000,INDEX($AN$1005:$BO$1005,1,MATCH(COLUMNS($AN$1006:BC1006),$AN$1006:$BO$1006,0))&gt;=100000), " ",IF(INDEX($AN$2:$BO$1001,MATCH(ROWS($AG$2:AG185),$AG$2:$AG$1001,0),MATCH(COLUMNS($AN$1006:BC1006),$AN$1006:$BO$1006,0)), HYPERLINK("#",""), HYPERLINK(CONCATENATE("#Metadata!", ADDRESS(INDEX($AI$2:$AI$1001,MATCH(ROWS($AG$2:AG185),$AG$2:$AG$1001,0),0), INDEX($AN$1004:$BO$1004,1,MATCH(COLUMNS($AN$1006:BC1006),$AN$1006:$BO$1006,0)))),"Fix")))</f>
        <v>0</v>
      </c>
      <c r="R185" s="4">
        <f>IF(OR(INDEX($AH$2:$AH$1001,MATCH(ROWS($AG$2:AG185),$AG$2:$AG$1001,0),1)&gt;=100000,INDEX($AN$1005:$BO$1005,1,MATCH(COLUMNS($AN$1006:BD1006),$AN$1006:$BO$1006,0))&gt;=100000), " ",IF(INDEX($AN$2:$BO$1001,MATCH(ROWS($AG$2:AG185),$AG$2:$AG$1001,0),MATCH(COLUMNS($AN$1006:BD1006),$AN$1006:$BO$1006,0)), HYPERLINK("#",""), HYPERLINK(CONCATENATE("#Metadata!", ADDRESS(INDEX($AI$2:$AI$1001,MATCH(ROWS($AG$2:AG185),$AG$2:$AG$1001,0),0), INDEX($AN$1004:$BO$1004,1,MATCH(COLUMNS($AN$1006:BD1006),$AN$1006:$BO$1006,0)))),"Fix")))</f>
        <v>0</v>
      </c>
      <c r="S185" s="4">
        <f>IF(OR(INDEX($AH$2:$AH$1001,MATCH(ROWS($AG$2:AG185),$AG$2:$AG$1001,0),1)&gt;=100000,INDEX($AN$1005:$BO$1005,1,MATCH(COLUMNS($AN$1006:BE1006),$AN$1006:$BO$1006,0))&gt;=100000), " ",IF(INDEX($AN$2:$BO$1001,MATCH(ROWS($AG$2:AG185),$AG$2:$AG$1001,0),MATCH(COLUMNS($AN$1006:BE1006),$AN$1006:$BO$1006,0)), HYPERLINK("#",""), HYPERLINK(CONCATENATE("#Metadata!", ADDRESS(INDEX($AI$2:$AI$1001,MATCH(ROWS($AG$2:AG185),$AG$2:$AG$1001,0),0), INDEX($AN$1004:$BO$1004,1,MATCH(COLUMNS($AN$1006:BE1006),$AN$1006:$BO$1006,0)))),"Fix")))</f>
        <v>0</v>
      </c>
      <c r="T185" s="4">
        <f>IF(OR(INDEX($AH$2:$AH$1001,MATCH(ROWS($AG$2:AG185),$AG$2:$AG$1001,0),1)&gt;=100000,INDEX($AN$1005:$BO$1005,1,MATCH(COLUMNS($AN$1006:BF1006),$AN$1006:$BO$1006,0))&gt;=100000), " ",IF(INDEX($AN$2:$BO$1001,MATCH(ROWS($AG$2:AG185),$AG$2:$AG$1001,0),MATCH(COLUMNS($AN$1006:BF1006),$AN$1006:$BO$1006,0)), HYPERLINK("#",""), HYPERLINK(CONCATENATE("#Metadata!", ADDRESS(INDEX($AI$2:$AI$1001,MATCH(ROWS($AG$2:AG185),$AG$2:$AG$1001,0),0), INDEX($AN$1004:$BO$1004,1,MATCH(COLUMNS($AN$1006:BF1006),$AN$1006:$BO$1006,0)))),"Fix")))</f>
        <v>0</v>
      </c>
      <c r="U185" s="4">
        <f>IF(OR(INDEX($AH$2:$AH$1001,MATCH(ROWS($AG$2:AG185),$AG$2:$AG$1001,0),1)&gt;=100000,INDEX($AN$1005:$BO$1005,1,MATCH(COLUMNS($AN$1006:BG1006),$AN$1006:$BO$1006,0))&gt;=100000), " ",IF(INDEX($AN$2:$BO$1001,MATCH(ROWS($AG$2:AG185),$AG$2:$AG$1001,0),MATCH(COLUMNS($AN$1006:BG1006),$AN$1006:$BO$1006,0)), HYPERLINK("#",""), HYPERLINK(CONCATENATE("#Metadata!", ADDRESS(INDEX($AI$2:$AI$1001,MATCH(ROWS($AG$2:AG185),$AG$2:$AG$1001,0),0), INDEX($AN$1004:$BO$1004,1,MATCH(COLUMNS($AN$1006:BG1006),$AN$1006:$BO$1006,0)))),"Fix")))</f>
        <v>0</v>
      </c>
      <c r="V185" s="4">
        <f>IF(OR(INDEX($AH$2:$AH$1001,MATCH(ROWS($AG$2:AG185),$AG$2:$AG$1001,0),1)&gt;=100000,INDEX($AN$1005:$BO$1005,1,MATCH(COLUMNS($AN$1006:BH1006),$AN$1006:$BO$1006,0))&gt;=100000), " ",IF(INDEX($AN$2:$BO$1001,MATCH(ROWS($AG$2:AG185),$AG$2:$AG$1001,0),MATCH(COLUMNS($AN$1006:BH1006),$AN$1006:$BO$1006,0)), HYPERLINK("#",""), HYPERLINK(CONCATENATE("#Metadata!", ADDRESS(INDEX($AI$2:$AI$1001,MATCH(ROWS($AG$2:AG185),$AG$2:$AG$1001,0),0), INDEX($AN$1004:$BO$1004,1,MATCH(COLUMNS($AN$1006:BH1006),$AN$1006:$BO$1006,0)))),"Fix")))</f>
        <v>0</v>
      </c>
      <c r="W185" s="4">
        <f>IF(OR(INDEX($AH$2:$AH$1001,MATCH(ROWS($AG$2:AG185),$AG$2:$AG$1001,0),1)&gt;=100000,INDEX($AN$1005:$BO$1005,1,MATCH(COLUMNS($AN$1006:BI1006),$AN$1006:$BO$1006,0))&gt;=100000), " ",IF(INDEX($AN$2:$BO$1001,MATCH(ROWS($AG$2:AG185),$AG$2:$AG$1001,0),MATCH(COLUMNS($AN$1006:BI1006),$AN$1006:$BO$1006,0)), HYPERLINK("#",""), HYPERLINK(CONCATENATE("#Metadata!", ADDRESS(INDEX($AI$2:$AI$1001,MATCH(ROWS($AG$2:AG185),$AG$2:$AG$1001,0),0), INDEX($AN$1004:$BO$1004,1,MATCH(COLUMNS($AN$1006:BI1006),$AN$1006:$BO$1006,0)))),"Fix")))</f>
        <v>0</v>
      </c>
      <c r="X185" s="4">
        <f>IF(OR(INDEX($AH$2:$AH$1001,MATCH(ROWS($AG$2:AG185),$AG$2:$AG$1001,0),1)&gt;=100000,INDEX($AN$1005:$BO$1005,1,MATCH(COLUMNS($AN$1006:BJ1006),$AN$1006:$BO$1006,0))&gt;=100000), " ",IF(INDEX($AN$2:$BO$1001,MATCH(ROWS($AG$2:AG185),$AG$2:$AG$1001,0),MATCH(COLUMNS($AN$1006:BJ1006),$AN$1006:$BO$1006,0)), HYPERLINK("#",""), HYPERLINK(CONCATENATE("#Metadata!", ADDRESS(INDEX($AI$2:$AI$1001,MATCH(ROWS($AG$2:AG185),$AG$2:$AG$1001,0),0), INDEX($AN$1004:$BO$1004,1,MATCH(COLUMNS($AN$1006:BJ1006),$AN$1006:$BO$1006,0)))),"Fix")))</f>
        <v>0</v>
      </c>
      <c r="Y185" s="4">
        <f>IF(OR(INDEX($AH$2:$AH$1001,MATCH(ROWS($AG$2:AG185),$AG$2:$AG$1001,0),1)&gt;=100000,INDEX($AN$1005:$BO$1005,1,MATCH(COLUMNS($AN$1006:BK1006),$AN$1006:$BO$1006,0))&gt;=100000), " ",IF(INDEX($AN$2:$BO$1001,MATCH(ROWS($AG$2:AG185),$AG$2:$AG$1001,0),MATCH(COLUMNS($AN$1006:BK1006),$AN$1006:$BO$1006,0)), HYPERLINK("#",""), HYPERLINK(CONCATENATE("#Metadata!", ADDRESS(INDEX($AI$2:$AI$1001,MATCH(ROWS($AG$2:AG185),$AG$2:$AG$1001,0),0), INDEX($AN$1004:$BO$1004,1,MATCH(COLUMNS($AN$1006:BK1006),$AN$1006:$BO$1006,0)))),"Fix")))</f>
        <v>0</v>
      </c>
      <c r="Z185" s="4">
        <f>IF(OR(INDEX($AH$2:$AH$1001,MATCH(ROWS($AG$2:AG185),$AG$2:$AG$1001,0),1)&gt;=100000,INDEX($AN$1005:$BO$1005,1,MATCH(COLUMNS($AN$1006:BL1006),$AN$1006:$BO$1006,0))&gt;=100000), " ",IF(INDEX($AN$2:$BO$1001,MATCH(ROWS($AG$2:AG185),$AG$2:$AG$1001,0),MATCH(COLUMNS($AN$1006:BL1006),$AN$1006:$BO$1006,0)), HYPERLINK("#",""), HYPERLINK(CONCATENATE("#Metadata!", ADDRESS(INDEX($AI$2:$AI$1001,MATCH(ROWS($AG$2:AG185),$AG$2:$AG$1001,0),0), INDEX($AN$1004:$BO$1004,1,MATCH(COLUMNS($AN$1006:BL1006),$AN$1006:$BO$1006,0)))),"Fix")))</f>
        <v>0</v>
      </c>
      <c r="AA185" s="4">
        <f>IF(OR(INDEX($AH$2:$AH$1001,MATCH(ROWS($AG$2:AG185),$AG$2:$AG$1001,0),1)&gt;=100000,INDEX($AN$1005:$BO$1005,1,MATCH(COLUMNS($AN$1006:BM1006),$AN$1006:$BO$1006,0))&gt;=100000), " ",IF(INDEX($AN$2:$BO$1001,MATCH(ROWS($AG$2:AG185),$AG$2:$AG$1001,0),MATCH(COLUMNS($AN$1006:BM1006),$AN$1006:$BO$1006,0)), HYPERLINK("#",""), HYPERLINK(CONCATENATE("#Metadata!", ADDRESS(INDEX($AI$2:$AI$1001,MATCH(ROWS($AG$2:AG185),$AG$2:$AG$1001,0),0), INDEX($AN$1004:$BO$1004,1,MATCH(COLUMNS($AN$1006:BM1006),$AN$1006:$BO$1006,0)))),"Fix")))</f>
        <v>0</v>
      </c>
      <c r="AB185" s="4">
        <f>IF(OR(INDEX($AH$2:$AH$1001,MATCH(ROWS($AG$2:AG185),$AG$2:$AG$1001,0),1)&gt;=100000,INDEX($AN$1005:$BO$1005,1,MATCH(COLUMNS($AN$1006:BN1006),$AN$1006:$BO$1006,0))&gt;=100000), " ",IF(INDEX($AN$2:$BO$1001,MATCH(ROWS($AG$2:AG185),$AG$2:$AG$1001,0),MATCH(COLUMNS($AN$1006:BN1006),$AN$1006:$BO$1006,0)), HYPERLINK("#",""), HYPERLINK(CONCATENATE("#Metadata!", ADDRESS(INDEX($AI$2:$AI$1001,MATCH(ROWS($AG$2:AG185),$AG$2:$AG$1001,0),0), INDEX($AN$1004:$BO$1004,1,MATCH(COLUMNS($AN$1006:BN1006),$AN$1006:$BO$1006,0)))),"Fix")))</f>
        <v>0</v>
      </c>
      <c r="AC185" s="4">
        <f>IF(OR(INDEX($AH$2:$AH$1001,MATCH(ROWS($AG$2:AG185),$AG$2:$AG$1001,0),1)&gt;=100000,INDEX($AN$1005:$BO$1005,1,MATCH(COLUMNS($AN$1006:BO1006),$AN$1006:$BO$1006,0))&gt;=100000), " ",IF(INDEX($AN$2:$BO$1001,MATCH(ROWS($AG$2:AG185),$AG$2:$AG$1001,0),MATCH(COLUMNS($AN$1006:BO1006),$AN$1006:$BO$1006,0)), HYPERLINK("#",""), HYPERLINK(CONCATENATE("#Metadata!", ADDRESS(INDEX($AI$2:$AI$1001,MATCH(ROWS($AG$2:AG185),$AG$2:$AG$1001,0),0), INDEX($AN$1004:$BO$1004,1,MATCH(COLUMNS($AN$1006:BO1006),$AN$1006:$BO$1006,0)))),"Fix")))</f>
        <v>0</v>
      </c>
      <c r="AG185">
        <v>0</v>
      </c>
      <c r="AH185">
        <v>0</v>
      </c>
      <c r="AI185">
        <v>0</v>
      </c>
      <c r="AJ185">
        <f>IF(AK185,TRUE,AND(AN185:BO185))</f>
        <v>0</v>
      </c>
      <c r="AK185">
        <f>COUNTBLANK(Metadata!B185:AC185)=COLUMNS(Metadata!B185:AC185)</f>
        <v>0</v>
      </c>
      <c r="AL185">
        <v>0</v>
      </c>
      <c r="AN185">
        <f>AND(IF(Metadata!B185="",FALSE,TRUE),COUNTIF(Metadata!B:B, Metadata!B185) = 1,NOT(ISERROR(SUMPRODUCT(SEARCH(MID(Metadata!B185,ROW(INDIRECT("1:"&amp;LEN(Metadata!B185))), 1),"0123456789abcdefghijklmnopqrstuvwxyzABCDEFGHIJKLMNOPQRSTUVWXYZ.")))))</f>
        <v>0</v>
      </c>
      <c r="AO185">
        <f>IF(Metadata!C185="",FALSE,TRUE)</f>
        <v>0</v>
      </c>
      <c r="AP185">
        <f>IF(Metadata!D185="",FALSE,TRUE)</f>
        <v>0</v>
      </c>
      <c r="AQ185">
        <f>OR(AND(IF(Metadata!E185="",FALSE,TRUE),OR(exact(Metadata!E185,"not collected"),exact(Metadata!E185,"not provided"),exact(Metadata!E185,"restricted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R185">
        <f>IF(Metadata!F185="",FALSE,TRUE)</f>
        <v>0</v>
      </c>
      <c r="AS185">
        <f>OR(AND(IF(Metadata!G185="",FALSE,TRUE),OR(exact(Metadata!G185,"not collected"),exact(Metadata!G185,"not provided"))),AND(IF(Metadata!G185="",FALSE,TRUE),OR(exact(Metadata!G185,"TRUE"),exact(Metadata!G185,"FALSE"))))</f>
        <v>0</v>
      </c>
      <c r="AT185">
        <f>OR(AND(IF(Metadata!H185="",FALSE,TRUE),OR(exact(Metadata!H185,"not collected"),exact(Metadata!H185,"not provided"),exact(Metadata!H185,"restricted access"))),AND(IF(Metadata!H185="",FALSE,ISNUMBER(VALUE(Metadata!H185))),Metadata!H185&gt;=-413.0))</f>
        <v>0</v>
      </c>
      <c r="AU185">
        <f>AND(IF(Metadata!I185="",FALSE,TRUE),exact(Metadata!I185,"meters"))</f>
        <v>0</v>
      </c>
      <c r="AV185">
        <f>AND(IF(Metadata!J185="",FALSE,TRUE),OR(exact(Metadata!J185,"Host-associated"),exact(Metadata!J185,"Free-living")))</f>
        <v>0</v>
      </c>
      <c r="AW185">
        <f>AND(IF(Metadata!K185="",FALSE,TRUE),OR(exact(Metadata!K185,"Animal"),exact(Metadata!K185,"Fungus"),exact(Metadata!K185,"Plant"),exact(Metadata!K185,"Saline"),exact(Metadata!K185,"Non-saline")))</f>
        <v>0</v>
      </c>
      <c r="AX185">
        <f>AND(IF(Metadata!L185="",FALSE,TRUE),OR(exact(Metadata!L185,"Plant secretion"),exact(Metadata!L185,"Plant rhizosphere"),exact(Metadata!L185,"Plant surface"),exact(Metadata!L185,"Plant corpus"),exact(Metadata!L185,"Fungus surface"),exact(Metadata!L185,"Fungus corpus"),exact(Metadata!L185,"Animal surface"),exact(Metadata!L185,"Animal proximal gut"),exact(Metadata!L185,"Animal corpus"),exact(Metadata!L185,"Animal distal gut"),exact(Metadata!L185,"Animal secretion"),exact(Metadata!L185,"Sub-surface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Y185">
        <f>IF(Metadata!M185="",FALSE,TRUE)</f>
        <v>0</v>
      </c>
      <c r="AZ185">
        <f>IF(Metadata!N185="",FALSE,TRUE)</f>
        <v>0</v>
      </c>
      <c r="BA185">
        <f>IF(Metadata!O185="",FALSE,TRUE)</f>
        <v>0</v>
      </c>
      <c r="BB185">
        <f>OR(AND(IF(Metadata!P185="",FALSE,TRUE),OR(exact(Metadata!P185,"not collected"),exact(Metadata!P185,"not provided"),exact(Metadata!P185,"restricted access"))),AND(IF(Metadata!P185="",FALSE,TRUE),OR(exact(Metadata!P185,"air"),exact(Metadata!P185,"built environment"),exact(Metadata!P185,"host-associated"),exact(Metadata!P185,"human-associated"),exact(Metadata!P185,"human-skin"),exact(Metadata!P185,"human-oral"),exact(Metadata!P185,"human-gut"),exact(Metadata!P185,"human-vaginal"),exact(Metadata!P185,"microbial mat/biofilm"),exact(Metadata!P185,"misc environment"),exact(Metadata!P185,"plant-associated"),exact(Metadata!P185,"sediment"),exact(Metadata!P185,"soil"),exact(Metadata!P185,"wastewater/sludge"),exact(Metadata!P185,"water"))))</f>
        <v>0</v>
      </c>
      <c r="BC185">
        <f>IF(Metadata!Q185="",FALSE,TRUE)</f>
        <v>0</v>
      </c>
      <c r="BD185">
        <f>IF(Metadata!R185="",FALSE,TRUE)</f>
        <v>0</v>
      </c>
      <c r="BE185">
        <f>OR(AND(IF(Metadata!S185="",FALSE,TRUE),OR(exact(Metadata!S185,"not collected"),exact(Metadata!S185,"not provided"),exact(Metadata!S185,"restricted access"))),AND(IF(Metadata!S185="",FALSE,ISNUMBER(VALUE(Metadata!S185))),Metadata!S185&gt;=-90.00,Metadata!S185&lt;=90.00))</f>
        <v>0</v>
      </c>
      <c r="BF185">
        <f>AND(IF(Metadata!T185="",FALSE,TRUE),exact(Metadata!T185,"Decimal degrees"))</f>
        <v>0</v>
      </c>
      <c r="BG185">
        <f>OR(AND(IF(Metadata!U185="",FALSE,TRUE),OR(exact(Metadata!U185,"not collected"),exact(Metadata!U185,"not provided"),exact(Metadata!U185,"restricted access"))),AND(IF(Metadata!U185="",FALSE,ISNUMBER(VALUE(Metadata!U185))),Metadata!U185&gt;=-180.00,Metadata!U185&lt;=180.00))</f>
        <v>0</v>
      </c>
      <c r="BH185">
        <f>AND(IF(Metadata!V185="",FALSE,TRUE),exact(Metadata!V185,"Decimal degrees"))</f>
        <v>0</v>
      </c>
      <c r="BI185">
        <f>IF(Metadata!W185="",FALSE,TRUE)</f>
        <v>0</v>
      </c>
      <c r="BJ185">
        <f>OR(AND(IF(Metadata!X185="",FALSE,TRUE),OR(exact(Metadata!X185,"not collected"),exact(Metadata!X185,"not provided"),exact(Metadata!X185,"restricted access"))),AND(IF(Metadata!X185="",FALSE,TRUE),OR(exact(Metadata!X185,"TRUE"),exact(Metadata!X185,"FALSE"))))</f>
        <v>0</v>
      </c>
      <c r="BK185">
        <f>AND(IF(Metadata!Y185="",FALSE,TRUE),exact(Metadata!Y185,"other"))</f>
        <v>0</v>
      </c>
      <c r="BL185">
        <f>IF(Metadata!Z185="",FALSE,TRUE)</f>
        <v>0</v>
      </c>
      <c r="BM185">
        <f>OR(AND(IF(Metadata!AA185="",FALSE,TRUE),OR(exact(Metadata!AA185,"not collected"),exact(Metadata!AA185,"not provided"))),AND(IF(Metadata!AA185="",FALSE,IF(ISERROR(INT(Metadata!AA185)),FALSE,INT(Metadata!AA185)=Metadata!AA185)),Metadata!AA185&gt;0))</f>
        <v>0</v>
      </c>
      <c r="BN185">
        <f>AND(IF(Metadata!AB185="",FALSE,TRUE),exact(Metadata!AB185,"Not applicable"))</f>
        <v>0</v>
      </c>
      <c r="BO185">
        <f>IF(Metadata!AC185="",FALSE,TRUE)</f>
        <v>0</v>
      </c>
    </row>
    <row r="186" spans="1:67">
      <c r="A186" s="5">
        <f>IF(B186=" "," ",HYPERLINK(CONCATENATE("#metadata!",ADDRESS(INDEX($AI$2:$AI$1001,MATCH(ROWS($AG$2:AG186),$AG$2:$AG$1001,0),0),1)),INDEX($AL$2:$AL$1001,MATCH(ROWS($AG$2:AG186),$AG$2:$AG$1001,0),0)))</f>
        <v>0</v>
      </c>
      <c r="B186" s="4">
        <f>IF(OR(INDEX($AH$2:$AH$1001,MATCH(ROWS($AG$2:AG186),$AG$2:$AG$1001,0),1)&gt;=100000,INDEX($AN$1005:$BO$1005,1,MATCH(COLUMNS($AN$1006:AN1006),$AN$1006:$BO$1006,0))&gt;=100000), " ",IF(INDEX($AN$2:$BO$1001,MATCH(ROWS($AG$2:AG186),$AG$2:$AG$1001,0),MATCH(COLUMNS($AN$1006:AN1006),$AN$1006:$BO$1006,0)), HYPERLINK("#",""), HYPERLINK(CONCATENATE("#Metadata!", ADDRESS(INDEX($AI$2:$AI$1001,MATCH(ROWS($AG$2:AG186),$AG$2:$AG$1001,0),0), INDEX($AN$1004:$BO$1004,1,MATCH(COLUMNS($AN$1006:AN1006),$AN$1006:$BO$1006,0)))),"Fix")))</f>
        <v>0</v>
      </c>
      <c r="C186" s="4">
        <f>IF(OR(INDEX($AH$2:$AH$1001,MATCH(ROWS($AG$2:AG186),$AG$2:$AG$1001,0),1)&gt;=100000,INDEX($AN$1005:$BO$1005,1,MATCH(COLUMNS($AN$1006:AO1006),$AN$1006:$BO$1006,0))&gt;=100000), " ",IF(INDEX($AN$2:$BO$1001,MATCH(ROWS($AG$2:AG186),$AG$2:$AG$1001,0),MATCH(COLUMNS($AN$1006:AO1006),$AN$1006:$BO$1006,0)), HYPERLINK("#",""), HYPERLINK(CONCATENATE("#Metadata!", ADDRESS(INDEX($AI$2:$AI$1001,MATCH(ROWS($AG$2:AG186),$AG$2:$AG$1001,0),0), INDEX($AN$1004:$BO$1004,1,MATCH(COLUMNS($AN$1006:AO1006),$AN$1006:$BO$1006,0)))),"Fix")))</f>
        <v>0</v>
      </c>
      <c r="D186" s="4">
        <f>IF(OR(INDEX($AH$2:$AH$1001,MATCH(ROWS($AG$2:AG186),$AG$2:$AG$1001,0),1)&gt;=100000,INDEX($AN$1005:$BO$1005,1,MATCH(COLUMNS($AN$1006:AP1006),$AN$1006:$BO$1006,0))&gt;=100000), " ",IF(INDEX($AN$2:$BO$1001,MATCH(ROWS($AG$2:AG186),$AG$2:$AG$1001,0),MATCH(COLUMNS($AN$1006:AP1006),$AN$1006:$BO$1006,0)), HYPERLINK("#",""), HYPERLINK(CONCATENATE("#Metadata!", ADDRESS(INDEX($AI$2:$AI$1001,MATCH(ROWS($AG$2:AG186),$AG$2:$AG$1001,0),0), INDEX($AN$1004:$BO$1004,1,MATCH(COLUMNS($AN$1006:AP1006),$AN$1006:$BO$1006,0)))),"Fix")))</f>
        <v>0</v>
      </c>
      <c r="E186" s="4">
        <f>IF(OR(INDEX($AH$2:$AH$1001,MATCH(ROWS($AG$2:AG186),$AG$2:$AG$1001,0),1)&gt;=100000,INDEX($AN$1005:$BO$1005,1,MATCH(COLUMNS($AN$1006:AQ1006),$AN$1006:$BO$1006,0))&gt;=100000), " ",IF(INDEX($AN$2:$BO$1001,MATCH(ROWS($AG$2:AG186),$AG$2:$AG$1001,0),MATCH(COLUMNS($AN$1006:AQ1006),$AN$1006:$BO$1006,0)), HYPERLINK("#",""), HYPERLINK(CONCATENATE("#Metadata!", ADDRESS(INDEX($AI$2:$AI$1001,MATCH(ROWS($AG$2:AG186),$AG$2:$AG$1001,0),0), INDEX($AN$1004:$BO$1004,1,MATCH(COLUMNS($AN$1006:AQ1006),$AN$1006:$BO$1006,0)))),"Fix")))</f>
        <v>0</v>
      </c>
      <c r="F186" s="4">
        <f>IF(OR(INDEX($AH$2:$AH$1001,MATCH(ROWS($AG$2:AG186),$AG$2:$AG$1001,0),1)&gt;=100000,INDEX($AN$1005:$BO$1005,1,MATCH(COLUMNS($AN$1006:AR1006),$AN$1006:$BO$1006,0))&gt;=100000), " ",IF(INDEX($AN$2:$BO$1001,MATCH(ROWS($AG$2:AG186),$AG$2:$AG$1001,0),MATCH(COLUMNS($AN$1006:AR1006),$AN$1006:$BO$1006,0)), HYPERLINK("#",""), HYPERLINK(CONCATENATE("#Metadata!", ADDRESS(INDEX($AI$2:$AI$1001,MATCH(ROWS($AG$2:AG186),$AG$2:$AG$1001,0),0), INDEX($AN$1004:$BO$1004,1,MATCH(COLUMNS($AN$1006:AR1006),$AN$1006:$BO$1006,0)))),"Fix")))</f>
        <v>0</v>
      </c>
      <c r="G186" s="4">
        <f>IF(OR(INDEX($AH$2:$AH$1001,MATCH(ROWS($AG$2:AG186),$AG$2:$AG$1001,0),1)&gt;=100000,INDEX($AN$1005:$BO$1005,1,MATCH(COLUMNS($AN$1006:AS1006),$AN$1006:$BO$1006,0))&gt;=100000), " ",IF(INDEX($AN$2:$BO$1001,MATCH(ROWS($AG$2:AG186),$AG$2:$AG$1001,0),MATCH(COLUMNS($AN$1006:AS1006),$AN$1006:$BO$1006,0)), HYPERLINK("#",""), HYPERLINK(CONCATENATE("#Metadata!", ADDRESS(INDEX($AI$2:$AI$1001,MATCH(ROWS($AG$2:AG186),$AG$2:$AG$1001,0),0), INDEX($AN$1004:$BO$1004,1,MATCH(COLUMNS($AN$1006:AS1006),$AN$1006:$BO$1006,0)))),"Fix")))</f>
        <v>0</v>
      </c>
      <c r="H186" s="4">
        <f>IF(OR(INDEX($AH$2:$AH$1001,MATCH(ROWS($AG$2:AG186),$AG$2:$AG$1001,0),1)&gt;=100000,INDEX($AN$1005:$BO$1005,1,MATCH(COLUMNS($AN$1006:AT1006),$AN$1006:$BO$1006,0))&gt;=100000), " ",IF(INDEX($AN$2:$BO$1001,MATCH(ROWS($AG$2:AG186),$AG$2:$AG$1001,0),MATCH(COLUMNS($AN$1006:AT1006),$AN$1006:$BO$1006,0)), HYPERLINK("#",""), HYPERLINK(CONCATENATE("#Metadata!", ADDRESS(INDEX($AI$2:$AI$1001,MATCH(ROWS($AG$2:AG186),$AG$2:$AG$1001,0),0), INDEX($AN$1004:$BO$1004,1,MATCH(COLUMNS($AN$1006:AT1006),$AN$1006:$BO$1006,0)))),"Fix")))</f>
        <v>0</v>
      </c>
      <c r="I186" s="4">
        <f>IF(OR(INDEX($AH$2:$AH$1001,MATCH(ROWS($AG$2:AG186),$AG$2:$AG$1001,0),1)&gt;=100000,INDEX($AN$1005:$BO$1005,1,MATCH(COLUMNS($AN$1006:AU1006),$AN$1006:$BO$1006,0))&gt;=100000), " ",IF(INDEX($AN$2:$BO$1001,MATCH(ROWS($AG$2:AG186),$AG$2:$AG$1001,0),MATCH(COLUMNS($AN$1006:AU1006),$AN$1006:$BO$1006,0)), HYPERLINK("#",""), HYPERLINK(CONCATENATE("#Metadata!", ADDRESS(INDEX($AI$2:$AI$1001,MATCH(ROWS($AG$2:AG186),$AG$2:$AG$1001,0),0), INDEX($AN$1004:$BO$1004,1,MATCH(COLUMNS($AN$1006:AU1006),$AN$1006:$BO$1006,0)))),"Fix")))</f>
        <v>0</v>
      </c>
      <c r="J186" s="4">
        <f>IF(OR(INDEX($AH$2:$AH$1001,MATCH(ROWS($AG$2:AG186),$AG$2:$AG$1001,0),1)&gt;=100000,INDEX($AN$1005:$BO$1005,1,MATCH(COLUMNS($AN$1006:AV1006),$AN$1006:$BO$1006,0))&gt;=100000), " ",IF(INDEX($AN$2:$BO$1001,MATCH(ROWS($AG$2:AG186),$AG$2:$AG$1001,0),MATCH(COLUMNS($AN$1006:AV1006),$AN$1006:$BO$1006,0)), HYPERLINK("#",""), HYPERLINK(CONCATENATE("#Metadata!", ADDRESS(INDEX($AI$2:$AI$1001,MATCH(ROWS($AG$2:AG186),$AG$2:$AG$1001,0),0), INDEX($AN$1004:$BO$1004,1,MATCH(COLUMNS($AN$1006:AV1006),$AN$1006:$BO$1006,0)))),"Fix")))</f>
        <v>0</v>
      </c>
      <c r="K186" s="4">
        <f>IF(OR(INDEX($AH$2:$AH$1001,MATCH(ROWS($AG$2:AG186),$AG$2:$AG$1001,0),1)&gt;=100000,INDEX($AN$1005:$BO$1005,1,MATCH(COLUMNS($AN$1006:AW1006),$AN$1006:$BO$1006,0))&gt;=100000), " ",IF(INDEX($AN$2:$BO$1001,MATCH(ROWS($AG$2:AG186),$AG$2:$AG$1001,0),MATCH(COLUMNS($AN$1006:AW1006),$AN$1006:$BO$1006,0)), HYPERLINK("#",""), HYPERLINK(CONCATENATE("#Metadata!", ADDRESS(INDEX($AI$2:$AI$1001,MATCH(ROWS($AG$2:AG186),$AG$2:$AG$1001,0),0), INDEX($AN$1004:$BO$1004,1,MATCH(COLUMNS($AN$1006:AW1006),$AN$1006:$BO$1006,0)))),"Fix")))</f>
        <v>0</v>
      </c>
      <c r="L186" s="4">
        <f>IF(OR(INDEX($AH$2:$AH$1001,MATCH(ROWS($AG$2:AG186),$AG$2:$AG$1001,0),1)&gt;=100000,INDEX($AN$1005:$BO$1005,1,MATCH(COLUMNS($AN$1006:AX1006),$AN$1006:$BO$1006,0))&gt;=100000), " ",IF(INDEX($AN$2:$BO$1001,MATCH(ROWS($AG$2:AG186),$AG$2:$AG$1001,0),MATCH(COLUMNS($AN$1006:AX1006),$AN$1006:$BO$1006,0)), HYPERLINK("#",""), HYPERLINK(CONCATENATE("#Metadata!", ADDRESS(INDEX($AI$2:$AI$1001,MATCH(ROWS($AG$2:AG186),$AG$2:$AG$1001,0),0), INDEX($AN$1004:$BO$1004,1,MATCH(COLUMNS($AN$1006:AX1006),$AN$1006:$BO$1006,0)))),"Fix")))</f>
        <v>0</v>
      </c>
      <c r="M186" s="4">
        <f>IF(OR(INDEX($AH$2:$AH$1001,MATCH(ROWS($AG$2:AG186),$AG$2:$AG$1001,0),1)&gt;=100000,INDEX($AN$1005:$BO$1005,1,MATCH(COLUMNS($AN$1006:AY1006),$AN$1006:$BO$1006,0))&gt;=100000), " ",IF(INDEX($AN$2:$BO$1001,MATCH(ROWS($AG$2:AG186),$AG$2:$AG$1001,0),MATCH(COLUMNS($AN$1006:AY1006),$AN$1006:$BO$1006,0)), HYPERLINK("#",""), HYPERLINK(CONCATENATE("#Metadata!", ADDRESS(INDEX($AI$2:$AI$1001,MATCH(ROWS($AG$2:AG186),$AG$2:$AG$1001,0),0), INDEX($AN$1004:$BO$1004,1,MATCH(COLUMNS($AN$1006:AY1006),$AN$1006:$BO$1006,0)))),"Fix")))</f>
        <v>0</v>
      </c>
      <c r="N186" s="4">
        <f>IF(OR(INDEX($AH$2:$AH$1001,MATCH(ROWS($AG$2:AG186),$AG$2:$AG$1001,0),1)&gt;=100000,INDEX($AN$1005:$BO$1005,1,MATCH(COLUMNS($AN$1006:AZ1006),$AN$1006:$BO$1006,0))&gt;=100000), " ",IF(INDEX($AN$2:$BO$1001,MATCH(ROWS($AG$2:AG186),$AG$2:$AG$1001,0),MATCH(COLUMNS($AN$1006:AZ1006),$AN$1006:$BO$1006,0)), HYPERLINK("#",""), HYPERLINK(CONCATENATE("#Metadata!", ADDRESS(INDEX($AI$2:$AI$1001,MATCH(ROWS($AG$2:AG186),$AG$2:$AG$1001,0),0), INDEX($AN$1004:$BO$1004,1,MATCH(COLUMNS($AN$1006:AZ1006),$AN$1006:$BO$1006,0)))),"Fix")))</f>
        <v>0</v>
      </c>
      <c r="O186" s="4">
        <f>IF(OR(INDEX($AH$2:$AH$1001,MATCH(ROWS($AG$2:AG186),$AG$2:$AG$1001,0),1)&gt;=100000,INDEX($AN$1005:$BO$1005,1,MATCH(COLUMNS($AN$1006:BA1006),$AN$1006:$BO$1006,0))&gt;=100000), " ",IF(INDEX($AN$2:$BO$1001,MATCH(ROWS($AG$2:AG186),$AG$2:$AG$1001,0),MATCH(COLUMNS($AN$1006:BA1006),$AN$1006:$BO$1006,0)), HYPERLINK("#",""), HYPERLINK(CONCATENATE("#Metadata!", ADDRESS(INDEX($AI$2:$AI$1001,MATCH(ROWS($AG$2:AG186),$AG$2:$AG$1001,0),0), INDEX($AN$1004:$BO$1004,1,MATCH(COLUMNS($AN$1006:BA1006),$AN$1006:$BO$1006,0)))),"Fix")))</f>
        <v>0</v>
      </c>
      <c r="P186" s="4">
        <f>IF(OR(INDEX($AH$2:$AH$1001,MATCH(ROWS($AG$2:AG186),$AG$2:$AG$1001,0),1)&gt;=100000,INDEX($AN$1005:$BO$1005,1,MATCH(COLUMNS($AN$1006:BB1006),$AN$1006:$BO$1006,0))&gt;=100000), " ",IF(INDEX($AN$2:$BO$1001,MATCH(ROWS($AG$2:AG186),$AG$2:$AG$1001,0),MATCH(COLUMNS($AN$1006:BB1006),$AN$1006:$BO$1006,0)), HYPERLINK("#",""), HYPERLINK(CONCATENATE("#Metadata!", ADDRESS(INDEX($AI$2:$AI$1001,MATCH(ROWS($AG$2:AG186),$AG$2:$AG$1001,0),0), INDEX($AN$1004:$BO$1004,1,MATCH(COLUMNS($AN$1006:BB1006),$AN$1006:$BO$1006,0)))),"Fix")))</f>
        <v>0</v>
      </c>
      <c r="Q186" s="4">
        <f>IF(OR(INDEX($AH$2:$AH$1001,MATCH(ROWS($AG$2:AG186),$AG$2:$AG$1001,0),1)&gt;=100000,INDEX($AN$1005:$BO$1005,1,MATCH(COLUMNS($AN$1006:BC1006),$AN$1006:$BO$1006,0))&gt;=100000), " ",IF(INDEX($AN$2:$BO$1001,MATCH(ROWS($AG$2:AG186),$AG$2:$AG$1001,0),MATCH(COLUMNS($AN$1006:BC1006),$AN$1006:$BO$1006,0)), HYPERLINK("#",""), HYPERLINK(CONCATENATE("#Metadata!", ADDRESS(INDEX($AI$2:$AI$1001,MATCH(ROWS($AG$2:AG186),$AG$2:$AG$1001,0),0), INDEX($AN$1004:$BO$1004,1,MATCH(COLUMNS($AN$1006:BC1006),$AN$1006:$BO$1006,0)))),"Fix")))</f>
        <v>0</v>
      </c>
      <c r="R186" s="4">
        <f>IF(OR(INDEX($AH$2:$AH$1001,MATCH(ROWS($AG$2:AG186),$AG$2:$AG$1001,0),1)&gt;=100000,INDEX($AN$1005:$BO$1005,1,MATCH(COLUMNS($AN$1006:BD1006),$AN$1006:$BO$1006,0))&gt;=100000), " ",IF(INDEX($AN$2:$BO$1001,MATCH(ROWS($AG$2:AG186),$AG$2:$AG$1001,0),MATCH(COLUMNS($AN$1006:BD1006),$AN$1006:$BO$1006,0)), HYPERLINK("#",""), HYPERLINK(CONCATENATE("#Metadata!", ADDRESS(INDEX($AI$2:$AI$1001,MATCH(ROWS($AG$2:AG186),$AG$2:$AG$1001,0),0), INDEX($AN$1004:$BO$1004,1,MATCH(COLUMNS($AN$1006:BD1006),$AN$1006:$BO$1006,0)))),"Fix")))</f>
        <v>0</v>
      </c>
      <c r="S186" s="4">
        <f>IF(OR(INDEX($AH$2:$AH$1001,MATCH(ROWS($AG$2:AG186),$AG$2:$AG$1001,0),1)&gt;=100000,INDEX($AN$1005:$BO$1005,1,MATCH(COLUMNS($AN$1006:BE1006),$AN$1006:$BO$1006,0))&gt;=100000), " ",IF(INDEX($AN$2:$BO$1001,MATCH(ROWS($AG$2:AG186),$AG$2:$AG$1001,0),MATCH(COLUMNS($AN$1006:BE1006),$AN$1006:$BO$1006,0)), HYPERLINK("#",""), HYPERLINK(CONCATENATE("#Metadata!", ADDRESS(INDEX($AI$2:$AI$1001,MATCH(ROWS($AG$2:AG186),$AG$2:$AG$1001,0),0), INDEX($AN$1004:$BO$1004,1,MATCH(COLUMNS($AN$1006:BE1006),$AN$1006:$BO$1006,0)))),"Fix")))</f>
        <v>0</v>
      </c>
      <c r="T186" s="4">
        <f>IF(OR(INDEX($AH$2:$AH$1001,MATCH(ROWS($AG$2:AG186),$AG$2:$AG$1001,0),1)&gt;=100000,INDEX($AN$1005:$BO$1005,1,MATCH(COLUMNS($AN$1006:BF1006),$AN$1006:$BO$1006,0))&gt;=100000), " ",IF(INDEX($AN$2:$BO$1001,MATCH(ROWS($AG$2:AG186),$AG$2:$AG$1001,0),MATCH(COLUMNS($AN$1006:BF1006),$AN$1006:$BO$1006,0)), HYPERLINK("#",""), HYPERLINK(CONCATENATE("#Metadata!", ADDRESS(INDEX($AI$2:$AI$1001,MATCH(ROWS($AG$2:AG186),$AG$2:$AG$1001,0),0), INDEX($AN$1004:$BO$1004,1,MATCH(COLUMNS($AN$1006:BF1006),$AN$1006:$BO$1006,0)))),"Fix")))</f>
        <v>0</v>
      </c>
      <c r="U186" s="4">
        <f>IF(OR(INDEX($AH$2:$AH$1001,MATCH(ROWS($AG$2:AG186),$AG$2:$AG$1001,0),1)&gt;=100000,INDEX($AN$1005:$BO$1005,1,MATCH(COLUMNS($AN$1006:BG1006),$AN$1006:$BO$1006,0))&gt;=100000), " ",IF(INDEX($AN$2:$BO$1001,MATCH(ROWS($AG$2:AG186),$AG$2:$AG$1001,0),MATCH(COLUMNS($AN$1006:BG1006),$AN$1006:$BO$1006,0)), HYPERLINK("#",""), HYPERLINK(CONCATENATE("#Metadata!", ADDRESS(INDEX($AI$2:$AI$1001,MATCH(ROWS($AG$2:AG186),$AG$2:$AG$1001,0),0), INDEX($AN$1004:$BO$1004,1,MATCH(COLUMNS($AN$1006:BG1006),$AN$1006:$BO$1006,0)))),"Fix")))</f>
        <v>0</v>
      </c>
      <c r="V186" s="4">
        <f>IF(OR(INDEX($AH$2:$AH$1001,MATCH(ROWS($AG$2:AG186),$AG$2:$AG$1001,0),1)&gt;=100000,INDEX($AN$1005:$BO$1005,1,MATCH(COLUMNS($AN$1006:BH1006),$AN$1006:$BO$1006,0))&gt;=100000), " ",IF(INDEX($AN$2:$BO$1001,MATCH(ROWS($AG$2:AG186),$AG$2:$AG$1001,0),MATCH(COLUMNS($AN$1006:BH1006),$AN$1006:$BO$1006,0)), HYPERLINK("#",""), HYPERLINK(CONCATENATE("#Metadata!", ADDRESS(INDEX($AI$2:$AI$1001,MATCH(ROWS($AG$2:AG186),$AG$2:$AG$1001,0),0), INDEX($AN$1004:$BO$1004,1,MATCH(COLUMNS($AN$1006:BH1006),$AN$1006:$BO$1006,0)))),"Fix")))</f>
        <v>0</v>
      </c>
      <c r="W186" s="4">
        <f>IF(OR(INDEX($AH$2:$AH$1001,MATCH(ROWS($AG$2:AG186),$AG$2:$AG$1001,0),1)&gt;=100000,INDEX($AN$1005:$BO$1005,1,MATCH(COLUMNS($AN$1006:BI1006),$AN$1006:$BO$1006,0))&gt;=100000), " ",IF(INDEX($AN$2:$BO$1001,MATCH(ROWS($AG$2:AG186),$AG$2:$AG$1001,0),MATCH(COLUMNS($AN$1006:BI1006),$AN$1006:$BO$1006,0)), HYPERLINK("#",""), HYPERLINK(CONCATENATE("#Metadata!", ADDRESS(INDEX($AI$2:$AI$1001,MATCH(ROWS($AG$2:AG186),$AG$2:$AG$1001,0),0), INDEX($AN$1004:$BO$1004,1,MATCH(COLUMNS($AN$1006:BI1006),$AN$1006:$BO$1006,0)))),"Fix")))</f>
        <v>0</v>
      </c>
      <c r="X186" s="4">
        <f>IF(OR(INDEX($AH$2:$AH$1001,MATCH(ROWS($AG$2:AG186),$AG$2:$AG$1001,0),1)&gt;=100000,INDEX($AN$1005:$BO$1005,1,MATCH(COLUMNS($AN$1006:BJ1006),$AN$1006:$BO$1006,0))&gt;=100000), " ",IF(INDEX($AN$2:$BO$1001,MATCH(ROWS($AG$2:AG186),$AG$2:$AG$1001,0),MATCH(COLUMNS($AN$1006:BJ1006),$AN$1006:$BO$1006,0)), HYPERLINK("#",""), HYPERLINK(CONCATENATE("#Metadata!", ADDRESS(INDEX($AI$2:$AI$1001,MATCH(ROWS($AG$2:AG186),$AG$2:$AG$1001,0),0), INDEX($AN$1004:$BO$1004,1,MATCH(COLUMNS($AN$1006:BJ1006),$AN$1006:$BO$1006,0)))),"Fix")))</f>
        <v>0</v>
      </c>
      <c r="Y186" s="4">
        <f>IF(OR(INDEX($AH$2:$AH$1001,MATCH(ROWS($AG$2:AG186),$AG$2:$AG$1001,0),1)&gt;=100000,INDEX($AN$1005:$BO$1005,1,MATCH(COLUMNS($AN$1006:BK1006),$AN$1006:$BO$1006,0))&gt;=100000), " ",IF(INDEX($AN$2:$BO$1001,MATCH(ROWS($AG$2:AG186),$AG$2:$AG$1001,0),MATCH(COLUMNS($AN$1006:BK1006),$AN$1006:$BO$1006,0)), HYPERLINK("#",""), HYPERLINK(CONCATENATE("#Metadata!", ADDRESS(INDEX($AI$2:$AI$1001,MATCH(ROWS($AG$2:AG186),$AG$2:$AG$1001,0),0), INDEX($AN$1004:$BO$1004,1,MATCH(COLUMNS($AN$1006:BK1006),$AN$1006:$BO$1006,0)))),"Fix")))</f>
        <v>0</v>
      </c>
      <c r="Z186" s="4">
        <f>IF(OR(INDEX($AH$2:$AH$1001,MATCH(ROWS($AG$2:AG186),$AG$2:$AG$1001,0),1)&gt;=100000,INDEX($AN$1005:$BO$1005,1,MATCH(COLUMNS($AN$1006:BL1006),$AN$1006:$BO$1006,0))&gt;=100000), " ",IF(INDEX($AN$2:$BO$1001,MATCH(ROWS($AG$2:AG186),$AG$2:$AG$1001,0),MATCH(COLUMNS($AN$1006:BL1006),$AN$1006:$BO$1006,0)), HYPERLINK("#",""), HYPERLINK(CONCATENATE("#Metadata!", ADDRESS(INDEX($AI$2:$AI$1001,MATCH(ROWS($AG$2:AG186),$AG$2:$AG$1001,0),0), INDEX($AN$1004:$BO$1004,1,MATCH(COLUMNS($AN$1006:BL1006),$AN$1006:$BO$1006,0)))),"Fix")))</f>
        <v>0</v>
      </c>
      <c r="AA186" s="4">
        <f>IF(OR(INDEX($AH$2:$AH$1001,MATCH(ROWS($AG$2:AG186),$AG$2:$AG$1001,0),1)&gt;=100000,INDEX($AN$1005:$BO$1005,1,MATCH(COLUMNS($AN$1006:BM1006),$AN$1006:$BO$1006,0))&gt;=100000), " ",IF(INDEX($AN$2:$BO$1001,MATCH(ROWS($AG$2:AG186),$AG$2:$AG$1001,0),MATCH(COLUMNS($AN$1006:BM1006),$AN$1006:$BO$1006,0)), HYPERLINK("#",""), HYPERLINK(CONCATENATE("#Metadata!", ADDRESS(INDEX($AI$2:$AI$1001,MATCH(ROWS($AG$2:AG186),$AG$2:$AG$1001,0),0), INDEX($AN$1004:$BO$1004,1,MATCH(COLUMNS($AN$1006:BM1006),$AN$1006:$BO$1006,0)))),"Fix")))</f>
        <v>0</v>
      </c>
      <c r="AB186" s="4">
        <f>IF(OR(INDEX($AH$2:$AH$1001,MATCH(ROWS($AG$2:AG186),$AG$2:$AG$1001,0),1)&gt;=100000,INDEX($AN$1005:$BO$1005,1,MATCH(COLUMNS($AN$1006:BN1006),$AN$1006:$BO$1006,0))&gt;=100000), " ",IF(INDEX($AN$2:$BO$1001,MATCH(ROWS($AG$2:AG186),$AG$2:$AG$1001,0),MATCH(COLUMNS($AN$1006:BN1006),$AN$1006:$BO$1006,0)), HYPERLINK("#",""), HYPERLINK(CONCATENATE("#Metadata!", ADDRESS(INDEX($AI$2:$AI$1001,MATCH(ROWS($AG$2:AG186),$AG$2:$AG$1001,0),0), INDEX($AN$1004:$BO$1004,1,MATCH(COLUMNS($AN$1006:BN1006),$AN$1006:$BO$1006,0)))),"Fix")))</f>
        <v>0</v>
      </c>
      <c r="AC186" s="4">
        <f>IF(OR(INDEX($AH$2:$AH$1001,MATCH(ROWS($AG$2:AG186),$AG$2:$AG$1001,0),1)&gt;=100000,INDEX($AN$1005:$BO$1005,1,MATCH(COLUMNS($AN$1006:BO1006),$AN$1006:$BO$1006,0))&gt;=100000), " ",IF(INDEX($AN$2:$BO$1001,MATCH(ROWS($AG$2:AG186),$AG$2:$AG$1001,0),MATCH(COLUMNS($AN$1006:BO1006),$AN$1006:$BO$1006,0)), HYPERLINK("#",""), HYPERLINK(CONCATENATE("#Metadata!", ADDRESS(INDEX($AI$2:$AI$1001,MATCH(ROWS($AG$2:AG186),$AG$2:$AG$1001,0),0), INDEX($AN$1004:$BO$1004,1,MATCH(COLUMNS($AN$1006:BO1006),$AN$1006:$BO$1006,0)))),"Fix")))</f>
        <v>0</v>
      </c>
      <c r="AG186">
        <v>0</v>
      </c>
      <c r="AH186">
        <v>0</v>
      </c>
      <c r="AI186">
        <v>0</v>
      </c>
      <c r="AJ186">
        <f>IF(AK186,TRUE,AND(AN186:BO186))</f>
        <v>0</v>
      </c>
      <c r="AK186">
        <f>COUNTBLANK(Metadata!B186:AC186)=COLUMNS(Metadata!B186:AC186)</f>
        <v>0</v>
      </c>
      <c r="AL186">
        <v>0</v>
      </c>
      <c r="AN186">
        <f>AND(IF(Metadata!B186="",FALSE,TRUE),COUNTIF(Metadata!B:B, Metadata!B186) = 1,NOT(ISERROR(SUMPRODUCT(SEARCH(MID(Metadata!B186,ROW(INDIRECT("1:"&amp;LEN(Metadata!B186))), 1),"0123456789abcdefghijklmnopqrstuvwxyzABCDEFGHIJKLMNOPQRSTUVWXYZ.")))))</f>
        <v>0</v>
      </c>
      <c r="AO186">
        <f>IF(Metadata!C186="",FALSE,TRUE)</f>
        <v>0</v>
      </c>
      <c r="AP186">
        <f>IF(Metadata!D186="",FALSE,TRUE)</f>
        <v>0</v>
      </c>
      <c r="AQ186">
        <f>OR(AND(IF(Metadata!E186="",FALSE,TRUE),OR(exact(Metadata!E186,"not collected"),exact(Metadata!E186,"not provided"),exact(Metadata!E186,"restricted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R186">
        <f>IF(Metadata!F186="",FALSE,TRUE)</f>
        <v>0</v>
      </c>
      <c r="AS186">
        <f>OR(AND(IF(Metadata!G186="",FALSE,TRUE),OR(exact(Metadata!G186,"not collected"),exact(Metadata!G186,"not provided"))),AND(IF(Metadata!G186="",FALSE,TRUE),OR(exact(Metadata!G186,"TRUE"),exact(Metadata!G186,"FALSE"))))</f>
        <v>0</v>
      </c>
      <c r="AT186">
        <f>OR(AND(IF(Metadata!H186="",FALSE,TRUE),OR(exact(Metadata!H186,"not collected"),exact(Metadata!H186,"not provided"),exact(Metadata!H186,"restricted access"))),AND(IF(Metadata!H186="",FALSE,ISNUMBER(VALUE(Metadata!H186))),Metadata!H186&gt;=-413.0))</f>
        <v>0</v>
      </c>
      <c r="AU186">
        <f>AND(IF(Metadata!I186="",FALSE,TRUE),exact(Metadata!I186,"meters"))</f>
        <v>0</v>
      </c>
      <c r="AV186">
        <f>AND(IF(Metadata!J186="",FALSE,TRUE),OR(exact(Metadata!J186,"Host-associated"),exact(Metadata!J186,"Free-living")))</f>
        <v>0</v>
      </c>
      <c r="AW186">
        <f>AND(IF(Metadata!K186="",FALSE,TRUE),OR(exact(Metadata!K186,"Animal"),exact(Metadata!K186,"Fungus"),exact(Metadata!K186,"Plant"),exact(Metadata!K186,"Saline"),exact(Metadata!K186,"Non-saline")))</f>
        <v>0</v>
      </c>
      <c r="AX186">
        <f>AND(IF(Metadata!L186="",FALSE,TRUE),OR(exact(Metadata!L186,"Plant secretion"),exact(Metadata!L186,"Plant rhizosphere"),exact(Metadata!L186,"Plant surface"),exact(Metadata!L186,"Plant corpus"),exact(Metadata!L186,"Fungus surface"),exact(Metadata!L186,"Fungus corpus"),exact(Metadata!L186,"Animal surface"),exact(Metadata!L186,"Animal proximal gut"),exact(Metadata!L186,"Animal corpus"),exact(Metadata!L186,"Animal distal gut"),exact(Metadata!L186,"Animal secretion"),exact(Metadata!L186,"Sub-surface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Y186">
        <f>IF(Metadata!M186="",FALSE,TRUE)</f>
        <v>0</v>
      </c>
      <c r="AZ186">
        <f>IF(Metadata!N186="",FALSE,TRUE)</f>
        <v>0</v>
      </c>
      <c r="BA186">
        <f>IF(Metadata!O186="",FALSE,TRUE)</f>
        <v>0</v>
      </c>
      <c r="BB186">
        <f>OR(AND(IF(Metadata!P186="",FALSE,TRUE),OR(exact(Metadata!P186,"not collected"),exact(Metadata!P186,"not provided"),exact(Metadata!P186,"restricted access"))),AND(IF(Metadata!P186="",FALSE,TRUE),OR(exact(Metadata!P186,"air"),exact(Metadata!P186,"built environment"),exact(Metadata!P186,"host-associated"),exact(Metadata!P186,"human-associated"),exact(Metadata!P186,"human-skin"),exact(Metadata!P186,"human-oral"),exact(Metadata!P186,"human-gut"),exact(Metadata!P186,"human-vaginal"),exact(Metadata!P186,"microbial mat/biofilm"),exact(Metadata!P186,"misc environment"),exact(Metadata!P186,"plant-associated"),exact(Metadata!P186,"sediment"),exact(Metadata!P186,"soil"),exact(Metadata!P186,"wastewater/sludge"),exact(Metadata!P186,"water"))))</f>
        <v>0</v>
      </c>
      <c r="BC186">
        <f>IF(Metadata!Q186="",FALSE,TRUE)</f>
        <v>0</v>
      </c>
      <c r="BD186">
        <f>IF(Metadata!R186="",FALSE,TRUE)</f>
        <v>0</v>
      </c>
      <c r="BE186">
        <f>OR(AND(IF(Metadata!S186="",FALSE,TRUE),OR(exact(Metadata!S186,"not collected"),exact(Metadata!S186,"not provided"),exact(Metadata!S186,"restricted access"))),AND(IF(Metadata!S186="",FALSE,ISNUMBER(VALUE(Metadata!S186))),Metadata!S186&gt;=-90.00,Metadata!S186&lt;=90.00))</f>
        <v>0</v>
      </c>
      <c r="BF186">
        <f>AND(IF(Metadata!T186="",FALSE,TRUE),exact(Metadata!T186,"Decimal degrees"))</f>
        <v>0</v>
      </c>
      <c r="BG186">
        <f>OR(AND(IF(Metadata!U186="",FALSE,TRUE),OR(exact(Metadata!U186,"not collected"),exact(Metadata!U186,"not provided"),exact(Metadata!U186,"restricted access"))),AND(IF(Metadata!U186="",FALSE,ISNUMBER(VALUE(Metadata!U186))),Metadata!U186&gt;=-180.00,Metadata!U186&lt;=180.00))</f>
        <v>0</v>
      </c>
      <c r="BH186">
        <f>AND(IF(Metadata!V186="",FALSE,TRUE),exact(Metadata!V186,"Decimal degrees"))</f>
        <v>0</v>
      </c>
      <c r="BI186">
        <f>IF(Metadata!W186="",FALSE,TRUE)</f>
        <v>0</v>
      </c>
      <c r="BJ186">
        <f>OR(AND(IF(Metadata!X186="",FALSE,TRUE),OR(exact(Metadata!X186,"not collected"),exact(Metadata!X186,"not provided"),exact(Metadata!X186,"restricted access"))),AND(IF(Metadata!X186="",FALSE,TRUE),OR(exact(Metadata!X186,"TRUE"),exact(Metadata!X186,"FALSE"))))</f>
        <v>0</v>
      </c>
      <c r="BK186">
        <f>AND(IF(Metadata!Y186="",FALSE,TRUE),exact(Metadata!Y186,"other"))</f>
        <v>0</v>
      </c>
      <c r="BL186">
        <f>IF(Metadata!Z186="",FALSE,TRUE)</f>
        <v>0</v>
      </c>
      <c r="BM186">
        <f>OR(AND(IF(Metadata!AA186="",FALSE,TRUE),OR(exact(Metadata!AA186,"not collected"),exact(Metadata!AA186,"not provided"))),AND(IF(Metadata!AA186="",FALSE,IF(ISERROR(INT(Metadata!AA186)),FALSE,INT(Metadata!AA186)=Metadata!AA186)),Metadata!AA186&gt;0))</f>
        <v>0</v>
      </c>
      <c r="BN186">
        <f>AND(IF(Metadata!AB186="",FALSE,TRUE),exact(Metadata!AB186,"Not applicable"))</f>
        <v>0</v>
      </c>
      <c r="BO186">
        <f>IF(Metadata!AC186="",FALSE,TRUE)</f>
        <v>0</v>
      </c>
    </row>
    <row r="187" spans="1:67">
      <c r="A187" s="5">
        <f>IF(B187=" "," ",HYPERLINK(CONCATENATE("#metadata!",ADDRESS(INDEX($AI$2:$AI$1001,MATCH(ROWS($AG$2:AG187),$AG$2:$AG$1001,0),0),1)),INDEX($AL$2:$AL$1001,MATCH(ROWS($AG$2:AG187),$AG$2:$AG$1001,0),0)))</f>
        <v>0</v>
      </c>
      <c r="B187" s="4">
        <f>IF(OR(INDEX($AH$2:$AH$1001,MATCH(ROWS($AG$2:AG187),$AG$2:$AG$1001,0),1)&gt;=100000,INDEX($AN$1005:$BO$1005,1,MATCH(COLUMNS($AN$1006:AN1006),$AN$1006:$BO$1006,0))&gt;=100000), " ",IF(INDEX($AN$2:$BO$1001,MATCH(ROWS($AG$2:AG187),$AG$2:$AG$1001,0),MATCH(COLUMNS($AN$1006:AN1006),$AN$1006:$BO$1006,0)), HYPERLINK("#",""), HYPERLINK(CONCATENATE("#Metadata!", ADDRESS(INDEX($AI$2:$AI$1001,MATCH(ROWS($AG$2:AG187),$AG$2:$AG$1001,0),0), INDEX($AN$1004:$BO$1004,1,MATCH(COLUMNS($AN$1006:AN1006),$AN$1006:$BO$1006,0)))),"Fix")))</f>
        <v>0</v>
      </c>
      <c r="C187" s="4">
        <f>IF(OR(INDEX($AH$2:$AH$1001,MATCH(ROWS($AG$2:AG187),$AG$2:$AG$1001,0),1)&gt;=100000,INDEX($AN$1005:$BO$1005,1,MATCH(COLUMNS($AN$1006:AO1006),$AN$1006:$BO$1006,0))&gt;=100000), " ",IF(INDEX($AN$2:$BO$1001,MATCH(ROWS($AG$2:AG187),$AG$2:$AG$1001,0),MATCH(COLUMNS($AN$1006:AO1006),$AN$1006:$BO$1006,0)), HYPERLINK("#",""), HYPERLINK(CONCATENATE("#Metadata!", ADDRESS(INDEX($AI$2:$AI$1001,MATCH(ROWS($AG$2:AG187),$AG$2:$AG$1001,0),0), INDEX($AN$1004:$BO$1004,1,MATCH(COLUMNS($AN$1006:AO1006),$AN$1006:$BO$1006,0)))),"Fix")))</f>
        <v>0</v>
      </c>
      <c r="D187" s="4">
        <f>IF(OR(INDEX($AH$2:$AH$1001,MATCH(ROWS($AG$2:AG187),$AG$2:$AG$1001,0),1)&gt;=100000,INDEX($AN$1005:$BO$1005,1,MATCH(COLUMNS($AN$1006:AP1006),$AN$1006:$BO$1006,0))&gt;=100000), " ",IF(INDEX($AN$2:$BO$1001,MATCH(ROWS($AG$2:AG187),$AG$2:$AG$1001,0),MATCH(COLUMNS($AN$1006:AP1006),$AN$1006:$BO$1006,0)), HYPERLINK("#",""), HYPERLINK(CONCATENATE("#Metadata!", ADDRESS(INDEX($AI$2:$AI$1001,MATCH(ROWS($AG$2:AG187),$AG$2:$AG$1001,0),0), INDEX($AN$1004:$BO$1004,1,MATCH(COLUMNS($AN$1006:AP1006),$AN$1006:$BO$1006,0)))),"Fix")))</f>
        <v>0</v>
      </c>
      <c r="E187" s="4">
        <f>IF(OR(INDEX($AH$2:$AH$1001,MATCH(ROWS($AG$2:AG187),$AG$2:$AG$1001,0),1)&gt;=100000,INDEX($AN$1005:$BO$1005,1,MATCH(COLUMNS($AN$1006:AQ1006),$AN$1006:$BO$1006,0))&gt;=100000), " ",IF(INDEX($AN$2:$BO$1001,MATCH(ROWS($AG$2:AG187),$AG$2:$AG$1001,0),MATCH(COLUMNS($AN$1006:AQ1006),$AN$1006:$BO$1006,0)), HYPERLINK("#",""), HYPERLINK(CONCATENATE("#Metadata!", ADDRESS(INDEX($AI$2:$AI$1001,MATCH(ROWS($AG$2:AG187),$AG$2:$AG$1001,0),0), INDEX($AN$1004:$BO$1004,1,MATCH(COLUMNS($AN$1006:AQ1006),$AN$1006:$BO$1006,0)))),"Fix")))</f>
        <v>0</v>
      </c>
      <c r="F187" s="4">
        <f>IF(OR(INDEX($AH$2:$AH$1001,MATCH(ROWS($AG$2:AG187),$AG$2:$AG$1001,0),1)&gt;=100000,INDEX($AN$1005:$BO$1005,1,MATCH(COLUMNS($AN$1006:AR1006),$AN$1006:$BO$1006,0))&gt;=100000), " ",IF(INDEX($AN$2:$BO$1001,MATCH(ROWS($AG$2:AG187),$AG$2:$AG$1001,0),MATCH(COLUMNS($AN$1006:AR1006),$AN$1006:$BO$1006,0)), HYPERLINK("#",""), HYPERLINK(CONCATENATE("#Metadata!", ADDRESS(INDEX($AI$2:$AI$1001,MATCH(ROWS($AG$2:AG187),$AG$2:$AG$1001,0),0), INDEX($AN$1004:$BO$1004,1,MATCH(COLUMNS($AN$1006:AR1006),$AN$1006:$BO$1006,0)))),"Fix")))</f>
        <v>0</v>
      </c>
      <c r="G187" s="4">
        <f>IF(OR(INDEX($AH$2:$AH$1001,MATCH(ROWS($AG$2:AG187),$AG$2:$AG$1001,0),1)&gt;=100000,INDEX($AN$1005:$BO$1005,1,MATCH(COLUMNS($AN$1006:AS1006),$AN$1006:$BO$1006,0))&gt;=100000), " ",IF(INDEX($AN$2:$BO$1001,MATCH(ROWS($AG$2:AG187),$AG$2:$AG$1001,0),MATCH(COLUMNS($AN$1006:AS1006),$AN$1006:$BO$1006,0)), HYPERLINK("#",""), HYPERLINK(CONCATENATE("#Metadata!", ADDRESS(INDEX($AI$2:$AI$1001,MATCH(ROWS($AG$2:AG187),$AG$2:$AG$1001,0),0), INDEX($AN$1004:$BO$1004,1,MATCH(COLUMNS($AN$1006:AS1006),$AN$1006:$BO$1006,0)))),"Fix")))</f>
        <v>0</v>
      </c>
      <c r="H187" s="4">
        <f>IF(OR(INDEX($AH$2:$AH$1001,MATCH(ROWS($AG$2:AG187),$AG$2:$AG$1001,0),1)&gt;=100000,INDEX($AN$1005:$BO$1005,1,MATCH(COLUMNS($AN$1006:AT1006),$AN$1006:$BO$1006,0))&gt;=100000), " ",IF(INDEX($AN$2:$BO$1001,MATCH(ROWS($AG$2:AG187),$AG$2:$AG$1001,0),MATCH(COLUMNS($AN$1006:AT1006),$AN$1006:$BO$1006,0)), HYPERLINK("#",""), HYPERLINK(CONCATENATE("#Metadata!", ADDRESS(INDEX($AI$2:$AI$1001,MATCH(ROWS($AG$2:AG187),$AG$2:$AG$1001,0),0), INDEX($AN$1004:$BO$1004,1,MATCH(COLUMNS($AN$1006:AT1006),$AN$1006:$BO$1006,0)))),"Fix")))</f>
        <v>0</v>
      </c>
      <c r="I187" s="4">
        <f>IF(OR(INDEX($AH$2:$AH$1001,MATCH(ROWS($AG$2:AG187),$AG$2:$AG$1001,0),1)&gt;=100000,INDEX($AN$1005:$BO$1005,1,MATCH(COLUMNS($AN$1006:AU1006),$AN$1006:$BO$1006,0))&gt;=100000), " ",IF(INDEX($AN$2:$BO$1001,MATCH(ROWS($AG$2:AG187),$AG$2:$AG$1001,0),MATCH(COLUMNS($AN$1006:AU1006),$AN$1006:$BO$1006,0)), HYPERLINK("#",""), HYPERLINK(CONCATENATE("#Metadata!", ADDRESS(INDEX($AI$2:$AI$1001,MATCH(ROWS($AG$2:AG187),$AG$2:$AG$1001,0),0), INDEX($AN$1004:$BO$1004,1,MATCH(COLUMNS($AN$1006:AU1006),$AN$1006:$BO$1006,0)))),"Fix")))</f>
        <v>0</v>
      </c>
      <c r="J187" s="4">
        <f>IF(OR(INDEX($AH$2:$AH$1001,MATCH(ROWS($AG$2:AG187),$AG$2:$AG$1001,0),1)&gt;=100000,INDEX($AN$1005:$BO$1005,1,MATCH(COLUMNS($AN$1006:AV1006),$AN$1006:$BO$1006,0))&gt;=100000), " ",IF(INDEX($AN$2:$BO$1001,MATCH(ROWS($AG$2:AG187),$AG$2:$AG$1001,0),MATCH(COLUMNS($AN$1006:AV1006),$AN$1006:$BO$1006,0)), HYPERLINK("#",""), HYPERLINK(CONCATENATE("#Metadata!", ADDRESS(INDEX($AI$2:$AI$1001,MATCH(ROWS($AG$2:AG187),$AG$2:$AG$1001,0),0), INDEX($AN$1004:$BO$1004,1,MATCH(COLUMNS($AN$1006:AV1006),$AN$1006:$BO$1006,0)))),"Fix")))</f>
        <v>0</v>
      </c>
      <c r="K187" s="4">
        <f>IF(OR(INDEX($AH$2:$AH$1001,MATCH(ROWS($AG$2:AG187),$AG$2:$AG$1001,0),1)&gt;=100000,INDEX($AN$1005:$BO$1005,1,MATCH(COLUMNS($AN$1006:AW1006),$AN$1006:$BO$1006,0))&gt;=100000), " ",IF(INDEX($AN$2:$BO$1001,MATCH(ROWS($AG$2:AG187),$AG$2:$AG$1001,0),MATCH(COLUMNS($AN$1006:AW1006),$AN$1006:$BO$1006,0)), HYPERLINK("#",""), HYPERLINK(CONCATENATE("#Metadata!", ADDRESS(INDEX($AI$2:$AI$1001,MATCH(ROWS($AG$2:AG187),$AG$2:$AG$1001,0),0), INDEX($AN$1004:$BO$1004,1,MATCH(COLUMNS($AN$1006:AW1006),$AN$1006:$BO$1006,0)))),"Fix")))</f>
        <v>0</v>
      </c>
      <c r="L187" s="4">
        <f>IF(OR(INDEX($AH$2:$AH$1001,MATCH(ROWS($AG$2:AG187),$AG$2:$AG$1001,0),1)&gt;=100000,INDEX($AN$1005:$BO$1005,1,MATCH(COLUMNS($AN$1006:AX1006),$AN$1006:$BO$1006,0))&gt;=100000), " ",IF(INDEX($AN$2:$BO$1001,MATCH(ROWS($AG$2:AG187),$AG$2:$AG$1001,0),MATCH(COLUMNS($AN$1006:AX1006),$AN$1006:$BO$1006,0)), HYPERLINK("#",""), HYPERLINK(CONCATENATE("#Metadata!", ADDRESS(INDEX($AI$2:$AI$1001,MATCH(ROWS($AG$2:AG187),$AG$2:$AG$1001,0),0), INDEX($AN$1004:$BO$1004,1,MATCH(COLUMNS($AN$1006:AX1006),$AN$1006:$BO$1006,0)))),"Fix")))</f>
        <v>0</v>
      </c>
      <c r="M187" s="4">
        <f>IF(OR(INDEX($AH$2:$AH$1001,MATCH(ROWS($AG$2:AG187),$AG$2:$AG$1001,0),1)&gt;=100000,INDEX($AN$1005:$BO$1005,1,MATCH(COLUMNS($AN$1006:AY1006),$AN$1006:$BO$1006,0))&gt;=100000), " ",IF(INDEX($AN$2:$BO$1001,MATCH(ROWS($AG$2:AG187),$AG$2:$AG$1001,0),MATCH(COLUMNS($AN$1006:AY1006),$AN$1006:$BO$1006,0)), HYPERLINK("#",""), HYPERLINK(CONCATENATE("#Metadata!", ADDRESS(INDEX($AI$2:$AI$1001,MATCH(ROWS($AG$2:AG187),$AG$2:$AG$1001,0),0), INDEX($AN$1004:$BO$1004,1,MATCH(COLUMNS($AN$1006:AY1006),$AN$1006:$BO$1006,0)))),"Fix")))</f>
        <v>0</v>
      </c>
      <c r="N187" s="4">
        <f>IF(OR(INDEX($AH$2:$AH$1001,MATCH(ROWS($AG$2:AG187),$AG$2:$AG$1001,0),1)&gt;=100000,INDEX($AN$1005:$BO$1005,1,MATCH(COLUMNS($AN$1006:AZ1006),$AN$1006:$BO$1006,0))&gt;=100000), " ",IF(INDEX($AN$2:$BO$1001,MATCH(ROWS($AG$2:AG187),$AG$2:$AG$1001,0),MATCH(COLUMNS($AN$1006:AZ1006),$AN$1006:$BO$1006,0)), HYPERLINK("#",""), HYPERLINK(CONCATENATE("#Metadata!", ADDRESS(INDEX($AI$2:$AI$1001,MATCH(ROWS($AG$2:AG187),$AG$2:$AG$1001,0),0), INDEX($AN$1004:$BO$1004,1,MATCH(COLUMNS($AN$1006:AZ1006),$AN$1006:$BO$1006,0)))),"Fix")))</f>
        <v>0</v>
      </c>
      <c r="O187" s="4">
        <f>IF(OR(INDEX($AH$2:$AH$1001,MATCH(ROWS($AG$2:AG187),$AG$2:$AG$1001,0),1)&gt;=100000,INDEX($AN$1005:$BO$1005,1,MATCH(COLUMNS($AN$1006:BA1006),$AN$1006:$BO$1006,0))&gt;=100000), " ",IF(INDEX($AN$2:$BO$1001,MATCH(ROWS($AG$2:AG187),$AG$2:$AG$1001,0),MATCH(COLUMNS($AN$1006:BA1006),$AN$1006:$BO$1006,0)), HYPERLINK("#",""), HYPERLINK(CONCATENATE("#Metadata!", ADDRESS(INDEX($AI$2:$AI$1001,MATCH(ROWS($AG$2:AG187),$AG$2:$AG$1001,0),0), INDEX($AN$1004:$BO$1004,1,MATCH(COLUMNS($AN$1006:BA1006),$AN$1006:$BO$1006,0)))),"Fix")))</f>
        <v>0</v>
      </c>
      <c r="P187" s="4">
        <f>IF(OR(INDEX($AH$2:$AH$1001,MATCH(ROWS($AG$2:AG187),$AG$2:$AG$1001,0),1)&gt;=100000,INDEX($AN$1005:$BO$1005,1,MATCH(COLUMNS($AN$1006:BB1006),$AN$1006:$BO$1006,0))&gt;=100000), " ",IF(INDEX($AN$2:$BO$1001,MATCH(ROWS($AG$2:AG187),$AG$2:$AG$1001,0),MATCH(COLUMNS($AN$1006:BB1006),$AN$1006:$BO$1006,0)), HYPERLINK("#",""), HYPERLINK(CONCATENATE("#Metadata!", ADDRESS(INDEX($AI$2:$AI$1001,MATCH(ROWS($AG$2:AG187),$AG$2:$AG$1001,0),0), INDEX($AN$1004:$BO$1004,1,MATCH(COLUMNS($AN$1006:BB1006),$AN$1006:$BO$1006,0)))),"Fix")))</f>
        <v>0</v>
      </c>
      <c r="Q187" s="4">
        <f>IF(OR(INDEX($AH$2:$AH$1001,MATCH(ROWS($AG$2:AG187),$AG$2:$AG$1001,0),1)&gt;=100000,INDEX($AN$1005:$BO$1005,1,MATCH(COLUMNS($AN$1006:BC1006),$AN$1006:$BO$1006,0))&gt;=100000), " ",IF(INDEX($AN$2:$BO$1001,MATCH(ROWS($AG$2:AG187),$AG$2:$AG$1001,0),MATCH(COLUMNS($AN$1006:BC1006),$AN$1006:$BO$1006,0)), HYPERLINK("#",""), HYPERLINK(CONCATENATE("#Metadata!", ADDRESS(INDEX($AI$2:$AI$1001,MATCH(ROWS($AG$2:AG187),$AG$2:$AG$1001,0),0), INDEX($AN$1004:$BO$1004,1,MATCH(COLUMNS($AN$1006:BC1006),$AN$1006:$BO$1006,0)))),"Fix")))</f>
        <v>0</v>
      </c>
      <c r="R187" s="4">
        <f>IF(OR(INDEX($AH$2:$AH$1001,MATCH(ROWS($AG$2:AG187),$AG$2:$AG$1001,0),1)&gt;=100000,INDEX($AN$1005:$BO$1005,1,MATCH(COLUMNS($AN$1006:BD1006),$AN$1006:$BO$1006,0))&gt;=100000), " ",IF(INDEX($AN$2:$BO$1001,MATCH(ROWS($AG$2:AG187),$AG$2:$AG$1001,0),MATCH(COLUMNS($AN$1006:BD1006),$AN$1006:$BO$1006,0)), HYPERLINK("#",""), HYPERLINK(CONCATENATE("#Metadata!", ADDRESS(INDEX($AI$2:$AI$1001,MATCH(ROWS($AG$2:AG187),$AG$2:$AG$1001,0),0), INDEX($AN$1004:$BO$1004,1,MATCH(COLUMNS($AN$1006:BD1006),$AN$1006:$BO$1006,0)))),"Fix")))</f>
        <v>0</v>
      </c>
      <c r="S187" s="4">
        <f>IF(OR(INDEX($AH$2:$AH$1001,MATCH(ROWS($AG$2:AG187),$AG$2:$AG$1001,0),1)&gt;=100000,INDEX($AN$1005:$BO$1005,1,MATCH(COLUMNS($AN$1006:BE1006),$AN$1006:$BO$1006,0))&gt;=100000), " ",IF(INDEX($AN$2:$BO$1001,MATCH(ROWS($AG$2:AG187),$AG$2:$AG$1001,0),MATCH(COLUMNS($AN$1006:BE1006),$AN$1006:$BO$1006,0)), HYPERLINK("#",""), HYPERLINK(CONCATENATE("#Metadata!", ADDRESS(INDEX($AI$2:$AI$1001,MATCH(ROWS($AG$2:AG187),$AG$2:$AG$1001,0),0), INDEX($AN$1004:$BO$1004,1,MATCH(COLUMNS($AN$1006:BE1006),$AN$1006:$BO$1006,0)))),"Fix")))</f>
        <v>0</v>
      </c>
      <c r="T187" s="4">
        <f>IF(OR(INDEX($AH$2:$AH$1001,MATCH(ROWS($AG$2:AG187),$AG$2:$AG$1001,0),1)&gt;=100000,INDEX($AN$1005:$BO$1005,1,MATCH(COLUMNS($AN$1006:BF1006),$AN$1006:$BO$1006,0))&gt;=100000), " ",IF(INDEX($AN$2:$BO$1001,MATCH(ROWS($AG$2:AG187),$AG$2:$AG$1001,0),MATCH(COLUMNS($AN$1006:BF1006),$AN$1006:$BO$1006,0)), HYPERLINK("#",""), HYPERLINK(CONCATENATE("#Metadata!", ADDRESS(INDEX($AI$2:$AI$1001,MATCH(ROWS($AG$2:AG187),$AG$2:$AG$1001,0),0), INDEX($AN$1004:$BO$1004,1,MATCH(COLUMNS($AN$1006:BF1006),$AN$1006:$BO$1006,0)))),"Fix")))</f>
        <v>0</v>
      </c>
      <c r="U187" s="4">
        <f>IF(OR(INDEX($AH$2:$AH$1001,MATCH(ROWS($AG$2:AG187),$AG$2:$AG$1001,0),1)&gt;=100000,INDEX($AN$1005:$BO$1005,1,MATCH(COLUMNS($AN$1006:BG1006),$AN$1006:$BO$1006,0))&gt;=100000), " ",IF(INDEX($AN$2:$BO$1001,MATCH(ROWS($AG$2:AG187),$AG$2:$AG$1001,0),MATCH(COLUMNS($AN$1006:BG1006),$AN$1006:$BO$1006,0)), HYPERLINK("#",""), HYPERLINK(CONCATENATE("#Metadata!", ADDRESS(INDEX($AI$2:$AI$1001,MATCH(ROWS($AG$2:AG187),$AG$2:$AG$1001,0),0), INDEX($AN$1004:$BO$1004,1,MATCH(COLUMNS($AN$1006:BG1006),$AN$1006:$BO$1006,0)))),"Fix")))</f>
        <v>0</v>
      </c>
      <c r="V187" s="4">
        <f>IF(OR(INDEX($AH$2:$AH$1001,MATCH(ROWS($AG$2:AG187),$AG$2:$AG$1001,0),1)&gt;=100000,INDEX($AN$1005:$BO$1005,1,MATCH(COLUMNS($AN$1006:BH1006),$AN$1006:$BO$1006,0))&gt;=100000), " ",IF(INDEX($AN$2:$BO$1001,MATCH(ROWS($AG$2:AG187),$AG$2:$AG$1001,0),MATCH(COLUMNS($AN$1006:BH1006),$AN$1006:$BO$1006,0)), HYPERLINK("#",""), HYPERLINK(CONCATENATE("#Metadata!", ADDRESS(INDEX($AI$2:$AI$1001,MATCH(ROWS($AG$2:AG187),$AG$2:$AG$1001,0),0), INDEX($AN$1004:$BO$1004,1,MATCH(COLUMNS($AN$1006:BH1006),$AN$1006:$BO$1006,0)))),"Fix")))</f>
        <v>0</v>
      </c>
      <c r="W187" s="4">
        <f>IF(OR(INDEX($AH$2:$AH$1001,MATCH(ROWS($AG$2:AG187),$AG$2:$AG$1001,0),1)&gt;=100000,INDEX($AN$1005:$BO$1005,1,MATCH(COLUMNS($AN$1006:BI1006),$AN$1006:$BO$1006,0))&gt;=100000), " ",IF(INDEX($AN$2:$BO$1001,MATCH(ROWS($AG$2:AG187),$AG$2:$AG$1001,0),MATCH(COLUMNS($AN$1006:BI1006),$AN$1006:$BO$1006,0)), HYPERLINK("#",""), HYPERLINK(CONCATENATE("#Metadata!", ADDRESS(INDEX($AI$2:$AI$1001,MATCH(ROWS($AG$2:AG187),$AG$2:$AG$1001,0),0), INDEX($AN$1004:$BO$1004,1,MATCH(COLUMNS($AN$1006:BI1006),$AN$1006:$BO$1006,0)))),"Fix")))</f>
        <v>0</v>
      </c>
      <c r="X187" s="4">
        <f>IF(OR(INDEX($AH$2:$AH$1001,MATCH(ROWS($AG$2:AG187),$AG$2:$AG$1001,0),1)&gt;=100000,INDEX($AN$1005:$BO$1005,1,MATCH(COLUMNS($AN$1006:BJ1006),$AN$1006:$BO$1006,0))&gt;=100000), " ",IF(INDEX($AN$2:$BO$1001,MATCH(ROWS($AG$2:AG187),$AG$2:$AG$1001,0),MATCH(COLUMNS($AN$1006:BJ1006),$AN$1006:$BO$1006,0)), HYPERLINK("#",""), HYPERLINK(CONCATENATE("#Metadata!", ADDRESS(INDEX($AI$2:$AI$1001,MATCH(ROWS($AG$2:AG187),$AG$2:$AG$1001,0),0), INDEX($AN$1004:$BO$1004,1,MATCH(COLUMNS($AN$1006:BJ1006),$AN$1006:$BO$1006,0)))),"Fix")))</f>
        <v>0</v>
      </c>
      <c r="Y187" s="4">
        <f>IF(OR(INDEX($AH$2:$AH$1001,MATCH(ROWS($AG$2:AG187),$AG$2:$AG$1001,0),1)&gt;=100000,INDEX($AN$1005:$BO$1005,1,MATCH(COLUMNS($AN$1006:BK1006),$AN$1006:$BO$1006,0))&gt;=100000), " ",IF(INDEX($AN$2:$BO$1001,MATCH(ROWS($AG$2:AG187),$AG$2:$AG$1001,0),MATCH(COLUMNS($AN$1006:BK1006),$AN$1006:$BO$1006,0)), HYPERLINK("#",""), HYPERLINK(CONCATENATE("#Metadata!", ADDRESS(INDEX($AI$2:$AI$1001,MATCH(ROWS($AG$2:AG187),$AG$2:$AG$1001,0),0), INDEX($AN$1004:$BO$1004,1,MATCH(COLUMNS($AN$1006:BK1006),$AN$1006:$BO$1006,0)))),"Fix")))</f>
        <v>0</v>
      </c>
      <c r="Z187" s="4">
        <f>IF(OR(INDEX($AH$2:$AH$1001,MATCH(ROWS($AG$2:AG187),$AG$2:$AG$1001,0),1)&gt;=100000,INDEX($AN$1005:$BO$1005,1,MATCH(COLUMNS($AN$1006:BL1006),$AN$1006:$BO$1006,0))&gt;=100000), " ",IF(INDEX($AN$2:$BO$1001,MATCH(ROWS($AG$2:AG187),$AG$2:$AG$1001,0),MATCH(COLUMNS($AN$1006:BL1006),$AN$1006:$BO$1006,0)), HYPERLINK("#",""), HYPERLINK(CONCATENATE("#Metadata!", ADDRESS(INDEX($AI$2:$AI$1001,MATCH(ROWS($AG$2:AG187),$AG$2:$AG$1001,0),0), INDEX($AN$1004:$BO$1004,1,MATCH(COLUMNS($AN$1006:BL1006),$AN$1006:$BO$1006,0)))),"Fix")))</f>
        <v>0</v>
      </c>
      <c r="AA187" s="4">
        <f>IF(OR(INDEX($AH$2:$AH$1001,MATCH(ROWS($AG$2:AG187),$AG$2:$AG$1001,0),1)&gt;=100000,INDEX($AN$1005:$BO$1005,1,MATCH(COLUMNS($AN$1006:BM1006),$AN$1006:$BO$1006,0))&gt;=100000), " ",IF(INDEX($AN$2:$BO$1001,MATCH(ROWS($AG$2:AG187),$AG$2:$AG$1001,0),MATCH(COLUMNS($AN$1006:BM1006),$AN$1006:$BO$1006,0)), HYPERLINK("#",""), HYPERLINK(CONCATENATE("#Metadata!", ADDRESS(INDEX($AI$2:$AI$1001,MATCH(ROWS($AG$2:AG187),$AG$2:$AG$1001,0),0), INDEX($AN$1004:$BO$1004,1,MATCH(COLUMNS($AN$1006:BM1006),$AN$1006:$BO$1006,0)))),"Fix")))</f>
        <v>0</v>
      </c>
      <c r="AB187" s="4">
        <f>IF(OR(INDEX($AH$2:$AH$1001,MATCH(ROWS($AG$2:AG187),$AG$2:$AG$1001,0),1)&gt;=100000,INDEX($AN$1005:$BO$1005,1,MATCH(COLUMNS($AN$1006:BN1006),$AN$1006:$BO$1006,0))&gt;=100000), " ",IF(INDEX($AN$2:$BO$1001,MATCH(ROWS($AG$2:AG187),$AG$2:$AG$1001,0),MATCH(COLUMNS($AN$1006:BN1006),$AN$1006:$BO$1006,0)), HYPERLINK("#",""), HYPERLINK(CONCATENATE("#Metadata!", ADDRESS(INDEX($AI$2:$AI$1001,MATCH(ROWS($AG$2:AG187),$AG$2:$AG$1001,0),0), INDEX($AN$1004:$BO$1004,1,MATCH(COLUMNS($AN$1006:BN1006),$AN$1006:$BO$1006,0)))),"Fix")))</f>
        <v>0</v>
      </c>
      <c r="AC187" s="4">
        <f>IF(OR(INDEX($AH$2:$AH$1001,MATCH(ROWS($AG$2:AG187),$AG$2:$AG$1001,0),1)&gt;=100000,INDEX($AN$1005:$BO$1005,1,MATCH(COLUMNS($AN$1006:BO1006),$AN$1006:$BO$1006,0))&gt;=100000), " ",IF(INDEX($AN$2:$BO$1001,MATCH(ROWS($AG$2:AG187),$AG$2:$AG$1001,0),MATCH(COLUMNS($AN$1006:BO1006),$AN$1006:$BO$1006,0)), HYPERLINK("#",""), HYPERLINK(CONCATENATE("#Metadata!", ADDRESS(INDEX($AI$2:$AI$1001,MATCH(ROWS($AG$2:AG187),$AG$2:$AG$1001,0),0), INDEX($AN$1004:$BO$1004,1,MATCH(COLUMNS($AN$1006:BO1006),$AN$1006:$BO$1006,0)))),"Fix")))</f>
        <v>0</v>
      </c>
      <c r="AG187">
        <v>0</v>
      </c>
      <c r="AH187">
        <v>0</v>
      </c>
      <c r="AI187">
        <v>0</v>
      </c>
      <c r="AJ187">
        <f>IF(AK187,TRUE,AND(AN187:BO187))</f>
        <v>0</v>
      </c>
      <c r="AK187">
        <f>COUNTBLANK(Metadata!B187:AC187)=COLUMNS(Metadata!B187:AC187)</f>
        <v>0</v>
      </c>
      <c r="AL187">
        <v>0</v>
      </c>
      <c r="AN187">
        <f>AND(IF(Metadata!B187="",FALSE,TRUE),COUNTIF(Metadata!B:B, Metadata!B187) = 1,NOT(ISERROR(SUMPRODUCT(SEARCH(MID(Metadata!B187,ROW(INDIRECT("1:"&amp;LEN(Metadata!B187))), 1),"0123456789abcdefghijklmnopqrstuvwxyzABCDEFGHIJKLMNOPQRSTUVWXYZ.")))))</f>
        <v>0</v>
      </c>
      <c r="AO187">
        <f>IF(Metadata!C187="",FALSE,TRUE)</f>
        <v>0</v>
      </c>
      <c r="AP187">
        <f>IF(Metadata!D187="",FALSE,TRUE)</f>
        <v>0</v>
      </c>
      <c r="AQ187">
        <f>OR(AND(IF(Metadata!E187="",FALSE,TRUE),OR(exact(Metadata!E187,"not collected"),exact(Metadata!E187,"not provided"),exact(Metadata!E187,"restricted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R187">
        <f>IF(Metadata!F187="",FALSE,TRUE)</f>
        <v>0</v>
      </c>
      <c r="AS187">
        <f>OR(AND(IF(Metadata!G187="",FALSE,TRUE),OR(exact(Metadata!G187,"not collected"),exact(Metadata!G187,"not provided"))),AND(IF(Metadata!G187="",FALSE,TRUE),OR(exact(Metadata!G187,"TRUE"),exact(Metadata!G187,"FALSE"))))</f>
        <v>0</v>
      </c>
      <c r="AT187">
        <f>OR(AND(IF(Metadata!H187="",FALSE,TRUE),OR(exact(Metadata!H187,"not collected"),exact(Metadata!H187,"not provided"),exact(Metadata!H187,"restricted access"))),AND(IF(Metadata!H187="",FALSE,ISNUMBER(VALUE(Metadata!H187))),Metadata!H187&gt;=-413.0))</f>
        <v>0</v>
      </c>
      <c r="AU187">
        <f>AND(IF(Metadata!I187="",FALSE,TRUE),exact(Metadata!I187,"meters"))</f>
        <v>0</v>
      </c>
      <c r="AV187">
        <f>AND(IF(Metadata!J187="",FALSE,TRUE),OR(exact(Metadata!J187,"Host-associated"),exact(Metadata!J187,"Free-living")))</f>
        <v>0</v>
      </c>
      <c r="AW187">
        <f>AND(IF(Metadata!K187="",FALSE,TRUE),OR(exact(Metadata!K187,"Animal"),exact(Metadata!K187,"Fungus"),exact(Metadata!K187,"Plant"),exact(Metadata!K187,"Saline"),exact(Metadata!K187,"Non-saline")))</f>
        <v>0</v>
      </c>
      <c r="AX187">
        <f>AND(IF(Metadata!L187="",FALSE,TRUE),OR(exact(Metadata!L187,"Plant secretion"),exact(Metadata!L187,"Plant rhizosphere"),exact(Metadata!L187,"Plant surface"),exact(Metadata!L187,"Plant corpus"),exact(Metadata!L187,"Fungus surface"),exact(Metadata!L187,"Fungus corpus"),exact(Metadata!L187,"Animal surface"),exact(Metadata!L187,"Animal proximal gut"),exact(Metadata!L187,"Animal corpus"),exact(Metadata!L187,"Animal distal gut"),exact(Metadata!L187,"Animal secretion"),exact(Metadata!L187,"Sub-surface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Y187">
        <f>IF(Metadata!M187="",FALSE,TRUE)</f>
        <v>0</v>
      </c>
      <c r="AZ187">
        <f>IF(Metadata!N187="",FALSE,TRUE)</f>
        <v>0</v>
      </c>
      <c r="BA187">
        <f>IF(Metadata!O187="",FALSE,TRUE)</f>
        <v>0</v>
      </c>
      <c r="BB187">
        <f>OR(AND(IF(Metadata!P187="",FALSE,TRUE),OR(exact(Metadata!P187,"not collected"),exact(Metadata!P187,"not provided"),exact(Metadata!P187,"restricted access"))),AND(IF(Metadata!P187="",FALSE,TRUE),OR(exact(Metadata!P187,"air"),exact(Metadata!P187,"built environment"),exact(Metadata!P187,"host-associated"),exact(Metadata!P187,"human-associated"),exact(Metadata!P187,"human-skin"),exact(Metadata!P187,"human-oral"),exact(Metadata!P187,"human-gut"),exact(Metadata!P187,"human-vaginal"),exact(Metadata!P187,"microbial mat/biofilm"),exact(Metadata!P187,"misc environment"),exact(Metadata!P187,"plant-associated"),exact(Metadata!P187,"sediment"),exact(Metadata!P187,"soil"),exact(Metadata!P187,"wastewater/sludge"),exact(Metadata!P187,"water"))))</f>
        <v>0</v>
      </c>
      <c r="BC187">
        <f>IF(Metadata!Q187="",FALSE,TRUE)</f>
        <v>0</v>
      </c>
      <c r="BD187">
        <f>IF(Metadata!R187="",FALSE,TRUE)</f>
        <v>0</v>
      </c>
      <c r="BE187">
        <f>OR(AND(IF(Metadata!S187="",FALSE,TRUE),OR(exact(Metadata!S187,"not collected"),exact(Metadata!S187,"not provided"),exact(Metadata!S187,"restricted access"))),AND(IF(Metadata!S187="",FALSE,ISNUMBER(VALUE(Metadata!S187))),Metadata!S187&gt;=-90.00,Metadata!S187&lt;=90.00))</f>
        <v>0</v>
      </c>
      <c r="BF187">
        <f>AND(IF(Metadata!T187="",FALSE,TRUE),exact(Metadata!T187,"Decimal degrees"))</f>
        <v>0</v>
      </c>
      <c r="BG187">
        <f>OR(AND(IF(Metadata!U187="",FALSE,TRUE),OR(exact(Metadata!U187,"not collected"),exact(Metadata!U187,"not provided"),exact(Metadata!U187,"restricted access"))),AND(IF(Metadata!U187="",FALSE,ISNUMBER(VALUE(Metadata!U187))),Metadata!U187&gt;=-180.00,Metadata!U187&lt;=180.00))</f>
        <v>0</v>
      </c>
      <c r="BH187">
        <f>AND(IF(Metadata!V187="",FALSE,TRUE),exact(Metadata!V187,"Decimal degrees"))</f>
        <v>0</v>
      </c>
      <c r="BI187">
        <f>IF(Metadata!W187="",FALSE,TRUE)</f>
        <v>0</v>
      </c>
      <c r="BJ187">
        <f>OR(AND(IF(Metadata!X187="",FALSE,TRUE),OR(exact(Metadata!X187,"not collected"),exact(Metadata!X187,"not provided"),exact(Metadata!X187,"restricted access"))),AND(IF(Metadata!X187="",FALSE,TRUE),OR(exact(Metadata!X187,"TRUE"),exact(Metadata!X187,"FALSE"))))</f>
        <v>0</v>
      </c>
      <c r="BK187">
        <f>AND(IF(Metadata!Y187="",FALSE,TRUE),exact(Metadata!Y187,"other"))</f>
        <v>0</v>
      </c>
      <c r="BL187">
        <f>IF(Metadata!Z187="",FALSE,TRUE)</f>
        <v>0</v>
      </c>
      <c r="BM187">
        <f>OR(AND(IF(Metadata!AA187="",FALSE,TRUE),OR(exact(Metadata!AA187,"not collected"),exact(Metadata!AA187,"not provided"))),AND(IF(Metadata!AA187="",FALSE,IF(ISERROR(INT(Metadata!AA187)),FALSE,INT(Metadata!AA187)=Metadata!AA187)),Metadata!AA187&gt;0))</f>
        <v>0</v>
      </c>
      <c r="BN187">
        <f>AND(IF(Metadata!AB187="",FALSE,TRUE),exact(Metadata!AB187,"Not applicable"))</f>
        <v>0</v>
      </c>
      <c r="BO187">
        <f>IF(Metadata!AC187="",FALSE,TRUE)</f>
        <v>0</v>
      </c>
    </row>
    <row r="188" spans="1:67">
      <c r="A188" s="5">
        <f>IF(B188=" "," ",HYPERLINK(CONCATENATE("#metadata!",ADDRESS(INDEX($AI$2:$AI$1001,MATCH(ROWS($AG$2:AG188),$AG$2:$AG$1001,0),0),1)),INDEX($AL$2:$AL$1001,MATCH(ROWS($AG$2:AG188),$AG$2:$AG$1001,0),0)))</f>
        <v>0</v>
      </c>
      <c r="B188" s="4">
        <f>IF(OR(INDEX($AH$2:$AH$1001,MATCH(ROWS($AG$2:AG188),$AG$2:$AG$1001,0),1)&gt;=100000,INDEX($AN$1005:$BO$1005,1,MATCH(COLUMNS($AN$1006:AN1006),$AN$1006:$BO$1006,0))&gt;=100000), " ",IF(INDEX($AN$2:$BO$1001,MATCH(ROWS($AG$2:AG188),$AG$2:$AG$1001,0),MATCH(COLUMNS($AN$1006:AN1006),$AN$1006:$BO$1006,0)), HYPERLINK("#",""), HYPERLINK(CONCATENATE("#Metadata!", ADDRESS(INDEX($AI$2:$AI$1001,MATCH(ROWS($AG$2:AG188),$AG$2:$AG$1001,0),0), INDEX($AN$1004:$BO$1004,1,MATCH(COLUMNS($AN$1006:AN1006),$AN$1006:$BO$1006,0)))),"Fix")))</f>
        <v>0</v>
      </c>
      <c r="C188" s="4">
        <f>IF(OR(INDEX($AH$2:$AH$1001,MATCH(ROWS($AG$2:AG188),$AG$2:$AG$1001,0),1)&gt;=100000,INDEX($AN$1005:$BO$1005,1,MATCH(COLUMNS($AN$1006:AO1006),$AN$1006:$BO$1006,0))&gt;=100000), " ",IF(INDEX($AN$2:$BO$1001,MATCH(ROWS($AG$2:AG188),$AG$2:$AG$1001,0),MATCH(COLUMNS($AN$1006:AO1006),$AN$1006:$BO$1006,0)), HYPERLINK("#",""), HYPERLINK(CONCATENATE("#Metadata!", ADDRESS(INDEX($AI$2:$AI$1001,MATCH(ROWS($AG$2:AG188),$AG$2:$AG$1001,0),0), INDEX($AN$1004:$BO$1004,1,MATCH(COLUMNS($AN$1006:AO1006),$AN$1006:$BO$1006,0)))),"Fix")))</f>
        <v>0</v>
      </c>
      <c r="D188" s="4">
        <f>IF(OR(INDEX($AH$2:$AH$1001,MATCH(ROWS($AG$2:AG188),$AG$2:$AG$1001,0),1)&gt;=100000,INDEX($AN$1005:$BO$1005,1,MATCH(COLUMNS($AN$1006:AP1006),$AN$1006:$BO$1006,0))&gt;=100000), " ",IF(INDEX($AN$2:$BO$1001,MATCH(ROWS($AG$2:AG188),$AG$2:$AG$1001,0),MATCH(COLUMNS($AN$1006:AP1006),$AN$1006:$BO$1006,0)), HYPERLINK("#",""), HYPERLINK(CONCATENATE("#Metadata!", ADDRESS(INDEX($AI$2:$AI$1001,MATCH(ROWS($AG$2:AG188),$AG$2:$AG$1001,0),0), INDEX($AN$1004:$BO$1004,1,MATCH(COLUMNS($AN$1006:AP1006),$AN$1006:$BO$1006,0)))),"Fix")))</f>
        <v>0</v>
      </c>
      <c r="E188" s="4">
        <f>IF(OR(INDEX($AH$2:$AH$1001,MATCH(ROWS($AG$2:AG188),$AG$2:$AG$1001,0),1)&gt;=100000,INDEX($AN$1005:$BO$1005,1,MATCH(COLUMNS($AN$1006:AQ1006),$AN$1006:$BO$1006,0))&gt;=100000), " ",IF(INDEX($AN$2:$BO$1001,MATCH(ROWS($AG$2:AG188),$AG$2:$AG$1001,0),MATCH(COLUMNS($AN$1006:AQ1006),$AN$1006:$BO$1006,0)), HYPERLINK("#",""), HYPERLINK(CONCATENATE("#Metadata!", ADDRESS(INDEX($AI$2:$AI$1001,MATCH(ROWS($AG$2:AG188),$AG$2:$AG$1001,0),0), INDEX($AN$1004:$BO$1004,1,MATCH(COLUMNS($AN$1006:AQ1006),$AN$1006:$BO$1006,0)))),"Fix")))</f>
        <v>0</v>
      </c>
      <c r="F188" s="4">
        <f>IF(OR(INDEX($AH$2:$AH$1001,MATCH(ROWS($AG$2:AG188),$AG$2:$AG$1001,0),1)&gt;=100000,INDEX($AN$1005:$BO$1005,1,MATCH(COLUMNS($AN$1006:AR1006),$AN$1006:$BO$1006,0))&gt;=100000), " ",IF(INDEX($AN$2:$BO$1001,MATCH(ROWS($AG$2:AG188),$AG$2:$AG$1001,0),MATCH(COLUMNS($AN$1006:AR1006),$AN$1006:$BO$1006,0)), HYPERLINK("#",""), HYPERLINK(CONCATENATE("#Metadata!", ADDRESS(INDEX($AI$2:$AI$1001,MATCH(ROWS($AG$2:AG188),$AG$2:$AG$1001,0),0), INDEX($AN$1004:$BO$1004,1,MATCH(COLUMNS($AN$1006:AR1006),$AN$1006:$BO$1006,0)))),"Fix")))</f>
        <v>0</v>
      </c>
      <c r="G188" s="4">
        <f>IF(OR(INDEX($AH$2:$AH$1001,MATCH(ROWS($AG$2:AG188),$AG$2:$AG$1001,0),1)&gt;=100000,INDEX($AN$1005:$BO$1005,1,MATCH(COLUMNS($AN$1006:AS1006),$AN$1006:$BO$1006,0))&gt;=100000), " ",IF(INDEX($AN$2:$BO$1001,MATCH(ROWS($AG$2:AG188),$AG$2:$AG$1001,0),MATCH(COLUMNS($AN$1006:AS1006),$AN$1006:$BO$1006,0)), HYPERLINK("#",""), HYPERLINK(CONCATENATE("#Metadata!", ADDRESS(INDEX($AI$2:$AI$1001,MATCH(ROWS($AG$2:AG188),$AG$2:$AG$1001,0),0), INDEX($AN$1004:$BO$1004,1,MATCH(COLUMNS($AN$1006:AS1006),$AN$1006:$BO$1006,0)))),"Fix")))</f>
        <v>0</v>
      </c>
      <c r="H188" s="4">
        <f>IF(OR(INDEX($AH$2:$AH$1001,MATCH(ROWS($AG$2:AG188),$AG$2:$AG$1001,0),1)&gt;=100000,INDEX($AN$1005:$BO$1005,1,MATCH(COLUMNS($AN$1006:AT1006),$AN$1006:$BO$1006,0))&gt;=100000), " ",IF(INDEX($AN$2:$BO$1001,MATCH(ROWS($AG$2:AG188),$AG$2:$AG$1001,0),MATCH(COLUMNS($AN$1006:AT1006),$AN$1006:$BO$1006,0)), HYPERLINK("#",""), HYPERLINK(CONCATENATE("#Metadata!", ADDRESS(INDEX($AI$2:$AI$1001,MATCH(ROWS($AG$2:AG188),$AG$2:$AG$1001,0),0), INDEX($AN$1004:$BO$1004,1,MATCH(COLUMNS($AN$1006:AT1006),$AN$1006:$BO$1006,0)))),"Fix")))</f>
        <v>0</v>
      </c>
      <c r="I188" s="4">
        <f>IF(OR(INDEX($AH$2:$AH$1001,MATCH(ROWS($AG$2:AG188),$AG$2:$AG$1001,0),1)&gt;=100000,INDEX($AN$1005:$BO$1005,1,MATCH(COLUMNS($AN$1006:AU1006),$AN$1006:$BO$1006,0))&gt;=100000), " ",IF(INDEX($AN$2:$BO$1001,MATCH(ROWS($AG$2:AG188),$AG$2:$AG$1001,0),MATCH(COLUMNS($AN$1006:AU1006),$AN$1006:$BO$1006,0)), HYPERLINK("#",""), HYPERLINK(CONCATENATE("#Metadata!", ADDRESS(INDEX($AI$2:$AI$1001,MATCH(ROWS($AG$2:AG188),$AG$2:$AG$1001,0),0), INDEX($AN$1004:$BO$1004,1,MATCH(COLUMNS($AN$1006:AU1006),$AN$1006:$BO$1006,0)))),"Fix")))</f>
        <v>0</v>
      </c>
      <c r="J188" s="4">
        <f>IF(OR(INDEX($AH$2:$AH$1001,MATCH(ROWS($AG$2:AG188),$AG$2:$AG$1001,0),1)&gt;=100000,INDEX($AN$1005:$BO$1005,1,MATCH(COLUMNS($AN$1006:AV1006),$AN$1006:$BO$1006,0))&gt;=100000), " ",IF(INDEX($AN$2:$BO$1001,MATCH(ROWS($AG$2:AG188),$AG$2:$AG$1001,0),MATCH(COLUMNS($AN$1006:AV1006),$AN$1006:$BO$1006,0)), HYPERLINK("#",""), HYPERLINK(CONCATENATE("#Metadata!", ADDRESS(INDEX($AI$2:$AI$1001,MATCH(ROWS($AG$2:AG188),$AG$2:$AG$1001,0),0), INDEX($AN$1004:$BO$1004,1,MATCH(COLUMNS($AN$1006:AV1006),$AN$1006:$BO$1006,0)))),"Fix")))</f>
        <v>0</v>
      </c>
      <c r="K188" s="4">
        <f>IF(OR(INDEX($AH$2:$AH$1001,MATCH(ROWS($AG$2:AG188),$AG$2:$AG$1001,0),1)&gt;=100000,INDEX($AN$1005:$BO$1005,1,MATCH(COLUMNS($AN$1006:AW1006),$AN$1006:$BO$1006,0))&gt;=100000), " ",IF(INDEX($AN$2:$BO$1001,MATCH(ROWS($AG$2:AG188),$AG$2:$AG$1001,0),MATCH(COLUMNS($AN$1006:AW1006),$AN$1006:$BO$1006,0)), HYPERLINK("#",""), HYPERLINK(CONCATENATE("#Metadata!", ADDRESS(INDEX($AI$2:$AI$1001,MATCH(ROWS($AG$2:AG188),$AG$2:$AG$1001,0),0), INDEX($AN$1004:$BO$1004,1,MATCH(COLUMNS($AN$1006:AW1006),$AN$1006:$BO$1006,0)))),"Fix")))</f>
        <v>0</v>
      </c>
      <c r="L188" s="4">
        <f>IF(OR(INDEX($AH$2:$AH$1001,MATCH(ROWS($AG$2:AG188),$AG$2:$AG$1001,0),1)&gt;=100000,INDEX($AN$1005:$BO$1005,1,MATCH(COLUMNS($AN$1006:AX1006),$AN$1006:$BO$1006,0))&gt;=100000), " ",IF(INDEX($AN$2:$BO$1001,MATCH(ROWS($AG$2:AG188),$AG$2:$AG$1001,0),MATCH(COLUMNS($AN$1006:AX1006),$AN$1006:$BO$1006,0)), HYPERLINK("#",""), HYPERLINK(CONCATENATE("#Metadata!", ADDRESS(INDEX($AI$2:$AI$1001,MATCH(ROWS($AG$2:AG188),$AG$2:$AG$1001,0),0), INDEX($AN$1004:$BO$1004,1,MATCH(COLUMNS($AN$1006:AX1006),$AN$1006:$BO$1006,0)))),"Fix")))</f>
        <v>0</v>
      </c>
      <c r="M188" s="4">
        <f>IF(OR(INDEX($AH$2:$AH$1001,MATCH(ROWS($AG$2:AG188),$AG$2:$AG$1001,0),1)&gt;=100000,INDEX($AN$1005:$BO$1005,1,MATCH(COLUMNS($AN$1006:AY1006),$AN$1006:$BO$1006,0))&gt;=100000), " ",IF(INDEX($AN$2:$BO$1001,MATCH(ROWS($AG$2:AG188),$AG$2:$AG$1001,0),MATCH(COLUMNS($AN$1006:AY1006),$AN$1006:$BO$1006,0)), HYPERLINK("#",""), HYPERLINK(CONCATENATE("#Metadata!", ADDRESS(INDEX($AI$2:$AI$1001,MATCH(ROWS($AG$2:AG188),$AG$2:$AG$1001,0),0), INDEX($AN$1004:$BO$1004,1,MATCH(COLUMNS($AN$1006:AY1006),$AN$1006:$BO$1006,0)))),"Fix")))</f>
        <v>0</v>
      </c>
      <c r="N188" s="4">
        <f>IF(OR(INDEX($AH$2:$AH$1001,MATCH(ROWS($AG$2:AG188),$AG$2:$AG$1001,0),1)&gt;=100000,INDEX($AN$1005:$BO$1005,1,MATCH(COLUMNS($AN$1006:AZ1006),$AN$1006:$BO$1006,0))&gt;=100000), " ",IF(INDEX($AN$2:$BO$1001,MATCH(ROWS($AG$2:AG188),$AG$2:$AG$1001,0),MATCH(COLUMNS($AN$1006:AZ1006),$AN$1006:$BO$1006,0)), HYPERLINK("#",""), HYPERLINK(CONCATENATE("#Metadata!", ADDRESS(INDEX($AI$2:$AI$1001,MATCH(ROWS($AG$2:AG188),$AG$2:$AG$1001,0),0), INDEX($AN$1004:$BO$1004,1,MATCH(COLUMNS($AN$1006:AZ1006),$AN$1006:$BO$1006,0)))),"Fix")))</f>
        <v>0</v>
      </c>
      <c r="O188" s="4">
        <f>IF(OR(INDEX($AH$2:$AH$1001,MATCH(ROWS($AG$2:AG188),$AG$2:$AG$1001,0),1)&gt;=100000,INDEX($AN$1005:$BO$1005,1,MATCH(COLUMNS($AN$1006:BA1006),$AN$1006:$BO$1006,0))&gt;=100000), " ",IF(INDEX($AN$2:$BO$1001,MATCH(ROWS($AG$2:AG188),$AG$2:$AG$1001,0),MATCH(COLUMNS($AN$1006:BA1006),$AN$1006:$BO$1006,0)), HYPERLINK("#",""), HYPERLINK(CONCATENATE("#Metadata!", ADDRESS(INDEX($AI$2:$AI$1001,MATCH(ROWS($AG$2:AG188),$AG$2:$AG$1001,0),0), INDEX($AN$1004:$BO$1004,1,MATCH(COLUMNS($AN$1006:BA1006),$AN$1006:$BO$1006,0)))),"Fix")))</f>
        <v>0</v>
      </c>
      <c r="P188" s="4">
        <f>IF(OR(INDEX($AH$2:$AH$1001,MATCH(ROWS($AG$2:AG188),$AG$2:$AG$1001,0),1)&gt;=100000,INDEX($AN$1005:$BO$1005,1,MATCH(COLUMNS($AN$1006:BB1006),$AN$1006:$BO$1006,0))&gt;=100000), " ",IF(INDEX($AN$2:$BO$1001,MATCH(ROWS($AG$2:AG188),$AG$2:$AG$1001,0),MATCH(COLUMNS($AN$1006:BB1006),$AN$1006:$BO$1006,0)), HYPERLINK("#",""), HYPERLINK(CONCATENATE("#Metadata!", ADDRESS(INDEX($AI$2:$AI$1001,MATCH(ROWS($AG$2:AG188),$AG$2:$AG$1001,0),0), INDEX($AN$1004:$BO$1004,1,MATCH(COLUMNS($AN$1006:BB1006),$AN$1006:$BO$1006,0)))),"Fix")))</f>
        <v>0</v>
      </c>
      <c r="Q188" s="4">
        <f>IF(OR(INDEX($AH$2:$AH$1001,MATCH(ROWS($AG$2:AG188),$AG$2:$AG$1001,0),1)&gt;=100000,INDEX($AN$1005:$BO$1005,1,MATCH(COLUMNS($AN$1006:BC1006),$AN$1006:$BO$1006,0))&gt;=100000), " ",IF(INDEX($AN$2:$BO$1001,MATCH(ROWS($AG$2:AG188),$AG$2:$AG$1001,0),MATCH(COLUMNS($AN$1006:BC1006),$AN$1006:$BO$1006,0)), HYPERLINK("#",""), HYPERLINK(CONCATENATE("#Metadata!", ADDRESS(INDEX($AI$2:$AI$1001,MATCH(ROWS($AG$2:AG188),$AG$2:$AG$1001,0),0), INDEX($AN$1004:$BO$1004,1,MATCH(COLUMNS($AN$1006:BC1006),$AN$1006:$BO$1006,0)))),"Fix")))</f>
        <v>0</v>
      </c>
      <c r="R188" s="4">
        <f>IF(OR(INDEX($AH$2:$AH$1001,MATCH(ROWS($AG$2:AG188),$AG$2:$AG$1001,0),1)&gt;=100000,INDEX($AN$1005:$BO$1005,1,MATCH(COLUMNS($AN$1006:BD1006),$AN$1006:$BO$1006,0))&gt;=100000), " ",IF(INDEX($AN$2:$BO$1001,MATCH(ROWS($AG$2:AG188),$AG$2:$AG$1001,0),MATCH(COLUMNS($AN$1006:BD1006),$AN$1006:$BO$1006,0)), HYPERLINK("#",""), HYPERLINK(CONCATENATE("#Metadata!", ADDRESS(INDEX($AI$2:$AI$1001,MATCH(ROWS($AG$2:AG188),$AG$2:$AG$1001,0),0), INDEX($AN$1004:$BO$1004,1,MATCH(COLUMNS($AN$1006:BD1006),$AN$1006:$BO$1006,0)))),"Fix")))</f>
        <v>0</v>
      </c>
      <c r="S188" s="4">
        <f>IF(OR(INDEX($AH$2:$AH$1001,MATCH(ROWS($AG$2:AG188),$AG$2:$AG$1001,0),1)&gt;=100000,INDEX($AN$1005:$BO$1005,1,MATCH(COLUMNS($AN$1006:BE1006),$AN$1006:$BO$1006,0))&gt;=100000), " ",IF(INDEX($AN$2:$BO$1001,MATCH(ROWS($AG$2:AG188),$AG$2:$AG$1001,0),MATCH(COLUMNS($AN$1006:BE1006),$AN$1006:$BO$1006,0)), HYPERLINK("#",""), HYPERLINK(CONCATENATE("#Metadata!", ADDRESS(INDEX($AI$2:$AI$1001,MATCH(ROWS($AG$2:AG188),$AG$2:$AG$1001,0),0), INDEX($AN$1004:$BO$1004,1,MATCH(COLUMNS($AN$1006:BE1006),$AN$1006:$BO$1006,0)))),"Fix")))</f>
        <v>0</v>
      </c>
      <c r="T188" s="4">
        <f>IF(OR(INDEX($AH$2:$AH$1001,MATCH(ROWS($AG$2:AG188),$AG$2:$AG$1001,0),1)&gt;=100000,INDEX($AN$1005:$BO$1005,1,MATCH(COLUMNS($AN$1006:BF1006),$AN$1006:$BO$1006,0))&gt;=100000), " ",IF(INDEX($AN$2:$BO$1001,MATCH(ROWS($AG$2:AG188),$AG$2:$AG$1001,0),MATCH(COLUMNS($AN$1006:BF1006),$AN$1006:$BO$1006,0)), HYPERLINK("#",""), HYPERLINK(CONCATENATE("#Metadata!", ADDRESS(INDEX($AI$2:$AI$1001,MATCH(ROWS($AG$2:AG188),$AG$2:$AG$1001,0),0), INDEX($AN$1004:$BO$1004,1,MATCH(COLUMNS($AN$1006:BF1006),$AN$1006:$BO$1006,0)))),"Fix")))</f>
        <v>0</v>
      </c>
      <c r="U188" s="4">
        <f>IF(OR(INDEX($AH$2:$AH$1001,MATCH(ROWS($AG$2:AG188),$AG$2:$AG$1001,0),1)&gt;=100000,INDEX($AN$1005:$BO$1005,1,MATCH(COLUMNS($AN$1006:BG1006),$AN$1006:$BO$1006,0))&gt;=100000), " ",IF(INDEX($AN$2:$BO$1001,MATCH(ROWS($AG$2:AG188),$AG$2:$AG$1001,0),MATCH(COLUMNS($AN$1006:BG1006),$AN$1006:$BO$1006,0)), HYPERLINK("#",""), HYPERLINK(CONCATENATE("#Metadata!", ADDRESS(INDEX($AI$2:$AI$1001,MATCH(ROWS($AG$2:AG188),$AG$2:$AG$1001,0),0), INDEX($AN$1004:$BO$1004,1,MATCH(COLUMNS($AN$1006:BG1006),$AN$1006:$BO$1006,0)))),"Fix")))</f>
        <v>0</v>
      </c>
      <c r="V188" s="4">
        <f>IF(OR(INDEX($AH$2:$AH$1001,MATCH(ROWS($AG$2:AG188),$AG$2:$AG$1001,0),1)&gt;=100000,INDEX($AN$1005:$BO$1005,1,MATCH(COLUMNS($AN$1006:BH1006),$AN$1006:$BO$1006,0))&gt;=100000), " ",IF(INDEX($AN$2:$BO$1001,MATCH(ROWS($AG$2:AG188),$AG$2:$AG$1001,0),MATCH(COLUMNS($AN$1006:BH1006),$AN$1006:$BO$1006,0)), HYPERLINK("#",""), HYPERLINK(CONCATENATE("#Metadata!", ADDRESS(INDEX($AI$2:$AI$1001,MATCH(ROWS($AG$2:AG188),$AG$2:$AG$1001,0),0), INDEX($AN$1004:$BO$1004,1,MATCH(COLUMNS($AN$1006:BH1006),$AN$1006:$BO$1006,0)))),"Fix")))</f>
        <v>0</v>
      </c>
      <c r="W188" s="4">
        <f>IF(OR(INDEX($AH$2:$AH$1001,MATCH(ROWS($AG$2:AG188),$AG$2:$AG$1001,0),1)&gt;=100000,INDEX($AN$1005:$BO$1005,1,MATCH(COLUMNS($AN$1006:BI1006),$AN$1006:$BO$1006,0))&gt;=100000), " ",IF(INDEX($AN$2:$BO$1001,MATCH(ROWS($AG$2:AG188),$AG$2:$AG$1001,0),MATCH(COLUMNS($AN$1006:BI1006),$AN$1006:$BO$1006,0)), HYPERLINK("#",""), HYPERLINK(CONCATENATE("#Metadata!", ADDRESS(INDEX($AI$2:$AI$1001,MATCH(ROWS($AG$2:AG188),$AG$2:$AG$1001,0),0), INDEX($AN$1004:$BO$1004,1,MATCH(COLUMNS($AN$1006:BI1006),$AN$1006:$BO$1006,0)))),"Fix")))</f>
        <v>0</v>
      </c>
      <c r="X188" s="4">
        <f>IF(OR(INDEX($AH$2:$AH$1001,MATCH(ROWS($AG$2:AG188),$AG$2:$AG$1001,0),1)&gt;=100000,INDEX($AN$1005:$BO$1005,1,MATCH(COLUMNS($AN$1006:BJ1006),$AN$1006:$BO$1006,0))&gt;=100000), " ",IF(INDEX($AN$2:$BO$1001,MATCH(ROWS($AG$2:AG188),$AG$2:$AG$1001,0),MATCH(COLUMNS($AN$1006:BJ1006),$AN$1006:$BO$1006,0)), HYPERLINK("#",""), HYPERLINK(CONCATENATE("#Metadata!", ADDRESS(INDEX($AI$2:$AI$1001,MATCH(ROWS($AG$2:AG188),$AG$2:$AG$1001,0),0), INDEX($AN$1004:$BO$1004,1,MATCH(COLUMNS($AN$1006:BJ1006),$AN$1006:$BO$1006,0)))),"Fix")))</f>
        <v>0</v>
      </c>
      <c r="Y188" s="4">
        <f>IF(OR(INDEX($AH$2:$AH$1001,MATCH(ROWS($AG$2:AG188),$AG$2:$AG$1001,0),1)&gt;=100000,INDEX($AN$1005:$BO$1005,1,MATCH(COLUMNS($AN$1006:BK1006),$AN$1006:$BO$1006,0))&gt;=100000), " ",IF(INDEX($AN$2:$BO$1001,MATCH(ROWS($AG$2:AG188),$AG$2:$AG$1001,0),MATCH(COLUMNS($AN$1006:BK1006),$AN$1006:$BO$1006,0)), HYPERLINK("#",""), HYPERLINK(CONCATENATE("#Metadata!", ADDRESS(INDEX($AI$2:$AI$1001,MATCH(ROWS($AG$2:AG188),$AG$2:$AG$1001,0),0), INDEX($AN$1004:$BO$1004,1,MATCH(COLUMNS($AN$1006:BK1006),$AN$1006:$BO$1006,0)))),"Fix")))</f>
        <v>0</v>
      </c>
      <c r="Z188" s="4">
        <f>IF(OR(INDEX($AH$2:$AH$1001,MATCH(ROWS($AG$2:AG188),$AG$2:$AG$1001,0),1)&gt;=100000,INDEX($AN$1005:$BO$1005,1,MATCH(COLUMNS($AN$1006:BL1006),$AN$1006:$BO$1006,0))&gt;=100000), " ",IF(INDEX($AN$2:$BO$1001,MATCH(ROWS($AG$2:AG188),$AG$2:$AG$1001,0),MATCH(COLUMNS($AN$1006:BL1006),$AN$1006:$BO$1006,0)), HYPERLINK("#",""), HYPERLINK(CONCATENATE("#Metadata!", ADDRESS(INDEX($AI$2:$AI$1001,MATCH(ROWS($AG$2:AG188),$AG$2:$AG$1001,0),0), INDEX($AN$1004:$BO$1004,1,MATCH(COLUMNS($AN$1006:BL1006),$AN$1006:$BO$1006,0)))),"Fix")))</f>
        <v>0</v>
      </c>
      <c r="AA188" s="4">
        <f>IF(OR(INDEX($AH$2:$AH$1001,MATCH(ROWS($AG$2:AG188),$AG$2:$AG$1001,0),1)&gt;=100000,INDEX($AN$1005:$BO$1005,1,MATCH(COLUMNS($AN$1006:BM1006),$AN$1006:$BO$1006,0))&gt;=100000), " ",IF(INDEX($AN$2:$BO$1001,MATCH(ROWS($AG$2:AG188),$AG$2:$AG$1001,0),MATCH(COLUMNS($AN$1006:BM1006),$AN$1006:$BO$1006,0)), HYPERLINK("#",""), HYPERLINK(CONCATENATE("#Metadata!", ADDRESS(INDEX($AI$2:$AI$1001,MATCH(ROWS($AG$2:AG188),$AG$2:$AG$1001,0),0), INDEX($AN$1004:$BO$1004,1,MATCH(COLUMNS($AN$1006:BM1006),$AN$1006:$BO$1006,0)))),"Fix")))</f>
        <v>0</v>
      </c>
      <c r="AB188" s="4">
        <f>IF(OR(INDEX($AH$2:$AH$1001,MATCH(ROWS($AG$2:AG188),$AG$2:$AG$1001,0),1)&gt;=100000,INDEX($AN$1005:$BO$1005,1,MATCH(COLUMNS($AN$1006:BN1006),$AN$1006:$BO$1006,0))&gt;=100000), " ",IF(INDEX($AN$2:$BO$1001,MATCH(ROWS($AG$2:AG188),$AG$2:$AG$1001,0),MATCH(COLUMNS($AN$1006:BN1006),$AN$1006:$BO$1006,0)), HYPERLINK("#",""), HYPERLINK(CONCATENATE("#Metadata!", ADDRESS(INDEX($AI$2:$AI$1001,MATCH(ROWS($AG$2:AG188),$AG$2:$AG$1001,0),0), INDEX($AN$1004:$BO$1004,1,MATCH(COLUMNS($AN$1006:BN1006),$AN$1006:$BO$1006,0)))),"Fix")))</f>
        <v>0</v>
      </c>
      <c r="AC188" s="4">
        <f>IF(OR(INDEX($AH$2:$AH$1001,MATCH(ROWS($AG$2:AG188),$AG$2:$AG$1001,0),1)&gt;=100000,INDEX($AN$1005:$BO$1005,1,MATCH(COLUMNS($AN$1006:BO1006),$AN$1006:$BO$1006,0))&gt;=100000), " ",IF(INDEX($AN$2:$BO$1001,MATCH(ROWS($AG$2:AG188),$AG$2:$AG$1001,0),MATCH(COLUMNS($AN$1006:BO1006),$AN$1006:$BO$1006,0)), HYPERLINK("#",""), HYPERLINK(CONCATENATE("#Metadata!", ADDRESS(INDEX($AI$2:$AI$1001,MATCH(ROWS($AG$2:AG188),$AG$2:$AG$1001,0),0), INDEX($AN$1004:$BO$1004,1,MATCH(COLUMNS($AN$1006:BO1006),$AN$1006:$BO$1006,0)))),"Fix")))</f>
        <v>0</v>
      </c>
      <c r="AG188">
        <v>0</v>
      </c>
      <c r="AH188">
        <v>0</v>
      </c>
      <c r="AI188">
        <v>0</v>
      </c>
      <c r="AJ188">
        <f>IF(AK188,TRUE,AND(AN188:BO188))</f>
        <v>0</v>
      </c>
      <c r="AK188">
        <f>COUNTBLANK(Metadata!B188:AC188)=COLUMNS(Metadata!B188:AC188)</f>
        <v>0</v>
      </c>
      <c r="AL188">
        <v>0</v>
      </c>
      <c r="AN188">
        <f>AND(IF(Metadata!B188="",FALSE,TRUE),COUNTIF(Metadata!B:B, Metadata!B188) = 1,NOT(ISERROR(SUMPRODUCT(SEARCH(MID(Metadata!B188,ROW(INDIRECT("1:"&amp;LEN(Metadata!B188))), 1),"0123456789abcdefghijklmnopqrstuvwxyzABCDEFGHIJKLMNOPQRSTUVWXYZ.")))))</f>
        <v>0</v>
      </c>
      <c r="AO188">
        <f>IF(Metadata!C188="",FALSE,TRUE)</f>
        <v>0</v>
      </c>
      <c r="AP188">
        <f>IF(Metadata!D188="",FALSE,TRUE)</f>
        <v>0</v>
      </c>
      <c r="AQ188">
        <f>OR(AND(IF(Metadata!E188="",FALSE,TRUE),OR(exact(Metadata!E188,"not collected"),exact(Metadata!E188,"not provided"),exact(Metadata!E188,"restricted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R188">
        <f>IF(Metadata!F188="",FALSE,TRUE)</f>
        <v>0</v>
      </c>
      <c r="AS188">
        <f>OR(AND(IF(Metadata!G188="",FALSE,TRUE),OR(exact(Metadata!G188,"not collected"),exact(Metadata!G188,"not provided"))),AND(IF(Metadata!G188="",FALSE,TRUE),OR(exact(Metadata!G188,"TRUE"),exact(Metadata!G188,"FALSE"))))</f>
        <v>0</v>
      </c>
      <c r="AT188">
        <f>OR(AND(IF(Metadata!H188="",FALSE,TRUE),OR(exact(Metadata!H188,"not collected"),exact(Metadata!H188,"not provided"),exact(Metadata!H188,"restricted access"))),AND(IF(Metadata!H188="",FALSE,ISNUMBER(VALUE(Metadata!H188))),Metadata!H188&gt;=-413.0))</f>
        <v>0</v>
      </c>
      <c r="AU188">
        <f>AND(IF(Metadata!I188="",FALSE,TRUE),exact(Metadata!I188,"meters"))</f>
        <v>0</v>
      </c>
      <c r="AV188">
        <f>AND(IF(Metadata!J188="",FALSE,TRUE),OR(exact(Metadata!J188,"Host-associated"),exact(Metadata!J188,"Free-living")))</f>
        <v>0</v>
      </c>
      <c r="AW188">
        <f>AND(IF(Metadata!K188="",FALSE,TRUE),OR(exact(Metadata!K188,"Animal"),exact(Metadata!K188,"Fungus"),exact(Metadata!K188,"Plant"),exact(Metadata!K188,"Saline"),exact(Metadata!K188,"Non-saline")))</f>
        <v>0</v>
      </c>
      <c r="AX188">
        <f>AND(IF(Metadata!L188="",FALSE,TRUE),OR(exact(Metadata!L188,"Plant secretion"),exact(Metadata!L188,"Plant rhizosphere"),exact(Metadata!L188,"Plant surface"),exact(Metadata!L188,"Plant corpus"),exact(Metadata!L188,"Fungus surface"),exact(Metadata!L188,"Fungus corpus"),exact(Metadata!L188,"Animal surface"),exact(Metadata!L188,"Animal proximal gut"),exact(Metadata!L188,"Animal corpus"),exact(Metadata!L188,"Animal distal gut"),exact(Metadata!L188,"Animal secretion"),exact(Metadata!L188,"Sub-surface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Y188">
        <f>IF(Metadata!M188="",FALSE,TRUE)</f>
        <v>0</v>
      </c>
      <c r="AZ188">
        <f>IF(Metadata!N188="",FALSE,TRUE)</f>
        <v>0</v>
      </c>
      <c r="BA188">
        <f>IF(Metadata!O188="",FALSE,TRUE)</f>
        <v>0</v>
      </c>
      <c r="BB188">
        <f>OR(AND(IF(Metadata!P188="",FALSE,TRUE),OR(exact(Metadata!P188,"not collected"),exact(Metadata!P188,"not provided"),exact(Metadata!P188,"restricted access"))),AND(IF(Metadata!P188="",FALSE,TRUE),OR(exact(Metadata!P188,"air"),exact(Metadata!P188,"built environment"),exact(Metadata!P188,"host-associated"),exact(Metadata!P188,"human-associated"),exact(Metadata!P188,"human-skin"),exact(Metadata!P188,"human-oral"),exact(Metadata!P188,"human-gut"),exact(Metadata!P188,"human-vaginal"),exact(Metadata!P188,"microbial mat/biofilm"),exact(Metadata!P188,"misc environment"),exact(Metadata!P188,"plant-associated"),exact(Metadata!P188,"sediment"),exact(Metadata!P188,"soil"),exact(Metadata!P188,"wastewater/sludge"),exact(Metadata!P188,"water"))))</f>
        <v>0</v>
      </c>
      <c r="BC188">
        <f>IF(Metadata!Q188="",FALSE,TRUE)</f>
        <v>0</v>
      </c>
      <c r="BD188">
        <f>IF(Metadata!R188="",FALSE,TRUE)</f>
        <v>0</v>
      </c>
      <c r="BE188">
        <f>OR(AND(IF(Metadata!S188="",FALSE,TRUE),OR(exact(Metadata!S188,"not collected"),exact(Metadata!S188,"not provided"),exact(Metadata!S188,"restricted access"))),AND(IF(Metadata!S188="",FALSE,ISNUMBER(VALUE(Metadata!S188))),Metadata!S188&gt;=-90.00,Metadata!S188&lt;=90.00))</f>
        <v>0</v>
      </c>
      <c r="BF188">
        <f>AND(IF(Metadata!T188="",FALSE,TRUE),exact(Metadata!T188,"Decimal degrees"))</f>
        <v>0</v>
      </c>
      <c r="BG188">
        <f>OR(AND(IF(Metadata!U188="",FALSE,TRUE),OR(exact(Metadata!U188,"not collected"),exact(Metadata!U188,"not provided"),exact(Metadata!U188,"restricted access"))),AND(IF(Metadata!U188="",FALSE,ISNUMBER(VALUE(Metadata!U188))),Metadata!U188&gt;=-180.00,Metadata!U188&lt;=180.00))</f>
        <v>0</v>
      </c>
      <c r="BH188">
        <f>AND(IF(Metadata!V188="",FALSE,TRUE),exact(Metadata!V188,"Decimal degrees"))</f>
        <v>0</v>
      </c>
      <c r="BI188">
        <f>IF(Metadata!W188="",FALSE,TRUE)</f>
        <v>0</v>
      </c>
      <c r="BJ188">
        <f>OR(AND(IF(Metadata!X188="",FALSE,TRUE),OR(exact(Metadata!X188,"not collected"),exact(Metadata!X188,"not provided"),exact(Metadata!X188,"restricted access"))),AND(IF(Metadata!X188="",FALSE,TRUE),OR(exact(Metadata!X188,"TRUE"),exact(Metadata!X188,"FALSE"))))</f>
        <v>0</v>
      </c>
      <c r="BK188">
        <f>AND(IF(Metadata!Y188="",FALSE,TRUE),exact(Metadata!Y188,"other"))</f>
        <v>0</v>
      </c>
      <c r="BL188">
        <f>IF(Metadata!Z188="",FALSE,TRUE)</f>
        <v>0</v>
      </c>
      <c r="BM188">
        <f>OR(AND(IF(Metadata!AA188="",FALSE,TRUE),OR(exact(Metadata!AA188,"not collected"),exact(Metadata!AA188,"not provided"))),AND(IF(Metadata!AA188="",FALSE,IF(ISERROR(INT(Metadata!AA188)),FALSE,INT(Metadata!AA188)=Metadata!AA188)),Metadata!AA188&gt;0))</f>
        <v>0</v>
      </c>
      <c r="BN188">
        <f>AND(IF(Metadata!AB188="",FALSE,TRUE),exact(Metadata!AB188,"Not applicable"))</f>
        <v>0</v>
      </c>
      <c r="BO188">
        <f>IF(Metadata!AC188="",FALSE,TRUE)</f>
        <v>0</v>
      </c>
    </row>
    <row r="189" spans="1:67">
      <c r="A189" s="5">
        <f>IF(B189=" "," ",HYPERLINK(CONCATENATE("#metadata!",ADDRESS(INDEX($AI$2:$AI$1001,MATCH(ROWS($AG$2:AG189),$AG$2:$AG$1001,0),0),1)),INDEX($AL$2:$AL$1001,MATCH(ROWS($AG$2:AG189),$AG$2:$AG$1001,0),0)))</f>
        <v>0</v>
      </c>
      <c r="B189" s="4">
        <f>IF(OR(INDEX($AH$2:$AH$1001,MATCH(ROWS($AG$2:AG189),$AG$2:$AG$1001,0),1)&gt;=100000,INDEX($AN$1005:$BO$1005,1,MATCH(COLUMNS($AN$1006:AN1006),$AN$1006:$BO$1006,0))&gt;=100000), " ",IF(INDEX($AN$2:$BO$1001,MATCH(ROWS($AG$2:AG189),$AG$2:$AG$1001,0),MATCH(COLUMNS($AN$1006:AN1006),$AN$1006:$BO$1006,0)), HYPERLINK("#",""), HYPERLINK(CONCATENATE("#Metadata!", ADDRESS(INDEX($AI$2:$AI$1001,MATCH(ROWS($AG$2:AG189),$AG$2:$AG$1001,0),0), INDEX($AN$1004:$BO$1004,1,MATCH(COLUMNS($AN$1006:AN1006),$AN$1006:$BO$1006,0)))),"Fix")))</f>
        <v>0</v>
      </c>
      <c r="C189" s="4">
        <f>IF(OR(INDEX($AH$2:$AH$1001,MATCH(ROWS($AG$2:AG189),$AG$2:$AG$1001,0),1)&gt;=100000,INDEX($AN$1005:$BO$1005,1,MATCH(COLUMNS($AN$1006:AO1006),$AN$1006:$BO$1006,0))&gt;=100000), " ",IF(INDEX($AN$2:$BO$1001,MATCH(ROWS($AG$2:AG189),$AG$2:$AG$1001,0),MATCH(COLUMNS($AN$1006:AO1006),$AN$1006:$BO$1006,0)), HYPERLINK("#",""), HYPERLINK(CONCATENATE("#Metadata!", ADDRESS(INDEX($AI$2:$AI$1001,MATCH(ROWS($AG$2:AG189),$AG$2:$AG$1001,0),0), INDEX($AN$1004:$BO$1004,1,MATCH(COLUMNS($AN$1006:AO1006),$AN$1006:$BO$1006,0)))),"Fix")))</f>
        <v>0</v>
      </c>
      <c r="D189" s="4">
        <f>IF(OR(INDEX($AH$2:$AH$1001,MATCH(ROWS($AG$2:AG189),$AG$2:$AG$1001,0),1)&gt;=100000,INDEX($AN$1005:$BO$1005,1,MATCH(COLUMNS($AN$1006:AP1006),$AN$1006:$BO$1006,0))&gt;=100000), " ",IF(INDEX($AN$2:$BO$1001,MATCH(ROWS($AG$2:AG189),$AG$2:$AG$1001,0),MATCH(COLUMNS($AN$1006:AP1006),$AN$1006:$BO$1006,0)), HYPERLINK("#",""), HYPERLINK(CONCATENATE("#Metadata!", ADDRESS(INDEX($AI$2:$AI$1001,MATCH(ROWS($AG$2:AG189),$AG$2:$AG$1001,0),0), INDEX($AN$1004:$BO$1004,1,MATCH(COLUMNS($AN$1006:AP1006),$AN$1006:$BO$1006,0)))),"Fix")))</f>
        <v>0</v>
      </c>
      <c r="E189" s="4">
        <f>IF(OR(INDEX($AH$2:$AH$1001,MATCH(ROWS($AG$2:AG189),$AG$2:$AG$1001,0),1)&gt;=100000,INDEX($AN$1005:$BO$1005,1,MATCH(COLUMNS($AN$1006:AQ1006),$AN$1006:$BO$1006,0))&gt;=100000), " ",IF(INDEX($AN$2:$BO$1001,MATCH(ROWS($AG$2:AG189),$AG$2:$AG$1001,0),MATCH(COLUMNS($AN$1006:AQ1006),$AN$1006:$BO$1006,0)), HYPERLINK("#",""), HYPERLINK(CONCATENATE("#Metadata!", ADDRESS(INDEX($AI$2:$AI$1001,MATCH(ROWS($AG$2:AG189),$AG$2:$AG$1001,0),0), INDEX($AN$1004:$BO$1004,1,MATCH(COLUMNS($AN$1006:AQ1006),$AN$1006:$BO$1006,0)))),"Fix")))</f>
        <v>0</v>
      </c>
      <c r="F189" s="4">
        <f>IF(OR(INDEX($AH$2:$AH$1001,MATCH(ROWS($AG$2:AG189),$AG$2:$AG$1001,0),1)&gt;=100000,INDEX($AN$1005:$BO$1005,1,MATCH(COLUMNS($AN$1006:AR1006),$AN$1006:$BO$1006,0))&gt;=100000), " ",IF(INDEX($AN$2:$BO$1001,MATCH(ROWS($AG$2:AG189),$AG$2:$AG$1001,0),MATCH(COLUMNS($AN$1006:AR1006),$AN$1006:$BO$1006,0)), HYPERLINK("#",""), HYPERLINK(CONCATENATE("#Metadata!", ADDRESS(INDEX($AI$2:$AI$1001,MATCH(ROWS($AG$2:AG189),$AG$2:$AG$1001,0),0), INDEX($AN$1004:$BO$1004,1,MATCH(COLUMNS($AN$1006:AR1006),$AN$1006:$BO$1006,0)))),"Fix")))</f>
        <v>0</v>
      </c>
      <c r="G189" s="4">
        <f>IF(OR(INDEX($AH$2:$AH$1001,MATCH(ROWS($AG$2:AG189),$AG$2:$AG$1001,0),1)&gt;=100000,INDEX($AN$1005:$BO$1005,1,MATCH(COLUMNS($AN$1006:AS1006),$AN$1006:$BO$1006,0))&gt;=100000), " ",IF(INDEX($AN$2:$BO$1001,MATCH(ROWS($AG$2:AG189),$AG$2:$AG$1001,0),MATCH(COLUMNS($AN$1006:AS1006),$AN$1006:$BO$1006,0)), HYPERLINK("#",""), HYPERLINK(CONCATENATE("#Metadata!", ADDRESS(INDEX($AI$2:$AI$1001,MATCH(ROWS($AG$2:AG189),$AG$2:$AG$1001,0),0), INDEX($AN$1004:$BO$1004,1,MATCH(COLUMNS($AN$1006:AS1006),$AN$1006:$BO$1006,0)))),"Fix")))</f>
        <v>0</v>
      </c>
      <c r="H189" s="4">
        <f>IF(OR(INDEX($AH$2:$AH$1001,MATCH(ROWS($AG$2:AG189),$AG$2:$AG$1001,0),1)&gt;=100000,INDEX($AN$1005:$BO$1005,1,MATCH(COLUMNS($AN$1006:AT1006),$AN$1006:$BO$1006,0))&gt;=100000), " ",IF(INDEX($AN$2:$BO$1001,MATCH(ROWS($AG$2:AG189),$AG$2:$AG$1001,0),MATCH(COLUMNS($AN$1006:AT1006),$AN$1006:$BO$1006,0)), HYPERLINK("#",""), HYPERLINK(CONCATENATE("#Metadata!", ADDRESS(INDEX($AI$2:$AI$1001,MATCH(ROWS($AG$2:AG189),$AG$2:$AG$1001,0),0), INDEX($AN$1004:$BO$1004,1,MATCH(COLUMNS($AN$1006:AT1006),$AN$1006:$BO$1006,0)))),"Fix")))</f>
        <v>0</v>
      </c>
      <c r="I189" s="4">
        <f>IF(OR(INDEX($AH$2:$AH$1001,MATCH(ROWS($AG$2:AG189),$AG$2:$AG$1001,0),1)&gt;=100000,INDEX($AN$1005:$BO$1005,1,MATCH(COLUMNS($AN$1006:AU1006),$AN$1006:$BO$1006,0))&gt;=100000), " ",IF(INDEX($AN$2:$BO$1001,MATCH(ROWS($AG$2:AG189),$AG$2:$AG$1001,0),MATCH(COLUMNS($AN$1006:AU1006),$AN$1006:$BO$1006,0)), HYPERLINK("#",""), HYPERLINK(CONCATENATE("#Metadata!", ADDRESS(INDEX($AI$2:$AI$1001,MATCH(ROWS($AG$2:AG189),$AG$2:$AG$1001,0),0), INDEX($AN$1004:$BO$1004,1,MATCH(COLUMNS($AN$1006:AU1006),$AN$1006:$BO$1006,0)))),"Fix")))</f>
        <v>0</v>
      </c>
      <c r="J189" s="4">
        <f>IF(OR(INDEX($AH$2:$AH$1001,MATCH(ROWS($AG$2:AG189),$AG$2:$AG$1001,0),1)&gt;=100000,INDEX($AN$1005:$BO$1005,1,MATCH(COLUMNS($AN$1006:AV1006),$AN$1006:$BO$1006,0))&gt;=100000), " ",IF(INDEX($AN$2:$BO$1001,MATCH(ROWS($AG$2:AG189),$AG$2:$AG$1001,0),MATCH(COLUMNS($AN$1006:AV1006),$AN$1006:$BO$1006,0)), HYPERLINK("#",""), HYPERLINK(CONCATENATE("#Metadata!", ADDRESS(INDEX($AI$2:$AI$1001,MATCH(ROWS($AG$2:AG189),$AG$2:$AG$1001,0),0), INDEX($AN$1004:$BO$1004,1,MATCH(COLUMNS($AN$1006:AV1006),$AN$1006:$BO$1006,0)))),"Fix")))</f>
        <v>0</v>
      </c>
      <c r="K189" s="4">
        <f>IF(OR(INDEX($AH$2:$AH$1001,MATCH(ROWS($AG$2:AG189),$AG$2:$AG$1001,0),1)&gt;=100000,INDEX($AN$1005:$BO$1005,1,MATCH(COLUMNS($AN$1006:AW1006),$AN$1006:$BO$1006,0))&gt;=100000), " ",IF(INDEX($AN$2:$BO$1001,MATCH(ROWS($AG$2:AG189),$AG$2:$AG$1001,0),MATCH(COLUMNS($AN$1006:AW1006),$AN$1006:$BO$1006,0)), HYPERLINK("#",""), HYPERLINK(CONCATENATE("#Metadata!", ADDRESS(INDEX($AI$2:$AI$1001,MATCH(ROWS($AG$2:AG189),$AG$2:$AG$1001,0),0), INDEX($AN$1004:$BO$1004,1,MATCH(COLUMNS($AN$1006:AW1006),$AN$1006:$BO$1006,0)))),"Fix")))</f>
        <v>0</v>
      </c>
      <c r="L189" s="4">
        <f>IF(OR(INDEX($AH$2:$AH$1001,MATCH(ROWS($AG$2:AG189),$AG$2:$AG$1001,0),1)&gt;=100000,INDEX($AN$1005:$BO$1005,1,MATCH(COLUMNS($AN$1006:AX1006),$AN$1006:$BO$1006,0))&gt;=100000), " ",IF(INDEX($AN$2:$BO$1001,MATCH(ROWS($AG$2:AG189),$AG$2:$AG$1001,0),MATCH(COLUMNS($AN$1006:AX1006),$AN$1006:$BO$1006,0)), HYPERLINK("#",""), HYPERLINK(CONCATENATE("#Metadata!", ADDRESS(INDEX($AI$2:$AI$1001,MATCH(ROWS($AG$2:AG189),$AG$2:$AG$1001,0),0), INDEX($AN$1004:$BO$1004,1,MATCH(COLUMNS($AN$1006:AX1006),$AN$1006:$BO$1006,0)))),"Fix")))</f>
        <v>0</v>
      </c>
      <c r="M189" s="4">
        <f>IF(OR(INDEX($AH$2:$AH$1001,MATCH(ROWS($AG$2:AG189),$AG$2:$AG$1001,0),1)&gt;=100000,INDEX($AN$1005:$BO$1005,1,MATCH(COLUMNS($AN$1006:AY1006),$AN$1006:$BO$1006,0))&gt;=100000), " ",IF(INDEX($AN$2:$BO$1001,MATCH(ROWS($AG$2:AG189),$AG$2:$AG$1001,0),MATCH(COLUMNS($AN$1006:AY1006),$AN$1006:$BO$1006,0)), HYPERLINK("#",""), HYPERLINK(CONCATENATE("#Metadata!", ADDRESS(INDEX($AI$2:$AI$1001,MATCH(ROWS($AG$2:AG189),$AG$2:$AG$1001,0),0), INDEX($AN$1004:$BO$1004,1,MATCH(COLUMNS($AN$1006:AY1006),$AN$1006:$BO$1006,0)))),"Fix")))</f>
        <v>0</v>
      </c>
      <c r="N189" s="4">
        <f>IF(OR(INDEX($AH$2:$AH$1001,MATCH(ROWS($AG$2:AG189),$AG$2:$AG$1001,0),1)&gt;=100000,INDEX($AN$1005:$BO$1005,1,MATCH(COLUMNS($AN$1006:AZ1006),$AN$1006:$BO$1006,0))&gt;=100000), " ",IF(INDEX($AN$2:$BO$1001,MATCH(ROWS($AG$2:AG189),$AG$2:$AG$1001,0),MATCH(COLUMNS($AN$1006:AZ1006),$AN$1006:$BO$1006,0)), HYPERLINK("#",""), HYPERLINK(CONCATENATE("#Metadata!", ADDRESS(INDEX($AI$2:$AI$1001,MATCH(ROWS($AG$2:AG189),$AG$2:$AG$1001,0),0), INDEX($AN$1004:$BO$1004,1,MATCH(COLUMNS($AN$1006:AZ1006),$AN$1006:$BO$1006,0)))),"Fix")))</f>
        <v>0</v>
      </c>
      <c r="O189" s="4">
        <f>IF(OR(INDEX($AH$2:$AH$1001,MATCH(ROWS($AG$2:AG189),$AG$2:$AG$1001,0),1)&gt;=100000,INDEX($AN$1005:$BO$1005,1,MATCH(COLUMNS($AN$1006:BA1006),$AN$1006:$BO$1006,0))&gt;=100000), " ",IF(INDEX($AN$2:$BO$1001,MATCH(ROWS($AG$2:AG189),$AG$2:$AG$1001,0),MATCH(COLUMNS($AN$1006:BA1006),$AN$1006:$BO$1006,0)), HYPERLINK("#",""), HYPERLINK(CONCATENATE("#Metadata!", ADDRESS(INDEX($AI$2:$AI$1001,MATCH(ROWS($AG$2:AG189),$AG$2:$AG$1001,0),0), INDEX($AN$1004:$BO$1004,1,MATCH(COLUMNS($AN$1006:BA1006),$AN$1006:$BO$1006,0)))),"Fix")))</f>
        <v>0</v>
      </c>
      <c r="P189" s="4">
        <f>IF(OR(INDEX($AH$2:$AH$1001,MATCH(ROWS($AG$2:AG189),$AG$2:$AG$1001,0),1)&gt;=100000,INDEX($AN$1005:$BO$1005,1,MATCH(COLUMNS($AN$1006:BB1006),$AN$1006:$BO$1006,0))&gt;=100000), " ",IF(INDEX($AN$2:$BO$1001,MATCH(ROWS($AG$2:AG189),$AG$2:$AG$1001,0),MATCH(COLUMNS($AN$1006:BB1006),$AN$1006:$BO$1006,0)), HYPERLINK("#",""), HYPERLINK(CONCATENATE("#Metadata!", ADDRESS(INDEX($AI$2:$AI$1001,MATCH(ROWS($AG$2:AG189),$AG$2:$AG$1001,0),0), INDEX($AN$1004:$BO$1004,1,MATCH(COLUMNS($AN$1006:BB1006),$AN$1006:$BO$1006,0)))),"Fix")))</f>
        <v>0</v>
      </c>
      <c r="Q189" s="4">
        <f>IF(OR(INDEX($AH$2:$AH$1001,MATCH(ROWS($AG$2:AG189),$AG$2:$AG$1001,0),1)&gt;=100000,INDEX($AN$1005:$BO$1005,1,MATCH(COLUMNS($AN$1006:BC1006),$AN$1006:$BO$1006,0))&gt;=100000), " ",IF(INDEX($AN$2:$BO$1001,MATCH(ROWS($AG$2:AG189),$AG$2:$AG$1001,0),MATCH(COLUMNS($AN$1006:BC1006),$AN$1006:$BO$1006,0)), HYPERLINK("#",""), HYPERLINK(CONCATENATE("#Metadata!", ADDRESS(INDEX($AI$2:$AI$1001,MATCH(ROWS($AG$2:AG189),$AG$2:$AG$1001,0),0), INDEX($AN$1004:$BO$1004,1,MATCH(COLUMNS($AN$1006:BC1006),$AN$1006:$BO$1006,0)))),"Fix")))</f>
        <v>0</v>
      </c>
      <c r="R189" s="4">
        <f>IF(OR(INDEX($AH$2:$AH$1001,MATCH(ROWS($AG$2:AG189),$AG$2:$AG$1001,0),1)&gt;=100000,INDEX($AN$1005:$BO$1005,1,MATCH(COLUMNS($AN$1006:BD1006),$AN$1006:$BO$1006,0))&gt;=100000), " ",IF(INDEX($AN$2:$BO$1001,MATCH(ROWS($AG$2:AG189),$AG$2:$AG$1001,0),MATCH(COLUMNS($AN$1006:BD1006),$AN$1006:$BO$1006,0)), HYPERLINK("#",""), HYPERLINK(CONCATENATE("#Metadata!", ADDRESS(INDEX($AI$2:$AI$1001,MATCH(ROWS($AG$2:AG189),$AG$2:$AG$1001,0),0), INDEX($AN$1004:$BO$1004,1,MATCH(COLUMNS($AN$1006:BD1006),$AN$1006:$BO$1006,0)))),"Fix")))</f>
        <v>0</v>
      </c>
      <c r="S189" s="4">
        <f>IF(OR(INDEX($AH$2:$AH$1001,MATCH(ROWS($AG$2:AG189),$AG$2:$AG$1001,0),1)&gt;=100000,INDEX($AN$1005:$BO$1005,1,MATCH(COLUMNS($AN$1006:BE1006),$AN$1006:$BO$1006,0))&gt;=100000), " ",IF(INDEX($AN$2:$BO$1001,MATCH(ROWS($AG$2:AG189),$AG$2:$AG$1001,0),MATCH(COLUMNS($AN$1006:BE1006),$AN$1006:$BO$1006,0)), HYPERLINK("#",""), HYPERLINK(CONCATENATE("#Metadata!", ADDRESS(INDEX($AI$2:$AI$1001,MATCH(ROWS($AG$2:AG189),$AG$2:$AG$1001,0),0), INDEX($AN$1004:$BO$1004,1,MATCH(COLUMNS($AN$1006:BE1006),$AN$1006:$BO$1006,0)))),"Fix")))</f>
        <v>0</v>
      </c>
      <c r="T189" s="4">
        <f>IF(OR(INDEX($AH$2:$AH$1001,MATCH(ROWS($AG$2:AG189),$AG$2:$AG$1001,0),1)&gt;=100000,INDEX($AN$1005:$BO$1005,1,MATCH(COLUMNS($AN$1006:BF1006),$AN$1006:$BO$1006,0))&gt;=100000), " ",IF(INDEX($AN$2:$BO$1001,MATCH(ROWS($AG$2:AG189),$AG$2:$AG$1001,0),MATCH(COLUMNS($AN$1006:BF1006),$AN$1006:$BO$1006,0)), HYPERLINK("#",""), HYPERLINK(CONCATENATE("#Metadata!", ADDRESS(INDEX($AI$2:$AI$1001,MATCH(ROWS($AG$2:AG189),$AG$2:$AG$1001,0),0), INDEX($AN$1004:$BO$1004,1,MATCH(COLUMNS($AN$1006:BF1006),$AN$1006:$BO$1006,0)))),"Fix")))</f>
        <v>0</v>
      </c>
      <c r="U189" s="4">
        <f>IF(OR(INDEX($AH$2:$AH$1001,MATCH(ROWS($AG$2:AG189),$AG$2:$AG$1001,0),1)&gt;=100000,INDEX($AN$1005:$BO$1005,1,MATCH(COLUMNS($AN$1006:BG1006),$AN$1006:$BO$1006,0))&gt;=100000), " ",IF(INDEX($AN$2:$BO$1001,MATCH(ROWS($AG$2:AG189),$AG$2:$AG$1001,0),MATCH(COLUMNS($AN$1006:BG1006),$AN$1006:$BO$1006,0)), HYPERLINK("#",""), HYPERLINK(CONCATENATE("#Metadata!", ADDRESS(INDEX($AI$2:$AI$1001,MATCH(ROWS($AG$2:AG189),$AG$2:$AG$1001,0),0), INDEX($AN$1004:$BO$1004,1,MATCH(COLUMNS($AN$1006:BG1006),$AN$1006:$BO$1006,0)))),"Fix")))</f>
        <v>0</v>
      </c>
      <c r="V189" s="4">
        <f>IF(OR(INDEX($AH$2:$AH$1001,MATCH(ROWS($AG$2:AG189),$AG$2:$AG$1001,0),1)&gt;=100000,INDEX($AN$1005:$BO$1005,1,MATCH(COLUMNS($AN$1006:BH1006),$AN$1006:$BO$1006,0))&gt;=100000), " ",IF(INDEX($AN$2:$BO$1001,MATCH(ROWS($AG$2:AG189),$AG$2:$AG$1001,0),MATCH(COLUMNS($AN$1006:BH1006),$AN$1006:$BO$1006,0)), HYPERLINK("#",""), HYPERLINK(CONCATENATE("#Metadata!", ADDRESS(INDEX($AI$2:$AI$1001,MATCH(ROWS($AG$2:AG189),$AG$2:$AG$1001,0),0), INDEX($AN$1004:$BO$1004,1,MATCH(COLUMNS($AN$1006:BH1006),$AN$1006:$BO$1006,0)))),"Fix")))</f>
        <v>0</v>
      </c>
      <c r="W189" s="4">
        <f>IF(OR(INDEX($AH$2:$AH$1001,MATCH(ROWS($AG$2:AG189),$AG$2:$AG$1001,0),1)&gt;=100000,INDEX($AN$1005:$BO$1005,1,MATCH(COLUMNS($AN$1006:BI1006),$AN$1006:$BO$1006,0))&gt;=100000), " ",IF(INDEX($AN$2:$BO$1001,MATCH(ROWS($AG$2:AG189),$AG$2:$AG$1001,0),MATCH(COLUMNS($AN$1006:BI1006),$AN$1006:$BO$1006,0)), HYPERLINK("#",""), HYPERLINK(CONCATENATE("#Metadata!", ADDRESS(INDEX($AI$2:$AI$1001,MATCH(ROWS($AG$2:AG189),$AG$2:$AG$1001,0),0), INDEX($AN$1004:$BO$1004,1,MATCH(COLUMNS($AN$1006:BI1006),$AN$1006:$BO$1006,0)))),"Fix")))</f>
        <v>0</v>
      </c>
      <c r="X189" s="4">
        <f>IF(OR(INDEX($AH$2:$AH$1001,MATCH(ROWS($AG$2:AG189),$AG$2:$AG$1001,0),1)&gt;=100000,INDEX($AN$1005:$BO$1005,1,MATCH(COLUMNS($AN$1006:BJ1006),$AN$1006:$BO$1006,0))&gt;=100000), " ",IF(INDEX($AN$2:$BO$1001,MATCH(ROWS($AG$2:AG189),$AG$2:$AG$1001,0),MATCH(COLUMNS($AN$1006:BJ1006),$AN$1006:$BO$1006,0)), HYPERLINK("#",""), HYPERLINK(CONCATENATE("#Metadata!", ADDRESS(INDEX($AI$2:$AI$1001,MATCH(ROWS($AG$2:AG189),$AG$2:$AG$1001,0),0), INDEX($AN$1004:$BO$1004,1,MATCH(COLUMNS($AN$1006:BJ1006),$AN$1006:$BO$1006,0)))),"Fix")))</f>
        <v>0</v>
      </c>
      <c r="Y189" s="4">
        <f>IF(OR(INDEX($AH$2:$AH$1001,MATCH(ROWS($AG$2:AG189),$AG$2:$AG$1001,0),1)&gt;=100000,INDEX($AN$1005:$BO$1005,1,MATCH(COLUMNS($AN$1006:BK1006),$AN$1006:$BO$1006,0))&gt;=100000), " ",IF(INDEX($AN$2:$BO$1001,MATCH(ROWS($AG$2:AG189),$AG$2:$AG$1001,0),MATCH(COLUMNS($AN$1006:BK1006),$AN$1006:$BO$1006,0)), HYPERLINK("#",""), HYPERLINK(CONCATENATE("#Metadata!", ADDRESS(INDEX($AI$2:$AI$1001,MATCH(ROWS($AG$2:AG189),$AG$2:$AG$1001,0),0), INDEX($AN$1004:$BO$1004,1,MATCH(COLUMNS($AN$1006:BK1006),$AN$1006:$BO$1006,0)))),"Fix")))</f>
        <v>0</v>
      </c>
      <c r="Z189" s="4">
        <f>IF(OR(INDEX($AH$2:$AH$1001,MATCH(ROWS($AG$2:AG189),$AG$2:$AG$1001,0),1)&gt;=100000,INDEX($AN$1005:$BO$1005,1,MATCH(COLUMNS($AN$1006:BL1006),$AN$1006:$BO$1006,0))&gt;=100000), " ",IF(INDEX($AN$2:$BO$1001,MATCH(ROWS($AG$2:AG189),$AG$2:$AG$1001,0),MATCH(COLUMNS($AN$1006:BL1006),$AN$1006:$BO$1006,0)), HYPERLINK("#",""), HYPERLINK(CONCATENATE("#Metadata!", ADDRESS(INDEX($AI$2:$AI$1001,MATCH(ROWS($AG$2:AG189),$AG$2:$AG$1001,0),0), INDEX($AN$1004:$BO$1004,1,MATCH(COLUMNS($AN$1006:BL1006),$AN$1006:$BO$1006,0)))),"Fix")))</f>
        <v>0</v>
      </c>
      <c r="AA189" s="4">
        <f>IF(OR(INDEX($AH$2:$AH$1001,MATCH(ROWS($AG$2:AG189),$AG$2:$AG$1001,0),1)&gt;=100000,INDEX($AN$1005:$BO$1005,1,MATCH(COLUMNS($AN$1006:BM1006),$AN$1006:$BO$1006,0))&gt;=100000), " ",IF(INDEX($AN$2:$BO$1001,MATCH(ROWS($AG$2:AG189),$AG$2:$AG$1001,0),MATCH(COLUMNS($AN$1006:BM1006),$AN$1006:$BO$1006,0)), HYPERLINK("#",""), HYPERLINK(CONCATENATE("#Metadata!", ADDRESS(INDEX($AI$2:$AI$1001,MATCH(ROWS($AG$2:AG189),$AG$2:$AG$1001,0),0), INDEX($AN$1004:$BO$1004,1,MATCH(COLUMNS($AN$1006:BM1006),$AN$1006:$BO$1006,0)))),"Fix")))</f>
        <v>0</v>
      </c>
      <c r="AB189" s="4">
        <f>IF(OR(INDEX($AH$2:$AH$1001,MATCH(ROWS($AG$2:AG189),$AG$2:$AG$1001,0),1)&gt;=100000,INDEX($AN$1005:$BO$1005,1,MATCH(COLUMNS($AN$1006:BN1006),$AN$1006:$BO$1006,0))&gt;=100000), " ",IF(INDEX($AN$2:$BO$1001,MATCH(ROWS($AG$2:AG189),$AG$2:$AG$1001,0),MATCH(COLUMNS($AN$1006:BN1006),$AN$1006:$BO$1006,0)), HYPERLINK("#",""), HYPERLINK(CONCATENATE("#Metadata!", ADDRESS(INDEX($AI$2:$AI$1001,MATCH(ROWS($AG$2:AG189),$AG$2:$AG$1001,0),0), INDEX($AN$1004:$BO$1004,1,MATCH(COLUMNS($AN$1006:BN1006),$AN$1006:$BO$1006,0)))),"Fix")))</f>
        <v>0</v>
      </c>
      <c r="AC189" s="4">
        <f>IF(OR(INDEX($AH$2:$AH$1001,MATCH(ROWS($AG$2:AG189),$AG$2:$AG$1001,0),1)&gt;=100000,INDEX($AN$1005:$BO$1005,1,MATCH(COLUMNS($AN$1006:BO1006),$AN$1006:$BO$1006,0))&gt;=100000), " ",IF(INDEX($AN$2:$BO$1001,MATCH(ROWS($AG$2:AG189),$AG$2:$AG$1001,0),MATCH(COLUMNS($AN$1006:BO1006),$AN$1006:$BO$1006,0)), HYPERLINK("#",""), HYPERLINK(CONCATENATE("#Metadata!", ADDRESS(INDEX($AI$2:$AI$1001,MATCH(ROWS($AG$2:AG189),$AG$2:$AG$1001,0),0), INDEX($AN$1004:$BO$1004,1,MATCH(COLUMNS($AN$1006:BO1006),$AN$1006:$BO$1006,0)))),"Fix")))</f>
        <v>0</v>
      </c>
      <c r="AG189">
        <v>0</v>
      </c>
      <c r="AH189">
        <v>0</v>
      </c>
      <c r="AI189">
        <v>0</v>
      </c>
      <c r="AJ189">
        <f>IF(AK189,TRUE,AND(AN189:BO189))</f>
        <v>0</v>
      </c>
      <c r="AK189">
        <f>COUNTBLANK(Metadata!B189:AC189)=COLUMNS(Metadata!B189:AC189)</f>
        <v>0</v>
      </c>
      <c r="AL189">
        <v>0</v>
      </c>
      <c r="AN189">
        <f>AND(IF(Metadata!B189="",FALSE,TRUE),COUNTIF(Metadata!B:B, Metadata!B189) = 1,NOT(ISERROR(SUMPRODUCT(SEARCH(MID(Metadata!B189,ROW(INDIRECT("1:"&amp;LEN(Metadata!B189))), 1),"0123456789abcdefghijklmnopqrstuvwxyzABCDEFGHIJKLMNOPQRSTUVWXYZ.")))))</f>
        <v>0</v>
      </c>
      <c r="AO189">
        <f>IF(Metadata!C189="",FALSE,TRUE)</f>
        <v>0</v>
      </c>
      <c r="AP189">
        <f>IF(Metadata!D189="",FALSE,TRUE)</f>
        <v>0</v>
      </c>
      <c r="AQ189">
        <f>OR(AND(IF(Metadata!E189="",FALSE,TRUE),OR(exact(Metadata!E189,"not collected"),exact(Metadata!E189,"not provided"),exact(Metadata!E189,"restricted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R189">
        <f>IF(Metadata!F189="",FALSE,TRUE)</f>
        <v>0</v>
      </c>
      <c r="AS189">
        <f>OR(AND(IF(Metadata!G189="",FALSE,TRUE),OR(exact(Metadata!G189,"not collected"),exact(Metadata!G189,"not provided"))),AND(IF(Metadata!G189="",FALSE,TRUE),OR(exact(Metadata!G189,"TRUE"),exact(Metadata!G189,"FALSE"))))</f>
        <v>0</v>
      </c>
      <c r="AT189">
        <f>OR(AND(IF(Metadata!H189="",FALSE,TRUE),OR(exact(Metadata!H189,"not collected"),exact(Metadata!H189,"not provided"),exact(Metadata!H189,"restricted access"))),AND(IF(Metadata!H189="",FALSE,ISNUMBER(VALUE(Metadata!H189))),Metadata!H189&gt;=-413.0))</f>
        <v>0</v>
      </c>
      <c r="AU189">
        <f>AND(IF(Metadata!I189="",FALSE,TRUE),exact(Metadata!I189,"meters"))</f>
        <v>0</v>
      </c>
      <c r="AV189">
        <f>AND(IF(Metadata!J189="",FALSE,TRUE),OR(exact(Metadata!J189,"Host-associated"),exact(Metadata!J189,"Free-living")))</f>
        <v>0</v>
      </c>
      <c r="AW189">
        <f>AND(IF(Metadata!K189="",FALSE,TRUE),OR(exact(Metadata!K189,"Animal"),exact(Metadata!K189,"Fungus"),exact(Metadata!K189,"Plant"),exact(Metadata!K189,"Saline"),exact(Metadata!K189,"Non-saline")))</f>
        <v>0</v>
      </c>
      <c r="AX189">
        <f>AND(IF(Metadata!L189="",FALSE,TRUE),OR(exact(Metadata!L189,"Plant secretion"),exact(Metadata!L189,"Plant rhizosphere"),exact(Metadata!L189,"Plant surface"),exact(Metadata!L189,"Plant corpus"),exact(Metadata!L189,"Fungus surface"),exact(Metadata!L189,"Fungus corpus"),exact(Metadata!L189,"Animal surface"),exact(Metadata!L189,"Animal proximal gut"),exact(Metadata!L189,"Animal corpus"),exact(Metadata!L189,"Animal distal gut"),exact(Metadata!L189,"Animal secretion"),exact(Metadata!L189,"Sub-surface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Y189">
        <f>IF(Metadata!M189="",FALSE,TRUE)</f>
        <v>0</v>
      </c>
      <c r="AZ189">
        <f>IF(Metadata!N189="",FALSE,TRUE)</f>
        <v>0</v>
      </c>
      <c r="BA189">
        <f>IF(Metadata!O189="",FALSE,TRUE)</f>
        <v>0</v>
      </c>
      <c r="BB189">
        <f>OR(AND(IF(Metadata!P189="",FALSE,TRUE),OR(exact(Metadata!P189,"not collected"),exact(Metadata!P189,"not provided"),exact(Metadata!P189,"restricted access"))),AND(IF(Metadata!P189="",FALSE,TRUE),OR(exact(Metadata!P189,"air"),exact(Metadata!P189,"built environment"),exact(Metadata!P189,"host-associated"),exact(Metadata!P189,"human-associated"),exact(Metadata!P189,"human-skin"),exact(Metadata!P189,"human-oral"),exact(Metadata!P189,"human-gut"),exact(Metadata!P189,"human-vaginal"),exact(Metadata!P189,"microbial mat/biofilm"),exact(Metadata!P189,"misc environment"),exact(Metadata!P189,"plant-associated"),exact(Metadata!P189,"sediment"),exact(Metadata!P189,"soil"),exact(Metadata!P189,"wastewater/sludge"),exact(Metadata!P189,"water"))))</f>
        <v>0</v>
      </c>
      <c r="BC189">
        <f>IF(Metadata!Q189="",FALSE,TRUE)</f>
        <v>0</v>
      </c>
      <c r="BD189">
        <f>IF(Metadata!R189="",FALSE,TRUE)</f>
        <v>0</v>
      </c>
      <c r="BE189">
        <f>OR(AND(IF(Metadata!S189="",FALSE,TRUE),OR(exact(Metadata!S189,"not collected"),exact(Metadata!S189,"not provided"),exact(Metadata!S189,"restricted access"))),AND(IF(Metadata!S189="",FALSE,ISNUMBER(VALUE(Metadata!S189))),Metadata!S189&gt;=-90.00,Metadata!S189&lt;=90.00))</f>
        <v>0</v>
      </c>
      <c r="BF189">
        <f>AND(IF(Metadata!T189="",FALSE,TRUE),exact(Metadata!T189,"Decimal degrees"))</f>
        <v>0</v>
      </c>
      <c r="BG189">
        <f>OR(AND(IF(Metadata!U189="",FALSE,TRUE),OR(exact(Metadata!U189,"not collected"),exact(Metadata!U189,"not provided"),exact(Metadata!U189,"restricted access"))),AND(IF(Metadata!U189="",FALSE,ISNUMBER(VALUE(Metadata!U189))),Metadata!U189&gt;=-180.00,Metadata!U189&lt;=180.00))</f>
        <v>0</v>
      </c>
      <c r="BH189">
        <f>AND(IF(Metadata!V189="",FALSE,TRUE),exact(Metadata!V189,"Decimal degrees"))</f>
        <v>0</v>
      </c>
      <c r="BI189">
        <f>IF(Metadata!W189="",FALSE,TRUE)</f>
        <v>0</v>
      </c>
      <c r="BJ189">
        <f>OR(AND(IF(Metadata!X189="",FALSE,TRUE),OR(exact(Metadata!X189,"not collected"),exact(Metadata!X189,"not provided"),exact(Metadata!X189,"restricted access"))),AND(IF(Metadata!X189="",FALSE,TRUE),OR(exact(Metadata!X189,"TRUE"),exact(Metadata!X189,"FALSE"))))</f>
        <v>0</v>
      </c>
      <c r="BK189">
        <f>AND(IF(Metadata!Y189="",FALSE,TRUE),exact(Metadata!Y189,"other"))</f>
        <v>0</v>
      </c>
      <c r="BL189">
        <f>IF(Metadata!Z189="",FALSE,TRUE)</f>
        <v>0</v>
      </c>
      <c r="BM189">
        <f>OR(AND(IF(Metadata!AA189="",FALSE,TRUE),OR(exact(Metadata!AA189,"not collected"),exact(Metadata!AA189,"not provided"))),AND(IF(Metadata!AA189="",FALSE,IF(ISERROR(INT(Metadata!AA189)),FALSE,INT(Metadata!AA189)=Metadata!AA189)),Metadata!AA189&gt;0))</f>
        <v>0</v>
      </c>
      <c r="BN189">
        <f>AND(IF(Metadata!AB189="",FALSE,TRUE),exact(Metadata!AB189,"Not applicable"))</f>
        <v>0</v>
      </c>
      <c r="BO189">
        <f>IF(Metadata!AC189="",FALSE,TRUE)</f>
        <v>0</v>
      </c>
    </row>
    <row r="190" spans="1:67">
      <c r="A190" s="5">
        <f>IF(B190=" "," ",HYPERLINK(CONCATENATE("#metadata!",ADDRESS(INDEX($AI$2:$AI$1001,MATCH(ROWS($AG$2:AG190),$AG$2:$AG$1001,0),0),1)),INDEX($AL$2:$AL$1001,MATCH(ROWS($AG$2:AG190),$AG$2:$AG$1001,0),0)))</f>
        <v>0</v>
      </c>
      <c r="B190" s="4">
        <f>IF(OR(INDEX($AH$2:$AH$1001,MATCH(ROWS($AG$2:AG190),$AG$2:$AG$1001,0),1)&gt;=100000,INDEX($AN$1005:$BO$1005,1,MATCH(COLUMNS($AN$1006:AN1006),$AN$1006:$BO$1006,0))&gt;=100000), " ",IF(INDEX($AN$2:$BO$1001,MATCH(ROWS($AG$2:AG190),$AG$2:$AG$1001,0),MATCH(COLUMNS($AN$1006:AN1006),$AN$1006:$BO$1006,0)), HYPERLINK("#",""), HYPERLINK(CONCATENATE("#Metadata!", ADDRESS(INDEX($AI$2:$AI$1001,MATCH(ROWS($AG$2:AG190),$AG$2:$AG$1001,0),0), INDEX($AN$1004:$BO$1004,1,MATCH(COLUMNS($AN$1006:AN1006),$AN$1006:$BO$1006,0)))),"Fix")))</f>
        <v>0</v>
      </c>
      <c r="C190" s="4">
        <f>IF(OR(INDEX($AH$2:$AH$1001,MATCH(ROWS($AG$2:AG190),$AG$2:$AG$1001,0),1)&gt;=100000,INDEX($AN$1005:$BO$1005,1,MATCH(COLUMNS($AN$1006:AO1006),$AN$1006:$BO$1006,0))&gt;=100000), " ",IF(INDEX($AN$2:$BO$1001,MATCH(ROWS($AG$2:AG190),$AG$2:$AG$1001,0),MATCH(COLUMNS($AN$1006:AO1006),$AN$1006:$BO$1006,0)), HYPERLINK("#",""), HYPERLINK(CONCATENATE("#Metadata!", ADDRESS(INDEX($AI$2:$AI$1001,MATCH(ROWS($AG$2:AG190),$AG$2:$AG$1001,0),0), INDEX($AN$1004:$BO$1004,1,MATCH(COLUMNS($AN$1006:AO1006),$AN$1006:$BO$1006,0)))),"Fix")))</f>
        <v>0</v>
      </c>
      <c r="D190" s="4">
        <f>IF(OR(INDEX($AH$2:$AH$1001,MATCH(ROWS($AG$2:AG190),$AG$2:$AG$1001,0),1)&gt;=100000,INDEX($AN$1005:$BO$1005,1,MATCH(COLUMNS($AN$1006:AP1006),$AN$1006:$BO$1006,0))&gt;=100000), " ",IF(INDEX($AN$2:$BO$1001,MATCH(ROWS($AG$2:AG190),$AG$2:$AG$1001,0),MATCH(COLUMNS($AN$1006:AP1006),$AN$1006:$BO$1006,0)), HYPERLINK("#",""), HYPERLINK(CONCATENATE("#Metadata!", ADDRESS(INDEX($AI$2:$AI$1001,MATCH(ROWS($AG$2:AG190),$AG$2:$AG$1001,0),0), INDEX($AN$1004:$BO$1004,1,MATCH(COLUMNS($AN$1006:AP1006),$AN$1006:$BO$1006,0)))),"Fix")))</f>
        <v>0</v>
      </c>
      <c r="E190" s="4">
        <f>IF(OR(INDEX($AH$2:$AH$1001,MATCH(ROWS($AG$2:AG190),$AG$2:$AG$1001,0),1)&gt;=100000,INDEX($AN$1005:$BO$1005,1,MATCH(COLUMNS($AN$1006:AQ1006),$AN$1006:$BO$1006,0))&gt;=100000), " ",IF(INDEX($AN$2:$BO$1001,MATCH(ROWS($AG$2:AG190),$AG$2:$AG$1001,0),MATCH(COLUMNS($AN$1006:AQ1006),$AN$1006:$BO$1006,0)), HYPERLINK("#",""), HYPERLINK(CONCATENATE("#Metadata!", ADDRESS(INDEX($AI$2:$AI$1001,MATCH(ROWS($AG$2:AG190),$AG$2:$AG$1001,0),0), INDEX($AN$1004:$BO$1004,1,MATCH(COLUMNS($AN$1006:AQ1006),$AN$1006:$BO$1006,0)))),"Fix")))</f>
        <v>0</v>
      </c>
      <c r="F190" s="4">
        <f>IF(OR(INDEX($AH$2:$AH$1001,MATCH(ROWS($AG$2:AG190),$AG$2:$AG$1001,0),1)&gt;=100000,INDEX($AN$1005:$BO$1005,1,MATCH(COLUMNS($AN$1006:AR1006),$AN$1006:$BO$1006,0))&gt;=100000), " ",IF(INDEX($AN$2:$BO$1001,MATCH(ROWS($AG$2:AG190),$AG$2:$AG$1001,0),MATCH(COLUMNS($AN$1006:AR1006),$AN$1006:$BO$1006,0)), HYPERLINK("#",""), HYPERLINK(CONCATENATE("#Metadata!", ADDRESS(INDEX($AI$2:$AI$1001,MATCH(ROWS($AG$2:AG190),$AG$2:$AG$1001,0),0), INDEX($AN$1004:$BO$1004,1,MATCH(COLUMNS($AN$1006:AR1006),$AN$1006:$BO$1006,0)))),"Fix")))</f>
        <v>0</v>
      </c>
      <c r="G190" s="4">
        <f>IF(OR(INDEX($AH$2:$AH$1001,MATCH(ROWS($AG$2:AG190),$AG$2:$AG$1001,0),1)&gt;=100000,INDEX($AN$1005:$BO$1005,1,MATCH(COLUMNS($AN$1006:AS1006),$AN$1006:$BO$1006,0))&gt;=100000), " ",IF(INDEX($AN$2:$BO$1001,MATCH(ROWS($AG$2:AG190),$AG$2:$AG$1001,0),MATCH(COLUMNS($AN$1006:AS1006),$AN$1006:$BO$1006,0)), HYPERLINK("#",""), HYPERLINK(CONCATENATE("#Metadata!", ADDRESS(INDEX($AI$2:$AI$1001,MATCH(ROWS($AG$2:AG190),$AG$2:$AG$1001,0),0), INDEX($AN$1004:$BO$1004,1,MATCH(COLUMNS($AN$1006:AS1006),$AN$1006:$BO$1006,0)))),"Fix")))</f>
        <v>0</v>
      </c>
      <c r="H190" s="4">
        <f>IF(OR(INDEX($AH$2:$AH$1001,MATCH(ROWS($AG$2:AG190),$AG$2:$AG$1001,0),1)&gt;=100000,INDEX($AN$1005:$BO$1005,1,MATCH(COLUMNS($AN$1006:AT1006),$AN$1006:$BO$1006,0))&gt;=100000), " ",IF(INDEX($AN$2:$BO$1001,MATCH(ROWS($AG$2:AG190),$AG$2:$AG$1001,0),MATCH(COLUMNS($AN$1006:AT1006),$AN$1006:$BO$1006,0)), HYPERLINK("#",""), HYPERLINK(CONCATENATE("#Metadata!", ADDRESS(INDEX($AI$2:$AI$1001,MATCH(ROWS($AG$2:AG190),$AG$2:$AG$1001,0),0), INDEX($AN$1004:$BO$1004,1,MATCH(COLUMNS($AN$1006:AT1006),$AN$1006:$BO$1006,0)))),"Fix")))</f>
        <v>0</v>
      </c>
      <c r="I190" s="4">
        <f>IF(OR(INDEX($AH$2:$AH$1001,MATCH(ROWS($AG$2:AG190),$AG$2:$AG$1001,0),1)&gt;=100000,INDEX($AN$1005:$BO$1005,1,MATCH(COLUMNS($AN$1006:AU1006),$AN$1006:$BO$1006,0))&gt;=100000), " ",IF(INDEX($AN$2:$BO$1001,MATCH(ROWS($AG$2:AG190),$AG$2:$AG$1001,0),MATCH(COLUMNS($AN$1006:AU1006),$AN$1006:$BO$1006,0)), HYPERLINK("#",""), HYPERLINK(CONCATENATE("#Metadata!", ADDRESS(INDEX($AI$2:$AI$1001,MATCH(ROWS($AG$2:AG190),$AG$2:$AG$1001,0),0), INDEX($AN$1004:$BO$1004,1,MATCH(COLUMNS($AN$1006:AU1006),$AN$1006:$BO$1006,0)))),"Fix")))</f>
        <v>0</v>
      </c>
      <c r="J190" s="4">
        <f>IF(OR(INDEX($AH$2:$AH$1001,MATCH(ROWS($AG$2:AG190),$AG$2:$AG$1001,0),1)&gt;=100000,INDEX($AN$1005:$BO$1005,1,MATCH(COLUMNS($AN$1006:AV1006),$AN$1006:$BO$1006,0))&gt;=100000), " ",IF(INDEX($AN$2:$BO$1001,MATCH(ROWS($AG$2:AG190),$AG$2:$AG$1001,0),MATCH(COLUMNS($AN$1006:AV1006),$AN$1006:$BO$1006,0)), HYPERLINK("#",""), HYPERLINK(CONCATENATE("#Metadata!", ADDRESS(INDEX($AI$2:$AI$1001,MATCH(ROWS($AG$2:AG190),$AG$2:$AG$1001,0),0), INDEX($AN$1004:$BO$1004,1,MATCH(COLUMNS($AN$1006:AV1006),$AN$1006:$BO$1006,0)))),"Fix")))</f>
        <v>0</v>
      </c>
      <c r="K190" s="4">
        <f>IF(OR(INDEX($AH$2:$AH$1001,MATCH(ROWS($AG$2:AG190),$AG$2:$AG$1001,0),1)&gt;=100000,INDEX($AN$1005:$BO$1005,1,MATCH(COLUMNS($AN$1006:AW1006),$AN$1006:$BO$1006,0))&gt;=100000), " ",IF(INDEX($AN$2:$BO$1001,MATCH(ROWS($AG$2:AG190),$AG$2:$AG$1001,0),MATCH(COLUMNS($AN$1006:AW1006),$AN$1006:$BO$1006,0)), HYPERLINK("#",""), HYPERLINK(CONCATENATE("#Metadata!", ADDRESS(INDEX($AI$2:$AI$1001,MATCH(ROWS($AG$2:AG190),$AG$2:$AG$1001,0),0), INDEX($AN$1004:$BO$1004,1,MATCH(COLUMNS($AN$1006:AW1006),$AN$1006:$BO$1006,0)))),"Fix")))</f>
        <v>0</v>
      </c>
      <c r="L190" s="4">
        <f>IF(OR(INDEX($AH$2:$AH$1001,MATCH(ROWS($AG$2:AG190),$AG$2:$AG$1001,0),1)&gt;=100000,INDEX($AN$1005:$BO$1005,1,MATCH(COLUMNS($AN$1006:AX1006),$AN$1006:$BO$1006,0))&gt;=100000), " ",IF(INDEX($AN$2:$BO$1001,MATCH(ROWS($AG$2:AG190),$AG$2:$AG$1001,0),MATCH(COLUMNS($AN$1006:AX1006),$AN$1006:$BO$1006,0)), HYPERLINK("#",""), HYPERLINK(CONCATENATE("#Metadata!", ADDRESS(INDEX($AI$2:$AI$1001,MATCH(ROWS($AG$2:AG190),$AG$2:$AG$1001,0),0), INDEX($AN$1004:$BO$1004,1,MATCH(COLUMNS($AN$1006:AX1006),$AN$1006:$BO$1006,0)))),"Fix")))</f>
        <v>0</v>
      </c>
      <c r="M190" s="4">
        <f>IF(OR(INDEX($AH$2:$AH$1001,MATCH(ROWS($AG$2:AG190),$AG$2:$AG$1001,0),1)&gt;=100000,INDEX($AN$1005:$BO$1005,1,MATCH(COLUMNS($AN$1006:AY1006),$AN$1006:$BO$1006,0))&gt;=100000), " ",IF(INDEX($AN$2:$BO$1001,MATCH(ROWS($AG$2:AG190),$AG$2:$AG$1001,0),MATCH(COLUMNS($AN$1006:AY1006),$AN$1006:$BO$1006,0)), HYPERLINK("#",""), HYPERLINK(CONCATENATE("#Metadata!", ADDRESS(INDEX($AI$2:$AI$1001,MATCH(ROWS($AG$2:AG190),$AG$2:$AG$1001,0),0), INDEX($AN$1004:$BO$1004,1,MATCH(COLUMNS($AN$1006:AY1006),$AN$1006:$BO$1006,0)))),"Fix")))</f>
        <v>0</v>
      </c>
      <c r="N190" s="4">
        <f>IF(OR(INDEX($AH$2:$AH$1001,MATCH(ROWS($AG$2:AG190),$AG$2:$AG$1001,0),1)&gt;=100000,INDEX($AN$1005:$BO$1005,1,MATCH(COLUMNS($AN$1006:AZ1006),$AN$1006:$BO$1006,0))&gt;=100000), " ",IF(INDEX($AN$2:$BO$1001,MATCH(ROWS($AG$2:AG190),$AG$2:$AG$1001,0),MATCH(COLUMNS($AN$1006:AZ1006),$AN$1006:$BO$1006,0)), HYPERLINK("#",""), HYPERLINK(CONCATENATE("#Metadata!", ADDRESS(INDEX($AI$2:$AI$1001,MATCH(ROWS($AG$2:AG190),$AG$2:$AG$1001,0),0), INDEX($AN$1004:$BO$1004,1,MATCH(COLUMNS($AN$1006:AZ1006),$AN$1006:$BO$1006,0)))),"Fix")))</f>
        <v>0</v>
      </c>
      <c r="O190" s="4">
        <f>IF(OR(INDEX($AH$2:$AH$1001,MATCH(ROWS($AG$2:AG190),$AG$2:$AG$1001,0),1)&gt;=100000,INDEX($AN$1005:$BO$1005,1,MATCH(COLUMNS($AN$1006:BA1006),$AN$1006:$BO$1006,0))&gt;=100000), " ",IF(INDEX($AN$2:$BO$1001,MATCH(ROWS($AG$2:AG190),$AG$2:$AG$1001,0),MATCH(COLUMNS($AN$1006:BA1006),$AN$1006:$BO$1006,0)), HYPERLINK("#",""), HYPERLINK(CONCATENATE("#Metadata!", ADDRESS(INDEX($AI$2:$AI$1001,MATCH(ROWS($AG$2:AG190),$AG$2:$AG$1001,0),0), INDEX($AN$1004:$BO$1004,1,MATCH(COLUMNS($AN$1006:BA1006),$AN$1006:$BO$1006,0)))),"Fix")))</f>
        <v>0</v>
      </c>
      <c r="P190" s="4">
        <f>IF(OR(INDEX($AH$2:$AH$1001,MATCH(ROWS($AG$2:AG190),$AG$2:$AG$1001,0),1)&gt;=100000,INDEX($AN$1005:$BO$1005,1,MATCH(COLUMNS($AN$1006:BB1006),$AN$1006:$BO$1006,0))&gt;=100000), " ",IF(INDEX($AN$2:$BO$1001,MATCH(ROWS($AG$2:AG190),$AG$2:$AG$1001,0),MATCH(COLUMNS($AN$1006:BB1006),$AN$1006:$BO$1006,0)), HYPERLINK("#",""), HYPERLINK(CONCATENATE("#Metadata!", ADDRESS(INDEX($AI$2:$AI$1001,MATCH(ROWS($AG$2:AG190),$AG$2:$AG$1001,0),0), INDEX($AN$1004:$BO$1004,1,MATCH(COLUMNS($AN$1006:BB1006),$AN$1006:$BO$1006,0)))),"Fix")))</f>
        <v>0</v>
      </c>
      <c r="Q190" s="4">
        <f>IF(OR(INDEX($AH$2:$AH$1001,MATCH(ROWS($AG$2:AG190),$AG$2:$AG$1001,0),1)&gt;=100000,INDEX($AN$1005:$BO$1005,1,MATCH(COLUMNS($AN$1006:BC1006),$AN$1006:$BO$1006,0))&gt;=100000), " ",IF(INDEX($AN$2:$BO$1001,MATCH(ROWS($AG$2:AG190),$AG$2:$AG$1001,0),MATCH(COLUMNS($AN$1006:BC1006),$AN$1006:$BO$1006,0)), HYPERLINK("#",""), HYPERLINK(CONCATENATE("#Metadata!", ADDRESS(INDEX($AI$2:$AI$1001,MATCH(ROWS($AG$2:AG190),$AG$2:$AG$1001,0),0), INDEX($AN$1004:$BO$1004,1,MATCH(COLUMNS($AN$1006:BC1006),$AN$1006:$BO$1006,0)))),"Fix")))</f>
        <v>0</v>
      </c>
      <c r="R190" s="4">
        <f>IF(OR(INDEX($AH$2:$AH$1001,MATCH(ROWS($AG$2:AG190),$AG$2:$AG$1001,0),1)&gt;=100000,INDEX($AN$1005:$BO$1005,1,MATCH(COLUMNS($AN$1006:BD1006),$AN$1006:$BO$1006,0))&gt;=100000), " ",IF(INDEX($AN$2:$BO$1001,MATCH(ROWS($AG$2:AG190),$AG$2:$AG$1001,0),MATCH(COLUMNS($AN$1006:BD1006),$AN$1006:$BO$1006,0)), HYPERLINK("#",""), HYPERLINK(CONCATENATE("#Metadata!", ADDRESS(INDEX($AI$2:$AI$1001,MATCH(ROWS($AG$2:AG190),$AG$2:$AG$1001,0),0), INDEX($AN$1004:$BO$1004,1,MATCH(COLUMNS($AN$1006:BD1006),$AN$1006:$BO$1006,0)))),"Fix")))</f>
        <v>0</v>
      </c>
      <c r="S190" s="4">
        <f>IF(OR(INDEX($AH$2:$AH$1001,MATCH(ROWS($AG$2:AG190),$AG$2:$AG$1001,0),1)&gt;=100000,INDEX($AN$1005:$BO$1005,1,MATCH(COLUMNS($AN$1006:BE1006),$AN$1006:$BO$1006,0))&gt;=100000), " ",IF(INDEX($AN$2:$BO$1001,MATCH(ROWS($AG$2:AG190),$AG$2:$AG$1001,0),MATCH(COLUMNS($AN$1006:BE1006),$AN$1006:$BO$1006,0)), HYPERLINK("#",""), HYPERLINK(CONCATENATE("#Metadata!", ADDRESS(INDEX($AI$2:$AI$1001,MATCH(ROWS($AG$2:AG190),$AG$2:$AG$1001,0),0), INDEX($AN$1004:$BO$1004,1,MATCH(COLUMNS($AN$1006:BE1006),$AN$1006:$BO$1006,0)))),"Fix")))</f>
        <v>0</v>
      </c>
      <c r="T190" s="4">
        <f>IF(OR(INDEX($AH$2:$AH$1001,MATCH(ROWS($AG$2:AG190),$AG$2:$AG$1001,0),1)&gt;=100000,INDEX($AN$1005:$BO$1005,1,MATCH(COLUMNS($AN$1006:BF1006),$AN$1006:$BO$1006,0))&gt;=100000), " ",IF(INDEX($AN$2:$BO$1001,MATCH(ROWS($AG$2:AG190),$AG$2:$AG$1001,0),MATCH(COLUMNS($AN$1006:BF1006),$AN$1006:$BO$1006,0)), HYPERLINK("#",""), HYPERLINK(CONCATENATE("#Metadata!", ADDRESS(INDEX($AI$2:$AI$1001,MATCH(ROWS($AG$2:AG190),$AG$2:$AG$1001,0),0), INDEX($AN$1004:$BO$1004,1,MATCH(COLUMNS($AN$1006:BF1006),$AN$1006:$BO$1006,0)))),"Fix")))</f>
        <v>0</v>
      </c>
      <c r="U190" s="4">
        <f>IF(OR(INDEX($AH$2:$AH$1001,MATCH(ROWS($AG$2:AG190),$AG$2:$AG$1001,0),1)&gt;=100000,INDEX($AN$1005:$BO$1005,1,MATCH(COLUMNS($AN$1006:BG1006),$AN$1006:$BO$1006,0))&gt;=100000), " ",IF(INDEX($AN$2:$BO$1001,MATCH(ROWS($AG$2:AG190),$AG$2:$AG$1001,0),MATCH(COLUMNS($AN$1006:BG1006),$AN$1006:$BO$1006,0)), HYPERLINK("#",""), HYPERLINK(CONCATENATE("#Metadata!", ADDRESS(INDEX($AI$2:$AI$1001,MATCH(ROWS($AG$2:AG190),$AG$2:$AG$1001,0),0), INDEX($AN$1004:$BO$1004,1,MATCH(COLUMNS($AN$1006:BG1006),$AN$1006:$BO$1006,0)))),"Fix")))</f>
        <v>0</v>
      </c>
      <c r="V190" s="4">
        <f>IF(OR(INDEX($AH$2:$AH$1001,MATCH(ROWS($AG$2:AG190),$AG$2:$AG$1001,0),1)&gt;=100000,INDEX($AN$1005:$BO$1005,1,MATCH(COLUMNS($AN$1006:BH1006),$AN$1006:$BO$1006,0))&gt;=100000), " ",IF(INDEX($AN$2:$BO$1001,MATCH(ROWS($AG$2:AG190),$AG$2:$AG$1001,0),MATCH(COLUMNS($AN$1006:BH1006),$AN$1006:$BO$1006,0)), HYPERLINK("#",""), HYPERLINK(CONCATENATE("#Metadata!", ADDRESS(INDEX($AI$2:$AI$1001,MATCH(ROWS($AG$2:AG190),$AG$2:$AG$1001,0),0), INDEX($AN$1004:$BO$1004,1,MATCH(COLUMNS($AN$1006:BH1006),$AN$1006:$BO$1006,0)))),"Fix")))</f>
        <v>0</v>
      </c>
      <c r="W190" s="4">
        <f>IF(OR(INDEX($AH$2:$AH$1001,MATCH(ROWS($AG$2:AG190),$AG$2:$AG$1001,0),1)&gt;=100000,INDEX($AN$1005:$BO$1005,1,MATCH(COLUMNS($AN$1006:BI1006),$AN$1006:$BO$1006,0))&gt;=100000), " ",IF(INDEX($AN$2:$BO$1001,MATCH(ROWS($AG$2:AG190),$AG$2:$AG$1001,0),MATCH(COLUMNS($AN$1006:BI1006),$AN$1006:$BO$1006,0)), HYPERLINK("#",""), HYPERLINK(CONCATENATE("#Metadata!", ADDRESS(INDEX($AI$2:$AI$1001,MATCH(ROWS($AG$2:AG190),$AG$2:$AG$1001,0),0), INDEX($AN$1004:$BO$1004,1,MATCH(COLUMNS($AN$1006:BI1006),$AN$1006:$BO$1006,0)))),"Fix")))</f>
        <v>0</v>
      </c>
      <c r="X190" s="4">
        <f>IF(OR(INDEX($AH$2:$AH$1001,MATCH(ROWS($AG$2:AG190),$AG$2:$AG$1001,0),1)&gt;=100000,INDEX($AN$1005:$BO$1005,1,MATCH(COLUMNS($AN$1006:BJ1006),$AN$1006:$BO$1006,0))&gt;=100000), " ",IF(INDEX($AN$2:$BO$1001,MATCH(ROWS($AG$2:AG190),$AG$2:$AG$1001,0),MATCH(COLUMNS($AN$1006:BJ1006),$AN$1006:$BO$1006,0)), HYPERLINK("#",""), HYPERLINK(CONCATENATE("#Metadata!", ADDRESS(INDEX($AI$2:$AI$1001,MATCH(ROWS($AG$2:AG190),$AG$2:$AG$1001,0),0), INDEX($AN$1004:$BO$1004,1,MATCH(COLUMNS($AN$1006:BJ1006),$AN$1006:$BO$1006,0)))),"Fix")))</f>
        <v>0</v>
      </c>
      <c r="Y190" s="4">
        <f>IF(OR(INDEX($AH$2:$AH$1001,MATCH(ROWS($AG$2:AG190),$AG$2:$AG$1001,0),1)&gt;=100000,INDEX($AN$1005:$BO$1005,1,MATCH(COLUMNS($AN$1006:BK1006),$AN$1006:$BO$1006,0))&gt;=100000), " ",IF(INDEX($AN$2:$BO$1001,MATCH(ROWS($AG$2:AG190),$AG$2:$AG$1001,0),MATCH(COLUMNS($AN$1006:BK1006),$AN$1006:$BO$1006,0)), HYPERLINK("#",""), HYPERLINK(CONCATENATE("#Metadata!", ADDRESS(INDEX($AI$2:$AI$1001,MATCH(ROWS($AG$2:AG190),$AG$2:$AG$1001,0),0), INDEX($AN$1004:$BO$1004,1,MATCH(COLUMNS($AN$1006:BK1006),$AN$1006:$BO$1006,0)))),"Fix")))</f>
        <v>0</v>
      </c>
      <c r="Z190" s="4">
        <f>IF(OR(INDEX($AH$2:$AH$1001,MATCH(ROWS($AG$2:AG190),$AG$2:$AG$1001,0),1)&gt;=100000,INDEX($AN$1005:$BO$1005,1,MATCH(COLUMNS($AN$1006:BL1006),$AN$1006:$BO$1006,0))&gt;=100000), " ",IF(INDEX($AN$2:$BO$1001,MATCH(ROWS($AG$2:AG190),$AG$2:$AG$1001,0),MATCH(COLUMNS($AN$1006:BL1006),$AN$1006:$BO$1006,0)), HYPERLINK("#",""), HYPERLINK(CONCATENATE("#Metadata!", ADDRESS(INDEX($AI$2:$AI$1001,MATCH(ROWS($AG$2:AG190),$AG$2:$AG$1001,0),0), INDEX($AN$1004:$BO$1004,1,MATCH(COLUMNS($AN$1006:BL1006),$AN$1006:$BO$1006,0)))),"Fix")))</f>
        <v>0</v>
      </c>
      <c r="AA190" s="4">
        <f>IF(OR(INDEX($AH$2:$AH$1001,MATCH(ROWS($AG$2:AG190),$AG$2:$AG$1001,0),1)&gt;=100000,INDEX($AN$1005:$BO$1005,1,MATCH(COLUMNS($AN$1006:BM1006),$AN$1006:$BO$1006,0))&gt;=100000), " ",IF(INDEX($AN$2:$BO$1001,MATCH(ROWS($AG$2:AG190),$AG$2:$AG$1001,0),MATCH(COLUMNS($AN$1006:BM1006),$AN$1006:$BO$1006,0)), HYPERLINK("#",""), HYPERLINK(CONCATENATE("#Metadata!", ADDRESS(INDEX($AI$2:$AI$1001,MATCH(ROWS($AG$2:AG190),$AG$2:$AG$1001,0),0), INDEX($AN$1004:$BO$1004,1,MATCH(COLUMNS($AN$1006:BM1006),$AN$1006:$BO$1006,0)))),"Fix")))</f>
        <v>0</v>
      </c>
      <c r="AB190" s="4">
        <f>IF(OR(INDEX($AH$2:$AH$1001,MATCH(ROWS($AG$2:AG190),$AG$2:$AG$1001,0),1)&gt;=100000,INDEX($AN$1005:$BO$1005,1,MATCH(COLUMNS($AN$1006:BN1006),$AN$1006:$BO$1006,0))&gt;=100000), " ",IF(INDEX($AN$2:$BO$1001,MATCH(ROWS($AG$2:AG190),$AG$2:$AG$1001,0),MATCH(COLUMNS($AN$1006:BN1006),$AN$1006:$BO$1006,0)), HYPERLINK("#",""), HYPERLINK(CONCATENATE("#Metadata!", ADDRESS(INDEX($AI$2:$AI$1001,MATCH(ROWS($AG$2:AG190),$AG$2:$AG$1001,0),0), INDEX($AN$1004:$BO$1004,1,MATCH(COLUMNS($AN$1006:BN1006),$AN$1006:$BO$1006,0)))),"Fix")))</f>
        <v>0</v>
      </c>
      <c r="AC190" s="4">
        <f>IF(OR(INDEX($AH$2:$AH$1001,MATCH(ROWS($AG$2:AG190),$AG$2:$AG$1001,0),1)&gt;=100000,INDEX($AN$1005:$BO$1005,1,MATCH(COLUMNS($AN$1006:BO1006),$AN$1006:$BO$1006,0))&gt;=100000), " ",IF(INDEX($AN$2:$BO$1001,MATCH(ROWS($AG$2:AG190),$AG$2:$AG$1001,0),MATCH(COLUMNS($AN$1006:BO1006),$AN$1006:$BO$1006,0)), HYPERLINK("#",""), HYPERLINK(CONCATENATE("#Metadata!", ADDRESS(INDEX($AI$2:$AI$1001,MATCH(ROWS($AG$2:AG190),$AG$2:$AG$1001,0),0), INDEX($AN$1004:$BO$1004,1,MATCH(COLUMNS($AN$1006:BO1006),$AN$1006:$BO$1006,0)))),"Fix")))</f>
        <v>0</v>
      </c>
      <c r="AG190">
        <v>0</v>
      </c>
      <c r="AH190">
        <v>0</v>
      </c>
      <c r="AI190">
        <v>0</v>
      </c>
      <c r="AJ190">
        <f>IF(AK190,TRUE,AND(AN190:BO190))</f>
        <v>0</v>
      </c>
      <c r="AK190">
        <f>COUNTBLANK(Metadata!B190:AC190)=COLUMNS(Metadata!B190:AC190)</f>
        <v>0</v>
      </c>
      <c r="AL190">
        <v>0</v>
      </c>
      <c r="AN190">
        <f>AND(IF(Metadata!B190="",FALSE,TRUE),COUNTIF(Metadata!B:B, Metadata!B190) = 1,NOT(ISERROR(SUMPRODUCT(SEARCH(MID(Metadata!B190,ROW(INDIRECT("1:"&amp;LEN(Metadata!B190))), 1),"0123456789abcdefghijklmnopqrstuvwxyzABCDEFGHIJKLMNOPQRSTUVWXYZ.")))))</f>
        <v>0</v>
      </c>
      <c r="AO190">
        <f>IF(Metadata!C190="",FALSE,TRUE)</f>
        <v>0</v>
      </c>
      <c r="AP190">
        <f>IF(Metadata!D190="",FALSE,TRUE)</f>
        <v>0</v>
      </c>
      <c r="AQ190">
        <f>OR(AND(IF(Metadata!E190="",FALSE,TRUE),OR(exact(Metadata!E190,"not collected"),exact(Metadata!E190,"not provided"),exact(Metadata!E190,"restricted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R190">
        <f>IF(Metadata!F190="",FALSE,TRUE)</f>
        <v>0</v>
      </c>
      <c r="AS190">
        <f>OR(AND(IF(Metadata!G190="",FALSE,TRUE),OR(exact(Metadata!G190,"not collected"),exact(Metadata!G190,"not provided"))),AND(IF(Metadata!G190="",FALSE,TRUE),OR(exact(Metadata!G190,"TRUE"),exact(Metadata!G190,"FALSE"))))</f>
        <v>0</v>
      </c>
      <c r="AT190">
        <f>OR(AND(IF(Metadata!H190="",FALSE,TRUE),OR(exact(Metadata!H190,"not collected"),exact(Metadata!H190,"not provided"),exact(Metadata!H190,"restricted access"))),AND(IF(Metadata!H190="",FALSE,ISNUMBER(VALUE(Metadata!H190))),Metadata!H190&gt;=-413.0))</f>
        <v>0</v>
      </c>
      <c r="AU190">
        <f>AND(IF(Metadata!I190="",FALSE,TRUE),exact(Metadata!I190,"meters"))</f>
        <v>0</v>
      </c>
      <c r="AV190">
        <f>AND(IF(Metadata!J190="",FALSE,TRUE),OR(exact(Metadata!J190,"Host-associated"),exact(Metadata!J190,"Free-living")))</f>
        <v>0</v>
      </c>
      <c r="AW190">
        <f>AND(IF(Metadata!K190="",FALSE,TRUE),OR(exact(Metadata!K190,"Animal"),exact(Metadata!K190,"Fungus"),exact(Metadata!K190,"Plant"),exact(Metadata!K190,"Saline"),exact(Metadata!K190,"Non-saline")))</f>
        <v>0</v>
      </c>
      <c r="AX190">
        <f>AND(IF(Metadata!L190="",FALSE,TRUE),OR(exact(Metadata!L190,"Plant secretion"),exact(Metadata!L190,"Plant rhizosphere"),exact(Metadata!L190,"Plant surface"),exact(Metadata!L190,"Plant corpus"),exact(Metadata!L190,"Fungus surface"),exact(Metadata!L190,"Fungus corpus"),exact(Metadata!L190,"Animal surface"),exact(Metadata!L190,"Animal proximal gut"),exact(Metadata!L190,"Animal corpus"),exact(Metadata!L190,"Animal distal gut"),exact(Metadata!L190,"Animal secretion"),exact(Metadata!L190,"Sub-surface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Y190">
        <f>IF(Metadata!M190="",FALSE,TRUE)</f>
        <v>0</v>
      </c>
      <c r="AZ190">
        <f>IF(Metadata!N190="",FALSE,TRUE)</f>
        <v>0</v>
      </c>
      <c r="BA190">
        <f>IF(Metadata!O190="",FALSE,TRUE)</f>
        <v>0</v>
      </c>
      <c r="BB190">
        <f>OR(AND(IF(Metadata!P190="",FALSE,TRUE),OR(exact(Metadata!P190,"not collected"),exact(Metadata!P190,"not provided"),exact(Metadata!P190,"restricted access"))),AND(IF(Metadata!P190="",FALSE,TRUE),OR(exact(Metadata!P190,"air"),exact(Metadata!P190,"built environment"),exact(Metadata!P190,"host-associated"),exact(Metadata!P190,"human-associated"),exact(Metadata!P190,"human-skin"),exact(Metadata!P190,"human-oral"),exact(Metadata!P190,"human-gut"),exact(Metadata!P190,"human-vaginal"),exact(Metadata!P190,"microbial mat/biofilm"),exact(Metadata!P190,"misc environment"),exact(Metadata!P190,"plant-associated"),exact(Metadata!P190,"sediment"),exact(Metadata!P190,"soil"),exact(Metadata!P190,"wastewater/sludge"),exact(Metadata!P190,"water"))))</f>
        <v>0</v>
      </c>
      <c r="BC190">
        <f>IF(Metadata!Q190="",FALSE,TRUE)</f>
        <v>0</v>
      </c>
      <c r="BD190">
        <f>IF(Metadata!R190="",FALSE,TRUE)</f>
        <v>0</v>
      </c>
      <c r="BE190">
        <f>OR(AND(IF(Metadata!S190="",FALSE,TRUE),OR(exact(Metadata!S190,"not collected"),exact(Metadata!S190,"not provided"),exact(Metadata!S190,"restricted access"))),AND(IF(Metadata!S190="",FALSE,ISNUMBER(VALUE(Metadata!S190))),Metadata!S190&gt;=-90.00,Metadata!S190&lt;=90.00))</f>
        <v>0</v>
      </c>
      <c r="BF190">
        <f>AND(IF(Metadata!T190="",FALSE,TRUE),exact(Metadata!T190,"Decimal degrees"))</f>
        <v>0</v>
      </c>
      <c r="BG190">
        <f>OR(AND(IF(Metadata!U190="",FALSE,TRUE),OR(exact(Metadata!U190,"not collected"),exact(Metadata!U190,"not provided"),exact(Metadata!U190,"restricted access"))),AND(IF(Metadata!U190="",FALSE,ISNUMBER(VALUE(Metadata!U190))),Metadata!U190&gt;=-180.00,Metadata!U190&lt;=180.00))</f>
        <v>0</v>
      </c>
      <c r="BH190">
        <f>AND(IF(Metadata!V190="",FALSE,TRUE),exact(Metadata!V190,"Decimal degrees"))</f>
        <v>0</v>
      </c>
      <c r="BI190">
        <f>IF(Metadata!W190="",FALSE,TRUE)</f>
        <v>0</v>
      </c>
      <c r="BJ190">
        <f>OR(AND(IF(Metadata!X190="",FALSE,TRUE),OR(exact(Metadata!X190,"not collected"),exact(Metadata!X190,"not provided"),exact(Metadata!X190,"restricted access"))),AND(IF(Metadata!X190="",FALSE,TRUE),OR(exact(Metadata!X190,"TRUE"),exact(Metadata!X190,"FALSE"))))</f>
        <v>0</v>
      </c>
      <c r="BK190">
        <f>AND(IF(Metadata!Y190="",FALSE,TRUE),exact(Metadata!Y190,"other"))</f>
        <v>0</v>
      </c>
      <c r="BL190">
        <f>IF(Metadata!Z190="",FALSE,TRUE)</f>
        <v>0</v>
      </c>
      <c r="BM190">
        <f>OR(AND(IF(Metadata!AA190="",FALSE,TRUE),OR(exact(Metadata!AA190,"not collected"),exact(Metadata!AA190,"not provided"))),AND(IF(Metadata!AA190="",FALSE,IF(ISERROR(INT(Metadata!AA190)),FALSE,INT(Metadata!AA190)=Metadata!AA190)),Metadata!AA190&gt;0))</f>
        <v>0</v>
      </c>
      <c r="BN190">
        <f>AND(IF(Metadata!AB190="",FALSE,TRUE),exact(Metadata!AB190,"Not applicable"))</f>
        <v>0</v>
      </c>
      <c r="BO190">
        <f>IF(Metadata!AC190="",FALSE,TRUE)</f>
        <v>0</v>
      </c>
    </row>
    <row r="191" spans="1:67">
      <c r="A191" s="5">
        <f>IF(B191=" "," ",HYPERLINK(CONCATENATE("#metadata!",ADDRESS(INDEX($AI$2:$AI$1001,MATCH(ROWS($AG$2:AG191),$AG$2:$AG$1001,0),0),1)),INDEX($AL$2:$AL$1001,MATCH(ROWS($AG$2:AG191),$AG$2:$AG$1001,0),0)))</f>
        <v>0</v>
      </c>
      <c r="B191" s="4">
        <f>IF(OR(INDEX($AH$2:$AH$1001,MATCH(ROWS($AG$2:AG191),$AG$2:$AG$1001,0),1)&gt;=100000,INDEX($AN$1005:$BO$1005,1,MATCH(COLUMNS($AN$1006:AN1006),$AN$1006:$BO$1006,0))&gt;=100000), " ",IF(INDEX($AN$2:$BO$1001,MATCH(ROWS($AG$2:AG191),$AG$2:$AG$1001,0),MATCH(COLUMNS($AN$1006:AN1006),$AN$1006:$BO$1006,0)), HYPERLINK("#",""), HYPERLINK(CONCATENATE("#Metadata!", ADDRESS(INDEX($AI$2:$AI$1001,MATCH(ROWS($AG$2:AG191),$AG$2:$AG$1001,0),0), INDEX($AN$1004:$BO$1004,1,MATCH(COLUMNS($AN$1006:AN1006),$AN$1006:$BO$1006,0)))),"Fix")))</f>
        <v>0</v>
      </c>
      <c r="C191" s="4">
        <f>IF(OR(INDEX($AH$2:$AH$1001,MATCH(ROWS($AG$2:AG191),$AG$2:$AG$1001,0),1)&gt;=100000,INDEX($AN$1005:$BO$1005,1,MATCH(COLUMNS($AN$1006:AO1006),$AN$1006:$BO$1006,0))&gt;=100000), " ",IF(INDEX($AN$2:$BO$1001,MATCH(ROWS($AG$2:AG191),$AG$2:$AG$1001,0),MATCH(COLUMNS($AN$1006:AO1006),$AN$1006:$BO$1006,0)), HYPERLINK("#",""), HYPERLINK(CONCATENATE("#Metadata!", ADDRESS(INDEX($AI$2:$AI$1001,MATCH(ROWS($AG$2:AG191),$AG$2:$AG$1001,0),0), INDEX($AN$1004:$BO$1004,1,MATCH(COLUMNS($AN$1006:AO1006),$AN$1006:$BO$1006,0)))),"Fix")))</f>
        <v>0</v>
      </c>
      <c r="D191" s="4">
        <f>IF(OR(INDEX($AH$2:$AH$1001,MATCH(ROWS($AG$2:AG191),$AG$2:$AG$1001,0),1)&gt;=100000,INDEX($AN$1005:$BO$1005,1,MATCH(COLUMNS($AN$1006:AP1006),$AN$1006:$BO$1006,0))&gt;=100000), " ",IF(INDEX($AN$2:$BO$1001,MATCH(ROWS($AG$2:AG191),$AG$2:$AG$1001,0),MATCH(COLUMNS($AN$1006:AP1006),$AN$1006:$BO$1006,0)), HYPERLINK("#",""), HYPERLINK(CONCATENATE("#Metadata!", ADDRESS(INDEX($AI$2:$AI$1001,MATCH(ROWS($AG$2:AG191),$AG$2:$AG$1001,0),0), INDEX($AN$1004:$BO$1004,1,MATCH(COLUMNS($AN$1006:AP1006),$AN$1006:$BO$1006,0)))),"Fix")))</f>
        <v>0</v>
      </c>
      <c r="E191" s="4">
        <f>IF(OR(INDEX($AH$2:$AH$1001,MATCH(ROWS($AG$2:AG191),$AG$2:$AG$1001,0),1)&gt;=100000,INDEX($AN$1005:$BO$1005,1,MATCH(COLUMNS($AN$1006:AQ1006),$AN$1006:$BO$1006,0))&gt;=100000), " ",IF(INDEX($AN$2:$BO$1001,MATCH(ROWS($AG$2:AG191),$AG$2:$AG$1001,0),MATCH(COLUMNS($AN$1006:AQ1006),$AN$1006:$BO$1006,0)), HYPERLINK("#",""), HYPERLINK(CONCATENATE("#Metadata!", ADDRESS(INDEX($AI$2:$AI$1001,MATCH(ROWS($AG$2:AG191),$AG$2:$AG$1001,0),0), INDEX($AN$1004:$BO$1004,1,MATCH(COLUMNS($AN$1006:AQ1006),$AN$1006:$BO$1006,0)))),"Fix")))</f>
        <v>0</v>
      </c>
      <c r="F191" s="4">
        <f>IF(OR(INDEX($AH$2:$AH$1001,MATCH(ROWS($AG$2:AG191),$AG$2:$AG$1001,0),1)&gt;=100000,INDEX($AN$1005:$BO$1005,1,MATCH(COLUMNS($AN$1006:AR1006),$AN$1006:$BO$1006,0))&gt;=100000), " ",IF(INDEX($AN$2:$BO$1001,MATCH(ROWS($AG$2:AG191),$AG$2:$AG$1001,0),MATCH(COLUMNS($AN$1006:AR1006),$AN$1006:$BO$1006,0)), HYPERLINK("#",""), HYPERLINK(CONCATENATE("#Metadata!", ADDRESS(INDEX($AI$2:$AI$1001,MATCH(ROWS($AG$2:AG191),$AG$2:$AG$1001,0),0), INDEX($AN$1004:$BO$1004,1,MATCH(COLUMNS($AN$1006:AR1006),$AN$1006:$BO$1006,0)))),"Fix")))</f>
        <v>0</v>
      </c>
      <c r="G191" s="4">
        <f>IF(OR(INDEX($AH$2:$AH$1001,MATCH(ROWS($AG$2:AG191),$AG$2:$AG$1001,0),1)&gt;=100000,INDEX($AN$1005:$BO$1005,1,MATCH(COLUMNS($AN$1006:AS1006),$AN$1006:$BO$1006,0))&gt;=100000), " ",IF(INDEX($AN$2:$BO$1001,MATCH(ROWS($AG$2:AG191),$AG$2:$AG$1001,0),MATCH(COLUMNS($AN$1006:AS1006),$AN$1006:$BO$1006,0)), HYPERLINK("#",""), HYPERLINK(CONCATENATE("#Metadata!", ADDRESS(INDEX($AI$2:$AI$1001,MATCH(ROWS($AG$2:AG191),$AG$2:$AG$1001,0),0), INDEX($AN$1004:$BO$1004,1,MATCH(COLUMNS($AN$1006:AS1006),$AN$1006:$BO$1006,0)))),"Fix")))</f>
        <v>0</v>
      </c>
      <c r="H191" s="4">
        <f>IF(OR(INDEX($AH$2:$AH$1001,MATCH(ROWS($AG$2:AG191),$AG$2:$AG$1001,0),1)&gt;=100000,INDEX($AN$1005:$BO$1005,1,MATCH(COLUMNS($AN$1006:AT1006),$AN$1006:$BO$1006,0))&gt;=100000), " ",IF(INDEX($AN$2:$BO$1001,MATCH(ROWS($AG$2:AG191),$AG$2:$AG$1001,0),MATCH(COLUMNS($AN$1006:AT1006),$AN$1006:$BO$1006,0)), HYPERLINK("#",""), HYPERLINK(CONCATENATE("#Metadata!", ADDRESS(INDEX($AI$2:$AI$1001,MATCH(ROWS($AG$2:AG191),$AG$2:$AG$1001,0),0), INDEX($AN$1004:$BO$1004,1,MATCH(COLUMNS($AN$1006:AT1006),$AN$1006:$BO$1006,0)))),"Fix")))</f>
        <v>0</v>
      </c>
      <c r="I191" s="4">
        <f>IF(OR(INDEX($AH$2:$AH$1001,MATCH(ROWS($AG$2:AG191),$AG$2:$AG$1001,0),1)&gt;=100000,INDEX($AN$1005:$BO$1005,1,MATCH(COLUMNS($AN$1006:AU1006),$AN$1006:$BO$1006,0))&gt;=100000), " ",IF(INDEX($AN$2:$BO$1001,MATCH(ROWS($AG$2:AG191),$AG$2:$AG$1001,0),MATCH(COLUMNS($AN$1006:AU1006),$AN$1006:$BO$1006,0)), HYPERLINK("#",""), HYPERLINK(CONCATENATE("#Metadata!", ADDRESS(INDEX($AI$2:$AI$1001,MATCH(ROWS($AG$2:AG191),$AG$2:$AG$1001,0),0), INDEX($AN$1004:$BO$1004,1,MATCH(COLUMNS($AN$1006:AU1006),$AN$1006:$BO$1006,0)))),"Fix")))</f>
        <v>0</v>
      </c>
      <c r="J191" s="4">
        <f>IF(OR(INDEX($AH$2:$AH$1001,MATCH(ROWS($AG$2:AG191),$AG$2:$AG$1001,0),1)&gt;=100000,INDEX($AN$1005:$BO$1005,1,MATCH(COLUMNS($AN$1006:AV1006),$AN$1006:$BO$1006,0))&gt;=100000), " ",IF(INDEX($AN$2:$BO$1001,MATCH(ROWS($AG$2:AG191),$AG$2:$AG$1001,0),MATCH(COLUMNS($AN$1006:AV1006),$AN$1006:$BO$1006,0)), HYPERLINK("#",""), HYPERLINK(CONCATENATE("#Metadata!", ADDRESS(INDEX($AI$2:$AI$1001,MATCH(ROWS($AG$2:AG191),$AG$2:$AG$1001,0),0), INDEX($AN$1004:$BO$1004,1,MATCH(COLUMNS($AN$1006:AV1006),$AN$1006:$BO$1006,0)))),"Fix")))</f>
        <v>0</v>
      </c>
      <c r="K191" s="4">
        <f>IF(OR(INDEX($AH$2:$AH$1001,MATCH(ROWS($AG$2:AG191),$AG$2:$AG$1001,0),1)&gt;=100000,INDEX($AN$1005:$BO$1005,1,MATCH(COLUMNS($AN$1006:AW1006),$AN$1006:$BO$1006,0))&gt;=100000), " ",IF(INDEX($AN$2:$BO$1001,MATCH(ROWS($AG$2:AG191),$AG$2:$AG$1001,0),MATCH(COLUMNS($AN$1006:AW1006),$AN$1006:$BO$1006,0)), HYPERLINK("#",""), HYPERLINK(CONCATENATE("#Metadata!", ADDRESS(INDEX($AI$2:$AI$1001,MATCH(ROWS($AG$2:AG191),$AG$2:$AG$1001,0),0), INDEX($AN$1004:$BO$1004,1,MATCH(COLUMNS($AN$1006:AW1006),$AN$1006:$BO$1006,0)))),"Fix")))</f>
        <v>0</v>
      </c>
      <c r="L191" s="4">
        <f>IF(OR(INDEX($AH$2:$AH$1001,MATCH(ROWS($AG$2:AG191),$AG$2:$AG$1001,0),1)&gt;=100000,INDEX($AN$1005:$BO$1005,1,MATCH(COLUMNS($AN$1006:AX1006),$AN$1006:$BO$1006,0))&gt;=100000), " ",IF(INDEX($AN$2:$BO$1001,MATCH(ROWS($AG$2:AG191),$AG$2:$AG$1001,0),MATCH(COLUMNS($AN$1006:AX1006),$AN$1006:$BO$1006,0)), HYPERLINK("#",""), HYPERLINK(CONCATENATE("#Metadata!", ADDRESS(INDEX($AI$2:$AI$1001,MATCH(ROWS($AG$2:AG191),$AG$2:$AG$1001,0),0), INDEX($AN$1004:$BO$1004,1,MATCH(COLUMNS($AN$1006:AX1006),$AN$1006:$BO$1006,0)))),"Fix")))</f>
        <v>0</v>
      </c>
      <c r="M191" s="4">
        <f>IF(OR(INDEX($AH$2:$AH$1001,MATCH(ROWS($AG$2:AG191),$AG$2:$AG$1001,0),1)&gt;=100000,INDEX($AN$1005:$BO$1005,1,MATCH(COLUMNS($AN$1006:AY1006),$AN$1006:$BO$1006,0))&gt;=100000), " ",IF(INDEX($AN$2:$BO$1001,MATCH(ROWS($AG$2:AG191),$AG$2:$AG$1001,0),MATCH(COLUMNS($AN$1006:AY1006),$AN$1006:$BO$1006,0)), HYPERLINK("#",""), HYPERLINK(CONCATENATE("#Metadata!", ADDRESS(INDEX($AI$2:$AI$1001,MATCH(ROWS($AG$2:AG191),$AG$2:$AG$1001,0),0), INDEX($AN$1004:$BO$1004,1,MATCH(COLUMNS($AN$1006:AY1006),$AN$1006:$BO$1006,0)))),"Fix")))</f>
        <v>0</v>
      </c>
      <c r="N191" s="4">
        <f>IF(OR(INDEX($AH$2:$AH$1001,MATCH(ROWS($AG$2:AG191),$AG$2:$AG$1001,0),1)&gt;=100000,INDEX($AN$1005:$BO$1005,1,MATCH(COLUMNS($AN$1006:AZ1006),$AN$1006:$BO$1006,0))&gt;=100000), " ",IF(INDEX($AN$2:$BO$1001,MATCH(ROWS($AG$2:AG191),$AG$2:$AG$1001,0),MATCH(COLUMNS($AN$1006:AZ1006),$AN$1006:$BO$1006,0)), HYPERLINK("#",""), HYPERLINK(CONCATENATE("#Metadata!", ADDRESS(INDEX($AI$2:$AI$1001,MATCH(ROWS($AG$2:AG191),$AG$2:$AG$1001,0),0), INDEX($AN$1004:$BO$1004,1,MATCH(COLUMNS($AN$1006:AZ1006),$AN$1006:$BO$1006,0)))),"Fix")))</f>
        <v>0</v>
      </c>
      <c r="O191" s="4">
        <f>IF(OR(INDEX($AH$2:$AH$1001,MATCH(ROWS($AG$2:AG191),$AG$2:$AG$1001,0),1)&gt;=100000,INDEX($AN$1005:$BO$1005,1,MATCH(COLUMNS($AN$1006:BA1006),$AN$1006:$BO$1006,0))&gt;=100000), " ",IF(INDEX($AN$2:$BO$1001,MATCH(ROWS($AG$2:AG191),$AG$2:$AG$1001,0),MATCH(COLUMNS($AN$1006:BA1006),$AN$1006:$BO$1006,0)), HYPERLINK("#",""), HYPERLINK(CONCATENATE("#Metadata!", ADDRESS(INDEX($AI$2:$AI$1001,MATCH(ROWS($AG$2:AG191),$AG$2:$AG$1001,0),0), INDEX($AN$1004:$BO$1004,1,MATCH(COLUMNS($AN$1006:BA1006),$AN$1006:$BO$1006,0)))),"Fix")))</f>
        <v>0</v>
      </c>
      <c r="P191" s="4">
        <f>IF(OR(INDEX($AH$2:$AH$1001,MATCH(ROWS($AG$2:AG191),$AG$2:$AG$1001,0),1)&gt;=100000,INDEX($AN$1005:$BO$1005,1,MATCH(COLUMNS($AN$1006:BB1006),$AN$1006:$BO$1006,0))&gt;=100000), " ",IF(INDEX($AN$2:$BO$1001,MATCH(ROWS($AG$2:AG191),$AG$2:$AG$1001,0),MATCH(COLUMNS($AN$1006:BB1006),$AN$1006:$BO$1006,0)), HYPERLINK("#",""), HYPERLINK(CONCATENATE("#Metadata!", ADDRESS(INDEX($AI$2:$AI$1001,MATCH(ROWS($AG$2:AG191),$AG$2:$AG$1001,0),0), INDEX($AN$1004:$BO$1004,1,MATCH(COLUMNS($AN$1006:BB1006),$AN$1006:$BO$1006,0)))),"Fix")))</f>
        <v>0</v>
      </c>
      <c r="Q191" s="4">
        <f>IF(OR(INDEX($AH$2:$AH$1001,MATCH(ROWS($AG$2:AG191),$AG$2:$AG$1001,0),1)&gt;=100000,INDEX($AN$1005:$BO$1005,1,MATCH(COLUMNS($AN$1006:BC1006),$AN$1006:$BO$1006,0))&gt;=100000), " ",IF(INDEX($AN$2:$BO$1001,MATCH(ROWS($AG$2:AG191),$AG$2:$AG$1001,0),MATCH(COLUMNS($AN$1006:BC1006),$AN$1006:$BO$1006,0)), HYPERLINK("#",""), HYPERLINK(CONCATENATE("#Metadata!", ADDRESS(INDEX($AI$2:$AI$1001,MATCH(ROWS($AG$2:AG191),$AG$2:$AG$1001,0),0), INDEX($AN$1004:$BO$1004,1,MATCH(COLUMNS($AN$1006:BC1006),$AN$1006:$BO$1006,0)))),"Fix")))</f>
        <v>0</v>
      </c>
      <c r="R191" s="4">
        <f>IF(OR(INDEX($AH$2:$AH$1001,MATCH(ROWS($AG$2:AG191),$AG$2:$AG$1001,0),1)&gt;=100000,INDEX($AN$1005:$BO$1005,1,MATCH(COLUMNS($AN$1006:BD1006),$AN$1006:$BO$1006,0))&gt;=100000), " ",IF(INDEX($AN$2:$BO$1001,MATCH(ROWS($AG$2:AG191),$AG$2:$AG$1001,0),MATCH(COLUMNS($AN$1006:BD1006),$AN$1006:$BO$1006,0)), HYPERLINK("#",""), HYPERLINK(CONCATENATE("#Metadata!", ADDRESS(INDEX($AI$2:$AI$1001,MATCH(ROWS($AG$2:AG191),$AG$2:$AG$1001,0),0), INDEX($AN$1004:$BO$1004,1,MATCH(COLUMNS($AN$1006:BD1006),$AN$1006:$BO$1006,0)))),"Fix")))</f>
        <v>0</v>
      </c>
      <c r="S191" s="4">
        <f>IF(OR(INDEX($AH$2:$AH$1001,MATCH(ROWS($AG$2:AG191),$AG$2:$AG$1001,0),1)&gt;=100000,INDEX($AN$1005:$BO$1005,1,MATCH(COLUMNS($AN$1006:BE1006),$AN$1006:$BO$1006,0))&gt;=100000), " ",IF(INDEX($AN$2:$BO$1001,MATCH(ROWS($AG$2:AG191),$AG$2:$AG$1001,0),MATCH(COLUMNS($AN$1006:BE1006),$AN$1006:$BO$1006,0)), HYPERLINK("#",""), HYPERLINK(CONCATENATE("#Metadata!", ADDRESS(INDEX($AI$2:$AI$1001,MATCH(ROWS($AG$2:AG191),$AG$2:$AG$1001,0),0), INDEX($AN$1004:$BO$1004,1,MATCH(COLUMNS($AN$1006:BE1006),$AN$1006:$BO$1006,0)))),"Fix")))</f>
        <v>0</v>
      </c>
      <c r="T191" s="4">
        <f>IF(OR(INDEX($AH$2:$AH$1001,MATCH(ROWS($AG$2:AG191),$AG$2:$AG$1001,0),1)&gt;=100000,INDEX($AN$1005:$BO$1005,1,MATCH(COLUMNS($AN$1006:BF1006),$AN$1006:$BO$1006,0))&gt;=100000), " ",IF(INDEX($AN$2:$BO$1001,MATCH(ROWS($AG$2:AG191),$AG$2:$AG$1001,0),MATCH(COLUMNS($AN$1006:BF1006),$AN$1006:$BO$1006,0)), HYPERLINK("#",""), HYPERLINK(CONCATENATE("#Metadata!", ADDRESS(INDEX($AI$2:$AI$1001,MATCH(ROWS($AG$2:AG191),$AG$2:$AG$1001,0),0), INDEX($AN$1004:$BO$1004,1,MATCH(COLUMNS($AN$1006:BF1006),$AN$1006:$BO$1006,0)))),"Fix")))</f>
        <v>0</v>
      </c>
      <c r="U191" s="4">
        <f>IF(OR(INDEX($AH$2:$AH$1001,MATCH(ROWS($AG$2:AG191),$AG$2:$AG$1001,0),1)&gt;=100000,INDEX($AN$1005:$BO$1005,1,MATCH(COLUMNS($AN$1006:BG1006),$AN$1006:$BO$1006,0))&gt;=100000), " ",IF(INDEX($AN$2:$BO$1001,MATCH(ROWS($AG$2:AG191),$AG$2:$AG$1001,0),MATCH(COLUMNS($AN$1006:BG1006),$AN$1006:$BO$1006,0)), HYPERLINK("#",""), HYPERLINK(CONCATENATE("#Metadata!", ADDRESS(INDEX($AI$2:$AI$1001,MATCH(ROWS($AG$2:AG191),$AG$2:$AG$1001,0),0), INDEX($AN$1004:$BO$1004,1,MATCH(COLUMNS($AN$1006:BG1006),$AN$1006:$BO$1006,0)))),"Fix")))</f>
        <v>0</v>
      </c>
      <c r="V191" s="4">
        <f>IF(OR(INDEX($AH$2:$AH$1001,MATCH(ROWS($AG$2:AG191),$AG$2:$AG$1001,0),1)&gt;=100000,INDEX($AN$1005:$BO$1005,1,MATCH(COLUMNS($AN$1006:BH1006),$AN$1006:$BO$1006,0))&gt;=100000), " ",IF(INDEX($AN$2:$BO$1001,MATCH(ROWS($AG$2:AG191),$AG$2:$AG$1001,0),MATCH(COLUMNS($AN$1006:BH1006),$AN$1006:$BO$1006,0)), HYPERLINK("#",""), HYPERLINK(CONCATENATE("#Metadata!", ADDRESS(INDEX($AI$2:$AI$1001,MATCH(ROWS($AG$2:AG191),$AG$2:$AG$1001,0),0), INDEX($AN$1004:$BO$1004,1,MATCH(COLUMNS($AN$1006:BH1006),$AN$1006:$BO$1006,0)))),"Fix")))</f>
        <v>0</v>
      </c>
      <c r="W191" s="4">
        <f>IF(OR(INDEX($AH$2:$AH$1001,MATCH(ROWS($AG$2:AG191),$AG$2:$AG$1001,0),1)&gt;=100000,INDEX($AN$1005:$BO$1005,1,MATCH(COLUMNS($AN$1006:BI1006),$AN$1006:$BO$1006,0))&gt;=100000), " ",IF(INDEX($AN$2:$BO$1001,MATCH(ROWS($AG$2:AG191),$AG$2:$AG$1001,0),MATCH(COLUMNS($AN$1006:BI1006),$AN$1006:$BO$1006,0)), HYPERLINK("#",""), HYPERLINK(CONCATENATE("#Metadata!", ADDRESS(INDEX($AI$2:$AI$1001,MATCH(ROWS($AG$2:AG191),$AG$2:$AG$1001,0),0), INDEX($AN$1004:$BO$1004,1,MATCH(COLUMNS($AN$1006:BI1006),$AN$1006:$BO$1006,0)))),"Fix")))</f>
        <v>0</v>
      </c>
      <c r="X191" s="4">
        <f>IF(OR(INDEX($AH$2:$AH$1001,MATCH(ROWS($AG$2:AG191),$AG$2:$AG$1001,0),1)&gt;=100000,INDEX($AN$1005:$BO$1005,1,MATCH(COLUMNS($AN$1006:BJ1006),$AN$1006:$BO$1006,0))&gt;=100000), " ",IF(INDEX($AN$2:$BO$1001,MATCH(ROWS($AG$2:AG191),$AG$2:$AG$1001,0),MATCH(COLUMNS($AN$1006:BJ1006),$AN$1006:$BO$1006,0)), HYPERLINK("#",""), HYPERLINK(CONCATENATE("#Metadata!", ADDRESS(INDEX($AI$2:$AI$1001,MATCH(ROWS($AG$2:AG191),$AG$2:$AG$1001,0),0), INDEX($AN$1004:$BO$1004,1,MATCH(COLUMNS($AN$1006:BJ1006),$AN$1006:$BO$1006,0)))),"Fix")))</f>
        <v>0</v>
      </c>
      <c r="Y191" s="4">
        <f>IF(OR(INDEX($AH$2:$AH$1001,MATCH(ROWS($AG$2:AG191),$AG$2:$AG$1001,0),1)&gt;=100000,INDEX($AN$1005:$BO$1005,1,MATCH(COLUMNS($AN$1006:BK1006),$AN$1006:$BO$1006,0))&gt;=100000), " ",IF(INDEX($AN$2:$BO$1001,MATCH(ROWS($AG$2:AG191),$AG$2:$AG$1001,0),MATCH(COLUMNS($AN$1006:BK1006),$AN$1006:$BO$1006,0)), HYPERLINK("#",""), HYPERLINK(CONCATENATE("#Metadata!", ADDRESS(INDEX($AI$2:$AI$1001,MATCH(ROWS($AG$2:AG191),$AG$2:$AG$1001,0),0), INDEX($AN$1004:$BO$1004,1,MATCH(COLUMNS($AN$1006:BK1006),$AN$1006:$BO$1006,0)))),"Fix")))</f>
        <v>0</v>
      </c>
      <c r="Z191" s="4">
        <f>IF(OR(INDEX($AH$2:$AH$1001,MATCH(ROWS($AG$2:AG191),$AG$2:$AG$1001,0),1)&gt;=100000,INDEX($AN$1005:$BO$1005,1,MATCH(COLUMNS($AN$1006:BL1006),$AN$1006:$BO$1006,0))&gt;=100000), " ",IF(INDEX($AN$2:$BO$1001,MATCH(ROWS($AG$2:AG191),$AG$2:$AG$1001,0),MATCH(COLUMNS($AN$1006:BL1006),$AN$1006:$BO$1006,0)), HYPERLINK("#",""), HYPERLINK(CONCATENATE("#Metadata!", ADDRESS(INDEX($AI$2:$AI$1001,MATCH(ROWS($AG$2:AG191),$AG$2:$AG$1001,0),0), INDEX($AN$1004:$BO$1004,1,MATCH(COLUMNS($AN$1006:BL1006),$AN$1006:$BO$1006,0)))),"Fix")))</f>
        <v>0</v>
      </c>
      <c r="AA191" s="4">
        <f>IF(OR(INDEX($AH$2:$AH$1001,MATCH(ROWS($AG$2:AG191),$AG$2:$AG$1001,0),1)&gt;=100000,INDEX($AN$1005:$BO$1005,1,MATCH(COLUMNS($AN$1006:BM1006),$AN$1006:$BO$1006,0))&gt;=100000), " ",IF(INDEX($AN$2:$BO$1001,MATCH(ROWS($AG$2:AG191),$AG$2:$AG$1001,0),MATCH(COLUMNS($AN$1006:BM1006),$AN$1006:$BO$1006,0)), HYPERLINK("#",""), HYPERLINK(CONCATENATE("#Metadata!", ADDRESS(INDEX($AI$2:$AI$1001,MATCH(ROWS($AG$2:AG191),$AG$2:$AG$1001,0),0), INDEX($AN$1004:$BO$1004,1,MATCH(COLUMNS($AN$1006:BM1006),$AN$1006:$BO$1006,0)))),"Fix")))</f>
        <v>0</v>
      </c>
      <c r="AB191" s="4">
        <f>IF(OR(INDEX($AH$2:$AH$1001,MATCH(ROWS($AG$2:AG191),$AG$2:$AG$1001,0),1)&gt;=100000,INDEX($AN$1005:$BO$1005,1,MATCH(COLUMNS($AN$1006:BN1006),$AN$1006:$BO$1006,0))&gt;=100000), " ",IF(INDEX($AN$2:$BO$1001,MATCH(ROWS($AG$2:AG191),$AG$2:$AG$1001,0),MATCH(COLUMNS($AN$1006:BN1006),$AN$1006:$BO$1006,0)), HYPERLINK("#",""), HYPERLINK(CONCATENATE("#Metadata!", ADDRESS(INDEX($AI$2:$AI$1001,MATCH(ROWS($AG$2:AG191),$AG$2:$AG$1001,0),0), INDEX($AN$1004:$BO$1004,1,MATCH(COLUMNS($AN$1006:BN1006),$AN$1006:$BO$1006,0)))),"Fix")))</f>
        <v>0</v>
      </c>
      <c r="AC191" s="4">
        <f>IF(OR(INDEX($AH$2:$AH$1001,MATCH(ROWS($AG$2:AG191),$AG$2:$AG$1001,0),1)&gt;=100000,INDEX($AN$1005:$BO$1005,1,MATCH(COLUMNS($AN$1006:BO1006),$AN$1006:$BO$1006,0))&gt;=100000), " ",IF(INDEX($AN$2:$BO$1001,MATCH(ROWS($AG$2:AG191),$AG$2:$AG$1001,0),MATCH(COLUMNS($AN$1006:BO1006),$AN$1006:$BO$1006,0)), HYPERLINK("#",""), HYPERLINK(CONCATENATE("#Metadata!", ADDRESS(INDEX($AI$2:$AI$1001,MATCH(ROWS($AG$2:AG191),$AG$2:$AG$1001,0),0), INDEX($AN$1004:$BO$1004,1,MATCH(COLUMNS($AN$1006:BO1006),$AN$1006:$BO$1006,0)))),"Fix")))</f>
        <v>0</v>
      </c>
      <c r="AG191">
        <v>0</v>
      </c>
      <c r="AH191">
        <v>0</v>
      </c>
      <c r="AI191">
        <v>0</v>
      </c>
      <c r="AJ191">
        <f>IF(AK191,TRUE,AND(AN191:BO191))</f>
        <v>0</v>
      </c>
      <c r="AK191">
        <f>COUNTBLANK(Metadata!B191:AC191)=COLUMNS(Metadata!B191:AC191)</f>
        <v>0</v>
      </c>
      <c r="AL191">
        <v>0</v>
      </c>
      <c r="AN191">
        <f>AND(IF(Metadata!B191="",FALSE,TRUE),COUNTIF(Metadata!B:B, Metadata!B191) = 1,NOT(ISERROR(SUMPRODUCT(SEARCH(MID(Metadata!B191,ROW(INDIRECT("1:"&amp;LEN(Metadata!B191))), 1),"0123456789abcdefghijklmnopqrstuvwxyzABCDEFGHIJKLMNOPQRSTUVWXYZ.")))))</f>
        <v>0</v>
      </c>
      <c r="AO191">
        <f>IF(Metadata!C191="",FALSE,TRUE)</f>
        <v>0</v>
      </c>
      <c r="AP191">
        <f>IF(Metadata!D191="",FALSE,TRUE)</f>
        <v>0</v>
      </c>
      <c r="AQ191">
        <f>OR(AND(IF(Metadata!E191="",FALSE,TRUE),OR(exact(Metadata!E191,"not collected"),exact(Metadata!E191,"not provided"),exact(Metadata!E191,"restricted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R191">
        <f>IF(Metadata!F191="",FALSE,TRUE)</f>
        <v>0</v>
      </c>
      <c r="AS191">
        <f>OR(AND(IF(Metadata!G191="",FALSE,TRUE),OR(exact(Metadata!G191,"not collected"),exact(Metadata!G191,"not provided"))),AND(IF(Metadata!G191="",FALSE,TRUE),OR(exact(Metadata!G191,"TRUE"),exact(Metadata!G191,"FALSE"))))</f>
        <v>0</v>
      </c>
      <c r="AT191">
        <f>OR(AND(IF(Metadata!H191="",FALSE,TRUE),OR(exact(Metadata!H191,"not collected"),exact(Metadata!H191,"not provided"),exact(Metadata!H191,"restricted access"))),AND(IF(Metadata!H191="",FALSE,ISNUMBER(VALUE(Metadata!H191))),Metadata!H191&gt;=-413.0))</f>
        <v>0</v>
      </c>
      <c r="AU191">
        <f>AND(IF(Metadata!I191="",FALSE,TRUE),exact(Metadata!I191,"meters"))</f>
        <v>0</v>
      </c>
      <c r="AV191">
        <f>AND(IF(Metadata!J191="",FALSE,TRUE),OR(exact(Metadata!J191,"Host-associated"),exact(Metadata!J191,"Free-living")))</f>
        <v>0</v>
      </c>
      <c r="AW191">
        <f>AND(IF(Metadata!K191="",FALSE,TRUE),OR(exact(Metadata!K191,"Animal"),exact(Metadata!K191,"Fungus"),exact(Metadata!K191,"Plant"),exact(Metadata!K191,"Saline"),exact(Metadata!K191,"Non-saline")))</f>
        <v>0</v>
      </c>
      <c r="AX191">
        <f>AND(IF(Metadata!L191="",FALSE,TRUE),OR(exact(Metadata!L191,"Plant secretion"),exact(Metadata!L191,"Plant rhizosphere"),exact(Metadata!L191,"Plant surface"),exact(Metadata!L191,"Plant corpus"),exact(Metadata!L191,"Fungus surface"),exact(Metadata!L191,"Fungus corpus"),exact(Metadata!L191,"Animal surface"),exact(Metadata!L191,"Animal proximal gut"),exact(Metadata!L191,"Animal corpus"),exact(Metadata!L191,"Animal distal gut"),exact(Metadata!L191,"Animal secretion"),exact(Metadata!L191,"Sub-surface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Y191">
        <f>IF(Metadata!M191="",FALSE,TRUE)</f>
        <v>0</v>
      </c>
      <c r="AZ191">
        <f>IF(Metadata!N191="",FALSE,TRUE)</f>
        <v>0</v>
      </c>
      <c r="BA191">
        <f>IF(Metadata!O191="",FALSE,TRUE)</f>
        <v>0</v>
      </c>
      <c r="BB191">
        <f>OR(AND(IF(Metadata!P191="",FALSE,TRUE),OR(exact(Metadata!P191,"not collected"),exact(Metadata!P191,"not provided"),exact(Metadata!P191,"restricted access"))),AND(IF(Metadata!P191="",FALSE,TRUE),OR(exact(Metadata!P191,"air"),exact(Metadata!P191,"built environment"),exact(Metadata!P191,"host-associated"),exact(Metadata!P191,"human-associated"),exact(Metadata!P191,"human-skin"),exact(Metadata!P191,"human-oral"),exact(Metadata!P191,"human-gut"),exact(Metadata!P191,"human-vaginal"),exact(Metadata!P191,"microbial mat/biofilm"),exact(Metadata!P191,"misc environment"),exact(Metadata!P191,"plant-associated"),exact(Metadata!P191,"sediment"),exact(Metadata!P191,"soil"),exact(Metadata!P191,"wastewater/sludge"),exact(Metadata!P191,"water"))))</f>
        <v>0</v>
      </c>
      <c r="BC191">
        <f>IF(Metadata!Q191="",FALSE,TRUE)</f>
        <v>0</v>
      </c>
      <c r="BD191">
        <f>IF(Metadata!R191="",FALSE,TRUE)</f>
        <v>0</v>
      </c>
      <c r="BE191">
        <f>OR(AND(IF(Metadata!S191="",FALSE,TRUE),OR(exact(Metadata!S191,"not collected"),exact(Metadata!S191,"not provided"),exact(Metadata!S191,"restricted access"))),AND(IF(Metadata!S191="",FALSE,ISNUMBER(VALUE(Metadata!S191))),Metadata!S191&gt;=-90.00,Metadata!S191&lt;=90.00))</f>
        <v>0</v>
      </c>
      <c r="BF191">
        <f>AND(IF(Metadata!T191="",FALSE,TRUE),exact(Metadata!T191,"Decimal degrees"))</f>
        <v>0</v>
      </c>
      <c r="BG191">
        <f>OR(AND(IF(Metadata!U191="",FALSE,TRUE),OR(exact(Metadata!U191,"not collected"),exact(Metadata!U191,"not provided"),exact(Metadata!U191,"restricted access"))),AND(IF(Metadata!U191="",FALSE,ISNUMBER(VALUE(Metadata!U191))),Metadata!U191&gt;=-180.00,Metadata!U191&lt;=180.00))</f>
        <v>0</v>
      </c>
      <c r="BH191">
        <f>AND(IF(Metadata!V191="",FALSE,TRUE),exact(Metadata!V191,"Decimal degrees"))</f>
        <v>0</v>
      </c>
      <c r="BI191">
        <f>IF(Metadata!W191="",FALSE,TRUE)</f>
        <v>0</v>
      </c>
      <c r="BJ191">
        <f>OR(AND(IF(Metadata!X191="",FALSE,TRUE),OR(exact(Metadata!X191,"not collected"),exact(Metadata!X191,"not provided"),exact(Metadata!X191,"restricted access"))),AND(IF(Metadata!X191="",FALSE,TRUE),OR(exact(Metadata!X191,"TRUE"),exact(Metadata!X191,"FALSE"))))</f>
        <v>0</v>
      </c>
      <c r="BK191">
        <f>AND(IF(Metadata!Y191="",FALSE,TRUE),exact(Metadata!Y191,"other"))</f>
        <v>0</v>
      </c>
      <c r="BL191">
        <f>IF(Metadata!Z191="",FALSE,TRUE)</f>
        <v>0</v>
      </c>
      <c r="BM191">
        <f>OR(AND(IF(Metadata!AA191="",FALSE,TRUE),OR(exact(Metadata!AA191,"not collected"),exact(Metadata!AA191,"not provided"))),AND(IF(Metadata!AA191="",FALSE,IF(ISERROR(INT(Metadata!AA191)),FALSE,INT(Metadata!AA191)=Metadata!AA191)),Metadata!AA191&gt;0))</f>
        <v>0</v>
      </c>
      <c r="BN191">
        <f>AND(IF(Metadata!AB191="",FALSE,TRUE),exact(Metadata!AB191,"Not applicable"))</f>
        <v>0</v>
      </c>
      <c r="BO191">
        <f>IF(Metadata!AC191="",FALSE,TRUE)</f>
        <v>0</v>
      </c>
    </row>
    <row r="192" spans="1:67">
      <c r="A192" s="5">
        <f>IF(B192=" "," ",HYPERLINK(CONCATENATE("#metadata!",ADDRESS(INDEX($AI$2:$AI$1001,MATCH(ROWS($AG$2:AG192),$AG$2:$AG$1001,0),0),1)),INDEX($AL$2:$AL$1001,MATCH(ROWS($AG$2:AG192),$AG$2:$AG$1001,0),0)))</f>
        <v>0</v>
      </c>
      <c r="B192" s="4">
        <f>IF(OR(INDEX($AH$2:$AH$1001,MATCH(ROWS($AG$2:AG192),$AG$2:$AG$1001,0),1)&gt;=100000,INDEX($AN$1005:$BO$1005,1,MATCH(COLUMNS($AN$1006:AN1006),$AN$1006:$BO$1006,0))&gt;=100000), " ",IF(INDEX($AN$2:$BO$1001,MATCH(ROWS($AG$2:AG192),$AG$2:$AG$1001,0),MATCH(COLUMNS($AN$1006:AN1006),$AN$1006:$BO$1006,0)), HYPERLINK("#",""), HYPERLINK(CONCATENATE("#Metadata!", ADDRESS(INDEX($AI$2:$AI$1001,MATCH(ROWS($AG$2:AG192),$AG$2:$AG$1001,0),0), INDEX($AN$1004:$BO$1004,1,MATCH(COLUMNS($AN$1006:AN1006),$AN$1006:$BO$1006,0)))),"Fix")))</f>
        <v>0</v>
      </c>
      <c r="C192" s="4">
        <f>IF(OR(INDEX($AH$2:$AH$1001,MATCH(ROWS($AG$2:AG192),$AG$2:$AG$1001,0),1)&gt;=100000,INDEX($AN$1005:$BO$1005,1,MATCH(COLUMNS($AN$1006:AO1006),$AN$1006:$BO$1006,0))&gt;=100000), " ",IF(INDEX($AN$2:$BO$1001,MATCH(ROWS($AG$2:AG192),$AG$2:$AG$1001,0),MATCH(COLUMNS($AN$1006:AO1006),$AN$1006:$BO$1006,0)), HYPERLINK("#",""), HYPERLINK(CONCATENATE("#Metadata!", ADDRESS(INDEX($AI$2:$AI$1001,MATCH(ROWS($AG$2:AG192),$AG$2:$AG$1001,0),0), INDEX($AN$1004:$BO$1004,1,MATCH(COLUMNS($AN$1006:AO1006),$AN$1006:$BO$1006,0)))),"Fix")))</f>
        <v>0</v>
      </c>
      <c r="D192" s="4">
        <f>IF(OR(INDEX($AH$2:$AH$1001,MATCH(ROWS($AG$2:AG192),$AG$2:$AG$1001,0),1)&gt;=100000,INDEX($AN$1005:$BO$1005,1,MATCH(COLUMNS($AN$1006:AP1006),$AN$1006:$BO$1006,0))&gt;=100000), " ",IF(INDEX($AN$2:$BO$1001,MATCH(ROWS($AG$2:AG192),$AG$2:$AG$1001,0),MATCH(COLUMNS($AN$1006:AP1006),$AN$1006:$BO$1006,0)), HYPERLINK("#",""), HYPERLINK(CONCATENATE("#Metadata!", ADDRESS(INDEX($AI$2:$AI$1001,MATCH(ROWS($AG$2:AG192),$AG$2:$AG$1001,0),0), INDEX($AN$1004:$BO$1004,1,MATCH(COLUMNS($AN$1006:AP1006),$AN$1006:$BO$1006,0)))),"Fix")))</f>
        <v>0</v>
      </c>
      <c r="E192" s="4">
        <f>IF(OR(INDEX($AH$2:$AH$1001,MATCH(ROWS($AG$2:AG192),$AG$2:$AG$1001,0),1)&gt;=100000,INDEX($AN$1005:$BO$1005,1,MATCH(COLUMNS($AN$1006:AQ1006),$AN$1006:$BO$1006,0))&gt;=100000), " ",IF(INDEX($AN$2:$BO$1001,MATCH(ROWS($AG$2:AG192),$AG$2:$AG$1001,0),MATCH(COLUMNS($AN$1006:AQ1006),$AN$1006:$BO$1006,0)), HYPERLINK("#",""), HYPERLINK(CONCATENATE("#Metadata!", ADDRESS(INDEX($AI$2:$AI$1001,MATCH(ROWS($AG$2:AG192),$AG$2:$AG$1001,0),0), INDEX($AN$1004:$BO$1004,1,MATCH(COLUMNS($AN$1006:AQ1006),$AN$1006:$BO$1006,0)))),"Fix")))</f>
        <v>0</v>
      </c>
      <c r="F192" s="4">
        <f>IF(OR(INDEX($AH$2:$AH$1001,MATCH(ROWS($AG$2:AG192),$AG$2:$AG$1001,0),1)&gt;=100000,INDEX($AN$1005:$BO$1005,1,MATCH(COLUMNS($AN$1006:AR1006),$AN$1006:$BO$1006,0))&gt;=100000), " ",IF(INDEX($AN$2:$BO$1001,MATCH(ROWS($AG$2:AG192),$AG$2:$AG$1001,0),MATCH(COLUMNS($AN$1006:AR1006),$AN$1006:$BO$1006,0)), HYPERLINK("#",""), HYPERLINK(CONCATENATE("#Metadata!", ADDRESS(INDEX($AI$2:$AI$1001,MATCH(ROWS($AG$2:AG192),$AG$2:$AG$1001,0),0), INDEX($AN$1004:$BO$1004,1,MATCH(COLUMNS($AN$1006:AR1006),$AN$1006:$BO$1006,0)))),"Fix")))</f>
        <v>0</v>
      </c>
      <c r="G192" s="4">
        <f>IF(OR(INDEX($AH$2:$AH$1001,MATCH(ROWS($AG$2:AG192),$AG$2:$AG$1001,0),1)&gt;=100000,INDEX($AN$1005:$BO$1005,1,MATCH(COLUMNS($AN$1006:AS1006),$AN$1006:$BO$1006,0))&gt;=100000), " ",IF(INDEX($AN$2:$BO$1001,MATCH(ROWS($AG$2:AG192),$AG$2:$AG$1001,0),MATCH(COLUMNS($AN$1006:AS1006),$AN$1006:$BO$1006,0)), HYPERLINK("#",""), HYPERLINK(CONCATENATE("#Metadata!", ADDRESS(INDEX($AI$2:$AI$1001,MATCH(ROWS($AG$2:AG192),$AG$2:$AG$1001,0),0), INDEX($AN$1004:$BO$1004,1,MATCH(COLUMNS($AN$1006:AS1006),$AN$1006:$BO$1006,0)))),"Fix")))</f>
        <v>0</v>
      </c>
      <c r="H192" s="4">
        <f>IF(OR(INDEX($AH$2:$AH$1001,MATCH(ROWS($AG$2:AG192),$AG$2:$AG$1001,0),1)&gt;=100000,INDEX($AN$1005:$BO$1005,1,MATCH(COLUMNS($AN$1006:AT1006),$AN$1006:$BO$1006,0))&gt;=100000), " ",IF(INDEX($AN$2:$BO$1001,MATCH(ROWS($AG$2:AG192),$AG$2:$AG$1001,0),MATCH(COLUMNS($AN$1006:AT1006),$AN$1006:$BO$1006,0)), HYPERLINK("#",""), HYPERLINK(CONCATENATE("#Metadata!", ADDRESS(INDEX($AI$2:$AI$1001,MATCH(ROWS($AG$2:AG192),$AG$2:$AG$1001,0),0), INDEX($AN$1004:$BO$1004,1,MATCH(COLUMNS($AN$1006:AT1006),$AN$1006:$BO$1006,0)))),"Fix")))</f>
        <v>0</v>
      </c>
      <c r="I192" s="4">
        <f>IF(OR(INDEX($AH$2:$AH$1001,MATCH(ROWS($AG$2:AG192),$AG$2:$AG$1001,0),1)&gt;=100000,INDEX($AN$1005:$BO$1005,1,MATCH(COLUMNS($AN$1006:AU1006),$AN$1006:$BO$1006,0))&gt;=100000), " ",IF(INDEX($AN$2:$BO$1001,MATCH(ROWS($AG$2:AG192),$AG$2:$AG$1001,0),MATCH(COLUMNS($AN$1006:AU1006),$AN$1006:$BO$1006,0)), HYPERLINK("#",""), HYPERLINK(CONCATENATE("#Metadata!", ADDRESS(INDEX($AI$2:$AI$1001,MATCH(ROWS($AG$2:AG192),$AG$2:$AG$1001,0),0), INDEX($AN$1004:$BO$1004,1,MATCH(COLUMNS($AN$1006:AU1006),$AN$1006:$BO$1006,0)))),"Fix")))</f>
        <v>0</v>
      </c>
      <c r="J192" s="4">
        <f>IF(OR(INDEX($AH$2:$AH$1001,MATCH(ROWS($AG$2:AG192),$AG$2:$AG$1001,0),1)&gt;=100000,INDEX($AN$1005:$BO$1005,1,MATCH(COLUMNS($AN$1006:AV1006),$AN$1006:$BO$1006,0))&gt;=100000), " ",IF(INDEX($AN$2:$BO$1001,MATCH(ROWS($AG$2:AG192),$AG$2:$AG$1001,0),MATCH(COLUMNS($AN$1006:AV1006),$AN$1006:$BO$1006,0)), HYPERLINK("#",""), HYPERLINK(CONCATENATE("#Metadata!", ADDRESS(INDEX($AI$2:$AI$1001,MATCH(ROWS($AG$2:AG192),$AG$2:$AG$1001,0),0), INDEX($AN$1004:$BO$1004,1,MATCH(COLUMNS($AN$1006:AV1006),$AN$1006:$BO$1006,0)))),"Fix")))</f>
        <v>0</v>
      </c>
      <c r="K192" s="4">
        <f>IF(OR(INDEX($AH$2:$AH$1001,MATCH(ROWS($AG$2:AG192),$AG$2:$AG$1001,0),1)&gt;=100000,INDEX($AN$1005:$BO$1005,1,MATCH(COLUMNS($AN$1006:AW1006),$AN$1006:$BO$1006,0))&gt;=100000), " ",IF(INDEX($AN$2:$BO$1001,MATCH(ROWS($AG$2:AG192),$AG$2:$AG$1001,0),MATCH(COLUMNS($AN$1006:AW1006),$AN$1006:$BO$1006,0)), HYPERLINK("#",""), HYPERLINK(CONCATENATE("#Metadata!", ADDRESS(INDEX($AI$2:$AI$1001,MATCH(ROWS($AG$2:AG192),$AG$2:$AG$1001,0),0), INDEX($AN$1004:$BO$1004,1,MATCH(COLUMNS($AN$1006:AW1006),$AN$1006:$BO$1006,0)))),"Fix")))</f>
        <v>0</v>
      </c>
      <c r="L192" s="4">
        <f>IF(OR(INDEX($AH$2:$AH$1001,MATCH(ROWS($AG$2:AG192),$AG$2:$AG$1001,0),1)&gt;=100000,INDEX($AN$1005:$BO$1005,1,MATCH(COLUMNS($AN$1006:AX1006),$AN$1006:$BO$1006,0))&gt;=100000), " ",IF(INDEX($AN$2:$BO$1001,MATCH(ROWS($AG$2:AG192),$AG$2:$AG$1001,0),MATCH(COLUMNS($AN$1006:AX1006),$AN$1006:$BO$1006,0)), HYPERLINK("#",""), HYPERLINK(CONCATENATE("#Metadata!", ADDRESS(INDEX($AI$2:$AI$1001,MATCH(ROWS($AG$2:AG192),$AG$2:$AG$1001,0),0), INDEX($AN$1004:$BO$1004,1,MATCH(COLUMNS($AN$1006:AX1006),$AN$1006:$BO$1006,0)))),"Fix")))</f>
        <v>0</v>
      </c>
      <c r="M192" s="4">
        <f>IF(OR(INDEX($AH$2:$AH$1001,MATCH(ROWS($AG$2:AG192),$AG$2:$AG$1001,0),1)&gt;=100000,INDEX($AN$1005:$BO$1005,1,MATCH(COLUMNS($AN$1006:AY1006),$AN$1006:$BO$1006,0))&gt;=100000), " ",IF(INDEX($AN$2:$BO$1001,MATCH(ROWS($AG$2:AG192),$AG$2:$AG$1001,0),MATCH(COLUMNS($AN$1006:AY1006),$AN$1006:$BO$1006,0)), HYPERLINK("#",""), HYPERLINK(CONCATENATE("#Metadata!", ADDRESS(INDEX($AI$2:$AI$1001,MATCH(ROWS($AG$2:AG192),$AG$2:$AG$1001,0),0), INDEX($AN$1004:$BO$1004,1,MATCH(COLUMNS($AN$1006:AY1006),$AN$1006:$BO$1006,0)))),"Fix")))</f>
        <v>0</v>
      </c>
      <c r="N192" s="4">
        <f>IF(OR(INDEX($AH$2:$AH$1001,MATCH(ROWS($AG$2:AG192),$AG$2:$AG$1001,0),1)&gt;=100000,INDEX($AN$1005:$BO$1005,1,MATCH(COLUMNS($AN$1006:AZ1006),$AN$1006:$BO$1006,0))&gt;=100000), " ",IF(INDEX($AN$2:$BO$1001,MATCH(ROWS($AG$2:AG192),$AG$2:$AG$1001,0),MATCH(COLUMNS($AN$1006:AZ1006),$AN$1006:$BO$1006,0)), HYPERLINK("#",""), HYPERLINK(CONCATENATE("#Metadata!", ADDRESS(INDEX($AI$2:$AI$1001,MATCH(ROWS($AG$2:AG192),$AG$2:$AG$1001,0),0), INDEX($AN$1004:$BO$1004,1,MATCH(COLUMNS($AN$1006:AZ1006),$AN$1006:$BO$1006,0)))),"Fix")))</f>
        <v>0</v>
      </c>
      <c r="O192" s="4">
        <f>IF(OR(INDEX($AH$2:$AH$1001,MATCH(ROWS($AG$2:AG192),$AG$2:$AG$1001,0),1)&gt;=100000,INDEX($AN$1005:$BO$1005,1,MATCH(COLUMNS($AN$1006:BA1006),$AN$1006:$BO$1006,0))&gt;=100000), " ",IF(INDEX($AN$2:$BO$1001,MATCH(ROWS($AG$2:AG192),$AG$2:$AG$1001,0),MATCH(COLUMNS($AN$1006:BA1006),$AN$1006:$BO$1006,0)), HYPERLINK("#",""), HYPERLINK(CONCATENATE("#Metadata!", ADDRESS(INDEX($AI$2:$AI$1001,MATCH(ROWS($AG$2:AG192),$AG$2:$AG$1001,0),0), INDEX($AN$1004:$BO$1004,1,MATCH(COLUMNS($AN$1006:BA1006),$AN$1006:$BO$1006,0)))),"Fix")))</f>
        <v>0</v>
      </c>
      <c r="P192" s="4">
        <f>IF(OR(INDEX($AH$2:$AH$1001,MATCH(ROWS($AG$2:AG192),$AG$2:$AG$1001,0),1)&gt;=100000,INDEX($AN$1005:$BO$1005,1,MATCH(COLUMNS($AN$1006:BB1006),$AN$1006:$BO$1006,0))&gt;=100000), " ",IF(INDEX($AN$2:$BO$1001,MATCH(ROWS($AG$2:AG192),$AG$2:$AG$1001,0),MATCH(COLUMNS($AN$1006:BB1006),$AN$1006:$BO$1006,0)), HYPERLINK("#",""), HYPERLINK(CONCATENATE("#Metadata!", ADDRESS(INDEX($AI$2:$AI$1001,MATCH(ROWS($AG$2:AG192),$AG$2:$AG$1001,0),0), INDEX($AN$1004:$BO$1004,1,MATCH(COLUMNS($AN$1006:BB1006),$AN$1006:$BO$1006,0)))),"Fix")))</f>
        <v>0</v>
      </c>
      <c r="Q192" s="4">
        <f>IF(OR(INDEX($AH$2:$AH$1001,MATCH(ROWS($AG$2:AG192),$AG$2:$AG$1001,0),1)&gt;=100000,INDEX($AN$1005:$BO$1005,1,MATCH(COLUMNS($AN$1006:BC1006),$AN$1006:$BO$1006,0))&gt;=100000), " ",IF(INDEX($AN$2:$BO$1001,MATCH(ROWS($AG$2:AG192),$AG$2:$AG$1001,0),MATCH(COLUMNS($AN$1006:BC1006),$AN$1006:$BO$1006,0)), HYPERLINK("#",""), HYPERLINK(CONCATENATE("#Metadata!", ADDRESS(INDEX($AI$2:$AI$1001,MATCH(ROWS($AG$2:AG192),$AG$2:$AG$1001,0),0), INDEX($AN$1004:$BO$1004,1,MATCH(COLUMNS($AN$1006:BC1006),$AN$1006:$BO$1006,0)))),"Fix")))</f>
        <v>0</v>
      </c>
      <c r="R192" s="4">
        <f>IF(OR(INDEX($AH$2:$AH$1001,MATCH(ROWS($AG$2:AG192),$AG$2:$AG$1001,0),1)&gt;=100000,INDEX($AN$1005:$BO$1005,1,MATCH(COLUMNS($AN$1006:BD1006),$AN$1006:$BO$1006,0))&gt;=100000), " ",IF(INDEX($AN$2:$BO$1001,MATCH(ROWS($AG$2:AG192),$AG$2:$AG$1001,0),MATCH(COLUMNS($AN$1006:BD1006),$AN$1006:$BO$1006,0)), HYPERLINK("#",""), HYPERLINK(CONCATENATE("#Metadata!", ADDRESS(INDEX($AI$2:$AI$1001,MATCH(ROWS($AG$2:AG192),$AG$2:$AG$1001,0),0), INDEX($AN$1004:$BO$1004,1,MATCH(COLUMNS($AN$1006:BD1006),$AN$1006:$BO$1006,0)))),"Fix")))</f>
        <v>0</v>
      </c>
      <c r="S192" s="4">
        <f>IF(OR(INDEX($AH$2:$AH$1001,MATCH(ROWS($AG$2:AG192),$AG$2:$AG$1001,0),1)&gt;=100000,INDEX($AN$1005:$BO$1005,1,MATCH(COLUMNS($AN$1006:BE1006),$AN$1006:$BO$1006,0))&gt;=100000), " ",IF(INDEX($AN$2:$BO$1001,MATCH(ROWS($AG$2:AG192),$AG$2:$AG$1001,0),MATCH(COLUMNS($AN$1006:BE1006),$AN$1006:$BO$1006,0)), HYPERLINK("#",""), HYPERLINK(CONCATENATE("#Metadata!", ADDRESS(INDEX($AI$2:$AI$1001,MATCH(ROWS($AG$2:AG192),$AG$2:$AG$1001,0),0), INDEX($AN$1004:$BO$1004,1,MATCH(COLUMNS($AN$1006:BE1006),$AN$1006:$BO$1006,0)))),"Fix")))</f>
        <v>0</v>
      </c>
      <c r="T192" s="4">
        <f>IF(OR(INDEX($AH$2:$AH$1001,MATCH(ROWS($AG$2:AG192),$AG$2:$AG$1001,0),1)&gt;=100000,INDEX($AN$1005:$BO$1005,1,MATCH(COLUMNS($AN$1006:BF1006),$AN$1006:$BO$1006,0))&gt;=100000), " ",IF(INDEX($AN$2:$BO$1001,MATCH(ROWS($AG$2:AG192),$AG$2:$AG$1001,0),MATCH(COLUMNS($AN$1006:BF1006),$AN$1006:$BO$1006,0)), HYPERLINK("#",""), HYPERLINK(CONCATENATE("#Metadata!", ADDRESS(INDEX($AI$2:$AI$1001,MATCH(ROWS($AG$2:AG192),$AG$2:$AG$1001,0),0), INDEX($AN$1004:$BO$1004,1,MATCH(COLUMNS($AN$1006:BF1006),$AN$1006:$BO$1006,0)))),"Fix")))</f>
        <v>0</v>
      </c>
      <c r="U192" s="4">
        <f>IF(OR(INDEX($AH$2:$AH$1001,MATCH(ROWS($AG$2:AG192),$AG$2:$AG$1001,0),1)&gt;=100000,INDEX($AN$1005:$BO$1005,1,MATCH(COLUMNS($AN$1006:BG1006),$AN$1006:$BO$1006,0))&gt;=100000), " ",IF(INDEX($AN$2:$BO$1001,MATCH(ROWS($AG$2:AG192),$AG$2:$AG$1001,0),MATCH(COLUMNS($AN$1006:BG1006),$AN$1006:$BO$1006,0)), HYPERLINK("#",""), HYPERLINK(CONCATENATE("#Metadata!", ADDRESS(INDEX($AI$2:$AI$1001,MATCH(ROWS($AG$2:AG192),$AG$2:$AG$1001,0),0), INDEX($AN$1004:$BO$1004,1,MATCH(COLUMNS($AN$1006:BG1006),$AN$1006:$BO$1006,0)))),"Fix")))</f>
        <v>0</v>
      </c>
      <c r="V192" s="4">
        <f>IF(OR(INDEX($AH$2:$AH$1001,MATCH(ROWS($AG$2:AG192),$AG$2:$AG$1001,0),1)&gt;=100000,INDEX($AN$1005:$BO$1005,1,MATCH(COLUMNS($AN$1006:BH1006),$AN$1006:$BO$1006,0))&gt;=100000), " ",IF(INDEX($AN$2:$BO$1001,MATCH(ROWS($AG$2:AG192),$AG$2:$AG$1001,0),MATCH(COLUMNS($AN$1006:BH1006),$AN$1006:$BO$1006,0)), HYPERLINK("#",""), HYPERLINK(CONCATENATE("#Metadata!", ADDRESS(INDEX($AI$2:$AI$1001,MATCH(ROWS($AG$2:AG192),$AG$2:$AG$1001,0),0), INDEX($AN$1004:$BO$1004,1,MATCH(COLUMNS($AN$1006:BH1006),$AN$1006:$BO$1006,0)))),"Fix")))</f>
        <v>0</v>
      </c>
      <c r="W192" s="4">
        <f>IF(OR(INDEX($AH$2:$AH$1001,MATCH(ROWS($AG$2:AG192),$AG$2:$AG$1001,0),1)&gt;=100000,INDEX($AN$1005:$BO$1005,1,MATCH(COLUMNS($AN$1006:BI1006),$AN$1006:$BO$1006,0))&gt;=100000), " ",IF(INDEX($AN$2:$BO$1001,MATCH(ROWS($AG$2:AG192),$AG$2:$AG$1001,0),MATCH(COLUMNS($AN$1006:BI1006),$AN$1006:$BO$1006,0)), HYPERLINK("#",""), HYPERLINK(CONCATENATE("#Metadata!", ADDRESS(INDEX($AI$2:$AI$1001,MATCH(ROWS($AG$2:AG192),$AG$2:$AG$1001,0),0), INDEX($AN$1004:$BO$1004,1,MATCH(COLUMNS($AN$1006:BI1006),$AN$1006:$BO$1006,0)))),"Fix")))</f>
        <v>0</v>
      </c>
      <c r="X192" s="4">
        <f>IF(OR(INDEX($AH$2:$AH$1001,MATCH(ROWS($AG$2:AG192),$AG$2:$AG$1001,0),1)&gt;=100000,INDEX($AN$1005:$BO$1005,1,MATCH(COLUMNS($AN$1006:BJ1006),$AN$1006:$BO$1006,0))&gt;=100000), " ",IF(INDEX($AN$2:$BO$1001,MATCH(ROWS($AG$2:AG192),$AG$2:$AG$1001,0),MATCH(COLUMNS($AN$1006:BJ1006),$AN$1006:$BO$1006,0)), HYPERLINK("#",""), HYPERLINK(CONCATENATE("#Metadata!", ADDRESS(INDEX($AI$2:$AI$1001,MATCH(ROWS($AG$2:AG192),$AG$2:$AG$1001,0),0), INDEX($AN$1004:$BO$1004,1,MATCH(COLUMNS($AN$1006:BJ1006),$AN$1006:$BO$1006,0)))),"Fix")))</f>
        <v>0</v>
      </c>
      <c r="Y192" s="4">
        <f>IF(OR(INDEX($AH$2:$AH$1001,MATCH(ROWS($AG$2:AG192),$AG$2:$AG$1001,0),1)&gt;=100000,INDEX($AN$1005:$BO$1005,1,MATCH(COLUMNS($AN$1006:BK1006),$AN$1006:$BO$1006,0))&gt;=100000), " ",IF(INDEX($AN$2:$BO$1001,MATCH(ROWS($AG$2:AG192),$AG$2:$AG$1001,0),MATCH(COLUMNS($AN$1006:BK1006),$AN$1006:$BO$1006,0)), HYPERLINK("#",""), HYPERLINK(CONCATENATE("#Metadata!", ADDRESS(INDEX($AI$2:$AI$1001,MATCH(ROWS($AG$2:AG192),$AG$2:$AG$1001,0),0), INDEX($AN$1004:$BO$1004,1,MATCH(COLUMNS($AN$1006:BK1006),$AN$1006:$BO$1006,0)))),"Fix")))</f>
        <v>0</v>
      </c>
      <c r="Z192" s="4">
        <f>IF(OR(INDEX($AH$2:$AH$1001,MATCH(ROWS($AG$2:AG192),$AG$2:$AG$1001,0),1)&gt;=100000,INDEX($AN$1005:$BO$1005,1,MATCH(COLUMNS($AN$1006:BL1006),$AN$1006:$BO$1006,0))&gt;=100000), " ",IF(INDEX($AN$2:$BO$1001,MATCH(ROWS($AG$2:AG192),$AG$2:$AG$1001,0),MATCH(COLUMNS($AN$1006:BL1006),$AN$1006:$BO$1006,0)), HYPERLINK("#",""), HYPERLINK(CONCATENATE("#Metadata!", ADDRESS(INDEX($AI$2:$AI$1001,MATCH(ROWS($AG$2:AG192),$AG$2:$AG$1001,0),0), INDEX($AN$1004:$BO$1004,1,MATCH(COLUMNS($AN$1006:BL1006),$AN$1006:$BO$1006,0)))),"Fix")))</f>
        <v>0</v>
      </c>
      <c r="AA192" s="4">
        <f>IF(OR(INDEX($AH$2:$AH$1001,MATCH(ROWS($AG$2:AG192),$AG$2:$AG$1001,0),1)&gt;=100000,INDEX($AN$1005:$BO$1005,1,MATCH(COLUMNS($AN$1006:BM1006),$AN$1006:$BO$1006,0))&gt;=100000), " ",IF(INDEX($AN$2:$BO$1001,MATCH(ROWS($AG$2:AG192),$AG$2:$AG$1001,0),MATCH(COLUMNS($AN$1006:BM1006),$AN$1006:$BO$1006,0)), HYPERLINK("#",""), HYPERLINK(CONCATENATE("#Metadata!", ADDRESS(INDEX($AI$2:$AI$1001,MATCH(ROWS($AG$2:AG192),$AG$2:$AG$1001,0),0), INDEX($AN$1004:$BO$1004,1,MATCH(COLUMNS($AN$1006:BM1006),$AN$1006:$BO$1006,0)))),"Fix")))</f>
        <v>0</v>
      </c>
      <c r="AB192" s="4">
        <f>IF(OR(INDEX($AH$2:$AH$1001,MATCH(ROWS($AG$2:AG192),$AG$2:$AG$1001,0),1)&gt;=100000,INDEX($AN$1005:$BO$1005,1,MATCH(COLUMNS($AN$1006:BN1006),$AN$1006:$BO$1006,0))&gt;=100000), " ",IF(INDEX($AN$2:$BO$1001,MATCH(ROWS($AG$2:AG192),$AG$2:$AG$1001,0),MATCH(COLUMNS($AN$1006:BN1006),$AN$1006:$BO$1006,0)), HYPERLINK("#",""), HYPERLINK(CONCATENATE("#Metadata!", ADDRESS(INDEX($AI$2:$AI$1001,MATCH(ROWS($AG$2:AG192),$AG$2:$AG$1001,0),0), INDEX($AN$1004:$BO$1004,1,MATCH(COLUMNS($AN$1006:BN1006),$AN$1006:$BO$1006,0)))),"Fix")))</f>
        <v>0</v>
      </c>
      <c r="AC192" s="4">
        <f>IF(OR(INDEX($AH$2:$AH$1001,MATCH(ROWS($AG$2:AG192),$AG$2:$AG$1001,0),1)&gt;=100000,INDEX($AN$1005:$BO$1005,1,MATCH(COLUMNS($AN$1006:BO1006),$AN$1006:$BO$1006,0))&gt;=100000), " ",IF(INDEX($AN$2:$BO$1001,MATCH(ROWS($AG$2:AG192),$AG$2:$AG$1001,0),MATCH(COLUMNS($AN$1006:BO1006),$AN$1006:$BO$1006,0)), HYPERLINK("#",""), HYPERLINK(CONCATENATE("#Metadata!", ADDRESS(INDEX($AI$2:$AI$1001,MATCH(ROWS($AG$2:AG192),$AG$2:$AG$1001,0),0), INDEX($AN$1004:$BO$1004,1,MATCH(COLUMNS($AN$1006:BO1006),$AN$1006:$BO$1006,0)))),"Fix")))</f>
        <v>0</v>
      </c>
      <c r="AG192">
        <v>0</v>
      </c>
      <c r="AH192">
        <v>0</v>
      </c>
      <c r="AI192">
        <v>0</v>
      </c>
      <c r="AJ192">
        <f>IF(AK192,TRUE,AND(AN192:BO192))</f>
        <v>0</v>
      </c>
      <c r="AK192">
        <f>COUNTBLANK(Metadata!B192:AC192)=COLUMNS(Metadata!B192:AC192)</f>
        <v>0</v>
      </c>
      <c r="AL192">
        <v>0</v>
      </c>
      <c r="AN192">
        <f>AND(IF(Metadata!B192="",FALSE,TRUE),COUNTIF(Metadata!B:B, Metadata!B192) = 1,NOT(ISERROR(SUMPRODUCT(SEARCH(MID(Metadata!B192,ROW(INDIRECT("1:"&amp;LEN(Metadata!B192))), 1),"0123456789abcdefghijklmnopqrstuvwxyzABCDEFGHIJKLMNOPQRSTUVWXYZ.")))))</f>
        <v>0</v>
      </c>
      <c r="AO192">
        <f>IF(Metadata!C192="",FALSE,TRUE)</f>
        <v>0</v>
      </c>
      <c r="AP192">
        <f>IF(Metadata!D192="",FALSE,TRUE)</f>
        <v>0</v>
      </c>
      <c r="AQ192">
        <f>OR(AND(IF(Metadata!E192="",FALSE,TRUE),OR(exact(Metadata!E192,"not collected"),exact(Metadata!E192,"not provided"),exact(Metadata!E192,"restricted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R192">
        <f>IF(Metadata!F192="",FALSE,TRUE)</f>
        <v>0</v>
      </c>
      <c r="AS192">
        <f>OR(AND(IF(Metadata!G192="",FALSE,TRUE),OR(exact(Metadata!G192,"not collected"),exact(Metadata!G192,"not provided"))),AND(IF(Metadata!G192="",FALSE,TRUE),OR(exact(Metadata!G192,"TRUE"),exact(Metadata!G192,"FALSE"))))</f>
        <v>0</v>
      </c>
      <c r="AT192">
        <f>OR(AND(IF(Metadata!H192="",FALSE,TRUE),OR(exact(Metadata!H192,"not collected"),exact(Metadata!H192,"not provided"),exact(Metadata!H192,"restricted access"))),AND(IF(Metadata!H192="",FALSE,ISNUMBER(VALUE(Metadata!H192))),Metadata!H192&gt;=-413.0))</f>
        <v>0</v>
      </c>
      <c r="AU192">
        <f>AND(IF(Metadata!I192="",FALSE,TRUE),exact(Metadata!I192,"meters"))</f>
        <v>0</v>
      </c>
      <c r="AV192">
        <f>AND(IF(Metadata!J192="",FALSE,TRUE),OR(exact(Metadata!J192,"Host-associated"),exact(Metadata!J192,"Free-living")))</f>
        <v>0</v>
      </c>
      <c r="AW192">
        <f>AND(IF(Metadata!K192="",FALSE,TRUE),OR(exact(Metadata!K192,"Animal"),exact(Metadata!K192,"Fungus"),exact(Metadata!K192,"Plant"),exact(Metadata!K192,"Saline"),exact(Metadata!K192,"Non-saline")))</f>
        <v>0</v>
      </c>
      <c r="AX192">
        <f>AND(IF(Metadata!L192="",FALSE,TRUE),OR(exact(Metadata!L192,"Plant secretion"),exact(Metadata!L192,"Plant rhizosphere"),exact(Metadata!L192,"Plant surface"),exact(Metadata!L192,"Plant corpus"),exact(Metadata!L192,"Fungus surface"),exact(Metadata!L192,"Fungus corpus"),exact(Metadata!L192,"Animal surface"),exact(Metadata!L192,"Animal proximal gut"),exact(Metadata!L192,"Animal corpus"),exact(Metadata!L192,"Animal distal gut"),exact(Metadata!L192,"Animal secretion"),exact(Metadata!L192,"Sub-surface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Y192">
        <f>IF(Metadata!M192="",FALSE,TRUE)</f>
        <v>0</v>
      </c>
      <c r="AZ192">
        <f>IF(Metadata!N192="",FALSE,TRUE)</f>
        <v>0</v>
      </c>
      <c r="BA192">
        <f>IF(Metadata!O192="",FALSE,TRUE)</f>
        <v>0</v>
      </c>
      <c r="BB192">
        <f>OR(AND(IF(Metadata!P192="",FALSE,TRUE),OR(exact(Metadata!P192,"not collected"),exact(Metadata!P192,"not provided"),exact(Metadata!P192,"restricted access"))),AND(IF(Metadata!P192="",FALSE,TRUE),OR(exact(Metadata!P192,"air"),exact(Metadata!P192,"built environment"),exact(Metadata!P192,"host-associated"),exact(Metadata!P192,"human-associated"),exact(Metadata!P192,"human-skin"),exact(Metadata!P192,"human-oral"),exact(Metadata!P192,"human-gut"),exact(Metadata!P192,"human-vaginal"),exact(Metadata!P192,"microbial mat/biofilm"),exact(Metadata!P192,"misc environment"),exact(Metadata!P192,"plant-associated"),exact(Metadata!P192,"sediment"),exact(Metadata!P192,"soil"),exact(Metadata!P192,"wastewater/sludge"),exact(Metadata!P192,"water"))))</f>
        <v>0</v>
      </c>
      <c r="BC192">
        <f>IF(Metadata!Q192="",FALSE,TRUE)</f>
        <v>0</v>
      </c>
      <c r="BD192">
        <f>IF(Metadata!R192="",FALSE,TRUE)</f>
        <v>0</v>
      </c>
      <c r="BE192">
        <f>OR(AND(IF(Metadata!S192="",FALSE,TRUE),OR(exact(Metadata!S192,"not collected"),exact(Metadata!S192,"not provided"),exact(Metadata!S192,"restricted access"))),AND(IF(Metadata!S192="",FALSE,ISNUMBER(VALUE(Metadata!S192))),Metadata!S192&gt;=-90.00,Metadata!S192&lt;=90.00))</f>
        <v>0</v>
      </c>
      <c r="BF192">
        <f>AND(IF(Metadata!T192="",FALSE,TRUE),exact(Metadata!T192,"Decimal degrees"))</f>
        <v>0</v>
      </c>
      <c r="BG192">
        <f>OR(AND(IF(Metadata!U192="",FALSE,TRUE),OR(exact(Metadata!U192,"not collected"),exact(Metadata!U192,"not provided"),exact(Metadata!U192,"restricted access"))),AND(IF(Metadata!U192="",FALSE,ISNUMBER(VALUE(Metadata!U192))),Metadata!U192&gt;=-180.00,Metadata!U192&lt;=180.00))</f>
        <v>0</v>
      </c>
      <c r="BH192">
        <f>AND(IF(Metadata!V192="",FALSE,TRUE),exact(Metadata!V192,"Decimal degrees"))</f>
        <v>0</v>
      </c>
      <c r="BI192">
        <f>IF(Metadata!W192="",FALSE,TRUE)</f>
        <v>0</v>
      </c>
      <c r="BJ192">
        <f>OR(AND(IF(Metadata!X192="",FALSE,TRUE),OR(exact(Metadata!X192,"not collected"),exact(Metadata!X192,"not provided"),exact(Metadata!X192,"restricted access"))),AND(IF(Metadata!X192="",FALSE,TRUE),OR(exact(Metadata!X192,"TRUE"),exact(Metadata!X192,"FALSE"))))</f>
        <v>0</v>
      </c>
      <c r="BK192">
        <f>AND(IF(Metadata!Y192="",FALSE,TRUE),exact(Metadata!Y192,"other"))</f>
        <v>0</v>
      </c>
      <c r="BL192">
        <f>IF(Metadata!Z192="",FALSE,TRUE)</f>
        <v>0</v>
      </c>
      <c r="BM192">
        <f>OR(AND(IF(Metadata!AA192="",FALSE,TRUE),OR(exact(Metadata!AA192,"not collected"),exact(Metadata!AA192,"not provided"))),AND(IF(Metadata!AA192="",FALSE,IF(ISERROR(INT(Metadata!AA192)),FALSE,INT(Metadata!AA192)=Metadata!AA192)),Metadata!AA192&gt;0))</f>
        <v>0</v>
      </c>
      <c r="BN192">
        <f>AND(IF(Metadata!AB192="",FALSE,TRUE),exact(Metadata!AB192,"Not applicable"))</f>
        <v>0</v>
      </c>
      <c r="BO192">
        <f>IF(Metadata!AC192="",FALSE,TRUE)</f>
        <v>0</v>
      </c>
    </row>
    <row r="193" spans="1:67">
      <c r="A193" s="5">
        <f>IF(B193=" "," ",HYPERLINK(CONCATENATE("#metadata!",ADDRESS(INDEX($AI$2:$AI$1001,MATCH(ROWS($AG$2:AG193),$AG$2:$AG$1001,0),0),1)),INDEX($AL$2:$AL$1001,MATCH(ROWS($AG$2:AG193),$AG$2:$AG$1001,0),0)))</f>
        <v>0</v>
      </c>
      <c r="B193" s="4">
        <f>IF(OR(INDEX($AH$2:$AH$1001,MATCH(ROWS($AG$2:AG193),$AG$2:$AG$1001,0),1)&gt;=100000,INDEX($AN$1005:$BO$1005,1,MATCH(COLUMNS($AN$1006:AN1006),$AN$1006:$BO$1006,0))&gt;=100000), " ",IF(INDEX($AN$2:$BO$1001,MATCH(ROWS($AG$2:AG193),$AG$2:$AG$1001,0),MATCH(COLUMNS($AN$1006:AN1006),$AN$1006:$BO$1006,0)), HYPERLINK("#",""), HYPERLINK(CONCATENATE("#Metadata!", ADDRESS(INDEX($AI$2:$AI$1001,MATCH(ROWS($AG$2:AG193),$AG$2:$AG$1001,0),0), INDEX($AN$1004:$BO$1004,1,MATCH(COLUMNS($AN$1006:AN1006),$AN$1006:$BO$1006,0)))),"Fix")))</f>
        <v>0</v>
      </c>
      <c r="C193" s="4">
        <f>IF(OR(INDEX($AH$2:$AH$1001,MATCH(ROWS($AG$2:AG193),$AG$2:$AG$1001,0),1)&gt;=100000,INDEX($AN$1005:$BO$1005,1,MATCH(COLUMNS($AN$1006:AO1006),$AN$1006:$BO$1006,0))&gt;=100000), " ",IF(INDEX($AN$2:$BO$1001,MATCH(ROWS($AG$2:AG193),$AG$2:$AG$1001,0),MATCH(COLUMNS($AN$1006:AO1006),$AN$1006:$BO$1006,0)), HYPERLINK("#",""), HYPERLINK(CONCATENATE("#Metadata!", ADDRESS(INDEX($AI$2:$AI$1001,MATCH(ROWS($AG$2:AG193),$AG$2:$AG$1001,0),0), INDEX($AN$1004:$BO$1004,1,MATCH(COLUMNS($AN$1006:AO1006),$AN$1006:$BO$1006,0)))),"Fix")))</f>
        <v>0</v>
      </c>
      <c r="D193" s="4">
        <f>IF(OR(INDEX($AH$2:$AH$1001,MATCH(ROWS($AG$2:AG193),$AG$2:$AG$1001,0),1)&gt;=100000,INDEX($AN$1005:$BO$1005,1,MATCH(COLUMNS($AN$1006:AP1006),$AN$1006:$BO$1006,0))&gt;=100000), " ",IF(INDEX($AN$2:$BO$1001,MATCH(ROWS($AG$2:AG193),$AG$2:$AG$1001,0),MATCH(COLUMNS($AN$1006:AP1006),$AN$1006:$BO$1006,0)), HYPERLINK("#",""), HYPERLINK(CONCATENATE("#Metadata!", ADDRESS(INDEX($AI$2:$AI$1001,MATCH(ROWS($AG$2:AG193),$AG$2:$AG$1001,0),0), INDEX($AN$1004:$BO$1004,1,MATCH(COLUMNS($AN$1006:AP1006),$AN$1006:$BO$1006,0)))),"Fix")))</f>
        <v>0</v>
      </c>
      <c r="E193" s="4">
        <f>IF(OR(INDEX($AH$2:$AH$1001,MATCH(ROWS($AG$2:AG193),$AG$2:$AG$1001,0),1)&gt;=100000,INDEX($AN$1005:$BO$1005,1,MATCH(COLUMNS($AN$1006:AQ1006),$AN$1006:$BO$1006,0))&gt;=100000), " ",IF(INDEX($AN$2:$BO$1001,MATCH(ROWS($AG$2:AG193),$AG$2:$AG$1001,0),MATCH(COLUMNS($AN$1006:AQ1006),$AN$1006:$BO$1006,0)), HYPERLINK("#",""), HYPERLINK(CONCATENATE("#Metadata!", ADDRESS(INDEX($AI$2:$AI$1001,MATCH(ROWS($AG$2:AG193),$AG$2:$AG$1001,0),0), INDEX($AN$1004:$BO$1004,1,MATCH(COLUMNS($AN$1006:AQ1006),$AN$1006:$BO$1006,0)))),"Fix")))</f>
        <v>0</v>
      </c>
      <c r="F193" s="4">
        <f>IF(OR(INDEX($AH$2:$AH$1001,MATCH(ROWS($AG$2:AG193),$AG$2:$AG$1001,0),1)&gt;=100000,INDEX($AN$1005:$BO$1005,1,MATCH(COLUMNS($AN$1006:AR1006),$AN$1006:$BO$1006,0))&gt;=100000), " ",IF(INDEX($AN$2:$BO$1001,MATCH(ROWS($AG$2:AG193),$AG$2:$AG$1001,0),MATCH(COLUMNS($AN$1006:AR1006),$AN$1006:$BO$1006,0)), HYPERLINK("#",""), HYPERLINK(CONCATENATE("#Metadata!", ADDRESS(INDEX($AI$2:$AI$1001,MATCH(ROWS($AG$2:AG193),$AG$2:$AG$1001,0),0), INDEX($AN$1004:$BO$1004,1,MATCH(COLUMNS($AN$1006:AR1006),$AN$1006:$BO$1006,0)))),"Fix")))</f>
        <v>0</v>
      </c>
      <c r="G193" s="4">
        <f>IF(OR(INDEX($AH$2:$AH$1001,MATCH(ROWS($AG$2:AG193),$AG$2:$AG$1001,0),1)&gt;=100000,INDEX($AN$1005:$BO$1005,1,MATCH(COLUMNS($AN$1006:AS1006),$AN$1006:$BO$1006,0))&gt;=100000), " ",IF(INDEX($AN$2:$BO$1001,MATCH(ROWS($AG$2:AG193),$AG$2:$AG$1001,0),MATCH(COLUMNS($AN$1006:AS1006),$AN$1006:$BO$1006,0)), HYPERLINK("#",""), HYPERLINK(CONCATENATE("#Metadata!", ADDRESS(INDEX($AI$2:$AI$1001,MATCH(ROWS($AG$2:AG193),$AG$2:$AG$1001,0),0), INDEX($AN$1004:$BO$1004,1,MATCH(COLUMNS($AN$1006:AS1006),$AN$1006:$BO$1006,0)))),"Fix")))</f>
        <v>0</v>
      </c>
      <c r="H193" s="4">
        <f>IF(OR(INDEX($AH$2:$AH$1001,MATCH(ROWS($AG$2:AG193),$AG$2:$AG$1001,0),1)&gt;=100000,INDEX($AN$1005:$BO$1005,1,MATCH(COLUMNS($AN$1006:AT1006),$AN$1006:$BO$1006,0))&gt;=100000), " ",IF(INDEX($AN$2:$BO$1001,MATCH(ROWS($AG$2:AG193),$AG$2:$AG$1001,0),MATCH(COLUMNS($AN$1006:AT1006),$AN$1006:$BO$1006,0)), HYPERLINK("#",""), HYPERLINK(CONCATENATE("#Metadata!", ADDRESS(INDEX($AI$2:$AI$1001,MATCH(ROWS($AG$2:AG193),$AG$2:$AG$1001,0),0), INDEX($AN$1004:$BO$1004,1,MATCH(COLUMNS($AN$1006:AT1006),$AN$1006:$BO$1006,0)))),"Fix")))</f>
        <v>0</v>
      </c>
      <c r="I193" s="4">
        <f>IF(OR(INDEX($AH$2:$AH$1001,MATCH(ROWS($AG$2:AG193),$AG$2:$AG$1001,0),1)&gt;=100000,INDEX($AN$1005:$BO$1005,1,MATCH(COLUMNS($AN$1006:AU1006),$AN$1006:$BO$1006,0))&gt;=100000), " ",IF(INDEX($AN$2:$BO$1001,MATCH(ROWS($AG$2:AG193),$AG$2:$AG$1001,0),MATCH(COLUMNS($AN$1006:AU1006),$AN$1006:$BO$1006,0)), HYPERLINK("#",""), HYPERLINK(CONCATENATE("#Metadata!", ADDRESS(INDEX($AI$2:$AI$1001,MATCH(ROWS($AG$2:AG193),$AG$2:$AG$1001,0),0), INDEX($AN$1004:$BO$1004,1,MATCH(COLUMNS($AN$1006:AU1006),$AN$1006:$BO$1006,0)))),"Fix")))</f>
        <v>0</v>
      </c>
      <c r="J193" s="4">
        <f>IF(OR(INDEX($AH$2:$AH$1001,MATCH(ROWS($AG$2:AG193),$AG$2:$AG$1001,0),1)&gt;=100000,INDEX($AN$1005:$BO$1005,1,MATCH(COLUMNS($AN$1006:AV1006),$AN$1006:$BO$1006,0))&gt;=100000), " ",IF(INDEX($AN$2:$BO$1001,MATCH(ROWS($AG$2:AG193),$AG$2:$AG$1001,0),MATCH(COLUMNS($AN$1006:AV1006),$AN$1006:$BO$1006,0)), HYPERLINK("#",""), HYPERLINK(CONCATENATE("#Metadata!", ADDRESS(INDEX($AI$2:$AI$1001,MATCH(ROWS($AG$2:AG193),$AG$2:$AG$1001,0),0), INDEX($AN$1004:$BO$1004,1,MATCH(COLUMNS($AN$1006:AV1006),$AN$1006:$BO$1006,0)))),"Fix")))</f>
        <v>0</v>
      </c>
      <c r="K193" s="4">
        <f>IF(OR(INDEX($AH$2:$AH$1001,MATCH(ROWS($AG$2:AG193),$AG$2:$AG$1001,0),1)&gt;=100000,INDEX($AN$1005:$BO$1005,1,MATCH(COLUMNS($AN$1006:AW1006),$AN$1006:$BO$1006,0))&gt;=100000), " ",IF(INDEX($AN$2:$BO$1001,MATCH(ROWS($AG$2:AG193),$AG$2:$AG$1001,0),MATCH(COLUMNS($AN$1006:AW1006),$AN$1006:$BO$1006,0)), HYPERLINK("#",""), HYPERLINK(CONCATENATE("#Metadata!", ADDRESS(INDEX($AI$2:$AI$1001,MATCH(ROWS($AG$2:AG193),$AG$2:$AG$1001,0),0), INDEX($AN$1004:$BO$1004,1,MATCH(COLUMNS($AN$1006:AW1006),$AN$1006:$BO$1006,0)))),"Fix")))</f>
        <v>0</v>
      </c>
      <c r="L193" s="4">
        <f>IF(OR(INDEX($AH$2:$AH$1001,MATCH(ROWS($AG$2:AG193),$AG$2:$AG$1001,0),1)&gt;=100000,INDEX($AN$1005:$BO$1005,1,MATCH(COLUMNS($AN$1006:AX1006),$AN$1006:$BO$1006,0))&gt;=100000), " ",IF(INDEX($AN$2:$BO$1001,MATCH(ROWS($AG$2:AG193),$AG$2:$AG$1001,0),MATCH(COLUMNS($AN$1006:AX1006),$AN$1006:$BO$1006,0)), HYPERLINK("#",""), HYPERLINK(CONCATENATE("#Metadata!", ADDRESS(INDEX($AI$2:$AI$1001,MATCH(ROWS($AG$2:AG193),$AG$2:$AG$1001,0),0), INDEX($AN$1004:$BO$1004,1,MATCH(COLUMNS($AN$1006:AX1006),$AN$1006:$BO$1006,0)))),"Fix")))</f>
        <v>0</v>
      </c>
      <c r="M193" s="4">
        <f>IF(OR(INDEX($AH$2:$AH$1001,MATCH(ROWS($AG$2:AG193),$AG$2:$AG$1001,0),1)&gt;=100000,INDEX($AN$1005:$BO$1005,1,MATCH(COLUMNS($AN$1006:AY1006),$AN$1006:$BO$1006,0))&gt;=100000), " ",IF(INDEX($AN$2:$BO$1001,MATCH(ROWS($AG$2:AG193),$AG$2:$AG$1001,0),MATCH(COLUMNS($AN$1006:AY1006),$AN$1006:$BO$1006,0)), HYPERLINK("#",""), HYPERLINK(CONCATENATE("#Metadata!", ADDRESS(INDEX($AI$2:$AI$1001,MATCH(ROWS($AG$2:AG193),$AG$2:$AG$1001,0),0), INDEX($AN$1004:$BO$1004,1,MATCH(COLUMNS($AN$1006:AY1006),$AN$1006:$BO$1006,0)))),"Fix")))</f>
        <v>0</v>
      </c>
      <c r="N193" s="4">
        <f>IF(OR(INDEX($AH$2:$AH$1001,MATCH(ROWS($AG$2:AG193),$AG$2:$AG$1001,0),1)&gt;=100000,INDEX($AN$1005:$BO$1005,1,MATCH(COLUMNS($AN$1006:AZ1006),$AN$1006:$BO$1006,0))&gt;=100000), " ",IF(INDEX($AN$2:$BO$1001,MATCH(ROWS($AG$2:AG193),$AG$2:$AG$1001,0),MATCH(COLUMNS($AN$1006:AZ1006),$AN$1006:$BO$1006,0)), HYPERLINK("#",""), HYPERLINK(CONCATENATE("#Metadata!", ADDRESS(INDEX($AI$2:$AI$1001,MATCH(ROWS($AG$2:AG193),$AG$2:$AG$1001,0),0), INDEX($AN$1004:$BO$1004,1,MATCH(COLUMNS($AN$1006:AZ1006),$AN$1006:$BO$1006,0)))),"Fix")))</f>
        <v>0</v>
      </c>
      <c r="O193" s="4">
        <f>IF(OR(INDEX($AH$2:$AH$1001,MATCH(ROWS($AG$2:AG193),$AG$2:$AG$1001,0),1)&gt;=100000,INDEX($AN$1005:$BO$1005,1,MATCH(COLUMNS($AN$1006:BA1006),$AN$1006:$BO$1006,0))&gt;=100000), " ",IF(INDEX($AN$2:$BO$1001,MATCH(ROWS($AG$2:AG193),$AG$2:$AG$1001,0),MATCH(COLUMNS($AN$1006:BA1006),$AN$1006:$BO$1006,0)), HYPERLINK("#",""), HYPERLINK(CONCATENATE("#Metadata!", ADDRESS(INDEX($AI$2:$AI$1001,MATCH(ROWS($AG$2:AG193),$AG$2:$AG$1001,0),0), INDEX($AN$1004:$BO$1004,1,MATCH(COLUMNS($AN$1006:BA1006),$AN$1006:$BO$1006,0)))),"Fix")))</f>
        <v>0</v>
      </c>
      <c r="P193" s="4">
        <f>IF(OR(INDEX($AH$2:$AH$1001,MATCH(ROWS($AG$2:AG193),$AG$2:$AG$1001,0),1)&gt;=100000,INDEX($AN$1005:$BO$1005,1,MATCH(COLUMNS($AN$1006:BB1006),$AN$1006:$BO$1006,0))&gt;=100000), " ",IF(INDEX($AN$2:$BO$1001,MATCH(ROWS($AG$2:AG193),$AG$2:$AG$1001,0),MATCH(COLUMNS($AN$1006:BB1006),$AN$1006:$BO$1006,0)), HYPERLINK("#",""), HYPERLINK(CONCATENATE("#Metadata!", ADDRESS(INDEX($AI$2:$AI$1001,MATCH(ROWS($AG$2:AG193),$AG$2:$AG$1001,0),0), INDEX($AN$1004:$BO$1004,1,MATCH(COLUMNS($AN$1006:BB1006),$AN$1006:$BO$1006,0)))),"Fix")))</f>
        <v>0</v>
      </c>
      <c r="Q193" s="4">
        <f>IF(OR(INDEX($AH$2:$AH$1001,MATCH(ROWS($AG$2:AG193),$AG$2:$AG$1001,0),1)&gt;=100000,INDEX($AN$1005:$BO$1005,1,MATCH(COLUMNS($AN$1006:BC1006),$AN$1006:$BO$1006,0))&gt;=100000), " ",IF(INDEX($AN$2:$BO$1001,MATCH(ROWS($AG$2:AG193),$AG$2:$AG$1001,0),MATCH(COLUMNS($AN$1006:BC1006),$AN$1006:$BO$1006,0)), HYPERLINK("#",""), HYPERLINK(CONCATENATE("#Metadata!", ADDRESS(INDEX($AI$2:$AI$1001,MATCH(ROWS($AG$2:AG193),$AG$2:$AG$1001,0),0), INDEX($AN$1004:$BO$1004,1,MATCH(COLUMNS($AN$1006:BC1006),$AN$1006:$BO$1006,0)))),"Fix")))</f>
        <v>0</v>
      </c>
      <c r="R193" s="4">
        <f>IF(OR(INDEX($AH$2:$AH$1001,MATCH(ROWS($AG$2:AG193),$AG$2:$AG$1001,0),1)&gt;=100000,INDEX($AN$1005:$BO$1005,1,MATCH(COLUMNS($AN$1006:BD1006),$AN$1006:$BO$1006,0))&gt;=100000), " ",IF(INDEX($AN$2:$BO$1001,MATCH(ROWS($AG$2:AG193),$AG$2:$AG$1001,0),MATCH(COLUMNS($AN$1006:BD1006),$AN$1006:$BO$1006,0)), HYPERLINK("#",""), HYPERLINK(CONCATENATE("#Metadata!", ADDRESS(INDEX($AI$2:$AI$1001,MATCH(ROWS($AG$2:AG193),$AG$2:$AG$1001,0),0), INDEX($AN$1004:$BO$1004,1,MATCH(COLUMNS($AN$1006:BD1006),$AN$1006:$BO$1006,0)))),"Fix")))</f>
        <v>0</v>
      </c>
      <c r="S193" s="4">
        <f>IF(OR(INDEX($AH$2:$AH$1001,MATCH(ROWS($AG$2:AG193),$AG$2:$AG$1001,0),1)&gt;=100000,INDEX($AN$1005:$BO$1005,1,MATCH(COLUMNS($AN$1006:BE1006),$AN$1006:$BO$1006,0))&gt;=100000), " ",IF(INDEX($AN$2:$BO$1001,MATCH(ROWS($AG$2:AG193),$AG$2:$AG$1001,0),MATCH(COLUMNS($AN$1006:BE1006),$AN$1006:$BO$1006,0)), HYPERLINK("#",""), HYPERLINK(CONCATENATE("#Metadata!", ADDRESS(INDEX($AI$2:$AI$1001,MATCH(ROWS($AG$2:AG193),$AG$2:$AG$1001,0),0), INDEX($AN$1004:$BO$1004,1,MATCH(COLUMNS($AN$1006:BE1006),$AN$1006:$BO$1006,0)))),"Fix")))</f>
        <v>0</v>
      </c>
      <c r="T193" s="4">
        <f>IF(OR(INDEX($AH$2:$AH$1001,MATCH(ROWS($AG$2:AG193),$AG$2:$AG$1001,0),1)&gt;=100000,INDEX($AN$1005:$BO$1005,1,MATCH(COLUMNS($AN$1006:BF1006),$AN$1006:$BO$1006,0))&gt;=100000), " ",IF(INDEX($AN$2:$BO$1001,MATCH(ROWS($AG$2:AG193),$AG$2:$AG$1001,0),MATCH(COLUMNS($AN$1006:BF1006),$AN$1006:$BO$1006,0)), HYPERLINK("#",""), HYPERLINK(CONCATENATE("#Metadata!", ADDRESS(INDEX($AI$2:$AI$1001,MATCH(ROWS($AG$2:AG193),$AG$2:$AG$1001,0),0), INDEX($AN$1004:$BO$1004,1,MATCH(COLUMNS($AN$1006:BF1006),$AN$1006:$BO$1006,0)))),"Fix")))</f>
        <v>0</v>
      </c>
      <c r="U193" s="4">
        <f>IF(OR(INDEX($AH$2:$AH$1001,MATCH(ROWS($AG$2:AG193),$AG$2:$AG$1001,0),1)&gt;=100000,INDEX($AN$1005:$BO$1005,1,MATCH(COLUMNS($AN$1006:BG1006),$AN$1006:$BO$1006,0))&gt;=100000), " ",IF(INDEX($AN$2:$BO$1001,MATCH(ROWS($AG$2:AG193),$AG$2:$AG$1001,0),MATCH(COLUMNS($AN$1006:BG1006),$AN$1006:$BO$1006,0)), HYPERLINK("#",""), HYPERLINK(CONCATENATE("#Metadata!", ADDRESS(INDEX($AI$2:$AI$1001,MATCH(ROWS($AG$2:AG193),$AG$2:$AG$1001,0),0), INDEX($AN$1004:$BO$1004,1,MATCH(COLUMNS($AN$1006:BG1006),$AN$1006:$BO$1006,0)))),"Fix")))</f>
        <v>0</v>
      </c>
      <c r="V193" s="4">
        <f>IF(OR(INDEX($AH$2:$AH$1001,MATCH(ROWS($AG$2:AG193),$AG$2:$AG$1001,0),1)&gt;=100000,INDEX($AN$1005:$BO$1005,1,MATCH(COLUMNS($AN$1006:BH1006),$AN$1006:$BO$1006,0))&gt;=100000), " ",IF(INDEX($AN$2:$BO$1001,MATCH(ROWS($AG$2:AG193),$AG$2:$AG$1001,0),MATCH(COLUMNS($AN$1006:BH1006),$AN$1006:$BO$1006,0)), HYPERLINK("#",""), HYPERLINK(CONCATENATE("#Metadata!", ADDRESS(INDEX($AI$2:$AI$1001,MATCH(ROWS($AG$2:AG193),$AG$2:$AG$1001,0),0), INDEX($AN$1004:$BO$1004,1,MATCH(COLUMNS($AN$1006:BH1006),$AN$1006:$BO$1006,0)))),"Fix")))</f>
        <v>0</v>
      </c>
      <c r="W193" s="4">
        <f>IF(OR(INDEX($AH$2:$AH$1001,MATCH(ROWS($AG$2:AG193),$AG$2:$AG$1001,0),1)&gt;=100000,INDEX($AN$1005:$BO$1005,1,MATCH(COLUMNS($AN$1006:BI1006),$AN$1006:$BO$1006,0))&gt;=100000), " ",IF(INDEX($AN$2:$BO$1001,MATCH(ROWS($AG$2:AG193),$AG$2:$AG$1001,0),MATCH(COLUMNS($AN$1006:BI1006),$AN$1006:$BO$1006,0)), HYPERLINK("#",""), HYPERLINK(CONCATENATE("#Metadata!", ADDRESS(INDEX($AI$2:$AI$1001,MATCH(ROWS($AG$2:AG193),$AG$2:$AG$1001,0),0), INDEX($AN$1004:$BO$1004,1,MATCH(COLUMNS($AN$1006:BI1006),$AN$1006:$BO$1006,0)))),"Fix")))</f>
        <v>0</v>
      </c>
      <c r="X193" s="4">
        <f>IF(OR(INDEX($AH$2:$AH$1001,MATCH(ROWS($AG$2:AG193),$AG$2:$AG$1001,0),1)&gt;=100000,INDEX($AN$1005:$BO$1005,1,MATCH(COLUMNS($AN$1006:BJ1006),$AN$1006:$BO$1006,0))&gt;=100000), " ",IF(INDEX($AN$2:$BO$1001,MATCH(ROWS($AG$2:AG193),$AG$2:$AG$1001,0),MATCH(COLUMNS($AN$1006:BJ1006),$AN$1006:$BO$1006,0)), HYPERLINK("#",""), HYPERLINK(CONCATENATE("#Metadata!", ADDRESS(INDEX($AI$2:$AI$1001,MATCH(ROWS($AG$2:AG193),$AG$2:$AG$1001,0),0), INDEX($AN$1004:$BO$1004,1,MATCH(COLUMNS($AN$1006:BJ1006),$AN$1006:$BO$1006,0)))),"Fix")))</f>
        <v>0</v>
      </c>
      <c r="Y193" s="4">
        <f>IF(OR(INDEX($AH$2:$AH$1001,MATCH(ROWS($AG$2:AG193),$AG$2:$AG$1001,0),1)&gt;=100000,INDEX($AN$1005:$BO$1005,1,MATCH(COLUMNS($AN$1006:BK1006),$AN$1006:$BO$1006,0))&gt;=100000), " ",IF(INDEX($AN$2:$BO$1001,MATCH(ROWS($AG$2:AG193),$AG$2:$AG$1001,0),MATCH(COLUMNS($AN$1006:BK1006),$AN$1006:$BO$1006,0)), HYPERLINK("#",""), HYPERLINK(CONCATENATE("#Metadata!", ADDRESS(INDEX($AI$2:$AI$1001,MATCH(ROWS($AG$2:AG193),$AG$2:$AG$1001,0),0), INDEX($AN$1004:$BO$1004,1,MATCH(COLUMNS($AN$1006:BK1006),$AN$1006:$BO$1006,0)))),"Fix")))</f>
        <v>0</v>
      </c>
      <c r="Z193" s="4">
        <f>IF(OR(INDEX($AH$2:$AH$1001,MATCH(ROWS($AG$2:AG193),$AG$2:$AG$1001,0),1)&gt;=100000,INDEX($AN$1005:$BO$1005,1,MATCH(COLUMNS($AN$1006:BL1006),$AN$1006:$BO$1006,0))&gt;=100000), " ",IF(INDEX($AN$2:$BO$1001,MATCH(ROWS($AG$2:AG193),$AG$2:$AG$1001,0),MATCH(COLUMNS($AN$1006:BL1006),$AN$1006:$BO$1006,0)), HYPERLINK("#",""), HYPERLINK(CONCATENATE("#Metadata!", ADDRESS(INDEX($AI$2:$AI$1001,MATCH(ROWS($AG$2:AG193),$AG$2:$AG$1001,0),0), INDEX($AN$1004:$BO$1004,1,MATCH(COLUMNS($AN$1006:BL1006),$AN$1006:$BO$1006,0)))),"Fix")))</f>
        <v>0</v>
      </c>
      <c r="AA193" s="4">
        <f>IF(OR(INDEX($AH$2:$AH$1001,MATCH(ROWS($AG$2:AG193),$AG$2:$AG$1001,0),1)&gt;=100000,INDEX($AN$1005:$BO$1005,1,MATCH(COLUMNS($AN$1006:BM1006),$AN$1006:$BO$1006,0))&gt;=100000), " ",IF(INDEX($AN$2:$BO$1001,MATCH(ROWS($AG$2:AG193),$AG$2:$AG$1001,0),MATCH(COLUMNS($AN$1006:BM1006),$AN$1006:$BO$1006,0)), HYPERLINK("#",""), HYPERLINK(CONCATENATE("#Metadata!", ADDRESS(INDEX($AI$2:$AI$1001,MATCH(ROWS($AG$2:AG193),$AG$2:$AG$1001,0),0), INDEX($AN$1004:$BO$1004,1,MATCH(COLUMNS($AN$1006:BM1006),$AN$1006:$BO$1006,0)))),"Fix")))</f>
        <v>0</v>
      </c>
      <c r="AB193" s="4">
        <f>IF(OR(INDEX($AH$2:$AH$1001,MATCH(ROWS($AG$2:AG193),$AG$2:$AG$1001,0),1)&gt;=100000,INDEX($AN$1005:$BO$1005,1,MATCH(COLUMNS($AN$1006:BN1006),$AN$1006:$BO$1006,0))&gt;=100000), " ",IF(INDEX($AN$2:$BO$1001,MATCH(ROWS($AG$2:AG193),$AG$2:$AG$1001,0),MATCH(COLUMNS($AN$1006:BN1006),$AN$1006:$BO$1006,0)), HYPERLINK("#",""), HYPERLINK(CONCATENATE("#Metadata!", ADDRESS(INDEX($AI$2:$AI$1001,MATCH(ROWS($AG$2:AG193),$AG$2:$AG$1001,0),0), INDEX($AN$1004:$BO$1004,1,MATCH(COLUMNS($AN$1006:BN1006),$AN$1006:$BO$1006,0)))),"Fix")))</f>
        <v>0</v>
      </c>
      <c r="AC193" s="4">
        <f>IF(OR(INDEX($AH$2:$AH$1001,MATCH(ROWS($AG$2:AG193),$AG$2:$AG$1001,0),1)&gt;=100000,INDEX($AN$1005:$BO$1005,1,MATCH(COLUMNS($AN$1006:BO1006),$AN$1006:$BO$1006,0))&gt;=100000), " ",IF(INDEX($AN$2:$BO$1001,MATCH(ROWS($AG$2:AG193),$AG$2:$AG$1001,0),MATCH(COLUMNS($AN$1006:BO1006),$AN$1006:$BO$1006,0)), HYPERLINK("#",""), HYPERLINK(CONCATENATE("#Metadata!", ADDRESS(INDEX($AI$2:$AI$1001,MATCH(ROWS($AG$2:AG193),$AG$2:$AG$1001,0),0), INDEX($AN$1004:$BO$1004,1,MATCH(COLUMNS($AN$1006:BO1006),$AN$1006:$BO$1006,0)))),"Fix")))</f>
        <v>0</v>
      </c>
      <c r="AG193">
        <v>0</v>
      </c>
      <c r="AH193">
        <v>0</v>
      </c>
      <c r="AI193">
        <v>0</v>
      </c>
      <c r="AJ193">
        <f>IF(AK193,TRUE,AND(AN193:BO193))</f>
        <v>0</v>
      </c>
      <c r="AK193">
        <f>COUNTBLANK(Metadata!B193:AC193)=COLUMNS(Metadata!B193:AC193)</f>
        <v>0</v>
      </c>
      <c r="AL193">
        <v>0</v>
      </c>
      <c r="AN193">
        <f>AND(IF(Metadata!B193="",FALSE,TRUE),COUNTIF(Metadata!B:B, Metadata!B193) = 1,NOT(ISERROR(SUMPRODUCT(SEARCH(MID(Metadata!B193,ROW(INDIRECT("1:"&amp;LEN(Metadata!B193))), 1),"0123456789abcdefghijklmnopqrstuvwxyzABCDEFGHIJKLMNOPQRSTUVWXYZ.")))))</f>
        <v>0</v>
      </c>
      <c r="AO193">
        <f>IF(Metadata!C193="",FALSE,TRUE)</f>
        <v>0</v>
      </c>
      <c r="AP193">
        <f>IF(Metadata!D193="",FALSE,TRUE)</f>
        <v>0</v>
      </c>
      <c r="AQ193">
        <f>OR(AND(IF(Metadata!E193="",FALSE,TRUE),OR(exact(Metadata!E193,"not collected"),exact(Metadata!E193,"not provided"),exact(Metadata!E193,"restricted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R193">
        <f>IF(Metadata!F193="",FALSE,TRUE)</f>
        <v>0</v>
      </c>
      <c r="AS193">
        <f>OR(AND(IF(Metadata!G193="",FALSE,TRUE),OR(exact(Metadata!G193,"not collected"),exact(Metadata!G193,"not provided"))),AND(IF(Metadata!G193="",FALSE,TRUE),OR(exact(Metadata!G193,"TRUE"),exact(Metadata!G193,"FALSE"))))</f>
        <v>0</v>
      </c>
      <c r="AT193">
        <f>OR(AND(IF(Metadata!H193="",FALSE,TRUE),OR(exact(Metadata!H193,"not collected"),exact(Metadata!H193,"not provided"),exact(Metadata!H193,"restricted access"))),AND(IF(Metadata!H193="",FALSE,ISNUMBER(VALUE(Metadata!H193))),Metadata!H193&gt;=-413.0))</f>
        <v>0</v>
      </c>
      <c r="AU193">
        <f>AND(IF(Metadata!I193="",FALSE,TRUE),exact(Metadata!I193,"meters"))</f>
        <v>0</v>
      </c>
      <c r="AV193">
        <f>AND(IF(Metadata!J193="",FALSE,TRUE),OR(exact(Metadata!J193,"Host-associated"),exact(Metadata!J193,"Free-living")))</f>
        <v>0</v>
      </c>
      <c r="AW193">
        <f>AND(IF(Metadata!K193="",FALSE,TRUE),OR(exact(Metadata!K193,"Animal"),exact(Metadata!K193,"Fungus"),exact(Metadata!K193,"Plant"),exact(Metadata!K193,"Saline"),exact(Metadata!K193,"Non-saline")))</f>
        <v>0</v>
      </c>
      <c r="AX193">
        <f>AND(IF(Metadata!L193="",FALSE,TRUE),OR(exact(Metadata!L193,"Plant secretion"),exact(Metadata!L193,"Plant rhizosphere"),exact(Metadata!L193,"Plant surface"),exact(Metadata!L193,"Plant corpus"),exact(Metadata!L193,"Fungus surface"),exact(Metadata!L193,"Fungus corpus"),exact(Metadata!L193,"Animal surface"),exact(Metadata!L193,"Animal proximal gut"),exact(Metadata!L193,"Animal corpus"),exact(Metadata!L193,"Animal distal gut"),exact(Metadata!L193,"Animal secretion"),exact(Metadata!L193,"Sub-surface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Y193">
        <f>IF(Metadata!M193="",FALSE,TRUE)</f>
        <v>0</v>
      </c>
      <c r="AZ193">
        <f>IF(Metadata!N193="",FALSE,TRUE)</f>
        <v>0</v>
      </c>
      <c r="BA193">
        <f>IF(Metadata!O193="",FALSE,TRUE)</f>
        <v>0</v>
      </c>
      <c r="BB193">
        <f>OR(AND(IF(Metadata!P193="",FALSE,TRUE),OR(exact(Metadata!P193,"not collected"),exact(Metadata!P193,"not provided"),exact(Metadata!P193,"restricted access"))),AND(IF(Metadata!P193="",FALSE,TRUE),OR(exact(Metadata!P193,"air"),exact(Metadata!P193,"built environment"),exact(Metadata!P193,"host-associated"),exact(Metadata!P193,"human-associated"),exact(Metadata!P193,"human-skin"),exact(Metadata!P193,"human-oral"),exact(Metadata!P193,"human-gut"),exact(Metadata!P193,"human-vaginal"),exact(Metadata!P193,"microbial mat/biofilm"),exact(Metadata!P193,"misc environment"),exact(Metadata!P193,"plant-associated"),exact(Metadata!P193,"sediment"),exact(Metadata!P193,"soil"),exact(Metadata!P193,"wastewater/sludge"),exact(Metadata!P193,"water"))))</f>
        <v>0</v>
      </c>
      <c r="BC193">
        <f>IF(Metadata!Q193="",FALSE,TRUE)</f>
        <v>0</v>
      </c>
      <c r="BD193">
        <f>IF(Metadata!R193="",FALSE,TRUE)</f>
        <v>0</v>
      </c>
      <c r="BE193">
        <f>OR(AND(IF(Metadata!S193="",FALSE,TRUE),OR(exact(Metadata!S193,"not collected"),exact(Metadata!S193,"not provided"),exact(Metadata!S193,"restricted access"))),AND(IF(Metadata!S193="",FALSE,ISNUMBER(VALUE(Metadata!S193))),Metadata!S193&gt;=-90.00,Metadata!S193&lt;=90.00))</f>
        <v>0</v>
      </c>
      <c r="BF193">
        <f>AND(IF(Metadata!T193="",FALSE,TRUE),exact(Metadata!T193,"Decimal degrees"))</f>
        <v>0</v>
      </c>
      <c r="BG193">
        <f>OR(AND(IF(Metadata!U193="",FALSE,TRUE),OR(exact(Metadata!U193,"not collected"),exact(Metadata!U193,"not provided"),exact(Metadata!U193,"restricted access"))),AND(IF(Metadata!U193="",FALSE,ISNUMBER(VALUE(Metadata!U193))),Metadata!U193&gt;=-180.00,Metadata!U193&lt;=180.00))</f>
        <v>0</v>
      </c>
      <c r="BH193">
        <f>AND(IF(Metadata!V193="",FALSE,TRUE),exact(Metadata!V193,"Decimal degrees"))</f>
        <v>0</v>
      </c>
      <c r="BI193">
        <f>IF(Metadata!W193="",FALSE,TRUE)</f>
        <v>0</v>
      </c>
      <c r="BJ193">
        <f>OR(AND(IF(Metadata!X193="",FALSE,TRUE),OR(exact(Metadata!X193,"not collected"),exact(Metadata!X193,"not provided"),exact(Metadata!X193,"restricted access"))),AND(IF(Metadata!X193="",FALSE,TRUE),OR(exact(Metadata!X193,"TRUE"),exact(Metadata!X193,"FALSE"))))</f>
        <v>0</v>
      </c>
      <c r="BK193">
        <f>AND(IF(Metadata!Y193="",FALSE,TRUE),exact(Metadata!Y193,"other"))</f>
        <v>0</v>
      </c>
      <c r="BL193">
        <f>IF(Metadata!Z193="",FALSE,TRUE)</f>
        <v>0</v>
      </c>
      <c r="BM193">
        <f>OR(AND(IF(Metadata!AA193="",FALSE,TRUE),OR(exact(Metadata!AA193,"not collected"),exact(Metadata!AA193,"not provided"))),AND(IF(Metadata!AA193="",FALSE,IF(ISERROR(INT(Metadata!AA193)),FALSE,INT(Metadata!AA193)=Metadata!AA193)),Metadata!AA193&gt;0))</f>
        <v>0</v>
      </c>
      <c r="BN193">
        <f>AND(IF(Metadata!AB193="",FALSE,TRUE),exact(Metadata!AB193,"Not applicable"))</f>
        <v>0</v>
      </c>
      <c r="BO193">
        <f>IF(Metadata!AC193="",FALSE,TRUE)</f>
        <v>0</v>
      </c>
    </row>
    <row r="194" spans="1:67">
      <c r="A194" s="5">
        <f>IF(B194=" "," ",HYPERLINK(CONCATENATE("#metadata!",ADDRESS(INDEX($AI$2:$AI$1001,MATCH(ROWS($AG$2:AG194),$AG$2:$AG$1001,0),0),1)),INDEX($AL$2:$AL$1001,MATCH(ROWS($AG$2:AG194),$AG$2:$AG$1001,0),0)))</f>
        <v>0</v>
      </c>
      <c r="B194" s="4">
        <f>IF(OR(INDEX($AH$2:$AH$1001,MATCH(ROWS($AG$2:AG194),$AG$2:$AG$1001,0),1)&gt;=100000,INDEX($AN$1005:$BO$1005,1,MATCH(COLUMNS($AN$1006:AN1006),$AN$1006:$BO$1006,0))&gt;=100000), " ",IF(INDEX($AN$2:$BO$1001,MATCH(ROWS($AG$2:AG194),$AG$2:$AG$1001,0),MATCH(COLUMNS($AN$1006:AN1006),$AN$1006:$BO$1006,0)), HYPERLINK("#",""), HYPERLINK(CONCATENATE("#Metadata!", ADDRESS(INDEX($AI$2:$AI$1001,MATCH(ROWS($AG$2:AG194),$AG$2:$AG$1001,0),0), INDEX($AN$1004:$BO$1004,1,MATCH(COLUMNS($AN$1006:AN1006),$AN$1006:$BO$1006,0)))),"Fix")))</f>
        <v>0</v>
      </c>
      <c r="C194" s="4">
        <f>IF(OR(INDEX($AH$2:$AH$1001,MATCH(ROWS($AG$2:AG194),$AG$2:$AG$1001,0),1)&gt;=100000,INDEX($AN$1005:$BO$1005,1,MATCH(COLUMNS($AN$1006:AO1006),$AN$1006:$BO$1006,0))&gt;=100000), " ",IF(INDEX($AN$2:$BO$1001,MATCH(ROWS($AG$2:AG194),$AG$2:$AG$1001,0),MATCH(COLUMNS($AN$1006:AO1006),$AN$1006:$BO$1006,0)), HYPERLINK("#",""), HYPERLINK(CONCATENATE("#Metadata!", ADDRESS(INDEX($AI$2:$AI$1001,MATCH(ROWS($AG$2:AG194),$AG$2:$AG$1001,0),0), INDEX($AN$1004:$BO$1004,1,MATCH(COLUMNS($AN$1006:AO1006),$AN$1006:$BO$1006,0)))),"Fix")))</f>
        <v>0</v>
      </c>
      <c r="D194" s="4">
        <f>IF(OR(INDEX($AH$2:$AH$1001,MATCH(ROWS($AG$2:AG194),$AG$2:$AG$1001,0),1)&gt;=100000,INDEX($AN$1005:$BO$1005,1,MATCH(COLUMNS($AN$1006:AP1006),$AN$1006:$BO$1006,0))&gt;=100000), " ",IF(INDEX($AN$2:$BO$1001,MATCH(ROWS($AG$2:AG194),$AG$2:$AG$1001,0),MATCH(COLUMNS($AN$1006:AP1006),$AN$1006:$BO$1006,0)), HYPERLINK("#",""), HYPERLINK(CONCATENATE("#Metadata!", ADDRESS(INDEX($AI$2:$AI$1001,MATCH(ROWS($AG$2:AG194),$AG$2:$AG$1001,0),0), INDEX($AN$1004:$BO$1004,1,MATCH(COLUMNS($AN$1006:AP1006),$AN$1006:$BO$1006,0)))),"Fix")))</f>
        <v>0</v>
      </c>
      <c r="E194" s="4">
        <f>IF(OR(INDEX($AH$2:$AH$1001,MATCH(ROWS($AG$2:AG194),$AG$2:$AG$1001,0),1)&gt;=100000,INDEX($AN$1005:$BO$1005,1,MATCH(COLUMNS($AN$1006:AQ1006),$AN$1006:$BO$1006,0))&gt;=100000), " ",IF(INDEX($AN$2:$BO$1001,MATCH(ROWS($AG$2:AG194),$AG$2:$AG$1001,0),MATCH(COLUMNS($AN$1006:AQ1006),$AN$1006:$BO$1006,0)), HYPERLINK("#",""), HYPERLINK(CONCATENATE("#Metadata!", ADDRESS(INDEX($AI$2:$AI$1001,MATCH(ROWS($AG$2:AG194),$AG$2:$AG$1001,0),0), INDEX($AN$1004:$BO$1004,1,MATCH(COLUMNS($AN$1006:AQ1006),$AN$1006:$BO$1006,0)))),"Fix")))</f>
        <v>0</v>
      </c>
      <c r="F194" s="4">
        <f>IF(OR(INDEX($AH$2:$AH$1001,MATCH(ROWS($AG$2:AG194),$AG$2:$AG$1001,0),1)&gt;=100000,INDEX($AN$1005:$BO$1005,1,MATCH(COLUMNS($AN$1006:AR1006),$AN$1006:$BO$1006,0))&gt;=100000), " ",IF(INDEX($AN$2:$BO$1001,MATCH(ROWS($AG$2:AG194),$AG$2:$AG$1001,0),MATCH(COLUMNS($AN$1006:AR1006),$AN$1006:$BO$1006,0)), HYPERLINK("#",""), HYPERLINK(CONCATENATE("#Metadata!", ADDRESS(INDEX($AI$2:$AI$1001,MATCH(ROWS($AG$2:AG194),$AG$2:$AG$1001,0),0), INDEX($AN$1004:$BO$1004,1,MATCH(COLUMNS($AN$1006:AR1006),$AN$1006:$BO$1006,0)))),"Fix")))</f>
        <v>0</v>
      </c>
      <c r="G194" s="4">
        <f>IF(OR(INDEX($AH$2:$AH$1001,MATCH(ROWS($AG$2:AG194),$AG$2:$AG$1001,0),1)&gt;=100000,INDEX($AN$1005:$BO$1005,1,MATCH(COLUMNS($AN$1006:AS1006),$AN$1006:$BO$1006,0))&gt;=100000), " ",IF(INDEX($AN$2:$BO$1001,MATCH(ROWS($AG$2:AG194),$AG$2:$AG$1001,0),MATCH(COLUMNS($AN$1006:AS1006),$AN$1006:$BO$1006,0)), HYPERLINK("#",""), HYPERLINK(CONCATENATE("#Metadata!", ADDRESS(INDEX($AI$2:$AI$1001,MATCH(ROWS($AG$2:AG194),$AG$2:$AG$1001,0),0), INDEX($AN$1004:$BO$1004,1,MATCH(COLUMNS($AN$1006:AS1006),$AN$1006:$BO$1006,0)))),"Fix")))</f>
        <v>0</v>
      </c>
      <c r="H194" s="4">
        <f>IF(OR(INDEX($AH$2:$AH$1001,MATCH(ROWS($AG$2:AG194),$AG$2:$AG$1001,0),1)&gt;=100000,INDEX($AN$1005:$BO$1005,1,MATCH(COLUMNS($AN$1006:AT1006),$AN$1006:$BO$1006,0))&gt;=100000), " ",IF(INDEX($AN$2:$BO$1001,MATCH(ROWS($AG$2:AG194),$AG$2:$AG$1001,0),MATCH(COLUMNS($AN$1006:AT1006),$AN$1006:$BO$1006,0)), HYPERLINK("#",""), HYPERLINK(CONCATENATE("#Metadata!", ADDRESS(INDEX($AI$2:$AI$1001,MATCH(ROWS($AG$2:AG194),$AG$2:$AG$1001,0),0), INDEX($AN$1004:$BO$1004,1,MATCH(COLUMNS($AN$1006:AT1006),$AN$1006:$BO$1006,0)))),"Fix")))</f>
        <v>0</v>
      </c>
      <c r="I194" s="4">
        <f>IF(OR(INDEX($AH$2:$AH$1001,MATCH(ROWS($AG$2:AG194),$AG$2:$AG$1001,0),1)&gt;=100000,INDEX($AN$1005:$BO$1005,1,MATCH(COLUMNS($AN$1006:AU1006),$AN$1006:$BO$1006,0))&gt;=100000), " ",IF(INDEX($AN$2:$BO$1001,MATCH(ROWS($AG$2:AG194),$AG$2:$AG$1001,0),MATCH(COLUMNS($AN$1006:AU1006),$AN$1006:$BO$1006,0)), HYPERLINK("#",""), HYPERLINK(CONCATENATE("#Metadata!", ADDRESS(INDEX($AI$2:$AI$1001,MATCH(ROWS($AG$2:AG194),$AG$2:$AG$1001,0),0), INDEX($AN$1004:$BO$1004,1,MATCH(COLUMNS($AN$1006:AU1006),$AN$1006:$BO$1006,0)))),"Fix")))</f>
        <v>0</v>
      </c>
      <c r="J194" s="4">
        <f>IF(OR(INDEX($AH$2:$AH$1001,MATCH(ROWS($AG$2:AG194),$AG$2:$AG$1001,0),1)&gt;=100000,INDEX($AN$1005:$BO$1005,1,MATCH(COLUMNS($AN$1006:AV1006),$AN$1006:$BO$1006,0))&gt;=100000), " ",IF(INDEX($AN$2:$BO$1001,MATCH(ROWS($AG$2:AG194),$AG$2:$AG$1001,0),MATCH(COLUMNS($AN$1006:AV1006),$AN$1006:$BO$1006,0)), HYPERLINK("#",""), HYPERLINK(CONCATENATE("#Metadata!", ADDRESS(INDEX($AI$2:$AI$1001,MATCH(ROWS($AG$2:AG194),$AG$2:$AG$1001,0),0), INDEX($AN$1004:$BO$1004,1,MATCH(COLUMNS($AN$1006:AV1006),$AN$1006:$BO$1006,0)))),"Fix")))</f>
        <v>0</v>
      </c>
      <c r="K194" s="4">
        <f>IF(OR(INDEX($AH$2:$AH$1001,MATCH(ROWS($AG$2:AG194),$AG$2:$AG$1001,0),1)&gt;=100000,INDEX($AN$1005:$BO$1005,1,MATCH(COLUMNS($AN$1006:AW1006),$AN$1006:$BO$1006,0))&gt;=100000), " ",IF(INDEX($AN$2:$BO$1001,MATCH(ROWS($AG$2:AG194),$AG$2:$AG$1001,0),MATCH(COLUMNS($AN$1006:AW1006),$AN$1006:$BO$1006,0)), HYPERLINK("#",""), HYPERLINK(CONCATENATE("#Metadata!", ADDRESS(INDEX($AI$2:$AI$1001,MATCH(ROWS($AG$2:AG194),$AG$2:$AG$1001,0),0), INDEX($AN$1004:$BO$1004,1,MATCH(COLUMNS($AN$1006:AW1006),$AN$1006:$BO$1006,0)))),"Fix")))</f>
        <v>0</v>
      </c>
      <c r="L194" s="4">
        <f>IF(OR(INDEX($AH$2:$AH$1001,MATCH(ROWS($AG$2:AG194),$AG$2:$AG$1001,0),1)&gt;=100000,INDEX($AN$1005:$BO$1005,1,MATCH(COLUMNS($AN$1006:AX1006),$AN$1006:$BO$1006,0))&gt;=100000), " ",IF(INDEX($AN$2:$BO$1001,MATCH(ROWS($AG$2:AG194),$AG$2:$AG$1001,0),MATCH(COLUMNS($AN$1006:AX1006),$AN$1006:$BO$1006,0)), HYPERLINK("#",""), HYPERLINK(CONCATENATE("#Metadata!", ADDRESS(INDEX($AI$2:$AI$1001,MATCH(ROWS($AG$2:AG194),$AG$2:$AG$1001,0),0), INDEX($AN$1004:$BO$1004,1,MATCH(COLUMNS($AN$1006:AX1006),$AN$1006:$BO$1006,0)))),"Fix")))</f>
        <v>0</v>
      </c>
      <c r="M194" s="4">
        <f>IF(OR(INDEX($AH$2:$AH$1001,MATCH(ROWS($AG$2:AG194),$AG$2:$AG$1001,0),1)&gt;=100000,INDEX($AN$1005:$BO$1005,1,MATCH(COLUMNS($AN$1006:AY1006),$AN$1006:$BO$1006,0))&gt;=100000), " ",IF(INDEX($AN$2:$BO$1001,MATCH(ROWS($AG$2:AG194),$AG$2:$AG$1001,0),MATCH(COLUMNS($AN$1006:AY1006),$AN$1006:$BO$1006,0)), HYPERLINK("#",""), HYPERLINK(CONCATENATE("#Metadata!", ADDRESS(INDEX($AI$2:$AI$1001,MATCH(ROWS($AG$2:AG194),$AG$2:$AG$1001,0),0), INDEX($AN$1004:$BO$1004,1,MATCH(COLUMNS($AN$1006:AY1006),$AN$1006:$BO$1006,0)))),"Fix")))</f>
        <v>0</v>
      </c>
      <c r="N194" s="4">
        <f>IF(OR(INDEX($AH$2:$AH$1001,MATCH(ROWS($AG$2:AG194),$AG$2:$AG$1001,0),1)&gt;=100000,INDEX($AN$1005:$BO$1005,1,MATCH(COLUMNS($AN$1006:AZ1006),$AN$1006:$BO$1006,0))&gt;=100000), " ",IF(INDEX($AN$2:$BO$1001,MATCH(ROWS($AG$2:AG194),$AG$2:$AG$1001,0),MATCH(COLUMNS($AN$1006:AZ1006),$AN$1006:$BO$1006,0)), HYPERLINK("#",""), HYPERLINK(CONCATENATE("#Metadata!", ADDRESS(INDEX($AI$2:$AI$1001,MATCH(ROWS($AG$2:AG194),$AG$2:$AG$1001,0),0), INDEX($AN$1004:$BO$1004,1,MATCH(COLUMNS($AN$1006:AZ1006),$AN$1006:$BO$1006,0)))),"Fix")))</f>
        <v>0</v>
      </c>
      <c r="O194" s="4">
        <f>IF(OR(INDEX($AH$2:$AH$1001,MATCH(ROWS($AG$2:AG194),$AG$2:$AG$1001,0),1)&gt;=100000,INDEX($AN$1005:$BO$1005,1,MATCH(COLUMNS($AN$1006:BA1006),$AN$1006:$BO$1006,0))&gt;=100000), " ",IF(INDEX($AN$2:$BO$1001,MATCH(ROWS($AG$2:AG194),$AG$2:$AG$1001,0),MATCH(COLUMNS($AN$1006:BA1006),$AN$1006:$BO$1006,0)), HYPERLINK("#",""), HYPERLINK(CONCATENATE("#Metadata!", ADDRESS(INDEX($AI$2:$AI$1001,MATCH(ROWS($AG$2:AG194),$AG$2:$AG$1001,0),0), INDEX($AN$1004:$BO$1004,1,MATCH(COLUMNS($AN$1006:BA1006),$AN$1006:$BO$1006,0)))),"Fix")))</f>
        <v>0</v>
      </c>
      <c r="P194" s="4">
        <f>IF(OR(INDEX($AH$2:$AH$1001,MATCH(ROWS($AG$2:AG194),$AG$2:$AG$1001,0),1)&gt;=100000,INDEX($AN$1005:$BO$1005,1,MATCH(COLUMNS($AN$1006:BB1006),$AN$1006:$BO$1006,0))&gt;=100000), " ",IF(INDEX($AN$2:$BO$1001,MATCH(ROWS($AG$2:AG194),$AG$2:$AG$1001,0),MATCH(COLUMNS($AN$1006:BB1006),$AN$1006:$BO$1006,0)), HYPERLINK("#",""), HYPERLINK(CONCATENATE("#Metadata!", ADDRESS(INDEX($AI$2:$AI$1001,MATCH(ROWS($AG$2:AG194),$AG$2:$AG$1001,0),0), INDEX($AN$1004:$BO$1004,1,MATCH(COLUMNS($AN$1006:BB1006),$AN$1006:$BO$1006,0)))),"Fix")))</f>
        <v>0</v>
      </c>
      <c r="Q194" s="4">
        <f>IF(OR(INDEX($AH$2:$AH$1001,MATCH(ROWS($AG$2:AG194),$AG$2:$AG$1001,0),1)&gt;=100000,INDEX($AN$1005:$BO$1005,1,MATCH(COLUMNS($AN$1006:BC1006),$AN$1006:$BO$1006,0))&gt;=100000), " ",IF(INDEX($AN$2:$BO$1001,MATCH(ROWS($AG$2:AG194),$AG$2:$AG$1001,0),MATCH(COLUMNS($AN$1006:BC1006),$AN$1006:$BO$1006,0)), HYPERLINK("#",""), HYPERLINK(CONCATENATE("#Metadata!", ADDRESS(INDEX($AI$2:$AI$1001,MATCH(ROWS($AG$2:AG194),$AG$2:$AG$1001,0),0), INDEX($AN$1004:$BO$1004,1,MATCH(COLUMNS($AN$1006:BC1006),$AN$1006:$BO$1006,0)))),"Fix")))</f>
        <v>0</v>
      </c>
      <c r="R194" s="4">
        <f>IF(OR(INDEX($AH$2:$AH$1001,MATCH(ROWS($AG$2:AG194),$AG$2:$AG$1001,0),1)&gt;=100000,INDEX($AN$1005:$BO$1005,1,MATCH(COLUMNS($AN$1006:BD1006),$AN$1006:$BO$1006,0))&gt;=100000), " ",IF(INDEX($AN$2:$BO$1001,MATCH(ROWS($AG$2:AG194),$AG$2:$AG$1001,0),MATCH(COLUMNS($AN$1006:BD1006),$AN$1006:$BO$1006,0)), HYPERLINK("#",""), HYPERLINK(CONCATENATE("#Metadata!", ADDRESS(INDEX($AI$2:$AI$1001,MATCH(ROWS($AG$2:AG194),$AG$2:$AG$1001,0),0), INDEX($AN$1004:$BO$1004,1,MATCH(COLUMNS($AN$1006:BD1006),$AN$1006:$BO$1006,0)))),"Fix")))</f>
        <v>0</v>
      </c>
      <c r="S194" s="4">
        <f>IF(OR(INDEX($AH$2:$AH$1001,MATCH(ROWS($AG$2:AG194),$AG$2:$AG$1001,0),1)&gt;=100000,INDEX($AN$1005:$BO$1005,1,MATCH(COLUMNS($AN$1006:BE1006),$AN$1006:$BO$1006,0))&gt;=100000), " ",IF(INDEX($AN$2:$BO$1001,MATCH(ROWS($AG$2:AG194),$AG$2:$AG$1001,0),MATCH(COLUMNS($AN$1006:BE1006),$AN$1006:$BO$1006,0)), HYPERLINK("#",""), HYPERLINK(CONCATENATE("#Metadata!", ADDRESS(INDEX($AI$2:$AI$1001,MATCH(ROWS($AG$2:AG194),$AG$2:$AG$1001,0),0), INDEX($AN$1004:$BO$1004,1,MATCH(COLUMNS($AN$1006:BE1006),$AN$1006:$BO$1006,0)))),"Fix")))</f>
        <v>0</v>
      </c>
      <c r="T194" s="4">
        <f>IF(OR(INDEX($AH$2:$AH$1001,MATCH(ROWS($AG$2:AG194),$AG$2:$AG$1001,0),1)&gt;=100000,INDEX($AN$1005:$BO$1005,1,MATCH(COLUMNS($AN$1006:BF1006),$AN$1006:$BO$1006,0))&gt;=100000), " ",IF(INDEX($AN$2:$BO$1001,MATCH(ROWS($AG$2:AG194),$AG$2:$AG$1001,0),MATCH(COLUMNS($AN$1006:BF1006),$AN$1006:$BO$1006,0)), HYPERLINK("#",""), HYPERLINK(CONCATENATE("#Metadata!", ADDRESS(INDEX($AI$2:$AI$1001,MATCH(ROWS($AG$2:AG194),$AG$2:$AG$1001,0),0), INDEX($AN$1004:$BO$1004,1,MATCH(COLUMNS($AN$1006:BF1006),$AN$1006:$BO$1006,0)))),"Fix")))</f>
        <v>0</v>
      </c>
      <c r="U194" s="4">
        <f>IF(OR(INDEX($AH$2:$AH$1001,MATCH(ROWS($AG$2:AG194),$AG$2:$AG$1001,0),1)&gt;=100000,INDEX($AN$1005:$BO$1005,1,MATCH(COLUMNS($AN$1006:BG1006),$AN$1006:$BO$1006,0))&gt;=100000), " ",IF(INDEX($AN$2:$BO$1001,MATCH(ROWS($AG$2:AG194),$AG$2:$AG$1001,0),MATCH(COLUMNS($AN$1006:BG1006),$AN$1006:$BO$1006,0)), HYPERLINK("#",""), HYPERLINK(CONCATENATE("#Metadata!", ADDRESS(INDEX($AI$2:$AI$1001,MATCH(ROWS($AG$2:AG194),$AG$2:$AG$1001,0),0), INDEX($AN$1004:$BO$1004,1,MATCH(COLUMNS($AN$1006:BG1006),$AN$1006:$BO$1006,0)))),"Fix")))</f>
        <v>0</v>
      </c>
      <c r="V194" s="4">
        <f>IF(OR(INDEX($AH$2:$AH$1001,MATCH(ROWS($AG$2:AG194),$AG$2:$AG$1001,0),1)&gt;=100000,INDEX($AN$1005:$BO$1005,1,MATCH(COLUMNS($AN$1006:BH1006),$AN$1006:$BO$1006,0))&gt;=100000), " ",IF(INDEX($AN$2:$BO$1001,MATCH(ROWS($AG$2:AG194),$AG$2:$AG$1001,0),MATCH(COLUMNS($AN$1006:BH1006),$AN$1006:$BO$1006,0)), HYPERLINK("#",""), HYPERLINK(CONCATENATE("#Metadata!", ADDRESS(INDEX($AI$2:$AI$1001,MATCH(ROWS($AG$2:AG194),$AG$2:$AG$1001,0),0), INDEX($AN$1004:$BO$1004,1,MATCH(COLUMNS($AN$1006:BH1006),$AN$1006:$BO$1006,0)))),"Fix")))</f>
        <v>0</v>
      </c>
      <c r="W194" s="4">
        <f>IF(OR(INDEX($AH$2:$AH$1001,MATCH(ROWS($AG$2:AG194),$AG$2:$AG$1001,0),1)&gt;=100000,INDEX($AN$1005:$BO$1005,1,MATCH(COLUMNS($AN$1006:BI1006),$AN$1006:$BO$1006,0))&gt;=100000), " ",IF(INDEX($AN$2:$BO$1001,MATCH(ROWS($AG$2:AG194),$AG$2:$AG$1001,0),MATCH(COLUMNS($AN$1006:BI1006),$AN$1006:$BO$1006,0)), HYPERLINK("#",""), HYPERLINK(CONCATENATE("#Metadata!", ADDRESS(INDEX($AI$2:$AI$1001,MATCH(ROWS($AG$2:AG194),$AG$2:$AG$1001,0),0), INDEX($AN$1004:$BO$1004,1,MATCH(COLUMNS($AN$1006:BI1006),$AN$1006:$BO$1006,0)))),"Fix")))</f>
        <v>0</v>
      </c>
      <c r="X194" s="4">
        <f>IF(OR(INDEX($AH$2:$AH$1001,MATCH(ROWS($AG$2:AG194),$AG$2:$AG$1001,0),1)&gt;=100000,INDEX($AN$1005:$BO$1005,1,MATCH(COLUMNS($AN$1006:BJ1006),$AN$1006:$BO$1006,0))&gt;=100000), " ",IF(INDEX($AN$2:$BO$1001,MATCH(ROWS($AG$2:AG194),$AG$2:$AG$1001,0),MATCH(COLUMNS($AN$1006:BJ1006),$AN$1006:$BO$1006,0)), HYPERLINK("#",""), HYPERLINK(CONCATENATE("#Metadata!", ADDRESS(INDEX($AI$2:$AI$1001,MATCH(ROWS($AG$2:AG194),$AG$2:$AG$1001,0),0), INDEX($AN$1004:$BO$1004,1,MATCH(COLUMNS($AN$1006:BJ1006),$AN$1006:$BO$1006,0)))),"Fix")))</f>
        <v>0</v>
      </c>
      <c r="Y194" s="4">
        <f>IF(OR(INDEX($AH$2:$AH$1001,MATCH(ROWS($AG$2:AG194),$AG$2:$AG$1001,0),1)&gt;=100000,INDEX($AN$1005:$BO$1005,1,MATCH(COLUMNS($AN$1006:BK1006),$AN$1006:$BO$1006,0))&gt;=100000), " ",IF(INDEX($AN$2:$BO$1001,MATCH(ROWS($AG$2:AG194),$AG$2:$AG$1001,0),MATCH(COLUMNS($AN$1006:BK1006),$AN$1006:$BO$1006,0)), HYPERLINK("#",""), HYPERLINK(CONCATENATE("#Metadata!", ADDRESS(INDEX($AI$2:$AI$1001,MATCH(ROWS($AG$2:AG194),$AG$2:$AG$1001,0),0), INDEX($AN$1004:$BO$1004,1,MATCH(COLUMNS($AN$1006:BK1006),$AN$1006:$BO$1006,0)))),"Fix")))</f>
        <v>0</v>
      </c>
      <c r="Z194" s="4">
        <f>IF(OR(INDEX($AH$2:$AH$1001,MATCH(ROWS($AG$2:AG194),$AG$2:$AG$1001,0),1)&gt;=100000,INDEX($AN$1005:$BO$1005,1,MATCH(COLUMNS($AN$1006:BL1006),$AN$1006:$BO$1006,0))&gt;=100000), " ",IF(INDEX($AN$2:$BO$1001,MATCH(ROWS($AG$2:AG194),$AG$2:$AG$1001,0),MATCH(COLUMNS($AN$1006:BL1006),$AN$1006:$BO$1006,0)), HYPERLINK("#",""), HYPERLINK(CONCATENATE("#Metadata!", ADDRESS(INDEX($AI$2:$AI$1001,MATCH(ROWS($AG$2:AG194),$AG$2:$AG$1001,0),0), INDEX($AN$1004:$BO$1004,1,MATCH(COLUMNS($AN$1006:BL1006),$AN$1006:$BO$1006,0)))),"Fix")))</f>
        <v>0</v>
      </c>
      <c r="AA194" s="4">
        <f>IF(OR(INDEX($AH$2:$AH$1001,MATCH(ROWS($AG$2:AG194),$AG$2:$AG$1001,0),1)&gt;=100000,INDEX($AN$1005:$BO$1005,1,MATCH(COLUMNS($AN$1006:BM1006),$AN$1006:$BO$1006,0))&gt;=100000), " ",IF(INDEX($AN$2:$BO$1001,MATCH(ROWS($AG$2:AG194),$AG$2:$AG$1001,0),MATCH(COLUMNS($AN$1006:BM1006),$AN$1006:$BO$1006,0)), HYPERLINK("#",""), HYPERLINK(CONCATENATE("#Metadata!", ADDRESS(INDEX($AI$2:$AI$1001,MATCH(ROWS($AG$2:AG194),$AG$2:$AG$1001,0),0), INDEX($AN$1004:$BO$1004,1,MATCH(COLUMNS($AN$1006:BM1006),$AN$1006:$BO$1006,0)))),"Fix")))</f>
        <v>0</v>
      </c>
      <c r="AB194" s="4">
        <f>IF(OR(INDEX($AH$2:$AH$1001,MATCH(ROWS($AG$2:AG194),$AG$2:$AG$1001,0),1)&gt;=100000,INDEX($AN$1005:$BO$1005,1,MATCH(COLUMNS($AN$1006:BN1006),$AN$1006:$BO$1006,0))&gt;=100000), " ",IF(INDEX($AN$2:$BO$1001,MATCH(ROWS($AG$2:AG194),$AG$2:$AG$1001,0),MATCH(COLUMNS($AN$1006:BN1006),$AN$1006:$BO$1006,0)), HYPERLINK("#",""), HYPERLINK(CONCATENATE("#Metadata!", ADDRESS(INDEX($AI$2:$AI$1001,MATCH(ROWS($AG$2:AG194),$AG$2:$AG$1001,0),0), INDEX($AN$1004:$BO$1004,1,MATCH(COLUMNS($AN$1006:BN1006),$AN$1006:$BO$1006,0)))),"Fix")))</f>
        <v>0</v>
      </c>
      <c r="AC194" s="4">
        <f>IF(OR(INDEX($AH$2:$AH$1001,MATCH(ROWS($AG$2:AG194),$AG$2:$AG$1001,0),1)&gt;=100000,INDEX($AN$1005:$BO$1005,1,MATCH(COLUMNS($AN$1006:BO1006),$AN$1006:$BO$1006,0))&gt;=100000), " ",IF(INDEX($AN$2:$BO$1001,MATCH(ROWS($AG$2:AG194),$AG$2:$AG$1001,0),MATCH(COLUMNS($AN$1006:BO1006),$AN$1006:$BO$1006,0)), HYPERLINK("#",""), HYPERLINK(CONCATENATE("#Metadata!", ADDRESS(INDEX($AI$2:$AI$1001,MATCH(ROWS($AG$2:AG194),$AG$2:$AG$1001,0),0), INDEX($AN$1004:$BO$1004,1,MATCH(COLUMNS($AN$1006:BO1006),$AN$1006:$BO$1006,0)))),"Fix")))</f>
        <v>0</v>
      </c>
      <c r="AG194">
        <v>0</v>
      </c>
      <c r="AH194">
        <v>0</v>
      </c>
      <c r="AI194">
        <v>0</v>
      </c>
      <c r="AJ194">
        <f>IF(AK194,TRUE,AND(AN194:BO194))</f>
        <v>0</v>
      </c>
      <c r="AK194">
        <f>COUNTBLANK(Metadata!B194:AC194)=COLUMNS(Metadata!B194:AC194)</f>
        <v>0</v>
      </c>
      <c r="AL194">
        <v>0</v>
      </c>
      <c r="AN194">
        <f>AND(IF(Metadata!B194="",FALSE,TRUE),COUNTIF(Metadata!B:B, Metadata!B194) = 1,NOT(ISERROR(SUMPRODUCT(SEARCH(MID(Metadata!B194,ROW(INDIRECT("1:"&amp;LEN(Metadata!B194))), 1),"0123456789abcdefghijklmnopqrstuvwxyzABCDEFGHIJKLMNOPQRSTUVWXYZ.")))))</f>
        <v>0</v>
      </c>
      <c r="AO194">
        <f>IF(Metadata!C194="",FALSE,TRUE)</f>
        <v>0</v>
      </c>
      <c r="AP194">
        <f>IF(Metadata!D194="",FALSE,TRUE)</f>
        <v>0</v>
      </c>
      <c r="AQ194">
        <f>OR(AND(IF(Metadata!E194="",FALSE,TRUE),OR(exact(Metadata!E194,"not collected"),exact(Metadata!E194,"not provided"),exact(Metadata!E194,"restricted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R194">
        <f>IF(Metadata!F194="",FALSE,TRUE)</f>
        <v>0</v>
      </c>
      <c r="AS194">
        <f>OR(AND(IF(Metadata!G194="",FALSE,TRUE),OR(exact(Metadata!G194,"not collected"),exact(Metadata!G194,"not provided"))),AND(IF(Metadata!G194="",FALSE,TRUE),OR(exact(Metadata!G194,"TRUE"),exact(Metadata!G194,"FALSE"))))</f>
        <v>0</v>
      </c>
      <c r="AT194">
        <f>OR(AND(IF(Metadata!H194="",FALSE,TRUE),OR(exact(Metadata!H194,"not collected"),exact(Metadata!H194,"not provided"),exact(Metadata!H194,"restricted access"))),AND(IF(Metadata!H194="",FALSE,ISNUMBER(VALUE(Metadata!H194))),Metadata!H194&gt;=-413.0))</f>
        <v>0</v>
      </c>
      <c r="AU194">
        <f>AND(IF(Metadata!I194="",FALSE,TRUE),exact(Metadata!I194,"meters"))</f>
        <v>0</v>
      </c>
      <c r="AV194">
        <f>AND(IF(Metadata!J194="",FALSE,TRUE),OR(exact(Metadata!J194,"Host-associated"),exact(Metadata!J194,"Free-living")))</f>
        <v>0</v>
      </c>
      <c r="AW194">
        <f>AND(IF(Metadata!K194="",FALSE,TRUE),OR(exact(Metadata!K194,"Animal"),exact(Metadata!K194,"Fungus"),exact(Metadata!K194,"Plant"),exact(Metadata!K194,"Saline"),exact(Metadata!K194,"Non-saline")))</f>
        <v>0</v>
      </c>
      <c r="AX194">
        <f>AND(IF(Metadata!L194="",FALSE,TRUE),OR(exact(Metadata!L194,"Plant secretion"),exact(Metadata!L194,"Plant rhizosphere"),exact(Metadata!L194,"Plant surface"),exact(Metadata!L194,"Plant corpus"),exact(Metadata!L194,"Fungus surface"),exact(Metadata!L194,"Fungus corpus"),exact(Metadata!L194,"Animal surface"),exact(Metadata!L194,"Animal proximal gut"),exact(Metadata!L194,"Animal corpus"),exact(Metadata!L194,"Animal distal gut"),exact(Metadata!L194,"Animal secretion"),exact(Metadata!L194,"Sub-surface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Y194">
        <f>IF(Metadata!M194="",FALSE,TRUE)</f>
        <v>0</v>
      </c>
      <c r="AZ194">
        <f>IF(Metadata!N194="",FALSE,TRUE)</f>
        <v>0</v>
      </c>
      <c r="BA194">
        <f>IF(Metadata!O194="",FALSE,TRUE)</f>
        <v>0</v>
      </c>
      <c r="BB194">
        <f>OR(AND(IF(Metadata!P194="",FALSE,TRUE),OR(exact(Metadata!P194,"not collected"),exact(Metadata!P194,"not provided"),exact(Metadata!P194,"restricted access"))),AND(IF(Metadata!P194="",FALSE,TRUE),OR(exact(Metadata!P194,"air"),exact(Metadata!P194,"built environment"),exact(Metadata!P194,"host-associated"),exact(Metadata!P194,"human-associated"),exact(Metadata!P194,"human-skin"),exact(Metadata!P194,"human-oral"),exact(Metadata!P194,"human-gut"),exact(Metadata!P194,"human-vaginal"),exact(Metadata!P194,"microbial mat/biofilm"),exact(Metadata!P194,"misc environment"),exact(Metadata!P194,"plant-associated"),exact(Metadata!P194,"sediment"),exact(Metadata!P194,"soil"),exact(Metadata!P194,"wastewater/sludge"),exact(Metadata!P194,"water"))))</f>
        <v>0</v>
      </c>
      <c r="BC194">
        <f>IF(Metadata!Q194="",FALSE,TRUE)</f>
        <v>0</v>
      </c>
      <c r="BD194">
        <f>IF(Metadata!R194="",FALSE,TRUE)</f>
        <v>0</v>
      </c>
      <c r="BE194">
        <f>OR(AND(IF(Metadata!S194="",FALSE,TRUE),OR(exact(Metadata!S194,"not collected"),exact(Metadata!S194,"not provided"),exact(Metadata!S194,"restricted access"))),AND(IF(Metadata!S194="",FALSE,ISNUMBER(VALUE(Metadata!S194))),Metadata!S194&gt;=-90.00,Metadata!S194&lt;=90.00))</f>
        <v>0</v>
      </c>
      <c r="BF194">
        <f>AND(IF(Metadata!T194="",FALSE,TRUE),exact(Metadata!T194,"Decimal degrees"))</f>
        <v>0</v>
      </c>
      <c r="BG194">
        <f>OR(AND(IF(Metadata!U194="",FALSE,TRUE),OR(exact(Metadata!U194,"not collected"),exact(Metadata!U194,"not provided"),exact(Metadata!U194,"restricted access"))),AND(IF(Metadata!U194="",FALSE,ISNUMBER(VALUE(Metadata!U194))),Metadata!U194&gt;=-180.00,Metadata!U194&lt;=180.00))</f>
        <v>0</v>
      </c>
      <c r="BH194">
        <f>AND(IF(Metadata!V194="",FALSE,TRUE),exact(Metadata!V194,"Decimal degrees"))</f>
        <v>0</v>
      </c>
      <c r="BI194">
        <f>IF(Metadata!W194="",FALSE,TRUE)</f>
        <v>0</v>
      </c>
      <c r="BJ194">
        <f>OR(AND(IF(Metadata!X194="",FALSE,TRUE),OR(exact(Metadata!X194,"not collected"),exact(Metadata!X194,"not provided"),exact(Metadata!X194,"restricted access"))),AND(IF(Metadata!X194="",FALSE,TRUE),OR(exact(Metadata!X194,"TRUE"),exact(Metadata!X194,"FALSE"))))</f>
        <v>0</v>
      </c>
      <c r="BK194">
        <f>AND(IF(Metadata!Y194="",FALSE,TRUE),exact(Metadata!Y194,"other"))</f>
        <v>0</v>
      </c>
      <c r="BL194">
        <f>IF(Metadata!Z194="",FALSE,TRUE)</f>
        <v>0</v>
      </c>
      <c r="BM194">
        <f>OR(AND(IF(Metadata!AA194="",FALSE,TRUE),OR(exact(Metadata!AA194,"not collected"),exact(Metadata!AA194,"not provided"))),AND(IF(Metadata!AA194="",FALSE,IF(ISERROR(INT(Metadata!AA194)),FALSE,INT(Metadata!AA194)=Metadata!AA194)),Metadata!AA194&gt;0))</f>
        <v>0</v>
      </c>
      <c r="BN194">
        <f>AND(IF(Metadata!AB194="",FALSE,TRUE),exact(Metadata!AB194,"Not applicable"))</f>
        <v>0</v>
      </c>
      <c r="BO194">
        <f>IF(Metadata!AC194="",FALSE,TRUE)</f>
        <v>0</v>
      </c>
    </row>
    <row r="195" spans="1:67">
      <c r="A195" s="5">
        <f>IF(B195=" "," ",HYPERLINK(CONCATENATE("#metadata!",ADDRESS(INDEX($AI$2:$AI$1001,MATCH(ROWS($AG$2:AG195),$AG$2:$AG$1001,0),0),1)),INDEX($AL$2:$AL$1001,MATCH(ROWS($AG$2:AG195),$AG$2:$AG$1001,0),0)))</f>
        <v>0</v>
      </c>
      <c r="B195" s="4">
        <f>IF(OR(INDEX($AH$2:$AH$1001,MATCH(ROWS($AG$2:AG195),$AG$2:$AG$1001,0),1)&gt;=100000,INDEX($AN$1005:$BO$1005,1,MATCH(COLUMNS($AN$1006:AN1006),$AN$1006:$BO$1006,0))&gt;=100000), " ",IF(INDEX($AN$2:$BO$1001,MATCH(ROWS($AG$2:AG195),$AG$2:$AG$1001,0),MATCH(COLUMNS($AN$1006:AN1006),$AN$1006:$BO$1006,0)), HYPERLINK("#",""), HYPERLINK(CONCATENATE("#Metadata!", ADDRESS(INDEX($AI$2:$AI$1001,MATCH(ROWS($AG$2:AG195),$AG$2:$AG$1001,0),0), INDEX($AN$1004:$BO$1004,1,MATCH(COLUMNS($AN$1006:AN1006),$AN$1006:$BO$1006,0)))),"Fix")))</f>
        <v>0</v>
      </c>
      <c r="C195" s="4">
        <f>IF(OR(INDEX($AH$2:$AH$1001,MATCH(ROWS($AG$2:AG195),$AG$2:$AG$1001,0),1)&gt;=100000,INDEX($AN$1005:$BO$1005,1,MATCH(COLUMNS($AN$1006:AO1006),$AN$1006:$BO$1006,0))&gt;=100000), " ",IF(INDEX($AN$2:$BO$1001,MATCH(ROWS($AG$2:AG195),$AG$2:$AG$1001,0),MATCH(COLUMNS($AN$1006:AO1006),$AN$1006:$BO$1006,0)), HYPERLINK("#",""), HYPERLINK(CONCATENATE("#Metadata!", ADDRESS(INDEX($AI$2:$AI$1001,MATCH(ROWS($AG$2:AG195),$AG$2:$AG$1001,0),0), INDEX($AN$1004:$BO$1004,1,MATCH(COLUMNS($AN$1006:AO1006),$AN$1006:$BO$1006,0)))),"Fix")))</f>
        <v>0</v>
      </c>
      <c r="D195" s="4">
        <f>IF(OR(INDEX($AH$2:$AH$1001,MATCH(ROWS($AG$2:AG195),$AG$2:$AG$1001,0),1)&gt;=100000,INDEX($AN$1005:$BO$1005,1,MATCH(COLUMNS($AN$1006:AP1006),$AN$1006:$BO$1006,0))&gt;=100000), " ",IF(INDEX($AN$2:$BO$1001,MATCH(ROWS($AG$2:AG195),$AG$2:$AG$1001,0),MATCH(COLUMNS($AN$1006:AP1006),$AN$1006:$BO$1006,0)), HYPERLINK("#",""), HYPERLINK(CONCATENATE("#Metadata!", ADDRESS(INDEX($AI$2:$AI$1001,MATCH(ROWS($AG$2:AG195),$AG$2:$AG$1001,0),0), INDEX($AN$1004:$BO$1004,1,MATCH(COLUMNS($AN$1006:AP1006),$AN$1006:$BO$1006,0)))),"Fix")))</f>
        <v>0</v>
      </c>
      <c r="E195" s="4">
        <f>IF(OR(INDEX($AH$2:$AH$1001,MATCH(ROWS($AG$2:AG195),$AG$2:$AG$1001,0),1)&gt;=100000,INDEX($AN$1005:$BO$1005,1,MATCH(COLUMNS($AN$1006:AQ1006),$AN$1006:$BO$1006,0))&gt;=100000), " ",IF(INDEX($AN$2:$BO$1001,MATCH(ROWS($AG$2:AG195),$AG$2:$AG$1001,0),MATCH(COLUMNS($AN$1006:AQ1006),$AN$1006:$BO$1006,0)), HYPERLINK("#",""), HYPERLINK(CONCATENATE("#Metadata!", ADDRESS(INDEX($AI$2:$AI$1001,MATCH(ROWS($AG$2:AG195),$AG$2:$AG$1001,0),0), INDEX($AN$1004:$BO$1004,1,MATCH(COLUMNS($AN$1006:AQ1006),$AN$1006:$BO$1006,0)))),"Fix")))</f>
        <v>0</v>
      </c>
      <c r="F195" s="4">
        <f>IF(OR(INDEX($AH$2:$AH$1001,MATCH(ROWS($AG$2:AG195),$AG$2:$AG$1001,0),1)&gt;=100000,INDEX($AN$1005:$BO$1005,1,MATCH(COLUMNS($AN$1006:AR1006),$AN$1006:$BO$1006,0))&gt;=100000), " ",IF(INDEX($AN$2:$BO$1001,MATCH(ROWS($AG$2:AG195),$AG$2:$AG$1001,0),MATCH(COLUMNS($AN$1006:AR1006),$AN$1006:$BO$1006,0)), HYPERLINK("#",""), HYPERLINK(CONCATENATE("#Metadata!", ADDRESS(INDEX($AI$2:$AI$1001,MATCH(ROWS($AG$2:AG195),$AG$2:$AG$1001,0),0), INDEX($AN$1004:$BO$1004,1,MATCH(COLUMNS($AN$1006:AR1006),$AN$1006:$BO$1006,0)))),"Fix")))</f>
        <v>0</v>
      </c>
      <c r="G195" s="4">
        <f>IF(OR(INDEX($AH$2:$AH$1001,MATCH(ROWS($AG$2:AG195),$AG$2:$AG$1001,0),1)&gt;=100000,INDEX($AN$1005:$BO$1005,1,MATCH(COLUMNS($AN$1006:AS1006),$AN$1006:$BO$1006,0))&gt;=100000), " ",IF(INDEX($AN$2:$BO$1001,MATCH(ROWS($AG$2:AG195),$AG$2:$AG$1001,0),MATCH(COLUMNS($AN$1006:AS1006),$AN$1006:$BO$1006,0)), HYPERLINK("#",""), HYPERLINK(CONCATENATE("#Metadata!", ADDRESS(INDEX($AI$2:$AI$1001,MATCH(ROWS($AG$2:AG195),$AG$2:$AG$1001,0),0), INDEX($AN$1004:$BO$1004,1,MATCH(COLUMNS($AN$1006:AS1006),$AN$1006:$BO$1006,0)))),"Fix")))</f>
        <v>0</v>
      </c>
      <c r="H195" s="4">
        <f>IF(OR(INDEX($AH$2:$AH$1001,MATCH(ROWS($AG$2:AG195),$AG$2:$AG$1001,0),1)&gt;=100000,INDEX($AN$1005:$BO$1005,1,MATCH(COLUMNS($AN$1006:AT1006),$AN$1006:$BO$1006,0))&gt;=100000), " ",IF(INDEX($AN$2:$BO$1001,MATCH(ROWS($AG$2:AG195),$AG$2:$AG$1001,0),MATCH(COLUMNS($AN$1006:AT1006),$AN$1006:$BO$1006,0)), HYPERLINK("#",""), HYPERLINK(CONCATENATE("#Metadata!", ADDRESS(INDEX($AI$2:$AI$1001,MATCH(ROWS($AG$2:AG195),$AG$2:$AG$1001,0),0), INDEX($AN$1004:$BO$1004,1,MATCH(COLUMNS($AN$1006:AT1006),$AN$1006:$BO$1006,0)))),"Fix")))</f>
        <v>0</v>
      </c>
      <c r="I195" s="4">
        <f>IF(OR(INDEX($AH$2:$AH$1001,MATCH(ROWS($AG$2:AG195),$AG$2:$AG$1001,0),1)&gt;=100000,INDEX($AN$1005:$BO$1005,1,MATCH(COLUMNS($AN$1006:AU1006),$AN$1006:$BO$1006,0))&gt;=100000), " ",IF(INDEX($AN$2:$BO$1001,MATCH(ROWS($AG$2:AG195),$AG$2:$AG$1001,0),MATCH(COLUMNS($AN$1006:AU1006),$AN$1006:$BO$1006,0)), HYPERLINK("#",""), HYPERLINK(CONCATENATE("#Metadata!", ADDRESS(INDEX($AI$2:$AI$1001,MATCH(ROWS($AG$2:AG195),$AG$2:$AG$1001,0),0), INDEX($AN$1004:$BO$1004,1,MATCH(COLUMNS($AN$1006:AU1006),$AN$1006:$BO$1006,0)))),"Fix")))</f>
        <v>0</v>
      </c>
      <c r="J195" s="4">
        <f>IF(OR(INDEX($AH$2:$AH$1001,MATCH(ROWS($AG$2:AG195),$AG$2:$AG$1001,0),1)&gt;=100000,INDEX($AN$1005:$BO$1005,1,MATCH(COLUMNS($AN$1006:AV1006),$AN$1006:$BO$1006,0))&gt;=100000), " ",IF(INDEX($AN$2:$BO$1001,MATCH(ROWS($AG$2:AG195),$AG$2:$AG$1001,0),MATCH(COLUMNS($AN$1006:AV1006),$AN$1006:$BO$1006,0)), HYPERLINK("#",""), HYPERLINK(CONCATENATE("#Metadata!", ADDRESS(INDEX($AI$2:$AI$1001,MATCH(ROWS($AG$2:AG195),$AG$2:$AG$1001,0),0), INDEX($AN$1004:$BO$1004,1,MATCH(COLUMNS($AN$1006:AV1006),$AN$1006:$BO$1006,0)))),"Fix")))</f>
        <v>0</v>
      </c>
      <c r="K195" s="4">
        <f>IF(OR(INDEX($AH$2:$AH$1001,MATCH(ROWS($AG$2:AG195),$AG$2:$AG$1001,0),1)&gt;=100000,INDEX($AN$1005:$BO$1005,1,MATCH(COLUMNS($AN$1006:AW1006),$AN$1006:$BO$1006,0))&gt;=100000), " ",IF(INDEX($AN$2:$BO$1001,MATCH(ROWS($AG$2:AG195),$AG$2:$AG$1001,0),MATCH(COLUMNS($AN$1006:AW1006),$AN$1006:$BO$1006,0)), HYPERLINK("#",""), HYPERLINK(CONCATENATE("#Metadata!", ADDRESS(INDEX($AI$2:$AI$1001,MATCH(ROWS($AG$2:AG195),$AG$2:$AG$1001,0),0), INDEX($AN$1004:$BO$1004,1,MATCH(COLUMNS($AN$1006:AW1006),$AN$1006:$BO$1006,0)))),"Fix")))</f>
        <v>0</v>
      </c>
      <c r="L195" s="4">
        <f>IF(OR(INDEX($AH$2:$AH$1001,MATCH(ROWS($AG$2:AG195),$AG$2:$AG$1001,0),1)&gt;=100000,INDEX($AN$1005:$BO$1005,1,MATCH(COLUMNS($AN$1006:AX1006),$AN$1006:$BO$1006,0))&gt;=100000), " ",IF(INDEX($AN$2:$BO$1001,MATCH(ROWS($AG$2:AG195),$AG$2:$AG$1001,0),MATCH(COLUMNS($AN$1006:AX1006),$AN$1006:$BO$1006,0)), HYPERLINK("#",""), HYPERLINK(CONCATENATE("#Metadata!", ADDRESS(INDEX($AI$2:$AI$1001,MATCH(ROWS($AG$2:AG195),$AG$2:$AG$1001,0),0), INDEX($AN$1004:$BO$1004,1,MATCH(COLUMNS($AN$1006:AX1006),$AN$1006:$BO$1006,0)))),"Fix")))</f>
        <v>0</v>
      </c>
      <c r="M195" s="4">
        <f>IF(OR(INDEX($AH$2:$AH$1001,MATCH(ROWS($AG$2:AG195),$AG$2:$AG$1001,0),1)&gt;=100000,INDEX($AN$1005:$BO$1005,1,MATCH(COLUMNS($AN$1006:AY1006),$AN$1006:$BO$1006,0))&gt;=100000), " ",IF(INDEX($AN$2:$BO$1001,MATCH(ROWS($AG$2:AG195),$AG$2:$AG$1001,0),MATCH(COLUMNS($AN$1006:AY1006),$AN$1006:$BO$1006,0)), HYPERLINK("#",""), HYPERLINK(CONCATENATE("#Metadata!", ADDRESS(INDEX($AI$2:$AI$1001,MATCH(ROWS($AG$2:AG195),$AG$2:$AG$1001,0),0), INDEX($AN$1004:$BO$1004,1,MATCH(COLUMNS($AN$1006:AY1006),$AN$1006:$BO$1006,0)))),"Fix")))</f>
        <v>0</v>
      </c>
      <c r="N195" s="4">
        <f>IF(OR(INDEX($AH$2:$AH$1001,MATCH(ROWS($AG$2:AG195),$AG$2:$AG$1001,0),1)&gt;=100000,INDEX($AN$1005:$BO$1005,1,MATCH(COLUMNS($AN$1006:AZ1006),$AN$1006:$BO$1006,0))&gt;=100000), " ",IF(INDEX($AN$2:$BO$1001,MATCH(ROWS($AG$2:AG195),$AG$2:$AG$1001,0),MATCH(COLUMNS($AN$1006:AZ1006),$AN$1006:$BO$1006,0)), HYPERLINK("#",""), HYPERLINK(CONCATENATE("#Metadata!", ADDRESS(INDEX($AI$2:$AI$1001,MATCH(ROWS($AG$2:AG195),$AG$2:$AG$1001,0),0), INDEX($AN$1004:$BO$1004,1,MATCH(COLUMNS($AN$1006:AZ1006),$AN$1006:$BO$1006,0)))),"Fix")))</f>
        <v>0</v>
      </c>
      <c r="O195" s="4">
        <f>IF(OR(INDEX($AH$2:$AH$1001,MATCH(ROWS($AG$2:AG195),$AG$2:$AG$1001,0),1)&gt;=100000,INDEX($AN$1005:$BO$1005,1,MATCH(COLUMNS($AN$1006:BA1006),$AN$1006:$BO$1006,0))&gt;=100000), " ",IF(INDEX($AN$2:$BO$1001,MATCH(ROWS($AG$2:AG195),$AG$2:$AG$1001,0),MATCH(COLUMNS($AN$1006:BA1006),$AN$1006:$BO$1006,0)), HYPERLINK("#",""), HYPERLINK(CONCATENATE("#Metadata!", ADDRESS(INDEX($AI$2:$AI$1001,MATCH(ROWS($AG$2:AG195),$AG$2:$AG$1001,0),0), INDEX($AN$1004:$BO$1004,1,MATCH(COLUMNS($AN$1006:BA1006),$AN$1006:$BO$1006,0)))),"Fix")))</f>
        <v>0</v>
      </c>
      <c r="P195" s="4">
        <f>IF(OR(INDEX($AH$2:$AH$1001,MATCH(ROWS($AG$2:AG195),$AG$2:$AG$1001,0),1)&gt;=100000,INDEX($AN$1005:$BO$1005,1,MATCH(COLUMNS($AN$1006:BB1006),$AN$1006:$BO$1006,0))&gt;=100000), " ",IF(INDEX($AN$2:$BO$1001,MATCH(ROWS($AG$2:AG195),$AG$2:$AG$1001,0),MATCH(COLUMNS($AN$1006:BB1006),$AN$1006:$BO$1006,0)), HYPERLINK("#",""), HYPERLINK(CONCATENATE("#Metadata!", ADDRESS(INDEX($AI$2:$AI$1001,MATCH(ROWS($AG$2:AG195),$AG$2:$AG$1001,0),0), INDEX($AN$1004:$BO$1004,1,MATCH(COLUMNS($AN$1006:BB1006),$AN$1006:$BO$1006,0)))),"Fix")))</f>
        <v>0</v>
      </c>
      <c r="Q195" s="4">
        <f>IF(OR(INDEX($AH$2:$AH$1001,MATCH(ROWS($AG$2:AG195),$AG$2:$AG$1001,0),1)&gt;=100000,INDEX($AN$1005:$BO$1005,1,MATCH(COLUMNS($AN$1006:BC1006),$AN$1006:$BO$1006,0))&gt;=100000), " ",IF(INDEX($AN$2:$BO$1001,MATCH(ROWS($AG$2:AG195),$AG$2:$AG$1001,0),MATCH(COLUMNS($AN$1006:BC1006),$AN$1006:$BO$1006,0)), HYPERLINK("#",""), HYPERLINK(CONCATENATE("#Metadata!", ADDRESS(INDEX($AI$2:$AI$1001,MATCH(ROWS($AG$2:AG195),$AG$2:$AG$1001,0),0), INDEX($AN$1004:$BO$1004,1,MATCH(COLUMNS($AN$1006:BC1006),$AN$1006:$BO$1006,0)))),"Fix")))</f>
        <v>0</v>
      </c>
      <c r="R195" s="4">
        <f>IF(OR(INDEX($AH$2:$AH$1001,MATCH(ROWS($AG$2:AG195),$AG$2:$AG$1001,0),1)&gt;=100000,INDEX($AN$1005:$BO$1005,1,MATCH(COLUMNS($AN$1006:BD1006),$AN$1006:$BO$1006,0))&gt;=100000), " ",IF(INDEX($AN$2:$BO$1001,MATCH(ROWS($AG$2:AG195),$AG$2:$AG$1001,0),MATCH(COLUMNS($AN$1006:BD1006),$AN$1006:$BO$1006,0)), HYPERLINK("#",""), HYPERLINK(CONCATENATE("#Metadata!", ADDRESS(INDEX($AI$2:$AI$1001,MATCH(ROWS($AG$2:AG195),$AG$2:$AG$1001,0),0), INDEX($AN$1004:$BO$1004,1,MATCH(COLUMNS($AN$1006:BD1006),$AN$1006:$BO$1006,0)))),"Fix")))</f>
        <v>0</v>
      </c>
      <c r="S195" s="4">
        <f>IF(OR(INDEX($AH$2:$AH$1001,MATCH(ROWS($AG$2:AG195),$AG$2:$AG$1001,0),1)&gt;=100000,INDEX($AN$1005:$BO$1005,1,MATCH(COLUMNS($AN$1006:BE1006),$AN$1006:$BO$1006,0))&gt;=100000), " ",IF(INDEX($AN$2:$BO$1001,MATCH(ROWS($AG$2:AG195),$AG$2:$AG$1001,0),MATCH(COLUMNS($AN$1006:BE1006),$AN$1006:$BO$1006,0)), HYPERLINK("#",""), HYPERLINK(CONCATENATE("#Metadata!", ADDRESS(INDEX($AI$2:$AI$1001,MATCH(ROWS($AG$2:AG195),$AG$2:$AG$1001,0),0), INDEX($AN$1004:$BO$1004,1,MATCH(COLUMNS($AN$1006:BE1006),$AN$1006:$BO$1006,0)))),"Fix")))</f>
        <v>0</v>
      </c>
      <c r="T195" s="4">
        <f>IF(OR(INDEX($AH$2:$AH$1001,MATCH(ROWS($AG$2:AG195),$AG$2:$AG$1001,0),1)&gt;=100000,INDEX($AN$1005:$BO$1005,1,MATCH(COLUMNS($AN$1006:BF1006),$AN$1006:$BO$1006,0))&gt;=100000), " ",IF(INDEX($AN$2:$BO$1001,MATCH(ROWS($AG$2:AG195),$AG$2:$AG$1001,0),MATCH(COLUMNS($AN$1006:BF1006),$AN$1006:$BO$1006,0)), HYPERLINK("#",""), HYPERLINK(CONCATENATE("#Metadata!", ADDRESS(INDEX($AI$2:$AI$1001,MATCH(ROWS($AG$2:AG195),$AG$2:$AG$1001,0),0), INDEX($AN$1004:$BO$1004,1,MATCH(COLUMNS($AN$1006:BF1006),$AN$1006:$BO$1006,0)))),"Fix")))</f>
        <v>0</v>
      </c>
      <c r="U195" s="4">
        <f>IF(OR(INDEX($AH$2:$AH$1001,MATCH(ROWS($AG$2:AG195),$AG$2:$AG$1001,0),1)&gt;=100000,INDEX($AN$1005:$BO$1005,1,MATCH(COLUMNS($AN$1006:BG1006),$AN$1006:$BO$1006,0))&gt;=100000), " ",IF(INDEX($AN$2:$BO$1001,MATCH(ROWS($AG$2:AG195),$AG$2:$AG$1001,0),MATCH(COLUMNS($AN$1006:BG1006),$AN$1006:$BO$1006,0)), HYPERLINK("#",""), HYPERLINK(CONCATENATE("#Metadata!", ADDRESS(INDEX($AI$2:$AI$1001,MATCH(ROWS($AG$2:AG195),$AG$2:$AG$1001,0),0), INDEX($AN$1004:$BO$1004,1,MATCH(COLUMNS($AN$1006:BG1006),$AN$1006:$BO$1006,0)))),"Fix")))</f>
        <v>0</v>
      </c>
      <c r="V195" s="4">
        <f>IF(OR(INDEX($AH$2:$AH$1001,MATCH(ROWS($AG$2:AG195),$AG$2:$AG$1001,0),1)&gt;=100000,INDEX($AN$1005:$BO$1005,1,MATCH(COLUMNS($AN$1006:BH1006),$AN$1006:$BO$1006,0))&gt;=100000), " ",IF(INDEX($AN$2:$BO$1001,MATCH(ROWS($AG$2:AG195),$AG$2:$AG$1001,0),MATCH(COLUMNS($AN$1006:BH1006),$AN$1006:$BO$1006,0)), HYPERLINK("#",""), HYPERLINK(CONCATENATE("#Metadata!", ADDRESS(INDEX($AI$2:$AI$1001,MATCH(ROWS($AG$2:AG195),$AG$2:$AG$1001,0),0), INDEX($AN$1004:$BO$1004,1,MATCH(COLUMNS($AN$1006:BH1006),$AN$1006:$BO$1006,0)))),"Fix")))</f>
        <v>0</v>
      </c>
      <c r="W195" s="4">
        <f>IF(OR(INDEX($AH$2:$AH$1001,MATCH(ROWS($AG$2:AG195),$AG$2:$AG$1001,0),1)&gt;=100000,INDEX($AN$1005:$BO$1005,1,MATCH(COLUMNS($AN$1006:BI1006),$AN$1006:$BO$1006,0))&gt;=100000), " ",IF(INDEX($AN$2:$BO$1001,MATCH(ROWS($AG$2:AG195),$AG$2:$AG$1001,0),MATCH(COLUMNS($AN$1006:BI1006),$AN$1006:$BO$1006,0)), HYPERLINK("#",""), HYPERLINK(CONCATENATE("#Metadata!", ADDRESS(INDEX($AI$2:$AI$1001,MATCH(ROWS($AG$2:AG195),$AG$2:$AG$1001,0),0), INDEX($AN$1004:$BO$1004,1,MATCH(COLUMNS($AN$1006:BI1006),$AN$1006:$BO$1006,0)))),"Fix")))</f>
        <v>0</v>
      </c>
      <c r="X195" s="4">
        <f>IF(OR(INDEX($AH$2:$AH$1001,MATCH(ROWS($AG$2:AG195),$AG$2:$AG$1001,0),1)&gt;=100000,INDEX($AN$1005:$BO$1005,1,MATCH(COLUMNS($AN$1006:BJ1006),$AN$1006:$BO$1006,0))&gt;=100000), " ",IF(INDEX($AN$2:$BO$1001,MATCH(ROWS($AG$2:AG195),$AG$2:$AG$1001,0),MATCH(COLUMNS($AN$1006:BJ1006),$AN$1006:$BO$1006,0)), HYPERLINK("#",""), HYPERLINK(CONCATENATE("#Metadata!", ADDRESS(INDEX($AI$2:$AI$1001,MATCH(ROWS($AG$2:AG195),$AG$2:$AG$1001,0),0), INDEX($AN$1004:$BO$1004,1,MATCH(COLUMNS($AN$1006:BJ1006),$AN$1006:$BO$1006,0)))),"Fix")))</f>
        <v>0</v>
      </c>
      <c r="Y195" s="4">
        <f>IF(OR(INDEX($AH$2:$AH$1001,MATCH(ROWS($AG$2:AG195),$AG$2:$AG$1001,0),1)&gt;=100000,INDEX($AN$1005:$BO$1005,1,MATCH(COLUMNS($AN$1006:BK1006),$AN$1006:$BO$1006,0))&gt;=100000), " ",IF(INDEX($AN$2:$BO$1001,MATCH(ROWS($AG$2:AG195),$AG$2:$AG$1001,0),MATCH(COLUMNS($AN$1006:BK1006),$AN$1006:$BO$1006,0)), HYPERLINK("#",""), HYPERLINK(CONCATENATE("#Metadata!", ADDRESS(INDEX($AI$2:$AI$1001,MATCH(ROWS($AG$2:AG195),$AG$2:$AG$1001,0),0), INDEX($AN$1004:$BO$1004,1,MATCH(COLUMNS($AN$1006:BK1006),$AN$1006:$BO$1006,0)))),"Fix")))</f>
        <v>0</v>
      </c>
      <c r="Z195" s="4">
        <f>IF(OR(INDEX($AH$2:$AH$1001,MATCH(ROWS($AG$2:AG195),$AG$2:$AG$1001,0),1)&gt;=100000,INDEX($AN$1005:$BO$1005,1,MATCH(COLUMNS($AN$1006:BL1006),$AN$1006:$BO$1006,0))&gt;=100000), " ",IF(INDEX($AN$2:$BO$1001,MATCH(ROWS($AG$2:AG195),$AG$2:$AG$1001,0),MATCH(COLUMNS($AN$1006:BL1006),$AN$1006:$BO$1006,0)), HYPERLINK("#",""), HYPERLINK(CONCATENATE("#Metadata!", ADDRESS(INDEX($AI$2:$AI$1001,MATCH(ROWS($AG$2:AG195),$AG$2:$AG$1001,0),0), INDEX($AN$1004:$BO$1004,1,MATCH(COLUMNS($AN$1006:BL1006),$AN$1006:$BO$1006,0)))),"Fix")))</f>
        <v>0</v>
      </c>
      <c r="AA195" s="4">
        <f>IF(OR(INDEX($AH$2:$AH$1001,MATCH(ROWS($AG$2:AG195),$AG$2:$AG$1001,0),1)&gt;=100000,INDEX($AN$1005:$BO$1005,1,MATCH(COLUMNS($AN$1006:BM1006),$AN$1006:$BO$1006,0))&gt;=100000), " ",IF(INDEX($AN$2:$BO$1001,MATCH(ROWS($AG$2:AG195),$AG$2:$AG$1001,0),MATCH(COLUMNS($AN$1006:BM1006),$AN$1006:$BO$1006,0)), HYPERLINK("#",""), HYPERLINK(CONCATENATE("#Metadata!", ADDRESS(INDEX($AI$2:$AI$1001,MATCH(ROWS($AG$2:AG195),$AG$2:$AG$1001,0),0), INDEX($AN$1004:$BO$1004,1,MATCH(COLUMNS($AN$1006:BM1006),$AN$1006:$BO$1006,0)))),"Fix")))</f>
        <v>0</v>
      </c>
      <c r="AB195" s="4">
        <f>IF(OR(INDEX($AH$2:$AH$1001,MATCH(ROWS($AG$2:AG195),$AG$2:$AG$1001,0),1)&gt;=100000,INDEX($AN$1005:$BO$1005,1,MATCH(COLUMNS($AN$1006:BN1006),$AN$1006:$BO$1006,0))&gt;=100000), " ",IF(INDEX($AN$2:$BO$1001,MATCH(ROWS($AG$2:AG195),$AG$2:$AG$1001,0),MATCH(COLUMNS($AN$1006:BN1006),$AN$1006:$BO$1006,0)), HYPERLINK("#",""), HYPERLINK(CONCATENATE("#Metadata!", ADDRESS(INDEX($AI$2:$AI$1001,MATCH(ROWS($AG$2:AG195),$AG$2:$AG$1001,0),0), INDEX($AN$1004:$BO$1004,1,MATCH(COLUMNS($AN$1006:BN1006),$AN$1006:$BO$1006,0)))),"Fix")))</f>
        <v>0</v>
      </c>
      <c r="AC195" s="4">
        <f>IF(OR(INDEX($AH$2:$AH$1001,MATCH(ROWS($AG$2:AG195),$AG$2:$AG$1001,0),1)&gt;=100000,INDEX($AN$1005:$BO$1005,1,MATCH(COLUMNS($AN$1006:BO1006),$AN$1006:$BO$1006,0))&gt;=100000), " ",IF(INDEX($AN$2:$BO$1001,MATCH(ROWS($AG$2:AG195),$AG$2:$AG$1001,0),MATCH(COLUMNS($AN$1006:BO1006),$AN$1006:$BO$1006,0)), HYPERLINK("#",""), HYPERLINK(CONCATENATE("#Metadata!", ADDRESS(INDEX($AI$2:$AI$1001,MATCH(ROWS($AG$2:AG195),$AG$2:$AG$1001,0),0), INDEX($AN$1004:$BO$1004,1,MATCH(COLUMNS($AN$1006:BO1006),$AN$1006:$BO$1006,0)))),"Fix")))</f>
        <v>0</v>
      </c>
      <c r="AG195">
        <v>0</v>
      </c>
      <c r="AH195">
        <v>0</v>
      </c>
      <c r="AI195">
        <v>0</v>
      </c>
      <c r="AJ195">
        <f>IF(AK195,TRUE,AND(AN195:BO195))</f>
        <v>0</v>
      </c>
      <c r="AK195">
        <f>COUNTBLANK(Metadata!B195:AC195)=COLUMNS(Metadata!B195:AC195)</f>
        <v>0</v>
      </c>
      <c r="AL195">
        <v>0</v>
      </c>
      <c r="AN195">
        <f>AND(IF(Metadata!B195="",FALSE,TRUE),COUNTIF(Metadata!B:B, Metadata!B195) = 1,NOT(ISERROR(SUMPRODUCT(SEARCH(MID(Metadata!B195,ROW(INDIRECT("1:"&amp;LEN(Metadata!B195))), 1),"0123456789abcdefghijklmnopqrstuvwxyzABCDEFGHIJKLMNOPQRSTUVWXYZ.")))))</f>
        <v>0</v>
      </c>
      <c r="AO195">
        <f>IF(Metadata!C195="",FALSE,TRUE)</f>
        <v>0</v>
      </c>
      <c r="AP195">
        <f>IF(Metadata!D195="",FALSE,TRUE)</f>
        <v>0</v>
      </c>
      <c r="AQ195">
        <f>OR(AND(IF(Metadata!E195="",FALSE,TRUE),OR(exact(Metadata!E195,"not collected"),exact(Metadata!E195,"not provided"),exact(Metadata!E195,"restricted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R195">
        <f>IF(Metadata!F195="",FALSE,TRUE)</f>
        <v>0</v>
      </c>
      <c r="AS195">
        <f>OR(AND(IF(Metadata!G195="",FALSE,TRUE),OR(exact(Metadata!G195,"not collected"),exact(Metadata!G195,"not provided"))),AND(IF(Metadata!G195="",FALSE,TRUE),OR(exact(Metadata!G195,"TRUE"),exact(Metadata!G195,"FALSE"))))</f>
        <v>0</v>
      </c>
      <c r="AT195">
        <f>OR(AND(IF(Metadata!H195="",FALSE,TRUE),OR(exact(Metadata!H195,"not collected"),exact(Metadata!H195,"not provided"),exact(Metadata!H195,"restricted access"))),AND(IF(Metadata!H195="",FALSE,ISNUMBER(VALUE(Metadata!H195))),Metadata!H195&gt;=-413.0))</f>
        <v>0</v>
      </c>
      <c r="AU195">
        <f>AND(IF(Metadata!I195="",FALSE,TRUE),exact(Metadata!I195,"meters"))</f>
        <v>0</v>
      </c>
      <c r="AV195">
        <f>AND(IF(Metadata!J195="",FALSE,TRUE),OR(exact(Metadata!J195,"Host-associated"),exact(Metadata!J195,"Free-living")))</f>
        <v>0</v>
      </c>
      <c r="AW195">
        <f>AND(IF(Metadata!K195="",FALSE,TRUE),OR(exact(Metadata!K195,"Animal"),exact(Metadata!K195,"Fungus"),exact(Metadata!K195,"Plant"),exact(Metadata!K195,"Saline"),exact(Metadata!K195,"Non-saline")))</f>
        <v>0</v>
      </c>
      <c r="AX195">
        <f>AND(IF(Metadata!L195="",FALSE,TRUE),OR(exact(Metadata!L195,"Plant secretion"),exact(Metadata!L195,"Plant rhizosphere"),exact(Metadata!L195,"Plant surface"),exact(Metadata!L195,"Plant corpus"),exact(Metadata!L195,"Fungus surface"),exact(Metadata!L195,"Fungus corpus"),exact(Metadata!L195,"Animal surface"),exact(Metadata!L195,"Animal proximal gut"),exact(Metadata!L195,"Animal corpus"),exact(Metadata!L195,"Animal distal gut"),exact(Metadata!L195,"Animal secretion"),exact(Metadata!L195,"Sub-surface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Y195">
        <f>IF(Metadata!M195="",FALSE,TRUE)</f>
        <v>0</v>
      </c>
      <c r="AZ195">
        <f>IF(Metadata!N195="",FALSE,TRUE)</f>
        <v>0</v>
      </c>
      <c r="BA195">
        <f>IF(Metadata!O195="",FALSE,TRUE)</f>
        <v>0</v>
      </c>
      <c r="BB195">
        <f>OR(AND(IF(Metadata!P195="",FALSE,TRUE),OR(exact(Metadata!P195,"not collected"),exact(Metadata!P195,"not provided"),exact(Metadata!P195,"restricted access"))),AND(IF(Metadata!P195="",FALSE,TRUE),OR(exact(Metadata!P195,"air"),exact(Metadata!P195,"built environment"),exact(Metadata!P195,"host-associated"),exact(Metadata!P195,"human-associated"),exact(Metadata!P195,"human-skin"),exact(Metadata!P195,"human-oral"),exact(Metadata!P195,"human-gut"),exact(Metadata!P195,"human-vaginal"),exact(Metadata!P195,"microbial mat/biofilm"),exact(Metadata!P195,"misc environment"),exact(Metadata!P195,"plant-associated"),exact(Metadata!P195,"sediment"),exact(Metadata!P195,"soil"),exact(Metadata!P195,"wastewater/sludge"),exact(Metadata!P195,"water"))))</f>
        <v>0</v>
      </c>
      <c r="BC195">
        <f>IF(Metadata!Q195="",FALSE,TRUE)</f>
        <v>0</v>
      </c>
      <c r="BD195">
        <f>IF(Metadata!R195="",FALSE,TRUE)</f>
        <v>0</v>
      </c>
      <c r="BE195">
        <f>OR(AND(IF(Metadata!S195="",FALSE,TRUE),OR(exact(Metadata!S195,"not collected"),exact(Metadata!S195,"not provided"),exact(Metadata!S195,"restricted access"))),AND(IF(Metadata!S195="",FALSE,ISNUMBER(VALUE(Metadata!S195))),Metadata!S195&gt;=-90.00,Metadata!S195&lt;=90.00))</f>
        <v>0</v>
      </c>
      <c r="BF195">
        <f>AND(IF(Metadata!T195="",FALSE,TRUE),exact(Metadata!T195,"Decimal degrees"))</f>
        <v>0</v>
      </c>
      <c r="BG195">
        <f>OR(AND(IF(Metadata!U195="",FALSE,TRUE),OR(exact(Metadata!U195,"not collected"),exact(Metadata!U195,"not provided"),exact(Metadata!U195,"restricted access"))),AND(IF(Metadata!U195="",FALSE,ISNUMBER(VALUE(Metadata!U195))),Metadata!U195&gt;=-180.00,Metadata!U195&lt;=180.00))</f>
        <v>0</v>
      </c>
      <c r="BH195">
        <f>AND(IF(Metadata!V195="",FALSE,TRUE),exact(Metadata!V195,"Decimal degrees"))</f>
        <v>0</v>
      </c>
      <c r="BI195">
        <f>IF(Metadata!W195="",FALSE,TRUE)</f>
        <v>0</v>
      </c>
      <c r="BJ195">
        <f>OR(AND(IF(Metadata!X195="",FALSE,TRUE),OR(exact(Metadata!X195,"not collected"),exact(Metadata!X195,"not provided"),exact(Metadata!X195,"restricted access"))),AND(IF(Metadata!X195="",FALSE,TRUE),OR(exact(Metadata!X195,"TRUE"),exact(Metadata!X195,"FALSE"))))</f>
        <v>0</v>
      </c>
      <c r="BK195">
        <f>AND(IF(Metadata!Y195="",FALSE,TRUE),exact(Metadata!Y195,"other"))</f>
        <v>0</v>
      </c>
      <c r="BL195">
        <f>IF(Metadata!Z195="",FALSE,TRUE)</f>
        <v>0</v>
      </c>
      <c r="BM195">
        <f>OR(AND(IF(Metadata!AA195="",FALSE,TRUE),OR(exact(Metadata!AA195,"not collected"),exact(Metadata!AA195,"not provided"))),AND(IF(Metadata!AA195="",FALSE,IF(ISERROR(INT(Metadata!AA195)),FALSE,INT(Metadata!AA195)=Metadata!AA195)),Metadata!AA195&gt;0))</f>
        <v>0</v>
      </c>
      <c r="BN195">
        <f>AND(IF(Metadata!AB195="",FALSE,TRUE),exact(Metadata!AB195,"Not applicable"))</f>
        <v>0</v>
      </c>
      <c r="BO195">
        <f>IF(Metadata!AC195="",FALSE,TRUE)</f>
        <v>0</v>
      </c>
    </row>
    <row r="196" spans="1:67">
      <c r="A196" s="5">
        <f>IF(B196=" "," ",HYPERLINK(CONCATENATE("#metadata!",ADDRESS(INDEX($AI$2:$AI$1001,MATCH(ROWS($AG$2:AG196),$AG$2:$AG$1001,0),0),1)),INDEX($AL$2:$AL$1001,MATCH(ROWS($AG$2:AG196),$AG$2:$AG$1001,0),0)))</f>
        <v>0</v>
      </c>
      <c r="B196" s="4">
        <f>IF(OR(INDEX($AH$2:$AH$1001,MATCH(ROWS($AG$2:AG196),$AG$2:$AG$1001,0),1)&gt;=100000,INDEX($AN$1005:$BO$1005,1,MATCH(COLUMNS($AN$1006:AN1006),$AN$1006:$BO$1006,0))&gt;=100000), " ",IF(INDEX($AN$2:$BO$1001,MATCH(ROWS($AG$2:AG196),$AG$2:$AG$1001,0),MATCH(COLUMNS($AN$1006:AN1006),$AN$1006:$BO$1006,0)), HYPERLINK("#",""), HYPERLINK(CONCATENATE("#Metadata!", ADDRESS(INDEX($AI$2:$AI$1001,MATCH(ROWS($AG$2:AG196),$AG$2:$AG$1001,0),0), INDEX($AN$1004:$BO$1004,1,MATCH(COLUMNS($AN$1006:AN1006),$AN$1006:$BO$1006,0)))),"Fix")))</f>
        <v>0</v>
      </c>
      <c r="C196" s="4">
        <f>IF(OR(INDEX($AH$2:$AH$1001,MATCH(ROWS($AG$2:AG196),$AG$2:$AG$1001,0),1)&gt;=100000,INDEX($AN$1005:$BO$1005,1,MATCH(COLUMNS($AN$1006:AO1006),$AN$1006:$BO$1006,0))&gt;=100000), " ",IF(INDEX($AN$2:$BO$1001,MATCH(ROWS($AG$2:AG196),$AG$2:$AG$1001,0),MATCH(COLUMNS($AN$1006:AO1006),$AN$1006:$BO$1006,0)), HYPERLINK("#",""), HYPERLINK(CONCATENATE("#Metadata!", ADDRESS(INDEX($AI$2:$AI$1001,MATCH(ROWS($AG$2:AG196),$AG$2:$AG$1001,0),0), INDEX($AN$1004:$BO$1004,1,MATCH(COLUMNS($AN$1006:AO1006),$AN$1006:$BO$1006,0)))),"Fix")))</f>
        <v>0</v>
      </c>
      <c r="D196" s="4">
        <f>IF(OR(INDEX($AH$2:$AH$1001,MATCH(ROWS($AG$2:AG196),$AG$2:$AG$1001,0),1)&gt;=100000,INDEX($AN$1005:$BO$1005,1,MATCH(COLUMNS($AN$1006:AP1006),$AN$1006:$BO$1006,0))&gt;=100000), " ",IF(INDEX($AN$2:$BO$1001,MATCH(ROWS($AG$2:AG196),$AG$2:$AG$1001,0),MATCH(COLUMNS($AN$1006:AP1006),$AN$1006:$BO$1006,0)), HYPERLINK("#",""), HYPERLINK(CONCATENATE("#Metadata!", ADDRESS(INDEX($AI$2:$AI$1001,MATCH(ROWS($AG$2:AG196),$AG$2:$AG$1001,0),0), INDEX($AN$1004:$BO$1004,1,MATCH(COLUMNS($AN$1006:AP1006),$AN$1006:$BO$1006,0)))),"Fix")))</f>
        <v>0</v>
      </c>
      <c r="E196" s="4">
        <f>IF(OR(INDEX($AH$2:$AH$1001,MATCH(ROWS($AG$2:AG196),$AG$2:$AG$1001,0),1)&gt;=100000,INDEX($AN$1005:$BO$1005,1,MATCH(COLUMNS($AN$1006:AQ1006),$AN$1006:$BO$1006,0))&gt;=100000), " ",IF(INDEX($AN$2:$BO$1001,MATCH(ROWS($AG$2:AG196),$AG$2:$AG$1001,0),MATCH(COLUMNS($AN$1006:AQ1006),$AN$1006:$BO$1006,0)), HYPERLINK("#",""), HYPERLINK(CONCATENATE("#Metadata!", ADDRESS(INDEX($AI$2:$AI$1001,MATCH(ROWS($AG$2:AG196),$AG$2:$AG$1001,0),0), INDEX($AN$1004:$BO$1004,1,MATCH(COLUMNS($AN$1006:AQ1006),$AN$1006:$BO$1006,0)))),"Fix")))</f>
        <v>0</v>
      </c>
      <c r="F196" s="4">
        <f>IF(OR(INDEX($AH$2:$AH$1001,MATCH(ROWS($AG$2:AG196),$AG$2:$AG$1001,0),1)&gt;=100000,INDEX($AN$1005:$BO$1005,1,MATCH(COLUMNS($AN$1006:AR1006),$AN$1006:$BO$1006,0))&gt;=100000), " ",IF(INDEX($AN$2:$BO$1001,MATCH(ROWS($AG$2:AG196),$AG$2:$AG$1001,0),MATCH(COLUMNS($AN$1006:AR1006),$AN$1006:$BO$1006,0)), HYPERLINK("#",""), HYPERLINK(CONCATENATE("#Metadata!", ADDRESS(INDEX($AI$2:$AI$1001,MATCH(ROWS($AG$2:AG196),$AG$2:$AG$1001,0),0), INDEX($AN$1004:$BO$1004,1,MATCH(COLUMNS($AN$1006:AR1006),$AN$1006:$BO$1006,0)))),"Fix")))</f>
        <v>0</v>
      </c>
      <c r="G196" s="4">
        <f>IF(OR(INDEX($AH$2:$AH$1001,MATCH(ROWS($AG$2:AG196),$AG$2:$AG$1001,0),1)&gt;=100000,INDEX($AN$1005:$BO$1005,1,MATCH(COLUMNS($AN$1006:AS1006),$AN$1006:$BO$1006,0))&gt;=100000), " ",IF(INDEX($AN$2:$BO$1001,MATCH(ROWS($AG$2:AG196),$AG$2:$AG$1001,0),MATCH(COLUMNS($AN$1006:AS1006),$AN$1006:$BO$1006,0)), HYPERLINK("#",""), HYPERLINK(CONCATENATE("#Metadata!", ADDRESS(INDEX($AI$2:$AI$1001,MATCH(ROWS($AG$2:AG196),$AG$2:$AG$1001,0),0), INDEX($AN$1004:$BO$1004,1,MATCH(COLUMNS($AN$1006:AS1006),$AN$1006:$BO$1006,0)))),"Fix")))</f>
        <v>0</v>
      </c>
      <c r="H196" s="4">
        <f>IF(OR(INDEX($AH$2:$AH$1001,MATCH(ROWS($AG$2:AG196),$AG$2:$AG$1001,0),1)&gt;=100000,INDEX($AN$1005:$BO$1005,1,MATCH(COLUMNS($AN$1006:AT1006),$AN$1006:$BO$1006,0))&gt;=100000), " ",IF(INDEX($AN$2:$BO$1001,MATCH(ROWS($AG$2:AG196),$AG$2:$AG$1001,0),MATCH(COLUMNS($AN$1006:AT1006),$AN$1006:$BO$1006,0)), HYPERLINK("#",""), HYPERLINK(CONCATENATE("#Metadata!", ADDRESS(INDEX($AI$2:$AI$1001,MATCH(ROWS($AG$2:AG196),$AG$2:$AG$1001,0),0), INDEX($AN$1004:$BO$1004,1,MATCH(COLUMNS($AN$1006:AT1006),$AN$1006:$BO$1006,0)))),"Fix")))</f>
        <v>0</v>
      </c>
      <c r="I196" s="4">
        <f>IF(OR(INDEX($AH$2:$AH$1001,MATCH(ROWS($AG$2:AG196),$AG$2:$AG$1001,0),1)&gt;=100000,INDEX($AN$1005:$BO$1005,1,MATCH(COLUMNS($AN$1006:AU1006),$AN$1006:$BO$1006,0))&gt;=100000), " ",IF(INDEX($AN$2:$BO$1001,MATCH(ROWS($AG$2:AG196),$AG$2:$AG$1001,0),MATCH(COLUMNS($AN$1006:AU1006),$AN$1006:$BO$1006,0)), HYPERLINK("#",""), HYPERLINK(CONCATENATE("#Metadata!", ADDRESS(INDEX($AI$2:$AI$1001,MATCH(ROWS($AG$2:AG196),$AG$2:$AG$1001,0),0), INDEX($AN$1004:$BO$1004,1,MATCH(COLUMNS($AN$1006:AU1006),$AN$1006:$BO$1006,0)))),"Fix")))</f>
        <v>0</v>
      </c>
      <c r="J196" s="4">
        <f>IF(OR(INDEX($AH$2:$AH$1001,MATCH(ROWS($AG$2:AG196),$AG$2:$AG$1001,0),1)&gt;=100000,INDEX($AN$1005:$BO$1005,1,MATCH(COLUMNS($AN$1006:AV1006),$AN$1006:$BO$1006,0))&gt;=100000), " ",IF(INDEX($AN$2:$BO$1001,MATCH(ROWS($AG$2:AG196),$AG$2:$AG$1001,0),MATCH(COLUMNS($AN$1006:AV1006),$AN$1006:$BO$1006,0)), HYPERLINK("#",""), HYPERLINK(CONCATENATE("#Metadata!", ADDRESS(INDEX($AI$2:$AI$1001,MATCH(ROWS($AG$2:AG196),$AG$2:$AG$1001,0),0), INDEX($AN$1004:$BO$1004,1,MATCH(COLUMNS($AN$1006:AV1006),$AN$1006:$BO$1006,0)))),"Fix")))</f>
        <v>0</v>
      </c>
      <c r="K196" s="4">
        <f>IF(OR(INDEX($AH$2:$AH$1001,MATCH(ROWS($AG$2:AG196),$AG$2:$AG$1001,0),1)&gt;=100000,INDEX($AN$1005:$BO$1005,1,MATCH(COLUMNS($AN$1006:AW1006),$AN$1006:$BO$1006,0))&gt;=100000), " ",IF(INDEX($AN$2:$BO$1001,MATCH(ROWS($AG$2:AG196),$AG$2:$AG$1001,0),MATCH(COLUMNS($AN$1006:AW1006),$AN$1006:$BO$1006,0)), HYPERLINK("#",""), HYPERLINK(CONCATENATE("#Metadata!", ADDRESS(INDEX($AI$2:$AI$1001,MATCH(ROWS($AG$2:AG196),$AG$2:$AG$1001,0),0), INDEX($AN$1004:$BO$1004,1,MATCH(COLUMNS($AN$1006:AW1006),$AN$1006:$BO$1006,0)))),"Fix")))</f>
        <v>0</v>
      </c>
      <c r="L196" s="4">
        <f>IF(OR(INDEX($AH$2:$AH$1001,MATCH(ROWS($AG$2:AG196),$AG$2:$AG$1001,0),1)&gt;=100000,INDEX($AN$1005:$BO$1005,1,MATCH(COLUMNS($AN$1006:AX1006),$AN$1006:$BO$1006,0))&gt;=100000), " ",IF(INDEX($AN$2:$BO$1001,MATCH(ROWS($AG$2:AG196),$AG$2:$AG$1001,0),MATCH(COLUMNS($AN$1006:AX1006),$AN$1006:$BO$1006,0)), HYPERLINK("#",""), HYPERLINK(CONCATENATE("#Metadata!", ADDRESS(INDEX($AI$2:$AI$1001,MATCH(ROWS($AG$2:AG196),$AG$2:$AG$1001,0),0), INDEX($AN$1004:$BO$1004,1,MATCH(COLUMNS($AN$1006:AX1006),$AN$1006:$BO$1006,0)))),"Fix")))</f>
        <v>0</v>
      </c>
      <c r="M196" s="4">
        <f>IF(OR(INDEX($AH$2:$AH$1001,MATCH(ROWS($AG$2:AG196),$AG$2:$AG$1001,0),1)&gt;=100000,INDEX($AN$1005:$BO$1005,1,MATCH(COLUMNS($AN$1006:AY1006),$AN$1006:$BO$1006,0))&gt;=100000), " ",IF(INDEX($AN$2:$BO$1001,MATCH(ROWS($AG$2:AG196),$AG$2:$AG$1001,0),MATCH(COLUMNS($AN$1006:AY1006),$AN$1006:$BO$1006,0)), HYPERLINK("#",""), HYPERLINK(CONCATENATE("#Metadata!", ADDRESS(INDEX($AI$2:$AI$1001,MATCH(ROWS($AG$2:AG196),$AG$2:$AG$1001,0),0), INDEX($AN$1004:$BO$1004,1,MATCH(COLUMNS($AN$1006:AY1006),$AN$1006:$BO$1006,0)))),"Fix")))</f>
        <v>0</v>
      </c>
      <c r="N196" s="4">
        <f>IF(OR(INDEX($AH$2:$AH$1001,MATCH(ROWS($AG$2:AG196),$AG$2:$AG$1001,0),1)&gt;=100000,INDEX($AN$1005:$BO$1005,1,MATCH(COLUMNS($AN$1006:AZ1006),$AN$1006:$BO$1006,0))&gt;=100000), " ",IF(INDEX($AN$2:$BO$1001,MATCH(ROWS($AG$2:AG196),$AG$2:$AG$1001,0),MATCH(COLUMNS($AN$1006:AZ1006),$AN$1006:$BO$1006,0)), HYPERLINK("#",""), HYPERLINK(CONCATENATE("#Metadata!", ADDRESS(INDEX($AI$2:$AI$1001,MATCH(ROWS($AG$2:AG196),$AG$2:$AG$1001,0),0), INDEX($AN$1004:$BO$1004,1,MATCH(COLUMNS($AN$1006:AZ1006),$AN$1006:$BO$1006,0)))),"Fix")))</f>
        <v>0</v>
      </c>
      <c r="O196" s="4">
        <f>IF(OR(INDEX($AH$2:$AH$1001,MATCH(ROWS($AG$2:AG196),$AG$2:$AG$1001,0),1)&gt;=100000,INDEX($AN$1005:$BO$1005,1,MATCH(COLUMNS($AN$1006:BA1006),$AN$1006:$BO$1006,0))&gt;=100000), " ",IF(INDEX($AN$2:$BO$1001,MATCH(ROWS($AG$2:AG196),$AG$2:$AG$1001,0),MATCH(COLUMNS($AN$1006:BA1006),$AN$1006:$BO$1006,0)), HYPERLINK("#",""), HYPERLINK(CONCATENATE("#Metadata!", ADDRESS(INDEX($AI$2:$AI$1001,MATCH(ROWS($AG$2:AG196),$AG$2:$AG$1001,0),0), INDEX($AN$1004:$BO$1004,1,MATCH(COLUMNS($AN$1006:BA1006),$AN$1006:$BO$1006,0)))),"Fix")))</f>
        <v>0</v>
      </c>
      <c r="P196" s="4">
        <f>IF(OR(INDEX($AH$2:$AH$1001,MATCH(ROWS($AG$2:AG196),$AG$2:$AG$1001,0),1)&gt;=100000,INDEX($AN$1005:$BO$1005,1,MATCH(COLUMNS($AN$1006:BB1006),$AN$1006:$BO$1006,0))&gt;=100000), " ",IF(INDEX($AN$2:$BO$1001,MATCH(ROWS($AG$2:AG196),$AG$2:$AG$1001,0),MATCH(COLUMNS($AN$1006:BB1006),$AN$1006:$BO$1006,0)), HYPERLINK("#",""), HYPERLINK(CONCATENATE("#Metadata!", ADDRESS(INDEX($AI$2:$AI$1001,MATCH(ROWS($AG$2:AG196),$AG$2:$AG$1001,0),0), INDEX($AN$1004:$BO$1004,1,MATCH(COLUMNS($AN$1006:BB1006),$AN$1006:$BO$1006,0)))),"Fix")))</f>
        <v>0</v>
      </c>
      <c r="Q196" s="4">
        <f>IF(OR(INDEX($AH$2:$AH$1001,MATCH(ROWS($AG$2:AG196),$AG$2:$AG$1001,0),1)&gt;=100000,INDEX($AN$1005:$BO$1005,1,MATCH(COLUMNS($AN$1006:BC1006),$AN$1006:$BO$1006,0))&gt;=100000), " ",IF(INDEX($AN$2:$BO$1001,MATCH(ROWS($AG$2:AG196),$AG$2:$AG$1001,0),MATCH(COLUMNS($AN$1006:BC1006),$AN$1006:$BO$1006,0)), HYPERLINK("#",""), HYPERLINK(CONCATENATE("#Metadata!", ADDRESS(INDEX($AI$2:$AI$1001,MATCH(ROWS($AG$2:AG196),$AG$2:$AG$1001,0),0), INDEX($AN$1004:$BO$1004,1,MATCH(COLUMNS($AN$1006:BC1006),$AN$1006:$BO$1006,0)))),"Fix")))</f>
        <v>0</v>
      </c>
      <c r="R196" s="4">
        <f>IF(OR(INDEX($AH$2:$AH$1001,MATCH(ROWS($AG$2:AG196),$AG$2:$AG$1001,0),1)&gt;=100000,INDEX($AN$1005:$BO$1005,1,MATCH(COLUMNS($AN$1006:BD1006),$AN$1006:$BO$1006,0))&gt;=100000), " ",IF(INDEX($AN$2:$BO$1001,MATCH(ROWS($AG$2:AG196),$AG$2:$AG$1001,0),MATCH(COLUMNS($AN$1006:BD1006),$AN$1006:$BO$1006,0)), HYPERLINK("#",""), HYPERLINK(CONCATENATE("#Metadata!", ADDRESS(INDEX($AI$2:$AI$1001,MATCH(ROWS($AG$2:AG196),$AG$2:$AG$1001,0),0), INDEX($AN$1004:$BO$1004,1,MATCH(COLUMNS($AN$1006:BD1006),$AN$1006:$BO$1006,0)))),"Fix")))</f>
        <v>0</v>
      </c>
      <c r="S196" s="4">
        <f>IF(OR(INDEX($AH$2:$AH$1001,MATCH(ROWS($AG$2:AG196),$AG$2:$AG$1001,0),1)&gt;=100000,INDEX($AN$1005:$BO$1005,1,MATCH(COLUMNS($AN$1006:BE1006),$AN$1006:$BO$1006,0))&gt;=100000), " ",IF(INDEX($AN$2:$BO$1001,MATCH(ROWS($AG$2:AG196),$AG$2:$AG$1001,0),MATCH(COLUMNS($AN$1006:BE1006),$AN$1006:$BO$1006,0)), HYPERLINK("#",""), HYPERLINK(CONCATENATE("#Metadata!", ADDRESS(INDEX($AI$2:$AI$1001,MATCH(ROWS($AG$2:AG196),$AG$2:$AG$1001,0),0), INDEX($AN$1004:$BO$1004,1,MATCH(COLUMNS($AN$1006:BE1006),$AN$1006:$BO$1006,0)))),"Fix")))</f>
        <v>0</v>
      </c>
      <c r="T196" s="4">
        <f>IF(OR(INDEX($AH$2:$AH$1001,MATCH(ROWS($AG$2:AG196),$AG$2:$AG$1001,0),1)&gt;=100000,INDEX($AN$1005:$BO$1005,1,MATCH(COLUMNS($AN$1006:BF1006),$AN$1006:$BO$1006,0))&gt;=100000), " ",IF(INDEX($AN$2:$BO$1001,MATCH(ROWS($AG$2:AG196),$AG$2:$AG$1001,0),MATCH(COLUMNS($AN$1006:BF1006),$AN$1006:$BO$1006,0)), HYPERLINK("#",""), HYPERLINK(CONCATENATE("#Metadata!", ADDRESS(INDEX($AI$2:$AI$1001,MATCH(ROWS($AG$2:AG196),$AG$2:$AG$1001,0),0), INDEX($AN$1004:$BO$1004,1,MATCH(COLUMNS($AN$1006:BF1006),$AN$1006:$BO$1006,0)))),"Fix")))</f>
        <v>0</v>
      </c>
      <c r="U196" s="4">
        <f>IF(OR(INDEX($AH$2:$AH$1001,MATCH(ROWS($AG$2:AG196),$AG$2:$AG$1001,0),1)&gt;=100000,INDEX($AN$1005:$BO$1005,1,MATCH(COLUMNS($AN$1006:BG1006),$AN$1006:$BO$1006,0))&gt;=100000), " ",IF(INDEX($AN$2:$BO$1001,MATCH(ROWS($AG$2:AG196),$AG$2:$AG$1001,0),MATCH(COLUMNS($AN$1006:BG1006),$AN$1006:$BO$1006,0)), HYPERLINK("#",""), HYPERLINK(CONCATENATE("#Metadata!", ADDRESS(INDEX($AI$2:$AI$1001,MATCH(ROWS($AG$2:AG196),$AG$2:$AG$1001,0),0), INDEX($AN$1004:$BO$1004,1,MATCH(COLUMNS($AN$1006:BG1006),$AN$1006:$BO$1006,0)))),"Fix")))</f>
        <v>0</v>
      </c>
      <c r="V196" s="4">
        <f>IF(OR(INDEX($AH$2:$AH$1001,MATCH(ROWS($AG$2:AG196),$AG$2:$AG$1001,0),1)&gt;=100000,INDEX($AN$1005:$BO$1005,1,MATCH(COLUMNS($AN$1006:BH1006),$AN$1006:$BO$1006,0))&gt;=100000), " ",IF(INDEX($AN$2:$BO$1001,MATCH(ROWS($AG$2:AG196),$AG$2:$AG$1001,0),MATCH(COLUMNS($AN$1006:BH1006),$AN$1006:$BO$1006,0)), HYPERLINK("#",""), HYPERLINK(CONCATENATE("#Metadata!", ADDRESS(INDEX($AI$2:$AI$1001,MATCH(ROWS($AG$2:AG196),$AG$2:$AG$1001,0),0), INDEX($AN$1004:$BO$1004,1,MATCH(COLUMNS($AN$1006:BH1006),$AN$1006:$BO$1006,0)))),"Fix")))</f>
        <v>0</v>
      </c>
      <c r="W196" s="4">
        <f>IF(OR(INDEX($AH$2:$AH$1001,MATCH(ROWS($AG$2:AG196),$AG$2:$AG$1001,0),1)&gt;=100000,INDEX($AN$1005:$BO$1005,1,MATCH(COLUMNS($AN$1006:BI1006),$AN$1006:$BO$1006,0))&gt;=100000), " ",IF(INDEX($AN$2:$BO$1001,MATCH(ROWS($AG$2:AG196),$AG$2:$AG$1001,0),MATCH(COLUMNS($AN$1006:BI1006),$AN$1006:$BO$1006,0)), HYPERLINK("#",""), HYPERLINK(CONCATENATE("#Metadata!", ADDRESS(INDEX($AI$2:$AI$1001,MATCH(ROWS($AG$2:AG196),$AG$2:$AG$1001,0),0), INDEX($AN$1004:$BO$1004,1,MATCH(COLUMNS($AN$1006:BI1006),$AN$1006:$BO$1006,0)))),"Fix")))</f>
        <v>0</v>
      </c>
      <c r="X196" s="4">
        <f>IF(OR(INDEX($AH$2:$AH$1001,MATCH(ROWS($AG$2:AG196),$AG$2:$AG$1001,0),1)&gt;=100000,INDEX($AN$1005:$BO$1005,1,MATCH(COLUMNS($AN$1006:BJ1006),$AN$1006:$BO$1006,0))&gt;=100000), " ",IF(INDEX($AN$2:$BO$1001,MATCH(ROWS($AG$2:AG196),$AG$2:$AG$1001,0),MATCH(COLUMNS($AN$1006:BJ1006),$AN$1006:$BO$1006,0)), HYPERLINK("#",""), HYPERLINK(CONCATENATE("#Metadata!", ADDRESS(INDEX($AI$2:$AI$1001,MATCH(ROWS($AG$2:AG196),$AG$2:$AG$1001,0),0), INDEX($AN$1004:$BO$1004,1,MATCH(COLUMNS($AN$1006:BJ1006),$AN$1006:$BO$1006,0)))),"Fix")))</f>
        <v>0</v>
      </c>
      <c r="Y196" s="4">
        <f>IF(OR(INDEX($AH$2:$AH$1001,MATCH(ROWS($AG$2:AG196),$AG$2:$AG$1001,0),1)&gt;=100000,INDEX($AN$1005:$BO$1005,1,MATCH(COLUMNS($AN$1006:BK1006),$AN$1006:$BO$1006,0))&gt;=100000), " ",IF(INDEX($AN$2:$BO$1001,MATCH(ROWS($AG$2:AG196),$AG$2:$AG$1001,0),MATCH(COLUMNS($AN$1006:BK1006),$AN$1006:$BO$1006,0)), HYPERLINK("#",""), HYPERLINK(CONCATENATE("#Metadata!", ADDRESS(INDEX($AI$2:$AI$1001,MATCH(ROWS($AG$2:AG196),$AG$2:$AG$1001,0),0), INDEX($AN$1004:$BO$1004,1,MATCH(COLUMNS($AN$1006:BK1006),$AN$1006:$BO$1006,0)))),"Fix")))</f>
        <v>0</v>
      </c>
      <c r="Z196" s="4">
        <f>IF(OR(INDEX($AH$2:$AH$1001,MATCH(ROWS($AG$2:AG196),$AG$2:$AG$1001,0),1)&gt;=100000,INDEX($AN$1005:$BO$1005,1,MATCH(COLUMNS($AN$1006:BL1006),$AN$1006:$BO$1006,0))&gt;=100000), " ",IF(INDEX($AN$2:$BO$1001,MATCH(ROWS($AG$2:AG196),$AG$2:$AG$1001,0),MATCH(COLUMNS($AN$1006:BL1006),$AN$1006:$BO$1006,0)), HYPERLINK("#",""), HYPERLINK(CONCATENATE("#Metadata!", ADDRESS(INDEX($AI$2:$AI$1001,MATCH(ROWS($AG$2:AG196),$AG$2:$AG$1001,0),0), INDEX($AN$1004:$BO$1004,1,MATCH(COLUMNS($AN$1006:BL1006),$AN$1006:$BO$1006,0)))),"Fix")))</f>
        <v>0</v>
      </c>
      <c r="AA196" s="4">
        <f>IF(OR(INDEX($AH$2:$AH$1001,MATCH(ROWS($AG$2:AG196),$AG$2:$AG$1001,0),1)&gt;=100000,INDEX($AN$1005:$BO$1005,1,MATCH(COLUMNS($AN$1006:BM1006),$AN$1006:$BO$1006,0))&gt;=100000), " ",IF(INDEX($AN$2:$BO$1001,MATCH(ROWS($AG$2:AG196),$AG$2:$AG$1001,0),MATCH(COLUMNS($AN$1006:BM1006),$AN$1006:$BO$1006,0)), HYPERLINK("#",""), HYPERLINK(CONCATENATE("#Metadata!", ADDRESS(INDEX($AI$2:$AI$1001,MATCH(ROWS($AG$2:AG196),$AG$2:$AG$1001,0),0), INDEX($AN$1004:$BO$1004,1,MATCH(COLUMNS($AN$1006:BM1006),$AN$1006:$BO$1006,0)))),"Fix")))</f>
        <v>0</v>
      </c>
      <c r="AB196" s="4">
        <f>IF(OR(INDEX($AH$2:$AH$1001,MATCH(ROWS($AG$2:AG196),$AG$2:$AG$1001,0),1)&gt;=100000,INDEX($AN$1005:$BO$1005,1,MATCH(COLUMNS($AN$1006:BN1006),$AN$1006:$BO$1006,0))&gt;=100000), " ",IF(INDEX($AN$2:$BO$1001,MATCH(ROWS($AG$2:AG196),$AG$2:$AG$1001,0),MATCH(COLUMNS($AN$1006:BN1006),$AN$1006:$BO$1006,0)), HYPERLINK("#",""), HYPERLINK(CONCATENATE("#Metadata!", ADDRESS(INDEX($AI$2:$AI$1001,MATCH(ROWS($AG$2:AG196),$AG$2:$AG$1001,0),0), INDEX($AN$1004:$BO$1004,1,MATCH(COLUMNS($AN$1006:BN1006),$AN$1006:$BO$1006,0)))),"Fix")))</f>
        <v>0</v>
      </c>
      <c r="AC196" s="4">
        <f>IF(OR(INDEX($AH$2:$AH$1001,MATCH(ROWS($AG$2:AG196),$AG$2:$AG$1001,0),1)&gt;=100000,INDEX($AN$1005:$BO$1005,1,MATCH(COLUMNS($AN$1006:BO1006),$AN$1006:$BO$1006,0))&gt;=100000), " ",IF(INDEX($AN$2:$BO$1001,MATCH(ROWS($AG$2:AG196),$AG$2:$AG$1001,0),MATCH(COLUMNS($AN$1006:BO1006),$AN$1006:$BO$1006,0)), HYPERLINK("#",""), HYPERLINK(CONCATENATE("#Metadata!", ADDRESS(INDEX($AI$2:$AI$1001,MATCH(ROWS($AG$2:AG196),$AG$2:$AG$1001,0),0), INDEX($AN$1004:$BO$1004,1,MATCH(COLUMNS($AN$1006:BO1006),$AN$1006:$BO$1006,0)))),"Fix")))</f>
        <v>0</v>
      </c>
      <c r="AG196">
        <v>0</v>
      </c>
      <c r="AH196">
        <v>0</v>
      </c>
      <c r="AI196">
        <v>0</v>
      </c>
      <c r="AJ196">
        <f>IF(AK196,TRUE,AND(AN196:BO196))</f>
        <v>0</v>
      </c>
      <c r="AK196">
        <f>COUNTBLANK(Metadata!B196:AC196)=COLUMNS(Metadata!B196:AC196)</f>
        <v>0</v>
      </c>
      <c r="AL196">
        <v>0</v>
      </c>
      <c r="AN196">
        <f>AND(IF(Metadata!B196="",FALSE,TRUE),COUNTIF(Metadata!B:B, Metadata!B196) = 1,NOT(ISERROR(SUMPRODUCT(SEARCH(MID(Metadata!B196,ROW(INDIRECT("1:"&amp;LEN(Metadata!B196))), 1),"0123456789abcdefghijklmnopqrstuvwxyzABCDEFGHIJKLMNOPQRSTUVWXYZ.")))))</f>
        <v>0</v>
      </c>
      <c r="AO196">
        <f>IF(Metadata!C196="",FALSE,TRUE)</f>
        <v>0</v>
      </c>
      <c r="AP196">
        <f>IF(Metadata!D196="",FALSE,TRUE)</f>
        <v>0</v>
      </c>
      <c r="AQ196">
        <f>OR(AND(IF(Metadata!E196="",FALSE,TRUE),OR(exact(Metadata!E196,"not collected"),exact(Metadata!E196,"not provided"),exact(Metadata!E196,"restricted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R196">
        <f>IF(Metadata!F196="",FALSE,TRUE)</f>
        <v>0</v>
      </c>
      <c r="AS196">
        <f>OR(AND(IF(Metadata!G196="",FALSE,TRUE),OR(exact(Metadata!G196,"not collected"),exact(Metadata!G196,"not provided"))),AND(IF(Metadata!G196="",FALSE,TRUE),OR(exact(Metadata!G196,"TRUE"),exact(Metadata!G196,"FALSE"))))</f>
        <v>0</v>
      </c>
      <c r="AT196">
        <f>OR(AND(IF(Metadata!H196="",FALSE,TRUE),OR(exact(Metadata!H196,"not collected"),exact(Metadata!H196,"not provided"),exact(Metadata!H196,"restricted access"))),AND(IF(Metadata!H196="",FALSE,ISNUMBER(VALUE(Metadata!H196))),Metadata!H196&gt;=-413.0))</f>
        <v>0</v>
      </c>
      <c r="AU196">
        <f>AND(IF(Metadata!I196="",FALSE,TRUE),exact(Metadata!I196,"meters"))</f>
        <v>0</v>
      </c>
      <c r="AV196">
        <f>AND(IF(Metadata!J196="",FALSE,TRUE),OR(exact(Metadata!J196,"Host-associated"),exact(Metadata!J196,"Free-living")))</f>
        <v>0</v>
      </c>
      <c r="AW196">
        <f>AND(IF(Metadata!K196="",FALSE,TRUE),OR(exact(Metadata!K196,"Animal"),exact(Metadata!K196,"Fungus"),exact(Metadata!K196,"Plant"),exact(Metadata!K196,"Saline"),exact(Metadata!K196,"Non-saline")))</f>
        <v>0</v>
      </c>
      <c r="AX196">
        <f>AND(IF(Metadata!L196="",FALSE,TRUE),OR(exact(Metadata!L196,"Plant secretion"),exact(Metadata!L196,"Plant rhizosphere"),exact(Metadata!L196,"Plant surface"),exact(Metadata!L196,"Plant corpus"),exact(Metadata!L196,"Fungus surface"),exact(Metadata!L196,"Fungus corpus"),exact(Metadata!L196,"Animal surface"),exact(Metadata!L196,"Animal proximal gut"),exact(Metadata!L196,"Animal corpus"),exact(Metadata!L196,"Animal distal gut"),exact(Metadata!L196,"Animal secretion"),exact(Metadata!L196,"Sub-surface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Y196">
        <f>IF(Metadata!M196="",FALSE,TRUE)</f>
        <v>0</v>
      </c>
      <c r="AZ196">
        <f>IF(Metadata!N196="",FALSE,TRUE)</f>
        <v>0</v>
      </c>
      <c r="BA196">
        <f>IF(Metadata!O196="",FALSE,TRUE)</f>
        <v>0</v>
      </c>
      <c r="BB196">
        <f>OR(AND(IF(Metadata!P196="",FALSE,TRUE),OR(exact(Metadata!P196,"not collected"),exact(Metadata!P196,"not provided"),exact(Metadata!P196,"restricted access"))),AND(IF(Metadata!P196="",FALSE,TRUE),OR(exact(Metadata!P196,"air"),exact(Metadata!P196,"built environment"),exact(Metadata!P196,"host-associated"),exact(Metadata!P196,"human-associated"),exact(Metadata!P196,"human-skin"),exact(Metadata!P196,"human-oral"),exact(Metadata!P196,"human-gut"),exact(Metadata!P196,"human-vaginal"),exact(Metadata!P196,"microbial mat/biofilm"),exact(Metadata!P196,"misc environment"),exact(Metadata!P196,"plant-associated"),exact(Metadata!P196,"sediment"),exact(Metadata!P196,"soil"),exact(Metadata!P196,"wastewater/sludge"),exact(Metadata!P196,"water"))))</f>
        <v>0</v>
      </c>
      <c r="BC196">
        <f>IF(Metadata!Q196="",FALSE,TRUE)</f>
        <v>0</v>
      </c>
      <c r="BD196">
        <f>IF(Metadata!R196="",FALSE,TRUE)</f>
        <v>0</v>
      </c>
      <c r="BE196">
        <f>OR(AND(IF(Metadata!S196="",FALSE,TRUE),OR(exact(Metadata!S196,"not collected"),exact(Metadata!S196,"not provided"),exact(Metadata!S196,"restricted access"))),AND(IF(Metadata!S196="",FALSE,ISNUMBER(VALUE(Metadata!S196))),Metadata!S196&gt;=-90.00,Metadata!S196&lt;=90.00))</f>
        <v>0</v>
      </c>
      <c r="BF196">
        <f>AND(IF(Metadata!T196="",FALSE,TRUE),exact(Metadata!T196,"Decimal degrees"))</f>
        <v>0</v>
      </c>
      <c r="BG196">
        <f>OR(AND(IF(Metadata!U196="",FALSE,TRUE),OR(exact(Metadata!U196,"not collected"),exact(Metadata!U196,"not provided"),exact(Metadata!U196,"restricted access"))),AND(IF(Metadata!U196="",FALSE,ISNUMBER(VALUE(Metadata!U196))),Metadata!U196&gt;=-180.00,Metadata!U196&lt;=180.00))</f>
        <v>0</v>
      </c>
      <c r="BH196">
        <f>AND(IF(Metadata!V196="",FALSE,TRUE),exact(Metadata!V196,"Decimal degrees"))</f>
        <v>0</v>
      </c>
      <c r="BI196">
        <f>IF(Metadata!W196="",FALSE,TRUE)</f>
        <v>0</v>
      </c>
      <c r="BJ196">
        <f>OR(AND(IF(Metadata!X196="",FALSE,TRUE),OR(exact(Metadata!X196,"not collected"),exact(Metadata!X196,"not provided"),exact(Metadata!X196,"restricted access"))),AND(IF(Metadata!X196="",FALSE,TRUE),OR(exact(Metadata!X196,"TRUE"),exact(Metadata!X196,"FALSE"))))</f>
        <v>0</v>
      </c>
      <c r="BK196">
        <f>AND(IF(Metadata!Y196="",FALSE,TRUE),exact(Metadata!Y196,"other"))</f>
        <v>0</v>
      </c>
      <c r="BL196">
        <f>IF(Metadata!Z196="",FALSE,TRUE)</f>
        <v>0</v>
      </c>
      <c r="BM196">
        <f>OR(AND(IF(Metadata!AA196="",FALSE,TRUE),OR(exact(Metadata!AA196,"not collected"),exact(Metadata!AA196,"not provided"))),AND(IF(Metadata!AA196="",FALSE,IF(ISERROR(INT(Metadata!AA196)),FALSE,INT(Metadata!AA196)=Metadata!AA196)),Metadata!AA196&gt;0))</f>
        <v>0</v>
      </c>
      <c r="BN196">
        <f>AND(IF(Metadata!AB196="",FALSE,TRUE),exact(Metadata!AB196,"Not applicable"))</f>
        <v>0</v>
      </c>
      <c r="BO196">
        <f>IF(Metadata!AC196="",FALSE,TRUE)</f>
        <v>0</v>
      </c>
    </row>
    <row r="197" spans="1:67">
      <c r="A197" s="5">
        <f>IF(B197=" "," ",HYPERLINK(CONCATENATE("#metadata!",ADDRESS(INDEX($AI$2:$AI$1001,MATCH(ROWS($AG$2:AG197),$AG$2:$AG$1001,0),0),1)),INDEX($AL$2:$AL$1001,MATCH(ROWS($AG$2:AG197),$AG$2:$AG$1001,0),0)))</f>
        <v>0</v>
      </c>
      <c r="B197" s="4">
        <f>IF(OR(INDEX($AH$2:$AH$1001,MATCH(ROWS($AG$2:AG197),$AG$2:$AG$1001,0),1)&gt;=100000,INDEX($AN$1005:$BO$1005,1,MATCH(COLUMNS($AN$1006:AN1006),$AN$1006:$BO$1006,0))&gt;=100000), " ",IF(INDEX($AN$2:$BO$1001,MATCH(ROWS($AG$2:AG197),$AG$2:$AG$1001,0),MATCH(COLUMNS($AN$1006:AN1006),$AN$1006:$BO$1006,0)), HYPERLINK("#",""), HYPERLINK(CONCATENATE("#Metadata!", ADDRESS(INDEX($AI$2:$AI$1001,MATCH(ROWS($AG$2:AG197),$AG$2:$AG$1001,0),0), INDEX($AN$1004:$BO$1004,1,MATCH(COLUMNS($AN$1006:AN1006),$AN$1006:$BO$1006,0)))),"Fix")))</f>
        <v>0</v>
      </c>
      <c r="C197" s="4">
        <f>IF(OR(INDEX($AH$2:$AH$1001,MATCH(ROWS($AG$2:AG197),$AG$2:$AG$1001,0),1)&gt;=100000,INDEX($AN$1005:$BO$1005,1,MATCH(COLUMNS($AN$1006:AO1006),$AN$1006:$BO$1006,0))&gt;=100000), " ",IF(INDEX($AN$2:$BO$1001,MATCH(ROWS($AG$2:AG197),$AG$2:$AG$1001,0),MATCH(COLUMNS($AN$1006:AO1006),$AN$1006:$BO$1006,0)), HYPERLINK("#",""), HYPERLINK(CONCATENATE("#Metadata!", ADDRESS(INDEX($AI$2:$AI$1001,MATCH(ROWS($AG$2:AG197),$AG$2:$AG$1001,0),0), INDEX($AN$1004:$BO$1004,1,MATCH(COLUMNS($AN$1006:AO1006),$AN$1006:$BO$1006,0)))),"Fix")))</f>
        <v>0</v>
      </c>
      <c r="D197" s="4">
        <f>IF(OR(INDEX($AH$2:$AH$1001,MATCH(ROWS($AG$2:AG197),$AG$2:$AG$1001,0),1)&gt;=100000,INDEX($AN$1005:$BO$1005,1,MATCH(COLUMNS($AN$1006:AP1006),$AN$1006:$BO$1006,0))&gt;=100000), " ",IF(INDEX($AN$2:$BO$1001,MATCH(ROWS($AG$2:AG197),$AG$2:$AG$1001,0),MATCH(COLUMNS($AN$1006:AP1006),$AN$1006:$BO$1006,0)), HYPERLINK("#",""), HYPERLINK(CONCATENATE("#Metadata!", ADDRESS(INDEX($AI$2:$AI$1001,MATCH(ROWS($AG$2:AG197),$AG$2:$AG$1001,0),0), INDEX($AN$1004:$BO$1004,1,MATCH(COLUMNS($AN$1006:AP1006),$AN$1006:$BO$1006,0)))),"Fix")))</f>
        <v>0</v>
      </c>
      <c r="E197" s="4">
        <f>IF(OR(INDEX($AH$2:$AH$1001,MATCH(ROWS($AG$2:AG197),$AG$2:$AG$1001,0),1)&gt;=100000,INDEX($AN$1005:$BO$1005,1,MATCH(COLUMNS($AN$1006:AQ1006),$AN$1006:$BO$1006,0))&gt;=100000), " ",IF(INDEX($AN$2:$BO$1001,MATCH(ROWS($AG$2:AG197),$AG$2:$AG$1001,0),MATCH(COLUMNS($AN$1006:AQ1006),$AN$1006:$BO$1006,0)), HYPERLINK("#",""), HYPERLINK(CONCATENATE("#Metadata!", ADDRESS(INDEX($AI$2:$AI$1001,MATCH(ROWS($AG$2:AG197),$AG$2:$AG$1001,0),0), INDEX($AN$1004:$BO$1004,1,MATCH(COLUMNS($AN$1006:AQ1006),$AN$1006:$BO$1006,0)))),"Fix")))</f>
        <v>0</v>
      </c>
      <c r="F197" s="4">
        <f>IF(OR(INDEX($AH$2:$AH$1001,MATCH(ROWS($AG$2:AG197),$AG$2:$AG$1001,0),1)&gt;=100000,INDEX($AN$1005:$BO$1005,1,MATCH(COLUMNS($AN$1006:AR1006),$AN$1006:$BO$1006,0))&gt;=100000), " ",IF(INDEX($AN$2:$BO$1001,MATCH(ROWS($AG$2:AG197),$AG$2:$AG$1001,0),MATCH(COLUMNS($AN$1006:AR1006),$AN$1006:$BO$1006,0)), HYPERLINK("#",""), HYPERLINK(CONCATENATE("#Metadata!", ADDRESS(INDEX($AI$2:$AI$1001,MATCH(ROWS($AG$2:AG197),$AG$2:$AG$1001,0),0), INDEX($AN$1004:$BO$1004,1,MATCH(COLUMNS($AN$1006:AR1006),$AN$1006:$BO$1006,0)))),"Fix")))</f>
        <v>0</v>
      </c>
      <c r="G197" s="4">
        <f>IF(OR(INDEX($AH$2:$AH$1001,MATCH(ROWS($AG$2:AG197),$AG$2:$AG$1001,0),1)&gt;=100000,INDEX($AN$1005:$BO$1005,1,MATCH(COLUMNS($AN$1006:AS1006),$AN$1006:$BO$1006,0))&gt;=100000), " ",IF(INDEX($AN$2:$BO$1001,MATCH(ROWS($AG$2:AG197),$AG$2:$AG$1001,0),MATCH(COLUMNS($AN$1006:AS1006),$AN$1006:$BO$1006,0)), HYPERLINK("#",""), HYPERLINK(CONCATENATE("#Metadata!", ADDRESS(INDEX($AI$2:$AI$1001,MATCH(ROWS($AG$2:AG197),$AG$2:$AG$1001,0),0), INDEX($AN$1004:$BO$1004,1,MATCH(COLUMNS($AN$1006:AS1006),$AN$1006:$BO$1006,0)))),"Fix")))</f>
        <v>0</v>
      </c>
      <c r="H197" s="4">
        <f>IF(OR(INDEX($AH$2:$AH$1001,MATCH(ROWS($AG$2:AG197),$AG$2:$AG$1001,0),1)&gt;=100000,INDEX($AN$1005:$BO$1005,1,MATCH(COLUMNS($AN$1006:AT1006),$AN$1006:$BO$1006,0))&gt;=100000), " ",IF(INDEX($AN$2:$BO$1001,MATCH(ROWS($AG$2:AG197),$AG$2:$AG$1001,0),MATCH(COLUMNS($AN$1006:AT1006),$AN$1006:$BO$1006,0)), HYPERLINK("#",""), HYPERLINK(CONCATENATE("#Metadata!", ADDRESS(INDEX($AI$2:$AI$1001,MATCH(ROWS($AG$2:AG197),$AG$2:$AG$1001,0),0), INDEX($AN$1004:$BO$1004,1,MATCH(COLUMNS($AN$1006:AT1006),$AN$1006:$BO$1006,0)))),"Fix")))</f>
        <v>0</v>
      </c>
      <c r="I197" s="4">
        <f>IF(OR(INDEX($AH$2:$AH$1001,MATCH(ROWS($AG$2:AG197),$AG$2:$AG$1001,0),1)&gt;=100000,INDEX($AN$1005:$BO$1005,1,MATCH(COLUMNS($AN$1006:AU1006),$AN$1006:$BO$1006,0))&gt;=100000), " ",IF(INDEX($AN$2:$BO$1001,MATCH(ROWS($AG$2:AG197),$AG$2:$AG$1001,0),MATCH(COLUMNS($AN$1006:AU1006),$AN$1006:$BO$1006,0)), HYPERLINK("#",""), HYPERLINK(CONCATENATE("#Metadata!", ADDRESS(INDEX($AI$2:$AI$1001,MATCH(ROWS($AG$2:AG197),$AG$2:$AG$1001,0),0), INDEX($AN$1004:$BO$1004,1,MATCH(COLUMNS($AN$1006:AU1006),$AN$1006:$BO$1006,0)))),"Fix")))</f>
        <v>0</v>
      </c>
      <c r="J197" s="4">
        <f>IF(OR(INDEX($AH$2:$AH$1001,MATCH(ROWS($AG$2:AG197),$AG$2:$AG$1001,0),1)&gt;=100000,INDEX($AN$1005:$BO$1005,1,MATCH(COLUMNS($AN$1006:AV1006),$AN$1006:$BO$1006,0))&gt;=100000), " ",IF(INDEX($AN$2:$BO$1001,MATCH(ROWS($AG$2:AG197),$AG$2:$AG$1001,0),MATCH(COLUMNS($AN$1006:AV1006),$AN$1006:$BO$1006,0)), HYPERLINK("#",""), HYPERLINK(CONCATENATE("#Metadata!", ADDRESS(INDEX($AI$2:$AI$1001,MATCH(ROWS($AG$2:AG197),$AG$2:$AG$1001,0),0), INDEX($AN$1004:$BO$1004,1,MATCH(COLUMNS($AN$1006:AV1006),$AN$1006:$BO$1006,0)))),"Fix")))</f>
        <v>0</v>
      </c>
      <c r="K197" s="4">
        <f>IF(OR(INDEX($AH$2:$AH$1001,MATCH(ROWS($AG$2:AG197),$AG$2:$AG$1001,0),1)&gt;=100000,INDEX($AN$1005:$BO$1005,1,MATCH(COLUMNS($AN$1006:AW1006),$AN$1006:$BO$1006,0))&gt;=100000), " ",IF(INDEX($AN$2:$BO$1001,MATCH(ROWS($AG$2:AG197),$AG$2:$AG$1001,0),MATCH(COLUMNS($AN$1006:AW1006),$AN$1006:$BO$1006,0)), HYPERLINK("#",""), HYPERLINK(CONCATENATE("#Metadata!", ADDRESS(INDEX($AI$2:$AI$1001,MATCH(ROWS($AG$2:AG197),$AG$2:$AG$1001,0),0), INDEX($AN$1004:$BO$1004,1,MATCH(COLUMNS($AN$1006:AW1006),$AN$1006:$BO$1006,0)))),"Fix")))</f>
        <v>0</v>
      </c>
      <c r="L197" s="4">
        <f>IF(OR(INDEX($AH$2:$AH$1001,MATCH(ROWS($AG$2:AG197),$AG$2:$AG$1001,0),1)&gt;=100000,INDEX($AN$1005:$BO$1005,1,MATCH(COLUMNS($AN$1006:AX1006),$AN$1006:$BO$1006,0))&gt;=100000), " ",IF(INDEX($AN$2:$BO$1001,MATCH(ROWS($AG$2:AG197),$AG$2:$AG$1001,0),MATCH(COLUMNS($AN$1006:AX1006),$AN$1006:$BO$1006,0)), HYPERLINK("#",""), HYPERLINK(CONCATENATE("#Metadata!", ADDRESS(INDEX($AI$2:$AI$1001,MATCH(ROWS($AG$2:AG197),$AG$2:$AG$1001,0),0), INDEX($AN$1004:$BO$1004,1,MATCH(COLUMNS($AN$1006:AX1006),$AN$1006:$BO$1006,0)))),"Fix")))</f>
        <v>0</v>
      </c>
      <c r="M197" s="4">
        <f>IF(OR(INDEX($AH$2:$AH$1001,MATCH(ROWS($AG$2:AG197),$AG$2:$AG$1001,0),1)&gt;=100000,INDEX($AN$1005:$BO$1005,1,MATCH(COLUMNS($AN$1006:AY1006),$AN$1006:$BO$1006,0))&gt;=100000), " ",IF(INDEX($AN$2:$BO$1001,MATCH(ROWS($AG$2:AG197),$AG$2:$AG$1001,0),MATCH(COLUMNS($AN$1006:AY1006),$AN$1006:$BO$1006,0)), HYPERLINK("#",""), HYPERLINK(CONCATENATE("#Metadata!", ADDRESS(INDEX($AI$2:$AI$1001,MATCH(ROWS($AG$2:AG197),$AG$2:$AG$1001,0),0), INDEX($AN$1004:$BO$1004,1,MATCH(COLUMNS($AN$1006:AY1006),$AN$1006:$BO$1006,0)))),"Fix")))</f>
        <v>0</v>
      </c>
      <c r="N197" s="4">
        <f>IF(OR(INDEX($AH$2:$AH$1001,MATCH(ROWS($AG$2:AG197),$AG$2:$AG$1001,0),1)&gt;=100000,INDEX($AN$1005:$BO$1005,1,MATCH(COLUMNS($AN$1006:AZ1006),$AN$1006:$BO$1006,0))&gt;=100000), " ",IF(INDEX($AN$2:$BO$1001,MATCH(ROWS($AG$2:AG197),$AG$2:$AG$1001,0),MATCH(COLUMNS($AN$1006:AZ1006),$AN$1006:$BO$1006,0)), HYPERLINK("#",""), HYPERLINK(CONCATENATE("#Metadata!", ADDRESS(INDEX($AI$2:$AI$1001,MATCH(ROWS($AG$2:AG197),$AG$2:$AG$1001,0),0), INDEX($AN$1004:$BO$1004,1,MATCH(COLUMNS($AN$1006:AZ1006),$AN$1006:$BO$1006,0)))),"Fix")))</f>
        <v>0</v>
      </c>
      <c r="O197" s="4">
        <f>IF(OR(INDEX($AH$2:$AH$1001,MATCH(ROWS($AG$2:AG197),$AG$2:$AG$1001,0),1)&gt;=100000,INDEX($AN$1005:$BO$1005,1,MATCH(COLUMNS($AN$1006:BA1006),$AN$1006:$BO$1006,0))&gt;=100000), " ",IF(INDEX($AN$2:$BO$1001,MATCH(ROWS($AG$2:AG197),$AG$2:$AG$1001,0),MATCH(COLUMNS($AN$1006:BA1006),$AN$1006:$BO$1006,0)), HYPERLINK("#",""), HYPERLINK(CONCATENATE("#Metadata!", ADDRESS(INDEX($AI$2:$AI$1001,MATCH(ROWS($AG$2:AG197),$AG$2:$AG$1001,0),0), INDEX($AN$1004:$BO$1004,1,MATCH(COLUMNS($AN$1006:BA1006),$AN$1006:$BO$1006,0)))),"Fix")))</f>
        <v>0</v>
      </c>
      <c r="P197" s="4">
        <f>IF(OR(INDEX($AH$2:$AH$1001,MATCH(ROWS($AG$2:AG197),$AG$2:$AG$1001,0),1)&gt;=100000,INDEX($AN$1005:$BO$1005,1,MATCH(COLUMNS($AN$1006:BB1006),$AN$1006:$BO$1006,0))&gt;=100000), " ",IF(INDEX($AN$2:$BO$1001,MATCH(ROWS($AG$2:AG197),$AG$2:$AG$1001,0),MATCH(COLUMNS($AN$1006:BB1006),$AN$1006:$BO$1006,0)), HYPERLINK("#",""), HYPERLINK(CONCATENATE("#Metadata!", ADDRESS(INDEX($AI$2:$AI$1001,MATCH(ROWS($AG$2:AG197),$AG$2:$AG$1001,0),0), INDEX($AN$1004:$BO$1004,1,MATCH(COLUMNS($AN$1006:BB1006),$AN$1006:$BO$1006,0)))),"Fix")))</f>
        <v>0</v>
      </c>
      <c r="Q197" s="4">
        <f>IF(OR(INDEX($AH$2:$AH$1001,MATCH(ROWS($AG$2:AG197),$AG$2:$AG$1001,0),1)&gt;=100000,INDEX($AN$1005:$BO$1005,1,MATCH(COLUMNS($AN$1006:BC1006),$AN$1006:$BO$1006,0))&gt;=100000), " ",IF(INDEX($AN$2:$BO$1001,MATCH(ROWS($AG$2:AG197),$AG$2:$AG$1001,0),MATCH(COLUMNS($AN$1006:BC1006),$AN$1006:$BO$1006,0)), HYPERLINK("#",""), HYPERLINK(CONCATENATE("#Metadata!", ADDRESS(INDEX($AI$2:$AI$1001,MATCH(ROWS($AG$2:AG197),$AG$2:$AG$1001,0),0), INDEX($AN$1004:$BO$1004,1,MATCH(COLUMNS($AN$1006:BC1006),$AN$1006:$BO$1006,0)))),"Fix")))</f>
        <v>0</v>
      </c>
      <c r="R197" s="4">
        <f>IF(OR(INDEX($AH$2:$AH$1001,MATCH(ROWS($AG$2:AG197),$AG$2:$AG$1001,0),1)&gt;=100000,INDEX($AN$1005:$BO$1005,1,MATCH(COLUMNS($AN$1006:BD1006),$AN$1006:$BO$1006,0))&gt;=100000), " ",IF(INDEX($AN$2:$BO$1001,MATCH(ROWS($AG$2:AG197),$AG$2:$AG$1001,0),MATCH(COLUMNS($AN$1006:BD1006),$AN$1006:$BO$1006,0)), HYPERLINK("#",""), HYPERLINK(CONCATENATE("#Metadata!", ADDRESS(INDEX($AI$2:$AI$1001,MATCH(ROWS($AG$2:AG197),$AG$2:$AG$1001,0),0), INDEX($AN$1004:$BO$1004,1,MATCH(COLUMNS($AN$1006:BD1006),$AN$1006:$BO$1006,0)))),"Fix")))</f>
        <v>0</v>
      </c>
      <c r="S197" s="4">
        <f>IF(OR(INDEX($AH$2:$AH$1001,MATCH(ROWS($AG$2:AG197),$AG$2:$AG$1001,0),1)&gt;=100000,INDEX($AN$1005:$BO$1005,1,MATCH(COLUMNS($AN$1006:BE1006),$AN$1006:$BO$1006,0))&gt;=100000), " ",IF(INDEX($AN$2:$BO$1001,MATCH(ROWS($AG$2:AG197),$AG$2:$AG$1001,0),MATCH(COLUMNS($AN$1006:BE1006),$AN$1006:$BO$1006,0)), HYPERLINK("#",""), HYPERLINK(CONCATENATE("#Metadata!", ADDRESS(INDEX($AI$2:$AI$1001,MATCH(ROWS($AG$2:AG197),$AG$2:$AG$1001,0),0), INDEX($AN$1004:$BO$1004,1,MATCH(COLUMNS($AN$1006:BE1006),$AN$1006:$BO$1006,0)))),"Fix")))</f>
        <v>0</v>
      </c>
      <c r="T197" s="4">
        <f>IF(OR(INDEX($AH$2:$AH$1001,MATCH(ROWS($AG$2:AG197),$AG$2:$AG$1001,0),1)&gt;=100000,INDEX($AN$1005:$BO$1005,1,MATCH(COLUMNS($AN$1006:BF1006),$AN$1006:$BO$1006,0))&gt;=100000), " ",IF(INDEX($AN$2:$BO$1001,MATCH(ROWS($AG$2:AG197),$AG$2:$AG$1001,0),MATCH(COLUMNS($AN$1006:BF1006),$AN$1006:$BO$1006,0)), HYPERLINK("#",""), HYPERLINK(CONCATENATE("#Metadata!", ADDRESS(INDEX($AI$2:$AI$1001,MATCH(ROWS($AG$2:AG197),$AG$2:$AG$1001,0),0), INDEX($AN$1004:$BO$1004,1,MATCH(COLUMNS($AN$1006:BF1006),$AN$1006:$BO$1006,0)))),"Fix")))</f>
        <v>0</v>
      </c>
      <c r="U197" s="4">
        <f>IF(OR(INDEX($AH$2:$AH$1001,MATCH(ROWS($AG$2:AG197),$AG$2:$AG$1001,0),1)&gt;=100000,INDEX($AN$1005:$BO$1005,1,MATCH(COLUMNS($AN$1006:BG1006),$AN$1006:$BO$1006,0))&gt;=100000), " ",IF(INDEX($AN$2:$BO$1001,MATCH(ROWS($AG$2:AG197),$AG$2:$AG$1001,0),MATCH(COLUMNS($AN$1006:BG1006),$AN$1006:$BO$1006,0)), HYPERLINK("#",""), HYPERLINK(CONCATENATE("#Metadata!", ADDRESS(INDEX($AI$2:$AI$1001,MATCH(ROWS($AG$2:AG197),$AG$2:$AG$1001,0),0), INDEX($AN$1004:$BO$1004,1,MATCH(COLUMNS($AN$1006:BG1006),$AN$1006:$BO$1006,0)))),"Fix")))</f>
        <v>0</v>
      </c>
      <c r="V197" s="4">
        <f>IF(OR(INDEX($AH$2:$AH$1001,MATCH(ROWS($AG$2:AG197),$AG$2:$AG$1001,0),1)&gt;=100000,INDEX($AN$1005:$BO$1005,1,MATCH(COLUMNS($AN$1006:BH1006),$AN$1006:$BO$1006,0))&gt;=100000), " ",IF(INDEX($AN$2:$BO$1001,MATCH(ROWS($AG$2:AG197),$AG$2:$AG$1001,0),MATCH(COLUMNS($AN$1006:BH1006),$AN$1006:$BO$1006,0)), HYPERLINK("#",""), HYPERLINK(CONCATENATE("#Metadata!", ADDRESS(INDEX($AI$2:$AI$1001,MATCH(ROWS($AG$2:AG197),$AG$2:$AG$1001,0),0), INDEX($AN$1004:$BO$1004,1,MATCH(COLUMNS($AN$1006:BH1006),$AN$1006:$BO$1006,0)))),"Fix")))</f>
        <v>0</v>
      </c>
      <c r="W197" s="4">
        <f>IF(OR(INDEX($AH$2:$AH$1001,MATCH(ROWS($AG$2:AG197),$AG$2:$AG$1001,0),1)&gt;=100000,INDEX($AN$1005:$BO$1005,1,MATCH(COLUMNS($AN$1006:BI1006),$AN$1006:$BO$1006,0))&gt;=100000), " ",IF(INDEX($AN$2:$BO$1001,MATCH(ROWS($AG$2:AG197),$AG$2:$AG$1001,0),MATCH(COLUMNS($AN$1006:BI1006),$AN$1006:$BO$1006,0)), HYPERLINK("#",""), HYPERLINK(CONCATENATE("#Metadata!", ADDRESS(INDEX($AI$2:$AI$1001,MATCH(ROWS($AG$2:AG197),$AG$2:$AG$1001,0),0), INDEX($AN$1004:$BO$1004,1,MATCH(COLUMNS($AN$1006:BI1006),$AN$1006:$BO$1006,0)))),"Fix")))</f>
        <v>0</v>
      </c>
      <c r="X197" s="4">
        <f>IF(OR(INDEX($AH$2:$AH$1001,MATCH(ROWS($AG$2:AG197),$AG$2:$AG$1001,0),1)&gt;=100000,INDEX($AN$1005:$BO$1005,1,MATCH(COLUMNS($AN$1006:BJ1006),$AN$1006:$BO$1006,0))&gt;=100000), " ",IF(INDEX($AN$2:$BO$1001,MATCH(ROWS($AG$2:AG197),$AG$2:$AG$1001,0),MATCH(COLUMNS($AN$1006:BJ1006),$AN$1006:$BO$1006,0)), HYPERLINK("#",""), HYPERLINK(CONCATENATE("#Metadata!", ADDRESS(INDEX($AI$2:$AI$1001,MATCH(ROWS($AG$2:AG197),$AG$2:$AG$1001,0),0), INDEX($AN$1004:$BO$1004,1,MATCH(COLUMNS($AN$1006:BJ1006),$AN$1006:$BO$1006,0)))),"Fix")))</f>
        <v>0</v>
      </c>
      <c r="Y197" s="4">
        <f>IF(OR(INDEX($AH$2:$AH$1001,MATCH(ROWS($AG$2:AG197),$AG$2:$AG$1001,0),1)&gt;=100000,INDEX($AN$1005:$BO$1005,1,MATCH(COLUMNS($AN$1006:BK1006),$AN$1006:$BO$1006,0))&gt;=100000), " ",IF(INDEX($AN$2:$BO$1001,MATCH(ROWS($AG$2:AG197),$AG$2:$AG$1001,0),MATCH(COLUMNS($AN$1006:BK1006),$AN$1006:$BO$1006,0)), HYPERLINK("#",""), HYPERLINK(CONCATENATE("#Metadata!", ADDRESS(INDEX($AI$2:$AI$1001,MATCH(ROWS($AG$2:AG197),$AG$2:$AG$1001,0),0), INDEX($AN$1004:$BO$1004,1,MATCH(COLUMNS($AN$1006:BK1006),$AN$1006:$BO$1006,0)))),"Fix")))</f>
        <v>0</v>
      </c>
      <c r="Z197" s="4">
        <f>IF(OR(INDEX($AH$2:$AH$1001,MATCH(ROWS($AG$2:AG197),$AG$2:$AG$1001,0),1)&gt;=100000,INDEX($AN$1005:$BO$1005,1,MATCH(COLUMNS($AN$1006:BL1006),$AN$1006:$BO$1006,0))&gt;=100000), " ",IF(INDEX($AN$2:$BO$1001,MATCH(ROWS($AG$2:AG197),$AG$2:$AG$1001,0),MATCH(COLUMNS($AN$1006:BL1006),$AN$1006:$BO$1006,0)), HYPERLINK("#",""), HYPERLINK(CONCATENATE("#Metadata!", ADDRESS(INDEX($AI$2:$AI$1001,MATCH(ROWS($AG$2:AG197),$AG$2:$AG$1001,0),0), INDEX($AN$1004:$BO$1004,1,MATCH(COLUMNS($AN$1006:BL1006),$AN$1006:$BO$1006,0)))),"Fix")))</f>
        <v>0</v>
      </c>
      <c r="AA197" s="4">
        <f>IF(OR(INDEX($AH$2:$AH$1001,MATCH(ROWS($AG$2:AG197),$AG$2:$AG$1001,0),1)&gt;=100000,INDEX($AN$1005:$BO$1005,1,MATCH(COLUMNS($AN$1006:BM1006),$AN$1006:$BO$1006,0))&gt;=100000), " ",IF(INDEX($AN$2:$BO$1001,MATCH(ROWS($AG$2:AG197),$AG$2:$AG$1001,0),MATCH(COLUMNS($AN$1006:BM1006),$AN$1006:$BO$1006,0)), HYPERLINK("#",""), HYPERLINK(CONCATENATE("#Metadata!", ADDRESS(INDEX($AI$2:$AI$1001,MATCH(ROWS($AG$2:AG197),$AG$2:$AG$1001,0),0), INDEX($AN$1004:$BO$1004,1,MATCH(COLUMNS($AN$1006:BM1006),$AN$1006:$BO$1006,0)))),"Fix")))</f>
        <v>0</v>
      </c>
      <c r="AB197" s="4">
        <f>IF(OR(INDEX($AH$2:$AH$1001,MATCH(ROWS($AG$2:AG197),$AG$2:$AG$1001,0),1)&gt;=100000,INDEX($AN$1005:$BO$1005,1,MATCH(COLUMNS($AN$1006:BN1006),$AN$1006:$BO$1006,0))&gt;=100000), " ",IF(INDEX($AN$2:$BO$1001,MATCH(ROWS($AG$2:AG197),$AG$2:$AG$1001,0),MATCH(COLUMNS($AN$1006:BN1006),$AN$1006:$BO$1006,0)), HYPERLINK("#",""), HYPERLINK(CONCATENATE("#Metadata!", ADDRESS(INDEX($AI$2:$AI$1001,MATCH(ROWS($AG$2:AG197),$AG$2:$AG$1001,0),0), INDEX($AN$1004:$BO$1004,1,MATCH(COLUMNS($AN$1006:BN1006),$AN$1006:$BO$1006,0)))),"Fix")))</f>
        <v>0</v>
      </c>
      <c r="AC197" s="4">
        <f>IF(OR(INDEX($AH$2:$AH$1001,MATCH(ROWS($AG$2:AG197),$AG$2:$AG$1001,0),1)&gt;=100000,INDEX($AN$1005:$BO$1005,1,MATCH(COLUMNS($AN$1006:BO1006),$AN$1006:$BO$1006,0))&gt;=100000), " ",IF(INDEX($AN$2:$BO$1001,MATCH(ROWS($AG$2:AG197),$AG$2:$AG$1001,0),MATCH(COLUMNS($AN$1006:BO1006),$AN$1006:$BO$1006,0)), HYPERLINK("#",""), HYPERLINK(CONCATENATE("#Metadata!", ADDRESS(INDEX($AI$2:$AI$1001,MATCH(ROWS($AG$2:AG197),$AG$2:$AG$1001,0),0), INDEX($AN$1004:$BO$1004,1,MATCH(COLUMNS($AN$1006:BO1006),$AN$1006:$BO$1006,0)))),"Fix")))</f>
        <v>0</v>
      </c>
      <c r="AG197">
        <v>0</v>
      </c>
      <c r="AH197">
        <v>0</v>
      </c>
      <c r="AI197">
        <v>0</v>
      </c>
      <c r="AJ197">
        <f>IF(AK197,TRUE,AND(AN197:BO197))</f>
        <v>0</v>
      </c>
      <c r="AK197">
        <f>COUNTBLANK(Metadata!B197:AC197)=COLUMNS(Metadata!B197:AC197)</f>
        <v>0</v>
      </c>
      <c r="AL197">
        <v>0</v>
      </c>
      <c r="AN197">
        <f>AND(IF(Metadata!B197="",FALSE,TRUE),COUNTIF(Metadata!B:B, Metadata!B197) = 1,NOT(ISERROR(SUMPRODUCT(SEARCH(MID(Metadata!B197,ROW(INDIRECT("1:"&amp;LEN(Metadata!B197))), 1),"0123456789abcdefghijklmnopqrstuvwxyzABCDEFGHIJKLMNOPQRSTUVWXYZ.")))))</f>
        <v>0</v>
      </c>
      <c r="AO197">
        <f>IF(Metadata!C197="",FALSE,TRUE)</f>
        <v>0</v>
      </c>
      <c r="AP197">
        <f>IF(Metadata!D197="",FALSE,TRUE)</f>
        <v>0</v>
      </c>
      <c r="AQ197">
        <f>OR(AND(IF(Metadata!E197="",FALSE,TRUE),OR(exact(Metadata!E197,"not collected"),exact(Metadata!E197,"not provided"),exact(Metadata!E197,"restricted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R197">
        <f>IF(Metadata!F197="",FALSE,TRUE)</f>
        <v>0</v>
      </c>
      <c r="AS197">
        <f>OR(AND(IF(Metadata!G197="",FALSE,TRUE),OR(exact(Metadata!G197,"not collected"),exact(Metadata!G197,"not provided"))),AND(IF(Metadata!G197="",FALSE,TRUE),OR(exact(Metadata!G197,"TRUE"),exact(Metadata!G197,"FALSE"))))</f>
        <v>0</v>
      </c>
      <c r="AT197">
        <f>OR(AND(IF(Metadata!H197="",FALSE,TRUE),OR(exact(Metadata!H197,"not collected"),exact(Metadata!H197,"not provided"),exact(Metadata!H197,"restricted access"))),AND(IF(Metadata!H197="",FALSE,ISNUMBER(VALUE(Metadata!H197))),Metadata!H197&gt;=-413.0))</f>
        <v>0</v>
      </c>
      <c r="AU197">
        <f>AND(IF(Metadata!I197="",FALSE,TRUE),exact(Metadata!I197,"meters"))</f>
        <v>0</v>
      </c>
      <c r="AV197">
        <f>AND(IF(Metadata!J197="",FALSE,TRUE),OR(exact(Metadata!J197,"Host-associated"),exact(Metadata!J197,"Free-living")))</f>
        <v>0</v>
      </c>
      <c r="AW197">
        <f>AND(IF(Metadata!K197="",FALSE,TRUE),OR(exact(Metadata!K197,"Animal"),exact(Metadata!K197,"Fungus"),exact(Metadata!K197,"Plant"),exact(Metadata!K197,"Saline"),exact(Metadata!K197,"Non-saline")))</f>
        <v>0</v>
      </c>
      <c r="AX197">
        <f>AND(IF(Metadata!L197="",FALSE,TRUE),OR(exact(Metadata!L197,"Plant secretion"),exact(Metadata!L197,"Plant rhizosphere"),exact(Metadata!L197,"Plant surface"),exact(Metadata!L197,"Plant corpus"),exact(Metadata!L197,"Fungus surface"),exact(Metadata!L197,"Fungus corpus"),exact(Metadata!L197,"Animal surface"),exact(Metadata!L197,"Animal proximal gut"),exact(Metadata!L197,"Animal corpus"),exact(Metadata!L197,"Animal distal gut"),exact(Metadata!L197,"Animal secretion"),exact(Metadata!L197,"Sub-surface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Y197">
        <f>IF(Metadata!M197="",FALSE,TRUE)</f>
        <v>0</v>
      </c>
      <c r="AZ197">
        <f>IF(Metadata!N197="",FALSE,TRUE)</f>
        <v>0</v>
      </c>
      <c r="BA197">
        <f>IF(Metadata!O197="",FALSE,TRUE)</f>
        <v>0</v>
      </c>
      <c r="BB197">
        <f>OR(AND(IF(Metadata!P197="",FALSE,TRUE),OR(exact(Metadata!P197,"not collected"),exact(Metadata!P197,"not provided"),exact(Metadata!P197,"restricted access"))),AND(IF(Metadata!P197="",FALSE,TRUE),OR(exact(Metadata!P197,"air"),exact(Metadata!P197,"built environment"),exact(Metadata!P197,"host-associated"),exact(Metadata!P197,"human-associated"),exact(Metadata!P197,"human-skin"),exact(Metadata!P197,"human-oral"),exact(Metadata!P197,"human-gut"),exact(Metadata!P197,"human-vaginal"),exact(Metadata!P197,"microbial mat/biofilm"),exact(Metadata!P197,"misc environment"),exact(Metadata!P197,"plant-associated"),exact(Metadata!P197,"sediment"),exact(Metadata!P197,"soil"),exact(Metadata!P197,"wastewater/sludge"),exact(Metadata!P197,"water"))))</f>
        <v>0</v>
      </c>
      <c r="BC197">
        <f>IF(Metadata!Q197="",FALSE,TRUE)</f>
        <v>0</v>
      </c>
      <c r="BD197">
        <f>IF(Metadata!R197="",FALSE,TRUE)</f>
        <v>0</v>
      </c>
      <c r="BE197">
        <f>OR(AND(IF(Metadata!S197="",FALSE,TRUE),OR(exact(Metadata!S197,"not collected"),exact(Metadata!S197,"not provided"),exact(Metadata!S197,"restricted access"))),AND(IF(Metadata!S197="",FALSE,ISNUMBER(VALUE(Metadata!S197))),Metadata!S197&gt;=-90.00,Metadata!S197&lt;=90.00))</f>
        <v>0</v>
      </c>
      <c r="BF197">
        <f>AND(IF(Metadata!T197="",FALSE,TRUE),exact(Metadata!T197,"Decimal degrees"))</f>
        <v>0</v>
      </c>
      <c r="BG197">
        <f>OR(AND(IF(Metadata!U197="",FALSE,TRUE),OR(exact(Metadata!U197,"not collected"),exact(Metadata!U197,"not provided"),exact(Metadata!U197,"restricted access"))),AND(IF(Metadata!U197="",FALSE,ISNUMBER(VALUE(Metadata!U197))),Metadata!U197&gt;=-180.00,Metadata!U197&lt;=180.00))</f>
        <v>0</v>
      </c>
      <c r="BH197">
        <f>AND(IF(Metadata!V197="",FALSE,TRUE),exact(Metadata!V197,"Decimal degrees"))</f>
        <v>0</v>
      </c>
      <c r="BI197">
        <f>IF(Metadata!W197="",FALSE,TRUE)</f>
        <v>0</v>
      </c>
      <c r="BJ197">
        <f>OR(AND(IF(Metadata!X197="",FALSE,TRUE),OR(exact(Metadata!X197,"not collected"),exact(Metadata!X197,"not provided"),exact(Metadata!X197,"restricted access"))),AND(IF(Metadata!X197="",FALSE,TRUE),OR(exact(Metadata!X197,"TRUE"),exact(Metadata!X197,"FALSE"))))</f>
        <v>0</v>
      </c>
      <c r="BK197">
        <f>AND(IF(Metadata!Y197="",FALSE,TRUE),exact(Metadata!Y197,"other"))</f>
        <v>0</v>
      </c>
      <c r="BL197">
        <f>IF(Metadata!Z197="",FALSE,TRUE)</f>
        <v>0</v>
      </c>
      <c r="BM197">
        <f>OR(AND(IF(Metadata!AA197="",FALSE,TRUE),OR(exact(Metadata!AA197,"not collected"),exact(Metadata!AA197,"not provided"))),AND(IF(Metadata!AA197="",FALSE,IF(ISERROR(INT(Metadata!AA197)),FALSE,INT(Metadata!AA197)=Metadata!AA197)),Metadata!AA197&gt;0))</f>
        <v>0</v>
      </c>
      <c r="BN197">
        <f>AND(IF(Metadata!AB197="",FALSE,TRUE),exact(Metadata!AB197,"Not applicable"))</f>
        <v>0</v>
      </c>
      <c r="BO197">
        <f>IF(Metadata!AC197="",FALSE,TRUE)</f>
        <v>0</v>
      </c>
    </row>
    <row r="198" spans="1:67">
      <c r="A198" s="5">
        <f>IF(B198=" "," ",HYPERLINK(CONCATENATE("#metadata!",ADDRESS(INDEX($AI$2:$AI$1001,MATCH(ROWS($AG$2:AG198),$AG$2:$AG$1001,0),0),1)),INDEX($AL$2:$AL$1001,MATCH(ROWS($AG$2:AG198),$AG$2:$AG$1001,0),0)))</f>
        <v>0</v>
      </c>
      <c r="B198" s="4">
        <f>IF(OR(INDEX($AH$2:$AH$1001,MATCH(ROWS($AG$2:AG198),$AG$2:$AG$1001,0),1)&gt;=100000,INDEX($AN$1005:$BO$1005,1,MATCH(COLUMNS($AN$1006:AN1006),$AN$1006:$BO$1006,0))&gt;=100000), " ",IF(INDEX($AN$2:$BO$1001,MATCH(ROWS($AG$2:AG198),$AG$2:$AG$1001,0),MATCH(COLUMNS($AN$1006:AN1006),$AN$1006:$BO$1006,0)), HYPERLINK("#",""), HYPERLINK(CONCATENATE("#Metadata!", ADDRESS(INDEX($AI$2:$AI$1001,MATCH(ROWS($AG$2:AG198),$AG$2:$AG$1001,0),0), INDEX($AN$1004:$BO$1004,1,MATCH(COLUMNS($AN$1006:AN1006),$AN$1006:$BO$1006,0)))),"Fix")))</f>
        <v>0</v>
      </c>
      <c r="C198" s="4">
        <f>IF(OR(INDEX($AH$2:$AH$1001,MATCH(ROWS($AG$2:AG198),$AG$2:$AG$1001,0),1)&gt;=100000,INDEX($AN$1005:$BO$1005,1,MATCH(COLUMNS($AN$1006:AO1006),$AN$1006:$BO$1006,0))&gt;=100000), " ",IF(INDEX($AN$2:$BO$1001,MATCH(ROWS($AG$2:AG198),$AG$2:$AG$1001,0),MATCH(COLUMNS($AN$1006:AO1006),$AN$1006:$BO$1006,0)), HYPERLINK("#",""), HYPERLINK(CONCATENATE("#Metadata!", ADDRESS(INDEX($AI$2:$AI$1001,MATCH(ROWS($AG$2:AG198),$AG$2:$AG$1001,0),0), INDEX($AN$1004:$BO$1004,1,MATCH(COLUMNS($AN$1006:AO1006),$AN$1006:$BO$1006,0)))),"Fix")))</f>
        <v>0</v>
      </c>
      <c r="D198" s="4">
        <f>IF(OR(INDEX($AH$2:$AH$1001,MATCH(ROWS($AG$2:AG198),$AG$2:$AG$1001,0),1)&gt;=100000,INDEX($AN$1005:$BO$1005,1,MATCH(COLUMNS($AN$1006:AP1006),$AN$1006:$BO$1006,0))&gt;=100000), " ",IF(INDEX($AN$2:$BO$1001,MATCH(ROWS($AG$2:AG198),$AG$2:$AG$1001,0),MATCH(COLUMNS($AN$1006:AP1006),$AN$1006:$BO$1006,0)), HYPERLINK("#",""), HYPERLINK(CONCATENATE("#Metadata!", ADDRESS(INDEX($AI$2:$AI$1001,MATCH(ROWS($AG$2:AG198),$AG$2:$AG$1001,0),0), INDEX($AN$1004:$BO$1004,1,MATCH(COLUMNS($AN$1006:AP1006),$AN$1006:$BO$1006,0)))),"Fix")))</f>
        <v>0</v>
      </c>
      <c r="E198" s="4">
        <f>IF(OR(INDEX($AH$2:$AH$1001,MATCH(ROWS($AG$2:AG198),$AG$2:$AG$1001,0),1)&gt;=100000,INDEX($AN$1005:$BO$1005,1,MATCH(COLUMNS($AN$1006:AQ1006),$AN$1006:$BO$1006,0))&gt;=100000), " ",IF(INDEX($AN$2:$BO$1001,MATCH(ROWS($AG$2:AG198),$AG$2:$AG$1001,0),MATCH(COLUMNS($AN$1006:AQ1006),$AN$1006:$BO$1006,0)), HYPERLINK("#",""), HYPERLINK(CONCATENATE("#Metadata!", ADDRESS(INDEX($AI$2:$AI$1001,MATCH(ROWS($AG$2:AG198),$AG$2:$AG$1001,0),0), INDEX($AN$1004:$BO$1004,1,MATCH(COLUMNS($AN$1006:AQ1006),$AN$1006:$BO$1006,0)))),"Fix")))</f>
        <v>0</v>
      </c>
      <c r="F198" s="4">
        <f>IF(OR(INDEX($AH$2:$AH$1001,MATCH(ROWS($AG$2:AG198),$AG$2:$AG$1001,0),1)&gt;=100000,INDEX($AN$1005:$BO$1005,1,MATCH(COLUMNS($AN$1006:AR1006),$AN$1006:$BO$1006,0))&gt;=100000), " ",IF(INDEX($AN$2:$BO$1001,MATCH(ROWS($AG$2:AG198),$AG$2:$AG$1001,0),MATCH(COLUMNS($AN$1006:AR1006),$AN$1006:$BO$1006,0)), HYPERLINK("#",""), HYPERLINK(CONCATENATE("#Metadata!", ADDRESS(INDEX($AI$2:$AI$1001,MATCH(ROWS($AG$2:AG198),$AG$2:$AG$1001,0),0), INDEX($AN$1004:$BO$1004,1,MATCH(COLUMNS($AN$1006:AR1006),$AN$1006:$BO$1006,0)))),"Fix")))</f>
        <v>0</v>
      </c>
      <c r="G198" s="4">
        <f>IF(OR(INDEX($AH$2:$AH$1001,MATCH(ROWS($AG$2:AG198),$AG$2:$AG$1001,0),1)&gt;=100000,INDEX($AN$1005:$BO$1005,1,MATCH(COLUMNS($AN$1006:AS1006),$AN$1006:$BO$1006,0))&gt;=100000), " ",IF(INDEX($AN$2:$BO$1001,MATCH(ROWS($AG$2:AG198),$AG$2:$AG$1001,0),MATCH(COLUMNS($AN$1006:AS1006),$AN$1006:$BO$1006,0)), HYPERLINK("#",""), HYPERLINK(CONCATENATE("#Metadata!", ADDRESS(INDEX($AI$2:$AI$1001,MATCH(ROWS($AG$2:AG198),$AG$2:$AG$1001,0),0), INDEX($AN$1004:$BO$1004,1,MATCH(COLUMNS($AN$1006:AS1006),$AN$1006:$BO$1006,0)))),"Fix")))</f>
        <v>0</v>
      </c>
      <c r="H198" s="4">
        <f>IF(OR(INDEX($AH$2:$AH$1001,MATCH(ROWS($AG$2:AG198),$AG$2:$AG$1001,0),1)&gt;=100000,INDEX($AN$1005:$BO$1005,1,MATCH(COLUMNS($AN$1006:AT1006),$AN$1006:$BO$1006,0))&gt;=100000), " ",IF(INDEX($AN$2:$BO$1001,MATCH(ROWS($AG$2:AG198),$AG$2:$AG$1001,0),MATCH(COLUMNS($AN$1006:AT1006),$AN$1006:$BO$1006,0)), HYPERLINK("#",""), HYPERLINK(CONCATENATE("#Metadata!", ADDRESS(INDEX($AI$2:$AI$1001,MATCH(ROWS($AG$2:AG198),$AG$2:$AG$1001,0),0), INDEX($AN$1004:$BO$1004,1,MATCH(COLUMNS($AN$1006:AT1006),$AN$1006:$BO$1006,0)))),"Fix")))</f>
        <v>0</v>
      </c>
      <c r="I198" s="4">
        <f>IF(OR(INDEX($AH$2:$AH$1001,MATCH(ROWS($AG$2:AG198),$AG$2:$AG$1001,0),1)&gt;=100000,INDEX($AN$1005:$BO$1005,1,MATCH(COLUMNS($AN$1006:AU1006),$AN$1006:$BO$1006,0))&gt;=100000), " ",IF(INDEX($AN$2:$BO$1001,MATCH(ROWS($AG$2:AG198),$AG$2:$AG$1001,0),MATCH(COLUMNS($AN$1006:AU1006),$AN$1006:$BO$1006,0)), HYPERLINK("#",""), HYPERLINK(CONCATENATE("#Metadata!", ADDRESS(INDEX($AI$2:$AI$1001,MATCH(ROWS($AG$2:AG198),$AG$2:$AG$1001,0),0), INDEX($AN$1004:$BO$1004,1,MATCH(COLUMNS($AN$1006:AU1006),$AN$1006:$BO$1006,0)))),"Fix")))</f>
        <v>0</v>
      </c>
      <c r="J198" s="4">
        <f>IF(OR(INDEX($AH$2:$AH$1001,MATCH(ROWS($AG$2:AG198),$AG$2:$AG$1001,0),1)&gt;=100000,INDEX($AN$1005:$BO$1005,1,MATCH(COLUMNS($AN$1006:AV1006),$AN$1006:$BO$1006,0))&gt;=100000), " ",IF(INDEX($AN$2:$BO$1001,MATCH(ROWS($AG$2:AG198),$AG$2:$AG$1001,0),MATCH(COLUMNS($AN$1006:AV1006),$AN$1006:$BO$1006,0)), HYPERLINK("#",""), HYPERLINK(CONCATENATE("#Metadata!", ADDRESS(INDEX($AI$2:$AI$1001,MATCH(ROWS($AG$2:AG198),$AG$2:$AG$1001,0),0), INDEX($AN$1004:$BO$1004,1,MATCH(COLUMNS($AN$1006:AV1006),$AN$1006:$BO$1006,0)))),"Fix")))</f>
        <v>0</v>
      </c>
      <c r="K198" s="4">
        <f>IF(OR(INDEX($AH$2:$AH$1001,MATCH(ROWS($AG$2:AG198),$AG$2:$AG$1001,0),1)&gt;=100000,INDEX($AN$1005:$BO$1005,1,MATCH(COLUMNS($AN$1006:AW1006),$AN$1006:$BO$1006,0))&gt;=100000), " ",IF(INDEX($AN$2:$BO$1001,MATCH(ROWS($AG$2:AG198),$AG$2:$AG$1001,0),MATCH(COLUMNS($AN$1006:AW1006),$AN$1006:$BO$1006,0)), HYPERLINK("#",""), HYPERLINK(CONCATENATE("#Metadata!", ADDRESS(INDEX($AI$2:$AI$1001,MATCH(ROWS($AG$2:AG198),$AG$2:$AG$1001,0),0), INDEX($AN$1004:$BO$1004,1,MATCH(COLUMNS($AN$1006:AW1006),$AN$1006:$BO$1006,0)))),"Fix")))</f>
        <v>0</v>
      </c>
      <c r="L198" s="4">
        <f>IF(OR(INDEX($AH$2:$AH$1001,MATCH(ROWS($AG$2:AG198),$AG$2:$AG$1001,0),1)&gt;=100000,INDEX($AN$1005:$BO$1005,1,MATCH(COLUMNS($AN$1006:AX1006),$AN$1006:$BO$1006,0))&gt;=100000), " ",IF(INDEX($AN$2:$BO$1001,MATCH(ROWS($AG$2:AG198),$AG$2:$AG$1001,0),MATCH(COLUMNS($AN$1006:AX1006),$AN$1006:$BO$1006,0)), HYPERLINK("#",""), HYPERLINK(CONCATENATE("#Metadata!", ADDRESS(INDEX($AI$2:$AI$1001,MATCH(ROWS($AG$2:AG198),$AG$2:$AG$1001,0),0), INDEX($AN$1004:$BO$1004,1,MATCH(COLUMNS($AN$1006:AX1006),$AN$1006:$BO$1006,0)))),"Fix")))</f>
        <v>0</v>
      </c>
      <c r="M198" s="4">
        <f>IF(OR(INDEX($AH$2:$AH$1001,MATCH(ROWS($AG$2:AG198),$AG$2:$AG$1001,0),1)&gt;=100000,INDEX($AN$1005:$BO$1005,1,MATCH(COLUMNS($AN$1006:AY1006),$AN$1006:$BO$1006,0))&gt;=100000), " ",IF(INDEX($AN$2:$BO$1001,MATCH(ROWS($AG$2:AG198),$AG$2:$AG$1001,0),MATCH(COLUMNS($AN$1006:AY1006),$AN$1006:$BO$1006,0)), HYPERLINK("#",""), HYPERLINK(CONCATENATE("#Metadata!", ADDRESS(INDEX($AI$2:$AI$1001,MATCH(ROWS($AG$2:AG198),$AG$2:$AG$1001,0),0), INDEX($AN$1004:$BO$1004,1,MATCH(COLUMNS($AN$1006:AY1006),$AN$1006:$BO$1006,0)))),"Fix")))</f>
        <v>0</v>
      </c>
      <c r="N198" s="4">
        <f>IF(OR(INDEX($AH$2:$AH$1001,MATCH(ROWS($AG$2:AG198),$AG$2:$AG$1001,0),1)&gt;=100000,INDEX($AN$1005:$BO$1005,1,MATCH(COLUMNS($AN$1006:AZ1006),$AN$1006:$BO$1006,0))&gt;=100000), " ",IF(INDEX($AN$2:$BO$1001,MATCH(ROWS($AG$2:AG198),$AG$2:$AG$1001,0),MATCH(COLUMNS($AN$1006:AZ1006),$AN$1006:$BO$1006,0)), HYPERLINK("#",""), HYPERLINK(CONCATENATE("#Metadata!", ADDRESS(INDEX($AI$2:$AI$1001,MATCH(ROWS($AG$2:AG198),$AG$2:$AG$1001,0),0), INDEX($AN$1004:$BO$1004,1,MATCH(COLUMNS($AN$1006:AZ1006),$AN$1006:$BO$1006,0)))),"Fix")))</f>
        <v>0</v>
      </c>
      <c r="O198" s="4">
        <f>IF(OR(INDEX($AH$2:$AH$1001,MATCH(ROWS($AG$2:AG198),$AG$2:$AG$1001,0),1)&gt;=100000,INDEX($AN$1005:$BO$1005,1,MATCH(COLUMNS($AN$1006:BA1006),$AN$1006:$BO$1006,0))&gt;=100000), " ",IF(INDEX($AN$2:$BO$1001,MATCH(ROWS($AG$2:AG198),$AG$2:$AG$1001,0),MATCH(COLUMNS($AN$1006:BA1006),$AN$1006:$BO$1006,0)), HYPERLINK("#",""), HYPERLINK(CONCATENATE("#Metadata!", ADDRESS(INDEX($AI$2:$AI$1001,MATCH(ROWS($AG$2:AG198),$AG$2:$AG$1001,0),0), INDEX($AN$1004:$BO$1004,1,MATCH(COLUMNS($AN$1006:BA1006),$AN$1006:$BO$1006,0)))),"Fix")))</f>
        <v>0</v>
      </c>
      <c r="P198" s="4">
        <f>IF(OR(INDEX($AH$2:$AH$1001,MATCH(ROWS($AG$2:AG198),$AG$2:$AG$1001,0),1)&gt;=100000,INDEX($AN$1005:$BO$1005,1,MATCH(COLUMNS($AN$1006:BB1006),$AN$1006:$BO$1006,0))&gt;=100000), " ",IF(INDEX($AN$2:$BO$1001,MATCH(ROWS($AG$2:AG198),$AG$2:$AG$1001,0),MATCH(COLUMNS($AN$1006:BB1006),$AN$1006:$BO$1006,0)), HYPERLINK("#",""), HYPERLINK(CONCATENATE("#Metadata!", ADDRESS(INDEX($AI$2:$AI$1001,MATCH(ROWS($AG$2:AG198),$AG$2:$AG$1001,0),0), INDEX($AN$1004:$BO$1004,1,MATCH(COLUMNS($AN$1006:BB1006),$AN$1006:$BO$1006,0)))),"Fix")))</f>
        <v>0</v>
      </c>
      <c r="Q198" s="4">
        <f>IF(OR(INDEX($AH$2:$AH$1001,MATCH(ROWS($AG$2:AG198),$AG$2:$AG$1001,0),1)&gt;=100000,INDEX($AN$1005:$BO$1005,1,MATCH(COLUMNS($AN$1006:BC1006),$AN$1006:$BO$1006,0))&gt;=100000), " ",IF(INDEX($AN$2:$BO$1001,MATCH(ROWS($AG$2:AG198),$AG$2:$AG$1001,0),MATCH(COLUMNS($AN$1006:BC1006),$AN$1006:$BO$1006,0)), HYPERLINK("#",""), HYPERLINK(CONCATENATE("#Metadata!", ADDRESS(INDEX($AI$2:$AI$1001,MATCH(ROWS($AG$2:AG198),$AG$2:$AG$1001,0),0), INDEX($AN$1004:$BO$1004,1,MATCH(COLUMNS($AN$1006:BC1006),$AN$1006:$BO$1006,0)))),"Fix")))</f>
        <v>0</v>
      </c>
      <c r="R198" s="4">
        <f>IF(OR(INDEX($AH$2:$AH$1001,MATCH(ROWS($AG$2:AG198),$AG$2:$AG$1001,0),1)&gt;=100000,INDEX($AN$1005:$BO$1005,1,MATCH(COLUMNS($AN$1006:BD1006),$AN$1006:$BO$1006,0))&gt;=100000), " ",IF(INDEX($AN$2:$BO$1001,MATCH(ROWS($AG$2:AG198),$AG$2:$AG$1001,0),MATCH(COLUMNS($AN$1006:BD1006),$AN$1006:$BO$1006,0)), HYPERLINK("#",""), HYPERLINK(CONCATENATE("#Metadata!", ADDRESS(INDEX($AI$2:$AI$1001,MATCH(ROWS($AG$2:AG198),$AG$2:$AG$1001,0),0), INDEX($AN$1004:$BO$1004,1,MATCH(COLUMNS($AN$1006:BD1006),$AN$1006:$BO$1006,0)))),"Fix")))</f>
        <v>0</v>
      </c>
      <c r="S198" s="4">
        <f>IF(OR(INDEX($AH$2:$AH$1001,MATCH(ROWS($AG$2:AG198),$AG$2:$AG$1001,0),1)&gt;=100000,INDEX($AN$1005:$BO$1005,1,MATCH(COLUMNS($AN$1006:BE1006),$AN$1006:$BO$1006,0))&gt;=100000), " ",IF(INDEX($AN$2:$BO$1001,MATCH(ROWS($AG$2:AG198),$AG$2:$AG$1001,0),MATCH(COLUMNS($AN$1006:BE1006),$AN$1006:$BO$1006,0)), HYPERLINK("#",""), HYPERLINK(CONCATENATE("#Metadata!", ADDRESS(INDEX($AI$2:$AI$1001,MATCH(ROWS($AG$2:AG198),$AG$2:$AG$1001,0),0), INDEX($AN$1004:$BO$1004,1,MATCH(COLUMNS($AN$1006:BE1006),$AN$1006:$BO$1006,0)))),"Fix")))</f>
        <v>0</v>
      </c>
      <c r="T198" s="4">
        <f>IF(OR(INDEX($AH$2:$AH$1001,MATCH(ROWS($AG$2:AG198),$AG$2:$AG$1001,0),1)&gt;=100000,INDEX($AN$1005:$BO$1005,1,MATCH(COLUMNS($AN$1006:BF1006),$AN$1006:$BO$1006,0))&gt;=100000), " ",IF(INDEX($AN$2:$BO$1001,MATCH(ROWS($AG$2:AG198),$AG$2:$AG$1001,0),MATCH(COLUMNS($AN$1006:BF1006),$AN$1006:$BO$1006,0)), HYPERLINK("#",""), HYPERLINK(CONCATENATE("#Metadata!", ADDRESS(INDEX($AI$2:$AI$1001,MATCH(ROWS($AG$2:AG198),$AG$2:$AG$1001,0),0), INDEX($AN$1004:$BO$1004,1,MATCH(COLUMNS($AN$1006:BF1006),$AN$1006:$BO$1006,0)))),"Fix")))</f>
        <v>0</v>
      </c>
      <c r="U198" s="4">
        <f>IF(OR(INDEX($AH$2:$AH$1001,MATCH(ROWS($AG$2:AG198),$AG$2:$AG$1001,0),1)&gt;=100000,INDEX($AN$1005:$BO$1005,1,MATCH(COLUMNS($AN$1006:BG1006),$AN$1006:$BO$1006,0))&gt;=100000), " ",IF(INDEX($AN$2:$BO$1001,MATCH(ROWS($AG$2:AG198),$AG$2:$AG$1001,0),MATCH(COLUMNS($AN$1006:BG1006),$AN$1006:$BO$1006,0)), HYPERLINK("#",""), HYPERLINK(CONCATENATE("#Metadata!", ADDRESS(INDEX($AI$2:$AI$1001,MATCH(ROWS($AG$2:AG198),$AG$2:$AG$1001,0),0), INDEX($AN$1004:$BO$1004,1,MATCH(COLUMNS($AN$1006:BG1006),$AN$1006:$BO$1006,0)))),"Fix")))</f>
        <v>0</v>
      </c>
      <c r="V198" s="4">
        <f>IF(OR(INDEX($AH$2:$AH$1001,MATCH(ROWS($AG$2:AG198),$AG$2:$AG$1001,0),1)&gt;=100000,INDEX($AN$1005:$BO$1005,1,MATCH(COLUMNS($AN$1006:BH1006),$AN$1006:$BO$1006,0))&gt;=100000), " ",IF(INDEX($AN$2:$BO$1001,MATCH(ROWS($AG$2:AG198),$AG$2:$AG$1001,0),MATCH(COLUMNS($AN$1006:BH1006),$AN$1006:$BO$1006,0)), HYPERLINK("#",""), HYPERLINK(CONCATENATE("#Metadata!", ADDRESS(INDEX($AI$2:$AI$1001,MATCH(ROWS($AG$2:AG198),$AG$2:$AG$1001,0),0), INDEX($AN$1004:$BO$1004,1,MATCH(COLUMNS($AN$1006:BH1006),$AN$1006:$BO$1006,0)))),"Fix")))</f>
        <v>0</v>
      </c>
      <c r="W198" s="4">
        <f>IF(OR(INDEX($AH$2:$AH$1001,MATCH(ROWS($AG$2:AG198),$AG$2:$AG$1001,0),1)&gt;=100000,INDEX($AN$1005:$BO$1005,1,MATCH(COLUMNS($AN$1006:BI1006),$AN$1006:$BO$1006,0))&gt;=100000), " ",IF(INDEX($AN$2:$BO$1001,MATCH(ROWS($AG$2:AG198),$AG$2:$AG$1001,0),MATCH(COLUMNS($AN$1006:BI1006),$AN$1006:$BO$1006,0)), HYPERLINK("#",""), HYPERLINK(CONCATENATE("#Metadata!", ADDRESS(INDEX($AI$2:$AI$1001,MATCH(ROWS($AG$2:AG198),$AG$2:$AG$1001,0),0), INDEX($AN$1004:$BO$1004,1,MATCH(COLUMNS($AN$1006:BI1006),$AN$1006:$BO$1006,0)))),"Fix")))</f>
        <v>0</v>
      </c>
      <c r="X198" s="4">
        <f>IF(OR(INDEX($AH$2:$AH$1001,MATCH(ROWS($AG$2:AG198),$AG$2:$AG$1001,0),1)&gt;=100000,INDEX($AN$1005:$BO$1005,1,MATCH(COLUMNS($AN$1006:BJ1006),$AN$1006:$BO$1006,0))&gt;=100000), " ",IF(INDEX($AN$2:$BO$1001,MATCH(ROWS($AG$2:AG198),$AG$2:$AG$1001,0),MATCH(COLUMNS($AN$1006:BJ1006),$AN$1006:$BO$1006,0)), HYPERLINK("#",""), HYPERLINK(CONCATENATE("#Metadata!", ADDRESS(INDEX($AI$2:$AI$1001,MATCH(ROWS($AG$2:AG198),$AG$2:$AG$1001,0),0), INDEX($AN$1004:$BO$1004,1,MATCH(COLUMNS($AN$1006:BJ1006),$AN$1006:$BO$1006,0)))),"Fix")))</f>
        <v>0</v>
      </c>
      <c r="Y198" s="4">
        <f>IF(OR(INDEX($AH$2:$AH$1001,MATCH(ROWS($AG$2:AG198),$AG$2:$AG$1001,0),1)&gt;=100000,INDEX($AN$1005:$BO$1005,1,MATCH(COLUMNS($AN$1006:BK1006),$AN$1006:$BO$1006,0))&gt;=100000), " ",IF(INDEX($AN$2:$BO$1001,MATCH(ROWS($AG$2:AG198),$AG$2:$AG$1001,0),MATCH(COLUMNS($AN$1006:BK1006),$AN$1006:$BO$1006,0)), HYPERLINK("#",""), HYPERLINK(CONCATENATE("#Metadata!", ADDRESS(INDEX($AI$2:$AI$1001,MATCH(ROWS($AG$2:AG198),$AG$2:$AG$1001,0),0), INDEX($AN$1004:$BO$1004,1,MATCH(COLUMNS($AN$1006:BK1006),$AN$1006:$BO$1006,0)))),"Fix")))</f>
        <v>0</v>
      </c>
      <c r="Z198" s="4">
        <f>IF(OR(INDEX($AH$2:$AH$1001,MATCH(ROWS($AG$2:AG198),$AG$2:$AG$1001,0),1)&gt;=100000,INDEX($AN$1005:$BO$1005,1,MATCH(COLUMNS($AN$1006:BL1006),$AN$1006:$BO$1006,0))&gt;=100000), " ",IF(INDEX($AN$2:$BO$1001,MATCH(ROWS($AG$2:AG198),$AG$2:$AG$1001,0),MATCH(COLUMNS($AN$1006:BL1006),$AN$1006:$BO$1006,0)), HYPERLINK("#",""), HYPERLINK(CONCATENATE("#Metadata!", ADDRESS(INDEX($AI$2:$AI$1001,MATCH(ROWS($AG$2:AG198),$AG$2:$AG$1001,0),0), INDEX($AN$1004:$BO$1004,1,MATCH(COLUMNS($AN$1006:BL1006),$AN$1006:$BO$1006,0)))),"Fix")))</f>
        <v>0</v>
      </c>
      <c r="AA198" s="4">
        <f>IF(OR(INDEX($AH$2:$AH$1001,MATCH(ROWS($AG$2:AG198),$AG$2:$AG$1001,0),1)&gt;=100000,INDEX($AN$1005:$BO$1005,1,MATCH(COLUMNS($AN$1006:BM1006),$AN$1006:$BO$1006,0))&gt;=100000), " ",IF(INDEX($AN$2:$BO$1001,MATCH(ROWS($AG$2:AG198),$AG$2:$AG$1001,0),MATCH(COLUMNS($AN$1006:BM1006),$AN$1006:$BO$1006,0)), HYPERLINK("#",""), HYPERLINK(CONCATENATE("#Metadata!", ADDRESS(INDEX($AI$2:$AI$1001,MATCH(ROWS($AG$2:AG198),$AG$2:$AG$1001,0),0), INDEX($AN$1004:$BO$1004,1,MATCH(COLUMNS($AN$1006:BM1006),$AN$1006:$BO$1006,0)))),"Fix")))</f>
        <v>0</v>
      </c>
      <c r="AB198" s="4">
        <f>IF(OR(INDEX($AH$2:$AH$1001,MATCH(ROWS($AG$2:AG198),$AG$2:$AG$1001,0),1)&gt;=100000,INDEX($AN$1005:$BO$1005,1,MATCH(COLUMNS($AN$1006:BN1006),$AN$1006:$BO$1006,0))&gt;=100000), " ",IF(INDEX($AN$2:$BO$1001,MATCH(ROWS($AG$2:AG198),$AG$2:$AG$1001,0),MATCH(COLUMNS($AN$1006:BN1006),$AN$1006:$BO$1006,0)), HYPERLINK("#",""), HYPERLINK(CONCATENATE("#Metadata!", ADDRESS(INDEX($AI$2:$AI$1001,MATCH(ROWS($AG$2:AG198),$AG$2:$AG$1001,0),0), INDEX($AN$1004:$BO$1004,1,MATCH(COLUMNS($AN$1006:BN1006),$AN$1006:$BO$1006,0)))),"Fix")))</f>
        <v>0</v>
      </c>
      <c r="AC198" s="4">
        <f>IF(OR(INDEX($AH$2:$AH$1001,MATCH(ROWS($AG$2:AG198),$AG$2:$AG$1001,0),1)&gt;=100000,INDEX($AN$1005:$BO$1005,1,MATCH(COLUMNS($AN$1006:BO1006),$AN$1006:$BO$1006,0))&gt;=100000), " ",IF(INDEX($AN$2:$BO$1001,MATCH(ROWS($AG$2:AG198),$AG$2:$AG$1001,0),MATCH(COLUMNS($AN$1006:BO1006),$AN$1006:$BO$1006,0)), HYPERLINK("#",""), HYPERLINK(CONCATENATE("#Metadata!", ADDRESS(INDEX($AI$2:$AI$1001,MATCH(ROWS($AG$2:AG198),$AG$2:$AG$1001,0),0), INDEX($AN$1004:$BO$1004,1,MATCH(COLUMNS($AN$1006:BO1006),$AN$1006:$BO$1006,0)))),"Fix")))</f>
        <v>0</v>
      </c>
      <c r="AG198">
        <v>0</v>
      </c>
      <c r="AH198">
        <v>0</v>
      </c>
      <c r="AI198">
        <v>0</v>
      </c>
      <c r="AJ198">
        <f>IF(AK198,TRUE,AND(AN198:BO198))</f>
        <v>0</v>
      </c>
      <c r="AK198">
        <f>COUNTBLANK(Metadata!B198:AC198)=COLUMNS(Metadata!B198:AC198)</f>
        <v>0</v>
      </c>
      <c r="AL198">
        <v>0</v>
      </c>
      <c r="AN198">
        <f>AND(IF(Metadata!B198="",FALSE,TRUE),COUNTIF(Metadata!B:B, Metadata!B198) = 1,NOT(ISERROR(SUMPRODUCT(SEARCH(MID(Metadata!B198,ROW(INDIRECT("1:"&amp;LEN(Metadata!B198))), 1),"0123456789abcdefghijklmnopqrstuvwxyzABCDEFGHIJKLMNOPQRSTUVWXYZ.")))))</f>
        <v>0</v>
      </c>
      <c r="AO198">
        <f>IF(Metadata!C198="",FALSE,TRUE)</f>
        <v>0</v>
      </c>
      <c r="AP198">
        <f>IF(Metadata!D198="",FALSE,TRUE)</f>
        <v>0</v>
      </c>
      <c r="AQ198">
        <f>OR(AND(IF(Metadata!E198="",FALSE,TRUE),OR(exact(Metadata!E198,"not collected"),exact(Metadata!E198,"not provided"),exact(Metadata!E198,"restricted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R198">
        <f>IF(Metadata!F198="",FALSE,TRUE)</f>
        <v>0</v>
      </c>
      <c r="AS198">
        <f>OR(AND(IF(Metadata!G198="",FALSE,TRUE),OR(exact(Metadata!G198,"not collected"),exact(Metadata!G198,"not provided"))),AND(IF(Metadata!G198="",FALSE,TRUE),OR(exact(Metadata!G198,"TRUE"),exact(Metadata!G198,"FALSE"))))</f>
        <v>0</v>
      </c>
      <c r="AT198">
        <f>OR(AND(IF(Metadata!H198="",FALSE,TRUE),OR(exact(Metadata!H198,"not collected"),exact(Metadata!H198,"not provided"),exact(Metadata!H198,"restricted access"))),AND(IF(Metadata!H198="",FALSE,ISNUMBER(VALUE(Metadata!H198))),Metadata!H198&gt;=-413.0))</f>
        <v>0</v>
      </c>
      <c r="AU198">
        <f>AND(IF(Metadata!I198="",FALSE,TRUE),exact(Metadata!I198,"meters"))</f>
        <v>0</v>
      </c>
      <c r="AV198">
        <f>AND(IF(Metadata!J198="",FALSE,TRUE),OR(exact(Metadata!J198,"Host-associated"),exact(Metadata!J198,"Free-living")))</f>
        <v>0</v>
      </c>
      <c r="AW198">
        <f>AND(IF(Metadata!K198="",FALSE,TRUE),OR(exact(Metadata!K198,"Animal"),exact(Metadata!K198,"Fungus"),exact(Metadata!K198,"Plant"),exact(Metadata!K198,"Saline"),exact(Metadata!K198,"Non-saline")))</f>
        <v>0</v>
      </c>
      <c r="AX198">
        <f>AND(IF(Metadata!L198="",FALSE,TRUE),OR(exact(Metadata!L198,"Plant secretion"),exact(Metadata!L198,"Plant rhizosphere"),exact(Metadata!L198,"Plant surface"),exact(Metadata!L198,"Plant corpus"),exact(Metadata!L198,"Fungus surface"),exact(Metadata!L198,"Fungus corpus"),exact(Metadata!L198,"Animal surface"),exact(Metadata!L198,"Animal proximal gut"),exact(Metadata!L198,"Animal corpus"),exact(Metadata!L198,"Animal distal gut"),exact(Metadata!L198,"Animal secretion"),exact(Metadata!L198,"Sub-surface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Y198">
        <f>IF(Metadata!M198="",FALSE,TRUE)</f>
        <v>0</v>
      </c>
      <c r="AZ198">
        <f>IF(Metadata!N198="",FALSE,TRUE)</f>
        <v>0</v>
      </c>
      <c r="BA198">
        <f>IF(Metadata!O198="",FALSE,TRUE)</f>
        <v>0</v>
      </c>
      <c r="BB198">
        <f>OR(AND(IF(Metadata!P198="",FALSE,TRUE),OR(exact(Metadata!P198,"not collected"),exact(Metadata!P198,"not provided"),exact(Metadata!P198,"restricted access"))),AND(IF(Metadata!P198="",FALSE,TRUE),OR(exact(Metadata!P198,"air"),exact(Metadata!P198,"built environment"),exact(Metadata!P198,"host-associated"),exact(Metadata!P198,"human-associated"),exact(Metadata!P198,"human-skin"),exact(Metadata!P198,"human-oral"),exact(Metadata!P198,"human-gut"),exact(Metadata!P198,"human-vaginal"),exact(Metadata!P198,"microbial mat/biofilm"),exact(Metadata!P198,"misc environment"),exact(Metadata!P198,"plant-associated"),exact(Metadata!P198,"sediment"),exact(Metadata!P198,"soil"),exact(Metadata!P198,"wastewater/sludge"),exact(Metadata!P198,"water"))))</f>
        <v>0</v>
      </c>
      <c r="BC198">
        <f>IF(Metadata!Q198="",FALSE,TRUE)</f>
        <v>0</v>
      </c>
      <c r="BD198">
        <f>IF(Metadata!R198="",FALSE,TRUE)</f>
        <v>0</v>
      </c>
      <c r="BE198">
        <f>OR(AND(IF(Metadata!S198="",FALSE,TRUE),OR(exact(Metadata!S198,"not collected"),exact(Metadata!S198,"not provided"),exact(Metadata!S198,"restricted access"))),AND(IF(Metadata!S198="",FALSE,ISNUMBER(VALUE(Metadata!S198))),Metadata!S198&gt;=-90.00,Metadata!S198&lt;=90.00))</f>
        <v>0</v>
      </c>
      <c r="BF198">
        <f>AND(IF(Metadata!T198="",FALSE,TRUE),exact(Metadata!T198,"Decimal degrees"))</f>
        <v>0</v>
      </c>
      <c r="BG198">
        <f>OR(AND(IF(Metadata!U198="",FALSE,TRUE),OR(exact(Metadata!U198,"not collected"),exact(Metadata!U198,"not provided"),exact(Metadata!U198,"restricted access"))),AND(IF(Metadata!U198="",FALSE,ISNUMBER(VALUE(Metadata!U198))),Metadata!U198&gt;=-180.00,Metadata!U198&lt;=180.00))</f>
        <v>0</v>
      </c>
      <c r="BH198">
        <f>AND(IF(Metadata!V198="",FALSE,TRUE),exact(Metadata!V198,"Decimal degrees"))</f>
        <v>0</v>
      </c>
      <c r="BI198">
        <f>IF(Metadata!W198="",FALSE,TRUE)</f>
        <v>0</v>
      </c>
      <c r="BJ198">
        <f>OR(AND(IF(Metadata!X198="",FALSE,TRUE),OR(exact(Metadata!X198,"not collected"),exact(Metadata!X198,"not provided"),exact(Metadata!X198,"restricted access"))),AND(IF(Metadata!X198="",FALSE,TRUE),OR(exact(Metadata!X198,"TRUE"),exact(Metadata!X198,"FALSE"))))</f>
        <v>0</v>
      </c>
      <c r="BK198">
        <f>AND(IF(Metadata!Y198="",FALSE,TRUE),exact(Metadata!Y198,"other"))</f>
        <v>0</v>
      </c>
      <c r="BL198">
        <f>IF(Metadata!Z198="",FALSE,TRUE)</f>
        <v>0</v>
      </c>
      <c r="BM198">
        <f>OR(AND(IF(Metadata!AA198="",FALSE,TRUE),OR(exact(Metadata!AA198,"not collected"),exact(Metadata!AA198,"not provided"))),AND(IF(Metadata!AA198="",FALSE,IF(ISERROR(INT(Metadata!AA198)),FALSE,INT(Metadata!AA198)=Metadata!AA198)),Metadata!AA198&gt;0))</f>
        <v>0</v>
      </c>
      <c r="BN198">
        <f>AND(IF(Metadata!AB198="",FALSE,TRUE),exact(Metadata!AB198,"Not applicable"))</f>
        <v>0</v>
      </c>
      <c r="BO198">
        <f>IF(Metadata!AC198="",FALSE,TRUE)</f>
        <v>0</v>
      </c>
    </row>
    <row r="199" spans="1:67">
      <c r="A199" s="5">
        <f>IF(B199=" "," ",HYPERLINK(CONCATENATE("#metadata!",ADDRESS(INDEX($AI$2:$AI$1001,MATCH(ROWS($AG$2:AG199),$AG$2:$AG$1001,0),0),1)),INDEX($AL$2:$AL$1001,MATCH(ROWS($AG$2:AG199),$AG$2:$AG$1001,0),0)))</f>
        <v>0</v>
      </c>
      <c r="B199" s="4">
        <f>IF(OR(INDEX($AH$2:$AH$1001,MATCH(ROWS($AG$2:AG199),$AG$2:$AG$1001,0),1)&gt;=100000,INDEX($AN$1005:$BO$1005,1,MATCH(COLUMNS($AN$1006:AN1006),$AN$1006:$BO$1006,0))&gt;=100000), " ",IF(INDEX($AN$2:$BO$1001,MATCH(ROWS($AG$2:AG199),$AG$2:$AG$1001,0),MATCH(COLUMNS($AN$1006:AN1006),$AN$1006:$BO$1006,0)), HYPERLINK("#",""), HYPERLINK(CONCATENATE("#Metadata!", ADDRESS(INDEX($AI$2:$AI$1001,MATCH(ROWS($AG$2:AG199),$AG$2:$AG$1001,0),0), INDEX($AN$1004:$BO$1004,1,MATCH(COLUMNS($AN$1006:AN1006),$AN$1006:$BO$1006,0)))),"Fix")))</f>
        <v>0</v>
      </c>
      <c r="C199" s="4">
        <f>IF(OR(INDEX($AH$2:$AH$1001,MATCH(ROWS($AG$2:AG199),$AG$2:$AG$1001,0),1)&gt;=100000,INDEX($AN$1005:$BO$1005,1,MATCH(COLUMNS($AN$1006:AO1006),$AN$1006:$BO$1006,0))&gt;=100000), " ",IF(INDEX($AN$2:$BO$1001,MATCH(ROWS($AG$2:AG199),$AG$2:$AG$1001,0),MATCH(COLUMNS($AN$1006:AO1006),$AN$1006:$BO$1006,0)), HYPERLINK("#",""), HYPERLINK(CONCATENATE("#Metadata!", ADDRESS(INDEX($AI$2:$AI$1001,MATCH(ROWS($AG$2:AG199),$AG$2:$AG$1001,0),0), INDEX($AN$1004:$BO$1004,1,MATCH(COLUMNS($AN$1006:AO1006),$AN$1006:$BO$1006,0)))),"Fix")))</f>
        <v>0</v>
      </c>
      <c r="D199" s="4">
        <f>IF(OR(INDEX($AH$2:$AH$1001,MATCH(ROWS($AG$2:AG199),$AG$2:$AG$1001,0),1)&gt;=100000,INDEX($AN$1005:$BO$1005,1,MATCH(COLUMNS($AN$1006:AP1006),$AN$1006:$BO$1006,0))&gt;=100000), " ",IF(INDEX($AN$2:$BO$1001,MATCH(ROWS($AG$2:AG199),$AG$2:$AG$1001,0),MATCH(COLUMNS($AN$1006:AP1006),$AN$1006:$BO$1006,0)), HYPERLINK("#",""), HYPERLINK(CONCATENATE("#Metadata!", ADDRESS(INDEX($AI$2:$AI$1001,MATCH(ROWS($AG$2:AG199),$AG$2:$AG$1001,0),0), INDEX($AN$1004:$BO$1004,1,MATCH(COLUMNS($AN$1006:AP1006),$AN$1006:$BO$1006,0)))),"Fix")))</f>
        <v>0</v>
      </c>
      <c r="E199" s="4">
        <f>IF(OR(INDEX($AH$2:$AH$1001,MATCH(ROWS($AG$2:AG199),$AG$2:$AG$1001,0),1)&gt;=100000,INDEX($AN$1005:$BO$1005,1,MATCH(COLUMNS($AN$1006:AQ1006),$AN$1006:$BO$1006,0))&gt;=100000), " ",IF(INDEX($AN$2:$BO$1001,MATCH(ROWS($AG$2:AG199),$AG$2:$AG$1001,0),MATCH(COLUMNS($AN$1006:AQ1006),$AN$1006:$BO$1006,0)), HYPERLINK("#",""), HYPERLINK(CONCATENATE("#Metadata!", ADDRESS(INDEX($AI$2:$AI$1001,MATCH(ROWS($AG$2:AG199),$AG$2:$AG$1001,0),0), INDEX($AN$1004:$BO$1004,1,MATCH(COLUMNS($AN$1006:AQ1006),$AN$1006:$BO$1006,0)))),"Fix")))</f>
        <v>0</v>
      </c>
      <c r="F199" s="4">
        <f>IF(OR(INDEX($AH$2:$AH$1001,MATCH(ROWS($AG$2:AG199),$AG$2:$AG$1001,0),1)&gt;=100000,INDEX($AN$1005:$BO$1005,1,MATCH(COLUMNS($AN$1006:AR1006),$AN$1006:$BO$1006,0))&gt;=100000), " ",IF(INDEX($AN$2:$BO$1001,MATCH(ROWS($AG$2:AG199),$AG$2:$AG$1001,0),MATCH(COLUMNS($AN$1006:AR1006),$AN$1006:$BO$1006,0)), HYPERLINK("#",""), HYPERLINK(CONCATENATE("#Metadata!", ADDRESS(INDEX($AI$2:$AI$1001,MATCH(ROWS($AG$2:AG199),$AG$2:$AG$1001,0),0), INDEX($AN$1004:$BO$1004,1,MATCH(COLUMNS($AN$1006:AR1006),$AN$1006:$BO$1006,0)))),"Fix")))</f>
        <v>0</v>
      </c>
      <c r="G199" s="4">
        <f>IF(OR(INDEX($AH$2:$AH$1001,MATCH(ROWS($AG$2:AG199),$AG$2:$AG$1001,0),1)&gt;=100000,INDEX($AN$1005:$BO$1005,1,MATCH(COLUMNS($AN$1006:AS1006),$AN$1006:$BO$1006,0))&gt;=100000), " ",IF(INDEX($AN$2:$BO$1001,MATCH(ROWS($AG$2:AG199),$AG$2:$AG$1001,0),MATCH(COLUMNS($AN$1006:AS1006),$AN$1006:$BO$1006,0)), HYPERLINK("#",""), HYPERLINK(CONCATENATE("#Metadata!", ADDRESS(INDEX($AI$2:$AI$1001,MATCH(ROWS($AG$2:AG199),$AG$2:$AG$1001,0),0), INDEX($AN$1004:$BO$1004,1,MATCH(COLUMNS($AN$1006:AS1006),$AN$1006:$BO$1006,0)))),"Fix")))</f>
        <v>0</v>
      </c>
      <c r="H199" s="4">
        <f>IF(OR(INDEX($AH$2:$AH$1001,MATCH(ROWS($AG$2:AG199),$AG$2:$AG$1001,0),1)&gt;=100000,INDEX($AN$1005:$BO$1005,1,MATCH(COLUMNS($AN$1006:AT1006),$AN$1006:$BO$1006,0))&gt;=100000), " ",IF(INDEX($AN$2:$BO$1001,MATCH(ROWS($AG$2:AG199),$AG$2:$AG$1001,0),MATCH(COLUMNS($AN$1006:AT1006),$AN$1006:$BO$1006,0)), HYPERLINK("#",""), HYPERLINK(CONCATENATE("#Metadata!", ADDRESS(INDEX($AI$2:$AI$1001,MATCH(ROWS($AG$2:AG199),$AG$2:$AG$1001,0),0), INDEX($AN$1004:$BO$1004,1,MATCH(COLUMNS($AN$1006:AT1006),$AN$1006:$BO$1006,0)))),"Fix")))</f>
        <v>0</v>
      </c>
      <c r="I199" s="4">
        <f>IF(OR(INDEX($AH$2:$AH$1001,MATCH(ROWS($AG$2:AG199),$AG$2:$AG$1001,0),1)&gt;=100000,INDEX($AN$1005:$BO$1005,1,MATCH(COLUMNS($AN$1006:AU1006),$AN$1006:$BO$1006,0))&gt;=100000), " ",IF(INDEX($AN$2:$BO$1001,MATCH(ROWS($AG$2:AG199),$AG$2:$AG$1001,0),MATCH(COLUMNS($AN$1006:AU1006),$AN$1006:$BO$1006,0)), HYPERLINK("#",""), HYPERLINK(CONCATENATE("#Metadata!", ADDRESS(INDEX($AI$2:$AI$1001,MATCH(ROWS($AG$2:AG199),$AG$2:$AG$1001,0),0), INDEX($AN$1004:$BO$1004,1,MATCH(COLUMNS($AN$1006:AU1006),$AN$1006:$BO$1006,0)))),"Fix")))</f>
        <v>0</v>
      </c>
      <c r="J199" s="4">
        <f>IF(OR(INDEX($AH$2:$AH$1001,MATCH(ROWS($AG$2:AG199),$AG$2:$AG$1001,0),1)&gt;=100000,INDEX($AN$1005:$BO$1005,1,MATCH(COLUMNS($AN$1006:AV1006),$AN$1006:$BO$1006,0))&gt;=100000), " ",IF(INDEX($AN$2:$BO$1001,MATCH(ROWS($AG$2:AG199),$AG$2:$AG$1001,0),MATCH(COLUMNS($AN$1006:AV1006),$AN$1006:$BO$1006,0)), HYPERLINK("#",""), HYPERLINK(CONCATENATE("#Metadata!", ADDRESS(INDEX($AI$2:$AI$1001,MATCH(ROWS($AG$2:AG199),$AG$2:$AG$1001,0),0), INDEX($AN$1004:$BO$1004,1,MATCH(COLUMNS($AN$1006:AV1006),$AN$1006:$BO$1006,0)))),"Fix")))</f>
        <v>0</v>
      </c>
      <c r="K199" s="4">
        <f>IF(OR(INDEX($AH$2:$AH$1001,MATCH(ROWS($AG$2:AG199),$AG$2:$AG$1001,0),1)&gt;=100000,INDEX($AN$1005:$BO$1005,1,MATCH(COLUMNS($AN$1006:AW1006),$AN$1006:$BO$1006,0))&gt;=100000), " ",IF(INDEX($AN$2:$BO$1001,MATCH(ROWS($AG$2:AG199),$AG$2:$AG$1001,0),MATCH(COLUMNS($AN$1006:AW1006),$AN$1006:$BO$1006,0)), HYPERLINK("#",""), HYPERLINK(CONCATENATE("#Metadata!", ADDRESS(INDEX($AI$2:$AI$1001,MATCH(ROWS($AG$2:AG199),$AG$2:$AG$1001,0),0), INDEX($AN$1004:$BO$1004,1,MATCH(COLUMNS($AN$1006:AW1006),$AN$1006:$BO$1006,0)))),"Fix")))</f>
        <v>0</v>
      </c>
      <c r="L199" s="4">
        <f>IF(OR(INDEX($AH$2:$AH$1001,MATCH(ROWS($AG$2:AG199),$AG$2:$AG$1001,0),1)&gt;=100000,INDEX($AN$1005:$BO$1005,1,MATCH(COLUMNS($AN$1006:AX1006),$AN$1006:$BO$1006,0))&gt;=100000), " ",IF(INDEX($AN$2:$BO$1001,MATCH(ROWS($AG$2:AG199),$AG$2:$AG$1001,0),MATCH(COLUMNS($AN$1006:AX1006),$AN$1006:$BO$1006,0)), HYPERLINK("#",""), HYPERLINK(CONCATENATE("#Metadata!", ADDRESS(INDEX($AI$2:$AI$1001,MATCH(ROWS($AG$2:AG199),$AG$2:$AG$1001,0),0), INDEX($AN$1004:$BO$1004,1,MATCH(COLUMNS($AN$1006:AX1006),$AN$1006:$BO$1006,0)))),"Fix")))</f>
        <v>0</v>
      </c>
      <c r="M199" s="4">
        <f>IF(OR(INDEX($AH$2:$AH$1001,MATCH(ROWS($AG$2:AG199),$AG$2:$AG$1001,0),1)&gt;=100000,INDEX($AN$1005:$BO$1005,1,MATCH(COLUMNS($AN$1006:AY1006),$AN$1006:$BO$1006,0))&gt;=100000), " ",IF(INDEX($AN$2:$BO$1001,MATCH(ROWS($AG$2:AG199),$AG$2:$AG$1001,0),MATCH(COLUMNS($AN$1006:AY1006),$AN$1006:$BO$1006,0)), HYPERLINK("#",""), HYPERLINK(CONCATENATE("#Metadata!", ADDRESS(INDEX($AI$2:$AI$1001,MATCH(ROWS($AG$2:AG199),$AG$2:$AG$1001,0),0), INDEX($AN$1004:$BO$1004,1,MATCH(COLUMNS($AN$1006:AY1006),$AN$1006:$BO$1006,0)))),"Fix")))</f>
        <v>0</v>
      </c>
      <c r="N199" s="4">
        <f>IF(OR(INDEX($AH$2:$AH$1001,MATCH(ROWS($AG$2:AG199),$AG$2:$AG$1001,0),1)&gt;=100000,INDEX($AN$1005:$BO$1005,1,MATCH(COLUMNS($AN$1006:AZ1006),$AN$1006:$BO$1006,0))&gt;=100000), " ",IF(INDEX($AN$2:$BO$1001,MATCH(ROWS($AG$2:AG199),$AG$2:$AG$1001,0),MATCH(COLUMNS($AN$1006:AZ1006),$AN$1006:$BO$1006,0)), HYPERLINK("#",""), HYPERLINK(CONCATENATE("#Metadata!", ADDRESS(INDEX($AI$2:$AI$1001,MATCH(ROWS($AG$2:AG199),$AG$2:$AG$1001,0),0), INDEX($AN$1004:$BO$1004,1,MATCH(COLUMNS($AN$1006:AZ1006),$AN$1006:$BO$1006,0)))),"Fix")))</f>
        <v>0</v>
      </c>
      <c r="O199" s="4">
        <f>IF(OR(INDEX($AH$2:$AH$1001,MATCH(ROWS($AG$2:AG199),$AG$2:$AG$1001,0),1)&gt;=100000,INDEX($AN$1005:$BO$1005,1,MATCH(COLUMNS($AN$1006:BA1006),$AN$1006:$BO$1006,0))&gt;=100000), " ",IF(INDEX($AN$2:$BO$1001,MATCH(ROWS($AG$2:AG199),$AG$2:$AG$1001,0),MATCH(COLUMNS($AN$1006:BA1006),$AN$1006:$BO$1006,0)), HYPERLINK("#",""), HYPERLINK(CONCATENATE("#Metadata!", ADDRESS(INDEX($AI$2:$AI$1001,MATCH(ROWS($AG$2:AG199),$AG$2:$AG$1001,0),0), INDEX($AN$1004:$BO$1004,1,MATCH(COLUMNS($AN$1006:BA1006),$AN$1006:$BO$1006,0)))),"Fix")))</f>
        <v>0</v>
      </c>
      <c r="P199" s="4">
        <f>IF(OR(INDEX($AH$2:$AH$1001,MATCH(ROWS($AG$2:AG199),$AG$2:$AG$1001,0),1)&gt;=100000,INDEX($AN$1005:$BO$1005,1,MATCH(COLUMNS($AN$1006:BB1006),$AN$1006:$BO$1006,0))&gt;=100000), " ",IF(INDEX($AN$2:$BO$1001,MATCH(ROWS($AG$2:AG199),$AG$2:$AG$1001,0),MATCH(COLUMNS($AN$1006:BB1006),$AN$1006:$BO$1006,0)), HYPERLINK("#",""), HYPERLINK(CONCATENATE("#Metadata!", ADDRESS(INDEX($AI$2:$AI$1001,MATCH(ROWS($AG$2:AG199),$AG$2:$AG$1001,0),0), INDEX($AN$1004:$BO$1004,1,MATCH(COLUMNS($AN$1006:BB1006),$AN$1006:$BO$1006,0)))),"Fix")))</f>
        <v>0</v>
      </c>
      <c r="Q199" s="4">
        <f>IF(OR(INDEX($AH$2:$AH$1001,MATCH(ROWS($AG$2:AG199),$AG$2:$AG$1001,0),1)&gt;=100000,INDEX($AN$1005:$BO$1005,1,MATCH(COLUMNS($AN$1006:BC1006),$AN$1006:$BO$1006,0))&gt;=100000), " ",IF(INDEX($AN$2:$BO$1001,MATCH(ROWS($AG$2:AG199),$AG$2:$AG$1001,0),MATCH(COLUMNS($AN$1006:BC1006),$AN$1006:$BO$1006,0)), HYPERLINK("#",""), HYPERLINK(CONCATENATE("#Metadata!", ADDRESS(INDEX($AI$2:$AI$1001,MATCH(ROWS($AG$2:AG199),$AG$2:$AG$1001,0),0), INDEX($AN$1004:$BO$1004,1,MATCH(COLUMNS($AN$1006:BC1006),$AN$1006:$BO$1006,0)))),"Fix")))</f>
        <v>0</v>
      </c>
      <c r="R199" s="4">
        <f>IF(OR(INDEX($AH$2:$AH$1001,MATCH(ROWS($AG$2:AG199),$AG$2:$AG$1001,0),1)&gt;=100000,INDEX($AN$1005:$BO$1005,1,MATCH(COLUMNS($AN$1006:BD1006),$AN$1006:$BO$1006,0))&gt;=100000), " ",IF(INDEX($AN$2:$BO$1001,MATCH(ROWS($AG$2:AG199),$AG$2:$AG$1001,0),MATCH(COLUMNS($AN$1006:BD1006),$AN$1006:$BO$1006,0)), HYPERLINK("#",""), HYPERLINK(CONCATENATE("#Metadata!", ADDRESS(INDEX($AI$2:$AI$1001,MATCH(ROWS($AG$2:AG199),$AG$2:$AG$1001,0),0), INDEX($AN$1004:$BO$1004,1,MATCH(COLUMNS($AN$1006:BD1006),$AN$1006:$BO$1006,0)))),"Fix")))</f>
        <v>0</v>
      </c>
      <c r="S199" s="4">
        <f>IF(OR(INDEX($AH$2:$AH$1001,MATCH(ROWS($AG$2:AG199),$AG$2:$AG$1001,0),1)&gt;=100000,INDEX($AN$1005:$BO$1005,1,MATCH(COLUMNS($AN$1006:BE1006),$AN$1006:$BO$1006,0))&gt;=100000), " ",IF(INDEX($AN$2:$BO$1001,MATCH(ROWS($AG$2:AG199),$AG$2:$AG$1001,0),MATCH(COLUMNS($AN$1006:BE1006),$AN$1006:$BO$1006,0)), HYPERLINK("#",""), HYPERLINK(CONCATENATE("#Metadata!", ADDRESS(INDEX($AI$2:$AI$1001,MATCH(ROWS($AG$2:AG199),$AG$2:$AG$1001,0),0), INDEX($AN$1004:$BO$1004,1,MATCH(COLUMNS($AN$1006:BE1006),$AN$1006:$BO$1006,0)))),"Fix")))</f>
        <v>0</v>
      </c>
      <c r="T199" s="4">
        <f>IF(OR(INDEX($AH$2:$AH$1001,MATCH(ROWS($AG$2:AG199),$AG$2:$AG$1001,0),1)&gt;=100000,INDEX($AN$1005:$BO$1005,1,MATCH(COLUMNS($AN$1006:BF1006),$AN$1006:$BO$1006,0))&gt;=100000), " ",IF(INDEX($AN$2:$BO$1001,MATCH(ROWS($AG$2:AG199),$AG$2:$AG$1001,0),MATCH(COLUMNS($AN$1006:BF1006),$AN$1006:$BO$1006,0)), HYPERLINK("#",""), HYPERLINK(CONCATENATE("#Metadata!", ADDRESS(INDEX($AI$2:$AI$1001,MATCH(ROWS($AG$2:AG199),$AG$2:$AG$1001,0),0), INDEX($AN$1004:$BO$1004,1,MATCH(COLUMNS($AN$1006:BF1006),$AN$1006:$BO$1006,0)))),"Fix")))</f>
        <v>0</v>
      </c>
      <c r="U199" s="4">
        <f>IF(OR(INDEX($AH$2:$AH$1001,MATCH(ROWS($AG$2:AG199),$AG$2:$AG$1001,0),1)&gt;=100000,INDEX($AN$1005:$BO$1005,1,MATCH(COLUMNS($AN$1006:BG1006),$AN$1006:$BO$1006,0))&gt;=100000), " ",IF(INDEX($AN$2:$BO$1001,MATCH(ROWS($AG$2:AG199),$AG$2:$AG$1001,0),MATCH(COLUMNS($AN$1006:BG1006),$AN$1006:$BO$1006,0)), HYPERLINK("#",""), HYPERLINK(CONCATENATE("#Metadata!", ADDRESS(INDEX($AI$2:$AI$1001,MATCH(ROWS($AG$2:AG199),$AG$2:$AG$1001,0),0), INDEX($AN$1004:$BO$1004,1,MATCH(COLUMNS($AN$1006:BG1006),$AN$1006:$BO$1006,0)))),"Fix")))</f>
        <v>0</v>
      </c>
      <c r="V199" s="4">
        <f>IF(OR(INDEX($AH$2:$AH$1001,MATCH(ROWS($AG$2:AG199),$AG$2:$AG$1001,0),1)&gt;=100000,INDEX($AN$1005:$BO$1005,1,MATCH(COLUMNS($AN$1006:BH1006),$AN$1006:$BO$1006,0))&gt;=100000), " ",IF(INDEX($AN$2:$BO$1001,MATCH(ROWS($AG$2:AG199),$AG$2:$AG$1001,0),MATCH(COLUMNS($AN$1006:BH1006),$AN$1006:$BO$1006,0)), HYPERLINK("#",""), HYPERLINK(CONCATENATE("#Metadata!", ADDRESS(INDEX($AI$2:$AI$1001,MATCH(ROWS($AG$2:AG199),$AG$2:$AG$1001,0),0), INDEX($AN$1004:$BO$1004,1,MATCH(COLUMNS($AN$1006:BH1006),$AN$1006:$BO$1006,0)))),"Fix")))</f>
        <v>0</v>
      </c>
      <c r="W199" s="4">
        <f>IF(OR(INDEX($AH$2:$AH$1001,MATCH(ROWS($AG$2:AG199),$AG$2:$AG$1001,0),1)&gt;=100000,INDEX($AN$1005:$BO$1005,1,MATCH(COLUMNS($AN$1006:BI1006),$AN$1006:$BO$1006,0))&gt;=100000), " ",IF(INDEX($AN$2:$BO$1001,MATCH(ROWS($AG$2:AG199),$AG$2:$AG$1001,0),MATCH(COLUMNS($AN$1006:BI1006),$AN$1006:$BO$1006,0)), HYPERLINK("#",""), HYPERLINK(CONCATENATE("#Metadata!", ADDRESS(INDEX($AI$2:$AI$1001,MATCH(ROWS($AG$2:AG199),$AG$2:$AG$1001,0),0), INDEX($AN$1004:$BO$1004,1,MATCH(COLUMNS($AN$1006:BI1006),$AN$1006:$BO$1006,0)))),"Fix")))</f>
        <v>0</v>
      </c>
      <c r="X199" s="4">
        <f>IF(OR(INDEX($AH$2:$AH$1001,MATCH(ROWS($AG$2:AG199),$AG$2:$AG$1001,0),1)&gt;=100000,INDEX($AN$1005:$BO$1005,1,MATCH(COLUMNS($AN$1006:BJ1006),$AN$1006:$BO$1006,0))&gt;=100000), " ",IF(INDEX($AN$2:$BO$1001,MATCH(ROWS($AG$2:AG199),$AG$2:$AG$1001,0),MATCH(COLUMNS($AN$1006:BJ1006),$AN$1006:$BO$1006,0)), HYPERLINK("#",""), HYPERLINK(CONCATENATE("#Metadata!", ADDRESS(INDEX($AI$2:$AI$1001,MATCH(ROWS($AG$2:AG199),$AG$2:$AG$1001,0),0), INDEX($AN$1004:$BO$1004,1,MATCH(COLUMNS($AN$1006:BJ1006),$AN$1006:$BO$1006,0)))),"Fix")))</f>
        <v>0</v>
      </c>
      <c r="Y199" s="4">
        <f>IF(OR(INDEX($AH$2:$AH$1001,MATCH(ROWS($AG$2:AG199),$AG$2:$AG$1001,0),1)&gt;=100000,INDEX($AN$1005:$BO$1005,1,MATCH(COLUMNS($AN$1006:BK1006),$AN$1006:$BO$1006,0))&gt;=100000), " ",IF(INDEX($AN$2:$BO$1001,MATCH(ROWS($AG$2:AG199),$AG$2:$AG$1001,0),MATCH(COLUMNS($AN$1006:BK1006),$AN$1006:$BO$1006,0)), HYPERLINK("#",""), HYPERLINK(CONCATENATE("#Metadata!", ADDRESS(INDEX($AI$2:$AI$1001,MATCH(ROWS($AG$2:AG199),$AG$2:$AG$1001,0),0), INDEX($AN$1004:$BO$1004,1,MATCH(COLUMNS($AN$1006:BK1006),$AN$1006:$BO$1006,0)))),"Fix")))</f>
        <v>0</v>
      </c>
      <c r="Z199" s="4">
        <f>IF(OR(INDEX($AH$2:$AH$1001,MATCH(ROWS($AG$2:AG199),$AG$2:$AG$1001,0),1)&gt;=100000,INDEX($AN$1005:$BO$1005,1,MATCH(COLUMNS($AN$1006:BL1006),$AN$1006:$BO$1006,0))&gt;=100000), " ",IF(INDEX($AN$2:$BO$1001,MATCH(ROWS($AG$2:AG199),$AG$2:$AG$1001,0),MATCH(COLUMNS($AN$1006:BL1006),$AN$1006:$BO$1006,0)), HYPERLINK("#",""), HYPERLINK(CONCATENATE("#Metadata!", ADDRESS(INDEX($AI$2:$AI$1001,MATCH(ROWS($AG$2:AG199),$AG$2:$AG$1001,0),0), INDEX($AN$1004:$BO$1004,1,MATCH(COLUMNS($AN$1006:BL1006),$AN$1006:$BO$1006,0)))),"Fix")))</f>
        <v>0</v>
      </c>
      <c r="AA199" s="4">
        <f>IF(OR(INDEX($AH$2:$AH$1001,MATCH(ROWS($AG$2:AG199),$AG$2:$AG$1001,0),1)&gt;=100000,INDEX($AN$1005:$BO$1005,1,MATCH(COLUMNS($AN$1006:BM1006),$AN$1006:$BO$1006,0))&gt;=100000), " ",IF(INDEX($AN$2:$BO$1001,MATCH(ROWS($AG$2:AG199),$AG$2:$AG$1001,0),MATCH(COLUMNS($AN$1006:BM1006),$AN$1006:$BO$1006,0)), HYPERLINK("#",""), HYPERLINK(CONCATENATE("#Metadata!", ADDRESS(INDEX($AI$2:$AI$1001,MATCH(ROWS($AG$2:AG199),$AG$2:$AG$1001,0),0), INDEX($AN$1004:$BO$1004,1,MATCH(COLUMNS($AN$1006:BM1006),$AN$1006:$BO$1006,0)))),"Fix")))</f>
        <v>0</v>
      </c>
      <c r="AB199" s="4">
        <f>IF(OR(INDEX($AH$2:$AH$1001,MATCH(ROWS($AG$2:AG199),$AG$2:$AG$1001,0),1)&gt;=100000,INDEX($AN$1005:$BO$1005,1,MATCH(COLUMNS($AN$1006:BN1006),$AN$1006:$BO$1006,0))&gt;=100000), " ",IF(INDEX($AN$2:$BO$1001,MATCH(ROWS($AG$2:AG199),$AG$2:$AG$1001,0),MATCH(COLUMNS($AN$1006:BN1006),$AN$1006:$BO$1006,0)), HYPERLINK("#",""), HYPERLINK(CONCATENATE("#Metadata!", ADDRESS(INDEX($AI$2:$AI$1001,MATCH(ROWS($AG$2:AG199),$AG$2:$AG$1001,0),0), INDEX($AN$1004:$BO$1004,1,MATCH(COLUMNS($AN$1006:BN1006),$AN$1006:$BO$1006,0)))),"Fix")))</f>
        <v>0</v>
      </c>
      <c r="AC199" s="4">
        <f>IF(OR(INDEX($AH$2:$AH$1001,MATCH(ROWS($AG$2:AG199),$AG$2:$AG$1001,0),1)&gt;=100000,INDEX($AN$1005:$BO$1005,1,MATCH(COLUMNS($AN$1006:BO1006),$AN$1006:$BO$1006,0))&gt;=100000), " ",IF(INDEX($AN$2:$BO$1001,MATCH(ROWS($AG$2:AG199),$AG$2:$AG$1001,0),MATCH(COLUMNS($AN$1006:BO1006),$AN$1006:$BO$1006,0)), HYPERLINK("#",""), HYPERLINK(CONCATENATE("#Metadata!", ADDRESS(INDEX($AI$2:$AI$1001,MATCH(ROWS($AG$2:AG199),$AG$2:$AG$1001,0),0), INDEX($AN$1004:$BO$1004,1,MATCH(COLUMNS($AN$1006:BO1006),$AN$1006:$BO$1006,0)))),"Fix")))</f>
        <v>0</v>
      </c>
      <c r="AG199">
        <v>0</v>
      </c>
      <c r="AH199">
        <v>0</v>
      </c>
      <c r="AI199">
        <v>0</v>
      </c>
      <c r="AJ199">
        <f>IF(AK199,TRUE,AND(AN199:BO199))</f>
        <v>0</v>
      </c>
      <c r="AK199">
        <f>COUNTBLANK(Metadata!B199:AC199)=COLUMNS(Metadata!B199:AC199)</f>
        <v>0</v>
      </c>
      <c r="AL199">
        <v>0</v>
      </c>
      <c r="AN199">
        <f>AND(IF(Metadata!B199="",FALSE,TRUE),COUNTIF(Metadata!B:B, Metadata!B199) = 1,NOT(ISERROR(SUMPRODUCT(SEARCH(MID(Metadata!B199,ROW(INDIRECT("1:"&amp;LEN(Metadata!B199))), 1),"0123456789abcdefghijklmnopqrstuvwxyzABCDEFGHIJKLMNOPQRSTUVWXYZ.")))))</f>
        <v>0</v>
      </c>
      <c r="AO199">
        <f>IF(Metadata!C199="",FALSE,TRUE)</f>
        <v>0</v>
      </c>
      <c r="AP199">
        <f>IF(Metadata!D199="",FALSE,TRUE)</f>
        <v>0</v>
      </c>
      <c r="AQ199">
        <f>OR(AND(IF(Metadata!E199="",FALSE,TRUE),OR(exact(Metadata!E199,"not collected"),exact(Metadata!E199,"not provided"),exact(Metadata!E199,"restricted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R199">
        <f>IF(Metadata!F199="",FALSE,TRUE)</f>
        <v>0</v>
      </c>
      <c r="AS199">
        <f>OR(AND(IF(Metadata!G199="",FALSE,TRUE),OR(exact(Metadata!G199,"not collected"),exact(Metadata!G199,"not provided"))),AND(IF(Metadata!G199="",FALSE,TRUE),OR(exact(Metadata!G199,"TRUE"),exact(Metadata!G199,"FALSE"))))</f>
        <v>0</v>
      </c>
      <c r="AT199">
        <f>OR(AND(IF(Metadata!H199="",FALSE,TRUE),OR(exact(Metadata!H199,"not collected"),exact(Metadata!H199,"not provided"),exact(Metadata!H199,"restricted access"))),AND(IF(Metadata!H199="",FALSE,ISNUMBER(VALUE(Metadata!H199))),Metadata!H199&gt;=-413.0))</f>
        <v>0</v>
      </c>
      <c r="AU199">
        <f>AND(IF(Metadata!I199="",FALSE,TRUE),exact(Metadata!I199,"meters"))</f>
        <v>0</v>
      </c>
      <c r="AV199">
        <f>AND(IF(Metadata!J199="",FALSE,TRUE),OR(exact(Metadata!J199,"Host-associated"),exact(Metadata!J199,"Free-living")))</f>
        <v>0</v>
      </c>
      <c r="AW199">
        <f>AND(IF(Metadata!K199="",FALSE,TRUE),OR(exact(Metadata!K199,"Animal"),exact(Metadata!K199,"Fungus"),exact(Metadata!K199,"Plant"),exact(Metadata!K199,"Saline"),exact(Metadata!K199,"Non-saline")))</f>
        <v>0</v>
      </c>
      <c r="AX199">
        <f>AND(IF(Metadata!L199="",FALSE,TRUE),OR(exact(Metadata!L199,"Plant secretion"),exact(Metadata!L199,"Plant rhizosphere"),exact(Metadata!L199,"Plant surface"),exact(Metadata!L199,"Plant corpus"),exact(Metadata!L199,"Fungus surface"),exact(Metadata!L199,"Fungus corpus"),exact(Metadata!L199,"Animal surface"),exact(Metadata!L199,"Animal proximal gut"),exact(Metadata!L199,"Animal corpus"),exact(Metadata!L199,"Animal distal gut"),exact(Metadata!L199,"Animal secretion"),exact(Metadata!L199,"Sub-surface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Y199">
        <f>IF(Metadata!M199="",FALSE,TRUE)</f>
        <v>0</v>
      </c>
      <c r="AZ199">
        <f>IF(Metadata!N199="",FALSE,TRUE)</f>
        <v>0</v>
      </c>
      <c r="BA199">
        <f>IF(Metadata!O199="",FALSE,TRUE)</f>
        <v>0</v>
      </c>
      <c r="BB199">
        <f>OR(AND(IF(Metadata!P199="",FALSE,TRUE),OR(exact(Metadata!P199,"not collected"),exact(Metadata!P199,"not provided"),exact(Metadata!P199,"restricted access"))),AND(IF(Metadata!P199="",FALSE,TRUE),OR(exact(Metadata!P199,"air"),exact(Metadata!P199,"built environment"),exact(Metadata!P199,"host-associated"),exact(Metadata!P199,"human-associated"),exact(Metadata!P199,"human-skin"),exact(Metadata!P199,"human-oral"),exact(Metadata!P199,"human-gut"),exact(Metadata!P199,"human-vaginal"),exact(Metadata!P199,"microbial mat/biofilm"),exact(Metadata!P199,"misc environment"),exact(Metadata!P199,"plant-associated"),exact(Metadata!P199,"sediment"),exact(Metadata!P199,"soil"),exact(Metadata!P199,"wastewater/sludge"),exact(Metadata!P199,"water"))))</f>
        <v>0</v>
      </c>
      <c r="BC199">
        <f>IF(Metadata!Q199="",FALSE,TRUE)</f>
        <v>0</v>
      </c>
      <c r="BD199">
        <f>IF(Metadata!R199="",FALSE,TRUE)</f>
        <v>0</v>
      </c>
      <c r="BE199">
        <f>OR(AND(IF(Metadata!S199="",FALSE,TRUE),OR(exact(Metadata!S199,"not collected"),exact(Metadata!S199,"not provided"),exact(Metadata!S199,"restricted access"))),AND(IF(Metadata!S199="",FALSE,ISNUMBER(VALUE(Metadata!S199))),Metadata!S199&gt;=-90.00,Metadata!S199&lt;=90.00))</f>
        <v>0</v>
      </c>
      <c r="BF199">
        <f>AND(IF(Metadata!T199="",FALSE,TRUE),exact(Metadata!T199,"Decimal degrees"))</f>
        <v>0</v>
      </c>
      <c r="BG199">
        <f>OR(AND(IF(Metadata!U199="",FALSE,TRUE),OR(exact(Metadata!U199,"not collected"),exact(Metadata!U199,"not provided"),exact(Metadata!U199,"restricted access"))),AND(IF(Metadata!U199="",FALSE,ISNUMBER(VALUE(Metadata!U199))),Metadata!U199&gt;=-180.00,Metadata!U199&lt;=180.00))</f>
        <v>0</v>
      </c>
      <c r="BH199">
        <f>AND(IF(Metadata!V199="",FALSE,TRUE),exact(Metadata!V199,"Decimal degrees"))</f>
        <v>0</v>
      </c>
      <c r="BI199">
        <f>IF(Metadata!W199="",FALSE,TRUE)</f>
        <v>0</v>
      </c>
      <c r="BJ199">
        <f>OR(AND(IF(Metadata!X199="",FALSE,TRUE),OR(exact(Metadata!X199,"not collected"),exact(Metadata!X199,"not provided"),exact(Metadata!X199,"restricted access"))),AND(IF(Metadata!X199="",FALSE,TRUE),OR(exact(Metadata!X199,"TRUE"),exact(Metadata!X199,"FALSE"))))</f>
        <v>0</v>
      </c>
      <c r="BK199">
        <f>AND(IF(Metadata!Y199="",FALSE,TRUE),exact(Metadata!Y199,"other"))</f>
        <v>0</v>
      </c>
      <c r="BL199">
        <f>IF(Metadata!Z199="",FALSE,TRUE)</f>
        <v>0</v>
      </c>
      <c r="BM199">
        <f>OR(AND(IF(Metadata!AA199="",FALSE,TRUE),OR(exact(Metadata!AA199,"not collected"),exact(Metadata!AA199,"not provided"))),AND(IF(Metadata!AA199="",FALSE,IF(ISERROR(INT(Metadata!AA199)),FALSE,INT(Metadata!AA199)=Metadata!AA199)),Metadata!AA199&gt;0))</f>
        <v>0</v>
      </c>
      <c r="BN199">
        <f>AND(IF(Metadata!AB199="",FALSE,TRUE),exact(Metadata!AB199,"Not applicable"))</f>
        <v>0</v>
      </c>
      <c r="BO199">
        <f>IF(Metadata!AC199="",FALSE,TRUE)</f>
        <v>0</v>
      </c>
    </row>
    <row r="200" spans="1:67">
      <c r="A200" s="5">
        <f>IF(B200=" "," ",HYPERLINK(CONCATENATE("#metadata!",ADDRESS(INDEX($AI$2:$AI$1001,MATCH(ROWS($AG$2:AG200),$AG$2:$AG$1001,0),0),1)),INDEX($AL$2:$AL$1001,MATCH(ROWS($AG$2:AG200),$AG$2:$AG$1001,0),0)))</f>
        <v>0</v>
      </c>
      <c r="B200" s="4">
        <f>IF(OR(INDEX($AH$2:$AH$1001,MATCH(ROWS($AG$2:AG200),$AG$2:$AG$1001,0),1)&gt;=100000,INDEX($AN$1005:$BO$1005,1,MATCH(COLUMNS($AN$1006:AN1006),$AN$1006:$BO$1006,0))&gt;=100000), " ",IF(INDEX($AN$2:$BO$1001,MATCH(ROWS($AG$2:AG200),$AG$2:$AG$1001,0),MATCH(COLUMNS($AN$1006:AN1006),$AN$1006:$BO$1006,0)), HYPERLINK("#",""), HYPERLINK(CONCATENATE("#Metadata!", ADDRESS(INDEX($AI$2:$AI$1001,MATCH(ROWS($AG$2:AG200),$AG$2:$AG$1001,0),0), INDEX($AN$1004:$BO$1004,1,MATCH(COLUMNS($AN$1006:AN1006),$AN$1006:$BO$1006,0)))),"Fix")))</f>
        <v>0</v>
      </c>
      <c r="C200" s="4">
        <f>IF(OR(INDEX($AH$2:$AH$1001,MATCH(ROWS($AG$2:AG200),$AG$2:$AG$1001,0),1)&gt;=100000,INDEX($AN$1005:$BO$1005,1,MATCH(COLUMNS($AN$1006:AO1006),$AN$1006:$BO$1006,0))&gt;=100000), " ",IF(INDEX($AN$2:$BO$1001,MATCH(ROWS($AG$2:AG200),$AG$2:$AG$1001,0),MATCH(COLUMNS($AN$1006:AO1006),$AN$1006:$BO$1006,0)), HYPERLINK("#",""), HYPERLINK(CONCATENATE("#Metadata!", ADDRESS(INDEX($AI$2:$AI$1001,MATCH(ROWS($AG$2:AG200),$AG$2:$AG$1001,0),0), INDEX($AN$1004:$BO$1004,1,MATCH(COLUMNS($AN$1006:AO1006),$AN$1006:$BO$1006,0)))),"Fix")))</f>
        <v>0</v>
      </c>
      <c r="D200" s="4">
        <f>IF(OR(INDEX($AH$2:$AH$1001,MATCH(ROWS($AG$2:AG200),$AG$2:$AG$1001,0),1)&gt;=100000,INDEX($AN$1005:$BO$1005,1,MATCH(COLUMNS($AN$1006:AP1006),$AN$1006:$BO$1006,0))&gt;=100000), " ",IF(INDEX($AN$2:$BO$1001,MATCH(ROWS($AG$2:AG200),$AG$2:$AG$1001,0),MATCH(COLUMNS($AN$1006:AP1006),$AN$1006:$BO$1006,0)), HYPERLINK("#",""), HYPERLINK(CONCATENATE("#Metadata!", ADDRESS(INDEX($AI$2:$AI$1001,MATCH(ROWS($AG$2:AG200),$AG$2:$AG$1001,0),0), INDEX($AN$1004:$BO$1004,1,MATCH(COLUMNS($AN$1006:AP1006),$AN$1006:$BO$1006,0)))),"Fix")))</f>
        <v>0</v>
      </c>
      <c r="E200" s="4">
        <f>IF(OR(INDEX($AH$2:$AH$1001,MATCH(ROWS($AG$2:AG200),$AG$2:$AG$1001,0),1)&gt;=100000,INDEX($AN$1005:$BO$1005,1,MATCH(COLUMNS($AN$1006:AQ1006),$AN$1006:$BO$1006,0))&gt;=100000), " ",IF(INDEX($AN$2:$BO$1001,MATCH(ROWS($AG$2:AG200),$AG$2:$AG$1001,0),MATCH(COLUMNS($AN$1006:AQ1006),$AN$1006:$BO$1006,0)), HYPERLINK("#",""), HYPERLINK(CONCATENATE("#Metadata!", ADDRESS(INDEX($AI$2:$AI$1001,MATCH(ROWS($AG$2:AG200),$AG$2:$AG$1001,0),0), INDEX($AN$1004:$BO$1004,1,MATCH(COLUMNS($AN$1006:AQ1006),$AN$1006:$BO$1006,0)))),"Fix")))</f>
        <v>0</v>
      </c>
      <c r="F200" s="4">
        <f>IF(OR(INDEX($AH$2:$AH$1001,MATCH(ROWS($AG$2:AG200),$AG$2:$AG$1001,0),1)&gt;=100000,INDEX($AN$1005:$BO$1005,1,MATCH(COLUMNS($AN$1006:AR1006),$AN$1006:$BO$1006,0))&gt;=100000), " ",IF(INDEX($AN$2:$BO$1001,MATCH(ROWS($AG$2:AG200),$AG$2:$AG$1001,0),MATCH(COLUMNS($AN$1006:AR1006),$AN$1006:$BO$1006,0)), HYPERLINK("#",""), HYPERLINK(CONCATENATE("#Metadata!", ADDRESS(INDEX($AI$2:$AI$1001,MATCH(ROWS($AG$2:AG200),$AG$2:$AG$1001,0),0), INDEX($AN$1004:$BO$1004,1,MATCH(COLUMNS($AN$1006:AR1006),$AN$1006:$BO$1006,0)))),"Fix")))</f>
        <v>0</v>
      </c>
      <c r="G200" s="4">
        <f>IF(OR(INDEX($AH$2:$AH$1001,MATCH(ROWS($AG$2:AG200),$AG$2:$AG$1001,0),1)&gt;=100000,INDEX($AN$1005:$BO$1005,1,MATCH(COLUMNS($AN$1006:AS1006),$AN$1006:$BO$1006,0))&gt;=100000), " ",IF(INDEX($AN$2:$BO$1001,MATCH(ROWS($AG$2:AG200),$AG$2:$AG$1001,0),MATCH(COLUMNS($AN$1006:AS1006),$AN$1006:$BO$1006,0)), HYPERLINK("#",""), HYPERLINK(CONCATENATE("#Metadata!", ADDRESS(INDEX($AI$2:$AI$1001,MATCH(ROWS($AG$2:AG200),$AG$2:$AG$1001,0),0), INDEX($AN$1004:$BO$1004,1,MATCH(COLUMNS($AN$1006:AS1006),$AN$1006:$BO$1006,0)))),"Fix")))</f>
        <v>0</v>
      </c>
      <c r="H200" s="4">
        <f>IF(OR(INDEX($AH$2:$AH$1001,MATCH(ROWS($AG$2:AG200),$AG$2:$AG$1001,0),1)&gt;=100000,INDEX($AN$1005:$BO$1005,1,MATCH(COLUMNS($AN$1006:AT1006),$AN$1006:$BO$1006,0))&gt;=100000), " ",IF(INDEX($AN$2:$BO$1001,MATCH(ROWS($AG$2:AG200),$AG$2:$AG$1001,0),MATCH(COLUMNS($AN$1006:AT1006),$AN$1006:$BO$1006,0)), HYPERLINK("#",""), HYPERLINK(CONCATENATE("#Metadata!", ADDRESS(INDEX($AI$2:$AI$1001,MATCH(ROWS($AG$2:AG200),$AG$2:$AG$1001,0),0), INDEX($AN$1004:$BO$1004,1,MATCH(COLUMNS($AN$1006:AT1006),$AN$1006:$BO$1006,0)))),"Fix")))</f>
        <v>0</v>
      </c>
      <c r="I200" s="4">
        <f>IF(OR(INDEX($AH$2:$AH$1001,MATCH(ROWS($AG$2:AG200),$AG$2:$AG$1001,0),1)&gt;=100000,INDEX($AN$1005:$BO$1005,1,MATCH(COLUMNS($AN$1006:AU1006),$AN$1006:$BO$1006,0))&gt;=100000), " ",IF(INDEX($AN$2:$BO$1001,MATCH(ROWS($AG$2:AG200),$AG$2:$AG$1001,0),MATCH(COLUMNS($AN$1006:AU1006),$AN$1006:$BO$1006,0)), HYPERLINK("#",""), HYPERLINK(CONCATENATE("#Metadata!", ADDRESS(INDEX($AI$2:$AI$1001,MATCH(ROWS($AG$2:AG200),$AG$2:$AG$1001,0),0), INDEX($AN$1004:$BO$1004,1,MATCH(COLUMNS($AN$1006:AU1006),$AN$1006:$BO$1006,0)))),"Fix")))</f>
        <v>0</v>
      </c>
      <c r="J200" s="4">
        <f>IF(OR(INDEX($AH$2:$AH$1001,MATCH(ROWS($AG$2:AG200),$AG$2:$AG$1001,0),1)&gt;=100000,INDEX($AN$1005:$BO$1005,1,MATCH(COLUMNS($AN$1006:AV1006),$AN$1006:$BO$1006,0))&gt;=100000), " ",IF(INDEX($AN$2:$BO$1001,MATCH(ROWS($AG$2:AG200),$AG$2:$AG$1001,0),MATCH(COLUMNS($AN$1006:AV1006),$AN$1006:$BO$1006,0)), HYPERLINK("#",""), HYPERLINK(CONCATENATE("#Metadata!", ADDRESS(INDEX($AI$2:$AI$1001,MATCH(ROWS($AG$2:AG200),$AG$2:$AG$1001,0),0), INDEX($AN$1004:$BO$1004,1,MATCH(COLUMNS($AN$1006:AV1006),$AN$1006:$BO$1006,0)))),"Fix")))</f>
        <v>0</v>
      </c>
      <c r="K200" s="4">
        <f>IF(OR(INDEX($AH$2:$AH$1001,MATCH(ROWS($AG$2:AG200),$AG$2:$AG$1001,0),1)&gt;=100000,INDEX($AN$1005:$BO$1005,1,MATCH(COLUMNS($AN$1006:AW1006),$AN$1006:$BO$1006,0))&gt;=100000), " ",IF(INDEX($AN$2:$BO$1001,MATCH(ROWS($AG$2:AG200),$AG$2:$AG$1001,0),MATCH(COLUMNS($AN$1006:AW1006),$AN$1006:$BO$1006,0)), HYPERLINK("#",""), HYPERLINK(CONCATENATE("#Metadata!", ADDRESS(INDEX($AI$2:$AI$1001,MATCH(ROWS($AG$2:AG200),$AG$2:$AG$1001,0),0), INDEX($AN$1004:$BO$1004,1,MATCH(COLUMNS($AN$1006:AW1006),$AN$1006:$BO$1006,0)))),"Fix")))</f>
        <v>0</v>
      </c>
      <c r="L200" s="4">
        <f>IF(OR(INDEX($AH$2:$AH$1001,MATCH(ROWS($AG$2:AG200),$AG$2:$AG$1001,0),1)&gt;=100000,INDEX($AN$1005:$BO$1005,1,MATCH(COLUMNS($AN$1006:AX1006),$AN$1006:$BO$1006,0))&gt;=100000), " ",IF(INDEX($AN$2:$BO$1001,MATCH(ROWS($AG$2:AG200),$AG$2:$AG$1001,0),MATCH(COLUMNS($AN$1006:AX1006),$AN$1006:$BO$1006,0)), HYPERLINK("#",""), HYPERLINK(CONCATENATE("#Metadata!", ADDRESS(INDEX($AI$2:$AI$1001,MATCH(ROWS($AG$2:AG200),$AG$2:$AG$1001,0),0), INDEX($AN$1004:$BO$1004,1,MATCH(COLUMNS($AN$1006:AX1006),$AN$1006:$BO$1006,0)))),"Fix")))</f>
        <v>0</v>
      </c>
      <c r="M200" s="4">
        <f>IF(OR(INDEX($AH$2:$AH$1001,MATCH(ROWS($AG$2:AG200),$AG$2:$AG$1001,0),1)&gt;=100000,INDEX($AN$1005:$BO$1005,1,MATCH(COLUMNS($AN$1006:AY1006),$AN$1006:$BO$1006,0))&gt;=100000), " ",IF(INDEX($AN$2:$BO$1001,MATCH(ROWS($AG$2:AG200),$AG$2:$AG$1001,0),MATCH(COLUMNS($AN$1006:AY1006),$AN$1006:$BO$1006,0)), HYPERLINK("#",""), HYPERLINK(CONCATENATE("#Metadata!", ADDRESS(INDEX($AI$2:$AI$1001,MATCH(ROWS($AG$2:AG200),$AG$2:$AG$1001,0),0), INDEX($AN$1004:$BO$1004,1,MATCH(COLUMNS($AN$1006:AY1006),$AN$1006:$BO$1006,0)))),"Fix")))</f>
        <v>0</v>
      </c>
      <c r="N200" s="4">
        <f>IF(OR(INDEX($AH$2:$AH$1001,MATCH(ROWS($AG$2:AG200),$AG$2:$AG$1001,0),1)&gt;=100000,INDEX($AN$1005:$BO$1005,1,MATCH(COLUMNS($AN$1006:AZ1006),$AN$1006:$BO$1006,0))&gt;=100000), " ",IF(INDEX($AN$2:$BO$1001,MATCH(ROWS($AG$2:AG200),$AG$2:$AG$1001,0),MATCH(COLUMNS($AN$1006:AZ1006),$AN$1006:$BO$1006,0)), HYPERLINK("#",""), HYPERLINK(CONCATENATE("#Metadata!", ADDRESS(INDEX($AI$2:$AI$1001,MATCH(ROWS($AG$2:AG200),$AG$2:$AG$1001,0),0), INDEX($AN$1004:$BO$1004,1,MATCH(COLUMNS($AN$1006:AZ1006),$AN$1006:$BO$1006,0)))),"Fix")))</f>
        <v>0</v>
      </c>
      <c r="O200" s="4">
        <f>IF(OR(INDEX($AH$2:$AH$1001,MATCH(ROWS($AG$2:AG200),$AG$2:$AG$1001,0),1)&gt;=100000,INDEX($AN$1005:$BO$1005,1,MATCH(COLUMNS($AN$1006:BA1006),$AN$1006:$BO$1006,0))&gt;=100000), " ",IF(INDEX($AN$2:$BO$1001,MATCH(ROWS($AG$2:AG200),$AG$2:$AG$1001,0),MATCH(COLUMNS($AN$1006:BA1006),$AN$1006:$BO$1006,0)), HYPERLINK("#",""), HYPERLINK(CONCATENATE("#Metadata!", ADDRESS(INDEX($AI$2:$AI$1001,MATCH(ROWS($AG$2:AG200),$AG$2:$AG$1001,0),0), INDEX($AN$1004:$BO$1004,1,MATCH(COLUMNS($AN$1006:BA1006),$AN$1006:$BO$1006,0)))),"Fix")))</f>
        <v>0</v>
      </c>
      <c r="P200" s="4">
        <f>IF(OR(INDEX($AH$2:$AH$1001,MATCH(ROWS($AG$2:AG200),$AG$2:$AG$1001,0),1)&gt;=100000,INDEX($AN$1005:$BO$1005,1,MATCH(COLUMNS($AN$1006:BB1006),$AN$1006:$BO$1006,0))&gt;=100000), " ",IF(INDEX($AN$2:$BO$1001,MATCH(ROWS($AG$2:AG200),$AG$2:$AG$1001,0),MATCH(COLUMNS($AN$1006:BB1006),$AN$1006:$BO$1006,0)), HYPERLINK("#",""), HYPERLINK(CONCATENATE("#Metadata!", ADDRESS(INDEX($AI$2:$AI$1001,MATCH(ROWS($AG$2:AG200),$AG$2:$AG$1001,0),0), INDEX($AN$1004:$BO$1004,1,MATCH(COLUMNS($AN$1006:BB1006),$AN$1006:$BO$1006,0)))),"Fix")))</f>
        <v>0</v>
      </c>
      <c r="Q200" s="4">
        <f>IF(OR(INDEX($AH$2:$AH$1001,MATCH(ROWS($AG$2:AG200),$AG$2:$AG$1001,0),1)&gt;=100000,INDEX($AN$1005:$BO$1005,1,MATCH(COLUMNS($AN$1006:BC1006),$AN$1006:$BO$1006,0))&gt;=100000), " ",IF(INDEX($AN$2:$BO$1001,MATCH(ROWS($AG$2:AG200),$AG$2:$AG$1001,0),MATCH(COLUMNS($AN$1006:BC1006),$AN$1006:$BO$1006,0)), HYPERLINK("#",""), HYPERLINK(CONCATENATE("#Metadata!", ADDRESS(INDEX($AI$2:$AI$1001,MATCH(ROWS($AG$2:AG200),$AG$2:$AG$1001,0),0), INDEX($AN$1004:$BO$1004,1,MATCH(COLUMNS($AN$1006:BC1006),$AN$1006:$BO$1006,0)))),"Fix")))</f>
        <v>0</v>
      </c>
      <c r="R200" s="4">
        <f>IF(OR(INDEX($AH$2:$AH$1001,MATCH(ROWS($AG$2:AG200),$AG$2:$AG$1001,0),1)&gt;=100000,INDEX($AN$1005:$BO$1005,1,MATCH(COLUMNS($AN$1006:BD1006),$AN$1006:$BO$1006,0))&gt;=100000), " ",IF(INDEX($AN$2:$BO$1001,MATCH(ROWS($AG$2:AG200),$AG$2:$AG$1001,0),MATCH(COLUMNS($AN$1006:BD1006),$AN$1006:$BO$1006,0)), HYPERLINK("#",""), HYPERLINK(CONCATENATE("#Metadata!", ADDRESS(INDEX($AI$2:$AI$1001,MATCH(ROWS($AG$2:AG200),$AG$2:$AG$1001,0),0), INDEX($AN$1004:$BO$1004,1,MATCH(COLUMNS($AN$1006:BD1006),$AN$1006:$BO$1006,0)))),"Fix")))</f>
        <v>0</v>
      </c>
      <c r="S200" s="4">
        <f>IF(OR(INDEX($AH$2:$AH$1001,MATCH(ROWS($AG$2:AG200),$AG$2:$AG$1001,0),1)&gt;=100000,INDEX($AN$1005:$BO$1005,1,MATCH(COLUMNS($AN$1006:BE1006),$AN$1006:$BO$1006,0))&gt;=100000), " ",IF(INDEX($AN$2:$BO$1001,MATCH(ROWS($AG$2:AG200),$AG$2:$AG$1001,0),MATCH(COLUMNS($AN$1006:BE1006),$AN$1006:$BO$1006,0)), HYPERLINK("#",""), HYPERLINK(CONCATENATE("#Metadata!", ADDRESS(INDEX($AI$2:$AI$1001,MATCH(ROWS($AG$2:AG200),$AG$2:$AG$1001,0),0), INDEX($AN$1004:$BO$1004,1,MATCH(COLUMNS($AN$1006:BE1006),$AN$1006:$BO$1006,0)))),"Fix")))</f>
        <v>0</v>
      </c>
      <c r="T200" s="4">
        <f>IF(OR(INDEX($AH$2:$AH$1001,MATCH(ROWS($AG$2:AG200),$AG$2:$AG$1001,0),1)&gt;=100000,INDEX($AN$1005:$BO$1005,1,MATCH(COLUMNS($AN$1006:BF1006),$AN$1006:$BO$1006,0))&gt;=100000), " ",IF(INDEX($AN$2:$BO$1001,MATCH(ROWS($AG$2:AG200),$AG$2:$AG$1001,0),MATCH(COLUMNS($AN$1006:BF1006),$AN$1006:$BO$1006,0)), HYPERLINK("#",""), HYPERLINK(CONCATENATE("#Metadata!", ADDRESS(INDEX($AI$2:$AI$1001,MATCH(ROWS($AG$2:AG200),$AG$2:$AG$1001,0),0), INDEX($AN$1004:$BO$1004,1,MATCH(COLUMNS($AN$1006:BF1006),$AN$1006:$BO$1006,0)))),"Fix")))</f>
        <v>0</v>
      </c>
      <c r="U200" s="4">
        <f>IF(OR(INDEX($AH$2:$AH$1001,MATCH(ROWS($AG$2:AG200),$AG$2:$AG$1001,0),1)&gt;=100000,INDEX($AN$1005:$BO$1005,1,MATCH(COLUMNS($AN$1006:BG1006),$AN$1006:$BO$1006,0))&gt;=100000), " ",IF(INDEX($AN$2:$BO$1001,MATCH(ROWS($AG$2:AG200),$AG$2:$AG$1001,0),MATCH(COLUMNS($AN$1006:BG1006),$AN$1006:$BO$1006,0)), HYPERLINK("#",""), HYPERLINK(CONCATENATE("#Metadata!", ADDRESS(INDEX($AI$2:$AI$1001,MATCH(ROWS($AG$2:AG200),$AG$2:$AG$1001,0),0), INDEX($AN$1004:$BO$1004,1,MATCH(COLUMNS($AN$1006:BG1006),$AN$1006:$BO$1006,0)))),"Fix")))</f>
        <v>0</v>
      </c>
      <c r="V200" s="4">
        <f>IF(OR(INDEX($AH$2:$AH$1001,MATCH(ROWS($AG$2:AG200),$AG$2:$AG$1001,0),1)&gt;=100000,INDEX($AN$1005:$BO$1005,1,MATCH(COLUMNS($AN$1006:BH1006),$AN$1006:$BO$1006,0))&gt;=100000), " ",IF(INDEX($AN$2:$BO$1001,MATCH(ROWS($AG$2:AG200),$AG$2:$AG$1001,0),MATCH(COLUMNS($AN$1006:BH1006),$AN$1006:$BO$1006,0)), HYPERLINK("#",""), HYPERLINK(CONCATENATE("#Metadata!", ADDRESS(INDEX($AI$2:$AI$1001,MATCH(ROWS($AG$2:AG200),$AG$2:$AG$1001,0),0), INDEX($AN$1004:$BO$1004,1,MATCH(COLUMNS($AN$1006:BH1006),$AN$1006:$BO$1006,0)))),"Fix")))</f>
        <v>0</v>
      </c>
      <c r="W200" s="4">
        <f>IF(OR(INDEX($AH$2:$AH$1001,MATCH(ROWS($AG$2:AG200),$AG$2:$AG$1001,0),1)&gt;=100000,INDEX($AN$1005:$BO$1005,1,MATCH(COLUMNS($AN$1006:BI1006),$AN$1006:$BO$1006,0))&gt;=100000), " ",IF(INDEX($AN$2:$BO$1001,MATCH(ROWS($AG$2:AG200),$AG$2:$AG$1001,0),MATCH(COLUMNS($AN$1006:BI1006),$AN$1006:$BO$1006,0)), HYPERLINK("#",""), HYPERLINK(CONCATENATE("#Metadata!", ADDRESS(INDEX($AI$2:$AI$1001,MATCH(ROWS($AG$2:AG200),$AG$2:$AG$1001,0),0), INDEX($AN$1004:$BO$1004,1,MATCH(COLUMNS($AN$1006:BI1006),$AN$1006:$BO$1006,0)))),"Fix")))</f>
        <v>0</v>
      </c>
      <c r="X200" s="4">
        <f>IF(OR(INDEX($AH$2:$AH$1001,MATCH(ROWS($AG$2:AG200),$AG$2:$AG$1001,0),1)&gt;=100000,INDEX($AN$1005:$BO$1005,1,MATCH(COLUMNS($AN$1006:BJ1006),$AN$1006:$BO$1006,0))&gt;=100000), " ",IF(INDEX($AN$2:$BO$1001,MATCH(ROWS($AG$2:AG200),$AG$2:$AG$1001,0),MATCH(COLUMNS($AN$1006:BJ1006),$AN$1006:$BO$1006,0)), HYPERLINK("#",""), HYPERLINK(CONCATENATE("#Metadata!", ADDRESS(INDEX($AI$2:$AI$1001,MATCH(ROWS($AG$2:AG200),$AG$2:$AG$1001,0),0), INDEX($AN$1004:$BO$1004,1,MATCH(COLUMNS($AN$1006:BJ1006),$AN$1006:$BO$1006,0)))),"Fix")))</f>
        <v>0</v>
      </c>
      <c r="Y200" s="4">
        <f>IF(OR(INDEX($AH$2:$AH$1001,MATCH(ROWS($AG$2:AG200),$AG$2:$AG$1001,0),1)&gt;=100000,INDEX($AN$1005:$BO$1005,1,MATCH(COLUMNS($AN$1006:BK1006),$AN$1006:$BO$1006,0))&gt;=100000), " ",IF(INDEX($AN$2:$BO$1001,MATCH(ROWS($AG$2:AG200),$AG$2:$AG$1001,0),MATCH(COLUMNS($AN$1006:BK1006),$AN$1006:$BO$1006,0)), HYPERLINK("#",""), HYPERLINK(CONCATENATE("#Metadata!", ADDRESS(INDEX($AI$2:$AI$1001,MATCH(ROWS($AG$2:AG200),$AG$2:$AG$1001,0),0), INDEX($AN$1004:$BO$1004,1,MATCH(COLUMNS($AN$1006:BK1006),$AN$1006:$BO$1006,0)))),"Fix")))</f>
        <v>0</v>
      </c>
      <c r="Z200" s="4">
        <f>IF(OR(INDEX($AH$2:$AH$1001,MATCH(ROWS($AG$2:AG200),$AG$2:$AG$1001,0),1)&gt;=100000,INDEX($AN$1005:$BO$1005,1,MATCH(COLUMNS($AN$1006:BL1006),$AN$1006:$BO$1006,0))&gt;=100000), " ",IF(INDEX($AN$2:$BO$1001,MATCH(ROWS($AG$2:AG200),$AG$2:$AG$1001,0),MATCH(COLUMNS($AN$1006:BL1006),$AN$1006:$BO$1006,0)), HYPERLINK("#",""), HYPERLINK(CONCATENATE("#Metadata!", ADDRESS(INDEX($AI$2:$AI$1001,MATCH(ROWS($AG$2:AG200),$AG$2:$AG$1001,0),0), INDEX($AN$1004:$BO$1004,1,MATCH(COLUMNS($AN$1006:BL1006),$AN$1006:$BO$1006,0)))),"Fix")))</f>
        <v>0</v>
      </c>
      <c r="AA200" s="4">
        <f>IF(OR(INDEX($AH$2:$AH$1001,MATCH(ROWS($AG$2:AG200),$AG$2:$AG$1001,0),1)&gt;=100000,INDEX($AN$1005:$BO$1005,1,MATCH(COLUMNS($AN$1006:BM1006),$AN$1006:$BO$1006,0))&gt;=100000), " ",IF(INDEX($AN$2:$BO$1001,MATCH(ROWS($AG$2:AG200),$AG$2:$AG$1001,0),MATCH(COLUMNS($AN$1006:BM1006),$AN$1006:$BO$1006,0)), HYPERLINK("#",""), HYPERLINK(CONCATENATE("#Metadata!", ADDRESS(INDEX($AI$2:$AI$1001,MATCH(ROWS($AG$2:AG200),$AG$2:$AG$1001,0),0), INDEX($AN$1004:$BO$1004,1,MATCH(COLUMNS($AN$1006:BM1006),$AN$1006:$BO$1006,0)))),"Fix")))</f>
        <v>0</v>
      </c>
      <c r="AB200" s="4">
        <f>IF(OR(INDEX($AH$2:$AH$1001,MATCH(ROWS($AG$2:AG200),$AG$2:$AG$1001,0),1)&gt;=100000,INDEX($AN$1005:$BO$1005,1,MATCH(COLUMNS($AN$1006:BN1006),$AN$1006:$BO$1006,0))&gt;=100000), " ",IF(INDEX($AN$2:$BO$1001,MATCH(ROWS($AG$2:AG200),$AG$2:$AG$1001,0),MATCH(COLUMNS($AN$1006:BN1006),$AN$1006:$BO$1006,0)), HYPERLINK("#",""), HYPERLINK(CONCATENATE("#Metadata!", ADDRESS(INDEX($AI$2:$AI$1001,MATCH(ROWS($AG$2:AG200),$AG$2:$AG$1001,0),0), INDEX($AN$1004:$BO$1004,1,MATCH(COLUMNS($AN$1006:BN1006),$AN$1006:$BO$1006,0)))),"Fix")))</f>
        <v>0</v>
      </c>
      <c r="AC200" s="4">
        <f>IF(OR(INDEX($AH$2:$AH$1001,MATCH(ROWS($AG$2:AG200),$AG$2:$AG$1001,0),1)&gt;=100000,INDEX($AN$1005:$BO$1005,1,MATCH(COLUMNS($AN$1006:BO1006),$AN$1006:$BO$1006,0))&gt;=100000), " ",IF(INDEX($AN$2:$BO$1001,MATCH(ROWS($AG$2:AG200),$AG$2:$AG$1001,0),MATCH(COLUMNS($AN$1006:BO1006),$AN$1006:$BO$1006,0)), HYPERLINK("#",""), HYPERLINK(CONCATENATE("#Metadata!", ADDRESS(INDEX($AI$2:$AI$1001,MATCH(ROWS($AG$2:AG200),$AG$2:$AG$1001,0),0), INDEX($AN$1004:$BO$1004,1,MATCH(COLUMNS($AN$1006:BO1006),$AN$1006:$BO$1006,0)))),"Fix")))</f>
        <v>0</v>
      </c>
      <c r="AG200">
        <v>0</v>
      </c>
      <c r="AH200">
        <v>0</v>
      </c>
      <c r="AI200">
        <v>0</v>
      </c>
      <c r="AJ200">
        <f>IF(AK200,TRUE,AND(AN200:BO200))</f>
        <v>0</v>
      </c>
      <c r="AK200">
        <f>COUNTBLANK(Metadata!B200:AC200)=COLUMNS(Metadata!B200:AC200)</f>
        <v>0</v>
      </c>
      <c r="AL200">
        <v>0</v>
      </c>
      <c r="AN200">
        <f>AND(IF(Metadata!B200="",FALSE,TRUE),COUNTIF(Metadata!B:B, Metadata!B200) = 1,NOT(ISERROR(SUMPRODUCT(SEARCH(MID(Metadata!B200,ROW(INDIRECT("1:"&amp;LEN(Metadata!B200))), 1),"0123456789abcdefghijklmnopqrstuvwxyzABCDEFGHIJKLMNOPQRSTUVWXYZ.")))))</f>
        <v>0</v>
      </c>
      <c r="AO200">
        <f>IF(Metadata!C200="",FALSE,TRUE)</f>
        <v>0</v>
      </c>
      <c r="AP200">
        <f>IF(Metadata!D200="",FALSE,TRUE)</f>
        <v>0</v>
      </c>
      <c r="AQ200">
        <f>OR(AND(IF(Metadata!E200="",FALSE,TRUE),OR(exact(Metadata!E200,"not collected"),exact(Metadata!E200,"not provided"),exact(Metadata!E200,"restricted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R200">
        <f>IF(Metadata!F200="",FALSE,TRUE)</f>
        <v>0</v>
      </c>
      <c r="AS200">
        <f>OR(AND(IF(Metadata!G200="",FALSE,TRUE),OR(exact(Metadata!G200,"not collected"),exact(Metadata!G200,"not provided"))),AND(IF(Metadata!G200="",FALSE,TRUE),OR(exact(Metadata!G200,"TRUE"),exact(Metadata!G200,"FALSE"))))</f>
        <v>0</v>
      </c>
      <c r="AT200">
        <f>OR(AND(IF(Metadata!H200="",FALSE,TRUE),OR(exact(Metadata!H200,"not collected"),exact(Metadata!H200,"not provided"),exact(Metadata!H200,"restricted access"))),AND(IF(Metadata!H200="",FALSE,ISNUMBER(VALUE(Metadata!H200))),Metadata!H200&gt;=-413.0))</f>
        <v>0</v>
      </c>
      <c r="AU200">
        <f>AND(IF(Metadata!I200="",FALSE,TRUE),exact(Metadata!I200,"meters"))</f>
        <v>0</v>
      </c>
      <c r="AV200">
        <f>AND(IF(Metadata!J200="",FALSE,TRUE),OR(exact(Metadata!J200,"Host-associated"),exact(Metadata!J200,"Free-living")))</f>
        <v>0</v>
      </c>
      <c r="AW200">
        <f>AND(IF(Metadata!K200="",FALSE,TRUE),OR(exact(Metadata!K200,"Animal"),exact(Metadata!K200,"Fungus"),exact(Metadata!K200,"Plant"),exact(Metadata!K200,"Saline"),exact(Metadata!K200,"Non-saline")))</f>
        <v>0</v>
      </c>
      <c r="AX200">
        <f>AND(IF(Metadata!L200="",FALSE,TRUE),OR(exact(Metadata!L200,"Plant secretion"),exact(Metadata!L200,"Plant rhizosphere"),exact(Metadata!L200,"Plant surface"),exact(Metadata!L200,"Plant corpus"),exact(Metadata!L200,"Fungus surface"),exact(Metadata!L200,"Fungus corpus"),exact(Metadata!L200,"Animal surface"),exact(Metadata!L200,"Animal proximal gut"),exact(Metadata!L200,"Animal corpus"),exact(Metadata!L200,"Animal distal gut"),exact(Metadata!L200,"Animal secretion"),exact(Metadata!L200,"Sub-surface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Y200">
        <f>IF(Metadata!M200="",FALSE,TRUE)</f>
        <v>0</v>
      </c>
      <c r="AZ200">
        <f>IF(Metadata!N200="",FALSE,TRUE)</f>
        <v>0</v>
      </c>
      <c r="BA200">
        <f>IF(Metadata!O200="",FALSE,TRUE)</f>
        <v>0</v>
      </c>
      <c r="BB200">
        <f>OR(AND(IF(Metadata!P200="",FALSE,TRUE),OR(exact(Metadata!P200,"not collected"),exact(Metadata!P200,"not provided"),exact(Metadata!P200,"restricted access"))),AND(IF(Metadata!P200="",FALSE,TRUE),OR(exact(Metadata!P200,"air"),exact(Metadata!P200,"built environment"),exact(Metadata!P200,"host-associated"),exact(Metadata!P200,"human-associated"),exact(Metadata!P200,"human-skin"),exact(Metadata!P200,"human-oral"),exact(Metadata!P200,"human-gut"),exact(Metadata!P200,"human-vaginal"),exact(Metadata!P200,"microbial mat/biofilm"),exact(Metadata!P200,"misc environment"),exact(Metadata!P200,"plant-associated"),exact(Metadata!P200,"sediment"),exact(Metadata!P200,"soil"),exact(Metadata!P200,"wastewater/sludge"),exact(Metadata!P200,"water"))))</f>
        <v>0</v>
      </c>
      <c r="BC200">
        <f>IF(Metadata!Q200="",FALSE,TRUE)</f>
        <v>0</v>
      </c>
      <c r="BD200">
        <f>IF(Metadata!R200="",FALSE,TRUE)</f>
        <v>0</v>
      </c>
      <c r="BE200">
        <f>OR(AND(IF(Metadata!S200="",FALSE,TRUE),OR(exact(Metadata!S200,"not collected"),exact(Metadata!S200,"not provided"),exact(Metadata!S200,"restricted access"))),AND(IF(Metadata!S200="",FALSE,ISNUMBER(VALUE(Metadata!S200))),Metadata!S200&gt;=-90.00,Metadata!S200&lt;=90.00))</f>
        <v>0</v>
      </c>
      <c r="BF200">
        <f>AND(IF(Metadata!T200="",FALSE,TRUE),exact(Metadata!T200,"Decimal degrees"))</f>
        <v>0</v>
      </c>
      <c r="BG200">
        <f>OR(AND(IF(Metadata!U200="",FALSE,TRUE),OR(exact(Metadata!U200,"not collected"),exact(Metadata!U200,"not provided"),exact(Metadata!U200,"restricted access"))),AND(IF(Metadata!U200="",FALSE,ISNUMBER(VALUE(Metadata!U200))),Metadata!U200&gt;=-180.00,Metadata!U200&lt;=180.00))</f>
        <v>0</v>
      </c>
      <c r="BH200">
        <f>AND(IF(Metadata!V200="",FALSE,TRUE),exact(Metadata!V200,"Decimal degrees"))</f>
        <v>0</v>
      </c>
      <c r="BI200">
        <f>IF(Metadata!W200="",FALSE,TRUE)</f>
        <v>0</v>
      </c>
      <c r="BJ200">
        <f>OR(AND(IF(Metadata!X200="",FALSE,TRUE),OR(exact(Metadata!X200,"not collected"),exact(Metadata!X200,"not provided"),exact(Metadata!X200,"restricted access"))),AND(IF(Metadata!X200="",FALSE,TRUE),OR(exact(Metadata!X200,"TRUE"),exact(Metadata!X200,"FALSE"))))</f>
        <v>0</v>
      </c>
      <c r="BK200">
        <f>AND(IF(Metadata!Y200="",FALSE,TRUE),exact(Metadata!Y200,"other"))</f>
        <v>0</v>
      </c>
      <c r="BL200">
        <f>IF(Metadata!Z200="",FALSE,TRUE)</f>
        <v>0</v>
      </c>
      <c r="BM200">
        <f>OR(AND(IF(Metadata!AA200="",FALSE,TRUE),OR(exact(Metadata!AA200,"not collected"),exact(Metadata!AA200,"not provided"))),AND(IF(Metadata!AA200="",FALSE,IF(ISERROR(INT(Metadata!AA200)),FALSE,INT(Metadata!AA200)=Metadata!AA200)),Metadata!AA200&gt;0))</f>
        <v>0</v>
      </c>
      <c r="BN200">
        <f>AND(IF(Metadata!AB200="",FALSE,TRUE),exact(Metadata!AB200,"Not applicable"))</f>
        <v>0</v>
      </c>
      <c r="BO200">
        <f>IF(Metadata!AC200="",FALSE,TRUE)</f>
        <v>0</v>
      </c>
    </row>
    <row r="201" spans="1:67">
      <c r="A201" s="5">
        <f>IF(B201=" "," ",HYPERLINK(CONCATENATE("#metadata!",ADDRESS(INDEX($AI$2:$AI$1001,MATCH(ROWS($AG$2:AG201),$AG$2:$AG$1001,0),0),1)),INDEX($AL$2:$AL$1001,MATCH(ROWS($AG$2:AG201),$AG$2:$AG$1001,0),0)))</f>
        <v>0</v>
      </c>
      <c r="B201" s="4">
        <f>IF(OR(INDEX($AH$2:$AH$1001,MATCH(ROWS($AG$2:AG201),$AG$2:$AG$1001,0),1)&gt;=100000,INDEX($AN$1005:$BO$1005,1,MATCH(COLUMNS($AN$1006:AN1006),$AN$1006:$BO$1006,0))&gt;=100000), " ",IF(INDEX($AN$2:$BO$1001,MATCH(ROWS($AG$2:AG201),$AG$2:$AG$1001,0),MATCH(COLUMNS($AN$1006:AN1006),$AN$1006:$BO$1006,0)), HYPERLINK("#",""), HYPERLINK(CONCATENATE("#Metadata!", ADDRESS(INDEX($AI$2:$AI$1001,MATCH(ROWS($AG$2:AG201),$AG$2:$AG$1001,0),0), INDEX($AN$1004:$BO$1004,1,MATCH(COLUMNS($AN$1006:AN1006),$AN$1006:$BO$1006,0)))),"Fix")))</f>
        <v>0</v>
      </c>
      <c r="C201" s="4">
        <f>IF(OR(INDEX($AH$2:$AH$1001,MATCH(ROWS($AG$2:AG201),$AG$2:$AG$1001,0),1)&gt;=100000,INDEX($AN$1005:$BO$1005,1,MATCH(COLUMNS($AN$1006:AO1006),$AN$1006:$BO$1006,0))&gt;=100000), " ",IF(INDEX($AN$2:$BO$1001,MATCH(ROWS($AG$2:AG201),$AG$2:$AG$1001,0),MATCH(COLUMNS($AN$1006:AO1006),$AN$1006:$BO$1006,0)), HYPERLINK("#",""), HYPERLINK(CONCATENATE("#Metadata!", ADDRESS(INDEX($AI$2:$AI$1001,MATCH(ROWS($AG$2:AG201),$AG$2:$AG$1001,0),0), INDEX($AN$1004:$BO$1004,1,MATCH(COLUMNS($AN$1006:AO1006),$AN$1006:$BO$1006,0)))),"Fix")))</f>
        <v>0</v>
      </c>
      <c r="D201" s="4">
        <f>IF(OR(INDEX($AH$2:$AH$1001,MATCH(ROWS($AG$2:AG201),$AG$2:$AG$1001,0),1)&gt;=100000,INDEX($AN$1005:$BO$1005,1,MATCH(COLUMNS($AN$1006:AP1006),$AN$1006:$BO$1006,0))&gt;=100000), " ",IF(INDEX($AN$2:$BO$1001,MATCH(ROWS($AG$2:AG201),$AG$2:$AG$1001,0),MATCH(COLUMNS($AN$1006:AP1006),$AN$1006:$BO$1006,0)), HYPERLINK("#",""), HYPERLINK(CONCATENATE("#Metadata!", ADDRESS(INDEX($AI$2:$AI$1001,MATCH(ROWS($AG$2:AG201),$AG$2:$AG$1001,0),0), INDEX($AN$1004:$BO$1004,1,MATCH(COLUMNS($AN$1006:AP1006),$AN$1006:$BO$1006,0)))),"Fix")))</f>
        <v>0</v>
      </c>
      <c r="E201" s="4">
        <f>IF(OR(INDEX($AH$2:$AH$1001,MATCH(ROWS($AG$2:AG201),$AG$2:$AG$1001,0),1)&gt;=100000,INDEX($AN$1005:$BO$1005,1,MATCH(COLUMNS($AN$1006:AQ1006),$AN$1006:$BO$1006,0))&gt;=100000), " ",IF(INDEX($AN$2:$BO$1001,MATCH(ROWS($AG$2:AG201),$AG$2:$AG$1001,0),MATCH(COLUMNS($AN$1006:AQ1006),$AN$1006:$BO$1006,0)), HYPERLINK("#",""), HYPERLINK(CONCATENATE("#Metadata!", ADDRESS(INDEX($AI$2:$AI$1001,MATCH(ROWS($AG$2:AG201),$AG$2:$AG$1001,0),0), INDEX($AN$1004:$BO$1004,1,MATCH(COLUMNS($AN$1006:AQ1006),$AN$1006:$BO$1006,0)))),"Fix")))</f>
        <v>0</v>
      </c>
      <c r="F201" s="4">
        <f>IF(OR(INDEX($AH$2:$AH$1001,MATCH(ROWS($AG$2:AG201),$AG$2:$AG$1001,0),1)&gt;=100000,INDEX($AN$1005:$BO$1005,1,MATCH(COLUMNS($AN$1006:AR1006),$AN$1006:$BO$1006,0))&gt;=100000), " ",IF(INDEX($AN$2:$BO$1001,MATCH(ROWS($AG$2:AG201),$AG$2:$AG$1001,0),MATCH(COLUMNS($AN$1006:AR1006),$AN$1006:$BO$1006,0)), HYPERLINK("#",""), HYPERLINK(CONCATENATE("#Metadata!", ADDRESS(INDEX($AI$2:$AI$1001,MATCH(ROWS($AG$2:AG201),$AG$2:$AG$1001,0),0), INDEX($AN$1004:$BO$1004,1,MATCH(COLUMNS($AN$1006:AR1006),$AN$1006:$BO$1006,0)))),"Fix")))</f>
        <v>0</v>
      </c>
      <c r="G201" s="4">
        <f>IF(OR(INDEX($AH$2:$AH$1001,MATCH(ROWS($AG$2:AG201),$AG$2:$AG$1001,0),1)&gt;=100000,INDEX($AN$1005:$BO$1005,1,MATCH(COLUMNS($AN$1006:AS1006),$AN$1006:$BO$1006,0))&gt;=100000), " ",IF(INDEX($AN$2:$BO$1001,MATCH(ROWS($AG$2:AG201),$AG$2:$AG$1001,0),MATCH(COLUMNS($AN$1006:AS1006),$AN$1006:$BO$1006,0)), HYPERLINK("#",""), HYPERLINK(CONCATENATE("#Metadata!", ADDRESS(INDEX($AI$2:$AI$1001,MATCH(ROWS($AG$2:AG201),$AG$2:$AG$1001,0),0), INDEX($AN$1004:$BO$1004,1,MATCH(COLUMNS($AN$1006:AS1006),$AN$1006:$BO$1006,0)))),"Fix")))</f>
        <v>0</v>
      </c>
      <c r="H201" s="4">
        <f>IF(OR(INDEX($AH$2:$AH$1001,MATCH(ROWS($AG$2:AG201),$AG$2:$AG$1001,0),1)&gt;=100000,INDEX($AN$1005:$BO$1005,1,MATCH(COLUMNS($AN$1006:AT1006),$AN$1006:$BO$1006,0))&gt;=100000), " ",IF(INDEX($AN$2:$BO$1001,MATCH(ROWS($AG$2:AG201),$AG$2:$AG$1001,0),MATCH(COLUMNS($AN$1006:AT1006),$AN$1006:$BO$1006,0)), HYPERLINK("#",""), HYPERLINK(CONCATENATE("#Metadata!", ADDRESS(INDEX($AI$2:$AI$1001,MATCH(ROWS($AG$2:AG201),$AG$2:$AG$1001,0),0), INDEX($AN$1004:$BO$1004,1,MATCH(COLUMNS($AN$1006:AT1006),$AN$1006:$BO$1006,0)))),"Fix")))</f>
        <v>0</v>
      </c>
      <c r="I201" s="4">
        <f>IF(OR(INDEX($AH$2:$AH$1001,MATCH(ROWS($AG$2:AG201),$AG$2:$AG$1001,0),1)&gt;=100000,INDEX($AN$1005:$BO$1005,1,MATCH(COLUMNS($AN$1006:AU1006),$AN$1006:$BO$1006,0))&gt;=100000), " ",IF(INDEX($AN$2:$BO$1001,MATCH(ROWS($AG$2:AG201),$AG$2:$AG$1001,0),MATCH(COLUMNS($AN$1006:AU1006),$AN$1006:$BO$1006,0)), HYPERLINK("#",""), HYPERLINK(CONCATENATE("#Metadata!", ADDRESS(INDEX($AI$2:$AI$1001,MATCH(ROWS($AG$2:AG201),$AG$2:$AG$1001,0),0), INDEX($AN$1004:$BO$1004,1,MATCH(COLUMNS($AN$1006:AU1006),$AN$1006:$BO$1006,0)))),"Fix")))</f>
        <v>0</v>
      </c>
      <c r="J201" s="4">
        <f>IF(OR(INDEX($AH$2:$AH$1001,MATCH(ROWS($AG$2:AG201),$AG$2:$AG$1001,0),1)&gt;=100000,INDEX($AN$1005:$BO$1005,1,MATCH(COLUMNS($AN$1006:AV1006),$AN$1006:$BO$1006,0))&gt;=100000), " ",IF(INDEX($AN$2:$BO$1001,MATCH(ROWS($AG$2:AG201),$AG$2:$AG$1001,0),MATCH(COLUMNS($AN$1006:AV1006),$AN$1006:$BO$1006,0)), HYPERLINK("#",""), HYPERLINK(CONCATENATE("#Metadata!", ADDRESS(INDEX($AI$2:$AI$1001,MATCH(ROWS($AG$2:AG201),$AG$2:$AG$1001,0),0), INDEX($AN$1004:$BO$1004,1,MATCH(COLUMNS($AN$1006:AV1006),$AN$1006:$BO$1006,0)))),"Fix")))</f>
        <v>0</v>
      </c>
      <c r="K201" s="4">
        <f>IF(OR(INDEX($AH$2:$AH$1001,MATCH(ROWS($AG$2:AG201),$AG$2:$AG$1001,0),1)&gt;=100000,INDEX($AN$1005:$BO$1005,1,MATCH(COLUMNS($AN$1006:AW1006),$AN$1006:$BO$1006,0))&gt;=100000), " ",IF(INDEX($AN$2:$BO$1001,MATCH(ROWS($AG$2:AG201),$AG$2:$AG$1001,0),MATCH(COLUMNS($AN$1006:AW1006),$AN$1006:$BO$1006,0)), HYPERLINK("#",""), HYPERLINK(CONCATENATE("#Metadata!", ADDRESS(INDEX($AI$2:$AI$1001,MATCH(ROWS($AG$2:AG201),$AG$2:$AG$1001,0),0), INDEX($AN$1004:$BO$1004,1,MATCH(COLUMNS($AN$1006:AW1006),$AN$1006:$BO$1006,0)))),"Fix")))</f>
        <v>0</v>
      </c>
      <c r="L201" s="4">
        <f>IF(OR(INDEX($AH$2:$AH$1001,MATCH(ROWS($AG$2:AG201),$AG$2:$AG$1001,0),1)&gt;=100000,INDEX($AN$1005:$BO$1005,1,MATCH(COLUMNS($AN$1006:AX1006),$AN$1006:$BO$1006,0))&gt;=100000), " ",IF(INDEX($AN$2:$BO$1001,MATCH(ROWS($AG$2:AG201),$AG$2:$AG$1001,0),MATCH(COLUMNS($AN$1006:AX1006),$AN$1006:$BO$1006,0)), HYPERLINK("#",""), HYPERLINK(CONCATENATE("#Metadata!", ADDRESS(INDEX($AI$2:$AI$1001,MATCH(ROWS($AG$2:AG201),$AG$2:$AG$1001,0),0), INDEX($AN$1004:$BO$1004,1,MATCH(COLUMNS($AN$1006:AX1006),$AN$1006:$BO$1006,0)))),"Fix")))</f>
        <v>0</v>
      </c>
      <c r="M201" s="4">
        <f>IF(OR(INDEX($AH$2:$AH$1001,MATCH(ROWS($AG$2:AG201),$AG$2:$AG$1001,0),1)&gt;=100000,INDEX($AN$1005:$BO$1005,1,MATCH(COLUMNS($AN$1006:AY1006),$AN$1006:$BO$1006,0))&gt;=100000), " ",IF(INDEX($AN$2:$BO$1001,MATCH(ROWS($AG$2:AG201),$AG$2:$AG$1001,0),MATCH(COLUMNS($AN$1006:AY1006),$AN$1006:$BO$1006,0)), HYPERLINK("#",""), HYPERLINK(CONCATENATE("#Metadata!", ADDRESS(INDEX($AI$2:$AI$1001,MATCH(ROWS($AG$2:AG201),$AG$2:$AG$1001,0),0), INDEX($AN$1004:$BO$1004,1,MATCH(COLUMNS($AN$1006:AY1006),$AN$1006:$BO$1006,0)))),"Fix")))</f>
        <v>0</v>
      </c>
      <c r="N201" s="4">
        <f>IF(OR(INDEX($AH$2:$AH$1001,MATCH(ROWS($AG$2:AG201),$AG$2:$AG$1001,0),1)&gt;=100000,INDEX($AN$1005:$BO$1005,1,MATCH(COLUMNS($AN$1006:AZ1006),$AN$1006:$BO$1006,0))&gt;=100000), " ",IF(INDEX($AN$2:$BO$1001,MATCH(ROWS($AG$2:AG201),$AG$2:$AG$1001,0),MATCH(COLUMNS($AN$1006:AZ1006),$AN$1006:$BO$1006,0)), HYPERLINK("#",""), HYPERLINK(CONCATENATE("#Metadata!", ADDRESS(INDEX($AI$2:$AI$1001,MATCH(ROWS($AG$2:AG201),$AG$2:$AG$1001,0),0), INDEX($AN$1004:$BO$1004,1,MATCH(COLUMNS($AN$1006:AZ1006),$AN$1006:$BO$1006,0)))),"Fix")))</f>
        <v>0</v>
      </c>
      <c r="O201" s="4">
        <f>IF(OR(INDEX($AH$2:$AH$1001,MATCH(ROWS($AG$2:AG201),$AG$2:$AG$1001,0),1)&gt;=100000,INDEX($AN$1005:$BO$1005,1,MATCH(COLUMNS($AN$1006:BA1006),$AN$1006:$BO$1006,0))&gt;=100000), " ",IF(INDEX($AN$2:$BO$1001,MATCH(ROWS($AG$2:AG201),$AG$2:$AG$1001,0),MATCH(COLUMNS($AN$1006:BA1006),$AN$1006:$BO$1006,0)), HYPERLINK("#",""), HYPERLINK(CONCATENATE("#Metadata!", ADDRESS(INDEX($AI$2:$AI$1001,MATCH(ROWS($AG$2:AG201),$AG$2:$AG$1001,0),0), INDEX($AN$1004:$BO$1004,1,MATCH(COLUMNS($AN$1006:BA1006),$AN$1006:$BO$1006,0)))),"Fix")))</f>
        <v>0</v>
      </c>
      <c r="P201" s="4">
        <f>IF(OR(INDEX($AH$2:$AH$1001,MATCH(ROWS($AG$2:AG201),$AG$2:$AG$1001,0),1)&gt;=100000,INDEX($AN$1005:$BO$1005,1,MATCH(COLUMNS($AN$1006:BB1006),$AN$1006:$BO$1006,0))&gt;=100000), " ",IF(INDEX($AN$2:$BO$1001,MATCH(ROWS($AG$2:AG201),$AG$2:$AG$1001,0),MATCH(COLUMNS($AN$1006:BB1006),$AN$1006:$BO$1006,0)), HYPERLINK("#",""), HYPERLINK(CONCATENATE("#Metadata!", ADDRESS(INDEX($AI$2:$AI$1001,MATCH(ROWS($AG$2:AG201),$AG$2:$AG$1001,0),0), INDEX($AN$1004:$BO$1004,1,MATCH(COLUMNS($AN$1006:BB1006),$AN$1006:$BO$1006,0)))),"Fix")))</f>
        <v>0</v>
      </c>
      <c r="Q201" s="4">
        <f>IF(OR(INDEX($AH$2:$AH$1001,MATCH(ROWS($AG$2:AG201),$AG$2:$AG$1001,0),1)&gt;=100000,INDEX($AN$1005:$BO$1005,1,MATCH(COLUMNS($AN$1006:BC1006),$AN$1006:$BO$1006,0))&gt;=100000), " ",IF(INDEX($AN$2:$BO$1001,MATCH(ROWS($AG$2:AG201),$AG$2:$AG$1001,0),MATCH(COLUMNS($AN$1006:BC1006),$AN$1006:$BO$1006,0)), HYPERLINK("#",""), HYPERLINK(CONCATENATE("#Metadata!", ADDRESS(INDEX($AI$2:$AI$1001,MATCH(ROWS($AG$2:AG201),$AG$2:$AG$1001,0),0), INDEX($AN$1004:$BO$1004,1,MATCH(COLUMNS($AN$1006:BC1006),$AN$1006:$BO$1006,0)))),"Fix")))</f>
        <v>0</v>
      </c>
      <c r="R201" s="4">
        <f>IF(OR(INDEX($AH$2:$AH$1001,MATCH(ROWS($AG$2:AG201),$AG$2:$AG$1001,0),1)&gt;=100000,INDEX($AN$1005:$BO$1005,1,MATCH(COLUMNS($AN$1006:BD1006),$AN$1006:$BO$1006,0))&gt;=100000), " ",IF(INDEX($AN$2:$BO$1001,MATCH(ROWS($AG$2:AG201),$AG$2:$AG$1001,0),MATCH(COLUMNS($AN$1006:BD1006),$AN$1006:$BO$1006,0)), HYPERLINK("#",""), HYPERLINK(CONCATENATE("#Metadata!", ADDRESS(INDEX($AI$2:$AI$1001,MATCH(ROWS($AG$2:AG201),$AG$2:$AG$1001,0),0), INDEX($AN$1004:$BO$1004,1,MATCH(COLUMNS($AN$1006:BD1006),$AN$1006:$BO$1006,0)))),"Fix")))</f>
        <v>0</v>
      </c>
      <c r="S201" s="4">
        <f>IF(OR(INDEX($AH$2:$AH$1001,MATCH(ROWS($AG$2:AG201),$AG$2:$AG$1001,0),1)&gt;=100000,INDEX($AN$1005:$BO$1005,1,MATCH(COLUMNS($AN$1006:BE1006),$AN$1006:$BO$1006,0))&gt;=100000), " ",IF(INDEX($AN$2:$BO$1001,MATCH(ROWS($AG$2:AG201),$AG$2:$AG$1001,0),MATCH(COLUMNS($AN$1006:BE1006),$AN$1006:$BO$1006,0)), HYPERLINK("#",""), HYPERLINK(CONCATENATE("#Metadata!", ADDRESS(INDEX($AI$2:$AI$1001,MATCH(ROWS($AG$2:AG201),$AG$2:$AG$1001,0),0), INDEX($AN$1004:$BO$1004,1,MATCH(COLUMNS($AN$1006:BE1006),$AN$1006:$BO$1006,0)))),"Fix")))</f>
        <v>0</v>
      </c>
      <c r="T201" s="4">
        <f>IF(OR(INDEX($AH$2:$AH$1001,MATCH(ROWS($AG$2:AG201),$AG$2:$AG$1001,0),1)&gt;=100000,INDEX($AN$1005:$BO$1005,1,MATCH(COLUMNS($AN$1006:BF1006),$AN$1006:$BO$1006,0))&gt;=100000), " ",IF(INDEX($AN$2:$BO$1001,MATCH(ROWS($AG$2:AG201),$AG$2:$AG$1001,0),MATCH(COLUMNS($AN$1006:BF1006),$AN$1006:$BO$1006,0)), HYPERLINK("#",""), HYPERLINK(CONCATENATE("#Metadata!", ADDRESS(INDEX($AI$2:$AI$1001,MATCH(ROWS($AG$2:AG201),$AG$2:$AG$1001,0),0), INDEX($AN$1004:$BO$1004,1,MATCH(COLUMNS($AN$1006:BF1006),$AN$1006:$BO$1006,0)))),"Fix")))</f>
        <v>0</v>
      </c>
      <c r="U201" s="4">
        <f>IF(OR(INDEX($AH$2:$AH$1001,MATCH(ROWS($AG$2:AG201),$AG$2:$AG$1001,0),1)&gt;=100000,INDEX($AN$1005:$BO$1005,1,MATCH(COLUMNS($AN$1006:BG1006),$AN$1006:$BO$1006,0))&gt;=100000), " ",IF(INDEX($AN$2:$BO$1001,MATCH(ROWS($AG$2:AG201),$AG$2:$AG$1001,0),MATCH(COLUMNS($AN$1006:BG1006),$AN$1006:$BO$1006,0)), HYPERLINK("#",""), HYPERLINK(CONCATENATE("#Metadata!", ADDRESS(INDEX($AI$2:$AI$1001,MATCH(ROWS($AG$2:AG201),$AG$2:$AG$1001,0),0), INDEX($AN$1004:$BO$1004,1,MATCH(COLUMNS($AN$1006:BG1006),$AN$1006:$BO$1006,0)))),"Fix")))</f>
        <v>0</v>
      </c>
      <c r="V201" s="4">
        <f>IF(OR(INDEX($AH$2:$AH$1001,MATCH(ROWS($AG$2:AG201),$AG$2:$AG$1001,0),1)&gt;=100000,INDEX($AN$1005:$BO$1005,1,MATCH(COLUMNS($AN$1006:BH1006),$AN$1006:$BO$1006,0))&gt;=100000), " ",IF(INDEX($AN$2:$BO$1001,MATCH(ROWS($AG$2:AG201),$AG$2:$AG$1001,0),MATCH(COLUMNS($AN$1006:BH1006),$AN$1006:$BO$1006,0)), HYPERLINK("#",""), HYPERLINK(CONCATENATE("#Metadata!", ADDRESS(INDEX($AI$2:$AI$1001,MATCH(ROWS($AG$2:AG201),$AG$2:$AG$1001,0),0), INDEX($AN$1004:$BO$1004,1,MATCH(COLUMNS($AN$1006:BH1006),$AN$1006:$BO$1006,0)))),"Fix")))</f>
        <v>0</v>
      </c>
      <c r="W201" s="4">
        <f>IF(OR(INDEX($AH$2:$AH$1001,MATCH(ROWS($AG$2:AG201),$AG$2:$AG$1001,0),1)&gt;=100000,INDEX($AN$1005:$BO$1005,1,MATCH(COLUMNS($AN$1006:BI1006),$AN$1006:$BO$1006,0))&gt;=100000), " ",IF(INDEX($AN$2:$BO$1001,MATCH(ROWS($AG$2:AG201),$AG$2:$AG$1001,0),MATCH(COLUMNS($AN$1006:BI1006),$AN$1006:$BO$1006,0)), HYPERLINK("#",""), HYPERLINK(CONCATENATE("#Metadata!", ADDRESS(INDEX($AI$2:$AI$1001,MATCH(ROWS($AG$2:AG201),$AG$2:$AG$1001,0),0), INDEX($AN$1004:$BO$1004,1,MATCH(COLUMNS($AN$1006:BI1006),$AN$1006:$BO$1006,0)))),"Fix")))</f>
        <v>0</v>
      </c>
      <c r="X201" s="4">
        <f>IF(OR(INDEX($AH$2:$AH$1001,MATCH(ROWS($AG$2:AG201),$AG$2:$AG$1001,0),1)&gt;=100000,INDEX($AN$1005:$BO$1005,1,MATCH(COLUMNS($AN$1006:BJ1006),$AN$1006:$BO$1006,0))&gt;=100000), " ",IF(INDEX($AN$2:$BO$1001,MATCH(ROWS($AG$2:AG201),$AG$2:$AG$1001,0),MATCH(COLUMNS($AN$1006:BJ1006),$AN$1006:$BO$1006,0)), HYPERLINK("#",""), HYPERLINK(CONCATENATE("#Metadata!", ADDRESS(INDEX($AI$2:$AI$1001,MATCH(ROWS($AG$2:AG201),$AG$2:$AG$1001,0),0), INDEX($AN$1004:$BO$1004,1,MATCH(COLUMNS($AN$1006:BJ1006),$AN$1006:$BO$1006,0)))),"Fix")))</f>
        <v>0</v>
      </c>
      <c r="Y201" s="4">
        <f>IF(OR(INDEX($AH$2:$AH$1001,MATCH(ROWS($AG$2:AG201),$AG$2:$AG$1001,0),1)&gt;=100000,INDEX($AN$1005:$BO$1005,1,MATCH(COLUMNS($AN$1006:BK1006),$AN$1006:$BO$1006,0))&gt;=100000), " ",IF(INDEX($AN$2:$BO$1001,MATCH(ROWS($AG$2:AG201),$AG$2:$AG$1001,0),MATCH(COLUMNS($AN$1006:BK1006),$AN$1006:$BO$1006,0)), HYPERLINK("#",""), HYPERLINK(CONCATENATE("#Metadata!", ADDRESS(INDEX($AI$2:$AI$1001,MATCH(ROWS($AG$2:AG201),$AG$2:$AG$1001,0),0), INDEX($AN$1004:$BO$1004,1,MATCH(COLUMNS($AN$1006:BK1006),$AN$1006:$BO$1006,0)))),"Fix")))</f>
        <v>0</v>
      </c>
      <c r="Z201" s="4">
        <f>IF(OR(INDEX($AH$2:$AH$1001,MATCH(ROWS($AG$2:AG201),$AG$2:$AG$1001,0),1)&gt;=100000,INDEX($AN$1005:$BO$1005,1,MATCH(COLUMNS($AN$1006:BL1006),$AN$1006:$BO$1006,0))&gt;=100000), " ",IF(INDEX($AN$2:$BO$1001,MATCH(ROWS($AG$2:AG201),$AG$2:$AG$1001,0),MATCH(COLUMNS($AN$1006:BL1006),$AN$1006:$BO$1006,0)), HYPERLINK("#",""), HYPERLINK(CONCATENATE("#Metadata!", ADDRESS(INDEX($AI$2:$AI$1001,MATCH(ROWS($AG$2:AG201),$AG$2:$AG$1001,0),0), INDEX($AN$1004:$BO$1004,1,MATCH(COLUMNS($AN$1006:BL1006),$AN$1006:$BO$1006,0)))),"Fix")))</f>
        <v>0</v>
      </c>
      <c r="AA201" s="4">
        <f>IF(OR(INDEX($AH$2:$AH$1001,MATCH(ROWS($AG$2:AG201),$AG$2:$AG$1001,0),1)&gt;=100000,INDEX($AN$1005:$BO$1005,1,MATCH(COLUMNS($AN$1006:BM1006),$AN$1006:$BO$1006,0))&gt;=100000), " ",IF(INDEX($AN$2:$BO$1001,MATCH(ROWS($AG$2:AG201),$AG$2:$AG$1001,0),MATCH(COLUMNS($AN$1006:BM1006),$AN$1006:$BO$1006,0)), HYPERLINK("#",""), HYPERLINK(CONCATENATE("#Metadata!", ADDRESS(INDEX($AI$2:$AI$1001,MATCH(ROWS($AG$2:AG201),$AG$2:$AG$1001,0),0), INDEX($AN$1004:$BO$1004,1,MATCH(COLUMNS($AN$1006:BM1006),$AN$1006:$BO$1006,0)))),"Fix")))</f>
        <v>0</v>
      </c>
      <c r="AB201" s="4">
        <f>IF(OR(INDEX($AH$2:$AH$1001,MATCH(ROWS($AG$2:AG201),$AG$2:$AG$1001,0),1)&gt;=100000,INDEX($AN$1005:$BO$1005,1,MATCH(COLUMNS($AN$1006:BN1006),$AN$1006:$BO$1006,0))&gt;=100000), " ",IF(INDEX($AN$2:$BO$1001,MATCH(ROWS($AG$2:AG201),$AG$2:$AG$1001,0),MATCH(COLUMNS($AN$1006:BN1006),$AN$1006:$BO$1006,0)), HYPERLINK("#",""), HYPERLINK(CONCATENATE("#Metadata!", ADDRESS(INDEX($AI$2:$AI$1001,MATCH(ROWS($AG$2:AG201),$AG$2:$AG$1001,0),0), INDEX($AN$1004:$BO$1004,1,MATCH(COLUMNS($AN$1006:BN1006),$AN$1006:$BO$1006,0)))),"Fix")))</f>
        <v>0</v>
      </c>
      <c r="AC201" s="4">
        <f>IF(OR(INDEX($AH$2:$AH$1001,MATCH(ROWS($AG$2:AG201),$AG$2:$AG$1001,0),1)&gt;=100000,INDEX($AN$1005:$BO$1005,1,MATCH(COLUMNS($AN$1006:BO1006),$AN$1006:$BO$1006,0))&gt;=100000), " ",IF(INDEX($AN$2:$BO$1001,MATCH(ROWS($AG$2:AG201),$AG$2:$AG$1001,0),MATCH(COLUMNS($AN$1006:BO1006),$AN$1006:$BO$1006,0)), HYPERLINK("#",""), HYPERLINK(CONCATENATE("#Metadata!", ADDRESS(INDEX($AI$2:$AI$1001,MATCH(ROWS($AG$2:AG201),$AG$2:$AG$1001,0),0), INDEX($AN$1004:$BO$1004,1,MATCH(COLUMNS($AN$1006:BO1006),$AN$1006:$BO$1006,0)))),"Fix")))</f>
        <v>0</v>
      </c>
      <c r="AG201">
        <v>0</v>
      </c>
      <c r="AH201">
        <v>0</v>
      </c>
      <c r="AI201">
        <v>0</v>
      </c>
      <c r="AJ201">
        <f>IF(AK201,TRUE,AND(AN201:BO201))</f>
        <v>0</v>
      </c>
      <c r="AK201">
        <f>COUNTBLANK(Metadata!B201:AC201)=COLUMNS(Metadata!B201:AC201)</f>
        <v>0</v>
      </c>
      <c r="AL201">
        <v>0</v>
      </c>
      <c r="AN201">
        <f>AND(IF(Metadata!B201="",FALSE,TRUE),COUNTIF(Metadata!B:B, Metadata!B201) = 1,NOT(ISERROR(SUMPRODUCT(SEARCH(MID(Metadata!B201,ROW(INDIRECT("1:"&amp;LEN(Metadata!B201))), 1),"0123456789abcdefghijklmnopqrstuvwxyzABCDEFGHIJKLMNOPQRSTUVWXYZ.")))))</f>
        <v>0</v>
      </c>
      <c r="AO201">
        <f>IF(Metadata!C201="",FALSE,TRUE)</f>
        <v>0</v>
      </c>
      <c r="AP201">
        <f>IF(Metadata!D201="",FALSE,TRUE)</f>
        <v>0</v>
      </c>
      <c r="AQ201">
        <f>OR(AND(IF(Metadata!E201="",FALSE,TRUE),OR(exact(Metadata!E201,"not collected"),exact(Metadata!E201,"not provided"),exact(Metadata!E201,"restricted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R201">
        <f>IF(Metadata!F201="",FALSE,TRUE)</f>
        <v>0</v>
      </c>
      <c r="AS201">
        <f>OR(AND(IF(Metadata!G201="",FALSE,TRUE),OR(exact(Metadata!G201,"not collected"),exact(Metadata!G201,"not provided"))),AND(IF(Metadata!G201="",FALSE,TRUE),OR(exact(Metadata!G201,"TRUE"),exact(Metadata!G201,"FALSE"))))</f>
        <v>0</v>
      </c>
      <c r="AT201">
        <f>OR(AND(IF(Metadata!H201="",FALSE,TRUE),OR(exact(Metadata!H201,"not collected"),exact(Metadata!H201,"not provided"),exact(Metadata!H201,"restricted access"))),AND(IF(Metadata!H201="",FALSE,ISNUMBER(VALUE(Metadata!H201))),Metadata!H201&gt;=-413.0))</f>
        <v>0</v>
      </c>
      <c r="AU201">
        <f>AND(IF(Metadata!I201="",FALSE,TRUE),exact(Metadata!I201,"meters"))</f>
        <v>0</v>
      </c>
      <c r="AV201">
        <f>AND(IF(Metadata!J201="",FALSE,TRUE),OR(exact(Metadata!J201,"Host-associated"),exact(Metadata!J201,"Free-living")))</f>
        <v>0</v>
      </c>
      <c r="AW201">
        <f>AND(IF(Metadata!K201="",FALSE,TRUE),OR(exact(Metadata!K201,"Animal"),exact(Metadata!K201,"Fungus"),exact(Metadata!K201,"Plant"),exact(Metadata!K201,"Saline"),exact(Metadata!K201,"Non-saline")))</f>
        <v>0</v>
      </c>
      <c r="AX201">
        <f>AND(IF(Metadata!L201="",FALSE,TRUE),OR(exact(Metadata!L201,"Plant secretion"),exact(Metadata!L201,"Plant rhizosphere"),exact(Metadata!L201,"Plant surface"),exact(Metadata!L201,"Plant corpus"),exact(Metadata!L201,"Fungus surface"),exact(Metadata!L201,"Fungus corpus"),exact(Metadata!L201,"Animal surface"),exact(Metadata!L201,"Animal proximal gut"),exact(Metadata!L201,"Animal corpus"),exact(Metadata!L201,"Animal distal gut"),exact(Metadata!L201,"Animal secretion"),exact(Metadata!L201,"Sub-surface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Y201">
        <f>IF(Metadata!M201="",FALSE,TRUE)</f>
        <v>0</v>
      </c>
      <c r="AZ201">
        <f>IF(Metadata!N201="",FALSE,TRUE)</f>
        <v>0</v>
      </c>
      <c r="BA201">
        <f>IF(Metadata!O201="",FALSE,TRUE)</f>
        <v>0</v>
      </c>
      <c r="BB201">
        <f>OR(AND(IF(Metadata!P201="",FALSE,TRUE),OR(exact(Metadata!P201,"not collected"),exact(Metadata!P201,"not provided"),exact(Metadata!P201,"restricted access"))),AND(IF(Metadata!P201="",FALSE,TRUE),OR(exact(Metadata!P201,"air"),exact(Metadata!P201,"built environment"),exact(Metadata!P201,"host-associated"),exact(Metadata!P201,"human-associated"),exact(Metadata!P201,"human-skin"),exact(Metadata!P201,"human-oral"),exact(Metadata!P201,"human-gut"),exact(Metadata!P201,"human-vaginal"),exact(Metadata!P201,"microbial mat/biofilm"),exact(Metadata!P201,"misc environment"),exact(Metadata!P201,"plant-associated"),exact(Metadata!P201,"sediment"),exact(Metadata!P201,"soil"),exact(Metadata!P201,"wastewater/sludge"),exact(Metadata!P201,"water"))))</f>
        <v>0</v>
      </c>
      <c r="BC201">
        <f>IF(Metadata!Q201="",FALSE,TRUE)</f>
        <v>0</v>
      </c>
      <c r="BD201">
        <f>IF(Metadata!R201="",FALSE,TRUE)</f>
        <v>0</v>
      </c>
      <c r="BE201">
        <f>OR(AND(IF(Metadata!S201="",FALSE,TRUE),OR(exact(Metadata!S201,"not collected"),exact(Metadata!S201,"not provided"),exact(Metadata!S201,"restricted access"))),AND(IF(Metadata!S201="",FALSE,ISNUMBER(VALUE(Metadata!S201))),Metadata!S201&gt;=-90.00,Metadata!S201&lt;=90.00))</f>
        <v>0</v>
      </c>
      <c r="BF201">
        <f>AND(IF(Metadata!T201="",FALSE,TRUE),exact(Metadata!T201,"Decimal degrees"))</f>
        <v>0</v>
      </c>
      <c r="BG201">
        <f>OR(AND(IF(Metadata!U201="",FALSE,TRUE),OR(exact(Metadata!U201,"not collected"),exact(Metadata!U201,"not provided"),exact(Metadata!U201,"restricted access"))),AND(IF(Metadata!U201="",FALSE,ISNUMBER(VALUE(Metadata!U201))),Metadata!U201&gt;=-180.00,Metadata!U201&lt;=180.00))</f>
        <v>0</v>
      </c>
      <c r="BH201">
        <f>AND(IF(Metadata!V201="",FALSE,TRUE),exact(Metadata!V201,"Decimal degrees"))</f>
        <v>0</v>
      </c>
      <c r="BI201">
        <f>IF(Metadata!W201="",FALSE,TRUE)</f>
        <v>0</v>
      </c>
      <c r="BJ201">
        <f>OR(AND(IF(Metadata!X201="",FALSE,TRUE),OR(exact(Metadata!X201,"not collected"),exact(Metadata!X201,"not provided"),exact(Metadata!X201,"restricted access"))),AND(IF(Metadata!X201="",FALSE,TRUE),OR(exact(Metadata!X201,"TRUE"),exact(Metadata!X201,"FALSE"))))</f>
        <v>0</v>
      </c>
      <c r="BK201">
        <f>AND(IF(Metadata!Y201="",FALSE,TRUE),exact(Metadata!Y201,"other"))</f>
        <v>0</v>
      </c>
      <c r="BL201">
        <f>IF(Metadata!Z201="",FALSE,TRUE)</f>
        <v>0</v>
      </c>
      <c r="BM201">
        <f>OR(AND(IF(Metadata!AA201="",FALSE,TRUE),OR(exact(Metadata!AA201,"not collected"),exact(Metadata!AA201,"not provided"))),AND(IF(Metadata!AA201="",FALSE,IF(ISERROR(INT(Metadata!AA201)),FALSE,INT(Metadata!AA201)=Metadata!AA201)),Metadata!AA201&gt;0))</f>
        <v>0</v>
      </c>
      <c r="BN201">
        <f>AND(IF(Metadata!AB201="",FALSE,TRUE),exact(Metadata!AB201,"Not applicable"))</f>
        <v>0</v>
      </c>
      <c r="BO201">
        <f>IF(Metadata!AC201="",FALSE,TRUE)</f>
        <v>0</v>
      </c>
    </row>
    <row r="202" spans="1:67">
      <c r="A202" s="5">
        <f>IF(B202=" "," ",HYPERLINK(CONCATENATE("#metadata!",ADDRESS(INDEX($AI$2:$AI$1001,MATCH(ROWS($AG$2:AG202),$AG$2:$AG$1001,0),0),1)),INDEX($AL$2:$AL$1001,MATCH(ROWS($AG$2:AG202),$AG$2:$AG$1001,0),0)))</f>
        <v>0</v>
      </c>
      <c r="B202" s="4">
        <f>IF(OR(INDEX($AH$2:$AH$1001,MATCH(ROWS($AG$2:AG202),$AG$2:$AG$1001,0),1)&gt;=100000,INDEX($AN$1005:$BO$1005,1,MATCH(COLUMNS($AN$1006:AN1006),$AN$1006:$BO$1006,0))&gt;=100000), " ",IF(INDEX($AN$2:$BO$1001,MATCH(ROWS($AG$2:AG202),$AG$2:$AG$1001,0),MATCH(COLUMNS($AN$1006:AN1006),$AN$1006:$BO$1006,0)), HYPERLINK("#",""), HYPERLINK(CONCATENATE("#Metadata!", ADDRESS(INDEX($AI$2:$AI$1001,MATCH(ROWS($AG$2:AG202),$AG$2:$AG$1001,0),0), INDEX($AN$1004:$BO$1004,1,MATCH(COLUMNS($AN$1006:AN1006),$AN$1006:$BO$1006,0)))),"Fix")))</f>
        <v>0</v>
      </c>
      <c r="C202" s="4">
        <f>IF(OR(INDEX($AH$2:$AH$1001,MATCH(ROWS($AG$2:AG202),$AG$2:$AG$1001,0),1)&gt;=100000,INDEX($AN$1005:$BO$1005,1,MATCH(COLUMNS($AN$1006:AO1006),$AN$1006:$BO$1006,0))&gt;=100000), " ",IF(INDEX($AN$2:$BO$1001,MATCH(ROWS($AG$2:AG202),$AG$2:$AG$1001,0),MATCH(COLUMNS($AN$1006:AO1006),$AN$1006:$BO$1006,0)), HYPERLINK("#",""), HYPERLINK(CONCATENATE("#Metadata!", ADDRESS(INDEX($AI$2:$AI$1001,MATCH(ROWS($AG$2:AG202),$AG$2:$AG$1001,0),0), INDEX($AN$1004:$BO$1004,1,MATCH(COLUMNS($AN$1006:AO1006),$AN$1006:$BO$1006,0)))),"Fix")))</f>
        <v>0</v>
      </c>
      <c r="D202" s="4">
        <f>IF(OR(INDEX($AH$2:$AH$1001,MATCH(ROWS($AG$2:AG202),$AG$2:$AG$1001,0),1)&gt;=100000,INDEX($AN$1005:$BO$1005,1,MATCH(COLUMNS($AN$1006:AP1006),$AN$1006:$BO$1006,0))&gt;=100000), " ",IF(INDEX($AN$2:$BO$1001,MATCH(ROWS($AG$2:AG202),$AG$2:$AG$1001,0),MATCH(COLUMNS($AN$1006:AP1006),$AN$1006:$BO$1006,0)), HYPERLINK("#",""), HYPERLINK(CONCATENATE("#Metadata!", ADDRESS(INDEX($AI$2:$AI$1001,MATCH(ROWS($AG$2:AG202),$AG$2:$AG$1001,0),0), INDEX($AN$1004:$BO$1004,1,MATCH(COLUMNS($AN$1006:AP1006),$AN$1006:$BO$1006,0)))),"Fix")))</f>
        <v>0</v>
      </c>
      <c r="E202" s="4">
        <f>IF(OR(INDEX($AH$2:$AH$1001,MATCH(ROWS($AG$2:AG202),$AG$2:$AG$1001,0),1)&gt;=100000,INDEX($AN$1005:$BO$1005,1,MATCH(COLUMNS($AN$1006:AQ1006),$AN$1006:$BO$1006,0))&gt;=100000), " ",IF(INDEX($AN$2:$BO$1001,MATCH(ROWS($AG$2:AG202),$AG$2:$AG$1001,0),MATCH(COLUMNS($AN$1006:AQ1006),$AN$1006:$BO$1006,0)), HYPERLINK("#",""), HYPERLINK(CONCATENATE("#Metadata!", ADDRESS(INDEX($AI$2:$AI$1001,MATCH(ROWS($AG$2:AG202),$AG$2:$AG$1001,0),0), INDEX($AN$1004:$BO$1004,1,MATCH(COLUMNS($AN$1006:AQ1006),$AN$1006:$BO$1006,0)))),"Fix")))</f>
        <v>0</v>
      </c>
      <c r="F202" s="4">
        <f>IF(OR(INDEX($AH$2:$AH$1001,MATCH(ROWS($AG$2:AG202),$AG$2:$AG$1001,0),1)&gt;=100000,INDEX($AN$1005:$BO$1005,1,MATCH(COLUMNS($AN$1006:AR1006),$AN$1006:$BO$1006,0))&gt;=100000), " ",IF(INDEX($AN$2:$BO$1001,MATCH(ROWS($AG$2:AG202),$AG$2:$AG$1001,0),MATCH(COLUMNS($AN$1006:AR1006),$AN$1006:$BO$1006,0)), HYPERLINK("#",""), HYPERLINK(CONCATENATE("#Metadata!", ADDRESS(INDEX($AI$2:$AI$1001,MATCH(ROWS($AG$2:AG202),$AG$2:$AG$1001,0),0), INDEX($AN$1004:$BO$1004,1,MATCH(COLUMNS($AN$1006:AR1006),$AN$1006:$BO$1006,0)))),"Fix")))</f>
        <v>0</v>
      </c>
      <c r="G202" s="4">
        <f>IF(OR(INDEX($AH$2:$AH$1001,MATCH(ROWS($AG$2:AG202),$AG$2:$AG$1001,0),1)&gt;=100000,INDEX($AN$1005:$BO$1005,1,MATCH(COLUMNS($AN$1006:AS1006),$AN$1006:$BO$1006,0))&gt;=100000), " ",IF(INDEX($AN$2:$BO$1001,MATCH(ROWS($AG$2:AG202),$AG$2:$AG$1001,0),MATCH(COLUMNS($AN$1006:AS1006),$AN$1006:$BO$1006,0)), HYPERLINK("#",""), HYPERLINK(CONCATENATE("#Metadata!", ADDRESS(INDEX($AI$2:$AI$1001,MATCH(ROWS($AG$2:AG202),$AG$2:$AG$1001,0),0), INDEX($AN$1004:$BO$1004,1,MATCH(COLUMNS($AN$1006:AS1006),$AN$1006:$BO$1006,0)))),"Fix")))</f>
        <v>0</v>
      </c>
      <c r="H202" s="4">
        <f>IF(OR(INDEX($AH$2:$AH$1001,MATCH(ROWS($AG$2:AG202),$AG$2:$AG$1001,0),1)&gt;=100000,INDEX($AN$1005:$BO$1005,1,MATCH(COLUMNS($AN$1006:AT1006),$AN$1006:$BO$1006,0))&gt;=100000), " ",IF(INDEX($AN$2:$BO$1001,MATCH(ROWS($AG$2:AG202),$AG$2:$AG$1001,0),MATCH(COLUMNS($AN$1006:AT1006),$AN$1006:$BO$1006,0)), HYPERLINK("#",""), HYPERLINK(CONCATENATE("#Metadata!", ADDRESS(INDEX($AI$2:$AI$1001,MATCH(ROWS($AG$2:AG202),$AG$2:$AG$1001,0),0), INDEX($AN$1004:$BO$1004,1,MATCH(COLUMNS($AN$1006:AT1006),$AN$1006:$BO$1006,0)))),"Fix")))</f>
        <v>0</v>
      </c>
      <c r="I202" s="4">
        <f>IF(OR(INDEX($AH$2:$AH$1001,MATCH(ROWS($AG$2:AG202),$AG$2:$AG$1001,0),1)&gt;=100000,INDEX($AN$1005:$BO$1005,1,MATCH(COLUMNS($AN$1006:AU1006),$AN$1006:$BO$1006,0))&gt;=100000), " ",IF(INDEX($AN$2:$BO$1001,MATCH(ROWS($AG$2:AG202),$AG$2:$AG$1001,0),MATCH(COLUMNS($AN$1006:AU1006),$AN$1006:$BO$1006,0)), HYPERLINK("#",""), HYPERLINK(CONCATENATE("#Metadata!", ADDRESS(INDEX($AI$2:$AI$1001,MATCH(ROWS($AG$2:AG202),$AG$2:$AG$1001,0),0), INDEX($AN$1004:$BO$1004,1,MATCH(COLUMNS($AN$1006:AU1006),$AN$1006:$BO$1006,0)))),"Fix")))</f>
        <v>0</v>
      </c>
      <c r="J202" s="4">
        <f>IF(OR(INDEX($AH$2:$AH$1001,MATCH(ROWS($AG$2:AG202),$AG$2:$AG$1001,0),1)&gt;=100000,INDEX($AN$1005:$BO$1005,1,MATCH(COLUMNS($AN$1006:AV1006),$AN$1006:$BO$1006,0))&gt;=100000), " ",IF(INDEX($AN$2:$BO$1001,MATCH(ROWS($AG$2:AG202),$AG$2:$AG$1001,0),MATCH(COLUMNS($AN$1006:AV1006),$AN$1006:$BO$1006,0)), HYPERLINK("#",""), HYPERLINK(CONCATENATE("#Metadata!", ADDRESS(INDEX($AI$2:$AI$1001,MATCH(ROWS($AG$2:AG202),$AG$2:$AG$1001,0),0), INDEX($AN$1004:$BO$1004,1,MATCH(COLUMNS($AN$1006:AV1006),$AN$1006:$BO$1006,0)))),"Fix")))</f>
        <v>0</v>
      </c>
      <c r="K202" s="4">
        <f>IF(OR(INDEX($AH$2:$AH$1001,MATCH(ROWS($AG$2:AG202),$AG$2:$AG$1001,0),1)&gt;=100000,INDEX($AN$1005:$BO$1005,1,MATCH(COLUMNS($AN$1006:AW1006),$AN$1006:$BO$1006,0))&gt;=100000), " ",IF(INDEX($AN$2:$BO$1001,MATCH(ROWS($AG$2:AG202),$AG$2:$AG$1001,0),MATCH(COLUMNS($AN$1006:AW1006),$AN$1006:$BO$1006,0)), HYPERLINK("#",""), HYPERLINK(CONCATENATE("#Metadata!", ADDRESS(INDEX($AI$2:$AI$1001,MATCH(ROWS($AG$2:AG202),$AG$2:$AG$1001,0),0), INDEX($AN$1004:$BO$1004,1,MATCH(COLUMNS($AN$1006:AW1006),$AN$1006:$BO$1006,0)))),"Fix")))</f>
        <v>0</v>
      </c>
      <c r="L202" s="4">
        <f>IF(OR(INDEX($AH$2:$AH$1001,MATCH(ROWS($AG$2:AG202),$AG$2:$AG$1001,0),1)&gt;=100000,INDEX($AN$1005:$BO$1005,1,MATCH(COLUMNS($AN$1006:AX1006),$AN$1006:$BO$1006,0))&gt;=100000), " ",IF(INDEX($AN$2:$BO$1001,MATCH(ROWS($AG$2:AG202),$AG$2:$AG$1001,0),MATCH(COLUMNS($AN$1006:AX1006),$AN$1006:$BO$1006,0)), HYPERLINK("#",""), HYPERLINK(CONCATENATE("#Metadata!", ADDRESS(INDEX($AI$2:$AI$1001,MATCH(ROWS($AG$2:AG202),$AG$2:$AG$1001,0),0), INDEX($AN$1004:$BO$1004,1,MATCH(COLUMNS($AN$1006:AX1006),$AN$1006:$BO$1006,0)))),"Fix")))</f>
        <v>0</v>
      </c>
      <c r="M202" s="4">
        <f>IF(OR(INDEX($AH$2:$AH$1001,MATCH(ROWS($AG$2:AG202),$AG$2:$AG$1001,0),1)&gt;=100000,INDEX($AN$1005:$BO$1005,1,MATCH(COLUMNS($AN$1006:AY1006),$AN$1006:$BO$1006,0))&gt;=100000), " ",IF(INDEX($AN$2:$BO$1001,MATCH(ROWS($AG$2:AG202),$AG$2:$AG$1001,0),MATCH(COLUMNS($AN$1006:AY1006),$AN$1006:$BO$1006,0)), HYPERLINK("#",""), HYPERLINK(CONCATENATE("#Metadata!", ADDRESS(INDEX($AI$2:$AI$1001,MATCH(ROWS($AG$2:AG202),$AG$2:$AG$1001,0),0), INDEX($AN$1004:$BO$1004,1,MATCH(COLUMNS($AN$1006:AY1006),$AN$1006:$BO$1006,0)))),"Fix")))</f>
        <v>0</v>
      </c>
      <c r="N202" s="4">
        <f>IF(OR(INDEX($AH$2:$AH$1001,MATCH(ROWS($AG$2:AG202),$AG$2:$AG$1001,0),1)&gt;=100000,INDEX($AN$1005:$BO$1005,1,MATCH(COLUMNS($AN$1006:AZ1006),$AN$1006:$BO$1006,0))&gt;=100000), " ",IF(INDEX($AN$2:$BO$1001,MATCH(ROWS($AG$2:AG202),$AG$2:$AG$1001,0),MATCH(COLUMNS($AN$1006:AZ1006),$AN$1006:$BO$1006,0)), HYPERLINK("#",""), HYPERLINK(CONCATENATE("#Metadata!", ADDRESS(INDEX($AI$2:$AI$1001,MATCH(ROWS($AG$2:AG202),$AG$2:$AG$1001,0),0), INDEX($AN$1004:$BO$1004,1,MATCH(COLUMNS($AN$1006:AZ1006),$AN$1006:$BO$1006,0)))),"Fix")))</f>
        <v>0</v>
      </c>
      <c r="O202" s="4">
        <f>IF(OR(INDEX($AH$2:$AH$1001,MATCH(ROWS($AG$2:AG202),$AG$2:$AG$1001,0),1)&gt;=100000,INDEX($AN$1005:$BO$1005,1,MATCH(COLUMNS($AN$1006:BA1006),$AN$1006:$BO$1006,0))&gt;=100000), " ",IF(INDEX($AN$2:$BO$1001,MATCH(ROWS($AG$2:AG202),$AG$2:$AG$1001,0),MATCH(COLUMNS($AN$1006:BA1006),$AN$1006:$BO$1006,0)), HYPERLINK("#",""), HYPERLINK(CONCATENATE("#Metadata!", ADDRESS(INDEX($AI$2:$AI$1001,MATCH(ROWS($AG$2:AG202),$AG$2:$AG$1001,0),0), INDEX($AN$1004:$BO$1004,1,MATCH(COLUMNS($AN$1006:BA1006),$AN$1006:$BO$1006,0)))),"Fix")))</f>
        <v>0</v>
      </c>
      <c r="P202" s="4">
        <f>IF(OR(INDEX($AH$2:$AH$1001,MATCH(ROWS($AG$2:AG202),$AG$2:$AG$1001,0),1)&gt;=100000,INDEX($AN$1005:$BO$1005,1,MATCH(COLUMNS($AN$1006:BB1006),$AN$1006:$BO$1006,0))&gt;=100000), " ",IF(INDEX($AN$2:$BO$1001,MATCH(ROWS($AG$2:AG202),$AG$2:$AG$1001,0),MATCH(COLUMNS($AN$1006:BB1006),$AN$1006:$BO$1006,0)), HYPERLINK("#",""), HYPERLINK(CONCATENATE("#Metadata!", ADDRESS(INDEX($AI$2:$AI$1001,MATCH(ROWS($AG$2:AG202),$AG$2:$AG$1001,0),0), INDEX($AN$1004:$BO$1004,1,MATCH(COLUMNS($AN$1006:BB1006),$AN$1006:$BO$1006,0)))),"Fix")))</f>
        <v>0</v>
      </c>
      <c r="Q202" s="4">
        <f>IF(OR(INDEX($AH$2:$AH$1001,MATCH(ROWS($AG$2:AG202),$AG$2:$AG$1001,0),1)&gt;=100000,INDEX($AN$1005:$BO$1005,1,MATCH(COLUMNS($AN$1006:BC1006),$AN$1006:$BO$1006,0))&gt;=100000), " ",IF(INDEX($AN$2:$BO$1001,MATCH(ROWS($AG$2:AG202),$AG$2:$AG$1001,0),MATCH(COLUMNS($AN$1006:BC1006),$AN$1006:$BO$1006,0)), HYPERLINK("#",""), HYPERLINK(CONCATENATE("#Metadata!", ADDRESS(INDEX($AI$2:$AI$1001,MATCH(ROWS($AG$2:AG202),$AG$2:$AG$1001,0),0), INDEX($AN$1004:$BO$1004,1,MATCH(COLUMNS($AN$1006:BC1006),$AN$1006:$BO$1006,0)))),"Fix")))</f>
        <v>0</v>
      </c>
      <c r="R202" s="4">
        <f>IF(OR(INDEX($AH$2:$AH$1001,MATCH(ROWS($AG$2:AG202),$AG$2:$AG$1001,0),1)&gt;=100000,INDEX($AN$1005:$BO$1005,1,MATCH(COLUMNS($AN$1006:BD1006),$AN$1006:$BO$1006,0))&gt;=100000), " ",IF(INDEX($AN$2:$BO$1001,MATCH(ROWS($AG$2:AG202),$AG$2:$AG$1001,0),MATCH(COLUMNS($AN$1006:BD1006),$AN$1006:$BO$1006,0)), HYPERLINK("#",""), HYPERLINK(CONCATENATE("#Metadata!", ADDRESS(INDEX($AI$2:$AI$1001,MATCH(ROWS($AG$2:AG202),$AG$2:$AG$1001,0),0), INDEX($AN$1004:$BO$1004,1,MATCH(COLUMNS($AN$1006:BD1006),$AN$1006:$BO$1006,0)))),"Fix")))</f>
        <v>0</v>
      </c>
      <c r="S202" s="4">
        <f>IF(OR(INDEX($AH$2:$AH$1001,MATCH(ROWS($AG$2:AG202),$AG$2:$AG$1001,0),1)&gt;=100000,INDEX($AN$1005:$BO$1005,1,MATCH(COLUMNS($AN$1006:BE1006),$AN$1006:$BO$1006,0))&gt;=100000), " ",IF(INDEX($AN$2:$BO$1001,MATCH(ROWS($AG$2:AG202),$AG$2:$AG$1001,0),MATCH(COLUMNS($AN$1006:BE1006),$AN$1006:$BO$1006,0)), HYPERLINK("#",""), HYPERLINK(CONCATENATE("#Metadata!", ADDRESS(INDEX($AI$2:$AI$1001,MATCH(ROWS($AG$2:AG202),$AG$2:$AG$1001,0),0), INDEX($AN$1004:$BO$1004,1,MATCH(COLUMNS($AN$1006:BE1006),$AN$1006:$BO$1006,0)))),"Fix")))</f>
        <v>0</v>
      </c>
      <c r="T202" s="4">
        <f>IF(OR(INDEX($AH$2:$AH$1001,MATCH(ROWS($AG$2:AG202),$AG$2:$AG$1001,0),1)&gt;=100000,INDEX($AN$1005:$BO$1005,1,MATCH(COLUMNS($AN$1006:BF1006),$AN$1006:$BO$1006,0))&gt;=100000), " ",IF(INDEX($AN$2:$BO$1001,MATCH(ROWS($AG$2:AG202),$AG$2:$AG$1001,0),MATCH(COLUMNS($AN$1006:BF1006),$AN$1006:$BO$1006,0)), HYPERLINK("#",""), HYPERLINK(CONCATENATE("#Metadata!", ADDRESS(INDEX($AI$2:$AI$1001,MATCH(ROWS($AG$2:AG202),$AG$2:$AG$1001,0),0), INDEX($AN$1004:$BO$1004,1,MATCH(COLUMNS($AN$1006:BF1006),$AN$1006:$BO$1006,0)))),"Fix")))</f>
        <v>0</v>
      </c>
      <c r="U202" s="4">
        <f>IF(OR(INDEX($AH$2:$AH$1001,MATCH(ROWS($AG$2:AG202),$AG$2:$AG$1001,0),1)&gt;=100000,INDEX($AN$1005:$BO$1005,1,MATCH(COLUMNS($AN$1006:BG1006),$AN$1006:$BO$1006,0))&gt;=100000), " ",IF(INDEX($AN$2:$BO$1001,MATCH(ROWS($AG$2:AG202),$AG$2:$AG$1001,0),MATCH(COLUMNS($AN$1006:BG1006),$AN$1006:$BO$1006,0)), HYPERLINK("#",""), HYPERLINK(CONCATENATE("#Metadata!", ADDRESS(INDEX($AI$2:$AI$1001,MATCH(ROWS($AG$2:AG202),$AG$2:$AG$1001,0),0), INDEX($AN$1004:$BO$1004,1,MATCH(COLUMNS($AN$1006:BG1006),$AN$1006:$BO$1006,0)))),"Fix")))</f>
        <v>0</v>
      </c>
      <c r="V202" s="4">
        <f>IF(OR(INDEX($AH$2:$AH$1001,MATCH(ROWS($AG$2:AG202),$AG$2:$AG$1001,0),1)&gt;=100000,INDEX($AN$1005:$BO$1005,1,MATCH(COLUMNS($AN$1006:BH1006),$AN$1006:$BO$1006,0))&gt;=100000), " ",IF(INDEX($AN$2:$BO$1001,MATCH(ROWS($AG$2:AG202),$AG$2:$AG$1001,0),MATCH(COLUMNS($AN$1006:BH1006),$AN$1006:$BO$1006,0)), HYPERLINK("#",""), HYPERLINK(CONCATENATE("#Metadata!", ADDRESS(INDEX($AI$2:$AI$1001,MATCH(ROWS($AG$2:AG202),$AG$2:$AG$1001,0),0), INDEX($AN$1004:$BO$1004,1,MATCH(COLUMNS($AN$1006:BH1006),$AN$1006:$BO$1006,0)))),"Fix")))</f>
        <v>0</v>
      </c>
      <c r="W202" s="4">
        <f>IF(OR(INDEX($AH$2:$AH$1001,MATCH(ROWS($AG$2:AG202),$AG$2:$AG$1001,0),1)&gt;=100000,INDEX($AN$1005:$BO$1005,1,MATCH(COLUMNS($AN$1006:BI1006),$AN$1006:$BO$1006,0))&gt;=100000), " ",IF(INDEX($AN$2:$BO$1001,MATCH(ROWS($AG$2:AG202),$AG$2:$AG$1001,0),MATCH(COLUMNS($AN$1006:BI1006),$AN$1006:$BO$1006,0)), HYPERLINK("#",""), HYPERLINK(CONCATENATE("#Metadata!", ADDRESS(INDEX($AI$2:$AI$1001,MATCH(ROWS($AG$2:AG202),$AG$2:$AG$1001,0),0), INDEX($AN$1004:$BO$1004,1,MATCH(COLUMNS($AN$1006:BI1006),$AN$1006:$BO$1006,0)))),"Fix")))</f>
        <v>0</v>
      </c>
      <c r="X202" s="4">
        <f>IF(OR(INDEX($AH$2:$AH$1001,MATCH(ROWS($AG$2:AG202),$AG$2:$AG$1001,0),1)&gt;=100000,INDEX($AN$1005:$BO$1005,1,MATCH(COLUMNS($AN$1006:BJ1006),$AN$1006:$BO$1006,0))&gt;=100000), " ",IF(INDEX($AN$2:$BO$1001,MATCH(ROWS($AG$2:AG202),$AG$2:$AG$1001,0),MATCH(COLUMNS($AN$1006:BJ1006),$AN$1006:$BO$1006,0)), HYPERLINK("#",""), HYPERLINK(CONCATENATE("#Metadata!", ADDRESS(INDEX($AI$2:$AI$1001,MATCH(ROWS($AG$2:AG202),$AG$2:$AG$1001,0),0), INDEX($AN$1004:$BO$1004,1,MATCH(COLUMNS($AN$1006:BJ1006),$AN$1006:$BO$1006,0)))),"Fix")))</f>
        <v>0</v>
      </c>
      <c r="Y202" s="4">
        <f>IF(OR(INDEX($AH$2:$AH$1001,MATCH(ROWS($AG$2:AG202),$AG$2:$AG$1001,0),1)&gt;=100000,INDEX($AN$1005:$BO$1005,1,MATCH(COLUMNS($AN$1006:BK1006),$AN$1006:$BO$1006,0))&gt;=100000), " ",IF(INDEX($AN$2:$BO$1001,MATCH(ROWS($AG$2:AG202),$AG$2:$AG$1001,0),MATCH(COLUMNS($AN$1006:BK1006),$AN$1006:$BO$1006,0)), HYPERLINK("#",""), HYPERLINK(CONCATENATE("#Metadata!", ADDRESS(INDEX($AI$2:$AI$1001,MATCH(ROWS($AG$2:AG202),$AG$2:$AG$1001,0),0), INDEX($AN$1004:$BO$1004,1,MATCH(COLUMNS($AN$1006:BK1006),$AN$1006:$BO$1006,0)))),"Fix")))</f>
        <v>0</v>
      </c>
      <c r="Z202" s="4">
        <f>IF(OR(INDEX($AH$2:$AH$1001,MATCH(ROWS($AG$2:AG202),$AG$2:$AG$1001,0),1)&gt;=100000,INDEX($AN$1005:$BO$1005,1,MATCH(COLUMNS($AN$1006:BL1006),$AN$1006:$BO$1006,0))&gt;=100000), " ",IF(INDEX($AN$2:$BO$1001,MATCH(ROWS($AG$2:AG202),$AG$2:$AG$1001,0),MATCH(COLUMNS($AN$1006:BL1006),$AN$1006:$BO$1006,0)), HYPERLINK("#",""), HYPERLINK(CONCATENATE("#Metadata!", ADDRESS(INDEX($AI$2:$AI$1001,MATCH(ROWS($AG$2:AG202),$AG$2:$AG$1001,0),0), INDEX($AN$1004:$BO$1004,1,MATCH(COLUMNS($AN$1006:BL1006),$AN$1006:$BO$1006,0)))),"Fix")))</f>
        <v>0</v>
      </c>
      <c r="AA202" s="4">
        <f>IF(OR(INDEX($AH$2:$AH$1001,MATCH(ROWS($AG$2:AG202),$AG$2:$AG$1001,0),1)&gt;=100000,INDEX($AN$1005:$BO$1005,1,MATCH(COLUMNS($AN$1006:BM1006),$AN$1006:$BO$1006,0))&gt;=100000), " ",IF(INDEX($AN$2:$BO$1001,MATCH(ROWS($AG$2:AG202),$AG$2:$AG$1001,0),MATCH(COLUMNS($AN$1006:BM1006),$AN$1006:$BO$1006,0)), HYPERLINK("#",""), HYPERLINK(CONCATENATE("#Metadata!", ADDRESS(INDEX($AI$2:$AI$1001,MATCH(ROWS($AG$2:AG202),$AG$2:$AG$1001,0),0), INDEX($AN$1004:$BO$1004,1,MATCH(COLUMNS($AN$1006:BM1006),$AN$1006:$BO$1006,0)))),"Fix")))</f>
        <v>0</v>
      </c>
      <c r="AB202" s="4">
        <f>IF(OR(INDEX($AH$2:$AH$1001,MATCH(ROWS($AG$2:AG202),$AG$2:$AG$1001,0),1)&gt;=100000,INDEX($AN$1005:$BO$1005,1,MATCH(COLUMNS($AN$1006:BN1006),$AN$1006:$BO$1006,0))&gt;=100000), " ",IF(INDEX($AN$2:$BO$1001,MATCH(ROWS($AG$2:AG202),$AG$2:$AG$1001,0),MATCH(COLUMNS($AN$1006:BN1006),$AN$1006:$BO$1006,0)), HYPERLINK("#",""), HYPERLINK(CONCATENATE("#Metadata!", ADDRESS(INDEX($AI$2:$AI$1001,MATCH(ROWS($AG$2:AG202),$AG$2:$AG$1001,0),0), INDEX($AN$1004:$BO$1004,1,MATCH(COLUMNS($AN$1006:BN1006),$AN$1006:$BO$1006,0)))),"Fix")))</f>
        <v>0</v>
      </c>
      <c r="AC202" s="4">
        <f>IF(OR(INDEX($AH$2:$AH$1001,MATCH(ROWS($AG$2:AG202),$AG$2:$AG$1001,0),1)&gt;=100000,INDEX($AN$1005:$BO$1005,1,MATCH(COLUMNS($AN$1006:BO1006),$AN$1006:$BO$1006,0))&gt;=100000), " ",IF(INDEX($AN$2:$BO$1001,MATCH(ROWS($AG$2:AG202),$AG$2:$AG$1001,0),MATCH(COLUMNS($AN$1006:BO1006),$AN$1006:$BO$1006,0)), HYPERLINK("#",""), HYPERLINK(CONCATENATE("#Metadata!", ADDRESS(INDEX($AI$2:$AI$1001,MATCH(ROWS($AG$2:AG202),$AG$2:$AG$1001,0),0), INDEX($AN$1004:$BO$1004,1,MATCH(COLUMNS($AN$1006:BO1006),$AN$1006:$BO$1006,0)))),"Fix")))</f>
        <v>0</v>
      </c>
      <c r="AG202">
        <v>0</v>
      </c>
      <c r="AH202">
        <v>0</v>
      </c>
      <c r="AI202">
        <v>0</v>
      </c>
      <c r="AJ202">
        <f>IF(AK202,TRUE,AND(AN202:BO202))</f>
        <v>0</v>
      </c>
      <c r="AK202">
        <f>COUNTBLANK(Metadata!B202:AC202)=COLUMNS(Metadata!B202:AC202)</f>
        <v>0</v>
      </c>
      <c r="AL202">
        <v>0</v>
      </c>
      <c r="AN202">
        <f>AND(IF(Metadata!B202="",FALSE,TRUE),COUNTIF(Metadata!B:B, Metadata!B202) = 1,NOT(ISERROR(SUMPRODUCT(SEARCH(MID(Metadata!B202,ROW(INDIRECT("1:"&amp;LEN(Metadata!B202))), 1),"0123456789abcdefghijklmnopqrstuvwxyzABCDEFGHIJKLMNOPQRSTUVWXYZ.")))))</f>
        <v>0</v>
      </c>
      <c r="AO202">
        <f>IF(Metadata!C202="",FALSE,TRUE)</f>
        <v>0</v>
      </c>
      <c r="AP202">
        <f>IF(Metadata!D202="",FALSE,TRUE)</f>
        <v>0</v>
      </c>
      <c r="AQ202">
        <f>OR(AND(IF(Metadata!E202="",FALSE,TRUE),OR(exact(Metadata!E202,"not collected"),exact(Metadata!E202,"not provided"),exact(Metadata!E202,"restricted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R202">
        <f>IF(Metadata!F202="",FALSE,TRUE)</f>
        <v>0</v>
      </c>
      <c r="AS202">
        <f>OR(AND(IF(Metadata!G202="",FALSE,TRUE),OR(exact(Metadata!G202,"not collected"),exact(Metadata!G202,"not provided"))),AND(IF(Metadata!G202="",FALSE,TRUE),OR(exact(Metadata!G202,"TRUE"),exact(Metadata!G202,"FALSE"))))</f>
        <v>0</v>
      </c>
      <c r="AT202">
        <f>OR(AND(IF(Metadata!H202="",FALSE,TRUE),OR(exact(Metadata!H202,"not collected"),exact(Metadata!H202,"not provided"),exact(Metadata!H202,"restricted access"))),AND(IF(Metadata!H202="",FALSE,ISNUMBER(VALUE(Metadata!H202))),Metadata!H202&gt;=-413.0))</f>
        <v>0</v>
      </c>
      <c r="AU202">
        <f>AND(IF(Metadata!I202="",FALSE,TRUE),exact(Metadata!I202,"meters"))</f>
        <v>0</v>
      </c>
      <c r="AV202">
        <f>AND(IF(Metadata!J202="",FALSE,TRUE),OR(exact(Metadata!J202,"Host-associated"),exact(Metadata!J202,"Free-living")))</f>
        <v>0</v>
      </c>
      <c r="AW202">
        <f>AND(IF(Metadata!K202="",FALSE,TRUE),OR(exact(Metadata!K202,"Animal"),exact(Metadata!K202,"Fungus"),exact(Metadata!K202,"Plant"),exact(Metadata!K202,"Saline"),exact(Metadata!K202,"Non-saline")))</f>
        <v>0</v>
      </c>
      <c r="AX202">
        <f>AND(IF(Metadata!L202="",FALSE,TRUE),OR(exact(Metadata!L202,"Plant secretion"),exact(Metadata!L202,"Plant rhizosphere"),exact(Metadata!L202,"Plant surface"),exact(Metadata!L202,"Plant corpus"),exact(Metadata!L202,"Fungus surface"),exact(Metadata!L202,"Fungus corpus"),exact(Metadata!L202,"Animal surface"),exact(Metadata!L202,"Animal proximal gut"),exact(Metadata!L202,"Animal corpus"),exact(Metadata!L202,"Animal distal gut"),exact(Metadata!L202,"Animal secretion"),exact(Metadata!L202,"Sub-surface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Y202">
        <f>IF(Metadata!M202="",FALSE,TRUE)</f>
        <v>0</v>
      </c>
      <c r="AZ202">
        <f>IF(Metadata!N202="",FALSE,TRUE)</f>
        <v>0</v>
      </c>
      <c r="BA202">
        <f>IF(Metadata!O202="",FALSE,TRUE)</f>
        <v>0</v>
      </c>
      <c r="BB202">
        <f>OR(AND(IF(Metadata!P202="",FALSE,TRUE),OR(exact(Metadata!P202,"not collected"),exact(Metadata!P202,"not provided"),exact(Metadata!P202,"restricted access"))),AND(IF(Metadata!P202="",FALSE,TRUE),OR(exact(Metadata!P202,"air"),exact(Metadata!P202,"built environment"),exact(Metadata!P202,"host-associated"),exact(Metadata!P202,"human-associated"),exact(Metadata!P202,"human-skin"),exact(Metadata!P202,"human-oral"),exact(Metadata!P202,"human-gut"),exact(Metadata!P202,"human-vaginal"),exact(Metadata!P202,"microbial mat/biofilm"),exact(Metadata!P202,"misc environment"),exact(Metadata!P202,"plant-associated"),exact(Metadata!P202,"sediment"),exact(Metadata!P202,"soil"),exact(Metadata!P202,"wastewater/sludge"),exact(Metadata!P202,"water"))))</f>
        <v>0</v>
      </c>
      <c r="BC202">
        <f>IF(Metadata!Q202="",FALSE,TRUE)</f>
        <v>0</v>
      </c>
      <c r="BD202">
        <f>IF(Metadata!R202="",FALSE,TRUE)</f>
        <v>0</v>
      </c>
      <c r="BE202">
        <f>OR(AND(IF(Metadata!S202="",FALSE,TRUE),OR(exact(Metadata!S202,"not collected"),exact(Metadata!S202,"not provided"),exact(Metadata!S202,"restricted access"))),AND(IF(Metadata!S202="",FALSE,ISNUMBER(VALUE(Metadata!S202))),Metadata!S202&gt;=-90.00,Metadata!S202&lt;=90.00))</f>
        <v>0</v>
      </c>
      <c r="BF202">
        <f>AND(IF(Metadata!T202="",FALSE,TRUE),exact(Metadata!T202,"Decimal degrees"))</f>
        <v>0</v>
      </c>
      <c r="BG202">
        <f>OR(AND(IF(Metadata!U202="",FALSE,TRUE),OR(exact(Metadata!U202,"not collected"),exact(Metadata!U202,"not provided"),exact(Metadata!U202,"restricted access"))),AND(IF(Metadata!U202="",FALSE,ISNUMBER(VALUE(Metadata!U202))),Metadata!U202&gt;=-180.00,Metadata!U202&lt;=180.00))</f>
        <v>0</v>
      </c>
      <c r="BH202">
        <f>AND(IF(Metadata!V202="",FALSE,TRUE),exact(Metadata!V202,"Decimal degrees"))</f>
        <v>0</v>
      </c>
      <c r="BI202">
        <f>IF(Metadata!W202="",FALSE,TRUE)</f>
        <v>0</v>
      </c>
      <c r="BJ202">
        <f>OR(AND(IF(Metadata!X202="",FALSE,TRUE),OR(exact(Metadata!X202,"not collected"),exact(Metadata!X202,"not provided"),exact(Metadata!X202,"restricted access"))),AND(IF(Metadata!X202="",FALSE,TRUE),OR(exact(Metadata!X202,"TRUE"),exact(Metadata!X202,"FALSE"))))</f>
        <v>0</v>
      </c>
      <c r="BK202">
        <f>AND(IF(Metadata!Y202="",FALSE,TRUE),exact(Metadata!Y202,"other"))</f>
        <v>0</v>
      </c>
      <c r="BL202">
        <f>IF(Metadata!Z202="",FALSE,TRUE)</f>
        <v>0</v>
      </c>
      <c r="BM202">
        <f>OR(AND(IF(Metadata!AA202="",FALSE,TRUE),OR(exact(Metadata!AA202,"not collected"),exact(Metadata!AA202,"not provided"))),AND(IF(Metadata!AA202="",FALSE,IF(ISERROR(INT(Metadata!AA202)),FALSE,INT(Metadata!AA202)=Metadata!AA202)),Metadata!AA202&gt;0))</f>
        <v>0</v>
      </c>
      <c r="BN202">
        <f>AND(IF(Metadata!AB202="",FALSE,TRUE),exact(Metadata!AB202,"Not applicable"))</f>
        <v>0</v>
      </c>
      <c r="BO202">
        <f>IF(Metadata!AC202="",FALSE,TRUE)</f>
        <v>0</v>
      </c>
    </row>
    <row r="203" spans="1:67">
      <c r="A203" s="5">
        <f>IF(B203=" "," ",HYPERLINK(CONCATENATE("#metadata!",ADDRESS(INDEX($AI$2:$AI$1001,MATCH(ROWS($AG$2:AG203),$AG$2:$AG$1001,0),0),1)),INDEX($AL$2:$AL$1001,MATCH(ROWS($AG$2:AG203),$AG$2:$AG$1001,0),0)))</f>
        <v>0</v>
      </c>
      <c r="B203" s="4">
        <f>IF(OR(INDEX($AH$2:$AH$1001,MATCH(ROWS($AG$2:AG203),$AG$2:$AG$1001,0),1)&gt;=100000,INDEX($AN$1005:$BO$1005,1,MATCH(COLUMNS($AN$1006:AN1006),$AN$1006:$BO$1006,0))&gt;=100000), " ",IF(INDEX($AN$2:$BO$1001,MATCH(ROWS($AG$2:AG203),$AG$2:$AG$1001,0),MATCH(COLUMNS($AN$1006:AN1006),$AN$1006:$BO$1006,0)), HYPERLINK("#",""), HYPERLINK(CONCATENATE("#Metadata!", ADDRESS(INDEX($AI$2:$AI$1001,MATCH(ROWS($AG$2:AG203),$AG$2:$AG$1001,0),0), INDEX($AN$1004:$BO$1004,1,MATCH(COLUMNS($AN$1006:AN1006),$AN$1006:$BO$1006,0)))),"Fix")))</f>
        <v>0</v>
      </c>
      <c r="C203" s="4">
        <f>IF(OR(INDEX($AH$2:$AH$1001,MATCH(ROWS($AG$2:AG203),$AG$2:$AG$1001,0),1)&gt;=100000,INDEX($AN$1005:$BO$1005,1,MATCH(COLUMNS($AN$1006:AO1006),$AN$1006:$BO$1006,0))&gt;=100000), " ",IF(INDEX($AN$2:$BO$1001,MATCH(ROWS($AG$2:AG203),$AG$2:$AG$1001,0),MATCH(COLUMNS($AN$1006:AO1006),$AN$1006:$BO$1006,0)), HYPERLINK("#",""), HYPERLINK(CONCATENATE("#Metadata!", ADDRESS(INDEX($AI$2:$AI$1001,MATCH(ROWS($AG$2:AG203),$AG$2:$AG$1001,0),0), INDEX($AN$1004:$BO$1004,1,MATCH(COLUMNS($AN$1006:AO1006),$AN$1006:$BO$1006,0)))),"Fix")))</f>
        <v>0</v>
      </c>
      <c r="D203" s="4">
        <f>IF(OR(INDEX($AH$2:$AH$1001,MATCH(ROWS($AG$2:AG203),$AG$2:$AG$1001,0),1)&gt;=100000,INDEX($AN$1005:$BO$1005,1,MATCH(COLUMNS($AN$1006:AP1006),$AN$1006:$BO$1006,0))&gt;=100000), " ",IF(INDEX($AN$2:$BO$1001,MATCH(ROWS($AG$2:AG203),$AG$2:$AG$1001,0),MATCH(COLUMNS($AN$1006:AP1006),$AN$1006:$BO$1006,0)), HYPERLINK("#",""), HYPERLINK(CONCATENATE("#Metadata!", ADDRESS(INDEX($AI$2:$AI$1001,MATCH(ROWS($AG$2:AG203),$AG$2:$AG$1001,0),0), INDEX($AN$1004:$BO$1004,1,MATCH(COLUMNS($AN$1006:AP1006),$AN$1006:$BO$1006,0)))),"Fix")))</f>
        <v>0</v>
      </c>
      <c r="E203" s="4">
        <f>IF(OR(INDEX($AH$2:$AH$1001,MATCH(ROWS($AG$2:AG203),$AG$2:$AG$1001,0),1)&gt;=100000,INDEX($AN$1005:$BO$1005,1,MATCH(COLUMNS($AN$1006:AQ1006),$AN$1006:$BO$1006,0))&gt;=100000), " ",IF(INDEX($AN$2:$BO$1001,MATCH(ROWS($AG$2:AG203),$AG$2:$AG$1001,0),MATCH(COLUMNS($AN$1006:AQ1006),$AN$1006:$BO$1006,0)), HYPERLINK("#",""), HYPERLINK(CONCATENATE("#Metadata!", ADDRESS(INDEX($AI$2:$AI$1001,MATCH(ROWS($AG$2:AG203),$AG$2:$AG$1001,0),0), INDEX($AN$1004:$BO$1004,1,MATCH(COLUMNS($AN$1006:AQ1006),$AN$1006:$BO$1006,0)))),"Fix")))</f>
        <v>0</v>
      </c>
      <c r="F203" s="4">
        <f>IF(OR(INDEX($AH$2:$AH$1001,MATCH(ROWS($AG$2:AG203),$AG$2:$AG$1001,0),1)&gt;=100000,INDEX($AN$1005:$BO$1005,1,MATCH(COLUMNS($AN$1006:AR1006),$AN$1006:$BO$1006,0))&gt;=100000), " ",IF(INDEX($AN$2:$BO$1001,MATCH(ROWS($AG$2:AG203),$AG$2:$AG$1001,0),MATCH(COLUMNS($AN$1006:AR1006),$AN$1006:$BO$1006,0)), HYPERLINK("#",""), HYPERLINK(CONCATENATE("#Metadata!", ADDRESS(INDEX($AI$2:$AI$1001,MATCH(ROWS($AG$2:AG203),$AG$2:$AG$1001,0),0), INDEX($AN$1004:$BO$1004,1,MATCH(COLUMNS($AN$1006:AR1006),$AN$1006:$BO$1006,0)))),"Fix")))</f>
        <v>0</v>
      </c>
      <c r="G203" s="4">
        <f>IF(OR(INDEX($AH$2:$AH$1001,MATCH(ROWS($AG$2:AG203),$AG$2:$AG$1001,0),1)&gt;=100000,INDEX($AN$1005:$BO$1005,1,MATCH(COLUMNS($AN$1006:AS1006),$AN$1006:$BO$1006,0))&gt;=100000), " ",IF(INDEX($AN$2:$BO$1001,MATCH(ROWS($AG$2:AG203),$AG$2:$AG$1001,0),MATCH(COLUMNS($AN$1006:AS1006),$AN$1006:$BO$1006,0)), HYPERLINK("#",""), HYPERLINK(CONCATENATE("#Metadata!", ADDRESS(INDEX($AI$2:$AI$1001,MATCH(ROWS($AG$2:AG203),$AG$2:$AG$1001,0),0), INDEX($AN$1004:$BO$1004,1,MATCH(COLUMNS($AN$1006:AS1006),$AN$1006:$BO$1006,0)))),"Fix")))</f>
        <v>0</v>
      </c>
      <c r="H203" s="4">
        <f>IF(OR(INDEX($AH$2:$AH$1001,MATCH(ROWS($AG$2:AG203),$AG$2:$AG$1001,0),1)&gt;=100000,INDEX($AN$1005:$BO$1005,1,MATCH(COLUMNS($AN$1006:AT1006),$AN$1006:$BO$1006,0))&gt;=100000), " ",IF(INDEX($AN$2:$BO$1001,MATCH(ROWS($AG$2:AG203),$AG$2:$AG$1001,0),MATCH(COLUMNS($AN$1006:AT1006),$AN$1006:$BO$1006,0)), HYPERLINK("#",""), HYPERLINK(CONCATENATE("#Metadata!", ADDRESS(INDEX($AI$2:$AI$1001,MATCH(ROWS($AG$2:AG203),$AG$2:$AG$1001,0),0), INDEX($AN$1004:$BO$1004,1,MATCH(COLUMNS($AN$1006:AT1006),$AN$1006:$BO$1006,0)))),"Fix")))</f>
        <v>0</v>
      </c>
      <c r="I203" s="4">
        <f>IF(OR(INDEX($AH$2:$AH$1001,MATCH(ROWS($AG$2:AG203),$AG$2:$AG$1001,0),1)&gt;=100000,INDEX($AN$1005:$BO$1005,1,MATCH(COLUMNS($AN$1006:AU1006),$AN$1006:$BO$1006,0))&gt;=100000), " ",IF(INDEX($AN$2:$BO$1001,MATCH(ROWS($AG$2:AG203),$AG$2:$AG$1001,0),MATCH(COLUMNS($AN$1006:AU1006),$AN$1006:$BO$1006,0)), HYPERLINK("#",""), HYPERLINK(CONCATENATE("#Metadata!", ADDRESS(INDEX($AI$2:$AI$1001,MATCH(ROWS($AG$2:AG203),$AG$2:$AG$1001,0),0), INDEX($AN$1004:$BO$1004,1,MATCH(COLUMNS($AN$1006:AU1006),$AN$1006:$BO$1006,0)))),"Fix")))</f>
        <v>0</v>
      </c>
      <c r="J203" s="4">
        <f>IF(OR(INDEX($AH$2:$AH$1001,MATCH(ROWS($AG$2:AG203),$AG$2:$AG$1001,0),1)&gt;=100000,INDEX($AN$1005:$BO$1005,1,MATCH(COLUMNS($AN$1006:AV1006),$AN$1006:$BO$1006,0))&gt;=100000), " ",IF(INDEX($AN$2:$BO$1001,MATCH(ROWS($AG$2:AG203),$AG$2:$AG$1001,0),MATCH(COLUMNS($AN$1006:AV1006),$AN$1006:$BO$1006,0)), HYPERLINK("#",""), HYPERLINK(CONCATENATE("#Metadata!", ADDRESS(INDEX($AI$2:$AI$1001,MATCH(ROWS($AG$2:AG203),$AG$2:$AG$1001,0),0), INDEX($AN$1004:$BO$1004,1,MATCH(COLUMNS($AN$1006:AV1006),$AN$1006:$BO$1006,0)))),"Fix")))</f>
        <v>0</v>
      </c>
      <c r="K203" s="4">
        <f>IF(OR(INDEX($AH$2:$AH$1001,MATCH(ROWS($AG$2:AG203),$AG$2:$AG$1001,0),1)&gt;=100000,INDEX($AN$1005:$BO$1005,1,MATCH(COLUMNS($AN$1006:AW1006),$AN$1006:$BO$1006,0))&gt;=100000), " ",IF(INDEX($AN$2:$BO$1001,MATCH(ROWS($AG$2:AG203),$AG$2:$AG$1001,0),MATCH(COLUMNS($AN$1006:AW1006),$AN$1006:$BO$1006,0)), HYPERLINK("#",""), HYPERLINK(CONCATENATE("#Metadata!", ADDRESS(INDEX($AI$2:$AI$1001,MATCH(ROWS($AG$2:AG203),$AG$2:$AG$1001,0),0), INDEX($AN$1004:$BO$1004,1,MATCH(COLUMNS($AN$1006:AW1006),$AN$1006:$BO$1006,0)))),"Fix")))</f>
        <v>0</v>
      </c>
      <c r="L203" s="4">
        <f>IF(OR(INDEX($AH$2:$AH$1001,MATCH(ROWS($AG$2:AG203),$AG$2:$AG$1001,0),1)&gt;=100000,INDEX($AN$1005:$BO$1005,1,MATCH(COLUMNS($AN$1006:AX1006),$AN$1006:$BO$1006,0))&gt;=100000), " ",IF(INDEX($AN$2:$BO$1001,MATCH(ROWS($AG$2:AG203),$AG$2:$AG$1001,0),MATCH(COLUMNS($AN$1006:AX1006),$AN$1006:$BO$1006,0)), HYPERLINK("#",""), HYPERLINK(CONCATENATE("#Metadata!", ADDRESS(INDEX($AI$2:$AI$1001,MATCH(ROWS($AG$2:AG203),$AG$2:$AG$1001,0),0), INDEX($AN$1004:$BO$1004,1,MATCH(COLUMNS($AN$1006:AX1006),$AN$1006:$BO$1006,0)))),"Fix")))</f>
        <v>0</v>
      </c>
      <c r="M203" s="4">
        <f>IF(OR(INDEX($AH$2:$AH$1001,MATCH(ROWS($AG$2:AG203),$AG$2:$AG$1001,0),1)&gt;=100000,INDEX($AN$1005:$BO$1005,1,MATCH(COLUMNS($AN$1006:AY1006),$AN$1006:$BO$1006,0))&gt;=100000), " ",IF(INDEX($AN$2:$BO$1001,MATCH(ROWS($AG$2:AG203),$AG$2:$AG$1001,0),MATCH(COLUMNS($AN$1006:AY1006),$AN$1006:$BO$1006,0)), HYPERLINK("#",""), HYPERLINK(CONCATENATE("#Metadata!", ADDRESS(INDEX($AI$2:$AI$1001,MATCH(ROWS($AG$2:AG203),$AG$2:$AG$1001,0),0), INDEX($AN$1004:$BO$1004,1,MATCH(COLUMNS($AN$1006:AY1006),$AN$1006:$BO$1006,0)))),"Fix")))</f>
        <v>0</v>
      </c>
      <c r="N203" s="4">
        <f>IF(OR(INDEX($AH$2:$AH$1001,MATCH(ROWS($AG$2:AG203),$AG$2:$AG$1001,0),1)&gt;=100000,INDEX($AN$1005:$BO$1005,1,MATCH(COLUMNS($AN$1006:AZ1006),$AN$1006:$BO$1006,0))&gt;=100000), " ",IF(INDEX($AN$2:$BO$1001,MATCH(ROWS($AG$2:AG203),$AG$2:$AG$1001,0),MATCH(COLUMNS($AN$1006:AZ1006),$AN$1006:$BO$1006,0)), HYPERLINK("#",""), HYPERLINK(CONCATENATE("#Metadata!", ADDRESS(INDEX($AI$2:$AI$1001,MATCH(ROWS($AG$2:AG203),$AG$2:$AG$1001,0),0), INDEX($AN$1004:$BO$1004,1,MATCH(COLUMNS($AN$1006:AZ1006),$AN$1006:$BO$1006,0)))),"Fix")))</f>
        <v>0</v>
      </c>
      <c r="O203" s="4">
        <f>IF(OR(INDEX($AH$2:$AH$1001,MATCH(ROWS($AG$2:AG203),$AG$2:$AG$1001,0),1)&gt;=100000,INDEX($AN$1005:$BO$1005,1,MATCH(COLUMNS($AN$1006:BA1006),$AN$1006:$BO$1006,0))&gt;=100000), " ",IF(INDEX($AN$2:$BO$1001,MATCH(ROWS($AG$2:AG203),$AG$2:$AG$1001,0),MATCH(COLUMNS($AN$1006:BA1006),$AN$1006:$BO$1006,0)), HYPERLINK("#",""), HYPERLINK(CONCATENATE("#Metadata!", ADDRESS(INDEX($AI$2:$AI$1001,MATCH(ROWS($AG$2:AG203),$AG$2:$AG$1001,0),0), INDEX($AN$1004:$BO$1004,1,MATCH(COLUMNS($AN$1006:BA1006),$AN$1006:$BO$1006,0)))),"Fix")))</f>
        <v>0</v>
      </c>
      <c r="P203" s="4">
        <f>IF(OR(INDEX($AH$2:$AH$1001,MATCH(ROWS($AG$2:AG203),$AG$2:$AG$1001,0),1)&gt;=100000,INDEX($AN$1005:$BO$1005,1,MATCH(COLUMNS($AN$1006:BB1006),$AN$1006:$BO$1006,0))&gt;=100000), " ",IF(INDEX($AN$2:$BO$1001,MATCH(ROWS($AG$2:AG203),$AG$2:$AG$1001,0),MATCH(COLUMNS($AN$1006:BB1006),$AN$1006:$BO$1006,0)), HYPERLINK("#",""), HYPERLINK(CONCATENATE("#Metadata!", ADDRESS(INDEX($AI$2:$AI$1001,MATCH(ROWS($AG$2:AG203),$AG$2:$AG$1001,0),0), INDEX($AN$1004:$BO$1004,1,MATCH(COLUMNS($AN$1006:BB1006),$AN$1006:$BO$1006,0)))),"Fix")))</f>
        <v>0</v>
      </c>
      <c r="Q203" s="4">
        <f>IF(OR(INDEX($AH$2:$AH$1001,MATCH(ROWS($AG$2:AG203),$AG$2:$AG$1001,0),1)&gt;=100000,INDEX($AN$1005:$BO$1005,1,MATCH(COLUMNS($AN$1006:BC1006),$AN$1006:$BO$1006,0))&gt;=100000), " ",IF(INDEX($AN$2:$BO$1001,MATCH(ROWS($AG$2:AG203),$AG$2:$AG$1001,0),MATCH(COLUMNS($AN$1006:BC1006),$AN$1006:$BO$1006,0)), HYPERLINK("#",""), HYPERLINK(CONCATENATE("#Metadata!", ADDRESS(INDEX($AI$2:$AI$1001,MATCH(ROWS($AG$2:AG203),$AG$2:$AG$1001,0),0), INDEX($AN$1004:$BO$1004,1,MATCH(COLUMNS($AN$1006:BC1006),$AN$1006:$BO$1006,0)))),"Fix")))</f>
        <v>0</v>
      </c>
      <c r="R203" s="4">
        <f>IF(OR(INDEX($AH$2:$AH$1001,MATCH(ROWS($AG$2:AG203),$AG$2:$AG$1001,0),1)&gt;=100000,INDEX($AN$1005:$BO$1005,1,MATCH(COLUMNS($AN$1006:BD1006),$AN$1006:$BO$1006,0))&gt;=100000), " ",IF(INDEX($AN$2:$BO$1001,MATCH(ROWS($AG$2:AG203),$AG$2:$AG$1001,0),MATCH(COLUMNS($AN$1006:BD1006),$AN$1006:$BO$1006,0)), HYPERLINK("#",""), HYPERLINK(CONCATENATE("#Metadata!", ADDRESS(INDEX($AI$2:$AI$1001,MATCH(ROWS($AG$2:AG203),$AG$2:$AG$1001,0),0), INDEX($AN$1004:$BO$1004,1,MATCH(COLUMNS($AN$1006:BD1006),$AN$1006:$BO$1006,0)))),"Fix")))</f>
        <v>0</v>
      </c>
      <c r="S203" s="4">
        <f>IF(OR(INDEX($AH$2:$AH$1001,MATCH(ROWS($AG$2:AG203),$AG$2:$AG$1001,0),1)&gt;=100000,INDEX($AN$1005:$BO$1005,1,MATCH(COLUMNS($AN$1006:BE1006),$AN$1006:$BO$1006,0))&gt;=100000), " ",IF(INDEX($AN$2:$BO$1001,MATCH(ROWS($AG$2:AG203),$AG$2:$AG$1001,0),MATCH(COLUMNS($AN$1006:BE1006),$AN$1006:$BO$1006,0)), HYPERLINK("#",""), HYPERLINK(CONCATENATE("#Metadata!", ADDRESS(INDEX($AI$2:$AI$1001,MATCH(ROWS($AG$2:AG203),$AG$2:$AG$1001,0),0), INDEX($AN$1004:$BO$1004,1,MATCH(COLUMNS($AN$1006:BE1006),$AN$1006:$BO$1006,0)))),"Fix")))</f>
        <v>0</v>
      </c>
      <c r="T203" s="4">
        <f>IF(OR(INDEX($AH$2:$AH$1001,MATCH(ROWS($AG$2:AG203),$AG$2:$AG$1001,0),1)&gt;=100000,INDEX($AN$1005:$BO$1005,1,MATCH(COLUMNS($AN$1006:BF1006),$AN$1006:$BO$1006,0))&gt;=100000), " ",IF(INDEX($AN$2:$BO$1001,MATCH(ROWS($AG$2:AG203),$AG$2:$AG$1001,0),MATCH(COLUMNS($AN$1006:BF1006),$AN$1006:$BO$1006,0)), HYPERLINK("#",""), HYPERLINK(CONCATENATE("#Metadata!", ADDRESS(INDEX($AI$2:$AI$1001,MATCH(ROWS($AG$2:AG203),$AG$2:$AG$1001,0),0), INDEX($AN$1004:$BO$1004,1,MATCH(COLUMNS($AN$1006:BF1006),$AN$1006:$BO$1006,0)))),"Fix")))</f>
        <v>0</v>
      </c>
      <c r="U203" s="4">
        <f>IF(OR(INDEX($AH$2:$AH$1001,MATCH(ROWS($AG$2:AG203),$AG$2:$AG$1001,0),1)&gt;=100000,INDEX($AN$1005:$BO$1005,1,MATCH(COLUMNS($AN$1006:BG1006),$AN$1006:$BO$1006,0))&gt;=100000), " ",IF(INDEX($AN$2:$BO$1001,MATCH(ROWS($AG$2:AG203),$AG$2:$AG$1001,0),MATCH(COLUMNS($AN$1006:BG1006),$AN$1006:$BO$1006,0)), HYPERLINK("#",""), HYPERLINK(CONCATENATE("#Metadata!", ADDRESS(INDEX($AI$2:$AI$1001,MATCH(ROWS($AG$2:AG203),$AG$2:$AG$1001,0),0), INDEX($AN$1004:$BO$1004,1,MATCH(COLUMNS($AN$1006:BG1006),$AN$1006:$BO$1006,0)))),"Fix")))</f>
        <v>0</v>
      </c>
      <c r="V203" s="4">
        <f>IF(OR(INDEX($AH$2:$AH$1001,MATCH(ROWS($AG$2:AG203),$AG$2:$AG$1001,0),1)&gt;=100000,INDEX($AN$1005:$BO$1005,1,MATCH(COLUMNS($AN$1006:BH1006),$AN$1006:$BO$1006,0))&gt;=100000), " ",IF(INDEX($AN$2:$BO$1001,MATCH(ROWS($AG$2:AG203),$AG$2:$AG$1001,0),MATCH(COLUMNS($AN$1006:BH1006),$AN$1006:$BO$1006,0)), HYPERLINK("#",""), HYPERLINK(CONCATENATE("#Metadata!", ADDRESS(INDEX($AI$2:$AI$1001,MATCH(ROWS($AG$2:AG203),$AG$2:$AG$1001,0),0), INDEX($AN$1004:$BO$1004,1,MATCH(COLUMNS($AN$1006:BH1006),$AN$1006:$BO$1006,0)))),"Fix")))</f>
        <v>0</v>
      </c>
      <c r="W203" s="4">
        <f>IF(OR(INDEX($AH$2:$AH$1001,MATCH(ROWS($AG$2:AG203),$AG$2:$AG$1001,0),1)&gt;=100000,INDEX($AN$1005:$BO$1005,1,MATCH(COLUMNS($AN$1006:BI1006),$AN$1006:$BO$1006,0))&gt;=100000), " ",IF(INDEX($AN$2:$BO$1001,MATCH(ROWS($AG$2:AG203),$AG$2:$AG$1001,0),MATCH(COLUMNS($AN$1006:BI1006),$AN$1006:$BO$1006,0)), HYPERLINK("#",""), HYPERLINK(CONCATENATE("#Metadata!", ADDRESS(INDEX($AI$2:$AI$1001,MATCH(ROWS($AG$2:AG203),$AG$2:$AG$1001,0),0), INDEX($AN$1004:$BO$1004,1,MATCH(COLUMNS($AN$1006:BI1006),$AN$1006:$BO$1006,0)))),"Fix")))</f>
        <v>0</v>
      </c>
      <c r="X203" s="4">
        <f>IF(OR(INDEX($AH$2:$AH$1001,MATCH(ROWS($AG$2:AG203),$AG$2:$AG$1001,0),1)&gt;=100000,INDEX($AN$1005:$BO$1005,1,MATCH(COLUMNS($AN$1006:BJ1006),$AN$1006:$BO$1006,0))&gt;=100000), " ",IF(INDEX($AN$2:$BO$1001,MATCH(ROWS($AG$2:AG203),$AG$2:$AG$1001,0),MATCH(COLUMNS($AN$1006:BJ1006),$AN$1006:$BO$1006,0)), HYPERLINK("#",""), HYPERLINK(CONCATENATE("#Metadata!", ADDRESS(INDEX($AI$2:$AI$1001,MATCH(ROWS($AG$2:AG203),$AG$2:$AG$1001,0),0), INDEX($AN$1004:$BO$1004,1,MATCH(COLUMNS($AN$1006:BJ1006),$AN$1006:$BO$1006,0)))),"Fix")))</f>
        <v>0</v>
      </c>
      <c r="Y203" s="4">
        <f>IF(OR(INDEX($AH$2:$AH$1001,MATCH(ROWS($AG$2:AG203),$AG$2:$AG$1001,0),1)&gt;=100000,INDEX($AN$1005:$BO$1005,1,MATCH(COLUMNS($AN$1006:BK1006),$AN$1006:$BO$1006,0))&gt;=100000), " ",IF(INDEX($AN$2:$BO$1001,MATCH(ROWS($AG$2:AG203),$AG$2:$AG$1001,0),MATCH(COLUMNS($AN$1006:BK1006),$AN$1006:$BO$1006,0)), HYPERLINK("#",""), HYPERLINK(CONCATENATE("#Metadata!", ADDRESS(INDEX($AI$2:$AI$1001,MATCH(ROWS($AG$2:AG203),$AG$2:$AG$1001,0),0), INDEX($AN$1004:$BO$1004,1,MATCH(COLUMNS($AN$1006:BK1006),$AN$1006:$BO$1006,0)))),"Fix")))</f>
        <v>0</v>
      </c>
      <c r="Z203" s="4">
        <f>IF(OR(INDEX($AH$2:$AH$1001,MATCH(ROWS($AG$2:AG203),$AG$2:$AG$1001,0),1)&gt;=100000,INDEX($AN$1005:$BO$1005,1,MATCH(COLUMNS($AN$1006:BL1006),$AN$1006:$BO$1006,0))&gt;=100000), " ",IF(INDEX($AN$2:$BO$1001,MATCH(ROWS($AG$2:AG203),$AG$2:$AG$1001,0),MATCH(COLUMNS($AN$1006:BL1006),$AN$1006:$BO$1006,0)), HYPERLINK("#",""), HYPERLINK(CONCATENATE("#Metadata!", ADDRESS(INDEX($AI$2:$AI$1001,MATCH(ROWS($AG$2:AG203),$AG$2:$AG$1001,0),0), INDEX($AN$1004:$BO$1004,1,MATCH(COLUMNS($AN$1006:BL1006),$AN$1006:$BO$1006,0)))),"Fix")))</f>
        <v>0</v>
      </c>
      <c r="AA203" s="4">
        <f>IF(OR(INDEX($AH$2:$AH$1001,MATCH(ROWS($AG$2:AG203),$AG$2:$AG$1001,0),1)&gt;=100000,INDEX($AN$1005:$BO$1005,1,MATCH(COLUMNS($AN$1006:BM1006),$AN$1006:$BO$1006,0))&gt;=100000), " ",IF(INDEX($AN$2:$BO$1001,MATCH(ROWS($AG$2:AG203),$AG$2:$AG$1001,0),MATCH(COLUMNS($AN$1006:BM1006),$AN$1006:$BO$1006,0)), HYPERLINK("#",""), HYPERLINK(CONCATENATE("#Metadata!", ADDRESS(INDEX($AI$2:$AI$1001,MATCH(ROWS($AG$2:AG203),$AG$2:$AG$1001,0),0), INDEX($AN$1004:$BO$1004,1,MATCH(COLUMNS($AN$1006:BM1006),$AN$1006:$BO$1006,0)))),"Fix")))</f>
        <v>0</v>
      </c>
      <c r="AB203" s="4">
        <f>IF(OR(INDEX($AH$2:$AH$1001,MATCH(ROWS($AG$2:AG203),$AG$2:$AG$1001,0),1)&gt;=100000,INDEX($AN$1005:$BO$1005,1,MATCH(COLUMNS($AN$1006:BN1006),$AN$1006:$BO$1006,0))&gt;=100000), " ",IF(INDEX($AN$2:$BO$1001,MATCH(ROWS($AG$2:AG203),$AG$2:$AG$1001,0),MATCH(COLUMNS($AN$1006:BN1006),$AN$1006:$BO$1006,0)), HYPERLINK("#",""), HYPERLINK(CONCATENATE("#Metadata!", ADDRESS(INDEX($AI$2:$AI$1001,MATCH(ROWS($AG$2:AG203),$AG$2:$AG$1001,0),0), INDEX($AN$1004:$BO$1004,1,MATCH(COLUMNS($AN$1006:BN1006),$AN$1006:$BO$1006,0)))),"Fix")))</f>
        <v>0</v>
      </c>
      <c r="AC203" s="4">
        <f>IF(OR(INDEX($AH$2:$AH$1001,MATCH(ROWS($AG$2:AG203),$AG$2:$AG$1001,0),1)&gt;=100000,INDEX($AN$1005:$BO$1005,1,MATCH(COLUMNS($AN$1006:BO1006),$AN$1006:$BO$1006,0))&gt;=100000), " ",IF(INDEX($AN$2:$BO$1001,MATCH(ROWS($AG$2:AG203),$AG$2:$AG$1001,0),MATCH(COLUMNS($AN$1006:BO1006),$AN$1006:$BO$1006,0)), HYPERLINK("#",""), HYPERLINK(CONCATENATE("#Metadata!", ADDRESS(INDEX($AI$2:$AI$1001,MATCH(ROWS($AG$2:AG203),$AG$2:$AG$1001,0),0), INDEX($AN$1004:$BO$1004,1,MATCH(COLUMNS($AN$1006:BO1006),$AN$1006:$BO$1006,0)))),"Fix")))</f>
        <v>0</v>
      </c>
      <c r="AG203">
        <v>0</v>
      </c>
      <c r="AH203">
        <v>0</v>
      </c>
      <c r="AI203">
        <v>0</v>
      </c>
      <c r="AJ203">
        <f>IF(AK203,TRUE,AND(AN203:BO203))</f>
        <v>0</v>
      </c>
      <c r="AK203">
        <f>COUNTBLANK(Metadata!B203:AC203)=COLUMNS(Metadata!B203:AC203)</f>
        <v>0</v>
      </c>
      <c r="AL203">
        <v>0</v>
      </c>
      <c r="AN203">
        <f>AND(IF(Metadata!B203="",FALSE,TRUE),COUNTIF(Metadata!B:B, Metadata!B203) = 1,NOT(ISERROR(SUMPRODUCT(SEARCH(MID(Metadata!B203,ROW(INDIRECT("1:"&amp;LEN(Metadata!B203))), 1),"0123456789abcdefghijklmnopqrstuvwxyzABCDEFGHIJKLMNOPQRSTUVWXYZ.")))))</f>
        <v>0</v>
      </c>
      <c r="AO203">
        <f>IF(Metadata!C203="",FALSE,TRUE)</f>
        <v>0</v>
      </c>
      <c r="AP203">
        <f>IF(Metadata!D203="",FALSE,TRUE)</f>
        <v>0</v>
      </c>
      <c r="AQ203">
        <f>OR(AND(IF(Metadata!E203="",FALSE,TRUE),OR(exact(Metadata!E203,"not collected"),exact(Metadata!E203,"not provided"),exact(Metadata!E203,"restricted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R203">
        <f>IF(Metadata!F203="",FALSE,TRUE)</f>
        <v>0</v>
      </c>
      <c r="AS203">
        <f>OR(AND(IF(Metadata!G203="",FALSE,TRUE),OR(exact(Metadata!G203,"not collected"),exact(Metadata!G203,"not provided"))),AND(IF(Metadata!G203="",FALSE,TRUE),OR(exact(Metadata!G203,"TRUE"),exact(Metadata!G203,"FALSE"))))</f>
        <v>0</v>
      </c>
      <c r="AT203">
        <f>OR(AND(IF(Metadata!H203="",FALSE,TRUE),OR(exact(Metadata!H203,"not collected"),exact(Metadata!H203,"not provided"),exact(Metadata!H203,"restricted access"))),AND(IF(Metadata!H203="",FALSE,ISNUMBER(VALUE(Metadata!H203))),Metadata!H203&gt;=-413.0))</f>
        <v>0</v>
      </c>
      <c r="AU203">
        <f>AND(IF(Metadata!I203="",FALSE,TRUE),exact(Metadata!I203,"meters"))</f>
        <v>0</v>
      </c>
      <c r="AV203">
        <f>AND(IF(Metadata!J203="",FALSE,TRUE),OR(exact(Metadata!J203,"Host-associated"),exact(Metadata!J203,"Free-living")))</f>
        <v>0</v>
      </c>
      <c r="AW203">
        <f>AND(IF(Metadata!K203="",FALSE,TRUE),OR(exact(Metadata!K203,"Animal"),exact(Metadata!K203,"Fungus"),exact(Metadata!K203,"Plant"),exact(Metadata!K203,"Saline"),exact(Metadata!K203,"Non-saline")))</f>
        <v>0</v>
      </c>
      <c r="AX203">
        <f>AND(IF(Metadata!L203="",FALSE,TRUE),OR(exact(Metadata!L203,"Plant secretion"),exact(Metadata!L203,"Plant rhizosphere"),exact(Metadata!L203,"Plant surface"),exact(Metadata!L203,"Plant corpus"),exact(Metadata!L203,"Fungus surface"),exact(Metadata!L203,"Fungus corpus"),exact(Metadata!L203,"Animal surface"),exact(Metadata!L203,"Animal proximal gut"),exact(Metadata!L203,"Animal corpus"),exact(Metadata!L203,"Animal distal gut"),exact(Metadata!L203,"Animal secretion"),exact(Metadata!L203,"Sub-surface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Y203">
        <f>IF(Metadata!M203="",FALSE,TRUE)</f>
        <v>0</v>
      </c>
      <c r="AZ203">
        <f>IF(Metadata!N203="",FALSE,TRUE)</f>
        <v>0</v>
      </c>
      <c r="BA203">
        <f>IF(Metadata!O203="",FALSE,TRUE)</f>
        <v>0</v>
      </c>
      <c r="BB203">
        <f>OR(AND(IF(Metadata!P203="",FALSE,TRUE),OR(exact(Metadata!P203,"not collected"),exact(Metadata!P203,"not provided"),exact(Metadata!P203,"restricted access"))),AND(IF(Metadata!P203="",FALSE,TRUE),OR(exact(Metadata!P203,"air"),exact(Metadata!P203,"built environment"),exact(Metadata!P203,"host-associated"),exact(Metadata!P203,"human-associated"),exact(Metadata!P203,"human-skin"),exact(Metadata!P203,"human-oral"),exact(Metadata!P203,"human-gut"),exact(Metadata!P203,"human-vaginal"),exact(Metadata!P203,"microbial mat/biofilm"),exact(Metadata!P203,"misc environment"),exact(Metadata!P203,"plant-associated"),exact(Metadata!P203,"sediment"),exact(Metadata!P203,"soil"),exact(Metadata!P203,"wastewater/sludge"),exact(Metadata!P203,"water"))))</f>
        <v>0</v>
      </c>
      <c r="BC203">
        <f>IF(Metadata!Q203="",FALSE,TRUE)</f>
        <v>0</v>
      </c>
      <c r="BD203">
        <f>IF(Metadata!R203="",FALSE,TRUE)</f>
        <v>0</v>
      </c>
      <c r="BE203">
        <f>OR(AND(IF(Metadata!S203="",FALSE,TRUE),OR(exact(Metadata!S203,"not collected"),exact(Metadata!S203,"not provided"),exact(Metadata!S203,"restricted access"))),AND(IF(Metadata!S203="",FALSE,ISNUMBER(VALUE(Metadata!S203))),Metadata!S203&gt;=-90.00,Metadata!S203&lt;=90.00))</f>
        <v>0</v>
      </c>
      <c r="BF203">
        <f>AND(IF(Metadata!T203="",FALSE,TRUE),exact(Metadata!T203,"Decimal degrees"))</f>
        <v>0</v>
      </c>
      <c r="BG203">
        <f>OR(AND(IF(Metadata!U203="",FALSE,TRUE),OR(exact(Metadata!U203,"not collected"),exact(Metadata!U203,"not provided"),exact(Metadata!U203,"restricted access"))),AND(IF(Metadata!U203="",FALSE,ISNUMBER(VALUE(Metadata!U203))),Metadata!U203&gt;=-180.00,Metadata!U203&lt;=180.00))</f>
        <v>0</v>
      </c>
      <c r="BH203">
        <f>AND(IF(Metadata!V203="",FALSE,TRUE),exact(Metadata!V203,"Decimal degrees"))</f>
        <v>0</v>
      </c>
      <c r="BI203">
        <f>IF(Metadata!W203="",FALSE,TRUE)</f>
        <v>0</v>
      </c>
      <c r="BJ203">
        <f>OR(AND(IF(Metadata!X203="",FALSE,TRUE),OR(exact(Metadata!X203,"not collected"),exact(Metadata!X203,"not provided"),exact(Metadata!X203,"restricted access"))),AND(IF(Metadata!X203="",FALSE,TRUE),OR(exact(Metadata!X203,"TRUE"),exact(Metadata!X203,"FALSE"))))</f>
        <v>0</v>
      </c>
      <c r="BK203">
        <f>AND(IF(Metadata!Y203="",FALSE,TRUE),exact(Metadata!Y203,"other"))</f>
        <v>0</v>
      </c>
      <c r="BL203">
        <f>IF(Metadata!Z203="",FALSE,TRUE)</f>
        <v>0</v>
      </c>
      <c r="BM203">
        <f>OR(AND(IF(Metadata!AA203="",FALSE,TRUE),OR(exact(Metadata!AA203,"not collected"),exact(Metadata!AA203,"not provided"))),AND(IF(Metadata!AA203="",FALSE,IF(ISERROR(INT(Metadata!AA203)),FALSE,INT(Metadata!AA203)=Metadata!AA203)),Metadata!AA203&gt;0))</f>
        <v>0</v>
      </c>
      <c r="BN203">
        <f>AND(IF(Metadata!AB203="",FALSE,TRUE),exact(Metadata!AB203,"Not applicable"))</f>
        <v>0</v>
      </c>
      <c r="BO203">
        <f>IF(Metadata!AC203="",FALSE,TRUE)</f>
        <v>0</v>
      </c>
    </row>
    <row r="204" spans="1:67">
      <c r="A204" s="5">
        <f>IF(B204=" "," ",HYPERLINK(CONCATENATE("#metadata!",ADDRESS(INDEX($AI$2:$AI$1001,MATCH(ROWS($AG$2:AG204),$AG$2:$AG$1001,0),0),1)),INDEX($AL$2:$AL$1001,MATCH(ROWS($AG$2:AG204),$AG$2:$AG$1001,0),0)))</f>
        <v>0</v>
      </c>
      <c r="B204" s="4">
        <f>IF(OR(INDEX($AH$2:$AH$1001,MATCH(ROWS($AG$2:AG204),$AG$2:$AG$1001,0),1)&gt;=100000,INDEX($AN$1005:$BO$1005,1,MATCH(COLUMNS($AN$1006:AN1006),$AN$1006:$BO$1006,0))&gt;=100000), " ",IF(INDEX($AN$2:$BO$1001,MATCH(ROWS($AG$2:AG204),$AG$2:$AG$1001,0),MATCH(COLUMNS($AN$1006:AN1006),$AN$1006:$BO$1006,0)), HYPERLINK("#",""), HYPERLINK(CONCATENATE("#Metadata!", ADDRESS(INDEX($AI$2:$AI$1001,MATCH(ROWS($AG$2:AG204),$AG$2:$AG$1001,0),0), INDEX($AN$1004:$BO$1004,1,MATCH(COLUMNS($AN$1006:AN1006),$AN$1006:$BO$1006,0)))),"Fix")))</f>
        <v>0</v>
      </c>
      <c r="C204" s="4">
        <f>IF(OR(INDEX($AH$2:$AH$1001,MATCH(ROWS($AG$2:AG204),$AG$2:$AG$1001,0),1)&gt;=100000,INDEX($AN$1005:$BO$1005,1,MATCH(COLUMNS($AN$1006:AO1006),$AN$1006:$BO$1006,0))&gt;=100000), " ",IF(INDEX($AN$2:$BO$1001,MATCH(ROWS($AG$2:AG204),$AG$2:$AG$1001,0),MATCH(COLUMNS($AN$1006:AO1006),$AN$1006:$BO$1006,0)), HYPERLINK("#",""), HYPERLINK(CONCATENATE("#Metadata!", ADDRESS(INDEX($AI$2:$AI$1001,MATCH(ROWS($AG$2:AG204),$AG$2:$AG$1001,0),0), INDEX($AN$1004:$BO$1004,1,MATCH(COLUMNS($AN$1006:AO1006),$AN$1006:$BO$1006,0)))),"Fix")))</f>
        <v>0</v>
      </c>
      <c r="D204" s="4">
        <f>IF(OR(INDEX($AH$2:$AH$1001,MATCH(ROWS($AG$2:AG204),$AG$2:$AG$1001,0),1)&gt;=100000,INDEX($AN$1005:$BO$1005,1,MATCH(COLUMNS($AN$1006:AP1006),$AN$1006:$BO$1006,0))&gt;=100000), " ",IF(INDEX($AN$2:$BO$1001,MATCH(ROWS($AG$2:AG204),$AG$2:$AG$1001,0),MATCH(COLUMNS($AN$1006:AP1006),$AN$1006:$BO$1006,0)), HYPERLINK("#",""), HYPERLINK(CONCATENATE("#Metadata!", ADDRESS(INDEX($AI$2:$AI$1001,MATCH(ROWS($AG$2:AG204),$AG$2:$AG$1001,0),0), INDEX($AN$1004:$BO$1004,1,MATCH(COLUMNS($AN$1006:AP1006),$AN$1006:$BO$1006,0)))),"Fix")))</f>
        <v>0</v>
      </c>
      <c r="E204" s="4">
        <f>IF(OR(INDEX($AH$2:$AH$1001,MATCH(ROWS($AG$2:AG204),$AG$2:$AG$1001,0),1)&gt;=100000,INDEX($AN$1005:$BO$1005,1,MATCH(COLUMNS($AN$1006:AQ1006),$AN$1006:$BO$1006,0))&gt;=100000), " ",IF(INDEX($AN$2:$BO$1001,MATCH(ROWS($AG$2:AG204),$AG$2:$AG$1001,0),MATCH(COLUMNS($AN$1006:AQ1006),$AN$1006:$BO$1006,0)), HYPERLINK("#",""), HYPERLINK(CONCATENATE("#Metadata!", ADDRESS(INDEX($AI$2:$AI$1001,MATCH(ROWS($AG$2:AG204),$AG$2:$AG$1001,0),0), INDEX($AN$1004:$BO$1004,1,MATCH(COLUMNS($AN$1006:AQ1006),$AN$1006:$BO$1006,0)))),"Fix")))</f>
        <v>0</v>
      </c>
      <c r="F204" s="4">
        <f>IF(OR(INDEX($AH$2:$AH$1001,MATCH(ROWS($AG$2:AG204),$AG$2:$AG$1001,0),1)&gt;=100000,INDEX($AN$1005:$BO$1005,1,MATCH(COLUMNS($AN$1006:AR1006),$AN$1006:$BO$1006,0))&gt;=100000), " ",IF(INDEX($AN$2:$BO$1001,MATCH(ROWS($AG$2:AG204),$AG$2:$AG$1001,0),MATCH(COLUMNS($AN$1006:AR1006),$AN$1006:$BO$1006,0)), HYPERLINK("#",""), HYPERLINK(CONCATENATE("#Metadata!", ADDRESS(INDEX($AI$2:$AI$1001,MATCH(ROWS($AG$2:AG204),$AG$2:$AG$1001,0),0), INDEX($AN$1004:$BO$1004,1,MATCH(COLUMNS($AN$1006:AR1006),$AN$1006:$BO$1006,0)))),"Fix")))</f>
        <v>0</v>
      </c>
      <c r="G204" s="4">
        <f>IF(OR(INDEX($AH$2:$AH$1001,MATCH(ROWS($AG$2:AG204),$AG$2:$AG$1001,0),1)&gt;=100000,INDEX($AN$1005:$BO$1005,1,MATCH(COLUMNS($AN$1006:AS1006),$AN$1006:$BO$1006,0))&gt;=100000), " ",IF(INDEX($AN$2:$BO$1001,MATCH(ROWS($AG$2:AG204),$AG$2:$AG$1001,0),MATCH(COLUMNS($AN$1006:AS1006),$AN$1006:$BO$1006,0)), HYPERLINK("#",""), HYPERLINK(CONCATENATE("#Metadata!", ADDRESS(INDEX($AI$2:$AI$1001,MATCH(ROWS($AG$2:AG204),$AG$2:$AG$1001,0),0), INDEX($AN$1004:$BO$1004,1,MATCH(COLUMNS($AN$1006:AS1006),$AN$1006:$BO$1006,0)))),"Fix")))</f>
        <v>0</v>
      </c>
      <c r="H204" s="4">
        <f>IF(OR(INDEX($AH$2:$AH$1001,MATCH(ROWS($AG$2:AG204),$AG$2:$AG$1001,0),1)&gt;=100000,INDEX($AN$1005:$BO$1005,1,MATCH(COLUMNS($AN$1006:AT1006),$AN$1006:$BO$1006,0))&gt;=100000), " ",IF(INDEX($AN$2:$BO$1001,MATCH(ROWS($AG$2:AG204),$AG$2:$AG$1001,0),MATCH(COLUMNS($AN$1006:AT1006),$AN$1006:$BO$1006,0)), HYPERLINK("#",""), HYPERLINK(CONCATENATE("#Metadata!", ADDRESS(INDEX($AI$2:$AI$1001,MATCH(ROWS($AG$2:AG204),$AG$2:$AG$1001,0),0), INDEX($AN$1004:$BO$1004,1,MATCH(COLUMNS($AN$1006:AT1006),$AN$1006:$BO$1006,0)))),"Fix")))</f>
        <v>0</v>
      </c>
      <c r="I204" s="4">
        <f>IF(OR(INDEX($AH$2:$AH$1001,MATCH(ROWS($AG$2:AG204),$AG$2:$AG$1001,0),1)&gt;=100000,INDEX($AN$1005:$BO$1005,1,MATCH(COLUMNS($AN$1006:AU1006),$AN$1006:$BO$1006,0))&gt;=100000), " ",IF(INDEX($AN$2:$BO$1001,MATCH(ROWS($AG$2:AG204),$AG$2:$AG$1001,0),MATCH(COLUMNS($AN$1006:AU1006),$AN$1006:$BO$1006,0)), HYPERLINK("#",""), HYPERLINK(CONCATENATE("#Metadata!", ADDRESS(INDEX($AI$2:$AI$1001,MATCH(ROWS($AG$2:AG204),$AG$2:$AG$1001,0),0), INDEX($AN$1004:$BO$1004,1,MATCH(COLUMNS($AN$1006:AU1006),$AN$1006:$BO$1006,0)))),"Fix")))</f>
        <v>0</v>
      </c>
      <c r="J204" s="4">
        <f>IF(OR(INDEX($AH$2:$AH$1001,MATCH(ROWS($AG$2:AG204),$AG$2:$AG$1001,0),1)&gt;=100000,INDEX($AN$1005:$BO$1005,1,MATCH(COLUMNS($AN$1006:AV1006),$AN$1006:$BO$1006,0))&gt;=100000), " ",IF(INDEX($AN$2:$BO$1001,MATCH(ROWS($AG$2:AG204),$AG$2:$AG$1001,0),MATCH(COLUMNS($AN$1006:AV1006),$AN$1006:$BO$1006,0)), HYPERLINK("#",""), HYPERLINK(CONCATENATE("#Metadata!", ADDRESS(INDEX($AI$2:$AI$1001,MATCH(ROWS($AG$2:AG204),$AG$2:$AG$1001,0),0), INDEX($AN$1004:$BO$1004,1,MATCH(COLUMNS($AN$1006:AV1006),$AN$1006:$BO$1006,0)))),"Fix")))</f>
        <v>0</v>
      </c>
      <c r="K204" s="4">
        <f>IF(OR(INDEX($AH$2:$AH$1001,MATCH(ROWS($AG$2:AG204),$AG$2:$AG$1001,0),1)&gt;=100000,INDEX($AN$1005:$BO$1005,1,MATCH(COLUMNS($AN$1006:AW1006),$AN$1006:$BO$1006,0))&gt;=100000), " ",IF(INDEX($AN$2:$BO$1001,MATCH(ROWS($AG$2:AG204),$AG$2:$AG$1001,0),MATCH(COLUMNS($AN$1006:AW1006),$AN$1006:$BO$1006,0)), HYPERLINK("#",""), HYPERLINK(CONCATENATE("#Metadata!", ADDRESS(INDEX($AI$2:$AI$1001,MATCH(ROWS($AG$2:AG204),$AG$2:$AG$1001,0),0), INDEX($AN$1004:$BO$1004,1,MATCH(COLUMNS($AN$1006:AW1006),$AN$1006:$BO$1006,0)))),"Fix")))</f>
        <v>0</v>
      </c>
      <c r="L204" s="4">
        <f>IF(OR(INDEX($AH$2:$AH$1001,MATCH(ROWS($AG$2:AG204),$AG$2:$AG$1001,0),1)&gt;=100000,INDEX($AN$1005:$BO$1005,1,MATCH(COLUMNS($AN$1006:AX1006),$AN$1006:$BO$1006,0))&gt;=100000), " ",IF(INDEX($AN$2:$BO$1001,MATCH(ROWS($AG$2:AG204),$AG$2:$AG$1001,0),MATCH(COLUMNS($AN$1006:AX1006),$AN$1006:$BO$1006,0)), HYPERLINK("#",""), HYPERLINK(CONCATENATE("#Metadata!", ADDRESS(INDEX($AI$2:$AI$1001,MATCH(ROWS($AG$2:AG204),$AG$2:$AG$1001,0),0), INDEX($AN$1004:$BO$1004,1,MATCH(COLUMNS($AN$1006:AX1006),$AN$1006:$BO$1006,0)))),"Fix")))</f>
        <v>0</v>
      </c>
      <c r="M204" s="4">
        <f>IF(OR(INDEX($AH$2:$AH$1001,MATCH(ROWS($AG$2:AG204),$AG$2:$AG$1001,0),1)&gt;=100000,INDEX($AN$1005:$BO$1005,1,MATCH(COLUMNS($AN$1006:AY1006),$AN$1006:$BO$1006,0))&gt;=100000), " ",IF(INDEX($AN$2:$BO$1001,MATCH(ROWS($AG$2:AG204),$AG$2:$AG$1001,0),MATCH(COLUMNS($AN$1006:AY1006),$AN$1006:$BO$1006,0)), HYPERLINK("#",""), HYPERLINK(CONCATENATE("#Metadata!", ADDRESS(INDEX($AI$2:$AI$1001,MATCH(ROWS($AG$2:AG204),$AG$2:$AG$1001,0),0), INDEX($AN$1004:$BO$1004,1,MATCH(COLUMNS($AN$1006:AY1006),$AN$1006:$BO$1006,0)))),"Fix")))</f>
        <v>0</v>
      </c>
      <c r="N204" s="4">
        <f>IF(OR(INDEX($AH$2:$AH$1001,MATCH(ROWS($AG$2:AG204),$AG$2:$AG$1001,0),1)&gt;=100000,INDEX($AN$1005:$BO$1005,1,MATCH(COLUMNS($AN$1006:AZ1006),$AN$1006:$BO$1006,0))&gt;=100000), " ",IF(INDEX($AN$2:$BO$1001,MATCH(ROWS($AG$2:AG204),$AG$2:$AG$1001,0),MATCH(COLUMNS($AN$1006:AZ1006),$AN$1006:$BO$1006,0)), HYPERLINK("#",""), HYPERLINK(CONCATENATE("#Metadata!", ADDRESS(INDEX($AI$2:$AI$1001,MATCH(ROWS($AG$2:AG204),$AG$2:$AG$1001,0),0), INDEX($AN$1004:$BO$1004,1,MATCH(COLUMNS($AN$1006:AZ1006),$AN$1006:$BO$1006,0)))),"Fix")))</f>
        <v>0</v>
      </c>
      <c r="O204" s="4">
        <f>IF(OR(INDEX($AH$2:$AH$1001,MATCH(ROWS($AG$2:AG204),$AG$2:$AG$1001,0),1)&gt;=100000,INDEX($AN$1005:$BO$1005,1,MATCH(COLUMNS($AN$1006:BA1006),$AN$1006:$BO$1006,0))&gt;=100000), " ",IF(INDEX($AN$2:$BO$1001,MATCH(ROWS($AG$2:AG204),$AG$2:$AG$1001,0),MATCH(COLUMNS($AN$1006:BA1006),$AN$1006:$BO$1006,0)), HYPERLINK("#",""), HYPERLINK(CONCATENATE("#Metadata!", ADDRESS(INDEX($AI$2:$AI$1001,MATCH(ROWS($AG$2:AG204),$AG$2:$AG$1001,0),0), INDEX($AN$1004:$BO$1004,1,MATCH(COLUMNS($AN$1006:BA1006),$AN$1006:$BO$1006,0)))),"Fix")))</f>
        <v>0</v>
      </c>
      <c r="P204" s="4">
        <f>IF(OR(INDEX($AH$2:$AH$1001,MATCH(ROWS($AG$2:AG204),$AG$2:$AG$1001,0),1)&gt;=100000,INDEX($AN$1005:$BO$1005,1,MATCH(COLUMNS($AN$1006:BB1006),$AN$1006:$BO$1006,0))&gt;=100000), " ",IF(INDEX($AN$2:$BO$1001,MATCH(ROWS($AG$2:AG204),$AG$2:$AG$1001,0),MATCH(COLUMNS($AN$1006:BB1006),$AN$1006:$BO$1006,0)), HYPERLINK("#",""), HYPERLINK(CONCATENATE("#Metadata!", ADDRESS(INDEX($AI$2:$AI$1001,MATCH(ROWS($AG$2:AG204),$AG$2:$AG$1001,0),0), INDEX($AN$1004:$BO$1004,1,MATCH(COLUMNS($AN$1006:BB1006),$AN$1006:$BO$1006,0)))),"Fix")))</f>
        <v>0</v>
      </c>
      <c r="Q204" s="4">
        <f>IF(OR(INDEX($AH$2:$AH$1001,MATCH(ROWS($AG$2:AG204),$AG$2:$AG$1001,0),1)&gt;=100000,INDEX($AN$1005:$BO$1005,1,MATCH(COLUMNS($AN$1006:BC1006),$AN$1006:$BO$1006,0))&gt;=100000), " ",IF(INDEX($AN$2:$BO$1001,MATCH(ROWS($AG$2:AG204),$AG$2:$AG$1001,0),MATCH(COLUMNS($AN$1006:BC1006),$AN$1006:$BO$1006,0)), HYPERLINK("#",""), HYPERLINK(CONCATENATE("#Metadata!", ADDRESS(INDEX($AI$2:$AI$1001,MATCH(ROWS($AG$2:AG204),$AG$2:$AG$1001,0),0), INDEX($AN$1004:$BO$1004,1,MATCH(COLUMNS($AN$1006:BC1006),$AN$1006:$BO$1006,0)))),"Fix")))</f>
        <v>0</v>
      </c>
      <c r="R204" s="4">
        <f>IF(OR(INDEX($AH$2:$AH$1001,MATCH(ROWS($AG$2:AG204),$AG$2:$AG$1001,0),1)&gt;=100000,INDEX($AN$1005:$BO$1005,1,MATCH(COLUMNS($AN$1006:BD1006),$AN$1006:$BO$1006,0))&gt;=100000), " ",IF(INDEX($AN$2:$BO$1001,MATCH(ROWS($AG$2:AG204),$AG$2:$AG$1001,0),MATCH(COLUMNS($AN$1006:BD1006),$AN$1006:$BO$1006,0)), HYPERLINK("#",""), HYPERLINK(CONCATENATE("#Metadata!", ADDRESS(INDEX($AI$2:$AI$1001,MATCH(ROWS($AG$2:AG204),$AG$2:$AG$1001,0),0), INDEX($AN$1004:$BO$1004,1,MATCH(COLUMNS($AN$1006:BD1006),$AN$1006:$BO$1006,0)))),"Fix")))</f>
        <v>0</v>
      </c>
      <c r="S204" s="4">
        <f>IF(OR(INDEX($AH$2:$AH$1001,MATCH(ROWS($AG$2:AG204),$AG$2:$AG$1001,0),1)&gt;=100000,INDEX($AN$1005:$BO$1005,1,MATCH(COLUMNS($AN$1006:BE1006),$AN$1006:$BO$1006,0))&gt;=100000), " ",IF(INDEX($AN$2:$BO$1001,MATCH(ROWS($AG$2:AG204),$AG$2:$AG$1001,0),MATCH(COLUMNS($AN$1006:BE1006),$AN$1006:$BO$1006,0)), HYPERLINK("#",""), HYPERLINK(CONCATENATE("#Metadata!", ADDRESS(INDEX($AI$2:$AI$1001,MATCH(ROWS($AG$2:AG204),$AG$2:$AG$1001,0),0), INDEX($AN$1004:$BO$1004,1,MATCH(COLUMNS($AN$1006:BE1006),$AN$1006:$BO$1006,0)))),"Fix")))</f>
        <v>0</v>
      </c>
      <c r="T204" s="4">
        <f>IF(OR(INDEX($AH$2:$AH$1001,MATCH(ROWS($AG$2:AG204),$AG$2:$AG$1001,0),1)&gt;=100000,INDEX($AN$1005:$BO$1005,1,MATCH(COLUMNS($AN$1006:BF1006),$AN$1006:$BO$1006,0))&gt;=100000), " ",IF(INDEX($AN$2:$BO$1001,MATCH(ROWS($AG$2:AG204),$AG$2:$AG$1001,0),MATCH(COLUMNS($AN$1006:BF1006),$AN$1006:$BO$1006,0)), HYPERLINK("#",""), HYPERLINK(CONCATENATE("#Metadata!", ADDRESS(INDEX($AI$2:$AI$1001,MATCH(ROWS($AG$2:AG204),$AG$2:$AG$1001,0),0), INDEX($AN$1004:$BO$1004,1,MATCH(COLUMNS($AN$1006:BF1006),$AN$1006:$BO$1006,0)))),"Fix")))</f>
        <v>0</v>
      </c>
      <c r="U204" s="4">
        <f>IF(OR(INDEX($AH$2:$AH$1001,MATCH(ROWS($AG$2:AG204),$AG$2:$AG$1001,0),1)&gt;=100000,INDEX($AN$1005:$BO$1005,1,MATCH(COLUMNS($AN$1006:BG1006),$AN$1006:$BO$1006,0))&gt;=100000), " ",IF(INDEX($AN$2:$BO$1001,MATCH(ROWS($AG$2:AG204),$AG$2:$AG$1001,0),MATCH(COLUMNS($AN$1006:BG1006),$AN$1006:$BO$1006,0)), HYPERLINK("#",""), HYPERLINK(CONCATENATE("#Metadata!", ADDRESS(INDEX($AI$2:$AI$1001,MATCH(ROWS($AG$2:AG204),$AG$2:$AG$1001,0),0), INDEX($AN$1004:$BO$1004,1,MATCH(COLUMNS($AN$1006:BG1006),$AN$1006:$BO$1006,0)))),"Fix")))</f>
        <v>0</v>
      </c>
      <c r="V204" s="4">
        <f>IF(OR(INDEX($AH$2:$AH$1001,MATCH(ROWS($AG$2:AG204),$AG$2:$AG$1001,0),1)&gt;=100000,INDEX($AN$1005:$BO$1005,1,MATCH(COLUMNS($AN$1006:BH1006),$AN$1006:$BO$1006,0))&gt;=100000), " ",IF(INDEX($AN$2:$BO$1001,MATCH(ROWS($AG$2:AG204),$AG$2:$AG$1001,0),MATCH(COLUMNS($AN$1006:BH1006),$AN$1006:$BO$1006,0)), HYPERLINK("#",""), HYPERLINK(CONCATENATE("#Metadata!", ADDRESS(INDEX($AI$2:$AI$1001,MATCH(ROWS($AG$2:AG204),$AG$2:$AG$1001,0),0), INDEX($AN$1004:$BO$1004,1,MATCH(COLUMNS($AN$1006:BH1006),$AN$1006:$BO$1006,0)))),"Fix")))</f>
        <v>0</v>
      </c>
      <c r="W204" s="4">
        <f>IF(OR(INDEX($AH$2:$AH$1001,MATCH(ROWS($AG$2:AG204),$AG$2:$AG$1001,0),1)&gt;=100000,INDEX($AN$1005:$BO$1005,1,MATCH(COLUMNS($AN$1006:BI1006),$AN$1006:$BO$1006,0))&gt;=100000), " ",IF(INDEX($AN$2:$BO$1001,MATCH(ROWS($AG$2:AG204),$AG$2:$AG$1001,0),MATCH(COLUMNS($AN$1006:BI1006),$AN$1006:$BO$1006,0)), HYPERLINK("#",""), HYPERLINK(CONCATENATE("#Metadata!", ADDRESS(INDEX($AI$2:$AI$1001,MATCH(ROWS($AG$2:AG204),$AG$2:$AG$1001,0),0), INDEX($AN$1004:$BO$1004,1,MATCH(COLUMNS($AN$1006:BI1006),$AN$1006:$BO$1006,0)))),"Fix")))</f>
        <v>0</v>
      </c>
      <c r="X204" s="4">
        <f>IF(OR(INDEX($AH$2:$AH$1001,MATCH(ROWS($AG$2:AG204),$AG$2:$AG$1001,0),1)&gt;=100000,INDEX($AN$1005:$BO$1005,1,MATCH(COLUMNS($AN$1006:BJ1006),$AN$1006:$BO$1006,0))&gt;=100000), " ",IF(INDEX($AN$2:$BO$1001,MATCH(ROWS($AG$2:AG204),$AG$2:$AG$1001,0),MATCH(COLUMNS($AN$1006:BJ1006),$AN$1006:$BO$1006,0)), HYPERLINK("#",""), HYPERLINK(CONCATENATE("#Metadata!", ADDRESS(INDEX($AI$2:$AI$1001,MATCH(ROWS($AG$2:AG204),$AG$2:$AG$1001,0),0), INDEX($AN$1004:$BO$1004,1,MATCH(COLUMNS($AN$1006:BJ1006),$AN$1006:$BO$1006,0)))),"Fix")))</f>
        <v>0</v>
      </c>
      <c r="Y204" s="4">
        <f>IF(OR(INDEX($AH$2:$AH$1001,MATCH(ROWS($AG$2:AG204),$AG$2:$AG$1001,0),1)&gt;=100000,INDEX($AN$1005:$BO$1005,1,MATCH(COLUMNS($AN$1006:BK1006),$AN$1006:$BO$1006,0))&gt;=100000), " ",IF(INDEX($AN$2:$BO$1001,MATCH(ROWS($AG$2:AG204),$AG$2:$AG$1001,0),MATCH(COLUMNS($AN$1006:BK1006),$AN$1006:$BO$1006,0)), HYPERLINK("#",""), HYPERLINK(CONCATENATE("#Metadata!", ADDRESS(INDEX($AI$2:$AI$1001,MATCH(ROWS($AG$2:AG204),$AG$2:$AG$1001,0),0), INDEX($AN$1004:$BO$1004,1,MATCH(COLUMNS($AN$1006:BK1006),$AN$1006:$BO$1006,0)))),"Fix")))</f>
        <v>0</v>
      </c>
      <c r="Z204" s="4">
        <f>IF(OR(INDEX($AH$2:$AH$1001,MATCH(ROWS($AG$2:AG204),$AG$2:$AG$1001,0),1)&gt;=100000,INDEX($AN$1005:$BO$1005,1,MATCH(COLUMNS($AN$1006:BL1006),$AN$1006:$BO$1006,0))&gt;=100000), " ",IF(INDEX($AN$2:$BO$1001,MATCH(ROWS($AG$2:AG204),$AG$2:$AG$1001,0),MATCH(COLUMNS($AN$1006:BL1006),$AN$1006:$BO$1006,0)), HYPERLINK("#",""), HYPERLINK(CONCATENATE("#Metadata!", ADDRESS(INDEX($AI$2:$AI$1001,MATCH(ROWS($AG$2:AG204),$AG$2:$AG$1001,0),0), INDEX($AN$1004:$BO$1004,1,MATCH(COLUMNS($AN$1006:BL1006),$AN$1006:$BO$1006,0)))),"Fix")))</f>
        <v>0</v>
      </c>
      <c r="AA204" s="4">
        <f>IF(OR(INDEX($AH$2:$AH$1001,MATCH(ROWS($AG$2:AG204),$AG$2:$AG$1001,0),1)&gt;=100000,INDEX($AN$1005:$BO$1005,1,MATCH(COLUMNS($AN$1006:BM1006),$AN$1006:$BO$1006,0))&gt;=100000), " ",IF(INDEX($AN$2:$BO$1001,MATCH(ROWS($AG$2:AG204),$AG$2:$AG$1001,0),MATCH(COLUMNS($AN$1006:BM1006),$AN$1006:$BO$1006,0)), HYPERLINK("#",""), HYPERLINK(CONCATENATE("#Metadata!", ADDRESS(INDEX($AI$2:$AI$1001,MATCH(ROWS($AG$2:AG204),$AG$2:$AG$1001,0),0), INDEX($AN$1004:$BO$1004,1,MATCH(COLUMNS($AN$1006:BM1006),$AN$1006:$BO$1006,0)))),"Fix")))</f>
        <v>0</v>
      </c>
      <c r="AB204" s="4">
        <f>IF(OR(INDEX($AH$2:$AH$1001,MATCH(ROWS($AG$2:AG204),$AG$2:$AG$1001,0),1)&gt;=100000,INDEX($AN$1005:$BO$1005,1,MATCH(COLUMNS($AN$1006:BN1006),$AN$1006:$BO$1006,0))&gt;=100000), " ",IF(INDEX($AN$2:$BO$1001,MATCH(ROWS($AG$2:AG204),$AG$2:$AG$1001,0),MATCH(COLUMNS($AN$1006:BN1006),$AN$1006:$BO$1006,0)), HYPERLINK("#",""), HYPERLINK(CONCATENATE("#Metadata!", ADDRESS(INDEX($AI$2:$AI$1001,MATCH(ROWS($AG$2:AG204),$AG$2:$AG$1001,0),0), INDEX($AN$1004:$BO$1004,1,MATCH(COLUMNS($AN$1006:BN1006),$AN$1006:$BO$1006,0)))),"Fix")))</f>
        <v>0</v>
      </c>
      <c r="AC204" s="4">
        <f>IF(OR(INDEX($AH$2:$AH$1001,MATCH(ROWS($AG$2:AG204),$AG$2:$AG$1001,0),1)&gt;=100000,INDEX($AN$1005:$BO$1005,1,MATCH(COLUMNS($AN$1006:BO1006),$AN$1006:$BO$1006,0))&gt;=100000), " ",IF(INDEX($AN$2:$BO$1001,MATCH(ROWS($AG$2:AG204),$AG$2:$AG$1001,0),MATCH(COLUMNS($AN$1006:BO1006),$AN$1006:$BO$1006,0)), HYPERLINK("#",""), HYPERLINK(CONCATENATE("#Metadata!", ADDRESS(INDEX($AI$2:$AI$1001,MATCH(ROWS($AG$2:AG204),$AG$2:$AG$1001,0),0), INDEX($AN$1004:$BO$1004,1,MATCH(COLUMNS($AN$1006:BO1006),$AN$1006:$BO$1006,0)))),"Fix")))</f>
        <v>0</v>
      </c>
      <c r="AG204">
        <v>0</v>
      </c>
      <c r="AH204">
        <v>0</v>
      </c>
      <c r="AI204">
        <v>0</v>
      </c>
      <c r="AJ204">
        <f>IF(AK204,TRUE,AND(AN204:BO204))</f>
        <v>0</v>
      </c>
      <c r="AK204">
        <f>COUNTBLANK(Metadata!B204:AC204)=COLUMNS(Metadata!B204:AC204)</f>
        <v>0</v>
      </c>
      <c r="AL204">
        <v>0</v>
      </c>
      <c r="AN204">
        <f>AND(IF(Metadata!B204="",FALSE,TRUE),COUNTIF(Metadata!B:B, Metadata!B204) = 1,NOT(ISERROR(SUMPRODUCT(SEARCH(MID(Metadata!B204,ROW(INDIRECT("1:"&amp;LEN(Metadata!B204))), 1),"0123456789abcdefghijklmnopqrstuvwxyzABCDEFGHIJKLMNOPQRSTUVWXYZ.")))))</f>
        <v>0</v>
      </c>
      <c r="AO204">
        <f>IF(Metadata!C204="",FALSE,TRUE)</f>
        <v>0</v>
      </c>
      <c r="AP204">
        <f>IF(Metadata!D204="",FALSE,TRUE)</f>
        <v>0</v>
      </c>
      <c r="AQ204">
        <f>OR(AND(IF(Metadata!E204="",FALSE,TRUE),OR(exact(Metadata!E204,"not collected"),exact(Metadata!E204,"not provided"),exact(Metadata!E204,"restricted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R204">
        <f>IF(Metadata!F204="",FALSE,TRUE)</f>
        <v>0</v>
      </c>
      <c r="AS204">
        <f>OR(AND(IF(Metadata!G204="",FALSE,TRUE),OR(exact(Metadata!G204,"not collected"),exact(Metadata!G204,"not provided"))),AND(IF(Metadata!G204="",FALSE,TRUE),OR(exact(Metadata!G204,"TRUE"),exact(Metadata!G204,"FALSE"))))</f>
        <v>0</v>
      </c>
      <c r="AT204">
        <f>OR(AND(IF(Metadata!H204="",FALSE,TRUE),OR(exact(Metadata!H204,"not collected"),exact(Metadata!H204,"not provided"),exact(Metadata!H204,"restricted access"))),AND(IF(Metadata!H204="",FALSE,ISNUMBER(VALUE(Metadata!H204))),Metadata!H204&gt;=-413.0))</f>
        <v>0</v>
      </c>
      <c r="AU204">
        <f>AND(IF(Metadata!I204="",FALSE,TRUE),exact(Metadata!I204,"meters"))</f>
        <v>0</v>
      </c>
      <c r="AV204">
        <f>AND(IF(Metadata!J204="",FALSE,TRUE),OR(exact(Metadata!J204,"Host-associated"),exact(Metadata!J204,"Free-living")))</f>
        <v>0</v>
      </c>
      <c r="AW204">
        <f>AND(IF(Metadata!K204="",FALSE,TRUE),OR(exact(Metadata!K204,"Animal"),exact(Metadata!K204,"Fungus"),exact(Metadata!K204,"Plant"),exact(Metadata!K204,"Saline"),exact(Metadata!K204,"Non-saline")))</f>
        <v>0</v>
      </c>
      <c r="AX204">
        <f>AND(IF(Metadata!L204="",FALSE,TRUE),OR(exact(Metadata!L204,"Plant secretion"),exact(Metadata!L204,"Plant rhizosphere"),exact(Metadata!L204,"Plant surface"),exact(Metadata!L204,"Plant corpus"),exact(Metadata!L204,"Fungus surface"),exact(Metadata!L204,"Fungus corpus"),exact(Metadata!L204,"Animal surface"),exact(Metadata!L204,"Animal proximal gut"),exact(Metadata!L204,"Animal corpus"),exact(Metadata!L204,"Animal distal gut"),exact(Metadata!L204,"Animal secretion"),exact(Metadata!L204,"Sub-surface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Y204">
        <f>IF(Metadata!M204="",FALSE,TRUE)</f>
        <v>0</v>
      </c>
      <c r="AZ204">
        <f>IF(Metadata!N204="",FALSE,TRUE)</f>
        <v>0</v>
      </c>
      <c r="BA204">
        <f>IF(Metadata!O204="",FALSE,TRUE)</f>
        <v>0</v>
      </c>
      <c r="BB204">
        <f>OR(AND(IF(Metadata!P204="",FALSE,TRUE),OR(exact(Metadata!P204,"not collected"),exact(Metadata!P204,"not provided"),exact(Metadata!P204,"restricted access"))),AND(IF(Metadata!P204="",FALSE,TRUE),OR(exact(Metadata!P204,"air"),exact(Metadata!P204,"built environment"),exact(Metadata!P204,"host-associated"),exact(Metadata!P204,"human-associated"),exact(Metadata!P204,"human-skin"),exact(Metadata!P204,"human-oral"),exact(Metadata!P204,"human-gut"),exact(Metadata!P204,"human-vaginal"),exact(Metadata!P204,"microbial mat/biofilm"),exact(Metadata!P204,"misc environment"),exact(Metadata!P204,"plant-associated"),exact(Metadata!P204,"sediment"),exact(Metadata!P204,"soil"),exact(Metadata!P204,"wastewater/sludge"),exact(Metadata!P204,"water"))))</f>
        <v>0</v>
      </c>
      <c r="BC204">
        <f>IF(Metadata!Q204="",FALSE,TRUE)</f>
        <v>0</v>
      </c>
      <c r="BD204">
        <f>IF(Metadata!R204="",FALSE,TRUE)</f>
        <v>0</v>
      </c>
      <c r="BE204">
        <f>OR(AND(IF(Metadata!S204="",FALSE,TRUE),OR(exact(Metadata!S204,"not collected"),exact(Metadata!S204,"not provided"),exact(Metadata!S204,"restricted access"))),AND(IF(Metadata!S204="",FALSE,ISNUMBER(VALUE(Metadata!S204))),Metadata!S204&gt;=-90.00,Metadata!S204&lt;=90.00))</f>
        <v>0</v>
      </c>
      <c r="BF204">
        <f>AND(IF(Metadata!T204="",FALSE,TRUE),exact(Metadata!T204,"Decimal degrees"))</f>
        <v>0</v>
      </c>
      <c r="BG204">
        <f>OR(AND(IF(Metadata!U204="",FALSE,TRUE),OR(exact(Metadata!U204,"not collected"),exact(Metadata!U204,"not provided"),exact(Metadata!U204,"restricted access"))),AND(IF(Metadata!U204="",FALSE,ISNUMBER(VALUE(Metadata!U204))),Metadata!U204&gt;=-180.00,Metadata!U204&lt;=180.00))</f>
        <v>0</v>
      </c>
      <c r="BH204">
        <f>AND(IF(Metadata!V204="",FALSE,TRUE),exact(Metadata!V204,"Decimal degrees"))</f>
        <v>0</v>
      </c>
      <c r="BI204">
        <f>IF(Metadata!W204="",FALSE,TRUE)</f>
        <v>0</v>
      </c>
      <c r="BJ204">
        <f>OR(AND(IF(Metadata!X204="",FALSE,TRUE),OR(exact(Metadata!X204,"not collected"),exact(Metadata!X204,"not provided"),exact(Metadata!X204,"restricted access"))),AND(IF(Metadata!X204="",FALSE,TRUE),OR(exact(Metadata!X204,"TRUE"),exact(Metadata!X204,"FALSE"))))</f>
        <v>0</v>
      </c>
      <c r="BK204">
        <f>AND(IF(Metadata!Y204="",FALSE,TRUE),exact(Metadata!Y204,"other"))</f>
        <v>0</v>
      </c>
      <c r="BL204">
        <f>IF(Metadata!Z204="",FALSE,TRUE)</f>
        <v>0</v>
      </c>
      <c r="BM204">
        <f>OR(AND(IF(Metadata!AA204="",FALSE,TRUE),OR(exact(Metadata!AA204,"not collected"),exact(Metadata!AA204,"not provided"))),AND(IF(Metadata!AA204="",FALSE,IF(ISERROR(INT(Metadata!AA204)),FALSE,INT(Metadata!AA204)=Metadata!AA204)),Metadata!AA204&gt;0))</f>
        <v>0</v>
      </c>
      <c r="BN204">
        <f>AND(IF(Metadata!AB204="",FALSE,TRUE),exact(Metadata!AB204,"Not applicable"))</f>
        <v>0</v>
      </c>
      <c r="BO204">
        <f>IF(Metadata!AC204="",FALSE,TRUE)</f>
        <v>0</v>
      </c>
    </row>
    <row r="205" spans="1:67">
      <c r="A205" s="5">
        <f>IF(B205=" "," ",HYPERLINK(CONCATENATE("#metadata!",ADDRESS(INDEX($AI$2:$AI$1001,MATCH(ROWS($AG$2:AG205),$AG$2:$AG$1001,0),0),1)),INDEX($AL$2:$AL$1001,MATCH(ROWS($AG$2:AG205),$AG$2:$AG$1001,0),0)))</f>
        <v>0</v>
      </c>
      <c r="B205" s="4">
        <f>IF(OR(INDEX($AH$2:$AH$1001,MATCH(ROWS($AG$2:AG205),$AG$2:$AG$1001,0),1)&gt;=100000,INDEX($AN$1005:$BO$1005,1,MATCH(COLUMNS($AN$1006:AN1006),$AN$1006:$BO$1006,0))&gt;=100000), " ",IF(INDEX($AN$2:$BO$1001,MATCH(ROWS($AG$2:AG205),$AG$2:$AG$1001,0),MATCH(COLUMNS($AN$1006:AN1006),$AN$1006:$BO$1006,0)), HYPERLINK("#",""), HYPERLINK(CONCATENATE("#Metadata!", ADDRESS(INDEX($AI$2:$AI$1001,MATCH(ROWS($AG$2:AG205),$AG$2:$AG$1001,0),0), INDEX($AN$1004:$BO$1004,1,MATCH(COLUMNS($AN$1006:AN1006),$AN$1006:$BO$1006,0)))),"Fix")))</f>
        <v>0</v>
      </c>
      <c r="C205" s="4">
        <f>IF(OR(INDEX($AH$2:$AH$1001,MATCH(ROWS($AG$2:AG205),$AG$2:$AG$1001,0),1)&gt;=100000,INDEX($AN$1005:$BO$1005,1,MATCH(COLUMNS($AN$1006:AO1006),$AN$1006:$BO$1006,0))&gt;=100000), " ",IF(INDEX($AN$2:$BO$1001,MATCH(ROWS($AG$2:AG205),$AG$2:$AG$1001,0),MATCH(COLUMNS($AN$1006:AO1006),$AN$1006:$BO$1006,0)), HYPERLINK("#",""), HYPERLINK(CONCATENATE("#Metadata!", ADDRESS(INDEX($AI$2:$AI$1001,MATCH(ROWS($AG$2:AG205),$AG$2:$AG$1001,0),0), INDEX($AN$1004:$BO$1004,1,MATCH(COLUMNS($AN$1006:AO1006),$AN$1006:$BO$1006,0)))),"Fix")))</f>
        <v>0</v>
      </c>
      <c r="D205" s="4">
        <f>IF(OR(INDEX($AH$2:$AH$1001,MATCH(ROWS($AG$2:AG205),$AG$2:$AG$1001,0),1)&gt;=100000,INDEX($AN$1005:$BO$1005,1,MATCH(COLUMNS($AN$1006:AP1006),$AN$1006:$BO$1006,0))&gt;=100000), " ",IF(INDEX($AN$2:$BO$1001,MATCH(ROWS($AG$2:AG205),$AG$2:$AG$1001,0),MATCH(COLUMNS($AN$1006:AP1006),$AN$1006:$BO$1006,0)), HYPERLINK("#",""), HYPERLINK(CONCATENATE("#Metadata!", ADDRESS(INDEX($AI$2:$AI$1001,MATCH(ROWS($AG$2:AG205),$AG$2:$AG$1001,0),0), INDEX($AN$1004:$BO$1004,1,MATCH(COLUMNS($AN$1006:AP1006),$AN$1006:$BO$1006,0)))),"Fix")))</f>
        <v>0</v>
      </c>
      <c r="E205" s="4">
        <f>IF(OR(INDEX($AH$2:$AH$1001,MATCH(ROWS($AG$2:AG205),$AG$2:$AG$1001,0),1)&gt;=100000,INDEX($AN$1005:$BO$1005,1,MATCH(COLUMNS($AN$1006:AQ1006),$AN$1006:$BO$1006,0))&gt;=100000), " ",IF(INDEX($AN$2:$BO$1001,MATCH(ROWS($AG$2:AG205),$AG$2:$AG$1001,0),MATCH(COLUMNS($AN$1006:AQ1006),$AN$1006:$BO$1006,0)), HYPERLINK("#",""), HYPERLINK(CONCATENATE("#Metadata!", ADDRESS(INDEX($AI$2:$AI$1001,MATCH(ROWS($AG$2:AG205),$AG$2:$AG$1001,0),0), INDEX($AN$1004:$BO$1004,1,MATCH(COLUMNS($AN$1006:AQ1006),$AN$1006:$BO$1006,0)))),"Fix")))</f>
        <v>0</v>
      </c>
      <c r="F205" s="4">
        <f>IF(OR(INDEX($AH$2:$AH$1001,MATCH(ROWS($AG$2:AG205),$AG$2:$AG$1001,0),1)&gt;=100000,INDEX($AN$1005:$BO$1005,1,MATCH(COLUMNS($AN$1006:AR1006),$AN$1006:$BO$1006,0))&gt;=100000), " ",IF(INDEX($AN$2:$BO$1001,MATCH(ROWS($AG$2:AG205),$AG$2:$AG$1001,0),MATCH(COLUMNS($AN$1006:AR1006),$AN$1006:$BO$1006,0)), HYPERLINK("#",""), HYPERLINK(CONCATENATE("#Metadata!", ADDRESS(INDEX($AI$2:$AI$1001,MATCH(ROWS($AG$2:AG205),$AG$2:$AG$1001,0),0), INDEX($AN$1004:$BO$1004,1,MATCH(COLUMNS($AN$1006:AR1006),$AN$1006:$BO$1006,0)))),"Fix")))</f>
        <v>0</v>
      </c>
      <c r="G205" s="4">
        <f>IF(OR(INDEX($AH$2:$AH$1001,MATCH(ROWS($AG$2:AG205),$AG$2:$AG$1001,0),1)&gt;=100000,INDEX($AN$1005:$BO$1005,1,MATCH(COLUMNS($AN$1006:AS1006),$AN$1006:$BO$1006,0))&gt;=100000), " ",IF(INDEX($AN$2:$BO$1001,MATCH(ROWS($AG$2:AG205),$AG$2:$AG$1001,0),MATCH(COLUMNS($AN$1006:AS1006),$AN$1006:$BO$1006,0)), HYPERLINK("#",""), HYPERLINK(CONCATENATE("#Metadata!", ADDRESS(INDEX($AI$2:$AI$1001,MATCH(ROWS($AG$2:AG205),$AG$2:$AG$1001,0),0), INDEX($AN$1004:$BO$1004,1,MATCH(COLUMNS($AN$1006:AS1006),$AN$1006:$BO$1006,0)))),"Fix")))</f>
        <v>0</v>
      </c>
      <c r="H205" s="4">
        <f>IF(OR(INDEX($AH$2:$AH$1001,MATCH(ROWS($AG$2:AG205),$AG$2:$AG$1001,0),1)&gt;=100000,INDEX($AN$1005:$BO$1005,1,MATCH(COLUMNS($AN$1006:AT1006),$AN$1006:$BO$1006,0))&gt;=100000), " ",IF(INDEX($AN$2:$BO$1001,MATCH(ROWS($AG$2:AG205),$AG$2:$AG$1001,0),MATCH(COLUMNS($AN$1006:AT1006),$AN$1006:$BO$1006,0)), HYPERLINK("#",""), HYPERLINK(CONCATENATE("#Metadata!", ADDRESS(INDEX($AI$2:$AI$1001,MATCH(ROWS($AG$2:AG205),$AG$2:$AG$1001,0),0), INDEX($AN$1004:$BO$1004,1,MATCH(COLUMNS($AN$1006:AT1006),$AN$1006:$BO$1006,0)))),"Fix")))</f>
        <v>0</v>
      </c>
      <c r="I205" s="4">
        <f>IF(OR(INDEX($AH$2:$AH$1001,MATCH(ROWS($AG$2:AG205),$AG$2:$AG$1001,0),1)&gt;=100000,INDEX($AN$1005:$BO$1005,1,MATCH(COLUMNS($AN$1006:AU1006),$AN$1006:$BO$1006,0))&gt;=100000), " ",IF(INDEX($AN$2:$BO$1001,MATCH(ROWS($AG$2:AG205),$AG$2:$AG$1001,0),MATCH(COLUMNS($AN$1006:AU1006),$AN$1006:$BO$1006,0)), HYPERLINK("#",""), HYPERLINK(CONCATENATE("#Metadata!", ADDRESS(INDEX($AI$2:$AI$1001,MATCH(ROWS($AG$2:AG205),$AG$2:$AG$1001,0),0), INDEX($AN$1004:$BO$1004,1,MATCH(COLUMNS($AN$1006:AU1006),$AN$1006:$BO$1006,0)))),"Fix")))</f>
        <v>0</v>
      </c>
      <c r="J205" s="4">
        <f>IF(OR(INDEX($AH$2:$AH$1001,MATCH(ROWS($AG$2:AG205),$AG$2:$AG$1001,0),1)&gt;=100000,INDEX($AN$1005:$BO$1005,1,MATCH(COLUMNS($AN$1006:AV1006),$AN$1006:$BO$1006,0))&gt;=100000), " ",IF(INDEX($AN$2:$BO$1001,MATCH(ROWS($AG$2:AG205),$AG$2:$AG$1001,0),MATCH(COLUMNS($AN$1006:AV1006),$AN$1006:$BO$1006,0)), HYPERLINK("#",""), HYPERLINK(CONCATENATE("#Metadata!", ADDRESS(INDEX($AI$2:$AI$1001,MATCH(ROWS($AG$2:AG205),$AG$2:$AG$1001,0),0), INDEX($AN$1004:$BO$1004,1,MATCH(COLUMNS($AN$1006:AV1006),$AN$1006:$BO$1006,0)))),"Fix")))</f>
        <v>0</v>
      </c>
      <c r="K205" s="4">
        <f>IF(OR(INDEX($AH$2:$AH$1001,MATCH(ROWS($AG$2:AG205),$AG$2:$AG$1001,0),1)&gt;=100000,INDEX($AN$1005:$BO$1005,1,MATCH(COLUMNS($AN$1006:AW1006),$AN$1006:$BO$1006,0))&gt;=100000), " ",IF(INDEX($AN$2:$BO$1001,MATCH(ROWS($AG$2:AG205),$AG$2:$AG$1001,0),MATCH(COLUMNS($AN$1006:AW1006),$AN$1006:$BO$1006,0)), HYPERLINK("#",""), HYPERLINK(CONCATENATE("#Metadata!", ADDRESS(INDEX($AI$2:$AI$1001,MATCH(ROWS($AG$2:AG205),$AG$2:$AG$1001,0),0), INDEX($AN$1004:$BO$1004,1,MATCH(COLUMNS($AN$1006:AW1006),$AN$1006:$BO$1006,0)))),"Fix")))</f>
        <v>0</v>
      </c>
      <c r="L205" s="4">
        <f>IF(OR(INDEX($AH$2:$AH$1001,MATCH(ROWS($AG$2:AG205),$AG$2:$AG$1001,0),1)&gt;=100000,INDEX($AN$1005:$BO$1005,1,MATCH(COLUMNS($AN$1006:AX1006),$AN$1006:$BO$1006,0))&gt;=100000), " ",IF(INDEX($AN$2:$BO$1001,MATCH(ROWS($AG$2:AG205),$AG$2:$AG$1001,0),MATCH(COLUMNS($AN$1006:AX1006),$AN$1006:$BO$1006,0)), HYPERLINK("#",""), HYPERLINK(CONCATENATE("#Metadata!", ADDRESS(INDEX($AI$2:$AI$1001,MATCH(ROWS($AG$2:AG205),$AG$2:$AG$1001,0),0), INDEX($AN$1004:$BO$1004,1,MATCH(COLUMNS($AN$1006:AX1006),$AN$1006:$BO$1006,0)))),"Fix")))</f>
        <v>0</v>
      </c>
      <c r="M205" s="4">
        <f>IF(OR(INDEX($AH$2:$AH$1001,MATCH(ROWS($AG$2:AG205),$AG$2:$AG$1001,0),1)&gt;=100000,INDEX($AN$1005:$BO$1005,1,MATCH(COLUMNS($AN$1006:AY1006),$AN$1006:$BO$1006,0))&gt;=100000), " ",IF(INDEX($AN$2:$BO$1001,MATCH(ROWS($AG$2:AG205),$AG$2:$AG$1001,0),MATCH(COLUMNS($AN$1006:AY1006),$AN$1006:$BO$1006,0)), HYPERLINK("#",""), HYPERLINK(CONCATENATE("#Metadata!", ADDRESS(INDEX($AI$2:$AI$1001,MATCH(ROWS($AG$2:AG205),$AG$2:$AG$1001,0),0), INDEX($AN$1004:$BO$1004,1,MATCH(COLUMNS($AN$1006:AY1006),$AN$1006:$BO$1006,0)))),"Fix")))</f>
        <v>0</v>
      </c>
      <c r="N205" s="4">
        <f>IF(OR(INDEX($AH$2:$AH$1001,MATCH(ROWS($AG$2:AG205),$AG$2:$AG$1001,0),1)&gt;=100000,INDEX($AN$1005:$BO$1005,1,MATCH(COLUMNS($AN$1006:AZ1006),$AN$1006:$BO$1006,0))&gt;=100000), " ",IF(INDEX($AN$2:$BO$1001,MATCH(ROWS($AG$2:AG205),$AG$2:$AG$1001,0),MATCH(COLUMNS($AN$1006:AZ1006),$AN$1006:$BO$1006,0)), HYPERLINK("#",""), HYPERLINK(CONCATENATE("#Metadata!", ADDRESS(INDEX($AI$2:$AI$1001,MATCH(ROWS($AG$2:AG205),$AG$2:$AG$1001,0),0), INDEX($AN$1004:$BO$1004,1,MATCH(COLUMNS($AN$1006:AZ1006),$AN$1006:$BO$1006,0)))),"Fix")))</f>
        <v>0</v>
      </c>
      <c r="O205" s="4">
        <f>IF(OR(INDEX($AH$2:$AH$1001,MATCH(ROWS($AG$2:AG205),$AG$2:$AG$1001,0),1)&gt;=100000,INDEX($AN$1005:$BO$1005,1,MATCH(COLUMNS($AN$1006:BA1006),$AN$1006:$BO$1006,0))&gt;=100000), " ",IF(INDEX($AN$2:$BO$1001,MATCH(ROWS($AG$2:AG205),$AG$2:$AG$1001,0),MATCH(COLUMNS($AN$1006:BA1006),$AN$1006:$BO$1006,0)), HYPERLINK("#",""), HYPERLINK(CONCATENATE("#Metadata!", ADDRESS(INDEX($AI$2:$AI$1001,MATCH(ROWS($AG$2:AG205),$AG$2:$AG$1001,0),0), INDEX($AN$1004:$BO$1004,1,MATCH(COLUMNS($AN$1006:BA1006),$AN$1006:$BO$1006,0)))),"Fix")))</f>
        <v>0</v>
      </c>
      <c r="P205" s="4">
        <f>IF(OR(INDEX($AH$2:$AH$1001,MATCH(ROWS($AG$2:AG205),$AG$2:$AG$1001,0),1)&gt;=100000,INDEX($AN$1005:$BO$1005,1,MATCH(COLUMNS($AN$1006:BB1006),$AN$1006:$BO$1006,0))&gt;=100000), " ",IF(INDEX($AN$2:$BO$1001,MATCH(ROWS($AG$2:AG205),$AG$2:$AG$1001,0),MATCH(COLUMNS($AN$1006:BB1006),$AN$1006:$BO$1006,0)), HYPERLINK("#",""), HYPERLINK(CONCATENATE("#Metadata!", ADDRESS(INDEX($AI$2:$AI$1001,MATCH(ROWS($AG$2:AG205),$AG$2:$AG$1001,0),0), INDEX($AN$1004:$BO$1004,1,MATCH(COLUMNS($AN$1006:BB1006),$AN$1006:$BO$1006,0)))),"Fix")))</f>
        <v>0</v>
      </c>
      <c r="Q205" s="4">
        <f>IF(OR(INDEX($AH$2:$AH$1001,MATCH(ROWS($AG$2:AG205),$AG$2:$AG$1001,0),1)&gt;=100000,INDEX($AN$1005:$BO$1005,1,MATCH(COLUMNS($AN$1006:BC1006),$AN$1006:$BO$1006,0))&gt;=100000), " ",IF(INDEX($AN$2:$BO$1001,MATCH(ROWS($AG$2:AG205),$AG$2:$AG$1001,0),MATCH(COLUMNS($AN$1006:BC1006),$AN$1006:$BO$1006,0)), HYPERLINK("#",""), HYPERLINK(CONCATENATE("#Metadata!", ADDRESS(INDEX($AI$2:$AI$1001,MATCH(ROWS($AG$2:AG205),$AG$2:$AG$1001,0),0), INDEX($AN$1004:$BO$1004,1,MATCH(COLUMNS($AN$1006:BC1006),$AN$1006:$BO$1006,0)))),"Fix")))</f>
        <v>0</v>
      </c>
      <c r="R205" s="4">
        <f>IF(OR(INDEX($AH$2:$AH$1001,MATCH(ROWS($AG$2:AG205),$AG$2:$AG$1001,0),1)&gt;=100000,INDEX($AN$1005:$BO$1005,1,MATCH(COLUMNS($AN$1006:BD1006),$AN$1006:$BO$1006,0))&gt;=100000), " ",IF(INDEX($AN$2:$BO$1001,MATCH(ROWS($AG$2:AG205),$AG$2:$AG$1001,0),MATCH(COLUMNS($AN$1006:BD1006),$AN$1006:$BO$1006,0)), HYPERLINK("#",""), HYPERLINK(CONCATENATE("#Metadata!", ADDRESS(INDEX($AI$2:$AI$1001,MATCH(ROWS($AG$2:AG205),$AG$2:$AG$1001,0),0), INDEX($AN$1004:$BO$1004,1,MATCH(COLUMNS($AN$1006:BD1006),$AN$1006:$BO$1006,0)))),"Fix")))</f>
        <v>0</v>
      </c>
      <c r="S205" s="4">
        <f>IF(OR(INDEX($AH$2:$AH$1001,MATCH(ROWS($AG$2:AG205),$AG$2:$AG$1001,0),1)&gt;=100000,INDEX($AN$1005:$BO$1005,1,MATCH(COLUMNS($AN$1006:BE1006),$AN$1006:$BO$1006,0))&gt;=100000), " ",IF(INDEX($AN$2:$BO$1001,MATCH(ROWS($AG$2:AG205),$AG$2:$AG$1001,0),MATCH(COLUMNS($AN$1006:BE1006),$AN$1006:$BO$1006,0)), HYPERLINK("#",""), HYPERLINK(CONCATENATE("#Metadata!", ADDRESS(INDEX($AI$2:$AI$1001,MATCH(ROWS($AG$2:AG205),$AG$2:$AG$1001,0),0), INDEX($AN$1004:$BO$1004,1,MATCH(COLUMNS($AN$1006:BE1006),$AN$1006:$BO$1006,0)))),"Fix")))</f>
        <v>0</v>
      </c>
      <c r="T205" s="4">
        <f>IF(OR(INDEX($AH$2:$AH$1001,MATCH(ROWS($AG$2:AG205),$AG$2:$AG$1001,0),1)&gt;=100000,INDEX($AN$1005:$BO$1005,1,MATCH(COLUMNS($AN$1006:BF1006),$AN$1006:$BO$1006,0))&gt;=100000), " ",IF(INDEX($AN$2:$BO$1001,MATCH(ROWS($AG$2:AG205),$AG$2:$AG$1001,0),MATCH(COLUMNS($AN$1006:BF1006),$AN$1006:$BO$1006,0)), HYPERLINK("#",""), HYPERLINK(CONCATENATE("#Metadata!", ADDRESS(INDEX($AI$2:$AI$1001,MATCH(ROWS($AG$2:AG205),$AG$2:$AG$1001,0),0), INDEX($AN$1004:$BO$1004,1,MATCH(COLUMNS($AN$1006:BF1006),$AN$1006:$BO$1006,0)))),"Fix")))</f>
        <v>0</v>
      </c>
      <c r="U205" s="4">
        <f>IF(OR(INDEX($AH$2:$AH$1001,MATCH(ROWS($AG$2:AG205),$AG$2:$AG$1001,0),1)&gt;=100000,INDEX($AN$1005:$BO$1005,1,MATCH(COLUMNS($AN$1006:BG1006),$AN$1006:$BO$1006,0))&gt;=100000), " ",IF(INDEX($AN$2:$BO$1001,MATCH(ROWS($AG$2:AG205),$AG$2:$AG$1001,0),MATCH(COLUMNS($AN$1006:BG1006),$AN$1006:$BO$1006,0)), HYPERLINK("#",""), HYPERLINK(CONCATENATE("#Metadata!", ADDRESS(INDEX($AI$2:$AI$1001,MATCH(ROWS($AG$2:AG205),$AG$2:$AG$1001,0),0), INDEX($AN$1004:$BO$1004,1,MATCH(COLUMNS($AN$1006:BG1006),$AN$1006:$BO$1006,0)))),"Fix")))</f>
        <v>0</v>
      </c>
      <c r="V205" s="4">
        <f>IF(OR(INDEX($AH$2:$AH$1001,MATCH(ROWS($AG$2:AG205),$AG$2:$AG$1001,0),1)&gt;=100000,INDEX($AN$1005:$BO$1005,1,MATCH(COLUMNS($AN$1006:BH1006),$AN$1006:$BO$1006,0))&gt;=100000), " ",IF(INDEX($AN$2:$BO$1001,MATCH(ROWS($AG$2:AG205),$AG$2:$AG$1001,0),MATCH(COLUMNS($AN$1006:BH1006),$AN$1006:$BO$1006,0)), HYPERLINK("#",""), HYPERLINK(CONCATENATE("#Metadata!", ADDRESS(INDEX($AI$2:$AI$1001,MATCH(ROWS($AG$2:AG205),$AG$2:$AG$1001,0),0), INDEX($AN$1004:$BO$1004,1,MATCH(COLUMNS($AN$1006:BH1006),$AN$1006:$BO$1006,0)))),"Fix")))</f>
        <v>0</v>
      </c>
      <c r="W205" s="4">
        <f>IF(OR(INDEX($AH$2:$AH$1001,MATCH(ROWS($AG$2:AG205),$AG$2:$AG$1001,0),1)&gt;=100000,INDEX($AN$1005:$BO$1005,1,MATCH(COLUMNS($AN$1006:BI1006),$AN$1006:$BO$1006,0))&gt;=100000), " ",IF(INDEX($AN$2:$BO$1001,MATCH(ROWS($AG$2:AG205),$AG$2:$AG$1001,0),MATCH(COLUMNS($AN$1006:BI1006),$AN$1006:$BO$1006,0)), HYPERLINK("#",""), HYPERLINK(CONCATENATE("#Metadata!", ADDRESS(INDEX($AI$2:$AI$1001,MATCH(ROWS($AG$2:AG205),$AG$2:$AG$1001,0),0), INDEX($AN$1004:$BO$1004,1,MATCH(COLUMNS($AN$1006:BI1006),$AN$1006:$BO$1006,0)))),"Fix")))</f>
        <v>0</v>
      </c>
      <c r="X205" s="4">
        <f>IF(OR(INDEX($AH$2:$AH$1001,MATCH(ROWS($AG$2:AG205),$AG$2:$AG$1001,0),1)&gt;=100000,INDEX($AN$1005:$BO$1005,1,MATCH(COLUMNS($AN$1006:BJ1006),$AN$1006:$BO$1006,0))&gt;=100000), " ",IF(INDEX($AN$2:$BO$1001,MATCH(ROWS($AG$2:AG205),$AG$2:$AG$1001,0),MATCH(COLUMNS($AN$1006:BJ1006),$AN$1006:$BO$1006,0)), HYPERLINK("#",""), HYPERLINK(CONCATENATE("#Metadata!", ADDRESS(INDEX($AI$2:$AI$1001,MATCH(ROWS($AG$2:AG205),$AG$2:$AG$1001,0),0), INDEX($AN$1004:$BO$1004,1,MATCH(COLUMNS($AN$1006:BJ1006),$AN$1006:$BO$1006,0)))),"Fix")))</f>
        <v>0</v>
      </c>
      <c r="Y205" s="4">
        <f>IF(OR(INDEX($AH$2:$AH$1001,MATCH(ROWS($AG$2:AG205),$AG$2:$AG$1001,0),1)&gt;=100000,INDEX($AN$1005:$BO$1005,1,MATCH(COLUMNS($AN$1006:BK1006),$AN$1006:$BO$1006,0))&gt;=100000), " ",IF(INDEX($AN$2:$BO$1001,MATCH(ROWS($AG$2:AG205),$AG$2:$AG$1001,0),MATCH(COLUMNS($AN$1006:BK1006),$AN$1006:$BO$1006,0)), HYPERLINK("#",""), HYPERLINK(CONCATENATE("#Metadata!", ADDRESS(INDEX($AI$2:$AI$1001,MATCH(ROWS($AG$2:AG205),$AG$2:$AG$1001,0),0), INDEX($AN$1004:$BO$1004,1,MATCH(COLUMNS($AN$1006:BK1006),$AN$1006:$BO$1006,0)))),"Fix")))</f>
        <v>0</v>
      </c>
      <c r="Z205" s="4">
        <f>IF(OR(INDEX($AH$2:$AH$1001,MATCH(ROWS($AG$2:AG205),$AG$2:$AG$1001,0),1)&gt;=100000,INDEX($AN$1005:$BO$1005,1,MATCH(COLUMNS($AN$1006:BL1006),$AN$1006:$BO$1006,0))&gt;=100000), " ",IF(INDEX($AN$2:$BO$1001,MATCH(ROWS($AG$2:AG205),$AG$2:$AG$1001,0),MATCH(COLUMNS($AN$1006:BL1006),$AN$1006:$BO$1006,0)), HYPERLINK("#",""), HYPERLINK(CONCATENATE("#Metadata!", ADDRESS(INDEX($AI$2:$AI$1001,MATCH(ROWS($AG$2:AG205),$AG$2:$AG$1001,0),0), INDEX($AN$1004:$BO$1004,1,MATCH(COLUMNS($AN$1006:BL1006),$AN$1006:$BO$1006,0)))),"Fix")))</f>
        <v>0</v>
      </c>
      <c r="AA205" s="4">
        <f>IF(OR(INDEX($AH$2:$AH$1001,MATCH(ROWS($AG$2:AG205),$AG$2:$AG$1001,0),1)&gt;=100000,INDEX($AN$1005:$BO$1005,1,MATCH(COLUMNS($AN$1006:BM1006),$AN$1006:$BO$1006,0))&gt;=100000), " ",IF(INDEX($AN$2:$BO$1001,MATCH(ROWS($AG$2:AG205),$AG$2:$AG$1001,0),MATCH(COLUMNS($AN$1006:BM1006),$AN$1006:$BO$1006,0)), HYPERLINK("#",""), HYPERLINK(CONCATENATE("#Metadata!", ADDRESS(INDEX($AI$2:$AI$1001,MATCH(ROWS($AG$2:AG205),$AG$2:$AG$1001,0),0), INDEX($AN$1004:$BO$1004,1,MATCH(COLUMNS($AN$1006:BM1006),$AN$1006:$BO$1006,0)))),"Fix")))</f>
        <v>0</v>
      </c>
      <c r="AB205" s="4">
        <f>IF(OR(INDEX($AH$2:$AH$1001,MATCH(ROWS($AG$2:AG205),$AG$2:$AG$1001,0),1)&gt;=100000,INDEX($AN$1005:$BO$1005,1,MATCH(COLUMNS($AN$1006:BN1006),$AN$1006:$BO$1006,0))&gt;=100000), " ",IF(INDEX($AN$2:$BO$1001,MATCH(ROWS($AG$2:AG205),$AG$2:$AG$1001,0),MATCH(COLUMNS($AN$1006:BN1006),$AN$1006:$BO$1006,0)), HYPERLINK("#",""), HYPERLINK(CONCATENATE("#Metadata!", ADDRESS(INDEX($AI$2:$AI$1001,MATCH(ROWS($AG$2:AG205),$AG$2:$AG$1001,0),0), INDEX($AN$1004:$BO$1004,1,MATCH(COLUMNS($AN$1006:BN1006),$AN$1006:$BO$1006,0)))),"Fix")))</f>
        <v>0</v>
      </c>
      <c r="AC205" s="4">
        <f>IF(OR(INDEX($AH$2:$AH$1001,MATCH(ROWS($AG$2:AG205),$AG$2:$AG$1001,0),1)&gt;=100000,INDEX($AN$1005:$BO$1005,1,MATCH(COLUMNS($AN$1006:BO1006),$AN$1006:$BO$1006,0))&gt;=100000), " ",IF(INDEX($AN$2:$BO$1001,MATCH(ROWS($AG$2:AG205),$AG$2:$AG$1001,0),MATCH(COLUMNS($AN$1006:BO1006),$AN$1006:$BO$1006,0)), HYPERLINK("#",""), HYPERLINK(CONCATENATE("#Metadata!", ADDRESS(INDEX($AI$2:$AI$1001,MATCH(ROWS($AG$2:AG205),$AG$2:$AG$1001,0),0), INDEX($AN$1004:$BO$1004,1,MATCH(COLUMNS($AN$1006:BO1006),$AN$1006:$BO$1006,0)))),"Fix")))</f>
        <v>0</v>
      </c>
      <c r="AG205">
        <v>0</v>
      </c>
      <c r="AH205">
        <v>0</v>
      </c>
      <c r="AI205">
        <v>0</v>
      </c>
      <c r="AJ205">
        <f>IF(AK205,TRUE,AND(AN205:BO205))</f>
        <v>0</v>
      </c>
      <c r="AK205">
        <f>COUNTBLANK(Metadata!B205:AC205)=COLUMNS(Metadata!B205:AC205)</f>
        <v>0</v>
      </c>
      <c r="AL205">
        <v>0</v>
      </c>
      <c r="AN205">
        <f>AND(IF(Metadata!B205="",FALSE,TRUE),COUNTIF(Metadata!B:B, Metadata!B205) = 1,NOT(ISERROR(SUMPRODUCT(SEARCH(MID(Metadata!B205,ROW(INDIRECT("1:"&amp;LEN(Metadata!B205))), 1),"0123456789abcdefghijklmnopqrstuvwxyzABCDEFGHIJKLMNOPQRSTUVWXYZ.")))))</f>
        <v>0</v>
      </c>
      <c r="AO205">
        <f>IF(Metadata!C205="",FALSE,TRUE)</f>
        <v>0</v>
      </c>
      <c r="AP205">
        <f>IF(Metadata!D205="",FALSE,TRUE)</f>
        <v>0</v>
      </c>
      <c r="AQ205">
        <f>OR(AND(IF(Metadata!E205="",FALSE,TRUE),OR(exact(Metadata!E205,"not collected"),exact(Metadata!E205,"not provided"),exact(Metadata!E205,"restricted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R205">
        <f>IF(Metadata!F205="",FALSE,TRUE)</f>
        <v>0</v>
      </c>
      <c r="AS205">
        <f>OR(AND(IF(Metadata!G205="",FALSE,TRUE),OR(exact(Metadata!G205,"not collected"),exact(Metadata!G205,"not provided"))),AND(IF(Metadata!G205="",FALSE,TRUE),OR(exact(Metadata!G205,"TRUE"),exact(Metadata!G205,"FALSE"))))</f>
        <v>0</v>
      </c>
      <c r="AT205">
        <f>OR(AND(IF(Metadata!H205="",FALSE,TRUE),OR(exact(Metadata!H205,"not collected"),exact(Metadata!H205,"not provided"),exact(Metadata!H205,"restricted access"))),AND(IF(Metadata!H205="",FALSE,ISNUMBER(VALUE(Metadata!H205))),Metadata!H205&gt;=-413.0))</f>
        <v>0</v>
      </c>
      <c r="AU205">
        <f>AND(IF(Metadata!I205="",FALSE,TRUE),exact(Metadata!I205,"meters"))</f>
        <v>0</v>
      </c>
      <c r="AV205">
        <f>AND(IF(Metadata!J205="",FALSE,TRUE),OR(exact(Metadata!J205,"Host-associated"),exact(Metadata!J205,"Free-living")))</f>
        <v>0</v>
      </c>
      <c r="AW205">
        <f>AND(IF(Metadata!K205="",FALSE,TRUE),OR(exact(Metadata!K205,"Animal"),exact(Metadata!K205,"Fungus"),exact(Metadata!K205,"Plant"),exact(Metadata!K205,"Saline"),exact(Metadata!K205,"Non-saline")))</f>
        <v>0</v>
      </c>
      <c r="AX205">
        <f>AND(IF(Metadata!L205="",FALSE,TRUE),OR(exact(Metadata!L205,"Plant secretion"),exact(Metadata!L205,"Plant rhizosphere"),exact(Metadata!L205,"Plant surface"),exact(Metadata!L205,"Plant corpus"),exact(Metadata!L205,"Fungus surface"),exact(Metadata!L205,"Fungus corpus"),exact(Metadata!L205,"Animal surface"),exact(Metadata!L205,"Animal proximal gut"),exact(Metadata!L205,"Animal corpus"),exact(Metadata!L205,"Animal distal gut"),exact(Metadata!L205,"Animal secretion"),exact(Metadata!L205,"Sub-surface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Y205">
        <f>IF(Metadata!M205="",FALSE,TRUE)</f>
        <v>0</v>
      </c>
      <c r="AZ205">
        <f>IF(Metadata!N205="",FALSE,TRUE)</f>
        <v>0</v>
      </c>
      <c r="BA205">
        <f>IF(Metadata!O205="",FALSE,TRUE)</f>
        <v>0</v>
      </c>
      <c r="BB205">
        <f>OR(AND(IF(Metadata!P205="",FALSE,TRUE),OR(exact(Metadata!P205,"not collected"),exact(Metadata!P205,"not provided"),exact(Metadata!P205,"restricted access"))),AND(IF(Metadata!P205="",FALSE,TRUE),OR(exact(Metadata!P205,"air"),exact(Metadata!P205,"built environment"),exact(Metadata!P205,"host-associated"),exact(Metadata!P205,"human-associated"),exact(Metadata!P205,"human-skin"),exact(Metadata!P205,"human-oral"),exact(Metadata!P205,"human-gut"),exact(Metadata!P205,"human-vaginal"),exact(Metadata!P205,"microbial mat/biofilm"),exact(Metadata!P205,"misc environment"),exact(Metadata!P205,"plant-associated"),exact(Metadata!P205,"sediment"),exact(Metadata!P205,"soil"),exact(Metadata!P205,"wastewater/sludge"),exact(Metadata!P205,"water"))))</f>
        <v>0</v>
      </c>
      <c r="BC205">
        <f>IF(Metadata!Q205="",FALSE,TRUE)</f>
        <v>0</v>
      </c>
      <c r="BD205">
        <f>IF(Metadata!R205="",FALSE,TRUE)</f>
        <v>0</v>
      </c>
      <c r="BE205">
        <f>OR(AND(IF(Metadata!S205="",FALSE,TRUE),OR(exact(Metadata!S205,"not collected"),exact(Metadata!S205,"not provided"),exact(Metadata!S205,"restricted access"))),AND(IF(Metadata!S205="",FALSE,ISNUMBER(VALUE(Metadata!S205))),Metadata!S205&gt;=-90.00,Metadata!S205&lt;=90.00))</f>
        <v>0</v>
      </c>
      <c r="BF205">
        <f>AND(IF(Metadata!T205="",FALSE,TRUE),exact(Metadata!T205,"Decimal degrees"))</f>
        <v>0</v>
      </c>
      <c r="BG205">
        <f>OR(AND(IF(Metadata!U205="",FALSE,TRUE),OR(exact(Metadata!U205,"not collected"),exact(Metadata!U205,"not provided"),exact(Metadata!U205,"restricted access"))),AND(IF(Metadata!U205="",FALSE,ISNUMBER(VALUE(Metadata!U205))),Metadata!U205&gt;=-180.00,Metadata!U205&lt;=180.00))</f>
        <v>0</v>
      </c>
      <c r="BH205">
        <f>AND(IF(Metadata!V205="",FALSE,TRUE),exact(Metadata!V205,"Decimal degrees"))</f>
        <v>0</v>
      </c>
      <c r="BI205">
        <f>IF(Metadata!W205="",FALSE,TRUE)</f>
        <v>0</v>
      </c>
      <c r="BJ205">
        <f>OR(AND(IF(Metadata!X205="",FALSE,TRUE),OR(exact(Metadata!X205,"not collected"),exact(Metadata!X205,"not provided"),exact(Metadata!X205,"restricted access"))),AND(IF(Metadata!X205="",FALSE,TRUE),OR(exact(Metadata!X205,"TRUE"),exact(Metadata!X205,"FALSE"))))</f>
        <v>0</v>
      </c>
      <c r="BK205">
        <f>AND(IF(Metadata!Y205="",FALSE,TRUE),exact(Metadata!Y205,"other"))</f>
        <v>0</v>
      </c>
      <c r="BL205">
        <f>IF(Metadata!Z205="",FALSE,TRUE)</f>
        <v>0</v>
      </c>
      <c r="BM205">
        <f>OR(AND(IF(Metadata!AA205="",FALSE,TRUE),OR(exact(Metadata!AA205,"not collected"),exact(Metadata!AA205,"not provided"))),AND(IF(Metadata!AA205="",FALSE,IF(ISERROR(INT(Metadata!AA205)),FALSE,INT(Metadata!AA205)=Metadata!AA205)),Metadata!AA205&gt;0))</f>
        <v>0</v>
      </c>
      <c r="BN205">
        <f>AND(IF(Metadata!AB205="",FALSE,TRUE),exact(Metadata!AB205,"Not applicable"))</f>
        <v>0</v>
      </c>
      <c r="BO205">
        <f>IF(Metadata!AC205="",FALSE,TRUE)</f>
        <v>0</v>
      </c>
    </row>
    <row r="206" spans="1:67">
      <c r="A206" s="5">
        <f>IF(B206=" "," ",HYPERLINK(CONCATENATE("#metadata!",ADDRESS(INDEX($AI$2:$AI$1001,MATCH(ROWS($AG$2:AG206),$AG$2:$AG$1001,0),0),1)),INDEX($AL$2:$AL$1001,MATCH(ROWS($AG$2:AG206),$AG$2:$AG$1001,0),0)))</f>
        <v>0</v>
      </c>
      <c r="B206" s="4">
        <f>IF(OR(INDEX($AH$2:$AH$1001,MATCH(ROWS($AG$2:AG206),$AG$2:$AG$1001,0),1)&gt;=100000,INDEX($AN$1005:$BO$1005,1,MATCH(COLUMNS($AN$1006:AN1006),$AN$1006:$BO$1006,0))&gt;=100000), " ",IF(INDEX($AN$2:$BO$1001,MATCH(ROWS($AG$2:AG206),$AG$2:$AG$1001,0),MATCH(COLUMNS($AN$1006:AN1006),$AN$1006:$BO$1006,0)), HYPERLINK("#",""), HYPERLINK(CONCATENATE("#Metadata!", ADDRESS(INDEX($AI$2:$AI$1001,MATCH(ROWS($AG$2:AG206),$AG$2:$AG$1001,0),0), INDEX($AN$1004:$BO$1004,1,MATCH(COLUMNS($AN$1006:AN1006),$AN$1006:$BO$1006,0)))),"Fix")))</f>
        <v>0</v>
      </c>
      <c r="C206" s="4">
        <f>IF(OR(INDEX($AH$2:$AH$1001,MATCH(ROWS($AG$2:AG206),$AG$2:$AG$1001,0),1)&gt;=100000,INDEX($AN$1005:$BO$1005,1,MATCH(COLUMNS($AN$1006:AO1006),$AN$1006:$BO$1006,0))&gt;=100000), " ",IF(INDEX($AN$2:$BO$1001,MATCH(ROWS($AG$2:AG206),$AG$2:$AG$1001,0),MATCH(COLUMNS($AN$1006:AO1006),$AN$1006:$BO$1006,0)), HYPERLINK("#",""), HYPERLINK(CONCATENATE("#Metadata!", ADDRESS(INDEX($AI$2:$AI$1001,MATCH(ROWS($AG$2:AG206),$AG$2:$AG$1001,0),0), INDEX($AN$1004:$BO$1004,1,MATCH(COLUMNS($AN$1006:AO1006),$AN$1006:$BO$1006,0)))),"Fix")))</f>
        <v>0</v>
      </c>
      <c r="D206" s="4">
        <f>IF(OR(INDEX($AH$2:$AH$1001,MATCH(ROWS($AG$2:AG206),$AG$2:$AG$1001,0),1)&gt;=100000,INDEX($AN$1005:$BO$1005,1,MATCH(COLUMNS($AN$1006:AP1006),$AN$1006:$BO$1006,0))&gt;=100000), " ",IF(INDEX($AN$2:$BO$1001,MATCH(ROWS($AG$2:AG206),$AG$2:$AG$1001,0),MATCH(COLUMNS($AN$1006:AP1006),$AN$1006:$BO$1006,0)), HYPERLINK("#",""), HYPERLINK(CONCATENATE("#Metadata!", ADDRESS(INDEX($AI$2:$AI$1001,MATCH(ROWS($AG$2:AG206),$AG$2:$AG$1001,0),0), INDEX($AN$1004:$BO$1004,1,MATCH(COLUMNS($AN$1006:AP1006),$AN$1006:$BO$1006,0)))),"Fix")))</f>
        <v>0</v>
      </c>
      <c r="E206" s="4">
        <f>IF(OR(INDEX($AH$2:$AH$1001,MATCH(ROWS($AG$2:AG206),$AG$2:$AG$1001,0),1)&gt;=100000,INDEX($AN$1005:$BO$1005,1,MATCH(COLUMNS($AN$1006:AQ1006),$AN$1006:$BO$1006,0))&gt;=100000), " ",IF(INDEX($AN$2:$BO$1001,MATCH(ROWS($AG$2:AG206),$AG$2:$AG$1001,0),MATCH(COLUMNS($AN$1006:AQ1006),$AN$1006:$BO$1006,0)), HYPERLINK("#",""), HYPERLINK(CONCATENATE("#Metadata!", ADDRESS(INDEX($AI$2:$AI$1001,MATCH(ROWS($AG$2:AG206),$AG$2:$AG$1001,0),0), INDEX($AN$1004:$BO$1004,1,MATCH(COLUMNS($AN$1006:AQ1006),$AN$1006:$BO$1006,0)))),"Fix")))</f>
        <v>0</v>
      </c>
      <c r="F206" s="4">
        <f>IF(OR(INDEX($AH$2:$AH$1001,MATCH(ROWS($AG$2:AG206),$AG$2:$AG$1001,0),1)&gt;=100000,INDEX($AN$1005:$BO$1005,1,MATCH(COLUMNS($AN$1006:AR1006),$AN$1006:$BO$1006,0))&gt;=100000), " ",IF(INDEX($AN$2:$BO$1001,MATCH(ROWS($AG$2:AG206),$AG$2:$AG$1001,0),MATCH(COLUMNS($AN$1006:AR1006),$AN$1006:$BO$1006,0)), HYPERLINK("#",""), HYPERLINK(CONCATENATE("#Metadata!", ADDRESS(INDEX($AI$2:$AI$1001,MATCH(ROWS($AG$2:AG206),$AG$2:$AG$1001,0),0), INDEX($AN$1004:$BO$1004,1,MATCH(COLUMNS($AN$1006:AR1006),$AN$1006:$BO$1006,0)))),"Fix")))</f>
        <v>0</v>
      </c>
      <c r="G206" s="4">
        <f>IF(OR(INDEX($AH$2:$AH$1001,MATCH(ROWS($AG$2:AG206),$AG$2:$AG$1001,0),1)&gt;=100000,INDEX($AN$1005:$BO$1005,1,MATCH(COLUMNS($AN$1006:AS1006),$AN$1006:$BO$1006,0))&gt;=100000), " ",IF(INDEX($AN$2:$BO$1001,MATCH(ROWS($AG$2:AG206),$AG$2:$AG$1001,0),MATCH(COLUMNS($AN$1006:AS1006),$AN$1006:$BO$1006,0)), HYPERLINK("#",""), HYPERLINK(CONCATENATE("#Metadata!", ADDRESS(INDEX($AI$2:$AI$1001,MATCH(ROWS($AG$2:AG206),$AG$2:$AG$1001,0),0), INDEX($AN$1004:$BO$1004,1,MATCH(COLUMNS($AN$1006:AS1006),$AN$1006:$BO$1006,0)))),"Fix")))</f>
        <v>0</v>
      </c>
      <c r="H206" s="4">
        <f>IF(OR(INDEX($AH$2:$AH$1001,MATCH(ROWS($AG$2:AG206),$AG$2:$AG$1001,0),1)&gt;=100000,INDEX($AN$1005:$BO$1005,1,MATCH(COLUMNS($AN$1006:AT1006),$AN$1006:$BO$1006,0))&gt;=100000), " ",IF(INDEX($AN$2:$BO$1001,MATCH(ROWS($AG$2:AG206),$AG$2:$AG$1001,0),MATCH(COLUMNS($AN$1006:AT1006),$AN$1006:$BO$1006,0)), HYPERLINK("#",""), HYPERLINK(CONCATENATE("#Metadata!", ADDRESS(INDEX($AI$2:$AI$1001,MATCH(ROWS($AG$2:AG206),$AG$2:$AG$1001,0),0), INDEX($AN$1004:$BO$1004,1,MATCH(COLUMNS($AN$1006:AT1006),$AN$1006:$BO$1006,0)))),"Fix")))</f>
        <v>0</v>
      </c>
      <c r="I206" s="4">
        <f>IF(OR(INDEX($AH$2:$AH$1001,MATCH(ROWS($AG$2:AG206),$AG$2:$AG$1001,0),1)&gt;=100000,INDEX($AN$1005:$BO$1005,1,MATCH(COLUMNS($AN$1006:AU1006),$AN$1006:$BO$1006,0))&gt;=100000), " ",IF(INDEX($AN$2:$BO$1001,MATCH(ROWS($AG$2:AG206),$AG$2:$AG$1001,0),MATCH(COLUMNS($AN$1006:AU1006),$AN$1006:$BO$1006,0)), HYPERLINK("#",""), HYPERLINK(CONCATENATE("#Metadata!", ADDRESS(INDEX($AI$2:$AI$1001,MATCH(ROWS($AG$2:AG206),$AG$2:$AG$1001,0),0), INDEX($AN$1004:$BO$1004,1,MATCH(COLUMNS($AN$1006:AU1006),$AN$1006:$BO$1006,0)))),"Fix")))</f>
        <v>0</v>
      </c>
      <c r="J206" s="4">
        <f>IF(OR(INDEX($AH$2:$AH$1001,MATCH(ROWS($AG$2:AG206),$AG$2:$AG$1001,0),1)&gt;=100000,INDEX($AN$1005:$BO$1005,1,MATCH(COLUMNS($AN$1006:AV1006),$AN$1006:$BO$1006,0))&gt;=100000), " ",IF(INDEX($AN$2:$BO$1001,MATCH(ROWS($AG$2:AG206),$AG$2:$AG$1001,0),MATCH(COLUMNS($AN$1006:AV1006),$AN$1006:$BO$1006,0)), HYPERLINK("#",""), HYPERLINK(CONCATENATE("#Metadata!", ADDRESS(INDEX($AI$2:$AI$1001,MATCH(ROWS($AG$2:AG206),$AG$2:$AG$1001,0),0), INDEX($AN$1004:$BO$1004,1,MATCH(COLUMNS($AN$1006:AV1006),$AN$1006:$BO$1006,0)))),"Fix")))</f>
        <v>0</v>
      </c>
      <c r="K206" s="4">
        <f>IF(OR(INDEX($AH$2:$AH$1001,MATCH(ROWS($AG$2:AG206),$AG$2:$AG$1001,0),1)&gt;=100000,INDEX($AN$1005:$BO$1005,1,MATCH(COLUMNS($AN$1006:AW1006),$AN$1006:$BO$1006,0))&gt;=100000), " ",IF(INDEX($AN$2:$BO$1001,MATCH(ROWS($AG$2:AG206),$AG$2:$AG$1001,0),MATCH(COLUMNS($AN$1006:AW1006),$AN$1006:$BO$1006,0)), HYPERLINK("#",""), HYPERLINK(CONCATENATE("#Metadata!", ADDRESS(INDEX($AI$2:$AI$1001,MATCH(ROWS($AG$2:AG206),$AG$2:$AG$1001,0),0), INDEX($AN$1004:$BO$1004,1,MATCH(COLUMNS($AN$1006:AW1006),$AN$1006:$BO$1006,0)))),"Fix")))</f>
        <v>0</v>
      </c>
      <c r="L206" s="4">
        <f>IF(OR(INDEX($AH$2:$AH$1001,MATCH(ROWS($AG$2:AG206),$AG$2:$AG$1001,0),1)&gt;=100000,INDEX($AN$1005:$BO$1005,1,MATCH(COLUMNS($AN$1006:AX1006),$AN$1006:$BO$1006,0))&gt;=100000), " ",IF(INDEX($AN$2:$BO$1001,MATCH(ROWS($AG$2:AG206),$AG$2:$AG$1001,0),MATCH(COLUMNS($AN$1006:AX1006),$AN$1006:$BO$1006,0)), HYPERLINK("#",""), HYPERLINK(CONCATENATE("#Metadata!", ADDRESS(INDEX($AI$2:$AI$1001,MATCH(ROWS($AG$2:AG206),$AG$2:$AG$1001,0),0), INDEX($AN$1004:$BO$1004,1,MATCH(COLUMNS($AN$1006:AX1006),$AN$1006:$BO$1006,0)))),"Fix")))</f>
        <v>0</v>
      </c>
      <c r="M206" s="4">
        <f>IF(OR(INDEX($AH$2:$AH$1001,MATCH(ROWS($AG$2:AG206),$AG$2:$AG$1001,0),1)&gt;=100000,INDEX($AN$1005:$BO$1005,1,MATCH(COLUMNS($AN$1006:AY1006),$AN$1006:$BO$1006,0))&gt;=100000), " ",IF(INDEX($AN$2:$BO$1001,MATCH(ROWS($AG$2:AG206),$AG$2:$AG$1001,0),MATCH(COLUMNS($AN$1006:AY1006),$AN$1006:$BO$1006,0)), HYPERLINK("#",""), HYPERLINK(CONCATENATE("#Metadata!", ADDRESS(INDEX($AI$2:$AI$1001,MATCH(ROWS($AG$2:AG206),$AG$2:$AG$1001,0),0), INDEX($AN$1004:$BO$1004,1,MATCH(COLUMNS($AN$1006:AY1006),$AN$1006:$BO$1006,0)))),"Fix")))</f>
        <v>0</v>
      </c>
      <c r="N206" s="4">
        <f>IF(OR(INDEX($AH$2:$AH$1001,MATCH(ROWS($AG$2:AG206),$AG$2:$AG$1001,0),1)&gt;=100000,INDEX($AN$1005:$BO$1005,1,MATCH(COLUMNS($AN$1006:AZ1006),$AN$1006:$BO$1006,0))&gt;=100000), " ",IF(INDEX($AN$2:$BO$1001,MATCH(ROWS($AG$2:AG206),$AG$2:$AG$1001,0),MATCH(COLUMNS($AN$1006:AZ1006),$AN$1006:$BO$1006,0)), HYPERLINK("#",""), HYPERLINK(CONCATENATE("#Metadata!", ADDRESS(INDEX($AI$2:$AI$1001,MATCH(ROWS($AG$2:AG206),$AG$2:$AG$1001,0),0), INDEX($AN$1004:$BO$1004,1,MATCH(COLUMNS($AN$1006:AZ1006),$AN$1006:$BO$1006,0)))),"Fix")))</f>
        <v>0</v>
      </c>
      <c r="O206" s="4">
        <f>IF(OR(INDEX($AH$2:$AH$1001,MATCH(ROWS($AG$2:AG206),$AG$2:$AG$1001,0),1)&gt;=100000,INDEX($AN$1005:$BO$1005,1,MATCH(COLUMNS($AN$1006:BA1006),$AN$1006:$BO$1006,0))&gt;=100000), " ",IF(INDEX($AN$2:$BO$1001,MATCH(ROWS($AG$2:AG206),$AG$2:$AG$1001,0),MATCH(COLUMNS($AN$1006:BA1006),$AN$1006:$BO$1006,0)), HYPERLINK("#",""), HYPERLINK(CONCATENATE("#Metadata!", ADDRESS(INDEX($AI$2:$AI$1001,MATCH(ROWS($AG$2:AG206),$AG$2:$AG$1001,0),0), INDEX($AN$1004:$BO$1004,1,MATCH(COLUMNS($AN$1006:BA1006),$AN$1006:$BO$1006,0)))),"Fix")))</f>
        <v>0</v>
      </c>
      <c r="P206" s="4">
        <f>IF(OR(INDEX($AH$2:$AH$1001,MATCH(ROWS($AG$2:AG206),$AG$2:$AG$1001,0),1)&gt;=100000,INDEX($AN$1005:$BO$1005,1,MATCH(COLUMNS($AN$1006:BB1006),$AN$1006:$BO$1006,0))&gt;=100000), " ",IF(INDEX($AN$2:$BO$1001,MATCH(ROWS($AG$2:AG206),$AG$2:$AG$1001,0),MATCH(COLUMNS($AN$1006:BB1006),$AN$1006:$BO$1006,0)), HYPERLINK("#",""), HYPERLINK(CONCATENATE("#Metadata!", ADDRESS(INDEX($AI$2:$AI$1001,MATCH(ROWS($AG$2:AG206),$AG$2:$AG$1001,0),0), INDEX($AN$1004:$BO$1004,1,MATCH(COLUMNS($AN$1006:BB1006),$AN$1006:$BO$1006,0)))),"Fix")))</f>
        <v>0</v>
      </c>
      <c r="Q206" s="4">
        <f>IF(OR(INDEX($AH$2:$AH$1001,MATCH(ROWS($AG$2:AG206),$AG$2:$AG$1001,0),1)&gt;=100000,INDEX($AN$1005:$BO$1005,1,MATCH(COLUMNS($AN$1006:BC1006),$AN$1006:$BO$1006,0))&gt;=100000), " ",IF(INDEX($AN$2:$BO$1001,MATCH(ROWS($AG$2:AG206),$AG$2:$AG$1001,0),MATCH(COLUMNS($AN$1006:BC1006),$AN$1006:$BO$1006,0)), HYPERLINK("#",""), HYPERLINK(CONCATENATE("#Metadata!", ADDRESS(INDEX($AI$2:$AI$1001,MATCH(ROWS($AG$2:AG206),$AG$2:$AG$1001,0),0), INDEX($AN$1004:$BO$1004,1,MATCH(COLUMNS($AN$1006:BC1006),$AN$1006:$BO$1006,0)))),"Fix")))</f>
        <v>0</v>
      </c>
      <c r="R206" s="4">
        <f>IF(OR(INDEX($AH$2:$AH$1001,MATCH(ROWS($AG$2:AG206),$AG$2:$AG$1001,0),1)&gt;=100000,INDEX($AN$1005:$BO$1005,1,MATCH(COLUMNS($AN$1006:BD1006),$AN$1006:$BO$1006,0))&gt;=100000), " ",IF(INDEX($AN$2:$BO$1001,MATCH(ROWS($AG$2:AG206),$AG$2:$AG$1001,0),MATCH(COLUMNS($AN$1006:BD1006),$AN$1006:$BO$1006,0)), HYPERLINK("#",""), HYPERLINK(CONCATENATE("#Metadata!", ADDRESS(INDEX($AI$2:$AI$1001,MATCH(ROWS($AG$2:AG206),$AG$2:$AG$1001,0),0), INDEX($AN$1004:$BO$1004,1,MATCH(COLUMNS($AN$1006:BD1006),$AN$1006:$BO$1006,0)))),"Fix")))</f>
        <v>0</v>
      </c>
      <c r="S206" s="4">
        <f>IF(OR(INDEX($AH$2:$AH$1001,MATCH(ROWS($AG$2:AG206),$AG$2:$AG$1001,0),1)&gt;=100000,INDEX($AN$1005:$BO$1005,1,MATCH(COLUMNS($AN$1006:BE1006),$AN$1006:$BO$1006,0))&gt;=100000), " ",IF(INDEX($AN$2:$BO$1001,MATCH(ROWS($AG$2:AG206),$AG$2:$AG$1001,0),MATCH(COLUMNS($AN$1006:BE1006),$AN$1006:$BO$1006,0)), HYPERLINK("#",""), HYPERLINK(CONCATENATE("#Metadata!", ADDRESS(INDEX($AI$2:$AI$1001,MATCH(ROWS($AG$2:AG206),$AG$2:$AG$1001,0),0), INDEX($AN$1004:$BO$1004,1,MATCH(COLUMNS($AN$1006:BE1006),$AN$1006:$BO$1006,0)))),"Fix")))</f>
        <v>0</v>
      </c>
      <c r="T206" s="4">
        <f>IF(OR(INDEX($AH$2:$AH$1001,MATCH(ROWS($AG$2:AG206),$AG$2:$AG$1001,0),1)&gt;=100000,INDEX($AN$1005:$BO$1005,1,MATCH(COLUMNS($AN$1006:BF1006),$AN$1006:$BO$1006,0))&gt;=100000), " ",IF(INDEX($AN$2:$BO$1001,MATCH(ROWS($AG$2:AG206),$AG$2:$AG$1001,0),MATCH(COLUMNS($AN$1006:BF1006),$AN$1006:$BO$1006,0)), HYPERLINK("#",""), HYPERLINK(CONCATENATE("#Metadata!", ADDRESS(INDEX($AI$2:$AI$1001,MATCH(ROWS($AG$2:AG206),$AG$2:$AG$1001,0),0), INDEX($AN$1004:$BO$1004,1,MATCH(COLUMNS($AN$1006:BF1006),$AN$1006:$BO$1006,0)))),"Fix")))</f>
        <v>0</v>
      </c>
      <c r="U206" s="4">
        <f>IF(OR(INDEX($AH$2:$AH$1001,MATCH(ROWS($AG$2:AG206),$AG$2:$AG$1001,0),1)&gt;=100000,INDEX($AN$1005:$BO$1005,1,MATCH(COLUMNS($AN$1006:BG1006),$AN$1006:$BO$1006,0))&gt;=100000), " ",IF(INDEX($AN$2:$BO$1001,MATCH(ROWS($AG$2:AG206),$AG$2:$AG$1001,0),MATCH(COLUMNS($AN$1006:BG1006),$AN$1006:$BO$1006,0)), HYPERLINK("#",""), HYPERLINK(CONCATENATE("#Metadata!", ADDRESS(INDEX($AI$2:$AI$1001,MATCH(ROWS($AG$2:AG206),$AG$2:$AG$1001,0),0), INDEX($AN$1004:$BO$1004,1,MATCH(COLUMNS($AN$1006:BG1006),$AN$1006:$BO$1006,0)))),"Fix")))</f>
        <v>0</v>
      </c>
      <c r="V206" s="4">
        <f>IF(OR(INDEX($AH$2:$AH$1001,MATCH(ROWS($AG$2:AG206),$AG$2:$AG$1001,0),1)&gt;=100000,INDEX($AN$1005:$BO$1005,1,MATCH(COLUMNS($AN$1006:BH1006),$AN$1006:$BO$1006,0))&gt;=100000), " ",IF(INDEX($AN$2:$BO$1001,MATCH(ROWS($AG$2:AG206),$AG$2:$AG$1001,0),MATCH(COLUMNS($AN$1006:BH1006),$AN$1006:$BO$1006,0)), HYPERLINK("#",""), HYPERLINK(CONCATENATE("#Metadata!", ADDRESS(INDEX($AI$2:$AI$1001,MATCH(ROWS($AG$2:AG206),$AG$2:$AG$1001,0),0), INDEX($AN$1004:$BO$1004,1,MATCH(COLUMNS($AN$1006:BH1006),$AN$1006:$BO$1006,0)))),"Fix")))</f>
        <v>0</v>
      </c>
      <c r="W206" s="4">
        <f>IF(OR(INDEX($AH$2:$AH$1001,MATCH(ROWS($AG$2:AG206),$AG$2:$AG$1001,0),1)&gt;=100000,INDEX($AN$1005:$BO$1005,1,MATCH(COLUMNS($AN$1006:BI1006),$AN$1006:$BO$1006,0))&gt;=100000), " ",IF(INDEX($AN$2:$BO$1001,MATCH(ROWS($AG$2:AG206),$AG$2:$AG$1001,0),MATCH(COLUMNS($AN$1006:BI1006),$AN$1006:$BO$1006,0)), HYPERLINK("#",""), HYPERLINK(CONCATENATE("#Metadata!", ADDRESS(INDEX($AI$2:$AI$1001,MATCH(ROWS($AG$2:AG206),$AG$2:$AG$1001,0),0), INDEX($AN$1004:$BO$1004,1,MATCH(COLUMNS($AN$1006:BI1006),$AN$1006:$BO$1006,0)))),"Fix")))</f>
        <v>0</v>
      </c>
      <c r="X206" s="4">
        <f>IF(OR(INDEX($AH$2:$AH$1001,MATCH(ROWS($AG$2:AG206),$AG$2:$AG$1001,0),1)&gt;=100000,INDEX($AN$1005:$BO$1005,1,MATCH(COLUMNS($AN$1006:BJ1006),$AN$1006:$BO$1006,0))&gt;=100000), " ",IF(INDEX($AN$2:$BO$1001,MATCH(ROWS($AG$2:AG206),$AG$2:$AG$1001,0),MATCH(COLUMNS($AN$1006:BJ1006),$AN$1006:$BO$1006,0)), HYPERLINK("#",""), HYPERLINK(CONCATENATE("#Metadata!", ADDRESS(INDEX($AI$2:$AI$1001,MATCH(ROWS($AG$2:AG206),$AG$2:$AG$1001,0),0), INDEX($AN$1004:$BO$1004,1,MATCH(COLUMNS($AN$1006:BJ1006),$AN$1006:$BO$1006,0)))),"Fix")))</f>
        <v>0</v>
      </c>
      <c r="Y206" s="4">
        <f>IF(OR(INDEX($AH$2:$AH$1001,MATCH(ROWS($AG$2:AG206),$AG$2:$AG$1001,0),1)&gt;=100000,INDEX($AN$1005:$BO$1005,1,MATCH(COLUMNS($AN$1006:BK1006),$AN$1006:$BO$1006,0))&gt;=100000), " ",IF(INDEX($AN$2:$BO$1001,MATCH(ROWS($AG$2:AG206),$AG$2:$AG$1001,0),MATCH(COLUMNS($AN$1006:BK1006),$AN$1006:$BO$1006,0)), HYPERLINK("#",""), HYPERLINK(CONCATENATE("#Metadata!", ADDRESS(INDEX($AI$2:$AI$1001,MATCH(ROWS($AG$2:AG206),$AG$2:$AG$1001,0),0), INDEX($AN$1004:$BO$1004,1,MATCH(COLUMNS($AN$1006:BK1006),$AN$1006:$BO$1006,0)))),"Fix")))</f>
        <v>0</v>
      </c>
      <c r="Z206" s="4">
        <f>IF(OR(INDEX($AH$2:$AH$1001,MATCH(ROWS($AG$2:AG206),$AG$2:$AG$1001,0),1)&gt;=100000,INDEX($AN$1005:$BO$1005,1,MATCH(COLUMNS($AN$1006:BL1006),$AN$1006:$BO$1006,0))&gt;=100000), " ",IF(INDEX($AN$2:$BO$1001,MATCH(ROWS($AG$2:AG206),$AG$2:$AG$1001,0),MATCH(COLUMNS($AN$1006:BL1006),$AN$1006:$BO$1006,0)), HYPERLINK("#",""), HYPERLINK(CONCATENATE("#Metadata!", ADDRESS(INDEX($AI$2:$AI$1001,MATCH(ROWS($AG$2:AG206),$AG$2:$AG$1001,0),0), INDEX($AN$1004:$BO$1004,1,MATCH(COLUMNS($AN$1006:BL1006),$AN$1006:$BO$1006,0)))),"Fix")))</f>
        <v>0</v>
      </c>
      <c r="AA206" s="4">
        <f>IF(OR(INDEX($AH$2:$AH$1001,MATCH(ROWS($AG$2:AG206),$AG$2:$AG$1001,0),1)&gt;=100000,INDEX($AN$1005:$BO$1005,1,MATCH(COLUMNS($AN$1006:BM1006),$AN$1006:$BO$1006,0))&gt;=100000), " ",IF(INDEX($AN$2:$BO$1001,MATCH(ROWS($AG$2:AG206),$AG$2:$AG$1001,0),MATCH(COLUMNS($AN$1006:BM1006),$AN$1006:$BO$1006,0)), HYPERLINK("#",""), HYPERLINK(CONCATENATE("#Metadata!", ADDRESS(INDEX($AI$2:$AI$1001,MATCH(ROWS($AG$2:AG206),$AG$2:$AG$1001,0),0), INDEX($AN$1004:$BO$1004,1,MATCH(COLUMNS($AN$1006:BM1006),$AN$1006:$BO$1006,0)))),"Fix")))</f>
        <v>0</v>
      </c>
      <c r="AB206" s="4">
        <f>IF(OR(INDEX($AH$2:$AH$1001,MATCH(ROWS($AG$2:AG206),$AG$2:$AG$1001,0),1)&gt;=100000,INDEX($AN$1005:$BO$1005,1,MATCH(COLUMNS($AN$1006:BN1006),$AN$1006:$BO$1006,0))&gt;=100000), " ",IF(INDEX($AN$2:$BO$1001,MATCH(ROWS($AG$2:AG206),$AG$2:$AG$1001,0),MATCH(COLUMNS($AN$1006:BN1006),$AN$1006:$BO$1006,0)), HYPERLINK("#",""), HYPERLINK(CONCATENATE("#Metadata!", ADDRESS(INDEX($AI$2:$AI$1001,MATCH(ROWS($AG$2:AG206),$AG$2:$AG$1001,0),0), INDEX($AN$1004:$BO$1004,1,MATCH(COLUMNS($AN$1006:BN1006),$AN$1006:$BO$1006,0)))),"Fix")))</f>
        <v>0</v>
      </c>
      <c r="AC206" s="4">
        <f>IF(OR(INDEX($AH$2:$AH$1001,MATCH(ROWS($AG$2:AG206),$AG$2:$AG$1001,0),1)&gt;=100000,INDEX($AN$1005:$BO$1005,1,MATCH(COLUMNS($AN$1006:BO1006),$AN$1006:$BO$1006,0))&gt;=100000), " ",IF(INDEX($AN$2:$BO$1001,MATCH(ROWS($AG$2:AG206),$AG$2:$AG$1001,0),MATCH(COLUMNS($AN$1006:BO1006),$AN$1006:$BO$1006,0)), HYPERLINK("#",""), HYPERLINK(CONCATENATE("#Metadata!", ADDRESS(INDEX($AI$2:$AI$1001,MATCH(ROWS($AG$2:AG206),$AG$2:$AG$1001,0),0), INDEX($AN$1004:$BO$1004,1,MATCH(COLUMNS($AN$1006:BO1006),$AN$1006:$BO$1006,0)))),"Fix")))</f>
        <v>0</v>
      </c>
      <c r="AG206">
        <v>0</v>
      </c>
      <c r="AH206">
        <v>0</v>
      </c>
      <c r="AI206">
        <v>0</v>
      </c>
      <c r="AJ206">
        <f>IF(AK206,TRUE,AND(AN206:BO206))</f>
        <v>0</v>
      </c>
      <c r="AK206">
        <f>COUNTBLANK(Metadata!B206:AC206)=COLUMNS(Metadata!B206:AC206)</f>
        <v>0</v>
      </c>
      <c r="AL206">
        <v>0</v>
      </c>
      <c r="AN206">
        <f>AND(IF(Metadata!B206="",FALSE,TRUE),COUNTIF(Metadata!B:B, Metadata!B206) = 1,NOT(ISERROR(SUMPRODUCT(SEARCH(MID(Metadata!B206,ROW(INDIRECT("1:"&amp;LEN(Metadata!B206))), 1),"0123456789abcdefghijklmnopqrstuvwxyzABCDEFGHIJKLMNOPQRSTUVWXYZ.")))))</f>
        <v>0</v>
      </c>
      <c r="AO206">
        <f>IF(Metadata!C206="",FALSE,TRUE)</f>
        <v>0</v>
      </c>
      <c r="AP206">
        <f>IF(Metadata!D206="",FALSE,TRUE)</f>
        <v>0</v>
      </c>
      <c r="AQ206">
        <f>OR(AND(IF(Metadata!E206="",FALSE,TRUE),OR(exact(Metadata!E206,"not collected"),exact(Metadata!E206,"not provided"),exact(Metadata!E206,"restricted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R206">
        <f>IF(Metadata!F206="",FALSE,TRUE)</f>
        <v>0</v>
      </c>
      <c r="AS206">
        <f>OR(AND(IF(Metadata!G206="",FALSE,TRUE),OR(exact(Metadata!G206,"not collected"),exact(Metadata!G206,"not provided"))),AND(IF(Metadata!G206="",FALSE,TRUE),OR(exact(Metadata!G206,"TRUE"),exact(Metadata!G206,"FALSE"))))</f>
        <v>0</v>
      </c>
      <c r="AT206">
        <f>OR(AND(IF(Metadata!H206="",FALSE,TRUE),OR(exact(Metadata!H206,"not collected"),exact(Metadata!H206,"not provided"),exact(Metadata!H206,"restricted access"))),AND(IF(Metadata!H206="",FALSE,ISNUMBER(VALUE(Metadata!H206))),Metadata!H206&gt;=-413.0))</f>
        <v>0</v>
      </c>
      <c r="AU206">
        <f>AND(IF(Metadata!I206="",FALSE,TRUE),exact(Metadata!I206,"meters"))</f>
        <v>0</v>
      </c>
      <c r="AV206">
        <f>AND(IF(Metadata!J206="",FALSE,TRUE),OR(exact(Metadata!J206,"Host-associated"),exact(Metadata!J206,"Free-living")))</f>
        <v>0</v>
      </c>
      <c r="AW206">
        <f>AND(IF(Metadata!K206="",FALSE,TRUE),OR(exact(Metadata!K206,"Animal"),exact(Metadata!K206,"Fungus"),exact(Metadata!K206,"Plant"),exact(Metadata!K206,"Saline"),exact(Metadata!K206,"Non-saline")))</f>
        <v>0</v>
      </c>
      <c r="AX206">
        <f>AND(IF(Metadata!L206="",FALSE,TRUE),OR(exact(Metadata!L206,"Plant secretion"),exact(Metadata!L206,"Plant rhizosphere"),exact(Metadata!L206,"Plant surface"),exact(Metadata!L206,"Plant corpus"),exact(Metadata!L206,"Fungus surface"),exact(Metadata!L206,"Fungus corpus"),exact(Metadata!L206,"Animal surface"),exact(Metadata!L206,"Animal proximal gut"),exact(Metadata!L206,"Animal corpus"),exact(Metadata!L206,"Animal distal gut"),exact(Metadata!L206,"Animal secretion"),exact(Metadata!L206,"Sub-surface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Y206">
        <f>IF(Metadata!M206="",FALSE,TRUE)</f>
        <v>0</v>
      </c>
      <c r="AZ206">
        <f>IF(Metadata!N206="",FALSE,TRUE)</f>
        <v>0</v>
      </c>
      <c r="BA206">
        <f>IF(Metadata!O206="",FALSE,TRUE)</f>
        <v>0</v>
      </c>
      <c r="BB206">
        <f>OR(AND(IF(Metadata!P206="",FALSE,TRUE),OR(exact(Metadata!P206,"not collected"),exact(Metadata!P206,"not provided"),exact(Metadata!P206,"restricted access"))),AND(IF(Metadata!P206="",FALSE,TRUE),OR(exact(Metadata!P206,"air"),exact(Metadata!P206,"built environment"),exact(Metadata!P206,"host-associated"),exact(Metadata!P206,"human-associated"),exact(Metadata!P206,"human-skin"),exact(Metadata!P206,"human-oral"),exact(Metadata!P206,"human-gut"),exact(Metadata!P206,"human-vaginal"),exact(Metadata!P206,"microbial mat/biofilm"),exact(Metadata!P206,"misc environment"),exact(Metadata!P206,"plant-associated"),exact(Metadata!P206,"sediment"),exact(Metadata!P206,"soil"),exact(Metadata!P206,"wastewater/sludge"),exact(Metadata!P206,"water"))))</f>
        <v>0</v>
      </c>
      <c r="BC206">
        <f>IF(Metadata!Q206="",FALSE,TRUE)</f>
        <v>0</v>
      </c>
      <c r="BD206">
        <f>IF(Metadata!R206="",FALSE,TRUE)</f>
        <v>0</v>
      </c>
      <c r="BE206">
        <f>OR(AND(IF(Metadata!S206="",FALSE,TRUE),OR(exact(Metadata!S206,"not collected"),exact(Metadata!S206,"not provided"),exact(Metadata!S206,"restricted access"))),AND(IF(Metadata!S206="",FALSE,ISNUMBER(VALUE(Metadata!S206))),Metadata!S206&gt;=-90.00,Metadata!S206&lt;=90.00))</f>
        <v>0</v>
      </c>
      <c r="BF206">
        <f>AND(IF(Metadata!T206="",FALSE,TRUE),exact(Metadata!T206,"Decimal degrees"))</f>
        <v>0</v>
      </c>
      <c r="BG206">
        <f>OR(AND(IF(Metadata!U206="",FALSE,TRUE),OR(exact(Metadata!U206,"not collected"),exact(Metadata!U206,"not provided"),exact(Metadata!U206,"restricted access"))),AND(IF(Metadata!U206="",FALSE,ISNUMBER(VALUE(Metadata!U206))),Metadata!U206&gt;=-180.00,Metadata!U206&lt;=180.00))</f>
        <v>0</v>
      </c>
      <c r="BH206">
        <f>AND(IF(Metadata!V206="",FALSE,TRUE),exact(Metadata!V206,"Decimal degrees"))</f>
        <v>0</v>
      </c>
      <c r="BI206">
        <f>IF(Metadata!W206="",FALSE,TRUE)</f>
        <v>0</v>
      </c>
      <c r="BJ206">
        <f>OR(AND(IF(Metadata!X206="",FALSE,TRUE),OR(exact(Metadata!X206,"not collected"),exact(Metadata!X206,"not provided"),exact(Metadata!X206,"restricted access"))),AND(IF(Metadata!X206="",FALSE,TRUE),OR(exact(Metadata!X206,"TRUE"),exact(Metadata!X206,"FALSE"))))</f>
        <v>0</v>
      </c>
      <c r="BK206">
        <f>AND(IF(Metadata!Y206="",FALSE,TRUE),exact(Metadata!Y206,"other"))</f>
        <v>0</v>
      </c>
      <c r="BL206">
        <f>IF(Metadata!Z206="",FALSE,TRUE)</f>
        <v>0</v>
      </c>
      <c r="BM206">
        <f>OR(AND(IF(Metadata!AA206="",FALSE,TRUE),OR(exact(Metadata!AA206,"not collected"),exact(Metadata!AA206,"not provided"))),AND(IF(Metadata!AA206="",FALSE,IF(ISERROR(INT(Metadata!AA206)),FALSE,INT(Metadata!AA206)=Metadata!AA206)),Metadata!AA206&gt;0))</f>
        <v>0</v>
      </c>
      <c r="BN206">
        <f>AND(IF(Metadata!AB206="",FALSE,TRUE),exact(Metadata!AB206,"Not applicable"))</f>
        <v>0</v>
      </c>
      <c r="BO206">
        <f>IF(Metadata!AC206="",FALSE,TRUE)</f>
        <v>0</v>
      </c>
    </row>
    <row r="207" spans="1:67">
      <c r="A207" s="5">
        <f>IF(B207=" "," ",HYPERLINK(CONCATENATE("#metadata!",ADDRESS(INDEX($AI$2:$AI$1001,MATCH(ROWS($AG$2:AG207),$AG$2:$AG$1001,0),0),1)),INDEX($AL$2:$AL$1001,MATCH(ROWS($AG$2:AG207),$AG$2:$AG$1001,0),0)))</f>
        <v>0</v>
      </c>
      <c r="B207" s="4">
        <f>IF(OR(INDEX($AH$2:$AH$1001,MATCH(ROWS($AG$2:AG207),$AG$2:$AG$1001,0),1)&gt;=100000,INDEX($AN$1005:$BO$1005,1,MATCH(COLUMNS($AN$1006:AN1006),$AN$1006:$BO$1006,0))&gt;=100000), " ",IF(INDEX($AN$2:$BO$1001,MATCH(ROWS($AG$2:AG207),$AG$2:$AG$1001,0),MATCH(COLUMNS($AN$1006:AN1006),$AN$1006:$BO$1006,0)), HYPERLINK("#",""), HYPERLINK(CONCATENATE("#Metadata!", ADDRESS(INDEX($AI$2:$AI$1001,MATCH(ROWS($AG$2:AG207),$AG$2:$AG$1001,0),0), INDEX($AN$1004:$BO$1004,1,MATCH(COLUMNS($AN$1006:AN1006),$AN$1006:$BO$1006,0)))),"Fix")))</f>
        <v>0</v>
      </c>
      <c r="C207" s="4">
        <f>IF(OR(INDEX($AH$2:$AH$1001,MATCH(ROWS($AG$2:AG207),$AG$2:$AG$1001,0),1)&gt;=100000,INDEX($AN$1005:$BO$1005,1,MATCH(COLUMNS($AN$1006:AO1006),$AN$1006:$BO$1006,0))&gt;=100000), " ",IF(INDEX($AN$2:$BO$1001,MATCH(ROWS($AG$2:AG207),$AG$2:$AG$1001,0),MATCH(COLUMNS($AN$1006:AO1006),$AN$1006:$BO$1006,0)), HYPERLINK("#",""), HYPERLINK(CONCATENATE("#Metadata!", ADDRESS(INDEX($AI$2:$AI$1001,MATCH(ROWS($AG$2:AG207),$AG$2:$AG$1001,0),0), INDEX($AN$1004:$BO$1004,1,MATCH(COLUMNS($AN$1006:AO1006),$AN$1006:$BO$1006,0)))),"Fix")))</f>
        <v>0</v>
      </c>
      <c r="D207" s="4">
        <f>IF(OR(INDEX($AH$2:$AH$1001,MATCH(ROWS($AG$2:AG207),$AG$2:$AG$1001,0),1)&gt;=100000,INDEX($AN$1005:$BO$1005,1,MATCH(COLUMNS($AN$1006:AP1006),$AN$1006:$BO$1006,0))&gt;=100000), " ",IF(INDEX($AN$2:$BO$1001,MATCH(ROWS($AG$2:AG207),$AG$2:$AG$1001,0),MATCH(COLUMNS($AN$1006:AP1006),$AN$1006:$BO$1006,0)), HYPERLINK("#",""), HYPERLINK(CONCATENATE("#Metadata!", ADDRESS(INDEX($AI$2:$AI$1001,MATCH(ROWS($AG$2:AG207),$AG$2:$AG$1001,0),0), INDEX($AN$1004:$BO$1004,1,MATCH(COLUMNS($AN$1006:AP1006),$AN$1006:$BO$1006,0)))),"Fix")))</f>
        <v>0</v>
      </c>
      <c r="E207" s="4">
        <f>IF(OR(INDEX($AH$2:$AH$1001,MATCH(ROWS($AG$2:AG207),$AG$2:$AG$1001,0),1)&gt;=100000,INDEX($AN$1005:$BO$1005,1,MATCH(COLUMNS($AN$1006:AQ1006),$AN$1006:$BO$1006,0))&gt;=100000), " ",IF(INDEX($AN$2:$BO$1001,MATCH(ROWS($AG$2:AG207),$AG$2:$AG$1001,0),MATCH(COLUMNS($AN$1006:AQ1006),$AN$1006:$BO$1006,0)), HYPERLINK("#",""), HYPERLINK(CONCATENATE("#Metadata!", ADDRESS(INDEX($AI$2:$AI$1001,MATCH(ROWS($AG$2:AG207),$AG$2:$AG$1001,0),0), INDEX($AN$1004:$BO$1004,1,MATCH(COLUMNS($AN$1006:AQ1006),$AN$1006:$BO$1006,0)))),"Fix")))</f>
        <v>0</v>
      </c>
      <c r="F207" s="4">
        <f>IF(OR(INDEX($AH$2:$AH$1001,MATCH(ROWS($AG$2:AG207),$AG$2:$AG$1001,0),1)&gt;=100000,INDEX($AN$1005:$BO$1005,1,MATCH(COLUMNS($AN$1006:AR1006),$AN$1006:$BO$1006,0))&gt;=100000), " ",IF(INDEX($AN$2:$BO$1001,MATCH(ROWS($AG$2:AG207),$AG$2:$AG$1001,0),MATCH(COLUMNS($AN$1006:AR1006),$AN$1006:$BO$1006,0)), HYPERLINK("#",""), HYPERLINK(CONCATENATE("#Metadata!", ADDRESS(INDEX($AI$2:$AI$1001,MATCH(ROWS($AG$2:AG207),$AG$2:$AG$1001,0),0), INDEX($AN$1004:$BO$1004,1,MATCH(COLUMNS($AN$1006:AR1006),$AN$1006:$BO$1006,0)))),"Fix")))</f>
        <v>0</v>
      </c>
      <c r="G207" s="4">
        <f>IF(OR(INDEX($AH$2:$AH$1001,MATCH(ROWS($AG$2:AG207),$AG$2:$AG$1001,0),1)&gt;=100000,INDEX($AN$1005:$BO$1005,1,MATCH(COLUMNS($AN$1006:AS1006),$AN$1006:$BO$1006,0))&gt;=100000), " ",IF(INDEX($AN$2:$BO$1001,MATCH(ROWS($AG$2:AG207),$AG$2:$AG$1001,0),MATCH(COLUMNS($AN$1006:AS1006),$AN$1006:$BO$1006,0)), HYPERLINK("#",""), HYPERLINK(CONCATENATE("#Metadata!", ADDRESS(INDEX($AI$2:$AI$1001,MATCH(ROWS($AG$2:AG207),$AG$2:$AG$1001,0),0), INDEX($AN$1004:$BO$1004,1,MATCH(COLUMNS($AN$1006:AS1006),$AN$1006:$BO$1006,0)))),"Fix")))</f>
        <v>0</v>
      </c>
      <c r="H207" s="4">
        <f>IF(OR(INDEX($AH$2:$AH$1001,MATCH(ROWS($AG$2:AG207),$AG$2:$AG$1001,0),1)&gt;=100000,INDEX($AN$1005:$BO$1005,1,MATCH(COLUMNS($AN$1006:AT1006),$AN$1006:$BO$1006,0))&gt;=100000), " ",IF(INDEX($AN$2:$BO$1001,MATCH(ROWS($AG$2:AG207),$AG$2:$AG$1001,0),MATCH(COLUMNS($AN$1006:AT1006),$AN$1006:$BO$1006,0)), HYPERLINK("#",""), HYPERLINK(CONCATENATE("#Metadata!", ADDRESS(INDEX($AI$2:$AI$1001,MATCH(ROWS($AG$2:AG207),$AG$2:$AG$1001,0),0), INDEX($AN$1004:$BO$1004,1,MATCH(COLUMNS($AN$1006:AT1006),$AN$1006:$BO$1006,0)))),"Fix")))</f>
        <v>0</v>
      </c>
      <c r="I207" s="4">
        <f>IF(OR(INDEX($AH$2:$AH$1001,MATCH(ROWS($AG$2:AG207),$AG$2:$AG$1001,0),1)&gt;=100000,INDEX($AN$1005:$BO$1005,1,MATCH(COLUMNS($AN$1006:AU1006),$AN$1006:$BO$1006,0))&gt;=100000), " ",IF(INDEX($AN$2:$BO$1001,MATCH(ROWS($AG$2:AG207),$AG$2:$AG$1001,0),MATCH(COLUMNS($AN$1006:AU1006),$AN$1006:$BO$1006,0)), HYPERLINK("#",""), HYPERLINK(CONCATENATE("#Metadata!", ADDRESS(INDEX($AI$2:$AI$1001,MATCH(ROWS($AG$2:AG207),$AG$2:$AG$1001,0),0), INDEX($AN$1004:$BO$1004,1,MATCH(COLUMNS($AN$1006:AU1006),$AN$1006:$BO$1006,0)))),"Fix")))</f>
        <v>0</v>
      </c>
      <c r="J207" s="4">
        <f>IF(OR(INDEX($AH$2:$AH$1001,MATCH(ROWS($AG$2:AG207),$AG$2:$AG$1001,0),1)&gt;=100000,INDEX($AN$1005:$BO$1005,1,MATCH(COLUMNS($AN$1006:AV1006),$AN$1006:$BO$1006,0))&gt;=100000), " ",IF(INDEX($AN$2:$BO$1001,MATCH(ROWS($AG$2:AG207),$AG$2:$AG$1001,0),MATCH(COLUMNS($AN$1006:AV1006),$AN$1006:$BO$1006,0)), HYPERLINK("#",""), HYPERLINK(CONCATENATE("#Metadata!", ADDRESS(INDEX($AI$2:$AI$1001,MATCH(ROWS($AG$2:AG207),$AG$2:$AG$1001,0),0), INDEX($AN$1004:$BO$1004,1,MATCH(COLUMNS($AN$1006:AV1006),$AN$1006:$BO$1006,0)))),"Fix")))</f>
        <v>0</v>
      </c>
      <c r="K207" s="4">
        <f>IF(OR(INDEX($AH$2:$AH$1001,MATCH(ROWS($AG$2:AG207),$AG$2:$AG$1001,0),1)&gt;=100000,INDEX($AN$1005:$BO$1005,1,MATCH(COLUMNS($AN$1006:AW1006),$AN$1006:$BO$1006,0))&gt;=100000), " ",IF(INDEX($AN$2:$BO$1001,MATCH(ROWS($AG$2:AG207),$AG$2:$AG$1001,0),MATCH(COLUMNS($AN$1006:AW1006),$AN$1006:$BO$1006,0)), HYPERLINK("#",""), HYPERLINK(CONCATENATE("#Metadata!", ADDRESS(INDEX($AI$2:$AI$1001,MATCH(ROWS($AG$2:AG207),$AG$2:$AG$1001,0),0), INDEX($AN$1004:$BO$1004,1,MATCH(COLUMNS($AN$1006:AW1006),$AN$1006:$BO$1006,0)))),"Fix")))</f>
        <v>0</v>
      </c>
      <c r="L207" s="4">
        <f>IF(OR(INDEX($AH$2:$AH$1001,MATCH(ROWS($AG$2:AG207),$AG$2:$AG$1001,0),1)&gt;=100000,INDEX($AN$1005:$BO$1005,1,MATCH(COLUMNS($AN$1006:AX1006),$AN$1006:$BO$1006,0))&gt;=100000), " ",IF(INDEX($AN$2:$BO$1001,MATCH(ROWS($AG$2:AG207),$AG$2:$AG$1001,0),MATCH(COLUMNS($AN$1006:AX1006),$AN$1006:$BO$1006,0)), HYPERLINK("#",""), HYPERLINK(CONCATENATE("#Metadata!", ADDRESS(INDEX($AI$2:$AI$1001,MATCH(ROWS($AG$2:AG207),$AG$2:$AG$1001,0),0), INDEX($AN$1004:$BO$1004,1,MATCH(COLUMNS($AN$1006:AX1006),$AN$1006:$BO$1006,0)))),"Fix")))</f>
        <v>0</v>
      </c>
      <c r="M207" s="4">
        <f>IF(OR(INDEX($AH$2:$AH$1001,MATCH(ROWS($AG$2:AG207),$AG$2:$AG$1001,0),1)&gt;=100000,INDEX($AN$1005:$BO$1005,1,MATCH(COLUMNS($AN$1006:AY1006),$AN$1006:$BO$1006,0))&gt;=100000), " ",IF(INDEX($AN$2:$BO$1001,MATCH(ROWS($AG$2:AG207),$AG$2:$AG$1001,0),MATCH(COLUMNS($AN$1006:AY1006),$AN$1006:$BO$1006,0)), HYPERLINK("#",""), HYPERLINK(CONCATENATE("#Metadata!", ADDRESS(INDEX($AI$2:$AI$1001,MATCH(ROWS($AG$2:AG207),$AG$2:$AG$1001,0),0), INDEX($AN$1004:$BO$1004,1,MATCH(COLUMNS($AN$1006:AY1006),$AN$1006:$BO$1006,0)))),"Fix")))</f>
        <v>0</v>
      </c>
      <c r="N207" s="4">
        <f>IF(OR(INDEX($AH$2:$AH$1001,MATCH(ROWS($AG$2:AG207),$AG$2:$AG$1001,0),1)&gt;=100000,INDEX($AN$1005:$BO$1005,1,MATCH(COLUMNS($AN$1006:AZ1006),$AN$1006:$BO$1006,0))&gt;=100000), " ",IF(INDEX($AN$2:$BO$1001,MATCH(ROWS($AG$2:AG207),$AG$2:$AG$1001,0),MATCH(COLUMNS($AN$1006:AZ1006),$AN$1006:$BO$1006,0)), HYPERLINK("#",""), HYPERLINK(CONCATENATE("#Metadata!", ADDRESS(INDEX($AI$2:$AI$1001,MATCH(ROWS($AG$2:AG207),$AG$2:$AG$1001,0),0), INDEX($AN$1004:$BO$1004,1,MATCH(COLUMNS($AN$1006:AZ1006),$AN$1006:$BO$1006,0)))),"Fix")))</f>
        <v>0</v>
      </c>
      <c r="O207" s="4">
        <f>IF(OR(INDEX($AH$2:$AH$1001,MATCH(ROWS($AG$2:AG207),$AG$2:$AG$1001,0),1)&gt;=100000,INDEX($AN$1005:$BO$1005,1,MATCH(COLUMNS($AN$1006:BA1006),$AN$1006:$BO$1006,0))&gt;=100000), " ",IF(INDEX($AN$2:$BO$1001,MATCH(ROWS($AG$2:AG207),$AG$2:$AG$1001,0),MATCH(COLUMNS($AN$1006:BA1006),$AN$1006:$BO$1006,0)), HYPERLINK("#",""), HYPERLINK(CONCATENATE("#Metadata!", ADDRESS(INDEX($AI$2:$AI$1001,MATCH(ROWS($AG$2:AG207),$AG$2:$AG$1001,0),0), INDEX($AN$1004:$BO$1004,1,MATCH(COLUMNS($AN$1006:BA1006),$AN$1006:$BO$1006,0)))),"Fix")))</f>
        <v>0</v>
      </c>
      <c r="P207" s="4">
        <f>IF(OR(INDEX($AH$2:$AH$1001,MATCH(ROWS($AG$2:AG207),$AG$2:$AG$1001,0),1)&gt;=100000,INDEX($AN$1005:$BO$1005,1,MATCH(COLUMNS($AN$1006:BB1006),$AN$1006:$BO$1006,0))&gt;=100000), " ",IF(INDEX($AN$2:$BO$1001,MATCH(ROWS($AG$2:AG207),$AG$2:$AG$1001,0),MATCH(COLUMNS($AN$1006:BB1006),$AN$1006:$BO$1006,0)), HYPERLINK("#",""), HYPERLINK(CONCATENATE("#Metadata!", ADDRESS(INDEX($AI$2:$AI$1001,MATCH(ROWS($AG$2:AG207),$AG$2:$AG$1001,0),0), INDEX($AN$1004:$BO$1004,1,MATCH(COLUMNS($AN$1006:BB1006),$AN$1006:$BO$1006,0)))),"Fix")))</f>
        <v>0</v>
      </c>
      <c r="Q207" s="4">
        <f>IF(OR(INDEX($AH$2:$AH$1001,MATCH(ROWS($AG$2:AG207),$AG$2:$AG$1001,0),1)&gt;=100000,INDEX($AN$1005:$BO$1005,1,MATCH(COLUMNS($AN$1006:BC1006),$AN$1006:$BO$1006,0))&gt;=100000), " ",IF(INDEX($AN$2:$BO$1001,MATCH(ROWS($AG$2:AG207),$AG$2:$AG$1001,0),MATCH(COLUMNS($AN$1006:BC1006),$AN$1006:$BO$1006,0)), HYPERLINK("#",""), HYPERLINK(CONCATENATE("#Metadata!", ADDRESS(INDEX($AI$2:$AI$1001,MATCH(ROWS($AG$2:AG207),$AG$2:$AG$1001,0),0), INDEX($AN$1004:$BO$1004,1,MATCH(COLUMNS($AN$1006:BC1006),$AN$1006:$BO$1006,0)))),"Fix")))</f>
        <v>0</v>
      </c>
      <c r="R207" s="4">
        <f>IF(OR(INDEX($AH$2:$AH$1001,MATCH(ROWS($AG$2:AG207),$AG$2:$AG$1001,0),1)&gt;=100000,INDEX($AN$1005:$BO$1005,1,MATCH(COLUMNS($AN$1006:BD1006),$AN$1006:$BO$1006,0))&gt;=100000), " ",IF(INDEX($AN$2:$BO$1001,MATCH(ROWS($AG$2:AG207),$AG$2:$AG$1001,0),MATCH(COLUMNS($AN$1006:BD1006),$AN$1006:$BO$1006,0)), HYPERLINK("#",""), HYPERLINK(CONCATENATE("#Metadata!", ADDRESS(INDEX($AI$2:$AI$1001,MATCH(ROWS($AG$2:AG207),$AG$2:$AG$1001,0),0), INDEX($AN$1004:$BO$1004,1,MATCH(COLUMNS($AN$1006:BD1006),$AN$1006:$BO$1006,0)))),"Fix")))</f>
        <v>0</v>
      </c>
      <c r="S207" s="4">
        <f>IF(OR(INDEX($AH$2:$AH$1001,MATCH(ROWS($AG$2:AG207),$AG$2:$AG$1001,0),1)&gt;=100000,INDEX($AN$1005:$BO$1005,1,MATCH(COLUMNS($AN$1006:BE1006),$AN$1006:$BO$1006,0))&gt;=100000), " ",IF(INDEX($AN$2:$BO$1001,MATCH(ROWS($AG$2:AG207),$AG$2:$AG$1001,0),MATCH(COLUMNS($AN$1006:BE1006),$AN$1006:$BO$1006,0)), HYPERLINK("#",""), HYPERLINK(CONCATENATE("#Metadata!", ADDRESS(INDEX($AI$2:$AI$1001,MATCH(ROWS($AG$2:AG207),$AG$2:$AG$1001,0),0), INDEX($AN$1004:$BO$1004,1,MATCH(COLUMNS($AN$1006:BE1006),$AN$1006:$BO$1006,0)))),"Fix")))</f>
        <v>0</v>
      </c>
      <c r="T207" s="4">
        <f>IF(OR(INDEX($AH$2:$AH$1001,MATCH(ROWS($AG$2:AG207),$AG$2:$AG$1001,0),1)&gt;=100000,INDEX($AN$1005:$BO$1005,1,MATCH(COLUMNS($AN$1006:BF1006),$AN$1006:$BO$1006,0))&gt;=100000), " ",IF(INDEX($AN$2:$BO$1001,MATCH(ROWS($AG$2:AG207),$AG$2:$AG$1001,0),MATCH(COLUMNS($AN$1006:BF1006),$AN$1006:$BO$1006,0)), HYPERLINK("#",""), HYPERLINK(CONCATENATE("#Metadata!", ADDRESS(INDEX($AI$2:$AI$1001,MATCH(ROWS($AG$2:AG207),$AG$2:$AG$1001,0),0), INDEX($AN$1004:$BO$1004,1,MATCH(COLUMNS($AN$1006:BF1006),$AN$1006:$BO$1006,0)))),"Fix")))</f>
        <v>0</v>
      </c>
      <c r="U207" s="4">
        <f>IF(OR(INDEX($AH$2:$AH$1001,MATCH(ROWS($AG$2:AG207),$AG$2:$AG$1001,0),1)&gt;=100000,INDEX($AN$1005:$BO$1005,1,MATCH(COLUMNS($AN$1006:BG1006),$AN$1006:$BO$1006,0))&gt;=100000), " ",IF(INDEX($AN$2:$BO$1001,MATCH(ROWS($AG$2:AG207),$AG$2:$AG$1001,0),MATCH(COLUMNS($AN$1006:BG1006),$AN$1006:$BO$1006,0)), HYPERLINK("#",""), HYPERLINK(CONCATENATE("#Metadata!", ADDRESS(INDEX($AI$2:$AI$1001,MATCH(ROWS($AG$2:AG207),$AG$2:$AG$1001,0),0), INDEX($AN$1004:$BO$1004,1,MATCH(COLUMNS($AN$1006:BG1006),$AN$1006:$BO$1006,0)))),"Fix")))</f>
        <v>0</v>
      </c>
      <c r="V207" s="4">
        <f>IF(OR(INDEX($AH$2:$AH$1001,MATCH(ROWS($AG$2:AG207),$AG$2:$AG$1001,0),1)&gt;=100000,INDEX($AN$1005:$BO$1005,1,MATCH(COLUMNS($AN$1006:BH1006),$AN$1006:$BO$1006,0))&gt;=100000), " ",IF(INDEX($AN$2:$BO$1001,MATCH(ROWS($AG$2:AG207),$AG$2:$AG$1001,0),MATCH(COLUMNS($AN$1006:BH1006),$AN$1006:$BO$1006,0)), HYPERLINK("#",""), HYPERLINK(CONCATENATE("#Metadata!", ADDRESS(INDEX($AI$2:$AI$1001,MATCH(ROWS($AG$2:AG207),$AG$2:$AG$1001,0),0), INDEX($AN$1004:$BO$1004,1,MATCH(COLUMNS($AN$1006:BH1006),$AN$1006:$BO$1006,0)))),"Fix")))</f>
        <v>0</v>
      </c>
      <c r="W207" s="4">
        <f>IF(OR(INDEX($AH$2:$AH$1001,MATCH(ROWS($AG$2:AG207),$AG$2:$AG$1001,0),1)&gt;=100000,INDEX($AN$1005:$BO$1005,1,MATCH(COLUMNS($AN$1006:BI1006),$AN$1006:$BO$1006,0))&gt;=100000), " ",IF(INDEX($AN$2:$BO$1001,MATCH(ROWS($AG$2:AG207),$AG$2:$AG$1001,0),MATCH(COLUMNS($AN$1006:BI1006),$AN$1006:$BO$1006,0)), HYPERLINK("#",""), HYPERLINK(CONCATENATE("#Metadata!", ADDRESS(INDEX($AI$2:$AI$1001,MATCH(ROWS($AG$2:AG207),$AG$2:$AG$1001,0),0), INDEX($AN$1004:$BO$1004,1,MATCH(COLUMNS($AN$1006:BI1006),$AN$1006:$BO$1006,0)))),"Fix")))</f>
        <v>0</v>
      </c>
      <c r="X207" s="4">
        <f>IF(OR(INDEX($AH$2:$AH$1001,MATCH(ROWS($AG$2:AG207),$AG$2:$AG$1001,0),1)&gt;=100000,INDEX($AN$1005:$BO$1005,1,MATCH(COLUMNS($AN$1006:BJ1006),$AN$1006:$BO$1006,0))&gt;=100000), " ",IF(INDEX($AN$2:$BO$1001,MATCH(ROWS($AG$2:AG207),$AG$2:$AG$1001,0),MATCH(COLUMNS($AN$1006:BJ1006),$AN$1006:$BO$1006,0)), HYPERLINK("#",""), HYPERLINK(CONCATENATE("#Metadata!", ADDRESS(INDEX($AI$2:$AI$1001,MATCH(ROWS($AG$2:AG207),$AG$2:$AG$1001,0),0), INDEX($AN$1004:$BO$1004,1,MATCH(COLUMNS($AN$1006:BJ1006),$AN$1006:$BO$1006,0)))),"Fix")))</f>
        <v>0</v>
      </c>
      <c r="Y207" s="4">
        <f>IF(OR(INDEX($AH$2:$AH$1001,MATCH(ROWS($AG$2:AG207),$AG$2:$AG$1001,0),1)&gt;=100000,INDEX($AN$1005:$BO$1005,1,MATCH(COLUMNS($AN$1006:BK1006),$AN$1006:$BO$1006,0))&gt;=100000), " ",IF(INDEX($AN$2:$BO$1001,MATCH(ROWS($AG$2:AG207),$AG$2:$AG$1001,0),MATCH(COLUMNS($AN$1006:BK1006),$AN$1006:$BO$1006,0)), HYPERLINK("#",""), HYPERLINK(CONCATENATE("#Metadata!", ADDRESS(INDEX($AI$2:$AI$1001,MATCH(ROWS($AG$2:AG207),$AG$2:$AG$1001,0),0), INDEX($AN$1004:$BO$1004,1,MATCH(COLUMNS($AN$1006:BK1006),$AN$1006:$BO$1006,0)))),"Fix")))</f>
        <v>0</v>
      </c>
      <c r="Z207" s="4">
        <f>IF(OR(INDEX($AH$2:$AH$1001,MATCH(ROWS($AG$2:AG207),$AG$2:$AG$1001,0),1)&gt;=100000,INDEX($AN$1005:$BO$1005,1,MATCH(COLUMNS($AN$1006:BL1006),$AN$1006:$BO$1006,0))&gt;=100000), " ",IF(INDEX($AN$2:$BO$1001,MATCH(ROWS($AG$2:AG207),$AG$2:$AG$1001,0),MATCH(COLUMNS($AN$1006:BL1006),$AN$1006:$BO$1006,0)), HYPERLINK("#",""), HYPERLINK(CONCATENATE("#Metadata!", ADDRESS(INDEX($AI$2:$AI$1001,MATCH(ROWS($AG$2:AG207),$AG$2:$AG$1001,0),0), INDEX($AN$1004:$BO$1004,1,MATCH(COLUMNS($AN$1006:BL1006),$AN$1006:$BO$1006,0)))),"Fix")))</f>
        <v>0</v>
      </c>
      <c r="AA207" s="4">
        <f>IF(OR(INDEX($AH$2:$AH$1001,MATCH(ROWS($AG$2:AG207),$AG$2:$AG$1001,0),1)&gt;=100000,INDEX($AN$1005:$BO$1005,1,MATCH(COLUMNS($AN$1006:BM1006),$AN$1006:$BO$1006,0))&gt;=100000), " ",IF(INDEX($AN$2:$BO$1001,MATCH(ROWS($AG$2:AG207),$AG$2:$AG$1001,0),MATCH(COLUMNS($AN$1006:BM1006),$AN$1006:$BO$1006,0)), HYPERLINK("#",""), HYPERLINK(CONCATENATE("#Metadata!", ADDRESS(INDEX($AI$2:$AI$1001,MATCH(ROWS($AG$2:AG207),$AG$2:$AG$1001,0),0), INDEX($AN$1004:$BO$1004,1,MATCH(COLUMNS($AN$1006:BM1006),$AN$1006:$BO$1006,0)))),"Fix")))</f>
        <v>0</v>
      </c>
      <c r="AB207" s="4">
        <f>IF(OR(INDEX($AH$2:$AH$1001,MATCH(ROWS($AG$2:AG207),$AG$2:$AG$1001,0),1)&gt;=100000,INDEX($AN$1005:$BO$1005,1,MATCH(COLUMNS($AN$1006:BN1006),$AN$1006:$BO$1006,0))&gt;=100000), " ",IF(INDEX($AN$2:$BO$1001,MATCH(ROWS($AG$2:AG207),$AG$2:$AG$1001,0),MATCH(COLUMNS($AN$1006:BN1006),$AN$1006:$BO$1006,0)), HYPERLINK("#",""), HYPERLINK(CONCATENATE("#Metadata!", ADDRESS(INDEX($AI$2:$AI$1001,MATCH(ROWS($AG$2:AG207),$AG$2:$AG$1001,0),0), INDEX($AN$1004:$BO$1004,1,MATCH(COLUMNS($AN$1006:BN1006),$AN$1006:$BO$1006,0)))),"Fix")))</f>
        <v>0</v>
      </c>
      <c r="AC207" s="4">
        <f>IF(OR(INDEX($AH$2:$AH$1001,MATCH(ROWS($AG$2:AG207),$AG$2:$AG$1001,0),1)&gt;=100000,INDEX($AN$1005:$BO$1005,1,MATCH(COLUMNS($AN$1006:BO1006),$AN$1006:$BO$1006,0))&gt;=100000), " ",IF(INDEX($AN$2:$BO$1001,MATCH(ROWS($AG$2:AG207),$AG$2:$AG$1001,0),MATCH(COLUMNS($AN$1006:BO1006),$AN$1006:$BO$1006,0)), HYPERLINK("#",""), HYPERLINK(CONCATENATE("#Metadata!", ADDRESS(INDEX($AI$2:$AI$1001,MATCH(ROWS($AG$2:AG207),$AG$2:$AG$1001,0),0), INDEX($AN$1004:$BO$1004,1,MATCH(COLUMNS($AN$1006:BO1006),$AN$1006:$BO$1006,0)))),"Fix")))</f>
        <v>0</v>
      </c>
      <c r="AG207">
        <v>0</v>
      </c>
      <c r="AH207">
        <v>0</v>
      </c>
      <c r="AI207">
        <v>0</v>
      </c>
      <c r="AJ207">
        <f>IF(AK207,TRUE,AND(AN207:BO207))</f>
        <v>0</v>
      </c>
      <c r="AK207">
        <f>COUNTBLANK(Metadata!B207:AC207)=COLUMNS(Metadata!B207:AC207)</f>
        <v>0</v>
      </c>
      <c r="AL207">
        <v>0</v>
      </c>
      <c r="AN207">
        <f>AND(IF(Metadata!B207="",FALSE,TRUE),COUNTIF(Metadata!B:B, Metadata!B207) = 1,NOT(ISERROR(SUMPRODUCT(SEARCH(MID(Metadata!B207,ROW(INDIRECT("1:"&amp;LEN(Metadata!B207))), 1),"0123456789abcdefghijklmnopqrstuvwxyzABCDEFGHIJKLMNOPQRSTUVWXYZ.")))))</f>
        <v>0</v>
      </c>
      <c r="AO207">
        <f>IF(Metadata!C207="",FALSE,TRUE)</f>
        <v>0</v>
      </c>
      <c r="AP207">
        <f>IF(Metadata!D207="",FALSE,TRUE)</f>
        <v>0</v>
      </c>
      <c r="AQ207">
        <f>OR(AND(IF(Metadata!E207="",FALSE,TRUE),OR(exact(Metadata!E207,"not collected"),exact(Metadata!E207,"not provided"),exact(Metadata!E207,"restricted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R207">
        <f>IF(Metadata!F207="",FALSE,TRUE)</f>
        <v>0</v>
      </c>
      <c r="AS207">
        <f>OR(AND(IF(Metadata!G207="",FALSE,TRUE),OR(exact(Metadata!G207,"not collected"),exact(Metadata!G207,"not provided"))),AND(IF(Metadata!G207="",FALSE,TRUE),OR(exact(Metadata!G207,"TRUE"),exact(Metadata!G207,"FALSE"))))</f>
        <v>0</v>
      </c>
      <c r="AT207">
        <f>OR(AND(IF(Metadata!H207="",FALSE,TRUE),OR(exact(Metadata!H207,"not collected"),exact(Metadata!H207,"not provided"),exact(Metadata!H207,"restricted access"))),AND(IF(Metadata!H207="",FALSE,ISNUMBER(VALUE(Metadata!H207))),Metadata!H207&gt;=-413.0))</f>
        <v>0</v>
      </c>
      <c r="AU207">
        <f>AND(IF(Metadata!I207="",FALSE,TRUE),exact(Metadata!I207,"meters"))</f>
        <v>0</v>
      </c>
      <c r="AV207">
        <f>AND(IF(Metadata!J207="",FALSE,TRUE),OR(exact(Metadata!J207,"Host-associated"),exact(Metadata!J207,"Free-living")))</f>
        <v>0</v>
      </c>
      <c r="AW207">
        <f>AND(IF(Metadata!K207="",FALSE,TRUE),OR(exact(Metadata!K207,"Animal"),exact(Metadata!K207,"Fungus"),exact(Metadata!K207,"Plant"),exact(Metadata!K207,"Saline"),exact(Metadata!K207,"Non-saline")))</f>
        <v>0</v>
      </c>
      <c r="AX207">
        <f>AND(IF(Metadata!L207="",FALSE,TRUE),OR(exact(Metadata!L207,"Plant secretion"),exact(Metadata!L207,"Plant rhizosphere"),exact(Metadata!L207,"Plant surface"),exact(Metadata!L207,"Plant corpus"),exact(Metadata!L207,"Fungus surface"),exact(Metadata!L207,"Fungus corpus"),exact(Metadata!L207,"Animal surface"),exact(Metadata!L207,"Animal proximal gut"),exact(Metadata!L207,"Animal corpus"),exact(Metadata!L207,"Animal distal gut"),exact(Metadata!L207,"Animal secretion"),exact(Metadata!L207,"Sub-surface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Y207">
        <f>IF(Metadata!M207="",FALSE,TRUE)</f>
        <v>0</v>
      </c>
      <c r="AZ207">
        <f>IF(Metadata!N207="",FALSE,TRUE)</f>
        <v>0</v>
      </c>
      <c r="BA207">
        <f>IF(Metadata!O207="",FALSE,TRUE)</f>
        <v>0</v>
      </c>
      <c r="BB207">
        <f>OR(AND(IF(Metadata!P207="",FALSE,TRUE),OR(exact(Metadata!P207,"not collected"),exact(Metadata!P207,"not provided"),exact(Metadata!P207,"restricted access"))),AND(IF(Metadata!P207="",FALSE,TRUE),OR(exact(Metadata!P207,"air"),exact(Metadata!P207,"built environment"),exact(Metadata!P207,"host-associated"),exact(Metadata!P207,"human-associated"),exact(Metadata!P207,"human-skin"),exact(Metadata!P207,"human-oral"),exact(Metadata!P207,"human-gut"),exact(Metadata!P207,"human-vaginal"),exact(Metadata!P207,"microbial mat/biofilm"),exact(Metadata!P207,"misc environment"),exact(Metadata!P207,"plant-associated"),exact(Metadata!P207,"sediment"),exact(Metadata!P207,"soil"),exact(Metadata!P207,"wastewater/sludge"),exact(Metadata!P207,"water"))))</f>
        <v>0</v>
      </c>
      <c r="BC207">
        <f>IF(Metadata!Q207="",FALSE,TRUE)</f>
        <v>0</v>
      </c>
      <c r="BD207">
        <f>IF(Metadata!R207="",FALSE,TRUE)</f>
        <v>0</v>
      </c>
      <c r="BE207">
        <f>OR(AND(IF(Metadata!S207="",FALSE,TRUE),OR(exact(Metadata!S207,"not collected"),exact(Metadata!S207,"not provided"),exact(Metadata!S207,"restricted access"))),AND(IF(Metadata!S207="",FALSE,ISNUMBER(VALUE(Metadata!S207))),Metadata!S207&gt;=-90.00,Metadata!S207&lt;=90.00))</f>
        <v>0</v>
      </c>
      <c r="BF207">
        <f>AND(IF(Metadata!T207="",FALSE,TRUE),exact(Metadata!T207,"Decimal degrees"))</f>
        <v>0</v>
      </c>
      <c r="BG207">
        <f>OR(AND(IF(Metadata!U207="",FALSE,TRUE),OR(exact(Metadata!U207,"not collected"),exact(Metadata!U207,"not provided"),exact(Metadata!U207,"restricted access"))),AND(IF(Metadata!U207="",FALSE,ISNUMBER(VALUE(Metadata!U207))),Metadata!U207&gt;=-180.00,Metadata!U207&lt;=180.00))</f>
        <v>0</v>
      </c>
      <c r="BH207">
        <f>AND(IF(Metadata!V207="",FALSE,TRUE),exact(Metadata!V207,"Decimal degrees"))</f>
        <v>0</v>
      </c>
      <c r="BI207">
        <f>IF(Metadata!W207="",FALSE,TRUE)</f>
        <v>0</v>
      </c>
      <c r="BJ207">
        <f>OR(AND(IF(Metadata!X207="",FALSE,TRUE),OR(exact(Metadata!X207,"not collected"),exact(Metadata!X207,"not provided"),exact(Metadata!X207,"restricted access"))),AND(IF(Metadata!X207="",FALSE,TRUE),OR(exact(Metadata!X207,"TRUE"),exact(Metadata!X207,"FALSE"))))</f>
        <v>0</v>
      </c>
      <c r="BK207">
        <f>AND(IF(Metadata!Y207="",FALSE,TRUE),exact(Metadata!Y207,"other"))</f>
        <v>0</v>
      </c>
      <c r="BL207">
        <f>IF(Metadata!Z207="",FALSE,TRUE)</f>
        <v>0</v>
      </c>
      <c r="BM207">
        <f>OR(AND(IF(Metadata!AA207="",FALSE,TRUE),OR(exact(Metadata!AA207,"not collected"),exact(Metadata!AA207,"not provided"))),AND(IF(Metadata!AA207="",FALSE,IF(ISERROR(INT(Metadata!AA207)),FALSE,INT(Metadata!AA207)=Metadata!AA207)),Metadata!AA207&gt;0))</f>
        <v>0</v>
      </c>
      <c r="BN207">
        <f>AND(IF(Metadata!AB207="",FALSE,TRUE),exact(Metadata!AB207,"Not applicable"))</f>
        <v>0</v>
      </c>
      <c r="BO207">
        <f>IF(Metadata!AC207="",FALSE,TRUE)</f>
        <v>0</v>
      </c>
    </row>
    <row r="208" spans="1:67">
      <c r="A208" s="5">
        <f>IF(B208=" "," ",HYPERLINK(CONCATENATE("#metadata!",ADDRESS(INDEX($AI$2:$AI$1001,MATCH(ROWS($AG$2:AG208),$AG$2:$AG$1001,0),0),1)),INDEX($AL$2:$AL$1001,MATCH(ROWS($AG$2:AG208),$AG$2:$AG$1001,0),0)))</f>
        <v>0</v>
      </c>
      <c r="B208" s="4">
        <f>IF(OR(INDEX($AH$2:$AH$1001,MATCH(ROWS($AG$2:AG208),$AG$2:$AG$1001,0),1)&gt;=100000,INDEX($AN$1005:$BO$1005,1,MATCH(COLUMNS($AN$1006:AN1006),$AN$1006:$BO$1006,0))&gt;=100000), " ",IF(INDEX($AN$2:$BO$1001,MATCH(ROWS($AG$2:AG208),$AG$2:$AG$1001,0),MATCH(COLUMNS($AN$1006:AN1006),$AN$1006:$BO$1006,0)), HYPERLINK("#",""), HYPERLINK(CONCATENATE("#Metadata!", ADDRESS(INDEX($AI$2:$AI$1001,MATCH(ROWS($AG$2:AG208),$AG$2:$AG$1001,0),0), INDEX($AN$1004:$BO$1004,1,MATCH(COLUMNS($AN$1006:AN1006),$AN$1006:$BO$1006,0)))),"Fix")))</f>
        <v>0</v>
      </c>
      <c r="C208" s="4">
        <f>IF(OR(INDEX($AH$2:$AH$1001,MATCH(ROWS($AG$2:AG208),$AG$2:$AG$1001,0),1)&gt;=100000,INDEX($AN$1005:$BO$1005,1,MATCH(COLUMNS($AN$1006:AO1006),$AN$1006:$BO$1006,0))&gt;=100000), " ",IF(INDEX($AN$2:$BO$1001,MATCH(ROWS($AG$2:AG208),$AG$2:$AG$1001,0),MATCH(COLUMNS($AN$1006:AO1006),$AN$1006:$BO$1006,0)), HYPERLINK("#",""), HYPERLINK(CONCATENATE("#Metadata!", ADDRESS(INDEX($AI$2:$AI$1001,MATCH(ROWS($AG$2:AG208),$AG$2:$AG$1001,0),0), INDEX($AN$1004:$BO$1004,1,MATCH(COLUMNS($AN$1006:AO1006),$AN$1006:$BO$1006,0)))),"Fix")))</f>
        <v>0</v>
      </c>
      <c r="D208" s="4">
        <f>IF(OR(INDEX($AH$2:$AH$1001,MATCH(ROWS($AG$2:AG208),$AG$2:$AG$1001,0),1)&gt;=100000,INDEX($AN$1005:$BO$1005,1,MATCH(COLUMNS($AN$1006:AP1006),$AN$1006:$BO$1006,0))&gt;=100000), " ",IF(INDEX($AN$2:$BO$1001,MATCH(ROWS($AG$2:AG208),$AG$2:$AG$1001,0),MATCH(COLUMNS($AN$1006:AP1006),$AN$1006:$BO$1006,0)), HYPERLINK("#",""), HYPERLINK(CONCATENATE("#Metadata!", ADDRESS(INDEX($AI$2:$AI$1001,MATCH(ROWS($AG$2:AG208),$AG$2:$AG$1001,0),0), INDEX($AN$1004:$BO$1004,1,MATCH(COLUMNS($AN$1006:AP1006),$AN$1006:$BO$1006,0)))),"Fix")))</f>
        <v>0</v>
      </c>
      <c r="E208" s="4">
        <f>IF(OR(INDEX($AH$2:$AH$1001,MATCH(ROWS($AG$2:AG208),$AG$2:$AG$1001,0),1)&gt;=100000,INDEX($AN$1005:$BO$1005,1,MATCH(COLUMNS($AN$1006:AQ1006),$AN$1006:$BO$1006,0))&gt;=100000), " ",IF(INDEX($AN$2:$BO$1001,MATCH(ROWS($AG$2:AG208),$AG$2:$AG$1001,0),MATCH(COLUMNS($AN$1006:AQ1006),$AN$1006:$BO$1006,0)), HYPERLINK("#",""), HYPERLINK(CONCATENATE("#Metadata!", ADDRESS(INDEX($AI$2:$AI$1001,MATCH(ROWS($AG$2:AG208),$AG$2:$AG$1001,0),0), INDEX($AN$1004:$BO$1004,1,MATCH(COLUMNS($AN$1006:AQ1006),$AN$1006:$BO$1006,0)))),"Fix")))</f>
        <v>0</v>
      </c>
      <c r="F208" s="4">
        <f>IF(OR(INDEX($AH$2:$AH$1001,MATCH(ROWS($AG$2:AG208),$AG$2:$AG$1001,0),1)&gt;=100000,INDEX($AN$1005:$BO$1005,1,MATCH(COLUMNS($AN$1006:AR1006),$AN$1006:$BO$1006,0))&gt;=100000), " ",IF(INDEX($AN$2:$BO$1001,MATCH(ROWS($AG$2:AG208),$AG$2:$AG$1001,0),MATCH(COLUMNS($AN$1006:AR1006),$AN$1006:$BO$1006,0)), HYPERLINK("#",""), HYPERLINK(CONCATENATE("#Metadata!", ADDRESS(INDEX($AI$2:$AI$1001,MATCH(ROWS($AG$2:AG208),$AG$2:$AG$1001,0),0), INDEX($AN$1004:$BO$1004,1,MATCH(COLUMNS($AN$1006:AR1006),$AN$1006:$BO$1006,0)))),"Fix")))</f>
        <v>0</v>
      </c>
      <c r="G208" s="4">
        <f>IF(OR(INDEX($AH$2:$AH$1001,MATCH(ROWS($AG$2:AG208),$AG$2:$AG$1001,0),1)&gt;=100000,INDEX($AN$1005:$BO$1005,1,MATCH(COLUMNS($AN$1006:AS1006),$AN$1006:$BO$1006,0))&gt;=100000), " ",IF(INDEX($AN$2:$BO$1001,MATCH(ROWS($AG$2:AG208),$AG$2:$AG$1001,0),MATCH(COLUMNS($AN$1006:AS1006),$AN$1006:$BO$1006,0)), HYPERLINK("#",""), HYPERLINK(CONCATENATE("#Metadata!", ADDRESS(INDEX($AI$2:$AI$1001,MATCH(ROWS($AG$2:AG208),$AG$2:$AG$1001,0),0), INDEX($AN$1004:$BO$1004,1,MATCH(COLUMNS($AN$1006:AS1006),$AN$1006:$BO$1006,0)))),"Fix")))</f>
        <v>0</v>
      </c>
      <c r="H208" s="4">
        <f>IF(OR(INDEX($AH$2:$AH$1001,MATCH(ROWS($AG$2:AG208),$AG$2:$AG$1001,0),1)&gt;=100000,INDEX($AN$1005:$BO$1005,1,MATCH(COLUMNS($AN$1006:AT1006),$AN$1006:$BO$1006,0))&gt;=100000), " ",IF(INDEX($AN$2:$BO$1001,MATCH(ROWS($AG$2:AG208),$AG$2:$AG$1001,0),MATCH(COLUMNS($AN$1006:AT1006),$AN$1006:$BO$1006,0)), HYPERLINK("#",""), HYPERLINK(CONCATENATE("#Metadata!", ADDRESS(INDEX($AI$2:$AI$1001,MATCH(ROWS($AG$2:AG208),$AG$2:$AG$1001,0),0), INDEX($AN$1004:$BO$1004,1,MATCH(COLUMNS($AN$1006:AT1006),$AN$1006:$BO$1006,0)))),"Fix")))</f>
        <v>0</v>
      </c>
      <c r="I208" s="4">
        <f>IF(OR(INDEX($AH$2:$AH$1001,MATCH(ROWS($AG$2:AG208),$AG$2:$AG$1001,0),1)&gt;=100000,INDEX($AN$1005:$BO$1005,1,MATCH(COLUMNS($AN$1006:AU1006),$AN$1006:$BO$1006,0))&gt;=100000), " ",IF(INDEX($AN$2:$BO$1001,MATCH(ROWS($AG$2:AG208),$AG$2:$AG$1001,0),MATCH(COLUMNS($AN$1006:AU1006),$AN$1006:$BO$1006,0)), HYPERLINK("#",""), HYPERLINK(CONCATENATE("#Metadata!", ADDRESS(INDEX($AI$2:$AI$1001,MATCH(ROWS($AG$2:AG208),$AG$2:$AG$1001,0),0), INDEX($AN$1004:$BO$1004,1,MATCH(COLUMNS($AN$1006:AU1006),$AN$1006:$BO$1006,0)))),"Fix")))</f>
        <v>0</v>
      </c>
      <c r="J208" s="4">
        <f>IF(OR(INDEX($AH$2:$AH$1001,MATCH(ROWS($AG$2:AG208),$AG$2:$AG$1001,0),1)&gt;=100000,INDEX($AN$1005:$BO$1005,1,MATCH(COLUMNS($AN$1006:AV1006),$AN$1006:$BO$1006,0))&gt;=100000), " ",IF(INDEX($AN$2:$BO$1001,MATCH(ROWS($AG$2:AG208),$AG$2:$AG$1001,0),MATCH(COLUMNS($AN$1006:AV1006),$AN$1006:$BO$1006,0)), HYPERLINK("#",""), HYPERLINK(CONCATENATE("#Metadata!", ADDRESS(INDEX($AI$2:$AI$1001,MATCH(ROWS($AG$2:AG208),$AG$2:$AG$1001,0),0), INDEX($AN$1004:$BO$1004,1,MATCH(COLUMNS($AN$1006:AV1006),$AN$1006:$BO$1006,0)))),"Fix")))</f>
        <v>0</v>
      </c>
      <c r="K208" s="4">
        <f>IF(OR(INDEX($AH$2:$AH$1001,MATCH(ROWS($AG$2:AG208),$AG$2:$AG$1001,0),1)&gt;=100000,INDEX($AN$1005:$BO$1005,1,MATCH(COLUMNS($AN$1006:AW1006),$AN$1006:$BO$1006,0))&gt;=100000), " ",IF(INDEX($AN$2:$BO$1001,MATCH(ROWS($AG$2:AG208),$AG$2:$AG$1001,0),MATCH(COLUMNS($AN$1006:AW1006),$AN$1006:$BO$1006,0)), HYPERLINK("#",""), HYPERLINK(CONCATENATE("#Metadata!", ADDRESS(INDEX($AI$2:$AI$1001,MATCH(ROWS($AG$2:AG208),$AG$2:$AG$1001,0),0), INDEX($AN$1004:$BO$1004,1,MATCH(COLUMNS($AN$1006:AW1006),$AN$1006:$BO$1006,0)))),"Fix")))</f>
        <v>0</v>
      </c>
      <c r="L208" s="4">
        <f>IF(OR(INDEX($AH$2:$AH$1001,MATCH(ROWS($AG$2:AG208),$AG$2:$AG$1001,0),1)&gt;=100000,INDEX($AN$1005:$BO$1005,1,MATCH(COLUMNS($AN$1006:AX1006),$AN$1006:$BO$1006,0))&gt;=100000), " ",IF(INDEX($AN$2:$BO$1001,MATCH(ROWS($AG$2:AG208),$AG$2:$AG$1001,0),MATCH(COLUMNS($AN$1006:AX1006),$AN$1006:$BO$1006,0)), HYPERLINK("#",""), HYPERLINK(CONCATENATE("#Metadata!", ADDRESS(INDEX($AI$2:$AI$1001,MATCH(ROWS($AG$2:AG208),$AG$2:$AG$1001,0),0), INDEX($AN$1004:$BO$1004,1,MATCH(COLUMNS($AN$1006:AX1006),$AN$1006:$BO$1006,0)))),"Fix")))</f>
        <v>0</v>
      </c>
      <c r="M208" s="4">
        <f>IF(OR(INDEX($AH$2:$AH$1001,MATCH(ROWS($AG$2:AG208),$AG$2:$AG$1001,0),1)&gt;=100000,INDEX($AN$1005:$BO$1005,1,MATCH(COLUMNS($AN$1006:AY1006),$AN$1006:$BO$1006,0))&gt;=100000), " ",IF(INDEX($AN$2:$BO$1001,MATCH(ROWS($AG$2:AG208),$AG$2:$AG$1001,0),MATCH(COLUMNS($AN$1006:AY1006),$AN$1006:$BO$1006,0)), HYPERLINK("#",""), HYPERLINK(CONCATENATE("#Metadata!", ADDRESS(INDEX($AI$2:$AI$1001,MATCH(ROWS($AG$2:AG208),$AG$2:$AG$1001,0),0), INDEX($AN$1004:$BO$1004,1,MATCH(COLUMNS($AN$1006:AY1006),$AN$1006:$BO$1006,0)))),"Fix")))</f>
        <v>0</v>
      </c>
      <c r="N208" s="4">
        <f>IF(OR(INDEX($AH$2:$AH$1001,MATCH(ROWS($AG$2:AG208),$AG$2:$AG$1001,0),1)&gt;=100000,INDEX($AN$1005:$BO$1005,1,MATCH(COLUMNS($AN$1006:AZ1006),$AN$1006:$BO$1006,0))&gt;=100000), " ",IF(INDEX($AN$2:$BO$1001,MATCH(ROWS($AG$2:AG208),$AG$2:$AG$1001,0),MATCH(COLUMNS($AN$1006:AZ1006),$AN$1006:$BO$1006,0)), HYPERLINK("#",""), HYPERLINK(CONCATENATE("#Metadata!", ADDRESS(INDEX($AI$2:$AI$1001,MATCH(ROWS($AG$2:AG208),$AG$2:$AG$1001,0),0), INDEX($AN$1004:$BO$1004,1,MATCH(COLUMNS($AN$1006:AZ1006),$AN$1006:$BO$1006,0)))),"Fix")))</f>
        <v>0</v>
      </c>
      <c r="O208" s="4">
        <f>IF(OR(INDEX($AH$2:$AH$1001,MATCH(ROWS($AG$2:AG208),$AG$2:$AG$1001,0),1)&gt;=100000,INDEX($AN$1005:$BO$1005,1,MATCH(COLUMNS($AN$1006:BA1006),$AN$1006:$BO$1006,0))&gt;=100000), " ",IF(INDEX($AN$2:$BO$1001,MATCH(ROWS($AG$2:AG208),$AG$2:$AG$1001,0),MATCH(COLUMNS($AN$1006:BA1006),$AN$1006:$BO$1006,0)), HYPERLINK("#",""), HYPERLINK(CONCATENATE("#Metadata!", ADDRESS(INDEX($AI$2:$AI$1001,MATCH(ROWS($AG$2:AG208),$AG$2:$AG$1001,0),0), INDEX($AN$1004:$BO$1004,1,MATCH(COLUMNS($AN$1006:BA1006),$AN$1006:$BO$1006,0)))),"Fix")))</f>
        <v>0</v>
      </c>
      <c r="P208" s="4">
        <f>IF(OR(INDEX($AH$2:$AH$1001,MATCH(ROWS($AG$2:AG208),$AG$2:$AG$1001,0),1)&gt;=100000,INDEX($AN$1005:$BO$1005,1,MATCH(COLUMNS($AN$1006:BB1006),$AN$1006:$BO$1006,0))&gt;=100000), " ",IF(INDEX($AN$2:$BO$1001,MATCH(ROWS($AG$2:AG208),$AG$2:$AG$1001,0),MATCH(COLUMNS($AN$1006:BB1006),$AN$1006:$BO$1006,0)), HYPERLINK("#",""), HYPERLINK(CONCATENATE("#Metadata!", ADDRESS(INDEX($AI$2:$AI$1001,MATCH(ROWS($AG$2:AG208),$AG$2:$AG$1001,0),0), INDEX($AN$1004:$BO$1004,1,MATCH(COLUMNS($AN$1006:BB1006),$AN$1006:$BO$1006,0)))),"Fix")))</f>
        <v>0</v>
      </c>
      <c r="Q208" s="4">
        <f>IF(OR(INDEX($AH$2:$AH$1001,MATCH(ROWS($AG$2:AG208),$AG$2:$AG$1001,0),1)&gt;=100000,INDEX($AN$1005:$BO$1005,1,MATCH(COLUMNS($AN$1006:BC1006),$AN$1006:$BO$1006,0))&gt;=100000), " ",IF(INDEX($AN$2:$BO$1001,MATCH(ROWS($AG$2:AG208),$AG$2:$AG$1001,0),MATCH(COLUMNS($AN$1006:BC1006),$AN$1006:$BO$1006,0)), HYPERLINK("#",""), HYPERLINK(CONCATENATE("#Metadata!", ADDRESS(INDEX($AI$2:$AI$1001,MATCH(ROWS($AG$2:AG208),$AG$2:$AG$1001,0),0), INDEX($AN$1004:$BO$1004,1,MATCH(COLUMNS($AN$1006:BC1006),$AN$1006:$BO$1006,0)))),"Fix")))</f>
        <v>0</v>
      </c>
      <c r="R208" s="4">
        <f>IF(OR(INDEX($AH$2:$AH$1001,MATCH(ROWS($AG$2:AG208),$AG$2:$AG$1001,0),1)&gt;=100000,INDEX($AN$1005:$BO$1005,1,MATCH(COLUMNS($AN$1006:BD1006),$AN$1006:$BO$1006,0))&gt;=100000), " ",IF(INDEX($AN$2:$BO$1001,MATCH(ROWS($AG$2:AG208),$AG$2:$AG$1001,0),MATCH(COLUMNS($AN$1006:BD1006),$AN$1006:$BO$1006,0)), HYPERLINK("#",""), HYPERLINK(CONCATENATE("#Metadata!", ADDRESS(INDEX($AI$2:$AI$1001,MATCH(ROWS($AG$2:AG208),$AG$2:$AG$1001,0),0), INDEX($AN$1004:$BO$1004,1,MATCH(COLUMNS($AN$1006:BD1006),$AN$1006:$BO$1006,0)))),"Fix")))</f>
        <v>0</v>
      </c>
      <c r="S208" s="4">
        <f>IF(OR(INDEX($AH$2:$AH$1001,MATCH(ROWS($AG$2:AG208),$AG$2:$AG$1001,0),1)&gt;=100000,INDEX($AN$1005:$BO$1005,1,MATCH(COLUMNS($AN$1006:BE1006),$AN$1006:$BO$1006,0))&gt;=100000), " ",IF(INDEX($AN$2:$BO$1001,MATCH(ROWS($AG$2:AG208),$AG$2:$AG$1001,0),MATCH(COLUMNS($AN$1006:BE1006),$AN$1006:$BO$1006,0)), HYPERLINK("#",""), HYPERLINK(CONCATENATE("#Metadata!", ADDRESS(INDEX($AI$2:$AI$1001,MATCH(ROWS($AG$2:AG208),$AG$2:$AG$1001,0),0), INDEX($AN$1004:$BO$1004,1,MATCH(COLUMNS($AN$1006:BE1006),$AN$1006:$BO$1006,0)))),"Fix")))</f>
        <v>0</v>
      </c>
      <c r="T208" s="4">
        <f>IF(OR(INDEX($AH$2:$AH$1001,MATCH(ROWS($AG$2:AG208),$AG$2:$AG$1001,0),1)&gt;=100000,INDEX($AN$1005:$BO$1005,1,MATCH(COLUMNS($AN$1006:BF1006),$AN$1006:$BO$1006,0))&gt;=100000), " ",IF(INDEX($AN$2:$BO$1001,MATCH(ROWS($AG$2:AG208),$AG$2:$AG$1001,0),MATCH(COLUMNS($AN$1006:BF1006),$AN$1006:$BO$1006,0)), HYPERLINK("#",""), HYPERLINK(CONCATENATE("#Metadata!", ADDRESS(INDEX($AI$2:$AI$1001,MATCH(ROWS($AG$2:AG208),$AG$2:$AG$1001,0),0), INDEX($AN$1004:$BO$1004,1,MATCH(COLUMNS($AN$1006:BF1006),$AN$1006:$BO$1006,0)))),"Fix")))</f>
        <v>0</v>
      </c>
      <c r="U208" s="4">
        <f>IF(OR(INDEX($AH$2:$AH$1001,MATCH(ROWS($AG$2:AG208),$AG$2:$AG$1001,0),1)&gt;=100000,INDEX($AN$1005:$BO$1005,1,MATCH(COLUMNS($AN$1006:BG1006),$AN$1006:$BO$1006,0))&gt;=100000), " ",IF(INDEX($AN$2:$BO$1001,MATCH(ROWS($AG$2:AG208),$AG$2:$AG$1001,0),MATCH(COLUMNS($AN$1006:BG1006),$AN$1006:$BO$1006,0)), HYPERLINK("#",""), HYPERLINK(CONCATENATE("#Metadata!", ADDRESS(INDEX($AI$2:$AI$1001,MATCH(ROWS($AG$2:AG208),$AG$2:$AG$1001,0),0), INDEX($AN$1004:$BO$1004,1,MATCH(COLUMNS($AN$1006:BG1006),$AN$1006:$BO$1006,0)))),"Fix")))</f>
        <v>0</v>
      </c>
      <c r="V208" s="4">
        <f>IF(OR(INDEX($AH$2:$AH$1001,MATCH(ROWS($AG$2:AG208),$AG$2:$AG$1001,0),1)&gt;=100000,INDEX($AN$1005:$BO$1005,1,MATCH(COLUMNS($AN$1006:BH1006),$AN$1006:$BO$1006,0))&gt;=100000), " ",IF(INDEX($AN$2:$BO$1001,MATCH(ROWS($AG$2:AG208),$AG$2:$AG$1001,0),MATCH(COLUMNS($AN$1006:BH1006),$AN$1006:$BO$1006,0)), HYPERLINK("#",""), HYPERLINK(CONCATENATE("#Metadata!", ADDRESS(INDEX($AI$2:$AI$1001,MATCH(ROWS($AG$2:AG208),$AG$2:$AG$1001,0),0), INDEX($AN$1004:$BO$1004,1,MATCH(COLUMNS($AN$1006:BH1006),$AN$1006:$BO$1006,0)))),"Fix")))</f>
        <v>0</v>
      </c>
      <c r="W208" s="4">
        <f>IF(OR(INDEX($AH$2:$AH$1001,MATCH(ROWS($AG$2:AG208),$AG$2:$AG$1001,0),1)&gt;=100000,INDEX($AN$1005:$BO$1005,1,MATCH(COLUMNS($AN$1006:BI1006),$AN$1006:$BO$1006,0))&gt;=100000), " ",IF(INDEX($AN$2:$BO$1001,MATCH(ROWS($AG$2:AG208),$AG$2:$AG$1001,0),MATCH(COLUMNS($AN$1006:BI1006),$AN$1006:$BO$1006,0)), HYPERLINK("#",""), HYPERLINK(CONCATENATE("#Metadata!", ADDRESS(INDEX($AI$2:$AI$1001,MATCH(ROWS($AG$2:AG208),$AG$2:$AG$1001,0),0), INDEX($AN$1004:$BO$1004,1,MATCH(COLUMNS($AN$1006:BI1006),$AN$1006:$BO$1006,0)))),"Fix")))</f>
        <v>0</v>
      </c>
      <c r="X208" s="4">
        <f>IF(OR(INDEX($AH$2:$AH$1001,MATCH(ROWS($AG$2:AG208),$AG$2:$AG$1001,0),1)&gt;=100000,INDEX($AN$1005:$BO$1005,1,MATCH(COLUMNS($AN$1006:BJ1006),$AN$1006:$BO$1006,0))&gt;=100000), " ",IF(INDEX($AN$2:$BO$1001,MATCH(ROWS($AG$2:AG208),$AG$2:$AG$1001,0),MATCH(COLUMNS($AN$1006:BJ1006),$AN$1006:$BO$1006,0)), HYPERLINK("#",""), HYPERLINK(CONCATENATE("#Metadata!", ADDRESS(INDEX($AI$2:$AI$1001,MATCH(ROWS($AG$2:AG208),$AG$2:$AG$1001,0),0), INDEX($AN$1004:$BO$1004,1,MATCH(COLUMNS($AN$1006:BJ1006),$AN$1006:$BO$1006,0)))),"Fix")))</f>
        <v>0</v>
      </c>
      <c r="Y208" s="4">
        <f>IF(OR(INDEX($AH$2:$AH$1001,MATCH(ROWS($AG$2:AG208),$AG$2:$AG$1001,0),1)&gt;=100000,INDEX($AN$1005:$BO$1005,1,MATCH(COLUMNS($AN$1006:BK1006),$AN$1006:$BO$1006,0))&gt;=100000), " ",IF(INDEX($AN$2:$BO$1001,MATCH(ROWS($AG$2:AG208),$AG$2:$AG$1001,0),MATCH(COLUMNS($AN$1006:BK1006),$AN$1006:$BO$1006,0)), HYPERLINK("#",""), HYPERLINK(CONCATENATE("#Metadata!", ADDRESS(INDEX($AI$2:$AI$1001,MATCH(ROWS($AG$2:AG208),$AG$2:$AG$1001,0),0), INDEX($AN$1004:$BO$1004,1,MATCH(COLUMNS($AN$1006:BK1006),$AN$1006:$BO$1006,0)))),"Fix")))</f>
        <v>0</v>
      </c>
      <c r="Z208" s="4">
        <f>IF(OR(INDEX($AH$2:$AH$1001,MATCH(ROWS($AG$2:AG208),$AG$2:$AG$1001,0),1)&gt;=100000,INDEX($AN$1005:$BO$1005,1,MATCH(COLUMNS($AN$1006:BL1006),$AN$1006:$BO$1006,0))&gt;=100000), " ",IF(INDEX($AN$2:$BO$1001,MATCH(ROWS($AG$2:AG208),$AG$2:$AG$1001,0),MATCH(COLUMNS($AN$1006:BL1006),$AN$1006:$BO$1006,0)), HYPERLINK("#",""), HYPERLINK(CONCATENATE("#Metadata!", ADDRESS(INDEX($AI$2:$AI$1001,MATCH(ROWS($AG$2:AG208),$AG$2:$AG$1001,0),0), INDEX($AN$1004:$BO$1004,1,MATCH(COLUMNS($AN$1006:BL1006),$AN$1006:$BO$1006,0)))),"Fix")))</f>
        <v>0</v>
      </c>
      <c r="AA208" s="4">
        <f>IF(OR(INDEX($AH$2:$AH$1001,MATCH(ROWS($AG$2:AG208),$AG$2:$AG$1001,0),1)&gt;=100000,INDEX($AN$1005:$BO$1005,1,MATCH(COLUMNS($AN$1006:BM1006),$AN$1006:$BO$1006,0))&gt;=100000), " ",IF(INDEX($AN$2:$BO$1001,MATCH(ROWS($AG$2:AG208),$AG$2:$AG$1001,0),MATCH(COLUMNS($AN$1006:BM1006),$AN$1006:$BO$1006,0)), HYPERLINK("#",""), HYPERLINK(CONCATENATE("#Metadata!", ADDRESS(INDEX($AI$2:$AI$1001,MATCH(ROWS($AG$2:AG208),$AG$2:$AG$1001,0),0), INDEX($AN$1004:$BO$1004,1,MATCH(COLUMNS($AN$1006:BM1006),$AN$1006:$BO$1006,0)))),"Fix")))</f>
        <v>0</v>
      </c>
      <c r="AB208" s="4">
        <f>IF(OR(INDEX($AH$2:$AH$1001,MATCH(ROWS($AG$2:AG208),$AG$2:$AG$1001,0),1)&gt;=100000,INDEX($AN$1005:$BO$1005,1,MATCH(COLUMNS($AN$1006:BN1006),$AN$1006:$BO$1006,0))&gt;=100000), " ",IF(INDEX($AN$2:$BO$1001,MATCH(ROWS($AG$2:AG208),$AG$2:$AG$1001,0),MATCH(COLUMNS($AN$1006:BN1006),$AN$1006:$BO$1006,0)), HYPERLINK("#",""), HYPERLINK(CONCATENATE("#Metadata!", ADDRESS(INDEX($AI$2:$AI$1001,MATCH(ROWS($AG$2:AG208),$AG$2:$AG$1001,0),0), INDEX($AN$1004:$BO$1004,1,MATCH(COLUMNS($AN$1006:BN1006),$AN$1006:$BO$1006,0)))),"Fix")))</f>
        <v>0</v>
      </c>
      <c r="AC208" s="4">
        <f>IF(OR(INDEX($AH$2:$AH$1001,MATCH(ROWS($AG$2:AG208),$AG$2:$AG$1001,0),1)&gt;=100000,INDEX($AN$1005:$BO$1005,1,MATCH(COLUMNS($AN$1006:BO1006),$AN$1006:$BO$1006,0))&gt;=100000), " ",IF(INDEX($AN$2:$BO$1001,MATCH(ROWS($AG$2:AG208),$AG$2:$AG$1001,0),MATCH(COLUMNS($AN$1006:BO1006),$AN$1006:$BO$1006,0)), HYPERLINK("#",""), HYPERLINK(CONCATENATE("#Metadata!", ADDRESS(INDEX($AI$2:$AI$1001,MATCH(ROWS($AG$2:AG208),$AG$2:$AG$1001,0),0), INDEX($AN$1004:$BO$1004,1,MATCH(COLUMNS($AN$1006:BO1006),$AN$1006:$BO$1006,0)))),"Fix")))</f>
        <v>0</v>
      </c>
      <c r="AG208">
        <v>0</v>
      </c>
      <c r="AH208">
        <v>0</v>
      </c>
      <c r="AI208">
        <v>0</v>
      </c>
      <c r="AJ208">
        <f>IF(AK208,TRUE,AND(AN208:BO208))</f>
        <v>0</v>
      </c>
      <c r="AK208">
        <f>COUNTBLANK(Metadata!B208:AC208)=COLUMNS(Metadata!B208:AC208)</f>
        <v>0</v>
      </c>
      <c r="AL208">
        <v>0</v>
      </c>
      <c r="AN208">
        <f>AND(IF(Metadata!B208="",FALSE,TRUE),COUNTIF(Metadata!B:B, Metadata!B208) = 1,NOT(ISERROR(SUMPRODUCT(SEARCH(MID(Metadata!B208,ROW(INDIRECT("1:"&amp;LEN(Metadata!B208))), 1),"0123456789abcdefghijklmnopqrstuvwxyzABCDEFGHIJKLMNOPQRSTUVWXYZ.")))))</f>
        <v>0</v>
      </c>
      <c r="AO208">
        <f>IF(Metadata!C208="",FALSE,TRUE)</f>
        <v>0</v>
      </c>
      <c r="AP208">
        <f>IF(Metadata!D208="",FALSE,TRUE)</f>
        <v>0</v>
      </c>
      <c r="AQ208">
        <f>OR(AND(IF(Metadata!E208="",FALSE,TRUE),OR(exact(Metadata!E208,"not collected"),exact(Metadata!E208,"not provided"),exact(Metadata!E208,"restricted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R208">
        <f>IF(Metadata!F208="",FALSE,TRUE)</f>
        <v>0</v>
      </c>
      <c r="AS208">
        <f>OR(AND(IF(Metadata!G208="",FALSE,TRUE),OR(exact(Metadata!G208,"not collected"),exact(Metadata!G208,"not provided"))),AND(IF(Metadata!G208="",FALSE,TRUE),OR(exact(Metadata!G208,"TRUE"),exact(Metadata!G208,"FALSE"))))</f>
        <v>0</v>
      </c>
      <c r="AT208">
        <f>OR(AND(IF(Metadata!H208="",FALSE,TRUE),OR(exact(Metadata!H208,"not collected"),exact(Metadata!H208,"not provided"),exact(Metadata!H208,"restricted access"))),AND(IF(Metadata!H208="",FALSE,ISNUMBER(VALUE(Metadata!H208))),Metadata!H208&gt;=-413.0))</f>
        <v>0</v>
      </c>
      <c r="AU208">
        <f>AND(IF(Metadata!I208="",FALSE,TRUE),exact(Metadata!I208,"meters"))</f>
        <v>0</v>
      </c>
      <c r="AV208">
        <f>AND(IF(Metadata!J208="",FALSE,TRUE),OR(exact(Metadata!J208,"Host-associated"),exact(Metadata!J208,"Free-living")))</f>
        <v>0</v>
      </c>
      <c r="AW208">
        <f>AND(IF(Metadata!K208="",FALSE,TRUE),OR(exact(Metadata!K208,"Animal"),exact(Metadata!K208,"Fungus"),exact(Metadata!K208,"Plant"),exact(Metadata!K208,"Saline"),exact(Metadata!K208,"Non-saline")))</f>
        <v>0</v>
      </c>
      <c r="AX208">
        <f>AND(IF(Metadata!L208="",FALSE,TRUE),OR(exact(Metadata!L208,"Plant secretion"),exact(Metadata!L208,"Plant rhizosphere"),exact(Metadata!L208,"Plant surface"),exact(Metadata!L208,"Plant corpus"),exact(Metadata!L208,"Fungus surface"),exact(Metadata!L208,"Fungus corpus"),exact(Metadata!L208,"Animal surface"),exact(Metadata!L208,"Animal proximal gut"),exact(Metadata!L208,"Animal corpus"),exact(Metadata!L208,"Animal distal gut"),exact(Metadata!L208,"Animal secretion"),exact(Metadata!L208,"Sub-surface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Y208">
        <f>IF(Metadata!M208="",FALSE,TRUE)</f>
        <v>0</v>
      </c>
      <c r="AZ208">
        <f>IF(Metadata!N208="",FALSE,TRUE)</f>
        <v>0</v>
      </c>
      <c r="BA208">
        <f>IF(Metadata!O208="",FALSE,TRUE)</f>
        <v>0</v>
      </c>
      <c r="BB208">
        <f>OR(AND(IF(Metadata!P208="",FALSE,TRUE),OR(exact(Metadata!P208,"not collected"),exact(Metadata!P208,"not provided"),exact(Metadata!P208,"restricted access"))),AND(IF(Metadata!P208="",FALSE,TRUE),OR(exact(Metadata!P208,"air"),exact(Metadata!P208,"built environment"),exact(Metadata!P208,"host-associated"),exact(Metadata!P208,"human-associated"),exact(Metadata!P208,"human-skin"),exact(Metadata!P208,"human-oral"),exact(Metadata!P208,"human-gut"),exact(Metadata!P208,"human-vaginal"),exact(Metadata!P208,"microbial mat/biofilm"),exact(Metadata!P208,"misc environment"),exact(Metadata!P208,"plant-associated"),exact(Metadata!P208,"sediment"),exact(Metadata!P208,"soil"),exact(Metadata!P208,"wastewater/sludge"),exact(Metadata!P208,"water"))))</f>
        <v>0</v>
      </c>
      <c r="BC208">
        <f>IF(Metadata!Q208="",FALSE,TRUE)</f>
        <v>0</v>
      </c>
      <c r="BD208">
        <f>IF(Metadata!R208="",FALSE,TRUE)</f>
        <v>0</v>
      </c>
      <c r="BE208">
        <f>OR(AND(IF(Metadata!S208="",FALSE,TRUE),OR(exact(Metadata!S208,"not collected"),exact(Metadata!S208,"not provided"),exact(Metadata!S208,"restricted access"))),AND(IF(Metadata!S208="",FALSE,ISNUMBER(VALUE(Metadata!S208))),Metadata!S208&gt;=-90.00,Metadata!S208&lt;=90.00))</f>
        <v>0</v>
      </c>
      <c r="BF208">
        <f>AND(IF(Metadata!T208="",FALSE,TRUE),exact(Metadata!T208,"Decimal degrees"))</f>
        <v>0</v>
      </c>
      <c r="BG208">
        <f>OR(AND(IF(Metadata!U208="",FALSE,TRUE),OR(exact(Metadata!U208,"not collected"),exact(Metadata!U208,"not provided"),exact(Metadata!U208,"restricted access"))),AND(IF(Metadata!U208="",FALSE,ISNUMBER(VALUE(Metadata!U208))),Metadata!U208&gt;=-180.00,Metadata!U208&lt;=180.00))</f>
        <v>0</v>
      </c>
      <c r="BH208">
        <f>AND(IF(Metadata!V208="",FALSE,TRUE),exact(Metadata!V208,"Decimal degrees"))</f>
        <v>0</v>
      </c>
      <c r="BI208">
        <f>IF(Metadata!W208="",FALSE,TRUE)</f>
        <v>0</v>
      </c>
      <c r="BJ208">
        <f>OR(AND(IF(Metadata!X208="",FALSE,TRUE),OR(exact(Metadata!X208,"not collected"),exact(Metadata!X208,"not provided"),exact(Metadata!X208,"restricted access"))),AND(IF(Metadata!X208="",FALSE,TRUE),OR(exact(Metadata!X208,"TRUE"),exact(Metadata!X208,"FALSE"))))</f>
        <v>0</v>
      </c>
      <c r="BK208">
        <f>AND(IF(Metadata!Y208="",FALSE,TRUE),exact(Metadata!Y208,"other"))</f>
        <v>0</v>
      </c>
      <c r="BL208">
        <f>IF(Metadata!Z208="",FALSE,TRUE)</f>
        <v>0</v>
      </c>
      <c r="BM208">
        <f>OR(AND(IF(Metadata!AA208="",FALSE,TRUE),OR(exact(Metadata!AA208,"not collected"),exact(Metadata!AA208,"not provided"))),AND(IF(Metadata!AA208="",FALSE,IF(ISERROR(INT(Metadata!AA208)),FALSE,INT(Metadata!AA208)=Metadata!AA208)),Metadata!AA208&gt;0))</f>
        <v>0</v>
      </c>
      <c r="BN208">
        <f>AND(IF(Metadata!AB208="",FALSE,TRUE),exact(Metadata!AB208,"Not applicable"))</f>
        <v>0</v>
      </c>
      <c r="BO208">
        <f>IF(Metadata!AC208="",FALSE,TRUE)</f>
        <v>0</v>
      </c>
    </row>
    <row r="209" spans="1:67">
      <c r="A209" s="5">
        <f>IF(B209=" "," ",HYPERLINK(CONCATENATE("#metadata!",ADDRESS(INDEX($AI$2:$AI$1001,MATCH(ROWS($AG$2:AG209),$AG$2:$AG$1001,0),0),1)),INDEX($AL$2:$AL$1001,MATCH(ROWS($AG$2:AG209),$AG$2:$AG$1001,0),0)))</f>
        <v>0</v>
      </c>
      <c r="B209" s="4">
        <f>IF(OR(INDEX($AH$2:$AH$1001,MATCH(ROWS($AG$2:AG209),$AG$2:$AG$1001,0),1)&gt;=100000,INDEX($AN$1005:$BO$1005,1,MATCH(COLUMNS($AN$1006:AN1006),$AN$1006:$BO$1006,0))&gt;=100000), " ",IF(INDEX($AN$2:$BO$1001,MATCH(ROWS($AG$2:AG209),$AG$2:$AG$1001,0),MATCH(COLUMNS($AN$1006:AN1006),$AN$1006:$BO$1006,0)), HYPERLINK("#",""), HYPERLINK(CONCATENATE("#Metadata!", ADDRESS(INDEX($AI$2:$AI$1001,MATCH(ROWS($AG$2:AG209),$AG$2:$AG$1001,0),0), INDEX($AN$1004:$BO$1004,1,MATCH(COLUMNS($AN$1006:AN1006),$AN$1006:$BO$1006,0)))),"Fix")))</f>
        <v>0</v>
      </c>
      <c r="C209" s="4">
        <f>IF(OR(INDEX($AH$2:$AH$1001,MATCH(ROWS($AG$2:AG209),$AG$2:$AG$1001,0),1)&gt;=100000,INDEX($AN$1005:$BO$1005,1,MATCH(COLUMNS($AN$1006:AO1006),$AN$1006:$BO$1006,0))&gt;=100000), " ",IF(INDEX($AN$2:$BO$1001,MATCH(ROWS($AG$2:AG209),$AG$2:$AG$1001,0),MATCH(COLUMNS($AN$1006:AO1006),$AN$1006:$BO$1006,0)), HYPERLINK("#",""), HYPERLINK(CONCATENATE("#Metadata!", ADDRESS(INDEX($AI$2:$AI$1001,MATCH(ROWS($AG$2:AG209),$AG$2:$AG$1001,0),0), INDEX($AN$1004:$BO$1004,1,MATCH(COLUMNS($AN$1006:AO1006),$AN$1006:$BO$1006,0)))),"Fix")))</f>
        <v>0</v>
      </c>
      <c r="D209" s="4">
        <f>IF(OR(INDEX($AH$2:$AH$1001,MATCH(ROWS($AG$2:AG209),$AG$2:$AG$1001,0),1)&gt;=100000,INDEX($AN$1005:$BO$1005,1,MATCH(COLUMNS($AN$1006:AP1006),$AN$1006:$BO$1006,0))&gt;=100000), " ",IF(INDEX($AN$2:$BO$1001,MATCH(ROWS($AG$2:AG209),$AG$2:$AG$1001,0),MATCH(COLUMNS($AN$1006:AP1006),$AN$1006:$BO$1006,0)), HYPERLINK("#",""), HYPERLINK(CONCATENATE("#Metadata!", ADDRESS(INDEX($AI$2:$AI$1001,MATCH(ROWS($AG$2:AG209),$AG$2:$AG$1001,0),0), INDEX($AN$1004:$BO$1004,1,MATCH(COLUMNS($AN$1006:AP1006),$AN$1006:$BO$1006,0)))),"Fix")))</f>
        <v>0</v>
      </c>
      <c r="E209" s="4">
        <f>IF(OR(INDEX($AH$2:$AH$1001,MATCH(ROWS($AG$2:AG209),$AG$2:$AG$1001,0),1)&gt;=100000,INDEX($AN$1005:$BO$1005,1,MATCH(COLUMNS($AN$1006:AQ1006),$AN$1006:$BO$1006,0))&gt;=100000), " ",IF(INDEX($AN$2:$BO$1001,MATCH(ROWS($AG$2:AG209),$AG$2:$AG$1001,0),MATCH(COLUMNS($AN$1006:AQ1006),$AN$1006:$BO$1006,0)), HYPERLINK("#",""), HYPERLINK(CONCATENATE("#Metadata!", ADDRESS(INDEX($AI$2:$AI$1001,MATCH(ROWS($AG$2:AG209),$AG$2:$AG$1001,0),0), INDEX($AN$1004:$BO$1004,1,MATCH(COLUMNS($AN$1006:AQ1006),$AN$1006:$BO$1006,0)))),"Fix")))</f>
        <v>0</v>
      </c>
      <c r="F209" s="4">
        <f>IF(OR(INDEX($AH$2:$AH$1001,MATCH(ROWS($AG$2:AG209),$AG$2:$AG$1001,0),1)&gt;=100000,INDEX($AN$1005:$BO$1005,1,MATCH(COLUMNS($AN$1006:AR1006),$AN$1006:$BO$1006,0))&gt;=100000), " ",IF(INDEX($AN$2:$BO$1001,MATCH(ROWS($AG$2:AG209),$AG$2:$AG$1001,0),MATCH(COLUMNS($AN$1006:AR1006),$AN$1006:$BO$1006,0)), HYPERLINK("#",""), HYPERLINK(CONCATENATE("#Metadata!", ADDRESS(INDEX($AI$2:$AI$1001,MATCH(ROWS($AG$2:AG209),$AG$2:$AG$1001,0),0), INDEX($AN$1004:$BO$1004,1,MATCH(COLUMNS($AN$1006:AR1006),$AN$1006:$BO$1006,0)))),"Fix")))</f>
        <v>0</v>
      </c>
      <c r="G209" s="4">
        <f>IF(OR(INDEX($AH$2:$AH$1001,MATCH(ROWS($AG$2:AG209),$AG$2:$AG$1001,0),1)&gt;=100000,INDEX($AN$1005:$BO$1005,1,MATCH(COLUMNS($AN$1006:AS1006),$AN$1006:$BO$1006,0))&gt;=100000), " ",IF(INDEX($AN$2:$BO$1001,MATCH(ROWS($AG$2:AG209),$AG$2:$AG$1001,0),MATCH(COLUMNS($AN$1006:AS1006),$AN$1006:$BO$1006,0)), HYPERLINK("#",""), HYPERLINK(CONCATENATE("#Metadata!", ADDRESS(INDEX($AI$2:$AI$1001,MATCH(ROWS($AG$2:AG209),$AG$2:$AG$1001,0),0), INDEX($AN$1004:$BO$1004,1,MATCH(COLUMNS($AN$1006:AS1006),$AN$1006:$BO$1006,0)))),"Fix")))</f>
        <v>0</v>
      </c>
      <c r="H209" s="4">
        <f>IF(OR(INDEX($AH$2:$AH$1001,MATCH(ROWS($AG$2:AG209),$AG$2:$AG$1001,0),1)&gt;=100000,INDEX($AN$1005:$BO$1005,1,MATCH(COLUMNS($AN$1006:AT1006),$AN$1006:$BO$1006,0))&gt;=100000), " ",IF(INDEX($AN$2:$BO$1001,MATCH(ROWS($AG$2:AG209),$AG$2:$AG$1001,0),MATCH(COLUMNS($AN$1006:AT1006),$AN$1006:$BO$1006,0)), HYPERLINK("#",""), HYPERLINK(CONCATENATE("#Metadata!", ADDRESS(INDEX($AI$2:$AI$1001,MATCH(ROWS($AG$2:AG209),$AG$2:$AG$1001,0),0), INDEX($AN$1004:$BO$1004,1,MATCH(COLUMNS($AN$1006:AT1006),$AN$1006:$BO$1006,0)))),"Fix")))</f>
        <v>0</v>
      </c>
      <c r="I209" s="4">
        <f>IF(OR(INDEX($AH$2:$AH$1001,MATCH(ROWS($AG$2:AG209),$AG$2:$AG$1001,0),1)&gt;=100000,INDEX($AN$1005:$BO$1005,1,MATCH(COLUMNS($AN$1006:AU1006),$AN$1006:$BO$1006,0))&gt;=100000), " ",IF(INDEX($AN$2:$BO$1001,MATCH(ROWS($AG$2:AG209),$AG$2:$AG$1001,0),MATCH(COLUMNS($AN$1006:AU1006),$AN$1006:$BO$1006,0)), HYPERLINK("#",""), HYPERLINK(CONCATENATE("#Metadata!", ADDRESS(INDEX($AI$2:$AI$1001,MATCH(ROWS($AG$2:AG209),$AG$2:$AG$1001,0),0), INDEX($AN$1004:$BO$1004,1,MATCH(COLUMNS($AN$1006:AU1006),$AN$1006:$BO$1006,0)))),"Fix")))</f>
        <v>0</v>
      </c>
      <c r="J209" s="4">
        <f>IF(OR(INDEX($AH$2:$AH$1001,MATCH(ROWS($AG$2:AG209),$AG$2:$AG$1001,0),1)&gt;=100000,INDEX($AN$1005:$BO$1005,1,MATCH(COLUMNS($AN$1006:AV1006),$AN$1006:$BO$1006,0))&gt;=100000), " ",IF(INDEX($AN$2:$BO$1001,MATCH(ROWS($AG$2:AG209),$AG$2:$AG$1001,0),MATCH(COLUMNS($AN$1006:AV1006),$AN$1006:$BO$1006,0)), HYPERLINK("#",""), HYPERLINK(CONCATENATE("#Metadata!", ADDRESS(INDEX($AI$2:$AI$1001,MATCH(ROWS($AG$2:AG209),$AG$2:$AG$1001,0),0), INDEX($AN$1004:$BO$1004,1,MATCH(COLUMNS($AN$1006:AV1006),$AN$1006:$BO$1006,0)))),"Fix")))</f>
        <v>0</v>
      </c>
      <c r="K209" s="4">
        <f>IF(OR(INDEX($AH$2:$AH$1001,MATCH(ROWS($AG$2:AG209),$AG$2:$AG$1001,0),1)&gt;=100000,INDEX($AN$1005:$BO$1005,1,MATCH(COLUMNS($AN$1006:AW1006),$AN$1006:$BO$1006,0))&gt;=100000), " ",IF(INDEX($AN$2:$BO$1001,MATCH(ROWS($AG$2:AG209),$AG$2:$AG$1001,0),MATCH(COLUMNS($AN$1006:AW1006),$AN$1006:$BO$1006,0)), HYPERLINK("#",""), HYPERLINK(CONCATENATE("#Metadata!", ADDRESS(INDEX($AI$2:$AI$1001,MATCH(ROWS($AG$2:AG209),$AG$2:$AG$1001,0),0), INDEX($AN$1004:$BO$1004,1,MATCH(COLUMNS($AN$1006:AW1006),$AN$1006:$BO$1006,0)))),"Fix")))</f>
        <v>0</v>
      </c>
      <c r="L209" s="4">
        <f>IF(OR(INDEX($AH$2:$AH$1001,MATCH(ROWS($AG$2:AG209),$AG$2:$AG$1001,0),1)&gt;=100000,INDEX($AN$1005:$BO$1005,1,MATCH(COLUMNS($AN$1006:AX1006),$AN$1006:$BO$1006,0))&gt;=100000), " ",IF(INDEX($AN$2:$BO$1001,MATCH(ROWS($AG$2:AG209),$AG$2:$AG$1001,0),MATCH(COLUMNS($AN$1006:AX1006),$AN$1006:$BO$1006,0)), HYPERLINK("#",""), HYPERLINK(CONCATENATE("#Metadata!", ADDRESS(INDEX($AI$2:$AI$1001,MATCH(ROWS($AG$2:AG209),$AG$2:$AG$1001,0),0), INDEX($AN$1004:$BO$1004,1,MATCH(COLUMNS($AN$1006:AX1006),$AN$1006:$BO$1006,0)))),"Fix")))</f>
        <v>0</v>
      </c>
      <c r="M209" s="4">
        <f>IF(OR(INDEX($AH$2:$AH$1001,MATCH(ROWS($AG$2:AG209),$AG$2:$AG$1001,0),1)&gt;=100000,INDEX($AN$1005:$BO$1005,1,MATCH(COLUMNS($AN$1006:AY1006),$AN$1006:$BO$1006,0))&gt;=100000), " ",IF(INDEX($AN$2:$BO$1001,MATCH(ROWS($AG$2:AG209),$AG$2:$AG$1001,0),MATCH(COLUMNS($AN$1006:AY1006),$AN$1006:$BO$1006,0)), HYPERLINK("#",""), HYPERLINK(CONCATENATE("#Metadata!", ADDRESS(INDEX($AI$2:$AI$1001,MATCH(ROWS($AG$2:AG209),$AG$2:$AG$1001,0),0), INDEX($AN$1004:$BO$1004,1,MATCH(COLUMNS($AN$1006:AY1006),$AN$1006:$BO$1006,0)))),"Fix")))</f>
        <v>0</v>
      </c>
      <c r="N209" s="4">
        <f>IF(OR(INDEX($AH$2:$AH$1001,MATCH(ROWS($AG$2:AG209),$AG$2:$AG$1001,0),1)&gt;=100000,INDEX($AN$1005:$BO$1005,1,MATCH(COLUMNS($AN$1006:AZ1006),$AN$1006:$BO$1006,0))&gt;=100000), " ",IF(INDEX($AN$2:$BO$1001,MATCH(ROWS($AG$2:AG209),$AG$2:$AG$1001,0),MATCH(COLUMNS($AN$1006:AZ1006),$AN$1006:$BO$1006,0)), HYPERLINK("#",""), HYPERLINK(CONCATENATE("#Metadata!", ADDRESS(INDEX($AI$2:$AI$1001,MATCH(ROWS($AG$2:AG209),$AG$2:$AG$1001,0),0), INDEX($AN$1004:$BO$1004,1,MATCH(COLUMNS($AN$1006:AZ1006),$AN$1006:$BO$1006,0)))),"Fix")))</f>
        <v>0</v>
      </c>
      <c r="O209" s="4">
        <f>IF(OR(INDEX($AH$2:$AH$1001,MATCH(ROWS($AG$2:AG209),$AG$2:$AG$1001,0),1)&gt;=100000,INDEX($AN$1005:$BO$1005,1,MATCH(COLUMNS($AN$1006:BA1006),$AN$1006:$BO$1006,0))&gt;=100000), " ",IF(INDEX($AN$2:$BO$1001,MATCH(ROWS($AG$2:AG209),$AG$2:$AG$1001,0),MATCH(COLUMNS($AN$1006:BA1006),$AN$1006:$BO$1006,0)), HYPERLINK("#",""), HYPERLINK(CONCATENATE("#Metadata!", ADDRESS(INDEX($AI$2:$AI$1001,MATCH(ROWS($AG$2:AG209),$AG$2:$AG$1001,0),0), INDEX($AN$1004:$BO$1004,1,MATCH(COLUMNS($AN$1006:BA1006),$AN$1006:$BO$1006,0)))),"Fix")))</f>
        <v>0</v>
      </c>
      <c r="P209" s="4">
        <f>IF(OR(INDEX($AH$2:$AH$1001,MATCH(ROWS($AG$2:AG209),$AG$2:$AG$1001,0),1)&gt;=100000,INDEX($AN$1005:$BO$1005,1,MATCH(COLUMNS($AN$1006:BB1006),$AN$1006:$BO$1006,0))&gt;=100000), " ",IF(INDEX($AN$2:$BO$1001,MATCH(ROWS($AG$2:AG209),$AG$2:$AG$1001,0),MATCH(COLUMNS($AN$1006:BB1006),$AN$1006:$BO$1006,0)), HYPERLINK("#",""), HYPERLINK(CONCATENATE("#Metadata!", ADDRESS(INDEX($AI$2:$AI$1001,MATCH(ROWS($AG$2:AG209),$AG$2:$AG$1001,0),0), INDEX($AN$1004:$BO$1004,1,MATCH(COLUMNS($AN$1006:BB1006),$AN$1006:$BO$1006,0)))),"Fix")))</f>
        <v>0</v>
      </c>
      <c r="Q209" s="4">
        <f>IF(OR(INDEX($AH$2:$AH$1001,MATCH(ROWS($AG$2:AG209),$AG$2:$AG$1001,0),1)&gt;=100000,INDEX($AN$1005:$BO$1005,1,MATCH(COLUMNS($AN$1006:BC1006),$AN$1006:$BO$1006,0))&gt;=100000), " ",IF(INDEX($AN$2:$BO$1001,MATCH(ROWS($AG$2:AG209),$AG$2:$AG$1001,0),MATCH(COLUMNS($AN$1006:BC1006),$AN$1006:$BO$1006,0)), HYPERLINK("#",""), HYPERLINK(CONCATENATE("#Metadata!", ADDRESS(INDEX($AI$2:$AI$1001,MATCH(ROWS($AG$2:AG209),$AG$2:$AG$1001,0),0), INDEX($AN$1004:$BO$1004,1,MATCH(COLUMNS($AN$1006:BC1006),$AN$1006:$BO$1006,0)))),"Fix")))</f>
        <v>0</v>
      </c>
      <c r="R209" s="4">
        <f>IF(OR(INDEX($AH$2:$AH$1001,MATCH(ROWS($AG$2:AG209),$AG$2:$AG$1001,0),1)&gt;=100000,INDEX($AN$1005:$BO$1005,1,MATCH(COLUMNS($AN$1006:BD1006),$AN$1006:$BO$1006,0))&gt;=100000), " ",IF(INDEX($AN$2:$BO$1001,MATCH(ROWS($AG$2:AG209),$AG$2:$AG$1001,0),MATCH(COLUMNS($AN$1006:BD1006),$AN$1006:$BO$1006,0)), HYPERLINK("#",""), HYPERLINK(CONCATENATE("#Metadata!", ADDRESS(INDEX($AI$2:$AI$1001,MATCH(ROWS($AG$2:AG209),$AG$2:$AG$1001,0),0), INDEX($AN$1004:$BO$1004,1,MATCH(COLUMNS($AN$1006:BD1006),$AN$1006:$BO$1006,0)))),"Fix")))</f>
        <v>0</v>
      </c>
      <c r="S209" s="4">
        <f>IF(OR(INDEX($AH$2:$AH$1001,MATCH(ROWS($AG$2:AG209),$AG$2:$AG$1001,0),1)&gt;=100000,INDEX($AN$1005:$BO$1005,1,MATCH(COLUMNS($AN$1006:BE1006),$AN$1006:$BO$1006,0))&gt;=100000), " ",IF(INDEX($AN$2:$BO$1001,MATCH(ROWS($AG$2:AG209),$AG$2:$AG$1001,0),MATCH(COLUMNS($AN$1006:BE1006),$AN$1006:$BO$1006,0)), HYPERLINK("#",""), HYPERLINK(CONCATENATE("#Metadata!", ADDRESS(INDEX($AI$2:$AI$1001,MATCH(ROWS($AG$2:AG209),$AG$2:$AG$1001,0),0), INDEX($AN$1004:$BO$1004,1,MATCH(COLUMNS($AN$1006:BE1006),$AN$1006:$BO$1006,0)))),"Fix")))</f>
        <v>0</v>
      </c>
      <c r="T209" s="4">
        <f>IF(OR(INDEX($AH$2:$AH$1001,MATCH(ROWS($AG$2:AG209),$AG$2:$AG$1001,0),1)&gt;=100000,INDEX($AN$1005:$BO$1005,1,MATCH(COLUMNS($AN$1006:BF1006),$AN$1006:$BO$1006,0))&gt;=100000), " ",IF(INDEX($AN$2:$BO$1001,MATCH(ROWS($AG$2:AG209),$AG$2:$AG$1001,0),MATCH(COLUMNS($AN$1006:BF1006),$AN$1006:$BO$1006,0)), HYPERLINK("#",""), HYPERLINK(CONCATENATE("#Metadata!", ADDRESS(INDEX($AI$2:$AI$1001,MATCH(ROWS($AG$2:AG209),$AG$2:$AG$1001,0),0), INDEX($AN$1004:$BO$1004,1,MATCH(COLUMNS($AN$1006:BF1006),$AN$1006:$BO$1006,0)))),"Fix")))</f>
        <v>0</v>
      </c>
      <c r="U209" s="4">
        <f>IF(OR(INDEX($AH$2:$AH$1001,MATCH(ROWS($AG$2:AG209),$AG$2:$AG$1001,0),1)&gt;=100000,INDEX($AN$1005:$BO$1005,1,MATCH(COLUMNS($AN$1006:BG1006),$AN$1006:$BO$1006,0))&gt;=100000), " ",IF(INDEX($AN$2:$BO$1001,MATCH(ROWS($AG$2:AG209),$AG$2:$AG$1001,0),MATCH(COLUMNS($AN$1006:BG1006),$AN$1006:$BO$1006,0)), HYPERLINK("#",""), HYPERLINK(CONCATENATE("#Metadata!", ADDRESS(INDEX($AI$2:$AI$1001,MATCH(ROWS($AG$2:AG209),$AG$2:$AG$1001,0),0), INDEX($AN$1004:$BO$1004,1,MATCH(COLUMNS($AN$1006:BG1006),$AN$1006:$BO$1006,0)))),"Fix")))</f>
        <v>0</v>
      </c>
      <c r="V209" s="4">
        <f>IF(OR(INDEX($AH$2:$AH$1001,MATCH(ROWS($AG$2:AG209),$AG$2:$AG$1001,0),1)&gt;=100000,INDEX($AN$1005:$BO$1005,1,MATCH(COLUMNS($AN$1006:BH1006),$AN$1006:$BO$1006,0))&gt;=100000), " ",IF(INDEX($AN$2:$BO$1001,MATCH(ROWS($AG$2:AG209),$AG$2:$AG$1001,0),MATCH(COLUMNS($AN$1006:BH1006),$AN$1006:$BO$1006,0)), HYPERLINK("#",""), HYPERLINK(CONCATENATE("#Metadata!", ADDRESS(INDEX($AI$2:$AI$1001,MATCH(ROWS($AG$2:AG209),$AG$2:$AG$1001,0),0), INDEX($AN$1004:$BO$1004,1,MATCH(COLUMNS($AN$1006:BH1006),$AN$1006:$BO$1006,0)))),"Fix")))</f>
        <v>0</v>
      </c>
      <c r="W209" s="4">
        <f>IF(OR(INDEX($AH$2:$AH$1001,MATCH(ROWS($AG$2:AG209),$AG$2:$AG$1001,0),1)&gt;=100000,INDEX($AN$1005:$BO$1005,1,MATCH(COLUMNS($AN$1006:BI1006),$AN$1006:$BO$1006,0))&gt;=100000), " ",IF(INDEX($AN$2:$BO$1001,MATCH(ROWS($AG$2:AG209),$AG$2:$AG$1001,0),MATCH(COLUMNS($AN$1006:BI1006),$AN$1006:$BO$1006,0)), HYPERLINK("#",""), HYPERLINK(CONCATENATE("#Metadata!", ADDRESS(INDEX($AI$2:$AI$1001,MATCH(ROWS($AG$2:AG209),$AG$2:$AG$1001,0),0), INDEX($AN$1004:$BO$1004,1,MATCH(COLUMNS($AN$1006:BI1006),$AN$1006:$BO$1006,0)))),"Fix")))</f>
        <v>0</v>
      </c>
      <c r="X209" s="4">
        <f>IF(OR(INDEX($AH$2:$AH$1001,MATCH(ROWS($AG$2:AG209),$AG$2:$AG$1001,0),1)&gt;=100000,INDEX($AN$1005:$BO$1005,1,MATCH(COLUMNS($AN$1006:BJ1006),$AN$1006:$BO$1006,0))&gt;=100000), " ",IF(INDEX($AN$2:$BO$1001,MATCH(ROWS($AG$2:AG209),$AG$2:$AG$1001,0),MATCH(COLUMNS($AN$1006:BJ1006),$AN$1006:$BO$1006,0)), HYPERLINK("#",""), HYPERLINK(CONCATENATE("#Metadata!", ADDRESS(INDEX($AI$2:$AI$1001,MATCH(ROWS($AG$2:AG209),$AG$2:$AG$1001,0),0), INDEX($AN$1004:$BO$1004,1,MATCH(COLUMNS($AN$1006:BJ1006),$AN$1006:$BO$1006,0)))),"Fix")))</f>
        <v>0</v>
      </c>
      <c r="Y209" s="4">
        <f>IF(OR(INDEX($AH$2:$AH$1001,MATCH(ROWS($AG$2:AG209),$AG$2:$AG$1001,0),1)&gt;=100000,INDEX($AN$1005:$BO$1005,1,MATCH(COLUMNS($AN$1006:BK1006),$AN$1006:$BO$1006,0))&gt;=100000), " ",IF(INDEX($AN$2:$BO$1001,MATCH(ROWS($AG$2:AG209),$AG$2:$AG$1001,0),MATCH(COLUMNS($AN$1006:BK1006),$AN$1006:$BO$1006,0)), HYPERLINK("#",""), HYPERLINK(CONCATENATE("#Metadata!", ADDRESS(INDEX($AI$2:$AI$1001,MATCH(ROWS($AG$2:AG209),$AG$2:$AG$1001,0),0), INDEX($AN$1004:$BO$1004,1,MATCH(COLUMNS($AN$1006:BK1006),$AN$1006:$BO$1006,0)))),"Fix")))</f>
        <v>0</v>
      </c>
      <c r="Z209" s="4">
        <f>IF(OR(INDEX($AH$2:$AH$1001,MATCH(ROWS($AG$2:AG209),$AG$2:$AG$1001,0),1)&gt;=100000,INDEX($AN$1005:$BO$1005,1,MATCH(COLUMNS($AN$1006:BL1006),$AN$1006:$BO$1006,0))&gt;=100000), " ",IF(INDEX($AN$2:$BO$1001,MATCH(ROWS($AG$2:AG209),$AG$2:$AG$1001,0),MATCH(COLUMNS($AN$1006:BL1006),$AN$1006:$BO$1006,0)), HYPERLINK("#",""), HYPERLINK(CONCATENATE("#Metadata!", ADDRESS(INDEX($AI$2:$AI$1001,MATCH(ROWS($AG$2:AG209),$AG$2:$AG$1001,0),0), INDEX($AN$1004:$BO$1004,1,MATCH(COLUMNS($AN$1006:BL1006),$AN$1006:$BO$1006,0)))),"Fix")))</f>
        <v>0</v>
      </c>
      <c r="AA209" s="4">
        <f>IF(OR(INDEX($AH$2:$AH$1001,MATCH(ROWS($AG$2:AG209),$AG$2:$AG$1001,0),1)&gt;=100000,INDEX($AN$1005:$BO$1005,1,MATCH(COLUMNS($AN$1006:BM1006),$AN$1006:$BO$1006,0))&gt;=100000), " ",IF(INDEX($AN$2:$BO$1001,MATCH(ROWS($AG$2:AG209),$AG$2:$AG$1001,0),MATCH(COLUMNS($AN$1006:BM1006),$AN$1006:$BO$1006,0)), HYPERLINK("#",""), HYPERLINK(CONCATENATE("#Metadata!", ADDRESS(INDEX($AI$2:$AI$1001,MATCH(ROWS($AG$2:AG209),$AG$2:$AG$1001,0),0), INDEX($AN$1004:$BO$1004,1,MATCH(COLUMNS($AN$1006:BM1006),$AN$1006:$BO$1006,0)))),"Fix")))</f>
        <v>0</v>
      </c>
      <c r="AB209" s="4">
        <f>IF(OR(INDEX($AH$2:$AH$1001,MATCH(ROWS($AG$2:AG209),$AG$2:$AG$1001,0),1)&gt;=100000,INDEX($AN$1005:$BO$1005,1,MATCH(COLUMNS($AN$1006:BN1006),$AN$1006:$BO$1006,0))&gt;=100000), " ",IF(INDEX($AN$2:$BO$1001,MATCH(ROWS($AG$2:AG209),$AG$2:$AG$1001,0),MATCH(COLUMNS($AN$1006:BN1006),$AN$1006:$BO$1006,0)), HYPERLINK("#",""), HYPERLINK(CONCATENATE("#Metadata!", ADDRESS(INDEX($AI$2:$AI$1001,MATCH(ROWS($AG$2:AG209),$AG$2:$AG$1001,0),0), INDEX($AN$1004:$BO$1004,1,MATCH(COLUMNS($AN$1006:BN1006),$AN$1006:$BO$1006,0)))),"Fix")))</f>
        <v>0</v>
      </c>
      <c r="AC209" s="4">
        <f>IF(OR(INDEX($AH$2:$AH$1001,MATCH(ROWS($AG$2:AG209),$AG$2:$AG$1001,0),1)&gt;=100000,INDEX($AN$1005:$BO$1005,1,MATCH(COLUMNS($AN$1006:BO1006),$AN$1006:$BO$1006,0))&gt;=100000), " ",IF(INDEX($AN$2:$BO$1001,MATCH(ROWS($AG$2:AG209),$AG$2:$AG$1001,0),MATCH(COLUMNS($AN$1006:BO1006),$AN$1006:$BO$1006,0)), HYPERLINK("#",""), HYPERLINK(CONCATENATE("#Metadata!", ADDRESS(INDEX($AI$2:$AI$1001,MATCH(ROWS($AG$2:AG209),$AG$2:$AG$1001,0),0), INDEX($AN$1004:$BO$1004,1,MATCH(COLUMNS($AN$1006:BO1006),$AN$1006:$BO$1006,0)))),"Fix")))</f>
        <v>0</v>
      </c>
      <c r="AG209">
        <v>0</v>
      </c>
      <c r="AH209">
        <v>0</v>
      </c>
      <c r="AI209">
        <v>0</v>
      </c>
      <c r="AJ209">
        <f>IF(AK209,TRUE,AND(AN209:BO209))</f>
        <v>0</v>
      </c>
      <c r="AK209">
        <f>COUNTBLANK(Metadata!B209:AC209)=COLUMNS(Metadata!B209:AC209)</f>
        <v>0</v>
      </c>
      <c r="AL209">
        <v>0</v>
      </c>
      <c r="AN209">
        <f>AND(IF(Metadata!B209="",FALSE,TRUE),COUNTIF(Metadata!B:B, Metadata!B209) = 1,NOT(ISERROR(SUMPRODUCT(SEARCH(MID(Metadata!B209,ROW(INDIRECT("1:"&amp;LEN(Metadata!B209))), 1),"0123456789abcdefghijklmnopqrstuvwxyzABCDEFGHIJKLMNOPQRSTUVWXYZ.")))))</f>
        <v>0</v>
      </c>
      <c r="AO209">
        <f>IF(Metadata!C209="",FALSE,TRUE)</f>
        <v>0</v>
      </c>
      <c r="AP209">
        <f>IF(Metadata!D209="",FALSE,TRUE)</f>
        <v>0</v>
      </c>
      <c r="AQ209">
        <f>OR(AND(IF(Metadata!E209="",FALSE,TRUE),OR(exact(Metadata!E209,"not collected"),exact(Metadata!E209,"not provided"),exact(Metadata!E209,"restricted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R209">
        <f>IF(Metadata!F209="",FALSE,TRUE)</f>
        <v>0</v>
      </c>
      <c r="AS209">
        <f>OR(AND(IF(Metadata!G209="",FALSE,TRUE),OR(exact(Metadata!G209,"not collected"),exact(Metadata!G209,"not provided"))),AND(IF(Metadata!G209="",FALSE,TRUE),OR(exact(Metadata!G209,"TRUE"),exact(Metadata!G209,"FALSE"))))</f>
        <v>0</v>
      </c>
      <c r="AT209">
        <f>OR(AND(IF(Metadata!H209="",FALSE,TRUE),OR(exact(Metadata!H209,"not collected"),exact(Metadata!H209,"not provided"),exact(Metadata!H209,"restricted access"))),AND(IF(Metadata!H209="",FALSE,ISNUMBER(VALUE(Metadata!H209))),Metadata!H209&gt;=-413.0))</f>
        <v>0</v>
      </c>
      <c r="AU209">
        <f>AND(IF(Metadata!I209="",FALSE,TRUE),exact(Metadata!I209,"meters"))</f>
        <v>0</v>
      </c>
      <c r="AV209">
        <f>AND(IF(Metadata!J209="",FALSE,TRUE),OR(exact(Metadata!J209,"Host-associated"),exact(Metadata!J209,"Free-living")))</f>
        <v>0</v>
      </c>
      <c r="AW209">
        <f>AND(IF(Metadata!K209="",FALSE,TRUE),OR(exact(Metadata!K209,"Animal"),exact(Metadata!K209,"Fungus"),exact(Metadata!K209,"Plant"),exact(Metadata!K209,"Saline"),exact(Metadata!K209,"Non-saline")))</f>
        <v>0</v>
      </c>
      <c r="AX209">
        <f>AND(IF(Metadata!L209="",FALSE,TRUE),OR(exact(Metadata!L209,"Plant secretion"),exact(Metadata!L209,"Plant rhizosphere"),exact(Metadata!L209,"Plant surface"),exact(Metadata!L209,"Plant corpus"),exact(Metadata!L209,"Fungus surface"),exact(Metadata!L209,"Fungus corpus"),exact(Metadata!L209,"Animal surface"),exact(Metadata!L209,"Animal proximal gut"),exact(Metadata!L209,"Animal corpus"),exact(Metadata!L209,"Animal distal gut"),exact(Metadata!L209,"Animal secretion"),exact(Metadata!L209,"Sub-surface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Y209">
        <f>IF(Metadata!M209="",FALSE,TRUE)</f>
        <v>0</v>
      </c>
      <c r="AZ209">
        <f>IF(Metadata!N209="",FALSE,TRUE)</f>
        <v>0</v>
      </c>
      <c r="BA209">
        <f>IF(Metadata!O209="",FALSE,TRUE)</f>
        <v>0</v>
      </c>
      <c r="BB209">
        <f>OR(AND(IF(Metadata!P209="",FALSE,TRUE),OR(exact(Metadata!P209,"not collected"),exact(Metadata!P209,"not provided"),exact(Metadata!P209,"restricted access"))),AND(IF(Metadata!P209="",FALSE,TRUE),OR(exact(Metadata!P209,"air"),exact(Metadata!P209,"built environment"),exact(Metadata!P209,"host-associated"),exact(Metadata!P209,"human-associated"),exact(Metadata!P209,"human-skin"),exact(Metadata!P209,"human-oral"),exact(Metadata!P209,"human-gut"),exact(Metadata!P209,"human-vaginal"),exact(Metadata!P209,"microbial mat/biofilm"),exact(Metadata!P209,"misc environment"),exact(Metadata!P209,"plant-associated"),exact(Metadata!P209,"sediment"),exact(Metadata!P209,"soil"),exact(Metadata!P209,"wastewater/sludge"),exact(Metadata!P209,"water"))))</f>
        <v>0</v>
      </c>
      <c r="BC209">
        <f>IF(Metadata!Q209="",FALSE,TRUE)</f>
        <v>0</v>
      </c>
      <c r="BD209">
        <f>IF(Metadata!R209="",FALSE,TRUE)</f>
        <v>0</v>
      </c>
      <c r="BE209">
        <f>OR(AND(IF(Metadata!S209="",FALSE,TRUE),OR(exact(Metadata!S209,"not collected"),exact(Metadata!S209,"not provided"),exact(Metadata!S209,"restricted access"))),AND(IF(Metadata!S209="",FALSE,ISNUMBER(VALUE(Metadata!S209))),Metadata!S209&gt;=-90.00,Metadata!S209&lt;=90.00))</f>
        <v>0</v>
      </c>
      <c r="BF209">
        <f>AND(IF(Metadata!T209="",FALSE,TRUE),exact(Metadata!T209,"Decimal degrees"))</f>
        <v>0</v>
      </c>
      <c r="BG209">
        <f>OR(AND(IF(Metadata!U209="",FALSE,TRUE),OR(exact(Metadata!U209,"not collected"),exact(Metadata!U209,"not provided"),exact(Metadata!U209,"restricted access"))),AND(IF(Metadata!U209="",FALSE,ISNUMBER(VALUE(Metadata!U209))),Metadata!U209&gt;=-180.00,Metadata!U209&lt;=180.00))</f>
        <v>0</v>
      </c>
      <c r="BH209">
        <f>AND(IF(Metadata!V209="",FALSE,TRUE),exact(Metadata!V209,"Decimal degrees"))</f>
        <v>0</v>
      </c>
      <c r="BI209">
        <f>IF(Metadata!W209="",FALSE,TRUE)</f>
        <v>0</v>
      </c>
      <c r="BJ209">
        <f>OR(AND(IF(Metadata!X209="",FALSE,TRUE),OR(exact(Metadata!X209,"not collected"),exact(Metadata!X209,"not provided"),exact(Metadata!X209,"restricted access"))),AND(IF(Metadata!X209="",FALSE,TRUE),OR(exact(Metadata!X209,"TRUE"),exact(Metadata!X209,"FALSE"))))</f>
        <v>0</v>
      </c>
      <c r="BK209">
        <f>AND(IF(Metadata!Y209="",FALSE,TRUE),exact(Metadata!Y209,"other"))</f>
        <v>0</v>
      </c>
      <c r="BL209">
        <f>IF(Metadata!Z209="",FALSE,TRUE)</f>
        <v>0</v>
      </c>
      <c r="BM209">
        <f>OR(AND(IF(Metadata!AA209="",FALSE,TRUE),OR(exact(Metadata!AA209,"not collected"),exact(Metadata!AA209,"not provided"))),AND(IF(Metadata!AA209="",FALSE,IF(ISERROR(INT(Metadata!AA209)),FALSE,INT(Metadata!AA209)=Metadata!AA209)),Metadata!AA209&gt;0))</f>
        <v>0</v>
      </c>
      <c r="BN209">
        <f>AND(IF(Metadata!AB209="",FALSE,TRUE),exact(Metadata!AB209,"Not applicable"))</f>
        <v>0</v>
      </c>
      <c r="BO209">
        <f>IF(Metadata!AC209="",FALSE,TRUE)</f>
        <v>0</v>
      </c>
    </row>
    <row r="210" spans="1:67">
      <c r="A210" s="5">
        <f>IF(B210=" "," ",HYPERLINK(CONCATENATE("#metadata!",ADDRESS(INDEX($AI$2:$AI$1001,MATCH(ROWS($AG$2:AG210),$AG$2:$AG$1001,0),0),1)),INDEX($AL$2:$AL$1001,MATCH(ROWS($AG$2:AG210),$AG$2:$AG$1001,0),0)))</f>
        <v>0</v>
      </c>
      <c r="B210" s="4">
        <f>IF(OR(INDEX($AH$2:$AH$1001,MATCH(ROWS($AG$2:AG210),$AG$2:$AG$1001,0),1)&gt;=100000,INDEX($AN$1005:$BO$1005,1,MATCH(COLUMNS($AN$1006:AN1006),$AN$1006:$BO$1006,0))&gt;=100000), " ",IF(INDEX($AN$2:$BO$1001,MATCH(ROWS($AG$2:AG210),$AG$2:$AG$1001,0),MATCH(COLUMNS($AN$1006:AN1006),$AN$1006:$BO$1006,0)), HYPERLINK("#",""), HYPERLINK(CONCATENATE("#Metadata!", ADDRESS(INDEX($AI$2:$AI$1001,MATCH(ROWS($AG$2:AG210),$AG$2:$AG$1001,0),0), INDEX($AN$1004:$BO$1004,1,MATCH(COLUMNS($AN$1006:AN1006),$AN$1006:$BO$1006,0)))),"Fix")))</f>
        <v>0</v>
      </c>
      <c r="C210" s="4">
        <f>IF(OR(INDEX($AH$2:$AH$1001,MATCH(ROWS($AG$2:AG210),$AG$2:$AG$1001,0),1)&gt;=100000,INDEX($AN$1005:$BO$1005,1,MATCH(COLUMNS($AN$1006:AO1006),$AN$1006:$BO$1006,0))&gt;=100000), " ",IF(INDEX($AN$2:$BO$1001,MATCH(ROWS($AG$2:AG210),$AG$2:$AG$1001,0),MATCH(COLUMNS($AN$1006:AO1006),$AN$1006:$BO$1006,0)), HYPERLINK("#",""), HYPERLINK(CONCATENATE("#Metadata!", ADDRESS(INDEX($AI$2:$AI$1001,MATCH(ROWS($AG$2:AG210),$AG$2:$AG$1001,0),0), INDEX($AN$1004:$BO$1004,1,MATCH(COLUMNS($AN$1006:AO1006),$AN$1006:$BO$1006,0)))),"Fix")))</f>
        <v>0</v>
      </c>
      <c r="D210" s="4">
        <f>IF(OR(INDEX($AH$2:$AH$1001,MATCH(ROWS($AG$2:AG210),$AG$2:$AG$1001,0),1)&gt;=100000,INDEX($AN$1005:$BO$1005,1,MATCH(COLUMNS($AN$1006:AP1006),$AN$1006:$BO$1006,0))&gt;=100000), " ",IF(INDEX($AN$2:$BO$1001,MATCH(ROWS($AG$2:AG210),$AG$2:$AG$1001,0),MATCH(COLUMNS($AN$1006:AP1006),$AN$1006:$BO$1006,0)), HYPERLINK("#",""), HYPERLINK(CONCATENATE("#Metadata!", ADDRESS(INDEX($AI$2:$AI$1001,MATCH(ROWS($AG$2:AG210),$AG$2:$AG$1001,0),0), INDEX($AN$1004:$BO$1004,1,MATCH(COLUMNS($AN$1006:AP1006),$AN$1006:$BO$1006,0)))),"Fix")))</f>
        <v>0</v>
      </c>
      <c r="E210" s="4">
        <f>IF(OR(INDEX($AH$2:$AH$1001,MATCH(ROWS($AG$2:AG210),$AG$2:$AG$1001,0),1)&gt;=100000,INDEX($AN$1005:$BO$1005,1,MATCH(COLUMNS($AN$1006:AQ1006),$AN$1006:$BO$1006,0))&gt;=100000), " ",IF(INDEX($AN$2:$BO$1001,MATCH(ROWS($AG$2:AG210),$AG$2:$AG$1001,0),MATCH(COLUMNS($AN$1006:AQ1006),$AN$1006:$BO$1006,0)), HYPERLINK("#",""), HYPERLINK(CONCATENATE("#Metadata!", ADDRESS(INDEX($AI$2:$AI$1001,MATCH(ROWS($AG$2:AG210),$AG$2:$AG$1001,0),0), INDEX($AN$1004:$BO$1004,1,MATCH(COLUMNS($AN$1006:AQ1006),$AN$1006:$BO$1006,0)))),"Fix")))</f>
        <v>0</v>
      </c>
      <c r="F210" s="4">
        <f>IF(OR(INDEX($AH$2:$AH$1001,MATCH(ROWS($AG$2:AG210),$AG$2:$AG$1001,0),1)&gt;=100000,INDEX($AN$1005:$BO$1005,1,MATCH(COLUMNS($AN$1006:AR1006),$AN$1006:$BO$1006,0))&gt;=100000), " ",IF(INDEX($AN$2:$BO$1001,MATCH(ROWS($AG$2:AG210),$AG$2:$AG$1001,0),MATCH(COLUMNS($AN$1006:AR1006),$AN$1006:$BO$1006,0)), HYPERLINK("#",""), HYPERLINK(CONCATENATE("#Metadata!", ADDRESS(INDEX($AI$2:$AI$1001,MATCH(ROWS($AG$2:AG210),$AG$2:$AG$1001,0),0), INDEX($AN$1004:$BO$1004,1,MATCH(COLUMNS($AN$1006:AR1006),$AN$1006:$BO$1006,0)))),"Fix")))</f>
        <v>0</v>
      </c>
      <c r="G210" s="4">
        <f>IF(OR(INDEX($AH$2:$AH$1001,MATCH(ROWS($AG$2:AG210),$AG$2:$AG$1001,0),1)&gt;=100000,INDEX($AN$1005:$BO$1005,1,MATCH(COLUMNS($AN$1006:AS1006),$AN$1006:$BO$1006,0))&gt;=100000), " ",IF(INDEX($AN$2:$BO$1001,MATCH(ROWS($AG$2:AG210),$AG$2:$AG$1001,0),MATCH(COLUMNS($AN$1006:AS1006),$AN$1006:$BO$1006,0)), HYPERLINK("#",""), HYPERLINK(CONCATENATE("#Metadata!", ADDRESS(INDEX($AI$2:$AI$1001,MATCH(ROWS($AG$2:AG210),$AG$2:$AG$1001,0),0), INDEX($AN$1004:$BO$1004,1,MATCH(COLUMNS($AN$1006:AS1006),$AN$1006:$BO$1006,0)))),"Fix")))</f>
        <v>0</v>
      </c>
      <c r="H210" s="4">
        <f>IF(OR(INDEX($AH$2:$AH$1001,MATCH(ROWS($AG$2:AG210),$AG$2:$AG$1001,0),1)&gt;=100000,INDEX($AN$1005:$BO$1005,1,MATCH(COLUMNS($AN$1006:AT1006),$AN$1006:$BO$1006,0))&gt;=100000), " ",IF(INDEX($AN$2:$BO$1001,MATCH(ROWS($AG$2:AG210),$AG$2:$AG$1001,0),MATCH(COLUMNS($AN$1006:AT1006),$AN$1006:$BO$1006,0)), HYPERLINK("#",""), HYPERLINK(CONCATENATE("#Metadata!", ADDRESS(INDEX($AI$2:$AI$1001,MATCH(ROWS($AG$2:AG210),$AG$2:$AG$1001,0),0), INDEX($AN$1004:$BO$1004,1,MATCH(COLUMNS($AN$1006:AT1006),$AN$1006:$BO$1006,0)))),"Fix")))</f>
        <v>0</v>
      </c>
      <c r="I210" s="4">
        <f>IF(OR(INDEX($AH$2:$AH$1001,MATCH(ROWS($AG$2:AG210),$AG$2:$AG$1001,0),1)&gt;=100000,INDEX($AN$1005:$BO$1005,1,MATCH(COLUMNS($AN$1006:AU1006),$AN$1006:$BO$1006,0))&gt;=100000), " ",IF(INDEX($AN$2:$BO$1001,MATCH(ROWS($AG$2:AG210),$AG$2:$AG$1001,0),MATCH(COLUMNS($AN$1006:AU1006),$AN$1006:$BO$1006,0)), HYPERLINK("#",""), HYPERLINK(CONCATENATE("#Metadata!", ADDRESS(INDEX($AI$2:$AI$1001,MATCH(ROWS($AG$2:AG210),$AG$2:$AG$1001,0),0), INDEX($AN$1004:$BO$1004,1,MATCH(COLUMNS($AN$1006:AU1006),$AN$1006:$BO$1006,0)))),"Fix")))</f>
        <v>0</v>
      </c>
      <c r="J210" s="4">
        <f>IF(OR(INDEX($AH$2:$AH$1001,MATCH(ROWS($AG$2:AG210),$AG$2:$AG$1001,0),1)&gt;=100000,INDEX($AN$1005:$BO$1005,1,MATCH(COLUMNS($AN$1006:AV1006),$AN$1006:$BO$1006,0))&gt;=100000), " ",IF(INDEX($AN$2:$BO$1001,MATCH(ROWS($AG$2:AG210),$AG$2:$AG$1001,0),MATCH(COLUMNS($AN$1006:AV1006),$AN$1006:$BO$1006,0)), HYPERLINK("#",""), HYPERLINK(CONCATENATE("#Metadata!", ADDRESS(INDEX($AI$2:$AI$1001,MATCH(ROWS($AG$2:AG210),$AG$2:$AG$1001,0),0), INDEX($AN$1004:$BO$1004,1,MATCH(COLUMNS($AN$1006:AV1006),$AN$1006:$BO$1006,0)))),"Fix")))</f>
        <v>0</v>
      </c>
      <c r="K210" s="4">
        <f>IF(OR(INDEX($AH$2:$AH$1001,MATCH(ROWS($AG$2:AG210),$AG$2:$AG$1001,0),1)&gt;=100000,INDEX($AN$1005:$BO$1005,1,MATCH(COLUMNS($AN$1006:AW1006),$AN$1006:$BO$1006,0))&gt;=100000), " ",IF(INDEX($AN$2:$BO$1001,MATCH(ROWS($AG$2:AG210),$AG$2:$AG$1001,0),MATCH(COLUMNS($AN$1006:AW1006),$AN$1006:$BO$1006,0)), HYPERLINK("#",""), HYPERLINK(CONCATENATE("#Metadata!", ADDRESS(INDEX($AI$2:$AI$1001,MATCH(ROWS($AG$2:AG210),$AG$2:$AG$1001,0),0), INDEX($AN$1004:$BO$1004,1,MATCH(COLUMNS($AN$1006:AW1006),$AN$1006:$BO$1006,0)))),"Fix")))</f>
        <v>0</v>
      </c>
      <c r="L210" s="4">
        <f>IF(OR(INDEX($AH$2:$AH$1001,MATCH(ROWS($AG$2:AG210),$AG$2:$AG$1001,0),1)&gt;=100000,INDEX($AN$1005:$BO$1005,1,MATCH(COLUMNS($AN$1006:AX1006),$AN$1006:$BO$1006,0))&gt;=100000), " ",IF(INDEX($AN$2:$BO$1001,MATCH(ROWS($AG$2:AG210),$AG$2:$AG$1001,0),MATCH(COLUMNS($AN$1006:AX1006),$AN$1006:$BO$1006,0)), HYPERLINK("#",""), HYPERLINK(CONCATENATE("#Metadata!", ADDRESS(INDEX($AI$2:$AI$1001,MATCH(ROWS($AG$2:AG210),$AG$2:$AG$1001,0),0), INDEX($AN$1004:$BO$1004,1,MATCH(COLUMNS($AN$1006:AX1006),$AN$1006:$BO$1006,0)))),"Fix")))</f>
        <v>0</v>
      </c>
      <c r="M210" s="4">
        <f>IF(OR(INDEX($AH$2:$AH$1001,MATCH(ROWS($AG$2:AG210),$AG$2:$AG$1001,0),1)&gt;=100000,INDEX($AN$1005:$BO$1005,1,MATCH(COLUMNS($AN$1006:AY1006),$AN$1006:$BO$1006,0))&gt;=100000), " ",IF(INDEX($AN$2:$BO$1001,MATCH(ROWS($AG$2:AG210),$AG$2:$AG$1001,0),MATCH(COLUMNS($AN$1006:AY1006),$AN$1006:$BO$1006,0)), HYPERLINK("#",""), HYPERLINK(CONCATENATE("#Metadata!", ADDRESS(INDEX($AI$2:$AI$1001,MATCH(ROWS($AG$2:AG210),$AG$2:$AG$1001,0),0), INDEX($AN$1004:$BO$1004,1,MATCH(COLUMNS($AN$1006:AY1006),$AN$1006:$BO$1006,0)))),"Fix")))</f>
        <v>0</v>
      </c>
      <c r="N210" s="4">
        <f>IF(OR(INDEX($AH$2:$AH$1001,MATCH(ROWS($AG$2:AG210),$AG$2:$AG$1001,0),1)&gt;=100000,INDEX($AN$1005:$BO$1005,1,MATCH(COLUMNS($AN$1006:AZ1006),$AN$1006:$BO$1006,0))&gt;=100000), " ",IF(INDEX($AN$2:$BO$1001,MATCH(ROWS($AG$2:AG210),$AG$2:$AG$1001,0),MATCH(COLUMNS($AN$1006:AZ1006),$AN$1006:$BO$1006,0)), HYPERLINK("#",""), HYPERLINK(CONCATENATE("#Metadata!", ADDRESS(INDEX($AI$2:$AI$1001,MATCH(ROWS($AG$2:AG210),$AG$2:$AG$1001,0),0), INDEX($AN$1004:$BO$1004,1,MATCH(COLUMNS($AN$1006:AZ1006),$AN$1006:$BO$1006,0)))),"Fix")))</f>
        <v>0</v>
      </c>
      <c r="O210" s="4">
        <f>IF(OR(INDEX($AH$2:$AH$1001,MATCH(ROWS($AG$2:AG210),$AG$2:$AG$1001,0),1)&gt;=100000,INDEX($AN$1005:$BO$1005,1,MATCH(COLUMNS($AN$1006:BA1006),$AN$1006:$BO$1006,0))&gt;=100000), " ",IF(INDEX($AN$2:$BO$1001,MATCH(ROWS($AG$2:AG210),$AG$2:$AG$1001,0),MATCH(COLUMNS($AN$1006:BA1006),$AN$1006:$BO$1006,0)), HYPERLINK("#",""), HYPERLINK(CONCATENATE("#Metadata!", ADDRESS(INDEX($AI$2:$AI$1001,MATCH(ROWS($AG$2:AG210),$AG$2:$AG$1001,0),0), INDEX($AN$1004:$BO$1004,1,MATCH(COLUMNS($AN$1006:BA1006),$AN$1006:$BO$1006,0)))),"Fix")))</f>
        <v>0</v>
      </c>
      <c r="P210" s="4">
        <f>IF(OR(INDEX($AH$2:$AH$1001,MATCH(ROWS($AG$2:AG210),$AG$2:$AG$1001,0),1)&gt;=100000,INDEX($AN$1005:$BO$1005,1,MATCH(COLUMNS($AN$1006:BB1006),$AN$1006:$BO$1006,0))&gt;=100000), " ",IF(INDEX($AN$2:$BO$1001,MATCH(ROWS($AG$2:AG210),$AG$2:$AG$1001,0),MATCH(COLUMNS($AN$1006:BB1006),$AN$1006:$BO$1006,0)), HYPERLINK("#",""), HYPERLINK(CONCATENATE("#Metadata!", ADDRESS(INDEX($AI$2:$AI$1001,MATCH(ROWS($AG$2:AG210),$AG$2:$AG$1001,0),0), INDEX($AN$1004:$BO$1004,1,MATCH(COLUMNS($AN$1006:BB1006),$AN$1006:$BO$1006,0)))),"Fix")))</f>
        <v>0</v>
      </c>
      <c r="Q210" s="4">
        <f>IF(OR(INDEX($AH$2:$AH$1001,MATCH(ROWS($AG$2:AG210),$AG$2:$AG$1001,0),1)&gt;=100000,INDEX($AN$1005:$BO$1005,1,MATCH(COLUMNS($AN$1006:BC1006),$AN$1006:$BO$1006,0))&gt;=100000), " ",IF(INDEX($AN$2:$BO$1001,MATCH(ROWS($AG$2:AG210),$AG$2:$AG$1001,0),MATCH(COLUMNS($AN$1006:BC1006),$AN$1006:$BO$1006,0)), HYPERLINK("#",""), HYPERLINK(CONCATENATE("#Metadata!", ADDRESS(INDEX($AI$2:$AI$1001,MATCH(ROWS($AG$2:AG210),$AG$2:$AG$1001,0),0), INDEX($AN$1004:$BO$1004,1,MATCH(COLUMNS($AN$1006:BC1006),$AN$1006:$BO$1006,0)))),"Fix")))</f>
        <v>0</v>
      </c>
      <c r="R210" s="4">
        <f>IF(OR(INDEX($AH$2:$AH$1001,MATCH(ROWS($AG$2:AG210),$AG$2:$AG$1001,0),1)&gt;=100000,INDEX($AN$1005:$BO$1005,1,MATCH(COLUMNS($AN$1006:BD1006),$AN$1006:$BO$1006,0))&gt;=100000), " ",IF(INDEX($AN$2:$BO$1001,MATCH(ROWS($AG$2:AG210),$AG$2:$AG$1001,0),MATCH(COLUMNS($AN$1006:BD1006),$AN$1006:$BO$1006,0)), HYPERLINK("#",""), HYPERLINK(CONCATENATE("#Metadata!", ADDRESS(INDEX($AI$2:$AI$1001,MATCH(ROWS($AG$2:AG210),$AG$2:$AG$1001,0),0), INDEX($AN$1004:$BO$1004,1,MATCH(COLUMNS($AN$1006:BD1006),$AN$1006:$BO$1006,0)))),"Fix")))</f>
        <v>0</v>
      </c>
      <c r="S210" s="4">
        <f>IF(OR(INDEX($AH$2:$AH$1001,MATCH(ROWS($AG$2:AG210),$AG$2:$AG$1001,0),1)&gt;=100000,INDEX($AN$1005:$BO$1005,1,MATCH(COLUMNS($AN$1006:BE1006),$AN$1006:$BO$1006,0))&gt;=100000), " ",IF(INDEX($AN$2:$BO$1001,MATCH(ROWS($AG$2:AG210),$AG$2:$AG$1001,0),MATCH(COLUMNS($AN$1006:BE1006),$AN$1006:$BO$1006,0)), HYPERLINK("#",""), HYPERLINK(CONCATENATE("#Metadata!", ADDRESS(INDEX($AI$2:$AI$1001,MATCH(ROWS($AG$2:AG210),$AG$2:$AG$1001,0),0), INDEX($AN$1004:$BO$1004,1,MATCH(COLUMNS($AN$1006:BE1006),$AN$1006:$BO$1006,0)))),"Fix")))</f>
        <v>0</v>
      </c>
      <c r="T210" s="4">
        <f>IF(OR(INDEX($AH$2:$AH$1001,MATCH(ROWS($AG$2:AG210),$AG$2:$AG$1001,0),1)&gt;=100000,INDEX($AN$1005:$BO$1005,1,MATCH(COLUMNS($AN$1006:BF1006),$AN$1006:$BO$1006,0))&gt;=100000), " ",IF(INDEX($AN$2:$BO$1001,MATCH(ROWS($AG$2:AG210),$AG$2:$AG$1001,0),MATCH(COLUMNS($AN$1006:BF1006),$AN$1006:$BO$1006,0)), HYPERLINK("#",""), HYPERLINK(CONCATENATE("#Metadata!", ADDRESS(INDEX($AI$2:$AI$1001,MATCH(ROWS($AG$2:AG210),$AG$2:$AG$1001,0),0), INDEX($AN$1004:$BO$1004,1,MATCH(COLUMNS($AN$1006:BF1006),$AN$1006:$BO$1006,0)))),"Fix")))</f>
        <v>0</v>
      </c>
      <c r="U210" s="4">
        <f>IF(OR(INDEX($AH$2:$AH$1001,MATCH(ROWS($AG$2:AG210),$AG$2:$AG$1001,0),1)&gt;=100000,INDEX($AN$1005:$BO$1005,1,MATCH(COLUMNS($AN$1006:BG1006),$AN$1006:$BO$1006,0))&gt;=100000), " ",IF(INDEX($AN$2:$BO$1001,MATCH(ROWS($AG$2:AG210),$AG$2:$AG$1001,0),MATCH(COLUMNS($AN$1006:BG1006),$AN$1006:$BO$1006,0)), HYPERLINK("#",""), HYPERLINK(CONCATENATE("#Metadata!", ADDRESS(INDEX($AI$2:$AI$1001,MATCH(ROWS($AG$2:AG210),$AG$2:$AG$1001,0),0), INDEX($AN$1004:$BO$1004,1,MATCH(COLUMNS($AN$1006:BG1006),$AN$1006:$BO$1006,0)))),"Fix")))</f>
        <v>0</v>
      </c>
      <c r="V210" s="4">
        <f>IF(OR(INDEX($AH$2:$AH$1001,MATCH(ROWS($AG$2:AG210),$AG$2:$AG$1001,0),1)&gt;=100000,INDEX($AN$1005:$BO$1005,1,MATCH(COLUMNS($AN$1006:BH1006),$AN$1006:$BO$1006,0))&gt;=100000), " ",IF(INDEX($AN$2:$BO$1001,MATCH(ROWS($AG$2:AG210),$AG$2:$AG$1001,0),MATCH(COLUMNS($AN$1006:BH1006),$AN$1006:$BO$1006,0)), HYPERLINK("#",""), HYPERLINK(CONCATENATE("#Metadata!", ADDRESS(INDEX($AI$2:$AI$1001,MATCH(ROWS($AG$2:AG210),$AG$2:$AG$1001,0),0), INDEX($AN$1004:$BO$1004,1,MATCH(COLUMNS($AN$1006:BH1006),$AN$1006:$BO$1006,0)))),"Fix")))</f>
        <v>0</v>
      </c>
      <c r="W210" s="4">
        <f>IF(OR(INDEX($AH$2:$AH$1001,MATCH(ROWS($AG$2:AG210),$AG$2:$AG$1001,0),1)&gt;=100000,INDEX($AN$1005:$BO$1005,1,MATCH(COLUMNS($AN$1006:BI1006),$AN$1006:$BO$1006,0))&gt;=100000), " ",IF(INDEX($AN$2:$BO$1001,MATCH(ROWS($AG$2:AG210),$AG$2:$AG$1001,0),MATCH(COLUMNS($AN$1006:BI1006),$AN$1006:$BO$1006,0)), HYPERLINK("#",""), HYPERLINK(CONCATENATE("#Metadata!", ADDRESS(INDEX($AI$2:$AI$1001,MATCH(ROWS($AG$2:AG210),$AG$2:$AG$1001,0),0), INDEX($AN$1004:$BO$1004,1,MATCH(COLUMNS($AN$1006:BI1006),$AN$1006:$BO$1006,0)))),"Fix")))</f>
        <v>0</v>
      </c>
      <c r="X210" s="4">
        <f>IF(OR(INDEX($AH$2:$AH$1001,MATCH(ROWS($AG$2:AG210),$AG$2:$AG$1001,0),1)&gt;=100000,INDEX($AN$1005:$BO$1005,1,MATCH(COLUMNS($AN$1006:BJ1006),$AN$1006:$BO$1006,0))&gt;=100000), " ",IF(INDEX($AN$2:$BO$1001,MATCH(ROWS($AG$2:AG210),$AG$2:$AG$1001,0),MATCH(COLUMNS($AN$1006:BJ1006),$AN$1006:$BO$1006,0)), HYPERLINK("#",""), HYPERLINK(CONCATENATE("#Metadata!", ADDRESS(INDEX($AI$2:$AI$1001,MATCH(ROWS($AG$2:AG210),$AG$2:$AG$1001,0),0), INDEX($AN$1004:$BO$1004,1,MATCH(COLUMNS($AN$1006:BJ1006),$AN$1006:$BO$1006,0)))),"Fix")))</f>
        <v>0</v>
      </c>
      <c r="Y210" s="4">
        <f>IF(OR(INDEX($AH$2:$AH$1001,MATCH(ROWS($AG$2:AG210),$AG$2:$AG$1001,0),1)&gt;=100000,INDEX($AN$1005:$BO$1005,1,MATCH(COLUMNS($AN$1006:BK1006),$AN$1006:$BO$1006,0))&gt;=100000), " ",IF(INDEX($AN$2:$BO$1001,MATCH(ROWS($AG$2:AG210),$AG$2:$AG$1001,0),MATCH(COLUMNS($AN$1006:BK1006),$AN$1006:$BO$1006,0)), HYPERLINK("#",""), HYPERLINK(CONCATENATE("#Metadata!", ADDRESS(INDEX($AI$2:$AI$1001,MATCH(ROWS($AG$2:AG210),$AG$2:$AG$1001,0),0), INDEX($AN$1004:$BO$1004,1,MATCH(COLUMNS($AN$1006:BK1006),$AN$1006:$BO$1006,0)))),"Fix")))</f>
        <v>0</v>
      </c>
      <c r="Z210" s="4">
        <f>IF(OR(INDEX($AH$2:$AH$1001,MATCH(ROWS($AG$2:AG210),$AG$2:$AG$1001,0),1)&gt;=100000,INDEX($AN$1005:$BO$1005,1,MATCH(COLUMNS($AN$1006:BL1006),$AN$1006:$BO$1006,0))&gt;=100000), " ",IF(INDEX($AN$2:$BO$1001,MATCH(ROWS($AG$2:AG210),$AG$2:$AG$1001,0),MATCH(COLUMNS($AN$1006:BL1006),$AN$1006:$BO$1006,0)), HYPERLINK("#",""), HYPERLINK(CONCATENATE("#Metadata!", ADDRESS(INDEX($AI$2:$AI$1001,MATCH(ROWS($AG$2:AG210),$AG$2:$AG$1001,0),0), INDEX($AN$1004:$BO$1004,1,MATCH(COLUMNS($AN$1006:BL1006),$AN$1006:$BO$1006,0)))),"Fix")))</f>
        <v>0</v>
      </c>
      <c r="AA210" s="4">
        <f>IF(OR(INDEX($AH$2:$AH$1001,MATCH(ROWS($AG$2:AG210),$AG$2:$AG$1001,0),1)&gt;=100000,INDEX($AN$1005:$BO$1005,1,MATCH(COLUMNS($AN$1006:BM1006),$AN$1006:$BO$1006,0))&gt;=100000), " ",IF(INDEX($AN$2:$BO$1001,MATCH(ROWS($AG$2:AG210),$AG$2:$AG$1001,0),MATCH(COLUMNS($AN$1006:BM1006),$AN$1006:$BO$1006,0)), HYPERLINK("#",""), HYPERLINK(CONCATENATE("#Metadata!", ADDRESS(INDEX($AI$2:$AI$1001,MATCH(ROWS($AG$2:AG210),$AG$2:$AG$1001,0),0), INDEX($AN$1004:$BO$1004,1,MATCH(COLUMNS($AN$1006:BM1006),$AN$1006:$BO$1006,0)))),"Fix")))</f>
        <v>0</v>
      </c>
      <c r="AB210" s="4">
        <f>IF(OR(INDEX($AH$2:$AH$1001,MATCH(ROWS($AG$2:AG210),$AG$2:$AG$1001,0),1)&gt;=100000,INDEX($AN$1005:$BO$1005,1,MATCH(COLUMNS($AN$1006:BN1006),$AN$1006:$BO$1006,0))&gt;=100000), " ",IF(INDEX($AN$2:$BO$1001,MATCH(ROWS($AG$2:AG210),$AG$2:$AG$1001,0),MATCH(COLUMNS($AN$1006:BN1006),$AN$1006:$BO$1006,0)), HYPERLINK("#",""), HYPERLINK(CONCATENATE("#Metadata!", ADDRESS(INDEX($AI$2:$AI$1001,MATCH(ROWS($AG$2:AG210),$AG$2:$AG$1001,0),0), INDEX($AN$1004:$BO$1004,1,MATCH(COLUMNS($AN$1006:BN1006),$AN$1006:$BO$1006,0)))),"Fix")))</f>
        <v>0</v>
      </c>
      <c r="AC210" s="4">
        <f>IF(OR(INDEX($AH$2:$AH$1001,MATCH(ROWS($AG$2:AG210),$AG$2:$AG$1001,0),1)&gt;=100000,INDEX($AN$1005:$BO$1005,1,MATCH(COLUMNS($AN$1006:BO1006),$AN$1006:$BO$1006,0))&gt;=100000), " ",IF(INDEX($AN$2:$BO$1001,MATCH(ROWS($AG$2:AG210),$AG$2:$AG$1001,0),MATCH(COLUMNS($AN$1006:BO1006),$AN$1006:$BO$1006,0)), HYPERLINK("#",""), HYPERLINK(CONCATENATE("#Metadata!", ADDRESS(INDEX($AI$2:$AI$1001,MATCH(ROWS($AG$2:AG210),$AG$2:$AG$1001,0),0), INDEX($AN$1004:$BO$1004,1,MATCH(COLUMNS($AN$1006:BO1006),$AN$1006:$BO$1006,0)))),"Fix")))</f>
        <v>0</v>
      </c>
      <c r="AG210">
        <v>0</v>
      </c>
      <c r="AH210">
        <v>0</v>
      </c>
      <c r="AI210">
        <v>0</v>
      </c>
      <c r="AJ210">
        <f>IF(AK210,TRUE,AND(AN210:BO210))</f>
        <v>0</v>
      </c>
      <c r="AK210">
        <f>COUNTBLANK(Metadata!B210:AC210)=COLUMNS(Metadata!B210:AC210)</f>
        <v>0</v>
      </c>
      <c r="AL210">
        <v>0</v>
      </c>
      <c r="AN210">
        <f>AND(IF(Metadata!B210="",FALSE,TRUE),COUNTIF(Metadata!B:B, Metadata!B210) = 1,NOT(ISERROR(SUMPRODUCT(SEARCH(MID(Metadata!B210,ROW(INDIRECT("1:"&amp;LEN(Metadata!B210))), 1),"0123456789abcdefghijklmnopqrstuvwxyzABCDEFGHIJKLMNOPQRSTUVWXYZ.")))))</f>
        <v>0</v>
      </c>
      <c r="AO210">
        <f>IF(Metadata!C210="",FALSE,TRUE)</f>
        <v>0</v>
      </c>
      <c r="AP210">
        <f>IF(Metadata!D210="",FALSE,TRUE)</f>
        <v>0</v>
      </c>
      <c r="AQ210">
        <f>OR(AND(IF(Metadata!E210="",FALSE,TRUE),OR(exact(Metadata!E210,"not collected"),exact(Metadata!E210,"not provided"),exact(Metadata!E210,"restricted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R210">
        <f>IF(Metadata!F210="",FALSE,TRUE)</f>
        <v>0</v>
      </c>
      <c r="AS210">
        <f>OR(AND(IF(Metadata!G210="",FALSE,TRUE),OR(exact(Metadata!G210,"not collected"),exact(Metadata!G210,"not provided"))),AND(IF(Metadata!G210="",FALSE,TRUE),OR(exact(Metadata!G210,"TRUE"),exact(Metadata!G210,"FALSE"))))</f>
        <v>0</v>
      </c>
      <c r="AT210">
        <f>OR(AND(IF(Metadata!H210="",FALSE,TRUE),OR(exact(Metadata!H210,"not collected"),exact(Metadata!H210,"not provided"),exact(Metadata!H210,"restricted access"))),AND(IF(Metadata!H210="",FALSE,ISNUMBER(VALUE(Metadata!H210))),Metadata!H210&gt;=-413.0))</f>
        <v>0</v>
      </c>
      <c r="AU210">
        <f>AND(IF(Metadata!I210="",FALSE,TRUE),exact(Metadata!I210,"meters"))</f>
        <v>0</v>
      </c>
      <c r="AV210">
        <f>AND(IF(Metadata!J210="",FALSE,TRUE),OR(exact(Metadata!J210,"Host-associated"),exact(Metadata!J210,"Free-living")))</f>
        <v>0</v>
      </c>
      <c r="AW210">
        <f>AND(IF(Metadata!K210="",FALSE,TRUE),OR(exact(Metadata!K210,"Animal"),exact(Metadata!K210,"Fungus"),exact(Metadata!K210,"Plant"),exact(Metadata!K210,"Saline"),exact(Metadata!K210,"Non-saline")))</f>
        <v>0</v>
      </c>
      <c r="AX210">
        <f>AND(IF(Metadata!L210="",FALSE,TRUE),OR(exact(Metadata!L210,"Plant secretion"),exact(Metadata!L210,"Plant rhizosphere"),exact(Metadata!L210,"Plant surface"),exact(Metadata!L210,"Plant corpus"),exact(Metadata!L210,"Fungus surface"),exact(Metadata!L210,"Fungus corpus"),exact(Metadata!L210,"Animal surface"),exact(Metadata!L210,"Animal proximal gut"),exact(Metadata!L210,"Animal corpus"),exact(Metadata!L210,"Animal distal gut"),exact(Metadata!L210,"Animal secretion"),exact(Metadata!L210,"Sub-surface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Y210">
        <f>IF(Metadata!M210="",FALSE,TRUE)</f>
        <v>0</v>
      </c>
      <c r="AZ210">
        <f>IF(Metadata!N210="",FALSE,TRUE)</f>
        <v>0</v>
      </c>
      <c r="BA210">
        <f>IF(Metadata!O210="",FALSE,TRUE)</f>
        <v>0</v>
      </c>
      <c r="BB210">
        <f>OR(AND(IF(Metadata!P210="",FALSE,TRUE),OR(exact(Metadata!P210,"not collected"),exact(Metadata!P210,"not provided"),exact(Metadata!P210,"restricted access"))),AND(IF(Metadata!P210="",FALSE,TRUE),OR(exact(Metadata!P210,"air"),exact(Metadata!P210,"built environment"),exact(Metadata!P210,"host-associated"),exact(Metadata!P210,"human-associated"),exact(Metadata!P210,"human-skin"),exact(Metadata!P210,"human-oral"),exact(Metadata!P210,"human-gut"),exact(Metadata!P210,"human-vaginal"),exact(Metadata!P210,"microbial mat/biofilm"),exact(Metadata!P210,"misc environment"),exact(Metadata!P210,"plant-associated"),exact(Metadata!P210,"sediment"),exact(Metadata!P210,"soil"),exact(Metadata!P210,"wastewater/sludge"),exact(Metadata!P210,"water"))))</f>
        <v>0</v>
      </c>
      <c r="BC210">
        <f>IF(Metadata!Q210="",FALSE,TRUE)</f>
        <v>0</v>
      </c>
      <c r="BD210">
        <f>IF(Metadata!R210="",FALSE,TRUE)</f>
        <v>0</v>
      </c>
      <c r="BE210">
        <f>OR(AND(IF(Metadata!S210="",FALSE,TRUE),OR(exact(Metadata!S210,"not collected"),exact(Metadata!S210,"not provided"),exact(Metadata!S210,"restricted access"))),AND(IF(Metadata!S210="",FALSE,ISNUMBER(VALUE(Metadata!S210))),Metadata!S210&gt;=-90.00,Metadata!S210&lt;=90.00))</f>
        <v>0</v>
      </c>
      <c r="BF210">
        <f>AND(IF(Metadata!T210="",FALSE,TRUE),exact(Metadata!T210,"Decimal degrees"))</f>
        <v>0</v>
      </c>
      <c r="BG210">
        <f>OR(AND(IF(Metadata!U210="",FALSE,TRUE),OR(exact(Metadata!U210,"not collected"),exact(Metadata!U210,"not provided"),exact(Metadata!U210,"restricted access"))),AND(IF(Metadata!U210="",FALSE,ISNUMBER(VALUE(Metadata!U210))),Metadata!U210&gt;=-180.00,Metadata!U210&lt;=180.00))</f>
        <v>0</v>
      </c>
      <c r="BH210">
        <f>AND(IF(Metadata!V210="",FALSE,TRUE),exact(Metadata!V210,"Decimal degrees"))</f>
        <v>0</v>
      </c>
      <c r="BI210">
        <f>IF(Metadata!W210="",FALSE,TRUE)</f>
        <v>0</v>
      </c>
      <c r="BJ210">
        <f>OR(AND(IF(Metadata!X210="",FALSE,TRUE),OR(exact(Metadata!X210,"not collected"),exact(Metadata!X210,"not provided"),exact(Metadata!X210,"restricted access"))),AND(IF(Metadata!X210="",FALSE,TRUE),OR(exact(Metadata!X210,"TRUE"),exact(Metadata!X210,"FALSE"))))</f>
        <v>0</v>
      </c>
      <c r="BK210">
        <f>AND(IF(Metadata!Y210="",FALSE,TRUE),exact(Metadata!Y210,"other"))</f>
        <v>0</v>
      </c>
      <c r="BL210">
        <f>IF(Metadata!Z210="",FALSE,TRUE)</f>
        <v>0</v>
      </c>
      <c r="BM210">
        <f>OR(AND(IF(Metadata!AA210="",FALSE,TRUE),OR(exact(Metadata!AA210,"not collected"),exact(Metadata!AA210,"not provided"))),AND(IF(Metadata!AA210="",FALSE,IF(ISERROR(INT(Metadata!AA210)),FALSE,INT(Metadata!AA210)=Metadata!AA210)),Metadata!AA210&gt;0))</f>
        <v>0</v>
      </c>
      <c r="BN210">
        <f>AND(IF(Metadata!AB210="",FALSE,TRUE),exact(Metadata!AB210,"Not applicable"))</f>
        <v>0</v>
      </c>
      <c r="BO210">
        <f>IF(Metadata!AC210="",FALSE,TRUE)</f>
        <v>0</v>
      </c>
    </row>
    <row r="211" spans="1:67">
      <c r="A211" s="5">
        <f>IF(B211=" "," ",HYPERLINK(CONCATENATE("#metadata!",ADDRESS(INDEX($AI$2:$AI$1001,MATCH(ROWS($AG$2:AG211),$AG$2:$AG$1001,0),0),1)),INDEX($AL$2:$AL$1001,MATCH(ROWS($AG$2:AG211),$AG$2:$AG$1001,0),0)))</f>
        <v>0</v>
      </c>
      <c r="B211" s="4">
        <f>IF(OR(INDEX($AH$2:$AH$1001,MATCH(ROWS($AG$2:AG211),$AG$2:$AG$1001,0),1)&gt;=100000,INDEX($AN$1005:$BO$1005,1,MATCH(COLUMNS($AN$1006:AN1006),$AN$1006:$BO$1006,0))&gt;=100000), " ",IF(INDEX($AN$2:$BO$1001,MATCH(ROWS($AG$2:AG211),$AG$2:$AG$1001,0),MATCH(COLUMNS($AN$1006:AN1006),$AN$1006:$BO$1006,0)), HYPERLINK("#",""), HYPERLINK(CONCATENATE("#Metadata!", ADDRESS(INDEX($AI$2:$AI$1001,MATCH(ROWS($AG$2:AG211),$AG$2:$AG$1001,0),0), INDEX($AN$1004:$BO$1004,1,MATCH(COLUMNS($AN$1006:AN1006),$AN$1006:$BO$1006,0)))),"Fix")))</f>
        <v>0</v>
      </c>
      <c r="C211" s="4">
        <f>IF(OR(INDEX($AH$2:$AH$1001,MATCH(ROWS($AG$2:AG211),$AG$2:$AG$1001,0),1)&gt;=100000,INDEX($AN$1005:$BO$1005,1,MATCH(COLUMNS($AN$1006:AO1006),$AN$1006:$BO$1006,0))&gt;=100000), " ",IF(INDEX($AN$2:$BO$1001,MATCH(ROWS($AG$2:AG211),$AG$2:$AG$1001,0),MATCH(COLUMNS($AN$1006:AO1006),$AN$1006:$BO$1006,0)), HYPERLINK("#",""), HYPERLINK(CONCATENATE("#Metadata!", ADDRESS(INDEX($AI$2:$AI$1001,MATCH(ROWS($AG$2:AG211),$AG$2:$AG$1001,0),0), INDEX($AN$1004:$BO$1004,1,MATCH(COLUMNS($AN$1006:AO1006),$AN$1006:$BO$1006,0)))),"Fix")))</f>
        <v>0</v>
      </c>
      <c r="D211" s="4">
        <f>IF(OR(INDEX($AH$2:$AH$1001,MATCH(ROWS($AG$2:AG211),$AG$2:$AG$1001,0),1)&gt;=100000,INDEX($AN$1005:$BO$1005,1,MATCH(COLUMNS($AN$1006:AP1006),$AN$1006:$BO$1006,0))&gt;=100000), " ",IF(INDEX($AN$2:$BO$1001,MATCH(ROWS($AG$2:AG211),$AG$2:$AG$1001,0),MATCH(COLUMNS($AN$1006:AP1006),$AN$1006:$BO$1006,0)), HYPERLINK("#",""), HYPERLINK(CONCATENATE("#Metadata!", ADDRESS(INDEX($AI$2:$AI$1001,MATCH(ROWS($AG$2:AG211),$AG$2:$AG$1001,0),0), INDEX($AN$1004:$BO$1004,1,MATCH(COLUMNS($AN$1006:AP1006),$AN$1006:$BO$1006,0)))),"Fix")))</f>
        <v>0</v>
      </c>
      <c r="E211" s="4">
        <f>IF(OR(INDEX($AH$2:$AH$1001,MATCH(ROWS($AG$2:AG211),$AG$2:$AG$1001,0),1)&gt;=100000,INDEX($AN$1005:$BO$1005,1,MATCH(COLUMNS($AN$1006:AQ1006),$AN$1006:$BO$1006,0))&gt;=100000), " ",IF(INDEX($AN$2:$BO$1001,MATCH(ROWS($AG$2:AG211),$AG$2:$AG$1001,0),MATCH(COLUMNS($AN$1006:AQ1006),$AN$1006:$BO$1006,0)), HYPERLINK("#",""), HYPERLINK(CONCATENATE("#Metadata!", ADDRESS(INDEX($AI$2:$AI$1001,MATCH(ROWS($AG$2:AG211),$AG$2:$AG$1001,0),0), INDEX($AN$1004:$BO$1004,1,MATCH(COLUMNS($AN$1006:AQ1006),$AN$1006:$BO$1006,0)))),"Fix")))</f>
        <v>0</v>
      </c>
      <c r="F211" s="4">
        <f>IF(OR(INDEX($AH$2:$AH$1001,MATCH(ROWS($AG$2:AG211),$AG$2:$AG$1001,0),1)&gt;=100000,INDEX($AN$1005:$BO$1005,1,MATCH(COLUMNS($AN$1006:AR1006),$AN$1006:$BO$1006,0))&gt;=100000), " ",IF(INDEX($AN$2:$BO$1001,MATCH(ROWS($AG$2:AG211),$AG$2:$AG$1001,0),MATCH(COLUMNS($AN$1006:AR1006),$AN$1006:$BO$1006,0)), HYPERLINK("#",""), HYPERLINK(CONCATENATE("#Metadata!", ADDRESS(INDEX($AI$2:$AI$1001,MATCH(ROWS($AG$2:AG211),$AG$2:$AG$1001,0),0), INDEX($AN$1004:$BO$1004,1,MATCH(COLUMNS($AN$1006:AR1006),$AN$1006:$BO$1006,0)))),"Fix")))</f>
        <v>0</v>
      </c>
      <c r="G211" s="4">
        <f>IF(OR(INDEX($AH$2:$AH$1001,MATCH(ROWS($AG$2:AG211),$AG$2:$AG$1001,0),1)&gt;=100000,INDEX($AN$1005:$BO$1005,1,MATCH(COLUMNS($AN$1006:AS1006),$AN$1006:$BO$1006,0))&gt;=100000), " ",IF(INDEX($AN$2:$BO$1001,MATCH(ROWS($AG$2:AG211),$AG$2:$AG$1001,0),MATCH(COLUMNS($AN$1006:AS1006),$AN$1006:$BO$1006,0)), HYPERLINK("#",""), HYPERLINK(CONCATENATE("#Metadata!", ADDRESS(INDEX($AI$2:$AI$1001,MATCH(ROWS($AG$2:AG211),$AG$2:$AG$1001,0),0), INDEX($AN$1004:$BO$1004,1,MATCH(COLUMNS($AN$1006:AS1006),$AN$1006:$BO$1006,0)))),"Fix")))</f>
        <v>0</v>
      </c>
      <c r="H211" s="4">
        <f>IF(OR(INDEX($AH$2:$AH$1001,MATCH(ROWS($AG$2:AG211),$AG$2:$AG$1001,0),1)&gt;=100000,INDEX($AN$1005:$BO$1005,1,MATCH(COLUMNS($AN$1006:AT1006),$AN$1006:$BO$1006,0))&gt;=100000), " ",IF(INDEX($AN$2:$BO$1001,MATCH(ROWS($AG$2:AG211),$AG$2:$AG$1001,0),MATCH(COLUMNS($AN$1006:AT1006),$AN$1006:$BO$1006,0)), HYPERLINK("#",""), HYPERLINK(CONCATENATE("#Metadata!", ADDRESS(INDEX($AI$2:$AI$1001,MATCH(ROWS($AG$2:AG211),$AG$2:$AG$1001,0),0), INDEX($AN$1004:$BO$1004,1,MATCH(COLUMNS($AN$1006:AT1006),$AN$1006:$BO$1006,0)))),"Fix")))</f>
        <v>0</v>
      </c>
      <c r="I211" s="4">
        <f>IF(OR(INDEX($AH$2:$AH$1001,MATCH(ROWS($AG$2:AG211),$AG$2:$AG$1001,0),1)&gt;=100000,INDEX($AN$1005:$BO$1005,1,MATCH(COLUMNS($AN$1006:AU1006),$AN$1006:$BO$1006,0))&gt;=100000), " ",IF(INDEX($AN$2:$BO$1001,MATCH(ROWS($AG$2:AG211),$AG$2:$AG$1001,0),MATCH(COLUMNS($AN$1006:AU1006),$AN$1006:$BO$1006,0)), HYPERLINK("#",""), HYPERLINK(CONCATENATE("#Metadata!", ADDRESS(INDEX($AI$2:$AI$1001,MATCH(ROWS($AG$2:AG211),$AG$2:$AG$1001,0),0), INDEX($AN$1004:$BO$1004,1,MATCH(COLUMNS($AN$1006:AU1006),$AN$1006:$BO$1006,0)))),"Fix")))</f>
        <v>0</v>
      </c>
      <c r="J211" s="4">
        <f>IF(OR(INDEX($AH$2:$AH$1001,MATCH(ROWS($AG$2:AG211),$AG$2:$AG$1001,0),1)&gt;=100000,INDEX($AN$1005:$BO$1005,1,MATCH(COLUMNS($AN$1006:AV1006),$AN$1006:$BO$1006,0))&gt;=100000), " ",IF(INDEX($AN$2:$BO$1001,MATCH(ROWS($AG$2:AG211),$AG$2:$AG$1001,0),MATCH(COLUMNS($AN$1006:AV1006),$AN$1006:$BO$1006,0)), HYPERLINK("#",""), HYPERLINK(CONCATENATE("#Metadata!", ADDRESS(INDEX($AI$2:$AI$1001,MATCH(ROWS($AG$2:AG211),$AG$2:$AG$1001,0),0), INDEX($AN$1004:$BO$1004,1,MATCH(COLUMNS($AN$1006:AV1006),$AN$1006:$BO$1006,0)))),"Fix")))</f>
        <v>0</v>
      </c>
      <c r="K211" s="4">
        <f>IF(OR(INDEX($AH$2:$AH$1001,MATCH(ROWS($AG$2:AG211),$AG$2:$AG$1001,0),1)&gt;=100000,INDEX($AN$1005:$BO$1005,1,MATCH(COLUMNS($AN$1006:AW1006),$AN$1006:$BO$1006,0))&gt;=100000), " ",IF(INDEX($AN$2:$BO$1001,MATCH(ROWS($AG$2:AG211),$AG$2:$AG$1001,0),MATCH(COLUMNS($AN$1006:AW1006),$AN$1006:$BO$1006,0)), HYPERLINK("#",""), HYPERLINK(CONCATENATE("#Metadata!", ADDRESS(INDEX($AI$2:$AI$1001,MATCH(ROWS($AG$2:AG211),$AG$2:$AG$1001,0),0), INDEX($AN$1004:$BO$1004,1,MATCH(COLUMNS($AN$1006:AW1006),$AN$1006:$BO$1006,0)))),"Fix")))</f>
        <v>0</v>
      </c>
      <c r="L211" s="4">
        <f>IF(OR(INDEX($AH$2:$AH$1001,MATCH(ROWS($AG$2:AG211),$AG$2:$AG$1001,0),1)&gt;=100000,INDEX($AN$1005:$BO$1005,1,MATCH(COLUMNS($AN$1006:AX1006),$AN$1006:$BO$1006,0))&gt;=100000), " ",IF(INDEX($AN$2:$BO$1001,MATCH(ROWS($AG$2:AG211),$AG$2:$AG$1001,0),MATCH(COLUMNS($AN$1006:AX1006),$AN$1006:$BO$1006,0)), HYPERLINK("#",""), HYPERLINK(CONCATENATE("#Metadata!", ADDRESS(INDEX($AI$2:$AI$1001,MATCH(ROWS($AG$2:AG211),$AG$2:$AG$1001,0),0), INDEX($AN$1004:$BO$1004,1,MATCH(COLUMNS($AN$1006:AX1006),$AN$1006:$BO$1006,0)))),"Fix")))</f>
        <v>0</v>
      </c>
      <c r="M211" s="4">
        <f>IF(OR(INDEX($AH$2:$AH$1001,MATCH(ROWS($AG$2:AG211),$AG$2:$AG$1001,0),1)&gt;=100000,INDEX($AN$1005:$BO$1005,1,MATCH(COLUMNS($AN$1006:AY1006),$AN$1006:$BO$1006,0))&gt;=100000), " ",IF(INDEX($AN$2:$BO$1001,MATCH(ROWS($AG$2:AG211),$AG$2:$AG$1001,0),MATCH(COLUMNS($AN$1006:AY1006),$AN$1006:$BO$1006,0)), HYPERLINK("#",""), HYPERLINK(CONCATENATE("#Metadata!", ADDRESS(INDEX($AI$2:$AI$1001,MATCH(ROWS($AG$2:AG211),$AG$2:$AG$1001,0),0), INDEX($AN$1004:$BO$1004,1,MATCH(COLUMNS($AN$1006:AY1006),$AN$1006:$BO$1006,0)))),"Fix")))</f>
        <v>0</v>
      </c>
      <c r="N211" s="4">
        <f>IF(OR(INDEX($AH$2:$AH$1001,MATCH(ROWS($AG$2:AG211),$AG$2:$AG$1001,0),1)&gt;=100000,INDEX($AN$1005:$BO$1005,1,MATCH(COLUMNS($AN$1006:AZ1006),$AN$1006:$BO$1006,0))&gt;=100000), " ",IF(INDEX($AN$2:$BO$1001,MATCH(ROWS($AG$2:AG211),$AG$2:$AG$1001,0),MATCH(COLUMNS($AN$1006:AZ1006),$AN$1006:$BO$1006,0)), HYPERLINK("#",""), HYPERLINK(CONCATENATE("#Metadata!", ADDRESS(INDEX($AI$2:$AI$1001,MATCH(ROWS($AG$2:AG211),$AG$2:$AG$1001,0),0), INDEX($AN$1004:$BO$1004,1,MATCH(COLUMNS($AN$1006:AZ1006),$AN$1006:$BO$1006,0)))),"Fix")))</f>
        <v>0</v>
      </c>
      <c r="O211" s="4">
        <f>IF(OR(INDEX($AH$2:$AH$1001,MATCH(ROWS($AG$2:AG211),$AG$2:$AG$1001,0),1)&gt;=100000,INDEX($AN$1005:$BO$1005,1,MATCH(COLUMNS($AN$1006:BA1006),$AN$1006:$BO$1006,0))&gt;=100000), " ",IF(INDEX($AN$2:$BO$1001,MATCH(ROWS($AG$2:AG211),$AG$2:$AG$1001,0),MATCH(COLUMNS($AN$1006:BA1006),$AN$1006:$BO$1006,0)), HYPERLINK("#",""), HYPERLINK(CONCATENATE("#Metadata!", ADDRESS(INDEX($AI$2:$AI$1001,MATCH(ROWS($AG$2:AG211),$AG$2:$AG$1001,0),0), INDEX($AN$1004:$BO$1004,1,MATCH(COLUMNS($AN$1006:BA1006),$AN$1006:$BO$1006,0)))),"Fix")))</f>
        <v>0</v>
      </c>
      <c r="P211" s="4">
        <f>IF(OR(INDEX($AH$2:$AH$1001,MATCH(ROWS($AG$2:AG211),$AG$2:$AG$1001,0),1)&gt;=100000,INDEX($AN$1005:$BO$1005,1,MATCH(COLUMNS($AN$1006:BB1006),$AN$1006:$BO$1006,0))&gt;=100000), " ",IF(INDEX($AN$2:$BO$1001,MATCH(ROWS($AG$2:AG211),$AG$2:$AG$1001,0),MATCH(COLUMNS($AN$1006:BB1006),$AN$1006:$BO$1006,0)), HYPERLINK("#",""), HYPERLINK(CONCATENATE("#Metadata!", ADDRESS(INDEX($AI$2:$AI$1001,MATCH(ROWS($AG$2:AG211),$AG$2:$AG$1001,0),0), INDEX($AN$1004:$BO$1004,1,MATCH(COLUMNS($AN$1006:BB1006),$AN$1006:$BO$1006,0)))),"Fix")))</f>
        <v>0</v>
      </c>
      <c r="Q211" s="4">
        <f>IF(OR(INDEX($AH$2:$AH$1001,MATCH(ROWS($AG$2:AG211),$AG$2:$AG$1001,0),1)&gt;=100000,INDEX($AN$1005:$BO$1005,1,MATCH(COLUMNS($AN$1006:BC1006),$AN$1006:$BO$1006,0))&gt;=100000), " ",IF(INDEX($AN$2:$BO$1001,MATCH(ROWS($AG$2:AG211),$AG$2:$AG$1001,0),MATCH(COLUMNS($AN$1006:BC1006),$AN$1006:$BO$1006,0)), HYPERLINK("#",""), HYPERLINK(CONCATENATE("#Metadata!", ADDRESS(INDEX($AI$2:$AI$1001,MATCH(ROWS($AG$2:AG211),$AG$2:$AG$1001,0),0), INDEX($AN$1004:$BO$1004,1,MATCH(COLUMNS($AN$1006:BC1006),$AN$1006:$BO$1006,0)))),"Fix")))</f>
        <v>0</v>
      </c>
      <c r="R211" s="4">
        <f>IF(OR(INDEX($AH$2:$AH$1001,MATCH(ROWS($AG$2:AG211),$AG$2:$AG$1001,0),1)&gt;=100000,INDEX($AN$1005:$BO$1005,1,MATCH(COLUMNS($AN$1006:BD1006),$AN$1006:$BO$1006,0))&gt;=100000), " ",IF(INDEX($AN$2:$BO$1001,MATCH(ROWS($AG$2:AG211),$AG$2:$AG$1001,0),MATCH(COLUMNS($AN$1006:BD1006),$AN$1006:$BO$1006,0)), HYPERLINK("#",""), HYPERLINK(CONCATENATE("#Metadata!", ADDRESS(INDEX($AI$2:$AI$1001,MATCH(ROWS($AG$2:AG211),$AG$2:$AG$1001,0),0), INDEX($AN$1004:$BO$1004,1,MATCH(COLUMNS($AN$1006:BD1006),$AN$1006:$BO$1006,0)))),"Fix")))</f>
        <v>0</v>
      </c>
      <c r="S211" s="4">
        <f>IF(OR(INDEX($AH$2:$AH$1001,MATCH(ROWS($AG$2:AG211),$AG$2:$AG$1001,0),1)&gt;=100000,INDEX($AN$1005:$BO$1005,1,MATCH(COLUMNS($AN$1006:BE1006),$AN$1006:$BO$1006,0))&gt;=100000), " ",IF(INDEX($AN$2:$BO$1001,MATCH(ROWS($AG$2:AG211),$AG$2:$AG$1001,0),MATCH(COLUMNS($AN$1006:BE1006),$AN$1006:$BO$1006,0)), HYPERLINK("#",""), HYPERLINK(CONCATENATE("#Metadata!", ADDRESS(INDEX($AI$2:$AI$1001,MATCH(ROWS($AG$2:AG211),$AG$2:$AG$1001,0),0), INDEX($AN$1004:$BO$1004,1,MATCH(COLUMNS($AN$1006:BE1006),$AN$1006:$BO$1006,0)))),"Fix")))</f>
        <v>0</v>
      </c>
      <c r="T211" s="4">
        <f>IF(OR(INDEX($AH$2:$AH$1001,MATCH(ROWS($AG$2:AG211),$AG$2:$AG$1001,0),1)&gt;=100000,INDEX($AN$1005:$BO$1005,1,MATCH(COLUMNS($AN$1006:BF1006),$AN$1006:$BO$1006,0))&gt;=100000), " ",IF(INDEX($AN$2:$BO$1001,MATCH(ROWS($AG$2:AG211),$AG$2:$AG$1001,0),MATCH(COLUMNS($AN$1006:BF1006),$AN$1006:$BO$1006,0)), HYPERLINK("#",""), HYPERLINK(CONCATENATE("#Metadata!", ADDRESS(INDEX($AI$2:$AI$1001,MATCH(ROWS($AG$2:AG211),$AG$2:$AG$1001,0),0), INDEX($AN$1004:$BO$1004,1,MATCH(COLUMNS($AN$1006:BF1006),$AN$1006:$BO$1006,0)))),"Fix")))</f>
        <v>0</v>
      </c>
      <c r="U211" s="4">
        <f>IF(OR(INDEX($AH$2:$AH$1001,MATCH(ROWS($AG$2:AG211),$AG$2:$AG$1001,0),1)&gt;=100000,INDEX($AN$1005:$BO$1005,1,MATCH(COLUMNS($AN$1006:BG1006),$AN$1006:$BO$1006,0))&gt;=100000), " ",IF(INDEX($AN$2:$BO$1001,MATCH(ROWS($AG$2:AG211),$AG$2:$AG$1001,0),MATCH(COLUMNS($AN$1006:BG1006),$AN$1006:$BO$1006,0)), HYPERLINK("#",""), HYPERLINK(CONCATENATE("#Metadata!", ADDRESS(INDEX($AI$2:$AI$1001,MATCH(ROWS($AG$2:AG211),$AG$2:$AG$1001,0),0), INDEX($AN$1004:$BO$1004,1,MATCH(COLUMNS($AN$1006:BG1006),$AN$1006:$BO$1006,0)))),"Fix")))</f>
        <v>0</v>
      </c>
      <c r="V211" s="4">
        <f>IF(OR(INDEX($AH$2:$AH$1001,MATCH(ROWS($AG$2:AG211),$AG$2:$AG$1001,0),1)&gt;=100000,INDEX($AN$1005:$BO$1005,1,MATCH(COLUMNS($AN$1006:BH1006),$AN$1006:$BO$1006,0))&gt;=100000), " ",IF(INDEX($AN$2:$BO$1001,MATCH(ROWS($AG$2:AG211),$AG$2:$AG$1001,0),MATCH(COLUMNS($AN$1006:BH1006),$AN$1006:$BO$1006,0)), HYPERLINK("#",""), HYPERLINK(CONCATENATE("#Metadata!", ADDRESS(INDEX($AI$2:$AI$1001,MATCH(ROWS($AG$2:AG211),$AG$2:$AG$1001,0),0), INDEX($AN$1004:$BO$1004,1,MATCH(COLUMNS($AN$1006:BH1006),$AN$1006:$BO$1006,0)))),"Fix")))</f>
        <v>0</v>
      </c>
      <c r="W211" s="4">
        <f>IF(OR(INDEX($AH$2:$AH$1001,MATCH(ROWS($AG$2:AG211),$AG$2:$AG$1001,0),1)&gt;=100000,INDEX($AN$1005:$BO$1005,1,MATCH(COLUMNS($AN$1006:BI1006),$AN$1006:$BO$1006,0))&gt;=100000), " ",IF(INDEX($AN$2:$BO$1001,MATCH(ROWS($AG$2:AG211),$AG$2:$AG$1001,0),MATCH(COLUMNS($AN$1006:BI1006),$AN$1006:$BO$1006,0)), HYPERLINK("#",""), HYPERLINK(CONCATENATE("#Metadata!", ADDRESS(INDEX($AI$2:$AI$1001,MATCH(ROWS($AG$2:AG211),$AG$2:$AG$1001,0),0), INDEX($AN$1004:$BO$1004,1,MATCH(COLUMNS($AN$1006:BI1006),$AN$1006:$BO$1006,0)))),"Fix")))</f>
        <v>0</v>
      </c>
      <c r="X211" s="4">
        <f>IF(OR(INDEX($AH$2:$AH$1001,MATCH(ROWS($AG$2:AG211),$AG$2:$AG$1001,0),1)&gt;=100000,INDEX($AN$1005:$BO$1005,1,MATCH(COLUMNS($AN$1006:BJ1006),$AN$1006:$BO$1006,0))&gt;=100000), " ",IF(INDEX($AN$2:$BO$1001,MATCH(ROWS($AG$2:AG211),$AG$2:$AG$1001,0),MATCH(COLUMNS($AN$1006:BJ1006),$AN$1006:$BO$1006,0)), HYPERLINK("#",""), HYPERLINK(CONCATENATE("#Metadata!", ADDRESS(INDEX($AI$2:$AI$1001,MATCH(ROWS($AG$2:AG211),$AG$2:$AG$1001,0),0), INDEX($AN$1004:$BO$1004,1,MATCH(COLUMNS($AN$1006:BJ1006),$AN$1006:$BO$1006,0)))),"Fix")))</f>
        <v>0</v>
      </c>
      <c r="Y211" s="4">
        <f>IF(OR(INDEX($AH$2:$AH$1001,MATCH(ROWS($AG$2:AG211),$AG$2:$AG$1001,0),1)&gt;=100000,INDEX($AN$1005:$BO$1005,1,MATCH(COLUMNS($AN$1006:BK1006),$AN$1006:$BO$1006,0))&gt;=100000), " ",IF(INDEX($AN$2:$BO$1001,MATCH(ROWS($AG$2:AG211),$AG$2:$AG$1001,0),MATCH(COLUMNS($AN$1006:BK1006),$AN$1006:$BO$1006,0)), HYPERLINK("#",""), HYPERLINK(CONCATENATE("#Metadata!", ADDRESS(INDEX($AI$2:$AI$1001,MATCH(ROWS($AG$2:AG211),$AG$2:$AG$1001,0),0), INDEX($AN$1004:$BO$1004,1,MATCH(COLUMNS($AN$1006:BK1006),$AN$1006:$BO$1006,0)))),"Fix")))</f>
        <v>0</v>
      </c>
      <c r="Z211" s="4">
        <f>IF(OR(INDEX($AH$2:$AH$1001,MATCH(ROWS($AG$2:AG211),$AG$2:$AG$1001,0),1)&gt;=100000,INDEX($AN$1005:$BO$1005,1,MATCH(COLUMNS($AN$1006:BL1006),$AN$1006:$BO$1006,0))&gt;=100000), " ",IF(INDEX($AN$2:$BO$1001,MATCH(ROWS($AG$2:AG211),$AG$2:$AG$1001,0),MATCH(COLUMNS($AN$1006:BL1006),$AN$1006:$BO$1006,0)), HYPERLINK("#",""), HYPERLINK(CONCATENATE("#Metadata!", ADDRESS(INDEX($AI$2:$AI$1001,MATCH(ROWS($AG$2:AG211),$AG$2:$AG$1001,0),0), INDEX($AN$1004:$BO$1004,1,MATCH(COLUMNS($AN$1006:BL1006),$AN$1006:$BO$1006,0)))),"Fix")))</f>
        <v>0</v>
      </c>
      <c r="AA211" s="4">
        <f>IF(OR(INDEX($AH$2:$AH$1001,MATCH(ROWS($AG$2:AG211),$AG$2:$AG$1001,0),1)&gt;=100000,INDEX($AN$1005:$BO$1005,1,MATCH(COLUMNS($AN$1006:BM1006),$AN$1006:$BO$1006,0))&gt;=100000), " ",IF(INDEX($AN$2:$BO$1001,MATCH(ROWS($AG$2:AG211),$AG$2:$AG$1001,0),MATCH(COLUMNS($AN$1006:BM1006),$AN$1006:$BO$1006,0)), HYPERLINK("#",""), HYPERLINK(CONCATENATE("#Metadata!", ADDRESS(INDEX($AI$2:$AI$1001,MATCH(ROWS($AG$2:AG211),$AG$2:$AG$1001,0),0), INDEX($AN$1004:$BO$1004,1,MATCH(COLUMNS($AN$1006:BM1006),$AN$1006:$BO$1006,0)))),"Fix")))</f>
        <v>0</v>
      </c>
      <c r="AB211" s="4">
        <f>IF(OR(INDEX($AH$2:$AH$1001,MATCH(ROWS($AG$2:AG211),$AG$2:$AG$1001,0),1)&gt;=100000,INDEX($AN$1005:$BO$1005,1,MATCH(COLUMNS($AN$1006:BN1006),$AN$1006:$BO$1006,0))&gt;=100000), " ",IF(INDEX($AN$2:$BO$1001,MATCH(ROWS($AG$2:AG211),$AG$2:$AG$1001,0),MATCH(COLUMNS($AN$1006:BN1006),$AN$1006:$BO$1006,0)), HYPERLINK("#",""), HYPERLINK(CONCATENATE("#Metadata!", ADDRESS(INDEX($AI$2:$AI$1001,MATCH(ROWS($AG$2:AG211),$AG$2:$AG$1001,0),0), INDEX($AN$1004:$BO$1004,1,MATCH(COLUMNS($AN$1006:BN1006),$AN$1006:$BO$1006,0)))),"Fix")))</f>
        <v>0</v>
      </c>
      <c r="AC211" s="4">
        <f>IF(OR(INDEX($AH$2:$AH$1001,MATCH(ROWS($AG$2:AG211),$AG$2:$AG$1001,0),1)&gt;=100000,INDEX($AN$1005:$BO$1005,1,MATCH(COLUMNS($AN$1006:BO1006),$AN$1006:$BO$1006,0))&gt;=100000), " ",IF(INDEX($AN$2:$BO$1001,MATCH(ROWS($AG$2:AG211),$AG$2:$AG$1001,0),MATCH(COLUMNS($AN$1006:BO1006),$AN$1006:$BO$1006,0)), HYPERLINK("#",""), HYPERLINK(CONCATENATE("#Metadata!", ADDRESS(INDEX($AI$2:$AI$1001,MATCH(ROWS($AG$2:AG211),$AG$2:$AG$1001,0),0), INDEX($AN$1004:$BO$1004,1,MATCH(COLUMNS($AN$1006:BO1006),$AN$1006:$BO$1006,0)))),"Fix")))</f>
        <v>0</v>
      </c>
      <c r="AG211">
        <v>0</v>
      </c>
      <c r="AH211">
        <v>0</v>
      </c>
      <c r="AI211">
        <v>0</v>
      </c>
      <c r="AJ211">
        <f>IF(AK211,TRUE,AND(AN211:BO211))</f>
        <v>0</v>
      </c>
      <c r="AK211">
        <f>COUNTBLANK(Metadata!B211:AC211)=COLUMNS(Metadata!B211:AC211)</f>
        <v>0</v>
      </c>
      <c r="AL211">
        <v>0</v>
      </c>
      <c r="AN211">
        <f>AND(IF(Metadata!B211="",FALSE,TRUE),COUNTIF(Metadata!B:B, Metadata!B211) = 1,NOT(ISERROR(SUMPRODUCT(SEARCH(MID(Metadata!B211,ROW(INDIRECT("1:"&amp;LEN(Metadata!B211))), 1),"0123456789abcdefghijklmnopqrstuvwxyzABCDEFGHIJKLMNOPQRSTUVWXYZ.")))))</f>
        <v>0</v>
      </c>
      <c r="AO211">
        <f>IF(Metadata!C211="",FALSE,TRUE)</f>
        <v>0</v>
      </c>
      <c r="AP211">
        <f>IF(Metadata!D211="",FALSE,TRUE)</f>
        <v>0</v>
      </c>
      <c r="AQ211">
        <f>OR(AND(IF(Metadata!E211="",FALSE,TRUE),OR(exact(Metadata!E211,"not collected"),exact(Metadata!E211,"not provided"),exact(Metadata!E211,"restricted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R211">
        <f>IF(Metadata!F211="",FALSE,TRUE)</f>
        <v>0</v>
      </c>
      <c r="AS211">
        <f>OR(AND(IF(Metadata!G211="",FALSE,TRUE),OR(exact(Metadata!G211,"not collected"),exact(Metadata!G211,"not provided"))),AND(IF(Metadata!G211="",FALSE,TRUE),OR(exact(Metadata!G211,"TRUE"),exact(Metadata!G211,"FALSE"))))</f>
        <v>0</v>
      </c>
      <c r="AT211">
        <f>OR(AND(IF(Metadata!H211="",FALSE,TRUE),OR(exact(Metadata!H211,"not collected"),exact(Metadata!H211,"not provided"),exact(Metadata!H211,"restricted access"))),AND(IF(Metadata!H211="",FALSE,ISNUMBER(VALUE(Metadata!H211))),Metadata!H211&gt;=-413.0))</f>
        <v>0</v>
      </c>
      <c r="AU211">
        <f>AND(IF(Metadata!I211="",FALSE,TRUE),exact(Metadata!I211,"meters"))</f>
        <v>0</v>
      </c>
      <c r="AV211">
        <f>AND(IF(Metadata!J211="",FALSE,TRUE),OR(exact(Metadata!J211,"Host-associated"),exact(Metadata!J211,"Free-living")))</f>
        <v>0</v>
      </c>
      <c r="AW211">
        <f>AND(IF(Metadata!K211="",FALSE,TRUE),OR(exact(Metadata!K211,"Animal"),exact(Metadata!K211,"Fungus"),exact(Metadata!K211,"Plant"),exact(Metadata!K211,"Saline"),exact(Metadata!K211,"Non-saline")))</f>
        <v>0</v>
      </c>
      <c r="AX211">
        <f>AND(IF(Metadata!L211="",FALSE,TRUE),OR(exact(Metadata!L211,"Plant secretion"),exact(Metadata!L211,"Plant rhizosphere"),exact(Metadata!L211,"Plant surface"),exact(Metadata!L211,"Plant corpus"),exact(Metadata!L211,"Fungus surface"),exact(Metadata!L211,"Fungus corpus"),exact(Metadata!L211,"Animal surface"),exact(Metadata!L211,"Animal proximal gut"),exact(Metadata!L211,"Animal corpus"),exact(Metadata!L211,"Animal distal gut"),exact(Metadata!L211,"Animal secretion"),exact(Metadata!L211,"Sub-surface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Y211">
        <f>IF(Metadata!M211="",FALSE,TRUE)</f>
        <v>0</v>
      </c>
      <c r="AZ211">
        <f>IF(Metadata!N211="",FALSE,TRUE)</f>
        <v>0</v>
      </c>
      <c r="BA211">
        <f>IF(Metadata!O211="",FALSE,TRUE)</f>
        <v>0</v>
      </c>
      <c r="BB211">
        <f>OR(AND(IF(Metadata!P211="",FALSE,TRUE),OR(exact(Metadata!P211,"not collected"),exact(Metadata!P211,"not provided"),exact(Metadata!P211,"restricted access"))),AND(IF(Metadata!P211="",FALSE,TRUE),OR(exact(Metadata!P211,"air"),exact(Metadata!P211,"built environment"),exact(Metadata!P211,"host-associated"),exact(Metadata!P211,"human-associated"),exact(Metadata!P211,"human-skin"),exact(Metadata!P211,"human-oral"),exact(Metadata!P211,"human-gut"),exact(Metadata!P211,"human-vaginal"),exact(Metadata!P211,"microbial mat/biofilm"),exact(Metadata!P211,"misc environment"),exact(Metadata!P211,"plant-associated"),exact(Metadata!P211,"sediment"),exact(Metadata!P211,"soil"),exact(Metadata!P211,"wastewater/sludge"),exact(Metadata!P211,"water"))))</f>
        <v>0</v>
      </c>
      <c r="BC211">
        <f>IF(Metadata!Q211="",FALSE,TRUE)</f>
        <v>0</v>
      </c>
      <c r="BD211">
        <f>IF(Metadata!R211="",FALSE,TRUE)</f>
        <v>0</v>
      </c>
      <c r="BE211">
        <f>OR(AND(IF(Metadata!S211="",FALSE,TRUE),OR(exact(Metadata!S211,"not collected"),exact(Metadata!S211,"not provided"),exact(Metadata!S211,"restricted access"))),AND(IF(Metadata!S211="",FALSE,ISNUMBER(VALUE(Metadata!S211))),Metadata!S211&gt;=-90.00,Metadata!S211&lt;=90.00))</f>
        <v>0</v>
      </c>
      <c r="BF211">
        <f>AND(IF(Metadata!T211="",FALSE,TRUE),exact(Metadata!T211,"Decimal degrees"))</f>
        <v>0</v>
      </c>
      <c r="BG211">
        <f>OR(AND(IF(Metadata!U211="",FALSE,TRUE),OR(exact(Metadata!U211,"not collected"),exact(Metadata!U211,"not provided"),exact(Metadata!U211,"restricted access"))),AND(IF(Metadata!U211="",FALSE,ISNUMBER(VALUE(Metadata!U211))),Metadata!U211&gt;=-180.00,Metadata!U211&lt;=180.00))</f>
        <v>0</v>
      </c>
      <c r="BH211">
        <f>AND(IF(Metadata!V211="",FALSE,TRUE),exact(Metadata!V211,"Decimal degrees"))</f>
        <v>0</v>
      </c>
      <c r="BI211">
        <f>IF(Metadata!W211="",FALSE,TRUE)</f>
        <v>0</v>
      </c>
      <c r="BJ211">
        <f>OR(AND(IF(Metadata!X211="",FALSE,TRUE),OR(exact(Metadata!X211,"not collected"),exact(Metadata!X211,"not provided"),exact(Metadata!X211,"restricted access"))),AND(IF(Metadata!X211="",FALSE,TRUE),OR(exact(Metadata!X211,"TRUE"),exact(Metadata!X211,"FALSE"))))</f>
        <v>0</v>
      </c>
      <c r="BK211">
        <f>AND(IF(Metadata!Y211="",FALSE,TRUE),exact(Metadata!Y211,"other"))</f>
        <v>0</v>
      </c>
      <c r="BL211">
        <f>IF(Metadata!Z211="",FALSE,TRUE)</f>
        <v>0</v>
      </c>
      <c r="BM211">
        <f>OR(AND(IF(Metadata!AA211="",FALSE,TRUE),OR(exact(Metadata!AA211,"not collected"),exact(Metadata!AA211,"not provided"))),AND(IF(Metadata!AA211="",FALSE,IF(ISERROR(INT(Metadata!AA211)),FALSE,INT(Metadata!AA211)=Metadata!AA211)),Metadata!AA211&gt;0))</f>
        <v>0</v>
      </c>
      <c r="BN211">
        <f>AND(IF(Metadata!AB211="",FALSE,TRUE),exact(Metadata!AB211,"Not applicable"))</f>
        <v>0</v>
      </c>
      <c r="BO211">
        <f>IF(Metadata!AC211="",FALSE,TRUE)</f>
        <v>0</v>
      </c>
    </row>
    <row r="212" spans="1:67">
      <c r="A212" s="5">
        <f>IF(B212=" "," ",HYPERLINK(CONCATENATE("#metadata!",ADDRESS(INDEX($AI$2:$AI$1001,MATCH(ROWS($AG$2:AG212),$AG$2:$AG$1001,0),0),1)),INDEX($AL$2:$AL$1001,MATCH(ROWS($AG$2:AG212),$AG$2:$AG$1001,0),0)))</f>
        <v>0</v>
      </c>
      <c r="B212" s="4">
        <f>IF(OR(INDEX($AH$2:$AH$1001,MATCH(ROWS($AG$2:AG212),$AG$2:$AG$1001,0),1)&gt;=100000,INDEX($AN$1005:$BO$1005,1,MATCH(COLUMNS($AN$1006:AN1006),$AN$1006:$BO$1006,0))&gt;=100000), " ",IF(INDEX($AN$2:$BO$1001,MATCH(ROWS($AG$2:AG212),$AG$2:$AG$1001,0),MATCH(COLUMNS($AN$1006:AN1006),$AN$1006:$BO$1006,0)), HYPERLINK("#",""), HYPERLINK(CONCATENATE("#Metadata!", ADDRESS(INDEX($AI$2:$AI$1001,MATCH(ROWS($AG$2:AG212),$AG$2:$AG$1001,0),0), INDEX($AN$1004:$BO$1004,1,MATCH(COLUMNS($AN$1006:AN1006),$AN$1006:$BO$1006,0)))),"Fix")))</f>
        <v>0</v>
      </c>
      <c r="C212" s="4">
        <f>IF(OR(INDEX($AH$2:$AH$1001,MATCH(ROWS($AG$2:AG212),$AG$2:$AG$1001,0),1)&gt;=100000,INDEX($AN$1005:$BO$1005,1,MATCH(COLUMNS($AN$1006:AO1006),$AN$1006:$BO$1006,0))&gt;=100000), " ",IF(INDEX($AN$2:$BO$1001,MATCH(ROWS($AG$2:AG212),$AG$2:$AG$1001,0),MATCH(COLUMNS($AN$1006:AO1006),$AN$1006:$BO$1006,0)), HYPERLINK("#",""), HYPERLINK(CONCATENATE("#Metadata!", ADDRESS(INDEX($AI$2:$AI$1001,MATCH(ROWS($AG$2:AG212),$AG$2:$AG$1001,0),0), INDEX($AN$1004:$BO$1004,1,MATCH(COLUMNS($AN$1006:AO1006),$AN$1006:$BO$1006,0)))),"Fix")))</f>
        <v>0</v>
      </c>
      <c r="D212" s="4">
        <f>IF(OR(INDEX($AH$2:$AH$1001,MATCH(ROWS($AG$2:AG212),$AG$2:$AG$1001,0),1)&gt;=100000,INDEX($AN$1005:$BO$1005,1,MATCH(COLUMNS($AN$1006:AP1006),$AN$1006:$BO$1006,0))&gt;=100000), " ",IF(INDEX($AN$2:$BO$1001,MATCH(ROWS($AG$2:AG212),$AG$2:$AG$1001,0),MATCH(COLUMNS($AN$1006:AP1006),$AN$1006:$BO$1006,0)), HYPERLINK("#",""), HYPERLINK(CONCATENATE("#Metadata!", ADDRESS(INDEX($AI$2:$AI$1001,MATCH(ROWS($AG$2:AG212),$AG$2:$AG$1001,0),0), INDEX($AN$1004:$BO$1004,1,MATCH(COLUMNS($AN$1006:AP1006),$AN$1006:$BO$1006,0)))),"Fix")))</f>
        <v>0</v>
      </c>
      <c r="E212" s="4">
        <f>IF(OR(INDEX($AH$2:$AH$1001,MATCH(ROWS($AG$2:AG212),$AG$2:$AG$1001,0),1)&gt;=100000,INDEX($AN$1005:$BO$1005,1,MATCH(COLUMNS($AN$1006:AQ1006),$AN$1006:$BO$1006,0))&gt;=100000), " ",IF(INDEX($AN$2:$BO$1001,MATCH(ROWS($AG$2:AG212),$AG$2:$AG$1001,0),MATCH(COLUMNS($AN$1006:AQ1006),$AN$1006:$BO$1006,0)), HYPERLINK("#",""), HYPERLINK(CONCATENATE("#Metadata!", ADDRESS(INDEX($AI$2:$AI$1001,MATCH(ROWS($AG$2:AG212),$AG$2:$AG$1001,0),0), INDEX($AN$1004:$BO$1004,1,MATCH(COLUMNS($AN$1006:AQ1006),$AN$1006:$BO$1006,0)))),"Fix")))</f>
        <v>0</v>
      </c>
      <c r="F212" s="4">
        <f>IF(OR(INDEX($AH$2:$AH$1001,MATCH(ROWS($AG$2:AG212),$AG$2:$AG$1001,0),1)&gt;=100000,INDEX($AN$1005:$BO$1005,1,MATCH(COLUMNS($AN$1006:AR1006),$AN$1006:$BO$1006,0))&gt;=100000), " ",IF(INDEX($AN$2:$BO$1001,MATCH(ROWS($AG$2:AG212),$AG$2:$AG$1001,0),MATCH(COLUMNS($AN$1006:AR1006),$AN$1006:$BO$1006,0)), HYPERLINK("#",""), HYPERLINK(CONCATENATE("#Metadata!", ADDRESS(INDEX($AI$2:$AI$1001,MATCH(ROWS($AG$2:AG212),$AG$2:$AG$1001,0),0), INDEX($AN$1004:$BO$1004,1,MATCH(COLUMNS($AN$1006:AR1006),$AN$1006:$BO$1006,0)))),"Fix")))</f>
        <v>0</v>
      </c>
      <c r="G212" s="4">
        <f>IF(OR(INDEX($AH$2:$AH$1001,MATCH(ROWS($AG$2:AG212),$AG$2:$AG$1001,0),1)&gt;=100000,INDEX($AN$1005:$BO$1005,1,MATCH(COLUMNS($AN$1006:AS1006),$AN$1006:$BO$1006,0))&gt;=100000), " ",IF(INDEX($AN$2:$BO$1001,MATCH(ROWS($AG$2:AG212),$AG$2:$AG$1001,0),MATCH(COLUMNS($AN$1006:AS1006),$AN$1006:$BO$1006,0)), HYPERLINK("#",""), HYPERLINK(CONCATENATE("#Metadata!", ADDRESS(INDEX($AI$2:$AI$1001,MATCH(ROWS($AG$2:AG212),$AG$2:$AG$1001,0),0), INDEX($AN$1004:$BO$1004,1,MATCH(COLUMNS($AN$1006:AS1006),$AN$1006:$BO$1006,0)))),"Fix")))</f>
        <v>0</v>
      </c>
      <c r="H212" s="4">
        <f>IF(OR(INDEX($AH$2:$AH$1001,MATCH(ROWS($AG$2:AG212),$AG$2:$AG$1001,0),1)&gt;=100000,INDEX($AN$1005:$BO$1005,1,MATCH(COLUMNS($AN$1006:AT1006),$AN$1006:$BO$1006,0))&gt;=100000), " ",IF(INDEX($AN$2:$BO$1001,MATCH(ROWS($AG$2:AG212),$AG$2:$AG$1001,0),MATCH(COLUMNS($AN$1006:AT1006),$AN$1006:$BO$1006,0)), HYPERLINK("#",""), HYPERLINK(CONCATENATE("#Metadata!", ADDRESS(INDEX($AI$2:$AI$1001,MATCH(ROWS($AG$2:AG212),$AG$2:$AG$1001,0),0), INDEX($AN$1004:$BO$1004,1,MATCH(COLUMNS($AN$1006:AT1006),$AN$1006:$BO$1006,0)))),"Fix")))</f>
        <v>0</v>
      </c>
      <c r="I212" s="4">
        <f>IF(OR(INDEX($AH$2:$AH$1001,MATCH(ROWS($AG$2:AG212),$AG$2:$AG$1001,0),1)&gt;=100000,INDEX($AN$1005:$BO$1005,1,MATCH(COLUMNS($AN$1006:AU1006),$AN$1006:$BO$1006,0))&gt;=100000), " ",IF(INDEX($AN$2:$BO$1001,MATCH(ROWS($AG$2:AG212),$AG$2:$AG$1001,0),MATCH(COLUMNS($AN$1006:AU1006),$AN$1006:$BO$1006,0)), HYPERLINK("#",""), HYPERLINK(CONCATENATE("#Metadata!", ADDRESS(INDEX($AI$2:$AI$1001,MATCH(ROWS($AG$2:AG212),$AG$2:$AG$1001,0),0), INDEX($AN$1004:$BO$1004,1,MATCH(COLUMNS($AN$1006:AU1006),$AN$1006:$BO$1006,0)))),"Fix")))</f>
        <v>0</v>
      </c>
      <c r="J212" s="4">
        <f>IF(OR(INDEX($AH$2:$AH$1001,MATCH(ROWS($AG$2:AG212),$AG$2:$AG$1001,0),1)&gt;=100000,INDEX($AN$1005:$BO$1005,1,MATCH(COLUMNS($AN$1006:AV1006),$AN$1006:$BO$1006,0))&gt;=100000), " ",IF(INDEX($AN$2:$BO$1001,MATCH(ROWS($AG$2:AG212),$AG$2:$AG$1001,0),MATCH(COLUMNS($AN$1006:AV1006),$AN$1006:$BO$1006,0)), HYPERLINK("#",""), HYPERLINK(CONCATENATE("#Metadata!", ADDRESS(INDEX($AI$2:$AI$1001,MATCH(ROWS($AG$2:AG212),$AG$2:$AG$1001,0),0), INDEX($AN$1004:$BO$1004,1,MATCH(COLUMNS($AN$1006:AV1006),$AN$1006:$BO$1006,0)))),"Fix")))</f>
        <v>0</v>
      </c>
      <c r="K212" s="4">
        <f>IF(OR(INDEX($AH$2:$AH$1001,MATCH(ROWS($AG$2:AG212),$AG$2:$AG$1001,0),1)&gt;=100000,INDEX($AN$1005:$BO$1005,1,MATCH(COLUMNS($AN$1006:AW1006),$AN$1006:$BO$1006,0))&gt;=100000), " ",IF(INDEX($AN$2:$BO$1001,MATCH(ROWS($AG$2:AG212),$AG$2:$AG$1001,0),MATCH(COLUMNS($AN$1006:AW1006),$AN$1006:$BO$1006,0)), HYPERLINK("#",""), HYPERLINK(CONCATENATE("#Metadata!", ADDRESS(INDEX($AI$2:$AI$1001,MATCH(ROWS($AG$2:AG212),$AG$2:$AG$1001,0),0), INDEX($AN$1004:$BO$1004,1,MATCH(COLUMNS($AN$1006:AW1006),$AN$1006:$BO$1006,0)))),"Fix")))</f>
        <v>0</v>
      </c>
      <c r="L212" s="4">
        <f>IF(OR(INDEX($AH$2:$AH$1001,MATCH(ROWS($AG$2:AG212),$AG$2:$AG$1001,0),1)&gt;=100000,INDEX($AN$1005:$BO$1005,1,MATCH(COLUMNS($AN$1006:AX1006),$AN$1006:$BO$1006,0))&gt;=100000), " ",IF(INDEX($AN$2:$BO$1001,MATCH(ROWS($AG$2:AG212),$AG$2:$AG$1001,0),MATCH(COLUMNS($AN$1006:AX1006),$AN$1006:$BO$1006,0)), HYPERLINK("#",""), HYPERLINK(CONCATENATE("#Metadata!", ADDRESS(INDEX($AI$2:$AI$1001,MATCH(ROWS($AG$2:AG212),$AG$2:$AG$1001,0),0), INDEX($AN$1004:$BO$1004,1,MATCH(COLUMNS($AN$1006:AX1006),$AN$1006:$BO$1006,0)))),"Fix")))</f>
        <v>0</v>
      </c>
      <c r="M212" s="4">
        <f>IF(OR(INDEX($AH$2:$AH$1001,MATCH(ROWS($AG$2:AG212),$AG$2:$AG$1001,0),1)&gt;=100000,INDEX($AN$1005:$BO$1005,1,MATCH(COLUMNS($AN$1006:AY1006),$AN$1006:$BO$1006,0))&gt;=100000), " ",IF(INDEX($AN$2:$BO$1001,MATCH(ROWS($AG$2:AG212),$AG$2:$AG$1001,0),MATCH(COLUMNS($AN$1006:AY1006),$AN$1006:$BO$1006,0)), HYPERLINK("#",""), HYPERLINK(CONCATENATE("#Metadata!", ADDRESS(INDEX($AI$2:$AI$1001,MATCH(ROWS($AG$2:AG212),$AG$2:$AG$1001,0),0), INDEX($AN$1004:$BO$1004,1,MATCH(COLUMNS($AN$1006:AY1006),$AN$1006:$BO$1006,0)))),"Fix")))</f>
        <v>0</v>
      </c>
      <c r="N212" s="4">
        <f>IF(OR(INDEX($AH$2:$AH$1001,MATCH(ROWS($AG$2:AG212),$AG$2:$AG$1001,0),1)&gt;=100000,INDEX($AN$1005:$BO$1005,1,MATCH(COLUMNS($AN$1006:AZ1006),$AN$1006:$BO$1006,0))&gt;=100000), " ",IF(INDEX($AN$2:$BO$1001,MATCH(ROWS($AG$2:AG212),$AG$2:$AG$1001,0),MATCH(COLUMNS($AN$1006:AZ1006),$AN$1006:$BO$1006,0)), HYPERLINK("#",""), HYPERLINK(CONCATENATE("#Metadata!", ADDRESS(INDEX($AI$2:$AI$1001,MATCH(ROWS($AG$2:AG212),$AG$2:$AG$1001,0),0), INDEX($AN$1004:$BO$1004,1,MATCH(COLUMNS($AN$1006:AZ1006),$AN$1006:$BO$1006,0)))),"Fix")))</f>
        <v>0</v>
      </c>
      <c r="O212" s="4">
        <f>IF(OR(INDEX($AH$2:$AH$1001,MATCH(ROWS($AG$2:AG212),$AG$2:$AG$1001,0),1)&gt;=100000,INDEX($AN$1005:$BO$1005,1,MATCH(COLUMNS($AN$1006:BA1006),$AN$1006:$BO$1006,0))&gt;=100000), " ",IF(INDEX($AN$2:$BO$1001,MATCH(ROWS($AG$2:AG212),$AG$2:$AG$1001,0),MATCH(COLUMNS($AN$1006:BA1006),$AN$1006:$BO$1006,0)), HYPERLINK("#",""), HYPERLINK(CONCATENATE("#Metadata!", ADDRESS(INDEX($AI$2:$AI$1001,MATCH(ROWS($AG$2:AG212),$AG$2:$AG$1001,0),0), INDEX($AN$1004:$BO$1004,1,MATCH(COLUMNS($AN$1006:BA1006),$AN$1006:$BO$1006,0)))),"Fix")))</f>
        <v>0</v>
      </c>
      <c r="P212" s="4">
        <f>IF(OR(INDEX($AH$2:$AH$1001,MATCH(ROWS($AG$2:AG212),$AG$2:$AG$1001,0),1)&gt;=100000,INDEX($AN$1005:$BO$1005,1,MATCH(COLUMNS($AN$1006:BB1006),$AN$1006:$BO$1006,0))&gt;=100000), " ",IF(INDEX($AN$2:$BO$1001,MATCH(ROWS($AG$2:AG212),$AG$2:$AG$1001,0),MATCH(COLUMNS($AN$1006:BB1006),$AN$1006:$BO$1006,0)), HYPERLINK("#",""), HYPERLINK(CONCATENATE("#Metadata!", ADDRESS(INDEX($AI$2:$AI$1001,MATCH(ROWS($AG$2:AG212),$AG$2:$AG$1001,0),0), INDEX($AN$1004:$BO$1004,1,MATCH(COLUMNS($AN$1006:BB1006),$AN$1006:$BO$1006,0)))),"Fix")))</f>
        <v>0</v>
      </c>
      <c r="Q212" s="4">
        <f>IF(OR(INDEX($AH$2:$AH$1001,MATCH(ROWS($AG$2:AG212),$AG$2:$AG$1001,0),1)&gt;=100000,INDEX($AN$1005:$BO$1005,1,MATCH(COLUMNS($AN$1006:BC1006),$AN$1006:$BO$1006,0))&gt;=100000), " ",IF(INDEX($AN$2:$BO$1001,MATCH(ROWS($AG$2:AG212),$AG$2:$AG$1001,0),MATCH(COLUMNS($AN$1006:BC1006),$AN$1006:$BO$1006,0)), HYPERLINK("#",""), HYPERLINK(CONCATENATE("#Metadata!", ADDRESS(INDEX($AI$2:$AI$1001,MATCH(ROWS($AG$2:AG212),$AG$2:$AG$1001,0),0), INDEX($AN$1004:$BO$1004,1,MATCH(COLUMNS($AN$1006:BC1006),$AN$1006:$BO$1006,0)))),"Fix")))</f>
        <v>0</v>
      </c>
      <c r="R212" s="4">
        <f>IF(OR(INDEX($AH$2:$AH$1001,MATCH(ROWS($AG$2:AG212),$AG$2:$AG$1001,0),1)&gt;=100000,INDEX($AN$1005:$BO$1005,1,MATCH(COLUMNS($AN$1006:BD1006),$AN$1006:$BO$1006,0))&gt;=100000), " ",IF(INDEX($AN$2:$BO$1001,MATCH(ROWS($AG$2:AG212),$AG$2:$AG$1001,0),MATCH(COLUMNS($AN$1006:BD1006),$AN$1006:$BO$1006,0)), HYPERLINK("#",""), HYPERLINK(CONCATENATE("#Metadata!", ADDRESS(INDEX($AI$2:$AI$1001,MATCH(ROWS($AG$2:AG212),$AG$2:$AG$1001,0),0), INDEX($AN$1004:$BO$1004,1,MATCH(COLUMNS($AN$1006:BD1006),$AN$1006:$BO$1006,0)))),"Fix")))</f>
        <v>0</v>
      </c>
      <c r="S212" s="4">
        <f>IF(OR(INDEX($AH$2:$AH$1001,MATCH(ROWS($AG$2:AG212),$AG$2:$AG$1001,0),1)&gt;=100000,INDEX($AN$1005:$BO$1005,1,MATCH(COLUMNS($AN$1006:BE1006),$AN$1006:$BO$1006,0))&gt;=100000), " ",IF(INDEX($AN$2:$BO$1001,MATCH(ROWS($AG$2:AG212),$AG$2:$AG$1001,0),MATCH(COLUMNS($AN$1006:BE1006),$AN$1006:$BO$1006,0)), HYPERLINK("#",""), HYPERLINK(CONCATENATE("#Metadata!", ADDRESS(INDEX($AI$2:$AI$1001,MATCH(ROWS($AG$2:AG212),$AG$2:$AG$1001,0),0), INDEX($AN$1004:$BO$1004,1,MATCH(COLUMNS($AN$1006:BE1006),$AN$1006:$BO$1006,0)))),"Fix")))</f>
        <v>0</v>
      </c>
      <c r="T212" s="4">
        <f>IF(OR(INDEX($AH$2:$AH$1001,MATCH(ROWS($AG$2:AG212),$AG$2:$AG$1001,0),1)&gt;=100000,INDEX($AN$1005:$BO$1005,1,MATCH(COLUMNS($AN$1006:BF1006),$AN$1006:$BO$1006,0))&gt;=100000), " ",IF(INDEX($AN$2:$BO$1001,MATCH(ROWS($AG$2:AG212),$AG$2:$AG$1001,0),MATCH(COLUMNS($AN$1006:BF1006),$AN$1006:$BO$1006,0)), HYPERLINK("#",""), HYPERLINK(CONCATENATE("#Metadata!", ADDRESS(INDEX($AI$2:$AI$1001,MATCH(ROWS($AG$2:AG212),$AG$2:$AG$1001,0),0), INDEX($AN$1004:$BO$1004,1,MATCH(COLUMNS($AN$1006:BF1006),$AN$1006:$BO$1006,0)))),"Fix")))</f>
        <v>0</v>
      </c>
      <c r="U212" s="4">
        <f>IF(OR(INDEX($AH$2:$AH$1001,MATCH(ROWS($AG$2:AG212),$AG$2:$AG$1001,0),1)&gt;=100000,INDEX($AN$1005:$BO$1005,1,MATCH(COLUMNS($AN$1006:BG1006),$AN$1006:$BO$1006,0))&gt;=100000), " ",IF(INDEX($AN$2:$BO$1001,MATCH(ROWS($AG$2:AG212),$AG$2:$AG$1001,0),MATCH(COLUMNS($AN$1006:BG1006),$AN$1006:$BO$1006,0)), HYPERLINK("#",""), HYPERLINK(CONCATENATE("#Metadata!", ADDRESS(INDEX($AI$2:$AI$1001,MATCH(ROWS($AG$2:AG212),$AG$2:$AG$1001,0),0), INDEX($AN$1004:$BO$1004,1,MATCH(COLUMNS($AN$1006:BG1006),$AN$1006:$BO$1006,0)))),"Fix")))</f>
        <v>0</v>
      </c>
      <c r="V212" s="4">
        <f>IF(OR(INDEX($AH$2:$AH$1001,MATCH(ROWS($AG$2:AG212),$AG$2:$AG$1001,0),1)&gt;=100000,INDEX($AN$1005:$BO$1005,1,MATCH(COLUMNS($AN$1006:BH1006),$AN$1006:$BO$1006,0))&gt;=100000), " ",IF(INDEX($AN$2:$BO$1001,MATCH(ROWS($AG$2:AG212),$AG$2:$AG$1001,0),MATCH(COLUMNS($AN$1006:BH1006),$AN$1006:$BO$1006,0)), HYPERLINK("#",""), HYPERLINK(CONCATENATE("#Metadata!", ADDRESS(INDEX($AI$2:$AI$1001,MATCH(ROWS($AG$2:AG212),$AG$2:$AG$1001,0),0), INDEX($AN$1004:$BO$1004,1,MATCH(COLUMNS($AN$1006:BH1006),$AN$1006:$BO$1006,0)))),"Fix")))</f>
        <v>0</v>
      </c>
      <c r="W212" s="4">
        <f>IF(OR(INDEX($AH$2:$AH$1001,MATCH(ROWS($AG$2:AG212),$AG$2:$AG$1001,0),1)&gt;=100000,INDEX($AN$1005:$BO$1005,1,MATCH(COLUMNS($AN$1006:BI1006),$AN$1006:$BO$1006,0))&gt;=100000), " ",IF(INDEX($AN$2:$BO$1001,MATCH(ROWS($AG$2:AG212),$AG$2:$AG$1001,0),MATCH(COLUMNS($AN$1006:BI1006),$AN$1006:$BO$1006,0)), HYPERLINK("#",""), HYPERLINK(CONCATENATE("#Metadata!", ADDRESS(INDEX($AI$2:$AI$1001,MATCH(ROWS($AG$2:AG212),$AG$2:$AG$1001,0),0), INDEX($AN$1004:$BO$1004,1,MATCH(COLUMNS($AN$1006:BI1006),$AN$1006:$BO$1006,0)))),"Fix")))</f>
        <v>0</v>
      </c>
      <c r="X212" s="4">
        <f>IF(OR(INDEX($AH$2:$AH$1001,MATCH(ROWS($AG$2:AG212),$AG$2:$AG$1001,0),1)&gt;=100000,INDEX($AN$1005:$BO$1005,1,MATCH(COLUMNS($AN$1006:BJ1006),$AN$1006:$BO$1006,0))&gt;=100000), " ",IF(INDEX($AN$2:$BO$1001,MATCH(ROWS($AG$2:AG212),$AG$2:$AG$1001,0),MATCH(COLUMNS($AN$1006:BJ1006),$AN$1006:$BO$1006,0)), HYPERLINK("#",""), HYPERLINK(CONCATENATE("#Metadata!", ADDRESS(INDEX($AI$2:$AI$1001,MATCH(ROWS($AG$2:AG212),$AG$2:$AG$1001,0),0), INDEX($AN$1004:$BO$1004,1,MATCH(COLUMNS($AN$1006:BJ1006),$AN$1006:$BO$1006,0)))),"Fix")))</f>
        <v>0</v>
      </c>
      <c r="Y212" s="4">
        <f>IF(OR(INDEX($AH$2:$AH$1001,MATCH(ROWS($AG$2:AG212),$AG$2:$AG$1001,0),1)&gt;=100000,INDEX($AN$1005:$BO$1005,1,MATCH(COLUMNS($AN$1006:BK1006),$AN$1006:$BO$1006,0))&gt;=100000), " ",IF(INDEX($AN$2:$BO$1001,MATCH(ROWS($AG$2:AG212),$AG$2:$AG$1001,0),MATCH(COLUMNS($AN$1006:BK1006),$AN$1006:$BO$1006,0)), HYPERLINK("#",""), HYPERLINK(CONCATENATE("#Metadata!", ADDRESS(INDEX($AI$2:$AI$1001,MATCH(ROWS($AG$2:AG212),$AG$2:$AG$1001,0),0), INDEX($AN$1004:$BO$1004,1,MATCH(COLUMNS($AN$1006:BK1006),$AN$1006:$BO$1006,0)))),"Fix")))</f>
        <v>0</v>
      </c>
      <c r="Z212" s="4">
        <f>IF(OR(INDEX($AH$2:$AH$1001,MATCH(ROWS($AG$2:AG212),$AG$2:$AG$1001,0),1)&gt;=100000,INDEX($AN$1005:$BO$1005,1,MATCH(COLUMNS($AN$1006:BL1006),$AN$1006:$BO$1006,0))&gt;=100000), " ",IF(INDEX($AN$2:$BO$1001,MATCH(ROWS($AG$2:AG212),$AG$2:$AG$1001,0),MATCH(COLUMNS($AN$1006:BL1006),$AN$1006:$BO$1006,0)), HYPERLINK("#",""), HYPERLINK(CONCATENATE("#Metadata!", ADDRESS(INDEX($AI$2:$AI$1001,MATCH(ROWS($AG$2:AG212),$AG$2:$AG$1001,0),0), INDEX($AN$1004:$BO$1004,1,MATCH(COLUMNS($AN$1006:BL1006),$AN$1006:$BO$1006,0)))),"Fix")))</f>
        <v>0</v>
      </c>
      <c r="AA212" s="4">
        <f>IF(OR(INDEX($AH$2:$AH$1001,MATCH(ROWS($AG$2:AG212),$AG$2:$AG$1001,0),1)&gt;=100000,INDEX($AN$1005:$BO$1005,1,MATCH(COLUMNS($AN$1006:BM1006),$AN$1006:$BO$1006,0))&gt;=100000), " ",IF(INDEX($AN$2:$BO$1001,MATCH(ROWS($AG$2:AG212),$AG$2:$AG$1001,0),MATCH(COLUMNS($AN$1006:BM1006),$AN$1006:$BO$1006,0)), HYPERLINK("#",""), HYPERLINK(CONCATENATE("#Metadata!", ADDRESS(INDEX($AI$2:$AI$1001,MATCH(ROWS($AG$2:AG212),$AG$2:$AG$1001,0),0), INDEX($AN$1004:$BO$1004,1,MATCH(COLUMNS($AN$1006:BM1006),$AN$1006:$BO$1006,0)))),"Fix")))</f>
        <v>0</v>
      </c>
      <c r="AB212" s="4">
        <f>IF(OR(INDEX($AH$2:$AH$1001,MATCH(ROWS($AG$2:AG212),$AG$2:$AG$1001,0),1)&gt;=100000,INDEX($AN$1005:$BO$1005,1,MATCH(COLUMNS($AN$1006:BN1006),$AN$1006:$BO$1006,0))&gt;=100000), " ",IF(INDEX($AN$2:$BO$1001,MATCH(ROWS($AG$2:AG212),$AG$2:$AG$1001,0),MATCH(COLUMNS($AN$1006:BN1006),$AN$1006:$BO$1006,0)), HYPERLINK("#",""), HYPERLINK(CONCATENATE("#Metadata!", ADDRESS(INDEX($AI$2:$AI$1001,MATCH(ROWS($AG$2:AG212),$AG$2:$AG$1001,0),0), INDEX($AN$1004:$BO$1004,1,MATCH(COLUMNS($AN$1006:BN1006),$AN$1006:$BO$1006,0)))),"Fix")))</f>
        <v>0</v>
      </c>
      <c r="AC212" s="4">
        <f>IF(OR(INDEX($AH$2:$AH$1001,MATCH(ROWS($AG$2:AG212),$AG$2:$AG$1001,0),1)&gt;=100000,INDEX($AN$1005:$BO$1005,1,MATCH(COLUMNS($AN$1006:BO1006),$AN$1006:$BO$1006,0))&gt;=100000), " ",IF(INDEX($AN$2:$BO$1001,MATCH(ROWS($AG$2:AG212),$AG$2:$AG$1001,0),MATCH(COLUMNS($AN$1006:BO1006),$AN$1006:$BO$1006,0)), HYPERLINK("#",""), HYPERLINK(CONCATENATE("#Metadata!", ADDRESS(INDEX($AI$2:$AI$1001,MATCH(ROWS($AG$2:AG212),$AG$2:$AG$1001,0),0), INDEX($AN$1004:$BO$1004,1,MATCH(COLUMNS($AN$1006:BO1006),$AN$1006:$BO$1006,0)))),"Fix")))</f>
        <v>0</v>
      </c>
      <c r="AG212">
        <v>0</v>
      </c>
      <c r="AH212">
        <v>0</v>
      </c>
      <c r="AI212">
        <v>0</v>
      </c>
      <c r="AJ212">
        <f>IF(AK212,TRUE,AND(AN212:BO212))</f>
        <v>0</v>
      </c>
      <c r="AK212">
        <f>COUNTBLANK(Metadata!B212:AC212)=COLUMNS(Metadata!B212:AC212)</f>
        <v>0</v>
      </c>
      <c r="AL212">
        <v>0</v>
      </c>
      <c r="AN212">
        <f>AND(IF(Metadata!B212="",FALSE,TRUE),COUNTIF(Metadata!B:B, Metadata!B212) = 1,NOT(ISERROR(SUMPRODUCT(SEARCH(MID(Metadata!B212,ROW(INDIRECT("1:"&amp;LEN(Metadata!B212))), 1),"0123456789abcdefghijklmnopqrstuvwxyzABCDEFGHIJKLMNOPQRSTUVWXYZ.")))))</f>
        <v>0</v>
      </c>
      <c r="AO212">
        <f>IF(Metadata!C212="",FALSE,TRUE)</f>
        <v>0</v>
      </c>
      <c r="AP212">
        <f>IF(Metadata!D212="",FALSE,TRUE)</f>
        <v>0</v>
      </c>
      <c r="AQ212">
        <f>OR(AND(IF(Metadata!E212="",FALSE,TRUE),OR(exact(Metadata!E212,"not collected"),exact(Metadata!E212,"not provided"),exact(Metadata!E212,"restricted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R212">
        <f>IF(Metadata!F212="",FALSE,TRUE)</f>
        <v>0</v>
      </c>
      <c r="AS212">
        <f>OR(AND(IF(Metadata!G212="",FALSE,TRUE),OR(exact(Metadata!G212,"not collected"),exact(Metadata!G212,"not provided"))),AND(IF(Metadata!G212="",FALSE,TRUE),OR(exact(Metadata!G212,"TRUE"),exact(Metadata!G212,"FALSE"))))</f>
        <v>0</v>
      </c>
      <c r="AT212">
        <f>OR(AND(IF(Metadata!H212="",FALSE,TRUE),OR(exact(Metadata!H212,"not collected"),exact(Metadata!H212,"not provided"),exact(Metadata!H212,"restricted access"))),AND(IF(Metadata!H212="",FALSE,ISNUMBER(VALUE(Metadata!H212))),Metadata!H212&gt;=-413.0))</f>
        <v>0</v>
      </c>
      <c r="AU212">
        <f>AND(IF(Metadata!I212="",FALSE,TRUE),exact(Metadata!I212,"meters"))</f>
        <v>0</v>
      </c>
      <c r="AV212">
        <f>AND(IF(Metadata!J212="",FALSE,TRUE),OR(exact(Metadata!J212,"Host-associated"),exact(Metadata!J212,"Free-living")))</f>
        <v>0</v>
      </c>
      <c r="AW212">
        <f>AND(IF(Metadata!K212="",FALSE,TRUE),OR(exact(Metadata!K212,"Animal"),exact(Metadata!K212,"Fungus"),exact(Metadata!K212,"Plant"),exact(Metadata!K212,"Saline"),exact(Metadata!K212,"Non-saline")))</f>
        <v>0</v>
      </c>
      <c r="AX212">
        <f>AND(IF(Metadata!L212="",FALSE,TRUE),OR(exact(Metadata!L212,"Plant secretion"),exact(Metadata!L212,"Plant rhizosphere"),exact(Metadata!L212,"Plant surface"),exact(Metadata!L212,"Plant corpus"),exact(Metadata!L212,"Fungus surface"),exact(Metadata!L212,"Fungus corpus"),exact(Metadata!L212,"Animal surface"),exact(Metadata!L212,"Animal proximal gut"),exact(Metadata!L212,"Animal corpus"),exact(Metadata!L212,"Animal distal gut"),exact(Metadata!L212,"Animal secretion"),exact(Metadata!L212,"Sub-surface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Y212">
        <f>IF(Metadata!M212="",FALSE,TRUE)</f>
        <v>0</v>
      </c>
      <c r="AZ212">
        <f>IF(Metadata!N212="",FALSE,TRUE)</f>
        <v>0</v>
      </c>
      <c r="BA212">
        <f>IF(Metadata!O212="",FALSE,TRUE)</f>
        <v>0</v>
      </c>
      <c r="BB212">
        <f>OR(AND(IF(Metadata!P212="",FALSE,TRUE),OR(exact(Metadata!P212,"not collected"),exact(Metadata!P212,"not provided"),exact(Metadata!P212,"restricted access"))),AND(IF(Metadata!P212="",FALSE,TRUE),OR(exact(Metadata!P212,"air"),exact(Metadata!P212,"built environment"),exact(Metadata!P212,"host-associated"),exact(Metadata!P212,"human-associated"),exact(Metadata!P212,"human-skin"),exact(Metadata!P212,"human-oral"),exact(Metadata!P212,"human-gut"),exact(Metadata!P212,"human-vaginal"),exact(Metadata!P212,"microbial mat/biofilm"),exact(Metadata!P212,"misc environment"),exact(Metadata!P212,"plant-associated"),exact(Metadata!P212,"sediment"),exact(Metadata!P212,"soil"),exact(Metadata!P212,"wastewater/sludge"),exact(Metadata!P212,"water"))))</f>
        <v>0</v>
      </c>
      <c r="BC212">
        <f>IF(Metadata!Q212="",FALSE,TRUE)</f>
        <v>0</v>
      </c>
      <c r="BD212">
        <f>IF(Metadata!R212="",FALSE,TRUE)</f>
        <v>0</v>
      </c>
      <c r="BE212">
        <f>OR(AND(IF(Metadata!S212="",FALSE,TRUE),OR(exact(Metadata!S212,"not collected"),exact(Metadata!S212,"not provided"),exact(Metadata!S212,"restricted access"))),AND(IF(Metadata!S212="",FALSE,ISNUMBER(VALUE(Metadata!S212))),Metadata!S212&gt;=-90.00,Metadata!S212&lt;=90.00))</f>
        <v>0</v>
      </c>
      <c r="BF212">
        <f>AND(IF(Metadata!T212="",FALSE,TRUE),exact(Metadata!T212,"Decimal degrees"))</f>
        <v>0</v>
      </c>
      <c r="BG212">
        <f>OR(AND(IF(Metadata!U212="",FALSE,TRUE),OR(exact(Metadata!U212,"not collected"),exact(Metadata!U212,"not provided"),exact(Metadata!U212,"restricted access"))),AND(IF(Metadata!U212="",FALSE,ISNUMBER(VALUE(Metadata!U212))),Metadata!U212&gt;=-180.00,Metadata!U212&lt;=180.00))</f>
        <v>0</v>
      </c>
      <c r="BH212">
        <f>AND(IF(Metadata!V212="",FALSE,TRUE),exact(Metadata!V212,"Decimal degrees"))</f>
        <v>0</v>
      </c>
      <c r="BI212">
        <f>IF(Metadata!W212="",FALSE,TRUE)</f>
        <v>0</v>
      </c>
      <c r="BJ212">
        <f>OR(AND(IF(Metadata!X212="",FALSE,TRUE),OR(exact(Metadata!X212,"not collected"),exact(Metadata!X212,"not provided"),exact(Metadata!X212,"restricted access"))),AND(IF(Metadata!X212="",FALSE,TRUE),OR(exact(Metadata!X212,"TRUE"),exact(Metadata!X212,"FALSE"))))</f>
        <v>0</v>
      </c>
      <c r="BK212">
        <f>AND(IF(Metadata!Y212="",FALSE,TRUE),exact(Metadata!Y212,"other"))</f>
        <v>0</v>
      </c>
      <c r="BL212">
        <f>IF(Metadata!Z212="",FALSE,TRUE)</f>
        <v>0</v>
      </c>
      <c r="BM212">
        <f>OR(AND(IF(Metadata!AA212="",FALSE,TRUE),OR(exact(Metadata!AA212,"not collected"),exact(Metadata!AA212,"not provided"))),AND(IF(Metadata!AA212="",FALSE,IF(ISERROR(INT(Metadata!AA212)),FALSE,INT(Metadata!AA212)=Metadata!AA212)),Metadata!AA212&gt;0))</f>
        <v>0</v>
      </c>
      <c r="BN212">
        <f>AND(IF(Metadata!AB212="",FALSE,TRUE),exact(Metadata!AB212,"Not applicable"))</f>
        <v>0</v>
      </c>
      <c r="BO212">
        <f>IF(Metadata!AC212="",FALSE,TRUE)</f>
        <v>0</v>
      </c>
    </row>
    <row r="213" spans="1:67">
      <c r="A213" s="5">
        <f>IF(B213=" "," ",HYPERLINK(CONCATENATE("#metadata!",ADDRESS(INDEX($AI$2:$AI$1001,MATCH(ROWS($AG$2:AG213),$AG$2:$AG$1001,0),0),1)),INDEX($AL$2:$AL$1001,MATCH(ROWS($AG$2:AG213),$AG$2:$AG$1001,0),0)))</f>
        <v>0</v>
      </c>
      <c r="B213" s="4">
        <f>IF(OR(INDEX($AH$2:$AH$1001,MATCH(ROWS($AG$2:AG213),$AG$2:$AG$1001,0),1)&gt;=100000,INDEX($AN$1005:$BO$1005,1,MATCH(COLUMNS($AN$1006:AN1006),$AN$1006:$BO$1006,0))&gt;=100000), " ",IF(INDEX($AN$2:$BO$1001,MATCH(ROWS($AG$2:AG213),$AG$2:$AG$1001,0),MATCH(COLUMNS($AN$1006:AN1006),$AN$1006:$BO$1006,0)), HYPERLINK("#",""), HYPERLINK(CONCATENATE("#Metadata!", ADDRESS(INDEX($AI$2:$AI$1001,MATCH(ROWS($AG$2:AG213),$AG$2:$AG$1001,0),0), INDEX($AN$1004:$BO$1004,1,MATCH(COLUMNS($AN$1006:AN1006),$AN$1006:$BO$1006,0)))),"Fix")))</f>
        <v>0</v>
      </c>
      <c r="C213" s="4">
        <f>IF(OR(INDEX($AH$2:$AH$1001,MATCH(ROWS($AG$2:AG213),$AG$2:$AG$1001,0),1)&gt;=100000,INDEX($AN$1005:$BO$1005,1,MATCH(COLUMNS($AN$1006:AO1006),$AN$1006:$BO$1006,0))&gt;=100000), " ",IF(INDEX($AN$2:$BO$1001,MATCH(ROWS($AG$2:AG213),$AG$2:$AG$1001,0),MATCH(COLUMNS($AN$1006:AO1006),$AN$1006:$BO$1006,0)), HYPERLINK("#",""), HYPERLINK(CONCATENATE("#Metadata!", ADDRESS(INDEX($AI$2:$AI$1001,MATCH(ROWS($AG$2:AG213),$AG$2:$AG$1001,0),0), INDEX($AN$1004:$BO$1004,1,MATCH(COLUMNS($AN$1006:AO1006),$AN$1006:$BO$1006,0)))),"Fix")))</f>
        <v>0</v>
      </c>
      <c r="D213" s="4">
        <f>IF(OR(INDEX($AH$2:$AH$1001,MATCH(ROWS($AG$2:AG213),$AG$2:$AG$1001,0),1)&gt;=100000,INDEX($AN$1005:$BO$1005,1,MATCH(COLUMNS($AN$1006:AP1006),$AN$1006:$BO$1006,0))&gt;=100000), " ",IF(INDEX($AN$2:$BO$1001,MATCH(ROWS($AG$2:AG213),$AG$2:$AG$1001,0),MATCH(COLUMNS($AN$1006:AP1006),$AN$1006:$BO$1006,0)), HYPERLINK("#",""), HYPERLINK(CONCATENATE("#Metadata!", ADDRESS(INDEX($AI$2:$AI$1001,MATCH(ROWS($AG$2:AG213),$AG$2:$AG$1001,0),0), INDEX($AN$1004:$BO$1004,1,MATCH(COLUMNS($AN$1006:AP1006),$AN$1006:$BO$1006,0)))),"Fix")))</f>
        <v>0</v>
      </c>
      <c r="E213" s="4">
        <f>IF(OR(INDEX($AH$2:$AH$1001,MATCH(ROWS($AG$2:AG213),$AG$2:$AG$1001,0),1)&gt;=100000,INDEX($AN$1005:$BO$1005,1,MATCH(COLUMNS($AN$1006:AQ1006),$AN$1006:$BO$1006,0))&gt;=100000), " ",IF(INDEX($AN$2:$BO$1001,MATCH(ROWS($AG$2:AG213),$AG$2:$AG$1001,0),MATCH(COLUMNS($AN$1006:AQ1006),$AN$1006:$BO$1006,0)), HYPERLINK("#",""), HYPERLINK(CONCATENATE("#Metadata!", ADDRESS(INDEX($AI$2:$AI$1001,MATCH(ROWS($AG$2:AG213),$AG$2:$AG$1001,0),0), INDEX($AN$1004:$BO$1004,1,MATCH(COLUMNS($AN$1006:AQ1006),$AN$1006:$BO$1006,0)))),"Fix")))</f>
        <v>0</v>
      </c>
      <c r="F213" s="4">
        <f>IF(OR(INDEX($AH$2:$AH$1001,MATCH(ROWS($AG$2:AG213),$AG$2:$AG$1001,0),1)&gt;=100000,INDEX($AN$1005:$BO$1005,1,MATCH(COLUMNS($AN$1006:AR1006),$AN$1006:$BO$1006,0))&gt;=100000), " ",IF(INDEX($AN$2:$BO$1001,MATCH(ROWS($AG$2:AG213),$AG$2:$AG$1001,0),MATCH(COLUMNS($AN$1006:AR1006),$AN$1006:$BO$1006,0)), HYPERLINK("#",""), HYPERLINK(CONCATENATE("#Metadata!", ADDRESS(INDEX($AI$2:$AI$1001,MATCH(ROWS($AG$2:AG213),$AG$2:$AG$1001,0),0), INDEX($AN$1004:$BO$1004,1,MATCH(COLUMNS($AN$1006:AR1006),$AN$1006:$BO$1006,0)))),"Fix")))</f>
        <v>0</v>
      </c>
      <c r="G213" s="4">
        <f>IF(OR(INDEX($AH$2:$AH$1001,MATCH(ROWS($AG$2:AG213),$AG$2:$AG$1001,0),1)&gt;=100000,INDEX($AN$1005:$BO$1005,1,MATCH(COLUMNS($AN$1006:AS1006),$AN$1006:$BO$1006,0))&gt;=100000), " ",IF(INDEX($AN$2:$BO$1001,MATCH(ROWS($AG$2:AG213),$AG$2:$AG$1001,0),MATCH(COLUMNS($AN$1006:AS1006),$AN$1006:$BO$1006,0)), HYPERLINK("#",""), HYPERLINK(CONCATENATE("#Metadata!", ADDRESS(INDEX($AI$2:$AI$1001,MATCH(ROWS($AG$2:AG213),$AG$2:$AG$1001,0),0), INDEX($AN$1004:$BO$1004,1,MATCH(COLUMNS($AN$1006:AS1006),$AN$1006:$BO$1006,0)))),"Fix")))</f>
        <v>0</v>
      </c>
      <c r="H213" s="4">
        <f>IF(OR(INDEX($AH$2:$AH$1001,MATCH(ROWS($AG$2:AG213),$AG$2:$AG$1001,0),1)&gt;=100000,INDEX($AN$1005:$BO$1005,1,MATCH(COLUMNS($AN$1006:AT1006),$AN$1006:$BO$1006,0))&gt;=100000), " ",IF(INDEX($AN$2:$BO$1001,MATCH(ROWS($AG$2:AG213),$AG$2:$AG$1001,0),MATCH(COLUMNS($AN$1006:AT1006),$AN$1006:$BO$1006,0)), HYPERLINK("#",""), HYPERLINK(CONCATENATE("#Metadata!", ADDRESS(INDEX($AI$2:$AI$1001,MATCH(ROWS($AG$2:AG213),$AG$2:$AG$1001,0),0), INDEX($AN$1004:$BO$1004,1,MATCH(COLUMNS($AN$1006:AT1006),$AN$1006:$BO$1006,0)))),"Fix")))</f>
        <v>0</v>
      </c>
      <c r="I213" s="4">
        <f>IF(OR(INDEX($AH$2:$AH$1001,MATCH(ROWS($AG$2:AG213),$AG$2:$AG$1001,0),1)&gt;=100000,INDEX($AN$1005:$BO$1005,1,MATCH(COLUMNS($AN$1006:AU1006),$AN$1006:$BO$1006,0))&gt;=100000), " ",IF(INDEX($AN$2:$BO$1001,MATCH(ROWS($AG$2:AG213),$AG$2:$AG$1001,0),MATCH(COLUMNS($AN$1006:AU1006),$AN$1006:$BO$1006,0)), HYPERLINK("#",""), HYPERLINK(CONCATENATE("#Metadata!", ADDRESS(INDEX($AI$2:$AI$1001,MATCH(ROWS($AG$2:AG213),$AG$2:$AG$1001,0),0), INDEX($AN$1004:$BO$1004,1,MATCH(COLUMNS($AN$1006:AU1006),$AN$1006:$BO$1006,0)))),"Fix")))</f>
        <v>0</v>
      </c>
      <c r="J213" s="4">
        <f>IF(OR(INDEX($AH$2:$AH$1001,MATCH(ROWS($AG$2:AG213),$AG$2:$AG$1001,0),1)&gt;=100000,INDEX($AN$1005:$BO$1005,1,MATCH(COLUMNS($AN$1006:AV1006),$AN$1006:$BO$1006,0))&gt;=100000), " ",IF(INDEX($AN$2:$BO$1001,MATCH(ROWS($AG$2:AG213),$AG$2:$AG$1001,0),MATCH(COLUMNS($AN$1006:AV1006),$AN$1006:$BO$1006,0)), HYPERLINK("#",""), HYPERLINK(CONCATENATE("#Metadata!", ADDRESS(INDEX($AI$2:$AI$1001,MATCH(ROWS($AG$2:AG213),$AG$2:$AG$1001,0),0), INDEX($AN$1004:$BO$1004,1,MATCH(COLUMNS($AN$1006:AV1006),$AN$1006:$BO$1006,0)))),"Fix")))</f>
        <v>0</v>
      </c>
      <c r="K213" s="4">
        <f>IF(OR(INDEX($AH$2:$AH$1001,MATCH(ROWS($AG$2:AG213),$AG$2:$AG$1001,0),1)&gt;=100000,INDEX($AN$1005:$BO$1005,1,MATCH(COLUMNS($AN$1006:AW1006),$AN$1006:$BO$1006,0))&gt;=100000), " ",IF(INDEX($AN$2:$BO$1001,MATCH(ROWS($AG$2:AG213),$AG$2:$AG$1001,0),MATCH(COLUMNS($AN$1006:AW1006),$AN$1006:$BO$1006,0)), HYPERLINK("#",""), HYPERLINK(CONCATENATE("#Metadata!", ADDRESS(INDEX($AI$2:$AI$1001,MATCH(ROWS($AG$2:AG213),$AG$2:$AG$1001,0),0), INDEX($AN$1004:$BO$1004,1,MATCH(COLUMNS($AN$1006:AW1006),$AN$1006:$BO$1006,0)))),"Fix")))</f>
        <v>0</v>
      </c>
      <c r="L213" s="4">
        <f>IF(OR(INDEX($AH$2:$AH$1001,MATCH(ROWS($AG$2:AG213),$AG$2:$AG$1001,0),1)&gt;=100000,INDEX($AN$1005:$BO$1005,1,MATCH(COLUMNS($AN$1006:AX1006),$AN$1006:$BO$1006,0))&gt;=100000), " ",IF(INDEX($AN$2:$BO$1001,MATCH(ROWS($AG$2:AG213),$AG$2:$AG$1001,0),MATCH(COLUMNS($AN$1006:AX1006),$AN$1006:$BO$1006,0)), HYPERLINK("#",""), HYPERLINK(CONCATENATE("#Metadata!", ADDRESS(INDEX($AI$2:$AI$1001,MATCH(ROWS($AG$2:AG213),$AG$2:$AG$1001,0),0), INDEX($AN$1004:$BO$1004,1,MATCH(COLUMNS($AN$1006:AX1006),$AN$1006:$BO$1006,0)))),"Fix")))</f>
        <v>0</v>
      </c>
      <c r="M213" s="4">
        <f>IF(OR(INDEX($AH$2:$AH$1001,MATCH(ROWS($AG$2:AG213),$AG$2:$AG$1001,0),1)&gt;=100000,INDEX($AN$1005:$BO$1005,1,MATCH(COLUMNS($AN$1006:AY1006),$AN$1006:$BO$1006,0))&gt;=100000), " ",IF(INDEX($AN$2:$BO$1001,MATCH(ROWS($AG$2:AG213),$AG$2:$AG$1001,0),MATCH(COLUMNS($AN$1006:AY1006),$AN$1006:$BO$1006,0)), HYPERLINK("#",""), HYPERLINK(CONCATENATE("#Metadata!", ADDRESS(INDEX($AI$2:$AI$1001,MATCH(ROWS($AG$2:AG213),$AG$2:$AG$1001,0),0), INDEX($AN$1004:$BO$1004,1,MATCH(COLUMNS($AN$1006:AY1006),$AN$1006:$BO$1006,0)))),"Fix")))</f>
        <v>0</v>
      </c>
      <c r="N213" s="4">
        <f>IF(OR(INDEX($AH$2:$AH$1001,MATCH(ROWS($AG$2:AG213),$AG$2:$AG$1001,0),1)&gt;=100000,INDEX($AN$1005:$BO$1005,1,MATCH(COLUMNS($AN$1006:AZ1006),$AN$1006:$BO$1006,0))&gt;=100000), " ",IF(INDEX($AN$2:$BO$1001,MATCH(ROWS($AG$2:AG213),$AG$2:$AG$1001,0),MATCH(COLUMNS($AN$1006:AZ1006),$AN$1006:$BO$1006,0)), HYPERLINK("#",""), HYPERLINK(CONCATENATE("#Metadata!", ADDRESS(INDEX($AI$2:$AI$1001,MATCH(ROWS($AG$2:AG213),$AG$2:$AG$1001,0),0), INDEX($AN$1004:$BO$1004,1,MATCH(COLUMNS($AN$1006:AZ1006),$AN$1006:$BO$1006,0)))),"Fix")))</f>
        <v>0</v>
      </c>
      <c r="O213" s="4">
        <f>IF(OR(INDEX($AH$2:$AH$1001,MATCH(ROWS($AG$2:AG213),$AG$2:$AG$1001,0),1)&gt;=100000,INDEX($AN$1005:$BO$1005,1,MATCH(COLUMNS($AN$1006:BA1006),$AN$1006:$BO$1006,0))&gt;=100000), " ",IF(INDEX($AN$2:$BO$1001,MATCH(ROWS($AG$2:AG213),$AG$2:$AG$1001,0),MATCH(COLUMNS($AN$1006:BA1006),$AN$1006:$BO$1006,0)), HYPERLINK("#",""), HYPERLINK(CONCATENATE("#Metadata!", ADDRESS(INDEX($AI$2:$AI$1001,MATCH(ROWS($AG$2:AG213),$AG$2:$AG$1001,0),0), INDEX($AN$1004:$BO$1004,1,MATCH(COLUMNS($AN$1006:BA1006),$AN$1006:$BO$1006,0)))),"Fix")))</f>
        <v>0</v>
      </c>
      <c r="P213" s="4">
        <f>IF(OR(INDEX($AH$2:$AH$1001,MATCH(ROWS($AG$2:AG213),$AG$2:$AG$1001,0),1)&gt;=100000,INDEX($AN$1005:$BO$1005,1,MATCH(COLUMNS($AN$1006:BB1006),$AN$1006:$BO$1006,0))&gt;=100000), " ",IF(INDEX($AN$2:$BO$1001,MATCH(ROWS($AG$2:AG213),$AG$2:$AG$1001,0),MATCH(COLUMNS($AN$1006:BB1006),$AN$1006:$BO$1006,0)), HYPERLINK("#",""), HYPERLINK(CONCATENATE("#Metadata!", ADDRESS(INDEX($AI$2:$AI$1001,MATCH(ROWS($AG$2:AG213),$AG$2:$AG$1001,0),0), INDEX($AN$1004:$BO$1004,1,MATCH(COLUMNS($AN$1006:BB1006),$AN$1006:$BO$1006,0)))),"Fix")))</f>
        <v>0</v>
      </c>
      <c r="Q213" s="4">
        <f>IF(OR(INDEX($AH$2:$AH$1001,MATCH(ROWS($AG$2:AG213),$AG$2:$AG$1001,0),1)&gt;=100000,INDEX($AN$1005:$BO$1005,1,MATCH(COLUMNS($AN$1006:BC1006),$AN$1006:$BO$1006,0))&gt;=100000), " ",IF(INDEX($AN$2:$BO$1001,MATCH(ROWS($AG$2:AG213),$AG$2:$AG$1001,0),MATCH(COLUMNS($AN$1006:BC1006),$AN$1006:$BO$1006,0)), HYPERLINK("#",""), HYPERLINK(CONCATENATE("#Metadata!", ADDRESS(INDEX($AI$2:$AI$1001,MATCH(ROWS($AG$2:AG213),$AG$2:$AG$1001,0),0), INDEX($AN$1004:$BO$1004,1,MATCH(COLUMNS($AN$1006:BC1006),$AN$1006:$BO$1006,0)))),"Fix")))</f>
        <v>0</v>
      </c>
      <c r="R213" s="4">
        <f>IF(OR(INDEX($AH$2:$AH$1001,MATCH(ROWS($AG$2:AG213),$AG$2:$AG$1001,0),1)&gt;=100000,INDEX($AN$1005:$BO$1005,1,MATCH(COLUMNS($AN$1006:BD1006),$AN$1006:$BO$1006,0))&gt;=100000), " ",IF(INDEX($AN$2:$BO$1001,MATCH(ROWS($AG$2:AG213),$AG$2:$AG$1001,0),MATCH(COLUMNS($AN$1006:BD1006),$AN$1006:$BO$1006,0)), HYPERLINK("#",""), HYPERLINK(CONCATENATE("#Metadata!", ADDRESS(INDEX($AI$2:$AI$1001,MATCH(ROWS($AG$2:AG213),$AG$2:$AG$1001,0),0), INDEX($AN$1004:$BO$1004,1,MATCH(COLUMNS($AN$1006:BD1006),$AN$1006:$BO$1006,0)))),"Fix")))</f>
        <v>0</v>
      </c>
      <c r="S213" s="4">
        <f>IF(OR(INDEX($AH$2:$AH$1001,MATCH(ROWS($AG$2:AG213),$AG$2:$AG$1001,0),1)&gt;=100000,INDEX($AN$1005:$BO$1005,1,MATCH(COLUMNS($AN$1006:BE1006),$AN$1006:$BO$1006,0))&gt;=100000), " ",IF(INDEX($AN$2:$BO$1001,MATCH(ROWS($AG$2:AG213),$AG$2:$AG$1001,0),MATCH(COLUMNS($AN$1006:BE1006),$AN$1006:$BO$1006,0)), HYPERLINK("#",""), HYPERLINK(CONCATENATE("#Metadata!", ADDRESS(INDEX($AI$2:$AI$1001,MATCH(ROWS($AG$2:AG213),$AG$2:$AG$1001,0),0), INDEX($AN$1004:$BO$1004,1,MATCH(COLUMNS($AN$1006:BE1006),$AN$1006:$BO$1006,0)))),"Fix")))</f>
        <v>0</v>
      </c>
      <c r="T213" s="4">
        <f>IF(OR(INDEX($AH$2:$AH$1001,MATCH(ROWS($AG$2:AG213),$AG$2:$AG$1001,0),1)&gt;=100000,INDEX($AN$1005:$BO$1005,1,MATCH(COLUMNS($AN$1006:BF1006),$AN$1006:$BO$1006,0))&gt;=100000), " ",IF(INDEX($AN$2:$BO$1001,MATCH(ROWS($AG$2:AG213),$AG$2:$AG$1001,0),MATCH(COLUMNS($AN$1006:BF1006),$AN$1006:$BO$1006,0)), HYPERLINK("#",""), HYPERLINK(CONCATENATE("#Metadata!", ADDRESS(INDEX($AI$2:$AI$1001,MATCH(ROWS($AG$2:AG213),$AG$2:$AG$1001,0),0), INDEX($AN$1004:$BO$1004,1,MATCH(COLUMNS($AN$1006:BF1006),$AN$1006:$BO$1006,0)))),"Fix")))</f>
        <v>0</v>
      </c>
      <c r="U213" s="4">
        <f>IF(OR(INDEX($AH$2:$AH$1001,MATCH(ROWS($AG$2:AG213),$AG$2:$AG$1001,0),1)&gt;=100000,INDEX($AN$1005:$BO$1005,1,MATCH(COLUMNS($AN$1006:BG1006),$AN$1006:$BO$1006,0))&gt;=100000), " ",IF(INDEX($AN$2:$BO$1001,MATCH(ROWS($AG$2:AG213),$AG$2:$AG$1001,0),MATCH(COLUMNS($AN$1006:BG1006),$AN$1006:$BO$1006,0)), HYPERLINK("#",""), HYPERLINK(CONCATENATE("#Metadata!", ADDRESS(INDEX($AI$2:$AI$1001,MATCH(ROWS($AG$2:AG213),$AG$2:$AG$1001,0),0), INDEX($AN$1004:$BO$1004,1,MATCH(COLUMNS($AN$1006:BG1006),$AN$1006:$BO$1006,0)))),"Fix")))</f>
        <v>0</v>
      </c>
      <c r="V213" s="4">
        <f>IF(OR(INDEX($AH$2:$AH$1001,MATCH(ROWS($AG$2:AG213),$AG$2:$AG$1001,0),1)&gt;=100000,INDEX($AN$1005:$BO$1005,1,MATCH(COLUMNS($AN$1006:BH1006),$AN$1006:$BO$1006,0))&gt;=100000), " ",IF(INDEX($AN$2:$BO$1001,MATCH(ROWS($AG$2:AG213),$AG$2:$AG$1001,0),MATCH(COLUMNS($AN$1006:BH1006),$AN$1006:$BO$1006,0)), HYPERLINK("#",""), HYPERLINK(CONCATENATE("#Metadata!", ADDRESS(INDEX($AI$2:$AI$1001,MATCH(ROWS($AG$2:AG213),$AG$2:$AG$1001,0),0), INDEX($AN$1004:$BO$1004,1,MATCH(COLUMNS($AN$1006:BH1006),$AN$1006:$BO$1006,0)))),"Fix")))</f>
        <v>0</v>
      </c>
      <c r="W213" s="4">
        <f>IF(OR(INDEX($AH$2:$AH$1001,MATCH(ROWS($AG$2:AG213),$AG$2:$AG$1001,0),1)&gt;=100000,INDEX($AN$1005:$BO$1005,1,MATCH(COLUMNS($AN$1006:BI1006),$AN$1006:$BO$1006,0))&gt;=100000), " ",IF(INDEX($AN$2:$BO$1001,MATCH(ROWS($AG$2:AG213),$AG$2:$AG$1001,0),MATCH(COLUMNS($AN$1006:BI1006),$AN$1006:$BO$1006,0)), HYPERLINK("#",""), HYPERLINK(CONCATENATE("#Metadata!", ADDRESS(INDEX($AI$2:$AI$1001,MATCH(ROWS($AG$2:AG213),$AG$2:$AG$1001,0),0), INDEX($AN$1004:$BO$1004,1,MATCH(COLUMNS($AN$1006:BI1006),$AN$1006:$BO$1006,0)))),"Fix")))</f>
        <v>0</v>
      </c>
      <c r="X213" s="4">
        <f>IF(OR(INDEX($AH$2:$AH$1001,MATCH(ROWS($AG$2:AG213),$AG$2:$AG$1001,0),1)&gt;=100000,INDEX($AN$1005:$BO$1005,1,MATCH(COLUMNS($AN$1006:BJ1006),$AN$1006:$BO$1006,0))&gt;=100000), " ",IF(INDEX($AN$2:$BO$1001,MATCH(ROWS($AG$2:AG213),$AG$2:$AG$1001,0),MATCH(COLUMNS($AN$1006:BJ1006),$AN$1006:$BO$1006,0)), HYPERLINK("#",""), HYPERLINK(CONCATENATE("#Metadata!", ADDRESS(INDEX($AI$2:$AI$1001,MATCH(ROWS($AG$2:AG213),$AG$2:$AG$1001,0),0), INDEX($AN$1004:$BO$1004,1,MATCH(COLUMNS($AN$1006:BJ1006),$AN$1006:$BO$1006,0)))),"Fix")))</f>
        <v>0</v>
      </c>
      <c r="Y213" s="4">
        <f>IF(OR(INDEX($AH$2:$AH$1001,MATCH(ROWS($AG$2:AG213),$AG$2:$AG$1001,0),1)&gt;=100000,INDEX($AN$1005:$BO$1005,1,MATCH(COLUMNS($AN$1006:BK1006),$AN$1006:$BO$1006,0))&gt;=100000), " ",IF(INDEX($AN$2:$BO$1001,MATCH(ROWS($AG$2:AG213),$AG$2:$AG$1001,0),MATCH(COLUMNS($AN$1006:BK1006),$AN$1006:$BO$1006,0)), HYPERLINK("#",""), HYPERLINK(CONCATENATE("#Metadata!", ADDRESS(INDEX($AI$2:$AI$1001,MATCH(ROWS($AG$2:AG213),$AG$2:$AG$1001,0),0), INDEX($AN$1004:$BO$1004,1,MATCH(COLUMNS($AN$1006:BK1006),$AN$1006:$BO$1006,0)))),"Fix")))</f>
        <v>0</v>
      </c>
      <c r="Z213" s="4">
        <f>IF(OR(INDEX($AH$2:$AH$1001,MATCH(ROWS($AG$2:AG213),$AG$2:$AG$1001,0),1)&gt;=100000,INDEX($AN$1005:$BO$1005,1,MATCH(COLUMNS($AN$1006:BL1006),$AN$1006:$BO$1006,0))&gt;=100000), " ",IF(INDEX($AN$2:$BO$1001,MATCH(ROWS($AG$2:AG213),$AG$2:$AG$1001,0),MATCH(COLUMNS($AN$1006:BL1006),$AN$1006:$BO$1006,0)), HYPERLINK("#",""), HYPERLINK(CONCATENATE("#Metadata!", ADDRESS(INDEX($AI$2:$AI$1001,MATCH(ROWS($AG$2:AG213),$AG$2:$AG$1001,0),0), INDEX($AN$1004:$BO$1004,1,MATCH(COLUMNS($AN$1006:BL1006),$AN$1006:$BO$1006,0)))),"Fix")))</f>
        <v>0</v>
      </c>
      <c r="AA213" s="4">
        <f>IF(OR(INDEX($AH$2:$AH$1001,MATCH(ROWS($AG$2:AG213),$AG$2:$AG$1001,0),1)&gt;=100000,INDEX($AN$1005:$BO$1005,1,MATCH(COLUMNS($AN$1006:BM1006),$AN$1006:$BO$1006,0))&gt;=100000), " ",IF(INDEX($AN$2:$BO$1001,MATCH(ROWS($AG$2:AG213),$AG$2:$AG$1001,0),MATCH(COLUMNS($AN$1006:BM1006),$AN$1006:$BO$1006,0)), HYPERLINK("#",""), HYPERLINK(CONCATENATE("#Metadata!", ADDRESS(INDEX($AI$2:$AI$1001,MATCH(ROWS($AG$2:AG213),$AG$2:$AG$1001,0),0), INDEX($AN$1004:$BO$1004,1,MATCH(COLUMNS($AN$1006:BM1006),$AN$1006:$BO$1006,0)))),"Fix")))</f>
        <v>0</v>
      </c>
      <c r="AB213" s="4">
        <f>IF(OR(INDEX($AH$2:$AH$1001,MATCH(ROWS($AG$2:AG213),$AG$2:$AG$1001,0),1)&gt;=100000,INDEX($AN$1005:$BO$1005,1,MATCH(COLUMNS($AN$1006:BN1006),$AN$1006:$BO$1006,0))&gt;=100000), " ",IF(INDEX($AN$2:$BO$1001,MATCH(ROWS($AG$2:AG213),$AG$2:$AG$1001,0),MATCH(COLUMNS($AN$1006:BN1006),$AN$1006:$BO$1006,0)), HYPERLINK("#",""), HYPERLINK(CONCATENATE("#Metadata!", ADDRESS(INDEX($AI$2:$AI$1001,MATCH(ROWS($AG$2:AG213),$AG$2:$AG$1001,0),0), INDEX($AN$1004:$BO$1004,1,MATCH(COLUMNS($AN$1006:BN1006),$AN$1006:$BO$1006,0)))),"Fix")))</f>
        <v>0</v>
      </c>
      <c r="AC213" s="4">
        <f>IF(OR(INDEX($AH$2:$AH$1001,MATCH(ROWS($AG$2:AG213),$AG$2:$AG$1001,0),1)&gt;=100000,INDEX($AN$1005:$BO$1005,1,MATCH(COLUMNS($AN$1006:BO1006),$AN$1006:$BO$1006,0))&gt;=100000), " ",IF(INDEX($AN$2:$BO$1001,MATCH(ROWS($AG$2:AG213),$AG$2:$AG$1001,0),MATCH(COLUMNS($AN$1006:BO1006),$AN$1006:$BO$1006,0)), HYPERLINK("#",""), HYPERLINK(CONCATENATE("#Metadata!", ADDRESS(INDEX($AI$2:$AI$1001,MATCH(ROWS($AG$2:AG213),$AG$2:$AG$1001,0),0), INDEX($AN$1004:$BO$1004,1,MATCH(COLUMNS($AN$1006:BO1006),$AN$1006:$BO$1006,0)))),"Fix")))</f>
        <v>0</v>
      </c>
      <c r="AG213">
        <v>0</v>
      </c>
      <c r="AH213">
        <v>0</v>
      </c>
      <c r="AI213">
        <v>0</v>
      </c>
      <c r="AJ213">
        <f>IF(AK213,TRUE,AND(AN213:BO213))</f>
        <v>0</v>
      </c>
      <c r="AK213">
        <f>COUNTBLANK(Metadata!B213:AC213)=COLUMNS(Metadata!B213:AC213)</f>
        <v>0</v>
      </c>
      <c r="AL213">
        <v>0</v>
      </c>
      <c r="AN213">
        <f>AND(IF(Metadata!B213="",FALSE,TRUE),COUNTIF(Metadata!B:B, Metadata!B213) = 1,NOT(ISERROR(SUMPRODUCT(SEARCH(MID(Metadata!B213,ROW(INDIRECT("1:"&amp;LEN(Metadata!B213))), 1),"0123456789abcdefghijklmnopqrstuvwxyzABCDEFGHIJKLMNOPQRSTUVWXYZ.")))))</f>
        <v>0</v>
      </c>
      <c r="AO213">
        <f>IF(Metadata!C213="",FALSE,TRUE)</f>
        <v>0</v>
      </c>
      <c r="AP213">
        <f>IF(Metadata!D213="",FALSE,TRUE)</f>
        <v>0</v>
      </c>
      <c r="AQ213">
        <f>OR(AND(IF(Metadata!E213="",FALSE,TRUE),OR(exact(Metadata!E213,"not collected"),exact(Metadata!E213,"not provided"),exact(Metadata!E213,"restricted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R213">
        <f>IF(Metadata!F213="",FALSE,TRUE)</f>
        <v>0</v>
      </c>
      <c r="AS213">
        <f>OR(AND(IF(Metadata!G213="",FALSE,TRUE),OR(exact(Metadata!G213,"not collected"),exact(Metadata!G213,"not provided"))),AND(IF(Metadata!G213="",FALSE,TRUE),OR(exact(Metadata!G213,"TRUE"),exact(Metadata!G213,"FALSE"))))</f>
        <v>0</v>
      </c>
      <c r="AT213">
        <f>OR(AND(IF(Metadata!H213="",FALSE,TRUE),OR(exact(Metadata!H213,"not collected"),exact(Metadata!H213,"not provided"),exact(Metadata!H213,"restricted access"))),AND(IF(Metadata!H213="",FALSE,ISNUMBER(VALUE(Metadata!H213))),Metadata!H213&gt;=-413.0))</f>
        <v>0</v>
      </c>
      <c r="AU213">
        <f>AND(IF(Metadata!I213="",FALSE,TRUE),exact(Metadata!I213,"meters"))</f>
        <v>0</v>
      </c>
      <c r="AV213">
        <f>AND(IF(Metadata!J213="",FALSE,TRUE),OR(exact(Metadata!J213,"Host-associated"),exact(Metadata!J213,"Free-living")))</f>
        <v>0</v>
      </c>
      <c r="AW213">
        <f>AND(IF(Metadata!K213="",FALSE,TRUE),OR(exact(Metadata!K213,"Animal"),exact(Metadata!K213,"Fungus"),exact(Metadata!K213,"Plant"),exact(Metadata!K213,"Saline"),exact(Metadata!K213,"Non-saline")))</f>
        <v>0</v>
      </c>
      <c r="AX213">
        <f>AND(IF(Metadata!L213="",FALSE,TRUE),OR(exact(Metadata!L213,"Plant secretion"),exact(Metadata!L213,"Plant rhizosphere"),exact(Metadata!L213,"Plant surface"),exact(Metadata!L213,"Plant corpus"),exact(Metadata!L213,"Fungus surface"),exact(Metadata!L213,"Fungus corpus"),exact(Metadata!L213,"Animal surface"),exact(Metadata!L213,"Animal proximal gut"),exact(Metadata!L213,"Animal corpus"),exact(Metadata!L213,"Animal distal gut"),exact(Metadata!L213,"Animal secretion"),exact(Metadata!L213,"Sub-surface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Y213">
        <f>IF(Metadata!M213="",FALSE,TRUE)</f>
        <v>0</v>
      </c>
      <c r="AZ213">
        <f>IF(Metadata!N213="",FALSE,TRUE)</f>
        <v>0</v>
      </c>
      <c r="BA213">
        <f>IF(Metadata!O213="",FALSE,TRUE)</f>
        <v>0</v>
      </c>
      <c r="BB213">
        <f>OR(AND(IF(Metadata!P213="",FALSE,TRUE),OR(exact(Metadata!P213,"not collected"),exact(Metadata!P213,"not provided"),exact(Metadata!P213,"restricted access"))),AND(IF(Metadata!P213="",FALSE,TRUE),OR(exact(Metadata!P213,"air"),exact(Metadata!P213,"built environment"),exact(Metadata!P213,"host-associated"),exact(Metadata!P213,"human-associated"),exact(Metadata!P213,"human-skin"),exact(Metadata!P213,"human-oral"),exact(Metadata!P213,"human-gut"),exact(Metadata!P213,"human-vaginal"),exact(Metadata!P213,"microbial mat/biofilm"),exact(Metadata!P213,"misc environment"),exact(Metadata!P213,"plant-associated"),exact(Metadata!P213,"sediment"),exact(Metadata!P213,"soil"),exact(Metadata!P213,"wastewater/sludge"),exact(Metadata!P213,"water"))))</f>
        <v>0</v>
      </c>
      <c r="BC213">
        <f>IF(Metadata!Q213="",FALSE,TRUE)</f>
        <v>0</v>
      </c>
      <c r="BD213">
        <f>IF(Metadata!R213="",FALSE,TRUE)</f>
        <v>0</v>
      </c>
      <c r="BE213">
        <f>OR(AND(IF(Metadata!S213="",FALSE,TRUE),OR(exact(Metadata!S213,"not collected"),exact(Metadata!S213,"not provided"),exact(Metadata!S213,"restricted access"))),AND(IF(Metadata!S213="",FALSE,ISNUMBER(VALUE(Metadata!S213))),Metadata!S213&gt;=-90.00,Metadata!S213&lt;=90.00))</f>
        <v>0</v>
      </c>
      <c r="BF213">
        <f>AND(IF(Metadata!T213="",FALSE,TRUE),exact(Metadata!T213,"Decimal degrees"))</f>
        <v>0</v>
      </c>
      <c r="BG213">
        <f>OR(AND(IF(Metadata!U213="",FALSE,TRUE),OR(exact(Metadata!U213,"not collected"),exact(Metadata!U213,"not provided"),exact(Metadata!U213,"restricted access"))),AND(IF(Metadata!U213="",FALSE,ISNUMBER(VALUE(Metadata!U213))),Metadata!U213&gt;=-180.00,Metadata!U213&lt;=180.00))</f>
        <v>0</v>
      </c>
      <c r="BH213">
        <f>AND(IF(Metadata!V213="",FALSE,TRUE),exact(Metadata!V213,"Decimal degrees"))</f>
        <v>0</v>
      </c>
      <c r="BI213">
        <f>IF(Metadata!W213="",FALSE,TRUE)</f>
        <v>0</v>
      </c>
      <c r="BJ213">
        <f>OR(AND(IF(Metadata!X213="",FALSE,TRUE),OR(exact(Metadata!X213,"not collected"),exact(Metadata!X213,"not provided"),exact(Metadata!X213,"restricted access"))),AND(IF(Metadata!X213="",FALSE,TRUE),OR(exact(Metadata!X213,"TRUE"),exact(Metadata!X213,"FALSE"))))</f>
        <v>0</v>
      </c>
      <c r="BK213">
        <f>AND(IF(Metadata!Y213="",FALSE,TRUE),exact(Metadata!Y213,"other"))</f>
        <v>0</v>
      </c>
      <c r="BL213">
        <f>IF(Metadata!Z213="",FALSE,TRUE)</f>
        <v>0</v>
      </c>
      <c r="BM213">
        <f>OR(AND(IF(Metadata!AA213="",FALSE,TRUE),OR(exact(Metadata!AA213,"not collected"),exact(Metadata!AA213,"not provided"))),AND(IF(Metadata!AA213="",FALSE,IF(ISERROR(INT(Metadata!AA213)),FALSE,INT(Metadata!AA213)=Metadata!AA213)),Metadata!AA213&gt;0))</f>
        <v>0</v>
      </c>
      <c r="BN213">
        <f>AND(IF(Metadata!AB213="",FALSE,TRUE),exact(Metadata!AB213,"Not applicable"))</f>
        <v>0</v>
      </c>
      <c r="BO213">
        <f>IF(Metadata!AC213="",FALSE,TRUE)</f>
        <v>0</v>
      </c>
    </row>
    <row r="214" spans="1:67">
      <c r="A214" s="5">
        <f>IF(B214=" "," ",HYPERLINK(CONCATENATE("#metadata!",ADDRESS(INDEX($AI$2:$AI$1001,MATCH(ROWS($AG$2:AG214),$AG$2:$AG$1001,0),0),1)),INDEX($AL$2:$AL$1001,MATCH(ROWS($AG$2:AG214),$AG$2:$AG$1001,0),0)))</f>
        <v>0</v>
      </c>
      <c r="B214" s="4">
        <f>IF(OR(INDEX($AH$2:$AH$1001,MATCH(ROWS($AG$2:AG214),$AG$2:$AG$1001,0),1)&gt;=100000,INDEX($AN$1005:$BO$1005,1,MATCH(COLUMNS($AN$1006:AN1006),$AN$1006:$BO$1006,0))&gt;=100000), " ",IF(INDEX($AN$2:$BO$1001,MATCH(ROWS($AG$2:AG214),$AG$2:$AG$1001,0),MATCH(COLUMNS($AN$1006:AN1006),$AN$1006:$BO$1006,0)), HYPERLINK("#",""), HYPERLINK(CONCATENATE("#Metadata!", ADDRESS(INDEX($AI$2:$AI$1001,MATCH(ROWS($AG$2:AG214),$AG$2:$AG$1001,0),0), INDEX($AN$1004:$BO$1004,1,MATCH(COLUMNS($AN$1006:AN1006),$AN$1006:$BO$1006,0)))),"Fix")))</f>
        <v>0</v>
      </c>
      <c r="C214" s="4">
        <f>IF(OR(INDEX($AH$2:$AH$1001,MATCH(ROWS($AG$2:AG214),$AG$2:$AG$1001,0),1)&gt;=100000,INDEX($AN$1005:$BO$1005,1,MATCH(COLUMNS($AN$1006:AO1006),$AN$1006:$BO$1006,0))&gt;=100000), " ",IF(INDEX($AN$2:$BO$1001,MATCH(ROWS($AG$2:AG214),$AG$2:$AG$1001,0),MATCH(COLUMNS($AN$1006:AO1006),$AN$1006:$BO$1006,0)), HYPERLINK("#",""), HYPERLINK(CONCATENATE("#Metadata!", ADDRESS(INDEX($AI$2:$AI$1001,MATCH(ROWS($AG$2:AG214),$AG$2:$AG$1001,0),0), INDEX($AN$1004:$BO$1004,1,MATCH(COLUMNS($AN$1006:AO1006),$AN$1006:$BO$1006,0)))),"Fix")))</f>
        <v>0</v>
      </c>
      <c r="D214" s="4">
        <f>IF(OR(INDEX($AH$2:$AH$1001,MATCH(ROWS($AG$2:AG214),$AG$2:$AG$1001,0),1)&gt;=100000,INDEX($AN$1005:$BO$1005,1,MATCH(COLUMNS($AN$1006:AP1006),$AN$1006:$BO$1006,0))&gt;=100000), " ",IF(INDEX($AN$2:$BO$1001,MATCH(ROWS($AG$2:AG214),$AG$2:$AG$1001,0),MATCH(COLUMNS($AN$1006:AP1006),$AN$1006:$BO$1006,0)), HYPERLINK("#",""), HYPERLINK(CONCATENATE("#Metadata!", ADDRESS(INDEX($AI$2:$AI$1001,MATCH(ROWS($AG$2:AG214),$AG$2:$AG$1001,0),0), INDEX($AN$1004:$BO$1004,1,MATCH(COLUMNS($AN$1006:AP1006),$AN$1006:$BO$1006,0)))),"Fix")))</f>
        <v>0</v>
      </c>
      <c r="E214" s="4">
        <f>IF(OR(INDEX($AH$2:$AH$1001,MATCH(ROWS($AG$2:AG214),$AG$2:$AG$1001,0),1)&gt;=100000,INDEX($AN$1005:$BO$1005,1,MATCH(COLUMNS($AN$1006:AQ1006),$AN$1006:$BO$1006,0))&gt;=100000), " ",IF(INDEX($AN$2:$BO$1001,MATCH(ROWS($AG$2:AG214),$AG$2:$AG$1001,0),MATCH(COLUMNS($AN$1006:AQ1006),$AN$1006:$BO$1006,0)), HYPERLINK("#",""), HYPERLINK(CONCATENATE("#Metadata!", ADDRESS(INDEX($AI$2:$AI$1001,MATCH(ROWS($AG$2:AG214),$AG$2:$AG$1001,0),0), INDEX($AN$1004:$BO$1004,1,MATCH(COLUMNS($AN$1006:AQ1006),$AN$1006:$BO$1006,0)))),"Fix")))</f>
        <v>0</v>
      </c>
      <c r="F214" s="4">
        <f>IF(OR(INDEX($AH$2:$AH$1001,MATCH(ROWS($AG$2:AG214),$AG$2:$AG$1001,0),1)&gt;=100000,INDEX($AN$1005:$BO$1005,1,MATCH(COLUMNS($AN$1006:AR1006),$AN$1006:$BO$1006,0))&gt;=100000), " ",IF(INDEX($AN$2:$BO$1001,MATCH(ROWS($AG$2:AG214),$AG$2:$AG$1001,0),MATCH(COLUMNS($AN$1006:AR1006),$AN$1006:$BO$1006,0)), HYPERLINK("#",""), HYPERLINK(CONCATENATE("#Metadata!", ADDRESS(INDEX($AI$2:$AI$1001,MATCH(ROWS($AG$2:AG214),$AG$2:$AG$1001,0),0), INDEX($AN$1004:$BO$1004,1,MATCH(COLUMNS($AN$1006:AR1006),$AN$1006:$BO$1006,0)))),"Fix")))</f>
        <v>0</v>
      </c>
      <c r="G214" s="4">
        <f>IF(OR(INDEX($AH$2:$AH$1001,MATCH(ROWS($AG$2:AG214),$AG$2:$AG$1001,0),1)&gt;=100000,INDEX($AN$1005:$BO$1005,1,MATCH(COLUMNS($AN$1006:AS1006),$AN$1006:$BO$1006,0))&gt;=100000), " ",IF(INDEX($AN$2:$BO$1001,MATCH(ROWS($AG$2:AG214),$AG$2:$AG$1001,0),MATCH(COLUMNS($AN$1006:AS1006),$AN$1006:$BO$1006,0)), HYPERLINK("#",""), HYPERLINK(CONCATENATE("#Metadata!", ADDRESS(INDEX($AI$2:$AI$1001,MATCH(ROWS($AG$2:AG214),$AG$2:$AG$1001,0),0), INDEX($AN$1004:$BO$1004,1,MATCH(COLUMNS($AN$1006:AS1006),$AN$1006:$BO$1006,0)))),"Fix")))</f>
        <v>0</v>
      </c>
      <c r="H214" s="4">
        <f>IF(OR(INDEX($AH$2:$AH$1001,MATCH(ROWS($AG$2:AG214),$AG$2:$AG$1001,0),1)&gt;=100000,INDEX($AN$1005:$BO$1005,1,MATCH(COLUMNS($AN$1006:AT1006),$AN$1006:$BO$1006,0))&gt;=100000), " ",IF(INDEX($AN$2:$BO$1001,MATCH(ROWS($AG$2:AG214),$AG$2:$AG$1001,0),MATCH(COLUMNS($AN$1006:AT1006),$AN$1006:$BO$1006,0)), HYPERLINK("#",""), HYPERLINK(CONCATENATE("#Metadata!", ADDRESS(INDEX($AI$2:$AI$1001,MATCH(ROWS($AG$2:AG214),$AG$2:$AG$1001,0),0), INDEX($AN$1004:$BO$1004,1,MATCH(COLUMNS($AN$1006:AT1006),$AN$1006:$BO$1006,0)))),"Fix")))</f>
        <v>0</v>
      </c>
      <c r="I214" s="4">
        <f>IF(OR(INDEX($AH$2:$AH$1001,MATCH(ROWS($AG$2:AG214),$AG$2:$AG$1001,0),1)&gt;=100000,INDEX($AN$1005:$BO$1005,1,MATCH(COLUMNS($AN$1006:AU1006),$AN$1006:$BO$1006,0))&gt;=100000), " ",IF(INDEX($AN$2:$BO$1001,MATCH(ROWS($AG$2:AG214),$AG$2:$AG$1001,0),MATCH(COLUMNS($AN$1006:AU1006),$AN$1006:$BO$1006,0)), HYPERLINK("#",""), HYPERLINK(CONCATENATE("#Metadata!", ADDRESS(INDEX($AI$2:$AI$1001,MATCH(ROWS($AG$2:AG214),$AG$2:$AG$1001,0),0), INDEX($AN$1004:$BO$1004,1,MATCH(COLUMNS($AN$1006:AU1006),$AN$1006:$BO$1006,0)))),"Fix")))</f>
        <v>0</v>
      </c>
      <c r="J214" s="4">
        <f>IF(OR(INDEX($AH$2:$AH$1001,MATCH(ROWS($AG$2:AG214),$AG$2:$AG$1001,0),1)&gt;=100000,INDEX($AN$1005:$BO$1005,1,MATCH(COLUMNS($AN$1006:AV1006),$AN$1006:$BO$1006,0))&gt;=100000), " ",IF(INDEX($AN$2:$BO$1001,MATCH(ROWS($AG$2:AG214),$AG$2:$AG$1001,0),MATCH(COLUMNS($AN$1006:AV1006),$AN$1006:$BO$1006,0)), HYPERLINK("#",""), HYPERLINK(CONCATENATE("#Metadata!", ADDRESS(INDEX($AI$2:$AI$1001,MATCH(ROWS($AG$2:AG214),$AG$2:$AG$1001,0),0), INDEX($AN$1004:$BO$1004,1,MATCH(COLUMNS($AN$1006:AV1006),$AN$1006:$BO$1006,0)))),"Fix")))</f>
        <v>0</v>
      </c>
      <c r="K214" s="4">
        <f>IF(OR(INDEX($AH$2:$AH$1001,MATCH(ROWS($AG$2:AG214),$AG$2:$AG$1001,0),1)&gt;=100000,INDEX($AN$1005:$BO$1005,1,MATCH(COLUMNS($AN$1006:AW1006),$AN$1006:$BO$1006,0))&gt;=100000), " ",IF(INDEX($AN$2:$BO$1001,MATCH(ROWS($AG$2:AG214),$AG$2:$AG$1001,0),MATCH(COLUMNS($AN$1006:AW1006),$AN$1006:$BO$1006,0)), HYPERLINK("#",""), HYPERLINK(CONCATENATE("#Metadata!", ADDRESS(INDEX($AI$2:$AI$1001,MATCH(ROWS($AG$2:AG214),$AG$2:$AG$1001,0),0), INDEX($AN$1004:$BO$1004,1,MATCH(COLUMNS($AN$1006:AW1006),$AN$1006:$BO$1006,0)))),"Fix")))</f>
        <v>0</v>
      </c>
      <c r="L214" s="4">
        <f>IF(OR(INDEX($AH$2:$AH$1001,MATCH(ROWS($AG$2:AG214),$AG$2:$AG$1001,0),1)&gt;=100000,INDEX($AN$1005:$BO$1005,1,MATCH(COLUMNS($AN$1006:AX1006),$AN$1006:$BO$1006,0))&gt;=100000), " ",IF(INDEX($AN$2:$BO$1001,MATCH(ROWS($AG$2:AG214),$AG$2:$AG$1001,0),MATCH(COLUMNS($AN$1006:AX1006),$AN$1006:$BO$1006,0)), HYPERLINK("#",""), HYPERLINK(CONCATENATE("#Metadata!", ADDRESS(INDEX($AI$2:$AI$1001,MATCH(ROWS($AG$2:AG214),$AG$2:$AG$1001,0),0), INDEX($AN$1004:$BO$1004,1,MATCH(COLUMNS($AN$1006:AX1006),$AN$1006:$BO$1006,0)))),"Fix")))</f>
        <v>0</v>
      </c>
      <c r="M214" s="4">
        <f>IF(OR(INDEX($AH$2:$AH$1001,MATCH(ROWS($AG$2:AG214),$AG$2:$AG$1001,0),1)&gt;=100000,INDEX($AN$1005:$BO$1005,1,MATCH(COLUMNS($AN$1006:AY1006),$AN$1006:$BO$1006,0))&gt;=100000), " ",IF(INDEX($AN$2:$BO$1001,MATCH(ROWS($AG$2:AG214),$AG$2:$AG$1001,0),MATCH(COLUMNS($AN$1006:AY1006),$AN$1006:$BO$1006,0)), HYPERLINK("#",""), HYPERLINK(CONCATENATE("#Metadata!", ADDRESS(INDEX($AI$2:$AI$1001,MATCH(ROWS($AG$2:AG214),$AG$2:$AG$1001,0),0), INDEX($AN$1004:$BO$1004,1,MATCH(COLUMNS($AN$1006:AY1006),$AN$1006:$BO$1006,0)))),"Fix")))</f>
        <v>0</v>
      </c>
      <c r="N214" s="4">
        <f>IF(OR(INDEX($AH$2:$AH$1001,MATCH(ROWS($AG$2:AG214),$AG$2:$AG$1001,0),1)&gt;=100000,INDEX($AN$1005:$BO$1005,1,MATCH(COLUMNS($AN$1006:AZ1006),$AN$1006:$BO$1006,0))&gt;=100000), " ",IF(INDEX($AN$2:$BO$1001,MATCH(ROWS($AG$2:AG214),$AG$2:$AG$1001,0),MATCH(COLUMNS($AN$1006:AZ1006),$AN$1006:$BO$1006,0)), HYPERLINK("#",""), HYPERLINK(CONCATENATE("#Metadata!", ADDRESS(INDEX($AI$2:$AI$1001,MATCH(ROWS($AG$2:AG214),$AG$2:$AG$1001,0),0), INDEX($AN$1004:$BO$1004,1,MATCH(COLUMNS($AN$1006:AZ1006),$AN$1006:$BO$1006,0)))),"Fix")))</f>
        <v>0</v>
      </c>
      <c r="O214" s="4">
        <f>IF(OR(INDEX($AH$2:$AH$1001,MATCH(ROWS($AG$2:AG214),$AG$2:$AG$1001,0),1)&gt;=100000,INDEX($AN$1005:$BO$1005,1,MATCH(COLUMNS($AN$1006:BA1006),$AN$1006:$BO$1006,0))&gt;=100000), " ",IF(INDEX($AN$2:$BO$1001,MATCH(ROWS($AG$2:AG214),$AG$2:$AG$1001,0),MATCH(COLUMNS($AN$1006:BA1006),$AN$1006:$BO$1006,0)), HYPERLINK("#",""), HYPERLINK(CONCATENATE("#Metadata!", ADDRESS(INDEX($AI$2:$AI$1001,MATCH(ROWS($AG$2:AG214),$AG$2:$AG$1001,0),0), INDEX($AN$1004:$BO$1004,1,MATCH(COLUMNS($AN$1006:BA1006),$AN$1006:$BO$1006,0)))),"Fix")))</f>
        <v>0</v>
      </c>
      <c r="P214" s="4">
        <f>IF(OR(INDEX($AH$2:$AH$1001,MATCH(ROWS($AG$2:AG214),$AG$2:$AG$1001,0),1)&gt;=100000,INDEX($AN$1005:$BO$1005,1,MATCH(COLUMNS($AN$1006:BB1006),$AN$1006:$BO$1006,0))&gt;=100000), " ",IF(INDEX($AN$2:$BO$1001,MATCH(ROWS($AG$2:AG214),$AG$2:$AG$1001,0),MATCH(COLUMNS($AN$1006:BB1006),$AN$1006:$BO$1006,0)), HYPERLINK("#",""), HYPERLINK(CONCATENATE("#Metadata!", ADDRESS(INDEX($AI$2:$AI$1001,MATCH(ROWS($AG$2:AG214),$AG$2:$AG$1001,0),0), INDEX($AN$1004:$BO$1004,1,MATCH(COLUMNS($AN$1006:BB1006),$AN$1006:$BO$1006,0)))),"Fix")))</f>
        <v>0</v>
      </c>
      <c r="Q214" s="4">
        <f>IF(OR(INDEX($AH$2:$AH$1001,MATCH(ROWS($AG$2:AG214),$AG$2:$AG$1001,0),1)&gt;=100000,INDEX($AN$1005:$BO$1005,1,MATCH(COLUMNS($AN$1006:BC1006),$AN$1006:$BO$1006,0))&gt;=100000), " ",IF(INDEX($AN$2:$BO$1001,MATCH(ROWS($AG$2:AG214),$AG$2:$AG$1001,0),MATCH(COLUMNS($AN$1006:BC1006),$AN$1006:$BO$1006,0)), HYPERLINK("#",""), HYPERLINK(CONCATENATE("#Metadata!", ADDRESS(INDEX($AI$2:$AI$1001,MATCH(ROWS($AG$2:AG214),$AG$2:$AG$1001,0),0), INDEX($AN$1004:$BO$1004,1,MATCH(COLUMNS($AN$1006:BC1006),$AN$1006:$BO$1006,0)))),"Fix")))</f>
        <v>0</v>
      </c>
      <c r="R214" s="4">
        <f>IF(OR(INDEX($AH$2:$AH$1001,MATCH(ROWS($AG$2:AG214),$AG$2:$AG$1001,0),1)&gt;=100000,INDEX($AN$1005:$BO$1005,1,MATCH(COLUMNS($AN$1006:BD1006),$AN$1006:$BO$1006,0))&gt;=100000), " ",IF(INDEX($AN$2:$BO$1001,MATCH(ROWS($AG$2:AG214),$AG$2:$AG$1001,0),MATCH(COLUMNS($AN$1006:BD1006),$AN$1006:$BO$1006,0)), HYPERLINK("#",""), HYPERLINK(CONCATENATE("#Metadata!", ADDRESS(INDEX($AI$2:$AI$1001,MATCH(ROWS($AG$2:AG214),$AG$2:$AG$1001,0),0), INDEX($AN$1004:$BO$1004,1,MATCH(COLUMNS($AN$1006:BD1006),$AN$1006:$BO$1006,0)))),"Fix")))</f>
        <v>0</v>
      </c>
      <c r="S214" s="4">
        <f>IF(OR(INDEX($AH$2:$AH$1001,MATCH(ROWS($AG$2:AG214),$AG$2:$AG$1001,0),1)&gt;=100000,INDEX($AN$1005:$BO$1005,1,MATCH(COLUMNS($AN$1006:BE1006),$AN$1006:$BO$1006,0))&gt;=100000), " ",IF(INDEX($AN$2:$BO$1001,MATCH(ROWS($AG$2:AG214),$AG$2:$AG$1001,0),MATCH(COLUMNS($AN$1006:BE1006),$AN$1006:$BO$1006,0)), HYPERLINK("#",""), HYPERLINK(CONCATENATE("#Metadata!", ADDRESS(INDEX($AI$2:$AI$1001,MATCH(ROWS($AG$2:AG214),$AG$2:$AG$1001,0),0), INDEX($AN$1004:$BO$1004,1,MATCH(COLUMNS($AN$1006:BE1006),$AN$1006:$BO$1006,0)))),"Fix")))</f>
        <v>0</v>
      </c>
      <c r="T214" s="4">
        <f>IF(OR(INDEX($AH$2:$AH$1001,MATCH(ROWS($AG$2:AG214),$AG$2:$AG$1001,0),1)&gt;=100000,INDEX($AN$1005:$BO$1005,1,MATCH(COLUMNS($AN$1006:BF1006),$AN$1006:$BO$1006,0))&gt;=100000), " ",IF(INDEX($AN$2:$BO$1001,MATCH(ROWS($AG$2:AG214),$AG$2:$AG$1001,0),MATCH(COLUMNS($AN$1006:BF1006),$AN$1006:$BO$1006,0)), HYPERLINK("#",""), HYPERLINK(CONCATENATE("#Metadata!", ADDRESS(INDEX($AI$2:$AI$1001,MATCH(ROWS($AG$2:AG214),$AG$2:$AG$1001,0),0), INDEX($AN$1004:$BO$1004,1,MATCH(COLUMNS($AN$1006:BF1006),$AN$1006:$BO$1006,0)))),"Fix")))</f>
        <v>0</v>
      </c>
      <c r="U214" s="4">
        <f>IF(OR(INDEX($AH$2:$AH$1001,MATCH(ROWS($AG$2:AG214),$AG$2:$AG$1001,0),1)&gt;=100000,INDEX($AN$1005:$BO$1005,1,MATCH(COLUMNS($AN$1006:BG1006),$AN$1006:$BO$1006,0))&gt;=100000), " ",IF(INDEX($AN$2:$BO$1001,MATCH(ROWS($AG$2:AG214),$AG$2:$AG$1001,0),MATCH(COLUMNS($AN$1006:BG1006),$AN$1006:$BO$1006,0)), HYPERLINK("#",""), HYPERLINK(CONCATENATE("#Metadata!", ADDRESS(INDEX($AI$2:$AI$1001,MATCH(ROWS($AG$2:AG214),$AG$2:$AG$1001,0),0), INDEX($AN$1004:$BO$1004,1,MATCH(COLUMNS($AN$1006:BG1006),$AN$1006:$BO$1006,0)))),"Fix")))</f>
        <v>0</v>
      </c>
      <c r="V214" s="4">
        <f>IF(OR(INDEX($AH$2:$AH$1001,MATCH(ROWS($AG$2:AG214),$AG$2:$AG$1001,0),1)&gt;=100000,INDEX($AN$1005:$BO$1005,1,MATCH(COLUMNS($AN$1006:BH1006),$AN$1006:$BO$1006,0))&gt;=100000), " ",IF(INDEX($AN$2:$BO$1001,MATCH(ROWS($AG$2:AG214),$AG$2:$AG$1001,0),MATCH(COLUMNS($AN$1006:BH1006),$AN$1006:$BO$1006,0)), HYPERLINK("#",""), HYPERLINK(CONCATENATE("#Metadata!", ADDRESS(INDEX($AI$2:$AI$1001,MATCH(ROWS($AG$2:AG214),$AG$2:$AG$1001,0),0), INDEX($AN$1004:$BO$1004,1,MATCH(COLUMNS($AN$1006:BH1006),$AN$1006:$BO$1006,0)))),"Fix")))</f>
        <v>0</v>
      </c>
      <c r="W214" s="4">
        <f>IF(OR(INDEX($AH$2:$AH$1001,MATCH(ROWS($AG$2:AG214),$AG$2:$AG$1001,0),1)&gt;=100000,INDEX($AN$1005:$BO$1005,1,MATCH(COLUMNS($AN$1006:BI1006),$AN$1006:$BO$1006,0))&gt;=100000), " ",IF(INDEX($AN$2:$BO$1001,MATCH(ROWS($AG$2:AG214),$AG$2:$AG$1001,0),MATCH(COLUMNS($AN$1006:BI1006),$AN$1006:$BO$1006,0)), HYPERLINK("#",""), HYPERLINK(CONCATENATE("#Metadata!", ADDRESS(INDEX($AI$2:$AI$1001,MATCH(ROWS($AG$2:AG214),$AG$2:$AG$1001,0),0), INDEX($AN$1004:$BO$1004,1,MATCH(COLUMNS($AN$1006:BI1006),$AN$1006:$BO$1006,0)))),"Fix")))</f>
        <v>0</v>
      </c>
      <c r="X214" s="4">
        <f>IF(OR(INDEX($AH$2:$AH$1001,MATCH(ROWS($AG$2:AG214),$AG$2:$AG$1001,0),1)&gt;=100000,INDEX($AN$1005:$BO$1005,1,MATCH(COLUMNS($AN$1006:BJ1006),$AN$1006:$BO$1006,0))&gt;=100000), " ",IF(INDEX($AN$2:$BO$1001,MATCH(ROWS($AG$2:AG214),$AG$2:$AG$1001,0),MATCH(COLUMNS($AN$1006:BJ1006),$AN$1006:$BO$1006,0)), HYPERLINK("#",""), HYPERLINK(CONCATENATE("#Metadata!", ADDRESS(INDEX($AI$2:$AI$1001,MATCH(ROWS($AG$2:AG214),$AG$2:$AG$1001,0),0), INDEX($AN$1004:$BO$1004,1,MATCH(COLUMNS($AN$1006:BJ1006),$AN$1006:$BO$1006,0)))),"Fix")))</f>
        <v>0</v>
      </c>
      <c r="Y214" s="4">
        <f>IF(OR(INDEX($AH$2:$AH$1001,MATCH(ROWS($AG$2:AG214),$AG$2:$AG$1001,0),1)&gt;=100000,INDEX($AN$1005:$BO$1005,1,MATCH(COLUMNS($AN$1006:BK1006),$AN$1006:$BO$1006,0))&gt;=100000), " ",IF(INDEX($AN$2:$BO$1001,MATCH(ROWS($AG$2:AG214),$AG$2:$AG$1001,0),MATCH(COLUMNS($AN$1006:BK1006),$AN$1006:$BO$1006,0)), HYPERLINK("#",""), HYPERLINK(CONCATENATE("#Metadata!", ADDRESS(INDEX($AI$2:$AI$1001,MATCH(ROWS($AG$2:AG214),$AG$2:$AG$1001,0),0), INDEX($AN$1004:$BO$1004,1,MATCH(COLUMNS($AN$1006:BK1006),$AN$1006:$BO$1006,0)))),"Fix")))</f>
        <v>0</v>
      </c>
      <c r="Z214" s="4">
        <f>IF(OR(INDEX($AH$2:$AH$1001,MATCH(ROWS($AG$2:AG214),$AG$2:$AG$1001,0),1)&gt;=100000,INDEX($AN$1005:$BO$1005,1,MATCH(COLUMNS($AN$1006:BL1006),$AN$1006:$BO$1006,0))&gt;=100000), " ",IF(INDEX($AN$2:$BO$1001,MATCH(ROWS($AG$2:AG214),$AG$2:$AG$1001,0),MATCH(COLUMNS($AN$1006:BL1006),$AN$1006:$BO$1006,0)), HYPERLINK("#",""), HYPERLINK(CONCATENATE("#Metadata!", ADDRESS(INDEX($AI$2:$AI$1001,MATCH(ROWS($AG$2:AG214),$AG$2:$AG$1001,0),0), INDEX($AN$1004:$BO$1004,1,MATCH(COLUMNS($AN$1006:BL1006),$AN$1006:$BO$1006,0)))),"Fix")))</f>
        <v>0</v>
      </c>
      <c r="AA214" s="4">
        <f>IF(OR(INDEX($AH$2:$AH$1001,MATCH(ROWS($AG$2:AG214),$AG$2:$AG$1001,0),1)&gt;=100000,INDEX($AN$1005:$BO$1005,1,MATCH(COLUMNS($AN$1006:BM1006),$AN$1006:$BO$1006,0))&gt;=100000), " ",IF(INDEX($AN$2:$BO$1001,MATCH(ROWS($AG$2:AG214),$AG$2:$AG$1001,0),MATCH(COLUMNS($AN$1006:BM1006),$AN$1006:$BO$1006,0)), HYPERLINK("#",""), HYPERLINK(CONCATENATE("#Metadata!", ADDRESS(INDEX($AI$2:$AI$1001,MATCH(ROWS($AG$2:AG214),$AG$2:$AG$1001,0),0), INDEX($AN$1004:$BO$1004,1,MATCH(COLUMNS($AN$1006:BM1006),$AN$1006:$BO$1006,0)))),"Fix")))</f>
        <v>0</v>
      </c>
      <c r="AB214" s="4">
        <f>IF(OR(INDEX($AH$2:$AH$1001,MATCH(ROWS($AG$2:AG214),$AG$2:$AG$1001,0),1)&gt;=100000,INDEX($AN$1005:$BO$1005,1,MATCH(COLUMNS($AN$1006:BN1006),$AN$1006:$BO$1006,0))&gt;=100000), " ",IF(INDEX($AN$2:$BO$1001,MATCH(ROWS($AG$2:AG214),$AG$2:$AG$1001,0),MATCH(COLUMNS($AN$1006:BN1006),$AN$1006:$BO$1006,0)), HYPERLINK("#",""), HYPERLINK(CONCATENATE("#Metadata!", ADDRESS(INDEX($AI$2:$AI$1001,MATCH(ROWS($AG$2:AG214),$AG$2:$AG$1001,0),0), INDEX($AN$1004:$BO$1004,1,MATCH(COLUMNS($AN$1006:BN1006),$AN$1006:$BO$1006,0)))),"Fix")))</f>
        <v>0</v>
      </c>
      <c r="AC214" s="4">
        <f>IF(OR(INDEX($AH$2:$AH$1001,MATCH(ROWS($AG$2:AG214),$AG$2:$AG$1001,0),1)&gt;=100000,INDEX($AN$1005:$BO$1005,1,MATCH(COLUMNS($AN$1006:BO1006),$AN$1006:$BO$1006,0))&gt;=100000), " ",IF(INDEX($AN$2:$BO$1001,MATCH(ROWS($AG$2:AG214),$AG$2:$AG$1001,0),MATCH(COLUMNS($AN$1006:BO1006),$AN$1006:$BO$1006,0)), HYPERLINK("#",""), HYPERLINK(CONCATENATE("#Metadata!", ADDRESS(INDEX($AI$2:$AI$1001,MATCH(ROWS($AG$2:AG214),$AG$2:$AG$1001,0),0), INDEX($AN$1004:$BO$1004,1,MATCH(COLUMNS($AN$1006:BO1006),$AN$1006:$BO$1006,0)))),"Fix")))</f>
        <v>0</v>
      </c>
      <c r="AG214">
        <v>0</v>
      </c>
      <c r="AH214">
        <v>0</v>
      </c>
      <c r="AI214">
        <v>0</v>
      </c>
      <c r="AJ214">
        <f>IF(AK214,TRUE,AND(AN214:BO214))</f>
        <v>0</v>
      </c>
      <c r="AK214">
        <f>COUNTBLANK(Metadata!B214:AC214)=COLUMNS(Metadata!B214:AC214)</f>
        <v>0</v>
      </c>
      <c r="AL214">
        <v>0</v>
      </c>
      <c r="AN214">
        <f>AND(IF(Metadata!B214="",FALSE,TRUE),COUNTIF(Metadata!B:B, Metadata!B214) = 1,NOT(ISERROR(SUMPRODUCT(SEARCH(MID(Metadata!B214,ROW(INDIRECT("1:"&amp;LEN(Metadata!B214))), 1),"0123456789abcdefghijklmnopqrstuvwxyzABCDEFGHIJKLMNOPQRSTUVWXYZ.")))))</f>
        <v>0</v>
      </c>
      <c r="AO214">
        <f>IF(Metadata!C214="",FALSE,TRUE)</f>
        <v>0</v>
      </c>
      <c r="AP214">
        <f>IF(Metadata!D214="",FALSE,TRUE)</f>
        <v>0</v>
      </c>
      <c r="AQ214">
        <f>OR(AND(IF(Metadata!E214="",FALSE,TRUE),OR(exact(Metadata!E214,"not collected"),exact(Metadata!E214,"not provided"),exact(Metadata!E214,"restricted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R214">
        <f>IF(Metadata!F214="",FALSE,TRUE)</f>
        <v>0</v>
      </c>
      <c r="AS214">
        <f>OR(AND(IF(Metadata!G214="",FALSE,TRUE),OR(exact(Metadata!G214,"not collected"),exact(Metadata!G214,"not provided"))),AND(IF(Metadata!G214="",FALSE,TRUE),OR(exact(Metadata!G214,"TRUE"),exact(Metadata!G214,"FALSE"))))</f>
        <v>0</v>
      </c>
      <c r="AT214">
        <f>OR(AND(IF(Metadata!H214="",FALSE,TRUE),OR(exact(Metadata!H214,"not collected"),exact(Metadata!H214,"not provided"),exact(Metadata!H214,"restricted access"))),AND(IF(Metadata!H214="",FALSE,ISNUMBER(VALUE(Metadata!H214))),Metadata!H214&gt;=-413.0))</f>
        <v>0</v>
      </c>
      <c r="AU214">
        <f>AND(IF(Metadata!I214="",FALSE,TRUE),exact(Metadata!I214,"meters"))</f>
        <v>0</v>
      </c>
      <c r="AV214">
        <f>AND(IF(Metadata!J214="",FALSE,TRUE),OR(exact(Metadata!J214,"Host-associated"),exact(Metadata!J214,"Free-living")))</f>
        <v>0</v>
      </c>
      <c r="AW214">
        <f>AND(IF(Metadata!K214="",FALSE,TRUE),OR(exact(Metadata!K214,"Animal"),exact(Metadata!K214,"Fungus"),exact(Metadata!K214,"Plant"),exact(Metadata!K214,"Saline"),exact(Metadata!K214,"Non-saline")))</f>
        <v>0</v>
      </c>
      <c r="AX214">
        <f>AND(IF(Metadata!L214="",FALSE,TRUE),OR(exact(Metadata!L214,"Plant secretion"),exact(Metadata!L214,"Plant rhizosphere"),exact(Metadata!L214,"Plant surface"),exact(Metadata!L214,"Plant corpus"),exact(Metadata!L214,"Fungus surface"),exact(Metadata!L214,"Fungus corpus"),exact(Metadata!L214,"Animal surface"),exact(Metadata!L214,"Animal proximal gut"),exact(Metadata!L214,"Animal corpus"),exact(Metadata!L214,"Animal distal gut"),exact(Metadata!L214,"Animal secretion"),exact(Metadata!L214,"Sub-surface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Y214">
        <f>IF(Metadata!M214="",FALSE,TRUE)</f>
        <v>0</v>
      </c>
      <c r="AZ214">
        <f>IF(Metadata!N214="",FALSE,TRUE)</f>
        <v>0</v>
      </c>
      <c r="BA214">
        <f>IF(Metadata!O214="",FALSE,TRUE)</f>
        <v>0</v>
      </c>
      <c r="BB214">
        <f>OR(AND(IF(Metadata!P214="",FALSE,TRUE),OR(exact(Metadata!P214,"not collected"),exact(Metadata!P214,"not provided"),exact(Metadata!P214,"restricted access"))),AND(IF(Metadata!P214="",FALSE,TRUE),OR(exact(Metadata!P214,"air"),exact(Metadata!P214,"built environment"),exact(Metadata!P214,"host-associated"),exact(Metadata!P214,"human-associated"),exact(Metadata!P214,"human-skin"),exact(Metadata!P214,"human-oral"),exact(Metadata!P214,"human-gut"),exact(Metadata!P214,"human-vaginal"),exact(Metadata!P214,"microbial mat/biofilm"),exact(Metadata!P214,"misc environment"),exact(Metadata!P214,"plant-associated"),exact(Metadata!P214,"sediment"),exact(Metadata!P214,"soil"),exact(Metadata!P214,"wastewater/sludge"),exact(Metadata!P214,"water"))))</f>
        <v>0</v>
      </c>
      <c r="BC214">
        <f>IF(Metadata!Q214="",FALSE,TRUE)</f>
        <v>0</v>
      </c>
      <c r="BD214">
        <f>IF(Metadata!R214="",FALSE,TRUE)</f>
        <v>0</v>
      </c>
      <c r="BE214">
        <f>OR(AND(IF(Metadata!S214="",FALSE,TRUE),OR(exact(Metadata!S214,"not collected"),exact(Metadata!S214,"not provided"),exact(Metadata!S214,"restricted access"))),AND(IF(Metadata!S214="",FALSE,ISNUMBER(VALUE(Metadata!S214))),Metadata!S214&gt;=-90.00,Metadata!S214&lt;=90.00))</f>
        <v>0</v>
      </c>
      <c r="BF214">
        <f>AND(IF(Metadata!T214="",FALSE,TRUE),exact(Metadata!T214,"Decimal degrees"))</f>
        <v>0</v>
      </c>
      <c r="BG214">
        <f>OR(AND(IF(Metadata!U214="",FALSE,TRUE),OR(exact(Metadata!U214,"not collected"),exact(Metadata!U214,"not provided"),exact(Metadata!U214,"restricted access"))),AND(IF(Metadata!U214="",FALSE,ISNUMBER(VALUE(Metadata!U214))),Metadata!U214&gt;=-180.00,Metadata!U214&lt;=180.00))</f>
        <v>0</v>
      </c>
      <c r="BH214">
        <f>AND(IF(Metadata!V214="",FALSE,TRUE),exact(Metadata!V214,"Decimal degrees"))</f>
        <v>0</v>
      </c>
      <c r="BI214">
        <f>IF(Metadata!W214="",FALSE,TRUE)</f>
        <v>0</v>
      </c>
      <c r="BJ214">
        <f>OR(AND(IF(Metadata!X214="",FALSE,TRUE),OR(exact(Metadata!X214,"not collected"),exact(Metadata!X214,"not provided"),exact(Metadata!X214,"restricted access"))),AND(IF(Metadata!X214="",FALSE,TRUE),OR(exact(Metadata!X214,"TRUE"),exact(Metadata!X214,"FALSE"))))</f>
        <v>0</v>
      </c>
      <c r="BK214">
        <f>AND(IF(Metadata!Y214="",FALSE,TRUE),exact(Metadata!Y214,"other"))</f>
        <v>0</v>
      </c>
      <c r="BL214">
        <f>IF(Metadata!Z214="",FALSE,TRUE)</f>
        <v>0</v>
      </c>
      <c r="BM214">
        <f>OR(AND(IF(Metadata!AA214="",FALSE,TRUE),OR(exact(Metadata!AA214,"not collected"),exact(Metadata!AA214,"not provided"))),AND(IF(Metadata!AA214="",FALSE,IF(ISERROR(INT(Metadata!AA214)),FALSE,INT(Metadata!AA214)=Metadata!AA214)),Metadata!AA214&gt;0))</f>
        <v>0</v>
      </c>
      <c r="BN214">
        <f>AND(IF(Metadata!AB214="",FALSE,TRUE),exact(Metadata!AB214,"Not applicable"))</f>
        <v>0</v>
      </c>
      <c r="BO214">
        <f>IF(Metadata!AC214="",FALSE,TRUE)</f>
        <v>0</v>
      </c>
    </row>
    <row r="215" spans="1:67">
      <c r="A215" s="5">
        <f>IF(B215=" "," ",HYPERLINK(CONCATENATE("#metadata!",ADDRESS(INDEX($AI$2:$AI$1001,MATCH(ROWS($AG$2:AG215),$AG$2:$AG$1001,0),0),1)),INDEX($AL$2:$AL$1001,MATCH(ROWS($AG$2:AG215),$AG$2:$AG$1001,0),0)))</f>
        <v>0</v>
      </c>
      <c r="B215" s="4">
        <f>IF(OR(INDEX($AH$2:$AH$1001,MATCH(ROWS($AG$2:AG215),$AG$2:$AG$1001,0),1)&gt;=100000,INDEX($AN$1005:$BO$1005,1,MATCH(COLUMNS($AN$1006:AN1006),$AN$1006:$BO$1006,0))&gt;=100000), " ",IF(INDEX($AN$2:$BO$1001,MATCH(ROWS($AG$2:AG215),$AG$2:$AG$1001,0),MATCH(COLUMNS($AN$1006:AN1006),$AN$1006:$BO$1006,0)), HYPERLINK("#",""), HYPERLINK(CONCATENATE("#Metadata!", ADDRESS(INDEX($AI$2:$AI$1001,MATCH(ROWS($AG$2:AG215),$AG$2:$AG$1001,0),0), INDEX($AN$1004:$BO$1004,1,MATCH(COLUMNS($AN$1006:AN1006),$AN$1006:$BO$1006,0)))),"Fix")))</f>
        <v>0</v>
      </c>
      <c r="C215" s="4">
        <f>IF(OR(INDEX($AH$2:$AH$1001,MATCH(ROWS($AG$2:AG215),$AG$2:$AG$1001,0),1)&gt;=100000,INDEX($AN$1005:$BO$1005,1,MATCH(COLUMNS($AN$1006:AO1006),$AN$1006:$BO$1006,0))&gt;=100000), " ",IF(INDEX($AN$2:$BO$1001,MATCH(ROWS($AG$2:AG215),$AG$2:$AG$1001,0),MATCH(COLUMNS($AN$1006:AO1006),$AN$1006:$BO$1006,0)), HYPERLINK("#",""), HYPERLINK(CONCATENATE("#Metadata!", ADDRESS(INDEX($AI$2:$AI$1001,MATCH(ROWS($AG$2:AG215),$AG$2:$AG$1001,0),0), INDEX($AN$1004:$BO$1004,1,MATCH(COLUMNS($AN$1006:AO1006),$AN$1006:$BO$1006,0)))),"Fix")))</f>
        <v>0</v>
      </c>
      <c r="D215" s="4">
        <f>IF(OR(INDEX($AH$2:$AH$1001,MATCH(ROWS($AG$2:AG215),$AG$2:$AG$1001,0),1)&gt;=100000,INDEX($AN$1005:$BO$1005,1,MATCH(COLUMNS($AN$1006:AP1006),$AN$1006:$BO$1006,0))&gt;=100000), " ",IF(INDEX($AN$2:$BO$1001,MATCH(ROWS($AG$2:AG215),$AG$2:$AG$1001,0),MATCH(COLUMNS($AN$1006:AP1006),$AN$1006:$BO$1006,0)), HYPERLINK("#",""), HYPERLINK(CONCATENATE("#Metadata!", ADDRESS(INDEX($AI$2:$AI$1001,MATCH(ROWS($AG$2:AG215),$AG$2:$AG$1001,0),0), INDEX($AN$1004:$BO$1004,1,MATCH(COLUMNS($AN$1006:AP1006),$AN$1006:$BO$1006,0)))),"Fix")))</f>
        <v>0</v>
      </c>
      <c r="E215" s="4">
        <f>IF(OR(INDEX($AH$2:$AH$1001,MATCH(ROWS($AG$2:AG215),$AG$2:$AG$1001,0),1)&gt;=100000,INDEX($AN$1005:$BO$1005,1,MATCH(COLUMNS($AN$1006:AQ1006),$AN$1006:$BO$1006,0))&gt;=100000), " ",IF(INDEX($AN$2:$BO$1001,MATCH(ROWS($AG$2:AG215),$AG$2:$AG$1001,0),MATCH(COLUMNS($AN$1006:AQ1006),$AN$1006:$BO$1006,0)), HYPERLINK("#",""), HYPERLINK(CONCATENATE("#Metadata!", ADDRESS(INDEX($AI$2:$AI$1001,MATCH(ROWS($AG$2:AG215),$AG$2:$AG$1001,0),0), INDEX($AN$1004:$BO$1004,1,MATCH(COLUMNS($AN$1006:AQ1006),$AN$1006:$BO$1006,0)))),"Fix")))</f>
        <v>0</v>
      </c>
      <c r="F215" s="4">
        <f>IF(OR(INDEX($AH$2:$AH$1001,MATCH(ROWS($AG$2:AG215),$AG$2:$AG$1001,0),1)&gt;=100000,INDEX($AN$1005:$BO$1005,1,MATCH(COLUMNS($AN$1006:AR1006),$AN$1006:$BO$1006,0))&gt;=100000), " ",IF(INDEX($AN$2:$BO$1001,MATCH(ROWS($AG$2:AG215),$AG$2:$AG$1001,0),MATCH(COLUMNS($AN$1006:AR1006),$AN$1006:$BO$1006,0)), HYPERLINK("#",""), HYPERLINK(CONCATENATE("#Metadata!", ADDRESS(INDEX($AI$2:$AI$1001,MATCH(ROWS($AG$2:AG215),$AG$2:$AG$1001,0),0), INDEX($AN$1004:$BO$1004,1,MATCH(COLUMNS($AN$1006:AR1006),$AN$1006:$BO$1006,0)))),"Fix")))</f>
        <v>0</v>
      </c>
      <c r="G215" s="4">
        <f>IF(OR(INDEX($AH$2:$AH$1001,MATCH(ROWS($AG$2:AG215),$AG$2:$AG$1001,0),1)&gt;=100000,INDEX($AN$1005:$BO$1005,1,MATCH(COLUMNS($AN$1006:AS1006),$AN$1006:$BO$1006,0))&gt;=100000), " ",IF(INDEX($AN$2:$BO$1001,MATCH(ROWS($AG$2:AG215),$AG$2:$AG$1001,0),MATCH(COLUMNS($AN$1006:AS1006),$AN$1006:$BO$1006,0)), HYPERLINK("#",""), HYPERLINK(CONCATENATE("#Metadata!", ADDRESS(INDEX($AI$2:$AI$1001,MATCH(ROWS($AG$2:AG215),$AG$2:$AG$1001,0),0), INDEX($AN$1004:$BO$1004,1,MATCH(COLUMNS($AN$1006:AS1006),$AN$1006:$BO$1006,0)))),"Fix")))</f>
        <v>0</v>
      </c>
      <c r="H215" s="4">
        <f>IF(OR(INDEX($AH$2:$AH$1001,MATCH(ROWS($AG$2:AG215),$AG$2:$AG$1001,0),1)&gt;=100000,INDEX($AN$1005:$BO$1005,1,MATCH(COLUMNS($AN$1006:AT1006),$AN$1006:$BO$1006,0))&gt;=100000), " ",IF(INDEX($AN$2:$BO$1001,MATCH(ROWS($AG$2:AG215),$AG$2:$AG$1001,0),MATCH(COLUMNS($AN$1006:AT1006),$AN$1006:$BO$1006,0)), HYPERLINK("#",""), HYPERLINK(CONCATENATE("#Metadata!", ADDRESS(INDEX($AI$2:$AI$1001,MATCH(ROWS($AG$2:AG215),$AG$2:$AG$1001,0),0), INDEX($AN$1004:$BO$1004,1,MATCH(COLUMNS($AN$1006:AT1006),$AN$1006:$BO$1006,0)))),"Fix")))</f>
        <v>0</v>
      </c>
      <c r="I215" s="4">
        <f>IF(OR(INDEX($AH$2:$AH$1001,MATCH(ROWS($AG$2:AG215),$AG$2:$AG$1001,0),1)&gt;=100000,INDEX($AN$1005:$BO$1005,1,MATCH(COLUMNS($AN$1006:AU1006),$AN$1006:$BO$1006,0))&gt;=100000), " ",IF(INDEX($AN$2:$BO$1001,MATCH(ROWS($AG$2:AG215),$AG$2:$AG$1001,0),MATCH(COLUMNS($AN$1006:AU1006),$AN$1006:$BO$1006,0)), HYPERLINK("#",""), HYPERLINK(CONCATENATE("#Metadata!", ADDRESS(INDEX($AI$2:$AI$1001,MATCH(ROWS($AG$2:AG215),$AG$2:$AG$1001,0),0), INDEX($AN$1004:$BO$1004,1,MATCH(COLUMNS($AN$1006:AU1006),$AN$1006:$BO$1006,0)))),"Fix")))</f>
        <v>0</v>
      </c>
      <c r="J215" s="4">
        <f>IF(OR(INDEX($AH$2:$AH$1001,MATCH(ROWS($AG$2:AG215),$AG$2:$AG$1001,0),1)&gt;=100000,INDEX($AN$1005:$BO$1005,1,MATCH(COLUMNS($AN$1006:AV1006),$AN$1006:$BO$1006,0))&gt;=100000), " ",IF(INDEX($AN$2:$BO$1001,MATCH(ROWS($AG$2:AG215),$AG$2:$AG$1001,0),MATCH(COLUMNS($AN$1006:AV1006),$AN$1006:$BO$1006,0)), HYPERLINK("#",""), HYPERLINK(CONCATENATE("#Metadata!", ADDRESS(INDEX($AI$2:$AI$1001,MATCH(ROWS($AG$2:AG215),$AG$2:$AG$1001,0),0), INDEX($AN$1004:$BO$1004,1,MATCH(COLUMNS($AN$1006:AV1006),$AN$1006:$BO$1006,0)))),"Fix")))</f>
        <v>0</v>
      </c>
      <c r="K215" s="4">
        <f>IF(OR(INDEX($AH$2:$AH$1001,MATCH(ROWS($AG$2:AG215),$AG$2:$AG$1001,0),1)&gt;=100000,INDEX($AN$1005:$BO$1005,1,MATCH(COLUMNS($AN$1006:AW1006),$AN$1006:$BO$1006,0))&gt;=100000), " ",IF(INDEX($AN$2:$BO$1001,MATCH(ROWS($AG$2:AG215),$AG$2:$AG$1001,0),MATCH(COLUMNS($AN$1006:AW1006),$AN$1006:$BO$1006,0)), HYPERLINK("#",""), HYPERLINK(CONCATENATE("#Metadata!", ADDRESS(INDEX($AI$2:$AI$1001,MATCH(ROWS($AG$2:AG215),$AG$2:$AG$1001,0),0), INDEX($AN$1004:$BO$1004,1,MATCH(COLUMNS($AN$1006:AW1006),$AN$1006:$BO$1006,0)))),"Fix")))</f>
        <v>0</v>
      </c>
      <c r="L215" s="4">
        <f>IF(OR(INDEX($AH$2:$AH$1001,MATCH(ROWS($AG$2:AG215),$AG$2:$AG$1001,0),1)&gt;=100000,INDEX($AN$1005:$BO$1005,1,MATCH(COLUMNS($AN$1006:AX1006),$AN$1006:$BO$1006,0))&gt;=100000), " ",IF(INDEX($AN$2:$BO$1001,MATCH(ROWS($AG$2:AG215),$AG$2:$AG$1001,0),MATCH(COLUMNS($AN$1006:AX1006),$AN$1006:$BO$1006,0)), HYPERLINK("#",""), HYPERLINK(CONCATENATE("#Metadata!", ADDRESS(INDEX($AI$2:$AI$1001,MATCH(ROWS($AG$2:AG215),$AG$2:$AG$1001,0),0), INDEX($AN$1004:$BO$1004,1,MATCH(COLUMNS($AN$1006:AX1006),$AN$1006:$BO$1006,0)))),"Fix")))</f>
        <v>0</v>
      </c>
      <c r="M215" s="4">
        <f>IF(OR(INDEX($AH$2:$AH$1001,MATCH(ROWS($AG$2:AG215),$AG$2:$AG$1001,0),1)&gt;=100000,INDEX($AN$1005:$BO$1005,1,MATCH(COLUMNS($AN$1006:AY1006),$AN$1006:$BO$1006,0))&gt;=100000), " ",IF(INDEX($AN$2:$BO$1001,MATCH(ROWS($AG$2:AG215),$AG$2:$AG$1001,0),MATCH(COLUMNS($AN$1006:AY1006),$AN$1006:$BO$1006,0)), HYPERLINK("#",""), HYPERLINK(CONCATENATE("#Metadata!", ADDRESS(INDEX($AI$2:$AI$1001,MATCH(ROWS($AG$2:AG215),$AG$2:$AG$1001,0),0), INDEX($AN$1004:$BO$1004,1,MATCH(COLUMNS($AN$1006:AY1006),$AN$1006:$BO$1006,0)))),"Fix")))</f>
        <v>0</v>
      </c>
      <c r="N215" s="4">
        <f>IF(OR(INDEX($AH$2:$AH$1001,MATCH(ROWS($AG$2:AG215),$AG$2:$AG$1001,0),1)&gt;=100000,INDEX($AN$1005:$BO$1005,1,MATCH(COLUMNS($AN$1006:AZ1006),$AN$1006:$BO$1006,0))&gt;=100000), " ",IF(INDEX($AN$2:$BO$1001,MATCH(ROWS($AG$2:AG215),$AG$2:$AG$1001,0),MATCH(COLUMNS($AN$1006:AZ1006),$AN$1006:$BO$1006,0)), HYPERLINK("#",""), HYPERLINK(CONCATENATE("#Metadata!", ADDRESS(INDEX($AI$2:$AI$1001,MATCH(ROWS($AG$2:AG215),$AG$2:$AG$1001,0),0), INDEX($AN$1004:$BO$1004,1,MATCH(COLUMNS($AN$1006:AZ1006),$AN$1006:$BO$1006,0)))),"Fix")))</f>
        <v>0</v>
      </c>
      <c r="O215" s="4">
        <f>IF(OR(INDEX($AH$2:$AH$1001,MATCH(ROWS($AG$2:AG215),$AG$2:$AG$1001,0),1)&gt;=100000,INDEX($AN$1005:$BO$1005,1,MATCH(COLUMNS($AN$1006:BA1006),$AN$1006:$BO$1006,0))&gt;=100000), " ",IF(INDEX($AN$2:$BO$1001,MATCH(ROWS($AG$2:AG215),$AG$2:$AG$1001,0),MATCH(COLUMNS($AN$1006:BA1006),$AN$1006:$BO$1006,0)), HYPERLINK("#",""), HYPERLINK(CONCATENATE("#Metadata!", ADDRESS(INDEX($AI$2:$AI$1001,MATCH(ROWS($AG$2:AG215),$AG$2:$AG$1001,0),0), INDEX($AN$1004:$BO$1004,1,MATCH(COLUMNS($AN$1006:BA1006),$AN$1006:$BO$1006,0)))),"Fix")))</f>
        <v>0</v>
      </c>
      <c r="P215" s="4">
        <f>IF(OR(INDEX($AH$2:$AH$1001,MATCH(ROWS($AG$2:AG215),$AG$2:$AG$1001,0),1)&gt;=100000,INDEX($AN$1005:$BO$1005,1,MATCH(COLUMNS($AN$1006:BB1006),$AN$1006:$BO$1006,0))&gt;=100000), " ",IF(INDEX($AN$2:$BO$1001,MATCH(ROWS($AG$2:AG215),$AG$2:$AG$1001,0),MATCH(COLUMNS($AN$1006:BB1006),$AN$1006:$BO$1006,0)), HYPERLINK("#",""), HYPERLINK(CONCATENATE("#Metadata!", ADDRESS(INDEX($AI$2:$AI$1001,MATCH(ROWS($AG$2:AG215),$AG$2:$AG$1001,0),0), INDEX($AN$1004:$BO$1004,1,MATCH(COLUMNS($AN$1006:BB1006),$AN$1006:$BO$1006,0)))),"Fix")))</f>
        <v>0</v>
      </c>
      <c r="Q215" s="4">
        <f>IF(OR(INDEX($AH$2:$AH$1001,MATCH(ROWS($AG$2:AG215),$AG$2:$AG$1001,0),1)&gt;=100000,INDEX($AN$1005:$BO$1005,1,MATCH(COLUMNS($AN$1006:BC1006),$AN$1006:$BO$1006,0))&gt;=100000), " ",IF(INDEX($AN$2:$BO$1001,MATCH(ROWS($AG$2:AG215),$AG$2:$AG$1001,0),MATCH(COLUMNS($AN$1006:BC1006),$AN$1006:$BO$1006,0)), HYPERLINK("#",""), HYPERLINK(CONCATENATE("#Metadata!", ADDRESS(INDEX($AI$2:$AI$1001,MATCH(ROWS($AG$2:AG215),$AG$2:$AG$1001,0),0), INDEX($AN$1004:$BO$1004,1,MATCH(COLUMNS($AN$1006:BC1006),$AN$1006:$BO$1006,0)))),"Fix")))</f>
        <v>0</v>
      </c>
      <c r="R215" s="4">
        <f>IF(OR(INDEX($AH$2:$AH$1001,MATCH(ROWS($AG$2:AG215),$AG$2:$AG$1001,0),1)&gt;=100000,INDEX($AN$1005:$BO$1005,1,MATCH(COLUMNS($AN$1006:BD1006),$AN$1006:$BO$1006,0))&gt;=100000), " ",IF(INDEX($AN$2:$BO$1001,MATCH(ROWS($AG$2:AG215),$AG$2:$AG$1001,0),MATCH(COLUMNS($AN$1006:BD1006),$AN$1006:$BO$1006,0)), HYPERLINK("#",""), HYPERLINK(CONCATENATE("#Metadata!", ADDRESS(INDEX($AI$2:$AI$1001,MATCH(ROWS($AG$2:AG215),$AG$2:$AG$1001,0),0), INDEX($AN$1004:$BO$1004,1,MATCH(COLUMNS($AN$1006:BD1006),$AN$1006:$BO$1006,0)))),"Fix")))</f>
        <v>0</v>
      </c>
      <c r="S215" s="4">
        <f>IF(OR(INDEX($AH$2:$AH$1001,MATCH(ROWS($AG$2:AG215),$AG$2:$AG$1001,0),1)&gt;=100000,INDEX($AN$1005:$BO$1005,1,MATCH(COLUMNS($AN$1006:BE1006),$AN$1006:$BO$1006,0))&gt;=100000), " ",IF(INDEX($AN$2:$BO$1001,MATCH(ROWS($AG$2:AG215),$AG$2:$AG$1001,0),MATCH(COLUMNS($AN$1006:BE1006),$AN$1006:$BO$1006,0)), HYPERLINK("#",""), HYPERLINK(CONCATENATE("#Metadata!", ADDRESS(INDEX($AI$2:$AI$1001,MATCH(ROWS($AG$2:AG215),$AG$2:$AG$1001,0),0), INDEX($AN$1004:$BO$1004,1,MATCH(COLUMNS($AN$1006:BE1006),$AN$1006:$BO$1006,0)))),"Fix")))</f>
        <v>0</v>
      </c>
      <c r="T215" s="4">
        <f>IF(OR(INDEX($AH$2:$AH$1001,MATCH(ROWS($AG$2:AG215),$AG$2:$AG$1001,0),1)&gt;=100000,INDEX($AN$1005:$BO$1005,1,MATCH(COLUMNS($AN$1006:BF1006),$AN$1006:$BO$1006,0))&gt;=100000), " ",IF(INDEX($AN$2:$BO$1001,MATCH(ROWS($AG$2:AG215),$AG$2:$AG$1001,0),MATCH(COLUMNS($AN$1006:BF1006),$AN$1006:$BO$1006,0)), HYPERLINK("#",""), HYPERLINK(CONCATENATE("#Metadata!", ADDRESS(INDEX($AI$2:$AI$1001,MATCH(ROWS($AG$2:AG215),$AG$2:$AG$1001,0),0), INDEX($AN$1004:$BO$1004,1,MATCH(COLUMNS($AN$1006:BF1006),$AN$1006:$BO$1006,0)))),"Fix")))</f>
        <v>0</v>
      </c>
      <c r="U215" s="4">
        <f>IF(OR(INDEX($AH$2:$AH$1001,MATCH(ROWS($AG$2:AG215),$AG$2:$AG$1001,0),1)&gt;=100000,INDEX($AN$1005:$BO$1005,1,MATCH(COLUMNS($AN$1006:BG1006),$AN$1006:$BO$1006,0))&gt;=100000), " ",IF(INDEX($AN$2:$BO$1001,MATCH(ROWS($AG$2:AG215),$AG$2:$AG$1001,0),MATCH(COLUMNS($AN$1006:BG1006),$AN$1006:$BO$1006,0)), HYPERLINK("#",""), HYPERLINK(CONCATENATE("#Metadata!", ADDRESS(INDEX($AI$2:$AI$1001,MATCH(ROWS($AG$2:AG215),$AG$2:$AG$1001,0),0), INDEX($AN$1004:$BO$1004,1,MATCH(COLUMNS($AN$1006:BG1006),$AN$1006:$BO$1006,0)))),"Fix")))</f>
        <v>0</v>
      </c>
      <c r="V215" s="4">
        <f>IF(OR(INDEX($AH$2:$AH$1001,MATCH(ROWS($AG$2:AG215),$AG$2:$AG$1001,0),1)&gt;=100000,INDEX($AN$1005:$BO$1005,1,MATCH(COLUMNS($AN$1006:BH1006),$AN$1006:$BO$1006,0))&gt;=100000), " ",IF(INDEX($AN$2:$BO$1001,MATCH(ROWS($AG$2:AG215),$AG$2:$AG$1001,0),MATCH(COLUMNS($AN$1006:BH1006),$AN$1006:$BO$1006,0)), HYPERLINK("#",""), HYPERLINK(CONCATENATE("#Metadata!", ADDRESS(INDEX($AI$2:$AI$1001,MATCH(ROWS($AG$2:AG215),$AG$2:$AG$1001,0),0), INDEX($AN$1004:$BO$1004,1,MATCH(COLUMNS($AN$1006:BH1006),$AN$1006:$BO$1006,0)))),"Fix")))</f>
        <v>0</v>
      </c>
      <c r="W215" s="4">
        <f>IF(OR(INDEX($AH$2:$AH$1001,MATCH(ROWS($AG$2:AG215),$AG$2:$AG$1001,0),1)&gt;=100000,INDEX($AN$1005:$BO$1005,1,MATCH(COLUMNS($AN$1006:BI1006),$AN$1006:$BO$1006,0))&gt;=100000), " ",IF(INDEX($AN$2:$BO$1001,MATCH(ROWS($AG$2:AG215),$AG$2:$AG$1001,0),MATCH(COLUMNS($AN$1006:BI1006),$AN$1006:$BO$1006,0)), HYPERLINK("#",""), HYPERLINK(CONCATENATE("#Metadata!", ADDRESS(INDEX($AI$2:$AI$1001,MATCH(ROWS($AG$2:AG215),$AG$2:$AG$1001,0),0), INDEX($AN$1004:$BO$1004,1,MATCH(COLUMNS($AN$1006:BI1006),$AN$1006:$BO$1006,0)))),"Fix")))</f>
        <v>0</v>
      </c>
      <c r="X215" s="4">
        <f>IF(OR(INDEX($AH$2:$AH$1001,MATCH(ROWS($AG$2:AG215),$AG$2:$AG$1001,0),1)&gt;=100000,INDEX($AN$1005:$BO$1005,1,MATCH(COLUMNS($AN$1006:BJ1006),$AN$1006:$BO$1006,0))&gt;=100000), " ",IF(INDEX($AN$2:$BO$1001,MATCH(ROWS($AG$2:AG215),$AG$2:$AG$1001,0),MATCH(COLUMNS($AN$1006:BJ1006),$AN$1006:$BO$1006,0)), HYPERLINK("#",""), HYPERLINK(CONCATENATE("#Metadata!", ADDRESS(INDEX($AI$2:$AI$1001,MATCH(ROWS($AG$2:AG215),$AG$2:$AG$1001,0),0), INDEX($AN$1004:$BO$1004,1,MATCH(COLUMNS($AN$1006:BJ1006),$AN$1006:$BO$1006,0)))),"Fix")))</f>
        <v>0</v>
      </c>
      <c r="Y215" s="4">
        <f>IF(OR(INDEX($AH$2:$AH$1001,MATCH(ROWS($AG$2:AG215),$AG$2:$AG$1001,0),1)&gt;=100000,INDEX($AN$1005:$BO$1005,1,MATCH(COLUMNS($AN$1006:BK1006),$AN$1006:$BO$1006,0))&gt;=100000), " ",IF(INDEX($AN$2:$BO$1001,MATCH(ROWS($AG$2:AG215),$AG$2:$AG$1001,0),MATCH(COLUMNS($AN$1006:BK1006),$AN$1006:$BO$1006,0)), HYPERLINK("#",""), HYPERLINK(CONCATENATE("#Metadata!", ADDRESS(INDEX($AI$2:$AI$1001,MATCH(ROWS($AG$2:AG215),$AG$2:$AG$1001,0),0), INDEX($AN$1004:$BO$1004,1,MATCH(COLUMNS($AN$1006:BK1006),$AN$1006:$BO$1006,0)))),"Fix")))</f>
        <v>0</v>
      </c>
      <c r="Z215" s="4">
        <f>IF(OR(INDEX($AH$2:$AH$1001,MATCH(ROWS($AG$2:AG215),$AG$2:$AG$1001,0),1)&gt;=100000,INDEX($AN$1005:$BO$1005,1,MATCH(COLUMNS($AN$1006:BL1006),$AN$1006:$BO$1006,0))&gt;=100000), " ",IF(INDEX($AN$2:$BO$1001,MATCH(ROWS($AG$2:AG215),$AG$2:$AG$1001,0),MATCH(COLUMNS($AN$1006:BL1006),$AN$1006:$BO$1006,0)), HYPERLINK("#",""), HYPERLINK(CONCATENATE("#Metadata!", ADDRESS(INDEX($AI$2:$AI$1001,MATCH(ROWS($AG$2:AG215),$AG$2:$AG$1001,0),0), INDEX($AN$1004:$BO$1004,1,MATCH(COLUMNS($AN$1006:BL1006),$AN$1006:$BO$1006,0)))),"Fix")))</f>
        <v>0</v>
      </c>
      <c r="AA215" s="4">
        <f>IF(OR(INDEX($AH$2:$AH$1001,MATCH(ROWS($AG$2:AG215),$AG$2:$AG$1001,0),1)&gt;=100000,INDEX($AN$1005:$BO$1005,1,MATCH(COLUMNS($AN$1006:BM1006),$AN$1006:$BO$1006,0))&gt;=100000), " ",IF(INDEX($AN$2:$BO$1001,MATCH(ROWS($AG$2:AG215),$AG$2:$AG$1001,0),MATCH(COLUMNS($AN$1006:BM1006),$AN$1006:$BO$1006,0)), HYPERLINK("#",""), HYPERLINK(CONCATENATE("#Metadata!", ADDRESS(INDEX($AI$2:$AI$1001,MATCH(ROWS($AG$2:AG215),$AG$2:$AG$1001,0),0), INDEX($AN$1004:$BO$1004,1,MATCH(COLUMNS($AN$1006:BM1006),$AN$1006:$BO$1006,0)))),"Fix")))</f>
        <v>0</v>
      </c>
      <c r="AB215" s="4">
        <f>IF(OR(INDEX($AH$2:$AH$1001,MATCH(ROWS($AG$2:AG215),$AG$2:$AG$1001,0),1)&gt;=100000,INDEX($AN$1005:$BO$1005,1,MATCH(COLUMNS($AN$1006:BN1006),$AN$1006:$BO$1006,0))&gt;=100000), " ",IF(INDEX($AN$2:$BO$1001,MATCH(ROWS($AG$2:AG215),$AG$2:$AG$1001,0),MATCH(COLUMNS($AN$1006:BN1006),$AN$1006:$BO$1006,0)), HYPERLINK("#",""), HYPERLINK(CONCATENATE("#Metadata!", ADDRESS(INDEX($AI$2:$AI$1001,MATCH(ROWS($AG$2:AG215),$AG$2:$AG$1001,0),0), INDEX($AN$1004:$BO$1004,1,MATCH(COLUMNS($AN$1006:BN1006),$AN$1006:$BO$1006,0)))),"Fix")))</f>
        <v>0</v>
      </c>
      <c r="AC215" s="4">
        <f>IF(OR(INDEX($AH$2:$AH$1001,MATCH(ROWS($AG$2:AG215),$AG$2:$AG$1001,0),1)&gt;=100000,INDEX($AN$1005:$BO$1005,1,MATCH(COLUMNS($AN$1006:BO1006),$AN$1006:$BO$1006,0))&gt;=100000), " ",IF(INDEX($AN$2:$BO$1001,MATCH(ROWS($AG$2:AG215),$AG$2:$AG$1001,0),MATCH(COLUMNS($AN$1006:BO1006),$AN$1006:$BO$1006,0)), HYPERLINK("#",""), HYPERLINK(CONCATENATE("#Metadata!", ADDRESS(INDEX($AI$2:$AI$1001,MATCH(ROWS($AG$2:AG215),$AG$2:$AG$1001,0),0), INDEX($AN$1004:$BO$1004,1,MATCH(COLUMNS($AN$1006:BO1006),$AN$1006:$BO$1006,0)))),"Fix")))</f>
        <v>0</v>
      </c>
      <c r="AG215">
        <v>0</v>
      </c>
      <c r="AH215">
        <v>0</v>
      </c>
      <c r="AI215">
        <v>0</v>
      </c>
      <c r="AJ215">
        <f>IF(AK215,TRUE,AND(AN215:BO215))</f>
        <v>0</v>
      </c>
      <c r="AK215">
        <f>COUNTBLANK(Metadata!B215:AC215)=COLUMNS(Metadata!B215:AC215)</f>
        <v>0</v>
      </c>
      <c r="AL215">
        <v>0</v>
      </c>
      <c r="AN215">
        <f>AND(IF(Metadata!B215="",FALSE,TRUE),COUNTIF(Metadata!B:B, Metadata!B215) = 1,NOT(ISERROR(SUMPRODUCT(SEARCH(MID(Metadata!B215,ROW(INDIRECT("1:"&amp;LEN(Metadata!B215))), 1),"0123456789abcdefghijklmnopqrstuvwxyzABCDEFGHIJKLMNOPQRSTUVWXYZ.")))))</f>
        <v>0</v>
      </c>
      <c r="AO215">
        <f>IF(Metadata!C215="",FALSE,TRUE)</f>
        <v>0</v>
      </c>
      <c r="AP215">
        <f>IF(Metadata!D215="",FALSE,TRUE)</f>
        <v>0</v>
      </c>
      <c r="AQ215">
        <f>OR(AND(IF(Metadata!E215="",FALSE,TRUE),OR(exact(Metadata!E215,"not collected"),exact(Metadata!E215,"not provided"),exact(Metadata!E215,"restricted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R215">
        <f>IF(Metadata!F215="",FALSE,TRUE)</f>
        <v>0</v>
      </c>
      <c r="AS215">
        <f>OR(AND(IF(Metadata!G215="",FALSE,TRUE),OR(exact(Metadata!G215,"not collected"),exact(Metadata!G215,"not provided"))),AND(IF(Metadata!G215="",FALSE,TRUE),OR(exact(Metadata!G215,"TRUE"),exact(Metadata!G215,"FALSE"))))</f>
        <v>0</v>
      </c>
      <c r="AT215">
        <f>OR(AND(IF(Metadata!H215="",FALSE,TRUE),OR(exact(Metadata!H215,"not collected"),exact(Metadata!H215,"not provided"),exact(Metadata!H215,"restricted access"))),AND(IF(Metadata!H215="",FALSE,ISNUMBER(VALUE(Metadata!H215))),Metadata!H215&gt;=-413.0))</f>
        <v>0</v>
      </c>
      <c r="AU215">
        <f>AND(IF(Metadata!I215="",FALSE,TRUE),exact(Metadata!I215,"meters"))</f>
        <v>0</v>
      </c>
      <c r="AV215">
        <f>AND(IF(Metadata!J215="",FALSE,TRUE),OR(exact(Metadata!J215,"Host-associated"),exact(Metadata!J215,"Free-living")))</f>
        <v>0</v>
      </c>
      <c r="AW215">
        <f>AND(IF(Metadata!K215="",FALSE,TRUE),OR(exact(Metadata!K215,"Animal"),exact(Metadata!K215,"Fungus"),exact(Metadata!K215,"Plant"),exact(Metadata!K215,"Saline"),exact(Metadata!K215,"Non-saline")))</f>
        <v>0</v>
      </c>
      <c r="AX215">
        <f>AND(IF(Metadata!L215="",FALSE,TRUE),OR(exact(Metadata!L215,"Plant secretion"),exact(Metadata!L215,"Plant rhizosphere"),exact(Metadata!L215,"Plant surface"),exact(Metadata!L215,"Plant corpus"),exact(Metadata!L215,"Fungus surface"),exact(Metadata!L215,"Fungus corpus"),exact(Metadata!L215,"Animal surface"),exact(Metadata!L215,"Animal proximal gut"),exact(Metadata!L215,"Animal corpus"),exact(Metadata!L215,"Animal distal gut"),exact(Metadata!L215,"Animal secretion"),exact(Metadata!L215,"Sub-surface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Y215">
        <f>IF(Metadata!M215="",FALSE,TRUE)</f>
        <v>0</v>
      </c>
      <c r="AZ215">
        <f>IF(Metadata!N215="",FALSE,TRUE)</f>
        <v>0</v>
      </c>
      <c r="BA215">
        <f>IF(Metadata!O215="",FALSE,TRUE)</f>
        <v>0</v>
      </c>
      <c r="BB215">
        <f>OR(AND(IF(Metadata!P215="",FALSE,TRUE),OR(exact(Metadata!P215,"not collected"),exact(Metadata!P215,"not provided"),exact(Metadata!P215,"restricted access"))),AND(IF(Metadata!P215="",FALSE,TRUE),OR(exact(Metadata!P215,"air"),exact(Metadata!P215,"built environment"),exact(Metadata!P215,"host-associated"),exact(Metadata!P215,"human-associated"),exact(Metadata!P215,"human-skin"),exact(Metadata!P215,"human-oral"),exact(Metadata!P215,"human-gut"),exact(Metadata!P215,"human-vaginal"),exact(Metadata!P215,"microbial mat/biofilm"),exact(Metadata!P215,"misc environment"),exact(Metadata!P215,"plant-associated"),exact(Metadata!P215,"sediment"),exact(Metadata!P215,"soil"),exact(Metadata!P215,"wastewater/sludge"),exact(Metadata!P215,"water"))))</f>
        <v>0</v>
      </c>
      <c r="BC215">
        <f>IF(Metadata!Q215="",FALSE,TRUE)</f>
        <v>0</v>
      </c>
      <c r="BD215">
        <f>IF(Metadata!R215="",FALSE,TRUE)</f>
        <v>0</v>
      </c>
      <c r="BE215">
        <f>OR(AND(IF(Metadata!S215="",FALSE,TRUE),OR(exact(Metadata!S215,"not collected"),exact(Metadata!S215,"not provided"),exact(Metadata!S215,"restricted access"))),AND(IF(Metadata!S215="",FALSE,ISNUMBER(VALUE(Metadata!S215))),Metadata!S215&gt;=-90.00,Metadata!S215&lt;=90.00))</f>
        <v>0</v>
      </c>
      <c r="BF215">
        <f>AND(IF(Metadata!T215="",FALSE,TRUE),exact(Metadata!T215,"Decimal degrees"))</f>
        <v>0</v>
      </c>
      <c r="BG215">
        <f>OR(AND(IF(Metadata!U215="",FALSE,TRUE),OR(exact(Metadata!U215,"not collected"),exact(Metadata!U215,"not provided"),exact(Metadata!U215,"restricted access"))),AND(IF(Metadata!U215="",FALSE,ISNUMBER(VALUE(Metadata!U215))),Metadata!U215&gt;=-180.00,Metadata!U215&lt;=180.00))</f>
        <v>0</v>
      </c>
      <c r="BH215">
        <f>AND(IF(Metadata!V215="",FALSE,TRUE),exact(Metadata!V215,"Decimal degrees"))</f>
        <v>0</v>
      </c>
      <c r="BI215">
        <f>IF(Metadata!W215="",FALSE,TRUE)</f>
        <v>0</v>
      </c>
      <c r="BJ215">
        <f>OR(AND(IF(Metadata!X215="",FALSE,TRUE),OR(exact(Metadata!X215,"not collected"),exact(Metadata!X215,"not provided"),exact(Metadata!X215,"restricted access"))),AND(IF(Metadata!X215="",FALSE,TRUE),OR(exact(Metadata!X215,"TRUE"),exact(Metadata!X215,"FALSE"))))</f>
        <v>0</v>
      </c>
      <c r="BK215">
        <f>AND(IF(Metadata!Y215="",FALSE,TRUE),exact(Metadata!Y215,"other"))</f>
        <v>0</v>
      </c>
      <c r="BL215">
        <f>IF(Metadata!Z215="",FALSE,TRUE)</f>
        <v>0</v>
      </c>
      <c r="BM215">
        <f>OR(AND(IF(Metadata!AA215="",FALSE,TRUE),OR(exact(Metadata!AA215,"not collected"),exact(Metadata!AA215,"not provided"))),AND(IF(Metadata!AA215="",FALSE,IF(ISERROR(INT(Metadata!AA215)),FALSE,INT(Metadata!AA215)=Metadata!AA215)),Metadata!AA215&gt;0))</f>
        <v>0</v>
      </c>
      <c r="BN215">
        <f>AND(IF(Metadata!AB215="",FALSE,TRUE),exact(Metadata!AB215,"Not applicable"))</f>
        <v>0</v>
      </c>
      <c r="BO215">
        <f>IF(Metadata!AC215="",FALSE,TRUE)</f>
        <v>0</v>
      </c>
    </row>
    <row r="216" spans="1:67">
      <c r="A216" s="5">
        <f>IF(B216=" "," ",HYPERLINK(CONCATENATE("#metadata!",ADDRESS(INDEX($AI$2:$AI$1001,MATCH(ROWS($AG$2:AG216),$AG$2:$AG$1001,0),0),1)),INDEX($AL$2:$AL$1001,MATCH(ROWS($AG$2:AG216),$AG$2:$AG$1001,0),0)))</f>
        <v>0</v>
      </c>
      <c r="B216" s="4">
        <f>IF(OR(INDEX($AH$2:$AH$1001,MATCH(ROWS($AG$2:AG216),$AG$2:$AG$1001,0),1)&gt;=100000,INDEX($AN$1005:$BO$1005,1,MATCH(COLUMNS($AN$1006:AN1006),$AN$1006:$BO$1006,0))&gt;=100000), " ",IF(INDEX($AN$2:$BO$1001,MATCH(ROWS($AG$2:AG216),$AG$2:$AG$1001,0),MATCH(COLUMNS($AN$1006:AN1006),$AN$1006:$BO$1006,0)), HYPERLINK("#",""), HYPERLINK(CONCATENATE("#Metadata!", ADDRESS(INDEX($AI$2:$AI$1001,MATCH(ROWS($AG$2:AG216),$AG$2:$AG$1001,0),0), INDEX($AN$1004:$BO$1004,1,MATCH(COLUMNS($AN$1006:AN1006),$AN$1006:$BO$1006,0)))),"Fix")))</f>
        <v>0</v>
      </c>
      <c r="C216" s="4">
        <f>IF(OR(INDEX($AH$2:$AH$1001,MATCH(ROWS($AG$2:AG216),$AG$2:$AG$1001,0),1)&gt;=100000,INDEX($AN$1005:$BO$1005,1,MATCH(COLUMNS($AN$1006:AO1006),$AN$1006:$BO$1006,0))&gt;=100000), " ",IF(INDEX($AN$2:$BO$1001,MATCH(ROWS($AG$2:AG216),$AG$2:$AG$1001,0),MATCH(COLUMNS($AN$1006:AO1006),$AN$1006:$BO$1006,0)), HYPERLINK("#",""), HYPERLINK(CONCATENATE("#Metadata!", ADDRESS(INDEX($AI$2:$AI$1001,MATCH(ROWS($AG$2:AG216),$AG$2:$AG$1001,0),0), INDEX($AN$1004:$BO$1004,1,MATCH(COLUMNS($AN$1006:AO1006),$AN$1006:$BO$1006,0)))),"Fix")))</f>
        <v>0</v>
      </c>
      <c r="D216" s="4">
        <f>IF(OR(INDEX($AH$2:$AH$1001,MATCH(ROWS($AG$2:AG216),$AG$2:$AG$1001,0),1)&gt;=100000,INDEX($AN$1005:$BO$1005,1,MATCH(COLUMNS($AN$1006:AP1006),$AN$1006:$BO$1006,0))&gt;=100000), " ",IF(INDEX($AN$2:$BO$1001,MATCH(ROWS($AG$2:AG216),$AG$2:$AG$1001,0),MATCH(COLUMNS($AN$1006:AP1006),$AN$1006:$BO$1006,0)), HYPERLINK("#",""), HYPERLINK(CONCATENATE("#Metadata!", ADDRESS(INDEX($AI$2:$AI$1001,MATCH(ROWS($AG$2:AG216),$AG$2:$AG$1001,0),0), INDEX($AN$1004:$BO$1004,1,MATCH(COLUMNS($AN$1006:AP1006),$AN$1006:$BO$1006,0)))),"Fix")))</f>
        <v>0</v>
      </c>
      <c r="E216" s="4">
        <f>IF(OR(INDEX($AH$2:$AH$1001,MATCH(ROWS($AG$2:AG216),$AG$2:$AG$1001,0),1)&gt;=100000,INDEX($AN$1005:$BO$1005,1,MATCH(COLUMNS($AN$1006:AQ1006),$AN$1006:$BO$1006,0))&gt;=100000), " ",IF(INDEX($AN$2:$BO$1001,MATCH(ROWS($AG$2:AG216),$AG$2:$AG$1001,0),MATCH(COLUMNS($AN$1006:AQ1006),$AN$1006:$BO$1006,0)), HYPERLINK("#",""), HYPERLINK(CONCATENATE("#Metadata!", ADDRESS(INDEX($AI$2:$AI$1001,MATCH(ROWS($AG$2:AG216),$AG$2:$AG$1001,0),0), INDEX($AN$1004:$BO$1004,1,MATCH(COLUMNS($AN$1006:AQ1006),$AN$1006:$BO$1006,0)))),"Fix")))</f>
        <v>0</v>
      </c>
      <c r="F216" s="4">
        <f>IF(OR(INDEX($AH$2:$AH$1001,MATCH(ROWS($AG$2:AG216),$AG$2:$AG$1001,0),1)&gt;=100000,INDEX($AN$1005:$BO$1005,1,MATCH(COLUMNS($AN$1006:AR1006),$AN$1006:$BO$1006,0))&gt;=100000), " ",IF(INDEX($AN$2:$BO$1001,MATCH(ROWS($AG$2:AG216),$AG$2:$AG$1001,0),MATCH(COLUMNS($AN$1006:AR1006),$AN$1006:$BO$1006,0)), HYPERLINK("#",""), HYPERLINK(CONCATENATE("#Metadata!", ADDRESS(INDEX($AI$2:$AI$1001,MATCH(ROWS($AG$2:AG216),$AG$2:$AG$1001,0),0), INDEX($AN$1004:$BO$1004,1,MATCH(COLUMNS($AN$1006:AR1006),$AN$1006:$BO$1006,0)))),"Fix")))</f>
        <v>0</v>
      </c>
      <c r="G216" s="4">
        <f>IF(OR(INDEX($AH$2:$AH$1001,MATCH(ROWS($AG$2:AG216),$AG$2:$AG$1001,0),1)&gt;=100000,INDEX($AN$1005:$BO$1005,1,MATCH(COLUMNS($AN$1006:AS1006),$AN$1006:$BO$1006,0))&gt;=100000), " ",IF(INDEX($AN$2:$BO$1001,MATCH(ROWS($AG$2:AG216),$AG$2:$AG$1001,0),MATCH(COLUMNS($AN$1006:AS1006),$AN$1006:$BO$1006,0)), HYPERLINK("#",""), HYPERLINK(CONCATENATE("#Metadata!", ADDRESS(INDEX($AI$2:$AI$1001,MATCH(ROWS($AG$2:AG216),$AG$2:$AG$1001,0),0), INDEX($AN$1004:$BO$1004,1,MATCH(COLUMNS($AN$1006:AS1006),$AN$1006:$BO$1006,0)))),"Fix")))</f>
        <v>0</v>
      </c>
      <c r="H216" s="4">
        <f>IF(OR(INDEX($AH$2:$AH$1001,MATCH(ROWS($AG$2:AG216),$AG$2:$AG$1001,0),1)&gt;=100000,INDEX($AN$1005:$BO$1005,1,MATCH(COLUMNS($AN$1006:AT1006),$AN$1006:$BO$1006,0))&gt;=100000), " ",IF(INDEX($AN$2:$BO$1001,MATCH(ROWS($AG$2:AG216),$AG$2:$AG$1001,0),MATCH(COLUMNS($AN$1006:AT1006),$AN$1006:$BO$1006,0)), HYPERLINK("#",""), HYPERLINK(CONCATENATE("#Metadata!", ADDRESS(INDEX($AI$2:$AI$1001,MATCH(ROWS($AG$2:AG216),$AG$2:$AG$1001,0),0), INDEX($AN$1004:$BO$1004,1,MATCH(COLUMNS($AN$1006:AT1006),$AN$1006:$BO$1006,0)))),"Fix")))</f>
        <v>0</v>
      </c>
      <c r="I216" s="4">
        <f>IF(OR(INDEX($AH$2:$AH$1001,MATCH(ROWS($AG$2:AG216),$AG$2:$AG$1001,0),1)&gt;=100000,INDEX($AN$1005:$BO$1005,1,MATCH(COLUMNS($AN$1006:AU1006),$AN$1006:$BO$1006,0))&gt;=100000), " ",IF(INDEX($AN$2:$BO$1001,MATCH(ROWS($AG$2:AG216),$AG$2:$AG$1001,0),MATCH(COLUMNS($AN$1006:AU1006),$AN$1006:$BO$1006,0)), HYPERLINK("#",""), HYPERLINK(CONCATENATE("#Metadata!", ADDRESS(INDEX($AI$2:$AI$1001,MATCH(ROWS($AG$2:AG216),$AG$2:$AG$1001,0),0), INDEX($AN$1004:$BO$1004,1,MATCH(COLUMNS($AN$1006:AU1006),$AN$1006:$BO$1006,0)))),"Fix")))</f>
        <v>0</v>
      </c>
      <c r="J216" s="4">
        <f>IF(OR(INDEX($AH$2:$AH$1001,MATCH(ROWS($AG$2:AG216),$AG$2:$AG$1001,0),1)&gt;=100000,INDEX($AN$1005:$BO$1005,1,MATCH(COLUMNS($AN$1006:AV1006),$AN$1006:$BO$1006,0))&gt;=100000), " ",IF(INDEX($AN$2:$BO$1001,MATCH(ROWS($AG$2:AG216),$AG$2:$AG$1001,0),MATCH(COLUMNS($AN$1006:AV1006),$AN$1006:$BO$1006,0)), HYPERLINK("#",""), HYPERLINK(CONCATENATE("#Metadata!", ADDRESS(INDEX($AI$2:$AI$1001,MATCH(ROWS($AG$2:AG216),$AG$2:$AG$1001,0),0), INDEX($AN$1004:$BO$1004,1,MATCH(COLUMNS($AN$1006:AV1006),$AN$1006:$BO$1006,0)))),"Fix")))</f>
        <v>0</v>
      </c>
      <c r="K216" s="4">
        <f>IF(OR(INDEX($AH$2:$AH$1001,MATCH(ROWS($AG$2:AG216),$AG$2:$AG$1001,0),1)&gt;=100000,INDEX($AN$1005:$BO$1005,1,MATCH(COLUMNS($AN$1006:AW1006),$AN$1006:$BO$1006,0))&gt;=100000), " ",IF(INDEX($AN$2:$BO$1001,MATCH(ROWS($AG$2:AG216),$AG$2:$AG$1001,0),MATCH(COLUMNS($AN$1006:AW1006),$AN$1006:$BO$1006,0)), HYPERLINK("#",""), HYPERLINK(CONCATENATE("#Metadata!", ADDRESS(INDEX($AI$2:$AI$1001,MATCH(ROWS($AG$2:AG216),$AG$2:$AG$1001,0),0), INDEX($AN$1004:$BO$1004,1,MATCH(COLUMNS($AN$1006:AW1006),$AN$1006:$BO$1006,0)))),"Fix")))</f>
        <v>0</v>
      </c>
      <c r="L216" s="4">
        <f>IF(OR(INDEX($AH$2:$AH$1001,MATCH(ROWS($AG$2:AG216),$AG$2:$AG$1001,0),1)&gt;=100000,INDEX($AN$1005:$BO$1005,1,MATCH(COLUMNS($AN$1006:AX1006),$AN$1006:$BO$1006,0))&gt;=100000), " ",IF(INDEX($AN$2:$BO$1001,MATCH(ROWS($AG$2:AG216),$AG$2:$AG$1001,0),MATCH(COLUMNS($AN$1006:AX1006),$AN$1006:$BO$1006,0)), HYPERLINK("#",""), HYPERLINK(CONCATENATE("#Metadata!", ADDRESS(INDEX($AI$2:$AI$1001,MATCH(ROWS($AG$2:AG216),$AG$2:$AG$1001,0),0), INDEX($AN$1004:$BO$1004,1,MATCH(COLUMNS($AN$1006:AX1006),$AN$1006:$BO$1006,0)))),"Fix")))</f>
        <v>0</v>
      </c>
      <c r="M216" s="4">
        <f>IF(OR(INDEX($AH$2:$AH$1001,MATCH(ROWS($AG$2:AG216),$AG$2:$AG$1001,0),1)&gt;=100000,INDEX($AN$1005:$BO$1005,1,MATCH(COLUMNS($AN$1006:AY1006),$AN$1006:$BO$1006,0))&gt;=100000), " ",IF(INDEX($AN$2:$BO$1001,MATCH(ROWS($AG$2:AG216),$AG$2:$AG$1001,0),MATCH(COLUMNS($AN$1006:AY1006),$AN$1006:$BO$1006,0)), HYPERLINK("#",""), HYPERLINK(CONCATENATE("#Metadata!", ADDRESS(INDEX($AI$2:$AI$1001,MATCH(ROWS($AG$2:AG216),$AG$2:$AG$1001,0),0), INDEX($AN$1004:$BO$1004,1,MATCH(COLUMNS($AN$1006:AY1006),$AN$1006:$BO$1006,0)))),"Fix")))</f>
        <v>0</v>
      </c>
      <c r="N216" s="4">
        <f>IF(OR(INDEX($AH$2:$AH$1001,MATCH(ROWS($AG$2:AG216),$AG$2:$AG$1001,0),1)&gt;=100000,INDEX($AN$1005:$BO$1005,1,MATCH(COLUMNS($AN$1006:AZ1006),$AN$1006:$BO$1006,0))&gt;=100000), " ",IF(INDEX($AN$2:$BO$1001,MATCH(ROWS($AG$2:AG216),$AG$2:$AG$1001,0),MATCH(COLUMNS($AN$1006:AZ1006),$AN$1006:$BO$1006,0)), HYPERLINK("#",""), HYPERLINK(CONCATENATE("#Metadata!", ADDRESS(INDEX($AI$2:$AI$1001,MATCH(ROWS($AG$2:AG216),$AG$2:$AG$1001,0),0), INDEX($AN$1004:$BO$1004,1,MATCH(COLUMNS($AN$1006:AZ1006),$AN$1006:$BO$1006,0)))),"Fix")))</f>
        <v>0</v>
      </c>
      <c r="O216" s="4">
        <f>IF(OR(INDEX($AH$2:$AH$1001,MATCH(ROWS($AG$2:AG216),$AG$2:$AG$1001,0),1)&gt;=100000,INDEX($AN$1005:$BO$1005,1,MATCH(COLUMNS($AN$1006:BA1006),$AN$1006:$BO$1006,0))&gt;=100000), " ",IF(INDEX($AN$2:$BO$1001,MATCH(ROWS($AG$2:AG216),$AG$2:$AG$1001,0),MATCH(COLUMNS($AN$1006:BA1006),$AN$1006:$BO$1006,0)), HYPERLINK("#",""), HYPERLINK(CONCATENATE("#Metadata!", ADDRESS(INDEX($AI$2:$AI$1001,MATCH(ROWS($AG$2:AG216),$AG$2:$AG$1001,0),0), INDEX($AN$1004:$BO$1004,1,MATCH(COLUMNS($AN$1006:BA1006),$AN$1006:$BO$1006,0)))),"Fix")))</f>
        <v>0</v>
      </c>
      <c r="P216" s="4">
        <f>IF(OR(INDEX($AH$2:$AH$1001,MATCH(ROWS($AG$2:AG216),$AG$2:$AG$1001,0),1)&gt;=100000,INDEX($AN$1005:$BO$1005,1,MATCH(COLUMNS($AN$1006:BB1006),$AN$1006:$BO$1006,0))&gt;=100000), " ",IF(INDEX($AN$2:$BO$1001,MATCH(ROWS($AG$2:AG216),$AG$2:$AG$1001,0),MATCH(COLUMNS($AN$1006:BB1006),$AN$1006:$BO$1006,0)), HYPERLINK("#",""), HYPERLINK(CONCATENATE("#Metadata!", ADDRESS(INDEX($AI$2:$AI$1001,MATCH(ROWS($AG$2:AG216),$AG$2:$AG$1001,0),0), INDEX($AN$1004:$BO$1004,1,MATCH(COLUMNS($AN$1006:BB1006),$AN$1006:$BO$1006,0)))),"Fix")))</f>
        <v>0</v>
      </c>
      <c r="Q216" s="4">
        <f>IF(OR(INDEX($AH$2:$AH$1001,MATCH(ROWS($AG$2:AG216),$AG$2:$AG$1001,0),1)&gt;=100000,INDEX($AN$1005:$BO$1005,1,MATCH(COLUMNS($AN$1006:BC1006),$AN$1006:$BO$1006,0))&gt;=100000), " ",IF(INDEX($AN$2:$BO$1001,MATCH(ROWS($AG$2:AG216),$AG$2:$AG$1001,0),MATCH(COLUMNS($AN$1006:BC1006),$AN$1006:$BO$1006,0)), HYPERLINK("#",""), HYPERLINK(CONCATENATE("#Metadata!", ADDRESS(INDEX($AI$2:$AI$1001,MATCH(ROWS($AG$2:AG216),$AG$2:$AG$1001,0),0), INDEX($AN$1004:$BO$1004,1,MATCH(COLUMNS($AN$1006:BC1006),$AN$1006:$BO$1006,0)))),"Fix")))</f>
        <v>0</v>
      </c>
      <c r="R216" s="4">
        <f>IF(OR(INDEX($AH$2:$AH$1001,MATCH(ROWS($AG$2:AG216),$AG$2:$AG$1001,0),1)&gt;=100000,INDEX($AN$1005:$BO$1005,1,MATCH(COLUMNS($AN$1006:BD1006),$AN$1006:$BO$1006,0))&gt;=100000), " ",IF(INDEX($AN$2:$BO$1001,MATCH(ROWS($AG$2:AG216),$AG$2:$AG$1001,0),MATCH(COLUMNS($AN$1006:BD1006),$AN$1006:$BO$1006,0)), HYPERLINK("#",""), HYPERLINK(CONCATENATE("#Metadata!", ADDRESS(INDEX($AI$2:$AI$1001,MATCH(ROWS($AG$2:AG216),$AG$2:$AG$1001,0),0), INDEX($AN$1004:$BO$1004,1,MATCH(COLUMNS($AN$1006:BD1006),$AN$1006:$BO$1006,0)))),"Fix")))</f>
        <v>0</v>
      </c>
      <c r="S216" s="4">
        <f>IF(OR(INDEX($AH$2:$AH$1001,MATCH(ROWS($AG$2:AG216),$AG$2:$AG$1001,0),1)&gt;=100000,INDEX($AN$1005:$BO$1005,1,MATCH(COLUMNS($AN$1006:BE1006),$AN$1006:$BO$1006,0))&gt;=100000), " ",IF(INDEX($AN$2:$BO$1001,MATCH(ROWS($AG$2:AG216),$AG$2:$AG$1001,0),MATCH(COLUMNS($AN$1006:BE1006),$AN$1006:$BO$1006,0)), HYPERLINK("#",""), HYPERLINK(CONCATENATE("#Metadata!", ADDRESS(INDEX($AI$2:$AI$1001,MATCH(ROWS($AG$2:AG216),$AG$2:$AG$1001,0),0), INDEX($AN$1004:$BO$1004,1,MATCH(COLUMNS($AN$1006:BE1006),$AN$1006:$BO$1006,0)))),"Fix")))</f>
        <v>0</v>
      </c>
      <c r="T216" s="4">
        <f>IF(OR(INDEX($AH$2:$AH$1001,MATCH(ROWS($AG$2:AG216),$AG$2:$AG$1001,0),1)&gt;=100000,INDEX($AN$1005:$BO$1005,1,MATCH(COLUMNS($AN$1006:BF1006),$AN$1006:$BO$1006,0))&gt;=100000), " ",IF(INDEX($AN$2:$BO$1001,MATCH(ROWS($AG$2:AG216),$AG$2:$AG$1001,0),MATCH(COLUMNS($AN$1006:BF1006),$AN$1006:$BO$1006,0)), HYPERLINK("#",""), HYPERLINK(CONCATENATE("#Metadata!", ADDRESS(INDEX($AI$2:$AI$1001,MATCH(ROWS($AG$2:AG216),$AG$2:$AG$1001,0),0), INDEX($AN$1004:$BO$1004,1,MATCH(COLUMNS($AN$1006:BF1006),$AN$1006:$BO$1006,0)))),"Fix")))</f>
        <v>0</v>
      </c>
      <c r="U216" s="4">
        <f>IF(OR(INDEX($AH$2:$AH$1001,MATCH(ROWS($AG$2:AG216),$AG$2:$AG$1001,0),1)&gt;=100000,INDEX($AN$1005:$BO$1005,1,MATCH(COLUMNS($AN$1006:BG1006),$AN$1006:$BO$1006,0))&gt;=100000), " ",IF(INDEX($AN$2:$BO$1001,MATCH(ROWS($AG$2:AG216),$AG$2:$AG$1001,0),MATCH(COLUMNS($AN$1006:BG1006),$AN$1006:$BO$1006,0)), HYPERLINK("#",""), HYPERLINK(CONCATENATE("#Metadata!", ADDRESS(INDEX($AI$2:$AI$1001,MATCH(ROWS($AG$2:AG216),$AG$2:$AG$1001,0),0), INDEX($AN$1004:$BO$1004,1,MATCH(COLUMNS($AN$1006:BG1006),$AN$1006:$BO$1006,0)))),"Fix")))</f>
        <v>0</v>
      </c>
      <c r="V216" s="4">
        <f>IF(OR(INDEX($AH$2:$AH$1001,MATCH(ROWS($AG$2:AG216),$AG$2:$AG$1001,0),1)&gt;=100000,INDEX($AN$1005:$BO$1005,1,MATCH(COLUMNS($AN$1006:BH1006),$AN$1006:$BO$1006,0))&gt;=100000), " ",IF(INDEX($AN$2:$BO$1001,MATCH(ROWS($AG$2:AG216),$AG$2:$AG$1001,0),MATCH(COLUMNS($AN$1006:BH1006),$AN$1006:$BO$1006,0)), HYPERLINK("#",""), HYPERLINK(CONCATENATE("#Metadata!", ADDRESS(INDEX($AI$2:$AI$1001,MATCH(ROWS($AG$2:AG216),$AG$2:$AG$1001,0),0), INDEX($AN$1004:$BO$1004,1,MATCH(COLUMNS($AN$1006:BH1006),$AN$1006:$BO$1006,0)))),"Fix")))</f>
        <v>0</v>
      </c>
      <c r="W216" s="4">
        <f>IF(OR(INDEX($AH$2:$AH$1001,MATCH(ROWS($AG$2:AG216),$AG$2:$AG$1001,0),1)&gt;=100000,INDEX($AN$1005:$BO$1005,1,MATCH(COLUMNS($AN$1006:BI1006),$AN$1006:$BO$1006,0))&gt;=100000), " ",IF(INDEX($AN$2:$BO$1001,MATCH(ROWS($AG$2:AG216),$AG$2:$AG$1001,0),MATCH(COLUMNS($AN$1006:BI1006),$AN$1006:$BO$1006,0)), HYPERLINK("#",""), HYPERLINK(CONCATENATE("#Metadata!", ADDRESS(INDEX($AI$2:$AI$1001,MATCH(ROWS($AG$2:AG216),$AG$2:$AG$1001,0),0), INDEX($AN$1004:$BO$1004,1,MATCH(COLUMNS($AN$1006:BI1006),$AN$1006:$BO$1006,0)))),"Fix")))</f>
        <v>0</v>
      </c>
      <c r="X216" s="4">
        <f>IF(OR(INDEX($AH$2:$AH$1001,MATCH(ROWS($AG$2:AG216),$AG$2:$AG$1001,0),1)&gt;=100000,INDEX($AN$1005:$BO$1005,1,MATCH(COLUMNS($AN$1006:BJ1006),$AN$1006:$BO$1006,0))&gt;=100000), " ",IF(INDEX($AN$2:$BO$1001,MATCH(ROWS($AG$2:AG216),$AG$2:$AG$1001,0),MATCH(COLUMNS($AN$1006:BJ1006),$AN$1006:$BO$1006,0)), HYPERLINK("#",""), HYPERLINK(CONCATENATE("#Metadata!", ADDRESS(INDEX($AI$2:$AI$1001,MATCH(ROWS($AG$2:AG216),$AG$2:$AG$1001,0),0), INDEX($AN$1004:$BO$1004,1,MATCH(COLUMNS($AN$1006:BJ1006),$AN$1006:$BO$1006,0)))),"Fix")))</f>
        <v>0</v>
      </c>
      <c r="Y216" s="4">
        <f>IF(OR(INDEX($AH$2:$AH$1001,MATCH(ROWS($AG$2:AG216),$AG$2:$AG$1001,0),1)&gt;=100000,INDEX($AN$1005:$BO$1005,1,MATCH(COLUMNS($AN$1006:BK1006),$AN$1006:$BO$1006,0))&gt;=100000), " ",IF(INDEX($AN$2:$BO$1001,MATCH(ROWS($AG$2:AG216),$AG$2:$AG$1001,0),MATCH(COLUMNS($AN$1006:BK1006),$AN$1006:$BO$1006,0)), HYPERLINK("#",""), HYPERLINK(CONCATENATE("#Metadata!", ADDRESS(INDEX($AI$2:$AI$1001,MATCH(ROWS($AG$2:AG216),$AG$2:$AG$1001,0),0), INDEX($AN$1004:$BO$1004,1,MATCH(COLUMNS($AN$1006:BK1006),$AN$1006:$BO$1006,0)))),"Fix")))</f>
        <v>0</v>
      </c>
      <c r="Z216" s="4">
        <f>IF(OR(INDEX($AH$2:$AH$1001,MATCH(ROWS($AG$2:AG216),$AG$2:$AG$1001,0),1)&gt;=100000,INDEX($AN$1005:$BO$1005,1,MATCH(COLUMNS($AN$1006:BL1006),$AN$1006:$BO$1006,0))&gt;=100000), " ",IF(INDEX($AN$2:$BO$1001,MATCH(ROWS($AG$2:AG216),$AG$2:$AG$1001,0),MATCH(COLUMNS($AN$1006:BL1006),$AN$1006:$BO$1006,0)), HYPERLINK("#",""), HYPERLINK(CONCATENATE("#Metadata!", ADDRESS(INDEX($AI$2:$AI$1001,MATCH(ROWS($AG$2:AG216),$AG$2:$AG$1001,0),0), INDEX($AN$1004:$BO$1004,1,MATCH(COLUMNS($AN$1006:BL1006),$AN$1006:$BO$1006,0)))),"Fix")))</f>
        <v>0</v>
      </c>
      <c r="AA216" s="4">
        <f>IF(OR(INDEX($AH$2:$AH$1001,MATCH(ROWS($AG$2:AG216),$AG$2:$AG$1001,0),1)&gt;=100000,INDEX($AN$1005:$BO$1005,1,MATCH(COLUMNS($AN$1006:BM1006),$AN$1006:$BO$1006,0))&gt;=100000), " ",IF(INDEX($AN$2:$BO$1001,MATCH(ROWS($AG$2:AG216),$AG$2:$AG$1001,0),MATCH(COLUMNS($AN$1006:BM1006),$AN$1006:$BO$1006,0)), HYPERLINK("#",""), HYPERLINK(CONCATENATE("#Metadata!", ADDRESS(INDEX($AI$2:$AI$1001,MATCH(ROWS($AG$2:AG216),$AG$2:$AG$1001,0),0), INDEX($AN$1004:$BO$1004,1,MATCH(COLUMNS($AN$1006:BM1006),$AN$1006:$BO$1006,0)))),"Fix")))</f>
        <v>0</v>
      </c>
      <c r="AB216" s="4">
        <f>IF(OR(INDEX($AH$2:$AH$1001,MATCH(ROWS($AG$2:AG216),$AG$2:$AG$1001,0),1)&gt;=100000,INDEX($AN$1005:$BO$1005,1,MATCH(COLUMNS($AN$1006:BN1006),$AN$1006:$BO$1006,0))&gt;=100000), " ",IF(INDEX($AN$2:$BO$1001,MATCH(ROWS($AG$2:AG216),$AG$2:$AG$1001,0),MATCH(COLUMNS($AN$1006:BN1006),$AN$1006:$BO$1006,0)), HYPERLINK("#",""), HYPERLINK(CONCATENATE("#Metadata!", ADDRESS(INDEX($AI$2:$AI$1001,MATCH(ROWS($AG$2:AG216),$AG$2:$AG$1001,0),0), INDEX($AN$1004:$BO$1004,1,MATCH(COLUMNS($AN$1006:BN1006),$AN$1006:$BO$1006,0)))),"Fix")))</f>
        <v>0</v>
      </c>
      <c r="AC216" s="4">
        <f>IF(OR(INDEX($AH$2:$AH$1001,MATCH(ROWS($AG$2:AG216),$AG$2:$AG$1001,0),1)&gt;=100000,INDEX($AN$1005:$BO$1005,1,MATCH(COLUMNS($AN$1006:BO1006),$AN$1006:$BO$1006,0))&gt;=100000), " ",IF(INDEX($AN$2:$BO$1001,MATCH(ROWS($AG$2:AG216),$AG$2:$AG$1001,0),MATCH(COLUMNS($AN$1006:BO1006),$AN$1006:$BO$1006,0)), HYPERLINK("#",""), HYPERLINK(CONCATENATE("#Metadata!", ADDRESS(INDEX($AI$2:$AI$1001,MATCH(ROWS($AG$2:AG216),$AG$2:$AG$1001,0),0), INDEX($AN$1004:$BO$1004,1,MATCH(COLUMNS($AN$1006:BO1006),$AN$1006:$BO$1006,0)))),"Fix")))</f>
        <v>0</v>
      </c>
      <c r="AG216">
        <v>0</v>
      </c>
      <c r="AH216">
        <v>0</v>
      </c>
      <c r="AI216">
        <v>0</v>
      </c>
      <c r="AJ216">
        <f>IF(AK216,TRUE,AND(AN216:BO216))</f>
        <v>0</v>
      </c>
      <c r="AK216">
        <f>COUNTBLANK(Metadata!B216:AC216)=COLUMNS(Metadata!B216:AC216)</f>
        <v>0</v>
      </c>
      <c r="AL216">
        <v>0</v>
      </c>
      <c r="AN216">
        <f>AND(IF(Metadata!B216="",FALSE,TRUE),COUNTIF(Metadata!B:B, Metadata!B216) = 1,NOT(ISERROR(SUMPRODUCT(SEARCH(MID(Metadata!B216,ROW(INDIRECT("1:"&amp;LEN(Metadata!B216))), 1),"0123456789abcdefghijklmnopqrstuvwxyzABCDEFGHIJKLMNOPQRSTUVWXYZ.")))))</f>
        <v>0</v>
      </c>
      <c r="AO216">
        <f>IF(Metadata!C216="",FALSE,TRUE)</f>
        <v>0</v>
      </c>
      <c r="AP216">
        <f>IF(Metadata!D216="",FALSE,TRUE)</f>
        <v>0</v>
      </c>
      <c r="AQ216">
        <f>OR(AND(IF(Metadata!E216="",FALSE,TRUE),OR(exact(Metadata!E216,"not collected"),exact(Metadata!E216,"not provided"),exact(Metadata!E216,"restricted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R216">
        <f>IF(Metadata!F216="",FALSE,TRUE)</f>
        <v>0</v>
      </c>
      <c r="AS216">
        <f>OR(AND(IF(Metadata!G216="",FALSE,TRUE),OR(exact(Metadata!G216,"not collected"),exact(Metadata!G216,"not provided"))),AND(IF(Metadata!G216="",FALSE,TRUE),OR(exact(Metadata!G216,"TRUE"),exact(Metadata!G216,"FALSE"))))</f>
        <v>0</v>
      </c>
      <c r="AT216">
        <f>OR(AND(IF(Metadata!H216="",FALSE,TRUE),OR(exact(Metadata!H216,"not collected"),exact(Metadata!H216,"not provided"),exact(Metadata!H216,"restricted access"))),AND(IF(Metadata!H216="",FALSE,ISNUMBER(VALUE(Metadata!H216))),Metadata!H216&gt;=-413.0))</f>
        <v>0</v>
      </c>
      <c r="AU216">
        <f>AND(IF(Metadata!I216="",FALSE,TRUE),exact(Metadata!I216,"meters"))</f>
        <v>0</v>
      </c>
      <c r="AV216">
        <f>AND(IF(Metadata!J216="",FALSE,TRUE),OR(exact(Metadata!J216,"Host-associated"),exact(Metadata!J216,"Free-living")))</f>
        <v>0</v>
      </c>
      <c r="AW216">
        <f>AND(IF(Metadata!K216="",FALSE,TRUE),OR(exact(Metadata!K216,"Animal"),exact(Metadata!K216,"Fungus"),exact(Metadata!K216,"Plant"),exact(Metadata!K216,"Saline"),exact(Metadata!K216,"Non-saline")))</f>
        <v>0</v>
      </c>
      <c r="AX216">
        <f>AND(IF(Metadata!L216="",FALSE,TRUE),OR(exact(Metadata!L216,"Plant secretion"),exact(Metadata!L216,"Plant rhizosphere"),exact(Metadata!L216,"Plant surface"),exact(Metadata!L216,"Plant corpus"),exact(Metadata!L216,"Fungus surface"),exact(Metadata!L216,"Fungus corpus"),exact(Metadata!L216,"Animal surface"),exact(Metadata!L216,"Animal proximal gut"),exact(Metadata!L216,"Animal corpus"),exact(Metadata!L216,"Animal distal gut"),exact(Metadata!L216,"Animal secretion"),exact(Metadata!L216,"Sub-surface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Y216">
        <f>IF(Metadata!M216="",FALSE,TRUE)</f>
        <v>0</v>
      </c>
      <c r="AZ216">
        <f>IF(Metadata!N216="",FALSE,TRUE)</f>
        <v>0</v>
      </c>
      <c r="BA216">
        <f>IF(Metadata!O216="",FALSE,TRUE)</f>
        <v>0</v>
      </c>
      <c r="BB216">
        <f>OR(AND(IF(Metadata!P216="",FALSE,TRUE),OR(exact(Metadata!P216,"not collected"),exact(Metadata!P216,"not provided"),exact(Metadata!P216,"restricted access"))),AND(IF(Metadata!P216="",FALSE,TRUE),OR(exact(Metadata!P216,"air"),exact(Metadata!P216,"built environment"),exact(Metadata!P216,"host-associated"),exact(Metadata!P216,"human-associated"),exact(Metadata!P216,"human-skin"),exact(Metadata!P216,"human-oral"),exact(Metadata!P216,"human-gut"),exact(Metadata!P216,"human-vaginal"),exact(Metadata!P216,"microbial mat/biofilm"),exact(Metadata!P216,"misc environment"),exact(Metadata!P216,"plant-associated"),exact(Metadata!P216,"sediment"),exact(Metadata!P216,"soil"),exact(Metadata!P216,"wastewater/sludge"),exact(Metadata!P216,"water"))))</f>
        <v>0</v>
      </c>
      <c r="BC216">
        <f>IF(Metadata!Q216="",FALSE,TRUE)</f>
        <v>0</v>
      </c>
      <c r="BD216">
        <f>IF(Metadata!R216="",FALSE,TRUE)</f>
        <v>0</v>
      </c>
      <c r="BE216">
        <f>OR(AND(IF(Metadata!S216="",FALSE,TRUE),OR(exact(Metadata!S216,"not collected"),exact(Metadata!S216,"not provided"),exact(Metadata!S216,"restricted access"))),AND(IF(Metadata!S216="",FALSE,ISNUMBER(VALUE(Metadata!S216))),Metadata!S216&gt;=-90.00,Metadata!S216&lt;=90.00))</f>
        <v>0</v>
      </c>
      <c r="BF216">
        <f>AND(IF(Metadata!T216="",FALSE,TRUE),exact(Metadata!T216,"Decimal degrees"))</f>
        <v>0</v>
      </c>
      <c r="BG216">
        <f>OR(AND(IF(Metadata!U216="",FALSE,TRUE),OR(exact(Metadata!U216,"not collected"),exact(Metadata!U216,"not provided"),exact(Metadata!U216,"restricted access"))),AND(IF(Metadata!U216="",FALSE,ISNUMBER(VALUE(Metadata!U216))),Metadata!U216&gt;=-180.00,Metadata!U216&lt;=180.00))</f>
        <v>0</v>
      </c>
      <c r="BH216">
        <f>AND(IF(Metadata!V216="",FALSE,TRUE),exact(Metadata!V216,"Decimal degrees"))</f>
        <v>0</v>
      </c>
      <c r="BI216">
        <f>IF(Metadata!W216="",FALSE,TRUE)</f>
        <v>0</v>
      </c>
      <c r="BJ216">
        <f>OR(AND(IF(Metadata!X216="",FALSE,TRUE),OR(exact(Metadata!X216,"not collected"),exact(Metadata!X216,"not provided"),exact(Metadata!X216,"restricted access"))),AND(IF(Metadata!X216="",FALSE,TRUE),OR(exact(Metadata!X216,"TRUE"),exact(Metadata!X216,"FALSE"))))</f>
        <v>0</v>
      </c>
      <c r="BK216">
        <f>AND(IF(Metadata!Y216="",FALSE,TRUE),exact(Metadata!Y216,"other"))</f>
        <v>0</v>
      </c>
      <c r="BL216">
        <f>IF(Metadata!Z216="",FALSE,TRUE)</f>
        <v>0</v>
      </c>
      <c r="BM216">
        <f>OR(AND(IF(Metadata!AA216="",FALSE,TRUE),OR(exact(Metadata!AA216,"not collected"),exact(Metadata!AA216,"not provided"))),AND(IF(Metadata!AA216="",FALSE,IF(ISERROR(INT(Metadata!AA216)),FALSE,INT(Metadata!AA216)=Metadata!AA216)),Metadata!AA216&gt;0))</f>
        <v>0</v>
      </c>
      <c r="BN216">
        <f>AND(IF(Metadata!AB216="",FALSE,TRUE),exact(Metadata!AB216,"Not applicable"))</f>
        <v>0</v>
      </c>
      <c r="BO216">
        <f>IF(Metadata!AC216="",FALSE,TRUE)</f>
        <v>0</v>
      </c>
    </row>
    <row r="217" spans="1:67">
      <c r="A217" s="5">
        <f>IF(B217=" "," ",HYPERLINK(CONCATENATE("#metadata!",ADDRESS(INDEX($AI$2:$AI$1001,MATCH(ROWS($AG$2:AG217),$AG$2:$AG$1001,0),0),1)),INDEX($AL$2:$AL$1001,MATCH(ROWS($AG$2:AG217),$AG$2:$AG$1001,0),0)))</f>
        <v>0</v>
      </c>
      <c r="B217" s="4">
        <f>IF(OR(INDEX($AH$2:$AH$1001,MATCH(ROWS($AG$2:AG217),$AG$2:$AG$1001,0),1)&gt;=100000,INDEX($AN$1005:$BO$1005,1,MATCH(COLUMNS($AN$1006:AN1006),$AN$1006:$BO$1006,0))&gt;=100000), " ",IF(INDEX($AN$2:$BO$1001,MATCH(ROWS($AG$2:AG217),$AG$2:$AG$1001,0),MATCH(COLUMNS($AN$1006:AN1006),$AN$1006:$BO$1006,0)), HYPERLINK("#",""), HYPERLINK(CONCATENATE("#Metadata!", ADDRESS(INDEX($AI$2:$AI$1001,MATCH(ROWS($AG$2:AG217),$AG$2:$AG$1001,0),0), INDEX($AN$1004:$BO$1004,1,MATCH(COLUMNS($AN$1006:AN1006),$AN$1006:$BO$1006,0)))),"Fix")))</f>
        <v>0</v>
      </c>
      <c r="C217" s="4">
        <f>IF(OR(INDEX($AH$2:$AH$1001,MATCH(ROWS($AG$2:AG217),$AG$2:$AG$1001,0),1)&gt;=100000,INDEX($AN$1005:$BO$1005,1,MATCH(COLUMNS($AN$1006:AO1006),$AN$1006:$BO$1006,0))&gt;=100000), " ",IF(INDEX($AN$2:$BO$1001,MATCH(ROWS($AG$2:AG217),$AG$2:$AG$1001,0),MATCH(COLUMNS($AN$1006:AO1006),$AN$1006:$BO$1006,0)), HYPERLINK("#",""), HYPERLINK(CONCATENATE("#Metadata!", ADDRESS(INDEX($AI$2:$AI$1001,MATCH(ROWS($AG$2:AG217),$AG$2:$AG$1001,0),0), INDEX($AN$1004:$BO$1004,1,MATCH(COLUMNS($AN$1006:AO1006),$AN$1006:$BO$1006,0)))),"Fix")))</f>
        <v>0</v>
      </c>
      <c r="D217" s="4">
        <f>IF(OR(INDEX($AH$2:$AH$1001,MATCH(ROWS($AG$2:AG217),$AG$2:$AG$1001,0),1)&gt;=100000,INDEX($AN$1005:$BO$1005,1,MATCH(COLUMNS($AN$1006:AP1006),$AN$1006:$BO$1006,0))&gt;=100000), " ",IF(INDEX($AN$2:$BO$1001,MATCH(ROWS($AG$2:AG217),$AG$2:$AG$1001,0),MATCH(COLUMNS($AN$1006:AP1006),$AN$1006:$BO$1006,0)), HYPERLINK("#",""), HYPERLINK(CONCATENATE("#Metadata!", ADDRESS(INDEX($AI$2:$AI$1001,MATCH(ROWS($AG$2:AG217),$AG$2:$AG$1001,0),0), INDEX($AN$1004:$BO$1004,1,MATCH(COLUMNS($AN$1006:AP1006),$AN$1006:$BO$1006,0)))),"Fix")))</f>
        <v>0</v>
      </c>
      <c r="E217" s="4">
        <f>IF(OR(INDEX($AH$2:$AH$1001,MATCH(ROWS($AG$2:AG217),$AG$2:$AG$1001,0),1)&gt;=100000,INDEX($AN$1005:$BO$1005,1,MATCH(COLUMNS($AN$1006:AQ1006),$AN$1006:$BO$1006,0))&gt;=100000), " ",IF(INDEX($AN$2:$BO$1001,MATCH(ROWS($AG$2:AG217),$AG$2:$AG$1001,0),MATCH(COLUMNS($AN$1006:AQ1006),$AN$1006:$BO$1006,0)), HYPERLINK("#",""), HYPERLINK(CONCATENATE("#Metadata!", ADDRESS(INDEX($AI$2:$AI$1001,MATCH(ROWS($AG$2:AG217),$AG$2:$AG$1001,0),0), INDEX($AN$1004:$BO$1004,1,MATCH(COLUMNS($AN$1006:AQ1006),$AN$1006:$BO$1006,0)))),"Fix")))</f>
        <v>0</v>
      </c>
      <c r="F217" s="4">
        <f>IF(OR(INDEX($AH$2:$AH$1001,MATCH(ROWS($AG$2:AG217),$AG$2:$AG$1001,0),1)&gt;=100000,INDEX($AN$1005:$BO$1005,1,MATCH(COLUMNS($AN$1006:AR1006),$AN$1006:$BO$1006,0))&gt;=100000), " ",IF(INDEX($AN$2:$BO$1001,MATCH(ROWS($AG$2:AG217),$AG$2:$AG$1001,0),MATCH(COLUMNS($AN$1006:AR1006),$AN$1006:$BO$1006,0)), HYPERLINK("#",""), HYPERLINK(CONCATENATE("#Metadata!", ADDRESS(INDEX($AI$2:$AI$1001,MATCH(ROWS($AG$2:AG217),$AG$2:$AG$1001,0),0), INDEX($AN$1004:$BO$1004,1,MATCH(COLUMNS($AN$1006:AR1006),$AN$1006:$BO$1006,0)))),"Fix")))</f>
        <v>0</v>
      </c>
      <c r="G217" s="4">
        <f>IF(OR(INDEX($AH$2:$AH$1001,MATCH(ROWS($AG$2:AG217),$AG$2:$AG$1001,0),1)&gt;=100000,INDEX($AN$1005:$BO$1005,1,MATCH(COLUMNS($AN$1006:AS1006),$AN$1006:$BO$1006,0))&gt;=100000), " ",IF(INDEX($AN$2:$BO$1001,MATCH(ROWS($AG$2:AG217),$AG$2:$AG$1001,0),MATCH(COLUMNS($AN$1006:AS1006),$AN$1006:$BO$1006,0)), HYPERLINK("#",""), HYPERLINK(CONCATENATE("#Metadata!", ADDRESS(INDEX($AI$2:$AI$1001,MATCH(ROWS($AG$2:AG217),$AG$2:$AG$1001,0),0), INDEX($AN$1004:$BO$1004,1,MATCH(COLUMNS($AN$1006:AS1006),$AN$1006:$BO$1006,0)))),"Fix")))</f>
        <v>0</v>
      </c>
      <c r="H217" s="4">
        <f>IF(OR(INDEX($AH$2:$AH$1001,MATCH(ROWS($AG$2:AG217),$AG$2:$AG$1001,0),1)&gt;=100000,INDEX($AN$1005:$BO$1005,1,MATCH(COLUMNS($AN$1006:AT1006),$AN$1006:$BO$1006,0))&gt;=100000), " ",IF(INDEX($AN$2:$BO$1001,MATCH(ROWS($AG$2:AG217),$AG$2:$AG$1001,0),MATCH(COLUMNS($AN$1006:AT1006),$AN$1006:$BO$1006,0)), HYPERLINK("#",""), HYPERLINK(CONCATENATE("#Metadata!", ADDRESS(INDEX($AI$2:$AI$1001,MATCH(ROWS($AG$2:AG217),$AG$2:$AG$1001,0),0), INDEX($AN$1004:$BO$1004,1,MATCH(COLUMNS($AN$1006:AT1006),$AN$1006:$BO$1006,0)))),"Fix")))</f>
        <v>0</v>
      </c>
      <c r="I217" s="4">
        <f>IF(OR(INDEX($AH$2:$AH$1001,MATCH(ROWS($AG$2:AG217),$AG$2:$AG$1001,0),1)&gt;=100000,INDEX($AN$1005:$BO$1005,1,MATCH(COLUMNS($AN$1006:AU1006),$AN$1006:$BO$1006,0))&gt;=100000), " ",IF(INDEX($AN$2:$BO$1001,MATCH(ROWS($AG$2:AG217),$AG$2:$AG$1001,0),MATCH(COLUMNS($AN$1006:AU1006),$AN$1006:$BO$1006,0)), HYPERLINK("#",""), HYPERLINK(CONCATENATE("#Metadata!", ADDRESS(INDEX($AI$2:$AI$1001,MATCH(ROWS($AG$2:AG217),$AG$2:$AG$1001,0),0), INDEX($AN$1004:$BO$1004,1,MATCH(COLUMNS($AN$1006:AU1006),$AN$1006:$BO$1006,0)))),"Fix")))</f>
        <v>0</v>
      </c>
      <c r="J217" s="4">
        <f>IF(OR(INDEX($AH$2:$AH$1001,MATCH(ROWS($AG$2:AG217),$AG$2:$AG$1001,0),1)&gt;=100000,INDEX($AN$1005:$BO$1005,1,MATCH(COLUMNS($AN$1006:AV1006),$AN$1006:$BO$1006,0))&gt;=100000), " ",IF(INDEX($AN$2:$BO$1001,MATCH(ROWS($AG$2:AG217),$AG$2:$AG$1001,0),MATCH(COLUMNS($AN$1006:AV1006),$AN$1006:$BO$1006,0)), HYPERLINK("#",""), HYPERLINK(CONCATENATE("#Metadata!", ADDRESS(INDEX($AI$2:$AI$1001,MATCH(ROWS($AG$2:AG217),$AG$2:$AG$1001,0),0), INDEX($AN$1004:$BO$1004,1,MATCH(COLUMNS($AN$1006:AV1006),$AN$1006:$BO$1006,0)))),"Fix")))</f>
        <v>0</v>
      </c>
      <c r="K217" s="4">
        <f>IF(OR(INDEX($AH$2:$AH$1001,MATCH(ROWS($AG$2:AG217),$AG$2:$AG$1001,0),1)&gt;=100000,INDEX($AN$1005:$BO$1005,1,MATCH(COLUMNS($AN$1006:AW1006),$AN$1006:$BO$1006,0))&gt;=100000), " ",IF(INDEX($AN$2:$BO$1001,MATCH(ROWS($AG$2:AG217),$AG$2:$AG$1001,0),MATCH(COLUMNS($AN$1006:AW1006),$AN$1006:$BO$1006,0)), HYPERLINK("#",""), HYPERLINK(CONCATENATE("#Metadata!", ADDRESS(INDEX($AI$2:$AI$1001,MATCH(ROWS($AG$2:AG217),$AG$2:$AG$1001,0),0), INDEX($AN$1004:$BO$1004,1,MATCH(COLUMNS($AN$1006:AW1006),$AN$1006:$BO$1006,0)))),"Fix")))</f>
        <v>0</v>
      </c>
      <c r="L217" s="4">
        <f>IF(OR(INDEX($AH$2:$AH$1001,MATCH(ROWS($AG$2:AG217),$AG$2:$AG$1001,0),1)&gt;=100000,INDEX($AN$1005:$BO$1005,1,MATCH(COLUMNS($AN$1006:AX1006),$AN$1006:$BO$1006,0))&gt;=100000), " ",IF(INDEX($AN$2:$BO$1001,MATCH(ROWS($AG$2:AG217),$AG$2:$AG$1001,0),MATCH(COLUMNS($AN$1006:AX1006),$AN$1006:$BO$1006,0)), HYPERLINK("#",""), HYPERLINK(CONCATENATE("#Metadata!", ADDRESS(INDEX($AI$2:$AI$1001,MATCH(ROWS($AG$2:AG217),$AG$2:$AG$1001,0),0), INDEX($AN$1004:$BO$1004,1,MATCH(COLUMNS($AN$1006:AX1006),$AN$1006:$BO$1006,0)))),"Fix")))</f>
        <v>0</v>
      </c>
      <c r="M217" s="4">
        <f>IF(OR(INDEX($AH$2:$AH$1001,MATCH(ROWS($AG$2:AG217),$AG$2:$AG$1001,0),1)&gt;=100000,INDEX($AN$1005:$BO$1005,1,MATCH(COLUMNS($AN$1006:AY1006),$AN$1006:$BO$1006,0))&gt;=100000), " ",IF(INDEX($AN$2:$BO$1001,MATCH(ROWS($AG$2:AG217),$AG$2:$AG$1001,0),MATCH(COLUMNS($AN$1006:AY1006),$AN$1006:$BO$1006,0)), HYPERLINK("#",""), HYPERLINK(CONCATENATE("#Metadata!", ADDRESS(INDEX($AI$2:$AI$1001,MATCH(ROWS($AG$2:AG217),$AG$2:$AG$1001,0),0), INDEX($AN$1004:$BO$1004,1,MATCH(COLUMNS($AN$1006:AY1006),$AN$1006:$BO$1006,0)))),"Fix")))</f>
        <v>0</v>
      </c>
      <c r="N217" s="4">
        <f>IF(OR(INDEX($AH$2:$AH$1001,MATCH(ROWS($AG$2:AG217),$AG$2:$AG$1001,0),1)&gt;=100000,INDEX($AN$1005:$BO$1005,1,MATCH(COLUMNS($AN$1006:AZ1006),$AN$1006:$BO$1006,0))&gt;=100000), " ",IF(INDEX($AN$2:$BO$1001,MATCH(ROWS($AG$2:AG217),$AG$2:$AG$1001,0),MATCH(COLUMNS($AN$1006:AZ1006),$AN$1006:$BO$1006,0)), HYPERLINK("#",""), HYPERLINK(CONCATENATE("#Metadata!", ADDRESS(INDEX($AI$2:$AI$1001,MATCH(ROWS($AG$2:AG217),$AG$2:$AG$1001,0),0), INDEX($AN$1004:$BO$1004,1,MATCH(COLUMNS($AN$1006:AZ1006),$AN$1006:$BO$1006,0)))),"Fix")))</f>
        <v>0</v>
      </c>
      <c r="O217" s="4">
        <f>IF(OR(INDEX($AH$2:$AH$1001,MATCH(ROWS($AG$2:AG217),$AG$2:$AG$1001,0),1)&gt;=100000,INDEX($AN$1005:$BO$1005,1,MATCH(COLUMNS($AN$1006:BA1006),$AN$1006:$BO$1006,0))&gt;=100000), " ",IF(INDEX($AN$2:$BO$1001,MATCH(ROWS($AG$2:AG217),$AG$2:$AG$1001,0),MATCH(COLUMNS($AN$1006:BA1006),$AN$1006:$BO$1006,0)), HYPERLINK("#",""), HYPERLINK(CONCATENATE("#Metadata!", ADDRESS(INDEX($AI$2:$AI$1001,MATCH(ROWS($AG$2:AG217),$AG$2:$AG$1001,0),0), INDEX($AN$1004:$BO$1004,1,MATCH(COLUMNS($AN$1006:BA1006),$AN$1006:$BO$1006,0)))),"Fix")))</f>
        <v>0</v>
      </c>
      <c r="P217" s="4">
        <f>IF(OR(INDEX($AH$2:$AH$1001,MATCH(ROWS($AG$2:AG217),$AG$2:$AG$1001,0),1)&gt;=100000,INDEX($AN$1005:$BO$1005,1,MATCH(COLUMNS($AN$1006:BB1006),$AN$1006:$BO$1006,0))&gt;=100000), " ",IF(INDEX($AN$2:$BO$1001,MATCH(ROWS($AG$2:AG217),$AG$2:$AG$1001,0),MATCH(COLUMNS($AN$1006:BB1006),$AN$1006:$BO$1006,0)), HYPERLINK("#",""), HYPERLINK(CONCATENATE("#Metadata!", ADDRESS(INDEX($AI$2:$AI$1001,MATCH(ROWS($AG$2:AG217),$AG$2:$AG$1001,0),0), INDEX($AN$1004:$BO$1004,1,MATCH(COLUMNS($AN$1006:BB1006),$AN$1006:$BO$1006,0)))),"Fix")))</f>
        <v>0</v>
      </c>
      <c r="Q217" s="4">
        <f>IF(OR(INDEX($AH$2:$AH$1001,MATCH(ROWS($AG$2:AG217),$AG$2:$AG$1001,0),1)&gt;=100000,INDEX($AN$1005:$BO$1005,1,MATCH(COLUMNS($AN$1006:BC1006),$AN$1006:$BO$1006,0))&gt;=100000), " ",IF(INDEX($AN$2:$BO$1001,MATCH(ROWS($AG$2:AG217),$AG$2:$AG$1001,0),MATCH(COLUMNS($AN$1006:BC1006),$AN$1006:$BO$1006,0)), HYPERLINK("#",""), HYPERLINK(CONCATENATE("#Metadata!", ADDRESS(INDEX($AI$2:$AI$1001,MATCH(ROWS($AG$2:AG217),$AG$2:$AG$1001,0),0), INDEX($AN$1004:$BO$1004,1,MATCH(COLUMNS($AN$1006:BC1006),$AN$1006:$BO$1006,0)))),"Fix")))</f>
        <v>0</v>
      </c>
      <c r="R217" s="4">
        <f>IF(OR(INDEX($AH$2:$AH$1001,MATCH(ROWS($AG$2:AG217),$AG$2:$AG$1001,0),1)&gt;=100000,INDEX($AN$1005:$BO$1005,1,MATCH(COLUMNS($AN$1006:BD1006),$AN$1006:$BO$1006,0))&gt;=100000), " ",IF(INDEX($AN$2:$BO$1001,MATCH(ROWS($AG$2:AG217),$AG$2:$AG$1001,0),MATCH(COLUMNS($AN$1006:BD1006),$AN$1006:$BO$1006,0)), HYPERLINK("#",""), HYPERLINK(CONCATENATE("#Metadata!", ADDRESS(INDEX($AI$2:$AI$1001,MATCH(ROWS($AG$2:AG217),$AG$2:$AG$1001,0),0), INDEX($AN$1004:$BO$1004,1,MATCH(COLUMNS($AN$1006:BD1006),$AN$1006:$BO$1006,0)))),"Fix")))</f>
        <v>0</v>
      </c>
      <c r="S217" s="4">
        <f>IF(OR(INDEX($AH$2:$AH$1001,MATCH(ROWS($AG$2:AG217),$AG$2:$AG$1001,0),1)&gt;=100000,INDEX($AN$1005:$BO$1005,1,MATCH(COLUMNS($AN$1006:BE1006),$AN$1006:$BO$1006,0))&gt;=100000), " ",IF(INDEX($AN$2:$BO$1001,MATCH(ROWS($AG$2:AG217),$AG$2:$AG$1001,0),MATCH(COLUMNS($AN$1006:BE1006),$AN$1006:$BO$1006,0)), HYPERLINK("#",""), HYPERLINK(CONCATENATE("#Metadata!", ADDRESS(INDEX($AI$2:$AI$1001,MATCH(ROWS($AG$2:AG217),$AG$2:$AG$1001,0),0), INDEX($AN$1004:$BO$1004,1,MATCH(COLUMNS($AN$1006:BE1006),$AN$1006:$BO$1006,0)))),"Fix")))</f>
        <v>0</v>
      </c>
      <c r="T217" s="4">
        <f>IF(OR(INDEX($AH$2:$AH$1001,MATCH(ROWS($AG$2:AG217),$AG$2:$AG$1001,0),1)&gt;=100000,INDEX($AN$1005:$BO$1005,1,MATCH(COLUMNS($AN$1006:BF1006),$AN$1006:$BO$1006,0))&gt;=100000), " ",IF(INDEX($AN$2:$BO$1001,MATCH(ROWS($AG$2:AG217),$AG$2:$AG$1001,0),MATCH(COLUMNS($AN$1006:BF1006),$AN$1006:$BO$1006,0)), HYPERLINK("#",""), HYPERLINK(CONCATENATE("#Metadata!", ADDRESS(INDEX($AI$2:$AI$1001,MATCH(ROWS($AG$2:AG217),$AG$2:$AG$1001,0),0), INDEX($AN$1004:$BO$1004,1,MATCH(COLUMNS($AN$1006:BF1006),$AN$1006:$BO$1006,0)))),"Fix")))</f>
        <v>0</v>
      </c>
      <c r="U217" s="4">
        <f>IF(OR(INDEX($AH$2:$AH$1001,MATCH(ROWS($AG$2:AG217),$AG$2:$AG$1001,0),1)&gt;=100000,INDEX($AN$1005:$BO$1005,1,MATCH(COLUMNS($AN$1006:BG1006),$AN$1006:$BO$1006,0))&gt;=100000), " ",IF(INDEX($AN$2:$BO$1001,MATCH(ROWS($AG$2:AG217),$AG$2:$AG$1001,0),MATCH(COLUMNS($AN$1006:BG1006),$AN$1006:$BO$1006,0)), HYPERLINK("#",""), HYPERLINK(CONCATENATE("#Metadata!", ADDRESS(INDEX($AI$2:$AI$1001,MATCH(ROWS($AG$2:AG217),$AG$2:$AG$1001,0),0), INDEX($AN$1004:$BO$1004,1,MATCH(COLUMNS($AN$1006:BG1006),$AN$1006:$BO$1006,0)))),"Fix")))</f>
        <v>0</v>
      </c>
      <c r="V217" s="4">
        <f>IF(OR(INDEX($AH$2:$AH$1001,MATCH(ROWS($AG$2:AG217),$AG$2:$AG$1001,0),1)&gt;=100000,INDEX($AN$1005:$BO$1005,1,MATCH(COLUMNS($AN$1006:BH1006),$AN$1006:$BO$1006,0))&gt;=100000), " ",IF(INDEX($AN$2:$BO$1001,MATCH(ROWS($AG$2:AG217),$AG$2:$AG$1001,0),MATCH(COLUMNS($AN$1006:BH1006),$AN$1006:$BO$1006,0)), HYPERLINK("#",""), HYPERLINK(CONCATENATE("#Metadata!", ADDRESS(INDEX($AI$2:$AI$1001,MATCH(ROWS($AG$2:AG217),$AG$2:$AG$1001,0),0), INDEX($AN$1004:$BO$1004,1,MATCH(COLUMNS($AN$1006:BH1006),$AN$1006:$BO$1006,0)))),"Fix")))</f>
        <v>0</v>
      </c>
      <c r="W217" s="4">
        <f>IF(OR(INDEX($AH$2:$AH$1001,MATCH(ROWS($AG$2:AG217),$AG$2:$AG$1001,0),1)&gt;=100000,INDEX($AN$1005:$BO$1005,1,MATCH(COLUMNS($AN$1006:BI1006),$AN$1006:$BO$1006,0))&gt;=100000), " ",IF(INDEX($AN$2:$BO$1001,MATCH(ROWS($AG$2:AG217),$AG$2:$AG$1001,0),MATCH(COLUMNS($AN$1006:BI1006),$AN$1006:$BO$1006,0)), HYPERLINK("#",""), HYPERLINK(CONCATENATE("#Metadata!", ADDRESS(INDEX($AI$2:$AI$1001,MATCH(ROWS($AG$2:AG217),$AG$2:$AG$1001,0),0), INDEX($AN$1004:$BO$1004,1,MATCH(COLUMNS($AN$1006:BI1006),$AN$1006:$BO$1006,0)))),"Fix")))</f>
        <v>0</v>
      </c>
      <c r="X217" s="4">
        <f>IF(OR(INDEX($AH$2:$AH$1001,MATCH(ROWS($AG$2:AG217),$AG$2:$AG$1001,0),1)&gt;=100000,INDEX($AN$1005:$BO$1005,1,MATCH(COLUMNS($AN$1006:BJ1006),$AN$1006:$BO$1006,0))&gt;=100000), " ",IF(INDEX($AN$2:$BO$1001,MATCH(ROWS($AG$2:AG217),$AG$2:$AG$1001,0),MATCH(COLUMNS($AN$1006:BJ1006),$AN$1006:$BO$1006,0)), HYPERLINK("#",""), HYPERLINK(CONCATENATE("#Metadata!", ADDRESS(INDEX($AI$2:$AI$1001,MATCH(ROWS($AG$2:AG217),$AG$2:$AG$1001,0),0), INDEX($AN$1004:$BO$1004,1,MATCH(COLUMNS($AN$1006:BJ1006),$AN$1006:$BO$1006,0)))),"Fix")))</f>
        <v>0</v>
      </c>
      <c r="Y217" s="4">
        <f>IF(OR(INDEX($AH$2:$AH$1001,MATCH(ROWS($AG$2:AG217),$AG$2:$AG$1001,0),1)&gt;=100000,INDEX($AN$1005:$BO$1005,1,MATCH(COLUMNS($AN$1006:BK1006),$AN$1006:$BO$1006,0))&gt;=100000), " ",IF(INDEX($AN$2:$BO$1001,MATCH(ROWS($AG$2:AG217),$AG$2:$AG$1001,0),MATCH(COLUMNS($AN$1006:BK1006),$AN$1006:$BO$1006,0)), HYPERLINK("#",""), HYPERLINK(CONCATENATE("#Metadata!", ADDRESS(INDEX($AI$2:$AI$1001,MATCH(ROWS($AG$2:AG217),$AG$2:$AG$1001,0),0), INDEX($AN$1004:$BO$1004,1,MATCH(COLUMNS($AN$1006:BK1006),$AN$1006:$BO$1006,0)))),"Fix")))</f>
        <v>0</v>
      </c>
      <c r="Z217" s="4">
        <f>IF(OR(INDEX($AH$2:$AH$1001,MATCH(ROWS($AG$2:AG217),$AG$2:$AG$1001,0),1)&gt;=100000,INDEX($AN$1005:$BO$1005,1,MATCH(COLUMNS($AN$1006:BL1006),$AN$1006:$BO$1006,0))&gt;=100000), " ",IF(INDEX($AN$2:$BO$1001,MATCH(ROWS($AG$2:AG217),$AG$2:$AG$1001,0),MATCH(COLUMNS($AN$1006:BL1006),$AN$1006:$BO$1006,0)), HYPERLINK("#",""), HYPERLINK(CONCATENATE("#Metadata!", ADDRESS(INDEX($AI$2:$AI$1001,MATCH(ROWS($AG$2:AG217),$AG$2:$AG$1001,0),0), INDEX($AN$1004:$BO$1004,1,MATCH(COLUMNS($AN$1006:BL1006),$AN$1006:$BO$1006,0)))),"Fix")))</f>
        <v>0</v>
      </c>
      <c r="AA217" s="4">
        <f>IF(OR(INDEX($AH$2:$AH$1001,MATCH(ROWS($AG$2:AG217),$AG$2:$AG$1001,0),1)&gt;=100000,INDEX($AN$1005:$BO$1005,1,MATCH(COLUMNS($AN$1006:BM1006),$AN$1006:$BO$1006,0))&gt;=100000), " ",IF(INDEX($AN$2:$BO$1001,MATCH(ROWS($AG$2:AG217),$AG$2:$AG$1001,0),MATCH(COLUMNS($AN$1006:BM1006),$AN$1006:$BO$1006,0)), HYPERLINK("#",""), HYPERLINK(CONCATENATE("#Metadata!", ADDRESS(INDEX($AI$2:$AI$1001,MATCH(ROWS($AG$2:AG217),$AG$2:$AG$1001,0),0), INDEX($AN$1004:$BO$1004,1,MATCH(COLUMNS($AN$1006:BM1006),$AN$1006:$BO$1006,0)))),"Fix")))</f>
        <v>0</v>
      </c>
      <c r="AB217" s="4">
        <f>IF(OR(INDEX($AH$2:$AH$1001,MATCH(ROWS($AG$2:AG217),$AG$2:$AG$1001,0),1)&gt;=100000,INDEX($AN$1005:$BO$1005,1,MATCH(COLUMNS($AN$1006:BN1006),$AN$1006:$BO$1006,0))&gt;=100000), " ",IF(INDEX($AN$2:$BO$1001,MATCH(ROWS($AG$2:AG217),$AG$2:$AG$1001,0),MATCH(COLUMNS($AN$1006:BN1006),$AN$1006:$BO$1006,0)), HYPERLINK("#",""), HYPERLINK(CONCATENATE("#Metadata!", ADDRESS(INDEX($AI$2:$AI$1001,MATCH(ROWS($AG$2:AG217),$AG$2:$AG$1001,0),0), INDEX($AN$1004:$BO$1004,1,MATCH(COLUMNS($AN$1006:BN1006),$AN$1006:$BO$1006,0)))),"Fix")))</f>
        <v>0</v>
      </c>
      <c r="AC217" s="4">
        <f>IF(OR(INDEX($AH$2:$AH$1001,MATCH(ROWS($AG$2:AG217),$AG$2:$AG$1001,0),1)&gt;=100000,INDEX($AN$1005:$BO$1005,1,MATCH(COLUMNS($AN$1006:BO1006),$AN$1006:$BO$1006,0))&gt;=100000), " ",IF(INDEX($AN$2:$BO$1001,MATCH(ROWS($AG$2:AG217),$AG$2:$AG$1001,0),MATCH(COLUMNS($AN$1006:BO1006),$AN$1006:$BO$1006,0)), HYPERLINK("#",""), HYPERLINK(CONCATENATE("#Metadata!", ADDRESS(INDEX($AI$2:$AI$1001,MATCH(ROWS($AG$2:AG217),$AG$2:$AG$1001,0),0), INDEX($AN$1004:$BO$1004,1,MATCH(COLUMNS($AN$1006:BO1006),$AN$1006:$BO$1006,0)))),"Fix")))</f>
        <v>0</v>
      </c>
      <c r="AG217">
        <v>0</v>
      </c>
      <c r="AH217">
        <v>0</v>
      </c>
      <c r="AI217">
        <v>0</v>
      </c>
      <c r="AJ217">
        <f>IF(AK217,TRUE,AND(AN217:BO217))</f>
        <v>0</v>
      </c>
      <c r="AK217">
        <f>COUNTBLANK(Metadata!B217:AC217)=COLUMNS(Metadata!B217:AC217)</f>
        <v>0</v>
      </c>
      <c r="AL217">
        <v>0</v>
      </c>
      <c r="AN217">
        <f>AND(IF(Metadata!B217="",FALSE,TRUE),COUNTIF(Metadata!B:B, Metadata!B217) = 1,NOT(ISERROR(SUMPRODUCT(SEARCH(MID(Metadata!B217,ROW(INDIRECT("1:"&amp;LEN(Metadata!B217))), 1),"0123456789abcdefghijklmnopqrstuvwxyzABCDEFGHIJKLMNOPQRSTUVWXYZ.")))))</f>
        <v>0</v>
      </c>
      <c r="AO217">
        <f>IF(Metadata!C217="",FALSE,TRUE)</f>
        <v>0</v>
      </c>
      <c r="AP217">
        <f>IF(Metadata!D217="",FALSE,TRUE)</f>
        <v>0</v>
      </c>
      <c r="AQ217">
        <f>OR(AND(IF(Metadata!E217="",FALSE,TRUE),OR(exact(Metadata!E217,"not collected"),exact(Metadata!E217,"not provided"),exact(Metadata!E217,"restricted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R217">
        <f>IF(Metadata!F217="",FALSE,TRUE)</f>
        <v>0</v>
      </c>
      <c r="AS217">
        <f>OR(AND(IF(Metadata!G217="",FALSE,TRUE),OR(exact(Metadata!G217,"not collected"),exact(Metadata!G217,"not provided"))),AND(IF(Metadata!G217="",FALSE,TRUE),OR(exact(Metadata!G217,"TRUE"),exact(Metadata!G217,"FALSE"))))</f>
        <v>0</v>
      </c>
      <c r="AT217">
        <f>OR(AND(IF(Metadata!H217="",FALSE,TRUE),OR(exact(Metadata!H217,"not collected"),exact(Metadata!H217,"not provided"),exact(Metadata!H217,"restricted access"))),AND(IF(Metadata!H217="",FALSE,ISNUMBER(VALUE(Metadata!H217))),Metadata!H217&gt;=-413.0))</f>
        <v>0</v>
      </c>
      <c r="AU217">
        <f>AND(IF(Metadata!I217="",FALSE,TRUE),exact(Metadata!I217,"meters"))</f>
        <v>0</v>
      </c>
      <c r="AV217">
        <f>AND(IF(Metadata!J217="",FALSE,TRUE),OR(exact(Metadata!J217,"Host-associated"),exact(Metadata!J217,"Free-living")))</f>
        <v>0</v>
      </c>
      <c r="AW217">
        <f>AND(IF(Metadata!K217="",FALSE,TRUE),OR(exact(Metadata!K217,"Animal"),exact(Metadata!K217,"Fungus"),exact(Metadata!K217,"Plant"),exact(Metadata!K217,"Saline"),exact(Metadata!K217,"Non-saline")))</f>
        <v>0</v>
      </c>
      <c r="AX217">
        <f>AND(IF(Metadata!L217="",FALSE,TRUE),OR(exact(Metadata!L217,"Plant secretion"),exact(Metadata!L217,"Plant rhizosphere"),exact(Metadata!L217,"Plant surface"),exact(Metadata!L217,"Plant corpus"),exact(Metadata!L217,"Fungus surface"),exact(Metadata!L217,"Fungus corpus"),exact(Metadata!L217,"Animal surface"),exact(Metadata!L217,"Animal proximal gut"),exact(Metadata!L217,"Animal corpus"),exact(Metadata!L217,"Animal distal gut"),exact(Metadata!L217,"Animal secretion"),exact(Metadata!L217,"Sub-surface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Y217">
        <f>IF(Metadata!M217="",FALSE,TRUE)</f>
        <v>0</v>
      </c>
      <c r="AZ217">
        <f>IF(Metadata!N217="",FALSE,TRUE)</f>
        <v>0</v>
      </c>
      <c r="BA217">
        <f>IF(Metadata!O217="",FALSE,TRUE)</f>
        <v>0</v>
      </c>
      <c r="BB217">
        <f>OR(AND(IF(Metadata!P217="",FALSE,TRUE),OR(exact(Metadata!P217,"not collected"),exact(Metadata!P217,"not provided"),exact(Metadata!P217,"restricted access"))),AND(IF(Metadata!P217="",FALSE,TRUE),OR(exact(Metadata!P217,"air"),exact(Metadata!P217,"built environment"),exact(Metadata!P217,"host-associated"),exact(Metadata!P217,"human-associated"),exact(Metadata!P217,"human-skin"),exact(Metadata!P217,"human-oral"),exact(Metadata!P217,"human-gut"),exact(Metadata!P217,"human-vaginal"),exact(Metadata!P217,"microbial mat/biofilm"),exact(Metadata!P217,"misc environment"),exact(Metadata!P217,"plant-associated"),exact(Metadata!P217,"sediment"),exact(Metadata!P217,"soil"),exact(Metadata!P217,"wastewater/sludge"),exact(Metadata!P217,"water"))))</f>
        <v>0</v>
      </c>
      <c r="BC217">
        <f>IF(Metadata!Q217="",FALSE,TRUE)</f>
        <v>0</v>
      </c>
      <c r="BD217">
        <f>IF(Metadata!R217="",FALSE,TRUE)</f>
        <v>0</v>
      </c>
      <c r="BE217">
        <f>OR(AND(IF(Metadata!S217="",FALSE,TRUE),OR(exact(Metadata!S217,"not collected"),exact(Metadata!S217,"not provided"),exact(Metadata!S217,"restricted access"))),AND(IF(Metadata!S217="",FALSE,ISNUMBER(VALUE(Metadata!S217))),Metadata!S217&gt;=-90.00,Metadata!S217&lt;=90.00))</f>
        <v>0</v>
      </c>
      <c r="BF217">
        <f>AND(IF(Metadata!T217="",FALSE,TRUE),exact(Metadata!T217,"Decimal degrees"))</f>
        <v>0</v>
      </c>
      <c r="BG217">
        <f>OR(AND(IF(Metadata!U217="",FALSE,TRUE),OR(exact(Metadata!U217,"not collected"),exact(Metadata!U217,"not provided"),exact(Metadata!U217,"restricted access"))),AND(IF(Metadata!U217="",FALSE,ISNUMBER(VALUE(Metadata!U217))),Metadata!U217&gt;=-180.00,Metadata!U217&lt;=180.00))</f>
        <v>0</v>
      </c>
      <c r="BH217">
        <f>AND(IF(Metadata!V217="",FALSE,TRUE),exact(Metadata!V217,"Decimal degrees"))</f>
        <v>0</v>
      </c>
      <c r="BI217">
        <f>IF(Metadata!W217="",FALSE,TRUE)</f>
        <v>0</v>
      </c>
      <c r="BJ217">
        <f>OR(AND(IF(Metadata!X217="",FALSE,TRUE),OR(exact(Metadata!X217,"not collected"),exact(Metadata!X217,"not provided"),exact(Metadata!X217,"restricted access"))),AND(IF(Metadata!X217="",FALSE,TRUE),OR(exact(Metadata!X217,"TRUE"),exact(Metadata!X217,"FALSE"))))</f>
        <v>0</v>
      </c>
      <c r="BK217">
        <f>AND(IF(Metadata!Y217="",FALSE,TRUE),exact(Metadata!Y217,"other"))</f>
        <v>0</v>
      </c>
      <c r="BL217">
        <f>IF(Metadata!Z217="",FALSE,TRUE)</f>
        <v>0</v>
      </c>
      <c r="BM217">
        <f>OR(AND(IF(Metadata!AA217="",FALSE,TRUE),OR(exact(Metadata!AA217,"not collected"),exact(Metadata!AA217,"not provided"))),AND(IF(Metadata!AA217="",FALSE,IF(ISERROR(INT(Metadata!AA217)),FALSE,INT(Metadata!AA217)=Metadata!AA217)),Metadata!AA217&gt;0))</f>
        <v>0</v>
      </c>
      <c r="BN217">
        <f>AND(IF(Metadata!AB217="",FALSE,TRUE),exact(Metadata!AB217,"Not applicable"))</f>
        <v>0</v>
      </c>
      <c r="BO217">
        <f>IF(Metadata!AC217="",FALSE,TRUE)</f>
        <v>0</v>
      </c>
    </row>
    <row r="218" spans="1:67">
      <c r="A218" s="5">
        <f>IF(B218=" "," ",HYPERLINK(CONCATENATE("#metadata!",ADDRESS(INDEX($AI$2:$AI$1001,MATCH(ROWS($AG$2:AG218),$AG$2:$AG$1001,0),0),1)),INDEX($AL$2:$AL$1001,MATCH(ROWS($AG$2:AG218),$AG$2:$AG$1001,0),0)))</f>
        <v>0</v>
      </c>
      <c r="B218" s="4">
        <f>IF(OR(INDEX($AH$2:$AH$1001,MATCH(ROWS($AG$2:AG218),$AG$2:$AG$1001,0),1)&gt;=100000,INDEX($AN$1005:$BO$1005,1,MATCH(COLUMNS($AN$1006:AN1006),$AN$1006:$BO$1006,0))&gt;=100000), " ",IF(INDEX($AN$2:$BO$1001,MATCH(ROWS($AG$2:AG218),$AG$2:$AG$1001,0),MATCH(COLUMNS($AN$1006:AN1006),$AN$1006:$BO$1006,0)), HYPERLINK("#",""), HYPERLINK(CONCATENATE("#Metadata!", ADDRESS(INDEX($AI$2:$AI$1001,MATCH(ROWS($AG$2:AG218),$AG$2:$AG$1001,0),0), INDEX($AN$1004:$BO$1004,1,MATCH(COLUMNS($AN$1006:AN1006),$AN$1006:$BO$1006,0)))),"Fix")))</f>
        <v>0</v>
      </c>
      <c r="C218" s="4">
        <f>IF(OR(INDEX($AH$2:$AH$1001,MATCH(ROWS($AG$2:AG218),$AG$2:$AG$1001,0),1)&gt;=100000,INDEX($AN$1005:$BO$1005,1,MATCH(COLUMNS($AN$1006:AO1006),$AN$1006:$BO$1006,0))&gt;=100000), " ",IF(INDEX($AN$2:$BO$1001,MATCH(ROWS($AG$2:AG218),$AG$2:$AG$1001,0),MATCH(COLUMNS($AN$1006:AO1006),$AN$1006:$BO$1006,0)), HYPERLINK("#",""), HYPERLINK(CONCATENATE("#Metadata!", ADDRESS(INDEX($AI$2:$AI$1001,MATCH(ROWS($AG$2:AG218),$AG$2:$AG$1001,0),0), INDEX($AN$1004:$BO$1004,1,MATCH(COLUMNS($AN$1006:AO1006),$AN$1006:$BO$1006,0)))),"Fix")))</f>
        <v>0</v>
      </c>
      <c r="D218" s="4">
        <f>IF(OR(INDEX($AH$2:$AH$1001,MATCH(ROWS($AG$2:AG218),$AG$2:$AG$1001,0),1)&gt;=100000,INDEX($AN$1005:$BO$1005,1,MATCH(COLUMNS($AN$1006:AP1006),$AN$1006:$BO$1006,0))&gt;=100000), " ",IF(INDEX($AN$2:$BO$1001,MATCH(ROWS($AG$2:AG218),$AG$2:$AG$1001,0),MATCH(COLUMNS($AN$1006:AP1006),$AN$1006:$BO$1006,0)), HYPERLINK("#",""), HYPERLINK(CONCATENATE("#Metadata!", ADDRESS(INDEX($AI$2:$AI$1001,MATCH(ROWS($AG$2:AG218),$AG$2:$AG$1001,0),0), INDEX($AN$1004:$BO$1004,1,MATCH(COLUMNS($AN$1006:AP1006),$AN$1006:$BO$1006,0)))),"Fix")))</f>
        <v>0</v>
      </c>
      <c r="E218" s="4">
        <f>IF(OR(INDEX($AH$2:$AH$1001,MATCH(ROWS($AG$2:AG218),$AG$2:$AG$1001,0),1)&gt;=100000,INDEX($AN$1005:$BO$1005,1,MATCH(COLUMNS($AN$1006:AQ1006),$AN$1006:$BO$1006,0))&gt;=100000), " ",IF(INDEX($AN$2:$BO$1001,MATCH(ROWS($AG$2:AG218),$AG$2:$AG$1001,0),MATCH(COLUMNS($AN$1006:AQ1006),$AN$1006:$BO$1006,0)), HYPERLINK("#",""), HYPERLINK(CONCATENATE("#Metadata!", ADDRESS(INDEX($AI$2:$AI$1001,MATCH(ROWS($AG$2:AG218),$AG$2:$AG$1001,0),0), INDEX($AN$1004:$BO$1004,1,MATCH(COLUMNS($AN$1006:AQ1006),$AN$1006:$BO$1006,0)))),"Fix")))</f>
        <v>0</v>
      </c>
      <c r="F218" s="4">
        <f>IF(OR(INDEX($AH$2:$AH$1001,MATCH(ROWS($AG$2:AG218),$AG$2:$AG$1001,0),1)&gt;=100000,INDEX($AN$1005:$BO$1005,1,MATCH(COLUMNS($AN$1006:AR1006),$AN$1006:$BO$1006,0))&gt;=100000), " ",IF(INDEX($AN$2:$BO$1001,MATCH(ROWS($AG$2:AG218),$AG$2:$AG$1001,0),MATCH(COLUMNS($AN$1006:AR1006),$AN$1006:$BO$1006,0)), HYPERLINK("#",""), HYPERLINK(CONCATENATE("#Metadata!", ADDRESS(INDEX($AI$2:$AI$1001,MATCH(ROWS($AG$2:AG218),$AG$2:$AG$1001,0),0), INDEX($AN$1004:$BO$1004,1,MATCH(COLUMNS($AN$1006:AR1006),$AN$1006:$BO$1006,0)))),"Fix")))</f>
        <v>0</v>
      </c>
      <c r="G218" s="4">
        <f>IF(OR(INDEX($AH$2:$AH$1001,MATCH(ROWS($AG$2:AG218),$AG$2:$AG$1001,0),1)&gt;=100000,INDEX($AN$1005:$BO$1005,1,MATCH(COLUMNS($AN$1006:AS1006),$AN$1006:$BO$1006,0))&gt;=100000), " ",IF(INDEX($AN$2:$BO$1001,MATCH(ROWS($AG$2:AG218),$AG$2:$AG$1001,0),MATCH(COLUMNS($AN$1006:AS1006),$AN$1006:$BO$1006,0)), HYPERLINK("#",""), HYPERLINK(CONCATENATE("#Metadata!", ADDRESS(INDEX($AI$2:$AI$1001,MATCH(ROWS($AG$2:AG218),$AG$2:$AG$1001,0),0), INDEX($AN$1004:$BO$1004,1,MATCH(COLUMNS($AN$1006:AS1006),$AN$1006:$BO$1006,0)))),"Fix")))</f>
        <v>0</v>
      </c>
      <c r="H218" s="4">
        <f>IF(OR(INDEX($AH$2:$AH$1001,MATCH(ROWS($AG$2:AG218),$AG$2:$AG$1001,0),1)&gt;=100000,INDEX($AN$1005:$BO$1005,1,MATCH(COLUMNS($AN$1006:AT1006),$AN$1006:$BO$1006,0))&gt;=100000), " ",IF(INDEX($AN$2:$BO$1001,MATCH(ROWS($AG$2:AG218),$AG$2:$AG$1001,0),MATCH(COLUMNS($AN$1006:AT1006),$AN$1006:$BO$1006,0)), HYPERLINK("#",""), HYPERLINK(CONCATENATE("#Metadata!", ADDRESS(INDEX($AI$2:$AI$1001,MATCH(ROWS($AG$2:AG218),$AG$2:$AG$1001,0),0), INDEX($AN$1004:$BO$1004,1,MATCH(COLUMNS($AN$1006:AT1006),$AN$1006:$BO$1006,0)))),"Fix")))</f>
        <v>0</v>
      </c>
      <c r="I218" s="4">
        <f>IF(OR(INDEX($AH$2:$AH$1001,MATCH(ROWS($AG$2:AG218),$AG$2:$AG$1001,0),1)&gt;=100000,INDEX($AN$1005:$BO$1005,1,MATCH(COLUMNS($AN$1006:AU1006),$AN$1006:$BO$1006,0))&gt;=100000), " ",IF(INDEX($AN$2:$BO$1001,MATCH(ROWS($AG$2:AG218),$AG$2:$AG$1001,0),MATCH(COLUMNS($AN$1006:AU1006),$AN$1006:$BO$1006,0)), HYPERLINK("#",""), HYPERLINK(CONCATENATE("#Metadata!", ADDRESS(INDEX($AI$2:$AI$1001,MATCH(ROWS($AG$2:AG218),$AG$2:$AG$1001,0),0), INDEX($AN$1004:$BO$1004,1,MATCH(COLUMNS($AN$1006:AU1006),$AN$1006:$BO$1006,0)))),"Fix")))</f>
        <v>0</v>
      </c>
      <c r="J218" s="4">
        <f>IF(OR(INDEX($AH$2:$AH$1001,MATCH(ROWS($AG$2:AG218),$AG$2:$AG$1001,0),1)&gt;=100000,INDEX($AN$1005:$BO$1005,1,MATCH(COLUMNS($AN$1006:AV1006),$AN$1006:$BO$1006,0))&gt;=100000), " ",IF(INDEX($AN$2:$BO$1001,MATCH(ROWS($AG$2:AG218),$AG$2:$AG$1001,0),MATCH(COLUMNS($AN$1006:AV1006),$AN$1006:$BO$1006,0)), HYPERLINK("#",""), HYPERLINK(CONCATENATE("#Metadata!", ADDRESS(INDEX($AI$2:$AI$1001,MATCH(ROWS($AG$2:AG218),$AG$2:$AG$1001,0),0), INDEX($AN$1004:$BO$1004,1,MATCH(COLUMNS($AN$1006:AV1006),$AN$1006:$BO$1006,0)))),"Fix")))</f>
        <v>0</v>
      </c>
      <c r="K218" s="4">
        <f>IF(OR(INDEX($AH$2:$AH$1001,MATCH(ROWS($AG$2:AG218),$AG$2:$AG$1001,0),1)&gt;=100000,INDEX($AN$1005:$BO$1005,1,MATCH(COLUMNS($AN$1006:AW1006),$AN$1006:$BO$1006,0))&gt;=100000), " ",IF(INDEX($AN$2:$BO$1001,MATCH(ROWS($AG$2:AG218),$AG$2:$AG$1001,0),MATCH(COLUMNS($AN$1006:AW1006),$AN$1006:$BO$1006,0)), HYPERLINK("#",""), HYPERLINK(CONCATENATE("#Metadata!", ADDRESS(INDEX($AI$2:$AI$1001,MATCH(ROWS($AG$2:AG218),$AG$2:$AG$1001,0),0), INDEX($AN$1004:$BO$1004,1,MATCH(COLUMNS($AN$1006:AW1006),$AN$1006:$BO$1006,0)))),"Fix")))</f>
        <v>0</v>
      </c>
      <c r="L218" s="4">
        <f>IF(OR(INDEX($AH$2:$AH$1001,MATCH(ROWS($AG$2:AG218),$AG$2:$AG$1001,0),1)&gt;=100000,INDEX($AN$1005:$BO$1005,1,MATCH(COLUMNS($AN$1006:AX1006),$AN$1006:$BO$1006,0))&gt;=100000), " ",IF(INDEX($AN$2:$BO$1001,MATCH(ROWS($AG$2:AG218),$AG$2:$AG$1001,0),MATCH(COLUMNS($AN$1006:AX1006),$AN$1006:$BO$1006,0)), HYPERLINK("#",""), HYPERLINK(CONCATENATE("#Metadata!", ADDRESS(INDEX($AI$2:$AI$1001,MATCH(ROWS($AG$2:AG218),$AG$2:$AG$1001,0),0), INDEX($AN$1004:$BO$1004,1,MATCH(COLUMNS($AN$1006:AX1006),$AN$1006:$BO$1006,0)))),"Fix")))</f>
        <v>0</v>
      </c>
      <c r="M218" s="4">
        <f>IF(OR(INDEX($AH$2:$AH$1001,MATCH(ROWS($AG$2:AG218),$AG$2:$AG$1001,0),1)&gt;=100000,INDEX($AN$1005:$BO$1005,1,MATCH(COLUMNS($AN$1006:AY1006),$AN$1006:$BO$1006,0))&gt;=100000), " ",IF(INDEX($AN$2:$BO$1001,MATCH(ROWS($AG$2:AG218),$AG$2:$AG$1001,0),MATCH(COLUMNS($AN$1006:AY1006),$AN$1006:$BO$1006,0)), HYPERLINK("#",""), HYPERLINK(CONCATENATE("#Metadata!", ADDRESS(INDEX($AI$2:$AI$1001,MATCH(ROWS($AG$2:AG218),$AG$2:$AG$1001,0),0), INDEX($AN$1004:$BO$1004,1,MATCH(COLUMNS($AN$1006:AY1006),$AN$1006:$BO$1006,0)))),"Fix")))</f>
        <v>0</v>
      </c>
      <c r="N218" s="4">
        <f>IF(OR(INDEX($AH$2:$AH$1001,MATCH(ROWS($AG$2:AG218),$AG$2:$AG$1001,0),1)&gt;=100000,INDEX($AN$1005:$BO$1005,1,MATCH(COLUMNS($AN$1006:AZ1006),$AN$1006:$BO$1006,0))&gt;=100000), " ",IF(INDEX($AN$2:$BO$1001,MATCH(ROWS($AG$2:AG218),$AG$2:$AG$1001,0),MATCH(COLUMNS($AN$1006:AZ1006),$AN$1006:$BO$1006,0)), HYPERLINK("#",""), HYPERLINK(CONCATENATE("#Metadata!", ADDRESS(INDEX($AI$2:$AI$1001,MATCH(ROWS($AG$2:AG218),$AG$2:$AG$1001,0),0), INDEX($AN$1004:$BO$1004,1,MATCH(COLUMNS($AN$1006:AZ1006),$AN$1006:$BO$1006,0)))),"Fix")))</f>
        <v>0</v>
      </c>
      <c r="O218" s="4">
        <f>IF(OR(INDEX($AH$2:$AH$1001,MATCH(ROWS($AG$2:AG218),$AG$2:$AG$1001,0),1)&gt;=100000,INDEX($AN$1005:$BO$1005,1,MATCH(COLUMNS($AN$1006:BA1006),$AN$1006:$BO$1006,0))&gt;=100000), " ",IF(INDEX($AN$2:$BO$1001,MATCH(ROWS($AG$2:AG218),$AG$2:$AG$1001,0),MATCH(COLUMNS($AN$1006:BA1006),$AN$1006:$BO$1006,0)), HYPERLINK("#",""), HYPERLINK(CONCATENATE("#Metadata!", ADDRESS(INDEX($AI$2:$AI$1001,MATCH(ROWS($AG$2:AG218),$AG$2:$AG$1001,0),0), INDEX($AN$1004:$BO$1004,1,MATCH(COLUMNS($AN$1006:BA1006),$AN$1006:$BO$1006,0)))),"Fix")))</f>
        <v>0</v>
      </c>
      <c r="P218" s="4">
        <f>IF(OR(INDEX($AH$2:$AH$1001,MATCH(ROWS($AG$2:AG218),$AG$2:$AG$1001,0),1)&gt;=100000,INDEX($AN$1005:$BO$1005,1,MATCH(COLUMNS($AN$1006:BB1006),$AN$1006:$BO$1006,0))&gt;=100000), " ",IF(INDEX($AN$2:$BO$1001,MATCH(ROWS($AG$2:AG218),$AG$2:$AG$1001,0),MATCH(COLUMNS($AN$1006:BB1006),$AN$1006:$BO$1006,0)), HYPERLINK("#",""), HYPERLINK(CONCATENATE("#Metadata!", ADDRESS(INDEX($AI$2:$AI$1001,MATCH(ROWS($AG$2:AG218),$AG$2:$AG$1001,0),0), INDEX($AN$1004:$BO$1004,1,MATCH(COLUMNS($AN$1006:BB1006),$AN$1006:$BO$1006,0)))),"Fix")))</f>
        <v>0</v>
      </c>
      <c r="Q218" s="4">
        <f>IF(OR(INDEX($AH$2:$AH$1001,MATCH(ROWS($AG$2:AG218),$AG$2:$AG$1001,0),1)&gt;=100000,INDEX($AN$1005:$BO$1005,1,MATCH(COLUMNS($AN$1006:BC1006),$AN$1006:$BO$1006,0))&gt;=100000), " ",IF(INDEX($AN$2:$BO$1001,MATCH(ROWS($AG$2:AG218),$AG$2:$AG$1001,0),MATCH(COLUMNS($AN$1006:BC1006),$AN$1006:$BO$1006,0)), HYPERLINK("#",""), HYPERLINK(CONCATENATE("#Metadata!", ADDRESS(INDEX($AI$2:$AI$1001,MATCH(ROWS($AG$2:AG218),$AG$2:$AG$1001,0),0), INDEX($AN$1004:$BO$1004,1,MATCH(COLUMNS($AN$1006:BC1006),$AN$1006:$BO$1006,0)))),"Fix")))</f>
        <v>0</v>
      </c>
      <c r="R218" s="4">
        <f>IF(OR(INDEX($AH$2:$AH$1001,MATCH(ROWS($AG$2:AG218),$AG$2:$AG$1001,0),1)&gt;=100000,INDEX($AN$1005:$BO$1005,1,MATCH(COLUMNS($AN$1006:BD1006),$AN$1006:$BO$1006,0))&gt;=100000), " ",IF(INDEX($AN$2:$BO$1001,MATCH(ROWS($AG$2:AG218),$AG$2:$AG$1001,0),MATCH(COLUMNS($AN$1006:BD1006),$AN$1006:$BO$1006,0)), HYPERLINK("#",""), HYPERLINK(CONCATENATE("#Metadata!", ADDRESS(INDEX($AI$2:$AI$1001,MATCH(ROWS($AG$2:AG218),$AG$2:$AG$1001,0),0), INDEX($AN$1004:$BO$1004,1,MATCH(COLUMNS($AN$1006:BD1006),$AN$1006:$BO$1006,0)))),"Fix")))</f>
        <v>0</v>
      </c>
      <c r="S218" s="4">
        <f>IF(OR(INDEX($AH$2:$AH$1001,MATCH(ROWS($AG$2:AG218),$AG$2:$AG$1001,0),1)&gt;=100000,INDEX($AN$1005:$BO$1005,1,MATCH(COLUMNS($AN$1006:BE1006),$AN$1006:$BO$1006,0))&gt;=100000), " ",IF(INDEX($AN$2:$BO$1001,MATCH(ROWS($AG$2:AG218),$AG$2:$AG$1001,0),MATCH(COLUMNS($AN$1006:BE1006),$AN$1006:$BO$1006,0)), HYPERLINK("#",""), HYPERLINK(CONCATENATE("#Metadata!", ADDRESS(INDEX($AI$2:$AI$1001,MATCH(ROWS($AG$2:AG218),$AG$2:$AG$1001,0),0), INDEX($AN$1004:$BO$1004,1,MATCH(COLUMNS($AN$1006:BE1006),$AN$1006:$BO$1006,0)))),"Fix")))</f>
        <v>0</v>
      </c>
      <c r="T218" s="4">
        <f>IF(OR(INDEX($AH$2:$AH$1001,MATCH(ROWS($AG$2:AG218),$AG$2:$AG$1001,0),1)&gt;=100000,INDEX($AN$1005:$BO$1005,1,MATCH(COLUMNS($AN$1006:BF1006),$AN$1006:$BO$1006,0))&gt;=100000), " ",IF(INDEX($AN$2:$BO$1001,MATCH(ROWS($AG$2:AG218),$AG$2:$AG$1001,0),MATCH(COLUMNS($AN$1006:BF1006),$AN$1006:$BO$1006,0)), HYPERLINK("#",""), HYPERLINK(CONCATENATE("#Metadata!", ADDRESS(INDEX($AI$2:$AI$1001,MATCH(ROWS($AG$2:AG218),$AG$2:$AG$1001,0),0), INDEX($AN$1004:$BO$1004,1,MATCH(COLUMNS($AN$1006:BF1006),$AN$1006:$BO$1006,0)))),"Fix")))</f>
        <v>0</v>
      </c>
      <c r="U218" s="4">
        <f>IF(OR(INDEX($AH$2:$AH$1001,MATCH(ROWS($AG$2:AG218),$AG$2:$AG$1001,0),1)&gt;=100000,INDEX($AN$1005:$BO$1005,1,MATCH(COLUMNS($AN$1006:BG1006),$AN$1006:$BO$1006,0))&gt;=100000), " ",IF(INDEX($AN$2:$BO$1001,MATCH(ROWS($AG$2:AG218),$AG$2:$AG$1001,0),MATCH(COLUMNS($AN$1006:BG1006),$AN$1006:$BO$1006,0)), HYPERLINK("#",""), HYPERLINK(CONCATENATE("#Metadata!", ADDRESS(INDEX($AI$2:$AI$1001,MATCH(ROWS($AG$2:AG218),$AG$2:$AG$1001,0),0), INDEX($AN$1004:$BO$1004,1,MATCH(COLUMNS($AN$1006:BG1006),$AN$1006:$BO$1006,0)))),"Fix")))</f>
        <v>0</v>
      </c>
      <c r="V218" s="4">
        <f>IF(OR(INDEX($AH$2:$AH$1001,MATCH(ROWS($AG$2:AG218),$AG$2:$AG$1001,0),1)&gt;=100000,INDEX($AN$1005:$BO$1005,1,MATCH(COLUMNS($AN$1006:BH1006),$AN$1006:$BO$1006,0))&gt;=100000), " ",IF(INDEX($AN$2:$BO$1001,MATCH(ROWS($AG$2:AG218),$AG$2:$AG$1001,0),MATCH(COLUMNS($AN$1006:BH1006),$AN$1006:$BO$1006,0)), HYPERLINK("#",""), HYPERLINK(CONCATENATE("#Metadata!", ADDRESS(INDEX($AI$2:$AI$1001,MATCH(ROWS($AG$2:AG218),$AG$2:$AG$1001,0),0), INDEX($AN$1004:$BO$1004,1,MATCH(COLUMNS($AN$1006:BH1006),$AN$1006:$BO$1006,0)))),"Fix")))</f>
        <v>0</v>
      </c>
      <c r="W218" s="4">
        <f>IF(OR(INDEX($AH$2:$AH$1001,MATCH(ROWS($AG$2:AG218),$AG$2:$AG$1001,0),1)&gt;=100000,INDEX($AN$1005:$BO$1005,1,MATCH(COLUMNS($AN$1006:BI1006),$AN$1006:$BO$1006,0))&gt;=100000), " ",IF(INDEX($AN$2:$BO$1001,MATCH(ROWS($AG$2:AG218),$AG$2:$AG$1001,0),MATCH(COLUMNS($AN$1006:BI1006),$AN$1006:$BO$1006,0)), HYPERLINK("#",""), HYPERLINK(CONCATENATE("#Metadata!", ADDRESS(INDEX($AI$2:$AI$1001,MATCH(ROWS($AG$2:AG218),$AG$2:$AG$1001,0),0), INDEX($AN$1004:$BO$1004,1,MATCH(COLUMNS($AN$1006:BI1006),$AN$1006:$BO$1006,0)))),"Fix")))</f>
        <v>0</v>
      </c>
      <c r="X218" s="4">
        <f>IF(OR(INDEX($AH$2:$AH$1001,MATCH(ROWS($AG$2:AG218),$AG$2:$AG$1001,0),1)&gt;=100000,INDEX($AN$1005:$BO$1005,1,MATCH(COLUMNS($AN$1006:BJ1006),$AN$1006:$BO$1006,0))&gt;=100000), " ",IF(INDEX($AN$2:$BO$1001,MATCH(ROWS($AG$2:AG218),$AG$2:$AG$1001,0),MATCH(COLUMNS($AN$1006:BJ1006),$AN$1006:$BO$1006,0)), HYPERLINK("#",""), HYPERLINK(CONCATENATE("#Metadata!", ADDRESS(INDEX($AI$2:$AI$1001,MATCH(ROWS($AG$2:AG218),$AG$2:$AG$1001,0),0), INDEX($AN$1004:$BO$1004,1,MATCH(COLUMNS($AN$1006:BJ1006),$AN$1006:$BO$1006,0)))),"Fix")))</f>
        <v>0</v>
      </c>
      <c r="Y218" s="4">
        <f>IF(OR(INDEX($AH$2:$AH$1001,MATCH(ROWS($AG$2:AG218),$AG$2:$AG$1001,0),1)&gt;=100000,INDEX($AN$1005:$BO$1005,1,MATCH(COLUMNS($AN$1006:BK1006),$AN$1006:$BO$1006,0))&gt;=100000), " ",IF(INDEX($AN$2:$BO$1001,MATCH(ROWS($AG$2:AG218),$AG$2:$AG$1001,0),MATCH(COLUMNS($AN$1006:BK1006),$AN$1006:$BO$1006,0)), HYPERLINK("#",""), HYPERLINK(CONCATENATE("#Metadata!", ADDRESS(INDEX($AI$2:$AI$1001,MATCH(ROWS($AG$2:AG218),$AG$2:$AG$1001,0),0), INDEX($AN$1004:$BO$1004,1,MATCH(COLUMNS($AN$1006:BK1006),$AN$1006:$BO$1006,0)))),"Fix")))</f>
        <v>0</v>
      </c>
      <c r="Z218" s="4">
        <f>IF(OR(INDEX($AH$2:$AH$1001,MATCH(ROWS($AG$2:AG218),$AG$2:$AG$1001,0),1)&gt;=100000,INDEX($AN$1005:$BO$1005,1,MATCH(COLUMNS($AN$1006:BL1006),$AN$1006:$BO$1006,0))&gt;=100000), " ",IF(INDEX($AN$2:$BO$1001,MATCH(ROWS($AG$2:AG218),$AG$2:$AG$1001,0),MATCH(COLUMNS($AN$1006:BL1006),$AN$1006:$BO$1006,0)), HYPERLINK("#",""), HYPERLINK(CONCATENATE("#Metadata!", ADDRESS(INDEX($AI$2:$AI$1001,MATCH(ROWS($AG$2:AG218),$AG$2:$AG$1001,0),0), INDEX($AN$1004:$BO$1004,1,MATCH(COLUMNS($AN$1006:BL1006),$AN$1006:$BO$1006,0)))),"Fix")))</f>
        <v>0</v>
      </c>
      <c r="AA218" s="4">
        <f>IF(OR(INDEX($AH$2:$AH$1001,MATCH(ROWS($AG$2:AG218),$AG$2:$AG$1001,0),1)&gt;=100000,INDEX($AN$1005:$BO$1005,1,MATCH(COLUMNS($AN$1006:BM1006),$AN$1006:$BO$1006,0))&gt;=100000), " ",IF(INDEX($AN$2:$BO$1001,MATCH(ROWS($AG$2:AG218),$AG$2:$AG$1001,0),MATCH(COLUMNS($AN$1006:BM1006),$AN$1006:$BO$1006,0)), HYPERLINK("#",""), HYPERLINK(CONCATENATE("#Metadata!", ADDRESS(INDEX($AI$2:$AI$1001,MATCH(ROWS($AG$2:AG218),$AG$2:$AG$1001,0),0), INDEX($AN$1004:$BO$1004,1,MATCH(COLUMNS($AN$1006:BM1006),$AN$1006:$BO$1006,0)))),"Fix")))</f>
        <v>0</v>
      </c>
      <c r="AB218" s="4">
        <f>IF(OR(INDEX($AH$2:$AH$1001,MATCH(ROWS($AG$2:AG218),$AG$2:$AG$1001,0),1)&gt;=100000,INDEX($AN$1005:$BO$1005,1,MATCH(COLUMNS($AN$1006:BN1006),$AN$1006:$BO$1006,0))&gt;=100000), " ",IF(INDEX($AN$2:$BO$1001,MATCH(ROWS($AG$2:AG218),$AG$2:$AG$1001,0),MATCH(COLUMNS($AN$1006:BN1006),$AN$1006:$BO$1006,0)), HYPERLINK("#",""), HYPERLINK(CONCATENATE("#Metadata!", ADDRESS(INDEX($AI$2:$AI$1001,MATCH(ROWS($AG$2:AG218),$AG$2:$AG$1001,0),0), INDEX($AN$1004:$BO$1004,1,MATCH(COLUMNS($AN$1006:BN1006),$AN$1006:$BO$1006,0)))),"Fix")))</f>
        <v>0</v>
      </c>
      <c r="AC218" s="4">
        <f>IF(OR(INDEX($AH$2:$AH$1001,MATCH(ROWS($AG$2:AG218),$AG$2:$AG$1001,0),1)&gt;=100000,INDEX($AN$1005:$BO$1005,1,MATCH(COLUMNS($AN$1006:BO1006),$AN$1006:$BO$1006,0))&gt;=100000), " ",IF(INDEX($AN$2:$BO$1001,MATCH(ROWS($AG$2:AG218),$AG$2:$AG$1001,0),MATCH(COLUMNS($AN$1006:BO1006),$AN$1006:$BO$1006,0)), HYPERLINK("#",""), HYPERLINK(CONCATENATE("#Metadata!", ADDRESS(INDEX($AI$2:$AI$1001,MATCH(ROWS($AG$2:AG218),$AG$2:$AG$1001,0),0), INDEX($AN$1004:$BO$1004,1,MATCH(COLUMNS($AN$1006:BO1006),$AN$1006:$BO$1006,0)))),"Fix")))</f>
        <v>0</v>
      </c>
      <c r="AG218">
        <v>0</v>
      </c>
      <c r="AH218">
        <v>0</v>
      </c>
      <c r="AI218">
        <v>0</v>
      </c>
      <c r="AJ218">
        <f>IF(AK218,TRUE,AND(AN218:BO218))</f>
        <v>0</v>
      </c>
      <c r="AK218">
        <f>COUNTBLANK(Metadata!B218:AC218)=COLUMNS(Metadata!B218:AC218)</f>
        <v>0</v>
      </c>
      <c r="AL218">
        <v>0</v>
      </c>
      <c r="AN218">
        <f>AND(IF(Metadata!B218="",FALSE,TRUE),COUNTIF(Metadata!B:B, Metadata!B218) = 1,NOT(ISERROR(SUMPRODUCT(SEARCH(MID(Metadata!B218,ROW(INDIRECT("1:"&amp;LEN(Metadata!B218))), 1),"0123456789abcdefghijklmnopqrstuvwxyzABCDEFGHIJKLMNOPQRSTUVWXYZ.")))))</f>
        <v>0</v>
      </c>
      <c r="AO218">
        <f>IF(Metadata!C218="",FALSE,TRUE)</f>
        <v>0</v>
      </c>
      <c r="AP218">
        <f>IF(Metadata!D218="",FALSE,TRUE)</f>
        <v>0</v>
      </c>
      <c r="AQ218">
        <f>OR(AND(IF(Metadata!E218="",FALSE,TRUE),OR(exact(Metadata!E218,"not collected"),exact(Metadata!E218,"not provided"),exact(Metadata!E218,"restricted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R218">
        <f>IF(Metadata!F218="",FALSE,TRUE)</f>
        <v>0</v>
      </c>
      <c r="AS218">
        <f>OR(AND(IF(Metadata!G218="",FALSE,TRUE),OR(exact(Metadata!G218,"not collected"),exact(Metadata!G218,"not provided"))),AND(IF(Metadata!G218="",FALSE,TRUE),OR(exact(Metadata!G218,"TRUE"),exact(Metadata!G218,"FALSE"))))</f>
        <v>0</v>
      </c>
      <c r="AT218">
        <f>OR(AND(IF(Metadata!H218="",FALSE,TRUE),OR(exact(Metadata!H218,"not collected"),exact(Metadata!H218,"not provided"),exact(Metadata!H218,"restricted access"))),AND(IF(Metadata!H218="",FALSE,ISNUMBER(VALUE(Metadata!H218))),Metadata!H218&gt;=-413.0))</f>
        <v>0</v>
      </c>
      <c r="AU218">
        <f>AND(IF(Metadata!I218="",FALSE,TRUE),exact(Metadata!I218,"meters"))</f>
        <v>0</v>
      </c>
      <c r="AV218">
        <f>AND(IF(Metadata!J218="",FALSE,TRUE),OR(exact(Metadata!J218,"Host-associated"),exact(Metadata!J218,"Free-living")))</f>
        <v>0</v>
      </c>
      <c r="AW218">
        <f>AND(IF(Metadata!K218="",FALSE,TRUE),OR(exact(Metadata!K218,"Animal"),exact(Metadata!K218,"Fungus"),exact(Metadata!K218,"Plant"),exact(Metadata!K218,"Saline"),exact(Metadata!K218,"Non-saline")))</f>
        <v>0</v>
      </c>
      <c r="AX218">
        <f>AND(IF(Metadata!L218="",FALSE,TRUE),OR(exact(Metadata!L218,"Plant secretion"),exact(Metadata!L218,"Plant rhizosphere"),exact(Metadata!L218,"Plant surface"),exact(Metadata!L218,"Plant corpus"),exact(Metadata!L218,"Fungus surface"),exact(Metadata!L218,"Fungus corpus"),exact(Metadata!L218,"Animal surface"),exact(Metadata!L218,"Animal proximal gut"),exact(Metadata!L218,"Animal corpus"),exact(Metadata!L218,"Animal distal gut"),exact(Metadata!L218,"Animal secretion"),exact(Metadata!L218,"Sub-surface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Y218">
        <f>IF(Metadata!M218="",FALSE,TRUE)</f>
        <v>0</v>
      </c>
      <c r="AZ218">
        <f>IF(Metadata!N218="",FALSE,TRUE)</f>
        <v>0</v>
      </c>
      <c r="BA218">
        <f>IF(Metadata!O218="",FALSE,TRUE)</f>
        <v>0</v>
      </c>
      <c r="BB218">
        <f>OR(AND(IF(Metadata!P218="",FALSE,TRUE),OR(exact(Metadata!P218,"not collected"),exact(Metadata!P218,"not provided"),exact(Metadata!P218,"restricted access"))),AND(IF(Metadata!P218="",FALSE,TRUE),OR(exact(Metadata!P218,"air"),exact(Metadata!P218,"built environment"),exact(Metadata!P218,"host-associated"),exact(Metadata!P218,"human-associated"),exact(Metadata!P218,"human-skin"),exact(Metadata!P218,"human-oral"),exact(Metadata!P218,"human-gut"),exact(Metadata!P218,"human-vaginal"),exact(Metadata!P218,"microbial mat/biofilm"),exact(Metadata!P218,"misc environment"),exact(Metadata!P218,"plant-associated"),exact(Metadata!P218,"sediment"),exact(Metadata!P218,"soil"),exact(Metadata!P218,"wastewater/sludge"),exact(Metadata!P218,"water"))))</f>
        <v>0</v>
      </c>
      <c r="BC218">
        <f>IF(Metadata!Q218="",FALSE,TRUE)</f>
        <v>0</v>
      </c>
      <c r="BD218">
        <f>IF(Metadata!R218="",FALSE,TRUE)</f>
        <v>0</v>
      </c>
      <c r="BE218">
        <f>OR(AND(IF(Metadata!S218="",FALSE,TRUE),OR(exact(Metadata!S218,"not collected"),exact(Metadata!S218,"not provided"),exact(Metadata!S218,"restricted access"))),AND(IF(Metadata!S218="",FALSE,ISNUMBER(VALUE(Metadata!S218))),Metadata!S218&gt;=-90.00,Metadata!S218&lt;=90.00))</f>
        <v>0</v>
      </c>
      <c r="BF218">
        <f>AND(IF(Metadata!T218="",FALSE,TRUE),exact(Metadata!T218,"Decimal degrees"))</f>
        <v>0</v>
      </c>
      <c r="BG218">
        <f>OR(AND(IF(Metadata!U218="",FALSE,TRUE),OR(exact(Metadata!U218,"not collected"),exact(Metadata!U218,"not provided"),exact(Metadata!U218,"restricted access"))),AND(IF(Metadata!U218="",FALSE,ISNUMBER(VALUE(Metadata!U218))),Metadata!U218&gt;=-180.00,Metadata!U218&lt;=180.00))</f>
        <v>0</v>
      </c>
      <c r="BH218">
        <f>AND(IF(Metadata!V218="",FALSE,TRUE),exact(Metadata!V218,"Decimal degrees"))</f>
        <v>0</v>
      </c>
      <c r="BI218">
        <f>IF(Metadata!W218="",FALSE,TRUE)</f>
        <v>0</v>
      </c>
      <c r="BJ218">
        <f>OR(AND(IF(Metadata!X218="",FALSE,TRUE),OR(exact(Metadata!X218,"not collected"),exact(Metadata!X218,"not provided"),exact(Metadata!X218,"restricted access"))),AND(IF(Metadata!X218="",FALSE,TRUE),OR(exact(Metadata!X218,"TRUE"),exact(Metadata!X218,"FALSE"))))</f>
        <v>0</v>
      </c>
      <c r="BK218">
        <f>AND(IF(Metadata!Y218="",FALSE,TRUE),exact(Metadata!Y218,"other"))</f>
        <v>0</v>
      </c>
      <c r="BL218">
        <f>IF(Metadata!Z218="",FALSE,TRUE)</f>
        <v>0</v>
      </c>
      <c r="BM218">
        <f>OR(AND(IF(Metadata!AA218="",FALSE,TRUE),OR(exact(Metadata!AA218,"not collected"),exact(Metadata!AA218,"not provided"))),AND(IF(Metadata!AA218="",FALSE,IF(ISERROR(INT(Metadata!AA218)),FALSE,INT(Metadata!AA218)=Metadata!AA218)),Metadata!AA218&gt;0))</f>
        <v>0</v>
      </c>
      <c r="BN218">
        <f>AND(IF(Metadata!AB218="",FALSE,TRUE),exact(Metadata!AB218,"Not applicable"))</f>
        <v>0</v>
      </c>
      <c r="BO218">
        <f>IF(Metadata!AC218="",FALSE,TRUE)</f>
        <v>0</v>
      </c>
    </row>
    <row r="219" spans="1:67">
      <c r="A219" s="5">
        <f>IF(B219=" "," ",HYPERLINK(CONCATENATE("#metadata!",ADDRESS(INDEX($AI$2:$AI$1001,MATCH(ROWS($AG$2:AG219),$AG$2:$AG$1001,0),0),1)),INDEX($AL$2:$AL$1001,MATCH(ROWS($AG$2:AG219),$AG$2:$AG$1001,0),0)))</f>
        <v>0</v>
      </c>
      <c r="B219" s="4">
        <f>IF(OR(INDEX($AH$2:$AH$1001,MATCH(ROWS($AG$2:AG219),$AG$2:$AG$1001,0),1)&gt;=100000,INDEX($AN$1005:$BO$1005,1,MATCH(COLUMNS($AN$1006:AN1006),$AN$1006:$BO$1006,0))&gt;=100000), " ",IF(INDEX($AN$2:$BO$1001,MATCH(ROWS($AG$2:AG219),$AG$2:$AG$1001,0),MATCH(COLUMNS($AN$1006:AN1006),$AN$1006:$BO$1006,0)), HYPERLINK("#",""), HYPERLINK(CONCATENATE("#Metadata!", ADDRESS(INDEX($AI$2:$AI$1001,MATCH(ROWS($AG$2:AG219),$AG$2:$AG$1001,0),0), INDEX($AN$1004:$BO$1004,1,MATCH(COLUMNS($AN$1006:AN1006),$AN$1006:$BO$1006,0)))),"Fix")))</f>
        <v>0</v>
      </c>
      <c r="C219" s="4">
        <f>IF(OR(INDEX($AH$2:$AH$1001,MATCH(ROWS($AG$2:AG219),$AG$2:$AG$1001,0),1)&gt;=100000,INDEX($AN$1005:$BO$1005,1,MATCH(COLUMNS($AN$1006:AO1006),$AN$1006:$BO$1006,0))&gt;=100000), " ",IF(INDEX($AN$2:$BO$1001,MATCH(ROWS($AG$2:AG219),$AG$2:$AG$1001,0),MATCH(COLUMNS($AN$1006:AO1006),$AN$1006:$BO$1006,0)), HYPERLINK("#",""), HYPERLINK(CONCATENATE("#Metadata!", ADDRESS(INDEX($AI$2:$AI$1001,MATCH(ROWS($AG$2:AG219),$AG$2:$AG$1001,0),0), INDEX($AN$1004:$BO$1004,1,MATCH(COLUMNS($AN$1006:AO1006),$AN$1006:$BO$1006,0)))),"Fix")))</f>
        <v>0</v>
      </c>
      <c r="D219" s="4">
        <f>IF(OR(INDEX($AH$2:$AH$1001,MATCH(ROWS($AG$2:AG219),$AG$2:$AG$1001,0),1)&gt;=100000,INDEX($AN$1005:$BO$1005,1,MATCH(COLUMNS($AN$1006:AP1006),$AN$1006:$BO$1006,0))&gt;=100000), " ",IF(INDEX($AN$2:$BO$1001,MATCH(ROWS($AG$2:AG219),$AG$2:$AG$1001,0),MATCH(COLUMNS($AN$1006:AP1006),$AN$1006:$BO$1006,0)), HYPERLINK("#",""), HYPERLINK(CONCATENATE("#Metadata!", ADDRESS(INDEX($AI$2:$AI$1001,MATCH(ROWS($AG$2:AG219),$AG$2:$AG$1001,0),0), INDEX($AN$1004:$BO$1004,1,MATCH(COLUMNS($AN$1006:AP1006),$AN$1006:$BO$1006,0)))),"Fix")))</f>
        <v>0</v>
      </c>
      <c r="E219" s="4">
        <f>IF(OR(INDEX($AH$2:$AH$1001,MATCH(ROWS($AG$2:AG219),$AG$2:$AG$1001,0),1)&gt;=100000,INDEX($AN$1005:$BO$1005,1,MATCH(COLUMNS($AN$1006:AQ1006),$AN$1006:$BO$1006,0))&gt;=100000), " ",IF(INDEX($AN$2:$BO$1001,MATCH(ROWS($AG$2:AG219),$AG$2:$AG$1001,0),MATCH(COLUMNS($AN$1006:AQ1006),$AN$1006:$BO$1006,0)), HYPERLINK("#",""), HYPERLINK(CONCATENATE("#Metadata!", ADDRESS(INDEX($AI$2:$AI$1001,MATCH(ROWS($AG$2:AG219),$AG$2:$AG$1001,0),0), INDEX($AN$1004:$BO$1004,1,MATCH(COLUMNS($AN$1006:AQ1006),$AN$1006:$BO$1006,0)))),"Fix")))</f>
        <v>0</v>
      </c>
      <c r="F219" s="4">
        <f>IF(OR(INDEX($AH$2:$AH$1001,MATCH(ROWS($AG$2:AG219),$AG$2:$AG$1001,0),1)&gt;=100000,INDEX($AN$1005:$BO$1005,1,MATCH(COLUMNS($AN$1006:AR1006),$AN$1006:$BO$1006,0))&gt;=100000), " ",IF(INDEX($AN$2:$BO$1001,MATCH(ROWS($AG$2:AG219),$AG$2:$AG$1001,0),MATCH(COLUMNS($AN$1006:AR1006),$AN$1006:$BO$1006,0)), HYPERLINK("#",""), HYPERLINK(CONCATENATE("#Metadata!", ADDRESS(INDEX($AI$2:$AI$1001,MATCH(ROWS($AG$2:AG219),$AG$2:$AG$1001,0),0), INDEX($AN$1004:$BO$1004,1,MATCH(COLUMNS($AN$1006:AR1006),$AN$1006:$BO$1006,0)))),"Fix")))</f>
        <v>0</v>
      </c>
      <c r="G219" s="4">
        <f>IF(OR(INDEX($AH$2:$AH$1001,MATCH(ROWS($AG$2:AG219),$AG$2:$AG$1001,0),1)&gt;=100000,INDEX($AN$1005:$BO$1005,1,MATCH(COLUMNS($AN$1006:AS1006),$AN$1006:$BO$1006,0))&gt;=100000), " ",IF(INDEX($AN$2:$BO$1001,MATCH(ROWS($AG$2:AG219),$AG$2:$AG$1001,0),MATCH(COLUMNS($AN$1006:AS1006),$AN$1006:$BO$1006,0)), HYPERLINK("#",""), HYPERLINK(CONCATENATE("#Metadata!", ADDRESS(INDEX($AI$2:$AI$1001,MATCH(ROWS($AG$2:AG219),$AG$2:$AG$1001,0),0), INDEX($AN$1004:$BO$1004,1,MATCH(COLUMNS($AN$1006:AS1006),$AN$1006:$BO$1006,0)))),"Fix")))</f>
        <v>0</v>
      </c>
      <c r="H219" s="4">
        <f>IF(OR(INDEX($AH$2:$AH$1001,MATCH(ROWS($AG$2:AG219),$AG$2:$AG$1001,0),1)&gt;=100000,INDEX($AN$1005:$BO$1005,1,MATCH(COLUMNS($AN$1006:AT1006),$AN$1006:$BO$1006,0))&gt;=100000), " ",IF(INDEX($AN$2:$BO$1001,MATCH(ROWS($AG$2:AG219),$AG$2:$AG$1001,0),MATCH(COLUMNS($AN$1006:AT1006),$AN$1006:$BO$1006,0)), HYPERLINK("#",""), HYPERLINK(CONCATENATE("#Metadata!", ADDRESS(INDEX($AI$2:$AI$1001,MATCH(ROWS($AG$2:AG219),$AG$2:$AG$1001,0),0), INDEX($AN$1004:$BO$1004,1,MATCH(COLUMNS($AN$1006:AT1006),$AN$1006:$BO$1006,0)))),"Fix")))</f>
        <v>0</v>
      </c>
      <c r="I219" s="4">
        <f>IF(OR(INDEX($AH$2:$AH$1001,MATCH(ROWS($AG$2:AG219),$AG$2:$AG$1001,0),1)&gt;=100000,INDEX($AN$1005:$BO$1005,1,MATCH(COLUMNS($AN$1006:AU1006),$AN$1006:$BO$1006,0))&gt;=100000), " ",IF(INDEX($AN$2:$BO$1001,MATCH(ROWS($AG$2:AG219),$AG$2:$AG$1001,0),MATCH(COLUMNS($AN$1006:AU1006),$AN$1006:$BO$1006,0)), HYPERLINK("#",""), HYPERLINK(CONCATENATE("#Metadata!", ADDRESS(INDEX($AI$2:$AI$1001,MATCH(ROWS($AG$2:AG219),$AG$2:$AG$1001,0),0), INDEX($AN$1004:$BO$1004,1,MATCH(COLUMNS($AN$1006:AU1006),$AN$1006:$BO$1006,0)))),"Fix")))</f>
        <v>0</v>
      </c>
      <c r="J219" s="4">
        <f>IF(OR(INDEX($AH$2:$AH$1001,MATCH(ROWS($AG$2:AG219),$AG$2:$AG$1001,0),1)&gt;=100000,INDEX($AN$1005:$BO$1005,1,MATCH(COLUMNS($AN$1006:AV1006),$AN$1006:$BO$1006,0))&gt;=100000), " ",IF(INDEX($AN$2:$BO$1001,MATCH(ROWS($AG$2:AG219),$AG$2:$AG$1001,0),MATCH(COLUMNS($AN$1006:AV1006),$AN$1006:$BO$1006,0)), HYPERLINK("#",""), HYPERLINK(CONCATENATE("#Metadata!", ADDRESS(INDEX($AI$2:$AI$1001,MATCH(ROWS($AG$2:AG219),$AG$2:$AG$1001,0),0), INDEX($AN$1004:$BO$1004,1,MATCH(COLUMNS($AN$1006:AV1006),$AN$1006:$BO$1006,0)))),"Fix")))</f>
        <v>0</v>
      </c>
      <c r="K219" s="4">
        <f>IF(OR(INDEX($AH$2:$AH$1001,MATCH(ROWS($AG$2:AG219),$AG$2:$AG$1001,0),1)&gt;=100000,INDEX($AN$1005:$BO$1005,1,MATCH(COLUMNS($AN$1006:AW1006),$AN$1006:$BO$1006,0))&gt;=100000), " ",IF(INDEX($AN$2:$BO$1001,MATCH(ROWS($AG$2:AG219),$AG$2:$AG$1001,0),MATCH(COLUMNS($AN$1006:AW1006),$AN$1006:$BO$1006,0)), HYPERLINK("#",""), HYPERLINK(CONCATENATE("#Metadata!", ADDRESS(INDEX($AI$2:$AI$1001,MATCH(ROWS($AG$2:AG219),$AG$2:$AG$1001,0),0), INDEX($AN$1004:$BO$1004,1,MATCH(COLUMNS($AN$1006:AW1006),$AN$1006:$BO$1006,0)))),"Fix")))</f>
        <v>0</v>
      </c>
      <c r="L219" s="4">
        <f>IF(OR(INDEX($AH$2:$AH$1001,MATCH(ROWS($AG$2:AG219),$AG$2:$AG$1001,0),1)&gt;=100000,INDEX($AN$1005:$BO$1005,1,MATCH(COLUMNS($AN$1006:AX1006),$AN$1006:$BO$1006,0))&gt;=100000), " ",IF(INDEX($AN$2:$BO$1001,MATCH(ROWS($AG$2:AG219),$AG$2:$AG$1001,0),MATCH(COLUMNS($AN$1006:AX1006),$AN$1006:$BO$1006,0)), HYPERLINK("#",""), HYPERLINK(CONCATENATE("#Metadata!", ADDRESS(INDEX($AI$2:$AI$1001,MATCH(ROWS($AG$2:AG219),$AG$2:$AG$1001,0),0), INDEX($AN$1004:$BO$1004,1,MATCH(COLUMNS($AN$1006:AX1006),$AN$1006:$BO$1006,0)))),"Fix")))</f>
        <v>0</v>
      </c>
      <c r="M219" s="4">
        <f>IF(OR(INDEX($AH$2:$AH$1001,MATCH(ROWS($AG$2:AG219),$AG$2:$AG$1001,0),1)&gt;=100000,INDEX($AN$1005:$BO$1005,1,MATCH(COLUMNS($AN$1006:AY1006),$AN$1006:$BO$1006,0))&gt;=100000), " ",IF(INDEX($AN$2:$BO$1001,MATCH(ROWS($AG$2:AG219),$AG$2:$AG$1001,0),MATCH(COLUMNS($AN$1006:AY1006),$AN$1006:$BO$1006,0)), HYPERLINK("#",""), HYPERLINK(CONCATENATE("#Metadata!", ADDRESS(INDEX($AI$2:$AI$1001,MATCH(ROWS($AG$2:AG219),$AG$2:$AG$1001,0),0), INDEX($AN$1004:$BO$1004,1,MATCH(COLUMNS($AN$1006:AY1006),$AN$1006:$BO$1006,0)))),"Fix")))</f>
        <v>0</v>
      </c>
      <c r="N219" s="4">
        <f>IF(OR(INDEX($AH$2:$AH$1001,MATCH(ROWS($AG$2:AG219),$AG$2:$AG$1001,0),1)&gt;=100000,INDEX($AN$1005:$BO$1005,1,MATCH(COLUMNS($AN$1006:AZ1006),$AN$1006:$BO$1006,0))&gt;=100000), " ",IF(INDEX($AN$2:$BO$1001,MATCH(ROWS($AG$2:AG219),$AG$2:$AG$1001,0),MATCH(COLUMNS($AN$1006:AZ1006),$AN$1006:$BO$1006,0)), HYPERLINK("#",""), HYPERLINK(CONCATENATE("#Metadata!", ADDRESS(INDEX($AI$2:$AI$1001,MATCH(ROWS($AG$2:AG219),$AG$2:$AG$1001,0),0), INDEX($AN$1004:$BO$1004,1,MATCH(COLUMNS($AN$1006:AZ1006),$AN$1006:$BO$1006,0)))),"Fix")))</f>
        <v>0</v>
      </c>
      <c r="O219" s="4">
        <f>IF(OR(INDEX($AH$2:$AH$1001,MATCH(ROWS($AG$2:AG219),$AG$2:$AG$1001,0),1)&gt;=100000,INDEX($AN$1005:$BO$1005,1,MATCH(COLUMNS($AN$1006:BA1006),$AN$1006:$BO$1006,0))&gt;=100000), " ",IF(INDEX($AN$2:$BO$1001,MATCH(ROWS($AG$2:AG219),$AG$2:$AG$1001,0),MATCH(COLUMNS($AN$1006:BA1006),$AN$1006:$BO$1006,0)), HYPERLINK("#",""), HYPERLINK(CONCATENATE("#Metadata!", ADDRESS(INDEX($AI$2:$AI$1001,MATCH(ROWS($AG$2:AG219),$AG$2:$AG$1001,0),0), INDEX($AN$1004:$BO$1004,1,MATCH(COLUMNS($AN$1006:BA1006),$AN$1006:$BO$1006,0)))),"Fix")))</f>
        <v>0</v>
      </c>
      <c r="P219" s="4">
        <f>IF(OR(INDEX($AH$2:$AH$1001,MATCH(ROWS($AG$2:AG219),$AG$2:$AG$1001,0),1)&gt;=100000,INDEX($AN$1005:$BO$1005,1,MATCH(COLUMNS($AN$1006:BB1006),$AN$1006:$BO$1006,0))&gt;=100000), " ",IF(INDEX($AN$2:$BO$1001,MATCH(ROWS($AG$2:AG219),$AG$2:$AG$1001,0),MATCH(COLUMNS($AN$1006:BB1006),$AN$1006:$BO$1006,0)), HYPERLINK("#",""), HYPERLINK(CONCATENATE("#Metadata!", ADDRESS(INDEX($AI$2:$AI$1001,MATCH(ROWS($AG$2:AG219),$AG$2:$AG$1001,0),0), INDEX($AN$1004:$BO$1004,1,MATCH(COLUMNS($AN$1006:BB1006),$AN$1006:$BO$1006,0)))),"Fix")))</f>
        <v>0</v>
      </c>
      <c r="Q219" s="4">
        <f>IF(OR(INDEX($AH$2:$AH$1001,MATCH(ROWS($AG$2:AG219),$AG$2:$AG$1001,0),1)&gt;=100000,INDEX($AN$1005:$BO$1005,1,MATCH(COLUMNS($AN$1006:BC1006),$AN$1006:$BO$1006,0))&gt;=100000), " ",IF(INDEX($AN$2:$BO$1001,MATCH(ROWS($AG$2:AG219),$AG$2:$AG$1001,0),MATCH(COLUMNS($AN$1006:BC1006),$AN$1006:$BO$1006,0)), HYPERLINK("#",""), HYPERLINK(CONCATENATE("#Metadata!", ADDRESS(INDEX($AI$2:$AI$1001,MATCH(ROWS($AG$2:AG219),$AG$2:$AG$1001,0),0), INDEX($AN$1004:$BO$1004,1,MATCH(COLUMNS($AN$1006:BC1006),$AN$1006:$BO$1006,0)))),"Fix")))</f>
        <v>0</v>
      </c>
      <c r="R219" s="4">
        <f>IF(OR(INDEX($AH$2:$AH$1001,MATCH(ROWS($AG$2:AG219),$AG$2:$AG$1001,0),1)&gt;=100000,INDEX($AN$1005:$BO$1005,1,MATCH(COLUMNS($AN$1006:BD1006),$AN$1006:$BO$1006,0))&gt;=100000), " ",IF(INDEX($AN$2:$BO$1001,MATCH(ROWS($AG$2:AG219),$AG$2:$AG$1001,0),MATCH(COLUMNS($AN$1006:BD1006),$AN$1006:$BO$1006,0)), HYPERLINK("#",""), HYPERLINK(CONCATENATE("#Metadata!", ADDRESS(INDEX($AI$2:$AI$1001,MATCH(ROWS($AG$2:AG219),$AG$2:$AG$1001,0),0), INDEX($AN$1004:$BO$1004,1,MATCH(COLUMNS($AN$1006:BD1006),$AN$1006:$BO$1006,0)))),"Fix")))</f>
        <v>0</v>
      </c>
      <c r="S219" s="4">
        <f>IF(OR(INDEX($AH$2:$AH$1001,MATCH(ROWS($AG$2:AG219),$AG$2:$AG$1001,0),1)&gt;=100000,INDEX($AN$1005:$BO$1005,1,MATCH(COLUMNS($AN$1006:BE1006),$AN$1006:$BO$1006,0))&gt;=100000), " ",IF(INDEX($AN$2:$BO$1001,MATCH(ROWS($AG$2:AG219),$AG$2:$AG$1001,0),MATCH(COLUMNS($AN$1006:BE1006),$AN$1006:$BO$1006,0)), HYPERLINK("#",""), HYPERLINK(CONCATENATE("#Metadata!", ADDRESS(INDEX($AI$2:$AI$1001,MATCH(ROWS($AG$2:AG219),$AG$2:$AG$1001,0),0), INDEX($AN$1004:$BO$1004,1,MATCH(COLUMNS($AN$1006:BE1006),$AN$1006:$BO$1006,0)))),"Fix")))</f>
        <v>0</v>
      </c>
      <c r="T219" s="4">
        <f>IF(OR(INDEX($AH$2:$AH$1001,MATCH(ROWS($AG$2:AG219),$AG$2:$AG$1001,0),1)&gt;=100000,INDEX($AN$1005:$BO$1005,1,MATCH(COLUMNS($AN$1006:BF1006),$AN$1006:$BO$1006,0))&gt;=100000), " ",IF(INDEX($AN$2:$BO$1001,MATCH(ROWS($AG$2:AG219),$AG$2:$AG$1001,0),MATCH(COLUMNS($AN$1006:BF1006),$AN$1006:$BO$1006,0)), HYPERLINK("#",""), HYPERLINK(CONCATENATE("#Metadata!", ADDRESS(INDEX($AI$2:$AI$1001,MATCH(ROWS($AG$2:AG219),$AG$2:$AG$1001,0),0), INDEX($AN$1004:$BO$1004,1,MATCH(COLUMNS($AN$1006:BF1006),$AN$1006:$BO$1006,0)))),"Fix")))</f>
        <v>0</v>
      </c>
      <c r="U219" s="4">
        <f>IF(OR(INDEX($AH$2:$AH$1001,MATCH(ROWS($AG$2:AG219),$AG$2:$AG$1001,0),1)&gt;=100000,INDEX($AN$1005:$BO$1005,1,MATCH(COLUMNS($AN$1006:BG1006),$AN$1006:$BO$1006,0))&gt;=100000), " ",IF(INDEX($AN$2:$BO$1001,MATCH(ROWS($AG$2:AG219),$AG$2:$AG$1001,0),MATCH(COLUMNS($AN$1006:BG1006),$AN$1006:$BO$1006,0)), HYPERLINK("#",""), HYPERLINK(CONCATENATE("#Metadata!", ADDRESS(INDEX($AI$2:$AI$1001,MATCH(ROWS($AG$2:AG219),$AG$2:$AG$1001,0),0), INDEX($AN$1004:$BO$1004,1,MATCH(COLUMNS($AN$1006:BG1006),$AN$1006:$BO$1006,0)))),"Fix")))</f>
        <v>0</v>
      </c>
      <c r="V219" s="4">
        <f>IF(OR(INDEX($AH$2:$AH$1001,MATCH(ROWS($AG$2:AG219),$AG$2:$AG$1001,0),1)&gt;=100000,INDEX($AN$1005:$BO$1005,1,MATCH(COLUMNS($AN$1006:BH1006),$AN$1006:$BO$1006,0))&gt;=100000), " ",IF(INDEX($AN$2:$BO$1001,MATCH(ROWS($AG$2:AG219),$AG$2:$AG$1001,0),MATCH(COLUMNS($AN$1006:BH1006),$AN$1006:$BO$1006,0)), HYPERLINK("#",""), HYPERLINK(CONCATENATE("#Metadata!", ADDRESS(INDEX($AI$2:$AI$1001,MATCH(ROWS($AG$2:AG219),$AG$2:$AG$1001,0),0), INDEX($AN$1004:$BO$1004,1,MATCH(COLUMNS($AN$1006:BH1006),$AN$1006:$BO$1006,0)))),"Fix")))</f>
        <v>0</v>
      </c>
      <c r="W219" s="4">
        <f>IF(OR(INDEX($AH$2:$AH$1001,MATCH(ROWS($AG$2:AG219),$AG$2:$AG$1001,0),1)&gt;=100000,INDEX($AN$1005:$BO$1005,1,MATCH(COLUMNS($AN$1006:BI1006),$AN$1006:$BO$1006,0))&gt;=100000), " ",IF(INDEX($AN$2:$BO$1001,MATCH(ROWS($AG$2:AG219),$AG$2:$AG$1001,0),MATCH(COLUMNS($AN$1006:BI1006),$AN$1006:$BO$1006,0)), HYPERLINK("#",""), HYPERLINK(CONCATENATE("#Metadata!", ADDRESS(INDEX($AI$2:$AI$1001,MATCH(ROWS($AG$2:AG219),$AG$2:$AG$1001,0),0), INDEX($AN$1004:$BO$1004,1,MATCH(COLUMNS($AN$1006:BI1006),$AN$1006:$BO$1006,0)))),"Fix")))</f>
        <v>0</v>
      </c>
      <c r="X219" s="4">
        <f>IF(OR(INDEX($AH$2:$AH$1001,MATCH(ROWS($AG$2:AG219),$AG$2:$AG$1001,0),1)&gt;=100000,INDEX($AN$1005:$BO$1005,1,MATCH(COLUMNS($AN$1006:BJ1006),$AN$1006:$BO$1006,0))&gt;=100000), " ",IF(INDEX($AN$2:$BO$1001,MATCH(ROWS($AG$2:AG219),$AG$2:$AG$1001,0),MATCH(COLUMNS($AN$1006:BJ1006),$AN$1006:$BO$1006,0)), HYPERLINK("#",""), HYPERLINK(CONCATENATE("#Metadata!", ADDRESS(INDEX($AI$2:$AI$1001,MATCH(ROWS($AG$2:AG219),$AG$2:$AG$1001,0),0), INDEX($AN$1004:$BO$1004,1,MATCH(COLUMNS($AN$1006:BJ1006),$AN$1006:$BO$1006,0)))),"Fix")))</f>
        <v>0</v>
      </c>
      <c r="Y219" s="4">
        <f>IF(OR(INDEX($AH$2:$AH$1001,MATCH(ROWS($AG$2:AG219),$AG$2:$AG$1001,0),1)&gt;=100000,INDEX($AN$1005:$BO$1005,1,MATCH(COLUMNS($AN$1006:BK1006),$AN$1006:$BO$1006,0))&gt;=100000), " ",IF(INDEX($AN$2:$BO$1001,MATCH(ROWS($AG$2:AG219),$AG$2:$AG$1001,0),MATCH(COLUMNS($AN$1006:BK1006),$AN$1006:$BO$1006,0)), HYPERLINK("#",""), HYPERLINK(CONCATENATE("#Metadata!", ADDRESS(INDEX($AI$2:$AI$1001,MATCH(ROWS($AG$2:AG219),$AG$2:$AG$1001,0),0), INDEX($AN$1004:$BO$1004,1,MATCH(COLUMNS($AN$1006:BK1006),$AN$1006:$BO$1006,0)))),"Fix")))</f>
        <v>0</v>
      </c>
      <c r="Z219" s="4">
        <f>IF(OR(INDEX($AH$2:$AH$1001,MATCH(ROWS($AG$2:AG219),$AG$2:$AG$1001,0),1)&gt;=100000,INDEX($AN$1005:$BO$1005,1,MATCH(COLUMNS($AN$1006:BL1006),$AN$1006:$BO$1006,0))&gt;=100000), " ",IF(INDEX($AN$2:$BO$1001,MATCH(ROWS($AG$2:AG219),$AG$2:$AG$1001,0),MATCH(COLUMNS($AN$1006:BL1006),$AN$1006:$BO$1006,0)), HYPERLINK("#",""), HYPERLINK(CONCATENATE("#Metadata!", ADDRESS(INDEX($AI$2:$AI$1001,MATCH(ROWS($AG$2:AG219),$AG$2:$AG$1001,0),0), INDEX($AN$1004:$BO$1004,1,MATCH(COLUMNS($AN$1006:BL1006),$AN$1006:$BO$1006,0)))),"Fix")))</f>
        <v>0</v>
      </c>
      <c r="AA219" s="4">
        <f>IF(OR(INDEX($AH$2:$AH$1001,MATCH(ROWS($AG$2:AG219),$AG$2:$AG$1001,0),1)&gt;=100000,INDEX($AN$1005:$BO$1005,1,MATCH(COLUMNS($AN$1006:BM1006),$AN$1006:$BO$1006,0))&gt;=100000), " ",IF(INDEX($AN$2:$BO$1001,MATCH(ROWS($AG$2:AG219),$AG$2:$AG$1001,0),MATCH(COLUMNS($AN$1006:BM1006),$AN$1006:$BO$1006,0)), HYPERLINK("#",""), HYPERLINK(CONCATENATE("#Metadata!", ADDRESS(INDEX($AI$2:$AI$1001,MATCH(ROWS($AG$2:AG219),$AG$2:$AG$1001,0),0), INDEX($AN$1004:$BO$1004,1,MATCH(COLUMNS($AN$1006:BM1006),$AN$1006:$BO$1006,0)))),"Fix")))</f>
        <v>0</v>
      </c>
      <c r="AB219" s="4">
        <f>IF(OR(INDEX($AH$2:$AH$1001,MATCH(ROWS($AG$2:AG219),$AG$2:$AG$1001,0),1)&gt;=100000,INDEX($AN$1005:$BO$1005,1,MATCH(COLUMNS($AN$1006:BN1006),$AN$1006:$BO$1006,0))&gt;=100000), " ",IF(INDEX($AN$2:$BO$1001,MATCH(ROWS($AG$2:AG219),$AG$2:$AG$1001,0),MATCH(COLUMNS($AN$1006:BN1006),$AN$1006:$BO$1006,0)), HYPERLINK("#",""), HYPERLINK(CONCATENATE("#Metadata!", ADDRESS(INDEX($AI$2:$AI$1001,MATCH(ROWS($AG$2:AG219),$AG$2:$AG$1001,0),0), INDEX($AN$1004:$BO$1004,1,MATCH(COLUMNS($AN$1006:BN1006),$AN$1006:$BO$1006,0)))),"Fix")))</f>
        <v>0</v>
      </c>
      <c r="AC219" s="4">
        <f>IF(OR(INDEX($AH$2:$AH$1001,MATCH(ROWS($AG$2:AG219),$AG$2:$AG$1001,0),1)&gt;=100000,INDEX($AN$1005:$BO$1005,1,MATCH(COLUMNS($AN$1006:BO1006),$AN$1006:$BO$1006,0))&gt;=100000), " ",IF(INDEX($AN$2:$BO$1001,MATCH(ROWS($AG$2:AG219),$AG$2:$AG$1001,0),MATCH(COLUMNS($AN$1006:BO1006),$AN$1006:$BO$1006,0)), HYPERLINK("#",""), HYPERLINK(CONCATENATE("#Metadata!", ADDRESS(INDEX($AI$2:$AI$1001,MATCH(ROWS($AG$2:AG219),$AG$2:$AG$1001,0),0), INDEX($AN$1004:$BO$1004,1,MATCH(COLUMNS($AN$1006:BO1006),$AN$1006:$BO$1006,0)))),"Fix")))</f>
        <v>0</v>
      </c>
      <c r="AG219">
        <v>0</v>
      </c>
      <c r="AH219">
        <v>0</v>
      </c>
      <c r="AI219">
        <v>0</v>
      </c>
      <c r="AJ219">
        <f>IF(AK219,TRUE,AND(AN219:BO219))</f>
        <v>0</v>
      </c>
      <c r="AK219">
        <f>COUNTBLANK(Metadata!B219:AC219)=COLUMNS(Metadata!B219:AC219)</f>
        <v>0</v>
      </c>
      <c r="AL219">
        <v>0</v>
      </c>
      <c r="AN219">
        <f>AND(IF(Metadata!B219="",FALSE,TRUE),COUNTIF(Metadata!B:B, Metadata!B219) = 1,NOT(ISERROR(SUMPRODUCT(SEARCH(MID(Metadata!B219,ROW(INDIRECT("1:"&amp;LEN(Metadata!B219))), 1),"0123456789abcdefghijklmnopqrstuvwxyzABCDEFGHIJKLMNOPQRSTUVWXYZ.")))))</f>
        <v>0</v>
      </c>
      <c r="AO219">
        <f>IF(Metadata!C219="",FALSE,TRUE)</f>
        <v>0</v>
      </c>
      <c r="AP219">
        <f>IF(Metadata!D219="",FALSE,TRUE)</f>
        <v>0</v>
      </c>
      <c r="AQ219">
        <f>OR(AND(IF(Metadata!E219="",FALSE,TRUE),OR(exact(Metadata!E219,"not collected"),exact(Metadata!E219,"not provided"),exact(Metadata!E219,"restricted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R219">
        <f>IF(Metadata!F219="",FALSE,TRUE)</f>
        <v>0</v>
      </c>
      <c r="AS219">
        <f>OR(AND(IF(Metadata!G219="",FALSE,TRUE),OR(exact(Metadata!G219,"not collected"),exact(Metadata!G219,"not provided"))),AND(IF(Metadata!G219="",FALSE,TRUE),OR(exact(Metadata!G219,"TRUE"),exact(Metadata!G219,"FALSE"))))</f>
        <v>0</v>
      </c>
      <c r="AT219">
        <f>OR(AND(IF(Metadata!H219="",FALSE,TRUE),OR(exact(Metadata!H219,"not collected"),exact(Metadata!H219,"not provided"),exact(Metadata!H219,"restricted access"))),AND(IF(Metadata!H219="",FALSE,ISNUMBER(VALUE(Metadata!H219))),Metadata!H219&gt;=-413.0))</f>
        <v>0</v>
      </c>
      <c r="AU219">
        <f>AND(IF(Metadata!I219="",FALSE,TRUE),exact(Metadata!I219,"meters"))</f>
        <v>0</v>
      </c>
      <c r="AV219">
        <f>AND(IF(Metadata!J219="",FALSE,TRUE),OR(exact(Metadata!J219,"Host-associated"),exact(Metadata!J219,"Free-living")))</f>
        <v>0</v>
      </c>
      <c r="AW219">
        <f>AND(IF(Metadata!K219="",FALSE,TRUE),OR(exact(Metadata!K219,"Animal"),exact(Metadata!K219,"Fungus"),exact(Metadata!K219,"Plant"),exact(Metadata!K219,"Saline"),exact(Metadata!K219,"Non-saline")))</f>
        <v>0</v>
      </c>
      <c r="AX219">
        <f>AND(IF(Metadata!L219="",FALSE,TRUE),OR(exact(Metadata!L219,"Plant secretion"),exact(Metadata!L219,"Plant rhizosphere"),exact(Metadata!L219,"Plant surface"),exact(Metadata!L219,"Plant corpus"),exact(Metadata!L219,"Fungus surface"),exact(Metadata!L219,"Fungus corpus"),exact(Metadata!L219,"Animal surface"),exact(Metadata!L219,"Animal proximal gut"),exact(Metadata!L219,"Animal corpus"),exact(Metadata!L219,"Animal distal gut"),exact(Metadata!L219,"Animal secretion"),exact(Metadata!L219,"Sub-surface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Y219">
        <f>IF(Metadata!M219="",FALSE,TRUE)</f>
        <v>0</v>
      </c>
      <c r="AZ219">
        <f>IF(Metadata!N219="",FALSE,TRUE)</f>
        <v>0</v>
      </c>
      <c r="BA219">
        <f>IF(Metadata!O219="",FALSE,TRUE)</f>
        <v>0</v>
      </c>
      <c r="BB219">
        <f>OR(AND(IF(Metadata!P219="",FALSE,TRUE),OR(exact(Metadata!P219,"not collected"),exact(Metadata!P219,"not provided"),exact(Metadata!P219,"restricted access"))),AND(IF(Metadata!P219="",FALSE,TRUE),OR(exact(Metadata!P219,"air"),exact(Metadata!P219,"built environment"),exact(Metadata!P219,"host-associated"),exact(Metadata!P219,"human-associated"),exact(Metadata!P219,"human-skin"),exact(Metadata!P219,"human-oral"),exact(Metadata!P219,"human-gut"),exact(Metadata!P219,"human-vaginal"),exact(Metadata!P219,"microbial mat/biofilm"),exact(Metadata!P219,"misc environment"),exact(Metadata!P219,"plant-associated"),exact(Metadata!P219,"sediment"),exact(Metadata!P219,"soil"),exact(Metadata!P219,"wastewater/sludge"),exact(Metadata!P219,"water"))))</f>
        <v>0</v>
      </c>
      <c r="BC219">
        <f>IF(Metadata!Q219="",FALSE,TRUE)</f>
        <v>0</v>
      </c>
      <c r="BD219">
        <f>IF(Metadata!R219="",FALSE,TRUE)</f>
        <v>0</v>
      </c>
      <c r="BE219">
        <f>OR(AND(IF(Metadata!S219="",FALSE,TRUE),OR(exact(Metadata!S219,"not collected"),exact(Metadata!S219,"not provided"),exact(Metadata!S219,"restricted access"))),AND(IF(Metadata!S219="",FALSE,ISNUMBER(VALUE(Metadata!S219))),Metadata!S219&gt;=-90.00,Metadata!S219&lt;=90.00))</f>
        <v>0</v>
      </c>
      <c r="BF219">
        <f>AND(IF(Metadata!T219="",FALSE,TRUE),exact(Metadata!T219,"Decimal degrees"))</f>
        <v>0</v>
      </c>
      <c r="BG219">
        <f>OR(AND(IF(Metadata!U219="",FALSE,TRUE),OR(exact(Metadata!U219,"not collected"),exact(Metadata!U219,"not provided"),exact(Metadata!U219,"restricted access"))),AND(IF(Metadata!U219="",FALSE,ISNUMBER(VALUE(Metadata!U219))),Metadata!U219&gt;=-180.00,Metadata!U219&lt;=180.00))</f>
        <v>0</v>
      </c>
      <c r="BH219">
        <f>AND(IF(Metadata!V219="",FALSE,TRUE),exact(Metadata!V219,"Decimal degrees"))</f>
        <v>0</v>
      </c>
      <c r="BI219">
        <f>IF(Metadata!W219="",FALSE,TRUE)</f>
        <v>0</v>
      </c>
      <c r="BJ219">
        <f>OR(AND(IF(Metadata!X219="",FALSE,TRUE),OR(exact(Metadata!X219,"not collected"),exact(Metadata!X219,"not provided"),exact(Metadata!X219,"restricted access"))),AND(IF(Metadata!X219="",FALSE,TRUE),OR(exact(Metadata!X219,"TRUE"),exact(Metadata!X219,"FALSE"))))</f>
        <v>0</v>
      </c>
      <c r="BK219">
        <f>AND(IF(Metadata!Y219="",FALSE,TRUE),exact(Metadata!Y219,"other"))</f>
        <v>0</v>
      </c>
      <c r="BL219">
        <f>IF(Metadata!Z219="",FALSE,TRUE)</f>
        <v>0</v>
      </c>
      <c r="BM219">
        <f>OR(AND(IF(Metadata!AA219="",FALSE,TRUE),OR(exact(Metadata!AA219,"not collected"),exact(Metadata!AA219,"not provided"))),AND(IF(Metadata!AA219="",FALSE,IF(ISERROR(INT(Metadata!AA219)),FALSE,INT(Metadata!AA219)=Metadata!AA219)),Metadata!AA219&gt;0))</f>
        <v>0</v>
      </c>
      <c r="BN219">
        <f>AND(IF(Metadata!AB219="",FALSE,TRUE),exact(Metadata!AB219,"Not applicable"))</f>
        <v>0</v>
      </c>
      <c r="BO219">
        <f>IF(Metadata!AC219="",FALSE,TRUE)</f>
        <v>0</v>
      </c>
    </row>
    <row r="220" spans="1:67">
      <c r="A220" s="5">
        <f>IF(B220=" "," ",HYPERLINK(CONCATENATE("#metadata!",ADDRESS(INDEX($AI$2:$AI$1001,MATCH(ROWS($AG$2:AG220),$AG$2:$AG$1001,0),0),1)),INDEX($AL$2:$AL$1001,MATCH(ROWS($AG$2:AG220),$AG$2:$AG$1001,0),0)))</f>
        <v>0</v>
      </c>
      <c r="B220" s="4">
        <f>IF(OR(INDEX($AH$2:$AH$1001,MATCH(ROWS($AG$2:AG220),$AG$2:$AG$1001,0),1)&gt;=100000,INDEX($AN$1005:$BO$1005,1,MATCH(COLUMNS($AN$1006:AN1006),$AN$1006:$BO$1006,0))&gt;=100000), " ",IF(INDEX($AN$2:$BO$1001,MATCH(ROWS($AG$2:AG220),$AG$2:$AG$1001,0),MATCH(COLUMNS($AN$1006:AN1006),$AN$1006:$BO$1006,0)), HYPERLINK("#",""), HYPERLINK(CONCATENATE("#Metadata!", ADDRESS(INDEX($AI$2:$AI$1001,MATCH(ROWS($AG$2:AG220),$AG$2:$AG$1001,0),0), INDEX($AN$1004:$BO$1004,1,MATCH(COLUMNS($AN$1006:AN1006),$AN$1006:$BO$1006,0)))),"Fix")))</f>
        <v>0</v>
      </c>
      <c r="C220" s="4">
        <f>IF(OR(INDEX($AH$2:$AH$1001,MATCH(ROWS($AG$2:AG220),$AG$2:$AG$1001,0),1)&gt;=100000,INDEX($AN$1005:$BO$1005,1,MATCH(COLUMNS($AN$1006:AO1006),$AN$1006:$BO$1006,0))&gt;=100000), " ",IF(INDEX($AN$2:$BO$1001,MATCH(ROWS($AG$2:AG220),$AG$2:$AG$1001,0),MATCH(COLUMNS($AN$1006:AO1006),$AN$1006:$BO$1006,0)), HYPERLINK("#",""), HYPERLINK(CONCATENATE("#Metadata!", ADDRESS(INDEX($AI$2:$AI$1001,MATCH(ROWS($AG$2:AG220),$AG$2:$AG$1001,0),0), INDEX($AN$1004:$BO$1004,1,MATCH(COLUMNS($AN$1006:AO1006),$AN$1006:$BO$1006,0)))),"Fix")))</f>
        <v>0</v>
      </c>
      <c r="D220" s="4">
        <f>IF(OR(INDEX($AH$2:$AH$1001,MATCH(ROWS($AG$2:AG220),$AG$2:$AG$1001,0),1)&gt;=100000,INDEX($AN$1005:$BO$1005,1,MATCH(COLUMNS($AN$1006:AP1006),$AN$1006:$BO$1006,0))&gt;=100000), " ",IF(INDEX($AN$2:$BO$1001,MATCH(ROWS($AG$2:AG220),$AG$2:$AG$1001,0),MATCH(COLUMNS($AN$1006:AP1006),$AN$1006:$BO$1006,0)), HYPERLINK("#",""), HYPERLINK(CONCATENATE("#Metadata!", ADDRESS(INDEX($AI$2:$AI$1001,MATCH(ROWS($AG$2:AG220),$AG$2:$AG$1001,0),0), INDEX($AN$1004:$BO$1004,1,MATCH(COLUMNS($AN$1006:AP1006),$AN$1006:$BO$1006,0)))),"Fix")))</f>
        <v>0</v>
      </c>
      <c r="E220" s="4">
        <f>IF(OR(INDEX($AH$2:$AH$1001,MATCH(ROWS($AG$2:AG220),$AG$2:$AG$1001,0),1)&gt;=100000,INDEX($AN$1005:$BO$1005,1,MATCH(COLUMNS($AN$1006:AQ1006),$AN$1006:$BO$1006,0))&gt;=100000), " ",IF(INDEX($AN$2:$BO$1001,MATCH(ROWS($AG$2:AG220),$AG$2:$AG$1001,0),MATCH(COLUMNS($AN$1006:AQ1006),$AN$1006:$BO$1006,0)), HYPERLINK("#",""), HYPERLINK(CONCATENATE("#Metadata!", ADDRESS(INDEX($AI$2:$AI$1001,MATCH(ROWS($AG$2:AG220),$AG$2:$AG$1001,0),0), INDEX($AN$1004:$BO$1004,1,MATCH(COLUMNS($AN$1006:AQ1006),$AN$1006:$BO$1006,0)))),"Fix")))</f>
        <v>0</v>
      </c>
      <c r="F220" s="4">
        <f>IF(OR(INDEX($AH$2:$AH$1001,MATCH(ROWS($AG$2:AG220),$AG$2:$AG$1001,0),1)&gt;=100000,INDEX($AN$1005:$BO$1005,1,MATCH(COLUMNS($AN$1006:AR1006),$AN$1006:$BO$1006,0))&gt;=100000), " ",IF(INDEX($AN$2:$BO$1001,MATCH(ROWS($AG$2:AG220),$AG$2:$AG$1001,0),MATCH(COLUMNS($AN$1006:AR1006),$AN$1006:$BO$1006,0)), HYPERLINK("#",""), HYPERLINK(CONCATENATE("#Metadata!", ADDRESS(INDEX($AI$2:$AI$1001,MATCH(ROWS($AG$2:AG220),$AG$2:$AG$1001,0),0), INDEX($AN$1004:$BO$1004,1,MATCH(COLUMNS($AN$1006:AR1006),$AN$1006:$BO$1006,0)))),"Fix")))</f>
        <v>0</v>
      </c>
      <c r="G220" s="4">
        <f>IF(OR(INDEX($AH$2:$AH$1001,MATCH(ROWS($AG$2:AG220),$AG$2:$AG$1001,0),1)&gt;=100000,INDEX($AN$1005:$BO$1005,1,MATCH(COLUMNS($AN$1006:AS1006),$AN$1006:$BO$1006,0))&gt;=100000), " ",IF(INDEX($AN$2:$BO$1001,MATCH(ROWS($AG$2:AG220),$AG$2:$AG$1001,0),MATCH(COLUMNS($AN$1006:AS1006),$AN$1006:$BO$1006,0)), HYPERLINK("#",""), HYPERLINK(CONCATENATE("#Metadata!", ADDRESS(INDEX($AI$2:$AI$1001,MATCH(ROWS($AG$2:AG220),$AG$2:$AG$1001,0),0), INDEX($AN$1004:$BO$1004,1,MATCH(COLUMNS($AN$1006:AS1006),$AN$1006:$BO$1006,0)))),"Fix")))</f>
        <v>0</v>
      </c>
      <c r="H220" s="4">
        <f>IF(OR(INDEX($AH$2:$AH$1001,MATCH(ROWS($AG$2:AG220),$AG$2:$AG$1001,0),1)&gt;=100000,INDEX($AN$1005:$BO$1005,1,MATCH(COLUMNS($AN$1006:AT1006),$AN$1006:$BO$1006,0))&gt;=100000), " ",IF(INDEX($AN$2:$BO$1001,MATCH(ROWS($AG$2:AG220),$AG$2:$AG$1001,0),MATCH(COLUMNS($AN$1006:AT1006),$AN$1006:$BO$1006,0)), HYPERLINK("#",""), HYPERLINK(CONCATENATE("#Metadata!", ADDRESS(INDEX($AI$2:$AI$1001,MATCH(ROWS($AG$2:AG220),$AG$2:$AG$1001,0),0), INDEX($AN$1004:$BO$1004,1,MATCH(COLUMNS($AN$1006:AT1006),$AN$1006:$BO$1006,0)))),"Fix")))</f>
        <v>0</v>
      </c>
      <c r="I220" s="4">
        <f>IF(OR(INDEX($AH$2:$AH$1001,MATCH(ROWS($AG$2:AG220),$AG$2:$AG$1001,0),1)&gt;=100000,INDEX($AN$1005:$BO$1005,1,MATCH(COLUMNS($AN$1006:AU1006),$AN$1006:$BO$1006,0))&gt;=100000), " ",IF(INDEX($AN$2:$BO$1001,MATCH(ROWS($AG$2:AG220),$AG$2:$AG$1001,0),MATCH(COLUMNS($AN$1006:AU1006),$AN$1006:$BO$1006,0)), HYPERLINK("#",""), HYPERLINK(CONCATENATE("#Metadata!", ADDRESS(INDEX($AI$2:$AI$1001,MATCH(ROWS($AG$2:AG220),$AG$2:$AG$1001,0),0), INDEX($AN$1004:$BO$1004,1,MATCH(COLUMNS($AN$1006:AU1006),$AN$1006:$BO$1006,0)))),"Fix")))</f>
        <v>0</v>
      </c>
      <c r="J220" s="4">
        <f>IF(OR(INDEX($AH$2:$AH$1001,MATCH(ROWS($AG$2:AG220),$AG$2:$AG$1001,0),1)&gt;=100000,INDEX($AN$1005:$BO$1005,1,MATCH(COLUMNS($AN$1006:AV1006),$AN$1006:$BO$1006,0))&gt;=100000), " ",IF(INDEX($AN$2:$BO$1001,MATCH(ROWS($AG$2:AG220),$AG$2:$AG$1001,0),MATCH(COLUMNS($AN$1006:AV1006),$AN$1006:$BO$1006,0)), HYPERLINK("#",""), HYPERLINK(CONCATENATE("#Metadata!", ADDRESS(INDEX($AI$2:$AI$1001,MATCH(ROWS($AG$2:AG220),$AG$2:$AG$1001,0),0), INDEX($AN$1004:$BO$1004,1,MATCH(COLUMNS($AN$1006:AV1006),$AN$1006:$BO$1006,0)))),"Fix")))</f>
        <v>0</v>
      </c>
      <c r="K220" s="4">
        <f>IF(OR(INDEX($AH$2:$AH$1001,MATCH(ROWS($AG$2:AG220),$AG$2:$AG$1001,0),1)&gt;=100000,INDEX($AN$1005:$BO$1005,1,MATCH(COLUMNS($AN$1006:AW1006),$AN$1006:$BO$1006,0))&gt;=100000), " ",IF(INDEX($AN$2:$BO$1001,MATCH(ROWS($AG$2:AG220),$AG$2:$AG$1001,0),MATCH(COLUMNS($AN$1006:AW1006),$AN$1006:$BO$1006,0)), HYPERLINK("#",""), HYPERLINK(CONCATENATE("#Metadata!", ADDRESS(INDEX($AI$2:$AI$1001,MATCH(ROWS($AG$2:AG220),$AG$2:$AG$1001,0),0), INDEX($AN$1004:$BO$1004,1,MATCH(COLUMNS($AN$1006:AW1006),$AN$1006:$BO$1006,0)))),"Fix")))</f>
        <v>0</v>
      </c>
      <c r="L220" s="4">
        <f>IF(OR(INDEX($AH$2:$AH$1001,MATCH(ROWS($AG$2:AG220),$AG$2:$AG$1001,0),1)&gt;=100000,INDEX($AN$1005:$BO$1005,1,MATCH(COLUMNS($AN$1006:AX1006),$AN$1006:$BO$1006,0))&gt;=100000), " ",IF(INDEX($AN$2:$BO$1001,MATCH(ROWS($AG$2:AG220),$AG$2:$AG$1001,0),MATCH(COLUMNS($AN$1006:AX1006),$AN$1006:$BO$1006,0)), HYPERLINK("#",""), HYPERLINK(CONCATENATE("#Metadata!", ADDRESS(INDEX($AI$2:$AI$1001,MATCH(ROWS($AG$2:AG220),$AG$2:$AG$1001,0),0), INDEX($AN$1004:$BO$1004,1,MATCH(COLUMNS($AN$1006:AX1006),$AN$1006:$BO$1006,0)))),"Fix")))</f>
        <v>0</v>
      </c>
      <c r="M220" s="4">
        <f>IF(OR(INDEX($AH$2:$AH$1001,MATCH(ROWS($AG$2:AG220),$AG$2:$AG$1001,0),1)&gt;=100000,INDEX($AN$1005:$BO$1005,1,MATCH(COLUMNS($AN$1006:AY1006),$AN$1006:$BO$1006,0))&gt;=100000), " ",IF(INDEX($AN$2:$BO$1001,MATCH(ROWS($AG$2:AG220),$AG$2:$AG$1001,0),MATCH(COLUMNS($AN$1006:AY1006),$AN$1006:$BO$1006,0)), HYPERLINK("#",""), HYPERLINK(CONCATENATE("#Metadata!", ADDRESS(INDEX($AI$2:$AI$1001,MATCH(ROWS($AG$2:AG220),$AG$2:$AG$1001,0),0), INDEX($AN$1004:$BO$1004,1,MATCH(COLUMNS($AN$1006:AY1006),$AN$1006:$BO$1006,0)))),"Fix")))</f>
        <v>0</v>
      </c>
      <c r="N220" s="4">
        <f>IF(OR(INDEX($AH$2:$AH$1001,MATCH(ROWS($AG$2:AG220),$AG$2:$AG$1001,0),1)&gt;=100000,INDEX($AN$1005:$BO$1005,1,MATCH(COLUMNS($AN$1006:AZ1006),$AN$1006:$BO$1006,0))&gt;=100000), " ",IF(INDEX($AN$2:$BO$1001,MATCH(ROWS($AG$2:AG220),$AG$2:$AG$1001,0),MATCH(COLUMNS($AN$1006:AZ1006),$AN$1006:$BO$1006,0)), HYPERLINK("#",""), HYPERLINK(CONCATENATE("#Metadata!", ADDRESS(INDEX($AI$2:$AI$1001,MATCH(ROWS($AG$2:AG220),$AG$2:$AG$1001,0),0), INDEX($AN$1004:$BO$1004,1,MATCH(COLUMNS($AN$1006:AZ1006),$AN$1006:$BO$1006,0)))),"Fix")))</f>
        <v>0</v>
      </c>
      <c r="O220" s="4">
        <f>IF(OR(INDEX($AH$2:$AH$1001,MATCH(ROWS($AG$2:AG220),$AG$2:$AG$1001,0),1)&gt;=100000,INDEX($AN$1005:$BO$1005,1,MATCH(COLUMNS($AN$1006:BA1006),$AN$1006:$BO$1006,0))&gt;=100000), " ",IF(INDEX($AN$2:$BO$1001,MATCH(ROWS($AG$2:AG220),$AG$2:$AG$1001,0),MATCH(COLUMNS($AN$1006:BA1006),$AN$1006:$BO$1006,0)), HYPERLINK("#",""), HYPERLINK(CONCATENATE("#Metadata!", ADDRESS(INDEX($AI$2:$AI$1001,MATCH(ROWS($AG$2:AG220),$AG$2:$AG$1001,0),0), INDEX($AN$1004:$BO$1004,1,MATCH(COLUMNS($AN$1006:BA1006),$AN$1006:$BO$1006,0)))),"Fix")))</f>
        <v>0</v>
      </c>
      <c r="P220" s="4">
        <f>IF(OR(INDEX($AH$2:$AH$1001,MATCH(ROWS($AG$2:AG220),$AG$2:$AG$1001,0),1)&gt;=100000,INDEX($AN$1005:$BO$1005,1,MATCH(COLUMNS($AN$1006:BB1006),$AN$1006:$BO$1006,0))&gt;=100000), " ",IF(INDEX($AN$2:$BO$1001,MATCH(ROWS($AG$2:AG220),$AG$2:$AG$1001,0),MATCH(COLUMNS($AN$1006:BB1006),$AN$1006:$BO$1006,0)), HYPERLINK("#",""), HYPERLINK(CONCATENATE("#Metadata!", ADDRESS(INDEX($AI$2:$AI$1001,MATCH(ROWS($AG$2:AG220),$AG$2:$AG$1001,0),0), INDEX($AN$1004:$BO$1004,1,MATCH(COLUMNS($AN$1006:BB1006),$AN$1006:$BO$1006,0)))),"Fix")))</f>
        <v>0</v>
      </c>
      <c r="Q220" s="4">
        <f>IF(OR(INDEX($AH$2:$AH$1001,MATCH(ROWS($AG$2:AG220),$AG$2:$AG$1001,0),1)&gt;=100000,INDEX($AN$1005:$BO$1005,1,MATCH(COLUMNS($AN$1006:BC1006),$AN$1006:$BO$1006,0))&gt;=100000), " ",IF(INDEX($AN$2:$BO$1001,MATCH(ROWS($AG$2:AG220),$AG$2:$AG$1001,0),MATCH(COLUMNS($AN$1006:BC1006),$AN$1006:$BO$1006,0)), HYPERLINK("#",""), HYPERLINK(CONCATENATE("#Metadata!", ADDRESS(INDEX($AI$2:$AI$1001,MATCH(ROWS($AG$2:AG220),$AG$2:$AG$1001,0),0), INDEX($AN$1004:$BO$1004,1,MATCH(COLUMNS($AN$1006:BC1006),$AN$1006:$BO$1006,0)))),"Fix")))</f>
        <v>0</v>
      </c>
      <c r="R220" s="4">
        <f>IF(OR(INDEX($AH$2:$AH$1001,MATCH(ROWS($AG$2:AG220),$AG$2:$AG$1001,0),1)&gt;=100000,INDEX($AN$1005:$BO$1005,1,MATCH(COLUMNS($AN$1006:BD1006),$AN$1006:$BO$1006,0))&gt;=100000), " ",IF(INDEX($AN$2:$BO$1001,MATCH(ROWS($AG$2:AG220),$AG$2:$AG$1001,0),MATCH(COLUMNS($AN$1006:BD1006),$AN$1006:$BO$1006,0)), HYPERLINK("#",""), HYPERLINK(CONCATENATE("#Metadata!", ADDRESS(INDEX($AI$2:$AI$1001,MATCH(ROWS($AG$2:AG220),$AG$2:$AG$1001,0),0), INDEX($AN$1004:$BO$1004,1,MATCH(COLUMNS($AN$1006:BD1006),$AN$1006:$BO$1006,0)))),"Fix")))</f>
        <v>0</v>
      </c>
      <c r="S220" s="4">
        <f>IF(OR(INDEX($AH$2:$AH$1001,MATCH(ROWS($AG$2:AG220),$AG$2:$AG$1001,0),1)&gt;=100000,INDEX($AN$1005:$BO$1005,1,MATCH(COLUMNS($AN$1006:BE1006),$AN$1006:$BO$1006,0))&gt;=100000), " ",IF(INDEX($AN$2:$BO$1001,MATCH(ROWS($AG$2:AG220),$AG$2:$AG$1001,0),MATCH(COLUMNS($AN$1006:BE1006),$AN$1006:$BO$1006,0)), HYPERLINK("#",""), HYPERLINK(CONCATENATE("#Metadata!", ADDRESS(INDEX($AI$2:$AI$1001,MATCH(ROWS($AG$2:AG220),$AG$2:$AG$1001,0),0), INDEX($AN$1004:$BO$1004,1,MATCH(COLUMNS($AN$1006:BE1006),$AN$1006:$BO$1006,0)))),"Fix")))</f>
        <v>0</v>
      </c>
      <c r="T220" s="4">
        <f>IF(OR(INDEX($AH$2:$AH$1001,MATCH(ROWS($AG$2:AG220),$AG$2:$AG$1001,0),1)&gt;=100000,INDEX($AN$1005:$BO$1005,1,MATCH(COLUMNS($AN$1006:BF1006),$AN$1006:$BO$1006,0))&gt;=100000), " ",IF(INDEX($AN$2:$BO$1001,MATCH(ROWS($AG$2:AG220),$AG$2:$AG$1001,0),MATCH(COLUMNS($AN$1006:BF1006),$AN$1006:$BO$1006,0)), HYPERLINK("#",""), HYPERLINK(CONCATENATE("#Metadata!", ADDRESS(INDEX($AI$2:$AI$1001,MATCH(ROWS($AG$2:AG220),$AG$2:$AG$1001,0),0), INDEX($AN$1004:$BO$1004,1,MATCH(COLUMNS($AN$1006:BF1006),$AN$1006:$BO$1006,0)))),"Fix")))</f>
        <v>0</v>
      </c>
      <c r="U220" s="4">
        <f>IF(OR(INDEX($AH$2:$AH$1001,MATCH(ROWS($AG$2:AG220),$AG$2:$AG$1001,0),1)&gt;=100000,INDEX($AN$1005:$BO$1005,1,MATCH(COLUMNS($AN$1006:BG1006),$AN$1006:$BO$1006,0))&gt;=100000), " ",IF(INDEX($AN$2:$BO$1001,MATCH(ROWS($AG$2:AG220),$AG$2:$AG$1001,0),MATCH(COLUMNS($AN$1006:BG1006),$AN$1006:$BO$1006,0)), HYPERLINK("#",""), HYPERLINK(CONCATENATE("#Metadata!", ADDRESS(INDEX($AI$2:$AI$1001,MATCH(ROWS($AG$2:AG220),$AG$2:$AG$1001,0),0), INDEX($AN$1004:$BO$1004,1,MATCH(COLUMNS($AN$1006:BG1006),$AN$1006:$BO$1006,0)))),"Fix")))</f>
        <v>0</v>
      </c>
      <c r="V220" s="4">
        <f>IF(OR(INDEX($AH$2:$AH$1001,MATCH(ROWS($AG$2:AG220),$AG$2:$AG$1001,0),1)&gt;=100000,INDEX($AN$1005:$BO$1005,1,MATCH(COLUMNS($AN$1006:BH1006),$AN$1006:$BO$1006,0))&gt;=100000), " ",IF(INDEX($AN$2:$BO$1001,MATCH(ROWS($AG$2:AG220),$AG$2:$AG$1001,0),MATCH(COLUMNS($AN$1006:BH1006),$AN$1006:$BO$1006,0)), HYPERLINK("#",""), HYPERLINK(CONCATENATE("#Metadata!", ADDRESS(INDEX($AI$2:$AI$1001,MATCH(ROWS($AG$2:AG220),$AG$2:$AG$1001,0),0), INDEX($AN$1004:$BO$1004,1,MATCH(COLUMNS($AN$1006:BH1006),$AN$1006:$BO$1006,0)))),"Fix")))</f>
        <v>0</v>
      </c>
      <c r="W220" s="4">
        <f>IF(OR(INDEX($AH$2:$AH$1001,MATCH(ROWS($AG$2:AG220),$AG$2:$AG$1001,0),1)&gt;=100000,INDEX($AN$1005:$BO$1005,1,MATCH(COLUMNS($AN$1006:BI1006),$AN$1006:$BO$1006,0))&gt;=100000), " ",IF(INDEX($AN$2:$BO$1001,MATCH(ROWS($AG$2:AG220),$AG$2:$AG$1001,0),MATCH(COLUMNS($AN$1006:BI1006),$AN$1006:$BO$1006,0)), HYPERLINK("#",""), HYPERLINK(CONCATENATE("#Metadata!", ADDRESS(INDEX($AI$2:$AI$1001,MATCH(ROWS($AG$2:AG220),$AG$2:$AG$1001,0),0), INDEX($AN$1004:$BO$1004,1,MATCH(COLUMNS($AN$1006:BI1006),$AN$1006:$BO$1006,0)))),"Fix")))</f>
        <v>0</v>
      </c>
      <c r="X220" s="4">
        <f>IF(OR(INDEX($AH$2:$AH$1001,MATCH(ROWS($AG$2:AG220),$AG$2:$AG$1001,0),1)&gt;=100000,INDEX($AN$1005:$BO$1005,1,MATCH(COLUMNS($AN$1006:BJ1006),$AN$1006:$BO$1006,0))&gt;=100000), " ",IF(INDEX($AN$2:$BO$1001,MATCH(ROWS($AG$2:AG220),$AG$2:$AG$1001,0),MATCH(COLUMNS($AN$1006:BJ1006),$AN$1006:$BO$1006,0)), HYPERLINK("#",""), HYPERLINK(CONCATENATE("#Metadata!", ADDRESS(INDEX($AI$2:$AI$1001,MATCH(ROWS($AG$2:AG220),$AG$2:$AG$1001,0),0), INDEX($AN$1004:$BO$1004,1,MATCH(COLUMNS($AN$1006:BJ1006),$AN$1006:$BO$1006,0)))),"Fix")))</f>
        <v>0</v>
      </c>
      <c r="Y220" s="4">
        <f>IF(OR(INDEX($AH$2:$AH$1001,MATCH(ROWS($AG$2:AG220),$AG$2:$AG$1001,0),1)&gt;=100000,INDEX($AN$1005:$BO$1005,1,MATCH(COLUMNS($AN$1006:BK1006),$AN$1006:$BO$1006,0))&gt;=100000), " ",IF(INDEX($AN$2:$BO$1001,MATCH(ROWS($AG$2:AG220),$AG$2:$AG$1001,0),MATCH(COLUMNS($AN$1006:BK1006),$AN$1006:$BO$1006,0)), HYPERLINK("#",""), HYPERLINK(CONCATENATE("#Metadata!", ADDRESS(INDEX($AI$2:$AI$1001,MATCH(ROWS($AG$2:AG220),$AG$2:$AG$1001,0),0), INDEX($AN$1004:$BO$1004,1,MATCH(COLUMNS($AN$1006:BK1006),$AN$1006:$BO$1006,0)))),"Fix")))</f>
        <v>0</v>
      </c>
      <c r="Z220" s="4">
        <f>IF(OR(INDEX($AH$2:$AH$1001,MATCH(ROWS($AG$2:AG220),$AG$2:$AG$1001,0),1)&gt;=100000,INDEX($AN$1005:$BO$1005,1,MATCH(COLUMNS($AN$1006:BL1006),$AN$1006:$BO$1006,0))&gt;=100000), " ",IF(INDEX($AN$2:$BO$1001,MATCH(ROWS($AG$2:AG220),$AG$2:$AG$1001,0),MATCH(COLUMNS($AN$1006:BL1006),$AN$1006:$BO$1006,0)), HYPERLINK("#",""), HYPERLINK(CONCATENATE("#Metadata!", ADDRESS(INDEX($AI$2:$AI$1001,MATCH(ROWS($AG$2:AG220),$AG$2:$AG$1001,0),0), INDEX($AN$1004:$BO$1004,1,MATCH(COLUMNS($AN$1006:BL1006),$AN$1006:$BO$1006,0)))),"Fix")))</f>
        <v>0</v>
      </c>
      <c r="AA220" s="4">
        <f>IF(OR(INDEX($AH$2:$AH$1001,MATCH(ROWS($AG$2:AG220),$AG$2:$AG$1001,0),1)&gt;=100000,INDEX($AN$1005:$BO$1005,1,MATCH(COLUMNS($AN$1006:BM1006),$AN$1006:$BO$1006,0))&gt;=100000), " ",IF(INDEX($AN$2:$BO$1001,MATCH(ROWS($AG$2:AG220),$AG$2:$AG$1001,0),MATCH(COLUMNS($AN$1006:BM1006),$AN$1006:$BO$1006,0)), HYPERLINK("#",""), HYPERLINK(CONCATENATE("#Metadata!", ADDRESS(INDEX($AI$2:$AI$1001,MATCH(ROWS($AG$2:AG220),$AG$2:$AG$1001,0),0), INDEX($AN$1004:$BO$1004,1,MATCH(COLUMNS($AN$1006:BM1006),$AN$1006:$BO$1006,0)))),"Fix")))</f>
        <v>0</v>
      </c>
      <c r="AB220" s="4">
        <f>IF(OR(INDEX($AH$2:$AH$1001,MATCH(ROWS($AG$2:AG220),$AG$2:$AG$1001,0),1)&gt;=100000,INDEX($AN$1005:$BO$1005,1,MATCH(COLUMNS($AN$1006:BN1006),$AN$1006:$BO$1006,0))&gt;=100000), " ",IF(INDEX($AN$2:$BO$1001,MATCH(ROWS($AG$2:AG220),$AG$2:$AG$1001,0),MATCH(COLUMNS($AN$1006:BN1006),$AN$1006:$BO$1006,0)), HYPERLINK("#",""), HYPERLINK(CONCATENATE("#Metadata!", ADDRESS(INDEX($AI$2:$AI$1001,MATCH(ROWS($AG$2:AG220),$AG$2:$AG$1001,0),0), INDEX($AN$1004:$BO$1004,1,MATCH(COLUMNS($AN$1006:BN1006),$AN$1006:$BO$1006,0)))),"Fix")))</f>
        <v>0</v>
      </c>
      <c r="AC220" s="4">
        <f>IF(OR(INDEX($AH$2:$AH$1001,MATCH(ROWS($AG$2:AG220),$AG$2:$AG$1001,0),1)&gt;=100000,INDEX($AN$1005:$BO$1005,1,MATCH(COLUMNS($AN$1006:BO1006),$AN$1006:$BO$1006,0))&gt;=100000), " ",IF(INDEX($AN$2:$BO$1001,MATCH(ROWS($AG$2:AG220),$AG$2:$AG$1001,0),MATCH(COLUMNS($AN$1006:BO1006),$AN$1006:$BO$1006,0)), HYPERLINK("#",""), HYPERLINK(CONCATENATE("#Metadata!", ADDRESS(INDEX($AI$2:$AI$1001,MATCH(ROWS($AG$2:AG220),$AG$2:$AG$1001,0),0), INDEX($AN$1004:$BO$1004,1,MATCH(COLUMNS($AN$1006:BO1006),$AN$1006:$BO$1006,0)))),"Fix")))</f>
        <v>0</v>
      </c>
      <c r="AG220">
        <v>0</v>
      </c>
      <c r="AH220">
        <v>0</v>
      </c>
      <c r="AI220">
        <v>0</v>
      </c>
      <c r="AJ220">
        <f>IF(AK220,TRUE,AND(AN220:BO220))</f>
        <v>0</v>
      </c>
      <c r="AK220">
        <f>COUNTBLANK(Metadata!B220:AC220)=COLUMNS(Metadata!B220:AC220)</f>
        <v>0</v>
      </c>
      <c r="AL220">
        <v>0</v>
      </c>
      <c r="AN220">
        <f>AND(IF(Metadata!B220="",FALSE,TRUE),COUNTIF(Metadata!B:B, Metadata!B220) = 1,NOT(ISERROR(SUMPRODUCT(SEARCH(MID(Metadata!B220,ROW(INDIRECT("1:"&amp;LEN(Metadata!B220))), 1),"0123456789abcdefghijklmnopqrstuvwxyzABCDEFGHIJKLMNOPQRSTUVWXYZ.")))))</f>
        <v>0</v>
      </c>
      <c r="AO220">
        <f>IF(Metadata!C220="",FALSE,TRUE)</f>
        <v>0</v>
      </c>
      <c r="AP220">
        <f>IF(Metadata!D220="",FALSE,TRUE)</f>
        <v>0</v>
      </c>
      <c r="AQ220">
        <f>OR(AND(IF(Metadata!E220="",FALSE,TRUE),OR(exact(Metadata!E220,"not collected"),exact(Metadata!E220,"not provided"),exact(Metadata!E220,"restricted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R220">
        <f>IF(Metadata!F220="",FALSE,TRUE)</f>
        <v>0</v>
      </c>
      <c r="AS220">
        <f>OR(AND(IF(Metadata!G220="",FALSE,TRUE),OR(exact(Metadata!G220,"not collected"),exact(Metadata!G220,"not provided"))),AND(IF(Metadata!G220="",FALSE,TRUE),OR(exact(Metadata!G220,"TRUE"),exact(Metadata!G220,"FALSE"))))</f>
        <v>0</v>
      </c>
      <c r="AT220">
        <f>OR(AND(IF(Metadata!H220="",FALSE,TRUE),OR(exact(Metadata!H220,"not collected"),exact(Metadata!H220,"not provided"),exact(Metadata!H220,"restricted access"))),AND(IF(Metadata!H220="",FALSE,ISNUMBER(VALUE(Metadata!H220))),Metadata!H220&gt;=-413.0))</f>
        <v>0</v>
      </c>
      <c r="AU220">
        <f>AND(IF(Metadata!I220="",FALSE,TRUE),exact(Metadata!I220,"meters"))</f>
        <v>0</v>
      </c>
      <c r="AV220">
        <f>AND(IF(Metadata!J220="",FALSE,TRUE),OR(exact(Metadata!J220,"Host-associated"),exact(Metadata!J220,"Free-living")))</f>
        <v>0</v>
      </c>
      <c r="AW220">
        <f>AND(IF(Metadata!K220="",FALSE,TRUE),OR(exact(Metadata!K220,"Animal"),exact(Metadata!K220,"Fungus"),exact(Metadata!K220,"Plant"),exact(Metadata!K220,"Saline"),exact(Metadata!K220,"Non-saline")))</f>
        <v>0</v>
      </c>
      <c r="AX220">
        <f>AND(IF(Metadata!L220="",FALSE,TRUE),OR(exact(Metadata!L220,"Plant secretion"),exact(Metadata!L220,"Plant rhizosphere"),exact(Metadata!L220,"Plant surface"),exact(Metadata!L220,"Plant corpus"),exact(Metadata!L220,"Fungus surface"),exact(Metadata!L220,"Fungus corpus"),exact(Metadata!L220,"Animal surface"),exact(Metadata!L220,"Animal proximal gut"),exact(Metadata!L220,"Animal corpus"),exact(Metadata!L220,"Animal distal gut"),exact(Metadata!L220,"Animal secretion"),exact(Metadata!L220,"Sub-surface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Y220">
        <f>IF(Metadata!M220="",FALSE,TRUE)</f>
        <v>0</v>
      </c>
      <c r="AZ220">
        <f>IF(Metadata!N220="",FALSE,TRUE)</f>
        <v>0</v>
      </c>
      <c r="BA220">
        <f>IF(Metadata!O220="",FALSE,TRUE)</f>
        <v>0</v>
      </c>
      <c r="BB220">
        <f>OR(AND(IF(Metadata!P220="",FALSE,TRUE),OR(exact(Metadata!P220,"not collected"),exact(Metadata!P220,"not provided"),exact(Metadata!P220,"restricted access"))),AND(IF(Metadata!P220="",FALSE,TRUE),OR(exact(Metadata!P220,"air"),exact(Metadata!P220,"built environment"),exact(Metadata!P220,"host-associated"),exact(Metadata!P220,"human-associated"),exact(Metadata!P220,"human-skin"),exact(Metadata!P220,"human-oral"),exact(Metadata!P220,"human-gut"),exact(Metadata!P220,"human-vaginal"),exact(Metadata!P220,"microbial mat/biofilm"),exact(Metadata!P220,"misc environment"),exact(Metadata!P220,"plant-associated"),exact(Metadata!P220,"sediment"),exact(Metadata!P220,"soil"),exact(Metadata!P220,"wastewater/sludge"),exact(Metadata!P220,"water"))))</f>
        <v>0</v>
      </c>
      <c r="BC220">
        <f>IF(Metadata!Q220="",FALSE,TRUE)</f>
        <v>0</v>
      </c>
      <c r="BD220">
        <f>IF(Metadata!R220="",FALSE,TRUE)</f>
        <v>0</v>
      </c>
      <c r="BE220">
        <f>OR(AND(IF(Metadata!S220="",FALSE,TRUE),OR(exact(Metadata!S220,"not collected"),exact(Metadata!S220,"not provided"),exact(Metadata!S220,"restricted access"))),AND(IF(Metadata!S220="",FALSE,ISNUMBER(VALUE(Metadata!S220))),Metadata!S220&gt;=-90.00,Metadata!S220&lt;=90.00))</f>
        <v>0</v>
      </c>
      <c r="BF220">
        <f>AND(IF(Metadata!T220="",FALSE,TRUE),exact(Metadata!T220,"Decimal degrees"))</f>
        <v>0</v>
      </c>
      <c r="BG220">
        <f>OR(AND(IF(Metadata!U220="",FALSE,TRUE),OR(exact(Metadata!U220,"not collected"),exact(Metadata!U220,"not provided"),exact(Metadata!U220,"restricted access"))),AND(IF(Metadata!U220="",FALSE,ISNUMBER(VALUE(Metadata!U220))),Metadata!U220&gt;=-180.00,Metadata!U220&lt;=180.00))</f>
        <v>0</v>
      </c>
      <c r="BH220">
        <f>AND(IF(Metadata!V220="",FALSE,TRUE),exact(Metadata!V220,"Decimal degrees"))</f>
        <v>0</v>
      </c>
      <c r="BI220">
        <f>IF(Metadata!W220="",FALSE,TRUE)</f>
        <v>0</v>
      </c>
      <c r="BJ220">
        <f>OR(AND(IF(Metadata!X220="",FALSE,TRUE),OR(exact(Metadata!X220,"not collected"),exact(Metadata!X220,"not provided"),exact(Metadata!X220,"restricted access"))),AND(IF(Metadata!X220="",FALSE,TRUE),OR(exact(Metadata!X220,"TRUE"),exact(Metadata!X220,"FALSE"))))</f>
        <v>0</v>
      </c>
      <c r="BK220">
        <f>AND(IF(Metadata!Y220="",FALSE,TRUE),exact(Metadata!Y220,"other"))</f>
        <v>0</v>
      </c>
      <c r="BL220">
        <f>IF(Metadata!Z220="",FALSE,TRUE)</f>
        <v>0</v>
      </c>
      <c r="BM220">
        <f>OR(AND(IF(Metadata!AA220="",FALSE,TRUE),OR(exact(Metadata!AA220,"not collected"),exact(Metadata!AA220,"not provided"))),AND(IF(Metadata!AA220="",FALSE,IF(ISERROR(INT(Metadata!AA220)),FALSE,INT(Metadata!AA220)=Metadata!AA220)),Metadata!AA220&gt;0))</f>
        <v>0</v>
      </c>
      <c r="BN220">
        <f>AND(IF(Metadata!AB220="",FALSE,TRUE),exact(Metadata!AB220,"Not applicable"))</f>
        <v>0</v>
      </c>
      <c r="BO220">
        <f>IF(Metadata!AC220="",FALSE,TRUE)</f>
        <v>0</v>
      </c>
    </row>
    <row r="221" spans="1:67">
      <c r="A221" s="5">
        <f>IF(B221=" "," ",HYPERLINK(CONCATENATE("#metadata!",ADDRESS(INDEX($AI$2:$AI$1001,MATCH(ROWS($AG$2:AG221),$AG$2:$AG$1001,0),0),1)),INDEX($AL$2:$AL$1001,MATCH(ROWS($AG$2:AG221),$AG$2:$AG$1001,0),0)))</f>
        <v>0</v>
      </c>
      <c r="B221" s="4">
        <f>IF(OR(INDEX($AH$2:$AH$1001,MATCH(ROWS($AG$2:AG221),$AG$2:$AG$1001,0),1)&gt;=100000,INDEX($AN$1005:$BO$1005,1,MATCH(COLUMNS($AN$1006:AN1006),$AN$1006:$BO$1006,0))&gt;=100000), " ",IF(INDEX($AN$2:$BO$1001,MATCH(ROWS($AG$2:AG221),$AG$2:$AG$1001,0),MATCH(COLUMNS($AN$1006:AN1006),$AN$1006:$BO$1006,0)), HYPERLINK("#",""), HYPERLINK(CONCATENATE("#Metadata!", ADDRESS(INDEX($AI$2:$AI$1001,MATCH(ROWS($AG$2:AG221),$AG$2:$AG$1001,0),0), INDEX($AN$1004:$BO$1004,1,MATCH(COLUMNS($AN$1006:AN1006),$AN$1006:$BO$1006,0)))),"Fix")))</f>
        <v>0</v>
      </c>
      <c r="C221" s="4">
        <f>IF(OR(INDEX($AH$2:$AH$1001,MATCH(ROWS($AG$2:AG221),$AG$2:$AG$1001,0),1)&gt;=100000,INDEX($AN$1005:$BO$1005,1,MATCH(COLUMNS($AN$1006:AO1006),$AN$1006:$BO$1006,0))&gt;=100000), " ",IF(INDEX($AN$2:$BO$1001,MATCH(ROWS($AG$2:AG221),$AG$2:$AG$1001,0),MATCH(COLUMNS($AN$1006:AO1006),$AN$1006:$BO$1006,0)), HYPERLINK("#",""), HYPERLINK(CONCATENATE("#Metadata!", ADDRESS(INDEX($AI$2:$AI$1001,MATCH(ROWS($AG$2:AG221),$AG$2:$AG$1001,0),0), INDEX($AN$1004:$BO$1004,1,MATCH(COLUMNS($AN$1006:AO1006),$AN$1006:$BO$1006,0)))),"Fix")))</f>
        <v>0</v>
      </c>
      <c r="D221" s="4">
        <f>IF(OR(INDEX($AH$2:$AH$1001,MATCH(ROWS($AG$2:AG221),$AG$2:$AG$1001,0),1)&gt;=100000,INDEX($AN$1005:$BO$1005,1,MATCH(COLUMNS($AN$1006:AP1006),$AN$1006:$BO$1006,0))&gt;=100000), " ",IF(INDEX($AN$2:$BO$1001,MATCH(ROWS($AG$2:AG221),$AG$2:$AG$1001,0),MATCH(COLUMNS($AN$1006:AP1006),$AN$1006:$BO$1006,0)), HYPERLINK("#",""), HYPERLINK(CONCATENATE("#Metadata!", ADDRESS(INDEX($AI$2:$AI$1001,MATCH(ROWS($AG$2:AG221),$AG$2:$AG$1001,0),0), INDEX($AN$1004:$BO$1004,1,MATCH(COLUMNS($AN$1006:AP1006),$AN$1006:$BO$1006,0)))),"Fix")))</f>
        <v>0</v>
      </c>
      <c r="E221" s="4">
        <f>IF(OR(INDEX($AH$2:$AH$1001,MATCH(ROWS($AG$2:AG221),$AG$2:$AG$1001,0),1)&gt;=100000,INDEX($AN$1005:$BO$1005,1,MATCH(COLUMNS($AN$1006:AQ1006),$AN$1006:$BO$1006,0))&gt;=100000), " ",IF(INDEX($AN$2:$BO$1001,MATCH(ROWS($AG$2:AG221),$AG$2:$AG$1001,0),MATCH(COLUMNS($AN$1006:AQ1006),$AN$1006:$BO$1006,0)), HYPERLINK("#",""), HYPERLINK(CONCATENATE("#Metadata!", ADDRESS(INDEX($AI$2:$AI$1001,MATCH(ROWS($AG$2:AG221),$AG$2:$AG$1001,0),0), INDEX($AN$1004:$BO$1004,1,MATCH(COLUMNS($AN$1006:AQ1006),$AN$1006:$BO$1006,0)))),"Fix")))</f>
        <v>0</v>
      </c>
      <c r="F221" s="4">
        <f>IF(OR(INDEX($AH$2:$AH$1001,MATCH(ROWS($AG$2:AG221),$AG$2:$AG$1001,0),1)&gt;=100000,INDEX($AN$1005:$BO$1005,1,MATCH(COLUMNS($AN$1006:AR1006),$AN$1006:$BO$1006,0))&gt;=100000), " ",IF(INDEX($AN$2:$BO$1001,MATCH(ROWS($AG$2:AG221),$AG$2:$AG$1001,0),MATCH(COLUMNS($AN$1006:AR1006),$AN$1006:$BO$1006,0)), HYPERLINK("#",""), HYPERLINK(CONCATENATE("#Metadata!", ADDRESS(INDEX($AI$2:$AI$1001,MATCH(ROWS($AG$2:AG221),$AG$2:$AG$1001,0),0), INDEX($AN$1004:$BO$1004,1,MATCH(COLUMNS($AN$1006:AR1006),$AN$1006:$BO$1006,0)))),"Fix")))</f>
        <v>0</v>
      </c>
      <c r="G221" s="4">
        <f>IF(OR(INDEX($AH$2:$AH$1001,MATCH(ROWS($AG$2:AG221),$AG$2:$AG$1001,0),1)&gt;=100000,INDEX($AN$1005:$BO$1005,1,MATCH(COLUMNS($AN$1006:AS1006),$AN$1006:$BO$1006,0))&gt;=100000), " ",IF(INDEX($AN$2:$BO$1001,MATCH(ROWS($AG$2:AG221),$AG$2:$AG$1001,0),MATCH(COLUMNS($AN$1006:AS1006),$AN$1006:$BO$1006,0)), HYPERLINK("#",""), HYPERLINK(CONCATENATE("#Metadata!", ADDRESS(INDEX($AI$2:$AI$1001,MATCH(ROWS($AG$2:AG221),$AG$2:$AG$1001,0),0), INDEX($AN$1004:$BO$1004,1,MATCH(COLUMNS($AN$1006:AS1006),$AN$1006:$BO$1006,0)))),"Fix")))</f>
        <v>0</v>
      </c>
      <c r="H221" s="4">
        <f>IF(OR(INDEX($AH$2:$AH$1001,MATCH(ROWS($AG$2:AG221),$AG$2:$AG$1001,0),1)&gt;=100000,INDEX($AN$1005:$BO$1005,1,MATCH(COLUMNS($AN$1006:AT1006),$AN$1006:$BO$1006,0))&gt;=100000), " ",IF(INDEX($AN$2:$BO$1001,MATCH(ROWS($AG$2:AG221),$AG$2:$AG$1001,0),MATCH(COLUMNS($AN$1006:AT1006),$AN$1006:$BO$1006,0)), HYPERLINK("#",""), HYPERLINK(CONCATENATE("#Metadata!", ADDRESS(INDEX($AI$2:$AI$1001,MATCH(ROWS($AG$2:AG221),$AG$2:$AG$1001,0),0), INDEX($AN$1004:$BO$1004,1,MATCH(COLUMNS($AN$1006:AT1006),$AN$1006:$BO$1006,0)))),"Fix")))</f>
        <v>0</v>
      </c>
      <c r="I221" s="4">
        <f>IF(OR(INDEX($AH$2:$AH$1001,MATCH(ROWS($AG$2:AG221),$AG$2:$AG$1001,0),1)&gt;=100000,INDEX($AN$1005:$BO$1005,1,MATCH(COLUMNS($AN$1006:AU1006),$AN$1006:$BO$1006,0))&gt;=100000), " ",IF(INDEX($AN$2:$BO$1001,MATCH(ROWS($AG$2:AG221),$AG$2:$AG$1001,0),MATCH(COLUMNS($AN$1006:AU1006),$AN$1006:$BO$1006,0)), HYPERLINK("#",""), HYPERLINK(CONCATENATE("#Metadata!", ADDRESS(INDEX($AI$2:$AI$1001,MATCH(ROWS($AG$2:AG221),$AG$2:$AG$1001,0),0), INDEX($AN$1004:$BO$1004,1,MATCH(COLUMNS($AN$1006:AU1006),$AN$1006:$BO$1006,0)))),"Fix")))</f>
        <v>0</v>
      </c>
      <c r="J221" s="4">
        <f>IF(OR(INDEX($AH$2:$AH$1001,MATCH(ROWS($AG$2:AG221),$AG$2:$AG$1001,0),1)&gt;=100000,INDEX($AN$1005:$BO$1005,1,MATCH(COLUMNS($AN$1006:AV1006),$AN$1006:$BO$1006,0))&gt;=100000), " ",IF(INDEX($AN$2:$BO$1001,MATCH(ROWS($AG$2:AG221),$AG$2:$AG$1001,0),MATCH(COLUMNS($AN$1006:AV1006),$AN$1006:$BO$1006,0)), HYPERLINK("#",""), HYPERLINK(CONCATENATE("#Metadata!", ADDRESS(INDEX($AI$2:$AI$1001,MATCH(ROWS($AG$2:AG221),$AG$2:$AG$1001,0),0), INDEX($AN$1004:$BO$1004,1,MATCH(COLUMNS($AN$1006:AV1006),$AN$1006:$BO$1006,0)))),"Fix")))</f>
        <v>0</v>
      </c>
      <c r="K221" s="4">
        <f>IF(OR(INDEX($AH$2:$AH$1001,MATCH(ROWS($AG$2:AG221),$AG$2:$AG$1001,0),1)&gt;=100000,INDEX($AN$1005:$BO$1005,1,MATCH(COLUMNS($AN$1006:AW1006),$AN$1006:$BO$1006,0))&gt;=100000), " ",IF(INDEX($AN$2:$BO$1001,MATCH(ROWS($AG$2:AG221),$AG$2:$AG$1001,0),MATCH(COLUMNS($AN$1006:AW1006),$AN$1006:$BO$1006,0)), HYPERLINK("#",""), HYPERLINK(CONCATENATE("#Metadata!", ADDRESS(INDEX($AI$2:$AI$1001,MATCH(ROWS($AG$2:AG221),$AG$2:$AG$1001,0),0), INDEX($AN$1004:$BO$1004,1,MATCH(COLUMNS($AN$1006:AW1006),$AN$1006:$BO$1006,0)))),"Fix")))</f>
        <v>0</v>
      </c>
      <c r="L221" s="4">
        <f>IF(OR(INDEX($AH$2:$AH$1001,MATCH(ROWS($AG$2:AG221),$AG$2:$AG$1001,0),1)&gt;=100000,INDEX($AN$1005:$BO$1005,1,MATCH(COLUMNS($AN$1006:AX1006),$AN$1006:$BO$1006,0))&gt;=100000), " ",IF(INDEX($AN$2:$BO$1001,MATCH(ROWS($AG$2:AG221),$AG$2:$AG$1001,0),MATCH(COLUMNS($AN$1006:AX1006),$AN$1006:$BO$1006,0)), HYPERLINK("#",""), HYPERLINK(CONCATENATE("#Metadata!", ADDRESS(INDEX($AI$2:$AI$1001,MATCH(ROWS($AG$2:AG221),$AG$2:$AG$1001,0),0), INDEX($AN$1004:$BO$1004,1,MATCH(COLUMNS($AN$1006:AX1006),$AN$1006:$BO$1006,0)))),"Fix")))</f>
        <v>0</v>
      </c>
      <c r="M221" s="4">
        <f>IF(OR(INDEX($AH$2:$AH$1001,MATCH(ROWS($AG$2:AG221),$AG$2:$AG$1001,0),1)&gt;=100000,INDEX($AN$1005:$BO$1005,1,MATCH(COLUMNS($AN$1006:AY1006),$AN$1006:$BO$1006,0))&gt;=100000), " ",IF(INDEX($AN$2:$BO$1001,MATCH(ROWS($AG$2:AG221),$AG$2:$AG$1001,0),MATCH(COLUMNS($AN$1006:AY1006),$AN$1006:$BO$1006,0)), HYPERLINK("#",""), HYPERLINK(CONCATENATE("#Metadata!", ADDRESS(INDEX($AI$2:$AI$1001,MATCH(ROWS($AG$2:AG221),$AG$2:$AG$1001,0),0), INDEX($AN$1004:$BO$1004,1,MATCH(COLUMNS($AN$1006:AY1006),$AN$1006:$BO$1006,0)))),"Fix")))</f>
        <v>0</v>
      </c>
      <c r="N221" s="4">
        <f>IF(OR(INDEX($AH$2:$AH$1001,MATCH(ROWS($AG$2:AG221),$AG$2:$AG$1001,0),1)&gt;=100000,INDEX($AN$1005:$BO$1005,1,MATCH(COLUMNS($AN$1006:AZ1006),$AN$1006:$BO$1006,0))&gt;=100000), " ",IF(INDEX($AN$2:$BO$1001,MATCH(ROWS($AG$2:AG221),$AG$2:$AG$1001,0),MATCH(COLUMNS($AN$1006:AZ1006),$AN$1006:$BO$1006,0)), HYPERLINK("#",""), HYPERLINK(CONCATENATE("#Metadata!", ADDRESS(INDEX($AI$2:$AI$1001,MATCH(ROWS($AG$2:AG221),$AG$2:$AG$1001,0),0), INDEX($AN$1004:$BO$1004,1,MATCH(COLUMNS($AN$1006:AZ1006),$AN$1006:$BO$1006,0)))),"Fix")))</f>
        <v>0</v>
      </c>
      <c r="O221" s="4">
        <f>IF(OR(INDEX($AH$2:$AH$1001,MATCH(ROWS($AG$2:AG221),$AG$2:$AG$1001,0),1)&gt;=100000,INDEX($AN$1005:$BO$1005,1,MATCH(COLUMNS($AN$1006:BA1006),$AN$1006:$BO$1006,0))&gt;=100000), " ",IF(INDEX($AN$2:$BO$1001,MATCH(ROWS($AG$2:AG221),$AG$2:$AG$1001,0),MATCH(COLUMNS($AN$1006:BA1006),$AN$1006:$BO$1006,0)), HYPERLINK("#",""), HYPERLINK(CONCATENATE("#Metadata!", ADDRESS(INDEX($AI$2:$AI$1001,MATCH(ROWS($AG$2:AG221),$AG$2:$AG$1001,0),0), INDEX($AN$1004:$BO$1004,1,MATCH(COLUMNS($AN$1006:BA1006),$AN$1006:$BO$1006,0)))),"Fix")))</f>
        <v>0</v>
      </c>
      <c r="P221" s="4">
        <f>IF(OR(INDEX($AH$2:$AH$1001,MATCH(ROWS($AG$2:AG221),$AG$2:$AG$1001,0),1)&gt;=100000,INDEX($AN$1005:$BO$1005,1,MATCH(COLUMNS($AN$1006:BB1006),$AN$1006:$BO$1006,0))&gt;=100000), " ",IF(INDEX($AN$2:$BO$1001,MATCH(ROWS($AG$2:AG221),$AG$2:$AG$1001,0),MATCH(COLUMNS($AN$1006:BB1006),$AN$1006:$BO$1006,0)), HYPERLINK("#",""), HYPERLINK(CONCATENATE("#Metadata!", ADDRESS(INDEX($AI$2:$AI$1001,MATCH(ROWS($AG$2:AG221),$AG$2:$AG$1001,0),0), INDEX($AN$1004:$BO$1004,1,MATCH(COLUMNS($AN$1006:BB1006),$AN$1006:$BO$1006,0)))),"Fix")))</f>
        <v>0</v>
      </c>
      <c r="Q221" s="4">
        <f>IF(OR(INDEX($AH$2:$AH$1001,MATCH(ROWS($AG$2:AG221),$AG$2:$AG$1001,0),1)&gt;=100000,INDEX($AN$1005:$BO$1005,1,MATCH(COLUMNS($AN$1006:BC1006),$AN$1006:$BO$1006,0))&gt;=100000), " ",IF(INDEX($AN$2:$BO$1001,MATCH(ROWS($AG$2:AG221),$AG$2:$AG$1001,0),MATCH(COLUMNS($AN$1006:BC1006),$AN$1006:$BO$1006,0)), HYPERLINK("#",""), HYPERLINK(CONCATENATE("#Metadata!", ADDRESS(INDEX($AI$2:$AI$1001,MATCH(ROWS($AG$2:AG221),$AG$2:$AG$1001,0),0), INDEX($AN$1004:$BO$1004,1,MATCH(COLUMNS($AN$1006:BC1006),$AN$1006:$BO$1006,0)))),"Fix")))</f>
        <v>0</v>
      </c>
      <c r="R221" s="4">
        <f>IF(OR(INDEX($AH$2:$AH$1001,MATCH(ROWS($AG$2:AG221),$AG$2:$AG$1001,0),1)&gt;=100000,INDEX($AN$1005:$BO$1005,1,MATCH(COLUMNS($AN$1006:BD1006),$AN$1006:$BO$1006,0))&gt;=100000), " ",IF(INDEX($AN$2:$BO$1001,MATCH(ROWS($AG$2:AG221),$AG$2:$AG$1001,0),MATCH(COLUMNS($AN$1006:BD1006),$AN$1006:$BO$1006,0)), HYPERLINK("#",""), HYPERLINK(CONCATENATE("#Metadata!", ADDRESS(INDEX($AI$2:$AI$1001,MATCH(ROWS($AG$2:AG221),$AG$2:$AG$1001,0),0), INDEX($AN$1004:$BO$1004,1,MATCH(COLUMNS($AN$1006:BD1006),$AN$1006:$BO$1006,0)))),"Fix")))</f>
        <v>0</v>
      </c>
      <c r="S221" s="4">
        <f>IF(OR(INDEX($AH$2:$AH$1001,MATCH(ROWS($AG$2:AG221),$AG$2:$AG$1001,0),1)&gt;=100000,INDEX($AN$1005:$BO$1005,1,MATCH(COLUMNS($AN$1006:BE1006),$AN$1006:$BO$1006,0))&gt;=100000), " ",IF(INDEX($AN$2:$BO$1001,MATCH(ROWS($AG$2:AG221),$AG$2:$AG$1001,0),MATCH(COLUMNS($AN$1006:BE1006),$AN$1006:$BO$1006,0)), HYPERLINK("#",""), HYPERLINK(CONCATENATE("#Metadata!", ADDRESS(INDEX($AI$2:$AI$1001,MATCH(ROWS($AG$2:AG221),$AG$2:$AG$1001,0),0), INDEX($AN$1004:$BO$1004,1,MATCH(COLUMNS($AN$1006:BE1006),$AN$1006:$BO$1006,0)))),"Fix")))</f>
        <v>0</v>
      </c>
      <c r="T221" s="4">
        <f>IF(OR(INDEX($AH$2:$AH$1001,MATCH(ROWS($AG$2:AG221),$AG$2:$AG$1001,0),1)&gt;=100000,INDEX($AN$1005:$BO$1005,1,MATCH(COLUMNS($AN$1006:BF1006),$AN$1006:$BO$1006,0))&gt;=100000), " ",IF(INDEX($AN$2:$BO$1001,MATCH(ROWS($AG$2:AG221),$AG$2:$AG$1001,0),MATCH(COLUMNS($AN$1006:BF1006),$AN$1006:$BO$1006,0)), HYPERLINK("#",""), HYPERLINK(CONCATENATE("#Metadata!", ADDRESS(INDEX($AI$2:$AI$1001,MATCH(ROWS($AG$2:AG221),$AG$2:$AG$1001,0),0), INDEX($AN$1004:$BO$1004,1,MATCH(COLUMNS($AN$1006:BF1006),$AN$1006:$BO$1006,0)))),"Fix")))</f>
        <v>0</v>
      </c>
      <c r="U221" s="4">
        <f>IF(OR(INDEX($AH$2:$AH$1001,MATCH(ROWS($AG$2:AG221),$AG$2:$AG$1001,0),1)&gt;=100000,INDEX($AN$1005:$BO$1005,1,MATCH(COLUMNS($AN$1006:BG1006),$AN$1006:$BO$1006,0))&gt;=100000), " ",IF(INDEX($AN$2:$BO$1001,MATCH(ROWS($AG$2:AG221),$AG$2:$AG$1001,0),MATCH(COLUMNS($AN$1006:BG1006),$AN$1006:$BO$1006,0)), HYPERLINK("#",""), HYPERLINK(CONCATENATE("#Metadata!", ADDRESS(INDEX($AI$2:$AI$1001,MATCH(ROWS($AG$2:AG221),$AG$2:$AG$1001,0),0), INDEX($AN$1004:$BO$1004,1,MATCH(COLUMNS($AN$1006:BG1006),$AN$1006:$BO$1006,0)))),"Fix")))</f>
        <v>0</v>
      </c>
      <c r="V221" s="4">
        <f>IF(OR(INDEX($AH$2:$AH$1001,MATCH(ROWS($AG$2:AG221),$AG$2:$AG$1001,0),1)&gt;=100000,INDEX($AN$1005:$BO$1005,1,MATCH(COLUMNS($AN$1006:BH1006),$AN$1006:$BO$1006,0))&gt;=100000), " ",IF(INDEX($AN$2:$BO$1001,MATCH(ROWS($AG$2:AG221),$AG$2:$AG$1001,0),MATCH(COLUMNS($AN$1006:BH1006),$AN$1006:$BO$1006,0)), HYPERLINK("#",""), HYPERLINK(CONCATENATE("#Metadata!", ADDRESS(INDEX($AI$2:$AI$1001,MATCH(ROWS($AG$2:AG221),$AG$2:$AG$1001,0),0), INDEX($AN$1004:$BO$1004,1,MATCH(COLUMNS($AN$1006:BH1006),$AN$1006:$BO$1006,0)))),"Fix")))</f>
        <v>0</v>
      </c>
      <c r="W221" s="4">
        <f>IF(OR(INDEX($AH$2:$AH$1001,MATCH(ROWS($AG$2:AG221),$AG$2:$AG$1001,0),1)&gt;=100000,INDEX($AN$1005:$BO$1005,1,MATCH(COLUMNS($AN$1006:BI1006),$AN$1006:$BO$1006,0))&gt;=100000), " ",IF(INDEX($AN$2:$BO$1001,MATCH(ROWS($AG$2:AG221),$AG$2:$AG$1001,0),MATCH(COLUMNS($AN$1006:BI1006),$AN$1006:$BO$1006,0)), HYPERLINK("#",""), HYPERLINK(CONCATENATE("#Metadata!", ADDRESS(INDEX($AI$2:$AI$1001,MATCH(ROWS($AG$2:AG221),$AG$2:$AG$1001,0),0), INDEX($AN$1004:$BO$1004,1,MATCH(COLUMNS($AN$1006:BI1006),$AN$1006:$BO$1006,0)))),"Fix")))</f>
        <v>0</v>
      </c>
      <c r="X221" s="4">
        <f>IF(OR(INDEX($AH$2:$AH$1001,MATCH(ROWS($AG$2:AG221),$AG$2:$AG$1001,0),1)&gt;=100000,INDEX($AN$1005:$BO$1005,1,MATCH(COLUMNS($AN$1006:BJ1006),$AN$1006:$BO$1006,0))&gt;=100000), " ",IF(INDEX($AN$2:$BO$1001,MATCH(ROWS($AG$2:AG221),$AG$2:$AG$1001,0),MATCH(COLUMNS($AN$1006:BJ1006),$AN$1006:$BO$1006,0)), HYPERLINK("#",""), HYPERLINK(CONCATENATE("#Metadata!", ADDRESS(INDEX($AI$2:$AI$1001,MATCH(ROWS($AG$2:AG221),$AG$2:$AG$1001,0),0), INDEX($AN$1004:$BO$1004,1,MATCH(COLUMNS($AN$1006:BJ1006),$AN$1006:$BO$1006,0)))),"Fix")))</f>
        <v>0</v>
      </c>
      <c r="Y221" s="4">
        <f>IF(OR(INDEX($AH$2:$AH$1001,MATCH(ROWS($AG$2:AG221),$AG$2:$AG$1001,0),1)&gt;=100000,INDEX($AN$1005:$BO$1005,1,MATCH(COLUMNS($AN$1006:BK1006),$AN$1006:$BO$1006,0))&gt;=100000), " ",IF(INDEX($AN$2:$BO$1001,MATCH(ROWS($AG$2:AG221),$AG$2:$AG$1001,0),MATCH(COLUMNS($AN$1006:BK1006),$AN$1006:$BO$1006,0)), HYPERLINK("#",""), HYPERLINK(CONCATENATE("#Metadata!", ADDRESS(INDEX($AI$2:$AI$1001,MATCH(ROWS($AG$2:AG221),$AG$2:$AG$1001,0),0), INDEX($AN$1004:$BO$1004,1,MATCH(COLUMNS($AN$1006:BK1006),$AN$1006:$BO$1006,0)))),"Fix")))</f>
        <v>0</v>
      </c>
      <c r="Z221" s="4">
        <f>IF(OR(INDEX($AH$2:$AH$1001,MATCH(ROWS($AG$2:AG221),$AG$2:$AG$1001,0),1)&gt;=100000,INDEX($AN$1005:$BO$1005,1,MATCH(COLUMNS($AN$1006:BL1006),$AN$1006:$BO$1006,0))&gt;=100000), " ",IF(INDEX($AN$2:$BO$1001,MATCH(ROWS($AG$2:AG221),$AG$2:$AG$1001,0),MATCH(COLUMNS($AN$1006:BL1006),$AN$1006:$BO$1006,0)), HYPERLINK("#",""), HYPERLINK(CONCATENATE("#Metadata!", ADDRESS(INDEX($AI$2:$AI$1001,MATCH(ROWS($AG$2:AG221),$AG$2:$AG$1001,0),0), INDEX($AN$1004:$BO$1004,1,MATCH(COLUMNS($AN$1006:BL1006),$AN$1006:$BO$1006,0)))),"Fix")))</f>
        <v>0</v>
      </c>
      <c r="AA221" s="4">
        <f>IF(OR(INDEX($AH$2:$AH$1001,MATCH(ROWS($AG$2:AG221),$AG$2:$AG$1001,0),1)&gt;=100000,INDEX($AN$1005:$BO$1005,1,MATCH(COLUMNS($AN$1006:BM1006),$AN$1006:$BO$1006,0))&gt;=100000), " ",IF(INDEX($AN$2:$BO$1001,MATCH(ROWS($AG$2:AG221),$AG$2:$AG$1001,0),MATCH(COLUMNS($AN$1006:BM1006),$AN$1006:$BO$1006,0)), HYPERLINK("#",""), HYPERLINK(CONCATENATE("#Metadata!", ADDRESS(INDEX($AI$2:$AI$1001,MATCH(ROWS($AG$2:AG221),$AG$2:$AG$1001,0),0), INDEX($AN$1004:$BO$1004,1,MATCH(COLUMNS($AN$1006:BM1006),$AN$1006:$BO$1006,0)))),"Fix")))</f>
        <v>0</v>
      </c>
      <c r="AB221" s="4">
        <f>IF(OR(INDEX($AH$2:$AH$1001,MATCH(ROWS($AG$2:AG221),$AG$2:$AG$1001,0),1)&gt;=100000,INDEX($AN$1005:$BO$1005,1,MATCH(COLUMNS($AN$1006:BN1006),$AN$1006:$BO$1006,0))&gt;=100000), " ",IF(INDEX($AN$2:$BO$1001,MATCH(ROWS($AG$2:AG221),$AG$2:$AG$1001,0),MATCH(COLUMNS($AN$1006:BN1006),$AN$1006:$BO$1006,0)), HYPERLINK("#",""), HYPERLINK(CONCATENATE("#Metadata!", ADDRESS(INDEX($AI$2:$AI$1001,MATCH(ROWS($AG$2:AG221),$AG$2:$AG$1001,0),0), INDEX($AN$1004:$BO$1004,1,MATCH(COLUMNS($AN$1006:BN1006),$AN$1006:$BO$1006,0)))),"Fix")))</f>
        <v>0</v>
      </c>
      <c r="AC221" s="4">
        <f>IF(OR(INDEX($AH$2:$AH$1001,MATCH(ROWS($AG$2:AG221),$AG$2:$AG$1001,0),1)&gt;=100000,INDEX($AN$1005:$BO$1005,1,MATCH(COLUMNS($AN$1006:BO1006),$AN$1006:$BO$1006,0))&gt;=100000), " ",IF(INDEX($AN$2:$BO$1001,MATCH(ROWS($AG$2:AG221),$AG$2:$AG$1001,0),MATCH(COLUMNS($AN$1006:BO1006),$AN$1006:$BO$1006,0)), HYPERLINK("#",""), HYPERLINK(CONCATENATE("#Metadata!", ADDRESS(INDEX($AI$2:$AI$1001,MATCH(ROWS($AG$2:AG221),$AG$2:$AG$1001,0),0), INDEX($AN$1004:$BO$1004,1,MATCH(COLUMNS($AN$1006:BO1006),$AN$1006:$BO$1006,0)))),"Fix")))</f>
        <v>0</v>
      </c>
      <c r="AG221">
        <v>0</v>
      </c>
      <c r="AH221">
        <v>0</v>
      </c>
      <c r="AI221">
        <v>0</v>
      </c>
      <c r="AJ221">
        <f>IF(AK221,TRUE,AND(AN221:BO221))</f>
        <v>0</v>
      </c>
      <c r="AK221">
        <f>COUNTBLANK(Metadata!B221:AC221)=COLUMNS(Metadata!B221:AC221)</f>
        <v>0</v>
      </c>
      <c r="AL221">
        <v>0</v>
      </c>
      <c r="AN221">
        <f>AND(IF(Metadata!B221="",FALSE,TRUE),COUNTIF(Metadata!B:B, Metadata!B221) = 1,NOT(ISERROR(SUMPRODUCT(SEARCH(MID(Metadata!B221,ROW(INDIRECT("1:"&amp;LEN(Metadata!B221))), 1),"0123456789abcdefghijklmnopqrstuvwxyzABCDEFGHIJKLMNOPQRSTUVWXYZ.")))))</f>
        <v>0</v>
      </c>
      <c r="AO221">
        <f>IF(Metadata!C221="",FALSE,TRUE)</f>
        <v>0</v>
      </c>
      <c r="AP221">
        <f>IF(Metadata!D221="",FALSE,TRUE)</f>
        <v>0</v>
      </c>
      <c r="AQ221">
        <f>OR(AND(IF(Metadata!E221="",FALSE,TRUE),OR(exact(Metadata!E221,"not collected"),exact(Metadata!E221,"not provided"),exact(Metadata!E221,"restricted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R221">
        <f>IF(Metadata!F221="",FALSE,TRUE)</f>
        <v>0</v>
      </c>
      <c r="AS221">
        <f>OR(AND(IF(Metadata!G221="",FALSE,TRUE),OR(exact(Metadata!G221,"not collected"),exact(Metadata!G221,"not provided"))),AND(IF(Metadata!G221="",FALSE,TRUE),OR(exact(Metadata!G221,"TRUE"),exact(Metadata!G221,"FALSE"))))</f>
        <v>0</v>
      </c>
      <c r="AT221">
        <f>OR(AND(IF(Metadata!H221="",FALSE,TRUE),OR(exact(Metadata!H221,"not collected"),exact(Metadata!H221,"not provided"),exact(Metadata!H221,"restricted access"))),AND(IF(Metadata!H221="",FALSE,ISNUMBER(VALUE(Metadata!H221))),Metadata!H221&gt;=-413.0))</f>
        <v>0</v>
      </c>
      <c r="AU221">
        <f>AND(IF(Metadata!I221="",FALSE,TRUE),exact(Metadata!I221,"meters"))</f>
        <v>0</v>
      </c>
      <c r="AV221">
        <f>AND(IF(Metadata!J221="",FALSE,TRUE),OR(exact(Metadata!J221,"Host-associated"),exact(Metadata!J221,"Free-living")))</f>
        <v>0</v>
      </c>
      <c r="AW221">
        <f>AND(IF(Metadata!K221="",FALSE,TRUE),OR(exact(Metadata!K221,"Animal"),exact(Metadata!K221,"Fungus"),exact(Metadata!K221,"Plant"),exact(Metadata!K221,"Saline"),exact(Metadata!K221,"Non-saline")))</f>
        <v>0</v>
      </c>
      <c r="AX221">
        <f>AND(IF(Metadata!L221="",FALSE,TRUE),OR(exact(Metadata!L221,"Plant secretion"),exact(Metadata!L221,"Plant rhizosphere"),exact(Metadata!L221,"Plant surface"),exact(Metadata!L221,"Plant corpus"),exact(Metadata!L221,"Fungus surface"),exact(Metadata!L221,"Fungus corpus"),exact(Metadata!L221,"Animal surface"),exact(Metadata!L221,"Animal proximal gut"),exact(Metadata!L221,"Animal corpus"),exact(Metadata!L221,"Animal distal gut"),exact(Metadata!L221,"Animal secretion"),exact(Metadata!L221,"Sub-surface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Y221">
        <f>IF(Metadata!M221="",FALSE,TRUE)</f>
        <v>0</v>
      </c>
      <c r="AZ221">
        <f>IF(Metadata!N221="",FALSE,TRUE)</f>
        <v>0</v>
      </c>
      <c r="BA221">
        <f>IF(Metadata!O221="",FALSE,TRUE)</f>
        <v>0</v>
      </c>
      <c r="BB221">
        <f>OR(AND(IF(Metadata!P221="",FALSE,TRUE),OR(exact(Metadata!P221,"not collected"),exact(Metadata!P221,"not provided"),exact(Metadata!P221,"restricted access"))),AND(IF(Metadata!P221="",FALSE,TRUE),OR(exact(Metadata!P221,"air"),exact(Metadata!P221,"built environment"),exact(Metadata!P221,"host-associated"),exact(Metadata!P221,"human-associated"),exact(Metadata!P221,"human-skin"),exact(Metadata!P221,"human-oral"),exact(Metadata!P221,"human-gut"),exact(Metadata!P221,"human-vaginal"),exact(Metadata!P221,"microbial mat/biofilm"),exact(Metadata!P221,"misc environment"),exact(Metadata!P221,"plant-associated"),exact(Metadata!P221,"sediment"),exact(Metadata!P221,"soil"),exact(Metadata!P221,"wastewater/sludge"),exact(Metadata!P221,"water"))))</f>
        <v>0</v>
      </c>
      <c r="BC221">
        <f>IF(Metadata!Q221="",FALSE,TRUE)</f>
        <v>0</v>
      </c>
      <c r="BD221">
        <f>IF(Metadata!R221="",FALSE,TRUE)</f>
        <v>0</v>
      </c>
      <c r="BE221">
        <f>OR(AND(IF(Metadata!S221="",FALSE,TRUE),OR(exact(Metadata!S221,"not collected"),exact(Metadata!S221,"not provided"),exact(Metadata!S221,"restricted access"))),AND(IF(Metadata!S221="",FALSE,ISNUMBER(VALUE(Metadata!S221))),Metadata!S221&gt;=-90.00,Metadata!S221&lt;=90.00))</f>
        <v>0</v>
      </c>
      <c r="BF221">
        <f>AND(IF(Metadata!T221="",FALSE,TRUE),exact(Metadata!T221,"Decimal degrees"))</f>
        <v>0</v>
      </c>
      <c r="BG221">
        <f>OR(AND(IF(Metadata!U221="",FALSE,TRUE),OR(exact(Metadata!U221,"not collected"),exact(Metadata!U221,"not provided"),exact(Metadata!U221,"restricted access"))),AND(IF(Metadata!U221="",FALSE,ISNUMBER(VALUE(Metadata!U221))),Metadata!U221&gt;=-180.00,Metadata!U221&lt;=180.00))</f>
        <v>0</v>
      </c>
      <c r="BH221">
        <f>AND(IF(Metadata!V221="",FALSE,TRUE),exact(Metadata!V221,"Decimal degrees"))</f>
        <v>0</v>
      </c>
      <c r="BI221">
        <f>IF(Metadata!W221="",FALSE,TRUE)</f>
        <v>0</v>
      </c>
      <c r="BJ221">
        <f>OR(AND(IF(Metadata!X221="",FALSE,TRUE),OR(exact(Metadata!X221,"not collected"),exact(Metadata!X221,"not provided"),exact(Metadata!X221,"restricted access"))),AND(IF(Metadata!X221="",FALSE,TRUE),OR(exact(Metadata!X221,"TRUE"),exact(Metadata!X221,"FALSE"))))</f>
        <v>0</v>
      </c>
      <c r="BK221">
        <f>AND(IF(Metadata!Y221="",FALSE,TRUE),exact(Metadata!Y221,"other"))</f>
        <v>0</v>
      </c>
      <c r="BL221">
        <f>IF(Metadata!Z221="",FALSE,TRUE)</f>
        <v>0</v>
      </c>
      <c r="BM221">
        <f>OR(AND(IF(Metadata!AA221="",FALSE,TRUE),OR(exact(Metadata!AA221,"not collected"),exact(Metadata!AA221,"not provided"))),AND(IF(Metadata!AA221="",FALSE,IF(ISERROR(INT(Metadata!AA221)),FALSE,INT(Metadata!AA221)=Metadata!AA221)),Metadata!AA221&gt;0))</f>
        <v>0</v>
      </c>
      <c r="BN221">
        <f>AND(IF(Metadata!AB221="",FALSE,TRUE),exact(Metadata!AB221,"Not applicable"))</f>
        <v>0</v>
      </c>
      <c r="BO221">
        <f>IF(Metadata!AC221="",FALSE,TRUE)</f>
        <v>0</v>
      </c>
    </row>
    <row r="222" spans="1:67">
      <c r="A222" s="5">
        <f>IF(B222=" "," ",HYPERLINK(CONCATENATE("#metadata!",ADDRESS(INDEX($AI$2:$AI$1001,MATCH(ROWS($AG$2:AG222),$AG$2:$AG$1001,0),0),1)),INDEX($AL$2:$AL$1001,MATCH(ROWS($AG$2:AG222),$AG$2:$AG$1001,0),0)))</f>
        <v>0</v>
      </c>
      <c r="B222" s="4">
        <f>IF(OR(INDEX($AH$2:$AH$1001,MATCH(ROWS($AG$2:AG222),$AG$2:$AG$1001,0),1)&gt;=100000,INDEX($AN$1005:$BO$1005,1,MATCH(COLUMNS($AN$1006:AN1006),$AN$1006:$BO$1006,0))&gt;=100000), " ",IF(INDEX($AN$2:$BO$1001,MATCH(ROWS($AG$2:AG222),$AG$2:$AG$1001,0),MATCH(COLUMNS($AN$1006:AN1006),$AN$1006:$BO$1006,0)), HYPERLINK("#",""), HYPERLINK(CONCATENATE("#Metadata!", ADDRESS(INDEX($AI$2:$AI$1001,MATCH(ROWS($AG$2:AG222),$AG$2:$AG$1001,0),0), INDEX($AN$1004:$BO$1004,1,MATCH(COLUMNS($AN$1006:AN1006),$AN$1006:$BO$1006,0)))),"Fix")))</f>
        <v>0</v>
      </c>
      <c r="C222" s="4">
        <f>IF(OR(INDEX($AH$2:$AH$1001,MATCH(ROWS($AG$2:AG222),$AG$2:$AG$1001,0),1)&gt;=100000,INDEX($AN$1005:$BO$1005,1,MATCH(COLUMNS($AN$1006:AO1006),$AN$1006:$BO$1006,0))&gt;=100000), " ",IF(INDEX($AN$2:$BO$1001,MATCH(ROWS($AG$2:AG222),$AG$2:$AG$1001,0),MATCH(COLUMNS($AN$1006:AO1006),$AN$1006:$BO$1006,0)), HYPERLINK("#",""), HYPERLINK(CONCATENATE("#Metadata!", ADDRESS(INDEX($AI$2:$AI$1001,MATCH(ROWS($AG$2:AG222),$AG$2:$AG$1001,0),0), INDEX($AN$1004:$BO$1004,1,MATCH(COLUMNS($AN$1006:AO1006),$AN$1006:$BO$1006,0)))),"Fix")))</f>
        <v>0</v>
      </c>
      <c r="D222" s="4">
        <f>IF(OR(INDEX($AH$2:$AH$1001,MATCH(ROWS($AG$2:AG222),$AG$2:$AG$1001,0),1)&gt;=100000,INDEX($AN$1005:$BO$1005,1,MATCH(COLUMNS($AN$1006:AP1006),$AN$1006:$BO$1006,0))&gt;=100000), " ",IF(INDEX($AN$2:$BO$1001,MATCH(ROWS($AG$2:AG222),$AG$2:$AG$1001,0),MATCH(COLUMNS($AN$1006:AP1006),$AN$1006:$BO$1006,0)), HYPERLINK("#",""), HYPERLINK(CONCATENATE("#Metadata!", ADDRESS(INDEX($AI$2:$AI$1001,MATCH(ROWS($AG$2:AG222),$AG$2:$AG$1001,0),0), INDEX($AN$1004:$BO$1004,1,MATCH(COLUMNS($AN$1006:AP1006),$AN$1006:$BO$1006,0)))),"Fix")))</f>
        <v>0</v>
      </c>
      <c r="E222" s="4">
        <f>IF(OR(INDEX($AH$2:$AH$1001,MATCH(ROWS($AG$2:AG222),$AG$2:$AG$1001,0),1)&gt;=100000,INDEX($AN$1005:$BO$1005,1,MATCH(COLUMNS($AN$1006:AQ1006),$AN$1006:$BO$1006,0))&gt;=100000), " ",IF(INDEX($AN$2:$BO$1001,MATCH(ROWS($AG$2:AG222),$AG$2:$AG$1001,0),MATCH(COLUMNS($AN$1006:AQ1006),$AN$1006:$BO$1006,0)), HYPERLINK("#",""), HYPERLINK(CONCATENATE("#Metadata!", ADDRESS(INDEX($AI$2:$AI$1001,MATCH(ROWS($AG$2:AG222),$AG$2:$AG$1001,0),0), INDEX($AN$1004:$BO$1004,1,MATCH(COLUMNS($AN$1006:AQ1006),$AN$1006:$BO$1006,0)))),"Fix")))</f>
        <v>0</v>
      </c>
      <c r="F222" s="4">
        <f>IF(OR(INDEX($AH$2:$AH$1001,MATCH(ROWS($AG$2:AG222),$AG$2:$AG$1001,0),1)&gt;=100000,INDEX($AN$1005:$BO$1005,1,MATCH(COLUMNS($AN$1006:AR1006),$AN$1006:$BO$1006,0))&gt;=100000), " ",IF(INDEX($AN$2:$BO$1001,MATCH(ROWS($AG$2:AG222),$AG$2:$AG$1001,0),MATCH(COLUMNS($AN$1006:AR1006),$AN$1006:$BO$1006,0)), HYPERLINK("#",""), HYPERLINK(CONCATENATE("#Metadata!", ADDRESS(INDEX($AI$2:$AI$1001,MATCH(ROWS($AG$2:AG222),$AG$2:$AG$1001,0),0), INDEX($AN$1004:$BO$1004,1,MATCH(COLUMNS($AN$1006:AR1006),$AN$1006:$BO$1006,0)))),"Fix")))</f>
        <v>0</v>
      </c>
      <c r="G222" s="4">
        <f>IF(OR(INDEX($AH$2:$AH$1001,MATCH(ROWS($AG$2:AG222),$AG$2:$AG$1001,0),1)&gt;=100000,INDEX($AN$1005:$BO$1005,1,MATCH(COLUMNS($AN$1006:AS1006),$AN$1006:$BO$1006,0))&gt;=100000), " ",IF(INDEX($AN$2:$BO$1001,MATCH(ROWS($AG$2:AG222),$AG$2:$AG$1001,0),MATCH(COLUMNS($AN$1006:AS1006),$AN$1006:$BO$1006,0)), HYPERLINK("#",""), HYPERLINK(CONCATENATE("#Metadata!", ADDRESS(INDEX($AI$2:$AI$1001,MATCH(ROWS($AG$2:AG222),$AG$2:$AG$1001,0),0), INDEX($AN$1004:$BO$1004,1,MATCH(COLUMNS($AN$1006:AS1006),$AN$1006:$BO$1006,0)))),"Fix")))</f>
        <v>0</v>
      </c>
      <c r="H222" s="4">
        <f>IF(OR(INDEX($AH$2:$AH$1001,MATCH(ROWS($AG$2:AG222),$AG$2:$AG$1001,0),1)&gt;=100000,INDEX($AN$1005:$BO$1005,1,MATCH(COLUMNS($AN$1006:AT1006),$AN$1006:$BO$1006,0))&gt;=100000), " ",IF(INDEX($AN$2:$BO$1001,MATCH(ROWS($AG$2:AG222),$AG$2:$AG$1001,0),MATCH(COLUMNS($AN$1006:AT1006),$AN$1006:$BO$1006,0)), HYPERLINK("#",""), HYPERLINK(CONCATENATE("#Metadata!", ADDRESS(INDEX($AI$2:$AI$1001,MATCH(ROWS($AG$2:AG222),$AG$2:$AG$1001,0),0), INDEX($AN$1004:$BO$1004,1,MATCH(COLUMNS($AN$1006:AT1006),$AN$1006:$BO$1006,0)))),"Fix")))</f>
        <v>0</v>
      </c>
      <c r="I222" s="4">
        <f>IF(OR(INDEX($AH$2:$AH$1001,MATCH(ROWS($AG$2:AG222),$AG$2:$AG$1001,0),1)&gt;=100000,INDEX($AN$1005:$BO$1005,1,MATCH(COLUMNS($AN$1006:AU1006),$AN$1006:$BO$1006,0))&gt;=100000), " ",IF(INDEX($AN$2:$BO$1001,MATCH(ROWS($AG$2:AG222),$AG$2:$AG$1001,0),MATCH(COLUMNS($AN$1006:AU1006),$AN$1006:$BO$1006,0)), HYPERLINK("#",""), HYPERLINK(CONCATENATE("#Metadata!", ADDRESS(INDEX($AI$2:$AI$1001,MATCH(ROWS($AG$2:AG222),$AG$2:$AG$1001,0),0), INDEX($AN$1004:$BO$1004,1,MATCH(COLUMNS($AN$1006:AU1006),$AN$1006:$BO$1006,0)))),"Fix")))</f>
        <v>0</v>
      </c>
      <c r="J222" s="4">
        <f>IF(OR(INDEX($AH$2:$AH$1001,MATCH(ROWS($AG$2:AG222),$AG$2:$AG$1001,0),1)&gt;=100000,INDEX($AN$1005:$BO$1005,1,MATCH(COLUMNS($AN$1006:AV1006),$AN$1006:$BO$1006,0))&gt;=100000), " ",IF(INDEX($AN$2:$BO$1001,MATCH(ROWS($AG$2:AG222),$AG$2:$AG$1001,0),MATCH(COLUMNS($AN$1006:AV1006),$AN$1006:$BO$1006,0)), HYPERLINK("#",""), HYPERLINK(CONCATENATE("#Metadata!", ADDRESS(INDEX($AI$2:$AI$1001,MATCH(ROWS($AG$2:AG222),$AG$2:$AG$1001,0),0), INDEX($AN$1004:$BO$1004,1,MATCH(COLUMNS($AN$1006:AV1006),$AN$1006:$BO$1006,0)))),"Fix")))</f>
        <v>0</v>
      </c>
      <c r="K222" s="4">
        <f>IF(OR(INDEX($AH$2:$AH$1001,MATCH(ROWS($AG$2:AG222),$AG$2:$AG$1001,0),1)&gt;=100000,INDEX($AN$1005:$BO$1005,1,MATCH(COLUMNS($AN$1006:AW1006),$AN$1006:$BO$1006,0))&gt;=100000), " ",IF(INDEX($AN$2:$BO$1001,MATCH(ROWS($AG$2:AG222),$AG$2:$AG$1001,0),MATCH(COLUMNS($AN$1006:AW1006),$AN$1006:$BO$1006,0)), HYPERLINK("#",""), HYPERLINK(CONCATENATE("#Metadata!", ADDRESS(INDEX($AI$2:$AI$1001,MATCH(ROWS($AG$2:AG222),$AG$2:$AG$1001,0),0), INDEX($AN$1004:$BO$1004,1,MATCH(COLUMNS($AN$1006:AW1006),$AN$1006:$BO$1006,0)))),"Fix")))</f>
        <v>0</v>
      </c>
      <c r="L222" s="4">
        <f>IF(OR(INDEX($AH$2:$AH$1001,MATCH(ROWS($AG$2:AG222),$AG$2:$AG$1001,0),1)&gt;=100000,INDEX($AN$1005:$BO$1005,1,MATCH(COLUMNS($AN$1006:AX1006),$AN$1006:$BO$1006,0))&gt;=100000), " ",IF(INDEX($AN$2:$BO$1001,MATCH(ROWS($AG$2:AG222),$AG$2:$AG$1001,0),MATCH(COLUMNS($AN$1006:AX1006),$AN$1006:$BO$1006,0)), HYPERLINK("#",""), HYPERLINK(CONCATENATE("#Metadata!", ADDRESS(INDEX($AI$2:$AI$1001,MATCH(ROWS($AG$2:AG222),$AG$2:$AG$1001,0),0), INDEX($AN$1004:$BO$1004,1,MATCH(COLUMNS($AN$1006:AX1006),$AN$1006:$BO$1006,0)))),"Fix")))</f>
        <v>0</v>
      </c>
      <c r="M222" s="4">
        <f>IF(OR(INDEX($AH$2:$AH$1001,MATCH(ROWS($AG$2:AG222),$AG$2:$AG$1001,0),1)&gt;=100000,INDEX($AN$1005:$BO$1005,1,MATCH(COLUMNS($AN$1006:AY1006),$AN$1006:$BO$1006,0))&gt;=100000), " ",IF(INDEX($AN$2:$BO$1001,MATCH(ROWS($AG$2:AG222),$AG$2:$AG$1001,0),MATCH(COLUMNS($AN$1006:AY1006),$AN$1006:$BO$1006,0)), HYPERLINK("#",""), HYPERLINK(CONCATENATE("#Metadata!", ADDRESS(INDEX($AI$2:$AI$1001,MATCH(ROWS($AG$2:AG222),$AG$2:$AG$1001,0),0), INDEX($AN$1004:$BO$1004,1,MATCH(COLUMNS($AN$1006:AY1006),$AN$1006:$BO$1006,0)))),"Fix")))</f>
        <v>0</v>
      </c>
      <c r="N222" s="4">
        <f>IF(OR(INDEX($AH$2:$AH$1001,MATCH(ROWS($AG$2:AG222),$AG$2:$AG$1001,0),1)&gt;=100000,INDEX($AN$1005:$BO$1005,1,MATCH(COLUMNS($AN$1006:AZ1006),$AN$1006:$BO$1006,0))&gt;=100000), " ",IF(INDEX($AN$2:$BO$1001,MATCH(ROWS($AG$2:AG222),$AG$2:$AG$1001,0),MATCH(COLUMNS($AN$1006:AZ1006),$AN$1006:$BO$1006,0)), HYPERLINK("#",""), HYPERLINK(CONCATENATE("#Metadata!", ADDRESS(INDEX($AI$2:$AI$1001,MATCH(ROWS($AG$2:AG222),$AG$2:$AG$1001,0),0), INDEX($AN$1004:$BO$1004,1,MATCH(COLUMNS($AN$1006:AZ1006),$AN$1006:$BO$1006,0)))),"Fix")))</f>
        <v>0</v>
      </c>
      <c r="O222" s="4">
        <f>IF(OR(INDEX($AH$2:$AH$1001,MATCH(ROWS($AG$2:AG222),$AG$2:$AG$1001,0),1)&gt;=100000,INDEX($AN$1005:$BO$1005,1,MATCH(COLUMNS($AN$1006:BA1006),$AN$1006:$BO$1006,0))&gt;=100000), " ",IF(INDEX($AN$2:$BO$1001,MATCH(ROWS($AG$2:AG222),$AG$2:$AG$1001,0),MATCH(COLUMNS($AN$1006:BA1006),$AN$1006:$BO$1006,0)), HYPERLINK("#",""), HYPERLINK(CONCATENATE("#Metadata!", ADDRESS(INDEX($AI$2:$AI$1001,MATCH(ROWS($AG$2:AG222),$AG$2:$AG$1001,0),0), INDEX($AN$1004:$BO$1004,1,MATCH(COLUMNS($AN$1006:BA1006),$AN$1006:$BO$1006,0)))),"Fix")))</f>
        <v>0</v>
      </c>
      <c r="P222" s="4">
        <f>IF(OR(INDEX($AH$2:$AH$1001,MATCH(ROWS($AG$2:AG222),$AG$2:$AG$1001,0),1)&gt;=100000,INDEX($AN$1005:$BO$1005,1,MATCH(COLUMNS($AN$1006:BB1006),$AN$1006:$BO$1006,0))&gt;=100000), " ",IF(INDEX($AN$2:$BO$1001,MATCH(ROWS($AG$2:AG222),$AG$2:$AG$1001,0),MATCH(COLUMNS($AN$1006:BB1006),$AN$1006:$BO$1006,0)), HYPERLINK("#",""), HYPERLINK(CONCATENATE("#Metadata!", ADDRESS(INDEX($AI$2:$AI$1001,MATCH(ROWS($AG$2:AG222),$AG$2:$AG$1001,0),0), INDEX($AN$1004:$BO$1004,1,MATCH(COLUMNS($AN$1006:BB1006),$AN$1006:$BO$1006,0)))),"Fix")))</f>
        <v>0</v>
      </c>
      <c r="Q222" s="4">
        <f>IF(OR(INDEX($AH$2:$AH$1001,MATCH(ROWS($AG$2:AG222),$AG$2:$AG$1001,0),1)&gt;=100000,INDEX($AN$1005:$BO$1005,1,MATCH(COLUMNS($AN$1006:BC1006),$AN$1006:$BO$1006,0))&gt;=100000), " ",IF(INDEX($AN$2:$BO$1001,MATCH(ROWS($AG$2:AG222),$AG$2:$AG$1001,0),MATCH(COLUMNS($AN$1006:BC1006),$AN$1006:$BO$1006,0)), HYPERLINK("#",""), HYPERLINK(CONCATENATE("#Metadata!", ADDRESS(INDEX($AI$2:$AI$1001,MATCH(ROWS($AG$2:AG222),$AG$2:$AG$1001,0),0), INDEX($AN$1004:$BO$1004,1,MATCH(COLUMNS($AN$1006:BC1006),$AN$1006:$BO$1006,0)))),"Fix")))</f>
        <v>0</v>
      </c>
      <c r="R222" s="4">
        <f>IF(OR(INDEX($AH$2:$AH$1001,MATCH(ROWS($AG$2:AG222),$AG$2:$AG$1001,0),1)&gt;=100000,INDEX($AN$1005:$BO$1005,1,MATCH(COLUMNS($AN$1006:BD1006),$AN$1006:$BO$1006,0))&gt;=100000), " ",IF(INDEX($AN$2:$BO$1001,MATCH(ROWS($AG$2:AG222),$AG$2:$AG$1001,0),MATCH(COLUMNS($AN$1006:BD1006),$AN$1006:$BO$1006,0)), HYPERLINK("#",""), HYPERLINK(CONCATENATE("#Metadata!", ADDRESS(INDEX($AI$2:$AI$1001,MATCH(ROWS($AG$2:AG222),$AG$2:$AG$1001,0),0), INDEX($AN$1004:$BO$1004,1,MATCH(COLUMNS($AN$1006:BD1006),$AN$1006:$BO$1006,0)))),"Fix")))</f>
        <v>0</v>
      </c>
      <c r="S222" s="4">
        <f>IF(OR(INDEX($AH$2:$AH$1001,MATCH(ROWS($AG$2:AG222),$AG$2:$AG$1001,0),1)&gt;=100000,INDEX($AN$1005:$BO$1005,1,MATCH(COLUMNS($AN$1006:BE1006),$AN$1006:$BO$1006,0))&gt;=100000), " ",IF(INDEX($AN$2:$BO$1001,MATCH(ROWS($AG$2:AG222),$AG$2:$AG$1001,0),MATCH(COLUMNS($AN$1006:BE1006),$AN$1006:$BO$1006,0)), HYPERLINK("#",""), HYPERLINK(CONCATENATE("#Metadata!", ADDRESS(INDEX($AI$2:$AI$1001,MATCH(ROWS($AG$2:AG222),$AG$2:$AG$1001,0),0), INDEX($AN$1004:$BO$1004,1,MATCH(COLUMNS($AN$1006:BE1006),$AN$1006:$BO$1006,0)))),"Fix")))</f>
        <v>0</v>
      </c>
      <c r="T222" s="4">
        <f>IF(OR(INDEX($AH$2:$AH$1001,MATCH(ROWS($AG$2:AG222),$AG$2:$AG$1001,0),1)&gt;=100000,INDEX($AN$1005:$BO$1005,1,MATCH(COLUMNS($AN$1006:BF1006),$AN$1006:$BO$1006,0))&gt;=100000), " ",IF(INDEX($AN$2:$BO$1001,MATCH(ROWS($AG$2:AG222),$AG$2:$AG$1001,0),MATCH(COLUMNS($AN$1006:BF1006),$AN$1006:$BO$1006,0)), HYPERLINK("#",""), HYPERLINK(CONCATENATE("#Metadata!", ADDRESS(INDEX($AI$2:$AI$1001,MATCH(ROWS($AG$2:AG222),$AG$2:$AG$1001,0),0), INDEX($AN$1004:$BO$1004,1,MATCH(COLUMNS($AN$1006:BF1006),$AN$1006:$BO$1006,0)))),"Fix")))</f>
        <v>0</v>
      </c>
      <c r="U222" s="4">
        <f>IF(OR(INDEX($AH$2:$AH$1001,MATCH(ROWS($AG$2:AG222),$AG$2:$AG$1001,0),1)&gt;=100000,INDEX($AN$1005:$BO$1005,1,MATCH(COLUMNS($AN$1006:BG1006),$AN$1006:$BO$1006,0))&gt;=100000), " ",IF(INDEX($AN$2:$BO$1001,MATCH(ROWS($AG$2:AG222),$AG$2:$AG$1001,0),MATCH(COLUMNS($AN$1006:BG1006),$AN$1006:$BO$1006,0)), HYPERLINK("#",""), HYPERLINK(CONCATENATE("#Metadata!", ADDRESS(INDEX($AI$2:$AI$1001,MATCH(ROWS($AG$2:AG222),$AG$2:$AG$1001,0),0), INDEX($AN$1004:$BO$1004,1,MATCH(COLUMNS($AN$1006:BG1006),$AN$1006:$BO$1006,0)))),"Fix")))</f>
        <v>0</v>
      </c>
      <c r="V222" s="4">
        <f>IF(OR(INDEX($AH$2:$AH$1001,MATCH(ROWS($AG$2:AG222),$AG$2:$AG$1001,0),1)&gt;=100000,INDEX($AN$1005:$BO$1005,1,MATCH(COLUMNS($AN$1006:BH1006),$AN$1006:$BO$1006,0))&gt;=100000), " ",IF(INDEX($AN$2:$BO$1001,MATCH(ROWS($AG$2:AG222),$AG$2:$AG$1001,0),MATCH(COLUMNS($AN$1006:BH1006),$AN$1006:$BO$1006,0)), HYPERLINK("#",""), HYPERLINK(CONCATENATE("#Metadata!", ADDRESS(INDEX($AI$2:$AI$1001,MATCH(ROWS($AG$2:AG222),$AG$2:$AG$1001,0),0), INDEX($AN$1004:$BO$1004,1,MATCH(COLUMNS($AN$1006:BH1006),$AN$1006:$BO$1006,0)))),"Fix")))</f>
        <v>0</v>
      </c>
      <c r="W222" s="4">
        <f>IF(OR(INDEX($AH$2:$AH$1001,MATCH(ROWS($AG$2:AG222),$AG$2:$AG$1001,0),1)&gt;=100000,INDEX($AN$1005:$BO$1005,1,MATCH(COLUMNS($AN$1006:BI1006),$AN$1006:$BO$1006,0))&gt;=100000), " ",IF(INDEX($AN$2:$BO$1001,MATCH(ROWS($AG$2:AG222),$AG$2:$AG$1001,0),MATCH(COLUMNS($AN$1006:BI1006),$AN$1006:$BO$1006,0)), HYPERLINK("#",""), HYPERLINK(CONCATENATE("#Metadata!", ADDRESS(INDEX($AI$2:$AI$1001,MATCH(ROWS($AG$2:AG222),$AG$2:$AG$1001,0),0), INDEX($AN$1004:$BO$1004,1,MATCH(COLUMNS($AN$1006:BI1006),$AN$1006:$BO$1006,0)))),"Fix")))</f>
        <v>0</v>
      </c>
      <c r="X222" s="4">
        <f>IF(OR(INDEX($AH$2:$AH$1001,MATCH(ROWS($AG$2:AG222),$AG$2:$AG$1001,0),1)&gt;=100000,INDEX($AN$1005:$BO$1005,1,MATCH(COLUMNS($AN$1006:BJ1006),$AN$1006:$BO$1006,0))&gt;=100000), " ",IF(INDEX($AN$2:$BO$1001,MATCH(ROWS($AG$2:AG222),$AG$2:$AG$1001,0),MATCH(COLUMNS($AN$1006:BJ1006),$AN$1006:$BO$1006,0)), HYPERLINK("#",""), HYPERLINK(CONCATENATE("#Metadata!", ADDRESS(INDEX($AI$2:$AI$1001,MATCH(ROWS($AG$2:AG222),$AG$2:$AG$1001,0),0), INDEX($AN$1004:$BO$1004,1,MATCH(COLUMNS($AN$1006:BJ1006),$AN$1006:$BO$1006,0)))),"Fix")))</f>
        <v>0</v>
      </c>
      <c r="Y222" s="4">
        <f>IF(OR(INDEX($AH$2:$AH$1001,MATCH(ROWS($AG$2:AG222),$AG$2:$AG$1001,0),1)&gt;=100000,INDEX($AN$1005:$BO$1005,1,MATCH(COLUMNS($AN$1006:BK1006),$AN$1006:$BO$1006,0))&gt;=100000), " ",IF(INDEX($AN$2:$BO$1001,MATCH(ROWS($AG$2:AG222),$AG$2:$AG$1001,0),MATCH(COLUMNS($AN$1006:BK1006),$AN$1006:$BO$1006,0)), HYPERLINK("#",""), HYPERLINK(CONCATENATE("#Metadata!", ADDRESS(INDEX($AI$2:$AI$1001,MATCH(ROWS($AG$2:AG222),$AG$2:$AG$1001,0),0), INDEX($AN$1004:$BO$1004,1,MATCH(COLUMNS($AN$1006:BK1006),$AN$1006:$BO$1006,0)))),"Fix")))</f>
        <v>0</v>
      </c>
      <c r="Z222" s="4">
        <f>IF(OR(INDEX($AH$2:$AH$1001,MATCH(ROWS($AG$2:AG222),$AG$2:$AG$1001,0),1)&gt;=100000,INDEX($AN$1005:$BO$1005,1,MATCH(COLUMNS($AN$1006:BL1006),$AN$1006:$BO$1006,0))&gt;=100000), " ",IF(INDEX($AN$2:$BO$1001,MATCH(ROWS($AG$2:AG222),$AG$2:$AG$1001,0),MATCH(COLUMNS($AN$1006:BL1006),$AN$1006:$BO$1006,0)), HYPERLINK("#",""), HYPERLINK(CONCATENATE("#Metadata!", ADDRESS(INDEX($AI$2:$AI$1001,MATCH(ROWS($AG$2:AG222),$AG$2:$AG$1001,0),0), INDEX($AN$1004:$BO$1004,1,MATCH(COLUMNS($AN$1006:BL1006),$AN$1006:$BO$1006,0)))),"Fix")))</f>
        <v>0</v>
      </c>
      <c r="AA222" s="4">
        <f>IF(OR(INDEX($AH$2:$AH$1001,MATCH(ROWS($AG$2:AG222),$AG$2:$AG$1001,0),1)&gt;=100000,INDEX($AN$1005:$BO$1005,1,MATCH(COLUMNS($AN$1006:BM1006),$AN$1006:$BO$1006,0))&gt;=100000), " ",IF(INDEX($AN$2:$BO$1001,MATCH(ROWS($AG$2:AG222),$AG$2:$AG$1001,0),MATCH(COLUMNS($AN$1006:BM1006),$AN$1006:$BO$1006,0)), HYPERLINK("#",""), HYPERLINK(CONCATENATE("#Metadata!", ADDRESS(INDEX($AI$2:$AI$1001,MATCH(ROWS($AG$2:AG222),$AG$2:$AG$1001,0),0), INDEX($AN$1004:$BO$1004,1,MATCH(COLUMNS($AN$1006:BM1006),$AN$1006:$BO$1006,0)))),"Fix")))</f>
        <v>0</v>
      </c>
      <c r="AB222" s="4">
        <f>IF(OR(INDEX($AH$2:$AH$1001,MATCH(ROWS($AG$2:AG222),$AG$2:$AG$1001,0),1)&gt;=100000,INDEX($AN$1005:$BO$1005,1,MATCH(COLUMNS($AN$1006:BN1006),$AN$1006:$BO$1006,0))&gt;=100000), " ",IF(INDEX($AN$2:$BO$1001,MATCH(ROWS($AG$2:AG222),$AG$2:$AG$1001,0),MATCH(COLUMNS($AN$1006:BN1006),$AN$1006:$BO$1006,0)), HYPERLINK("#",""), HYPERLINK(CONCATENATE("#Metadata!", ADDRESS(INDEX($AI$2:$AI$1001,MATCH(ROWS($AG$2:AG222),$AG$2:$AG$1001,0),0), INDEX($AN$1004:$BO$1004,1,MATCH(COLUMNS($AN$1006:BN1006),$AN$1006:$BO$1006,0)))),"Fix")))</f>
        <v>0</v>
      </c>
      <c r="AC222" s="4">
        <f>IF(OR(INDEX($AH$2:$AH$1001,MATCH(ROWS($AG$2:AG222),$AG$2:$AG$1001,0),1)&gt;=100000,INDEX($AN$1005:$BO$1005,1,MATCH(COLUMNS($AN$1006:BO1006),$AN$1006:$BO$1006,0))&gt;=100000), " ",IF(INDEX($AN$2:$BO$1001,MATCH(ROWS($AG$2:AG222),$AG$2:$AG$1001,0),MATCH(COLUMNS($AN$1006:BO1006),$AN$1006:$BO$1006,0)), HYPERLINK("#",""), HYPERLINK(CONCATENATE("#Metadata!", ADDRESS(INDEX($AI$2:$AI$1001,MATCH(ROWS($AG$2:AG222),$AG$2:$AG$1001,0),0), INDEX($AN$1004:$BO$1004,1,MATCH(COLUMNS($AN$1006:BO1006),$AN$1006:$BO$1006,0)))),"Fix")))</f>
        <v>0</v>
      </c>
      <c r="AG222">
        <v>0</v>
      </c>
      <c r="AH222">
        <v>0</v>
      </c>
      <c r="AI222">
        <v>0</v>
      </c>
      <c r="AJ222">
        <f>IF(AK222,TRUE,AND(AN222:BO222))</f>
        <v>0</v>
      </c>
      <c r="AK222">
        <f>COUNTBLANK(Metadata!B222:AC222)=COLUMNS(Metadata!B222:AC222)</f>
        <v>0</v>
      </c>
      <c r="AL222">
        <v>0</v>
      </c>
      <c r="AN222">
        <f>AND(IF(Metadata!B222="",FALSE,TRUE),COUNTIF(Metadata!B:B, Metadata!B222) = 1,NOT(ISERROR(SUMPRODUCT(SEARCH(MID(Metadata!B222,ROW(INDIRECT("1:"&amp;LEN(Metadata!B222))), 1),"0123456789abcdefghijklmnopqrstuvwxyzABCDEFGHIJKLMNOPQRSTUVWXYZ.")))))</f>
        <v>0</v>
      </c>
      <c r="AO222">
        <f>IF(Metadata!C222="",FALSE,TRUE)</f>
        <v>0</v>
      </c>
      <c r="AP222">
        <f>IF(Metadata!D222="",FALSE,TRUE)</f>
        <v>0</v>
      </c>
      <c r="AQ222">
        <f>OR(AND(IF(Metadata!E222="",FALSE,TRUE),OR(exact(Metadata!E222,"not collected"),exact(Metadata!E222,"not provided"),exact(Metadata!E222,"restricted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R222">
        <f>IF(Metadata!F222="",FALSE,TRUE)</f>
        <v>0</v>
      </c>
      <c r="AS222">
        <f>OR(AND(IF(Metadata!G222="",FALSE,TRUE),OR(exact(Metadata!G222,"not collected"),exact(Metadata!G222,"not provided"))),AND(IF(Metadata!G222="",FALSE,TRUE),OR(exact(Metadata!G222,"TRUE"),exact(Metadata!G222,"FALSE"))))</f>
        <v>0</v>
      </c>
      <c r="AT222">
        <f>OR(AND(IF(Metadata!H222="",FALSE,TRUE),OR(exact(Metadata!H222,"not collected"),exact(Metadata!H222,"not provided"),exact(Metadata!H222,"restricted access"))),AND(IF(Metadata!H222="",FALSE,ISNUMBER(VALUE(Metadata!H222))),Metadata!H222&gt;=-413.0))</f>
        <v>0</v>
      </c>
      <c r="AU222">
        <f>AND(IF(Metadata!I222="",FALSE,TRUE),exact(Metadata!I222,"meters"))</f>
        <v>0</v>
      </c>
      <c r="AV222">
        <f>AND(IF(Metadata!J222="",FALSE,TRUE),OR(exact(Metadata!J222,"Host-associated"),exact(Metadata!J222,"Free-living")))</f>
        <v>0</v>
      </c>
      <c r="AW222">
        <f>AND(IF(Metadata!K222="",FALSE,TRUE),OR(exact(Metadata!K222,"Animal"),exact(Metadata!K222,"Fungus"),exact(Metadata!K222,"Plant"),exact(Metadata!K222,"Saline"),exact(Metadata!K222,"Non-saline")))</f>
        <v>0</v>
      </c>
      <c r="AX222">
        <f>AND(IF(Metadata!L222="",FALSE,TRUE),OR(exact(Metadata!L222,"Plant secretion"),exact(Metadata!L222,"Plant rhizosphere"),exact(Metadata!L222,"Plant surface"),exact(Metadata!L222,"Plant corpus"),exact(Metadata!L222,"Fungus surface"),exact(Metadata!L222,"Fungus corpus"),exact(Metadata!L222,"Animal surface"),exact(Metadata!L222,"Animal proximal gut"),exact(Metadata!L222,"Animal corpus"),exact(Metadata!L222,"Animal distal gut"),exact(Metadata!L222,"Animal secretion"),exact(Metadata!L222,"Sub-surface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Y222">
        <f>IF(Metadata!M222="",FALSE,TRUE)</f>
        <v>0</v>
      </c>
      <c r="AZ222">
        <f>IF(Metadata!N222="",FALSE,TRUE)</f>
        <v>0</v>
      </c>
      <c r="BA222">
        <f>IF(Metadata!O222="",FALSE,TRUE)</f>
        <v>0</v>
      </c>
      <c r="BB222">
        <f>OR(AND(IF(Metadata!P222="",FALSE,TRUE),OR(exact(Metadata!P222,"not collected"),exact(Metadata!P222,"not provided"),exact(Metadata!P222,"restricted access"))),AND(IF(Metadata!P222="",FALSE,TRUE),OR(exact(Metadata!P222,"air"),exact(Metadata!P222,"built environment"),exact(Metadata!P222,"host-associated"),exact(Metadata!P222,"human-associated"),exact(Metadata!P222,"human-skin"),exact(Metadata!P222,"human-oral"),exact(Metadata!P222,"human-gut"),exact(Metadata!P222,"human-vaginal"),exact(Metadata!P222,"microbial mat/biofilm"),exact(Metadata!P222,"misc environment"),exact(Metadata!P222,"plant-associated"),exact(Metadata!P222,"sediment"),exact(Metadata!P222,"soil"),exact(Metadata!P222,"wastewater/sludge"),exact(Metadata!P222,"water"))))</f>
        <v>0</v>
      </c>
      <c r="BC222">
        <f>IF(Metadata!Q222="",FALSE,TRUE)</f>
        <v>0</v>
      </c>
      <c r="BD222">
        <f>IF(Metadata!R222="",FALSE,TRUE)</f>
        <v>0</v>
      </c>
      <c r="BE222">
        <f>OR(AND(IF(Metadata!S222="",FALSE,TRUE),OR(exact(Metadata!S222,"not collected"),exact(Metadata!S222,"not provided"),exact(Metadata!S222,"restricted access"))),AND(IF(Metadata!S222="",FALSE,ISNUMBER(VALUE(Metadata!S222))),Metadata!S222&gt;=-90.00,Metadata!S222&lt;=90.00))</f>
        <v>0</v>
      </c>
      <c r="BF222">
        <f>AND(IF(Metadata!T222="",FALSE,TRUE),exact(Metadata!T222,"Decimal degrees"))</f>
        <v>0</v>
      </c>
      <c r="BG222">
        <f>OR(AND(IF(Metadata!U222="",FALSE,TRUE),OR(exact(Metadata!U222,"not collected"),exact(Metadata!U222,"not provided"),exact(Metadata!U222,"restricted access"))),AND(IF(Metadata!U222="",FALSE,ISNUMBER(VALUE(Metadata!U222))),Metadata!U222&gt;=-180.00,Metadata!U222&lt;=180.00))</f>
        <v>0</v>
      </c>
      <c r="BH222">
        <f>AND(IF(Metadata!V222="",FALSE,TRUE),exact(Metadata!V222,"Decimal degrees"))</f>
        <v>0</v>
      </c>
      <c r="BI222">
        <f>IF(Metadata!W222="",FALSE,TRUE)</f>
        <v>0</v>
      </c>
      <c r="BJ222">
        <f>OR(AND(IF(Metadata!X222="",FALSE,TRUE),OR(exact(Metadata!X222,"not collected"),exact(Metadata!X222,"not provided"),exact(Metadata!X222,"restricted access"))),AND(IF(Metadata!X222="",FALSE,TRUE),OR(exact(Metadata!X222,"TRUE"),exact(Metadata!X222,"FALSE"))))</f>
        <v>0</v>
      </c>
      <c r="BK222">
        <f>AND(IF(Metadata!Y222="",FALSE,TRUE),exact(Metadata!Y222,"other"))</f>
        <v>0</v>
      </c>
      <c r="BL222">
        <f>IF(Metadata!Z222="",FALSE,TRUE)</f>
        <v>0</v>
      </c>
      <c r="BM222">
        <f>OR(AND(IF(Metadata!AA222="",FALSE,TRUE),OR(exact(Metadata!AA222,"not collected"),exact(Metadata!AA222,"not provided"))),AND(IF(Metadata!AA222="",FALSE,IF(ISERROR(INT(Metadata!AA222)),FALSE,INT(Metadata!AA222)=Metadata!AA222)),Metadata!AA222&gt;0))</f>
        <v>0</v>
      </c>
      <c r="BN222">
        <f>AND(IF(Metadata!AB222="",FALSE,TRUE),exact(Metadata!AB222,"Not applicable"))</f>
        <v>0</v>
      </c>
      <c r="BO222">
        <f>IF(Metadata!AC222="",FALSE,TRUE)</f>
        <v>0</v>
      </c>
    </row>
    <row r="223" spans="1:67">
      <c r="A223" s="5">
        <f>IF(B223=" "," ",HYPERLINK(CONCATENATE("#metadata!",ADDRESS(INDEX($AI$2:$AI$1001,MATCH(ROWS($AG$2:AG223),$AG$2:$AG$1001,0),0),1)),INDEX($AL$2:$AL$1001,MATCH(ROWS($AG$2:AG223),$AG$2:$AG$1001,0),0)))</f>
        <v>0</v>
      </c>
      <c r="B223" s="4">
        <f>IF(OR(INDEX($AH$2:$AH$1001,MATCH(ROWS($AG$2:AG223),$AG$2:$AG$1001,0),1)&gt;=100000,INDEX($AN$1005:$BO$1005,1,MATCH(COLUMNS($AN$1006:AN1006),$AN$1006:$BO$1006,0))&gt;=100000), " ",IF(INDEX($AN$2:$BO$1001,MATCH(ROWS($AG$2:AG223),$AG$2:$AG$1001,0),MATCH(COLUMNS($AN$1006:AN1006),$AN$1006:$BO$1006,0)), HYPERLINK("#",""), HYPERLINK(CONCATENATE("#Metadata!", ADDRESS(INDEX($AI$2:$AI$1001,MATCH(ROWS($AG$2:AG223),$AG$2:$AG$1001,0),0), INDEX($AN$1004:$BO$1004,1,MATCH(COLUMNS($AN$1006:AN1006),$AN$1006:$BO$1006,0)))),"Fix")))</f>
        <v>0</v>
      </c>
      <c r="C223" s="4">
        <f>IF(OR(INDEX($AH$2:$AH$1001,MATCH(ROWS($AG$2:AG223),$AG$2:$AG$1001,0),1)&gt;=100000,INDEX($AN$1005:$BO$1005,1,MATCH(COLUMNS($AN$1006:AO1006),$AN$1006:$BO$1006,0))&gt;=100000), " ",IF(INDEX($AN$2:$BO$1001,MATCH(ROWS($AG$2:AG223),$AG$2:$AG$1001,0),MATCH(COLUMNS($AN$1006:AO1006),$AN$1006:$BO$1006,0)), HYPERLINK("#",""), HYPERLINK(CONCATENATE("#Metadata!", ADDRESS(INDEX($AI$2:$AI$1001,MATCH(ROWS($AG$2:AG223),$AG$2:$AG$1001,0),0), INDEX($AN$1004:$BO$1004,1,MATCH(COLUMNS($AN$1006:AO1006),$AN$1006:$BO$1006,0)))),"Fix")))</f>
        <v>0</v>
      </c>
      <c r="D223" s="4">
        <f>IF(OR(INDEX($AH$2:$AH$1001,MATCH(ROWS($AG$2:AG223),$AG$2:$AG$1001,0),1)&gt;=100000,INDEX($AN$1005:$BO$1005,1,MATCH(COLUMNS($AN$1006:AP1006),$AN$1006:$BO$1006,0))&gt;=100000), " ",IF(INDEX($AN$2:$BO$1001,MATCH(ROWS($AG$2:AG223),$AG$2:$AG$1001,0),MATCH(COLUMNS($AN$1006:AP1006),$AN$1006:$BO$1006,0)), HYPERLINK("#",""), HYPERLINK(CONCATENATE("#Metadata!", ADDRESS(INDEX($AI$2:$AI$1001,MATCH(ROWS($AG$2:AG223),$AG$2:$AG$1001,0),0), INDEX($AN$1004:$BO$1004,1,MATCH(COLUMNS($AN$1006:AP1006),$AN$1006:$BO$1006,0)))),"Fix")))</f>
        <v>0</v>
      </c>
      <c r="E223" s="4">
        <f>IF(OR(INDEX($AH$2:$AH$1001,MATCH(ROWS($AG$2:AG223),$AG$2:$AG$1001,0),1)&gt;=100000,INDEX($AN$1005:$BO$1005,1,MATCH(COLUMNS($AN$1006:AQ1006),$AN$1006:$BO$1006,0))&gt;=100000), " ",IF(INDEX($AN$2:$BO$1001,MATCH(ROWS($AG$2:AG223),$AG$2:$AG$1001,0),MATCH(COLUMNS($AN$1006:AQ1006),$AN$1006:$BO$1006,0)), HYPERLINK("#",""), HYPERLINK(CONCATENATE("#Metadata!", ADDRESS(INDEX($AI$2:$AI$1001,MATCH(ROWS($AG$2:AG223),$AG$2:$AG$1001,0),0), INDEX($AN$1004:$BO$1004,1,MATCH(COLUMNS($AN$1006:AQ1006),$AN$1006:$BO$1006,0)))),"Fix")))</f>
        <v>0</v>
      </c>
      <c r="F223" s="4">
        <f>IF(OR(INDEX($AH$2:$AH$1001,MATCH(ROWS($AG$2:AG223),$AG$2:$AG$1001,0),1)&gt;=100000,INDEX($AN$1005:$BO$1005,1,MATCH(COLUMNS($AN$1006:AR1006),$AN$1006:$BO$1006,0))&gt;=100000), " ",IF(INDEX($AN$2:$BO$1001,MATCH(ROWS($AG$2:AG223),$AG$2:$AG$1001,0),MATCH(COLUMNS($AN$1006:AR1006),$AN$1006:$BO$1006,0)), HYPERLINK("#",""), HYPERLINK(CONCATENATE("#Metadata!", ADDRESS(INDEX($AI$2:$AI$1001,MATCH(ROWS($AG$2:AG223),$AG$2:$AG$1001,0),0), INDEX($AN$1004:$BO$1004,1,MATCH(COLUMNS($AN$1006:AR1006),$AN$1006:$BO$1006,0)))),"Fix")))</f>
        <v>0</v>
      </c>
      <c r="G223" s="4">
        <f>IF(OR(INDEX($AH$2:$AH$1001,MATCH(ROWS($AG$2:AG223),$AG$2:$AG$1001,0),1)&gt;=100000,INDEX($AN$1005:$BO$1005,1,MATCH(COLUMNS($AN$1006:AS1006),$AN$1006:$BO$1006,0))&gt;=100000), " ",IF(INDEX($AN$2:$BO$1001,MATCH(ROWS($AG$2:AG223),$AG$2:$AG$1001,0),MATCH(COLUMNS($AN$1006:AS1006),$AN$1006:$BO$1006,0)), HYPERLINK("#",""), HYPERLINK(CONCATENATE("#Metadata!", ADDRESS(INDEX($AI$2:$AI$1001,MATCH(ROWS($AG$2:AG223),$AG$2:$AG$1001,0),0), INDEX($AN$1004:$BO$1004,1,MATCH(COLUMNS($AN$1006:AS1006),$AN$1006:$BO$1006,0)))),"Fix")))</f>
        <v>0</v>
      </c>
      <c r="H223" s="4">
        <f>IF(OR(INDEX($AH$2:$AH$1001,MATCH(ROWS($AG$2:AG223),$AG$2:$AG$1001,0),1)&gt;=100000,INDEX($AN$1005:$BO$1005,1,MATCH(COLUMNS($AN$1006:AT1006),$AN$1006:$BO$1006,0))&gt;=100000), " ",IF(INDEX($AN$2:$BO$1001,MATCH(ROWS($AG$2:AG223),$AG$2:$AG$1001,0),MATCH(COLUMNS($AN$1006:AT1006),$AN$1006:$BO$1006,0)), HYPERLINK("#",""), HYPERLINK(CONCATENATE("#Metadata!", ADDRESS(INDEX($AI$2:$AI$1001,MATCH(ROWS($AG$2:AG223),$AG$2:$AG$1001,0),0), INDEX($AN$1004:$BO$1004,1,MATCH(COLUMNS($AN$1006:AT1006),$AN$1006:$BO$1006,0)))),"Fix")))</f>
        <v>0</v>
      </c>
      <c r="I223" s="4">
        <f>IF(OR(INDEX($AH$2:$AH$1001,MATCH(ROWS($AG$2:AG223),$AG$2:$AG$1001,0),1)&gt;=100000,INDEX($AN$1005:$BO$1005,1,MATCH(COLUMNS($AN$1006:AU1006),$AN$1006:$BO$1006,0))&gt;=100000), " ",IF(INDEX($AN$2:$BO$1001,MATCH(ROWS($AG$2:AG223),$AG$2:$AG$1001,0),MATCH(COLUMNS($AN$1006:AU1006),$AN$1006:$BO$1006,0)), HYPERLINK("#",""), HYPERLINK(CONCATENATE("#Metadata!", ADDRESS(INDEX($AI$2:$AI$1001,MATCH(ROWS($AG$2:AG223),$AG$2:$AG$1001,0),0), INDEX($AN$1004:$BO$1004,1,MATCH(COLUMNS($AN$1006:AU1006),$AN$1006:$BO$1006,0)))),"Fix")))</f>
        <v>0</v>
      </c>
      <c r="J223" s="4">
        <f>IF(OR(INDEX($AH$2:$AH$1001,MATCH(ROWS($AG$2:AG223),$AG$2:$AG$1001,0),1)&gt;=100000,INDEX($AN$1005:$BO$1005,1,MATCH(COLUMNS($AN$1006:AV1006),$AN$1006:$BO$1006,0))&gt;=100000), " ",IF(INDEX($AN$2:$BO$1001,MATCH(ROWS($AG$2:AG223),$AG$2:$AG$1001,0),MATCH(COLUMNS($AN$1006:AV1006),$AN$1006:$BO$1006,0)), HYPERLINK("#",""), HYPERLINK(CONCATENATE("#Metadata!", ADDRESS(INDEX($AI$2:$AI$1001,MATCH(ROWS($AG$2:AG223),$AG$2:$AG$1001,0),0), INDEX($AN$1004:$BO$1004,1,MATCH(COLUMNS($AN$1006:AV1006),$AN$1006:$BO$1006,0)))),"Fix")))</f>
        <v>0</v>
      </c>
      <c r="K223" s="4">
        <f>IF(OR(INDEX($AH$2:$AH$1001,MATCH(ROWS($AG$2:AG223),$AG$2:$AG$1001,0),1)&gt;=100000,INDEX($AN$1005:$BO$1005,1,MATCH(COLUMNS($AN$1006:AW1006),$AN$1006:$BO$1006,0))&gt;=100000), " ",IF(INDEX($AN$2:$BO$1001,MATCH(ROWS($AG$2:AG223),$AG$2:$AG$1001,0),MATCH(COLUMNS($AN$1006:AW1006),$AN$1006:$BO$1006,0)), HYPERLINK("#",""), HYPERLINK(CONCATENATE("#Metadata!", ADDRESS(INDEX($AI$2:$AI$1001,MATCH(ROWS($AG$2:AG223),$AG$2:$AG$1001,0),0), INDEX($AN$1004:$BO$1004,1,MATCH(COLUMNS($AN$1006:AW1006),$AN$1006:$BO$1006,0)))),"Fix")))</f>
        <v>0</v>
      </c>
      <c r="L223" s="4">
        <f>IF(OR(INDEX($AH$2:$AH$1001,MATCH(ROWS($AG$2:AG223),$AG$2:$AG$1001,0),1)&gt;=100000,INDEX($AN$1005:$BO$1005,1,MATCH(COLUMNS($AN$1006:AX1006),$AN$1006:$BO$1006,0))&gt;=100000), " ",IF(INDEX($AN$2:$BO$1001,MATCH(ROWS($AG$2:AG223),$AG$2:$AG$1001,0),MATCH(COLUMNS($AN$1006:AX1006),$AN$1006:$BO$1006,0)), HYPERLINK("#",""), HYPERLINK(CONCATENATE("#Metadata!", ADDRESS(INDEX($AI$2:$AI$1001,MATCH(ROWS($AG$2:AG223),$AG$2:$AG$1001,0),0), INDEX($AN$1004:$BO$1004,1,MATCH(COLUMNS($AN$1006:AX1006),$AN$1006:$BO$1006,0)))),"Fix")))</f>
        <v>0</v>
      </c>
      <c r="M223" s="4">
        <f>IF(OR(INDEX($AH$2:$AH$1001,MATCH(ROWS($AG$2:AG223),$AG$2:$AG$1001,0),1)&gt;=100000,INDEX($AN$1005:$BO$1005,1,MATCH(COLUMNS($AN$1006:AY1006),$AN$1006:$BO$1006,0))&gt;=100000), " ",IF(INDEX($AN$2:$BO$1001,MATCH(ROWS($AG$2:AG223),$AG$2:$AG$1001,0),MATCH(COLUMNS($AN$1006:AY1006),$AN$1006:$BO$1006,0)), HYPERLINK("#",""), HYPERLINK(CONCATENATE("#Metadata!", ADDRESS(INDEX($AI$2:$AI$1001,MATCH(ROWS($AG$2:AG223),$AG$2:$AG$1001,0),0), INDEX($AN$1004:$BO$1004,1,MATCH(COLUMNS($AN$1006:AY1006),$AN$1006:$BO$1006,0)))),"Fix")))</f>
        <v>0</v>
      </c>
      <c r="N223" s="4">
        <f>IF(OR(INDEX($AH$2:$AH$1001,MATCH(ROWS($AG$2:AG223),$AG$2:$AG$1001,0),1)&gt;=100000,INDEX($AN$1005:$BO$1005,1,MATCH(COLUMNS($AN$1006:AZ1006),$AN$1006:$BO$1006,0))&gt;=100000), " ",IF(INDEX($AN$2:$BO$1001,MATCH(ROWS($AG$2:AG223),$AG$2:$AG$1001,0),MATCH(COLUMNS($AN$1006:AZ1006),$AN$1006:$BO$1006,0)), HYPERLINK("#",""), HYPERLINK(CONCATENATE("#Metadata!", ADDRESS(INDEX($AI$2:$AI$1001,MATCH(ROWS($AG$2:AG223),$AG$2:$AG$1001,0),0), INDEX($AN$1004:$BO$1004,1,MATCH(COLUMNS($AN$1006:AZ1006),$AN$1006:$BO$1006,0)))),"Fix")))</f>
        <v>0</v>
      </c>
      <c r="O223" s="4">
        <f>IF(OR(INDEX($AH$2:$AH$1001,MATCH(ROWS($AG$2:AG223),$AG$2:$AG$1001,0),1)&gt;=100000,INDEX($AN$1005:$BO$1005,1,MATCH(COLUMNS($AN$1006:BA1006),$AN$1006:$BO$1006,0))&gt;=100000), " ",IF(INDEX($AN$2:$BO$1001,MATCH(ROWS($AG$2:AG223),$AG$2:$AG$1001,0),MATCH(COLUMNS($AN$1006:BA1006),$AN$1006:$BO$1006,0)), HYPERLINK("#",""), HYPERLINK(CONCATENATE("#Metadata!", ADDRESS(INDEX($AI$2:$AI$1001,MATCH(ROWS($AG$2:AG223),$AG$2:$AG$1001,0),0), INDEX($AN$1004:$BO$1004,1,MATCH(COLUMNS($AN$1006:BA1006),$AN$1006:$BO$1006,0)))),"Fix")))</f>
        <v>0</v>
      </c>
      <c r="P223" s="4">
        <f>IF(OR(INDEX($AH$2:$AH$1001,MATCH(ROWS($AG$2:AG223),$AG$2:$AG$1001,0),1)&gt;=100000,INDEX($AN$1005:$BO$1005,1,MATCH(COLUMNS($AN$1006:BB1006),$AN$1006:$BO$1006,0))&gt;=100000), " ",IF(INDEX($AN$2:$BO$1001,MATCH(ROWS($AG$2:AG223),$AG$2:$AG$1001,0),MATCH(COLUMNS($AN$1006:BB1006),$AN$1006:$BO$1006,0)), HYPERLINK("#",""), HYPERLINK(CONCATENATE("#Metadata!", ADDRESS(INDEX($AI$2:$AI$1001,MATCH(ROWS($AG$2:AG223),$AG$2:$AG$1001,0),0), INDEX($AN$1004:$BO$1004,1,MATCH(COLUMNS($AN$1006:BB1006),$AN$1006:$BO$1006,0)))),"Fix")))</f>
        <v>0</v>
      </c>
      <c r="Q223" s="4">
        <f>IF(OR(INDEX($AH$2:$AH$1001,MATCH(ROWS($AG$2:AG223),$AG$2:$AG$1001,0),1)&gt;=100000,INDEX($AN$1005:$BO$1005,1,MATCH(COLUMNS($AN$1006:BC1006),$AN$1006:$BO$1006,0))&gt;=100000), " ",IF(INDEX($AN$2:$BO$1001,MATCH(ROWS($AG$2:AG223),$AG$2:$AG$1001,0),MATCH(COLUMNS($AN$1006:BC1006),$AN$1006:$BO$1006,0)), HYPERLINK("#",""), HYPERLINK(CONCATENATE("#Metadata!", ADDRESS(INDEX($AI$2:$AI$1001,MATCH(ROWS($AG$2:AG223),$AG$2:$AG$1001,0),0), INDEX($AN$1004:$BO$1004,1,MATCH(COLUMNS($AN$1006:BC1006),$AN$1006:$BO$1006,0)))),"Fix")))</f>
        <v>0</v>
      </c>
      <c r="R223" s="4">
        <f>IF(OR(INDEX($AH$2:$AH$1001,MATCH(ROWS($AG$2:AG223),$AG$2:$AG$1001,0),1)&gt;=100000,INDEX($AN$1005:$BO$1005,1,MATCH(COLUMNS($AN$1006:BD1006),$AN$1006:$BO$1006,0))&gt;=100000), " ",IF(INDEX($AN$2:$BO$1001,MATCH(ROWS($AG$2:AG223),$AG$2:$AG$1001,0),MATCH(COLUMNS($AN$1006:BD1006),$AN$1006:$BO$1006,0)), HYPERLINK("#",""), HYPERLINK(CONCATENATE("#Metadata!", ADDRESS(INDEX($AI$2:$AI$1001,MATCH(ROWS($AG$2:AG223),$AG$2:$AG$1001,0),0), INDEX($AN$1004:$BO$1004,1,MATCH(COLUMNS($AN$1006:BD1006),$AN$1006:$BO$1006,0)))),"Fix")))</f>
        <v>0</v>
      </c>
      <c r="S223" s="4">
        <f>IF(OR(INDEX($AH$2:$AH$1001,MATCH(ROWS($AG$2:AG223),$AG$2:$AG$1001,0),1)&gt;=100000,INDEX($AN$1005:$BO$1005,1,MATCH(COLUMNS($AN$1006:BE1006),$AN$1006:$BO$1006,0))&gt;=100000), " ",IF(INDEX($AN$2:$BO$1001,MATCH(ROWS($AG$2:AG223),$AG$2:$AG$1001,0),MATCH(COLUMNS($AN$1006:BE1006),$AN$1006:$BO$1006,0)), HYPERLINK("#",""), HYPERLINK(CONCATENATE("#Metadata!", ADDRESS(INDEX($AI$2:$AI$1001,MATCH(ROWS($AG$2:AG223),$AG$2:$AG$1001,0),0), INDEX($AN$1004:$BO$1004,1,MATCH(COLUMNS($AN$1006:BE1006),$AN$1006:$BO$1006,0)))),"Fix")))</f>
        <v>0</v>
      </c>
      <c r="T223" s="4">
        <f>IF(OR(INDEX($AH$2:$AH$1001,MATCH(ROWS($AG$2:AG223),$AG$2:$AG$1001,0),1)&gt;=100000,INDEX($AN$1005:$BO$1005,1,MATCH(COLUMNS($AN$1006:BF1006),$AN$1006:$BO$1006,0))&gt;=100000), " ",IF(INDEX($AN$2:$BO$1001,MATCH(ROWS($AG$2:AG223),$AG$2:$AG$1001,0),MATCH(COLUMNS($AN$1006:BF1006),$AN$1006:$BO$1006,0)), HYPERLINK("#",""), HYPERLINK(CONCATENATE("#Metadata!", ADDRESS(INDEX($AI$2:$AI$1001,MATCH(ROWS($AG$2:AG223),$AG$2:$AG$1001,0),0), INDEX($AN$1004:$BO$1004,1,MATCH(COLUMNS($AN$1006:BF1006),$AN$1006:$BO$1006,0)))),"Fix")))</f>
        <v>0</v>
      </c>
      <c r="U223" s="4">
        <f>IF(OR(INDEX($AH$2:$AH$1001,MATCH(ROWS($AG$2:AG223),$AG$2:$AG$1001,0),1)&gt;=100000,INDEX($AN$1005:$BO$1005,1,MATCH(COLUMNS($AN$1006:BG1006),$AN$1006:$BO$1006,0))&gt;=100000), " ",IF(INDEX($AN$2:$BO$1001,MATCH(ROWS($AG$2:AG223),$AG$2:$AG$1001,0),MATCH(COLUMNS($AN$1006:BG1006),$AN$1006:$BO$1006,0)), HYPERLINK("#",""), HYPERLINK(CONCATENATE("#Metadata!", ADDRESS(INDEX($AI$2:$AI$1001,MATCH(ROWS($AG$2:AG223),$AG$2:$AG$1001,0),0), INDEX($AN$1004:$BO$1004,1,MATCH(COLUMNS($AN$1006:BG1006),$AN$1006:$BO$1006,0)))),"Fix")))</f>
        <v>0</v>
      </c>
      <c r="V223" s="4">
        <f>IF(OR(INDEX($AH$2:$AH$1001,MATCH(ROWS($AG$2:AG223),$AG$2:$AG$1001,0),1)&gt;=100000,INDEX($AN$1005:$BO$1005,1,MATCH(COLUMNS($AN$1006:BH1006),$AN$1006:$BO$1006,0))&gt;=100000), " ",IF(INDEX($AN$2:$BO$1001,MATCH(ROWS($AG$2:AG223),$AG$2:$AG$1001,0),MATCH(COLUMNS($AN$1006:BH1006),$AN$1006:$BO$1006,0)), HYPERLINK("#",""), HYPERLINK(CONCATENATE("#Metadata!", ADDRESS(INDEX($AI$2:$AI$1001,MATCH(ROWS($AG$2:AG223),$AG$2:$AG$1001,0),0), INDEX($AN$1004:$BO$1004,1,MATCH(COLUMNS($AN$1006:BH1006),$AN$1006:$BO$1006,0)))),"Fix")))</f>
        <v>0</v>
      </c>
      <c r="W223" s="4">
        <f>IF(OR(INDEX($AH$2:$AH$1001,MATCH(ROWS($AG$2:AG223),$AG$2:$AG$1001,0),1)&gt;=100000,INDEX($AN$1005:$BO$1005,1,MATCH(COLUMNS($AN$1006:BI1006),$AN$1006:$BO$1006,0))&gt;=100000), " ",IF(INDEX($AN$2:$BO$1001,MATCH(ROWS($AG$2:AG223),$AG$2:$AG$1001,0),MATCH(COLUMNS($AN$1006:BI1006),$AN$1006:$BO$1006,0)), HYPERLINK("#",""), HYPERLINK(CONCATENATE("#Metadata!", ADDRESS(INDEX($AI$2:$AI$1001,MATCH(ROWS($AG$2:AG223),$AG$2:$AG$1001,0),0), INDEX($AN$1004:$BO$1004,1,MATCH(COLUMNS($AN$1006:BI1006),$AN$1006:$BO$1006,0)))),"Fix")))</f>
        <v>0</v>
      </c>
      <c r="X223" s="4">
        <f>IF(OR(INDEX($AH$2:$AH$1001,MATCH(ROWS($AG$2:AG223),$AG$2:$AG$1001,0),1)&gt;=100000,INDEX($AN$1005:$BO$1005,1,MATCH(COLUMNS($AN$1006:BJ1006),$AN$1006:$BO$1006,0))&gt;=100000), " ",IF(INDEX($AN$2:$BO$1001,MATCH(ROWS($AG$2:AG223),$AG$2:$AG$1001,0),MATCH(COLUMNS($AN$1006:BJ1006),$AN$1006:$BO$1006,0)), HYPERLINK("#",""), HYPERLINK(CONCATENATE("#Metadata!", ADDRESS(INDEX($AI$2:$AI$1001,MATCH(ROWS($AG$2:AG223),$AG$2:$AG$1001,0),0), INDEX($AN$1004:$BO$1004,1,MATCH(COLUMNS($AN$1006:BJ1006),$AN$1006:$BO$1006,0)))),"Fix")))</f>
        <v>0</v>
      </c>
      <c r="Y223" s="4">
        <f>IF(OR(INDEX($AH$2:$AH$1001,MATCH(ROWS($AG$2:AG223),$AG$2:$AG$1001,0),1)&gt;=100000,INDEX($AN$1005:$BO$1005,1,MATCH(COLUMNS($AN$1006:BK1006),$AN$1006:$BO$1006,0))&gt;=100000), " ",IF(INDEX($AN$2:$BO$1001,MATCH(ROWS($AG$2:AG223),$AG$2:$AG$1001,0),MATCH(COLUMNS($AN$1006:BK1006),$AN$1006:$BO$1006,0)), HYPERLINK("#",""), HYPERLINK(CONCATENATE("#Metadata!", ADDRESS(INDEX($AI$2:$AI$1001,MATCH(ROWS($AG$2:AG223),$AG$2:$AG$1001,0),0), INDEX($AN$1004:$BO$1004,1,MATCH(COLUMNS($AN$1006:BK1006),$AN$1006:$BO$1006,0)))),"Fix")))</f>
        <v>0</v>
      </c>
      <c r="Z223" s="4">
        <f>IF(OR(INDEX($AH$2:$AH$1001,MATCH(ROWS($AG$2:AG223),$AG$2:$AG$1001,0),1)&gt;=100000,INDEX($AN$1005:$BO$1005,1,MATCH(COLUMNS($AN$1006:BL1006),$AN$1006:$BO$1006,0))&gt;=100000), " ",IF(INDEX($AN$2:$BO$1001,MATCH(ROWS($AG$2:AG223),$AG$2:$AG$1001,0),MATCH(COLUMNS($AN$1006:BL1006),$AN$1006:$BO$1006,0)), HYPERLINK("#",""), HYPERLINK(CONCATENATE("#Metadata!", ADDRESS(INDEX($AI$2:$AI$1001,MATCH(ROWS($AG$2:AG223),$AG$2:$AG$1001,0),0), INDEX($AN$1004:$BO$1004,1,MATCH(COLUMNS($AN$1006:BL1006),$AN$1006:$BO$1006,0)))),"Fix")))</f>
        <v>0</v>
      </c>
      <c r="AA223" s="4">
        <f>IF(OR(INDEX($AH$2:$AH$1001,MATCH(ROWS($AG$2:AG223),$AG$2:$AG$1001,0),1)&gt;=100000,INDEX($AN$1005:$BO$1005,1,MATCH(COLUMNS($AN$1006:BM1006),$AN$1006:$BO$1006,0))&gt;=100000), " ",IF(INDEX($AN$2:$BO$1001,MATCH(ROWS($AG$2:AG223),$AG$2:$AG$1001,0),MATCH(COLUMNS($AN$1006:BM1006),$AN$1006:$BO$1006,0)), HYPERLINK("#",""), HYPERLINK(CONCATENATE("#Metadata!", ADDRESS(INDEX($AI$2:$AI$1001,MATCH(ROWS($AG$2:AG223),$AG$2:$AG$1001,0),0), INDEX($AN$1004:$BO$1004,1,MATCH(COLUMNS($AN$1006:BM1006),$AN$1006:$BO$1006,0)))),"Fix")))</f>
        <v>0</v>
      </c>
      <c r="AB223" s="4">
        <f>IF(OR(INDEX($AH$2:$AH$1001,MATCH(ROWS($AG$2:AG223),$AG$2:$AG$1001,0),1)&gt;=100000,INDEX($AN$1005:$BO$1005,1,MATCH(COLUMNS($AN$1006:BN1006),$AN$1006:$BO$1006,0))&gt;=100000), " ",IF(INDEX($AN$2:$BO$1001,MATCH(ROWS($AG$2:AG223),$AG$2:$AG$1001,0),MATCH(COLUMNS($AN$1006:BN1006),$AN$1006:$BO$1006,0)), HYPERLINK("#",""), HYPERLINK(CONCATENATE("#Metadata!", ADDRESS(INDEX($AI$2:$AI$1001,MATCH(ROWS($AG$2:AG223),$AG$2:$AG$1001,0),0), INDEX($AN$1004:$BO$1004,1,MATCH(COLUMNS($AN$1006:BN1006),$AN$1006:$BO$1006,0)))),"Fix")))</f>
        <v>0</v>
      </c>
      <c r="AC223" s="4">
        <f>IF(OR(INDEX($AH$2:$AH$1001,MATCH(ROWS($AG$2:AG223),$AG$2:$AG$1001,0),1)&gt;=100000,INDEX($AN$1005:$BO$1005,1,MATCH(COLUMNS($AN$1006:BO1006),$AN$1006:$BO$1006,0))&gt;=100000), " ",IF(INDEX($AN$2:$BO$1001,MATCH(ROWS($AG$2:AG223),$AG$2:$AG$1001,0),MATCH(COLUMNS($AN$1006:BO1006),$AN$1006:$BO$1006,0)), HYPERLINK("#",""), HYPERLINK(CONCATENATE("#Metadata!", ADDRESS(INDEX($AI$2:$AI$1001,MATCH(ROWS($AG$2:AG223),$AG$2:$AG$1001,0),0), INDEX($AN$1004:$BO$1004,1,MATCH(COLUMNS($AN$1006:BO1006),$AN$1006:$BO$1006,0)))),"Fix")))</f>
        <v>0</v>
      </c>
      <c r="AG223">
        <v>0</v>
      </c>
      <c r="AH223">
        <v>0</v>
      </c>
      <c r="AI223">
        <v>0</v>
      </c>
      <c r="AJ223">
        <f>IF(AK223,TRUE,AND(AN223:BO223))</f>
        <v>0</v>
      </c>
      <c r="AK223">
        <f>COUNTBLANK(Metadata!B223:AC223)=COLUMNS(Metadata!B223:AC223)</f>
        <v>0</v>
      </c>
      <c r="AL223">
        <v>0</v>
      </c>
      <c r="AN223">
        <f>AND(IF(Metadata!B223="",FALSE,TRUE),COUNTIF(Metadata!B:B, Metadata!B223) = 1,NOT(ISERROR(SUMPRODUCT(SEARCH(MID(Metadata!B223,ROW(INDIRECT("1:"&amp;LEN(Metadata!B223))), 1),"0123456789abcdefghijklmnopqrstuvwxyzABCDEFGHIJKLMNOPQRSTUVWXYZ.")))))</f>
        <v>0</v>
      </c>
      <c r="AO223">
        <f>IF(Metadata!C223="",FALSE,TRUE)</f>
        <v>0</v>
      </c>
      <c r="AP223">
        <f>IF(Metadata!D223="",FALSE,TRUE)</f>
        <v>0</v>
      </c>
      <c r="AQ223">
        <f>OR(AND(IF(Metadata!E223="",FALSE,TRUE),OR(exact(Metadata!E223,"not collected"),exact(Metadata!E223,"not provided"),exact(Metadata!E223,"restricted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R223">
        <f>IF(Metadata!F223="",FALSE,TRUE)</f>
        <v>0</v>
      </c>
      <c r="AS223">
        <f>OR(AND(IF(Metadata!G223="",FALSE,TRUE),OR(exact(Metadata!G223,"not collected"),exact(Metadata!G223,"not provided"))),AND(IF(Metadata!G223="",FALSE,TRUE),OR(exact(Metadata!G223,"TRUE"),exact(Metadata!G223,"FALSE"))))</f>
        <v>0</v>
      </c>
      <c r="AT223">
        <f>OR(AND(IF(Metadata!H223="",FALSE,TRUE),OR(exact(Metadata!H223,"not collected"),exact(Metadata!H223,"not provided"),exact(Metadata!H223,"restricted access"))),AND(IF(Metadata!H223="",FALSE,ISNUMBER(VALUE(Metadata!H223))),Metadata!H223&gt;=-413.0))</f>
        <v>0</v>
      </c>
      <c r="AU223">
        <f>AND(IF(Metadata!I223="",FALSE,TRUE),exact(Metadata!I223,"meters"))</f>
        <v>0</v>
      </c>
      <c r="AV223">
        <f>AND(IF(Metadata!J223="",FALSE,TRUE),OR(exact(Metadata!J223,"Host-associated"),exact(Metadata!J223,"Free-living")))</f>
        <v>0</v>
      </c>
      <c r="AW223">
        <f>AND(IF(Metadata!K223="",FALSE,TRUE),OR(exact(Metadata!K223,"Animal"),exact(Metadata!K223,"Fungus"),exact(Metadata!K223,"Plant"),exact(Metadata!K223,"Saline"),exact(Metadata!K223,"Non-saline")))</f>
        <v>0</v>
      </c>
      <c r="AX223">
        <f>AND(IF(Metadata!L223="",FALSE,TRUE),OR(exact(Metadata!L223,"Plant secretion"),exact(Metadata!L223,"Plant rhizosphere"),exact(Metadata!L223,"Plant surface"),exact(Metadata!L223,"Plant corpus"),exact(Metadata!L223,"Fungus surface"),exact(Metadata!L223,"Fungus corpus"),exact(Metadata!L223,"Animal surface"),exact(Metadata!L223,"Animal proximal gut"),exact(Metadata!L223,"Animal corpus"),exact(Metadata!L223,"Animal distal gut"),exact(Metadata!L223,"Animal secretion"),exact(Metadata!L223,"Sub-surface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Y223">
        <f>IF(Metadata!M223="",FALSE,TRUE)</f>
        <v>0</v>
      </c>
      <c r="AZ223">
        <f>IF(Metadata!N223="",FALSE,TRUE)</f>
        <v>0</v>
      </c>
      <c r="BA223">
        <f>IF(Metadata!O223="",FALSE,TRUE)</f>
        <v>0</v>
      </c>
      <c r="BB223">
        <f>OR(AND(IF(Metadata!P223="",FALSE,TRUE),OR(exact(Metadata!P223,"not collected"),exact(Metadata!P223,"not provided"),exact(Metadata!P223,"restricted access"))),AND(IF(Metadata!P223="",FALSE,TRUE),OR(exact(Metadata!P223,"air"),exact(Metadata!P223,"built environment"),exact(Metadata!P223,"host-associated"),exact(Metadata!P223,"human-associated"),exact(Metadata!P223,"human-skin"),exact(Metadata!P223,"human-oral"),exact(Metadata!P223,"human-gut"),exact(Metadata!P223,"human-vaginal"),exact(Metadata!P223,"microbial mat/biofilm"),exact(Metadata!P223,"misc environment"),exact(Metadata!P223,"plant-associated"),exact(Metadata!P223,"sediment"),exact(Metadata!P223,"soil"),exact(Metadata!P223,"wastewater/sludge"),exact(Metadata!P223,"water"))))</f>
        <v>0</v>
      </c>
      <c r="BC223">
        <f>IF(Metadata!Q223="",FALSE,TRUE)</f>
        <v>0</v>
      </c>
      <c r="BD223">
        <f>IF(Metadata!R223="",FALSE,TRUE)</f>
        <v>0</v>
      </c>
      <c r="BE223">
        <f>OR(AND(IF(Metadata!S223="",FALSE,TRUE),OR(exact(Metadata!S223,"not collected"),exact(Metadata!S223,"not provided"),exact(Metadata!S223,"restricted access"))),AND(IF(Metadata!S223="",FALSE,ISNUMBER(VALUE(Metadata!S223))),Metadata!S223&gt;=-90.00,Metadata!S223&lt;=90.00))</f>
        <v>0</v>
      </c>
      <c r="BF223">
        <f>AND(IF(Metadata!T223="",FALSE,TRUE),exact(Metadata!T223,"Decimal degrees"))</f>
        <v>0</v>
      </c>
      <c r="BG223">
        <f>OR(AND(IF(Metadata!U223="",FALSE,TRUE),OR(exact(Metadata!U223,"not collected"),exact(Metadata!U223,"not provided"),exact(Metadata!U223,"restricted access"))),AND(IF(Metadata!U223="",FALSE,ISNUMBER(VALUE(Metadata!U223))),Metadata!U223&gt;=-180.00,Metadata!U223&lt;=180.00))</f>
        <v>0</v>
      </c>
      <c r="BH223">
        <f>AND(IF(Metadata!V223="",FALSE,TRUE),exact(Metadata!V223,"Decimal degrees"))</f>
        <v>0</v>
      </c>
      <c r="BI223">
        <f>IF(Metadata!W223="",FALSE,TRUE)</f>
        <v>0</v>
      </c>
      <c r="BJ223">
        <f>OR(AND(IF(Metadata!X223="",FALSE,TRUE),OR(exact(Metadata!X223,"not collected"),exact(Metadata!X223,"not provided"),exact(Metadata!X223,"restricted access"))),AND(IF(Metadata!X223="",FALSE,TRUE),OR(exact(Metadata!X223,"TRUE"),exact(Metadata!X223,"FALSE"))))</f>
        <v>0</v>
      </c>
      <c r="BK223">
        <f>AND(IF(Metadata!Y223="",FALSE,TRUE),exact(Metadata!Y223,"other"))</f>
        <v>0</v>
      </c>
      <c r="BL223">
        <f>IF(Metadata!Z223="",FALSE,TRUE)</f>
        <v>0</v>
      </c>
      <c r="BM223">
        <f>OR(AND(IF(Metadata!AA223="",FALSE,TRUE),OR(exact(Metadata!AA223,"not collected"),exact(Metadata!AA223,"not provided"))),AND(IF(Metadata!AA223="",FALSE,IF(ISERROR(INT(Metadata!AA223)),FALSE,INT(Metadata!AA223)=Metadata!AA223)),Metadata!AA223&gt;0))</f>
        <v>0</v>
      </c>
      <c r="BN223">
        <f>AND(IF(Metadata!AB223="",FALSE,TRUE),exact(Metadata!AB223,"Not applicable"))</f>
        <v>0</v>
      </c>
      <c r="BO223">
        <f>IF(Metadata!AC223="",FALSE,TRUE)</f>
        <v>0</v>
      </c>
    </row>
    <row r="224" spans="1:67">
      <c r="A224" s="5">
        <f>IF(B224=" "," ",HYPERLINK(CONCATENATE("#metadata!",ADDRESS(INDEX($AI$2:$AI$1001,MATCH(ROWS($AG$2:AG224),$AG$2:$AG$1001,0),0),1)),INDEX($AL$2:$AL$1001,MATCH(ROWS($AG$2:AG224),$AG$2:$AG$1001,0),0)))</f>
        <v>0</v>
      </c>
      <c r="B224" s="4">
        <f>IF(OR(INDEX($AH$2:$AH$1001,MATCH(ROWS($AG$2:AG224),$AG$2:$AG$1001,0),1)&gt;=100000,INDEX($AN$1005:$BO$1005,1,MATCH(COLUMNS($AN$1006:AN1006),$AN$1006:$BO$1006,0))&gt;=100000), " ",IF(INDEX($AN$2:$BO$1001,MATCH(ROWS($AG$2:AG224),$AG$2:$AG$1001,0),MATCH(COLUMNS($AN$1006:AN1006),$AN$1006:$BO$1006,0)), HYPERLINK("#",""), HYPERLINK(CONCATENATE("#Metadata!", ADDRESS(INDEX($AI$2:$AI$1001,MATCH(ROWS($AG$2:AG224),$AG$2:$AG$1001,0),0), INDEX($AN$1004:$BO$1004,1,MATCH(COLUMNS($AN$1006:AN1006),$AN$1006:$BO$1006,0)))),"Fix")))</f>
        <v>0</v>
      </c>
      <c r="C224" s="4">
        <f>IF(OR(INDEX($AH$2:$AH$1001,MATCH(ROWS($AG$2:AG224),$AG$2:$AG$1001,0),1)&gt;=100000,INDEX($AN$1005:$BO$1005,1,MATCH(COLUMNS($AN$1006:AO1006),$AN$1006:$BO$1006,0))&gt;=100000), " ",IF(INDEX($AN$2:$BO$1001,MATCH(ROWS($AG$2:AG224),$AG$2:$AG$1001,0),MATCH(COLUMNS($AN$1006:AO1006),$AN$1006:$BO$1006,0)), HYPERLINK("#",""), HYPERLINK(CONCATENATE("#Metadata!", ADDRESS(INDEX($AI$2:$AI$1001,MATCH(ROWS($AG$2:AG224),$AG$2:$AG$1001,0),0), INDEX($AN$1004:$BO$1004,1,MATCH(COLUMNS($AN$1006:AO1006),$AN$1006:$BO$1006,0)))),"Fix")))</f>
        <v>0</v>
      </c>
      <c r="D224" s="4">
        <f>IF(OR(INDEX($AH$2:$AH$1001,MATCH(ROWS($AG$2:AG224),$AG$2:$AG$1001,0),1)&gt;=100000,INDEX($AN$1005:$BO$1005,1,MATCH(COLUMNS($AN$1006:AP1006),$AN$1006:$BO$1006,0))&gt;=100000), " ",IF(INDEX($AN$2:$BO$1001,MATCH(ROWS($AG$2:AG224),$AG$2:$AG$1001,0),MATCH(COLUMNS($AN$1006:AP1006),$AN$1006:$BO$1006,0)), HYPERLINK("#",""), HYPERLINK(CONCATENATE("#Metadata!", ADDRESS(INDEX($AI$2:$AI$1001,MATCH(ROWS($AG$2:AG224),$AG$2:$AG$1001,0),0), INDEX($AN$1004:$BO$1004,1,MATCH(COLUMNS($AN$1006:AP1006),$AN$1006:$BO$1006,0)))),"Fix")))</f>
        <v>0</v>
      </c>
      <c r="E224" s="4">
        <f>IF(OR(INDEX($AH$2:$AH$1001,MATCH(ROWS($AG$2:AG224),$AG$2:$AG$1001,0),1)&gt;=100000,INDEX($AN$1005:$BO$1005,1,MATCH(COLUMNS($AN$1006:AQ1006),$AN$1006:$BO$1006,0))&gt;=100000), " ",IF(INDEX($AN$2:$BO$1001,MATCH(ROWS($AG$2:AG224),$AG$2:$AG$1001,0),MATCH(COLUMNS($AN$1006:AQ1006),$AN$1006:$BO$1006,0)), HYPERLINK("#",""), HYPERLINK(CONCATENATE("#Metadata!", ADDRESS(INDEX($AI$2:$AI$1001,MATCH(ROWS($AG$2:AG224),$AG$2:$AG$1001,0),0), INDEX($AN$1004:$BO$1004,1,MATCH(COLUMNS($AN$1006:AQ1006),$AN$1006:$BO$1006,0)))),"Fix")))</f>
        <v>0</v>
      </c>
      <c r="F224" s="4">
        <f>IF(OR(INDEX($AH$2:$AH$1001,MATCH(ROWS($AG$2:AG224),$AG$2:$AG$1001,0),1)&gt;=100000,INDEX($AN$1005:$BO$1005,1,MATCH(COLUMNS($AN$1006:AR1006),$AN$1006:$BO$1006,0))&gt;=100000), " ",IF(INDEX($AN$2:$BO$1001,MATCH(ROWS($AG$2:AG224),$AG$2:$AG$1001,0),MATCH(COLUMNS($AN$1006:AR1006),$AN$1006:$BO$1006,0)), HYPERLINK("#",""), HYPERLINK(CONCATENATE("#Metadata!", ADDRESS(INDEX($AI$2:$AI$1001,MATCH(ROWS($AG$2:AG224),$AG$2:$AG$1001,0),0), INDEX($AN$1004:$BO$1004,1,MATCH(COLUMNS($AN$1006:AR1006),$AN$1006:$BO$1006,0)))),"Fix")))</f>
        <v>0</v>
      </c>
      <c r="G224" s="4">
        <f>IF(OR(INDEX($AH$2:$AH$1001,MATCH(ROWS($AG$2:AG224),$AG$2:$AG$1001,0),1)&gt;=100000,INDEX($AN$1005:$BO$1005,1,MATCH(COLUMNS($AN$1006:AS1006),$AN$1006:$BO$1006,0))&gt;=100000), " ",IF(INDEX($AN$2:$BO$1001,MATCH(ROWS($AG$2:AG224),$AG$2:$AG$1001,0),MATCH(COLUMNS($AN$1006:AS1006),$AN$1006:$BO$1006,0)), HYPERLINK("#",""), HYPERLINK(CONCATENATE("#Metadata!", ADDRESS(INDEX($AI$2:$AI$1001,MATCH(ROWS($AG$2:AG224),$AG$2:$AG$1001,0),0), INDEX($AN$1004:$BO$1004,1,MATCH(COLUMNS($AN$1006:AS1006),$AN$1006:$BO$1006,0)))),"Fix")))</f>
        <v>0</v>
      </c>
      <c r="H224" s="4">
        <f>IF(OR(INDEX($AH$2:$AH$1001,MATCH(ROWS($AG$2:AG224),$AG$2:$AG$1001,0),1)&gt;=100000,INDEX($AN$1005:$BO$1005,1,MATCH(COLUMNS($AN$1006:AT1006),$AN$1006:$BO$1006,0))&gt;=100000), " ",IF(INDEX($AN$2:$BO$1001,MATCH(ROWS($AG$2:AG224),$AG$2:$AG$1001,0),MATCH(COLUMNS($AN$1006:AT1006),$AN$1006:$BO$1006,0)), HYPERLINK("#",""), HYPERLINK(CONCATENATE("#Metadata!", ADDRESS(INDEX($AI$2:$AI$1001,MATCH(ROWS($AG$2:AG224),$AG$2:$AG$1001,0),0), INDEX($AN$1004:$BO$1004,1,MATCH(COLUMNS($AN$1006:AT1006),$AN$1006:$BO$1006,0)))),"Fix")))</f>
        <v>0</v>
      </c>
      <c r="I224" s="4">
        <f>IF(OR(INDEX($AH$2:$AH$1001,MATCH(ROWS($AG$2:AG224),$AG$2:$AG$1001,0),1)&gt;=100000,INDEX($AN$1005:$BO$1005,1,MATCH(COLUMNS($AN$1006:AU1006),$AN$1006:$BO$1006,0))&gt;=100000), " ",IF(INDEX($AN$2:$BO$1001,MATCH(ROWS($AG$2:AG224),$AG$2:$AG$1001,0),MATCH(COLUMNS($AN$1006:AU1006),$AN$1006:$BO$1006,0)), HYPERLINK("#",""), HYPERLINK(CONCATENATE("#Metadata!", ADDRESS(INDEX($AI$2:$AI$1001,MATCH(ROWS($AG$2:AG224),$AG$2:$AG$1001,0),0), INDEX($AN$1004:$BO$1004,1,MATCH(COLUMNS($AN$1006:AU1006),$AN$1006:$BO$1006,0)))),"Fix")))</f>
        <v>0</v>
      </c>
      <c r="J224" s="4">
        <f>IF(OR(INDEX($AH$2:$AH$1001,MATCH(ROWS($AG$2:AG224),$AG$2:$AG$1001,0),1)&gt;=100000,INDEX($AN$1005:$BO$1005,1,MATCH(COLUMNS($AN$1006:AV1006),$AN$1006:$BO$1006,0))&gt;=100000), " ",IF(INDEX($AN$2:$BO$1001,MATCH(ROWS($AG$2:AG224),$AG$2:$AG$1001,0),MATCH(COLUMNS($AN$1006:AV1006),$AN$1006:$BO$1006,0)), HYPERLINK("#",""), HYPERLINK(CONCATENATE("#Metadata!", ADDRESS(INDEX($AI$2:$AI$1001,MATCH(ROWS($AG$2:AG224),$AG$2:$AG$1001,0),0), INDEX($AN$1004:$BO$1004,1,MATCH(COLUMNS($AN$1006:AV1006),$AN$1006:$BO$1006,0)))),"Fix")))</f>
        <v>0</v>
      </c>
      <c r="K224" s="4">
        <f>IF(OR(INDEX($AH$2:$AH$1001,MATCH(ROWS($AG$2:AG224),$AG$2:$AG$1001,0),1)&gt;=100000,INDEX($AN$1005:$BO$1005,1,MATCH(COLUMNS($AN$1006:AW1006),$AN$1006:$BO$1006,0))&gt;=100000), " ",IF(INDEX($AN$2:$BO$1001,MATCH(ROWS($AG$2:AG224),$AG$2:$AG$1001,0),MATCH(COLUMNS($AN$1006:AW1006),$AN$1006:$BO$1006,0)), HYPERLINK("#",""), HYPERLINK(CONCATENATE("#Metadata!", ADDRESS(INDEX($AI$2:$AI$1001,MATCH(ROWS($AG$2:AG224),$AG$2:$AG$1001,0),0), INDEX($AN$1004:$BO$1004,1,MATCH(COLUMNS($AN$1006:AW1006),$AN$1006:$BO$1006,0)))),"Fix")))</f>
        <v>0</v>
      </c>
      <c r="L224" s="4">
        <f>IF(OR(INDEX($AH$2:$AH$1001,MATCH(ROWS($AG$2:AG224),$AG$2:$AG$1001,0),1)&gt;=100000,INDEX($AN$1005:$BO$1005,1,MATCH(COLUMNS($AN$1006:AX1006),$AN$1006:$BO$1006,0))&gt;=100000), " ",IF(INDEX($AN$2:$BO$1001,MATCH(ROWS($AG$2:AG224),$AG$2:$AG$1001,0),MATCH(COLUMNS($AN$1006:AX1006),$AN$1006:$BO$1006,0)), HYPERLINK("#",""), HYPERLINK(CONCATENATE("#Metadata!", ADDRESS(INDEX($AI$2:$AI$1001,MATCH(ROWS($AG$2:AG224),$AG$2:$AG$1001,0),0), INDEX($AN$1004:$BO$1004,1,MATCH(COLUMNS($AN$1006:AX1006),$AN$1006:$BO$1006,0)))),"Fix")))</f>
        <v>0</v>
      </c>
      <c r="M224" s="4">
        <f>IF(OR(INDEX($AH$2:$AH$1001,MATCH(ROWS($AG$2:AG224),$AG$2:$AG$1001,0),1)&gt;=100000,INDEX($AN$1005:$BO$1005,1,MATCH(COLUMNS($AN$1006:AY1006),$AN$1006:$BO$1006,0))&gt;=100000), " ",IF(INDEX($AN$2:$BO$1001,MATCH(ROWS($AG$2:AG224),$AG$2:$AG$1001,0),MATCH(COLUMNS($AN$1006:AY1006),$AN$1006:$BO$1006,0)), HYPERLINK("#",""), HYPERLINK(CONCATENATE("#Metadata!", ADDRESS(INDEX($AI$2:$AI$1001,MATCH(ROWS($AG$2:AG224),$AG$2:$AG$1001,0),0), INDEX($AN$1004:$BO$1004,1,MATCH(COLUMNS($AN$1006:AY1006),$AN$1006:$BO$1006,0)))),"Fix")))</f>
        <v>0</v>
      </c>
      <c r="N224" s="4">
        <f>IF(OR(INDEX($AH$2:$AH$1001,MATCH(ROWS($AG$2:AG224),$AG$2:$AG$1001,0),1)&gt;=100000,INDEX($AN$1005:$BO$1005,1,MATCH(COLUMNS($AN$1006:AZ1006),$AN$1006:$BO$1006,0))&gt;=100000), " ",IF(INDEX($AN$2:$BO$1001,MATCH(ROWS($AG$2:AG224),$AG$2:$AG$1001,0),MATCH(COLUMNS($AN$1006:AZ1006),$AN$1006:$BO$1006,0)), HYPERLINK("#",""), HYPERLINK(CONCATENATE("#Metadata!", ADDRESS(INDEX($AI$2:$AI$1001,MATCH(ROWS($AG$2:AG224),$AG$2:$AG$1001,0),0), INDEX($AN$1004:$BO$1004,1,MATCH(COLUMNS($AN$1006:AZ1006),$AN$1006:$BO$1006,0)))),"Fix")))</f>
        <v>0</v>
      </c>
      <c r="O224" s="4">
        <f>IF(OR(INDEX($AH$2:$AH$1001,MATCH(ROWS($AG$2:AG224),$AG$2:$AG$1001,0),1)&gt;=100000,INDEX($AN$1005:$BO$1005,1,MATCH(COLUMNS($AN$1006:BA1006),$AN$1006:$BO$1006,0))&gt;=100000), " ",IF(INDEX($AN$2:$BO$1001,MATCH(ROWS($AG$2:AG224),$AG$2:$AG$1001,0),MATCH(COLUMNS($AN$1006:BA1006),$AN$1006:$BO$1006,0)), HYPERLINK("#",""), HYPERLINK(CONCATENATE("#Metadata!", ADDRESS(INDEX($AI$2:$AI$1001,MATCH(ROWS($AG$2:AG224),$AG$2:$AG$1001,0),0), INDEX($AN$1004:$BO$1004,1,MATCH(COLUMNS($AN$1006:BA1006),$AN$1006:$BO$1006,0)))),"Fix")))</f>
        <v>0</v>
      </c>
      <c r="P224" s="4">
        <f>IF(OR(INDEX($AH$2:$AH$1001,MATCH(ROWS($AG$2:AG224),$AG$2:$AG$1001,0),1)&gt;=100000,INDEX($AN$1005:$BO$1005,1,MATCH(COLUMNS($AN$1006:BB1006),$AN$1006:$BO$1006,0))&gt;=100000), " ",IF(INDEX($AN$2:$BO$1001,MATCH(ROWS($AG$2:AG224),$AG$2:$AG$1001,0),MATCH(COLUMNS($AN$1006:BB1006),$AN$1006:$BO$1006,0)), HYPERLINK("#",""), HYPERLINK(CONCATENATE("#Metadata!", ADDRESS(INDEX($AI$2:$AI$1001,MATCH(ROWS($AG$2:AG224),$AG$2:$AG$1001,0),0), INDEX($AN$1004:$BO$1004,1,MATCH(COLUMNS($AN$1006:BB1006),$AN$1006:$BO$1006,0)))),"Fix")))</f>
        <v>0</v>
      </c>
      <c r="Q224" s="4">
        <f>IF(OR(INDEX($AH$2:$AH$1001,MATCH(ROWS($AG$2:AG224),$AG$2:$AG$1001,0),1)&gt;=100000,INDEX($AN$1005:$BO$1005,1,MATCH(COLUMNS($AN$1006:BC1006),$AN$1006:$BO$1006,0))&gt;=100000), " ",IF(INDEX($AN$2:$BO$1001,MATCH(ROWS($AG$2:AG224),$AG$2:$AG$1001,0),MATCH(COLUMNS($AN$1006:BC1006),$AN$1006:$BO$1006,0)), HYPERLINK("#",""), HYPERLINK(CONCATENATE("#Metadata!", ADDRESS(INDEX($AI$2:$AI$1001,MATCH(ROWS($AG$2:AG224),$AG$2:$AG$1001,0),0), INDEX($AN$1004:$BO$1004,1,MATCH(COLUMNS($AN$1006:BC1006),$AN$1006:$BO$1006,0)))),"Fix")))</f>
        <v>0</v>
      </c>
      <c r="R224" s="4">
        <f>IF(OR(INDEX($AH$2:$AH$1001,MATCH(ROWS($AG$2:AG224),$AG$2:$AG$1001,0),1)&gt;=100000,INDEX($AN$1005:$BO$1005,1,MATCH(COLUMNS($AN$1006:BD1006),$AN$1006:$BO$1006,0))&gt;=100000), " ",IF(INDEX($AN$2:$BO$1001,MATCH(ROWS($AG$2:AG224),$AG$2:$AG$1001,0),MATCH(COLUMNS($AN$1006:BD1006),$AN$1006:$BO$1006,0)), HYPERLINK("#",""), HYPERLINK(CONCATENATE("#Metadata!", ADDRESS(INDEX($AI$2:$AI$1001,MATCH(ROWS($AG$2:AG224),$AG$2:$AG$1001,0),0), INDEX($AN$1004:$BO$1004,1,MATCH(COLUMNS($AN$1006:BD1006),$AN$1006:$BO$1006,0)))),"Fix")))</f>
        <v>0</v>
      </c>
      <c r="S224" s="4">
        <f>IF(OR(INDEX($AH$2:$AH$1001,MATCH(ROWS($AG$2:AG224),$AG$2:$AG$1001,0),1)&gt;=100000,INDEX($AN$1005:$BO$1005,1,MATCH(COLUMNS($AN$1006:BE1006),$AN$1006:$BO$1006,0))&gt;=100000), " ",IF(INDEX($AN$2:$BO$1001,MATCH(ROWS($AG$2:AG224),$AG$2:$AG$1001,0),MATCH(COLUMNS($AN$1006:BE1006),$AN$1006:$BO$1006,0)), HYPERLINK("#",""), HYPERLINK(CONCATENATE("#Metadata!", ADDRESS(INDEX($AI$2:$AI$1001,MATCH(ROWS($AG$2:AG224),$AG$2:$AG$1001,0),0), INDEX($AN$1004:$BO$1004,1,MATCH(COLUMNS($AN$1006:BE1006),$AN$1006:$BO$1006,0)))),"Fix")))</f>
        <v>0</v>
      </c>
      <c r="T224" s="4">
        <f>IF(OR(INDEX($AH$2:$AH$1001,MATCH(ROWS($AG$2:AG224),$AG$2:$AG$1001,0),1)&gt;=100000,INDEX($AN$1005:$BO$1005,1,MATCH(COLUMNS($AN$1006:BF1006),$AN$1006:$BO$1006,0))&gt;=100000), " ",IF(INDEX($AN$2:$BO$1001,MATCH(ROWS($AG$2:AG224),$AG$2:$AG$1001,0),MATCH(COLUMNS($AN$1006:BF1006),$AN$1006:$BO$1006,0)), HYPERLINK("#",""), HYPERLINK(CONCATENATE("#Metadata!", ADDRESS(INDEX($AI$2:$AI$1001,MATCH(ROWS($AG$2:AG224),$AG$2:$AG$1001,0),0), INDEX($AN$1004:$BO$1004,1,MATCH(COLUMNS($AN$1006:BF1006),$AN$1006:$BO$1006,0)))),"Fix")))</f>
        <v>0</v>
      </c>
      <c r="U224" s="4">
        <f>IF(OR(INDEX($AH$2:$AH$1001,MATCH(ROWS($AG$2:AG224),$AG$2:$AG$1001,0),1)&gt;=100000,INDEX($AN$1005:$BO$1005,1,MATCH(COLUMNS($AN$1006:BG1006),$AN$1006:$BO$1006,0))&gt;=100000), " ",IF(INDEX($AN$2:$BO$1001,MATCH(ROWS($AG$2:AG224),$AG$2:$AG$1001,0),MATCH(COLUMNS($AN$1006:BG1006),$AN$1006:$BO$1006,0)), HYPERLINK("#",""), HYPERLINK(CONCATENATE("#Metadata!", ADDRESS(INDEX($AI$2:$AI$1001,MATCH(ROWS($AG$2:AG224),$AG$2:$AG$1001,0),0), INDEX($AN$1004:$BO$1004,1,MATCH(COLUMNS($AN$1006:BG1006),$AN$1006:$BO$1006,0)))),"Fix")))</f>
        <v>0</v>
      </c>
      <c r="V224" s="4">
        <f>IF(OR(INDEX($AH$2:$AH$1001,MATCH(ROWS($AG$2:AG224),$AG$2:$AG$1001,0),1)&gt;=100000,INDEX($AN$1005:$BO$1005,1,MATCH(COLUMNS($AN$1006:BH1006),$AN$1006:$BO$1006,0))&gt;=100000), " ",IF(INDEX($AN$2:$BO$1001,MATCH(ROWS($AG$2:AG224),$AG$2:$AG$1001,0),MATCH(COLUMNS($AN$1006:BH1006),$AN$1006:$BO$1006,0)), HYPERLINK("#",""), HYPERLINK(CONCATENATE("#Metadata!", ADDRESS(INDEX($AI$2:$AI$1001,MATCH(ROWS($AG$2:AG224),$AG$2:$AG$1001,0),0), INDEX($AN$1004:$BO$1004,1,MATCH(COLUMNS($AN$1006:BH1006),$AN$1006:$BO$1006,0)))),"Fix")))</f>
        <v>0</v>
      </c>
      <c r="W224" s="4">
        <f>IF(OR(INDEX($AH$2:$AH$1001,MATCH(ROWS($AG$2:AG224),$AG$2:$AG$1001,0),1)&gt;=100000,INDEX($AN$1005:$BO$1005,1,MATCH(COLUMNS($AN$1006:BI1006),$AN$1006:$BO$1006,0))&gt;=100000), " ",IF(INDEX($AN$2:$BO$1001,MATCH(ROWS($AG$2:AG224),$AG$2:$AG$1001,0),MATCH(COLUMNS($AN$1006:BI1006),$AN$1006:$BO$1006,0)), HYPERLINK("#",""), HYPERLINK(CONCATENATE("#Metadata!", ADDRESS(INDEX($AI$2:$AI$1001,MATCH(ROWS($AG$2:AG224),$AG$2:$AG$1001,0),0), INDEX($AN$1004:$BO$1004,1,MATCH(COLUMNS($AN$1006:BI1006),$AN$1006:$BO$1006,0)))),"Fix")))</f>
        <v>0</v>
      </c>
      <c r="X224" s="4">
        <f>IF(OR(INDEX($AH$2:$AH$1001,MATCH(ROWS($AG$2:AG224),$AG$2:$AG$1001,0),1)&gt;=100000,INDEX($AN$1005:$BO$1005,1,MATCH(COLUMNS($AN$1006:BJ1006),$AN$1006:$BO$1006,0))&gt;=100000), " ",IF(INDEX($AN$2:$BO$1001,MATCH(ROWS($AG$2:AG224),$AG$2:$AG$1001,0),MATCH(COLUMNS($AN$1006:BJ1006),$AN$1006:$BO$1006,0)), HYPERLINK("#",""), HYPERLINK(CONCATENATE("#Metadata!", ADDRESS(INDEX($AI$2:$AI$1001,MATCH(ROWS($AG$2:AG224),$AG$2:$AG$1001,0),0), INDEX($AN$1004:$BO$1004,1,MATCH(COLUMNS($AN$1006:BJ1006),$AN$1006:$BO$1006,0)))),"Fix")))</f>
        <v>0</v>
      </c>
      <c r="Y224" s="4">
        <f>IF(OR(INDEX($AH$2:$AH$1001,MATCH(ROWS($AG$2:AG224),$AG$2:$AG$1001,0),1)&gt;=100000,INDEX($AN$1005:$BO$1005,1,MATCH(COLUMNS($AN$1006:BK1006),$AN$1006:$BO$1006,0))&gt;=100000), " ",IF(INDEX($AN$2:$BO$1001,MATCH(ROWS($AG$2:AG224),$AG$2:$AG$1001,0),MATCH(COLUMNS($AN$1006:BK1006),$AN$1006:$BO$1006,0)), HYPERLINK("#",""), HYPERLINK(CONCATENATE("#Metadata!", ADDRESS(INDEX($AI$2:$AI$1001,MATCH(ROWS($AG$2:AG224),$AG$2:$AG$1001,0),0), INDEX($AN$1004:$BO$1004,1,MATCH(COLUMNS($AN$1006:BK1006),$AN$1006:$BO$1006,0)))),"Fix")))</f>
        <v>0</v>
      </c>
      <c r="Z224" s="4">
        <f>IF(OR(INDEX($AH$2:$AH$1001,MATCH(ROWS($AG$2:AG224),$AG$2:$AG$1001,0),1)&gt;=100000,INDEX($AN$1005:$BO$1005,1,MATCH(COLUMNS($AN$1006:BL1006),$AN$1006:$BO$1006,0))&gt;=100000), " ",IF(INDEX($AN$2:$BO$1001,MATCH(ROWS($AG$2:AG224),$AG$2:$AG$1001,0),MATCH(COLUMNS($AN$1006:BL1006),$AN$1006:$BO$1006,0)), HYPERLINK("#",""), HYPERLINK(CONCATENATE("#Metadata!", ADDRESS(INDEX($AI$2:$AI$1001,MATCH(ROWS($AG$2:AG224),$AG$2:$AG$1001,0),0), INDEX($AN$1004:$BO$1004,1,MATCH(COLUMNS($AN$1006:BL1006),$AN$1006:$BO$1006,0)))),"Fix")))</f>
        <v>0</v>
      </c>
      <c r="AA224" s="4">
        <f>IF(OR(INDEX($AH$2:$AH$1001,MATCH(ROWS($AG$2:AG224),$AG$2:$AG$1001,0),1)&gt;=100000,INDEX($AN$1005:$BO$1005,1,MATCH(COLUMNS($AN$1006:BM1006),$AN$1006:$BO$1006,0))&gt;=100000), " ",IF(INDEX($AN$2:$BO$1001,MATCH(ROWS($AG$2:AG224),$AG$2:$AG$1001,0),MATCH(COLUMNS($AN$1006:BM1006),$AN$1006:$BO$1006,0)), HYPERLINK("#",""), HYPERLINK(CONCATENATE("#Metadata!", ADDRESS(INDEX($AI$2:$AI$1001,MATCH(ROWS($AG$2:AG224),$AG$2:$AG$1001,0),0), INDEX($AN$1004:$BO$1004,1,MATCH(COLUMNS($AN$1006:BM1006),$AN$1006:$BO$1006,0)))),"Fix")))</f>
        <v>0</v>
      </c>
      <c r="AB224" s="4">
        <f>IF(OR(INDEX($AH$2:$AH$1001,MATCH(ROWS($AG$2:AG224),$AG$2:$AG$1001,0),1)&gt;=100000,INDEX($AN$1005:$BO$1005,1,MATCH(COLUMNS($AN$1006:BN1006),$AN$1006:$BO$1006,0))&gt;=100000), " ",IF(INDEX($AN$2:$BO$1001,MATCH(ROWS($AG$2:AG224),$AG$2:$AG$1001,0),MATCH(COLUMNS($AN$1006:BN1006),$AN$1006:$BO$1006,0)), HYPERLINK("#",""), HYPERLINK(CONCATENATE("#Metadata!", ADDRESS(INDEX($AI$2:$AI$1001,MATCH(ROWS($AG$2:AG224),$AG$2:$AG$1001,0),0), INDEX($AN$1004:$BO$1004,1,MATCH(COLUMNS($AN$1006:BN1006),$AN$1006:$BO$1006,0)))),"Fix")))</f>
        <v>0</v>
      </c>
      <c r="AC224" s="4">
        <f>IF(OR(INDEX($AH$2:$AH$1001,MATCH(ROWS($AG$2:AG224),$AG$2:$AG$1001,0),1)&gt;=100000,INDEX($AN$1005:$BO$1005,1,MATCH(COLUMNS($AN$1006:BO1006),$AN$1006:$BO$1006,0))&gt;=100000), " ",IF(INDEX($AN$2:$BO$1001,MATCH(ROWS($AG$2:AG224),$AG$2:$AG$1001,0),MATCH(COLUMNS($AN$1006:BO1006),$AN$1006:$BO$1006,0)), HYPERLINK("#",""), HYPERLINK(CONCATENATE("#Metadata!", ADDRESS(INDEX($AI$2:$AI$1001,MATCH(ROWS($AG$2:AG224),$AG$2:$AG$1001,0),0), INDEX($AN$1004:$BO$1004,1,MATCH(COLUMNS($AN$1006:BO1006),$AN$1006:$BO$1006,0)))),"Fix")))</f>
        <v>0</v>
      </c>
      <c r="AG224">
        <v>0</v>
      </c>
      <c r="AH224">
        <v>0</v>
      </c>
      <c r="AI224">
        <v>0</v>
      </c>
      <c r="AJ224">
        <f>IF(AK224,TRUE,AND(AN224:BO224))</f>
        <v>0</v>
      </c>
      <c r="AK224">
        <f>COUNTBLANK(Metadata!B224:AC224)=COLUMNS(Metadata!B224:AC224)</f>
        <v>0</v>
      </c>
      <c r="AL224">
        <v>0</v>
      </c>
      <c r="AN224">
        <f>AND(IF(Metadata!B224="",FALSE,TRUE),COUNTIF(Metadata!B:B, Metadata!B224) = 1,NOT(ISERROR(SUMPRODUCT(SEARCH(MID(Metadata!B224,ROW(INDIRECT("1:"&amp;LEN(Metadata!B224))), 1),"0123456789abcdefghijklmnopqrstuvwxyzABCDEFGHIJKLMNOPQRSTUVWXYZ.")))))</f>
        <v>0</v>
      </c>
      <c r="AO224">
        <f>IF(Metadata!C224="",FALSE,TRUE)</f>
        <v>0</v>
      </c>
      <c r="AP224">
        <f>IF(Metadata!D224="",FALSE,TRUE)</f>
        <v>0</v>
      </c>
      <c r="AQ224">
        <f>OR(AND(IF(Metadata!E224="",FALSE,TRUE),OR(exact(Metadata!E224,"not collected"),exact(Metadata!E224,"not provided"),exact(Metadata!E224,"restricted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R224">
        <f>IF(Metadata!F224="",FALSE,TRUE)</f>
        <v>0</v>
      </c>
      <c r="AS224">
        <f>OR(AND(IF(Metadata!G224="",FALSE,TRUE),OR(exact(Metadata!G224,"not collected"),exact(Metadata!G224,"not provided"))),AND(IF(Metadata!G224="",FALSE,TRUE),OR(exact(Metadata!G224,"TRUE"),exact(Metadata!G224,"FALSE"))))</f>
        <v>0</v>
      </c>
      <c r="AT224">
        <f>OR(AND(IF(Metadata!H224="",FALSE,TRUE),OR(exact(Metadata!H224,"not collected"),exact(Metadata!H224,"not provided"),exact(Metadata!H224,"restricted access"))),AND(IF(Metadata!H224="",FALSE,ISNUMBER(VALUE(Metadata!H224))),Metadata!H224&gt;=-413.0))</f>
        <v>0</v>
      </c>
      <c r="AU224">
        <f>AND(IF(Metadata!I224="",FALSE,TRUE),exact(Metadata!I224,"meters"))</f>
        <v>0</v>
      </c>
      <c r="AV224">
        <f>AND(IF(Metadata!J224="",FALSE,TRUE),OR(exact(Metadata!J224,"Host-associated"),exact(Metadata!J224,"Free-living")))</f>
        <v>0</v>
      </c>
      <c r="AW224">
        <f>AND(IF(Metadata!K224="",FALSE,TRUE),OR(exact(Metadata!K224,"Animal"),exact(Metadata!K224,"Fungus"),exact(Metadata!K224,"Plant"),exact(Metadata!K224,"Saline"),exact(Metadata!K224,"Non-saline")))</f>
        <v>0</v>
      </c>
      <c r="AX224">
        <f>AND(IF(Metadata!L224="",FALSE,TRUE),OR(exact(Metadata!L224,"Plant secretion"),exact(Metadata!L224,"Plant rhizosphere"),exact(Metadata!L224,"Plant surface"),exact(Metadata!L224,"Plant corpus"),exact(Metadata!L224,"Fungus surface"),exact(Metadata!L224,"Fungus corpus"),exact(Metadata!L224,"Animal surface"),exact(Metadata!L224,"Animal proximal gut"),exact(Metadata!L224,"Animal corpus"),exact(Metadata!L224,"Animal distal gut"),exact(Metadata!L224,"Animal secretion"),exact(Metadata!L224,"Sub-surface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Y224">
        <f>IF(Metadata!M224="",FALSE,TRUE)</f>
        <v>0</v>
      </c>
      <c r="AZ224">
        <f>IF(Metadata!N224="",FALSE,TRUE)</f>
        <v>0</v>
      </c>
      <c r="BA224">
        <f>IF(Metadata!O224="",FALSE,TRUE)</f>
        <v>0</v>
      </c>
      <c r="BB224">
        <f>OR(AND(IF(Metadata!P224="",FALSE,TRUE),OR(exact(Metadata!P224,"not collected"),exact(Metadata!P224,"not provided"),exact(Metadata!P224,"restricted access"))),AND(IF(Metadata!P224="",FALSE,TRUE),OR(exact(Metadata!P224,"air"),exact(Metadata!P224,"built environment"),exact(Metadata!P224,"host-associated"),exact(Metadata!P224,"human-associated"),exact(Metadata!P224,"human-skin"),exact(Metadata!P224,"human-oral"),exact(Metadata!P224,"human-gut"),exact(Metadata!P224,"human-vaginal"),exact(Metadata!P224,"microbial mat/biofilm"),exact(Metadata!P224,"misc environment"),exact(Metadata!P224,"plant-associated"),exact(Metadata!P224,"sediment"),exact(Metadata!P224,"soil"),exact(Metadata!P224,"wastewater/sludge"),exact(Metadata!P224,"water"))))</f>
        <v>0</v>
      </c>
      <c r="BC224">
        <f>IF(Metadata!Q224="",FALSE,TRUE)</f>
        <v>0</v>
      </c>
      <c r="BD224">
        <f>IF(Metadata!R224="",FALSE,TRUE)</f>
        <v>0</v>
      </c>
      <c r="BE224">
        <f>OR(AND(IF(Metadata!S224="",FALSE,TRUE),OR(exact(Metadata!S224,"not collected"),exact(Metadata!S224,"not provided"),exact(Metadata!S224,"restricted access"))),AND(IF(Metadata!S224="",FALSE,ISNUMBER(VALUE(Metadata!S224))),Metadata!S224&gt;=-90.00,Metadata!S224&lt;=90.00))</f>
        <v>0</v>
      </c>
      <c r="BF224">
        <f>AND(IF(Metadata!T224="",FALSE,TRUE),exact(Metadata!T224,"Decimal degrees"))</f>
        <v>0</v>
      </c>
      <c r="BG224">
        <f>OR(AND(IF(Metadata!U224="",FALSE,TRUE),OR(exact(Metadata!U224,"not collected"),exact(Metadata!U224,"not provided"),exact(Metadata!U224,"restricted access"))),AND(IF(Metadata!U224="",FALSE,ISNUMBER(VALUE(Metadata!U224))),Metadata!U224&gt;=-180.00,Metadata!U224&lt;=180.00))</f>
        <v>0</v>
      </c>
      <c r="BH224">
        <f>AND(IF(Metadata!V224="",FALSE,TRUE),exact(Metadata!V224,"Decimal degrees"))</f>
        <v>0</v>
      </c>
      <c r="BI224">
        <f>IF(Metadata!W224="",FALSE,TRUE)</f>
        <v>0</v>
      </c>
      <c r="BJ224">
        <f>OR(AND(IF(Metadata!X224="",FALSE,TRUE),OR(exact(Metadata!X224,"not collected"),exact(Metadata!X224,"not provided"),exact(Metadata!X224,"restricted access"))),AND(IF(Metadata!X224="",FALSE,TRUE),OR(exact(Metadata!X224,"TRUE"),exact(Metadata!X224,"FALSE"))))</f>
        <v>0</v>
      </c>
      <c r="BK224">
        <f>AND(IF(Metadata!Y224="",FALSE,TRUE),exact(Metadata!Y224,"other"))</f>
        <v>0</v>
      </c>
      <c r="BL224">
        <f>IF(Metadata!Z224="",FALSE,TRUE)</f>
        <v>0</v>
      </c>
      <c r="BM224">
        <f>OR(AND(IF(Metadata!AA224="",FALSE,TRUE),OR(exact(Metadata!AA224,"not collected"),exact(Metadata!AA224,"not provided"))),AND(IF(Metadata!AA224="",FALSE,IF(ISERROR(INT(Metadata!AA224)),FALSE,INT(Metadata!AA224)=Metadata!AA224)),Metadata!AA224&gt;0))</f>
        <v>0</v>
      </c>
      <c r="BN224">
        <f>AND(IF(Metadata!AB224="",FALSE,TRUE),exact(Metadata!AB224,"Not applicable"))</f>
        <v>0</v>
      </c>
      <c r="BO224">
        <f>IF(Metadata!AC224="",FALSE,TRUE)</f>
        <v>0</v>
      </c>
    </row>
    <row r="225" spans="1:67">
      <c r="A225" s="5">
        <f>IF(B225=" "," ",HYPERLINK(CONCATENATE("#metadata!",ADDRESS(INDEX($AI$2:$AI$1001,MATCH(ROWS($AG$2:AG225),$AG$2:$AG$1001,0),0),1)),INDEX($AL$2:$AL$1001,MATCH(ROWS($AG$2:AG225),$AG$2:$AG$1001,0),0)))</f>
        <v>0</v>
      </c>
      <c r="B225" s="4">
        <f>IF(OR(INDEX($AH$2:$AH$1001,MATCH(ROWS($AG$2:AG225),$AG$2:$AG$1001,0),1)&gt;=100000,INDEX($AN$1005:$BO$1005,1,MATCH(COLUMNS($AN$1006:AN1006),$AN$1006:$BO$1006,0))&gt;=100000), " ",IF(INDEX($AN$2:$BO$1001,MATCH(ROWS($AG$2:AG225),$AG$2:$AG$1001,0),MATCH(COLUMNS($AN$1006:AN1006),$AN$1006:$BO$1006,0)), HYPERLINK("#",""), HYPERLINK(CONCATENATE("#Metadata!", ADDRESS(INDEX($AI$2:$AI$1001,MATCH(ROWS($AG$2:AG225),$AG$2:$AG$1001,0),0), INDEX($AN$1004:$BO$1004,1,MATCH(COLUMNS($AN$1006:AN1006),$AN$1006:$BO$1006,0)))),"Fix")))</f>
        <v>0</v>
      </c>
      <c r="C225" s="4">
        <f>IF(OR(INDEX($AH$2:$AH$1001,MATCH(ROWS($AG$2:AG225),$AG$2:$AG$1001,0),1)&gt;=100000,INDEX($AN$1005:$BO$1005,1,MATCH(COLUMNS($AN$1006:AO1006),$AN$1006:$BO$1006,0))&gt;=100000), " ",IF(INDEX($AN$2:$BO$1001,MATCH(ROWS($AG$2:AG225),$AG$2:$AG$1001,0),MATCH(COLUMNS($AN$1006:AO1006),$AN$1006:$BO$1006,0)), HYPERLINK("#",""), HYPERLINK(CONCATENATE("#Metadata!", ADDRESS(INDEX($AI$2:$AI$1001,MATCH(ROWS($AG$2:AG225),$AG$2:$AG$1001,0),0), INDEX($AN$1004:$BO$1004,1,MATCH(COLUMNS($AN$1006:AO1006),$AN$1006:$BO$1006,0)))),"Fix")))</f>
        <v>0</v>
      </c>
      <c r="D225" s="4">
        <f>IF(OR(INDEX($AH$2:$AH$1001,MATCH(ROWS($AG$2:AG225),$AG$2:$AG$1001,0),1)&gt;=100000,INDEX($AN$1005:$BO$1005,1,MATCH(COLUMNS($AN$1006:AP1006),$AN$1006:$BO$1006,0))&gt;=100000), " ",IF(INDEX($AN$2:$BO$1001,MATCH(ROWS($AG$2:AG225),$AG$2:$AG$1001,0),MATCH(COLUMNS($AN$1006:AP1006),$AN$1006:$BO$1006,0)), HYPERLINK("#",""), HYPERLINK(CONCATENATE("#Metadata!", ADDRESS(INDEX($AI$2:$AI$1001,MATCH(ROWS($AG$2:AG225),$AG$2:$AG$1001,0),0), INDEX($AN$1004:$BO$1004,1,MATCH(COLUMNS($AN$1006:AP1006),$AN$1006:$BO$1006,0)))),"Fix")))</f>
        <v>0</v>
      </c>
      <c r="E225" s="4">
        <f>IF(OR(INDEX($AH$2:$AH$1001,MATCH(ROWS($AG$2:AG225),$AG$2:$AG$1001,0),1)&gt;=100000,INDEX($AN$1005:$BO$1005,1,MATCH(COLUMNS($AN$1006:AQ1006),$AN$1006:$BO$1006,0))&gt;=100000), " ",IF(INDEX($AN$2:$BO$1001,MATCH(ROWS($AG$2:AG225),$AG$2:$AG$1001,0),MATCH(COLUMNS($AN$1006:AQ1006),$AN$1006:$BO$1006,0)), HYPERLINK("#",""), HYPERLINK(CONCATENATE("#Metadata!", ADDRESS(INDEX($AI$2:$AI$1001,MATCH(ROWS($AG$2:AG225),$AG$2:$AG$1001,0),0), INDEX($AN$1004:$BO$1004,1,MATCH(COLUMNS($AN$1006:AQ1006),$AN$1006:$BO$1006,0)))),"Fix")))</f>
        <v>0</v>
      </c>
      <c r="F225" s="4">
        <f>IF(OR(INDEX($AH$2:$AH$1001,MATCH(ROWS($AG$2:AG225),$AG$2:$AG$1001,0),1)&gt;=100000,INDEX($AN$1005:$BO$1005,1,MATCH(COLUMNS($AN$1006:AR1006),$AN$1006:$BO$1006,0))&gt;=100000), " ",IF(INDEX($AN$2:$BO$1001,MATCH(ROWS($AG$2:AG225),$AG$2:$AG$1001,0),MATCH(COLUMNS($AN$1006:AR1006),$AN$1006:$BO$1006,0)), HYPERLINK("#",""), HYPERLINK(CONCATENATE("#Metadata!", ADDRESS(INDEX($AI$2:$AI$1001,MATCH(ROWS($AG$2:AG225),$AG$2:$AG$1001,0),0), INDEX($AN$1004:$BO$1004,1,MATCH(COLUMNS($AN$1006:AR1006),$AN$1006:$BO$1006,0)))),"Fix")))</f>
        <v>0</v>
      </c>
      <c r="G225" s="4">
        <f>IF(OR(INDEX($AH$2:$AH$1001,MATCH(ROWS($AG$2:AG225),$AG$2:$AG$1001,0),1)&gt;=100000,INDEX($AN$1005:$BO$1005,1,MATCH(COLUMNS($AN$1006:AS1006),$AN$1006:$BO$1006,0))&gt;=100000), " ",IF(INDEX($AN$2:$BO$1001,MATCH(ROWS($AG$2:AG225),$AG$2:$AG$1001,0),MATCH(COLUMNS($AN$1006:AS1006),$AN$1006:$BO$1006,0)), HYPERLINK("#",""), HYPERLINK(CONCATENATE("#Metadata!", ADDRESS(INDEX($AI$2:$AI$1001,MATCH(ROWS($AG$2:AG225),$AG$2:$AG$1001,0),0), INDEX($AN$1004:$BO$1004,1,MATCH(COLUMNS($AN$1006:AS1006),$AN$1006:$BO$1006,0)))),"Fix")))</f>
        <v>0</v>
      </c>
      <c r="H225" s="4">
        <f>IF(OR(INDEX($AH$2:$AH$1001,MATCH(ROWS($AG$2:AG225),$AG$2:$AG$1001,0),1)&gt;=100000,INDEX($AN$1005:$BO$1005,1,MATCH(COLUMNS($AN$1006:AT1006),$AN$1006:$BO$1006,0))&gt;=100000), " ",IF(INDEX($AN$2:$BO$1001,MATCH(ROWS($AG$2:AG225),$AG$2:$AG$1001,0),MATCH(COLUMNS($AN$1006:AT1006),$AN$1006:$BO$1006,0)), HYPERLINK("#",""), HYPERLINK(CONCATENATE("#Metadata!", ADDRESS(INDEX($AI$2:$AI$1001,MATCH(ROWS($AG$2:AG225),$AG$2:$AG$1001,0),0), INDEX($AN$1004:$BO$1004,1,MATCH(COLUMNS($AN$1006:AT1006),$AN$1006:$BO$1006,0)))),"Fix")))</f>
        <v>0</v>
      </c>
      <c r="I225" s="4">
        <f>IF(OR(INDEX($AH$2:$AH$1001,MATCH(ROWS($AG$2:AG225),$AG$2:$AG$1001,0),1)&gt;=100000,INDEX($AN$1005:$BO$1005,1,MATCH(COLUMNS($AN$1006:AU1006),$AN$1006:$BO$1006,0))&gt;=100000), " ",IF(INDEX($AN$2:$BO$1001,MATCH(ROWS($AG$2:AG225),$AG$2:$AG$1001,0),MATCH(COLUMNS($AN$1006:AU1006),$AN$1006:$BO$1006,0)), HYPERLINK("#",""), HYPERLINK(CONCATENATE("#Metadata!", ADDRESS(INDEX($AI$2:$AI$1001,MATCH(ROWS($AG$2:AG225),$AG$2:$AG$1001,0),0), INDEX($AN$1004:$BO$1004,1,MATCH(COLUMNS($AN$1006:AU1006),$AN$1006:$BO$1006,0)))),"Fix")))</f>
        <v>0</v>
      </c>
      <c r="J225" s="4">
        <f>IF(OR(INDEX($AH$2:$AH$1001,MATCH(ROWS($AG$2:AG225),$AG$2:$AG$1001,0),1)&gt;=100000,INDEX($AN$1005:$BO$1005,1,MATCH(COLUMNS($AN$1006:AV1006),$AN$1006:$BO$1006,0))&gt;=100000), " ",IF(INDEX($AN$2:$BO$1001,MATCH(ROWS($AG$2:AG225),$AG$2:$AG$1001,0),MATCH(COLUMNS($AN$1006:AV1006),$AN$1006:$BO$1006,0)), HYPERLINK("#",""), HYPERLINK(CONCATENATE("#Metadata!", ADDRESS(INDEX($AI$2:$AI$1001,MATCH(ROWS($AG$2:AG225),$AG$2:$AG$1001,0),0), INDEX($AN$1004:$BO$1004,1,MATCH(COLUMNS($AN$1006:AV1006),$AN$1006:$BO$1006,0)))),"Fix")))</f>
        <v>0</v>
      </c>
      <c r="K225" s="4">
        <f>IF(OR(INDEX($AH$2:$AH$1001,MATCH(ROWS($AG$2:AG225),$AG$2:$AG$1001,0),1)&gt;=100000,INDEX($AN$1005:$BO$1005,1,MATCH(COLUMNS($AN$1006:AW1006),$AN$1006:$BO$1006,0))&gt;=100000), " ",IF(INDEX($AN$2:$BO$1001,MATCH(ROWS($AG$2:AG225),$AG$2:$AG$1001,0),MATCH(COLUMNS($AN$1006:AW1006),$AN$1006:$BO$1006,0)), HYPERLINK("#",""), HYPERLINK(CONCATENATE("#Metadata!", ADDRESS(INDEX($AI$2:$AI$1001,MATCH(ROWS($AG$2:AG225),$AG$2:$AG$1001,0),0), INDEX($AN$1004:$BO$1004,1,MATCH(COLUMNS($AN$1006:AW1006),$AN$1006:$BO$1006,0)))),"Fix")))</f>
        <v>0</v>
      </c>
      <c r="L225" s="4">
        <f>IF(OR(INDEX($AH$2:$AH$1001,MATCH(ROWS($AG$2:AG225),$AG$2:$AG$1001,0),1)&gt;=100000,INDEX($AN$1005:$BO$1005,1,MATCH(COLUMNS($AN$1006:AX1006),$AN$1006:$BO$1006,0))&gt;=100000), " ",IF(INDEX($AN$2:$BO$1001,MATCH(ROWS($AG$2:AG225),$AG$2:$AG$1001,0),MATCH(COLUMNS($AN$1006:AX1006),$AN$1006:$BO$1006,0)), HYPERLINK("#",""), HYPERLINK(CONCATENATE("#Metadata!", ADDRESS(INDEX($AI$2:$AI$1001,MATCH(ROWS($AG$2:AG225),$AG$2:$AG$1001,0),0), INDEX($AN$1004:$BO$1004,1,MATCH(COLUMNS($AN$1006:AX1006),$AN$1006:$BO$1006,0)))),"Fix")))</f>
        <v>0</v>
      </c>
      <c r="M225" s="4">
        <f>IF(OR(INDEX($AH$2:$AH$1001,MATCH(ROWS($AG$2:AG225),$AG$2:$AG$1001,0),1)&gt;=100000,INDEX($AN$1005:$BO$1005,1,MATCH(COLUMNS($AN$1006:AY1006),$AN$1006:$BO$1006,0))&gt;=100000), " ",IF(INDEX($AN$2:$BO$1001,MATCH(ROWS($AG$2:AG225),$AG$2:$AG$1001,0),MATCH(COLUMNS($AN$1006:AY1006),$AN$1006:$BO$1006,0)), HYPERLINK("#",""), HYPERLINK(CONCATENATE("#Metadata!", ADDRESS(INDEX($AI$2:$AI$1001,MATCH(ROWS($AG$2:AG225),$AG$2:$AG$1001,0),0), INDEX($AN$1004:$BO$1004,1,MATCH(COLUMNS($AN$1006:AY1006),$AN$1006:$BO$1006,0)))),"Fix")))</f>
        <v>0</v>
      </c>
      <c r="N225" s="4">
        <f>IF(OR(INDEX($AH$2:$AH$1001,MATCH(ROWS($AG$2:AG225),$AG$2:$AG$1001,0),1)&gt;=100000,INDEX($AN$1005:$BO$1005,1,MATCH(COLUMNS($AN$1006:AZ1006),$AN$1006:$BO$1006,0))&gt;=100000), " ",IF(INDEX($AN$2:$BO$1001,MATCH(ROWS($AG$2:AG225),$AG$2:$AG$1001,0),MATCH(COLUMNS($AN$1006:AZ1006),$AN$1006:$BO$1006,0)), HYPERLINK("#",""), HYPERLINK(CONCATENATE("#Metadata!", ADDRESS(INDEX($AI$2:$AI$1001,MATCH(ROWS($AG$2:AG225),$AG$2:$AG$1001,0),0), INDEX($AN$1004:$BO$1004,1,MATCH(COLUMNS($AN$1006:AZ1006),$AN$1006:$BO$1006,0)))),"Fix")))</f>
        <v>0</v>
      </c>
      <c r="O225" s="4">
        <f>IF(OR(INDEX($AH$2:$AH$1001,MATCH(ROWS($AG$2:AG225),$AG$2:$AG$1001,0),1)&gt;=100000,INDEX($AN$1005:$BO$1005,1,MATCH(COLUMNS($AN$1006:BA1006),$AN$1006:$BO$1006,0))&gt;=100000), " ",IF(INDEX($AN$2:$BO$1001,MATCH(ROWS($AG$2:AG225),$AG$2:$AG$1001,0),MATCH(COLUMNS($AN$1006:BA1006),$AN$1006:$BO$1006,0)), HYPERLINK("#",""), HYPERLINK(CONCATENATE("#Metadata!", ADDRESS(INDEX($AI$2:$AI$1001,MATCH(ROWS($AG$2:AG225),$AG$2:$AG$1001,0),0), INDEX($AN$1004:$BO$1004,1,MATCH(COLUMNS($AN$1006:BA1006),$AN$1006:$BO$1006,0)))),"Fix")))</f>
        <v>0</v>
      </c>
      <c r="P225" s="4">
        <f>IF(OR(INDEX($AH$2:$AH$1001,MATCH(ROWS($AG$2:AG225),$AG$2:$AG$1001,0),1)&gt;=100000,INDEX($AN$1005:$BO$1005,1,MATCH(COLUMNS($AN$1006:BB1006),$AN$1006:$BO$1006,0))&gt;=100000), " ",IF(INDEX($AN$2:$BO$1001,MATCH(ROWS($AG$2:AG225),$AG$2:$AG$1001,0),MATCH(COLUMNS($AN$1006:BB1006),$AN$1006:$BO$1006,0)), HYPERLINK("#",""), HYPERLINK(CONCATENATE("#Metadata!", ADDRESS(INDEX($AI$2:$AI$1001,MATCH(ROWS($AG$2:AG225),$AG$2:$AG$1001,0),0), INDEX($AN$1004:$BO$1004,1,MATCH(COLUMNS($AN$1006:BB1006),$AN$1006:$BO$1006,0)))),"Fix")))</f>
        <v>0</v>
      </c>
      <c r="Q225" s="4">
        <f>IF(OR(INDEX($AH$2:$AH$1001,MATCH(ROWS($AG$2:AG225),$AG$2:$AG$1001,0),1)&gt;=100000,INDEX($AN$1005:$BO$1005,1,MATCH(COLUMNS($AN$1006:BC1006),$AN$1006:$BO$1006,0))&gt;=100000), " ",IF(INDEX($AN$2:$BO$1001,MATCH(ROWS($AG$2:AG225),$AG$2:$AG$1001,0),MATCH(COLUMNS($AN$1006:BC1006),$AN$1006:$BO$1006,0)), HYPERLINK("#",""), HYPERLINK(CONCATENATE("#Metadata!", ADDRESS(INDEX($AI$2:$AI$1001,MATCH(ROWS($AG$2:AG225),$AG$2:$AG$1001,0),0), INDEX($AN$1004:$BO$1004,1,MATCH(COLUMNS($AN$1006:BC1006),$AN$1006:$BO$1006,0)))),"Fix")))</f>
        <v>0</v>
      </c>
      <c r="R225" s="4">
        <f>IF(OR(INDEX($AH$2:$AH$1001,MATCH(ROWS($AG$2:AG225),$AG$2:$AG$1001,0),1)&gt;=100000,INDEX($AN$1005:$BO$1005,1,MATCH(COLUMNS($AN$1006:BD1006),$AN$1006:$BO$1006,0))&gt;=100000), " ",IF(INDEX($AN$2:$BO$1001,MATCH(ROWS($AG$2:AG225),$AG$2:$AG$1001,0),MATCH(COLUMNS($AN$1006:BD1006),$AN$1006:$BO$1006,0)), HYPERLINK("#",""), HYPERLINK(CONCATENATE("#Metadata!", ADDRESS(INDEX($AI$2:$AI$1001,MATCH(ROWS($AG$2:AG225),$AG$2:$AG$1001,0),0), INDEX($AN$1004:$BO$1004,1,MATCH(COLUMNS($AN$1006:BD1006),$AN$1006:$BO$1006,0)))),"Fix")))</f>
        <v>0</v>
      </c>
      <c r="S225" s="4">
        <f>IF(OR(INDEX($AH$2:$AH$1001,MATCH(ROWS($AG$2:AG225),$AG$2:$AG$1001,0),1)&gt;=100000,INDEX($AN$1005:$BO$1005,1,MATCH(COLUMNS($AN$1006:BE1006),$AN$1006:$BO$1006,0))&gt;=100000), " ",IF(INDEX($AN$2:$BO$1001,MATCH(ROWS($AG$2:AG225),$AG$2:$AG$1001,0),MATCH(COLUMNS($AN$1006:BE1006),$AN$1006:$BO$1006,0)), HYPERLINK("#",""), HYPERLINK(CONCATENATE("#Metadata!", ADDRESS(INDEX($AI$2:$AI$1001,MATCH(ROWS($AG$2:AG225),$AG$2:$AG$1001,0),0), INDEX($AN$1004:$BO$1004,1,MATCH(COLUMNS($AN$1006:BE1006),$AN$1006:$BO$1006,0)))),"Fix")))</f>
        <v>0</v>
      </c>
      <c r="T225" s="4">
        <f>IF(OR(INDEX($AH$2:$AH$1001,MATCH(ROWS($AG$2:AG225),$AG$2:$AG$1001,0),1)&gt;=100000,INDEX($AN$1005:$BO$1005,1,MATCH(COLUMNS($AN$1006:BF1006),$AN$1006:$BO$1006,0))&gt;=100000), " ",IF(INDEX($AN$2:$BO$1001,MATCH(ROWS($AG$2:AG225),$AG$2:$AG$1001,0),MATCH(COLUMNS($AN$1006:BF1006),$AN$1006:$BO$1006,0)), HYPERLINK("#",""), HYPERLINK(CONCATENATE("#Metadata!", ADDRESS(INDEX($AI$2:$AI$1001,MATCH(ROWS($AG$2:AG225),$AG$2:$AG$1001,0),0), INDEX($AN$1004:$BO$1004,1,MATCH(COLUMNS($AN$1006:BF1006),$AN$1006:$BO$1006,0)))),"Fix")))</f>
        <v>0</v>
      </c>
      <c r="U225" s="4">
        <f>IF(OR(INDEX($AH$2:$AH$1001,MATCH(ROWS($AG$2:AG225),$AG$2:$AG$1001,0),1)&gt;=100000,INDEX($AN$1005:$BO$1005,1,MATCH(COLUMNS($AN$1006:BG1006),$AN$1006:$BO$1006,0))&gt;=100000), " ",IF(INDEX($AN$2:$BO$1001,MATCH(ROWS($AG$2:AG225),$AG$2:$AG$1001,0),MATCH(COLUMNS($AN$1006:BG1006),$AN$1006:$BO$1006,0)), HYPERLINK("#",""), HYPERLINK(CONCATENATE("#Metadata!", ADDRESS(INDEX($AI$2:$AI$1001,MATCH(ROWS($AG$2:AG225),$AG$2:$AG$1001,0),0), INDEX($AN$1004:$BO$1004,1,MATCH(COLUMNS($AN$1006:BG1006),$AN$1006:$BO$1006,0)))),"Fix")))</f>
        <v>0</v>
      </c>
      <c r="V225" s="4">
        <f>IF(OR(INDEX($AH$2:$AH$1001,MATCH(ROWS($AG$2:AG225),$AG$2:$AG$1001,0),1)&gt;=100000,INDEX($AN$1005:$BO$1005,1,MATCH(COLUMNS($AN$1006:BH1006),$AN$1006:$BO$1006,0))&gt;=100000), " ",IF(INDEX($AN$2:$BO$1001,MATCH(ROWS($AG$2:AG225),$AG$2:$AG$1001,0),MATCH(COLUMNS($AN$1006:BH1006),$AN$1006:$BO$1006,0)), HYPERLINK("#",""), HYPERLINK(CONCATENATE("#Metadata!", ADDRESS(INDEX($AI$2:$AI$1001,MATCH(ROWS($AG$2:AG225),$AG$2:$AG$1001,0),0), INDEX($AN$1004:$BO$1004,1,MATCH(COLUMNS($AN$1006:BH1006),$AN$1006:$BO$1006,0)))),"Fix")))</f>
        <v>0</v>
      </c>
      <c r="W225" s="4">
        <f>IF(OR(INDEX($AH$2:$AH$1001,MATCH(ROWS($AG$2:AG225),$AG$2:$AG$1001,0),1)&gt;=100000,INDEX($AN$1005:$BO$1005,1,MATCH(COLUMNS($AN$1006:BI1006),$AN$1006:$BO$1006,0))&gt;=100000), " ",IF(INDEX($AN$2:$BO$1001,MATCH(ROWS($AG$2:AG225),$AG$2:$AG$1001,0),MATCH(COLUMNS($AN$1006:BI1006),$AN$1006:$BO$1006,0)), HYPERLINK("#",""), HYPERLINK(CONCATENATE("#Metadata!", ADDRESS(INDEX($AI$2:$AI$1001,MATCH(ROWS($AG$2:AG225),$AG$2:$AG$1001,0),0), INDEX($AN$1004:$BO$1004,1,MATCH(COLUMNS($AN$1006:BI1006),$AN$1006:$BO$1006,0)))),"Fix")))</f>
        <v>0</v>
      </c>
      <c r="X225" s="4">
        <f>IF(OR(INDEX($AH$2:$AH$1001,MATCH(ROWS($AG$2:AG225),$AG$2:$AG$1001,0),1)&gt;=100000,INDEX($AN$1005:$BO$1005,1,MATCH(COLUMNS($AN$1006:BJ1006),$AN$1006:$BO$1006,0))&gt;=100000), " ",IF(INDEX($AN$2:$BO$1001,MATCH(ROWS($AG$2:AG225),$AG$2:$AG$1001,0),MATCH(COLUMNS($AN$1006:BJ1006),$AN$1006:$BO$1006,0)), HYPERLINK("#",""), HYPERLINK(CONCATENATE("#Metadata!", ADDRESS(INDEX($AI$2:$AI$1001,MATCH(ROWS($AG$2:AG225),$AG$2:$AG$1001,0),0), INDEX($AN$1004:$BO$1004,1,MATCH(COLUMNS($AN$1006:BJ1006),$AN$1006:$BO$1006,0)))),"Fix")))</f>
        <v>0</v>
      </c>
      <c r="Y225" s="4">
        <f>IF(OR(INDEX($AH$2:$AH$1001,MATCH(ROWS($AG$2:AG225),$AG$2:$AG$1001,0),1)&gt;=100000,INDEX($AN$1005:$BO$1005,1,MATCH(COLUMNS($AN$1006:BK1006),$AN$1006:$BO$1006,0))&gt;=100000), " ",IF(INDEX($AN$2:$BO$1001,MATCH(ROWS($AG$2:AG225),$AG$2:$AG$1001,0),MATCH(COLUMNS($AN$1006:BK1006),$AN$1006:$BO$1006,0)), HYPERLINK("#",""), HYPERLINK(CONCATENATE("#Metadata!", ADDRESS(INDEX($AI$2:$AI$1001,MATCH(ROWS($AG$2:AG225),$AG$2:$AG$1001,0),0), INDEX($AN$1004:$BO$1004,1,MATCH(COLUMNS($AN$1006:BK1006),$AN$1006:$BO$1006,0)))),"Fix")))</f>
        <v>0</v>
      </c>
      <c r="Z225" s="4">
        <f>IF(OR(INDEX($AH$2:$AH$1001,MATCH(ROWS($AG$2:AG225),$AG$2:$AG$1001,0),1)&gt;=100000,INDEX($AN$1005:$BO$1005,1,MATCH(COLUMNS($AN$1006:BL1006),$AN$1006:$BO$1006,0))&gt;=100000), " ",IF(INDEX($AN$2:$BO$1001,MATCH(ROWS($AG$2:AG225),$AG$2:$AG$1001,0),MATCH(COLUMNS($AN$1006:BL1006),$AN$1006:$BO$1006,0)), HYPERLINK("#",""), HYPERLINK(CONCATENATE("#Metadata!", ADDRESS(INDEX($AI$2:$AI$1001,MATCH(ROWS($AG$2:AG225),$AG$2:$AG$1001,0),0), INDEX($AN$1004:$BO$1004,1,MATCH(COLUMNS($AN$1006:BL1006),$AN$1006:$BO$1006,0)))),"Fix")))</f>
        <v>0</v>
      </c>
      <c r="AA225" s="4">
        <f>IF(OR(INDEX($AH$2:$AH$1001,MATCH(ROWS($AG$2:AG225),$AG$2:$AG$1001,0),1)&gt;=100000,INDEX($AN$1005:$BO$1005,1,MATCH(COLUMNS($AN$1006:BM1006),$AN$1006:$BO$1006,0))&gt;=100000), " ",IF(INDEX($AN$2:$BO$1001,MATCH(ROWS($AG$2:AG225),$AG$2:$AG$1001,0),MATCH(COLUMNS($AN$1006:BM1006),$AN$1006:$BO$1006,0)), HYPERLINK("#",""), HYPERLINK(CONCATENATE("#Metadata!", ADDRESS(INDEX($AI$2:$AI$1001,MATCH(ROWS($AG$2:AG225),$AG$2:$AG$1001,0),0), INDEX($AN$1004:$BO$1004,1,MATCH(COLUMNS($AN$1006:BM1006),$AN$1006:$BO$1006,0)))),"Fix")))</f>
        <v>0</v>
      </c>
      <c r="AB225" s="4">
        <f>IF(OR(INDEX($AH$2:$AH$1001,MATCH(ROWS($AG$2:AG225),$AG$2:$AG$1001,0),1)&gt;=100000,INDEX($AN$1005:$BO$1005,1,MATCH(COLUMNS($AN$1006:BN1006),$AN$1006:$BO$1006,0))&gt;=100000), " ",IF(INDEX($AN$2:$BO$1001,MATCH(ROWS($AG$2:AG225),$AG$2:$AG$1001,0),MATCH(COLUMNS($AN$1006:BN1006),$AN$1006:$BO$1006,0)), HYPERLINK("#",""), HYPERLINK(CONCATENATE("#Metadata!", ADDRESS(INDEX($AI$2:$AI$1001,MATCH(ROWS($AG$2:AG225),$AG$2:$AG$1001,0),0), INDEX($AN$1004:$BO$1004,1,MATCH(COLUMNS($AN$1006:BN1006),$AN$1006:$BO$1006,0)))),"Fix")))</f>
        <v>0</v>
      </c>
      <c r="AC225" s="4">
        <f>IF(OR(INDEX($AH$2:$AH$1001,MATCH(ROWS($AG$2:AG225),$AG$2:$AG$1001,0),1)&gt;=100000,INDEX($AN$1005:$BO$1005,1,MATCH(COLUMNS($AN$1006:BO1006),$AN$1006:$BO$1006,0))&gt;=100000), " ",IF(INDEX($AN$2:$BO$1001,MATCH(ROWS($AG$2:AG225),$AG$2:$AG$1001,0),MATCH(COLUMNS($AN$1006:BO1006),$AN$1006:$BO$1006,0)), HYPERLINK("#",""), HYPERLINK(CONCATENATE("#Metadata!", ADDRESS(INDEX($AI$2:$AI$1001,MATCH(ROWS($AG$2:AG225),$AG$2:$AG$1001,0),0), INDEX($AN$1004:$BO$1004,1,MATCH(COLUMNS($AN$1006:BO1006),$AN$1006:$BO$1006,0)))),"Fix")))</f>
        <v>0</v>
      </c>
      <c r="AG225">
        <v>0</v>
      </c>
      <c r="AH225">
        <v>0</v>
      </c>
      <c r="AI225">
        <v>0</v>
      </c>
      <c r="AJ225">
        <f>IF(AK225,TRUE,AND(AN225:BO225))</f>
        <v>0</v>
      </c>
      <c r="AK225">
        <f>COUNTBLANK(Metadata!B225:AC225)=COLUMNS(Metadata!B225:AC225)</f>
        <v>0</v>
      </c>
      <c r="AL225">
        <v>0</v>
      </c>
      <c r="AN225">
        <f>AND(IF(Metadata!B225="",FALSE,TRUE),COUNTIF(Metadata!B:B, Metadata!B225) = 1,NOT(ISERROR(SUMPRODUCT(SEARCH(MID(Metadata!B225,ROW(INDIRECT("1:"&amp;LEN(Metadata!B225))), 1),"0123456789abcdefghijklmnopqrstuvwxyzABCDEFGHIJKLMNOPQRSTUVWXYZ.")))))</f>
        <v>0</v>
      </c>
      <c r="AO225">
        <f>IF(Metadata!C225="",FALSE,TRUE)</f>
        <v>0</v>
      </c>
      <c r="AP225">
        <f>IF(Metadata!D225="",FALSE,TRUE)</f>
        <v>0</v>
      </c>
      <c r="AQ225">
        <f>OR(AND(IF(Metadata!E225="",FALSE,TRUE),OR(exact(Metadata!E225,"not collected"),exact(Metadata!E225,"not provided"),exact(Metadata!E225,"restricted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R225">
        <f>IF(Metadata!F225="",FALSE,TRUE)</f>
        <v>0</v>
      </c>
      <c r="AS225">
        <f>OR(AND(IF(Metadata!G225="",FALSE,TRUE),OR(exact(Metadata!G225,"not collected"),exact(Metadata!G225,"not provided"))),AND(IF(Metadata!G225="",FALSE,TRUE),OR(exact(Metadata!G225,"TRUE"),exact(Metadata!G225,"FALSE"))))</f>
        <v>0</v>
      </c>
      <c r="AT225">
        <f>OR(AND(IF(Metadata!H225="",FALSE,TRUE),OR(exact(Metadata!H225,"not collected"),exact(Metadata!H225,"not provided"),exact(Metadata!H225,"restricted access"))),AND(IF(Metadata!H225="",FALSE,ISNUMBER(VALUE(Metadata!H225))),Metadata!H225&gt;=-413.0))</f>
        <v>0</v>
      </c>
      <c r="AU225">
        <f>AND(IF(Metadata!I225="",FALSE,TRUE),exact(Metadata!I225,"meters"))</f>
        <v>0</v>
      </c>
      <c r="AV225">
        <f>AND(IF(Metadata!J225="",FALSE,TRUE),OR(exact(Metadata!J225,"Host-associated"),exact(Metadata!J225,"Free-living")))</f>
        <v>0</v>
      </c>
      <c r="AW225">
        <f>AND(IF(Metadata!K225="",FALSE,TRUE),OR(exact(Metadata!K225,"Animal"),exact(Metadata!K225,"Fungus"),exact(Metadata!K225,"Plant"),exact(Metadata!K225,"Saline"),exact(Metadata!K225,"Non-saline")))</f>
        <v>0</v>
      </c>
      <c r="AX225">
        <f>AND(IF(Metadata!L225="",FALSE,TRUE),OR(exact(Metadata!L225,"Plant secretion"),exact(Metadata!L225,"Plant rhizosphere"),exact(Metadata!L225,"Plant surface"),exact(Metadata!L225,"Plant corpus"),exact(Metadata!L225,"Fungus surface"),exact(Metadata!L225,"Fungus corpus"),exact(Metadata!L225,"Animal surface"),exact(Metadata!L225,"Animal proximal gut"),exact(Metadata!L225,"Animal corpus"),exact(Metadata!L225,"Animal distal gut"),exact(Metadata!L225,"Animal secretion"),exact(Metadata!L225,"Sub-surface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Y225">
        <f>IF(Metadata!M225="",FALSE,TRUE)</f>
        <v>0</v>
      </c>
      <c r="AZ225">
        <f>IF(Metadata!N225="",FALSE,TRUE)</f>
        <v>0</v>
      </c>
      <c r="BA225">
        <f>IF(Metadata!O225="",FALSE,TRUE)</f>
        <v>0</v>
      </c>
      <c r="BB225">
        <f>OR(AND(IF(Metadata!P225="",FALSE,TRUE),OR(exact(Metadata!P225,"not collected"),exact(Metadata!P225,"not provided"),exact(Metadata!P225,"restricted access"))),AND(IF(Metadata!P225="",FALSE,TRUE),OR(exact(Metadata!P225,"air"),exact(Metadata!P225,"built environment"),exact(Metadata!P225,"host-associated"),exact(Metadata!P225,"human-associated"),exact(Metadata!P225,"human-skin"),exact(Metadata!P225,"human-oral"),exact(Metadata!P225,"human-gut"),exact(Metadata!P225,"human-vaginal"),exact(Metadata!P225,"microbial mat/biofilm"),exact(Metadata!P225,"misc environment"),exact(Metadata!P225,"plant-associated"),exact(Metadata!P225,"sediment"),exact(Metadata!P225,"soil"),exact(Metadata!P225,"wastewater/sludge"),exact(Metadata!P225,"water"))))</f>
        <v>0</v>
      </c>
      <c r="BC225">
        <f>IF(Metadata!Q225="",FALSE,TRUE)</f>
        <v>0</v>
      </c>
      <c r="BD225">
        <f>IF(Metadata!R225="",FALSE,TRUE)</f>
        <v>0</v>
      </c>
      <c r="BE225">
        <f>OR(AND(IF(Metadata!S225="",FALSE,TRUE),OR(exact(Metadata!S225,"not collected"),exact(Metadata!S225,"not provided"),exact(Metadata!S225,"restricted access"))),AND(IF(Metadata!S225="",FALSE,ISNUMBER(VALUE(Metadata!S225))),Metadata!S225&gt;=-90.00,Metadata!S225&lt;=90.00))</f>
        <v>0</v>
      </c>
      <c r="BF225">
        <f>AND(IF(Metadata!T225="",FALSE,TRUE),exact(Metadata!T225,"Decimal degrees"))</f>
        <v>0</v>
      </c>
      <c r="BG225">
        <f>OR(AND(IF(Metadata!U225="",FALSE,TRUE),OR(exact(Metadata!U225,"not collected"),exact(Metadata!U225,"not provided"),exact(Metadata!U225,"restricted access"))),AND(IF(Metadata!U225="",FALSE,ISNUMBER(VALUE(Metadata!U225))),Metadata!U225&gt;=-180.00,Metadata!U225&lt;=180.00))</f>
        <v>0</v>
      </c>
      <c r="BH225">
        <f>AND(IF(Metadata!V225="",FALSE,TRUE),exact(Metadata!V225,"Decimal degrees"))</f>
        <v>0</v>
      </c>
      <c r="BI225">
        <f>IF(Metadata!W225="",FALSE,TRUE)</f>
        <v>0</v>
      </c>
      <c r="BJ225">
        <f>OR(AND(IF(Metadata!X225="",FALSE,TRUE),OR(exact(Metadata!X225,"not collected"),exact(Metadata!X225,"not provided"),exact(Metadata!X225,"restricted access"))),AND(IF(Metadata!X225="",FALSE,TRUE),OR(exact(Metadata!X225,"TRUE"),exact(Metadata!X225,"FALSE"))))</f>
        <v>0</v>
      </c>
      <c r="BK225">
        <f>AND(IF(Metadata!Y225="",FALSE,TRUE),exact(Metadata!Y225,"other"))</f>
        <v>0</v>
      </c>
      <c r="BL225">
        <f>IF(Metadata!Z225="",FALSE,TRUE)</f>
        <v>0</v>
      </c>
      <c r="BM225">
        <f>OR(AND(IF(Metadata!AA225="",FALSE,TRUE),OR(exact(Metadata!AA225,"not collected"),exact(Metadata!AA225,"not provided"))),AND(IF(Metadata!AA225="",FALSE,IF(ISERROR(INT(Metadata!AA225)),FALSE,INT(Metadata!AA225)=Metadata!AA225)),Metadata!AA225&gt;0))</f>
        <v>0</v>
      </c>
      <c r="BN225">
        <f>AND(IF(Metadata!AB225="",FALSE,TRUE),exact(Metadata!AB225,"Not applicable"))</f>
        <v>0</v>
      </c>
      <c r="BO225">
        <f>IF(Metadata!AC225="",FALSE,TRUE)</f>
        <v>0</v>
      </c>
    </row>
    <row r="226" spans="1:67">
      <c r="A226" s="5">
        <f>IF(B226=" "," ",HYPERLINK(CONCATENATE("#metadata!",ADDRESS(INDEX($AI$2:$AI$1001,MATCH(ROWS($AG$2:AG226),$AG$2:$AG$1001,0),0),1)),INDEX($AL$2:$AL$1001,MATCH(ROWS($AG$2:AG226),$AG$2:$AG$1001,0),0)))</f>
        <v>0</v>
      </c>
      <c r="B226" s="4">
        <f>IF(OR(INDEX($AH$2:$AH$1001,MATCH(ROWS($AG$2:AG226),$AG$2:$AG$1001,0),1)&gt;=100000,INDEX($AN$1005:$BO$1005,1,MATCH(COLUMNS($AN$1006:AN1006),$AN$1006:$BO$1006,0))&gt;=100000), " ",IF(INDEX($AN$2:$BO$1001,MATCH(ROWS($AG$2:AG226),$AG$2:$AG$1001,0),MATCH(COLUMNS($AN$1006:AN1006),$AN$1006:$BO$1006,0)), HYPERLINK("#",""), HYPERLINK(CONCATENATE("#Metadata!", ADDRESS(INDEX($AI$2:$AI$1001,MATCH(ROWS($AG$2:AG226),$AG$2:$AG$1001,0),0), INDEX($AN$1004:$BO$1004,1,MATCH(COLUMNS($AN$1006:AN1006),$AN$1006:$BO$1006,0)))),"Fix")))</f>
        <v>0</v>
      </c>
      <c r="C226" s="4">
        <f>IF(OR(INDEX($AH$2:$AH$1001,MATCH(ROWS($AG$2:AG226),$AG$2:$AG$1001,0),1)&gt;=100000,INDEX($AN$1005:$BO$1005,1,MATCH(COLUMNS($AN$1006:AO1006),$AN$1006:$BO$1006,0))&gt;=100000), " ",IF(INDEX($AN$2:$BO$1001,MATCH(ROWS($AG$2:AG226),$AG$2:$AG$1001,0),MATCH(COLUMNS($AN$1006:AO1006),$AN$1006:$BO$1006,0)), HYPERLINK("#",""), HYPERLINK(CONCATENATE("#Metadata!", ADDRESS(INDEX($AI$2:$AI$1001,MATCH(ROWS($AG$2:AG226),$AG$2:$AG$1001,0),0), INDEX($AN$1004:$BO$1004,1,MATCH(COLUMNS($AN$1006:AO1006),$AN$1006:$BO$1006,0)))),"Fix")))</f>
        <v>0</v>
      </c>
      <c r="D226" s="4">
        <f>IF(OR(INDEX($AH$2:$AH$1001,MATCH(ROWS($AG$2:AG226),$AG$2:$AG$1001,0),1)&gt;=100000,INDEX($AN$1005:$BO$1005,1,MATCH(COLUMNS($AN$1006:AP1006),$AN$1006:$BO$1006,0))&gt;=100000), " ",IF(INDEX($AN$2:$BO$1001,MATCH(ROWS($AG$2:AG226),$AG$2:$AG$1001,0),MATCH(COLUMNS($AN$1006:AP1006),$AN$1006:$BO$1006,0)), HYPERLINK("#",""), HYPERLINK(CONCATENATE("#Metadata!", ADDRESS(INDEX($AI$2:$AI$1001,MATCH(ROWS($AG$2:AG226),$AG$2:$AG$1001,0),0), INDEX($AN$1004:$BO$1004,1,MATCH(COLUMNS($AN$1006:AP1006),$AN$1006:$BO$1006,0)))),"Fix")))</f>
        <v>0</v>
      </c>
      <c r="E226" s="4">
        <f>IF(OR(INDEX($AH$2:$AH$1001,MATCH(ROWS($AG$2:AG226),$AG$2:$AG$1001,0),1)&gt;=100000,INDEX($AN$1005:$BO$1005,1,MATCH(COLUMNS($AN$1006:AQ1006),$AN$1006:$BO$1006,0))&gt;=100000), " ",IF(INDEX($AN$2:$BO$1001,MATCH(ROWS($AG$2:AG226),$AG$2:$AG$1001,0),MATCH(COLUMNS($AN$1006:AQ1006),$AN$1006:$BO$1006,0)), HYPERLINK("#",""), HYPERLINK(CONCATENATE("#Metadata!", ADDRESS(INDEX($AI$2:$AI$1001,MATCH(ROWS($AG$2:AG226),$AG$2:$AG$1001,0),0), INDEX($AN$1004:$BO$1004,1,MATCH(COLUMNS($AN$1006:AQ1006),$AN$1006:$BO$1006,0)))),"Fix")))</f>
        <v>0</v>
      </c>
      <c r="F226" s="4">
        <f>IF(OR(INDEX($AH$2:$AH$1001,MATCH(ROWS($AG$2:AG226),$AG$2:$AG$1001,0),1)&gt;=100000,INDEX($AN$1005:$BO$1005,1,MATCH(COLUMNS($AN$1006:AR1006),$AN$1006:$BO$1006,0))&gt;=100000), " ",IF(INDEX($AN$2:$BO$1001,MATCH(ROWS($AG$2:AG226),$AG$2:$AG$1001,0),MATCH(COLUMNS($AN$1006:AR1006),$AN$1006:$BO$1006,0)), HYPERLINK("#",""), HYPERLINK(CONCATENATE("#Metadata!", ADDRESS(INDEX($AI$2:$AI$1001,MATCH(ROWS($AG$2:AG226),$AG$2:$AG$1001,0),0), INDEX($AN$1004:$BO$1004,1,MATCH(COLUMNS($AN$1006:AR1006),$AN$1006:$BO$1006,0)))),"Fix")))</f>
        <v>0</v>
      </c>
      <c r="G226" s="4">
        <f>IF(OR(INDEX($AH$2:$AH$1001,MATCH(ROWS($AG$2:AG226),$AG$2:$AG$1001,0),1)&gt;=100000,INDEX($AN$1005:$BO$1005,1,MATCH(COLUMNS($AN$1006:AS1006),$AN$1006:$BO$1006,0))&gt;=100000), " ",IF(INDEX($AN$2:$BO$1001,MATCH(ROWS($AG$2:AG226),$AG$2:$AG$1001,0),MATCH(COLUMNS($AN$1006:AS1006),$AN$1006:$BO$1006,0)), HYPERLINK("#",""), HYPERLINK(CONCATENATE("#Metadata!", ADDRESS(INDEX($AI$2:$AI$1001,MATCH(ROWS($AG$2:AG226),$AG$2:$AG$1001,0),0), INDEX($AN$1004:$BO$1004,1,MATCH(COLUMNS($AN$1006:AS1006),$AN$1006:$BO$1006,0)))),"Fix")))</f>
        <v>0</v>
      </c>
      <c r="H226" s="4">
        <f>IF(OR(INDEX($AH$2:$AH$1001,MATCH(ROWS($AG$2:AG226),$AG$2:$AG$1001,0),1)&gt;=100000,INDEX($AN$1005:$BO$1005,1,MATCH(COLUMNS($AN$1006:AT1006),$AN$1006:$BO$1006,0))&gt;=100000), " ",IF(INDEX($AN$2:$BO$1001,MATCH(ROWS($AG$2:AG226),$AG$2:$AG$1001,0),MATCH(COLUMNS($AN$1006:AT1006),$AN$1006:$BO$1006,0)), HYPERLINK("#",""), HYPERLINK(CONCATENATE("#Metadata!", ADDRESS(INDEX($AI$2:$AI$1001,MATCH(ROWS($AG$2:AG226),$AG$2:$AG$1001,0),0), INDEX($AN$1004:$BO$1004,1,MATCH(COLUMNS($AN$1006:AT1006),$AN$1006:$BO$1006,0)))),"Fix")))</f>
        <v>0</v>
      </c>
      <c r="I226" s="4">
        <f>IF(OR(INDEX($AH$2:$AH$1001,MATCH(ROWS($AG$2:AG226),$AG$2:$AG$1001,0),1)&gt;=100000,INDEX($AN$1005:$BO$1005,1,MATCH(COLUMNS($AN$1006:AU1006),$AN$1006:$BO$1006,0))&gt;=100000), " ",IF(INDEX($AN$2:$BO$1001,MATCH(ROWS($AG$2:AG226),$AG$2:$AG$1001,0),MATCH(COLUMNS($AN$1006:AU1006),$AN$1006:$BO$1006,0)), HYPERLINK("#",""), HYPERLINK(CONCATENATE("#Metadata!", ADDRESS(INDEX($AI$2:$AI$1001,MATCH(ROWS($AG$2:AG226),$AG$2:$AG$1001,0),0), INDEX($AN$1004:$BO$1004,1,MATCH(COLUMNS($AN$1006:AU1006),$AN$1006:$BO$1006,0)))),"Fix")))</f>
        <v>0</v>
      </c>
      <c r="J226" s="4">
        <f>IF(OR(INDEX($AH$2:$AH$1001,MATCH(ROWS($AG$2:AG226),$AG$2:$AG$1001,0),1)&gt;=100000,INDEX($AN$1005:$BO$1005,1,MATCH(COLUMNS($AN$1006:AV1006),$AN$1006:$BO$1006,0))&gt;=100000), " ",IF(INDEX($AN$2:$BO$1001,MATCH(ROWS($AG$2:AG226),$AG$2:$AG$1001,0),MATCH(COLUMNS($AN$1006:AV1006),$AN$1006:$BO$1006,0)), HYPERLINK("#",""), HYPERLINK(CONCATENATE("#Metadata!", ADDRESS(INDEX($AI$2:$AI$1001,MATCH(ROWS($AG$2:AG226),$AG$2:$AG$1001,0),0), INDEX($AN$1004:$BO$1004,1,MATCH(COLUMNS($AN$1006:AV1006),$AN$1006:$BO$1006,0)))),"Fix")))</f>
        <v>0</v>
      </c>
      <c r="K226" s="4">
        <f>IF(OR(INDEX($AH$2:$AH$1001,MATCH(ROWS($AG$2:AG226),$AG$2:$AG$1001,0),1)&gt;=100000,INDEX($AN$1005:$BO$1005,1,MATCH(COLUMNS($AN$1006:AW1006),$AN$1006:$BO$1006,0))&gt;=100000), " ",IF(INDEX($AN$2:$BO$1001,MATCH(ROWS($AG$2:AG226),$AG$2:$AG$1001,0),MATCH(COLUMNS($AN$1006:AW1006),$AN$1006:$BO$1006,0)), HYPERLINK("#",""), HYPERLINK(CONCATENATE("#Metadata!", ADDRESS(INDEX($AI$2:$AI$1001,MATCH(ROWS($AG$2:AG226),$AG$2:$AG$1001,0),0), INDEX($AN$1004:$BO$1004,1,MATCH(COLUMNS($AN$1006:AW1006),$AN$1006:$BO$1006,0)))),"Fix")))</f>
        <v>0</v>
      </c>
      <c r="L226" s="4">
        <f>IF(OR(INDEX($AH$2:$AH$1001,MATCH(ROWS($AG$2:AG226),$AG$2:$AG$1001,0),1)&gt;=100000,INDEX($AN$1005:$BO$1005,1,MATCH(COLUMNS($AN$1006:AX1006),$AN$1006:$BO$1006,0))&gt;=100000), " ",IF(INDEX($AN$2:$BO$1001,MATCH(ROWS($AG$2:AG226),$AG$2:$AG$1001,0),MATCH(COLUMNS($AN$1006:AX1006),$AN$1006:$BO$1006,0)), HYPERLINK("#",""), HYPERLINK(CONCATENATE("#Metadata!", ADDRESS(INDEX($AI$2:$AI$1001,MATCH(ROWS($AG$2:AG226),$AG$2:$AG$1001,0),0), INDEX($AN$1004:$BO$1004,1,MATCH(COLUMNS($AN$1006:AX1006),$AN$1006:$BO$1006,0)))),"Fix")))</f>
        <v>0</v>
      </c>
      <c r="M226" s="4">
        <f>IF(OR(INDEX($AH$2:$AH$1001,MATCH(ROWS($AG$2:AG226),$AG$2:$AG$1001,0),1)&gt;=100000,INDEX($AN$1005:$BO$1005,1,MATCH(COLUMNS($AN$1006:AY1006),$AN$1006:$BO$1006,0))&gt;=100000), " ",IF(INDEX($AN$2:$BO$1001,MATCH(ROWS($AG$2:AG226),$AG$2:$AG$1001,0),MATCH(COLUMNS($AN$1006:AY1006),$AN$1006:$BO$1006,0)), HYPERLINK("#",""), HYPERLINK(CONCATENATE("#Metadata!", ADDRESS(INDEX($AI$2:$AI$1001,MATCH(ROWS($AG$2:AG226),$AG$2:$AG$1001,0),0), INDEX($AN$1004:$BO$1004,1,MATCH(COLUMNS($AN$1006:AY1006),$AN$1006:$BO$1006,0)))),"Fix")))</f>
        <v>0</v>
      </c>
      <c r="N226" s="4">
        <f>IF(OR(INDEX($AH$2:$AH$1001,MATCH(ROWS($AG$2:AG226),$AG$2:$AG$1001,0),1)&gt;=100000,INDEX($AN$1005:$BO$1005,1,MATCH(COLUMNS($AN$1006:AZ1006),$AN$1006:$BO$1006,0))&gt;=100000), " ",IF(INDEX($AN$2:$BO$1001,MATCH(ROWS($AG$2:AG226),$AG$2:$AG$1001,0),MATCH(COLUMNS($AN$1006:AZ1006),$AN$1006:$BO$1006,0)), HYPERLINK("#",""), HYPERLINK(CONCATENATE("#Metadata!", ADDRESS(INDEX($AI$2:$AI$1001,MATCH(ROWS($AG$2:AG226),$AG$2:$AG$1001,0),0), INDEX($AN$1004:$BO$1004,1,MATCH(COLUMNS($AN$1006:AZ1006),$AN$1006:$BO$1006,0)))),"Fix")))</f>
        <v>0</v>
      </c>
      <c r="O226" s="4">
        <f>IF(OR(INDEX($AH$2:$AH$1001,MATCH(ROWS($AG$2:AG226),$AG$2:$AG$1001,0),1)&gt;=100000,INDEX($AN$1005:$BO$1005,1,MATCH(COLUMNS($AN$1006:BA1006),$AN$1006:$BO$1006,0))&gt;=100000), " ",IF(INDEX($AN$2:$BO$1001,MATCH(ROWS($AG$2:AG226),$AG$2:$AG$1001,0),MATCH(COLUMNS($AN$1006:BA1006),$AN$1006:$BO$1006,0)), HYPERLINK("#",""), HYPERLINK(CONCATENATE("#Metadata!", ADDRESS(INDEX($AI$2:$AI$1001,MATCH(ROWS($AG$2:AG226),$AG$2:$AG$1001,0),0), INDEX($AN$1004:$BO$1004,1,MATCH(COLUMNS($AN$1006:BA1006),$AN$1006:$BO$1006,0)))),"Fix")))</f>
        <v>0</v>
      </c>
      <c r="P226" s="4">
        <f>IF(OR(INDEX($AH$2:$AH$1001,MATCH(ROWS($AG$2:AG226),$AG$2:$AG$1001,0),1)&gt;=100000,INDEX($AN$1005:$BO$1005,1,MATCH(COLUMNS($AN$1006:BB1006),$AN$1006:$BO$1006,0))&gt;=100000), " ",IF(INDEX($AN$2:$BO$1001,MATCH(ROWS($AG$2:AG226),$AG$2:$AG$1001,0),MATCH(COLUMNS($AN$1006:BB1006),$AN$1006:$BO$1006,0)), HYPERLINK("#",""), HYPERLINK(CONCATENATE("#Metadata!", ADDRESS(INDEX($AI$2:$AI$1001,MATCH(ROWS($AG$2:AG226),$AG$2:$AG$1001,0),0), INDEX($AN$1004:$BO$1004,1,MATCH(COLUMNS($AN$1006:BB1006),$AN$1006:$BO$1006,0)))),"Fix")))</f>
        <v>0</v>
      </c>
      <c r="Q226" s="4">
        <f>IF(OR(INDEX($AH$2:$AH$1001,MATCH(ROWS($AG$2:AG226),$AG$2:$AG$1001,0),1)&gt;=100000,INDEX($AN$1005:$BO$1005,1,MATCH(COLUMNS($AN$1006:BC1006),$AN$1006:$BO$1006,0))&gt;=100000), " ",IF(INDEX($AN$2:$BO$1001,MATCH(ROWS($AG$2:AG226),$AG$2:$AG$1001,0),MATCH(COLUMNS($AN$1006:BC1006),$AN$1006:$BO$1006,0)), HYPERLINK("#",""), HYPERLINK(CONCATENATE("#Metadata!", ADDRESS(INDEX($AI$2:$AI$1001,MATCH(ROWS($AG$2:AG226),$AG$2:$AG$1001,0),0), INDEX($AN$1004:$BO$1004,1,MATCH(COLUMNS($AN$1006:BC1006),$AN$1006:$BO$1006,0)))),"Fix")))</f>
        <v>0</v>
      </c>
      <c r="R226" s="4">
        <f>IF(OR(INDEX($AH$2:$AH$1001,MATCH(ROWS($AG$2:AG226),$AG$2:$AG$1001,0),1)&gt;=100000,INDEX($AN$1005:$BO$1005,1,MATCH(COLUMNS($AN$1006:BD1006),$AN$1006:$BO$1006,0))&gt;=100000), " ",IF(INDEX($AN$2:$BO$1001,MATCH(ROWS($AG$2:AG226),$AG$2:$AG$1001,0),MATCH(COLUMNS($AN$1006:BD1006),$AN$1006:$BO$1006,0)), HYPERLINK("#",""), HYPERLINK(CONCATENATE("#Metadata!", ADDRESS(INDEX($AI$2:$AI$1001,MATCH(ROWS($AG$2:AG226),$AG$2:$AG$1001,0),0), INDEX($AN$1004:$BO$1004,1,MATCH(COLUMNS($AN$1006:BD1006),$AN$1006:$BO$1006,0)))),"Fix")))</f>
        <v>0</v>
      </c>
      <c r="S226" s="4">
        <f>IF(OR(INDEX($AH$2:$AH$1001,MATCH(ROWS($AG$2:AG226),$AG$2:$AG$1001,0),1)&gt;=100000,INDEX($AN$1005:$BO$1005,1,MATCH(COLUMNS($AN$1006:BE1006),$AN$1006:$BO$1006,0))&gt;=100000), " ",IF(INDEX($AN$2:$BO$1001,MATCH(ROWS($AG$2:AG226),$AG$2:$AG$1001,0),MATCH(COLUMNS($AN$1006:BE1006),$AN$1006:$BO$1006,0)), HYPERLINK("#",""), HYPERLINK(CONCATENATE("#Metadata!", ADDRESS(INDEX($AI$2:$AI$1001,MATCH(ROWS($AG$2:AG226),$AG$2:$AG$1001,0),0), INDEX($AN$1004:$BO$1004,1,MATCH(COLUMNS($AN$1006:BE1006),$AN$1006:$BO$1006,0)))),"Fix")))</f>
        <v>0</v>
      </c>
      <c r="T226" s="4">
        <f>IF(OR(INDEX($AH$2:$AH$1001,MATCH(ROWS($AG$2:AG226),$AG$2:$AG$1001,0),1)&gt;=100000,INDEX($AN$1005:$BO$1005,1,MATCH(COLUMNS($AN$1006:BF1006),$AN$1006:$BO$1006,0))&gt;=100000), " ",IF(INDEX($AN$2:$BO$1001,MATCH(ROWS($AG$2:AG226),$AG$2:$AG$1001,0),MATCH(COLUMNS($AN$1006:BF1006),$AN$1006:$BO$1006,0)), HYPERLINK("#",""), HYPERLINK(CONCATENATE("#Metadata!", ADDRESS(INDEX($AI$2:$AI$1001,MATCH(ROWS($AG$2:AG226),$AG$2:$AG$1001,0),0), INDEX($AN$1004:$BO$1004,1,MATCH(COLUMNS($AN$1006:BF1006),$AN$1006:$BO$1006,0)))),"Fix")))</f>
        <v>0</v>
      </c>
      <c r="U226" s="4">
        <f>IF(OR(INDEX($AH$2:$AH$1001,MATCH(ROWS($AG$2:AG226),$AG$2:$AG$1001,0),1)&gt;=100000,INDEX($AN$1005:$BO$1005,1,MATCH(COLUMNS($AN$1006:BG1006),$AN$1006:$BO$1006,0))&gt;=100000), " ",IF(INDEX($AN$2:$BO$1001,MATCH(ROWS($AG$2:AG226),$AG$2:$AG$1001,0),MATCH(COLUMNS($AN$1006:BG1006),$AN$1006:$BO$1006,0)), HYPERLINK("#",""), HYPERLINK(CONCATENATE("#Metadata!", ADDRESS(INDEX($AI$2:$AI$1001,MATCH(ROWS($AG$2:AG226),$AG$2:$AG$1001,0),0), INDEX($AN$1004:$BO$1004,1,MATCH(COLUMNS($AN$1006:BG1006),$AN$1006:$BO$1006,0)))),"Fix")))</f>
        <v>0</v>
      </c>
      <c r="V226" s="4">
        <f>IF(OR(INDEX($AH$2:$AH$1001,MATCH(ROWS($AG$2:AG226),$AG$2:$AG$1001,0),1)&gt;=100000,INDEX($AN$1005:$BO$1005,1,MATCH(COLUMNS($AN$1006:BH1006),$AN$1006:$BO$1006,0))&gt;=100000), " ",IF(INDEX($AN$2:$BO$1001,MATCH(ROWS($AG$2:AG226),$AG$2:$AG$1001,0),MATCH(COLUMNS($AN$1006:BH1006),$AN$1006:$BO$1006,0)), HYPERLINK("#",""), HYPERLINK(CONCATENATE("#Metadata!", ADDRESS(INDEX($AI$2:$AI$1001,MATCH(ROWS($AG$2:AG226),$AG$2:$AG$1001,0),0), INDEX($AN$1004:$BO$1004,1,MATCH(COLUMNS($AN$1006:BH1006),$AN$1006:$BO$1006,0)))),"Fix")))</f>
        <v>0</v>
      </c>
      <c r="W226" s="4">
        <f>IF(OR(INDEX($AH$2:$AH$1001,MATCH(ROWS($AG$2:AG226),$AG$2:$AG$1001,0),1)&gt;=100000,INDEX($AN$1005:$BO$1005,1,MATCH(COLUMNS($AN$1006:BI1006),$AN$1006:$BO$1006,0))&gt;=100000), " ",IF(INDEX($AN$2:$BO$1001,MATCH(ROWS($AG$2:AG226),$AG$2:$AG$1001,0),MATCH(COLUMNS($AN$1006:BI1006),$AN$1006:$BO$1006,0)), HYPERLINK("#",""), HYPERLINK(CONCATENATE("#Metadata!", ADDRESS(INDEX($AI$2:$AI$1001,MATCH(ROWS($AG$2:AG226),$AG$2:$AG$1001,0),0), INDEX($AN$1004:$BO$1004,1,MATCH(COLUMNS($AN$1006:BI1006),$AN$1006:$BO$1006,0)))),"Fix")))</f>
        <v>0</v>
      </c>
      <c r="X226" s="4">
        <f>IF(OR(INDEX($AH$2:$AH$1001,MATCH(ROWS($AG$2:AG226),$AG$2:$AG$1001,0),1)&gt;=100000,INDEX($AN$1005:$BO$1005,1,MATCH(COLUMNS($AN$1006:BJ1006),$AN$1006:$BO$1006,0))&gt;=100000), " ",IF(INDEX($AN$2:$BO$1001,MATCH(ROWS($AG$2:AG226),$AG$2:$AG$1001,0),MATCH(COLUMNS($AN$1006:BJ1006),$AN$1006:$BO$1006,0)), HYPERLINK("#",""), HYPERLINK(CONCATENATE("#Metadata!", ADDRESS(INDEX($AI$2:$AI$1001,MATCH(ROWS($AG$2:AG226),$AG$2:$AG$1001,0),0), INDEX($AN$1004:$BO$1004,1,MATCH(COLUMNS($AN$1006:BJ1006),$AN$1006:$BO$1006,0)))),"Fix")))</f>
        <v>0</v>
      </c>
      <c r="Y226" s="4">
        <f>IF(OR(INDEX($AH$2:$AH$1001,MATCH(ROWS($AG$2:AG226),$AG$2:$AG$1001,0),1)&gt;=100000,INDEX($AN$1005:$BO$1005,1,MATCH(COLUMNS($AN$1006:BK1006),$AN$1006:$BO$1006,0))&gt;=100000), " ",IF(INDEX($AN$2:$BO$1001,MATCH(ROWS($AG$2:AG226),$AG$2:$AG$1001,0),MATCH(COLUMNS($AN$1006:BK1006),$AN$1006:$BO$1006,0)), HYPERLINK("#",""), HYPERLINK(CONCATENATE("#Metadata!", ADDRESS(INDEX($AI$2:$AI$1001,MATCH(ROWS($AG$2:AG226),$AG$2:$AG$1001,0),0), INDEX($AN$1004:$BO$1004,1,MATCH(COLUMNS($AN$1006:BK1006),$AN$1006:$BO$1006,0)))),"Fix")))</f>
        <v>0</v>
      </c>
      <c r="Z226" s="4">
        <f>IF(OR(INDEX($AH$2:$AH$1001,MATCH(ROWS($AG$2:AG226),$AG$2:$AG$1001,0),1)&gt;=100000,INDEX($AN$1005:$BO$1005,1,MATCH(COLUMNS($AN$1006:BL1006),$AN$1006:$BO$1006,0))&gt;=100000), " ",IF(INDEX($AN$2:$BO$1001,MATCH(ROWS($AG$2:AG226),$AG$2:$AG$1001,0),MATCH(COLUMNS($AN$1006:BL1006),$AN$1006:$BO$1006,0)), HYPERLINK("#",""), HYPERLINK(CONCATENATE("#Metadata!", ADDRESS(INDEX($AI$2:$AI$1001,MATCH(ROWS($AG$2:AG226),$AG$2:$AG$1001,0),0), INDEX($AN$1004:$BO$1004,1,MATCH(COLUMNS($AN$1006:BL1006),$AN$1006:$BO$1006,0)))),"Fix")))</f>
        <v>0</v>
      </c>
      <c r="AA226" s="4">
        <f>IF(OR(INDEX($AH$2:$AH$1001,MATCH(ROWS($AG$2:AG226),$AG$2:$AG$1001,0),1)&gt;=100000,INDEX($AN$1005:$BO$1005,1,MATCH(COLUMNS($AN$1006:BM1006),$AN$1006:$BO$1006,0))&gt;=100000), " ",IF(INDEX($AN$2:$BO$1001,MATCH(ROWS($AG$2:AG226),$AG$2:$AG$1001,0),MATCH(COLUMNS($AN$1006:BM1006),$AN$1006:$BO$1006,0)), HYPERLINK("#",""), HYPERLINK(CONCATENATE("#Metadata!", ADDRESS(INDEX($AI$2:$AI$1001,MATCH(ROWS($AG$2:AG226),$AG$2:$AG$1001,0),0), INDEX($AN$1004:$BO$1004,1,MATCH(COLUMNS($AN$1006:BM1006),$AN$1006:$BO$1006,0)))),"Fix")))</f>
        <v>0</v>
      </c>
      <c r="AB226" s="4">
        <f>IF(OR(INDEX($AH$2:$AH$1001,MATCH(ROWS($AG$2:AG226),$AG$2:$AG$1001,0),1)&gt;=100000,INDEX($AN$1005:$BO$1005,1,MATCH(COLUMNS($AN$1006:BN1006),$AN$1006:$BO$1006,0))&gt;=100000), " ",IF(INDEX($AN$2:$BO$1001,MATCH(ROWS($AG$2:AG226),$AG$2:$AG$1001,0),MATCH(COLUMNS($AN$1006:BN1006),$AN$1006:$BO$1006,0)), HYPERLINK("#",""), HYPERLINK(CONCATENATE("#Metadata!", ADDRESS(INDEX($AI$2:$AI$1001,MATCH(ROWS($AG$2:AG226),$AG$2:$AG$1001,0),0), INDEX($AN$1004:$BO$1004,1,MATCH(COLUMNS($AN$1006:BN1006),$AN$1006:$BO$1006,0)))),"Fix")))</f>
        <v>0</v>
      </c>
      <c r="AC226" s="4">
        <f>IF(OR(INDEX($AH$2:$AH$1001,MATCH(ROWS($AG$2:AG226),$AG$2:$AG$1001,0),1)&gt;=100000,INDEX($AN$1005:$BO$1005,1,MATCH(COLUMNS($AN$1006:BO1006),$AN$1006:$BO$1006,0))&gt;=100000), " ",IF(INDEX($AN$2:$BO$1001,MATCH(ROWS($AG$2:AG226),$AG$2:$AG$1001,0),MATCH(COLUMNS($AN$1006:BO1006),$AN$1006:$BO$1006,0)), HYPERLINK("#",""), HYPERLINK(CONCATENATE("#Metadata!", ADDRESS(INDEX($AI$2:$AI$1001,MATCH(ROWS($AG$2:AG226),$AG$2:$AG$1001,0),0), INDEX($AN$1004:$BO$1004,1,MATCH(COLUMNS($AN$1006:BO1006),$AN$1006:$BO$1006,0)))),"Fix")))</f>
        <v>0</v>
      </c>
      <c r="AG226">
        <v>0</v>
      </c>
      <c r="AH226">
        <v>0</v>
      </c>
      <c r="AI226">
        <v>0</v>
      </c>
      <c r="AJ226">
        <f>IF(AK226,TRUE,AND(AN226:BO226))</f>
        <v>0</v>
      </c>
      <c r="AK226">
        <f>COUNTBLANK(Metadata!B226:AC226)=COLUMNS(Metadata!B226:AC226)</f>
        <v>0</v>
      </c>
      <c r="AL226">
        <v>0</v>
      </c>
      <c r="AN226">
        <f>AND(IF(Metadata!B226="",FALSE,TRUE),COUNTIF(Metadata!B:B, Metadata!B226) = 1,NOT(ISERROR(SUMPRODUCT(SEARCH(MID(Metadata!B226,ROW(INDIRECT("1:"&amp;LEN(Metadata!B226))), 1),"0123456789abcdefghijklmnopqrstuvwxyzABCDEFGHIJKLMNOPQRSTUVWXYZ.")))))</f>
        <v>0</v>
      </c>
      <c r="AO226">
        <f>IF(Metadata!C226="",FALSE,TRUE)</f>
        <v>0</v>
      </c>
      <c r="AP226">
        <f>IF(Metadata!D226="",FALSE,TRUE)</f>
        <v>0</v>
      </c>
      <c r="AQ226">
        <f>OR(AND(IF(Metadata!E226="",FALSE,TRUE),OR(exact(Metadata!E226,"not collected"),exact(Metadata!E226,"not provided"),exact(Metadata!E226,"restricted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R226">
        <f>IF(Metadata!F226="",FALSE,TRUE)</f>
        <v>0</v>
      </c>
      <c r="AS226">
        <f>OR(AND(IF(Metadata!G226="",FALSE,TRUE),OR(exact(Metadata!G226,"not collected"),exact(Metadata!G226,"not provided"))),AND(IF(Metadata!G226="",FALSE,TRUE),OR(exact(Metadata!G226,"TRUE"),exact(Metadata!G226,"FALSE"))))</f>
        <v>0</v>
      </c>
      <c r="AT226">
        <f>OR(AND(IF(Metadata!H226="",FALSE,TRUE),OR(exact(Metadata!H226,"not collected"),exact(Metadata!H226,"not provided"),exact(Metadata!H226,"restricted access"))),AND(IF(Metadata!H226="",FALSE,ISNUMBER(VALUE(Metadata!H226))),Metadata!H226&gt;=-413.0))</f>
        <v>0</v>
      </c>
      <c r="AU226">
        <f>AND(IF(Metadata!I226="",FALSE,TRUE),exact(Metadata!I226,"meters"))</f>
        <v>0</v>
      </c>
      <c r="AV226">
        <f>AND(IF(Metadata!J226="",FALSE,TRUE),OR(exact(Metadata!J226,"Host-associated"),exact(Metadata!J226,"Free-living")))</f>
        <v>0</v>
      </c>
      <c r="AW226">
        <f>AND(IF(Metadata!K226="",FALSE,TRUE),OR(exact(Metadata!K226,"Animal"),exact(Metadata!K226,"Fungus"),exact(Metadata!K226,"Plant"),exact(Metadata!K226,"Saline"),exact(Metadata!K226,"Non-saline")))</f>
        <v>0</v>
      </c>
      <c r="AX226">
        <f>AND(IF(Metadata!L226="",FALSE,TRUE),OR(exact(Metadata!L226,"Plant secretion"),exact(Metadata!L226,"Plant rhizosphere"),exact(Metadata!L226,"Plant surface"),exact(Metadata!L226,"Plant corpus"),exact(Metadata!L226,"Fungus surface"),exact(Metadata!L226,"Fungus corpus"),exact(Metadata!L226,"Animal surface"),exact(Metadata!L226,"Animal proximal gut"),exact(Metadata!L226,"Animal corpus"),exact(Metadata!L226,"Animal distal gut"),exact(Metadata!L226,"Animal secretion"),exact(Metadata!L226,"Sub-surface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Y226">
        <f>IF(Metadata!M226="",FALSE,TRUE)</f>
        <v>0</v>
      </c>
      <c r="AZ226">
        <f>IF(Metadata!N226="",FALSE,TRUE)</f>
        <v>0</v>
      </c>
      <c r="BA226">
        <f>IF(Metadata!O226="",FALSE,TRUE)</f>
        <v>0</v>
      </c>
      <c r="BB226">
        <f>OR(AND(IF(Metadata!P226="",FALSE,TRUE),OR(exact(Metadata!P226,"not collected"),exact(Metadata!P226,"not provided"),exact(Metadata!P226,"restricted access"))),AND(IF(Metadata!P226="",FALSE,TRUE),OR(exact(Metadata!P226,"air"),exact(Metadata!P226,"built environment"),exact(Metadata!P226,"host-associated"),exact(Metadata!P226,"human-associated"),exact(Metadata!P226,"human-skin"),exact(Metadata!P226,"human-oral"),exact(Metadata!P226,"human-gut"),exact(Metadata!P226,"human-vaginal"),exact(Metadata!P226,"microbial mat/biofilm"),exact(Metadata!P226,"misc environment"),exact(Metadata!P226,"plant-associated"),exact(Metadata!P226,"sediment"),exact(Metadata!P226,"soil"),exact(Metadata!P226,"wastewater/sludge"),exact(Metadata!P226,"water"))))</f>
        <v>0</v>
      </c>
      <c r="BC226">
        <f>IF(Metadata!Q226="",FALSE,TRUE)</f>
        <v>0</v>
      </c>
      <c r="BD226">
        <f>IF(Metadata!R226="",FALSE,TRUE)</f>
        <v>0</v>
      </c>
      <c r="BE226">
        <f>OR(AND(IF(Metadata!S226="",FALSE,TRUE),OR(exact(Metadata!S226,"not collected"),exact(Metadata!S226,"not provided"),exact(Metadata!S226,"restricted access"))),AND(IF(Metadata!S226="",FALSE,ISNUMBER(VALUE(Metadata!S226))),Metadata!S226&gt;=-90.00,Metadata!S226&lt;=90.00))</f>
        <v>0</v>
      </c>
      <c r="BF226">
        <f>AND(IF(Metadata!T226="",FALSE,TRUE),exact(Metadata!T226,"Decimal degrees"))</f>
        <v>0</v>
      </c>
      <c r="BG226">
        <f>OR(AND(IF(Metadata!U226="",FALSE,TRUE),OR(exact(Metadata!U226,"not collected"),exact(Metadata!U226,"not provided"),exact(Metadata!U226,"restricted access"))),AND(IF(Metadata!U226="",FALSE,ISNUMBER(VALUE(Metadata!U226))),Metadata!U226&gt;=-180.00,Metadata!U226&lt;=180.00))</f>
        <v>0</v>
      </c>
      <c r="BH226">
        <f>AND(IF(Metadata!V226="",FALSE,TRUE),exact(Metadata!V226,"Decimal degrees"))</f>
        <v>0</v>
      </c>
      <c r="BI226">
        <f>IF(Metadata!W226="",FALSE,TRUE)</f>
        <v>0</v>
      </c>
      <c r="BJ226">
        <f>OR(AND(IF(Metadata!X226="",FALSE,TRUE),OR(exact(Metadata!X226,"not collected"),exact(Metadata!X226,"not provided"),exact(Metadata!X226,"restricted access"))),AND(IF(Metadata!X226="",FALSE,TRUE),OR(exact(Metadata!X226,"TRUE"),exact(Metadata!X226,"FALSE"))))</f>
        <v>0</v>
      </c>
      <c r="BK226">
        <f>AND(IF(Metadata!Y226="",FALSE,TRUE),exact(Metadata!Y226,"other"))</f>
        <v>0</v>
      </c>
      <c r="BL226">
        <f>IF(Metadata!Z226="",FALSE,TRUE)</f>
        <v>0</v>
      </c>
      <c r="BM226">
        <f>OR(AND(IF(Metadata!AA226="",FALSE,TRUE),OR(exact(Metadata!AA226,"not collected"),exact(Metadata!AA226,"not provided"))),AND(IF(Metadata!AA226="",FALSE,IF(ISERROR(INT(Metadata!AA226)),FALSE,INT(Metadata!AA226)=Metadata!AA226)),Metadata!AA226&gt;0))</f>
        <v>0</v>
      </c>
      <c r="BN226">
        <f>AND(IF(Metadata!AB226="",FALSE,TRUE),exact(Metadata!AB226,"Not applicable"))</f>
        <v>0</v>
      </c>
      <c r="BO226">
        <f>IF(Metadata!AC226="",FALSE,TRUE)</f>
        <v>0</v>
      </c>
    </row>
    <row r="227" spans="1:67">
      <c r="A227" s="5">
        <f>IF(B227=" "," ",HYPERLINK(CONCATENATE("#metadata!",ADDRESS(INDEX($AI$2:$AI$1001,MATCH(ROWS($AG$2:AG227),$AG$2:$AG$1001,0),0),1)),INDEX($AL$2:$AL$1001,MATCH(ROWS($AG$2:AG227),$AG$2:$AG$1001,0),0)))</f>
        <v>0</v>
      </c>
      <c r="B227" s="4">
        <f>IF(OR(INDEX($AH$2:$AH$1001,MATCH(ROWS($AG$2:AG227),$AG$2:$AG$1001,0),1)&gt;=100000,INDEX($AN$1005:$BO$1005,1,MATCH(COLUMNS($AN$1006:AN1006),$AN$1006:$BO$1006,0))&gt;=100000), " ",IF(INDEX($AN$2:$BO$1001,MATCH(ROWS($AG$2:AG227),$AG$2:$AG$1001,0),MATCH(COLUMNS($AN$1006:AN1006),$AN$1006:$BO$1006,0)), HYPERLINK("#",""), HYPERLINK(CONCATENATE("#Metadata!", ADDRESS(INDEX($AI$2:$AI$1001,MATCH(ROWS($AG$2:AG227),$AG$2:$AG$1001,0),0), INDEX($AN$1004:$BO$1004,1,MATCH(COLUMNS($AN$1006:AN1006),$AN$1006:$BO$1006,0)))),"Fix")))</f>
        <v>0</v>
      </c>
      <c r="C227" s="4">
        <f>IF(OR(INDEX($AH$2:$AH$1001,MATCH(ROWS($AG$2:AG227),$AG$2:$AG$1001,0),1)&gt;=100000,INDEX($AN$1005:$BO$1005,1,MATCH(COLUMNS($AN$1006:AO1006),$AN$1006:$BO$1006,0))&gt;=100000), " ",IF(INDEX($AN$2:$BO$1001,MATCH(ROWS($AG$2:AG227),$AG$2:$AG$1001,0),MATCH(COLUMNS($AN$1006:AO1006),$AN$1006:$BO$1006,0)), HYPERLINK("#",""), HYPERLINK(CONCATENATE("#Metadata!", ADDRESS(INDEX($AI$2:$AI$1001,MATCH(ROWS($AG$2:AG227),$AG$2:$AG$1001,0),0), INDEX($AN$1004:$BO$1004,1,MATCH(COLUMNS($AN$1006:AO1006),$AN$1006:$BO$1006,0)))),"Fix")))</f>
        <v>0</v>
      </c>
      <c r="D227" s="4">
        <f>IF(OR(INDEX($AH$2:$AH$1001,MATCH(ROWS($AG$2:AG227),$AG$2:$AG$1001,0),1)&gt;=100000,INDEX($AN$1005:$BO$1005,1,MATCH(COLUMNS($AN$1006:AP1006),$AN$1006:$BO$1006,0))&gt;=100000), " ",IF(INDEX($AN$2:$BO$1001,MATCH(ROWS($AG$2:AG227),$AG$2:$AG$1001,0),MATCH(COLUMNS($AN$1006:AP1006),$AN$1006:$BO$1006,0)), HYPERLINK("#",""), HYPERLINK(CONCATENATE("#Metadata!", ADDRESS(INDEX($AI$2:$AI$1001,MATCH(ROWS($AG$2:AG227),$AG$2:$AG$1001,0),0), INDEX($AN$1004:$BO$1004,1,MATCH(COLUMNS($AN$1006:AP1006),$AN$1006:$BO$1006,0)))),"Fix")))</f>
        <v>0</v>
      </c>
      <c r="E227" s="4">
        <f>IF(OR(INDEX($AH$2:$AH$1001,MATCH(ROWS($AG$2:AG227),$AG$2:$AG$1001,0),1)&gt;=100000,INDEX($AN$1005:$BO$1005,1,MATCH(COLUMNS($AN$1006:AQ1006),$AN$1006:$BO$1006,0))&gt;=100000), " ",IF(INDEX($AN$2:$BO$1001,MATCH(ROWS($AG$2:AG227),$AG$2:$AG$1001,0),MATCH(COLUMNS($AN$1006:AQ1006),$AN$1006:$BO$1006,0)), HYPERLINK("#",""), HYPERLINK(CONCATENATE("#Metadata!", ADDRESS(INDEX($AI$2:$AI$1001,MATCH(ROWS($AG$2:AG227),$AG$2:$AG$1001,0),0), INDEX($AN$1004:$BO$1004,1,MATCH(COLUMNS($AN$1006:AQ1006),$AN$1006:$BO$1006,0)))),"Fix")))</f>
        <v>0</v>
      </c>
      <c r="F227" s="4">
        <f>IF(OR(INDEX($AH$2:$AH$1001,MATCH(ROWS($AG$2:AG227),$AG$2:$AG$1001,0),1)&gt;=100000,INDEX($AN$1005:$BO$1005,1,MATCH(COLUMNS($AN$1006:AR1006),$AN$1006:$BO$1006,0))&gt;=100000), " ",IF(INDEX($AN$2:$BO$1001,MATCH(ROWS($AG$2:AG227),$AG$2:$AG$1001,0),MATCH(COLUMNS($AN$1006:AR1006),$AN$1006:$BO$1006,0)), HYPERLINK("#",""), HYPERLINK(CONCATENATE("#Metadata!", ADDRESS(INDEX($AI$2:$AI$1001,MATCH(ROWS($AG$2:AG227),$AG$2:$AG$1001,0),0), INDEX($AN$1004:$BO$1004,1,MATCH(COLUMNS($AN$1006:AR1006),$AN$1006:$BO$1006,0)))),"Fix")))</f>
        <v>0</v>
      </c>
      <c r="G227" s="4">
        <f>IF(OR(INDEX($AH$2:$AH$1001,MATCH(ROWS($AG$2:AG227),$AG$2:$AG$1001,0),1)&gt;=100000,INDEX($AN$1005:$BO$1005,1,MATCH(COLUMNS($AN$1006:AS1006),$AN$1006:$BO$1006,0))&gt;=100000), " ",IF(INDEX($AN$2:$BO$1001,MATCH(ROWS($AG$2:AG227),$AG$2:$AG$1001,0),MATCH(COLUMNS($AN$1006:AS1006),$AN$1006:$BO$1006,0)), HYPERLINK("#",""), HYPERLINK(CONCATENATE("#Metadata!", ADDRESS(INDEX($AI$2:$AI$1001,MATCH(ROWS($AG$2:AG227),$AG$2:$AG$1001,0),0), INDEX($AN$1004:$BO$1004,1,MATCH(COLUMNS($AN$1006:AS1006),$AN$1006:$BO$1006,0)))),"Fix")))</f>
        <v>0</v>
      </c>
      <c r="H227" s="4">
        <f>IF(OR(INDEX($AH$2:$AH$1001,MATCH(ROWS($AG$2:AG227),$AG$2:$AG$1001,0),1)&gt;=100000,INDEX($AN$1005:$BO$1005,1,MATCH(COLUMNS($AN$1006:AT1006),$AN$1006:$BO$1006,0))&gt;=100000), " ",IF(INDEX($AN$2:$BO$1001,MATCH(ROWS($AG$2:AG227),$AG$2:$AG$1001,0),MATCH(COLUMNS($AN$1006:AT1006),$AN$1006:$BO$1006,0)), HYPERLINK("#",""), HYPERLINK(CONCATENATE("#Metadata!", ADDRESS(INDEX($AI$2:$AI$1001,MATCH(ROWS($AG$2:AG227),$AG$2:$AG$1001,0),0), INDEX($AN$1004:$BO$1004,1,MATCH(COLUMNS($AN$1006:AT1006),$AN$1006:$BO$1006,0)))),"Fix")))</f>
        <v>0</v>
      </c>
      <c r="I227" s="4">
        <f>IF(OR(INDEX($AH$2:$AH$1001,MATCH(ROWS($AG$2:AG227),$AG$2:$AG$1001,0),1)&gt;=100000,INDEX($AN$1005:$BO$1005,1,MATCH(COLUMNS($AN$1006:AU1006),$AN$1006:$BO$1006,0))&gt;=100000), " ",IF(INDEX($AN$2:$BO$1001,MATCH(ROWS($AG$2:AG227),$AG$2:$AG$1001,0),MATCH(COLUMNS($AN$1006:AU1006),$AN$1006:$BO$1006,0)), HYPERLINK("#",""), HYPERLINK(CONCATENATE("#Metadata!", ADDRESS(INDEX($AI$2:$AI$1001,MATCH(ROWS($AG$2:AG227),$AG$2:$AG$1001,0),0), INDEX($AN$1004:$BO$1004,1,MATCH(COLUMNS($AN$1006:AU1006),$AN$1006:$BO$1006,0)))),"Fix")))</f>
        <v>0</v>
      </c>
      <c r="J227" s="4">
        <f>IF(OR(INDEX($AH$2:$AH$1001,MATCH(ROWS($AG$2:AG227),$AG$2:$AG$1001,0),1)&gt;=100000,INDEX($AN$1005:$BO$1005,1,MATCH(COLUMNS($AN$1006:AV1006),$AN$1006:$BO$1006,0))&gt;=100000), " ",IF(INDEX($AN$2:$BO$1001,MATCH(ROWS($AG$2:AG227),$AG$2:$AG$1001,0),MATCH(COLUMNS($AN$1006:AV1006),$AN$1006:$BO$1006,0)), HYPERLINK("#",""), HYPERLINK(CONCATENATE("#Metadata!", ADDRESS(INDEX($AI$2:$AI$1001,MATCH(ROWS($AG$2:AG227),$AG$2:$AG$1001,0),0), INDEX($AN$1004:$BO$1004,1,MATCH(COLUMNS($AN$1006:AV1006),$AN$1006:$BO$1006,0)))),"Fix")))</f>
        <v>0</v>
      </c>
      <c r="K227" s="4">
        <f>IF(OR(INDEX($AH$2:$AH$1001,MATCH(ROWS($AG$2:AG227),$AG$2:$AG$1001,0),1)&gt;=100000,INDEX($AN$1005:$BO$1005,1,MATCH(COLUMNS($AN$1006:AW1006),$AN$1006:$BO$1006,0))&gt;=100000), " ",IF(INDEX($AN$2:$BO$1001,MATCH(ROWS($AG$2:AG227),$AG$2:$AG$1001,0),MATCH(COLUMNS($AN$1006:AW1006),$AN$1006:$BO$1006,0)), HYPERLINK("#",""), HYPERLINK(CONCATENATE("#Metadata!", ADDRESS(INDEX($AI$2:$AI$1001,MATCH(ROWS($AG$2:AG227),$AG$2:$AG$1001,0),0), INDEX($AN$1004:$BO$1004,1,MATCH(COLUMNS($AN$1006:AW1006),$AN$1006:$BO$1006,0)))),"Fix")))</f>
        <v>0</v>
      </c>
      <c r="L227" s="4">
        <f>IF(OR(INDEX($AH$2:$AH$1001,MATCH(ROWS($AG$2:AG227),$AG$2:$AG$1001,0),1)&gt;=100000,INDEX($AN$1005:$BO$1005,1,MATCH(COLUMNS($AN$1006:AX1006),$AN$1006:$BO$1006,0))&gt;=100000), " ",IF(INDEX($AN$2:$BO$1001,MATCH(ROWS($AG$2:AG227),$AG$2:$AG$1001,0),MATCH(COLUMNS($AN$1006:AX1006),$AN$1006:$BO$1006,0)), HYPERLINK("#",""), HYPERLINK(CONCATENATE("#Metadata!", ADDRESS(INDEX($AI$2:$AI$1001,MATCH(ROWS($AG$2:AG227),$AG$2:$AG$1001,0),0), INDEX($AN$1004:$BO$1004,1,MATCH(COLUMNS($AN$1006:AX1006),$AN$1006:$BO$1006,0)))),"Fix")))</f>
        <v>0</v>
      </c>
      <c r="M227" s="4">
        <f>IF(OR(INDEX($AH$2:$AH$1001,MATCH(ROWS($AG$2:AG227),$AG$2:$AG$1001,0),1)&gt;=100000,INDEX($AN$1005:$BO$1005,1,MATCH(COLUMNS($AN$1006:AY1006),$AN$1006:$BO$1006,0))&gt;=100000), " ",IF(INDEX($AN$2:$BO$1001,MATCH(ROWS($AG$2:AG227),$AG$2:$AG$1001,0),MATCH(COLUMNS($AN$1006:AY1006),$AN$1006:$BO$1006,0)), HYPERLINK("#",""), HYPERLINK(CONCATENATE("#Metadata!", ADDRESS(INDEX($AI$2:$AI$1001,MATCH(ROWS($AG$2:AG227),$AG$2:$AG$1001,0),0), INDEX($AN$1004:$BO$1004,1,MATCH(COLUMNS($AN$1006:AY1006),$AN$1006:$BO$1006,0)))),"Fix")))</f>
        <v>0</v>
      </c>
      <c r="N227" s="4">
        <f>IF(OR(INDEX($AH$2:$AH$1001,MATCH(ROWS($AG$2:AG227),$AG$2:$AG$1001,0),1)&gt;=100000,INDEX($AN$1005:$BO$1005,1,MATCH(COLUMNS($AN$1006:AZ1006),$AN$1006:$BO$1006,0))&gt;=100000), " ",IF(INDEX($AN$2:$BO$1001,MATCH(ROWS($AG$2:AG227),$AG$2:$AG$1001,0),MATCH(COLUMNS($AN$1006:AZ1006),$AN$1006:$BO$1006,0)), HYPERLINK("#",""), HYPERLINK(CONCATENATE("#Metadata!", ADDRESS(INDEX($AI$2:$AI$1001,MATCH(ROWS($AG$2:AG227),$AG$2:$AG$1001,0),0), INDEX($AN$1004:$BO$1004,1,MATCH(COLUMNS($AN$1006:AZ1006),$AN$1006:$BO$1006,0)))),"Fix")))</f>
        <v>0</v>
      </c>
      <c r="O227" s="4">
        <f>IF(OR(INDEX($AH$2:$AH$1001,MATCH(ROWS($AG$2:AG227),$AG$2:$AG$1001,0),1)&gt;=100000,INDEX($AN$1005:$BO$1005,1,MATCH(COLUMNS($AN$1006:BA1006),$AN$1006:$BO$1006,0))&gt;=100000), " ",IF(INDEX($AN$2:$BO$1001,MATCH(ROWS($AG$2:AG227),$AG$2:$AG$1001,0),MATCH(COLUMNS($AN$1006:BA1006),$AN$1006:$BO$1006,0)), HYPERLINK("#",""), HYPERLINK(CONCATENATE("#Metadata!", ADDRESS(INDEX($AI$2:$AI$1001,MATCH(ROWS($AG$2:AG227),$AG$2:$AG$1001,0),0), INDEX($AN$1004:$BO$1004,1,MATCH(COLUMNS($AN$1006:BA1006),$AN$1006:$BO$1006,0)))),"Fix")))</f>
        <v>0</v>
      </c>
      <c r="P227" s="4">
        <f>IF(OR(INDEX($AH$2:$AH$1001,MATCH(ROWS($AG$2:AG227),$AG$2:$AG$1001,0),1)&gt;=100000,INDEX($AN$1005:$BO$1005,1,MATCH(COLUMNS($AN$1006:BB1006),$AN$1006:$BO$1006,0))&gt;=100000), " ",IF(INDEX($AN$2:$BO$1001,MATCH(ROWS($AG$2:AG227),$AG$2:$AG$1001,0),MATCH(COLUMNS($AN$1006:BB1006),$AN$1006:$BO$1006,0)), HYPERLINK("#",""), HYPERLINK(CONCATENATE("#Metadata!", ADDRESS(INDEX($AI$2:$AI$1001,MATCH(ROWS($AG$2:AG227),$AG$2:$AG$1001,0),0), INDEX($AN$1004:$BO$1004,1,MATCH(COLUMNS($AN$1006:BB1006),$AN$1006:$BO$1006,0)))),"Fix")))</f>
        <v>0</v>
      </c>
      <c r="Q227" s="4">
        <f>IF(OR(INDEX($AH$2:$AH$1001,MATCH(ROWS($AG$2:AG227),$AG$2:$AG$1001,0),1)&gt;=100000,INDEX($AN$1005:$BO$1005,1,MATCH(COLUMNS($AN$1006:BC1006),$AN$1006:$BO$1006,0))&gt;=100000), " ",IF(INDEX($AN$2:$BO$1001,MATCH(ROWS($AG$2:AG227),$AG$2:$AG$1001,0),MATCH(COLUMNS($AN$1006:BC1006),$AN$1006:$BO$1006,0)), HYPERLINK("#",""), HYPERLINK(CONCATENATE("#Metadata!", ADDRESS(INDEX($AI$2:$AI$1001,MATCH(ROWS($AG$2:AG227),$AG$2:$AG$1001,0),0), INDEX($AN$1004:$BO$1004,1,MATCH(COLUMNS($AN$1006:BC1006),$AN$1006:$BO$1006,0)))),"Fix")))</f>
        <v>0</v>
      </c>
      <c r="R227" s="4">
        <f>IF(OR(INDEX($AH$2:$AH$1001,MATCH(ROWS($AG$2:AG227),$AG$2:$AG$1001,0),1)&gt;=100000,INDEX($AN$1005:$BO$1005,1,MATCH(COLUMNS($AN$1006:BD1006),$AN$1006:$BO$1006,0))&gt;=100000), " ",IF(INDEX($AN$2:$BO$1001,MATCH(ROWS($AG$2:AG227),$AG$2:$AG$1001,0),MATCH(COLUMNS($AN$1006:BD1006),$AN$1006:$BO$1006,0)), HYPERLINK("#",""), HYPERLINK(CONCATENATE("#Metadata!", ADDRESS(INDEX($AI$2:$AI$1001,MATCH(ROWS($AG$2:AG227),$AG$2:$AG$1001,0),0), INDEX($AN$1004:$BO$1004,1,MATCH(COLUMNS($AN$1006:BD1006),$AN$1006:$BO$1006,0)))),"Fix")))</f>
        <v>0</v>
      </c>
      <c r="S227" s="4">
        <f>IF(OR(INDEX($AH$2:$AH$1001,MATCH(ROWS($AG$2:AG227),$AG$2:$AG$1001,0),1)&gt;=100000,INDEX($AN$1005:$BO$1005,1,MATCH(COLUMNS($AN$1006:BE1006),$AN$1006:$BO$1006,0))&gt;=100000), " ",IF(INDEX($AN$2:$BO$1001,MATCH(ROWS($AG$2:AG227),$AG$2:$AG$1001,0),MATCH(COLUMNS($AN$1006:BE1006),$AN$1006:$BO$1006,0)), HYPERLINK("#",""), HYPERLINK(CONCATENATE("#Metadata!", ADDRESS(INDEX($AI$2:$AI$1001,MATCH(ROWS($AG$2:AG227),$AG$2:$AG$1001,0),0), INDEX($AN$1004:$BO$1004,1,MATCH(COLUMNS($AN$1006:BE1006),$AN$1006:$BO$1006,0)))),"Fix")))</f>
        <v>0</v>
      </c>
      <c r="T227" s="4">
        <f>IF(OR(INDEX($AH$2:$AH$1001,MATCH(ROWS($AG$2:AG227),$AG$2:$AG$1001,0),1)&gt;=100000,INDEX($AN$1005:$BO$1005,1,MATCH(COLUMNS($AN$1006:BF1006),$AN$1006:$BO$1006,0))&gt;=100000), " ",IF(INDEX($AN$2:$BO$1001,MATCH(ROWS($AG$2:AG227),$AG$2:$AG$1001,0),MATCH(COLUMNS($AN$1006:BF1006),$AN$1006:$BO$1006,0)), HYPERLINK("#",""), HYPERLINK(CONCATENATE("#Metadata!", ADDRESS(INDEX($AI$2:$AI$1001,MATCH(ROWS($AG$2:AG227),$AG$2:$AG$1001,0),0), INDEX($AN$1004:$BO$1004,1,MATCH(COLUMNS($AN$1006:BF1006),$AN$1006:$BO$1006,0)))),"Fix")))</f>
        <v>0</v>
      </c>
      <c r="U227" s="4">
        <f>IF(OR(INDEX($AH$2:$AH$1001,MATCH(ROWS($AG$2:AG227),$AG$2:$AG$1001,0),1)&gt;=100000,INDEX($AN$1005:$BO$1005,1,MATCH(COLUMNS($AN$1006:BG1006),$AN$1006:$BO$1006,0))&gt;=100000), " ",IF(INDEX($AN$2:$BO$1001,MATCH(ROWS($AG$2:AG227),$AG$2:$AG$1001,0),MATCH(COLUMNS($AN$1006:BG1006),$AN$1006:$BO$1006,0)), HYPERLINK("#",""), HYPERLINK(CONCATENATE("#Metadata!", ADDRESS(INDEX($AI$2:$AI$1001,MATCH(ROWS($AG$2:AG227),$AG$2:$AG$1001,0),0), INDEX($AN$1004:$BO$1004,1,MATCH(COLUMNS($AN$1006:BG1006),$AN$1006:$BO$1006,0)))),"Fix")))</f>
        <v>0</v>
      </c>
      <c r="V227" s="4">
        <f>IF(OR(INDEX($AH$2:$AH$1001,MATCH(ROWS($AG$2:AG227),$AG$2:$AG$1001,0),1)&gt;=100000,INDEX($AN$1005:$BO$1005,1,MATCH(COLUMNS($AN$1006:BH1006),$AN$1006:$BO$1006,0))&gt;=100000), " ",IF(INDEX($AN$2:$BO$1001,MATCH(ROWS($AG$2:AG227),$AG$2:$AG$1001,0),MATCH(COLUMNS($AN$1006:BH1006),$AN$1006:$BO$1006,0)), HYPERLINK("#",""), HYPERLINK(CONCATENATE("#Metadata!", ADDRESS(INDEX($AI$2:$AI$1001,MATCH(ROWS($AG$2:AG227),$AG$2:$AG$1001,0),0), INDEX($AN$1004:$BO$1004,1,MATCH(COLUMNS($AN$1006:BH1006),$AN$1006:$BO$1006,0)))),"Fix")))</f>
        <v>0</v>
      </c>
      <c r="W227" s="4">
        <f>IF(OR(INDEX($AH$2:$AH$1001,MATCH(ROWS($AG$2:AG227),$AG$2:$AG$1001,0),1)&gt;=100000,INDEX($AN$1005:$BO$1005,1,MATCH(COLUMNS($AN$1006:BI1006),$AN$1006:$BO$1006,0))&gt;=100000), " ",IF(INDEX($AN$2:$BO$1001,MATCH(ROWS($AG$2:AG227),$AG$2:$AG$1001,0),MATCH(COLUMNS($AN$1006:BI1006),$AN$1006:$BO$1006,0)), HYPERLINK("#",""), HYPERLINK(CONCATENATE("#Metadata!", ADDRESS(INDEX($AI$2:$AI$1001,MATCH(ROWS($AG$2:AG227),$AG$2:$AG$1001,0),0), INDEX($AN$1004:$BO$1004,1,MATCH(COLUMNS($AN$1006:BI1006),$AN$1006:$BO$1006,0)))),"Fix")))</f>
        <v>0</v>
      </c>
      <c r="X227" s="4">
        <f>IF(OR(INDEX($AH$2:$AH$1001,MATCH(ROWS($AG$2:AG227),$AG$2:$AG$1001,0),1)&gt;=100000,INDEX($AN$1005:$BO$1005,1,MATCH(COLUMNS($AN$1006:BJ1006),$AN$1006:$BO$1006,0))&gt;=100000), " ",IF(INDEX($AN$2:$BO$1001,MATCH(ROWS($AG$2:AG227),$AG$2:$AG$1001,0),MATCH(COLUMNS($AN$1006:BJ1006),$AN$1006:$BO$1006,0)), HYPERLINK("#",""), HYPERLINK(CONCATENATE("#Metadata!", ADDRESS(INDEX($AI$2:$AI$1001,MATCH(ROWS($AG$2:AG227),$AG$2:$AG$1001,0),0), INDEX($AN$1004:$BO$1004,1,MATCH(COLUMNS($AN$1006:BJ1006),$AN$1006:$BO$1006,0)))),"Fix")))</f>
        <v>0</v>
      </c>
      <c r="Y227" s="4">
        <f>IF(OR(INDEX($AH$2:$AH$1001,MATCH(ROWS($AG$2:AG227),$AG$2:$AG$1001,0),1)&gt;=100000,INDEX($AN$1005:$BO$1005,1,MATCH(COLUMNS($AN$1006:BK1006),$AN$1006:$BO$1006,0))&gt;=100000), " ",IF(INDEX($AN$2:$BO$1001,MATCH(ROWS($AG$2:AG227),$AG$2:$AG$1001,0),MATCH(COLUMNS($AN$1006:BK1006),$AN$1006:$BO$1006,0)), HYPERLINK("#",""), HYPERLINK(CONCATENATE("#Metadata!", ADDRESS(INDEX($AI$2:$AI$1001,MATCH(ROWS($AG$2:AG227),$AG$2:$AG$1001,0),0), INDEX($AN$1004:$BO$1004,1,MATCH(COLUMNS($AN$1006:BK1006),$AN$1006:$BO$1006,0)))),"Fix")))</f>
        <v>0</v>
      </c>
      <c r="Z227" s="4">
        <f>IF(OR(INDEX($AH$2:$AH$1001,MATCH(ROWS($AG$2:AG227),$AG$2:$AG$1001,0),1)&gt;=100000,INDEX($AN$1005:$BO$1005,1,MATCH(COLUMNS($AN$1006:BL1006),$AN$1006:$BO$1006,0))&gt;=100000), " ",IF(INDEX($AN$2:$BO$1001,MATCH(ROWS($AG$2:AG227),$AG$2:$AG$1001,0),MATCH(COLUMNS($AN$1006:BL1006),$AN$1006:$BO$1006,0)), HYPERLINK("#",""), HYPERLINK(CONCATENATE("#Metadata!", ADDRESS(INDEX($AI$2:$AI$1001,MATCH(ROWS($AG$2:AG227),$AG$2:$AG$1001,0),0), INDEX($AN$1004:$BO$1004,1,MATCH(COLUMNS($AN$1006:BL1006),$AN$1006:$BO$1006,0)))),"Fix")))</f>
        <v>0</v>
      </c>
      <c r="AA227" s="4">
        <f>IF(OR(INDEX($AH$2:$AH$1001,MATCH(ROWS($AG$2:AG227),$AG$2:$AG$1001,0),1)&gt;=100000,INDEX($AN$1005:$BO$1005,1,MATCH(COLUMNS($AN$1006:BM1006),$AN$1006:$BO$1006,0))&gt;=100000), " ",IF(INDEX($AN$2:$BO$1001,MATCH(ROWS($AG$2:AG227),$AG$2:$AG$1001,0),MATCH(COLUMNS($AN$1006:BM1006),$AN$1006:$BO$1006,0)), HYPERLINK("#",""), HYPERLINK(CONCATENATE("#Metadata!", ADDRESS(INDEX($AI$2:$AI$1001,MATCH(ROWS($AG$2:AG227),$AG$2:$AG$1001,0),0), INDEX($AN$1004:$BO$1004,1,MATCH(COLUMNS($AN$1006:BM1006),$AN$1006:$BO$1006,0)))),"Fix")))</f>
        <v>0</v>
      </c>
      <c r="AB227" s="4">
        <f>IF(OR(INDEX($AH$2:$AH$1001,MATCH(ROWS($AG$2:AG227),$AG$2:$AG$1001,0),1)&gt;=100000,INDEX($AN$1005:$BO$1005,1,MATCH(COLUMNS($AN$1006:BN1006),$AN$1006:$BO$1006,0))&gt;=100000), " ",IF(INDEX($AN$2:$BO$1001,MATCH(ROWS($AG$2:AG227),$AG$2:$AG$1001,0),MATCH(COLUMNS($AN$1006:BN1006),$AN$1006:$BO$1006,0)), HYPERLINK("#",""), HYPERLINK(CONCATENATE("#Metadata!", ADDRESS(INDEX($AI$2:$AI$1001,MATCH(ROWS($AG$2:AG227),$AG$2:$AG$1001,0),0), INDEX($AN$1004:$BO$1004,1,MATCH(COLUMNS($AN$1006:BN1006),$AN$1006:$BO$1006,0)))),"Fix")))</f>
        <v>0</v>
      </c>
      <c r="AC227" s="4">
        <f>IF(OR(INDEX($AH$2:$AH$1001,MATCH(ROWS($AG$2:AG227),$AG$2:$AG$1001,0),1)&gt;=100000,INDEX($AN$1005:$BO$1005,1,MATCH(COLUMNS($AN$1006:BO1006),$AN$1006:$BO$1006,0))&gt;=100000), " ",IF(INDEX($AN$2:$BO$1001,MATCH(ROWS($AG$2:AG227),$AG$2:$AG$1001,0),MATCH(COLUMNS($AN$1006:BO1006),$AN$1006:$BO$1006,0)), HYPERLINK("#",""), HYPERLINK(CONCATENATE("#Metadata!", ADDRESS(INDEX($AI$2:$AI$1001,MATCH(ROWS($AG$2:AG227),$AG$2:$AG$1001,0),0), INDEX($AN$1004:$BO$1004,1,MATCH(COLUMNS($AN$1006:BO1006),$AN$1006:$BO$1006,0)))),"Fix")))</f>
        <v>0</v>
      </c>
      <c r="AG227">
        <v>0</v>
      </c>
      <c r="AH227">
        <v>0</v>
      </c>
      <c r="AI227">
        <v>0</v>
      </c>
      <c r="AJ227">
        <f>IF(AK227,TRUE,AND(AN227:BO227))</f>
        <v>0</v>
      </c>
      <c r="AK227">
        <f>COUNTBLANK(Metadata!B227:AC227)=COLUMNS(Metadata!B227:AC227)</f>
        <v>0</v>
      </c>
      <c r="AL227">
        <v>0</v>
      </c>
      <c r="AN227">
        <f>AND(IF(Metadata!B227="",FALSE,TRUE),COUNTIF(Metadata!B:B, Metadata!B227) = 1,NOT(ISERROR(SUMPRODUCT(SEARCH(MID(Metadata!B227,ROW(INDIRECT("1:"&amp;LEN(Metadata!B227))), 1),"0123456789abcdefghijklmnopqrstuvwxyzABCDEFGHIJKLMNOPQRSTUVWXYZ.")))))</f>
        <v>0</v>
      </c>
      <c r="AO227">
        <f>IF(Metadata!C227="",FALSE,TRUE)</f>
        <v>0</v>
      </c>
      <c r="AP227">
        <f>IF(Metadata!D227="",FALSE,TRUE)</f>
        <v>0</v>
      </c>
      <c r="AQ227">
        <f>OR(AND(IF(Metadata!E227="",FALSE,TRUE),OR(exact(Metadata!E227,"not collected"),exact(Metadata!E227,"not provided"),exact(Metadata!E227,"restricted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R227">
        <f>IF(Metadata!F227="",FALSE,TRUE)</f>
        <v>0</v>
      </c>
      <c r="AS227">
        <f>OR(AND(IF(Metadata!G227="",FALSE,TRUE),OR(exact(Metadata!G227,"not collected"),exact(Metadata!G227,"not provided"))),AND(IF(Metadata!G227="",FALSE,TRUE),OR(exact(Metadata!G227,"TRUE"),exact(Metadata!G227,"FALSE"))))</f>
        <v>0</v>
      </c>
      <c r="AT227">
        <f>OR(AND(IF(Metadata!H227="",FALSE,TRUE),OR(exact(Metadata!H227,"not collected"),exact(Metadata!H227,"not provided"),exact(Metadata!H227,"restricted access"))),AND(IF(Metadata!H227="",FALSE,ISNUMBER(VALUE(Metadata!H227))),Metadata!H227&gt;=-413.0))</f>
        <v>0</v>
      </c>
      <c r="AU227">
        <f>AND(IF(Metadata!I227="",FALSE,TRUE),exact(Metadata!I227,"meters"))</f>
        <v>0</v>
      </c>
      <c r="AV227">
        <f>AND(IF(Metadata!J227="",FALSE,TRUE),OR(exact(Metadata!J227,"Host-associated"),exact(Metadata!J227,"Free-living")))</f>
        <v>0</v>
      </c>
      <c r="AW227">
        <f>AND(IF(Metadata!K227="",FALSE,TRUE),OR(exact(Metadata!K227,"Animal"),exact(Metadata!K227,"Fungus"),exact(Metadata!K227,"Plant"),exact(Metadata!K227,"Saline"),exact(Metadata!K227,"Non-saline")))</f>
        <v>0</v>
      </c>
      <c r="AX227">
        <f>AND(IF(Metadata!L227="",FALSE,TRUE),OR(exact(Metadata!L227,"Plant secretion"),exact(Metadata!L227,"Plant rhizosphere"),exact(Metadata!L227,"Plant surface"),exact(Metadata!L227,"Plant corpus"),exact(Metadata!L227,"Fungus surface"),exact(Metadata!L227,"Fungus corpus"),exact(Metadata!L227,"Animal surface"),exact(Metadata!L227,"Animal proximal gut"),exact(Metadata!L227,"Animal corpus"),exact(Metadata!L227,"Animal distal gut"),exact(Metadata!L227,"Animal secretion"),exact(Metadata!L227,"Sub-surface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Y227">
        <f>IF(Metadata!M227="",FALSE,TRUE)</f>
        <v>0</v>
      </c>
      <c r="AZ227">
        <f>IF(Metadata!N227="",FALSE,TRUE)</f>
        <v>0</v>
      </c>
      <c r="BA227">
        <f>IF(Metadata!O227="",FALSE,TRUE)</f>
        <v>0</v>
      </c>
      <c r="BB227">
        <f>OR(AND(IF(Metadata!P227="",FALSE,TRUE),OR(exact(Metadata!P227,"not collected"),exact(Metadata!P227,"not provided"),exact(Metadata!P227,"restricted access"))),AND(IF(Metadata!P227="",FALSE,TRUE),OR(exact(Metadata!P227,"air"),exact(Metadata!P227,"built environment"),exact(Metadata!P227,"host-associated"),exact(Metadata!P227,"human-associated"),exact(Metadata!P227,"human-skin"),exact(Metadata!P227,"human-oral"),exact(Metadata!P227,"human-gut"),exact(Metadata!P227,"human-vaginal"),exact(Metadata!P227,"microbial mat/biofilm"),exact(Metadata!P227,"misc environment"),exact(Metadata!P227,"plant-associated"),exact(Metadata!P227,"sediment"),exact(Metadata!P227,"soil"),exact(Metadata!P227,"wastewater/sludge"),exact(Metadata!P227,"water"))))</f>
        <v>0</v>
      </c>
      <c r="BC227">
        <f>IF(Metadata!Q227="",FALSE,TRUE)</f>
        <v>0</v>
      </c>
      <c r="BD227">
        <f>IF(Metadata!R227="",FALSE,TRUE)</f>
        <v>0</v>
      </c>
      <c r="BE227">
        <f>OR(AND(IF(Metadata!S227="",FALSE,TRUE),OR(exact(Metadata!S227,"not collected"),exact(Metadata!S227,"not provided"),exact(Metadata!S227,"restricted access"))),AND(IF(Metadata!S227="",FALSE,ISNUMBER(VALUE(Metadata!S227))),Metadata!S227&gt;=-90.00,Metadata!S227&lt;=90.00))</f>
        <v>0</v>
      </c>
      <c r="BF227">
        <f>AND(IF(Metadata!T227="",FALSE,TRUE),exact(Metadata!T227,"Decimal degrees"))</f>
        <v>0</v>
      </c>
      <c r="BG227">
        <f>OR(AND(IF(Metadata!U227="",FALSE,TRUE),OR(exact(Metadata!U227,"not collected"),exact(Metadata!U227,"not provided"),exact(Metadata!U227,"restricted access"))),AND(IF(Metadata!U227="",FALSE,ISNUMBER(VALUE(Metadata!U227))),Metadata!U227&gt;=-180.00,Metadata!U227&lt;=180.00))</f>
        <v>0</v>
      </c>
      <c r="BH227">
        <f>AND(IF(Metadata!V227="",FALSE,TRUE),exact(Metadata!V227,"Decimal degrees"))</f>
        <v>0</v>
      </c>
      <c r="BI227">
        <f>IF(Metadata!W227="",FALSE,TRUE)</f>
        <v>0</v>
      </c>
      <c r="BJ227">
        <f>OR(AND(IF(Metadata!X227="",FALSE,TRUE),OR(exact(Metadata!X227,"not collected"),exact(Metadata!X227,"not provided"),exact(Metadata!X227,"restricted access"))),AND(IF(Metadata!X227="",FALSE,TRUE),OR(exact(Metadata!X227,"TRUE"),exact(Metadata!X227,"FALSE"))))</f>
        <v>0</v>
      </c>
      <c r="BK227">
        <f>AND(IF(Metadata!Y227="",FALSE,TRUE),exact(Metadata!Y227,"other"))</f>
        <v>0</v>
      </c>
      <c r="BL227">
        <f>IF(Metadata!Z227="",FALSE,TRUE)</f>
        <v>0</v>
      </c>
      <c r="BM227">
        <f>OR(AND(IF(Metadata!AA227="",FALSE,TRUE),OR(exact(Metadata!AA227,"not collected"),exact(Metadata!AA227,"not provided"))),AND(IF(Metadata!AA227="",FALSE,IF(ISERROR(INT(Metadata!AA227)),FALSE,INT(Metadata!AA227)=Metadata!AA227)),Metadata!AA227&gt;0))</f>
        <v>0</v>
      </c>
      <c r="BN227">
        <f>AND(IF(Metadata!AB227="",FALSE,TRUE),exact(Metadata!AB227,"Not applicable"))</f>
        <v>0</v>
      </c>
      <c r="BO227">
        <f>IF(Metadata!AC227="",FALSE,TRUE)</f>
        <v>0</v>
      </c>
    </row>
    <row r="228" spans="1:67">
      <c r="A228" s="5">
        <f>IF(B228=" "," ",HYPERLINK(CONCATENATE("#metadata!",ADDRESS(INDEX($AI$2:$AI$1001,MATCH(ROWS($AG$2:AG228),$AG$2:$AG$1001,0),0),1)),INDEX($AL$2:$AL$1001,MATCH(ROWS($AG$2:AG228),$AG$2:$AG$1001,0),0)))</f>
        <v>0</v>
      </c>
      <c r="B228" s="4">
        <f>IF(OR(INDEX($AH$2:$AH$1001,MATCH(ROWS($AG$2:AG228),$AG$2:$AG$1001,0),1)&gt;=100000,INDEX($AN$1005:$BO$1005,1,MATCH(COLUMNS($AN$1006:AN1006),$AN$1006:$BO$1006,0))&gt;=100000), " ",IF(INDEX($AN$2:$BO$1001,MATCH(ROWS($AG$2:AG228),$AG$2:$AG$1001,0),MATCH(COLUMNS($AN$1006:AN1006),$AN$1006:$BO$1006,0)), HYPERLINK("#",""), HYPERLINK(CONCATENATE("#Metadata!", ADDRESS(INDEX($AI$2:$AI$1001,MATCH(ROWS($AG$2:AG228),$AG$2:$AG$1001,0),0), INDEX($AN$1004:$BO$1004,1,MATCH(COLUMNS($AN$1006:AN1006),$AN$1006:$BO$1006,0)))),"Fix")))</f>
        <v>0</v>
      </c>
      <c r="C228" s="4">
        <f>IF(OR(INDEX($AH$2:$AH$1001,MATCH(ROWS($AG$2:AG228),$AG$2:$AG$1001,0),1)&gt;=100000,INDEX($AN$1005:$BO$1005,1,MATCH(COLUMNS($AN$1006:AO1006),$AN$1006:$BO$1006,0))&gt;=100000), " ",IF(INDEX($AN$2:$BO$1001,MATCH(ROWS($AG$2:AG228),$AG$2:$AG$1001,0),MATCH(COLUMNS($AN$1006:AO1006),$AN$1006:$BO$1006,0)), HYPERLINK("#",""), HYPERLINK(CONCATENATE("#Metadata!", ADDRESS(INDEX($AI$2:$AI$1001,MATCH(ROWS($AG$2:AG228),$AG$2:$AG$1001,0),0), INDEX($AN$1004:$BO$1004,1,MATCH(COLUMNS($AN$1006:AO1006),$AN$1006:$BO$1006,0)))),"Fix")))</f>
        <v>0</v>
      </c>
      <c r="D228" s="4">
        <f>IF(OR(INDEX($AH$2:$AH$1001,MATCH(ROWS($AG$2:AG228),$AG$2:$AG$1001,0),1)&gt;=100000,INDEX($AN$1005:$BO$1005,1,MATCH(COLUMNS($AN$1006:AP1006),$AN$1006:$BO$1006,0))&gt;=100000), " ",IF(INDEX($AN$2:$BO$1001,MATCH(ROWS($AG$2:AG228),$AG$2:$AG$1001,0),MATCH(COLUMNS($AN$1006:AP1006),$AN$1006:$BO$1006,0)), HYPERLINK("#",""), HYPERLINK(CONCATENATE("#Metadata!", ADDRESS(INDEX($AI$2:$AI$1001,MATCH(ROWS($AG$2:AG228),$AG$2:$AG$1001,0),0), INDEX($AN$1004:$BO$1004,1,MATCH(COLUMNS($AN$1006:AP1006),$AN$1006:$BO$1006,0)))),"Fix")))</f>
        <v>0</v>
      </c>
      <c r="E228" s="4">
        <f>IF(OR(INDEX($AH$2:$AH$1001,MATCH(ROWS($AG$2:AG228),$AG$2:$AG$1001,0),1)&gt;=100000,INDEX($AN$1005:$BO$1005,1,MATCH(COLUMNS($AN$1006:AQ1006),$AN$1006:$BO$1006,0))&gt;=100000), " ",IF(INDEX($AN$2:$BO$1001,MATCH(ROWS($AG$2:AG228),$AG$2:$AG$1001,0),MATCH(COLUMNS($AN$1006:AQ1006),$AN$1006:$BO$1006,0)), HYPERLINK("#",""), HYPERLINK(CONCATENATE("#Metadata!", ADDRESS(INDEX($AI$2:$AI$1001,MATCH(ROWS($AG$2:AG228),$AG$2:$AG$1001,0),0), INDEX($AN$1004:$BO$1004,1,MATCH(COLUMNS($AN$1006:AQ1006),$AN$1006:$BO$1006,0)))),"Fix")))</f>
        <v>0</v>
      </c>
      <c r="F228" s="4">
        <f>IF(OR(INDEX($AH$2:$AH$1001,MATCH(ROWS($AG$2:AG228),$AG$2:$AG$1001,0),1)&gt;=100000,INDEX($AN$1005:$BO$1005,1,MATCH(COLUMNS($AN$1006:AR1006),$AN$1006:$BO$1006,0))&gt;=100000), " ",IF(INDEX($AN$2:$BO$1001,MATCH(ROWS($AG$2:AG228),$AG$2:$AG$1001,0),MATCH(COLUMNS($AN$1006:AR1006),$AN$1006:$BO$1006,0)), HYPERLINK("#",""), HYPERLINK(CONCATENATE("#Metadata!", ADDRESS(INDEX($AI$2:$AI$1001,MATCH(ROWS($AG$2:AG228),$AG$2:$AG$1001,0),0), INDEX($AN$1004:$BO$1004,1,MATCH(COLUMNS($AN$1006:AR1006),$AN$1006:$BO$1006,0)))),"Fix")))</f>
        <v>0</v>
      </c>
      <c r="G228" s="4">
        <f>IF(OR(INDEX($AH$2:$AH$1001,MATCH(ROWS($AG$2:AG228),$AG$2:$AG$1001,0),1)&gt;=100000,INDEX($AN$1005:$BO$1005,1,MATCH(COLUMNS($AN$1006:AS1006),$AN$1006:$BO$1006,0))&gt;=100000), " ",IF(INDEX($AN$2:$BO$1001,MATCH(ROWS($AG$2:AG228),$AG$2:$AG$1001,0),MATCH(COLUMNS($AN$1006:AS1006),$AN$1006:$BO$1006,0)), HYPERLINK("#",""), HYPERLINK(CONCATENATE("#Metadata!", ADDRESS(INDEX($AI$2:$AI$1001,MATCH(ROWS($AG$2:AG228),$AG$2:$AG$1001,0),0), INDEX($AN$1004:$BO$1004,1,MATCH(COLUMNS($AN$1006:AS1006),$AN$1006:$BO$1006,0)))),"Fix")))</f>
        <v>0</v>
      </c>
      <c r="H228" s="4">
        <f>IF(OR(INDEX($AH$2:$AH$1001,MATCH(ROWS($AG$2:AG228),$AG$2:$AG$1001,0),1)&gt;=100000,INDEX($AN$1005:$BO$1005,1,MATCH(COLUMNS($AN$1006:AT1006),$AN$1006:$BO$1006,0))&gt;=100000), " ",IF(INDEX($AN$2:$BO$1001,MATCH(ROWS($AG$2:AG228),$AG$2:$AG$1001,0),MATCH(COLUMNS($AN$1006:AT1006),$AN$1006:$BO$1006,0)), HYPERLINK("#",""), HYPERLINK(CONCATENATE("#Metadata!", ADDRESS(INDEX($AI$2:$AI$1001,MATCH(ROWS($AG$2:AG228),$AG$2:$AG$1001,0),0), INDEX($AN$1004:$BO$1004,1,MATCH(COLUMNS($AN$1006:AT1006),$AN$1006:$BO$1006,0)))),"Fix")))</f>
        <v>0</v>
      </c>
      <c r="I228" s="4">
        <f>IF(OR(INDEX($AH$2:$AH$1001,MATCH(ROWS($AG$2:AG228),$AG$2:$AG$1001,0),1)&gt;=100000,INDEX($AN$1005:$BO$1005,1,MATCH(COLUMNS($AN$1006:AU1006),$AN$1006:$BO$1006,0))&gt;=100000), " ",IF(INDEX($AN$2:$BO$1001,MATCH(ROWS($AG$2:AG228),$AG$2:$AG$1001,0),MATCH(COLUMNS($AN$1006:AU1006),$AN$1006:$BO$1006,0)), HYPERLINK("#",""), HYPERLINK(CONCATENATE("#Metadata!", ADDRESS(INDEX($AI$2:$AI$1001,MATCH(ROWS($AG$2:AG228),$AG$2:$AG$1001,0),0), INDEX($AN$1004:$BO$1004,1,MATCH(COLUMNS($AN$1006:AU1006),$AN$1006:$BO$1006,0)))),"Fix")))</f>
        <v>0</v>
      </c>
      <c r="J228" s="4">
        <f>IF(OR(INDEX($AH$2:$AH$1001,MATCH(ROWS($AG$2:AG228),$AG$2:$AG$1001,0),1)&gt;=100000,INDEX($AN$1005:$BO$1005,1,MATCH(COLUMNS($AN$1006:AV1006),$AN$1006:$BO$1006,0))&gt;=100000), " ",IF(INDEX($AN$2:$BO$1001,MATCH(ROWS($AG$2:AG228),$AG$2:$AG$1001,0),MATCH(COLUMNS($AN$1006:AV1006),$AN$1006:$BO$1006,0)), HYPERLINK("#",""), HYPERLINK(CONCATENATE("#Metadata!", ADDRESS(INDEX($AI$2:$AI$1001,MATCH(ROWS($AG$2:AG228),$AG$2:$AG$1001,0),0), INDEX($AN$1004:$BO$1004,1,MATCH(COLUMNS($AN$1006:AV1006),$AN$1006:$BO$1006,0)))),"Fix")))</f>
        <v>0</v>
      </c>
      <c r="K228" s="4">
        <f>IF(OR(INDEX($AH$2:$AH$1001,MATCH(ROWS($AG$2:AG228),$AG$2:$AG$1001,0),1)&gt;=100000,INDEX($AN$1005:$BO$1005,1,MATCH(COLUMNS($AN$1006:AW1006),$AN$1006:$BO$1006,0))&gt;=100000), " ",IF(INDEX($AN$2:$BO$1001,MATCH(ROWS($AG$2:AG228),$AG$2:$AG$1001,0),MATCH(COLUMNS($AN$1006:AW1006),$AN$1006:$BO$1006,0)), HYPERLINK("#",""), HYPERLINK(CONCATENATE("#Metadata!", ADDRESS(INDEX($AI$2:$AI$1001,MATCH(ROWS($AG$2:AG228),$AG$2:$AG$1001,0),0), INDEX($AN$1004:$BO$1004,1,MATCH(COLUMNS($AN$1006:AW1006),$AN$1006:$BO$1006,0)))),"Fix")))</f>
        <v>0</v>
      </c>
      <c r="L228" s="4">
        <f>IF(OR(INDEX($AH$2:$AH$1001,MATCH(ROWS($AG$2:AG228),$AG$2:$AG$1001,0),1)&gt;=100000,INDEX($AN$1005:$BO$1005,1,MATCH(COLUMNS($AN$1006:AX1006),$AN$1006:$BO$1006,0))&gt;=100000), " ",IF(INDEX($AN$2:$BO$1001,MATCH(ROWS($AG$2:AG228),$AG$2:$AG$1001,0),MATCH(COLUMNS($AN$1006:AX1006),$AN$1006:$BO$1006,0)), HYPERLINK("#",""), HYPERLINK(CONCATENATE("#Metadata!", ADDRESS(INDEX($AI$2:$AI$1001,MATCH(ROWS($AG$2:AG228),$AG$2:$AG$1001,0),0), INDEX($AN$1004:$BO$1004,1,MATCH(COLUMNS($AN$1006:AX1006),$AN$1006:$BO$1006,0)))),"Fix")))</f>
        <v>0</v>
      </c>
      <c r="M228" s="4">
        <f>IF(OR(INDEX($AH$2:$AH$1001,MATCH(ROWS($AG$2:AG228),$AG$2:$AG$1001,0),1)&gt;=100000,INDEX($AN$1005:$BO$1005,1,MATCH(COLUMNS($AN$1006:AY1006),$AN$1006:$BO$1006,0))&gt;=100000), " ",IF(INDEX($AN$2:$BO$1001,MATCH(ROWS($AG$2:AG228),$AG$2:$AG$1001,0),MATCH(COLUMNS($AN$1006:AY1006),$AN$1006:$BO$1006,0)), HYPERLINK("#",""), HYPERLINK(CONCATENATE("#Metadata!", ADDRESS(INDEX($AI$2:$AI$1001,MATCH(ROWS($AG$2:AG228),$AG$2:$AG$1001,0),0), INDEX($AN$1004:$BO$1004,1,MATCH(COLUMNS($AN$1006:AY1006),$AN$1006:$BO$1006,0)))),"Fix")))</f>
        <v>0</v>
      </c>
      <c r="N228" s="4">
        <f>IF(OR(INDEX($AH$2:$AH$1001,MATCH(ROWS($AG$2:AG228),$AG$2:$AG$1001,0),1)&gt;=100000,INDEX($AN$1005:$BO$1005,1,MATCH(COLUMNS($AN$1006:AZ1006),$AN$1006:$BO$1006,0))&gt;=100000), " ",IF(INDEX($AN$2:$BO$1001,MATCH(ROWS($AG$2:AG228),$AG$2:$AG$1001,0),MATCH(COLUMNS($AN$1006:AZ1006),$AN$1006:$BO$1006,0)), HYPERLINK("#",""), HYPERLINK(CONCATENATE("#Metadata!", ADDRESS(INDEX($AI$2:$AI$1001,MATCH(ROWS($AG$2:AG228),$AG$2:$AG$1001,0),0), INDEX($AN$1004:$BO$1004,1,MATCH(COLUMNS($AN$1006:AZ1006),$AN$1006:$BO$1006,0)))),"Fix")))</f>
        <v>0</v>
      </c>
      <c r="O228" s="4">
        <f>IF(OR(INDEX($AH$2:$AH$1001,MATCH(ROWS($AG$2:AG228),$AG$2:$AG$1001,0),1)&gt;=100000,INDEX($AN$1005:$BO$1005,1,MATCH(COLUMNS($AN$1006:BA1006),$AN$1006:$BO$1006,0))&gt;=100000), " ",IF(INDEX($AN$2:$BO$1001,MATCH(ROWS($AG$2:AG228),$AG$2:$AG$1001,0),MATCH(COLUMNS($AN$1006:BA1006),$AN$1006:$BO$1006,0)), HYPERLINK("#",""), HYPERLINK(CONCATENATE("#Metadata!", ADDRESS(INDEX($AI$2:$AI$1001,MATCH(ROWS($AG$2:AG228),$AG$2:$AG$1001,0),0), INDEX($AN$1004:$BO$1004,1,MATCH(COLUMNS($AN$1006:BA1006),$AN$1006:$BO$1006,0)))),"Fix")))</f>
        <v>0</v>
      </c>
      <c r="P228" s="4">
        <f>IF(OR(INDEX($AH$2:$AH$1001,MATCH(ROWS($AG$2:AG228),$AG$2:$AG$1001,0),1)&gt;=100000,INDEX($AN$1005:$BO$1005,1,MATCH(COLUMNS($AN$1006:BB1006),$AN$1006:$BO$1006,0))&gt;=100000), " ",IF(INDEX($AN$2:$BO$1001,MATCH(ROWS($AG$2:AG228),$AG$2:$AG$1001,0),MATCH(COLUMNS($AN$1006:BB1006),$AN$1006:$BO$1006,0)), HYPERLINK("#",""), HYPERLINK(CONCATENATE("#Metadata!", ADDRESS(INDEX($AI$2:$AI$1001,MATCH(ROWS($AG$2:AG228),$AG$2:$AG$1001,0),0), INDEX($AN$1004:$BO$1004,1,MATCH(COLUMNS($AN$1006:BB1006),$AN$1006:$BO$1006,0)))),"Fix")))</f>
        <v>0</v>
      </c>
      <c r="Q228" s="4">
        <f>IF(OR(INDEX($AH$2:$AH$1001,MATCH(ROWS($AG$2:AG228),$AG$2:$AG$1001,0),1)&gt;=100000,INDEX($AN$1005:$BO$1005,1,MATCH(COLUMNS($AN$1006:BC1006),$AN$1006:$BO$1006,0))&gt;=100000), " ",IF(INDEX($AN$2:$BO$1001,MATCH(ROWS($AG$2:AG228),$AG$2:$AG$1001,0),MATCH(COLUMNS($AN$1006:BC1006),$AN$1006:$BO$1006,0)), HYPERLINK("#",""), HYPERLINK(CONCATENATE("#Metadata!", ADDRESS(INDEX($AI$2:$AI$1001,MATCH(ROWS($AG$2:AG228),$AG$2:$AG$1001,0),0), INDEX($AN$1004:$BO$1004,1,MATCH(COLUMNS($AN$1006:BC1006),$AN$1006:$BO$1006,0)))),"Fix")))</f>
        <v>0</v>
      </c>
      <c r="R228" s="4">
        <f>IF(OR(INDEX($AH$2:$AH$1001,MATCH(ROWS($AG$2:AG228),$AG$2:$AG$1001,0),1)&gt;=100000,INDEX($AN$1005:$BO$1005,1,MATCH(COLUMNS($AN$1006:BD1006),$AN$1006:$BO$1006,0))&gt;=100000), " ",IF(INDEX($AN$2:$BO$1001,MATCH(ROWS($AG$2:AG228),$AG$2:$AG$1001,0),MATCH(COLUMNS($AN$1006:BD1006),$AN$1006:$BO$1006,0)), HYPERLINK("#",""), HYPERLINK(CONCATENATE("#Metadata!", ADDRESS(INDEX($AI$2:$AI$1001,MATCH(ROWS($AG$2:AG228),$AG$2:$AG$1001,0),0), INDEX($AN$1004:$BO$1004,1,MATCH(COLUMNS($AN$1006:BD1006),$AN$1006:$BO$1006,0)))),"Fix")))</f>
        <v>0</v>
      </c>
      <c r="S228" s="4">
        <f>IF(OR(INDEX($AH$2:$AH$1001,MATCH(ROWS($AG$2:AG228),$AG$2:$AG$1001,0),1)&gt;=100000,INDEX($AN$1005:$BO$1005,1,MATCH(COLUMNS($AN$1006:BE1006),$AN$1006:$BO$1006,0))&gt;=100000), " ",IF(INDEX($AN$2:$BO$1001,MATCH(ROWS($AG$2:AG228),$AG$2:$AG$1001,0),MATCH(COLUMNS($AN$1006:BE1006),$AN$1006:$BO$1006,0)), HYPERLINK("#",""), HYPERLINK(CONCATENATE("#Metadata!", ADDRESS(INDEX($AI$2:$AI$1001,MATCH(ROWS($AG$2:AG228),$AG$2:$AG$1001,0),0), INDEX($AN$1004:$BO$1004,1,MATCH(COLUMNS($AN$1006:BE1006),$AN$1006:$BO$1006,0)))),"Fix")))</f>
        <v>0</v>
      </c>
      <c r="T228" s="4">
        <f>IF(OR(INDEX($AH$2:$AH$1001,MATCH(ROWS($AG$2:AG228),$AG$2:$AG$1001,0),1)&gt;=100000,INDEX($AN$1005:$BO$1005,1,MATCH(COLUMNS($AN$1006:BF1006),$AN$1006:$BO$1006,0))&gt;=100000), " ",IF(INDEX($AN$2:$BO$1001,MATCH(ROWS($AG$2:AG228),$AG$2:$AG$1001,0),MATCH(COLUMNS($AN$1006:BF1006),$AN$1006:$BO$1006,0)), HYPERLINK("#",""), HYPERLINK(CONCATENATE("#Metadata!", ADDRESS(INDEX($AI$2:$AI$1001,MATCH(ROWS($AG$2:AG228),$AG$2:$AG$1001,0),0), INDEX($AN$1004:$BO$1004,1,MATCH(COLUMNS($AN$1006:BF1006),$AN$1006:$BO$1006,0)))),"Fix")))</f>
        <v>0</v>
      </c>
      <c r="U228" s="4">
        <f>IF(OR(INDEX($AH$2:$AH$1001,MATCH(ROWS($AG$2:AG228),$AG$2:$AG$1001,0),1)&gt;=100000,INDEX($AN$1005:$BO$1005,1,MATCH(COLUMNS($AN$1006:BG1006),$AN$1006:$BO$1006,0))&gt;=100000), " ",IF(INDEX($AN$2:$BO$1001,MATCH(ROWS($AG$2:AG228),$AG$2:$AG$1001,0),MATCH(COLUMNS($AN$1006:BG1006),$AN$1006:$BO$1006,0)), HYPERLINK("#",""), HYPERLINK(CONCATENATE("#Metadata!", ADDRESS(INDEX($AI$2:$AI$1001,MATCH(ROWS($AG$2:AG228),$AG$2:$AG$1001,0),0), INDEX($AN$1004:$BO$1004,1,MATCH(COLUMNS($AN$1006:BG1006),$AN$1006:$BO$1006,0)))),"Fix")))</f>
        <v>0</v>
      </c>
      <c r="V228" s="4">
        <f>IF(OR(INDEX($AH$2:$AH$1001,MATCH(ROWS($AG$2:AG228),$AG$2:$AG$1001,0),1)&gt;=100000,INDEX($AN$1005:$BO$1005,1,MATCH(COLUMNS($AN$1006:BH1006),$AN$1006:$BO$1006,0))&gt;=100000), " ",IF(INDEX($AN$2:$BO$1001,MATCH(ROWS($AG$2:AG228),$AG$2:$AG$1001,0),MATCH(COLUMNS($AN$1006:BH1006),$AN$1006:$BO$1006,0)), HYPERLINK("#",""), HYPERLINK(CONCATENATE("#Metadata!", ADDRESS(INDEX($AI$2:$AI$1001,MATCH(ROWS($AG$2:AG228),$AG$2:$AG$1001,0),0), INDEX($AN$1004:$BO$1004,1,MATCH(COLUMNS($AN$1006:BH1006),$AN$1006:$BO$1006,0)))),"Fix")))</f>
        <v>0</v>
      </c>
      <c r="W228" s="4">
        <f>IF(OR(INDEX($AH$2:$AH$1001,MATCH(ROWS($AG$2:AG228),$AG$2:$AG$1001,0),1)&gt;=100000,INDEX($AN$1005:$BO$1005,1,MATCH(COLUMNS($AN$1006:BI1006),$AN$1006:$BO$1006,0))&gt;=100000), " ",IF(INDEX($AN$2:$BO$1001,MATCH(ROWS($AG$2:AG228),$AG$2:$AG$1001,0),MATCH(COLUMNS($AN$1006:BI1006),$AN$1006:$BO$1006,0)), HYPERLINK("#",""), HYPERLINK(CONCATENATE("#Metadata!", ADDRESS(INDEX($AI$2:$AI$1001,MATCH(ROWS($AG$2:AG228),$AG$2:$AG$1001,0),0), INDEX($AN$1004:$BO$1004,1,MATCH(COLUMNS($AN$1006:BI1006),$AN$1006:$BO$1006,0)))),"Fix")))</f>
        <v>0</v>
      </c>
      <c r="X228" s="4">
        <f>IF(OR(INDEX($AH$2:$AH$1001,MATCH(ROWS($AG$2:AG228),$AG$2:$AG$1001,0),1)&gt;=100000,INDEX($AN$1005:$BO$1005,1,MATCH(COLUMNS($AN$1006:BJ1006),$AN$1006:$BO$1006,0))&gt;=100000), " ",IF(INDEX($AN$2:$BO$1001,MATCH(ROWS($AG$2:AG228),$AG$2:$AG$1001,0),MATCH(COLUMNS($AN$1006:BJ1006),$AN$1006:$BO$1006,0)), HYPERLINK("#",""), HYPERLINK(CONCATENATE("#Metadata!", ADDRESS(INDEX($AI$2:$AI$1001,MATCH(ROWS($AG$2:AG228),$AG$2:$AG$1001,0),0), INDEX($AN$1004:$BO$1004,1,MATCH(COLUMNS($AN$1006:BJ1006),$AN$1006:$BO$1006,0)))),"Fix")))</f>
        <v>0</v>
      </c>
      <c r="Y228" s="4">
        <f>IF(OR(INDEX($AH$2:$AH$1001,MATCH(ROWS($AG$2:AG228),$AG$2:$AG$1001,0),1)&gt;=100000,INDEX($AN$1005:$BO$1005,1,MATCH(COLUMNS($AN$1006:BK1006),$AN$1006:$BO$1006,0))&gt;=100000), " ",IF(INDEX($AN$2:$BO$1001,MATCH(ROWS($AG$2:AG228),$AG$2:$AG$1001,0),MATCH(COLUMNS($AN$1006:BK1006),$AN$1006:$BO$1006,0)), HYPERLINK("#",""), HYPERLINK(CONCATENATE("#Metadata!", ADDRESS(INDEX($AI$2:$AI$1001,MATCH(ROWS($AG$2:AG228),$AG$2:$AG$1001,0),0), INDEX($AN$1004:$BO$1004,1,MATCH(COLUMNS($AN$1006:BK1006),$AN$1006:$BO$1006,0)))),"Fix")))</f>
        <v>0</v>
      </c>
      <c r="Z228" s="4">
        <f>IF(OR(INDEX($AH$2:$AH$1001,MATCH(ROWS($AG$2:AG228),$AG$2:$AG$1001,0),1)&gt;=100000,INDEX($AN$1005:$BO$1005,1,MATCH(COLUMNS($AN$1006:BL1006),$AN$1006:$BO$1006,0))&gt;=100000), " ",IF(INDEX($AN$2:$BO$1001,MATCH(ROWS($AG$2:AG228),$AG$2:$AG$1001,0),MATCH(COLUMNS($AN$1006:BL1006),$AN$1006:$BO$1006,0)), HYPERLINK("#",""), HYPERLINK(CONCATENATE("#Metadata!", ADDRESS(INDEX($AI$2:$AI$1001,MATCH(ROWS($AG$2:AG228),$AG$2:$AG$1001,0),0), INDEX($AN$1004:$BO$1004,1,MATCH(COLUMNS($AN$1006:BL1006),$AN$1006:$BO$1006,0)))),"Fix")))</f>
        <v>0</v>
      </c>
      <c r="AA228" s="4">
        <f>IF(OR(INDEX($AH$2:$AH$1001,MATCH(ROWS($AG$2:AG228),$AG$2:$AG$1001,0),1)&gt;=100000,INDEX($AN$1005:$BO$1005,1,MATCH(COLUMNS($AN$1006:BM1006),$AN$1006:$BO$1006,0))&gt;=100000), " ",IF(INDEX($AN$2:$BO$1001,MATCH(ROWS($AG$2:AG228),$AG$2:$AG$1001,0),MATCH(COLUMNS($AN$1006:BM1006),$AN$1006:$BO$1006,0)), HYPERLINK("#",""), HYPERLINK(CONCATENATE("#Metadata!", ADDRESS(INDEX($AI$2:$AI$1001,MATCH(ROWS($AG$2:AG228),$AG$2:$AG$1001,0),0), INDEX($AN$1004:$BO$1004,1,MATCH(COLUMNS($AN$1006:BM1006),$AN$1006:$BO$1006,0)))),"Fix")))</f>
        <v>0</v>
      </c>
      <c r="AB228" s="4">
        <f>IF(OR(INDEX($AH$2:$AH$1001,MATCH(ROWS($AG$2:AG228),$AG$2:$AG$1001,0),1)&gt;=100000,INDEX($AN$1005:$BO$1005,1,MATCH(COLUMNS($AN$1006:BN1006),$AN$1006:$BO$1006,0))&gt;=100000), " ",IF(INDEX($AN$2:$BO$1001,MATCH(ROWS($AG$2:AG228),$AG$2:$AG$1001,0),MATCH(COLUMNS($AN$1006:BN1006),$AN$1006:$BO$1006,0)), HYPERLINK("#",""), HYPERLINK(CONCATENATE("#Metadata!", ADDRESS(INDEX($AI$2:$AI$1001,MATCH(ROWS($AG$2:AG228),$AG$2:$AG$1001,0),0), INDEX($AN$1004:$BO$1004,1,MATCH(COLUMNS($AN$1006:BN1006),$AN$1006:$BO$1006,0)))),"Fix")))</f>
        <v>0</v>
      </c>
      <c r="AC228" s="4">
        <f>IF(OR(INDEX($AH$2:$AH$1001,MATCH(ROWS($AG$2:AG228),$AG$2:$AG$1001,0),1)&gt;=100000,INDEX($AN$1005:$BO$1005,1,MATCH(COLUMNS($AN$1006:BO1006),$AN$1006:$BO$1006,0))&gt;=100000), " ",IF(INDEX($AN$2:$BO$1001,MATCH(ROWS($AG$2:AG228),$AG$2:$AG$1001,0),MATCH(COLUMNS($AN$1006:BO1006),$AN$1006:$BO$1006,0)), HYPERLINK("#",""), HYPERLINK(CONCATENATE("#Metadata!", ADDRESS(INDEX($AI$2:$AI$1001,MATCH(ROWS($AG$2:AG228),$AG$2:$AG$1001,0),0), INDEX($AN$1004:$BO$1004,1,MATCH(COLUMNS($AN$1006:BO1006),$AN$1006:$BO$1006,0)))),"Fix")))</f>
        <v>0</v>
      </c>
      <c r="AG228">
        <v>0</v>
      </c>
      <c r="AH228">
        <v>0</v>
      </c>
      <c r="AI228">
        <v>0</v>
      </c>
      <c r="AJ228">
        <f>IF(AK228,TRUE,AND(AN228:BO228))</f>
        <v>0</v>
      </c>
      <c r="AK228">
        <f>COUNTBLANK(Metadata!B228:AC228)=COLUMNS(Metadata!B228:AC228)</f>
        <v>0</v>
      </c>
      <c r="AL228">
        <v>0</v>
      </c>
      <c r="AN228">
        <f>AND(IF(Metadata!B228="",FALSE,TRUE),COUNTIF(Metadata!B:B, Metadata!B228) = 1,NOT(ISERROR(SUMPRODUCT(SEARCH(MID(Metadata!B228,ROW(INDIRECT("1:"&amp;LEN(Metadata!B228))), 1),"0123456789abcdefghijklmnopqrstuvwxyzABCDEFGHIJKLMNOPQRSTUVWXYZ.")))))</f>
        <v>0</v>
      </c>
      <c r="AO228">
        <f>IF(Metadata!C228="",FALSE,TRUE)</f>
        <v>0</v>
      </c>
      <c r="AP228">
        <f>IF(Metadata!D228="",FALSE,TRUE)</f>
        <v>0</v>
      </c>
      <c r="AQ228">
        <f>OR(AND(IF(Metadata!E228="",FALSE,TRUE),OR(exact(Metadata!E228,"not collected"),exact(Metadata!E228,"not provided"),exact(Metadata!E228,"restricted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R228">
        <f>IF(Metadata!F228="",FALSE,TRUE)</f>
        <v>0</v>
      </c>
      <c r="AS228">
        <f>OR(AND(IF(Metadata!G228="",FALSE,TRUE),OR(exact(Metadata!G228,"not collected"),exact(Metadata!G228,"not provided"))),AND(IF(Metadata!G228="",FALSE,TRUE),OR(exact(Metadata!G228,"TRUE"),exact(Metadata!G228,"FALSE"))))</f>
        <v>0</v>
      </c>
      <c r="AT228">
        <f>OR(AND(IF(Metadata!H228="",FALSE,TRUE),OR(exact(Metadata!H228,"not collected"),exact(Metadata!H228,"not provided"),exact(Metadata!H228,"restricted access"))),AND(IF(Metadata!H228="",FALSE,ISNUMBER(VALUE(Metadata!H228))),Metadata!H228&gt;=-413.0))</f>
        <v>0</v>
      </c>
      <c r="AU228">
        <f>AND(IF(Metadata!I228="",FALSE,TRUE),exact(Metadata!I228,"meters"))</f>
        <v>0</v>
      </c>
      <c r="AV228">
        <f>AND(IF(Metadata!J228="",FALSE,TRUE),OR(exact(Metadata!J228,"Host-associated"),exact(Metadata!J228,"Free-living")))</f>
        <v>0</v>
      </c>
      <c r="AW228">
        <f>AND(IF(Metadata!K228="",FALSE,TRUE),OR(exact(Metadata!K228,"Animal"),exact(Metadata!K228,"Fungus"),exact(Metadata!K228,"Plant"),exact(Metadata!K228,"Saline"),exact(Metadata!K228,"Non-saline")))</f>
        <v>0</v>
      </c>
      <c r="AX228">
        <f>AND(IF(Metadata!L228="",FALSE,TRUE),OR(exact(Metadata!L228,"Plant secretion"),exact(Metadata!L228,"Plant rhizosphere"),exact(Metadata!L228,"Plant surface"),exact(Metadata!L228,"Plant corpus"),exact(Metadata!L228,"Fungus surface"),exact(Metadata!L228,"Fungus corpus"),exact(Metadata!L228,"Animal surface"),exact(Metadata!L228,"Animal proximal gut"),exact(Metadata!L228,"Animal corpus"),exact(Metadata!L228,"Animal distal gut"),exact(Metadata!L228,"Animal secretion"),exact(Metadata!L228,"Sub-surface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Y228">
        <f>IF(Metadata!M228="",FALSE,TRUE)</f>
        <v>0</v>
      </c>
      <c r="AZ228">
        <f>IF(Metadata!N228="",FALSE,TRUE)</f>
        <v>0</v>
      </c>
      <c r="BA228">
        <f>IF(Metadata!O228="",FALSE,TRUE)</f>
        <v>0</v>
      </c>
      <c r="BB228">
        <f>OR(AND(IF(Metadata!P228="",FALSE,TRUE),OR(exact(Metadata!P228,"not collected"),exact(Metadata!P228,"not provided"),exact(Metadata!P228,"restricted access"))),AND(IF(Metadata!P228="",FALSE,TRUE),OR(exact(Metadata!P228,"air"),exact(Metadata!P228,"built environment"),exact(Metadata!P228,"host-associated"),exact(Metadata!P228,"human-associated"),exact(Metadata!P228,"human-skin"),exact(Metadata!P228,"human-oral"),exact(Metadata!P228,"human-gut"),exact(Metadata!P228,"human-vaginal"),exact(Metadata!P228,"microbial mat/biofilm"),exact(Metadata!P228,"misc environment"),exact(Metadata!P228,"plant-associated"),exact(Metadata!P228,"sediment"),exact(Metadata!P228,"soil"),exact(Metadata!P228,"wastewater/sludge"),exact(Metadata!P228,"water"))))</f>
        <v>0</v>
      </c>
      <c r="BC228">
        <f>IF(Metadata!Q228="",FALSE,TRUE)</f>
        <v>0</v>
      </c>
      <c r="BD228">
        <f>IF(Metadata!R228="",FALSE,TRUE)</f>
        <v>0</v>
      </c>
      <c r="BE228">
        <f>OR(AND(IF(Metadata!S228="",FALSE,TRUE),OR(exact(Metadata!S228,"not collected"),exact(Metadata!S228,"not provided"),exact(Metadata!S228,"restricted access"))),AND(IF(Metadata!S228="",FALSE,ISNUMBER(VALUE(Metadata!S228))),Metadata!S228&gt;=-90.00,Metadata!S228&lt;=90.00))</f>
        <v>0</v>
      </c>
      <c r="BF228">
        <f>AND(IF(Metadata!T228="",FALSE,TRUE),exact(Metadata!T228,"Decimal degrees"))</f>
        <v>0</v>
      </c>
      <c r="BG228">
        <f>OR(AND(IF(Metadata!U228="",FALSE,TRUE),OR(exact(Metadata!U228,"not collected"),exact(Metadata!U228,"not provided"),exact(Metadata!U228,"restricted access"))),AND(IF(Metadata!U228="",FALSE,ISNUMBER(VALUE(Metadata!U228))),Metadata!U228&gt;=-180.00,Metadata!U228&lt;=180.00))</f>
        <v>0</v>
      </c>
      <c r="BH228">
        <f>AND(IF(Metadata!V228="",FALSE,TRUE),exact(Metadata!V228,"Decimal degrees"))</f>
        <v>0</v>
      </c>
      <c r="BI228">
        <f>IF(Metadata!W228="",FALSE,TRUE)</f>
        <v>0</v>
      </c>
      <c r="BJ228">
        <f>OR(AND(IF(Metadata!X228="",FALSE,TRUE),OR(exact(Metadata!X228,"not collected"),exact(Metadata!X228,"not provided"),exact(Metadata!X228,"restricted access"))),AND(IF(Metadata!X228="",FALSE,TRUE),OR(exact(Metadata!X228,"TRUE"),exact(Metadata!X228,"FALSE"))))</f>
        <v>0</v>
      </c>
      <c r="BK228">
        <f>AND(IF(Metadata!Y228="",FALSE,TRUE),exact(Metadata!Y228,"other"))</f>
        <v>0</v>
      </c>
      <c r="BL228">
        <f>IF(Metadata!Z228="",FALSE,TRUE)</f>
        <v>0</v>
      </c>
      <c r="BM228">
        <f>OR(AND(IF(Metadata!AA228="",FALSE,TRUE),OR(exact(Metadata!AA228,"not collected"),exact(Metadata!AA228,"not provided"))),AND(IF(Metadata!AA228="",FALSE,IF(ISERROR(INT(Metadata!AA228)),FALSE,INT(Metadata!AA228)=Metadata!AA228)),Metadata!AA228&gt;0))</f>
        <v>0</v>
      </c>
      <c r="BN228">
        <f>AND(IF(Metadata!AB228="",FALSE,TRUE),exact(Metadata!AB228,"Not applicable"))</f>
        <v>0</v>
      </c>
      <c r="BO228">
        <f>IF(Metadata!AC228="",FALSE,TRUE)</f>
        <v>0</v>
      </c>
    </row>
    <row r="229" spans="1:67">
      <c r="A229" s="5">
        <f>IF(B229=" "," ",HYPERLINK(CONCATENATE("#metadata!",ADDRESS(INDEX($AI$2:$AI$1001,MATCH(ROWS($AG$2:AG229),$AG$2:$AG$1001,0),0),1)),INDEX($AL$2:$AL$1001,MATCH(ROWS($AG$2:AG229),$AG$2:$AG$1001,0),0)))</f>
        <v>0</v>
      </c>
      <c r="B229" s="4">
        <f>IF(OR(INDEX($AH$2:$AH$1001,MATCH(ROWS($AG$2:AG229),$AG$2:$AG$1001,0),1)&gt;=100000,INDEX($AN$1005:$BO$1005,1,MATCH(COLUMNS($AN$1006:AN1006),$AN$1006:$BO$1006,0))&gt;=100000), " ",IF(INDEX($AN$2:$BO$1001,MATCH(ROWS($AG$2:AG229),$AG$2:$AG$1001,0),MATCH(COLUMNS($AN$1006:AN1006),$AN$1006:$BO$1006,0)), HYPERLINK("#",""), HYPERLINK(CONCATENATE("#Metadata!", ADDRESS(INDEX($AI$2:$AI$1001,MATCH(ROWS($AG$2:AG229),$AG$2:$AG$1001,0),0), INDEX($AN$1004:$BO$1004,1,MATCH(COLUMNS($AN$1006:AN1006),$AN$1006:$BO$1006,0)))),"Fix")))</f>
        <v>0</v>
      </c>
      <c r="C229" s="4">
        <f>IF(OR(INDEX($AH$2:$AH$1001,MATCH(ROWS($AG$2:AG229),$AG$2:$AG$1001,0),1)&gt;=100000,INDEX($AN$1005:$BO$1005,1,MATCH(COLUMNS($AN$1006:AO1006),$AN$1006:$BO$1006,0))&gt;=100000), " ",IF(INDEX($AN$2:$BO$1001,MATCH(ROWS($AG$2:AG229),$AG$2:$AG$1001,0),MATCH(COLUMNS($AN$1006:AO1006),$AN$1006:$BO$1006,0)), HYPERLINK("#",""), HYPERLINK(CONCATENATE("#Metadata!", ADDRESS(INDEX($AI$2:$AI$1001,MATCH(ROWS($AG$2:AG229),$AG$2:$AG$1001,0),0), INDEX($AN$1004:$BO$1004,1,MATCH(COLUMNS($AN$1006:AO1006),$AN$1006:$BO$1006,0)))),"Fix")))</f>
        <v>0</v>
      </c>
      <c r="D229" s="4">
        <f>IF(OR(INDEX($AH$2:$AH$1001,MATCH(ROWS($AG$2:AG229),$AG$2:$AG$1001,0),1)&gt;=100000,INDEX($AN$1005:$BO$1005,1,MATCH(COLUMNS($AN$1006:AP1006),$AN$1006:$BO$1006,0))&gt;=100000), " ",IF(INDEX($AN$2:$BO$1001,MATCH(ROWS($AG$2:AG229),$AG$2:$AG$1001,0),MATCH(COLUMNS($AN$1006:AP1006),$AN$1006:$BO$1006,0)), HYPERLINK("#",""), HYPERLINK(CONCATENATE("#Metadata!", ADDRESS(INDEX($AI$2:$AI$1001,MATCH(ROWS($AG$2:AG229),$AG$2:$AG$1001,0),0), INDEX($AN$1004:$BO$1004,1,MATCH(COLUMNS($AN$1006:AP1006),$AN$1006:$BO$1006,0)))),"Fix")))</f>
        <v>0</v>
      </c>
      <c r="E229" s="4">
        <f>IF(OR(INDEX($AH$2:$AH$1001,MATCH(ROWS($AG$2:AG229),$AG$2:$AG$1001,0),1)&gt;=100000,INDEX($AN$1005:$BO$1005,1,MATCH(COLUMNS($AN$1006:AQ1006),$AN$1006:$BO$1006,0))&gt;=100000), " ",IF(INDEX($AN$2:$BO$1001,MATCH(ROWS($AG$2:AG229),$AG$2:$AG$1001,0),MATCH(COLUMNS($AN$1006:AQ1006),$AN$1006:$BO$1006,0)), HYPERLINK("#",""), HYPERLINK(CONCATENATE("#Metadata!", ADDRESS(INDEX($AI$2:$AI$1001,MATCH(ROWS($AG$2:AG229),$AG$2:$AG$1001,0),0), INDEX($AN$1004:$BO$1004,1,MATCH(COLUMNS($AN$1006:AQ1006),$AN$1006:$BO$1006,0)))),"Fix")))</f>
        <v>0</v>
      </c>
      <c r="F229" s="4">
        <f>IF(OR(INDEX($AH$2:$AH$1001,MATCH(ROWS($AG$2:AG229),$AG$2:$AG$1001,0),1)&gt;=100000,INDEX($AN$1005:$BO$1005,1,MATCH(COLUMNS($AN$1006:AR1006),$AN$1006:$BO$1006,0))&gt;=100000), " ",IF(INDEX($AN$2:$BO$1001,MATCH(ROWS($AG$2:AG229),$AG$2:$AG$1001,0),MATCH(COLUMNS($AN$1006:AR1006),$AN$1006:$BO$1006,0)), HYPERLINK("#",""), HYPERLINK(CONCATENATE("#Metadata!", ADDRESS(INDEX($AI$2:$AI$1001,MATCH(ROWS($AG$2:AG229),$AG$2:$AG$1001,0),0), INDEX($AN$1004:$BO$1004,1,MATCH(COLUMNS($AN$1006:AR1006),$AN$1006:$BO$1006,0)))),"Fix")))</f>
        <v>0</v>
      </c>
      <c r="G229" s="4">
        <f>IF(OR(INDEX($AH$2:$AH$1001,MATCH(ROWS($AG$2:AG229),$AG$2:$AG$1001,0),1)&gt;=100000,INDEX($AN$1005:$BO$1005,1,MATCH(COLUMNS($AN$1006:AS1006),$AN$1006:$BO$1006,0))&gt;=100000), " ",IF(INDEX($AN$2:$BO$1001,MATCH(ROWS($AG$2:AG229),$AG$2:$AG$1001,0),MATCH(COLUMNS($AN$1006:AS1006),$AN$1006:$BO$1006,0)), HYPERLINK("#",""), HYPERLINK(CONCATENATE("#Metadata!", ADDRESS(INDEX($AI$2:$AI$1001,MATCH(ROWS($AG$2:AG229),$AG$2:$AG$1001,0),0), INDEX($AN$1004:$BO$1004,1,MATCH(COLUMNS($AN$1006:AS1006),$AN$1006:$BO$1006,0)))),"Fix")))</f>
        <v>0</v>
      </c>
      <c r="H229" s="4">
        <f>IF(OR(INDEX($AH$2:$AH$1001,MATCH(ROWS($AG$2:AG229),$AG$2:$AG$1001,0),1)&gt;=100000,INDEX($AN$1005:$BO$1005,1,MATCH(COLUMNS($AN$1006:AT1006),$AN$1006:$BO$1006,0))&gt;=100000), " ",IF(INDEX($AN$2:$BO$1001,MATCH(ROWS($AG$2:AG229),$AG$2:$AG$1001,0),MATCH(COLUMNS($AN$1006:AT1006),$AN$1006:$BO$1006,0)), HYPERLINK("#",""), HYPERLINK(CONCATENATE("#Metadata!", ADDRESS(INDEX($AI$2:$AI$1001,MATCH(ROWS($AG$2:AG229),$AG$2:$AG$1001,0),0), INDEX($AN$1004:$BO$1004,1,MATCH(COLUMNS($AN$1006:AT1006),$AN$1006:$BO$1006,0)))),"Fix")))</f>
        <v>0</v>
      </c>
      <c r="I229" s="4">
        <f>IF(OR(INDEX($AH$2:$AH$1001,MATCH(ROWS($AG$2:AG229),$AG$2:$AG$1001,0),1)&gt;=100000,INDEX($AN$1005:$BO$1005,1,MATCH(COLUMNS($AN$1006:AU1006),$AN$1006:$BO$1006,0))&gt;=100000), " ",IF(INDEX($AN$2:$BO$1001,MATCH(ROWS($AG$2:AG229),$AG$2:$AG$1001,0),MATCH(COLUMNS($AN$1006:AU1006),$AN$1006:$BO$1006,0)), HYPERLINK("#",""), HYPERLINK(CONCATENATE("#Metadata!", ADDRESS(INDEX($AI$2:$AI$1001,MATCH(ROWS($AG$2:AG229),$AG$2:$AG$1001,0),0), INDEX($AN$1004:$BO$1004,1,MATCH(COLUMNS($AN$1006:AU1006),$AN$1006:$BO$1006,0)))),"Fix")))</f>
        <v>0</v>
      </c>
      <c r="J229" s="4">
        <f>IF(OR(INDEX($AH$2:$AH$1001,MATCH(ROWS($AG$2:AG229),$AG$2:$AG$1001,0),1)&gt;=100000,INDEX($AN$1005:$BO$1005,1,MATCH(COLUMNS($AN$1006:AV1006),$AN$1006:$BO$1006,0))&gt;=100000), " ",IF(INDEX($AN$2:$BO$1001,MATCH(ROWS($AG$2:AG229),$AG$2:$AG$1001,0),MATCH(COLUMNS($AN$1006:AV1006),$AN$1006:$BO$1006,0)), HYPERLINK("#",""), HYPERLINK(CONCATENATE("#Metadata!", ADDRESS(INDEX($AI$2:$AI$1001,MATCH(ROWS($AG$2:AG229),$AG$2:$AG$1001,0),0), INDEX($AN$1004:$BO$1004,1,MATCH(COLUMNS($AN$1006:AV1006),$AN$1006:$BO$1006,0)))),"Fix")))</f>
        <v>0</v>
      </c>
      <c r="K229" s="4">
        <f>IF(OR(INDEX($AH$2:$AH$1001,MATCH(ROWS($AG$2:AG229),$AG$2:$AG$1001,0),1)&gt;=100000,INDEX($AN$1005:$BO$1005,1,MATCH(COLUMNS($AN$1006:AW1006),$AN$1006:$BO$1006,0))&gt;=100000), " ",IF(INDEX($AN$2:$BO$1001,MATCH(ROWS($AG$2:AG229),$AG$2:$AG$1001,0),MATCH(COLUMNS($AN$1006:AW1006),$AN$1006:$BO$1006,0)), HYPERLINK("#",""), HYPERLINK(CONCATENATE("#Metadata!", ADDRESS(INDEX($AI$2:$AI$1001,MATCH(ROWS($AG$2:AG229),$AG$2:$AG$1001,0),0), INDEX($AN$1004:$BO$1004,1,MATCH(COLUMNS($AN$1006:AW1006),$AN$1006:$BO$1006,0)))),"Fix")))</f>
        <v>0</v>
      </c>
      <c r="L229" s="4">
        <f>IF(OR(INDEX($AH$2:$AH$1001,MATCH(ROWS($AG$2:AG229),$AG$2:$AG$1001,0),1)&gt;=100000,INDEX($AN$1005:$BO$1005,1,MATCH(COLUMNS($AN$1006:AX1006),$AN$1006:$BO$1006,0))&gt;=100000), " ",IF(INDEX($AN$2:$BO$1001,MATCH(ROWS($AG$2:AG229),$AG$2:$AG$1001,0),MATCH(COLUMNS($AN$1006:AX1006),$AN$1006:$BO$1006,0)), HYPERLINK("#",""), HYPERLINK(CONCATENATE("#Metadata!", ADDRESS(INDEX($AI$2:$AI$1001,MATCH(ROWS($AG$2:AG229),$AG$2:$AG$1001,0),0), INDEX($AN$1004:$BO$1004,1,MATCH(COLUMNS($AN$1006:AX1006),$AN$1006:$BO$1006,0)))),"Fix")))</f>
        <v>0</v>
      </c>
      <c r="M229" s="4">
        <f>IF(OR(INDEX($AH$2:$AH$1001,MATCH(ROWS($AG$2:AG229),$AG$2:$AG$1001,0),1)&gt;=100000,INDEX($AN$1005:$BO$1005,1,MATCH(COLUMNS($AN$1006:AY1006),$AN$1006:$BO$1006,0))&gt;=100000), " ",IF(INDEX($AN$2:$BO$1001,MATCH(ROWS($AG$2:AG229),$AG$2:$AG$1001,0),MATCH(COLUMNS($AN$1006:AY1006),$AN$1006:$BO$1006,0)), HYPERLINK("#",""), HYPERLINK(CONCATENATE("#Metadata!", ADDRESS(INDEX($AI$2:$AI$1001,MATCH(ROWS($AG$2:AG229),$AG$2:$AG$1001,0),0), INDEX($AN$1004:$BO$1004,1,MATCH(COLUMNS($AN$1006:AY1006),$AN$1006:$BO$1006,0)))),"Fix")))</f>
        <v>0</v>
      </c>
      <c r="N229" s="4">
        <f>IF(OR(INDEX($AH$2:$AH$1001,MATCH(ROWS($AG$2:AG229),$AG$2:$AG$1001,0),1)&gt;=100000,INDEX($AN$1005:$BO$1005,1,MATCH(COLUMNS($AN$1006:AZ1006),$AN$1006:$BO$1006,0))&gt;=100000), " ",IF(INDEX($AN$2:$BO$1001,MATCH(ROWS($AG$2:AG229),$AG$2:$AG$1001,0),MATCH(COLUMNS($AN$1006:AZ1006),$AN$1006:$BO$1006,0)), HYPERLINK("#",""), HYPERLINK(CONCATENATE("#Metadata!", ADDRESS(INDEX($AI$2:$AI$1001,MATCH(ROWS($AG$2:AG229),$AG$2:$AG$1001,0),0), INDEX($AN$1004:$BO$1004,1,MATCH(COLUMNS($AN$1006:AZ1006),$AN$1006:$BO$1006,0)))),"Fix")))</f>
        <v>0</v>
      </c>
      <c r="O229" s="4">
        <f>IF(OR(INDEX($AH$2:$AH$1001,MATCH(ROWS($AG$2:AG229),$AG$2:$AG$1001,0),1)&gt;=100000,INDEX($AN$1005:$BO$1005,1,MATCH(COLUMNS($AN$1006:BA1006),$AN$1006:$BO$1006,0))&gt;=100000), " ",IF(INDEX($AN$2:$BO$1001,MATCH(ROWS($AG$2:AG229),$AG$2:$AG$1001,0),MATCH(COLUMNS($AN$1006:BA1006),$AN$1006:$BO$1006,0)), HYPERLINK("#",""), HYPERLINK(CONCATENATE("#Metadata!", ADDRESS(INDEX($AI$2:$AI$1001,MATCH(ROWS($AG$2:AG229),$AG$2:$AG$1001,0),0), INDEX($AN$1004:$BO$1004,1,MATCH(COLUMNS($AN$1006:BA1006),$AN$1006:$BO$1006,0)))),"Fix")))</f>
        <v>0</v>
      </c>
      <c r="P229" s="4">
        <f>IF(OR(INDEX($AH$2:$AH$1001,MATCH(ROWS($AG$2:AG229),$AG$2:$AG$1001,0),1)&gt;=100000,INDEX($AN$1005:$BO$1005,1,MATCH(COLUMNS($AN$1006:BB1006),$AN$1006:$BO$1006,0))&gt;=100000), " ",IF(INDEX($AN$2:$BO$1001,MATCH(ROWS($AG$2:AG229),$AG$2:$AG$1001,0),MATCH(COLUMNS($AN$1006:BB1006),$AN$1006:$BO$1006,0)), HYPERLINK("#",""), HYPERLINK(CONCATENATE("#Metadata!", ADDRESS(INDEX($AI$2:$AI$1001,MATCH(ROWS($AG$2:AG229),$AG$2:$AG$1001,0),0), INDEX($AN$1004:$BO$1004,1,MATCH(COLUMNS($AN$1006:BB1006),$AN$1006:$BO$1006,0)))),"Fix")))</f>
        <v>0</v>
      </c>
      <c r="Q229" s="4">
        <f>IF(OR(INDEX($AH$2:$AH$1001,MATCH(ROWS($AG$2:AG229),$AG$2:$AG$1001,0),1)&gt;=100000,INDEX($AN$1005:$BO$1005,1,MATCH(COLUMNS($AN$1006:BC1006),$AN$1006:$BO$1006,0))&gt;=100000), " ",IF(INDEX($AN$2:$BO$1001,MATCH(ROWS($AG$2:AG229),$AG$2:$AG$1001,0),MATCH(COLUMNS($AN$1006:BC1006),$AN$1006:$BO$1006,0)), HYPERLINK("#",""), HYPERLINK(CONCATENATE("#Metadata!", ADDRESS(INDEX($AI$2:$AI$1001,MATCH(ROWS($AG$2:AG229),$AG$2:$AG$1001,0),0), INDEX($AN$1004:$BO$1004,1,MATCH(COLUMNS($AN$1006:BC1006),$AN$1006:$BO$1006,0)))),"Fix")))</f>
        <v>0</v>
      </c>
      <c r="R229" s="4">
        <f>IF(OR(INDEX($AH$2:$AH$1001,MATCH(ROWS($AG$2:AG229),$AG$2:$AG$1001,0),1)&gt;=100000,INDEX($AN$1005:$BO$1005,1,MATCH(COLUMNS($AN$1006:BD1006),$AN$1006:$BO$1006,0))&gt;=100000), " ",IF(INDEX($AN$2:$BO$1001,MATCH(ROWS($AG$2:AG229),$AG$2:$AG$1001,0),MATCH(COLUMNS($AN$1006:BD1006),$AN$1006:$BO$1006,0)), HYPERLINK("#",""), HYPERLINK(CONCATENATE("#Metadata!", ADDRESS(INDEX($AI$2:$AI$1001,MATCH(ROWS($AG$2:AG229),$AG$2:$AG$1001,0),0), INDEX($AN$1004:$BO$1004,1,MATCH(COLUMNS($AN$1006:BD1006),$AN$1006:$BO$1006,0)))),"Fix")))</f>
        <v>0</v>
      </c>
      <c r="S229" s="4">
        <f>IF(OR(INDEX($AH$2:$AH$1001,MATCH(ROWS($AG$2:AG229),$AG$2:$AG$1001,0),1)&gt;=100000,INDEX($AN$1005:$BO$1005,1,MATCH(COLUMNS($AN$1006:BE1006),$AN$1006:$BO$1006,0))&gt;=100000), " ",IF(INDEX($AN$2:$BO$1001,MATCH(ROWS($AG$2:AG229),$AG$2:$AG$1001,0),MATCH(COLUMNS($AN$1006:BE1006),$AN$1006:$BO$1006,0)), HYPERLINK("#",""), HYPERLINK(CONCATENATE("#Metadata!", ADDRESS(INDEX($AI$2:$AI$1001,MATCH(ROWS($AG$2:AG229),$AG$2:$AG$1001,0),0), INDEX($AN$1004:$BO$1004,1,MATCH(COLUMNS($AN$1006:BE1006),$AN$1006:$BO$1006,0)))),"Fix")))</f>
        <v>0</v>
      </c>
      <c r="T229" s="4">
        <f>IF(OR(INDEX($AH$2:$AH$1001,MATCH(ROWS($AG$2:AG229),$AG$2:$AG$1001,0),1)&gt;=100000,INDEX($AN$1005:$BO$1005,1,MATCH(COLUMNS($AN$1006:BF1006),$AN$1006:$BO$1006,0))&gt;=100000), " ",IF(INDEX($AN$2:$BO$1001,MATCH(ROWS($AG$2:AG229),$AG$2:$AG$1001,0),MATCH(COLUMNS($AN$1006:BF1006),$AN$1006:$BO$1006,0)), HYPERLINK("#",""), HYPERLINK(CONCATENATE("#Metadata!", ADDRESS(INDEX($AI$2:$AI$1001,MATCH(ROWS($AG$2:AG229),$AG$2:$AG$1001,0),0), INDEX($AN$1004:$BO$1004,1,MATCH(COLUMNS($AN$1006:BF1006),$AN$1006:$BO$1006,0)))),"Fix")))</f>
        <v>0</v>
      </c>
      <c r="U229" s="4">
        <f>IF(OR(INDEX($AH$2:$AH$1001,MATCH(ROWS($AG$2:AG229),$AG$2:$AG$1001,0),1)&gt;=100000,INDEX($AN$1005:$BO$1005,1,MATCH(COLUMNS($AN$1006:BG1006),$AN$1006:$BO$1006,0))&gt;=100000), " ",IF(INDEX($AN$2:$BO$1001,MATCH(ROWS($AG$2:AG229),$AG$2:$AG$1001,0),MATCH(COLUMNS($AN$1006:BG1006),$AN$1006:$BO$1006,0)), HYPERLINK("#",""), HYPERLINK(CONCATENATE("#Metadata!", ADDRESS(INDEX($AI$2:$AI$1001,MATCH(ROWS($AG$2:AG229),$AG$2:$AG$1001,0),0), INDEX($AN$1004:$BO$1004,1,MATCH(COLUMNS($AN$1006:BG1006),$AN$1006:$BO$1006,0)))),"Fix")))</f>
        <v>0</v>
      </c>
      <c r="V229" s="4">
        <f>IF(OR(INDEX($AH$2:$AH$1001,MATCH(ROWS($AG$2:AG229),$AG$2:$AG$1001,0),1)&gt;=100000,INDEX($AN$1005:$BO$1005,1,MATCH(COLUMNS($AN$1006:BH1006),$AN$1006:$BO$1006,0))&gt;=100000), " ",IF(INDEX($AN$2:$BO$1001,MATCH(ROWS($AG$2:AG229),$AG$2:$AG$1001,0),MATCH(COLUMNS($AN$1006:BH1006),$AN$1006:$BO$1006,0)), HYPERLINK("#",""), HYPERLINK(CONCATENATE("#Metadata!", ADDRESS(INDEX($AI$2:$AI$1001,MATCH(ROWS($AG$2:AG229),$AG$2:$AG$1001,0),0), INDEX($AN$1004:$BO$1004,1,MATCH(COLUMNS($AN$1006:BH1006),$AN$1006:$BO$1006,0)))),"Fix")))</f>
        <v>0</v>
      </c>
      <c r="W229" s="4">
        <f>IF(OR(INDEX($AH$2:$AH$1001,MATCH(ROWS($AG$2:AG229),$AG$2:$AG$1001,0),1)&gt;=100000,INDEX($AN$1005:$BO$1005,1,MATCH(COLUMNS($AN$1006:BI1006),$AN$1006:$BO$1006,0))&gt;=100000), " ",IF(INDEX($AN$2:$BO$1001,MATCH(ROWS($AG$2:AG229),$AG$2:$AG$1001,0),MATCH(COLUMNS($AN$1006:BI1006),$AN$1006:$BO$1006,0)), HYPERLINK("#",""), HYPERLINK(CONCATENATE("#Metadata!", ADDRESS(INDEX($AI$2:$AI$1001,MATCH(ROWS($AG$2:AG229),$AG$2:$AG$1001,0),0), INDEX($AN$1004:$BO$1004,1,MATCH(COLUMNS($AN$1006:BI1006),$AN$1006:$BO$1006,0)))),"Fix")))</f>
        <v>0</v>
      </c>
      <c r="X229" s="4">
        <f>IF(OR(INDEX($AH$2:$AH$1001,MATCH(ROWS($AG$2:AG229),$AG$2:$AG$1001,0),1)&gt;=100000,INDEX($AN$1005:$BO$1005,1,MATCH(COLUMNS($AN$1006:BJ1006),$AN$1006:$BO$1006,0))&gt;=100000), " ",IF(INDEX($AN$2:$BO$1001,MATCH(ROWS($AG$2:AG229),$AG$2:$AG$1001,0),MATCH(COLUMNS($AN$1006:BJ1006),$AN$1006:$BO$1006,0)), HYPERLINK("#",""), HYPERLINK(CONCATENATE("#Metadata!", ADDRESS(INDEX($AI$2:$AI$1001,MATCH(ROWS($AG$2:AG229),$AG$2:$AG$1001,0),0), INDEX($AN$1004:$BO$1004,1,MATCH(COLUMNS($AN$1006:BJ1006),$AN$1006:$BO$1006,0)))),"Fix")))</f>
        <v>0</v>
      </c>
      <c r="Y229" s="4">
        <f>IF(OR(INDEX($AH$2:$AH$1001,MATCH(ROWS($AG$2:AG229),$AG$2:$AG$1001,0),1)&gt;=100000,INDEX($AN$1005:$BO$1005,1,MATCH(COLUMNS($AN$1006:BK1006),$AN$1006:$BO$1006,0))&gt;=100000), " ",IF(INDEX($AN$2:$BO$1001,MATCH(ROWS($AG$2:AG229),$AG$2:$AG$1001,0),MATCH(COLUMNS($AN$1006:BK1006),$AN$1006:$BO$1006,0)), HYPERLINK("#",""), HYPERLINK(CONCATENATE("#Metadata!", ADDRESS(INDEX($AI$2:$AI$1001,MATCH(ROWS($AG$2:AG229),$AG$2:$AG$1001,0),0), INDEX($AN$1004:$BO$1004,1,MATCH(COLUMNS($AN$1006:BK1006),$AN$1006:$BO$1006,0)))),"Fix")))</f>
        <v>0</v>
      </c>
      <c r="Z229" s="4">
        <f>IF(OR(INDEX($AH$2:$AH$1001,MATCH(ROWS($AG$2:AG229),$AG$2:$AG$1001,0),1)&gt;=100000,INDEX($AN$1005:$BO$1005,1,MATCH(COLUMNS($AN$1006:BL1006),$AN$1006:$BO$1006,0))&gt;=100000), " ",IF(INDEX($AN$2:$BO$1001,MATCH(ROWS($AG$2:AG229),$AG$2:$AG$1001,0),MATCH(COLUMNS($AN$1006:BL1006),$AN$1006:$BO$1006,0)), HYPERLINK("#",""), HYPERLINK(CONCATENATE("#Metadata!", ADDRESS(INDEX($AI$2:$AI$1001,MATCH(ROWS($AG$2:AG229),$AG$2:$AG$1001,0),0), INDEX($AN$1004:$BO$1004,1,MATCH(COLUMNS($AN$1006:BL1006),$AN$1006:$BO$1006,0)))),"Fix")))</f>
        <v>0</v>
      </c>
      <c r="AA229" s="4">
        <f>IF(OR(INDEX($AH$2:$AH$1001,MATCH(ROWS($AG$2:AG229),$AG$2:$AG$1001,0),1)&gt;=100000,INDEX($AN$1005:$BO$1005,1,MATCH(COLUMNS($AN$1006:BM1006),$AN$1006:$BO$1006,0))&gt;=100000), " ",IF(INDEX($AN$2:$BO$1001,MATCH(ROWS($AG$2:AG229),$AG$2:$AG$1001,0),MATCH(COLUMNS($AN$1006:BM1006),$AN$1006:$BO$1006,0)), HYPERLINK("#",""), HYPERLINK(CONCATENATE("#Metadata!", ADDRESS(INDEX($AI$2:$AI$1001,MATCH(ROWS($AG$2:AG229),$AG$2:$AG$1001,0),0), INDEX($AN$1004:$BO$1004,1,MATCH(COLUMNS($AN$1006:BM1006),$AN$1006:$BO$1006,0)))),"Fix")))</f>
        <v>0</v>
      </c>
      <c r="AB229" s="4">
        <f>IF(OR(INDEX($AH$2:$AH$1001,MATCH(ROWS($AG$2:AG229),$AG$2:$AG$1001,0),1)&gt;=100000,INDEX($AN$1005:$BO$1005,1,MATCH(COLUMNS($AN$1006:BN1006),$AN$1006:$BO$1006,0))&gt;=100000), " ",IF(INDEX($AN$2:$BO$1001,MATCH(ROWS($AG$2:AG229),$AG$2:$AG$1001,0),MATCH(COLUMNS($AN$1006:BN1006),$AN$1006:$BO$1006,0)), HYPERLINK("#",""), HYPERLINK(CONCATENATE("#Metadata!", ADDRESS(INDEX($AI$2:$AI$1001,MATCH(ROWS($AG$2:AG229),$AG$2:$AG$1001,0),0), INDEX($AN$1004:$BO$1004,1,MATCH(COLUMNS($AN$1006:BN1006),$AN$1006:$BO$1006,0)))),"Fix")))</f>
        <v>0</v>
      </c>
      <c r="AC229" s="4">
        <f>IF(OR(INDEX($AH$2:$AH$1001,MATCH(ROWS($AG$2:AG229),$AG$2:$AG$1001,0),1)&gt;=100000,INDEX($AN$1005:$BO$1005,1,MATCH(COLUMNS($AN$1006:BO1006),$AN$1006:$BO$1006,0))&gt;=100000), " ",IF(INDEX($AN$2:$BO$1001,MATCH(ROWS($AG$2:AG229),$AG$2:$AG$1001,0),MATCH(COLUMNS($AN$1006:BO1006),$AN$1006:$BO$1006,0)), HYPERLINK("#",""), HYPERLINK(CONCATENATE("#Metadata!", ADDRESS(INDEX($AI$2:$AI$1001,MATCH(ROWS($AG$2:AG229),$AG$2:$AG$1001,0),0), INDEX($AN$1004:$BO$1004,1,MATCH(COLUMNS($AN$1006:BO1006),$AN$1006:$BO$1006,0)))),"Fix")))</f>
        <v>0</v>
      </c>
      <c r="AG229">
        <v>0</v>
      </c>
      <c r="AH229">
        <v>0</v>
      </c>
      <c r="AI229">
        <v>0</v>
      </c>
      <c r="AJ229">
        <f>IF(AK229,TRUE,AND(AN229:BO229))</f>
        <v>0</v>
      </c>
      <c r="AK229">
        <f>COUNTBLANK(Metadata!B229:AC229)=COLUMNS(Metadata!B229:AC229)</f>
        <v>0</v>
      </c>
      <c r="AL229">
        <v>0</v>
      </c>
      <c r="AN229">
        <f>AND(IF(Metadata!B229="",FALSE,TRUE),COUNTIF(Metadata!B:B, Metadata!B229) = 1,NOT(ISERROR(SUMPRODUCT(SEARCH(MID(Metadata!B229,ROW(INDIRECT("1:"&amp;LEN(Metadata!B229))), 1),"0123456789abcdefghijklmnopqrstuvwxyzABCDEFGHIJKLMNOPQRSTUVWXYZ.")))))</f>
        <v>0</v>
      </c>
      <c r="AO229">
        <f>IF(Metadata!C229="",FALSE,TRUE)</f>
        <v>0</v>
      </c>
      <c r="AP229">
        <f>IF(Metadata!D229="",FALSE,TRUE)</f>
        <v>0</v>
      </c>
      <c r="AQ229">
        <f>OR(AND(IF(Metadata!E229="",FALSE,TRUE),OR(exact(Metadata!E229,"not collected"),exact(Metadata!E229,"not provided"),exact(Metadata!E229,"restricted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R229">
        <f>IF(Metadata!F229="",FALSE,TRUE)</f>
        <v>0</v>
      </c>
      <c r="AS229">
        <f>OR(AND(IF(Metadata!G229="",FALSE,TRUE),OR(exact(Metadata!G229,"not collected"),exact(Metadata!G229,"not provided"))),AND(IF(Metadata!G229="",FALSE,TRUE),OR(exact(Metadata!G229,"TRUE"),exact(Metadata!G229,"FALSE"))))</f>
        <v>0</v>
      </c>
      <c r="AT229">
        <f>OR(AND(IF(Metadata!H229="",FALSE,TRUE),OR(exact(Metadata!H229,"not collected"),exact(Metadata!H229,"not provided"),exact(Metadata!H229,"restricted access"))),AND(IF(Metadata!H229="",FALSE,ISNUMBER(VALUE(Metadata!H229))),Metadata!H229&gt;=-413.0))</f>
        <v>0</v>
      </c>
      <c r="AU229">
        <f>AND(IF(Metadata!I229="",FALSE,TRUE),exact(Metadata!I229,"meters"))</f>
        <v>0</v>
      </c>
      <c r="AV229">
        <f>AND(IF(Metadata!J229="",FALSE,TRUE),OR(exact(Metadata!J229,"Host-associated"),exact(Metadata!J229,"Free-living")))</f>
        <v>0</v>
      </c>
      <c r="AW229">
        <f>AND(IF(Metadata!K229="",FALSE,TRUE),OR(exact(Metadata!K229,"Animal"),exact(Metadata!K229,"Fungus"),exact(Metadata!K229,"Plant"),exact(Metadata!K229,"Saline"),exact(Metadata!K229,"Non-saline")))</f>
        <v>0</v>
      </c>
      <c r="AX229">
        <f>AND(IF(Metadata!L229="",FALSE,TRUE),OR(exact(Metadata!L229,"Plant secretion"),exact(Metadata!L229,"Plant rhizosphere"),exact(Metadata!L229,"Plant surface"),exact(Metadata!L229,"Plant corpus"),exact(Metadata!L229,"Fungus surface"),exact(Metadata!L229,"Fungus corpus"),exact(Metadata!L229,"Animal surface"),exact(Metadata!L229,"Animal proximal gut"),exact(Metadata!L229,"Animal corpus"),exact(Metadata!L229,"Animal distal gut"),exact(Metadata!L229,"Animal secretion"),exact(Metadata!L229,"Sub-surface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Y229">
        <f>IF(Metadata!M229="",FALSE,TRUE)</f>
        <v>0</v>
      </c>
      <c r="AZ229">
        <f>IF(Metadata!N229="",FALSE,TRUE)</f>
        <v>0</v>
      </c>
      <c r="BA229">
        <f>IF(Metadata!O229="",FALSE,TRUE)</f>
        <v>0</v>
      </c>
      <c r="BB229">
        <f>OR(AND(IF(Metadata!P229="",FALSE,TRUE),OR(exact(Metadata!P229,"not collected"),exact(Metadata!P229,"not provided"),exact(Metadata!P229,"restricted access"))),AND(IF(Metadata!P229="",FALSE,TRUE),OR(exact(Metadata!P229,"air"),exact(Metadata!P229,"built environment"),exact(Metadata!P229,"host-associated"),exact(Metadata!P229,"human-associated"),exact(Metadata!P229,"human-skin"),exact(Metadata!P229,"human-oral"),exact(Metadata!P229,"human-gut"),exact(Metadata!P229,"human-vaginal"),exact(Metadata!P229,"microbial mat/biofilm"),exact(Metadata!P229,"misc environment"),exact(Metadata!P229,"plant-associated"),exact(Metadata!P229,"sediment"),exact(Metadata!P229,"soil"),exact(Metadata!P229,"wastewater/sludge"),exact(Metadata!P229,"water"))))</f>
        <v>0</v>
      </c>
      <c r="BC229">
        <f>IF(Metadata!Q229="",FALSE,TRUE)</f>
        <v>0</v>
      </c>
      <c r="BD229">
        <f>IF(Metadata!R229="",FALSE,TRUE)</f>
        <v>0</v>
      </c>
      <c r="BE229">
        <f>OR(AND(IF(Metadata!S229="",FALSE,TRUE),OR(exact(Metadata!S229,"not collected"),exact(Metadata!S229,"not provided"),exact(Metadata!S229,"restricted access"))),AND(IF(Metadata!S229="",FALSE,ISNUMBER(VALUE(Metadata!S229))),Metadata!S229&gt;=-90.00,Metadata!S229&lt;=90.00))</f>
        <v>0</v>
      </c>
      <c r="BF229">
        <f>AND(IF(Metadata!T229="",FALSE,TRUE),exact(Metadata!T229,"Decimal degrees"))</f>
        <v>0</v>
      </c>
      <c r="BG229">
        <f>OR(AND(IF(Metadata!U229="",FALSE,TRUE),OR(exact(Metadata!U229,"not collected"),exact(Metadata!U229,"not provided"),exact(Metadata!U229,"restricted access"))),AND(IF(Metadata!U229="",FALSE,ISNUMBER(VALUE(Metadata!U229))),Metadata!U229&gt;=-180.00,Metadata!U229&lt;=180.00))</f>
        <v>0</v>
      </c>
      <c r="BH229">
        <f>AND(IF(Metadata!V229="",FALSE,TRUE),exact(Metadata!V229,"Decimal degrees"))</f>
        <v>0</v>
      </c>
      <c r="BI229">
        <f>IF(Metadata!W229="",FALSE,TRUE)</f>
        <v>0</v>
      </c>
      <c r="BJ229">
        <f>OR(AND(IF(Metadata!X229="",FALSE,TRUE),OR(exact(Metadata!X229,"not collected"),exact(Metadata!X229,"not provided"),exact(Metadata!X229,"restricted access"))),AND(IF(Metadata!X229="",FALSE,TRUE),OR(exact(Metadata!X229,"TRUE"),exact(Metadata!X229,"FALSE"))))</f>
        <v>0</v>
      </c>
      <c r="BK229">
        <f>AND(IF(Metadata!Y229="",FALSE,TRUE),exact(Metadata!Y229,"other"))</f>
        <v>0</v>
      </c>
      <c r="BL229">
        <f>IF(Metadata!Z229="",FALSE,TRUE)</f>
        <v>0</v>
      </c>
      <c r="BM229">
        <f>OR(AND(IF(Metadata!AA229="",FALSE,TRUE),OR(exact(Metadata!AA229,"not collected"),exact(Metadata!AA229,"not provided"))),AND(IF(Metadata!AA229="",FALSE,IF(ISERROR(INT(Metadata!AA229)),FALSE,INT(Metadata!AA229)=Metadata!AA229)),Metadata!AA229&gt;0))</f>
        <v>0</v>
      </c>
      <c r="BN229">
        <f>AND(IF(Metadata!AB229="",FALSE,TRUE),exact(Metadata!AB229,"Not applicable"))</f>
        <v>0</v>
      </c>
      <c r="BO229">
        <f>IF(Metadata!AC229="",FALSE,TRUE)</f>
        <v>0</v>
      </c>
    </row>
    <row r="230" spans="1:67">
      <c r="A230" s="5">
        <f>IF(B230=" "," ",HYPERLINK(CONCATENATE("#metadata!",ADDRESS(INDEX($AI$2:$AI$1001,MATCH(ROWS($AG$2:AG230),$AG$2:$AG$1001,0),0),1)),INDEX($AL$2:$AL$1001,MATCH(ROWS($AG$2:AG230),$AG$2:$AG$1001,0),0)))</f>
        <v>0</v>
      </c>
      <c r="B230" s="4">
        <f>IF(OR(INDEX($AH$2:$AH$1001,MATCH(ROWS($AG$2:AG230),$AG$2:$AG$1001,0),1)&gt;=100000,INDEX($AN$1005:$BO$1005,1,MATCH(COLUMNS($AN$1006:AN1006),$AN$1006:$BO$1006,0))&gt;=100000), " ",IF(INDEX($AN$2:$BO$1001,MATCH(ROWS($AG$2:AG230),$AG$2:$AG$1001,0),MATCH(COLUMNS($AN$1006:AN1006),$AN$1006:$BO$1006,0)), HYPERLINK("#",""), HYPERLINK(CONCATENATE("#Metadata!", ADDRESS(INDEX($AI$2:$AI$1001,MATCH(ROWS($AG$2:AG230),$AG$2:$AG$1001,0),0), INDEX($AN$1004:$BO$1004,1,MATCH(COLUMNS($AN$1006:AN1006),$AN$1006:$BO$1006,0)))),"Fix")))</f>
        <v>0</v>
      </c>
      <c r="C230" s="4">
        <f>IF(OR(INDEX($AH$2:$AH$1001,MATCH(ROWS($AG$2:AG230),$AG$2:$AG$1001,0),1)&gt;=100000,INDEX($AN$1005:$BO$1005,1,MATCH(COLUMNS($AN$1006:AO1006),$AN$1006:$BO$1006,0))&gt;=100000), " ",IF(INDEX($AN$2:$BO$1001,MATCH(ROWS($AG$2:AG230),$AG$2:$AG$1001,0),MATCH(COLUMNS($AN$1006:AO1006),$AN$1006:$BO$1006,0)), HYPERLINK("#",""), HYPERLINK(CONCATENATE("#Metadata!", ADDRESS(INDEX($AI$2:$AI$1001,MATCH(ROWS($AG$2:AG230),$AG$2:$AG$1001,0),0), INDEX($AN$1004:$BO$1004,1,MATCH(COLUMNS($AN$1006:AO1006),$AN$1006:$BO$1006,0)))),"Fix")))</f>
        <v>0</v>
      </c>
      <c r="D230" s="4">
        <f>IF(OR(INDEX($AH$2:$AH$1001,MATCH(ROWS($AG$2:AG230),$AG$2:$AG$1001,0),1)&gt;=100000,INDEX($AN$1005:$BO$1005,1,MATCH(COLUMNS($AN$1006:AP1006),$AN$1006:$BO$1006,0))&gt;=100000), " ",IF(INDEX($AN$2:$BO$1001,MATCH(ROWS($AG$2:AG230),$AG$2:$AG$1001,0),MATCH(COLUMNS($AN$1006:AP1006),$AN$1006:$BO$1006,0)), HYPERLINK("#",""), HYPERLINK(CONCATENATE("#Metadata!", ADDRESS(INDEX($AI$2:$AI$1001,MATCH(ROWS($AG$2:AG230),$AG$2:$AG$1001,0),0), INDEX($AN$1004:$BO$1004,1,MATCH(COLUMNS($AN$1006:AP1006),$AN$1006:$BO$1006,0)))),"Fix")))</f>
        <v>0</v>
      </c>
      <c r="E230" s="4">
        <f>IF(OR(INDEX($AH$2:$AH$1001,MATCH(ROWS($AG$2:AG230),$AG$2:$AG$1001,0),1)&gt;=100000,INDEX($AN$1005:$BO$1005,1,MATCH(COLUMNS($AN$1006:AQ1006),$AN$1006:$BO$1006,0))&gt;=100000), " ",IF(INDEX($AN$2:$BO$1001,MATCH(ROWS($AG$2:AG230),$AG$2:$AG$1001,0),MATCH(COLUMNS($AN$1006:AQ1006),$AN$1006:$BO$1006,0)), HYPERLINK("#",""), HYPERLINK(CONCATENATE("#Metadata!", ADDRESS(INDEX($AI$2:$AI$1001,MATCH(ROWS($AG$2:AG230),$AG$2:$AG$1001,0),0), INDEX($AN$1004:$BO$1004,1,MATCH(COLUMNS($AN$1006:AQ1006),$AN$1006:$BO$1006,0)))),"Fix")))</f>
        <v>0</v>
      </c>
      <c r="F230" s="4">
        <f>IF(OR(INDEX($AH$2:$AH$1001,MATCH(ROWS($AG$2:AG230),$AG$2:$AG$1001,0),1)&gt;=100000,INDEX($AN$1005:$BO$1005,1,MATCH(COLUMNS($AN$1006:AR1006),$AN$1006:$BO$1006,0))&gt;=100000), " ",IF(INDEX($AN$2:$BO$1001,MATCH(ROWS($AG$2:AG230),$AG$2:$AG$1001,0),MATCH(COLUMNS($AN$1006:AR1006),$AN$1006:$BO$1006,0)), HYPERLINK("#",""), HYPERLINK(CONCATENATE("#Metadata!", ADDRESS(INDEX($AI$2:$AI$1001,MATCH(ROWS($AG$2:AG230),$AG$2:$AG$1001,0),0), INDEX($AN$1004:$BO$1004,1,MATCH(COLUMNS($AN$1006:AR1006),$AN$1006:$BO$1006,0)))),"Fix")))</f>
        <v>0</v>
      </c>
      <c r="G230" s="4">
        <f>IF(OR(INDEX($AH$2:$AH$1001,MATCH(ROWS($AG$2:AG230),$AG$2:$AG$1001,0),1)&gt;=100000,INDEX($AN$1005:$BO$1005,1,MATCH(COLUMNS($AN$1006:AS1006),$AN$1006:$BO$1006,0))&gt;=100000), " ",IF(INDEX($AN$2:$BO$1001,MATCH(ROWS($AG$2:AG230),$AG$2:$AG$1001,0),MATCH(COLUMNS($AN$1006:AS1006),$AN$1006:$BO$1006,0)), HYPERLINK("#",""), HYPERLINK(CONCATENATE("#Metadata!", ADDRESS(INDEX($AI$2:$AI$1001,MATCH(ROWS($AG$2:AG230),$AG$2:$AG$1001,0),0), INDEX($AN$1004:$BO$1004,1,MATCH(COLUMNS($AN$1006:AS1006),$AN$1006:$BO$1006,0)))),"Fix")))</f>
        <v>0</v>
      </c>
      <c r="H230" s="4">
        <f>IF(OR(INDEX($AH$2:$AH$1001,MATCH(ROWS($AG$2:AG230),$AG$2:$AG$1001,0),1)&gt;=100000,INDEX($AN$1005:$BO$1005,1,MATCH(COLUMNS($AN$1006:AT1006),$AN$1006:$BO$1006,0))&gt;=100000), " ",IF(INDEX($AN$2:$BO$1001,MATCH(ROWS($AG$2:AG230),$AG$2:$AG$1001,0),MATCH(COLUMNS($AN$1006:AT1006),$AN$1006:$BO$1006,0)), HYPERLINK("#",""), HYPERLINK(CONCATENATE("#Metadata!", ADDRESS(INDEX($AI$2:$AI$1001,MATCH(ROWS($AG$2:AG230),$AG$2:$AG$1001,0),0), INDEX($AN$1004:$BO$1004,1,MATCH(COLUMNS($AN$1006:AT1006),$AN$1006:$BO$1006,0)))),"Fix")))</f>
        <v>0</v>
      </c>
      <c r="I230" s="4">
        <f>IF(OR(INDEX($AH$2:$AH$1001,MATCH(ROWS($AG$2:AG230),$AG$2:$AG$1001,0),1)&gt;=100000,INDEX($AN$1005:$BO$1005,1,MATCH(COLUMNS($AN$1006:AU1006),$AN$1006:$BO$1006,0))&gt;=100000), " ",IF(INDEX($AN$2:$BO$1001,MATCH(ROWS($AG$2:AG230),$AG$2:$AG$1001,0),MATCH(COLUMNS($AN$1006:AU1006),$AN$1006:$BO$1006,0)), HYPERLINK("#",""), HYPERLINK(CONCATENATE("#Metadata!", ADDRESS(INDEX($AI$2:$AI$1001,MATCH(ROWS($AG$2:AG230),$AG$2:$AG$1001,0),0), INDEX($AN$1004:$BO$1004,1,MATCH(COLUMNS($AN$1006:AU1006),$AN$1006:$BO$1006,0)))),"Fix")))</f>
        <v>0</v>
      </c>
      <c r="J230" s="4">
        <f>IF(OR(INDEX($AH$2:$AH$1001,MATCH(ROWS($AG$2:AG230),$AG$2:$AG$1001,0),1)&gt;=100000,INDEX($AN$1005:$BO$1005,1,MATCH(COLUMNS($AN$1006:AV1006),$AN$1006:$BO$1006,0))&gt;=100000), " ",IF(INDEX($AN$2:$BO$1001,MATCH(ROWS($AG$2:AG230),$AG$2:$AG$1001,0),MATCH(COLUMNS($AN$1006:AV1006),$AN$1006:$BO$1006,0)), HYPERLINK("#",""), HYPERLINK(CONCATENATE("#Metadata!", ADDRESS(INDEX($AI$2:$AI$1001,MATCH(ROWS($AG$2:AG230),$AG$2:$AG$1001,0),0), INDEX($AN$1004:$BO$1004,1,MATCH(COLUMNS($AN$1006:AV1006),$AN$1006:$BO$1006,0)))),"Fix")))</f>
        <v>0</v>
      </c>
      <c r="K230" s="4">
        <f>IF(OR(INDEX($AH$2:$AH$1001,MATCH(ROWS($AG$2:AG230),$AG$2:$AG$1001,0),1)&gt;=100000,INDEX($AN$1005:$BO$1005,1,MATCH(COLUMNS($AN$1006:AW1006),$AN$1006:$BO$1006,0))&gt;=100000), " ",IF(INDEX($AN$2:$BO$1001,MATCH(ROWS($AG$2:AG230),$AG$2:$AG$1001,0),MATCH(COLUMNS($AN$1006:AW1006),$AN$1006:$BO$1006,0)), HYPERLINK("#",""), HYPERLINK(CONCATENATE("#Metadata!", ADDRESS(INDEX($AI$2:$AI$1001,MATCH(ROWS($AG$2:AG230),$AG$2:$AG$1001,0),0), INDEX($AN$1004:$BO$1004,1,MATCH(COLUMNS($AN$1006:AW1006),$AN$1006:$BO$1006,0)))),"Fix")))</f>
        <v>0</v>
      </c>
      <c r="L230" s="4">
        <f>IF(OR(INDEX($AH$2:$AH$1001,MATCH(ROWS($AG$2:AG230),$AG$2:$AG$1001,0),1)&gt;=100000,INDEX($AN$1005:$BO$1005,1,MATCH(COLUMNS($AN$1006:AX1006),$AN$1006:$BO$1006,0))&gt;=100000), " ",IF(INDEX($AN$2:$BO$1001,MATCH(ROWS($AG$2:AG230),$AG$2:$AG$1001,0),MATCH(COLUMNS($AN$1006:AX1006),$AN$1006:$BO$1006,0)), HYPERLINK("#",""), HYPERLINK(CONCATENATE("#Metadata!", ADDRESS(INDEX($AI$2:$AI$1001,MATCH(ROWS($AG$2:AG230),$AG$2:$AG$1001,0),0), INDEX($AN$1004:$BO$1004,1,MATCH(COLUMNS($AN$1006:AX1006),$AN$1006:$BO$1006,0)))),"Fix")))</f>
        <v>0</v>
      </c>
      <c r="M230" s="4">
        <f>IF(OR(INDEX($AH$2:$AH$1001,MATCH(ROWS($AG$2:AG230),$AG$2:$AG$1001,0),1)&gt;=100000,INDEX($AN$1005:$BO$1005,1,MATCH(COLUMNS($AN$1006:AY1006),$AN$1006:$BO$1006,0))&gt;=100000), " ",IF(INDEX($AN$2:$BO$1001,MATCH(ROWS($AG$2:AG230),$AG$2:$AG$1001,0),MATCH(COLUMNS($AN$1006:AY1006),$AN$1006:$BO$1006,0)), HYPERLINK("#",""), HYPERLINK(CONCATENATE("#Metadata!", ADDRESS(INDEX($AI$2:$AI$1001,MATCH(ROWS($AG$2:AG230),$AG$2:$AG$1001,0),0), INDEX($AN$1004:$BO$1004,1,MATCH(COLUMNS($AN$1006:AY1006),$AN$1006:$BO$1006,0)))),"Fix")))</f>
        <v>0</v>
      </c>
      <c r="N230" s="4">
        <f>IF(OR(INDEX($AH$2:$AH$1001,MATCH(ROWS($AG$2:AG230),$AG$2:$AG$1001,0),1)&gt;=100000,INDEX($AN$1005:$BO$1005,1,MATCH(COLUMNS($AN$1006:AZ1006),$AN$1006:$BO$1006,0))&gt;=100000), " ",IF(INDEX($AN$2:$BO$1001,MATCH(ROWS($AG$2:AG230),$AG$2:$AG$1001,0),MATCH(COLUMNS($AN$1006:AZ1006),$AN$1006:$BO$1006,0)), HYPERLINK("#",""), HYPERLINK(CONCATENATE("#Metadata!", ADDRESS(INDEX($AI$2:$AI$1001,MATCH(ROWS($AG$2:AG230),$AG$2:$AG$1001,0),0), INDEX($AN$1004:$BO$1004,1,MATCH(COLUMNS($AN$1006:AZ1006),$AN$1006:$BO$1006,0)))),"Fix")))</f>
        <v>0</v>
      </c>
      <c r="O230" s="4">
        <f>IF(OR(INDEX($AH$2:$AH$1001,MATCH(ROWS($AG$2:AG230),$AG$2:$AG$1001,0),1)&gt;=100000,INDEX($AN$1005:$BO$1005,1,MATCH(COLUMNS($AN$1006:BA1006),$AN$1006:$BO$1006,0))&gt;=100000), " ",IF(INDEX($AN$2:$BO$1001,MATCH(ROWS($AG$2:AG230),$AG$2:$AG$1001,0),MATCH(COLUMNS($AN$1006:BA1006),$AN$1006:$BO$1006,0)), HYPERLINK("#",""), HYPERLINK(CONCATENATE("#Metadata!", ADDRESS(INDEX($AI$2:$AI$1001,MATCH(ROWS($AG$2:AG230),$AG$2:$AG$1001,0),0), INDEX($AN$1004:$BO$1004,1,MATCH(COLUMNS($AN$1006:BA1006),$AN$1006:$BO$1006,0)))),"Fix")))</f>
        <v>0</v>
      </c>
      <c r="P230" s="4">
        <f>IF(OR(INDEX($AH$2:$AH$1001,MATCH(ROWS($AG$2:AG230),$AG$2:$AG$1001,0),1)&gt;=100000,INDEX($AN$1005:$BO$1005,1,MATCH(COLUMNS($AN$1006:BB1006),$AN$1006:$BO$1006,0))&gt;=100000), " ",IF(INDEX($AN$2:$BO$1001,MATCH(ROWS($AG$2:AG230),$AG$2:$AG$1001,0),MATCH(COLUMNS($AN$1006:BB1006),$AN$1006:$BO$1006,0)), HYPERLINK("#",""), HYPERLINK(CONCATENATE("#Metadata!", ADDRESS(INDEX($AI$2:$AI$1001,MATCH(ROWS($AG$2:AG230),$AG$2:$AG$1001,0),0), INDEX($AN$1004:$BO$1004,1,MATCH(COLUMNS($AN$1006:BB1006),$AN$1006:$BO$1006,0)))),"Fix")))</f>
        <v>0</v>
      </c>
      <c r="Q230" s="4">
        <f>IF(OR(INDEX($AH$2:$AH$1001,MATCH(ROWS($AG$2:AG230),$AG$2:$AG$1001,0),1)&gt;=100000,INDEX($AN$1005:$BO$1005,1,MATCH(COLUMNS($AN$1006:BC1006),$AN$1006:$BO$1006,0))&gt;=100000), " ",IF(INDEX($AN$2:$BO$1001,MATCH(ROWS($AG$2:AG230),$AG$2:$AG$1001,0),MATCH(COLUMNS($AN$1006:BC1006),$AN$1006:$BO$1006,0)), HYPERLINK("#",""), HYPERLINK(CONCATENATE("#Metadata!", ADDRESS(INDEX($AI$2:$AI$1001,MATCH(ROWS($AG$2:AG230),$AG$2:$AG$1001,0),0), INDEX($AN$1004:$BO$1004,1,MATCH(COLUMNS($AN$1006:BC1006),$AN$1006:$BO$1006,0)))),"Fix")))</f>
        <v>0</v>
      </c>
      <c r="R230" s="4">
        <f>IF(OR(INDEX($AH$2:$AH$1001,MATCH(ROWS($AG$2:AG230),$AG$2:$AG$1001,0),1)&gt;=100000,INDEX($AN$1005:$BO$1005,1,MATCH(COLUMNS($AN$1006:BD1006),$AN$1006:$BO$1006,0))&gt;=100000), " ",IF(INDEX($AN$2:$BO$1001,MATCH(ROWS($AG$2:AG230),$AG$2:$AG$1001,0),MATCH(COLUMNS($AN$1006:BD1006),$AN$1006:$BO$1006,0)), HYPERLINK("#",""), HYPERLINK(CONCATENATE("#Metadata!", ADDRESS(INDEX($AI$2:$AI$1001,MATCH(ROWS($AG$2:AG230),$AG$2:$AG$1001,0),0), INDEX($AN$1004:$BO$1004,1,MATCH(COLUMNS($AN$1006:BD1006),$AN$1006:$BO$1006,0)))),"Fix")))</f>
        <v>0</v>
      </c>
      <c r="S230" s="4">
        <f>IF(OR(INDEX($AH$2:$AH$1001,MATCH(ROWS($AG$2:AG230),$AG$2:$AG$1001,0),1)&gt;=100000,INDEX($AN$1005:$BO$1005,1,MATCH(COLUMNS($AN$1006:BE1006),$AN$1006:$BO$1006,0))&gt;=100000), " ",IF(INDEX($AN$2:$BO$1001,MATCH(ROWS($AG$2:AG230),$AG$2:$AG$1001,0),MATCH(COLUMNS($AN$1006:BE1006),$AN$1006:$BO$1006,0)), HYPERLINK("#",""), HYPERLINK(CONCATENATE("#Metadata!", ADDRESS(INDEX($AI$2:$AI$1001,MATCH(ROWS($AG$2:AG230),$AG$2:$AG$1001,0),0), INDEX($AN$1004:$BO$1004,1,MATCH(COLUMNS($AN$1006:BE1006),$AN$1006:$BO$1006,0)))),"Fix")))</f>
        <v>0</v>
      </c>
      <c r="T230" s="4">
        <f>IF(OR(INDEX($AH$2:$AH$1001,MATCH(ROWS($AG$2:AG230),$AG$2:$AG$1001,0),1)&gt;=100000,INDEX($AN$1005:$BO$1005,1,MATCH(COLUMNS($AN$1006:BF1006),$AN$1006:$BO$1006,0))&gt;=100000), " ",IF(INDEX($AN$2:$BO$1001,MATCH(ROWS($AG$2:AG230),$AG$2:$AG$1001,0),MATCH(COLUMNS($AN$1006:BF1006),$AN$1006:$BO$1006,0)), HYPERLINK("#",""), HYPERLINK(CONCATENATE("#Metadata!", ADDRESS(INDEX($AI$2:$AI$1001,MATCH(ROWS($AG$2:AG230),$AG$2:$AG$1001,0),0), INDEX($AN$1004:$BO$1004,1,MATCH(COLUMNS($AN$1006:BF1006),$AN$1006:$BO$1006,0)))),"Fix")))</f>
        <v>0</v>
      </c>
      <c r="U230" s="4">
        <f>IF(OR(INDEX($AH$2:$AH$1001,MATCH(ROWS($AG$2:AG230),$AG$2:$AG$1001,0),1)&gt;=100000,INDEX($AN$1005:$BO$1005,1,MATCH(COLUMNS($AN$1006:BG1006),$AN$1006:$BO$1006,0))&gt;=100000), " ",IF(INDEX($AN$2:$BO$1001,MATCH(ROWS($AG$2:AG230),$AG$2:$AG$1001,0),MATCH(COLUMNS($AN$1006:BG1006),$AN$1006:$BO$1006,0)), HYPERLINK("#",""), HYPERLINK(CONCATENATE("#Metadata!", ADDRESS(INDEX($AI$2:$AI$1001,MATCH(ROWS($AG$2:AG230),$AG$2:$AG$1001,0),0), INDEX($AN$1004:$BO$1004,1,MATCH(COLUMNS($AN$1006:BG1006),$AN$1006:$BO$1006,0)))),"Fix")))</f>
        <v>0</v>
      </c>
      <c r="V230" s="4">
        <f>IF(OR(INDEX($AH$2:$AH$1001,MATCH(ROWS($AG$2:AG230),$AG$2:$AG$1001,0),1)&gt;=100000,INDEX($AN$1005:$BO$1005,1,MATCH(COLUMNS($AN$1006:BH1006),$AN$1006:$BO$1006,0))&gt;=100000), " ",IF(INDEX($AN$2:$BO$1001,MATCH(ROWS($AG$2:AG230),$AG$2:$AG$1001,0),MATCH(COLUMNS($AN$1006:BH1006),$AN$1006:$BO$1006,0)), HYPERLINK("#",""), HYPERLINK(CONCATENATE("#Metadata!", ADDRESS(INDEX($AI$2:$AI$1001,MATCH(ROWS($AG$2:AG230),$AG$2:$AG$1001,0),0), INDEX($AN$1004:$BO$1004,1,MATCH(COLUMNS($AN$1006:BH1006),$AN$1006:$BO$1006,0)))),"Fix")))</f>
        <v>0</v>
      </c>
      <c r="W230" s="4">
        <f>IF(OR(INDEX($AH$2:$AH$1001,MATCH(ROWS($AG$2:AG230),$AG$2:$AG$1001,0),1)&gt;=100000,INDEX($AN$1005:$BO$1005,1,MATCH(COLUMNS($AN$1006:BI1006),$AN$1006:$BO$1006,0))&gt;=100000), " ",IF(INDEX($AN$2:$BO$1001,MATCH(ROWS($AG$2:AG230),$AG$2:$AG$1001,0),MATCH(COLUMNS($AN$1006:BI1006),$AN$1006:$BO$1006,0)), HYPERLINK("#",""), HYPERLINK(CONCATENATE("#Metadata!", ADDRESS(INDEX($AI$2:$AI$1001,MATCH(ROWS($AG$2:AG230),$AG$2:$AG$1001,0),0), INDEX($AN$1004:$BO$1004,1,MATCH(COLUMNS($AN$1006:BI1006),$AN$1006:$BO$1006,0)))),"Fix")))</f>
        <v>0</v>
      </c>
      <c r="X230" s="4">
        <f>IF(OR(INDEX($AH$2:$AH$1001,MATCH(ROWS($AG$2:AG230),$AG$2:$AG$1001,0),1)&gt;=100000,INDEX($AN$1005:$BO$1005,1,MATCH(COLUMNS($AN$1006:BJ1006),$AN$1006:$BO$1006,0))&gt;=100000), " ",IF(INDEX($AN$2:$BO$1001,MATCH(ROWS($AG$2:AG230),$AG$2:$AG$1001,0),MATCH(COLUMNS($AN$1006:BJ1006),$AN$1006:$BO$1006,0)), HYPERLINK("#",""), HYPERLINK(CONCATENATE("#Metadata!", ADDRESS(INDEX($AI$2:$AI$1001,MATCH(ROWS($AG$2:AG230),$AG$2:$AG$1001,0),0), INDEX($AN$1004:$BO$1004,1,MATCH(COLUMNS($AN$1006:BJ1006),$AN$1006:$BO$1006,0)))),"Fix")))</f>
        <v>0</v>
      </c>
      <c r="Y230" s="4">
        <f>IF(OR(INDEX($AH$2:$AH$1001,MATCH(ROWS($AG$2:AG230),$AG$2:$AG$1001,0),1)&gt;=100000,INDEX($AN$1005:$BO$1005,1,MATCH(COLUMNS($AN$1006:BK1006),$AN$1006:$BO$1006,0))&gt;=100000), " ",IF(INDEX($AN$2:$BO$1001,MATCH(ROWS($AG$2:AG230),$AG$2:$AG$1001,0),MATCH(COLUMNS($AN$1006:BK1006),$AN$1006:$BO$1006,0)), HYPERLINK("#",""), HYPERLINK(CONCATENATE("#Metadata!", ADDRESS(INDEX($AI$2:$AI$1001,MATCH(ROWS($AG$2:AG230),$AG$2:$AG$1001,0),0), INDEX($AN$1004:$BO$1004,1,MATCH(COLUMNS($AN$1006:BK1006),$AN$1006:$BO$1006,0)))),"Fix")))</f>
        <v>0</v>
      </c>
      <c r="Z230" s="4">
        <f>IF(OR(INDEX($AH$2:$AH$1001,MATCH(ROWS($AG$2:AG230),$AG$2:$AG$1001,0),1)&gt;=100000,INDEX($AN$1005:$BO$1005,1,MATCH(COLUMNS($AN$1006:BL1006),$AN$1006:$BO$1006,0))&gt;=100000), " ",IF(INDEX($AN$2:$BO$1001,MATCH(ROWS($AG$2:AG230),$AG$2:$AG$1001,0),MATCH(COLUMNS($AN$1006:BL1006),$AN$1006:$BO$1006,0)), HYPERLINK("#",""), HYPERLINK(CONCATENATE("#Metadata!", ADDRESS(INDEX($AI$2:$AI$1001,MATCH(ROWS($AG$2:AG230),$AG$2:$AG$1001,0),0), INDEX($AN$1004:$BO$1004,1,MATCH(COLUMNS($AN$1006:BL1006),$AN$1006:$BO$1006,0)))),"Fix")))</f>
        <v>0</v>
      </c>
      <c r="AA230" s="4">
        <f>IF(OR(INDEX($AH$2:$AH$1001,MATCH(ROWS($AG$2:AG230),$AG$2:$AG$1001,0),1)&gt;=100000,INDEX($AN$1005:$BO$1005,1,MATCH(COLUMNS($AN$1006:BM1006),$AN$1006:$BO$1006,0))&gt;=100000), " ",IF(INDEX($AN$2:$BO$1001,MATCH(ROWS($AG$2:AG230),$AG$2:$AG$1001,0),MATCH(COLUMNS($AN$1006:BM1006),$AN$1006:$BO$1006,0)), HYPERLINK("#",""), HYPERLINK(CONCATENATE("#Metadata!", ADDRESS(INDEX($AI$2:$AI$1001,MATCH(ROWS($AG$2:AG230),$AG$2:$AG$1001,0),0), INDEX($AN$1004:$BO$1004,1,MATCH(COLUMNS($AN$1006:BM1006),$AN$1006:$BO$1006,0)))),"Fix")))</f>
        <v>0</v>
      </c>
      <c r="AB230" s="4">
        <f>IF(OR(INDEX($AH$2:$AH$1001,MATCH(ROWS($AG$2:AG230),$AG$2:$AG$1001,0),1)&gt;=100000,INDEX($AN$1005:$BO$1005,1,MATCH(COLUMNS($AN$1006:BN1006),$AN$1006:$BO$1006,0))&gt;=100000), " ",IF(INDEX($AN$2:$BO$1001,MATCH(ROWS($AG$2:AG230),$AG$2:$AG$1001,0),MATCH(COLUMNS($AN$1006:BN1006),$AN$1006:$BO$1006,0)), HYPERLINK("#",""), HYPERLINK(CONCATENATE("#Metadata!", ADDRESS(INDEX($AI$2:$AI$1001,MATCH(ROWS($AG$2:AG230),$AG$2:$AG$1001,0),0), INDEX($AN$1004:$BO$1004,1,MATCH(COLUMNS($AN$1006:BN1006),$AN$1006:$BO$1006,0)))),"Fix")))</f>
        <v>0</v>
      </c>
      <c r="AC230" s="4">
        <f>IF(OR(INDEX($AH$2:$AH$1001,MATCH(ROWS($AG$2:AG230),$AG$2:$AG$1001,0),1)&gt;=100000,INDEX($AN$1005:$BO$1005,1,MATCH(COLUMNS($AN$1006:BO1006),$AN$1006:$BO$1006,0))&gt;=100000), " ",IF(INDEX($AN$2:$BO$1001,MATCH(ROWS($AG$2:AG230),$AG$2:$AG$1001,0),MATCH(COLUMNS($AN$1006:BO1006),$AN$1006:$BO$1006,0)), HYPERLINK("#",""), HYPERLINK(CONCATENATE("#Metadata!", ADDRESS(INDEX($AI$2:$AI$1001,MATCH(ROWS($AG$2:AG230),$AG$2:$AG$1001,0),0), INDEX($AN$1004:$BO$1004,1,MATCH(COLUMNS($AN$1006:BO1006),$AN$1006:$BO$1006,0)))),"Fix")))</f>
        <v>0</v>
      </c>
      <c r="AG230">
        <v>0</v>
      </c>
      <c r="AH230">
        <v>0</v>
      </c>
      <c r="AI230">
        <v>0</v>
      </c>
      <c r="AJ230">
        <f>IF(AK230,TRUE,AND(AN230:BO230))</f>
        <v>0</v>
      </c>
      <c r="AK230">
        <f>COUNTBLANK(Metadata!B230:AC230)=COLUMNS(Metadata!B230:AC230)</f>
        <v>0</v>
      </c>
      <c r="AL230">
        <v>0</v>
      </c>
      <c r="AN230">
        <f>AND(IF(Metadata!B230="",FALSE,TRUE),COUNTIF(Metadata!B:B, Metadata!B230) = 1,NOT(ISERROR(SUMPRODUCT(SEARCH(MID(Metadata!B230,ROW(INDIRECT("1:"&amp;LEN(Metadata!B230))), 1),"0123456789abcdefghijklmnopqrstuvwxyzABCDEFGHIJKLMNOPQRSTUVWXYZ.")))))</f>
        <v>0</v>
      </c>
      <c r="AO230">
        <f>IF(Metadata!C230="",FALSE,TRUE)</f>
        <v>0</v>
      </c>
      <c r="AP230">
        <f>IF(Metadata!D230="",FALSE,TRUE)</f>
        <v>0</v>
      </c>
      <c r="AQ230">
        <f>OR(AND(IF(Metadata!E230="",FALSE,TRUE),OR(exact(Metadata!E230,"not collected"),exact(Metadata!E230,"not provided"),exact(Metadata!E230,"restricted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R230">
        <f>IF(Metadata!F230="",FALSE,TRUE)</f>
        <v>0</v>
      </c>
      <c r="AS230">
        <f>OR(AND(IF(Metadata!G230="",FALSE,TRUE),OR(exact(Metadata!G230,"not collected"),exact(Metadata!G230,"not provided"))),AND(IF(Metadata!G230="",FALSE,TRUE),OR(exact(Metadata!G230,"TRUE"),exact(Metadata!G230,"FALSE"))))</f>
        <v>0</v>
      </c>
      <c r="AT230">
        <f>OR(AND(IF(Metadata!H230="",FALSE,TRUE),OR(exact(Metadata!H230,"not collected"),exact(Metadata!H230,"not provided"),exact(Metadata!H230,"restricted access"))),AND(IF(Metadata!H230="",FALSE,ISNUMBER(VALUE(Metadata!H230))),Metadata!H230&gt;=-413.0))</f>
        <v>0</v>
      </c>
      <c r="AU230">
        <f>AND(IF(Metadata!I230="",FALSE,TRUE),exact(Metadata!I230,"meters"))</f>
        <v>0</v>
      </c>
      <c r="AV230">
        <f>AND(IF(Metadata!J230="",FALSE,TRUE),OR(exact(Metadata!J230,"Host-associated"),exact(Metadata!J230,"Free-living")))</f>
        <v>0</v>
      </c>
      <c r="AW230">
        <f>AND(IF(Metadata!K230="",FALSE,TRUE),OR(exact(Metadata!K230,"Animal"),exact(Metadata!K230,"Fungus"),exact(Metadata!K230,"Plant"),exact(Metadata!K230,"Saline"),exact(Metadata!K230,"Non-saline")))</f>
        <v>0</v>
      </c>
      <c r="AX230">
        <f>AND(IF(Metadata!L230="",FALSE,TRUE),OR(exact(Metadata!L230,"Plant secretion"),exact(Metadata!L230,"Plant rhizosphere"),exact(Metadata!L230,"Plant surface"),exact(Metadata!L230,"Plant corpus"),exact(Metadata!L230,"Fungus surface"),exact(Metadata!L230,"Fungus corpus"),exact(Metadata!L230,"Animal surface"),exact(Metadata!L230,"Animal proximal gut"),exact(Metadata!L230,"Animal corpus"),exact(Metadata!L230,"Animal distal gut"),exact(Metadata!L230,"Animal secretion"),exact(Metadata!L230,"Sub-surface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Y230">
        <f>IF(Metadata!M230="",FALSE,TRUE)</f>
        <v>0</v>
      </c>
      <c r="AZ230">
        <f>IF(Metadata!N230="",FALSE,TRUE)</f>
        <v>0</v>
      </c>
      <c r="BA230">
        <f>IF(Metadata!O230="",FALSE,TRUE)</f>
        <v>0</v>
      </c>
      <c r="BB230">
        <f>OR(AND(IF(Metadata!P230="",FALSE,TRUE),OR(exact(Metadata!P230,"not collected"),exact(Metadata!P230,"not provided"),exact(Metadata!P230,"restricted access"))),AND(IF(Metadata!P230="",FALSE,TRUE),OR(exact(Metadata!P230,"air"),exact(Metadata!P230,"built environment"),exact(Metadata!P230,"host-associated"),exact(Metadata!P230,"human-associated"),exact(Metadata!P230,"human-skin"),exact(Metadata!P230,"human-oral"),exact(Metadata!P230,"human-gut"),exact(Metadata!P230,"human-vaginal"),exact(Metadata!P230,"microbial mat/biofilm"),exact(Metadata!P230,"misc environment"),exact(Metadata!P230,"plant-associated"),exact(Metadata!P230,"sediment"),exact(Metadata!P230,"soil"),exact(Metadata!P230,"wastewater/sludge"),exact(Metadata!P230,"water"))))</f>
        <v>0</v>
      </c>
      <c r="BC230">
        <f>IF(Metadata!Q230="",FALSE,TRUE)</f>
        <v>0</v>
      </c>
      <c r="BD230">
        <f>IF(Metadata!R230="",FALSE,TRUE)</f>
        <v>0</v>
      </c>
      <c r="BE230">
        <f>OR(AND(IF(Metadata!S230="",FALSE,TRUE),OR(exact(Metadata!S230,"not collected"),exact(Metadata!S230,"not provided"),exact(Metadata!S230,"restricted access"))),AND(IF(Metadata!S230="",FALSE,ISNUMBER(VALUE(Metadata!S230))),Metadata!S230&gt;=-90.00,Metadata!S230&lt;=90.00))</f>
        <v>0</v>
      </c>
      <c r="BF230">
        <f>AND(IF(Metadata!T230="",FALSE,TRUE),exact(Metadata!T230,"Decimal degrees"))</f>
        <v>0</v>
      </c>
      <c r="BG230">
        <f>OR(AND(IF(Metadata!U230="",FALSE,TRUE),OR(exact(Metadata!U230,"not collected"),exact(Metadata!U230,"not provided"),exact(Metadata!U230,"restricted access"))),AND(IF(Metadata!U230="",FALSE,ISNUMBER(VALUE(Metadata!U230))),Metadata!U230&gt;=-180.00,Metadata!U230&lt;=180.00))</f>
        <v>0</v>
      </c>
      <c r="BH230">
        <f>AND(IF(Metadata!V230="",FALSE,TRUE),exact(Metadata!V230,"Decimal degrees"))</f>
        <v>0</v>
      </c>
      <c r="BI230">
        <f>IF(Metadata!W230="",FALSE,TRUE)</f>
        <v>0</v>
      </c>
      <c r="BJ230">
        <f>OR(AND(IF(Metadata!X230="",FALSE,TRUE),OR(exact(Metadata!X230,"not collected"),exact(Metadata!X230,"not provided"),exact(Metadata!X230,"restricted access"))),AND(IF(Metadata!X230="",FALSE,TRUE),OR(exact(Metadata!X230,"TRUE"),exact(Metadata!X230,"FALSE"))))</f>
        <v>0</v>
      </c>
      <c r="BK230">
        <f>AND(IF(Metadata!Y230="",FALSE,TRUE),exact(Metadata!Y230,"other"))</f>
        <v>0</v>
      </c>
      <c r="BL230">
        <f>IF(Metadata!Z230="",FALSE,TRUE)</f>
        <v>0</v>
      </c>
      <c r="BM230">
        <f>OR(AND(IF(Metadata!AA230="",FALSE,TRUE),OR(exact(Metadata!AA230,"not collected"),exact(Metadata!AA230,"not provided"))),AND(IF(Metadata!AA230="",FALSE,IF(ISERROR(INT(Metadata!AA230)),FALSE,INT(Metadata!AA230)=Metadata!AA230)),Metadata!AA230&gt;0))</f>
        <v>0</v>
      </c>
      <c r="BN230">
        <f>AND(IF(Metadata!AB230="",FALSE,TRUE),exact(Metadata!AB230,"Not applicable"))</f>
        <v>0</v>
      </c>
      <c r="BO230">
        <f>IF(Metadata!AC230="",FALSE,TRUE)</f>
        <v>0</v>
      </c>
    </row>
    <row r="231" spans="1:67">
      <c r="A231" s="5">
        <f>IF(B231=" "," ",HYPERLINK(CONCATENATE("#metadata!",ADDRESS(INDEX($AI$2:$AI$1001,MATCH(ROWS($AG$2:AG231),$AG$2:$AG$1001,0),0),1)),INDEX($AL$2:$AL$1001,MATCH(ROWS($AG$2:AG231),$AG$2:$AG$1001,0),0)))</f>
        <v>0</v>
      </c>
      <c r="B231" s="4">
        <f>IF(OR(INDEX($AH$2:$AH$1001,MATCH(ROWS($AG$2:AG231),$AG$2:$AG$1001,0),1)&gt;=100000,INDEX($AN$1005:$BO$1005,1,MATCH(COLUMNS($AN$1006:AN1006),$AN$1006:$BO$1006,0))&gt;=100000), " ",IF(INDEX($AN$2:$BO$1001,MATCH(ROWS($AG$2:AG231),$AG$2:$AG$1001,0),MATCH(COLUMNS($AN$1006:AN1006),$AN$1006:$BO$1006,0)), HYPERLINK("#",""), HYPERLINK(CONCATENATE("#Metadata!", ADDRESS(INDEX($AI$2:$AI$1001,MATCH(ROWS($AG$2:AG231),$AG$2:$AG$1001,0),0), INDEX($AN$1004:$BO$1004,1,MATCH(COLUMNS($AN$1006:AN1006),$AN$1006:$BO$1006,0)))),"Fix")))</f>
        <v>0</v>
      </c>
      <c r="C231" s="4">
        <f>IF(OR(INDEX($AH$2:$AH$1001,MATCH(ROWS($AG$2:AG231),$AG$2:$AG$1001,0),1)&gt;=100000,INDEX($AN$1005:$BO$1005,1,MATCH(COLUMNS($AN$1006:AO1006),$AN$1006:$BO$1006,0))&gt;=100000), " ",IF(INDEX($AN$2:$BO$1001,MATCH(ROWS($AG$2:AG231),$AG$2:$AG$1001,0),MATCH(COLUMNS($AN$1006:AO1006),$AN$1006:$BO$1006,0)), HYPERLINK("#",""), HYPERLINK(CONCATENATE("#Metadata!", ADDRESS(INDEX($AI$2:$AI$1001,MATCH(ROWS($AG$2:AG231),$AG$2:$AG$1001,0),0), INDEX($AN$1004:$BO$1004,1,MATCH(COLUMNS($AN$1006:AO1006),$AN$1006:$BO$1006,0)))),"Fix")))</f>
        <v>0</v>
      </c>
      <c r="D231" s="4">
        <f>IF(OR(INDEX($AH$2:$AH$1001,MATCH(ROWS($AG$2:AG231),$AG$2:$AG$1001,0),1)&gt;=100000,INDEX($AN$1005:$BO$1005,1,MATCH(COLUMNS($AN$1006:AP1006),$AN$1006:$BO$1006,0))&gt;=100000), " ",IF(INDEX($AN$2:$BO$1001,MATCH(ROWS($AG$2:AG231),$AG$2:$AG$1001,0),MATCH(COLUMNS($AN$1006:AP1006),$AN$1006:$BO$1006,0)), HYPERLINK("#",""), HYPERLINK(CONCATENATE("#Metadata!", ADDRESS(INDEX($AI$2:$AI$1001,MATCH(ROWS($AG$2:AG231),$AG$2:$AG$1001,0),0), INDEX($AN$1004:$BO$1004,1,MATCH(COLUMNS($AN$1006:AP1006),$AN$1006:$BO$1006,0)))),"Fix")))</f>
        <v>0</v>
      </c>
      <c r="E231" s="4">
        <f>IF(OR(INDEX($AH$2:$AH$1001,MATCH(ROWS($AG$2:AG231),$AG$2:$AG$1001,0),1)&gt;=100000,INDEX($AN$1005:$BO$1005,1,MATCH(COLUMNS($AN$1006:AQ1006),$AN$1006:$BO$1006,0))&gt;=100000), " ",IF(INDEX($AN$2:$BO$1001,MATCH(ROWS($AG$2:AG231),$AG$2:$AG$1001,0),MATCH(COLUMNS($AN$1006:AQ1006),$AN$1006:$BO$1006,0)), HYPERLINK("#",""), HYPERLINK(CONCATENATE("#Metadata!", ADDRESS(INDEX($AI$2:$AI$1001,MATCH(ROWS($AG$2:AG231),$AG$2:$AG$1001,0),0), INDEX($AN$1004:$BO$1004,1,MATCH(COLUMNS($AN$1006:AQ1006),$AN$1006:$BO$1006,0)))),"Fix")))</f>
        <v>0</v>
      </c>
      <c r="F231" s="4">
        <f>IF(OR(INDEX($AH$2:$AH$1001,MATCH(ROWS($AG$2:AG231),$AG$2:$AG$1001,0),1)&gt;=100000,INDEX($AN$1005:$BO$1005,1,MATCH(COLUMNS($AN$1006:AR1006),$AN$1006:$BO$1006,0))&gt;=100000), " ",IF(INDEX($AN$2:$BO$1001,MATCH(ROWS($AG$2:AG231),$AG$2:$AG$1001,0),MATCH(COLUMNS($AN$1006:AR1006),$AN$1006:$BO$1006,0)), HYPERLINK("#",""), HYPERLINK(CONCATENATE("#Metadata!", ADDRESS(INDEX($AI$2:$AI$1001,MATCH(ROWS($AG$2:AG231),$AG$2:$AG$1001,0),0), INDEX($AN$1004:$BO$1004,1,MATCH(COLUMNS($AN$1006:AR1006),$AN$1006:$BO$1006,0)))),"Fix")))</f>
        <v>0</v>
      </c>
      <c r="G231" s="4">
        <f>IF(OR(INDEX($AH$2:$AH$1001,MATCH(ROWS($AG$2:AG231),$AG$2:$AG$1001,0),1)&gt;=100000,INDEX($AN$1005:$BO$1005,1,MATCH(COLUMNS($AN$1006:AS1006),$AN$1006:$BO$1006,0))&gt;=100000), " ",IF(INDEX($AN$2:$BO$1001,MATCH(ROWS($AG$2:AG231),$AG$2:$AG$1001,0),MATCH(COLUMNS($AN$1006:AS1006),$AN$1006:$BO$1006,0)), HYPERLINK("#",""), HYPERLINK(CONCATENATE("#Metadata!", ADDRESS(INDEX($AI$2:$AI$1001,MATCH(ROWS($AG$2:AG231),$AG$2:$AG$1001,0),0), INDEX($AN$1004:$BO$1004,1,MATCH(COLUMNS($AN$1006:AS1006),$AN$1006:$BO$1006,0)))),"Fix")))</f>
        <v>0</v>
      </c>
      <c r="H231" s="4">
        <f>IF(OR(INDEX($AH$2:$AH$1001,MATCH(ROWS($AG$2:AG231),$AG$2:$AG$1001,0),1)&gt;=100000,INDEX($AN$1005:$BO$1005,1,MATCH(COLUMNS($AN$1006:AT1006),$AN$1006:$BO$1006,0))&gt;=100000), " ",IF(INDEX($AN$2:$BO$1001,MATCH(ROWS($AG$2:AG231),$AG$2:$AG$1001,0),MATCH(COLUMNS($AN$1006:AT1006),$AN$1006:$BO$1006,0)), HYPERLINK("#",""), HYPERLINK(CONCATENATE("#Metadata!", ADDRESS(INDEX($AI$2:$AI$1001,MATCH(ROWS($AG$2:AG231),$AG$2:$AG$1001,0),0), INDEX($AN$1004:$BO$1004,1,MATCH(COLUMNS($AN$1006:AT1006),$AN$1006:$BO$1006,0)))),"Fix")))</f>
        <v>0</v>
      </c>
      <c r="I231" s="4">
        <f>IF(OR(INDEX($AH$2:$AH$1001,MATCH(ROWS($AG$2:AG231),$AG$2:$AG$1001,0),1)&gt;=100000,INDEX($AN$1005:$BO$1005,1,MATCH(COLUMNS($AN$1006:AU1006),$AN$1006:$BO$1006,0))&gt;=100000), " ",IF(INDEX($AN$2:$BO$1001,MATCH(ROWS($AG$2:AG231),$AG$2:$AG$1001,0),MATCH(COLUMNS($AN$1006:AU1006),$AN$1006:$BO$1006,0)), HYPERLINK("#",""), HYPERLINK(CONCATENATE("#Metadata!", ADDRESS(INDEX($AI$2:$AI$1001,MATCH(ROWS($AG$2:AG231),$AG$2:$AG$1001,0),0), INDEX($AN$1004:$BO$1004,1,MATCH(COLUMNS($AN$1006:AU1006),$AN$1006:$BO$1006,0)))),"Fix")))</f>
        <v>0</v>
      </c>
      <c r="J231" s="4">
        <f>IF(OR(INDEX($AH$2:$AH$1001,MATCH(ROWS($AG$2:AG231),$AG$2:$AG$1001,0),1)&gt;=100000,INDEX($AN$1005:$BO$1005,1,MATCH(COLUMNS($AN$1006:AV1006),$AN$1006:$BO$1006,0))&gt;=100000), " ",IF(INDEX($AN$2:$BO$1001,MATCH(ROWS($AG$2:AG231),$AG$2:$AG$1001,0),MATCH(COLUMNS($AN$1006:AV1006),$AN$1006:$BO$1006,0)), HYPERLINK("#",""), HYPERLINK(CONCATENATE("#Metadata!", ADDRESS(INDEX($AI$2:$AI$1001,MATCH(ROWS($AG$2:AG231),$AG$2:$AG$1001,0),0), INDEX($AN$1004:$BO$1004,1,MATCH(COLUMNS($AN$1006:AV1006),$AN$1006:$BO$1006,0)))),"Fix")))</f>
        <v>0</v>
      </c>
      <c r="K231" s="4">
        <f>IF(OR(INDEX($AH$2:$AH$1001,MATCH(ROWS($AG$2:AG231),$AG$2:$AG$1001,0),1)&gt;=100000,INDEX($AN$1005:$BO$1005,1,MATCH(COLUMNS($AN$1006:AW1006),$AN$1006:$BO$1006,0))&gt;=100000), " ",IF(INDEX($AN$2:$BO$1001,MATCH(ROWS($AG$2:AG231),$AG$2:$AG$1001,0),MATCH(COLUMNS($AN$1006:AW1006),$AN$1006:$BO$1006,0)), HYPERLINK("#",""), HYPERLINK(CONCATENATE("#Metadata!", ADDRESS(INDEX($AI$2:$AI$1001,MATCH(ROWS($AG$2:AG231),$AG$2:$AG$1001,0),0), INDEX($AN$1004:$BO$1004,1,MATCH(COLUMNS($AN$1006:AW1006),$AN$1006:$BO$1006,0)))),"Fix")))</f>
        <v>0</v>
      </c>
      <c r="L231" s="4">
        <f>IF(OR(INDEX($AH$2:$AH$1001,MATCH(ROWS($AG$2:AG231),$AG$2:$AG$1001,0),1)&gt;=100000,INDEX($AN$1005:$BO$1005,1,MATCH(COLUMNS($AN$1006:AX1006),$AN$1006:$BO$1006,0))&gt;=100000), " ",IF(INDEX($AN$2:$BO$1001,MATCH(ROWS($AG$2:AG231),$AG$2:$AG$1001,0),MATCH(COLUMNS($AN$1006:AX1006),$AN$1006:$BO$1006,0)), HYPERLINK("#",""), HYPERLINK(CONCATENATE("#Metadata!", ADDRESS(INDEX($AI$2:$AI$1001,MATCH(ROWS($AG$2:AG231),$AG$2:$AG$1001,0),0), INDEX($AN$1004:$BO$1004,1,MATCH(COLUMNS($AN$1006:AX1006),$AN$1006:$BO$1006,0)))),"Fix")))</f>
        <v>0</v>
      </c>
      <c r="M231" s="4">
        <f>IF(OR(INDEX($AH$2:$AH$1001,MATCH(ROWS($AG$2:AG231),$AG$2:$AG$1001,0),1)&gt;=100000,INDEX($AN$1005:$BO$1005,1,MATCH(COLUMNS($AN$1006:AY1006),$AN$1006:$BO$1006,0))&gt;=100000), " ",IF(INDEX($AN$2:$BO$1001,MATCH(ROWS($AG$2:AG231),$AG$2:$AG$1001,0),MATCH(COLUMNS($AN$1006:AY1006),$AN$1006:$BO$1006,0)), HYPERLINK("#",""), HYPERLINK(CONCATENATE("#Metadata!", ADDRESS(INDEX($AI$2:$AI$1001,MATCH(ROWS($AG$2:AG231),$AG$2:$AG$1001,0),0), INDEX($AN$1004:$BO$1004,1,MATCH(COLUMNS($AN$1006:AY1006),$AN$1006:$BO$1006,0)))),"Fix")))</f>
        <v>0</v>
      </c>
      <c r="N231" s="4">
        <f>IF(OR(INDEX($AH$2:$AH$1001,MATCH(ROWS($AG$2:AG231),$AG$2:$AG$1001,0),1)&gt;=100000,INDEX($AN$1005:$BO$1005,1,MATCH(COLUMNS($AN$1006:AZ1006),$AN$1006:$BO$1006,0))&gt;=100000), " ",IF(INDEX($AN$2:$BO$1001,MATCH(ROWS($AG$2:AG231),$AG$2:$AG$1001,0),MATCH(COLUMNS($AN$1006:AZ1006),$AN$1006:$BO$1006,0)), HYPERLINK("#",""), HYPERLINK(CONCATENATE("#Metadata!", ADDRESS(INDEX($AI$2:$AI$1001,MATCH(ROWS($AG$2:AG231),$AG$2:$AG$1001,0),0), INDEX($AN$1004:$BO$1004,1,MATCH(COLUMNS($AN$1006:AZ1006),$AN$1006:$BO$1006,0)))),"Fix")))</f>
        <v>0</v>
      </c>
      <c r="O231" s="4">
        <f>IF(OR(INDEX($AH$2:$AH$1001,MATCH(ROWS($AG$2:AG231),$AG$2:$AG$1001,0),1)&gt;=100000,INDEX($AN$1005:$BO$1005,1,MATCH(COLUMNS($AN$1006:BA1006),$AN$1006:$BO$1006,0))&gt;=100000), " ",IF(INDEX($AN$2:$BO$1001,MATCH(ROWS($AG$2:AG231),$AG$2:$AG$1001,0),MATCH(COLUMNS($AN$1006:BA1006),$AN$1006:$BO$1006,0)), HYPERLINK("#",""), HYPERLINK(CONCATENATE("#Metadata!", ADDRESS(INDEX($AI$2:$AI$1001,MATCH(ROWS($AG$2:AG231),$AG$2:$AG$1001,0),0), INDEX($AN$1004:$BO$1004,1,MATCH(COLUMNS($AN$1006:BA1006),$AN$1006:$BO$1006,0)))),"Fix")))</f>
        <v>0</v>
      </c>
      <c r="P231" s="4">
        <f>IF(OR(INDEX($AH$2:$AH$1001,MATCH(ROWS($AG$2:AG231),$AG$2:$AG$1001,0),1)&gt;=100000,INDEX($AN$1005:$BO$1005,1,MATCH(COLUMNS($AN$1006:BB1006),$AN$1006:$BO$1006,0))&gt;=100000), " ",IF(INDEX($AN$2:$BO$1001,MATCH(ROWS($AG$2:AG231),$AG$2:$AG$1001,0),MATCH(COLUMNS($AN$1006:BB1006),$AN$1006:$BO$1006,0)), HYPERLINK("#",""), HYPERLINK(CONCATENATE("#Metadata!", ADDRESS(INDEX($AI$2:$AI$1001,MATCH(ROWS($AG$2:AG231),$AG$2:$AG$1001,0),0), INDEX($AN$1004:$BO$1004,1,MATCH(COLUMNS($AN$1006:BB1006),$AN$1006:$BO$1006,0)))),"Fix")))</f>
        <v>0</v>
      </c>
      <c r="Q231" s="4">
        <f>IF(OR(INDEX($AH$2:$AH$1001,MATCH(ROWS($AG$2:AG231),$AG$2:$AG$1001,0),1)&gt;=100000,INDEX($AN$1005:$BO$1005,1,MATCH(COLUMNS($AN$1006:BC1006),$AN$1006:$BO$1006,0))&gt;=100000), " ",IF(INDEX($AN$2:$BO$1001,MATCH(ROWS($AG$2:AG231),$AG$2:$AG$1001,0),MATCH(COLUMNS($AN$1006:BC1006),$AN$1006:$BO$1006,0)), HYPERLINK("#",""), HYPERLINK(CONCATENATE("#Metadata!", ADDRESS(INDEX($AI$2:$AI$1001,MATCH(ROWS($AG$2:AG231),$AG$2:$AG$1001,0),0), INDEX($AN$1004:$BO$1004,1,MATCH(COLUMNS($AN$1006:BC1006),$AN$1006:$BO$1006,0)))),"Fix")))</f>
        <v>0</v>
      </c>
      <c r="R231" s="4">
        <f>IF(OR(INDEX($AH$2:$AH$1001,MATCH(ROWS($AG$2:AG231),$AG$2:$AG$1001,0),1)&gt;=100000,INDEX($AN$1005:$BO$1005,1,MATCH(COLUMNS($AN$1006:BD1006),$AN$1006:$BO$1006,0))&gt;=100000), " ",IF(INDEX($AN$2:$BO$1001,MATCH(ROWS($AG$2:AG231),$AG$2:$AG$1001,0),MATCH(COLUMNS($AN$1006:BD1006),$AN$1006:$BO$1006,0)), HYPERLINK("#",""), HYPERLINK(CONCATENATE("#Metadata!", ADDRESS(INDEX($AI$2:$AI$1001,MATCH(ROWS($AG$2:AG231),$AG$2:$AG$1001,0),0), INDEX($AN$1004:$BO$1004,1,MATCH(COLUMNS($AN$1006:BD1006),$AN$1006:$BO$1006,0)))),"Fix")))</f>
        <v>0</v>
      </c>
      <c r="S231" s="4">
        <f>IF(OR(INDEX($AH$2:$AH$1001,MATCH(ROWS($AG$2:AG231),$AG$2:$AG$1001,0),1)&gt;=100000,INDEX($AN$1005:$BO$1005,1,MATCH(COLUMNS($AN$1006:BE1006),$AN$1006:$BO$1006,0))&gt;=100000), " ",IF(INDEX($AN$2:$BO$1001,MATCH(ROWS($AG$2:AG231),$AG$2:$AG$1001,0),MATCH(COLUMNS($AN$1006:BE1006),$AN$1006:$BO$1006,0)), HYPERLINK("#",""), HYPERLINK(CONCATENATE("#Metadata!", ADDRESS(INDEX($AI$2:$AI$1001,MATCH(ROWS($AG$2:AG231),$AG$2:$AG$1001,0),0), INDEX($AN$1004:$BO$1004,1,MATCH(COLUMNS($AN$1006:BE1006),$AN$1006:$BO$1006,0)))),"Fix")))</f>
        <v>0</v>
      </c>
      <c r="T231" s="4">
        <f>IF(OR(INDEX($AH$2:$AH$1001,MATCH(ROWS($AG$2:AG231),$AG$2:$AG$1001,0),1)&gt;=100000,INDEX($AN$1005:$BO$1005,1,MATCH(COLUMNS($AN$1006:BF1006),$AN$1006:$BO$1006,0))&gt;=100000), " ",IF(INDEX($AN$2:$BO$1001,MATCH(ROWS($AG$2:AG231),$AG$2:$AG$1001,0),MATCH(COLUMNS($AN$1006:BF1006),$AN$1006:$BO$1006,0)), HYPERLINK("#",""), HYPERLINK(CONCATENATE("#Metadata!", ADDRESS(INDEX($AI$2:$AI$1001,MATCH(ROWS($AG$2:AG231),$AG$2:$AG$1001,0),0), INDEX($AN$1004:$BO$1004,1,MATCH(COLUMNS($AN$1006:BF1006),$AN$1006:$BO$1006,0)))),"Fix")))</f>
        <v>0</v>
      </c>
      <c r="U231" s="4">
        <f>IF(OR(INDEX($AH$2:$AH$1001,MATCH(ROWS($AG$2:AG231),$AG$2:$AG$1001,0),1)&gt;=100000,INDEX($AN$1005:$BO$1005,1,MATCH(COLUMNS($AN$1006:BG1006),$AN$1006:$BO$1006,0))&gt;=100000), " ",IF(INDEX($AN$2:$BO$1001,MATCH(ROWS($AG$2:AG231),$AG$2:$AG$1001,0),MATCH(COLUMNS($AN$1006:BG1006),$AN$1006:$BO$1006,0)), HYPERLINK("#",""), HYPERLINK(CONCATENATE("#Metadata!", ADDRESS(INDEX($AI$2:$AI$1001,MATCH(ROWS($AG$2:AG231),$AG$2:$AG$1001,0),0), INDEX($AN$1004:$BO$1004,1,MATCH(COLUMNS($AN$1006:BG1006),$AN$1006:$BO$1006,0)))),"Fix")))</f>
        <v>0</v>
      </c>
      <c r="V231" s="4">
        <f>IF(OR(INDEX($AH$2:$AH$1001,MATCH(ROWS($AG$2:AG231),$AG$2:$AG$1001,0),1)&gt;=100000,INDEX($AN$1005:$BO$1005,1,MATCH(COLUMNS($AN$1006:BH1006),$AN$1006:$BO$1006,0))&gt;=100000), " ",IF(INDEX($AN$2:$BO$1001,MATCH(ROWS($AG$2:AG231),$AG$2:$AG$1001,0),MATCH(COLUMNS($AN$1006:BH1006),$AN$1006:$BO$1006,0)), HYPERLINK("#",""), HYPERLINK(CONCATENATE("#Metadata!", ADDRESS(INDEX($AI$2:$AI$1001,MATCH(ROWS($AG$2:AG231),$AG$2:$AG$1001,0),0), INDEX($AN$1004:$BO$1004,1,MATCH(COLUMNS($AN$1006:BH1006),$AN$1006:$BO$1006,0)))),"Fix")))</f>
        <v>0</v>
      </c>
      <c r="W231" s="4">
        <f>IF(OR(INDEX($AH$2:$AH$1001,MATCH(ROWS($AG$2:AG231),$AG$2:$AG$1001,0),1)&gt;=100000,INDEX($AN$1005:$BO$1005,1,MATCH(COLUMNS($AN$1006:BI1006),$AN$1006:$BO$1006,0))&gt;=100000), " ",IF(INDEX($AN$2:$BO$1001,MATCH(ROWS($AG$2:AG231),$AG$2:$AG$1001,0),MATCH(COLUMNS($AN$1006:BI1006),$AN$1006:$BO$1006,0)), HYPERLINK("#",""), HYPERLINK(CONCATENATE("#Metadata!", ADDRESS(INDEX($AI$2:$AI$1001,MATCH(ROWS($AG$2:AG231),$AG$2:$AG$1001,0),0), INDEX($AN$1004:$BO$1004,1,MATCH(COLUMNS($AN$1006:BI1006),$AN$1006:$BO$1006,0)))),"Fix")))</f>
        <v>0</v>
      </c>
      <c r="X231" s="4">
        <f>IF(OR(INDEX($AH$2:$AH$1001,MATCH(ROWS($AG$2:AG231),$AG$2:$AG$1001,0),1)&gt;=100000,INDEX($AN$1005:$BO$1005,1,MATCH(COLUMNS($AN$1006:BJ1006),$AN$1006:$BO$1006,0))&gt;=100000), " ",IF(INDEX($AN$2:$BO$1001,MATCH(ROWS($AG$2:AG231),$AG$2:$AG$1001,0),MATCH(COLUMNS($AN$1006:BJ1006),$AN$1006:$BO$1006,0)), HYPERLINK("#",""), HYPERLINK(CONCATENATE("#Metadata!", ADDRESS(INDEX($AI$2:$AI$1001,MATCH(ROWS($AG$2:AG231),$AG$2:$AG$1001,0),0), INDEX($AN$1004:$BO$1004,1,MATCH(COLUMNS($AN$1006:BJ1006),$AN$1006:$BO$1006,0)))),"Fix")))</f>
        <v>0</v>
      </c>
      <c r="Y231" s="4">
        <f>IF(OR(INDEX($AH$2:$AH$1001,MATCH(ROWS($AG$2:AG231),$AG$2:$AG$1001,0),1)&gt;=100000,INDEX($AN$1005:$BO$1005,1,MATCH(COLUMNS($AN$1006:BK1006),$AN$1006:$BO$1006,0))&gt;=100000), " ",IF(INDEX($AN$2:$BO$1001,MATCH(ROWS($AG$2:AG231),$AG$2:$AG$1001,0),MATCH(COLUMNS($AN$1006:BK1006),$AN$1006:$BO$1006,0)), HYPERLINK("#",""), HYPERLINK(CONCATENATE("#Metadata!", ADDRESS(INDEX($AI$2:$AI$1001,MATCH(ROWS($AG$2:AG231),$AG$2:$AG$1001,0),0), INDEX($AN$1004:$BO$1004,1,MATCH(COLUMNS($AN$1006:BK1006),$AN$1006:$BO$1006,0)))),"Fix")))</f>
        <v>0</v>
      </c>
      <c r="Z231" s="4">
        <f>IF(OR(INDEX($AH$2:$AH$1001,MATCH(ROWS($AG$2:AG231),$AG$2:$AG$1001,0),1)&gt;=100000,INDEX($AN$1005:$BO$1005,1,MATCH(COLUMNS($AN$1006:BL1006),$AN$1006:$BO$1006,0))&gt;=100000), " ",IF(INDEX($AN$2:$BO$1001,MATCH(ROWS($AG$2:AG231),$AG$2:$AG$1001,0),MATCH(COLUMNS($AN$1006:BL1006),$AN$1006:$BO$1006,0)), HYPERLINK("#",""), HYPERLINK(CONCATENATE("#Metadata!", ADDRESS(INDEX($AI$2:$AI$1001,MATCH(ROWS($AG$2:AG231),$AG$2:$AG$1001,0),0), INDEX($AN$1004:$BO$1004,1,MATCH(COLUMNS($AN$1006:BL1006),$AN$1006:$BO$1006,0)))),"Fix")))</f>
        <v>0</v>
      </c>
      <c r="AA231" s="4">
        <f>IF(OR(INDEX($AH$2:$AH$1001,MATCH(ROWS($AG$2:AG231),$AG$2:$AG$1001,0),1)&gt;=100000,INDEX($AN$1005:$BO$1005,1,MATCH(COLUMNS($AN$1006:BM1006),$AN$1006:$BO$1006,0))&gt;=100000), " ",IF(INDEX($AN$2:$BO$1001,MATCH(ROWS($AG$2:AG231),$AG$2:$AG$1001,0),MATCH(COLUMNS($AN$1006:BM1006),$AN$1006:$BO$1006,0)), HYPERLINK("#",""), HYPERLINK(CONCATENATE("#Metadata!", ADDRESS(INDEX($AI$2:$AI$1001,MATCH(ROWS($AG$2:AG231),$AG$2:$AG$1001,0),0), INDEX($AN$1004:$BO$1004,1,MATCH(COLUMNS($AN$1006:BM1006),$AN$1006:$BO$1006,0)))),"Fix")))</f>
        <v>0</v>
      </c>
      <c r="AB231" s="4">
        <f>IF(OR(INDEX($AH$2:$AH$1001,MATCH(ROWS($AG$2:AG231),$AG$2:$AG$1001,0),1)&gt;=100000,INDEX($AN$1005:$BO$1005,1,MATCH(COLUMNS($AN$1006:BN1006),$AN$1006:$BO$1006,0))&gt;=100000), " ",IF(INDEX($AN$2:$BO$1001,MATCH(ROWS($AG$2:AG231),$AG$2:$AG$1001,0),MATCH(COLUMNS($AN$1006:BN1006),$AN$1006:$BO$1006,0)), HYPERLINK("#",""), HYPERLINK(CONCATENATE("#Metadata!", ADDRESS(INDEX($AI$2:$AI$1001,MATCH(ROWS($AG$2:AG231),$AG$2:$AG$1001,0),0), INDEX($AN$1004:$BO$1004,1,MATCH(COLUMNS($AN$1006:BN1006),$AN$1006:$BO$1006,0)))),"Fix")))</f>
        <v>0</v>
      </c>
      <c r="AC231" s="4">
        <f>IF(OR(INDEX($AH$2:$AH$1001,MATCH(ROWS($AG$2:AG231),$AG$2:$AG$1001,0),1)&gt;=100000,INDEX($AN$1005:$BO$1005,1,MATCH(COLUMNS($AN$1006:BO1006),$AN$1006:$BO$1006,0))&gt;=100000), " ",IF(INDEX($AN$2:$BO$1001,MATCH(ROWS($AG$2:AG231),$AG$2:$AG$1001,0),MATCH(COLUMNS($AN$1006:BO1006),$AN$1006:$BO$1006,0)), HYPERLINK("#",""), HYPERLINK(CONCATENATE("#Metadata!", ADDRESS(INDEX($AI$2:$AI$1001,MATCH(ROWS($AG$2:AG231),$AG$2:$AG$1001,0),0), INDEX($AN$1004:$BO$1004,1,MATCH(COLUMNS($AN$1006:BO1006),$AN$1006:$BO$1006,0)))),"Fix")))</f>
        <v>0</v>
      </c>
      <c r="AG231">
        <v>0</v>
      </c>
      <c r="AH231">
        <v>0</v>
      </c>
      <c r="AI231">
        <v>0</v>
      </c>
      <c r="AJ231">
        <f>IF(AK231,TRUE,AND(AN231:BO231))</f>
        <v>0</v>
      </c>
      <c r="AK231">
        <f>COUNTBLANK(Metadata!B231:AC231)=COLUMNS(Metadata!B231:AC231)</f>
        <v>0</v>
      </c>
      <c r="AL231">
        <v>0</v>
      </c>
      <c r="AN231">
        <f>AND(IF(Metadata!B231="",FALSE,TRUE),COUNTIF(Metadata!B:B, Metadata!B231) = 1,NOT(ISERROR(SUMPRODUCT(SEARCH(MID(Metadata!B231,ROW(INDIRECT("1:"&amp;LEN(Metadata!B231))), 1),"0123456789abcdefghijklmnopqrstuvwxyzABCDEFGHIJKLMNOPQRSTUVWXYZ.")))))</f>
        <v>0</v>
      </c>
      <c r="AO231">
        <f>IF(Metadata!C231="",FALSE,TRUE)</f>
        <v>0</v>
      </c>
      <c r="AP231">
        <f>IF(Metadata!D231="",FALSE,TRUE)</f>
        <v>0</v>
      </c>
      <c r="AQ231">
        <f>OR(AND(IF(Metadata!E231="",FALSE,TRUE),OR(exact(Metadata!E231,"not collected"),exact(Metadata!E231,"not provided"),exact(Metadata!E231,"restricted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R231">
        <f>IF(Metadata!F231="",FALSE,TRUE)</f>
        <v>0</v>
      </c>
      <c r="AS231">
        <f>OR(AND(IF(Metadata!G231="",FALSE,TRUE),OR(exact(Metadata!G231,"not collected"),exact(Metadata!G231,"not provided"))),AND(IF(Metadata!G231="",FALSE,TRUE),OR(exact(Metadata!G231,"TRUE"),exact(Metadata!G231,"FALSE"))))</f>
        <v>0</v>
      </c>
      <c r="AT231">
        <f>OR(AND(IF(Metadata!H231="",FALSE,TRUE),OR(exact(Metadata!H231,"not collected"),exact(Metadata!H231,"not provided"),exact(Metadata!H231,"restricted access"))),AND(IF(Metadata!H231="",FALSE,ISNUMBER(VALUE(Metadata!H231))),Metadata!H231&gt;=-413.0))</f>
        <v>0</v>
      </c>
      <c r="AU231">
        <f>AND(IF(Metadata!I231="",FALSE,TRUE),exact(Metadata!I231,"meters"))</f>
        <v>0</v>
      </c>
      <c r="AV231">
        <f>AND(IF(Metadata!J231="",FALSE,TRUE),OR(exact(Metadata!J231,"Host-associated"),exact(Metadata!J231,"Free-living")))</f>
        <v>0</v>
      </c>
      <c r="AW231">
        <f>AND(IF(Metadata!K231="",FALSE,TRUE),OR(exact(Metadata!K231,"Animal"),exact(Metadata!K231,"Fungus"),exact(Metadata!K231,"Plant"),exact(Metadata!K231,"Saline"),exact(Metadata!K231,"Non-saline")))</f>
        <v>0</v>
      </c>
      <c r="AX231">
        <f>AND(IF(Metadata!L231="",FALSE,TRUE),OR(exact(Metadata!L231,"Plant secretion"),exact(Metadata!L231,"Plant rhizosphere"),exact(Metadata!L231,"Plant surface"),exact(Metadata!L231,"Plant corpus"),exact(Metadata!L231,"Fungus surface"),exact(Metadata!L231,"Fungus corpus"),exact(Metadata!L231,"Animal surface"),exact(Metadata!L231,"Animal proximal gut"),exact(Metadata!L231,"Animal corpus"),exact(Metadata!L231,"Animal distal gut"),exact(Metadata!L231,"Animal secretion"),exact(Metadata!L231,"Sub-surface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Y231">
        <f>IF(Metadata!M231="",FALSE,TRUE)</f>
        <v>0</v>
      </c>
      <c r="AZ231">
        <f>IF(Metadata!N231="",FALSE,TRUE)</f>
        <v>0</v>
      </c>
      <c r="BA231">
        <f>IF(Metadata!O231="",FALSE,TRUE)</f>
        <v>0</v>
      </c>
      <c r="BB231">
        <f>OR(AND(IF(Metadata!P231="",FALSE,TRUE),OR(exact(Metadata!P231,"not collected"),exact(Metadata!P231,"not provided"),exact(Metadata!P231,"restricted access"))),AND(IF(Metadata!P231="",FALSE,TRUE),OR(exact(Metadata!P231,"air"),exact(Metadata!P231,"built environment"),exact(Metadata!P231,"host-associated"),exact(Metadata!P231,"human-associated"),exact(Metadata!P231,"human-skin"),exact(Metadata!P231,"human-oral"),exact(Metadata!P231,"human-gut"),exact(Metadata!P231,"human-vaginal"),exact(Metadata!P231,"microbial mat/biofilm"),exact(Metadata!P231,"misc environment"),exact(Metadata!P231,"plant-associated"),exact(Metadata!P231,"sediment"),exact(Metadata!P231,"soil"),exact(Metadata!P231,"wastewater/sludge"),exact(Metadata!P231,"water"))))</f>
        <v>0</v>
      </c>
      <c r="BC231">
        <f>IF(Metadata!Q231="",FALSE,TRUE)</f>
        <v>0</v>
      </c>
      <c r="BD231">
        <f>IF(Metadata!R231="",FALSE,TRUE)</f>
        <v>0</v>
      </c>
      <c r="BE231">
        <f>OR(AND(IF(Metadata!S231="",FALSE,TRUE),OR(exact(Metadata!S231,"not collected"),exact(Metadata!S231,"not provided"),exact(Metadata!S231,"restricted access"))),AND(IF(Metadata!S231="",FALSE,ISNUMBER(VALUE(Metadata!S231))),Metadata!S231&gt;=-90.00,Metadata!S231&lt;=90.00))</f>
        <v>0</v>
      </c>
      <c r="BF231">
        <f>AND(IF(Metadata!T231="",FALSE,TRUE),exact(Metadata!T231,"Decimal degrees"))</f>
        <v>0</v>
      </c>
      <c r="BG231">
        <f>OR(AND(IF(Metadata!U231="",FALSE,TRUE),OR(exact(Metadata!U231,"not collected"),exact(Metadata!U231,"not provided"),exact(Metadata!U231,"restricted access"))),AND(IF(Metadata!U231="",FALSE,ISNUMBER(VALUE(Metadata!U231))),Metadata!U231&gt;=-180.00,Metadata!U231&lt;=180.00))</f>
        <v>0</v>
      </c>
      <c r="BH231">
        <f>AND(IF(Metadata!V231="",FALSE,TRUE),exact(Metadata!V231,"Decimal degrees"))</f>
        <v>0</v>
      </c>
      <c r="BI231">
        <f>IF(Metadata!W231="",FALSE,TRUE)</f>
        <v>0</v>
      </c>
      <c r="BJ231">
        <f>OR(AND(IF(Metadata!X231="",FALSE,TRUE),OR(exact(Metadata!X231,"not collected"),exact(Metadata!X231,"not provided"),exact(Metadata!X231,"restricted access"))),AND(IF(Metadata!X231="",FALSE,TRUE),OR(exact(Metadata!X231,"TRUE"),exact(Metadata!X231,"FALSE"))))</f>
        <v>0</v>
      </c>
      <c r="BK231">
        <f>AND(IF(Metadata!Y231="",FALSE,TRUE),exact(Metadata!Y231,"other"))</f>
        <v>0</v>
      </c>
      <c r="BL231">
        <f>IF(Metadata!Z231="",FALSE,TRUE)</f>
        <v>0</v>
      </c>
      <c r="BM231">
        <f>OR(AND(IF(Metadata!AA231="",FALSE,TRUE),OR(exact(Metadata!AA231,"not collected"),exact(Metadata!AA231,"not provided"))),AND(IF(Metadata!AA231="",FALSE,IF(ISERROR(INT(Metadata!AA231)),FALSE,INT(Metadata!AA231)=Metadata!AA231)),Metadata!AA231&gt;0))</f>
        <v>0</v>
      </c>
      <c r="BN231">
        <f>AND(IF(Metadata!AB231="",FALSE,TRUE),exact(Metadata!AB231,"Not applicable"))</f>
        <v>0</v>
      </c>
      <c r="BO231">
        <f>IF(Metadata!AC231="",FALSE,TRUE)</f>
        <v>0</v>
      </c>
    </row>
    <row r="232" spans="1:67">
      <c r="A232" s="5">
        <f>IF(B232=" "," ",HYPERLINK(CONCATENATE("#metadata!",ADDRESS(INDEX($AI$2:$AI$1001,MATCH(ROWS($AG$2:AG232),$AG$2:$AG$1001,0),0),1)),INDEX($AL$2:$AL$1001,MATCH(ROWS($AG$2:AG232),$AG$2:$AG$1001,0),0)))</f>
        <v>0</v>
      </c>
      <c r="B232" s="4">
        <f>IF(OR(INDEX($AH$2:$AH$1001,MATCH(ROWS($AG$2:AG232),$AG$2:$AG$1001,0),1)&gt;=100000,INDEX($AN$1005:$BO$1005,1,MATCH(COLUMNS($AN$1006:AN1006),$AN$1006:$BO$1006,0))&gt;=100000), " ",IF(INDEX($AN$2:$BO$1001,MATCH(ROWS($AG$2:AG232),$AG$2:$AG$1001,0),MATCH(COLUMNS($AN$1006:AN1006),$AN$1006:$BO$1006,0)), HYPERLINK("#",""), HYPERLINK(CONCATENATE("#Metadata!", ADDRESS(INDEX($AI$2:$AI$1001,MATCH(ROWS($AG$2:AG232),$AG$2:$AG$1001,0),0), INDEX($AN$1004:$BO$1004,1,MATCH(COLUMNS($AN$1006:AN1006),$AN$1006:$BO$1006,0)))),"Fix")))</f>
        <v>0</v>
      </c>
      <c r="C232" s="4">
        <f>IF(OR(INDEX($AH$2:$AH$1001,MATCH(ROWS($AG$2:AG232),$AG$2:$AG$1001,0),1)&gt;=100000,INDEX($AN$1005:$BO$1005,1,MATCH(COLUMNS($AN$1006:AO1006),$AN$1006:$BO$1006,0))&gt;=100000), " ",IF(INDEX($AN$2:$BO$1001,MATCH(ROWS($AG$2:AG232),$AG$2:$AG$1001,0),MATCH(COLUMNS($AN$1006:AO1006),$AN$1006:$BO$1006,0)), HYPERLINK("#",""), HYPERLINK(CONCATENATE("#Metadata!", ADDRESS(INDEX($AI$2:$AI$1001,MATCH(ROWS($AG$2:AG232),$AG$2:$AG$1001,0),0), INDEX($AN$1004:$BO$1004,1,MATCH(COLUMNS($AN$1006:AO1006),$AN$1006:$BO$1006,0)))),"Fix")))</f>
        <v>0</v>
      </c>
      <c r="D232" s="4">
        <f>IF(OR(INDEX($AH$2:$AH$1001,MATCH(ROWS($AG$2:AG232),$AG$2:$AG$1001,0),1)&gt;=100000,INDEX($AN$1005:$BO$1005,1,MATCH(COLUMNS($AN$1006:AP1006),$AN$1006:$BO$1006,0))&gt;=100000), " ",IF(INDEX($AN$2:$BO$1001,MATCH(ROWS($AG$2:AG232),$AG$2:$AG$1001,0),MATCH(COLUMNS($AN$1006:AP1006),$AN$1006:$BO$1006,0)), HYPERLINK("#",""), HYPERLINK(CONCATENATE("#Metadata!", ADDRESS(INDEX($AI$2:$AI$1001,MATCH(ROWS($AG$2:AG232),$AG$2:$AG$1001,0),0), INDEX($AN$1004:$BO$1004,1,MATCH(COLUMNS($AN$1006:AP1006),$AN$1006:$BO$1006,0)))),"Fix")))</f>
        <v>0</v>
      </c>
      <c r="E232" s="4">
        <f>IF(OR(INDEX($AH$2:$AH$1001,MATCH(ROWS($AG$2:AG232),$AG$2:$AG$1001,0),1)&gt;=100000,INDEX($AN$1005:$BO$1005,1,MATCH(COLUMNS($AN$1006:AQ1006),$AN$1006:$BO$1006,0))&gt;=100000), " ",IF(INDEX($AN$2:$BO$1001,MATCH(ROWS($AG$2:AG232),$AG$2:$AG$1001,0),MATCH(COLUMNS($AN$1006:AQ1006),$AN$1006:$BO$1006,0)), HYPERLINK("#",""), HYPERLINK(CONCATENATE("#Metadata!", ADDRESS(INDEX($AI$2:$AI$1001,MATCH(ROWS($AG$2:AG232),$AG$2:$AG$1001,0),0), INDEX($AN$1004:$BO$1004,1,MATCH(COLUMNS($AN$1006:AQ1006),$AN$1006:$BO$1006,0)))),"Fix")))</f>
        <v>0</v>
      </c>
      <c r="F232" s="4">
        <f>IF(OR(INDEX($AH$2:$AH$1001,MATCH(ROWS($AG$2:AG232),$AG$2:$AG$1001,0),1)&gt;=100000,INDEX($AN$1005:$BO$1005,1,MATCH(COLUMNS($AN$1006:AR1006),$AN$1006:$BO$1006,0))&gt;=100000), " ",IF(INDEX($AN$2:$BO$1001,MATCH(ROWS($AG$2:AG232),$AG$2:$AG$1001,0),MATCH(COLUMNS($AN$1006:AR1006),$AN$1006:$BO$1006,0)), HYPERLINK("#",""), HYPERLINK(CONCATENATE("#Metadata!", ADDRESS(INDEX($AI$2:$AI$1001,MATCH(ROWS($AG$2:AG232),$AG$2:$AG$1001,0),0), INDEX($AN$1004:$BO$1004,1,MATCH(COLUMNS($AN$1006:AR1006),$AN$1006:$BO$1006,0)))),"Fix")))</f>
        <v>0</v>
      </c>
      <c r="G232" s="4">
        <f>IF(OR(INDEX($AH$2:$AH$1001,MATCH(ROWS($AG$2:AG232),$AG$2:$AG$1001,0),1)&gt;=100000,INDEX($AN$1005:$BO$1005,1,MATCH(COLUMNS($AN$1006:AS1006),$AN$1006:$BO$1006,0))&gt;=100000), " ",IF(INDEX($AN$2:$BO$1001,MATCH(ROWS($AG$2:AG232),$AG$2:$AG$1001,0),MATCH(COLUMNS($AN$1006:AS1006),$AN$1006:$BO$1006,0)), HYPERLINK("#",""), HYPERLINK(CONCATENATE("#Metadata!", ADDRESS(INDEX($AI$2:$AI$1001,MATCH(ROWS($AG$2:AG232),$AG$2:$AG$1001,0),0), INDEX($AN$1004:$BO$1004,1,MATCH(COLUMNS($AN$1006:AS1006),$AN$1006:$BO$1006,0)))),"Fix")))</f>
        <v>0</v>
      </c>
      <c r="H232" s="4">
        <f>IF(OR(INDEX($AH$2:$AH$1001,MATCH(ROWS($AG$2:AG232),$AG$2:$AG$1001,0),1)&gt;=100000,INDEX($AN$1005:$BO$1005,1,MATCH(COLUMNS($AN$1006:AT1006),$AN$1006:$BO$1006,0))&gt;=100000), " ",IF(INDEX($AN$2:$BO$1001,MATCH(ROWS($AG$2:AG232),$AG$2:$AG$1001,0),MATCH(COLUMNS($AN$1006:AT1006),$AN$1006:$BO$1006,0)), HYPERLINK("#",""), HYPERLINK(CONCATENATE("#Metadata!", ADDRESS(INDEX($AI$2:$AI$1001,MATCH(ROWS($AG$2:AG232),$AG$2:$AG$1001,0),0), INDEX($AN$1004:$BO$1004,1,MATCH(COLUMNS($AN$1006:AT1006),$AN$1006:$BO$1006,0)))),"Fix")))</f>
        <v>0</v>
      </c>
      <c r="I232" s="4">
        <f>IF(OR(INDEX($AH$2:$AH$1001,MATCH(ROWS($AG$2:AG232),$AG$2:$AG$1001,0),1)&gt;=100000,INDEX($AN$1005:$BO$1005,1,MATCH(COLUMNS($AN$1006:AU1006),$AN$1006:$BO$1006,0))&gt;=100000), " ",IF(INDEX($AN$2:$BO$1001,MATCH(ROWS($AG$2:AG232),$AG$2:$AG$1001,0),MATCH(COLUMNS($AN$1006:AU1006),$AN$1006:$BO$1006,0)), HYPERLINK("#",""), HYPERLINK(CONCATENATE("#Metadata!", ADDRESS(INDEX($AI$2:$AI$1001,MATCH(ROWS($AG$2:AG232),$AG$2:$AG$1001,0),0), INDEX($AN$1004:$BO$1004,1,MATCH(COLUMNS($AN$1006:AU1006),$AN$1006:$BO$1006,0)))),"Fix")))</f>
        <v>0</v>
      </c>
      <c r="J232" s="4">
        <f>IF(OR(INDEX($AH$2:$AH$1001,MATCH(ROWS($AG$2:AG232),$AG$2:$AG$1001,0),1)&gt;=100000,INDEX($AN$1005:$BO$1005,1,MATCH(COLUMNS($AN$1006:AV1006),$AN$1006:$BO$1006,0))&gt;=100000), " ",IF(INDEX($AN$2:$BO$1001,MATCH(ROWS($AG$2:AG232),$AG$2:$AG$1001,0),MATCH(COLUMNS($AN$1006:AV1006),$AN$1006:$BO$1006,0)), HYPERLINK("#",""), HYPERLINK(CONCATENATE("#Metadata!", ADDRESS(INDEX($AI$2:$AI$1001,MATCH(ROWS($AG$2:AG232),$AG$2:$AG$1001,0),0), INDEX($AN$1004:$BO$1004,1,MATCH(COLUMNS($AN$1006:AV1006),$AN$1006:$BO$1006,0)))),"Fix")))</f>
        <v>0</v>
      </c>
      <c r="K232" s="4">
        <f>IF(OR(INDEX($AH$2:$AH$1001,MATCH(ROWS($AG$2:AG232),$AG$2:$AG$1001,0),1)&gt;=100000,INDEX($AN$1005:$BO$1005,1,MATCH(COLUMNS($AN$1006:AW1006),$AN$1006:$BO$1006,0))&gt;=100000), " ",IF(INDEX($AN$2:$BO$1001,MATCH(ROWS($AG$2:AG232),$AG$2:$AG$1001,0),MATCH(COLUMNS($AN$1006:AW1006),$AN$1006:$BO$1006,0)), HYPERLINK("#",""), HYPERLINK(CONCATENATE("#Metadata!", ADDRESS(INDEX($AI$2:$AI$1001,MATCH(ROWS($AG$2:AG232),$AG$2:$AG$1001,0),0), INDEX($AN$1004:$BO$1004,1,MATCH(COLUMNS($AN$1006:AW1006),$AN$1006:$BO$1006,0)))),"Fix")))</f>
        <v>0</v>
      </c>
      <c r="L232" s="4">
        <f>IF(OR(INDEX($AH$2:$AH$1001,MATCH(ROWS($AG$2:AG232),$AG$2:$AG$1001,0),1)&gt;=100000,INDEX($AN$1005:$BO$1005,1,MATCH(COLUMNS($AN$1006:AX1006),$AN$1006:$BO$1006,0))&gt;=100000), " ",IF(INDEX($AN$2:$BO$1001,MATCH(ROWS($AG$2:AG232),$AG$2:$AG$1001,0),MATCH(COLUMNS($AN$1006:AX1006),$AN$1006:$BO$1006,0)), HYPERLINK("#",""), HYPERLINK(CONCATENATE("#Metadata!", ADDRESS(INDEX($AI$2:$AI$1001,MATCH(ROWS($AG$2:AG232),$AG$2:$AG$1001,0),0), INDEX($AN$1004:$BO$1004,1,MATCH(COLUMNS($AN$1006:AX1006),$AN$1006:$BO$1006,0)))),"Fix")))</f>
        <v>0</v>
      </c>
      <c r="M232" s="4">
        <f>IF(OR(INDEX($AH$2:$AH$1001,MATCH(ROWS($AG$2:AG232),$AG$2:$AG$1001,0),1)&gt;=100000,INDEX($AN$1005:$BO$1005,1,MATCH(COLUMNS($AN$1006:AY1006),$AN$1006:$BO$1006,0))&gt;=100000), " ",IF(INDEX($AN$2:$BO$1001,MATCH(ROWS($AG$2:AG232),$AG$2:$AG$1001,0),MATCH(COLUMNS($AN$1006:AY1006),$AN$1006:$BO$1006,0)), HYPERLINK("#",""), HYPERLINK(CONCATENATE("#Metadata!", ADDRESS(INDEX($AI$2:$AI$1001,MATCH(ROWS($AG$2:AG232),$AG$2:$AG$1001,0),0), INDEX($AN$1004:$BO$1004,1,MATCH(COLUMNS($AN$1006:AY1006),$AN$1006:$BO$1006,0)))),"Fix")))</f>
        <v>0</v>
      </c>
      <c r="N232" s="4">
        <f>IF(OR(INDEX($AH$2:$AH$1001,MATCH(ROWS($AG$2:AG232),$AG$2:$AG$1001,0),1)&gt;=100000,INDEX($AN$1005:$BO$1005,1,MATCH(COLUMNS($AN$1006:AZ1006),$AN$1006:$BO$1006,0))&gt;=100000), " ",IF(INDEX($AN$2:$BO$1001,MATCH(ROWS($AG$2:AG232),$AG$2:$AG$1001,0),MATCH(COLUMNS($AN$1006:AZ1006),$AN$1006:$BO$1006,0)), HYPERLINK("#",""), HYPERLINK(CONCATENATE("#Metadata!", ADDRESS(INDEX($AI$2:$AI$1001,MATCH(ROWS($AG$2:AG232),$AG$2:$AG$1001,0),0), INDEX($AN$1004:$BO$1004,1,MATCH(COLUMNS($AN$1006:AZ1006),$AN$1006:$BO$1006,0)))),"Fix")))</f>
        <v>0</v>
      </c>
      <c r="O232" s="4">
        <f>IF(OR(INDEX($AH$2:$AH$1001,MATCH(ROWS($AG$2:AG232),$AG$2:$AG$1001,0),1)&gt;=100000,INDEX($AN$1005:$BO$1005,1,MATCH(COLUMNS($AN$1006:BA1006),$AN$1006:$BO$1006,0))&gt;=100000), " ",IF(INDEX($AN$2:$BO$1001,MATCH(ROWS($AG$2:AG232),$AG$2:$AG$1001,0),MATCH(COLUMNS($AN$1006:BA1006),$AN$1006:$BO$1006,0)), HYPERLINK("#",""), HYPERLINK(CONCATENATE("#Metadata!", ADDRESS(INDEX($AI$2:$AI$1001,MATCH(ROWS($AG$2:AG232),$AG$2:$AG$1001,0),0), INDEX($AN$1004:$BO$1004,1,MATCH(COLUMNS($AN$1006:BA1006),$AN$1006:$BO$1006,0)))),"Fix")))</f>
        <v>0</v>
      </c>
      <c r="P232" s="4">
        <f>IF(OR(INDEX($AH$2:$AH$1001,MATCH(ROWS($AG$2:AG232),$AG$2:$AG$1001,0),1)&gt;=100000,INDEX($AN$1005:$BO$1005,1,MATCH(COLUMNS($AN$1006:BB1006),$AN$1006:$BO$1006,0))&gt;=100000), " ",IF(INDEX($AN$2:$BO$1001,MATCH(ROWS($AG$2:AG232),$AG$2:$AG$1001,0),MATCH(COLUMNS($AN$1006:BB1006),$AN$1006:$BO$1006,0)), HYPERLINK("#",""), HYPERLINK(CONCATENATE("#Metadata!", ADDRESS(INDEX($AI$2:$AI$1001,MATCH(ROWS($AG$2:AG232),$AG$2:$AG$1001,0),0), INDEX($AN$1004:$BO$1004,1,MATCH(COLUMNS($AN$1006:BB1006),$AN$1006:$BO$1006,0)))),"Fix")))</f>
        <v>0</v>
      </c>
      <c r="Q232" s="4">
        <f>IF(OR(INDEX($AH$2:$AH$1001,MATCH(ROWS($AG$2:AG232),$AG$2:$AG$1001,0),1)&gt;=100000,INDEX($AN$1005:$BO$1005,1,MATCH(COLUMNS($AN$1006:BC1006),$AN$1006:$BO$1006,0))&gt;=100000), " ",IF(INDEX($AN$2:$BO$1001,MATCH(ROWS($AG$2:AG232),$AG$2:$AG$1001,0),MATCH(COLUMNS($AN$1006:BC1006),$AN$1006:$BO$1006,0)), HYPERLINK("#",""), HYPERLINK(CONCATENATE("#Metadata!", ADDRESS(INDEX($AI$2:$AI$1001,MATCH(ROWS($AG$2:AG232),$AG$2:$AG$1001,0),0), INDEX($AN$1004:$BO$1004,1,MATCH(COLUMNS($AN$1006:BC1006),$AN$1006:$BO$1006,0)))),"Fix")))</f>
        <v>0</v>
      </c>
      <c r="R232" s="4">
        <f>IF(OR(INDEX($AH$2:$AH$1001,MATCH(ROWS($AG$2:AG232),$AG$2:$AG$1001,0),1)&gt;=100000,INDEX($AN$1005:$BO$1005,1,MATCH(COLUMNS($AN$1006:BD1006),$AN$1006:$BO$1006,0))&gt;=100000), " ",IF(INDEX($AN$2:$BO$1001,MATCH(ROWS($AG$2:AG232),$AG$2:$AG$1001,0),MATCH(COLUMNS($AN$1006:BD1006),$AN$1006:$BO$1006,0)), HYPERLINK("#",""), HYPERLINK(CONCATENATE("#Metadata!", ADDRESS(INDEX($AI$2:$AI$1001,MATCH(ROWS($AG$2:AG232),$AG$2:$AG$1001,0),0), INDEX($AN$1004:$BO$1004,1,MATCH(COLUMNS($AN$1006:BD1006),$AN$1006:$BO$1006,0)))),"Fix")))</f>
        <v>0</v>
      </c>
      <c r="S232" s="4">
        <f>IF(OR(INDEX($AH$2:$AH$1001,MATCH(ROWS($AG$2:AG232),$AG$2:$AG$1001,0),1)&gt;=100000,INDEX($AN$1005:$BO$1005,1,MATCH(COLUMNS($AN$1006:BE1006),$AN$1006:$BO$1006,0))&gt;=100000), " ",IF(INDEX($AN$2:$BO$1001,MATCH(ROWS($AG$2:AG232),$AG$2:$AG$1001,0),MATCH(COLUMNS($AN$1006:BE1006),$AN$1006:$BO$1006,0)), HYPERLINK("#",""), HYPERLINK(CONCATENATE("#Metadata!", ADDRESS(INDEX($AI$2:$AI$1001,MATCH(ROWS($AG$2:AG232),$AG$2:$AG$1001,0),0), INDEX($AN$1004:$BO$1004,1,MATCH(COLUMNS($AN$1006:BE1006),$AN$1006:$BO$1006,0)))),"Fix")))</f>
        <v>0</v>
      </c>
      <c r="T232" s="4">
        <f>IF(OR(INDEX($AH$2:$AH$1001,MATCH(ROWS($AG$2:AG232),$AG$2:$AG$1001,0),1)&gt;=100000,INDEX($AN$1005:$BO$1005,1,MATCH(COLUMNS($AN$1006:BF1006),$AN$1006:$BO$1006,0))&gt;=100000), " ",IF(INDEX($AN$2:$BO$1001,MATCH(ROWS($AG$2:AG232),$AG$2:$AG$1001,0),MATCH(COLUMNS($AN$1006:BF1006),$AN$1006:$BO$1006,0)), HYPERLINK("#",""), HYPERLINK(CONCATENATE("#Metadata!", ADDRESS(INDEX($AI$2:$AI$1001,MATCH(ROWS($AG$2:AG232),$AG$2:$AG$1001,0),0), INDEX($AN$1004:$BO$1004,1,MATCH(COLUMNS($AN$1006:BF1006),$AN$1006:$BO$1006,0)))),"Fix")))</f>
        <v>0</v>
      </c>
      <c r="U232" s="4">
        <f>IF(OR(INDEX($AH$2:$AH$1001,MATCH(ROWS($AG$2:AG232),$AG$2:$AG$1001,0),1)&gt;=100000,INDEX($AN$1005:$BO$1005,1,MATCH(COLUMNS($AN$1006:BG1006),$AN$1006:$BO$1006,0))&gt;=100000), " ",IF(INDEX($AN$2:$BO$1001,MATCH(ROWS($AG$2:AG232),$AG$2:$AG$1001,0),MATCH(COLUMNS($AN$1006:BG1006),$AN$1006:$BO$1006,0)), HYPERLINK("#",""), HYPERLINK(CONCATENATE("#Metadata!", ADDRESS(INDEX($AI$2:$AI$1001,MATCH(ROWS($AG$2:AG232),$AG$2:$AG$1001,0),0), INDEX($AN$1004:$BO$1004,1,MATCH(COLUMNS($AN$1006:BG1006),$AN$1006:$BO$1006,0)))),"Fix")))</f>
        <v>0</v>
      </c>
      <c r="V232" s="4">
        <f>IF(OR(INDEX($AH$2:$AH$1001,MATCH(ROWS($AG$2:AG232),$AG$2:$AG$1001,0),1)&gt;=100000,INDEX($AN$1005:$BO$1005,1,MATCH(COLUMNS($AN$1006:BH1006),$AN$1006:$BO$1006,0))&gt;=100000), " ",IF(INDEX($AN$2:$BO$1001,MATCH(ROWS($AG$2:AG232),$AG$2:$AG$1001,0),MATCH(COLUMNS($AN$1006:BH1006),$AN$1006:$BO$1006,0)), HYPERLINK("#",""), HYPERLINK(CONCATENATE("#Metadata!", ADDRESS(INDEX($AI$2:$AI$1001,MATCH(ROWS($AG$2:AG232),$AG$2:$AG$1001,0),0), INDEX($AN$1004:$BO$1004,1,MATCH(COLUMNS($AN$1006:BH1006),$AN$1006:$BO$1006,0)))),"Fix")))</f>
        <v>0</v>
      </c>
      <c r="W232" s="4">
        <f>IF(OR(INDEX($AH$2:$AH$1001,MATCH(ROWS($AG$2:AG232),$AG$2:$AG$1001,0),1)&gt;=100000,INDEX($AN$1005:$BO$1005,1,MATCH(COLUMNS($AN$1006:BI1006),$AN$1006:$BO$1006,0))&gt;=100000), " ",IF(INDEX($AN$2:$BO$1001,MATCH(ROWS($AG$2:AG232),$AG$2:$AG$1001,0),MATCH(COLUMNS($AN$1006:BI1006),$AN$1006:$BO$1006,0)), HYPERLINK("#",""), HYPERLINK(CONCATENATE("#Metadata!", ADDRESS(INDEX($AI$2:$AI$1001,MATCH(ROWS($AG$2:AG232),$AG$2:$AG$1001,0),0), INDEX($AN$1004:$BO$1004,1,MATCH(COLUMNS($AN$1006:BI1006),$AN$1006:$BO$1006,0)))),"Fix")))</f>
        <v>0</v>
      </c>
      <c r="X232" s="4">
        <f>IF(OR(INDEX($AH$2:$AH$1001,MATCH(ROWS($AG$2:AG232),$AG$2:$AG$1001,0),1)&gt;=100000,INDEX($AN$1005:$BO$1005,1,MATCH(COLUMNS($AN$1006:BJ1006),$AN$1006:$BO$1006,0))&gt;=100000), " ",IF(INDEX($AN$2:$BO$1001,MATCH(ROWS($AG$2:AG232),$AG$2:$AG$1001,0),MATCH(COLUMNS($AN$1006:BJ1006),$AN$1006:$BO$1006,0)), HYPERLINK("#",""), HYPERLINK(CONCATENATE("#Metadata!", ADDRESS(INDEX($AI$2:$AI$1001,MATCH(ROWS($AG$2:AG232),$AG$2:$AG$1001,0),0), INDEX($AN$1004:$BO$1004,1,MATCH(COLUMNS($AN$1006:BJ1006),$AN$1006:$BO$1006,0)))),"Fix")))</f>
        <v>0</v>
      </c>
      <c r="Y232" s="4">
        <f>IF(OR(INDEX($AH$2:$AH$1001,MATCH(ROWS($AG$2:AG232),$AG$2:$AG$1001,0),1)&gt;=100000,INDEX($AN$1005:$BO$1005,1,MATCH(COLUMNS($AN$1006:BK1006),$AN$1006:$BO$1006,0))&gt;=100000), " ",IF(INDEX($AN$2:$BO$1001,MATCH(ROWS($AG$2:AG232),$AG$2:$AG$1001,0),MATCH(COLUMNS($AN$1006:BK1006),$AN$1006:$BO$1006,0)), HYPERLINK("#",""), HYPERLINK(CONCATENATE("#Metadata!", ADDRESS(INDEX($AI$2:$AI$1001,MATCH(ROWS($AG$2:AG232),$AG$2:$AG$1001,0),0), INDEX($AN$1004:$BO$1004,1,MATCH(COLUMNS($AN$1006:BK1006),$AN$1006:$BO$1006,0)))),"Fix")))</f>
        <v>0</v>
      </c>
      <c r="Z232" s="4">
        <f>IF(OR(INDEX($AH$2:$AH$1001,MATCH(ROWS($AG$2:AG232),$AG$2:$AG$1001,0),1)&gt;=100000,INDEX($AN$1005:$BO$1005,1,MATCH(COLUMNS($AN$1006:BL1006),$AN$1006:$BO$1006,0))&gt;=100000), " ",IF(INDEX($AN$2:$BO$1001,MATCH(ROWS($AG$2:AG232),$AG$2:$AG$1001,0),MATCH(COLUMNS($AN$1006:BL1006),$AN$1006:$BO$1006,0)), HYPERLINK("#",""), HYPERLINK(CONCATENATE("#Metadata!", ADDRESS(INDEX($AI$2:$AI$1001,MATCH(ROWS($AG$2:AG232),$AG$2:$AG$1001,0),0), INDEX($AN$1004:$BO$1004,1,MATCH(COLUMNS($AN$1006:BL1006),$AN$1006:$BO$1006,0)))),"Fix")))</f>
        <v>0</v>
      </c>
      <c r="AA232" s="4">
        <f>IF(OR(INDEX($AH$2:$AH$1001,MATCH(ROWS($AG$2:AG232),$AG$2:$AG$1001,0),1)&gt;=100000,INDEX($AN$1005:$BO$1005,1,MATCH(COLUMNS($AN$1006:BM1006),$AN$1006:$BO$1006,0))&gt;=100000), " ",IF(INDEX($AN$2:$BO$1001,MATCH(ROWS($AG$2:AG232),$AG$2:$AG$1001,0),MATCH(COLUMNS($AN$1006:BM1006),$AN$1006:$BO$1006,0)), HYPERLINK("#",""), HYPERLINK(CONCATENATE("#Metadata!", ADDRESS(INDEX($AI$2:$AI$1001,MATCH(ROWS($AG$2:AG232),$AG$2:$AG$1001,0),0), INDEX($AN$1004:$BO$1004,1,MATCH(COLUMNS($AN$1006:BM1006),$AN$1006:$BO$1006,0)))),"Fix")))</f>
        <v>0</v>
      </c>
      <c r="AB232" s="4">
        <f>IF(OR(INDEX($AH$2:$AH$1001,MATCH(ROWS($AG$2:AG232),$AG$2:$AG$1001,0),1)&gt;=100000,INDEX($AN$1005:$BO$1005,1,MATCH(COLUMNS($AN$1006:BN1006),$AN$1006:$BO$1006,0))&gt;=100000), " ",IF(INDEX($AN$2:$BO$1001,MATCH(ROWS($AG$2:AG232),$AG$2:$AG$1001,0),MATCH(COLUMNS($AN$1006:BN1006),$AN$1006:$BO$1006,0)), HYPERLINK("#",""), HYPERLINK(CONCATENATE("#Metadata!", ADDRESS(INDEX($AI$2:$AI$1001,MATCH(ROWS($AG$2:AG232),$AG$2:$AG$1001,0),0), INDEX($AN$1004:$BO$1004,1,MATCH(COLUMNS($AN$1006:BN1006),$AN$1006:$BO$1006,0)))),"Fix")))</f>
        <v>0</v>
      </c>
      <c r="AC232" s="4">
        <f>IF(OR(INDEX($AH$2:$AH$1001,MATCH(ROWS($AG$2:AG232),$AG$2:$AG$1001,0),1)&gt;=100000,INDEX($AN$1005:$BO$1005,1,MATCH(COLUMNS($AN$1006:BO1006),$AN$1006:$BO$1006,0))&gt;=100000), " ",IF(INDEX($AN$2:$BO$1001,MATCH(ROWS($AG$2:AG232),$AG$2:$AG$1001,0),MATCH(COLUMNS($AN$1006:BO1006),$AN$1006:$BO$1006,0)), HYPERLINK("#",""), HYPERLINK(CONCATENATE("#Metadata!", ADDRESS(INDEX($AI$2:$AI$1001,MATCH(ROWS($AG$2:AG232),$AG$2:$AG$1001,0),0), INDEX($AN$1004:$BO$1004,1,MATCH(COLUMNS($AN$1006:BO1006),$AN$1006:$BO$1006,0)))),"Fix")))</f>
        <v>0</v>
      </c>
      <c r="AG232">
        <v>0</v>
      </c>
      <c r="AH232">
        <v>0</v>
      </c>
      <c r="AI232">
        <v>0</v>
      </c>
      <c r="AJ232">
        <f>IF(AK232,TRUE,AND(AN232:BO232))</f>
        <v>0</v>
      </c>
      <c r="AK232">
        <f>COUNTBLANK(Metadata!B232:AC232)=COLUMNS(Metadata!B232:AC232)</f>
        <v>0</v>
      </c>
      <c r="AL232">
        <v>0</v>
      </c>
      <c r="AN232">
        <f>AND(IF(Metadata!B232="",FALSE,TRUE),COUNTIF(Metadata!B:B, Metadata!B232) = 1,NOT(ISERROR(SUMPRODUCT(SEARCH(MID(Metadata!B232,ROW(INDIRECT("1:"&amp;LEN(Metadata!B232))), 1),"0123456789abcdefghijklmnopqrstuvwxyzABCDEFGHIJKLMNOPQRSTUVWXYZ.")))))</f>
        <v>0</v>
      </c>
      <c r="AO232">
        <f>IF(Metadata!C232="",FALSE,TRUE)</f>
        <v>0</v>
      </c>
      <c r="AP232">
        <f>IF(Metadata!D232="",FALSE,TRUE)</f>
        <v>0</v>
      </c>
      <c r="AQ232">
        <f>OR(AND(IF(Metadata!E232="",FALSE,TRUE),OR(exact(Metadata!E232,"not collected"),exact(Metadata!E232,"not provided"),exact(Metadata!E232,"restricted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R232">
        <f>IF(Metadata!F232="",FALSE,TRUE)</f>
        <v>0</v>
      </c>
      <c r="AS232">
        <f>OR(AND(IF(Metadata!G232="",FALSE,TRUE),OR(exact(Metadata!G232,"not collected"),exact(Metadata!G232,"not provided"))),AND(IF(Metadata!G232="",FALSE,TRUE),OR(exact(Metadata!G232,"TRUE"),exact(Metadata!G232,"FALSE"))))</f>
        <v>0</v>
      </c>
      <c r="AT232">
        <f>OR(AND(IF(Metadata!H232="",FALSE,TRUE),OR(exact(Metadata!H232,"not collected"),exact(Metadata!H232,"not provided"),exact(Metadata!H232,"restricted access"))),AND(IF(Metadata!H232="",FALSE,ISNUMBER(VALUE(Metadata!H232))),Metadata!H232&gt;=-413.0))</f>
        <v>0</v>
      </c>
      <c r="AU232">
        <f>AND(IF(Metadata!I232="",FALSE,TRUE),exact(Metadata!I232,"meters"))</f>
        <v>0</v>
      </c>
      <c r="AV232">
        <f>AND(IF(Metadata!J232="",FALSE,TRUE),OR(exact(Metadata!J232,"Host-associated"),exact(Metadata!J232,"Free-living")))</f>
        <v>0</v>
      </c>
      <c r="AW232">
        <f>AND(IF(Metadata!K232="",FALSE,TRUE),OR(exact(Metadata!K232,"Animal"),exact(Metadata!K232,"Fungus"),exact(Metadata!K232,"Plant"),exact(Metadata!K232,"Saline"),exact(Metadata!K232,"Non-saline")))</f>
        <v>0</v>
      </c>
      <c r="AX232">
        <f>AND(IF(Metadata!L232="",FALSE,TRUE),OR(exact(Metadata!L232,"Plant secretion"),exact(Metadata!L232,"Plant rhizosphere"),exact(Metadata!L232,"Plant surface"),exact(Metadata!L232,"Plant corpus"),exact(Metadata!L232,"Fungus surface"),exact(Metadata!L232,"Fungus corpus"),exact(Metadata!L232,"Animal surface"),exact(Metadata!L232,"Animal proximal gut"),exact(Metadata!L232,"Animal corpus"),exact(Metadata!L232,"Animal distal gut"),exact(Metadata!L232,"Animal secretion"),exact(Metadata!L232,"Sub-surface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Y232">
        <f>IF(Metadata!M232="",FALSE,TRUE)</f>
        <v>0</v>
      </c>
      <c r="AZ232">
        <f>IF(Metadata!N232="",FALSE,TRUE)</f>
        <v>0</v>
      </c>
      <c r="BA232">
        <f>IF(Metadata!O232="",FALSE,TRUE)</f>
        <v>0</v>
      </c>
      <c r="BB232">
        <f>OR(AND(IF(Metadata!P232="",FALSE,TRUE),OR(exact(Metadata!P232,"not collected"),exact(Metadata!P232,"not provided"),exact(Metadata!P232,"restricted access"))),AND(IF(Metadata!P232="",FALSE,TRUE),OR(exact(Metadata!P232,"air"),exact(Metadata!P232,"built environment"),exact(Metadata!P232,"host-associated"),exact(Metadata!P232,"human-associated"),exact(Metadata!P232,"human-skin"),exact(Metadata!P232,"human-oral"),exact(Metadata!P232,"human-gut"),exact(Metadata!P232,"human-vaginal"),exact(Metadata!P232,"microbial mat/biofilm"),exact(Metadata!P232,"misc environment"),exact(Metadata!P232,"plant-associated"),exact(Metadata!P232,"sediment"),exact(Metadata!P232,"soil"),exact(Metadata!P232,"wastewater/sludge"),exact(Metadata!P232,"water"))))</f>
        <v>0</v>
      </c>
      <c r="BC232">
        <f>IF(Metadata!Q232="",FALSE,TRUE)</f>
        <v>0</v>
      </c>
      <c r="BD232">
        <f>IF(Metadata!R232="",FALSE,TRUE)</f>
        <v>0</v>
      </c>
      <c r="BE232">
        <f>OR(AND(IF(Metadata!S232="",FALSE,TRUE),OR(exact(Metadata!S232,"not collected"),exact(Metadata!S232,"not provided"),exact(Metadata!S232,"restricted access"))),AND(IF(Metadata!S232="",FALSE,ISNUMBER(VALUE(Metadata!S232))),Metadata!S232&gt;=-90.00,Metadata!S232&lt;=90.00))</f>
        <v>0</v>
      </c>
      <c r="BF232">
        <f>AND(IF(Metadata!T232="",FALSE,TRUE),exact(Metadata!T232,"Decimal degrees"))</f>
        <v>0</v>
      </c>
      <c r="BG232">
        <f>OR(AND(IF(Metadata!U232="",FALSE,TRUE),OR(exact(Metadata!U232,"not collected"),exact(Metadata!U232,"not provided"),exact(Metadata!U232,"restricted access"))),AND(IF(Metadata!U232="",FALSE,ISNUMBER(VALUE(Metadata!U232))),Metadata!U232&gt;=-180.00,Metadata!U232&lt;=180.00))</f>
        <v>0</v>
      </c>
      <c r="BH232">
        <f>AND(IF(Metadata!V232="",FALSE,TRUE),exact(Metadata!V232,"Decimal degrees"))</f>
        <v>0</v>
      </c>
      <c r="BI232">
        <f>IF(Metadata!W232="",FALSE,TRUE)</f>
        <v>0</v>
      </c>
      <c r="BJ232">
        <f>OR(AND(IF(Metadata!X232="",FALSE,TRUE),OR(exact(Metadata!X232,"not collected"),exact(Metadata!X232,"not provided"),exact(Metadata!X232,"restricted access"))),AND(IF(Metadata!X232="",FALSE,TRUE),OR(exact(Metadata!X232,"TRUE"),exact(Metadata!X232,"FALSE"))))</f>
        <v>0</v>
      </c>
      <c r="BK232">
        <f>AND(IF(Metadata!Y232="",FALSE,TRUE),exact(Metadata!Y232,"other"))</f>
        <v>0</v>
      </c>
      <c r="BL232">
        <f>IF(Metadata!Z232="",FALSE,TRUE)</f>
        <v>0</v>
      </c>
      <c r="BM232">
        <f>OR(AND(IF(Metadata!AA232="",FALSE,TRUE),OR(exact(Metadata!AA232,"not collected"),exact(Metadata!AA232,"not provided"))),AND(IF(Metadata!AA232="",FALSE,IF(ISERROR(INT(Metadata!AA232)),FALSE,INT(Metadata!AA232)=Metadata!AA232)),Metadata!AA232&gt;0))</f>
        <v>0</v>
      </c>
      <c r="BN232">
        <f>AND(IF(Metadata!AB232="",FALSE,TRUE),exact(Metadata!AB232,"Not applicable"))</f>
        <v>0</v>
      </c>
      <c r="BO232">
        <f>IF(Metadata!AC232="",FALSE,TRUE)</f>
        <v>0</v>
      </c>
    </row>
    <row r="233" spans="1:67">
      <c r="A233" s="5">
        <f>IF(B233=" "," ",HYPERLINK(CONCATENATE("#metadata!",ADDRESS(INDEX($AI$2:$AI$1001,MATCH(ROWS($AG$2:AG233),$AG$2:$AG$1001,0),0),1)),INDEX($AL$2:$AL$1001,MATCH(ROWS($AG$2:AG233),$AG$2:$AG$1001,0),0)))</f>
        <v>0</v>
      </c>
      <c r="B233" s="4">
        <f>IF(OR(INDEX($AH$2:$AH$1001,MATCH(ROWS($AG$2:AG233),$AG$2:$AG$1001,0),1)&gt;=100000,INDEX($AN$1005:$BO$1005,1,MATCH(COLUMNS($AN$1006:AN1006),$AN$1006:$BO$1006,0))&gt;=100000), " ",IF(INDEX($AN$2:$BO$1001,MATCH(ROWS($AG$2:AG233),$AG$2:$AG$1001,0),MATCH(COLUMNS($AN$1006:AN1006),$AN$1006:$BO$1006,0)), HYPERLINK("#",""), HYPERLINK(CONCATENATE("#Metadata!", ADDRESS(INDEX($AI$2:$AI$1001,MATCH(ROWS($AG$2:AG233),$AG$2:$AG$1001,0),0), INDEX($AN$1004:$BO$1004,1,MATCH(COLUMNS($AN$1006:AN1006),$AN$1006:$BO$1006,0)))),"Fix")))</f>
        <v>0</v>
      </c>
      <c r="C233" s="4">
        <f>IF(OR(INDEX($AH$2:$AH$1001,MATCH(ROWS($AG$2:AG233),$AG$2:$AG$1001,0),1)&gt;=100000,INDEX($AN$1005:$BO$1005,1,MATCH(COLUMNS($AN$1006:AO1006),$AN$1006:$BO$1006,0))&gt;=100000), " ",IF(INDEX($AN$2:$BO$1001,MATCH(ROWS($AG$2:AG233),$AG$2:$AG$1001,0),MATCH(COLUMNS($AN$1006:AO1006),$AN$1006:$BO$1006,0)), HYPERLINK("#",""), HYPERLINK(CONCATENATE("#Metadata!", ADDRESS(INDEX($AI$2:$AI$1001,MATCH(ROWS($AG$2:AG233),$AG$2:$AG$1001,0),0), INDEX($AN$1004:$BO$1004,1,MATCH(COLUMNS($AN$1006:AO1006),$AN$1006:$BO$1006,0)))),"Fix")))</f>
        <v>0</v>
      </c>
      <c r="D233" s="4">
        <f>IF(OR(INDEX($AH$2:$AH$1001,MATCH(ROWS($AG$2:AG233),$AG$2:$AG$1001,0),1)&gt;=100000,INDEX($AN$1005:$BO$1005,1,MATCH(COLUMNS($AN$1006:AP1006),$AN$1006:$BO$1006,0))&gt;=100000), " ",IF(INDEX($AN$2:$BO$1001,MATCH(ROWS($AG$2:AG233),$AG$2:$AG$1001,0),MATCH(COLUMNS($AN$1006:AP1006),$AN$1006:$BO$1006,0)), HYPERLINK("#",""), HYPERLINK(CONCATENATE("#Metadata!", ADDRESS(INDEX($AI$2:$AI$1001,MATCH(ROWS($AG$2:AG233),$AG$2:$AG$1001,0),0), INDEX($AN$1004:$BO$1004,1,MATCH(COLUMNS($AN$1006:AP1006),$AN$1006:$BO$1006,0)))),"Fix")))</f>
        <v>0</v>
      </c>
      <c r="E233" s="4">
        <f>IF(OR(INDEX($AH$2:$AH$1001,MATCH(ROWS($AG$2:AG233),$AG$2:$AG$1001,0),1)&gt;=100000,INDEX($AN$1005:$BO$1005,1,MATCH(COLUMNS($AN$1006:AQ1006),$AN$1006:$BO$1006,0))&gt;=100000), " ",IF(INDEX($AN$2:$BO$1001,MATCH(ROWS($AG$2:AG233),$AG$2:$AG$1001,0),MATCH(COLUMNS($AN$1006:AQ1006),$AN$1006:$BO$1006,0)), HYPERLINK("#",""), HYPERLINK(CONCATENATE("#Metadata!", ADDRESS(INDEX($AI$2:$AI$1001,MATCH(ROWS($AG$2:AG233),$AG$2:$AG$1001,0),0), INDEX($AN$1004:$BO$1004,1,MATCH(COLUMNS($AN$1006:AQ1006),$AN$1006:$BO$1006,0)))),"Fix")))</f>
        <v>0</v>
      </c>
      <c r="F233" s="4">
        <f>IF(OR(INDEX($AH$2:$AH$1001,MATCH(ROWS($AG$2:AG233),$AG$2:$AG$1001,0),1)&gt;=100000,INDEX($AN$1005:$BO$1005,1,MATCH(COLUMNS($AN$1006:AR1006),$AN$1006:$BO$1006,0))&gt;=100000), " ",IF(INDEX($AN$2:$BO$1001,MATCH(ROWS($AG$2:AG233),$AG$2:$AG$1001,0),MATCH(COLUMNS($AN$1006:AR1006),$AN$1006:$BO$1006,0)), HYPERLINK("#",""), HYPERLINK(CONCATENATE("#Metadata!", ADDRESS(INDEX($AI$2:$AI$1001,MATCH(ROWS($AG$2:AG233),$AG$2:$AG$1001,0),0), INDEX($AN$1004:$BO$1004,1,MATCH(COLUMNS($AN$1006:AR1006),$AN$1006:$BO$1006,0)))),"Fix")))</f>
        <v>0</v>
      </c>
      <c r="G233" s="4">
        <f>IF(OR(INDEX($AH$2:$AH$1001,MATCH(ROWS($AG$2:AG233),$AG$2:$AG$1001,0),1)&gt;=100000,INDEX($AN$1005:$BO$1005,1,MATCH(COLUMNS($AN$1006:AS1006),$AN$1006:$BO$1006,0))&gt;=100000), " ",IF(INDEX($AN$2:$BO$1001,MATCH(ROWS($AG$2:AG233),$AG$2:$AG$1001,0),MATCH(COLUMNS($AN$1006:AS1006),$AN$1006:$BO$1006,0)), HYPERLINK("#",""), HYPERLINK(CONCATENATE("#Metadata!", ADDRESS(INDEX($AI$2:$AI$1001,MATCH(ROWS($AG$2:AG233),$AG$2:$AG$1001,0),0), INDEX($AN$1004:$BO$1004,1,MATCH(COLUMNS($AN$1006:AS1006),$AN$1006:$BO$1006,0)))),"Fix")))</f>
        <v>0</v>
      </c>
      <c r="H233" s="4">
        <f>IF(OR(INDEX($AH$2:$AH$1001,MATCH(ROWS($AG$2:AG233),$AG$2:$AG$1001,0),1)&gt;=100000,INDEX($AN$1005:$BO$1005,1,MATCH(COLUMNS($AN$1006:AT1006),$AN$1006:$BO$1006,0))&gt;=100000), " ",IF(INDEX($AN$2:$BO$1001,MATCH(ROWS($AG$2:AG233),$AG$2:$AG$1001,0),MATCH(COLUMNS($AN$1006:AT1006),$AN$1006:$BO$1006,0)), HYPERLINK("#",""), HYPERLINK(CONCATENATE("#Metadata!", ADDRESS(INDEX($AI$2:$AI$1001,MATCH(ROWS($AG$2:AG233),$AG$2:$AG$1001,0),0), INDEX($AN$1004:$BO$1004,1,MATCH(COLUMNS($AN$1006:AT1006),$AN$1006:$BO$1006,0)))),"Fix")))</f>
        <v>0</v>
      </c>
      <c r="I233" s="4">
        <f>IF(OR(INDEX($AH$2:$AH$1001,MATCH(ROWS($AG$2:AG233),$AG$2:$AG$1001,0),1)&gt;=100000,INDEX($AN$1005:$BO$1005,1,MATCH(COLUMNS($AN$1006:AU1006),$AN$1006:$BO$1006,0))&gt;=100000), " ",IF(INDEX($AN$2:$BO$1001,MATCH(ROWS($AG$2:AG233),$AG$2:$AG$1001,0),MATCH(COLUMNS($AN$1006:AU1006),$AN$1006:$BO$1006,0)), HYPERLINK("#",""), HYPERLINK(CONCATENATE("#Metadata!", ADDRESS(INDEX($AI$2:$AI$1001,MATCH(ROWS($AG$2:AG233),$AG$2:$AG$1001,0),0), INDEX($AN$1004:$BO$1004,1,MATCH(COLUMNS($AN$1006:AU1006),$AN$1006:$BO$1006,0)))),"Fix")))</f>
        <v>0</v>
      </c>
      <c r="J233" s="4">
        <f>IF(OR(INDEX($AH$2:$AH$1001,MATCH(ROWS($AG$2:AG233),$AG$2:$AG$1001,0),1)&gt;=100000,INDEX($AN$1005:$BO$1005,1,MATCH(COLUMNS($AN$1006:AV1006),$AN$1006:$BO$1006,0))&gt;=100000), " ",IF(INDEX($AN$2:$BO$1001,MATCH(ROWS($AG$2:AG233),$AG$2:$AG$1001,0),MATCH(COLUMNS($AN$1006:AV1006),$AN$1006:$BO$1006,0)), HYPERLINK("#",""), HYPERLINK(CONCATENATE("#Metadata!", ADDRESS(INDEX($AI$2:$AI$1001,MATCH(ROWS($AG$2:AG233),$AG$2:$AG$1001,0),0), INDEX($AN$1004:$BO$1004,1,MATCH(COLUMNS($AN$1006:AV1006),$AN$1006:$BO$1006,0)))),"Fix")))</f>
        <v>0</v>
      </c>
      <c r="K233" s="4">
        <f>IF(OR(INDEX($AH$2:$AH$1001,MATCH(ROWS($AG$2:AG233),$AG$2:$AG$1001,0),1)&gt;=100000,INDEX($AN$1005:$BO$1005,1,MATCH(COLUMNS($AN$1006:AW1006),$AN$1006:$BO$1006,0))&gt;=100000), " ",IF(INDEX($AN$2:$BO$1001,MATCH(ROWS($AG$2:AG233),$AG$2:$AG$1001,0),MATCH(COLUMNS($AN$1006:AW1006),$AN$1006:$BO$1006,0)), HYPERLINK("#",""), HYPERLINK(CONCATENATE("#Metadata!", ADDRESS(INDEX($AI$2:$AI$1001,MATCH(ROWS($AG$2:AG233),$AG$2:$AG$1001,0),0), INDEX($AN$1004:$BO$1004,1,MATCH(COLUMNS($AN$1006:AW1006),$AN$1006:$BO$1006,0)))),"Fix")))</f>
        <v>0</v>
      </c>
      <c r="L233" s="4">
        <f>IF(OR(INDEX($AH$2:$AH$1001,MATCH(ROWS($AG$2:AG233),$AG$2:$AG$1001,0),1)&gt;=100000,INDEX($AN$1005:$BO$1005,1,MATCH(COLUMNS($AN$1006:AX1006),$AN$1006:$BO$1006,0))&gt;=100000), " ",IF(INDEX($AN$2:$BO$1001,MATCH(ROWS($AG$2:AG233),$AG$2:$AG$1001,0),MATCH(COLUMNS($AN$1006:AX1006),$AN$1006:$BO$1006,0)), HYPERLINK("#",""), HYPERLINK(CONCATENATE("#Metadata!", ADDRESS(INDEX($AI$2:$AI$1001,MATCH(ROWS($AG$2:AG233),$AG$2:$AG$1001,0),0), INDEX($AN$1004:$BO$1004,1,MATCH(COLUMNS($AN$1006:AX1006),$AN$1006:$BO$1006,0)))),"Fix")))</f>
        <v>0</v>
      </c>
      <c r="M233" s="4">
        <f>IF(OR(INDEX($AH$2:$AH$1001,MATCH(ROWS($AG$2:AG233),$AG$2:$AG$1001,0),1)&gt;=100000,INDEX($AN$1005:$BO$1005,1,MATCH(COLUMNS($AN$1006:AY1006),$AN$1006:$BO$1006,0))&gt;=100000), " ",IF(INDEX($AN$2:$BO$1001,MATCH(ROWS($AG$2:AG233),$AG$2:$AG$1001,0),MATCH(COLUMNS($AN$1006:AY1006),$AN$1006:$BO$1006,0)), HYPERLINK("#",""), HYPERLINK(CONCATENATE("#Metadata!", ADDRESS(INDEX($AI$2:$AI$1001,MATCH(ROWS($AG$2:AG233),$AG$2:$AG$1001,0),0), INDEX($AN$1004:$BO$1004,1,MATCH(COLUMNS($AN$1006:AY1006),$AN$1006:$BO$1006,0)))),"Fix")))</f>
        <v>0</v>
      </c>
      <c r="N233" s="4">
        <f>IF(OR(INDEX($AH$2:$AH$1001,MATCH(ROWS($AG$2:AG233),$AG$2:$AG$1001,0),1)&gt;=100000,INDEX($AN$1005:$BO$1005,1,MATCH(COLUMNS($AN$1006:AZ1006),$AN$1006:$BO$1006,0))&gt;=100000), " ",IF(INDEX($AN$2:$BO$1001,MATCH(ROWS($AG$2:AG233),$AG$2:$AG$1001,0),MATCH(COLUMNS($AN$1006:AZ1006),$AN$1006:$BO$1006,0)), HYPERLINK("#",""), HYPERLINK(CONCATENATE("#Metadata!", ADDRESS(INDEX($AI$2:$AI$1001,MATCH(ROWS($AG$2:AG233),$AG$2:$AG$1001,0),0), INDEX($AN$1004:$BO$1004,1,MATCH(COLUMNS($AN$1006:AZ1006),$AN$1006:$BO$1006,0)))),"Fix")))</f>
        <v>0</v>
      </c>
      <c r="O233" s="4">
        <f>IF(OR(INDEX($AH$2:$AH$1001,MATCH(ROWS($AG$2:AG233),$AG$2:$AG$1001,0),1)&gt;=100000,INDEX($AN$1005:$BO$1005,1,MATCH(COLUMNS($AN$1006:BA1006),$AN$1006:$BO$1006,0))&gt;=100000), " ",IF(INDEX($AN$2:$BO$1001,MATCH(ROWS($AG$2:AG233),$AG$2:$AG$1001,0),MATCH(COLUMNS($AN$1006:BA1006),$AN$1006:$BO$1006,0)), HYPERLINK("#",""), HYPERLINK(CONCATENATE("#Metadata!", ADDRESS(INDEX($AI$2:$AI$1001,MATCH(ROWS($AG$2:AG233),$AG$2:$AG$1001,0),0), INDEX($AN$1004:$BO$1004,1,MATCH(COLUMNS($AN$1006:BA1006),$AN$1006:$BO$1006,0)))),"Fix")))</f>
        <v>0</v>
      </c>
      <c r="P233" s="4">
        <f>IF(OR(INDEX($AH$2:$AH$1001,MATCH(ROWS($AG$2:AG233),$AG$2:$AG$1001,0),1)&gt;=100000,INDEX($AN$1005:$BO$1005,1,MATCH(COLUMNS($AN$1006:BB1006),$AN$1006:$BO$1006,0))&gt;=100000), " ",IF(INDEX($AN$2:$BO$1001,MATCH(ROWS($AG$2:AG233),$AG$2:$AG$1001,0),MATCH(COLUMNS($AN$1006:BB1006),$AN$1006:$BO$1006,0)), HYPERLINK("#",""), HYPERLINK(CONCATENATE("#Metadata!", ADDRESS(INDEX($AI$2:$AI$1001,MATCH(ROWS($AG$2:AG233),$AG$2:$AG$1001,0),0), INDEX($AN$1004:$BO$1004,1,MATCH(COLUMNS($AN$1006:BB1006),$AN$1006:$BO$1006,0)))),"Fix")))</f>
        <v>0</v>
      </c>
      <c r="Q233" s="4">
        <f>IF(OR(INDEX($AH$2:$AH$1001,MATCH(ROWS($AG$2:AG233),$AG$2:$AG$1001,0),1)&gt;=100000,INDEX($AN$1005:$BO$1005,1,MATCH(COLUMNS($AN$1006:BC1006),$AN$1006:$BO$1006,0))&gt;=100000), " ",IF(INDEX($AN$2:$BO$1001,MATCH(ROWS($AG$2:AG233),$AG$2:$AG$1001,0),MATCH(COLUMNS($AN$1006:BC1006),$AN$1006:$BO$1006,0)), HYPERLINK("#",""), HYPERLINK(CONCATENATE("#Metadata!", ADDRESS(INDEX($AI$2:$AI$1001,MATCH(ROWS($AG$2:AG233),$AG$2:$AG$1001,0),0), INDEX($AN$1004:$BO$1004,1,MATCH(COLUMNS($AN$1006:BC1006),$AN$1006:$BO$1006,0)))),"Fix")))</f>
        <v>0</v>
      </c>
      <c r="R233" s="4">
        <f>IF(OR(INDEX($AH$2:$AH$1001,MATCH(ROWS($AG$2:AG233),$AG$2:$AG$1001,0),1)&gt;=100000,INDEX($AN$1005:$BO$1005,1,MATCH(COLUMNS($AN$1006:BD1006),$AN$1006:$BO$1006,0))&gt;=100000), " ",IF(INDEX($AN$2:$BO$1001,MATCH(ROWS($AG$2:AG233),$AG$2:$AG$1001,0),MATCH(COLUMNS($AN$1006:BD1006),$AN$1006:$BO$1006,0)), HYPERLINK("#",""), HYPERLINK(CONCATENATE("#Metadata!", ADDRESS(INDEX($AI$2:$AI$1001,MATCH(ROWS($AG$2:AG233),$AG$2:$AG$1001,0),0), INDEX($AN$1004:$BO$1004,1,MATCH(COLUMNS($AN$1006:BD1006),$AN$1006:$BO$1006,0)))),"Fix")))</f>
        <v>0</v>
      </c>
      <c r="S233" s="4">
        <f>IF(OR(INDEX($AH$2:$AH$1001,MATCH(ROWS($AG$2:AG233),$AG$2:$AG$1001,0),1)&gt;=100000,INDEX($AN$1005:$BO$1005,1,MATCH(COLUMNS($AN$1006:BE1006),$AN$1006:$BO$1006,0))&gt;=100000), " ",IF(INDEX($AN$2:$BO$1001,MATCH(ROWS($AG$2:AG233),$AG$2:$AG$1001,0),MATCH(COLUMNS($AN$1006:BE1006),$AN$1006:$BO$1006,0)), HYPERLINK("#",""), HYPERLINK(CONCATENATE("#Metadata!", ADDRESS(INDEX($AI$2:$AI$1001,MATCH(ROWS($AG$2:AG233),$AG$2:$AG$1001,0),0), INDEX($AN$1004:$BO$1004,1,MATCH(COLUMNS($AN$1006:BE1006),$AN$1006:$BO$1006,0)))),"Fix")))</f>
        <v>0</v>
      </c>
      <c r="T233" s="4">
        <f>IF(OR(INDEX($AH$2:$AH$1001,MATCH(ROWS($AG$2:AG233),$AG$2:$AG$1001,0),1)&gt;=100000,INDEX($AN$1005:$BO$1005,1,MATCH(COLUMNS($AN$1006:BF1006),$AN$1006:$BO$1006,0))&gt;=100000), " ",IF(INDEX($AN$2:$BO$1001,MATCH(ROWS($AG$2:AG233),$AG$2:$AG$1001,0),MATCH(COLUMNS($AN$1006:BF1006),$AN$1006:$BO$1006,0)), HYPERLINK("#",""), HYPERLINK(CONCATENATE("#Metadata!", ADDRESS(INDEX($AI$2:$AI$1001,MATCH(ROWS($AG$2:AG233),$AG$2:$AG$1001,0),0), INDEX($AN$1004:$BO$1004,1,MATCH(COLUMNS($AN$1006:BF1006),$AN$1006:$BO$1006,0)))),"Fix")))</f>
        <v>0</v>
      </c>
      <c r="U233" s="4">
        <f>IF(OR(INDEX($AH$2:$AH$1001,MATCH(ROWS($AG$2:AG233),$AG$2:$AG$1001,0),1)&gt;=100000,INDEX($AN$1005:$BO$1005,1,MATCH(COLUMNS($AN$1006:BG1006),$AN$1006:$BO$1006,0))&gt;=100000), " ",IF(INDEX($AN$2:$BO$1001,MATCH(ROWS($AG$2:AG233),$AG$2:$AG$1001,0),MATCH(COLUMNS($AN$1006:BG1006),$AN$1006:$BO$1006,0)), HYPERLINK("#",""), HYPERLINK(CONCATENATE("#Metadata!", ADDRESS(INDEX($AI$2:$AI$1001,MATCH(ROWS($AG$2:AG233),$AG$2:$AG$1001,0),0), INDEX($AN$1004:$BO$1004,1,MATCH(COLUMNS($AN$1006:BG1006),$AN$1006:$BO$1006,0)))),"Fix")))</f>
        <v>0</v>
      </c>
      <c r="V233" s="4">
        <f>IF(OR(INDEX($AH$2:$AH$1001,MATCH(ROWS($AG$2:AG233),$AG$2:$AG$1001,0),1)&gt;=100000,INDEX($AN$1005:$BO$1005,1,MATCH(COLUMNS($AN$1006:BH1006),$AN$1006:$BO$1006,0))&gt;=100000), " ",IF(INDEX($AN$2:$BO$1001,MATCH(ROWS($AG$2:AG233),$AG$2:$AG$1001,0),MATCH(COLUMNS($AN$1006:BH1006),$AN$1006:$BO$1006,0)), HYPERLINK("#",""), HYPERLINK(CONCATENATE("#Metadata!", ADDRESS(INDEX($AI$2:$AI$1001,MATCH(ROWS($AG$2:AG233),$AG$2:$AG$1001,0),0), INDEX($AN$1004:$BO$1004,1,MATCH(COLUMNS($AN$1006:BH1006),$AN$1006:$BO$1006,0)))),"Fix")))</f>
        <v>0</v>
      </c>
      <c r="W233" s="4">
        <f>IF(OR(INDEX($AH$2:$AH$1001,MATCH(ROWS($AG$2:AG233),$AG$2:$AG$1001,0),1)&gt;=100000,INDEX($AN$1005:$BO$1005,1,MATCH(COLUMNS($AN$1006:BI1006),$AN$1006:$BO$1006,0))&gt;=100000), " ",IF(INDEX($AN$2:$BO$1001,MATCH(ROWS($AG$2:AG233),$AG$2:$AG$1001,0),MATCH(COLUMNS($AN$1006:BI1006),$AN$1006:$BO$1006,0)), HYPERLINK("#",""), HYPERLINK(CONCATENATE("#Metadata!", ADDRESS(INDEX($AI$2:$AI$1001,MATCH(ROWS($AG$2:AG233),$AG$2:$AG$1001,0),0), INDEX($AN$1004:$BO$1004,1,MATCH(COLUMNS($AN$1006:BI1006),$AN$1006:$BO$1006,0)))),"Fix")))</f>
        <v>0</v>
      </c>
      <c r="X233" s="4">
        <f>IF(OR(INDEX($AH$2:$AH$1001,MATCH(ROWS($AG$2:AG233),$AG$2:$AG$1001,0),1)&gt;=100000,INDEX($AN$1005:$BO$1005,1,MATCH(COLUMNS($AN$1006:BJ1006),$AN$1006:$BO$1006,0))&gt;=100000), " ",IF(INDEX($AN$2:$BO$1001,MATCH(ROWS($AG$2:AG233),$AG$2:$AG$1001,0),MATCH(COLUMNS($AN$1006:BJ1006),$AN$1006:$BO$1006,0)), HYPERLINK("#",""), HYPERLINK(CONCATENATE("#Metadata!", ADDRESS(INDEX($AI$2:$AI$1001,MATCH(ROWS($AG$2:AG233),$AG$2:$AG$1001,0),0), INDEX($AN$1004:$BO$1004,1,MATCH(COLUMNS($AN$1006:BJ1006),$AN$1006:$BO$1006,0)))),"Fix")))</f>
        <v>0</v>
      </c>
      <c r="Y233" s="4">
        <f>IF(OR(INDEX($AH$2:$AH$1001,MATCH(ROWS($AG$2:AG233),$AG$2:$AG$1001,0),1)&gt;=100000,INDEX($AN$1005:$BO$1005,1,MATCH(COLUMNS($AN$1006:BK1006),$AN$1006:$BO$1006,0))&gt;=100000), " ",IF(INDEX($AN$2:$BO$1001,MATCH(ROWS($AG$2:AG233),$AG$2:$AG$1001,0),MATCH(COLUMNS($AN$1006:BK1006),$AN$1006:$BO$1006,0)), HYPERLINK("#",""), HYPERLINK(CONCATENATE("#Metadata!", ADDRESS(INDEX($AI$2:$AI$1001,MATCH(ROWS($AG$2:AG233),$AG$2:$AG$1001,0),0), INDEX($AN$1004:$BO$1004,1,MATCH(COLUMNS($AN$1006:BK1006),$AN$1006:$BO$1006,0)))),"Fix")))</f>
        <v>0</v>
      </c>
      <c r="Z233" s="4">
        <f>IF(OR(INDEX($AH$2:$AH$1001,MATCH(ROWS($AG$2:AG233),$AG$2:$AG$1001,0),1)&gt;=100000,INDEX($AN$1005:$BO$1005,1,MATCH(COLUMNS($AN$1006:BL1006),$AN$1006:$BO$1006,0))&gt;=100000), " ",IF(INDEX($AN$2:$BO$1001,MATCH(ROWS($AG$2:AG233),$AG$2:$AG$1001,0),MATCH(COLUMNS($AN$1006:BL1006),$AN$1006:$BO$1006,0)), HYPERLINK("#",""), HYPERLINK(CONCATENATE("#Metadata!", ADDRESS(INDEX($AI$2:$AI$1001,MATCH(ROWS($AG$2:AG233),$AG$2:$AG$1001,0),0), INDEX($AN$1004:$BO$1004,1,MATCH(COLUMNS($AN$1006:BL1006),$AN$1006:$BO$1006,0)))),"Fix")))</f>
        <v>0</v>
      </c>
      <c r="AA233" s="4">
        <f>IF(OR(INDEX($AH$2:$AH$1001,MATCH(ROWS($AG$2:AG233),$AG$2:$AG$1001,0),1)&gt;=100000,INDEX($AN$1005:$BO$1005,1,MATCH(COLUMNS($AN$1006:BM1006),$AN$1006:$BO$1006,0))&gt;=100000), " ",IF(INDEX($AN$2:$BO$1001,MATCH(ROWS($AG$2:AG233),$AG$2:$AG$1001,0),MATCH(COLUMNS($AN$1006:BM1006),$AN$1006:$BO$1006,0)), HYPERLINK("#",""), HYPERLINK(CONCATENATE("#Metadata!", ADDRESS(INDEX($AI$2:$AI$1001,MATCH(ROWS($AG$2:AG233),$AG$2:$AG$1001,0),0), INDEX($AN$1004:$BO$1004,1,MATCH(COLUMNS($AN$1006:BM1006),$AN$1006:$BO$1006,0)))),"Fix")))</f>
        <v>0</v>
      </c>
      <c r="AB233" s="4">
        <f>IF(OR(INDEX($AH$2:$AH$1001,MATCH(ROWS($AG$2:AG233),$AG$2:$AG$1001,0),1)&gt;=100000,INDEX($AN$1005:$BO$1005,1,MATCH(COLUMNS($AN$1006:BN1006),$AN$1006:$BO$1006,0))&gt;=100000), " ",IF(INDEX($AN$2:$BO$1001,MATCH(ROWS($AG$2:AG233),$AG$2:$AG$1001,0),MATCH(COLUMNS($AN$1006:BN1006),$AN$1006:$BO$1006,0)), HYPERLINK("#",""), HYPERLINK(CONCATENATE("#Metadata!", ADDRESS(INDEX($AI$2:$AI$1001,MATCH(ROWS($AG$2:AG233),$AG$2:$AG$1001,0),0), INDEX($AN$1004:$BO$1004,1,MATCH(COLUMNS($AN$1006:BN1006),$AN$1006:$BO$1006,0)))),"Fix")))</f>
        <v>0</v>
      </c>
      <c r="AC233" s="4">
        <f>IF(OR(INDEX($AH$2:$AH$1001,MATCH(ROWS($AG$2:AG233),$AG$2:$AG$1001,0),1)&gt;=100000,INDEX($AN$1005:$BO$1005,1,MATCH(COLUMNS($AN$1006:BO1006),$AN$1006:$BO$1006,0))&gt;=100000), " ",IF(INDEX($AN$2:$BO$1001,MATCH(ROWS($AG$2:AG233),$AG$2:$AG$1001,0),MATCH(COLUMNS($AN$1006:BO1006),$AN$1006:$BO$1006,0)), HYPERLINK("#",""), HYPERLINK(CONCATENATE("#Metadata!", ADDRESS(INDEX($AI$2:$AI$1001,MATCH(ROWS($AG$2:AG233),$AG$2:$AG$1001,0),0), INDEX($AN$1004:$BO$1004,1,MATCH(COLUMNS($AN$1006:BO1006),$AN$1006:$BO$1006,0)))),"Fix")))</f>
        <v>0</v>
      </c>
      <c r="AG233">
        <v>0</v>
      </c>
      <c r="AH233">
        <v>0</v>
      </c>
      <c r="AI233">
        <v>0</v>
      </c>
      <c r="AJ233">
        <f>IF(AK233,TRUE,AND(AN233:BO233))</f>
        <v>0</v>
      </c>
      <c r="AK233">
        <f>COUNTBLANK(Metadata!B233:AC233)=COLUMNS(Metadata!B233:AC233)</f>
        <v>0</v>
      </c>
      <c r="AL233">
        <v>0</v>
      </c>
      <c r="AN233">
        <f>AND(IF(Metadata!B233="",FALSE,TRUE),COUNTIF(Metadata!B:B, Metadata!B233) = 1,NOT(ISERROR(SUMPRODUCT(SEARCH(MID(Metadata!B233,ROW(INDIRECT("1:"&amp;LEN(Metadata!B233))), 1),"0123456789abcdefghijklmnopqrstuvwxyzABCDEFGHIJKLMNOPQRSTUVWXYZ.")))))</f>
        <v>0</v>
      </c>
      <c r="AO233">
        <f>IF(Metadata!C233="",FALSE,TRUE)</f>
        <v>0</v>
      </c>
      <c r="AP233">
        <f>IF(Metadata!D233="",FALSE,TRUE)</f>
        <v>0</v>
      </c>
      <c r="AQ233">
        <f>OR(AND(IF(Metadata!E233="",FALSE,TRUE),OR(exact(Metadata!E233,"not collected"),exact(Metadata!E233,"not provided"),exact(Metadata!E233,"restricted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R233">
        <f>IF(Metadata!F233="",FALSE,TRUE)</f>
        <v>0</v>
      </c>
      <c r="AS233">
        <f>OR(AND(IF(Metadata!G233="",FALSE,TRUE),OR(exact(Metadata!G233,"not collected"),exact(Metadata!G233,"not provided"))),AND(IF(Metadata!G233="",FALSE,TRUE),OR(exact(Metadata!G233,"TRUE"),exact(Metadata!G233,"FALSE"))))</f>
        <v>0</v>
      </c>
      <c r="AT233">
        <f>OR(AND(IF(Metadata!H233="",FALSE,TRUE),OR(exact(Metadata!H233,"not collected"),exact(Metadata!H233,"not provided"),exact(Metadata!H233,"restricted access"))),AND(IF(Metadata!H233="",FALSE,ISNUMBER(VALUE(Metadata!H233))),Metadata!H233&gt;=-413.0))</f>
        <v>0</v>
      </c>
      <c r="AU233">
        <f>AND(IF(Metadata!I233="",FALSE,TRUE),exact(Metadata!I233,"meters"))</f>
        <v>0</v>
      </c>
      <c r="AV233">
        <f>AND(IF(Metadata!J233="",FALSE,TRUE),OR(exact(Metadata!J233,"Host-associated"),exact(Metadata!J233,"Free-living")))</f>
        <v>0</v>
      </c>
      <c r="AW233">
        <f>AND(IF(Metadata!K233="",FALSE,TRUE),OR(exact(Metadata!K233,"Animal"),exact(Metadata!K233,"Fungus"),exact(Metadata!K233,"Plant"),exact(Metadata!K233,"Saline"),exact(Metadata!K233,"Non-saline")))</f>
        <v>0</v>
      </c>
      <c r="AX233">
        <f>AND(IF(Metadata!L233="",FALSE,TRUE),OR(exact(Metadata!L233,"Plant secretion"),exact(Metadata!L233,"Plant rhizosphere"),exact(Metadata!L233,"Plant surface"),exact(Metadata!L233,"Plant corpus"),exact(Metadata!L233,"Fungus surface"),exact(Metadata!L233,"Fungus corpus"),exact(Metadata!L233,"Animal surface"),exact(Metadata!L233,"Animal proximal gut"),exact(Metadata!L233,"Animal corpus"),exact(Metadata!L233,"Animal distal gut"),exact(Metadata!L233,"Animal secretion"),exact(Metadata!L233,"Sub-surface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Y233">
        <f>IF(Metadata!M233="",FALSE,TRUE)</f>
        <v>0</v>
      </c>
      <c r="AZ233">
        <f>IF(Metadata!N233="",FALSE,TRUE)</f>
        <v>0</v>
      </c>
      <c r="BA233">
        <f>IF(Metadata!O233="",FALSE,TRUE)</f>
        <v>0</v>
      </c>
      <c r="BB233">
        <f>OR(AND(IF(Metadata!P233="",FALSE,TRUE),OR(exact(Metadata!P233,"not collected"),exact(Metadata!P233,"not provided"),exact(Metadata!P233,"restricted access"))),AND(IF(Metadata!P233="",FALSE,TRUE),OR(exact(Metadata!P233,"air"),exact(Metadata!P233,"built environment"),exact(Metadata!P233,"host-associated"),exact(Metadata!P233,"human-associated"),exact(Metadata!P233,"human-skin"),exact(Metadata!P233,"human-oral"),exact(Metadata!P233,"human-gut"),exact(Metadata!P233,"human-vaginal"),exact(Metadata!P233,"microbial mat/biofilm"),exact(Metadata!P233,"misc environment"),exact(Metadata!P233,"plant-associated"),exact(Metadata!P233,"sediment"),exact(Metadata!P233,"soil"),exact(Metadata!P233,"wastewater/sludge"),exact(Metadata!P233,"water"))))</f>
        <v>0</v>
      </c>
      <c r="BC233">
        <f>IF(Metadata!Q233="",FALSE,TRUE)</f>
        <v>0</v>
      </c>
      <c r="BD233">
        <f>IF(Metadata!R233="",FALSE,TRUE)</f>
        <v>0</v>
      </c>
      <c r="BE233">
        <f>OR(AND(IF(Metadata!S233="",FALSE,TRUE),OR(exact(Metadata!S233,"not collected"),exact(Metadata!S233,"not provided"),exact(Metadata!S233,"restricted access"))),AND(IF(Metadata!S233="",FALSE,ISNUMBER(VALUE(Metadata!S233))),Metadata!S233&gt;=-90.00,Metadata!S233&lt;=90.00))</f>
        <v>0</v>
      </c>
      <c r="BF233">
        <f>AND(IF(Metadata!T233="",FALSE,TRUE),exact(Metadata!T233,"Decimal degrees"))</f>
        <v>0</v>
      </c>
      <c r="BG233">
        <f>OR(AND(IF(Metadata!U233="",FALSE,TRUE),OR(exact(Metadata!U233,"not collected"),exact(Metadata!U233,"not provided"),exact(Metadata!U233,"restricted access"))),AND(IF(Metadata!U233="",FALSE,ISNUMBER(VALUE(Metadata!U233))),Metadata!U233&gt;=-180.00,Metadata!U233&lt;=180.00))</f>
        <v>0</v>
      </c>
      <c r="BH233">
        <f>AND(IF(Metadata!V233="",FALSE,TRUE),exact(Metadata!V233,"Decimal degrees"))</f>
        <v>0</v>
      </c>
      <c r="BI233">
        <f>IF(Metadata!W233="",FALSE,TRUE)</f>
        <v>0</v>
      </c>
      <c r="BJ233">
        <f>OR(AND(IF(Metadata!X233="",FALSE,TRUE),OR(exact(Metadata!X233,"not collected"),exact(Metadata!X233,"not provided"),exact(Metadata!X233,"restricted access"))),AND(IF(Metadata!X233="",FALSE,TRUE),OR(exact(Metadata!X233,"TRUE"),exact(Metadata!X233,"FALSE"))))</f>
        <v>0</v>
      </c>
      <c r="BK233">
        <f>AND(IF(Metadata!Y233="",FALSE,TRUE),exact(Metadata!Y233,"other"))</f>
        <v>0</v>
      </c>
      <c r="BL233">
        <f>IF(Metadata!Z233="",FALSE,TRUE)</f>
        <v>0</v>
      </c>
      <c r="BM233">
        <f>OR(AND(IF(Metadata!AA233="",FALSE,TRUE),OR(exact(Metadata!AA233,"not collected"),exact(Metadata!AA233,"not provided"))),AND(IF(Metadata!AA233="",FALSE,IF(ISERROR(INT(Metadata!AA233)),FALSE,INT(Metadata!AA233)=Metadata!AA233)),Metadata!AA233&gt;0))</f>
        <v>0</v>
      </c>
      <c r="BN233">
        <f>AND(IF(Metadata!AB233="",FALSE,TRUE),exact(Metadata!AB233,"Not applicable"))</f>
        <v>0</v>
      </c>
      <c r="BO233">
        <f>IF(Metadata!AC233="",FALSE,TRUE)</f>
        <v>0</v>
      </c>
    </row>
    <row r="234" spans="1:67">
      <c r="A234" s="5">
        <f>IF(B234=" "," ",HYPERLINK(CONCATENATE("#metadata!",ADDRESS(INDEX($AI$2:$AI$1001,MATCH(ROWS($AG$2:AG234),$AG$2:$AG$1001,0),0),1)),INDEX($AL$2:$AL$1001,MATCH(ROWS($AG$2:AG234),$AG$2:$AG$1001,0),0)))</f>
        <v>0</v>
      </c>
      <c r="B234" s="4">
        <f>IF(OR(INDEX($AH$2:$AH$1001,MATCH(ROWS($AG$2:AG234),$AG$2:$AG$1001,0),1)&gt;=100000,INDEX($AN$1005:$BO$1005,1,MATCH(COLUMNS($AN$1006:AN1006),$AN$1006:$BO$1006,0))&gt;=100000), " ",IF(INDEX($AN$2:$BO$1001,MATCH(ROWS($AG$2:AG234),$AG$2:$AG$1001,0),MATCH(COLUMNS($AN$1006:AN1006),$AN$1006:$BO$1006,0)), HYPERLINK("#",""), HYPERLINK(CONCATENATE("#Metadata!", ADDRESS(INDEX($AI$2:$AI$1001,MATCH(ROWS($AG$2:AG234),$AG$2:$AG$1001,0),0), INDEX($AN$1004:$BO$1004,1,MATCH(COLUMNS($AN$1006:AN1006),$AN$1006:$BO$1006,0)))),"Fix")))</f>
        <v>0</v>
      </c>
      <c r="C234" s="4">
        <f>IF(OR(INDEX($AH$2:$AH$1001,MATCH(ROWS($AG$2:AG234),$AG$2:$AG$1001,0),1)&gt;=100000,INDEX($AN$1005:$BO$1005,1,MATCH(COLUMNS($AN$1006:AO1006),$AN$1006:$BO$1006,0))&gt;=100000), " ",IF(INDEX($AN$2:$BO$1001,MATCH(ROWS($AG$2:AG234),$AG$2:$AG$1001,0),MATCH(COLUMNS($AN$1006:AO1006),$AN$1006:$BO$1006,0)), HYPERLINK("#",""), HYPERLINK(CONCATENATE("#Metadata!", ADDRESS(INDEX($AI$2:$AI$1001,MATCH(ROWS($AG$2:AG234),$AG$2:$AG$1001,0),0), INDEX($AN$1004:$BO$1004,1,MATCH(COLUMNS($AN$1006:AO1006),$AN$1006:$BO$1006,0)))),"Fix")))</f>
        <v>0</v>
      </c>
      <c r="D234" s="4">
        <f>IF(OR(INDEX($AH$2:$AH$1001,MATCH(ROWS($AG$2:AG234),$AG$2:$AG$1001,0),1)&gt;=100000,INDEX($AN$1005:$BO$1005,1,MATCH(COLUMNS($AN$1006:AP1006),$AN$1006:$BO$1006,0))&gt;=100000), " ",IF(INDEX($AN$2:$BO$1001,MATCH(ROWS($AG$2:AG234),$AG$2:$AG$1001,0),MATCH(COLUMNS($AN$1006:AP1006),$AN$1006:$BO$1006,0)), HYPERLINK("#",""), HYPERLINK(CONCATENATE("#Metadata!", ADDRESS(INDEX($AI$2:$AI$1001,MATCH(ROWS($AG$2:AG234),$AG$2:$AG$1001,0),0), INDEX($AN$1004:$BO$1004,1,MATCH(COLUMNS($AN$1006:AP1006),$AN$1006:$BO$1006,0)))),"Fix")))</f>
        <v>0</v>
      </c>
      <c r="E234" s="4">
        <f>IF(OR(INDEX($AH$2:$AH$1001,MATCH(ROWS($AG$2:AG234),$AG$2:$AG$1001,0),1)&gt;=100000,INDEX($AN$1005:$BO$1005,1,MATCH(COLUMNS($AN$1006:AQ1006),$AN$1006:$BO$1006,0))&gt;=100000), " ",IF(INDEX($AN$2:$BO$1001,MATCH(ROWS($AG$2:AG234),$AG$2:$AG$1001,0),MATCH(COLUMNS($AN$1006:AQ1006),$AN$1006:$BO$1006,0)), HYPERLINK("#",""), HYPERLINK(CONCATENATE("#Metadata!", ADDRESS(INDEX($AI$2:$AI$1001,MATCH(ROWS($AG$2:AG234),$AG$2:$AG$1001,0),0), INDEX($AN$1004:$BO$1004,1,MATCH(COLUMNS($AN$1006:AQ1006),$AN$1006:$BO$1006,0)))),"Fix")))</f>
        <v>0</v>
      </c>
      <c r="F234" s="4">
        <f>IF(OR(INDEX($AH$2:$AH$1001,MATCH(ROWS($AG$2:AG234),$AG$2:$AG$1001,0),1)&gt;=100000,INDEX($AN$1005:$BO$1005,1,MATCH(COLUMNS($AN$1006:AR1006),$AN$1006:$BO$1006,0))&gt;=100000), " ",IF(INDEX($AN$2:$BO$1001,MATCH(ROWS($AG$2:AG234),$AG$2:$AG$1001,0),MATCH(COLUMNS($AN$1006:AR1006),$AN$1006:$BO$1006,0)), HYPERLINK("#",""), HYPERLINK(CONCATENATE("#Metadata!", ADDRESS(INDEX($AI$2:$AI$1001,MATCH(ROWS($AG$2:AG234),$AG$2:$AG$1001,0),0), INDEX($AN$1004:$BO$1004,1,MATCH(COLUMNS($AN$1006:AR1006),$AN$1006:$BO$1006,0)))),"Fix")))</f>
        <v>0</v>
      </c>
      <c r="G234" s="4">
        <f>IF(OR(INDEX($AH$2:$AH$1001,MATCH(ROWS($AG$2:AG234),$AG$2:$AG$1001,0),1)&gt;=100000,INDEX($AN$1005:$BO$1005,1,MATCH(COLUMNS($AN$1006:AS1006),$AN$1006:$BO$1006,0))&gt;=100000), " ",IF(INDEX($AN$2:$BO$1001,MATCH(ROWS($AG$2:AG234),$AG$2:$AG$1001,0),MATCH(COLUMNS($AN$1006:AS1006),$AN$1006:$BO$1006,0)), HYPERLINK("#",""), HYPERLINK(CONCATENATE("#Metadata!", ADDRESS(INDEX($AI$2:$AI$1001,MATCH(ROWS($AG$2:AG234),$AG$2:$AG$1001,0),0), INDEX($AN$1004:$BO$1004,1,MATCH(COLUMNS($AN$1006:AS1006),$AN$1006:$BO$1006,0)))),"Fix")))</f>
        <v>0</v>
      </c>
      <c r="H234" s="4">
        <f>IF(OR(INDEX($AH$2:$AH$1001,MATCH(ROWS($AG$2:AG234),$AG$2:$AG$1001,0),1)&gt;=100000,INDEX($AN$1005:$BO$1005,1,MATCH(COLUMNS($AN$1006:AT1006),$AN$1006:$BO$1006,0))&gt;=100000), " ",IF(INDEX($AN$2:$BO$1001,MATCH(ROWS($AG$2:AG234),$AG$2:$AG$1001,0),MATCH(COLUMNS($AN$1006:AT1006),$AN$1006:$BO$1006,0)), HYPERLINK("#",""), HYPERLINK(CONCATENATE("#Metadata!", ADDRESS(INDEX($AI$2:$AI$1001,MATCH(ROWS($AG$2:AG234),$AG$2:$AG$1001,0),0), INDEX($AN$1004:$BO$1004,1,MATCH(COLUMNS($AN$1006:AT1006),$AN$1006:$BO$1006,0)))),"Fix")))</f>
        <v>0</v>
      </c>
      <c r="I234" s="4">
        <f>IF(OR(INDEX($AH$2:$AH$1001,MATCH(ROWS($AG$2:AG234),$AG$2:$AG$1001,0),1)&gt;=100000,INDEX($AN$1005:$BO$1005,1,MATCH(COLUMNS($AN$1006:AU1006),$AN$1006:$BO$1006,0))&gt;=100000), " ",IF(INDEX($AN$2:$BO$1001,MATCH(ROWS($AG$2:AG234),$AG$2:$AG$1001,0),MATCH(COLUMNS($AN$1006:AU1006),$AN$1006:$BO$1006,0)), HYPERLINK("#",""), HYPERLINK(CONCATENATE("#Metadata!", ADDRESS(INDEX($AI$2:$AI$1001,MATCH(ROWS($AG$2:AG234),$AG$2:$AG$1001,0),0), INDEX($AN$1004:$BO$1004,1,MATCH(COLUMNS($AN$1006:AU1006),$AN$1006:$BO$1006,0)))),"Fix")))</f>
        <v>0</v>
      </c>
      <c r="J234" s="4">
        <f>IF(OR(INDEX($AH$2:$AH$1001,MATCH(ROWS($AG$2:AG234),$AG$2:$AG$1001,0),1)&gt;=100000,INDEX($AN$1005:$BO$1005,1,MATCH(COLUMNS($AN$1006:AV1006),$AN$1006:$BO$1006,0))&gt;=100000), " ",IF(INDEX($AN$2:$BO$1001,MATCH(ROWS($AG$2:AG234),$AG$2:$AG$1001,0),MATCH(COLUMNS($AN$1006:AV1006),$AN$1006:$BO$1006,0)), HYPERLINK("#",""), HYPERLINK(CONCATENATE("#Metadata!", ADDRESS(INDEX($AI$2:$AI$1001,MATCH(ROWS($AG$2:AG234),$AG$2:$AG$1001,0),0), INDEX($AN$1004:$BO$1004,1,MATCH(COLUMNS($AN$1006:AV1006),$AN$1006:$BO$1006,0)))),"Fix")))</f>
        <v>0</v>
      </c>
      <c r="K234" s="4">
        <f>IF(OR(INDEX($AH$2:$AH$1001,MATCH(ROWS($AG$2:AG234),$AG$2:$AG$1001,0),1)&gt;=100000,INDEX($AN$1005:$BO$1005,1,MATCH(COLUMNS($AN$1006:AW1006),$AN$1006:$BO$1006,0))&gt;=100000), " ",IF(INDEX($AN$2:$BO$1001,MATCH(ROWS($AG$2:AG234),$AG$2:$AG$1001,0),MATCH(COLUMNS($AN$1006:AW1006),$AN$1006:$BO$1006,0)), HYPERLINK("#",""), HYPERLINK(CONCATENATE("#Metadata!", ADDRESS(INDEX($AI$2:$AI$1001,MATCH(ROWS($AG$2:AG234),$AG$2:$AG$1001,0),0), INDEX($AN$1004:$BO$1004,1,MATCH(COLUMNS($AN$1006:AW1006),$AN$1006:$BO$1006,0)))),"Fix")))</f>
        <v>0</v>
      </c>
      <c r="L234" s="4">
        <f>IF(OR(INDEX($AH$2:$AH$1001,MATCH(ROWS($AG$2:AG234),$AG$2:$AG$1001,0),1)&gt;=100000,INDEX($AN$1005:$BO$1005,1,MATCH(COLUMNS($AN$1006:AX1006),$AN$1006:$BO$1006,0))&gt;=100000), " ",IF(INDEX($AN$2:$BO$1001,MATCH(ROWS($AG$2:AG234),$AG$2:$AG$1001,0),MATCH(COLUMNS($AN$1006:AX1006),$AN$1006:$BO$1006,0)), HYPERLINK("#",""), HYPERLINK(CONCATENATE("#Metadata!", ADDRESS(INDEX($AI$2:$AI$1001,MATCH(ROWS($AG$2:AG234),$AG$2:$AG$1001,0),0), INDEX($AN$1004:$BO$1004,1,MATCH(COLUMNS($AN$1006:AX1006),$AN$1006:$BO$1006,0)))),"Fix")))</f>
        <v>0</v>
      </c>
      <c r="M234" s="4">
        <f>IF(OR(INDEX($AH$2:$AH$1001,MATCH(ROWS($AG$2:AG234),$AG$2:$AG$1001,0),1)&gt;=100000,INDEX($AN$1005:$BO$1005,1,MATCH(COLUMNS($AN$1006:AY1006),$AN$1006:$BO$1006,0))&gt;=100000), " ",IF(INDEX($AN$2:$BO$1001,MATCH(ROWS($AG$2:AG234),$AG$2:$AG$1001,0),MATCH(COLUMNS($AN$1006:AY1006),$AN$1006:$BO$1006,0)), HYPERLINK("#",""), HYPERLINK(CONCATENATE("#Metadata!", ADDRESS(INDEX($AI$2:$AI$1001,MATCH(ROWS($AG$2:AG234),$AG$2:$AG$1001,0),0), INDEX($AN$1004:$BO$1004,1,MATCH(COLUMNS($AN$1006:AY1006),$AN$1006:$BO$1006,0)))),"Fix")))</f>
        <v>0</v>
      </c>
      <c r="N234" s="4">
        <f>IF(OR(INDEX($AH$2:$AH$1001,MATCH(ROWS($AG$2:AG234),$AG$2:$AG$1001,0),1)&gt;=100000,INDEX($AN$1005:$BO$1005,1,MATCH(COLUMNS($AN$1006:AZ1006),$AN$1006:$BO$1006,0))&gt;=100000), " ",IF(INDEX($AN$2:$BO$1001,MATCH(ROWS($AG$2:AG234),$AG$2:$AG$1001,0),MATCH(COLUMNS($AN$1006:AZ1006),$AN$1006:$BO$1006,0)), HYPERLINK("#",""), HYPERLINK(CONCATENATE("#Metadata!", ADDRESS(INDEX($AI$2:$AI$1001,MATCH(ROWS($AG$2:AG234),$AG$2:$AG$1001,0),0), INDEX($AN$1004:$BO$1004,1,MATCH(COLUMNS($AN$1006:AZ1006),$AN$1006:$BO$1006,0)))),"Fix")))</f>
        <v>0</v>
      </c>
      <c r="O234" s="4">
        <f>IF(OR(INDEX($AH$2:$AH$1001,MATCH(ROWS($AG$2:AG234),$AG$2:$AG$1001,0),1)&gt;=100000,INDEX($AN$1005:$BO$1005,1,MATCH(COLUMNS($AN$1006:BA1006),$AN$1006:$BO$1006,0))&gt;=100000), " ",IF(INDEX($AN$2:$BO$1001,MATCH(ROWS($AG$2:AG234),$AG$2:$AG$1001,0),MATCH(COLUMNS($AN$1006:BA1006),$AN$1006:$BO$1006,0)), HYPERLINK("#",""), HYPERLINK(CONCATENATE("#Metadata!", ADDRESS(INDEX($AI$2:$AI$1001,MATCH(ROWS($AG$2:AG234),$AG$2:$AG$1001,0),0), INDEX($AN$1004:$BO$1004,1,MATCH(COLUMNS($AN$1006:BA1006),$AN$1006:$BO$1006,0)))),"Fix")))</f>
        <v>0</v>
      </c>
      <c r="P234" s="4">
        <f>IF(OR(INDEX($AH$2:$AH$1001,MATCH(ROWS($AG$2:AG234),$AG$2:$AG$1001,0),1)&gt;=100000,INDEX($AN$1005:$BO$1005,1,MATCH(COLUMNS($AN$1006:BB1006),$AN$1006:$BO$1006,0))&gt;=100000), " ",IF(INDEX($AN$2:$BO$1001,MATCH(ROWS($AG$2:AG234),$AG$2:$AG$1001,0),MATCH(COLUMNS($AN$1006:BB1006),$AN$1006:$BO$1006,0)), HYPERLINK("#",""), HYPERLINK(CONCATENATE("#Metadata!", ADDRESS(INDEX($AI$2:$AI$1001,MATCH(ROWS($AG$2:AG234),$AG$2:$AG$1001,0),0), INDEX($AN$1004:$BO$1004,1,MATCH(COLUMNS($AN$1006:BB1006),$AN$1006:$BO$1006,0)))),"Fix")))</f>
        <v>0</v>
      </c>
      <c r="Q234" s="4">
        <f>IF(OR(INDEX($AH$2:$AH$1001,MATCH(ROWS($AG$2:AG234),$AG$2:$AG$1001,0),1)&gt;=100000,INDEX($AN$1005:$BO$1005,1,MATCH(COLUMNS($AN$1006:BC1006),$AN$1006:$BO$1006,0))&gt;=100000), " ",IF(INDEX($AN$2:$BO$1001,MATCH(ROWS($AG$2:AG234),$AG$2:$AG$1001,0),MATCH(COLUMNS($AN$1006:BC1006),$AN$1006:$BO$1006,0)), HYPERLINK("#",""), HYPERLINK(CONCATENATE("#Metadata!", ADDRESS(INDEX($AI$2:$AI$1001,MATCH(ROWS($AG$2:AG234),$AG$2:$AG$1001,0),0), INDEX($AN$1004:$BO$1004,1,MATCH(COLUMNS($AN$1006:BC1006),$AN$1006:$BO$1006,0)))),"Fix")))</f>
        <v>0</v>
      </c>
      <c r="R234" s="4">
        <f>IF(OR(INDEX($AH$2:$AH$1001,MATCH(ROWS($AG$2:AG234),$AG$2:$AG$1001,0),1)&gt;=100000,INDEX($AN$1005:$BO$1005,1,MATCH(COLUMNS($AN$1006:BD1006),$AN$1006:$BO$1006,0))&gt;=100000), " ",IF(INDEX($AN$2:$BO$1001,MATCH(ROWS($AG$2:AG234),$AG$2:$AG$1001,0),MATCH(COLUMNS($AN$1006:BD1006),$AN$1006:$BO$1006,0)), HYPERLINK("#",""), HYPERLINK(CONCATENATE("#Metadata!", ADDRESS(INDEX($AI$2:$AI$1001,MATCH(ROWS($AG$2:AG234),$AG$2:$AG$1001,0),0), INDEX($AN$1004:$BO$1004,1,MATCH(COLUMNS($AN$1006:BD1006),$AN$1006:$BO$1006,0)))),"Fix")))</f>
        <v>0</v>
      </c>
      <c r="S234" s="4">
        <f>IF(OR(INDEX($AH$2:$AH$1001,MATCH(ROWS($AG$2:AG234),$AG$2:$AG$1001,0),1)&gt;=100000,INDEX($AN$1005:$BO$1005,1,MATCH(COLUMNS($AN$1006:BE1006),$AN$1006:$BO$1006,0))&gt;=100000), " ",IF(INDEX($AN$2:$BO$1001,MATCH(ROWS($AG$2:AG234),$AG$2:$AG$1001,0),MATCH(COLUMNS($AN$1006:BE1006),$AN$1006:$BO$1006,0)), HYPERLINK("#",""), HYPERLINK(CONCATENATE("#Metadata!", ADDRESS(INDEX($AI$2:$AI$1001,MATCH(ROWS($AG$2:AG234),$AG$2:$AG$1001,0),0), INDEX($AN$1004:$BO$1004,1,MATCH(COLUMNS($AN$1006:BE1006),$AN$1006:$BO$1006,0)))),"Fix")))</f>
        <v>0</v>
      </c>
      <c r="T234" s="4">
        <f>IF(OR(INDEX($AH$2:$AH$1001,MATCH(ROWS($AG$2:AG234),$AG$2:$AG$1001,0),1)&gt;=100000,INDEX($AN$1005:$BO$1005,1,MATCH(COLUMNS($AN$1006:BF1006),$AN$1006:$BO$1006,0))&gt;=100000), " ",IF(INDEX($AN$2:$BO$1001,MATCH(ROWS($AG$2:AG234),$AG$2:$AG$1001,0),MATCH(COLUMNS($AN$1006:BF1006),$AN$1006:$BO$1006,0)), HYPERLINK("#",""), HYPERLINK(CONCATENATE("#Metadata!", ADDRESS(INDEX($AI$2:$AI$1001,MATCH(ROWS($AG$2:AG234),$AG$2:$AG$1001,0),0), INDEX($AN$1004:$BO$1004,1,MATCH(COLUMNS($AN$1006:BF1006),$AN$1006:$BO$1006,0)))),"Fix")))</f>
        <v>0</v>
      </c>
      <c r="U234" s="4">
        <f>IF(OR(INDEX($AH$2:$AH$1001,MATCH(ROWS($AG$2:AG234),$AG$2:$AG$1001,0),1)&gt;=100000,INDEX($AN$1005:$BO$1005,1,MATCH(COLUMNS($AN$1006:BG1006),$AN$1006:$BO$1006,0))&gt;=100000), " ",IF(INDEX($AN$2:$BO$1001,MATCH(ROWS($AG$2:AG234),$AG$2:$AG$1001,0),MATCH(COLUMNS($AN$1006:BG1006),$AN$1006:$BO$1006,0)), HYPERLINK("#",""), HYPERLINK(CONCATENATE("#Metadata!", ADDRESS(INDEX($AI$2:$AI$1001,MATCH(ROWS($AG$2:AG234),$AG$2:$AG$1001,0),0), INDEX($AN$1004:$BO$1004,1,MATCH(COLUMNS($AN$1006:BG1006),$AN$1006:$BO$1006,0)))),"Fix")))</f>
        <v>0</v>
      </c>
      <c r="V234" s="4">
        <f>IF(OR(INDEX($AH$2:$AH$1001,MATCH(ROWS($AG$2:AG234),$AG$2:$AG$1001,0),1)&gt;=100000,INDEX($AN$1005:$BO$1005,1,MATCH(COLUMNS($AN$1006:BH1006),$AN$1006:$BO$1006,0))&gt;=100000), " ",IF(INDEX($AN$2:$BO$1001,MATCH(ROWS($AG$2:AG234),$AG$2:$AG$1001,0),MATCH(COLUMNS($AN$1006:BH1006),$AN$1006:$BO$1006,0)), HYPERLINK("#",""), HYPERLINK(CONCATENATE("#Metadata!", ADDRESS(INDEX($AI$2:$AI$1001,MATCH(ROWS($AG$2:AG234),$AG$2:$AG$1001,0),0), INDEX($AN$1004:$BO$1004,1,MATCH(COLUMNS($AN$1006:BH1006),$AN$1006:$BO$1006,0)))),"Fix")))</f>
        <v>0</v>
      </c>
      <c r="W234" s="4">
        <f>IF(OR(INDEX($AH$2:$AH$1001,MATCH(ROWS($AG$2:AG234),$AG$2:$AG$1001,0),1)&gt;=100000,INDEX($AN$1005:$BO$1005,1,MATCH(COLUMNS($AN$1006:BI1006),$AN$1006:$BO$1006,0))&gt;=100000), " ",IF(INDEX($AN$2:$BO$1001,MATCH(ROWS($AG$2:AG234),$AG$2:$AG$1001,0),MATCH(COLUMNS($AN$1006:BI1006),$AN$1006:$BO$1006,0)), HYPERLINK("#",""), HYPERLINK(CONCATENATE("#Metadata!", ADDRESS(INDEX($AI$2:$AI$1001,MATCH(ROWS($AG$2:AG234),$AG$2:$AG$1001,0),0), INDEX($AN$1004:$BO$1004,1,MATCH(COLUMNS($AN$1006:BI1006),$AN$1006:$BO$1006,0)))),"Fix")))</f>
        <v>0</v>
      </c>
      <c r="X234" s="4">
        <f>IF(OR(INDEX($AH$2:$AH$1001,MATCH(ROWS($AG$2:AG234),$AG$2:$AG$1001,0),1)&gt;=100000,INDEX($AN$1005:$BO$1005,1,MATCH(COLUMNS($AN$1006:BJ1006),$AN$1006:$BO$1006,0))&gt;=100000), " ",IF(INDEX($AN$2:$BO$1001,MATCH(ROWS($AG$2:AG234),$AG$2:$AG$1001,0),MATCH(COLUMNS($AN$1006:BJ1006),$AN$1006:$BO$1006,0)), HYPERLINK("#",""), HYPERLINK(CONCATENATE("#Metadata!", ADDRESS(INDEX($AI$2:$AI$1001,MATCH(ROWS($AG$2:AG234),$AG$2:$AG$1001,0),0), INDEX($AN$1004:$BO$1004,1,MATCH(COLUMNS($AN$1006:BJ1006),$AN$1006:$BO$1006,0)))),"Fix")))</f>
        <v>0</v>
      </c>
      <c r="Y234" s="4">
        <f>IF(OR(INDEX($AH$2:$AH$1001,MATCH(ROWS($AG$2:AG234),$AG$2:$AG$1001,0),1)&gt;=100000,INDEX($AN$1005:$BO$1005,1,MATCH(COLUMNS($AN$1006:BK1006),$AN$1006:$BO$1006,0))&gt;=100000), " ",IF(INDEX($AN$2:$BO$1001,MATCH(ROWS($AG$2:AG234),$AG$2:$AG$1001,0),MATCH(COLUMNS($AN$1006:BK1006),$AN$1006:$BO$1006,0)), HYPERLINK("#",""), HYPERLINK(CONCATENATE("#Metadata!", ADDRESS(INDEX($AI$2:$AI$1001,MATCH(ROWS($AG$2:AG234),$AG$2:$AG$1001,0),0), INDEX($AN$1004:$BO$1004,1,MATCH(COLUMNS($AN$1006:BK1006),$AN$1006:$BO$1006,0)))),"Fix")))</f>
        <v>0</v>
      </c>
      <c r="Z234" s="4">
        <f>IF(OR(INDEX($AH$2:$AH$1001,MATCH(ROWS($AG$2:AG234),$AG$2:$AG$1001,0),1)&gt;=100000,INDEX($AN$1005:$BO$1005,1,MATCH(COLUMNS($AN$1006:BL1006),$AN$1006:$BO$1006,0))&gt;=100000), " ",IF(INDEX($AN$2:$BO$1001,MATCH(ROWS($AG$2:AG234),$AG$2:$AG$1001,0),MATCH(COLUMNS($AN$1006:BL1006),$AN$1006:$BO$1006,0)), HYPERLINK("#",""), HYPERLINK(CONCATENATE("#Metadata!", ADDRESS(INDEX($AI$2:$AI$1001,MATCH(ROWS($AG$2:AG234),$AG$2:$AG$1001,0),0), INDEX($AN$1004:$BO$1004,1,MATCH(COLUMNS($AN$1006:BL1006),$AN$1006:$BO$1006,0)))),"Fix")))</f>
        <v>0</v>
      </c>
      <c r="AA234" s="4">
        <f>IF(OR(INDEX($AH$2:$AH$1001,MATCH(ROWS($AG$2:AG234),$AG$2:$AG$1001,0),1)&gt;=100000,INDEX($AN$1005:$BO$1005,1,MATCH(COLUMNS($AN$1006:BM1006),$AN$1006:$BO$1006,0))&gt;=100000), " ",IF(INDEX($AN$2:$BO$1001,MATCH(ROWS($AG$2:AG234),$AG$2:$AG$1001,0),MATCH(COLUMNS($AN$1006:BM1006),$AN$1006:$BO$1006,0)), HYPERLINK("#",""), HYPERLINK(CONCATENATE("#Metadata!", ADDRESS(INDEX($AI$2:$AI$1001,MATCH(ROWS($AG$2:AG234),$AG$2:$AG$1001,0),0), INDEX($AN$1004:$BO$1004,1,MATCH(COLUMNS($AN$1006:BM1006),$AN$1006:$BO$1006,0)))),"Fix")))</f>
        <v>0</v>
      </c>
      <c r="AB234" s="4">
        <f>IF(OR(INDEX($AH$2:$AH$1001,MATCH(ROWS($AG$2:AG234),$AG$2:$AG$1001,0),1)&gt;=100000,INDEX($AN$1005:$BO$1005,1,MATCH(COLUMNS($AN$1006:BN1006),$AN$1006:$BO$1006,0))&gt;=100000), " ",IF(INDEX($AN$2:$BO$1001,MATCH(ROWS($AG$2:AG234),$AG$2:$AG$1001,0),MATCH(COLUMNS($AN$1006:BN1006),$AN$1006:$BO$1006,0)), HYPERLINK("#",""), HYPERLINK(CONCATENATE("#Metadata!", ADDRESS(INDEX($AI$2:$AI$1001,MATCH(ROWS($AG$2:AG234),$AG$2:$AG$1001,0),0), INDEX($AN$1004:$BO$1004,1,MATCH(COLUMNS($AN$1006:BN1006),$AN$1006:$BO$1006,0)))),"Fix")))</f>
        <v>0</v>
      </c>
      <c r="AC234" s="4">
        <f>IF(OR(INDEX($AH$2:$AH$1001,MATCH(ROWS($AG$2:AG234),$AG$2:$AG$1001,0),1)&gt;=100000,INDEX($AN$1005:$BO$1005,1,MATCH(COLUMNS($AN$1006:BO1006),$AN$1006:$BO$1006,0))&gt;=100000), " ",IF(INDEX($AN$2:$BO$1001,MATCH(ROWS($AG$2:AG234),$AG$2:$AG$1001,0),MATCH(COLUMNS($AN$1006:BO1006),$AN$1006:$BO$1006,0)), HYPERLINK("#",""), HYPERLINK(CONCATENATE("#Metadata!", ADDRESS(INDEX($AI$2:$AI$1001,MATCH(ROWS($AG$2:AG234),$AG$2:$AG$1001,0),0), INDEX($AN$1004:$BO$1004,1,MATCH(COLUMNS($AN$1006:BO1006),$AN$1006:$BO$1006,0)))),"Fix")))</f>
        <v>0</v>
      </c>
      <c r="AG234">
        <v>0</v>
      </c>
      <c r="AH234">
        <v>0</v>
      </c>
      <c r="AI234">
        <v>0</v>
      </c>
      <c r="AJ234">
        <f>IF(AK234,TRUE,AND(AN234:BO234))</f>
        <v>0</v>
      </c>
      <c r="AK234">
        <f>COUNTBLANK(Metadata!B234:AC234)=COLUMNS(Metadata!B234:AC234)</f>
        <v>0</v>
      </c>
      <c r="AL234">
        <v>0</v>
      </c>
      <c r="AN234">
        <f>AND(IF(Metadata!B234="",FALSE,TRUE),COUNTIF(Metadata!B:B, Metadata!B234) = 1,NOT(ISERROR(SUMPRODUCT(SEARCH(MID(Metadata!B234,ROW(INDIRECT("1:"&amp;LEN(Metadata!B234))), 1),"0123456789abcdefghijklmnopqrstuvwxyzABCDEFGHIJKLMNOPQRSTUVWXYZ.")))))</f>
        <v>0</v>
      </c>
      <c r="AO234">
        <f>IF(Metadata!C234="",FALSE,TRUE)</f>
        <v>0</v>
      </c>
      <c r="AP234">
        <f>IF(Metadata!D234="",FALSE,TRUE)</f>
        <v>0</v>
      </c>
      <c r="AQ234">
        <f>OR(AND(IF(Metadata!E234="",FALSE,TRUE),OR(exact(Metadata!E234,"not collected"),exact(Metadata!E234,"not provided"),exact(Metadata!E234,"restricted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R234">
        <f>IF(Metadata!F234="",FALSE,TRUE)</f>
        <v>0</v>
      </c>
      <c r="AS234">
        <f>OR(AND(IF(Metadata!G234="",FALSE,TRUE),OR(exact(Metadata!G234,"not collected"),exact(Metadata!G234,"not provided"))),AND(IF(Metadata!G234="",FALSE,TRUE),OR(exact(Metadata!G234,"TRUE"),exact(Metadata!G234,"FALSE"))))</f>
        <v>0</v>
      </c>
      <c r="AT234">
        <f>OR(AND(IF(Metadata!H234="",FALSE,TRUE),OR(exact(Metadata!H234,"not collected"),exact(Metadata!H234,"not provided"),exact(Metadata!H234,"restricted access"))),AND(IF(Metadata!H234="",FALSE,ISNUMBER(VALUE(Metadata!H234))),Metadata!H234&gt;=-413.0))</f>
        <v>0</v>
      </c>
      <c r="AU234">
        <f>AND(IF(Metadata!I234="",FALSE,TRUE),exact(Metadata!I234,"meters"))</f>
        <v>0</v>
      </c>
      <c r="AV234">
        <f>AND(IF(Metadata!J234="",FALSE,TRUE),OR(exact(Metadata!J234,"Host-associated"),exact(Metadata!J234,"Free-living")))</f>
        <v>0</v>
      </c>
      <c r="AW234">
        <f>AND(IF(Metadata!K234="",FALSE,TRUE),OR(exact(Metadata!K234,"Animal"),exact(Metadata!K234,"Fungus"),exact(Metadata!K234,"Plant"),exact(Metadata!K234,"Saline"),exact(Metadata!K234,"Non-saline")))</f>
        <v>0</v>
      </c>
      <c r="AX234">
        <f>AND(IF(Metadata!L234="",FALSE,TRUE),OR(exact(Metadata!L234,"Plant secretion"),exact(Metadata!L234,"Plant rhizosphere"),exact(Metadata!L234,"Plant surface"),exact(Metadata!L234,"Plant corpus"),exact(Metadata!L234,"Fungus surface"),exact(Metadata!L234,"Fungus corpus"),exact(Metadata!L234,"Animal surface"),exact(Metadata!L234,"Animal proximal gut"),exact(Metadata!L234,"Animal corpus"),exact(Metadata!L234,"Animal distal gut"),exact(Metadata!L234,"Animal secretion"),exact(Metadata!L234,"Sub-surface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Y234">
        <f>IF(Metadata!M234="",FALSE,TRUE)</f>
        <v>0</v>
      </c>
      <c r="AZ234">
        <f>IF(Metadata!N234="",FALSE,TRUE)</f>
        <v>0</v>
      </c>
      <c r="BA234">
        <f>IF(Metadata!O234="",FALSE,TRUE)</f>
        <v>0</v>
      </c>
      <c r="BB234">
        <f>OR(AND(IF(Metadata!P234="",FALSE,TRUE),OR(exact(Metadata!P234,"not collected"),exact(Metadata!P234,"not provided"),exact(Metadata!P234,"restricted access"))),AND(IF(Metadata!P234="",FALSE,TRUE),OR(exact(Metadata!P234,"air"),exact(Metadata!P234,"built environment"),exact(Metadata!P234,"host-associated"),exact(Metadata!P234,"human-associated"),exact(Metadata!P234,"human-skin"),exact(Metadata!P234,"human-oral"),exact(Metadata!P234,"human-gut"),exact(Metadata!P234,"human-vaginal"),exact(Metadata!P234,"microbial mat/biofilm"),exact(Metadata!P234,"misc environment"),exact(Metadata!P234,"plant-associated"),exact(Metadata!P234,"sediment"),exact(Metadata!P234,"soil"),exact(Metadata!P234,"wastewater/sludge"),exact(Metadata!P234,"water"))))</f>
        <v>0</v>
      </c>
      <c r="BC234">
        <f>IF(Metadata!Q234="",FALSE,TRUE)</f>
        <v>0</v>
      </c>
      <c r="BD234">
        <f>IF(Metadata!R234="",FALSE,TRUE)</f>
        <v>0</v>
      </c>
      <c r="BE234">
        <f>OR(AND(IF(Metadata!S234="",FALSE,TRUE),OR(exact(Metadata!S234,"not collected"),exact(Metadata!S234,"not provided"),exact(Metadata!S234,"restricted access"))),AND(IF(Metadata!S234="",FALSE,ISNUMBER(VALUE(Metadata!S234))),Metadata!S234&gt;=-90.00,Metadata!S234&lt;=90.00))</f>
        <v>0</v>
      </c>
      <c r="BF234">
        <f>AND(IF(Metadata!T234="",FALSE,TRUE),exact(Metadata!T234,"Decimal degrees"))</f>
        <v>0</v>
      </c>
      <c r="BG234">
        <f>OR(AND(IF(Metadata!U234="",FALSE,TRUE),OR(exact(Metadata!U234,"not collected"),exact(Metadata!U234,"not provided"),exact(Metadata!U234,"restricted access"))),AND(IF(Metadata!U234="",FALSE,ISNUMBER(VALUE(Metadata!U234))),Metadata!U234&gt;=-180.00,Metadata!U234&lt;=180.00))</f>
        <v>0</v>
      </c>
      <c r="BH234">
        <f>AND(IF(Metadata!V234="",FALSE,TRUE),exact(Metadata!V234,"Decimal degrees"))</f>
        <v>0</v>
      </c>
      <c r="BI234">
        <f>IF(Metadata!W234="",FALSE,TRUE)</f>
        <v>0</v>
      </c>
      <c r="BJ234">
        <f>OR(AND(IF(Metadata!X234="",FALSE,TRUE),OR(exact(Metadata!X234,"not collected"),exact(Metadata!X234,"not provided"),exact(Metadata!X234,"restricted access"))),AND(IF(Metadata!X234="",FALSE,TRUE),OR(exact(Metadata!X234,"TRUE"),exact(Metadata!X234,"FALSE"))))</f>
        <v>0</v>
      </c>
      <c r="BK234">
        <f>AND(IF(Metadata!Y234="",FALSE,TRUE),exact(Metadata!Y234,"other"))</f>
        <v>0</v>
      </c>
      <c r="BL234">
        <f>IF(Metadata!Z234="",FALSE,TRUE)</f>
        <v>0</v>
      </c>
      <c r="BM234">
        <f>OR(AND(IF(Metadata!AA234="",FALSE,TRUE),OR(exact(Metadata!AA234,"not collected"),exact(Metadata!AA234,"not provided"))),AND(IF(Metadata!AA234="",FALSE,IF(ISERROR(INT(Metadata!AA234)),FALSE,INT(Metadata!AA234)=Metadata!AA234)),Metadata!AA234&gt;0))</f>
        <v>0</v>
      </c>
      <c r="BN234">
        <f>AND(IF(Metadata!AB234="",FALSE,TRUE),exact(Metadata!AB234,"Not applicable"))</f>
        <v>0</v>
      </c>
      <c r="BO234">
        <f>IF(Metadata!AC234="",FALSE,TRUE)</f>
        <v>0</v>
      </c>
    </row>
    <row r="235" spans="1:67">
      <c r="A235" s="5">
        <f>IF(B235=" "," ",HYPERLINK(CONCATENATE("#metadata!",ADDRESS(INDEX($AI$2:$AI$1001,MATCH(ROWS($AG$2:AG235),$AG$2:$AG$1001,0),0),1)),INDEX($AL$2:$AL$1001,MATCH(ROWS($AG$2:AG235),$AG$2:$AG$1001,0),0)))</f>
        <v>0</v>
      </c>
      <c r="B235" s="4">
        <f>IF(OR(INDEX($AH$2:$AH$1001,MATCH(ROWS($AG$2:AG235),$AG$2:$AG$1001,0),1)&gt;=100000,INDEX($AN$1005:$BO$1005,1,MATCH(COLUMNS($AN$1006:AN1006),$AN$1006:$BO$1006,0))&gt;=100000), " ",IF(INDEX($AN$2:$BO$1001,MATCH(ROWS($AG$2:AG235),$AG$2:$AG$1001,0),MATCH(COLUMNS($AN$1006:AN1006),$AN$1006:$BO$1006,0)), HYPERLINK("#",""), HYPERLINK(CONCATENATE("#Metadata!", ADDRESS(INDEX($AI$2:$AI$1001,MATCH(ROWS($AG$2:AG235),$AG$2:$AG$1001,0),0), INDEX($AN$1004:$BO$1004,1,MATCH(COLUMNS($AN$1006:AN1006),$AN$1006:$BO$1006,0)))),"Fix")))</f>
        <v>0</v>
      </c>
      <c r="C235" s="4">
        <f>IF(OR(INDEX($AH$2:$AH$1001,MATCH(ROWS($AG$2:AG235),$AG$2:$AG$1001,0),1)&gt;=100000,INDEX($AN$1005:$BO$1005,1,MATCH(COLUMNS($AN$1006:AO1006),$AN$1006:$BO$1006,0))&gt;=100000), " ",IF(INDEX($AN$2:$BO$1001,MATCH(ROWS($AG$2:AG235),$AG$2:$AG$1001,0),MATCH(COLUMNS($AN$1006:AO1006),$AN$1006:$BO$1006,0)), HYPERLINK("#",""), HYPERLINK(CONCATENATE("#Metadata!", ADDRESS(INDEX($AI$2:$AI$1001,MATCH(ROWS($AG$2:AG235),$AG$2:$AG$1001,0),0), INDEX($AN$1004:$BO$1004,1,MATCH(COLUMNS($AN$1006:AO1006),$AN$1006:$BO$1006,0)))),"Fix")))</f>
        <v>0</v>
      </c>
      <c r="D235" s="4">
        <f>IF(OR(INDEX($AH$2:$AH$1001,MATCH(ROWS($AG$2:AG235),$AG$2:$AG$1001,0),1)&gt;=100000,INDEX($AN$1005:$BO$1005,1,MATCH(COLUMNS($AN$1006:AP1006),$AN$1006:$BO$1006,0))&gt;=100000), " ",IF(INDEX($AN$2:$BO$1001,MATCH(ROWS($AG$2:AG235),$AG$2:$AG$1001,0),MATCH(COLUMNS($AN$1006:AP1006),$AN$1006:$BO$1006,0)), HYPERLINK("#",""), HYPERLINK(CONCATENATE("#Metadata!", ADDRESS(INDEX($AI$2:$AI$1001,MATCH(ROWS($AG$2:AG235),$AG$2:$AG$1001,0),0), INDEX($AN$1004:$BO$1004,1,MATCH(COLUMNS($AN$1006:AP1006),$AN$1006:$BO$1006,0)))),"Fix")))</f>
        <v>0</v>
      </c>
      <c r="E235" s="4">
        <f>IF(OR(INDEX($AH$2:$AH$1001,MATCH(ROWS($AG$2:AG235),$AG$2:$AG$1001,0),1)&gt;=100000,INDEX($AN$1005:$BO$1005,1,MATCH(COLUMNS($AN$1006:AQ1006),$AN$1006:$BO$1006,0))&gt;=100000), " ",IF(INDEX($AN$2:$BO$1001,MATCH(ROWS($AG$2:AG235),$AG$2:$AG$1001,0),MATCH(COLUMNS($AN$1006:AQ1006),$AN$1006:$BO$1006,0)), HYPERLINK("#",""), HYPERLINK(CONCATENATE("#Metadata!", ADDRESS(INDEX($AI$2:$AI$1001,MATCH(ROWS($AG$2:AG235),$AG$2:$AG$1001,0),0), INDEX($AN$1004:$BO$1004,1,MATCH(COLUMNS($AN$1006:AQ1006),$AN$1006:$BO$1006,0)))),"Fix")))</f>
        <v>0</v>
      </c>
      <c r="F235" s="4">
        <f>IF(OR(INDEX($AH$2:$AH$1001,MATCH(ROWS($AG$2:AG235),$AG$2:$AG$1001,0),1)&gt;=100000,INDEX($AN$1005:$BO$1005,1,MATCH(COLUMNS($AN$1006:AR1006),$AN$1006:$BO$1006,0))&gt;=100000), " ",IF(INDEX($AN$2:$BO$1001,MATCH(ROWS($AG$2:AG235),$AG$2:$AG$1001,0),MATCH(COLUMNS($AN$1006:AR1006),$AN$1006:$BO$1006,0)), HYPERLINK("#",""), HYPERLINK(CONCATENATE("#Metadata!", ADDRESS(INDEX($AI$2:$AI$1001,MATCH(ROWS($AG$2:AG235),$AG$2:$AG$1001,0),0), INDEX($AN$1004:$BO$1004,1,MATCH(COLUMNS($AN$1006:AR1006),$AN$1006:$BO$1006,0)))),"Fix")))</f>
        <v>0</v>
      </c>
      <c r="G235" s="4">
        <f>IF(OR(INDEX($AH$2:$AH$1001,MATCH(ROWS($AG$2:AG235),$AG$2:$AG$1001,0),1)&gt;=100000,INDEX($AN$1005:$BO$1005,1,MATCH(COLUMNS($AN$1006:AS1006),$AN$1006:$BO$1006,0))&gt;=100000), " ",IF(INDEX($AN$2:$BO$1001,MATCH(ROWS($AG$2:AG235),$AG$2:$AG$1001,0),MATCH(COLUMNS($AN$1006:AS1006),$AN$1006:$BO$1006,0)), HYPERLINK("#",""), HYPERLINK(CONCATENATE("#Metadata!", ADDRESS(INDEX($AI$2:$AI$1001,MATCH(ROWS($AG$2:AG235),$AG$2:$AG$1001,0),0), INDEX($AN$1004:$BO$1004,1,MATCH(COLUMNS($AN$1006:AS1006),$AN$1006:$BO$1006,0)))),"Fix")))</f>
        <v>0</v>
      </c>
      <c r="H235" s="4">
        <f>IF(OR(INDEX($AH$2:$AH$1001,MATCH(ROWS($AG$2:AG235),$AG$2:$AG$1001,0),1)&gt;=100000,INDEX($AN$1005:$BO$1005,1,MATCH(COLUMNS($AN$1006:AT1006),$AN$1006:$BO$1006,0))&gt;=100000), " ",IF(INDEX($AN$2:$BO$1001,MATCH(ROWS($AG$2:AG235),$AG$2:$AG$1001,0),MATCH(COLUMNS($AN$1006:AT1006),$AN$1006:$BO$1006,0)), HYPERLINK("#",""), HYPERLINK(CONCATENATE("#Metadata!", ADDRESS(INDEX($AI$2:$AI$1001,MATCH(ROWS($AG$2:AG235),$AG$2:$AG$1001,0),0), INDEX($AN$1004:$BO$1004,1,MATCH(COLUMNS($AN$1006:AT1006),$AN$1006:$BO$1006,0)))),"Fix")))</f>
        <v>0</v>
      </c>
      <c r="I235" s="4">
        <f>IF(OR(INDEX($AH$2:$AH$1001,MATCH(ROWS($AG$2:AG235),$AG$2:$AG$1001,0),1)&gt;=100000,INDEX($AN$1005:$BO$1005,1,MATCH(COLUMNS($AN$1006:AU1006),$AN$1006:$BO$1006,0))&gt;=100000), " ",IF(INDEX($AN$2:$BO$1001,MATCH(ROWS($AG$2:AG235),$AG$2:$AG$1001,0),MATCH(COLUMNS($AN$1006:AU1006),$AN$1006:$BO$1006,0)), HYPERLINK("#",""), HYPERLINK(CONCATENATE("#Metadata!", ADDRESS(INDEX($AI$2:$AI$1001,MATCH(ROWS($AG$2:AG235),$AG$2:$AG$1001,0),0), INDEX($AN$1004:$BO$1004,1,MATCH(COLUMNS($AN$1006:AU1006),$AN$1006:$BO$1006,0)))),"Fix")))</f>
        <v>0</v>
      </c>
      <c r="J235" s="4">
        <f>IF(OR(INDEX($AH$2:$AH$1001,MATCH(ROWS($AG$2:AG235),$AG$2:$AG$1001,0),1)&gt;=100000,INDEX($AN$1005:$BO$1005,1,MATCH(COLUMNS($AN$1006:AV1006),$AN$1006:$BO$1006,0))&gt;=100000), " ",IF(INDEX($AN$2:$BO$1001,MATCH(ROWS($AG$2:AG235),$AG$2:$AG$1001,0),MATCH(COLUMNS($AN$1006:AV1006),$AN$1006:$BO$1006,0)), HYPERLINK("#",""), HYPERLINK(CONCATENATE("#Metadata!", ADDRESS(INDEX($AI$2:$AI$1001,MATCH(ROWS($AG$2:AG235),$AG$2:$AG$1001,0),0), INDEX($AN$1004:$BO$1004,1,MATCH(COLUMNS($AN$1006:AV1006),$AN$1006:$BO$1006,0)))),"Fix")))</f>
        <v>0</v>
      </c>
      <c r="K235" s="4">
        <f>IF(OR(INDEX($AH$2:$AH$1001,MATCH(ROWS($AG$2:AG235),$AG$2:$AG$1001,0),1)&gt;=100000,INDEX($AN$1005:$BO$1005,1,MATCH(COLUMNS($AN$1006:AW1006),$AN$1006:$BO$1006,0))&gt;=100000), " ",IF(INDEX($AN$2:$BO$1001,MATCH(ROWS($AG$2:AG235),$AG$2:$AG$1001,0),MATCH(COLUMNS($AN$1006:AW1006),$AN$1006:$BO$1006,0)), HYPERLINK("#",""), HYPERLINK(CONCATENATE("#Metadata!", ADDRESS(INDEX($AI$2:$AI$1001,MATCH(ROWS($AG$2:AG235),$AG$2:$AG$1001,0),0), INDEX($AN$1004:$BO$1004,1,MATCH(COLUMNS($AN$1006:AW1006),$AN$1006:$BO$1006,0)))),"Fix")))</f>
        <v>0</v>
      </c>
      <c r="L235" s="4">
        <f>IF(OR(INDEX($AH$2:$AH$1001,MATCH(ROWS($AG$2:AG235),$AG$2:$AG$1001,0),1)&gt;=100000,INDEX($AN$1005:$BO$1005,1,MATCH(COLUMNS($AN$1006:AX1006),$AN$1006:$BO$1006,0))&gt;=100000), " ",IF(INDEX($AN$2:$BO$1001,MATCH(ROWS($AG$2:AG235),$AG$2:$AG$1001,0),MATCH(COLUMNS($AN$1006:AX1006),$AN$1006:$BO$1006,0)), HYPERLINK("#",""), HYPERLINK(CONCATENATE("#Metadata!", ADDRESS(INDEX($AI$2:$AI$1001,MATCH(ROWS($AG$2:AG235),$AG$2:$AG$1001,0),0), INDEX($AN$1004:$BO$1004,1,MATCH(COLUMNS($AN$1006:AX1006),$AN$1006:$BO$1006,0)))),"Fix")))</f>
        <v>0</v>
      </c>
      <c r="M235" s="4">
        <f>IF(OR(INDEX($AH$2:$AH$1001,MATCH(ROWS($AG$2:AG235),$AG$2:$AG$1001,0),1)&gt;=100000,INDEX($AN$1005:$BO$1005,1,MATCH(COLUMNS($AN$1006:AY1006),$AN$1006:$BO$1006,0))&gt;=100000), " ",IF(INDEX($AN$2:$BO$1001,MATCH(ROWS($AG$2:AG235),$AG$2:$AG$1001,0),MATCH(COLUMNS($AN$1006:AY1006),$AN$1006:$BO$1006,0)), HYPERLINK("#",""), HYPERLINK(CONCATENATE("#Metadata!", ADDRESS(INDEX($AI$2:$AI$1001,MATCH(ROWS($AG$2:AG235),$AG$2:$AG$1001,0),0), INDEX($AN$1004:$BO$1004,1,MATCH(COLUMNS($AN$1006:AY1006),$AN$1006:$BO$1006,0)))),"Fix")))</f>
        <v>0</v>
      </c>
      <c r="N235" s="4">
        <f>IF(OR(INDEX($AH$2:$AH$1001,MATCH(ROWS($AG$2:AG235),$AG$2:$AG$1001,0),1)&gt;=100000,INDEX($AN$1005:$BO$1005,1,MATCH(COLUMNS($AN$1006:AZ1006),$AN$1006:$BO$1006,0))&gt;=100000), " ",IF(INDEX($AN$2:$BO$1001,MATCH(ROWS($AG$2:AG235),$AG$2:$AG$1001,0),MATCH(COLUMNS($AN$1006:AZ1006),$AN$1006:$BO$1006,0)), HYPERLINK("#",""), HYPERLINK(CONCATENATE("#Metadata!", ADDRESS(INDEX($AI$2:$AI$1001,MATCH(ROWS($AG$2:AG235),$AG$2:$AG$1001,0),0), INDEX($AN$1004:$BO$1004,1,MATCH(COLUMNS($AN$1006:AZ1006),$AN$1006:$BO$1006,0)))),"Fix")))</f>
        <v>0</v>
      </c>
      <c r="O235" s="4">
        <f>IF(OR(INDEX($AH$2:$AH$1001,MATCH(ROWS($AG$2:AG235),$AG$2:$AG$1001,0),1)&gt;=100000,INDEX($AN$1005:$BO$1005,1,MATCH(COLUMNS($AN$1006:BA1006),$AN$1006:$BO$1006,0))&gt;=100000), " ",IF(INDEX($AN$2:$BO$1001,MATCH(ROWS($AG$2:AG235),$AG$2:$AG$1001,0),MATCH(COLUMNS($AN$1006:BA1006),$AN$1006:$BO$1006,0)), HYPERLINK("#",""), HYPERLINK(CONCATENATE("#Metadata!", ADDRESS(INDEX($AI$2:$AI$1001,MATCH(ROWS($AG$2:AG235),$AG$2:$AG$1001,0),0), INDEX($AN$1004:$BO$1004,1,MATCH(COLUMNS($AN$1006:BA1006),$AN$1006:$BO$1006,0)))),"Fix")))</f>
        <v>0</v>
      </c>
      <c r="P235" s="4">
        <f>IF(OR(INDEX($AH$2:$AH$1001,MATCH(ROWS($AG$2:AG235),$AG$2:$AG$1001,0),1)&gt;=100000,INDEX($AN$1005:$BO$1005,1,MATCH(COLUMNS($AN$1006:BB1006),$AN$1006:$BO$1006,0))&gt;=100000), " ",IF(INDEX($AN$2:$BO$1001,MATCH(ROWS($AG$2:AG235),$AG$2:$AG$1001,0),MATCH(COLUMNS($AN$1006:BB1006),$AN$1006:$BO$1006,0)), HYPERLINK("#",""), HYPERLINK(CONCATENATE("#Metadata!", ADDRESS(INDEX($AI$2:$AI$1001,MATCH(ROWS($AG$2:AG235),$AG$2:$AG$1001,0),0), INDEX($AN$1004:$BO$1004,1,MATCH(COLUMNS($AN$1006:BB1006),$AN$1006:$BO$1006,0)))),"Fix")))</f>
        <v>0</v>
      </c>
      <c r="Q235" s="4">
        <f>IF(OR(INDEX($AH$2:$AH$1001,MATCH(ROWS($AG$2:AG235),$AG$2:$AG$1001,0),1)&gt;=100000,INDEX($AN$1005:$BO$1005,1,MATCH(COLUMNS($AN$1006:BC1006),$AN$1006:$BO$1006,0))&gt;=100000), " ",IF(INDEX($AN$2:$BO$1001,MATCH(ROWS($AG$2:AG235),$AG$2:$AG$1001,0),MATCH(COLUMNS($AN$1006:BC1006),$AN$1006:$BO$1006,0)), HYPERLINK("#",""), HYPERLINK(CONCATENATE("#Metadata!", ADDRESS(INDEX($AI$2:$AI$1001,MATCH(ROWS($AG$2:AG235),$AG$2:$AG$1001,0),0), INDEX($AN$1004:$BO$1004,1,MATCH(COLUMNS($AN$1006:BC1006),$AN$1006:$BO$1006,0)))),"Fix")))</f>
        <v>0</v>
      </c>
      <c r="R235" s="4">
        <f>IF(OR(INDEX($AH$2:$AH$1001,MATCH(ROWS($AG$2:AG235),$AG$2:$AG$1001,0),1)&gt;=100000,INDEX($AN$1005:$BO$1005,1,MATCH(COLUMNS($AN$1006:BD1006),$AN$1006:$BO$1006,0))&gt;=100000), " ",IF(INDEX($AN$2:$BO$1001,MATCH(ROWS($AG$2:AG235),$AG$2:$AG$1001,0),MATCH(COLUMNS($AN$1006:BD1006),$AN$1006:$BO$1006,0)), HYPERLINK("#",""), HYPERLINK(CONCATENATE("#Metadata!", ADDRESS(INDEX($AI$2:$AI$1001,MATCH(ROWS($AG$2:AG235),$AG$2:$AG$1001,0),0), INDEX($AN$1004:$BO$1004,1,MATCH(COLUMNS($AN$1006:BD1006),$AN$1006:$BO$1006,0)))),"Fix")))</f>
        <v>0</v>
      </c>
      <c r="S235" s="4">
        <f>IF(OR(INDEX($AH$2:$AH$1001,MATCH(ROWS($AG$2:AG235),$AG$2:$AG$1001,0),1)&gt;=100000,INDEX($AN$1005:$BO$1005,1,MATCH(COLUMNS($AN$1006:BE1006),$AN$1006:$BO$1006,0))&gt;=100000), " ",IF(INDEX($AN$2:$BO$1001,MATCH(ROWS($AG$2:AG235),$AG$2:$AG$1001,0),MATCH(COLUMNS($AN$1006:BE1006),$AN$1006:$BO$1006,0)), HYPERLINK("#",""), HYPERLINK(CONCATENATE("#Metadata!", ADDRESS(INDEX($AI$2:$AI$1001,MATCH(ROWS($AG$2:AG235),$AG$2:$AG$1001,0),0), INDEX($AN$1004:$BO$1004,1,MATCH(COLUMNS($AN$1006:BE1006),$AN$1006:$BO$1006,0)))),"Fix")))</f>
        <v>0</v>
      </c>
      <c r="T235" s="4">
        <f>IF(OR(INDEX($AH$2:$AH$1001,MATCH(ROWS($AG$2:AG235),$AG$2:$AG$1001,0),1)&gt;=100000,INDEX($AN$1005:$BO$1005,1,MATCH(COLUMNS($AN$1006:BF1006),$AN$1006:$BO$1006,0))&gt;=100000), " ",IF(INDEX($AN$2:$BO$1001,MATCH(ROWS($AG$2:AG235),$AG$2:$AG$1001,0),MATCH(COLUMNS($AN$1006:BF1006),$AN$1006:$BO$1006,0)), HYPERLINK("#",""), HYPERLINK(CONCATENATE("#Metadata!", ADDRESS(INDEX($AI$2:$AI$1001,MATCH(ROWS($AG$2:AG235),$AG$2:$AG$1001,0),0), INDEX($AN$1004:$BO$1004,1,MATCH(COLUMNS($AN$1006:BF1006),$AN$1006:$BO$1006,0)))),"Fix")))</f>
        <v>0</v>
      </c>
      <c r="U235" s="4">
        <f>IF(OR(INDEX($AH$2:$AH$1001,MATCH(ROWS($AG$2:AG235),$AG$2:$AG$1001,0),1)&gt;=100000,INDEX($AN$1005:$BO$1005,1,MATCH(COLUMNS($AN$1006:BG1006),$AN$1006:$BO$1006,0))&gt;=100000), " ",IF(INDEX($AN$2:$BO$1001,MATCH(ROWS($AG$2:AG235),$AG$2:$AG$1001,0),MATCH(COLUMNS($AN$1006:BG1006),$AN$1006:$BO$1006,0)), HYPERLINK("#",""), HYPERLINK(CONCATENATE("#Metadata!", ADDRESS(INDEX($AI$2:$AI$1001,MATCH(ROWS($AG$2:AG235),$AG$2:$AG$1001,0),0), INDEX($AN$1004:$BO$1004,1,MATCH(COLUMNS($AN$1006:BG1006),$AN$1006:$BO$1006,0)))),"Fix")))</f>
        <v>0</v>
      </c>
      <c r="V235" s="4">
        <f>IF(OR(INDEX($AH$2:$AH$1001,MATCH(ROWS($AG$2:AG235),$AG$2:$AG$1001,0),1)&gt;=100000,INDEX($AN$1005:$BO$1005,1,MATCH(COLUMNS($AN$1006:BH1006),$AN$1006:$BO$1006,0))&gt;=100000), " ",IF(INDEX($AN$2:$BO$1001,MATCH(ROWS($AG$2:AG235),$AG$2:$AG$1001,0),MATCH(COLUMNS($AN$1006:BH1006),$AN$1006:$BO$1006,0)), HYPERLINK("#",""), HYPERLINK(CONCATENATE("#Metadata!", ADDRESS(INDEX($AI$2:$AI$1001,MATCH(ROWS($AG$2:AG235),$AG$2:$AG$1001,0),0), INDEX($AN$1004:$BO$1004,1,MATCH(COLUMNS($AN$1006:BH1006),$AN$1006:$BO$1006,0)))),"Fix")))</f>
        <v>0</v>
      </c>
      <c r="W235" s="4">
        <f>IF(OR(INDEX($AH$2:$AH$1001,MATCH(ROWS($AG$2:AG235),$AG$2:$AG$1001,0),1)&gt;=100000,INDEX($AN$1005:$BO$1005,1,MATCH(COLUMNS($AN$1006:BI1006),$AN$1006:$BO$1006,0))&gt;=100000), " ",IF(INDEX($AN$2:$BO$1001,MATCH(ROWS($AG$2:AG235),$AG$2:$AG$1001,0),MATCH(COLUMNS($AN$1006:BI1006),$AN$1006:$BO$1006,0)), HYPERLINK("#",""), HYPERLINK(CONCATENATE("#Metadata!", ADDRESS(INDEX($AI$2:$AI$1001,MATCH(ROWS($AG$2:AG235),$AG$2:$AG$1001,0),0), INDEX($AN$1004:$BO$1004,1,MATCH(COLUMNS($AN$1006:BI1006),$AN$1006:$BO$1006,0)))),"Fix")))</f>
        <v>0</v>
      </c>
      <c r="X235" s="4">
        <f>IF(OR(INDEX($AH$2:$AH$1001,MATCH(ROWS($AG$2:AG235),$AG$2:$AG$1001,0),1)&gt;=100000,INDEX($AN$1005:$BO$1005,1,MATCH(COLUMNS($AN$1006:BJ1006),$AN$1006:$BO$1006,0))&gt;=100000), " ",IF(INDEX($AN$2:$BO$1001,MATCH(ROWS($AG$2:AG235),$AG$2:$AG$1001,0),MATCH(COLUMNS($AN$1006:BJ1006),$AN$1006:$BO$1006,0)), HYPERLINK("#",""), HYPERLINK(CONCATENATE("#Metadata!", ADDRESS(INDEX($AI$2:$AI$1001,MATCH(ROWS($AG$2:AG235),$AG$2:$AG$1001,0),0), INDEX($AN$1004:$BO$1004,1,MATCH(COLUMNS($AN$1006:BJ1006),$AN$1006:$BO$1006,0)))),"Fix")))</f>
        <v>0</v>
      </c>
      <c r="Y235" s="4">
        <f>IF(OR(INDEX($AH$2:$AH$1001,MATCH(ROWS($AG$2:AG235),$AG$2:$AG$1001,0),1)&gt;=100000,INDEX($AN$1005:$BO$1005,1,MATCH(COLUMNS($AN$1006:BK1006),$AN$1006:$BO$1006,0))&gt;=100000), " ",IF(INDEX($AN$2:$BO$1001,MATCH(ROWS($AG$2:AG235),$AG$2:$AG$1001,0),MATCH(COLUMNS($AN$1006:BK1006),$AN$1006:$BO$1006,0)), HYPERLINK("#",""), HYPERLINK(CONCATENATE("#Metadata!", ADDRESS(INDEX($AI$2:$AI$1001,MATCH(ROWS($AG$2:AG235),$AG$2:$AG$1001,0),0), INDEX($AN$1004:$BO$1004,1,MATCH(COLUMNS($AN$1006:BK1006),$AN$1006:$BO$1006,0)))),"Fix")))</f>
        <v>0</v>
      </c>
      <c r="Z235" s="4">
        <f>IF(OR(INDEX($AH$2:$AH$1001,MATCH(ROWS($AG$2:AG235),$AG$2:$AG$1001,0),1)&gt;=100000,INDEX($AN$1005:$BO$1005,1,MATCH(COLUMNS($AN$1006:BL1006),$AN$1006:$BO$1006,0))&gt;=100000), " ",IF(INDEX($AN$2:$BO$1001,MATCH(ROWS($AG$2:AG235),$AG$2:$AG$1001,0),MATCH(COLUMNS($AN$1006:BL1006),$AN$1006:$BO$1006,0)), HYPERLINK("#",""), HYPERLINK(CONCATENATE("#Metadata!", ADDRESS(INDEX($AI$2:$AI$1001,MATCH(ROWS($AG$2:AG235),$AG$2:$AG$1001,0),0), INDEX($AN$1004:$BO$1004,1,MATCH(COLUMNS($AN$1006:BL1006),$AN$1006:$BO$1006,0)))),"Fix")))</f>
        <v>0</v>
      </c>
      <c r="AA235" s="4">
        <f>IF(OR(INDEX($AH$2:$AH$1001,MATCH(ROWS($AG$2:AG235),$AG$2:$AG$1001,0),1)&gt;=100000,INDEX($AN$1005:$BO$1005,1,MATCH(COLUMNS($AN$1006:BM1006),$AN$1006:$BO$1006,0))&gt;=100000), " ",IF(INDEX($AN$2:$BO$1001,MATCH(ROWS($AG$2:AG235),$AG$2:$AG$1001,0),MATCH(COLUMNS($AN$1006:BM1006),$AN$1006:$BO$1006,0)), HYPERLINK("#",""), HYPERLINK(CONCATENATE("#Metadata!", ADDRESS(INDEX($AI$2:$AI$1001,MATCH(ROWS($AG$2:AG235),$AG$2:$AG$1001,0),0), INDEX($AN$1004:$BO$1004,1,MATCH(COLUMNS($AN$1006:BM1006),$AN$1006:$BO$1006,0)))),"Fix")))</f>
        <v>0</v>
      </c>
      <c r="AB235" s="4">
        <f>IF(OR(INDEX($AH$2:$AH$1001,MATCH(ROWS($AG$2:AG235),$AG$2:$AG$1001,0),1)&gt;=100000,INDEX($AN$1005:$BO$1005,1,MATCH(COLUMNS($AN$1006:BN1006),$AN$1006:$BO$1006,0))&gt;=100000), " ",IF(INDEX($AN$2:$BO$1001,MATCH(ROWS($AG$2:AG235),$AG$2:$AG$1001,0),MATCH(COLUMNS($AN$1006:BN1006),$AN$1006:$BO$1006,0)), HYPERLINK("#",""), HYPERLINK(CONCATENATE("#Metadata!", ADDRESS(INDEX($AI$2:$AI$1001,MATCH(ROWS($AG$2:AG235),$AG$2:$AG$1001,0),0), INDEX($AN$1004:$BO$1004,1,MATCH(COLUMNS($AN$1006:BN1006),$AN$1006:$BO$1006,0)))),"Fix")))</f>
        <v>0</v>
      </c>
      <c r="AC235" s="4">
        <f>IF(OR(INDEX($AH$2:$AH$1001,MATCH(ROWS($AG$2:AG235),$AG$2:$AG$1001,0),1)&gt;=100000,INDEX($AN$1005:$BO$1005,1,MATCH(COLUMNS($AN$1006:BO1006),$AN$1006:$BO$1006,0))&gt;=100000), " ",IF(INDEX($AN$2:$BO$1001,MATCH(ROWS($AG$2:AG235),$AG$2:$AG$1001,0),MATCH(COLUMNS($AN$1006:BO1006),$AN$1006:$BO$1006,0)), HYPERLINK("#",""), HYPERLINK(CONCATENATE("#Metadata!", ADDRESS(INDEX($AI$2:$AI$1001,MATCH(ROWS($AG$2:AG235),$AG$2:$AG$1001,0),0), INDEX($AN$1004:$BO$1004,1,MATCH(COLUMNS($AN$1006:BO1006),$AN$1006:$BO$1006,0)))),"Fix")))</f>
        <v>0</v>
      </c>
      <c r="AG235">
        <v>0</v>
      </c>
      <c r="AH235">
        <v>0</v>
      </c>
      <c r="AI235">
        <v>0</v>
      </c>
      <c r="AJ235">
        <f>IF(AK235,TRUE,AND(AN235:BO235))</f>
        <v>0</v>
      </c>
      <c r="AK235">
        <f>COUNTBLANK(Metadata!B235:AC235)=COLUMNS(Metadata!B235:AC235)</f>
        <v>0</v>
      </c>
      <c r="AL235">
        <v>0</v>
      </c>
      <c r="AN235">
        <f>AND(IF(Metadata!B235="",FALSE,TRUE),COUNTIF(Metadata!B:B, Metadata!B235) = 1,NOT(ISERROR(SUMPRODUCT(SEARCH(MID(Metadata!B235,ROW(INDIRECT("1:"&amp;LEN(Metadata!B235))), 1),"0123456789abcdefghijklmnopqrstuvwxyzABCDEFGHIJKLMNOPQRSTUVWXYZ.")))))</f>
        <v>0</v>
      </c>
      <c r="AO235">
        <f>IF(Metadata!C235="",FALSE,TRUE)</f>
        <v>0</v>
      </c>
      <c r="AP235">
        <f>IF(Metadata!D235="",FALSE,TRUE)</f>
        <v>0</v>
      </c>
      <c r="AQ235">
        <f>OR(AND(IF(Metadata!E235="",FALSE,TRUE),OR(exact(Metadata!E235,"not collected"),exact(Metadata!E235,"not provided"),exact(Metadata!E235,"restricted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R235">
        <f>IF(Metadata!F235="",FALSE,TRUE)</f>
        <v>0</v>
      </c>
      <c r="AS235">
        <f>OR(AND(IF(Metadata!G235="",FALSE,TRUE),OR(exact(Metadata!G235,"not collected"),exact(Metadata!G235,"not provided"))),AND(IF(Metadata!G235="",FALSE,TRUE),OR(exact(Metadata!G235,"TRUE"),exact(Metadata!G235,"FALSE"))))</f>
        <v>0</v>
      </c>
      <c r="AT235">
        <f>OR(AND(IF(Metadata!H235="",FALSE,TRUE),OR(exact(Metadata!H235,"not collected"),exact(Metadata!H235,"not provided"),exact(Metadata!H235,"restricted access"))),AND(IF(Metadata!H235="",FALSE,ISNUMBER(VALUE(Metadata!H235))),Metadata!H235&gt;=-413.0))</f>
        <v>0</v>
      </c>
      <c r="AU235">
        <f>AND(IF(Metadata!I235="",FALSE,TRUE),exact(Metadata!I235,"meters"))</f>
        <v>0</v>
      </c>
      <c r="AV235">
        <f>AND(IF(Metadata!J235="",FALSE,TRUE),OR(exact(Metadata!J235,"Host-associated"),exact(Metadata!J235,"Free-living")))</f>
        <v>0</v>
      </c>
      <c r="AW235">
        <f>AND(IF(Metadata!K235="",FALSE,TRUE),OR(exact(Metadata!K235,"Animal"),exact(Metadata!K235,"Fungus"),exact(Metadata!K235,"Plant"),exact(Metadata!K235,"Saline"),exact(Metadata!K235,"Non-saline")))</f>
        <v>0</v>
      </c>
      <c r="AX235">
        <f>AND(IF(Metadata!L235="",FALSE,TRUE),OR(exact(Metadata!L235,"Plant secretion"),exact(Metadata!L235,"Plant rhizosphere"),exact(Metadata!L235,"Plant surface"),exact(Metadata!L235,"Plant corpus"),exact(Metadata!L235,"Fungus surface"),exact(Metadata!L235,"Fungus corpus"),exact(Metadata!L235,"Animal surface"),exact(Metadata!L235,"Animal proximal gut"),exact(Metadata!L235,"Animal corpus"),exact(Metadata!L235,"Animal distal gut"),exact(Metadata!L235,"Animal secretion"),exact(Metadata!L235,"Sub-surface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Y235">
        <f>IF(Metadata!M235="",FALSE,TRUE)</f>
        <v>0</v>
      </c>
      <c r="AZ235">
        <f>IF(Metadata!N235="",FALSE,TRUE)</f>
        <v>0</v>
      </c>
      <c r="BA235">
        <f>IF(Metadata!O235="",FALSE,TRUE)</f>
        <v>0</v>
      </c>
      <c r="BB235">
        <f>OR(AND(IF(Metadata!P235="",FALSE,TRUE),OR(exact(Metadata!P235,"not collected"),exact(Metadata!P235,"not provided"),exact(Metadata!P235,"restricted access"))),AND(IF(Metadata!P235="",FALSE,TRUE),OR(exact(Metadata!P235,"air"),exact(Metadata!P235,"built environment"),exact(Metadata!P235,"host-associated"),exact(Metadata!P235,"human-associated"),exact(Metadata!P235,"human-skin"),exact(Metadata!P235,"human-oral"),exact(Metadata!P235,"human-gut"),exact(Metadata!P235,"human-vaginal"),exact(Metadata!P235,"microbial mat/biofilm"),exact(Metadata!P235,"misc environment"),exact(Metadata!P235,"plant-associated"),exact(Metadata!P235,"sediment"),exact(Metadata!P235,"soil"),exact(Metadata!P235,"wastewater/sludge"),exact(Metadata!P235,"water"))))</f>
        <v>0</v>
      </c>
      <c r="BC235">
        <f>IF(Metadata!Q235="",FALSE,TRUE)</f>
        <v>0</v>
      </c>
      <c r="BD235">
        <f>IF(Metadata!R235="",FALSE,TRUE)</f>
        <v>0</v>
      </c>
      <c r="BE235">
        <f>OR(AND(IF(Metadata!S235="",FALSE,TRUE),OR(exact(Metadata!S235,"not collected"),exact(Metadata!S235,"not provided"),exact(Metadata!S235,"restricted access"))),AND(IF(Metadata!S235="",FALSE,ISNUMBER(VALUE(Metadata!S235))),Metadata!S235&gt;=-90.00,Metadata!S235&lt;=90.00))</f>
        <v>0</v>
      </c>
      <c r="BF235">
        <f>AND(IF(Metadata!T235="",FALSE,TRUE),exact(Metadata!T235,"Decimal degrees"))</f>
        <v>0</v>
      </c>
      <c r="BG235">
        <f>OR(AND(IF(Metadata!U235="",FALSE,TRUE),OR(exact(Metadata!U235,"not collected"),exact(Metadata!U235,"not provided"),exact(Metadata!U235,"restricted access"))),AND(IF(Metadata!U235="",FALSE,ISNUMBER(VALUE(Metadata!U235))),Metadata!U235&gt;=-180.00,Metadata!U235&lt;=180.00))</f>
        <v>0</v>
      </c>
      <c r="BH235">
        <f>AND(IF(Metadata!V235="",FALSE,TRUE),exact(Metadata!V235,"Decimal degrees"))</f>
        <v>0</v>
      </c>
      <c r="BI235">
        <f>IF(Metadata!W235="",FALSE,TRUE)</f>
        <v>0</v>
      </c>
      <c r="BJ235">
        <f>OR(AND(IF(Metadata!X235="",FALSE,TRUE),OR(exact(Metadata!X235,"not collected"),exact(Metadata!X235,"not provided"),exact(Metadata!X235,"restricted access"))),AND(IF(Metadata!X235="",FALSE,TRUE),OR(exact(Metadata!X235,"TRUE"),exact(Metadata!X235,"FALSE"))))</f>
        <v>0</v>
      </c>
      <c r="BK235">
        <f>AND(IF(Metadata!Y235="",FALSE,TRUE),exact(Metadata!Y235,"other"))</f>
        <v>0</v>
      </c>
      <c r="BL235">
        <f>IF(Metadata!Z235="",FALSE,TRUE)</f>
        <v>0</v>
      </c>
      <c r="BM235">
        <f>OR(AND(IF(Metadata!AA235="",FALSE,TRUE),OR(exact(Metadata!AA235,"not collected"),exact(Metadata!AA235,"not provided"))),AND(IF(Metadata!AA235="",FALSE,IF(ISERROR(INT(Metadata!AA235)),FALSE,INT(Metadata!AA235)=Metadata!AA235)),Metadata!AA235&gt;0))</f>
        <v>0</v>
      </c>
      <c r="BN235">
        <f>AND(IF(Metadata!AB235="",FALSE,TRUE),exact(Metadata!AB235,"Not applicable"))</f>
        <v>0</v>
      </c>
      <c r="BO235">
        <f>IF(Metadata!AC235="",FALSE,TRUE)</f>
        <v>0</v>
      </c>
    </row>
    <row r="236" spans="1:67">
      <c r="A236" s="5">
        <f>IF(B236=" "," ",HYPERLINK(CONCATENATE("#metadata!",ADDRESS(INDEX($AI$2:$AI$1001,MATCH(ROWS($AG$2:AG236),$AG$2:$AG$1001,0),0),1)),INDEX($AL$2:$AL$1001,MATCH(ROWS($AG$2:AG236),$AG$2:$AG$1001,0),0)))</f>
        <v>0</v>
      </c>
      <c r="B236" s="4">
        <f>IF(OR(INDEX($AH$2:$AH$1001,MATCH(ROWS($AG$2:AG236),$AG$2:$AG$1001,0),1)&gt;=100000,INDEX($AN$1005:$BO$1005,1,MATCH(COLUMNS($AN$1006:AN1006),$AN$1006:$BO$1006,0))&gt;=100000), " ",IF(INDEX($AN$2:$BO$1001,MATCH(ROWS($AG$2:AG236),$AG$2:$AG$1001,0),MATCH(COLUMNS($AN$1006:AN1006),$AN$1006:$BO$1006,0)), HYPERLINK("#",""), HYPERLINK(CONCATENATE("#Metadata!", ADDRESS(INDEX($AI$2:$AI$1001,MATCH(ROWS($AG$2:AG236),$AG$2:$AG$1001,0),0), INDEX($AN$1004:$BO$1004,1,MATCH(COLUMNS($AN$1006:AN1006),$AN$1006:$BO$1006,0)))),"Fix")))</f>
        <v>0</v>
      </c>
      <c r="C236" s="4">
        <f>IF(OR(INDEX($AH$2:$AH$1001,MATCH(ROWS($AG$2:AG236),$AG$2:$AG$1001,0),1)&gt;=100000,INDEX($AN$1005:$BO$1005,1,MATCH(COLUMNS($AN$1006:AO1006),$AN$1006:$BO$1006,0))&gt;=100000), " ",IF(INDEX($AN$2:$BO$1001,MATCH(ROWS($AG$2:AG236),$AG$2:$AG$1001,0),MATCH(COLUMNS($AN$1006:AO1006),$AN$1006:$BO$1006,0)), HYPERLINK("#",""), HYPERLINK(CONCATENATE("#Metadata!", ADDRESS(INDEX($AI$2:$AI$1001,MATCH(ROWS($AG$2:AG236),$AG$2:$AG$1001,0),0), INDEX($AN$1004:$BO$1004,1,MATCH(COLUMNS($AN$1006:AO1006),$AN$1006:$BO$1006,0)))),"Fix")))</f>
        <v>0</v>
      </c>
      <c r="D236" s="4">
        <f>IF(OR(INDEX($AH$2:$AH$1001,MATCH(ROWS($AG$2:AG236),$AG$2:$AG$1001,0),1)&gt;=100000,INDEX($AN$1005:$BO$1005,1,MATCH(COLUMNS($AN$1006:AP1006),$AN$1006:$BO$1006,0))&gt;=100000), " ",IF(INDEX($AN$2:$BO$1001,MATCH(ROWS($AG$2:AG236),$AG$2:$AG$1001,0),MATCH(COLUMNS($AN$1006:AP1006),$AN$1006:$BO$1006,0)), HYPERLINK("#",""), HYPERLINK(CONCATENATE("#Metadata!", ADDRESS(INDEX($AI$2:$AI$1001,MATCH(ROWS($AG$2:AG236),$AG$2:$AG$1001,0),0), INDEX($AN$1004:$BO$1004,1,MATCH(COLUMNS($AN$1006:AP1006),$AN$1006:$BO$1006,0)))),"Fix")))</f>
        <v>0</v>
      </c>
      <c r="E236" s="4">
        <f>IF(OR(INDEX($AH$2:$AH$1001,MATCH(ROWS($AG$2:AG236),$AG$2:$AG$1001,0),1)&gt;=100000,INDEX($AN$1005:$BO$1005,1,MATCH(COLUMNS($AN$1006:AQ1006),$AN$1006:$BO$1006,0))&gt;=100000), " ",IF(INDEX($AN$2:$BO$1001,MATCH(ROWS($AG$2:AG236),$AG$2:$AG$1001,0),MATCH(COLUMNS($AN$1006:AQ1006),$AN$1006:$BO$1006,0)), HYPERLINK("#",""), HYPERLINK(CONCATENATE("#Metadata!", ADDRESS(INDEX($AI$2:$AI$1001,MATCH(ROWS($AG$2:AG236),$AG$2:$AG$1001,0),0), INDEX($AN$1004:$BO$1004,1,MATCH(COLUMNS($AN$1006:AQ1006),$AN$1006:$BO$1006,0)))),"Fix")))</f>
        <v>0</v>
      </c>
      <c r="F236" s="4">
        <f>IF(OR(INDEX($AH$2:$AH$1001,MATCH(ROWS($AG$2:AG236),$AG$2:$AG$1001,0),1)&gt;=100000,INDEX($AN$1005:$BO$1005,1,MATCH(COLUMNS($AN$1006:AR1006),$AN$1006:$BO$1006,0))&gt;=100000), " ",IF(INDEX($AN$2:$BO$1001,MATCH(ROWS($AG$2:AG236),$AG$2:$AG$1001,0),MATCH(COLUMNS($AN$1006:AR1006),$AN$1006:$BO$1006,0)), HYPERLINK("#",""), HYPERLINK(CONCATENATE("#Metadata!", ADDRESS(INDEX($AI$2:$AI$1001,MATCH(ROWS($AG$2:AG236),$AG$2:$AG$1001,0),0), INDEX($AN$1004:$BO$1004,1,MATCH(COLUMNS($AN$1006:AR1006),$AN$1006:$BO$1006,0)))),"Fix")))</f>
        <v>0</v>
      </c>
      <c r="G236" s="4">
        <f>IF(OR(INDEX($AH$2:$AH$1001,MATCH(ROWS($AG$2:AG236),$AG$2:$AG$1001,0),1)&gt;=100000,INDEX($AN$1005:$BO$1005,1,MATCH(COLUMNS($AN$1006:AS1006),$AN$1006:$BO$1006,0))&gt;=100000), " ",IF(INDEX($AN$2:$BO$1001,MATCH(ROWS($AG$2:AG236),$AG$2:$AG$1001,0),MATCH(COLUMNS($AN$1006:AS1006),$AN$1006:$BO$1006,0)), HYPERLINK("#",""), HYPERLINK(CONCATENATE("#Metadata!", ADDRESS(INDEX($AI$2:$AI$1001,MATCH(ROWS($AG$2:AG236),$AG$2:$AG$1001,0),0), INDEX($AN$1004:$BO$1004,1,MATCH(COLUMNS($AN$1006:AS1006),$AN$1006:$BO$1006,0)))),"Fix")))</f>
        <v>0</v>
      </c>
      <c r="H236" s="4">
        <f>IF(OR(INDEX($AH$2:$AH$1001,MATCH(ROWS($AG$2:AG236),$AG$2:$AG$1001,0),1)&gt;=100000,INDEX($AN$1005:$BO$1005,1,MATCH(COLUMNS($AN$1006:AT1006),$AN$1006:$BO$1006,0))&gt;=100000), " ",IF(INDEX($AN$2:$BO$1001,MATCH(ROWS($AG$2:AG236),$AG$2:$AG$1001,0),MATCH(COLUMNS($AN$1006:AT1006),$AN$1006:$BO$1006,0)), HYPERLINK("#",""), HYPERLINK(CONCATENATE("#Metadata!", ADDRESS(INDEX($AI$2:$AI$1001,MATCH(ROWS($AG$2:AG236),$AG$2:$AG$1001,0),0), INDEX($AN$1004:$BO$1004,1,MATCH(COLUMNS($AN$1006:AT1006),$AN$1006:$BO$1006,0)))),"Fix")))</f>
        <v>0</v>
      </c>
      <c r="I236" s="4">
        <f>IF(OR(INDEX($AH$2:$AH$1001,MATCH(ROWS($AG$2:AG236),$AG$2:$AG$1001,0),1)&gt;=100000,INDEX($AN$1005:$BO$1005,1,MATCH(COLUMNS($AN$1006:AU1006),$AN$1006:$BO$1006,0))&gt;=100000), " ",IF(INDEX($AN$2:$BO$1001,MATCH(ROWS($AG$2:AG236),$AG$2:$AG$1001,0),MATCH(COLUMNS($AN$1006:AU1006),$AN$1006:$BO$1006,0)), HYPERLINK("#",""), HYPERLINK(CONCATENATE("#Metadata!", ADDRESS(INDEX($AI$2:$AI$1001,MATCH(ROWS($AG$2:AG236),$AG$2:$AG$1001,0),0), INDEX($AN$1004:$BO$1004,1,MATCH(COLUMNS($AN$1006:AU1006),$AN$1006:$BO$1006,0)))),"Fix")))</f>
        <v>0</v>
      </c>
      <c r="J236" s="4">
        <f>IF(OR(INDEX($AH$2:$AH$1001,MATCH(ROWS($AG$2:AG236),$AG$2:$AG$1001,0),1)&gt;=100000,INDEX($AN$1005:$BO$1005,1,MATCH(COLUMNS($AN$1006:AV1006),$AN$1006:$BO$1006,0))&gt;=100000), " ",IF(INDEX($AN$2:$BO$1001,MATCH(ROWS($AG$2:AG236),$AG$2:$AG$1001,0),MATCH(COLUMNS($AN$1006:AV1006),$AN$1006:$BO$1006,0)), HYPERLINK("#",""), HYPERLINK(CONCATENATE("#Metadata!", ADDRESS(INDEX($AI$2:$AI$1001,MATCH(ROWS($AG$2:AG236),$AG$2:$AG$1001,0),0), INDEX($AN$1004:$BO$1004,1,MATCH(COLUMNS($AN$1006:AV1006),$AN$1006:$BO$1006,0)))),"Fix")))</f>
        <v>0</v>
      </c>
      <c r="K236" s="4">
        <f>IF(OR(INDEX($AH$2:$AH$1001,MATCH(ROWS($AG$2:AG236),$AG$2:$AG$1001,0),1)&gt;=100000,INDEX($AN$1005:$BO$1005,1,MATCH(COLUMNS($AN$1006:AW1006),$AN$1006:$BO$1006,0))&gt;=100000), " ",IF(INDEX($AN$2:$BO$1001,MATCH(ROWS($AG$2:AG236),$AG$2:$AG$1001,0),MATCH(COLUMNS($AN$1006:AW1006),$AN$1006:$BO$1006,0)), HYPERLINK("#",""), HYPERLINK(CONCATENATE("#Metadata!", ADDRESS(INDEX($AI$2:$AI$1001,MATCH(ROWS($AG$2:AG236),$AG$2:$AG$1001,0),0), INDEX($AN$1004:$BO$1004,1,MATCH(COLUMNS($AN$1006:AW1006),$AN$1006:$BO$1006,0)))),"Fix")))</f>
        <v>0</v>
      </c>
      <c r="L236" s="4">
        <f>IF(OR(INDEX($AH$2:$AH$1001,MATCH(ROWS($AG$2:AG236),$AG$2:$AG$1001,0),1)&gt;=100000,INDEX($AN$1005:$BO$1005,1,MATCH(COLUMNS($AN$1006:AX1006),$AN$1006:$BO$1006,0))&gt;=100000), " ",IF(INDEX($AN$2:$BO$1001,MATCH(ROWS($AG$2:AG236),$AG$2:$AG$1001,0),MATCH(COLUMNS($AN$1006:AX1006),$AN$1006:$BO$1006,0)), HYPERLINK("#",""), HYPERLINK(CONCATENATE("#Metadata!", ADDRESS(INDEX($AI$2:$AI$1001,MATCH(ROWS($AG$2:AG236),$AG$2:$AG$1001,0),0), INDEX($AN$1004:$BO$1004,1,MATCH(COLUMNS($AN$1006:AX1006),$AN$1006:$BO$1006,0)))),"Fix")))</f>
        <v>0</v>
      </c>
      <c r="M236" s="4">
        <f>IF(OR(INDEX($AH$2:$AH$1001,MATCH(ROWS($AG$2:AG236),$AG$2:$AG$1001,0),1)&gt;=100000,INDEX($AN$1005:$BO$1005,1,MATCH(COLUMNS($AN$1006:AY1006),$AN$1006:$BO$1006,0))&gt;=100000), " ",IF(INDEX($AN$2:$BO$1001,MATCH(ROWS($AG$2:AG236),$AG$2:$AG$1001,0),MATCH(COLUMNS($AN$1006:AY1006),$AN$1006:$BO$1006,0)), HYPERLINK("#",""), HYPERLINK(CONCATENATE("#Metadata!", ADDRESS(INDEX($AI$2:$AI$1001,MATCH(ROWS($AG$2:AG236),$AG$2:$AG$1001,0),0), INDEX($AN$1004:$BO$1004,1,MATCH(COLUMNS($AN$1006:AY1006),$AN$1006:$BO$1006,0)))),"Fix")))</f>
        <v>0</v>
      </c>
      <c r="N236" s="4">
        <f>IF(OR(INDEX($AH$2:$AH$1001,MATCH(ROWS($AG$2:AG236),$AG$2:$AG$1001,0),1)&gt;=100000,INDEX($AN$1005:$BO$1005,1,MATCH(COLUMNS($AN$1006:AZ1006),$AN$1006:$BO$1006,0))&gt;=100000), " ",IF(INDEX($AN$2:$BO$1001,MATCH(ROWS($AG$2:AG236),$AG$2:$AG$1001,0),MATCH(COLUMNS($AN$1006:AZ1006),$AN$1006:$BO$1006,0)), HYPERLINK("#",""), HYPERLINK(CONCATENATE("#Metadata!", ADDRESS(INDEX($AI$2:$AI$1001,MATCH(ROWS($AG$2:AG236),$AG$2:$AG$1001,0),0), INDEX($AN$1004:$BO$1004,1,MATCH(COLUMNS($AN$1006:AZ1006),$AN$1006:$BO$1006,0)))),"Fix")))</f>
        <v>0</v>
      </c>
      <c r="O236" s="4">
        <f>IF(OR(INDEX($AH$2:$AH$1001,MATCH(ROWS($AG$2:AG236),$AG$2:$AG$1001,0),1)&gt;=100000,INDEX($AN$1005:$BO$1005,1,MATCH(COLUMNS($AN$1006:BA1006),$AN$1006:$BO$1006,0))&gt;=100000), " ",IF(INDEX($AN$2:$BO$1001,MATCH(ROWS($AG$2:AG236),$AG$2:$AG$1001,0),MATCH(COLUMNS($AN$1006:BA1006),$AN$1006:$BO$1006,0)), HYPERLINK("#",""), HYPERLINK(CONCATENATE("#Metadata!", ADDRESS(INDEX($AI$2:$AI$1001,MATCH(ROWS($AG$2:AG236),$AG$2:$AG$1001,0),0), INDEX($AN$1004:$BO$1004,1,MATCH(COLUMNS($AN$1006:BA1006),$AN$1006:$BO$1006,0)))),"Fix")))</f>
        <v>0</v>
      </c>
      <c r="P236" s="4">
        <f>IF(OR(INDEX($AH$2:$AH$1001,MATCH(ROWS($AG$2:AG236),$AG$2:$AG$1001,0),1)&gt;=100000,INDEX($AN$1005:$BO$1005,1,MATCH(COLUMNS($AN$1006:BB1006),$AN$1006:$BO$1006,0))&gt;=100000), " ",IF(INDEX($AN$2:$BO$1001,MATCH(ROWS($AG$2:AG236),$AG$2:$AG$1001,0),MATCH(COLUMNS($AN$1006:BB1006),$AN$1006:$BO$1006,0)), HYPERLINK("#",""), HYPERLINK(CONCATENATE("#Metadata!", ADDRESS(INDEX($AI$2:$AI$1001,MATCH(ROWS($AG$2:AG236),$AG$2:$AG$1001,0),0), INDEX($AN$1004:$BO$1004,1,MATCH(COLUMNS($AN$1006:BB1006),$AN$1006:$BO$1006,0)))),"Fix")))</f>
        <v>0</v>
      </c>
      <c r="Q236" s="4">
        <f>IF(OR(INDEX($AH$2:$AH$1001,MATCH(ROWS($AG$2:AG236),$AG$2:$AG$1001,0),1)&gt;=100000,INDEX($AN$1005:$BO$1005,1,MATCH(COLUMNS($AN$1006:BC1006),$AN$1006:$BO$1006,0))&gt;=100000), " ",IF(INDEX($AN$2:$BO$1001,MATCH(ROWS($AG$2:AG236),$AG$2:$AG$1001,0),MATCH(COLUMNS($AN$1006:BC1006),$AN$1006:$BO$1006,0)), HYPERLINK("#",""), HYPERLINK(CONCATENATE("#Metadata!", ADDRESS(INDEX($AI$2:$AI$1001,MATCH(ROWS($AG$2:AG236),$AG$2:$AG$1001,0),0), INDEX($AN$1004:$BO$1004,1,MATCH(COLUMNS($AN$1006:BC1006),$AN$1006:$BO$1006,0)))),"Fix")))</f>
        <v>0</v>
      </c>
      <c r="R236" s="4">
        <f>IF(OR(INDEX($AH$2:$AH$1001,MATCH(ROWS($AG$2:AG236),$AG$2:$AG$1001,0),1)&gt;=100000,INDEX($AN$1005:$BO$1005,1,MATCH(COLUMNS($AN$1006:BD1006),$AN$1006:$BO$1006,0))&gt;=100000), " ",IF(INDEX($AN$2:$BO$1001,MATCH(ROWS($AG$2:AG236),$AG$2:$AG$1001,0),MATCH(COLUMNS($AN$1006:BD1006),$AN$1006:$BO$1006,0)), HYPERLINK("#",""), HYPERLINK(CONCATENATE("#Metadata!", ADDRESS(INDEX($AI$2:$AI$1001,MATCH(ROWS($AG$2:AG236),$AG$2:$AG$1001,0),0), INDEX($AN$1004:$BO$1004,1,MATCH(COLUMNS($AN$1006:BD1006),$AN$1006:$BO$1006,0)))),"Fix")))</f>
        <v>0</v>
      </c>
      <c r="S236" s="4">
        <f>IF(OR(INDEX($AH$2:$AH$1001,MATCH(ROWS($AG$2:AG236),$AG$2:$AG$1001,0),1)&gt;=100000,INDEX($AN$1005:$BO$1005,1,MATCH(COLUMNS($AN$1006:BE1006),$AN$1006:$BO$1006,0))&gt;=100000), " ",IF(INDEX($AN$2:$BO$1001,MATCH(ROWS($AG$2:AG236),$AG$2:$AG$1001,0),MATCH(COLUMNS($AN$1006:BE1006),$AN$1006:$BO$1006,0)), HYPERLINK("#",""), HYPERLINK(CONCATENATE("#Metadata!", ADDRESS(INDEX($AI$2:$AI$1001,MATCH(ROWS($AG$2:AG236),$AG$2:$AG$1001,0),0), INDEX($AN$1004:$BO$1004,1,MATCH(COLUMNS($AN$1006:BE1006),$AN$1006:$BO$1006,0)))),"Fix")))</f>
        <v>0</v>
      </c>
      <c r="T236" s="4">
        <f>IF(OR(INDEX($AH$2:$AH$1001,MATCH(ROWS($AG$2:AG236),$AG$2:$AG$1001,0),1)&gt;=100000,INDEX($AN$1005:$BO$1005,1,MATCH(COLUMNS($AN$1006:BF1006),$AN$1006:$BO$1006,0))&gt;=100000), " ",IF(INDEX($AN$2:$BO$1001,MATCH(ROWS($AG$2:AG236),$AG$2:$AG$1001,0),MATCH(COLUMNS($AN$1006:BF1006),$AN$1006:$BO$1006,0)), HYPERLINK("#",""), HYPERLINK(CONCATENATE("#Metadata!", ADDRESS(INDEX($AI$2:$AI$1001,MATCH(ROWS($AG$2:AG236),$AG$2:$AG$1001,0),0), INDEX($AN$1004:$BO$1004,1,MATCH(COLUMNS($AN$1006:BF1006),$AN$1006:$BO$1006,0)))),"Fix")))</f>
        <v>0</v>
      </c>
      <c r="U236" s="4">
        <f>IF(OR(INDEX($AH$2:$AH$1001,MATCH(ROWS($AG$2:AG236),$AG$2:$AG$1001,0),1)&gt;=100000,INDEX($AN$1005:$BO$1005,1,MATCH(COLUMNS($AN$1006:BG1006),$AN$1006:$BO$1006,0))&gt;=100000), " ",IF(INDEX($AN$2:$BO$1001,MATCH(ROWS($AG$2:AG236),$AG$2:$AG$1001,0),MATCH(COLUMNS($AN$1006:BG1006),$AN$1006:$BO$1006,0)), HYPERLINK("#",""), HYPERLINK(CONCATENATE("#Metadata!", ADDRESS(INDEX($AI$2:$AI$1001,MATCH(ROWS($AG$2:AG236),$AG$2:$AG$1001,0),0), INDEX($AN$1004:$BO$1004,1,MATCH(COLUMNS($AN$1006:BG1006),$AN$1006:$BO$1006,0)))),"Fix")))</f>
        <v>0</v>
      </c>
      <c r="V236" s="4">
        <f>IF(OR(INDEX($AH$2:$AH$1001,MATCH(ROWS($AG$2:AG236),$AG$2:$AG$1001,0),1)&gt;=100000,INDEX($AN$1005:$BO$1005,1,MATCH(COLUMNS($AN$1006:BH1006),$AN$1006:$BO$1006,0))&gt;=100000), " ",IF(INDEX($AN$2:$BO$1001,MATCH(ROWS($AG$2:AG236),$AG$2:$AG$1001,0),MATCH(COLUMNS($AN$1006:BH1006),$AN$1006:$BO$1006,0)), HYPERLINK("#",""), HYPERLINK(CONCATENATE("#Metadata!", ADDRESS(INDEX($AI$2:$AI$1001,MATCH(ROWS($AG$2:AG236),$AG$2:$AG$1001,0),0), INDEX($AN$1004:$BO$1004,1,MATCH(COLUMNS($AN$1006:BH1006),$AN$1006:$BO$1006,0)))),"Fix")))</f>
        <v>0</v>
      </c>
      <c r="W236" s="4">
        <f>IF(OR(INDEX($AH$2:$AH$1001,MATCH(ROWS($AG$2:AG236),$AG$2:$AG$1001,0),1)&gt;=100000,INDEX($AN$1005:$BO$1005,1,MATCH(COLUMNS($AN$1006:BI1006),$AN$1006:$BO$1006,0))&gt;=100000), " ",IF(INDEX($AN$2:$BO$1001,MATCH(ROWS($AG$2:AG236),$AG$2:$AG$1001,0),MATCH(COLUMNS($AN$1006:BI1006),$AN$1006:$BO$1006,0)), HYPERLINK("#",""), HYPERLINK(CONCATENATE("#Metadata!", ADDRESS(INDEX($AI$2:$AI$1001,MATCH(ROWS($AG$2:AG236),$AG$2:$AG$1001,0),0), INDEX($AN$1004:$BO$1004,1,MATCH(COLUMNS($AN$1006:BI1006),$AN$1006:$BO$1006,0)))),"Fix")))</f>
        <v>0</v>
      </c>
      <c r="X236" s="4">
        <f>IF(OR(INDEX($AH$2:$AH$1001,MATCH(ROWS($AG$2:AG236),$AG$2:$AG$1001,0),1)&gt;=100000,INDEX($AN$1005:$BO$1005,1,MATCH(COLUMNS($AN$1006:BJ1006),$AN$1006:$BO$1006,0))&gt;=100000), " ",IF(INDEX($AN$2:$BO$1001,MATCH(ROWS($AG$2:AG236),$AG$2:$AG$1001,0),MATCH(COLUMNS($AN$1006:BJ1006),$AN$1006:$BO$1006,0)), HYPERLINK("#",""), HYPERLINK(CONCATENATE("#Metadata!", ADDRESS(INDEX($AI$2:$AI$1001,MATCH(ROWS($AG$2:AG236),$AG$2:$AG$1001,0),0), INDEX($AN$1004:$BO$1004,1,MATCH(COLUMNS($AN$1006:BJ1006),$AN$1006:$BO$1006,0)))),"Fix")))</f>
        <v>0</v>
      </c>
      <c r="Y236" s="4">
        <f>IF(OR(INDEX($AH$2:$AH$1001,MATCH(ROWS($AG$2:AG236),$AG$2:$AG$1001,0),1)&gt;=100000,INDEX($AN$1005:$BO$1005,1,MATCH(COLUMNS($AN$1006:BK1006),$AN$1006:$BO$1006,0))&gt;=100000), " ",IF(INDEX($AN$2:$BO$1001,MATCH(ROWS($AG$2:AG236),$AG$2:$AG$1001,0),MATCH(COLUMNS($AN$1006:BK1006),$AN$1006:$BO$1006,0)), HYPERLINK("#",""), HYPERLINK(CONCATENATE("#Metadata!", ADDRESS(INDEX($AI$2:$AI$1001,MATCH(ROWS($AG$2:AG236),$AG$2:$AG$1001,0),0), INDEX($AN$1004:$BO$1004,1,MATCH(COLUMNS($AN$1006:BK1006),$AN$1006:$BO$1006,0)))),"Fix")))</f>
        <v>0</v>
      </c>
      <c r="Z236" s="4">
        <f>IF(OR(INDEX($AH$2:$AH$1001,MATCH(ROWS($AG$2:AG236),$AG$2:$AG$1001,0),1)&gt;=100000,INDEX($AN$1005:$BO$1005,1,MATCH(COLUMNS($AN$1006:BL1006),$AN$1006:$BO$1006,0))&gt;=100000), " ",IF(INDEX($AN$2:$BO$1001,MATCH(ROWS($AG$2:AG236),$AG$2:$AG$1001,0),MATCH(COLUMNS($AN$1006:BL1006),$AN$1006:$BO$1006,0)), HYPERLINK("#",""), HYPERLINK(CONCATENATE("#Metadata!", ADDRESS(INDEX($AI$2:$AI$1001,MATCH(ROWS($AG$2:AG236),$AG$2:$AG$1001,0),0), INDEX($AN$1004:$BO$1004,1,MATCH(COLUMNS($AN$1006:BL1006),$AN$1006:$BO$1006,0)))),"Fix")))</f>
        <v>0</v>
      </c>
      <c r="AA236" s="4">
        <f>IF(OR(INDEX($AH$2:$AH$1001,MATCH(ROWS($AG$2:AG236),$AG$2:$AG$1001,0),1)&gt;=100000,INDEX($AN$1005:$BO$1005,1,MATCH(COLUMNS($AN$1006:BM1006),$AN$1006:$BO$1006,0))&gt;=100000), " ",IF(INDEX($AN$2:$BO$1001,MATCH(ROWS($AG$2:AG236),$AG$2:$AG$1001,0),MATCH(COLUMNS($AN$1006:BM1006),$AN$1006:$BO$1006,0)), HYPERLINK("#",""), HYPERLINK(CONCATENATE("#Metadata!", ADDRESS(INDEX($AI$2:$AI$1001,MATCH(ROWS($AG$2:AG236),$AG$2:$AG$1001,0),0), INDEX($AN$1004:$BO$1004,1,MATCH(COLUMNS($AN$1006:BM1006),$AN$1006:$BO$1006,0)))),"Fix")))</f>
        <v>0</v>
      </c>
      <c r="AB236" s="4">
        <f>IF(OR(INDEX($AH$2:$AH$1001,MATCH(ROWS($AG$2:AG236),$AG$2:$AG$1001,0),1)&gt;=100000,INDEX($AN$1005:$BO$1005,1,MATCH(COLUMNS($AN$1006:BN1006),$AN$1006:$BO$1006,0))&gt;=100000), " ",IF(INDEX($AN$2:$BO$1001,MATCH(ROWS($AG$2:AG236),$AG$2:$AG$1001,0),MATCH(COLUMNS($AN$1006:BN1006),$AN$1006:$BO$1006,0)), HYPERLINK("#",""), HYPERLINK(CONCATENATE("#Metadata!", ADDRESS(INDEX($AI$2:$AI$1001,MATCH(ROWS($AG$2:AG236),$AG$2:$AG$1001,0),0), INDEX($AN$1004:$BO$1004,1,MATCH(COLUMNS($AN$1006:BN1006),$AN$1006:$BO$1006,0)))),"Fix")))</f>
        <v>0</v>
      </c>
      <c r="AC236" s="4">
        <f>IF(OR(INDEX($AH$2:$AH$1001,MATCH(ROWS($AG$2:AG236),$AG$2:$AG$1001,0),1)&gt;=100000,INDEX($AN$1005:$BO$1005,1,MATCH(COLUMNS($AN$1006:BO1006),$AN$1006:$BO$1006,0))&gt;=100000), " ",IF(INDEX($AN$2:$BO$1001,MATCH(ROWS($AG$2:AG236),$AG$2:$AG$1001,0),MATCH(COLUMNS($AN$1006:BO1006),$AN$1006:$BO$1006,0)), HYPERLINK("#",""), HYPERLINK(CONCATENATE("#Metadata!", ADDRESS(INDEX($AI$2:$AI$1001,MATCH(ROWS($AG$2:AG236),$AG$2:$AG$1001,0),0), INDEX($AN$1004:$BO$1004,1,MATCH(COLUMNS($AN$1006:BO1006),$AN$1006:$BO$1006,0)))),"Fix")))</f>
        <v>0</v>
      </c>
      <c r="AG236">
        <v>0</v>
      </c>
      <c r="AH236">
        <v>0</v>
      </c>
      <c r="AI236">
        <v>0</v>
      </c>
      <c r="AJ236">
        <f>IF(AK236,TRUE,AND(AN236:BO236))</f>
        <v>0</v>
      </c>
      <c r="AK236">
        <f>COUNTBLANK(Metadata!B236:AC236)=COLUMNS(Metadata!B236:AC236)</f>
        <v>0</v>
      </c>
      <c r="AL236">
        <v>0</v>
      </c>
      <c r="AN236">
        <f>AND(IF(Metadata!B236="",FALSE,TRUE),COUNTIF(Metadata!B:B, Metadata!B236) = 1,NOT(ISERROR(SUMPRODUCT(SEARCH(MID(Metadata!B236,ROW(INDIRECT("1:"&amp;LEN(Metadata!B236))), 1),"0123456789abcdefghijklmnopqrstuvwxyzABCDEFGHIJKLMNOPQRSTUVWXYZ.")))))</f>
        <v>0</v>
      </c>
      <c r="AO236">
        <f>IF(Metadata!C236="",FALSE,TRUE)</f>
        <v>0</v>
      </c>
      <c r="AP236">
        <f>IF(Metadata!D236="",FALSE,TRUE)</f>
        <v>0</v>
      </c>
      <c r="AQ236">
        <f>OR(AND(IF(Metadata!E236="",FALSE,TRUE),OR(exact(Metadata!E236,"not collected"),exact(Metadata!E236,"not provided"),exact(Metadata!E236,"restricted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R236">
        <f>IF(Metadata!F236="",FALSE,TRUE)</f>
        <v>0</v>
      </c>
      <c r="AS236">
        <f>OR(AND(IF(Metadata!G236="",FALSE,TRUE),OR(exact(Metadata!G236,"not collected"),exact(Metadata!G236,"not provided"))),AND(IF(Metadata!G236="",FALSE,TRUE),OR(exact(Metadata!G236,"TRUE"),exact(Metadata!G236,"FALSE"))))</f>
        <v>0</v>
      </c>
      <c r="AT236">
        <f>OR(AND(IF(Metadata!H236="",FALSE,TRUE),OR(exact(Metadata!H236,"not collected"),exact(Metadata!H236,"not provided"),exact(Metadata!H236,"restricted access"))),AND(IF(Metadata!H236="",FALSE,ISNUMBER(VALUE(Metadata!H236))),Metadata!H236&gt;=-413.0))</f>
        <v>0</v>
      </c>
      <c r="AU236">
        <f>AND(IF(Metadata!I236="",FALSE,TRUE),exact(Metadata!I236,"meters"))</f>
        <v>0</v>
      </c>
      <c r="AV236">
        <f>AND(IF(Metadata!J236="",FALSE,TRUE),OR(exact(Metadata!J236,"Host-associated"),exact(Metadata!J236,"Free-living")))</f>
        <v>0</v>
      </c>
      <c r="AW236">
        <f>AND(IF(Metadata!K236="",FALSE,TRUE),OR(exact(Metadata!K236,"Animal"),exact(Metadata!K236,"Fungus"),exact(Metadata!K236,"Plant"),exact(Metadata!K236,"Saline"),exact(Metadata!K236,"Non-saline")))</f>
        <v>0</v>
      </c>
      <c r="AX236">
        <f>AND(IF(Metadata!L236="",FALSE,TRUE),OR(exact(Metadata!L236,"Plant secretion"),exact(Metadata!L236,"Plant rhizosphere"),exact(Metadata!L236,"Plant surface"),exact(Metadata!L236,"Plant corpus"),exact(Metadata!L236,"Fungus surface"),exact(Metadata!L236,"Fungus corpus"),exact(Metadata!L236,"Animal surface"),exact(Metadata!L236,"Animal proximal gut"),exact(Metadata!L236,"Animal corpus"),exact(Metadata!L236,"Animal distal gut"),exact(Metadata!L236,"Animal secretion"),exact(Metadata!L236,"Sub-surface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Y236">
        <f>IF(Metadata!M236="",FALSE,TRUE)</f>
        <v>0</v>
      </c>
      <c r="AZ236">
        <f>IF(Metadata!N236="",FALSE,TRUE)</f>
        <v>0</v>
      </c>
      <c r="BA236">
        <f>IF(Metadata!O236="",FALSE,TRUE)</f>
        <v>0</v>
      </c>
      <c r="BB236">
        <f>OR(AND(IF(Metadata!P236="",FALSE,TRUE),OR(exact(Metadata!P236,"not collected"),exact(Metadata!P236,"not provided"),exact(Metadata!P236,"restricted access"))),AND(IF(Metadata!P236="",FALSE,TRUE),OR(exact(Metadata!P236,"air"),exact(Metadata!P236,"built environment"),exact(Metadata!P236,"host-associated"),exact(Metadata!P236,"human-associated"),exact(Metadata!P236,"human-skin"),exact(Metadata!P236,"human-oral"),exact(Metadata!P236,"human-gut"),exact(Metadata!P236,"human-vaginal"),exact(Metadata!P236,"microbial mat/biofilm"),exact(Metadata!P236,"misc environment"),exact(Metadata!P236,"plant-associated"),exact(Metadata!P236,"sediment"),exact(Metadata!P236,"soil"),exact(Metadata!P236,"wastewater/sludge"),exact(Metadata!P236,"water"))))</f>
        <v>0</v>
      </c>
      <c r="BC236">
        <f>IF(Metadata!Q236="",FALSE,TRUE)</f>
        <v>0</v>
      </c>
      <c r="BD236">
        <f>IF(Metadata!R236="",FALSE,TRUE)</f>
        <v>0</v>
      </c>
      <c r="BE236">
        <f>OR(AND(IF(Metadata!S236="",FALSE,TRUE),OR(exact(Metadata!S236,"not collected"),exact(Metadata!S236,"not provided"),exact(Metadata!S236,"restricted access"))),AND(IF(Metadata!S236="",FALSE,ISNUMBER(VALUE(Metadata!S236))),Metadata!S236&gt;=-90.00,Metadata!S236&lt;=90.00))</f>
        <v>0</v>
      </c>
      <c r="BF236">
        <f>AND(IF(Metadata!T236="",FALSE,TRUE),exact(Metadata!T236,"Decimal degrees"))</f>
        <v>0</v>
      </c>
      <c r="BG236">
        <f>OR(AND(IF(Metadata!U236="",FALSE,TRUE),OR(exact(Metadata!U236,"not collected"),exact(Metadata!U236,"not provided"),exact(Metadata!U236,"restricted access"))),AND(IF(Metadata!U236="",FALSE,ISNUMBER(VALUE(Metadata!U236))),Metadata!U236&gt;=-180.00,Metadata!U236&lt;=180.00))</f>
        <v>0</v>
      </c>
      <c r="BH236">
        <f>AND(IF(Metadata!V236="",FALSE,TRUE),exact(Metadata!V236,"Decimal degrees"))</f>
        <v>0</v>
      </c>
      <c r="BI236">
        <f>IF(Metadata!W236="",FALSE,TRUE)</f>
        <v>0</v>
      </c>
      <c r="BJ236">
        <f>OR(AND(IF(Metadata!X236="",FALSE,TRUE),OR(exact(Metadata!X236,"not collected"),exact(Metadata!X236,"not provided"),exact(Metadata!X236,"restricted access"))),AND(IF(Metadata!X236="",FALSE,TRUE),OR(exact(Metadata!X236,"TRUE"),exact(Metadata!X236,"FALSE"))))</f>
        <v>0</v>
      </c>
      <c r="BK236">
        <f>AND(IF(Metadata!Y236="",FALSE,TRUE),exact(Metadata!Y236,"other"))</f>
        <v>0</v>
      </c>
      <c r="BL236">
        <f>IF(Metadata!Z236="",FALSE,TRUE)</f>
        <v>0</v>
      </c>
      <c r="BM236">
        <f>OR(AND(IF(Metadata!AA236="",FALSE,TRUE),OR(exact(Metadata!AA236,"not collected"),exact(Metadata!AA236,"not provided"))),AND(IF(Metadata!AA236="",FALSE,IF(ISERROR(INT(Metadata!AA236)),FALSE,INT(Metadata!AA236)=Metadata!AA236)),Metadata!AA236&gt;0))</f>
        <v>0</v>
      </c>
      <c r="BN236">
        <f>AND(IF(Metadata!AB236="",FALSE,TRUE),exact(Metadata!AB236,"Not applicable"))</f>
        <v>0</v>
      </c>
      <c r="BO236">
        <f>IF(Metadata!AC236="",FALSE,TRUE)</f>
        <v>0</v>
      </c>
    </row>
    <row r="237" spans="1:67">
      <c r="A237" s="5">
        <f>IF(B237=" "," ",HYPERLINK(CONCATENATE("#metadata!",ADDRESS(INDEX($AI$2:$AI$1001,MATCH(ROWS($AG$2:AG237),$AG$2:$AG$1001,0),0),1)),INDEX($AL$2:$AL$1001,MATCH(ROWS($AG$2:AG237),$AG$2:$AG$1001,0),0)))</f>
        <v>0</v>
      </c>
      <c r="B237" s="4">
        <f>IF(OR(INDEX($AH$2:$AH$1001,MATCH(ROWS($AG$2:AG237),$AG$2:$AG$1001,0),1)&gt;=100000,INDEX($AN$1005:$BO$1005,1,MATCH(COLUMNS($AN$1006:AN1006),$AN$1006:$BO$1006,0))&gt;=100000), " ",IF(INDEX($AN$2:$BO$1001,MATCH(ROWS($AG$2:AG237),$AG$2:$AG$1001,0),MATCH(COLUMNS($AN$1006:AN1006),$AN$1006:$BO$1006,0)), HYPERLINK("#",""), HYPERLINK(CONCATENATE("#Metadata!", ADDRESS(INDEX($AI$2:$AI$1001,MATCH(ROWS($AG$2:AG237),$AG$2:$AG$1001,0),0), INDEX($AN$1004:$BO$1004,1,MATCH(COLUMNS($AN$1006:AN1006),$AN$1006:$BO$1006,0)))),"Fix")))</f>
        <v>0</v>
      </c>
      <c r="C237" s="4">
        <f>IF(OR(INDEX($AH$2:$AH$1001,MATCH(ROWS($AG$2:AG237),$AG$2:$AG$1001,0),1)&gt;=100000,INDEX($AN$1005:$BO$1005,1,MATCH(COLUMNS($AN$1006:AO1006),$AN$1006:$BO$1006,0))&gt;=100000), " ",IF(INDEX($AN$2:$BO$1001,MATCH(ROWS($AG$2:AG237),$AG$2:$AG$1001,0),MATCH(COLUMNS($AN$1006:AO1006),$AN$1006:$BO$1006,0)), HYPERLINK("#",""), HYPERLINK(CONCATENATE("#Metadata!", ADDRESS(INDEX($AI$2:$AI$1001,MATCH(ROWS($AG$2:AG237),$AG$2:$AG$1001,0),0), INDEX($AN$1004:$BO$1004,1,MATCH(COLUMNS($AN$1006:AO1006),$AN$1006:$BO$1006,0)))),"Fix")))</f>
        <v>0</v>
      </c>
      <c r="D237" s="4">
        <f>IF(OR(INDEX($AH$2:$AH$1001,MATCH(ROWS($AG$2:AG237),$AG$2:$AG$1001,0),1)&gt;=100000,INDEX($AN$1005:$BO$1005,1,MATCH(COLUMNS($AN$1006:AP1006),$AN$1006:$BO$1006,0))&gt;=100000), " ",IF(INDEX($AN$2:$BO$1001,MATCH(ROWS($AG$2:AG237),$AG$2:$AG$1001,0),MATCH(COLUMNS($AN$1006:AP1006),$AN$1006:$BO$1006,0)), HYPERLINK("#",""), HYPERLINK(CONCATENATE("#Metadata!", ADDRESS(INDEX($AI$2:$AI$1001,MATCH(ROWS($AG$2:AG237),$AG$2:$AG$1001,0),0), INDEX($AN$1004:$BO$1004,1,MATCH(COLUMNS($AN$1006:AP1006),$AN$1006:$BO$1006,0)))),"Fix")))</f>
        <v>0</v>
      </c>
      <c r="E237" s="4">
        <f>IF(OR(INDEX($AH$2:$AH$1001,MATCH(ROWS($AG$2:AG237),$AG$2:$AG$1001,0),1)&gt;=100000,INDEX($AN$1005:$BO$1005,1,MATCH(COLUMNS($AN$1006:AQ1006),$AN$1006:$BO$1006,0))&gt;=100000), " ",IF(INDEX($AN$2:$BO$1001,MATCH(ROWS($AG$2:AG237),$AG$2:$AG$1001,0),MATCH(COLUMNS($AN$1006:AQ1006),$AN$1006:$BO$1006,0)), HYPERLINK("#",""), HYPERLINK(CONCATENATE("#Metadata!", ADDRESS(INDEX($AI$2:$AI$1001,MATCH(ROWS($AG$2:AG237),$AG$2:$AG$1001,0),0), INDEX($AN$1004:$BO$1004,1,MATCH(COLUMNS($AN$1006:AQ1006),$AN$1006:$BO$1006,0)))),"Fix")))</f>
        <v>0</v>
      </c>
      <c r="F237" s="4">
        <f>IF(OR(INDEX($AH$2:$AH$1001,MATCH(ROWS($AG$2:AG237),$AG$2:$AG$1001,0),1)&gt;=100000,INDEX($AN$1005:$BO$1005,1,MATCH(COLUMNS($AN$1006:AR1006),$AN$1006:$BO$1006,0))&gt;=100000), " ",IF(INDEX($AN$2:$BO$1001,MATCH(ROWS($AG$2:AG237),$AG$2:$AG$1001,0),MATCH(COLUMNS($AN$1006:AR1006),$AN$1006:$BO$1006,0)), HYPERLINK("#",""), HYPERLINK(CONCATENATE("#Metadata!", ADDRESS(INDEX($AI$2:$AI$1001,MATCH(ROWS($AG$2:AG237),$AG$2:$AG$1001,0),0), INDEX($AN$1004:$BO$1004,1,MATCH(COLUMNS($AN$1006:AR1006),$AN$1006:$BO$1006,0)))),"Fix")))</f>
        <v>0</v>
      </c>
      <c r="G237" s="4">
        <f>IF(OR(INDEX($AH$2:$AH$1001,MATCH(ROWS($AG$2:AG237),$AG$2:$AG$1001,0),1)&gt;=100000,INDEX($AN$1005:$BO$1005,1,MATCH(COLUMNS($AN$1006:AS1006),$AN$1006:$BO$1006,0))&gt;=100000), " ",IF(INDEX($AN$2:$BO$1001,MATCH(ROWS($AG$2:AG237),$AG$2:$AG$1001,0),MATCH(COLUMNS($AN$1006:AS1006),$AN$1006:$BO$1006,0)), HYPERLINK("#",""), HYPERLINK(CONCATENATE("#Metadata!", ADDRESS(INDEX($AI$2:$AI$1001,MATCH(ROWS($AG$2:AG237),$AG$2:$AG$1001,0),0), INDEX($AN$1004:$BO$1004,1,MATCH(COLUMNS($AN$1006:AS1006),$AN$1006:$BO$1006,0)))),"Fix")))</f>
        <v>0</v>
      </c>
      <c r="H237" s="4">
        <f>IF(OR(INDEX($AH$2:$AH$1001,MATCH(ROWS($AG$2:AG237),$AG$2:$AG$1001,0),1)&gt;=100000,INDEX($AN$1005:$BO$1005,1,MATCH(COLUMNS($AN$1006:AT1006),$AN$1006:$BO$1006,0))&gt;=100000), " ",IF(INDEX($AN$2:$BO$1001,MATCH(ROWS($AG$2:AG237),$AG$2:$AG$1001,0),MATCH(COLUMNS($AN$1006:AT1006),$AN$1006:$BO$1006,0)), HYPERLINK("#",""), HYPERLINK(CONCATENATE("#Metadata!", ADDRESS(INDEX($AI$2:$AI$1001,MATCH(ROWS($AG$2:AG237),$AG$2:$AG$1001,0),0), INDEX($AN$1004:$BO$1004,1,MATCH(COLUMNS($AN$1006:AT1006),$AN$1006:$BO$1006,0)))),"Fix")))</f>
        <v>0</v>
      </c>
      <c r="I237" s="4">
        <f>IF(OR(INDEX($AH$2:$AH$1001,MATCH(ROWS($AG$2:AG237),$AG$2:$AG$1001,0),1)&gt;=100000,INDEX($AN$1005:$BO$1005,1,MATCH(COLUMNS($AN$1006:AU1006),$AN$1006:$BO$1006,0))&gt;=100000), " ",IF(INDEX($AN$2:$BO$1001,MATCH(ROWS($AG$2:AG237),$AG$2:$AG$1001,0),MATCH(COLUMNS($AN$1006:AU1006),$AN$1006:$BO$1006,0)), HYPERLINK("#",""), HYPERLINK(CONCATENATE("#Metadata!", ADDRESS(INDEX($AI$2:$AI$1001,MATCH(ROWS($AG$2:AG237),$AG$2:$AG$1001,0),0), INDEX($AN$1004:$BO$1004,1,MATCH(COLUMNS($AN$1006:AU1006),$AN$1006:$BO$1006,0)))),"Fix")))</f>
        <v>0</v>
      </c>
      <c r="J237" s="4">
        <f>IF(OR(INDEX($AH$2:$AH$1001,MATCH(ROWS($AG$2:AG237),$AG$2:$AG$1001,0),1)&gt;=100000,INDEX($AN$1005:$BO$1005,1,MATCH(COLUMNS($AN$1006:AV1006),$AN$1006:$BO$1006,0))&gt;=100000), " ",IF(INDEX($AN$2:$BO$1001,MATCH(ROWS($AG$2:AG237),$AG$2:$AG$1001,0),MATCH(COLUMNS($AN$1006:AV1006),$AN$1006:$BO$1006,0)), HYPERLINK("#",""), HYPERLINK(CONCATENATE("#Metadata!", ADDRESS(INDEX($AI$2:$AI$1001,MATCH(ROWS($AG$2:AG237),$AG$2:$AG$1001,0),0), INDEX($AN$1004:$BO$1004,1,MATCH(COLUMNS($AN$1006:AV1006),$AN$1006:$BO$1006,0)))),"Fix")))</f>
        <v>0</v>
      </c>
      <c r="K237" s="4">
        <f>IF(OR(INDEX($AH$2:$AH$1001,MATCH(ROWS($AG$2:AG237),$AG$2:$AG$1001,0),1)&gt;=100000,INDEX($AN$1005:$BO$1005,1,MATCH(COLUMNS($AN$1006:AW1006),$AN$1006:$BO$1006,0))&gt;=100000), " ",IF(INDEX($AN$2:$BO$1001,MATCH(ROWS($AG$2:AG237),$AG$2:$AG$1001,0),MATCH(COLUMNS($AN$1006:AW1006),$AN$1006:$BO$1006,0)), HYPERLINK("#",""), HYPERLINK(CONCATENATE("#Metadata!", ADDRESS(INDEX($AI$2:$AI$1001,MATCH(ROWS($AG$2:AG237),$AG$2:$AG$1001,0),0), INDEX($AN$1004:$BO$1004,1,MATCH(COLUMNS($AN$1006:AW1006),$AN$1006:$BO$1006,0)))),"Fix")))</f>
        <v>0</v>
      </c>
      <c r="L237" s="4">
        <f>IF(OR(INDEX($AH$2:$AH$1001,MATCH(ROWS($AG$2:AG237),$AG$2:$AG$1001,0),1)&gt;=100000,INDEX($AN$1005:$BO$1005,1,MATCH(COLUMNS($AN$1006:AX1006),$AN$1006:$BO$1006,0))&gt;=100000), " ",IF(INDEX($AN$2:$BO$1001,MATCH(ROWS($AG$2:AG237),$AG$2:$AG$1001,0),MATCH(COLUMNS($AN$1006:AX1006),$AN$1006:$BO$1006,0)), HYPERLINK("#",""), HYPERLINK(CONCATENATE("#Metadata!", ADDRESS(INDEX($AI$2:$AI$1001,MATCH(ROWS($AG$2:AG237),$AG$2:$AG$1001,0),0), INDEX($AN$1004:$BO$1004,1,MATCH(COLUMNS($AN$1006:AX1006),$AN$1006:$BO$1006,0)))),"Fix")))</f>
        <v>0</v>
      </c>
      <c r="M237" s="4">
        <f>IF(OR(INDEX($AH$2:$AH$1001,MATCH(ROWS($AG$2:AG237),$AG$2:$AG$1001,0),1)&gt;=100000,INDEX($AN$1005:$BO$1005,1,MATCH(COLUMNS($AN$1006:AY1006),$AN$1006:$BO$1006,0))&gt;=100000), " ",IF(INDEX($AN$2:$BO$1001,MATCH(ROWS($AG$2:AG237),$AG$2:$AG$1001,0),MATCH(COLUMNS($AN$1006:AY1006),$AN$1006:$BO$1006,0)), HYPERLINK("#",""), HYPERLINK(CONCATENATE("#Metadata!", ADDRESS(INDEX($AI$2:$AI$1001,MATCH(ROWS($AG$2:AG237),$AG$2:$AG$1001,0),0), INDEX($AN$1004:$BO$1004,1,MATCH(COLUMNS($AN$1006:AY1006),$AN$1006:$BO$1006,0)))),"Fix")))</f>
        <v>0</v>
      </c>
      <c r="N237" s="4">
        <f>IF(OR(INDEX($AH$2:$AH$1001,MATCH(ROWS($AG$2:AG237),$AG$2:$AG$1001,0),1)&gt;=100000,INDEX($AN$1005:$BO$1005,1,MATCH(COLUMNS($AN$1006:AZ1006),$AN$1006:$BO$1006,0))&gt;=100000), " ",IF(INDEX($AN$2:$BO$1001,MATCH(ROWS($AG$2:AG237),$AG$2:$AG$1001,0),MATCH(COLUMNS($AN$1006:AZ1006),$AN$1006:$BO$1006,0)), HYPERLINK("#",""), HYPERLINK(CONCATENATE("#Metadata!", ADDRESS(INDEX($AI$2:$AI$1001,MATCH(ROWS($AG$2:AG237),$AG$2:$AG$1001,0),0), INDEX($AN$1004:$BO$1004,1,MATCH(COLUMNS($AN$1006:AZ1006),$AN$1006:$BO$1006,0)))),"Fix")))</f>
        <v>0</v>
      </c>
      <c r="O237" s="4">
        <f>IF(OR(INDEX($AH$2:$AH$1001,MATCH(ROWS($AG$2:AG237),$AG$2:$AG$1001,0),1)&gt;=100000,INDEX($AN$1005:$BO$1005,1,MATCH(COLUMNS($AN$1006:BA1006),$AN$1006:$BO$1006,0))&gt;=100000), " ",IF(INDEX($AN$2:$BO$1001,MATCH(ROWS($AG$2:AG237),$AG$2:$AG$1001,0),MATCH(COLUMNS($AN$1006:BA1006),$AN$1006:$BO$1006,0)), HYPERLINK("#",""), HYPERLINK(CONCATENATE("#Metadata!", ADDRESS(INDEX($AI$2:$AI$1001,MATCH(ROWS($AG$2:AG237),$AG$2:$AG$1001,0),0), INDEX($AN$1004:$BO$1004,1,MATCH(COLUMNS($AN$1006:BA1006),$AN$1006:$BO$1006,0)))),"Fix")))</f>
        <v>0</v>
      </c>
      <c r="P237" s="4">
        <f>IF(OR(INDEX($AH$2:$AH$1001,MATCH(ROWS($AG$2:AG237),$AG$2:$AG$1001,0),1)&gt;=100000,INDEX($AN$1005:$BO$1005,1,MATCH(COLUMNS($AN$1006:BB1006),$AN$1006:$BO$1006,0))&gt;=100000), " ",IF(INDEX($AN$2:$BO$1001,MATCH(ROWS($AG$2:AG237),$AG$2:$AG$1001,0),MATCH(COLUMNS($AN$1006:BB1006),$AN$1006:$BO$1006,0)), HYPERLINK("#",""), HYPERLINK(CONCATENATE("#Metadata!", ADDRESS(INDEX($AI$2:$AI$1001,MATCH(ROWS($AG$2:AG237),$AG$2:$AG$1001,0),0), INDEX($AN$1004:$BO$1004,1,MATCH(COLUMNS($AN$1006:BB1006),$AN$1006:$BO$1006,0)))),"Fix")))</f>
        <v>0</v>
      </c>
      <c r="Q237" s="4">
        <f>IF(OR(INDEX($AH$2:$AH$1001,MATCH(ROWS($AG$2:AG237),$AG$2:$AG$1001,0),1)&gt;=100000,INDEX($AN$1005:$BO$1005,1,MATCH(COLUMNS($AN$1006:BC1006),$AN$1006:$BO$1006,0))&gt;=100000), " ",IF(INDEX($AN$2:$BO$1001,MATCH(ROWS($AG$2:AG237),$AG$2:$AG$1001,0),MATCH(COLUMNS($AN$1006:BC1006),$AN$1006:$BO$1006,0)), HYPERLINK("#",""), HYPERLINK(CONCATENATE("#Metadata!", ADDRESS(INDEX($AI$2:$AI$1001,MATCH(ROWS($AG$2:AG237),$AG$2:$AG$1001,0),0), INDEX($AN$1004:$BO$1004,1,MATCH(COLUMNS($AN$1006:BC1006),$AN$1006:$BO$1006,0)))),"Fix")))</f>
        <v>0</v>
      </c>
      <c r="R237" s="4">
        <f>IF(OR(INDEX($AH$2:$AH$1001,MATCH(ROWS($AG$2:AG237),$AG$2:$AG$1001,0),1)&gt;=100000,INDEX($AN$1005:$BO$1005,1,MATCH(COLUMNS($AN$1006:BD1006),$AN$1006:$BO$1006,0))&gt;=100000), " ",IF(INDEX($AN$2:$BO$1001,MATCH(ROWS($AG$2:AG237),$AG$2:$AG$1001,0),MATCH(COLUMNS($AN$1006:BD1006),$AN$1006:$BO$1006,0)), HYPERLINK("#",""), HYPERLINK(CONCATENATE("#Metadata!", ADDRESS(INDEX($AI$2:$AI$1001,MATCH(ROWS($AG$2:AG237),$AG$2:$AG$1001,0),0), INDEX($AN$1004:$BO$1004,1,MATCH(COLUMNS($AN$1006:BD1006),$AN$1006:$BO$1006,0)))),"Fix")))</f>
        <v>0</v>
      </c>
      <c r="S237" s="4">
        <f>IF(OR(INDEX($AH$2:$AH$1001,MATCH(ROWS($AG$2:AG237),$AG$2:$AG$1001,0),1)&gt;=100000,INDEX($AN$1005:$BO$1005,1,MATCH(COLUMNS($AN$1006:BE1006),$AN$1006:$BO$1006,0))&gt;=100000), " ",IF(INDEX($AN$2:$BO$1001,MATCH(ROWS($AG$2:AG237),$AG$2:$AG$1001,0),MATCH(COLUMNS($AN$1006:BE1006),$AN$1006:$BO$1006,0)), HYPERLINK("#",""), HYPERLINK(CONCATENATE("#Metadata!", ADDRESS(INDEX($AI$2:$AI$1001,MATCH(ROWS($AG$2:AG237),$AG$2:$AG$1001,0),0), INDEX($AN$1004:$BO$1004,1,MATCH(COLUMNS($AN$1006:BE1006),$AN$1006:$BO$1006,0)))),"Fix")))</f>
        <v>0</v>
      </c>
      <c r="T237" s="4">
        <f>IF(OR(INDEX($AH$2:$AH$1001,MATCH(ROWS($AG$2:AG237),$AG$2:$AG$1001,0),1)&gt;=100000,INDEX($AN$1005:$BO$1005,1,MATCH(COLUMNS($AN$1006:BF1006),$AN$1006:$BO$1006,0))&gt;=100000), " ",IF(INDEX($AN$2:$BO$1001,MATCH(ROWS($AG$2:AG237),$AG$2:$AG$1001,0),MATCH(COLUMNS($AN$1006:BF1006),$AN$1006:$BO$1006,0)), HYPERLINK("#",""), HYPERLINK(CONCATENATE("#Metadata!", ADDRESS(INDEX($AI$2:$AI$1001,MATCH(ROWS($AG$2:AG237),$AG$2:$AG$1001,0),0), INDEX($AN$1004:$BO$1004,1,MATCH(COLUMNS($AN$1006:BF1006),$AN$1006:$BO$1006,0)))),"Fix")))</f>
        <v>0</v>
      </c>
      <c r="U237" s="4">
        <f>IF(OR(INDEX($AH$2:$AH$1001,MATCH(ROWS($AG$2:AG237),$AG$2:$AG$1001,0),1)&gt;=100000,INDEX($AN$1005:$BO$1005,1,MATCH(COLUMNS($AN$1006:BG1006),$AN$1006:$BO$1006,0))&gt;=100000), " ",IF(INDEX($AN$2:$BO$1001,MATCH(ROWS($AG$2:AG237),$AG$2:$AG$1001,0),MATCH(COLUMNS($AN$1006:BG1006),$AN$1006:$BO$1006,0)), HYPERLINK("#",""), HYPERLINK(CONCATENATE("#Metadata!", ADDRESS(INDEX($AI$2:$AI$1001,MATCH(ROWS($AG$2:AG237),$AG$2:$AG$1001,0),0), INDEX($AN$1004:$BO$1004,1,MATCH(COLUMNS($AN$1006:BG1006),$AN$1006:$BO$1006,0)))),"Fix")))</f>
        <v>0</v>
      </c>
      <c r="V237" s="4">
        <f>IF(OR(INDEX($AH$2:$AH$1001,MATCH(ROWS($AG$2:AG237),$AG$2:$AG$1001,0),1)&gt;=100000,INDEX($AN$1005:$BO$1005,1,MATCH(COLUMNS($AN$1006:BH1006),$AN$1006:$BO$1006,0))&gt;=100000), " ",IF(INDEX($AN$2:$BO$1001,MATCH(ROWS($AG$2:AG237),$AG$2:$AG$1001,0),MATCH(COLUMNS($AN$1006:BH1006),$AN$1006:$BO$1006,0)), HYPERLINK("#",""), HYPERLINK(CONCATENATE("#Metadata!", ADDRESS(INDEX($AI$2:$AI$1001,MATCH(ROWS($AG$2:AG237),$AG$2:$AG$1001,0),0), INDEX($AN$1004:$BO$1004,1,MATCH(COLUMNS($AN$1006:BH1006),$AN$1006:$BO$1006,0)))),"Fix")))</f>
        <v>0</v>
      </c>
      <c r="W237" s="4">
        <f>IF(OR(INDEX($AH$2:$AH$1001,MATCH(ROWS($AG$2:AG237),$AG$2:$AG$1001,0),1)&gt;=100000,INDEX($AN$1005:$BO$1005,1,MATCH(COLUMNS($AN$1006:BI1006),$AN$1006:$BO$1006,0))&gt;=100000), " ",IF(INDEX($AN$2:$BO$1001,MATCH(ROWS($AG$2:AG237),$AG$2:$AG$1001,0),MATCH(COLUMNS($AN$1006:BI1006),$AN$1006:$BO$1006,0)), HYPERLINK("#",""), HYPERLINK(CONCATENATE("#Metadata!", ADDRESS(INDEX($AI$2:$AI$1001,MATCH(ROWS($AG$2:AG237),$AG$2:$AG$1001,0),0), INDEX($AN$1004:$BO$1004,1,MATCH(COLUMNS($AN$1006:BI1006),$AN$1006:$BO$1006,0)))),"Fix")))</f>
        <v>0</v>
      </c>
      <c r="X237" s="4">
        <f>IF(OR(INDEX($AH$2:$AH$1001,MATCH(ROWS($AG$2:AG237),$AG$2:$AG$1001,0),1)&gt;=100000,INDEX($AN$1005:$BO$1005,1,MATCH(COLUMNS($AN$1006:BJ1006),$AN$1006:$BO$1006,0))&gt;=100000), " ",IF(INDEX($AN$2:$BO$1001,MATCH(ROWS($AG$2:AG237),$AG$2:$AG$1001,0),MATCH(COLUMNS($AN$1006:BJ1006),$AN$1006:$BO$1006,0)), HYPERLINK("#",""), HYPERLINK(CONCATENATE("#Metadata!", ADDRESS(INDEX($AI$2:$AI$1001,MATCH(ROWS($AG$2:AG237),$AG$2:$AG$1001,0),0), INDEX($AN$1004:$BO$1004,1,MATCH(COLUMNS($AN$1006:BJ1006),$AN$1006:$BO$1006,0)))),"Fix")))</f>
        <v>0</v>
      </c>
      <c r="Y237" s="4">
        <f>IF(OR(INDEX($AH$2:$AH$1001,MATCH(ROWS($AG$2:AG237),$AG$2:$AG$1001,0),1)&gt;=100000,INDEX($AN$1005:$BO$1005,1,MATCH(COLUMNS($AN$1006:BK1006),$AN$1006:$BO$1006,0))&gt;=100000), " ",IF(INDEX($AN$2:$BO$1001,MATCH(ROWS($AG$2:AG237),$AG$2:$AG$1001,0),MATCH(COLUMNS($AN$1006:BK1006),$AN$1006:$BO$1006,0)), HYPERLINK("#",""), HYPERLINK(CONCATENATE("#Metadata!", ADDRESS(INDEX($AI$2:$AI$1001,MATCH(ROWS($AG$2:AG237),$AG$2:$AG$1001,0),0), INDEX($AN$1004:$BO$1004,1,MATCH(COLUMNS($AN$1006:BK1006),$AN$1006:$BO$1006,0)))),"Fix")))</f>
        <v>0</v>
      </c>
      <c r="Z237" s="4">
        <f>IF(OR(INDEX($AH$2:$AH$1001,MATCH(ROWS($AG$2:AG237),$AG$2:$AG$1001,0),1)&gt;=100000,INDEX($AN$1005:$BO$1005,1,MATCH(COLUMNS($AN$1006:BL1006),$AN$1006:$BO$1006,0))&gt;=100000), " ",IF(INDEX($AN$2:$BO$1001,MATCH(ROWS($AG$2:AG237),$AG$2:$AG$1001,0),MATCH(COLUMNS($AN$1006:BL1006),$AN$1006:$BO$1006,0)), HYPERLINK("#",""), HYPERLINK(CONCATENATE("#Metadata!", ADDRESS(INDEX($AI$2:$AI$1001,MATCH(ROWS($AG$2:AG237),$AG$2:$AG$1001,0),0), INDEX($AN$1004:$BO$1004,1,MATCH(COLUMNS($AN$1006:BL1006),$AN$1006:$BO$1006,0)))),"Fix")))</f>
        <v>0</v>
      </c>
      <c r="AA237" s="4">
        <f>IF(OR(INDEX($AH$2:$AH$1001,MATCH(ROWS($AG$2:AG237),$AG$2:$AG$1001,0),1)&gt;=100000,INDEX($AN$1005:$BO$1005,1,MATCH(COLUMNS($AN$1006:BM1006),$AN$1006:$BO$1006,0))&gt;=100000), " ",IF(INDEX($AN$2:$BO$1001,MATCH(ROWS($AG$2:AG237),$AG$2:$AG$1001,0),MATCH(COLUMNS($AN$1006:BM1006),$AN$1006:$BO$1006,0)), HYPERLINK("#",""), HYPERLINK(CONCATENATE("#Metadata!", ADDRESS(INDEX($AI$2:$AI$1001,MATCH(ROWS($AG$2:AG237),$AG$2:$AG$1001,0),0), INDEX($AN$1004:$BO$1004,1,MATCH(COLUMNS($AN$1006:BM1006),$AN$1006:$BO$1006,0)))),"Fix")))</f>
        <v>0</v>
      </c>
      <c r="AB237" s="4">
        <f>IF(OR(INDEX($AH$2:$AH$1001,MATCH(ROWS($AG$2:AG237),$AG$2:$AG$1001,0),1)&gt;=100000,INDEX($AN$1005:$BO$1005,1,MATCH(COLUMNS($AN$1006:BN1006),$AN$1006:$BO$1006,0))&gt;=100000), " ",IF(INDEX($AN$2:$BO$1001,MATCH(ROWS($AG$2:AG237),$AG$2:$AG$1001,0),MATCH(COLUMNS($AN$1006:BN1006),$AN$1006:$BO$1006,0)), HYPERLINK("#",""), HYPERLINK(CONCATENATE("#Metadata!", ADDRESS(INDEX($AI$2:$AI$1001,MATCH(ROWS($AG$2:AG237),$AG$2:$AG$1001,0),0), INDEX($AN$1004:$BO$1004,1,MATCH(COLUMNS($AN$1006:BN1006),$AN$1006:$BO$1006,0)))),"Fix")))</f>
        <v>0</v>
      </c>
      <c r="AC237" s="4">
        <f>IF(OR(INDEX($AH$2:$AH$1001,MATCH(ROWS($AG$2:AG237),$AG$2:$AG$1001,0),1)&gt;=100000,INDEX($AN$1005:$BO$1005,1,MATCH(COLUMNS($AN$1006:BO1006),$AN$1006:$BO$1006,0))&gt;=100000), " ",IF(INDEX($AN$2:$BO$1001,MATCH(ROWS($AG$2:AG237),$AG$2:$AG$1001,0),MATCH(COLUMNS($AN$1006:BO1006),$AN$1006:$BO$1006,0)), HYPERLINK("#",""), HYPERLINK(CONCATENATE("#Metadata!", ADDRESS(INDEX($AI$2:$AI$1001,MATCH(ROWS($AG$2:AG237),$AG$2:$AG$1001,0),0), INDEX($AN$1004:$BO$1004,1,MATCH(COLUMNS($AN$1006:BO1006),$AN$1006:$BO$1006,0)))),"Fix")))</f>
        <v>0</v>
      </c>
      <c r="AG237">
        <v>0</v>
      </c>
      <c r="AH237">
        <v>0</v>
      </c>
      <c r="AI237">
        <v>0</v>
      </c>
      <c r="AJ237">
        <f>IF(AK237,TRUE,AND(AN237:BO237))</f>
        <v>0</v>
      </c>
      <c r="AK237">
        <f>COUNTBLANK(Metadata!B237:AC237)=COLUMNS(Metadata!B237:AC237)</f>
        <v>0</v>
      </c>
      <c r="AL237">
        <v>0</v>
      </c>
      <c r="AN237">
        <f>AND(IF(Metadata!B237="",FALSE,TRUE),COUNTIF(Metadata!B:B, Metadata!B237) = 1,NOT(ISERROR(SUMPRODUCT(SEARCH(MID(Metadata!B237,ROW(INDIRECT("1:"&amp;LEN(Metadata!B237))), 1),"0123456789abcdefghijklmnopqrstuvwxyzABCDEFGHIJKLMNOPQRSTUVWXYZ.")))))</f>
        <v>0</v>
      </c>
      <c r="AO237">
        <f>IF(Metadata!C237="",FALSE,TRUE)</f>
        <v>0</v>
      </c>
      <c r="AP237">
        <f>IF(Metadata!D237="",FALSE,TRUE)</f>
        <v>0</v>
      </c>
      <c r="AQ237">
        <f>OR(AND(IF(Metadata!E237="",FALSE,TRUE),OR(exact(Metadata!E237,"not collected"),exact(Metadata!E237,"not provided"),exact(Metadata!E237,"restricted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R237">
        <f>IF(Metadata!F237="",FALSE,TRUE)</f>
        <v>0</v>
      </c>
      <c r="AS237">
        <f>OR(AND(IF(Metadata!G237="",FALSE,TRUE),OR(exact(Metadata!G237,"not collected"),exact(Metadata!G237,"not provided"))),AND(IF(Metadata!G237="",FALSE,TRUE),OR(exact(Metadata!G237,"TRUE"),exact(Metadata!G237,"FALSE"))))</f>
        <v>0</v>
      </c>
      <c r="AT237">
        <f>OR(AND(IF(Metadata!H237="",FALSE,TRUE),OR(exact(Metadata!H237,"not collected"),exact(Metadata!H237,"not provided"),exact(Metadata!H237,"restricted access"))),AND(IF(Metadata!H237="",FALSE,ISNUMBER(VALUE(Metadata!H237))),Metadata!H237&gt;=-413.0))</f>
        <v>0</v>
      </c>
      <c r="AU237">
        <f>AND(IF(Metadata!I237="",FALSE,TRUE),exact(Metadata!I237,"meters"))</f>
        <v>0</v>
      </c>
      <c r="AV237">
        <f>AND(IF(Metadata!J237="",FALSE,TRUE),OR(exact(Metadata!J237,"Host-associated"),exact(Metadata!J237,"Free-living")))</f>
        <v>0</v>
      </c>
      <c r="AW237">
        <f>AND(IF(Metadata!K237="",FALSE,TRUE),OR(exact(Metadata!K237,"Animal"),exact(Metadata!K237,"Fungus"),exact(Metadata!K237,"Plant"),exact(Metadata!K237,"Saline"),exact(Metadata!K237,"Non-saline")))</f>
        <v>0</v>
      </c>
      <c r="AX237">
        <f>AND(IF(Metadata!L237="",FALSE,TRUE),OR(exact(Metadata!L237,"Plant secretion"),exact(Metadata!L237,"Plant rhizosphere"),exact(Metadata!L237,"Plant surface"),exact(Metadata!L237,"Plant corpus"),exact(Metadata!L237,"Fungus surface"),exact(Metadata!L237,"Fungus corpus"),exact(Metadata!L237,"Animal surface"),exact(Metadata!L237,"Animal proximal gut"),exact(Metadata!L237,"Animal corpus"),exact(Metadata!L237,"Animal distal gut"),exact(Metadata!L237,"Animal secretion"),exact(Metadata!L237,"Sub-surface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Y237">
        <f>IF(Metadata!M237="",FALSE,TRUE)</f>
        <v>0</v>
      </c>
      <c r="AZ237">
        <f>IF(Metadata!N237="",FALSE,TRUE)</f>
        <v>0</v>
      </c>
      <c r="BA237">
        <f>IF(Metadata!O237="",FALSE,TRUE)</f>
        <v>0</v>
      </c>
      <c r="BB237">
        <f>OR(AND(IF(Metadata!P237="",FALSE,TRUE),OR(exact(Metadata!P237,"not collected"),exact(Metadata!P237,"not provided"),exact(Metadata!P237,"restricted access"))),AND(IF(Metadata!P237="",FALSE,TRUE),OR(exact(Metadata!P237,"air"),exact(Metadata!P237,"built environment"),exact(Metadata!P237,"host-associated"),exact(Metadata!P237,"human-associated"),exact(Metadata!P237,"human-skin"),exact(Metadata!P237,"human-oral"),exact(Metadata!P237,"human-gut"),exact(Metadata!P237,"human-vaginal"),exact(Metadata!P237,"microbial mat/biofilm"),exact(Metadata!P237,"misc environment"),exact(Metadata!P237,"plant-associated"),exact(Metadata!P237,"sediment"),exact(Metadata!P237,"soil"),exact(Metadata!P237,"wastewater/sludge"),exact(Metadata!P237,"water"))))</f>
        <v>0</v>
      </c>
      <c r="BC237">
        <f>IF(Metadata!Q237="",FALSE,TRUE)</f>
        <v>0</v>
      </c>
      <c r="BD237">
        <f>IF(Metadata!R237="",FALSE,TRUE)</f>
        <v>0</v>
      </c>
      <c r="BE237">
        <f>OR(AND(IF(Metadata!S237="",FALSE,TRUE),OR(exact(Metadata!S237,"not collected"),exact(Metadata!S237,"not provided"),exact(Metadata!S237,"restricted access"))),AND(IF(Metadata!S237="",FALSE,ISNUMBER(VALUE(Metadata!S237))),Metadata!S237&gt;=-90.00,Metadata!S237&lt;=90.00))</f>
        <v>0</v>
      </c>
      <c r="BF237">
        <f>AND(IF(Metadata!T237="",FALSE,TRUE),exact(Metadata!T237,"Decimal degrees"))</f>
        <v>0</v>
      </c>
      <c r="BG237">
        <f>OR(AND(IF(Metadata!U237="",FALSE,TRUE),OR(exact(Metadata!U237,"not collected"),exact(Metadata!U237,"not provided"),exact(Metadata!U237,"restricted access"))),AND(IF(Metadata!U237="",FALSE,ISNUMBER(VALUE(Metadata!U237))),Metadata!U237&gt;=-180.00,Metadata!U237&lt;=180.00))</f>
        <v>0</v>
      </c>
      <c r="BH237">
        <f>AND(IF(Metadata!V237="",FALSE,TRUE),exact(Metadata!V237,"Decimal degrees"))</f>
        <v>0</v>
      </c>
      <c r="BI237">
        <f>IF(Metadata!W237="",FALSE,TRUE)</f>
        <v>0</v>
      </c>
      <c r="BJ237">
        <f>OR(AND(IF(Metadata!X237="",FALSE,TRUE),OR(exact(Metadata!X237,"not collected"),exact(Metadata!X237,"not provided"),exact(Metadata!X237,"restricted access"))),AND(IF(Metadata!X237="",FALSE,TRUE),OR(exact(Metadata!X237,"TRUE"),exact(Metadata!X237,"FALSE"))))</f>
        <v>0</v>
      </c>
      <c r="BK237">
        <f>AND(IF(Metadata!Y237="",FALSE,TRUE),exact(Metadata!Y237,"other"))</f>
        <v>0</v>
      </c>
      <c r="BL237">
        <f>IF(Metadata!Z237="",FALSE,TRUE)</f>
        <v>0</v>
      </c>
      <c r="BM237">
        <f>OR(AND(IF(Metadata!AA237="",FALSE,TRUE),OR(exact(Metadata!AA237,"not collected"),exact(Metadata!AA237,"not provided"))),AND(IF(Metadata!AA237="",FALSE,IF(ISERROR(INT(Metadata!AA237)),FALSE,INT(Metadata!AA237)=Metadata!AA237)),Metadata!AA237&gt;0))</f>
        <v>0</v>
      </c>
      <c r="BN237">
        <f>AND(IF(Metadata!AB237="",FALSE,TRUE),exact(Metadata!AB237,"Not applicable"))</f>
        <v>0</v>
      </c>
      <c r="BO237">
        <f>IF(Metadata!AC237="",FALSE,TRUE)</f>
        <v>0</v>
      </c>
    </row>
    <row r="238" spans="1:67">
      <c r="A238" s="5">
        <f>IF(B238=" "," ",HYPERLINK(CONCATENATE("#metadata!",ADDRESS(INDEX($AI$2:$AI$1001,MATCH(ROWS($AG$2:AG238),$AG$2:$AG$1001,0),0),1)),INDEX($AL$2:$AL$1001,MATCH(ROWS($AG$2:AG238),$AG$2:$AG$1001,0),0)))</f>
        <v>0</v>
      </c>
      <c r="B238" s="4">
        <f>IF(OR(INDEX($AH$2:$AH$1001,MATCH(ROWS($AG$2:AG238),$AG$2:$AG$1001,0),1)&gt;=100000,INDEX($AN$1005:$BO$1005,1,MATCH(COLUMNS($AN$1006:AN1006),$AN$1006:$BO$1006,0))&gt;=100000), " ",IF(INDEX($AN$2:$BO$1001,MATCH(ROWS($AG$2:AG238),$AG$2:$AG$1001,0),MATCH(COLUMNS($AN$1006:AN1006),$AN$1006:$BO$1006,0)), HYPERLINK("#",""), HYPERLINK(CONCATENATE("#Metadata!", ADDRESS(INDEX($AI$2:$AI$1001,MATCH(ROWS($AG$2:AG238),$AG$2:$AG$1001,0),0), INDEX($AN$1004:$BO$1004,1,MATCH(COLUMNS($AN$1006:AN1006),$AN$1006:$BO$1006,0)))),"Fix")))</f>
        <v>0</v>
      </c>
      <c r="C238" s="4">
        <f>IF(OR(INDEX($AH$2:$AH$1001,MATCH(ROWS($AG$2:AG238),$AG$2:$AG$1001,0),1)&gt;=100000,INDEX($AN$1005:$BO$1005,1,MATCH(COLUMNS($AN$1006:AO1006),$AN$1006:$BO$1006,0))&gt;=100000), " ",IF(INDEX($AN$2:$BO$1001,MATCH(ROWS($AG$2:AG238),$AG$2:$AG$1001,0),MATCH(COLUMNS($AN$1006:AO1006),$AN$1006:$BO$1006,0)), HYPERLINK("#",""), HYPERLINK(CONCATENATE("#Metadata!", ADDRESS(INDEX($AI$2:$AI$1001,MATCH(ROWS($AG$2:AG238),$AG$2:$AG$1001,0),0), INDEX($AN$1004:$BO$1004,1,MATCH(COLUMNS($AN$1006:AO1006),$AN$1006:$BO$1006,0)))),"Fix")))</f>
        <v>0</v>
      </c>
      <c r="D238" s="4">
        <f>IF(OR(INDEX($AH$2:$AH$1001,MATCH(ROWS($AG$2:AG238),$AG$2:$AG$1001,0),1)&gt;=100000,INDEX($AN$1005:$BO$1005,1,MATCH(COLUMNS($AN$1006:AP1006),$AN$1006:$BO$1006,0))&gt;=100000), " ",IF(INDEX($AN$2:$BO$1001,MATCH(ROWS($AG$2:AG238),$AG$2:$AG$1001,0),MATCH(COLUMNS($AN$1006:AP1006),$AN$1006:$BO$1006,0)), HYPERLINK("#",""), HYPERLINK(CONCATENATE("#Metadata!", ADDRESS(INDEX($AI$2:$AI$1001,MATCH(ROWS($AG$2:AG238),$AG$2:$AG$1001,0),0), INDEX($AN$1004:$BO$1004,1,MATCH(COLUMNS($AN$1006:AP1006),$AN$1006:$BO$1006,0)))),"Fix")))</f>
        <v>0</v>
      </c>
      <c r="E238" s="4">
        <f>IF(OR(INDEX($AH$2:$AH$1001,MATCH(ROWS($AG$2:AG238),$AG$2:$AG$1001,0),1)&gt;=100000,INDEX($AN$1005:$BO$1005,1,MATCH(COLUMNS($AN$1006:AQ1006),$AN$1006:$BO$1006,0))&gt;=100000), " ",IF(INDEX($AN$2:$BO$1001,MATCH(ROWS($AG$2:AG238),$AG$2:$AG$1001,0),MATCH(COLUMNS($AN$1006:AQ1006),$AN$1006:$BO$1006,0)), HYPERLINK("#",""), HYPERLINK(CONCATENATE("#Metadata!", ADDRESS(INDEX($AI$2:$AI$1001,MATCH(ROWS($AG$2:AG238),$AG$2:$AG$1001,0),0), INDEX($AN$1004:$BO$1004,1,MATCH(COLUMNS($AN$1006:AQ1006),$AN$1006:$BO$1006,0)))),"Fix")))</f>
        <v>0</v>
      </c>
      <c r="F238" s="4">
        <f>IF(OR(INDEX($AH$2:$AH$1001,MATCH(ROWS($AG$2:AG238),$AG$2:$AG$1001,0),1)&gt;=100000,INDEX($AN$1005:$BO$1005,1,MATCH(COLUMNS($AN$1006:AR1006),$AN$1006:$BO$1006,0))&gt;=100000), " ",IF(INDEX($AN$2:$BO$1001,MATCH(ROWS($AG$2:AG238),$AG$2:$AG$1001,0),MATCH(COLUMNS($AN$1006:AR1006),$AN$1006:$BO$1006,0)), HYPERLINK("#",""), HYPERLINK(CONCATENATE("#Metadata!", ADDRESS(INDEX($AI$2:$AI$1001,MATCH(ROWS($AG$2:AG238),$AG$2:$AG$1001,0),0), INDEX($AN$1004:$BO$1004,1,MATCH(COLUMNS($AN$1006:AR1006),$AN$1006:$BO$1006,0)))),"Fix")))</f>
        <v>0</v>
      </c>
      <c r="G238" s="4">
        <f>IF(OR(INDEX($AH$2:$AH$1001,MATCH(ROWS($AG$2:AG238),$AG$2:$AG$1001,0),1)&gt;=100000,INDEX($AN$1005:$BO$1005,1,MATCH(COLUMNS($AN$1006:AS1006),$AN$1006:$BO$1006,0))&gt;=100000), " ",IF(INDEX($AN$2:$BO$1001,MATCH(ROWS($AG$2:AG238),$AG$2:$AG$1001,0),MATCH(COLUMNS($AN$1006:AS1006),$AN$1006:$BO$1006,0)), HYPERLINK("#",""), HYPERLINK(CONCATENATE("#Metadata!", ADDRESS(INDEX($AI$2:$AI$1001,MATCH(ROWS($AG$2:AG238),$AG$2:$AG$1001,0),0), INDEX($AN$1004:$BO$1004,1,MATCH(COLUMNS($AN$1006:AS1006),$AN$1006:$BO$1006,0)))),"Fix")))</f>
        <v>0</v>
      </c>
      <c r="H238" s="4">
        <f>IF(OR(INDEX($AH$2:$AH$1001,MATCH(ROWS($AG$2:AG238),$AG$2:$AG$1001,0),1)&gt;=100000,INDEX($AN$1005:$BO$1005,1,MATCH(COLUMNS($AN$1006:AT1006),$AN$1006:$BO$1006,0))&gt;=100000), " ",IF(INDEX($AN$2:$BO$1001,MATCH(ROWS($AG$2:AG238),$AG$2:$AG$1001,0),MATCH(COLUMNS($AN$1006:AT1006),$AN$1006:$BO$1006,0)), HYPERLINK("#",""), HYPERLINK(CONCATENATE("#Metadata!", ADDRESS(INDEX($AI$2:$AI$1001,MATCH(ROWS($AG$2:AG238),$AG$2:$AG$1001,0),0), INDEX($AN$1004:$BO$1004,1,MATCH(COLUMNS($AN$1006:AT1006),$AN$1006:$BO$1006,0)))),"Fix")))</f>
        <v>0</v>
      </c>
      <c r="I238" s="4">
        <f>IF(OR(INDEX($AH$2:$AH$1001,MATCH(ROWS($AG$2:AG238),$AG$2:$AG$1001,0),1)&gt;=100000,INDEX($AN$1005:$BO$1005,1,MATCH(COLUMNS($AN$1006:AU1006),$AN$1006:$BO$1006,0))&gt;=100000), " ",IF(INDEX($AN$2:$BO$1001,MATCH(ROWS($AG$2:AG238),$AG$2:$AG$1001,0),MATCH(COLUMNS($AN$1006:AU1006),$AN$1006:$BO$1006,0)), HYPERLINK("#",""), HYPERLINK(CONCATENATE("#Metadata!", ADDRESS(INDEX($AI$2:$AI$1001,MATCH(ROWS($AG$2:AG238),$AG$2:$AG$1001,0),0), INDEX($AN$1004:$BO$1004,1,MATCH(COLUMNS($AN$1006:AU1006),$AN$1006:$BO$1006,0)))),"Fix")))</f>
        <v>0</v>
      </c>
      <c r="J238" s="4">
        <f>IF(OR(INDEX($AH$2:$AH$1001,MATCH(ROWS($AG$2:AG238),$AG$2:$AG$1001,0),1)&gt;=100000,INDEX($AN$1005:$BO$1005,1,MATCH(COLUMNS($AN$1006:AV1006),$AN$1006:$BO$1006,0))&gt;=100000), " ",IF(INDEX($AN$2:$BO$1001,MATCH(ROWS($AG$2:AG238),$AG$2:$AG$1001,0),MATCH(COLUMNS($AN$1006:AV1006),$AN$1006:$BO$1006,0)), HYPERLINK("#",""), HYPERLINK(CONCATENATE("#Metadata!", ADDRESS(INDEX($AI$2:$AI$1001,MATCH(ROWS($AG$2:AG238),$AG$2:$AG$1001,0),0), INDEX($AN$1004:$BO$1004,1,MATCH(COLUMNS($AN$1006:AV1006),$AN$1006:$BO$1006,0)))),"Fix")))</f>
        <v>0</v>
      </c>
      <c r="K238" s="4">
        <f>IF(OR(INDEX($AH$2:$AH$1001,MATCH(ROWS($AG$2:AG238),$AG$2:$AG$1001,0),1)&gt;=100000,INDEX($AN$1005:$BO$1005,1,MATCH(COLUMNS($AN$1006:AW1006),$AN$1006:$BO$1006,0))&gt;=100000), " ",IF(INDEX($AN$2:$BO$1001,MATCH(ROWS($AG$2:AG238),$AG$2:$AG$1001,0),MATCH(COLUMNS($AN$1006:AW1006),$AN$1006:$BO$1006,0)), HYPERLINK("#",""), HYPERLINK(CONCATENATE("#Metadata!", ADDRESS(INDEX($AI$2:$AI$1001,MATCH(ROWS($AG$2:AG238),$AG$2:$AG$1001,0),0), INDEX($AN$1004:$BO$1004,1,MATCH(COLUMNS($AN$1006:AW1006),$AN$1006:$BO$1006,0)))),"Fix")))</f>
        <v>0</v>
      </c>
      <c r="L238" s="4">
        <f>IF(OR(INDEX($AH$2:$AH$1001,MATCH(ROWS($AG$2:AG238),$AG$2:$AG$1001,0),1)&gt;=100000,INDEX($AN$1005:$BO$1005,1,MATCH(COLUMNS($AN$1006:AX1006),$AN$1006:$BO$1006,0))&gt;=100000), " ",IF(INDEX($AN$2:$BO$1001,MATCH(ROWS($AG$2:AG238),$AG$2:$AG$1001,0),MATCH(COLUMNS($AN$1006:AX1006),$AN$1006:$BO$1006,0)), HYPERLINK("#",""), HYPERLINK(CONCATENATE("#Metadata!", ADDRESS(INDEX($AI$2:$AI$1001,MATCH(ROWS($AG$2:AG238),$AG$2:$AG$1001,0),0), INDEX($AN$1004:$BO$1004,1,MATCH(COLUMNS($AN$1006:AX1006),$AN$1006:$BO$1006,0)))),"Fix")))</f>
        <v>0</v>
      </c>
      <c r="M238" s="4">
        <f>IF(OR(INDEX($AH$2:$AH$1001,MATCH(ROWS($AG$2:AG238),$AG$2:$AG$1001,0),1)&gt;=100000,INDEX($AN$1005:$BO$1005,1,MATCH(COLUMNS($AN$1006:AY1006),$AN$1006:$BO$1006,0))&gt;=100000), " ",IF(INDEX($AN$2:$BO$1001,MATCH(ROWS($AG$2:AG238),$AG$2:$AG$1001,0),MATCH(COLUMNS($AN$1006:AY1006),$AN$1006:$BO$1006,0)), HYPERLINK("#",""), HYPERLINK(CONCATENATE("#Metadata!", ADDRESS(INDEX($AI$2:$AI$1001,MATCH(ROWS($AG$2:AG238),$AG$2:$AG$1001,0),0), INDEX($AN$1004:$BO$1004,1,MATCH(COLUMNS($AN$1006:AY1006),$AN$1006:$BO$1006,0)))),"Fix")))</f>
        <v>0</v>
      </c>
      <c r="N238" s="4">
        <f>IF(OR(INDEX($AH$2:$AH$1001,MATCH(ROWS($AG$2:AG238),$AG$2:$AG$1001,0),1)&gt;=100000,INDEX($AN$1005:$BO$1005,1,MATCH(COLUMNS($AN$1006:AZ1006),$AN$1006:$BO$1006,0))&gt;=100000), " ",IF(INDEX($AN$2:$BO$1001,MATCH(ROWS($AG$2:AG238),$AG$2:$AG$1001,0),MATCH(COLUMNS($AN$1006:AZ1006),$AN$1006:$BO$1006,0)), HYPERLINK("#",""), HYPERLINK(CONCATENATE("#Metadata!", ADDRESS(INDEX($AI$2:$AI$1001,MATCH(ROWS($AG$2:AG238),$AG$2:$AG$1001,0),0), INDEX($AN$1004:$BO$1004,1,MATCH(COLUMNS($AN$1006:AZ1006),$AN$1006:$BO$1006,0)))),"Fix")))</f>
        <v>0</v>
      </c>
      <c r="O238" s="4">
        <f>IF(OR(INDEX($AH$2:$AH$1001,MATCH(ROWS($AG$2:AG238),$AG$2:$AG$1001,0),1)&gt;=100000,INDEX($AN$1005:$BO$1005,1,MATCH(COLUMNS($AN$1006:BA1006),$AN$1006:$BO$1006,0))&gt;=100000), " ",IF(INDEX($AN$2:$BO$1001,MATCH(ROWS($AG$2:AG238),$AG$2:$AG$1001,0),MATCH(COLUMNS($AN$1006:BA1006),$AN$1006:$BO$1006,0)), HYPERLINK("#",""), HYPERLINK(CONCATENATE("#Metadata!", ADDRESS(INDEX($AI$2:$AI$1001,MATCH(ROWS($AG$2:AG238),$AG$2:$AG$1001,0),0), INDEX($AN$1004:$BO$1004,1,MATCH(COLUMNS($AN$1006:BA1006),$AN$1006:$BO$1006,0)))),"Fix")))</f>
        <v>0</v>
      </c>
      <c r="P238" s="4">
        <f>IF(OR(INDEX($AH$2:$AH$1001,MATCH(ROWS($AG$2:AG238),$AG$2:$AG$1001,0),1)&gt;=100000,INDEX($AN$1005:$BO$1005,1,MATCH(COLUMNS($AN$1006:BB1006),$AN$1006:$BO$1006,0))&gt;=100000), " ",IF(INDEX($AN$2:$BO$1001,MATCH(ROWS($AG$2:AG238),$AG$2:$AG$1001,0),MATCH(COLUMNS($AN$1006:BB1006),$AN$1006:$BO$1006,0)), HYPERLINK("#",""), HYPERLINK(CONCATENATE("#Metadata!", ADDRESS(INDEX($AI$2:$AI$1001,MATCH(ROWS($AG$2:AG238),$AG$2:$AG$1001,0),0), INDEX($AN$1004:$BO$1004,1,MATCH(COLUMNS($AN$1006:BB1006),$AN$1006:$BO$1006,0)))),"Fix")))</f>
        <v>0</v>
      </c>
      <c r="Q238" s="4">
        <f>IF(OR(INDEX($AH$2:$AH$1001,MATCH(ROWS($AG$2:AG238),$AG$2:$AG$1001,0),1)&gt;=100000,INDEX($AN$1005:$BO$1005,1,MATCH(COLUMNS($AN$1006:BC1006),$AN$1006:$BO$1006,0))&gt;=100000), " ",IF(INDEX($AN$2:$BO$1001,MATCH(ROWS($AG$2:AG238),$AG$2:$AG$1001,0),MATCH(COLUMNS($AN$1006:BC1006),$AN$1006:$BO$1006,0)), HYPERLINK("#",""), HYPERLINK(CONCATENATE("#Metadata!", ADDRESS(INDEX($AI$2:$AI$1001,MATCH(ROWS($AG$2:AG238),$AG$2:$AG$1001,0),0), INDEX($AN$1004:$BO$1004,1,MATCH(COLUMNS($AN$1006:BC1006),$AN$1006:$BO$1006,0)))),"Fix")))</f>
        <v>0</v>
      </c>
      <c r="R238" s="4">
        <f>IF(OR(INDEX($AH$2:$AH$1001,MATCH(ROWS($AG$2:AG238),$AG$2:$AG$1001,0),1)&gt;=100000,INDEX($AN$1005:$BO$1005,1,MATCH(COLUMNS($AN$1006:BD1006),$AN$1006:$BO$1006,0))&gt;=100000), " ",IF(INDEX($AN$2:$BO$1001,MATCH(ROWS($AG$2:AG238),$AG$2:$AG$1001,0),MATCH(COLUMNS($AN$1006:BD1006),$AN$1006:$BO$1006,0)), HYPERLINK("#",""), HYPERLINK(CONCATENATE("#Metadata!", ADDRESS(INDEX($AI$2:$AI$1001,MATCH(ROWS($AG$2:AG238),$AG$2:$AG$1001,0),0), INDEX($AN$1004:$BO$1004,1,MATCH(COLUMNS($AN$1006:BD1006),$AN$1006:$BO$1006,0)))),"Fix")))</f>
        <v>0</v>
      </c>
      <c r="S238" s="4">
        <f>IF(OR(INDEX($AH$2:$AH$1001,MATCH(ROWS($AG$2:AG238),$AG$2:$AG$1001,0),1)&gt;=100000,INDEX($AN$1005:$BO$1005,1,MATCH(COLUMNS($AN$1006:BE1006),$AN$1006:$BO$1006,0))&gt;=100000), " ",IF(INDEX($AN$2:$BO$1001,MATCH(ROWS($AG$2:AG238),$AG$2:$AG$1001,0),MATCH(COLUMNS($AN$1006:BE1006),$AN$1006:$BO$1006,0)), HYPERLINK("#",""), HYPERLINK(CONCATENATE("#Metadata!", ADDRESS(INDEX($AI$2:$AI$1001,MATCH(ROWS($AG$2:AG238),$AG$2:$AG$1001,0),0), INDEX($AN$1004:$BO$1004,1,MATCH(COLUMNS($AN$1006:BE1006),$AN$1006:$BO$1006,0)))),"Fix")))</f>
        <v>0</v>
      </c>
      <c r="T238" s="4">
        <f>IF(OR(INDEX($AH$2:$AH$1001,MATCH(ROWS($AG$2:AG238),$AG$2:$AG$1001,0),1)&gt;=100000,INDEX($AN$1005:$BO$1005,1,MATCH(COLUMNS($AN$1006:BF1006),$AN$1006:$BO$1006,0))&gt;=100000), " ",IF(INDEX($AN$2:$BO$1001,MATCH(ROWS($AG$2:AG238),$AG$2:$AG$1001,0),MATCH(COLUMNS($AN$1006:BF1006),$AN$1006:$BO$1006,0)), HYPERLINK("#",""), HYPERLINK(CONCATENATE("#Metadata!", ADDRESS(INDEX($AI$2:$AI$1001,MATCH(ROWS($AG$2:AG238),$AG$2:$AG$1001,0),0), INDEX($AN$1004:$BO$1004,1,MATCH(COLUMNS($AN$1006:BF1006),$AN$1006:$BO$1006,0)))),"Fix")))</f>
        <v>0</v>
      </c>
      <c r="U238" s="4">
        <f>IF(OR(INDEX($AH$2:$AH$1001,MATCH(ROWS($AG$2:AG238),$AG$2:$AG$1001,0),1)&gt;=100000,INDEX($AN$1005:$BO$1005,1,MATCH(COLUMNS($AN$1006:BG1006),$AN$1006:$BO$1006,0))&gt;=100000), " ",IF(INDEX($AN$2:$BO$1001,MATCH(ROWS($AG$2:AG238),$AG$2:$AG$1001,0),MATCH(COLUMNS($AN$1006:BG1006),$AN$1006:$BO$1006,0)), HYPERLINK("#",""), HYPERLINK(CONCATENATE("#Metadata!", ADDRESS(INDEX($AI$2:$AI$1001,MATCH(ROWS($AG$2:AG238),$AG$2:$AG$1001,0),0), INDEX($AN$1004:$BO$1004,1,MATCH(COLUMNS($AN$1006:BG1006),$AN$1006:$BO$1006,0)))),"Fix")))</f>
        <v>0</v>
      </c>
      <c r="V238" s="4">
        <f>IF(OR(INDEX($AH$2:$AH$1001,MATCH(ROWS($AG$2:AG238),$AG$2:$AG$1001,0),1)&gt;=100000,INDEX($AN$1005:$BO$1005,1,MATCH(COLUMNS($AN$1006:BH1006),$AN$1006:$BO$1006,0))&gt;=100000), " ",IF(INDEX($AN$2:$BO$1001,MATCH(ROWS($AG$2:AG238),$AG$2:$AG$1001,0),MATCH(COLUMNS($AN$1006:BH1006),$AN$1006:$BO$1006,0)), HYPERLINK("#",""), HYPERLINK(CONCATENATE("#Metadata!", ADDRESS(INDEX($AI$2:$AI$1001,MATCH(ROWS($AG$2:AG238),$AG$2:$AG$1001,0),0), INDEX($AN$1004:$BO$1004,1,MATCH(COLUMNS($AN$1006:BH1006),$AN$1006:$BO$1006,0)))),"Fix")))</f>
        <v>0</v>
      </c>
      <c r="W238" s="4">
        <f>IF(OR(INDEX($AH$2:$AH$1001,MATCH(ROWS($AG$2:AG238),$AG$2:$AG$1001,0),1)&gt;=100000,INDEX($AN$1005:$BO$1005,1,MATCH(COLUMNS($AN$1006:BI1006),$AN$1006:$BO$1006,0))&gt;=100000), " ",IF(INDEX($AN$2:$BO$1001,MATCH(ROWS($AG$2:AG238),$AG$2:$AG$1001,0),MATCH(COLUMNS($AN$1006:BI1006),$AN$1006:$BO$1006,0)), HYPERLINK("#",""), HYPERLINK(CONCATENATE("#Metadata!", ADDRESS(INDEX($AI$2:$AI$1001,MATCH(ROWS($AG$2:AG238),$AG$2:$AG$1001,0),0), INDEX($AN$1004:$BO$1004,1,MATCH(COLUMNS($AN$1006:BI1006),$AN$1006:$BO$1006,0)))),"Fix")))</f>
        <v>0</v>
      </c>
      <c r="X238" s="4">
        <f>IF(OR(INDEX($AH$2:$AH$1001,MATCH(ROWS($AG$2:AG238),$AG$2:$AG$1001,0),1)&gt;=100000,INDEX($AN$1005:$BO$1005,1,MATCH(COLUMNS($AN$1006:BJ1006),$AN$1006:$BO$1006,0))&gt;=100000), " ",IF(INDEX($AN$2:$BO$1001,MATCH(ROWS($AG$2:AG238),$AG$2:$AG$1001,0),MATCH(COLUMNS($AN$1006:BJ1006),$AN$1006:$BO$1006,0)), HYPERLINK("#",""), HYPERLINK(CONCATENATE("#Metadata!", ADDRESS(INDEX($AI$2:$AI$1001,MATCH(ROWS($AG$2:AG238),$AG$2:$AG$1001,0),0), INDEX($AN$1004:$BO$1004,1,MATCH(COLUMNS($AN$1006:BJ1006),$AN$1006:$BO$1006,0)))),"Fix")))</f>
        <v>0</v>
      </c>
      <c r="Y238" s="4">
        <f>IF(OR(INDEX($AH$2:$AH$1001,MATCH(ROWS($AG$2:AG238),$AG$2:$AG$1001,0),1)&gt;=100000,INDEX($AN$1005:$BO$1005,1,MATCH(COLUMNS($AN$1006:BK1006),$AN$1006:$BO$1006,0))&gt;=100000), " ",IF(INDEX($AN$2:$BO$1001,MATCH(ROWS($AG$2:AG238),$AG$2:$AG$1001,0),MATCH(COLUMNS($AN$1006:BK1006),$AN$1006:$BO$1006,0)), HYPERLINK("#",""), HYPERLINK(CONCATENATE("#Metadata!", ADDRESS(INDEX($AI$2:$AI$1001,MATCH(ROWS($AG$2:AG238),$AG$2:$AG$1001,0),0), INDEX($AN$1004:$BO$1004,1,MATCH(COLUMNS($AN$1006:BK1006),$AN$1006:$BO$1006,0)))),"Fix")))</f>
        <v>0</v>
      </c>
      <c r="Z238" s="4">
        <f>IF(OR(INDEX($AH$2:$AH$1001,MATCH(ROWS($AG$2:AG238),$AG$2:$AG$1001,0),1)&gt;=100000,INDEX($AN$1005:$BO$1005,1,MATCH(COLUMNS($AN$1006:BL1006),$AN$1006:$BO$1006,0))&gt;=100000), " ",IF(INDEX($AN$2:$BO$1001,MATCH(ROWS($AG$2:AG238),$AG$2:$AG$1001,0),MATCH(COLUMNS($AN$1006:BL1006),$AN$1006:$BO$1006,0)), HYPERLINK("#",""), HYPERLINK(CONCATENATE("#Metadata!", ADDRESS(INDEX($AI$2:$AI$1001,MATCH(ROWS($AG$2:AG238),$AG$2:$AG$1001,0),0), INDEX($AN$1004:$BO$1004,1,MATCH(COLUMNS($AN$1006:BL1006),$AN$1006:$BO$1006,0)))),"Fix")))</f>
        <v>0</v>
      </c>
      <c r="AA238" s="4">
        <f>IF(OR(INDEX($AH$2:$AH$1001,MATCH(ROWS($AG$2:AG238),$AG$2:$AG$1001,0),1)&gt;=100000,INDEX($AN$1005:$BO$1005,1,MATCH(COLUMNS($AN$1006:BM1006),$AN$1006:$BO$1006,0))&gt;=100000), " ",IF(INDEX($AN$2:$BO$1001,MATCH(ROWS($AG$2:AG238),$AG$2:$AG$1001,0),MATCH(COLUMNS($AN$1006:BM1006),$AN$1006:$BO$1006,0)), HYPERLINK("#",""), HYPERLINK(CONCATENATE("#Metadata!", ADDRESS(INDEX($AI$2:$AI$1001,MATCH(ROWS($AG$2:AG238),$AG$2:$AG$1001,0),0), INDEX($AN$1004:$BO$1004,1,MATCH(COLUMNS($AN$1006:BM1006),$AN$1006:$BO$1006,0)))),"Fix")))</f>
        <v>0</v>
      </c>
      <c r="AB238" s="4">
        <f>IF(OR(INDEX($AH$2:$AH$1001,MATCH(ROWS($AG$2:AG238),$AG$2:$AG$1001,0),1)&gt;=100000,INDEX($AN$1005:$BO$1005,1,MATCH(COLUMNS($AN$1006:BN1006),$AN$1006:$BO$1006,0))&gt;=100000), " ",IF(INDEX($AN$2:$BO$1001,MATCH(ROWS($AG$2:AG238),$AG$2:$AG$1001,0),MATCH(COLUMNS($AN$1006:BN1006),$AN$1006:$BO$1006,0)), HYPERLINK("#",""), HYPERLINK(CONCATENATE("#Metadata!", ADDRESS(INDEX($AI$2:$AI$1001,MATCH(ROWS($AG$2:AG238),$AG$2:$AG$1001,0),0), INDEX($AN$1004:$BO$1004,1,MATCH(COLUMNS($AN$1006:BN1006),$AN$1006:$BO$1006,0)))),"Fix")))</f>
        <v>0</v>
      </c>
      <c r="AC238" s="4">
        <f>IF(OR(INDEX($AH$2:$AH$1001,MATCH(ROWS($AG$2:AG238),$AG$2:$AG$1001,0),1)&gt;=100000,INDEX($AN$1005:$BO$1005,1,MATCH(COLUMNS($AN$1006:BO1006),$AN$1006:$BO$1006,0))&gt;=100000), " ",IF(INDEX($AN$2:$BO$1001,MATCH(ROWS($AG$2:AG238),$AG$2:$AG$1001,0),MATCH(COLUMNS($AN$1006:BO1006),$AN$1006:$BO$1006,0)), HYPERLINK("#",""), HYPERLINK(CONCATENATE("#Metadata!", ADDRESS(INDEX($AI$2:$AI$1001,MATCH(ROWS($AG$2:AG238),$AG$2:$AG$1001,0),0), INDEX($AN$1004:$BO$1004,1,MATCH(COLUMNS($AN$1006:BO1006),$AN$1006:$BO$1006,0)))),"Fix")))</f>
        <v>0</v>
      </c>
      <c r="AG238">
        <v>0</v>
      </c>
      <c r="AH238">
        <v>0</v>
      </c>
      <c r="AI238">
        <v>0</v>
      </c>
      <c r="AJ238">
        <f>IF(AK238,TRUE,AND(AN238:BO238))</f>
        <v>0</v>
      </c>
      <c r="AK238">
        <f>COUNTBLANK(Metadata!B238:AC238)=COLUMNS(Metadata!B238:AC238)</f>
        <v>0</v>
      </c>
      <c r="AL238">
        <v>0</v>
      </c>
      <c r="AN238">
        <f>AND(IF(Metadata!B238="",FALSE,TRUE),COUNTIF(Metadata!B:B, Metadata!B238) = 1,NOT(ISERROR(SUMPRODUCT(SEARCH(MID(Metadata!B238,ROW(INDIRECT("1:"&amp;LEN(Metadata!B238))), 1),"0123456789abcdefghijklmnopqrstuvwxyzABCDEFGHIJKLMNOPQRSTUVWXYZ.")))))</f>
        <v>0</v>
      </c>
      <c r="AO238">
        <f>IF(Metadata!C238="",FALSE,TRUE)</f>
        <v>0</v>
      </c>
      <c r="AP238">
        <f>IF(Metadata!D238="",FALSE,TRUE)</f>
        <v>0</v>
      </c>
      <c r="AQ238">
        <f>OR(AND(IF(Metadata!E238="",FALSE,TRUE),OR(exact(Metadata!E238,"not collected"),exact(Metadata!E238,"not provided"),exact(Metadata!E238,"restricted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R238">
        <f>IF(Metadata!F238="",FALSE,TRUE)</f>
        <v>0</v>
      </c>
      <c r="AS238">
        <f>OR(AND(IF(Metadata!G238="",FALSE,TRUE),OR(exact(Metadata!G238,"not collected"),exact(Metadata!G238,"not provided"))),AND(IF(Metadata!G238="",FALSE,TRUE),OR(exact(Metadata!G238,"TRUE"),exact(Metadata!G238,"FALSE"))))</f>
        <v>0</v>
      </c>
      <c r="AT238">
        <f>OR(AND(IF(Metadata!H238="",FALSE,TRUE),OR(exact(Metadata!H238,"not collected"),exact(Metadata!H238,"not provided"),exact(Metadata!H238,"restricted access"))),AND(IF(Metadata!H238="",FALSE,ISNUMBER(VALUE(Metadata!H238))),Metadata!H238&gt;=-413.0))</f>
        <v>0</v>
      </c>
      <c r="AU238">
        <f>AND(IF(Metadata!I238="",FALSE,TRUE),exact(Metadata!I238,"meters"))</f>
        <v>0</v>
      </c>
      <c r="AV238">
        <f>AND(IF(Metadata!J238="",FALSE,TRUE),OR(exact(Metadata!J238,"Host-associated"),exact(Metadata!J238,"Free-living")))</f>
        <v>0</v>
      </c>
      <c r="AW238">
        <f>AND(IF(Metadata!K238="",FALSE,TRUE),OR(exact(Metadata!K238,"Animal"),exact(Metadata!K238,"Fungus"),exact(Metadata!K238,"Plant"),exact(Metadata!K238,"Saline"),exact(Metadata!K238,"Non-saline")))</f>
        <v>0</v>
      </c>
      <c r="AX238">
        <f>AND(IF(Metadata!L238="",FALSE,TRUE),OR(exact(Metadata!L238,"Plant secretion"),exact(Metadata!L238,"Plant rhizosphere"),exact(Metadata!L238,"Plant surface"),exact(Metadata!L238,"Plant corpus"),exact(Metadata!L238,"Fungus surface"),exact(Metadata!L238,"Fungus corpus"),exact(Metadata!L238,"Animal surface"),exact(Metadata!L238,"Animal proximal gut"),exact(Metadata!L238,"Animal corpus"),exact(Metadata!L238,"Animal distal gut"),exact(Metadata!L238,"Animal secretion"),exact(Metadata!L238,"Sub-surface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Y238">
        <f>IF(Metadata!M238="",FALSE,TRUE)</f>
        <v>0</v>
      </c>
      <c r="AZ238">
        <f>IF(Metadata!N238="",FALSE,TRUE)</f>
        <v>0</v>
      </c>
      <c r="BA238">
        <f>IF(Metadata!O238="",FALSE,TRUE)</f>
        <v>0</v>
      </c>
      <c r="BB238">
        <f>OR(AND(IF(Metadata!P238="",FALSE,TRUE),OR(exact(Metadata!P238,"not collected"),exact(Metadata!P238,"not provided"),exact(Metadata!P238,"restricted access"))),AND(IF(Metadata!P238="",FALSE,TRUE),OR(exact(Metadata!P238,"air"),exact(Metadata!P238,"built environment"),exact(Metadata!P238,"host-associated"),exact(Metadata!P238,"human-associated"),exact(Metadata!P238,"human-skin"),exact(Metadata!P238,"human-oral"),exact(Metadata!P238,"human-gut"),exact(Metadata!P238,"human-vaginal"),exact(Metadata!P238,"microbial mat/biofilm"),exact(Metadata!P238,"misc environment"),exact(Metadata!P238,"plant-associated"),exact(Metadata!P238,"sediment"),exact(Metadata!P238,"soil"),exact(Metadata!P238,"wastewater/sludge"),exact(Metadata!P238,"water"))))</f>
        <v>0</v>
      </c>
      <c r="BC238">
        <f>IF(Metadata!Q238="",FALSE,TRUE)</f>
        <v>0</v>
      </c>
      <c r="BD238">
        <f>IF(Metadata!R238="",FALSE,TRUE)</f>
        <v>0</v>
      </c>
      <c r="BE238">
        <f>OR(AND(IF(Metadata!S238="",FALSE,TRUE),OR(exact(Metadata!S238,"not collected"),exact(Metadata!S238,"not provided"),exact(Metadata!S238,"restricted access"))),AND(IF(Metadata!S238="",FALSE,ISNUMBER(VALUE(Metadata!S238))),Metadata!S238&gt;=-90.00,Metadata!S238&lt;=90.00))</f>
        <v>0</v>
      </c>
      <c r="BF238">
        <f>AND(IF(Metadata!T238="",FALSE,TRUE),exact(Metadata!T238,"Decimal degrees"))</f>
        <v>0</v>
      </c>
      <c r="BG238">
        <f>OR(AND(IF(Metadata!U238="",FALSE,TRUE),OR(exact(Metadata!U238,"not collected"),exact(Metadata!U238,"not provided"),exact(Metadata!U238,"restricted access"))),AND(IF(Metadata!U238="",FALSE,ISNUMBER(VALUE(Metadata!U238))),Metadata!U238&gt;=-180.00,Metadata!U238&lt;=180.00))</f>
        <v>0</v>
      </c>
      <c r="BH238">
        <f>AND(IF(Metadata!V238="",FALSE,TRUE),exact(Metadata!V238,"Decimal degrees"))</f>
        <v>0</v>
      </c>
      <c r="BI238">
        <f>IF(Metadata!W238="",FALSE,TRUE)</f>
        <v>0</v>
      </c>
      <c r="BJ238">
        <f>OR(AND(IF(Metadata!X238="",FALSE,TRUE),OR(exact(Metadata!X238,"not collected"),exact(Metadata!X238,"not provided"),exact(Metadata!X238,"restricted access"))),AND(IF(Metadata!X238="",FALSE,TRUE),OR(exact(Metadata!X238,"TRUE"),exact(Metadata!X238,"FALSE"))))</f>
        <v>0</v>
      </c>
      <c r="BK238">
        <f>AND(IF(Metadata!Y238="",FALSE,TRUE),exact(Metadata!Y238,"other"))</f>
        <v>0</v>
      </c>
      <c r="BL238">
        <f>IF(Metadata!Z238="",FALSE,TRUE)</f>
        <v>0</v>
      </c>
      <c r="BM238">
        <f>OR(AND(IF(Metadata!AA238="",FALSE,TRUE),OR(exact(Metadata!AA238,"not collected"),exact(Metadata!AA238,"not provided"))),AND(IF(Metadata!AA238="",FALSE,IF(ISERROR(INT(Metadata!AA238)),FALSE,INT(Metadata!AA238)=Metadata!AA238)),Metadata!AA238&gt;0))</f>
        <v>0</v>
      </c>
      <c r="BN238">
        <f>AND(IF(Metadata!AB238="",FALSE,TRUE),exact(Metadata!AB238,"Not applicable"))</f>
        <v>0</v>
      </c>
      <c r="BO238">
        <f>IF(Metadata!AC238="",FALSE,TRUE)</f>
        <v>0</v>
      </c>
    </row>
    <row r="239" spans="1:67">
      <c r="A239" s="5">
        <f>IF(B239=" "," ",HYPERLINK(CONCATENATE("#metadata!",ADDRESS(INDEX($AI$2:$AI$1001,MATCH(ROWS($AG$2:AG239),$AG$2:$AG$1001,0),0),1)),INDEX($AL$2:$AL$1001,MATCH(ROWS($AG$2:AG239),$AG$2:$AG$1001,0),0)))</f>
        <v>0</v>
      </c>
      <c r="B239" s="4">
        <f>IF(OR(INDEX($AH$2:$AH$1001,MATCH(ROWS($AG$2:AG239),$AG$2:$AG$1001,0),1)&gt;=100000,INDEX($AN$1005:$BO$1005,1,MATCH(COLUMNS($AN$1006:AN1006),$AN$1006:$BO$1006,0))&gt;=100000), " ",IF(INDEX($AN$2:$BO$1001,MATCH(ROWS($AG$2:AG239),$AG$2:$AG$1001,0),MATCH(COLUMNS($AN$1006:AN1006),$AN$1006:$BO$1006,0)), HYPERLINK("#",""), HYPERLINK(CONCATENATE("#Metadata!", ADDRESS(INDEX($AI$2:$AI$1001,MATCH(ROWS($AG$2:AG239),$AG$2:$AG$1001,0),0), INDEX($AN$1004:$BO$1004,1,MATCH(COLUMNS($AN$1006:AN1006),$AN$1006:$BO$1006,0)))),"Fix")))</f>
        <v>0</v>
      </c>
      <c r="C239" s="4">
        <f>IF(OR(INDEX($AH$2:$AH$1001,MATCH(ROWS($AG$2:AG239),$AG$2:$AG$1001,0),1)&gt;=100000,INDEX($AN$1005:$BO$1005,1,MATCH(COLUMNS($AN$1006:AO1006),$AN$1006:$BO$1006,0))&gt;=100000), " ",IF(INDEX($AN$2:$BO$1001,MATCH(ROWS($AG$2:AG239),$AG$2:$AG$1001,0),MATCH(COLUMNS($AN$1006:AO1006),$AN$1006:$BO$1006,0)), HYPERLINK("#",""), HYPERLINK(CONCATENATE("#Metadata!", ADDRESS(INDEX($AI$2:$AI$1001,MATCH(ROWS($AG$2:AG239),$AG$2:$AG$1001,0),0), INDEX($AN$1004:$BO$1004,1,MATCH(COLUMNS($AN$1006:AO1006),$AN$1006:$BO$1006,0)))),"Fix")))</f>
        <v>0</v>
      </c>
      <c r="D239" s="4">
        <f>IF(OR(INDEX($AH$2:$AH$1001,MATCH(ROWS($AG$2:AG239),$AG$2:$AG$1001,0),1)&gt;=100000,INDEX($AN$1005:$BO$1005,1,MATCH(COLUMNS($AN$1006:AP1006),$AN$1006:$BO$1006,0))&gt;=100000), " ",IF(INDEX($AN$2:$BO$1001,MATCH(ROWS($AG$2:AG239),$AG$2:$AG$1001,0),MATCH(COLUMNS($AN$1006:AP1006),$AN$1006:$BO$1006,0)), HYPERLINK("#",""), HYPERLINK(CONCATENATE("#Metadata!", ADDRESS(INDEX($AI$2:$AI$1001,MATCH(ROWS($AG$2:AG239),$AG$2:$AG$1001,0),0), INDEX($AN$1004:$BO$1004,1,MATCH(COLUMNS($AN$1006:AP1006),$AN$1006:$BO$1006,0)))),"Fix")))</f>
        <v>0</v>
      </c>
      <c r="E239" s="4">
        <f>IF(OR(INDEX($AH$2:$AH$1001,MATCH(ROWS($AG$2:AG239),$AG$2:$AG$1001,0),1)&gt;=100000,INDEX($AN$1005:$BO$1005,1,MATCH(COLUMNS($AN$1006:AQ1006),$AN$1006:$BO$1006,0))&gt;=100000), " ",IF(INDEX($AN$2:$BO$1001,MATCH(ROWS($AG$2:AG239),$AG$2:$AG$1001,0),MATCH(COLUMNS($AN$1006:AQ1006),$AN$1006:$BO$1006,0)), HYPERLINK("#",""), HYPERLINK(CONCATENATE("#Metadata!", ADDRESS(INDEX($AI$2:$AI$1001,MATCH(ROWS($AG$2:AG239),$AG$2:$AG$1001,0),0), INDEX($AN$1004:$BO$1004,1,MATCH(COLUMNS($AN$1006:AQ1006),$AN$1006:$BO$1006,0)))),"Fix")))</f>
        <v>0</v>
      </c>
      <c r="F239" s="4">
        <f>IF(OR(INDEX($AH$2:$AH$1001,MATCH(ROWS($AG$2:AG239),$AG$2:$AG$1001,0),1)&gt;=100000,INDEX($AN$1005:$BO$1005,1,MATCH(COLUMNS($AN$1006:AR1006),$AN$1006:$BO$1006,0))&gt;=100000), " ",IF(INDEX($AN$2:$BO$1001,MATCH(ROWS($AG$2:AG239),$AG$2:$AG$1001,0),MATCH(COLUMNS($AN$1006:AR1006),$AN$1006:$BO$1006,0)), HYPERLINK("#",""), HYPERLINK(CONCATENATE("#Metadata!", ADDRESS(INDEX($AI$2:$AI$1001,MATCH(ROWS($AG$2:AG239),$AG$2:$AG$1001,0),0), INDEX($AN$1004:$BO$1004,1,MATCH(COLUMNS($AN$1006:AR1006),$AN$1006:$BO$1006,0)))),"Fix")))</f>
        <v>0</v>
      </c>
      <c r="G239" s="4">
        <f>IF(OR(INDEX($AH$2:$AH$1001,MATCH(ROWS($AG$2:AG239),$AG$2:$AG$1001,0),1)&gt;=100000,INDEX($AN$1005:$BO$1005,1,MATCH(COLUMNS($AN$1006:AS1006),$AN$1006:$BO$1006,0))&gt;=100000), " ",IF(INDEX($AN$2:$BO$1001,MATCH(ROWS($AG$2:AG239),$AG$2:$AG$1001,0),MATCH(COLUMNS($AN$1006:AS1006),$AN$1006:$BO$1006,0)), HYPERLINK("#",""), HYPERLINK(CONCATENATE("#Metadata!", ADDRESS(INDEX($AI$2:$AI$1001,MATCH(ROWS($AG$2:AG239),$AG$2:$AG$1001,0),0), INDEX($AN$1004:$BO$1004,1,MATCH(COLUMNS($AN$1006:AS1006),$AN$1006:$BO$1006,0)))),"Fix")))</f>
        <v>0</v>
      </c>
      <c r="H239" s="4">
        <f>IF(OR(INDEX($AH$2:$AH$1001,MATCH(ROWS($AG$2:AG239),$AG$2:$AG$1001,0),1)&gt;=100000,INDEX($AN$1005:$BO$1005,1,MATCH(COLUMNS($AN$1006:AT1006),$AN$1006:$BO$1006,0))&gt;=100000), " ",IF(INDEX($AN$2:$BO$1001,MATCH(ROWS($AG$2:AG239),$AG$2:$AG$1001,0),MATCH(COLUMNS($AN$1006:AT1006),$AN$1006:$BO$1006,0)), HYPERLINK("#",""), HYPERLINK(CONCATENATE("#Metadata!", ADDRESS(INDEX($AI$2:$AI$1001,MATCH(ROWS($AG$2:AG239),$AG$2:$AG$1001,0),0), INDEX($AN$1004:$BO$1004,1,MATCH(COLUMNS($AN$1006:AT1006),$AN$1006:$BO$1006,0)))),"Fix")))</f>
        <v>0</v>
      </c>
      <c r="I239" s="4">
        <f>IF(OR(INDEX($AH$2:$AH$1001,MATCH(ROWS($AG$2:AG239),$AG$2:$AG$1001,0),1)&gt;=100000,INDEX($AN$1005:$BO$1005,1,MATCH(COLUMNS($AN$1006:AU1006),$AN$1006:$BO$1006,0))&gt;=100000), " ",IF(INDEX($AN$2:$BO$1001,MATCH(ROWS($AG$2:AG239),$AG$2:$AG$1001,0),MATCH(COLUMNS($AN$1006:AU1006),$AN$1006:$BO$1006,0)), HYPERLINK("#",""), HYPERLINK(CONCATENATE("#Metadata!", ADDRESS(INDEX($AI$2:$AI$1001,MATCH(ROWS($AG$2:AG239),$AG$2:$AG$1001,0),0), INDEX($AN$1004:$BO$1004,1,MATCH(COLUMNS($AN$1006:AU1006),$AN$1006:$BO$1006,0)))),"Fix")))</f>
        <v>0</v>
      </c>
      <c r="J239" s="4">
        <f>IF(OR(INDEX($AH$2:$AH$1001,MATCH(ROWS($AG$2:AG239),$AG$2:$AG$1001,0),1)&gt;=100000,INDEX($AN$1005:$BO$1005,1,MATCH(COLUMNS($AN$1006:AV1006),$AN$1006:$BO$1006,0))&gt;=100000), " ",IF(INDEX($AN$2:$BO$1001,MATCH(ROWS($AG$2:AG239),$AG$2:$AG$1001,0),MATCH(COLUMNS($AN$1006:AV1006),$AN$1006:$BO$1006,0)), HYPERLINK("#",""), HYPERLINK(CONCATENATE("#Metadata!", ADDRESS(INDEX($AI$2:$AI$1001,MATCH(ROWS($AG$2:AG239),$AG$2:$AG$1001,0),0), INDEX($AN$1004:$BO$1004,1,MATCH(COLUMNS($AN$1006:AV1006),$AN$1006:$BO$1006,0)))),"Fix")))</f>
        <v>0</v>
      </c>
      <c r="K239" s="4">
        <f>IF(OR(INDEX($AH$2:$AH$1001,MATCH(ROWS($AG$2:AG239),$AG$2:$AG$1001,0),1)&gt;=100000,INDEX($AN$1005:$BO$1005,1,MATCH(COLUMNS($AN$1006:AW1006),$AN$1006:$BO$1006,0))&gt;=100000), " ",IF(INDEX($AN$2:$BO$1001,MATCH(ROWS($AG$2:AG239),$AG$2:$AG$1001,0),MATCH(COLUMNS($AN$1006:AW1006),$AN$1006:$BO$1006,0)), HYPERLINK("#",""), HYPERLINK(CONCATENATE("#Metadata!", ADDRESS(INDEX($AI$2:$AI$1001,MATCH(ROWS($AG$2:AG239),$AG$2:$AG$1001,0),0), INDEX($AN$1004:$BO$1004,1,MATCH(COLUMNS($AN$1006:AW1006),$AN$1006:$BO$1006,0)))),"Fix")))</f>
        <v>0</v>
      </c>
      <c r="L239" s="4">
        <f>IF(OR(INDEX($AH$2:$AH$1001,MATCH(ROWS($AG$2:AG239),$AG$2:$AG$1001,0),1)&gt;=100000,INDEX($AN$1005:$BO$1005,1,MATCH(COLUMNS($AN$1006:AX1006),$AN$1006:$BO$1006,0))&gt;=100000), " ",IF(INDEX($AN$2:$BO$1001,MATCH(ROWS($AG$2:AG239),$AG$2:$AG$1001,0),MATCH(COLUMNS($AN$1006:AX1006),$AN$1006:$BO$1006,0)), HYPERLINK("#",""), HYPERLINK(CONCATENATE("#Metadata!", ADDRESS(INDEX($AI$2:$AI$1001,MATCH(ROWS($AG$2:AG239),$AG$2:$AG$1001,0),0), INDEX($AN$1004:$BO$1004,1,MATCH(COLUMNS($AN$1006:AX1006),$AN$1006:$BO$1006,0)))),"Fix")))</f>
        <v>0</v>
      </c>
      <c r="M239" s="4">
        <f>IF(OR(INDEX($AH$2:$AH$1001,MATCH(ROWS($AG$2:AG239),$AG$2:$AG$1001,0),1)&gt;=100000,INDEX($AN$1005:$BO$1005,1,MATCH(COLUMNS($AN$1006:AY1006),$AN$1006:$BO$1006,0))&gt;=100000), " ",IF(INDEX($AN$2:$BO$1001,MATCH(ROWS($AG$2:AG239),$AG$2:$AG$1001,0),MATCH(COLUMNS($AN$1006:AY1006),$AN$1006:$BO$1006,0)), HYPERLINK("#",""), HYPERLINK(CONCATENATE("#Metadata!", ADDRESS(INDEX($AI$2:$AI$1001,MATCH(ROWS($AG$2:AG239),$AG$2:$AG$1001,0),0), INDEX($AN$1004:$BO$1004,1,MATCH(COLUMNS($AN$1006:AY1006),$AN$1006:$BO$1006,0)))),"Fix")))</f>
        <v>0</v>
      </c>
      <c r="N239" s="4">
        <f>IF(OR(INDEX($AH$2:$AH$1001,MATCH(ROWS($AG$2:AG239),$AG$2:$AG$1001,0),1)&gt;=100000,INDEX($AN$1005:$BO$1005,1,MATCH(COLUMNS($AN$1006:AZ1006),$AN$1006:$BO$1006,0))&gt;=100000), " ",IF(INDEX($AN$2:$BO$1001,MATCH(ROWS($AG$2:AG239),$AG$2:$AG$1001,0),MATCH(COLUMNS($AN$1006:AZ1006),$AN$1006:$BO$1006,0)), HYPERLINK("#",""), HYPERLINK(CONCATENATE("#Metadata!", ADDRESS(INDEX($AI$2:$AI$1001,MATCH(ROWS($AG$2:AG239),$AG$2:$AG$1001,0),0), INDEX($AN$1004:$BO$1004,1,MATCH(COLUMNS($AN$1006:AZ1006),$AN$1006:$BO$1006,0)))),"Fix")))</f>
        <v>0</v>
      </c>
      <c r="O239" s="4">
        <f>IF(OR(INDEX($AH$2:$AH$1001,MATCH(ROWS($AG$2:AG239),$AG$2:$AG$1001,0),1)&gt;=100000,INDEX($AN$1005:$BO$1005,1,MATCH(COLUMNS($AN$1006:BA1006),$AN$1006:$BO$1006,0))&gt;=100000), " ",IF(INDEX($AN$2:$BO$1001,MATCH(ROWS($AG$2:AG239),$AG$2:$AG$1001,0),MATCH(COLUMNS($AN$1006:BA1006),$AN$1006:$BO$1006,0)), HYPERLINK("#",""), HYPERLINK(CONCATENATE("#Metadata!", ADDRESS(INDEX($AI$2:$AI$1001,MATCH(ROWS($AG$2:AG239),$AG$2:$AG$1001,0),0), INDEX($AN$1004:$BO$1004,1,MATCH(COLUMNS($AN$1006:BA1006),$AN$1006:$BO$1006,0)))),"Fix")))</f>
        <v>0</v>
      </c>
      <c r="P239" s="4">
        <f>IF(OR(INDEX($AH$2:$AH$1001,MATCH(ROWS($AG$2:AG239),$AG$2:$AG$1001,0),1)&gt;=100000,INDEX($AN$1005:$BO$1005,1,MATCH(COLUMNS($AN$1006:BB1006),$AN$1006:$BO$1006,0))&gt;=100000), " ",IF(INDEX($AN$2:$BO$1001,MATCH(ROWS($AG$2:AG239),$AG$2:$AG$1001,0),MATCH(COLUMNS($AN$1006:BB1006),$AN$1006:$BO$1006,0)), HYPERLINK("#",""), HYPERLINK(CONCATENATE("#Metadata!", ADDRESS(INDEX($AI$2:$AI$1001,MATCH(ROWS($AG$2:AG239),$AG$2:$AG$1001,0),0), INDEX($AN$1004:$BO$1004,1,MATCH(COLUMNS($AN$1006:BB1006),$AN$1006:$BO$1006,0)))),"Fix")))</f>
        <v>0</v>
      </c>
      <c r="Q239" s="4">
        <f>IF(OR(INDEX($AH$2:$AH$1001,MATCH(ROWS($AG$2:AG239),$AG$2:$AG$1001,0),1)&gt;=100000,INDEX($AN$1005:$BO$1005,1,MATCH(COLUMNS($AN$1006:BC1006),$AN$1006:$BO$1006,0))&gt;=100000), " ",IF(INDEX($AN$2:$BO$1001,MATCH(ROWS($AG$2:AG239),$AG$2:$AG$1001,0),MATCH(COLUMNS($AN$1006:BC1006),$AN$1006:$BO$1006,0)), HYPERLINK("#",""), HYPERLINK(CONCATENATE("#Metadata!", ADDRESS(INDEX($AI$2:$AI$1001,MATCH(ROWS($AG$2:AG239),$AG$2:$AG$1001,0),0), INDEX($AN$1004:$BO$1004,1,MATCH(COLUMNS($AN$1006:BC1006),$AN$1006:$BO$1006,0)))),"Fix")))</f>
        <v>0</v>
      </c>
      <c r="R239" s="4">
        <f>IF(OR(INDEX($AH$2:$AH$1001,MATCH(ROWS($AG$2:AG239),$AG$2:$AG$1001,0),1)&gt;=100000,INDEX($AN$1005:$BO$1005,1,MATCH(COLUMNS($AN$1006:BD1006),$AN$1006:$BO$1006,0))&gt;=100000), " ",IF(INDEX($AN$2:$BO$1001,MATCH(ROWS($AG$2:AG239),$AG$2:$AG$1001,0),MATCH(COLUMNS($AN$1006:BD1006),$AN$1006:$BO$1006,0)), HYPERLINK("#",""), HYPERLINK(CONCATENATE("#Metadata!", ADDRESS(INDEX($AI$2:$AI$1001,MATCH(ROWS($AG$2:AG239),$AG$2:$AG$1001,0),0), INDEX($AN$1004:$BO$1004,1,MATCH(COLUMNS($AN$1006:BD1006),$AN$1006:$BO$1006,0)))),"Fix")))</f>
        <v>0</v>
      </c>
      <c r="S239" s="4">
        <f>IF(OR(INDEX($AH$2:$AH$1001,MATCH(ROWS($AG$2:AG239),$AG$2:$AG$1001,0),1)&gt;=100000,INDEX($AN$1005:$BO$1005,1,MATCH(COLUMNS($AN$1006:BE1006),$AN$1006:$BO$1006,0))&gt;=100000), " ",IF(INDEX($AN$2:$BO$1001,MATCH(ROWS($AG$2:AG239),$AG$2:$AG$1001,0),MATCH(COLUMNS($AN$1006:BE1006),$AN$1006:$BO$1006,0)), HYPERLINK("#",""), HYPERLINK(CONCATENATE("#Metadata!", ADDRESS(INDEX($AI$2:$AI$1001,MATCH(ROWS($AG$2:AG239),$AG$2:$AG$1001,0),0), INDEX($AN$1004:$BO$1004,1,MATCH(COLUMNS($AN$1006:BE1006),$AN$1006:$BO$1006,0)))),"Fix")))</f>
        <v>0</v>
      </c>
      <c r="T239" s="4">
        <f>IF(OR(INDEX($AH$2:$AH$1001,MATCH(ROWS($AG$2:AG239),$AG$2:$AG$1001,0),1)&gt;=100000,INDEX($AN$1005:$BO$1005,1,MATCH(COLUMNS($AN$1006:BF1006),$AN$1006:$BO$1006,0))&gt;=100000), " ",IF(INDEX($AN$2:$BO$1001,MATCH(ROWS($AG$2:AG239),$AG$2:$AG$1001,0),MATCH(COLUMNS($AN$1006:BF1006),$AN$1006:$BO$1006,0)), HYPERLINK("#",""), HYPERLINK(CONCATENATE("#Metadata!", ADDRESS(INDEX($AI$2:$AI$1001,MATCH(ROWS($AG$2:AG239),$AG$2:$AG$1001,0),0), INDEX($AN$1004:$BO$1004,1,MATCH(COLUMNS($AN$1006:BF1006),$AN$1006:$BO$1006,0)))),"Fix")))</f>
        <v>0</v>
      </c>
      <c r="U239" s="4">
        <f>IF(OR(INDEX($AH$2:$AH$1001,MATCH(ROWS($AG$2:AG239),$AG$2:$AG$1001,0),1)&gt;=100000,INDEX($AN$1005:$BO$1005,1,MATCH(COLUMNS($AN$1006:BG1006),$AN$1006:$BO$1006,0))&gt;=100000), " ",IF(INDEX($AN$2:$BO$1001,MATCH(ROWS($AG$2:AG239),$AG$2:$AG$1001,0),MATCH(COLUMNS($AN$1006:BG1006),$AN$1006:$BO$1006,0)), HYPERLINK("#",""), HYPERLINK(CONCATENATE("#Metadata!", ADDRESS(INDEX($AI$2:$AI$1001,MATCH(ROWS($AG$2:AG239),$AG$2:$AG$1001,0),0), INDEX($AN$1004:$BO$1004,1,MATCH(COLUMNS($AN$1006:BG1006),$AN$1006:$BO$1006,0)))),"Fix")))</f>
        <v>0</v>
      </c>
      <c r="V239" s="4">
        <f>IF(OR(INDEX($AH$2:$AH$1001,MATCH(ROWS($AG$2:AG239),$AG$2:$AG$1001,0),1)&gt;=100000,INDEX($AN$1005:$BO$1005,1,MATCH(COLUMNS($AN$1006:BH1006),$AN$1006:$BO$1006,0))&gt;=100000), " ",IF(INDEX($AN$2:$BO$1001,MATCH(ROWS($AG$2:AG239),$AG$2:$AG$1001,0),MATCH(COLUMNS($AN$1006:BH1006),$AN$1006:$BO$1006,0)), HYPERLINK("#",""), HYPERLINK(CONCATENATE("#Metadata!", ADDRESS(INDEX($AI$2:$AI$1001,MATCH(ROWS($AG$2:AG239),$AG$2:$AG$1001,0),0), INDEX($AN$1004:$BO$1004,1,MATCH(COLUMNS($AN$1006:BH1006),$AN$1006:$BO$1006,0)))),"Fix")))</f>
        <v>0</v>
      </c>
      <c r="W239" s="4">
        <f>IF(OR(INDEX($AH$2:$AH$1001,MATCH(ROWS($AG$2:AG239),$AG$2:$AG$1001,0),1)&gt;=100000,INDEX($AN$1005:$BO$1005,1,MATCH(COLUMNS($AN$1006:BI1006),$AN$1006:$BO$1006,0))&gt;=100000), " ",IF(INDEX($AN$2:$BO$1001,MATCH(ROWS($AG$2:AG239),$AG$2:$AG$1001,0),MATCH(COLUMNS($AN$1006:BI1006),$AN$1006:$BO$1006,0)), HYPERLINK("#",""), HYPERLINK(CONCATENATE("#Metadata!", ADDRESS(INDEX($AI$2:$AI$1001,MATCH(ROWS($AG$2:AG239),$AG$2:$AG$1001,0),0), INDEX($AN$1004:$BO$1004,1,MATCH(COLUMNS($AN$1006:BI1006),$AN$1006:$BO$1006,0)))),"Fix")))</f>
        <v>0</v>
      </c>
      <c r="X239" s="4">
        <f>IF(OR(INDEX($AH$2:$AH$1001,MATCH(ROWS($AG$2:AG239),$AG$2:$AG$1001,0),1)&gt;=100000,INDEX($AN$1005:$BO$1005,1,MATCH(COLUMNS($AN$1006:BJ1006),$AN$1006:$BO$1006,0))&gt;=100000), " ",IF(INDEX($AN$2:$BO$1001,MATCH(ROWS($AG$2:AG239),$AG$2:$AG$1001,0),MATCH(COLUMNS($AN$1006:BJ1006),$AN$1006:$BO$1006,0)), HYPERLINK("#",""), HYPERLINK(CONCATENATE("#Metadata!", ADDRESS(INDEX($AI$2:$AI$1001,MATCH(ROWS($AG$2:AG239),$AG$2:$AG$1001,0),0), INDEX($AN$1004:$BO$1004,1,MATCH(COLUMNS($AN$1006:BJ1006),$AN$1006:$BO$1006,0)))),"Fix")))</f>
        <v>0</v>
      </c>
      <c r="Y239" s="4">
        <f>IF(OR(INDEX($AH$2:$AH$1001,MATCH(ROWS($AG$2:AG239),$AG$2:$AG$1001,0),1)&gt;=100000,INDEX($AN$1005:$BO$1005,1,MATCH(COLUMNS($AN$1006:BK1006),$AN$1006:$BO$1006,0))&gt;=100000), " ",IF(INDEX($AN$2:$BO$1001,MATCH(ROWS($AG$2:AG239),$AG$2:$AG$1001,0),MATCH(COLUMNS($AN$1006:BK1006),$AN$1006:$BO$1006,0)), HYPERLINK("#",""), HYPERLINK(CONCATENATE("#Metadata!", ADDRESS(INDEX($AI$2:$AI$1001,MATCH(ROWS($AG$2:AG239),$AG$2:$AG$1001,0),0), INDEX($AN$1004:$BO$1004,1,MATCH(COLUMNS($AN$1006:BK1006),$AN$1006:$BO$1006,0)))),"Fix")))</f>
        <v>0</v>
      </c>
      <c r="Z239" s="4">
        <f>IF(OR(INDEX($AH$2:$AH$1001,MATCH(ROWS($AG$2:AG239),$AG$2:$AG$1001,0),1)&gt;=100000,INDEX($AN$1005:$BO$1005,1,MATCH(COLUMNS($AN$1006:BL1006),$AN$1006:$BO$1006,0))&gt;=100000), " ",IF(INDEX($AN$2:$BO$1001,MATCH(ROWS($AG$2:AG239),$AG$2:$AG$1001,0),MATCH(COLUMNS($AN$1006:BL1006),$AN$1006:$BO$1006,0)), HYPERLINK("#",""), HYPERLINK(CONCATENATE("#Metadata!", ADDRESS(INDEX($AI$2:$AI$1001,MATCH(ROWS($AG$2:AG239),$AG$2:$AG$1001,0),0), INDEX($AN$1004:$BO$1004,1,MATCH(COLUMNS($AN$1006:BL1006),$AN$1006:$BO$1006,0)))),"Fix")))</f>
        <v>0</v>
      </c>
      <c r="AA239" s="4">
        <f>IF(OR(INDEX($AH$2:$AH$1001,MATCH(ROWS($AG$2:AG239),$AG$2:$AG$1001,0),1)&gt;=100000,INDEX($AN$1005:$BO$1005,1,MATCH(COLUMNS($AN$1006:BM1006),$AN$1006:$BO$1006,0))&gt;=100000), " ",IF(INDEX($AN$2:$BO$1001,MATCH(ROWS($AG$2:AG239),$AG$2:$AG$1001,0),MATCH(COLUMNS($AN$1006:BM1006),$AN$1006:$BO$1006,0)), HYPERLINK("#",""), HYPERLINK(CONCATENATE("#Metadata!", ADDRESS(INDEX($AI$2:$AI$1001,MATCH(ROWS($AG$2:AG239),$AG$2:$AG$1001,0),0), INDEX($AN$1004:$BO$1004,1,MATCH(COLUMNS($AN$1006:BM1006),$AN$1006:$BO$1006,0)))),"Fix")))</f>
        <v>0</v>
      </c>
      <c r="AB239" s="4">
        <f>IF(OR(INDEX($AH$2:$AH$1001,MATCH(ROWS($AG$2:AG239),$AG$2:$AG$1001,0),1)&gt;=100000,INDEX($AN$1005:$BO$1005,1,MATCH(COLUMNS($AN$1006:BN1006),$AN$1006:$BO$1006,0))&gt;=100000), " ",IF(INDEX($AN$2:$BO$1001,MATCH(ROWS($AG$2:AG239),$AG$2:$AG$1001,0),MATCH(COLUMNS($AN$1006:BN1006),$AN$1006:$BO$1006,0)), HYPERLINK("#",""), HYPERLINK(CONCATENATE("#Metadata!", ADDRESS(INDEX($AI$2:$AI$1001,MATCH(ROWS($AG$2:AG239),$AG$2:$AG$1001,0),0), INDEX($AN$1004:$BO$1004,1,MATCH(COLUMNS($AN$1006:BN1006),$AN$1006:$BO$1006,0)))),"Fix")))</f>
        <v>0</v>
      </c>
      <c r="AC239" s="4">
        <f>IF(OR(INDEX($AH$2:$AH$1001,MATCH(ROWS($AG$2:AG239),$AG$2:$AG$1001,0),1)&gt;=100000,INDEX($AN$1005:$BO$1005,1,MATCH(COLUMNS($AN$1006:BO1006),$AN$1006:$BO$1006,0))&gt;=100000), " ",IF(INDEX($AN$2:$BO$1001,MATCH(ROWS($AG$2:AG239),$AG$2:$AG$1001,0),MATCH(COLUMNS($AN$1006:BO1006),$AN$1006:$BO$1006,0)), HYPERLINK("#",""), HYPERLINK(CONCATENATE("#Metadata!", ADDRESS(INDEX($AI$2:$AI$1001,MATCH(ROWS($AG$2:AG239),$AG$2:$AG$1001,0),0), INDEX($AN$1004:$BO$1004,1,MATCH(COLUMNS($AN$1006:BO1006),$AN$1006:$BO$1006,0)))),"Fix")))</f>
        <v>0</v>
      </c>
      <c r="AG239">
        <v>0</v>
      </c>
      <c r="AH239">
        <v>0</v>
      </c>
      <c r="AI239">
        <v>0</v>
      </c>
      <c r="AJ239">
        <f>IF(AK239,TRUE,AND(AN239:BO239))</f>
        <v>0</v>
      </c>
      <c r="AK239">
        <f>COUNTBLANK(Metadata!B239:AC239)=COLUMNS(Metadata!B239:AC239)</f>
        <v>0</v>
      </c>
      <c r="AL239">
        <v>0</v>
      </c>
      <c r="AN239">
        <f>AND(IF(Metadata!B239="",FALSE,TRUE),COUNTIF(Metadata!B:B, Metadata!B239) = 1,NOT(ISERROR(SUMPRODUCT(SEARCH(MID(Metadata!B239,ROW(INDIRECT("1:"&amp;LEN(Metadata!B239))), 1),"0123456789abcdefghijklmnopqrstuvwxyzABCDEFGHIJKLMNOPQRSTUVWXYZ.")))))</f>
        <v>0</v>
      </c>
      <c r="AO239">
        <f>IF(Metadata!C239="",FALSE,TRUE)</f>
        <v>0</v>
      </c>
      <c r="AP239">
        <f>IF(Metadata!D239="",FALSE,TRUE)</f>
        <v>0</v>
      </c>
      <c r="AQ239">
        <f>OR(AND(IF(Metadata!E239="",FALSE,TRUE),OR(exact(Metadata!E239,"not collected"),exact(Metadata!E239,"not provided"),exact(Metadata!E239,"restricted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R239">
        <f>IF(Metadata!F239="",FALSE,TRUE)</f>
        <v>0</v>
      </c>
      <c r="AS239">
        <f>OR(AND(IF(Metadata!G239="",FALSE,TRUE),OR(exact(Metadata!G239,"not collected"),exact(Metadata!G239,"not provided"))),AND(IF(Metadata!G239="",FALSE,TRUE),OR(exact(Metadata!G239,"TRUE"),exact(Metadata!G239,"FALSE"))))</f>
        <v>0</v>
      </c>
      <c r="AT239">
        <f>OR(AND(IF(Metadata!H239="",FALSE,TRUE),OR(exact(Metadata!H239,"not collected"),exact(Metadata!H239,"not provided"),exact(Metadata!H239,"restricted access"))),AND(IF(Metadata!H239="",FALSE,ISNUMBER(VALUE(Metadata!H239))),Metadata!H239&gt;=-413.0))</f>
        <v>0</v>
      </c>
      <c r="AU239">
        <f>AND(IF(Metadata!I239="",FALSE,TRUE),exact(Metadata!I239,"meters"))</f>
        <v>0</v>
      </c>
      <c r="AV239">
        <f>AND(IF(Metadata!J239="",FALSE,TRUE),OR(exact(Metadata!J239,"Host-associated"),exact(Metadata!J239,"Free-living")))</f>
        <v>0</v>
      </c>
      <c r="AW239">
        <f>AND(IF(Metadata!K239="",FALSE,TRUE),OR(exact(Metadata!K239,"Animal"),exact(Metadata!K239,"Fungus"),exact(Metadata!K239,"Plant"),exact(Metadata!K239,"Saline"),exact(Metadata!K239,"Non-saline")))</f>
        <v>0</v>
      </c>
      <c r="AX239">
        <f>AND(IF(Metadata!L239="",FALSE,TRUE),OR(exact(Metadata!L239,"Plant secretion"),exact(Metadata!L239,"Plant rhizosphere"),exact(Metadata!L239,"Plant surface"),exact(Metadata!L239,"Plant corpus"),exact(Metadata!L239,"Fungus surface"),exact(Metadata!L239,"Fungus corpus"),exact(Metadata!L239,"Animal surface"),exact(Metadata!L239,"Animal proximal gut"),exact(Metadata!L239,"Animal corpus"),exact(Metadata!L239,"Animal distal gut"),exact(Metadata!L239,"Animal secretion"),exact(Metadata!L239,"Sub-surface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Y239">
        <f>IF(Metadata!M239="",FALSE,TRUE)</f>
        <v>0</v>
      </c>
      <c r="AZ239">
        <f>IF(Metadata!N239="",FALSE,TRUE)</f>
        <v>0</v>
      </c>
      <c r="BA239">
        <f>IF(Metadata!O239="",FALSE,TRUE)</f>
        <v>0</v>
      </c>
      <c r="BB239">
        <f>OR(AND(IF(Metadata!P239="",FALSE,TRUE),OR(exact(Metadata!P239,"not collected"),exact(Metadata!P239,"not provided"),exact(Metadata!P239,"restricted access"))),AND(IF(Metadata!P239="",FALSE,TRUE),OR(exact(Metadata!P239,"air"),exact(Metadata!P239,"built environment"),exact(Metadata!P239,"host-associated"),exact(Metadata!P239,"human-associated"),exact(Metadata!P239,"human-skin"),exact(Metadata!P239,"human-oral"),exact(Metadata!P239,"human-gut"),exact(Metadata!P239,"human-vaginal"),exact(Metadata!P239,"microbial mat/biofilm"),exact(Metadata!P239,"misc environment"),exact(Metadata!P239,"plant-associated"),exact(Metadata!P239,"sediment"),exact(Metadata!P239,"soil"),exact(Metadata!P239,"wastewater/sludge"),exact(Metadata!P239,"water"))))</f>
        <v>0</v>
      </c>
      <c r="BC239">
        <f>IF(Metadata!Q239="",FALSE,TRUE)</f>
        <v>0</v>
      </c>
      <c r="BD239">
        <f>IF(Metadata!R239="",FALSE,TRUE)</f>
        <v>0</v>
      </c>
      <c r="BE239">
        <f>OR(AND(IF(Metadata!S239="",FALSE,TRUE),OR(exact(Metadata!S239,"not collected"),exact(Metadata!S239,"not provided"),exact(Metadata!S239,"restricted access"))),AND(IF(Metadata!S239="",FALSE,ISNUMBER(VALUE(Metadata!S239))),Metadata!S239&gt;=-90.00,Metadata!S239&lt;=90.00))</f>
        <v>0</v>
      </c>
      <c r="BF239">
        <f>AND(IF(Metadata!T239="",FALSE,TRUE),exact(Metadata!T239,"Decimal degrees"))</f>
        <v>0</v>
      </c>
      <c r="BG239">
        <f>OR(AND(IF(Metadata!U239="",FALSE,TRUE),OR(exact(Metadata!U239,"not collected"),exact(Metadata!U239,"not provided"),exact(Metadata!U239,"restricted access"))),AND(IF(Metadata!U239="",FALSE,ISNUMBER(VALUE(Metadata!U239))),Metadata!U239&gt;=-180.00,Metadata!U239&lt;=180.00))</f>
        <v>0</v>
      </c>
      <c r="BH239">
        <f>AND(IF(Metadata!V239="",FALSE,TRUE),exact(Metadata!V239,"Decimal degrees"))</f>
        <v>0</v>
      </c>
      <c r="BI239">
        <f>IF(Metadata!W239="",FALSE,TRUE)</f>
        <v>0</v>
      </c>
      <c r="BJ239">
        <f>OR(AND(IF(Metadata!X239="",FALSE,TRUE),OR(exact(Metadata!X239,"not collected"),exact(Metadata!X239,"not provided"),exact(Metadata!X239,"restricted access"))),AND(IF(Metadata!X239="",FALSE,TRUE),OR(exact(Metadata!X239,"TRUE"),exact(Metadata!X239,"FALSE"))))</f>
        <v>0</v>
      </c>
      <c r="BK239">
        <f>AND(IF(Metadata!Y239="",FALSE,TRUE),exact(Metadata!Y239,"other"))</f>
        <v>0</v>
      </c>
      <c r="BL239">
        <f>IF(Metadata!Z239="",FALSE,TRUE)</f>
        <v>0</v>
      </c>
      <c r="BM239">
        <f>OR(AND(IF(Metadata!AA239="",FALSE,TRUE),OR(exact(Metadata!AA239,"not collected"),exact(Metadata!AA239,"not provided"))),AND(IF(Metadata!AA239="",FALSE,IF(ISERROR(INT(Metadata!AA239)),FALSE,INT(Metadata!AA239)=Metadata!AA239)),Metadata!AA239&gt;0))</f>
        <v>0</v>
      </c>
      <c r="BN239">
        <f>AND(IF(Metadata!AB239="",FALSE,TRUE),exact(Metadata!AB239,"Not applicable"))</f>
        <v>0</v>
      </c>
      <c r="BO239">
        <f>IF(Metadata!AC239="",FALSE,TRUE)</f>
        <v>0</v>
      </c>
    </row>
    <row r="240" spans="1:67">
      <c r="A240" s="5">
        <f>IF(B240=" "," ",HYPERLINK(CONCATENATE("#metadata!",ADDRESS(INDEX($AI$2:$AI$1001,MATCH(ROWS($AG$2:AG240),$AG$2:$AG$1001,0),0),1)),INDEX($AL$2:$AL$1001,MATCH(ROWS($AG$2:AG240),$AG$2:$AG$1001,0),0)))</f>
        <v>0</v>
      </c>
      <c r="B240" s="4">
        <f>IF(OR(INDEX($AH$2:$AH$1001,MATCH(ROWS($AG$2:AG240),$AG$2:$AG$1001,0),1)&gt;=100000,INDEX($AN$1005:$BO$1005,1,MATCH(COLUMNS($AN$1006:AN1006),$AN$1006:$BO$1006,0))&gt;=100000), " ",IF(INDEX($AN$2:$BO$1001,MATCH(ROWS($AG$2:AG240),$AG$2:$AG$1001,0),MATCH(COLUMNS($AN$1006:AN1006),$AN$1006:$BO$1006,0)), HYPERLINK("#",""), HYPERLINK(CONCATENATE("#Metadata!", ADDRESS(INDEX($AI$2:$AI$1001,MATCH(ROWS($AG$2:AG240),$AG$2:$AG$1001,0),0), INDEX($AN$1004:$BO$1004,1,MATCH(COLUMNS($AN$1006:AN1006),$AN$1006:$BO$1006,0)))),"Fix")))</f>
        <v>0</v>
      </c>
      <c r="C240" s="4">
        <f>IF(OR(INDEX($AH$2:$AH$1001,MATCH(ROWS($AG$2:AG240),$AG$2:$AG$1001,0),1)&gt;=100000,INDEX($AN$1005:$BO$1005,1,MATCH(COLUMNS($AN$1006:AO1006),$AN$1006:$BO$1006,0))&gt;=100000), " ",IF(INDEX($AN$2:$BO$1001,MATCH(ROWS($AG$2:AG240),$AG$2:$AG$1001,0),MATCH(COLUMNS($AN$1006:AO1006),$AN$1006:$BO$1006,0)), HYPERLINK("#",""), HYPERLINK(CONCATENATE("#Metadata!", ADDRESS(INDEX($AI$2:$AI$1001,MATCH(ROWS($AG$2:AG240),$AG$2:$AG$1001,0),0), INDEX($AN$1004:$BO$1004,1,MATCH(COLUMNS($AN$1006:AO1006),$AN$1006:$BO$1006,0)))),"Fix")))</f>
        <v>0</v>
      </c>
      <c r="D240" s="4">
        <f>IF(OR(INDEX($AH$2:$AH$1001,MATCH(ROWS($AG$2:AG240),$AG$2:$AG$1001,0),1)&gt;=100000,INDEX($AN$1005:$BO$1005,1,MATCH(COLUMNS($AN$1006:AP1006),$AN$1006:$BO$1006,0))&gt;=100000), " ",IF(INDEX($AN$2:$BO$1001,MATCH(ROWS($AG$2:AG240),$AG$2:$AG$1001,0),MATCH(COLUMNS($AN$1006:AP1006),$AN$1006:$BO$1006,0)), HYPERLINK("#",""), HYPERLINK(CONCATENATE("#Metadata!", ADDRESS(INDEX($AI$2:$AI$1001,MATCH(ROWS($AG$2:AG240),$AG$2:$AG$1001,0),0), INDEX($AN$1004:$BO$1004,1,MATCH(COLUMNS($AN$1006:AP1006),$AN$1006:$BO$1006,0)))),"Fix")))</f>
        <v>0</v>
      </c>
      <c r="E240" s="4">
        <f>IF(OR(INDEX($AH$2:$AH$1001,MATCH(ROWS($AG$2:AG240),$AG$2:$AG$1001,0),1)&gt;=100000,INDEX($AN$1005:$BO$1005,1,MATCH(COLUMNS($AN$1006:AQ1006),$AN$1006:$BO$1006,0))&gt;=100000), " ",IF(INDEX($AN$2:$BO$1001,MATCH(ROWS($AG$2:AG240),$AG$2:$AG$1001,0),MATCH(COLUMNS($AN$1006:AQ1006),$AN$1006:$BO$1006,0)), HYPERLINK("#",""), HYPERLINK(CONCATENATE("#Metadata!", ADDRESS(INDEX($AI$2:$AI$1001,MATCH(ROWS($AG$2:AG240),$AG$2:$AG$1001,0),0), INDEX($AN$1004:$BO$1004,1,MATCH(COLUMNS($AN$1006:AQ1006),$AN$1006:$BO$1006,0)))),"Fix")))</f>
        <v>0</v>
      </c>
      <c r="F240" s="4">
        <f>IF(OR(INDEX($AH$2:$AH$1001,MATCH(ROWS($AG$2:AG240),$AG$2:$AG$1001,0),1)&gt;=100000,INDEX($AN$1005:$BO$1005,1,MATCH(COLUMNS($AN$1006:AR1006),$AN$1006:$BO$1006,0))&gt;=100000), " ",IF(INDEX($AN$2:$BO$1001,MATCH(ROWS($AG$2:AG240),$AG$2:$AG$1001,0),MATCH(COLUMNS($AN$1006:AR1006),$AN$1006:$BO$1006,0)), HYPERLINK("#",""), HYPERLINK(CONCATENATE("#Metadata!", ADDRESS(INDEX($AI$2:$AI$1001,MATCH(ROWS($AG$2:AG240),$AG$2:$AG$1001,0),0), INDEX($AN$1004:$BO$1004,1,MATCH(COLUMNS($AN$1006:AR1006),$AN$1006:$BO$1006,0)))),"Fix")))</f>
        <v>0</v>
      </c>
      <c r="G240" s="4">
        <f>IF(OR(INDEX($AH$2:$AH$1001,MATCH(ROWS($AG$2:AG240),$AG$2:$AG$1001,0),1)&gt;=100000,INDEX($AN$1005:$BO$1005,1,MATCH(COLUMNS($AN$1006:AS1006),$AN$1006:$BO$1006,0))&gt;=100000), " ",IF(INDEX($AN$2:$BO$1001,MATCH(ROWS($AG$2:AG240),$AG$2:$AG$1001,0),MATCH(COLUMNS($AN$1006:AS1006),$AN$1006:$BO$1006,0)), HYPERLINK("#",""), HYPERLINK(CONCATENATE("#Metadata!", ADDRESS(INDEX($AI$2:$AI$1001,MATCH(ROWS($AG$2:AG240),$AG$2:$AG$1001,0),0), INDEX($AN$1004:$BO$1004,1,MATCH(COLUMNS($AN$1006:AS1006),$AN$1006:$BO$1006,0)))),"Fix")))</f>
        <v>0</v>
      </c>
      <c r="H240" s="4">
        <f>IF(OR(INDEX($AH$2:$AH$1001,MATCH(ROWS($AG$2:AG240),$AG$2:$AG$1001,0),1)&gt;=100000,INDEX($AN$1005:$BO$1005,1,MATCH(COLUMNS($AN$1006:AT1006),$AN$1006:$BO$1006,0))&gt;=100000), " ",IF(INDEX($AN$2:$BO$1001,MATCH(ROWS($AG$2:AG240),$AG$2:$AG$1001,0),MATCH(COLUMNS($AN$1006:AT1006),$AN$1006:$BO$1006,0)), HYPERLINK("#",""), HYPERLINK(CONCATENATE("#Metadata!", ADDRESS(INDEX($AI$2:$AI$1001,MATCH(ROWS($AG$2:AG240),$AG$2:$AG$1001,0),0), INDEX($AN$1004:$BO$1004,1,MATCH(COLUMNS($AN$1006:AT1006),$AN$1006:$BO$1006,0)))),"Fix")))</f>
        <v>0</v>
      </c>
      <c r="I240" s="4">
        <f>IF(OR(INDEX($AH$2:$AH$1001,MATCH(ROWS($AG$2:AG240),$AG$2:$AG$1001,0),1)&gt;=100000,INDEX($AN$1005:$BO$1005,1,MATCH(COLUMNS($AN$1006:AU1006),$AN$1006:$BO$1006,0))&gt;=100000), " ",IF(INDEX($AN$2:$BO$1001,MATCH(ROWS($AG$2:AG240),$AG$2:$AG$1001,0),MATCH(COLUMNS($AN$1006:AU1006),$AN$1006:$BO$1006,0)), HYPERLINK("#",""), HYPERLINK(CONCATENATE("#Metadata!", ADDRESS(INDEX($AI$2:$AI$1001,MATCH(ROWS($AG$2:AG240),$AG$2:$AG$1001,0),0), INDEX($AN$1004:$BO$1004,1,MATCH(COLUMNS($AN$1006:AU1006),$AN$1006:$BO$1006,0)))),"Fix")))</f>
        <v>0</v>
      </c>
      <c r="J240" s="4">
        <f>IF(OR(INDEX($AH$2:$AH$1001,MATCH(ROWS($AG$2:AG240),$AG$2:$AG$1001,0),1)&gt;=100000,INDEX($AN$1005:$BO$1005,1,MATCH(COLUMNS($AN$1006:AV1006),$AN$1006:$BO$1006,0))&gt;=100000), " ",IF(INDEX($AN$2:$BO$1001,MATCH(ROWS($AG$2:AG240),$AG$2:$AG$1001,0),MATCH(COLUMNS($AN$1006:AV1006),$AN$1006:$BO$1006,0)), HYPERLINK("#",""), HYPERLINK(CONCATENATE("#Metadata!", ADDRESS(INDEX($AI$2:$AI$1001,MATCH(ROWS($AG$2:AG240),$AG$2:$AG$1001,0),0), INDEX($AN$1004:$BO$1004,1,MATCH(COLUMNS($AN$1006:AV1006),$AN$1006:$BO$1006,0)))),"Fix")))</f>
        <v>0</v>
      </c>
      <c r="K240" s="4">
        <f>IF(OR(INDEX($AH$2:$AH$1001,MATCH(ROWS($AG$2:AG240),$AG$2:$AG$1001,0),1)&gt;=100000,INDEX($AN$1005:$BO$1005,1,MATCH(COLUMNS($AN$1006:AW1006),$AN$1006:$BO$1006,0))&gt;=100000), " ",IF(INDEX($AN$2:$BO$1001,MATCH(ROWS($AG$2:AG240),$AG$2:$AG$1001,0),MATCH(COLUMNS($AN$1006:AW1006),$AN$1006:$BO$1006,0)), HYPERLINK("#",""), HYPERLINK(CONCATENATE("#Metadata!", ADDRESS(INDEX($AI$2:$AI$1001,MATCH(ROWS($AG$2:AG240),$AG$2:$AG$1001,0),0), INDEX($AN$1004:$BO$1004,1,MATCH(COLUMNS($AN$1006:AW1006),$AN$1006:$BO$1006,0)))),"Fix")))</f>
        <v>0</v>
      </c>
      <c r="L240" s="4">
        <f>IF(OR(INDEX($AH$2:$AH$1001,MATCH(ROWS($AG$2:AG240),$AG$2:$AG$1001,0),1)&gt;=100000,INDEX($AN$1005:$BO$1005,1,MATCH(COLUMNS($AN$1006:AX1006),$AN$1006:$BO$1006,0))&gt;=100000), " ",IF(INDEX($AN$2:$BO$1001,MATCH(ROWS($AG$2:AG240),$AG$2:$AG$1001,0),MATCH(COLUMNS($AN$1006:AX1006),$AN$1006:$BO$1006,0)), HYPERLINK("#",""), HYPERLINK(CONCATENATE("#Metadata!", ADDRESS(INDEX($AI$2:$AI$1001,MATCH(ROWS($AG$2:AG240),$AG$2:$AG$1001,0),0), INDEX($AN$1004:$BO$1004,1,MATCH(COLUMNS($AN$1006:AX1006),$AN$1006:$BO$1006,0)))),"Fix")))</f>
        <v>0</v>
      </c>
      <c r="M240" s="4">
        <f>IF(OR(INDEX($AH$2:$AH$1001,MATCH(ROWS($AG$2:AG240),$AG$2:$AG$1001,0),1)&gt;=100000,INDEX($AN$1005:$BO$1005,1,MATCH(COLUMNS($AN$1006:AY1006),$AN$1006:$BO$1006,0))&gt;=100000), " ",IF(INDEX($AN$2:$BO$1001,MATCH(ROWS($AG$2:AG240),$AG$2:$AG$1001,0),MATCH(COLUMNS($AN$1006:AY1006),$AN$1006:$BO$1006,0)), HYPERLINK("#",""), HYPERLINK(CONCATENATE("#Metadata!", ADDRESS(INDEX($AI$2:$AI$1001,MATCH(ROWS($AG$2:AG240),$AG$2:$AG$1001,0),0), INDEX($AN$1004:$BO$1004,1,MATCH(COLUMNS($AN$1006:AY1006),$AN$1006:$BO$1006,0)))),"Fix")))</f>
        <v>0</v>
      </c>
      <c r="N240" s="4">
        <f>IF(OR(INDEX($AH$2:$AH$1001,MATCH(ROWS($AG$2:AG240),$AG$2:$AG$1001,0),1)&gt;=100000,INDEX($AN$1005:$BO$1005,1,MATCH(COLUMNS($AN$1006:AZ1006),$AN$1006:$BO$1006,0))&gt;=100000), " ",IF(INDEX($AN$2:$BO$1001,MATCH(ROWS($AG$2:AG240),$AG$2:$AG$1001,0),MATCH(COLUMNS($AN$1006:AZ1006),$AN$1006:$BO$1006,0)), HYPERLINK("#",""), HYPERLINK(CONCATENATE("#Metadata!", ADDRESS(INDEX($AI$2:$AI$1001,MATCH(ROWS($AG$2:AG240),$AG$2:$AG$1001,0),0), INDEX($AN$1004:$BO$1004,1,MATCH(COLUMNS($AN$1006:AZ1006),$AN$1006:$BO$1006,0)))),"Fix")))</f>
        <v>0</v>
      </c>
      <c r="O240" s="4">
        <f>IF(OR(INDEX($AH$2:$AH$1001,MATCH(ROWS($AG$2:AG240),$AG$2:$AG$1001,0),1)&gt;=100000,INDEX($AN$1005:$BO$1005,1,MATCH(COLUMNS($AN$1006:BA1006),$AN$1006:$BO$1006,0))&gt;=100000), " ",IF(INDEX($AN$2:$BO$1001,MATCH(ROWS($AG$2:AG240),$AG$2:$AG$1001,0),MATCH(COLUMNS($AN$1006:BA1006),$AN$1006:$BO$1006,0)), HYPERLINK("#",""), HYPERLINK(CONCATENATE("#Metadata!", ADDRESS(INDEX($AI$2:$AI$1001,MATCH(ROWS($AG$2:AG240),$AG$2:$AG$1001,0),0), INDEX($AN$1004:$BO$1004,1,MATCH(COLUMNS($AN$1006:BA1006),$AN$1006:$BO$1006,0)))),"Fix")))</f>
        <v>0</v>
      </c>
      <c r="P240" s="4">
        <f>IF(OR(INDEX($AH$2:$AH$1001,MATCH(ROWS($AG$2:AG240),$AG$2:$AG$1001,0),1)&gt;=100000,INDEX($AN$1005:$BO$1005,1,MATCH(COLUMNS($AN$1006:BB1006),$AN$1006:$BO$1006,0))&gt;=100000), " ",IF(INDEX($AN$2:$BO$1001,MATCH(ROWS($AG$2:AG240),$AG$2:$AG$1001,0),MATCH(COLUMNS($AN$1006:BB1006),$AN$1006:$BO$1006,0)), HYPERLINK("#",""), HYPERLINK(CONCATENATE("#Metadata!", ADDRESS(INDEX($AI$2:$AI$1001,MATCH(ROWS($AG$2:AG240),$AG$2:$AG$1001,0),0), INDEX($AN$1004:$BO$1004,1,MATCH(COLUMNS($AN$1006:BB1006),$AN$1006:$BO$1006,0)))),"Fix")))</f>
        <v>0</v>
      </c>
      <c r="Q240" s="4">
        <f>IF(OR(INDEX($AH$2:$AH$1001,MATCH(ROWS($AG$2:AG240),$AG$2:$AG$1001,0),1)&gt;=100000,INDEX($AN$1005:$BO$1005,1,MATCH(COLUMNS($AN$1006:BC1006),$AN$1006:$BO$1006,0))&gt;=100000), " ",IF(INDEX($AN$2:$BO$1001,MATCH(ROWS($AG$2:AG240),$AG$2:$AG$1001,0),MATCH(COLUMNS($AN$1006:BC1006),$AN$1006:$BO$1006,0)), HYPERLINK("#",""), HYPERLINK(CONCATENATE("#Metadata!", ADDRESS(INDEX($AI$2:$AI$1001,MATCH(ROWS($AG$2:AG240),$AG$2:$AG$1001,0),0), INDEX($AN$1004:$BO$1004,1,MATCH(COLUMNS($AN$1006:BC1006),$AN$1006:$BO$1006,0)))),"Fix")))</f>
        <v>0</v>
      </c>
      <c r="R240" s="4">
        <f>IF(OR(INDEX($AH$2:$AH$1001,MATCH(ROWS($AG$2:AG240),$AG$2:$AG$1001,0),1)&gt;=100000,INDEX($AN$1005:$BO$1005,1,MATCH(COLUMNS($AN$1006:BD1006),$AN$1006:$BO$1006,0))&gt;=100000), " ",IF(INDEX($AN$2:$BO$1001,MATCH(ROWS($AG$2:AG240),$AG$2:$AG$1001,0),MATCH(COLUMNS($AN$1006:BD1006),$AN$1006:$BO$1006,0)), HYPERLINK("#",""), HYPERLINK(CONCATENATE("#Metadata!", ADDRESS(INDEX($AI$2:$AI$1001,MATCH(ROWS($AG$2:AG240),$AG$2:$AG$1001,0),0), INDEX($AN$1004:$BO$1004,1,MATCH(COLUMNS($AN$1006:BD1006),$AN$1006:$BO$1006,0)))),"Fix")))</f>
        <v>0</v>
      </c>
      <c r="S240" s="4">
        <f>IF(OR(INDEX($AH$2:$AH$1001,MATCH(ROWS($AG$2:AG240),$AG$2:$AG$1001,0),1)&gt;=100000,INDEX($AN$1005:$BO$1005,1,MATCH(COLUMNS($AN$1006:BE1006),$AN$1006:$BO$1006,0))&gt;=100000), " ",IF(INDEX($AN$2:$BO$1001,MATCH(ROWS($AG$2:AG240),$AG$2:$AG$1001,0),MATCH(COLUMNS($AN$1006:BE1006),$AN$1006:$BO$1006,0)), HYPERLINK("#",""), HYPERLINK(CONCATENATE("#Metadata!", ADDRESS(INDEX($AI$2:$AI$1001,MATCH(ROWS($AG$2:AG240),$AG$2:$AG$1001,0),0), INDEX($AN$1004:$BO$1004,1,MATCH(COLUMNS($AN$1006:BE1006),$AN$1006:$BO$1006,0)))),"Fix")))</f>
        <v>0</v>
      </c>
      <c r="T240" s="4">
        <f>IF(OR(INDEX($AH$2:$AH$1001,MATCH(ROWS($AG$2:AG240),$AG$2:$AG$1001,0),1)&gt;=100000,INDEX($AN$1005:$BO$1005,1,MATCH(COLUMNS($AN$1006:BF1006),$AN$1006:$BO$1006,0))&gt;=100000), " ",IF(INDEX($AN$2:$BO$1001,MATCH(ROWS($AG$2:AG240),$AG$2:$AG$1001,0),MATCH(COLUMNS($AN$1006:BF1006),$AN$1006:$BO$1006,0)), HYPERLINK("#",""), HYPERLINK(CONCATENATE("#Metadata!", ADDRESS(INDEX($AI$2:$AI$1001,MATCH(ROWS($AG$2:AG240),$AG$2:$AG$1001,0),0), INDEX($AN$1004:$BO$1004,1,MATCH(COLUMNS($AN$1006:BF1006),$AN$1006:$BO$1006,0)))),"Fix")))</f>
        <v>0</v>
      </c>
      <c r="U240" s="4">
        <f>IF(OR(INDEX($AH$2:$AH$1001,MATCH(ROWS($AG$2:AG240),$AG$2:$AG$1001,0),1)&gt;=100000,INDEX($AN$1005:$BO$1005,1,MATCH(COLUMNS($AN$1006:BG1006),$AN$1006:$BO$1006,0))&gt;=100000), " ",IF(INDEX($AN$2:$BO$1001,MATCH(ROWS($AG$2:AG240),$AG$2:$AG$1001,0),MATCH(COLUMNS($AN$1006:BG1006),$AN$1006:$BO$1006,0)), HYPERLINK("#",""), HYPERLINK(CONCATENATE("#Metadata!", ADDRESS(INDEX($AI$2:$AI$1001,MATCH(ROWS($AG$2:AG240),$AG$2:$AG$1001,0),0), INDEX($AN$1004:$BO$1004,1,MATCH(COLUMNS($AN$1006:BG1006),$AN$1006:$BO$1006,0)))),"Fix")))</f>
        <v>0</v>
      </c>
      <c r="V240" s="4">
        <f>IF(OR(INDEX($AH$2:$AH$1001,MATCH(ROWS($AG$2:AG240),$AG$2:$AG$1001,0),1)&gt;=100000,INDEX($AN$1005:$BO$1005,1,MATCH(COLUMNS($AN$1006:BH1006),$AN$1006:$BO$1006,0))&gt;=100000), " ",IF(INDEX($AN$2:$BO$1001,MATCH(ROWS($AG$2:AG240),$AG$2:$AG$1001,0),MATCH(COLUMNS($AN$1006:BH1006),$AN$1006:$BO$1006,0)), HYPERLINK("#",""), HYPERLINK(CONCATENATE("#Metadata!", ADDRESS(INDEX($AI$2:$AI$1001,MATCH(ROWS($AG$2:AG240),$AG$2:$AG$1001,0),0), INDEX($AN$1004:$BO$1004,1,MATCH(COLUMNS($AN$1006:BH1006),$AN$1006:$BO$1006,0)))),"Fix")))</f>
        <v>0</v>
      </c>
      <c r="W240" s="4">
        <f>IF(OR(INDEX($AH$2:$AH$1001,MATCH(ROWS($AG$2:AG240),$AG$2:$AG$1001,0),1)&gt;=100000,INDEX($AN$1005:$BO$1005,1,MATCH(COLUMNS($AN$1006:BI1006),$AN$1006:$BO$1006,0))&gt;=100000), " ",IF(INDEX($AN$2:$BO$1001,MATCH(ROWS($AG$2:AG240),$AG$2:$AG$1001,0),MATCH(COLUMNS($AN$1006:BI1006),$AN$1006:$BO$1006,0)), HYPERLINK("#",""), HYPERLINK(CONCATENATE("#Metadata!", ADDRESS(INDEX($AI$2:$AI$1001,MATCH(ROWS($AG$2:AG240),$AG$2:$AG$1001,0),0), INDEX($AN$1004:$BO$1004,1,MATCH(COLUMNS($AN$1006:BI1006),$AN$1006:$BO$1006,0)))),"Fix")))</f>
        <v>0</v>
      </c>
      <c r="X240" s="4">
        <f>IF(OR(INDEX($AH$2:$AH$1001,MATCH(ROWS($AG$2:AG240),$AG$2:$AG$1001,0),1)&gt;=100000,INDEX($AN$1005:$BO$1005,1,MATCH(COLUMNS($AN$1006:BJ1006),$AN$1006:$BO$1006,0))&gt;=100000), " ",IF(INDEX($AN$2:$BO$1001,MATCH(ROWS($AG$2:AG240),$AG$2:$AG$1001,0),MATCH(COLUMNS($AN$1006:BJ1006),$AN$1006:$BO$1006,0)), HYPERLINK("#",""), HYPERLINK(CONCATENATE("#Metadata!", ADDRESS(INDEX($AI$2:$AI$1001,MATCH(ROWS($AG$2:AG240),$AG$2:$AG$1001,0),0), INDEX($AN$1004:$BO$1004,1,MATCH(COLUMNS($AN$1006:BJ1006),$AN$1006:$BO$1006,0)))),"Fix")))</f>
        <v>0</v>
      </c>
      <c r="Y240" s="4">
        <f>IF(OR(INDEX($AH$2:$AH$1001,MATCH(ROWS($AG$2:AG240),$AG$2:$AG$1001,0),1)&gt;=100000,INDEX($AN$1005:$BO$1005,1,MATCH(COLUMNS($AN$1006:BK1006),$AN$1006:$BO$1006,0))&gt;=100000), " ",IF(INDEX($AN$2:$BO$1001,MATCH(ROWS($AG$2:AG240),$AG$2:$AG$1001,0),MATCH(COLUMNS($AN$1006:BK1006),$AN$1006:$BO$1006,0)), HYPERLINK("#",""), HYPERLINK(CONCATENATE("#Metadata!", ADDRESS(INDEX($AI$2:$AI$1001,MATCH(ROWS($AG$2:AG240),$AG$2:$AG$1001,0),0), INDEX($AN$1004:$BO$1004,1,MATCH(COLUMNS($AN$1006:BK1006),$AN$1006:$BO$1006,0)))),"Fix")))</f>
        <v>0</v>
      </c>
      <c r="Z240" s="4">
        <f>IF(OR(INDEX($AH$2:$AH$1001,MATCH(ROWS($AG$2:AG240),$AG$2:$AG$1001,0),1)&gt;=100000,INDEX($AN$1005:$BO$1005,1,MATCH(COLUMNS($AN$1006:BL1006),$AN$1006:$BO$1006,0))&gt;=100000), " ",IF(INDEX($AN$2:$BO$1001,MATCH(ROWS($AG$2:AG240),$AG$2:$AG$1001,0),MATCH(COLUMNS($AN$1006:BL1006),$AN$1006:$BO$1006,0)), HYPERLINK("#",""), HYPERLINK(CONCATENATE("#Metadata!", ADDRESS(INDEX($AI$2:$AI$1001,MATCH(ROWS($AG$2:AG240),$AG$2:$AG$1001,0),0), INDEX($AN$1004:$BO$1004,1,MATCH(COLUMNS($AN$1006:BL1006),$AN$1006:$BO$1006,0)))),"Fix")))</f>
        <v>0</v>
      </c>
      <c r="AA240" s="4">
        <f>IF(OR(INDEX($AH$2:$AH$1001,MATCH(ROWS($AG$2:AG240),$AG$2:$AG$1001,0),1)&gt;=100000,INDEX($AN$1005:$BO$1005,1,MATCH(COLUMNS($AN$1006:BM1006),$AN$1006:$BO$1006,0))&gt;=100000), " ",IF(INDEX($AN$2:$BO$1001,MATCH(ROWS($AG$2:AG240),$AG$2:$AG$1001,0),MATCH(COLUMNS($AN$1006:BM1006),$AN$1006:$BO$1006,0)), HYPERLINK("#",""), HYPERLINK(CONCATENATE("#Metadata!", ADDRESS(INDEX($AI$2:$AI$1001,MATCH(ROWS($AG$2:AG240),$AG$2:$AG$1001,0),0), INDEX($AN$1004:$BO$1004,1,MATCH(COLUMNS($AN$1006:BM1006),$AN$1006:$BO$1006,0)))),"Fix")))</f>
        <v>0</v>
      </c>
      <c r="AB240" s="4">
        <f>IF(OR(INDEX($AH$2:$AH$1001,MATCH(ROWS($AG$2:AG240),$AG$2:$AG$1001,0),1)&gt;=100000,INDEX($AN$1005:$BO$1005,1,MATCH(COLUMNS($AN$1006:BN1006),$AN$1006:$BO$1006,0))&gt;=100000), " ",IF(INDEX($AN$2:$BO$1001,MATCH(ROWS($AG$2:AG240),$AG$2:$AG$1001,0),MATCH(COLUMNS($AN$1006:BN1006),$AN$1006:$BO$1006,0)), HYPERLINK("#",""), HYPERLINK(CONCATENATE("#Metadata!", ADDRESS(INDEX($AI$2:$AI$1001,MATCH(ROWS($AG$2:AG240),$AG$2:$AG$1001,0),0), INDEX($AN$1004:$BO$1004,1,MATCH(COLUMNS($AN$1006:BN1006),$AN$1006:$BO$1006,0)))),"Fix")))</f>
        <v>0</v>
      </c>
      <c r="AC240" s="4">
        <f>IF(OR(INDEX($AH$2:$AH$1001,MATCH(ROWS($AG$2:AG240),$AG$2:$AG$1001,0),1)&gt;=100000,INDEX($AN$1005:$BO$1005,1,MATCH(COLUMNS($AN$1006:BO1006),$AN$1006:$BO$1006,0))&gt;=100000), " ",IF(INDEX($AN$2:$BO$1001,MATCH(ROWS($AG$2:AG240),$AG$2:$AG$1001,0),MATCH(COLUMNS($AN$1006:BO1006),$AN$1006:$BO$1006,0)), HYPERLINK("#",""), HYPERLINK(CONCATENATE("#Metadata!", ADDRESS(INDEX($AI$2:$AI$1001,MATCH(ROWS($AG$2:AG240),$AG$2:$AG$1001,0),0), INDEX($AN$1004:$BO$1004,1,MATCH(COLUMNS($AN$1006:BO1006),$AN$1006:$BO$1006,0)))),"Fix")))</f>
        <v>0</v>
      </c>
      <c r="AG240">
        <v>0</v>
      </c>
      <c r="AH240">
        <v>0</v>
      </c>
      <c r="AI240">
        <v>0</v>
      </c>
      <c r="AJ240">
        <f>IF(AK240,TRUE,AND(AN240:BO240))</f>
        <v>0</v>
      </c>
      <c r="AK240">
        <f>COUNTBLANK(Metadata!B240:AC240)=COLUMNS(Metadata!B240:AC240)</f>
        <v>0</v>
      </c>
      <c r="AL240">
        <v>0</v>
      </c>
      <c r="AN240">
        <f>AND(IF(Metadata!B240="",FALSE,TRUE),COUNTIF(Metadata!B:B, Metadata!B240) = 1,NOT(ISERROR(SUMPRODUCT(SEARCH(MID(Metadata!B240,ROW(INDIRECT("1:"&amp;LEN(Metadata!B240))), 1),"0123456789abcdefghijklmnopqrstuvwxyzABCDEFGHIJKLMNOPQRSTUVWXYZ.")))))</f>
        <v>0</v>
      </c>
      <c r="AO240">
        <f>IF(Metadata!C240="",FALSE,TRUE)</f>
        <v>0</v>
      </c>
      <c r="AP240">
        <f>IF(Metadata!D240="",FALSE,TRUE)</f>
        <v>0</v>
      </c>
      <c r="AQ240">
        <f>OR(AND(IF(Metadata!E240="",FALSE,TRUE),OR(exact(Metadata!E240,"not collected"),exact(Metadata!E240,"not provided"),exact(Metadata!E240,"restricted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R240">
        <f>IF(Metadata!F240="",FALSE,TRUE)</f>
        <v>0</v>
      </c>
      <c r="AS240">
        <f>OR(AND(IF(Metadata!G240="",FALSE,TRUE),OR(exact(Metadata!G240,"not collected"),exact(Metadata!G240,"not provided"))),AND(IF(Metadata!G240="",FALSE,TRUE),OR(exact(Metadata!G240,"TRUE"),exact(Metadata!G240,"FALSE"))))</f>
        <v>0</v>
      </c>
      <c r="AT240">
        <f>OR(AND(IF(Metadata!H240="",FALSE,TRUE),OR(exact(Metadata!H240,"not collected"),exact(Metadata!H240,"not provided"),exact(Metadata!H240,"restricted access"))),AND(IF(Metadata!H240="",FALSE,ISNUMBER(VALUE(Metadata!H240))),Metadata!H240&gt;=-413.0))</f>
        <v>0</v>
      </c>
      <c r="AU240">
        <f>AND(IF(Metadata!I240="",FALSE,TRUE),exact(Metadata!I240,"meters"))</f>
        <v>0</v>
      </c>
      <c r="AV240">
        <f>AND(IF(Metadata!J240="",FALSE,TRUE),OR(exact(Metadata!J240,"Host-associated"),exact(Metadata!J240,"Free-living")))</f>
        <v>0</v>
      </c>
      <c r="AW240">
        <f>AND(IF(Metadata!K240="",FALSE,TRUE),OR(exact(Metadata!K240,"Animal"),exact(Metadata!K240,"Fungus"),exact(Metadata!K240,"Plant"),exact(Metadata!K240,"Saline"),exact(Metadata!K240,"Non-saline")))</f>
        <v>0</v>
      </c>
      <c r="AX240">
        <f>AND(IF(Metadata!L240="",FALSE,TRUE),OR(exact(Metadata!L240,"Plant secretion"),exact(Metadata!L240,"Plant rhizosphere"),exact(Metadata!L240,"Plant surface"),exact(Metadata!L240,"Plant corpus"),exact(Metadata!L240,"Fungus surface"),exact(Metadata!L240,"Fungus corpus"),exact(Metadata!L240,"Animal surface"),exact(Metadata!L240,"Animal proximal gut"),exact(Metadata!L240,"Animal corpus"),exact(Metadata!L240,"Animal distal gut"),exact(Metadata!L240,"Animal secretion"),exact(Metadata!L240,"Sub-surface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Y240">
        <f>IF(Metadata!M240="",FALSE,TRUE)</f>
        <v>0</v>
      </c>
      <c r="AZ240">
        <f>IF(Metadata!N240="",FALSE,TRUE)</f>
        <v>0</v>
      </c>
      <c r="BA240">
        <f>IF(Metadata!O240="",FALSE,TRUE)</f>
        <v>0</v>
      </c>
      <c r="BB240">
        <f>OR(AND(IF(Metadata!P240="",FALSE,TRUE),OR(exact(Metadata!P240,"not collected"),exact(Metadata!P240,"not provided"),exact(Metadata!P240,"restricted access"))),AND(IF(Metadata!P240="",FALSE,TRUE),OR(exact(Metadata!P240,"air"),exact(Metadata!P240,"built environment"),exact(Metadata!P240,"host-associated"),exact(Metadata!P240,"human-associated"),exact(Metadata!P240,"human-skin"),exact(Metadata!P240,"human-oral"),exact(Metadata!P240,"human-gut"),exact(Metadata!P240,"human-vaginal"),exact(Metadata!P240,"microbial mat/biofilm"),exact(Metadata!P240,"misc environment"),exact(Metadata!P240,"plant-associated"),exact(Metadata!P240,"sediment"),exact(Metadata!P240,"soil"),exact(Metadata!P240,"wastewater/sludge"),exact(Metadata!P240,"water"))))</f>
        <v>0</v>
      </c>
      <c r="BC240">
        <f>IF(Metadata!Q240="",FALSE,TRUE)</f>
        <v>0</v>
      </c>
      <c r="BD240">
        <f>IF(Metadata!R240="",FALSE,TRUE)</f>
        <v>0</v>
      </c>
      <c r="BE240">
        <f>OR(AND(IF(Metadata!S240="",FALSE,TRUE),OR(exact(Metadata!S240,"not collected"),exact(Metadata!S240,"not provided"),exact(Metadata!S240,"restricted access"))),AND(IF(Metadata!S240="",FALSE,ISNUMBER(VALUE(Metadata!S240))),Metadata!S240&gt;=-90.00,Metadata!S240&lt;=90.00))</f>
        <v>0</v>
      </c>
      <c r="BF240">
        <f>AND(IF(Metadata!T240="",FALSE,TRUE),exact(Metadata!T240,"Decimal degrees"))</f>
        <v>0</v>
      </c>
      <c r="BG240">
        <f>OR(AND(IF(Metadata!U240="",FALSE,TRUE),OR(exact(Metadata!U240,"not collected"),exact(Metadata!U240,"not provided"),exact(Metadata!U240,"restricted access"))),AND(IF(Metadata!U240="",FALSE,ISNUMBER(VALUE(Metadata!U240))),Metadata!U240&gt;=-180.00,Metadata!U240&lt;=180.00))</f>
        <v>0</v>
      </c>
      <c r="BH240">
        <f>AND(IF(Metadata!V240="",FALSE,TRUE),exact(Metadata!V240,"Decimal degrees"))</f>
        <v>0</v>
      </c>
      <c r="BI240">
        <f>IF(Metadata!W240="",FALSE,TRUE)</f>
        <v>0</v>
      </c>
      <c r="BJ240">
        <f>OR(AND(IF(Metadata!X240="",FALSE,TRUE),OR(exact(Metadata!X240,"not collected"),exact(Metadata!X240,"not provided"),exact(Metadata!X240,"restricted access"))),AND(IF(Metadata!X240="",FALSE,TRUE),OR(exact(Metadata!X240,"TRUE"),exact(Metadata!X240,"FALSE"))))</f>
        <v>0</v>
      </c>
      <c r="BK240">
        <f>AND(IF(Metadata!Y240="",FALSE,TRUE),exact(Metadata!Y240,"other"))</f>
        <v>0</v>
      </c>
      <c r="BL240">
        <f>IF(Metadata!Z240="",FALSE,TRUE)</f>
        <v>0</v>
      </c>
      <c r="BM240">
        <f>OR(AND(IF(Metadata!AA240="",FALSE,TRUE),OR(exact(Metadata!AA240,"not collected"),exact(Metadata!AA240,"not provided"))),AND(IF(Metadata!AA240="",FALSE,IF(ISERROR(INT(Metadata!AA240)),FALSE,INT(Metadata!AA240)=Metadata!AA240)),Metadata!AA240&gt;0))</f>
        <v>0</v>
      </c>
      <c r="BN240">
        <f>AND(IF(Metadata!AB240="",FALSE,TRUE),exact(Metadata!AB240,"Not applicable"))</f>
        <v>0</v>
      </c>
      <c r="BO240">
        <f>IF(Metadata!AC240="",FALSE,TRUE)</f>
        <v>0</v>
      </c>
    </row>
    <row r="241" spans="1:67">
      <c r="A241" s="5">
        <f>IF(B241=" "," ",HYPERLINK(CONCATENATE("#metadata!",ADDRESS(INDEX($AI$2:$AI$1001,MATCH(ROWS($AG$2:AG241),$AG$2:$AG$1001,0),0),1)),INDEX($AL$2:$AL$1001,MATCH(ROWS($AG$2:AG241),$AG$2:$AG$1001,0),0)))</f>
        <v>0</v>
      </c>
      <c r="B241" s="4">
        <f>IF(OR(INDEX($AH$2:$AH$1001,MATCH(ROWS($AG$2:AG241),$AG$2:$AG$1001,0),1)&gt;=100000,INDEX($AN$1005:$BO$1005,1,MATCH(COLUMNS($AN$1006:AN1006),$AN$1006:$BO$1006,0))&gt;=100000), " ",IF(INDEX($AN$2:$BO$1001,MATCH(ROWS($AG$2:AG241),$AG$2:$AG$1001,0),MATCH(COLUMNS($AN$1006:AN1006),$AN$1006:$BO$1006,0)), HYPERLINK("#",""), HYPERLINK(CONCATENATE("#Metadata!", ADDRESS(INDEX($AI$2:$AI$1001,MATCH(ROWS($AG$2:AG241),$AG$2:$AG$1001,0),0), INDEX($AN$1004:$BO$1004,1,MATCH(COLUMNS($AN$1006:AN1006),$AN$1006:$BO$1006,0)))),"Fix")))</f>
        <v>0</v>
      </c>
      <c r="C241" s="4">
        <f>IF(OR(INDEX($AH$2:$AH$1001,MATCH(ROWS($AG$2:AG241),$AG$2:$AG$1001,0),1)&gt;=100000,INDEX($AN$1005:$BO$1005,1,MATCH(COLUMNS($AN$1006:AO1006),$AN$1006:$BO$1006,0))&gt;=100000), " ",IF(INDEX($AN$2:$BO$1001,MATCH(ROWS($AG$2:AG241),$AG$2:$AG$1001,0),MATCH(COLUMNS($AN$1006:AO1006),$AN$1006:$BO$1006,0)), HYPERLINK("#",""), HYPERLINK(CONCATENATE("#Metadata!", ADDRESS(INDEX($AI$2:$AI$1001,MATCH(ROWS($AG$2:AG241),$AG$2:$AG$1001,0),0), INDEX($AN$1004:$BO$1004,1,MATCH(COLUMNS($AN$1006:AO1006),$AN$1006:$BO$1006,0)))),"Fix")))</f>
        <v>0</v>
      </c>
      <c r="D241" s="4">
        <f>IF(OR(INDEX($AH$2:$AH$1001,MATCH(ROWS($AG$2:AG241),$AG$2:$AG$1001,0),1)&gt;=100000,INDEX($AN$1005:$BO$1005,1,MATCH(COLUMNS($AN$1006:AP1006),$AN$1006:$BO$1006,0))&gt;=100000), " ",IF(INDEX($AN$2:$BO$1001,MATCH(ROWS($AG$2:AG241),$AG$2:$AG$1001,0),MATCH(COLUMNS($AN$1006:AP1006),$AN$1006:$BO$1006,0)), HYPERLINK("#",""), HYPERLINK(CONCATENATE("#Metadata!", ADDRESS(INDEX($AI$2:$AI$1001,MATCH(ROWS($AG$2:AG241),$AG$2:$AG$1001,0),0), INDEX($AN$1004:$BO$1004,1,MATCH(COLUMNS($AN$1006:AP1006),$AN$1006:$BO$1006,0)))),"Fix")))</f>
        <v>0</v>
      </c>
      <c r="E241" s="4">
        <f>IF(OR(INDEX($AH$2:$AH$1001,MATCH(ROWS($AG$2:AG241),$AG$2:$AG$1001,0),1)&gt;=100000,INDEX($AN$1005:$BO$1005,1,MATCH(COLUMNS($AN$1006:AQ1006),$AN$1006:$BO$1006,0))&gt;=100000), " ",IF(INDEX($AN$2:$BO$1001,MATCH(ROWS($AG$2:AG241),$AG$2:$AG$1001,0),MATCH(COLUMNS($AN$1006:AQ1006),$AN$1006:$BO$1006,0)), HYPERLINK("#",""), HYPERLINK(CONCATENATE("#Metadata!", ADDRESS(INDEX($AI$2:$AI$1001,MATCH(ROWS($AG$2:AG241),$AG$2:$AG$1001,0),0), INDEX($AN$1004:$BO$1004,1,MATCH(COLUMNS($AN$1006:AQ1006),$AN$1006:$BO$1006,0)))),"Fix")))</f>
        <v>0</v>
      </c>
      <c r="F241" s="4">
        <f>IF(OR(INDEX($AH$2:$AH$1001,MATCH(ROWS($AG$2:AG241),$AG$2:$AG$1001,0),1)&gt;=100000,INDEX($AN$1005:$BO$1005,1,MATCH(COLUMNS($AN$1006:AR1006),$AN$1006:$BO$1006,0))&gt;=100000), " ",IF(INDEX($AN$2:$BO$1001,MATCH(ROWS($AG$2:AG241),$AG$2:$AG$1001,0),MATCH(COLUMNS($AN$1006:AR1006),$AN$1006:$BO$1006,0)), HYPERLINK("#",""), HYPERLINK(CONCATENATE("#Metadata!", ADDRESS(INDEX($AI$2:$AI$1001,MATCH(ROWS($AG$2:AG241),$AG$2:$AG$1001,0),0), INDEX($AN$1004:$BO$1004,1,MATCH(COLUMNS($AN$1006:AR1006),$AN$1006:$BO$1006,0)))),"Fix")))</f>
        <v>0</v>
      </c>
      <c r="G241" s="4">
        <f>IF(OR(INDEX($AH$2:$AH$1001,MATCH(ROWS($AG$2:AG241),$AG$2:$AG$1001,0),1)&gt;=100000,INDEX($AN$1005:$BO$1005,1,MATCH(COLUMNS($AN$1006:AS1006),$AN$1006:$BO$1006,0))&gt;=100000), " ",IF(INDEX($AN$2:$BO$1001,MATCH(ROWS($AG$2:AG241),$AG$2:$AG$1001,0),MATCH(COLUMNS($AN$1006:AS1006),$AN$1006:$BO$1006,0)), HYPERLINK("#",""), HYPERLINK(CONCATENATE("#Metadata!", ADDRESS(INDEX($AI$2:$AI$1001,MATCH(ROWS($AG$2:AG241),$AG$2:$AG$1001,0),0), INDEX($AN$1004:$BO$1004,1,MATCH(COLUMNS($AN$1006:AS1006),$AN$1006:$BO$1006,0)))),"Fix")))</f>
        <v>0</v>
      </c>
      <c r="H241" s="4">
        <f>IF(OR(INDEX($AH$2:$AH$1001,MATCH(ROWS($AG$2:AG241),$AG$2:$AG$1001,0),1)&gt;=100000,INDEX($AN$1005:$BO$1005,1,MATCH(COLUMNS($AN$1006:AT1006),$AN$1006:$BO$1006,0))&gt;=100000), " ",IF(INDEX($AN$2:$BO$1001,MATCH(ROWS($AG$2:AG241),$AG$2:$AG$1001,0),MATCH(COLUMNS($AN$1006:AT1006),$AN$1006:$BO$1006,0)), HYPERLINK("#",""), HYPERLINK(CONCATENATE("#Metadata!", ADDRESS(INDEX($AI$2:$AI$1001,MATCH(ROWS($AG$2:AG241),$AG$2:$AG$1001,0),0), INDEX($AN$1004:$BO$1004,1,MATCH(COLUMNS($AN$1006:AT1006),$AN$1006:$BO$1006,0)))),"Fix")))</f>
        <v>0</v>
      </c>
      <c r="I241" s="4">
        <f>IF(OR(INDEX($AH$2:$AH$1001,MATCH(ROWS($AG$2:AG241),$AG$2:$AG$1001,0),1)&gt;=100000,INDEX($AN$1005:$BO$1005,1,MATCH(COLUMNS($AN$1006:AU1006),$AN$1006:$BO$1006,0))&gt;=100000), " ",IF(INDEX($AN$2:$BO$1001,MATCH(ROWS($AG$2:AG241),$AG$2:$AG$1001,0),MATCH(COLUMNS($AN$1006:AU1006),$AN$1006:$BO$1006,0)), HYPERLINK("#",""), HYPERLINK(CONCATENATE("#Metadata!", ADDRESS(INDEX($AI$2:$AI$1001,MATCH(ROWS($AG$2:AG241),$AG$2:$AG$1001,0),0), INDEX($AN$1004:$BO$1004,1,MATCH(COLUMNS($AN$1006:AU1006),$AN$1006:$BO$1006,0)))),"Fix")))</f>
        <v>0</v>
      </c>
      <c r="J241" s="4">
        <f>IF(OR(INDEX($AH$2:$AH$1001,MATCH(ROWS($AG$2:AG241),$AG$2:$AG$1001,0),1)&gt;=100000,INDEX($AN$1005:$BO$1005,1,MATCH(COLUMNS($AN$1006:AV1006),$AN$1006:$BO$1006,0))&gt;=100000), " ",IF(INDEX($AN$2:$BO$1001,MATCH(ROWS($AG$2:AG241),$AG$2:$AG$1001,0),MATCH(COLUMNS($AN$1006:AV1006),$AN$1006:$BO$1006,0)), HYPERLINK("#",""), HYPERLINK(CONCATENATE("#Metadata!", ADDRESS(INDEX($AI$2:$AI$1001,MATCH(ROWS($AG$2:AG241),$AG$2:$AG$1001,0),0), INDEX($AN$1004:$BO$1004,1,MATCH(COLUMNS($AN$1006:AV1006),$AN$1006:$BO$1006,0)))),"Fix")))</f>
        <v>0</v>
      </c>
      <c r="K241" s="4">
        <f>IF(OR(INDEX($AH$2:$AH$1001,MATCH(ROWS($AG$2:AG241),$AG$2:$AG$1001,0),1)&gt;=100000,INDEX($AN$1005:$BO$1005,1,MATCH(COLUMNS($AN$1006:AW1006),$AN$1006:$BO$1006,0))&gt;=100000), " ",IF(INDEX($AN$2:$BO$1001,MATCH(ROWS($AG$2:AG241),$AG$2:$AG$1001,0),MATCH(COLUMNS($AN$1006:AW1006),$AN$1006:$BO$1006,0)), HYPERLINK("#",""), HYPERLINK(CONCATENATE("#Metadata!", ADDRESS(INDEX($AI$2:$AI$1001,MATCH(ROWS($AG$2:AG241),$AG$2:$AG$1001,0),0), INDEX($AN$1004:$BO$1004,1,MATCH(COLUMNS($AN$1006:AW1006),$AN$1006:$BO$1006,0)))),"Fix")))</f>
        <v>0</v>
      </c>
      <c r="L241" s="4">
        <f>IF(OR(INDEX($AH$2:$AH$1001,MATCH(ROWS($AG$2:AG241),$AG$2:$AG$1001,0),1)&gt;=100000,INDEX($AN$1005:$BO$1005,1,MATCH(COLUMNS($AN$1006:AX1006),$AN$1006:$BO$1006,0))&gt;=100000), " ",IF(INDEX($AN$2:$BO$1001,MATCH(ROWS($AG$2:AG241),$AG$2:$AG$1001,0),MATCH(COLUMNS($AN$1006:AX1006),$AN$1006:$BO$1006,0)), HYPERLINK("#",""), HYPERLINK(CONCATENATE("#Metadata!", ADDRESS(INDEX($AI$2:$AI$1001,MATCH(ROWS($AG$2:AG241),$AG$2:$AG$1001,0),0), INDEX($AN$1004:$BO$1004,1,MATCH(COLUMNS($AN$1006:AX1006),$AN$1006:$BO$1006,0)))),"Fix")))</f>
        <v>0</v>
      </c>
      <c r="M241" s="4">
        <f>IF(OR(INDEX($AH$2:$AH$1001,MATCH(ROWS($AG$2:AG241),$AG$2:$AG$1001,0),1)&gt;=100000,INDEX($AN$1005:$BO$1005,1,MATCH(COLUMNS($AN$1006:AY1006),$AN$1006:$BO$1006,0))&gt;=100000), " ",IF(INDEX($AN$2:$BO$1001,MATCH(ROWS($AG$2:AG241),$AG$2:$AG$1001,0),MATCH(COLUMNS($AN$1006:AY1006),$AN$1006:$BO$1006,0)), HYPERLINK("#",""), HYPERLINK(CONCATENATE("#Metadata!", ADDRESS(INDEX($AI$2:$AI$1001,MATCH(ROWS($AG$2:AG241),$AG$2:$AG$1001,0),0), INDEX($AN$1004:$BO$1004,1,MATCH(COLUMNS($AN$1006:AY1006),$AN$1006:$BO$1006,0)))),"Fix")))</f>
        <v>0</v>
      </c>
      <c r="N241" s="4">
        <f>IF(OR(INDEX($AH$2:$AH$1001,MATCH(ROWS($AG$2:AG241),$AG$2:$AG$1001,0),1)&gt;=100000,INDEX($AN$1005:$BO$1005,1,MATCH(COLUMNS($AN$1006:AZ1006),$AN$1006:$BO$1006,0))&gt;=100000), " ",IF(INDEX($AN$2:$BO$1001,MATCH(ROWS($AG$2:AG241),$AG$2:$AG$1001,0),MATCH(COLUMNS($AN$1006:AZ1006),$AN$1006:$BO$1006,0)), HYPERLINK("#",""), HYPERLINK(CONCATENATE("#Metadata!", ADDRESS(INDEX($AI$2:$AI$1001,MATCH(ROWS($AG$2:AG241),$AG$2:$AG$1001,0),0), INDEX($AN$1004:$BO$1004,1,MATCH(COLUMNS($AN$1006:AZ1006),$AN$1006:$BO$1006,0)))),"Fix")))</f>
        <v>0</v>
      </c>
      <c r="O241" s="4">
        <f>IF(OR(INDEX($AH$2:$AH$1001,MATCH(ROWS($AG$2:AG241),$AG$2:$AG$1001,0),1)&gt;=100000,INDEX($AN$1005:$BO$1005,1,MATCH(COLUMNS($AN$1006:BA1006),$AN$1006:$BO$1006,0))&gt;=100000), " ",IF(INDEX($AN$2:$BO$1001,MATCH(ROWS($AG$2:AG241),$AG$2:$AG$1001,0),MATCH(COLUMNS($AN$1006:BA1006),$AN$1006:$BO$1006,0)), HYPERLINK("#",""), HYPERLINK(CONCATENATE("#Metadata!", ADDRESS(INDEX($AI$2:$AI$1001,MATCH(ROWS($AG$2:AG241),$AG$2:$AG$1001,0),0), INDEX($AN$1004:$BO$1004,1,MATCH(COLUMNS($AN$1006:BA1006),$AN$1006:$BO$1006,0)))),"Fix")))</f>
        <v>0</v>
      </c>
      <c r="P241" s="4">
        <f>IF(OR(INDEX($AH$2:$AH$1001,MATCH(ROWS($AG$2:AG241),$AG$2:$AG$1001,0),1)&gt;=100000,INDEX($AN$1005:$BO$1005,1,MATCH(COLUMNS($AN$1006:BB1006),$AN$1006:$BO$1006,0))&gt;=100000), " ",IF(INDEX($AN$2:$BO$1001,MATCH(ROWS($AG$2:AG241),$AG$2:$AG$1001,0),MATCH(COLUMNS($AN$1006:BB1006),$AN$1006:$BO$1006,0)), HYPERLINK("#",""), HYPERLINK(CONCATENATE("#Metadata!", ADDRESS(INDEX($AI$2:$AI$1001,MATCH(ROWS($AG$2:AG241),$AG$2:$AG$1001,0),0), INDEX($AN$1004:$BO$1004,1,MATCH(COLUMNS($AN$1006:BB1006),$AN$1006:$BO$1006,0)))),"Fix")))</f>
        <v>0</v>
      </c>
      <c r="Q241" s="4">
        <f>IF(OR(INDEX($AH$2:$AH$1001,MATCH(ROWS($AG$2:AG241),$AG$2:$AG$1001,0),1)&gt;=100000,INDEX($AN$1005:$BO$1005,1,MATCH(COLUMNS($AN$1006:BC1006),$AN$1006:$BO$1006,0))&gt;=100000), " ",IF(INDEX($AN$2:$BO$1001,MATCH(ROWS($AG$2:AG241),$AG$2:$AG$1001,0),MATCH(COLUMNS($AN$1006:BC1006),$AN$1006:$BO$1006,0)), HYPERLINK("#",""), HYPERLINK(CONCATENATE("#Metadata!", ADDRESS(INDEX($AI$2:$AI$1001,MATCH(ROWS($AG$2:AG241),$AG$2:$AG$1001,0),0), INDEX($AN$1004:$BO$1004,1,MATCH(COLUMNS($AN$1006:BC1006),$AN$1006:$BO$1006,0)))),"Fix")))</f>
        <v>0</v>
      </c>
      <c r="R241" s="4">
        <f>IF(OR(INDEX($AH$2:$AH$1001,MATCH(ROWS($AG$2:AG241),$AG$2:$AG$1001,0),1)&gt;=100000,INDEX($AN$1005:$BO$1005,1,MATCH(COLUMNS($AN$1006:BD1006),$AN$1006:$BO$1006,0))&gt;=100000), " ",IF(INDEX($AN$2:$BO$1001,MATCH(ROWS($AG$2:AG241),$AG$2:$AG$1001,0),MATCH(COLUMNS($AN$1006:BD1006),$AN$1006:$BO$1006,0)), HYPERLINK("#",""), HYPERLINK(CONCATENATE("#Metadata!", ADDRESS(INDEX($AI$2:$AI$1001,MATCH(ROWS($AG$2:AG241),$AG$2:$AG$1001,0),0), INDEX($AN$1004:$BO$1004,1,MATCH(COLUMNS($AN$1006:BD1006),$AN$1006:$BO$1006,0)))),"Fix")))</f>
        <v>0</v>
      </c>
      <c r="S241" s="4">
        <f>IF(OR(INDEX($AH$2:$AH$1001,MATCH(ROWS($AG$2:AG241),$AG$2:$AG$1001,0),1)&gt;=100000,INDEX($AN$1005:$BO$1005,1,MATCH(COLUMNS($AN$1006:BE1006),$AN$1006:$BO$1006,0))&gt;=100000), " ",IF(INDEX($AN$2:$BO$1001,MATCH(ROWS($AG$2:AG241),$AG$2:$AG$1001,0),MATCH(COLUMNS($AN$1006:BE1006),$AN$1006:$BO$1006,0)), HYPERLINK("#",""), HYPERLINK(CONCATENATE("#Metadata!", ADDRESS(INDEX($AI$2:$AI$1001,MATCH(ROWS($AG$2:AG241),$AG$2:$AG$1001,0),0), INDEX($AN$1004:$BO$1004,1,MATCH(COLUMNS($AN$1006:BE1006),$AN$1006:$BO$1006,0)))),"Fix")))</f>
        <v>0</v>
      </c>
      <c r="T241" s="4">
        <f>IF(OR(INDEX($AH$2:$AH$1001,MATCH(ROWS($AG$2:AG241),$AG$2:$AG$1001,0),1)&gt;=100000,INDEX($AN$1005:$BO$1005,1,MATCH(COLUMNS($AN$1006:BF1006),$AN$1006:$BO$1006,0))&gt;=100000), " ",IF(INDEX($AN$2:$BO$1001,MATCH(ROWS($AG$2:AG241),$AG$2:$AG$1001,0),MATCH(COLUMNS($AN$1006:BF1006),$AN$1006:$BO$1006,0)), HYPERLINK("#",""), HYPERLINK(CONCATENATE("#Metadata!", ADDRESS(INDEX($AI$2:$AI$1001,MATCH(ROWS($AG$2:AG241),$AG$2:$AG$1001,0),0), INDEX($AN$1004:$BO$1004,1,MATCH(COLUMNS($AN$1006:BF1006),$AN$1006:$BO$1006,0)))),"Fix")))</f>
        <v>0</v>
      </c>
      <c r="U241" s="4">
        <f>IF(OR(INDEX($AH$2:$AH$1001,MATCH(ROWS($AG$2:AG241),$AG$2:$AG$1001,0),1)&gt;=100000,INDEX($AN$1005:$BO$1005,1,MATCH(COLUMNS($AN$1006:BG1006),$AN$1006:$BO$1006,0))&gt;=100000), " ",IF(INDEX($AN$2:$BO$1001,MATCH(ROWS($AG$2:AG241),$AG$2:$AG$1001,0),MATCH(COLUMNS($AN$1006:BG1006),$AN$1006:$BO$1006,0)), HYPERLINK("#",""), HYPERLINK(CONCATENATE("#Metadata!", ADDRESS(INDEX($AI$2:$AI$1001,MATCH(ROWS($AG$2:AG241),$AG$2:$AG$1001,0),0), INDEX($AN$1004:$BO$1004,1,MATCH(COLUMNS($AN$1006:BG1006),$AN$1006:$BO$1006,0)))),"Fix")))</f>
        <v>0</v>
      </c>
      <c r="V241" s="4">
        <f>IF(OR(INDEX($AH$2:$AH$1001,MATCH(ROWS($AG$2:AG241),$AG$2:$AG$1001,0),1)&gt;=100000,INDEX($AN$1005:$BO$1005,1,MATCH(COLUMNS($AN$1006:BH1006),$AN$1006:$BO$1006,0))&gt;=100000), " ",IF(INDEX($AN$2:$BO$1001,MATCH(ROWS($AG$2:AG241),$AG$2:$AG$1001,0),MATCH(COLUMNS($AN$1006:BH1006),$AN$1006:$BO$1006,0)), HYPERLINK("#",""), HYPERLINK(CONCATENATE("#Metadata!", ADDRESS(INDEX($AI$2:$AI$1001,MATCH(ROWS($AG$2:AG241),$AG$2:$AG$1001,0),0), INDEX($AN$1004:$BO$1004,1,MATCH(COLUMNS($AN$1006:BH1006),$AN$1006:$BO$1006,0)))),"Fix")))</f>
        <v>0</v>
      </c>
      <c r="W241" s="4">
        <f>IF(OR(INDEX($AH$2:$AH$1001,MATCH(ROWS($AG$2:AG241),$AG$2:$AG$1001,0),1)&gt;=100000,INDEX($AN$1005:$BO$1005,1,MATCH(COLUMNS($AN$1006:BI1006),$AN$1006:$BO$1006,0))&gt;=100000), " ",IF(INDEX($AN$2:$BO$1001,MATCH(ROWS($AG$2:AG241),$AG$2:$AG$1001,0),MATCH(COLUMNS($AN$1006:BI1006),$AN$1006:$BO$1006,0)), HYPERLINK("#",""), HYPERLINK(CONCATENATE("#Metadata!", ADDRESS(INDEX($AI$2:$AI$1001,MATCH(ROWS($AG$2:AG241),$AG$2:$AG$1001,0),0), INDEX($AN$1004:$BO$1004,1,MATCH(COLUMNS($AN$1006:BI1006),$AN$1006:$BO$1006,0)))),"Fix")))</f>
        <v>0</v>
      </c>
      <c r="X241" s="4">
        <f>IF(OR(INDEX($AH$2:$AH$1001,MATCH(ROWS($AG$2:AG241),$AG$2:$AG$1001,0),1)&gt;=100000,INDEX($AN$1005:$BO$1005,1,MATCH(COLUMNS($AN$1006:BJ1006),$AN$1006:$BO$1006,0))&gt;=100000), " ",IF(INDEX($AN$2:$BO$1001,MATCH(ROWS($AG$2:AG241),$AG$2:$AG$1001,0),MATCH(COLUMNS($AN$1006:BJ1006),$AN$1006:$BO$1006,0)), HYPERLINK("#",""), HYPERLINK(CONCATENATE("#Metadata!", ADDRESS(INDEX($AI$2:$AI$1001,MATCH(ROWS($AG$2:AG241),$AG$2:$AG$1001,0),0), INDEX($AN$1004:$BO$1004,1,MATCH(COLUMNS($AN$1006:BJ1006),$AN$1006:$BO$1006,0)))),"Fix")))</f>
        <v>0</v>
      </c>
      <c r="Y241" s="4">
        <f>IF(OR(INDEX($AH$2:$AH$1001,MATCH(ROWS($AG$2:AG241),$AG$2:$AG$1001,0),1)&gt;=100000,INDEX($AN$1005:$BO$1005,1,MATCH(COLUMNS($AN$1006:BK1006),$AN$1006:$BO$1006,0))&gt;=100000), " ",IF(INDEX($AN$2:$BO$1001,MATCH(ROWS($AG$2:AG241),$AG$2:$AG$1001,0),MATCH(COLUMNS($AN$1006:BK1006),$AN$1006:$BO$1006,0)), HYPERLINK("#",""), HYPERLINK(CONCATENATE("#Metadata!", ADDRESS(INDEX($AI$2:$AI$1001,MATCH(ROWS($AG$2:AG241),$AG$2:$AG$1001,0),0), INDEX($AN$1004:$BO$1004,1,MATCH(COLUMNS($AN$1006:BK1006),$AN$1006:$BO$1006,0)))),"Fix")))</f>
        <v>0</v>
      </c>
      <c r="Z241" s="4">
        <f>IF(OR(INDEX($AH$2:$AH$1001,MATCH(ROWS($AG$2:AG241),$AG$2:$AG$1001,0),1)&gt;=100000,INDEX($AN$1005:$BO$1005,1,MATCH(COLUMNS($AN$1006:BL1006),$AN$1006:$BO$1006,0))&gt;=100000), " ",IF(INDEX($AN$2:$BO$1001,MATCH(ROWS($AG$2:AG241),$AG$2:$AG$1001,0),MATCH(COLUMNS($AN$1006:BL1006),$AN$1006:$BO$1006,0)), HYPERLINK("#",""), HYPERLINK(CONCATENATE("#Metadata!", ADDRESS(INDEX($AI$2:$AI$1001,MATCH(ROWS($AG$2:AG241),$AG$2:$AG$1001,0),0), INDEX($AN$1004:$BO$1004,1,MATCH(COLUMNS($AN$1006:BL1006),$AN$1006:$BO$1006,0)))),"Fix")))</f>
        <v>0</v>
      </c>
      <c r="AA241" s="4">
        <f>IF(OR(INDEX($AH$2:$AH$1001,MATCH(ROWS($AG$2:AG241),$AG$2:$AG$1001,0),1)&gt;=100000,INDEX($AN$1005:$BO$1005,1,MATCH(COLUMNS($AN$1006:BM1006),$AN$1006:$BO$1006,0))&gt;=100000), " ",IF(INDEX($AN$2:$BO$1001,MATCH(ROWS($AG$2:AG241),$AG$2:$AG$1001,0),MATCH(COLUMNS($AN$1006:BM1006),$AN$1006:$BO$1006,0)), HYPERLINK("#",""), HYPERLINK(CONCATENATE("#Metadata!", ADDRESS(INDEX($AI$2:$AI$1001,MATCH(ROWS($AG$2:AG241),$AG$2:$AG$1001,0),0), INDEX($AN$1004:$BO$1004,1,MATCH(COLUMNS($AN$1006:BM1006),$AN$1006:$BO$1006,0)))),"Fix")))</f>
        <v>0</v>
      </c>
      <c r="AB241" s="4">
        <f>IF(OR(INDEX($AH$2:$AH$1001,MATCH(ROWS($AG$2:AG241),$AG$2:$AG$1001,0),1)&gt;=100000,INDEX($AN$1005:$BO$1005,1,MATCH(COLUMNS($AN$1006:BN1006),$AN$1006:$BO$1006,0))&gt;=100000), " ",IF(INDEX($AN$2:$BO$1001,MATCH(ROWS($AG$2:AG241),$AG$2:$AG$1001,0),MATCH(COLUMNS($AN$1006:BN1006),$AN$1006:$BO$1006,0)), HYPERLINK("#",""), HYPERLINK(CONCATENATE("#Metadata!", ADDRESS(INDEX($AI$2:$AI$1001,MATCH(ROWS($AG$2:AG241),$AG$2:$AG$1001,0),0), INDEX($AN$1004:$BO$1004,1,MATCH(COLUMNS($AN$1006:BN1006),$AN$1006:$BO$1006,0)))),"Fix")))</f>
        <v>0</v>
      </c>
      <c r="AC241" s="4">
        <f>IF(OR(INDEX($AH$2:$AH$1001,MATCH(ROWS($AG$2:AG241),$AG$2:$AG$1001,0),1)&gt;=100000,INDEX($AN$1005:$BO$1005,1,MATCH(COLUMNS($AN$1006:BO1006),$AN$1006:$BO$1006,0))&gt;=100000), " ",IF(INDEX($AN$2:$BO$1001,MATCH(ROWS($AG$2:AG241),$AG$2:$AG$1001,0),MATCH(COLUMNS($AN$1006:BO1006),$AN$1006:$BO$1006,0)), HYPERLINK("#",""), HYPERLINK(CONCATENATE("#Metadata!", ADDRESS(INDEX($AI$2:$AI$1001,MATCH(ROWS($AG$2:AG241),$AG$2:$AG$1001,0),0), INDEX($AN$1004:$BO$1004,1,MATCH(COLUMNS($AN$1006:BO1006),$AN$1006:$BO$1006,0)))),"Fix")))</f>
        <v>0</v>
      </c>
      <c r="AG241">
        <v>0</v>
      </c>
      <c r="AH241">
        <v>0</v>
      </c>
      <c r="AI241">
        <v>0</v>
      </c>
      <c r="AJ241">
        <f>IF(AK241,TRUE,AND(AN241:BO241))</f>
        <v>0</v>
      </c>
      <c r="AK241">
        <f>COUNTBLANK(Metadata!B241:AC241)=COLUMNS(Metadata!B241:AC241)</f>
        <v>0</v>
      </c>
      <c r="AL241">
        <v>0</v>
      </c>
      <c r="AN241">
        <f>AND(IF(Metadata!B241="",FALSE,TRUE),COUNTIF(Metadata!B:B, Metadata!B241) = 1,NOT(ISERROR(SUMPRODUCT(SEARCH(MID(Metadata!B241,ROW(INDIRECT("1:"&amp;LEN(Metadata!B241))), 1),"0123456789abcdefghijklmnopqrstuvwxyzABCDEFGHIJKLMNOPQRSTUVWXYZ.")))))</f>
        <v>0</v>
      </c>
      <c r="AO241">
        <f>IF(Metadata!C241="",FALSE,TRUE)</f>
        <v>0</v>
      </c>
      <c r="AP241">
        <f>IF(Metadata!D241="",FALSE,TRUE)</f>
        <v>0</v>
      </c>
      <c r="AQ241">
        <f>OR(AND(IF(Metadata!E241="",FALSE,TRUE),OR(exact(Metadata!E241,"not collected"),exact(Metadata!E241,"not provided"),exact(Metadata!E241,"restricted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R241">
        <f>IF(Metadata!F241="",FALSE,TRUE)</f>
        <v>0</v>
      </c>
      <c r="AS241">
        <f>OR(AND(IF(Metadata!G241="",FALSE,TRUE),OR(exact(Metadata!G241,"not collected"),exact(Metadata!G241,"not provided"))),AND(IF(Metadata!G241="",FALSE,TRUE),OR(exact(Metadata!G241,"TRUE"),exact(Metadata!G241,"FALSE"))))</f>
        <v>0</v>
      </c>
      <c r="AT241">
        <f>OR(AND(IF(Metadata!H241="",FALSE,TRUE),OR(exact(Metadata!H241,"not collected"),exact(Metadata!H241,"not provided"),exact(Metadata!H241,"restricted access"))),AND(IF(Metadata!H241="",FALSE,ISNUMBER(VALUE(Metadata!H241))),Metadata!H241&gt;=-413.0))</f>
        <v>0</v>
      </c>
      <c r="AU241">
        <f>AND(IF(Metadata!I241="",FALSE,TRUE),exact(Metadata!I241,"meters"))</f>
        <v>0</v>
      </c>
      <c r="AV241">
        <f>AND(IF(Metadata!J241="",FALSE,TRUE),OR(exact(Metadata!J241,"Host-associated"),exact(Metadata!J241,"Free-living")))</f>
        <v>0</v>
      </c>
      <c r="AW241">
        <f>AND(IF(Metadata!K241="",FALSE,TRUE),OR(exact(Metadata!K241,"Animal"),exact(Metadata!K241,"Fungus"),exact(Metadata!K241,"Plant"),exact(Metadata!K241,"Saline"),exact(Metadata!K241,"Non-saline")))</f>
        <v>0</v>
      </c>
      <c r="AX241">
        <f>AND(IF(Metadata!L241="",FALSE,TRUE),OR(exact(Metadata!L241,"Plant secretion"),exact(Metadata!L241,"Plant rhizosphere"),exact(Metadata!L241,"Plant surface"),exact(Metadata!L241,"Plant corpus"),exact(Metadata!L241,"Fungus surface"),exact(Metadata!L241,"Fungus corpus"),exact(Metadata!L241,"Animal surface"),exact(Metadata!L241,"Animal proximal gut"),exact(Metadata!L241,"Animal corpus"),exact(Metadata!L241,"Animal distal gut"),exact(Metadata!L241,"Animal secretion"),exact(Metadata!L241,"Sub-surface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Y241">
        <f>IF(Metadata!M241="",FALSE,TRUE)</f>
        <v>0</v>
      </c>
      <c r="AZ241">
        <f>IF(Metadata!N241="",FALSE,TRUE)</f>
        <v>0</v>
      </c>
      <c r="BA241">
        <f>IF(Metadata!O241="",FALSE,TRUE)</f>
        <v>0</v>
      </c>
      <c r="BB241">
        <f>OR(AND(IF(Metadata!P241="",FALSE,TRUE),OR(exact(Metadata!P241,"not collected"),exact(Metadata!P241,"not provided"),exact(Metadata!P241,"restricted access"))),AND(IF(Metadata!P241="",FALSE,TRUE),OR(exact(Metadata!P241,"air"),exact(Metadata!P241,"built environment"),exact(Metadata!P241,"host-associated"),exact(Metadata!P241,"human-associated"),exact(Metadata!P241,"human-skin"),exact(Metadata!P241,"human-oral"),exact(Metadata!P241,"human-gut"),exact(Metadata!P241,"human-vaginal"),exact(Metadata!P241,"microbial mat/biofilm"),exact(Metadata!P241,"misc environment"),exact(Metadata!P241,"plant-associated"),exact(Metadata!P241,"sediment"),exact(Metadata!P241,"soil"),exact(Metadata!P241,"wastewater/sludge"),exact(Metadata!P241,"water"))))</f>
        <v>0</v>
      </c>
      <c r="BC241">
        <f>IF(Metadata!Q241="",FALSE,TRUE)</f>
        <v>0</v>
      </c>
      <c r="BD241">
        <f>IF(Metadata!R241="",FALSE,TRUE)</f>
        <v>0</v>
      </c>
      <c r="BE241">
        <f>OR(AND(IF(Metadata!S241="",FALSE,TRUE),OR(exact(Metadata!S241,"not collected"),exact(Metadata!S241,"not provided"),exact(Metadata!S241,"restricted access"))),AND(IF(Metadata!S241="",FALSE,ISNUMBER(VALUE(Metadata!S241))),Metadata!S241&gt;=-90.00,Metadata!S241&lt;=90.00))</f>
        <v>0</v>
      </c>
      <c r="BF241">
        <f>AND(IF(Metadata!T241="",FALSE,TRUE),exact(Metadata!T241,"Decimal degrees"))</f>
        <v>0</v>
      </c>
      <c r="BG241">
        <f>OR(AND(IF(Metadata!U241="",FALSE,TRUE),OR(exact(Metadata!U241,"not collected"),exact(Metadata!U241,"not provided"),exact(Metadata!U241,"restricted access"))),AND(IF(Metadata!U241="",FALSE,ISNUMBER(VALUE(Metadata!U241))),Metadata!U241&gt;=-180.00,Metadata!U241&lt;=180.00))</f>
        <v>0</v>
      </c>
      <c r="BH241">
        <f>AND(IF(Metadata!V241="",FALSE,TRUE),exact(Metadata!V241,"Decimal degrees"))</f>
        <v>0</v>
      </c>
      <c r="BI241">
        <f>IF(Metadata!W241="",FALSE,TRUE)</f>
        <v>0</v>
      </c>
      <c r="BJ241">
        <f>OR(AND(IF(Metadata!X241="",FALSE,TRUE),OR(exact(Metadata!X241,"not collected"),exact(Metadata!X241,"not provided"),exact(Metadata!X241,"restricted access"))),AND(IF(Metadata!X241="",FALSE,TRUE),OR(exact(Metadata!X241,"TRUE"),exact(Metadata!X241,"FALSE"))))</f>
        <v>0</v>
      </c>
      <c r="BK241">
        <f>AND(IF(Metadata!Y241="",FALSE,TRUE),exact(Metadata!Y241,"other"))</f>
        <v>0</v>
      </c>
      <c r="BL241">
        <f>IF(Metadata!Z241="",FALSE,TRUE)</f>
        <v>0</v>
      </c>
      <c r="BM241">
        <f>OR(AND(IF(Metadata!AA241="",FALSE,TRUE),OR(exact(Metadata!AA241,"not collected"),exact(Metadata!AA241,"not provided"))),AND(IF(Metadata!AA241="",FALSE,IF(ISERROR(INT(Metadata!AA241)),FALSE,INT(Metadata!AA241)=Metadata!AA241)),Metadata!AA241&gt;0))</f>
        <v>0</v>
      </c>
      <c r="BN241">
        <f>AND(IF(Metadata!AB241="",FALSE,TRUE),exact(Metadata!AB241,"Not applicable"))</f>
        <v>0</v>
      </c>
      <c r="BO241">
        <f>IF(Metadata!AC241="",FALSE,TRUE)</f>
        <v>0</v>
      </c>
    </row>
    <row r="242" spans="1:67">
      <c r="A242" s="5">
        <f>IF(B242=" "," ",HYPERLINK(CONCATENATE("#metadata!",ADDRESS(INDEX($AI$2:$AI$1001,MATCH(ROWS($AG$2:AG242),$AG$2:$AG$1001,0),0),1)),INDEX($AL$2:$AL$1001,MATCH(ROWS($AG$2:AG242),$AG$2:$AG$1001,0),0)))</f>
        <v>0</v>
      </c>
      <c r="B242" s="4">
        <f>IF(OR(INDEX($AH$2:$AH$1001,MATCH(ROWS($AG$2:AG242),$AG$2:$AG$1001,0),1)&gt;=100000,INDEX($AN$1005:$BO$1005,1,MATCH(COLUMNS($AN$1006:AN1006),$AN$1006:$BO$1006,0))&gt;=100000), " ",IF(INDEX($AN$2:$BO$1001,MATCH(ROWS($AG$2:AG242),$AG$2:$AG$1001,0),MATCH(COLUMNS($AN$1006:AN1006),$AN$1006:$BO$1006,0)), HYPERLINK("#",""), HYPERLINK(CONCATENATE("#Metadata!", ADDRESS(INDEX($AI$2:$AI$1001,MATCH(ROWS($AG$2:AG242),$AG$2:$AG$1001,0),0), INDEX($AN$1004:$BO$1004,1,MATCH(COLUMNS($AN$1006:AN1006),$AN$1006:$BO$1006,0)))),"Fix")))</f>
        <v>0</v>
      </c>
      <c r="C242" s="4">
        <f>IF(OR(INDEX($AH$2:$AH$1001,MATCH(ROWS($AG$2:AG242),$AG$2:$AG$1001,0),1)&gt;=100000,INDEX($AN$1005:$BO$1005,1,MATCH(COLUMNS($AN$1006:AO1006),$AN$1006:$BO$1006,0))&gt;=100000), " ",IF(INDEX($AN$2:$BO$1001,MATCH(ROWS($AG$2:AG242),$AG$2:$AG$1001,0),MATCH(COLUMNS($AN$1006:AO1006),$AN$1006:$BO$1006,0)), HYPERLINK("#",""), HYPERLINK(CONCATENATE("#Metadata!", ADDRESS(INDEX($AI$2:$AI$1001,MATCH(ROWS($AG$2:AG242),$AG$2:$AG$1001,0),0), INDEX($AN$1004:$BO$1004,1,MATCH(COLUMNS($AN$1006:AO1006),$AN$1006:$BO$1006,0)))),"Fix")))</f>
        <v>0</v>
      </c>
      <c r="D242" s="4">
        <f>IF(OR(INDEX($AH$2:$AH$1001,MATCH(ROWS($AG$2:AG242),$AG$2:$AG$1001,0),1)&gt;=100000,INDEX($AN$1005:$BO$1005,1,MATCH(COLUMNS($AN$1006:AP1006),$AN$1006:$BO$1006,0))&gt;=100000), " ",IF(INDEX($AN$2:$BO$1001,MATCH(ROWS($AG$2:AG242),$AG$2:$AG$1001,0),MATCH(COLUMNS($AN$1006:AP1006),$AN$1006:$BO$1006,0)), HYPERLINK("#",""), HYPERLINK(CONCATENATE("#Metadata!", ADDRESS(INDEX($AI$2:$AI$1001,MATCH(ROWS($AG$2:AG242),$AG$2:$AG$1001,0),0), INDEX($AN$1004:$BO$1004,1,MATCH(COLUMNS($AN$1006:AP1006),$AN$1006:$BO$1006,0)))),"Fix")))</f>
        <v>0</v>
      </c>
      <c r="E242" s="4">
        <f>IF(OR(INDEX($AH$2:$AH$1001,MATCH(ROWS($AG$2:AG242),$AG$2:$AG$1001,0),1)&gt;=100000,INDEX($AN$1005:$BO$1005,1,MATCH(COLUMNS($AN$1006:AQ1006),$AN$1006:$BO$1006,0))&gt;=100000), " ",IF(INDEX($AN$2:$BO$1001,MATCH(ROWS($AG$2:AG242),$AG$2:$AG$1001,0),MATCH(COLUMNS($AN$1006:AQ1006),$AN$1006:$BO$1006,0)), HYPERLINK("#",""), HYPERLINK(CONCATENATE("#Metadata!", ADDRESS(INDEX($AI$2:$AI$1001,MATCH(ROWS($AG$2:AG242),$AG$2:$AG$1001,0),0), INDEX($AN$1004:$BO$1004,1,MATCH(COLUMNS($AN$1006:AQ1006),$AN$1006:$BO$1006,0)))),"Fix")))</f>
        <v>0</v>
      </c>
      <c r="F242" s="4">
        <f>IF(OR(INDEX($AH$2:$AH$1001,MATCH(ROWS($AG$2:AG242),$AG$2:$AG$1001,0),1)&gt;=100000,INDEX($AN$1005:$BO$1005,1,MATCH(COLUMNS($AN$1006:AR1006),$AN$1006:$BO$1006,0))&gt;=100000), " ",IF(INDEX($AN$2:$BO$1001,MATCH(ROWS($AG$2:AG242),$AG$2:$AG$1001,0),MATCH(COLUMNS($AN$1006:AR1006),$AN$1006:$BO$1006,0)), HYPERLINK("#",""), HYPERLINK(CONCATENATE("#Metadata!", ADDRESS(INDEX($AI$2:$AI$1001,MATCH(ROWS($AG$2:AG242),$AG$2:$AG$1001,0),0), INDEX($AN$1004:$BO$1004,1,MATCH(COLUMNS($AN$1006:AR1006),$AN$1006:$BO$1006,0)))),"Fix")))</f>
        <v>0</v>
      </c>
      <c r="G242" s="4">
        <f>IF(OR(INDEX($AH$2:$AH$1001,MATCH(ROWS($AG$2:AG242),$AG$2:$AG$1001,0),1)&gt;=100000,INDEX($AN$1005:$BO$1005,1,MATCH(COLUMNS($AN$1006:AS1006),$AN$1006:$BO$1006,0))&gt;=100000), " ",IF(INDEX($AN$2:$BO$1001,MATCH(ROWS($AG$2:AG242),$AG$2:$AG$1001,0),MATCH(COLUMNS($AN$1006:AS1006),$AN$1006:$BO$1006,0)), HYPERLINK("#",""), HYPERLINK(CONCATENATE("#Metadata!", ADDRESS(INDEX($AI$2:$AI$1001,MATCH(ROWS($AG$2:AG242),$AG$2:$AG$1001,0),0), INDEX($AN$1004:$BO$1004,1,MATCH(COLUMNS($AN$1006:AS1006),$AN$1006:$BO$1006,0)))),"Fix")))</f>
        <v>0</v>
      </c>
      <c r="H242" s="4">
        <f>IF(OR(INDEX($AH$2:$AH$1001,MATCH(ROWS($AG$2:AG242),$AG$2:$AG$1001,0),1)&gt;=100000,INDEX($AN$1005:$BO$1005,1,MATCH(COLUMNS($AN$1006:AT1006),$AN$1006:$BO$1006,0))&gt;=100000), " ",IF(INDEX($AN$2:$BO$1001,MATCH(ROWS($AG$2:AG242),$AG$2:$AG$1001,0),MATCH(COLUMNS($AN$1006:AT1006),$AN$1006:$BO$1006,0)), HYPERLINK("#",""), HYPERLINK(CONCATENATE("#Metadata!", ADDRESS(INDEX($AI$2:$AI$1001,MATCH(ROWS($AG$2:AG242),$AG$2:$AG$1001,0),0), INDEX($AN$1004:$BO$1004,1,MATCH(COLUMNS($AN$1006:AT1006),$AN$1006:$BO$1006,0)))),"Fix")))</f>
        <v>0</v>
      </c>
      <c r="I242" s="4">
        <f>IF(OR(INDEX($AH$2:$AH$1001,MATCH(ROWS($AG$2:AG242),$AG$2:$AG$1001,0),1)&gt;=100000,INDEX($AN$1005:$BO$1005,1,MATCH(COLUMNS($AN$1006:AU1006),$AN$1006:$BO$1006,0))&gt;=100000), " ",IF(INDEX($AN$2:$BO$1001,MATCH(ROWS($AG$2:AG242),$AG$2:$AG$1001,0),MATCH(COLUMNS($AN$1006:AU1006),$AN$1006:$BO$1006,0)), HYPERLINK("#",""), HYPERLINK(CONCATENATE("#Metadata!", ADDRESS(INDEX($AI$2:$AI$1001,MATCH(ROWS($AG$2:AG242),$AG$2:$AG$1001,0),0), INDEX($AN$1004:$BO$1004,1,MATCH(COLUMNS($AN$1006:AU1006),$AN$1006:$BO$1006,0)))),"Fix")))</f>
        <v>0</v>
      </c>
      <c r="J242" s="4">
        <f>IF(OR(INDEX($AH$2:$AH$1001,MATCH(ROWS($AG$2:AG242),$AG$2:$AG$1001,0),1)&gt;=100000,INDEX($AN$1005:$BO$1005,1,MATCH(COLUMNS($AN$1006:AV1006),$AN$1006:$BO$1006,0))&gt;=100000), " ",IF(INDEX($AN$2:$BO$1001,MATCH(ROWS($AG$2:AG242),$AG$2:$AG$1001,0),MATCH(COLUMNS($AN$1006:AV1006),$AN$1006:$BO$1006,0)), HYPERLINK("#",""), HYPERLINK(CONCATENATE("#Metadata!", ADDRESS(INDEX($AI$2:$AI$1001,MATCH(ROWS($AG$2:AG242),$AG$2:$AG$1001,0),0), INDEX($AN$1004:$BO$1004,1,MATCH(COLUMNS($AN$1006:AV1006),$AN$1006:$BO$1006,0)))),"Fix")))</f>
        <v>0</v>
      </c>
      <c r="K242" s="4">
        <f>IF(OR(INDEX($AH$2:$AH$1001,MATCH(ROWS($AG$2:AG242),$AG$2:$AG$1001,0),1)&gt;=100000,INDEX($AN$1005:$BO$1005,1,MATCH(COLUMNS($AN$1006:AW1006),$AN$1006:$BO$1006,0))&gt;=100000), " ",IF(INDEX($AN$2:$BO$1001,MATCH(ROWS($AG$2:AG242),$AG$2:$AG$1001,0),MATCH(COLUMNS($AN$1006:AW1006),$AN$1006:$BO$1006,0)), HYPERLINK("#",""), HYPERLINK(CONCATENATE("#Metadata!", ADDRESS(INDEX($AI$2:$AI$1001,MATCH(ROWS($AG$2:AG242),$AG$2:$AG$1001,0),0), INDEX($AN$1004:$BO$1004,1,MATCH(COLUMNS($AN$1006:AW1006),$AN$1006:$BO$1006,0)))),"Fix")))</f>
        <v>0</v>
      </c>
      <c r="L242" s="4">
        <f>IF(OR(INDEX($AH$2:$AH$1001,MATCH(ROWS($AG$2:AG242),$AG$2:$AG$1001,0),1)&gt;=100000,INDEX($AN$1005:$BO$1005,1,MATCH(COLUMNS($AN$1006:AX1006),$AN$1006:$BO$1006,0))&gt;=100000), " ",IF(INDEX($AN$2:$BO$1001,MATCH(ROWS($AG$2:AG242),$AG$2:$AG$1001,0),MATCH(COLUMNS($AN$1006:AX1006),$AN$1006:$BO$1006,0)), HYPERLINK("#",""), HYPERLINK(CONCATENATE("#Metadata!", ADDRESS(INDEX($AI$2:$AI$1001,MATCH(ROWS($AG$2:AG242),$AG$2:$AG$1001,0),0), INDEX($AN$1004:$BO$1004,1,MATCH(COLUMNS($AN$1006:AX1006),$AN$1006:$BO$1006,0)))),"Fix")))</f>
        <v>0</v>
      </c>
      <c r="M242" s="4">
        <f>IF(OR(INDEX($AH$2:$AH$1001,MATCH(ROWS($AG$2:AG242),$AG$2:$AG$1001,0),1)&gt;=100000,INDEX($AN$1005:$BO$1005,1,MATCH(COLUMNS($AN$1006:AY1006),$AN$1006:$BO$1006,0))&gt;=100000), " ",IF(INDEX($AN$2:$BO$1001,MATCH(ROWS($AG$2:AG242),$AG$2:$AG$1001,0),MATCH(COLUMNS($AN$1006:AY1006),$AN$1006:$BO$1006,0)), HYPERLINK("#",""), HYPERLINK(CONCATENATE("#Metadata!", ADDRESS(INDEX($AI$2:$AI$1001,MATCH(ROWS($AG$2:AG242),$AG$2:$AG$1001,0),0), INDEX($AN$1004:$BO$1004,1,MATCH(COLUMNS($AN$1006:AY1006),$AN$1006:$BO$1006,0)))),"Fix")))</f>
        <v>0</v>
      </c>
      <c r="N242" s="4">
        <f>IF(OR(INDEX($AH$2:$AH$1001,MATCH(ROWS($AG$2:AG242),$AG$2:$AG$1001,0),1)&gt;=100000,INDEX($AN$1005:$BO$1005,1,MATCH(COLUMNS($AN$1006:AZ1006),$AN$1006:$BO$1006,0))&gt;=100000), " ",IF(INDEX($AN$2:$BO$1001,MATCH(ROWS($AG$2:AG242),$AG$2:$AG$1001,0),MATCH(COLUMNS($AN$1006:AZ1006),$AN$1006:$BO$1006,0)), HYPERLINK("#",""), HYPERLINK(CONCATENATE("#Metadata!", ADDRESS(INDEX($AI$2:$AI$1001,MATCH(ROWS($AG$2:AG242),$AG$2:$AG$1001,0),0), INDEX($AN$1004:$BO$1004,1,MATCH(COLUMNS($AN$1006:AZ1006),$AN$1006:$BO$1006,0)))),"Fix")))</f>
        <v>0</v>
      </c>
      <c r="O242" s="4">
        <f>IF(OR(INDEX($AH$2:$AH$1001,MATCH(ROWS($AG$2:AG242),$AG$2:$AG$1001,0),1)&gt;=100000,INDEX($AN$1005:$BO$1005,1,MATCH(COLUMNS($AN$1006:BA1006),$AN$1006:$BO$1006,0))&gt;=100000), " ",IF(INDEX($AN$2:$BO$1001,MATCH(ROWS($AG$2:AG242),$AG$2:$AG$1001,0),MATCH(COLUMNS($AN$1006:BA1006),$AN$1006:$BO$1006,0)), HYPERLINK("#",""), HYPERLINK(CONCATENATE("#Metadata!", ADDRESS(INDEX($AI$2:$AI$1001,MATCH(ROWS($AG$2:AG242),$AG$2:$AG$1001,0),0), INDEX($AN$1004:$BO$1004,1,MATCH(COLUMNS($AN$1006:BA1006),$AN$1006:$BO$1006,0)))),"Fix")))</f>
        <v>0</v>
      </c>
      <c r="P242" s="4">
        <f>IF(OR(INDEX($AH$2:$AH$1001,MATCH(ROWS($AG$2:AG242),$AG$2:$AG$1001,0),1)&gt;=100000,INDEX($AN$1005:$BO$1005,1,MATCH(COLUMNS($AN$1006:BB1006),$AN$1006:$BO$1006,0))&gt;=100000), " ",IF(INDEX($AN$2:$BO$1001,MATCH(ROWS($AG$2:AG242),$AG$2:$AG$1001,0),MATCH(COLUMNS($AN$1006:BB1006),$AN$1006:$BO$1006,0)), HYPERLINK("#",""), HYPERLINK(CONCATENATE("#Metadata!", ADDRESS(INDEX($AI$2:$AI$1001,MATCH(ROWS($AG$2:AG242),$AG$2:$AG$1001,0),0), INDEX($AN$1004:$BO$1004,1,MATCH(COLUMNS($AN$1006:BB1006),$AN$1006:$BO$1006,0)))),"Fix")))</f>
        <v>0</v>
      </c>
      <c r="Q242" s="4">
        <f>IF(OR(INDEX($AH$2:$AH$1001,MATCH(ROWS($AG$2:AG242),$AG$2:$AG$1001,0),1)&gt;=100000,INDEX($AN$1005:$BO$1005,1,MATCH(COLUMNS($AN$1006:BC1006),$AN$1006:$BO$1006,0))&gt;=100000), " ",IF(INDEX($AN$2:$BO$1001,MATCH(ROWS($AG$2:AG242),$AG$2:$AG$1001,0),MATCH(COLUMNS($AN$1006:BC1006),$AN$1006:$BO$1006,0)), HYPERLINK("#",""), HYPERLINK(CONCATENATE("#Metadata!", ADDRESS(INDEX($AI$2:$AI$1001,MATCH(ROWS($AG$2:AG242),$AG$2:$AG$1001,0),0), INDEX($AN$1004:$BO$1004,1,MATCH(COLUMNS($AN$1006:BC1006),$AN$1006:$BO$1006,0)))),"Fix")))</f>
        <v>0</v>
      </c>
      <c r="R242" s="4">
        <f>IF(OR(INDEX($AH$2:$AH$1001,MATCH(ROWS($AG$2:AG242),$AG$2:$AG$1001,0),1)&gt;=100000,INDEX($AN$1005:$BO$1005,1,MATCH(COLUMNS($AN$1006:BD1006),$AN$1006:$BO$1006,0))&gt;=100000), " ",IF(INDEX($AN$2:$BO$1001,MATCH(ROWS($AG$2:AG242),$AG$2:$AG$1001,0),MATCH(COLUMNS($AN$1006:BD1006),$AN$1006:$BO$1006,0)), HYPERLINK("#",""), HYPERLINK(CONCATENATE("#Metadata!", ADDRESS(INDEX($AI$2:$AI$1001,MATCH(ROWS($AG$2:AG242),$AG$2:$AG$1001,0),0), INDEX($AN$1004:$BO$1004,1,MATCH(COLUMNS($AN$1006:BD1006),$AN$1006:$BO$1006,0)))),"Fix")))</f>
        <v>0</v>
      </c>
      <c r="S242" s="4">
        <f>IF(OR(INDEX($AH$2:$AH$1001,MATCH(ROWS($AG$2:AG242),$AG$2:$AG$1001,0),1)&gt;=100000,INDEX($AN$1005:$BO$1005,1,MATCH(COLUMNS($AN$1006:BE1006),$AN$1006:$BO$1006,0))&gt;=100000), " ",IF(INDEX($AN$2:$BO$1001,MATCH(ROWS($AG$2:AG242),$AG$2:$AG$1001,0),MATCH(COLUMNS($AN$1006:BE1006),$AN$1006:$BO$1006,0)), HYPERLINK("#",""), HYPERLINK(CONCATENATE("#Metadata!", ADDRESS(INDEX($AI$2:$AI$1001,MATCH(ROWS($AG$2:AG242),$AG$2:$AG$1001,0),0), INDEX($AN$1004:$BO$1004,1,MATCH(COLUMNS($AN$1006:BE1006),$AN$1006:$BO$1006,0)))),"Fix")))</f>
        <v>0</v>
      </c>
      <c r="T242" s="4">
        <f>IF(OR(INDEX($AH$2:$AH$1001,MATCH(ROWS($AG$2:AG242),$AG$2:$AG$1001,0),1)&gt;=100000,INDEX($AN$1005:$BO$1005,1,MATCH(COLUMNS($AN$1006:BF1006),$AN$1006:$BO$1006,0))&gt;=100000), " ",IF(INDEX($AN$2:$BO$1001,MATCH(ROWS($AG$2:AG242),$AG$2:$AG$1001,0),MATCH(COLUMNS($AN$1006:BF1006),$AN$1006:$BO$1006,0)), HYPERLINK("#",""), HYPERLINK(CONCATENATE("#Metadata!", ADDRESS(INDEX($AI$2:$AI$1001,MATCH(ROWS($AG$2:AG242),$AG$2:$AG$1001,0),0), INDEX($AN$1004:$BO$1004,1,MATCH(COLUMNS($AN$1006:BF1006),$AN$1006:$BO$1006,0)))),"Fix")))</f>
        <v>0</v>
      </c>
      <c r="U242" s="4">
        <f>IF(OR(INDEX($AH$2:$AH$1001,MATCH(ROWS($AG$2:AG242),$AG$2:$AG$1001,0),1)&gt;=100000,INDEX($AN$1005:$BO$1005,1,MATCH(COLUMNS($AN$1006:BG1006),$AN$1006:$BO$1006,0))&gt;=100000), " ",IF(INDEX($AN$2:$BO$1001,MATCH(ROWS($AG$2:AG242),$AG$2:$AG$1001,0),MATCH(COLUMNS($AN$1006:BG1006),$AN$1006:$BO$1006,0)), HYPERLINK("#",""), HYPERLINK(CONCATENATE("#Metadata!", ADDRESS(INDEX($AI$2:$AI$1001,MATCH(ROWS($AG$2:AG242),$AG$2:$AG$1001,0),0), INDEX($AN$1004:$BO$1004,1,MATCH(COLUMNS($AN$1006:BG1006),$AN$1006:$BO$1006,0)))),"Fix")))</f>
        <v>0</v>
      </c>
      <c r="V242" s="4">
        <f>IF(OR(INDEX($AH$2:$AH$1001,MATCH(ROWS($AG$2:AG242),$AG$2:$AG$1001,0),1)&gt;=100000,INDEX($AN$1005:$BO$1005,1,MATCH(COLUMNS($AN$1006:BH1006),$AN$1006:$BO$1006,0))&gt;=100000), " ",IF(INDEX($AN$2:$BO$1001,MATCH(ROWS($AG$2:AG242),$AG$2:$AG$1001,0),MATCH(COLUMNS($AN$1006:BH1006),$AN$1006:$BO$1006,0)), HYPERLINK("#",""), HYPERLINK(CONCATENATE("#Metadata!", ADDRESS(INDEX($AI$2:$AI$1001,MATCH(ROWS($AG$2:AG242),$AG$2:$AG$1001,0),0), INDEX($AN$1004:$BO$1004,1,MATCH(COLUMNS($AN$1006:BH1006),$AN$1006:$BO$1006,0)))),"Fix")))</f>
        <v>0</v>
      </c>
      <c r="W242" s="4">
        <f>IF(OR(INDEX($AH$2:$AH$1001,MATCH(ROWS($AG$2:AG242),$AG$2:$AG$1001,0),1)&gt;=100000,INDEX($AN$1005:$BO$1005,1,MATCH(COLUMNS($AN$1006:BI1006),$AN$1006:$BO$1006,0))&gt;=100000), " ",IF(INDEX($AN$2:$BO$1001,MATCH(ROWS($AG$2:AG242),$AG$2:$AG$1001,0),MATCH(COLUMNS($AN$1006:BI1006),$AN$1006:$BO$1006,0)), HYPERLINK("#",""), HYPERLINK(CONCATENATE("#Metadata!", ADDRESS(INDEX($AI$2:$AI$1001,MATCH(ROWS($AG$2:AG242),$AG$2:$AG$1001,0),0), INDEX($AN$1004:$BO$1004,1,MATCH(COLUMNS($AN$1006:BI1006),$AN$1006:$BO$1006,0)))),"Fix")))</f>
        <v>0</v>
      </c>
      <c r="X242" s="4">
        <f>IF(OR(INDEX($AH$2:$AH$1001,MATCH(ROWS($AG$2:AG242),$AG$2:$AG$1001,0),1)&gt;=100000,INDEX($AN$1005:$BO$1005,1,MATCH(COLUMNS($AN$1006:BJ1006),$AN$1006:$BO$1006,0))&gt;=100000), " ",IF(INDEX($AN$2:$BO$1001,MATCH(ROWS($AG$2:AG242),$AG$2:$AG$1001,0),MATCH(COLUMNS($AN$1006:BJ1006),$AN$1006:$BO$1006,0)), HYPERLINK("#",""), HYPERLINK(CONCATENATE("#Metadata!", ADDRESS(INDEX($AI$2:$AI$1001,MATCH(ROWS($AG$2:AG242),$AG$2:$AG$1001,0),0), INDEX($AN$1004:$BO$1004,1,MATCH(COLUMNS($AN$1006:BJ1006),$AN$1006:$BO$1006,0)))),"Fix")))</f>
        <v>0</v>
      </c>
      <c r="Y242" s="4">
        <f>IF(OR(INDEX($AH$2:$AH$1001,MATCH(ROWS($AG$2:AG242),$AG$2:$AG$1001,0),1)&gt;=100000,INDEX($AN$1005:$BO$1005,1,MATCH(COLUMNS($AN$1006:BK1006),$AN$1006:$BO$1006,0))&gt;=100000), " ",IF(INDEX($AN$2:$BO$1001,MATCH(ROWS($AG$2:AG242),$AG$2:$AG$1001,0),MATCH(COLUMNS($AN$1006:BK1006),$AN$1006:$BO$1006,0)), HYPERLINK("#",""), HYPERLINK(CONCATENATE("#Metadata!", ADDRESS(INDEX($AI$2:$AI$1001,MATCH(ROWS($AG$2:AG242),$AG$2:$AG$1001,0),0), INDEX($AN$1004:$BO$1004,1,MATCH(COLUMNS($AN$1006:BK1006),$AN$1006:$BO$1006,0)))),"Fix")))</f>
        <v>0</v>
      </c>
      <c r="Z242" s="4">
        <f>IF(OR(INDEX($AH$2:$AH$1001,MATCH(ROWS($AG$2:AG242),$AG$2:$AG$1001,0),1)&gt;=100000,INDEX($AN$1005:$BO$1005,1,MATCH(COLUMNS($AN$1006:BL1006),$AN$1006:$BO$1006,0))&gt;=100000), " ",IF(INDEX($AN$2:$BO$1001,MATCH(ROWS($AG$2:AG242),$AG$2:$AG$1001,0),MATCH(COLUMNS($AN$1006:BL1006),$AN$1006:$BO$1006,0)), HYPERLINK("#",""), HYPERLINK(CONCATENATE("#Metadata!", ADDRESS(INDEX($AI$2:$AI$1001,MATCH(ROWS($AG$2:AG242),$AG$2:$AG$1001,0),0), INDEX($AN$1004:$BO$1004,1,MATCH(COLUMNS($AN$1006:BL1006),$AN$1006:$BO$1006,0)))),"Fix")))</f>
        <v>0</v>
      </c>
      <c r="AA242" s="4">
        <f>IF(OR(INDEX($AH$2:$AH$1001,MATCH(ROWS($AG$2:AG242),$AG$2:$AG$1001,0),1)&gt;=100000,INDEX($AN$1005:$BO$1005,1,MATCH(COLUMNS($AN$1006:BM1006),$AN$1006:$BO$1006,0))&gt;=100000), " ",IF(INDEX($AN$2:$BO$1001,MATCH(ROWS($AG$2:AG242),$AG$2:$AG$1001,0),MATCH(COLUMNS($AN$1006:BM1006),$AN$1006:$BO$1006,0)), HYPERLINK("#",""), HYPERLINK(CONCATENATE("#Metadata!", ADDRESS(INDEX($AI$2:$AI$1001,MATCH(ROWS($AG$2:AG242),$AG$2:$AG$1001,0),0), INDEX($AN$1004:$BO$1004,1,MATCH(COLUMNS($AN$1006:BM1006),$AN$1006:$BO$1006,0)))),"Fix")))</f>
        <v>0</v>
      </c>
      <c r="AB242" s="4">
        <f>IF(OR(INDEX($AH$2:$AH$1001,MATCH(ROWS($AG$2:AG242),$AG$2:$AG$1001,0),1)&gt;=100000,INDEX($AN$1005:$BO$1005,1,MATCH(COLUMNS($AN$1006:BN1006),$AN$1006:$BO$1006,0))&gt;=100000), " ",IF(INDEX($AN$2:$BO$1001,MATCH(ROWS($AG$2:AG242),$AG$2:$AG$1001,0),MATCH(COLUMNS($AN$1006:BN1006),$AN$1006:$BO$1006,0)), HYPERLINK("#",""), HYPERLINK(CONCATENATE("#Metadata!", ADDRESS(INDEX($AI$2:$AI$1001,MATCH(ROWS($AG$2:AG242),$AG$2:$AG$1001,0),0), INDEX($AN$1004:$BO$1004,1,MATCH(COLUMNS($AN$1006:BN1006),$AN$1006:$BO$1006,0)))),"Fix")))</f>
        <v>0</v>
      </c>
      <c r="AC242" s="4">
        <f>IF(OR(INDEX($AH$2:$AH$1001,MATCH(ROWS($AG$2:AG242),$AG$2:$AG$1001,0),1)&gt;=100000,INDEX($AN$1005:$BO$1005,1,MATCH(COLUMNS($AN$1006:BO1006),$AN$1006:$BO$1006,0))&gt;=100000), " ",IF(INDEX($AN$2:$BO$1001,MATCH(ROWS($AG$2:AG242),$AG$2:$AG$1001,0),MATCH(COLUMNS($AN$1006:BO1006),$AN$1006:$BO$1006,0)), HYPERLINK("#",""), HYPERLINK(CONCATENATE("#Metadata!", ADDRESS(INDEX($AI$2:$AI$1001,MATCH(ROWS($AG$2:AG242),$AG$2:$AG$1001,0),0), INDEX($AN$1004:$BO$1004,1,MATCH(COLUMNS($AN$1006:BO1006),$AN$1006:$BO$1006,0)))),"Fix")))</f>
        <v>0</v>
      </c>
      <c r="AG242">
        <v>0</v>
      </c>
      <c r="AH242">
        <v>0</v>
      </c>
      <c r="AI242">
        <v>0</v>
      </c>
      <c r="AJ242">
        <f>IF(AK242,TRUE,AND(AN242:BO242))</f>
        <v>0</v>
      </c>
      <c r="AK242">
        <f>COUNTBLANK(Metadata!B242:AC242)=COLUMNS(Metadata!B242:AC242)</f>
        <v>0</v>
      </c>
      <c r="AL242">
        <v>0</v>
      </c>
      <c r="AN242">
        <f>AND(IF(Metadata!B242="",FALSE,TRUE),COUNTIF(Metadata!B:B, Metadata!B242) = 1,NOT(ISERROR(SUMPRODUCT(SEARCH(MID(Metadata!B242,ROW(INDIRECT("1:"&amp;LEN(Metadata!B242))), 1),"0123456789abcdefghijklmnopqrstuvwxyzABCDEFGHIJKLMNOPQRSTUVWXYZ.")))))</f>
        <v>0</v>
      </c>
      <c r="AO242">
        <f>IF(Metadata!C242="",FALSE,TRUE)</f>
        <v>0</v>
      </c>
      <c r="AP242">
        <f>IF(Metadata!D242="",FALSE,TRUE)</f>
        <v>0</v>
      </c>
      <c r="AQ242">
        <f>OR(AND(IF(Metadata!E242="",FALSE,TRUE),OR(exact(Metadata!E242,"not collected"),exact(Metadata!E242,"not provided"),exact(Metadata!E242,"restricted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R242">
        <f>IF(Metadata!F242="",FALSE,TRUE)</f>
        <v>0</v>
      </c>
      <c r="AS242">
        <f>OR(AND(IF(Metadata!G242="",FALSE,TRUE),OR(exact(Metadata!G242,"not collected"),exact(Metadata!G242,"not provided"))),AND(IF(Metadata!G242="",FALSE,TRUE),OR(exact(Metadata!G242,"TRUE"),exact(Metadata!G242,"FALSE"))))</f>
        <v>0</v>
      </c>
      <c r="AT242">
        <f>OR(AND(IF(Metadata!H242="",FALSE,TRUE),OR(exact(Metadata!H242,"not collected"),exact(Metadata!H242,"not provided"),exact(Metadata!H242,"restricted access"))),AND(IF(Metadata!H242="",FALSE,ISNUMBER(VALUE(Metadata!H242))),Metadata!H242&gt;=-413.0))</f>
        <v>0</v>
      </c>
      <c r="AU242">
        <f>AND(IF(Metadata!I242="",FALSE,TRUE),exact(Metadata!I242,"meters"))</f>
        <v>0</v>
      </c>
      <c r="AV242">
        <f>AND(IF(Metadata!J242="",FALSE,TRUE),OR(exact(Metadata!J242,"Host-associated"),exact(Metadata!J242,"Free-living")))</f>
        <v>0</v>
      </c>
      <c r="AW242">
        <f>AND(IF(Metadata!K242="",FALSE,TRUE),OR(exact(Metadata!K242,"Animal"),exact(Metadata!K242,"Fungus"),exact(Metadata!K242,"Plant"),exact(Metadata!K242,"Saline"),exact(Metadata!K242,"Non-saline")))</f>
        <v>0</v>
      </c>
      <c r="AX242">
        <f>AND(IF(Metadata!L242="",FALSE,TRUE),OR(exact(Metadata!L242,"Plant secretion"),exact(Metadata!L242,"Plant rhizosphere"),exact(Metadata!L242,"Plant surface"),exact(Metadata!L242,"Plant corpus"),exact(Metadata!L242,"Fungus surface"),exact(Metadata!L242,"Fungus corpus"),exact(Metadata!L242,"Animal surface"),exact(Metadata!L242,"Animal proximal gut"),exact(Metadata!L242,"Animal corpus"),exact(Metadata!L242,"Animal distal gut"),exact(Metadata!L242,"Animal secretion"),exact(Metadata!L242,"Sub-surface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Y242">
        <f>IF(Metadata!M242="",FALSE,TRUE)</f>
        <v>0</v>
      </c>
      <c r="AZ242">
        <f>IF(Metadata!N242="",FALSE,TRUE)</f>
        <v>0</v>
      </c>
      <c r="BA242">
        <f>IF(Metadata!O242="",FALSE,TRUE)</f>
        <v>0</v>
      </c>
      <c r="BB242">
        <f>OR(AND(IF(Metadata!P242="",FALSE,TRUE),OR(exact(Metadata!P242,"not collected"),exact(Metadata!P242,"not provided"),exact(Metadata!P242,"restricted access"))),AND(IF(Metadata!P242="",FALSE,TRUE),OR(exact(Metadata!P242,"air"),exact(Metadata!P242,"built environment"),exact(Metadata!P242,"host-associated"),exact(Metadata!P242,"human-associated"),exact(Metadata!P242,"human-skin"),exact(Metadata!P242,"human-oral"),exact(Metadata!P242,"human-gut"),exact(Metadata!P242,"human-vaginal"),exact(Metadata!P242,"microbial mat/biofilm"),exact(Metadata!P242,"misc environment"),exact(Metadata!P242,"plant-associated"),exact(Metadata!P242,"sediment"),exact(Metadata!P242,"soil"),exact(Metadata!P242,"wastewater/sludge"),exact(Metadata!P242,"water"))))</f>
        <v>0</v>
      </c>
      <c r="BC242">
        <f>IF(Metadata!Q242="",FALSE,TRUE)</f>
        <v>0</v>
      </c>
      <c r="BD242">
        <f>IF(Metadata!R242="",FALSE,TRUE)</f>
        <v>0</v>
      </c>
      <c r="BE242">
        <f>OR(AND(IF(Metadata!S242="",FALSE,TRUE),OR(exact(Metadata!S242,"not collected"),exact(Metadata!S242,"not provided"),exact(Metadata!S242,"restricted access"))),AND(IF(Metadata!S242="",FALSE,ISNUMBER(VALUE(Metadata!S242))),Metadata!S242&gt;=-90.00,Metadata!S242&lt;=90.00))</f>
        <v>0</v>
      </c>
      <c r="BF242">
        <f>AND(IF(Metadata!T242="",FALSE,TRUE),exact(Metadata!T242,"Decimal degrees"))</f>
        <v>0</v>
      </c>
      <c r="BG242">
        <f>OR(AND(IF(Metadata!U242="",FALSE,TRUE),OR(exact(Metadata!U242,"not collected"),exact(Metadata!U242,"not provided"),exact(Metadata!U242,"restricted access"))),AND(IF(Metadata!U242="",FALSE,ISNUMBER(VALUE(Metadata!U242))),Metadata!U242&gt;=-180.00,Metadata!U242&lt;=180.00))</f>
        <v>0</v>
      </c>
      <c r="BH242">
        <f>AND(IF(Metadata!V242="",FALSE,TRUE),exact(Metadata!V242,"Decimal degrees"))</f>
        <v>0</v>
      </c>
      <c r="BI242">
        <f>IF(Metadata!W242="",FALSE,TRUE)</f>
        <v>0</v>
      </c>
      <c r="BJ242">
        <f>OR(AND(IF(Metadata!X242="",FALSE,TRUE),OR(exact(Metadata!X242,"not collected"),exact(Metadata!X242,"not provided"),exact(Metadata!X242,"restricted access"))),AND(IF(Metadata!X242="",FALSE,TRUE),OR(exact(Metadata!X242,"TRUE"),exact(Metadata!X242,"FALSE"))))</f>
        <v>0</v>
      </c>
      <c r="BK242">
        <f>AND(IF(Metadata!Y242="",FALSE,TRUE),exact(Metadata!Y242,"other"))</f>
        <v>0</v>
      </c>
      <c r="BL242">
        <f>IF(Metadata!Z242="",FALSE,TRUE)</f>
        <v>0</v>
      </c>
      <c r="BM242">
        <f>OR(AND(IF(Metadata!AA242="",FALSE,TRUE),OR(exact(Metadata!AA242,"not collected"),exact(Metadata!AA242,"not provided"))),AND(IF(Metadata!AA242="",FALSE,IF(ISERROR(INT(Metadata!AA242)),FALSE,INT(Metadata!AA242)=Metadata!AA242)),Metadata!AA242&gt;0))</f>
        <v>0</v>
      </c>
      <c r="BN242">
        <f>AND(IF(Metadata!AB242="",FALSE,TRUE),exact(Metadata!AB242,"Not applicable"))</f>
        <v>0</v>
      </c>
      <c r="BO242">
        <f>IF(Metadata!AC242="",FALSE,TRUE)</f>
        <v>0</v>
      </c>
    </row>
    <row r="243" spans="1:67">
      <c r="A243" s="5">
        <f>IF(B243=" "," ",HYPERLINK(CONCATENATE("#metadata!",ADDRESS(INDEX($AI$2:$AI$1001,MATCH(ROWS($AG$2:AG243),$AG$2:$AG$1001,0),0),1)),INDEX($AL$2:$AL$1001,MATCH(ROWS($AG$2:AG243),$AG$2:$AG$1001,0),0)))</f>
        <v>0</v>
      </c>
      <c r="B243" s="4">
        <f>IF(OR(INDEX($AH$2:$AH$1001,MATCH(ROWS($AG$2:AG243),$AG$2:$AG$1001,0),1)&gt;=100000,INDEX($AN$1005:$BO$1005,1,MATCH(COLUMNS($AN$1006:AN1006),$AN$1006:$BO$1006,0))&gt;=100000), " ",IF(INDEX($AN$2:$BO$1001,MATCH(ROWS($AG$2:AG243),$AG$2:$AG$1001,0),MATCH(COLUMNS($AN$1006:AN1006),$AN$1006:$BO$1006,0)), HYPERLINK("#",""), HYPERLINK(CONCATENATE("#Metadata!", ADDRESS(INDEX($AI$2:$AI$1001,MATCH(ROWS($AG$2:AG243),$AG$2:$AG$1001,0),0), INDEX($AN$1004:$BO$1004,1,MATCH(COLUMNS($AN$1006:AN1006),$AN$1006:$BO$1006,0)))),"Fix")))</f>
        <v>0</v>
      </c>
      <c r="C243" s="4">
        <f>IF(OR(INDEX($AH$2:$AH$1001,MATCH(ROWS($AG$2:AG243),$AG$2:$AG$1001,0),1)&gt;=100000,INDEX($AN$1005:$BO$1005,1,MATCH(COLUMNS($AN$1006:AO1006),$AN$1006:$BO$1006,0))&gt;=100000), " ",IF(INDEX($AN$2:$BO$1001,MATCH(ROWS($AG$2:AG243),$AG$2:$AG$1001,0),MATCH(COLUMNS($AN$1006:AO1006),$AN$1006:$BO$1006,0)), HYPERLINK("#",""), HYPERLINK(CONCATENATE("#Metadata!", ADDRESS(INDEX($AI$2:$AI$1001,MATCH(ROWS($AG$2:AG243),$AG$2:$AG$1001,0),0), INDEX($AN$1004:$BO$1004,1,MATCH(COLUMNS($AN$1006:AO1006),$AN$1006:$BO$1006,0)))),"Fix")))</f>
        <v>0</v>
      </c>
      <c r="D243" s="4">
        <f>IF(OR(INDEX($AH$2:$AH$1001,MATCH(ROWS($AG$2:AG243),$AG$2:$AG$1001,0),1)&gt;=100000,INDEX($AN$1005:$BO$1005,1,MATCH(COLUMNS($AN$1006:AP1006),$AN$1006:$BO$1006,0))&gt;=100000), " ",IF(INDEX($AN$2:$BO$1001,MATCH(ROWS($AG$2:AG243),$AG$2:$AG$1001,0),MATCH(COLUMNS($AN$1006:AP1006),$AN$1006:$BO$1006,0)), HYPERLINK("#",""), HYPERLINK(CONCATENATE("#Metadata!", ADDRESS(INDEX($AI$2:$AI$1001,MATCH(ROWS($AG$2:AG243),$AG$2:$AG$1001,0),0), INDEX($AN$1004:$BO$1004,1,MATCH(COLUMNS($AN$1006:AP1006),$AN$1006:$BO$1006,0)))),"Fix")))</f>
        <v>0</v>
      </c>
      <c r="E243" s="4">
        <f>IF(OR(INDEX($AH$2:$AH$1001,MATCH(ROWS($AG$2:AG243),$AG$2:$AG$1001,0),1)&gt;=100000,INDEX($AN$1005:$BO$1005,1,MATCH(COLUMNS($AN$1006:AQ1006),$AN$1006:$BO$1006,0))&gt;=100000), " ",IF(INDEX($AN$2:$BO$1001,MATCH(ROWS($AG$2:AG243),$AG$2:$AG$1001,0),MATCH(COLUMNS($AN$1006:AQ1006),$AN$1006:$BO$1006,0)), HYPERLINK("#",""), HYPERLINK(CONCATENATE("#Metadata!", ADDRESS(INDEX($AI$2:$AI$1001,MATCH(ROWS($AG$2:AG243),$AG$2:$AG$1001,0),0), INDEX($AN$1004:$BO$1004,1,MATCH(COLUMNS($AN$1006:AQ1006),$AN$1006:$BO$1006,0)))),"Fix")))</f>
        <v>0</v>
      </c>
      <c r="F243" s="4">
        <f>IF(OR(INDEX($AH$2:$AH$1001,MATCH(ROWS($AG$2:AG243),$AG$2:$AG$1001,0),1)&gt;=100000,INDEX($AN$1005:$BO$1005,1,MATCH(COLUMNS($AN$1006:AR1006),$AN$1006:$BO$1006,0))&gt;=100000), " ",IF(INDEX($AN$2:$BO$1001,MATCH(ROWS($AG$2:AG243),$AG$2:$AG$1001,0),MATCH(COLUMNS($AN$1006:AR1006),$AN$1006:$BO$1006,0)), HYPERLINK("#",""), HYPERLINK(CONCATENATE("#Metadata!", ADDRESS(INDEX($AI$2:$AI$1001,MATCH(ROWS($AG$2:AG243),$AG$2:$AG$1001,0),0), INDEX($AN$1004:$BO$1004,1,MATCH(COLUMNS($AN$1006:AR1006),$AN$1006:$BO$1006,0)))),"Fix")))</f>
        <v>0</v>
      </c>
      <c r="G243" s="4">
        <f>IF(OR(INDEX($AH$2:$AH$1001,MATCH(ROWS($AG$2:AG243),$AG$2:$AG$1001,0),1)&gt;=100000,INDEX($AN$1005:$BO$1005,1,MATCH(COLUMNS($AN$1006:AS1006),$AN$1006:$BO$1006,0))&gt;=100000), " ",IF(INDEX($AN$2:$BO$1001,MATCH(ROWS($AG$2:AG243),$AG$2:$AG$1001,0),MATCH(COLUMNS($AN$1006:AS1006),$AN$1006:$BO$1006,0)), HYPERLINK("#",""), HYPERLINK(CONCATENATE("#Metadata!", ADDRESS(INDEX($AI$2:$AI$1001,MATCH(ROWS($AG$2:AG243),$AG$2:$AG$1001,0),0), INDEX($AN$1004:$BO$1004,1,MATCH(COLUMNS($AN$1006:AS1006),$AN$1006:$BO$1006,0)))),"Fix")))</f>
        <v>0</v>
      </c>
      <c r="H243" s="4">
        <f>IF(OR(INDEX($AH$2:$AH$1001,MATCH(ROWS($AG$2:AG243),$AG$2:$AG$1001,0),1)&gt;=100000,INDEX($AN$1005:$BO$1005,1,MATCH(COLUMNS($AN$1006:AT1006),$AN$1006:$BO$1006,0))&gt;=100000), " ",IF(INDEX($AN$2:$BO$1001,MATCH(ROWS($AG$2:AG243),$AG$2:$AG$1001,0),MATCH(COLUMNS($AN$1006:AT1006),$AN$1006:$BO$1006,0)), HYPERLINK("#",""), HYPERLINK(CONCATENATE("#Metadata!", ADDRESS(INDEX($AI$2:$AI$1001,MATCH(ROWS($AG$2:AG243),$AG$2:$AG$1001,0),0), INDEX($AN$1004:$BO$1004,1,MATCH(COLUMNS($AN$1006:AT1006),$AN$1006:$BO$1006,0)))),"Fix")))</f>
        <v>0</v>
      </c>
      <c r="I243" s="4">
        <f>IF(OR(INDEX($AH$2:$AH$1001,MATCH(ROWS($AG$2:AG243),$AG$2:$AG$1001,0),1)&gt;=100000,INDEX($AN$1005:$BO$1005,1,MATCH(COLUMNS($AN$1006:AU1006),$AN$1006:$BO$1006,0))&gt;=100000), " ",IF(INDEX($AN$2:$BO$1001,MATCH(ROWS($AG$2:AG243),$AG$2:$AG$1001,0),MATCH(COLUMNS($AN$1006:AU1006),$AN$1006:$BO$1006,0)), HYPERLINK("#",""), HYPERLINK(CONCATENATE("#Metadata!", ADDRESS(INDEX($AI$2:$AI$1001,MATCH(ROWS($AG$2:AG243),$AG$2:$AG$1001,0),0), INDEX($AN$1004:$BO$1004,1,MATCH(COLUMNS($AN$1006:AU1006),$AN$1006:$BO$1006,0)))),"Fix")))</f>
        <v>0</v>
      </c>
      <c r="J243" s="4">
        <f>IF(OR(INDEX($AH$2:$AH$1001,MATCH(ROWS($AG$2:AG243),$AG$2:$AG$1001,0),1)&gt;=100000,INDEX($AN$1005:$BO$1005,1,MATCH(COLUMNS($AN$1006:AV1006),$AN$1006:$BO$1006,0))&gt;=100000), " ",IF(INDEX($AN$2:$BO$1001,MATCH(ROWS($AG$2:AG243),$AG$2:$AG$1001,0),MATCH(COLUMNS($AN$1006:AV1006),$AN$1006:$BO$1006,0)), HYPERLINK("#",""), HYPERLINK(CONCATENATE("#Metadata!", ADDRESS(INDEX($AI$2:$AI$1001,MATCH(ROWS($AG$2:AG243),$AG$2:$AG$1001,0),0), INDEX($AN$1004:$BO$1004,1,MATCH(COLUMNS($AN$1006:AV1006),$AN$1006:$BO$1006,0)))),"Fix")))</f>
        <v>0</v>
      </c>
      <c r="K243" s="4">
        <f>IF(OR(INDEX($AH$2:$AH$1001,MATCH(ROWS($AG$2:AG243),$AG$2:$AG$1001,0),1)&gt;=100000,INDEX($AN$1005:$BO$1005,1,MATCH(COLUMNS($AN$1006:AW1006),$AN$1006:$BO$1006,0))&gt;=100000), " ",IF(INDEX($AN$2:$BO$1001,MATCH(ROWS($AG$2:AG243),$AG$2:$AG$1001,0),MATCH(COLUMNS($AN$1006:AW1006),$AN$1006:$BO$1006,0)), HYPERLINK("#",""), HYPERLINK(CONCATENATE("#Metadata!", ADDRESS(INDEX($AI$2:$AI$1001,MATCH(ROWS($AG$2:AG243),$AG$2:$AG$1001,0),0), INDEX($AN$1004:$BO$1004,1,MATCH(COLUMNS($AN$1006:AW1006),$AN$1006:$BO$1006,0)))),"Fix")))</f>
        <v>0</v>
      </c>
      <c r="L243" s="4">
        <f>IF(OR(INDEX($AH$2:$AH$1001,MATCH(ROWS($AG$2:AG243),$AG$2:$AG$1001,0),1)&gt;=100000,INDEX($AN$1005:$BO$1005,1,MATCH(COLUMNS($AN$1006:AX1006),$AN$1006:$BO$1006,0))&gt;=100000), " ",IF(INDEX($AN$2:$BO$1001,MATCH(ROWS($AG$2:AG243),$AG$2:$AG$1001,0),MATCH(COLUMNS($AN$1006:AX1006),$AN$1006:$BO$1006,0)), HYPERLINK("#",""), HYPERLINK(CONCATENATE("#Metadata!", ADDRESS(INDEX($AI$2:$AI$1001,MATCH(ROWS($AG$2:AG243),$AG$2:$AG$1001,0),0), INDEX($AN$1004:$BO$1004,1,MATCH(COLUMNS($AN$1006:AX1006),$AN$1006:$BO$1006,0)))),"Fix")))</f>
        <v>0</v>
      </c>
      <c r="M243" s="4">
        <f>IF(OR(INDEX($AH$2:$AH$1001,MATCH(ROWS($AG$2:AG243),$AG$2:$AG$1001,0),1)&gt;=100000,INDEX($AN$1005:$BO$1005,1,MATCH(COLUMNS($AN$1006:AY1006),$AN$1006:$BO$1006,0))&gt;=100000), " ",IF(INDEX($AN$2:$BO$1001,MATCH(ROWS($AG$2:AG243),$AG$2:$AG$1001,0),MATCH(COLUMNS($AN$1006:AY1006),$AN$1006:$BO$1006,0)), HYPERLINK("#",""), HYPERLINK(CONCATENATE("#Metadata!", ADDRESS(INDEX($AI$2:$AI$1001,MATCH(ROWS($AG$2:AG243),$AG$2:$AG$1001,0),0), INDEX($AN$1004:$BO$1004,1,MATCH(COLUMNS($AN$1006:AY1006),$AN$1006:$BO$1006,0)))),"Fix")))</f>
        <v>0</v>
      </c>
      <c r="N243" s="4">
        <f>IF(OR(INDEX($AH$2:$AH$1001,MATCH(ROWS($AG$2:AG243),$AG$2:$AG$1001,0),1)&gt;=100000,INDEX($AN$1005:$BO$1005,1,MATCH(COLUMNS($AN$1006:AZ1006),$AN$1006:$BO$1006,0))&gt;=100000), " ",IF(INDEX($AN$2:$BO$1001,MATCH(ROWS($AG$2:AG243),$AG$2:$AG$1001,0),MATCH(COLUMNS($AN$1006:AZ1006),$AN$1006:$BO$1006,0)), HYPERLINK("#",""), HYPERLINK(CONCATENATE("#Metadata!", ADDRESS(INDEX($AI$2:$AI$1001,MATCH(ROWS($AG$2:AG243),$AG$2:$AG$1001,0),0), INDEX($AN$1004:$BO$1004,1,MATCH(COLUMNS($AN$1006:AZ1006),$AN$1006:$BO$1006,0)))),"Fix")))</f>
        <v>0</v>
      </c>
      <c r="O243" s="4">
        <f>IF(OR(INDEX($AH$2:$AH$1001,MATCH(ROWS($AG$2:AG243),$AG$2:$AG$1001,0),1)&gt;=100000,INDEX($AN$1005:$BO$1005,1,MATCH(COLUMNS($AN$1006:BA1006),$AN$1006:$BO$1006,0))&gt;=100000), " ",IF(INDEX($AN$2:$BO$1001,MATCH(ROWS($AG$2:AG243),$AG$2:$AG$1001,0),MATCH(COLUMNS($AN$1006:BA1006),$AN$1006:$BO$1006,0)), HYPERLINK("#",""), HYPERLINK(CONCATENATE("#Metadata!", ADDRESS(INDEX($AI$2:$AI$1001,MATCH(ROWS($AG$2:AG243),$AG$2:$AG$1001,0),0), INDEX($AN$1004:$BO$1004,1,MATCH(COLUMNS($AN$1006:BA1006),$AN$1006:$BO$1006,0)))),"Fix")))</f>
        <v>0</v>
      </c>
      <c r="P243" s="4">
        <f>IF(OR(INDEX($AH$2:$AH$1001,MATCH(ROWS($AG$2:AG243),$AG$2:$AG$1001,0),1)&gt;=100000,INDEX($AN$1005:$BO$1005,1,MATCH(COLUMNS($AN$1006:BB1006),$AN$1006:$BO$1006,0))&gt;=100000), " ",IF(INDEX($AN$2:$BO$1001,MATCH(ROWS($AG$2:AG243),$AG$2:$AG$1001,0),MATCH(COLUMNS($AN$1006:BB1006),$AN$1006:$BO$1006,0)), HYPERLINK("#",""), HYPERLINK(CONCATENATE("#Metadata!", ADDRESS(INDEX($AI$2:$AI$1001,MATCH(ROWS($AG$2:AG243),$AG$2:$AG$1001,0),0), INDEX($AN$1004:$BO$1004,1,MATCH(COLUMNS($AN$1006:BB1006),$AN$1006:$BO$1006,0)))),"Fix")))</f>
        <v>0</v>
      </c>
      <c r="Q243" s="4">
        <f>IF(OR(INDEX($AH$2:$AH$1001,MATCH(ROWS($AG$2:AG243),$AG$2:$AG$1001,0),1)&gt;=100000,INDEX($AN$1005:$BO$1005,1,MATCH(COLUMNS($AN$1006:BC1006),$AN$1006:$BO$1006,0))&gt;=100000), " ",IF(INDEX($AN$2:$BO$1001,MATCH(ROWS($AG$2:AG243),$AG$2:$AG$1001,0),MATCH(COLUMNS($AN$1006:BC1006),$AN$1006:$BO$1006,0)), HYPERLINK("#",""), HYPERLINK(CONCATENATE("#Metadata!", ADDRESS(INDEX($AI$2:$AI$1001,MATCH(ROWS($AG$2:AG243),$AG$2:$AG$1001,0),0), INDEX($AN$1004:$BO$1004,1,MATCH(COLUMNS($AN$1006:BC1006),$AN$1006:$BO$1006,0)))),"Fix")))</f>
        <v>0</v>
      </c>
      <c r="R243" s="4">
        <f>IF(OR(INDEX($AH$2:$AH$1001,MATCH(ROWS($AG$2:AG243),$AG$2:$AG$1001,0),1)&gt;=100000,INDEX($AN$1005:$BO$1005,1,MATCH(COLUMNS($AN$1006:BD1006),$AN$1006:$BO$1006,0))&gt;=100000), " ",IF(INDEX($AN$2:$BO$1001,MATCH(ROWS($AG$2:AG243),$AG$2:$AG$1001,0),MATCH(COLUMNS($AN$1006:BD1006),$AN$1006:$BO$1006,0)), HYPERLINK("#",""), HYPERLINK(CONCATENATE("#Metadata!", ADDRESS(INDEX($AI$2:$AI$1001,MATCH(ROWS($AG$2:AG243),$AG$2:$AG$1001,0),0), INDEX($AN$1004:$BO$1004,1,MATCH(COLUMNS($AN$1006:BD1006),$AN$1006:$BO$1006,0)))),"Fix")))</f>
        <v>0</v>
      </c>
      <c r="S243" s="4">
        <f>IF(OR(INDEX($AH$2:$AH$1001,MATCH(ROWS($AG$2:AG243),$AG$2:$AG$1001,0),1)&gt;=100000,INDEX($AN$1005:$BO$1005,1,MATCH(COLUMNS($AN$1006:BE1006),$AN$1006:$BO$1006,0))&gt;=100000), " ",IF(INDEX($AN$2:$BO$1001,MATCH(ROWS($AG$2:AG243),$AG$2:$AG$1001,0),MATCH(COLUMNS($AN$1006:BE1006),$AN$1006:$BO$1006,0)), HYPERLINK("#",""), HYPERLINK(CONCATENATE("#Metadata!", ADDRESS(INDEX($AI$2:$AI$1001,MATCH(ROWS($AG$2:AG243),$AG$2:$AG$1001,0),0), INDEX($AN$1004:$BO$1004,1,MATCH(COLUMNS($AN$1006:BE1006),$AN$1006:$BO$1006,0)))),"Fix")))</f>
        <v>0</v>
      </c>
      <c r="T243" s="4">
        <f>IF(OR(INDEX($AH$2:$AH$1001,MATCH(ROWS($AG$2:AG243),$AG$2:$AG$1001,0),1)&gt;=100000,INDEX($AN$1005:$BO$1005,1,MATCH(COLUMNS($AN$1006:BF1006),$AN$1006:$BO$1006,0))&gt;=100000), " ",IF(INDEX($AN$2:$BO$1001,MATCH(ROWS($AG$2:AG243),$AG$2:$AG$1001,0),MATCH(COLUMNS($AN$1006:BF1006),$AN$1006:$BO$1006,0)), HYPERLINK("#",""), HYPERLINK(CONCATENATE("#Metadata!", ADDRESS(INDEX($AI$2:$AI$1001,MATCH(ROWS($AG$2:AG243),$AG$2:$AG$1001,0),0), INDEX($AN$1004:$BO$1004,1,MATCH(COLUMNS($AN$1006:BF1006),$AN$1006:$BO$1006,0)))),"Fix")))</f>
        <v>0</v>
      </c>
      <c r="U243" s="4">
        <f>IF(OR(INDEX($AH$2:$AH$1001,MATCH(ROWS($AG$2:AG243),$AG$2:$AG$1001,0),1)&gt;=100000,INDEX($AN$1005:$BO$1005,1,MATCH(COLUMNS($AN$1006:BG1006),$AN$1006:$BO$1006,0))&gt;=100000), " ",IF(INDEX($AN$2:$BO$1001,MATCH(ROWS($AG$2:AG243),$AG$2:$AG$1001,0),MATCH(COLUMNS($AN$1006:BG1006),$AN$1006:$BO$1006,0)), HYPERLINK("#",""), HYPERLINK(CONCATENATE("#Metadata!", ADDRESS(INDEX($AI$2:$AI$1001,MATCH(ROWS($AG$2:AG243),$AG$2:$AG$1001,0),0), INDEX($AN$1004:$BO$1004,1,MATCH(COLUMNS($AN$1006:BG1006),$AN$1006:$BO$1006,0)))),"Fix")))</f>
        <v>0</v>
      </c>
      <c r="V243" s="4">
        <f>IF(OR(INDEX($AH$2:$AH$1001,MATCH(ROWS($AG$2:AG243),$AG$2:$AG$1001,0),1)&gt;=100000,INDEX($AN$1005:$BO$1005,1,MATCH(COLUMNS($AN$1006:BH1006),$AN$1006:$BO$1006,0))&gt;=100000), " ",IF(INDEX($AN$2:$BO$1001,MATCH(ROWS($AG$2:AG243),$AG$2:$AG$1001,0),MATCH(COLUMNS($AN$1006:BH1006),$AN$1006:$BO$1006,0)), HYPERLINK("#",""), HYPERLINK(CONCATENATE("#Metadata!", ADDRESS(INDEX($AI$2:$AI$1001,MATCH(ROWS($AG$2:AG243),$AG$2:$AG$1001,0),0), INDEX($AN$1004:$BO$1004,1,MATCH(COLUMNS($AN$1006:BH1006),$AN$1006:$BO$1006,0)))),"Fix")))</f>
        <v>0</v>
      </c>
      <c r="W243" s="4">
        <f>IF(OR(INDEX($AH$2:$AH$1001,MATCH(ROWS($AG$2:AG243),$AG$2:$AG$1001,0),1)&gt;=100000,INDEX($AN$1005:$BO$1005,1,MATCH(COLUMNS($AN$1006:BI1006),$AN$1006:$BO$1006,0))&gt;=100000), " ",IF(INDEX($AN$2:$BO$1001,MATCH(ROWS($AG$2:AG243),$AG$2:$AG$1001,0),MATCH(COLUMNS($AN$1006:BI1006),$AN$1006:$BO$1006,0)), HYPERLINK("#",""), HYPERLINK(CONCATENATE("#Metadata!", ADDRESS(INDEX($AI$2:$AI$1001,MATCH(ROWS($AG$2:AG243),$AG$2:$AG$1001,0),0), INDEX($AN$1004:$BO$1004,1,MATCH(COLUMNS($AN$1006:BI1006),$AN$1006:$BO$1006,0)))),"Fix")))</f>
        <v>0</v>
      </c>
      <c r="X243" s="4">
        <f>IF(OR(INDEX($AH$2:$AH$1001,MATCH(ROWS($AG$2:AG243),$AG$2:$AG$1001,0),1)&gt;=100000,INDEX($AN$1005:$BO$1005,1,MATCH(COLUMNS($AN$1006:BJ1006),$AN$1006:$BO$1006,0))&gt;=100000), " ",IF(INDEX($AN$2:$BO$1001,MATCH(ROWS($AG$2:AG243),$AG$2:$AG$1001,0),MATCH(COLUMNS($AN$1006:BJ1006),$AN$1006:$BO$1006,0)), HYPERLINK("#",""), HYPERLINK(CONCATENATE("#Metadata!", ADDRESS(INDEX($AI$2:$AI$1001,MATCH(ROWS($AG$2:AG243),$AG$2:$AG$1001,0),0), INDEX($AN$1004:$BO$1004,1,MATCH(COLUMNS($AN$1006:BJ1006),$AN$1006:$BO$1006,0)))),"Fix")))</f>
        <v>0</v>
      </c>
      <c r="Y243" s="4">
        <f>IF(OR(INDEX($AH$2:$AH$1001,MATCH(ROWS($AG$2:AG243),$AG$2:$AG$1001,0),1)&gt;=100000,INDEX($AN$1005:$BO$1005,1,MATCH(COLUMNS($AN$1006:BK1006),$AN$1006:$BO$1006,0))&gt;=100000), " ",IF(INDEX($AN$2:$BO$1001,MATCH(ROWS($AG$2:AG243),$AG$2:$AG$1001,0),MATCH(COLUMNS($AN$1006:BK1006),$AN$1006:$BO$1006,0)), HYPERLINK("#",""), HYPERLINK(CONCATENATE("#Metadata!", ADDRESS(INDEX($AI$2:$AI$1001,MATCH(ROWS($AG$2:AG243),$AG$2:$AG$1001,0),0), INDEX($AN$1004:$BO$1004,1,MATCH(COLUMNS($AN$1006:BK1006),$AN$1006:$BO$1006,0)))),"Fix")))</f>
        <v>0</v>
      </c>
      <c r="Z243" s="4">
        <f>IF(OR(INDEX($AH$2:$AH$1001,MATCH(ROWS($AG$2:AG243),$AG$2:$AG$1001,0),1)&gt;=100000,INDEX($AN$1005:$BO$1005,1,MATCH(COLUMNS($AN$1006:BL1006),$AN$1006:$BO$1006,0))&gt;=100000), " ",IF(INDEX($AN$2:$BO$1001,MATCH(ROWS($AG$2:AG243),$AG$2:$AG$1001,0),MATCH(COLUMNS($AN$1006:BL1006),$AN$1006:$BO$1006,0)), HYPERLINK("#",""), HYPERLINK(CONCATENATE("#Metadata!", ADDRESS(INDEX($AI$2:$AI$1001,MATCH(ROWS($AG$2:AG243),$AG$2:$AG$1001,0),0), INDEX($AN$1004:$BO$1004,1,MATCH(COLUMNS($AN$1006:BL1006),$AN$1006:$BO$1006,0)))),"Fix")))</f>
        <v>0</v>
      </c>
      <c r="AA243" s="4">
        <f>IF(OR(INDEX($AH$2:$AH$1001,MATCH(ROWS($AG$2:AG243),$AG$2:$AG$1001,0),1)&gt;=100000,INDEX($AN$1005:$BO$1005,1,MATCH(COLUMNS($AN$1006:BM1006),$AN$1006:$BO$1006,0))&gt;=100000), " ",IF(INDEX($AN$2:$BO$1001,MATCH(ROWS($AG$2:AG243),$AG$2:$AG$1001,0),MATCH(COLUMNS($AN$1006:BM1006),$AN$1006:$BO$1006,0)), HYPERLINK("#",""), HYPERLINK(CONCATENATE("#Metadata!", ADDRESS(INDEX($AI$2:$AI$1001,MATCH(ROWS($AG$2:AG243),$AG$2:$AG$1001,0),0), INDEX($AN$1004:$BO$1004,1,MATCH(COLUMNS($AN$1006:BM1006),$AN$1006:$BO$1006,0)))),"Fix")))</f>
        <v>0</v>
      </c>
      <c r="AB243" s="4">
        <f>IF(OR(INDEX($AH$2:$AH$1001,MATCH(ROWS($AG$2:AG243),$AG$2:$AG$1001,0),1)&gt;=100000,INDEX($AN$1005:$BO$1005,1,MATCH(COLUMNS($AN$1006:BN1006),$AN$1006:$BO$1006,0))&gt;=100000), " ",IF(INDEX($AN$2:$BO$1001,MATCH(ROWS($AG$2:AG243),$AG$2:$AG$1001,0),MATCH(COLUMNS($AN$1006:BN1006),$AN$1006:$BO$1006,0)), HYPERLINK("#",""), HYPERLINK(CONCATENATE("#Metadata!", ADDRESS(INDEX($AI$2:$AI$1001,MATCH(ROWS($AG$2:AG243),$AG$2:$AG$1001,0),0), INDEX($AN$1004:$BO$1004,1,MATCH(COLUMNS($AN$1006:BN1006),$AN$1006:$BO$1006,0)))),"Fix")))</f>
        <v>0</v>
      </c>
      <c r="AC243" s="4">
        <f>IF(OR(INDEX($AH$2:$AH$1001,MATCH(ROWS($AG$2:AG243),$AG$2:$AG$1001,0),1)&gt;=100000,INDEX($AN$1005:$BO$1005,1,MATCH(COLUMNS($AN$1006:BO1006),$AN$1006:$BO$1006,0))&gt;=100000), " ",IF(INDEX($AN$2:$BO$1001,MATCH(ROWS($AG$2:AG243),$AG$2:$AG$1001,0),MATCH(COLUMNS($AN$1006:BO1006),$AN$1006:$BO$1006,0)), HYPERLINK("#",""), HYPERLINK(CONCATENATE("#Metadata!", ADDRESS(INDEX($AI$2:$AI$1001,MATCH(ROWS($AG$2:AG243),$AG$2:$AG$1001,0),0), INDEX($AN$1004:$BO$1004,1,MATCH(COLUMNS($AN$1006:BO1006),$AN$1006:$BO$1006,0)))),"Fix")))</f>
        <v>0</v>
      </c>
      <c r="AG243">
        <v>0</v>
      </c>
      <c r="AH243">
        <v>0</v>
      </c>
      <c r="AI243">
        <v>0</v>
      </c>
      <c r="AJ243">
        <f>IF(AK243,TRUE,AND(AN243:BO243))</f>
        <v>0</v>
      </c>
      <c r="AK243">
        <f>COUNTBLANK(Metadata!B243:AC243)=COLUMNS(Metadata!B243:AC243)</f>
        <v>0</v>
      </c>
      <c r="AL243">
        <v>0</v>
      </c>
      <c r="AN243">
        <f>AND(IF(Metadata!B243="",FALSE,TRUE),COUNTIF(Metadata!B:B, Metadata!B243) = 1,NOT(ISERROR(SUMPRODUCT(SEARCH(MID(Metadata!B243,ROW(INDIRECT("1:"&amp;LEN(Metadata!B243))), 1),"0123456789abcdefghijklmnopqrstuvwxyzABCDEFGHIJKLMNOPQRSTUVWXYZ.")))))</f>
        <v>0</v>
      </c>
      <c r="AO243">
        <f>IF(Metadata!C243="",FALSE,TRUE)</f>
        <v>0</v>
      </c>
      <c r="AP243">
        <f>IF(Metadata!D243="",FALSE,TRUE)</f>
        <v>0</v>
      </c>
      <c r="AQ243">
        <f>OR(AND(IF(Metadata!E243="",FALSE,TRUE),OR(exact(Metadata!E243,"not collected"),exact(Metadata!E243,"not provided"),exact(Metadata!E243,"restricted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R243">
        <f>IF(Metadata!F243="",FALSE,TRUE)</f>
        <v>0</v>
      </c>
      <c r="AS243">
        <f>OR(AND(IF(Metadata!G243="",FALSE,TRUE),OR(exact(Metadata!G243,"not collected"),exact(Metadata!G243,"not provided"))),AND(IF(Metadata!G243="",FALSE,TRUE),OR(exact(Metadata!G243,"TRUE"),exact(Metadata!G243,"FALSE"))))</f>
        <v>0</v>
      </c>
      <c r="AT243">
        <f>OR(AND(IF(Metadata!H243="",FALSE,TRUE),OR(exact(Metadata!H243,"not collected"),exact(Metadata!H243,"not provided"),exact(Metadata!H243,"restricted access"))),AND(IF(Metadata!H243="",FALSE,ISNUMBER(VALUE(Metadata!H243))),Metadata!H243&gt;=-413.0))</f>
        <v>0</v>
      </c>
      <c r="AU243">
        <f>AND(IF(Metadata!I243="",FALSE,TRUE),exact(Metadata!I243,"meters"))</f>
        <v>0</v>
      </c>
      <c r="AV243">
        <f>AND(IF(Metadata!J243="",FALSE,TRUE),OR(exact(Metadata!J243,"Host-associated"),exact(Metadata!J243,"Free-living")))</f>
        <v>0</v>
      </c>
      <c r="AW243">
        <f>AND(IF(Metadata!K243="",FALSE,TRUE),OR(exact(Metadata!K243,"Animal"),exact(Metadata!K243,"Fungus"),exact(Metadata!K243,"Plant"),exact(Metadata!K243,"Saline"),exact(Metadata!K243,"Non-saline")))</f>
        <v>0</v>
      </c>
      <c r="AX243">
        <f>AND(IF(Metadata!L243="",FALSE,TRUE),OR(exact(Metadata!L243,"Plant secretion"),exact(Metadata!L243,"Plant rhizosphere"),exact(Metadata!L243,"Plant surface"),exact(Metadata!L243,"Plant corpus"),exact(Metadata!L243,"Fungus surface"),exact(Metadata!L243,"Fungus corpus"),exact(Metadata!L243,"Animal surface"),exact(Metadata!L243,"Animal proximal gut"),exact(Metadata!L243,"Animal corpus"),exact(Metadata!L243,"Animal distal gut"),exact(Metadata!L243,"Animal secretion"),exact(Metadata!L243,"Sub-surface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Y243">
        <f>IF(Metadata!M243="",FALSE,TRUE)</f>
        <v>0</v>
      </c>
      <c r="AZ243">
        <f>IF(Metadata!N243="",FALSE,TRUE)</f>
        <v>0</v>
      </c>
      <c r="BA243">
        <f>IF(Metadata!O243="",FALSE,TRUE)</f>
        <v>0</v>
      </c>
      <c r="BB243">
        <f>OR(AND(IF(Metadata!P243="",FALSE,TRUE),OR(exact(Metadata!P243,"not collected"),exact(Metadata!P243,"not provided"),exact(Metadata!P243,"restricted access"))),AND(IF(Metadata!P243="",FALSE,TRUE),OR(exact(Metadata!P243,"air"),exact(Metadata!P243,"built environment"),exact(Metadata!P243,"host-associated"),exact(Metadata!P243,"human-associated"),exact(Metadata!P243,"human-skin"),exact(Metadata!P243,"human-oral"),exact(Metadata!P243,"human-gut"),exact(Metadata!P243,"human-vaginal"),exact(Metadata!P243,"microbial mat/biofilm"),exact(Metadata!P243,"misc environment"),exact(Metadata!P243,"plant-associated"),exact(Metadata!P243,"sediment"),exact(Metadata!P243,"soil"),exact(Metadata!P243,"wastewater/sludge"),exact(Metadata!P243,"water"))))</f>
        <v>0</v>
      </c>
      <c r="BC243">
        <f>IF(Metadata!Q243="",FALSE,TRUE)</f>
        <v>0</v>
      </c>
      <c r="BD243">
        <f>IF(Metadata!R243="",FALSE,TRUE)</f>
        <v>0</v>
      </c>
      <c r="BE243">
        <f>OR(AND(IF(Metadata!S243="",FALSE,TRUE),OR(exact(Metadata!S243,"not collected"),exact(Metadata!S243,"not provided"),exact(Metadata!S243,"restricted access"))),AND(IF(Metadata!S243="",FALSE,ISNUMBER(VALUE(Metadata!S243))),Metadata!S243&gt;=-90.00,Metadata!S243&lt;=90.00))</f>
        <v>0</v>
      </c>
      <c r="BF243">
        <f>AND(IF(Metadata!T243="",FALSE,TRUE),exact(Metadata!T243,"Decimal degrees"))</f>
        <v>0</v>
      </c>
      <c r="BG243">
        <f>OR(AND(IF(Metadata!U243="",FALSE,TRUE),OR(exact(Metadata!U243,"not collected"),exact(Metadata!U243,"not provided"),exact(Metadata!U243,"restricted access"))),AND(IF(Metadata!U243="",FALSE,ISNUMBER(VALUE(Metadata!U243))),Metadata!U243&gt;=-180.00,Metadata!U243&lt;=180.00))</f>
        <v>0</v>
      </c>
      <c r="BH243">
        <f>AND(IF(Metadata!V243="",FALSE,TRUE),exact(Metadata!V243,"Decimal degrees"))</f>
        <v>0</v>
      </c>
      <c r="BI243">
        <f>IF(Metadata!W243="",FALSE,TRUE)</f>
        <v>0</v>
      </c>
      <c r="BJ243">
        <f>OR(AND(IF(Metadata!X243="",FALSE,TRUE),OR(exact(Metadata!X243,"not collected"),exact(Metadata!X243,"not provided"),exact(Metadata!X243,"restricted access"))),AND(IF(Metadata!X243="",FALSE,TRUE),OR(exact(Metadata!X243,"TRUE"),exact(Metadata!X243,"FALSE"))))</f>
        <v>0</v>
      </c>
      <c r="BK243">
        <f>AND(IF(Metadata!Y243="",FALSE,TRUE),exact(Metadata!Y243,"other"))</f>
        <v>0</v>
      </c>
      <c r="BL243">
        <f>IF(Metadata!Z243="",FALSE,TRUE)</f>
        <v>0</v>
      </c>
      <c r="BM243">
        <f>OR(AND(IF(Metadata!AA243="",FALSE,TRUE),OR(exact(Metadata!AA243,"not collected"),exact(Metadata!AA243,"not provided"))),AND(IF(Metadata!AA243="",FALSE,IF(ISERROR(INT(Metadata!AA243)),FALSE,INT(Metadata!AA243)=Metadata!AA243)),Metadata!AA243&gt;0))</f>
        <v>0</v>
      </c>
      <c r="BN243">
        <f>AND(IF(Metadata!AB243="",FALSE,TRUE),exact(Metadata!AB243,"Not applicable"))</f>
        <v>0</v>
      </c>
      <c r="BO243">
        <f>IF(Metadata!AC243="",FALSE,TRUE)</f>
        <v>0</v>
      </c>
    </row>
    <row r="244" spans="1:67">
      <c r="A244" s="5">
        <f>IF(B244=" "," ",HYPERLINK(CONCATENATE("#metadata!",ADDRESS(INDEX($AI$2:$AI$1001,MATCH(ROWS($AG$2:AG244),$AG$2:$AG$1001,0),0),1)),INDEX($AL$2:$AL$1001,MATCH(ROWS($AG$2:AG244),$AG$2:$AG$1001,0),0)))</f>
        <v>0</v>
      </c>
      <c r="B244" s="4">
        <f>IF(OR(INDEX($AH$2:$AH$1001,MATCH(ROWS($AG$2:AG244),$AG$2:$AG$1001,0),1)&gt;=100000,INDEX($AN$1005:$BO$1005,1,MATCH(COLUMNS($AN$1006:AN1006),$AN$1006:$BO$1006,0))&gt;=100000), " ",IF(INDEX($AN$2:$BO$1001,MATCH(ROWS($AG$2:AG244),$AG$2:$AG$1001,0),MATCH(COLUMNS($AN$1006:AN1006),$AN$1006:$BO$1006,0)), HYPERLINK("#",""), HYPERLINK(CONCATENATE("#Metadata!", ADDRESS(INDEX($AI$2:$AI$1001,MATCH(ROWS($AG$2:AG244),$AG$2:$AG$1001,0),0), INDEX($AN$1004:$BO$1004,1,MATCH(COLUMNS($AN$1006:AN1006),$AN$1006:$BO$1006,0)))),"Fix")))</f>
        <v>0</v>
      </c>
      <c r="C244" s="4">
        <f>IF(OR(INDEX($AH$2:$AH$1001,MATCH(ROWS($AG$2:AG244),$AG$2:$AG$1001,0),1)&gt;=100000,INDEX($AN$1005:$BO$1005,1,MATCH(COLUMNS($AN$1006:AO1006),$AN$1006:$BO$1006,0))&gt;=100000), " ",IF(INDEX($AN$2:$BO$1001,MATCH(ROWS($AG$2:AG244),$AG$2:$AG$1001,0),MATCH(COLUMNS($AN$1006:AO1006),$AN$1006:$BO$1006,0)), HYPERLINK("#",""), HYPERLINK(CONCATENATE("#Metadata!", ADDRESS(INDEX($AI$2:$AI$1001,MATCH(ROWS($AG$2:AG244),$AG$2:$AG$1001,0),0), INDEX($AN$1004:$BO$1004,1,MATCH(COLUMNS($AN$1006:AO1006),$AN$1006:$BO$1006,0)))),"Fix")))</f>
        <v>0</v>
      </c>
      <c r="D244" s="4">
        <f>IF(OR(INDEX($AH$2:$AH$1001,MATCH(ROWS($AG$2:AG244),$AG$2:$AG$1001,0),1)&gt;=100000,INDEX($AN$1005:$BO$1005,1,MATCH(COLUMNS($AN$1006:AP1006),$AN$1006:$BO$1006,0))&gt;=100000), " ",IF(INDEX($AN$2:$BO$1001,MATCH(ROWS($AG$2:AG244),$AG$2:$AG$1001,0),MATCH(COLUMNS($AN$1006:AP1006),$AN$1006:$BO$1006,0)), HYPERLINK("#",""), HYPERLINK(CONCATENATE("#Metadata!", ADDRESS(INDEX($AI$2:$AI$1001,MATCH(ROWS($AG$2:AG244),$AG$2:$AG$1001,0),0), INDEX($AN$1004:$BO$1004,1,MATCH(COLUMNS($AN$1006:AP1006),$AN$1006:$BO$1006,0)))),"Fix")))</f>
        <v>0</v>
      </c>
      <c r="E244" s="4">
        <f>IF(OR(INDEX($AH$2:$AH$1001,MATCH(ROWS($AG$2:AG244),$AG$2:$AG$1001,0),1)&gt;=100000,INDEX($AN$1005:$BO$1005,1,MATCH(COLUMNS($AN$1006:AQ1006),$AN$1006:$BO$1006,0))&gt;=100000), " ",IF(INDEX($AN$2:$BO$1001,MATCH(ROWS($AG$2:AG244),$AG$2:$AG$1001,0),MATCH(COLUMNS($AN$1006:AQ1006),$AN$1006:$BO$1006,0)), HYPERLINK("#",""), HYPERLINK(CONCATENATE("#Metadata!", ADDRESS(INDEX($AI$2:$AI$1001,MATCH(ROWS($AG$2:AG244),$AG$2:$AG$1001,0),0), INDEX($AN$1004:$BO$1004,1,MATCH(COLUMNS($AN$1006:AQ1006),$AN$1006:$BO$1006,0)))),"Fix")))</f>
        <v>0</v>
      </c>
      <c r="F244" s="4">
        <f>IF(OR(INDEX($AH$2:$AH$1001,MATCH(ROWS($AG$2:AG244),$AG$2:$AG$1001,0),1)&gt;=100000,INDEX($AN$1005:$BO$1005,1,MATCH(COLUMNS($AN$1006:AR1006),$AN$1006:$BO$1006,0))&gt;=100000), " ",IF(INDEX($AN$2:$BO$1001,MATCH(ROWS($AG$2:AG244),$AG$2:$AG$1001,0),MATCH(COLUMNS($AN$1006:AR1006),$AN$1006:$BO$1006,0)), HYPERLINK("#",""), HYPERLINK(CONCATENATE("#Metadata!", ADDRESS(INDEX($AI$2:$AI$1001,MATCH(ROWS($AG$2:AG244),$AG$2:$AG$1001,0),0), INDEX($AN$1004:$BO$1004,1,MATCH(COLUMNS($AN$1006:AR1006),$AN$1006:$BO$1006,0)))),"Fix")))</f>
        <v>0</v>
      </c>
      <c r="G244" s="4">
        <f>IF(OR(INDEX($AH$2:$AH$1001,MATCH(ROWS($AG$2:AG244),$AG$2:$AG$1001,0),1)&gt;=100000,INDEX($AN$1005:$BO$1005,1,MATCH(COLUMNS($AN$1006:AS1006),$AN$1006:$BO$1006,0))&gt;=100000), " ",IF(INDEX($AN$2:$BO$1001,MATCH(ROWS($AG$2:AG244),$AG$2:$AG$1001,0),MATCH(COLUMNS($AN$1006:AS1006),$AN$1006:$BO$1006,0)), HYPERLINK("#",""), HYPERLINK(CONCATENATE("#Metadata!", ADDRESS(INDEX($AI$2:$AI$1001,MATCH(ROWS($AG$2:AG244),$AG$2:$AG$1001,0),0), INDEX($AN$1004:$BO$1004,1,MATCH(COLUMNS($AN$1006:AS1006),$AN$1006:$BO$1006,0)))),"Fix")))</f>
        <v>0</v>
      </c>
      <c r="H244" s="4">
        <f>IF(OR(INDEX($AH$2:$AH$1001,MATCH(ROWS($AG$2:AG244),$AG$2:$AG$1001,0),1)&gt;=100000,INDEX($AN$1005:$BO$1005,1,MATCH(COLUMNS($AN$1006:AT1006),$AN$1006:$BO$1006,0))&gt;=100000), " ",IF(INDEX($AN$2:$BO$1001,MATCH(ROWS($AG$2:AG244),$AG$2:$AG$1001,0),MATCH(COLUMNS($AN$1006:AT1006),$AN$1006:$BO$1006,0)), HYPERLINK("#",""), HYPERLINK(CONCATENATE("#Metadata!", ADDRESS(INDEX($AI$2:$AI$1001,MATCH(ROWS($AG$2:AG244),$AG$2:$AG$1001,0),0), INDEX($AN$1004:$BO$1004,1,MATCH(COLUMNS($AN$1006:AT1006),$AN$1006:$BO$1006,0)))),"Fix")))</f>
        <v>0</v>
      </c>
      <c r="I244" s="4">
        <f>IF(OR(INDEX($AH$2:$AH$1001,MATCH(ROWS($AG$2:AG244),$AG$2:$AG$1001,0),1)&gt;=100000,INDEX($AN$1005:$BO$1005,1,MATCH(COLUMNS($AN$1006:AU1006),$AN$1006:$BO$1006,0))&gt;=100000), " ",IF(INDEX($AN$2:$BO$1001,MATCH(ROWS($AG$2:AG244),$AG$2:$AG$1001,0),MATCH(COLUMNS($AN$1006:AU1006),$AN$1006:$BO$1006,0)), HYPERLINK("#",""), HYPERLINK(CONCATENATE("#Metadata!", ADDRESS(INDEX($AI$2:$AI$1001,MATCH(ROWS($AG$2:AG244),$AG$2:$AG$1001,0),0), INDEX($AN$1004:$BO$1004,1,MATCH(COLUMNS($AN$1006:AU1006),$AN$1006:$BO$1006,0)))),"Fix")))</f>
        <v>0</v>
      </c>
      <c r="J244" s="4">
        <f>IF(OR(INDEX($AH$2:$AH$1001,MATCH(ROWS($AG$2:AG244),$AG$2:$AG$1001,0),1)&gt;=100000,INDEX($AN$1005:$BO$1005,1,MATCH(COLUMNS($AN$1006:AV1006),$AN$1006:$BO$1006,0))&gt;=100000), " ",IF(INDEX($AN$2:$BO$1001,MATCH(ROWS($AG$2:AG244),$AG$2:$AG$1001,0),MATCH(COLUMNS($AN$1006:AV1006),$AN$1006:$BO$1006,0)), HYPERLINK("#",""), HYPERLINK(CONCATENATE("#Metadata!", ADDRESS(INDEX($AI$2:$AI$1001,MATCH(ROWS($AG$2:AG244),$AG$2:$AG$1001,0),0), INDEX($AN$1004:$BO$1004,1,MATCH(COLUMNS($AN$1006:AV1006),$AN$1006:$BO$1006,0)))),"Fix")))</f>
        <v>0</v>
      </c>
      <c r="K244" s="4">
        <f>IF(OR(INDEX($AH$2:$AH$1001,MATCH(ROWS($AG$2:AG244),$AG$2:$AG$1001,0),1)&gt;=100000,INDEX($AN$1005:$BO$1005,1,MATCH(COLUMNS($AN$1006:AW1006),$AN$1006:$BO$1006,0))&gt;=100000), " ",IF(INDEX($AN$2:$BO$1001,MATCH(ROWS($AG$2:AG244),$AG$2:$AG$1001,0),MATCH(COLUMNS($AN$1006:AW1006),$AN$1006:$BO$1006,0)), HYPERLINK("#",""), HYPERLINK(CONCATENATE("#Metadata!", ADDRESS(INDEX($AI$2:$AI$1001,MATCH(ROWS($AG$2:AG244),$AG$2:$AG$1001,0),0), INDEX($AN$1004:$BO$1004,1,MATCH(COLUMNS($AN$1006:AW1006),$AN$1006:$BO$1006,0)))),"Fix")))</f>
        <v>0</v>
      </c>
      <c r="L244" s="4">
        <f>IF(OR(INDEX($AH$2:$AH$1001,MATCH(ROWS($AG$2:AG244),$AG$2:$AG$1001,0),1)&gt;=100000,INDEX($AN$1005:$BO$1005,1,MATCH(COLUMNS($AN$1006:AX1006),$AN$1006:$BO$1006,0))&gt;=100000), " ",IF(INDEX($AN$2:$BO$1001,MATCH(ROWS($AG$2:AG244),$AG$2:$AG$1001,0),MATCH(COLUMNS($AN$1006:AX1006),$AN$1006:$BO$1006,0)), HYPERLINK("#",""), HYPERLINK(CONCATENATE("#Metadata!", ADDRESS(INDEX($AI$2:$AI$1001,MATCH(ROWS($AG$2:AG244),$AG$2:$AG$1001,0),0), INDEX($AN$1004:$BO$1004,1,MATCH(COLUMNS($AN$1006:AX1006),$AN$1006:$BO$1006,0)))),"Fix")))</f>
        <v>0</v>
      </c>
      <c r="M244" s="4">
        <f>IF(OR(INDEX($AH$2:$AH$1001,MATCH(ROWS($AG$2:AG244),$AG$2:$AG$1001,0),1)&gt;=100000,INDEX($AN$1005:$BO$1005,1,MATCH(COLUMNS($AN$1006:AY1006),$AN$1006:$BO$1006,0))&gt;=100000), " ",IF(INDEX($AN$2:$BO$1001,MATCH(ROWS($AG$2:AG244),$AG$2:$AG$1001,0),MATCH(COLUMNS($AN$1006:AY1006),$AN$1006:$BO$1006,0)), HYPERLINK("#",""), HYPERLINK(CONCATENATE("#Metadata!", ADDRESS(INDEX($AI$2:$AI$1001,MATCH(ROWS($AG$2:AG244),$AG$2:$AG$1001,0),0), INDEX($AN$1004:$BO$1004,1,MATCH(COLUMNS($AN$1006:AY1006),$AN$1006:$BO$1006,0)))),"Fix")))</f>
        <v>0</v>
      </c>
      <c r="N244" s="4">
        <f>IF(OR(INDEX($AH$2:$AH$1001,MATCH(ROWS($AG$2:AG244),$AG$2:$AG$1001,0),1)&gt;=100000,INDEX($AN$1005:$BO$1005,1,MATCH(COLUMNS($AN$1006:AZ1006),$AN$1006:$BO$1006,0))&gt;=100000), " ",IF(INDEX($AN$2:$BO$1001,MATCH(ROWS($AG$2:AG244),$AG$2:$AG$1001,0),MATCH(COLUMNS($AN$1006:AZ1006),$AN$1006:$BO$1006,0)), HYPERLINK("#",""), HYPERLINK(CONCATENATE("#Metadata!", ADDRESS(INDEX($AI$2:$AI$1001,MATCH(ROWS($AG$2:AG244),$AG$2:$AG$1001,0),0), INDEX($AN$1004:$BO$1004,1,MATCH(COLUMNS($AN$1006:AZ1006),$AN$1006:$BO$1006,0)))),"Fix")))</f>
        <v>0</v>
      </c>
      <c r="O244" s="4">
        <f>IF(OR(INDEX($AH$2:$AH$1001,MATCH(ROWS($AG$2:AG244),$AG$2:$AG$1001,0),1)&gt;=100000,INDEX($AN$1005:$BO$1005,1,MATCH(COLUMNS($AN$1006:BA1006),$AN$1006:$BO$1006,0))&gt;=100000), " ",IF(INDEX($AN$2:$BO$1001,MATCH(ROWS($AG$2:AG244),$AG$2:$AG$1001,0),MATCH(COLUMNS($AN$1006:BA1006),$AN$1006:$BO$1006,0)), HYPERLINK("#",""), HYPERLINK(CONCATENATE("#Metadata!", ADDRESS(INDEX($AI$2:$AI$1001,MATCH(ROWS($AG$2:AG244),$AG$2:$AG$1001,0),0), INDEX($AN$1004:$BO$1004,1,MATCH(COLUMNS($AN$1006:BA1006),$AN$1006:$BO$1006,0)))),"Fix")))</f>
        <v>0</v>
      </c>
      <c r="P244" s="4">
        <f>IF(OR(INDEX($AH$2:$AH$1001,MATCH(ROWS($AG$2:AG244),$AG$2:$AG$1001,0),1)&gt;=100000,INDEX($AN$1005:$BO$1005,1,MATCH(COLUMNS($AN$1006:BB1006),$AN$1006:$BO$1006,0))&gt;=100000), " ",IF(INDEX($AN$2:$BO$1001,MATCH(ROWS($AG$2:AG244),$AG$2:$AG$1001,0),MATCH(COLUMNS($AN$1006:BB1006),$AN$1006:$BO$1006,0)), HYPERLINK("#",""), HYPERLINK(CONCATENATE("#Metadata!", ADDRESS(INDEX($AI$2:$AI$1001,MATCH(ROWS($AG$2:AG244),$AG$2:$AG$1001,0),0), INDEX($AN$1004:$BO$1004,1,MATCH(COLUMNS($AN$1006:BB1006),$AN$1006:$BO$1006,0)))),"Fix")))</f>
        <v>0</v>
      </c>
      <c r="Q244" s="4">
        <f>IF(OR(INDEX($AH$2:$AH$1001,MATCH(ROWS($AG$2:AG244),$AG$2:$AG$1001,0),1)&gt;=100000,INDEX($AN$1005:$BO$1005,1,MATCH(COLUMNS($AN$1006:BC1006),$AN$1006:$BO$1006,0))&gt;=100000), " ",IF(INDEX($AN$2:$BO$1001,MATCH(ROWS($AG$2:AG244),$AG$2:$AG$1001,0),MATCH(COLUMNS($AN$1006:BC1006),$AN$1006:$BO$1006,0)), HYPERLINK("#",""), HYPERLINK(CONCATENATE("#Metadata!", ADDRESS(INDEX($AI$2:$AI$1001,MATCH(ROWS($AG$2:AG244),$AG$2:$AG$1001,0),0), INDEX($AN$1004:$BO$1004,1,MATCH(COLUMNS($AN$1006:BC1006),$AN$1006:$BO$1006,0)))),"Fix")))</f>
        <v>0</v>
      </c>
      <c r="R244" s="4">
        <f>IF(OR(INDEX($AH$2:$AH$1001,MATCH(ROWS($AG$2:AG244),$AG$2:$AG$1001,0),1)&gt;=100000,INDEX($AN$1005:$BO$1005,1,MATCH(COLUMNS($AN$1006:BD1006),$AN$1006:$BO$1006,0))&gt;=100000), " ",IF(INDEX($AN$2:$BO$1001,MATCH(ROWS($AG$2:AG244),$AG$2:$AG$1001,0),MATCH(COLUMNS($AN$1006:BD1006),$AN$1006:$BO$1006,0)), HYPERLINK("#",""), HYPERLINK(CONCATENATE("#Metadata!", ADDRESS(INDEX($AI$2:$AI$1001,MATCH(ROWS($AG$2:AG244),$AG$2:$AG$1001,0),0), INDEX($AN$1004:$BO$1004,1,MATCH(COLUMNS($AN$1006:BD1006),$AN$1006:$BO$1006,0)))),"Fix")))</f>
        <v>0</v>
      </c>
      <c r="S244" s="4">
        <f>IF(OR(INDEX($AH$2:$AH$1001,MATCH(ROWS($AG$2:AG244),$AG$2:$AG$1001,0),1)&gt;=100000,INDEX($AN$1005:$BO$1005,1,MATCH(COLUMNS($AN$1006:BE1006),$AN$1006:$BO$1006,0))&gt;=100000), " ",IF(INDEX($AN$2:$BO$1001,MATCH(ROWS($AG$2:AG244),$AG$2:$AG$1001,0),MATCH(COLUMNS($AN$1006:BE1006),$AN$1006:$BO$1006,0)), HYPERLINK("#",""), HYPERLINK(CONCATENATE("#Metadata!", ADDRESS(INDEX($AI$2:$AI$1001,MATCH(ROWS($AG$2:AG244),$AG$2:$AG$1001,0),0), INDEX($AN$1004:$BO$1004,1,MATCH(COLUMNS($AN$1006:BE1006),$AN$1006:$BO$1006,0)))),"Fix")))</f>
        <v>0</v>
      </c>
      <c r="T244" s="4">
        <f>IF(OR(INDEX($AH$2:$AH$1001,MATCH(ROWS($AG$2:AG244),$AG$2:$AG$1001,0),1)&gt;=100000,INDEX($AN$1005:$BO$1005,1,MATCH(COLUMNS($AN$1006:BF1006),$AN$1006:$BO$1006,0))&gt;=100000), " ",IF(INDEX($AN$2:$BO$1001,MATCH(ROWS($AG$2:AG244),$AG$2:$AG$1001,0),MATCH(COLUMNS($AN$1006:BF1006),$AN$1006:$BO$1006,0)), HYPERLINK("#",""), HYPERLINK(CONCATENATE("#Metadata!", ADDRESS(INDEX($AI$2:$AI$1001,MATCH(ROWS($AG$2:AG244),$AG$2:$AG$1001,0),0), INDEX($AN$1004:$BO$1004,1,MATCH(COLUMNS($AN$1006:BF1006),$AN$1006:$BO$1006,0)))),"Fix")))</f>
        <v>0</v>
      </c>
      <c r="U244" s="4">
        <f>IF(OR(INDEX($AH$2:$AH$1001,MATCH(ROWS($AG$2:AG244),$AG$2:$AG$1001,0),1)&gt;=100000,INDEX($AN$1005:$BO$1005,1,MATCH(COLUMNS($AN$1006:BG1006),$AN$1006:$BO$1006,0))&gt;=100000), " ",IF(INDEX($AN$2:$BO$1001,MATCH(ROWS($AG$2:AG244),$AG$2:$AG$1001,0),MATCH(COLUMNS($AN$1006:BG1006),$AN$1006:$BO$1006,0)), HYPERLINK("#",""), HYPERLINK(CONCATENATE("#Metadata!", ADDRESS(INDEX($AI$2:$AI$1001,MATCH(ROWS($AG$2:AG244),$AG$2:$AG$1001,0),0), INDEX($AN$1004:$BO$1004,1,MATCH(COLUMNS($AN$1006:BG1006),$AN$1006:$BO$1006,0)))),"Fix")))</f>
        <v>0</v>
      </c>
      <c r="V244" s="4">
        <f>IF(OR(INDEX($AH$2:$AH$1001,MATCH(ROWS($AG$2:AG244),$AG$2:$AG$1001,0),1)&gt;=100000,INDEX($AN$1005:$BO$1005,1,MATCH(COLUMNS($AN$1006:BH1006),$AN$1006:$BO$1006,0))&gt;=100000), " ",IF(INDEX($AN$2:$BO$1001,MATCH(ROWS($AG$2:AG244),$AG$2:$AG$1001,0),MATCH(COLUMNS($AN$1006:BH1006),$AN$1006:$BO$1006,0)), HYPERLINK("#",""), HYPERLINK(CONCATENATE("#Metadata!", ADDRESS(INDEX($AI$2:$AI$1001,MATCH(ROWS($AG$2:AG244),$AG$2:$AG$1001,0),0), INDEX($AN$1004:$BO$1004,1,MATCH(COLUMNS($AN$1006:BH1006),$AN$1006:$BO$1006,0)))),"Fix")))</f>
        <v>0</v>
      </c>
      <c r="W244" s="4">
        <f>IF(OR(INDEX($AH$2:$AH$1001,MATCH(ROWS($AG$2:AG244),$AG$2:$AG$1001,0),1)&gt;=100000,INDEX($AN$1005:$BO$1005,1,MATCH(COLUMNS($AN$1006:BI1006),$AN$1006:$BO$1006,0))&gt;=100000), " ",IF(INDEX($AN$2:$BO$1001,MATCH(ROWS($AG$2:AG244),$AG$2:$AG$1001,0),MATCH(COLUMNS($AN$1006:BI1006),$AN$1006:$BO$1006,0)), HYPERLINK("#",""), HYPERLINK(CONCATENATE("#Metadata!", ADDRESS(INDEX($AI$2:$AI$1001,MATCH(ROWS($AG$2:AG244),$AG$2:$AG$1001,0),0), INDEX($AN$1004:$BO$1004,1,MATCH(COLUMNS($AN$1006:BI1006),$AN$1006:$BO$1006,0)))),"Fix")))</f>
        <v>0</v>
      </c>
      <c r="X244" s="4">
        <f>IF(OR(INDEX($AH$2:$AH$1001,MATCH(ROWS($AG$2:AG244),$AG$2:$AG$1001,0),1)&gt;=100000,INDEX($AN$1005:$BO$1005,1,MATCH(COLUMNS($AN$1006:BJ1006),$AN$1006:$BO$1006,0))&gt;=100000), " ",IF(INDEX($AN$2:$BO$1001,MATCH(ROWS($AG$2:AG244),$AG$2:$AG$1001,0),MATCH(COLUMNS($AN$1006:BJ1006),$AN$1006:$BO$1006,0)), HYPERLINK("#",""), HYPERLINK(CONCATENATE("#Metadata!", ADDRESS(INDEX($AI$2:$AI$1001,MATCH(ROWS($AG$2:AG244),$AG$2:$AG$1001,0),0), INDEX($AN$1004:$BO$1004,1,MATCH(COLUMNS($AN$1006:BJ1006),$AN$1006:$BO$1006,0)))),"Fix")))</f>
        <v>0</v>
      </c>
      <c r="Y244" s="4">
        <f>IF(OR(INDEX($AH$2:$AH$1001,MATCH(ROWS($AG$2:AG244),$AG$2:$AG$1001,0),1)&gt;=100000,INDEX($AN$1005:$BO$1005,1,MATCH(COLUMNS($AN$1006:BK1006),$AN$1006:$BO$1006,0))&gt;=100000), " ",IF(INDEX($AN$2:$BO$1001,MATCH(ROWS($AG$2:AG244),$AG$2:$AG$1001,0),MATCH(COLUMNS($AN$1006:BK1006),$AN$1006:$BO$1006,0)), HYPERLINK("#",""), HYPERLINK(CONCATENATE("#Metadata!", ADDRESS(INDEX($AI$2:$AI$1001,MATCH(ROWS($AG$2:AG244),$AG$2:$AG$1001,0),0), INDEX($AN$1004:$BO$1004,1,MATCH(COLUMNS($AN$1006:BK1006),$AN$1006:$BO$1006,0)))),"Fix")))</f>
        <v>0</v>
      </c>
      <c r="Z244" s="4">
        <f>IF(OR(INDEX($AH$2:$AH$1001,MATCH(ROWS($AG$2:AG244),$AG$2:$AG$1001,0),1)&gt;=100000,INDEX($AN$1005:$BO$1005,1,MATCH(COLUMNS($AN$1006:BL1006),$AN$1006:$BO$1006,0))&gt;=100000), " ",IF(INDEX($AN$2:$BO$1001,MATCH(ROWS($AG$2:AG244),$AG$2:$AG$1001,0),MATCH(COLUMNS($AN$1006:BL1006),$AN$1006:$BO$1006,0)), HYPERLINK("#",""), HYPERLINK(CONCATENATE("#Metadata!", ADDRESS(INDEX($AI$2:$AI$1001,MATCH(ROWS($AG$2:AG244),$AG$2:$AG$1001,0),0), INDEX($AN$1004:$BO$1004,1,MATCH(COLUMNS($AN$1006:BL1006),$AN$1006:$BO$1006,0)))),"Fix")))</f>
        <v>0</v>
      </c>
      <c r="AA244" s="4">
        <f>IF(OR(INDEX($AH$2:$AH$1001,MATCH(ROWS($AG$2:AG244),$AG$2:$AG$1001,0),1)&gt;=100000,INDEX($AN$1005:$BO$1005,1,MATCH(COLUMNS($AN$1006:BM1006),$AN$1006:$BO$1006,0))&gt;=100000), " ",IF(INDEX($AN$2:$BO$1001,MATCH(ROWS($AG$2:AG244),$AG$2:$AG$1001,0),MATCH(COLUMNS($AN$1006:BM1006),$AN$1006:$BO$1006,0)), HYPERLINK("#",""), HYPERLINK(CONCATENATE("#Metadata!", ADDRESS(INDEX($AI$2:$AI$1001,MATCH(ROWS($AG$2:AG244),$AG$2:$AG$1001,0),0), INDEX($AN$1004:$BO$1004,1,MATCH(COLUMNS($AN$1006:BM1006),$AN$1006:$BO$1006,0)))),"Fix")))</f>
        <v>0</v>
      </c>
      <c r="AB244" s="4">
        <f>IF(OR(INDEX($AH$2:$AH$1001,MATCH(ROWS($AG$2:AG244),$AG$2:$AG$1001,0),1)&gt;=100000,INDEX($AN$1005:$BO$1005,1,MATCH(COLUMNS($AN$1006:BN1006),$AN$1006:$BO$1006,0))&gt;=100000), " ",IF(INDEX($AN$2:$BO$1001,MATCH(ROWS($AG$2:AG244),$AG$2:$AG$1001,0),MATCH(COLUMNS($AN$1006:BN1006),$AN$1006:$BO$1006,0)), HYPERLINK("#",""), HYPERLINK(CONCATENATE("#Metadata!", ADDRESS(INDEX($AI$2:$AI$1001,MATCH(ROWS($AG$2:AG244),$AG$2:$AG$1001,0),0), INDEX($AN$1004:$BO$1004,1,MATCH(COLUMNS($AN$1006:BN1006),$AN$1006:$BO$1006,0)))),"Fix")))</f>
        <v>0</v>
      </c>
      <c r="AC244" s="4">
        <f>IF(OR(INDEX($AH$2:$AH$1001,MATCH(ROWS($AG$2:AG244),$AG$2:$AG$1001,0),1)&gt;=100000,INDEX($AN$1005:$BO$1005,1,MATCH(COLUMNS($AN$1006:BO1006),$AN$1006:$BO$1006,0))&gt;=100000), " ",IF(INDEX($AN$2:$BO$1001,MATCH(ROWS($AG$2:AG244),$AG$2:$AG$1001,0),MATCH(COLUMNS($AN$1006:BO1006),$AN$1006:$BO$1006,0)), HYPERLINK("#",""), HYPERLINK(CONCATENATE("#Metadata!", ADDRESS(INDEX($AI$2:$AI$1001,MATCH(ROWS($AG$2:AG244),$AG$2:$AG$1001,0),0), INDEX($AN$1004:$BO$1004,1,MATCH(COLUMNS($AN$1006:BO1006),$AN$1006:$BO$1006,0)))),"Fix")))</f>
        <v>0</v>
      </c>
      <c r="AG244">
        <v>0</v>
      </c>
      <c r="AH244">
        <v>0</v>
      </c>
      <c r="AI244">
        <v>0</v>
      </c>
      <c r="AJ244">
        <f>IF(AK244,TRUE,AND(AN244:BO244))</f>
        <v>0</v>
      </c>
      <c r="AK244">
        <f>COUNTBLANK(Metadata!B244:AC244)=COLUMNS(Metadata!B244:AC244)</f>
        <v>0</v>
      </c>
      <c r="AL244">
        <v>0</v>
      </c>
      <c r="AN244">
        <f>AND(IF(Metadata!B244="",FALSE,TRUE),COUNTIF(Metadata!B:B, Metadata!B244) = 1,NOT(ISERROR(SUMPRODUCT(SEARCH(MID(Metadata!B244,ROW(INDIRECT("1:"&amp;LEN(Metadata!B244))), 1),"0123456789abcdefghijklmnopqrstuvwxyzABCDEFGHIJKLMNOPQRSTUVWXYZ.")))))</f>
        <v>0</v>
      </c>
      <c r="AO244">
        <f>IF(Metadata!C244="",FALSE,TRUE)</f>
        <v>0</v>
      </c>
      <c r="AP244">
        <f>IF(Metadata!D244="",FALSE,TRUE)</f>
        <v>0</v>
      </c>
      <c r="AQ244">
        <f>OR(AND(IF(Metadata!E244="",FALSE,TRUE),OR(exact(Metadata!E244,"not collected"),exact(Metadata!E244,"not provided"),exact(Metadata!E244,"restricted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R244">
        <f>IF(Metadata!F244="",FALSE,TRUE)</f>
        <v>0</v>
      </c>
      <c r="AS244">
        <f>OR(AND(IF(Metadata!G244="",FALSE,TRUE),OR(exact(Metadata!G244,"not collected"),exact(Metadata!G244,"not provided"))),AND(IF(Metadata!G244="",FALSE,TRUE),OR(exact(Metadata!G244,"TRUE"),exact(Metadata!G244,"FALSE"))))</f>
        <v>0</v>
      </c>
      <c r="AT244">
        <f>OR(AND(IF(Metadata!H244="",FALSE,TRUE),OR(exact(Metadata!H244,"not collected"),exact(Metadata!H244,"not provided"),exact(Metadata!H244,"restricted access"))),AND(IF(Metadata!H244="",FALSE,ISNUMBER(VALUE(Metadata!H244))),Metadata!H244&gt;=-413.0))</f>
        <v>0</v>
      </c>
      <c r="AU244">
        <f>AND(IF(Metadata!I244="",FALSE,TRUE),exact(Metadata!I244,"meters"))</f>
        <v>0</v>
      </c>
      <c r="AV244">
        <f>AND(IF(Metadata!J244="",FALSE,TRUE),OR(exact(Metadata!J244,"Host-associated"),exact(Metadata!J244,"Free-living")))</f>
        <v>0</v>
      </c>
      <c r="AW244">
        <f>AND(IF(Metadata!K244="",FALSE,TRUE),OR(exact(Metadata!K244,"Animal"),exact(Metadata!K244,"Fungus"),exact(Metadata!K244,"Plant"),exact(Metadata!K244,"Saline"),exact(Metadata!K244,"Non-saline")))</f>
        <v>0</v>
      </c>
      <c r="AX244">
        <f>AND(IF(Metadata!L244="",FALSE,TRUE),OR(exact(Metadata!L244,"Plant secretion"),exact(Metadata!L244,"Plant rhizosphere"),exact(Metadata!L244,"Plant surface"),exact(Metadata!L244,"Plant corpus"),exact(Metadata!L244,"Fungus surface"),exact(Metadata!L244,"Fungus corpus"),exact(Metadata!L244,"Animal surface"),exact(Metadata!L244,"Animal proximal gut"),exact(Metadata!L244,"Animal corpus"),exact(Metadata!L244,"Animal distal gut"),exact(Metadata!L244,"Animal secretion"),exact(Metadata!L244,"Sub-surface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Y244">
        <f>IF(Metadata!M244="",FALSE,TRUE)</f>
        <v>0</v>
      </c>
      <c r="AZ244">
        <f>IF(Metadata!N244="",FALSE,TRUE)</f>
        <v>0</v>
      </c>
      <c r="BA244">
        <f>IF(Metadata!O244="",FALSE,TRUE)</f>
        <v>0</v>
      </c>
      <c r="BB244">
        <f>OR(AND(IF(Metadata!P244="",FALSE,TRUE),OR(exact(Metadata!P244,"not collected"),exact(Metadata!P244,"not provided"),exact(Metadata!P244,"restricted access"))),AND(IF(Metadata!P244="",FALSE,TRUE),OR(exact(Metadata!P244,"air"),exact(Metadata!P244,"built environment"),exact(Metadata!P244,"host-associated"),exact(Metadata!P244,"human-associated"),exact(Metadata!P244,"human-skin"),exact(Metadata!P244,"human-oral"),exact(Metadata!P244,"human-gut"),exact(Metadata!P244,"human-vaginal"),exact(Metadata!P244,"microbial mat/biofilm"),exact(Metadata!P244,"misc environment"),exact(Metadata!P244,"plant-associated"),exact(Metadata!P244,"sediment"),exact(Metadata!P244,"soil"),exact(Metadata!P244,"wastewater/sludge"),exact(Metadata!P244,"water"))))</f>
        <v>0</v>
      </c>
      <c r="BC244">
        <f>IF(Metadata!Q244="",FALSE,TRUE)</f>
        <v>0</v>
      </c>
      <c r="BD244">
        <f>IF(Metadata!R244="",FALSE,TRUE)</f>
        <v>0</v>
      </c>
      <c r="BE244">
        <f>OR(AND(IF(Metadata!S244="",FALSE,TRUE),OR(exact(Metadata!S244,"not collected"),exact(Metadata!S244,"not provided"),exact(Metadata!S244,"restricted access"))),AND(IF(Metadata!S244="",FALSE,ISNUMBER(VALUE(Metadata!S244))),Metadata!S244&gt;=-90.00,Metadata!S244&lt;=90.00))</f>
        <v>0</v>
      </c>
      <c r="BF244">
        <f>AND(IF(Metadata!T244="",FALSE,TRUE),exact(Metadata!T244,"Decimal degrees"))</f>
        <v>0</v>
      </c>
      <c r="BG244">
        <f>OR(AND(IF(Metadata!U244="",FALSE,TRUE),OR(exact(Metadata!U244,"not collected"),exact(Metadata!U244,"not provided"),exact(Metadata!U244,"restricted access"))),AND(IF(Metadata!U244="",FALSE,ISNUMBER(VALUE(Metadata!U244))),Metadata!U244&gt;=-180.00,Metadata!U244&lt;=180.00))</f>
        <v>0</v>
      </c>
      <c r="BH244">
        <f>AND(IF(Metadata!V244="",FALSE,TRUE),exact(Metadata!V244,"Decimal degrees"))</f>
        <v>0</v>
      </c>
      <c r="BI244">
        <f>IF(Metadata!W244="",FALSE,TRUE)</f>
        <v>0</v>
      </c>
      <c r="BJ244">
        <f>OR(AND(IF(Metadata!X244="",FALSE,TRUE),OR(exact(Metadata!X244,"not collected"),exact(Metadata!X244,"not provided"),exact(Metadata!X244,"restricted access"))),AND(IF(Metadata!X244="",FALSE,TRUE),OR(exact(Metadata!X244,"TRUE"),exact(Metadata!X244,"FALSE"))))</f>
        <v>0</v>
      </c>
      <c r="BK244">
        <f>AND(IF(Metadata!Y244="",FALSE,TRUE),exact(Metadata!Y244,"other"))</f>
        <v>0</v>
      </c>
      <c r="BL244">
        <f>IF(Metadata!Z244="",FALSE,TRUE)</f>
        <v>0</v>
      </c>
      <c r="BM244">
        <f>OR(AND(IF(Metadata!AA244="",FALSE,TRUE),OR(exact(Metadata!AA244,"not collected"),exact(Metadata!AA244,"not provided"))),AND(IF(Metadata!AA244="",FALSE,IF(ISERROR(INT(Metadata!AA244)),FALSE,INT(Metadata!AA244)=Metadata!AA244)),Metadata!AA244&gt;0))</f>
        <v>0</v>
      </c>
      <c r="BN244">
        <f>AND(IF(Metadata!AB244="",FALSE,TRUE),exact(Metadata!AB244,"Not applicable"))</f>
        <v>0</v>
      </c>
      <c r="BO244">
        <f>IF(Metadata!AC244="",FALSE,TRUE)</f>
        <v>0</v>
      </c>
    </row>
    <row r="245" spans="1:67">
      <c r="A245" s="5">
        <f>IF(B245=" "," ",HYPERLINK(CONCATENATE("#metadata!",ADDRESS(INDEX($AI$2:$AI$1001,MATCH(ROWS($AG$2:AG245),$AG$2:$AG$1001,0),0),1)),INDEX($AL$2:$AL$1001,MATCH(ROWS($AG$2:AG245),$AG$2:$AG$1001,0),0)))</f>
        <v>0</v>
      </c>
      <c r="B245" s="4">
        <f>IF(OR(INDEX($AH$2:$AH$1001,MATCH(ROWS($AG$2:AG245),$AG$2:$AG$1001,0),1)&gt;=100000,INDEX($AN$1005:$BO$1005,1,MATCH(COLUMNS($AN$1006:AN1006),$AN$1006:$BO$1006,0))&gt;=100000), " ",IF(INDEX($AN$2:$BO$1001,MATCH(ROWS($AG$2:AG245),$AG$2:$AG$1001,0),MATCH(COLUMNS($AN$1006:AN1006),$AN$1006:$BO$1006,0)), HYPERLINK("#",""), HYPERLINK(CONCATENATE("#Metadata!", ADDRESS(INDEX($AI$2:$AI$1001,MATCH(ROWS($AG$2:AG245),$AG$2:$AG$1001,0),0), INDEX($AN$1004:$BO$1004,1,MATCH(COLUMNS($AN$1006:AN1006),$AN$1006:$BO$1006,0)))),"Fix")))</f>
        <v>0</v>
      </c>
      <c r="C245" s="4">
        <f>IF(OR(INDEX($AH$2:$AH$1001,MATCH(ROWS($AG$2:AG245),$AG$2:$AG$1001,0),1)&gt;=100000,INDEX($AN$1005:$BO$1005,1,MATCH(COLUMNS($AN$1006:AO1006),$AN$1006:$BO$1006,0))&gt;=100000), " ",IF(INDEX($AN$2:$BO$1001,MATCH(ROWS($AG$2:AG245),$AG$2:$AG$1001,0),MATCH(COLUMNS($AN$1006:AO1006),$AN$1006:$BO$1006,0)), HYPERLINK("#",""), HYPERLINK(CONCATENATE("#Metadata!", ADDRESS(INDEX($AI$2:$AI$1001,MATCH(ROWS($AG$2:AG245),$AG$2:$AG$1001,0),0), INDEX($AN$1004:$BO$1004,1,MATCH(COLUMNS($AN$1006:AO1006),$AN$1006:$BO$1006,0)))),"Fix")))</f>
        <v>0</v>
      </c>
      <c r="D245" s="4">
        <f>IF(OR(INDEX($AH$2:$AH$1001,MATCH(ROWS($AG$2:AG245),$AG$2:$AG$1001,0),1)&gt;=100000,INDEX($AN$1005:$BO$1005,1,MATCH(COLUMNS($AN$1006:AP1006),$AN$1006:$BO$1006,0))&gt;=100000), " ",IF(INDEX($AN$2:$BO$1001,MATCH(ROWS($AG$2:AG245),$AG$2:$AG$1001,0),MATCH(COLUMNS($AN$1006:AP1006),$AN$1006:$BO$1006,0)), HYPERLINK("#",""), HYPERLINK(CONCATENATE("#Metadata!", ADDRESS(INDEX($AI$2:$AI$1001,MATCH(ROWS($AG$2:AG245),$AG$2:$AG$1001,0),0), INDEX($AN$1004:$BO$1004,1,MATCH(COLUMNS($AN$1006:AP1006),$AN$1006:$BO$1006,0)))),"Fix")))</f>
        <v>0</v>
      </c>
      <c r="E245" s="4">
        <f>IF(OR(INDEX($AH$2:$AH$1001,MATCH(ROWS($AG$2:AG245),$AG$2:$AG$1001,0),1)&gt;=100000,INDEX($AN$1005:$BO$1005,1,MATCH(COLUMNS($AN$1006:AQ1006),$AN$1006:$BO$1006,0))&gt;=100000), " ",IF(INDEX($AN$2:$BO$1001,MATCH(ROWS($AG$2:AG245),$AG$2:$AG$1001,0),MATCH(COLUMNS($AN$1006:AQ1006),$AN$1006:$BO$1006,0)), HYPERLINK("#",""), HYPERLINK(CONCATENATE("#Metadata!", ADDRESS(INDEX($AI$2:$AI$1001,MATCH(ROWS($AG$2:AG245),$AG$2:$AG$1001,0),0), INDEX($AN$1004:$BO$1004,1,MATCH(COLUMNS($AN$1006:AQ1006),$AN$1006:$BO$1006,0)))),"Fix")))</f>
        <v>0</v>
      </c>
      <c r="F245" s="4">
        <f>IF(OR(INDEX($AH$2:$AH$1001,MATCH(ROWS($AG$2:AG245),$AG$2:$AG$1001,0),1)&gt;=100000,INDEX($AN$1005:$BO$1005,1,MATCH(COLUMNS($AN$1006:AR1006),$AN$1006:$BO$1006,0))&gt;=100000), " ",IF(INDEX($AN$2:$BO$1001,MATCH(ROWS($AG$2:AG245),$AG$2:$AG$1001,0),MATCH(COLUMNS($AN$1006:AR1006),$AN$1006:$BO$1006,0)), HYPERLINK("#",""), HYPERLINK(CONCATENATE("#Metadata!", ADDRESS(INDEX($AI$2:$AI$1001,MATCH(ROWS($AG$2:AG245),$AG$2:$AG$1001,0),0), INDEX($AN$1004:$BO$1004,1,MATCH(COLUMNS($AN$1006:AR1006),$AN$1006:$BO$1006,0)))),"Fix")))</f>
        <v>0</v>
      </c>
      <c r="G245" s="4">
        <f>IF(OR(INDEX($AH$2:$AH$1001,MATCH(ROWS($AG$2:AG245),$AG$2:$AG$1001,0),1)&gt;=100000,INDEX($AN$1005:$BO$1005,1,MATCH(COLUMNS($AN$1006:AS1006),$AN$1006:$BO$1006,0))&gt;=100000), " ",IF(INDEX($AN$2:$BO$1001,MATCH(ROWS($AG$2:AG245),$AG$2:$AG$1001,0),MATCH(COLUMNS($AN$1006:AS1006),$AN$1006:$BO$1006,0)), HYPERLINK("#",""), HYPERLINK(CONCATENATE("#Metadata!", ADDRESS(INDEX($AI$2:$AI$1001,MATCH(ROWS($AG$2:AG245),$AG$2:$AG$1001,0),0), INDEX($AN$1004:$BO$1004,1,MATCH(COLUMNS($AN$1006:AS1006),$AN$1006:$BO$1006,0)))),"Fix")))</f>
        <v>0</v>
      </c>
      <c r="H245" s="4">
        <f>IF(OR(INDEX($AH$2:$AH$1001,MATCH(ROWS($AG$2:AG245),$AG$2:$AG$1001,0),1)&gt;=100000,INDEX($AN$1005:$BO$1005,1,MATCH(COLUMNS($AN$1006:AT1006),$AN$1006:$BO$1006,0))&gt;=100000), " ",IF(INDEX($AN$2:$BO$1001,MATCH(ROWS($AG$2:AG245),$AG$2:$AG$1001,0),MATCH(COLUMNS($AN$1006:AT1006),$AN$1006:$BO$1006,0)), HYPERLINK("#",""), HYPERLINK(CONCATENATE("#Metadata!", ADDRESS(INDEX($AI$2:$AI$1001,MATCH(ROWS($AG$2:AG245),$AG$2:$AG$1001,0),0), INDEX($AN$1004:$BO$1004,1,MATCH(COLUMNS($AN$1006:AT1006),$AN$1006:$BO$1006,0)))),"Fix")))</f>
        <v>0</v>
      </c>
      <c r="I245" s="4">
        <f>IF(OR(INDEX($AH$2:$AH$1001,MATCH(ROWS($AG$2:AG245),$AG$2:$AG$1001,0),1)&gt;=100000,INDEX($AN$1005:$BO$1005,1,MATCH(COLUMNS($AN$1006:AU1006),$AN$1006:$BO$1006,0))&gt;=100000), " ",IF(INDEX($AN$2:$BO$1001,MATCH(ROWS($AG$2:AG245),$AG$2:$AG$1001,0),MATCH(COLUMNS($AN$1006:AU1006),$AN$1006:$BO$1006,0)), HYPERLINK("#",""), HYPERLINK(CONCATENATE("#Metadata!", ADDRESS(INDEX($AI$2:$AI$1001,MATCH(ROWS($AG$2:AG245),$AG$2:$AG$1001,0),0), INDEX($AN$1004:$BO$1004,1,MATCH(COLUMNS($AN$1006:AU1006),$AN$1006:$BO$1006,0)))),"Fix")))</f>
        <v>0</v>
      </c>
      <c r="J245" s="4">
        <f>IF(OR(INDEX($AH$2:$AH$1001,MATCH(ROWS($AG$2:AG245),$AG$2:$AG$1001,0),1)&gt;=100000,INDEX($AN$1005:$BO$1005,1,MATCH(COLUMNS($AN$1006:AV1006),$AN$1006:$BO$1006,0))&gt;=100000), " ",IF(INDEX($AN$2:$BO$1001,MATCH(ROWS($AG$2:AG245),$AG$2:$AG$1001,0),MATCH(COLUMNS($AN$1006:AV1006),$AN$1006:$BO$1006,0)), HYPERLINK("#",""), HYPERLINK(CONCATENATE("#Metadata!", ADDRESS(INDEX($AI$2:$AI$1001,MATCH(ROWS($AG$2:AG245),$AG$2:$AG$1001,0),0), INDEX($AN$1004:$BO$1004,1,MATCH(COLUMNS($AN$1006:AV1006),$AN$1006:$BO$1006,0)))),"Fix")))</f>
        <v>0</v>
      </c>
      <c r="K245" s="4">
        <f>IF(OR(INDEX($AH$2:$AH$1001,MATCH(ROWS($AG$2:AG245),$AG$2:$AG$1001,0),1)&gt;=100000,INDEX($AN$1005:$BO$1005,1,MATCH(COLUMNS($AN$1006:AW1006),$AN$1006:$BO$1006,0))&gt;=100000), " ",IF(INDEX($AN$2:$BO$1001,MATCH(ROWS($AG$2:AG245),$AG$2:$AG$1001,0),MATCH(COLUMNS($AN$1006:AW1006),$AN$1006:$BO$1006,0)), HYPERLINK("#",""), HYPERLINK(CONCATENATE("#Metadata!", ADDRESS(INDEX($AI$2:$AI$1001,MATCH(ROWS($AG$2:AG245),$AG$2:$AG$1001,0),0), INDEX($AN$1004:$BO$1004,1,MATCH(COLUMNS($AN$1006:AW1006),$AN$1006:$BO$1006,0)))),"Fix")))</f>
        <v>0</v>
      </c>
      <c r="L245" s="4">
        <f>IF(OR(INDEX($AH$2:$AH$1001,MATCH(ROWS($AG$2:AG245),$AG$2:$AG$1001,0),1)&gt;=100000,INDEX($AN$1005:$BO$1005,1,MATCH(COLUMNS($AN$1006:AX1006),$AN$1006:$BO$1006,0))&gt;=100000), " ",IF(INDEX($AN$2:$BO$1001,MATCH(ROWS($AG$2:AG245),$AG$2:$AG$1001,0),MATCH(COLUMNS($AN$1006:AX1006),$AN$1006:$BO$1006,0)), HYPERLINK("#",""), HYPERLINK(CONCATENATE("#Metadata!", ADDRESS(INDEX($AI$2:$AI$1001,MATCH(ROWS($AG$2:AG245),$AG$2:$AG$1001,0),0), INDEX($AN$1004:$BO$1004,1,MATCH(COLUMNS($AN$1006:AX1006),$AN$1006:$BO$1006,0)))),"Fix")))</f>
        <v>0</v>
      </c>
      <c r="M245" s="4">
        <f>IF(OR(INDEX($AH$2:$AH$1001,MATCH(ROWS($AG$2:AG245),$AG$2:$AG$1001,0),1)&gt;=100000,INDEX($AN$1005:$BO$1005,1,MATCH(COLUMNS($AN$1006:AY1006),$AN$1006:$BO$1006,0))&gt;=100000), " ",IF(INDEX($AN$2:$BO$1001,MATCH(ROWS($AG$2:AG245),$AG$2:$AG$1001,0),MATCH(COLUMNS($AN$1006:AY1006),$AN$1006:$BO$1006,0)), HYPERLINK("#",""), HYPERLINK(CONCATENATE("#Metadata!", ADDRESS(INDEX($AI$2:$AI$1001,MATCH(ROWS($AG$2:AG245),$AG$2:$AG$1001,0),0), INDEX($AN$1004:$BO$1004,1,MATCH(COLUMNS($AN$1006:AY1006),$AN$1006:$BO$1006,0)))),"Fix")))</f>
        <v>0</v>
      </c>
      <c r="N245" s="4">
        <f>IF(OR(INDEX($AH$2:$AH$1001,MATCH(ROWS($AG$2:AG245),$AG$2:$AG$1001,0),1)&gt;=100000,INDEX($AN$1005:$BO$1005,1,MATCH(COLUMNS($AN$1006:AZ1006),$AN$1006:$BO$1006,0))&gt;=100000), " ",IF(INDEX($AN$2:$BO$1001,MATCH(ROWS($AG$2:AG245),$AG$2:$AG$1001,0),MATCH(COLUMNS($AN$1006:AZ1006),$AN$1006:$BO$1006,0)), HYPERLINK("#",""), HYPERLINK(CONCATENATE("#Metadata!", ADDRESS(INDEX($AI$2:$AI$1001,MATCH(ROWS($AG$2:AG245),$AG$2:$AG$1001,0),0), INDEX($AN$1004:$BO$1004,1,MATCH(COLUMNS($AN$1006:AZ1006),$AN$1006:$BO$1006,0)))),"Fix")))</f>
        <v>0</v>
      </c>
      <c r="O245" s="4">
        <f>IF(OR(INDEX($AH$2:$AH$1001,MATCH(ROWS($AG$2:AG245),$AG$2:$AG$1001,0),1)&gt;=100000,INDEX($AN$1005:$BO$1005,1,MATCH(COLUMNS($AN$1006:BA1006),$AN$1006:$BO$1006,0))&gt;=100000), " ",IF(INDEX($AN$2:$BO$1001,MATCH(ROWS($AG$2:AG245),$AG$2:$AG$1001,0),MATCH(COLUMNS($AN$1006:BA1006),$AN$1006:$BO$1006,0)), HYPERLINK("#",""), HYPERLINK(CONCATENATE("#Metadata!", ADDRESS(INDEX($AI$2:$AI$1001,MATCH(ROWS($AG$2:AG245),$AG$2:$AG$1001,0),0), INDEX($AN$1004:$BO$1004,1,MATCH(COLUMNS($AN$1006:BA1006),$AN$1006:$BO$1006,0)))),"Fix")))</f>
        <v>0</v>
      </c>
      <c r="P245" s="4">
        <f>IF(OR(INDEX($AH$2:$AH$1001,MATCH(ROWS($AG$2:AG245),$AG$2:$AG$1001,0),1)&gt;=100000,INDEX($AN$1005:$BO$1005,1,MATCH(COLUMNS($AN$1006:BB1006),$AN$1006:$BO$1006,0))&gt;=100000), " ",IF(INDEX($AN$2:$BO$1001,MATCH(ROWS($AG$2:AG245),$AG$2:$AG$1001,0),MATCH(COLUMNS($AN$1006:BB1006),$AN$1006:$BO$1006,0)), HYPERLINK("#",""), HYPERLINK(CONCATENATE("#Metadata!", ADDRESS(INDEX($AI$2:$AI$1001,MATCH(ROWS($AG$2:AG245),$AG$2:$AG$1001,0),0), INDEX($AN$1004:$BO$1004,1,MATCH(COLUMNS($AN$1006:BB1006),$AN$1006:$BO$1006,0)))),"Fix")))</f>
        <v>0</v>
      </c>
      <c r="Q245" s="4">
        <f>IF(OR(INDEX($AH$2:$AH$1001,MATCH(ROWS($AG$2:AG245),$AG$2:$AG$1001,0),1)&gt;=100000,INDEX($AN$1005:$BO$1005,1,MATCH(COLUMNS($AN$1006:BC1006),$AN$1006:$BO$1006,0))&gt;=100000), " ",IF(INDEX($AN$2:$BO$1001,MATCH(ROWS($AG$2:AG245),$AG$2:$AG$1001,0),MATCH(COLUMNS($AN$1006:BC1006),$AN$1006:$BO$1006,0)), HYPERLINK("#",""), HYPERLINK(CONCATENATE("#Metadata!", ADDRESS(INDEX($AI$2:$AI$1001,MATCH(ROWS($AG$2:AG245),$AG$2:$AG$1001,0),0), INDEX($AN$1004:$BO$1004,1,MATCH(COLUMNS($AN$1006:BC1006),$AN$1006:$BO$1006,0)))),"Fix")))</f>
        <v>0</v>
      </c>
      <c r="R245" s="4">
        <f>IF(OR(INDEX($AH$2:$AH$1001,MATCH(ROWS($AG$2:AG245),$AG$2:$AG$1001,0),1)&gt;=100000,INDEX($AN$1005:$BO$1005,1,MATCH(COLUMNS($AN$1006:BD1006),$AN$1006:$BO$1006,0))&gt;=100000), " ",IF(INDEX($AN$2:$BO$1001,MATCH(ROWS($AG$2:AG245),$AG$2:$AG$1001,0),MATCH(COLUMNS($AN$1006:BD1006),$AN$1006:$BO$1006,0)), HYPERLINK("#",""), HYPERLINK(CONCATENATE("#Metadata!", ADDRESS(INDEX($AI$2:$AI$1001,MATCH(ROWS($AG$2:AG245),$AG$2:$AG$1001,0),0), INDEX($AN$1004:$BO$1004,1,MATCH(COLUMNS($AN$1006:BD1006),$AN$1006:$BO$1006,0)))),"Fix")))</f>
        <v>0</v>
      </c>
      <c r="S245" s="4">
        <f>IF(OR(INDEX($AH$2:$AH$1001,MATCH(ROWS($AG$2:AG245),$AG$2:$AG$1001,0),1)&gt;=100000,INDEX($AN$1005:$BO$1005,1,MATCH(COLUMNS($AN$1006:BE1006),$AN$1006:$BO$1006,0))&gt;=100000), " ",IF(INDEX($AN$2:$BO$1001,MATCH(ROWS($AG$2:AG245),$AG$2:$AG$1001,0),MATCH(COLUMNS($AN$1006:BE1006),$AN$1006:$BO$1006,0)), HYPERLINK("#",""), HYPERLINK(CONCATENATE("#Metadata!", ADDRESS(INDEX($AI$2:$AI$1001,MATCH(ROWS($AG$2:AG245),$AG$2:$AG$1001,0),0), INDEX($AN$1004:$BO$1004,1,MATCH(COLUMNS($AN$1006:BE1006),$AN$1006:$BO$1006,0)))),"Fix")))</f>
        <v>0</v>
      </c>
      <c r="T245" s="4">
        <f>IF(OR(INDEX($AH$2:$AH$1001,MATCH(ROWS($AG$2:AG245),$AG$2:$AG$1001,0),1)&gt;=100000,INDEX($AN$1005:$BO$1005,1,MATCH(COLUMNS($AN$1006:BF1006),$AN$1006:$BO$1006,0))&gt;=100000), " ",IF(INDEX($AN$2:$BO$1001,MATCH(ROWS($AG$2:AG245),$AG$2:$AG$1001,0),MATCH(COLUMNS($AN$1006:BF1006),$AN$1006:$BO$1006,0)), HYPERLINK("#",""), HYPERLINK(CONCATENATE("#Metadata!", ADDRESS(INDEX($AI$2:$AI$1001,MATCH(ROWS($AG$2:AG245),$AG$2:$AG$1001,0),0), INDEX($AN$1004:$BO$1004,1,MATCH(COLUMNS($AN$1006:BF1006),$AN$1006:$BO$1006,0)))),"Fix")))</f>
        <v>0</v>
      </c>
      <c r="U245" s="4">
        <f>IF(OR(INDEX($AH$2:$AH$1001,MATCH(ROWS($AG$2:AG245),$AG$2:$AG$1001,0),1)&gt;=100000,INDEX($AN$1005:$BO$1005,1,MATCH(COLUMNS($AN$1006:BG1006),$AN$1006:$BO$1006,0))&gt;=100000), " ",IF(INDEX($AN$2:$BO$1001,MATCH(ROWS($AG$2:AG245),$AG$2:$AG$1001,0),MATCH(COLUMNS($AN$1006:BG1006),$AN$1006:$BO$1006,0)), HYPERLINK("#",""), HYPERLINK(CONCATENATE("#Metadata!", ADDRESS(INDEX($AI$2:$AI$1001,MATCH(ROWS($AG$2:AG245),$AG$2:$AG$1001,0),0), INDEX($AN$1004:$BO$1004,1,MATCH(COLUMNS($AN$1006:BG1006),$AN$1006:$BO$1006,0)))),"Fix")))</f>
        <v>0</v>
      </c>
      <c r="V245" s="4">
        <f>IF(OR(INDEX($AH$2:$AH$1001,MATCH(ROWS($AG$2:AG245),$AG$2:$AG$1001,0),1)&gt;=100000,INDEX($AN$1005:$BO$1005,1,MATCH(COLUMNS($AN$1006:BH1006),$AN$1006:$BO$1006,0))&gt;=100000), " ",IF(INDEX($AN$2:$BO$1001,MATCH(ROWS($AG$2:AG245),$AG$2:$AG$1001,0),MATCH(COLUMNS($AN$1006:BH1006),$AN$1006:$BO$1006,0)), HYPERLINK("#",""), HYPERLINK(CONCATENATE("#Metadata!", ADDRESS(INDEX($AI$2:$AI$1001,MATCH(ROWS($AG$2:AG245),$AG$2:$AG$1001,0),0), INDEX($AN$1004:$BO$1004,1,MATCH(COLUMNS($AN$1006:BH1006),$AN$1006:$BO$1006,0)))),"Fix")))</f>
        <v>0</v>
      </c>
      <c r="W245" s="4">
        <f>IF(OR(INDEX($AH$2:$AH$1001,MATCH(ROWS($AG$2:AG245),$AG$2:$AG$1001,0),1)&gt;=100000,INDEX($AN$1005:$BO$1005,1,MATCH(COLUMNS($AN$1006:BI1006),$AN$1006:$BO$1006,0))&gt;=100000), " ",IF(INDEX($AN$2:$BO$1001,MATCH(ROWS($AG$2:AG245),$AG$2:$AG$1001,0),MATCH(COLUMNS($AN$1006:BI1006),$AN$1006:$BO$1006,0)), HYPERLINK("#",""), HYPERLINK(CONCATENATE("#Metadata!", ADDRESS(INDEX($AI$2:$AI$1001,MATCH(ROWS($AG$2:AG245),$AG$2:$AG$1001,0),0), INDEX($AN$1004:$BO$1004,1,MATCH(COLUMNS($AN$1006:BI1006),$AN$1006:$BO$1006,0)))),"Fix")))</f>
        <v>0</v>
      </c>
      <c r="X245" s="4">
        <f>IF(OR(INDEX($AH$2:$AH$1001,MATCH(ROWS($AG$2:AG245),$AG$2:$AG$1001,0),1)&gt;=100000,INDEX($AN$1005:$BO$1005,1,MATCH(COLUMNS($AN$1006:BJ1006),$AN$1006:$BO$1006,0))&gt;=100000), " ",IF(INDEX($AN$2:$BO$1001,MATCH(ROWS($AG$2:AG245),$AG$2:$AG$1001,0),MATCH(COLUMNS($AN$1006:BJ1006),$AN$1006:$BO$1006,0)), HYPERLINK("#",""), HYPERLINK(CONCATENATE("#Metadata!", ADDRESS(INDEX($AI$2:$AI$1001,MATCH(ROWS($AG$2:AG245),$AG$2:$AG$1001,0),0), INDEX($AN$1004:$BO$1004,1,MATCH(COLUMNS($AN$1006:BJ1006),$AN$1006:$BO$1006,0)))),"Fix")))</f>
        <v>0</v>
      </c>
      <c r="Y245" s="4">
        <f>IF(OR(INDEX($AH$2:$AH$1001,MATCH(ROWS($AG$2:AG245),$AG$2:$AG$1001,0),1)&gt;=100000,INDEX($AN$1005:$BO$1005,1,MATCH(COLUMNS($AN$1006:BK1006),$AN$1006:$BO$1006,0))&gt;=100000), " ",IF(INDEX($AN$2:$BO$1001,MATCH(ROWS($AG$2:AG245),$AG$2:$AG$1001,0),MATCH(COLUMNS($AN$1006:BK1006),$AN$1006:$BO$1006,0)), HYPERLINK("#",""), HYPERLINK(CONCATENATE("#Metadata!", ADDRESS(INDEX($AI$2:$AI$1001,MATCH(ROWS($AG$2:AG245),$AG$2:$AG$1001,0),0), INDEX($AN$1004:$BO$1004,1,MATCH(COLUMNS($AN$1006:BK1006),$AN$1006:$BO$1006,0)))),"Fix")))</f>
        <v>0</v>
      </c>
      <c r="Z245" s="4">
        <f>IF(OR(INDEX($AH$2:$AH$1001,MATCH(ROWS($AG$2:AG245),$AG$2:$AG$1001,0),1)&gt;=100000,INDEX($AN$1005:$BO$1005,1,MATCH(COLUMNS($AN$1006:BL1006),$AN$1006:$BO$1006,0))&gt;=100000), " ",IF(INDEX($AN$2:$BO$1001,MATCH(ROWS($AG$2:AG245),$AG$2:$AG$1001,0),MATCH(COLUMNS($AN$1006:BL1006),$AN$1006:$BO$1006,0)), HYPERLINK("#",""), HYPERLINK(CONCATENATE("#Metadata!", ADDRESS(INDEX($AI$2:$AI$1001,MATCH(ROWS($AG$2:AG245),$AG$2:$AG$1001,0),0), INDEX($AN$1004:$BO$1004,1,MATCH(COLUMNS($AN$1006:BL1006),$AN$1006:$BO$1006,0)))),"Fix")))</f>
        <v>0</v>
      </c>
      <c r="AA245" s="4">
        <f>IF(OR(INDEX($AH$2:$AH$1001,MATCH(ROWS($AG$2:AG245),$AG$2:$AG$1001,0),1)&gt;=100000,INDEX($AN$1005:$BO$1005,1,MATCH(COLUMNS($AN$1006:BM1006),$AN$1006:$BO$1006,0))&gt;=100000), " ",IF(INDEX($AN$2:$BO$1001,MATCH(ROWS($AG$2:AG245),$AG$2:$AG$1001,0),MATCH(COLUMNS($AN$1006:BM1006),$AN$1006:$BO$1006,0)), HYPERLINK("#",""), HYPERLINK(CONCATENATE("#Metadata!", ADDRESS(INDEX($AI$2:$AI$1001,MATCH(ROWS($AG$2:AG245),$AG$2:$AG$1001,0),0), INDEX($AN$1004:$BO$1004,1,MATCH(COLUMNS($AN$1006:BM1006),$AN$1006:$BO$1006,0)))),"Fix")))</f>
        <v>0</v>
      </c>
      <c r="AB245" s="4">
        <f>IF(OR(INDEX($AH$2:$AH$1001,MATCH(ROWS($AG$2:AG245),$AG$2:$AG$1001,0),1)&gt;=100000,INDEX($AN$1005:$BO$1005,1,MATCH(COLUMNS($AN$1006:BN1006),$AN$1006:$BO$1006,0))&gt;=100000), " ",IF(INDEX($AN$2:$BO$1001,MATCH(ROWS($AG$2:AG245),$AG$2:$AG$1001,0),MATCH(COLUMNS($AN$1006:BN1006),$AN$1006:$BO$1006,0)), HYPERLINK("#",""), HYPERLINK(CONCATENATE("#Metadata!", ADDRESS(INDEX($AI$2:$AI$1001,MATCH(ROWS($AG$2:AG245),$AG$2:$AG$1001,0),0), INDEX($AN$1004:$BO$1004,1,MATCH(COLUMNS($AN$1006:BN1006),$AN$1006:$BO$1006,0)))),"Fix")))</f>
        <v>0</v>
      </c>
      <c r="AC245" s="4">
        <f>IF(OR(INDEX($AH$2:$AH$1001,MATCH(ROWS($AG$2:AG245),$AG$2:$AG$1001,0),1)&gt;=100000,INDEX($AN$1005:$BO$1005,1,MATCH(COLUMNS($AN$1006:BO1006),$AN$1006:$BO$1006,0))&gt;=100000), " ",IF(INDEX($AN$2:$BO$1001,MATCH(ROWS($AG$2:AG245),$AG$2:$AG$1001,0),MATCH(COLUMNS($AN$1006:BO1006),$AN$1006:$BO$1006,0)), HYPERLINK("#",""), HYPERLINK(CONCATENATE("#Metadata!", ADDRESS(INDEX($AI$2:$AI$1001,MATCH(ROWS($AG$2:AG245),$AG$2:$AG$1001,0),0), INDEX($AN$1004:$BO$1004,1,MATCH(COLUMNS($AN$1006:BO1006),$AN$1006:$BO$1006,0)))),"Fix")))</f>
        <v>0</v>
      </c>
      <c r="AG245">
        <v>0</v>
      </c>
      <c r="AH245">
        <v>0</v>
      </c>
      <c r="AI245">
        <v>0</v>
      </c>
      <c r="AJ245">
        <f>IF(AK245,TRUE,AND(AN245:BO245))</f>
        <v>0</v>
      </c>
      <c r="AK245">
        <f>COUNTBLANK(Metadata!B245:AC245)=COLUMNS(Metadata!B245:AC245)</f>
        <v>0</v>
      </c>
      <c r="AL245">
        <v>0</v>
      </c>
      <c r="AN245">
        <f>AND(IF(Metadata!B245="",FALSE,TRUE),COUNTIF(Metadata!B:B, Metadata!B245) = 1,NOT(ISERROR(SUMPRODUCT(SEARCH(MID(Metadata!B245,ROW(INDIRECT("1:"&amp;LEN(Metadata!B245))), 1),"0123456789abcdefghijklmnopqrstuvwxyzABCDEFGHIJKLMNOPQRSTUVWXYZ.")))))</f>
        <v>0</v>
      </c>
      <c r="AO245">
        <f>IF(Metadata!C245="",FALSE,TRUE)</f>
        <v>0</v>
      </c>
      <c r="AP245">
        <f>IF(Metadata!D245="",FALSE,TRUE)</f>
        <v>0</v>
      </c>
      <c r="AQ245">
        <f>OR(AND(IF(Metadata!E245="",FALSE,TRUE),OR(exact(Metadata!E245,"not collected"),exact(Metadata!E245,"not provided"),exact(Metadata!E245,"restricted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R245">
        <f>IF(Metadata!F245="",FALSE,TRUE)</f>
        <v>0</v>
      </c>
      <c r="AS245">
        <f>OR(AND(IF(Metadata!G245="",FALSE,TRUE),OR(exact(Metadata!G245,"not collected"),exact(Metadata!G245,"not provided"))),AND(IF(Metadata!G245="",FALSE,TRUE),OR(exact(Metadata!G245,"TRUE"),exact(Metadata!G245,"FALSE"))))</f>
        <v>0</v>
      </c>
      <c r="AT245">
        <f>OR(AND(IF(Metadata!H245="",FALSE,TRUE),OR(exact(Metadata!H245,"not collected"),exact(Metadata!H245,"not provided"),exact(Metadata!H245,"restricted access"))),AND(IF(Metadata!H245="",FALSE,ISNUMBER(VALUE(Metadata!H245))),Metadata!H245&gt;=-413.0))</f>
        <v>0</v>
      </c>
      <c r="AU245">
        <f>AND(IF(Metadata!I245="",FALSE,TRUE),exact(Metadata!I245,"meters"))</f>
        <v>0</v>
      </c>
      <c r="AV245">
        <f>AND(IF(Metadata!J245="",FALSE,TRUE),OR(exact(Metadata!J245,"Host-associated"),exact(Metadata!J245,"Free-living")))</f>
        <v>0</v>
      </c>
      <c r="AW245">
        <f>AND(IF(Metadata!K245="",FALSE,TRUE),OR(exact(Metadata!K245,"Animal"),exact(Metadata!K245,"Fungus"),exact(Metadata!K245,"Plant"),exact(Metadata!K245,"Saline"),exact(Metadata!K245,"Non-saline")))</f>
        <v>0</v>
      </c>
      <c r="AX245">
        <f>AND(IF(Metadata!L245="",FALSE,TRUE),OR(exact(Metadata!L245,"Plant secretion"),exact(Metadata!L245,"Plant rhizosphere"),exact(Metadata!L245,"Plant surface"),exact(Metadata!L245,"Plant corpus"),exact(Metadata!L245,"Fungus surface"),exact(Metadata!L245,"Fungus corpus"),exact(Metadata!L245,"Animal surface"),exact(Metadata!L245,"Animal proximal gut"),exact(Metadata!L245,"Animal corpus"),exact(Metadata!L245,"Animal distal gut"),exact(Metadata!L245,"Animal secretion"),exact(Metadata!L245,"Sub-surface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Y245">
        <f>IF(Metadata!M245="",FALSE,TRUE)</f>
        <v>0</v>
      </c>
      <c r="AZ245">
        <f>IF(Metadata!N245="",FALSE,TRUE)</f>
        <v>0</v>
      </c>
      <c r="BA245">
        <f>IF(Metadata!O245="",FALSE,TRUE)</f>
        <v>0</v>
      </c>
      <c r="BB245">
        <f>OR(AND(IF(Metadata!P245="",FALSE,TRUE),OR(exact(Metadata!P245,"not collected"),exact(Metadata!P245,"not provided"),exact(Metadata!P245,"restricted access"))),AND(IF(Metadata!P245="",FALSE,TRUE),OR(exact(Metadata!P245,"air"),exact(Metadata!P245,"built environment"),exact(Metadata!P245,"host-associated"),exact(Metadata!P245,"human-associated"),exact(Metadata!P245,"human-skin"),exact(Metadata!P245,"human-oral"),exact(Metadata!P245,"human-gut"),exact(Metadata!P245,"human-vaginal"),exact(Metadata!P245,"microbial mat/biofilm"),exact(Metadata!P245,"misc environment"),exact(Metadata!P245,"plant-associated"),exact(Metadata!P245,"sediment"),exact(Metadata!P245,"soil"),exact(Metadata!P245,"wastewater/sludge"),exact(Metadata!P245,"water"))))</f>
        <v>0</v>
      </c>
      <c r="BC245">
        <f>IF(Metadata!Q245="",FALSE,TRUE)</f>
        <v>0</v>
      </c>
      <c r="BD245">
        <f>IF(Metadata!R245="",FALSE,TRUE)</f>
        <v>0</v>
      </c>
      <c r="BE245">
        <f>OR(AND(IF(Metadata!S245="",FALSE,TRUE),OR(exact(Metadata!S245,"not collected"),exact(Metadata!S245,"not provided"),exact(Metadata!S245,"restricted access"))),AND(IF(Metadata!S245="",FALSE,ISNUMBER(VALUE(Metadata!S245))),Metadata!S245&gt;=-90.00,Metadata!S245&lt;=90.00))</f>
        <v>0</v>
      </c>
      <c r="BF245">
        <f>AND(IF(Metadata!T245="",FALSE,TRUE),exact(Metadata!T245,"Decimal degrees"))</f>
        <v>0</v>
      </c>
      <c r="BG245">
        <f>OR(AND(IF(Metadata!U245="",FALSE,TRUE),OR(exact(Metadata!U245,"not collected"),exact(Metadata!U245,"not provided"),exact(Metadata!U245,"restricted access"))),AND(IF(Metadata!U245="",FALSE,ISNUMBER(VALUE(Metadata!U245))),Metadata!U245&gt;=-180.00,Metadata!U245&lt;=180.00))</f>
        <v>0</v>
      </c>
      <c r="BH245">
        <f>AND(IF(Metadata!V245="",FALSE,TRUE),exact(Metadata!V245,"Decimal degrees"))</f>
        <v>0</v>
      </c>
      <c r="BI245">
        <f>IF(Metadata!W245="",FALSE,TRUE)</f>
        <v>0</v>
      </c>
      <c r="BJ245">
        <f>OR(AND(IF(Metadata!X245="",FALSE,TRUE),OR(exact(Metadata!X245,"not collected"),exact(Metadata!X245,"not provided"),exact(Metadata!X245,"restricted access"))),AND(IF(Metadata!X245="",FALSE,TRUE),OR(exact(Metadata!X245,"TRUE"),exact(Metadata!X245,"FALSE"))))</f>
        <v>0</v>
      </c>
      <c r="BK245">
        <f>AND(IF(Metadata!Y245="",FALSE,TRUE),exact(Metadata!Y245,"other"))</f>
        <v>0</v>
      </c>
      <c r="BL245">
        <f>IF(Metadata!Z245="",FALSE,TRUE)</f>
        <v>0</v>
      </c>
      <c r="BM245">
        <f>OR(AND(IF(Metadata!AA245="",FALSE,TRUE),OR(exact(Metadata!AA245,"not collected"),exact(Metadata!AA245,"not provided"))),AND(IF(Metadata!AA245="",FALSE,IF(ISERROR(INT(Metadata!AA245)),FALSE,INT(Metadata!AA245)=Metadata!AA245)),Metadata!AA245&gt;0))</f>
        <v>0</v>
      </c>
      <c r="BN245">
        <f>AND(IF(Metadata!AB245="",FALSE,TRUE),exact(Metadata!AB245,"Not applicable"))</f>
        <v>0</v>
      </c>
      <c r="BO245">
        <f>IF(Metadata!AC245="",FALSE,TRUE)</f>
        <v>0</v>
      </c>
    </row>
    <row r="246" spans="1:67">
      <c r="A246" s="5">
        <f>IF(B246=" "," ",HYPERLINK(CONCATENATE("#metadata!",ADDRESS(INDEX($AI$2:$AI$1001,MATCH(ROWS($AG$2:AG246),$AG$2:$AG$1001,0),0),1)),INDEX($AL$2:$AL$1001,MATCH(ROWS($AG$2:AG246),$AG$2:$AG$1001,0),0)))</f>
        <v>0</v>
      </c>
      <c r="B246" s="4">
        <f>IF(OR(INDEX($AH$2:$AH$1001,MATCH(ROWS($AG$2:AG246),$AG$2:$AG$1001,0),1)&gt;=100000,INDEX($AN$1005:$BO$1005,1,MATCH(COLUMNS($AN$1006:AN1006),$AN$1006:$BO$1006,0))&gt;=100000), " ",IF(INDEX($AN$2:$BO$1001,MATCH(ROWS($AG$2:AG246),$AG$2:$AG$1001,0),MATCH(COLUMNS($AN$1006:AN1006),$AN$1006:$BO$1006,0)), HYPERLINK("#",""), HYPERLINK(CONCATENATE("#Metadata!", ADDRESS(INDEX($AI$2:$AI$1001,MATCH(ROWS($AG$2:AG246),$AG$2:$AG$1001,0),0), INDEX($AN$1004:$BO$1004,1,MATCH(COLUMNS($AN$1006:AN1006),$AN$1006:$BO$1006,0)))),"Fix")))</f>
        <v>0</v>
      </c>
      <c r="C246" s="4">
        <f>IF(OR(INDEX($AH$2:$AH$1001,MATCH(ROWS($AG$2:AG246),$AG$2:$AG$1001,0),1)&gt;=100000,INDEX($AN$1005:$BO$1005,1,MATCH(COLUMNS($AN$1006:AO1006),$AN$1006:$BO$1006,0))&gt;=100000), " ",IF(INDEX($AN$2:$BO$1001,MATCH(ROWS($AG$2:AG246),$AG$2:$AG$1001,0),MATCH(COLUMNS($AN$1006:AO1006),$AN$1006:$BO$1006,0)), HYPERLINK("#",""), HYPERLINK(CONCATENATE("#Metadata!", ADDRESS(INDEX($AI$2:$AI$1001,MATCH(ROWS($AG$2:AG246),$AG$2:$AG$1001,0),0), INDEX($AN$1004:$BO$1004,1,MATCH(COLUMNS($AN$1006:AO1006),$AN$1006:$BO$1006,0)))),"Fix")))</f>
        <v>0</v>
      </c>
      <c r="D246" s="4">
        <f>IF(OR(INDEX($AH$2:$AH$1001,MATCH(ROWS($AG$2:AG246),$AG$2:$AG$1001,0),1)&gt;=100000,INDEX($AN$1005:$BO$1005,1,MATCH(COLUMNS($AN$1006:AP1006),$AN$1006:$BO$1006,0))&gt;=100000), " ",IF(INDEX($AN$2:$BO$1001,MATCH(ROWS($AG$2:AG246),$AG$2:$AG$1001,0),MATCH(COLUMNS($AN$1006:AP1006),$AN$1006:$BO$1006,0)), HYPERLINK("#",""), HYPERLINK(CONCATENATE("#Metadata!", ADDRESS(INDEX($AI$2:$AI$1001,MATCH(ROWS($AG$2:AG246),$AG$2:$AG$1001,0),0), INDEX($AN$1004:$BO$1004,1,MATCH(COLUMNS($AN$1006:AP1006),$AN$1006:$BO$1006,0)))),"Fix")))</f>
        <v>0</v>
      </c>
      <c r="E246" s="4">
        <f>IF(OR(INDEX($AH$2:$AH$1001,MATCH(ROWS($AG$2:AG246),$AG$2:$AG$1001,0),1)&gt;=100000,INDEX($AN$1005:$BO$1005,1,MATCH(COLUMNS($AN$1006:AQ1006),$AN$1006:$BO$1006,0))&gt;=100000), " ",IF(INDEX($AN$2:$BO$1001,MATCH(ROWS($AG$2:AG246),$AG$2:$AG$1001,0),MATCH(COLUMNS($AN$1006:AQ1006),$AN$1006:$BO$1006,0)), HYPERLINK("#",""), HYPERLINK(CONCATENATE("#Metadata!", ADDRESS(INDEX($AI$2:$AI$1001,MATCH(ROWS($AG$2:AG246),$AG$2:$AG$1001,0),0), INDEX($AN$1004:$BO$1004,1,MATCH(COLUMNS($AN$1006:AQ1006),$AN$1006:$BO$1006,0)))),"Fix")))</f>
        <v>0</v>
      </c>
      <c r="F246" s="4">
        <f>IF(OR(INDEX($AH$2:$AH$1001,MATCH(ROWS($AG$2:AG246),$AG$2:$AG$1001,0),1)&gt;=100000,INDEX($AN$1005:$BO$1005,1,MATCH(COLUMNS($AN$1006:AR1006),$AN$1006:$BO$1006,0))&gt;=100000), " ",IF(INDEX($AN$2:$BO$1001,MATCH(ROWS($AG$2:AG246),$AG$2:$AG$1001,0),MATCH(COLUMNS($AN$1006:AR1006),$AN$1006:$BO$1006,0)), HYPERLINK("#",""), HYPERLINK(CONCATENATE("#Metadata!", ADDRESS(INDEX($AI$2:$AI$1001,MATCH(ROWS($AG$2:AG246),$AG$2:$AG$1001,0),0), INDEX($AN$1004:$BO$1004,1,MATCH(COLUMNS($AN$1006:AR1006),$AN$1006:$BO$1006,0)))),"Fix")))</f>
        <v>0</v>
      </c>
      <c r="G246" s="4">
        <f>IF(OR(INDEX($AH$2:$AH$1001,MATCH(ROWS($AG$2:AG246),$AG$2:$AG$1001,0),1)&gt;=100000,INDEX($AN$1005:$BO$1005,1,MATCH(COLUMNS($AN$1006:AS1006),$AN$1006:$BO$1006,0))&gt;=100000), " ",IF(INDEX($AN$2:$BO$1001,MATCH(ROWS($AG$2:AG246),$AG$2:$AG$1001,0),MATCH(COLUMNS($AN$1006:AS1006),$AN$1006:$BO$1006,0)), HYPERLINK("#",""), HYPERLINK(CONCATENATE("#Metadata!", ADDRESS(INDEX($AI$2:$AI$1001,MATCH(ROWS($AG$2:AG246),$AG$2:$AG$1001,0),0), INDEX($AN$1004:$BO$1004,1,MATCH(COLUMNS($AN$1006:AS1006),$AN$1006:$BO$1006,0)))),"Fix")))</f>
        <v>0</v>
      </c>
      <c r="H246" s="4">
        <f>IF(OR(INDEX($AH$2:$AH$1001,MATCH(ROWS($AG$2:AG246),$AG$2:$AG$1001,0),1)&gt;=100000,INDEX($AN$1005:$BO$1005,1,MATCH(COLUMNS($AN$1006:AT1006),$AN$1006:$BO$1006,0))&gt;=100000), " ",IF(INDEX($AN$2:$BO$1001,MATCH(ROWS($AG$2:AG246),$AG$2:$AG$1001,0),MATCH(COLUMNS($AN$1006:AT1006),$AN$1006:$BO$1006,0)), HYPERLINK("#",""), HYPERLINK(CONCATENATE("#Metadata!", ADDRESS(INDEX($AI$2:$AI$1001,MATCH(ROWS($AG$2:AG246),$AG$2:$AG$1001,0),0), INDEX($AN$1004:$BO$1004,1,MATCH(COLUMNS($AN$1006:AT1006),$AN$1006:$BO$1006,0)))),"Fix")))</f>
        <v>0</v>
      </c>
      <c r="I246" s="4">
        <f>IF(OR(INDEX($AH$2:$AH$1001,MATCH(ROWS($AG$2:AG246),$AG$2:$AG$1001,0),1)&gt;=100000,INDEX($AN$1005:$BO$1005,1,MATCH(COLUMNS($AN$1006:AU1006),$AN$1006:$BO$1006,0))&gt;=100000), " ",IF(INDEX($AN$2:$BO$1001,MATCH(ROWS($AG$2:AG246),$AG$2:$AG$1001,0),MATCH(COLUMNS($AN$1006:AU1006),$AN$1006:$BO$1006,0)), HYPERLINK("#",""), HYPERLINK(CONCATENATE("#Metadata!", ADDRESS(INDEX($AI$2:$AI$1001,MATCH(ROWS($AG$2:AG246),$AG$2:$AG$1001,0),0), INDEX($AN$1004:$BO$1004,1,MATCH(COLUMNS($AN$1006:AU1006),$AN$1006:$BO$1006,0)))),"Fix")))</f>
        <v>0</v>
      </c>
      <c r="J246" s="4">
        <f>IF(OR(INDEX($AH$2:$AH$1001,MATCH(ROWS($AG$2:AG246),$AG$2:$AG$1001,0),1)&gt;=100000,INDEX($AN$1005:$BO$1005,1,MATCH(COLUMNS($AN$1006:AV1006),$AN$1006:$BO$1006,0))&gt;=100000), " ",IF(INDEX($AN$2:$BO$1001,MATCH(ROWS($AG$2:AG246),$AG$2:$AG$1001,0),MATCH(COLUMNS($AN$1006:AV1006),$AN$1006:$BO$1006,0)), HYPERLINK("#",""), HYPERLINK(CONCATENATE("#Metadata!", ADDRESS(INDEX($AI$2:$AI$1001,MATCH(ROWS($AG$2:AG246),$AG$2:$AG$1001,0),0), INDEX($AN$1004:$BO$1004,1,MATCH(COLUMNS($AN$1006:AV1006),$AN$1006:$BO$1006,0)))),"Fix")))</f>
        <v>0</v>
      </c>
      <c r="K246" s="4">
        <f>IF(OR(INDEX($AH$2:$AH$1001,MATCH(ROWS($AG$2:AG246),$AG$2:$AG$1001,0),1)&gt;=100000,INDEX($AN$1005:$BO$1005,1,MATCH(COLUMNS($AN$1006:AW1006),$AN$1006:$BO$1006,0))&gt;=100000), " ",IF(INDEX($AN$2:$BO$1001,MATCH(ROWS($AG$2:AG246),$AG$2:$AG$1001,0),MATCH(COLUMNS($AN$1006:AW1006),$AN$1006:$BO$1006,0)), HYPERLINK("#",""), HYPERLINK(CONCATENATE("#Metadata!", ADDRESS(INDEX($AI$2:$AI$1001,MATCH(ROWS($AG$2:AG246),$AG$2:$AG$1001,0),0), INDEX($AN$1004:$BO$1004,1,MATCH(COLUMNS($AN$1006:AW1006),$AN$1006:$BO$1006,0)))),"Fix")))</f>
        <v>0</v>
      </c>
      <c r="L246" s="4">
        <f>IF(OR(INDEX($AH$2:$AH$1001,MATCH(ROWS($AG$2:AG246),$AG$2:$AG$1001,0),1)&gt;=100000,INDEX($AN$1005:$BO$1005,1,MATCH(COLUMNS($AN$1006:AX1006),$AN$1006:$BO$1006,0))&gt;=100000), " ",IF(INDEX($AN$2:$BO$1001,MATCH(ROWS($AG$2:AG246),$AG$2:$AG$1001,0),MATCH(COLUMNS($AN$1006:AX1006),$AN$1006:$BO$1006,0)), HYPERLINK("#",""), HYPERLINK(CONCATENATE("#Metadata!", ADDRESS(INDEX($AI$2:$AI$1001,MATCH(ROWS($AG$2:AG246),$AG$2:$AG$1001,0),0), INDEX($AN$1004:$BO$1004,1,MATCH(COLUMNS($AN$1006:AX1006),$AN$1006:$BO$1006,0)))),"Fix")))</f>
        <v>0</v>
      </c>
      <c r="M246" s="4">
        <f>IF(OR(INDEX($AH$2:$AH$1001,MATCH(ROWS($AG$2:AG246),$AG$2:$AG$1001,0),1)&gt;=100000,INDEX($AN$1005:$BO$1005,1,MATCH(COLUMNS($AN$1006:AY1006),$AN$1006:$BO$1006,0))&gt;=100000), " ",IF(INDEX($AN$2:$BO$1001,MATCH(ROWS($AG$2:AG246),$AG$2:$AG$1001,0),MATCH(COLUMNS($AN$1006:AY1006),$AN$1006:$BO$1006,0)), HYPERLINK("#",""), HYPERLINK(CONCATENATE("#Metadata!", ADDRESS(INDEX($AI$2:$AI$1001,MATCH(ROWS($AG$2:AG246),$AG$2:$AG$1001,0),0), INDEX($AN$1004:$BO$1004,1,MATCH(COLUMNS($AN$1006:AY1006),$AN$1006:$BO$1006,0)))),"Fix")))</f>
        <v>0</v>
      </c>
      <c r="N246" s="4">
        <f>IF(OR(INDEX($AH$2:$AH$1001,MATCH(ROWS($AG$2:AG246),$AG$2:$AG$1001,0),1)&gt;=100000,INDEX($AN$1005:$BO$1005,1,MATCH(COLUMNS($AN$1006:AZ1006),$AN$1006:$BO$1006,0))&gt;=100000), " ",IF(INDEX($AN$2:$BO$1001,MATCH(ROWS($AG$2:AG246),$AG$2:$AG$1001,0),MATCH(COLUMNS($AN$1006:AZ1006),$AN$1006:$BO$1006,0)), HYPERLINK("#",""), HYPERLINK(CONCATENATE("#Metadata!", ADDRESS(INDEX($AI$2:$AI$1001,MATCH(ROWS($AG$2:AG246),$AG$2:$AG$1001,0),0), INDEX($AN$1004:$BO$1004,1,MATCH(COLUMNS($AN$1006:AZ1006),$AN$1006:$BO$1006,0)))),"Fix")))</f>
        <v>0</v>
      </c>
      <c r="O246" s="4">
        <f>IF(OR(INDEX($AH$2:$AH$1001,MATCH(ROWS($AG$2:AG246),$AG$2:$AG$1001,0),1)&gt;=100000,INDEX($AN$1005:$BO$1005,1,MATCH(COLUMNS($AN$1006:BA1006),$AN$1006:$BO$1006,0))&gt;=100000), " ",IF(INDEX($AN$2:$BO$1001,MATCH(ROWS($AG$2:AG246),$AG$2:$AG$1001,0),MATCH(COLUMNS($AN$1006:BA1006),$AN$1006:$BO$1006,0)), HYPERLINK("#",""), HYPERLINK(CONCATENATE("#Metadata!", ADDRESS(INDEX($AI$2:$AI$1001,MATCH(ROWS($AG$2:AG246),$AG$2:$AG$1001,0),0), INDEX($AN$1004:$BO$1004,1,MATCH(COLUMNS($AN$1006:BA1006),$AN$1006:$BO$1006,0)))),"Fix")))</f>
        <v>0</v>
      </c>
      <c r="P246" s="4">
        <f>IF(OR(INDEX($AH$2:$AH$1001,MATCH(ROWS($AG$2:AG246),$AG$2:$AG$1001,0),1)&gt;=100000,INDEX($AN$1005:$BO$1005,1,MATCH(COLUMNS($AN$1006:BB1006),$AN$1006:$BO$1006,0))&gt;=100000), " ",IF(INDEX($AN$2:$BO$1001,MATCH(ROWS($AG$2:AG246),$AG$2:$AG$1001,0),MATCH(COLUMNS($AN$1006:BB1006),$AN$1006:$BO$1006,0)), HYPERLINK("#",""), HYPERLINK(CONCATENATE("#Metadata!", ADDRESS(INDEX($AI$2:$AI$1001,MATCH(ROWS($AG$2:AG246),$AG$2:$AG$1001,0),0), INDEX($AN$1004:$BO$1004,1,MATCH(COLUMNS($AN$1006:BB1006),$AN$1006:$BO$1006,0)))),"Fix")))</f>
        <v>0</v>
      </c>
      <c r="Q246" s="4">
        <f>IF(OR(INDEX($AH$2:$AH$1001,MATCH(ROWS($AG$2:AG246),$AG$2:$AG$1001,0),1)&gt;=100000,INDEX($AN$1005:$BO$1005,1,MATCH(COLUMNS($AN$1006:BC1006),$AN$1006:$BO$1006,0))&gt;=100000), " ",IF(INDEX($AN$2:$BO$1001,MATCH(ROWS($AG$2:AG246),$AG$2:$AG$1001,0),MATCH(COLUMNS($AN$1006:BC1006),$AN$1006:$BO$1006,0)), HYPERLINK("#",""), HYPERLINK(CONCATENATE("#Metadata!", ADDRESS(INDEX($AI$2:$AI$1001,MATCH(ROWS($AG$2:AG246),$AG$2:$AG$1001,0),0), INDEX($AN$1004:$BO$1004,1,MATCH(COLUMNS($AN$1006:BC1006),$AN$1006:$BO$1006,0)))),"Fix")))</f>
        <v>0</v>
      </c>
      <c r="R246" s="4">
        <f>IF(OR(INDEX($AH$2:$AH$1001,MATCH(ROWS($AG$2:AG246),$AG$2:$AG$1001,0),1)&gt;=100000,INDEX($AN$1005:$BO$1005,1,MATCH(COLUMNS($AN$1006:BD1006),$AN$1006:$BO$1006,0))&gt;=100000), " ",IF(INDEX($AN$2:$BO$1001,MATCH(ROWS($AG$2:AG246),$AG$2:$AG$1001,0),MATCH(COLUMNS($AN$1006:BD1006),$AN$1006:$BO$1006,0)), HYPERLINK("#",""), HYPERLINK(CONCATENATE("#Metadata!", ADDRESS(INDEX($AI$2:$AI$1001,MATCH(ROWS($AG$2:AG246),$AG$2:$AG$1001,0),0), INDEX($AN$1004:$BO$1004,1,MATCH(COLUMNS($AN$1006:BD1006),$AN$1006:$BO$1006,0)))),"Fix")))</f>
        <v>0</v>
      </c>
      <c r="S246" s="4">
        <f>IF(OR(INDEX($AH$2:$AH$1001,MATCH(ROWS($AG$2:AG246),$AG$2:$AG$1001,0),1)&gt;=100000,INDEX($AN$1005:$BO$1005,1,MATCH(COLUMNS($AN$1006:BE1006),$AN$1006:$BO$1006,0))&gt;=100000), " ",IF(INDEX($AN$2:$BO$1001,MATCH(ROWS($AG$2:AG246),$AG$2:$AG$1001,0),MATCH(COLUMNS($AN$1006:BE1006),$AN$1006:$BO$1006,0)), HYPERLINK("#",""), HYPERLINK(CONCATENATE("#Metadata!", ADDRESS(INDEX($AI$2:$AI$1001,MATCH(ROWS($AG$2:AG246),$AG$2:$AG$1001,0),0), INDEX($AN$1004:$BO$1004,1,MATCH(COLUMNS($AN$1006:BE1006),$AN$1006:$BO$1006,0)))),"Fix")))</f>
        <v>0</v>
      </c>
      <c r="T246" s="4">
        <f>IF(OR(INDEX($AH$2:$AH$1001,MATCH(ROWS($AG$2:AG246),$AG$2:$AG$1001,0),1)&gt;=100000,INDEX($AN$1005:$BO$1005,1,MATCH(COLUMNS($AN$1006:BF1006),$AN$1006:$BO$1006,0))&gt;=100000), " ",IF(INDEX($AN$2:$BO$1001,MATCH(ROWS($AG$2:AG246),$AG$2:$AG$1001,0),MATCH(COLUMNS($AN$1006:BF1006),$AN$1006:$BO$1006,0)), HYPERLINK("#",""), HYPERLINK(CONCATENATE("#Metadata!", ADDRESS(INDEX($AI$2:$AI$1001,MATCH(ROWS($AG$2:AG246),$AG$2:$AG$1001,0),0), INDEX($AN$1004:$BO$1004,1,MATCH(COLUMNS($AN$1006:BF1006),$AN$1006:$BO$1006,0)))),"Fix")))</f>
        <v>0</v>
      </c>
      <c r="U246" s="4">
        <f>IF(OR(INDEX($AH$2:$AH$1001,MATCH(ROWS($AG$2:AG246),$AG$2:$AG$1001,0),1)&gt;=100000,INDEX($AN$1005:$BO$1005,1,MATCH(COLUMNS($AN$1006:BG1006),$AN$1006:$BO$1006,0))&gt;=100000), " ",IF(INDEX($AN$2:$BO$1001,MATCH(ROWS($AG$2:AG246),$AG$2:$AG$1001,0),MATCH(COLUMNS($AN$1006:BG1006),$AN$1006:$BO$1006,0)), HYPERLINK("#",""), HYPERLINK(CONCATENATE("#Metadata!", ADDRESS(INDEX($AI$2:$AI$1001,MATCH(ROWS($AG$2:AG246),$AG$2:$AG$1001,0),0), INDEX($AN$1004:$BO$1004,1,MATCH(COLUMNS($AN$1006:BG1006),$AN$1006:$BO$1006,0)))),"Fix")))</f>
        <v>0</v>
      </c>
      <c r="V246" s="4">
        <f>IF(OR(INDEX($AH$2:$AH$1001,MATCH(ROWS($AG$2:AG246),$AG$2:$AG$1001,0),1)&gt;=100000,INDEX($AN$1005:$BO$1005,1,MATCH(COLUMNS($AN$1006:BH1006),$AN$1006:$BO$1006,0))&gt;=100000), " ",IF(INDEX($AN$2:$BO$1001,MATCH(ROWS($AG$2:AG246),$AG$2:$AG$1001,0),MATCH(COLUMNS($AN$1006:BH1006),$AN$1006:$BO$1006,0)), HYPERLINK("#",""), HYPERLINK(CONCATENATE("#Metadata!", ADDRESS(INDEX($AI$2:$AI$1001,MATCH(ROWS($AG$2:AG246),$AG$2:$AG$1001,0),0), INDEX($AN$1004:$BO$1004,1,MATCH(COLUMNS($AN$1006:BH1006),$AN$1006:$BO$1006,0)))),"Fix")))</f>
        <v>0</v>
      </c>
      <c r="W246" s="4">
        <f>IF(OR(INDEX($AH$2:$AH$1001,MATCH(ROWS($AG$2:AG246),$AG$2:$AG$1001,0),1)&gt;=100000,INDEX($AN$1005:$BO$1005,1,MATCH(COLUMNS($AN$1006:BI1006),$AN$1006:$BO$1006,0))&gt;=100000), " ",IF(INDEX($AN$2:$BO$1001,MATCH(ROWS($AG$2:AG246),$AG$2:$AG$1001,0),MATCH(COLUMNS($AN$1006:BI1006),$AN$1006:$BO$1006,0)), HYPERLINK("#",""), HYPERLINK(CONCATENATE("#Metadata!", ADDRESS(INDEX($AI$2:$AI$1001,MATCH(ROWS($AG$2:AG246),$AG$2:$AG$1001,0),0), INDEX($AN$1004:$BO$1004,1,MATCH(COLUMNS($AN$1006:BI1006),$AN$1006:$BO$1006,0)))),"Fix")))</f>
        <v>0</v>
      </c>
      <c r="X246" s="4">
        <f>IF(OR(INDEX($AH$2:$AH$1001,MATCH(ROWS($AG$2:AG246),$AG$2:$AG$1001,0),1)&gt;=100000,INDEX($AN$1005:$BO$1005,1,MATCH(COLUMNS($AN$1006:BJ1006),$AN$1006:$BO$1006,0))&gt;=100000), " ",IF(INDEX($AN$2:$BO$1001,MATCH(ROWS($AG$2:AG246),$AG$2:$AG$1001,0),MATCH(COLUMNS($AN$1006:BJ1006),$AN$1006:$BO$1006,0)), HYPERLINK("#",""), HYPERLINK(CONCATENATE("#Metadata!", ADDRESS(INDEX($AI$2:$AI$1001,MATCH(ROWS($AG$2:AG246),$AG$2:$AG$1001,0),0), INDEX($AN$1004:$BO$1004,1,MATCH(COLUMNS($AN$1006:BJ1006),$AN$1006:$BO$1006,0)))),"Fix")))</f>
        <v>0</v>
      </c>
      <c r="Y246" s="4">
        <f>IF(OR(INDEX($AH$2:$AH$1001,MATCH(ROWS($AG$2:AG246),$AG$2:$AG$1001,0),1)&gt;=100000,INDEX($AN$1005:$BO$1005,1,MATCH(COLUMNS($AN$1006:BK1006),$AN$1006:$BO$1006,0))&gt;=100000), " ",IF(INDEX($AN$2:$BO$1001,MATCH(ROWS($AG$2:AG246),$AG$2:$AG$1001,0),MATCH(COLUMNS($AN$1006:BK1006),$AN$1006:$BO$1006,0)), HYPERLINK("#",""), HYPERLINK(CONCATENATE("#Metadata!", ADDRESS(INDEX($AI$2:$AI$1001,MATCH(ROWS($AG$2:AG246),$AG$2:$AG$1001,0),0), INDEX($AN$1004:$BO$1004,1,MATCH(COLUMNS($AN$1006:BK1006),$AN$1006:$BO$1006,0)))),"Fix")))</f>
        <v>0</v>
      </c>
      <c r="Z246" s="4">
        <f>IF(OR(INDEX($AH$2:$AH$1001,MATCH(ROWS($AG$2:AG246),$AG$2:$AG$1001,0),1)&gt;=100000,INDEX($AN$1005:$BO$1005,1,MATCH(COLUMNS($AN$1006:BL1006),$AN$1006:$BO$1006,0))&gt;=100000), " ",IF(INDEX($AN$2:$BO$1001,MATCH(ROWS($AG$2:AG246),$AG$2:$AG$1001,0),MATCH(COLUMNS($AN$1006:BL1006),$AN$1006:$BO$1006,0)), HYPERLINK("#",""), HYPERLINK(CONCATENATE("#Metadata!", ADDRESS(INDEX($AI$2:$AI$1001,MATCH(ROWS($AG$2:AG246),$AG$2:$AG$1001,0),0), INDEX($AN$1004:$BO$1004,1,MATCH(COLUMNS($AN$1006:BL1006),$AN$1006:$BO$1006,0)))),"Fix")))</f>
        <v>0</v>
      </c>
      <c r="AA246" s="4">
        <f>IF(OR(INDEX($AH$2:$AH$1001,MATCH(ROWS($AG$2:AG246),$AG$2:$AG$1001,0),1)&gt;=100000,INDEX($AN$1005:$BO$1005,1,MATCH(COLUMNS($AN$1006:BM1006),$AN$1006:$BO$1006,0))&gt;=100000), " ",IF(INDEX($AN$2:$BO$1001,MATCH(ROWS($AG$2:AG246),$AG$2:$AG$1001,0),MATCH(COLUMNS($AN$1006:BM1006),$AN$1006:$BO$1006,0)), HYPERLINK("#",""), HYPERLINK(CONCATENATE("#Metadata!", ADDRESS(INDEX($AI$2:$AI$1001,MATCH(ROWS($AG$2:AG246),$AG$2:$AG$1001,0),0), INDEX($AN$1004:$BO$1004,1,MATCH(COLUMNS($AN$1006:BM1006),$AN$1006:$BO$1006,0)))),"Fix")))</f>
        <v>0</v>
      </c>
      <c r="AB246" s="4">
        <f>IF(OR(INDEX($AH$2:$AH$1001,MATCH(ROWS($AG$2:AG246),$AG$2:$AG$1001,0),1)&gt;=100000,INDEX($AN$1005:$BO$1005,1,MATCH(COLUMNS($AN$1006:BN1006),$AN$1006:$BO$1006,0))&gt;=100000), " ",IF(INDEX($AN$2:$BO$1001,MATCH(ROWS($AG$2:AG246),$AG$2:$AG$1001,0),MATCH(COLUMNS($AN$1006:BN1006),$AN$1006:$BO$1006,0)), HYPERLINK("#",""), HYPERLINK(CONCATENATE("#Metadata!", ADDRESS(INDEX($AI$2:$AI$1001,MATCH(ROWS($AG$2:AG246),$AG$2:$AG$1001,0),0), INDEX($AN$1004:$BO$1004,1,MATCH(COLUMNS($AN$1006:BN1006),$AN$1006:$BO$1006,0)))),"Fix")))</f>
        <v>0</v>
      </c>
      <c r="AC246" s="4">
        <f>IF(OR(INDEX($AH$2:$AH$1001,MATCH(ROWS($AG$2:AG246),$AG$2:$AG$1001,0),1)&gt;=100000,INDEX($AN$1005:$BO$1005,1,MATCH(COLUMNS($AN$1006:BO1006),$AN$1006:$BO$1006,0))&gt;=100000), " ",IF(INDEX($AN$2:$BO$1001,MATCH(ROWS($AG$2:AG246),$AG$2:$AG$1001,0),MATCH(COLUMNS($AN$1006:BO1006),$AN$1006:$BO$1006,0)), HYPERLINK("#",""), HYPERLINK(CONCATENATE("#Metadata!", ADDRESS(INDEX($AI$2:$AI$1001,MATCH(ROWS($AG$2:AG246),$AG$2:$AG$1001,0),0), INDEX($AN$1004:$BO$1004,1,MATCH(COLUMNS($AN$1006:BO1006),$AN$1006:$BO$1006,0)))),"Fix")))</f>
        <v>0</v>
      </c>
      <c r="AG246">
        <v>0</v>
      </c>
      <c r="AH246">
        <v>0</v>
      </c>
      <c r="AI246">
        <v>0</v>
      </c>
      <c r="AJ246">
        <f>IF(AK246,TRUE,AND(AN246:BO246))</f>
        <v>0</v>
      </c>
      <c r="AK246">
        <f>COUNTBLANK(Metadata!B246:AC246)=COLUMNS(Metadata!B246:AC246)</f>
        <v>0</v>
      </c>
      <c r="AL246">
        <v>0</v>
      </c>
      <c r="AN246">
        <f>AND(IF(Metadata!B246="",FALSE,TRUE),COUNTIF(Metadata!B:B, Metadata!B246) = 1,NOT(ISERROR(SUMPRODUCT(SEARCH(MID(Metadata!B246,ROW(INDIRECT("1:"&amp;LEN(Metadata!B246))), 1),"0123456789abcdefghijklmnopqrstuvwxyzABCDEFGHIJKLMNOPQRSTUVWXYZ.")))))</f>
        <v>0</v>
      </c>
      <c r="AO246">
        <f>IF(Metadata!C246="",FALSE,TRUE)</f>
        <v>0</v>
      </c>
      <c r="AP246">
        <f>IF(Metadata!D246="",FALSE,TRUE)</f>
        <v>0</v>
      </c>
      <c r="AQ246">
        <f>OR(AND(IF(Metadata!E246="",FALSE,TRUE),OR(exact(Metadata!E246,"not collected"),exact(Metadata!E246,"not provided"),exact(Metadata!E246,"restricted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R246">
        <f>IF(Metadata!F246="",FALSE,TRUE)</f>
        <v>0</v>
      </c>
      <c r="AS246">
        <f>OR(AND(IF(Metadata!G246="",FALSE,TRUE),OR(exact(Metadata!G246,"not collected"),exact(Metadata!G246,"not provided"))),AND(IF(Metadata!G246="",FALSE,TRUE),OR(exact(Metadata!G246,"TRUE"),exact(Metadata!G246,"FALSE"))))</f>
        <v>0</v>
      </c>
      <c r="AT246">
        <f>OR(AND(IF(Metadata!H246="",FALSE,TRUE),OR(exact(Metadata!H246,"not collected"),exact(Metadata!H246,"not provided"),exact(Metadata!H246,"restricted access"))),AND(IF(Metadata!H246="",FALSE,ISNUMBER(VALUE(Metadata!H246))),Metadata!H246&gt;=-413.0))</f>
        <v>0</v>
      </c>
      <c r="AU246">
        <f>AND(IF(Metadata!I246="",FALSE,TRUE),exact(Metadata!I246,"meters"))</f>
        <v>0</v>
      </c>
      <c r="AV246">
        <f>AND(IF(Metadata!J246="",FALSE,TRUE),OR(exact(Metadata!J246,"Host-associated"),exact(Metadata!J246,"Free-living")))</f>
        <v>0</v>
      </c>
      <c r="AW246">
        <f>AND(IF(Metadata!K246="",FALSE,TRUE),OR(exact(Metadata!K246,"Animal"),exact(Metadata!K246,"Fungus"),exact(Metadata!K246,"Plant"),exact(Metadata!K246,"Saline"),exact(Metadata!K246,"Non-saline")))</f>
        <v>0</v>
      </c>
      <c r="AX246">
        <f>AND(IF(Metadata!L246="",FALSE,TRUE),OR(exact(Metadata!L246,"Plant secretion"),exact(Metadata!L246,"Plant rhizosphere"),exact(Metadata!L246,"Plant surface"),exact(Metadata!L246,"Plant corpus"),exact(Metadata!L246,"Fungus surface"),exact(Metadata!L246,"Fungus corpus"),exact(Metadata!L246,"Animal surface"),exact(Metadata!L246,"Animal proximal gut"),exact(Metadata!L246,"Animal corpus"),exact(Metadata!L246,"Animal distal gut"),exact(Metadata!L246,"Animal secretion"),exact(Metadata!L246,"Sub-surface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Y246">
        <f>IF(Metadata!M246="",FALSE,TRUE)</f>
        <v>0</v>
      </c>
      <c r="AZ246">
        <f>IF(Metadata!N246="",FALSE,TRUE)</f>
        <v>0</v>
      </c>
      <c r="BA246">
        <f>IF(Metadata!O246="",FALSE,TRUE)</f>
        <v>0</v>
      </c>
      <c r="BB246">
        <f>OR(AND(IF(Metadata!P246="",FALSE,TRUE),OR(exact(Metadata!P246,"not collected"),exact(Metadata!P246,"not provided"),exact(Metadata!P246,"restricted access"))),AND(IF(Metadata!P246="",FALSE,TRUE),OR(exact(Metadata!P246,"air"),exact(Metadata!P246,"built environment"),exact(Metadata!P246,"host-associated"),exact(Metadata!P246,"human-associated"),exact(Metadata!P246,"human-skin"),exact(Metadata!P246,"human-oral"),exact(Metadata!P246,"human-gut"),exact(Metadata!P246,"human-vaginal"),exact(Metadata!P246,"microbial mat/biofilm"),exact(Metadata!P246,"misc environment"),exact(Metadata!P246,"plant-associated"),exact(Metadata!P246,"sediment"),exact(Metadata!P246,"soil"),exact(Metadata!P246,"wastewater/sludge"),exact(Metadata!P246,"water"))))</f>
        <v>0</v>
      </c>
      <c r="BC246">
        <f>IF(Metadata!Q246="",FALSE,TRUE)</f>
        <v>0</v>
      </c>
      <c r="BD246">
        <f>IF(Metadata!R246="",FALSE,TRUE)</f>
        <v>0</v>
      </c>
      <c r="BE246">
        <f>OR(AND(IF(Metadata!S246="",FALSE,TRUE),OR(exact(Metadata!S246,"not collected"),exact(Metadata!S246,"not provided"),exact(Metadata!S246,"restricted access"))),AND(IF(Metadata!S246="",FALSE,ISNUMBER(VALUE(Metadata!S246))),Metadata!S246&gt;=-90.00,Metadata!S246&lt;=90.00))</f>
        <v>0</v>
      </c>
      <c r="BF246">
        <f>AND(IF(Metadata!T246="",FALSE,TRUE),exact(Metadata!T246,"Decimal degrees"))</f>
        <v>0</v>
      </c>
      <c r="BG246">
        <f>OR(AND(IF(Metadata!U246="",FALSE,TRUE),OR(exact(Metadata!U246,"not collected"),exact(Metadata!U246,"not provided"),exact(Metadata!U246,"restricted access"))),AND(IF(Metadata!U246="",FALSE,ISNUMBER(VALUE(Metadata!U246))),Metadata!U246&gt;=-180.00,Metadata!U246&lt;=180.00))</f>
        <v>0</v>
      </c>
      <c r="BH246">
        <f>AND(IF(Metadata!V246="",FALSE,TRUE),exact(Metadata!V246,"Decimal degrees"))</f>
        <v>0</v>
      </c>
      <c r="BI246">
        <f>IF(Metadata!W246="",FALSE,TRUE)</f>
        <v>0</v>
      </c>
      <c r="BJ246">
        <f>OR(AND(IF(Metadata!X246="",FALSE,TRUE),OR(exact(Metadata!X246,"not collected"),exact(Metadata!X246,"not provided"),exact(Metadata!X246,"restricted access"))),AND(IF(Metadata!X246="",FALSE,TRUE),OR(exact(Metadata!X246,"TRUE"),exact(Metadata!X246,"FALSE"))))</f>
        <v>0</v>
      </c>
      <c r="BK246">
        <f>AND(IF(Metadata!Y246="",FALSE,TRUE),exact(Metadata!Y246,"other"))</f>
        <v>0</v>
      </c>
      <c r="BL246">
        <f>IF(Metadata!Z246="",FALSE,TRUE)</f>
        <v>0</v>
      </c>
      <c r="BM246">
        <f>OR(AND(IF(Metadata!AA246="",FALSE,TRUE),OR(exact(Metadata!AA246,"not collected"),exact(Metadata!AA246,"not provided"))),AND(IF(Metadata!AA246="",FALSE,IF(ISERROR(INT(Metadata!AA246)),FALSE,INT(Metadata!AA246)=Metadata!AA246)),Metadata!AA246&gt;0))</f>
        <v>0</v>
      </c>
      <c r="BN246">
        <f>AND(IF(Metadata!AB246="",FALSE,TRUE),exact(Metadata!AB246,"Not applicable"))</f>
        <v>0</v>
      </c>
      <c r="BO246">
        <f>IF(Metadata!AC246="",FALSE,TRUE)</f>
        <v>0</v>
      </c>
    </row>
    <row r="247" spans="1:67">
      <c r="A247" s="5">
        <f>IF(B247=" "," ",HYPERLINK(CONCATENATE("#metadata!",ADDRESS(INDEX($AI$2:$AI$1001,MATCH(ROWS($AG$2:AG247),$AG$2:$AG$1001,0),0),1)),INDEX($AL$2:$AL$1001,MATCH(ROWS($AG$2:AG247),$AG$2:$AG$1001,0),0)))</f>
        <v>0</v>
      </c>
      <c r="B247" s="4">
        <f>IF(OR(INDEX($AH$2:$AH$1001,MATCH(ROWS($AG$2:AG247),$AG$2:$AG$1001,0),1)&gt;=100000,INDEX($AN$1005:$BO$1005,1,MATCH(COLUMNS($AN$1006:AN1006),$AN$1006:$BO$1006,0))&gt;=100000), " ",IF(INDEX($AN$2:$BO$1001,MATCH(ROWS($AG$2:AG247),$AG$2:$AG$1001,0),MATCH(COLUMNS($AN$1006:AN1006),$AN$1006:$BO$1006,0)), HYPERLINK("#",""), HYPERLINK(CONCATENATE("#Metadata!", ADDRESS(INDEX($AI$2:$AI$1001,MATCH(ROWS($AG$2:AG247),$AG$2:$AG$1001,0),0), INDEX($AN$1004:$BO$1004,1,MATCH(COLUMNS($AN$1006:AN1006),$AN$1006:$BO$1006,0)))),"Fix")))</f>
        <v>0</v>
      </c>
      <c r="C247" s="4">
        <f>IF(OR(INDEX($AH$2:$AH$1001,MATCH(ROWS($AG$2:AG247),$AG$2:$AG$1001,0),1)&gt;=100000,INDEX($AN$1005:$BO$1005,1,MATCH(COLUMNS($AN$1006:AO1006),$AN$1006:$BO$1006,0))&gt;=100000), " ",IF(INDEX($AN$2:$BO$1001,MATCH(ROWS($AG$2:AG247),$AG$2:$AG$1001,0),MATCH(COLUMNS($AN$1006:AO1006),$AN$1006:$BO$1006,0)), HYPERLINK("#",""), HYPERLINK(CONCATENATE("#Metadata!", ADDRESS(INDEX($AI$2:$AI$1001,MATCH(ROWS($AG$2:AG247),$AG$2:$AG$1001,0),0), INDEX($AN$1004:$BO$1004,1,MATCH(COLUMNS($AN$1006:AO1006),$AN$1006:$BO$1006,0)))),"Fix")))</f>
        <v>0</v>
      </c>
      <c r="D247" s="4">
        <f>IF(OR(INDEX($AH$2:$AH$1001,MATCH(ROWS($AG$2:AG247),$AG$2:$AG$1001,0),1)&gt;=100000,INDEX($AN$1005:$BO$1005,1,MATCH(COLUMNS($AN$1006:AP1006),$AN$1006:$BO$1006,0))&gt;=100000), " ",IF(INDEX($AN$2:$BO$1001,MATCH(ROWS($AG$2:AG247),$AG$2:$AG$1001,0),MATCH(COLUMNS($AN$1006:AP1006),$AN$1006:$BO$1006,0)), HYPERLINK("#",""), HYPERLINK(CONCATENATE("#Metadata!", ADDRESS(INDEX($AI$2:$AI$1001,MATCH(ROWS($AG$2:AG247),$AG$2:$AG$1001,0),0), INDEX($AN$1004:$BO$1004,1,MATCH(COLUMNS($AN$1006:AP1006),$AN$1006:$BO$1006,0)))),"Fix")))</f>
        <v>0</v>
      </c>
      <c r="E247" s="4">
        <f>IF(OR(INDEX($AH$2:$AH$1001,MATCH(ROWS($AG$2:AG247),$AG$2:$AG$1001,0),1)&gt;=100000,INDEX($AN$1005:$BO$1005,1,MATCH(COLUMNS($AN$1006:AQ1006),$AN$1006:$BO$1006,0))&gt;=100000), " ",IF(INDEX($AN$2:$BO$1001,MATCH(ROWS($AG$2:AG247),$AG$2:$AG$1001,0),MATCH(COLUMNS($AN$1006:AQ1006),$AN$1006:$BO$1006,0)), HYPERLINK("#",""), HYPERLINK(CONCATENATE("#Metadata!", ADDRESS(INDEX($AI$2:$AI$1001,MATCH(ROWS($AG$2:AG247),$AG$2:$AG$1001,0),0), INDEX($AN$1004:$BO$1004,1,MATCH(COLUMNS($AN$1006:AQ1006),$AN$1006:$BO$1006,0)))),"Fix")))</f>
        <v>0</v>
      </c>
      <c r="F247" s="4">
        <f>IF(OR(INDEX($AH$2:$AH$1001,MATCH(ROWS($AG$2:AG247),$AG$2:$AG$1001,0),1)&gt;=100000,INDEX($AN$1005:$BO$1005,1,MATCH(COLUMNS($AN$1006:AR1006),$AN$1006:$BO$1006,0))&gt;=100000), " ",IF(INDEX($AN$2:$BO$1001,MATCH(ROWS($AG$2:AG247),$AG$2:$AG$1001,0),MATCH(COLUMNS($AN$1006:AR1006),$AN$1006:$BO$1006,0)), HYPERLINK("#",""), HYPERLINK(CONCATENATE("#Metadata!", ADDRESS(INDEX($AI$2:$AI$1001,MATCH(ROWS($AG$2:AG247),$AG$2:$AG$1001,0),0), INDEX($AN$1004:$BO$1004,1,MATCH(COLUMNS($AN$1006:AR1006),$AN$1006:$BO$1006,0)))),"Fix")))</f>
        <v>0</v>
      </c>
      <c r="G247" s="4">
        <f>IF(OR(INDEX($AH$2:$AH$1001,MATCH(ROWS($AG$2:AG247),$AG$2:$AG$1001,0),1)&gt;=100000,INDEX($AN$1005:$BO$1005,1,MATCH(COLUMNS($AN$1006:AS1006),$AN$1006:$BO$1006,0))&gt;=100000), " ",IF(INDEX($AN$2:$BO$1001,MATCH(ROWS($AG$2:AG247),$AG$2:$AG$1001,0),MATCH(COLUMNS($AN$1006:AS1006),$AN$1006:$BO$1006,0)), HYPERLINK("#",""), HYPERLINK(CONCATENATE("#Metadata!", ADDRESS(INDEX($AI$2:$AI$1001,MATCH(ROWS($AG$2:AG247),$AG$2:$AG$1001,0),0), INDEX($AN$1004:$BO$1004,1,MATCH(COLUMNS($AN$1006:AS1006),$AN$1006:$BO$1006,0)))),"Fix")))</f>
        <v>0</v>
      </c>
      <c r="H247" s="4">
        <f>IF(OR(INDEX($AH$2:$AH$1001,MATCH(ROWS($AG$2:AG247),$AG$2:$AG$1001,0),1)&gt;=100000,INDEX($AN$1005:$BO$1005,1,MATCH(COLUMNS($AN$1006:AT1006),$AN$1006:$BO$1006,0))&gt;=100000), " ",IF(INDEX($AN$2:$BO$1001,MATCH(ROWS($AG$2:AG247),$AG$2:$AG$1001,0),MATCH(COLUMNS($AN$1006:AT1006),$AN$1006:$BO$1006,0)), HYPERLINK("#",""), HYPERLINK(CONCATENATE("#Metadata!", ADDRESS(INDEX($AI$2:$AI$1001,MATCH(ROWS($AG$2:AG247),$AG$2:$AG$1001,0),0), INDEX($AN$1004:$BO$1004,1,MATCH(COLUMNS($AN$1006:AT1006),$AN$1006:$BO$1006,0)))),"Fix")))</f>
        <v>0</v>
      </c>
      <c r="I247" s="4">
        <f>IF(OR(INDEX($AH$2:$AH$1001,MATCH(ROWS($AG$2:AG247),$AG$2:$AG$1001,0),1)&gt;=100000,INDEX($AN$1005:$BO$1005,1,MATCH(COLUMNS($AN$1006:AU1006),$AN$1006:$BO$1006,0))&gt;=100000), " ",IF(INDEX($AN$2:$BO$1001,MATCH(ROWS($AG$2:AG247),$AG$2:$AG$1001,0),MATCH(COLUMNS($AN$1006:AU1006),$AN$1006:$BO$1006,0)), HYPERLINK("#",""), HYPERLINK(CONCATENATE("#Metadata!", ADDRESS(INDEX($AI$2:$AI$1001,MATCH(ROWS($AG$2:AG247),$AG$2:$AG$1001,0),0), INDEX($AN$1004:$BO$1004,1,MATCH(COLUMNS($AN$1006:AU1006),$AN$1006:$BO$1006,0)))),"Fix")))</f>
        <v>0</v>
      </c>
      <c r="J247" s="4">
        <f>IF(OR(INDEX($AH$2:$AH$1001,MATCH(ROWS($AG$2:AG247),$AG$2:$AG$1001,0),1)&gt;=100000,INDEX($AN$1005:$BO$1005,1,MATCH(COLUMNS($AN$1006:AV1006),$AN$1006:$BO$1006,0))&gt;=100000), " ",IF(INDEX($AN$2:$BO$1001,MATCH(ROWS($AG$2:AG247),$AG$2:$AG$1001,0),MATCH(COLUMNS($AN$1006:AV1006),$AN$1006:$BO$1006,0)), HYPERLINK("#",""), HYPERLINK(CONCATENATE("#Metadata!", ADDRESS(INDEX($AI$2:$AI$1001,MATCH(ROWS($AG$2:AG247),$AG$2:$AG$1001,0),0), INDEX($AN$1004:$BO$1004,1,MATCH(COLUMNS($AN$1006:AV1006),$AN$1006:$BO$1006,0)))),"Fix")))</f>
        <v>0</v>
      </c>
      <c r="K247" s="4">
        <f>IF(OR(INDEX($AH$2:$AH$1001,MATCH(ROWS($AG$2:AG247),$AG$2:$AG$1001,0),1)&gt;=100000,INDEX($AN$1005:$BO$1005,1,MATCH(COLUMNS($AN$1006:AW1006),$AN$1006:$BO$1006,0))&gt;=100000), " ",IF(INDEX($AN$2:$BO$1001,MATCH(ROWS($AG$2:AG247),$AG$2:$AG$1001,0),MATCH(COLUMNS($AN$1006:AW1006),$AN$1006:$BO$1006,0)), HYPERLINK("#",""), HYPERLINK(CONCATENATE("#Metadata!", ADDRESS(INDEX($AI$2:$AI$1001,MATCH(ROWS($AG$2:AG247),$AG$2:$AG$1001,0),0), INDEX($AN$1004:$BO$1004,1,MATCH(COLUMNS($AN$1006:AW1006),$AN$1006:$BO$1006,0)))),"Fix")))</f>
        <v>0</v>
      </c>
      <c r="L247" s="4">
        <f>IF(OR(INDEX($AH$2:$AH$1001,MATCH(ROWS($AG$2:AG247),$AG$2:$AG$1001,0),1)&gt;=100000,INDEX($AN$1005:$BO$1005,1,MATCH(COLUMNS($AN$1006:AX1006),$AN$1006:$BO$1006,0))&gt;=100000), " ",IF(INDEX($AN$2:$BO$1001,MATCH(ROWS($AG$2:AG247),$AG$2:$AG$1001,0),MATCH(COLUMNS($AN$1006:AX1006),$AN$1006:$BO$1006,0)), HYPERLINK("#",""), HYPERLINK(CONCATENATE("#Metadata!", ADDRESS(INDEX($AI$2:$AI$1001,MATCH(ROWS($AG$2:AG247),$AG$2:$AG$1001,0),0), INDEX($AN$1004:$BO$1004,1,MATCH(COLUMNS($AN$1006:AX1006),$AN$1006:$BO$1006,0)))),"Fix")))</f>
        <v>0</v>
      </c>
      <c r="M247" s="4">
        <f>IF(OR(INDEX($AH$2:$AH$1001,MATCH(ROWS($AG$2:AG247),$AG$2:$AG$1001,0),1)&gt;=100000,INDEX($AN$1005:$BO$1005,1,MATCH(COLUMNS($AN$1006:AY1006),$AN$1006:$BO$1006,0))&gt;=100000), " ",IF(INDEX($AN$2:$BO$1001,MATCH(ROWS($AG$2:AG247),$AG$2:$AG$1001,0),MATCH(COLUMNS($AN$1006:AY1006),$AN$1006:$BO$1006,0)), HYPERLINK("#",""), HYPERLINK(CONCATENATE("#Metadata!", ADDRESS(INDEX($AI$2:$AI$1001,MATCH(ROWS($AG$2:AG247),$AG$2:$AG$1001,0),0), INDEX($AN$1004:$BO$1004,1,MATCH(COLUMNS($AN$1006:AY1006),$AN$1006:$BO$1006,0)))),"Fix")))</f>
        <v>0</v>
      </c>
      <c r="N247" s="4">
        <f>IF(OR(INDEX($AH$2:$AH$1001,MATCH(ROWS($AG$2:AG247),$AG$2:$AG$1001,0),1)&gt;=100000,INDEX($AN$1005:$BO$1005,1,MATCH(COLUMNS($AN$1006:AZ1006),$AN$1006:$BO$1006,0))&gt;=100000), " ",IF(INDEX($AN$2:$BO$1001,MATCH(ROWS($AG$2:AG247),$AG$2:$AG$1001,0),MATCH(COLUMNS($AN$1006:AZ1006),$AN$1006:$BO$1006,0)), HYPERLINK("#",""), HYPERLINK(CONCATENATE("#Metadata!", ADDRESS(INDEX($AI$2:$AI$1001,MATCH(ROWS($AG$2:AG247),$AG$2:$AG$1001,0),0), INDEX($AN$1004:$BO$1004,1,MATCH(COLUMNS($AN$1006:AZ1006),$AN$1006:$BO$1006,0)))),"Fix")))</f>
        <v>0</v>
      </c>
      <c r="O247" s="4">
        <f>IF(OR(INDEX($AH$2:$AH$1001,MATCH(ROWS($AG$2:AG247),$AG$2:$AG$1001,0),1)&gt;=100000,INDEX($AN$1005:$BO$1005,1,MATCH(COLUMNS($AN$1006:BA1006),$AN$1006:$BO$1006,0))&gt;=100000), " ",IF(INDEX($AN$2:$BO$1001,MATCH(ROWS($AG$2:AG247),$AG$2:$AG$1001,0),MATCH(COLUMNS($AN$1006:BA1006),$AN$1006:$BO$1006,0)), HYPERLINK("#",""), HYPERLINK(CONCATENATE("#Metadata!", ADDRESS(INDEX($AI$2:$AI$1001,MATCH(ROWS($AG$2:AG247),$AG$2:$AG$1001,0),0), INDEX($AN$1004:$BO$1004,1,MATCH(COLUMNS($AN$1006:BA1006),$AN$1006:$BO$1006,0)))),"Fix")))</f>
        <v>0</v>
      </c>
      <c r="P247" s="4">
        <f>IF(OR(INDEX($AH$2:$AH$1001,MATCH(ROWS($AG$2:AG247),$AG$2:$AG$1001,0),1)&gt;=100000,INDEX($AN$1005:$BO$1005,1,MATCH(COLUMNS($AN$1006:BB1006),$AN$1006:$BO$1006,0))&gt;=100000), " ",IF(INDEX($AN$2:$BO$1001,MATCH(ROWS($AG$2:AG247),$AG$2:$AG$1001,0),MATCH(COLUMNS($AN$1006:BB1006),$AN$1006:$BO$1006,0)), HYPERLINK("#",""), HYPERLINK(CONCATENATE("#Metadata!", ADDRESS(INDEX($AI$2:$AI$1001,MATCH(ROWS($AG$2:AG247),$AG$2:$AG$1001,0),0), INDEX($AN$1004:$BO$1004,1,MATCH(COLUMNS($AN$1006:BB1006),$AN$1006:$BO$1006,0)))),"Fix")))</f>
        <v>0</v>
      </c>
      <c r="Q247" s="4">
        <f>IF(OR(INDEX($AH$2:$AH$1001,MATCH(ROWS($AG$2:AG247),$AG$2:$AG$1001,0),1)&gt;=100000,INDEX($AN$1005:$BO$1005,1,MATCH(COLUMNS($AN$1006:BC1006),$AN$1006:$BO$1006,0))&gt;=100000), " ",IF(INDEX($AN$2:$BO$1001,MATCH(ROWS($AG$2:AG247),$AG$2:$AG$1001,0),MATCH(COLUMNS($AN$1006:BC1006),$AN$1006:$BO$1006,0)), HYPERLINK("#",""), HYPERLINK(CONCATENATE("#Metadata!", ADDRESS(INDEX($AI$2:$AI$1001,MATCH(ROWS($AG$2:AG247),$AG$2:$AG$1001,0),0), INDEX($AN$1004:$BO$1004,1,MATCH(COLUMNS($AN$1006:BC1006),$AN$1006:$BO$1006,0)))),"Fix")))</f>
        <v>0</v>
      </c>
      <c r="R247" s="4">
        <f>IF(OR(INDEX($AH$2:$AH$1001,MATCH(ROWS($AG$2:AG247),$AG$2:$AG$1001,0),1)&gt;=100000,INDEX($AN$1005:$BO$1005,1,MATCH(COLUMNS($AN$1006:BD1006),$AN$1006:$BO$1006,0))&gt;=100000), " ",IF(INDEX($AN$2:$BO$1001,MATCH(ROWS($AG$2:AG247),$AG$2:$AG$1001,0),MATCH(COLUMNS($AN$1006:BD1006),$AN$1006:$BO$1006,0)), HYPERLINK("#",""), HYPERLINK(CONCATENATE("#Metadata!", ADDRESS(INDEX($AI$2:$AI$1001,MATCH(ROWS($AG$2:AG247),$AG$2:$AG$1001,0),0), INDEX($AN$1004:$BO$1004,1,MATCH(COLUMNS($AN$1006:BD1006),$AN$1006:$BO$1006,0)))),"Fix")))</f>
        <v>0</v>
      </c>
      <c r="S247" s="4">
        <f>IF(OR(INDEX($AH$2:$AH$1001,MATCH(ROWS($AG$2:AG247),$AG$2:$AG$1001,0),1)&gt;=100000,INDEX($AN$1005:$BO$1005,1,MATCH(COLUMNS($AN$1006:BE1006),$AN$1006:$BO$1006,0))&gt;=100000), " ",IF(INDEX($AN$2:$BO$1001,MATCH(ROWS($AG$2:AG247),$AG$2:$AG$1001,0),MATCH(COLUMNS($AN$1006:BE1006),$AN$1006:$BO$1006,0)), HYPERLINK("#",""), HYPERLINK(CONCATENATE("#Metadata!", ADDRESS(INDEX($AI$2:$AI$1001,MATCH(ROWS($AG$2:AG247),$AG$2:$AG$1001,0),0), INDEX($AN$1004:$BO$1004,1,MATCH(COLUMNS($AN$1006:BE1006),$AN$1006:$BO$1006,0)))),"Fix")))</f>
        <v>0</v>
      </c>
      <c r="T247" s="4">
        <f>IF(OR(INDEX($AH$2:$AH$1001,MATCH(ROWS($AG$2:AG247),$AG$2:$AG$1001,0),1)&gt;=100000,INDEX($AN$1005:$BO$1005,1,MATCH(COLUMNS($AN$1006:BF1006),$AN$1006:$BO$1006,0))&gt;=100000), " ",IF(INDEX($AN$2:$BO$1001,MATCH(ROWS($AG$2:AG247),$AG$2:$AG$1001,0),MATCH(COLUMNS($AN$1006:BF1006),$AN$1006:$BO$1006,0)), HYPERLINK("#",""), HYPERLINK(CONCATENATE("#Metadata!", ADDRESS(INDEX($AI$2:$AI$1001,MATCH(ROWS($AG$2:AG247),$AG$2:$AG$1001,0),0), INDEX($AN$1004:$BO$1004,1,MATCH(COLUMNS($AN$1006:BF1006),$AN$1006:$BO$1006,0)))),"Fix")))</f>
        <v>0</v>
      </c>
      <c r="U247" s="4">
        <f>IF(OR(INDEX($AH$2:$AH$1001,MATCH(ROWS($AG$2:AG247),$AG$2:$AG$1001,0),1)&gt;=100000,INDEX($AN$1005:$BO$1005,1,MATCH(COLUMNS($AN$1006:BG1006),$AN$1006:$BO$1006,0))&gt;=100000), " ",IF(INDEX($AN$2:$BO$1001,MATCH(ROWS($AG$2:AG247),$AG$2:$AG$1001,0),MATCH(COLUMNS($AN$1006:BG1006),$AN$1006:$BO$1006,0)), HYPERLINK("#",""), HYPERLINK(CONCATENATE("#Metadata!", ADDRESS(INDEX($AI$2:$AI$1001,MATCH(ROWS($AG$2:AG247),$AG$2:$AG$1001,0),0), INDEX($AN$1004:$BO$1004,1,MATCH(COLUMNS($AN$1006:BG1006),$AN$1006:$BO$1006,0)))),"Fix")))</f>
        <v>0</v>
      </c>
      <c r="V247" s="4">
        <f>IF(OR(INDEX($AH$2:$AH$1001,MATCH(ROWS($AG$2:AG247),$AG$2:$AG$1001,0),1)&gt;=100000,INDEX($AN$1005:$BO$1005,1,MATCH(COLUMNS($AN$1006:BH1006),$AN$1006:$BO$1006,0))&gt;=100000), " ",IF(INDEX($AN$2:$BO$1001,MATCH(ROWS($AG$2:AG247),$AG$2:$AG$1001,0),MATCH(COLUMNS($AN$1006:BH1006),$AN$1006:$BO$1006,0)), HYPERLINK("#",""), HYPERLINK(CONCATENATE("#Metadata!", ADDRESS(INDEX($AI$2:$AI$1001,MATCH(ROWS($AG$2:AG247),$AG$2:$AG$1001,0),0), INDEX($AN$1004:$BO$1004,1,MATCH(COLUMNS($AN$1006:BH1006),$AN$1006:$BO$1006,0)))),"Fix")))</f>
        <v>0</v>
      </c>
      <c r="W247" s="4">
        <f>IF(OR(INDEX($AH$2:$AH$1001,MATCH(ROWS($AG$2:AG247),$AG$2:$AG$1001,0),1)&gt;=100000,INDEX($AN$1005:$BO$1005,1,MATCH(COLUMNS($AN$1006:BI1006),$AN$1006:$BO$1006,0))&gt;=100000), " ",IF(INDEX($AN$2:$BO$1001,MATCH(ROWS($AG$2:AG247),$AG$2:$AG$1001,0),MATCH(COLUMNS($AN$1006:BI1006),$AN$1006:$BO$1006,0)), HYPERLINK("#",""), HYPERLINK(CONCATENATE("#Metadata!", ADDRESS(INDEX($AI$2:$AI$1001,MATCH(ROWS($AG$2:AG247),$AG$2:$AG$1001,0),0), INDEX($AN$1004:$BO$1004,1,MATCH(COLUMNS($AN$1006:BI1006),$AN$1006:$BO$1006,0)))),"Fix")))</f>
        <v>0</v>
      </c>
      <c r="X247" s="4">
        <f>IF(OR(INDEX($AH$2:$AH$1001,MATCH(ROWS($AG$2:AG247),$AG$2:$AG$1001,0),1)&gt;=100000,INDEX($AN$1005:$BO$1005,1,MATCH(COLUMNS($AN$1006:BJ1006),$AN$1006:$BO$1006,0))&gt;=100000), " ",IF(INDEX($AN$2:$BO$1001,MATCH(ROWS($AG$2:AG247),$AG$2:$AG$1001,0),MATCH(COLUMNS($AN$1006:BJ1006),$AN$1006:$BO$1006,0)), HYPERLINK("#",""), HYPERLINK(CONCATENATE("#Metadata!", ADDRESS(INDEX($AI$2:$AI$1001,MATCH(ROWS($AG$2:AG247),$AG$2:$AG$1001,0),0), INDEX($AN$1004:$BO$1004,1,MATCH(COLUMNS($AN$1006:BJ1006),$AN$1006:$BO$1006,0)))),"Fix")))</f>
        <v>0</v>
      </c>
      <c r="Y247" s="4">
        <f>IF(OR(INDEX($AH$2:$AH$1001,MATCH(ROWS($AG$2:AG247),$AG$2:$AG$1001,0),1)&gt;=100000,INDEX($AN$1005:$BO$1005,1,MATCH(COLUMNS($AN$1006:BK1006),$AN$1006:$BO$1006,0))&gt;=100000), " ",IF(INDEX($AN$2:$BO$1001,MATCH(ROWS($AG$2:AG247),$AG$2:$AG$1001,0),MATCH(COLUMNS($AN$1006:BK1006),$AN$1006:$BO$1006,0)), HYPERLINK("#",""), HYPERLINK(CONCATENATE("#Metadata!", ADDRESS(INDEX($AI$2:$AI$1001,MATCH(ROWS($AG$2:AG247),$AG$2:$AG$1001,0),0), INDEX($AN$1004:$BO$1004,1,MATCH(COLUMNS($AN$1006:BK1006),$AN$1006:$BO$1006,0)))),"Fix")))</f>
        <v>0</v>
      </c>
      <c r="Z247" s="4">
        <f>IF(OR(INDEX($AH$2:$AH$1001,MATCH(ROWS($AG$2:AG247),$AG$2:$AG$1001,0),1)&gt;=100000,INDEX($AN$1005:$BO$1005,1,MATCH(COLUMNS($AN$1006:BL1006),$AN$1006:$BO$1006,0))&gt;=100000), " ",IF(INDEX($AN$2:$BO$1001,MATCH(ROWS($AG$2:AG247),$AG$2:$AG$1001,0),MATCH(COLUMNS($AN$1006:BL1006),$AN$1006:$BO$1006,0)), HYPERLINK("#",""), HYPERLINK(CONCATENATE("#Metadata!", ADDRESS(INDEX($AI$2:$AI$1001,MATCH(ROWS($AG$2:AG247),$AG$2:$AG$1001,0),0), INDEX($AN$1004:$BO$1004,1,MATCH(COLUMNS($AN$1006:BL1006),$AN$1006:$BO$1006,0)))),"Fix")))</f>
        <v>0</v>
      </c>
      <c r="AA247" s="4">
        <f>IF(OR(INDEX($AH$2:$AH$1001,MATCH(ROWS($AG$2:AG247),$AG$2:$AG$1001,0),1)&gt;=100000,INDEX($AN$1005:$BO$1005,1,MATCH(COLUMNS($AN$1006:BM1006),$AN$1006:$BO$1006,0))&gt;=100000), " ",IF(INDEX($AN$2:$BO$1001,MATCH(ROWS($AG$2:AG247),$AG$2:$AG$1001,0),MATCH(COLUMNS($AN$1006:BM1006),$AN$1006:$BO$1006,0)), HYPERLINK("#",""), HYPERLINK(CONCATENATE("#Metadata!", ADDRESS(INDEX($AI$2:$AI$1001,MATCH(ROWS($AG$2:AG247),$AG$2:$AG$1001,0),0), INDEX($AN$1004:$BO$1004,1,MATCH(COLUMNS($AN$1006:BM1006),$AN$1006:$BO$1006,0)))),"Fix")))</f>
        <v>0</v>
      </c>
      <c r="AB247" s="4">
        <f>IF(OR(INDEX($AH$2:$AH$1001,MATCH(ROWS($AG$2:AG247),$AG$2:$AG$1001,0),1)&gt;=100000,INDEX($AN$1005:$BO$1005,1,MATCH(COLUMNS($AN$1006:BN1006),$AN$1006:$BO$1006,0))&gt;=100000), " ",IF(INDEX($AN$2:$BO$1001,MATCH(ROWS($AG$2:AG247),$AG$2:$AG$1001,0),MATCH(COLUMNS($AN$1006:BN1006),$AN$1006:$BO$1006,0)), HYPERLINK("#",""), HYPERLINK(CONCATENATE("#Metadata!", ADDRESS(INDEX($AI$2:$AI$1001,MATCH(ROWS($AG$2:AG247),$AG$2:$AG$1001,0),0), INDEX($AN$1004:$BO$1004,1,MATCH(COLUMNS($AN$1006:BN1006),$AN$1006:$BO$1006,0)))),"Fix")))</f>
        <v>0</v>
      </c>
      <c r="AC247" s="4">
        <f>IF(OR(INDEX($AH$2:$AH$1001,MATCH(ROWS($AG$2:AG247),$AG$2:$AG$1001,0),1)&gt;=100000,INDEX($AN$1005:$BO$1005,1,MATCH(COLUMNS($AN$1006:BO1006),$AN$1006:$BO$1006,0))&gt;=100000), " ",IF(INDEX($AN$2:$BO$1001,MATCH(ROWS($AG$2:AG247),$AG$2:$AG$1001,0),MATCH(COLUMNS($AN$1006:BO1006),$AN$1006:$BO$1006,0)), HYPERLINK("#",""), HYPERLINK(CONCATENATE("#Metadata!", ADDRESS(INDEX($AI$2:$AI$1001,MATCH(ROWS($AG$2:AG247),$AG$2:$AG$1001,0),0), INDEX($AN$1004:$BO$1004,1,MATCH(COLUMNS($AN$1006:BO1006),$AN$1006:$BO$1006,0)))),"Fix")))</f>
        <v>0</v>
      </c>
      <c r="AG247">
        <v>0</v>
      </c>
      <c r="AH247">
        <v>0</v>
      </c>
      <c r="AI247">
        <v>0</v>
      </c>
      <c r="AJ247">
        <f>IF(AK247,TRUE,AND(AN247:BO247))</f>
        <v>0</v>
      </c>
      <c r="AK247">
        <f>COUNTBLANK(Metadata!B247:AC247)=COLUMNS(Metadata!B247:AC247)</f>
        <v>0</v>
      </c>
      <c r="AL247">
        <v>0</v>
      </c>
      <c r="AN247">
        <f>AND(IF(Metadata!B247="",FALSE,TRUE),COUNTIF(Metadata!B:B, Metadata!B247) = 1,NOT(ISERROR(SUMPRODUCT(SEARCH(MID(Metadata!B247,ROW(INDIRECT("1:"&amp;LEN(Metadata!B247))), 1),"0123456789abcdefghijklmnopqrstuvwxyzABCDEFGHIJKLMNOPQRSTUVWXYZ.")))))</f>
        <v>0</v>
      </c>
      <c r="AO247">
        <f>IF(Metadata!C247="",FALSE,TRUE)</f>
        <v>0</v>
      </c>
      <c r="AP247">
        <f>IF(Metadata!D247="",FALSE,TRUE)</f>
        <v>0</v>
      </c>
      <c r="AQ247">
        <f>OR(AND(IF(Metadata!E247="",FALSE,TRUE),OR(exact(Metadata!E247,"not collected"),exact(Metadata!E247,"not provided"),exact(Metadata!E247,"restricted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R247">
        <f>IF(Metadata!F247="",FALSE,TRUE)</f>
        <v>0</v>
      </c>
      <c r="AS247">
        <f>OR(AND(IF(Metadata!G247="",FALSE,TRUE),OR(exact(Metadata!G247,"not collected"),exact(Metadata!G247,"not provided"))),AND(IF(Metadata!G247="",FALSE,TRUE),OR(exact(Metadata!G247,"TRUE"),exact(Metadata!G247,"FALSE"))))</f>
        <v>0</v>
      </c>
      <c r="AT247">
        <f>OR(AND(IF(Metadata!H247="",FALSE,TRUE),OR(exact(Metadata!H247,"not collected"),exact(Metadata!H247,"not provided"),exact(Metadata!H247,"restricted access"))),AND(IF(Metadata!H247="",FALSE,ISNUMBER(VALUE(Metadata!H247))),Metadata!H247&gt;=-413.0))</f>
        <v>0</v>
      </c>
      <c r="AU247">
        <f>AND(IF(Metadata!I247="",FALSE,TRUE),exact(Metadata!I247,"meters"))</f>
        <v>0</v>
      </c>
      <c r="AV247">
        <f>AND(IF(Metadata!J247="",FALSE,TRUE),OR(exact(Metadata!J247,"Host-associated"),exact(Metadata!J247,"Free-living")))</f>
        <v>0</v>
      </c>
      <c r="AW247">
        <f>AND(IF(Metadata!K247="",FALSE,TRUE),OR(exact(Metadata!K247,"Animal"),exact(Metadata!K247,"Fungus"),exact(Metadata!K247,"Plant"),exact(Metadata!K247,"Saline"),exact(Metadata!K247,"Non-saline")))</f>
        <v>0</v>
      </c>
      <c r="AX247">
        <f>AND(IF(Metadata!L247="",FALSE,TRUE),OR(exact(Metadata!L247,"Plant secretion"),exact(Metadata!L247,"Plant rhizosphere"),exact(Metadata!L247,"Plant surface"),exact(Metadata!L247,"Plant corpus"),exact(Metadata!L247,"Fungus surface"),exact(Metadata!L247,"Fungus corpus"),exact(Metadata!L247,"Animal surface"),exact(Metadata!L247,"Animal proximal gut"),exact(Metadata!L247,"Animal corpus"),exact(Metadata!L247,"Animal distal gut"),exact(Metadata!L247,"Animal secretion"),exact(Metadata!L247,"Sub-surface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Y247">
        <f>IF(Metadata!M247="",FALSE,TRUE)</f>
        <v>0</v>
      </c>
      <c r="AZ247">
        <f>IF(Metadata!N247="",FALSE,TRUE)</f>
        <v>0</v>
      </c>
      <c r="BA247">
        <f>IF(Metadata!O247="",FALSE,TRUE)</f>
        <v>0</v>
      </c>
      <c r="BB247">
        <f>OR(AND(IF(Metadata!P247="",FALSE,TRUE),OR(exact(Metadata!P247,"not collected"),exact(Metadata!P247,"not provided"),exact(Metadata!P247,"restricted access"))),AND(IF(Metadata!P247="",FALSE,TRUE),OR(exact(Metadata!P247,"air"),exact(Metadata!P247,"built environment"),exact(Metadata!P247,"host-associated"),exact(Metadata!P247,"human-associated"),exact(Metadata!P247,"human-skin"),exact(Metadata!P247,"human-oral"),exact(Metadata!P247,"human-gut"),exact(Metadata!P247,"human-vaginal"),exact(Metadata!P247,"microbial mat/biofilm"),exact(Metadata!P247,"misc environment"),exact(Metadata!P247,"plant-associated"),exact(Metadata!P247,"sediment"),exact(Metadata!P247,"soil"),exact(Metadata!P247,"wastewater/sludge"),exact(Metadata!P247,"water"))))</f>
        <v>0</v>
      </c>
      <c r="BC247">
        <f>IF(Metadata!Q247="",FALSE,TRUE)</f>
        <v>0</v>
      </c>
      <c r="BD247">
        <f>IF(Metadata!R247="",FALSE,TRUE)</f>
        <v>0</v>
      </c>
      <c r="BE247">
        <f>OR(AND(IF(Metadata!S247="",FALSE,TRUE),OR(exact(Metadata!S247,"not collected"),exact(Metadata!S247,"not provided"),exact(Metadata!S247,"restricted access"))),AND(IF(Metadata!S247="",FALSE,ISNUMBER(VALUE(Metadata!S247))),Metadata!S247&gt;=-90.00,Metadata!S247&lt;=90.00))</f>
        <v>0</v>
      </c>
      <c r="BF247">
        <f>AND(IF(Metadata!T247="",FALSE,TRUE),exact(Metadata!T247,"Decimal degrees"))</f>
        <v>0</v>
      </c>
      <c r="BG247">
        <f>OR(AND(IF(Metadata!U247="",FALSE,TRUE),OR(exact(Metadata!U247,"not collected"),exact(Metadata!U247,"not provided"),exact(Metadata!U247,"restricted access"))),AND(IF(Metadata!U247="",FALSE,ISNUMBER(VALUE(Metadata!U247))),Metadata!U247&gt;=-180.00,Metadata!U247&lt;=180.00))</f>
        <v>0</v>
      </c>
      <c r="BH247">
        <f>AND(IF(Metadata!V247="",FALSE,TRUE),exact(Metadata!V247,"Decimal degrees"))</f>
        <v>0</v>
      </c>
      <c r="BI247">
        <f>IF(Metadata!W247="",FALSE,TRUE)</f>
        <v>0</v>
      </c>
      <c r="BJ247">
        <f>OR(AND(IF(Metadata!X247="",FALSE,TRUE),OR(exact(Metadata!X247,"not collected"),exact(Metadata!X247,"not provided"),exact(Metadata!X247,"restricted access"))),AND(IF(Metadata!X247="",FALSE,TRUE),OR(exact(Metadata!X247,"TRUE"),exact(Metadata!X247,"FALSE"))))</f>
        <v>0</v>
      </c>
      <c r="BK247">
        <f>AND(IF(Metadata!Y247="",FALSE,TRUE),exact(Metadata!Y247,"other"))</f>
        <v>0</v>
      </c>
      <c r="BL247">
        <f>IF(Metadata!Z247="",FALSE,TRUE)</f>
        <v>0</v>
      </c>
      <c r="BM247">
        <f>OR(AND(IF(Metadata!AA247="",FALSE,TRUE),OR(exact(Metadata!AA247,"not collected"),exact(Metadata!AA247,"not provided"))),AND(IF(Metadata!AA247="",FALSE,IF(ISERROR(INT(Metadata!AA247)),FALSE,INT(Metadata!AA247)=Metadata!AA247)),Metadata!AA247&gt;0))</f>
        <v>0</v>
      </c>
      <c r="BN247">
        <f>AND(IF(Metadata!AB247="",FALSE,TRUE),exact(Metadata!AB247,"Not applicable"))</f>
        <v>0</v>
      </c>
      <c r="BO247">
        <f>IF(Metadata!AC247="",FALSE,TRUE)</f>
        <v>0</v>
      </c>
    </row>
    <row r="248" spans="1:67">
      <c r="A248" s="5">
        <f>IF(B248=" "," ",HYPERLINK(CONCATENATE("#metadata!",ADDRESS(INDEX($AI$2:$AI$1001,MATCH(ROWS($AG$2:AG248),$AG$2:$AG$1001,0),0),1)),INDEX($AL$2:$AL$1001,MATCH(ROWS($AG$2:AG248),$AG$2:$AG$1001,0),0)))</f>
        <v>0</v>
      </c>
      <c r="B248" s="4">
        <f>IF(OR(INDEX($AH$2:$AH$1001,MATCH(ROWS($AG$2:AG248),$AG$2:$AG$1001,0),1)&gt;=100000,INDEX($AN$1005:$BO$1005,1,MATCH(COLUMNS($AN$1006:AN1006),$AN$1006:$BO$1006,0))&gt;=100000), " ",IF(INDEX($AN$2:$BO$1001,MATCH(ROWS($AG$2:AG248),$AG$2:$AG$1001,0),MATCH(COLUMNS($AN$1006:AN1006),$AN$1006:$BO$1006,0)), HYPERLINK("#",""), HYPERLINK(CONCATENATE("#Metadata!", ADDRESS(INDEX($AI$2:$AI$1001,MATCH(ROWS($AG$2:AG248),$AG$2:$AG$1001,0),0), INDEX($AN$1004:$BO$1004,1,MATCH(COLUMNS($AN$1006:AN1006),$AN$1006:$BO$1006,0)))),"Fix")))</f>
        <v>0</v>
      </c>
      <c r="C248" s="4">
        <f>IF(OR(INDEX($AH$2:$AH$1001,MATCH(ROWS($AG$2:AG248),$AG$2:$AG$1001,0),1)&gt;=100000,INDEX($AN$1005:$BO$1005,1,MATCH(COLUMNS($AN$1006:AO1006),$AN$1006:$BO$1006,0))&gt;=100000), " ",IF(INDEX($AN$2:$BO$1001,MATCH(ROWS($AG$2:AG248),$AG$2:$AG$1001,0),MATCH(COLUMNS($AN$1006:AO1006),$AN$1006:$BO$1006,0)), HYPERLINK("#",""), HYPERLINK(CONCATENATE("#Metadata!", ADDRESS(INDEX($AI$2:$AI$1001,MATCH(ROWS($AG$2:AG248),$AG$2:$AG$1001,0),0), INDEX($AN$1004:$BO$1004,1,MATCH(COLUMNS($AN$1006:AO1006),$AN$1006:$BO$1006,0)))),"Fix")))</f>
        <v>0</v>
      </c>
      <c r="D248" s="4">
        <f>IF(OR(INDEX($AH$2:$AH$1001,MATCH(ROWS($AG$2:AG248),$AG$2:$AG$1001,0),1)&gt;=100000,INDEX($AN$1005:$BO$1005,1,MATCH(COLUMNS($AN$1006:AP1006),$AN$1006:$BO$1006,0))&gt;=100000), " ",IF(INDEX($AN$2:$BO$1001,MATCH(ROWS($AG$2:AG248),$AG$2:$AG$1001,0),MATCH(COLUMNS($AN$1006:AP1006),$AN$1006:$BO$1006,0)), HYPERLINK("#",""), HYPERLINK(CONCATENATE("#Metadata!", ADDRESS(INDEX($AI$2:$AI$1001,MATCH(ROWS($AG$2:AG248),$AG$2:$AG$1001,0),0), INDEX($AN$1004:$BO$1004,1,MATCH(COLUMNS($AN$1006:AP1006),$AN$1006:$BO$1006,0)))),"Fix")))</f>
        <v>0</v>
      </c>
      <c r="E248" s="4">
        <f>IF(OR(INDEX($AH$2:$AH$1001,MATCH(ROWS($AG$2:AG248),$AG$2:$AG$1001,0),1)&gt;=100000,INDEX($AN$1005:$BO$1005,1,MATCH(COLUMNS($AN$1006:AQ1006),$AN$1006:$BO$1006,0))&gt;=100000), " ",IF(INDEX($AN$2:$BO$1001,MATCH(ROWS($AG$2:AG248),$AG$2:$AG$1001,0),MATCH(COLUMNS($AN$1006:AQ1006),$AN$1006:$BO$1006,0)), HYPERLINK("#",""), HYPERLINK(CONCATENATE("#Metadata!", ADDRESS(INDEX($AI$2:$AI$1001,MATCH(ROWS($AG$2:AG248),$AG$2:$AG$1001,0),0), INDEX($AN$1004:$BO$1004,1,MATCH(COLUMNS($AN$1006:AQ1006),$AN$1006:$BO$1006,0)))),"Fix")))</f>
        <v>0</v>
      </c>
      <c r="F248" s="4">
        <f>IF(OR(INDEX($AH$2:$AH$1001,MATCH(ROWS($AG$2:AG248),$AG$2:$AG$1001,0),1)&gt;=100000,INDEX($AN$1005:$BO$1005,1,MATCH(COLUMNS($AN$1006:AR1006),$AN$1006:$BO$1006,0))&gt;=100000), " ",IF(INDEX($AN$2:$BO$1001,MATCH(ROWS($AG$2:AG248),$AG$2:$AG$1001,0),MATCH(COLUMNS($AN$1006:AR1006),$AN$1006:$BO$1006,0)), HYPERLINK("#",""), HYPERLINK(CONCATENATE("#Metadata!", ADDRESS(INDEX($AI$2:$AI$1001,MATCH(ROWS($AG$2:AG248),$AG$2:$AG$1001,0),0), INDEX($AN$1004:$BO$1004,1,MATCH(COLUMNS($AN$1006:AR1006),$AN$1006:$BO$1006,0)))),"Fix")))</f>
        <v>0</v>
      </c>
      <c r="G248" s="4">
        <f>IF(OR(INDEX($AH$2:$AH$1001,MATCH(ROWS($AG$2:AG248),$AG$2:$AG$1001,0),1)&gt;=100000,INDEX($AN$1005:$BO$1005,1,MATCH(COLUMNS($AN$1006:AS1006),$AN$1006:$BO$1006,0))&gt;=100000), " ",IF(INDEX($AN$2:$BO$1001,MATCH(ROWS($AG$2:AG248),$AG$2:$AG$1001,0),MATCH(COLUMNS($AN$1006:AS1006),$AN$1006:$BO$1006,0)), HYPERLINK("#",""), HYPERLINK(CONCATENATE("#Metadata!", ADDRESS(INDEX($AI$2:$AI$1001,MATCH(ROWS($AG$2:AG248),$AG$2:$AG$1001,0),0), INDEX($AN$1004:$BO$1004,1,MATCH(COLUMNS($AN$1006:AS1006),$AN$1006:$BO$1006,0)))),"Fix")))</f>
        <v>0</v>
      </c>
      <c r="H248" s="4">
        <f>IF(OR(INDEX($AH$2:$AH$1001,MATCH(ROWS($AG$2:AG248),$AG$2:$AG$1001,0),1)&gt;=100000,INDEX($AN$1005:$BO$1005,1,MATCH(COLUMNS($AN$1006:AT1006),$AN$1006:$BO$1006,0))&gt;=100000), " ",IF(INDEX($AN$2:$BO$1001,MATCH(ROWS($AG$2:AG248),$AG$2:$AG$1001,0),MATCH(COLUMNS($AN$1006:AT1006),$AN$1006:$BO$1006,0)), HYPERLINK("#",""), HYPERLINK(CONCATENATE("#Metadata!", ADDRESS(INDEX($AI$2:$AI$1001,MATCH(ROWS($AG$2:AG248),$AG$2:$AG$1001,0),0), INDEX($AN$1004:$BO$1004,1,MATCH(COLUMNS($AN$1006:AT1006),$AN$1006:$BO$1006,0)))),"Fix")))</f>
        <v>0</v>
      </c>
      <c r="I248" s="4">
        <f>IF(OR(INDEX($AH$2:$AH$1001,MATCH(ROWS($AG$2:AG248),$AG$2:$AG$1001,0),1)&gt;=100000,INDEX($AN$1005:$BO$1005,1,MATCH(COLUMNS($AN$1006:AU1006),$AN$1006:$BO$1006,0))&gt;=100000), " ",IF(INDEX($AN$2:$BO$1001,MATCH(ROWS($AG$2:AG248),$AG$2:$AG$1001,0),MATCH(COLUMNS($AN$1006:AU1006),$AN$1006:$BO$1006,0)), HYPERLINK("#",""), HYPERLINK(CONCATENATE("#Metadata!", ADDRESS(INDEX($AI$2:$AI$1001,MATCH(ROWS($AG$2:AG248),$AG$2:$AG$1001,0),0), INDEX($AN$1004:$BO$1004,1,MATCH(COLUMNS($AN$1006:AU1006),$AN$1006:$BO$1006,0)))),"Fix")))</f>
        <v>0</v>
      </c>
      <c r="J248" s="4">
        <f>IF(OR(INDEX($AH$2:$AH$1001,MATCH(ROWS($AG$2:AG248),$AG$2:$AG$1001,0),1)&gt;=100000,INDEX($AN$1005:$BO$1005,1,MATCH(COLUMNS($AN$1006:AV1006),$AN$1006:$BO$1006,0))&gt;=100000), " ",IF(INDEX($AN$2:$BO$1001,MATCH(ROWS($AG$2:AG248),$AG$2:$AG$1001,0),MATCH(COLUMNS($AN$1006:AV1006),$AN$1006:$BO$1006,0)), HYPERLINK("#",""), HYPERLINK(CONCATENATE("#Metadata!", ADDRESS(INDEX($AI$2:$AI$1001,MATCH(ROWS($AG$2:AG248),$AG$2:$AG$1001,0),0), INDEX($AN$1004:$BO$1004,1,MATCH(COLUMNS($AN$1006:AV1006),$AN$1006:$BO$1006,0)))),"Fix")))</f>
        <v>0</v>
      </c>
      <c r="K248" s="4">
        <f>IF(OR(INDEX($AH$2:$AH$1001,MATCH(ROWS($AG$2:AG248),$AG$2:$AG$1001,0),1)&gt;=100000,INDEX($AN$1005:$BO$1005,1,MATCH(COLUMNS($AN$1006:AW1006),$AN$1006:$BO$1006,0))&gt;=100000), " ",IF(INDEX($AN$2:$BO$1001,MATCH(ROWS($AG$2:AG248),$AG$2:$AG$1001,0),MATCH(COLUMNS($AN$1006:AW1006),$AN$1006:$BO$1006,0)), HYPERLINK("#",""), HYPERLINK(CONCATENATE("#Metadata!", ADDRESS(INDEX($AI$2:$AI$1001,MATCH(ROWS($AG$2:AG248),$AG$2:$AG$1001,0),0), INDEX($AN$1004:$BO$1004,1,MATCH(COLUMNS($AN$1006:AW1006),$AN$1006:$BO$1006,0)))),"Fix")))</f>
        <v>0</v>
      </c>
      <c r="L248" s="4">
        <f>IF(OR(INDEX($AH$2:$AH$1001,MATCH(ROWS($AG$2:AG248),$AG$2:$AG$1001,0),1)&gt;=100000,INDEX($AN$1005:$BO$1005,1,MATCH(COLUMNS($AN$1006:AX1006),$AN$1006:$BO$1006,0))&gt;=100000), " ",IF(INDEX($AN$2:$BO$1001,MATCH(ROWS($AG$2:AG248),$AG$2:$AG$1001,0),MATCH(COLUMNS($AN$1006:AX1006),$AN$1006:$BO$1006,0)), HYPERLINK("#",""), HYPERLINK(CONCATENATE("#Metadata!", ADDRESS(INDEX($AI$2:$AI$1001,MATCH(ROWS($AG$2:AG248),$AG$2:$AG$1001,0),0), INDEX($AN$1004:$BO$1004,1,MATCH(COLUMNS($AN$1006:AX1006),$AN$1006:$BO$1006,0)))),"Fix")))</f>
        <v>0</v>
      </c>
      <c r="M248" s="4">
        <f>IF(OR(INDEX($AH$2:$AH$1001,MATCH(ROWS($AG$2:AG248),$AG$2:$AG$1001,0),1)&gt;=100000,INDEX($AN$1005:$BO$1005,1,MATCH(COLUMNS($AN$1006:AY1006),$AN$1006:$BO$1006,0))&gt;=100000), " ",IF(INDEX($AN$2:$BO$1001,MATCH(ROWS($AG$2:AG248),$AG$2:$AG$1001,0),MATCH(COLUMNS($AN$1006:AY1006),$AN$1006:$BO$1006,0)), HYPERLINK("#",""), HYPERLINK(CONCATENATE("#Metadata!", ADDRESS(INDEX($AI$2:$AI$1001,MATCH(ROWS($AG$2:AG248),$AG$2:$AG$1001,0),0), INDEX($AN$1004:$BO$1004,1,MATCH(COLUMNS($AN$1006:AY1006),$AN$1006:$BO$1006,0)))),"Fix")))</f>
        <v>0</v>
      </c>
      <c r="N248" s="4">
        <f>IF(OR(INDEX($AH$2:$AH$1001,MATCH(ROWS($AG$2:AG248),$AG$2:$AG$1001,0),1)&gt;=100000,INDEX($AN$1005:$BO$1005,1,MATCH(COLUMNS($AN$1006:AZ1006),$AN$1006:$BO$1006,0))&gt;=100000), " ",IF(INDEX($AN$2:$BO$1001,MATCH(ROWS($AG$2:AG248),$AG$2:$AG$1001,0),MATCH(COLUMNS($AN$1006:AZ1006),$AN$1006:$BO$1006,0)), HYPERLINK("#",""), HYPERLINK(CONCATENATE("#Metadata!", ADDRESS(INDEX($AI$2:$AI$1001,MATCH(ROWS($AG$2:AG248),$AG$2:$AG$1001,0),0), INDEX($AN$1004:$BO$1004,1,MATCH(COLUMNS($AN$1006:AZ1006),$AN$1006:$BO$1006,0)))),"Fix")))</f>
        <v>0</v>
      </c>
      <c r="O248" s="4">
        <f>IF(OR(INDEX($AH$2:$AH$1001,MATCH(ROWS($AG$2:AG248),$AG$2:$AG$1001,0),1)&gt;=100000,INDEX($AN$1005:$BO$1005,1,MATCH(COLUMNS($AN$1006:BA1006),$AN$1006:$BO$1006,0))&gt;=100000), " ",IF(INDEX($AN$2:$BO$1001,MATCH(ROWS($AG$2:AG248),$AG$2:$AG$1001,0),MATCH(COLUMNS($AN$1006:BA1006),$AN$1006:$BO$1006,0)), HYPERLINK("#",""), HYPERLINK(CONCATENATE("#Metadata!", ADDRESS(INDEX($AI$2:$AI$1001,MATCH(ROWS($AG$2:AG248),$AG$2:$AG$1001,0),0), INDEX($AN$1004:$BO$1004,1,MATCH(COLUMNS($AN$1006:BA1006),$AN$1006:$BO$1006,0)))),"Fix")))</f>
        <v>0</v>
      </c>
      <c r="P248" s="4">
        <f>IF(OR(INDEX($AH$2:$AH$1001,MATCH(ROWS($AG$2:AG248),$AG$2:$AG$1001,0),1)&gt;=100000,INDEX($AN$1005:$BO$1005,1,MATCH(COLUMNS($AN$1006:BB1006),$AN$1006:$BO$1006,0))&gt;=100000), " ",IF(INDEX($AN$2:$BO$1001,MATCH(ROWS($AG$2:AG248),$AG$2:$AG$1001,0),MATCH(COLUMNS($AN$1006:BB1006),$AN$1006:$BO$1006,0)), HYPERLINK("#",""), HYPERLINK(CONCATENATE("#Metadata!", ADDRESS(INDEX($AI$2:$AI$1001,MATCH(ROWS($AG$2:AG248),$AG$2:$AG$1001,0),0), INDEX($AN$1004:$BO$1004,1,MATCH(COLUMNS($AN$1006:BB1006),$AN$1006:$BO$1006,0)))),"Fix")))</f>
        <v>0</v>
      </c>
      <c r="Q248" s="4">
        <f>IF(OR(INDEX($AH$2:$AH$1001,MATCH(ROWS($AG$2:AG248),$AG$2:$AG$1001,0),1)&gt;=100000,INDEX($AN$1005:$BO$1005,1,MATCH(COLUMNS($AN$1006:BC1006),$AN$1006:$BO$1006,0))&gt;=100000), " ",IF(INDEX($AN$2:$BO$1001,MATCH(ROWS($AG$2:AG248),$AG$2:$AG$1001,0),MATCH(COLUMNS($AN$1006:BC1006),$AN$1006:$BO$1006,0)), HYPERLINK("#",""), HYPERLINK(CONCATENATE("#Metadata!", ADDRESS(INDEX($AI$2:$AI$1001,MATCH(ROWS($AG$2:AG248),$AG$2:$AG$1001,0),0), INDEX($AN$1004:$BO$1004,1,MATCH(COLUMNS($AN$1006:BC1006),$AN$1006:$BO$1006,0)))),"Fix")))</f>
        <v>0</v>
      </c>
      <c r="R248" s="4">
        <f>IF(OR(INDEX($AH$2:$AH$1001,MATCH(ROWS($AG$2:AG248),$AG$2:$AG$1001,0),1)&gt;=100000,INDEX($AN$1005:$BO$1005,1,MATCH(COLUMNS($AN$1006:BD1006),$AN$1006:$BO$1006,0))&gt;=100000), " ",IF(INDEX($AN$2:$BO$1001,MATCH(ROWS($AG$2:AG248),$AG$2:$AG$1001,0),MATCH(COLUMNS($AN$1006:BD1006),$AN$1006:$BO$1006,0)), HYPERLINK("#",""), HYPERLINK(CONCATENATE("#Metadata!", ADDRESS(INDEX($AI$2:$AI$1001,MATCH(ROWS($AG$2:AG248),$AG$2:$AG$1001,0),0), INDEX($AN$1004:$BO$1004,1,MATCH(COLUMNS($AN$1006:BD1006),$AN$1006:$BO$1006,0)))),"Fix")))</f>
        <v>0</v>
      </c>
      <c r="S248" s="4">
        <f>IF(OR(INDEX($AH$2:$AH$1001,MATCH(ROWS($AG$2:AG248),$AG$2:$AG$1001,0),1)&gt;=100000,INDEX($AN$1005:$BO$1005,1,MATCH(COLUMNS($AN$1006:BE1006),$AN$1006:$BO$1006,0))&gt;=100000), " ",IF(INDEX($AN$2:$BO$1001,MATCH(ROWS($AG$2:AG248),$AG$2:$AG$1001,0),MATCH(COLUMNS($AN$1006:BE1006),$AN$1006:$BO$1006,0)), HYPERLINK("#",""), HYPERLINK(CONCATENATE("#Metadata!", ADDRESS(INDEX($AI$2:$AI$1001,MATCH(ROWS($AG$2:AG248),$AG$2:$AG$1001,0),0), INDEX($AN$1004:$BO$1004,1,MATCH(COLUMNS($AN$1006:BE1006),$AN$1006:$BO$1006,0)))),"Fix")))</f>
        <v>0</v>
      </c>
      <c r="T248" s="4">
        <f>IF(OR(INDEX($AH$2:$AH$1001,MATCH(ROWS($AG$2:AG248),$AG$2:$AG$1001,0),1)&gt;=100000,INDEX($AN$1005:$BO$1005,1,MATCH(COLUMNS($AN$1006:BF1006),$AN$1006:$BO$1006,0))&gt;=100000), " ",IF(INDEX($AN$2:$BO$1001,MATCH(ROWS($AG$2:AG248),$AG$2:$AG$1001,0),MATCH(COLUMNS($AN$1006:BF1006),$AN$1006:$BO$1006,0)), HYPERLINK("#",""), HYPERLINK(CONCATENATE("#Metadata!", ADDRESS(INDEX($AI$2:$AI$1001,MATCH(ROWS($AG$2:AG248),$AG$2:$AG$1001,0),0), INDEX($AN$1004:$BO$1004,1,MATCH(COLUMNS($AN$1006:BF1006),$AN$1006:$BO$1006,0)))),"Fix")))</f>
        <v>0</v>
      </c>
      <c r="U248" s="4">
        <f>IF(OR(INDEX($AH$2:$AH$1001,MATCH(ROWS($AG$2:AG248),$AG$2:$AG$1001,0),1)&gt;=100000,INDEX($AN$1005:$BO$1005,1,MATCH(COLUMNS($AN$1006:BG1006),$AN$1006:$BO$1006,0))&gt;=100000), " ",IF(INDEX($AN$2:$BO$1001,MATCH(ROWS($AG$2:AG248),$AG$2:$AG$1001,0),MATCH(COLUMNS($AN$1006:BG1006),$AN$1006:$BO$1006,0)), HYPERLINK("#",""), HYPERLINK(CONCATENATE("#Metadata!", ADDRESS(INDEX($AI$2:$AI$1001,MATCH(ROWS($AG$2:AG248),$AG$2:$AG$1001,0),0), INDEX($AN$1004:$BO$1004,1,MATCH(COLUMNS($AN$1006:BG1006),$AN$1006:$BO$1006,0)))),"Fix")))</f>
        <v>0</v>
      </c>
      <c r="V248" s="4">
        <f>IF(OR(INDEX($AH$2:$AH$1001,MATCH(ROWS($AG$2:AG248),$AG$2:$AG$1001,0),1)&gt;=100000,INDEX($AN$1005:$BO$1005,1,MATCH(COLUMNS($AN$1006:BH1006),$AN$1006:$BO$1006,0))&gt;=100000), " ",IF(INDEX($AN$2:$BO$1001,MATCH(ROWS($AG$2:AG248),$AG$2:$AG$1001,0),MATCH(COLUMNS($AN$1006:BH1006),$AN$1006:$BO$1006,0)), HYPERLINK("#",""), HYPERLINK(CONCATENATE("#Metadata!", ADDRESS(INDEX($AI$2:$AI$1001,MATCH(ROWS($AG$2:AG248),$AG$2:$AG$1001,0),0), INDEX($AN$1004:$BO$1004,1,MATCH(COLUMNS($AN$1006:BH1006),$AN$1006:$BO$1006,0)))),"Fix")))</f>
        <v>0</v>
      </c>
      <c r="W248" s="4">
        <f>IF(OR(INDEX($AH$2:$AH$1001,MATCH(ROWS($AG$2:AG248),$AG$2:$AG$1001,0),1)&gt;=100000,INDEX($AN$1005:$BO$1005,1,MATCH(COLUMNS($AN$1006:BI1006),$AN$1006:$BO$1006,0))&gt;=100000), " ",IF(INDEX($AN$2:$BO$1001,MATCH(ROWS($AG$2:AG248),$AG$2:$AG$1001,0),MATCH(COLUMNS($AN$1006:BI1006),$AN$1006:$BO$1006,0)), HYPERLINK("#",""), HYPERLINK(CONCATENATE("#Metadata!", ADDRESS(INDEX($AI$2:$AI$1001,MATCH(ROWS($AG$2:AG248),$AG$2:$AG$1001,0),0), INDEX($AN$1004:$BO$1004,1,MATCH(COLUMNS($AN$1006:BI1006),$AN$1006:$BO$1006,0)))),"Fix")))</f>
        <v>0</v>
      </c>
      <c r="X248" s="4">
        <f>IF(OR(INDEX($AH$2:$AH$1001,MATCH(ROWS($AG$2:AG248),$AG$2:$AG$1001,0),1)&gt;=100000,INDEX($AN$1005:$BO$1005,1,MATCH(COLUMNS($AN$1006:BJ1006),$AN$1006:$BO$1006,0))&gt;=100000), " ",IF(INDEX($AN$2:$BO$1001,MATCH(ROWS($AG$2:AG248),$AG$2:$AG$1001,0),MATCH(COLUMNS($AN$1006:BJ1006),$AN$1006:$BO$1006,0)), HYPERLINK("#",""), HYPERLINK(CONCATENATE("#Metadata!", ADDRESS(INDEX($AI$2:$AI$1001,MATCH(ROWS($AG$2:AG248),$AG$2:$AG$1001,0),0), INDEX($AN$1004:$BO$1004,1,MATCH(COLUMNS($AN$1006:BJ1006),$AN$1006:$BO$1006,0)))),"Fix")))</f>
        <v>0</v>
      </c>
      <c r="Y248" s="4">
        <f>IF(OR(INDEX($AH$2:$AH$1001,MATCH(ROWS($AG$2:AG248),$AG$2:$AG$1001,0),1)&gt;=100000,INDEX($AN$1005:$BO$1005,1,MATCH(COLUMNS($AN$1006:BK1006),$AN$1006:$BO$1006,0))&gt;=100000), " ",IF(INDEX($AN$2:$BO$1001,MATCH(ROWS($AG$2:AG248),$AG$2:$AG$1001,0),MATCH(COLUMNS($AN$1006:BK1006),$AN$1006:$BO$1006,0)), HYPERLINK("#",""), HYPERLINK(CONCATENATE("#Metadata!", ADDRESS(INDEX($AI$2:$AI$1001,MATCH(ROWS($AG$2:AG248),$AG$2:$AG$1001,0),0), INDEX($AN$1004:$BO$1004,1,MATCH(COLUMNS($AN$1006:BK1006),$AN$1006:$BO$1006,0)))),"Fix")))</f>
        <v>0</v>
      </c>
      <c r="Z248" s="4">
        <f>IF(OR(INDEX($AH$2:$AH$1001,MATCH(ROWS($AG$2:AG248),$AG$2:$AG$1001,0),1)&gt;=100000,INDEX($AN$1005:$BO$1005,1,MATCH(COLUMNS($AN$1006:BL1006),$AN$1006:$BO$1006,0))&gt;=100000), " ",IF(INDEX($AN$2:$BO$1001,MATCH(ROWS($AG$2:AG248),$AG$2:$AG$1001,0),MATCH(COLUMNS($AN$1006:BL1006),$AN$1006:$BO$1006,0)), HYPERLINK("#",""), HYPERLINK(CONCATENATE("#Metadata!", ADDRESS(INDEX($AI$2:$AI$1001,MATCH(ROWS($AG$2:AG248),$AG$2:$AG$1001,0),0), INDEX($AN$1004:$BO$1004,1,MATCH(COLUMNS($AN$1006:BL1006),$AN$1006:$BO$1006,0)))),"Fix")))</f>
        <v>0</v>
      </c>
      <c r="AA248" s="4">
        <f>IF(OR(INDEX($AH$2:$AH$1001,MATCH(ROWS($AG$2:AG248),$AG$2:$AG$1001,0),1)&gt;=100000,INDEX($AN$1005:$BO$1005,1,MATCH(COLUMNS($AN$1006:BM1006),$AN$1006:$BO$1006,0))&gt;=100000), " ",IF(INDEX($AN$2:$BO$1001,MATCH(ROWS($AG$2:AG248),$AG$2:$AG$1001,0),MATCH(COLUMNS($AN$1006:BM1006),$AN$1006:$BO$1006,0)), HYPERLINK("#",""), HYPERLINK(CONCATENATE("#Metadata!", ADDRESS(INDEX($AI$2:$AI$1001,MATCH(ROWS($AG$2:AG248),$AG$2:$AG$1001,0),0), INDEX($AN$1004:$BO$1004,1,MATCH(COLUMNS($AN$1006:BM1006),$AN$1006:$BO$1006,0)))),"Fix")))</f>
        <v>0</v>
      </c>
      <c r="AB248" s="4">
        <f>IF(OR(INDEX($AH$2:$AH$1001,MATCH(ROWS($AG$2:AG248),$AG$2:$AG$1001,0),1)&gt;=100000,INDEX($AN$1005:$BO$1005,1,MATCH(COLUMNS($AN$1006:BN1006),$AN$1006:$BO$1006,0))&gt;=100000), " ",IF(INDEX($AN$2:$BO$1001,MATCH(ROWS($AG$2:AG248),$AG$2:$AG$1001,0),MATCH(COLUMNS($AN$1006:BN1006),$AN$1006:$BO$1006,0)), HYPERLINK("#",""), HYPERLINK(CONCATENATE("#Metadata!", ADDRESS(INDEX($AI$2:$AI$1001,MATCH(ROWS($AG$2:AG248),$AG$2:$AG$1001,0),0), INDEX($AN$1004:$BO$1004,1,MATCH(COLUMNS($AN$1006:BN1006),$AN$1006:$BO$1006,0)))),"Fix")))</f>
        <v>0</v>
      </c>
      <c r="AC248" s="4">
        <f>IF(OR(INDEX($AH$2:$AH$1001,MATCH(ROWS($AG$2:AG248),$AG$2:$AG$1001,0),1)&gt;=100000,INDEX($AN$1005:$BO$1005,1,MATCH(COLUMNS($AN$1006:BO1006),$AN$1006:$BO$1006,0))&gt;=100000), " ",IF(INDEX($AN$2:$BO$1001,MATCH(ROWS($AG$2:AG248),$AG$2:$AG$1001,0),MATCH(COLUMNS($AN$1006:BO1006),$AN$1006:$BO$1006,0)), HYPERLINK("#",""), HYPERLINK(CONCATENATE("#Metadata!", ADDRESS(INDEX($AI$2:$AI$1001,MATCH(ROWS($AG$2:AG248),$AG$2:$AG$1001,0),0), INDEX($AN$1004:$BO$1004,1,MATCH(COLUMNS($AN$1006:BO1006),$AN$1006:$BO$1006,0)))),"Fix")))</f>
        <v>0</v>
      </c>
      <c r="AG248">
        <v>0</v>
      </c>
      <c r="AH248">
        <v>0</v>
      </c>
      <c r="AI248">
        <v>0</v>
      </c>
      <c r="AJ248">
        <f>IF(AK248,TRUE,AND(AN248:BO248))</f>
        <v>0</v>
      </c>
      <c r="AK248">
        <f>COUNTBLANK(Metadata!B248:AC248)=COLUMNS(Metadata!B248:AC248)</f>
        <v>0</v>
      </c>
      <c r="AL248">
        <v>0</v>
      </c>
      <c r="AN248">
        <f>AND(IF(Metadata!B248="",FALSE,TRUE),COUNTIF(Metadata!B:B, Metadata!B248) = 1,NOT(ISERROR(SUMPRODUCT(SEARCH(MID(Metadata!B248,ROW(INDIRECT("1:"&amp;LEN(Metadata!B248))), 1),"0123456789abcdefghijklmnopqrstuvwxyzABCDEFGHIJKLMNOPQRSTUVWXYZ.")))))</f>
        <v>0</v>
      </c>
      <c r="AO248">
        <f>IF(Metadata!C248="",FALSE,TRUE)</f>
        <v>0</v>
      </c>
      <c r="AP248">
        <f>IF(Metadata!D248="",FALSE,TRUE)</f>
        <v>0</v>
      </c>
      <c r="AQ248">
        <f>OR(AND(IF(Metadata!E248="",FALSE,TRUE),OR(exact(Metadata!E248,"not collected"),exact(Metadata!E248,"not provided"),exact(Metadata!E248,"restricted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R248">
        <f>IF(Metadata!F248="",FALSE,TRUE)</f>
        <v>0</v>
      </c>
      <c r="AS248">
        <f>OR(AND(IF(Metadata!G248="",FALSE,TRUE),OR(exact(Metadata!G248,"not collected"),exact(Metadata!G248,"not provided"))),AND(IF(Metadata!G248="",FALSE,TRUE),OR(exact(Metadata!G248,"TRUE"),exact(Metadata!G248,"FALSE"))))</f>
        <v>0</v>
      </c>
      <c r="AT248">
        <f>OR(AND(IF(Metadata!H248="",FALSE,TRUE),OR(exact(Metadata!H248,"not collected"),exact(Metadata!H248,"not provided"),exact(Metadata!H248,"restricted access"))),AND(IF(Metadata!H248="",FALSE,ISNUMBER(VALUE(Metadata!H248))),Metadata!H248&gt;=-413.0))</f>
        <v>0</v>
      </c>
      <c r="AU248">
        <f>AND(IF(Metadata!I248="",FALSE,TRUE),exact(Metadata!I248,"meters"))</f>
        <v>0</v>
      </c>
      <c r="AV248">
        <f>AND(IF(Metadata!J248="",FALSE,TRUE),OR(exact(Metadata!J248,"Host-associated"),exact(Metadata!J248,"Free-living")))</f>
        <v>0</v>
      </c>
      <c r="AW248">
        <f>AND(IF(Metadata!K248="",FALSE,TRUE),OR(exact(Metadata!K248,"Animal"),exact(Metadata!K248,"Fungus"),exact(Metadata!K248,"Plant"),exact(Metadata!K248,"Saline"),exact(Metadata!K248,"Non-saline")))</f>
        <v>0</v>
      </c>
      <c r="AX248">
        <f>AND(IF(Metadata!L248="",FALSE,TRUE),OR(exact(Metadata!L248,"Plant secretion"),exact(Metadata!L248,"Plant rhizosphere"),exact(Metadata!L248,"Plant surface"),exact(Metadata!L248,"Plant corpus"),exact(Metadata!L248,"Fungus surface"),exact(Metadata!L248,"Fungus corpus"),exact(Metadata!L248,"Animal surface"),exact(Metadata!L248,"Animal proximal gut"),exact(Metadata!L248,"Animal corpus"),exact(Metadata!L248,"Animal distal gut"),exact(Metadata!L248,"Animal secretion"),exact(Metadata!L248,"Sub-surface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Y248">
        <f>IF(Metadata!M248="",FALSE,TRUE)</f>
        <v>0</v>
      </c>
      <c r="AZ248">
        <f>IF(Metadata!N248="",FALSE,TRUE)</f>
        <v>0</v>
      </c>
      <c r="BA248">
        <f>IF(Metadata!O248="",FALSE,TRUE)</f>
        <v>0</v>
      </c>
      <c r="BB248">
        <f>OR(AND(IF(Metadata!P248="",FALSE,TRUE),OR(exact(Metadata!P248,"not collected"),exact(Metadata!P248,"not provided"),exact(Metadata!P248,"restricted access"))),AND(IF(Metadata!P248="",FALSE,TRUE),OR(exact(Metadata!P248,"air"),exact(Metadata!P248,"built environment"),exact(Metadata!P248,"host-associated"),exact(Metadata!P248,"human-associated"),exact(Metadata!P248,"human-skin"),exact(Metadata!P248,"human-oral"),exact(Metadata!P248,"human-gut"),exact(Metadata!P248,"human-vaginal"),exact(Metadata!P248,"microbial mat/biofilm"),exact(Metadata!P248,"misc environment"),exact(Metadata!P248,"plant-associated"),exact(Metadata!P248,"sediment"),exact(Metadata!P248,"soil"),exact(Metadata!P248,"wastewater/sludge"),exact(Metadata!P248,"water"))))</f>
        <v>0</v>
      </c>
      <c r="BC248">
        <f>IF(Metadata!Q248="",FALSE,TRUE)</f>
        <v>0</v>
      </c>
      <c r="BD248">
        <f>IF(Metadata!R248="",FALSE,TRUE)</f>
        <v>0</v>
      </c>
      <c r="BE248">
        <f>OR(AND(IF(Metadata!S248="",FALSE,TRUE),OR(exact(Metadata!S248,"not collected"),exact(Metadata!S248,"not provided"),exact(Metadata!S248,"restricted access"))),AND(IF(Metadata!S248="",FALSE,ISNUMBER(VALUE(Metadata!S248))),Metadata!S248&gt;=-90.00,Metadata!S248&lt;=90.00))</f>
        <v>0</v>
      </c>
      <c r="BF248">
        <f>AND(IF(Metadata!T248="",FALSE,TRUE),exact(Metadata!T248,"Decimal degrees"))</f>
        <v>0</v>
      </c>
      <c r="BG248">
        <f>OR(AND(IF(Metadata!U248="",FALSE,TRUE),OR(exact(Metadata!U248,"not collected"),exact(Metadata!U248,"not provided"),exact(Metadata!U248,"restricted access"))),AND(IF(Metadata!U248="",FALSE,ISNUMBER(VALUE(Metadata!U248))),Metadata!U248&gt;=-180.00,Metadata!U248&lt;=180.00))</f>
        <v>0</v>
      </c>
      <c r="BH248">
        <f>AND(IF(Metadata!V248="",FALSE,TRUE),exact(Metadata!V248,"Decimal degrees"))</f>
        <v>0</v>
      </c>
      <c r="BI248">
        <f>IF(Metadata!W248="",FALSE,TRUE)</f>
        <v>0</v>
      </c>
      <c r="BJ248">
        <f>OR(AND(IF(Metadata!X248="",FALSE,TRUE),OR(exact(Metadata!X248,"not collected"),exact(Metadata!X248,"not provided"),exact(Metadata!X248,"restricted access"))),AND(IF(Metadata!X248="",FALSE,TRUE),OR(exact(Metadata!X248,"TRUE"),exact(Metadata!X248,"FALSE"))))</f>
        <v>0</v>
      </c>
      <c r="BK248">
        <f>AND(IF(Metadata!Y248="",FALSE,TRUE),exact(Metadata!Y248,"other"))</f>
        <v>0</v>
      </c>
      <c r="BL248">
        <f>IF(Metadata!Z248="",FALSE,TRUE)</f>
        <v>0</v>
      </c>
      <c r="BM248">
        <f>OR(AND(IF(Metadata!AA248="",FALSE,TRUE),OR(exact(Metadata!AA248,"not collected"),exact(Metadata!AA248,"not provided"))),AND(IF(Metadata!AA248="",FALSE,IF(ISERROR(INT(Metadata!AA248)),FALSE,INT(Metadata!AA248)=Metadata!AA248)),Metadata!AA248&gt;0))</f>
        <v>0</v>
      </c>
      <c r="BN248">
        <f>AND(IF(Metadata!AB248="",FALSE,TRUE),exact(Metadata!AB248,"Not applicable"))</f>
        <v>0</v>
      </c>
      <c r="BO248">
        <f>IF(Metadata!AC248="",FALSE,TRUE)</f>
        <v>0</v>
      </c>
    </row>
    <row r="249" spans="1:67">
      <c r="A249" s="5">
        <f>IF(B249=" "," ",HYPERLINK(CONCATENATE("#metadata!",ADDRESS(INDEX($AI$2:$AI$1001,MATCH(ROWS($AG$2:AG249),$AG$2:$AG$1001,0),0),1)),INDEX($AL$2:$AL$1001,MATCH(ROWS($AG$2:AG249),$AG$2:$AG$1001,0),0)))</f>
        <v>0</v>
      </c>
      <c r="B249" s="4">
        <f>IF(OR(INDEX($AH$2:$AH$1001,MATCH(ROWS($AG$2:AG249),$AG$2:$AG$1001,0),1)&gt;=100000,INDEX($AN$1005:$BO$1005,1,MATCH(COLUMNS($AN$1006:AN1006),$AN$1006:$BO$1006,0))&gt;=100000), " ",IF(INDEX($AN$2:$BO$1001,MATCH(ROWS($AG$2:AG249),$AG$2:$AG$1001,0),MATCH(COLUMNS($AN$1006:AN1006),$AN$1006:$BO$1006,0)), HYPERLINK("#",""), HYPERLINK(CONCATENATE("#Metadata!", ADDRESS(INDEX($AI$2:$AI$1001,MATCH(ROWS($AG$2:AG249),$AG$2:$AG$1001,0),0), INDEX($AN$1004:$BO$1004,1,MATCH(COLUMNS($AN$1006:AN1006),$AN$1006:$BO$1006,0)))),"Fix")))</f>
        <v>0</v>
      </c>
      <c r="C249" s="4">
        <f>IF(OR(INDEX($AH$2:$AH$1001,MATCH(ROWS($AG$2:AG249),$AG$2:$AG$1001,0),1)&gt;=100000,INDEX($AN$1005:$BO$1005,1,MATCH(COLUMNS($AN$1006:AO1006),$AN$1006:$BO$1006,0))&gt;=100000), " ",IF(INDEX($AN$2:$BO$1001,MATCH(ROWS($AG$2:AG249),$AG$2:$AG$1001,0),MATCH(COLUMNS($AN$1006:AO1006),$AN$1006:$BO$1006,0)), HYPERLINK("#",""), HYPERLINK(CONCATENATE("#Metadata!", ADDRESS(INDEX($AI$2:$AI$1001,MATCH(ROWS($AG$2:AG249),$AG$2:$AG$1001,0),0), INDEX($AN$1004:$BO$1004,1,MATCH(COLUMNS($AN$1006:AO1006),$AN$1006:$BO$1006,0)))),"Fix")))</f>
        <v>0</v>
      </c>
      <c r="D249" s="4">
        <f>IF(OR(INDEX($AH$2:$AH$1001,MATCH(ROWS($AG$2:AG249),$AG$2:$AG$1001,0),1)&gt;=100000,INDEX($AN$1005:$BO$1005,1,MATCH(COLUMNS($AN$1006:AP1006),$AN$1006:$BO$1006,0))&gt;=100000), " ",IF(INDEX($AN$2:$BO$1001,MATCH(ROWS($AG$2:AG249),$AG$2:$AG$1001,0),MATCH(COLUMNS($AN$1006:AP1006),$AN$1006:$BO$1006,0)), HYPERLINK("#",""), HYPERLINK(CONCATENATE("#Metadata!", ADDRESS(INDEX($AI$2:$AI$1001,MATCH(ROWS($AG$2:AG249),$AG$2:$AG$1001,0),0), INDEX($AN$1004:$BO$1004,1,MATCH(COLUMNS($AN$1006:AP1006),$AN$1006:$BO$1006,0)))),"Fix")))</f>
        <v>0</v>
      </c>
      <c r="E249" s="4">
        <f>IF(OR(INDEX($AH$2:$AH$1001,MATCH(ROWS($AG$2:AG249),$AG$2:$AG$1001,0),1)&gt;=100000,INDEX($AN$1005:$BO$1005,1,MATCH(COLUMNS($AN$1006:AQ1006),$AN$1006:$BO$1006,0))&gt;=100000), " ",IF(INDEX($AN$2:$BO$1001,MATCH(ROWS($AG$2:AG249),$AG$2:$AG$1001,0),MATCH(COLUMNS($AN$1006:AQ1006),$AN$1006:$BO$1006,0)), HYPERLINK("#",""), HYPERLINK(CONCATENATE("#Metadata!", ADDRESS(INDEX($AI$2:$AI$1001,MATCH(ROWS($AG$2:AG249),$AG$2:$AG$1001,0),0), INDEX($AN$1004:$BO$1004,1,MATCH(COLUMNS($AN$1006:AQ1006),$AN$1006:$BO$1006,0)))),"Fix")))</f>
        <v>0</v>
      </c>
      <c r="F249" s="4">
        <f>IF(OR(INDEX($AH$2:$AH$1001,MATCH(ROWS($AG$2:AG249),$AG$2:$AG$1001,0),1)&gt;=100000,INDEX($AN$1005:$BO$1005,1,MATCH(COLUMNS($AN$1006:AR1006),$AN$1006:$BO$1006,0))&gt;=100000), " ",IF(INDEX($AN$2:$BO$1001,MATCH(ROWS($AG$2:AG249),$AG$2:$AG$1001,0),MATCH(COLUMNS($AN$1006:AR1006),$AN$1006:$BO$1006,0)), HYPERLINK("#",""), HYPERLINK(CONCATENATE("#Metadata!", ADDRESS(INDEX($AI$2:$AI$1001,MATCH(ROWS($AG$2:AG249),$AG$2:$AG$1001,0),0), INDEX($AN$1004:$BO$1004,1,MATCH(COLUMNS($AN$1006:AR1006),$AN$1006:$BO$1006,0)))),"Fix")))</f>
        <v>0</v>
      </c>
      <c r="G249" s="4">
        <f>IF(OR(INDEX($AH$2:$AH$1001,MATCH(ROWS($AG$2:AG249),$AG$2:$AG$1001,0),1)&gt;=100000,INDEX($AN$1005:$BO$1005,1,MATCH(COLUMNS($AN$1006:AS1006),$AN$1006:$BO$1006,0))&gt;=100000), " ",IF(INDEX($AN$2:$BO$1001,MATCH(ROWS($AG$2:AG249),$AG$2:$AG$1001,0),MATCH(COLUMNS($AN$1006:AS1006),$AN$1006:$BO$1006,0)), HYPERLINK("#",""), HYPERLINK(CONCATENATE("#Metadata!", ADDRESS(INDEX($AI$2:$AI$1001,MATCH(ROWS($AG$2:AG249),$AG$2:$AG$1001,0),0), INDEX($AN$1004:$BO$1004,1,MATCH(COLUMNS($AN$1006:AS1006),$AN$1006:$BO$1006,0)))),"Fix")))</f>
        <v>0</v>
      </c>
      <c r="H249" s="4">
        <f>IF(OR(INDEX($AH$2:$AH$1001,MATCH(ROWS($AG$2:AG249),$AG$2:$AG$1001,0),1)&gt;=100000,INDEX($AN$1005:$BO$1005,1,MATCH(COLUMNS($AN$1006:AT1006),$AN$1006:$BO$1006,0))&gt;=100000), " ",IF(INDEX($AN$2:$BO$1001,MATCH(ROWS($AG$2:AG249),$AG$2:$AG$1001,0),MATCH(COLUMNS($AN$1006:AT1006),$AN$1006:$BO$1006,0)), HYPERLINK("#",""), HYPERLINK(CONCATENATE("#Metadata!", ADDRESS(INDEX($AI$2:$AI$1001,MATCH(ROWS($AG$2:AG249),$AG$2:$AG$1001,0),0), INDEX($AN$1004:$BO$1004,1,MATCH(COLUMNS($AN$1006:AT1006),$AN$1006:$BO$1006,0)))),"Fix")))</f>
        <v>0</v>
      </c>
      <c r="I249" s="4">
        <f>IF(OR(INDEX($AH$2:$AH$1001,MATCH(ROWS($AG$2:AG249),$AG$2:$AG$1001,0),1)&gt;=100000,INDEX($AN$1005:$BO$1005,1,MATCH(COLUMNS($AN$1006:AU1006),$AN$1006:$BO$1006,0))&gt;=100000), " ",IF(INDEX($AN$2:$BO$1001,MATCH(ROWS($AG$2:AG249),$AG$2:$AG$1001,0),MATCH(COLUMNS($AN$1006:AU1006),$AN$1006:$BO$1006,0)), HYPERLINK("#",""), HYPERLINK(CONCATENATE("#Metadata!", ADDRESS(INDEX($AI$2:$AI$1001,MATCH(ROWS($AG$2:AG249),$AG$2:$AG$1001,0),0), INDEX($AN$1004:$BO$1004,1,MATCH(COLUMNS($AN$1006:AU1006),$AN$1006:$BO$1006,0)))),"Fix")))</f>
        <v>0</v>
      </c>
      <c r="J249" s="4">
        <f>IF(OR(INDEX($AH$2:$AH$1001,MATCH(ROWS($AG$2:AG249),$AG$2:$AG$1001,0),1)&gt;=100000,INDEX($AN$1005:$BO$1005,1,MATCH(COLUMNS($AN$1006:AV1006),$AN$1006:$BO$1006,0))&gt;=100000), " ",IF(INDEX($AN$2:$BO$1001,MATCH(ROWS($AG$2:AG249),$AG$2:$AG$1001,0),MATCH(COLUMNS($AN$1006:AV1006),$AN$1006:$BO$1006,0)), HYPERLINK("#",""), HYPERLINK(CONCATENATE("#Metadata!", ADDRESS(INDEX($AI$2:$AI$1001,MATCH(ROWS($AG$2:AG249),$AG$2:$AG$1001,0),0), INDEX($AN$1004:$BO$1004,1,MATCH(COLUMNS($AN$1006:AV1006),$AN$1006:$BO$1006,0)))),"Fix")))</f>
        <v>0</v>
      </c>
      <c r="K249" s="4">
        <f>IF(OR(INDEX($AH$2:$AH$1001,MATCH(ROWS($AG$2:AG249),$AG$2:$AG$1001,0),1)&gt;=100000,INDEX($AN$1005:$BO$1005,1,MATCH(COLUMNS($AN$1006:AW1006),$AN$1006:$BO$1006,0))&gt;=100000), " ",IF(INDEX($AN$2:$BO$1001,MATCH(ROWS($AG$2:AG249),$AG$2:$AG$1001,0),MATCH(COLUMNS($AN$1006:AW1006),$AN$1006:$BO$1006,0)), HYPERLINK("#",""), HYPERLINK(CONCATENATE("#Metadata!", ADDRESS(INDEX($AI$2:$AI$1001,MATCH(ROWS($AG$2:AG249),$AG$2:$AG$1001,0),0), INDEX($AN$1004:$BO$1004,1,MATCH(COLUMNS($AN$1006:AW1006),$AN$1006:$BO$1006,0)))),"Fix")))</f>
        <v>0</v>
      </c>
      <c r="L249" s="4">
        <f>IF(OR(INDEX($AH$2:$AH$1001,MATCH(ROWS($AG$2:AG249),$AG$2:$AG$1001,0),1)&gt;=100000,INDEX($AN$1005:$BO$1005,1,MATCH(COLUMNS($AN$1006:AX1006),$AN$1006:$BO$1006,0))&gt;=100000), " ",IF(INDEX($AN$2:$BO$1001,MATCH(ROWS($AG$2:AG249),$AG$2:$AG$1001,0),MATCH(COLUMNS($AN$1006:AX1006),$AN$1006:$BO$1006,0)), HYPERLINK("#",""), HYPERLINK(CONCATENATE("#Metadata!", ADDRESS(INDEX($AI$2:$AI$1001,MATCH(ROWS($AG$2:AG249),$AG$2:$AG$1001,0),0), INDEX($AN$1004:$BO$1004,1,MATCH(COLUMNS($AN$1006:AX1006),$AN$1006:$BO$1006,0)))),"Fix")))</f>
        <v>0</v>
      </c>
      <c r="M249" s="4">
        <f>IF(OR(INDEX($AH$2:$AH$1001,MATCH(ROWS($AG$2:AG249),$AG$2:$AG$1001,0),1)&gt;=100000,INDEX($AN$1005:$BO$1005,1,MATCH(COLUMNS($AN$1006:AY1006),$AN$1006:$BO$1006,0))&gt;=100000), " ",IF(INDEX($AN$2:$BO$1001,MATCH(ROWS($AG$2:AG249),$AG$2:$AG$1001,0),MATCH(COLUMNS($AN$1006:AY1006),$AN$1006:$BO$1006,0)), HYPERLINK("#",""), HYPERLINK(CONCATENATE("#Metadata!", ADDRESS(INDEX($AI$2:$AI$1001,MATCH(ROWS($AG$2:AG249),$AG$2:$AG$1001,0),0), INDEX($AN$1004:$BO$1004,1,MATCH(COLUMNS($AN$1006:AY1006),$AN$1006:$BO$1006,0)))),"Fix")))</f>
        <v>0</v>
      </c>
      <c r="N249" s="4">
        <f>IF(OR(INDEX($AH$2:$AH$1001,MATCH(ROWS($AG$2:AG249),$AG$2:$AG$1001,0),1)&gt;=100000,INDEX($AN$1005:$BO$1005,1,MATCH(COLUMNS($AN$1006:AZ1006),$AN$1006:$BO$1006,0))&gt;=100000), " ",IF(INDEX($AN$2:$BO$1001,MATCH(ROWS($AG$2:AG249),$AG$2:$AG$1001,0),MATCH(COLUMNS($AN$1006:AZ1006),$AN$1006:$BO$1006,0)), HYPERLINK("#",""), HYPERLINK(CONCATENATE("#Metadata!", ADDRESS(INDEX($AI$2:$AI$1001,MATCH(ROWS($AG$2:AG249),$AG$2:$AG$1001,0),0), INDEX($AN$1004:$BO$1004,1,MATCH(COLUMNS($AN$1006:AZ1006),$AN$1006:$BO$1006,0)))),"Fix")))</f>
        <v>0</v>
      </c>
      <c r="O249" s="4">
        <f>IF(OR(INDEX($AH$2:$AH$1001,MATCH(ROWS($AG$2:AG249),$AG$2:$AG$1001,0),1)&gt;=100000,INDEX($AN$1005:$BO$1005,1,MATCH(COLUMNS($AN$1006:BA1006),$AN$1006:$BO$1006,0))&gt;=100000), " ",IF(INDEX($AN$2:$BO$1001,MATCH(ROWS($AG$2:AG249),$AG$2:$AG$1001,0),MATCH(COLUMNS($AN$1006:BA1006),$AN$1006:$BO$1006,0)), HYPERLINK("#",""), HYPERLINK(CONCATENATE("#Metadata!", ADDRESS(INDEX($AI$2:$AI$1001,MATCH(ROWS($AG$2:AG249),$AG$2:$AG$1001,0),0), INDEX($AN$1004:$BO$1004,1,MATCH(COLUMNS($AN$1006:BA1006),$AN$1006:$BO$1006,0)))),"Fix")))</f>
        <v>0</v>
      </c>
      <c r="P249" s="4">
        <f>IF(OR(INDEX($AH$2:$AH$1001,MATCH(ROWS($AG$2:AG249),$AG$2:$AG$1001,0),1)&gt;=100000,INDEX($AN$1005:$BO$1005,1,MATCH(COLUMNS($AN$1006:BB1006),$AN$1006:$BO$1006,0))&gt;=100000), " ",IF(INDEX($AN$2:$BO$1001,MATCH(ROWS($AG$2:AG249),$AG$2:$AG$1001,0),MATCH(COLUMNS($AN$1006:BB1006),$AN$1006:$BO$1006,0)), HYPERLINK("#",""), HYPERLINK(CONCATENATE("#Metadata!", ADDRESS(INDEX($AI$2:$AI$1001,MATCH(ROWS($AG$2:AG249),$AG$2:$AG$1001,0),0), INDEX($AN$1004:$BO$1004,1,MATCH(COLUMNS($AN$1006:BB1006),$AN$1006:$BO$1006,0)))),"Fix")))</f>
        <v>0</v>
      </c>
      <c r="Q249" s="4">
        <f>IF(OR(INDEX($AH$2:$AH$1001,MATCH(ROWS($AG$2:AG249),$AG$2:$AG$1001,0),1)&gt;=100000,INDEX($AN$1005:$BO$1005,1,MATCH(COLUMNS($AN$1006:BC1006),$AN$1006:$BO$1006,0))&gt;=100000), " ",IF(INDEX($AN$2:$BO$1001,MATCH(ROWS($AG$2:AG249),$AG$2:$AG$1001,0),MATCH(COLUMNS($AN$1006:BC1006),$AN$1006:$BO$1006,0)), HYPERLINK("#",""), HYPERLINK(CONCATENATE("#Metadata!", ADDRESS(INDEX($AI$2:$AI$1001,MATCH(ROWS($AG$2:AG249),$AG$2:$AG$1001,0),0), INDEX($AN$1004:$BO$1004,1,MATCH(COLUMNS($AN$1006:BC1006),$AN$1006:$BO$1006,0)))),"Fix")))</f>
        <v>0</v>
      </c>
      <c r="R249" s="4">
        <f>IF(OR(INDEX($AH$2:$AH$1001,MATCH(ROWS($AG$2:AG249),$AG$2:$AG$1001,0),1)&gt;=100000,INDEX($AN$1005:$BO$1005,1,MATCH(COLUMNS($AN$1006:BD1006),$AN$1006:$BO$1006,0))&gt;=100000), " ",IF(INDEX($AN$2:$BO$1001,MATCH(ROWS($AG$2:AG249),$AG$2:$AG$1001,0),MATCH(COLUMNS($AN$1006:BD1006),$AN$1006:$BO$1006,0)), HYPERLINK("#",""), HYPERLINK(CONCATENATE("#Metadata!", ADDRESS(INDEX($AI$2:$AI$1001,MATCH(ROWS($AG$2:AG249),$AG$2:$AG$1001,0),0), INDEX($AN$1004:$BO$1004,1,MATCH(COLUMNS($AN$1006:BD1006),$AN$1006:$BO$1006,0)))),"Fix")))</f>
        <v>0</v>
      </c>
      <c r="S249" s="4">
        <f>IF(OR(INDEX($AH$2:$AH$1001,MATCH(ROWS($AG$2:AG249),$AG$2:$AG$1001,0),1)&gt;=100000,INDEX($AN$1005:$BO$1005,1,MATCH(COLUMNS($AN$1006:BE1006),$AN$1006:$BO$1006,0))&gt;=100000), " ",IF(INDEX($AN$2:$BO$1001,MATCH(ROWS($AG$2:AG249),$AG$2:$AG$1001,0),MATCH(COLUMNS($AN$1006:BE1006),$AN$1006:$BO$1006,0)), HYPERLINK("#",""), HYPERLINK(CONCATENATE("#Metadata!", ADDRESS(INDEX($AI$2:$AI$1001,MATCH(ROWS($AG$2:AG249),$AG$2:$AG$1001,0),0), INDEX($AN$1004:$BO$1004,1,MATCH(COLUMNS($AN$1006:BE1006),$AN$1006:$BO$1006,0)))),"Fix")))</f>
        <v>0</v>
      </c>
      <c r="T249" s="4">
        <f>IF(OR(INDEX($AH$2:$AH$1001,MATCH(ROWS($AG$2:AG249),$AG$2:$AG$1001,0),1)&gt;=100000,INDEX($AN$1005:$BO$1005,1,MATCH(COLUMNS($AN$1006:BF1006),$AN$1006:$BO$1006,0))&gt;=100000), " ",IF(INDEX($AN$2:$BO$1001,MATCH(ROWS($AG$2:AG249),$AG$2:$AG$1001,0),MATCH(COLUMNS($AN$1006:BF1006),$AN$1006:$BO$1006,0)), HYPERLINK("#",""), HYPERLINK(CONCATENATE("#Metadata!", ADDRESS(INDEX($AI$2:$AI$1001,MATCH(ROWS($AG$2:AG249),$AG$2:$AG$1001,0),0), INDEX($AN$1004:$BO$1004,1,MATCH(COLUMNS($AN$1006:BF1006),$AN$1006:$BO$1006,0)))),"Fix")))</f>
        <v>0</v>
      </c>
      <c r="U249" s="4">
        <f>IF(OR(INDEX($AH$2:$AH$1001,MATCH(ROWS($AG$2:AG249),$AG$2:$AG$1001,0),1)&gt;=100000,INDEX($AN$1005:$BO$1005,1,MATCH(COLUMNS($AN$1006:BG1006),$AN$1006:$BO$1006,0))&gt;=100000), " ",IF(INDEX($AN$2:$BO$1001,MATCH(ROWS($AG$2:AG249),$AG$2:$AG$1001,0),MATCH(COLUMNS($AN$1006:BG1006),$AN$1006:$BO$1006,0)), HYPERLINK("#",""), HYPERLINK(CONCATENATE("#Metadata!", ADDRESS(INDEX($AI$2:$AI$1001,MATCH(ROWS($AG$2:AG249),$AG$2:$AG$1001,0),0), INDEX($AN$1004:$BO$1004,1,MATCH(COLUMNS($AN$1006:BG1006),$AN$1006:$BO$1006,0)))),"Fix")))</f>
        <v>0</v>
      </c>
      <c r="V249" s="4">
        <f>IF(OR(INDEX($AH$2:$AH$1001,MATCH(ROWS($AG$2:AG249),$AG$2:$AG$1001,0),1)&gt;=100000,INDEX($AN$1005:$BO$1005,1,MATCH(COLUMNS($AN$1006:BH1006),$AN$1006:$BO$1006,0))&gt;=100000), " ",IF(INDEX($AN$2:$BO$1001,MATCH(ROWS($AG$2:AG249),$AG$2:$AG$1001,0),MATCH(COLUMNS($AN$1006:BH1006),$AN$1006:$BO$1006,0)), HYPERLINK("#",""), HYPERLINK(CONCATENATE("#Metadata!", ADDRESS(INDEX($AI$2:$AI$1001,MATCH(ROWS($AG$2:AG249),$AG$2:$AG$1001,0),0), INDEX($AN$1004:$BO$1004,1,MATCH(COLUMNS($AN$1006:BH1006),$AN$1006:$BO$1006,0)))),"Fix")))</f>
        <v>0</v>
      </c>
      <c r="W249" s="4">
        <f>IF(OR(INDEX($AH$2:$AH$1001,MATCH(ROWS($AG$2:AG249),$AG$2:$AG$1001,0),1)&gt;=100000,INDEX($AN$1005:$BO$1005,1,MATCH(COLUMNS($AN$1006:BI1006),$AN$1006:$BO$1006,0))&gt;=100000), " ",IF(INDEX($AN$2:$BO$1001,MATCH(ROWS($AG$2:AG249),$AG$2:$AG$1001,0),MATCH(COLUMNS($AN$1006:BI1006),$AN$1006:$BO$1006,0)), HYPERLINK("#",""), HYPERLINK(CONCATENATE("#Metadata!", ADDRESS(INDEX($AI$2:$AI$1001,MATCH(ROWS($AG$2:AG249),$AG$2:$AG$1001,0),0), INDEX($AN$1004:$BO$1004,1,MATCH(COLUMNS($AN$1006:BI1006),$AN$1006:$BO$1006,0)))),"Fix")))</f>
        <v>0</v>
      </c>
      <c r="X249" s="4">
        <f>IF(OR(INDEX($AH$2:$AH$1001,MATCH(ROWS($AG$2:AG249),$AG$2:$AG$1001,0),1)&gt;=100000,INDEX($AN$1005:$BO$1005,1,MATCH(COLUMNS($AN$1006:BJ1006),$AN$1006:$BO$1006,0))&gt;=100000), " ",IF(INDEX($AN$2:$BO$1001,MATCH(ROWS($AG$2:AG249),$AG$2:$AG$1001,0),MATCH(COLUMNS($AN$1006:BJ1006),$AN$1006:$BO$1006,0)), HYPERLINK("#",""), HYPERLINK(CONCATENATE("#Metadata!", ADDRESS(INDEX($AI$2:$AI$1001,MATCH(ROWS($AG$2:AG249),$AG$2:$AG$1001,0),0), INDEX($AN$1004:$BO$1004,1,MATCH(COLUMNS($AN$1006:BJ1006),$AN$1006:$BO$1006,0)))),"Fix")))</f>
        <v>0</v>
      </c>
      <c r="Y249" s="4">
        <f>IF(OR(INDEX($AH$2:$AH$1001,MATCH(ROWS($AG$2:AG249),$AG$2:$AG$1001,0),1)&gt;=100000,INDEX($AN$1005:$BO$1005,1,MATCH(COLUMNS($AN$1006:BK1006),$AN$1006:$BO$1006,0))&gt;=100000), " ",IF(INDEX($AN$2:$BO$1001,MATCH(ROWS($AG$2:AG249),$AG$2:$AG$1001,0),MATCH(COLUMNS($AN$1006:BK1006),$AN$1006:$BO$1006,0)), HYPERLINK("#",""), HYPERLINK(CONCATENATE("#Metadata!", ADDRESS(INDEX($AI$2:$AI$1001,MATCH(ROWS($AG$2:AG249),$AG$2:$AG$1001,0),0), INDEX($AN$1004:$BO$1004,1,MATCH(COLUMNS($AN$1006:BK1006),$AN$1006:$BO$1006,0)))),"Fix")))</f>
        <v>0</v>
      </c>
      <c r="Z249" s="4">
        <f>IF(OR(INDEX($AH$2:$AH$1001,MATCH(ROWS($AG$2:AG249),$AG$2:$AG$1001,0),1)&gt;=100000,INDEX($AN$1005:$BO$1005,1,MATCH(COLUMNS($AN$1006:BL1006),$AN$1006:$BO$1006,0))&gt;=100000), " ",IF(INDEX($AN$2:$BO$1001,MATCH(ROWS($AG$2:AG249),$AG$2:$AG$1001,0),MATCH(COLUMNS($AN$1006:BL1006),$AN$1006:$BO$1006,0)), HYPERLINK("#",""), HYPERLINK(CONCATENATE("#Metadata!", ADDRESS(INDEX($AI$2:$AI$1001,MATCH(ROWS($AG$2:AG249),$AG$2:$AG$1001,0),0), INDEX($AN$1004:$BO$1004,1,MATCH(COLUMNS($AN$1006:BL1006),$AN$1006:$BO$1006,0)))),"Fix")))</f>
        <v>0</v>
      </c>
      <c r="AA249" s="4">
        <f>IF(OR(INDEX($AH$2:$AH$1001,MATCH(ROWS($AG$2:AG249),$AG$2:$AG$1001,0),1)&gt;=100000,INDEX($AN$1005:$BO$1005,1,MATCH(COLUMNS($AN$1006:BM1006),$AN$1006:$BO$1006,0))&gt;=100000), " ",IF(INDEX($AN$2:$BO$1001,MATCH(ROWS($AG$2:AG249),$AG$2:$AG$1001,0),MATCH(COLUMNS($AN$1006:BM1006),$AN$1006:$BO$1006,0)), HYPERLINK("#",""), HYPERLINK(CONCATENATE("#Metadata!", ADDRESS(INDEX($AI$2:$AI$1001,MATCH(ROWS($AG$2:AG249),$AG$2:$AG$1001,0),0), INDEX($AN$1004:$BO$1004,1,MATCH(COLUMNS($AN$1006:BM1006),$AN$1006:$BO$1006,0)))),"Fix")))</f>
        <v>0</v>
      </c>
      <c r="AB249" s="4">
        <f>IF(OR(INDEX($AH$2:$AH$1001,MATCH(ROWS($AG$2:AG249),$AG$2:$AG$1001,0),1)&gt;=100000,INDEX($AN$1005:$BO$1005,1,MATCH(COLUMNS($AN$1006:BN1006),$AN$1006:$BO$1006,0))&gt;=100000), " ",IF(INDEX($AN$2:$BO$1001,MATCH(ROWS($AG$2:AG249),$AG$2:$AG$1001,0),MATCH(COLUMNS($AN$1006:BN1006),$AN$1006:$BO$1006,0)), HYPERLINK("#",""), HYPERLINK(CONCATENATE("#Metadata!", ADDRESS(INDEX($AI$2:$AI$1001,MATCH(ROWS($AG$2:AG249),$AG$2:$AG$1001,0),0), INDEX($AN$1004:$BO$1004,1,MATCH(COLUMNS($AN$1006:BN1006),$AN$1006:$BO$1006,0)))),"Fix")))</f>
        <v>0</v>
      </c>
      <c r="AC249" s="4">
        <f>IF(OR(INDEX($AH$2:$AH$1001,MATCH(ROWS($AG$2:AG249),$AG$2:$AG$1001,0),1)&gt;=100000,INDEX($AN$1005:$BO$1005,1,MATCH(COLUMNS($AN$1006:BO1006),$AN$1006:$BO$1006,0))&gt;=100000), " ",IF(INDEX($AN$2:$BO$1001,MATCH(ROWS($AG$2:AG249),$AG$2:$AG$1001,0),MATCH(COLUMNS($AN$1006:BO1006),$AN$1006:$BO$1006,0)), HYPERLINK("#",""), HYPERLINK(CONCATENATE("#Metadata!", ADDRESS(INDEX($AI$2:$AI$1001,MATCH(ROWS($AG$2:AG249),$AG$2:$AG$1001,0),0), INDEX($AN$1004:$BO$1004,1,MATCH(COLUMNS($AN$1006:BO1006),$AN$1006:$BO$1006,0)))),"Fix")))</f>
        <v>0</v>
      </c>
      <c r="AG249">
        <v>0</v>
      </c>
      <c r="AH249">
        <v>0</v>
      </c>
      <c r="AI249">
        <v>0</v>
      </c>
      <c r="AJ249">
        <f>IF(AK249,TRUE,AND(AN249:BO249))</f>
        <v>0</v>
      </c>
      <c r="AK249">
        <f>COUNTBLANK(Metadata!B249:AC249)=COLUMNS(Metadata!B249:AC249)</f>
        <v>0</v>
      </c>
      <c r="AL249">
        <v>0</v>
      </c>
      <c r="AN249">
        <f>AND(IF(Metadata!B249="",FALSE,TRUE),COUNTIF(Metadata!B:B, Metadata!B249) = 1,NOT(ISERROR(SUMPRODUCT(SEARCH(MID(Metadata!B249,ROW(INDIRECT("1:"&amp;LEN(Metadata!B249))), 1),"0123456789abcdefghijklmnopqrstuvwxyzABCDEFGHIJKLMNOPQRSTUVWXYZ.")))))</f>
        <v>0</v>
      </c>
      <c r="AO249">
        <f>IF(Metadata!C249="",FALSE,TRUE)</f>
        <v>0</v>
      </c>
      <c r="AP249">
        <f>IF(Metadata!D249="",FALSE,TRUE)</f>
        <v>0</v>
      </c>
      <c r="AQ249">
        <f>OR(AND(IF(Metadata!E249="",FALSE,TRUE),OR(exact(Metadata!E249,"not collected"),exact(Metadata!E249,"not provided"),exact(Metadata!E249,"restricted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R249">
        <f>IF(Metadata!F249="",FALSE,TRUE)</f>
        <v>0</v>
      </c>
      <c r="AS249">
        <f>OR(AND(IF(Metadata!G249="",FALSE,TRUE),OR(exact(Metadata!G249,"not collected"),exact(Metadata!G249,"not provided"))),AND(IF(Metadata!G249="",FALSE,TRUE),OR(exact(Metadata!G249,"TRUE"),exact(Metadata!G249,"FALSE"))))</f>
        <v>0</v>
      </c>
      <c r="AT249">
        <f>OR(AND(IF(Metadata!H249="",FALSE,TRUE),OR(exact(Metadata!H249,"not collected"),exact(Metadata!H249,"not provided"),exact(Metadata!H249,"restricted access"))),AND(IF(Metadata!H249="",FALSE,ISNUMBER(VALUE(Metadata!H249))),Metadata!H249&gt;=-413.0))</f>
        <v>0</v>
      </c>
      <c r="AU249">
        <f>AND(IF(Metadata!I249="",FALSE,TRUE),exact(Metadata!I249,"meters"))</f>
        <v>0</v>
      </c>
      <c r="AV249">
        <f>AND(IF(Metadata!J249="",FALSE,TRUE),OR(exact(Metadata!J249,"Host-associated"),exact(Metadata!J249,"Free-living")))</f>
        <v>0</v>
      </c>
      <c r="AW249">
        <f>AND(IF(Metadata!K249="",FALSE,TRUE),OR(exact(Metadata!K249,"Animal"),exact(Metadata!K249,"Fungus"),exact(Metadata!K249,"Plant"),exact(Metadata!K249,"Saline"),exact(Metadata!K249,"Non-saline")))</f>
        <v>0</v>
      </c>
      <c r="AX249">
        <f>AND(IF(Metadata!L249="",FALSE,TRUE),OR(exact(Metadata!L249,"Plant secretion"),exact(Metadata!L249,"Plant rhizosphere"),exact(Metadata!L249,"Plant surface"),exact(Metadata!L249,"Plant corpus"),exact(Metadata!L249,"Fungus surface"),exact(Metadata!L249,"Fungus corpus"),exact(Metadata!L249,"Animal surface"),exact(Metadata!L249,"Animal proximal gut"),exact(Metadata!L249,"Animal corpus"),exact(Metadata!L249,"Animal distal gut"),exact(Metadata!L249,"Animal secretion"),exact(Metadata!L249,"Sub-surface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Y249">
        <f>IF(Metadata!M249="",FALSE,TRUE)</f>
        <v>0</v>
      </c>
      <c r="AZ249">
        <f>IF(Metadata!N249="",FALSE,TRUE)</f>
        <v>0</v>
      </c>
      <c r="BA249">
        <f>IF(Metadata!O249="",FALSE,TRUE)</f>
        <v>0</v>
      </c>
      <c r="BB249">
        <f>OR(AND(IF(Metadata!P249="",FALSE,TRUE),OR(exact(Metadata!P249,"not collected"),exact(Metadata!P249,"not provided"),exact(Metadata!P249,"restricted access"))),AND(IF(Metadata!P249="",FALSE,TRUE),OR(exact(Metadata!P249,"air"),exact(Metadata!P249,"built environment"),exact(Metadata!P249,"host-associated"),exact(Metadata!P249,"human-associated"),exact(Metadata!P249,"human-skin"),exact(Metadata!P249,"human-oral"),exact(Metadata!P249,"human-gut"),exact(Metadata!P249,"human-vaginal"),exact(Metadata!P249,"microbial mat/biofilm"),exact(Metadata!P249,"misc environment"),exact(Metadata!P249,"plant-associated"),exact(Metadata!P249,"sediment"),exact(Metadata!P249,"soil"),exact(Metadata!P249,"wastewater/sludge"),exact(Metadata!P249,"water"))))</f>
        <v>0</v>
      </c>
      <c r="BC249">
        <f>IF(Metadata!Q249="",FALSE,TRUE)</f>
        <v>0</v>
      </c>
      <c r="BD249">
        <f>IF(Metadata!R249="",FALSE,TRUE)</f>
        <v>0</v>
      </c>
      <c r="BE249">
        <f>OR(AND(IF(Metadata!S249="",FALSE,TRUE),OR(exact(Metadata!S249,"not collected"),exact(Metadata!S249,"not provided"),exact(Metadata!S249,"restricted access"))),AND(IF(Metadata!S249="",FALSE,ISNUMBER(VALUE(Metadata!S249))),Metadata!S249&gt;=-90.00,Metadata!S249&lt;=90.00))</f>
        <v>0</v>
      </c>
      <c r="BF249">
        <f>AND(IF(Metadata!T249="",FALSE,TRUE),exact(Metadata!T249,"Decimal degrees"))</f>
        <v>0</v>
      </c>
      <c r="BG249">
        <f>OR(AND(IF(Metadata!U249="",FALSE,TRUE),OR(exact(Metadata!U249,"not collected"),exact(Metadata!U249,"not provided"),exact(Metadata!U249,"restricted access"))),AND(IF(Metadata!U249="",FALSE,ISNUMBER(VALUE(Metadata!U249))),Metadata!U249&gt;=-180.00,Metadata!U249&lt;=180.00))</f>
        <v>0</v>
      </c>
      <c r="BH249">
        <f>AND(IF(Metadata!V249="",FALSE,TRUE),exact(Metadata!V249,"Decimal degrees"))</f>
        <v>0</v>
      </c>
      <c r="BI249">
        <f>IF(Metadata!W249="",FALSE,TRUE)</f>
        <v>0</v>
      </c>
      <c r="BJ249">
        <f>OR(AND(IF(Metadata!X249="",FALSE,TRUE),OR(exact(Metadata!X249,"not collected"),exact(Metadata!X249,"not provided"),exact(Metadata!X249,"restricted access"))),AND(IF(Metadata!X249="",FALSE,TRUE),OR(exact(Metadata!X249,"TRUE"),exact(Metadata!X249,"FALSE"))))</f>
        <v>0</v>
      </c>
      <c r="BK249">
        <f>AND(IF(Metadata!Y249="",FALSE,TRUE),exact(Metadata!Y249,"other"))</f>
        <v>0</v>
      </c>
      <c r="BL249">
        <f>IF(Metadata!Z249="",FALSE,TRUE)</f>
        <v>0</v>
      </c>
      <c r="BM249">
        <f>OR(AND(IF(Metadata!AA249="",FALSE,TRUE),OR(exact(Metadata!AA249,"not collected"),exact(Metadata!AA249,"not provided"))),AND(IF(Metadata!AA249="",FALSE,IF(ISERROR(INT(Metadata!AA249)),FALSE,INT(Metadata!AA249)=Metadata!AA249)),Metadata!AA249&gt;0))</f>
        <v>0</v>
      </c>
      <c r="BN249">
        <f>AND(IF(Metadata!AB249="",FALSE,TRUE),exact(Metadata!AB249,"Not applicable"))</f>
        <v>0</v>
      </c>
      <c r="BO249">
        <f>IF(Metadata!AC249="",FALSE,TRUE)</f>
        <v>0</v>
      </c>
    </row>
    <row r="250" spans="1:67">
      <c r="A250" s="5">
        <f>IF(B250=" "," ",HYPERLINK(CONCATENATE("#metadata!",ADDRESS(INDEX($AI$2:$AI$1001,MATCH(ROWS($AG$2:AG250),$AG$2:$AG$1001,0),0),1)),INDEX($AL$2:$AL$1001,MATCH(ROWS($AG$2:AG250),$AG$2:$AG$1001,0),0)))</f>
        <v>0</v>
      </c>
      <c r="B250" s="4">
        <f>IF(OR(INDEX($AH$2:$AH$1001,MATCH(ROWS($AG$2:AG250),$AG$2:$AG$1001,0),1)&gt;=100000,INDEX($AN$1005:$BO$1005,1,MATCH(COLUMNS($AN$1006:AN1006),$AN$1006:$BO$1006,0))&gt;=100000), " ",IF(INDEX($AN$2:$BO$1001,MATCH(ROWS($AG$2:AG250),$AG$2:$AG$1001,0),MATCH(COLUMNS($AN$1006:AN1006),$AN$1006:$BO$1006,0)), HYPERLINK("#",""), HYPERLINK(CONCATENATE("#Metadata!", ADDRESS(INDEX($AI$2:$AI$1001,MATCH(ROWS($AG$2:AG250),$AG$2:$AG$1001,0),0), INDEX($AN$1004:$BO$1004,1,MATCH(COLUMNS($AN$1006:AN1006),$AN$1006:$BO$1006,0)))),"Fix")))</f>
        <v>0</v>
      </c>
      <c r="C250" s="4">
        <f>IF(OR(INDEX($AH$2:$AH$1001,MATCH(ROWS($AG$2:AG250),$AG$2:$AG$1001,0),1)&gt;=100000,INDEX($AN$1005:$BO$1005,1,MATCH(COLUMNS($AN$1006:AO1006),$AN$1006:$BO$1006,0))&gt;=100000), " ",IF(INDEX($AN$2:$BO$1001,MATCH(ROWS($AG$2:AG250),$AG$2:$AG$1001,0),MATCH(COLUMNS($AN$1006:AO1006),$AN$1006:$BO$1006,0)), HYPERLINK("#",""), HYPERLINK(CONCATENATE("#Metadata!", ADDRESS(INDEX($AI$2:$AI$1001,MATCH(ROWS($AG$2:AG250),$AG$2:$AG$1001,0),0), INDEX($AN$1004:$BO$1004,1,MATCH(COLUMNS($AN$1006:AO1006),$AN$1006:$BO$1006,0)))),"Fix")))</f>
        <v>0</v>
      </c>
      <c r="D250" s="4">
        <f>IF(OR(INDEX($AH$2:$AH$1001,MATCH(ROWS($AG$2:AG250),$AG$2:$AG$1001,0),1)&gt;=100000,INDEX($AN$1005:$BO$1005,1,MATCH(COLUMNS($AN$1006:AP1006),$AN$1006:$BO$1006,0))&gt;=100000), " ",IF(INDEX($AN$2:$BO$1001,MATCH(ROWS($AG$2:AG250),$AG$2:$AG$1001,0),MATCH(COLUMNS($AN$1006:AP1006),$AN$1006:$BO$1006,0)), HYPERLINK("#",""), HYPERLINK(CONCATENATE("#Metadata!", ADDRESS(INDEX($AI$2:$AI$1001,MATCH(ROWS($AG$2:AG250),$AG$2:$AG$1001,0),0), INDEX($AN$1004:$BO$1004,1,MATCH(COLUMNS($AN$1006:AP1006),$AN$1006:$BO$1006,0)))),"Fix")))</f>
        <v>0</v>
      </c>
      <c r="E250" s="4">
        <f>IF(OR(INDEX($AH$2:$AH$1001,MATCH(ROWS($AG$2:AG250),$AG$2:$AG$1001,0),1)&gt;=100000,INDEX($AN$1005:$BO$1005,1,MATCH(COLUMNS($AN$1006:AQ1006),$AN$1006:$BO$1006,0))&gt;=100000), " ",IF(INDEX($AN$2:$BO$1001,MATCH(ROWS($AG$2:AG250),$AG$2:$AG$1001,0),MATCH(COLUMNS($AN$1006:AQ1006),$AN$1006:$BO$1006,0)), HYPERLINK("#",""), HYPERLINK(CONCATENATE("#Metadata!", ADDRESS(INDEX($AI$2:$AI$1001,MATCH(ROWS($AG$2:AG250),$AG$2:$AG$1001,0),0), INDEX($AN$1004:$BO$1004,1,MATCH(COLUMNS($AN$1006:AQ1006),$AN$1006:$BO$1006,0)))),"Fix")))</f>
        <v>0</v>
      </c>
      <c r="F250" s="4">
        <f>IF(OR(INDEX($AH$2:$AH$1001,MATCH(ROWS($AG$2:AG250),$AG$2:$AG$1001,0),1)&gt;=100000,INDEX($AN$1005:$BO$1005,1,MATCH(COLUMNS($AN$1006:AR1006),$AN$1006:$BO$1006,0))&gt;=100000), " ",IF(INDEX($AN$2:$BO$1001,MATCH(ROWS($AG$2:AG250),$AG$2:$AG$1001,0),MATCH(COLUMNS($AN$1006:AR1006),$AN$1006:$BO$1006,0)), HYPERLINK("#",""), HYPERLINK(CONCATENATE("#Metadata!", ADDRESS(INDEX($AI$2:$AI$1001,MATCH(ROWS($AG$2:AG250),$AG$2:$AG$1001,0),0), INDEX($AN$1004:$BO$1004,1,MATCH(COLUMNS($AN$1006:AR1006),$AN$1006:$BO$1006,0)))),"Fix")))</f>
        <v>0</v>
      </c>
      <c r="G250" s="4">
        <f>IF(OR(INDEX($AH$2:$AH$1001,MATCH(ROWS($AG$2:AG250),$AG$2:$AG$1001,0),1)&gt;=100000,INDEX($AN$1005:$BO$1005,1,MATCH(COLUMNS($AN$1006:AS1006),$AN$1006:$BO$1006,0))&gt;=100000), " ",IF(INDEX($AN$2:$BO$1001,MATCH(ROWS($AG$2:AG250),$AG$2:$AG$1001,0),MATCH(COLUMNS($AN$1006:AS1006),$AN$1006:$BO$1006,0)), HYPERLINK("#",""), HYPERLINK(CONCATENATE("#Metadata!", ADDRESS(INDEX($AI$2:$AI$1001,MATCH(ROWS($AG$2:AG250),$AG$2:$AG$1001,0),0), INDEX($AN$1004:$BO$1004,1,MATCH(COLUMNS($AN$1006:AS1006),$AN$1006:$BO$1006,0)))),"Fix")))</f>
        <v>0</v>
      </c>
      <c r="H250" s="4">
        <f>IF(OR(INDEX($AH$2:$AH$1001,MATCH(ROWS($AG$2:AG250),$AG$2:$AG$1001,0),1)&gt;=100000,INDEX($AN$1005:$BO$1005,1,MATCH(COLUMNS($AN$1006:AT1006),$AN$1006:$BO$1006,0))&gt;=100000), " ",IF(INDEX($AN$2:$BO$1001,MATCH(ROWS($AG$2:AG250),$AG$2:$AG$1001,0),MATCH(COLUMNS($AN$1006:AT1006),$AN$1006:$BO$1006,0)), HYPERLINK("#",""), HYPERLINK(CONCATENATE("#Metadata!", ADDRESS(INDEX($AI$2:$AI$1001,MATCH(ROWS($AG$2:AG250),$AG$2:$AG$1001,0),0), INDEX($AN$1004:$BO$1004,1,MATCH(COLUMNS($AN$1006:AT1006),$AN$1006:$BO$1006,0)))),"Fix")))</f>
        <v>0</v>
      </c>
      <c r="I250" s="4">
        <f>IF(OR(INDEX($AH$2:$AH$1001,MATCH(ROWS($AG$2:AG250),$AG$2:$AG$1001,0),1)&gt;=100000,INDEX($AN$1005:$BO$1005,1,MATCH(COLUMNS($AN$1006:AU1006),$AN$1006:$BO$1006,0))&gt;=100000), " ",IF(INDEX($AN$2:$BO$1001,MATCH(ROWS($AG$2:AG250),$AG$2:$AG$1001,0),MATCH(COLUMNS($AN$1006:AU1006),$AN$1006:$BO$1006,0)), HYPERLINK("#",""), HYPERLINK(CONCATENATE("#Metadata!", ADDRESS(INDEX($AI$2:$AI$1001,MATCH(ROWS($AG$2:AG250),$AG$2:$AG$1001,0),0), INDEX($AN$1004:$BO$1004,1,MATCH(COLUMNS($AN$1006:AU1006),$AN$1006:$BO$1006,0)))),"Fix")))</f>
        <v>0</v>
      </c>
      <c r="J250" s="4">
        <f>IF(OR(INDEX($AH$2:$AH$1001,MATCH(ROWS($AG$2:AG250),$AG$2:$AG$1001,0),1)&gt;=100000,INDEX($AN$1005:$BO$1005,1,MATCH(COLUMNS($AN$1006:AV1006),$AN$1006:$BO$1006,0))&gt;=100000), " ",IF(INDEX($AN$2:$BO$1001,MATCH(ROWS($AG$2:AG250),$AG$2:$AG$1001,0),MATCH(COLUMNS($AN$1006:AV1006),$AN$1006:$BO$1006,0)), HYPERLINK("#",""), HYPERLINK(CONCATENATE("#Metadata!", ADDRESS(INDEX($AI$2:$AI$1001,MATCH(ROWS($AG$2:AG250),$AG$2:$AG$1001,0),0), INDEX($AN$1004:$BO$1004,1,MATCH(COLUMNS($AN$1006:AV1006),$AN$1006:$BO$1006,0)))),"Fix")))</f>
        <v>0</v>
      </c>
      <c r="K250" s="4">
        <f>IF(OR(INDEX($AH$2:$AH$1001,MATCH(ROWS($AG$2:AG250),$AG$2:$AG$1001,0),1)&gt;=100000,INDEX($AN$1005:$BO$1005,1,MATCH(COLUMNS($AN$1006:AW1006),$AN$1006:$BO$1006,0))&gt;=100000), " ",IF(INDEX($AN$2:$BO$1001,MATCH(ROWS($AG$2:AG250),$AG$2:$AG$1001,0),MATCH(COLUMNS($AN$1006:AW1006),$AN$1006:$BO$1006,0)), HYPERLINK("#",""), HYPERLINK(CONCATENATE("#Metadata!", ADDRESS(INDEX($AI$2:$AI$1001,MATCH(ROWS($AG$2:AG250),$AG$2:$AG$1001,0),0), INDEX($AN$1004:$BO$1004,1,MATCH(COLUMNS($AN$1006:AW1006),$AN$1006:$BO$1006,0)))),"Fix")))</f>
        <v>0</v>
      </c>
      <c r="L250" s="4">
        <f>IF(OR(INDEX($AH$2:$AH$1001,MATCH(ROWS($AG$2:AG250),$AG$2:$AG$1001,0),1)&gt;=100000,INDEX($AN$1005:$BO$1005,1,MATCH(COLUMNS($AN$1006:AX1006),$AN$1006:$BO$1006,0))&gt;=100000), " ",IF(INDEX($AN$2:$BO$1001,MATCH(ROWS($AG$2:AG250),$AG$2:$AG$1001,0),MATCH(COLUMNS($AN$1006:AX1006),$AN$1006:$BO$1006,0)), HYPERLINK("#",""), HYPERLINK(CONCATENATE("#Metadata!", ADDRESS(INDEX($AI$2:$AI$1001,MATCH(ROWS($AG$2:AG250),$AG$2:$AG$1001,0),0), INDEX($AN$1004:$BO$1004,1,MATCH(COLUMNS($AN$1006:AX1006),$AN$1006:$BO$1006,0)))),"Fix")))</f>
        <v>0</v>
      </c>
      <c r="M250" s="4">
        <f>IF(OR(INDEX($AH$2:$AH$1001,MATCH(ROWS($AG$2:AG250),$AG$2:$AG$1001,0),1)&gt;=100000,INDEX($AN$1005:$BO$1005,1,MATCH(COLUMNS($AN$1006:AY1006),$AN$1006:$BO$1006,0))&gt;=100000), " ",IF(INDEX($AN$2:$BO$1001,MATCH(ROWS($AG$2:AG250),$AG$2:$AG$1001,0),MATCH(COLUMNS($AN$1006:AY1006),$AN$1006:$BO$1006,0)), HYPERLINK("#",""), HYPERLINK(CONCATENATE("#Metadata!", ADDRESS(INDEX($AI$2:$AI$1001,MATCH(ROWS($AG$2:AG250),$AG$2:$AG$1001,0),0), INDEX($AN$1004:$BO$1004,1,MATCH(COLUMNS($AN$1006:AY1006),$AN$1006:$BO$1006,0)))),"Fix")))</f>
        <v>0</v>
      </c>
      <c r="N250" s="4">
        <f>IF(OR(INDEX($AH$2:$AH$1001,MATCH(ROWS($AG$2:AG250),$AG$2:$AG$1001,0),1)&gt;=100000,INDEX($AN$1005:$BO$1005,1,MATCH(COLUMNS($AN$1006:AZ1006),$AN$1006:$BO$1006,0))&gt;=100000), " ",IF(INDEX($AN$2:$BO$1001,MATCH(ROWS($AG$2:AG250),$AG$2:$AG$1001,0),MATCH(COLUMNS($AN$1006:AZ1006),$AN$1006:$BO$1006,0)), HYPERLINK("#",""), HYPERLINK(CONCATENATE("#Metadata!", ADDRESS(INDEX($AI$2:$AI$1001,MATCH(ROWS($AG$2:AG250),$AG$2:$AG$1001,0),0), INDEX($AN$1004:$BO$1004,1,MATCH(COLUMNS($AN$1006:AZ1006),$AN$1006:$BO$1006,0)))),"Fix")))</f>
        <v>0</v>
      </c>
      <c r="O250" s="4">
        <f>IF(OR(INDEX($AH$2:$AH$1001,MATCH(ROWS($AG$2:AG250),$AG$2:$AG$1001,0),1)&gt;=100000,INDEX($AN$1005:$BO$1005,1,MATCH(COLUMNS($AN$1006:BA1006),$AN$1006:$BO$1006,0))&gt;=100000), " ",IF(INDEX($AN$2:$BO$1001,MATCH(ROWS($AG$2:AG250),$AG$2:$AG$1001,0),MATCH(COLUMNS($AN$1006:BA1006),$AN$1006:$BO$1006,0)), HYPERLINK("#",""), HYPERLINK(CONCATENATE("#Metadata!", ADDRESS(INDEX($AI$2:$AI$1001,MATCH(ROWS($AG$2:AG250),$AG$2:$AG$1001,0),0), INDEX($AN$1004:$BO$1004,1,MATCH(COLUMNS($AN$1006:BA1006),$AN$1006:$BO$1006,0)))),"Fix")))</f>
        <v>0</v>
      </c>
      <c r="P250" s="4">
        <f>IF(OR(INDEX($AH$2:$AH$1001,MATCH(ROWS($AG$2:AG250),$AG$2:$AG$1001,0),1)&gt;=100000,INDEX($AN$1005:$BO$1005,1,MATCH(COLUMNS($AN$1006:BB1006),$AN$1006:$BO$1006,0))&gt;=100000), " ",IF(INDEX($AN$2:$BO$1001,MATCH(ROWS($AG$2:AG250),$AG$2:$AG$1001,0),MATCH(COLUMNS($AN$1006:BB1006),$AN$1006:$BO$1006,0)), HYPERLINK("#",""), HYPERLINK(CONCATENATE("#Metadata!", ADDRESS(INDEX($AI$2:$AI$1001,MATCH(ROWS($AG$2:AG250),$AG$2:$AG$1001,0),0), INDEX($AN$1004:$BO$1004,1,MATCH(COLUMNS($AN$1006:BB1006),$AN$1006:$BO$1006,0)))),"Fix")))</f>
        <v>0</v>
      </c>
      <c r="Q250" s="4">
        <f>IF(OR(INDEX($AH$2:$AH$1001,MATCH(ROWS($AG$2:AG250),$AG$2:$AG$1001,0),1)&gt;=100000,INDEX($AN$1005:$BO$1005,1,MATCH(COLUMNS($AN$1006:BC1006),$AN$1006:$BO$1006,0))&gt;=100000), " ",IF(INDEX($AN$2:$BO$1001,MATCH(ROWS($AG$2:AG250),$AG$2:$AG$1001,0),MATCH(COLUMNS($AN$1006:BC1006),$AN$1006:$BO$1006,0)), HYPERLINK("#",""), HYPERLINK(CONCATENATE("#Metadata!", ADDRESS(INDEX($AI$2:$AI$1001,MATCH(ROWS($AG$2:AG250),$AG$2:$AG$1001,0),0), INDEX($AN$1004:$BO$1004,1,MATCH(COLUMNS($AN$1006:BC1006),$AN$1006:$BO$1006,0)))),"Fix")))</f>
        <v>0</v>
      </c>
      <c r="R250" s="4">
        <f>IF(OR(INDEX($AH$2:$AH$1001,MATCH(ROWS($AG$2:AG250),$AG$2:$AG$1001,0),1)&gt;=100000,INDEX($AN$1005:$BO$1005,1,MATCH(COLUMNS($AN$1006:BD1006),$AN$1006:$BO$1006,0))&gt;=100000), " ",IF(INDEX($AN$2:$BO$1001,MATCH(ROWS($AG$2:AG250),$AG$2:$AG$1001,0),MATCH(COLUMNS($AN$1006:BD1006),$AN$1006:$BO$1006,0)), HYPERLINK("#",""), HYPERLINK(CONCATENATE("#Metadata!", ADDRESS(INDEX($AI$2:$AI$1001,MATCH(ROWS($AG$2:AG250),$AG$2:$AG$1001,0),0), INDEX($AN$1004:$BO$1004,1,MATCH(COLUMNS($AN$1006:BD1006),$AN$1006:$BO$1006,0)))),"Fix")))</f>
        <v>0</v>
      </c>
      <c r="S250" s="4">
        <f>IF(OR(INDEX($AH$2:$AH$1001,MATCH(ROWS($AG$2:AG250),$AG$2:$AG$1001,0),1)&gt;=100000,INDEX($AN$1005:$BO$1005,1,MATCH(COLUMNS($AN$1006:BE1006),$AN$1006:$BO$1006,0))&gt;=100000), " ",IF(INDEX($AN$2:$BO$1001,MATCH(ROWS($AG$2:AG250),$AG$2:$AG$1001,0),MATCH(COLUMNS($AN$1006:BE1006),$AN$1006:$BO$1006,0)), HYPERLINK("#",""), HYPERLINK(CONCATENATE("#Metadata!", ADDRESS(INDEX($AI$2:$AI$1001,MATCH(ROWS($AG$2:AG250),$AG$2:$AG$1001,0),0), INDEX($AN$1004:$BO$1004,1,MATCH(COLUMNS($AN$1006:BE1006),$AN$1006:$BO$1006,0)))),"Fix")))</f>
        <v>0</v>
      </c>
      <c r="T250" s="4">
        <f>IF(OR(INDEX($AH$2:$AH$1001,MATCH(ROWS($AG$2:AG250),$AG$2:$AG$1001,0),1)&gt;=100000,INDEX($AN$1005:$BO$1005,1,MATCH(COLUMNS($AN$1006:BF1006),$AN$1006:$BO$1006,0))&gt;=100000), " ",IF(INDEX($AN$2:$BO$1001,MATCH(ROWS($AG$2:AG250),$AG$2:$AG$1001,0),MATCH(COLUMNS($AN$1006:BF1006),$AN$1006:$BO$1006,0)), HYPERLINK("#",""), HYPERLINK(CONCATENATE("#Metadata!", ADDRESS(INDEX($AI$2:$AI$1001,MATCH(ROWS($AG$2:AG250),$AG$2:$AG$1001,0),0), INDEX($AN$1004:$BO$1004,1,MATCH(COLUMNS($AN$1006:BF1006),$AN$1006:$BO$1006,0)))),"Fix")))</f>
        <v>0</v>
      </c>
      <c r="U250" s="4">
        <f>IF(OR(INDEX($AH$2:$AH$1001,MATCH(ROWS($AG$2:AG250),$AG$2:$AG$1001,0),1)&gt;=100000,INDEX($AN$1005:$BO$1005,1,MATCH(COLUMNS($AN$1006:BG1006),$AN$1006:$BO$1006,0))&gt;=100000), " ",IF(INDEX($AN$2:$BO$1001,MATCH(ROWS($AG$2:AG250),$AG$2:$AG$1001,0),MATCH(COLUMNS($AN$1006:BG1006),$AN$1006:$BO$1006,0)), HYPERLINK("#",""), HYPERLINK(CONCATENATE("#Metadata!", ADDRESS(INDEX($AI$2:$AI$1001,MATCH(ROWS($AG$2:AG250),$AG$2:$AG$1001,0),0), INDEX($AN$1004:$BO$1004,1,MATCH(COLUMNS($AN$1006:BG1006),$AN$1006:$BO$1006,0)))),"Fix")))</f>
        <v>0</v>
      </c>
      <c r="V250" s="4">
        <f>IF(OR(INDEX($AH$2:$AH$1001,MATCH(ROWS($AG$2:AG250),$AG$2:$AG$1001,0),1)&gt;=100000,INDEX($AN$1005:$BO$1005,1,MATCH(COLUMNS($AN$1006:BH1006),$AN$1006:$BO$1006,0))&gt;=100000), " ",IF(INDEX($AN$2:$BO$1001,MATCH(ROWS($AG$2:AG250),$AG$2:$AG$1001,0),MATCH(COLUMNS($AN$1006:BH1006),$AN$1006:$BO$1006,0)), HYPERLINK("#",""), HYPERLINK(CONCATENATE("#Metadata!", ADDRESS(INDEX($AI$2:$AI$1001,MATCH(ROWS($AG$2:AG250),$AG$2:$AG$1001,0),0), INDEX($AN$1004:$BO$1004,1,MATCH(COLUMNS($AN$1006:BH1006),$AN$1006:$BO$1006,0)))),"Fix")))</f>
        <v>0</v>
      </c>
      <c r="W250" s="4">
        <f>IF(OR(INDEX($AH$2:$AH$1001,MATCH(ROWS($AG$2:AG250),$AG$2:$AG$1001,0),1)&gt;=100000,INDEX($AN$1005:$BO$1005,1,MATCH(COLUMNS($AN$1006:BI1006),$AN$1006:$BO$1006,0))&gt;=100000), " ",IF(INDEX($AN$2:$BO$1001,MATCH(ROWS($AG$2:AG250),$AG$2:$AG$1001,0),MATCH(COLUMNS($AN$1006:BI1006),$AN$1006:$BO$1006,0)), HYPERLINK("#",""), HYPERLINK(CONCATENATE("#Metadata!", ADDRESS(INDEX($AI$2:$AI$1001,MATCH(ROWS($AG$2:AG250),$AG$2:$AG$1001,0),0), INDEX($AN$1004:$BO$1004,1,MATCH(COLUMNS($AN$1006:BI1006),$AN$1006:$BO$1006,0)))),"Fix")))</f>
        <v>0</v>
      </c>
      <c r="X250" s="4">
        <f>IF(OR(INDEX($AH$2:$AH$1001,MATCH(ROWS($AG$2:AG250),$AG$2:$AG$1001,0),1)&gt;=100000,INDEX($AN$1005:$BO$1005,1,MATCH(COLUMNS($AN$1006:BJ1006),$AN$1006:$BO$1006,0))&gt;=100000), " ",IF(INDEX($AN$2:$BO$1001,MATCH(ROWS($AG$2:AG250),$AG$2:$AG$1001,0),MATCH(COLUMNS($AN$1006:BJ1006),$AN$1006:$BO$1006,0)), HYPERLINK("#",""), HYPERLINK(CONCATENATE("#Metadata!", ADDRESS(INDEX($AI$2:$AI$1001,MATCH(ROWS($AG$2:AG250),$AG$2:$AG$1001,0),0), INDEX($AN$1004:$BO$1004,1,MATCH(COLUMNS($AN$1006:BJ1006),$AN$1006:$BO$1006,0)))),"Fix")))</f>
        <v>0</v>
      </c>
      <c r="Y250" s="4">
        <f>IF(OR(INDEX($AH$2:$AH$1001,MATCH(ROWS($AG$2:AG250),$AG$2:$AG$1001,0),1)&gt;=100000,INDEX($AN$1005:$BO$1005,1,MATCH(COLUMNS($AN$1006:BK1006),$AN$1006:$BO$1006,0))&gt;=100000), " ",IF(INDEX($AN$2:$BO$1001,MATCH(ROWS($AG$2:AG250),$AG$2:$AG$1001,0),MATCH(COLUMNS($AN$1006:BK1006),$AN$1006:$BO$1006,0)), HYPERLINK("#",""), HYPERLINK(CONCATENATE("#Metadata!", ADDRESS(INDEX($AI$2:$AI$1001,MATCH(ROWS($AG$2:AG250),$AG$2:$AG$1001,0),0), INDEX($AN$1004:$BO$1004,1,MATCH(COLUMNS($AN$1006:BK1006),$AN$1006:$BO$1006,0)))),"Fix")))</f>
        <v>0</v>
      </c>
      <c r="Z250" s="4">
        <f>IF(OR(INDEX($AH$2:$AH$1001,MATCH(ROWS($AG$2:AG250),$AG$2:$AG$1001,0),1)&gt;=100000,INDEX($AN$1005:$BO$1005,1,MATCH(COLUMNS($AN$1006:BL1006),$AN$1006:$BO$1006,0))&gt;=100000), " ",IF(INDEX($AN$2:$BO$1001,MATCH(ROWS($AG$2:AG250),$AG$2:$AG$1001,0),MATCH(COLUMNS($AN$1006:BL1006),$AN$1006:$BO$1006,0)), HYPERLINK("#",""), HYPERLINK(CONCATENATE("#Metadata!", ADDRESS(INDEX($AI$2:$AI$1001,MATCH(ROWS($AG$2:AG250),$AG$2:$AG$1001,0),0), INDEX($AN$1004:$BO$1004,1,MATCH(COLUMNS($AN$1006:BL1006),$AN$1006:$BO$1006,0)))),"Fix")))</f>
        <v>0</v>
      </c>
      <c r="AA250" s="4">
        <f>IF(OR(INDEX($AH$2:$AH$1001,MATCH(ROWS($AG$2:AG250),$AG$2:$AG$1001,0),1)&gt;=100000,INDEX($AN$1005:$BO$1005,1,MATCH(COLUMNS($AN$1006:BM1006),$AN$1006:$BO$1006,0))&gt;=100000), " ",IF(INDEX($AN$2:$BO$1001,MATCH(ROWS($AG$2:AG250),$AG$2:$AG$1001,0),MATCH(COLUMNS($AN$1006:BM1006),$AN$1006:$BO$1006,0)), HYPERLINK("#",""), HYPERLINK(CONCATENATE("#Metadata!", ADDRESS(INDEX($AI$2:$AI$1001,MATCH(ROWS($AG$2:AG250),$AG$2:$AG$1001,0),0), INDEX($AN$1004:$BO$1004,1,MATCH(COLUMNS($AN$1006:BM1006),$AN$1006:$BO$1006,0)))),"Fix")))</f>
        <v>0</v>
      </c>
      <c r="AB250" s="4">
        <f>IF(OR(INDEX($AH$2:$AH$1001,MATCH(ROWS($AG$2:AG250),$AG$2:$AG$1001,0),1)&gt;=100000,INDEX($AN$1005:$BO$1005,1,MATCH(COLUMNS($AN$1006:BN1006),$AN$1006:$BO$1006,0))&gt;=100000), " ",IF(INDEX($AN$2:$BO$1001,MATCH(ROWS($AG$2:AG250),$AG$2:$AG$1001,0),MATCH(COLUMNS($AN$1006:BN1006),$AN$1006:$BO$1006,0)), HYPERLINK("#",""), HYPERLINK(CONCATENATE("#Metadata!", ADDRESS(INDEX($AI$2:$AI$1001,MATCH(ROWS($AG$2:AG250),$AG$2:$AG$1001,0),0), INDEX($AN$1004:$BO$1004,1,MATCH(COLUMNS($AN$1006:BN1006),$AN$1006:$BO$1006,0)))),"Fix")))</f>
        <v>0</v>
      </c>
      <c r="AC250" s="4">
        <f>IF(OR(INDEX($AH$2:$AH$1001,MATCH(ROWS($AG$2:AG250),$AG$2:$AG$1001,0),1)&gt;=100000,INDEX($AN$1005:$BO$1005,1,MATCH(COLUMNS($AN$1006:BO1006),$AN$1006:$BO$1006,0))&gt;=100000), " ",IF(INDEX($AN$2:$BO$1001,MATCH(ROWS($AG$2:AG250),$AG$2:$AG$1001,0),MATCH(COLUMNS($AN$1006:BO1006),$AN$1006:$BO$1006,0)), HYPERLINK("#",""), HYPERLINK(CONCATENATE("#Metadata!", ADDRESS(INDEX($AI$2:$AI$1001,MATCH(ROWS($AG$2:AG250),$AG$2:$AG$1001,0),0), INDEX($AN$1004:$BO$1004,1,MATCH(COLUMNS($AN$1006:BO1006),$AN$1006:$BO$1006,0)))),"Fix")))</f>
        <v>0</v>
      </c>
      <c r="AG250">
        <v>0</v>
      </c>
      <c r="AH250">
        <v>0</v>
      </c>
      <c r="AI250">
        <v>0</v>
      </c>
      <c r="AJ250">
        <f>IF(AK250,TRUE,AND(AN250:BO250))</f>
        <v>0</v>
      </c>
      <c r="AK250">
        <f>COUNTBLANK(Metadata!B250:AC250)=COLUMNS(Metadata!B250:AC250)</f>
        <v>0</v>
      </c>
      <c r="AL250">
        <v>0</v>
      </c>
      <c r="AN250">
        <f>AND(IF(Metadata!B250="",FALSE,TRUE),COUNTIF(Metadata!B:B, Metadata!B250) = 1,NOT(ISERROR(SUMPRODUCT(SEARCH(MID(Metadata!B250,ROW(INDIRECT("1:"&amp;LEN(Metadata!B250))), 1),"0123456789abcdefghijklmnopqrstuvwxyzABCDEFGHIJKLMNOPQRSTUVWXYZ.")))))</f>
        <v>0</v>
      </c>
      <c r="AO250">
        <f>IF(Metadata!C250="",FALSE,TRUE)</f>
        <v>0</v>
      </c>
      <c r="AP250">
        <f>IF(Metadata!D250="",FALSE,TRUE)</f>
        <v>0</v>
      </c>
      <c r="AQ250">
        <f>OR(AND(IF(Metadata!E250="",FALSE,TRUE),OR(exact(Metadata!E250,"not collected"),exact(Metadata!E250,"not provided"),exact(Metadata!E250,"restricted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R250">
        <f>IF(Metadata!F250="",FALSE,TRUE)</f>
        <v>0</v>
      </c>
      <c r="AS250">
        <f>OR(AND(IF(Metadata!G250="",FALSE,TRUE),OR(exact(Metadata!G250,"not collected"),exact(Metadata!G250,"not provided"))),AND(IF(Metadata!G250="",FALSE,TRUE),OR(exact(Metadata!G250,"TRUE"),exact(Metadata!G250,"FALSE"))))</f>
        <v>0</v>
      </c>
      <c r="AT250">
        <f>OR(AND(IF(Metadata!H250="",FALSE,TRUE),OR(exact(Metadata!H250,"not collected"),exact(Metadata!H250,"not provided"),exact(Metadata!H250,"restricted access"))),AND(IF(Metadata!H250="",FALSE,ISNUMBER(VALUE(Metadata!H250))),Metadata!H250&gt;=-413.0))</f>
        <v>0</v>
      </c>
      <c r="AU250">
        <f>AND(IF(Metadata!I250="",FALSE,TRUE),exact(Metadata!I250,"meters"))</f>
        <v>0</v>
      </c>
      <c r="AV250">
        <f>AND(IF(Metadata!J250="",FALSE,TRUE),OR(exact(Metadata!J250,"Host-associated"),exact(Metadata!J250,"Free-living")))</f>
        <v>0</v>
      </c>
      <c r="AW250">
        <f>AND(IF(Metadata!K250="",FALSE,TRUE),OR(exact(Metadata!K250,"Animal"),exact(Metadata!K250,"Fungus"),exact(Metadata!K250,"Plant"),exact(Metadata!K250,"Saline"),exact(Metadata!K250,"Non-saline")))</f>
        <v>0</v>
      </c>
      <c r="AX250">
        <f>AND(IF(Metadata!L250="",FALSE,TRUE),OR(exact(Metadata!L250,"Plant secretion"),exact(Metadata!L250,"Plant rhizosphere"),exact(Metadata!L250,"Plant surface"),exact(Metadata!L250,"Plant corpus"),exact(Metadata!L250,"Fungus surface"),exact(Metadata!L250,"Fungus corpus"),exact(Metadata!L250,"Animal surface"),exact(Metadata!L250,"Animal proximal gut"),exact(Metadata!L250,"Animal corpus"),exact(Metadata!L250,"Animal distal gut"),exact(Metadata!L250,"Animal secretion"),exact(Metadata!L250,"Sub-surface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Y250">
        <f>IF(Metadata!M250="",FALSE,TRUE)</f>
        <v>0</v>
      </c>
      <c r="AZ250">
        <f>IF(Metadata!N250="",FALSE,TRUE)</f>
        <v>0</v>
      </c>
      <c r="BA250">
        <f>IF(Metadata!O250="",FALSE,TRUE)</f>
        <v>0</v>
      </c>
      <c r="BB250">
        <f>OR(AND(IF(Metadata!P250="",FALSE,TRUE),OR(exact(Metadata!P250,"not collected"),exact(Metadata!P250,"not provided"),exact(Metadata!P250,"restricted access"))),AND(IF(Metadata!P250="",FALSE,TRUE),OR(exact(Metadata!P250,"air"),exact(Metadata!P250,"built environment"),exact(Metadata!P250,"host-associated"),exact(Metadata!P250,"human-associated"),exact(Metadata!P250,"human-skin"),exact(Metadata!P250,"human-oral"),exact(Metadata!P250,"human-gut"),exact(Metadata!P250,"human-vaginal"),exact(Metadata!P250,"microbial mat/biofilm"),exact(Metadata!P250,"misc environment"),exact(Metadata!P250,"plant-associated"),exact(Metadata!P250,"sediment"),exact(Metadata!P250,"soil"),exact(Metadata!P250,"wastewater/sludge"),exact(Metadata!P250,"water"))))</f>
        <v>0</v>
      </c>
      <c r="BC250">
        <f>IF(Metadata!Q250="",FALSE,TRUE)</f>
        <v>0</v>
      </c>
      <c r="BD250">
        <f>IF(Metadata!R250="",FALSE,TRUE)</f>
        <v>0</v>
      </c>
      <c r="BE250">
        <f>OR(AND(IF(Metadata!S250="",FALSE,TRUE),OR(exact(Metadata!S250,"not collected"),exact(Metadata!S250,"not provided"),exact(Metadata!S250,"restricted access"))),AND(IF(Metadata!S250="",FALSE,ISNUMBER(VALUE(Metadata!S250))),Metadata!S250&gt;=-90.00,Metadata!S250&lt;=90.00))</f>
        <v>0</v>
      </c>
      <c r="BF250">
        <f>AND(IF(Metadata!T250="",FALSE,TRUE),exact(Metadata!T250,"Decimal degrees"))</f>
        <v>0</v>
      </c>
      <c r="BG250">
        <f>OR(AND(IF(Metadata!U250="",FALSE,TRUE),OR(exact(Metadata!U250,"not collected"),exact(Metadata!U250,"not provided"),exact(Metadata!U250,"restricted access"))),AND(IF(Metadata!U250="",FALSE,ISNUMBER(VALUE(Metadata!U250))),Metadata!U250&gt;=-180.00,Metadata!U250&lt;=180.00))</f>
        <v>0</v>
      </c>
      <c r="BH250">
        <f>AND(IF(Metadata!V250="",FALSE,TRUE),exact(Metadata!V250,"Decimal degrees"))</f>
        <v>0</v>
      </c>
      <c r="BI250">
        <f>IF(Metadata!W250="",FALSE,TRUE)</f>
        <v>0</v>
      </c>
      <c r="BJ250">
        <f>OR(AND(IF(Metadata!X250="",FALSE,TRUE),OR(exact(Metadata!X250,"not collected"),exact(Metadata!X250,"not provided"),exact(Metadata!X250,"restricted access"))),AND(IF(Metadata!X250="",FALSE,TRUE),OR(exact(Metadata!X250,"TRUE"),exact(Metadata!X250,"FALSE"))))</f>
        <v>0</v>
      </c>
      <c r="BK250">
        <f>AND(IF(Metadata!Y250="",FALSE,TRUE),exact(Metadata!Y250,"other"))</f>
        <v>0</v>
      </c>
      <c r="BL250">
        <f>IF(Metadata!Z250="",FALSE,TRUE)</f>
        <v>0</v>
      </c>
      <c r="BM250">
        <f>OR(AND(IF(Metadata!AA250="",FALSE,TRUE),OR(exact(Metadata!AA250,"not collected"),exact(Metadata!AA250,"not provided"))),AND(IF(Metadata!AA250="",FALSE,IF(ISERROR(INT(Metadata!AA250)),FALSE,INT(Metadata!AA250)=Metadata!AA250)),Metadata!AA250&gt;0))</f>
        <v>0</v>
      </c>
      <c r="BN250">
        <f>AND(IF(Metadata!AB250="",FALSE,TRUE),exact(Metadata!AB250,"Not applicable"))</f>
        <v>0</v>
      </c>
      <c r="BO250">
        <f>IF(Metadata!AC250="",FALSE,TRUE)</f>
        <v>0</v>
      </c>
    </row>
    <row r="251" spans="1:67">
      <c r="A251" s="5">
        <f>IF(B251=" "," ",HYPERLINK(CONCATENATE("#metadata!",ADDRESS(INDEX($AI$2:$AI$1001,MATCH(ROWS($AG$2:AG251),$AG$2:$AG$1001,0),0),1)),INDEX($AL$2:$AL$1001,MATCH(ROWS($AG$2:AG251),$AG$2:$AG$1001,0),0)))</f>
        <v>0</v>
      </c>
      <c r="B251" s="4">
        <f>IF(OR(INDEX($AH$2:$AH$1001,MATCH(ROWS($AG$2:AG251),$AG$2:$AG$1001,0),1)&gt;=100000,INDEX($AN$1005:$BO$1005,1,MATCH(COLUMNS($AN$1006:AN1006),$AN$1006:$BO$1006,0))&gt;=100000), " ",IF(INDEX($AN$2:$BO$1001,MATCH(ROWS($AG$2:AG251),$AG$2:$AG$1001,0),MATCH(COLUMNS($AN$1006:AN1006),$AN$1006:$BO$1006,0)), HYPERLINK("#",""), HYPERLINK(CONCATENATE("#Metadata!", ADDRESS(INDEX($AI$2:$AI$1001,MATCH(ROWS($AG$2:AG251),$AG$2:$AG$1001,0),0), INDEX($AN$1004:$BO$1004,1,MATCH(COLUMNS($AN$1006:AN1006),$AN$1006:$BO$1006,0)))),"Fix")))</f>
        <v>0</v>
      </c>
      <c r="C251" s="4">
        <f>IF(OR(INDEX($AH$2:$AH$1001,MATCH(ROWS($AG$2:AG251),$AG$2:$AG$1001,0),1)&gt;=100000,INDEX($AN$1005:$BO$1005,1,MATCH(COLUMNS($AN$1006:AO1006),$AN$1006:$BO$1006,0))&gt;=100000), " ",IF(INDEX($AN$2:$BO$1001,MATCH(ROWS($AG$2:AG251),$AG$2:$AG$1001,0),MATCH(COLUMNS($AN$1006:AO1006),$AN$1006:$BO$1006,0)), HYPERLINK("#",""), HYPERLINK(CONCATENATE("#Metadata!", ADDRESS(INDEX($AI$2:$AI$1001,MATCH(ROWS($AG$2:AG251),$AG$2:$AG$1001,0),0), INDEX($AN$1004:$BO$1004,1,MATCH(COLUMNS($AN$1006:AO1006),$AN$1006:$BO$1006,0)))),"Fix")))</f>
        <v>0</v>
      </c>
      <c r="D251" s="4">
        <f>IF(OR(INDEX($AH$2:$AH$1001,MATCH(ROWS($AG$2:AG251),$AG$2:$AG$1001,0),1)&gt;=100000,INDEX($AN$1005:$BO$1005,1,MATCH(COLUMNS($AN$1006:AP1006),$AN$1006:$BO$1006,0))&gt;=100000), " ",IF(INDEX($AN$2:$BO$1001,MATCH(ROWS($AG$2:AG251),$AG$2:$AG$1001,0),MATCH(COLUMNS($AN$1006:AP1006),$AN$1006:$BO$1006,0)), HYPERLINK("#",""), HYPERLINK(CONCATENATE("#Metadata!", ADDRESS(INDEX($AI$2:$AI$1001,MATCH(ROWS($AG$2:AG251),$AG$2:$AG$1001,0),0), INDEX($AN$1004:$BO$1004,1,MATCH(COLUMNS($AN$1006:AP1006),$AN$1006:$BO$1006,0)))),"Fix")))</f>
        <v>0</v>
      </c>
      <c r="E251" s="4">
        <f>IF(OR(INDEX($AH$2:$AH$1001,MATCH(ROWS($AG$2:AG251),$AG$2:$AG$1001,0),1)&gt;=100000,INDEX($AN$1005:$BO$1005,1,MATCH(COLUMNS($AN$1006:AQ1006),$AN$1006:$BO$1006,0))&gt;=100000), " ",IF(INDEX($AN$2:$BO$1001,MATCH(ROWS($AG$2:AG251),$AG$2:$AG$1001,0),MATCH(COLUMNS($AN$1006:AQ1006),$AN$1006:$BO$1006,0)), HYPERLINK("#",""), HYPERLINK(CONCATENATE("#Metadata!", ADDRESS(INDEX($AI$2:$AI$1001,MATCH(ROWS($AG$2:AG251),$AG$2:$AG$1001,0),0), INDEX($AN$1004:$BO$1004,1,MATCH(COLUMNS($AN$1006:AQ1006),$AN$1006:$BO$1006,0)))),"Fix")))</f>
        <v>0</v>
      </c>
      <c r="F251" s="4">
        <f>IF(OR(INDEX($AH$2:$AH$1001,MATCH(ROWS($AG$2:AG251),$AG$2:$AG$1001,0),1)&gt;=100000,INDEX($AN$1005:$BO$1005,1,MATCH(COLUMNS($AN$1006:AR1006),$AN$1006:$BO$1006,0))&gt;=100000), " ",IF(INDEX($AN$2:$BO$1001,MATCH(ROWS($AG$2:AG251),$AG$2:$AG$1001,0),MATCH(COLUMNS($AN$1006:AR1006),$AN$1006:$BO$1006,0)), HYPERLINK("#",""), HYPERLINK(CONCATENATE("#Metadata!", ADDRESS(INDEX($AI$2:$AI$1001,MATCH(ROWS($AG$2:AG251),$AG$2:$AG$1001,0),0), INDEX($AN$1004:$BO$1004,1,MATCH(COLUMNS($AN$1006:AR1006),$AN$1006:$BO$1006,0)))),"Fix")))</f>
        <v>0</v>
      </c>
      <c r="G251" s="4">
        <f>IF(OR(INDEX($AH$2:$AH$1001,MATCH(ROWS($AG$2:AG251),$AG$2:$AG$1001,0),1)&gt;=100000,INDEX($AN$1005:$BO$1005,1,MATCH(COLUMNS($AN$1006:AS1006),$AN$1006:$BO$1006,0))&gt;=100000), " ",IF(INDEX($AN$2:$BO$1001,MATCH(ROWS($AG$2:AG251),$AG$2:$AG$1001,0),MATCH(COLUMNS($AN$1006:AS1006),$AN$1006:$BO$1006,0)), HYPERLINK("#",""), HYPERLINK(CONCATENATE("#Metadata!", ADDRESS(INDEX($AI$2:$AI$1001,MATCH(ROWS($AG$2:AG251),$AG$2:$AG$1001,0),0), INDEX($AN$1004:$BO$1004,1,MATCH(COLUMNS($AN$1006:AS1006),$AN$1006:$BO$1006,0)))),"Fix")))</f>
        <v>0</v>
      </c>
      <c r="H251" s="4">
        <f>IF(OR(INDEX($AH$2:$AH$1001,MATCH(ROWS($AG$2:AG251),$AG$2:$AG$1001,0),1)&gt;=100000,INDEX($AN$1005:$BO$1005,1,MATCH(COLUMNS($AN$1006:AT1006),$AN$1006:$BO$1006,0))&gt;=100000), " ",IF(INDEX($AN$2:$BO$1001,MATCH(ROWS($AG$2:AG251),$AG$2:$AG$1001,0),MATCH(COLUMNS($AN$1006:AT1006),$AN$1006:$BO$1006,0)), HYPERLINK("#",""), HYPERLINK(CONCATENATE("#Metadata!", ADDRESS(INDEX($AI$2:$AI$1001,MATCH(ROWS($AG$2:AG251),$AG$2:$AG$1001,0),0), INDEX($AN$1004:$BO$1004,1,MATCH(COLUMNS($AN$1006:AT1006),$AN$1006:$BO$1006,0)))),"Fix")))</f>
        <v>0</v>
      </c>
      <c r="I251" s="4">
        <f>IF(OR(INDEX($AH$2:$AH$1001,MATCH(ROWS($AG$2:AG251),$AG$2:$AG$1001,0),1)&gt;=100000,INDEX($AN$1005:$BO$1005,1,MATCH(COLUMNS($AN$1006:AU1006),$AN$1006:$BO$1006,0))&gt;=100000), " ",IF(INDEX($AN$2:$BO$1001,MATCH(ROWS($AG$2:AG251),$AG$2:$AG$1001,0),MATCH(COLUMNS($AN$1006:AU1006),$AN$1006:$BO$1006,0)), HYPERLINK("#",""), HYPERLINK(CONCATENATE("#Metadata!", ADDRESS(INDEX($AI$2:$AI$1001,MATCH(ROWS($AG$2:AG251),$AG$2:$AG$1001,0),0), INDEX($AN$1004:$BO$1004,1,MATCH(COLUMNS($AN$1006:AU1006),$AN$1006:$BO$1006,0)))),"Fix")))</f>
        <v>0</v>
      </c>
      <c r="J251" s="4">
        <f>IF(OR(INDEX($AH$2:$AH$1001,MATCH(ROWS($AG$2:AG251),$AG$2:$AG$1001,0),1)&gt;=100000,INDEX($AN$1005:$BO$1005,1,MATCH(COLUMNS($AN$1006:AV1006),$AN$1006:$BO$1006,0))&gt;=100000), " ",IF(INDEX($AN$2:$BO$1001,MATCH(ROWS($AG$2:AG251),$AG$2:$AG$1001,0),MATCH(COLUMNS($AN$1006:AV1006),$AN$1006:$BO$1006,0)), HYPERLINK("#",""), HYPERLINK(CONCATENATE("#Metadata!", ADDRESS(INDEX($AI$2:$AI$1001,MATCH(ROWS($AG$2:AG251),$AG$2:$AG$1001,0),0), INDEX($AN$1004:$BO$1004,1,MATCH(COLUMNS($AN$1006:AV1006),$AN$1006:$BO$1006,0)))),"Fix")))</f>
        <v>0</v>
      </c>
      <c r="K251" s="4">
        <f>IF(OR(INDEX($AH$2:$AH$1001,MATCH(ROWS($AG$2:AG251),$AG$2:$AG$1001,0),1)&gt;=100000,INDEX($AN$1005:$BO$1005,1,MATCH(COLUMNS($AN$1006:AW1006),$AN$1006:$BO$1006,0))&gt;=100000), " ",IF(INDEX($AN$2:$BO$1001,MATCH(ROWS($AG$2:AG251),$AG$2:$AG$1001,0),MATCH(COLUMNS($AN$1006:AW1006),$AN$1006:$BO$1006,0)), HYPERLINK("#",""), HYPERLINK(CONCATENATE("#Metadata!", ADDRESS(INDEX($AI$2:$AI$1001,MATCH(ROWS($AG$2:AG251),$AG$2:$AG$1001,0),0), INDEX($AN$1004:$BO$1004,1,MATCH(COLUMNS($AN$1006:AW1006),$AN$1006:$BO$1006,0)))),"Fix")))</f>
        <v>0</v>
      </c>
      <c r="L251" s="4">
        <f>IF(OR(INDEX($AH$2:$AH$1001,MATCH(ROWS($AG$2:AG251),$AG$2:$AG$1001,0),1)&gt;=100000,INDEX($AN$1005:$BO$1005,1,MATCH(COLUMNS($AN$1006:AX1006),$AN$1006:$BO$1006,0))&gt;=100000), " ",IF(INDEX($AN$2:$BO$1001,MATCH(ROWS($AG$2:AG251),$AG$2:$AG$1001,0),MATCH(COLUMNS($AN$1006:AX1006),$AN$1006:$BO$1006,0)), HYPERLINK("#",""), HYPERLINK(CONCATENATE("#Metadata!", ADDRESS(INDEX($AI$2:$AI$1001,MATCH(ROWS($AG$2:AG251),$AG$2:$AG$1001,0),0), INDEX($AN$1004:$BO$1004,1,MATCH(COLUMNS($AN$1006:AX1006),$AN$1006:$BO$1006,0)))),"Fix")))</f>
        <v>0</v>
      </c>
      <c r="M251" s="4">
        <f>IF(OR(INDEX($AH$2:$AH$1001,MATCH(ROWS($AG$2:AG251),$AG$2:$AG$1001,0),1)&gt;=100000,INDEX($AN$1005:$BO$1005,1,MATCH(COLUMNS($AN$1006:AY1006),$AN$1006:$BO$1006,0))&gt;=100000), " ",IF(INDEX($AN$2:$BO$1001,MATCH(ROWS($AG$2:AG251),$AG$2:$AG$1001,0),MATCH(COLUMNS($AN$1006:AY1006),$AN$1006:$BO$1006,0)), HYPERLINK("#",""), HYPERLINK(CONCATENATE("#Metadata!", ADDRESS(INDEX($AI$2:$AI$1001,MATCH(ROWS($AG$2:AG251),$AG$2:$AG$1001,0),0), INDEX($AN$1004:$BO$1004,1,MATCH(COLUMNS($AN$1006:AY1006),$AN$1006:$BO$1006,0)))),"Fix")))</f>
        <v>0</v>
      </c>
      <c r="N251" s="4">
        <f>IF(OR(INDEX($AH$2:$AH$1001,MATCH(ROWS($AG$2:AG251),$AG$2:$AG$1001,0),1)&gt;=100000,INDEX($AN$1005:$BO$1005,1,MATCH(COLUMNS($AN$1006:AZ1006),$AN$1006:$BO$1006,0))&gt;=100000), " ",IF(INDEX($AN$2:$BO$1001,MATCH(ROWS($AG$2:AG251),$AG$2:$AG$1001,0),MATCH(COLUMNS($AN$1006:AZ1006),$AN$1006:$BO$1006,0)), HYPERLINK("#",""), HYPERLINK(CONCATENATE("#Metadata!", ADDRESS(INDEX($AI$2:$AI$1001,MATCH(ROWS($AG$2:AG251),$AG$2:$AG$1001,0),0), INDEX($AN$1004:$BO$1004,1,MATCH(COLUMNS($AN$1006:AZ1006),$AN$1006:$BO$1006,0)))),"Fix")))</f>
        <v>0</v>
      </c>
      <c r="O251" s="4">
        <f>IF(OR(INDEX($AH$2:$AH$1001,MATCH(ROWS($AG$2:AG251),$AG$2:$AG$1001,0),1)&gt;=100000,INDEX($AN$1005:$BO$1005,1,MATCH(COLUMNS($AN$1006:BA1006),$AN$1006:$BO$1006,0))&gt;=100000), " ",IF(INDEX($AN$2:$BO$1001,MATCH(ROWS($AG$2:AG251),$AG$2:$AG$1001,0),MATCH(COLUMNS($AN$1006:BA1006),$AN$1006:$BO$1006,0)), HYPERLINK("#",""), HYPERLINK(CONCATENATE("#Metadata!", ADDRESS(INDEX($AI$2:$AI$1001,MATCH(ROWS($AG$2:AG251),$AG$2:$AG$1001,0),0), INDEX($AN$1004:$BO$1004,1,MATCH(COLUMNS($AN$1006:BA1006),$AN$1006:$BO$1006,0)))),"Fix")))</f>
        <v>0</v>
      </c>
      <c r="P251" s="4">
        <f>IF(OR(INDEX($AH$2:$AH$1001,MATCH(ROWS($AG$2:AG251),$AG$2:$AG$1001,0),1)&gt;=100000,INDEX($AN$1005:$BO$1005,1,MATCH(COLUMNS($AN$1006:BB1006),$AN$1006:$BO$1006,0))&gt;=100000), " ",IF(INDEX($AN$2:$BO$1001,MATCH(ROWS($AG$2:AG251),$AG$2:$AG$1001,0),MATCH(COLUMNS($AN$1006:BB1006),$AN$1006:$BO$1006,0)), HYPERLINK("#",""), HYPERLINK(CONCATENATE("#Metadata!", ADDRESS(INDEX($AI$2:$AI$1001,MATCH(ROWS($AG$2:AG251),$AG$2:$AG$1001,0),0), INDEX($AN$1004:$BO$1004,1,MATCH(COLUMNS($AN$1006:BB1006),$AN$1006:$BO$1006,0)))),"Fix")))</f>
        <v>0</v>
      </c>
      <c r="Q251" s="4">
        <f>IF(OR(INDEX($AH$2:$AH$1001,MATCH(ROWS($AG$2:AG251),$AG$2:$AG$1001,0),1)&gt;=100000,INDEX($AN$1005:$BO$1005,1,MATCH(COLUMNS($AN$1006:BC1006),$AN$1006:$BO$1006,0))&gt;=100000), " ",IF(INDEX($AN$2:$BO$1001,MATCH(ROWS($AG$2:AG251),$AG$2:$AG$1001,0),MATCH(COLUMNS($AN$1006:BC1006),$AN$1006:$BO$1006,0)), HYPERLINK("#",""), HYPERLINK(CONCATENATE("#Metadata!", ADDRESS(INDEX($AI$2:$AI$1001,MATCH(ROWS($AG$2:AG251),$AG$2:$AG$1001,0),0), INDEX($AN$1004:$BO$1004,1,MATCH(COLUMNS($AN$1006:BC1006),$AN$1006:$BO$1006,0)))),"Fix")))</f>
        <v>0</v>
      </c>
      <c r="R251" s="4">
        <f>IF(OR(INDEX($AH$2:$AH$1001,MATCH(ROWS($AG$2:AG251),$AG$2:$AG$1001,0),1)&gt;=100000,INDEX($AN$1005:$BO$1005,1,MATCH(COLUMNS($AN$1006:BD1006),$AN$1006:$BO$1006,0))&gt;=100000), " ",IF(INDEX($AN$2:$BO$1001,MATCH(ROWS($AG$2:AG251),$AG$2:$AG$1001,0),MATCH(COLUMNS($AN$1006:BD1006),$AN$1006:$BO$1006,0)), HYPERLINK("#",""), HYPERLINK(CONCATENATE("#Metadata!", ADDRESS(INDEX($AI$2:$AI$1001,MATCH(ROWS($AG$2:AG251),$AG$2:$AG$1001,0),0), INDEX($AN$1004:$BO$1004,1,MATCH(COLUMNS($AN$1006:BD1006),$AN$1006:$BO$1006,0)))),"Fix")))</f>
        <v>0</v>
      </c>
      <c r="S251" s="4">
        <f>IF(OR(INDEX($AH$2:$AH$1001,MATCH(ROWS($AG$2:AG251),$AG$2:$AG$1001,0),1)&gt;=100000,INDEX($AN$1005:$BO$1005,1,MATCH(COLUMNS($AN$1006:BE1006),$AN$1006:$BO$1006,0))&gt;=100000), " ",IF(INDEX($AN$2:$BO$1001,MATCH(ROWS($AG$2:AG251),$AG$2:$AG$1001,0),MATCH(COLUMNS($AN$1006:BE1006),$AN$1006:$BO$1006,0)), HYPERLINK("#",""), HYPERLINK(CONCATENATE("#Metadata!", ADDRESS(INDEX($AI$2:$AI$1001,MATCH(ROWS($AG$2:AG251),$AG$2:$AG$1001,0),0), INDEX($AN$1004:$BO$1004,1,MATCH(COLUMNS($AN$1006:BE1006),$AN$1006:$BO$1006,0)))),"Fix")))</f>
        <v>0</v>
      </c>
      <c r="T251" s="4">
        <f>IF(OR(INDEX($AH$2:$AH$1001,MATCH(ROWS($AG$2:AG251),$AG$2:$AG$1001,0),1)&gt;=100000,INDEX($AN$1005:$BO$1005,1,MATCH(COLUMNS($AN$1006:BF1006),$AN$1006:$BO$1006,0))&gt;=100000), " ",IF(INDEX($AN$2:$BO$1001,MATCH(ROWS($AG$2:AG251),$AG$2:$AG$1001,0),MATCH(COLUMNS($AN$1006:BF1006),$AN$1006:$BO$1006,0)), HYPERLINK("#",""), HYPERLINK(CONCATENATE("#Metadata!", ADDRESS(INDEX($AI$2:$AI$1001,MATCH(ROWS($AG$2:AG251),$AG$2:$AG$1001,0),0), INDEX($AN$1004:$BO$1004,1,MATCH(COLUMNS($AN$1006:BF1006),$AN$1006:$BO$1006,0)))),"Fix")))</f>
        <v>0</v>
      </c>
      <c r="U251" s="4">
        <f>IF(OR(INDEX($AH$2:$AH$1001,MATCH(ROWS($AG$2:AG251),$AG$2:$AG$1001,0),1)&gt;=100000,INDEX($AN$1005:$BO$1005,1,MATCH(COLUMNS($AN$1006:BG1006),$AN$1006:$BO$1006,0))&gt;=100000), " ",IF(INDEX($AN$2:$BO$1001,MATCH(ROWS($AG$2:AG251),$AG$2:$AG$1001,0),MATCH(COLUMNS($AN$1006:BG1006),$AN$1006:$BO$1006,0)), HYPERLINK("#",""), HYPERLINK(CONCATENATE("#Metadata!", ADDRESS(INDEX($AI$2:$AI$1001,MATCH(ROWS($AG$2:AG251),$AG$2:$AG$1001,0),0), INDEX($AN$1004:$BO$1004,1,MATCH(COLUMNS($AN$1006:BG1006),$AN$1006:$BO$1006,0)))),"Fix")))</f>
        <v>0</v>
      </c>
      <c r="V251" s="4">
        <f>IF(OR(INDEX($AH$2:$AH$1001,MATCH(ROWS($AG$2:AG251),$AG$2:$AG$1001,0),1)&gt;=100000,INDEX($AN$1005:$BO$1005,1,MATCH(COLUMNS($AN$1006:BH1006),$AN$1006:$BO$1006,0))&gt;=100000), " ",IF(INDEX($AN$2:$BO$1001,MATCH(ROWS($AG$2:AG251),$AG$2:$AG$1001,0),MATCH(COLUMNS($AN$1006:BH1006),$AN$1006:$BO$1006,0)), HYPERLINK("#",""), HYPERLINK(CONCATENATE("#Metadata!", ADDRESS(INDEX($AI$2:$AI$1001,MATCH(ROWS($AG$2:AG251),$AG$2:$AG$1001,0),0), INDEX($AN$1004:$BO$1004,1,MATCH(COLUMNS($AN$1006:BH1006),$AN$1006:$BO$1006,0)))),"Fix")))</f>
        <v>0</v>
      </c>
      <c r="W251" s="4">
        <f>IF(OR(INDEX($AH$2:$AH$1001,MATCH(ROWS($AG$2:AG251),$AG$2:$AG$1001,0),1)&gt;=100000,INDEX($AN$1005:$BO$1005,1,MATCH(COLUMNS($AN$1006:BI1006),$AN$1006:$BO$1006,0))&gt;=100000), " ",IF(INDEX($AN$2:$BO$1001,MATCH(ROWS($AG$2:AG251),$AG$2:$AG$1001,0),MATCH(COLUMNS($AN$1006:BI1006),$AN$1006:$BO$1006,0)), HYPERLINK("#",""), HYPERLINK(CONCATENATE("#Metadata!", ADDRESS(INDEX($AI$2:$AI$1001,MATCH(ROWS($AG$2:AG251),$AG$2:$AG$1001,0),0), INDEX($AN$1004:$BO$1004,1,MATCH(COLUMNS($AN$1006:BI1006),$AN$1006:$BO$1006,0)))),"Fix")))</f>
        <v>0</v>
      </c>
      <c r="X251" s="4">
        <f>IF(OR(INDEX($AH$2:$AH$1001,MATCH(ROWS($AG$2:AG251),$AG$2:$AG$1001,0),1)&gt;=100000,INDEX($AN$1005:$BO$1005,1,MATCH(COLUMNS($AN$1006:BJ1006),$AN$1006:$BO$1006,0))&gt;=100000), " ",IF(INDEX($AN$2:$BO$1001,MATCH(ROWS($AG$2:AG251),$AG$2:$AG$1001,0),MATCH(COLUMNS($AN$1006:BJ1006),$AN$1006:$BO$1006,0)), HYPERLINK("#",""), HYPERLINK(CONCATENATE("#Metadata!", ADDRESS(INDEX($AI$2:$AI$1001,MATCH(ROWS($AG$2:AG251),$AG$2:$AG$1001,0),0), INDEX($AN$1004:$BO$1004,1,MATCH(COLUMNS($AN$1006:BJ1006),$AN$1006:$BO$1006,0)))),"Fix")))</f>
        <v>0</v>
      </c>
      <c r="Y251" s="4">
        <f>IF(OR(INDEX($AH$2:$AH$1001,MATCH(ROWS($AG$2:AG251),$AG$2:$AG$1001,0),1)&gt;=100000,INDEX($AN$1005:$BO$1005,1,MATCH(COLUMNS($AN$1006:BK1006),$AN$1006:$BO$1006,0))&gt;=100000), " ",IF(INDEX($AN$2:$BO$1001,MATCH(ROWS($AG$2:AG251),$AG$2:$AG$1001,0),MATCH(COLUMNS($AN$1006:BK1006),$AN$1006:$BO$1006,0)), HYPERLINK("#",""), HYPERLINK(CONCATENATE("#Metadata!", ADDRESS(INDEX($AI$2:$AI$1001,MATCH(ROWS($AG$2:AG251),$AG$2:$AG$1001,0),0), INDEX($AN$1004:$BO$1004,1,MATCH(COLUMNS($AN$1006:BK1006),$AN$1006:$BO$1006,0)))),"Fix")))</f>
        <v>0</v>
      </c>
      <c r="Z251" s="4">
        <f>IF(OR(INDEX($AH$2:$AH$1001,MATCH(ROWS($AG$2:AG251),$AG$2:$AG$1001,0),1)&gt;=100000,INDEX($AN$1005:$BO$1005,1,MATCH(COLUMNS($AN$1006:BL1006),$AN$1006:$BO$1006,0))&gt;=100000), " ",IF(INDEX($AN$2:$BO$1001,MATCH(ROWS($AG$2:AG251),$AG$2:$AG$1001,0),MATCH(COLUMNS($AN$1006:BL1006),$AN$1006:$BO$1006,0)), HYPERLINK("#",""), HYPERLINK(CONCATENATE("#Metadata!", ADDRESS(INDEX($AI$2:$AI$1001,MATCH(ROWS($AG$2:AG251),$AG$2:$AG$1001,0),0), INDEX($AN$1004:$BO$1004,1,MATCH(COLUMNS($AN$1006:BL1006),$AN$1006:$BO$1006,0)))),"Fix")))</f>
        <v>0</v>
      </c>
      <c r="AA251" s="4">
        <f>IF(OR(INDEX($AH$2:$AH$1001,MATCH(ROWS($AG$2:AG251),$AG$2:$AG$1001,0),1)&gt;=100000,INDEX($AN$1005:$BO$1005,1,MATCH(COLUMNS($AN$1006:BM1006),$AN$1006:$BO$1006,0))&gt;=100000), " ",IF(INDEX($AN$2:$BO$1001,MATCH(ROWS($AG$2:AG251),$AG$2:$AG$1001,0),MATCH(COLUMNS($AN$1006:BM1006),$AN$1006:$BO$1006,0)), HYPERLINK("#",""), HYPERLINK(CONCATENATE("#Metadata!", ADDRESS(INDEX($AI$2:$AI$1001,MATCH(ROWS($AG$2:AG251),$AG$2:$AG$1001,0),0), INDEX($AN$1004:$BO$1004,1,MATCH(COLUMNS($AN$1006:BM1006),$AN$1006:$BO$1006,0)))),"Fix")))</f>
        <v>0</v>
      </c>
      <c r="AB251" s="4">
        <f>IF(OR(INDEX($AH$2:$AH$1001,MATCH(ROWS($AG$2:AG251),$AG$2:$AG$1001,0),1)&gt;=100000,INDEX($AN$1005:$BO$1005,1,MATCH(COLUMNS($AN$1006:BN1006),$AN$1006:$BO$1006,0))&gt;=100000), " ",IF(INDEX($AN$2:$BO$1001,MATCH(ROWS($AG$2:AG251),$AG$2:$AG$1001,0),MATCH(COLUMNS($AN$1006:BN1006),$AN$1006:$BO$1006,0)), HYPERLINK("#",""), HYPERLINK(CONCATENATE("#Metadata!", ADDRESS(INDEX($AI$2:$AI$1001,MATCH(ROWS($AG$2:AG251),$AG$2:$AG$1001,0),0), INDEX($AN$1004:$BO$1004,1,MATCH(COLUMNS($AN$1006:BN1006),$AN$1006:$BO$1006,0)))),"Fix")))</f>
        <v>0</v>
      </c>
      <c r="AC251" s="4">
        <f>IF(OR(INDEX($AH$2:$AH$1001,MATCH(ROWS($AG$2:AG251),$AG$2:$AG$1001,0),1)&gt;=100000,INDEX($AN$1005:$BO$1005,1,MATCH(COLUMNS($AN$1006:BO1006),$AN$1006:$BO$1006,0))&gt;=100000), " ",IF(INDEX($AN$2:$BO$1001,MATCH(ROWS($AG$2:AG251),$AG$2:$AG$1001,0),MATCH(COLUMNS($AN$1006:BO1006),$AN$1006:$BO$1006,0)), HYPERLINK("#",""), HYPERLINK(CONCATENATE("#Metadata!", ADDRESS(INDEX($AI$2:$AI$1001,MATCH(ROWS($AG$2:AG251),$AG$2:$AG$1001,0),0), INDEX($AN$1004:$BO$1004,1,MATCH(COLUMNS($AN$1006:BO1006),$AN$1006:$BO$1006,0)))),"Fix")))</f>
        <v>0</v>
      </c>
      <c r="AG251">
        <v>0</v>
      </c>
      <c r="AH251">
        <v>0</v>
      </c>
      <c r="AI251">
        <v>0</v>
      </c>
      <c r="AJ251">
        <f>IF(AK251,TRUE,AND(AN251:BO251))</f>
        <v>0</v>
      </c>
      <c r="AK251">
        <f>COUNTBLANK(Metadata!B251:AC251)=COLUMNS(Metadata!B251:AC251)</f>
        <v>0</v>
      </c>
      <c r="AL251">
        <v>0</v>
      </c>
      <c r="AN251">
        <f>AND(IF(Metadata!B251="",FALSE,TRUE),COUNTIF(Metadata!B:B, Metadata!B251) = 1,NOT(ISERROR(SUMPRODUCT(SEARCH(MID(Metadata!B251,ROW(INDIRECT("1:"&amp;LEN(Metadata!B251))), 1),"0123456789abcdefghijklmnopqrstuvwxyzABCDEFGHIJKLMNOPQRSTUVWXYZ.")))))</f>
        <v>0</v>
      </c>
      <c r="AO251">
        <f>IF(Metadata!C251="",FALSE,TRUE)</f>
        <v>0</v>
      </c>
      <c r="AP251">
        <f>IF(Metadata!D251="",FALSE,TRUE)</f>
        <v>0</v>
      </c>
      <c r="AQ251">
        <f>OR(AND(IF(Metadata!E251="",FALSE,TRUE),OR(exact(Metadata!E251,"not collected"),exact(Metadata!E251,"not provided"),exact(Metadata!E251,"restricted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R251">
        <f>IF(Metadata!F251="",FALSE,TRUE)</f>
        <v>0</v>
      </c>
      <c r="AS251">
        <f>OR(AND(IF(Metadata!G251="",FALSE,TRUE),OR(exact(Metadata!G251,"not collected"),exact(Metadata!G251,"not provided"))),AND(IF(Metadata!G251="",FALSE,TRUE),OR(exact(Metadata!G251,"TRUE"),exact(Metadata!G251,"FALSE"))))</f>
        <v>0</v>
      </c>
      <c r="AT251">
        <f>OR(AND(IF(Metadata!H251="",FALSE,TRUE),OR(exact(Metadata!H251,"not collected"),exact(Metadata!H251,"not provided"),exact(Metadata!H251,"restricted access"))),AND(IF(Metadata!H251="",FALSE,ISNUMBER(VALUE(Metadata!H251))),Metadata!H251&gt;=-413.0))</f>
        <v>0</v>
      </c>
      <c r="AU251">
        <f>AND(IF(Metadata!I251="",FALSE,TRUE),exact(Metadata!I251,"meters"))</f>
        <v>0</v>
      </c>
      <c r="AV251">
        <f>AND(IF(Metadata!J251="",FALSE,TRUE),OR(exact(Metadata!J251,"Host-associated"),exact(Metadata!J251,"Free-living")))</f>
        <v>0</v>
      </c>
      <c r="AW251">
        <f>AND(IF(Metadata!K251="",FALSE,TRUE),OR(exact(Metadata!K251,"Animal"),exact(Metadata!K251,"Fungus"),exact(Metadata!K251,"Plant"),exact(Metadata!K251,"Saline"),exact(Metadata!K251,"Non-saline")))</f>
        <v>0</v>
      </c>
      <c r="AX251">
        <f>AND(IF(Metadata!L251="",FALSE,TRUE),OR(exact(Metadata!L251,"Plant secretion"),exact(Metadata!L251,"Plant rhizosphere"),exact(Metadata!L251,"Plant surface"),exact(Metadata!L251,"Plant corpus"),exact(Metadata!L251,"Fungus surface"),exact(Metadata!L251,"Fungus corpus"),exact(Metadata!L251,"Animal surface"),exact(Metadata!L251,"Animal proximal gut"),exact(Metadata!L251,"Animal corpus"),exact(Metadata!L251,"Animal distal gut"),exact(Metadata!L251,"Animal secretion"),exact(Metadata!L251,"Sub-surface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Y251">
        <f>IF(Metadata!M251="",FALSE,TRUE)</f>
        <v>0</v>
      </c>
      <c r="AZ251">
        <f>IF(Metadata!N251="",FALSE,TRUE)</f>
        <v>0</v>
      </c>
      <c r="BA251">
        <f>IF(Metadata!O251="",FALSE,TRUE)</f>
        <v>0</v>
      </c>
      <c r="BB251">
        <f>OR(AND(IF(Metadata!P251="",FALSE,TRUE),OR(exact(Metadata!P251,"not collected"),exact(Metadata!P251,"not provided"),exact(Metadata!P251,"restricted access"))),AND(IF(Metadata!P251="",FALSE,TRUE),OR(exact(Metadata!P251,"air"),exact(Metadata!P251,"built environment"),exact(Metadata!P251,"host-associated"),exact(Metadata!P251,"human-associated"),exact(Metadata!P251,"human-skin"),exact(Metadata!P251,"human-oral"),exact(Metadata!P251,"human-gut"),exact(Metadata!P251,"human-vaginal"),exact(Metadata!P251,"microbial mat/biofilm"),exact(Metadata!P251,"misc environment"),exact(Metadata!P251,"plant-associated"),exact(Metadata!P251,"sediment"),exact(Metadata!P251,"soil"),exact(Metadata!P251,"wastewater/sludge"),exact(Metadata!P251,"water"))))</f>
        <v>0</v>
      </c>
      <c r="BC251">
        <f>IF(Metadata!Q251="",FALSE,TRUE)</f>
        <v>0</v>
      </c>
      <c r="BD251">
        <f>IF(Metadata!R251="",FALSE,TRUE)</f>
        <v>0</v>
      </c>
      <c r="BE251">
        <f>OR(AND(IF(Metadata!S251="",FALSE,TRUE),OR(exact(Metadata!S251,"not collected"),exact(Metadata!S251,"not provided"),exact(Metadata!S251,"restricted access"))),AND(IF(Metadata!S251="",FALSE,ISNUMBER(VALUE(Metadata!S251))),Metadata!S251&gt;=-90.00,Metadata!S251&lt;=90.00))</f>
        <v>0</v>
      </c>
      <c r="BF251">
        <f>AND(IF(Metadata!T251="",FALSE,TRUE),exact(Metadata!T251,"Decimal degrees"))</f>
        <v>0</v>
      </c>
      <c r="BG251">
        <f>OR(AND(IF(Metadata!U251="",FALSE,TRUE),OR(exact(Metadata!U251,"not collected"),exact(Metadata!U251,"not provided"),exact(Metadata!U251,"restricted access"))),AND(IF(Metadata!U251="",FALSE,ISNUMBER(VALUE(Metadata!U251))),Metadata!U251&gt;=-180.00,Metadata!U251&lt;=180.00))</f>
        <v>0</v>
      </c>
      <c r="BH251">
        <f>AND(IF(Metadata!V251="",FALSE,TRUE),exact(Metadata!V251,"Decimal degrees"))</f>
        <v>0</v>
      </c>
      <c r="BI251">
        <f>IF(Metadata!W251="",FALSE,TRUE)</f>
        <v>0</v>
      </c>
      <c r="BJ251">
        <f>OR(AND(IF(Metadata!X251="",FALSE,TRUE),OR(exact(Metadata!X251,"not collected"),exact(Metadata!X251,"not provided"),exact(Metadata!X251,"restricted access"))),AND(IF(Metadata!X251="",FALSE,TRUE),OR(exact(Metadata!X251,"TRUE"),exact(Metadata!X251,"FALSE"))))</f>
        <v>0</v>
      </c>
      <c r="BK251">
        <f>AND(IF(Metadata!Y251="",FALSE,TRUE),exact(Metadata!Y251,"other"))</f>
        <v>0</v>
      </c>
      <c r="BL251">
        <f>IF(Metadata!Z251="",FALSE,TRUE)</f>
        <v>0</v>
      </c>
      <c r="BM251">
        <f>OR(AND(IF(Metadata!AA251="",FALSE,TRUE),OR(exact(Metadata!AA251,"not collected"),exact(Metadata!AA251,"not provided"))),AND(IF(Metadata!AA251="",FALSE,IF(ISERROR(INT(Metadata!AA251)),FALSE,INT(Metadata!AA251)=Metadata!AA251)),Metadata!AA251&gt;0))</f>
        <v>0</v>
      </c>
      <c r="BN251">
        <f>AND(IF(Metadata!AB251="",FALSE,TRUE),exact(Metadata!AB251,"Not applicable"))</f>
        <v>0</v>
      </c>
      <c r="BO251">
        <f>IF(Metadata!AC251="",FALSE,TRUE)</f>
        <v>0</v>
      </c>
    </row>
    <row r="252" spans="1:67">
      <c r="A252" s="5">
        <f>IF(B252=" "," ",HYPERLINK(CONCATENATE("#metadata!",ADDRESS(INDEX($AI$2:$AI$1001,MATCH(ROWS($AG$2:AG252),$AG$2:$AG$1001,0),0),1)),INDEX($AL$2:$AL$1001,MATCH(ROWS($AG$2:AG252),$AG$2:$AG$1001,0),0)))</f>
        <v>0</v>
      </c>
      <c r="B252" s="4">
        <f>IF(OR(INDEX($AH$2:$AH$1001,MATCH(ROWS($AG$2:AG252),$AG$2:$AG$1001,0),1)&gt;=100000,INDEX($AN$1005:$BO$1005,1,MATCH(COLUMNS($AN$1006:AN1006),$AN$1006:$BO$1006,0))&gt;=100000), " ",IF(INDEX($AN$2:$BO$1001,MATCH(ROWS($AG$2:AG252),$AG$2:$AG$1001,0),MATCH(COLUMNS($AN$1006:AN1006),$AN$1006:$BO$1006,0)), HYPERLINK("#",""), HYPERLINK(CONCATENATE("#Metadata!", ADDRESS(INDEX($AI$2:$AI$1001,MATCH(ROWS($AG$2:AG252),$AG$2:$AG$1001,0),0), INDEX($AN$1004:$BO$1004,1,MATCH(COLUMNS($AN$1006:AN1006),$AN$1006:$BO$1006,0)))),"Fix")))</f>
        <v>0</v>
      </c>
      <c r="C252" s="4">
        <f>IF(OR(INDEX($AH$2:$AH$1001,MATCH(ROWS($AG$2:AG252),$AG$2:$AG$1001,0),1)&gt;=100000,INDEX($AN$1005:$BO$1005,1,MATCH(COLUMNS($AN$1006:AO1006),$AN$1006:$BO$1006,0))&gt;=100000), " ",IF(INDEX($AN$2:$BO$1001,MATCH(ROWS($AG$2:AG252),$AG$2:$AG$1001,0),MATCH(COLUMNS($AN$1006:AO1006),$AN$1006:$BO$1006,0)), HYPERLINK("#",""), HYPERLINK(CONCATENATE("#Metadata!", ADDRESS(INDEX($AI$2:$AI$1001,MATCH(ROWS($AG$2:AG252),$AG$2:$AG$1001,0),0), INDEX($AN$1004:$BO$1004,1,MATCH(COLUMNS($AN$1006:AO1006),$AN$1006:$BO$1006,0)))),"Fix")))</f>
        <v>0</v>
      </c>
      <c r="D252" s="4">
        <f>IF(OR(INDEX($AH$2:$AH$1001,MATCH(ROWS($AG$2:AG252),$AG$2:$AG$1001,0),1)&gt;=100000,INDEX($AN$1005:$BO$1005,1,MATCH(COLUMNS($AN$1006:AP1006),$AN$1006:$BO$1006,0))&gt;=100000), " ",IF(INDEX($AN$2:$BO$1001,MATCH(ROWS($AG$2:AG252),$AG$2:$AG$1001,0),MATCH(COLUMNS($AN$1006:AP1006),$AN$1006:$BO$1006,0)), HYPERLINK("#",""), HYPERLINK(CONCATENATE("#Metadata!", ADDRESS(INDEX($AI$2:$AI$1001,MATCH(ROWS($AG$2:AG252),$AG$2:$AG$1001,0),0), INDEX($AN$1004:$BO$1004,1,MATCH(COLUMNS($AN$1006:AP1006),$AN$1006:$BO$1006,0)))),"Fix")))</f>
        <v>0</v>
      </c>
      <c r="E252" s="4">
        <f>IF(OR(INDEX($AH$2:$AH$1001,MATCH(ROWS($AG$2:AG252),$AG$2:$AG$1001,0),1)&gt;=100000,INDEX($AN$1005:$BO$1005,1,MATCH(COLUMNS($AN$1006:AQ1006),$AN$1006:$BO$1006,0))&gt;=100000), " ",IF(INDEX($AN$2:$BO$1001,MATCH(ROWS($AG$2:AG252),$AG$2:$AG$1001,0),MATCH(COLUMNS($AN$1006:AQ1006),$AN$1006:$BO$1006,0)), HYPERLINK("#",""), HYPERLINK(CONCATENATE("#Metadata!", ADDRESS(INDEX($AI$2:$AI$1001,MATCH(ROWS($AG$2:AG252),$AG$2:$AG$1001,0),0), INDEX($AN$1004:$BO$1004,1,MATCH(COLUMNS($AN$1006:AQ1006),$AN$1006:$BO$1006,0)))),"Fix")))</f>
        <v>0</v>
      </c>
      <c r="F252" s="4">
        <f>IF(OR(INDEX($AH$2:$AH$1001,MATCH(ROWS($AG$2:AG252),$AG$2:$AG$1001,0),1)&gt;=100000,INDEX($AN$1005:$BO$1005,1,MATCH(COLUMNS($AN$1006:AR1006),$AN$1006:$BO$1006,0))&gt;=100000), " ",IF(INDEX($AN$2:$BO$1001,MATCH(ROWS($AG$2:AG252),$AG$2:$AG$1001,0),MATCH(COLUMNS($AN$1006:AR1006),$AN$1006:$BO$1006,0)), HYPERLINK("#",""), HYPERLINK(CONCATENATE("#Metadata!", ADDRESS(INDEX($AI$2:$AI$1001,MATCH(ROWS($AG$2:AG252),$AG$2:$AG$1001,0),0), INDEX($AN$1004:$BO$1004,1,MATCH(COLUMNS($AN$1006:AR1006),$AN$1006:$BO$1006,0)))),"Fix")))</f>
        <v>0</v>
      </c>
      <c r="G252" s="4">
        <f>IF(OR(INDEX($AH$2:$AH$1001,MATCH(ROWS($AG$2:AG252),$AG$2:$AG$1001,0),1)&gt;=100000,INDEX($AN$1005:$BO$1005,1,MATCH(COLUMNS($AN$1006:AS1006),$AN$1006:$BO$1006,0))&gt;=100000), " ",IF(INDEX($AN$2:$BO$1001,MATCH(ROWS($AG$2:AG252),$AG$2:$AG$1001,0),MATCH(COLUMNS($AN$1006:AS1006),$AN$1006:$BO$1006,0)), HYPERLINK("#",""), HYPERLINK(CONCATENATE("#Metadata!", ADDRESS(INDEX($AI$2:$AI$1001,MATCH(ROWS($AG$2:AG252),$AG$2:$AG$1001,0),0), INDEX($AN$1004:$BO$1004,1,MATCH(COLUMNS($AN$1006:AS1006),$AN$1006:$BO$1006,0)))),"Fix")))</f>
        <v>0</v>
      </c>
      <c r="H252" s="4">
        <f>IF(OR(INDEX($AH$2:$AH$1001,MATCH(ROWS($AG$2:AG252),$AG$2:$AG$1001,0),1)&gt;=100000,INDEX($AN$1005:$BO$1005,1,MATCH(COLUMNS($AN$1006:AT1006),$AN$1006:$BO$1006,0))&gt;=100000), " ",IF(INDEX($AN$2:$BO$1001,MATCH(ROWS($AG$2:AG252),$AG$2:$AG$1001,0),MATCH(COLUMNS($AN$1006:AT1006),$AN$1006:$BO$1006,0)), HYPERLINK("#",""), HYPERLINK(CONCATENATE("#Metadata!", ADDRESS(INDEX($AI$2:$AI$1001,MATCH(ROWS($AG$2:AG252),$AG$2:$AG$1001,0),0), INDEX($AN$1004:$BO$1004,1,MATCH(COLUMNS($AN$1006:AT1006),$AN$1006:$BO$1006,0)))),"Fix")))</f>
        <v>0</v>
      </c>
      <c r="I252" s="4">
        <f>IF(OR(INDEX($AH$2:$AH$1001,MATCH(ROWS($AG$2:AG252),$AG$2:$AG$1001,0),1)&gt;=100000,INDEX($AN$1005:$BO$1005,1,MATCH(COLUMNS($AN$1006:AU1006),$AN$1006:$BO$1006,0))&gt;=100000), " ",IF(INDEX($AN$2:$BO$1001,MATCH(ROWS($AG$2:AG252),$AG$2:$AG$1001,0),MATCH(COLUMNS($AN$1006:AU1006),$AN$1006:$BO$1006,0)), HYPERLINK("#",""), HYPERLINK(CONCATENATE("#Metadata!", ADDRESS(INDEX($AI$2:$AI$1001,MATCH(ROWS($AG$2:AG252),$AG$2:$AG$1001,0),0), INDEX($AN$1004:$BO$1004,1,MATCH(COLUMNS($AN$1006:AU1006),$AN$1006:$BO$1006,0)))),"Fix")))</f>
        <v>0</v>
      </c>
      <c r="J252" s="4">
        <f>IF(OR(INDEX($AH$2:$AH$1001,MATCH(ROWS($AG$2:AG252),$AG$2:$AG$1001,0),1)&gt;=100000,INDEX($AN$1005:$BO$1005,1,MATCH(COLUMNS($AN$1006:AV1006),$AN$1006:$BO$1006,0))&gt;=100000), " ",IF(INDEX($AN$2:$BO$1001,MATCH(ROWS($AG$2:AG252),$AG$2:$AG$1001,0),MATCH(COLUMNS($AN$1006:AV1006),$AN$1006:$BO$1006,0)), HYPERLINK("#",""), HYPERLINK(CONCATENATE("#Metadata!", ADDRESS(INDEX($AI$2:$AI$1001,MATCH(ROWS($AG$2:AG252),$AG$2:$AG$1001,0),0), INDEX($AN$1004:$BO$1004,1,MATCH(COLUMNS($AN$1006:AV1006),$AN$1006:$BO$1006,0)))),"Fix")))</f>
        <v>0</v>
      </c>
      <c r="K252" s="4">
        <f>IF(OR(INDEX($AH$2:$AH$1001,MATCH(ROWS($AG$2:AG252),$AG$2:$AG$1001,0),1)&gt;=100000,INDEX($AN$1005:$BO$1005,1,MATCH(COLUMNS($AN$1006:AW1006),$AN$1006:$BO$1006,0))&gt;=100000), " ",IF(INDEX($AN$2:$BO$1001,MATCH(ROWS($AG$2:AG252),$AG$2:$AG$1001,0),MATCH(COLUMNS($AN$1006:AW1006),$AN$1006:$BO$1006,0)), HYPERLINK("#",""), HYPERLINK(CONCATENATE("#Metadata!", ADDRESS(INDEX($AI$2:$AI$1001,MATCH(ROWS($AG$2:AG252),$AG$2:$AG$1001,0),0), INDEX($AN$1004:$BO$1004,1,MATCH(COLUMNS($AN$1006:AW1006),$AN$1006:$BO$1006,0)))),"Fix")))</f>
        <v>0</v>
      </c>
      <c r="L252" s="4">
        <f>IF(OR(INDEX($AH$2:$AH$1001,MATCH(ROWS($AG$2:AG252),$AG$2:$AG$1001,0),1)&gt;=100000,INDEX($AN$1005:$BO$1005,1,MATCH(COLUMNS($AN$1006:AX1006),$AN$1006:$BO$1006,0))&gt;=100000), " ",IF(INDEX($AN$2:$BO$1001,MATCH(ROWS($AG$2:AG252),$AG$2:$AG$1001,0),MATCH(COLUMNS($AN$1006:AX1006),$AN$1006:$BO$1006,0)), HYPERLINK("#",""), HYPERLINK(CONCATENATE("#Metadata!", ADDRESS(INDEX($AI$2:$AI$1001,MATCH(ROWS($AG$2:AG252),$AG$2:$AG$1001,0),0), INDEX($AN$1004:$BO$1004,1,MATCH(COLUMNS($AN$1006:AX1006),$AN$1006:$BO$1006,0)))),"Fix")))</f>
        <v>0</v>
      </c>
      <c r="M252" s="4">
        <f>IF(OR(INDEX($AH$2:$AH$1001,MATCH(ROWS($AG$2:AG252),$AG$2:$AG$1001,0),1)&gt;=100000,INDEX($AN$1005:$BO$1005,1,MATCH(COLUMNS($AN$1006:AY1006),$AN$1006:$BO$1006,0))&gt;=100000), " ",IF(INDEX($AN$2:$BO$1001,MATCH(ROWS($AG$2:AG252),$AG$2:$AG$1001,0),MATCH(COLUMNS($AN$1006:AY1006),$AN$1006:$BO$1006,0)), HYPERLINK("#",""), HYPERLINK(CONCATENATE("#Metadata!", ADDRESS(INDEX($AI$2:$AI$1001,MATCH(ROWS($AG$2:AG252),$AG$2:$AG$1001,0),0), INDEX($AN$1004:$BO$1004,1,MATCH(COLUMNS($AN$1006:AY1006),$AN$1006:$BO$1006,0)))),"Fix")))</f>
        <v>0</v>
      </c>
      <c r="N252" s="4">
        <f>IF(OR(INDEX($AH$2:$AH$1001,MATCH(ROWS($AG$2:AG252),$AG$2:$AG$1001,0),1)&gt;=100000,INDEX($AN$1005:$BO$1005,1,MATCH(COLUMNS($AN$1006:AZ1006),$AN$1006:$BO$1006,0))&gt;=100000), " ",IF(INDEX($AN$2:$BO$1001,MATCH(ROWS($AG$2:AG252),$AG$2:$AG$1001,0),MATCH(COLUMNS($AN$1006:AZ1006),$AN$1006:$BO$1006,0)), HYPERLINK("#",""), HYPERLINK(CONCATENATE("#Metadata!", ADDRESS(INDEX($AI$2:$AI$1001,MATCH(ROWS($AG$2:AG252),$AG$2:$AG$1001,0),0), INDEX($AN$1004:$BO$1004,1,MATCH(COLUMNS($AN$1006:AZ1006),$AN$1006:$BO$1006,0)))),"Fix")))</f>
        <v>0</v>
      </c>
      <c r="O252" s="4">
        <f>IF(OR(INDEX($AH$2:$AH$1001,MATCH(ROWS($AG$2:AG252),$AG$2:$AG$1001,0),1)&gt;=100000,INDEX($AN$1005:$BO$1005,1,MATCH(COLUMNS($AN$1006:BA1006),$AN$1006:$BO$1006,0))&gt;=100000), " ",IF(INDEX($AN$2:$BO$1001,MATCH(ROWS($AG$2:AG252),$AG$2:$AG$1001,0),MATCH(COLUMNS($AN$1006:BA1006),$AN$1006:$BO$1006,0)), HYPERLINK("#",""), HYPERLINK(CONCATENATE("#Metadata!", ADDRESS(INDEX($AI$2:$AI$1001,MATCH(ROWS($AG$2:AG252),$AG$2:$AG$1001,0),0), INDEX($AN$1004:$BO$1004,1,MATCH(COLUMNS($AN$1006:BA1006),$AN$1006:$BO$1006,0)))),"Fix")))</f>
        <v>0</v>
      </c>
      <c r="P252" s="4">
        <f>IF(OR(INDEX($AH$2:$AH$1001,MATCH(ROWS($AG$2:AG252),$AG$2:$AG$1001,0),1)&gt;=100000,INDEX($AN$1005:$BO$1005,1,MATCH(COLUMNS($AN$1006:BB1006),$AN$1006:$BO$1006,0))&gt;=100000), " ",IF(INDEX($AN$2:$BO$1001,MATCH(ROWS($AG$2:AG252),$AG$2:$AG$1001,0),MATCH(COLUMNS($AN$1006:BB1006),$AN$1006:$BO$1006,0)), HYPERLINK("#",""), HYPERLINK(CONCATENATE("#Metadata!", ADDRESS(INDEX($AI$2:$AI$1001,MATCH(ROWS($AG$2:AG252),$AG$2:$AG$1001,0),0), INDEX($AN$1004:$BO$1004,1,MATCH(COLUMNS($AN$1006:BB1006),$AN$1006:$BO$1006,0)))),"Fix")))</f>
        <v>0</v>
      </c>
      <c r="Q252" s="4">
        <f>IF(OR(INDEX($AH$2:$AH$1001,MATCH(ROWS($AG$2:AG252),$AG$2:$AG$1001,0),1)&gt;=100000,INDEX($AN$1005:$BO$1005,1,MATCH(COLUMNS($AN$1006:BC1006),$AN$1006:$BO$1006,0))&gt;=100000), " ",IF(INDEX($AN$2:$BO$1001,MATCH(ROWS($AG$2:AG252),$AG$2:$AG$1001,0),MATCH(COLUMNS($AN$1006:BC1006),$AN$1006:$BO$1006,0)), HYPERLINK("#",""), HYPERLINK(CONCATENATE("#Metadata!", ADDRESS(INDEX($AI$2:$AI$1001,MATCH(ROWS($AG$2:AG252),$AG$2:$AG$1001,0),0), INDEX($AN$1004:$BO$1004,1,MATCH(COLUMNS($AN$1006:BC1006),$AN$1006:$BO$1006,0)))),"Fix")))</f>
        <v>0</v>
      </c>
      <c r="R252" s="4">
        <f>IF(OR(INDEX($AH$2:$AH$1001,MATCH(ROWS($AG$2:AG252),$AG$2:$AG$1001,0),1)&gt;=100000,INDEX($AN$1005:$BO$1005,1,MATCH(COLUMNS($AN$1006:BD1006),$AN$1006:$BO$1006,0))&gt;=100000), " ",IF(INDEX($AN$2:$BO$1001,MATCH(ROWS($AG$2:AG252),$AG$2:$AG$1001,0),MATCH(COLUMNS($AN$1006:BD1006),$AN$1006:$BO$1006,0)), HYPERLINK("#",""), HYPERLINK(CONCATENATE("#Metadata!", ADDRESS(INDEX($AI$2:$AI$1001,MATCH(ROWS($AG$2:AG252),$AG$2:$AG$1001,0),0), INDEX($AN$1004:$BO$1004,1,MATCH(COLUMNS($AN$1006:BD1006),$AN$1006:$BO$1006,0)))),"Fix")))</f>
        <v>0</v>
      </c>
      <c r="S252" s="4">
        <f>IF(OR(INDEX($AH$2:$AH$1001,MATCH(ROWS($AG$2:AG252),$AG$2:$AG$1001,0),1)&gt;=100000,INDEX($AN$1005:$BO$1005,1,MATCH(COLUMNS($AN$1006:BE1006),$AN$1006:$BO$1006,0))&gt;=100000), " ",IF(INDEX($AN$2:$BO$1001,MATCH(ROWS($AG$2:AG252),$AG$2:$AG$1001,0),MATCH(COLUMNS($AN$1006:BE1006),$AN$1006:$BO$1006,0)), HYPERLINK("#",""), HYPERLINK(CONCATENATE("#Metadata!", ADDRESS(INDEX($AI$2:$AI$1001,MATCH(ROWS($AG$2:AG252),$AG$2:$AG$1001,0),0), INDEX($AN$1004:$BO$1004,1,MATCH(COLUMNS($AN$1006:BE1006),$AN$1006:$BO$1006,0)))),"Fix")))</f>
        <v>0</v>
      </c>
      <c r="T252" s="4">
        <f>IF(OR(INDEX($AH$2:$AH$1001,MATCH(ROWS($AG$2:AG252),$AG$2:$AG$1001,0),1)&gt;=100000,INDEX($AN$1005:$BO$1005,1,MATCH(COLUMNS($AN$1006:BF1006),$AN$1006:$BO$1006,0))&gt;=100000), " ",IF(INDEX($AN$2:$BO$1001,MATCH(ROWS($AG$2:AG252),$AG$2:$AG$1001,0),MATCH(COLUMNS($AN$1006:BF1006),$AN$1006:$BO$1006,0)), HYPERLINK("#",""), HYPERLINK(CONCATENATE("#Metadata!", ADDRESS(INDEX($AI$2:$AI$1001,MATCH(ROWS($AG$2:AG252),$AG$2:$AG$1001,0),0), INDEX($AN$1004:$BO$1004,1,MATCH(COLUMNS($AN$1006:BF1006),$AN$1006:$BO$1006,0)))),"Fix")))</f>
        <v>0</v>
      </c>
      <c r="U252" s="4">
        <f>IF(OR(INDEX($AH$2:$AH$1001,MATCH(ROWS($AG$2:AG252),$AG$2:$AG$1001,0),1)&gt;=100000,INDEX($AN$1005:$BO$1005,1,MATCH(COLUMNS($AN$1006:BG1006),$AN$1006:$BO$1006,0))&gt;=100000), " ",IF(INDEX($AN$2:$BO$1001,MATCH(ROWS($AG$2:AG252),$AG$2:$AG$1001,0),MATCH(COLUMNS($AN$1006:BG1006),$AN$1006:$BO$1006,0)), HYPERLINK("#",""), HYPERLINK(CONCATENATE("#Metadata!", ADDRESS(INDEX($AI$2:$AI$1001,MATCH(ROWS($AG$2:AG252),$AG$2:$AG$1001,0),0), INDEX($AN$1004:$BO$1004,1,MATCH(COLUMNS($AN$1006:BG1006),$AN$1006:$BO$1006,0)))),"Fix")))</f>
        <v>0</v>
      </c>
      <c r="V252" s="4">
        <f>IF(OR(INDEX($AH$2:$AH$1001,MATCH(ROWS($AG$2:AG252),$AG$2:$AG$1001,0),1)&gt;=100000,INDEX($AN$1005:$BO$1005,1,MATCH(COLUMNS($AN$1006:BH1006),$AN$1006:$BO$1006,0))&gt;=100000), " ",IF(INDEX($AN$2:$BO$1001,MATCH(ROWS($AG$2:AG252),$AG$2:$AG$1001,0),MATCH(COLUMNS($AN$1006:BH1006),$AN$1006:$BO$1006,0)), HYPERLINK("#",""), HYPERLINK(CONCATENATE("#Metadata!", ADDRESS(INDEX($AI$2:$AI$1001,MATCH(ROWS($AG$2:AG252),$AG$2:$AG$1001,0),0), INDEX($AN$1004:$BO$1004,1,MATCH(COLUMNS($AN$1006:BH1006),$AN$1006:$BO$1006,0)))),"Fix")))</f>
        <v>0</v>
      </c>
      <c r="W252" s="4">
        <f>IF(OR(INDEX($AH$2:$AH$1001,MATCH(ROWS($AG$2:AG252),$AG$2:$AG$1001,0),1)&gt;=100000,INDEX($AN$1005:$BO$1005,1,MATCH(COLUMNS($AN$1006:BI1006),$AN$1006:$BO$1006,0))&gt;=100000), " ",IF(INDEX($AN$2:$BO$1001,MATCH(ROWS($AG$2:AG252),$AG$2:$AG$1001,0),MATCH(COLUMNS($AN$1006:BI1006),$AN$1006:$BO$1006,0)), HYPERLINK("#",""), HYPERLINK(CONCATENATE("#Metadata!", ADDRESS(INDEX($AI$2:$AI$1001,MATCH(ROWS($AG$2:AG252),$AG$2:$AG$1001,0),0), INDEX($AN$1004:$BO$1004,1,MATCH(COLUMNS($AN$1006:BI1006),$AN$1006:$BO$1006,0)))),"Fix")))</f>
        <v>0</v>
      </c>
      <c r="X252" s="4">
        <f>IF(OR(INDEX($AH$2:$AH$1001,MATCH(ROWS($AG$2:AG252),$AG$2:$AG$1001,0),1)&gt;=100000,INDEX($AN$1005:$BO$1005,1,MATCH(COLUMNS($AN$1006:BJ1006),$AN$1006:$BO$1006,0))&gt;=100000), " ",IF(INDEX($AN$2:$BO$1001,MATCH(ROWS($AG$2:AG252),$AG$2:$AG$1001,0),MATCH(COLUMNS($AN$1006:BJ1006),$AN$1006:$BO$1006,0)), HYPERLINK("#",""), HYPERLINK(CONCATENATE("#Metadata!", ADDRESS(INDEX($AI$2:$AI$1001,MATCH(ROWS($AG$2:AG252),$AG$2:$AG$1001,0),0), INDEX($AN$1004:$BO$1004,1,MATCH(COLUMNS($AN$1006:BJ1006),$AN$1006:$BO$1006,0)))),"Fix")))</f>
        <v>0</v>
      </c>
      <c r="Y252" s="4">
        <f>IF(OR(INDEX($AH$2:$AH$1001,MATCH(ROWS($AG$2:AG252),$AG$2:$AG$1001,0),1)&gt;=100000,INDEX($AN$1005:$BO$1005,1,MATCH(COLUMNS($AN$1006:BK1006),$AN$1006:$BO$1006,0))&gt;=100000), " ",IF(INDEX($AN$2:$BO$1001,MATCH(ROWS($AG$2:AG252),$AG$2:$AG$1001,0),MATCH(COLUMNS($AN$1006:BK1006),$AN$1006:$BO$1006,0)), HYPERLINK("#",""), HYPERLINK(CONCATENATE("#Metadata!", ADDRESS(INDEX($AI$2:$AI$1001,MATCH(ROWS($AG$2:AG252),$AG$2:$AG$1001,0),0), INDEX($AN$1004:$BO$1004,1,MATCH(COLUMNS($AN$1006:BK1006),$AN$1006:$BO$1006,0)))),"Fix")))</f>
        <v>0</v>
      </c>
      <c r="Z252" s="4">
        <f>IF(OR(INDEX($AH$2:$AH$1001,MATCH(ROWS($AG$2:AG252),$AG$2:$AG$1001,0),1)&gt;=100000,INDEX($AN$1005:$BO$1005,1,MATCH(COLUMNS($AN$1006:BL1006),$AN$1006:$BO$1006,0))&gt;=100000), " ",IF(INDEX($AN$2:$BO$1001,MATCH(ROWS($AG$2:AG252),$AG$2:$AG$1001,0),MATCH(COLUMNS($AN$1006:BL1006),$AN$1006:$BO$1006,0)), HYPERLINK("#",""), HYPERLINK(CONCATENATE("#Metadata!", ADDRESS(INDEX($AI$2:$AI$1001,MATCH(ROWS($AG$2:AG252),$AG$2:$AG$1001,0),0), INDEX($AN$1004:$BO$1004,1,MATCH(COLUMNS($AN$1006:BL1006),$AN$1006:$BO$1006,0)))),"Fix")))</f>
        <v>0</v>
      </c>
      <c r="AA252" s="4">
        <f>IF(OR(INDEX($AH$2:$AH$1001,MATCH(ROWS($AG$2:AG252),$AG$2:$AG$1001,0),1)&gt;=100000,INDEX($AN$1005:$BO$1005,1,MATCH(COLUMNS($AN$1006:BM1006),$AN$1006:$BO$1006,0))&gt;=100000), " ",IF(INDEX($AN$2:$BO$1001,MATCH(ROWS($AG$2:AG252),$AG$2:$AG$1001,0),MATCH(COLUMNS($AN$1006:BM1006),$AN$1006:$BO$1006,0)), HYPERLINK("#",""), HYPERLINK(CONCATENATE("#Metadata!", ADDRESS(INDEX($AI$2:$AI$1001,MATCH(ROWS($AG$2:AG252),$AG$2:$AG$1001,0),0), INDEX($AN$1004:$BO$1004,1,MATCH(COLUMNS($AN$1006:BM1006),$AN$1006:$BO$1006,0)))),"Fix")))</f>
        <v>0</v>
      </c>
      <c r="AB252" s="4">
        <f>IF(OR(INDEX($AH$2:$AH$1001,MATCH(ROWS($AG$2:AG252),$AG$2:$AG$1001,0),1)&gt;=100000,INDEX($AN$1005:$BO$1005,1,MATCH(COLUMNS($AN$1006:BN1006),$AN$1006:$BO$1006,0))&gt;=100000), " ",IF(INDEX($AN$2:$BO$1001,MATCH(ROWS($AG$2:AG252),$AG$2:$AG$1001,0),MATCH(COLUMNS($AN$1006:BN1006),$AN$1006:$BO$1006,0)), HYPERLINK("#",""), HYPERLINK(CONCATENATE("#Metadata!", ADDRESS(INDEX($AI$2:$AI$1001,MATCH(ROWS($AG$2:AG252),$AG$2:$AG$1001,0),0), INDEX($AN$1004:$BO$1004,1,MATCH(COLUMNS($AN$1006:BN1006),$AN$1006:$BO$1006,0)))),"Fix")))</f>
        <v>0</v>
      </c>
      <c r="AC252" s="4">
        <f>IF(OR(INDEX($AH$2:$AH$1001,MATCH(ROWS($AG$2:AG252),$AG$2:$AG$1001,0),1)&gt;=100000,INDEX($AN$1005:$BO$1005,1,MATCH(COLUMNS($AN$1006:BO1006),$AN$1006:$BO$1006,0))&gt;=100000), " ",IF(INDEX($AN$2:$BO$1001,MATCH(ROWS($AG$2:AG252),$AG$2:$AG$1001,0),MATCH(COLUMNS($AN$1006:BO1006),$AN$1006:$BO$1006,0)), HYPERLINK("#",""), HYPERLINK(CONCATENATE("#Metadata!", ADDRESS(INDEX($AI$2:$AI$1001,MATCH(ROWS($AG$2:AG252),$AG$2:$AG$1001,0),0), INDEX($AN$1004:$BO$1004,1,MATCH(COLUMNS($AN$1006:BO1006),$AN$1006:$BO$1006,0)))),"Fix")))</f>
        <v>0</v>
      </c>
      <c r="AG252">
        <v>0</v>
      </c>
      <c r="AH252">
        <v>0</v>
      </c>
      <c r="AI252">
        <v>0</v>
      </c>
      <c r="AJ252">
        <f>IF(AK252,TRUE,AND(AN252:BO252))</f>
        <v>0</v>
      </c>
      <c r="AK252">
        <f>COUNTBLANK(Metadata!B252:AC252)=COLUMNS(Metadata!B252:AC252)</f>
        <v>0</v>
      </c>
      <c r="AL252">
        <v>0</v>
      </c>
      <c r="AN252">
        <f>AND(IF(Metadata!B252="",FALSE,TRUE),COUNTIF(Metadata!B:B, Metadata!B252) = 1,NOT(ISERROR(SUMPRODUCT(SEARCH(MID(Metadata!B252,ROW(INDIRECT("1:"&amp;LEN(Metadata!B252))), 1),"0123456789abcdefghijklmnopqrstuvwxyzABCDEFGHIJKLMNOPQRSTUVWXYZ.")))))</f>
        <v>0</v>
      </c>
      <c r="AO252">
        <f>IF(Metadata!C252="",FALSE,TRUE)</f>
        <v>0</v>
      </c>
      <c r="AP252">
        <f>IF(Metadata!D252="",FALSE,TRUE)</f>
        <v>0</v>
      </c>
      <c r="AQ252">
        <f>OR(AND(IF(Metadata!E252="",FALSE,TRUE),OR(exact(Metadata!E252,"not collected"),exact(Metadata!E252,"not provided"),exact(Metadata!E252,"restricted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R252">
        <f>IF(Metadata!F252="",FALSE,TRUE)</f>
        <v>0</v>
      </c>
      <c r="AS252">
        <f>OR(AND(IF(Metadata!G252="",FALSE,TRUE),OR(exact(Metadata!G252,"not collected"),exact(Metadata!G252,"not provided"))),AND(IF(Metadata!G252="",FALSE,TRUE),OR(exact(Metadata!G252,"TRUE"),exact(Metadata!G252,"FALSE"))))</f>
        <v>0</v>
      </c>
      <c r="AT252">
        <f>OR(AND(IF(Metadata!H252="",FALSE,TRUE),OR(exact(Metadata!H252,"not collected"),exact(Metadata!H252,"not provided"),exact(Metadata!H252,"restricted access"))),AND(IF(Metadata!H252="",FALSE,ISNUMBER(VALUE(Metadata!H252))),Metadata!H252&gt;=-413.0))</f>
        <v>0</v>
      </c>
      <c r="AU252">
        <f>AND(IF(Metadata!I252="",FALSE,TRUE),exact(Metadata!I252,"meters"))</f>
        <v>0</v>
      </c>
      <c r="AV252">
        <f>AND(IF(Metadata!J252="",FALSE,TRUE),OR(exact(Metadata!J252,"Host-associated"),exact(Metadata!J252,"Free-living")))</f>
        <v>0</v>
      </c>
      <c r="AW252">
        <f>AND(IF(Metadata!K252="",FALSE,TRUE),OR(exact(Metadata!K252,"Animal"),exact(Metadata!K252,"Fungus"),exact(Metadata!K252,"Plant"),exact(Metadata!K252,"Saline"),exact(Metadata!K252,"Non-saline")))</f>
        <v>0</v>
      </c>
      <c r="AX252">
        <f>AND(IF(Metadata!L252="",FALSE,TRUE),OR(exact(Metadata!L252,"Plant secretion"),exact(Metadata!L252,"Plant rhizosphere"),exact(Metadata!L252,"Plant surface"),exact(Metadata!L252,"Plant corpus"),exact(Metadata!L252,"Fungus surface"),exact(Metadata!L252,"Fungus corpus"),exact(Metadata!L252,"Animal surface"),exact(Metadata!L252,"Animal proximal gut"),exact(Metadata!L252,"Animal corpus"),exact(Metadata!L252,"Animal distal gut"),exact(Metadata!L252,"Animal secretion"),exact(Metadata!L252,"Sub-surface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Y252">
        <f>IF(Metadata!M252="",FALSE,TRUE)</f>
        <v>0</v>
      </c>
      <c r="AZ252">
        <f>IF(Metadata!N252="",FALSE,TRUE)</f>
        <v>0</v>
      </c>
      <c r="BA252">
        <f>IF(Metadata!O252="",FALSE,TRUE)</f>
        <v>0</v>
      </c>
      <c r="BB252">
        <f>OR(AND(IF(Metadata!P252="",FALSE,TRUE),OR(exact(Metadata!P252,"not collected"),exact(Metadata!P252,"not provided"),exact(Metadata!P252,"restricted access"))),AND(IF(Metadata!P252="",FALSE,TRUE),OR(exact(Metadata!P252,"air"),exact(Metadata!P252,"built environment"),exact(Metadata!P252,"host-associated"),exact(Metadata!P252,"human-associated"),exact(Metadata!P252,"human-skin"),exact(Metadata!P252,"human-oral"),exact(Metadata!P252,"human-gut"),exact(Metadata!P252,"human-vaginal"),exact(Metadata!P252,"microbial mat/biofilm"),exact(Metadata!P252,"misc environment"),exact(Metadata!P252,"plant-associated"),exact(Metadata!P252,"sediment"),exact(Metadata!P252,"soil"),exact(Metadata!P252,"wastewater/sludge"),exact(Metadata!P252,"water"))))</f>
        <v>0</v>
      </c>
      <c r="BC252">
        <f>IF(Metadata!Q252="",FALSE,TRUE)</f>
        <v>0</v>
      </c>
      <c r="BD252">
        <f>IF(Metadata!R252="",FALSE,TRUE)</f>
        <v>0</v>
      </c>
      <c r="BE252">
        <f>OR(AND(IF(Metadata!S252="",FALSE,TRUE),OR(exact(Metadata!S252,"not collected"),exact(Metadata!S252,"not provided"),exact(Metadata!S252,"restricted access"))),AND(IF(Metadata!S252="",FALSE,ISNUMBER(VALUE(Metadata!S252))),Metadata!S252&gt;=-90.00,Metadata!S252&lt;=90.00))</f>
        <v>0</v>
      </c>
      <c r="BF252">
        <f>AND(IF(Metadata!T252="",FALSE,TRUE),exact(Metadata!T252,"Decimal degrees"))</f>
        <v>0</v>
      </c>
      <c r="BG252">
        <f>OR(AND(IF(Metadata!U252="",FALSE,TRUE),OR(exact(Metadata!U252,"not collected"),exact(Metadata!U252,"not provided"),exact(Metadata!U252,"restricted access"))),AND(IF(Metadata!U252="",FALSE,ISNUMBER(VALUE(Metadata!U252))),Metadata!U252&gt;=-180.00,Metadata!U252&lt;=180.00))</f>
        <v>0</v>
      </c>
      <c r="BH252">
        <f>AND(IF(Metadata!V252="",FALSE,TRUE),exact(Metadata!V252,"Decimal degrees"))</f>
        <v>0</v>
      </c>
      <c r="BI252">
        <f>IF(Metadata!W252="",FALSE,TRUE)</f>
        <v>0</v>
      </c>
      <c r="BJ252">
        <f>OR(AND(IF(Metadata!X252="",FALSE,TRUE),OR(exact(Metadata!X252,"not collected"),exact(Metadata!X252,"not provided"),exact(Metadata!X252,"restricted access"))),AND(IF(Metadata!X252="",FALSE,TRUE),OR(exact(Metadata!X252,"TRUE"),exact(Metadata!X252,"FALSE"))))</f>
        <v>0</v>
      </c>
      <c r="BK252">
        <f>AND(IF(Metadata!Y252="",FALSE,TRUE),exact(Metadata!Y252,"other"))</f>
        <v>0</v>
      </c>
      <c r="BL252">
        <f>IF(Metadata!Z252="",FALSE,TRUE)</f>
        <v>0</v>
      </c>
      <c r="BM252">
        <f>OR(AND(IF(Metadata!AA252="",FALSE,TRUE),OR(exact(Metadata!AA252,"not collected"),exact(Metadata!AA252,"not provided"))),AND(IF(Metadata!AA252="",FALSE,IF(ISERROR(INT(Metadata!AA252)),FALSE,INT(Metadata!AA252)=Metadata!AA252)),Metadata!AA252&gt;0))</f>
        <v>0</v>
      </c>
      <c r="BN252">
        <f>AND(IF(Metadata!AB252="",FALSE,TRUE),exact(Metadata!AB252,"Not applicable"))</f>
        <v>0</v>
      </c>
      <c r="BO252">
        <f>IF(Metadata!AC252="",FALSE,TRUE)</f>
        <v>0</v>
      </c>
    </row>
    <row r="253" spans="1:67">
      <c r="A253" s="5">
        <f>IF(B253=" "," ",HYPERLINK(CONCATENATE("#metadata!",ADDRESS(INDEX($AI$2:$AI$1001,MATCH(ROWS($AG$2:AG253),$AG$2:$AG$1001,0),0),1)),INDEX($AL$2:$AL$1001,MATCH(ROWS($AG$2:AG253),$AG$2:$AG$1001,0),0)))</f>
        <v>0</v>
      </c>
      <c r="B253" s="4">
        <f>IF(OR(INDEX($AH$2:$AH$1001,MATCH(ROWS($AG$2:AG253),$AG$2:$AG$1001,0),1)&gt;=100000,INDEX($AN$1005:$BO$1005,1,MATCH(COLUMNS($AN$1006:AN1006),$AN$1006:$BO$1006,0))&gt;=100000), " ",IF(INDEX($AN$2:$BO$1001,MATCH(ROWS($AG$2:AG253),$AG$2:$AG$1001,0),MATCH(COLUMNS($AN$1006:AN1006),$AN$1006:$BO$1006,0)), HYPERLINK("#",""), HYPERLINK(CONCATENATE("#Metadata!", ADDRESS(INDEX($AI$2:$AI$1001,MATCH(ROWS($AG$2:AG253),$AG$2:$AG$1001,0),0), INDEX($AN$1004:$BO$1004,1,MATCH(COLUMNS($AN$1006:AN1006),$AN$1006:$BO$1006,0)))),"Fix")))</f>
        <v>0</v>
      </c>
      <c r="C253" s="4">
        <f>IF(OR(INDEX($AH$2:$AH$1001,MATCH(ROWS($AG$2:AG253),$AG$2:$AG$1001,0),1)&gt;=100000,INDEX($AN$1005:$BO$1005,1,MATCH(COLUMNS($AN$1006:AO1006),$AN$1006:$BO$1006,0))&gt;=100000), " ",IF(INDEX($AN$2:$BO$1001,MATCH(ROWS($AG$2:AG253),$AG$2:$AG$1001,0),MATCH(COLUMNS($AN$1006:AO1006),$AN$1006:$BO$1006,0)), HYPERLINK("#",""), HYPERLINK(CONCATENATE("#Metadata!", ADDRESS(INDEX($AI$2:$AI$1001,MATCH(ROWS($AG$2:AG253),$AG$2:$AG$1001,0),0), INDEX($AN$1004:$BO$1004,1,MATCH(COLUMNS($AN$1006:AO1006),$AN$1006:$BO$1006,0)))),"Fix")))</f>
        <v>0</v>
      </c>
      <c r="D253" s="4">
        <f>IF(OR(INDEX($AH$2:$AH$1001,MATCH(ROWS($AG$2:AG253),$AG$2:$AG$1001,0),1)&gt;=100000,INDEX($AN$1005:$BO$1005,1,MATCH(COLUMNS($AN$1006:AP1006),$AN$1006:$BO$1006,0))&gt;=100000), " ",IF(INDEX($AN$2:$BO$1001,MATCH(ROWS($AG$2:AG253),$AG$2:$AG$1001,0),MATCH(COLUMNS($AN$1006:AP1006),$AN$1006:$BO$1006,0)), HYPERLINK("#",""), HYPERLINK(CONCATENATE("#Metadata!", ADDRESS(INDEX($AI$2:$AI$1001,MATCH(ROWS($AG$2:AG253),$AG$2:$AG$1001,0),0), INDEX($AN$1004:$BO$1004,1,MATCH(COLUMNS($AN$1006:AP1006),$AN$1006:$BO$1006,0)))),"Fix")))</f>
        <v>0</v>
      </c>
      <c r="E253" s="4">
        <f>IF(OR(INDEX($AH$2:$AH$1001,MATCH(ROWS($AG$2:AG253),$AG$2:$AG$1001,0),1)&gt;=100000,INDEX($AN$1005:$BO$1005,1,MATCH(COLUMNS($AN$1006:AQ1006),$AN$1006:$BO$1006,0))&gt;=100000), " ",IF(INDEX($AN$2:$BO$1001,MATCH(ROWS($AG$2:AG253),$AG$2:$AG$1001,0),MATCH(COLUMNS($AN$1006:AQ1006),$AN$1006:$BO$1006,0)), HYPERLINK("#",""), HYPERLINK(CONCATENATE("#Metadata!", ADDRESS(INDEX($AI$2:$AI$1001,MATCH(ROWS($AG$2:AG253),$AG$2:$AG$1001,0),0), INDEX($AN$1004:$BO$1004,1,MATCH(COLUMNS($AN$1006:AQ1006),$AN$1006:$BO$1006,0)))),"Fix")))</f>
        <v>0</v>
      </c>
      <c r="F253" s="4">
        <f>IF(OR(INDEX($AH$2:$AH$1001,MATCH(ROWS($AG$2:AG253),$AG$2:$AG$1001,0),1)&gt;=100000,INDEX($AN$1005:$BO$1005,1,MATCH(COLUMNS($AN$1006:AR1006),$AN$1006:$BO$1006,0))&gt;=100000), " ",IF(INDEX($AN$2:$BO$1001,MATCH(ROWS($AG$2:AG253),$AG$2:$AG$1001,0),MATCH(COLUMNS($AN$1006:AR1006),$AN$1006:$BO$1006,0)), HYPERLINK("#",""), HYPERLINK(CONCATENATE("#Metadata!", ADDRESS(INDEX($AI$2:$AI$1001,MATCH(ROWS($AG$2:AG253),$AG$2:$AG$1001,0),0), INDEX($AN$1004:$BO$1004,1,MATCH(COLUMNS($AN$1006:AR1006),$AN$1006:$BO$1006,0)))),"Fix")))</f>
        <v>0</v>
      </c>
      <c r="G253" s="4">
        <f>IF(OR(INDEX($AH$2:$AH$1001,MATCH(ROWS($AG$2:AG253),$AG$2:$AG$1001,0),1)&gt;=100000,INDEX($AN$1005:$BO$1005,1,MATCH(COLUMNS($AN$1006:AS1006),$AN$1006:$BO$1006,0))&gt;=100000), " ",IF(INDEX($AN$2:$BO$1001,MATCH(ROWS($AG$2:AG253),$AG$2:$AG$1001,0),MATCH(COLUMNS($AN$1006:AS1006),$AN$1006:$BO$1006,0)), HYPERLINK("#",""), HYPERLINK(CONCATENATE("#Metadata!", ADDRESS(INDEX($AI$2:$AI$1001,MATCH(ROWS($AG$2:AG253),$AG$2:$AG$1001,0),0), INDEX($AN$1004:$BO$1004,1,MATCH(COLUMNS($AN$1006:AS1006),$AN$1006:$BO$1006,0)))),"Fix")))</f>
        <v>0</v>
      </c>
      <c r="H253" s="4">
        <f>IF(OR(INDEX($AH$2:$AH$1001,MATCH(ROWS($AG$2:AG253),$AG$2:$AG$1001,0),1)&gt;=100000,INDEX($AN$1005:$BO$1005,1,MATCH(COLUMNS($AN$1006:AT1006),$AN$1006:$BO$1006,0))&gt;=100000), " ",IF(INDEX($AN$2:$BO$1001,MATCH(ROWS($AG$2:AG253),$AG$2:$AG$1001,0),MATCH(COLUMNS($AN$1006:AT1006),$AN$1006:$BO$1006,0)), HYPERLINK("#",""), HYPERLINK(CONCATENATE("#Metadata!", ADDRESS(INDEX($AI$2:$AI$1001,MATCH(ROWS($AG$2:AG253),$AG$2:$AG$1001,0),0), INDEX($AN$1004:$BO$1004,1,MATCH(COLUMNS($AN$1006:AT1006),$AN$1006:$BO$1006,0)))),"Fix")))</f>
        <v>0</v>
      </c>
      <c r="I253" s="4">
        <f>IF(OR(INDEX($AH$2:$AH$1001,MATCH(ROWS($AG$2:AG253),$AG$2:$AG$1001,0),1)&gt;=100000,INDEX($AN$1005:$BO$1005,1,MATCH(COLUMNS($AN$1006:AU1006),$AN$1006:$BO$1006,0))&gt;=100000), " ",IF(INDEX($AN$2:$BO$1001,MATCH(ROWS($AG$2:AG253),$AG$2:$AG$1001,0),MATCH(COLUMNS($AN$1006:AU1006),$AN$1006:$BO$1006,0)), HYPERLINK("#",""), HYPERLINK(CONCATENATE("#Metadata!", ADDRESS(INDEX($AI$2:$AI$1001,MATCH(ROWS($AG$2:AG253),$AG$2:$AG$1001,0),0), INDEX($AN$1004:$BO$1004,1,MATCH(COLUMNS($AN$1006:AU1006),$AN$1006:$BO$1006,0)))),"Fix")))</f>
        <v>0</v>
      </c>
      <c r="J253" s="4">
        <f>IF(OR(INDEX($AH$2:$AH$1001,MATCH(ROWS($AG$2:AG253),$AG$2:$AG$1001,0),1)&gt;=100000,INDEX($AN$1005:$BO$1005,1,MATCH(COLUMNS($AN$1006:AV1006),$AN$1006:$BO$1006,0))&gt;=100000), " ",IF(INDEX($AN$2:$BO$1001,MATCH(ROWS($AG$2:AG253),$AG$2:$AG$1001,0),MATCH(COLUMNS($AN$1006:AV1006),$AN$1006:$BO$1006,0)), HYPERLINK("#",""), HYPERLINK(CONCATENATE("#Metadata!", ADDRESS(INDEX($AI$2:$AI$1001,MATCH(ROWS($AG$2:AG253),$AG$2:$AG$1001,0),0), INDEX($AN$1004:$BO$1004,1,MATCH(COLUMNS($AN$1006:AV1006),$AN$1006:$BO$1006,0)))),"Fix")))</f>
        <v>0</v>
      </c>
      <c r="K253" s="4">
        <f>IF(OR(INDEX($AH$2:$AH$1001,MATCH(ROWS($AG$2:AG253),$AG$2:$AG$1001,0),1)&gt;=100000,INDEX($AN$1005:$BO$1005,1,MATCH(COLUMNS($AN$1006:AW1006),$AN$1006:$BO$1006,0))&gt;=100000), " ",IF(INDEX($AN$2:$BO$1001,MATCH(ROWS($AG$2:AG253),$AG$2:$AG$1001,0),MATCH(COLUMNS($AN$1006:AW1006),$AN$1006:$BO$1006,0)), HYPERLINK("#",""), HYPERLINK(CONCATENATE("#Metadata!", ADDRESS(INDEX($AI$2:$AI$1001,MATCH(ROWS($AG$2:AG253),$AG$2:$AG$1001,0),0), INDEX($AN$1004:$BO$1004,1,MATCH(COLUMNS($AN$1006:AW1006),$AN$1006:$BO$1006,0)))),"Fix")))</f>
        <v>0</v>
      </c>
      <c r="L253" s="4">
        <f>IF(OR(INDEX($AH$2:$AH$1001,MATCH(ROWS($AG$2:AG253),$AG$2:$AG$1001,0),1)&gt;=100000,INDEX($AN$1005:$BO$1005,1,MATCH(COLUMNS($AN$1006:AX1006),$AN$1006:$BO$1006,0))&gt;=100000), " ",IF(INDEX($AN$2:$BO$1001,MATCH(ROWS($AG$2:AG253),$AG$2:$AG$1001,0),MATCH(COLUMNS($AN$1006:AX1006),$AN$1006:$BO$1006,0)), HYPERLINK("#",""), HYPERLINK(CONCATENATE("#Metadata!", ADDRESS(INDEX($AI$2:$AI$1001,MATCH(ROWS($AG$2:AG253),$AG$2:$AG$1001,0),0), INDEX($AN$1004:$BO$1004,1,MATCH(COLUMNS($AN$1006:AX1006),$AN$1006:$BO$1006,0)))),"Fix")))</f>
        <v>0</v>
      </c>
      <c r="M253" s="4">
        <f>IF(OR(INDEX($AH$2:$AH$1001,MATCH(ROWS($AG$2:AG253),$AG$2:$AG$1001,0),1)&gt;=100000,INDEX($AN$1005:$BO$1005,1,MATCH(COLUMNS($AN$1006:AY1006),$AN$1006:$BO$1006,0))&gt;=100000), " ",IF(INDEX($AN$2:$BO$1001,MATCH(ROWS($AG$2:AG253),$AG$2:$AG$1001,0),MATCH(COLUMNS($AN$1006:AY1006),$AN$1006:$BO$1006,0)), HYPERLINK("#",""), HYPERLINK(CONCATENATE("#Metadata!", ADDRESS(INDEX($AI$2:$AI$1001,MATCH(ROWS($AG$2:AG253),$AG$2:$AG$1001,0),0), INDEX($AN$1004:$BO$1004,1,MATCH(COLUMNS($AN$1006:AY1006),$AN$1006:$BO$1006,0)))),"Fix")))</f>
        <v>0</v>
      </c>
      <c r="N253" s="4">
        <f>IF(OR(INDEX($AH$2:$AH$1001,MATCH(ROWS($AG$2:AG253),$AG$2:$AG$1001,0),1)&gt;=100000,INDEX($AN$1005:$BO$1005,1,MATCH(COLUMNS($AN$1006:AZ1006),$AN$1006:$BO$1006,0))&gt;=100000), " ",IF(INDEX($AN$2:$BO$1001,MATCH(ROWS($AG$2:AG253),$AG$2:$AG$1001,0),MATCH(COLUMNS($AN$1006:AZ1006),$AN$1006:$BO$1006,0)), HYPERLINK("#",""), HYPERLINK(CONCATENATE("#Metadata!", ADDRESS(INDEX($AI$2:$AI$1001,MATCH(ROWS($AG$2:AG253),$AG$2:$AG$1001,0),0), INDEX($AN$1004:$BO$1004,1,MATCH(COLUMNS($AN$1006:AZ1006),$AN$1006:$BO$1006,0)))),"Fix")))</f>
        <v>0</v>
      </c>
      <c r="O253" s="4">
        <f>IF(OR(INDEX($AH$2:$AH$1001,MATCH(ROWS($AG$2:AG253),$AG$2:$AG$1001,0),1)&gt;=100000,INDEX($AN$1005:$BO$1005,1,MATCH(COLUMNS($AN$1006:BA1006),$AN$1006:$BO$1006,0))&gt;=100000), " ",IF(INDEX($AN$2:$BO$1001,MATCH(ROWS($AG$2:AG253),$AG$2:$AG$1001,0),MATCH(COLUMNS($AN$1006:BA1006),$AN$1006:$BO$1006,0)), HYPERLINK("#",""), HYPERLINK(CONCATENATE("#Metadata!", ADDRESS(INDEX($AI$2:$AI$1001,MATCH(ROWS($AG$2:AG253),$AG$2:$AG$1001,0),0), INDEX($AN$1004:$BO$1004,1,MATCH(COLUMNS($AN$1006:BA1006),$AN$1006:$BO$1006,0)))),"Fix")))</f>
        <v>0</v>
      </c>
      <c r="P253" s="4">
        <f>IF(OR(INDEX($AH$2:$AH$1001,MATCH(ROWS($AG$2:AG253),$AG$2:$AG$1001,0),1)&gt;=100000,INDEX($AN$1005:$BO$1005,1,MATCH(COLUMNS($AN$1006:BB1006),$AN$1006:$BO$1006,0))&gt;=100000), " ",IF(INDEX($AN$2:$BO$1001,MATCH(ROWS($AG$2:AG253),$AG$2:$AG$1001,0),MATCH(COLUMNS($AN$1006:BB1006),$AN$1006:$BO$1006,0)), HYPERLINK("#",""), HYPERLINK(CONCATENATE("#Metadata!", ADDRESS(INDEX($AI$2:$AI$1001,MATCH(ROWS($AG$2:AG253),$AG$2:$AG$1001,0),0), INDEX($AN$1004:$BO$1004,1,MATCH(COLUMNS($AN$1006:BB1006),$AN$1006:$BO$1006,0)))),"Fix")))</f>
        <v>0</v>
      </c>
      <c r="Q253" s="4">
        <f>IF(OR(INDEX($AH$2:$AH$1001,MATCH(ROWS($AG$2:AG253),$AG$2:$AG$1001,0),1)&gt;=100000,INDEX($AN$1005:$BO$1005,1,MATCH(COLUMNS($AN$1006:BC1006),$AN$1006:$BO$1006,0))&gt;=100000), " ",IF(INDEX($AN$2:$BO$1001,MATCH(ROWS($AG$2:AG253),$AG$2:$AG$1001,0),MATCH(COLUMNS($AN$1006:BC1006),$AN$1006:$BO$1006,0)), HYPERLINK("#",""), HYPERLINK(CONCATENATE("#Metadata!", ADDRESS(INDEX($AI$2:$AI$1001,MATCH(ROWS($AG$2:AG253),$AG$2:$AG$1001,0),0), INDEX($AN$1004:$BO$1004,1,MATCH(COLUMNS($AN$1006:BC1006),$AN$1006:$BO$1006,0)))),"Fix")))</f>
        <v>0</v>
      </c>
      <c r="R253" s="4">
        <f>IF(OR(INDEX($AH$2:$AH$1001,MATCH(ROWS($AG$2:AG253),$AG$2:$AG$1001,0),1)&gt;=100000,INDEX($AN$1005:$BO$1005,1,MATCH(COLUMNS($AN$1006:BD1006),$AN$1006:$BO$1006,0))&gt;=100000), " ",IF(INDEX($AN$2:$BO$1001,MATCH(ROWS($AG$2:AG253),$AG$2:$AG$1001,0),MATCH(COLUMNS($AN$1006:BD1006),$AN$1006:$BO$1006,0)), HYPERLINK("#",""), HYPERLINK(CONCATENATE("#Metadata!", ADDRESS(INDEX($AI$2:$AI$1001,MATCH(ROWS($AG$2:AG253),$AG$2:$AG$1001,0),0), INDEX($AN$1004:$BO$1004,1,MATCH(COLUMNS($AN$1006:BD1006),$AN$1006:$BO$1006,0)))),"Fix")))</f>
        <v>0</v>
      </c>
      <c r="S253" s="4">
        <f>IF(OR(INDEX($AH$2:$AH$1001,MATCH(ROWS($AG$2:AG253),$AG$2:$AG$1001,0),1)&gt;=100000,INDEX($AN$1005:$BO$1005,1,MATCH(COLUMNS($AN$1006:BE1006),$AN$1006:$BO$1006,0))&gt;=100000), " ",IF(INDEX($AN$2:$BO$1001,MATCH(ROWS($AG$2:AG253),$AG$2:$AG$1001,0),MATCH(COLUMNS($AN$1006:BE1006),$AN$1006:$BO$1006,0)), HYPERLINK("#",""), HYPERLINK(CONCATENATE("#Metadata!", ADDRESS(INDEX($AI$2:$AI$1001,MATCH(ROWS($AG$2:AG253),$AG$2:$AG$1001,0),0), INDEX($AN$1004:$BO$1004,1,MATCH(COLUMNS($AN$1006:BE1006),$AN$1006:$BO$1006,0)))),"Fix")))</f>
        <v>0</v>
      </c>
      <c r="T253" s="4">
        <f>IF(OR(INDEX($AH$2:$AH$1001,MATCH(ROWS($AG$2:AG253),$AG$2:$AG$1001,0),1)&gt;=100000,INDEX($AN$1005:$BO$1005,1,MATCH(COLUMNS($AN$1006:BF1006),$AN$1006:$BO$1006,0))&gt;=100000), " ",IF(INDEX($AN$2:$BO$1001,MATCH(ROWS($AG$2:AG253),$AG$2:$AG$1001,0),MATCH(COLUMNS($AN$1006:BF1006),$AN$1006:$BO$1006,0)), HYPERLINK("#",""), HYPERLINK(CONCATENATE("#Metadata!", ADDRESS(INDEX($AI$2:$AI$1001,MATCH(ROWS($AG$2:AG253),$AG$2:$AG$1001,0),0), INDEX($AN$1004:$BO$1004,1,MATCH(COLUMNS($AN$1006:BF1006),$AN$1006:$BO$1006,0)))),"Fix")))</f>
        <v>0</v>
      </c>
      <c r="U253" s="4">
        <f>IF(OR(INDEX($AH$2:$AH$1001,MATCH(ROWS($AG$2:AG253),$AG$2:$AG$1001,0),1)&gt;=100000,INDEX($AN$1005:$BO$1005,1,MATCH(COLUMNS($AN$1006:BG1006),$AN$1006:$BO$1006,0))&gt;=100000), " ",IF(INDEX($AN$2:$BO$1001,MATCH(ROWS($AG$2:AG253),$AG$2:$AG$1001,0),MATCH(COLUMNS($AN$1006:BG1006),$AN$1006:$BO$1006,0)), HYPERLINK("#",""), HYPERLINK(CONCATENATE("#Metadata!", ADDRESS(INDEX($AI$2:$AI$1001,MATCH(ROWS($AG$2:AG253),$AG$2:$AG$1001,0),0), INDEX($AN$1004:$BO$1004,1,MATCH(COLUMNS($AN$1006:BG1006),$AN$1006:$BO$1006,0)))),"Fix")))</f>
        <v>0</v>
      </c>
      <c r="V253" s="4">
        <f>IF(OR(INDEX($AH$2:$AH$1001,MATCH(ROWS($AG$2:AG253),$AG$2:$AG$1001,0),1)&gt;=100000,INDEX($AN$1005:$BO$1005,1,MATCH(COLUMNS($AN$1006:BH1006),$AN$1006:$BO$1006,0))&gt;=100000), " ",IF(INDEX($AN$2:$BO$1001,MATCH(ROWS($AG$2:AG253),$AG$2:$AG$1001,0),MATCH(COLUMNS($AN$1006:BH1006),$AN$1006:$BO$1006,0)), HYPERLINK("#",""), HYPERLINK(CONCATENATE("#Metadata!", ADDRESS(INDEX($AI$2:$AI$1001,MATCH(ROWS($AG$2:AG253),$AG$2:$AG$1001,0),0), INDEX($AN$1004:$BO$1004,1,MATCH(COLUMNS($AN$1006:BH1006),$AN$1006:$BO$1006,0)))),"Fix")))</f>
        <v>0</v>
      </c>
      <c r="W253" s="4">
        <f>IF(OR(INDEX($AH$2:$AH$1001,MATCH(ROWS($AG$2:AG253),$AG$2:$AG$1001,0),1)&gt;=100000,INDEX($AN$1005:$BO$1005,1,MATCH(COLUMNS($AN$1006:BI1006),$AN$1006:$BO$1006,0))&gt;=100000), " ",IF(INDEX($AN$2:$BO$1001,MATCH(ROWS($AG$2:AG253),$AG$2:$AG$1001,0),MATCH(COLUMNS($AN$1006:BI1006),$AN$1006:$BO$1006,0)), HYPERLINK("#",""), HYPERLINK(CONCATENATE("#Metadata!", ADDRESS(INDEX($AI$2:$AI$1001,MATCH(ROWS($AG$2:AG253),$AG$2:$AG$1001,0),0), INDEX($AN$1004:$BO$1004,1,MATCH(COLUMNS($AN$1006:BI1006),$AN$1006:$BO$1006,0)))),"Fix")))</f>
        <v>0</v>
      </c>
      <c r="X253" s="4">
        <f>IF(OR(INDEX($AH$2:$AH$1001,MATCH(ROWS($AG$2:AG253),$AG$2:$AG$1001,0),1)&gt;=100000,INDEX($AN$1005:$BO$1005,1,MATCH(COLUMNS($AN$1006:BJ1006),$AN$1006:$BO$1006,0))&gt;=100000), " ",IF(INDEX($AN$2:$BO$1001,MATCH(ROWS($AG$2:AG253),$AG$2:$AG$1001,0),MATCH(COLUMNS($AN$1006:BJ1006),$AN$1006:$BO$1006,0)), HYPERLINK("#",""), HYPERLINK(CONCATENATE("#Metadata!", ADDRESS(INDEX($AI$2:$AI$1001,MATCH(ROWS($AG$2:AG253),$AG$2:$AG$1001,0),0), INDEX($AN$1004:$BO$1004,1,MATCH(COLUMNS($AN$1006:BJ1006),$AN$1006:$BO$1006,0)))),"Fix")))</f>
        <v>0</v>
      </c>
      <c r="Y253" s="4">
        <f>IF(OR(INDEX($AH$2:$AH$1001,MATCH(ROWS($AG$2:AG253),$AG$2:$AG$1001,0),1)&gt;=100000,INDEX($AN$1005:$BO$1005,1,MATCH(COLUMNS($AN$1006:BK1006),$AN$1006:$BO$1006,0))&gt;=100000), " ",IF(INDEX($AN$2:$BO$1001,MATCH(ROWS($AG$2:AG253),$AG$2:$AG$1001,0),MATCH(COLUMNS($AN$1006:BK1006),$AN$1006:$BO$1006,0)), HYPERLINK("#",""), HYPERLINK(CONCATENATE("#Metadata!", ADDRESS(INDEX($AI$2:$AI$1001,MATCH(ROWS($AG$2:AG253),$AG$2:$AG$1001,0),0), INDEX($AN$1004:$BO$1004,1,MATCH(COLUMNS($AN$1006:BK1006),$AN$1006:$BO$1006,0)))),"Fix")))</f>
        <v>0</v>
      </c>
      <c r="Z253" s="4">
        <f>IF(OR(INDEX($AH$2:$AH$1001,MATCH(ROWS($AG$2:AG253),$AG$2:$AG$1001,0),1)&gt;=100000,INDEX($AN$1005:$BO$1005,1,MATCH(COLUMNS($AN$1006:BL1006),$AN$1006:$BO$1006,0))&gt;=100000), " ",IF(INDEX($AN$2:$BO$1001,MATCH(ROWS($AG$2:AG253),$AG$2:$AG$1001,0),MATCH(COLUMNS($AN$1006:BL1006),$AN$1006:$BO$1006,0)), HYPERLINK("#",""), HYPERLINK(CONCATENATE("#Metadata!", ADDRESS(INDEX($AI$2:$AI$1001,MATCH(ROWS($AG$2:AG253),$AG$2:$AG$1001,0),0), INDEX($AN$1004:$BO$1004,1,MATCH(COLUMNS($AN$1006:BL1006),$AN$1006:$BO$1006,0)))),"Fix")))</f>
        <v>0</v>
      </c>
      <c r="AA253" s="4">
        <f>IF(OR(INDEX($AH$2:$AH$1001,MATCH(ROWS($AG$2:AG253),$AG$2:$AG$1001,0),1)&gt;=100000,INDEX($AN$1005:$BO$1005,1,MATCH(COLUMNS($AN$1006:BM1006),$AN$1006:$BO$1006,0))&gt;=100000), " ",IF(INDEX($AN$2:$BO$1001,MATCH(ROWS($AG$2:AG253),$AG$2:$AG$1001,0),MATCH(COLUMNS($AN$1006:BM1006),$AN$1006:$BO$1006,0)), HYPERLINK("#",""), HYPERLINK(CONCATENATE("#Metadata!", ADDRESS(INDEX($AI$2:$AI$1001,MATCH(ROWS($AG$2:AG253),$AG$2:$AG$1001,0),0), INDEX($AN$1004:$BO$1004,1,MATCH(COLUMNS($AN$1006:BM1006),$AN$1006:$BO$1006,0)))),"Fix")))</f>
        <v>0</v>
      </c>
      <c r="AB253" s="4">
        <f>IF(OR(INDEX($AH$2:$AH$1001,MATCH(ROWS($AG$2:AG253),$AG$2:$AG$1001,0),1)&gt;=100000,INDEX($AN$1005:$BO$1005,1,MATCH(COLUMNS($AN$1006:BN1006),$AN$1006:$BO$1006,0))&gt;=100000), " ",IF(INDEX($AN$2:$BO$1001,MATCH(ROWS($AG$2:AG253),$AG$2:$AG$1001,0),MATCH(COLUMNS($AN$1006:BN1006),$AN$1006:$BO$1006,0)), HYPERLINK("#",""), HYPERLINK(CONCATENATE("#Metadata!", ADDRESS(INDEX($AI$2:$AI$1001,MATCH(ROWS($AG$2:AG253),$AG$2:$AG$1001,0),0), INDEX($AN$1004:$BO$1004,1,MATCH(COLUMNS($AN$1006:BN1006),$AN$1006:$BO$1006,0)))),"Fix")))</f>
        <v>0</v>
      </c>
      <c r="AC253" s="4">
        <f>IF(OR(INDEX($AH$2:$AH$1001,MATCH(ROWS($AG$2:AG253),$AG$2:$AG$1001,0),1)&gt;=100000,INDEX($AN$1005:$BO$1005,1,MATCH(COLUMNS($AN$1006:BO1006),$AN$1006:$BO$1006,0))&gt;=100000), " ",IF(INDEX($AN$2:$BO$1001,MATCH(ROWS($AG$2:AG253),$AG$2:$AG$1001,0),MATCH(COLUMNS($AN$1006:BO1006),$AN$1006:$BO$1006,0)), HYPERLINK("#",""), HYPERLINK(CONCATENATE("#Metadata!", ADDRESS(INDEX($AI$2:$AI$1001,MATCH(ROWS($AG$2:AG253),$AG$2:$AG$1001,0),0), INDEX($AN$1004:$BO$1004,1,MATCH(COLUMNS($AN$1006:BO1006),$AN$1006:$BO$1006,0)))),"Fix")))</f>
        <v>0</v>
      </c>
      <c r="AG253">
        <v>0</v>
      </c>
      <c r="AH253">
        <v>0</v>
      </c>
      <c r="AI253">
        <v>0</v>
      </c>
      <c r="AJ253">
        <f>IF(AK253,TRUE,AND(AN253:BO253))</f>
        <v>0</v>
      </c>
      <c r="AK253">
        <f>COUNTBLANK(Metadata!B253:AC253)=COLUMNS(Metadata!B253:AC253)</f>
        <v>0</v>
      </c>
      <c r="AL253">
        <v>0</v>
      </c>
      <c r="AN253">
        <f>AND(IF(Metadata!B253="",FALSE,TRUE),COUNTIF(Metadata!B:B, Metadata!B253) = 1,NOT(ISERROR(SUMPRODUCT(SEARCH(MID(Metadata!B253,ROW(INDIRECT("1:"&amp;LEN(Metadata!B253))), 1),"0123456789abcdefghijklmnopqrstuvwxyzABCDEFGHIJKLMNOPQRSTUVWXYZ.")))))</f>
        <v>0</v>
      </c>
      <c r="AO253">
        <f>IF(Metadata!C253="",FALSE,TRUE)</f>
        <v>0</v>
      </c>
      <c r="AP253">
        <f>IF(Metadata!D253="",FALSE,TRUE)</f>
        <v>0</v>
      </c>
      <c r="AQ253">
        <f>OR(AND(IF(Metadata!E253="",FALSE,TRUE),OR(exact(Metadata!E253,"not collected"),exact(Metadata!E253,"not provided"),exact(Metadata!E253,"restricted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R253">
        <f>IF(Metadata!F253="",FALSE,TRUE)</f>
        <v>0</v>
      </c>
      <c r="AS253">
        <f>OR(AND(IF(Metadata!G253="",FALSE,TRUE),OR(exact(Metadata!G253,"not collected"),exact(Metadata!G253,"not provided"))),AND(IF(Metadata!G253="",FALSE,TRUE),OR(exact(Metadata!G253,"TRUE"),exact(Metadata!G253,"FALSE"))))</f>
        <v>0</v>
      </c>
      <c r="AT253">
        <f>OR(AND(IF(Metadata!H253="",FALSE,TRUE),OR(exact(Metadata!H253,"not collected"),exact(Metadata!H253,"not provided"),exact(Metadata!H253,"restricted access"))),AND(IF(Metadata!H253="",FALSE,ISNUMBER(VALUE(Metadata!H253))),Metadata!H253&gt;=-413.0))</f>
        <v>0</v>
      </c>
      <c r="AU253">
        <f>AND(IF(Metadata!I253="",FALSE,TRUE),exact(Metadata!I253,"meters"))</f>
        <v>0</v>
      </c>
      <c r="AV253">
        <f>AND(IF(Metadata!J253="",FALSE,TRUE),OR(exact(Metadata!J253,"Host-associated"),exact(Metadata!J253,"Free-living")))</f>
        <v>0</v>
      </c>
      <c r="AW253">
        <f>AND(IF(Metadata!K253="",FALSE,TRUE),OR(exact(Metadata!K253,"Animal"),exact(Metadata!K253,"Fungus"),exact(Metadata!K253,"Plant"),exact(Metadata!K253,"Saline"),exact(Metadata!K253,"Non-saline")))</f>
        <v>0</v>
      </c>
      <c r="AX253">
        <f>AND(IF(Metadata!L253="",FALSE,TRUE),OR(exact(Metadata!L253,"Plant secretion"),exact(Metadata!L253,"Plant rhizosphere"),exact(Metadata!L253,"Plant surface"),exact(Metadata!L253,"Plant corpus"),exact(Metadata!L253,"Fungus surface"),exact(Metadata!L253,"Fungus corpus"),exact(Metadata!L253,"Animal surface"),exact(Metadata!L253,"Animal proximal gut"),exact(Metadata!L253,"Animal corpus"),exact(Metadata!L253,"Animal distal gut"),exact(Metadata!L253,"Animal secretion"),exact(Metadata!L253,"Sub-surface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Y253">
        <f>IF(Metadata!M253="",FALSE,TRUE)</f>
        <v>0</v>
      </c>
      <c r="AZ253">
        <f>IF(Metadata!N253="",FALSE,TRUE)</f>
        <v>0</v>
      </c>
      <c r="BA253">
        <f>IF(Metadata!O253="",FALSE,TRUE)</f>
        <v>0</v>
      </c>
      <c r="BB253">
        <f>OR(AND(IF(Metadata!P253="",FALSE,TRUE),OR(exact(Metadata!P253,"not collected"),exact(Metadata!P253,"not provided"),exact(Metadata!P253,"restricted access"))),AND(IF(Metadata!P253="",FALSE,TRUE),OR(exact(Metadata!P253,"air"),exact(Metadata!P253,"built environment"),exact(Metadata!P253,"host-associated"),exact(Metadata!P253,"human-associated"),exact(Metadata!P253,"human-skin"),exact(Metadata!P253,"human-oral"),exact(Metadata!P253,"human-gut"),exact(Metadata!P253,"human-vaginal"),exact(Metadata!P253,"microbial mat/biofilm"),exact(Metadata!P253,"misc environment"),exact(Metadata!P253,"plant-associated"),exact(Metadata!P253,"sediment"),exact(Metadata!P253,"soil"),exact(Metadata!P253,"wastewater/sludge"),exact(Metadata!P253,"water"))))</f>
        <v>0</v>
      </c>
      <c r="BC253">
        <f>IF(Metadata!Q253="",FALSE,TRUE)</f>
        <v>0</v>
      </c>
      <c r="BD253">
        <f>IF(Metadata!R253="",FALSE,TRUE)</f>
        <v>0</v>
      </c>
      <c r="BE253">
        <f>OR(AND(IF(Metadata!S253="",FALSE,TRUE),OR(exact(Metadata!S253,"not collected"),exact(Metadata!S253,"not provided"),exact(Metadata!S253,"restricted access"))),AND(IF(Metadata!S253="",FALSE,ISNUMBER(VALUE(Metadata!S253))),Metadata!S253&gt;=-90.00,Metadata!S253&lt;=90.00))</f>
        <v>0</v>
      </c>
      <c r="BF253">
        <f>AND(IF(Metadata!T253="",FALSE,TRUE),exact(Metadata!T253,"Decimal degrees"))</f>
        <v>0</v>
      </c>
      <c r="BG253">
        <f>OR(AND(IF(Metadata!U253="",FALSE,TRUE),OR(exact(Metadata!U253,"not collected"),exact(Metadata!U253,"not provided"),exact(Metadata!U253,"restricted access"))),AND(IF(Metadata!U253="",FALSE,ISNUMBER(VALUE(Metadata!U253))),Metadata!U253&gt;=-180.00,Metadata!U253&lt;=180.00))</f>
        <v>0</v>
      </c>
      <c r="BH253">
        <f>AND(IF(Metadata!V253="",FALSE,TRUE),exact(Metadata!V253,"Decimal degrees"))</f>
        <v>0</v>
      </c>
      <c r="BI253">
        <f>IF(Metadata!W253="",FALSE,TRUE)</f>
        <v>0</v>
      </c>
      <c r="BJ253">
        <f>OR(AND(IF(Metadata!X253="",FALSE,TRUE),OR(exact(Metadata!X253,"not collected"),exact(Metadata!X253,"not provided"),exact(Metadata!X253,"restricted access"))),AND(IF(Metadata!X253="",FALSE,TRUE),OR(exact(Metadata!X253,"TRUE"),exact(Metadata!X253,"FALSE"))))</f>
        <v>0</v>
      </c>
      <c r="BK253">
        <f>AND(IF(Metadata!Y253="",FALSE,TRUE),exact(Metadata!Y253,"other"))</f>
        <v>0</v>
      </c>
      <c r="BL253">
        <f>IF(Metadata!Z253="",FALSE,TRUE)</f>
        <v>0</v>
      </c>
      <c r="BM253">
        <f>OR(AND(IF(Metadata!AA253="",FALSE,TRUE),OR(exact(Metadata!AA253,"not collected"),exact(Metadata!AA253,"not provided"))),AND(IF(Metadata!AA253="",FALSE,IF(ISERROR(INT(Metadata!AA253)),FALSE,INT(Metadata!AA253)=Metadata!AA253)),Metadata!AA253&gt;0))</f>
        <v>0</v>
      </c>
      <c r="BN253">
        <f>AND(IF(Metadata!AB253="",FALSE,TRUE),exact(Metadata!AB253,"Not applicable"))</f>
        <v>0</v>
      </c>
      <c r="BO253">
        <f>IF(Metadata!AC253="",FALSE,TRUE)</f>
        <v>0</v>
      </c>
    </row>
    <row r="254" spans="1:67">
      <c r="A254" s="5">
        <f>IF(B254=" "," ",HYPERLINK(CONCATENATE("#metadata!",ADDRESS(INDEX($AI$2:$AI$1001,MATCH(ROWS($AG$2:AG254),$AG$2:$AG$1001,0),0),1)),INDEX($AL$2:$AL$1001,MATCH(ROWS($AG$2:AG254),$AG$2:$AG$1001,0),0)))</f>
        <v>0</v>
      </c>
      <c r="B254" s="4">
        <f>IF(OR(INDEX($AH$2:$AH$1001,MATCH(ROWS($AG$2:AG254),$AG$2:$AG$1001,0),1)&gt;=100000,INDEX($AN$1005:$BO$1005,1,MATCH(COLUMNS($AN$1006:AN1006),$AN$1006:$BO$1006,0))&gt;=100000), " ",IF(INDEX($AN$2:$BO$1001,MATCH(ROWS($AG$2:AG254),$AG$2:$AG$1001,0),MATCH(COLUMNS($AN$1006:AN1006),$AN$1006:$BO$1006,0)), HYPERLINK("#",""), HYPERLINK(CONCATENATE("#Metadata!", ADDRESS(INDEX($AI$2:$AI$1001,MATCH(ROWS($AG$2:AG254),$AG$2:$AG$1001,0),0), INDEX($AN$1004:$BO$1004,1,MATCH(COLUMNS($AN$1006:AN1006),$AN$1006:$BO$1006,0)))),"Fix")))</f>
        <v>0</v>
      </c>
      <c r="C254" s="4">
        <f>IF(OR(INDEX($AH$2:$AH$1001,MATCH(ROWS($AG$2:AG254),$AG$2:$AG$1001,0),1)&gt;=100000,INDEX($AN$1005:$BO$1005,1,MATCH(COLUMNS($AN$1006:AO1006),$AN$1006:$BO$1006,0))&gt;=100000), " ",IF(INDEX($AN$2:$BO$1001,MATCH(ROWS($AG$2:AG254),$AG$2:$AG$1001,0),MATCH(COLUMNS($AN$1006:AO1006),$AN$1006:$BO$1006,0)), HYPERLINK("#",""), HYPERLINK(CONCATENATE("#Metadata!", ADDRESS(INDEX($AI$2:$AI$1001,MATCH(ROWS($AG$2:AG254),$AG$2:$AG$1001,0),0), INDEX($AN$1004:$BO$1004,1,MATCH(COLUMNS($AN$1006:AO1006),$AN$1006:$BO$1006,0)))),"Fix")))</f>
        <v>0</v>
      </c>
      <c r="D254" s="4">
        <f>IF(OR(INDEX($AH$2:$AH$1001,MATCH(ROWS($AG$2:AG254),$AG$2:$AG$1001,0),1)&gt;=100000,INDEX($AN$1005:$BO$1005,1,MATCH(COLUMNS($AN$1006:AP1006),$AN$1006:$BO$1006,0))&gt;=100000), " ",IF(INDEX($AN$2:$BO$1001,MATCH(ROWS($AG$2:AG254),$AG$2:$AG$1001,0),MATCH(COLUMNS($AN$1006:AP1006),$AN$1006:$BO$1006,0)), HYPERLINK("#",""), HYPERLINK(CONCATENATE("#Metadata!", ADDRESS(INDEX($AI$2:$AI$1001,MATCH(ROWS($AG$2:AG254),$AG$2:$AG$1001,0),0), INDEX($AN$1004:$BO$1004,1,MATCH(COLUMNS($AN$1006:AP1006),$AN$1006:$BO$1006,0)))),"Fix")))</f>
        <v>0</v>
      </c>
      <c r="E254" s="4">
        <f>IF(OR(INDEX($AH$2:$AH$1001,MATCH(ROWS($AG$2:AG254),$AG$2:$AG$1001,0),1)&gt;=100000,INDEX($AN$1005:$BO$1005,1,MATCH(COLUMNS($AN$1006:AQ1006),$AN$1006:$BO$1006,0))&gt;=100000), " ",IF(INDEX($AN$2:$BO$1001,MATCH(ROWS($AG$2:AG254),$AG$2:$AG$1001,0),MATCH(COLUMNS($AN$1006:AQ1006),$AN$1006:$BO$1006,0)), HYPERLINK("#",""), HYPERLINK(CONCATENATE("#Metadata!", ADDRESS(INDEX($AI$2:$AI$1001,MATCH(ROWS($AG$2:AG254),$AG$2:$AG$1001,0),0), INDEX($AN$1004:$BO$1004,1,MATCH(COLUMNS($AN$1006:AQ1006),$AN$1006:$BO$1006,0)))),"Fix")))</f>
        <v>0</v>
      </c>
      <c r="F254" s="4">
        <f>IF(OR(INDEX($AH$2:$AH$1001,MATCH(ROWS($AG$2:AG254),$AG$2:$AG$1001,0),1)&gt;=100000,INDEX($AN$1005:$BO$1005,1,MATCH(COLUMNS($AN$1006:AR1006),$AN$1006:$BO$1006,0))&gt;=100000), " ",IF(INDEX($AN$2:$BO$1001,MATCH(ROWS($AG$2:AG254),$AG$2:$AG$1001,0),MATCH(COLUMNS($AN$1006:AR1006),$AN$1006:$BO$1006,0)), HYPERLINK("#",""), HYPERLINK(CONCATENATE("#Metadata!", ADDRESS(INDEX($AI$2:$AI$1001,MATCH(ROWS($AG$2:AG254),$AG$2:$AG$1001,0),0), INDEX($AN$1004:$BO$1004,1,MATCH(COLUMNS($AN$1006:AR1006),$AN$1006:$BO$1006,0)))),"Fix")))</f>
        <v>0</v>
      </c>
      <c r="G254" s="4">
        <f>IF(OR(INDEX($AH$2:$AH$1001,MATCH(ROWS($AG$2:AG254),$AG$2:$AG$1001,0),1)&gt;=100000,INDEX($AN$1005:$BO$1005,1,MATCH(COLUMNS($AN$1006:AS1006),$AN$1006:$BO$1006,0))&gt;=100000), " ",IF(INDEX($AN$2:$BO$1001,MATCH(ROWS($AG$2:AG254),$AG$2:$AG$1001,0),MATCH(COLUMNS($AN$1006:AS1006),$AN$1006:$BO$1006,0)), HYPERLINK("#",""), HYPERLINK(CONCATENATE("#Metadata!", ADDRESS(INDEX($AI$2:$AI$1001,MATCH(ROWS($AG$2:AG254),$AG$2:$AG$1001,0),0), INDEX($AN$1004:$BO$1004,1,MATCH(COLUMNS($AN$1006:AS1006),$AN$1006:$BO$1006,0)))),"Fix")))</f>
        <v>0</v>
      </c>
      <c r="H254" s="4">
        <f>IF(OR(INDEX($AH$2:$AH$1001,MATCH(ROWS($AG$2:AG254),$AG$2:$AG$1001,0),1)&gt;=100000,INDEX($AN$1005:$BO$1005,1,MATCH(COLUMNS($AN$1006:AT1006),$AN$1006:$BO$1006,0))&gt;=100000), " ",IF(INDEX($AN$2:$BO$1001,MATCH(ROWS($AG$2:AG254),$AG$2:$AG$1001,0),MATCH(COLUMNS($AN$1006:AT1006),$AN$1006:$BO$1006,0)), HYPERLINK("#",""), HYPERLINK(CONCATENATE("#Metadata!", ADDRESS(INDEX($AI$2:$AI$1001,MATCH(ROWS($AG$2:AG254),$AG$2:$AG$1001,0),0), INDEX($AN$1004:$BO$1004,1,MATCH(COLUMNS($AN$1006:AT1006),$AN$1006:$BO$1006,0)))),"Fix")))</f>
        <v>0</v>
      </c>
      <c r="I254" s="4">
        <f>IF(OR(INDEX($AH$2:$AH$1001,MATCH(ROWS($AG$2:AG254),$AG$2:$AG$1001,0),1)&gt;=100000,INDEX($AN$1005:$BO$1005,1,MATCH(COLUMNS($AN$1006:AU1006),$AN$1006:$BO$1006,0))&gt;=100000), " ",IF(INDEX($AN$2:$BO$1001,MATCH(ROWS($AG$2:AG254),$AG$2:$AG$1001,0),MATCH(COLUMNS($AN$1006:AU1006),$AN$1006:$BO$1006,0)), HYPERLINK("#",""), HYPERLINK(CONCATENATE("#Metadata!", ADDRESS(INDEX($AI$2:$AI$1001,MATCH(ROWS($AG$2:AG254),$AG$2:$AG$1001,0),0), INDEX($AN$1004:$BO$1004,1,MATCH(COLUMNS($AN$1006:AU1006),$AN$1006:$BO$1006,0)))),"Fix")))</f>
        <v>0</v>
      </c>
      <c r="J254" s="4">
        <f>IF(OR(INDEX($AH$2:$AH$1001,MATCH(ROWS($AG$2:AG254),$AG$2:$AG$1001,0),1)&gt;=100000,INDEX($AN$1005:$BO$1005,1,MATCH(COLUMNS($AN$1006:AV1006),$AN$1006:$BO$1006,0))&gt;=100000), " ",IF(INDEX($AN$2:$BO$1001,MATCH(ROWS($AG$2:AG254),$AG$2:$AG$1001,0),MATCH(COLUMNS($AN$1006:AV1006),$AN$1006:$BO$1006,0)), HYPERLINK("#",""), HYPERLINK(CONCATENATE("#Metadata!", ADDRESS(INDEX($AI$2:$AI$1001,MATCH(ROWS($AG$2:AG254),$AG$2:$AG$1001,0),0), INDEX($AN$1004:$BO$1004,1,MATCH(COLUMNS($AN$1006:AV1006),$AN$1006:$BO$1006,0)))),"Fix")))</f>
        <v>0</v>
      </c>
      <c r="K254" s="4">
        <f>IF(OR(INDEX($AH$2:$AH$1001,MATCH(ROWS($AG$2:AG254),$AG$2:$AG$1001,0),1)&gt;=100000,INDEX($AN$1005:$BO$1005,1,MATCH(COLUMNS($AN$1006:AW1006),$AN$1006:$BO$1006,0))&gt;=100000), " ",IF(INDEX($AN$2:$BO$1001,MATCH(ROWS($AG$2:AG254),$AG$2:$AG$1001,0),MATCH(COLUMNS($AN$1006:AW1006),$AN$1006:$BO$1006,0)), HYPERLINK("#",""), HYPERLINK(CONCATENATE("#Metadata!", ADDRESS(INDEX($AI$2:$AI$1001,MATCH(ROWS($AG$2:AG254),$AG$2:$AG$1001,0),0), INDEX($AN$1004:$BO$1004,1,MATCH(COLUMNS($AN$1006:AW1006),$AN$1006:$BO$1006,0)))),"Fix")))</f>
        <v>0</v>
      </c>
      <c r="L254" s="4">
        <f>IF(OR(INDEX($AH$2:$AH$1001,MATCH(ROWS($AG$2:AG254),$AG$2:$AG$1001,0),1)&gt;=100000,INDEX($AN$1005:$BO$1005,1,MATCH(COLUMNS($AN$1006:AX1006),$AN$1006:$BO$1006,0))&gt;=100000), " ",IF(INDEX($AN$2:$BO$1001,MATCH(ROWS($AG$2:AG254),$AG$2:$AG$1001,0),MATCH(COLUMNS($AN$1006:AX1006),$AN$1006:$BO$1006,0)), HYPERLINK("#",""), HYPERLINK(CONCATENATE("#Metadata!", ADDRESS(INDEX($AI$2:$AI$1001,MATCH(ROWS($AG$2:AG254),$AG$2:$AG$1001,0),0), INDEX($AN$1004:$BO$1004,1,MATCH(COLUMNS($AN$1006:AX1006),$AN$1006:$BO$1006,0)))),"Fix")))</f>
        <v>0</v>
      </c>
      <c r="M254" s="4">
        <f>IF(OR(INDEX($AH$2:$AH$1001,MATCH(ROWS($AG$2:AG254),$AG$2:$AG$1001,0),1)&gt;=100000,INDEX($AN$1005:$BO$1005,1,MATCH(COLUMNS($AN$1006:AY1006),$AN$1006:$BO$1006,0))&gt;=100000), " ",IF(INDEX($AN$2:$BO$1001,MATCH(ROWS($AG$2:AG254),$AG$2:$AG$1001,0),MATCH(COLUMNS($AN$1006:AY1006),$AN$1006:$BO$1006,0)), HYPERLINK("#",""), HYPERLINK(CONCATENATE("#Metadata!", ADDRESS(INDEX($AI$2:$AI$1001,MATCH(ROWS($AG$2:AG254),$AG$2:$AG$1001,0),0), INDEX($AN$1004:$BO$1004,1,MATCH(COLUMNS($AN$1006:AY1006),$AN$1006:$BO$1006,0)))),"Fix")))</f>
        <v>0</v>
      </c>
      <c r="N254" s="4">
        <f>IF(OR(INDEX($AH$2:$AH$1001,MATCH(ROWS($AG$2:AG254),$AG$2:$AG$1001,0),1)&gt;=100000,INDEX($AN$1005:$BO$1005,1,MATCH(COLUMNS($AN$1006:AZ1006),$AN$1006:$BO$1006,0))&gt;=100000), " ",IF(INDEX($AN$2:$BO$1001,MATCH(ROWS($AG$2:AG254),$AG$2:$AG$1001,0),MATCH(COLUMNS($AN$1006:AZ1006),$AN$1006:$BO$1006,0)), HYPERLINK("#",""), HYPERLINK(CONCATENATE("#Metadata!", ADDRESS(INDEX($AI$2:$AI$1001,MATCH(ROWS($AG$2:AG254),$AG$2:$AG$1001,0),0), INDEX($AN$1004:$BO$1004,1,MATCH(COLUMNS($AN$1006:AZ1006),$AN$1006:$BO$1006,0)))),"Fix")))</f>
        <v>0</v>
      </c>
      <c r="O254" s="4">
        <f>IF(OR(INDEX($AH$2:$AH$1001,MATCH(ROWS($AG$2:AG254),$AG$2:$AG$1001,0),1)&gt;=100000,INDEX($AN$1005:$BO$1005,1,MATCH(COLUMNS($AN$1006:BA1006),$AN$1006:$BO$1006,0))&gt;=100000), " ",IF(INDEX($AN$2:$BO$1001,MATCH(ROWS($AG$2:AG254),$AG$2:$AG$1001,0),MATCH(COLUMNS($AN$1006:BA1006),$AN$1006:$BO$1006,0)), HYPERLINK("#",""), HYPERLINK(CONCATENATE("#Metadata!", ADDRESS(INDEX($AI$2:$AI$1001,MATCH(ROWS($AG$2:AG254),$AG$2:$AG$1001,0),0), INDEX($AN$1004:$BO$1004,1,MATCH(COLUMNS($AN$1006:BA1006),$AN$1006:$BO$1006,0)))),"Fix")))</f>
        <v>0</v>
      </c>
      <c r="P254" s="4">
        <f>IF(OR(INDEX($AH$2:$AH$1001,MATCH(ROWS($AG$2:AG254),$AG$2:$AG$1001,0),1)&gt;=100000,INDEX($AN$1005:$BO$1005,1,MATCH(COLUMNS($AN$1006:BB1006),$AN$1006:$BO$1006,0))&gt;=100000), " ",IF(INDEX($AN$2:$BO$1001,MATCH(ROWS($AG$2:AG254),$AG$2:$AG$1001,0),MATCH(COLUMNS($AN$1006:BB1006),$AN$1006:$BO$1006,0)), HYPERLINK("#",""), HYPERLINK(CONCATENATE("#Metadata!", ADDRESS(INDEX($AI$2:$AI$1001,MATCH(ROWS($AG$2:AG254),$AG$2:$AG$1001,0),0), INDEX($AN$1004:$BO$1004,1,MATCH(COLUMNS($AN$1006:BB1006),$AN$1006:$BO$1006,0)))),"Fix")))</f>
        <v>0</v>
      </c>
      <c r="Q254" s="4">
        <f>IF(OR(INDEX($AH$2:$AH$1001,MATCH(ROWS($AG$2:AG254),$AG$2:$AG$1001,0),1)&gt;=100000,INDEX($AN$1005:$BO$1005,1,MATCH(COLUMNS($AN$1006:BC1006),$AN$1006:$BO$1006,0))&gt;=100000), " ",IF(INDEX($AN$2:$BO$1001,MATCH(ROWS($AG$2:AG254),$AG$2:$AG$1001,0),MATCH(COLUMNS($AN$1006:BC1006),$AN$1006:$BO$1006,0)), HYPERLINK("#",""), HYPERLINK(CONCATENATE("#Metadata!", ADDRESS(INDEX($AI$2:$AI$1001,MATCH(ROWS($AG$2:AG254),$AG$2:$AG$1001,0),0), INDEX($AN$1004:$BO$1004,1,MATCH(COLUMNS($AN$1006:BC1006),$AN$1006:$BO$1006,0)))),"Fix")))</f>
        <v>0</v>
      </c>
      <c r="R254" s="4">
        <f>IF(OR(INDEX($AH$2:$AH$1001,MATCH(ROWS($AG$2:AG254),$AG$2:$AG$1001,0),1)&gt;=100000,INDEX($AN$1005:$BO$1005,1,MATCH(COLUMNS($AN$1006:BD1006),$AN$1006:$BO$1006,0))&gt;=100000), " ",IF(INDEX($AN$2:$BO$1001,MATCH(ROWS($AG$2:AG254),$AG$2:$AG$1001,0),MATCH(COLUMNS($AN$1006:BD1006),$AN$1006:$BO$1006,0)), HYPERLINK("#",""), HYPERLINK(CONCATENATE("#Metadata!", ADDRESS(INDEX($AI$2:$AI$1001,MATCH(ROWS($AG$2:AG254),$AG$2:$AG$1001,0),0), INDEX($AN$1004:$BO$1004,1,MATCH(COLUMNS($AN$1006:BD1006),$AN$1006:$BO$1006,0)))),"Fix")))</f>
        <v>0</v>
      </c>
      <c r="S254" s="4">
        <f>IF(OR(INDEX($AH$2:$AH$1001,MATCH(ROWS($AG$2:AG254),$AG$2:$AG$1001,0),1)&gt;=100000,INDEX($AN$1005:$BO$1005,1,MATCH(COLUMNS($AN$1006:BE1006),$AN$1006:$BO$1006,0))&gt;=100000), " ",IF(INDEX($AN$2:$BO$1001,MATCH(ROWS($AG$2:AG254),$AG$2:$AG$1001,0),MATCH(COLUMNS($AN$1006:BE1006),$AN$1006:$BO$1006,0)), HYPERLINK("#",""), HYPERLINK(CONCATENATE("#Metadata!", ADDRESS(INDEX($AI$2:$AI$1001,MATCH(ROWS($AG$2:AG254),$AG$2:$AG$1001,0),0), INDEX($AN$1004:$BO$1004,1,MATCH(COLUMNS($AN$1006:BE1006),$AN$1006:$BO$1006,0)))),"Fix")))</f>
        <v>0</v>
      </c>
      <c r="T254" s="4">
        <f>IF(OR(INDEX($AH$2:$AH$1001,MATCH(ROWS($AG$2:AG254),$AG$2:$AG$1001,0),1)&gt;=100000,INDEX($AN$1005:$BO$1005,1,MATCH(COLUMNS($AN$1006:BF1006),$AN$1006:$BO$1006,0))&gt;=100000), " ",IF(INDEX($AN$2:$BO$1001,MATCH(ROWS($AG$2:AG254),$AG$2:$AG$1001,0),MATCH(COLUMNS($AN$1006:BF1006),$AN$1006:$BO$1006,0)), HYPERLINK("#",""), HYPERLINK(CONCATENATE("#Metadata!", ADDRESS(INDEX($AI$2:$AI$1001,MATCH(ROWS($AG$2:AG254),$AG$2:$AG$1001,0),0), INDEX($AN$1004:$BO$1004,1,MATCH(COLUMNS($AN$1006:BF1006),$AN$1006:$BO$1006,0)))),"Fix")))</f>
        <v>0</v>
      </c>
      <c r="U254" s="4">
        <f>IF(OR(INDEX($AH$2:$AH$1001,MATCH(ROWS($AG$2:AG254),$AG$2:$AG$1001,0),1)&gt;=100000,INDEX($AN$1005:$BO$1005,1,MATCH(COLUMNS($AN$1006:BG1006),$AN$1006:$BO$1006,0))&gt;=100000), " ",IF(INDEX($AN$2:$BO$1001,MATCH(ROWS($AG$2:AG254),$AG$2:$AG$1001,0),MATCH(COLUMNS($AN$1006:BG1006),$AN$1006:$BO$1006,0)), HYPERLINK("#",""), HYPERLINK(CONCATENATE("#Metadata!", ADDRESS(INDEX($AI$2:$AI$1001,MATCH(ROWS($AG$2:AG254),$AG$2:$AG$1001,0),0), INDEX($AN$1004:$BO$1004,1,MATCH(COLUMNS($AN$1006:BG1006),$AN$1006:$BO$1006,0)))),"Fix")))</f>
        <v>0</v>
      </c>
      <c r="V254" s="4">
        <f>IF(OR(INDEX($AH$2:$AH$1001,MATCH(ROWS($AG$2:AG254),$AG$2:$AG$1001,0),1)&gt;=100000,INDEX($AN$1005:$BO$1005,1,MATCH(COLUMNS($AN$1006:BH1006),$AN$1006:$BO$1006,0))&gt;=100000), " ",IF(INDEX($AN$2:$BO$1001,MATCH(ROWS($AG$2:AG254),$AG$2:$AG$1001,0),MATCH(COLUMNS($AN$1006:BH1006),$AN$1006:$BO$1006,0)), HYPERLINK("#",""), HYPERLINK(CONCATENATE("#Metadata!", ADDRESS(INDEX($AI$2:$AI$1001,MATCH(ROWS($AG$2:AG254),$AG$2:$AG$1001,0),0), INDEX($AN$1004:$BO$1004,1,MATCH(COLUMNS($AN$1006:BH1006),$AN$1006:$BO$1006,0)))),"Fix")))</f>
        <v>0</v>
      </c>
      <c r="W254" s="4">
        <f>IF(OR(INDEX($AH$2:$AH$1001,MATCH(ROWS($AG$2:AG254),$AG$2:$AG$1001,0),1)&gt;=100000,INDEX($AN$1005:$BO$1005,1,MATCH(COLUMNS($AN$1006:BI1006),$AN$1006:$BO$1006,0))&gt;=100000), " ",IF(INDEX($AN$2:$BO$1001,MATCH(ROWS($AG$2:AG254),$AG$2:$AG$1001,0),MATCH(COLUMNS($AN$1006:BI1006),$AN$1006:$BO$1006,0)), HYPERLINK("#",""), HYPERLINK(CONCATENATE("#Metadata!", ADDRESS(INDEX($AI$2:$AI$1001,MATCH(ROWS($AG$2:AG254),$AG$2:$AG$1001,0),0), INDEX($AN$1004:$BO$1004,1,MATCH(COLUMNS($AN$1006:BI1006),$AN$1006:$BO$1006,0)))),"Fix")))</f>
        <v>0</v>
      </c>
      <c r="X254" s="4">
        <f>IF(OR(INDEX($AH$2:$AH$1001,MATCH(ROWS($AG$2:AG254),$AG$2:$AG$1001,0),1)&gt;=100000,INDEX($AN$1005:$BO$1005,1,MATCH(COLUMNS($AN$1006:BJ1006),$AN$1006:$BO$1006,0))&gt;=100000), " ",IF(INDEX($AN$2:$BO$1001,MATCH(ROWS($AG$2:AG254),$AG$2:$AG$1001,0),MATCH(COLUMNS($AN$1006:BJ1006),$AN$1006:$BO$1006,0)), HYPERLINK("#",""), HYPERLINK(CONCATENATE("#Metadata!", ADDRESS(INDEX($AI$2:$AI$1001,MATCH(ROWS($AG$2:AG254),$AG$2:$AG$1001,0),0), INDEX($AN$1004:$BO$1004,1,MATCH(COLUMNS($AN$1006:BJ1006),$AN$1006:$BO$1006,0)))),"Fix")))</f>
        <v>0</v>
      </c>
      <c r="Y254" s="4">
        <f>IF(OR(INDEX($AH$2:$AH$1001,MATCH(ROWS($AG$2:AG254),$AG$2:$AG$1001,0),1)&gt;=100000,INDEX($AN$1005:$BO$1005,1,MATCH(COLUMNS($AN$1006:BK1006),$AN$1006:$BO$1006,0))&gt;=100000), " ",IF(INDEX($AN$2:$BO$1001,MATCH(ROWS($AG$2:AG254),$AG$2:$AG$1001,0),MATCH(COLUMNS($AN$1006:BK1006),$AN$1006:$BO$1006,0)), HYPERLINK("#",""), HYPERLINK(CONCATENATE("#Metadata!", ADDRESS(INDEX($AI$2:$AI$1001,MATCH(ROWS($AG$2:AG254),$AG$2:$AG$1001,0),0), INDEX($AN$1004:$BO$1004,1,MATCH(COLUMNS($AN$1006:BK1006),$AN$1006:$BO$1006,0)))),"Fix")))</f>
        <v>0</v>
      </c>
      <c r="Z254" s="4">
        <f>IF(OR(INDEX($AH$2:$AH$1001,MATCH(ROWS($AG$2:AG254),$AG$2:$AG$1001,0),1)&gt;=100000,INDEX($AN$1005:$BO$1005,1,MATCH(COLUMNS($AN$1006:BL1006),$AN$1006:$BO$1006,0))&gt;=100000), " ",IF(INDEX($AN$2:$BO$1001,MATCH(ROWS($AG$2:AG254),$AG$2:$AG$1001,0),MATCH(COLUMNS($AN$1006:BL1006),$AN$1006:$BO$1006,0)), HYPERLINK("#",""), HYPERLINK(CONCATENATE("#Metadata!", ADDRESS(INDEX($AI$2:$AI$1001,MATCH(ROWS($AG$2:AG254),$AG$2:$AG$1001,0),0), INDEX($AN$1004:$BO$1004,1,MATCH(COLUMNS($AN$1006:BL1006),$AN$1006:$BO$1006,0)))),"Fix")))</f>
        <v>0</v>
      </c>
      <c r="AA254" s="4">
        <f>IF(OR(INDEX($AH$2:$AH$1001,MATCH(ROWS($AG$2:AG254),$AG$2:$AG$1001,0),1)&gt;=100000,INDEX($AN$1005:$BO$1005,1,MATCH(COLUMNS($AN$1006:BM1006),$AN$1006:$BO$1006,0))&gt;=100000), " ",IF(INDEX($AN$2:$BO$1001,MATCH(ROWS($AG$2:AG254),$AG$2:$AG$1001,0),MATCH(COLUMNS($AN$1006:BM1006),$AN$1006:$BO$1006,0)), HYPERLINK("#",""), HYPERLINK(CONCATENATE("#Metadata!", ADDRESS(INDEX($AI$2:$AI$1001,MATCH(ROWS($AG$2:AG254),$AG$2:$AG$1001,0),0), INDEX($AN$1004:$BO$1004,1,MATCH(COLUMNS($AN$1006:BM1006),$AN$1006:$BO$1006,0)))),"Fix")))</f>
        <v>0</v>
      </c>
      <c r="AB254" s="4">
        <f>IF(OR(INDEX($AH$2:$AH$1001,MATCH(ROWS($AG$2:AG254),$AG$2:$AG$1001,0),1)&gt;=100000,INDEX($AN$1005:$BO$1005,1,MATCH(COLUMNS($AN$1006:BN1006),$AN$1006:$BO$1006,0))&gt;=100000), " ",IF(INDEX($AN$2:$BO$1001,MATCH(ROWS($AG$2:AG254),$AG$2:$AG$1001,0),MATCH(COLUMNS($AN$1006:BN1006),$AN$1006:$BO$1006,0)), HYPERLINK("#",""), HYPERLINK(CONCATENATE("#Metadata!", ADDRESS(INDEX($AI$2:$AI$1001,MATCH(ROWS($AG$2:AG254),$AG$2:$AG$1001,0),0), INDEX($AN$1004:$BO$1004,1,MATCH(COLUMNS($AN$1006:BN1006),$AN$1006:$BO$1006,0)))),"Fix")))</f>
        <v>0</v>
      </c>
      <c r="AC254" s="4">
        <f>IF(OR(INDEX($AH$2:$AH$1001,MATCH(ROWS($AG$2:AG254),$AG$2:$AG$1001,0),1)&gt;=100000,INDEX($AN$1005:$BO$1005,1,MATCH(COLUMNS($AN$1006:BO1006),$AN$1006:$BO$1006,0))&gt;=100000), " ",IF(INDEX($AN$2:$BO$1001,MATCH(ROWS($AG$2:AG254),$AG$2:$AG$1001,0),MATCH(COLUMNS($AN$1006:BO1006),$AN$1006:$BO$1006,0)), HYPERLINK("#",""), HYPERLINK(CONCATENATE("#Metadata!", ADDRESS(INDEX($AI$2:$AI$1001,MATCH(ROWS($AG$2:AG254),$AG$2:$AG$1001,0),0), INDEX($AN$1004:$BO$1004,1,MATCH(COLUMNS($AN$1006:BO1006),$AN$1006:$BO$1006,0)))),"Fix")))</f>
        <v>0</v>
      </c>
      <c r="AG254">
        <v>0</v>
      </c>
      <c r="AH254">
        <v>0</v>
      </c>
      <c r="AI254">
        <v>0</v>
      </c>
      <c r="AJ254">
        <f>IF(AK254,TRUE,AND(AN254:BO254))</f>
        <v>0</v>
      </c>
      <c r="AK254">
        <f>COUNTBLANK(Metadata!B254:AC254)=COLUMNS(Metadata!B254:AC254)</f>
        <v>0</v>
      </c>
      <c r="AL254">
        <v>0</v>
      </c>
      <c r="AN254">
        <f>AND(IF(Metadata!B254="",FALSE,TRUE),COUNTIF(Metadata!B:B, Metadata!B254) = 1,NOT(ISERROR(SUMPRODUCT(SEARCH(MID(Metadata!B254,ROW(INDIRECT("1:"&amp;LEN(Metadata!B254))), 1),"0123456789abcdefghijklmnopqrstuvwxyzABCDEFGHIJKLMNOPQRSTUVWXYZ.")))))</f>
        <v>0</v>
      </c>
      <c r="AO254">
        <f>IF(Metadata!C254="",FALSE,TRUE)</f>
        <v>0</v>
      </c>
      <c r="AP254">
        <f>IF(Metadata!D254="",FALSE,TRUE)</f>
        <v>0</v>
      </c>
      <c r="AQ254">
        <f>OR(AND(IF(Metadata!E254="",FALSE,TRUE),OR(exact(Metadata!E254,"not collected"),exact(Metadata!E254,"not provided"),exact(Metadata!E254,"restricted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R254">
        <f>IF(Metadata!F254="",FALSE,TRUE)</f>
        <v>0</v>
      </c>
      <c r="AS254">
        <f>OR(AND(IF(Metadata!G254="",FALSE,TRUE),OR(exact(Metadata!G254,"not collected"),exact(Metadata!G254,"not provided"))),AND(IF(Metadata!G254="",FALSE,TRUE),OR(exact(Metadata!G254,"TRUE"),exact(Metadata!G254,"FALSE"))))</f>
        <v>0</v>
      </c>
      <c r="AT254">
        <f>OR(AND(IF(Metadata!H254="",FALSE,TRUE),OR(exact(Metadata!H254,"not collected"),exact(Metadata!H254,"not provided"),exact(Metadata!H254,"restricted access"))),AND(IF(Metadata!H254="",FALSE,ISNUMBER(VALUE(Metadata!H254))),Metadata!H254&gt;=-413.0))</f>
        <v>0</v>
      </c>
      <c r="AU254">
        <f>AND(IF(Metadata!I254="",FALSE,TRUE),exact(Metadata!I254,"meters"))</f>
        <v>0</v>
      </c>
      <c r="AV254">
        <f>AND(IF(Metadata!J254="",FALSE,TRUE),OR(exact(Metadata!J254,"Host-associated"),exact(Metadata!J254,"Free-living")))</f>
        <v>0</v>
      </c>
      <c r="AW254">
        <f>AND(IF(Metadata!K254="",FALSE,TRUE),OR(exact(Metadata!K254,"Animal"),exact(Metadata!K254,"Fungus"),exact(Metadata!K254,"Plant"),exact(Metadata!K254,"Saline"),exact(Metadata!K254,"Non-saline")))</f>
        <v>0</v>
      </c>
      <c r="AX254">
        <f>AND(IF(Metadata!L254="",FALSE,TRUE),OR(exact(Metadata!L254,"Plant secretion"),exact(Metadata!L254,"Plant rhizosphere"),exact(Metadata!L254,"Plant surface"),exact(Metadata!L254,"Plant corpus"),exact(Metadata!L254,"Fungus surface"),exact(Metadata!L254,"Fungus corpus"),exact(Metadata!L254,"Animal surface"),exact(Metadata!L254,"Animal proximal gut"),exact(Metadata!L254,"Animal corpus"),exact(Metadata!L254,"Animal distal gut"),exact(Metadata!L254,"Animal secretion"),exact(Metadata!L254,"Sub-surface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Y254">
        <f>IF(Metadata!M254="",FALSE,TRUE)</f>
        <v>0</v>
      </c>
      <c r="AZ254">
        <f>IF(Metadata!N254="",FALSE,TRUE)</f>
        <v>0</v>
      </c>
      <c r="BA254">
        <f>IF(Metadata!O254="",FALSE,TRUE)</f>
        <v>0</v>
      </c>
      <c r="BB254">
        <f>OR(AND(IF(Metadata!P254="",FALSE,TRUE),OR(exact(Metadata!P254,"not collected"),exact(Metadata!P254,"not provided"),exact(Metadata!P254,"restricted access"))),AND(IF(Metadata!P254="",FALSE,TRUE),OR(exact(Metadata!P254,"air"),exact(Metadata!P254,"built environment"),exact(Metadata!P254,"host-associated"),exact(Metadata!P254,"human-associated"),exact(Metadata!P254,"human-skin"),exact(Metadata!P254,"human-oral"),exact(Metadata!P254,"human-gut"),exact(Metadata!P254,"human-vaginal"),exact(Metadata!P254,"microbial mat/biofilm"),exact(Metadata!P254,"misc environment"),exact(Metadata!P254,"plant-associated"),exact(Metadata!P254,"sediment"),exact(Metadata!P254,"soil"),exact(Metadata!P254,"wastewater/sludge"),exact(Metadata!P254,"water"))))</f>
        <v>0</v>
      </c>
      <c r="BC254">
        <f>IF(Metadata!Q254="",FALSE,TRUE)</f>
        <v>0</v>
      </c>
      <c r="BD254">
        <f>IF(Metadata!R254="",FALSE,TRUE)</f>
        <v>0</v>
      </c>
      <c r="BE254">
        <f>OR(AND(IF(Metadata!S254="",FALSE,TRUE),OR(exact(Metadata!S254,"not collected"),exact(Metadata!S254,"not provided"),exact(Metadata!S254,"restricted access"))),AND(IF(Metadata!S254="",FALSE,ISNUMBER(VALUE(Metadata!S254))),Metadata!S254&gt;=-90.00,Metadata!S254&lt;=90.00))</f>
        <v>0</v>
      </c>
      <c r="BF254">
        <f>AND(IF(Metadata!T254="",FALSE,TRUE),exact(Metadata!T254,"Decimal degrees"))</f>
        <v>0</v>
      </c>
      <c r="BG254">
        <f>OR(AND(IF(Metadata!U254="",FALSE,TRUE),OR(exact(Metadata!U254,"not collected"),exact(Metadata!U254,"not provided"),exact(Metadata!U254,"restricted access"))),AND(IF(Metadata!U254="",FALSE,ISNUMBER(VALUE(Metadata!U254))),Metadata!U254&gt;=-180.00,Metadata!U254&lt;=180.00))</f>
        <v>0</v>
      </c>
      <c r="BH254">
        <f>AND(IF(Metadata!V254="",FALSE,TRUE),exact(Metadata!V254,"Decimal degrees"))</f>
        <v>0</v>
      </c>
      <c r="BI254">
        <f>IF(Metadata!W254="",FALSE,TRUE)</f>
        <v>0</v>
      </c>
      <c r="BJ254">
        <f>OR(AND(IF(Metadata!X254="",FALSE,TRUE),OR(exact(Metadata!X254,"not collected"),exact(Metadata!X254,"not provided"),exact(Metadata!X254,"restricted access"))),AND(IF(Metadata!X254="",FALSE,TRUE),OR(exact(Metadata!X254,"TRUE"),exact(Metadata!X254,"FALSE"))))</f>
        <v>0</v>
      </c>
      <c r="BK254">
        <f>AND(IF(Metadata!Y254="",FALSE,TRUE),exact(Metadata!Y254,"other"))</f>
        <v>0</v>
      </c>
      <c r="BL254">
        <f>IF(Metadata!Z254="",FALSE,TRUE)</f>
        <v>0</v>
      </c>
      <c r="BM254">
        <f>OR(AND(IF(Metadata!AA254="",FALSE,TRUE),OR(exact(Metadata!AA254,"not collected"),exact(Metadata!AA254,"not provided"))),AND(IF(Metadata!AA254="",FALSE,IF(ISERROR(INT(Metadata!AA254)),FALSE,INT(Metadata!AA254)=Metadata!AA254)),Metadata!AA254&gt;0))</f>
        <v>0</v>
      </c>
      <c r="BN254">
        <f>AND(IF(Metadata!AB254="",FALSE,TRUE),exact(Metadata!AB254,"Not applicable"))</f>
        <v>0</v>
      </c>
      <c r="BO254">
        <f>IF(Metadata!AC254="",FALSE,TRUE)</f>
        <v>0</v>
      </c>
    </row>
    <row r="255" spans="1:67">
      <c r="A255" s="5">
        <f>IF(B255=" "," ",HYPERLINK(CONCATENATE("#metadata!",ADDRESS(INDEX($AI$2:$AI$1001,MATCH(ROWS($AG$2:AG255),$AG$2:$AG$1001,0),0),1)),INDEX($AL$2:$AL$1001,MATCH(ROWS($AG$2:AG255),$AG$2:$AG$1001,0),0)))</f>
        <v>0</v>
      </c>
      <c r="B255" s="4">
        <f>IF(OR(INDEX($AH$2:$AH$1001,MATCH(ROWS($AG$2:AG255),$AG$2:$AG$1001,0),1)&gt;=100000,INDEX($AN$1005:$BO$1005,1,MATCH(COLUMNS($AN$1006:AN1006),$AN$1006:$BO$1006,0))&gt;=100000), " ",IF(INDEX($AN$2:$BO$1001,MATCH(ROWS($AG$2:AG255),$AG$2:$AG$1001,0),MATCH(COLUMNS($AN$1006:AN1006),$AN$1006:$BO$1006,0)), HYPERLINK("#",""), HYPERLINK(CONCATENATE("#Metadata!", ADDRESS(INDEX($AI$2:$AI$1001,MATCH(ROWS($AG$2:AG255),$AG$2:$AG$1001,0),0), INDEX($AN$1004:$BO$1004,1,MATCH(COLUMNS($AN$1006:AN1006),$AN$1006:$BO$1006,0)))),"Fix")))</f>
        <v>0</v>
      </c>
      <c r="C255" s="4">
        <f>IF(OR(INDEX($AH$2:$AH$1001,MATCH(ROWS($AG$2:AG255),$AG$2:$AG$1001,0),1)&gt;=100000,INDEX($AN$1005:$BO$1005,1,MATCH(COLUMNS($AN$1006:AO1006),$AN$1006:$BO$1006,0))&gt;=100000), " ",IF(INDEX($AN$2:$BO$1001,MATCH(ROWS($AG$2:AG255),$AG$2:$AG$1001,0),MATCH(COLUMNS($AN$1006:AO1006),$AN$1006:$BO$1006,0)), HYPERLINK("#",""), HYPERLINK(CONCATENATE("#Metadata!", ADDRESS(INDEX($AI$2:$AI$1001,MATCH(ROWS($AG$2:AG255),$AG$2:$AG$1001,0),0), INDEX($AN$1004:$BO$1004,1,MATCH(COLUMNS($AN$1006:AO1006),$AN$1006:$BO$1006,0)))),"Fix")))</f>
        <v>0</v>
      </c>
      <c r="D255" s="4">
        <f>IF(OR(INDEX($AH$2:$AH$1001,MATCH(ROWS($AG$2:AG255),$AG$2:$AG$1001,0),1)&gt;=100000,INDEX($AN$1005:$BO$1005,1,MATCH(COLUMNS($AN$1006:AP1006),$AN$1006:$BO$1006,0))&gt;=100000), " ",IF(INDEX($AN$2:$BO$1001,MATCH(ROWS($AG$2:AG255),$AG$2:$AG$1001,0),MATCH(COLUMNS($AN$1006:AP1006),$AN$1006:$BO$1006,0)), HYPERLINK("#",""), HYPERLINK(CONCATENATE("#Metadata!", ADDRESS(INDEX($AI$2:$AI$1001,MATCH(ROWS($AG$2:AG255),$AG$2:$AG$1001,0),0), INDEX($AN$1004:$BO$1004,1,MATCH(COLUMNS($AN$1006:AP1006),$AN$1006:$BO$1006,0)))),"Fix")))</f>
        <v>0</v>
      </c>
      <c r="E255" s="4">
        <f>IF(OR(INDEX($AH$2:$AH$1001,MATCH(ROWS($AG$2:AG255),$AG$2:$AG$1001,0),1)&gt;=100000,INDEX($AN$1005:$BO$1005,1,MATCH(COLUMNS($AN$1006:AQ1006),$AN$1006:$BO$1006,0))&gt;=100000), " ",IF(INDEX($AN$2:$BO$1001,MATCH(ROWS($AG$2:AG255),$AG$2:$AG$1001,0),MATCH(COLUMNS($AN$1006:AQ1006),$AN$1006:$BO$1006,0)), HYPERLINK("#",""), HYPERLINK(CONCATENATE("#Metadata!", ADDRESS(INDEX($AI$2:$AI$1001,MATCH(ROWS($AG$2:AG255),$AG$2:$AG$1001,0),0), INDEX($AN$1004:$BO$1004,1,MATCH(COLUMNS($AN$1006:AQ1006),$AN$1006:$BO$1006,0)))),"Fix")))</f>
        <v>0</v>
      </c>
      <c r="F255" s="4">
        <f>IF(OR(INDEX($AH$2:$AH$1001,MATCH(ROWS($AG$2:AG255),$AG$2:$AG$1001,0),1)&gt;=100000,INDEX($AN$1005:$BO$1005,1,MATCH(COLUMNS($AN$1006:AR1006),$AN$1006:$BO$1006,0))&gt;=100000), " ",IF(INDEX($AN$2:$BO$1001,MATCH(ROWS($AG$2:AG255),$AG$2:$AG$1001,0),MATCH(COLUMNS($AN$1006:AR1006),$AN$1006:$BO$1006,0)), HYPERLINK("#",""), HYPERLINK(CONCATENATE("#Metadata!", ADDRESS(INDEX($AI$2:$AI$1001,MATCH(ROWS($AG$2:AG255),$AG$2:$AG$1001,0),0), INDEX($AN$1004:$BO$1004,1,MATCH(COLUMNS($AN$1006:AR1006),$AN$1006:$BO$1006,0)))),"Fix")))</f>
        <v>0</v>
      </c>
      <c r="G255" s="4">
        <f>IF(OR(INDEX($AH$2:$AH$1001,MATCH(ROWS($AG$2:AG255),$AG$2:$AG$1001,0),1)&gt;=100000,INDEX($AN$1005:$BO$1005,1,MATCH(COLUMNS($AN$1006:AS1006),$AN$1006:$BO$1006,0))&gt;=100000), " ",IF(INDEX($AN$2:$BO$1001,MATCH(ROWS($AG$2:AG255),$AG$2:$AG$1001,0),MATCH(COLUMNS($AN$1006:AS1006),$AN$1006:$BO$1006,0)), HYPERLINK("#",""), HYPERLINK(CONCATENATE("#Metadata!", ADDRESS(INDEX($AI$2:$AI$1001,MATCH(ROWS($AG$2:AG255),$AG$2:$AG$1001,0),0), INDEX($AN$1004:$BO$1004,1,MATCH(COLUMNS($AN$1006:AS1006),$AN$1006:$BO$1006,0)))),"Fix")))</f>
        <v>0</v>
      </c>
      <c r="H255" s="4">
        <f>IF(OR(INDEX($AH$2:$AH$1001,MATCH(ROWS($AG$2:AG255),$AG$2:$AG$1001,0),1)&gt;=100000,INDEX($AN$1005:$BO$1005,1,MATCH(COLUMNS($AN$1006:AT1006),$AN$1006:$BO$1006,0))&gt;=100000), " ",IF(INDEX($AN$2:$BO$1001,MATCH(ROWS($AG$2:AG255),$AG$2:$AG$1001,0),MATCH(COLUMNS($AN$1006:AT1006),$AN$1006:$BO$1006,0)), HYPERLINK("#",""), HYPERLINK(CONCATENATE("#Metadata!", ADDRESS(INDEX($AI$2:$AI$1001,MATCH(ROWS($AG$2:AG255),$AG$2:$AG$1001,0),0), INDEX($AN$1004:$BO$1004,1,MATCH(COLUMNS($AN$1006:AT1006),$AN$1006:$BO$1006,0)))),"Fix")))</f>
        <v>0</v>
      </c>
      <c r="I255" s="4">
        <f>IF(OR(INDEX($AH$2:$AH$1001,MATCH(ROWS($AG$2:AG255),$AG$2:$AG$1001,0),1)&gt;=100000,INDEX($AN$1005:$BO$1005,1,MATCH(COLUMNS($AN$1006:AU1006),$AN$1006:$BO$1006,0))&gt;=100000), " ",IF(INDEX($AN$2:$BO$1001,MATCH(ROWS($AG$2:AG255),$AG$2:$AG$1001,0),MATCH(COLUMNS($AN$1006:AU1006),$AN$1006:$BO$1006,0)), HYPERLINK("#",""), HYPERLINK(CONCATENATE("#Metadata!", ADDRESS(INDEX($AI$2:$AI$1001,MATCH(ROWS($AG$2:AG255),$AG$2:$AG$1001,0),0), INDEX($AN$1004:$BO$1004,1,MATCH(COLUMNS($AN$1006:AU1006),$AN$1006:$BO$1006,0)))),"Fix")))</f>
        <v>0</v>
      </c>
      <c r="J255" s="4">
        <f>IF(OR(INDEX($AH$2:$AH$1001,MATCH(ROWS($AG$2:AG255),$AG$2:$AG$1001,0),1)&gt;=100000,INDEX($AN$1005:$BO$1005,1,MATCH(COLUMNS($AN$1006:AV1006),$AN$1006:$BO$1006,0))&gt;=100000), " ",IF(INDEX($AN$2:$BO$1001,MATCH(ROWS($AG$2:AG255),$AG$2:$AG$1001,0),MATCH(COLUMNS($AN$1006:AV1006),$AN$1006:$BO$1006,0)), HYPERLINK("#",""), HYPERLINK(CONCATENATE("#Metadata!", ADDRESS(INDEX($AI$2:$AI$1001,MATCH(ROWS($AG$2:AG255),$AG$2:$AG$1001,0),0), INDEX($AN$1004:$BO$1004,1,MATCH(COLUMNS($AN$1006:AV1006),$AN$1006:$BO$1006,0)))),"Fix")))</f>
        <v>0</v>
      </c>
      <c r="K255" s="4">
        <f>IF(OR(INDEX($AH$2:$AH$1001,MATCH(ROWS($AG$2:AG255),$AG$2:$AG$1001,0),1)&gt;=100000,INDEX($AN$1005:$BO$1005,1,MATCH(COLUMNS($AN$1006:AW1006),$AN$1006:$BO$1006,0))&gt;=100000), " ",IF(INDEX($AN$2:$BO$1001,MATCH(ROWS($AG$2:AG255),$AG$2:$AG$1001,0),MATCH(COLUMNS($AN$1006:AW1006),$AN$1006:$BO$1006,0)), HYPERLINK("#",""), HYPERLINK(CONCATENATE("#Metadata!", ADDRESS(INDEX($AI$2:$AI$1001,MATCH(ROWS($AG$2:AG255),$AG$2:$AG$1001,0),0), INDEX($AN$1004:$BO$1004,1,MATCH(COLUMNS($AN$1006:AW1006),$AN$1006:$BO$1006,0)))),"Fix")))</f>
        <v>0</v>
      </c>
      <c r="L255" s="4">
        <f>IF(OR(INDEX($AH$2:$AH$1001,MATCH(ROWS($AG$2:AG255),$AG$2:$AG$1001,0),1)&gt;=100000,INDEX($AN$1005:$BO$1005,1,MATCH(COLUMNS($AN$1006:AX1006),$AN$1006:$BO$1006,0))&gt;=100000), " ",IF(INDEX($AN$2:$BO$1001,MATCH(ROWS($AG$2:AG255),$AG$2:$AG$1001,0),MATCH(COLUMNS($AN$1006:AX1006),$AN$1006:$BO$1006,0)), HYPERLINK("#",""), HYPERLINK(CONCATENATE("#Metadata!", ADDRESS(INDEX($AI$2:$AI$1001,MATCH(ROWS($AG$2:AG255),$AG$2:$AG$1001,0),0), INDEX($AN$1004:$BO$1004,1,MATCH(COLUMNS($AN$1006:AX1006),$AN$1006:$BO$1006,0)))),"Fix")))</f>
        <v>0</v>
      </c>
      <c r="M255" s="4">
        <f>IF(OR(INDEX($AH$2:$AH$1001,MATCH(ROWS($AG$2:AG255),$AG$2:$AG$1001,0),1)&gt;=100000,INDEX($AN$1005:$BO$1005,1,MATCH(COLUMNS($AN$1006:AY1006),$AN$1006:$BO$1006,0))&gt;=100000), " ",IF(INDEX($AN$2:$BO$1001,MATCH(ROWS($AG$2:AG255),$AG$2:$AG$1001,0),MATCH(COLUMNS($AN$1006:AY1006),$AN$1006:$BO$1006,0)), HYPERLINK("#",""), HYPERLINK(CONCATENATE("#Metadata!", ADDRESS(INDEX($AI$2:$AI$1001,MATCH(ROWS($AG$2:AG255),$AG$2:$AG$1001,0),0), INDEX($AN$1004:$BO$1004,1,MATCH(COLUMNS($AN$1006:AY1006),$AN$1006:$BO$1006,0)))),"Fix")))</f>
        <v>0</v>
      </c>
      <c r="N255" s="4">
        <f>IF(OR(INDEX($AH$2:$AH$1001,MATCH(ROWS($AG$2:AG255),$AG$2:$AG$1001,0),1)&gt;=100000,INDEX($AN$1005:$BO$1005,1,MATCH(COLUMNS($AN$1006:AZ1006),$AN$1006:$BO$1006,0))&gt;=100000), " ",IF(INDEX($AN$2:$BO$1001,MATCH(ROWS($AG$2:AG255),$AG$2:$AG$1001,0),MATCH(COLUMNS($AN$1006:AZ1006),$AN$1006:$BO$1006,0)), HYPERLINK("#",""), HYPERLINK(CONCATENATE("#Metadata!", ADDRESS(INDEX($AI$2:$AI$1001,MATCH(ROWS($AG$2:AG255),$AG$2:$AG$1001,0),0), INDEX($AN$1004:$BO$1004,1,MATCH(COLUMNS($AN$1006:AZ1006),$AN$1006:$BO$1006,0)))),"Fix")))</f>
        <v>0</v>
      </c>
      <c r="O255" s="4">
        <f>IF(OR(INDEX($AH$2:$AH$1001,MATCH(ROWS($AG$2:AG255),$AG$2:$AG$1001,0),1)&gt;=100000,INDEX($AN$1005:$BO$1005,1,MATCH(COLUMNS($AN$1006:BA1006),$AN$1006:$BO$1006,0))&gt;=100000), " ",IF(INDEX($AN$2:$BO$1001,MATCH(ROWS($AG$2:AG255),$AG$2:$AG$1001,0),MATCH(COLUMNS($AN$1006:BA1006),$AN$1006:$BO$1006,0)), HYPERLINK("#",""), HYPERLINK(CONCATENATE("#Metadata!", ADDRESS(INDEX($AI$2:$AI$1001,MATCH(ROWS($AG$2:AG255),$AG$2:$AG$1001,0),0), INDEX($AN$1004:$BO$1004,1,MATCH(COLUMNS($AN$1006:BA1006),$AN$1006:$BO$1006,0)))),"Fix")))</f>
        <v>0</v>
      </c>
      <c r="P255" s="4">
        <f>IF(OR(INDEX($AH$2:$AH$1001,MATCH(ROWS($AG$2:AG255),$AG$2:$AG$1001,0),1)&gt;=100000,INDEX($AN$1005:$BO$1005,1,MATCH(COLUMNS($AN$1006:BB1006),$AN$1006:$BO$1006,0))&gt;=100000), " ",IF(INDEX($AN$2:$BO$1001,MATCH(ROWS($AG$2:AG255),$AG$2:$AG$1001,0),MATCH(COLUMNS($AN$1006:BB1006),$AN$1006:$BO$1006,0)), HYPERLINK("#",""), HYPERLINK(CONCATENATE("#Metadata!", ADDRESS(INDEX($AI$2:$AI$1001,MATCH(ROWS($AG$2:AG255),$AG$2:$AG$1001,0),0), INDEX($AN$1004:$BO$1004,1,MATCH(COLUMNS($AN$1006:BB1006),$AN$1006:$BO$1006,0)))),"Fix")))</f>
        <v>0</v>
      </c>
      <c r="Q255" s="4">
        <f>IF(OR(INDEX($AH$2:$AH$1001,MATCH(ROWS($AG$2:AG255),$AG$2:$AG$1001,0),1)&gt;=100000,INDEX($AN$1005:$BO$1005,1,MATCH(COLUMNS($AN$1006:BC1006),$AN$1006:$BO$1006,0))&gt;=100000), " ",IF(INDEX($AN$2:$BO$1001,MATCH(ROWS($AG$2:AG255),$AG$2:$AG$1001,0),MATCH(COLUMNS($AN$1006:BC1006),$AN$1006:$BO$1006,0)), HYPERLINK("#",""), HYPERLINK(CONCATENATE("#Metadata!", ADDRESS(INDEX($AI$2:$AI$1001,MATCH(ROWS($AG$2:AG255),$AG$2:$AG$1001,0),0), INDEX($AN$1004:$BO$1004,1,MATCH(COLUMNS($AN$1006:BC1006),$AN$1006:$BO$1006,0)))),"Fix")))</f>
        <v>0</v>
      </c>
      <c r="R255" s="4">
        <f>IF(OR(INDEX($AH$2:$AH$1001,MATCH(ROWS($AG$2:AG255),$AG$2:$AG$1001,0),1)&gt;=100000,INDEX($AN$1005:$BO$1005,1,MATCH(COLUMNS($AN$1006:BD1006),$AN$1006:$BO$1006,0))&gt;=100000), " ",IF(INDEX($AN$2:$BO$1001,MATCH(ROWS($AG$2:AG255),$AG$2:$AG$1001,0),MATCH(COLUMNS($AN$1006:BD1006),$AN$1006:$BO$1006,0)), HYPERLINK("#",""), HYPERLINK(CONCATENATE("#Metadata!", ADDRESS(INDEX($AI$2:$AI$1001,MATCH(ROWS($AG$2:AG255),$AG$2:$AG$1001,0),0), INDEX($AN$1004:$BO$1004,1,MATCH(COLUMNS($AN$1006:BD1006),$AN$1006:$BO$1006,0)))),"Fix")))</f>
        <v>0</v>
      </c>
      <c r="S255" s="4">
        <f>IF(OR(INDEX($AH$2:$AH$1001,MATCH(ROWS($AG$2:AG255),$AG$2:$AG$1001,0),1)&gt;=100000,INDEX($AN$1005:$BO$1005,1,MATCH(COLUMNS($AN$1006:BE1006),$AN$1006:$BO$1006,0))&gt;=100000), " ",IF(INDEX($AN$2:$BO$1001,MATCH(ROWS($AG$2:AG255),$AG$2:$AG$1001,0),MATCH(COLUMNS($AN$1006:BE1006),$AN$1006:$BO$1006,0)), HYPERLINK("#",""), HYPERLINK(CONCATENATE("#Metadata!", ADDRESS(INDEX($AI$2:$AI$1001,MATCH(ROWS($AG$2:AG255),$AG$2:$AG$1001,0),0), INDEX($AN$1004:$BO$1004,1,MATCH(COLUMNS($AN$1006:BE1006),$AN$1006:$BO$1006,0)))),"Fix")))</f>
        <v>0</v>
      </c>
      <c r="T255" s="4">
        <f>IF(OR(INDEX($AH$2:$AH$1001,MATCH(ROWS($AG$2:AG255),$AG$2:$AG$1001,0),1)&gt;=100000,INDEX($AN$1005:$BO$1005,1,MATCH(COLUMNS($AN$1006:BF1006),$AN$1006:$BO$1006,0))&gt;=100000), " ",IF(INDEX($AN$2:$BO$1001,MATCH(ROWS($AG$2:AG255),$AG$2:$AG$1001,0),MATCH(COLUMNS($AN$1006:BF1006),$AN$1006:$BO$1006,0)), HYPERLINK("#",""), HYPERLINK(CONCATENATE("#Metadata!", ADDRESS(INDEX($AI$2:$AI$1001,MATCH(ROWS($AG$2:AG255),$AG$2:$AG$1001,0),0), INDEX($AN$1004:$BO$1004,1,MATCH(COLUMNS($AN$1006:BF1006),$AN$1006:$BO$1006,0)))),"Fix")))</f>
        <v>0</v>
      </c>
      <c r="U255" s="4">
        <f>IF(OR(INDEX($AH$2:$AH$1001,MATCH(ROWS($AG$2:AG255),$AG$2:$AG$1001,0),1)&gt;=100000,INDEX($AN$1005:$BO$1005,1,MATCH(COLUMNS($AN$1006:BG1006),$AN$1006:$BO$1006,0))&gt;=100000), " ",IF(INDEX($AN$2:$BO$1001,MATCH(ROWS($AG$2:AG255),$AG$2:$AG$1001,0),MATCH(COLUMNS($AN$1006:BG1006),$AN$1006:$BO$1006,0)), HYPERLINK("#",""), HYPERLINK(CONCATENATE("#Metadata!", ADDRESS(INDEX($AI$2:$AI$1001,MATCH(ROWS($AG$2:AG255),$AG$2:$AG$1001,0),0), INDEX($AN$1004:$BO$1004,1,MATCH(COLUMNS($AN$1006:BG1006),$AN$1006:$BO$1006,0)))),"Fix")))</f>
        <v>0</v>
      </c>
      <c r="V255" s="4">
        <f>IF(OR(INDEX($AH$2:$AH$1001,MATCH(ROWS($AG$2:AG255),$AG$2:$AG$1001,0),1)&gt;=100000,INDEX($AN$1005:$BO$1005,1,MATCH(COLUMNS($AN$1006:BH1006),$AN$1006:$BO$1006,0))&gt;=100000), " ",IF(INDEX($AN$2:$BO$1001,MATCH(ROWS($AG$2:AG255),$AG$2:$AG$1001,0),MATCH(COLUMNS($AN$1006:BH1006),$AN$1006:$BO$1006,0)), HYPERLINK("#",""), HYPERLINK(CONCATENATE("#Metadata!", ADDRESS(INDEX($AI$2:$AI$1001,MATCH(ROWS($AG$2:AG255),$AG$2:$AG$1001,0),0), INDEX($AN$1004:$BO$1004,1,MATCH(COLUMNS($AN$1006:BH1006),$AN$1006:$BO$1006,0)))),"Fix")))</f>
        <v>0</v>
      </c>
      <c r="W255" s="4">
        <f>IF(OR(INDEX($AH$2:$AH$1001,MATCH(ROWS($AG$2:AG255),$AG$2:$AG$1001,0),1)&gt;=100000,INDEX($AN$1005:$BO$1005,1,MATCH(COLUMNS($AN$1006:BI1006),$AN$1006:$BO$1006,0))&gt;=100000), " ",IF(INDEX($AN$2:$BO$1001,MATCH(ROWS($AG$2:AG255),$AG$2:$AG$1001,0),MATCH(COLUMNS($AN$1006:BI1006),$AN$1006:$BO$1006,0)), HYPERLINK("#",""), HYPERLINK(CONCATENATE("#Metadata!", ADDRESS(INDEX($AI$2:$AI$1001,MATCH(ROWS($AG$2:AG255),$AG$2:$AG$1001,0),0), INDEX($AN$1004:$BO$1004,1,MATCH(COLUMNS($AN$1006:BI1006),$AN$1006:$BO$1006,0)))),"Fix")))</f>
        <v>0</v>
      </c>
      <c r="X255" s="4">
        <f>IF(OR(INDEX($AH$2:$AH$1001,MATCH(ROWS($AG$2:AG255),$AG$2:$AG$1001,0),1)&gt;=100000,INDEX($AN$1005:$BO$1005,1,MATCH(COLUMNS($AN$1006:BJ1006),$AN$1006:$BO$1006,0))&gt;=100000), " ",IF(INDEX($AN$2:$BO$1001,MATCH(ROWS($AG$2:AG255),$AG$2:$AG$1001,0),MATCH(COLUMNS($AN$1006:BJ1006),$AN$1006:$BO$1006,0)), HYPERLINK("#",""), HYPERLINK(CONCATENATE("#Metadata!", ADDRESS(INDEX($AI$2:$AI$1001,MATCH(ROWS($AG$2:AG255),$AG$2:$AG$1001,0),0), INDEX($AN$1004:$BO$1004,1,MATCH(COLUMNS($AN$1006:BJ1006),$AN$1006:$BO$1006,0)))),"Fix")))</f>
        <v>0</v>
      </c>
      <c r="Y255" s="4">
        <f>IF(OR(INDEX($AH$2:$AH$1001,MATCH(ROWS($AG$2:AG255),$AG$2:$AG$1001,0),1)&gt;=100000,INDEX($AN$1005:$BO$1005,1,MATCH(COLUMNS($AN$1006:BK1006),$AN$1006:$BO$1006,0))&gt;=100000), " ",IF(INDEX($AN$2:$BO$1001,MATCH(ROWS($AG$2:AG255),$AG$2:$AG$1001,0),MATCH(COLUMNS($AN$1006:BK1006),$AN$1006:$BO$1006,0)), HYPERLINK("#",""), HYPERLINK(CONCATENATE("#Metadata!", ADDRESS(INDEX($AI$2:$AI$1001,MATCH(ROWS($AG$2:AG255),$AG$2:$AG$1001,0),0), INDEX($AN$1004:$BO$1004,1,MATCH(COLUMNS($AN$1006:BK1006),$AN$1006:$BO$1006,0)))),"Fix")))</f>
        <v>0</v>
      </c>
      <c r="Z255" s="4">
        <f>IF(OR(INDEX($AH$2:$AH$1001,MATCH(ROWS($AG$2:AG255),$AG$2:$AG$1001,0),1)&gt;=100000,INDEX($AN$1005:$BO$1005,1,MATCH(COLUMNS($AN$1006:BL1006),$AN$1006:$BO$1006,0))&gt;=100000), " ",IF(INDEX($AN$2:$BO$1001,MATCH(ROWS($AG$2:AG255),$AG$2:$AG$1001,0),MATCH(COLUMNS($AN$1006:BL1006),$AN$1006:$BO$1006,0)), HYPERLINK("#",""), HYPERLINK(CONCATENATE("#Metadata!", ADDRESS(INDEX($AI$2:$AI$1001,MATCH(ROWS($AG$2:AG255),$AG$2:$AG$1001,0),0), INDEX($AN$1004:$BO$1004,1,MATCH(COLUMNS($AN$1006:BL1006),$AN$1006:$BO$1006,0)))),"Fix")))</f>
        <v>0</v>
      </c>
      <c r="AA255" s="4">
        <f>IF(OR(INDEX($AH$2:$AH$1001,MATCH(ROWS($AG$2:AG255),$AG$2:$AG$1001,0),1)&gt;=100000,INDEX($AN$1005:$BO$1005,1,MATCH(COLUMNS($AN$1006:BM1006),$AN$1006:$BO$1006,0))&gt;=100000), " ",IF(INDEX($AN$2:$BO$1001,MATCH(ROWS($AG$2:AG255),$AG$2:$AG$1001,0),MATCH(COLUMNS($AN$1006:BM1006),$AN$1006:$BO$1006,0)), HYPERLINK("#",""), HYPERLINK(CONCATENATE("#Metadata!", ADDRESS(INDEX($AI$2:$AI$1001,MATCH(ROWS($AG$2:AG255),$AG$2:$AG$1001,0),0), INDEX($AN$1004:$BO$1004,1,MATCH(COLUMNS($AN$1006:BM1006),$AN$1006:$BO$1006,0)))),"Fix")))</f>
        <v>0</v>
      </c>
      <c r="AB255" s="4">
        <f>IF(OR(INDEX($AH$2:$AH$1001,MATCH(ROWS($AG$2:AG255),$AG$2:$AG$1001,0),1)&gt;=100000,INDEX($AN$1005:$BO$1005,1,MATCH(COLUMNS($AN$1006:BN1006),$AN$1006:$BO$1006,0))&gt;=100000), " ",IF(INDEX($AN$2:$BO$1001,MATCH(ROWS($AG$2:AG255),$AG$2:$AG$1001,0),MATCH(COLUMNS($AN$1006:BN1006),$AN$1006:$BO$1006,0)), HYPERLINK("#",""), HYPERLINK(CONCATENATE("#Metadata!", ADDRESS(INDEX($AI$2:$AI$1001,MATCH(ROWS($AG$2:AG255),$AG$2:$AG$1001,0),0), INDEX($AN$1004:$BO$1004,1,MATCH(COLUMNS($AN$1006:BN1006),$AN$1006:$BO$1006,0)))),"Fix")))</f>
        <v>0</v>
      </c>
      <c r="AC255" s="4">
        <f>IF(OR(INDEX($AH$2:$AH$1001,MATCH(ROWS($AG$2:AG255),$AG$2:$AG$1001,0),1)&gt;=100000,INDEX($AN$1005:$BO$1005,1,MATCH(COLUMNS($AN$1006:BO1006),$AN$1006:$BO$1006,0))&gt;=100000), " ",IF(INDEX($AN$2:$BO$1001,MATCH(ROWS($AG$2:AG255),$AG$2:$AG$1001,0),MATCH(COLUMNS($AN$1006:BO1006),$AN$1006:$BO$1006,0)), HYPERLINK("#",""), HYPERLINK(CONCATENATE("#Metadata!", ADDRESS(INDEX($AI$2:$AI$1001,MATCH(ROWS($AG$2:AG255),$AG$2:$AG$1001,0),0), INDEX($AN$1004:$BO$1004,1,MATCH(COLUMNS($AN$1006:BO1006),$AN$1006:$BO$1006,0)))),"Fix")))</f>
        <v>0</v>
      </c>
      <c r="AG255">
        <v>0</v>
      </c>
      <c r="AH255">
        <v>0</v>
      </c>
      <c r="AI255">
        <v>0</v>
      </c>
      <c r="AJ255">
        <f>IF(AK255,TRUE,AND(AN255:BO255))</f>
        <v>0</v>
      </c>
      <c r="AK255">
        <f>COUNTBLANK(Metadata!B255:AC255)=COLUMNS(Metadata!B255:AC255)</f>
        <v>0</v>
      </c>
      <c r="AL255">
        <v>0</v>
      </c>
      <c r="AN255">
        <f>AND(IF(Metadata!B255="",FALSE,TRUE),COUNTIF(Metadata!B:B, Metadata!B255) = 1,NOT(ISERROR(SUMPRODUCT(SEARCH(MID(Metadata!B255,ROW(INDIRECT("1:"&amp;LEN(Metadata!B255))), 1),"0123456789abcdefghijklmnopqrstuvwxyzABCDEFGHIJKLMNOPQRSTUVWXYZ.")))))</f>
        <v>0</v>
      </c>
      <c r="AO255">
        <f>IF(Metadata!C255="",FALSE,TRUE)</f>
        <v>0</v>
      </c>
      <c r="AP255">
        <f>IF(Metadata!D255="",FALSE,TRUE)</f>
        <v>0</v>
      </c>
      <c r="AQ255">
        <f>OR(AND(IF(Metadata!E255="",FALSE,TRUE),OR(exact(Metadata!E255,"not collected"),exact(Metadata!E255,"not provided"),exact(Metadata!E255,"restricted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R255">
        <f>IF(Metadata!F255="",FALSE,TRUE)</f>
        <v>0</v>
      </c>
      <c r="AS255">
        <f>OR(AND(IF(Metadata!G255="",FALSE,TRUE),OR(exact(Metadata!G255,"not collected"),exact(Metadata!G255,"not provided"))),AND(IF(Metadata!G255="",FALSE,TRUE),OR(exact(Metadata!G255,"TRUE"),exact(Metadata!G255,"FALSE"))))</f>
        <v>0</v>
      </c>
      <c r="AT255">
        <f>OR(AND(IF(Metadata!H255="",FALSE,TRUE),OR(exact(Metadata!H255,"not collected"),exact(Metadata!H255,"not provided"),exact(Metadata!H255,"restricted access"))),AND(IF(Metadata!H255="",FALSE,ISNUMBER(VALUE(Metadata!H255))),Metadata!H255&gt;=-413.0))</f>
        <v>0</v>
      </c>
      <c r="AU255">
        <f>AND(IF(Metadata!I255="",FALSE,TRUE),exact(Metadata!I255,"meters"))</f>
        <v>0</v>
      </c>
      <c r="AV255">
        <f>AND(IF(Metadata!J255="",FALSE,TRUE),OR(exact(Metadata!J255,"Host-associated"),exact(Metadata!J255,"Free-living")))</f>
        <v>0</v>
      </c>
      <c r="AW255">
        <f>AND(IF(Metadata!K255="",FALSE,TRUE),OR(exact(Metadata!K255,"Animal"),exact(Metadata!K255,"Fungus"),exact(Metadata!K255,"Plant"),exact(Metadata!K255,"Saline"),exact(Metadata!K255,"Non-saline")))</f>
        <v>0</v>
      </c>
      <c r="AX255">
        <f>AND(IF(Metadata!L255="",FALSE,TRUE),OR(exact(Metadata!L255,"Plant secretion"),exact(Metadata!L255,"Plant rhizosphere"),exact(Metadata!L255,"Plant surface"),exact(Metadata!L255,"Plant corpus"),exact(Metadata!L255,"Fungus surface"),exact(Metadata!L255,"Fungus corpus"),exact(Metadata!L255,"Animal surface"),exact(Metadata!L255,"Animal proximal gut"),exact(Metadata!L255,"Animal corpus"),exact(Metadata!L255,"Animal distal gut"),exact(Metadata!L255,"Animal secretion"),exact(Metadata!L255,"Sub-surface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Y255">
        <f>IF(Metadata!M255="",FALSE,TRUE)</f>
        <v>0</v>
      </c>
      <c r="AZ255">
        <f>IF(Metadata!N255="",FALSE,TRUE)</f>
        <v>0</v>
      </c>
      <c r="BA255">
        <f>IF(Metadata!O255="",FALSE,TRUE)</f>
        <v>0</v>
      </c>
      <c r="BB255">
        <f>OR(AND(IF(Metadata!P255="",FALSE,TRUE),OR(exact(Metadata!P255,"not collected"),exact(Metadata!P255,"not provided"),exact(Metadata!P255,"restricted access"))),AND(IF(Metadata!P255="",FALSE,TRUE),OR(exact(Metadata!P255,"air"),exact(Metadata!P255,"built environment"),exact(Metadata!P255,"host-associated"),exact(Metadata!P255,"human-associated"),exact(Metadata!P255,"human-skin"),exact(Metadata!P255,"human-oral"),exact(Metadata!P255,"human-gut"),exact(Metadata!P255,"human-vaginal"),exact(Metadata!P255,"microbial mat/biofilm"),exact(Metadata!P255,"misc environment"),exact(Metadata!P255,"plant-associated"),exact(Metadata!P255,"sediment"),exact(Metadata!P255,"soil"),exact(Metadata!P255,"wastewater/sludge"),exact(Metadata!P255,"water"))))</f>
        <v>0</v>
      </c>
      <c r="BC255">
        <f>IF(Metadata!Q255="",FALSE,TRUE)</f>
        <v>0</v>
      </c>
      <c r="BD255">
        <f>IF(Metadata!R255="",FALSE,TRUE)</f>
        <v>0</v>
      </c>
      <c r="BE255">
        <f>OR(AND(IF(Metadata!S255="",FALSE,TRUE),OR(exact(Metadata!S255,"not collected"),exact(Metadata!S255,"not provided"),exact(Metadata!S255,"restricted access"))),AND(IF(Metadata!S255="",FALSE,ISNUMBER(VALUE(Metadata!S255))),Metadata!S255&gt;=-90.00,Metadata!S255&lt;=90.00))</f>
        <v>0</v>
      </c>
      <c r="BF255">
        <f>AND(IF(Metadata!T255="",FALSE,TRUE),exact(Metadata!T255,"Decimal degrees"))</f>
        <v>0</v>
      </c>
      <c r="BG255">
        <f>OR(AND(IF(Metadata!U255="",FALSE,TRUE),OR(exact(Metadata!U255,"not collected"),exact(Metadata!U255,"not provided"),exact(Metadata!U255,"restricted access"))),AND(IF(Metadata!U255="",FALSE,ISNUMBER(VALUE(Metadata!U255))),Metadata!U255&gt;=-180.00,Metadata!U255&lt;=180.00))</f>
        <v>0</v>
      </c>
      <c r="BH255">
        <f>AND(IF(Metadata!V255="",FALSE,TRUE),exact(Metadata!V255,"Decimal degrees"))</f>
        <v>0</v>
      </c>
      <c r="BI255">
        <f>IF(Metadata!W255="",FALSE,TRUE)</f>
        <v>0</v>
      </c>
      <c r="BJ255">
        <f>OR(AND(IF(Metadata!X255="",FALSE,TRUE),OR(exact(Metadata!X255,"not collected"),exact(Metadata!X255,"not provided"),exact(Metadata!X255,"restricted access"))),AND(IF(Metadata!X255="",FALSE,TRUE),OR(exact(Metadata!X255,"TRUE"),exact(Metadata!X255,"FALSE"))))</f>
        <v>0</v>
      </c>
      <c r="BK255">
        <f>AND(IF(Metadata!Y255="",FALSE,TRUE),exact(Metadata!Y255,"other"))</f>
        <v>0</v>
      </c>
      <c r="BL255">
        <f>IF(Metadata!Z255="",FALSE,TRUE)</f>
        <v>0</v>
      </c>
      <c r="BM255">
        <f>OR(AND(IF(Metadata!AA255="",FALSE,TRUE),OR(exact(Metadata!AA255,"not collected"),exact(Metadata!AA255,"not provided"))),AND(IF(Metadata!AA255="",FALSE,IF(ISERROR(INT(Metadata!AA255)),FALSE,INT(Metadata!AA255)=Metadata!AA255)),Metadata!AA255&gt;0))</f>
        <v>0</v>
      </c>
      <c r="BN255">
        <f>AND(IF(Metadata!AB255="",FALSE,TRUE),exact(Metadata!AB255,"Not applicable"))</f>
        <v>0</v>
      </c>
      <c r="BO255">
        <f>IF(Metadata!AC255="",FALSE,TRUE)</f>
        <v>0</v>
      </c>
    </row>
    <row r="256" spans="1:67">
      <c r="A256" s="5">
        <f>IF(B256=" "," ",HYPERLINK(CONCATENATE("#metadata!",ADDRESS(INDEX($AI$2:$AI$1001,MATCH(ROWS($AG$2:AG256),$AG$2:$AG$1001,0),0),1)),INDEX($AL$2:$AL$1001,MATCH(ROWS($AG$2:AG256),$AG$2:$AG$1001,0),0)))</f>
        <v>0</v>
      </c>
      <c r="B256" s="4">
        <f>IF(OR(INDEX($AH$2:$AH$1001,MATCH(ROWS($AG$2:AG256),$AG$2:$AG$1001,0),1)&gt;=100000,INDEX($AN$1005:$BO$1005,1,MATCH(COLUMNS($AN$1006:AN1006),$AN$1006:$BO$1006,0))&gt;=100000), " ",IF(INDEX($AN$2:$BO$1001,MATCH(ROWS($AG$2:AG256),$AG$2:$AG$1001,0),MATCH(COLUMNS($AN$1006:AN1006),$AN$1006:$BO$1006,0)), HYPERLINK("#",""), HYPERLINK(CONCATENATE("#Metadata!", ADDRESS(INDEX($AI$2:$AI$1001,MATCH(ROWS($AG$2:AG256),$AG$2:$AG$1001,0),0), INDEX($AN$1004:$BO$1004,1,MATCH(COLUMNS($AN$1006:AN1006),$AN$1006:$BO$1006,0)))),"Fix")))</f>
        <v>0</v>
      </c>
      <c r="C256" s="4">
        <f>IF(OR(INDEX($AH$2:$AH$1001,MATCH(ROWS($AG$2:AG256),$AG$2:$AG$1001,0),1)&gt;=100000,INDEX($AN$1005:$BO$1005,1,MATCH(COLUMNS($AN$1006:AO1006),$AN$1006:$BO$1006,0))&gt;=100000), " ",IF(INDEX($AN$2:$BO$1001,MATCH(ROWS($AG$2:AG256),$AG$2:$AG$1001,0),MATCH(COLUMNS($AN$1006:AO1006),$AN$1006:$BO$1006,0)), HYPERLINK("#",""), HYPERLINK(CONCATENATE("#Metadata!", ADDRESS(INDEX($AI$2:$AI$1001,MATCH(ROWS($AG$2:AG256),$AG$2:$AG$1001,0),0), INDEX($AN$1004:$BO$1004,1,MATCH(COLUMNS($AN$1006:AO1006),$AN$1006:$BO$1006,0)))),"Fix")))</f>
        <v>0</v>
      </c>
      <c r="D256" s="4">
        <f>IF(OR(INDEX($AH$2:$AH$1001,MATCH(ROWS($AG$2:AG256),$AG$2:$AG$1001,0),1)&gt;=100000,INDEX($AN$1005:$BO$1005,1,MATCH(COLUMNS($AN$1006:AP1006),$AN$1006:$BO$1006,0))&gt;=100000), " ",IF(INDEX($AN$2:$BO$1001,MATCH(ROWS($AG$2:AG256),$AG$2:$AG$1001,0),MATCH(COLUMNS($AN$1006:AP1006),$AN$1006:$BO$1006,0)), HYPERLINK("#",""), HYPERLINK(CONCATENATE("#Metadata!", ADDRESS(INDEX($AI$2:$AI$1001,MATCH(ROWS($AG$2:AG256),$AG$2:$AG$1001,0),0), INDEX($AN$1004:$BO$1004,1,MATCH(COLUMNS($AN$1006:AP1006),$AN$1006:$BO$1006,0)))),"Fix")))</f>
        <v>0</v>
      </c>
      <c r="E256" s="4">
        <f>IF(OR(INDEX($AH$2:$AH$1001,MATCH(ROWS($AG$2:AG256),$AG$2:$AG$1001,0),1)&gt;=100000,INDEX($AN$1005:$BO$1005,1,MATCH(COLUMNS($AN$1006:AQ1006),$AN$1006:$BO$1006,0))&gt;=100000), " ",IF(INDEX($AN$2:$BO$1001,MATCH(ROWS($AG$2:AG256),$AG$2:$AG$1001,0),MATCH(COLUMNS($AN$1006:AQ1006),$AN$1006:$BO$1006,0)), HYPERLINK("#",""), HYPERLINK(CONCATENATE("#Metadata!", ADDRESS(INDEX($AI$2:$AI$1001,MATCH(ROWS($AG$2:AG256),$AG$2:$AG$1001,0),0), INDEX($AN$1004:$BO$1004,1,MATCH(COLUMNS($AN$1006:AQ1006),$AN$1006:$BO$1006,0)))),"Fix")))</f>
        <v>0</v>
      </c>
      <c r="F256" s="4">
        <f>IF(OR(INDEX($AH$2:$AH$1001,MATCH(ROWS($AG$2:AG256),$AG$2:$AG$1001,0),1)&gt;=100000,INDEX($AN$1005:$BO$1005,1,MATCH(COLUMNS($AN$1006:AR1006),$AN$1006:$BO$1006,0))&gt;=100000), " ",IF(INDEX($AN$2:$BO$1001,MATCH(ROWS($AG$2:AG256),$AG$2:$AG$1001,0),MATCH(COLUMNS($AN$1006:AR1006),$AN$1006:$BO$1006,0)), HYPERLINK("#",""), HYPERLINK(CONCATENATE("#Metadata!", ADDRESS(INDEX($AI$2:$AI$1001,MATCH(ROWS($AG$2:AG256),$AG$2:$AG$1001,0),0), INDEX($AN$1004:$BO$1004,1,MATCH(COLUMNS($AN$1006:AR1006),$AN$1006:$BO$1006,0)))),"Fix")))</f>
        <v>0</v>
      </c>
      <c r="G256" s="4">
        <f>IF(OR(INDEX($AH$2:$AH$1001,MATCH(ROWS($AG$2:AG256),$AG$2:$AG$1001,0),1)&gt;=100000,INDEX($AN$1005:$BO$1005,1,MATCH(COLUMNS($AN$1006:AS1006),$AN$1006:$BO$1006,0))&gt;=100000), " ",IF(INDEX($AN$2:$BO$1001,MATCH(ROWS($AG$2:AG256),$AG$2:$AG$1001,0),MATCH(COLUMNS($AN$1006:AS1006),$AN$1006:$BO$1006,0)), HYPERLINK("#",""), HYPERLINK(CONCATENATE("#Metadata!", ADDRESS(INDEX($AI$2:$AI$1001,MATCH(ROWS($AG$2:AG256),$AG$2:$AG$1001,0),0), INDEX($AN$1004:$BO$1004,1,MATCH(COLUMNS($AN$1006:AS1006),$AN$1006:$BO$1006,0)))),"Fix")))</f>
        <v>0</v>
      </c>
      <c r="H256" s="4">
        <f>IF(OR(INDEX($AH$2:$AH$1001,MATCH(ROWS($AG$2:AG256),$AG$2:$AG$1001,0),1)&gt;=100000,INDEX($AN$1005:$BO$1005,1,MATCH(COLUMNS($AN$1006:AT1006),$AN$1006:$BO$1006,0))&gt;=100000), " ",IF(INDEX($AN$2:$BO$1001,MATCH(ROWS($AG$2:AG256),$AG$2:$AG$1001,0),MATCH(COLUMNS($AN$1006:AT1006),$AN$1006:$BO$1006,0)), HYPERLINK("#",""), HYPERLINK(CONCATENATE("#Metadata!", ADDRESS(INDEX($AI$2:$AI$1001,MATCH(ROWS($AG$2:AG256),$AG$2:$AG$1001,0),0), INDEX($AN$1004:$BO$1004,1,MATCH(COLUMNS($AN$1006:AT1006),$AN$1006:$BO$1006,0)))),"Fix")))</f>
        <v>0</v>
      </c>
      <c r="I256" s="4">
        <f>IF(OR(INDEX($AH$2:$AH$1001,MATCH(ROWS($AG$2:AG256),$AG$2:$AG$1001,0),1)&gt;=100000,INDEX($AN$1005:$BO$1005,1,MATCH(COLUMNS($AN$1006:AU1006),$AN$1006:$BO$1006,0))&gt;=100000), " ",IF(INDEX($AN$2:$BO$1001,MATCH(ROWS($AG$2:AG256),$AG$2:$AG$1001,0),MATCH(COLUMNS($AN$1006:AU1006),$AN$1006:$BO$1006,0)), HYPERLINK("#",""), HYPERLINK(CONCATENATE("#Metadata!", ADDRESS(INDEX($AI$2:$AI$1001,MATCH(ROWS($AG$2:AG256),$AG$2:$AG$1001,0),0), INDEX($AN$1004:$BO$1004,1,MATCH(COLUMNS($AN$1006:AU1006),$AN$1006:$BO$1006,0)))),"Fix")))</f>
        <v>0</v>
      </c>
      <c r="J256" s="4">
        <f>IF(OR(INDEX($AH$2:$AH$1001,MATCH(ROWS($AG$2:AG256),$AG$2:$AG$1001,0),1)&gt;=100000,INDEX($AN$1005:$BO$1005,1,MATCH(COLUMNS($AN$1006:AV1006),$AN$1006:$BO$1006,0))&gt;=100000), " ",IF(INDEX($AN$2:$BO$1001,MATCH(ROWS($AG$2:AG256),$AG$2:$AG$1001,0),MATCH(COLUMNS($AN$1006:AV1006),$AN$1006:$BO$1006,0)), HYPERLINK("#",""), HYPERLINK(CONCATENATE("#Metadata!", ADDRESS(INDEX($AI$2:$AI$1001,MATCH(ROWS($AG$2:AG256),$AG$2:$AG$1001,0),0), INDEX($AN$1004:$BO$1004,1,MATCH(COLUMNS($AN$1006:AV1006),$AN$1006:$BO$1006,0)))),"Fix")))</f>
        <v>0</v>
      </c>
      <c r="K256" s="4">
        <f>IF(OR(INDEX($AH$2:$AH$1001,MATCH(ROWS($AG$2:AG256),$AG$2:$AG$1001,0),1)&gt;=100000,INDEX($AN$1005:$BO$1005,1,MATCH(COLUMNS($AN$1006:AW1006),$AN$1006:$BO$1006,0))&gt;=100000), " ",IF(INDEX($AN$2:$BO$1001,MATCH(ROWS($AG$2:AG256),$AG$2:$AG$1001,0),MATCH(COLUMNS($AN$1006:AW1006),$AN$1006:$BO$1006,0)), HYPERLINK("#",""), HYPERLINK(CONCATENATE("#Metadata!", ADDRESS(INDEX($AI$2:$AI$1001,MATCH(ROWS($AG$2:AG256),$AG$2:$AG$1001,0),0), INDEX($AN$1004:$BO$1004,1,MATCH(COLUMNS($AN$1006:AW1006),$AN$1006:$BO$1006,0)))),"Fix")))</f>
        <v>0</v>
      </c>
      <c r="L256" s="4">
        <f>IF(OR(INDEX($AH$2:$AH$1001,MATCH(ROWS($AG$2:AG256),$AG$2:$AG$1001,0),1)&gt;=100000,INDEX($AN$1005:$BO$1005,1,MATCH(COLUMNS($AN$1006:AX1006),$AN$1006:$BO$1006,0))&gt;=100000), " ",IF(INDEX($AN$2:$BO$1001,MATCH(ROWS($AG$2:AG256),$AG$2:$AG$1001,0),MATCH(COLUMNS($AN$1006:AX1006),$AN$1006:$BO$1006,0)), HYPERLINK("#",""), HYPERLINK(CONCATENATE("#Metadata!", ADDRESS(INDEX($AI$2:$AI$1001,MATCH(ROWS($AG$2:AG256),$AG$2:$AG$1001,0),0), INDEX($AN$1004:$BO$1004,1,MATCH(COLUMNS($AN$1006:AX1006),$AN$1006:$BO$1006,0)))),"Fix")))</f>
        <v>0</v>
      </c>
      <c r="M256" s="4">
        <f>IF(OR(INDEX($AH$2:$AH$1001,MATCH(ROWS($AG$2:AG256),$AG$2:$AG$1001,0),1)&gt;=100000,INDEX($AN$1005:$BO$1005,1,MATCH(COLUMNS($AN$1006:AY1006),$AN$1006:$BO$1006,0))&gt;=100000), " ",IF(INDEX($AN$2:$BO$1001,MATCH(ROWS($AG$2:AG256),$AG$2:$AG$1001,0),MATCH(COLUMNS($AN$1006:AY1006),$AN$1006:$BO$1006,0)), HYPERLINK("#",""), HYPERLINK(CONCATENATE("#Metadata!", ADDRESS(INDEX($AI$2:$AI$1001,MATCH(ROWS($AG$2:AG256),$AG$2:$AG$1001,0),0), INDEX($AN$1004:$BO$1004,1,MATCH(COLUMNS($AN$1006:AY1006),$AN$1006:$BO$1006,0)))),"Fix")))</f>
        <v>0</v>
      </c>
      <c r="N256" s="4">
        <f>IF(OR(INDEX($AH$2:$AH$1001,MATCH(ROWS($AG$2:AG256),$AG$2:$AG$1001,0),1)&gt;=100000,INDEX($AN$1005:$BO$1005,1,MATCH(COLUMNS($AN$1006:AZ1006),$AN$1006:$BO$1006,0))&gt;=100000), " ",IF(INDEX($AN$2:$BO$1001,MATCH(ROWS($AG$2:AG256),$AG$2:$AG$1001,0),MATCH(COLUMNS($AN$1006:AZ1006),$AN$1006:$BO$1006,0)), HYPERLINK("#",""), HYPERLINK(CONCATENATE("#Metadata!", ADDRESS(INDEX($AI$2:$AI$1001,MATCH(ROWS($AG$2:AG256),$AG$2:$AG$1001,0),0), INDEX($AN$1004:$BO$1004,1,MATCH(COLUMNS($AN$1006:AZ1006),$AN$1006:$BO$1006,0)))),"Fix")))</f>
        <v>0</v>
      </c>
      <c r="O256" s="4">
        <f>IF(OR(INDEX($AH$2:$AH$1001,MATCH(ROWS($AG$2:AG256),$AG$2:$AG$1001,0),1)&gt;=100000,INDEX($AN$1005:$BO$1005,1,MATCH(COLUMNS($AN$1006:BA1006),$AN$1006:$BO$1006,0))&gt;=100000), " ",IF(INDEX($AN$2:$BO$1001,MATCH(ROWS($AG$2:AG256),$AG$2:$AG$1001,0),MATCH(COLUMNS($AN$1006:BA1006),$AN$1006:$BO$1006,0)), HYPERLINK("#",""), HYPERLINK(CONCATENATE("#Metadata!", ADDRESS(INDEX($AI$2:$AI$1001,MATCH(ROWS($AG$2:AG256),$AG$2:$AG$1001,0),0), INDEX($AN$1004:$BO$1004,1,MATCH(COLUMNS($AN$1006:BA1006),$AN$1006:$BO$1006,0)))),"Fix")))</f>
        <v>0</v>
      </c>
      <c r="P256" s="4">
        <f>IF(OR(INDEX($AH$2:$AH$1001,MATCH(ROWS($AG$2:AG256),$AG$2:$AG$1001,0),1)&gt;=100000,INDEX($AN$1005:$BO$1005,1,MATCH(COLUMNS($AN$1006:BB1006),$AN$1006:$BO$1006,0))&gt;=100000), " ",IF(INDEX($AN$2:$BO$1001,MATCH(ROWS($AG$2:AG256),$AG$2:$AG$1001,0),MATCH(COLUMNS($AN$1006:BB1006),$AN$1006:$BO$1006,0)), HYPERLINK("#",""), HYPERLINK(CONCATENATE("#Metadata!", ADDRESS(INDEX($AI$2:$AI$1001,MATCH(ROWS($AG$2:AG256),$AG$2:$AG$1001,0),0), INDEX($AN$1004:$BO$1004,1,MATCH(COLUMNS($AN$1006:BB1006),$AN$1006:$BO$1006,0)))),"Fix")))</f>
        <v>0</v>
      </c>
      <c r="Q256" s="4">
        <f>IF(OR(INDEX($AH$2:$AH$1001,MATCH(ROWS($AG$2:AG256),$AG$2:$AG$1001,0),1)&gt;=100000,INDEX($AN$1005:$BO$1005,1,MATCH(COLUMNS($AN$1006:BC1006),$AN$1006:$BO$1006,0))&gt;=100000), " ",IF(INDEX($AN$2:$BO$1001,MATCH(ROWS($AG$2:AG256),$AG$2:$AG$1001,0),MATCH(COLUMNS($AN$1006:BC1006),$AN$1006:$BO$1006,0)), HYPERLINK("#",""), HYPERLINK(CONCATENATE("#Metadata!", ADDRESS(INDEX($AI$2:$AI$1001,MATCH(ROWS($AG$2:AG256),$AG$2:$AG$1001,0),0), INDEX($AN$1004:$BO$1004,1,MATCH(COLUMNS($AN$1006:BC1006),$AN$1006:$BO$1006,0)))),"Fix")))</f>
        <v>0</v>
      </c>
      <c r="R256" s="4">
        <f>IF(OR(INDEX($AH$2:$AH$1001,MATCH(ROWS($AG$2:AG256),$AG$2:$AG$1001,0),1)&gt;=100000,INDEX($AN$1005:$BO$1005,1,MATCH(COLUMNS($AN$1006:BD1006),$AN$1006:$BO$1006,0))&gt;=100000), " ",IF(INDEX($AN$2:$BO$1001,MATCH(ROWS($AG$2:AG256),$AG$2:$AG$1001,0),MATCH(COLUMNS($AN$1006:BD1006),$AN$1006:$BO$1006,0)), HYPERLINK("#",""), HYPERLINK(CONCATENATE("#Metadata!", ADDRESS(INDEX($AI$2:$AI$1001,MATCH(ROWS($AG$2:AG256),$AG$2:$AG$1001,0),0), INDEX($AN$1004:$BO$1004,1,MATCH(COLUMNS($AN$1006:BD1006),$AN$1006:$BO$1006,0)))),"Fix")))</f>
        <v>0</v>
      </c>
      <c r="S256" s="4">
        <f>IF(OR(INDEX($AH$2:$AH$1001,MATCH(ROWS($AG$2:AG256),$AG$2:$AG$1001,0),1)&gt;=100000,INDEX($AN$1005:$BO$1005,1,MATCH(COLUMNS($AN$1006:BE1006),$AN$1006:$BO$1006,0))&gt;=100000), " ",IF(INDEX($AN$2:$BO$1001,MATCH(ROWS($AG$2:AG256),$AG$2:$AG$1001,0),MATCH(COLUMNS($AN$1006:BE1006),$AN$1006:$BO$1006,0)), HYPERLINK("#",""), HYPERLINK(CONCATENATE("#Metadata!", ADDRESS(INDEX($AI$2:$AI$1001,MATCH(ROWS($AG$2:AG256),$AG$2:$AG$1001,0),0), INDEX($AN$1004:$BO$1004,1,MATCH(COLUMNS($AN$1006:BE1006),$AN$1006:$BO$1006,0)))),"Fix")))</f>
        <v>0</v>
      </c>
      <c r="T256" s="4">
        <f>IF(OR(INDEX($AH$2:$AH$1001,MATCH(ROWS($AG$2:AG256),$AG$2:$AG$1001,0),1)&gt;=100000,INDEX($AN$1005:$BO$1005,1,MATCH(COLUMNS($AN$1006:BF1006),$AN$1006:$BO$1006,0))&gt;=100000), " ",IF(INDEX($AN$2:$BO$1001,MATCH(ROWS($AG$2:AG256),$AG$2:$AG$1001,0),MATCH(COLUMNS($AN$1006:BF1006),$AN$1006:$BO$1006,0)), HYPERLINK("#",""), HYPERLINK(CONCATENATE("#Metadata!", ADDRESS(INDEX($AI$2:$AI$1001,MATCH(ROWS($AG$2:AG256),$AG$2:$AG$1001,0),0), INDEX($AN$1004:$BO$1004,1,MATCH(COLUMNS($AN$1006:BF1006),$AN$1006:$BO$1006,0)))),"Fix")))</f>
        <v>0</v>
      </c>
      <c r="U256" s="4">
        <f>IF(OR(INDEX($AH$2:$AH$1001,MATCH(ROWS($AG$2:AG256),$AG$2:$AG$1001,0),1)&gt;=100000,INDEX($AN$1005:$BO$1005,1,MATCH(COLUMNS($AN$1006:BG1006),$AN$1006:$BO$1006,0))&gt;=100000), " ",IF(INDEX($AN$2:$BO$1001,MATCH(ROWS($AG$2:AG256),$AG$2:$AG$1001,0),MATCH(COLUMNS($AN$1006:BG1006),$AN$1006:$BO$1006,0)), HYPERLINK("#",""), HYPERLINK(CONCATENATE("#Metadata!", ADDRESS(INDEX($AI$2:$AI$1001,MATCH(ROWS($AG$2:AG256),$AG$2:$AG$1001,0),0), INDEX($AN$1004:$BO$1004,1,MATCH(COLUMNS($AN$1006:BG1006),$AN$1006:$BO$1006,0)))),"Fix")))</f>
        <v>0</v>
      </c>
      <c r="V256" s="4">
        <f>IF(OR(INDEX($AH$2:$AH$1001,MATCH(ROWS($AG$2:AG256),$AG$2:$AG$1001,0),1)&gt;=100000,INDEX($AN$1005:$BO$1005,1,MATCH(COLUMNS($AN$1006:BH1006),$AN$1006:$BO$1006,0))&gt;=100000), " ",IF(INDEX($AN$2:$BO$1001,MATCH(ROWS($AG$2:AG256),$AG$2:$AG$1001,0),MATCH(COLUMNS($AN$1006:BH1006),$AN$1006:$BO$1006,0)), HYPERLINK("#",""), HYPERLINK(CONCATENATE("#Metadata!", ADDRESS(INDEX($AI$2:$AI$1001,MATCH(ROWS($AG$2:AG256),$AG$2:$AG$1001,0),0), INDEX($AN$1004:$BO$1004,1,MATCH(COLUMNS($AN$1006:BH1006),$AN$1006:$BO$1006,0)))),"Fix")))</f>
        <v>0</v>
      </c>
      <c r="W256" s="4">
        <f>IF(OR(INDEX($AH$2:$AH$1001,MATCH(ROWS($AG$2:AG256),$AG$2:$AG$1001,0),1)&gt;=100000,INDEX($AN$1005:$BO$1005,1,MATCH(COLUMNS($AN$1006:BI1006),$AN$1006:$BO$1006,0))&gt;=100000), " ",IF(INDEX($AN$2:$BO$1001,MATCH(ROWS($AG$2:AG256),$AG$2:$AG$1001,0),MATCH(COLUMNS($AN$1006:BI1006),$AN$1006:$BO$1006,0)), HYPERLINK("#",""), HYPERLINK(CONCATENATE("#Metadata!", ADDRESS(INDEX($AI$2:$AI$1001,MATCH(ROWS($AG$2:AG256),$AG$2:$AG$1001,0),0), INDEX($AN$1004:$BO$1004,1,MATCH(COLUMNS($AN$1006:BI1006),$AN$1006:$BO$1006,0)))),"Fix")))</f>
        <v>0</v>
      </c>
      <c r="X256" s="4">
        <f>IF(OR(INDEX($AH$2:$AH$1001,MATCH(ROWS($AG$2:AG256),$AG$2:$AG$1001,0),1)&gt;=100000,INDEX($AN$1005:$BO$1005,1,MATCH(COLUMNS($AN$1006:BJ1006),$AN$1006:$BO$1006,0))&gt;=100000), " ",IF(INDEX($AN$2:$BO$1001,MATCH(ROWS($AG$2:AG256),$AG$2:$AG$1001,0),MATCH(COLUMNS($AN$1006:BJ1006),$AN$1006:$BO$1006,0)), HYPERLINK("#",""), HYPERLINK(CONCATENATE("#Metadata!", ADDRESS(INDEX($AI$2:$AI$1001,MATCH(ROWS($AG$2:AG256),$AG$2:$AG$1001,0),0), INDEX($AN$1004:$BO$1004,1,MATCH(COLUMNS($AN$1006:BJ1006),$AN$1006:$BO$1006,0)))),"Fix")))</f>
        <v>0</v>
      </c>
      <c r="Y256" s="4">
        <f>IF(OR(INDEX($AH$2:$AH$1001,MATCH(ROWS($AG$2:AG256),$AG$2:$AG$1001,0),1)&gt;=100000,INDEX($AN$1005:$BO$1005,1,MATCH(COLUMNS($AN$1006:BK1006),$AN$1006:$BO$1006,0))&gt;=100000), " ",IF(INDEX($AN$2:$BO$1001,MATCH(ROWS($AG$2:AG256),$AG$2:$AG$1001,0),MATCH(COLUMNS($AN$1006:BK1006),$AN$1006:$BO$1006,0)), HYPERLINK("#",""), HYPERLINK(CONCATENATE("#Metadata!", ADDRESS(INDEX($AI$2:$AI$1001,MATCH(ROWS($AG$2:AG256),$AG$2:$AG$1001,0),0), INDEX($AN$1004:$BO$1004,1,MATCH(COLUMNS($AN$1006:BK1006),$AN$1006:$BO$1006,0)))),"Fix")))</f>
        <v>0</v>
      </c>
      <c r="Z256" s="4">
        <f>IF(OR(INDEX($AH$2:$AH$1001,MATCH(ROWS($AG$2:AG256),$AG$2:$AG$1001,0),1)&gt;=100000,INDEX($AN$1005:$BO$1005,1,MATCH(COLUMNS($AN$1006:BL1006),$AN$1006:$BO$1006,0))&gt;=100000), " ",IF(INDEX($AN$2:$BO$1001,MATCH(ROWS($AG$2:AG256),$AG$2:$AG$1001,0),MATCH(COLUMNS($AN$1006:BL1006),$AN$1006:$BO$1006,0)), HYPERLINK("#",""), HYPERLINK(CONCATENATE("#Metadata!", ADDRESS(INDEX($AI$2:$AI$1001,MATCH(ROWS($AG$2:AG256),$AG$2:$AG$1001,0),0), INDEX($AN$1004:$BO$1004,1,MATCH(COLUMNS($AN$1006:BL1006),$AN$1006:$BO$1006,0)))),"Fix")))</f>
        <v>0</v>
      </c>
      <c r="AA256" s="4">
        <f>IF(OR(INDEX($AH$2:$AH$1001,MATCH(ROWS($AG$2:AG256),$AG$2:$AG$1001,0),1)&gt;=100000,INDEX($AN$1005:$BO$1005,1,MATCH(COLUMNS($AN$1006:BM1006),$AN$1006:$BO$1006,0))&gt;=100000), " ",IF(INDEX($AN$2:$BO$1001,MATCH(ROWS($AG$2:AG256),$AG$2:$AG$1001,0),MATCH(COLUMNS($AN$1006:BM1006),$AN$1006:$BO$1006,0)), HYPERLINK("#",""), HYPERLINK(CONCATENATE("#Metadata!", ADDRESS(INDEX($AI$2:$AI$1001,MATCH(ROWS($AG$2:AG256),$AG$2:$AG$1001,0),0), INDEX($AN$1004:$BO$1004,1,MATCH(COLUMNS($AN$1006:BM1006),$AN$1006:$BO$1006,0)))),"Fix")))</f>
        <v>0</v>
      </c>
      <c r="AB256" s="4">
        <f>IF(OR(INDEX($AH$2:$AH$1001,MATCH(ROWS($AG$2:AG256),$AG$2:$AG$1001,0),1)&gt;=100000,INDEX($AN$1005:$BO$1005,1,MATCH(COLUMNS($AN$1006:BN1006),$AN$1006:$BO$1006,0))&gt;=100000), " ",IF(INDEX($AN$2:$BO$1001,MATCH(ROWS($AG$2:AG256),$AG$2:$AG$1001,0),MATCH(COLUMNS($AN$1006:BN1006),$AN$1006:$BO$1006,0)), HYPERLINK("#",""), HYPERLINK(CONCATENATE("#Metadata!", ADDRESS(INDEX($AI$2:$AI$1001,MATCH(ROWS($AG$2:AG256),$AG$2:$AG$1001,0),0), INDEX($AN$1004:$BO$1004,1,MATCH(COLUMNS($AN$1006:BN1006),$AN$1006:$BO$1006,0)))),"Fix")))</f>
        <v>0</v>
      </c>
      <c r="AC256" s="4">
        <f>IF(OR(INDEX($AH$2:$AH$1001,MATCH(ROWS($AG$2:AG256),$AG$2:$AG$1001,0),1)&gt;=100000,INDEX($AN$1005:$BO$1005,1,MATCH(COLUMNS($AN$1006:BO1006),$AN$1006:$BO$1006,0))&gt;=100000), " ",IF(INDEX($AN$2:$BO$1001,MATCH(ROWS($AG$2:AG256),$AG$2:$AG$1001,0),MATCH(COLUMNS($AN$1006:BO1006),$AN$1006:$BO$1006,0)), HYPERLINK("#",""), HYPERLINK(CONCATENATE("#Metadata!", ADDRESS(INDEX($AI$2:$AI$1001,MATCH(ROWS($AG$2:AG256),$AG$2:$AG$1001,0),0), INDEX($AN$1004:$BO$1004,1,MATCH(COLUMNS($AN$1006:BO1006),$AN$1006:$BO$1006,0)))),"Fix")))</f>
        <v>0</v>
      </c>
      <c r="AG256">
        <v>0</v>
      </c>
      <c r="AH256">
        <v>0</v>
      </c>
      <c r="AI256">
        <v>0</v>
      </c>
      <c r="AJ256">
        <f>IF(AK256,TRUE,AND(AN256:BO256))</f>
        <v>0</v>
      </c>
      <c r="AK256">
        <f>COUNTBLANK(Metadata!B256:AC256)=COLUMNS(Metadata!B256:AC256)</f>
        <v>0</v>
      </c>
      <c r="AL256">
        <v>0</v>
      </c>
      <c r="AN256">
        <f>AND(IF(Metadata!B256="",FALSE,TRUE),COUNTIF(Metadata!B:B, Metadata!B256) = 1,NOT(ISERROR(SUMPRODUCT(SEARCH(MID(Metadata!B256,ROW(INDIRECT("1:"&amp;LEN(Metadata!B256))), 1),"0123456789abcdefghijklmnopqrstuvwxyzABCDEFGHIJKLMNOPQRSTUVWXYZ.")))))</f>
        <v>0</v>
      </c>
      <c r="AO256">
        <f>IF(Metadata!C256="",FALSE,TRUE)</f>
        <v>0</v>
      </c>
      <c r="AP256">
        <f>IF(Metadata!D256="",FALSE,TRUE)</f>
        <v>0</v>
      </c>
      <c r="AQ256">
        <f>OR(AND(IF(Metadata!E256="",FALSE,TRUE),OR(exact(Metadata!E256,"not collected"),exact(Metadata!E256,"not provided"),exact(Metadata!E256,"restricted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R256">
        <f>IF(Metadata!F256="",FALSE,TRUE)</f>
        <v>0</v>
      </c>
      <c r="AS256">
        <f>OR(AND(IF(Metadata!G256="",FALSE,TRUE),OR(exact(Metadata!G256,"not collected"),exact(Metadata!G256,"not provided"))),AND(IF(Metadata!G256="",FALSE,TRUE),OR(exact(Metadata!G256,"TRUE"),exact(Metadata!G256,"FALSE"))))</f>
        <v>0</v>
      </c>
      <c r="AT256">
        <f>OR(AND(IF(Metadata!H256="",FALSE,TRUE),OR(exact(Metadata!H256,"not collected"),exact(Metadata!H256,"not provided"),exact(Metadata!H256,"restricted access"))),AND(IF(Metadata!H256="",FALSE,ISNUMBER(VALUE(Metadata!H256))),Metadata!H256&gt;=-413.0))</f>
        <v>0</v>
      </c>
      <c r="AU256">
        <f>AND(IF(Metadata!I256="",FALSE,TRUE),exact(Metadata!I256,"meters"))</f>
        <v>0</v>
      </c>
      <c r="AV256">
        <f>AND(IF(Metadata!J256="",FALSE,TRUE),OR(exact(Metadata!J256,"Host-associated"),exact(Metadata!J256,"Free-living")))</f>
        <v>0</v>
      </c>
      <c r="AW256">
        <f>AND(IF(Metadata!K256="",FALSE,TRUE),OR(exact(Metadata!K256,"Animal"),exact(Metadata!K256,"Fungus"),exact(Metadata!K256,"Plant"),exact(Metadata!K256,"Saline"),exact(Metadata!K256,"Non-saline")))</f>
        <v>0</v>
      </c>
      <c r="AX256">
        <f>AND(IF(Metadata!L256="",FALSE,TRUE),OR(exact(Metadata!L256,"Plant secretion"),exact(Metadata!L256,"Plant rhizosphere"),exact(Metadata!L256,"Plant surface"),exact(Metadata!L256,"Plant corpus"),exact(Metadata!L256,"Fungus surface"),exact(Metadata!L256,"Fungus corpus"),exact(Metadata!L256,"Animal surface"),exact(Metadata!L256,"Animal proximal gut"),exact(Metadata!L256,"Animal corpus"),exact(Metadata!L256,"Animal distal gut"),exact(Metadata!L256,"Animal secretion"),exact(Metadata!L256,"Sub-surface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Y256">
        <f>IF(Metadata!M256="",FALSE,TRUE)</f>
        <v>0</v>
      </c>
      <c r="AZ256">
        <f>IF(Metadata!N256="",FALSE,TRUE)</f>
        <v>0</v>
      </c>
      <c r="BA256">
        <f>IF(Metadata!O256="",FALSE,TRUE)</f>
        <v>0</v>
      </c>
      <c r="BB256">
        <f>OR(AND(IF(Metadata!P256="",FALSE,TRUE),OR(exact(Metadata!P256,"not collected"),exact(Metadata!P256,"not provided"),exact(Metadata!P256,"restricted access"))),AND(IF(Metadata!P256="",FALSE,TRUE),OR(exact(Metadata!P256,"air"),exact(Metadata!P256,"built environment"),exact(Metadata!P256,"host-associated"),exact(Metadata!P256,"human-associated"),exact(Metadata!P256,"human-skin"),exact(Metadata!P256,"human-oral"),exact(Metadata!P256,"human-gut"),exact(Metadata!P256,"human-vaginal"),exact(Metadata!P256,"microbial mat/biofilm"),exact(Metadata!P256,"misc environment"),exact(Metadata!P256,"plant-associated"),exact(Metadata!P256,"sediment"),exact(Metadata!P256,"soil"),exact(Metadata!P256,"wastewater/sludge"),exact(Metadata!P256,"water"))))</f>
        <v>0</v>
      </c>
      <c r="BC256">
        <f>IF(Metadata!Q256="",FALSE,TRUE)</f>
        <v>0</v>
      </c>
      <c r="BD256">
        <f>IF(Metadata!R256="",FALSE,TRUE)</f>
        <v>0</v>
      </c>
      <c r="BE256">
        <f>OR(AND(IF(Metadata!S256="",FALSE,TRUE),OR(exact(Metadata!S256,"not collected"),exact(Metadata!S256,"not provided"),exact(Metadata!S256,"restricted access"))),AND(IF(Metadata!S256="",FALSE,ISNUMBER(VALUE(Metadata!S256))),Metadata!S256&gt;=-90.00,Metadata!S256&lt;=90.00))</f>
        <v>0</v>
      </c>
      <c r="BF256">
        <f>AND(IF(Metadata!T256="",FALSE,TRUE),exact(Metadata!T256,"Decimal degrees"))</f>
        <v>0</v>
      </c>
      <c r="BG256">
        <f>OR(AND(IF(Metadata!U256="",FALSE,TRUE),OR(exact(Metadata!U256,"not collected"),exact(Metadata!U256,"not provided"),exact(Metadata!U256,"restricted access"))),AND(IF(Metadata!U256="",FALSE,ISNUMBER(VALUE(Metadata!U256))),Metadata!U256&gt;=-180.00,Metadata!U256&lt;=180.00))</f>
        <v>0</v>
      </c>
      <c r="BH256">
        <f>AND(IF(Metadata!V256="",FALSE,TRUE),exact(Metadata!V256,"Decimal degrees"))</f>
        <v>0</v>
      </c>
      <c r="BI256">
        <f>IF(Metadata!W256="",FALSE,TRUE)</f>
        <v>0</v>
      </c>
      <c r="BJ256">
        <f>OR(AND(IF(Metadata!X256="",FALSE,TRUE),OR(exact(Metadata!X256,"not collected"),exact(Metadata!X256,"not provided"),exact(Metadata!X256,"restricted access"))),AND(IF(Metadata!X256="",FALSE,TRUE),OR(exact(Metadata!X256,"TRUE"),exact(Metadata!X256,"FALSE"))))</f>
        <v>0</v>
      </c>
      <c r="BK256">
        <f>AND(IF(Metadata!Y256="",FALSE,TRUE),exact(Metadata!Y256,"other"))</f>
        <v>0</v>
      </c>
      <c r="BL256">
        <f>IF(Metadata!Z256="",FALSE,TRUE)</f>
        <v>0</v>
      </c>
      <c r="BM256">
        <f>OR(AND(IF(Metadata!AA256="",FALSE,TRUE),OR(exact(Metadata!AA256,"not collected"),exact(Metadata!AA256,"not provided"))),AND(IF(Metadata!AA256="",FALSE,IF(ISERROR(INT(Metadata!AA256)),FALSE,INT(Metadata!AA256)=Metadata!AA256)),Metadata!AA256&gt;0))</f>
        <v>0</v>
      </c>
      <c r="BN256">
        <f>AND(IF(Metadata!AB256="",FALSE,TRUE),exact(Metadata!AB256,"Not applicable"))</f>
        <v>0</v>
      </c>
      <c r="BO256">
        <f>IF(Metadata!AC256="",FALSE,TRUE)</f>
        <v>0</v>
      </c>
    </row>
    <row r="257" spans="1:67">
      <c r="A257" s="5">
        <f>IF(B257=" "," ",HYPERLINK(CONCATENATE("#metadata!",ADDRESS(INDEX($AI$2:$AI$1001,MATCH(ROWS($AG$2:AG257),$AG$2:$AG$1001,0),0),1)),INDEX($AL$2:$AL$1001,MATCH(ROWS($AG$2:AG257),$AG$2:$AG$1001,0),0)))</f>
        <v>0</v>
      </c>
      <c r="B257" s="4">
        <f>IF(OR(INDEX($AH$2:$AH$1001,MATCH(ROWS($AG$2:AG257),$AG$2:$AG$1001,0),1)&gt;=100000,INDEX($AN$1005:$BO$1005,1,MATCH(COLUMNS($AN$1006:AN1006),$AN$1006:$BO$1006,0))&gt;=100000), " ",IF(INDEX($AN$2:$BO$1001,MATCH(ROWS($AG$2:AG257),$AG$2:$AG$1001,0),MATCH(COLUMNS($AN$1006:AN1006),$AN$1006:$BO$1006,0)), HYPERLINK("#",""), HYPERLINK(CONCATENATE("#Metadata!", ADDRESS(INDEX($AI$2:$AI$1001,MATCH(ROWS($AG$2:AG257),$AG$2:$AG$1001,0),0), INDEX($AN$1004:$BO$1004,1,MATCH(COLUMNS($AN$1006:AN1006),$AN$1006:$BO$1006,0)))),"Fix")))</f>
        <v>0</v>
      </c>
      <c r="C257" s="4">
        <f>IF(OR(INDEX($AH$2:$AH$1001,MATCH(ROWS($AG$2:AG257),$AG$2:$AG$1001,0),1)&gt;=100000,INDEX($AN$1005:$BO$1005,1,MATCH(COLUMNS($AN$1006:AO1006),$AN$1006:$BO$1006,0))&gt;=100000), " ",IF(INDEX($AN$2:$BO$1001,MATCH(ROWS($AG$2:AG257),$AG$2:$AG$1001,0),MATCH(COLUMNS($AN$1006:AO1006),$AN$1006:$BO$1006,0)), HYPERLINK("#",""), HYPERLINK(CONCATENATE("#Metadata!", ADDRESS(INDEX($AI$2:$AI$1001,MATCH(ROWS($AG$2:AG257),$AG$2:$AG$1001,0),0), INDEX($AN$1004:$BO$1004,1,MATCH(COLUMNS($AN$1006:AO1006),$AN$1006:$BO$1006,0)))),"Fix")))</f>
        <v>0</v>
      </c>
      <c r="D257" s="4">
        <f>IF(OR(INDEX($AH$2:$AH$1001,MATCH(ROWS($AG$2:AG257),$AG$2:$AG$1001,0),1)&gt;=100000,INDEX($AN$1005:$BO$1005,1,MATCH(COLUMNS($AN$1006:AP1006),$AN$1006:$BO$1006,0))&gt;=100000), " ",IF(INDEX($AN$2:$BO$1001,MATCH(ROWS($AG$2:AG257),$AG$2:$AG$1001,0),MATCH(COLUMNS($AN$1006:AP1006),$AN$1006:$BO$1006,0)), HYPERLINK("#",""), HYPERLINK(CONCATENATE("#Metadata!", ADDRESS(INDEX($AI$2:$AI$1001,MATCH(ROWS($AG$2:AG257),$AG$2:$AG$1001,0),0), INDEX($AN$1004:$BO$1004,1,MATCH(COLUMNS($AN$1006:AP1006),$AN$1006:$BO$1006,0)))),"Fix")))</f>
        <v>0</v>
      </c>
      <c r="E257" s="4">
        <f>IF(OR(INDEX($AH$2:$AH$1001,MATCH(ROWS($AG$2:AG257),$AG$2:$AG$1001,0),1)&gt;=100000,INDEX($AN$1005:$BO$1005,1,MATCH(COLUMNS($AN$1006:AQ1006),$AN$1006:$BO$1006,0))&gt;=100000), " ",IF(INDEX($AN$2:$BO$1001,MATCH(ROWS($AG$2:AG257),$AG$2:$AG$1001,0),MATCH(COLUMNS($AN$1006:AQ1006),$AN$1006:$BO$1006,0)), HYPERLINK("#",""), HYPERLINK(CONCATENATE("#Metadata!", ADDRESS(INDEX($AI$2:$AI$1001,MATCH(ROWS($AG$2:AG257),$AG$2:$AG$1001,0),0), INDEX($AN$1004:$BO$1004,1,MATCH(COLUMNS($AN$1006:AQ1006),$AN$1006:$BO$1006,0)))),"Fix")))</f>
        <v>0</v>
      </c>
      <c r="F257" s="4">
        <f>IF(OR(INDEX($AH$2:$AH$1001,MATCH(ROWS($AG$2:AG257),$AG$2:$AG$1001,0),1)&gt;=100000,INDEX($AN$1005:$BO$1005,1,MATCH(COLUMNS($AN$1006:AR1006),$AN$1006:$BO$1006,0))&gt;=100000), " ",IF(INDEX($AN$2:$BO$1001,MATCH(ROWS($AG$2:AG257),$AG$2:$AG$1001,0),MATCH(COLUMNS($AN$1006:AR1006),$AN$1006:$BO$1006,0)), HYPERLINK("#",""), HYPERLINK(CONCATENATE("#Metadata!", ADDRESS(INDEX($AI$2:$AI$1001,MATCH(ROWS($AG$2:AG257),$AG$2:$AG$1001,0),0), INDEX($AN$1004:$BO$1004,1,MATCH(COLUMNS($AN$1006:AR1006),$AN$1006:$BO$1006,0)))),"Fix")))</f>
        <v>0</v>
      </c>
      <c r="G257" s="4">
        <f>IF(OR(INDEX($AH$2:$AH$1001,MATCH(ROWS($AG$2:AG257),$AG$2:$AG$1001,0),1)&gt;=100000,INDEX($AN$1005:$BO$1005,1,MATCH(COLUMNS($AN$1006:AS1006),$AN$1006:$BO$1006,0))&gt;=100000), " ",IF(INDEX($AN$2:$BO$1001,MATCH(ROWS($AG$2:AG257),$AG$2:$AG$1001,0),MATCH(COLUMNS($AN$1006:AS1006),$AN$1006:$BO$1006,0)), HYPERLINK("#",""), HYPERLINK(CONCATENATE("#Metadata!", ADDRESS(INDEX($AI$2:$AI$1001,MATCH(ROWS($AG$2:AG257),$AG$2:$AG$1001,0),0), INDEX($AN$1004:$BO$1004,1,MATCH(COLUMNS($AN$1006:AS1006),$AN$1006:$BO$1006,0)))),"Fix")))</f>
        <v>0</v>
      </c>
      <c r="H257" s="4">
        <f>IF(OR(INDEX($AH$2:$AH$1001,MATCH(ROWS($AG$2:AG257),$AG$2:$AG$1001,0),1)&gt;=100000,INDEX($AN$1005:$BO$1005,1,MATCH(COLUMNS($AN$1006:AT1006),$AN$1006:$BO$1006,0))&gt;=100000), " ",IF(INDEX($AN$2:$BO$1001,MATCH(ROWS($AG$2:AG257),$AG$2:$AG$1001,0),MATCH(COLUMNS($AN$1006:AT1006),$AN$1006:$BO$1006,0)), HYPERLINK("#",""), HYPERLINK(CONCATENATE("#Metadata!", ADDRESS(INDEX($AI$2:$AI$1001,MATCH(ROWS($AG$2:AG257),$AG$2:$AG$1001,0),0), INDEX($AN$1004:$BO$1004,1,MATCH(COLUMNS($AN$1006:AT1006),$AN$1006:$BO$1006,0)))),"Fix")))</f>
        <v>0</v>
      </c>
      <c r="I257" s="4">
        <f>IF(OR(INDEX($AH$2:$AH$1001,MATCH(ROWS($AG$2:AG257),$AG$2:$AG$1001,0),1)&gt;=100000,INDEX($AN$1005:$BO$1005,1,MATCH(COLUMNS($AN$1006:AU1006),$AN$1006:$BO$1006,0))&gt;=100000), " ",IF(INDEX($AN$2:$BO$1001,MATCH(ROWS($AG$2:AG257),$AG$2:$AG$1001,0),MATCH(COLUMNS($AN$1006:AU1006),$AN$1006:$BO$1006,0)), HYPERLINK("#",""), HYPERLINK(CONCATENATE("#Metadata!", ADDRESS(INDEX($AI$2:$AI$1001,MATCH(ROWS($AG$2:AG257),$AG$2:$AG$1001,0),0), INDEX($AN$1004:$BO$1004,1,MATCH(COLUMNS($AN$1006:AU1006),$AN$1006:$BO$1006,0)))),"Fix")))</f>
        <v>0</v>
      </c>
      <c r="J257" s="4">
        <f>IF(OR(INDEX($AH$2:$AH$1001,MATCH(ROWS($AG$2:AG257),$AG$2:$AG$1001,0),1)&gt;=100000,INDEX($AN$1005:$BO$1005,1,MATCH(COLUMNS($AN$1006:AV1006),$AN$1006:$BO$1006,0))&gt;=100000), " ",IF(INDEX($AN$2:$BO$1001,MATCH(ROWS($AG$2:AG257),$AG$2:$AG$1001,0),MATCH(COLUMNS($AN$1006:AV1006),$AN$1006:$BO$1006,0)), HYPERLINK("#",""), HYPERLINK(CONCATENATE("#Metadata!", ADDRESS(INDEX($AI$2:$AI$1001,MATCH(ROWS($AG$2:AG257),$AG$2:$AG$1001,0),0), INDEX($AN$1004:$BO$1004,1,MATCH(COLUMNS($AN$1006:AV1006),$AN$1006:$BO$1006,0)))),"Fix")))</f>
        <v>0</v>
      </c>
      <c r="K257" s="4">
        <f>IF(OR(INDEX($AH$2:$AH$1001,MATCH(ROWS($AG$2:AG257),$AG$2:$AG$1001,0),1)&gt;=100000,INDEX($AN$1005:$BO$1005,1,MATCH(COLUMNS($AN$1006:AW1006),$AN$1006:$BO$1006,0))&gt;=100000), " ",IF(INDEX($AN$2:$BO$1001,MATCH(ROWS($AG$2:AG257),$AG$2:$AG$1001,0),MATCH(COLUMNS($AN$1006:AW1006),$AN$1006:$BO$1006,0)), HYPERLINK("#",""), HYPERLINK(CONCATENATE("#Metadata!", ADDRESS(INDEX($AI$2:$AI$1001,MATCH(ROWS($AG$2:AG257),$AG$2:$AG$1001,0),0), INDEX($AN$1004:$BO$1004,1,MATCH(COLUMNS($AN$1006:AW1006),$AN$1006:$BO$1006,0)))),"Fix")))</f>
        <v>0</v>
      </c>
      <c r="L257" s="4">
        <f>IF(OR(INDEX($AH$2:$AH$1001,MATCH(ROWS($AG$2:AG257),$AG$2:$AG$1001,0),1)&gt;=100000,INDEX($AN$1005:$BO$1005,1,MATCH(COLUMNS($AN$1006:AX1006),$AN$1006:$BO$1006,0))&gt;=100000), " ",IF(INDEX($AN$2:$BO$1001,MATCH(ROWS($AG$2:AG257),$AG$2:$AG$1001,0),MATCH(COLUMNS($AN$1006:AX1006),$AN$1006:$BO$1006,0)), HYPERLINK("#",""), HYPERLINK(CONCATENATE("#Metadata!", ADDRESS(INDEX($AI$2:$AI$1001,MATCH(ROWS($AG$2:AG257),$AG$2:$AG$1001,0),0), INDEX($AN$1004:$BO$1004,1,MATCH(COLUMNS($AN$1006:AX1006),$AN$1006:$BO$1006,0)))),"Fix")))</f>
        <v>0</v>
      </c>
      <c r="M257" s="4">
        <f>IF(OR(INDEX($AH$2:$AH$1001,MATCH(ROWS($AG$2:AG257),$AG$2:$AG$1001,0),1)&gt;=100000,INDEX($AN$1005:$BO$1005,1,MATCH(COLUMNS($AN$1006:AY1006),$AN$1006:$BO$1006,0))&gt;=100000), " ",IF(INDEX($AN$2:$BO$1001,MATCH(ROWS($AG$2:AG257),$AG$2:$AG$1001,0),MATCH(COLUMNS($AN$1006:AY1006),$AN$1006:$BO$1006,0)), HYPERLINK("#",""), HYPERLINK(CONCATENATE("#Metadata!", ADDRESS(INDEX($AI$2:$AI$1001,MATCH(ROWS($AG$2:AG257),$AG$2:$AG$1001,0),0), INDEX($AN$1004:$BO$1004,1,MATCH(COLUMNS($AN$1006:AY1006),$AN$1006:$BO$1006,0)))),"Fix")))</f>
        <v>0</v>
      </c>
      <c r="N257" s="4">
        <f>IF(OR(INDEX($AH$2:$AH$1001,MATCH(ROWS($AG$2:AG257),$AG$2:$AG$1001,0),1)&gt;=100000,INDEX($AN$1005:$BO$1005,1,MATCH(COLUMNS($AN$1006:AZ1006),$AN$1006:$BO$1006,0))&gt;=100000), " ",IF(INDEX($AN$2:$BO$1001,MATCH(ROWS($AG$2:AG257),$AG$2:$AG$1001,0),MATCH(COLUMNS($AN$1006:AZ1006),$AN$1006:$BO$1006,0)), HYPERLINK("#",""), HYPERLINK(CONCATENATE("#Metadata!", ADDRESS(INDEX($AI$2:$AI$1001,MATCH(ROWS($AG$2:AG257),$AG$2:$AG$1001,0),0), INDEX($AN$1004:$BO$1004,1,MATCH(COLUMNS($AN$1006:AZ1006),$AN$1006:$BO$1006,0)))),"Fix")))</f>
        <v>0</v>
      </c>
      <c r="O257" s="4">
        <f>IF(OR(INDEX($AH$2:$AH$1001,MATCH(ROWS($AG$2:AG257),$AG$2:$AG$1001,0),1)&gt;=100000,INDEX($AN$1005:$BO$1005,1,MATCH(COLUMNS($AN$1006:BA1006),$AN$1006:$BO$1006,0))&gt;=100000), " ",IF(INDEX($AN$2:$BO$1001,MATCH(ROWS($AG$2:AG257),$AG$2:$AG$1001,0),MATCH(COLUMNS($AN$1006:BA1006),$AN$1006:$BO$1006,0)), HYPERLINK("#",""), HYPERLINK(CONCATENATE("#Metadata!", ADDRESS(INDEX($AI$2:$AI$1001,MATCH(ROWS($AG$2:AG257),$AG$2:$AG$1001,0),0), INDEX($AN$1004:$BO$1004,1,MATCH(COLUMNS($AN$1006:BA1006),$AN$1006:$BO$1006,0)))),"Fix")))</f>
        <v>0</v>
      </c>
      <c r="P257" s="4">
        <f>IF(OR(INDEX($AH$2:$AH$1001,MATCH(ROWS($AG$2:AG257),$AG$2:$AG$1001,0),1)&gt;=100000,INDEX($AN$1005:$BO$1005,1,MATCH(COLUMNS($AN$1006:BB1006),$AN$1006:$BO$1006,0))&gt;=100000), " ",IF(INDEX($AN$2:$BO$1001,MATCH(ROWS($AG$2:AG257),$AG$2:$AG$1001,0),MATCH(COLUMNS($AN$1006:BB1006),$AN$1006:$BO$1006,0)), HYPERLINK("#",""), HYPERLINK(CONCATENATE("#Metadata!", ADDRESS(INDEX($AI$2:$AI$1001,MATCH(ROWS($AG$2:AG257),$AG$2:$AG$1001,0),0), INDEX($AN$1004:$BO$1004,1,MATCH(COLUMNS($AN$1006:BB1006),$AN$1006:$BO$1006,0)))),"Fix")))</f>
        <v>0</v>
      </c>
      <c r="Q257" s="4">
        <f>IF(OR(INDEX($AH$2:$AH$1001,MATCH(ROWS($AG$2:AG257),$AG$2:$AG$1001,0),1)&gt;=100000,INDEX($AN$1005:$BO$1005,1,MATCH(COLUMNS($AN$1006:BC1006),$AN$1006:$BO$1006,0))&gt;=100000), " ",IF(INDEX($AN$2:$BO$1001,MATCH(ROWS($AG$2:AG257),$AG$2:$AG$1001,0),MATCH(COLUMNS($AN$1006:BC1006),$AN$1006:$BO$1006,0)), HYPERLINK("#",""), HYPERLINK(CONCATENATE("#Metadata!", ADDRESS(INDEX($AI$2:$AI$1001,MATCH(ROWS($AG$2:AG257),$AG$2:$AG$1001,0),0), INDEX($AN$1004:$BO$1004,1,MATCH(COLUMNS($AN$1006:BC1006),$AN$1006:$BO$1006,0)))),"Fix")))</f>
        <v>0</v>
      </c>
      <c r="R257" s="4">
        <f>IF(OR(INDEX($AH$2:$AH$1001,MATCH(ROWS($AG$2:AG257),$AG$2:$AG$1001,0),1)&gt;=100000,INDEX($AN$1005:$BO$1005,1,MATCH(COLUMNS($AN$1006:BD1006),$AN$1006:$BO$1006,0))&gt;=100000), " ",IF(INDEX($AN$2:$BO$1001,MATCH(ROWS($AG$2:AG257),$AG$2:$AG$1001,0),MATCH(COLUMNS($AN$1006:BD1006),$AN$1006:$BO$1006,0)), HYPERLINK("#",""), HYPERLINK(CONCATENATE("#Metadata!", ADDRESS(INDEX($AI$2:$AI$1001,MATCH(ROWS($AG$2:AG257),$AG$2:$AG$1001,0),0), INDEX($AN$1004:$BO$1004,1,MATCH(COLUMNS($AN$1006:BD1006),$AN$1006:$BO$1006,0)))),"Fix")))</f>
        <v>0</v>
      </c>
      <c r="S257" s="4">
        <f>IF(OR(INDEX($AH$2:$AH$1001,MATCH(ROWS($AG$2:AG257),$AG$2:$AG$1001,0),1)&gt;=100000,INDEX($AN$1005:$BO$1005,1,MATCH(COLUMNS($AN$1006:BE1006),$AN$1006:$BO$1006,0))&gt;=100000), " ",IF(INDEX($AN$2:$BO$1001,MATCH(ROWS($AG$2:AG257),$AG$2:$AG$1001,0),MATCH(COLUMNS($AN$1006:BE1006),$AN$1006:$BO$1006,0)), HYPERLINK("#",""), HYPERLINK(CONCATENATE("#Metadata!", ADDRESS(INDEX($AI$2:$AI$1001,MATCH(ROWS($AG$2:AG257),$AG$2:$AG$1001,0),0), INDEX($AN$1004:$BO$1004,1,MATCH(COLUMNS($AN$1006:BE1006),$AN$1006:$BO$1006,0)))),"Fix")))</f>
        <v>0</v>
      </c>
      <c r="T257" s="4">
        <f>IF(OR(INDEX($AH$2:$AH$1001,MATCH(ROWS($AG$2:AG257),$AG$2:$AG$1001,0),1)&gt;=100000,INDEX($AN$1005:$BO$1005,1,MATCH(COLUMNS($AN$1006:BF1006),$AN$1006:$BO$1006,0))&gt;=100000), " ",IF(INDEX($AN$2:$BO$1001,MATCH(ROWS($AG$2:AG257),$AG$2:$AG$1001,0),MATCH(COLUMNS($AN$1006:BF1006),$AN$1006:$BO$1006,0)), HYPERLINK("#",""), HYPERLINK(CONCATENATE("#Metadata!", ADDRESS(INDEX($AI$2:$AI$1001,MATCH(ROWS($AG$2:AG257),$AG$2:$AG$1001,0),0), INDEX($AN$1004:$BO$1004,1,MATCH(COLUMNS($AN$1006:BF1006),$AN$1006:$BO$1006,0)))),"Fix")))</f>
        <v>0</v>
      </c>
      <c r="U257" s="4">
        <f>IF(OR(INDEX($AH$2:$AH$1001,MATCH(ROWS($AG$2:AG257),$AG$2:$AG$1001,0),1)&gt;=100000,INDEX($AN$1005:$BO$1005,1,MATCH(COLUMNS($AN$1006:BG1006),$AN$1006:$BO$1006,0))&gt;=100000), " ",IF(INDEX($AN$2:$BO$1001,MATCH(ROWS($AG$2:AG257),$AG$2:$AG$1001,0),MATCH(COLUMNS($AN$1006:BG1006),$AN$1006:$BO$1006,0)), HYPERLINK("#",""), HYPERLINK(CONCATENATE("#Metadata!", ADDRESS(INDEX($AI$2:$AI$1001,MATCH(ROWS($AG$2:AG257),$AG$2:$AG$1001,0),0), INDEX($AN$1004:$BO$1004,1,MATCH(COLUMNS($AN$1006:BG1006),$AN$1006:$BO$1006,0)))),"Fix")))</f>
        <v>0</v>
      </c>
      <c r="V257" s="4">
        <f>IF(OR(INDEX($AH$2:$AH$1001,MATCH(ROWS($AG$2:AG257),$AG$2:$AG$1001,0),1)&gt;=100000,INDEX($AN$1005:$BO$1005,1,MATCH(COLUMNS($AN$1006:BH1006),$AN$1006:$BO$1006,0))&gt;=100000), " ",IF(INDEX($AN$2:$BO$1001,MATCH(ROWS($AG$2:AG257),$AG$2:$AG$1001,0),MATCH(COLUMNS($AN$1006:BH1006),$AN$1006:$BO$1006,0)), HYPERLINK("#",""), HYPERLINK(CONCATENATE("#Metadata!", ADDRESS(INDEX($AI$2:$AI$1001,MATCH(ROWS($AG$2:AG257),$AG$2:$AG$1001,0),0), INDEX($AN$1004:$BO$1004,1,MATCH(COLUMNS($AN$1006:BH1006),$AN$1006:$BO$1006,0)))),"Fix")))</f>
        <v>0</v>
      </c>
      <c r="W257" s="4">
        <f>IF(OR(INDEX($AH$2:$AH$1001,MATCH(ROWS($AG$2:AG257),$AG$2:$AG$1001,0),1)&gt;=100000,INDEX($AN$1005:$BO$1005,1,MATCH(COLUMNS($AN$1006:BI1006),$AN$1006:$BO$1006,0))&gt;=100000), " ",IF(INDEX($AN$2:$BO$1001,MATCH(ROWS($AG$2:AG257),$AG$2:$AG$1001,0),MATCH(COLUMNS($AN$1006:BI1006),$AN$1006:$BO$1006,0)), HYPERLINK("#",""), HYPERLINK(CONCATENATE("#Metadata!", ADDRESS(INDEX($AI$2:$AI$1001,MATCH(ROWS($AG$2:AG257),$AG$2:$AG$1001,0),0), INDEX($AN$1004:$BO$1004,1,MATCH(COLUMNS($AN$1006:BI1006),$AN$1006:$BO$1006,0)))),"Fix")))</f>
        <v>0</v>
      </c>
      <c r="X257" s="4">
        <f>IF(OR(INDEX($AH$2:$AH$1001,MATCH(ROWS($AG$2:AG257),$AG$2:$AG$1001,0),1)&gt;=100000,INDEX($AN$1005:$BO$1005,1,MATCH(COLUMNS($AN$1006:BJ1006),$AN$1006:$BO$1006,0))&gt;=100000), " ",IF(INDEX($AN$2:$BO$1001,MATCH(ROWS($AG$2:AG257),$AG$2:$AG$1001,0),MATCH(COLUMNS($AN$1006:BJ1006),$AN$1006:$BO$1006,0)), HYPERLINK("#",""), HYPERLINK(CONCATENATE("#Metadata!", ADDRESS(INDEX($AI$2:$AI$1001,MATCH(ROWS($AG$2:AG257),$AG$2:$AG$1001,0),0), INDEX($AN$1004:$BO$1004,1,MATCH(COLUMNS($AN$1006:BJ1006),$AN$1006:$BO$1006,0)))),"Fix")))</f>
        <v>0</v>
      </c>
      <c r="Y257" s="4">
        <f>IF(OR(INDEX($AH$2:$AH$1001,MATCH(ROWS($AG$2:AG257),$AG$2:$AG$1001,0),1)&gt;=100000,INDEX($AN$1005:$BO$1005,1,MATCH(COLUMNS($AN$1006:BK1006),$AN$1006:$BO$1006,0))&gt;=100000), " ",IF(INDEX($AN$2:$BO$1001,MATCH(ROWS($AG$2:AG257),$AG$2:$AG$1001,0),MATCH(COLUMNS($AN$1006:BK1006),$AN$1006:$BO$1006,0)), HYPERLINK("#",""), HYPERLINK(CONCATENATE("#Metadata!", ADDRESS(INDEX($AI$2:$AI$1001,MATCH(ROWS($AG$2:AG257),$AG$2:$AG$1001,0),0), INDEX($AN$1004:$BO$1004,1,MATCH(COLUMNS($AN$1006:BK1006),$AN$1006:$BO$1006,0)))),"Fix")))</f>
        <v>0</v>
      </c>
      <c r="Z257" s="4">
        <f>IF(OR(INDEX($AH$2:$AH$1001,MATCH(ROWS($AG$2:AG257),$AG$2:$AG$1001,0),1)&gt;=100000,INDEX($AN$1005:$BO$1005,1,MATCH(COLUMNS($AN$1006:BL1006),$AN$1006:$BO$1006,0))&gt;=100000), " ",IF(INDEX($AN$2:$BO$1001,MATCH(ROWS($AG$2:AG257),$AG$2:$AG$1001,0),MATCH(COLUMNS($AN$1006:BL1006),$AN$1006:$BO$1006,0)), HYPERLINK("#",""), HYPERLINK(CONCATENATE("#Metadata!", ADDRESS(INDEX($AI$2:$AI$1001,MATCH(ROWS($AG$2:AG257),$AG$2:$AG$1001,0),0), INDEX($AN$1004:$BO$1004,1,MATCH(COLUMNS($AN$1006:BL1006),$AN$1006:$BO$1006,0)))),"Fix")))</f>
        <v>0</v>
      </c>
      <c r="AA257" s="4">
        <f>IF(OR(INDEX($AH$2:$AH$1001,MATCH(ROWS($AG$2:AG257),$AG$2:$AG$1001,0),1)&gt;=100000,INDEX($AN$1005:$BO$1005,1,MATCH(COLUMNS($AN$1006:BM1006),$AN$1006:$BO$1006,0))&gt;=100000), " ",IF(INDEX($AN$2:$BO$1001,MATCH(ROWS($AG$2:AG257),$AG$2:$AG$1001,0),MATCH(COLUMNS($AN$1006:BM1006),$AN$1006:$BO$1006,0)), HYPERLINK("#",""), HYPERLINK(CONCATENATE("#Metadata!", ADDRESS(INDEX($AI$2:$AI$1001,MATCH(ROWS($AG$2:AG257),$AG$2:$AG$1001,0),0), INDEX($AN$1004:$BO$1004,1,MATCH(COLUMNS($AN$1006:BM1006),$AN$1006:$BO$1006,0)))),"Fix")))</f>
        <v>0</v>
      </c>
      <c r="AB257" s="4">
        <f>IF(OR(INDEX($AH$2:$AH$1001,MATCH(ROWS($AG$2:AG257),$AG$2:$AG$1001,0),1)&gt;=100000,INDEX($AN$1005:$BO$1005,1,MATCH(COLUMNS($AN$1006:BN1006),$AN$1006:$BO$1006,0))&gt;=100000), " ",IF(INDEX($AN$2:$BO$1001,MATCH(ROWS($AG$2:AG257),$AG$2:$AG$1001,0),MATCH(COLUMNS($AN$1006:BN1006),$AN$1006:$BO$1006,0)), HYPERLINK("#",""), HYPERLINK(CONCATENATE("#Metadata!", ADDRESS(INDEX($AI$2:$AI$1001,MATCH(ROWS($AG$2:AG257),$AG$2:$AG$1001,0),0), INDEX($AN$1004:$BO$1004,1,MATCH(COLUMNS($AN$1006:BN1006),$AN$1006:$BO$1006,0)))),"Fix")))</f>
        <v>0</v>
      </c>
      <c r="AC257" s="4">
        <f>IF(OR(INDEX($AH$2:$AH$1001,MATCH(ROWS($AG$2:AG257),$AG$2:$AG$1001,0),1)&gt;=100000,INDEX($AN$1005:$BO$1005,1,MATCH(COLUMNS($AN$1006:BO1006),$AN$1006:$BO$1006,0))&gt;=100000), " ",IF(INDEX($AN$2:$BO$1001,MATCH(ROWS($AG$2:AG257),$AG$2:$AG$1001,0),MATCH(COLUMNS($AN$1006:BO1006),$AN$1006:$BO$1006,0)), HYPERLINK("#",""), HYPERLINK(CONCATENATE("#Metadata!", ADDRESS(INDEX($AI$2:$AI$1001,MATCH(ROWS($AG$2:AG257),$AG$2:$AG$1001,0),0), INDEX($AN$1004:$BO$1004,1,MATCH(COLUMNS($AN$1006:BO1006),$AN$1006:$BO$1006,0)))),"Fix")))</f>
        <v>0</v>
      </c>
      <c r="AG257">
        <v>0</v>
      </c>
      <c r="AH257">
        <v>0</v>
      </c>
      <c r="AI257">
        <v>0</v>
      </c>
      <c r="AJ257">
        <f>IF(AK257,TRUE,AND(AN257:BO257))</f>
        <v>0</v>
      </c>
      <c r="AK257">
        <f>COUNTBLANK(Metadata!B257:AC257)=COLUMNS(Metadata!B257:AC257)</f>
        <v>0</v>
      </c>
      <c r="AL257">
        <v>0</v>
      </c>
      <c r="AN257">
        <f>AND(IF(Metadata!B257="",FALSE,TRUE),COUNTIF(Metadata!B:B, Metadata!B257) = 1,NOT(ISERROR(SUMPRODUCT(SEARCH(MID(Metadata!B257,ROW(INDIRECT("1:"&amp;LEN(Metadata!B257))), 1),"0123456789abcdefghijklmnopqrstuvwxyzABCDEFGHIJKLMNOPQRSTUVWXYZ.")))))</f>
        <v>0</v>
      </c>
      <c r="AO257">
        <f>IF(Metadata!C257="",FALSE,TRUE)</f>
        <v>0</v>
      </c>
      <c r="AP257">
        <f>IF(Metadata!D257="",FALSE,TRUE)</f>
        <v>0</v>
      </c>
      <c r="AQ257">
        <f>OR(AND(IF(Metadata!E257="",FALSE,TRUE),OR(exact(Metadata!E257,"not collected"),exact(Metadata!E257,"not provided"),exact(Metadata!E257,"restricted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R257">
        <f>IF(Metadata!F257="",FALSE,TRUE)</f>
        <v>0</v>
      </c>
      <c r="AS257">
        <f>OR(AND(IF(Metadata!G257="",FALSE,TRUE),OR(exact(Metadata!G257,"not collected"),exact(Metadata!G257,"not provided"))),AND(IF(Metadata!G257="",FALSE,TRUE),OR(exact(Metadata!G257,"TRUE"),exact(Metadata!G257,"FALSE"))))</f>
        <v>0</v>
      </c>
      <c r="AT257">
        <f>OR(AND(IF(Metadata!H257="",FALSE,TRUE),OR(exact(Metadata!H257,"not collected"),exact(Metadata!H257,"not provided"),exact(Metadata!H257,"restricted access"))),AND(IF(Metadata!H257="",FALSE,ISNUMBER(VALUE(Metadata!H257))),Metadata!H257&gt;=-413.0))</f>
        <v>0</v>
      </c>
      <c r="AU257">
        <f>AND(IF(Metadata!I257="",FALSE,TRUE),exact(Metadata!I257,"meters"))</f>
        <v>0</v>
      </c>
      <c r="AV257">
        <f>AND(IF(Metadata!J257="",FALSE,TRUE),OR(exact(Metadata!J257,"Host-associated"),exact(Metadata!J257,"Free-living")))</f>
        <v>0</v>
      </c>
      <c r="AW257">
        <f>AND(IF(Metadata!K257="",FALSE,TRUE),OR(exact(Metadata!K257,"Animal"),exact(Metadata!K257,"Fungus"),exact(Metadata!K257,"Plant"),exact(Metadata!K257,"Saline"),exact(Metadata!K257,"Non-saline")))</f>
        <v>0</v>
      </c>
      <c r="AX257">
        <f>AND(IF(Metadata!L257="",FALSE,TRUE),OR(exact(Metadata!L257,"Plant secretion"),exact(Metadata!L257,"Plant rhizosphere"),exact(Metadata!L257,"Plant surface"),exact(Metadata!L257,"Plant corpus"),exact(Metadata!L257,"Fungus surface"),exact(Metadata!L257,"Fungus corpus"),exact(Metadata!L257,"Animal surface"),exact(Metadata!L257,"Animal proximal gut"),exact(Metadata!L257,"Animal corpus"),exact(Metadata!L257,"Animal distal gut"),exact(Metadata!L257,"Animal secretion"),exact(Metadata!L257,"Sub-surface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Y257">
        <f>IF(Metadata!M257="",FALSE,TRUE)</f>
        <v>0</v>
      </c>
      <c r="AZ257">
        <f>IF(Metadata!N257="",FALSE,TRUE)</f>
        <v>0</v>
      </c>
      <c r="BA257">
        <f>IF(Metadata!O257="",FALSE,TRUE)</f>
        <v>0</v>
      </c>
      <c r="BB257">
        <f>OR(AND(IF(Metadata!P257="",FALSE,TRUE),OR(exact(Metadata!P257,"not collected"),exact(Metadata!P257,"not provided"),exact(Metadata!P257,"restricted access"))),AND(IF(Metadata!P257="",FALSE,TRUE),OR(exact(Metadata!P257,"air"),exact(Metadata!P257,"built environment"),exact(Metadata!P257,"host-associated"),exact(Metadata!P257,"human-associated"),exact(Metadata!P257,"human-skin"),exact(Metadata!P257,"human-oral"),exact(Metadata!P257,"human-gut"),exact(Metadata!P257,"human-vaginal"),exact(Metadata!P257,"microbial mat/biofilm"),exact(Metadata!P257,"misc environment"),exact(Metadata!P257,"plant-associated"),exact(Metadata!P257,"sediment"),exact(Metadata!P257,"soil"),exact(Metadata!P257,"wastewater/sludge"),exact(Metadata!P257,"water"))))</f>
        <v>0</v>
      </c>
      <c r="BC257">
        <f>IF(Metadata!Q257="",FALSE,TRUE)</f>
        <v>0</v>
      </c>
      <c r="BD257">
        <f>IF(Metadata!R257="",FALSE,TRUE)</f>
        <v>0</v>
      </c>
      <c r="BE257">
        <f>OR(AND(IF(Metadata!S257="",FALSE,TRUE),OR(exact(Metadata!S257,"not collected"),exact(Metadata!S257,"not provided"),exact(Metadata!S257,"restricted access"))),AND(IF(Metadata!S257="",FALSE,ISNUMBER(VALUE(Metadata!S257))),Metadata!S257&gt;=-90.00,Metadata!S257&lt;=90.00))</f>
        <v>0</v>
      </c>
      <c r="BF257">
        <f>AND(IF(Metadata!T257="",FALSE,TRUE),exact(Metadata!T257,"Decimal degrees"))</f>
        <v>0</v>
      </c>
      <c r="BG257">
        <f>OR(AND(IF(Metadata!U257="",FALSE,TRUE),OR(exact(Metadata!U257,"not collected"),exact(Metadata!U257,"not provided"),exact(Metadata!U257,"restricted access"))),AND(IF(Metadata!U257="",FALSE,ISNUMBER(VALUE(Metadata!U257))),Metadata!U257&gt;=-180.00,Metadata!U257&lt;=180.00))</f>
        <v>0</v>
      </c>
      <c r="BH257">
        <f>AND(IF(Metadata!V257="",FALSE,TRUE),exact(Metadata!V257,"Decimal degrees"))</f>
        <v>0</v>
      </c>
      <c r="BI257">
        <f>IF(Metadata!W257="",FALSE,TRUE)</f>
        <v>0</v>
      </c>
      <c r="BJ257">
        <f>OR(AND(IF(Metadata!X257="",FALSE,TRUE),OR(exact(Metadata!X257,"not collected"),exact(Metadata!X257,"not provided"),exact(Metadata!X257,"restricted access"))),AND(IF(Metadata!X257="",FALSE,TRUE),OR(exact(Metadata!X257,"TRUE"),exact(Metadata!X257,"FALSE"))))</f>
        <v>0</v>
      </c>
      <c r="BK257">
        <f>AND(IF(Metadata!Y257="",FALSE,TRUE),exact(Metadata!Y257,"other"))</f>
        <v>0</v>
      </c>
      <c r="BL257">
        <f>IF(Metadata!Z257="",FALSE,TRUE)</f>
        <v>0</v>
      </c>
      <c r="BM257">
        <f>OR(AND(IF(Metadata!AA257="",FALSE,TRUE),OR(exact(Metadata!AA257,"not collected"),exact(Metadata!AA257,"not provided"))),AND(IF(Metadata!AA257="",FALSE,IF(ISERROR(INT(Metadata!AA257)),FALSE,INT(Metadata!AA257)=Metadata!AA257)),Metadata!AA257&gt;0))</f>
        <v>0</v>
      </c>
      <c r="BN257">
        <f>AND(IF(Metadata!AB257="",FALSE,TRUE),exact(Metadata!AB257,"Not applicable"))</f>
        <v>0</v>
      </c>
      <c r="BO257">
        <f>IF(Metadata!AC257="",FALSE,TRUE)</f>
        <v>0</v>
      </c>
    </row>
    <row r="258" spans="1:67">
      <c r="A258" s="5">
        <f>IF(B258=" "," ",HYPERLINK(CONCATENATE("#metadata!",ADDRESS(INDEX($AI$2:$AI$1001,MATCH(ROWS($AG$2:AG258),$AG$2:$AG$1001,0),0),1)),INDEX($AL$2:$AL$1001,MATCH(ROWS($AG$2:AG258),$AG$2:$AG$1001,0),0)))</f>
        <v>0</v>
      </c>
      <c r="B258" s="4">
        <f>IF(OR(INDEX($AH$2:$AH$1001,MATCH(ROWS($AG$2:AG258),$AG$2:$AG$1001,0),1)&gt;=100000,INDEX($AN$1005:$BO$1005,1,MATCH(COLUMNS($AN$1006:AN1006),$AN$1006:$BO$1006,0))&gt;=100000), " ",IF(INDEX($AN$2:$BO$1001,MATCH(ROWS($AG$2:AG258),$AG$2:$AG$1001,0),MATCH(COLUMNS($AN$1006:AN1006),$AN$1006:$BO$1006,0)), HYPERLINK("#",""), HYPERLINK(CONCATENATE("#Metadata!", ADDRESS(INDEX($AI$2:$AI$1001,MATCH(ROWS($AG$2:AG258),$AG$2:$AG$1001,0),0), INDEX($AN$1004:$BO$1004,1,MATCH(COLUMNS($AN$1006:AN1006),$AN$1006:$BO$1006,0)))),"Fix")))</f>
        <v>0</v>
      </c>
      <c r="C258" s="4">
        <f>IF(OR(INDEX($AH$2:$AH$1001,MATCH(ROWS($AG$2:AG258),$AG$2:$AG$1001,0),1)&gt;=100000,INDEX($AN$1005:$BO$1005,1,MATCH(COLUMNS($AN$1006:AO1006),$AN$1006:$BO$1006,0))&gt;=100000), " ",IF(INDEX($AN$2:$BO$1001,MATCH(ROWS($AG$2:AG258),$AG$2:$AG$1001,0),MATCH(COLUMNS($AN$1006:AO1006),$AN$1006:$BO$1006,0)), HYPERLINK("#",""), HYPERLINK(CONCATENATE("#Metadata!", ADDRESS(INDEX($AI$2:$AI$1001,MATCH(ROWS($AG$2:AG258),$AG$2:$AG$1001,0),0), INDEX($AN$1004:$BO$1004,1,MATCH(COLUMNS($AN$1006:AO1006),$AN$1006:$BO$1006,0)))),"Fix")))</f>
        <v>0</v>
      </c>
      <c r="D258" s="4">
        <f>IF(OR(INDEX($AH$2:$AH$1001,MATCH(ROWS($AG$2:AG258),$AG$2:$AG$1001,0),1)&gt;=100000,INDEX($AN$1005:$BO$1005,1,MATCH(COLUMNS($AN$1006:AP1006),$AN$1006:$BO$1006,0))&gt;=100000), " ",IF(INDEX($AN$2:$BO$1001,MATCH(ROWS($AG$2:AG258),$AG$2:$AG$1001,0),MATCH(COLUMNS($AN$1006:AP1006),$AN$1006:$BO$1006,0)), HYPERLINK("#",""), HYPERLINK(CONCATENATE("#Metadata!", ADDRESS(INDEX($AI$2:$AI$1001,MATCH(ROWS($AG$2:AG258),$AG$2:$AG$1001,0),0), INDEX($AN$1004:$BO$1004,1,MATCH(COLUMNS($AN$1006:AP1006),$AN$1006:$BO$1006,0)))),"Fix")))</f>
        <v>0</v>
      </c>
      <c r="E258" s="4">
        <f>IF(OR(INDEX($AH$2:$AH$1001,MATCH(ROWS($AG$2:AG258),$AG$2:$AG$1001,0),1)&gt;=100000,INDEX($AN$1005:$BO$1005,1,MATCH(COLUMNS($AN$1006:AQ1006),$AN$1006:$BO$1006,0))&gt;=100000), " ",IF(INDEX($AN$2:$BO$1001,MATCH(ROWS($AG$2:AG258),$AG$2:$AG$1001,0),MATCH(COLUMNS($AN$1006:AQ1006),$AN$1006:$BO$1006,0)), HYPERLINK("#",""), HYPERLINK(CONCATENATE("#Metadata!", ADDRESS(INDEX($AI$2:$AI$1001,MATCH(ROWS($AG$2:AG258),$AG$2:$AG$1001,0),0), INDEX($AN$1004:$BO$1004,1,MATCH(COLUMNS($AN$1006:AQ1006),$AN$1006:$BO$1006,0)))),"Fix")))</f>
        <v>0</v>
      </c>
      <c r="F258" s="4">
        <f>IF(OR(INDEX($AH$2:$AH$1001,MATCH(ROWS($AG$2:AG258),$AG$2:$AG$1001,0),1)&gt;=100000,INDEX($AN$1005:$BO$1005,1,MATCH(COLUMNS($AN$1006:AR1006),$AN$1006:$BO$1006,0))&gt;=100000), " ",IF(INDEX($AN$2:$BO$1001,MATCH(ROWS($AG$2:AG258),$AG$2:$AG$1001,0),MATCH(COLUMNS($AN$1006:AR1006),$AN$1006:$BO$1006,0)), HYPERLINK("#",""), HYPERLINK(CONCATENATE("#Metadata!", ADDRESS(INDEX($AI$2:$AI$1001,MATCH(ROWS($AG$2:AG258),$AG$2:$AG$1001,0),0), INDEX($AN$1004:$BO$1004,1,MATCH(COLUMNS($AN$1006:AR1006),$AN$1006:$BO$1006,0)))),"Fix")))</f>
        <v>0</v>
      </c>
      <c r="G258" s="4">
        <f>IF(OR(INDEX($AH$2:$AH$1001,MATCH(ROWS($AG$2:AG258),$AG$2:$AG$1001,0),1)&gt;=100000,INDEX($AN$1005:$BO$1005,1,MATCH(COLUMNS($AN$1006:AS1006),$AN$1006:$BO$1006,0))&gt;=100000), " ",IF(INDEX($AN$2:$BO$1001,MATCH(ROWS($AG$2:AG258),$AG$2:$AG$1001,0),MATCH(COLUMNS($AN$1006:AS1006),$AN$1006:$BO$1006,0)), HYPERLINK("#",""), HYPERLINK(CONCATENATE("#Metadata!", ADDRESS(INDEX($AI$2:$AI$1001,MATCH(ROWS($AG$2:AG258),$AG$2:$AG$1001,0),0), INDEX($AN$1004:$BO$1004,1,MATCH(COLUMNS($AN$1006:AS1006),$AN$1006:$BO$1006,0)))),"Fix")))</f>
        <v>0</v>
      </c>
      <c r="H258" s="4">
        <f>IF(OR(INDEX($AH$2:$AH$1001,MATCH(ROWS($AG$2:AG258),$AG$2:$AG$1001,0),1)&gt;=100000,INDEX($AN$1005:$BO$1005,1,MATCH(COLUMNS($AN$1006:AT1006),$AN$1006:$BO$1006,0))&gt;=100000), " ",IF(INDEX($AN$2:$BO$1001,MATCH(ROWS($AG$2:AG258),$AG$2:$AG$1001,0),MATCH(COLUMNS($AN$1006:AT1006),$AN$1006:$BO$1006,0)), HYPERLINK("#",""), HYPERLINK(CONCATENATE("#Metadata!", ADDRESS(INDEX($AI$2:$AI$1001,MATCH(ROWS($AG$2:AG258),$AG$2:$AG$1001,0),0), INDEX($AN$1004:$BO$1004,1,MATCH(COLUMNS($AN$1006:AT1006),$AN$1006:$BO$1006,0)))),"Fix")))</f>
        <v>0</v>
      </c>
      <c r="I258" s="4">
        <f>IF(OR(INDEX($AH$2:$AH$1001,MATCH(ROWS($AG$2:AG258),$AG$2:$AG$1001,0),1)&gt;=100000,INDEX($AN$1005:$BO$1005,1,MATCH(COLUMNS($AN$1006:AU1006),$AN$1006:$BO$1006,0))&gt;=100000), " ",IF(INDEX($AN$2:$BO$1001,MATCH(ROWS($AG$2:AG258),$AG$2:$AG$1001,0),MATCH(COLUMNS($AN$1006:AU1006),$AN$1006:$BO$1006,0)), HYPERLINK("#",""), HYPERLINK(CONCATENATE("#Metadata!", ADDRESS(INDEX($AI$2:$AI$1001,MATCH(ROWS($AG$2:AG258),$AG$2:$AG$1001,0),0), INDEX($AN$1004:$BO$1004,1,MATCH(COLUMNS($AN$1006:AU1006),$AN$1006:$BO$1006,0)))),"Fix")))</f>
        <v>0</v>
      </c>
      <c r="J258" s="4">
        <f>IF(OR(INDEX($AH$2:$AH$1001,MATCH(ROWS($AG$2:AG258),$AG$2:$AG$1001,0),1)&gt;=100000,INDEX($AN$1005:$BO$1005,1,MATCH(COLUMNS($AN$1006:AV1006),$AN$1006:$BO$1006,0))&gt;=100000), " ",IF(INDEX($AN$2:$BO$1001,MATCH(ROWS($AG$2:AG258),$AG$2:$AG$1001,0),MATCH(COLUMNS($AN$1006:AV1006),$AN$1006:$BO$1006,0)), HYPERLINK("#",""), HYPERLINK(CONCATENATE("#Metadata!", ADDRESS(INDEX($AI$2:$AI$1001,MATCH(ROWS($AG$2:AG258),$AG$2:$AG$1001,0),0), INDEX($AN$1004:$BO$1004,1,MATCH(COLUMNS($AN$1006:AV1006),$AN$1006:$BO$1006,0)))),"Fix")))</f>
        <v>0</v>
      </c>
      <c r="K258" s="4">
        <f>IF(OR(INDEX($AH$2:$AH$1001,MATCH(ROWS($AG$2:AG258),$AG$2:$AG$1001,0),1)&gt;=100000,INDEX($AN$1005:$BO$1005,1,MATCH(COLUMNS($AN$1006:AW1006),$AN$1006:$BO$1006,0))&gt;=100000), " ",IF(INDEX($AN$2:$BO$1001,MATCH(ROWS($AG$2:AG258),$AG$2:$AG$1001,0),MATCH(COLUMNS($AN$1006:AW1006),$AN$1006:$BO$1006,0)), HYPERLINK("#",""), HYPERLINK(CONCATENATE("#Metadata!", ADDRESS(INDEX($AI$2:$AI$1001,MATCH(ROWS($AG$2:AG258),$AG$2:$AG$1001,0),0), INDEX($AN$1004:$BO$1004,1,MATCH(COLUMNS($AN$1006:AW1006),$AN$1006:$BO$1006,0)))),"Fix")))</f>
        <v>0</v>
      </c>
      <c r="L258" s="4">
        <f>IF(OR(INDEX($AH$2:$AH$1001,MATCH(ROWS($AG$2:AG258),$AG$2:$AG$1001,0),1)&gt;=100000,INDEX($AN$1005:$BO$1005,1,MATCH(COLUMNS($AN$1006:AX1006),$AN$1006:$BO$1006,0))&gt;=100000), " ",IF(INDEX($AN$2:$BO$1001,MATCH(ROWS($AG$2:AG258),$AG$2:$AG$1001,0),MATCH(COLUMNS($AN$1006:AX1006),$AN$1006:$BO$1006,0)), HYPERLINK("#",""), HYPERLINK(CONCATENATE("#Metadata!", ADDRESS(INDEX($AI$2:$AI$1001,MATCH(ROWS($AG$2:AG258),$AG$2:$AG$1001,0),0), INDEX($AN$1004:$BO$1004,1,MATCH(COLUMNS($AN$1006:AX1006),$AN$1006:$BO$1006,0)))),"Fix")))</f>
        <v>0</v>
      </c>
      <c r="M258" s="4">
        <f>IF(OR(INDEX($AH$2:$AH$1001,MATCH(ROWS($AG$2:AG258),$AG$2:$AG$1001,0),1)&gt;=100000,INDEX($AN$1005:$BO$1005,1,MATCH(COLUMNS($AN$1006:AY1006),$AN$1006:$BO$1006,0))&gt;=100000), " ",IF(INDEX($AN$2:$BO$1001,MATCH(ROWS($AG$2:AG258),$AG$2:$AG$1001,0),MATCH(COLUMNS($AN$1006:AY1006),$AN$1006:$BO$1006,0)), HYPERLINK("#",""), HYPERLINK(CONCATENATE("#Metadata!", ADDRESS(INDEX($AI$2:$AI$1001,MATCH(ROWS($AG$2:AG258),$AG$2:$AG$1001,0),0), INDEX($AN$1004:$BO$1004,1,MATCH(COLUMNS($AN$1006:AY1006),$AN$1006:$BO$1006,0)))),"Fix")))</f>
        <v>0</v>
      </c>
      <c r="N258" s="4">
        <f>IF(OR(INDEX($AH$2:$AH$1001,MATCH(ROWS($AG$2:AG258),$AG$2:$AG$1001,0),1)&gt;=100000,INDEX($AN$1005:$BO$1005,1,MATCH(COLUMNS($AN$1006:AZ1006),$AN$1006:$BO$1006,0))&gt;=100000), " ",IF(INDEX($AN$2:$BO$1001,MATCH(ROWS($AG$2:AG258),$AG$2:$AG$1001,0),MATCH(COLUMNS($AN$1006:AZ1006),$AN$1006:$BO$1006,0)), HYPERLINK("#",""), HYPERLINK(CONCATENATE("#Metadata!", ADDRESS(INDEX($AI$2:$AI$1001,MATCH(ROWS($AG$2:AG258),$AG$2:$AG$1001,0),0), INDEX($AN$1004:$BO$1004,1,MATCH(COLUMNS($AN$1006:AZ1006),$AN$1006:$BO$1006,0)))),"Fix")))</f>
        <v>0</v>
      </c>
      <c r="O258" s="4">
        <f>IF(OR(INDEX($AH$2:$AH$1001,MATCH(ROWS($AG$2:AG258),$AG$2:$AG$1001,0),1)&gt;=100000,INDEX($AN$1005:$BO$1005,1,MATCH(COLUMNS($AN$1006:BA1006),$AN$1006:$BO$1006,0))&gt;=100000), " ",IF(INDEX($AN$2:$BO$1001,MATCH(ROWS($AG$2:AG258),$AG$2:$AG$1001,0),MATCH(COLUMNS($AN$1006:BA1006),$AN$1006:$BO$1006,0)), HYPERLINK("#",""), HYPERLINK(CONCATENATE("#Metadata!", ADDRESS(INDEX($AI$2:$AI$1001,MATCH(ROWS($AG$2:AG258),$AG$2:$AG$1001,0),0), INDEX($AN$1004:$BO$1004,1,MATCH(COLUMNS($AN$1006:BA1006),$AN$1006:$BO$1006,0)))),"Fix")))</f>
        <v>0</v>
      </c>
      <c r="P258" s="4">
        <f>IF(OR(INDEX($AH$2:$AH$1001,MATCH(ROWS($AG$2:AG258),$AG$2:$AG$1001,0),1)&gt;=100000,INDEX($AN$1005:$BO$1005,1,MATCH(COLUMNS($AN$1006:BB1006),$AN$1006:$BO$1006,0))&gt;=100000), " ",IF(INDEX($AN$2:$BO$1001,MATCH(ROWS($AG$2:AG258),$AG$2:$AG$1001,0),MATCH(COLUMNS($AN$1006:BB1006),$AN$1006:$BO$1006,0)), HYPERLINK("#",""), HYPERLINK(CONCATENATE("#Metadata!", ADDRESS(INDEX($AI$2:$AI$1001,MATCH(ROWS($AG$2:AG258),$AG$2:$AG$1001,0),0), INDEX($AN$1004:$BO$1004,1,MATCH(COLUMNS($AN$1006:BB1006),$AN$1006:$BO$1006,0)))),"Fix")))</f>
        <v>0</v>
      </c>
      <c r="Q258" s="4">
        <f>IF(OR(INDEX($AH$2:$AH$1001,MATCH(ROWS($AG$2:AG258),$AG$2:$AG$1001,0),1)&gt;=100000,INDEX($AN$1005:$BO$1005,1,MATCH(COLUMNS($AN$1006:BC1006),$AN$1006:$BO$1006,0))&gt;=100000), " ",IF(INDEX($AN$2:$BO$1001,MATCH(ROWS($AG$2:AG258),$AG$2:$AG$1001,0),MATCH(COLUMNS($AN$1006:BC1006),$AN$1006:$BO$1006,0)), HYPERLINK("#",""), HYPERLINK(CONCATENATE("#Metadata!", ADDRESS(INDEX($AI$2:$AI$1001,MATCH(ROWS($AG$2:AG258),$AG$2:$AG$1001,0),0), INDEX($AN$1004:$BO$1004,1,MATCH(COLUMNS($AN$1006:BC1006),$AN$1006:$BO$1006,0)))),"Fix")))</f>
        <v>0</v>
      </c>
      <c r="R258" s="4">
        <f>IF(OR(INDEX($AH$2:$AH$1001,MATCH(ROWS($AG$2:AG258),$AG$2:$AG$1001,0),1)&gt;=100000,INDEX($AN$1005:$BO$1005,1,MATCH(COLUMNS($AN$1006:BD1006),$AN$1006:$BO$1006,0))&gt;=100000), " ",IF(INDEX($AN$2:$BO$1001,MATCH(ROWS($AG$2:AG258),$AG$2:$AG$1001,0),MATCH(COLUMNS($AN$1006:BD1006),$AN$1006:$BO$1006,0)), HYPERLINK("#",""), HYPERLINK(CONCATENATE("#Metadata!", ADDRESS(INDEX($AI$2:$AI$1001,MATCH(ROWS($AG$2:AG258),$AG$2:$AG$1001,0),0), INDEX($AN$1004:$BO$1004,1,MATCH(COLUMNS($AN$1006:BD1006),$AN$1006:$BO$1006,0)))),"Fix")))</f>
        <v>0</v>
      </c>
      <c r="S258" s="4">
        <f>IF(OR(INDEX($AH$2:$AH$1001,MATCH(ROWS($AG$2:AG258),$AG$2:$AG$1001,0),1)&gt;=100000,INDEX($AN$1005:$BO$1005,1,MATCH(COLUMNS($AN$1006:BE1006),$AN$1006:$BO$1006,0))&gt;=100000), " ",IF(INDEX($AN$2:$BO$1001,MATCH(ROWS($AG$2:AG258),$AG$2:$AG$1001,0),MATCH(COLUMNS($AN$1006:BE1006),$AN$1006:$BO$1006,0)), HYPERLINK("#",""), HYPERLINK(CONCATENATE("#Metadata!", ADDRESS(INDEX($AI$2:$AI$1001,MATCH(ROWS($AG$2:AG258),$AG$2:$AG$1001,0),0), INDEX($AN$1004:$BO$1004,1,MATCH(COLUMNS($AN$1006:BE1006),$AN$1006:$BO$1006,0)))),"Fix")))</f>
        <v>0</v>
      </c>
      <c r="T258" s="4">
        <f>IF(OR(INDEX($AH$2:$AH$1001,MATCH(ROWS($AG$2:AG258),$AG$2:$AG$1001,0),1)&gt;=100000,INDEX($AN$1005:$BO$1005,1,MATCH(COLUMNS($AN$1006:BF1006),$AN$1006:$BO$1006,0))&gt;=100000), " ",IF(INDEX($AN$2:$BO$1001,MATCH(ROWS($AG$2:AG258),$AG$2:$AG$1001,0),MATCH(COLUMNS($AN$1006:BF1006),$AN$1006:$BO$1006,0)), HYPERLINK("#",""), HYPERLINK(CONCATENATE("#Metadata!", ADDRESS(INDEX($AI$2:$AI$1001,MATCH(ROWS($AG$2:AG258),$AG$2:$AG$1001,0),0), INDEX($AN$1004:$BO$1004,1,MATCH(COLUMNS($AN$1006:BF1006),$AN$1006:$BO$1006,0)))),"Fix")))</f>
        <v>0</v>
      </c>
      <c r="U258" s="4">
        <f>IF(OR(INDEX($AH$2:$AH$1001,MATCH(ROWS($AG$2:AG258),$AG$2:$AG$1001,0),1)&gt;=100000,INDEX($AN$1005:$BO$1005,1,MATCH(COLUMNS($AN$1006:BG1006),$AN$1006:$BO$1006,0))&gt;=100000), " ",IF(INDEX($AN$2:$BO$1001,MATCH(ROWS($AG$2:AG258),$AG$2:$AG$1001,0),MATCH(COLUMNS($AN$1006:BG1006),$AN$1006:$BO$1006,0)), HYPERLINK("#",""), HYPERLINK(CONCATENATE("#Metadata!", ADDRESS(INDEX($AI$2:$AI$1001,MATCH(ROWS($AG$2:AG258),$AG$2:$AG$1001,0),0), INDEX($AN$1004:$BO$1004,1,MATCH(COLUMNS($AN$1006:BG1006),$AN$1006:$BO$1006,0)))),"Fix")))</f>
        <v>0</v>
      </c>
      <c r="V258" s="4">
        <f>IF(OR(INDEX($AH$2:$AH$1001,MATCH(ROWS($AG$2:AG258),$AG$2:$AG$1001,0),1)&gt;=100000,INDEX($AN$1005:$BO$1005,1,MATCH(COLUMNS($AN$1006:BH1006),$AN$1006:$BO$1006,0))&gt;=100000), " ",IF(INDEX($AN$2:$BO$1001,MATCH(ROWS($AG$2:AG258),$AG$2:$AG$1001,0),MATCH(COLUMNS($AN$1006:BH1006),$AN$1006:$BO$1006,0)), HYPERLINK("#",""), HYPERLINK(CONCATENATE("#Metadata!", ADDRESS(INDEX($AI$2:$AI$1001,MATCH(ROWS($AG$2:AG258),$AG$2:$AG$1001,0),0), INDEX($AN$1004:$BO$1004,1,MATCH(COLUMNS($AN$1006:BH1006),$AN$1006:$BO$1006,0)))),"Fix")))</f>
        <v>0</v>
      </c>
      <c r="W258" s="4">
        <f>IF(OR(INDEX($AH$2:$AH$1001,MATCH(ROWS($AG$2:AG258),$AG$2:$AG$1001,0),1)&gt;=100000,INDEX($AN$1005:$BO$1005,1,MATCH(COLUMNS($AN$1006:BI1006),$AN$1006:$BO$1006,0))&gt;=100000), " ",IF(INDEX($AN$2:$BO$1001,MATCH(ROWS($AG$2:AG258),$AG$2:$AG$1001,0),MATCH(COLUMNS($AN$1006:BI1006),$AN$1006:$BO$1006,0)), HYPERLINK("#",""), HYPERLINK(CONCATENATE("#Metadata!", ADDRESS(INDEX($AI$2:$AI$1001,MATCH(ROWS($AG$2:AG258),$AG$2:$AG$1001,0),0), INDEX($AN$1004:$BO$1004,1,MATCH(COLUMNS($AN$1006:BI1006),$AN$1006:$BO$1006,0)))),"Fix")))</f>
        <v>0</v>
      </c>
      <c r="X258" s="4">
        <f>IF(OR(INDEX($AH$2:$AH$1001,MATCH(ROWS($AG$2:AG258),$AG$2:$AG$1001,0),1)&gt;=100000,INDEX($AN$1005:$BO$1005,1,MATCH(COLUMNS($AN$1006:BJ1006),$AN$1006:$BO$1006,0))&gt;=100000), " ",IF(INDEX($AN$2:$BO$1001,MATCH(ROWS($AG$2:AG258),$AG$2:$AG$1001,0),MATCH(COLUMNS($AN$1006:BJ1006),$AN$1006:$BO$1006,0)), HYPERLINK("#",""), HYPERLINK(CONCATENATE("#Metadata!", ADDRESS(INDEX($AI$2:$AI$1001,MATCH(ROWS($AG$2:AG258),$AG$2:$AG$1001,0),0), INDEX($AN$1004:$BO$1004,1,MATCH(COLUMNS($AN$1006:BJ1006),$AN$1006:$BO$1006,0)))),"Fix")))</f>
        <v>0</v>
      </c>
      <c r="Y258" s="4">
        <f>IF(OR(INDEX($AH$2:$AH$1001,MATCH(ROWS($AG$2:AG258),$AG$2:$AG$1001,0),1)&gt;=100000,INDEX($AN$1005:$BO$1005,1,MATCH(COLUMNS($AN$1006:BK1006),$AN$1006:$BO$1006,0))&gt;=100000), " ",IF(INDEX($AN$2:$BO$1001,MATCH(ROWS($AG$2:AG258),$AG$2:$AG$1001,0),MATCH(COLUMNS($AN$1006:BK1006),$AN$1006:$BO$1006,0)), HYPERLINK("#",""), HYPERLINK(CONCATENATE("#Metadata!", ADDRESS(INDEX($AI$2:$AI$1001,MATCH(ROWS($AG$2:AG258),$AG$2:$AG$1001,0),0), INDEX($AN$1004:$BO$1004,1,MATCH(COLUMNS($AN$1006:BK1006),$AN$1006:$BO$1006,0)))),"Fix")))</f>
        <v>0</v>
      </c>
      <c r="Z258" s="4">
        <f>IF(OR(INDEX($AH$2:$AH$1001,MATCH(ROWS($AG$2:AG258),$AG$2:$AG$1001,0),1)&gt;=100000,INDEX($AN$1005:$BO$1005,1,MATCH(COLUMNS($AN$1006:BL1006),$AN$1006:$BO$1006,0))&gt;=100000), " ",IF(INDEX($AN$2:$BO$1001,MATCH(ROWS($AG$2:AG258),$AG$2:$AG$1001,0),MATCH(COLUMNS($AN$1006:BL1006),$AN$1006:$BO$1006,0)), HYPERLINK("#",""), HYPERLINK(CONCATENATE("#Metadata!", ADDRESS(INDEX($AI$2:$AI$1001,MATCH(ROWS($AG$2:AG258),$AG$2:$AG$1001,0),0), INDEX($AN$1004:$BO$1004,1,MATCH(COLUMNS($AN$1006:BL1006),$AN$1006:$BO$1006,0)))),"Fix")))</f>
        <v>0</v>
      </c>
      <c r="AA258" s="4">
        <f>IF(OR(INDEX($AH$2:$AH$1001,MATCH(ROWS($AG$2:AG258),$AG$2:$AG$1001,0),1)&gt;=100000,INDEX($AN$1005:$BO$1005,1,MATCH(COLUMNS($AN$1006:BM1006),$AN$1006:$BO$1006,0))&gt;=100000), " ",IF(INDEX($AN$2:$BO$1001,MATCH(ROWS($AG$2:AG258),$AG$2:$AG$1001,0),MATCH(COLUMNS($AN$1006:BM1006),$AN$1006:$BO$1006,0)), HYPERLINK("#",""), HYPERLINK(CONCATENATE("#Metadata!", ADDRESS(INDEX($AI$2:$AI$1001,MATCH(ROWS($AG$2:AG258),$AG$2:$AG$1001,0),0), INDEX($AN$1004:$BO$1004,1,MATCH(COLUMNS($AN$1006:BM1006),$AN$1006:$BO$1006,0)))),"Fix")))</f>
        <v>0</v>
      </c>
      <c r="AB258" s="4">
        <f>IF(OR(INDEX($AH$2:$AH$1001,MATCH(ROWS($AG$2:AG258),$AG$2:$AG$1001,0),1)&gt;=100000,INDEX($AN$1005:$BO$1005,1,MATCH(COLUMNS($AN$1006:BN1006),$AN$1006:$BO$1006,0))&gt;=100000), " ",IF(INDEX($AN$2:$BO$1001,MATCH(ROWS($AG$2:AG258),$AG$2:$AG$1001,0),MATCH(COLUMNS($AN$1006:BN1006),$AN$1006:$BO$1006,0)), HYPERLINK("#",""), HYPERLINK(CONCATENATE("#Metadata!", ADDRESS(INDEX($AI$2:$AI$1001,MATCH(ROWS($AG$2:AG258),$AG$2:$AG$1001,0),0), INDEX($AN$1004:$BO$1004,1,MATCH(COLUMNS($AN$1006:BN1006),$AN$1006:$BO$1006,0)))),"Fix")))</f>
        <v>0</v>
      </c>
      <c r="AC258" s="4">
        <f>IF(OR(INDEX($AH$2:$AH$1001,MATCH(ROWS($AG$2:AG258),$AG$2:$AG$1001,0),1)&gt;=100000,INDEX($AN$1005:$BO$1005,1,MATCH(COLUMNS($AN$1006:BO1006),$AN$1006:$BO$1006,0))&gt;=100000), " ",IF(INDEX($AN$2:$BO$1001,MATCH(ROWS($AG$2:AG258),$AG$2:$AG$1001,0),MATCH(COLUMNS($AN$1006:BO1006),$AN$1006:$BO$1006,0)), HYPERLINK("#",""), HYPERLINK(CONCATENATE("#Metadata!", ADDRESS(INDEX($AI$2:$AI$1001,MATCH(ROWS($AG$2:AG258),$AG$2:$AG$1001,0),0), INDEX($AN$1004:$BO$1004,1,MATCH(COLUMNS($AN$1006:BO1006),$AN$1006:$BO$1006,0)))),"Fix")))</f>
        <v>0</v>
      </c>
      <c r="AG258">
        <v>0</v>
      </c>
      <c r="AH258">
        <v>0</v>
      </c>
      <c r="AI258">
        <v>0</v>
      </c>
      <c r="AJ258">
        <f>IF(AK258,TRUE,AND(AN258:BO258))</f>
        <v>0</v>
      </c>
      <c r="AK258">
        <f>COUNTBLANK(Metadata!B258:AC258)=COLUMNS(Metadata!B258:AC258)</f>
        <v>0</v>
      </c>
      <c r="AL258">
        <v>0</v>
      </c>
      <c r="AN258">
        <f>AND(IF(Metadata!B258="",FALSE,TRUE),COUNTIF(Metadata!B:B, Metadata!B258) = 1,NOT(ISERROR(SUMPRODUCT(SEARCH(MID(Metadata!B258,ROW(INDIRECT("1:"&amp;LEN(Metadata!B258))), 1),"0123456789abcdefghijklmnopqrstuvwxyzABCDEFGHIJKLMNOPQRSTUVWXYZ.")))))</f>
        <v>0</v>
      </c>
      <c r="AO258">
        <f>IF(Metadata!C258="",FALSE,TRUE)</f>
        <v>0</v>
      </c>
      <c r="AP258">
        <f>IF(Metadata!D258="",FALSE,TRUE)</f>
        <v>0</v>
      </c>
      <c r="AQ258">
        <f>OR(AND(IF(Metadata!E258="",FALSE,TRUE),OR(exact(Metadata!E258,"not collected"),exact(Metadata!E258,"not provided"),exact(Metadata!E258,"restricted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R258">
        <f>IF(Metadata!F258="",FALSE,TRUE)</f>
        <v>0</v>
      </c>
      <c r="AS258">
        <f>OR(AND(IF(Metadata!G258="",FALSE,TRUE),OR(exact(Metadata!G258,"not collected"),exact(Metadata!G258,"not provided"))),AND(IF(Metadata!G258="",FALSE,TRUE),OR(exact(Metadata!G258,"TRUE"),exact(Metadata!G258,"FALSE"))))</f>
        <v>0</v>
      </c>
      <c r="AT258">
        <f>OR(AND(IF(Metadata!H258="",FALSE,TRUE),OR(exact(Metadata!H258,"not collected"),exact(Metadata!H258,"not provided"),exact(Metadata!H258,"restricted access"))),AND(IF(Metadata!H258="",FALSE,ISNUMBER(VALUE(Metadata!H258))),Metadata!H258&gt;=-413.0))</f>
        <v>0</v>
      </c>
      <c r="AU258">
        <f>AND(IF(Metadata!I258="",FALSE,TRUE),exact(Metadata!I258,"meters"))</f>
        <v>0</v>
      </c>
      <c r="AV258">
        <f>AND(IF(Metadata!J258="",FALSE,TRUE),OR(exact(Metadata!J258,"Host-associated"),exact(Metadata!J258,"Free-living")))</f>
        <v>0</v>
      </c>
      <c r="AW258">
        <f>AND(IF(Metadata!K258="",FALSE,TRUE),OR(exact(Metadata!K258,"Animal"),exact(Metadata!K258,"Fungus"),exact(Metadata!K258,"Plant"),exact(Metadata!K258,"Saline"),exact(Metadata!K258,"Non-saline")))</f>
        <v>0</v>
      </c>
      <c r="AX258">
        <f>AND(IF(Metadata!L258="",FALSE,TRUE),OR(exact(Metadata!L258,"Plant secretion"),exact(Metadata!L258,"Plant rhizosphere"),exact(Metadata!L258,"Plant surface"),exact(Metadata!L258,"Plant corpus"),exact(Metadata!L258,"Fungus surface"),exact(Metadata!L258,"Fungus corpus"),exact(Metadata!L258,"Animal surface"),exact(Metadata!L258,"Animal proximal gut"),exact(Metadata!L258,"Animal corpus"),exact(Metadata!L258,"Animal distal gut"),exact(Metadata!L258,"Animal secretion"),exact(Metadata!L258,"Sub-surface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Y258">
        <f>IF(Metadata!M258="",FALSE,TRUE)</f>
        <v>0</v>
      </c>
      <c r="AZ258">
        <f>IF(Metadata!N258="",FALSE,TRUE)</f>
        <v>0</v>
      </c>
      <c r="BA258">
        <f>IF(Metadata!O258="",FALSE,TRUE)</f>
        <v>0</v>
      </c>
      <c r="BB258">
        <f>OR(AND(IF(Metadata!P258="",FALSE,TRUE),OR(exact(Metadata!P258,"not collected"),exact(Metadata!P258,"not provided"),exact(Metadata!P258,"restricted access"))),AND(IF(Metadata!P258="",FALSE,TRUE),OR(exact(Metadata!P258,"air"),exact(Metadata!P258,"built environment"),exact(Metadata!P258,"host-associated"),exact(Metadata!P258,"human-associated"),exact(Metadata!P258,"human-skin"),exact(Metadata!P258,"human-oral"),exact(Metadata!P258,"human-gut"),exact(Metadata!P258,"human-vaginal"),exact(Metadata!P258,"microbial mat/biofilm"),exact(Metadata!P258,"misc environment"),exact(Metadata!P258,"plant-associated"),exact(Metadata!P258,"sediment"),exact(Metadata!P258,"soil"),exact(Metadata!P258,"wastewater/sludge"),exact(Metadata!P258,"water"))))</f>
        <v>0</v>
      </c>
      <c r="BC258">
        <f>IF(Metadata!Q258="",FALSE,TRUE)</f>
        <v>0</v>
      </c>
      <c r="BD258">
        <f>IF(Metadata!R258="",FALSE,TRUE)</f>
        <v>0</v>
      </c>
      <c r="BE258">
        <f>OR(AND(IF(Metadata!S258="",FALSE,TRUE),OR(exact(Metadata!S258,"not collected"),exact(Metadata!S258,"not provided"),exact(Metadata!S258,"restricted access"))),AND(IF(Metadata!S258="",FALSE,ISNUMBER(VALUE(Metadata!S258))),Metadata!S258&gt;=-90.00,Metadata!S258&lt;=90.00))</f>
        <v>0</v>
      </c>
      <c r="BF258">
        <f>AND(IF(Metadata!T258="",FALSE,TRUE),exact(Metadata!T258,"Decimal degrees"))</f>
        <v>0</v>
      </c>
      <c r="BG258">
        <f>OR(AND(IF(Metadata!U258="",FALSE,TRUE),OR(exact(Metadata!U258,"not collected"),exact(Metadata!U258,"not provided"),exact(Metadata!U258,"restricted access"))),AND(IF(Metadata!U258="",FALSE,ISNUMBER(VALUE(Metadata!U258))),Metadata!U258&gt;=-180.00,Metadata!U258&lt;=180.00))</f>
        <v>0</v>
      </c>
      <c r="BH258">
        <f>AND(IF(Metadata!V258="",FALSE,TRUE),exact(Metadata!V258,"Decimal degrees"))</f>
        <v>0</v>
      </c>
      <c r="BI258">
        <f>IF(Metadata!W258="",FALSE,TRUE)</f>
        <v>0</v>
      </c>
      <c r="BJ258">
        <f>OR(AND(IF(Metadata!X258="",FALSE,TRUE),OR(exact(Metadata!X258,"not collected"),exact(Metadata!X258,"not provided"),exact(Metadata!X258,"restricted access"))),AND(IF(Metadata!X258="",FALSE,TRUE),OR(exact(Metadata!X258,"TRUE"),exact(Metadata!X258,"FALSE"))))</f>
        <v>0</v>
      </c>
      <c r="BK258">
        <f>AND(IF(Metadata!Y258="",FALSE,TRUE),exact(Metadata!Y258,"other"))</f>
        <v>0</v>
      </c>
      <c r="BL258">
        <f>IF(Metadata!Z258="",FALSE,TRUE)</f>
        <v>0</v>
      </c>
      <c r="BM258">
        <f>OR(AND(IF(Metadata!AA258="",FALSE,TRUE),OR(exact(Metadata!AA258,"not collected"),exact(Metadata!AA258,"not provided"))),AND(IF(Metadata!AA258="",FALSE,IF(ISERROR(INT(Metadata!AA258)),FALSE,INT(Metadata!AA258)=Metadata!AA258)),Metadata!AA258&gt;0))</f>
        <v>0</v>
      </c>
      <c r="BN258">
        <f>AND(IF(Metadata!AB258="",FALSE,TRUE),exact(Metadata!AB258,"Not applicable"))</f>
        <v>0</v>
      </c>
      <c r="BO258">
        <f>IF(Metadata!AC258="",FALSE,TRUE)</f>
        <v>0</v>
      </c>
    </row>
    <row r="259" spans="1:67">
      <c r="A259" s="5">
        <f>IF(B259=" "," ",HYPERLINK(CONCATENATE("#metadata!",ADDRESS(INDEX($AI$2:$AI$1001,MATCH(ROWS($AG$2:AG259),$AG$2:$AG$1001,0),0),1)),INDEX($AL$2:$AL$1001,MATCH(ROWS($AG$2:AG259),$AG$2:$AG$1001,0),0)))</f>
        <v>0</v>
      </c>
      <c r="B259" s="4">
        <f>IF(OR(INDEX($AH$2:$AH$1001,MATCH(ROWS($AG$2:AG259),$AG$2:$AG$1001,0),1)&gt;=100000,INDEX($AN$1005:$BO$1005,1,MATCH(COLUMNS($AN$1006:AN1006),$AN$1006:$BO$1006,0))&gt;=100000), " ",IF(INDEX($AN$2:$BO$1001,MATCH(ROWS($AG$2:AG259),$AG$2:$AG$1001,0),MATCH(COLUMNS($AN$1006:AN1006),$AN$1006:$BO$1006,0)), HYPERLINK("#",""), HYPERLINK(CONCATENATE("#Metadata!", ADDRESS(INDEX($AI$2:$AI$1001,MATCH(ROWS($AG$2:AG259),$AG$2:$AG$1001,0),0), INDEX($AN$1004:$BO$1004,1,MATCH(COLUMNS($AN$1006:AN1006),$AN$1006:$BO$1006,0)))),"Fix")))</f>
        <v>0</v>
      </c>
      <c r="C259" s="4">
        <f>IF(OR(INDEX($AH$2:$AH$1001,MATCH(ROWS($AG$2:AG259),$AG$2:$AG$1001,0),1)&gt;=100000,INDEX($AN$1005:$BO$1005,1,MATCH(COLUMNS($AN$1006:AO1006),$AN$1006:$BO$1006,0))&gt;=100000), " ",IF(INDEX($AN$2:$BO$1001,MATCH(ROWS($AG$2:AG259),$AG$2:$AG$1001,0),MATCH(COLUMNS($AN$1006:AO1006),$AN$1006:$BO$1006,0)), HYPERLINK("#",""), HYPERLINK(CONCATENATE("#Metadata!", ADDRESS(INDEX($AI$2:$AI$1001,MATCH(ROWS($AG$2:AG259),$AG$2:$AG$1001,0),0), INDEX($AN$1004:$BO$1004,1,MATCH(COLUMNS($AN$1006:AO1006),$AN$1006:$BO$1006,0)))),"Fix")))</f>
        <v>0</v>
      </c>
      <c r="D259" s="4">
        <f>IF(OR(INDEX($AH$2:$AH$1001,MATCH(ROWS($AG$2:AG259),$AG$2:$AG$1001,0),1)&gt;=100000,INDEX($AN$1005:$BO$1005,1,MATCH(COLUMNS($AN$1006:AP1006),$AN$1006:$BO$1006,0))&gt;=100000), " ",IF(INDEX($AN$2:$BO$1001,MATCH(ROWS($AG$2:AG259),$AG$2:$AG$1001,0),MATCH(COLUMNS($AN$1006:AP1006),$AN$1006:$BO$1006,0)), HYPERLINK("#",""), HYPERLINK(CONCATENATE("#Metadata!", ADDRESS(INDEX($AI$2:$AI$1001,MATCH(ROWS($AG$2:AG259),$AG$2:$AG$1001,0),0), INDEX($AN$1004:$BO$1004,1,MATCH(COLUMNS($AN$1006:AP1006),$AN$1006:$BO$1006,0)))),"Fix")))</f>
        <v>0</v>
      </c>
      <c r="E259" s="4">
        <f>IF(OR(INDEX($AH$2:$AH$1001,MATCH(ROWS($AG$2:AG259),$AG$2:$AG$1001,0),1)&gt;=100000,INDEX($AN$1005:$BO$1005,1,MATCH(COLUMNS($AN$1006:AQ1006),$AN$1006:$BO$1006,0))&gt;=100000), " ",IF(INDEX($AN$2:$BO$1001,MATCH(ROWS($AG$2:AG259),$AG$2:$AG$1001,0),MATCH(COLUMNS($AN$1006:AQ1006),$AN$1006:$BO$1006,0)), HYPERLINK("#",""), HYPERLINK(CONCATENATE("#Metadata!", ADDRESS(INDEX($AI$2:$AI$1001,MATCH(ROWS($AG$2:AG259),$AG$2:$AG$1001,0),0), INDEX($AN$1004:$BO$1004,1,MATCH(COLUMNS($AN$1006:AQ1006),$AN$1006:$BO$1006,0)))),"Fix")))</f>
        <v>0</v>
      </c>
      <c r="F259" s="4">
        <f>IF(OR(INDEX($AH$2:$AH$1001,MATCH(ROWS($AG$2:AG259),$AG$2:$AG$1001,0),1)&gt;=100000,INDEX($AN$1005:$BO$1005,1,MATCH(COLUMNS($AN$1006:AR1006),$AN$1006:$BO$1006,0))&gt;=100000), " ",IF(INDEX($AN$2:$BO$1001,MATCH(ROWS($AG$2:AG259),$AG$2:$AG$1001,0),MATCH(COLUMNS($AN$1006:AR1006),$AN$1006:$BO$1006,0)), HYPERLINK("#",""), HYPERLINK(CONCATENATE("#Metadata!", ADDRESS(INDEX($AI$2:$AI$1001,MATCH(ROWS($AG$2:AG259),$AG$2:$AG$1001,0),0), INDEX($AN$1004:$BO$1004,1,MATCH(COLUMNS($AN$1006:AR1006),$AN$1006:$BO$1006,0)))),"Fix")))</f>
        <v>0</v>
      </c>
      <c r="G259" s="4">
        <f>IF(OR(INDEX($AH$2:$AH$1001,MATCH(ROWS($AG$2:AG259),$AG$2:$AG$1001,0),1)&gt;=100000,INDEX($AN$1005:$BO$1005,1,MATCH(COLUMNS($AN$1006:AS1006),$AN$1006:$BO$1006,0))&gt;=100000), " ",IF(INDEX($AN$2:$BO$1001,MATCH(ROWS($AG$2:AG259),$AG$2:$AG$1001,0),MATCH(COLUMNS($AN$1006:AS1006),$AN$1006:$BO$1006,0)), HYPERLINK("#",""), HYPERLINK(CONCATENATE("#Metadata!", ADDRESS(INDEX($AI$2:$AI$1001,MATCH(ROWS($AG$2:AG259),$AG$2:$AG$1001,0),0), INDEX($AN$1004:$BO$1004,1,MATCH(COLUMNS($AN$1006:AS1006),$AN$1006:$BO$1006,0)))),"Fix")))</f>
        <v>0</v>
      </c>
      <c r="H259" s="4">
        <f>IF(OR(INDEX($AH$2:$AH$1001,MATCH(ROWS($AG$2:AG259),$AG$2:$AG$1001,0),1)&gt;=100000,INDEX($AN$1005:$BO$1005,1,MATCH(COLUMNS($AN$1006:AT1006),$AN$1006:$BO$1006,0))&gt;=100000), " ",IF(INDEX($AN$2:$BO$1001,MATCH(ROWS($AG$2:AG259),$AG$2:$AG$1001,0),MATCH(COLUMNS($AN$1006:AT1006),$AN$1006:$BO$1006,0)), HYPERLINK("#",""), HYPERLINK(CONCATENATE("#Metadata!", ADDRESS(INDEX($AI$2:$AI$1001,MATCH(ROWS($AG$2:AG259),$AG$2:$AG$1001,0),0), INDEX($AN$1004:$BO$1004,1,MATCH(COLUMNS($AN$1006:AT1006),$AN$1006:$BO$1006,0)))),"Fix")))</f>
        <v>0</v>
      </c>
      <c r="I259" s="4">
        <f>IF(OR(INDEX($AH$2:$AH$1001,MATCH(ROWS($AG$2:AG259),$AG$2:$AG$1001,0),1)&gt;=100000,INDEX($AN$1005:$BO$1005,1,MATCH(COLUMNS($AN$1006:AU1006),$AN$1006:$BO$1006,0))&gt;=100000), " ",IF(INDEX($AN$2:$BO$1001,MATCH(ROWS($AG$2:AG259),$AG$2:$AG$1001,0),MATCH(COLUMNS($AN$1006:AU1006),$AN$1006:$BO$1006,0)), HYPERLINK("#",""), HYPERLINK(CONCATENATE("#Metadata!", ADDRESS(INDEX($AI$2:$AI$1001,MATCH(ROWS($AG$2:AG259),$AG$2:$AG$1001,0),0), INDEX($AN$1004:$BO$1004,1,MATCH(COLUMNS($AN$1006:AU1006),$AN$1006:$BO$1006,0)))),"Fix")))</f>
        <v>0</v>
      </c>
      <c r="J259" s="4">
        <f>IF(OR(INDEX($AH$2:$AH$1001,MATCH(ROWS($AG$2:AG259),$AG$2:$AG$1001,0),1)&gt;=100000,INDEX($AN$1005:$BO$1005,1,MATCH(COLUMNS($AN$1006:AV1006),$AN$1006:$BO$1006,0))&gt;=100000), " ",IF(INDEX($AN$2:$BO$1001,MATCH(ROWS($AG$2:AG259),$AG$2:$AG$1001,0),MATCH(COLUMNS($AN$1006:AV1006),$AN$1006:$BO$1006,0)), HYPERLINK("#",""), HYPERLINK(CONCATENATE("#Metadata!", ADDRESS(INDEX($AI$2:$AI$1001,MATCH(ROWS($AG$2:AG259),$AG$2:$AG$1001,0),0), INDEX($AN$1004:$BO$1004,1,MATCH(COLUMNS($AN$1006:AV1006),$AN$1006:$BO$1006,0)))),"Fix")))</f>
        <v>0</v>
      </c>
      <c r="K259" s="4">
        <f>IF(OR(INDEX($AH$2:$AH$1001,MATCH(ROWS($AG$2:AG259),$AG$2:$AG$1001,0),1)&gt;=100000,INDEX($AN$1005:$BO$1005,1,MATCH(COLUMNS($AN$1006:AW1006),$AN$1006:$BO$1006,0))&gt;=100000), " ",IF(INDEX($AN$2:$BO$1001,MATCH(ROWS($AG$2:AG259),$AG$2:$AG$1001,0),MATCH(COLUMNS($AN$1006:AW1006),$AN$1006:$BO$1006,0)), HYPERLINK("#",""), HYPERLINK(CONCATENATE("#Metadata!", ADDRESS(INDEX($AI$2:$AI$1001,MATCH(ROWS($AG$2:AG259),$AG$2:$AG$1001,0),0), INDEX($AN$1004:$BO$1004,1,MATCH(COLUMNS($AN$1006:AW1006),$AN$1006:$BO$1006,0)))),"Fix")))</f>
        <v>0</v>
      </c>
      <c r="L259" s="4">
        <f>IF(OR(INDEX($AH$2:$AH$1001,MATCH(ROWS($AG$2:AG259),$AG$2:$AG$1001,0),1)&gt;=100000,INDEX($AN$1005:$BO$1005,1,MATCH(COLUMNS($AN$1006:AX1006),$AN$1006:$BO$1006,0))&gt;=100000), " ",IF(INDEX($AN$2:$BO$1001,MATCH(ROWS($AG$2:AG259),$AG$2:$AG$1001,0),MATCH(COLUMNS($AN$1006:AX1006),$AN$1006:$BO$1006,0)), HYPERLINK("#",""), HYPERLINK(CONCATENATE("#Metadata!", ADDRESS(INDEX($AI$2:$AI$1001,MATCH(ROWS($AG$2:AG259),$AG$2:$AG$1001,0),0), INDEX($AN$1004:$BO$1004,1,MATCH(COLUMNS($AN$1006:AX1006),$AN$1006:$BO$1006,0)))),"Fix")))</f>
        <v>0</v>
      </c>
      <c r="M259" s="4">
        <f>IF(OR(INDEX($AH$2:$AH$1001,MATCH(ROWS($AG$2:AG259),$AG$2:$AG$1001,0),1)&gt;=100000,INDEX($AN$1005:$BO$1005,1,MATCH(COLUMNS($AN$1006:AY1006),$AN$1006:$BO$1006,0))&gt;=100000), " ",IF(INDEX($AN$2:$BO$1001,MATCH(ROWS($AG$2:AG259),$AG$2:$AG$1001,0),MATCH(COLUMNS($AN$1006:AY1006),$AN$1006:$BO$1006,0)), HYPERLINK("#",""), HYPERLINK(CONCATENATE("#Metadata!", ADDRESS(INDEX($AI$2:$AI$1001,MATCH(ROWS($AG$2:AG259),$AG$2:$AG$1001,0),0), INDEX($AN$1004:$BO$1004,1,MATCH(COLUMNS($AN$1006:AY1006),$AN$1006:$BO$1006,0)))),"Fix")))</f>
        <v>0</v>
      </c>
      <c r="N259" s="4">
        <f>IF(OR(INDEX($AH$2:$AH$1001,MATCH(ROWS($AG$2:AG259),$AG$2:$AG$1001,0),1)&gt;=100000,INDEX($AN$1005:$BO$1005,1,MATCH(COLUMNS($AN$1006:AZ1006),$AN$1006:$BO$1006,0))&gt;=100000), " ",IF(INDEX($AN$2:$BO$1001,MATCH(ROWS($AG$2:AG259),$AG$2:$AG$1001,0),MATCH(COLUMNS($AN$1006:AZ1006),$AN$1006:$BO$1006,0)), HYPERLINK("#",""), HYPERLINK(CONCATENATE("#Metadata!", ADDRESS(INDEX($AI$2:$AI$1001,MATCH(ROWS($AG$2:AG259),$AG$2:$AG$1001,0),0), INDEX($AN$1004:$BO$1004,1,MATCH(COLUMNS($AN$1006:AZ1006),$AN$1006:$BO$1006,0)))),"Fix")))</f>
        <v>0</v>
      </c>
      <c r="O259" s="4">
        <f>IF(OR(INDEX($AH$2:$AH$1001,MATCH(ROWS($AG$2:AG259),$AG$2:$AG$1001,0),1)&gt;=100000,INDEX($AN$1005:$BO$1005,1,MATCH(COLUMNS($AN$1006:BA1006),$AN$1006:$BO$1006,0))&gt;=100000), " ",IF(INDEX($AN$2:$BO$1001,MATCH(ROWS($AG$2:AG259),$AG$2:$AG$1001,0),MATCH(COLUMNS($AN$1006:BA1006),$AN$1006:$BO$1006,0)), HYPERLINK("#",""), HYPERLINK(CONCATENATE("#Metadata!", ADDRESS(INDEX($AI$2:$AI$1001,MATCH(ROWS($AG$2:AG259),$AG$2:$AG$1001,0),0), INDEX($AN$1004:$BO$1004,1,MATCH(COLUMNS($AN$1006:BA1006),$AN$1006:$BO$1006,0)))),"Fix")))</f>
        <v>0</v>
      </c>
      <c r="P259" s="4">
        <f>IF(OR(INDEX($AH$2:$AH$1001,MATCH(ROWS($AG$2:AG259),$AG$2:$AG$1001,0),1)&gt;=100000,INDEX($AN$1005:$BO$1005,1,MATCH(COLUMNS($AN$1006:BB1006),$AN$1006:$BO$1006,0))&gt;=100000), " ",IF(INDEX($AN$2:$BO$1001,MATCH(ROWS($AG$2:AG259),$AG$2:$AG$1001,0),MATCH(COLUMNS($AN$1006:BB1006),$AN$1006:$BO$1006,0)), HYPERLINK("#",""), HYPERLINK(CONCATENATE("#Metadata!", ADDRESS(INDEX($AI$2:$AI$1001,MATCH(ROWS($AG$2:AG259),$AG$2:$AG$1001,0),0), INDEX($AN$1004:$BO$1004,1,MATCH(COLUMNS($AN$1006:BB1006),$AN$1006:$BO$1006,0)))),"Fix")))</f>
        <v>0</v>
      </c>
      <c r="Q259" s="4">
        <f>IF(OR(INDEX($AH$2:$AH$1001,MATCH(ROWS($AG$2:AG259),$AG$2:$AG$1001,0),1)&gt;=100000,INDEX($AN$1005:$BO$1005,1,MATCH(COLUMNS($AN$1006:BC1006),$AN$1006:$BO$1006,0))&gt;=100000), " ",IF(INDEX($AN$2:$BO$1001,MATCH(ROWS($AG$2:AG259),$AG$2:$AG$1001,0),MATCH(COLUMNS($AN$1006:BC1006),$AN$1006:$BO$1006,0)), HYPERLINK("#",""), HYPERLINK(CONCATENATE("#Metadata!", ADDRESS(INDEX($AI$2:$AI$1001,MATCH(ROWS($AG$2:AG259),$AG$2:$AG$1001,0),0), INDEX($AN$1004:$BO$1004,1,MATCH(COLUMNS($AN$1006:BC1006),$AN$1006:$BO$1006,0)))),"Fix")))</f>
        <v>0</v>
      </c>
      <c r="R259" s="4">
        <f>IF(OR(INDEX($AH$2:$AH$1001,MATCH(ROWS($AG$2:AG259),$AG$2:$AG$1001,0),1)&gt;=100000,INDEX($AN$1005:$BO$1005,1,MATCH(COLUMNS($AN$1006:BD1006),$AN$1006:$BO$1006,0))&gt;=100000), " ",IF(INDEX($AN$2:$BO$1001,MATCH(ROWS($AG$2:AG259),$AG$2:$AG$1001,0),MATCH(COLUMNS($AN$1006:BD1006),$AN$1006:$BO$1006,0)), HYPERLINK("#",""), HYPERLINK(CONCATENATE("#Metadata!", ADDRESS(INDEX($AI$2:$AI$1001,MATCH(ROWS($AG$2:AG259),$AG$2:$AG$1001,0),0), INDEX($AN$1004:$BO$1004,1,MATCH(COLUMNS($AN$1006:BD1006),$AN$1006:$BO$1006,0)))),"Fix")))</f>
        <v>0</v>
      </c>
      <c r="S259" s="4">
        <f>IF(OR(INDEX($AH$2:$AH$1001,MATCH(ROWS($AG$2:AG259),$AG$2:$AG$1001,0),1)&gt;=100000,INDEX($AN$1005:$BO$1005,1,MATCH(COLUMNS($AN$1006:BE1006),$AN$1006:$BO$1006,0))&gt;=100000), " ",IF(INDEX($AN$2:$BO$1001,MATCH(ROWS($AG$2:AG259),$AG$2:$AG$1001,0),MATCH(COLUMNS($AN$1006:BE1006),$AN$1006:$BO$1006,0)), HYPERLINK("#",""), HYPERLINK(CONCATENATE("#Metadata!", ADDRESS(INDEX($AI$2:$AI$1001,MATCH(ROWS($AG$2:AG259),$AG$2:$AG$1001,0),0), INDEX($AN$1004:$BO$1004,1,MATCH(COLUMNS($AN$1006:BE1006),$AN$1006:$BO$1006,0)))),"Fix")))</f>
        <v>0</v>
      </c>
      <c r="T259" s="4">
        <f>IF(OR(INDEX($AH$2:$AH$1001,MATCH(ROWS($AG$2:AG259),$AG$2:$AG$1001,0),1)&gt;=100000,INDEX($AN$1005:$BO$1005,1,MATCH(COLUMNS($AN$1006:BF1006),$AN$1006:$BO$1006,0))&gt;=100000), " ",IF(INDEX($AN$2:$BO$1001,MATCH(ROWS($AG$2:AG259),$AG$2:$AG$1001,0),MATCH(COLUMNS($AN$1006:BF1006),$AN$1006:$BO$1006,0)), HYPERLINK("#",""), HYPERLINK(CONCATENATE("#Metadata!", ADDRESS(INDEX($AI$2:$AI$1001,MATCH(ROWS($AG$2:AG259),$AG$2:$AG$1001,0),0), INDEX($AN$1004:$BO$1004,1,MATCH(COLUMNS($AN$1006:BF1006),$AN$1006:$BO$1006,0)))),"Fix")))</f>
        <v>0</v>
      </c>
      <c r="U259" s="4">
        <f>IF(OR(INDEX($AH$2:$AH$1001,MATCH(ROWS($AG$2:AG259),$AG$2:$AG$1001,0),1)&gt;=100000,INDEX($AN$1005:$BO$1005,1,MATCH(COLUMNS($AN$1006:BG1006),$AN$1006:$BO$1006,0))&gt;=100000), " ",IF(INDEX($AN$2:$BO$1001,MATCH(ROWS($AG$2:AG259),$AG$2:$AG$1001,0),MATCH(COLUMNS($AN$1006:BG1006),$AN$1006:$BO$1006,0)), HYPERLINK("#",""), HYPERLINK(CONCATENATE("#Metadata!", ADDRESS(INDEX($AI$2:$AI$1001,MATCH(ROWS($AG$2:AG259),$AG$2:$AG$1001,0),0), INDEX($AN$1004:$BO$1004,1,MATCH(COLUMNS($AN$1006:BG1006),$AN$1006:$BO$1006,0)))),"Fix")))</f>
        <v>0</v>
      </c>
      <c r="V259" s="4">
        <f>IF(OR(INDEX($AH$2:$AH$1001,MATCH(ROWS($AG$2:AG259),$AG$2:$AG$1001,0),1)&gt;=100000,INDEX($AN$1005:$BO$1005,1,MATCH(COLUMNS($AN$1006:BH1006),$AN$1006:$BO$1006,0))&gt;=100000), " ",IF(INDEX($AN$2:$BO$1001,MATCH(ROWS($AG$2:AG259),$AG$2:$AG$1001,0),MATCH(COLUMNS($AN$1006:BH1006),$AN$1006:$BO$1006,0)), HYPERLINK("#",""), HYPERLINK(CONCATENATE("#Metadata!", ADDRESS(INDEX($AI$2:$AI$1001,MATCH(ROWS($AG$2:AG259),$AG$2:$AG$1001,0),0), INDEX($AN$1004:$BO$1004,1,MATCH(COLUMNS($AN$1006:BH1006),$AN$1006:$BO$1006,0)))),"Fix")))</f>
        <v>0</v>
      </c>
      <c r="W259" s="4">
        <f>IF(OR(INDEX($AH$2:$AH$1001,MATCH(ROWS($AG$2:AG259),$AG$2:$AG$1001,0),1)&gt;=100000,INDEX($AN$1005:$BO$1005,1,MATCH(COLUMNS($AN$1006:BI1006),$AN$1006:$BO$1006,0))&gt;=100000), " ",IF(INDEX($AN$2:$BO$1001,MATCH(ROWS($AG$2:AG259),$AG$2:$AG$1001,0),MATCH(COLUMNS($AN$1006:BI1006),$AN$1006:$BO$1006,0)), HYPERLINK("#",""), HYPERLINK(CONCATENATE("#Metadata!", ADDRESS(INDEX($AI$2:$AI$1001,MATCH(ROWS($AG$2:AG259),$AG$2:$AG$1001,0),0), INDEX($AN$1004:$BO$1004,1,MATCH(COLUMNS($AN$1006:BI1006),$AN$1006:$BO$1006,0)))),"Fix")))</f>
        <v>0</v>
      </c>
      <c r="X259" s="4">
        <f>IF(OR(INDEX($AH$2:$AH$1001,MATCH(ROWS($AG$2:AG259),$AG$2:$AG$1001,0),1)&gt;=100000,INDEX($AN$1005:$BO$1005,1,MATCH(COLUMNS($AN$1006:BJ1006),$AN$1006:$BO$1006,0))&gt;=100000), " ",IF(INDEX($AN$2:$BO$1001,MATCH(ROWS($AG$2:AG259),$AG$2:$AG$1001,0),MATCH(COLUMNS($AN$1006:BJ1006),$AN$1006:$BO$1006,0)), HYPERLINK("#",""), HYPERLINK(CONCATENATE("#Metadata!", ADDRESS(INDEX($AI$2:$AI$1001,MATCH(ROWS($AG$2:AG259),$AG$2:$AG$1001,0),0), INDEX($AN$1004:$BO$1004,1,MATCH(COLUMNS($AN$1006:BJ1006),$AN$1006:$BO$1006,0)))),"Fix")))</f>
        <v>0</v>
      </c>
      <c r="Y259" s="4">
        <f>IF(OR(INDEX($AH$2:$AH$1001,MATCH(ROWS($AG$2:AG259),$AG$2:$AG$1001,0),1)&gt;=100000,INDEX($AN$1005:$BO$1005,1,MATCH(COLUMNS($AN$1006:BK1006),$AN$1006:$BO$1006,0))&gt;=100000), " ",IF(INDEX($AN$2:$BO$1001,MATCH(ROWS($AG$2:AG259),$AG$2:$AG$1001,0),MATCH(COLUMNS($AN$1006:BK1006),$AN$1006:$BO$1006,0)), HYPERLINK("#",""), HYPERLINK(CONCATENATE("#Metadata!", ADDRESS(INDEX($AI$2:$AI$1001,MATCH(ROWS($AG$2:AG259),$AG$2:$AG$1001,0),0), INDEX($AN$1004:$BO$1004,1,MATCH(COLUMNS($AN$1006:BK1006),$AN$1006:$BO$1006,0)))),"Fix")))</f>
        <v>0</v>
      </c>
      <c r="Z259" s="4">
        <f>IF(OR(INDEX($AH$2:$AH$1001,MATCH(ROWS($AG$2:AG259),$AG$2:$AG$1001,0),1)&gt;=100000,INDEX($AN$1005:$BO$1005,1,MATCH(COLUMNS($AN$1006:BL1006),$AN$1006:$BO$1006,0))&gt;=100000), " ",IF(INDEX($AN$2:$BO$1001,MATCH(ROWS($AG$2:AG259),$AG$2:$AG$1001,0),MATCH(COLUMNS($AN$1006:BL1006),$AN$1006:$BO$1006,0)), HYPERLINK("#",""), HYPERLINK(CONCATENATE("#Metadata!", ADDRESS(INDEX($AI$2:$AI$1001,MATCH(ROWS($AG$2:AG259),$AG$2:$AG$1001,0),0), INDEX($AN$1004:$BO$1004,1,MATCH(COLUMNS($AN$1006:BL1006),$AN$1006:$BO$1006,0)))),"Fix")))</f>
        <v>0</v>
      </c>
      <c r="AA259" s="4">
        <f>IF(OR(INDEX($AH$2:$AH$1001,MATCH(ROWS($AG$2:AG259),$AG$2:$AG$1001,0),1)&gt;=100000,INDEX($AN$1005:$BO$1005,1,MATCH(COLUMNS($AN$1006:BM1006),$AN$1006:$BO$1006,0))&gt;=100000), " ",IF(INDEX($AN$2:$BO$1001,MATCH(ROWS($AG$2:AG259),$AG$2:$AG$1001,0),MATCH(COLUMNS($AN$1006:BM1006),$AN$1006:$BO$1006,0)), HYPERLINK("#",""), HYPERLINK(CONCATENATE("#Metadata!", ADDRESS(INDEX($AI$2:$AI$1001,MATCH(ROWS($AG$2:AG259),$AG$2:$AG$1001,0),0), INDEX($AN$1004:$BO$1004,1,MATCH(COLUMNS($AN$1006:BM1006),$AN$1006:$BO$1006,0)))),"Fix")))</f>
        <v>0</v>
      </c>
      <c r="AB259" s="4">
        <f>IF(OR(INDEX($AH$2:$AH$1001,MATCH(ROWS($AG$2:AG259),$AG$2:$AG$1001,0),1)&gt;=100000,INDEX($AN$1005:$BO$1005,1,MATCH(COLUMNS($AN$1006:BN1006),$AN$1006:$BO$1006,0))&gt;=100000), " ",IF(INDEX($AN$2:$BO$1001,MATCH(ROWS($AG$2:AG259),$AG$2:$AG$1001,0),MATCH(COLUMNS($AN$1006:BN1006),$AN$1006:$BO$1006,0)), HYPERLINK("#",""), HYPERLINK(CONCATENATE("#Metadata!", ADDRESS(INDEX($AI$2:$AI$1001,MATCH(ROWS($AG$2:AG259),$AG$2:$AG$1001,0),0), INDEX($AN$1004:$BO$1004,1,MATCH(COLUMNS($AN$1006:BN1006),$AN$1006:$BO$1006,0)))),"Fix")))</f>
        <v>0</v>
      </c>
      <c r="AC259" s="4">
        <f>IF(OR(INDEX($AH$2:$AH$1001,MATCH(ROWS($AG$2:AG259),$AG$2:$AG$1001,0),1)&gt;=100000,INDEX($AN$1005:$BO$1005,1,MATCH(COLUMNS($AN$1006:BO1006),$AN$1006:$BO$1006,0))&gt;=100000), " ",IF(INDEX($AN$2:$BO$1001,MATCH(ROWS($AG$2:AG259),$AG$2:$AG$1001,0),MATCH(COLUMNS($AN$1006:BO1006),$AN$1006:$BO$1006,0)), HYPERLINK("#",""), HYPERLINK(CONCATENATE("#Metadata!", ADDRESS(INDEX($AI$2:$AI$1001,MATCH(ROWS($AG$2:AG259),$AG$2:$AG$1001,0),0), INDEX($AN$1004:$BO$1004,1,MATCH(COLUMNS($AN$1006:BO1006),$AN$1006:$BO$1006,0)))),"Fix")))</f>
        <v>0</v>
      </c>
      <c r="AG259">
        <v>0</v>
      </c>
      <c r="AH259">
        <v>0</v>
      </c>
      <c r="AI259">
        <v>0</v>
      </c>
      <c r="AJ259">
        <f>IF(AK259,TRUE,AND(AN259:BO259))</f>
        <v>0</v>
      </c>
      <c r="AK259">
        <f>COUNTBLANK(Metadata!B259:AC259)=COLUMNS(Metadata!B259:AC259)</f>
        <v>0</v>
      </c>
      <c r="AL259">
        <v>0</v>
      </c>
      <c r="AN259">
        <f>AND(IF(Metadata!B259="",FALSE,TRUE),COUNTIF(Metadata!B:B, Metadata!B259) = 1,NOT(ISERROR(SUMPRODUCT(SEARCH(MID(Metadata!B259,ROW(INDIRECT("1:"&amp;LEN(Metadata!B259))), 1),"0123456789abcdefghijklmnopqrstuvwxyzABCDEFGHIJKLMNOPQRSTUVWXYZ.")))))</f>
        <v>0</v>
      </c>
      <c r="AO259">
        <f>IF(Metadata!C259="",FALSE,TRUE)</f>
        <v>0</v>
      </c>
      <c r="AP259">
        <f>IF(Metadata!D259="",FALSE,TRUE)</f>
        <v>0</v>
      </c>
      <c r="AQ259">
        <f>OR(AND(IF(Metadata!E259="",FALSE,TRUE),OR(exact(Metadata!E259,"not collected"),exact(Metadata!E259,"not provided"),exact(Metadata!E259,"restricted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R259">
        <f>IF(Metadata!F259="",FALSE,TRUE)</f>
        <v>0</v>
      </c>
      <c r="AS259">
        <f>OR(AND(IF(Metadata!G259="",FALSE,TRUE),OR(exact(Metadata!G259,"not collected"),exact(Metadata!G259,"not provided"))),AND(IF(Metadata!G259="",FALSE,TRUE),OR(exact(Metadata!G259,"TRUE"),exact(Metadata!G259,"FALSE"))))</f>
        <v>0</v>
      </c>
      <c r="AT259">
        <f>OR(AND(IF(Metadata!H259="",FALSE,TRUE),OR(exact(Metadata!H259,"not collected"),exact(Metadata!H259,"not provided"),exact(Metadata!H259,"restricted access"))),AND(IF(Metadata!H259="",FALSE,ISNUMBER(VALUE(Metadata!H259))),Metadata!H259&gt;=-413.0))</f>
        <v>0</v>
      </c>
      <c r="AU259">
        <f>AND(IF(Metadata!I259="",FALSE,TRUE),exact(Metadata!I259,"meters"))</f>
        <v>0</v>
      </c>
      <c r="AV259">
        <f>AND(IF(Metadata!J259="",FALSE,TRUE),OR(exact(Metadata!J259,"Host-associated"),exact(Metadata!J259,"Free-living")))</f>
        <v>0</v>
      </c>
      <c r="AW259">
        <f>AND(IF(Metadata!K259="",FALSE,TRUE),OR(exact(Metadata!K259,"Animal"),exact(Metadata!K259,"Fungus"),exact(Metadata!K259,"Plant"),exact(Metadata!K259,"Saline"),exact(Metadata!K259,"Non-saline")))</f>
        <v>0</v>
      </c>
      <c r="AX259">
        <f>AND(IF(Metadata!L259="",FALSE,TRUE),OR(exact(Metadata!L259,"Plant secretion"),exact(Metadata!L259,"Plant rhizosphere"),exact(Metadata!L259,"Plant surface"),exact(Metadata!L259,"Plant corpus"),exact(Metadata!L259,"Fungus surface"),exact(Metadata!L259,"Fungus corpus"),exact(Metadata!L259,"Animal surface"),exact(Metadata!L259,"Animal proximal gut"),exact(Metadata!L259,"Animal corpus"),exact(Metadata!L259,"Animal distal gut"),exact(Metadata!L259,"Animal secretion"),exact(Metadata!L259,"Sub-surface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Y259">
        <f>IF(Metadata!M259="",FALSE,TRUE)</f>
        <v>0</v>
      </c>
      <c r="AZ259">
        <f>IF(Metadata!N259="",FALSE,TRUE)</f>
        <v>0</v>
      </c>
      <c r="BA259">
        <f>IF(Metadata!O259="",FALSE,TRUE)</f>
        <v>0</v>
      </c>
      <c r="BB259">
        <f>OR(AND(IF(Metadata!P259="",FALSE,TRUE),OR(exact(Metadata!P259,"not collected"),exact(Metadata!P259,"not provided"),exact(Metadata!P259,"restricted access"))),AND(IF(Metadata!P259="",FALSE,TRUE),OR(exact(Metadata!P259,"air"),exact(Metadata!P259,"built environment"),exact(Metadata!P259,"host-associated"),exact(Metadata!P259,"human-associated"),exact(Metadata!P259,"human-skin"),exact(Metadata!P259,"human-oral"),exact(Metadata!P259,"human-gut"),exact(Metadata!P259,"human-vaginal"),exact(Metadata!P259,"microbial mat/biofilm"),exact(Metadata!P259,"misc environment"),exact(Metadata!P259,"plant-associated"),exact(Metadata!P259,"sediment"),exact(Metadata!P259,"soil"),exact(Metadata!P259,"wastewater/sludge"),exact(Metadata!P259,"water"))))</f>
        <v>0</v>
      </c>
      <c r="BC259">
        <f>IF(Metadata!Q259="",FALSE,TRUE)</f>
        <v>0</v>
      </c>
      <c r="BD259">
        <f>IF(Metadata!R259="",FALSE,TRUE)</f>
        <v>0</v>
      </c>
      <c r="BE259">
        <f>OR(AND(IF(Metadata!S259="",FALSE,TRUE),OR(exact(Metadata!S259,"not collected"),exact(Metadata!S259,"not provided"),exact(Metadata!S259,"restricted access"))),AND(IF(Metadata!S259="",FALSE,ISNUMBER(VALUE(Metadata!S259))),Metadata!S259&gt;=-90.00,Metadata!S259&lt;=90.00))</f>
        <v>0</v>
      </c>
      <c r="BF259">
        <f>AND(IF(Metadata!T259="",FALSE,TRUE),exact(Metadata!T259,"Decimal degrees"))</f>
        <v>0</v>
      </c>
      <c r="BG259">
        <f>OR(AND(IF(Metadata!U259="",FALSE,TRUE),OR(exact(Metadata!U259,"not collected"),exact(Metadata!U259,"not provided"),exact(Metadata!U259,"restricted access"))),AND(IF(Metadata!U259="",FALSE,ISNUMBER(VALUE(Metadata!U259))),Metadata!U259&gt;=-180.00,Metadata!U259&lt;=180.00))</f>
        <v>0</v>
      </c>
      <c r="BH259">
        <f>AND(IF(Metadata!V259="",FALSE,TRUE),exact(Metadata!V259,"Decimal degrees"))</f>
        <v>0</v>
      </c>
      <c r="BI259">
        <f>IF(Metadata!W259="",FALSE,TRUE)</f>
        <v>0</v>
      </c>
      <c r="BJ259">
        <f>OR(AND(IF(Metadata!X259="",FALSE,TRUE),OR(exact(Metadata!X259,"not collected"),exact(Metadata!X259,"not provided"),exact(Metadata!X259,"restricted access"))),AND(IF(Metadata!X259="",FALSE,TRUE),OR(exact(Metadata!X259,"TRUE"),exact(Metadata!X259,"FALSE"))))</f>
        <v>0</v>
      </c>
      <c r="BK259">
        <f>AND(IF(Metadata!Y259="",FALSE,TRUE),exact(Metadata!Y259,"other"))</f>
        <v>0</v>
      </c>
      <c r="BL259">
        <f>IF(Metadata!Z259="",FALSE,TRUE)</f>
        <v>0</v>
      </c>
      <c r="BM259">
        <f>OR(AND(IF(Metadata!AA259="",FALSE,TRUE),OR(exact(Metadata!AA259,"not collected"),exact(Metadata!AA259,"not provided"))),AND(IF(Metadata!AA259="",FALSE,IF(ISERROR(INT(Metadata!AA259)),FALSE,INT(Metadata!AA259)=Metadata!AA259)),Metadata!AA259&gt;0))</f>
        <v>0</v>
      </c>
      <c r="BN259">
        <f>AND(IF(Metadata!AB259="",FALSE,TRUE),exact(Metadata!AB259,"Not applicable"))</f>
        <v>0</v>
      </c>
      <c r="BO259">
        <f>IF(Metadata!AC259="",FALSE,TRUE)</f>
        <v>0</v>
      </c>
    </row>
    <row r="260" spans="1:67">
      <c r="A260" s="5">
        <f>IF(B260=" "," ",HYPERLINK(CONCATENATE("#metadata!",ADDRESS(INDEX($AI$2:$AI$1001,MATCH(ROWS($AG$2:AG260),$AG$2:$AG$1001,0),0),1)),INDEX($AL$2:$AL$1001,MATCH(ROWS($AG$2:AG260),$AG$2:$AG$1001,0),0)))</f>
        <v>0</v>
      </c>
      <c r="B260" s="4">
        <f>IF(OR(INDEX($AH$2:$AH$1001,MATCH(ROWS($AG$2:AG260),$AG$2:$AG$1001,0),1)&gt;=100000,INDEX($AN$1005:$BO$1005,1,MATCH(COLUMNS($AN$1006:AN1006),$AN$1006:$BO$1006,0))&gt;=100000), " ",IF(INDEX($AN$2:$BO$1001,MATCH(ROWS($AG$2:AG260),$AG$2:$AG$1001,0),MATCH(COLUMNS($AN$1006:AN1006),$AN$1006:$BO$1006,0)), HYPERLINK("#",""), HYPERLINK(CONCATENATE("#Metadata!", ADDRESS(INDEX($AI$2:$AI$1001,MATCH(ROWS($AG$2:AG260),$AG$2:$AG$1001,0),0), INDEX($AN$1004:$BO$1004,1,MATCH(COLUMNS($AN$1006:AN1006),$AN$1006:$BO$1006,0)))),"Fix")))</f>
        <v>0</v>
      </c>
      <c r="C260" s="4">
        <f>IF(OR(INDEX($AH$2:$AH$1001,MATCH(ROWS($AG$2:AG260),$AG$2:$AG$1001,0),1)&gt;=100000,INDEX($AN$1005:$BO$1005,1,MATCH(COLUMNS($AN$1006:AO1006),$AN$1006:$BO$1006,0))&gt;=100000), " ",IF(INDEX($AN$2:$BO$1001,MATCH(ROWS($AG$2:AG260),$AG$2:$AG$1001,0),MATCH(COLUMNS($AN$1006:AO1006),$AN$1006:$BO$1006,0)), HYPERLINK("#",""), HYPERLINK(CONCATENATE("#Metadata!", ADDRESS(INDEX($AI$2:$AI$1001,MATCH(ROWS($AG$2:AG260),$AG$2:$AG$1001,0),0), INDEX($AN$1004:$BO$1004,1,MATCH(COLUMNS($AN$1006:AO1006),$AN$1006:$BO$1006,0)))),"Fix")))</f>
        <v>0</v>
      </c>
      <c r="D260" s="4">
        <f>IF(OR(INDEX($AH$2:$AH$1001,MATCH(ROWS($AG$2:AG260),$AG$2:$AG$1001,0),1)&gt;=100000,INDEX($AN$1005:$BO$1005,1,MATCH(COLUMNS($AN$1006:AP1006),$AN$1006:$BO$1006,0))&gt;=100000), " ",IF(INDEX($AN$2:$BO$1001,MATCH(ROWS($AG$2:AG260),$AG$2:$AG$1001,0),MATCH(COLUMNS($AN$1006:AP1006),$AN$1006:$BO$1006,0)), HYPERLINK("#",""), HYPERLINK(CONCATENATE("#Metadata!", ADDRESS(INDEX($AI$2:$AI$1001,MATCH(ROWS($AG$2:AG260),$AG$2:$AG$1001,0),0), INDEX($AN$1004:$BO$1004,1,MATCH(COLUMNS($AN$1006:AP1006),$AN$1006:$BO$1006,0)))),"Fix")))</f>
        <v>0</v>
      </c>
      <c r="E260" s="4">
        <f>IF(OR(INDEX($AH$2:$AH$1001,MATCH(ROWS($AG$2:AG260),$AG$2:$AG$1001,0),1)&gt;=100000,INDEX($AN$1005:$BO$1005,1,MATCH(COLUMNS($AN$1006:AQ1006),$AN$1006:$BO$1006,0))&gt;=100000), " ",IF(INDEX($AN$2:$BO$1001,MATCH(ROWS($AG$2:AG260),$AG$2:$AG$1001,0),MATCH(COLUMNS($AN$1006:AQ1006),$AN$1006:$BO$1006,0)), HYPERLINK("#",""), HYPERLINK(CONCATENATE("#Metadata!", ADDRESS(INDEX($AI$2:$AI$1001,MATCH(ROWS($AG$2:AG260),$AG$2:$AG$1001,0),0), INDEX($AN$1004:$BO$1004,1,MATCH(COLUMNS($AN$1006:AQ1006),$AN$1006:$BO$1006,0)))),"Fix")))</f>
        <v>0</v>
      </c>
      <c r="F260" s="4">
        <f>IF(OR(INDEX($AH$2:$AH$1001,MATCH(ROWS($AG$2:AG260),$AG$2:$AG$1001,0),1)&gt;=100000,INDEX($AN$1005:$BO$1005,1,MATCH(COLUMNS($AN$1006:AR1006),$AN$1006:$BO$1006,0))&gt;=100000), " ",IF(INDEX($AN$2:$BO$1001,MATCH(ROWS($AG$2:AG260),$AG$2:$AG$1001,0),MATCH(COLUMNS($AN$1006:AR1006),$AN$1006:$BO$1006,0)), HYPERLINK("#",""), HYPERLINK(CONCATENATE("#Metadata!", ADDRESS(INDEX($AI$2:$AI$1001,MATCH(ROWS($AG$2:AG260),$AG$2:$AG$1001,0),0), INDEX($AN$1004:$BO$1004,1,MATCH(COLUMNS($AN$1006:AR1006),$AN$1006:$BO$1006,0)))),"Fix")))</f>
        <v>0</v>
      </c>
      <c r="G260" s="4">
        <f>IF(OR(INDEX($AH$2:$AH$1001,MATCH(ROWS($AG$2:AG260),$AG$2:$AG$1001,0),1)&gt;=100000,INDEX($AN$1005:$BO$1005,1,MATCH(COLUMNS($AN$1006:AS1006),$AN$1006:$BO$1006,0))&gt;=100000), " ",IF(INDEX($AN$2:$BO$1001,MATCH(ROWS($AG$2:AG260),$AG$2:$AG$1001,0),MATCH(COLUMNS($AN$1006:AS1006),$AN$1006:$BO$1006,0)), HYPERLINK("#",""), HYPERLINK(CONCATENATE("#Metadata!", ADDRESS(INDEX($AI$2:$AI$1001,MATCH(ROWS($AG$2:AG260),$AG$2:$AG$1001,0),0), INDEX($AN$1004:$BO$1004,1,MATCH(COLUMNS($AN$1006:AS1006),$AN$1006:$BO$1006,0)))),"Fix")))</f>
        <v>0</v>
      </c>
      <c r="H260" s="4">
        <f>IF(OR(INDEX($AH$2:$AH$1001,MATCH(ROWS($AG$2:AG260),$AG$2:$AG$1001,0),1)&gt;=100000,INDEX($AN$1005:$BO$1005,1,MATCH(COLUMNS($AN$1006:AT1006),$AN$1006:$BO$1006,0))&gt;=100000), " ",IF(INDEX($AN$2:$BO$1001,MATCH(ROWS($AG$2:AG260),$AG$2:$AG$1001,0),MATCH(COLUMNS($AN$1006:AT1006),$AN$1006:$BO$1006,0)), HYPERLINK("#",""), HYPERLINK(CONCATENATE("#Metadata!", ADDRESS(INDEX($AI$2:$AI$1001,MATCH(ROWS($AG$2:AG260),$AG$2:$AG$1001,0),0), INDEX($AN$1004:$BO$1004,1,MATCH(COLUMNS($AN$1006:AT1006),$AN$1006:$BO$1006,0)))),"Fix")))</f>
        <v>0</v>
      </c>
      <c r="I260" s="4">
        <f>IF(OR(INDEX($AH$2:$AH$1001,MATCH(ROWS($AG$2:AG260),$AG$2:$AG$1001,0),1)&gt;=100000,INDEX($AN$1005:$BO$1005,1,MATCH(COLUMNS($AN$1006:AU1006),$AN$1006:$BO$1006,0))&gt;=100000), " ",IF(INDEX($AN$2:$BO$1001,MATCH(ROWS($AG$2:AG260),$AG$2:$AG$1001,0),MATCH(COLUMNS($AN$1006:AU1006),$AN$1006:$BO$1006,0)), HYPERLINK("#",""), HYPERLINK(CONCATENATE("#Metadata!", ADDRESS(INDEX($AI$2:$AI$1001,MATCH(ROWS($AG$2:AG260),$AG$2:$AG$1001,0),0), INDEX($AN$1004:$BO$1004,1,MATCH(COLUMNS($AN$1006:AU1006),$AN$1006:$BO$1006,0)))),"Fix")))</f>
        <v>0</v>
      </c>
      <c r="J260" s="4">
        <f>IF(OR(INDEX($AH$2:$AH$1001,MATCH(ROWS($AG$2:AG260),$AG$2:$AG$1001,0),1)&gt;=100000,INDEX($AN$1005:$BO$1005,1,MATCH(COLUMNS($AN$1006:AV1006),$AN$1006:$BO$1006,0))&gt;=100000), " ",IF(INDEX($AN$2:$BO$1001,MATCH(ROWS($AG$2:AG260),$AG$2:$AG$1001,0),MATCH(COLUMNS($AN$1006:AV1006),$AN$1006:$BO$1006,0)), HYPERLINK("#",""), HYPERLINK(CONCATENATE("#Metadata!", ADDRESS(INDEX($AI$2:$AI$1001,MATCH(ROWS($AG$2:AG260),$AG$2:$AG$1001,0),0), INDEX($AN$1004:$BO$1004,1,MATCH(COLUMNS($AN$1006:AV1006),$AN$1006:$BO$1006,0)))),"Fix")))</f>
        <v>0</v>
      </c>
      <c r="K260" s="4">
        <f>IF(OR(INDEX($AH$2:$AH$1001,MATCH(ROWS($AG$2:AG260),$AG$2:$AG$1001,0),1)&gt;=100000,INDEX($AN$1005:$BO$1005,1,MATCH(COLUMNS($AN$1006:AW1006),$AN$1006:$BO$1006,0))&gt;=100000), " ",IF(INDEX($AN$2:$BO$1001,MATCH(ROWS($AG$2:AG260),$AG$2:$AG$1001,0),MATCH(COLUMNS($AN$1006:AW1006),$AN$1006:$BO$1006,0)), HYPERLINK("#",""), HYPERLINK(CONCATENATE("#Metadata!", ADDRESS(INDEX($AI$2:$AI$1001,MATCH(ROWS($AG$2:AG260),$AG$2:$AG$1001,0),0), INDEX($AN$1004:$BO$1004,1,MATCH(COLUMNS($AN$1006:AW1006),$AN$1006:$BO$1006,0)))),"Fix")))</f>
        <v>0</v>
      </c>
      <c r="L260" s="4">
        <f>IF(OR(INDEX($AH$2:$AH$1001,MATCH(ROWS($AG$2:AG260),$AG$2:$AG$1001,0),1)&gt;=100000,INDEX($AN$1005:$BO$1005,1,MATCH(COLUMNS($AN$1006:AX1006),$AN$1006:$BO$1006,0))&gt;=100000), " ",IF(INDEX($AN$2:$BO$1001,MATCH(ROWS($AG$2:AG260),$AG$2:$AG$1001,0),MATCH(COLUMNS($AN$1006:AX1006),$AN$1006:$BO$1006,0)), HYPERLINK("#",""), HYPERLINK(CONCATENATE("#Metadata!", ADDRESS(INDEX($AI$2:$AI$1001,MATCH(ROWS($AG$2:AG260),$AG$2:$AG$1001,0),0), INDEX($AN$1004:$BO$1004,1,MATCH(COLUMNS($AN$1006:AX1006),$AN$1006:$BO$1006,0)))),"Fix")))</f>
        <v>0</v>
      </c>
      <c r="M260" s="4">
        <f>IF(OR(INDEX($AH$2:$AH$1001,MATCH(ROWS($AG$2:AG260),$AG$2:$AG$1001,0),1)&gt;=100000,INDEX($AN$1005:$BO$1005,1,MATCH(COLUMNS($AN$1006:AY1006),$AN$1006:$BO$1006,0))&gt;=100000), " ",IF(INDEX($AN$2:$BO$1001,MATCH(ROWS($AG$2:AG260),$AG$2:$AG$1001,0),MATCH(COLUMNS($AN$1006:AY1006),$AN$1006:$BO$1006,0)), HYPERLINK("#",""), HYPERLINK(CONCATENATE("#Metadata!", ADDRESS(INDEX($AI$2:$AI$1001,MATCH(ROWS($AG$2:AG260),$AG$2:$AG$1001,0),0), INDEX($AN$1004:$BO$1004,1,MATCH(COLUMNS($AN$1006:AY1006),$AN$1006:$BO$1006,0)))),"Fix")))</f>
        <v>0</v>
      </c>
      <c r="N260" s="4">
        <f>IF(OR(INDEX($AH$2:$AH$1001,MATCH(ROWS($AG$2:AG260),$AG$2:$AG$1001,0),1)&gt;=100000,INDEX($AN$1005:$BO$1005,1,MATCH(COLUMNS($AN$1006:AZ1006),$AN$1006:$BO$1006,0))&gt;=100000), " ",IF(INDEX($AN$2:$BO$1001,MATCH(ROWS($AG$2:AG260),$AG$2:$AG$1001,0),MATCH(COLUMNS($AN$1006:AZ1006),$AN$1006:$BO$1006,0)), HYPERLINK("#",""), HYPERLINK(CONCATENATE("#Metadata!", ADDRESS(INDEX($AI$2:$AI$1001,MATCH(ROWS($AG$2:AG260),$AG$2:$AG$1001,0),0), INDEX($AN$1004:$BO$1004,1,MATCH(COLUMNS($AN$1006:AZ1006),$AN$1006:$BO$1006,0)))),"Fix")))</f>
        <v>0</v>
      </c>
      <c r="O260" s="4">
        <f>IF(OR(INDEX($AH$2:$AH$1001,MATCH(ROWS($AG$2:AG260),$AG$2:$AG$1001,0),1)&gt;=100000,INDEX($AN$1005:$BO$1005,1,MATCH(COLUMNS($AN$1006:BA1006),$AN$1006:$BO$1006,0))&gt;=100000), " ",IF(INDEX($AN$2:$BO$1001,MATCH(ROWS($AG$2:AG260),$AG$2:$AG$1001,0),MATCH(COLUMNS($AN$1006:BA1006),$AN$1006:$BO$1006,0)), HYPERLINK("#",""), HYPERLINK(CONCATENATE("#Metadata!", ADDRESS(INDEX($AI$2:$AI$1001,MATCH(ROWS($AG$2:AG260),$AG$2:$AG$1001,0),0), INDEX($AN$1004:$BO$1004,1,MATCH(COLUMNS($AN$1006:BA1006),$AN$1006:$BO$1006,0)))),"Fix")))</f>
        <v>0</v>
      </c>
      <c r="P260" s="4">
        <f>IF(OR(INDEX($AH$2:$AH$1001,MATCH(ROWS($AG$2:AG260),$AG$2:$AG$1001,0),1)&gt;=100000,INDEX($AN$1005:$BO$1005,1,MATCH(COLUMNS($AN$1006:BB1006),$AN$1006:$BO$1006,0))&gt;=100000), " ",IF(INDEX($AN$2:$BO$1001,MATCH(ROWS($AG$2:AG260),$AG$2:$AG$1001,0),MATCH(COLUMNS($AN$1006:BB1006),$AN$1006:$BO$1006,0)), HYPERLINK("#",""), HYPERLINK(CONCATENATE("#Metadata!", ADDRESS(INDEX($AI$2:$AI$1001,MATCH(ROWS($AG$2:AG260),$AG$2:$AG$1001,0),0), INDEX($AN$1004:$BO$1004,1,MATCH(COLUMNS($AN$1006:BB1006),$AN$1006:$BO$1006,0)))),"Fix")))</f>
        <v>0</v>
      </c>
      <c r="Q260" s="4">
        <f>IF(OR(INDEX($AH$2:$AH$1001,MATCH(ROWS($AG$2:AG260),$AG$2:$AG$1001,0),1)&gt;=100000,INDEX($AN$1005:$BO$1005,1,MATCH(COLUMNS($AN$1006:BC1006),$AN$1006:$BO$1006,0))&gt;=100000), " ",IF(INDEX($AN$2:$BO$1001,MATCH(ROWS($AG$2:AG260),$AG$2:$AG$1001,0),MATCH(COLUMNS($AN$1006:BC1006),$AN$1006:$BO$1006,0)), HYPERLINK("#",""), HYPERLINK(CONCATENATE("#Metadata!", ADDRESS(INDEX($AI$2:$AI$1001,MATCH(ROWS($AG$2:AG260),$AG$2:$AG$1001,0),0), INDEX($AN$1004:$BO$1004,1,MATCH(COLUMNS($AN$1006:BC1006),$AN$1006:$BO$1006,0)))),"Fix")))</f>
        <v>0</v>
      </c>
      <c r="R260" s="4">
        <f>IF(OR(INDEX($AH$2:$AH$1001,MATCH(ROWS($AG$2:AG260),$AG$2:$AG$1001,0),1)&gt;=100000,INDEX($AN$1005:$BO$1005,1,MATCH(COLUMNS($AN$1006:BD1006),$AN$1006:$BO$1006,0))&gt;=100000), " ",IF(INDEX($AN$2:$BO$1001,MATCH(ROWS($AG$2:AG260),$AG$2:$AG$1001,0),MATCH(COLUMNS($AN$1006:BD1006),$AN$1006:$BO$1006,0)), HYPERLINK("#",""), HYPERLINK(CONCATENATE("#Metadata!", ADDRESS(INDEX($AI$2:$AI$1001,MATCH(ROWS($AG$2:AG260),$AG$2:$AG$1001,0),0), INDEX($AN$1004:$BO$1004,1,MATCH(COLUMNS($AN$1006:BD1006),$AN$1006:$BO$1006,0)))),"Fix")))</f>
        <v>0</v>
      </c>
      <c r="S260" s="4">
        <f>IF(OR(INDEX($AH$2:$AH$1001,MATCH(ROWS($AG$2:AG260),$AG$2:$AG$1001,0),1)&gt;=100000,INDEX($AN$1005:$BO$1005,1,MATCH(COLUMNS($AN$1006:BE1006),$AN$1006:$BO$1006,0))&gt;=100000), " ",IF(INDEX($AN$2:$BO$1001,MATCH(ROWS($AG$2:AG260),$AG$2:$AG$1001,0),MATCH(COLUMNS($AN$1006:BE1006),$AN$1006:$BO$1006,0)), HYPERLINK("#",""), HYPERLINK(CONCATENATE("#Metadata!", ADDRESS(INDEX($AI$2:$AI$1001,MATCH(ROWS($AG$2:AG260),$AG$2:$AG$1001,0),0), INDEX($AN$1004:$BO$1004,1,MATCH(COLUMNS($AN$1006:BE1006),$AN$1006:$BO$1006,0)))),"Fix")))</f>
        <v>0</v>
      </c>
      <c r="T260" s="4">
        <f>IF(OR(INDEX($AH$2:$AH$1001,MATCH(ROWS($AG$2:AG260),$AG$2:$AG$1001,0),1)&gt;=100000,INDEX($AN$1005:$BO$1005,1,MATCH(COLUMNS($AN$1006:BF1006),$AN$1006:$BO$1006,0))&gt;=100000), " ",IF(INDEX($AN$2:$BO$1001,MATCH(ROWS($AG$2:AG260),$AG$2:$AG$1001,0),MATCH(COLUMNS($AN$1006:BF1006),$AN$1006:$BO$1006,0)), HYPERLINK("#",""), HYPERLINK(CONCATENATE("#Metadata!", ADDRESS(INDEX($AI$2:$AI$1001,MATCH(ROWS($AG$2:AG260),$AG$2:$AG$1001,0),0), INDEX($AN$1004:$BO$1004,1,MATCH(COLUMNS($AN$1006:BF1006),$AN$1006:$BO$1006,0)))),"Fix")))</f>
        <v>0</v>
      </c>
      <c r="U260" s="4">
        <f>IF(OR(INDEX($AH$2:$AH$1001,MATCH(ROWS($AG$2:AG260),$AG$2:$AG$1001,0),1)&gt;=100000,INDEX($AN$1005:$BO$1005,1,MATCH(COLUMNS($AN$1006:BG1006),$AN$1006:$BO$1006,0))&gt;=100000), " ",IF(INDEX($AN$2:$BO$1001,MATCH(ROWS($AG$2:AG260),$AG$2:$AG$1001,0),MATCH(COLUMNS($AN$1006:BG1006),$AN$1006:$BO$1006,0)), HYPERLINK("#",""), HYPERLINK(CONCATENATE("#Metadata!", ADDRESS(INDEX($AI$2:$AI$1001,MATCH(ROWS($AG$2:AG260),$AG$2:$AG$1001,0),0), INDEX($AN$1004:$BO$1004,1,MATCH(COLUMNS($AN$1006:BG1006),$AN$1006:$BO$1006,0)))),"Fix")))</f>
        <v>0</v>
      </c>
      <c r="V260" s="4">
        <f>IF(OR(INDEX($AH$2:$AH$1001,MATCH(ROWS($AG$2:AG260),$AG$2:$AG$1001,0),1)&gt;=100000,INDEX($AN$1005:$BO$1005,1,MATCH(COLUMNS($AN$1006:BH1006),$AN$1006:$BO$1006,0))&gt;=100000), " ",IF(INDEX($AN$2:$BO$1001,MATCH(ROWS($AG$2:AG260),$AG$2:$AG$1001,0),MATCH(COLUMNS($AN$1006:BH1006),$AN$1006:$BO$1006,0)), HYPERLINK("#",""), HYPERLINK(CONCATENATE("#Metadata!", ADDRESS(INDEX($AI$2:$AI$1001,MATCH(ROWS($AG$2:AG260),$AG$2:$AG$1001,0),0), INDEX($AN$1004:$BO$1004,1,MATCH(COLUMNS($AN$1006:BH1006),$AN$1006:$BO$1006,0)))),"Fix")))</f>
        <v>0</v>
      </c>
      <c r="W260" s="4">
        <f>IF(OR(INDEX($AH$2:$AH$1001,MATCH(ROWS($AG$2:AG260),$AG$2:$AG$1001,0),1)&gt;=100000,INDEX($AN$1005:$BO$1005,1,MATCH(COLUMNS($AN$1006:BI1006),$AN$1006:$BO$1006,0))&gt;=100000), " ",IF(INDEX($AN$2:$BO$1001,MATCH(ROWS($AG$2:AG260),$AG$2:$AG$1001,0),MATCH(COLUMNS($AN$1006:BI1006),$AN$1006:$BO$1006,0)), HYPERLINK("#",""), HYPERLINK(CONCATENATE("#Metadata!", ADDRESS(INDEX($AI$2:$AI$1001,MATCH(ROWS($AG$2:AG260),$AG$2:$AG$1001,0),0), INDEX($AN$1004:$BO$1004,1,MATCH(COLUMNS($AN$1006:BI1006),$AN$1006:$BO$1006,0)))),"Fix")))</f>
        <v>0</v>
      </c>
      <c r="X260" s="4">
        <f>IF(OR(INDEX($AH$2:$AH$1001,MATCH(ROWS($AG$2:AG260),$AG$2:$AG$1001,0),1)&gt;=100000,INDEX($AN$1005:$BO$1005,1,MATCH(COLUMNS($AN$1006:BJ1006),$AN$1006:$BO$1006,0))&gt;=100000), " ",IF(INDEX($AN$2:$BO$1001,MATCH(ROWS($AG$2:AG260),$AG$2:$AG$1001,0),MATCH(COLUMNS($AN$1006:BJ1006),$AN$1006:$BO$1006,0)), HYPERLINK("#",""), HYPERLINK(CONCATENATE("#Metadata!", ADDRESS(INDEX($AI$2:$AI$1001,MATCH(ROWS($AG$2:AG260),$AG$2:$AG$1001,0),0), INDEX($AN$1004:$BO$1004,1,MATCH(COLUMNS($AN$1006:BJ1006),$AN$1006:$BO$1006,0)))),"Fix")))</f>
        <v>0</v>
      </c>
      <c r="Y260" s="4">
        <f>IF(OR(INDEX($AH$2:$AH$1001,MATCH(ROWS($AG$2:AG260),$AG$2:$AG$1001,0),1)&gt;=100000,INDEX($AN$1005:$BO$1005,1,MATCH(COLUMNS($AN$1006:BK1006),$AN$1006:$BO$1006,0))&gt;=100000), " ",IF(INDEX($AN$2:$BO$1001,MATCH(ROWS($AG$2:AG260),$AG$2:$AG$1001,0),MATCH(COLUMNS($AN$1006:BK1006),$AN$1006:$BO$1006,0)), HYPERLINK("#",""), HYPERLINK(CONCATENATE("#Metadata!", ADDRESS(INDEX($AI$2:$AI$1001,MATCH(ROWS($AG$2:AG260),$AG$2:$AG$1001,0),0), INDEX($AN$1004:$BO$1004,1,MATCH(COLUMNS($AN$1006:BK1006),$AN$1006:$BO$1006,0)))),"Fix")))</f>
        <v>0</v>
      </c>
      <c r="Z260" s="4">
        <f>IF(OR(INDEX($AH$2:$AH$1001,MATCH(ROWS($AG$2:AG260),$AG$2:$AG$1001,0),1)&gt;=100000,INDEX($AN$1005:$BO$1005,1,MATCH(COLUMNS($AN$1006:BL1006),$AN$1006:$BO$1006,0))&gt;=100000), " ",IF(INDEX($AN$2:$BO$1001,MATCH(ROWS($AG$2:AG260),$AG$2:$AG$1001,0),MATCH(COLUMNS($AN$1006:BL1006),$AN$1006:$BO$1006,0)), HYPERLINK("#",""), HYPERLINK(CONCATENATE("#Metadata!", ADDRESS(INDEX($AI$2:$AI$1001,MATCH(ROWS($AG$2:AG260),$AG$2:$AG$1001,0),0), INDEX($AN$1004:$BO$1004,1,MATCH(COLUMNS($AN$1006:BL1006),$AN$1006:$BO$1006,0)))),"Fix")))</f>
        <v>0</v>
      </c>
      <c r="AA260" s="4">
        <f>IF(OR(INDEX($AH$2:$AH$1001,MATCH(ROWS($AG$2:AG260),$AG$2:$AG$1001,0),1)&gt;=100000,INDEX($AN$1005:$BO$1005,1,MATCH(COLUMNS($AN$1006:BM1006),$AN$1006:$BO$1006,0))&gt;=100000), " ",IF(INDEX($AN$2:$BO$1001,MATCH(ROWS($AG$2:AG260),$AG$2:$AG$1001,0),MATCH(COLUMNS($AN$1006:BM1006),$AN$1006:$BO$1006,0)), HYPERLINK("#",""), HYPERLINK(CONCATENATE("#Metadata!", ADDRESS(INDEX($AI$2:$AI$1001,MATCH(ROWS($AG$2:AG260),$AG$2:$AG$1001,0),0), INDEX($AN$1004:$BO$1004,1,MATCH(COLUMNS($AN$1006:BM1006),$AN$1006:$BO$1006,0)))),"Fix")))</f>
        <v>0</v>
      </c>
      <c r="AB260" s="4">
        <f>IF(OR(INDEX($AH$2:$AH$1001,MATCH(ROWS($AG$2:AG260),$AG$2:$AG$1001,0),1)&gt;=100000,INDEX($AN$1005:$BO$1005,1,MATCH(COLUMNS($AN$1006:BN1006),$AN$1006:$BO$1006,0))&gt;=100000), " ",IF(INDEX($AN$2:$BO$1001,MATCH(ROWS($AG$2:AG260),$AG$2:$AG$1001,0),MATCH(COLUMNS($AN$1006:BN1006),$AN$1006:$BO$1006,0)), HYPERLINK("#",""), HYPERLINK(CONCATENATE("#Metadata!", ADDRESS(INDEX($AI$2:$AI$1001,MATCH(ROWS($AG$2:AG260),$AG$2:$AG$1001,0),0), INDEX($AN$1004:$BO$1004,1,MATCH(COLUMNS($AN$1006:BN1006),$AN$1006:$BO$1006,0)))),"Fix")))</f>
        <v>0</v>
      </c>
      <c r="AC260" s="4">
        <f>IF(OR(INDEX($AH$2:$AH$1001,MATCH(ROWS($AG$2:AG260),$AG$2:$AG$1001,0),1)&gt;=100000,INDEX($AN$1005:$BO$1005,1,MATCH(COLUMNS($AN$1006:BO1006),$AN$1006:$BO$1006,0))&gt;=100000), " ",IF(INDEX($AN$2:$BO$1001,MATCH(ROWS($AG$2:AG260),$AG$2:$AG$1001,0),MATCH(COLUMNS($AN$1006:BO1006),$AN$1006:$BO$1006,0)), HYPERLINK("#",""), HYPERLINK(CONCATENATE("#Metadata!", ADDRESS(INDEX($AI$2:$AI$1001,MATCH(ROWS($AG$2:AG260),$AG$2:$AG$1001,0),0), INDEX($AN$1004:$BO$1004,1,MATCH(COLUMNS($AN$1006:BO1006),$AN$1006:$BO$1006,0)))),"Fix")))</f>
        <v>0</v>
      </c>
      <c r="AG260">
        <v>0</v>
      </c>
      <c r="AH260">
        <v>0</v>
      </c>
      <c r="AI260">
        <v>0</v>
      </c>
      <c r="AJ260">
        <f>IF(AK260,TRUE,AND(AN260:BO260))</f>
        <v>0</v>
      </c>
      <c r="AK260">
        <f>COUNTBLANK(Metadata!B260:AC260)=COLUMNS(Metadata!B260:AC260)</f>
        <v>0</v>
      </c>
      <c r="AL260">
        <v>0</v>
      </c>
      <c r="AN260">
        <f>AND(IF(Metadata!B260="",FALSE,TRUE),COUNTIF(Metadata!B:B, Metadata!B260) = 1,NOT(ISERROR(SUMPRODUCT(SEARCH(MID(Metadata!B260,ROW(INDIRECT("1:"&amp;LEN(Metadata!B260))), 1),"0123456789abcdefghijklmnopqrstuvwxyzABCDEFGHIJKLMNOPQRSTUVWXYZ.")))))</f>
        <v>0</v>
      </c>
      <c r="AO260">
        <f>IF(Metadata!C260="",FALSE,TRUE)</f>
        <v>0</v>
      </c>
      <c r="AP260">
        <f>IF(Metadata!D260="",FALSE,TRUE)</f>
        <v>0</v>
      </c>
      <c r="AQ260">
        <f>OR(AND(IF(Metadata!E260="",FALSE,TRUE),OR(exact(Metadata!E260,"not collected"),exact(Metadata!E260,"not provided"),exact(Metadata!E260,"restricted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R260">
        <f>IF(Metadata!F260="",FALSE,TRUE)</f>
        <v>0</v>
      </c>
      <c r="AS260">
        <f>OR(AND(IF(Metadata!G260="",FALSE,TRUE),OR(exact(Metadata!G260,"not collected"),exact(Metadata!G260,"not provided"))),AND(IF(Metadata!G260="",FALSE,TRUE),OR(exact(Metadata!G260,"TRUE"),exact(Metadata!G260,"FALSE"))))</f>
        <v>0</v>
      </c>
      <c r="AT260">
        <f>OR(AND(IF(Metadata!H260="",FALSE,TRUE),OR(exact(Metadata!H260,"not collected"),exact(Metadata!H260,"not provided"),exact(Metadata!H260,"restricted access"))),AND(IF(Metadata!H260="",FALSE,ISNUMBER(VALUE(Metadata!H260))),Metadata!H260&gt;=-413.0))</f>
        <v>0</v>
      </c>
      <c r="AU260">
        <f>AND(IF(Metadata!I260="",FALSE,TRUE),exact(Metadata!I260,"meters"))</f>
        <v>0</v>
      </c>
      <c r="AV260">
        <f>AND(IF(Metadata!J260="",FALSE,TRUE),OR(exact(Metadata!J260,"Host-associated"),exact(Metadata!J260,"Free-living")))</f>
        <v>0</v>
      </c>
      <c r="AW260">
        <f>AND(IF(Metadata!K260="",FALSE,TRUE),OR(exact(Metadata!K260,"Animal"),exact(Metadata!K260,"Fungus"),exact(Metadata!K260,"Plant"),exact(Metadata!K260,"Saline"),exact(Metadata!K260,"Non-saline")))</f>
        <v>0</v>
      </c>
      <c r="AX260">
        <f>AND(IF(Metadata!L260="",FALSE,TRUE),OR(exact(Metadata!L260,"Plant secretion"),exact(Metadata!L260,"Plant rhizosphere"),exact(Metadata!L260,"Plant surface"),exact(Metadata!L260,"Plant corpus"),exact(Metadata!L260,"Fungus surface"),exact(Metadata!L260,"Fungus corpus"),exact(Metadata!L260,"Animal surface"),exact(Metadata!L260,"Animal proximal gut"),exact(Metadata!L260,"Animal corpus"),exact(Metadata!L260,"Animal distal gut"),exact(Metadata!L260,"Animal secretion"),exact(Metadata!L260,"Sub-surface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Y260">
        <f>IF(Metadata!M260="",FALSE,TRUE)</f>
        <v>0</v>
      </c>
      <c r="AZ260">
        <f>IF(Metadata!N260="",FALSE,TRUE)</f>
        <v>0</v>
      </c>
      <c r="BA260">
        <f>IF(Metadata!O260="",FALSE,TRUE)</f>
        <v>0</v>
      </c>
      <c r="BB260">
        <f>OR(AND(IF(Metadata!P260="",FALSE,TRUE),OR(exact(Metadata!P260,"not collected"),exact(Metadata!P260,"not provided"),exact(Metadata!P260,"restricted access"))),AND(IF(Metadata!P260="",FALSE,TRUE),OR(exact(Metadata!P260,"air"),exact(Metadata!P260,"built environment"),exact(Metadata!P260,"host-associated"),exact(Metadata!P260,"human-associated"),exact(Metadata!P260,"human-skin"),exact(Metadata!P260,"human-oral"),exact(Metadata!P260,"human-gut"),exact(Metadata!P260,"human-vaginal"),exact(Metadata!P260,"microbial mat/biofilm"),exact(Metadata!P260,"misc environment"),exact(Metadata!P260,"plant-associated"),exact(Metadata!P260,"sediment"),exact(Metadata!P260,"soil"),exact(Metadata!P260,"wastewater/sludge"),exact(Metadata!P260,"water"))))</f>
        <v>0</v>
      </c>
      <c r="BC260">
        <f>IF(Metadata!Q260="",FALSE,TRUE)</f>
        <v>0</v>
      </c>
      <c r="BD260">
        <f>IF(Metadata!R260="",FALSE,TRUE)</f>
        <v>0</v>
      </c>
      <c r="BE260">
        <f>OR(AND(IF(Metadata!S260="",FALSE,TRUE),OR(exact(Metadata!S260,"not collected"),exact(Metadata!S260,"not provided"),exact(Metadata!S260,"restricted access"))),AND(IF(Metadata!S260="",FALSE,ISNUMBER(VALUE(Metadata!S260))),Metadata!S260&gt;=-90.00,Metadata!S260&lt;=90.00))</f>
        <v>0</v>
      </c>
      <c r="BF260">
        <f>AND(IF(Metadata!T260="",FALSE,TRUE),exact(Metadata!T260,"Decimal degrees"))</f>
        <v>0</v>
      </c>
      <c r="BG260">
        <f>OR(AND(IF(Metadata!U260="",FALSE,TRUE),OR(exact(Metadata!U260,"not collected"),exact(Metadata!U260,"not provided"),exact(Metadata!U260,"restricted access"))),AND(IF(Metadata!U260="",FALSE,ISNUMBER(VALUE(Metadata!U260))),Metadata!U260&gt;=-180.00,Metadata!U260&lt;=180.00))</f>
        <v>0</v>
      </c>
      <c r="BH260">
        <f>AND(IF(Metadata!V260="",FALSE,TRUE),exact(Metadata!V260,"Decimal degrees"))</f>
        <v>0</v>
      </c>
      <c r="BI260">
        <f>IF(Metadata!W260="",FALSE,TRUE)</f>
        <v>0</v>
      </c>
      <c r="BJ260">
        <f>OR(AND(IF(Metadata!X260="",FALSE,TRUE),OR(exact(Metadata!X260,"not collected"),exact(Metadata!X260,"not provided"),exact(Metadata!X260,"restricted access"))),AND(IF(Metadata!X260="",FALSE,TRUE),OR(exact(Metadata!X260,"TRUE"),exact(Metadata!X260,"FALSE"))))</f>
        <v>0</v>
      </c>
      <c r="BK260">
        <f>AND(IF(Metadata!Y260="",FALSE,TRUE),exact(Metadata!Y260,"other"))</f>
        <v>0</v>
      </c>
      <c r="BL260">
        <f>IF(Metadata!Z260="",FALSE,TRUE)</f>
        <v>0</v>
      </c>
      <c r="BM260">
        <f>OR(AND(IF(Metadata!AA260="",FALSE,TRUE),OR(exact(Metadata!AA260,"not collected"),exact(Metadata!AA260,"not provided"))),AND(IF(Metadata!AA260="",FALSE,IF(ISERROR(INT(Metadata!AA260)),FALSE,INT(Metadata!AA260)=Metadata!AA260)),Metadata!AA260&gt;0))</f>
        <v>0</v>
      </c>
      <c r="BN260">
        <f>AND(IF(Metadata!AB260="",FALSE,TRUE),exact(Metadata!AB260,"Not applicable"))</f>
        <v>0</v>
      </c>
      <c r="BO260">
        <f>IF(Metadata!AC260="",FALSE,TRUE)</f>
        <v>0</v>
      </c>
    </row>
    <row r="261" spans="1:67">
      <c r="A261" s="5">
        <f>IF(B261=" "," ",HYPERLINK(CONCATENATE("#metadata!",ADDRESS(INDEX($AI$2:$AI$1001,MATCH(ROWS($AG$2:AG261),$AG$2:$AG$1001,0),0),1)),INDEX($AL$2:$AL$1001,MATCH(ROWS($AG$2:AG261),$AG$2:$AG$1001,0),0)))</f>
        <v>0</v>
      </c>
      <c r="B261" s="4">
        <f>IF(OR(INDEX($AH$2:$AH$1001,MATCH(ROWS($AG$2:AG261),$AG$2:$AG$1001,0),1)&gt;=100000,INDEX($AN$1005:$BO$1005,1,MATCH(COLUMNS($AN$1006:AN1006),$AN$1006:$BO$1006,0))&gt;=100000), " ",IF(INDEX($AN$2:$BO$1001,MATCH(ROWS($AG$2:AG261),$AG$2:$AG$1001,0),MATCH(COLUMNS($AN$1006:AN1006),$AN$1006:$BO$1006,0)), HYPERLINK("#",""), HYPERLINK(CONCATENATE("#Metadata!", ADDRESS(INDEX($AI$2:$AI$1001,MATCH(ROWS($AG$2:AG261),$AG$2:$AG$1001,0),0), INDEX($AN$1004:$BO$1004,1,MATCH(COLUMNS($AN$1006:AN1006),$AN$1006:$BO$1006,0)))),"Fix")))</f>
        <v>0</v>
      </c>
      <c r="C261" s="4">
        <f>IF(OR(INDEX($AH$2:$AH$1001,MATCH(ROWS($AG$2:AG261),$AG$2:$AG$1001,0),1)&gt;=100000,INDEX($AN$1005:$BO$1005,1,MATCH(COLUMNS($AN$1006:AO1006),$AN$1006:$BO$1006,0))&gt;=100000), " ",IF(INDEX($AN$2:$BO$1001,MATCH(ROWS($AG$2:AG261),$AG$2:$AG$1001,0),MATCH(COLUMNS($AN$1006:AO1006),$AN$1006:$BO$1006,0)), HYPERLINK("#",""), HYPERLINK(CONCATENATE("#Metadata!", ADDRESS(INDEX($AI$2:$AI$1001,MATCH(ROWS($AG$2:AG261),$AG$2:$AG$1001,0),0), INDEX($AN$1004:$BO$1004,1,MATCH(COLUMNS($AN$1006:AO1006),$AN$1006:$BO$1006,0)))),"Fix")))</f>
        <v>0</v>
      </c>
      <c r="D261" s="4">
        <f>IF(OR(INDEX($AH$2:$AH$1001,MATCH(ROWS($AG$2:AG261),$AG$2:$AG$1001,0),1)&gt;=100000,INDEX($AN$1005:$BO$1005,1,MATCH(COLUMNS($AN$1006:AP1006),$AN$1006:$BO$1006,0))&gt;=100000), " ",IF(INDEX($AN$2:$BO$1001,MATCH(ROWS($AG$2:AG261),$AG$2:$AG$1001,0),MATCH(COLUMNS($AN$1006:AP1006),$AN$1006:$BO$1006,0)), HYPERLINK("#",""), HYPERLINK(CONCATENATE("#Metadata!", ADDRESS(INDEX($AI$2:$AI$1001,MATCH(ROWS($AG$2:AG261),$AG$2:$AG$1001,0),0), INDEX($AN$1004:$BO$1004,1,MATCH(COLUMNS($AN$1006:AP1006),$AN$1006:$BO$1006,0)))),"Fix")))</f>
        <v>0</v>
      </c>
      <c r="E261" s="4">
        <f>IF(OR(INDEX($AH$2:$AH$1001,MATCH(ROWS($AG$2:AG261),$AG$2:$AG$1001,0),1)&gt;=100000,INDEX($AN$1005:$BO$1005,1,MATCH(COLUMNS($AN$1006:AQ1006),$AN$1006:$BO$1006,0))&gt;=100000), " ",IF(INDEX($AN$2:$BO$1001,MATCH(ROWS($AG$2:AG261),$AG$2:$AG$1001,0),MATCH(COLUMNS($AN$1006:AQ1006),$AN$1006:$BO$1006,0)), HYPERLINK("#",""), HYPERLINK(CONCATENATE("#Metadata!", ADDRESS(INDEX($AI$2:$AI$1001,MATCH(ROWS($AG$2:AG261),$AG$2:$AG$1001,0),0), INDEX($AN$1004:$BO$1004,1,MATCH(COLUMNS($AN$1006:AQ1006),$AN$1006:$BO$1006,0)))),"Fix")))</f>
        <v>0</v>
      </c>
      <c r="F261" s="4">
        <f>IF(OR(INDEX($AH$2:$AH$1001,MATCH(ROWS($AG$2:AG261),$AG$2:$AG$1001,0),1)&gt;=100000,INDEX($AN$1005:$BO$1005,1,MATCH(COLUMNS($AN$1006:AR1006),$AN$1006:$BO$1006,0))&gt;=100000), " ",IF(INDEX($AN$2:$BO$1001,MATCH(ROWS($AG$2:AG261),$AG$2:$AG$1001,0),MATCH(COLUMNS($AN$1006:AR1006),$AN$1006:$BO$1006,0)), HYPERLINK("#",""), HYPERLINK(CONCATENATE("#Metadata!", ADDRESS(INDEX($AI$2:$AI$1001,MATCH(ROWS($AG$2:AG261),$AG$2:$AG$1001,0),0), INDEX($AN$1004:$BO$1004,1,MATCH(COLUMNS($AN$1006:AR1006),$AN$1006:$BO$1006,0)))),"Fix")))</f>
        <v>0</v>
      </c>
      <c r="G261" s="4">
        <f>IF(OR(INDEX($AH$2:$AH$1001,MATCH(ROWS($AG$2:AG261),$AG$2:$AG$1001,0),1)&gt;=100000,INDEX($AN$1005:$BO$1005,1,MATCH(COLUMNS($AN$1006:AS1006),$AN$1006:$BO$1006,0))&gt;=100000), " ",IF(INDEX($AN$2:$BO$1001,MATCH(ROWS($AG$2:AG261),$AG$2:$AG$1001,0),MATCH(COLUMNS($AN$1006:AS1006),$AN$1006:$BO$1006,0)), HYPERLINK("#",""), HYPERLINK(CONCATENATE("#Metadata!", ADDRESS(INDEX($AI$2:$AI$1001,MATCH(ROWS($AG$2:AG261),$AG$2:$AG$1001,0),0), INDEX($AN$1004:$BO$1004,1,MATCH(COLUMNS($AN$1006:AS1006),$AN$1006:$BO$1006,0)))),"Fix")))</f>
        <v>0</v>
      </c>
      <c r="H261" s="4">
        <f>IF(OR(INDEX($AH$2:$AH$1001,MATCH(ROWS($AG$2:AG261),$AG$2:$AG$1001,0),1)&gt;=100000,INDEX($AN$1005:$BO$1005,1,MATCH(COLUMNS($AN$1006:AT1006),$AN$1006:$BO$1006,0))&gt;=100000), " ",IF(INDEX($AN$2:$BO$1001,MATCH(ROWS($AG$2:AG261),$AG$2:$AG$1001,0),MATCH(COLUMNS($AN$1006:AT1006),$AN$1006:$BO$1006,0)), HYPERLINK("#",""), HYPERLINK(CONCATENATE("#Metadata!", ADDRESS(INDEX($AI$2:$AI$1001,MATCH(ROWS($AG$2:AG261),$AG$2:$AG$1001,0),0), INDEX($AN$1004:$BO$1004,1,MATCH(COLUMNS($AN$1006:AT1006),$AN$1006:$BO$1006,0)))),"Fix")))</f>
        <v>0</v>
      </c>
      <c r="I261" s="4">
        <f>IF(OR(INDEX($AH$2:$AH$1001,MATCH(ROWS($AG$2:AG261),$AG$2:$AG$1001,0),1)&gt;=100000,INDEX($AN$1005:$BO$1005,1,MATCH(COLUMNS($AN$1006:AU1006),$AN$1006:$BO$1006,0))&gt;=100000), " ",IF(INDEX($AN$2:$BO$1001,MATCH(ROWS($AG$2:AG261),$AG$2:$AG$1001,0),MATCH(COLUMNS($AN$1006:AU1006),$AN$1006:$BO$1006,0)), HYPERLINK("#",""), HYPERLINK(CONCATENATE("#Metadata!", ADDRESS(INDEX($AI$2:$AI$1001,MATCH(ROWS($AG$2:AG261),$AG$2:$AG$1001,0),0), INDEX($AN$1004:$BO$1004,1,MATCH(COLUMNS($AN$1006:AU1006),$AN$1006:$BO$1006,0)))),"Fix")))</f>
        <v>0</v>
      </c>
      <c r="J261" s="4">
        <f>IF(OR(INDEX($AH$2:$AH$1001,MATCH(ROWS($AG$2:AG261),$AG$2:$AG$1001,0),1)&gt;=100000,INDEX($AN$1005:$BO$1005,1,MATCH(COLUMNS($AN$1006:AV1006),$AN$1006:$BO$1006,0))&gt;=100000), " ",IF(INDEX($AN$2:$BO$1001,MATCH(ROWS($AG$2:AG261),$AG$2:$AG$1001,0),MATCH(COLUMNS($AN$1006:AV1006),$AN$1006:$BO$1006,0)), HYPERLINK("#",""), HYPERLINK(CONCATENATE("#Metadata!", ADDRESS(INDEX($AI$2:$AI$1001,MATCH(ROWS($AG$2:AG261),$AG$2:$AG$1001,0),0), INDEX($AN$1004:$BO$1004,1,MATCH(COLUMNS($AN$1006:AV1006),$AN$1006:$BO$1006,0)))),"Fix")))</f>
        <v>0</v>
      </c>
      <c r="K261" s="4">
        <f>IF(OR(INDEX($AH$2:$AH$1001,MATCH(ROWS($AG$2:AG261),$AG$2:$AG$1001,0),1)&gt;=100000,INDEX($AN$1005:$BO$1005,1,MATCH(COLUMNS($AN$1006:AW1006),$AN$1006:$BO$1006,0))&gt;=100000), " ",IF(INDEX($AN$2:$BO$1001,MATCH(ROWS($AG$2:AG261),$AG$2:$AG$1001,0),MATCH(COLUMNS($AN$1006:AW1006),$AN$1006:$BO$1006,0)), HYPERLINK("#",""), HYPERLINK(CONCATENATE("#Metadata!", ADDRESS(INDEX($AI$2:$AI$1001,MATCH(ROWS($AG$2:AG261),$AG$2:$AG$1001,0),0), INDEX($AN$1004:$BO$1004,1,MATCH(COLUMNS($AN$1006:AW1006),$AN$1006:$BO$1006,0)))),"Fix")))</f>
        <v>0</v>
      </c>
      <c r="L261" s="4">
        <f>IF(OR(INDEX($AH$2:$AH$1001,MATCH(ROWS($AG$2:AG261),$AG$2:$AG$1001,0),1)&gt;=100000,INDEX($AN$1005:$BO$1005,1,MATCH(COLUMNS($AN$1006:AX1006),$AN$1006:$BO$1006,0))&gt;=100000), " ",IF(INDEX($AN$2:$BO$1001,MATCH(ROWS($AG$2:AG261),$AG$2:$AG$1001,0),MATCH(COLUMNS($AN$1006:AX1006),$AN$1006:$BO$1006,0)), HYPERLINK("#",""), HYPERLINK(CONCATENATE("#Metadata!", ADDRESS(INDEX($AI$2:$AI$1001,MATCH(ROWS($AG$2:AG261),$AG$2:$AG$1001,0),0), INDEX($AN$1004:$BO$1004,1,MATCH(COLUMNS($AN$1006:AX1006),$AN$1006:$BO$1006,0)))),"Fix")))</f>
        <v>0</v>
      </c>
      <c r="M261" s="4">
        <f>IF(OR(INDEX($AH$2:$AH$1001,MATCH(ROWS($AG$2:AG261),$AG$2:$AG$1001,0),1)&gt;=100000,INDEX($AN$1005:$BO$1005,1,MATCH(COLUMNS($AN$1006:AY1006),$AN$1006:$BO$1006,0))&gt;=100000), " ",IF(INDEX($AN$2:$BO$1001,MATCH(ROWS($AG$2:AG261),$AG$2:$AG$1001,0),MATCH(COLUMNS($AN$1006:AY1006),$AN$1006:$BO$1006,0)), HYPERLINK("#",""), HYPERLINK(CONCATENATE("#Metadata!", ADDRESS(INDEX($AI$2:$AI$1001,MATCH(ROWS($AG$2:AG261),$AG$2:$AG$1001,0),0), INDEX($AN$1004:$BO$1004,1,MATCH(COLUMNS($AN$1006:AY1006),$AN$1006:$BO$1006,0)))),"Fix")))</f>
        <v>0</v>
      </c>
      <c r="N261" s="4">
        <f>IF(OR(INDEX($AH$2:$AH$1001,MATCH(ROWS($AG$2:AG261),$AG$2:$AG$1001,0),1)&gt;=100000,INDEX($AN$1005:$BO$1005,1,MATCH(COLUMNS($AN$1006:AZ1006),$AN$1006:$BO$1006,0))&gt;=100000), " ",IF(INDEX($AN$2:$BO$1001,MATCH(ROWS($AG$2:AG261),$AG$2:$AG$1001,0),MATCH(COLUMNS($AN$1006:AZ1006),$AN$1006:$BO$1006,0)), HYPERLINK("#",""), HYPERLINK(CONCATENATE("#Metadata!", ADDRESS(INDEX($AI$2:$AI$1001,MATCH(ROWS($AG$2:AG261),$AG$2:$AG$1001,0),0), INDEX($AN$1004:$BO$1004,1,MATCH(COLUMNS($AN$1006:AZ1006),$AN$1006:$BO$1006,0)))),"Fix")))</f>
        <v>0</v>
      </c>
      <c r="O261" s="4">
        <f>IF(OR(INDEX($AH$2:$AH$1001,MATCH(ROWS($AG$2:AG261),$AG$2:$AG$1001,0),1)&gt;=100000,INDEX($AN$1005:$BO$1005,1,MATCH(COLUMNS($AN$1006:BA1006),$AN$1006:$BO$1006,0))&gt;=100000), " ",IF(INDEX($AN$2:$BO$1001,MATCH(ROWS($AG$2:AG261),$AG$2:$AG$1001,0),MATCH(COLUMNS($AN$1006:BA1006),$AN$1006:$BO$1006,0)), HYPERLINK("#",""), HYPERLINK(CONCATENATE("#Metadata!", ADDRESS(INDEX($AI$2:$AI$1001,MATCH(ROWS($AG$2:AG261),$AG$2:$AG$1001,0),0), INDEX($AN$1004:$BO$1004,1,MATCH(COLUMNS($AN$1006:BA1006),$AN$1006:$BO$1006,0)))),"Fix")))</f>
        <v>0</v>
      </c>
      <c r="P261" s="4">
        <f>IF(OR(INDEX($AH$2:$AH$1001,MATCH(ROWS($AG$2:AG261),$AG$2:$AG$1001,0),1)&gt;=100000,INDEX($AN$1005:$BO$1005,1,MATCH(COLUMNS($AN$1006:BB1006),$AN$1006:$BO$1006,0))&gt;=100000), " ",IF(INDEX($AN$2:$BO$1001,MATCH(ROWS($AG$2:AG261),$AG$2:$AG$1001,0),MATCH(COLUMNS($AN$1006:BB1006),$AN$1006:$BO$1006,0)), HYPERLINK("#",""), HYPERLINK(CONCATENATE("#Metadata!", ADDRESS(INDEX($AI$2:$AI$1001,MATCH(ROWS($AG$2:AG261),$AG$2:$AG$1001,0),0), INDEX($AN$1004:$BO$1004,1,MATCH(COLUMNS($AN$1006:BB1006),$AN$1006:$BO$1006,0)))),"Fix")))</f>
        <v>0</v>
      </c>
      <c r="Q261" s="4">
        <f>IF(OR(INDEX($AH$2:$AH$1001,MATCH(ROWS($AG$2:AG261),$AG$2:$AG$1001,0),1)&gt;=100000,INDEX($AN$1005:$BO$1005,1,MATCH(COLUMNS($AN$1006:BC1006),$AN$1006:$BO$1006,0))&gt;=100000), " ",IF(INDEX($AN$2:$BO$1001,MATCH(ROWS($AG$2:AG261),$AG$2:$AG$1001,0),MATCH(COLUMNS($AN$1006:BC1006),$AN$1006:$BO$1006,0)), HYPERLINK("#",""), HYPERLINK(CONCATENATE("#Metadata!", ADDRESS(INDEX($AI$2:$AI$1001,MATCH(ROWS($AG$2:AG261),$AG$2:$AG$1001,0),0), INDEX($AN$1004:$BO$1004,1,MATCH(COLUMNS($AN$1006:BC1006),$AN$1006:$BO$1006,0)))),"Fix")))</f>
        <v>0</v>
      </c>
      <c r="R261" s="4">
        <f>IF(OR(INDEX($AH$2:$AH$1001,MATCH(ROWS($AG$2:AG261),$AG$2:$AG$1001,0),1)&gt;=100000,INDEX($AN$1005:$BO$1005,1,MATCH(COLUMNS($AN$1006:BD1006),$AN$1006:$BO$1006,0))&gt;=100000), " ",IF(INDEX($AN$2:$BO$1001,MATCH(ROWS($AG$2:AG261),$AG$2:$AG$1001,0),MATCH(COLUMNS($AN$1006:BD1006),$AN$1006:$BO$1006,0)), HYPERLINK("#",""), HYPERLINK(CONCATENATE("#Metadata!", ADDRESS(INDEX($AI$2:$AI$1001,MATCH(ROWS($AG$2:AG261),$AG$2:$AG$1001,0),0), INDEX($AN$1004:$BO$1004,1,MATCH(COLUMNS($AN$1006:BD1006),$AN$1006:$BO$1006,0)))),"Fix")))</f>
        <v>0</v>
      </c>
      <c r="S261" s="4">
        <f>IF(OR(INDEX($AH$2:$AH$1001,MATCH(ROWS($AG$2:AG261),$AG$2:$AG$1001,0),1)&gt;=100000,INDEX($AN$1005:$BO$1005,1,MATCH(COLUMNS($AN$1006:BE1006),$AN$1006:$BO$1006,0))&gt;=100000), " ",IF(INDEX($AN$2:$BO$1001,MATCH(ROWS($AG$2:AG261),$AG$2:$AG$1001,0),MATCH(COLUMNS($AN$1006:BE1006),$AN$1006:$BO$1006,0)), HYPERLINK("#",""), HYPERLINK(CONCATENATE("#Metadata!", ADDRESS(INDEX($AI$2:$AI$1001,MATCH(ROWS($AG$2:AG261),$AG$2:$AG$1001,0),0), INDEX($AN$1004:$BO$1004,1,MATCH(COLUMNS($AN$1006:BE1006),$AN$1006:$BO$1006,0)))),"Fix")))</f>
        <v>0</v>
      </c>
      <c r="T261" s="4">
        <f>IF(OR(INDEX($AH$2:$AH$1001,MATCH(ROWS($AG$2:AG261),$AG$2:$AG$1001,0),1)&gt;=100000,INDEX($AN$1005:$BO$1005,1,MATCH(COLUMNS($AN$1006:BF1006),$AN$1006:$BO$1006,0))&gt;=100000), " ",IF(INDEX($AN$2:$BO$1001,MATCH(ROWS($AG$2:AG261),$AG$2:$AG$1001,0),MATCH(COLUMNS($AN$1006:BF1006),$AN$1006:$BO$1006,0)), HYPERLINK("#",""), HYPERLINK(CONCATENATE("#Metadata!", ADDRESS(INDEX($AI$2:$AI$1001,MATCH(ROWS($AG$2:AG261),$AG$2:$AG$1001,0),0), INDEX($AN$1004:$BO$1004,1,MATCH(COLUMNS($AN$1006:BF1006),$AN$1006:$BO$1006,0)))),"Fix")))</f>
        <v>0</v>
      </c>
      <c r="U261" s="4">
        <f>IF(OR(INDEX($AH$2:$AH$1001,MATCH(ROWS($AG$2:AG261),$AG$2:$AG$1001,0),1)&gt;=100000,INDEX($AN$1005:$BO$1005,1,MATCH(COLUMNS($AN$1006:BG1006),$AN$1006:$BO$1006,0))&gt;=100000), " ",IF(INDEX($AN$2:$BO$1001,MATCH(ROWS($AG$2:AG261),$AG$2:$AG$1001,0),MATCH(COLUMNS($AN$1006:BG1006),$AN$1006:$BO$1006,0)), HYPERLINK("#",""), HYPERLINK(CONCATENATE("#Metadata!", ADDRESS(INDEX($AI$2:$AI$1001,MATCH(ROWS($AG$2:AG261),$AG$2:$AG$1001,0),0), INDEX($AN$1004:$BO$1004,1,MATCH(COLUMNS($AN$1006:BG1006),$AN$1006:$BO$1006,0)))),"Fix")))</f>
        <v>0</v>
      </c>
      <c r="V261" s="4">
        <f>IF(OR(INDEX($AH$2:$AH$1001,MATCH(ROWS($AG$2:AG261),$AG$2:$AG$1001,0),1)&gt;=100000,INDEX($AN$1005:$BO$1005,1,MATCH(COLUMNS($AN$1006:BH1006),$AN$1006:$BO$1006,0))&gt;=100000), " ",IF(INDEX($AN$2:$BO$1001,MATCH(ROWS($AG$2:AG261),$AG$2:$AG$1001,0),MATCH(COLUMNS($AN$1006:BH1006),$AN$1006:$BO$1006,0)), HYPERLINK("#",""), HYPERLINK(CONCATENATE("#Metadata!", ADDRESS(INDEX($AI$2:$AI$1001,MATCH(ROWS($AG$2:AG261),$AG$2:$AG$1001,0),0), INDEX($AN$1004:$BO$1004,1,MATCH(COLUMNS($AN$1006:BH1006),$AN$1006:$BO$1006,0)))),"Fix")))</f>
        <v>0</v>
      </c>
      <c r="W261" s="4">
        <f>IF(OR(INDEX($AH$2:$AH$1001,MATCH(ROWS($AG$2:AG261),$AG$2:$AG$1001,0),1)&gt;=100000,INDEX($AN$1005:$BO$1005,1,MATCH(COLUMNS($AN$1006:BI1006),$AN$1006:$BO$1006,0))&gt;=100000), " ",IF(INDEX($AN$2:$BO$1001,MATCH(ROWS($AG$2:AG261),$AG$2:$AG$1001,0),MATCH(COLUMNS($AN$1006:BI1006),$AN$1006:$BO$1006,0)), HYPERLINK("#",""), HYPERLINK(CONCATENATE("#Metadata!", ADDRESS(INDEX($AI$2:$AI$1001,MATCH(ROWS($AG$2:AG261),$AG$2:$AG$1001,0),0), INDEX($AN$1004:$BO$1004,1,MATCH(COLUMNS($AN$1006:BI1006),$AN$1006:$BO$1006,0)))),"Fix")))</f>
        <v>0</v>
      </c>
      <c r="X261" s="4">
        <f>IF(OR(INDEX($AH$2:$AH$1001,MATCH(ROWS($AG$2:AG261),$AG$2:$AG$1001,0),1)&gt;=100000,INDEX($AN$1005:$BO$1005,1,MATCH(COLUMNS($AN$1006:BJ1006),$AN$1006:$BO$1006,0))&gt;=100000), " ",IF(INDEX($AN$2:$BO$1001,MATCH(ROWS($AG$2:AG261),$AG$2:$AG$1001,0),MATCH(COLUMNS($AN$1006:BJ1006),$AN$1006:$BO$1006,0)), HYPERLINK("#",""), HYPERLINK(CONCATENATE("#Metadata!", ADDRESS(INDEX($AI$2:$AI$1001,MATCH(ROWS($AG$2:AG261),$AG$2:$AG$1001,0),0), INDEX($AN$1004:$BO$1004,1,MATCH(COLUMNS($AN$1006:BJ1006),$AN$1006:$BO$1006,0)))),"Fix")))</f>
        <v>0</v>
      </c>
      <c r="Y261" s="4">
        <f>IF(OR(INDEX($AH$2:$AH$1001,MATCH(ROWS($AG$2:AG261),$AG$2:$AG$1001,0),1)&gt;=100000,INDEX($AN$1005:$BO$1005,1,MATCH(COLUMNS($AN$1006:BK1006),$AN$1006:$BO$1006,0))&gt;=100000), " ",IF(INDEX($AN$2:$BO$1001,MATCH(ROWS($AG$2:AG261),$AG$2:$AG$1001,0),MATCH(COLUMNS($AN$1006:BK1006),$AN$1006:$BO$1006,0)), HYPERLINK("#",""), HYPERLINK(CONCATENATE("#Metadata!", ADDRESS(INDEX($AI$2:$AI$1001,MATCH(ROWS($AG$2:AG261),$AG$2:$AG$1001,0),0), INDEX($AN$1004:$BO$1004,1,MATCH(COLUMNS($AN$1006:BK1006),$AN$1006:$BO$1006,0)))),"Fix")))</f>
        <v>0</v>
      </c>
      <c r="Z261" s="4">
        <f>IF(OR(INDEX($AH$2:$AH$1001,MATCH(ROWS($AG$2:AG261),$AG$2:$AG$1001,0),1)&gt;=100000,INDEX($AN$1005:$BO$1005,1,MATCH(COLUMNS($AN$1006:BL1006),$AN$1006:$BO$1006,0))&gt;=100000), " ",IF(INDEX($AN$2:$BO$1001,MATCH(ROWS($AG$2:AG261),$AG$2:$AG$1001,0),MATCH(COLUMNS($AN$1006:BL1006),$AN$1006:$BO$1006,0)), HYPERLINK("#",""), HYPERLINK(CONCATENATE("#Metadata!", ADDRESS(INDEX($AI$2:$AI$1001,MATCH(ROWS($AG$2:AG261),$AG$2:$AG$1001,0),0), INDEX($AN$1004:$BO$1004,1,MATCH(COLUMNS($AN$1006:BL1006),$AN$1006:$BO$1006,0)))),"Fix")))</f>
        <v>0</v>
      </c>
      <c r="AA261" s="4">
        <f>IF(OR(INDEX($AH$2:$AH$1001,MATCH(ROWS($AG$2:AG261),$AG$2:$AG$1001,0),1)&gt;=100000,INDEX($AN$1005:$BO$1005,1,MATCH(COLUMNS($AN$1006:BM1006),$AN$1006:$BO$1006,0))&gt;=100000), " ",IF(INDEX($AN$2:$BO$1001,MATCH(ROWS($AG$2:AG261),$AG$2:$AG$1001,0),MATCH(COLUMNS($AN$1006:BM1006),$AN$1006:$BO$1006,0)), HYPERLINK("#",""), HYPERLINK(CONCATENATE("#Metadata!", ADDRESS(INDEX($AI$2:$AI$1001,MATCH(ROWS($AG$2:AG261),$AG$2:$AG$1001,0),0), INDEX($AN$1004:$BO$1004,1,MATCH(COLUMNS($AN$1006:BM1006),$AN$1006:$BO$1006,0)))),"Fix")))</f>
        <v>0</v>
      </c>
      <c r="AB261" s="4">
        <f>IF(OR(INDEX($AH$2:$AH$1001,MATCH(ROWS($AG$2:AG261),$AG$2:$AG$1001,0),1)&gt;=100000,INDEX($AN$1005:$BO$1005,1,MATCH(COLUMNS($AN$1006:BN1006),$AN$1006:$BO$1006,0))&gt;=100000), " ",IF(INDEX($AN$2:$BO$1001,MATCH(ROWS($AG$2:AG261),$AG$2:$AG$1001,0),MATCH(COLUMNS($AN$1006:BN1006),$AN$1006:$BO$1006,0)), HYPERLINK("#",""), HYPERLINK(CONCATENATE("#Metadata!", ADDRESS(INDEX($AI$2:$AI$1001,MATCH(ROWS($AG$2:AG261),$AG$2:$AG$1001,0),0), INDEX($AN$1004:$BO$1004,1,MATCH(COLUMNS($AN$1006:BN1006),$AN$1006:$BO$1006,0)))),"Fix")))</f>
        <v>0</v>
      </c>
      <c r="AC261" s="4">
        <f>IF(OR(INDEX($AH$2:$AH$1001,MATCH(ROWS($AG$2:AG261),$AG$2:$AG$1001,0),1)&gt;=100000,INDEX($AN$1005:$BO$1005,1,MATCH(COLUMNS($AN$1006:BO1006),$AN$1006:$BO$1006,0))&gt;=100000), " ",IF(INDEX($AN$2:$BO$1001,MATCH(ROWS($AG$2:AG261),$AG$2:$AG$1001,0),MATCH(COLUMNS($AN$1006:BO1006),$AN$1006:$BO$1006,0)), HYPERLINK("#",""), HYPERLINK(CONCATENATE("#Metadata!", ADDRESS(INDEX($AI$2:$AI$1001,MATCH(ROWS($AG$2:AG261),$AG$2:$AG$1001,0),0), INDEX($AN$1004:$BO$1004,1,MATCH(COLUMNS($AN$1006:BO1006),$AN$1006:$BO$1006,0)))),"Fix")))</f>
        <v>0</v>
      </c>
      <c r="AG261">
        <v>0</v>
      </c>
      <c r="AH261">
        <v>0</v>
      </c>
      <c r="AI261">
        <v>0</v>
      </c>
      <c r="AJ261">
        <f>IF(AK261,TRUE,AND(AN261:BO261))</f>
        <v>0</v>
      </c>
      <c r="AK261">
        <f>COUNTBLANK(Metadata!B261:AC261)=COLUMNS(Metadata!B261:AC261)</f>
        <v>0</v>
      </c>
      <c r="AL261">
        <v>0</v>
      </c>
      <c r="AN261">
        <f>AND(IF(Metadata!B261="",FALSE,TRUE),COUNTIF(Metadata!B:B, Metadata!B261) = 1,NOT(ISERROR(SUMPRODUCT(SEARCH(MID(Metadata!B261,ROW(INDIRECT("1:"&amp;LEN(Metadata!B261))), 1),"0123456789abcdefghijklmnopqrstuvwxyzABCDEFGHIJKLMNOPQRSTUVWXYZ.")))))</f>
        <v>0</v>
      </c>
      <c r="AO261">
        <f>IF(Metadata!C261="",FALSE,TRUE)</f>
        <v>0</v>
      </c>
      <c r="AP261">
        <f>IF(Metadata!D261="",FALSE,TRUE)</f>
        <v>0</v>
      </c>
      <c r="AQ261">
        <f>OR(AND(IF(Metadata!E261="",FALSE,TRUE),OR(exact(Metadata!E261,"not collected"),exact(Metadata!E261,"not provided"),exact(Metadata!E261,"restricted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R261">
        <f>IF(Metadata!F261="",FALSE,TRUE)</f>
        <v>0</v>
      </c>
      <c r="AS261">
        <f>OR(AND(IF(Metadata!G261="",FALSE,TRUE),OR(exact(Metadata!G261,"not collected"),exact(Metadata!G261,"not provided"))),AND(IF(Metadata!G261="",FALSE,TRUE),OR(exact(Metadata!G261,"TRUE"),exact(Metadata!G261,"FALSE"))))</f>
        <v>0</v>
      </c>
      <c r="AT261">
        <f>OR(AND(IF(Metadata!H261="",FALSE,TRUE),OR(exact(Metadata!H261,"not collected"),exact(Metadata!H261,"not provided"),exact(Metadata!H261,"restricted access"))),AND(IF(Metadata!H261="",FALSE,ISNUMBER(VALUE(Metadata!H261))),Metadata!H261&gt;=-413.0))</f>
        <v>0</v>
      </c>
      <c r="AU261">
        <f>AND(IF(Metadata!I261="",FALSE,TRUE),exact(Metadata!I261,"meters"))</f>
        <v>0</v>
      </c>
      <c r="AV261">
        <f>AND(IF(Metadata!J261="",FALSE,TRUE),OR(exact(Metadata!J261,"Host-associated"),exact(Metadata!J261,"Free-living")))</f>
        <v>0</v>
      </c>
      <c r="AW261">
        <f>AND(IF(Metadata!K261="",FALSE,TRUE),OR(exact(Metadata!K261,"Animal"),exact(Metadata!K261,"Fungus"),exact(Metadata!K261,"Plant"),exact(Metadata!K261,"Saline"),exact(Metadata!K261,"Non-saline")))</f>
        <v>0</v>
      </c>
      <c r="AX261">
        <f>AND(IF(Metadata!L261="",FALSE,TRUE),OR(exact(Metadata!L261,"Plant secretion"),exact(Metadata!L261,"Plant rhizosphere"),exact(Metadata!L261,"Plant surface"),exact(Metadata!L261,"Plant corpus"),exact(Metadata!L261,"Fungus surface"),exact(Metadata!L261,"Fungus corpus"),exact(Metadata!L261,"Animal surface"),exact(Metadata!L261,"Animal proximal gut"),exact(Metadata!L261,"Animal corpus"),exact(Metadata!L261,"Animal distal gut"),exact(Metadata!L261,"Animal secretion"),exact(Metadata!L261,"Sub-surface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Y261">
        <f>IF(Metadata!M261="",FALSE,TRUE)</f>
        <v>0</v>
      </c>
      <c r="AZ261">
        <f>IF(Metadata!N261="",FALSE,TRUE)</f>
        <v>0</v>
      </c>
      <c r="BA261">
        <f>IF(Metadata!O261="",FALSE,TRUE)</f>
        <v>0</v>
      </c>
      <c r="BB261">
        <f>OR(AND(IF(Metadata!P261="",FALSE,TRUE),OR(exact(Metadata!P261,"not collected"),exact(Metadata!P261,"not provided"),exact(Metadata!P261,"restricted access"))),AND(IF(Metadata!P261="",FALSE,TRUE),OR(exact(Metadata!P261,"air"),exact(Metadata!P261,"built environment"),exact(Metadata!P261,"host-associated"),exact(Metadata!P261,"human-associated"),exact(Metadata!P261,"human-skin"),exact(Metadata!P261,"human-oral"),exact(Metadata!P261,"human-gut"),exact(Metadata!P261,"human-vaginal"),exact(Metadata!P261,"microbial mat/biofilm"),exact(Metadata!P261,"misc environment"),exact(Metadata!P261,"plant-associated"),exact(Metadata!P261,"sediment"),exact(Metadata!P261,"soil"),exact(Metadata!P261,"wastewater/sludge"),exact(Metadata!P261,"water"))))</f>
        <v>0</v>
      </c>
      <c r="BC261">
        <f>IF(Metadata!Q261="",FALSE,TRUE)</f>
        <v>0</v>
      </c>
      <c r="BD261">
        <f>IF(Metadata!R261="",FALSE,TRUE)</f>
        <v>0</v>
      </c>
      <c r="BE261">
        <f>OR(AND(IF(Metadata!S261="",FALSE,TRUE),OR(exact(Metadata!S261,"not collected"),exact(Metadata!S261,"not provided"),exact(Metadata!S261,"restricted access"))),AND(IF(Metadata!S261="",FALSE,ISNUMBER(VALUE(Metadata!S261))),Metadata!S261&gt;=-90.00,Metadata!S261&lt;=90.00))</f>
        <v>0</v>
      </c>
      <c r="BF261">
        <f>AND(IF(Metadata!T261="",FALSE,TRUE),exact(Metadata!T261,"Decimal degrees"))</f>
        <v>0</v>
      </c>
      <c r="BG261">
        <f>OR(AND(IF(Metadata!U261="",FALSE,TRUE),OR(exact(Metadata!U261,"not collected"),exact(Metadata!U261,"not provided"),exact(Metadata!U261,"restricted access"))),AND(IF(Metadata!U261="",FALSE,ISNUMBER(VALUE(Metadata!U261))),Metadata!U261&gt;=-180.00,Metadata!U261&lt;=180.00))</f>
        <v>0</v>
      </c>
      <c r="BH261">
        <f>AND(IF(Metadata!V261="",FALSE,TRUE),exact(Metadata!V261,"Decimal degrees"))</f>
        <v>0</v>
      </c>
      <c r="BI261">
        <f>IF(Metadata!W261="",FALSE,TRUE)</f>
        <v>0</v>
      </c>
      <c r="BJ261">
        <f>OR(AND(IF(Metadata!X261="",FALSE,TRUE),OR(exact(Metadata!X261,"not collected"),exact(Metadata!X261,"not provided"),exact(Metadata!X261,"restricted access"))),AND(IF(Metadata!X261="",FALSE,TRUE),OR(exact(Metadata!X261,"TRUE"),exact(Metadata!X261,"FALSE"))))</f>
        <v>0</v>
      </c>
      <c r="BK261">
        <f>AND(IF(Metadata!Y261="",FALSE,TRUE),exact(Metadata!Y261,"other"))</f>
        <v>0</v>
      </c>
      <c r="BL261">
        <f>IF(Metadata!Z261="",FALSE,TRUE)</f>
        <v>0</v>
      </c>
      <c r="BM261">
        <f>OR(AND(IF(Metadata!AA261="",FALSE,TRUE),OR(exact(Metadata!AA261,"not collected"),exact(Metadata!AA261,"not provided"))),AND(IF(Metadata!AA261="",FALSE,IF(ISERROR(INT(Metadata!AA261)),FALSE,INT(Metadata!AA261)=Metadata!AA261)),Metadata!AA261&gt;0))</f>
        <v>0</v>
      </c>
      <c r="BN261">
        <f>AND(IF(Metadata!AB261="",FALSE,TRUE),exact(Metadata!AB261,"Not applicable"))</f>
        <v>0</v>
      </c>
      <c r="BO261">
        <f>IF(Metadata!AC261="",FALSE,TRUE)</f>
        <v>0</v>
      </c>
    </row>
    <row r="262" spans="1:67">
      <c r="A262" s="5">
        <f>IF(B262=" "," ",HYPERLINK(CONCATENATE("#metadata!",ADDRESS(INDEX($AI$2:$AI$1001,MATCH(ROWS($AG$2:AG262),$AG$2:$AG$1001,0),0),1)),INDEX($AL$2:$AL$1001,MATCH(ROWS($AG$2:AG262),$AG$2:$AG$1001,0),0)))</f>
        <v>0</v>
      </c>
      <c r="B262" s="4">
        <f>IF(OR(INDEX($AH$2:$AH$1001,MATCH(ROWS($AG$2:AG262),$AG$2:$AG$1001,0),1)&gt;=100000,INDEX($AN$1005:$BO$1005,1,MATCH(COLUMNS($AN$1006:AN1006),$AN$1006:$BO$1006,0))&gt;=100000), " ",IF(INDEX($AN$2:$BO$1001,MATCH(ROWS($AG$2:AG262),$AG$2:$AG$1001,0),MATCH(COLUMNS($AN$1006:AN1006),$AN$1006:$BO$1006,0)), HYPERLINK("#",""), HYPERLINK(CONCATENATE("#Metadata!", ADDRESS(INDEX($AI$2:$AI$1001,MATCH(ROWS($AG$2:AG262),$AG$2:$AG$1001,0),0), INDEX($AN$1004:$BO$1004,1,MATCH(COLUMNS($AN$1006:AN1006),$AN$1006:$BO$1006,0)))),"Fix")))</f>
        <v>0</v>
      </c>
      <c r="C262" s="4">
        <f>IF(OR(INDEX($AH$2:$AH$1001,MATCH(ROWS($AG$2:AG262),$AG$2:$AG$1001,0),1)&gt;=100000,INDEX($AN$1005:$BO$1005,1,MATCH(COLUMNS($AN$1006:AO1006),$AN$1006:$BO$1006,0))&gt;=100000), " ",IF(INDEX($AN$2:$BO$1001,MATCH(ROWS($AG$2:AG262),$AG$2:$AG$1001,0),MATCH(COLUMNS($AN$1006:AO1006),$AN$1006:$BO$1006,0)), HYPERLINK("#",""), HYPERLINK(CONCATENATE("#Metadata!", ADDRESS(INDEX($AI$2:$AI$1001,MATCH(ROWS($AG$2:AG262),$AG$2:$AG$1001,0),0), INDEX($AN$1004:$BO$1004,1,MATCH(COLUMNS($AN$1006:AO1006),$AN$1006:$BO$1006,0)))),"Fix")))</f>
        <v>0</v>
      </c>
      <c r="D262" s="4">
        <f>IF(OR(INDEX($AH$2:$AH$1001,MATCH(ROWS($AG$2:AG262),$AG$2:$AG$1001,0),1)&gt;=100000,INDEX($AN$1005:$BO$1005,1,MATCH(COLUMNS($AN$1006:AP1006),$AN$1006:$BO$1006,0))&gt;=100000), " ",IF(INDEX($AN$2:$BO$1001,MATCH(ROWS($AG$2:AG262),$AG$2:$AG$1001,0),MATCH(COLUMNS($AN$1006:AP1006),$AN$1006:$BO$1006,0)), HYPERLINK("#",""), HYPERLINK(CONCATENATE("#Metadata!", ADDRESS(INDEX($AI$2:$AI$1001,MATCH(ROWS($AG$2:AG262),$AG$2:$AG$1001,0),0), INDEX($AN$1004:$BO$1004,1,MATCH(COLUMNS($AN$1006:AP1006),$AN$1006:$BO$1006,0)))),"Fix")))</f>
        <v>0</v>
      </c>
      <c r="E262" s="4">
        <f>IF(OR(INDEX($AH$2:$AH$1001,MATCH(ROWS($AG$2:AG262),$AG$2:$AG$1001,0),1)&gt;=100000,INDEX($AN$1005:$BO$1005,1,MATCH(COLUMNS($AN$1006:AQ1006),$AN$1006:$BO$1006,0))&gt;=100000), " ",IF(INDEX($AN$2:$BO$1001,MATCH(ROWS($AG$2:AG262),$AG$2:$AG$1001,0),MATCH(COLUMNS($AN$1006:AQ1006),$AN$1006:$BO$1006,0)), HYPERLINK("#",""), HYPERLINK(CONCATENATE("#Metadata!", ADDRESS(INDEX($AI$2:$AI$1001,MATCH(ROWS($AG$2:AG262),$AG$2:$AG$1001,0),0), INDEX($AN$1004:$BO$1004,1,MATCH(COLUMNS($AN$1006:AQ1006),$AN$1006:$BO$1006,0)))),"Fix")))</f>
        <v>0</v>
      </c>
      <c r="F262" s="4">
        <f>IF(OR(INDEX($AH$2:$AH$1001,MATCH(ROWS($AG$2:AG262),$AG$2:$AG$1001,0),1)&gt;=100000,INDEX($AN$1005:$BO$1005,1,MATCH(COLUMNS($AN$1006:AR1006),$AN$1006:$BO$1006,0))&gt;=100000), " ",IF(INDEX($AN$2:$BO$1001,MATCH(ROWS($AG$2:AG262),$AG$2:$AG$1001,0),MATCH(COLUMNS($AN$1006:AR1006),$AN$1006:$BO$1006,0)), HYPERLINK("#",""), HYPERLINK(CONCATENATE("#Metadata!", ADDRESS(INDEX($AI$2:$AI$1001,MATCH(ROWS($AG$2:AG262),$AG$2:$AG$1001,0),0), INDEX($AN$1004:$BO$1004,1,MATCH(COLUMNS($AN$1006:AR1006),$AN$1006:$BO$1006,0)))),"Fix")))</f>
        <v>0</v>
      </c>
      <c r="G262" s="4">
        <f>IF(OR(INDEX($AH$2:$AH$1001,MATCH(ROWS($AG$2:AG262),$AG$2:$AG$1001,0),1)&gt;=100000,INDEX($AN$1005:$BO$1005,1,MATCH(COLUMNS($AN$1006:AS1006),$AN$1006:$BO$1006,0))&gt;=100000), " ",IF(INDEX($AN$2:$BO$1001,MATCH(ROWS($AG$2:AG262),$AG$2:$AG$1001,0),MATCH(COLUMNS($AN$1006:AS1006),$AN$1006:$BO$1006,0)), HYPERLINK("#",""), HYPERLINK(CONCATENATE("#Metadata!", ADDRESS(INDEX($AI$2:$AI$1001,MATCH(ROWS($AG$2:AG262),$AG$2:$AG$1001,0),0), INDEX($AN$1004:$BO$1004,1,MATCH(COLUMNS($AN$1006:AS1006),$AN$1006:$BO$1006,0)))),"Fix")))</f>
        <v>0</v>
      </c>
      <c r="H262" s="4">
        <f>IF(OR(INDEX($AH$2:$AH$1001,MATCH(ROWS($AG$2:AG262),$AG$2:$AG$1001,0),1)&gt;=100000,INDEX($AN$1005:$BO$1005,1,MATCH(COLUMNS($AN$1006:AT1006),$AN$1006:$BO$1006,0))&gt;=100000), " ",IF(INDEX($AN$2:$BO$1001,MATCH(ROWS($AG$2:AG262),$AG$2:$AG$1001,0),MATCH(COLUMNS($AN$1006:AT1006),$AN$1006:$BO$1006,0)), HYPERLINK("#",""), HYPERLINK(CONCATENATE("#Metadata!", ADDRESS(INDEX($AI$2:$AI$1001,MATCH(ROWS($AG$2:AG262),$AG$2:$AG$1001,0),0), INDEX($AN$1004:$BO$1004,1,MATCH(COLUMNS($AN$1006:AT1006),$AN$1006:$BO$1006,0)))),"Fix")))</f>
        <v>0</v>
      </c>
      <c r="I262" s="4">
        <f>IF(OR(INDEX($AH$2:$AH$1001,MATCH(ROWS($AG$2:AG262),$AG$2:$AG$1001,0),1)&gt;=100000,INDEX($AN$1005:$BO$1005,1,MATCH(COLUMNS($AN$1006:AU1006),$AN$1006:$BO$1006,0))&gt;=100000), " ",IF(INDEX($AN$2:$BO$1001,MATCH(ROWS($AG$2:AG262),$AG$2:$AG$1001,0),MATCH(COLUMNS($AN$1006:AU1006),$AN$1006:$BO$1006,0)), HYPERLINK("#",""), HYPERLINK(CONCATENATE("#Metadata!", ADDRESS(INDEX($AI$2:$AI$1001,MATCH(ROWS($AG$2:AG262),$AG$2:$AG$1001,0),0), INDEX($AN$1004:$BO$1004,1,MATCH(COLUMNS($AN$1006:AU1006),$AN$1006:$BO$1006,0)))),"Fix")))</f>
        <v>0</v>
      </c>
      <c r="J262" s="4">
        <f>IF(OR(INDEX($AH$2:$AH$1001,MATCH(ROWS($AG$2:AG262),$AG$2:$AG$1001,0),1)&gt;=100000,INDEX($AN$1005:$BO$1005,1,MATCH(COLUMNS($AN$1006:AV1006),$AN$1006:$BO$1006,0))&gt;=100000), " ",IF(INDEX($AN$2:$BO$1001,MATCH(ROWS($AG$2:AG262),$AG$2:$AG$1001,0),MATCH(COLUMNS($AN$1006:AV1006),$AN$1006:$BO$1006,0)), HYPERLINK("#",""), HYPERLINK(CONCATENATE("#Metadata!", ADDRESS(INDEX($AI$2:$AI$1001,MATCH(ROWS($AG$2:AG262),$AG$2:$AG$1001,0),0), INDEX($AN$1004:$BO$1004,1,MATCH(COLUMNS($AN$1006:AV1006),$AN$1006:$BO$1006,0)))),"Fix")))</f>
        <v>0</v>
      </c>
      <c r="K262" s="4">
        <f>IF(OR(INDEX($AH$2:$AH$1001,MATCH(ROWS($AG$2:AG262),$AG$2:$AG$1001,0),1)&gt;=100000,INDEX($AN$1005:$BO$1005,1,MATCH(COLUMNS($AN$1006:AW1006),$AN$1006:$BO$1006,0))&gt;=100000), " ",IF(INDEX($AN$2:$BO$1001,MATCH(ROWS($AG$2:AG262),$AG$2:$AG$1001,0),MATCH(COLUMNS($AN$1006:AW1006),$AN$1006:$BO$1006,0)), HYPERLINK("#",""), HYPERLINK(CONCATENATE("#Metadata!", ADDRESS(INDEX($AI$2:$AI$1001,MATCH(ROWS($AG$2:AG262),$AG$2:$AG$1001,0),0), INDEX($AN$1004:$BO$1004,1,MATCH(COLUMNS($AN$1006:AW1006),$AN$1006:$BO$1006,0)))),"Fix")))</f>
        <v>0</v>
      </c>
      <c r="L262" s="4">
        <f>IF(OR(INDEX($AH$2:$AH$1001,MATCH(ROWS($AG$2:AG262),$AG$2:$AG$1001,0),1)&gt;=100000,INDEX($AN$1005:$BO$1005,1,MATCH(COLUMNS($AN$1006:AX1006),$AN$1006:$BO$1006,0))&gt;=100000), " ",IF(INDEX($AN$2:$BO$1001,MATCH(ROWS($AG$2:AG262),$AG$2:$AG$1001,0),MATCH(COLUMNS($AN$1006:AX1006),$AN$1006:$BO$1006,0)), HYPERLINK("#",""), HYPERLINK(CONCATENATE("#Metadata!", ADDRESS(INDEX($AI$2:$AI$1001,MATCH(ROWS($AG$2:AG262),$AG$2:$AG$1001,0),0), INDEX($AN$1004:$BO$1004,1,MATCH(COLUMNS($AN$1006:AX1006),$AN$1006:$BO$1006,0)))),"Fix")))</f>
        <v>0</v>
      </c>
      <c r="M262" s="4">
        <f>IF(OR(INDEX($AH$2:$AH$1001,MATCH(ROWS($AG$2:AG262),$AG$2:$AG$1001,0),1)&gt;=100000,INDEX($AN$1005:$BO$1005,1,MATCH(COLUMNS($AN$1006:AY1006),$AN$1006:$BO$1006,0))&gt;=100000), " ",IF(INDEX($AN$2:$BO$1001,MATCH(ROWS($AG$2:AG262),$AG$2:$AG$1001,0),MATCH(COLUMNS($AN$1006:AY1006),$AN$1006:$BO$1006,0)), HYPERLINK("#",""), HYPERLINK(CONCATENATE("#Metadata!", ADDRESS(INDEX($AI$2:$AI$1001,MATCH(ROWS($AG$2:AG262),$AG$2:$AG$1001,0),0), INDEX($AN$1004:$BO$1004,1,MATCH(COLUMNS($AN$1006:AY1006),$AN$1006:$BO$1006,0)))),"Fix")))</f>
        <v>0</v>
      </c>
      <c r="N262" s="4">
        <f>IF(OR(INDEX($AH$2:$AH$1001,MATCH(ROWS($AG$2:AG262),$AG$2:$AG$1001,0),1)&gt;=100000,INDEX($AN$1005:$BO$1005,1,MATCH(COLUMNS($AN$1006:AZ1006),$AN$1006:$BO$1006,0))&gt;=100000), " ",IF(INDEX($AN$2:$BO$1001,MATCH(ROWS($AG$2:AG262),$AG$2:$AG$1001,0),MATCH(COLUMNS($AN$1006:AZ1006),$AN$1006:$BO$1006,0)), HYPERLINK("#",""), HYPERLINK(CONCATENATE("#Metadata!", ADDRESS(INDEX($AI$2:$AI$1001,MATCH(ROWS($AG$2:AG262),$AG$2:$AG$1001,0),0), INDEX($AN$1004:$BO$1004,1,MATCH(COLUMNS($AN$1006:AZ1006),$AN$1006:$BO$1006,0)))),"Fix")))</f>
        <v>0</v>
      </c>
      <c r="O262" s="4">
        <f>IF(OR(INDEX($AH$2:$AH$1001,MATCH(ROWS($AG$2:AG262),$AG$2:$AG$1001,0),1)&gt;=100000,INDEX($AN$1005:$BO$1005,1,MATCH(COLUMNS($AN$1006:BA1006),$AN$1006:$BO$1006,0))&gt;=100000), " ",IF(INDEX($AN$2:$BO$1001,MATCH(ROWS($AG$2:AG262),$AG$2:$AG$1001,0),MATCH(COLUMNS($AN$1006:BA1006),$AN$1006:$BO$1006,0)), HYPERLINK("#",""), HYPERLINK(CONCATENATE("#Metadata!", ADDRESS(INDEX($AI$2:$AI$1001,MATCH(ROWS($AG$2:AG262),$AG$2:$AG$1001,0),0), INDEX($AN$1004:$BO$1004,1,MATCH(COLUMNS($AN$1006:BA1006),$AN$1006:$BO$1006,0)))),"Fix")))</f>
        <v>0</v>
      </c>
      <c r="P262" s="4">
        <f>IF(OR(INDEX($AH$2:$AH$1001,MATCH(ROWS($AG$2:AG262),$AG$2:$AG$1001,0),1)&gt;=100000,INDEX($AN$1005:$BO$1005,1,MATCH(COLUMNS($AN$1006:BB1006),$AN$1006:$BO$1006,0))&gt;=100000), " ",IF(INDEX($AN$2:$BO$1001,MATCH(ROWS($AG$2:AG262),$AG$2:$AG$1001,0),MATCH(COLUMNS($AN$1006:BB1006),$AN$1006:$BO$1006,0)), HYPERLINK("#",""), HYPERLINK(CONCATENATE("#Metadata!", ADDRESS(INDEX($AI$2:$AI$1001,MATCH(ROWS($AG$2:AG262),$AG$2:$AG$1001,0),0), INDEX($AN$1004:$BO$1004,1,MATCH(COLUMNS($AN$1006:BB1006),$AN$1006:$BO$1006,0)))),"Fix")))</f>
        <v>0</v>
      </c>
      <c r="Q262" s="4">
        <f>IF(OR(INDEX($AH$2:$AH$1001,MATCH(ROWS($AG$2:AG262),$AG$2:$AG$1001,0),1)&gt;=100000,INDEX($AN$1005:$BO$1005,1,MATCH(COLUMNS($AN$1006:BC1006),$AN$1006:$BO$1006,0))&gt;=100000), " ",IF(INDEX($AN$2:$BO$1001,MATCH(ROWS($AG$2:AG262),$AG$2:$AG$1001,0),MATCH(COLUMNS($AN$1006:BC1006),$AN$1006:$BO$1006,0)), HYPERLINK("#",""), HYPERLINK(CONCATENATE("#Metadata!", ADDRESS(INDEX($AI$2:$AI$1001,MATCH(ROWS($AG$2:AG262),$AG$2:$AG$1001,0),0), INDEX($AN$1004:$BO$1004,1,MATCH(COLUMNS($AN$1006:BC1006),$AN$1006:$BO$1006,0)))),"Fix")))</f>
        <v>0</v>
      </c>
      <c r="R262" s="4">
        <f>IF(OR(INDEX($AH$2:$AH$1001,MATCH(ROWS($AG$2:AG262),$AG$2:$AG$1001,0),1)&gt;=100000,INDEX($AN$1005:$BO$1005,1,MATCH(COLUMNS($AN$1006:BD1006),$AN$1006:$BO$1006,0))&gt;=100000), " ",IF(INDEX($AN$2:$BO$1001,MATCH(ROWS($AG$2:AG262),$AG$2:$AG$1001,0),MATCH(COLUMNS($AN$1006:BD1006),$AN$1006:$BO$1006,0)), HYPERLINK("#",""), HYPERLINK(CONCATENATE("#Metadata!", ADDRESS(INDEX($AI$2:$AI$1001,MATCH(ROWS($AG$2:AG262),$AG$2:$AG$1001,0),0), INDEX($AN$1004:$BO$1004,1,MATCH(COLUMNS($AN$1006:BD1006),$AN$1006:$BO$1006,0)))),"Fix")))</f>
        <v>0</v>
      </c>
      <c r="S262" s="4">
        <f>IF(OR(INDEX($AH$2:$AH$1001,MATCH(ROWS($AG$2:AG262),$AG$2:$AG$1001,0),1)&gt;=100000,INDEX($AN$1005:$BO$1005,1,MATCH(COLUMNS($AN$1006:BE1006),$AN$1006:$BO$1006,0))&gt;=100000), " ",IF(INDEX($AN$2:$BO$1001,MATCH(ROWS($AG$2:AG262),$AG$2:$AG$1001,0),MATCH(COLUMNS($AN$1006:BE1006),$AN$1006:$BO$1006,0)), HYPERLINK("#",""), HYPERLINK(CONCATENATE("#Metadata!", ADDRESS(INDEX($AI$2:$AI$1001,MATCH(ROWS($AG$2:AG262),$AG$2:$AG$1001,0),0), INDEX($AN$1004:$BO$1004,1,MATCH(COLUMNS($AN$1006:BE1006),$AN$1006:$BO$1006,0)))),"Fix")))</f>
        <v>0</v>
      </c>
      <c r="T262" s="4">
        <f>IF(OR(INDEX($AH$2:$AH$1001,MATCH(ROWS($AG$2:AG262),$AG$2:$AG$1001,0),1)&gt;=100000,INDEX($AN$1005:$BO$1005,1,MATCH(COLUMNS($AN$1006:BF1006),$AN$1006:$BO$1006,0))&gt;=100000), " ",IF(INDEX($AN$2:$BO$1001,MATCH(ROWS($AG$2:AG262),$AG$2:$AG$1001,0),MATCH(COLUMNS($AN$1006:BF1006),$AN$1006:$BO$1006,0)), HYPERLINK("#",""), HYPERLINK(CONCATENATE("#Metadata!", ADDRESS(INDEX($AI$2:$AI$1001,MATCH(ROWS($AG$2:AG262),$AG$2:$AG$1001,0),0), INDEX($AN$1004:$BO$1004,1,MATCH(COLUMNS($AN$1006:BF1006),$AN$1006:$BO$1006,0)))),"Fix")))</f>
        <v>0</v>
      </c>
      <c r="U262" s="4">
        <f>IF(OR(INDEX($AH$2:$AH$1001,MATCH(ROWS($AG$2:AG262),$AG$2:$AG$1001,0),1)&gt;=100000,INDEX($AN$1005:$BO$1005,1,MATCH(COLUMNS($AN$1006:BG1006),$AN$1006:$BO$1006,0))&gt;=100000), " ",IF(INDEX($AN$2:$BO$1001,MATCH(ROWS($AG$2:AG262),$AG$2:$AG$1001,0),MATCH(COLUMNS($AN$1006:BG1006),$AN$1006:$BO$1006,0)), HYPERLINK("#",""), HYPERLINK(CONCATENATE("#Metadata!", ADDRESS(INDEX($AI$2:$AI$1001,MATCH(ROWS($AG$2:AG262),$AG$2:$AG$1001,0),0), INDEX($AN$1004:$BO$1004,1,MATCH(COLUMNS($AN$1006:BG1006),$AN$1006:$BO$1006,0)))),"Fix")))</f>
        <v>0</v>
      </c>
      <c r="V262" s="4">
        <f>IF(OR(INDEX($AH$2:$AH$1001,MATCH(ROWS($AG$2:AG262),$AG$2:$AG$1001,0),1)&gt;=100000,INDEX($AN$1005:$BO$1005,1,MATCH(COLUMNS($AN$1006:BH1006),$AN$1006:$BO$1006,0))&gt;=100000), " ",IF(INDEX($AN$2:$BO$1001,MATCH(ROWS($AG$2:AG262),$AG$2:$AG$1001,0),MATCH(COLUMNS($AN$1006:BH1006),$AN$1006:$BO$1006,0)), HYPERLINK("#",""), HYPERLINK(CONCATENATE("#Metadata!", ADDRESS(INDEX($AI$2:$AI$1001,MATCH(ROWS($AG$2:AG262),$AG$2:$AG$1001,0),0), INDEX($AN$1004:$BO$1004,1,MATCH(COLUMNS($AN$1006:BH1006),$AN$1006:$BO$1006,0)))),"Fix")))</f>
        <v>0</v>
      </c>
      <c r="W262" s="4">
        <f>IF(OR(INDEX($AH$2:$AH$1001,MATCH(ROWS($AG$2:AG262),$AG$2:$AG$1001,0),1)&gt;=100000,INDEX($AN$1005:$BO$1005,1,MATCH(COLUMNS($AN$1006:BI1006),$AN$1006:$BO$1006,0))&gt;=100000), " ",IF(INDEX($AN$2:$BO$1001,MATCH(ROWS($AG$2:AG262),$AG$2:$AG$1001,0),MATCH(COLUMNS($AN$1006:BI1006),$AN$1006:$BO$1006,0)), HYPERLINK("#",""), HYPERLINK(CONCATENATE("#Metadata!", ADDRESS(INDEX($AI$2:$AI$1001,MATCH(ROWS($AG$2:AG262),$AG$2:$AG$1001,0),0), INDEX($AN$1004:$BO$1004,1,MATCH(COLUMNS($AN$1006:BI1006),$AN$1006:$BO$1006,0)))),"Fix")))</f>
        <v>0</v>
      </c>
      <c r="X262" s="4">
        <f>IF(OR(INDEX($AH$2:$AH$1001,MATCH(ROWS($AG$2:AG262),$AG$2:$AG$1001,0),1)&gt;=100000,INDEX($AN$1005:$BO$1005,1,MATCH(COLUMNS($AN$1006:BJ1006),$AN$1006:$BO$1006,0))&gt;=100000), " ",IF(INDEX($AN$2:$BO$1001,MATCH(ROWS($AG$2:AG262),$AG$2:$AG$1001,0),MATCH(COLUMNS($AN$1006:BJ1006),$AN$1006:$BO$1006,0)), HYPERLINK("#",""), HYPERLINK(CONCATENATE("#Metadata!", ADDRESS(INDEX($AI$2:$AI$1001,MATCH(ROWS($AG$2:AG262),$AG$2:$AG$1001,0),0), INDEX($AN$1004:$BO$1004,1,MATCH(COLUMNS($AN$1006:BJ1006),$AN$1006:$BO$1006,0)))),"Fix")))</f>
        <v>0</v>
      </c>
      <c r="Y262" s="4">
        <f>IF(OR(INDEX($AH$2:$AH$1001,MATCH(ROWS($AG$2:AG262),$AG$2:$AG$1001,0),1)&gt;=100000,INDEX($AN$1005:$BO$1005,1,MATCH(COLUMNS($AN$1006:BK1006),$AN$1006:$BO$1006,0))&gt;=100000), " ",IF(INDEX($AN$2:$BO$1001,MATCH(ROWS($AG$2:AG262),$AG$2:$AG$1001,0),MATCH(COLUMNS($AN$1006:BK1006),$AN$1006:$BO$1006,0)), HYPERLINK("#",""), HYPERLINK(CONCATENATE("#Metadata!", ADDRESS(INDEX($AI$2:$AI$1001,MATCH(ROWS($AG$2:AG262),$AG$2:$AG$1001,0),0), INDEX($AN$1004:$BO$1004,1,MATCH(COLUMNS($AN$1006:BK1006),$AN$1006:$BO$1006,0)))),"Fix")))</f>
        <v>0</v>
      </c>
      <c r="Z262" s="4">
        <f>IF(OR(INDEX($AH$2:$AH$1001,MATCH(ROWS($AG$2:AG262),$AG$2:$AG$1001,0),1)&gt;=100000,INDEX($AN$1005:$BO$1005,1,MATCH(COLUMNS($AN$1006:BL1006),$AN$1006:$BO$1006,0))&gt;=100000), " ",IF(INDEX($AN$2:$BO$1001,MATCH(ROWS($AG$2:AG262),$AG$2:$AG$1001,0),MATCH(COLUMNS($AN$1006:BL1006),$AN$1006:$BO$1006,0)), HYPERLINK("#",""), HYPERLINK(CONCATENATE("#Metadata!", ADDRESS(INDEX($AI$2:$AI$1001,MATCH(ROWS($AG$2:AG262),$AG$2:$AG$1001,0),0), INDEX($AN$1004:$BO$1004,1,MATCH(COLUMNS($AN$1006:BL1006),$AN$1006:$BO$1006,0)))),"Fix")))</f>
        <v>0</v>
      </c>
      <c r="AA262" s="4">
        <f>IF(OR(INDEX($AH$2:$AH$1001,MATCH(ROWS($AG$2:AG262),$AG$2:$AG$1001,0),1)&gt;=100000,INDEX($AN$1005:$BO$1005,1,MATCH(COLUMNS($AN$1006:BM1006),$AN$1006:$BO$1006,0))&gt;=100000), " ",IF(INDEX($AN$2:$BO$1001,MATCH(ROWS($AG$2:AG262),$AG$2:$AG$1001,0),MATCH(COLUMNS($AN$1006:BM1006),$AN$1006:$BO$1006,0)), HYPERLINK("#",""), HYPERLINK(CONCATENATE("#Metadata!", ADDRESS(INDEX($AI$2:$AI$1001,MATCH(ROWS($AG$2:AG262),$AG$2:$AG$1001,0),0), INDEX($AN$1004:$BO$1004,1,MATCH(COLUMNS($AN$1006:BM1006),$AN$1006:$BO$1006,0)))),"Fix")))</f>
        <v>0</v>
      </c>
      <c r="AB262" s="4">
        <f>IF(OR(INDEX($AH$2:$AH$1001,MATCH(ROWS($AG$2:AG262),$AG$2:$AG$1001,0),1)&gt;=100000,INDEX($AN$1005:$BO$1005,1,MATCH(COLUMNS($AN$1006:BN1006),$AN$1006:$BO$1006,0))&gt;=100000), " ",IF(INDEX($AN$2:$BO$1001,MATCH(ROWS($AG$2:AG262),$AG$2:$AG$1001,0),MATCH(COLUMNS($AN$1006:BN1006),$AN$1006:$BO$1006,0)), HYPERLINK("#",""), HYPERLINK(CONCATENATE("#Metadata!", ADDRESS(INDEX($AI$2:$AI$1001,MATCH(ROWS($AG$2:AG262),$AG$2:$AG$1001,0),0), INDEX($AN$1004:$BO$1004,1,MATCH(COLUMNS($AN$1006:BN1006),$AN$1006:$BO$1006,0)))),"Fix")))</f>
        <v>0</v>
      </c>
      <c r="AC262" s="4">
        <f>IF(OR(INDEX($AH$2:$AH$1001,MATCH(ROWS($AG$2:AG262),$AG$2:$AG$1001,0),1)&gt;=100000,INDEX($AN$1005:$BO$1005,1,MATCH(COLUMNS($AN$1006:BO1006),$AN$1006:$BO$1006,0))&gt;=100000), " ",IF(INDEX($AN$2:$BO$1001,MATCH(ROWS($AG$2:AG262),$AG$2:$AG$1001,0),MATCH(COLUMNS($AN$1006:BO1006),$AN$1006:$BO$1006,0)), HYPERLINK("#",""), HYPERLINK(CONCATENATE("#Metadata!", ADDRESS(INDEX($AI$2:$AI$1001,MATCH(ROWS($AG$2:AG262),$AG$2:$AG$1001,0),0), INDEX($AN$1004:$BO$1004,1,MATCH(COLUMNS($AN$1006:BO1006),$AN$1006:$BO$1006,0)))),"Fix")))</f>
        <v>0</v>
      </c>
      <c r="AG262">
        <v>0</v>
      </c>
      <c r="AH262">
        <v>0</v>
      </c>
      <c r="AI262">
        <v>0</v>
      </c>
      <c r="AJ262">
        <f>IF(AK262,TRUE,AND(AN262:BO262))</f>
        <v>0</v>
      </c>
      <c r="AK262">
        <f>COUNTBLANK(Metadata!B262:AC262)=COLUMNS(Metadata!B262:AC262)</f>
        <v>0</v>
      </c>
      <c r="AL262">
        <v>0</v>
      </c>
      <c r="AN262">
        <f>AND(IF(Metadata!B262="",FALSE,TRUE),COUNTIF(Metadata!B:B, Metadata!B262) = 1,NOT(ISERROR(SUMPRODUCT(SEARCH(MID(Metadata!B262,ROW(INDIRECT("1:"&amp;LEN(Metadata!B262))), 1),"0123456789abcdefghijklmnopqrstuvwxyzABCDEFGHIJKLMNOPQRSTUVWXYZ.")))))</f>
        <v>0</v>
      </c>
      <c r="AO262">
        <f>IF(Metadata!C262="",FALSE,TRUE)</f>
        <v>0</v>
      </c>
      <c r="AP262">
        <f>IF(Metadata!D262="",FALSE,TRUE)</f>
        <v>0</v>
      </c>
      <c r="AQ262">
        <f>OR(AND(IF(Metadata!E262="",FALSE,TRUE),OR(exact(Metadata!E262,"not collected"),exact(Metadata!E262,"not provided"),exact(Metadata!E262,"restricted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R262">
        <f>IF(Metadata!F262="",FALSE,TRUE)</f>
        <v>0</v>
      </c>
      <c r="AS262">
        <f>OR(AND(IF(Metadata!G262="",FALSE,TRUE),OR(exact(Metadata!G262,"not collected"),exact(Metadata!G262,"not provided"))),AND(IF(Metadata!G262="",FALSE,TRUE),OR(exact(Metadata!G262,"TRUE"),exact(Metadata!G262,"FALSE"))))</f>
        <v>0</v>
      </c>
      <c r="AT262">
        <f>OR(AND(IF(Metadata!H262="",FALSE,TRUE),OR(exact(Metadata!H262,"not collected"),exact(Metadata!H262,"not provided"),exact(Metadata!H262,"restricted access"))),AND(IF(Metadata!H262="",FALSE,ISNUMBER(VALUE(Metadata!H262))),Metadata!H262&gt;=-413.0))</f>
        <v>0</v>
      </c>
      <c r="AU262">
        <f>AND(IF(Metadata!I262="",FALSE,TRUE),exact(Metadata!I262,"meters"))</f>
        <v>0</v>
      </c>
      <c r="AV262">
        <f>AND(IF(Metadata!J262="",FALSE,TRUE),OR(exact(Metadata!J262,"Host-associated"),exact(Metadata!J262,"Free-living")))</f>
        <v>0</v>
      </c>
      <c r="AW262">
        <f>AND(IF(Metadata!K262="",FALSE,TRUE),OR(exact(Metadata!K262,"Animal"),exact(Metadata!K262,"Fungus"),exact(Metadata!K262,"Plant"),exact(Metadata!K262,"Saline"),exact(Metadata!K262,"Non-saline")))</f>
        <v>0</v>
      </c>
      <c r="AX262">
        <f>AND(IF(Metadata!L262="",FALSE,TRUE),OR(exact(Metadata!L262,"Plant secretion"),exact(Metadata!L262,"Plant rhizosphere"),exact(Metadata!L262,"Plant surface"),exact(Metadata!L262,"Plant corpus"),exact(Metadata!L262,"Fungus surface"),exact(Metadata!L262,"Fungus corpus"),exact(Metadata!L262,"Animal surface"),exact(Metadata!L262,"Animal proximal gut"),exact(Metadata!L262,"Animal corpus"),exact(Metadata!L262,"Animal distal gut"),exact(Metadata!L262,"Animal secretion"),exact(Metadata!L262,"Sub-surface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Y262">
        <f>IF(Metadata!M262="",FALSE,TRUE)</f>
        <v>0</v>
      </c>
      <c r="AZ262">
        <f>IF(Metadata!N262="",FALSE,TRUE)</f>
        <v>0</v>
      </c>
      <c r="BA262">
        <f>IF(Metadata!O262="",FALSE,TRUE)</f>
        <v>0</v>
      </c>
      <c r="BB262">
        <f>OR(AND(IF(Metadata!P262="",FALSE,TRUE),OR(exact(Metadata!P262,"not collected"),exact(Metadata!P262,"not provided"),exact(Metadata!P262,"restricted access"))),AND(IF(Metadata!P262="",FALSE,TRUE),OR(exact(Metadata!P262,"air"),exact(Metadata!P262,"built environment"),exact(Metadata!P262,"host-associated"),exact(Metadata!P262,"human-associated"),exact(Metadata!P262,"human-skin"),exact(Metadata!P262,"human-oral"),exact(Metadata!P262,"human-gut"),exact(Metadata!P262,"human-vaginal"),exact(Metadata!P262,"microbial mat/biofilm"),exact(Metadata!P262,"misc environment"),exact(Metadata!P262,"plant-associated"),exact(Metadata!P262,"sediment"),exact(Metadata!P262,"soil"),exact(Metadata!P262,"wastewater/sludge"),exact(Metadata!P262,"water"))))</f>
        <v>0</v>
      </c>
      <c r="BC262">
        <f>IF(Metadata!Q262="",FALSE,TRUE)</f>
        <v>0</v>
      </c>
      <c r="BD262">
        <f>IF(Metadata!R262="",FALSE,TRUE)</f>
        <v>0</v>
      </c>
      <c r="BE262">
        <f>OR(AND(IF(Metadata!S262="",FALSE,TRUE),OR(exact(Metadata!S262,"not collected"),exact(Metadata!S262,"not provided"),exact(Metadata!S262,"restricted access"))),AND(IF(Metadata!S262="",FALSE,ISNUMBER(VALUE(Metadata!S262))),Metadata!S262&gt;=-90.00,Metadata!S262&lt;=90.00))</f>
        <v>0</v>
      </c>
      <c r="BF262">
        <f>AND(IF(Metadata!T262="",FALSE,TRUE),exact(Metadata!T262,"Decimal degrees"))</f>
        <v>0</v>
      </c>
      <c r="BG262">
        <f>OR(AND(IF(Metadata!U262="",FALSE,TRUE),OR(exact(Metadata!U262,"not collected"),exact(Metadata!U262,"not provided"),exact(Metadata!U262,"restricted access"))),AND(IF(Metadata!U262="",FALSE,ISNUMBER(VALUE(Metadata!U262))),Metadata!U262&gt;=-180.00,Metadata!U262&lt;=180.00))</f>
        <v>0</v>
      </c>
      <c r="BH262">
        <f>AND(IF(Metadata!V262="",FALSE,TRUE),exact(Metadata!V262,"Decimal degrees"))</f>
        <v>0</v>
      </c>
      <c r="BI262">
        <f>IF(Metadata!W262="",FALSE,TRUE)</f>
        <v>0</v>
      </c>
      <c r="BJ262">
        <f>OR(AND(IF(Metadata!X262="",FALSE,TRUE),OR(exact(Metadata!X262,"not collected"),exact(Metadata!X262,"not provided"),exact(Metadata!X262,"restricted access"))),AND(IF(Metadata!X262="",FALSE,TRUE),OR(exact(Metadata!X262,"TRUE"),exact(Metadata!X262,"FALSE"))))</f>
        <v>0</v>
      </c>
      <c r="BK262">
        <f>AND(IF(Metadata!Y262="",FALSE,TRUE),exact(Metadata!Y262,"other"))</f>
        <v>0</v>
      </c>
      <c r="BL262">
        <f>IF(Metadata!Z262="",FALSE,TRUE)</f>
        <v>0</v>
      </c>
      <c r="BM262">
        <f>OR(AND(IF(Metadata!AA262="",FALSE,TRUE),OR(exact(Metadata!AA262,"not collected"),exact(Metadata!AA262,"not provided"))),AND(IF(Metadata!AA262="",FALSE,IF(ISERROR(INT(Metadata!AA262)),FALSE,INT(Metadata!AA262)=Metadata!AA262)),Metadata!AA262&gt;0))</f>
        <v>0</v>
      </c>
      <c r="BN262">
        <f>AND(IF(Metadata!AB262="",FALSE,TRUE),exact(Metadata!AB262,"Not applicable"))</f>
        <v>0</v>
      </c>
      <c r="BO262">
        <f>IF(Metadata!AC262="",FALSE,TRUE)</f>
        <v>0</v>
      </c>
    </row>
    <row r="263" spans="1:67">
      <c r="A263" s="5">
        <f>IF(B263=" "," ",HYPERLINK(CONCATENATE("#metadata!",ADDRESS(INDEX($AI$2:$AI$1001,MATCH(ROWS($AG$2:AG263),$AG$2:$AG$1001,0),0),1)),INDEX($AL$2:$AL$1001,MATCH(ROWS($AG$2:AG263),$AG$2:$AG$1001,0),0)))</f>
        <v>0</v>
      </c>
      <c r="B263" s="4">
        <f>IF(OR(INDEX($AH$2:$AH$1001,MATCH(ROWS($AG$2:AG263),$AG$2:$AG$1001,0),1)&gt;=100000,INDEX($AN$1005:$BO$1005,1,MATCH(COLUMNS($AN$1006:AN1006),$AN$1006:$BO$1006,0))&gt;=100000), " ",IF(INDEX($AN$2:$BO$1001,MATCH(ROWS($AG$2:AG263),$AG$2:$AG$1001,0),MATCH(COLUMNS($AN$1006:AN1006),$AN$1006:$BO$1006,0)), HYPERLINK("#",""), HYPERLINK(CONCATENATE("#Metadata!", ADDRESS(INDEX($AI$2:$AI$1001,MATCH(ROWS($AG$2:AG263),$AG$2:$AG$1001,0),0), INDEX($AN$1004:$BO$1004,1,MATCH(COLUMNS($AN$1006:AN1006),$AN$1006:$BO$1006,0)))),"Fix")))</f>
        <v>0</v>
      </c>
      <c r="C263" s="4">
        <f>IF(OR(INDEX($AH$2:$AH$1001,MATCH(ROWS($AG$2:AG263),$AG$2:$AG$1001,0),1)&gt;=100000,INDEX($AN$1005:$BO$1005,1,MATCH(COLUMNS($AN$1006:AO1006),$AN$1006:$BO$1006,0))&gt;=100000), " ",IF(INDEX($AN$2:$BO$1001,MATCH(ROWS($AG$2:AG263),$AG$2:$AG$1001,0),MATCH(COLUMNS($AN$1006:AO1006),$AN$1006:$BO$1006,0)), HYPERLINK("#",""), HYPERLINK(CONCATENATE("#Metadata!", ADDRESS(INDEX($AI$2:$AI$1001,MATCH(ROWS($AG$2:AG263),$AG$2:$AG$1001,0),0), INDEX($AN$1004:$BO$1004,1,MATCH(COLUMNS($AN$1006:AO1006),$AN$1006:$BO$1006,0)))),"Fix")))</f>
        <v>0</v>
      </c>
      <c r="D263" s="4">
        <f>IF(OR(INDEX($AH$2:$AH$1001,MATCH(ROWS($AG$2:AG263),$AG$2:$AG$1001,0),1)&gt;=100000,INDEX($AN$1005:$BO$1005,1,MATCH(COLUMNS($AN$1006:AP1006),$AN$1006:$BO$1006,0))&gt;=100000), " ",IF(INDEX($AN$2:$BO$1001,MATCH(ROWS($AG$2:AG263),$AG$2:$AG$1001,0),MATCH(COLUMNS($AN$1006:AP1006),$AN$1006:$BO$1006,0)), HYPERLINK("#",""), HYPERLINK(CONCATENATE("#Metadata!", ADDRESS(INDEX($AI$2:$AI$1001,MATCH(ROWS($AG$2:AG263),$AG$2:$AG$1001,0),0), INDEX($AN$1004:$BO$1004,1,MATCH(COLUMNS($AN$1006:AP1006),$AN$1006:$BO$1006,0)))),"Fix")))</f>
        <v>0</v>
      </c>
      <c r="E263" s="4">
        <f>IF(OR(INDEX($AH$2:$AH$1001,MATCH(ROWS($AG$2:AG263),$AG$2:$AG$1001,0),1)&gt;=100000,INDEX($AN$1005:$BO$1005,1,MATCH(COLUMNS($AN$1006:AQ1006),$AN$1006:$BO$1006,0))&gt;=100000), " ",IF(INDEX($AN$2:$BO$1001,MATCH(ROWS($AG$2:AG263),$AG$2:$AG$1001,0),MATCH(COLUMNS($AN$1006:AQ1006),$AN$1006:$BO$1006,0)), HYPERLINK("#",""), HYPERLINK(CONCATENATE("#Metadata!", ADDRESS(INDEX($AI$2:$AI$1001,MATCH(ROWS($AG$2:AG263),$AG$2:$AG$1001,0),0), INDEX($AN$1004:$BO$1004,1,MATCH(COLUMNS($AN$1006:AQ1006),$AN$1006:$BO$1006,0)))),"Fix")))</f>
        <v>0</v>
      </c>
      <c r="F263" s="4">
        <f>IF(OR(INDEX($AH$2:$AH$1001,MATCH(ROWS($AG$2:AG263),$AG$2:$AG$1001,0),1)&gt;=100000,INDEX($AN$1005:$BO$1005,1,MATCH(COLUMNS($AN$1006:AR1006),$AN$1006:$BO$1006,0))&gt;=100000), " ",IF(INDEX($AN$2:$BO$1001,MATCH(ROWS($AG$2:AG263),$AG$2:$AG$1001,0),MATCH(COLUMNS($AN$1006:AR1006),$AN$1006:$BO$1006,0)), HYPERLINK("#",""), HYPERLINK(CONCATENATE("#Metadata!", ADDRESS(INDEX($AI$2:$AI$1001,MATCH(ROWS($AG$2:AG263),$AG$2:$AG$1001,0),0), INDEX($AN$1004:$BO$1004,1,MATCH(COLUMNS($AN$1006:AR1006),$AN$1006:$BO$1006,0)))),"Fix")))</f>
        <v>0</v>
      </c>
      <c r="G263" s="4">
        <f>IF(OR(INDEX($AH$2:$AH$1001,MATCH(ROWS($AG$2:AG263),$AG$2:$AG$1001,0),1)&gt;=100000,INDEX($AN$1005:$BO$1005,1,MATCH(COLUMNS($AN$1006:AS1006),$AN$1006:$BO$1006,0))&gt;=100000), " ",IF(INDEX($AN$2:$BO$1001,MATCH(ROWS($AG$2:AG263),$AG$2:$AG$1001,0),MATCH(COLUMNS($AN$1006:AS1006),$AN$1006:$BO$1006,0)), HYPERLINK("#",""), HYPERLINK(CONCATENATE("#Metadata!", ADDRESS(INDEX($AI$2:$AI$1001,MATCH(ROWS($AG$2:AG263),$AG$2:$AG$1001,0),0), INDEX($AN$1004:$BO$1004,1,MATCH(COLUMNS($AN$1006:AS1006),$AN$1006:$BO$1006,0)))),"Fix")))</f>
        <v>0</v>
      </c>
      <c r="H263" s="4">
        <f>IF(OR(INDEX($AH$2:$AH$1001,MATCH(ROWS($AG$2:AG263),$AG$2:$AG$1001,0),1)&gt;=100000,INDEX($AN$1005:$BO$1005,1,MATCH(COLUMNS($AN$1006:AT1006),$AN$1006:$BO$1006,0))&gt;=100000), " ",IF(INDEX($AN$2:$BO$1001,MATCH(ROWS($AG$2:AG263),$AG$2:$AG$1001,0),MATCH(COLUMNS($AN$1006:AT1006),$AN$1006:$BO$1006,0)), HYPERLINK("#",""), HYPERLINK(CONCATENATE("#Metadata!", ADDRESS(INDEX($AI$2:$AI$1001,MATCH(ROWS($AG$2:AG263),$AG$2:$AG$1001,0),0), INDEX($AN$1004:$BO$1004,1,MATCH(COLUMNS($AN$1006:AT1006),$AN$1006:$BO$1006,0)))),"Fix")))</f>
        <v>0</v>
      </c>
      <c r="I263" s="4">
        <f>IF(OR(INDEX($AH$2:$AH$1001,MATCH(ROWS($AG$2:AG263),$AG$2:$AG$1001,0),1)&gt;=100000,INDEX($AN$1005:$BO$1005,1,MATCH(COLUMNS($AN$1006:AU1006),$AN$1006:$BO$1006,0))&gt;=100000), " ",IF(INDEX($AN$2:$BO$1001,MATCH(ROWS($AG$2:AG263),$AG$2:$AG$1001,0),MATCH(COLUMNS($AN$1006:AU1006),$AN$1006:$BO$1006,0)), HYPERLINK("#",""), HYPERLINK(CONCATENATE("#Metadata!", ADDRESS(INDEX($AI$2:$AI$1001,MATCH(ROWS($AG$2:AG263),$AG$2:$AG$1001,0),0), INDEX($AN$1004:$BO$1004,1,MATCH(COLUMNS($AN$1006:AU1006),$AN$1006:$BO$1006,0)))),"Fix")))</f>
        <v>0</v>
      </c>
      <c r="J263" s="4">
        <f>IF(OR(INDEX($AH$2:$AH$1001,MATCH(ROWS($AG$2:AG263),$AG$2:$AG$1001,0),1)&gt;=100000,INDEX($AN$1005:$BO$1005,1,MATCH(COLUMNS($AN$1006:AV1006),$AN$1006:$BO$1006,0))&gt;=100000), " ",IF(INDEX($AN$2:$BO$1001,MATCH(ROWS($AG$2:AG263),$AG$2:$AG$1001,0),MATCH(COLUMNS($AN$1006:AV1006),$AN$1006:$BO$1006,0)), HYPERLINK("#",""), HYPERLINK(CONCATENATE("#Metadata!", ADDRESS(INDEX($AI$2:$AI$1001,MATCH(ROWS($AG$2:AG263),$AG$2:$AG$1001,0),0), INDEX($AN$1004:$BO$1004,1,MATCH(COLUMNS($AN$1006:AV1006),$AN$1006:$BO$1006,0)))),"Fix")))</f>
        <v>0</v>
      </c>
      <c r="K263" s="4">
        <f>IF(OR(INDEX($AH$2:$AH$1001,MATCH(ROWS($AG$2:AG263),$AG$2:$AG$1001,0),1)&gt;=100000,INDEX($AN$1005:$BO$1005,1,MATCH(COLUMNS($AN$1006:AW1006),$AN$1006:$BO$1006,0))&gt;=100000), " ",IF(INDEX($AN$2:$BO$1001,MATCH(ROWS($AG$2:AG263),$AG$2:$AG$1001,0),MATCH(COLUMNS($AN$1006:AW1006),$AN$1006:$BO$1006,0)), HYPERLINK("#",""), HYPERLINK(CONCATENATE("#Metadata!", ADDRESS(INDEX($AI$2:$AI$1001,MATCH(ROWS($AG$2:AG263),$AG$2:$AG$1001,0),0), INDEX($AN$1004:$BO$1004,1,MATCH(COLUMNS($AN$1006:AW1006),$AN$1006:$BO$1006,0)))),"Fix")))</f>
        <v>0</v>
      </c>
      <c r="L263" s="4">
        <f>IF(OR(INDEX($AH$2:$AH$1001,MATCH(ROWS($AG$2:AG263),$AG$2:$AG$1001,0),1)&gt;=100000,INDEX($AN$1005:$BO$1005,1,MATCH(COLUMNS($AN$1006:AX1006),$AN$1006:$BO$1006,0))&gt;=100000), " ",IF(INDEX($AN$2:$BO$1001,MATCH(ROWS($AG$2:AG263),$AG$2:$AG$1001,0),MATCH(COLUMNS($AN$1006:AX1006),$AN$1006:$BO$1006,0)), HYPERLINK("#",""), HYPERLINK(CONCATENATE("#Metadata!", ADDRESS(INDEX($AI$2:$AI$1001,MATCH(ROWS($AG$2:AG263),$AG$2:$AG$1001,0),0), INDEX($AN$1004:$BO$1004,1,MATCH(COLUMNS($AN$1006:AX1006),$AN$1006:$BO$1006,0)))),"Fix")))</f>
        <v>0</v>
      </c>
      <c r="M263" s="4">
        <f>IF(OR(INDEX($AH$2:$AH$1001,MATCH(ROWS($AG$2:AG263),$AG$2:$AG$1001,0),1)&gt;=100000,INDEX($AN$1005:$BO$1005,1,MATCH(COLUMNS($AN$1006:AY1006),$AN$1006:$BO$1006,0))&gt;=100000), " ",IF(INDEX($AN$2:$BO$1001,MATCH(ROWS($AG$2:AG263),$AG$2:$AG$1001,0),MATCH(COLUMNS($AN$1006:AY1006),$AN$1006:$BO$1006,0)), HYPERLINK("#",""), HYPERLINK(CONCATENATE("#Metadata!", ADDRESS(INDEX($AI$2:$AI$1001,MATCH(ROWS($AG$2:AG263),$AG$2:$AG$1001,0),0), INDEX($AN$1004:$BO$1004,1,MATCH(COLUMNS($AN$1006:AY1006),$AN$1006:$BO$1006,0)))),"Fix")))</f>
        <v>0</v>
      </c>
      <c r="N263" s="4">
        <f>IF(OR(INDEX($AH$2:$AH$1001,MATCH(ROWS($AG$2:AG263),$AG$2:$AG$1001,0),1)&gt;=100000,INDEX($AN$1005:$BO$1005,1,MATCH(COLUMNS($AN$1006:AZ1006),$AN$1006:$BO$1006,0))&gt;=100000), " ",IF(INDEX($AN$2:$BO$1001,MATCH(ROWS($AG$2:AG263),$AG$2:$AG$1001,0),MATCH(COLUMNS($AN$1006:AZ1006),$AN$1006:$BO$1006,0)), HYPERLINK("#",""), HYPERLINK(CONCATENATE("#Metadata!", ADDRESS(INDEX($AI$2:$AI$1001,MATCH(ROWS($AG$2:AG263),$AG$2:$AG$1001,0),0), INDEX($AN$1004:$BO$1004,1,MATCH(COLUMNS($AN$1006:AZ1006),$AN$1006:$BO$1006,0)))),"Fix")))</f>
        <v>0</v>
      </c>
      <c r="O263" s="4">
        <f>IF(OR(INDEX($AH$2:$AH$1001,MATCH(ROWS($AG$2:AG263),$AG$2:$AG$1001,0),1)&gt;=100000,INDEX($AN$1005:$BO$1005,1,MATCH(COLUMNS($AN$1006:BA1006),$AN$1006:$BO$1006,0))&gt;=100000), " ",IF(INDEX($AN$2:$BO$1001,MATCH(ROWS($AG$2:AG263),$AG$2:$AG$1001,0),MATCH(COLUMNS($AN$1006:BA1006),$AN$1006:$BO$1006,0)), HYPERLINK("#",""), HYPERLINK(CONCATENATE("#Metadata!", ADDRESS(INDEX($AI$2:$AI$1001,MATCH(ROWS($AG$2:AG263),$AG$2:$AG$1001,0),0), INDEX($AN$1004:$BO$1004,1,MATCH(COLUMNS($AN$1006:BA1006),$AN$1006:$BO$1006,0)))),"Fix")))</f>
        <v>0</v>
      </c>
      <c r="P263" s="4">
        <f>IF(OR(INDEX($AH$2:$AH$1001,MATCH(ROWS($AG$2:AG263),$AG$2:$AG$1001,0),1)&gt;=100000,INDEX($AN$1005:$BO$1005,1,MATCH(COLUMNS($AN$1006:BB1006),$AN$1006:$BO$1006,0))&gt;=100000), " ",IF(INDEX($AN$2:$BO$1001,MATCH(ROWS($AG$2:AG263),$AG$2:$AG$1001,0),MATCH(COLUMNS($AN$1006:BB1006),$AN$1006:$BO$1006,0)), HYPERLINK("#",""), HYPERLINK(CONCATENATE("#Metadata!", ADDRESS(INDEX($AI$2:$AI$1001,MATCH(ROWS($AG$2:AG263),$AG$2:$AG$1001,0),0), INDEX($AN$1004:$BO$1004,1,MATCH(COLUMNS($AN$1006:BB1006),$AN$1006:$BO$1006,0)))),"Fix")))</f>
        <v>0</v>
      </c>
      <c r="Q263" s="4">
        <f>IF(OR(INDEX($AH$2:$AH$1001,MATCH(ROWS($AG$2:AG263),$AG$2:$AG$1001,0),1)&gt;=100000,INDEX($AN$1005:$BO$1005,1,MATCH(COLUMNS($AN$1006:BC1006),$AN$1006:$BO$1006,0))&gt;=100000), " ",IF(INDEX($AN$2:$BO$1001,MATCH(ROWS($AG$2:AG263),$AG$2:$AG$1001,0),MATCH(COLUMNS($AN$1006:BC1006),$AN$1006:$BO$1006,0)), HYPERLINK("#",""), HYPERLINK(CONCATENATE("#Metadata!", ADDRESS(INDEX($AI$2:$AI$1001,MATCH(ROWS($AG$2:AG263),$AG$2:$AG$1001,0),0), INDEX($AN$1004:$BO$1004,1,MATCH(COLUMNS($AN$1006:BC1006),$AN$1006:$BO$1006,0)))),"Fix")))</f>
        <v>0</v>
      </c>
      <c r="R263" s="4">
        <f>IF(OR(INDEX($AH$2:$AH$1001,MATCH(ROWS($AG$2:AG263),$AG$2:$AG$1001,0),1)&gt;=100000,INDEX($AN$1005:$BO$1005,1,MATCH(COLUMNS($AN$1006:BD1006),$AN$1006:$BO$1006,0))&gt;=100000), " ",IF(INDEX($AN$2:$BO$1001,MATCH(ROWS($AG$2:AG263),$AG$2:$AG$1001,0),MATCH(COLUMNS($AN$1006:BD1006),$AN$1006:$BO$1006,0)), HYPERLINK("#",""), HYPERLINK(CONCATENATE("#Metadata!", ADDRESS(INDEX($AI$2:$AI$1001,MATCH(ROWS($AG$2:AG263),$AG$2:$AG$1001,0),0), INDEX($AN$1004:$BO$1004,1,MATCH(COLUMNS($AN$1006:BD1006),$AN$1006:$BO$1006,0)))),"Fix")))</f>
        <v>0</v>
      </c>
      <c r="S263" s="4">
        <f>IF(OR(INDEX($AH$2:$AH$1001,MATCH(ROWS($AG$2:AG263),$AG$2:$AG$1001,0),1)&gt;=100000,INDEX($AN$1005:$BO$1005,1,MATCH(COLUMNS($AN$1006:BE1006),$AN$1006:$BO$1006,0))&gt;=100000), " ",IF(INDEX($AN$2:$BO$1001,MATCH(ROWS($AG$2:AG263),$AG$2:$AG$1001,0),MATCH(COLUMNS($AN$1006:BE1006),$AN$1006:$BO$1006,0)), HYPERLINK("#",""), HYPERLINK(CONCATENATE("#Metadata!", ADDRESS(INDEX($AI$2:$AI$1001,MATCH(ROWS($AG$2:AG263),$AG$2:$AG$1001,0),0), INDEX($AN$1004:$BO$1004,1,MATCH(COLUMNS($AN$1006:BE1006),$AN$1006:$BO$1006,0)))),"Fix")))</f>
        <v>0</v>
      </c>
      <c r="T263" s="4">
        <f>IF(OR(INDEX($AH$2:$AH$1001,MATCH(ROWS($AG$2:AG263),$AG$2:$AG$1001,0),1)&gt;=100000,INDEX($AN$1005:$BO$1005,1,MATCH(COLUMNS($AN$1006:BF1006),$AN$1006:$BO$1006,0))&gt;=100000), " ",IF(INDEX($AN$2:$BO$1001,MATCH(ROWS($AG$2:AG263),$AG$2:$AG$1001,0),MATCH(COLUMNS($AN$1006:BF1006),$AN$1006:$BO$1006,0)), HYPERLINK("#",""), HYPERLINK(CONCATENATE("#Metadata!", ADDRESS(INDEX($AI$2:$AI$1001,MATCH(ROWS($AG$2:AG263),$AG$2:$AG$1001,0),0), INDEX($AN$1004:$BO$1004,1,MATCH(COLUMNS($AN$1006:BF1006),$AN$1006:$BO$1006,0)))),"Fix")))</f>
        <v>0</v>
      </c>
      <c r="U263" s="4">
        <f>IF(OR(INDEX($AH$2:$AH$1001,MATCH(ROWS($AG$2:AG263),$AG$2:$AG$1001,0),1)&gt;=100000,INDEX($AN$1005:$BO$1005,1,MATCH(COLUMNS($AN$1006:BG1006),$AN$1006:$BO$1006,0))&gt;=100000), " ",IF(INDEX($AN$2:$BO$1001,MATCH(ROWS($AG$2:AG263),$AG$2:$AG$1001,0),MATCH(COLUMNS($AN$1006:BG1006),$AN$1006:$BO$1006,0)), HYPERLINK("#",""), HYPERLINK(CONCATENATE("#Metadata!", ADDRESS(INDEX($AI$2:$AI$1001,MATCH(ROWS($AG$2:AG263),$AG$2:$AG$1001,0),0), INDEX($AN$1004:$BO$1004,1,MATCH(COLUMNS($AN$1006:BG1006),$AN$1006:$BO$1006,0)))),"Fix")))</f>
        <v>0</v>
      </c>
      <c r="V263" s="4">
        <f>IF(OR(INDEX($AH$2:$AH$1001,MATCH(ROWS($AG$2:AG263),$AG$2:$AG$1001,0),1)&gt;=100000,INDEX($AN$1005:$BO$1005,1,MATCH(COLUMNS($AN$1006:BH1006),$AN$1006:$BO$1006,0))&gt;=100000), " ",IF(INDEX($AN$2:$BO$1001,MATCH(ROWS($AG$2:AG263),$AG$2:$AG$1001,0),MATCH(COLUMNS($AN$1006:BH1006),$AN$1006:$BO$1006,0)), HYPERLINK("#",""), HYPERLINK(CONCATENATE("#Metadata!", ADDRESS(INDEX($AI$2:$AI$1001,MATCH(ROWS($AG$2:AG263),$AG$2:$AG$1001,0),0), INDEX($AN$1004:$BO$1004,1,MATCH(COLUMNS($AN$1006:BH1006),$AN$1006:$BO$1006,0)))),"Fix")))</f>
        <v>0</v>
      </c>
      <c r="W263" s="4">
        <f>IF(OR(INDEX($AH$2:$AH$1001,MATCH(ROWS($AG$2:AG263),$AG$2:$AG$1001,0),1)&gt;=100000,INDEX($AN$1005:$BO$1005,1,MATCH(COLUMNS($AN$1006:BI1006),$AN$1006:$BO$1006,0))&gt;=100000), " ",IF(INDEX($AN$2:$BO$1001,MATCH(ROWS($AG$2:AG263),$AG$2:$AG$1001,0),MATCH(COLUMNS($AN$1006:BI1006),$AN$1006:$BO$1006,0)), HYPERLINK("#",""), HYPERLINK(CONCATENATE("#Metadata!", ADDRESS(INDEX($AI$2:$AI$1001,MATCH(ROWS($AG$2:AG263),$AG$2:$AG$1001,0),0), INDEX($AN$1004:$BO$1004,1,MATCH(COLUMNS($AN$1006:BI1006),$AN$1006:$BO$1006,0)))),"Fix")))</f>
        <v>0</v>
      </c>
      <c r="X263" s="4">
        <f>IF(OR(INDEX($AH$2:$AH$1001,MATCH(ROWS($AG$2:AG263),$AG$2:$AG$1001,0),1)&gt;=100000,INDEX($AN$1005:$BO$1005,1,MATCH(COLUMNS($AN$1006:BJ1006),$AN$1006:$BO$1006,0))&gt;=100000), " ",IF(INDEX($AN$2:$BO$1001,MATCH(ROWS($AG$2:AG263),$AG$2:$AG$1001,0),MATCH(COLUMNS($AN$1006:BJ1006),$AN$1006:$BO$1006,0)), HYPERLINK("#",""), HYPERLINK(CONCATENATE("#Metadata!", ADDRESS(INDEX($AI$2:$AI$1001,MATCH(ROWS($AG$2:AG263),$AG$2:$AG$1001,0),0), INDEX($AN$1004:$BO$1004,1,MATCH(COLUMNS($AN$1006:BJ1006),$AN$1006:$BO$1006,0)))),"Fix")))</f>
        <v>0</v>
      </c>
      <c r="Y263" s="4">
        <f>IF(OR(INDEX($AH$2:$AH$1001,MATCH(ROWS($AG$2:AG263),$AG$2:$AG$1001,0),1)&gt;=100000,INDEX($AN$1005:$BO$1005,1,MATCH(COLUMNS($AN$1006:BK1006),$AN$1006:$BO$1006,0))&gt;=100000), " ",IF(INDEX($AN$2:$BO$1001,MATCH(ROWS($AG$2:AG263),$AG$2:$AG$1001,0),MATCH(COLUMNS($AN$1006:BK1006),$AN$1006:$BO$1006,0)), HYPERLINK("#",""), HYPERLINK(CONCATENATE("#Metadata!", ADDRESS(INDEX($AI$2:$AI$1001,MATCH(ROWS($AG$2:AG263),$AG$2:$AG$1001,0),0), INDEX($AN$1004:$BO$1004,1,MATCH(COLUMNS($AN$1006:BK1006),$AN$1006:$BO$1006,0)))),"Fix")))</f>
        <v>0</v>
      </c>
      <c r="Z263" s="4">
        <f>IF(OR(INDEX($AH$2:$AH$1001,MATCH(ROWS($AG$2:AG263),$AG$2:$AG$1001,0),1)&gt;=100000,INDEX($AN$1005:$BO$1005,1,MATCH(COLUMNS($AN$1006:BL1006),$AN$1006:$BO$1006,0))&gt;=100000), " ",IF(INDEX($AN$2:$BO$1001,MATCH(ROWS($AG$2:AG263),$AG$2:$AG$1001,0),MATCH(COLUMNS($AN$1006:BL1006),$AN$1006:$BO$1006,0)), HYPERLINK("#",""), HYPERLINK(CONCATENATE("#Metadata!", ADDRESS(INDEX($AI$2:$AI$1001,MATCH(ROWS($AG$2:AG263),$AG$2:$AG$1001,0),0), INDEX($AN$1004:$BO$1004,1,MATCH(COLUMNS($AN$1006:BL1006),$AN$1006:$BO$1006,0)))),"Fix")))</f>
        <v>0</v>
      </c>
      <c r="AA263" s="4">
        <f>IF(OR(INDEX($AH$2:$AH$1001,MATCH(ROWS($AG$2:AG263),$AG$2:$AG$1001,0),1)&gt;=100000,INDEX($AN$1005:$BO$1005,1,MATCH(COLUMNS($AN$1006:BM1006),$AN$1006:$BO$1006,0))&gt;=100000), " ",IF(INDEX($AN$2:$BO$1001,MATCH(ROWS($AG$2:AG263),$AG$2:$AG$1001,0),MATCH(COLUMNS($AN$1006:BM1006),$AN$1006:$BO$1006,0)), HYPERLINK("#",""), HYPERLINK(CONCATENATE("#Metadata!", ADDRESS(INDEX($AI$2:$AI$1001,MATCH(ROWS($AG$2:AG263),$AG$2:$AG$1001,0),0), INDEX($AN$1004:$BO$1004,1,MATCH(COLUMNS($AN$1006:BM1006),$AN$1006:$BO$1006,0)))),"Fix")))</f>
        <v>0</v>
      </c>
      <c r="AB263" s="4">
        <f>IF(OR(INDEX($AH$2:$AH$1001,MATCH(ROWS($AG$2:AG263),$AG$2:$AG$1001,0),1)&gt;=100000,INDEX($AN$1005:$BO$1005,1,MATCH(COLUMNS($AN$1006:BN1006),$AN$1006:$BO$1006,0))&gt;=100000), " ",IF(INDEX($AN$2:$BO$1001,MATCH(ROWS($AG$2:AG263),$AG$2:$AG$1001,0),MATCH(COLUMNS($AN$1006:BN1006),$AN$1006:$BO$1006,0)), HYPERLINK("#",""), HYPERLINK(CONCATENATE("#Metadata!", ADDRESS(INDEX($AI$2:$AI$1001,MATCH(ROWS($AG$2:AG263),$AG$2:$AG$1001,0),0), INDEX($AN$1004:$BO$1004,1,MATCH(COLUMNS($AN$1006:BN1006),$AN$1006:$BO$1006,0)))),"Fix")))</f>
        <v>0</v>
      </c>
      <c r="AC263" s="4">
        <f>IF(OR(INDEX($AH$2:$AH$1001,MATCH(ROWS($AG$2:AG263),$AG$2:$AG$1001,0),1)&gt;=100000,INDEX($AN$1005:$BO$1005,1,MATCH(COLUMNS($AN$1006:BO1006),$AN$1006:$BO$1006,0))&gt;=100000), " ",IF(INDEX($AN$2:$BO$1001,MATCH(ROWS($AG$2:AG263),$AG$2:$AG$1001,0),MATCH(COLUMNS($AN$1006:BO1006),$AN$1006:$BO$1006,0)), HYPERLINK("#",""), HYPERLINK(CONCATENATE("#Metadata!", ADDRESS(INDEX($AI$2:$AI$1001,MATCH(ROWS($AG$2:AG263),$AG$2:$AG$1001,0),0), INDEX($AN$1004:$BO$1004,1,MATCH(COLUMNS($AN$1006:BO1006),$AN$1006:$BO$1006,0)))),"Fix")))</f>
        <v>0</v>
      </c>
      <c r="AG263">
        <v>0</v>
      </c>
      <c r="AH263">
        <v>0</v>
      </c>
      <c r="AI263">
        <v>0</v>
      </c>
      <c r="AJ263">
        <f>IF(AK263,TRUE,AND(AN263:BO263))</f>
        <v>0</v>
      </c>
      <c r="AK263">
        <f>COUNTBLANK(Metadata!B263:AC263)=COLUMNS(Metadata!B263:AC263)</f>
        <v>0</v>
      </c>
      <c r="AL263">
        <v>0</v>
      </c>
      <c r="AN263">
        <f>AND(IF(Metadata!B263="",FALSE,TRUE),COUNTIF(Metadata!B:B, Metadata!B263) = 1,NOT(ISERROR(SUMPRODUCT(SEARCH(MID(Metadata!B263,ROW(INDIRECT("1:"&amp;LEN(Metadata!B263))), 1),"0123456789abcdefghijklmnopqrstuvwxyzABCDEFGHIJKLMNOPQRSTUVWXYZ.")))))</f>
        <v>0</v>
      </c>
      <c r="AO263">
        <f>IF(Metadata!C263="",FALSE,TRUE)</f>
        <v>0</v>
      </c>
      <c r="AP263">
        <f>IF(Metadata!D263="",FALSE,TRUE)</f>
        <v>0</v>
      </c>
      <c r="AQ263">
        <f>OR(AND(IF(Metadata!E263="",FALSE,TRUE),OR(exact(Metadata!E263,"not collected"),exact(Metadata!E263,"not provided"),exact(Metadata!E263,"restricted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R263">
        <f>IF(Metadata!F263="",FALSE,TRUE)</f>
        <v>0</v>
      </c>
      <c r="AS263">
        <f>OR(AND(IF(Metadata!G263="",FALSE,TRUE),OR(exact(Metadata!G263,"not collected"),exact(Metadata!G263,"not provided"))),AND(IF(Metadata!G263="",FALSE,TRUE),OR(exact(Metadata!G263,"TRUE"),exact(Metadata!G263,"FALSE"))))</f>
        <v>0</v>
      </c>
      <c r="AT263">
        <f>OR(AND(IF(Metadata!H263="",FALSE,TRUE),OR(exact(Metadata!H263,"not collected"),exact(Metadata!H263,"not provided"),exact(Metadata!H263,"restricted access"))),AND(IF(Metadata!H263="",FALSE,ISNUMBER(VALUE(Metadata!H263))),Metadata!H263&gt;=-413.0))</f>
        <v>0</v>
      </c>
      <c r="AU263">
        <f>AND(IF(Metadata!I263="",FALSE,TRUE),exact(Metadata!I263,"meters"))</f>
        <v>0</v>
      </c>
      <c r="AV263">
        <f>AND(IF(Metadata!J263="",FALSE,TRUE),OR(exact(Metadata!J263,"Host-associated"),exact(Metadata!J263,"Free-living")))</f>
        <v>0</v>
      </c>
      <c r="AW263">
        <f>AND(IF(Metadata!K263="",FALSE,TRUE),OR(exact(Metadata!K263,"Animal"),exact(Metadata!K263,"Fungus"),exact(Metadata!K263,"Plant"),exact(Metadata!K263,"Saline"),exact(Metadata!K263,"Non-saline")))</f>
        <v>0</v>
      </c>
      <c r="AX263">
        <f>AND(IF(Metadata!L263="",FALSE,TRUE),OR(exact(Metadata!L263,"Plant secretion"),exact(Metadata!L263,"Plant rhizosphere"),exact(Metadata!L263,"Plant surface"),exact(Metadata!L263,"Plant corpus"),exact(Metadata!L263,"Fungus surface"),exact(Metadata!L263,"Fungus corpus"),exact(Metadata!L263,"Animal surface"),exact(Metadata!L263,"Animal proximal gut"),exact(Metadata!L263,"Animal corpus"),exact(Metadata!L263,"Animal distal gut"),exact(Metadata!L263,"Animal secretion"),exact(Metadata!L263,"Sub-surface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Y263">
        <f>IF(Metadata!M263="",FALSE,TRUE)</f>
        <v>0</v>
      </c>
      <c r="AZ263">
        <f>IF(Metadata!N263="",FALSE,TRUE)</f>
        <v>0</v>
      </c>
      <c r="BA263">
        <f>IF(Metadata!O263="",FALSE,TRUE)</f>
        <v>0</v>
      </c>
      <c r="BB263">
        <f>OR(AND(IF(Metadata!P263="",FALSE,TRUE),OR(exact(Metadata!P263,"not collected"),exact(Metadata!P263,"not provided"),exact(Metadata!P263,"restricted access"))),AND(IF(Metadata!P263="",FALSE,TRUE),OR(exact(Metadata!P263,"air"),exact(Metadata!P263,"built environment"),exact(Metadata!P263,"host-associated"),exact(Metadata!P263,"human-associated"),exact(Metadata!P263,"human-skin"),exact(Metadata!P263,"human-oral"),exact(Metadata!P263,"human-gut"),exact(Metadata!P263,"human-vaginal"),exact(Metadata!P263,"microbial mat/biofilm"),exact(Metadata!P263,"misc environment"),exact(Metadata!P263,"plant-associated"),exact(Metadata!P263,"sediment"),exact(Metadata!P263,"soil"),exact(Metadata!P263,"wastewater/sludge"),exact(Metadata!P263,"water"))))</f>
        <v>0</v>
      </c>
      <c r="BC263">
        <f>IF(Metadata!Q263="",FALSE,TRUE)</f>
        <v>0</v>
      </c>
      <c r="BD263">
        <f>IF(Metadata!R263="",FALSE,TRUE)</f>
        <v>0</v>
      </c>
      <c r="BE263">
        <f>OR(AND(IF(Metadata!S263="",FALSE,TRUE),OR(exact(Metadata!S263,"not collected"),exact(Metadata!S263,"not provided"),exact(Metadata!S263,"restricted access"))),AND(IF(Metadata!S263="",FALSE,ISNUMBER(VALUE(Metadata!S263))),Metadata!S263&gt;=-90.00,Metadata!S263&lt;=90.00))</f>
        <v>0</v>
      </c>
      <c r="BF263">
        <f>AND(IF(Metadata!T263="",FALSE,TRUE),exact(Metadata!T263,"Decimal degrees"))</f>
        <v>0</v>
      </c>
      <c r="BG263">
        <f>OR(AND(IF(Metadata!U263="",FALSE,TRUE),OR(exact(Metadata!U263,"not collected"),exact(Metadata!U263,"not provided"),exact(Metadata!U263,"restricted access"))),AND(IF(Metadata!U263="",FALSE,ISNUMBER(VALUE(Metadata!U263))),Metadata!U263&gt;=-180.00,Metadata!U263&lt;=180.00))</f>
        <v>0</v>
      </c>
      <c r="BH263">
        <f>AND(IF(Metadata!V263="",FALSE,TRUE),exact(Metadata!V263,"Decimal degrees"))</f>
        <v>0</v>
      </c>
      <c r="BI263">
        <f>IF(Metadata!W263="",FALSE,TRUE)</f>
        <v>0</v>
      </c>
      <c r="BJ263">
        <f>OR(AND(IF(Metadata!X263="",FALSE,TRUE),OR(exact(Metadata!X263,"not collected"),exact(Metadata!X263,"not provided"),exact(Metadata!X263,"restricted access"))),AND(IF(Metadata!X263="",FALSE,TRUE),OR(exact(Metadata!X263,"TRUE"),exact(Metadata!X263,"FALSE"))))</f>
        <v>0</v>
      </c>
      <c r="BK263">
        <f>AND(IF(Metadata!Y263="",FALSE,TRUE),exact(Metadata!Y263,"other"))</f>
        <v>0</v>
      </c>
      <c r="BL263">
        <f>IF(Metadata!Z263="",FALSE,TRUE)</f>
        <v>0</v>
      </c>
      <c r="BM263">
        <f>OR(AND(IF(Metadata!AA263="",FALSE,TRUE),OR(exact(Metadata!AA263,"not collected"),exact(Metadata!AA263,"not provided"))),AND(IF(Metadata!AA263="",FALSE,IF(ISERROR(INT(Metadata!AA263)),FALSE,INT(Metadata!AA263)=Metadata!AA263)),Metadata!AA263&gt;0))</f>
        <v>0</v>
      </c>
      <c r="BN263">
        <f>AND(IF(Metadata!AB263="",FALSE,TRUE),exact(Metadata!AB263,"Not applicable"))</f>
        <v>0</v>
      </c>
      <c r="BO263">
        <f>IF(Metadata!AC263="",FALSE,TRUE)</f>
        <v>0</v>
      </c>
    </row>
    <row r="264" spans="1:67">
      <c r="A264" s="5">
        <f>IF(B264=" "," ",HYPERLINK(CONCATENATE("#metadata!",ADDRESS(INDEX($AI$2:$AI$1001,MATCH(ROWS($AG$2:AG264),$AG$2:$AG$1001,0),0),1)),INDEX($AL$2:$AL$1001,MATCH(ROWS($AG$2:AG264),$AG$2:$AG$1001,0),0)))</f>
        <v>0</v>
      </c>
      <c r="B264" s="4">
        <f>IF(OR(INDEX($AH$2:$AH$1001,MATCH(ROWS($AG$2:AG264),$AG$2:$AG$1001,0),1)&gt;=100000,INDEX($AN$1005:$BO$1005,1,MATCH(COLUMNS($AN$1006:AN1006),$AN$1006:$BO$1006,0))&gt;=100000), " ",IF(INDEX($AN$2:$BO$1001,MATCH(ROWS($AG$2:AG264),$AG$2:$AG$1001,0),MATCH(COLUMNS($AN$1006:AN1006),$AN$1006:$BO$1006,0)), HYPERLINK("#",""), HYPERLINK(CONCATENATE("#Metadata!", ADDRESS(INDEX($AI$2:$AI$1001,MATCH(ROWS($AG$2:AG264),$AG$2:$AG$1001,0),0), INDEX($AN$1004:$BO$1004,1,MATCH(COLUMNS($AN$1006:AN1006),$AN$1006:$BO$1006,0)))),"Fix")))</f>
        <v>0</v>
      </c>
      <c r="C264" s="4">
        <f>IF(OR(INDEX($AH$2:$AH$1001,MATCH(ROWS($AG$2:AG264),$AG$2:$AG$1001,0),1)&gt;=100000,INDEX($AN$1005:$BO$1005,1,MATCH(COLUMNS($AN$1006:AO1006),$AN$1006:$BO$1006,0))&gt;=100000), " ",IF(INDEX($AN$2:$BO$1001,MATCH(ROWS($AG$2:AG264),$AG$2:$AG$1001,0),MATCH(COLUMNS($AN$1006:AO1006),$AN$1006:$BO$1006,0)), HYPERLINK("#",""), HYPERLINK(CONCATENATE("#Metadata!", ADDRESS(INDEX($AI$2:$AI$1001,MATCH(ROWS($AG$2:AG264),$AG$2:$AG$1001,0),0), INDEX($AN$1004:$BO$1004,1,MATCH(COLUMNS($AN$1006:AO1006),$AN$1006:$BO$1006,0)))),"Fix")))</f>
        <v>0</v>
      </c>
      <c r="D264" s="4">
        <f>IF(OR(INDEX($AH$2:$AH$1001,MATCH(ROWS($AG$2:AG264),$AG$2:$AG$1001,0),1)&gt;=100000,INDEX($AN$1005:$BO$1005,1,MATCH(COLUMNS($AN$1006:AP1006),$AN$1006:$BO$1006,0))&gt;=100000), " ",IF(INDEX($AN$2:$BO$1001,MATCH(ROWS($AG$2:AG264),$AG$2:$AG$1001,0),MATCH(COLUMNS($AN$1006:AP1006),$AN$1006:$BO$1006,0)), HYPERLINK("#",""), HYPERLINK(CONCATENATE("#Metadata!", ADDRESS(INDEX($AI$2:$AI$1001,MATCH(ROWS($AG$2:AG264),$AG$2:$AG$1001,0),0), INDEX($AN$1004:$BO$1004,1,MATCH(COLUMNS($AN$1006:AP1006),$AN$1006:$BO$1006,0)))),"Fix")))</f>
        <v>0</v>
      </c>
      <c r="E264" s="4">
        <f>IF(OR(INDEX($AH$2:$AH$1001,MATCH(ROWS($AG$2:AG264),$AG$2:$AG$1001,0),1)&gt;=100000,INDEX($AN$1005:$BO$1005,1,MATCH(COLUMNS($AN$1006:AQ1006),$AN$1006:$BO$1006,0))&gt;=100000), " ",IF(INDEX($AN$2:$BO$1001,MATCH(ROWS($AG$2:AG264),$AG$2:$AG$1001,0),MATCH(COLUMNS($AN$1006:AQ1006),$AN$1006:$BO$1006,0)), HYPERLINK("#",""), HYPERLINK(CONCATENATE("#Metadata!", ADDRESS(INDEX($AI$2:$AI$1001,MATCH(ROWS($AG$2:AG264),$AG$2:$AG$1001,0),0), INDEX($AN$1004:$BO$1004,1,MATCH(COLUMNS($AN$1006:AQ1006),$AN$1006:$BO$1006,0)))),"Fix")))</f>
        <v>0</v>
      </c>
      <c r="F264" s="4">
        <f>IF(OR(INDEX($AH$2:$AH$1001,MATCH(ROWS($AG$2:AG264),$AG$2:$AG$1001,0),1)&gt;=100000,INDEX($AN$1005:$BO$1005,1,MATCH(COLUMNS($AN$1006:AR1006),$AN$1006:$BO$1006,0))&gt;=100000), " ",IF(INDEX($AN$2:$BO$1001,MATCH(ROWS($AG$2:AG264),$AG$2:$AG$1001,0),MATCH(COLUMNS($AN$1006:AR1006),$AN$1006:$BO$1006,0)), HYPERLINK("#",""), HYPERLINK(CONCATENATE("#Metadata!", ADDRESS(INDEX($AI$2:$AI$1001,MATCH(ROWS($AG$2:AG264),$AG$2:$AG$1001,0),0), INDEX($AN$1004:$BO$1004,1,MATCH(COLUMNS($AN$1006:AR1006),$AN$1006:$BO$1006,0)))),"Fix")))</f>
        <v>0</v>
      </c>
      <c r="G264" s="4">
        <f>IF(OR(INDEX($AH$2:$AH$1001,MATCH(ROWS($AG$2:AG264),$AG$2:$AG$1001,0),1)&gt;=100000,INDEX($AN$1005:$BO$1005,1,MATCH(COLUMNS($AN$1006:AS1006),$AN$1006:$BO$1006,0))&gt;=100000), " ",IF(INDEX($AN$2:$BO$1001,MATCH(ROWS($AG$2:AG264),$AG$2:$AG$1001,0),MATCH(COLUMNS($AN$1006:AS1006),$AN$1006:$BO$1006,0)), HYPERLINK("#",""), HYPERLINK(CONCATENATE("#Metadata!", ADDRESS(INDEX($AI$2:$AI$1001,MATCH(ROWS($AG$2:AG264),$AG$2:$AG$1001,0),0), INDEX($AN$1004:$BO$1004,1,MATCH(COLUMNS($AN$1006:AS1006),$AN$1006:$BO$1006,0)))),"Fix")))</f>
        <v>0</v>
      </c>
      <c r="H264" s="4">
        <f>IF(OR(INDEX($AH$2:$AH$1001,MATCH(ROWS($AG$2:AG264),$AG$2:$AG$1001,0),1)&gt;=100000,INDEX($AN$1005:$BO$1005,1,MATCH(COLUMNS($AN$1006:AT1006),$AN$1006:$BO$1006,0))&gt;=100000), " ",IF(INDEX($AN$2:$BO$1001,MATCH(ROWS($AG$2:AG264),$AG$2:$AG$1001,0),MATCH(COLUMNS($AN$1006:AT1006),$AN$1006:$BO$1006,0)), HYPERLINK("#",""), HYPERLINK(CONCATENATE("#Metadata!", ADDRESS(INDEX($AI$2:$AI$1001,MATCH(ROWS($AG$2:AG264),$AG$2:$AG$1001,0),0), INDEX($AN$1004:$BO$1004,1,MATCH(COLUMNS($AN$1006:AT1006),$AN$1006:$BO$1006,0)))),"Fix")))</f>
        <v>0</v>
      </c>
      <c r="I264" s="4">
        <f>IF(OR(INDEX($AH$2:$AH$1001,MATCH(ROWS($AG$2:AG264),$AG$2:$AG$1001,0),1)&gt;=100000,INDEX($AN$1005:$BO$1005,1,MATCH(COLUMNS($AN$1006:AU1006),$AN$1006:$BO$1006,0))&gt;=100000), " ",IF(INDEX($AN$2:$BO$1001,MATCH(ROWS($AG$2:AG264),$AG$2:$AG$1001,0),MATCH(COLUMNS($AN$1006:AU1006),$AN$1006:$BO$1006,0)), HYPERLINK("#",""), HYPERLINK(CONCATENATE("#Metadata!", ADDRESS(INDEX($AI$2:$AI$1001,MATCH(ROWS($AG$2:AG264),$AG$2:$AG$1001,0),0), INDEX($AN$1004:$BO$1004,1,MATCH(COLUMNS($AN$1006:AU1006),$AN$1006:$BO$1006,0)))),"Fix")))</f>
        <v>0</v>
      </c>
      <c r="J264" s="4">
        <f>IF(OR(INDEX($AH$2:$AH$1001,MATCH(ROWS($AG$2:AG264),$AG$2:$AG$1001,0),1)&gt;=100000,INDEX($AN$1005:$BO$1005,1,MATCH(COLUMNS($AN$1006:AV1006),$AN$1006:$BO$1006,0))&gt;=100000), " ",IF(INDEX($AN$2:$BO$1001,MATCH(ROWS($AG$2:AG264),$AG$2:$AG$1001,0),MATCH(COLUMNS($AN$1006:AV1006),$AN$1006:$BO$1006,0)), HYPERLINK("#",""), HYPERLINK(CONCATENATE("#Metadata!", ADDRESS(INDEX($AI$2:$AI$1001,MATCH(ROWS($AG$2:AG264),$AG$2:$AG$1001,0),0), INDEX($AN$1004:$BO$1004,1,MATCH(COLUMNS($AN$1006:AV1006),$AN$1006:$BO$1006,0)))),"Fix")))</f>
        <v>0</v>
      </c>
      <c r="K264" s="4">
        <f>IF(OR(INDEX($AH$2:$AH$1001,MATCH(ROWS($AG$2:AG264),$AG$2:$AG$1001,0),1)&gt;=100000,INDEX($AN$1005:$BO$1005,1,MATCH(COLUMNS($AN$1006:AW1006),$AN$1006:$BO$1006,0))&gt;=100000), " ",IF(INDEX($AN$2:$BO$1001,MATCH(ROWS($AG$2:AG264),$AG$2:$AG$1001,0),MATCH(COLUMNS($AN$1006:AW1006),$AN$1006:$BO$1006,0)), HYPERLINK("#",""), HYPERLINK(CONCATENATE("#Metadata!", ADDRESS(INDEX($AI$2:$AI$1001,MATCH(ROWS($AG$2:AG264),$AG$2:$AG$1001,0),0), INDEX($AN$1004:$BO$1004,1,MATCH(COLUMNS($AN$1006:AW1006),$AN$1006:$BO$1006,0)))),"Fix")))</f>
        <v>0</v>
      </c>
      <c r="L264" s="4">
        <f>IF(OR(INDEX($AH$2:$AH$1001,MATCH(ROWS($AG$2:AG264),$AG$2:$AG$1001,0),1)&gt;=100000,INDEX($AN$1005:$BO$1005,1,MATCH(COLUMNS($AN$1006:AX1006),$AN$1006:$BO$1006,0))&gt;=100000), " ",IF(INDEX($AN$2:$BO$1001,MATCH(ROWS($AG$2:AG264),$AG$2:$AG$1001,0),MATCH(COLUMNS($AN$1006:AX1006),$AN$1006:$BO$1006,0)), HYPERLINK("#",""), HYPERLINK(CONCATENATE("#Metadata!", ADDRESS(INDEX($AI$2:$AI$1001,MATCH(ROWS($AG$2:AG264),$AG$2:$AG$1001,0),0), INDEX($AN$1004:$BO$1004,1,MATCH(COLUMNS($AN$1006:AX1006),$AN$1006:$BO$1006,0)))),"Fix")))</f>
        <v>0</v>
      </c>
      <c r="M264" s="4">
        <f>IF(OR(INDEX($AH$2:$AH$1001,MATCH(ROWS($AG$2:AG264),$AG$2:$AG$1001,0),1)&gt;=100000,INDEX($AN$1005:$BO$1005,1,MATCH(COLUMNS($AN$1006:AY1006),$AN$1006:$BO$1006,0))&gt;=100000), " ",IF(INDEX($AN$2:$BO$1001,MATCH(ROWS($AG$2:AG264),$AG$2:$AG$1001,0),MATCH(COLUMNS($AN$1006:AY1006),$AN$1006:$BO$1006,0)), HYPERLINK("#",""), HYPERLINK(CONCATENATE("#Metadata!", ADDRESS(INDEX($AI$2:$AI$1001,MATCH(ROWS($AG$2:AG264),$AG$2:$AG$1001,0),0), INDEX($AN$1004:$BO$1004,1,MATCH(COLUMNS($AN$1006:AY1006),$AN$1006:$BO$1006,0)))),"Fix")))</f>
        <v>0</v>
      </c>
      <c r="N264" s="4">
        <f>IF(OR(INDEX($AH$2:$AH$1001,MATCH(ROWS($AG$2:AG264),$AG$2:$AG$1001,0),1)&gt;=100000,INDEX($AN$1005:$BO$1005,1,MATCH(COLUMNS($AN$1006:AZ1006),$AN$1006:$BO$1006,0))&gt;=100000), " ",IF(INDEX($AN$2:$BO$1001,MATCH(ROWS($AG$2:AG264),$AG$2:$AG$1001,0),MATCH(COLUMNS($AN$1006:AZ1006),$AN$1006:$BO$1006,0)), HYPERLINK("#",""), HYPERLINK(CONCATENATE("#Metadata!", ADDRESS(INDEX($AI$2:$AI$1001,MATCH(ROWS($AG$2:AG264),$AG$2:$AG$1001,0),0), INDEX($AN$1004:$BO$1004,1,MATCH(COLUMNS($AN$1006:AZ1006),$AN$1006:$BO$1006,0)))),"Fix")))</f>
        <v>0</v>
      </c>
      <c r="O264" s="4">
        <f>IF(OR(INDEX($AH$2:$AH$1001,MATCH(ROWS($AG$2:AG264),$AG$2:$AG$1001,0),1)&gt;=100000,INDEX($AN$1005:$BO$1005,1,MATCH(COLUMNS($AN$1006:BA1006),$AN$1006:$BO$1006,0))&gt;=100000), " ",IF(INDEX($AN$2:$BO$1001,MATCH(ROWS($AG$2:AG264),$AG$2:$AG$1001,0),MATCH(COLUMNS($AN$1006:BA1006),$AN$1006:$BO$1006,0)), HYPERLINK("#",""), HYPERLINK(CONCATENATE("#Metadata!", ADDRESS(INDEX($AI$2:$AI$1001,MATCH(ROWS($AG$2:AG264),$AG$2:$AG$1001,0),0), INDEX($AN$1004:$BO$1004,1,MATCH(COLUMNS($AN$1006:BA1006),$AN$1006:$BO$1006,0)))),"Fix")))</f>
        <v>0</v>
      </c>
      <c r="P264" s="4">
        <f>IF(OR(INDEX($AH$2:$AH$1001,MATCH(ROWS($AG$2:AG264),$AG$2:$AG$1001,0),1)&gt;=100000,INDEX($AN$1005:$BO$1005,1,MATCH(COLUMNS($AN$1006:BB1006),$AN$1006:$BO$1006,0))&gt;=100000), " ",IF(INDEX($AN$2:$BO$1001,MATCH(ROWS($AG$2:AG264),$AG$2:$AG$1001,0),MATCH(COLUMNS($AN$1006:BB1006),$AN$1006:$BO$1006,0)), HYPERLINK("#",""), HYPERLINK(CONCATENATE("#Metadata!", ADDRESS(INDEX($AI$2:$AI$1001,MATCH(ROWS($AG$2:AG264),$AG$2:$AG$1001,0),0), INDEX($AN$1004:$BO$1004,1,MATCH(COLUMNS($AN$1006:BB1006),$AN$1006:$BO$1006,0)))),"Fix")))</f>
        <v>0</v>
      </c>
      <c r="Q264" s="4">
        <f>IF(OR(INDEX($AH$2:$AH$1001,MATCH(ROWS($AG$2:AG264),$AG$2:$AG$1001,0),1)&gt;=100000,INDEX($AN$1005:$BO$1005,1,MATCH(COLUMNS($AN$1006:BC1006),$AN$1006:$BO$1006,0))&gt;=100000), " ",IF(INDEX($AN$2:$BO$1001,MATCH(ROWS($AG$2:AG264),$AG$2:$AG$1001,0),MATCH(COLUMNS($AN$1006:BC1006),$AN$1006:$BO$1006,0)), HYPERLINK("#",""), HYPERLINK(CONCATENATE("#Metadata!", ADDRESS(INDEX($AI$2:$AI$1001,MATCH(ROWS($AG$2:AG264),$AG$2:$AG$1001,0),0), INDEX($AN$1004:$BO$1004,1,MATCH(COLUMNS($AN$1006:BC1006),$AN$1006:$BO$1006,0)))),"Fix")))</f>
        <v>0</v>
      </c>
      <c r="R264" s="4">
        <f>IF(OR(INDEX($AH$2:$AH$1001,MATCH(ROWS($AG$2:AG264),$AG$2:$AG$1001,0),1)&gt;=100000,INDEX($AN$1005:$BO$1005,1,MATCH(COLUMNS($AN$1006:BD1006),$AN$1006:$BO$1006,0))&gt;=100000), " ",IF(INDEX($AN$2:$BO$1001,MATCH(ROWS($AG$2:AG264),$AG$2:$AG$1001,0),MATCH(COLUMNS($AN$1006:BD1006),$AN$1006:$BO$1006,0)), HYPERLINK("#",""), HYPERLINK(CONCATENATE("#Metadata!", ADDRESS(INDEX($AI$2:$AI$1001,MATCH(ROWS($AG$2:AG264),$AG$2:$AG$1001,0),0), INDEX($AN$1004:$BO$1004,1,MATCH(COLUMNS($AN$1006:BD1006),$AN$1006:$BO$1006,0)))),"Fix")))</f>
        <v>0</v>
      </c>
      <c r="S264" s="4">
        <f>IF(OR(INDEX($AH$2:$AH$1001,MATCH(ROWS($AG$2:AG264),$AG$2:$AG$1001,0),1)&gt;=100000,INDEX($AN$1005:$BO$1005,1,MATCH(COLUMNS($AN$1006:BE1006),$AN$1006:$BO$1006,0))&gt;=100000), " ",IF(INDEX($AN$2:$BO$1001,MATCH(ROWS($AG$2:AG264),$AG$2:$AG$1001,0),MATCH(COLUMNS($AN$1006:BE1006),$AN$1006:$BO$1006,0)), HYPERLINK("#",""), HYPERLINK(CONCATENATE("#Metadata!", ADDRESS(INDEX($AI$2:$AI$1001,MATCH(ROWS($AG$2:AG264),$AG$2:$AG$1001,0),0), INDEX($AN$1004:$BO$1004,1,MATCH(COLUMNS($AN$1006:BE1006),$AN$1006:$BO$1006,0)))),"Fix")))</f>
        <v>0</v>
      </c>
      <c r="T264" s="4">
        <f>IF(OR(INDEX($AH$2:$AH$1001,MATCH(ROWS($AG$2:AG264),$AG$2:$AG$1001,0),1)&gt;=100000,INDEX($AN$1005:$BO$1005,1,MATCH(COLUMNS($AN$1006:BF1006),$AN$1006:$BO$1006,0))&gt;=100000), " ",IF(INDEX($AN$2:$BO$1001,MATCH(ROWS($AG$2:AG264),$AG$2:$AG$1001,0),MATCH(COLUMNS($AN$1006:BF1006),$AN$1006:$BO$1006,0)), HYPERLINK("#",""), HYPERLINK(CONCATENATE("#Metadata!", ADDRESS(INDEX($AI$2:$AI$1001,MATCH(ROWS($AG$2:AG264),$AG$2:$AG$1001,0),0), INDEX($AN$1004:$BO$1004,1,MATCH(COLUMNS($AN$1006:BF1006),$AN$1006:$BO$1006,0)))),"Fix")))</f>
        <v>0</v>
      </c>
      <c r="U264" s="4">
        <f>IF(OR(INDEX($AH$2:$AH$1001,MATCH(ROWS($AG$2:AG264),$AG$2:$AG$1001,0),1)&gt;=100000,INDEX($AN$1005:$BO$1005,1,MATCH(COLUMNS($AN$1006:BG1006),$AN$1006:$BO$1006,0))&gt;=100000), " ",IF(INDEX($AN$2:$BO$1001,MATCH(ROWS($AG$2:AG264),$AG$2:$AG$1001,0),MATCH(COLUMNS($AN$1006:BG1006),$AN$1006:$BO$1006,0)), HYPERLINK("#",""), HYPERLINK(CONCATENATE("#Metadata!", ADDRESS(INDEX($AI$2:$AI$1001,MATCH(ROWS($AG$2:AG264),$AG$2:$AG$1001,0),0), INDEX($AN$1004:$BO$1004,1,MATCH(COLUMNS($AN$1006:BG1006),$AN$1006:$BO$1006,0)))),"Fix")))</f>
        <v>0</v>
      </c>
      <c r="V264" s="4">
        <f>IF(OR(INDEX($AH$2:$AH$1001,MATCH(ROWS($AG$2:AG264),$AG$2:$AG$1001,0),1)&gt;=100000,INDEX($AN$1005:$BO$1005,1,MATCH(COLUMNS($AN$1006:BH1006),$AN$1006:$BO$1006,0))&gt;=100000), " ",IF(INDEX($AN$2:$BO$1001,MATCH(ROWS($AG$2:AG264),$AG$2:$AG$1001,0),MATCH(COLUMNS($AN$1006:BH1006),$AN$1006:$BO$1006,0)), HYPERLINK("#",""), HYPERLINK(CONCATENATE("#Metadata!", ADDRESS(INDEX($AI$2:$AI$1001,MATCH(ROWS($AG$2:AG264),$AG$2:$AG$1001,0),0), INDEX($AN$1004:$BO$1004,1,MATCH(COLUMNS($AN$1006:BH1006),$AN$1006:$BO$1006,0)))),"Fix")))</f>
        <v>0</v>
      </c>
      <c r="W264" s="4">
        <f>IF(OR(INDEX($AH$2:$AH$1001,MATCH(ROWS($AG$2:AG264),$AG$2:$AG$1001,0),1)&gt;=100000,INDEX($AN$1005:$BO$1005,1,MATCH(COLUMNS($AN$1006:BI1006),$AN$1006:$BO$1006,0))&gt;=100000), " ",IF(INDEX($AN$2:$BO$1001,MATCH(ROWS($AG$2:AG264),$AG$2:$AG$1001,0),MATCH(COLUMNS($AN$1006:BI1006),$AN$1006:$BO$1006,0)), HYPERLINK("#",""), HYPERLINK(CONCATENATE("#Metadata!", ADDRESS(INDEX($AI$2:$AI$1001,MATCH(ROWS($AG$2:AG264),$AG$2:$AG$1001,0),0), INDEX($AN$1004:$BO$1004,1,MATCH(COLUMNS($AN$1006:BI1006),$AN$1006:$BO$1006,0)))),"Fix")))</f>
        <v>0</v>
      </c>
      <c r="X264" s="4">
        <f>IF(OR(INDEX($AH$2:$AH$1001,MATCH(ROWS($AG$2:AG264),$AG$2:$AG$1001,0),1)&gt;=100000,INDEX($AN$1005:$BO$1005,1,MATCH(COLUMNS($AN$1006:BJ1006),$AN$1006:$BO$1006,0))&gt;=100000), " ",IF(INDEX($AN$2:$BO$1001,MATCH(ROWS($AG$2:AG264),$AG$2:$AG$1001,0),MATCH(COLUMNS($AN$1006:BJ1006),$AN$1006:$BO$1006,0)), HYPERLINK("#",""), HYPERLINK(CONCATENATE("#Metadata!", ADDRESS(INDEX($AI$2:$AI$1001,MATCH(ROWS($AG$2:AG264),$AG$2:$AG$1001,0),0), INDEX($AN$1004:$BO$1004,1,MATCH(COLUMNS($AN$1006:BJ1006),$AN$1006:$BO$1006,0)))),"Fix")))</f>
        <v>0</v>
      </c>
      <c r="Y264" s="4">
        <f>IF(OR(INDEX($AH$2:$AH$1001,MATCH(ROWS($AG$2:AG264),$AG$2:$AG$1001,0),1)&gt;=100000,INDEX($AN$1005:$BO$1005,1,MATCH(COLUMNS($AN$1006:BK1006),$AN$1006:$BO$1006,0))&gt;=100000), " ",IF(INDEX($AN$2:$BO$1001,MATCH(ROWS($AG$2:AG264),$AG$2:$AG$1001,0),MATCH(COLUMNS($AN$1006:BK1006),$AN$1006:$BO$1006,0)), HYPERLINK("#",""), HYPERLINK(CONCATENATE("#Metadata!", ADDRESS(INDEX($AI$2:$AI$1001,MATCH(ROWS($AG$2:AG264),$AG$2:$AG$1001,0),0), INDEX($AN$1004:$BO$1004,1,MATCH(COLUMNS($AN$1006:BK1006),$AN$1006:$BO$1006,0)))),"Fix")))</f>
        <v>0</v>
      </c>
      <c r="Z264" s="4">
        <f>IF(OR(INDEX($AH$2:$AH$1001,MATCH(ROWS($AG$2:AG264),$AG$2:$AG$1001,0),1)&gt;=100000,INDEX($AN$1005:$BO$1005,1,MATCH(COLUMNS($AN$1006:BL1006),$AN$1006:$BO$1006,0))&gt;=100000), " ",IF(INDEX($AN$2:$BO$1001,MATCH(ROWS($AG$2:AG264),$AG$2:$AG$1001,0),MATCH(COLUMNS($AN$1006:BL1006),$AN$1006:$BO$1006,0)), HYPERLINK("#",""), HYPERLINK(CONCATENATE("#Metadata!", ADDRESS(INDEX($AI$2:$AI$1001,MATCH(ROWS($AG$2:AG264),$AG$2:$AG$1001,0),0), INDEX($AN$1004:$BO$1004,1,MATCH(COLUMNS($AN$1006:BL1006),$AN$1006:$BO$1006,0)))),"Fix")))</f>
        <v>0</v>
      </c>
      <c r="AA264" s="4">
        <f>IF(OR(INDEX($AH$2:$AH$1001,MATCH(ROWS($AG$2:AG264),$AG$2:$AG$1001,0),1)&gt;=100000,INDEX($AN$1005:$BO$1005,1,MATCH(COLUMNS($AN$1006:BM1006),$AN$1006:$BO$1006,0))&gt;=100000), " ",IF(INDEX($AN$2:$BO$1001,MATCH(ROWS($AG$2:AG264),$AG$2:$AG$1001,0),MATCH(COLUMNS($AN$1006:BM1006),$AN$1006:$BO$1006,0)), HYPERLINK("#",""), HYPERLINK(CONCATENATE("#Metadata!", ADDRESS(INDEX($AI$2:$AI$1001,MATCH(ROWS($AG$2:AG264),$AG$2:$AG$1001,0),0), INDEX($AN$1004:$BO$1004,1,MATCH(COLUMNS($AN$1006:BM1006),$AN$1006:$BO$1006,0)))),"Fix")))</f>
        <v>0</v>
      </c>
      <c r="AB264" s="4">
        <f>IF(OR(INDEX($AH$2:$AH$1001,MATCH(ROWS($AG$2:AG264),$AG$2:$AG$1001,0),1)&gt;=100000,INDEX($AN$1005:$BO$1005,1,MATCH(COLUMNS($AN$1006:BN1006),$AN$1006:$BO$1006,0))&gt;=100000), " ",IF(INDEX($AN$2:$BO$1001,MATCH(ROWS($AG$2:AG264),$AG$2:$AG$1001,0),MATCH(COLUMNS($AN$1006:BN1006),$AN$1006:$BO$1006,0)), HYPERLINK("#",""), HYPERLINK(CONCATENATE("#Metadata!", ADDRESS(INDEX($AI$2:$AI$1001,MATCH(ROWS($AG$2:AG264),$AG$2:$AG$1001,0),0), INDEX($AN$1004:$BO$1004,1,MATCH(COLUMNS($AN$1006:BN1006),$AN$1006:$BO$1006,0)))),"Fix")))</f>
        <v>0</v>
      </c>
      <c r="AC264" s="4">
        <f>IF(OR(INDEX($AH$2:$AH$1001,MATCH(ROWS($AG$2:AG264),$AG$2:$AG$1001,0),1)&gt;=100000,INDEX($AN$1005:$BO$1005,1,MATCH(COLUMNS($AN$1006:BO1006),$AN$1006:$BO$1006,0))&gt;=100000), " ",IF(INDEX($AN$2:$BO$1001,MATCH(ROWS($AG$2:AG264),$AG$2:$AG$1001,0),MATCH(COLUMNS($AN$1006:BO1006),$AN$1006:$BO$1006,0)), HYPERLINK("#",""), HYPERLINK(CONCATENATE("#Metadata!", ADDRESS(INDEX($AI$2:$AI$1001,MATCH(ROWS($AG$2:AG264),$AG$2:$AG$1001,0),0), INDEX($AN$1004:$BO$1004,1,MATCH(COLUMNS($AN$1006:BO1006),$AN$1006:$BO$1006,0)))),"Fix")))</f>
        <v>0</v>
      </c>
      <c r="AG264">
        <v>0</v>
      </c>
      <c r="AH264">
        <v>0</v>
      </c>
      <c r="AI264">
        <v>0</v>
      </c>
      <c r="AJ264">
        <f>IF(AK264,TRUE,AND(AN264:BO264))</f>
        <v>0</v>
      </c>
      <c r="AK264">
        <f>COUNTBLANK(Metadata!B264:AC264)=COLUMNS(Metadata!B264:AC264)</f>
        <v>0</v>
      </c>
      <c r="AL264">
        <v>0</v>
      </c>
      <c r="AN264">
        <f>AND(IF(Metadata!B264="",FALSE,TRUE),COUNTIF(Metadata!B:B, Metadata!B264) = 1,NOT(ISERROR(SUMPRODUCT(SEARCH(MID(Metadata!B264,ROW(INDIRECT("1:"&amp;LEN(Metadata!B264))), 1),"0123456789abcdefghijklmnopqrstuvwxyzABCDEFGHIJKLMNOPQRSTUVWXYZ.")))))</f>
        <v>0</v>
      </c>
      <c r="AO264">
        <f>IF(Metadata!C264="",FALSE,TRUE)</f>
        <v>0</v>
      </c>
      <c r="AP264">
        <f>IF(Metadata!D264="",FALSE,TRUE)</f>
        <v>0</v>
      </c>
      <c r="AQ264">
        <f>OR(AND(IF(Metadata!E264="",FALSE,TRUE),OR(exact(Metadata!E264,"not collected"),exact(Metadata!E264,"not provided"),exact(Metadata!E264,"restricted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R264">
        <f>IF(Metadata!F264="",FALSE,TRUE)</f>
        <v>0</v>
      </c>
      <c r="AS264">
        <f>OR(AND(IF(Metadata!G264="",FALSE,TRUE),OR(exact(Metadata!G264,"not collected"),exact(Metadata!G264,"not provided"))),AND(IF(Metadata!G264="",FALSE,TRUE),OR(exact(Metadata!G264,"TRUE"),exact(Metadata!G264,"FALSE"))))</f>
        <v>0</v>
      </c>
      <c r="AT264">
        <f>OR(AND(IF(Metadata!H264="",FALSE,TRUE),OR(exact(Metadata!H264,"not collected"),exact(Metadata!H264,"not provided"),exact(Metadata!H264,"restricted access"))),AND(IF(Metadata!H264="",FALSE,ISNUMBER(VALUE(Metadata!H264))),Metadata!H264&gt;=-413.0))</f>
        <v>0</v>
      </c>
      <c r="AU264">
        <f>AND(IF(Metadata!I264="",FALSE,TRUE),exact(Metadata!I264,"meters"))</f>
        <v>0</v>
      </c>
      <c r="AV264">
        <f>AND(IF(Metadata!J264="",FALSE,TRUE),OR(exact(Metadata!J264,"Host-associated"),exact(Metadata!J264,"Free-living")))</f>
        <v>0</v>
      </c>
      <c r="AW264">
        <f>AND(IF(Metadata!K264="",FALSE,TRUE),OR(exact(Metadata!K264,"Animal"),exact(Metadata!K264,"Fungus"),exact(Metadata!K264,"Plant"),exact(Metadata!K264,"Saline"),exact(Metadata!K264,"Non-saline")))</f>
        <v>0</v>
      </c>
      <c r="AX264">
        <f>AND(IF(Metadata!L264="",FALSE,TRUE),OR(exact(Metadata!L264,"Plant secretion"),exact(Metadata!L264,"Plant rhizosphere"),exact(Metadata!L264,"Plant surface"),exact(Metadata!L264,"Plant corpus"),exact(Metadata!L264,"Fungus surface"),exact(Metadata!L264,"Fungus corpus"),exact(Metadata!L264,"Animal surface"),exact(Metadata!L264,"Animal proximal gut"),exact(Metadata!L264,"Animal corpus"),exact(Metadata!L264,"Animal distal gut"),exact(Metadata!L264,"Animal secretion"),exact(Metadata!L264,"Sub-surface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Y264">
        <f>IF(Metadata!M264="",FALSE,TRUE)</f>
        <v>0</v>
      </c>
      <c r="AZ264">
        <f>IF(Metadata!N264="",FALSE,TRUE)</f>
        <v>0</v>
      </c>
      <c r="BA264">
        <f>IF(Metadata!O264="",FALSE,TRUE)</f>
        <v>0</v>
      </c>
      <c r="BB264">
        <f>OR(AND(IF(Metadata!P264="",FALSE,TRUE),OR(exact(Metadata!P264,"not collected"),exact(Metadata!P264,"not provided"),exact(Metadata!P264,"restricted access"))),AND(IF(Metadata!P264="",FALSE,TRUE),OR(exact(Metadata!P264,"air"),exact(Metadata!P264,"built environment"),exact(Metadata!P264,"host-associated"),exact(Metadata!P264,"human-associated"),exact(Metadata!P264,"human-skin"),exact(Metadata!P264,"human-oral"),exact(Metadata!P264,"human-gut"),exact(Metadata!P264,"human-vaginal"),exact(Metadata!P264,"microbial mat/biofilm"),exact(Metadata!P264,"misc environment"),exact(Metadata!P264,"plant-associated"),exact(Metadata!P264,"sediment"),exact(Metadata!P264,"soil"),exact(Metadata!P264,"wastewater/sludge"),exact(Metadata!P264,"water"))))</f>
        <v>0</v>
      </c>
      <c r="BC264">
        <f>IF(Metadata!Q264="",FALSE,TRUE)</f>
        <v>0</v>
      </c>
      <c r="BD264">
        <f>IF(Metadata!R264="",FALSE,TRUE)</f>
        <v>0</v>
      </c>
      <c r="BE264">
        <f>OR(AND(IF(Metadata!S264="",FALSE,TRUE),OR(exact(Metadata!S264,"not collected"),exact(Metadata!S264,"not provided"),exact(Metadata!S264,"restricted access"))),AND(IF(Metadata!S264="",FALSE,ISNUMBER(VALUE(Metadata!S264))),Metadata!S264&gt;=-90.00,Metadata!S264&lt;=90.00))</f>
        <v>0</v>
      </c>
      <c r="BF264">
        <f>AND(IF(Metadata!T264="",FALSE,TRUE),exact(Metadata!T264,"Decimal degrees"))</f>
        <v>0</v>
      </c>
      <c r="BG264">
        <f>OR(AND(IF(Metadata!U264="",FALSE,TRUE),OR(exact(Metadata!U264,"not collected"),exact(Metadata!U264,"not provided"),exact(Metadata!U264,"restricted access"))),AND(IF(Metadata!U264="",FALSE,ISNUMBER(VALUE(Metadata!U264))),Metadata!U264&gt;=-180.00,Metadata!U264&lt;=180.00))</f>
        <v>0</v>
      </c>
      <c r="BH264">
        <f>AND(IF(Metadata!V264="",FALSE,TRUE),exact(Metadata!V264,"Decimal degrees"))</f>
        <v>0</v>
      </c>
      <c r="BI264">
        <f>IF(Metadata!W264="",FALSE,TRUE)</f>
        <v>0</v>
      </c>
      <c r="BJ264">
        <f>OR(AND(IF(Metadata!X264="",FALSE,TRUE),OR(exact(Metadata!X264,"not collected"),exact(Metadata!X264,"not provided"),exact(Metadata!X264,"restricted access"))),AND(IF(Metadata!X264="",FALSE,TRUE),OR(exact(Metadata!X264,"TRUE"),exact(Metadata!X264,"FALSE"))))</f>
        <v>0</v>
      </c>
      <c r="BK264">
        <f>AND(IF(Metadata!Y264="",FALSE,TRUE),exact(Metadata!Y264,"other"))</f>
        <v>0</v>
      </c>
      <c r="BL264">
        <f>IF(Metadata!Z264="",FALSE,TRUE)</f>
        <v>0</v>
      </c>
      <c r="BM264">
        <f>OR(AND(IF(Metadata!AA264="",FALSE,TRUE),OR(exact(Metadata!AA264,"not collected"),exact(Metadata!AA264,"not provided"))),AND(IF(Metadata!AA264="",FALSE,IF(ISERROR(INT(Metadata!AA264)),FALSE,INT(Metadata!AA264)=Metadata!AA264)),Metadata!AA264&gt;0))</f>
        <v>0</v>
      </c>
      <c r="BN264">
        <f>AND(IF(Metadata!AB264="",FALSE,TRUE),exact(Metadata!AB264,"Not applicable"))</f>
        <v>0</v>
      </c>
      <c r="BO264">
        <f>IF(Metadata!AC264="",FALSE,TRUE)</f>
        <v>0</v>
      </c>
    </row>
    <row r="265" spans="1:67">
      <c r="A265" s="5">
        <f>IF(B265=" "," ",HYPERLINK(CONCATENATE("#metadata!",ADDRESS(INDEX($AI$2:$AI$1001,MATCH(ROWS($AG$2:AG265),$AG$2:$AG$1001,0),0),1)),INDEX($AL$2:$AL$1001,MATCH(ROWS($AG$2:AG265),$AG$2:$AG$1001,0),0)))</f>
        <v>0</v>
      </c>
      <c r="B265" s="4">
        <f>IF(OR(INDEX($AH$2:$AH$1001,MATCH(ROWS($AG$2:AG265),$AG$2:$AG$1001,0),1)&gt;=100000,INDEX($AN$1005:$BO$1005,1,MATCH(COLUMNS($AN$1006:AN1006),$AN$1006:$BO$1006,0))&gt;=100000), " ",IF(INDEX($AN$2:$BO$1001,MATCH(ROWS($AG$2:AG265),$AG$2:$AG$1001,0),MATCH(COLUMNS($AN$1006:AN1006),$AN$1006:$BO$1006,0)), HYPERLINK("#",""), HYPERLINK(CONCATENATE("#Metadata!", ADDRESS(INDEX($AI$2:$AI$1001,MATCH(ROWS($AG$2:AG265),$AG$2:$AG$1001,0),0), INDEX($AN$1004:$BO$1004,1,MATCH(COLUMNS($AN$1006:AN1006),$AN$1006:$BO$1006,0)))),"Fix")))</f>
        <v>0</v>
      </c>
      <c r="C265" s="4">
        <f>IF(OR(INDEX($AH$2:$AH$1001,MATCH(ROWS($AG$2:AG265),$AG$2:$AG$1001,0),1)&gt;=100000,INDEX($AN$1005:$BO$1005,1,MATCH(COLUMNS($AN$1006:AO1006),$AN$1006:$BO$1006,0))&gt;=100000), " ",IF(INDEX($AN$2:$BO$1001,MATCH(ROWS($AG$2:AG265),$AG$2:$AG$1001,0),MATCH(COLUMNS($AN$1006:AO1006),$AN$1006:$BO$1006,0)), HYPERLINK("#",""), HYPERLINK(CONCATENATE("#Metadata!", ADDRESS(INDEX($AI$2:$AI$1001,MATCH(ROWS($AG$2:AG265),$AG$2:$AG$1001,0),0), INDEX($AN$1004:$BO$1004,1,MATCH(COLUMNS($AN$1006:AO1006),$AN$1006:$BO$1006,0)))),"Fix")))</f>
        <v>0</v>
      </c>
      <c r="D265" s="4">
        <f>IF(OR(INDEX($AH$2:$AH$1001,MATCH(ROWS($AG$2:AG265),$AG$2:$AG$1001,0),1)&gt;=100000,INDEX($AN$1005:$BO$1005,1,MATCH(COLUMNS($AN$1006:AP1006),$AN$1006:$BO$1006,0))&gt;=100000), " ",IF(INDEX($AN$2:$BO$1001,MATCH(ROWS($AG$2:AG265),$AG$2:$AG$1001,0),MATCH(COLUMNS($AN$1006:AP1006),$AN$1006:$BO$1006,0)), HYPERLINK("#",""), HYPERLINK(CONCATENATE("#Metadata!", ADDRESS(INDEX($AI$2:$AI$1001,MATCH(ROWS($AG$2:AG265),$AG$2:$AG$1001,0),0), INDEX($AN$1004:$BO$1004,1,MATCH(COLUMNS($AN$1006:AP1006),$AN$1006:$BO$1006,0)))),"Fix")))</f>
        <v>0</v>
      </c>
      <c r="E265" s="4">
        <f>IF(OR(INDEX($AH$2:$AH$1001,MATCH(ROWS($AG$2:AG265),$AG$2:$AG$1001,0),1)&gt;=100000,INDEX($AN$1005:$BO$1005,1,MATCH(COLUMNS($AN$1006:AQ1006),$AN$1006:$BO$1006,0))&gt;=100000), " ",IF(INDEX($AN$2:$BO$1001,MATCH(ROWS($AG$2:AG265),$AG$2:$AG$1001,0),MATCH(COLUMNS($AN$1006:AQ1006),$AN$1006:$BO$1006,0)), HYPERLINK("#",""), HYPERLINK(CONCATENATE("#Metadata!", ADDRESS(INDEX($AI$2:$AI$1001,MATCH(ROWS($AG$2:AG265),$AG$2:$AG$1001,0),0), INDEX($AN$1004:$BO$1004,1,MATCH(COLUMNS($AN$1006:AQ1006),$AN$1006:$BO$1006,0)))),"Fix")))</f>
        <v>0</v>
      </c>
      <c r="F265" s="4">
        <f>IF(OR(INDEX($AH$2:$AH$1001,MATCH(ROWS($AG$2:AG265),$AG$2:$AG$1001,0),1)&gt;=100000,INDEX($AN$1005:$BO$1005,1,MATCH(COLUMNS($AN$1006:AR1006),$AN$1006:$BO$1006,0))&gt;=100000), " ",IF(INDEX($AN$2:$BO$1001,MATCH(ROWS($AG$2:AG265),$AG$2:$AG$1001,0),MATCH(COLUMNS($AN$1006:AR1006),$AN$1006:$BO$1006,0)), HYPERLINK("#",""), HYPERLINK(CONCATENATE("#Metadata!", ADDRESS(INDEX($AI$2:$AI$1001,MATCH(ROWS($AG$2:AG265),$AG$2:$AG$1001,0),0), INDEX($AN$1004:$BO$1004,1,MATCH(COLUMNS($AN$1006:AR1006),$AN$1006:$BO$1006,0)))),"Fix")))</f>
        <v>0</v>
      </c>
      <c r="G265" s="4">
        <f>IF(OR(INDEX($AH$2:$AH$1001,MATCH(ROWS($AG$2:AG265),$AG$2:$AG$1001,0),1)&gt;=100000,INDEX($AN$1005:$BO$1005,1,MATCH(COLUMNS($AN$1006:AS1006),$AN$1006:$BO$1006,0))&gt;=100000), " ",IF(INDEX($AN$2:$BO$1001,MATCH(ROWS($AG$2:AG265),$AG$2:$AG$1001,0),MATCH(COLUMNS($AN$1006:AS1006),$AN$1006:$BO$1006,0)), HYPERLINK("#",""), HYPERLINK(CONCATENATE("#Metadata!", ADDRESS(INDEX($AI$2:$AI$1001,MATCH(ROWS($AG$2:AG265),$AG$2:$AG$1001,0),0), INDEX($AN$1004:$BO$1004,1,MATCH(COLUMNS($AN$1006:AS1006),$AN$1006:$BO$1006,0)))),"Fix")))</f>
        <v>0</v>
      </c>
      <c r="H265" s="4">
        <f>IF(OR(INDEX($AH$2:$AH$1001,MATCH(ROWS($AG$2:AG265),$AG$2:$AG$1001,0),1)&gt;=100000,INDEX($AN$1005:$BO$1005,1,MATCH(COLUMNS($AN$1006:AT1006),$AN$1006:$BO$1006,0))&gt;=100000), " ",IF(INDEX($AN$2:$BO$1001,MATCH(ROWS($AG$2:AG265),$AG$2:$AG$1001,0),MATCH(COLUMNS($AN$1006:AT1006),$AN$1006:$BO$1006,0)), HYPERLINK("#",""), HYPERLINK(CONCATENATE("#Metadata!", ADDRESS(INDEX($AI$2:$AI$1001,MATCH(ROWS($AG$2:AG265),$AG$2:$AG$1001,0),0), INDEX($AN$1004:$BO$1004,1,MATCH(COLUMNS($AN$1006:AT1006),$AN$1006:$BO$1006,0)))),"Fix")))</f>
        <v>0</v>
      </c>
      <c r="I265" s="4">
        <f>IF(OR(INDEX($AH$2:$AH$1001,MATCH(ROWS($AG$2:AG265),$AG$2:$AG$1001,0),1)&gt;=100000,INDEX($AN$1005:$BO$1005,1,MATCH(COLUMNS($AN$1006:AU1006),$AN$1006:$BO$1006,0))&gt;=100000), " ",IF(INDEX($AN$2:$BO$1001,MATCH(ROWS($AG$2:AG265),$AG$2:$AG$1001,0),MATCH(COLUMNS($AN$1006:AU1006),$AN$1006:$BO$1006,0)), HYPERLINK("#",""), HYPERLINK(CONCATENATE("#Metadata!", ADDRESS(INDEX($AI$2:$AI$1001,MATCH(ROWS($AG$2:AG265),$AG$2:$AG$1001,0),0), INDEX($AN$1004:$BO$1004,1,MATCH(COLUMNS($AN$1006:AU1006),$AN$1006:$BO$1006,0)))),"Fix")))</f>
        <v>0</v>
      </c>
      <c r="J265" s="4">
        <f>IF(OR(INDEX($AH$2:$AH$1001,MATCH(ROWS($AG$2:AG265),$AG$2:$AG$1001,0),1)&gt;=100000,INDEX($AN$1005:$BO$1005,1,MATCH(COLUMNS($AN$1006:AV1006),$AN$1006:$BO$1006,0))&gt;=100000), " ",IF(INDEX($AN$2:$BO$1001,MATCH(ROWS($AG$2:AG265),$AG$2:$AG$1001,0),MATCH(COLUMNS($AN$1006:AV1006),$AN$1006:$BO$1006,0)), HYPERLINK("#",""), HYPERLINK(CONCATENATE("#Metadata!", ADDRESS(INDEX($AI$2:$AI$1001,MATCH(ROWS($AG$2:AG265),$AG$2:$AG$1001,0),0), INDEX($AN$1004:$BO$1004,1,MATCH(COLUMNS($AN$1006:AV1006),$AN$1006:$BO$1006,0)))),"Fix")))</f>
        <v>0</v>
      </c>
      <c r="K265" s="4">
        <f>IF(OR(INDEX($AH$2:$AH$1001,MATCH(ROWS($AG$2:AG265),$AG$2:$AG$1001,0),1)&gt;=100000,INDEX($AN$1005:$BO$1005,1,MATCH(COLUMNS($AN$1006:AW1006),$AN$1006:$BO$1006,0))&gt;=100000), " ",IF(INDEX($AN$2:$BO$1001,MATCH(ROWS($AG$2:AG265),$AG$2:$AG$1001,0),MATCH(COLUMNS($AN$1006:AW1006),$AN$1006:$BO$1006,0)), HYPERLINK("#",""), HYPERLINK(CONCATENATE("#Metadata!", ADDRESS(INDEX($AI$2:$AI$1001,MATCH(ROWS($AG$2:AG265),$AG$2:$AG$1001,0),0), INDEX($AN$1004:$BO$1004,1,MATCH(COLUMNS($AN$1006:AW1006),$AN$1006:$BO$1006,0)))),"Fix")))</f>
        <v>0</v>
      </c>
      <c r="L265" s="4">
        <f>IF(OR(INDEX($AH$2:$AH$1001,MATCH(ROWS($AG$2:AG265),$AG$2:$AG$1001,0),1)&gt;=100000,INDEX($AN$1005:$BO$1005,1,MATCH(COLUMNS($AN$1006:AX1006),$AN$1006:$BO$1006,0))&gt;=100000), " ",IF(INDEX($AN$2:$BO$1001,MATCH(ROWS($AG$2:AG265),$AG$2:$AG$1001,0),MATCH(COLUMNS($AN$1006:AX1006),$AN$1006:$BO$1006,0)), HYPERLINK("#",""), HYPERLINK(CONCATENATE("#Metadata!", ADDRESS(INDEX($AI$2:$AI$1001,MATCH(ROWS($AG$2:AG265),$AG$2:$AG$1001,0),0), INDEX($AN$1004:$BO$1004,1,MATCH(COLUMNS($AN$1006:AX1006),$AN$1006:$BO$1006,0)))),"Fix")))</f>
        <v>0</v>
      </c>
      <c r="M265" s="4">
        <f>IF(OR(INDEX($AH$2:$AH$1001,MATCH(ROWS($AG$2:AG265),$AG$2:$AG$1001,0),1)&gt;=100000,INDEX($AN$1005:$BO$1005,1,MATCH(COLUMNS($AN$1006:AY1006),$AN$1006:$BO$1006,0))&gt;=100000), " ",IF(INDEX($AN$2:$BO$1001,MATCH(ROWS($AG$2:AG265),$AG$2:$AG$1001,0),MATCH(COLUMNS($AN$1006:AY1006),$AN$1006:$BO$1006,0)), HYPERLINK("#",""), HYPERLINK(CONCATENATE("#Metadata!", ADDRESS(INDEX($AI$2:$AI$1001,MATCH(ROWS($AG$2:AG265),$AG$2:$AG$1001,0),0), INDEX($AN$1004:$BO$1004,1,MATCH(COLUMNS($AN$1006:AY1006),$AN$1006:$BO$1006,0)))),"Fix")))</f>
        <v>0</v>
      </c>
      <c r="N265" s="4">
        <f>IF(OR(INDEX($AH$2:$AH$1001,MATCH(ROWS($AG$2:AG265),$AG$2:$AG$1001,0),1)&gt;=100000,INDEX($AN$1005:$BO$1005,1,MATCH(COLUMNS($AN$1006:AZ1006),$AN$1006:$BO$1006,0))&gt;=100000), " ",IF(INDEX($AN$2:$BO$1001,MATCH(ROWS($AG$2:AG265),$AG$2:$AG$1001,0),MATCH(COLUMNS($AN$1006:AZ1006),$AN$1006:$BO$1006,0)), HYPERLINK("#",""), HYPERLINK(CONCATENATE("#Metadata!", ADDRESS(INDEX($AI$2:$AI$1001,MATCH(ROWS($AG$2:AG265),$AG$2:$AG$1001,0),0), INDEX($AN$1004:$BO$1004,1,MATCH(COLUMNS($AN$1006:AZ1006),$AN$1006:$BO$1006,0)))),"Fix")))</f>
        <v>0</v>
      </c>
      <c r="O265" s="4">
        <f>IF(OR(INDEX($AH$2:$AH$1001,MATCH(ROWS($AG$2:AG265),$AG$2:$AG$1001,0),1)&gt;=100000,INDEX($AN$1005:$BO$1005,1,MATCH(COLUMNS($AN$1006:BA1006),$AN$1006:$BO$1006,0))&gt;=100000), " ",IF(INDEX($AN$2:$BO$1001,MATCH(ROWS($AG$2:AG265),$AG$2:$AG$1001,0),MATCH(COLUMNS($AN$1006:BA1006),$AN$1006:$BO$1006,0)), HYPERLINK("#",""), HYPERLINK(CONCATENATE("#Metadata!", ADDRESS(INDEX($AI$2:$AI$1001,MATCH(ROWS($AG$2:AG265),$AG$2:$AG$1001,0),0), INDEX($AN$1004:$BO$1004,1,MATCH(COLUMNS($AN$1006:BA1006),$AN$1006:$BO$1006,0)))),"Fix")))</f>
        <v>0</v>
      </c>
      <c r="P265" s="4">
        <f>IF(OR(INDEX($AH$2:$AH$1001,MATCH(ROWS($AG$2:AG265),$AG$2:$AG$1001,0),1)&gt;=100000,INDEX($AN$1005:$BO$1005,1,MATCH(COLUMNS($AN$1006:BB1006),$AN$1006:$BO$1006,0))&gt;=100000), " ",IF(INDEX($AN$2:$BO$1001,MATCH(ROWS($AG$2:AG265),$AG$2:$AG$1001,0),MATCH(COLUMNS($AN$1006:BB1006),$AN$1006:$BO$1006,0)), HYPERLINK("#",""), HYPERLINK(CONCATENATE("#Metadata!", ADDRESS(INDEX($AI$2:$AI$1001,MATCH(ROWS($AG$2:AG265),$AG$2:$AG$1001,0),0), INDEX($AN$1004:$BO$1004,1,MATCH(COLUMNS($AN$1006:BB1006),$AN$1006:$BO$1006,0)))),"Fix")))</f>
        <v>0</v>
      </c>
      <c r="Q265" s="4">
        <f>IF(OR(INDEX($AH$2:$AH$1001,MATCH(ROWS($AG$2:AG265),$AG$2:$AG$1001,0),1)&gt;=100000,INDEX($AN$1005:$BO$1005,1,MATCH(COLUMNS($AN$1006:BC1006),$AN$1006:$BO$1006,0))&gt;=100000), " ",IF(INDEX($AN$2:$BO$1001,MATCH(ROWS($AG$2:AG265),$AG$2:$AG$1001,0),MATCH(COLUMNS($AN$1006:BC1006),$AN$1006:$BO$1006,0)), HYPERLINK("#",""), HYPERLINK(CONCATENATE("#Metadata!", ADDRESS(INDEX($AI$2:$AI$1001,MATCH(ROWS($AG$2:AG265),$AG$2:$AG$1001,0),0), INDEX($AN$1004:$BO$1004,1,MATCH(COLUMNS($AN$1006:BC1006),$AN$1006:$BO$1006,0)))),"Fix")))</f>
        <v>0</v>
      </c>
      <c r="R265" s="4">
        <f>IF(OR(INDEX($AH$2:$AH$1001,MATCH(ROWS($AG$2:AG265),$AG$2:$AG$1001,0),1)&gt;=100000,INDEX($AN$1005:$BO$1005,1,MATCH(COLUMNS($AN$1006:BD1006),$AN$1006:$BO$1006,0))&gt;=100000), " ",IF(INDEX($AN$2:$BO$1001,MATCH(ROWS($AG$2:AG265),$AG$2:$AG$1001,0),MATCH(COLUMNS($AN$1006:BD1006),$AN$1006:$BO$1006,0)), HYPERLINK("#",""), HYPERLINK(CONCATENATE("#Metadata!", ADDRESS(INDEX($AI$2:$AI$1001,MATCH(ROWS($AG$2:AG265),$AG$2:$AG$1001,0),0), INDEX($AN$1004:$BO$1004,1,MATCH(COLUMNS($AN$1006:BD1006),$AN$1006:$BO$1006,0)))),"Fix")))</f>
        <v>0</v>
      </c>
      <c r="S265" s="4">
        <f>IF(OR(INDEX($AH$2:$AH$1001,MATCH(ROWS($AG$2:AG265),$AG$2:$AG$1001,0),1)&gt;=100000,INDEX($AN$1005:$BO$1005,1,MATCH(COLUMNS($AN$1006:BE1006),$AN$1006:$BO$1006,0))&gt;=100000), " ",IF(INDEX($AN$2:$BO$1001,MATCH(ROWS($AG$2:AG265),$AG$2:$AG$1001,0),MATCH(COLUMNS($AN$1006:BE1006),$AN$1006:$BO$1006,0)), HYPERLINK("#",""), HYPERLINK(CONCATENATE("#Metadata!", ADDRESS(INDEX($AI$2:$AI$1001,MATCH(ROWS($AG$2:AG265),$AG$2:$AG$1001,0),0), INDEX($AN$1004:$BO$1004,1,MATCH(COLUMNS($AN$1006:BE1006),$AN$1006:$BO$1006,0)))),"Fix")))</f>
        <v>0</v>
      </c>
      <c r="T265" s="4">
        <f>IF(OR(INDEX($AH$2:$AH$1001,MATCH(ROWS($AG$2:AG265),$AG$2:$AG$1001,0),1)&gt;=100000,INDEX($AN$1005:$BO$1005,1,MATCH(COLUMNS($AN$1006:BF1006),$AN$1006:$BO$1006,0))&gt;=100000), " ",IF(INDEX($AN$2:$BO$1001,MATCH(ROWS($AG$2:AG265),$AG$2:$AG$1001,0),MATCH(COLUMNS($AN$1006:BF1006),$AN$1006:$BO$1006,0)), HYPERLINK("#",""), HYPERLINK(CONCATENATE("#Metadata!", ADDRESS(INDEX($AI$2:$AI$1001,MATCH(ROWS($AG$2:AG265),$AG$2:$AG$1001,0),0), INDEX($AN$1004:$BO$1004,1,MATCH(COLUMNS($AN$1006:BF1006),$AN$1006:$BO$1006,0)))),"Fix")))</f>
        <v>0</v>
      </c>
      <c r="U265" s="4">
        <f>IF(OR(INDEX($AH$2:$AH$1001,MATCH(ROWS($AG$2:AG265),$AG$2:$AG$1001,0),1)&gt;=100000,INDEX($AN$1005:$BO$1005,1,MATCH(COLUMNS($AN$1006:BG1006),$AN$1006:$BO$1006,0))&gt;=100000), " ",IF(INDEX($AN$2:$BO$1001,MATCH(ROWS($AG$2:AG265),$AG$2:$AG$1001,0),MATCH(COLUMNS($AN$1006:BG1006),$AN$1006:$BO$1006,0)), HYPERLINK("#",""), HYPERLINK(CONCATENATE("#Metadata!", ADDRESS(INDEX($AI$2:$AI$1001,MATCH(ROWS($AG$2:AG265),$AG$2:$AG$1001,0),0), INDEX($AN$1004:$BO$1004,1,MATCH(COLUMNS($AN$1006:BG1006),$AN$1006:$BO$1006,0)))),"Fix")))</f>
        <v>0</v>
      </c>
      <c r="V265" s="4">
        <f>IF(OR(INDEX($AH$2:$AH$1001,MATCH(ROWS($AG$2:AG265),$AG$2:$AG$1001,0),1)&gt;=100000,INDEX($AN$1005:$BO$1005,1,MATCH(COLUMNS($AN$1006:BH1006),$AN$1006:$BO$1006,0))&gt;=100000), " ",IF(INDEX($AN$2:$BO$1001,MATCH(ROWS($AG$2:AG265),$AG$2:$AG$1001,0),MATCH(COLUMNS($AN$1006:BH1006),$AN$1006:$BO$1006,0)), HYPERLINK("#",""), HYPERLINK(CONCATENATE("#Metadata!", ADDRESS(INDEX($AI$2:$AI$1001,MATCH(ROWS($AG$2:AG265),$AG$2:$AG$1001,0),0), INDEX($AN$1004:$BO$1004,1,MATCH(COLUMNS($AN$1006:BH1006),$AN$1006:$BO$1006,0)))),"Fix")))</f>
        <v>0</v>
      </c>
      <c r="W265" s="4">
        <f>IF(OR(INDEX($AH$2:$AH$1001,MATCH(ROWS($AG$2:AG265),$AG$2:$AG$1001,0),1)&gt;=100000,INDEX($AN$1005:$BO$1005,1,MATCH(COLUMNS($AN$1006:BI1006),$AN$1006:$BO$1006,0))&gt;=100000), " ",IF(INDEX($AN$2:$BO$1001,MATCH(ROWS($AG$2:AG265),$AG$2:$AG$1001,0),MATCH(COLUMNS($AN$1006:BI1006),$AN$1006:$BO$1006,0)), HYPERLINK("#",""), HYPERLINK(CONCATENATE("#Metadata!", ADDRESS(INDEX($AI$2:$AI$1001,MATCH(ROWS($AG$2:AG265),$AG$2:$AG$1001,0),0), INDEX($AN$1004:$BO$1004,1,MATCH(COLUMNS($AN$1006:BI1006),$AN$1006:$BO$1006,0)))),"Fix")))</f>
        <v>0</v>
      </c>
      <c r="X265" s="4">
        <f>IF(OR(INDEX($AH$2:$AH$1001,MATCH(ROWS($AG$2:AG265),$AG$2:$AG$1001,0),1)&gt;=100000,INDEX($AN$1005:$BO$1005,1,MATCH(COLUMNS($AN$1006:BJ1006),$AN$1006:$BO$1006,0))&gt;=100000), " ",IF(INDEX($AN$2:$BO$1001,MATCH(ROWS($AG$2:AG265),$AG$2:$AG$1001,0),MATCH(COLUMNS($AN$1006:BJ1006),$AN$1006:$BO$1006,0)), HYPERLINK("#",""), HYPERLINK(CONCATENATE("#Metadata!", ADDRESS(INDEX($AI$2:$AI$1001,MATCH(ROWS($AG$2:AG265),$AG$2:$AG$1001,0),0), INDEX($AN$1004:$BO$1004,1,MATCH(COLUMNS($AN$1006:BJ1006),$AN$1006:$BO$1006,0)))),"Fix")))</f>
        <v>0</v>
      </c>
      <c r="Y265" s="4">
        <f>IF(OR(INDEX($AH$2:$AH$1001,MATCH(ROWS($AG$2:AG265),$AG$2:$AG$1001,0),1)&gt;=100000,INDEX($AN$1005:$BO$1005,1,MATCH(COLUMNS($AN$1006:BK1006),$AN$1006:$BO$1006,0))&gt;=100000), " ",IF(INDEX($AN$2:$BO$1001,MATCH(ROWS($AG$2:AG265),$AG$2:$AG$1001,0),MATCH(COLUMNS($AN$1006:BK1006),$AN$1006:$BO$1006,0)), HYPERLINK("#",""), HYPERLINK(CONCATENATE("#Metadata!", ADDRESS(INDEX($AI$2:$AI$1001,MATCH(ROWS($AG$2:AG265),$AG$2:$AG$1001,0),0), INDEX($AN$1004:$BO$1004,1,MATCH(COLUMNS($AN$1006:BK1006),$AN$1006:$BO$1006,0)))),"Fix")))</f>
        <v>0</v>
      </c>
      <c r="Z265" s="4">
        <f>IF(OR(INDEX($AH$2:$AH$1001,MATCH(ROWS($AG$2:AG265),$AG$2:$AG$1001,0),1)&gt;=100000,INDEX($AN$1005:$BO$1005,1,MATCH(COLUMNS($AN$1006:BL1006),$AN$1006:$BO$1006,0))&gt;=100000), " ",IF(INDEX($AN$2:$BO$1001,MATCH(ROWS($AG$2:AG265),$AG$2:$AG$1001,0),MATCH(COLUMNS($AN$1006:BL1006),$AN$1006:$BO$1006,0)), HYPERLINK("#",""), HYPERLINK(CONCATENATE("#Metadata!", ADDRESS(INDEX($AI$2:$AI$1001,MATCH(ROWS($AG$2:AG265),$AG$2:$AG$1001,0),0), INDEX($AN$1004:$BO$1004,1,MATCH(COLUMNS($AN$1006:BL1006),$AN$1006:$BO$1006,0)))),"Fix")))</f>
        <v>0</v>
      </c>
      <c r="AA265" s="4">
        <f>IF(OR(INDEX($AH$2:$AH$1001,MATCH(ROWS($AG$2:AG265),$AG$2:$AG$1001,0),1)&gt;=100000,INDEX($AN$1005:$BO$1005,1,MATCH(COLUMNS($AN$1006:BM1006),$AN$1006:$BO$1006,0))&gt;=100000), " ",IF(INDEX($AN$2:$BO$1001,MATCH(ROWS($AG$2:AG265),$AG$2:$AG$1001,0),MATCH(COLUMNS($AN$1006:BM1006),$AN$1006:$BO$1006,0)), HYPERLINK("#",""), HYPERLINK(CONCATENATE("#Metadata!", ADDRESS(INDEX($AI$2:$AI$1001,MATCH(ROWS($AG$2:AG265),$AG$2:$AG$1001,0),0), INDEX($AN$1004:$BO$1004,1,MATCH(COLUMNS($AN$1006:BM1006),$AN$1006:$BO$1006,0)))),"Fix")))</f>
        <v>0</v>
      </c>
      <c r="AB265" s="4">
        <f>IF(OR(INDEX($AH$2:$AH$1001,MATCH(ROWS($AG$2:AG265),$AG$2:$AG$1001,0),1)&gt;=100000,INDEX($AN$1005:$BO$1005,1,MATCH(COLUMNS($AN$1006:BN1006),$AN$1006:$BO$1006,0))&gt;=100000), " ",IF(INDEX($AN$2:$BO$1001,MATCH(ROWS($AG$2:AG265),$AG$2:$AG$1001,0),MATCH(COLUMNS($AN$1006:BN1006),$AN$1006:$BO$1006,0)), HYPERLINK("#",""), HYPERLINK(CONCATENATE("#Metadata!", ADDRESS(INDEX($AI$2:$AI$1001,MATCH(ROWS($AG$2:AG265),$AG$2:$AG$1001,0),0), INDEX($AN$1004:$BO$1004,1,MATCH(COLUMNS($AN$1006:BN1006),$AN$1006:$BO$1006,0)))),"Fix")))</f>
        <v>0</v>
      </c>
      <c r="AC265" s="4">
        <f>IF(OR(INDEX($AH$2:$AH$1001,MATCH(ROWS($AG$2:AG265),$AG$2:$AG$1001,0),1)&gt;=100000,INDEX($AN$1005:$BO$1005,1,MATCH(COLUMNS($AN$1006:BO1006),$AN$1006:$BO$1006,0))&gt;=100000), " ",IF(INDEX($AN$2:$BO$1001,MATCH(ROWS($AG$2:AG265),$AG$2:$AG$1001,0),MATCH(COLUMNS($AN$1006:BO1006),$AN$1006:$BO$1006,0)), HYPERLINK("#",""), HYPERLINK(CONCATENATE("#Metadata!", ADDRESS(INDEX($AI$2:$AI$1001,MATCH(ROWS($AG$2:AG265),$AG$2:$AG$1001,0),0), INDEX($AN$1004:$BO$1004,1,MATCH(COLUMNS($AN$1006:BO1006),$AN$1006:$BO$1006,0)))),"Fix")))</f>
        <v>0</v>
      </c>
      <c r="AG265">
        <v>0</v>
      </c>
      <c r="AH265">
        <v>0</v>
      </c>
      <c r="AI265">
        <v>0</v>
      </c>
      <c r="AJ265">
        <f>IF(AK265,TRUE,AND(AN265:BO265))</f>
        <v>0</v>
      </c>
      <c r="AK265">
        <f>COUNTBLANK(Metadata!B265:AC265)=COLUMNS(Metadata!B265:AC265)</f>
        <v>0</v>
      </c>
      <c r="AL265">
        <v>0</v>
      </c>
      <c r="AN265">
        <f>AND(IF(Metadata!B265="",FALSE,TRUE),COUNTIF(Metadata!B:B, Metadata!B265) = 1,NOT(ISERROR(SUMPRODUCT(SEARCH(MID(Metadata!B265,ROW(INDIRECT("1:"&amp;LEN(Metadata!B265))), 1),"0123456789abcdefghijklmnopqrstuvwxyzABCDEFGHIJKLMNOPQRSTUVWXYZ.")))))</f>
        <v>0</v>
      </c>
      <c r="AO265">
        <f>IF(Metadata!C265="",FALSE,TRUE)</f>
        <v>0</v>
      </c>
      <c r="AP265">
        <f>IF(Metadata!D265="",FALSE,TRUE)</f>
        <v>0</v>
      </c>
      <c r="AQ265">
        <f>OR(AND(IF(Metadata!E265="",FALSE,TRUE),OR(exact(Metadata!E265,"not collected"),exact(Metadata!E265,"not provided"),exact(Metadata!E265,"restricted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R265">
        <f>IF(Metadata!F265="",FALSE,TRUE)</f>
        <v>0</v>
      </c>
      <c r="AS265">
        <f>OR(AND(IF(Metadata!G265="",FALSE,TRUE),OR(exact(Metadata!G265,"not collected"),exact(Metadata!G265,"not provided"))),AND(IF(Metadata!G265="",FALSE,TRUE),OR(exact(Metadata!G265,"TRUE"),exact(Metadata!G265,"FALSE"))))</f>
        <v>0</v>
      </c>
      <c r="AT265">
        <f>OR(AND(IF(Metadata!H265="",FALSE,TRUE),OR(exact(Metadata!H265,"not collected"),exact(Metadata!H265,"not provided"),exact(Metadata!H265,"restricted access"))),AND(IF(Metadata!H265="",FALSE,ISNUMBER(VALUE(Metadata!H265))),Metadata!H265&gt;=-413.0))</f>
        <v>0</v>
      </c>
      <c r="AU265">
        <f>AND(IF(Metadata!I265="",FALSE,TRUE),exact(Metadata!I265,"meters"))</f>
        <v>0</v>
      </c>
      <c r="AV265">
        <f>AND(IF(Metadata!J265="",FALSE,TRUE),OR(exact(Metadata!J265,"Host-associated"),exact(Metadata!J265,"Free-living")))</f>
        <v>0</v>
      </c>
      <c r="AW265">
        <f>AND(IF(Metadata!K265="",FALSE,TRUE),OR(exact(Metadata!K265,"Animal"),exact(Metadata!K265,"Fungus"),exact(Metadata!K265,"Plant"),exact(Metadata!K265,"Saline"),exact(Metadata!K265,"Non-saline")))</f>
        <v>0</v>
      </c>
      <c r="AX265">
        <f>AND(IF(Metadata!L265="",FALSE,TRUE),OR(exact(Metadata!L265,"Plant secretion"),exact(Metadata!L265,"Plant rhizosphere"),exact(Metadata!L265,"Plant surface"),exact(Metadata!L265,"Plant corpus"),exact(Metadata!L265,"Fungus surface"),exact(Metadata!L265,"Fungus corpus"),exact(Metadata!L265,"Animal surface"),exact(Metadata!L265,"Animal proximal gut"),exact(Metadata!L265,"Animal corpus"),exact(Metadata!L265,"Animal distal gut"),exact(Metadata!L265,"Animal secretion"),exact(Metadata!L265,"Sub-surface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Y265">
        <f>IF(Metadata!M265="",FALSE,TRUE)</f>
        <v>0</v>
      </c>
      <c r="AZ265">
        <f>IF(Metadata!N265="",FALSE,TRUE)</f>
        <v>0</v>
      </c>
      <c r="BA265">
        <f>IF(Metadata!O265="",FALSE,TRUE)</f>
        <v>0</v>
      </c>
      <c r="BB265">
        <f>OR(AND(IF(Metadata!P265="",FALSE,TRUE),OR(exact(Metadata!P265,"not collected"),exact(Metadata!P265,"not provided"),exact(Metadata!P265,"restricted access"))),AND(IF(Metadata!P265="",FALSE,TRUE),OR(exact(Metadata!P265,"air"),exact(Metadata!P265,"built environment"),exact(Metadata!P265,"host-associated"),exact(Metadata!P265,"human-associated"),exact(Metadata!P265,"human-skin"),exact(Metadata!P265,"human-oral"),exact(Metadata!P265,"human-gut"),exact(Metadata!P265,"human-vaginal"),exact(Metadata!P265,"microbial mat/biofilm"),exact(Metadata!P265,"misc environment"),exact(Metadata!P265,"plant-associated"),exact(Metadata!P265,"sediment"),exact(Metadata!P265,"soil"),exact(Metadata!P265,"wastewater/sludge"),exact(Metadata!P265,"water"))))</f>
        <v>0</v>
      </c>
      <c r="BC265">
        <f>IF(Metadata!Q265="",FALSE,TRUE)</f>
        <v>0</v>
      </c>
      <c r="BD265">
        <f>IF(Metadata!R265="",FALSE,TRUE)</f>
        <v>0</v>
      </c>
      <c r="BE265">
        <f>OR(AND(IF(Metadata!S265="",FALSE,TRUE),OR(exact(Metadata!S265,"not collected"),exact(Metadata!S265,"not provided"),exact(Metadata!S265,"restricted access"))),AND(IF(Metadata!S265="",FALSE,ISNUMBER(VALUE(Metadata!S265))),Metadata!S265&gt;=-90.00,Metadata!S265&lt;=90.00))</f>
        <v>0</v>
      </c>
      <c r="BF265">
        <f>AND(IF(Metadata!T265="",FALSE,TRUE),exact(Metadata!T265,"Decimal degrees"))</f>
        <v>0</v>
      </c>
      <c r="BG265">
        <f>OR(AND(IF(Metadata!U265="",FALSE,TRUE),OR(exact(Metadata!U265,"not collected"),exact(Metadata!U265,"not provided"),exact(Metadata!U265,"restricted access"))),AND(IF(Metadata!U265="",FALSE,ISNUMBER(VALUE(Metadata!U265))),Metadata!U265&gt;=-180.00,Metadata!U265&lt;=180.00))</f>
        <v>0</v>
      </c>
      <c r="BH265">
        <f>AND(IF(Metadata!V265="",FALSE,TRUE),exact(Metadata!V265,"Decimal degrees"))</f>
        <v>0</v>
      </c>
      <c r="BI265">
        <f>IF(Metadata!W265="",FALSE,TRUE)</f>
        <v>0</v>
      </c>
      <c r="BJ265">
        <f>OR(AND(IF(Metadata!X265="",FALSE,TRUE),OR(exact(Metadata!X265,"not collected"),exact(Metadata!X265,"not provided"),exact(Metadata!X265,"restricted access"))),AND(IF(Metadata!X265="",FALSE,TRUE),OR(exact(Metadata!X265,"TRUE"),exact(Metadata!X265,"FALSE"))))</f>
        <v>0</v>
      </c>
      <c r="BK265">
        <f>AND(IF(Metadata!Y265="",FALSE,TRUE),exact(Metadata!Y265,"other"))</f>
        <v>0</v>
      </c>
      <c r="BL265">
        <f>IF(Metadata!Z265="",FALSE,TRUE)</f>
        <v>0</v>
      </c>
      <c r="BM265">
        <f>OR(AND(IF(Metadata!AA265="",FALSE,TRUE),OR(exact(Metadata!AA265,"not collected"),exact(Metadata!AA265,"not provided"))),AND(IF(Metadata!AA265="",FALSE,IF(ISERROR(INT(Metadata!AA265)),FALSE,INT(Metadata!AA265)=Metadata!AA265)),Metadata!AA265&gt;0))</f>
        <v>0</v>
      </c>
      <c r="BN265">
        <f>AND(IF(Metadata!AB265="",FALSE,TRUE),exact(Metadata!AB265,"Not applicable"))</f>
        <v>0</v>
      </c>
      <c r="BO265">
        <f>IF(Metadata!AC265="",FALSE,TRUE)</f>
        <v>0</v>
      </c>
    </row>
    <row r="266" spans="1:67">
      <c r="A266" s="5">
        <f>IF(B266=" "," ",HYPERLINK(CONCATENATE("#metadata!",ADDRESS(INDEX($AI$2:$AI$1001,MATCH(ROWS($AG$2:AG266),$AG$2:$AG$1001,0),0),1)),INDEX($AL$2:$AL$1001,MATCH(ROWS($AG$2:AG266),$AG$2:$AG$1001,0),0)))</f>
        <v>0</v>
      </c>
      <c r="B266" s="4">
        <f>IF(OR(INDEX($AH$2:$AH$1001,MATCH(ROWS($AG$2:AG266),$AG$2:$AG$1001,0),1)&gt;=100000,INDEX($AN$1005:$BO$1005,1,MATCH(COLUMNS($AN$1006:AN1006),$AN$1006:$BO$1006,0))&gt;=100000), " ",IF(INDEX($AN$2:$BO$1001,MATCH(ROWS($AG$2:AG266),$AG$2:$AG$1001,0),MATCH(COLUMNS($AN$1006:AN1006),$AN$1006:$BO$1006,0)), HYPERLINK("#",""), HYPERLINK(CONCATENATE("#Metadata!", ADDRESS(INDEX($AI$2:$AI$1001,MATCH(ROWS($AG$2:AG266),$AG$2:$AG$1001,0),0), INDEX($AN$1004:$BO$1004,1,MATCH(COLUMNS($AN$1006:AN1006),$AN$1006:$BO$1006,0)))),"Fix")))</f>
        <v>0</v>
      </c>
      <c r="C266" s="4">
        <f>IF(OR(INDEX($AH$2:$AH$1001,MATCH(ROWS($AG$2:AG266),$AG$2:$AG$1001,0),1)&gt;=100000,INDEX($AN$1005:$BO$1005,1,MATCH(COLUMNS($AN$1006:AO1006),$AN$1006:$BO$1006,0))&gt;=100000), " ",IF(INDEX($AN$2:$BO$1001,MATCH(ROWS($AG$2:AG266),$AG$2:$AG$1001,0),MATCH(COLUMNS($AN$1006:AO1006),$AN$1006:$BO$1006,0)), HYPERLINK("#",""), HYPERLINK(CONCATENATE("#Metadata!", ADDRESS(INDEX($AI$2:$AI$1001,MATCH(ROWS($AG$2:AG266),$AG$2:$AG$1001,0),0), INDEX($AN$1004:$BO$1004,1,MATCH(COLUMNS($AN$1006:AO1006),$AN$1006:$BO$1006,0)))),"Fix")))</f>
        <v>0</v>
      </c>
      <c r="D266" s="4">
        <f>IF(OR(INDEX($AH$2:$AH$1001,MATCH(ROWS($AG$2:AG266),$AG$2:$AG$1001,0),1)&gt;=100000,INDEX($AN$1005:$BO$1005,1,MATCH(COLUMNS($AN$1006:AP1006),$AN$1006:$BO$1006,0))&gt;=100000), " ",IF(INDEX($AN$2:$BO$1001,MATCH(ROWS($AG$2:AG266),$AG$2:$AG$1001,0),MATCH(COLUMNS($AN$1006:AP1006),$AN$1006:$BO$1006,0)), HYPERLINK("#",""), HYPERLINK(CONCATENATE("#Metadata!", ADDRESS(INDEX($AI$2:$AI$1001,MATCH(ROWS($AG$2:AG266),$AG$2:$AG$1001,0),0), INDEX($AN$1004:$BO$1004,1,MATCH(COLUMNS($AN$1006:AP1006),$AN$1006:$BO$1006,0)))),"Fix")))</f>
        <v>0</v>
      </c>
      <c r="E266" s="4">
        <f>IF(OR(INDEX($AH$2:$AH$1001,MATCH(ROWS($AG$2:AG266),$AG$2:$AG$1001,0),1)&gt;=100000,INDEX($AN$1005:$BO$1005,1,MATCH(COLUMNS($AN$1006:AQ1006),$AN$1006:$BO$1006,0))&gt;=100000), " ",IF(INDEX($AN$2:$BO$1001,MATCH(ROWS($AG$2:AG266),$AG$2:$AG$1001,0),MATCH(COLUMNS($AN$1006:AQ1006),$AN$1006:$BO$1006,0)), HYPERLINK("#",""), HYPERLINK(CONCATENATE("#Metadata!", ADDRESS(INDEX($AI$2:$AI$1001,MATCH(ROWS($AG$2:AG266),$AG$2:$AG$1001,0),0), INDEX($AN$1004:$BO$1004,1,MATCH(COLUMNS($AN$1006:AQ1006),$AN$1006:$BO$1006,0)))),"Fix")))</f>
        <v>0</v>
      </c>
      <c r="F266" s="4">
        <f>IF(OR(INDEX($AH$2:$AH$1001,MATCH(ROWS($AG$2:AG266),$AG$2:$AG$1001,0),1)&gt;=100000,INDEX($AN$1005:$BO$1005,1,MATCH(COLUMNS($AN$1006:AR1006),$AN$1006:$BO$1006,0))&gt;=100000), " ",IF(INDEX($AN$2:$BO$1001,MATCH(ROWS($AG$2:AG266),$AG$2:$AG$1001,0),MATCH(COLUMNS($AN$1006:AR1006),$AN$1006:$BO$1006,0)), HYPERLINK("#",""), HYPERLINK(CONCATENATE("#Metadata!", ADDRESS(INDEX($AI$2:$AI$1001,MATCH(ROWS($AG$2:AG266),$AG$2:$AG$1001,0),0), INDEX($AN$1004:$BO$1004,1,MATCH(COLUMNS($AN$1006:AR1006),$AN$1006:$BO$1006,0)))),"Fix")))</f>
        <v>0</v>
      </c>
      <c r="G266" s="4">
        <f>IF(OR(INDEX($AH$2:$AH$1001,MATCH(ROWS($AG$2:AG266),$AG$2:$AG$1001,0),1)&gt;=100000,INDEX($AN$1005:$BO$1005,1,MATCH(COLUMNS($AN$1006:AS1006),$AN$1006:$BO$1006,0))&gt;=100000), " ",IF(INDEX($AN$2:$BO$1001,MATCH(ROWS($AG$2:AG266),$AG$2:$AG$1001,0),MATCH(COLUMNS($AN$1006:AS1006),$AN$1006:$BO$1006,0)), HYPERLINK("#",""), HYPERLINK(CONCATENATE("#Metadata!", ADDRESS(INDEX($AI$2:$AI$1001,MATCH(ROWS($AG$2:AG266),$AG$2:$AG$1001,0),0), INDEX($AN$1004:$BO$1004,1,MATCH(COLUMNS($AN$1006:AS1006),$AN$1006:$BO$1006,0)))),"Fix")))</f>
        <v>0</v>
      </c>
      <c r="H266" s="4">
        <f>IF(OR(INDEX($AH$2:$AH$1001,MATCH(ROWS($AG$2:AG266),$AG$2:$AG$1001,0),1)&gt;=100000,INDEX($AN$1005:$BO$1005,1,MATCH(COLUMNS($AN$1006:AT1006),$AN$1006:$BO$1006,0))&gt;=100000), " ",IF(INDEX($AN$2:$BO$1001,MATCH(ROWS($AG$2:AG266),$AG$2:$AG$1001,0),MATCH(COLUMNS($AN$1006:AT1006),$AN$1006:$BO$1006,0)), HYPERLINK("#",""), HYPERLINK(CONCATENATE("#Metadata!", ADDRESS(INDEX($AI$2:$AI$1001,MATCH(ROWS($AG$2:AG266),$AG$2:$AG$1001,0),0), INDEX($AN$1004:$BO$1004,1,MATCH(COLUMNS($AN$1006:AT1006),$AN$1006:$BO$1006,0)))),"Fix")))</f>
        <v>0</v>
      </c>
      <c r="I266" s="4">
        <f>IF(OR(INDEX($AH$2:$AH$1001,MATCH(ROWS($AG$2:AG266),$AG$2:$AG$1001,0),1)&gt;=100000,INDEX($AN$1005:$BO$1005,1,MATCH(COLUMNS($AN$1006:AU1006),$AN$1006:$BO$1006,0))&gt;=100000), " ",IF(INDEX($AN$2:$BO$1001,MATCH(ROWS($AG$2:AG266),$AG$2:$AG$1001,0),MATCH(COLUMNS($AN$1006:AU1006),$AN$1006:$BO$1006,0)), HYPERLINK("#",""), HYPERLINK(CONCATENATE("#Metadata!", ADDRESS(INDEX($AI$2:$AI$1001,MATCH(ROWS($AG$2:AG266),$AG$2:$AG$1001,0),0), INDEX($AN$1004:$BO$1004,1,MATCH(COLUMNS($AN$1006:AU1006),$AN$1006:$BO$1006,0)))),"Fix")))</f>
        <v>0</v>
      </c>
      <c r="J266" s="4">
        <f>IF(OR(INDEX($AH$2:$AH$1001,MATCH(ROWS($AG$2:AG266),$AG$2:$AG$1001,0),1)&gt;=100000,INDEX($AN$1005:$BO$1005,1,MATCH(COLUMNS($AN$1006:AV1006),$AN$1006:$BO$1006,0))&gt;=100000), " ",IF(INDEX($AN$2:$BO$1001,MATCH(ROWS($AG$2:AG266),$AG$2:$AG$1001,0),MATCH(COLUMNS($AN$1006:AV1006),$AN$1006:$BO$1006,0)), HYPERLINK("#",""), HYPERLINK(CONCATENATE("#Metadata!", ADDRESS(INDEX($AI$2:$AI$1001,MATCH(ROWS($AG$2:AG266),$AG$2:$AG$1001,0),0), INDEX($AN$1004:$BO$1004,1,MATCH(COLUMNS($AN$1006:AV1006),$AN$1006:$BO$1006,0)))),"Fix")))</f>
        <v>0</v>
      </c>
      <c r="K266" s="4">
        <f>IF(OR(INDEX($AH$2:$AH$1001,MATCH(ROWS($AG$2:AG266),$AG$2:$AG$1001,0),1)&gt;=100000,INDEX($AN$1005:$BO$1005,1,MATCH(COLUMNS($AN$1006:AW1006),$AN$1006:$BO$1006,0))&gt;=100000), " ",IF(INDEX($AN$2:$BO$1001,MATCH(ROWS($AG$2:AG266),$AG$2:$AG$1001,0),MATCH(COLUMNS($AN$1006:AW1006),$AN$1006:$BO$1006,0)), HYPERLINK("#",""), HYPERLINK(CONCATENATE("#Metadata!", ADDRESS(INDEX($AI$2:$AI$1001,MATCH(ROWS($AG$2:AG266),$AG$2:$AG$1001,0),0), INDEX($AN$1004:$BO$1004,1,MATCH(COLUMNS($AN$1006:AW1006),$AN$1006:$BO$1006,0)))),"Fix")))</f>
        <v>0</v>
      </c>
      <c r="L266" s="4">
        <f>IF(OR(INDEX($AH$2:$AH$1001,MATCH(ROWS($AG$2:AG266),$AG$2:$AG$1001,0),1)&gt;=100000,INDEX($AN$1005:$BO$1005,1,MATCH(COLUMNS($AN$1006:AX1006),$AN$1006:$BO$1006,0))&gt;=100000), " ",IF(INDEX($AN$2:$BO$1001,MATCH(ROWS($AG$2:AG266),$AG$2:$AG$1001,0),MATCH(COLUMNS($AN$1006:AX1006),$AN$1006:$BO$1006,0)), HYPERLINK("#",""), HYPERLINK(CONCATENATE("#Metadata!", ADDRESS(INDEX($AI$2:$AI$1001,MATCH(ROWS($AG$2:AG266),$AG$2:$AG$1001,0),0), INDEX($AN$1004:$BO$1004,1,MATCH(COLUMNS($AN$1006:AX1006),$AN$1006:$BO$1006,0)))),"Fix")))</f>
        <v>0</v>
      </c>
      <c r="M266" s="4">
        <f>IF(OR(INDEX($AH$2:$AH$1001,MATCH(ROWS($AG$2:AG266),$AG$2:$AG$1001,0),1)&gt;=100000,INDEX($AN$1005:$BO$1005,1,MATCH(COLUMNS($AN$1006:AY1006),$AN$1006:$BO$1006,0))&gt;=100000), " ",IF(INDEX($AN$2:$BO$1001,MATCH(ROWS($AG$2:AG266),$AG$2:$AG$1001,0),MATCH(COLUMNS($AN$1006:AY1006),$AN$1006:$BO$1006,0)), HYPERLINK("#",""), HYPERLINK(CONCATENATE("#Metadata!", ADDRESS(INDEX($AI$2:$AI$1001,MATCH(ROWS($AG$2:AG266),$AG$2:$AG$1001,0),0), INDEX($AN$1004:$BO$1004,1,MATCH(COLUMNS($AN$1006:AY1006),$AN$1006:$BO$1006,0)))),"Fix")))</f>
        <v>0</v>
      </c>
      <c r="N266" s="4">
        <f>IF(OR(INDEX($AH$2:$AH$1001,MATCH(ROWS($AG$2:AG266),$AG$2:$AG$1001,0),1)&gt;=100000,INDEX($AN$1005:$BO$1005,1,MATCH(COLUMNS($AN$1006:AZ1006),$AN$1006:$BO$1006,0))&gt;=100000), " ",IF(INDEX($AN$2:$BO$1001,MATCH(ROWS($AG$2:AG266),$AG$2:$AG$1001,0),MATCH(COLUMNS($AN$1006:AZ1006),$AN$1006:$BO$1006,0)), HYPERLINK("#",""), HYPERLINK(CONCATENATE("#Metadata!", ADDRESS(INDEX($AI$2:$AI$1001,MATCH(ROWS($AG$2:AG266),$AG$2:$AG$1001,0),0), INDEX($AN$1004:$BO$1004,1,MATCH(COLUMNS($AN$1006:AZ1006),$AN$1006:$BO$1006,0)))),"Fix")))</f>
        <v>0</v>
      </c>
      <c r="O266" s="4">
        <f>IF(OR(INDEX($AH$2:$AH$1001,MATCH(ROWS($AG$2:AG266),$AG$2:$AG$1001,0),1)&gt;=100000,INDEX($AN$1005:$BO$1005,1,MATCH(COLUMNS($AN$1006:BA1006),$AN$1006:$BO$1006,0))&gt;=100000), " ",IF(INDEX($AN$2:$BO$1001,MATCH(ROWS($AG$2:AG266),$AG$2:$AG$1001,0),MATCH(COLUMNS($AN$1006:BA1006),$AN$1006:$BO$1006,0)), HYPERLINK("#",""), HYPERLINK(CONCATENATE("#Metadata!", ADDRESS(INDEX($AI$2:$AI$1001,MATCH(ROWS($AG$2:AG266),$AG$2:$AG$1001,0),0), INDEX($AN$1004:$BO$1004,1,MATCH(COLUMNS($AN$1006:BA1006),$AN$1006:$BO$1006,0)))),"Fix")))</f>
        <v>0</v>
      </c>
      <c r="P266" s="4">
        <f>IF(OR(INDEX($AH$2:$AH$1001,MATCH(ROWS($AG$2:AG266),$AG$2:$AG$1001,0),1)&gt;=100000,INDEX($AN$1005:$BO$1005,1,MATCH(COLUMNS($AN$1006:BB1006),$AN$1006:$BO$1006,0))&gt;=100000), " ",IF(INDEX($AN$2:$BO$1001,MATCH(ROWS($AG$2:AG266),$AG$2:$AG$1001,0),MATCH(COLUMNS($AN$1006:BB1006),$AN$1006:$BO$1006,0)), HYPERLINK("#",""), HYPERLINK(CONCATENATE("#Metadata!", ADDRESS(INDEX($AI$2:$AI$1001,MATCH(ROWS($AG$2:AG266),$AG$2:$AG$1001,0),0), INDEX($AN$1004:$BO$1004,1,MATCH(COLUMNS($AN$1006:BB1006),$AN$1006:$BO$1006,0)))),"Fix")))</f>
        <v>0</v>
      </c>
      <c r="Q266" s="4">
        <f>IF(OR(INDEX($AH$2:$AH$1001,MATCH(ROWS($AG$2:AG266),$AG$2:$AG$1001,0),1)&gt;=100000,INDEX($AN$1005:$BO$1005,1,MATCH(COLUMNS($AN$1006:BC1006),$AN$1006:$BO$1006,0))&gt;=100000), " ",IF(INDEX($AN$2:$BO$1001,MATCH(ROWS($AG$2:AG266),$AG$2:$AG$1001,0),MATCH(COLUMNS($AN$1006:BC1006),$AN$1006:$BO$1006,0)), HYPERLINK("#",""), HYPERLINK(CONCATENATE("#Metadata!", ADDRESS(INDEX($AI$2:$AI$1001,MATCH(ROWS($AG$2:AG266),$AG$2:$AG$1001,0),0), INDEX($AN$1004:$BO$1004,1,MATCH(COLUMNS($AN$1006:BC1006),$AN$1006:$BO$1006,0)))),"Fix")))</f>
        <v>0</v>
      </c>
      <c r="R266" s="4">
        <f>IF(OR(INDEX($AH$2:$AH$1001,MATCH(ROWS($AG$2:AG266),$AG$2:$AG$1001,0),1)&gt;=100000,INDEX($AN$1005:$BO$1005,1,MATCH(COLUMNS($AN$1006:BD1006),$AN$1006:$BO$1006,0))&gt;=100000), " ",IF(INDEX($AN$2:$BO$1001,MATCH(ROWS($AG$2:AG266),$AG$2:$AG$1001,0),MATCH(COLUMNS($AN$1006:BD1006),$AN$1006:$BO$1006,0)), HYPERLINK("#",""), HYPERLINK(CONCATENATE("#Metadata!", ADDRESS(INDEX($AI$2:$AI$1001,MATCH(ROWS($AG$2:AG266),$AG$2:$AG$1001,0),0), INDEX($AN$1004:$BO$1004,1,MATCH(COLUMNS($AN$1006:BD1006),$AN$1006:$BO$1006,0)))),"Fix")))</f>
        <v>0</v>
      </c>
      <c r="S266" s="4">
        <f>IF(OR(INDEX($AH$2:$AH$1001,MATCH(ROWS($AG$2:AG266),$AG$2:$AG$1001,0),1)&gt;=100000,INDEX($AN$1005:$BO$1005,1,MATCH(COLUMNS($AN$1006:BE1006),$AN$1006:$BO$1006,0))&gt;=100000), " ",IF(INDEX($AN$2:$BO$1001,MATCH(ROWS($AG$2:AG266),$AG$2:$AG$1001,0),MATCH(COLUMNS($AN$1006:BE1006),$AN$1006:$BO$1006,0)), HYPERLINK("#",""), HYPERLINK(CONCATENATE("#Metadata!", ADDRESS(INDEX($AI$2:$AI$1001,MATCH(ROWS($AG$2:AG266),$AG$2:$AG$1001,0),0), INDEX($AN$1004:$BO$1004,1,MATCH(COLUMNS($AN$1006:BE1006),$AN$1006:$BO$1006,0)))),"Fix")))</f>
        <v>0</v>
      </c>
      <c r="T266" s="4">
        <f>IF(OR(INDEX($AH$2:$AH$1001,MATCH(ROWS($AG$2:AG266),$AG$2:$AG$1001,0),1)&gt;=100000,INDEX($AN$1005:$BO$1005,1,MATCH(COLUMNS($AN$1006:BF1006),$AN$1006:$BO$1006,0))&gt;=100000), " ",IF(INDEX($AN$2:$BO$1001,MATCH(ROWS($AG$2:AG266),$AG$2:$AG$1001,0),MATCH(COLUMNS($AN$1006:BF1006),$AN$1006:$BO$1006,0)), HYPERLINK("#",""), HYPERLINK(CONCATENATE("#Metadata!", ADDRESS(INDEX($AI$2:$AI$1001,MATCH(ROWS($AG$2:AG266),$AG$2:$AG$1001,0),0), INDEX($AN$1004:$BO$1004,1,MATCH(COLUMNS($AN$1006:BF1006),$AN$1006:$BO$1006,0)))),"Fix")))</f>
        <v>0</v>
      </c>
      <c r="U266" s="4">
        <f>IF(OR(INDEX($AH$2:$AH$1001,MATCH(ROWS($AG$2:AG266),$AG$2:$AG$1001,0),1)&gt;=100000,INDEX($AN$1005:$BO$1005,1,MATCH(COLUMNS($AN$1006:BG1006),$AN$1006:$BO$1006,0))&gt;=100000), " ",IF(INDEX($AN$2:$BO$1001,MATCH(ROWS($AG$2:AG266),$AG$2:$AG$1001,0),MATCH(COLUMNS($AN$1006:BG1006),$AN$1006:$BO$1006,0)), HYPERLINK("#",""), HYPERLINK(CONCATENATE("#Metadata!", ADDRESS(INDEX($AI$2:$AI$1001,MATCH(ROWS($AG$2:AG266),$AG$2:$AG$1001,0),0), INDEX($AN$1004:$BO$1004,1,MATCH(COLUMNS($AN$1006:BG1006),$AN$1006:$BO$1006,0)))),"Fix")))</f>
        <v>0</v>
      </c>
      <c r="V266" s="4">
        <f>IF(OR(INDEX($AH$2:$AH$1001,MATCH(ROWS($AG$2:AG266),$AG$2:$AG$1001,0),1)&gt;=100000,INDEX($AN$1005:$BO$1005,1,MATCH(COLUMNS($AN$1006:BH1006),$AN$1006:$BO$1006,0))&gt;=100000), " ",IF(INDEX($AN$2:$BO$1001,MATCH(ROWS($AG$2:AG266),$AG$2:$AG$1001,0),MATCH(COLUMNS($AN$1006:BH1006),$AN$1006:$BO$1006,0)), HYPERLINK("#",""), HYPERLINK(CONCATENATE("#Metadata!", ADDRESS(INDEX($AI$2:$AI$1001,MATCH(ROWS($AG$2:AG266),$AG$2:$AG$1001,0),0), INDEX($AN$1004:$BO$1004,1,MATCH(COLUMNS($AN$1006:BH1006),$AN$1006:$BO$1006,0)))),"Fix")))</f>
        <v>0</v>
      </c>
      <c r="W266" s="4">
        <f>IF(OR(INDEX($AH$2:$AH$1001,MATCH(ROWS($AG$2:AG266),$AG$2:$AG$1001,0),1)&gt;=100000,INDEX($AN$1005:$BO$1005,1,MATCH(COLUMNS($AN$1006:BI1006),$AN$1006:$BO$1006,0))&gt;=100000), " ",IF(INDEX($AN$2:$BO$1001,MATCH(ROWS($AG$2:AG266),$AG$2:$AG$1001,0),MATCH(COLUMNS($AN$1006:BI1006),$AN$1006:$BO$1006,0)), HYPERLINK("#",""), HYPERLINK(CONCATENATE("#Metadata!", ADDRESS(INDEX($AI$2:$AI$1001,MATCH(ROWS($AG$2:AG266),$AG$2:$AG$1001,0),0), INDEX($AN$1004:$BO$1004,1,MATCH(COLUMNS($AN$1006:BI1006),$AN$1006:$BO$1006,0)))),"Fix")))</f>
        <v>0</v>
      </c>
      <c r="X266" s="4">
        <f>IF(OR(INDEX($AH$2:$AH$1001,MATCH(ROWS($AG$2:AG266),$AG$2:$AG$1001,0),1)&gt;=100000,INDEX($AN$1005:$BO$1005,1,MATCH(COLUMNS($AN$1006:BJ1006),$AN$1006:$BO$1006,0))&gt;=100000), " ",IF(INDEX($AN$2:$BO$1001,MATCH(ROWS($AG$2:AG266),$AG$2:$AG$1001,0),MATCH(COLUMNS($AN$1006:BJ1006),$AN$1006:$BO$1006,0)), HYPERLINK("#",""), HYPERLINK(CONCATENATE("#Metadata!", ADDRESS(INDEX($AI$2:$AI$1001,MATCH(ROWS($AG$2:AG266),$AG$2:$AG$1001,0),0), INDEX($AN$1004:$BO$1004,1,MATCH(COLUMNS($AN$1006:BJ1006),$AN$1006:$BO$1006,0)))),"Fix")))</f>
        <v>0</v>
      </c>
      <c r="Y266" s="4">
        <f>IF(OR(INDEX($AH$2:$AH$1001,MATCH(ROWS($AG$2:AG266),$AG$2:$AG$1001,0),1)&gt;=100000,INDEX($AN$1005:$BO$1005,1,MATCH(COLUMNS($AN$1006:BK1006),$AN$1006:$BO$1006,0))&gt;=100000), " ",IF(INDEX($AN$2:$BO$1001,MATCH(ROWS($AG$2:AG266),$AG$2:$AG$1001,0),MATCH(COLUMNS($AN$1006:BK1006),$AN$1006:$BO$1006,0)), HYPERLINK("#",""), HYPERLINK(CONCATENATE("#Metadata!", ADDRESS(INDEX($AI$2:$AI$1001,MATCH(ROWS($AG$2:AG266),$AG$2:$AG$1001,0),0), INDEX($AN$1004:$BO$1004,1,MATCH(COLUMNS($AN$1006:BK1006),$AN$1006:$BO$1006,0)))),"Fix")))</f>
        <v>0</v>
      </c>
      <c r="Z266" s="4">
        <f>IF(OR(INDEX($AH$2:$AH$1001,MATCH(ROWS($AG$2:AG266),$AG$2:$AG$1001,0),1)&gt;=100000,INDEX($AN$1005:$BO$1005,1,MATCH(COLUMNS($AN$1006:BL1006),$AN$1006:$BO$1006,0))&gt;=100000), " ",IF(INDEX($AN$2:$BO$1001,MATCH(ROWS($AG$2:AG266),$AG$2:$AG$1001,0),MATCH(COLUMNS($AN$1006:BL1006),$AN$1006:$BO$1006,0)), HYPERLINK("#",""), HYPERLINK(CONCATENATE("#Metadata!", ADDRESS(INDEX($AI$2:$AI$1001,MATCH(ROWS($AG$2:AG266),$AG$2:$AG$1001,0),0), INDEX($AN$1004:$BO$1004,1,MATCH(COLUMNS($AN$1006:BL1006),$AN$1006:$BO$1006,0)))),"Fix")))</f>
        <v>0</v>
      </c>
      <c r="AA266" s="4">
        <f>IF(OR(INDEX($AH$2:$AH$1001,MATCH(ROWS($AG$2:AG266),$AG$2:$AG$1001,0),1)&gt;=100000,INDEX($AN$1005:$BO$1005,1,MATCH(COLUMNS($AN$1006:BM1006),$AN$1006:$BO$1006,0))&gt;=100000), " ",IF(INDEX($AN$2:$BO$1001,MATCH(ROWS($AG$2:AG266),$AG$2:$AG$1001,0),MATCH(COLUMNS($AN$1006:BM1006),$AN$1006:$BO$1006,0)), HYPERLINK("#",""), HYPERLINK(CONCATENATE("#Metadata!", ADDRESS(INDEX($AI$2:$AI$1001,MATCH(ROWS($AG$2:AG266),$AG$2:$AG$1001,0),0), INDEX($AN$1004:$BO$1004,1,MATCH(COLUMNS($AN$1006:BM1006),$AN$1006:$BO$1006,0)))),"Fix")))</f>
        <v>0</v>
      </c>
      <c r="AB266" s="4">
        <f>IF(OR(INDEX($AH$2:$AH$1001,MATCH(ROWS($AG$2:AG266),$AG$2:$AG$1001,0),1)&gt;=100000,INDEX($AN$1005:$BO$1005,1,MATCH(COLUMNS($AN$1006:BN1006),$AN$1006:$BO$1006,0))&gt;=100000), " ",IF(INDEX($AN$2:$BO$1001,MATCH(ROWS($AG$2:AG266),$AG$2:$AG$1001,0),MATCH(COLUMNS($AN$1006:BN1006),$AN$1006:$BO$1006,0)), HYPERLINK("#",""), HYPERLINK(CONCATENATE("#Metadata!", ADDRESS(INDEX($AI$2:$AI$1001,MATCH(ROWS($AG$2:AG266),$AG$2:$AG$1001,0),0), INDEX($AN$1004:$BO$1004,1,MATCH(COLUMNS($AN$1006:BN1006),$AN$1006:$BO$1006,0)))),"Fix")))</f>
        <v>0</v>
      </c>
      <c r="AC266" s="4">
        <f>IF(OR(INDEX($AH$2:$AH$1001,MATCH(ROWS($AG$2:AG266),$AG$2:$AG$1001,0),1)&gt;=100000,INDEX($AN$1005:$BO$1005,1,MATCH(COLUMNS($AN$1006:BO1006),$AN$1006:$BO$1006,0))&gt;=100000), " ",IF(INDEX($AN$2:$BO$1001,MATCH(ROWS($AG$2:AG266),$AG$2:$AG$1001,0),MATCH(COLUMNS($AN$1006:BO1006),$AN$1006:$BO$1006,0)), HYPERLINK("#",""), HYPERLINK(CONCATENATE("#Metadata!", ADDRESS(INDEX($AI$2:$AI$1001,MATCH(ROWS($AG$2:AG266),$AG$2:$AG$1001,0),0), INDEX($AN$1004:$BO$1004,1,MATCH(COLUMNS($AN$1006:BO1006),$AN$1006:$BO$1006,0)))),"Fix")))</f>
        <v>0</v>
      </c>
      <c r="AG266">
        <v>0</v>
      </c>
      <c r="AH266">
        <v>0</v>
      </c>
      <c r="AI266">
        <v>0</v>
      </c>
      <c r="AJ266">
        <f>IF(AK266,TRUE,AND(AN266:BO266))</f>
        <v>0</v>
      </c>
      <c r="AK266">
        <f>COUNTBLANK(Metadata!B266:AC266)=COLUMNS(Metadata!B266:AC266)</f>
        <v>0</v>
      </c>
      <c r="AL266">
        <v>0</v>
      </c>
      <c r="AN266">
        <f>AND(IF(Metadata!B266="",FALSE,TRUE),COUNTIF(Metadata!B:B, Metadata!B266) = 1,NOT(ISERROR(SUMPRODUCT(SEARCH(MID(Metadata!B266,ROW(INDIRECT("1:"&amp;LEN(Metadata!B266))), 1),"0123456789abcdefghijklmnopqrstuvwxyzABCDEFGHIJKLMNOPQRSTUVWXYZ.")))))</f>
        <v>0</v>
      </c>
      <c r="AO266">
        <f>IF(Metadata!C266="",FALSE,TRUE)</f>
        <v>0</v>
      </c>
      <c r="AP266">
        <f>IF(Metadata!D266="",FALSE,TRUE)</f>
        <v>0</v>
      </c>
      <c r="AQ266">
        <f>OR(AND(IF(Metadata!E266="",FALSE,TRUE),OR(exact(Metadata!E266,"not collected"),exact(Metadata!E266,"not provided"),exact(Metadata!E266,"restricted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R266">
        <f>IF(Metadata!F266="",FALSE,TRUE)</f>
        <v>0</v>
      </c>
      <c r="AS266">
        <f>OR(AND(IF(Metadata!G266="",FALSE,TRUE),OR(exact(Metadata!G266,"not collected"),exact(Metadata!G266,"not provided"))),AND(IF(Metadata!G266="",FALSE,TRUE),OR(exact(Metadata!G266,"TRUE"),exact(Metadata!G266,"FALSE"))))</f>
        <v>0</v>
      </c>
      <c r="AT266">
        <f>OR(AND(IF(Metadata!H266="",FALSE,TRUE),OR(exact(Metadata!H266,"not collected"),exact(Metadata!H266,"not provided"),exact(Metadata!H266,"restricted access"))),AND(IF(Metadata!H266="",FALSE,ISNUMBER(VALUE(Metadata!H266))),Metadata!H266&gt;=-413.0))</f>
        <v>0</v>
      </c>
      <c r="AU266">
        <f>AND(IF(Metadata!I266="",FALSE,TRUE),exact(Metadata!I266,"meters"))</f>
        <v>0</v>
      </c>
      <c r="AV266">
        <f>AND(IF(Metadata!J266="",FALSE,TRUE),OR(exact(Metadata!J266,"Host-associated"),exact(Metadata!J266,"Free-living")))</f>
        <v>0</v>
      </c>
      <c r="AW266">
        <f>AND(IF(Metadata!K266="",FALSE,TRUE),OR(exact(Metadata!K266,"Animal"),exact(Metadata!K266,"Fungus"),exact(Metadata!K266,"Plant"),exact(Metadata!K266,"Saline"),exact(Metadata!K266,"Non-saline")))</f>
        <v>0</v>
      </c>
      <c r="AX266">
        <f>AND(IF(Metadata!L266="",FALSE,TRUE),OR(exact(Metadata!L266,"Plant secretion"),exact(Metadata!L266,"Plant rhizosphere"),exact(Metadata!L266,"Plant surface"),exact(Metadata!L266,"Plant corpus"),exact(Metadata!L266,"Fungus surface"),exact(Metadata!L266,"Fungus corpus"),exact(Metadata!L266,"Animal surface"),exact(Metadata!L266,"Animal proximal gut"),exact(Metadata!L266,"Animal corpus"),exact(Metadata!L266,"Animal distal gut"),exact(Metadata!L266,"Animal secretion"),exact(Metadata!L266,"Sub-surface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Y266">
        <f>IF(Metadata!M266="",FALSE,TRUE)</f>
        <v>0</v>
      </c>
      <c r="AZ266">
        <f>IF(Metadata!N266="",FALSE,TRUE)</f>
        <v>0</v>
      </c>
      <c r="BA266">
        <f>IF(Metadata!O266="",FALSE,TRUE)</f>
        <v>0</v>
      </c>
      <c r="BB266">
        <f>OR(AND(IF(Metadata!P266="",FALSE,TRUE),OR(exact(Metadata!P266,"not collected"),exact(Metadata!P266,"not provided"),exact(Metadata!P266,"restricted access"))),AND(IF(Metadata!P266="",FALSE,TRUE),OR(exact(Metadata!P266,"air"),exact(Metadata!P266,"built environment"),exact(Metadata!P266,"host-associated"),exact(Metadata!P266,"human-associated"),exact(Metadata!P266,"human-skin"),exact(Metadata!P266,"human-oral"),exact(Metadata!P266,"human-gut"),exact(Metadata!P266,"human-vaginal"),exact(Metadata!P266,"microbial mat/biofilm"),exact(Metadata!P266,"misc environment"),exact(Metadata!P266,"plant-associated"),exact(Metadata!P266,"sediment"),exact(Metadata!P266,"soil"),exact(Metadata!P266,"wastewater/sludge"),exact(Metadata!P266,"water"))))</f>
        <v>0</v>
      </c>
      <c r="BC266">
        <f>IF(Metadata!Q266="",FALSE,TRUE)</f>
        <v>0</v>
      </c>
      <c r="BD266">
        <f>IF(Metadata!R266="",FALSE,TRUE)</f>
        <v>0</v>
      </c>
      <c r="BE266">
        <f>OR(AND(IF(Metadata!S266="",FALSE,TRUE),OR(exact(Metadata!S266,"not collected"),exact(Metadata!S266,"not provided"),exact(Metadata!S266,"restricted access"))),AND(IF(Metadata!S266="",FALSE,ISNUMBER(VALUE(Metadata!S266))),Metadata!S266&gt;=-90.00,Metadata!S266&lt;=90.00))</f>
        <v>0</v>
      </c>
      <c r="BF266">
        <f>AND(IF(Metadata!T266="",FALSE,TRUE),exact(Metadata!T266,"Decimal degrees"))</f>
        <v>0</v>
      </c>
      <c r="BG266">
        <f>OR(AND(IF(Metadata!U266="",FALSE,TRUE),OR(exact(Metadata!U266,"not collected"),exact(Metadata!U266,"not provided"),exact(Metadata!U266,"restricted access"))),AND(IF(Metadata!U266="",FALSE,ISNUMBER(VALUE(Metadata!U266))),Metadata!U266&gt;=-180.00,Metadata!U266&lt;=180.00))</f>
        <v>0</v>
      </c>
      <c r="BH266">
        <f>AND(IF(Metadata!V266="",FALSE,TRUE),exact(Metadata!V266,"Decimal degrees"))</f>
        <v>0</v>
      </c>
      <c r="BI266">
        <f>IF(Metadata!W266="",FALSE,TRUE)</f>
        <v>0</v>
      </c>
      <c r="BJ266">
        <f>OR(AND(IF(Metadata!X266="",FALSE,TRUE),OR(exact(Metadata!X266,"not collected"),exact(Metadata!X266,"not provided"),exact(Metadata!X266,"restricted access"))),AND(IF(Metadata!X266="",FALSE,TRUE),OR(exact(Metadata!X266,"TRUE"),exact(Metadata!X266,"FALSE"))))</f>
        <v>0</v>
      </c>
      <c r="BK266">
        <f>AND(IF(Metadata!Y266="",FALSE,TRUE),exact(Metadata!Y266,"other"))</f>
        <v>0</v>
      </c>
      <c r="BL266">
        <f>IF(Metadata!Z266="",FALSE,TRUE)</f>
        <v>0</v>
      </c>
      <c r="BM266">
        <f>OR(AND(IF(Metadata!AA266="",FALSE,TRUE),OR(exact(Metadata!AA266,"not collected"),exact(Metadata!AA266,"not provided"))),AND(IF(Metadata!AA266="",FALSE,IF(ISERROR(INT(Metadata!AA266)),FALSE,INT(Metadata!AA266)=Metadata!AA266)),Metadata!AA266&gt;0))</f>
        <v>0</v>
      </c>
      <c r="BN266">
        <f>AND(IF(Metadata!AB266="",FALSE,TRUE),exact(Metadata!AB266,"Not applicable"))</f>
        <v>0</v>
      </c>
      <c r="BO266">
        <f>IF(Metadata!AC266="",FALSE,TRUE)</f>
        <v>0</v>
      </c>
    </row>
    <row r="267" spans="1:67">
      <c r="A267" s="5">
        <f>IF(B267=" "," ",HYPERLINK(CONCATENATE("#metadata!",ADDRESS(INDEX($AI$2:$AI$1001,MATCH(ROWS($AG$2:AG267),$AG$2:$AG$1001,0),0),1)),INDEX($AL$2:$AL$1001,MATCH(ROWS($AG$2:AG267),$AG$2:$AG$1001,0),0)))</f>
        <v>0</v>
      </c>
      <c r="B267" s="4">
        <f>IF(OR(INDEX($AH$2:$AH$1001,MATCH(ROWS($AG$2:AG267),$AG$2:$AG$1001,0),1)&gt;=100000,INDEX($AN$1005:$BO$1005,1,MATCH(COLUMNS($AN$1006:AN1006),$AN$1006:$BO$1006,0))&gt;=100000), " ",IF(INDEX($AN$2:$BO$1001,MATCH(ROWS($AG$2:AG267),$AG$2:$AG$1001,0),MATCH(COLUMNS($AN$1006:AN1006),$AN$1006:$BO$1006,0)), HYPERLINK("#",""), HYPERLINK(CONCATENATE("#Metadata!", ADDRESS(INDEX($AI$2:$AI$1001,MATCH(ROWS($AG$2:AG267),$AG$2:$AG$1001,0),0), INDEX($AN$1004:$BO$1004,1,MATCH(COLUMNS($AN$1006:AN1006),$AN$1006:$BO$1006,0)))),"Fix")))</f>
        <v>0</v>
      </c>
      <c r="C267" s="4">
        <f>IF(OR(INDEX($AH$2:$AH$1001,MATCH(ROWS($AG$2:AG267),$AG$2:$AG$1001,0),1)&gt;=100000,INDEX($AN$1005:$BO$1005,1,MATCH(COLUMNS($AN$1006:AO1006),$AN$1006:$BO$1006,0))&gt;=100000), " ",IF(INDEX($AN$2:$BO$1001,MATCH(ROWS($AG$2:AG267),$AG$2:$AG$1001,0),MATCH(COLUMNS($AN$1006:AO1006),$AN$1006:$BO$1006,0)), HYPERLINK("#",""), HYPERLINK(CONCATENATE("#Metadata!", ADDRESS(INDEX($AI$2:$AI$1001,MATCH(ROWS($AG$2:AG267),$AG$2:$AG$1001,0),0), INDEX($AN$1004:$BO$1004,1,MATCH(COLUMNS($AN$1006:AO1006),$AN$1006:$BO$1006,0)))),"Fix")))</f>
        <v>0</v>
      </c>
      <c r="D267" s="4">
        <f>IF(OR(INDEX($AH$2:$AH$1001,MATCH(ROWS($AG$2:AG267),$AG$2:$AG$1001,0),1)&gt;=100000,INDEX($AN$1005:$BO$1005,1,MATCH(COLUMNS($AN$1006:AP1006),$AN$1006:$BO$1006,0))&gt;=100000), " ",IF(INDEX($AN$2:$BO$1001,MATCH(ROWS($AG$2:AG267),$AG$2:$AG$1001,0),MATCH(COLUMNS($AN$1006:AP1006),$AN$1006:$BO$1006,0)), HYPERLINK("#",""), HYPERLINK(CONCATENATE("#Metadata!", ADDRESS(INDEX($AI$2:$AI$1001,MATCH(ROWS($AG$2:AG267),$AG$2:$AG$1001,0),0), INDEX($AN$1004:$BO$1004,1,MATCH(COLUMNS($AN$1006:AP1006),$AN$1006:$BO$1006,0)))),"Fix")))</f>
        <v>0</v>
      </c>
      <c r="E267" s="4">
        <f>IF(OR(INDEX($AH$2:$AH$1001,MATCH(ROWS($AG$2:AG267),$AG$2:$AG$1001,0),1)&gt;=100000,INDEX($AN$1005:$BO$1005,1,MATCH(COLUMNS($AN$1006:AQ1006),$AN$1006:$BO$1006,0))&gt;=100000), " ",IF(INDEX($AN$2:$BO$1001,MATCH(ROWS($AG$2:AG267),$AG$2:$AG$1001,0),MATCH(COLUMNS($AN$1006:AQ1006),$AN$1006:$BO$1006,0)), HYPERLINK("#",""), HYPERLINK(CONCATENATE("#Metadata!", ADDRESS(INDEX($AI$2:$AI$1001,MATCH(ROWS($AG$2:AG267),$AG$2:$AG$1001,0),0), INDEX($AN$1004:$BO$1004,1,MATCH(COLUMNS($AN$1006:AQ1006),$AN$1006:$BO$1006,0)))),"Fix")))</f>
        <v>0</v>
      </c>
      <c r="F267" s="4">
        <f>IF(OR(INDEX($AH$2:$AH$1001,MATCH(ROWS($AG$2:AG267),$AG$2:$AG$1001,0),1)&gt;=100000,INDEX($AN$1005:$BO$1005,1,MATCH(COLUMNS($AN$1006:AR1006),$AN$1006:$BO$1006,0))&gt;=100000), " ",IF(INDEX($AN$2:$BO$1001,MATCH(ROWS($AG$2:AG267),$AG$2:$AG$1001,0),MATCH(COLUMNS($AN$1006:AR1006),$AN$1006:$BO$1006,0)), HYPERLINK("#",""), HYPERLINK(CONCATENATE("#Metadata!", ADDRESS(INDEX($AI$2:$AI$1001,MATCH(ROWS($AG$2:AG267),$AG$2:$AG$1001,0),0), INDEX($AN$1004:$BO$1004,1,MATCH(COLUMNS($AN$1006:AR1006),$AN$1006:$BO$1006,0)))),"Fix")))</f>
        <v>0</v>
      </c>
      <c r="G267" s="4">
        <f>IF(OR(INDEX($AH$2:$AH$1001,MATCH(ROWS($AG$2:AG267),$AG$2:$AG$1001,0),1)&gt;=100000,INDEX($AN$1005:$BO$1005,1,MATCH(COLUMNS($AN$1006:AS1006),$AN$1006:$BO$1006,0))&gt;=100000), " ",IF(INDEX($AN$2:$BO$1001,MATCH(ROWS($AG$2:AG267),$AG$2:$AG$1001,0),MATCH(COLUMNS($AN$1006:AS1006),$AN$1006:$BO$1006,0)), HYPERLINK("#",""), HYPERLINK(CONCATENATE("#Metadata!", ADDRESS(INDEX($AI$2:$AI$1001,MATCH(ROWS($AG$2:AG267),$AG$2:$AG$1001,0),0), INDEX($AN$1004:$BO$1004,1,MATCH(COLUMNS($AN$1006:AS1006),$AN$1006:$BO$1006,0)))),"Fix")))</f>
        <v>0</v>
      </c>
      <c r="H267" s="4">
        <f>IF(OR(INDEX($AH$2:$AH$1001,MATCH(ROWS($AG$2:AG267),$AG$2:$AG$1001,0),1)&gt;=100000,INDEX($AN$1005:$BO$1005,1,MATCH(COLUMNS($AN$1006:AT1006),$AN$1006:$BO$1006,0))&gt;=100000), " ",IF(INDEX($AN$2:$BO$1001,MATCH(ROWS($AG$2:AG267),$AG$2:$AG$1001,0),MATCH(COLUMNS($AN$1006:AT1006),$AN$1006:$BO$1006,0)), HYPERLINK("#",""), HYPERLINK(CONCATENATE("#Metadata!", ADDRESS(INDEX($AI$2:$AI$1001,MATCH(ROWS($AG$2:AG267),$AG$2:$AG$1001,0),0), INDEX($AN$1004:$BO$1004,1,MATCH(COLUMNS($AN$1006:AT1006),$AN$1006:$BO$1006,0)))),"Fix")))</f>
        <v>0</v>
      </c>
      <c r="I267" s="4">
        <f>IF(OR(INDEX($AH$2:$AH$1001,MATCH(ROWS($AG$2:AG267),$AG$2:$AG$1001,0),1)&gt;=100000,INDEX($AN$1005:$BO$1005,1,MATCH(COLUMNS($AN$1006:AU1006),$AN$1006:$BO$1006,0))&gt;=100000), " ",IF(INDEX($AN$2:$BO$1001,MATCH(ROWS($AG$2:AG267),$AG$2:$AG$1001,0),MATCH(COLUMNS($AN$1006:AU1006),$AN$1006:$BO$1006,0)), HYPERLINK("#",""), HYPERLINK(CONCATENATE("#Metadata!", ADDRESS(INDEX($AI$2:$AI$1001,MATCH(ROWS($AG$2:AG267),$AG$2:$AG$1001,0),0), INDEX($AN$1004:$BO$1004,1,MATCH(COLUMNS($AN$1006:AU1006),$AN$1006:$BO$1006,0)))),"Fix")))</f>
        <v>0</v>
      </c>
      <c r="J267" s="4">
        <f>IF(OR(INDEX($AH$2:$AH$1001,MATCH(ROWS($AG$2:AG267),$AG$2:$AG$1001,0),1)&gt;=100000,INDEX($AN$1005:$BO$1005,1,MATCH(COLUMNS($AN$1006:AV1006),$AN$1006:$BO$1006,0))&gt;=100000), " ",IF(INDEX($AN$2:$BO$1001,MATCH(ROWS($AG$2:AG267),$AG$2:$AG$1001,0),MATCH(COLUMNS($AN$1006:AV1006),$AN$1006:$BO$1006,0)), HYPERLINK("#",""), HYPERLINK(CONCATENATE("#Metadata!", ADDRESS(INDEX($AI$2:$AI$1001,MATCH(ROWS($AG$2:AG267),$AG$2:$AG$1001,0),0), INDEX($AN$1004:$BO$1004,1,MATCH(COLUMNS($AN$1006:AV1006),$AN$1006:$BO$1006,0)))),"Fix")))</f>
        <v>0</v>
      </c>
      <c r="K267" s="4">
        <f>IF(OR(INDEX($AH$2:$AH$1001,MATCH(ROWS($AG$2:AG267),$AG$2:$AG$1001,0),1)&gt;=100000,INDEX($AN$1005:$BO$1005,1,MATCH(COLUMNS($AN$1006:AW1006),$AN$1006:$BO$1006,0))&gt;=100000), " ",IF(INDEX($AN$2:$BO$1001,MATCH(ROWS($AG$2:AG267),$AG$2:$AG$1001,0),MATCH(COLUMNS($AN$1006:AW1006),$AN$1006:$BO$1006,0)), HYPERLINK("#",""), HYPERLINK(CONCATENATE("#Metadata!", ADDRESS(INDEX($AI$2:$AI$1001,MATCH(ROWS($AG$2:AG267),$AG$2:$AG$1001,0),0), INDEX($AN$1004:$BO$1004,1,MATCH(COLUMNS($AN$1006:AW1006),$AN$1006:$BO$1006,0)))),"Fix")))</f>
        <v>0</v>
      </c>
      <c r="L267" s="4">
        <f>IF(OR(INDEX($AH$2:$AH$1001,MATCH(ROWS($AG$2:AG267),$AG$2:$AG$1001,0),1)&gt;=100000,INDEX($AN$1005:$BO$1005,1,MATCH(COLUMNS($AN$1006:AX1006),$AN$1006:$BO$1006,0))&gt;=100000), " ",IF(INDEX($AN$2:$BO$1001,MATCH(ROWS($AG$2:AG267),$AG$2:$AG$1001,0),MATCH(COLUMNS($AN$1006:AX1006),$AN$1006:$BO$1006,0)), HYPERLINK("#",""), HYPERLINK(CONCATENATE("#Metadata!", ADDRESS(INDEX($AI$2:$AI$1001,MATCH(ROWS($AG$2:AG267),$AG$2:$AG$1001,0),0), INDEX($AN$1004:$BO$1004,1,MATCH(COLUMNS($AN$1006:AX1006),$AN$1006:$BO$1006,0)))),"Fix")))</f>
        <v>0</v>
      </c>
      <c r="M267" s="4">
        <f>IF(OR(INDEX($AH$2:$AH$1001,MATCH(ROWS($AG$2:AG267),$AG$2:$AG$1001,0),1)&gt;=100000,INDEX($AN$1005:$BO$1005,1,MATCH(COLUMNS($AN$1006:AY1006),$AN$1006:$BO$1006,0))&gt;=100000), " ",IF(INDEX($AN$2:$BO$1001,MATCH(ROWS($AG$2:AG267),$AG$2:$AG$1001,0),MATCH(COLUMNS($AN$1006:AY1006),$AN$1006:$BO$1006,0)), HYPERLINK("#",""), HYPERLINK(CONCATENATE("#Metadata!", ADDRESS(INDEX($AI$2:$AI$1001,MATCH(ROWS($AG$2:AG267),$AG$2:$AG$1001,0),0), INDEX($AN$1004:$BO$1004,1,MATCH(COLUMNS($AN$1006:AY1006),$AN$1006:$BO$1006,0)))),"Fix")))</f>
        <v>0</v>
      </c>
      <c r="N267" s="4">
        <f>IF(OR(INDEX($AH$2:$AH$1001,MATCH(ROWS($AG$2:AG267),$AG$2:$AG$1001,0),1)&gt;=100000,INDEX($AN$1005:$BO$1005,1,MATCH(COLUMNS($AN$1006:AZ1006),$AN$1006:$BO$1006,0))&gt;=100000), " ",IF(INDEX($AN$2:$BO$1001,MATCH(ROWS($AG$2:AG267),$AG$2:$AG$1001,0),MATCH(COLUMNS($AN$1006:AZ1006),$AN$1006:$BO$1006,0)), HYPERLINK("#",""), HYPERLINK(CONCATENATE("#Metadata!", ADDRESS(INDEX($AI$2:$AI$1001,MATCH(ROWS($AG$2:AG267),$AG$2:$AG$1001,0),0), INDEX($AN$1004:$BO$1004,1,MATCH(COLUMNS($AN$1006:AZ1006),$AN$1006:$BO$1006,0)))),"Fix")))</f>
        <v>0</v>
      </c>
      <c r="O267" s="4">
        <f>IF(OR(INDEX($AH$2:$AH$1001,MATCH(ROWS($AG$2:AG267),$AG$2:$AG$1001,0),1)&gt;=100000,INDEX($AN$1005:$BO$1005,1,MATCH(COLUMNS($AN$1006:BA1006),$AN$1006:$BO$1006,0))&gt;=100000), " ",IF(INDEX($AN$2:$BO$1001,MATCH(ROWS($AG$2:AG267),$AG$2:$AG$1001,0),MATCH(COLUMNS($AN$1006:BA1006),$AN$1006:$BO$1006,0)), HYPERLINK("#",""), HYPERLINK(CONCATENATE("#Metadata!", ADDRESS(INDEX($AI$2:$AI$1001,MATCH(ROWS($AG$2:AG267),$AG$2:$AG$1001,0),0), INDEX($AN$1004:$BO$1004,1,MATCH(COLUMNS($AN$1006:BA1006),$AN$1006:$BO$1006,0)))),"Fix")))</f>
        <v>0</v>
      </c>
      <c r="P267" s="4">
        <f>IF(OR(INDEX($AH$2:$AH$1001,MATCH(ROWS($AG$2:AG267),$AG$2:$AG$1001,0),1)&gt;=100000,INDEX($AN$1005:$BO$1005,1,MATCH(COLUMNS($AN$1006:BB1006),$AN$1006:$BO$1006,0))&gt;=100000), " ",IF(INDEX($AN$2:$BO$1001,MATCH(ROWS($AG$2:AG267),$AG$2:$AG$1001,0),MATCH(COLUMNS($AN$1006:BB1006),$AN$1006:$BO$1006,0)), HYPERLINK("#",""), HYPERLINK(CONCATENATE("#Metadata!", ADDRESS(INDEX($AI$2:$AI$1001,MATCH(ROWS($AG$2:AG267),$AG$2:$AG$1001,0),0), INDEX($AN$1004:$BO$1004,1,MATCH(COLUMNS($AN$1006:BB1006),$AN$1006:$BO$1006,0)))),"Fix")))</f>
        <v>0</v>
      </c>
      <c r="Q267" s="4">
        <f>IF(OR(INDEX($AH$2:$AH$1001,MATCH(ROWS($AG$2:AG267),$AG$2:$AG$1001,0),1)&gt;=100000,INDEX($AN$1005:$BO$1005,1,MATCH(COLUMNS($AN$1006:BC1006),$AN$1006:$BO$1006,0))&gt;=100000), " ",IF(INDEX($AN$2:$BO$1001,MATCH(ROWS($AG$2:AG267),$AG$2:$AG$1001,0),MATCH(COLUMNS($AN$1006:BC1006),$AN$1006:$BO$1006,0)), HYPERLINK("#",""), HYPERLINK(CONCATENATE("#Metadata!", ADDRESS(INDEX($AI$2:$AI$1001,MATCH(ROWS($AG$2:AG267),$AG$2:$AG$1001,0),0), INDEX($AN$1004:$BO$1004,1,MATCH(COLUMNS($AN$1006:BC1006),$AN$1006:$BO$1006,0)))),"Fix")))</f>
        <v>0</v>
      </c>
      <c r="R267" s="4">
        <f>IF(OR(INDEX($AH$2:$AH$1001,MATCH(ROWS($AG$2:AG267),$AG$2:$AG$1001,0),1)&gt;=100000,INDEX($AN$1005:$BO$1005,1,MATCH(COLUMNS($AN$1006:BD1006),$AN$1006:$BO$1006,0))&gt;=100000), " ",IF(INDEX($AN$2:$BO$1001,MATCH(ROWS($AG$2:AG267),$AG$2:$AG$1001,0),MATCH(COLUMNS($AN$1006:BD1006),$AN$1006:$BO$1006,0)), HYPERLINK("#",""), HYPERLINK(CONCATENATE("#Metadata!", ADDRESS(INDEX($AI$2:$AI$1001,MATCH(ROWS($AG$2:AG267),$AG$2:$AG$1001,0),0), INDEX($AN$1004:$BO$1004,1,MATCH(COLUMNS($AN$1006:BD1006),$AN$1006:$BO$1006,0)))),"Fix")))</f>
        <v>0</v>
      </c>
      <c r="S267" s="4">
        <f>IF(OR(INDEX($AH$2:$AH$1001,MATCH(ROWS($AG$2:AG267),$AG$2:$AG$1001,0),1)&gt;=100000,INDEX($AN$1005:$BO$1005,1,MATCH(COLUMNS($AN$1006:BE1006),$AN$1006:$BO$1006,0))&gt;=100000), " ",IF(INDEX($AN$2:$BO$1001,MATCH(ROWS($AG$2:AG267),$AG$2:$AG$1001,0),MATCH(COLUMNS($AN$1006:BE1006),$AN$1006:$BO$1006,0)), HYPERLINK("#",""), HYPERLINK(CONCATENATE("#Metadata!", ADDRESS(INDEX($AI$2:$AI$1001,MATCH(ROWS($AG$2:AG267),$AG$2:$AG$1001,0),0), INDEX($AN$1004:$BO$1004,1,MATCH(COLUMNS($AN$1006:BE1006),$AN$1006:$BO$1006,0)))),"Fix")))</f>
        <v>0</v>
      </c>
      <c r="T267" s="4">
        <f>IF(OR(INDEX($AH$2:$AH$1001,MATCH(ROWS($AG$2:AG267),$AG$2:$AG$1001,0),1)&gt;=100000,INDEX($AN$1005:$BO$1005,1,MATCH(COLUMNS($AN$1006:BF1006),$AN$1006:$BO$1006,0))&gt;=100000), " ",IF(INDEX($AN$2:$BO$1001,MATCH(ROWS($AG$2:AG267),$AG$2:$AG$1001,0),MATCH(COLUMNS($AN$1006:BF1006),$AN$1006:$BO$1006,0)), HYPERLINK("#",""), HYPERLINK(CONCATENATE("#Metadata!", ADDRESS(INDEX($AI$2:$AI$1001,MATCH(ROWS($AG$2:AG267),$AG$2:$AG$1001,0),0), INDEX($AN$1004:$BO$1004,1,MATCH(COLUMNS($AN$1006:BF1006),$AN$1006:$BO$1006,0)))),"Fix")))</f>
        <v>0</v>
      </c>
      <c r="U267" s="4">
        <f>IF(OR(INDEX($AH$2:$AH$1001,MATCH(ROWS($AG$2:AG267),$AG$2:$AG$1001,0),1)&gt;=100000,INDEX($AN$1005:$BO$1005,1,MATCH(COLUMNS($AN$1006:BG1006),$AN$1006:$BO$1006,0))&gt;=100000), " ",IF(INDEX($AN$2:$BO$1001,MATCH(ROWS($AG$2:AG267),$AG$2:$AG$1001,0),MATCH(COLUMNS($AN$1006:BG1006),$AN$1006:$BO$1006,0)), HYPERLINK("#",""), HYPERLINK(CONCATENATE("#Metadata!", ADDRESS(INDEX($AI$2:$AI$1001,MATCH(ROWS($AG$2:AG267),$AG$2:$AG$1001,0),0), INDEX($AN$1004:$BO$1004,1,MATCH(COLUMNS($AN$1006:BG1006),$AN$1006:$BO$1006,0)))),"Fix")))</f>
        <v>0</v>
      </c>
      <c r="V267" s="4">
        <f>IF(OR(INDEX($AH$2:$AH$1001,MATCH(ROWS($AG$2:AG267),$AG$2:$AG$1001,0),1)&gt;=100000,INDEX($AN$1005:$BO$1005,1,MATCH(COLUMNS($AN$1006:BH1006),$AN$1006:$BO$1006,0))&gt;=100000), " ",IF(INDEX($AN$2:$BO$1001,MATCH(ROWS($AG$2:AG267),$AG$2:$AG$1001,0),MATCH(COLUMNS($AN$1006:BH1006),$AN$1006:$BO$1006,0)), HYPERLINK("#",""), HYPERLINK(CONCATENATE("#Metadata!", ADDRESS(INDEX($AI$2:$AI$1001,MATCH(ROWS($AG$2:AG267),$AG$2:$AG$1001,0),0), INDEX($AN$1004:$BO$1004,1,MATCH(COLUMNS($AN$1006:BH1006),$AN$1006:$BO$1006,0)))),"Fix")))</f>
        <v>0</v>
      </c>
      <c r="W267" s="4">
        <f>IF(OR(INDEX($AH$2:$AH$1001,MATCH(ROWS($AG$2:AG267),$AG$2:$AG$1001,0),1)&gt;=100000,INDEX($AN$1005:$BO$1005,1,MATCH(COLUMNS($AN$1006:BI1006),$AN$1006:$BO$1006,0))&gt;=100000), " ",IF(INDEX($AN$2:$BO$1001,MATCH(ROWS($AG$2:AG267),$AG$2:$AG$1001,0),MATCH(COLUMNS($AN$1006:BI1006),$AN$1006:$BO$1006,0)), HYPERLINK("#",""), HYPERLINK(CONCATENATE("#Metadata!", ADDRESS(INDEX($AI$2:$AI$1001,MATCH(ROWS($AG$2:AG267),$AG$2:$AG$1001,0),0), INDEX($AN$1004:$BO$1004,1,MATCH(COLUMNS($AN$1006:BI1006),$AN$1006:$BO$1006,0)))),"Fix")))</f>
        <v>0</v>
      </c>
      <c r="X267" s="4">
        <f>IF(OR(INDEX($AH$2:$AH$1001,MATCH(ROWS($AG$2:AG267),$AG$2:$AG$1001,0),1)&gt;=100000,INDEX($AN$1005:$BO$1005,1,MATCH(COLUMNS($AN$1006:BJ1006),$AN$1006:$BO$1006,0))&gt;=100000), " ",IF(INDEX($AN$2:$BO$1001,MATCH(ROWS($AG$2:AG267),$AG$2:$AG$1001,0),MATCH(COLUMNS($AN$1006:BJ1006),$AN$1006:$BO$1006,0)), HYPERLINK("#",""), HYPERLINK(CONCATENATE("#Metadata!", ADDRESS(INDEX($AI$2:$AI$1001,MATCH(ROWS($AG$2:AG267),$AG$2:$AG$1001,0),0), INDEX($AN$1004:$BO$1004,1,MATCH(COLUMNS($AN$1006:BJ1006),$AN$1006:$BO$1006,0)))),"Fix")))</f>
        <v>0</v>
      </c>
      <c r="Y267" s="4">
        <f>IF(OR(INDEX($AH$2:$AH$1001,MATCH(ROWS($AG$2:AG267),$AG$2:$AG$1001,0),1)&gt;=100000,INDEX($AN$1005:$BO$1005,1,MATCH(COLUMNS($AN$1006:BK1006),$AN$1006:$BO$1006,0))&gt;=100000), " ",IF(INDEX($AN$2:$BO$1001,MATCH(ROWS($AG$2:AG267),$AG$2:$AG$1001,0),MATCH(COLUMNS($AN$1006:BK1006),$AN$1006:$BO$1006,0)), HYPERLINK("#",""), HYPERLINK(CONCATENATE("#Metadata!", ADDRESS(INDEX($AI$2:$AI$1001,MATCH(ROWS($AG$2:AG267),$AG$2:$AG$1001,0),0), INDEX($AN$1004:$BO$1004,1,MATCH(COLUMNS($AN$1006:BK1006),$AN$1006:$BO$1006,0)))),"Fix")))</f>
        <v>0</v>
      </c>
      <c r="Z267" s="4">
        <f>IF(OR(INDEX($AH$2:$AH$1001,MATCH(ROWS($AG$2:AG267),$AG$2:$AG$1001,0),1)&gt;=100000,INDEX($AN$1005:$BO$1005,1,MATCH(COLUMNS($AN$1006:BL1006),$AN$1006:$BO$1006,0))&gt;=100000), " ",IF(INDEX($AN$2:$BO$1001,MATCH(ROWS($AG$2:AG267),$AG$2:$AG$1001,0),MATCH(COLUMNS($AN$1006:BL1006),$AN$1006:$BO$1006,0)), HYPERLINK("#",""), HYPERLINK(CONCATENATE("#Metadata!", ADDRESS(INDEX($AI$2:$AI$1001,MATCH(ROWS($AG$2:AG267),$AG$2:$AG$1001,0),0), INDEX($AN$1004:$BO$1004,1,MATCH(COLUMNS($AN$1006:BL1006),$AN$1006:$BO$1006,0)))),"Fix")))</f>
        <v>0</v>
      </c>
      <c r="AA267" s="4">
        <f>IF(OR(INDEX($AH$2:$AH$1001,MATCH(ROWS($AG$2:AG267),$AG$2:$AG$1001,0),1)&gt;=100000,INDEX($AN$1005:$BO$1005,1,MATCH(COLUMNS($AN$1006:BM1006),$AN$1006:$BO$1006,0))&gt;=100000), " ",IF(INDEX($AN$2:$BO$1001,MATCH(ROWS($AG$2:AG267),$AG$2:$AG$1001,0),MATCH(COLUMNS($AN$1006:BM1006),$AN$1006:$BO$1006,0)), HYPERLINK("#",""), HYPERLINK(CONCATENATE("#Metadata!", ADDRESS(INDEX($AI$2:$AI$1001,MATCH(ROWS($AG$2:AG267),$AG$2:$AG$1001,0),0), INDEX($AN$1004:$BO$1004,1,MATCH(COLUMNS($AN$1006:BM1006),$AN$1006:$BO$1006,0)))),"Fix")))</f>
        <v>0</v>
      </c>
      <c r="AB267" s="4">
        <f>IF(OR(INDEX($AH$2:$AH$1001,MATCH(ROWS($AG$2:AG267),$AG$2:$AG$1001,0),1)&gt;=100000,INDEX($AN$1005:$BO$1005,1,MATCH(COLUMNS($AN$1006:BN1006),$AN$1006:$BO$1006,0))&gt;=100000), " ",IF(INDEX($AN$2:$BO$1001,MATCH(ROWS($AG$2:AG267),$AG$2:$AG$1001,0),MATCH(COLUMNS($AN$1006:BN1006),$AN$1006:$BO$1006,0)), HYPERLINK("#",""), HYPERLINK(CONCATENATE("#Metadata!", ADDRESS(INDEX($AI$2:$AI$1001,MATCH(ROWS($AG$2:AG267),$AG$2:$AG$1001,0),0), INDEX($AN$1004:$BO$1004,1,MATCH(COLUMNS($AN$1006:BN1006),$AN$1006:$BO$1006,0)))),"Fix")))</f>
        <v>0</v>
      </c>
      <c r="AC267" s="4">
        <f>IF(OR(INDEX($AH$2:$AH$1001,MATCH(ROWS($AG$2:AG267),$AG$2:$AG$1001,0),1)&gt;=100000,INDEX($AN$1005:$BO$1005,1,MATCH(COLUMNS($AN$1006:BO1006),$AN$1006:$BO$1006,0))&gt;=100000), " ",IF(INDEX($AN$2:$BO$1001,MATCH(ROWS($AG$2:AG267),$AG$2:$AG$1001,0),MATCH(COLUMNS($AN$1006:BO1006),$AN$1006:$BO$1006,0)), HYPERLINK("#",""), HYPERLINK(CONCATENATE("#Metadata!", ADDRESS(INDEX($AI$2:$AI$1001,MATCH(ROWS($AG$2:AG267),$AG$2:$AG$1001,0),0), INDEX($AN$1004:$BO$1004,1,MATCH(COLUMNS($AN$1006:BO1006),$AN$1006:$BO$1006,0)))),"Fix")))</f>
        <v>0</v>
      </c>
      <c r="AG267">
        <v>0</v>
      </c>
      <c r="AH267">
        <v>0</v>
      </c>
      <c r="AI267">
        <v>0</v>
      </c>
      <c r="AJ267">
        <f>IF(AK267,TRUE,AND(AN267:BO267))</f>
        <v>0</v>
      </c>
      <c r="AK267">
        <f>COUNTBLANK(Metadata!B267:AC267)=COLUMNS(Metadata!B267:AC267)</f>
        <v>0</v>
      </c>
      <c r="AL267">
        <v>0</v>
      </c>
      <c r="AN267">
        <f>AND(IF(Metadata!B267="",FALSE,TRUE),COUNTIF(Metadata!B:B, Metadata!B267) = 1,NOT(ISERROR(SUMPRODUCT(SEARCH(MID(Metadata!B267,ROW(INDIRECT("1:"&amp;LEN(Metadata!B267))), 1),"0123456789abcdefghijklmnopqrstuvwxyzABCDEFGHIJKLMNOPQRSTUVWXYZ.")))))</f>
        <v>0</v>
      </c>
      <c r="AO267">
        <f>IF(Metadata!C267="",FALSE,TRUE)</f>
        <v>0</v>
      </c>
      <c r="AP267">
        <f>IF(Metadata!D267="",FALSE,TRUE)</f>
        <v>0</v>
      </c>
      <c r="AQ267">
        <f>OR(AND(IF(Metadata!E267="",FALSE,TRUE),OR(exact(Metadata!E267,"not collected"),exact(Metadata!E267,"not provided"),exact(Metadata!E267,"restricted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R267">
        <f>IF(Metadata!F267="",FALSE,TRUE)</f>
        <v>0</v>
      </c>
      <c r="AS267">
        <f>OR(AND(IF(Metadata!G267="",FALSE,TRUE),OR(exact(Metadata!G267,"not collected"),exact(Metadata!G267,"not provided"))),AND(IF(Metadata!G267="",FALSE,TRUE),OR(exact(Metadata!G267,"TRUE"),exact(Metadata!G267,"FALSE"))))</f>
        <v>0</v>
      </c>
      <c r="AT267">
        <f>OR(AND(IF(Metadata!H267="",FALSE,TRUE),OR(exact(Metadata!H267,"not collected"),exact(Metadata!H267,"not provided"),exact(Metadata!H267,"restricted access"))),AND(IF(Metadata!H267="",FALSE,ISNUMBER(VALUE(Metadata!H267))),Metadata!H267&gt;=-413.0))</f>
        <v>0</v>
      </c>
      <c r="AU267">
        <f>AND(IF(Metadata!I267="",FALSE,TRUE),exact(Metadata!I267,"meters"))</f>
        <v>0</v>
      </c>
      <c r="AV267">
        <f>AND(IF(Metadata!J267="",FALSE,TRUE),OR(exact(Metadata!J267,"Host-associated"),exact(Metadata!J267,"Free-living")))</f>
        <v>0</v>
      </c>
      <c r="AW267">
        <f>AND(IF(Metadata!K267="",FALSE,TRUE),OR(exact(Metadata!K267,"Animal"),exact(Metadata!K267,"Fungus"),exact(Metadata!K267,"Plant"),exact(Metadata!K267,"Saline"),exact(Metadata!K267,"Non-saline")))</f>
        <v>0</v>
      </c>
      <c r="AX267">
        <f>AND(IF(Metadata!L267="",FALSE,TRUE),OR(exact(Metadata!L267,"Plant secretion"),exact(Metadata!L267,"Plant rhizosphere"),exact(Metadata!L267,"Plant surface"),exact(Metadata!L267,"Plant corpus"),exact(Metadata!L267,"Fungus surface"),exact(Metadata!L267,"Fungus corpus"),exact(Metadata!L267,"Animal surface"),exact(Metadata!L267,"Animal proximal gut"),exact(Metadata!L267,"Animal corpus"),exact(Metadata!L267,"Animal distal gut"),exact(Metadata!L267,"Animal secretion"),exact(Metadata!L267,"Sub-surface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Y267">
        <f>IF(Metadata!M267="",FALSE,TRUE)</f>
        <v>0</v>
      </c>
      <c r="AZ267">
        <f>IF(Metadata!N267="",FALSE,TRUE)</f>
        <v>0</v>
      </c>
      <c r="BA267">
        <f>IF(Metadata!O267="",FALSE,TRUE)</f>
        <v>0</v>
      </c>
      <c r="BB267">
        <f>OR(AND(IF(Metadata!P267="",FALSE,TRUE),OR(exact(Metadata!P267,"not collected"),exact(Metadata!P267,"not provided"),exact(Metadata!P267,"restricted access"))),AND(IF(Metadata!P267="",FALSE,TRUE),OR(exact(Metadata!P267,"air"),exact(Metadata!P267,"built environment"),exact(Metadata!P267,"host-associated"),exact(Metadata!P267,"human-associated"),exact(Metadata!P267,"human-skin"),exact(Metadata!P267,"human-oral"),exact(Metadata!P267,"human-gut"),exact(Metadata!P267,"human-vaginal"),exact(Metadata!P267,"microbial mat/biofilm"),exact(Metadata!P267,"misc environment"),exact(Metadata!P267,"plant-associated"),exact(Metadata!P267,"sediment"),exact(Metadata!P267,"soil"),exact(Metadata!P267,"wastewater/sludge"),exact(Metadata!P267,"water"))))</f>
        <v>0</v>
      </c>
      <c r="BC267">
        <f>IF(Metadata!Q267="",FALSE,TRUE)</f>
        <v>0</v>
      </c>
      <c r="BD267">
        <f>IF(Metadata!R267="",FALSE,TRUE)</f>
        <v>0</v>
      </c>
      <c r="BE267">
        <f>OR(AND(IF(Metadata!S267="",FALSE,TRUE),OR(exact(Metadata!S267,"not collected"),exact(Metadata!S267,"not provided"),exact(Metadata!S267,"restricted access"))),AND(IF(Metadata!S267="",FALSE,ISNUMBER(VALUE(Metadata!S267))),Metadata!S267&gt;=-90.00,Metadata!S267&lt;=90.00))</f>
        <v>0</v>
      </c>
      <c r="BF267">
        <f>AND(IF(Metadata!T267="",FALSE,TRUE),exact(Metadata!T267,"Decimal degrees"))</f>
        <v>0</v>
      </c>
      <c r="BG267">
        <f>OR(AND(IF(Metadata!U267="",FALSE,TRUE),OR(exact(Metadata!U267,"not collected"),exact(Metadata!U267,"not provided"),exact(Metadata!U267,"restricted access"))),AND(IF(Metadata!U267="",FALSE,ISNUMBER(VALUE(Metadata!U267))),Metadata!U267&gt;=-180.00,Metadata!U267&lt;=180.00))</f>
        <v>0</v>
      </c>
      <c r="BH267">
        <f>AND(IF(Metadata!V267="",FALSE,TRUE),exact(Metadata!V267,"Decimal degrees"))</f>
        <v>0</v>
      </c>
      <c r="BI267">
        <f>IF(Metadata!W267="",FALSE,TRUE)</f>
        <v>0</v>
      </c>
      <c r="BJ267">
        <f>OR(AND(IF(Metadata!X267="",FALSE,TRUE),OR(exact(Metadata!X267,"not collected"),exact(Metadata!X267,"not provided"),exact(Metadata!X267,"restricted access"))),AND(IF(Metadata!X267="",FALSE,TRUE),OR(exact(Metadata!X267,"TRUE"),exact(Metadata!X267,"FALSE"))))</f>
        <v>0</v>
      </c>
      <c r="BK267">
        <f>AND(IF(Metadata!Y267="",FALSE,TRUE),exact(Metadata!Y267,"other"))</f>
        <v>0</v>
      </c>
      <c r="BL267">
        <f>IF(Metadata!Z267="",FALSE,TRUE)</f>
        <v>0</v>
      </c>
      <c r="BM267">
        <f>OR(AND(IF(Metadata!AA267="",FALSE,TRUE),OR(exact(Metadata!AA267,"not collected"),exact(Metadata!AA267,"not provided"))),AND(IF(Metadata!AA267="",FALSE,IF(ISERROR(INT(Metadata!AA267)),FALSE,INT(Metadata!AA267)=Metadata!AA267)),Metadata!AA267&gt;0))</f>
        <v>0</v>
      </c>
      <c r="BN267">
        <f>AND(IF(Metadata!AB267="",FALSE,TRUE),exact(Metadata!AB267,"Not applicable"))</f>
        <v>0</v>
      </c>
      <c r="BO267">
        <f>IF(Metadata!AC267="",FALSE,TRUE)</f>
        <v>0</v>
      </c>
    </row>
    <row r="268" spans="1:67">
      <c r="A268" s="5">
        <f>IF(B268=" "," ",HYPERLINK(CONCATENATE("#metadata!",ADDRESS(INDEX($AI$2:$AI$1001,MATCH(ROWS($AG$2:AG268),$AG$2:$AG$1001,0),0),1)),INDEX($AL$2:$AL$1001,MATCH(ROWS($AG$2:AG268),$AG$2:$AG$1001,0),0)))</f>
        <v>0</v>
      </c>
      <c r="B268" s="4">
        <f>IF(OR(INDEX($AH$2:$AH$1001,MATCH(ROWS($AG$2:AG268),$AG$2:$AG$1001,0),1)&gt;=100000,INDEX($AN$1005:$BO$1005,1,MATCH(COLUMNS($AN$1006:AN1006),$AN$1006:$BO$1006,0))&gt;=100000), " ",IF(INDEX($AN$2:$BO$1001,MATCH(ROWS($AG$2:AG268),$AG$2:$AG$1001,0),MATCH(COLUMNS($AN$1006:AN1006),$AN$1006:$BO$1006,0)), HYPERLINK("#",""), HYPERLINK(CONCATENATE("#Metadata!", ADDRESS(INDEX($AI$2:$AI$1001,MATCH(ROWS($AG$2:AG268),$AG$2:$AG$1001,0),0), INDEX($AN$1004:$BO$1004,1,MATCH(COLUMNS($AN$1006:AN1006),$AN$1006:$BO$1006,0)))),"Fix")))</f>
        <v>0</v>
      </c>
      <c r="C268" s="4">
        <f>IF(OR(INDEX($AH$2:$AH$1001,MATCH(ROWS($AG$2:AG268),$AG$2:$AG$1001,0),1)&gt;=100000,INDEX($AN$1005:$BO$1005,1,MATCH(COLUMNS($AN$1006:AO1006),$AN$1006:$BO$1006,0))&gt;=100000), " ",IF(INDEX($AN$2:$BO$1001,MATCH(ROWS($AG$2:AG268),$AG$2:$AG$1001,0),MATCH(COLUMNS($AN$1006:AO1006),$AN$1006:$BO$1006,0)), HYPERLINK("#",""), HYPERLINK(CONCATENATE("#Metadata!", ADDRESS(INDEX($AI$2:$AI$1001,MATCH(ROWS($AG$2:AG268),$AG$2:$AG$1001,0),0), INDEX($AN$1004:$BO$1004,1,MATCH(COLUMNS($AN$1006:AO1006),$AN$1006:$BO$1006,0)))),"Fix")))</f>
        <v>0</v>
      </c>
      <c r="D268" s="4">
        <f>IF(OR(INDEX($AH$2:$AH$1001,MATCH(ROWS($AG$2:AG268),$AG$2:$AG$1001,0),1)&gt;=100000,INDEX($AN$1005:$BO$1005,1,MATCH(COLUMNS($AN$1006:AP1006),$AN$1006:$BO$1006,0))&gt;=100000), " ",IF(INDEX($AN$2:$BO$1001,MATCH(ROWS($AG$2:AG268),$AG$2:$AG$1001,0),MATCH(COLUMNS($AN$1006:AP1006),$AN$1006:$BO$1006,0)), HYPERLINK("#",""), HYPERLINK(CONCATENATE("#Metadata!", ADDRESS(INDEX($AI$2:$AI$1001,MATCH(ROWS($AG$2:AG268),$AG$2:$AG$1001,0),0), INDEX($AN$1004:$BO$1004,1,MATCH(COLUMNS($AN$1006:AP1006),$AN$1006:$BO$1006,0)))),"Fix")))</f>
        <v>0</v>
      </c>
      <c r="E268" s="4">
        <f>IF(OR(INDEX($AH$2:$AH$1001,MATCH(ROWS($AG$2:AG268),$AG$2:$AG$1001,0),1)&gt;=100000,INDEX($AN$1005:$BO$1005,1,MATCH(COLUMNS($AN$1006:AQ1006),$AN$1006:$BO$1006,0))&gt;=100000), " ",IF(INDEX($AN$2:$BO$1001,MATCH(ROWS($AG$2:AG268),$AG$2:$AG$1001,0),MATCH(COLUMNS($AN$1006:AQ1006),$AN$1006:$BO$1006,0)), HYPERLINK("#",""), HYPERLINK(CONCATENATE("#Metadata!", ADDRESS(INDEX($AI$2:$AI$1001,MATCH(ROWS($AG$2:AG268),$AG$2:$AG$1001,0),0), INDEX($AN$1004:$BO$1004,1,MATCH(COLUMNS($AN$1006:AQ1006),$AN$1006:$BO$1006,0)))),"Fix")))</f>
        <v>0</v>
      </c>
      <c r="F268" s="4">
        <f>IF(OR(INDEX($AH$2:$AH$1001,MATCH(ROWS($AG$2:AG268),$AG$2:$AG$1001,0),1)&gt;=100000,INDEX($AN$1005:$BO$1005,1,MATCH(COLUMNS($AN$1006:AR1006),$AN$1006:$BO$1006,0))&gt;=100000), " ",IF(INDEX($AN$2:$BO$1001,MATCH(ROWS($AG$2:AG268),$AG$2:$AG$1001,0),MATCH(COLUMNS($AN$1006:AR1006),$AN$1006:$BO$1006,0)), HYPERLINK("#",""), HYPERLINK(CONCATENATE("#Metadata!", ADDRESS(INDEX($AI$2:$AI$1001,MATCH(ROWS($AG$2:AG268),$AG$2:$AG$1001,0),0), INDEX($AN$1004:$BO$1004,1,MATCH(COLUMNS($AN$1006:AR1006),$AN$1006:$BO$1006,0)))),"Fix")))</f>
        <v>0</v>
      </c>
      <c r="G268" s="4">
        <f>IF(OR(INDEX($AH$2:$AH$1001,MATCH(ROWS($AG$2:AG268),$AG$2:$AG$1001,0),1)&gt;=100000,INDEX($AN$1005:$BO$1005,1,MATCH(COLUMNS($AN$1006:AS1006),$AN$1006:$BO$1006,0))&gt;=100000), " ",IF(INDEX($AN$2:$BO$1001,MATCH(ROWS($AG$2:AG268),$AG$2:$AG$1001,0),MATCH(COLUMNS($AN$1006:AS1006),$AN$1006:$BO$1006,0)), HYPERLINK("#",""), HYPERLINK(CONCATENATE("#Metadata!", ADDRESS(INDEX($AI$2:$AI$1001,MATCH(ROWS($AG$2:AG268),$AG$2:$AG$1001,0),0), INDEX($AN$1004:$BO$1004,1,MATCH(COLUMNS($AN$1006:AS1006),$AN$1006:$BO$1006,0)))),"Fix")))</f>
        <v>0</v>
      </c>
      <c r="H268" s="4">
        <f>IF(OR(INDEX($AH$2:$AH$1001,MATCH(ROWS($AG$2:AG268),$AG$2:$AG$1001,0),1)&gt;=100000,INDEX($AN$1005:$BO$1005,1,MATCH(COLUMNS($AN$1006:AT1006),$AN$1006:$BO$1006,0))&gt;=100000), " ",IF(INDEX($AN$2:$BO$1001,MATCH(ROWS($AG$2:AG268),$AG$2:$AG$1001,0),MATCH(COLUMNS($AN$1006:AT1006),$AN$1006:$BO$1006,0)), HYPERLINK("#",""), HYPERLINK(CONCATENATE("#Metadata!", ADDRESS(INDEX($AI$2:$AI$1001,MATCH(ROWS($AG$2:AG268),$AG$2:$AG$1001,0),0), INDEX($AN$1004:$BO$1004,1,MATCH(COLUMNS($AN$1006:AT1006),$AN$1006:$BO$1006,0)))),"Fix")))</f>
        <v>0</v>
      </c>
      <c r="I268" s="4">
        <f>IF(OR(INDEX($AH$2:$AH$1001,MATCH(ROWS($AG$2:AG268),$AG$2:$AG$1001,0),1)&gt;=100000,INDEX($AN$1005:$BO$1005,1,MATCH(COLUMNS($AN$1006:AU1006),$AN$1006:$BO$1006,0))&gt;=100000), " ",IF(INDEX($AN$2:$BO$1001,MATCH(ROWS($AG$2:AG268),$AG$2:$AG$1001,0),MATCH(COLUMNS($AN$1006:AU1006),$AN$1006:$BO$1006,0)), HYPERLINK("#",""), HYPERLINK(CONCATENATE("#Metadata!", ADDRESS(INDEX($AI$2:$AI$1001,MATCH(ROWS($AG$2:AG268),$AG$2:$AG$1001,0),0), INDEX($AN$1004:$BO$1004,1,MATCH(COLUMNS($AN$1006:AU1006),$AN$1006:$BO$1006,0)))),"Fix")))</f>
        <v>0</v>
      </c>
      <c r="J268" s="4">
        <f>IF(OR(INDEX($AH$2:$AH$1001,MATCH(ROWS($AG$2:AG268),$AG$2:$AG$1001,0),1)&gt;=100000,INDEX($AN$1005:$BO$1005,1,MATCH(COLUMNS($AN$1006:AV1006),$AN$1006:$BO$1006,0))&gt;=100000), " ",IF(INDEX($AN$2:$BO$1001,MATCH(ROWS($AG$2:AG268),$AG$2:$AG$1001,0),MATCH(COLUMNS($AN$1006:AV1006),$AN$1006:$BO$1006,0)), HYPERLINK("#",""), HYPERLINK(CONCATENATE("#Metadata!", ADDRESS(INDEX($AI$2:$AI$1001,MATCH(ROWS($AG$2:AG268),$AG$2:$AG$1001,0),0), INDEX($AN$1004:$BO$1004,1,MATCH(COLUMNS($AN$1006:AV1006),$AN$1006:$BO$1006,0)))),"Fix")))</f>
        <v>0</v>
      </c>
      <c r="K268" s="4">
        <f>IF(OR(INDEX($AH$2:$AH$1001,MATCH(ROWS($AG$2:AG268),$AG$2:$AG$1001,0),1)&gt;=100000,INDEX($AN$1005:$BO$1005,1,MATCH(COLUMNS($AN$1006:AW1006),$AN$1006:$BO$1006,0))&gt;=100000), " ",IF(INDEX($AN$2:$BO$1001,MATCH(ROWS($AG$2:AG268),$AG$2:$AG$1001,0),MATCH(COLUMNS($AN$1006:AW1006),$AN$1006:$BO$1006,0)), HYPERLINK("#",""), HYPERLINK(CONCATENATE("#Metadata!", ADDRESS(INDEX($AI$2:$AI$1001,MATCH(ROWS($AG$2:AG268),$AG$2:$AG$1001,0),0), INDEX($AN$1004:$BO$1004,1,MATCH(COLUMNS($AN$1006:AW1006),$AN$1006:$BO$1006,0)))),"Fix")))</f>
        <v>0</v>
      </c>
      <c r="L268" s="4">
        <f>IF(OR(INDEX($AH$2:$AH$1001,MATCH(ROWS($AG$2:AG268),$AG$2:$AG$1001,0),1)&gt;=100000,INDEX($AN$1005:$BO$1005,1,MATCH(COLUMNS($AN$1006:AX1006),$AN$1006:$BO$1006,0))&gt;=100000), " ",IF(INDEX($AN$2:$BO$1001,MATCH(ROWS($AG$2:AG268),$AG$2:$AG$1001,0),MATCH(COLUMNS($AN$1006:AX1006),$AN$1006:$BO$1006,0)), HYPERLINK("#",""), HYPERLINK(CONCATENATE("#Metadata!", ADDRESS(INDEX($AI$2:$AI$1001,MATCH(ROWS($AG$2:AG268),$AG$2:$AG$1001,0),0), INDEX($AN$1004:$BO$1004,1,MATCH(COLUMNS($AN$1006:AX1006),$AN$1006:$BO$1006,0)))),"Fix")))</f>
        <v>0</v>
      </c>
      <c r="M268" s="4">
        <f>IF(OR(INDEX($AH$2:$AH$1001,MATCH(ROWS($AG$2:AG268),$AG$2:$AG$1001,0),1)&gt;=100000,INDEX($AN$1005:$BO$1005,1,MATCH(COLUMNS($AN$1006:AY1006),$AN$1006:$BO$1006,0))&gt;=100000), " ",IF(INDEX($AN$2:$BO$1001,MATCH(ROWS($AG$2:AG268),$AG$2:$AG$1001,0),MATCH(COLUMNS($AN$1006:AY1006),$AN$1006:$BO$1006,0)), HYPERLINK("#",""), HYPERLINK(CONCATENATE("#Metadata!", ADDRESS(INDEX($AI$2:$AI$1001,MATCH(ROWS($AG$2:AG268),$AG$2:$AG$1001,0),0), INDEX($AN$1004:$BO$1004,1,MATCH(COLUMNS($AN$1006:AY1006),$AN$1006:$BO$1006,0)))),"Fix")))</f>
        <v>0</v>
      </c>
      <c r="N268" s="4">
        <f>IF(OR(INDEX($AH$2:$AH$1001,MATCH(ROWS($AG$2:AG268),$AG$2:$AG$1001,0),1)&gt;=100000,INDEX($AN$1005:$BO$1005,1,MATCH(COLUMNS($AN$1006:AZ1006),$AN$1006:$BO$1006,0))&gt;=100000), " ",IF(INDEX($AN$2:$BO$1001,MATCH(ROWS($AG$2:AG268),$AG$2:$AG$1001,0),MATCH(COLUMNS($AN$1006:AZ1006),$AN$1006:$BO$1006,0)), HYPERLINK("#",""), HYPERLINK(CONCATENATE("#Metadata!", ADDRESS(INDEX($AI$2:$AI$1001,MATCH(ROWS($AG$2:AG268),$AG$2:$AG$1001,0),0), INDEX($AN$1004:$BO$1004,1,MATCH(COLUMNS($AN$1006:AZ1006),$AN$1006:$BO$1006,0)))),"Fix")))</f>
        <v>0</v>
      </c>
      <c r="O268" s="4">
        <f>IF(OR(INDEX($AH$2:$AH$1001,MATCH(ROWS($AG$2:AG268),$AG$2:$AG$1001,0),1)&gt;=100000,INDEX($AN$1005:$BO$1005,1,MATCH(COLUMNS($AN$1006:BA1006),$AN$1006:$BO$1006,0))&gt;=100000), " ",IF(INDEX($AN$2:$BO$1001,MATCH(ROWS($AG$2:AG268),$AG$2:$AG$1001,0),MATCH(COLUMNS($AN$1006:BA1006),$AN$1006:$BO$1006,0)), HYPERLINK("#",""), HYPERLINK(CONCATENATE("#Metadata!", ADDRESS(INDEX($AI$2:$AI$1001,MATCH(ROWS($AG$2:AG268),$AG$2:$AG$1001,0),0), INDEX($AN$1004:$BO$1004,1,MATCH(COLUMNS($AN$1006:BA1006),$AN$1006:$BO$1006,0)))),"Fix")))</f>
        <v>0</v>
      </c>
      <c r="P268" s="4">
        <f>IF(OR(INDEX($AH$2:$AH$1001,MATCH(ROWS($AG$2:AG268),$AG$2:$AG$1001,0),1)&gt;=100000,INDEX($AN$1005:$BO$1005,1,MATCH(COLUMNS($AN$1006:BB1006),$AN$1006:$BO$1006,0))&gt;=100000), " ",IF(INDEX($AN$2:$BO$1001,MATCH(ROWS($AG$2:AG268),$AG$2:$AG$1001,0),MATCH(COLUMNS($AN$1006:BB1006),$AN$1006:$BO$1006,0)), HYPERLINK("#",""), HYPERLINK(CONCATENATE("#Metadata!", ADDRESS(INDEX($AI$2:$AI$1001,MATCH(ROWS($AG$2:AG268),$AG$2:$AG$1001,0),0), INDEX($AN$1004:$BO$1004,1,MATCH(COLUMNS($AN$1006:BB1006),$AN$1006:$BO$1006,0)))),"Fix")))</f>
        <v>0</v>
      </c>
      <c r="Q268" s="4">
        <f>IF(OR(INDEX($AH$2:$AH$1001,MATCH(ROWS($AG$2:AG268),$AG$2:$AG$1001,0),1)&gt;=100000,INDEX($AN$1005:$BO$1005,1,MATCH(COLUMNS($AN$1006:BC1006),$AN$1006:$BO$1006,0))&gt;=100000), " ",IF(INDEX($AN$2:$BO$1001,MATCH(ROWS($AG$2:AG268),$AG$2:$AG$1001,0),MATCH(COLUMNS($AN$1006:BC1006),$AN$1006:$BO$1006,0)), HYPERLINK("#",""), HYPERLINK(CONCATENATE("#Metadata!", ADDRESS(INDEX($AI$2:$AI$1001,MATCH(ROWS($AG$2:AG268),$AG$2:$AG$1001,0),0), INDEX($AN$1004:$BO$1004,1,MATCH(COLUMNS($AN$1006:BC1006),$AN$1006:$BO$1006,0)))),"Fix")))</f>
        <v>0</v>
      </c>
      <c r="R268" s="4">
        <f>IF(OR(INDEX($AH$2:$AH$1001,MATCH(ROWS($AG$2:AG268),$AG$2:$AG$1001,0),1)&gt;=100000,INDEX($AN$1005:$BO$1005,1,MATCH(COLUMNS($AN$1006:BD1006),$AN$1006:$BO$1006,0))&gt;=100000), " ",IF(INDEX($AN$2:$BO$1001,MATCH(ROWS($AG$2:AG268),$AG$2:$AG$1001,0),MATCH(COLUMNS($AN$1006:BD1006),$AN$1006:$BO$1006,0)), HYPERLINK("#",""), HYPERLINK(CONCATENATE("#Metadata!", ADDRESS(INDEX($AI$2:$AI$1001,MATCH(ROWS($AG$2:AG268),$AG$2:$AG$1001,0),0), INDEX($AN$1004:$BO$1004,1,MATCH(COLUMNS($AN$1006:BD1006),$AN$1006:$BO$1006,0)))),"Fix")))</f>
        <v>0</v>
      </c>
      <c r="S268" s="4">
        <f>IF(OR(INDEX($AH$2:$AH$1001,MATCH(ROWS($AG$2:AG268),$AG$2:$AG$1001,0),1)&gt;=100000,INDEX($AN$1005:$BO$1005,1,MATCH(COLUMNS($AN$1006:BE1006),$AN$1006:$BO$1006,0))&gt;=100000), " ",IF(INDEX($AN$2:$BO$1001,MATCH(ROWS($AG$2:AG268),$AG$2:$AG$1001,0),MATCH(COLUMNS($AN$1006:BE1006),$AN$1006:$BO$1006,0)), HYPERLINK("#",""), HYPERLINK(CONCATENATE("#Metadata!", ADDRESS(INDEX($AI$2:$AI$1001,MATCH(ROWS($AG$2:AG268),$AG$2:$AG$1001,0),0), INDEX($AN$1004:$BO$1004,1,MATCH(COLUMNS($AN$1006:BE1006),$AN$1006:$BO$1006,0)))),"Fix")))</f>
        <v>0</v>
      </c>
      <c r="T268" s="4">
        <f>IF(OR(INDEX($AH$2:$AH$1001,MATCH(ROWS($AG$2:AG268),$AG$2:$AG$1001,0),1)&gt;=100000,INDEX($AN$1005:$BO$1005,1,MATCH(COLUMNS($AN$1006:BF1006),$AN$1006:$BO$1006,0))&gt;=100000), " ",IF(INDEX($AN$2:$BO$1001,MATCH(ROWS($AG$2:AG268),$AG$2:$AG$1001,0),MATCH(COLUMNS($AN$1006:BF1006),$AN$1006:$BO$1006,0)), HYPERLINK("#",""), HYPERLINK(CONCATENATE("#Metadata!", ADDRESS(INDEX($AI$2:$AI$1001,MATCH(ROWS($AG$2:AG268),$AG$2:$AG$1001,0),0), INDEX($AN$1004:$BO$1004,1,MATCH(COLUMNS($AN$1006:BF1006),$AN$1006:$BO$1006,0)))),"Fix")))</f>
        <v>0</v>
      </c>
      <c r="U268" s="4">
        <f>IF(OR(INDEX($AH$2:$AH$1001,MATCH(ROWS($AG$2:AG268),$AG$2:$AG$1001,0),1)&gt;=100000,INDEX($AN$1005:$BO$1005,1,MATCH(COLUMNS($AN$1006:BG1006),$AN$1006:$BO$1006,0))&gt;=100000), " ",IF(INDEX($AN$2:$BO$1001,MATCH(ROWS($AG$2:AG268),$AG$2:$AG$1001,0),MATCH(COLUMNS($AN$1006:BG1006),$AN$1006:$BO$1006,0)), HYPERLINK("#",""), HYPERLINK(CONCATENATE("#Metadata!", ADDRESS(INDEX($AI$2:$AI$1001,MATCH(ROWS($AG$2:AG268),$AG$2:$AG$1001,0),0), INDEX($AN$1004:$BO$1004,1,MATCH(COLUMNS($AN$1006:BG1006),$AN$1006:$BO$1006,0)))),"Fix")))</f>
        <v>0</v>
      </c>
      <c r="V268" s="4">
        <f>IF(OR(INDEX($AH$2:$AH$1001,MATCH(ROWS($AG$2:AG268),$AG$2:$AG$1001,0),1)&gt;=100000,INDEX($AN$1005:$BO$1005,1,MATCH(COLUMNS($AN$1006:BH1006),$AN$1006:$BO$1006,0))&gt;=100000), " ",IF(INDEX($AN$2:$BO$1001,MATCH(ROWS($AG$2:AG268),$AG$2:$AG$1001,0),MATCH(COLUMNS($AN$1006:BH1006),$AN$1006:$BO$1006,0)), HYPERLINK("#",""), HYPERLINK(CONCATENATE("#Metadata!", ADDRESS(INDEX($AI$2:$AI$1001,MATCH(ROWS($AG$2:AG268),$AG$2:$AG$1001,0),0), INDEX($AN$1004:$BO$1004,1,MATCH(COLUMNS($AN$1006:BH1006),$AN$1006:$BO$1006,0)))),"Fix")))</f>
        <v>0</v>
      </c>
      <c r="W268" s="4">
        <f>IF(OR(INDEX($AH$2:$AH$1001,MATCH(ROWS($AG$2:AG268),$AG$2:$AG$1001,0),1)&gt;=100000,INDEX($AN$1005:$BO$1005,1,MATCH(COLUMNS($AN$1006:BI1006),$AN$1006:$BO$1006,0))&gt;=100000), " ",IF(INDEX($AN$2:$BO$1001,MATCH(ROWS($AG$2:AG268),$AG$2:$AG$1001,0),MATCH(COLUMNS($AN$1006:BI1006),$AN$1006:$BO$1006,0)), HYPERLINK("#",""), HYPERLINK(CONCATENATE("#Metadata!", ADDRESS(INDEX($AI$2:$AI$1001,MATCH(ROWS($AG$2:AG268),$AG$2:$AG$1001,0),0), INDEX($AN$1004:$BO$1004,1,MATCH(COLUMNS($AN$1006:BI1006),$AN$1006:$BO$1006,0)))),"Fix")))</f>
        <v>0</v>
      </c>
      <c r="X268" s="4">
        <f>IF(OR(INDEX($AH$2:$AH$1001,MATCH(ROWS($AG$2:AG268),$AG$2:$AG$1001,0),1)&gt;=100000,INDEX($AN$1005:$BO$1005,1,MATCH(COLUMNS($AN$1006:BJ1006),$AN$1006:$BO$1006,0))&gt;=100000), " ",IF(INDEX($AN$2:$BO$1001,MATCH(ROWS($AG$2:AG268),$AG$2:$AG$1001,0),MATCH(COLUMNS($AN$1006:BJ1006),$AN$1006:$BO$1006,0)), HYPERLINK("#",""), HYPERLINK(CONCATENATE("#Metadata!", ADDRESS(INDEX($AI$2:$AI$1001,MATCH(ROWS($AG$2:AG268),$AG$2:$AG$1001,0),0), INDEX($AN$1004:$BO$1004,1,MATCH(COLUMNS($AN$1006:BJ1006),$AN$1006:$BO$1006,0)))),"Fix")))</f>
        <v>0</v>
      </c>
      <c r="Y268" s="4">
        <f>IF(OR(INDEX($AH$2:$AH$1001,MATCH(ROWS($AG$2:AG268),$AG$2:$AG$1001,0),1)&gt;=100000,INDEX($AN$1005:$BO$1005,1,MATCH(COLUMNS($AN$1006:BK1006),$AN$1006:$BO$1006,0))&gt;=100000), " ",IF(INDEX($AN$2:$BO$1001,MATCH(ROWS($AG$2:AG268),$AG$2:$AG$1001,0),MATCH(COLUMNS($AN$1006:BK1006),$AN$1006:$BO$1006,0)), HYPERLINK("#",""), HYPERLINK(CONCATENATE("#Metadata!", ADDRESS(INDEX($AI$2:$AI$1001,MATCH(ROWS($AG$2:AG268),$AG$2:$AG$1001,0),0), INDEX($AN$1004:$BO$1004,1,MATCH(COLUMNS($AN$1006:BK1006),$AN$1006:$BO$1006,0)))),"Fix")))</f>
        <v>0</v>
      </c>
      <c r="Z268" s="4">
        <f>IF(OR(INDEX($AH$2:$AH$1001,MATCH(ROWS($AG$2:AG268),$AG$2:$AG$1001,0),1)&gt;=100000,INDEX($AN$1005:$BO$1005,1,MATCH(COLUMNS($AN$1006:BL1006),$AN$1006:$BO$1006,0))&gt;=100000), " ",IF(INDEX($AN$2:$BO$1001,MATCH(ROWS($AG$2:AG268),$AG$2:$AG$1001,0),MATCH(COLUMNS($AN$1006:BL1006),$AN$1006:$BO$1006,0)), HYPERLINK("#",""), HYPERLINK(CONCATENATE("#Metadata!", ADDRESS(INDEX($AI$2:$AI$1001,MATCH(ROWS($AG$2:AG268),$AG$2:$AG$1001,0),0), INDEX($AN$1004:$BO$1004,1,MATCH(COLUMNS($AN$1006:BL1006),$AN$1006:$BO$1006,0)))),"Fix")))</f>
        <v>0</v>
      </c>
      <c r="AA268" s="4">
        <f>IF(OR(INDEX($AH$2:$AH$1001,MATCH(ROWS($AG$2:AG268),$AG$2:$AG$1001,0),1)&gt;=100000,INDEX($AN$1005:$BO$1005,1,MATCH(COLUMNS($AN$1006:BM1006),$AN$1006:$BO$1006,0))&gt;=100000), " ",IF(INDEX($AN$2:$BO$1001,MATCH(ROWS($AG$2:AG268),$AG$2:$AG$1001,0),MATCH(COLUMNS($AN$1006:BM1006),$AN$1006:$BO$1006,0)), HYPERLINK("#",""), HYPERLINK(CONCATENATE("#Metadata!", ADDRESS(INDEX($AI$2:$AI$1001,MATCH(ROWS($AG$2:AG268),$AG$2:$AG$1001,0),0), INDEX($AN$1004:$BO$1004,1,MATCH(COLUMNS($AN$1006:BM1006),$AN$1006:$BO$1006,0)))),"Fix")))</f>
        <v>0</v>
      </c>
      <c r="AB268" s="4">
        <f>IF(OR(INDEX($AH$2:$AH$1001,MATCH(ROWS($AG$2:AG268),$AG$2:$AG$1001,0),1)&gt;=100000,INDEX($AN$1005:$BO$1005,1,MATCH(COLUMNS($AN$1006:BN1006),$AN$1006:$BO$1006,0))&gt;=100000), " ",IF(INDEX($AN$2:$BO$1001,MATCH(ROWS($AG$2:AG268),$AG$2:$AG$1001,0),MATCH(COLUMNS($AN$1006:BN1006),$AN$1006:$BO$1006,0)), HYPERLINK("#",""), HYPERLINK(CONCATENATE("#Metadata!", ADDRESS(INDEX($AI$2:$AI$1001,MATCH(ROWS($AG$2:AG268),$AG$2:$AG$1001,0),0), INDEX($AN$1004:$BO$1004,1,MATCH(COLUMNS($AN$1006:BN1006),$AN$1006:$BO$1006,0)))),"Fix")))</f>
        <v>0</v>
      </c>
      <c r="AC268" s="4">
        <f>IF(OR(INDEX($AH$2:$AH$1001,MATCH(ROWS($AG$2:AG268),$AG$2:$AG$1001,0),1)&gt;=100000,INDEX($AN$1005:$BO$1005,1,MATCH(COLUMNS($AN$1006:BO1006),$AN$1006:$BO$1006,0))&gt;=100000), " ",IF(INDEX($AN$2:$BO$1001,MATCH(ROWS($AG$2:AG268),$AG$2:$AG$1001,0),MATCH(COLUMNS($AN$1006:BO1006),$AN$1006:$BO$1006,0)), HYPERLINK("#",""), HYPERLINK(CONCATENATE("#Metadata!", ADDRESS(INDEX($AI$2:$AI$1001,MATCH(ROWS($AG$2:AG268),$AG$2:$AG$1001,0),0), INDEX($AN$1004:$BO$1004,1,MATCH(COLUMNS($AN$1006:BO1006),$AN$1006:$BO$1006,0)))),"Fix")))</f>
        <v>0</v>
      </c>
      <c r="AG268">
        <v>0</v>
      </c>
      <c r="AH268">
        <v>0</v>
      </c>
      <c r="AI268">
        <v>0</v>
      </c>
      <c r="AJ268">
        <f>IF(AK268,TRUE,AND(AN268:BO268))</f>
        <v>0</v>
      </c>
      <c r="AK268">
        <f>COUNTBLANK(Metadata!B268:AC268)=COLUMNS(Metadata!B268:AC268)</f>
        <v>0</v>
      </c>
      <c r="AL268">
        <v>0</v>
      </c>
      <c r="AN268">
        <f>AND(IF(Metadata!B268="",FALSE,TRUE),COUNTIF(Metadata!B:B, Metadata!B268) = 1,NOT(ISERROR(SUMPRODUCT(SEARCH(MID(Metadata!B268,ROW(INDIRECT("1:"&amp;LEN(Metadata!B268))), 1),"0123456789abcdefghijklmnopqrstuvwxyzABCDEFGHIJKLMNOPQRSTUVWXYZ.")))))</f>
        <v>0</v>
      </c>
      <c r="AO268">
        <f>IF(Metadata!C268="",FALSE,TRUE)</f>
        <v>0</v>
      </c>
      <c r="AP268">
        <f>IF(Metadata!D268="",FALSE,TRUE)</f>
        <v>0</v>
      </c>
      <c r="AQ268">
        <f>OR(AND(IF(Metadata!E268="",FALSE,TRUE),OR(exact(Metadata!E268,"not collected"),exact(Metadata!E268,"not provided"),exact(Metadata!E268,"restricted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R268">
        <f>IF(Metadata!F268="",FALSE,TRUE)</f>
        <v>0</v>
      </c>
      <c r="AS268">
        <f>OR(AND(IF(Metadata!G268="",FALSE,TRUE),OR(exact(Metadata!G268,"not collected"),exact(Metadata!G268,"not provided"))),AND(IF(Metadata!G268="",FALSE,TRUE),OR(exact(Metadata!G268,"TRUE"),exact(Metadata!G268,"FALSE"))))</f>
        <v>0</v>
      </c>
      <c r="AT268">
        <f>OR(AND(IF(Metadata!H268="",FALSE,TRUE),OR(exact(Metadata!H268,"not collected"),exact(Metadata!H268,"not provided"),exact(Metadata!H268,"restricted access"))),AND(IF(Metadata!H268="",FALSE,ISNUMBER(VALUE(Metadata!H268))),Metadata!H268&gt;=-413.0))</f>
        <v>0</v>
      </c>
      <c r="AU268">
        <f>AND(IF(Metadata!I268="",FALSE,TRUE),exact(Metadata!I268,"meters"))</f>
        <v>0</v>
      </c>
      <c r="AV268">
        <f>AND(IF(Metadata!J268="",FALSE,TRUE),OR(exact(Metadata!J268,"Host-associated"),exact(Metadata!J268,"Free-living")))</f>
        <v>0</v>
      </c>
      <c r="AW268">
        <f>AND(IF(Metadata!K268="",FALSE,TRUE),OR(exact(Metadata!K268,"Animal"),exact(Metadata!K268,"Fungus"),exact(Metadata!K268,"Plant"),exact(Metadata!K268,"Saline"),exact(Metadata!K268,"Non-saline")))</f>
        <v>0</v>
      </c>
      <c r="AX268">
        <f>AND(IF(Metadata!L268="",FALSE,TRUE),OR(exact(Metadata!L268,"Plant secretion"),exact(Metadata!L268,"Plant rhizosphere"),exact(Metadata!L268,"Plant surface"),exact(Metadata!L268,"Plant corpus"),exact(Metadata!L268,"Fungus surface"),exact(Metadata!L268,"Fungus corpus"),exact(Metadata!L268,"Animal surface"),exact(Metadata!L268,"Animal proximal gut"),exact(Metadata!L268,"Animal corpus"),exact(Metadata!L268,"Animal distal gut"),exact(Metadata!L268,"Animal secretion"),exact(Metadata!L268,"Sub-surface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Y268">
        <f>IF(Metadata!M268="",FALSE,TRUE)</f>
        <v>0</v>
      </c>
      <c r="AZ268">
        <f>IF(Metadata!N268="",FALSE,TRUE)</f>
        <v>0</v>
      </c>
      <c r="BA268">
        <f>IF(Metadata!O268="",FALSE,TRUE)</f>
        <v>0</v>
      </c>
      <c r="BB268">
        <f>OR(AND(IF(Metadata!P268="",FALSE,TRUE),OR(exact(Metadata!P268,"not collected"),exact(Metadata!P268,"not provided"),exact(Metadata!P268,"restricted access"))),AND(IF(Metadata!P268="",FALSE,TRUE),OR(exact(Metadata!P268,"air"),exact(Metadata!P268,"built environment"),exact(Metadata!P268,"host-associated"),exact(Metadata!P268,"human-associated"),exact(Metadata!P268,"human-skin"),exact(Metadata!P268,"human-oral"),exact(Metadata!P268,"human-gut"),exact(Metadata!P268,"human-vaginal"),exact(Metadata!P268,"microbial mat/biofilm"),exact(Metadata!P268,"misc environment"),exact(Metadata!P268,"plant-associated"),exact(Metadata!P268,"sediment"),exact(Metadata!P268,"soil"),exact(Metadata!P268,"wastewater/sludge"),exact(Metadata!P268,"water"))))</f>
        <v>0</v>
      </c>
      <c r="BC268">
        <f>IF(Metadata!Q268="",FALSE,TRUE)</f>
        <v>0</v>
      </c>
      <c r="BD268">
        <f>IF(Metadata!R268="",FALSE,TRUE)</f>
        <v>0</v>
      </c>
      <c r="BE268">
        <f>OR(AND(IF(Metadata!S268="",FALSE,TRUE),OR(exact(Metadata!S268,"not collected"),exact(Metadata!S268,"not provided"),exact(Metadata!S268,"restricted access"))),AND(IF(Metadata!S268="",FALSE,ISNUMBER(VALUE(Metadata!S268))),Metadata!S268&gt;=-90.00,Metadata!S268&lt;=90.00))</f>
        <v>0</v>
      </c>
      <c r="BF268">
        <f>AND(IF(Metadata!T268="",FALSE,TRUE),exact(Metadata!T268,"Decimal degrees"))</f>
        <v>0</v>
      </c>
      <c r="BG268">
        <f>OR(AND(IF(Metadata!U268="",FALSE,TRUE),OR(exact(Metadata!U268,"not collected"),exact(Metadata!U268,"not provided"),exact(Metadata!U268,"restricted access"))),AND(IF(Metadata!U268="",FALSE,ISNUMBER(VALUE(Metadata!U268))),Metadata!U268&gt;=-180.00,Metadata!U268&lt;=180.00))</f>
        <v>0</v>
      </c>
      <c r="BH268">
        <f>AND(IF(Metadata!V268="",FALSE,TRUE),exact(Metadata!V268,"Decimal degrees"))</f>
        <v>0</v>
      </c>
      <c r="BI268">
        <f>IF(Metadata!W268="",FALSE,TRUE)</f>
        <v>0</v>
      </c>
      <c r="BJ268">
        <f>OR(AND(IF(Metadata!X268="",FALSE,TRUE),OR(exact(Metadata!X268,"not collected"),exact(Metadata!X268,"not provided"),exact(Metadata!X268,"restricted access"))),AND(IF(Metadata!X268="",FALSE,TRUE),OR(exact(Metadata!X268,"TRUE"),exact(Metadata!X268,"FALSE"))))</f>
        <v>0</v>
      </c>
      <c r="BK268">
        <f>AND(IF(Metadata!Y268="",FALSE,TRUE),exact(Metadata!Y268,"other"))</f>
        <v>0</v>
      </c>
      <c r="BL268">
        <f>IF(Metadata!Z268="",FALSE,TRUE)</f>
        <v>0</v>
      </c>
      <c r="BM268">
        <f>OR(AND(IF(Metadata!AA268="",FALSE,TRUE),OR(exact(Metadata!AA268,"not collected"),exact(Metadata!AA268,"not provided"))),AND(IF(Metadata!AA268="",FALSE,IF(ISERROR(INT(Metadata!AA268)),FALSE,INT(Metadata!AA268)=Metadata!AA268)),Metadata!AA268&gt;0))</f>
        <v>0</v>
      </c>
      <c r="BN268">
        <f>AND(IF(Metadata!AB268="",FALSE,TRUE),exact(Metadata!AB268,"Not applicable"))</f>
        <v>0</v>
      </c>
      <c r="BO268">
        <f>IF(Metadata!AC268="",FALSE,TRUE)</f>
        <v>0</v>
      </c>
    </row>
    <row r="269" spans="1:67">
      <c r="A269" s="5">
        <f>IF(B269=" "," ",HYPERLINK(CONCATENATE("#metadata!",ADDRESS(INDEX($AI$2:$AI$1001,MATCH(ROWS($AG$2:AG269),$AG$2:$AG$1001,0),0),1)),INDEX($AL$2:$AL$1001,MATCH(ROWS($AG$2:AG269),$AG$2:$AG$1001,0),0)))</f>
        <v>0</v>
      </c>
      <c r="B269" s="4">
        <f>IF(OR(INDEX($AH$2:$AH$1001,MATCH(ROWS($AG$2:AG269),$AG$2:$AG$1001,0),1)&gt;=100000,INDEX($AN$1005:$BO$1005,1,MATCH(COLUMNS($AN$1006:AN1006),$AN$1006:$BO$1006,0))&gt;=100000), " ",IF(INDEX($AN$2:$BO$1001,MATCH(ROWS($AG$2:AG269),$AG$2:$AG$1001,0),MATCH(COLUMNS($AN$1006:AN1006),$AN$1006:$BO$1006,0)), HYPERLINK("#",""), HYPERLINK(CONCATENATE("#Metadata!", ADDRESS(INDEX($AI$2:$AI$1001,MATCH(ROWS($AG$2:AG269),$AG$2:$AG$1001,0),0), INDEX($AN$1004:$BO$1004,1,MATCH(COLUMNS($AN$1006:AN1006),$AN$1006:$BO$1006,0)))),"Fix")))</f>
        <v>0</v>
      </c>
      <c r="C269" s="4">
        <f>IF(OR(INDEX($AH$2:$AH$1001,MATCH(ROWS($AG$2:AG269),$AG$2:$AG$1001,0),1)&gt;=100000,INDEX($AN$1005:$BO$1005,1,MATCH(COLUMNS($AN$1006:AO1006),$AN$1006:$BO$1006,0))&gt;=100000), " ",IF(INDEX($AN$2:$BO$1001,MATCH(ROWS($AG$2:AG269),$AG$2:$AG$1001,0),MATCH(COLUMNS($AN$1006:AO1006),$AN$1006:$BO$1006,0)), HYPERLINK("#",""), HYPERLINK(CONCATENATE("#Metadata!", ADDRESS(INDEX($AI$2:$AI$1001,MATCH(ROWS($AG$2:AG269),$AG$2:$AG$1001,0),0), INDEX($AN$1004:$BO$1004,1,MATCH(COLUMNS($AN$1006:AO1006),$AN$1006:$BO$1006,0)))),"Fix")))</f>
        <v>0</v>
      </c>
      <c r="D269" s="4">
        <f>IF(OR(INDEX($AH$2:$AH$1001,MATCH(ROWS($AG$2:AG269),$AG$2:$AG$1001,0),1)&gt;=100000,INDEX($AN$1005:$BO$1005,1,MATCH(COLUMNS($AN$1006:AP1006),$AN$1006:$BO$1006,0))&gt;=100000), " ",IF(INDEX($AN$2:$BO$1001,MATCH(ROWS($AG$2:AG269),$AG$2:$AG$1001,0),MATCH(COLUMNS($AN$1006:AP1006),$AN$1006:$BO$1006,0)), HYPERLINK("#",""), HYPERLINK(CONCATENATE("#Metadata!", ADDRESS(INDEX($AI$2:$AI$1001,MATCH(ROWS($AG$2:AG269),$AG$2:$AG$1001,0),0), INDEX($AN$1004:$BO$1004,1,MATCH(COLUMNS($AN$1006:AP1006),$AN$1006:$BO$1006,0)))),"Fix")))</f>
        <v>0</v>
      </c>
      <c r="E269" s="4">
        <f>IF(OR(INDEX($AH$2:$AH$1001,MATCH(ROWS($AG$2:AG269),$AG$2:$AG$1001,0),1)&gt;=100000,INDEX($AN$1005:$BO$1005,1,MATCH(COLUMNS($AN$1006:AQ1006),$AN$1006:$BO$1006,0))&gt;=100000), " ",IF(INDEX($AN$2:$BO$1001,MATCH(ROWS($AG$2:AG269),$AG$2:$AG$1001,0),MATCH(COLUMNS($AN$1006:AQ1006),$AN$1006:$BO$1006,0)), HYPERLINK("#",""), HYPERLINK(CONCATENATE("#Metadata!", ADDRESS(INDEX($AI$2:$AI$1001,MATCH(ROWS($AG$2:AG269),$AG$2:$AG$1001,0),0), INDEX($AN$1004:$BO$1004,1,MATCH(COLUMNS($AN$1006:AQ1006),$AN$1006:$BO$1006,0)))),"Fix")))</f>
        <v>0</v>
      </c>
      <c r="F269" s="4">
        <f>IF(OR(INDEX($AH$2:$AH$1001,MATCH(ROWS($AG$2:AG269),$AG$2:$AG$1001,0),1)&gt;=100000,INDEX($AN$1005:$BO$1005,1,MATCH(COLUMNS($AN$1006:AR1006),$AN$1006:$BO$1006,0))&gt;=100000), " ",IF(INDEX($AN$2:$BO$1001,MATCH(ROWS($AG$2:AG269),$AG$2:$AG$1001,0),MATCH(COLUMNS($AN$1006:AR1006),$AN$1006:$BO$1006,0)), HYPERLINK("#",""), HYPERLINK(CONCATENATE("#Metadata!", ADDRESS(INDEX($AI$2:$AI$1001,MATCH(ROWS($AG$2:AG269),$AG$2:$AG$1001,0),0), INDEX($AN$1004:$BO$1004,1,MATCH(COLUMNS($AN$1006:AR1006),$AN$1006:$BO$1006,0)))),"Fix")))</f>
        <v>0</v>
      </c>
      <c r="G269" s="4">
        <f>IF(OR(INDEX($AH$2:$AH$1001,MATCH(ROWS($AG$2:AG269),$AG$2:$AG$1001,0),1)&gt;=100000,INDEX($AN$1005:$BO$1005,1,MATCH(COLUMNS($AN$1006:AS1006),$AN$1006:$BO$1006,0))&gt;=100000), " ",IF(INDEX($AN$2:$BO$1001,MATCH(ROWS($AG$2:AG269),$AG$2:$AG$1001,0),MATCH(COLUMNS($AN$1006:AS1006),$AN$1006:$BO$1006,0)), HYPERLINK("#",""), HYPERLINK(CONCATENATE("#Metadata!", ADDRESS(INDEX($AI$2:$AI$1001,MATCH(ROWS($AG$2:AG269),$AG$2:$AG$1001,0),0), INDEX($AN$1004:$BO$1004,1,MATCH(COLUMNS($AN$1006:AS1006),$AN$1006:$BO$1006,0)))),"Fix")))</f>
        <v>0</v>
      </c>
      <c r="H269" s="4">
        <f>IF(OR(INDEX($AH$2:$AH$1001,MATCH(ROWS($AG$2:AG269),$AG$2:$AG$1001,0),1)&gt;=100000,INDEX($AN$1005:$BO$1005,1,MATCH(COLUMNS($AN$1006:AT1006),$AN$1006:$BO$1006,0))&gt;=100000), " ",IF(INDEX($AN$2:$BO$1001,MATCH(ROWS($AG$2:AG269),$AG$2:$AG$1001,0),MATCH(COLUMNS($AN$1006:AT1006),$AN$1006:$BO$1006,0)), HYPERLINK("#",""), HYPERLINK(CONCATENATE("#Metadata!", ADDRESS(INDEX($AI$2:$AI$1001,MATCH(ROWS($AG$2:AG269),$AG$2:$AG$1001,0),0), INDEX($AN$1004:$BO$1004,1,MATCH(COLUMNS($AN$1006:AT1006),$AN$1006:$BO$1006,0)))),"Fix")))</f>
        <v>0</v>
      </c>
      <c r="I269" s="4">
        <f>IF(OR(INDEX($AH$2:$AH$1001,MATCH(ROWS($AG$2:AG269),$AG$2:$AG$1001,0),1)&gt;=100000,INDEX($AN$1005:$BO$1005,1,MATCH(COLUMNS($AN$1006:AU1006),$AN$1006:$BO$1006,0))&gt;=100000), " ",IF(INDEX($AN$2:$BO$1001,MATCH(ROWS($AG$2:AG269),$AG$2:$AG$1001,0),MATCH(COLUMNS($AN$1006:AU1006),$AN$1006:$BO$1006,0)), HYPERLINK("#",""), HYPERLINK(CONCATENATE("#Metadata!", ADDRESS(INDEX($AI$2:$AI$1001,MATCH(ROWS($AG$2:AG269),$AG$2:$AG$1001,0),0), INDEX($AN$1004:$BO$1004,1,MATCH(COLUMNS($AN$1006:AU1006),$AN$1006:$BO$1006,0)))),"Fix")))</f>
        <v>0</v>
      </c>
      <c r="J269" s="4">
        <f>IF(OR(INDEX($AH$2:$AH$1001,MATCH(ROWS($AG$2:AG269),$AG$2:$AG$1001,0),1)&gt;=100000,INDEX($AN$1005:$BO$1005,1,MATCH(COLUMNS($AN$1006:AV1006),$AN$1006:$BO$1006,0))&gt;=100000), " ",IF(INDEX($AN$2:$BO$1001,MATCH(ROWS($AG$2:AG269),$AG$2:$AG$1001,0),MATCH(COLUMNS($AN$1006:AV1006),$AN$1006:$BO$1006,0)), HYPERLINK("#",""), HYPERLINK(CONCATENATE("#Metadata!", ADDRESS(INDEX($AI$2:$AI$1001,MATCH(ROWS($AG$2:AG269),$AG$2:$AG$1001,0),0), INDEX($AN$1004:$BO$1004,1,MATCH(COLUMNS($AN$1006:AV1006),$AN$1006:$BO$1006,0)))),"Fix")))</f>
        <v>0</v>
      </c>
      <c r="K269" s="4">
        <f>IF(OR(INDEX($AH$2:$AH$1001,MATCH(ROWS($AG$2:AG269),$AG$2:$AG$1001,0),1)&gt;=100000,INDEX($AN$1005:$BO$1005,1,MATCH(COLUMNS($AN$1006:AW1006),$AN$1006:$BO$1006,0))&gt;=100000), " ",IF(INDEX($AN$2:$BO$1001,MATCH(ROWS($AG$2:AG269),$AG$2:$AG$1001,0),MATCH(COLUMNS($AN$1006:AW1006),$AN$1006:$BO$1006,0)), HYPERLINK("#",""), HYPERLINK(CONCATENATE("#Metadata!", ADDRESS(INDEX($AI$2:$AI$1001,MATCH(ROWS($AG$2:AG269),$AG$2:$AG$1001,0),0), INDEX($AN$1004:$BO$1004,1,MATCH(COLUMNS($AN$1006:AW1006),$AN$1006:$BO$1006,0)))),"Fix")))</f>
        <v>0</v>
      </c>
      <c r="L269" s="4">
        <f>IF(OR(INDEX($AH$2:$AH$1001,MATCH(ROWS($AG$2:AG269),$AG$2:$AG$1001,0),1)&gt;=100000,INDEX($AN$1005:$BO$1005,1,MATCH(COLUMNS($AN$1006:AX1006),$AN$1006:$BO$1006,0))&gt;=100000), " ",IF(INDEX($AN$2:$BO$1001,MATCH(ROWS($AG$2:AG269),$AG$2:$AG$1001,0),MATCH(COLUMNS($AN$1006:AX1006),$AN$1006:$BO$1006,0)), HYPERLINK("#",""), HYPERLINK(CONCATENATE("#Metadata!", ADDRESS(INDEX($AI$2:$AI$1001,MATCH(ROWS($AG$2:AG269),$AG$2:$AG$1001,0),0), INDEX($AN$1004:$BO$1004,1,MATCH(COLUMNS($AN$1006:AX1006),$AN$1006:$BO$1006,0)))),"Fix")))</f>
        <v>0</v>
      </c>
      <c r="M269" s="4">
        <f>IF(OR(INDEX($AH$2:$AH$1001,MATCH(ROWS($AG$2:AG269),$AG$2:$AG$1001,0),1)&gt;=100000,INDEX($AN$1005:$BO$1005,1,MATCH(COLUMNS($AN$1006:AY1006),$AN$1006:$BO$1006,0))&gt;=100000), " ",IF(INDEX($AN$2:$BO$1001,MATCH(ROWS($AG$2:AG269),$AG$2:$AG$1001,0),MATCH(COLUMNS($AN$1006:AY1006),$AN$1006:$BO$1006,0)), HYPERLINK("#",""), HYPERLINK(CONCATENATE("#Metadata!", ADDRESS(INDEX($AI$2:$AI$1001,MATCH(ROWS($AG$2:AG269),$AG$2:$AG$1001,0),0), INDEX($AN$1004:$BO$1004,1,MATCH(COLUMNS($AN$1006:AY1006),$AN$1006:$BO$1006,0)))),"Fix")))</f>
        <v>0</v>
      </c>
      <c r="N269" s="4">
        <f>IF(OR(INDEX($AH$2:$AH$1001,MATCH(ROWS($AG$2:AG269),$AG$2:$AG$1001,0),1)&gt;=100000,INDEX($AN$1005:$BO$1005,1,MATCH(COLUMNS($AN$1006:AZ1006),$AN$1006:$BO$1006,0))&gt;=100000), " ",IF(INDEX($AN$2:$BO$1001,MATCH(ROWS($AG$2:AG269),$AG$2:$AG$1001,0),MATCH(COLUMNS($AN$1006:AZ1006),$AN$1006:$BO$1006,0)), HYPERLINK("#",""), HYPERLINK(CONCATENATE("#Metadata!", ADDRESS(INDEX($AI$2:$AI$1001,MATCH(ROWS($AG$2:AG269),$AG$2:$AG$1001,0),0), INDEX($AN$1004:$BO$1004,1,MATCH(COLUMNS($AN$1006:AZ1006),$AN$1006:$BO$1006,0)))),"Fix")))</f>
        <v>0</v>
      </c>
      <c r="O269" s="4">
        <f>IF(OR(INDEX($AH$2:$AH$1001,MATCH(ROWS($AG$2:AG269),$AG$2:$AG$1001,0),1)&gt;=100000,INDEX($AN$1005:$BO$1005,1,MATCH(COLUMNS($AN$1006:BA1006),$AN$1006:$BO$1006,0))&gt;=100000), " ",IF(INDEX($AN$2:$BO$1001,MATCH(ROWS($AG$2:AG269),$AG$2:$AG$1001,0),MATCH(COLUMNS($AN$1006:BA1006),$AN$1006:$BO$1006,0)), HYPERLINK("#",""), HYPERLINK(CONCATENATE("#Metadata!", ADDRESS(INDEX($AI$2:$AI$1001,MATCH(ROWS($AG$2:AG269),$AG$2:$AG$1001,0),0), INDEX($AN$1004:$BO$1004,1,MATCH(COLUMNS($AN$1006:BA1006),$AN$1006:$BO$1006,0)))),"Fix")))</f>
        <v>0</v>
      </c>
      <c r="P269" s="4">
        <f>IF(OR(INDEX($AH$2:$AH$1001,MATCH(ROWS($AG$2:AG269),$AG$2:$AG$1001,0),1)&gt;=100000,INDEX($AN$1005:$BO$1005,1,MATCH(COLUMNS($AN$1006:BB1006),$AN$1006:$BO$1006,0))&gt;=100000), " ",IF(INDEX($AN$2:$BO$1001,MATCH(ROWS($AG$2:AG269),$AG$2:$AG$1001,0),MATCH(COLUMNS($AN$1006:BB1006),$AN$1006:$BO$1006,0)), HYPERLINK("#",""), HYPERLINK(CONCATENATE("#Metadata!", ADDRESS(INDEX($AI$2:$AI$1001,MATCH(ROWS($AG$2:AG269),$AG$2:$AG$1001,0),0), INDEX($AN$1004:$BO$1004,1,MATCH(COLUMNS($AN$1006:BB1006),$AN$1006:$BO$1006,0)))),"Fix")))</f>
        <v>0</v>
      </c>
      <c r="Q269" s="4">
        <f>IF(OR(INDEX($AH$2:$AH$1001,MATCH(ROWS($AG$2:AG269),$AG$2:$AG$1001,0),1)&gt;=100000,INDEX($AN$1005:$BO$1005,1,MATCH(COLUMNS($AN$1006:BC1006),$AN$1006:$BO$1006,0))&gt;=100000), " ",IF(INDEX($AN$2:$BO$1001,MATCH(ROWS($AG$2:AG269),$AG$2:$AG$1001,0),MATCH(COLUMNS($AN$1006:BC1006),$AN$1006:$BO$1006,0)), HYPERLINK("#",""), HYPERLINK(CONCATENATE("#Metadata!", ADDRESS(INDEX($AI$2:$AI$1001,MATCH(ROWS($AG$2:AG269),$AG$2:$AG$1001,0),0), INDEX($AN$1004:$BO$1004,1,MATCH(COLUMNS($AN$1006:BC1006),$AN$1006:$BO$1006,0)))),"Fix")))</f>
        <v>0</v>
      </c>
      <c r="R269" s="4">
        <f>IF(OR(INDEX($AH$2:$AH$1001,MATCH(ROWS($AG$2:AG269),$AG$2:$AG$1001,0),1)&gt;=100000,INDEX($AN$1005:$BO$1005,1,MATCH(COLUMNS($AN$1006:BD1006),$AN$1006:$BO$1006,0))&gt;=100000), " ",IF(INDEX($AN$2:$BO$1001,MATCH(ROWS($AG$2:AG269),$AG$2:$AG$1001,0),MATCH(COLUMNS($AN$1006:BD1006),$AN$1006:$BO$1006,0)), HYPERLINK("#",""), HYPERLINK(CONCATENATE("#Metadata!", ADDRESS(INDEX($AI$2:$AI$1001,MATCH(ROWS($AG$2:AG269),$AG$2:$AG$1001,0),0), INDEX($AN$1004:$BO$1004,1,MATCH(COLUMNS($AN$1006:BD1006),$AN$1006:$BO$1006,0)))),"Fix")))</f>
        <v>0</v>
      </c>
      <c r="S269" s="4">
        <f>IF(OR(INDEX($AH$2:$AH$1001,MATCH(ROWS($AG$2:AG269),$AG$2:$AG$1001,0),1)&gt;=100000,INDEX($AN$1005:$BO$1005,1,MATCH(COLUMNS($AN$1006:BE1006),$AN$1006:$BO$1006,0))&gt;=100000), " ",IF(INDEX($AN$2:$BO$1001,MATCH(ROWS($AG$2:AG269),$AG$2:$AG$1001,0),MATCH(COLUMNS($AN$1006:BE1006),$AN$1006:$BO$1006,0)), HYPERLINK("#",""), HYPERLINK(CONCATENATE("#Metadata!", ADDRESS(INDEX($AI$2:$AI$1001,MATCH(ROWS($AG$2:AG269),$AG$2:$AG$1001,0),0), INDEX($AN$1004:$BO$1004,1,MATCH(COLUMNS($AN$1006:BE1006),$AN$1006:$BO$1006,0)))),"Fix")))</f>
        <v>0</v>
      </c>
      <c r="T269" s="4">
        <f>IF(OR(INDEX($AH$2:$AH$1001,MATCH(ROWS($AG$2:AG269),$AG$2:$AG$1001,0),1)&gt;=100000,INDEX($AN$1005:$BO$1005,1,MATCH(COLUMNS($AN$1006:BF1006),$AN$1006:$BO$1006,0))&gt;=100000), " ",IF(INDEX($AN$2:$BO$1001,MATCH(ROWS($AG$2:AG269),$AG$2:$AG$1001,0),MATCH(COLUMNS($AN$1006:BF1006),$AN$1006:$BO$1006,0)), HYPERLINK("#",""), HYPERLINK(CONCATENATE("#Metadata!", ADDRESS(INDEX($AI$2:$AI$1001,MATCH(ROWS($AG$2:AG269),$AG$2:$AG$1001,0),0), INDEX($AN$1004:$BO$1004,1,MATCH(COLUMNS($AN$1006:BF1006),$AN$1006:$BO$1006,0)))),"Fix")))</f>
        <v>0</v>
      </c>
      <c r="U269" s="4">
        <f>IF(OR(INDEX($AH$2:$AH$1001,MATCH(ROWS($AG$2:AG269),$AG$2:$AG$1001,0),1)&gt;=100000,INDEX($AN$1005:$BO$1005,1,MATCH(COLUMNS($AN$1006:BG1006),$AN$1006:$BO$1006,0))&gt;=100000), " ",IF(INDEX($AN$2:$BO$1001,MATCH(ROWS($AG$2:AG269),$AG$2:$AG$1001,0),MATCH(COLUMNS($AN$1006:BG1006),$AN$1006:$BO$1006,0)), HYPERLINK("#",""), HYPERLINK(CONCATENATE("#Metadata!", ADDRESS(INDEX($AI$2:$AI$1001,MATCH(ROWS($AG$2:AG269),$AG$2:$AG$1001,0),0), INDEX($AN$1004:$BO$1004,1,MATCH(COLUMNS($AN$1006:BG1006),$AN$1006:$BO$1006,0)))),"Fix")))</f>
        <v>0</v>
      </c>
      <c r="V269" s="4">
        <f>IF(OR(INDEX($AH$2:$AH$1001,MATCH(ROWS($AG$2:AG269),$AG$2:$AG$1001,0),1)&gt;=100000,INDEX($AN$1005:$BO$1005,1,MATCH(COLUMNS($AN$1006:BH1006),$AN$1006:$BO$1006,0))&gt;=100000), " ",IF(INDEX($AN$2:$BO$1001,MATCH(ROWS($AG$2:AG269),$AG$2:$AG$1001,0),MATCH(COLUMNS($AN$1006:BH1006),$AN$1006:$BO$1006,0)), HYPERLINK("#",""), HYPERLINK(CONCATENATE("#Metadata!", ADDRESS(INDEX($AI$2:$AI$1001,MATCH(ROWS($AG$2:AG269),$AG$2:$AG$1001,0),0), INDEX($AN$1004:$BO$1004,1,MATCH(COLUMNS($AN$1006:BH1006),$AN$1006:$BO$1006,0)))),"Fix")))</f>
        <v>0</v>
      </c>
      <c r="W269" s="4">
        <f>IF(OR(INDEX($AH$2:$AH$1001,MATCH(ROWS($AG$2:AG269),$AG$2:$AG$1001,0),1)&gt;=100000,INDEX($AN$1005:$BO$1005,1,MATCH(COLUMNS($AN$1006:BI1006),$AN$1006:$BO$1006,0))&gt;=100000), " ",IF(INDEX($AN$2:$BO$1001,MATCH(ROWS($AG$2:AG269),$AG$2:$AG$1001,0),MATCH(COLUMNS($AN$1006:BI1006),$AN$1006:$BO$1006,0)), HYPERLINK("#",""), HYPERLINK(CONCATENATE("#Metadata!", ADDRESS(INDEX($AI$2:$AI$1001,MATCH(ROWS($AG$2:AG269),$AG$2:$AG$1001,0),0), INDEX($AN$1004:$BO$1004,1,MATCH(COLUMNS($AN$1006:BI1006),$AN$1006:$BO$1006,0)))),"Fix")))</f>
        <v>0</v>
      </c>
      <c r="X269" s="4">
        <f>IF(OR(INDEX($AH$2:$AH$1001,MATCH(ROWS($AG$2:AG269),$AG$2:$AG$1001,0),1)&gt;=100000,INDEX($AN$1005:$BO$1005,1,MATCH(COLUMNS($AN$1006:BJ1006),$AN$1006:$BO$1006,0))&gt;=100000), " ",IF(INDEX($AN$2:$BO$1001,MATCH(ROWS($AG$2:AG269),$AG$2:$AG$1001,0),MATCH(COLUMNS($AN$1006:BJ1006),$AN$1006:$BO$1006,0)), HYPERLINK("#",""), HYPERLINK(CONCATENATE("#Metadata!", ADDRESS(INDEX($AI$2:$AI$1001,MATCH(ROWS($AG$2:AG269),$AG$2:$AG$1001,0),0), INDEX($AN$1004:$BO$1004,1,MATCH(COLUMNS($AN$1006:BJ1006),$AN$1006:$BO$1006,0)))),"Fix")))</f>
        <v>0</v>
      </c>
      <c r="Y269" s="4">
        <f>IF(OR(INDEX($AH$2:$AH$1001,MATCH(ROWS($AG$2:AG269),$AG$2:$AG$1001,0),1)&gt;=100000,INDEX($AN$1005:$BO$1005,1,MATCH(COLUMNS($AN$1006:BK1006),$AN$1006:$BO$1006,0))&gt;=100000), " ",IF(INDEX($AN$2:$BO$1001,MATCH(ROWS($AG$2:AG269),$AG$2:$AG$1001,0),MATCH(COLUMNS($AN$1006:BK1006),$AN$1006:$BO$1006,0)), HYPERLINK("#",""), HYPERLINK(CONCATENATE("#Metadata!", ADDRESS(INDEX($AI$2:$AI$1001,MATCH(ROWS($AG$2:AG269),$AG$2:$AG$1001,0),0), INDEX($AN$1004:$BO$1004,1,MATCH(COLUMNS($AN$1006:BK1006),$AN$1006:$BO$1006,0)))),"Fix")))</f>
        <v>0</v>
      </c>
      <c r="Z269" s="4">
        <f>IF(OR(INDEX($AH$2:$AH$1001,MATCH(ROWS($AG$2:AG269),$AG$2:$AG$1001,0),1)&gt;=100000,INDEX($AN$1005:$BO$1005,1,MATCH(COLUMNS($AN$1006:BL1006),$AN$1006:$BO$1006,0))&gt;=100000), " ",IF(INDEX($AN$2:$BO$1001,MATCH(ROWS($AG$2:AG269),$AG$2:$AG$1001,0),MATCH(COLUMNS($AN$1006:BL1006),$AN$1006:$BO$1006,0)), HYPERLINK("#",""), HYPERLINK(CONCATENATE("#Metadata!", ADDRESS(INDEX($AI$2:$AI$1001,MATCH(ROWS($AG$2:AG269),$AG$2:$AG$1001,0),0), INDEX($AN$1004:$BO$1004,1,MATCH(COLUMNS($AN$1006:BL1006),$AN$1006:$BO$1006,0)))),"Fix")))</f>
        <v>0</v>
      </c>
      <c r="AA269" s="4">
        <f>IF(OR(INDEX($AH$2:$AH$1001,MATCH(ROWS($AG$2:AG269),$AG$2:$AG$1001,0),1)&gt;=100000,INDEX($AN$1005:$BO$1005,1,MATCH(COLUMNS($AN$1006:BM1006),$AN$1006:$BO$1006,0))&gt;=100000), " ",IF(INDEX($AN$2:$BO$1001,MATCH(ROWS($AG$2:AG269),$AG$2:$AG$1001,0),MATCH(COLUMNS($AN$1006:BM1006),$AN$1006:$BO$1006,0)), HYPERLINK("#",""), HYPERLINK(CONCATENATE("#Metadata!", ADDRESS(INDEX($AI$2:$AI$1001,MATCH(ROWS($AG$2:AG269),$AG$2:$AG$1001,0),0), INDEX($AN$1004:$BO$1004,1,MATCH(COLUMNS($AN$1006:BM1006),$AN$1006:$BO$1006,0)))),"Fix")))</f>
        <v>0</v>
      </c>
      <c r="AB269" s="4">
        <f>IF(OR(INDEX($AH$2:$AH$1001,MATCH(ROWS($AG$2:AG269),$AG$2:$AG$1001,0),1)&gt;=100000,INDEX($AN$1005:$BO$1005,1,MATCH(COLUMNS($AN$1006:BN1006),$AN$1006:$BO$1006,0))&gt;=100000), " ",IF(INDEX($AN$2:$BO$1001,MATCH(ROWS($AG$2:AG269),$AG$2:$AG$1001,0),MATCH(COLUMNS($AN$1006:BN1006),$AN$1006:$BO$1006,0)), HYPERLINK("#",""), HYPERLINK(CONCATENATE("#Metadata!", ADDRESS(INDEX($AI$2:$AI$1001,MATCH(ROWS($AG$2:AG269),$AG$2:$AG$1001,0),0), INDEX($AN$1004:$BO$1004,1,MATCH(COLUMNS($AN$1006:BN1006),$AN$1006:$BO$1006,0)))),"Fix")))</f>
        <v>0</v>
      </c>
      <c r="AC269" s="4">
        <f>IF(OR(INDEX($AH$2:$AH$1001,MATCH(ROWS($AG$2:AG269),$AG$2:$AG$1001,0),1)&gt;=100000,INDEX($AN$1005:$BO$1005,1,MATCH(COLUMNS($AN$1006:BO1006),$AN$1006:$BO$1006,0))&gt;=100000), " ",IF(INDEX($AN$2:$BO$1001,MATCH(ROWS($AG$2:AG269),$AG$2:$AG$1001,0),MATCH(COLUMNS($AN$1006:BO1006),$AN$1006:$BO$1006,0)), HYPERLINK("#",""), HYPERLINK(CONCATENATE("#Metadata!", ADDRESS(INDEX($AI$2:$AI$1001,MATCH(ROWS($AG$2:AG269),$AG$2:$AG$1001,0),0), INDEX($AN$1004:$BO$1004,1,MATCH(COLUMNS($AN$1006:BO1006),$AN$1006:$BO$1006,0)))),"Fix")))</f>
        <v>0</v>
      </c>
      <c r="AG269">
        <v>0</v>
      </c>
      <c r="AH269">
        <v>0</v>
      </c>
      <c r="AI269">
        <v>0</v>
      </c>
      <c r="AJ269">
        <f>IF(AK269,TRUE,AND(AN269:BO269))</f>
        <v>0</v>
      </c>
      <c r="AK269">
        <f>COUNTBLANK(Metadata!B269:AC269)=COLUMNS(Metadata!B269:AC269)</f>
        <v>0</v>
      </c>
      <c r="AL269">
        <v>0</v>
      </c>
      <c r="AN269">
        <f>AND(IF(Metadata!B269="",FALSE,TRUE),COUNTIF(Metadata!B:B, Metadata!B269) = 1,NOT(ISERROR(SUMPRODUCT(SEARCH(MID(Metadata!B269,ROW(INDIRECT("1:"&amp;LEN(Metadata!B269))), 1),"0123456789abcdefghijklmnopqrstuvwxyzABCDEFGHIJKLMNOPQRSTUVWXYZ.")))))</f>
        <v>0</v>
      </c>
      <c r="AO269">
        <f>IF(Metadata!C269="",FALSE,TRUE)</f>
        <v>0</v>
      </c>
      <c r="AP269">
        <f>IF(Metadata!D269="",FALSE,TRUE)</f>
        <v>0</v>
      </c>
      <c r="AQ269">
        <f>OR(AND(IF(Metadata!E269="",FALSE,TRUE),OR(exact(Metadata!E269,"not collected"),exact(Metadata!E269,"not provided"),exact(Metadata!E269,"restricted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R269">
        <f>IF(Metadata!F269="",FALSE,TRUE)</f>
        <v>0</v>
      </c>
      <c r="AS269">
        <f>OR(AND(IF(Metadata!G269="",FALSE,TRUE),OR(exact(Metadata!G269,"not collected"),exact(Metadata!G269,"not provided"))),AND(IF(Metadata!G269="",FALSE,TRUE),OR(exact(Metadata!G269,"TRUE"),exact(Metadata!G269,"FALSE"))))</f>
        <v>0</v>
      </c>
      <c r="AT269">
        <f>OR(AND(IF(Metadata!H269="",FALSE,TRUE),OR(exact(Metadata!H269,"not collected"),exact(Metadata!H269,"not provided"),exact(Metadata!H269,"restricted access"))),AND(IF(Metadata!H269="",FALSE,ISNUMBER(VALUE(Metadata!H269))),Metadata!H269&gt;=-413.0))</f>
        <v>0</v>
      </c>
      <c r="AU269">
        <f>AND(IF(Metadata!I269="",FALSE,TRUE),exact(Metadata!I269,"meters"))</f>
        <v>0</v>
      </c>
      <c r="AV269">
        <f>AND(IF(Metadata!J269="",FALSE,TRUE),OR(exact(Metadata!J269,"Host-associated"),exact(Metadata!J269,"Free-living")))</f>
        <v>0</v>
      </c>
      <c r="AW269">
        <f>AND(IF(Metadata!K269="",FALSE,TRUE),OR(exact(Metadata!K269,"Animal"),exact(Metadata!K269,"Fungus"),exact(Metadata!K269,"Plant"),exact(Metadata!K269,"Saline"),exact(Metadata!K269,"Non-saline")))</f>
        <v>0</v>
      </c>
      <c r="AX269">
        <f>AND(IF(Metadata!L269="",FALSE,TRUE),OR(exact(Metadata!L269,"Plant secretion"),exact(Metadata!L269,"Plant rhizosphere"),exact(Metadata!L269,"Plant surface"),exact(Metadata!L269,"Plant corpus"),exact(Metadata!L269,"Fungus surface"),exact(Metadata!L269,"Fungus corpus"),exact(Metadata!L269,"Animal surface"),exact(Metadata!L269,"Animal proximal gut"),exact(Metadata!L269,"Animal corpus"),exact(Metadata!L269,"Animal distal gut"),exact(Metadata!L269,"Animal secretion"),exact(Metadata!L269,"Sub-surface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Y269">
        <f>IF(Metadata!M269="",FALSE,TRUE)</f>
        <v>0</v>
      </c>
      <c r="AZ269">
        <f>IF(Metadata!N269="",FALSE,TRUE)</f>
        <v>0</v>
      </c>
      <c r="BA269">
        <f>IF(Metadata!O269="",FALSE,TRUE)</f>
        <v>0</v>
      </c>
      <c r="BB269">
        <f>OR(AND(IF(Metadata!P269="",FALSE,TRUE),OR(exact(Metadata!P269,"not collected"),exact(Metadata!P269,"not provided"),exact(Metadata!P269,"restricted access"))),AND(IF(Metadata!P269="",FALSE,TRUE),OR(exact(Metadata!P269,"air"),exact(Metadata!P269,"built environment"),exact(Metadata!P269,"host-associated"),exact(Metadata!P269,"human-associated"),exact(Metadata!P269,"human-skin"),exact(Metadata!P269,"human-oral"),exact(Metadata!P269,"human-gut"),exact(Metadata!P269,"human-vaginal"),exact(Metadata!P269,"microbial mat/biofilm"),exact(Metadata!P269,"misc environment"),exact(Metadata!P269,"plant-associated"),exact(Metadata!P269,"sediment"),exact(Metadata!P269,"soil"),exact(Metadata!P269,"wastewater/sludge"),exact(Metadata!P269,"water"))))</f>
        <v>0</v>
      </c>
      <c r="BC269">
        <f>IF(Metadata!Q269="",FALSE,TRUE)</f>
        <v>0</v>
      </c>
      <c r="BD269">
        <f>IF(Metadata!R269="",FALSE,TRUE)</f>
        <v>0</v>
      </c>
      <c r="BE269">
        <f>OR(AND(IF(Metadata!S269="",FALSE,TRUE),OR(exact(Metadata!S269,"not collected"),exact(Metadata!S269,"not provided"),exact(Metadata!S269,"restricted access"))),AND(IF(Metadata!S269="",FALSE,ISNUMBER(VALUE(Metadata!S269))),Metadata!S269&gt;=-90.00,Metadata!S269&lt;=90.00))</f>
        <v>0</v>
      </c>
      <c r="BF269">
        <f>AND(IF(Metadata!T269="",FALSE,TRUE),exact(Metadata!T269,"Decimal degrees"))</f>
        <v>0</v>
      </c>
      <c r="BG269">
        <f>OR(AND(IF(Metadata!U269="",FALSE,TRUE),OR(exact(Metadata!U269,"not collected"),exact(Metadata!U269,"not provided"),exact(Metadata!U269,"restricted access"))),AND(IF(Metadata!U269="",FALSE,ISNUMBER(VALUE(Metadata!U269))),Metadata!U269&gt;=-180.00,Metadata!U269&lt;=180.00))</f>
        <v>0</v>
      </c>
      <c r="BH269">
        <f>AND(IF(Metadata!V269="",FALSE,TRUE),exact(Metadata!V269,"Decimal degrees"))</f>
        <v>0</v>
      </c>
      <c r="BI269">
        <f>IF(Metadata!W269="",FALSE,TRUE)</f>
        <v>0</v>
      </c>
      <c r="BJ269">
        <f>OR(AND(IF(Metadata!X269="",FALSE,TRUE),OR(exact(Metadata!X269,"not collected"),exact(Metadata!X269,"not provided"),exact(Metadata!X269,"restricted access"))),AND(IF(Metadata!X269="",FALSE,TRUE),OR(exact(Metadata!X269,"TRUE"),exact(Metadata!X269,"FALSE"))))</f>
        <v>0</v>
      </c>
      <c r="BK269">
        <f>AND(IF(Metadata!Y269="",FALSE,TRUE),exact(Metadata!Y269,"other"))</f>
        <v>0</v>
      </c>
      <c r="BL269">
        <f>IF(Metadata!Z269="",FALSE,TRUE)</f>
        <v>0</v>
      </c>
      <c r="BM269">
        <f>OR(AND(IF(Metadata!AA269="",FALSE,TRUE),OR(exact(Metadata!AA269,"not collected"),exact(Metadata!AA269,"not provided"))),AND(IF(Metadata!AA269="",FALSE,IF(ISERROR(INT(Metadata!AA269)),FALSE,INT(Metadata!AA269)=Metadata!AA269)),Metadata!AA269&gt;0))</f>
        <v>0</v>
      </c>
      <c r="BN269">
        <f>AND(IF(Metadata!AB269="",FALSE,TRUE),exact(Metadata!AB269,"Not applicable"))</f>
        <v>0</v>
      </c>
      <c r="BO269">
        <f>IF(Metadata!AC269="",FALSE,TRUE)</f>
        <v>0</v>
      </c>
    </row>
    <row r="270" spans="1:67">
      <c r="A270" s="5">
        <f>IF(B270=" "," ",HYPERLINK(CONCATENATE("#metadata!",ADDRESS(INDEX($AI$2:$AI$1001,MATCH(ROWS($AG$2:AG270),$AG$2:$AG$1001,0),0),1)),INDEX($AL$2:$AL$1001,MATCH(ROWS($AG$2:AG270),$AG$2:$AG$1001,0),0)))</f>
        <v>0</v>
      </c>
      <c r="B270" s="4">
        <f>IF(OR(INDEX($AH$2:$AH$1001,MATCH(ROWS($AG$2:AG270),$AG$2:$AG$1001,0),1)&gt;=100000,INDEX($AN$1005:$BO$1005,1,MATCH(COLUMNS($AN$1006:AN1006),$AN$1006:$BO$1006,0))&gt;=100000), " ",IF(INDEX($AN$2:$BO$1001,MATCH(ROWS($AG$2:AG270),$AG$2:$AG$1001,0),MATCH(COLUMNS($AN$1006:AN1006),$AN$1006:$BO$1006,0)), HYPERLINK("#",""), HYPERLINK(CONCATENATE("#Metadata!", ADDRESS(INDEX($AI$2:$AI$1001,MATCH(ROWS($AG$2:AG270),$AG$2:$AG$1001,0),0), INDEX($AN$1004:$BO$1004,1,MATCH(COLUMNS($AN$1006:AN1006),$AN$1006:$BO$1006,0)))),"Fix")))</f>
        <v>0</v>
      </c>
      <c r="C270" s="4">
        <f>IF(OR(INDEX($AH$2:$AH$1001,MATCH(ROWS($AG$2:AG270),$AG$2:$AG$1001,0),1)&gt;=100000,INDEX($AN$1005:$BO$1005,1,MATCH(COLUMNS($AN$1006:AO1006),$AN$1006:$BO$1006,0))&gt;=100000), " ",IF(INDEX($AN$2:$BO$1001,MATCH(ROWS($AG$2:AG270),$AG$2:$AG$1001,0),MATCH(COLUMNS($AN$1006:AO1006),$AN$1006:$BO$1006,0)), HYPERLINK("#",""), HYPERLINK(CONCATENATE("#Metadata!", ADDRESS(INDEX($AI$2:$AI$1001,MATCH(ROWS($AG$2:AG270),$AG$2:$AG$1001,0),0), INDEX($AN$1004:$BO$1004,1,MATCH(COLUMNS($AN$1006:AO1006),$AN$1006:$BO$1006,0)))),"Fix")))</f>
        <v>0</v>
      </c>
      <c r="D270" s="4">
        <f>IF(OR(INDEX($AH$2:$AH$1001,MATCH(ROWS($AG$2:AG270),$AG$2:$AG$1001,0),1)&gt;=100000,INDEX($AN$1005:$BO$1005,1,MATCH(COLUMNS($AN$1006:AP1006),$AN$1006:$BO$1006,0))&gt;=100000), " ",IF(INDEX($AN$2:$BO$1001,MATCH(ROWS($AG$2:AG270),$AG$2:$AG$1001,0),MATCH(COLUMNS($AN$1006:AP1006),$AN$1006:$BO$1006,0)), HYPERLINK("#",""), HYPERLINK(CONCATENATE("#Metadata!", ADDRESS(INDEX($AI$2:$AI$1001,MATCH(ROWS($AG$2:AG270),$AG$2:$AG$1001,0),0), INDEX($AN$1004:$BO$1004,1,MATCH(COLUMNS($AN$1006:AP1006),$AN$1006:$BO$1006,0)))),"Fix")))</f>
        <v>0</v>
      </c>
      <c r="E270" s="4">
        <f>IF(OR(INDEX($AH$2:$AH$1001,MATCH(ROWS($AG$2:AG270),$AG$2:$AG$1001,0),1)&gt;=100000,INDEX($AN$1005:$BO$1005,1,MATCH(COLUMNS($AN$1006:AQ1006),$AN$1006:$BO$1006,0))&gt;=100000), " ",IF(INDEX($AN$2:$BO$1001,MATCH(ROWS($AG$2:AG270),$AG$2:$AG$1001,0),MATCH(COLUMNS($AN$1006:AQ1006),$AN$1006:$BO$1006,0)), HYPERLINK("#",""), HYPERLINK(CONCATENATE("#Metadata!", ADDRESS(INDEX($AI$2:$AI$1001,MATCH(ROWS($AG$2:AG270),$AG$2:$AG$1001,0),0), INDEX($AN$1004:$BO$1004,1,MATCH(COLUMNS($AN$1006:AQ1006),$AN$1006:$BO$1006,0)))),"Fix")))</f>
        <v>0</v>
      </c>
      <c r="F270" s="4">
        <f>IF(OR(INDEX($AH$2:$AH$1001,MATCH(ROWS($AG$2:AG270),$AG$2:$AG$1001,0),1)&gt;=100000,INDEX($AN$1005:$BO$1005,1,MATCH(COLUMNS($AN$1006:AR1006),$AN$1006:$BO$1006,0))&gt;=100000), " ",IF(INDEX($AN$2:$BO$1001,MATCH(ROWS($AG$2:AG270),$AG$2:$AG$1001,0),MATCH(COLUMNS($AN$1006:AR1006),$AN$1006:$BO$1006,0)), HYPERLINK("#",""), HYPERLINK(CONCATENATE("#Metadata!", ADDRESS(INDEX($AI$2:$AI$1001,MATCH(ROWS($AG$2:AG270),$AG$2:$AG$1001,0),0), INDEX($AN$1004:$BO$1004,1,MATCH(COLUMNS($AN$1006:AR1006),$AN$1006:$BO$1006,0)))),"Fix")))</f>
        <v>0</v>
      </c>
      <c r="G270" s="4">
        <f>IF(OR(INDEX($AH$2:$AH$1001,MATCH(ROWS($AG$2:AG270),$AG$2:$AG$1001,0),1)&gt;=100000,INDEX($AN$1005:$BO$1005,1,MATCH(COLUMNS($AN$1006:AS1006),$AN$1006:$BO$1006,0))&gt;=100000), " ",IF(INDEX($AN$2:$BO$1001,MATCH(ROWS($AG$2:AG270),$AG$2:$AG$1001,0),MATCH(COLUMNS($AN$1006:AS1006),$AN$1006:$BO$1006,0)), HYPERLINK("#",""), HYPERLINK(CONCATENATE("#Metadata!", ADDRESS(INDEX($AI$2:$AI$1001,MATCH(ROWS($AG$2:AG270),$AG$2:$AG$1001,0),0), INDEX($AN$1004:$BO$1004,1,MATCH(COLUMNS($AN$1006:AS1006),$AN$1006:$BO$1006,0)))),"Fix")))</f>
        <v>0</v>
      </c>
      <c r="H270" s="4">
        <f>IF(OR(INDEX($AH$2:$AH$1001,MATCH(ROWS($AG$2:AG270),$AG$2:$AG$1001,0),1)&gt;=100000,INDEX($AN$1005:$BO$1005,1,MATCH(COLUMNS($AN$1006:AT1006),$AN$1006:$BO$1006,0))&gt;=100000), " ",IF(INDEX($AN$2:$BO$1001,MATCH(ROWS($AG$2:AG270),$AG$2:$AG$1001,0),MATCH(COLUMNS($AN$1006:AT1006),$AN$1006:$BO$1006,0)), HYPERLINK("#",""), HYPERLINK(CONCATENATE("#Metadata!", ADDRESS(INDEX($AI$2:$AI$1001,MATCH(ROWS($AG$2:AG270),$AG$2:$AG$1001,0),0), INDEX($AN$1004:$BO$1004,1,MATCH(COLUMNS($AN$1006:AT1006),$AN$1006:$BO$1006,0)))),"Fix")))</f>
        <v>0</v>
      </c>
      <c r="I270" s="4">
        <f>IF(OR(INDEX($AH$2:$AH$1001,MATCH(ROWS($AG$2:AG270),$AG$2:$AG$1001,0),1)&gt;=100000,INDEX($AN$1005:$BO$1005,1,MATCH(COLUMNS($AN$1006:AU1006),$AN$1006:$BO$1006,0))&gt;=100000), " ",IF(INDEX($AN$2:$BO$1001,MATCH(ROWS($AG$2:AG270),$AG$2:$AG$1001,0),MATCH(COLUMNS($AN$1006:AU1006),$AN$1006:$BO$1006,0)), HYPERLINK("#",""), HYPERLINK(CONCATENATE("#Metadata!", ADDRESS(INDEX($AI$2:$AI$1001,MATCH(ROWS($AG$2:AG270),$AG$2:$AG$1001,0),0), INDEX($AN$1004:$BO$1004,1,MATCH(COLUMNS($AN$1006:AU1006),$AN$1006:$BO$1006,0)))),"Fix")))</f>
        <v>0</v>
      </c>
      <c r="J270" s="4">
        <f>IF(OR(INDEX($AH$2:$AH$1001,MATCH(ROWS($AG$2:AG270),$AG$2:$AG$1001,0),1)&gt;=100000,INDEX($AN$1005:$BO$1005,1,MATCH(COLUMNS($AN$1006:AV1006),$AN$1006:$BO$1006,0))&gt;=100000), " ",IF(INDEX($AN$2:$BO$1001,MATCH(ROWS($AG$2:AG270),$AG$2:$AG$1001,0),MATCH(COLUMNS($AN$1006:AV1006),$AN$1006:$BO$1006,0)), HYPERLINK("#",""), HYPERLINK(CONCATENATE("#Metadata!", ADDRESS(INDEX($AI$2:$AI$1001,MATCH(ROWS($AG$2:AG270),$AG$2:$AG$1001,0),0), INDEX($AN$1004:$BO$1004,1,MATCH(COLUMNS($AN$1006:AV1006),$AN$1006:$BO$1006,0)))),"Fix")))</f>
        <v>0</v>
      </c>
      <c r="K270" s="4">
        <f>IF(OR(INDEX($AH$2:$AH$1001,MATCH(ROWS($AG$2:AG270),$AG$2:$AG$1001,0),1)&gt;=100000,INDEX($AN$1005:$BO$1005,1,MATCH(COLUMNS($AN$1006:AW1006),$AN$1006:$BO$1006,0))&gt;=100000), " ",IF(INDEX($AN$2:$BO$1001,MATCH(ROWS($AG$2:AG270),$AG$2:$AG$1001,0),MATCH(COLUMNS($AN$1006:AW1006),$AN$1006:$BO$1006,0)), HYPERLINK("#",""), HYPERLINK(CONCATENATE("#Metadata!", ADDRESS(INDEX($AI$2:$AI$1001,MATCH(ROWS($AG$2:AG270),$AG$2:$AG$1001,0),0), INDEX($AN$1004:$BO$1004,1,MATCH(COLUMNS($AN$1006:AW1006),$AN$1006:$BO$1006,0)))),"Fix")))</f>
        <v>0</v>
      </c>
      <c r="L270" s="4">
        <f>IF(OR(INDEX($AH$2:$AH$1001,MATCH(ROWS($AG$2:AG270),$AG$2:$AG$1001,0),1)&gt;=100000,INDEX($AN$1005:$BO$1005,1,MATCH(COLUMNS($AN$1006:AX1006),$AN$1006:$BO$1006,0))&gt;=100000), " ",IF(INDEX($AN$2:$BO$1001,MATCH(ROWS($AG$2:AG270),$AG$2:$AG$1001,0),MATCH(COLUMNS($AN$1006:AX1006),$AN$1006:$BO$1006,0)), HYPERLINK("#",""), HYPERLINK(CONCATENATE("#Metadata!", ADDRESS(INDEX($AI$2:$AI$1001,MATCH(ROWS($AG$2:AG270),$AG$2:$AG$1001,0),0), INDEX($AN$1004:$BO$1004,1,MATCH(COLUMNS($AN$1006:AX1006),$AN$1006:$BO$1006,0)))),"Fix")))</f>
        <v>0</v>
      </c>
      <c r="M270" s="4">
        <f>IF(OR(INDEX($AH$2:$AH$1001,MATCH(ROWS($AG$2:AG270),$AG$2:$AG$1001,0),1)&gt;=100000,INDEX($AN$1005:$BO$1005,1,MATCH(COLUMNS($AN$1006:AY1006),$AN$1006:$BO$1006,0))&gt;=100000), " ",IF(INDEX($AN$2:$BO$1001,MATCH(ROWS($AG$2:AG270),$AG$2:$AG$1001,0),MATCH(COLUMNS($AN$1006:AY1006),$AN$1006:$BO$1006,0)), HYPERLINK("#",""), HYPERLINK(CONCATENATE("#Metadata!", ADDRESS(INDEX($AI$2:$AI$1001,MATCH(ROWS($AG$2:AG270),$AG$2:$AG$1001,0),0), INDEX($AN$1004:$BO$1004,1,MATCH(COLUMNS($AN$1006:AY1006),$AN$1006:$BO$1006,0)))),"Fix")))</f>
        <v>0</v>
      </c>
      <c r="N270" s="4">
        <f>IF(OR(INDEX($AH$2:$AH$1001,MATCH(ROWS($AG$2:AG270),$AG$2:$AG$1001,0),1)&gt;=100000,INDEX($AN$1005:$BO$1005,1,MATCH(COLUMNS($AN$1006:AZ1006),$AN$1006:$BO$1006,0))&gt;=100000), " ",IF(INDEX($AN$2:$BO$1001,MATCH(ROWS($AG$2:AG270),$AG$2:$AG$1001,0),MATCH(COLUMNS($AN$1006:AZ1006),$AN$1006:$BO$1006,0)), HYPERLINK("#",""), HYPERLINK(CONCATENATE("#Metadata!", ADDRESS(INDEX($AI$2:$AI$1001,MATCH(ROWS($AG$2:AG270),$AG$2:$AG$1001,0),0), INDEX($AN$1004:$BO$1004,1,MATCH(COLUMNS($AN$1006:AZ1006),$AN$1006:$BO$1006,0)))),"Fix")))</f>
        <v>0</v>
      </c>
      <c r="O270" s="4">
        <f>IF(OR(INDEX($AH$2:$AH$1001,MATCH(ROWS($AG$2:AG270),$AG$2:$AG$1001,0),1)&gt;=100000,INDEX($AN$1005:$BO$1005,1,MATCH(COLUMNS($AN$1006:BA1006),$AN$1006:$BO$1006,0))&gt;=100000), " ",IF(INDEX($AN$2:$BO$1001,MATCH(ROWS($AG$2:AG270),$AG$2:$AG$1001,0),MATCH(COLUMNS($AN$1006:BA1006),$AN$1006:$BO$1006,0)), HYPERLINK("#",""), HYPERLINK(CONCATENATE("#Metadata!", ADDRESS(INDEX($AI$2:$AI$1001,MATCH(ROWS($AG$2:AG270),$AG$2:$AG$1001,0),0), INDEX($AN$1004:$BO$1004,1,MATCH(COLUMNS($AN$1006:BA1006),$AN$1006:$BO$1006,0)))),"Fix")))</f>
        <v>0</v>
      </c>
      <c r="P270" s="4">
        <f>IF(OR(INDEX($AH$2:$AH$1001,MATCH(ROWS($AG$2:AG270),$AG$2:$AG$1001,0),1)&gt;=100000,INDEX($AN$1005:$BO$1005,1,MATCH(COLUMNS($AN$1006:BB1006),$AN$1006:$BO$1006,0))&gt;=100000), " ",IF(INDEX($AN$2:$BO$1001,MATCH(ROWS($AG$2:AG270),$AG$2:$AG$1001,0),MATCH(COLUMNS($AN$1006:BB1006),$AN$1006:$BO$1006,0)), HYPERLINK("#",""), HYPERLINK(CONCATENATE("#Metadata!", ADDRESS(INDEX($AI$2:$AI$1001,MATCH(ROWS($AG$2:AG270),$AG$2:$AG$1001,0),0), INDEX($AN$1004:$BO$1004,1,MATCH(COLUMNS($AN$1006:BB1006),$AN$1006:$BO$1006,0)))),"Fix")))</f>
        <v>0</v>
      </c>
      <c r="Q270" s="4">
        <f>IF(OR(INDEX($AH$2:$AH$1001,MATCH(ROWS($AG$2:AG270),$AG$2:$AG$1001,0),1)&gt;=100000,INDEX($AN$1005:$BO$1005,1,MATCH(COLUMNS($AN$1006:BC1006),$AN$1006:$BO$1006,0))&gt;=100000), " ",IF(INDEX($AN$2:$BO$1001,MATCH(ROWS($AG$2:AG270),$AG$2:$AG$1001,0),MATCH(COLUMNS($AN$1006:BC1006),$AN$1006:$BO$1006,0)), HYPERLINK("#",""), HYPERLINK(CONCATENATE("#Metadata!", ADDRESS(INDEX($AI$2:$AI$1001,MATCH(ROWS($AG$2:AG270),$AG$2:$AG$1001,0),0), INDEX($AN$1004:$BO$1004,1,MATCH(COLUMNS($AN$1006:BC1006),$AN$1006:$BO$1006,0)))),"Fix")))</f>
        <v>0</v>
      </c>
      <c r="R270" s="4">
        <f>IF(OR(INDEX($AH$2:$AH$1001,MATCH(ROWS($AG$2:AG270),$AG$2:$AG$1001,0),1)&gt;=100000,INDEX($AN$1005:$BO$1005,1,MATCH(COLUMNS($AN$1006:BD1006),$AN$1006:$BO$1006,0))&gt;=100000), " ",IF(INDEX($AN$2:$BO$1001,MATCH(ROWS($AG$2:AG270),$AG$2:$AG$1001,0),MATCH(COLUMNS($AN$1006:BD1006),$AN$1006:$BO$1006,0)), HYPERLINK("#",""), HYPERLINK(CONCATENATE("#Metadata!", ADDRESS(INDEX($AI$2:$AI$1001,MATCH(ROWS($AG$2:AG270),$AG$2:$AG$1001,0),0), INDEX($AN$1004:$BO$1004,1,MATCH(COLUMNS($AN$1006:BD1006),$AN$1006:$BO$1006,0)))),"Fix")))</f>
        <v>0</v>
      </c>
      <c r="S270" s="4">
        <f>IF(OR(INDEX($AH$2:$AH$1001,MATCH(ROWS($AG$2:AG270),$AG$2:$AG$1001,0),1)&gt;=100000,INDEX($AN$1005:$BO$1005,1,MATCH(COLUMNS($AN$1006:BE1006),$AN$1006:$BO$1006,0))&gt;=100000), " ",IF(INDEX($AN$2:$BO$1001,MATCH(ROWS($AG$2:AG270),$AG$2:$AG$1001,0),MATCH(COLUMNS($AN$1006:BE1006),$AN$1006:$BO$1006,0)), HYPERLINK("#",""), HYPERLINK(CONCATENATE("#Metadata!", ADDRESS(INDEX($AI$2:$AI$1001,MATCH(ROWS($AG$2:AG270),$AG$2:$AG$1001,0),0), INDEX($AN$1004:$BO$1004,1,MATCH(COLUMNS($AN$1006:BE1006),$AN$1006:$BO$1006,0)))),"Fix")))</f>
        <v>0</v>
      </c>
      <c r="T270" s="4">
        <f>IF(OR(INDEX($AH$2:$AH$1001,MATCH(ROWS($AG$2:AG270),$AG$2:$AG$1001,0),1)&gt;=100000,INDEX($AN$1005:$BO$1005,1,MATCH(COLUMNS($AN$1006:BF1006),$AN$1006:$BO$1006,0))&gt;=100000), " ",IF(INDEX($AN$2:$BO$1001,MATCH(ROWS($AG$2:AG270),$AG$2:$AG$1001,0),MATCH(COLUMNS($AN$1006:BF1006),$AN$1006:$BO$1006,0)), HYPERLINK("#",""), HYPERLINK(CONCATENATE("#Metadata!", ADDRESS(INDEX($AI$2:$AI$1001,MATCH(ROWS($AG$2:AG270),$AG$2:$AG$1001,0),0), INDEX($AN$1004:$BO$1004,1,MATCH(COLUMNS($AN$1006:BF1006),$AN$1006:$BO$1006,0)))),"Fix")))</f>
        <v>0</v>
      </c>
      <c r="U270" s="4">
        <f>IF(OR(INDEX($AH$2:$AH$1001,MATCH(ROWS($AG$2:AG270),$AG$2:$AG$1001,0),1)&gt;=100000,INDEX($AN$1005:$BO$1005,1,MATCH(COLUMNS($AN$1006:BG1006),$AN$1006:$BO$1006,0))&gt;=100000), " ",IF(INDEX($AN$2:$BO$1001,MATCH(ROWS($AG$2:AG270),$AG$2:$AG$1001,0),MATCH(COLUMNS($AN$1006:BG1006),$AN$1006:$BO$1006,0)), HYPERLINK("#",""), HYPERLINK(CONCATENATE("#Metadata!", ADDRESS(INDEX($AI$2:$AI$1001,MATCH(ROWS($AG$2:AG270),$AG$2:$AG$1001,0),0), INDEX($AN$1004:$BO$1004,1,MATCH(COLUMNS($AN$1006:BG1006),$AN$1006:$BO$1006,0)))),"Fix")))</f>
        <v>0</v>
      </c>
      <c r="V270" s="4">
        <f>IF(OR(INDEX($AH$2:$AH$1001,MATCH(ROWS($AG$2:AG270),$AG$2:$AG$1001,0),1)&gt;=100000,INDEX($AN$1005:$BO$1005,1,MATCH(COLUMNS($AN$1006:BH1006),$AN$1006:$BO$1006,0))&gt;=100000), " ",IF(INDEX($AN$2:$BO$1001,MATCH(ROWS($AG$2:AG270),$AG$2:$AG$1001,0),MATCH(COLUMNS($AN$1006:BH1006),$AN$1006:$BO$1006,0)), HYPERLINK("#",""), HYPERLINK(CONCATENATE("#Metadata!", ADDRESS(INDEX($AI$2:$AI$1001,MATCH(ROWS($AG$2:AG270),$AG$2:$AG$1001,0),0), INDEX($AN$1004:$BO$1004,1,MATCH(COLUMNS($AN$1006:BH1006),$AN$1006:$BO$1006,0)))),"Fix")))</f>
        <v>0</v>
      </c>
      <c r="W270" s="4">
        <f>IF(OR(INDEX($AH$2:$AH$1001,MATCH(ROWS($AG$2:AG270),$AG$2:$AG$1001,0),1)&gt;=100000,INDEX($AN$1005:$BO$1005,1,MATCH(COLUMNS($AN$1006:BI1006),$AN$1006:$BO$1006,0))&gt;=100000), " ",IF(INDEX($AN$2:$BO$1001,MATCH(ROWS($AG$2:AG270),$AG$2:$AG$1001,0),MATCH(COLUMNS($AN$1006:BI1006),$AN$1006:$BO$1006,0)), HYPERLINK("#",""), HYPERLINK(CONCATENATE("#Metadata!", ADDRESS(INDEX($AI$2:$AI$1001,MATCH(ROWS($AG$2:AG270),$AG$2:$AG$1001,0),0), INDEX($AN$1004:$BO$1004,1,MATCH(COLUMNS($AN$1006:BI1006),$AN$1006:$BO$1006,0)))),"Fix")))</f>
        <v>0</v>
      </c>
      <c r="X270" s="4">
        <f>IF(OR(INDEX($AH$2:$AH$1001,MATCH(ROWS($AG$2:AG270),$AG$2:$AG$1001,0),1)&gt;=100000,INDEX($AN$1005:$BO$1005,1,MATCH(COLUMNS($AN$1006:BJ1006),$AN$1006:$BO$1006,0))&gt;=100000), " ",IF(INDEX($AN$2:$BO$1001,MATCH(ROWS($AG$2:AG270),$AG$2:$AG$1001,0),MATCH(COLUMNS($AN$1006:BJ1006),$AN$1006:$BO$1006,0)), HYPERLINK("#",""), HYPERLINK(CONCATENATE("#Metadata!", ADDRESS(INDEX($AI$2:$AI$1001,MATCH(ROWS($AG$2:AG270),$AG$2:$AG$1001,0),0), INDEX($AN$1004:$BO$1004,1,MATCH(COLUMNS($AN$1006:BJ1006),$AN$1006:$BO$1006,0)))),"Fix")))</f>
        <v>0</v>
      </c>
      <c r="Y270" s="4">
        <f>IF(OR(INDEX($AH$2:$AH$1001,MATCH(ROWS($AG$2:AG270),$AG$2:$AG$1001,0),1)&gt;=100000,INDEX($AN$1005:$BO$1005,1,MATCH(COLUMNS($AN$1006:BK1006),$AN$1006:$BO$1006,0))&gt;=100000), " ",IF(INDEX($AN$2:$BO$1001,MATCH(ROWS($AG$2:AG270),$AG$2:$AG$1001,0),MATCH(COLUMNS($AN$1006:BK1006),$AN$1006:$BO$1006,0)), HYPERLINK("#",""), HYPERLINK(CONCATENATE("#Metadata!", ADDRESS(INDEX($AI$2:$AI$1001,MATCH(ROWS($AG$2:AG270),$AG$2:$AG$1001,0),0), INDEX($AN$1004:$BO$1004,1,MATCH(COLUMNS($AN$1006:BK1006),$AN$1006:$BO$1006,0)))),"Fix")))</f>
        <v>0</v>
      </c>
      <c r="Z270" s="4">
        <f>IF(OR(INDEX($AH$2:$AH$1001,MATCH(ROWS($AG$2:AG270),$AG$2:$AG$1001,0),1)&gt;=100000,INDEX($AN$1005:$BO$1005,1,MATCH(COLUMNS($AN$1006:BL1006),$AN$1006:$BO$1006,0))&gt;=100000), " ",IF(INDEX($AN$2:$BO$1001,MATCH(ROWS($AG$2:AG270),$AG$2:$AG$1001,0),MATCH(COLUMNS($AN$1006:BL1006),$AN$1006:$BO$1006,0)), HYPERLINK("#",""), HYPERLINK(CONCATENATE("#Metadata!", ADDRESS(INDEX($AI$2:$AI$1001,MATCH(ROWS($AG$2:AG270),$AG$2:$AG$1001,0),0), INDEX($AN$1004:$BO$1004,1,MATCH(COLUMNS($AN$1006:BL1006),$AN$1006:$BO$1006,0)))),"Fix")))</f>
        <v>0</v>
      </c>
      <c r="AA270" s="4">
        <f>IF(OR(INDEX($AH$2:$AH$1001,MATCH(ROWS($AG$2:AG270),$AG$2:$AG$1001,0),1)&gt;=100000,INDEX($AN$1005:$BO$1005,1,MATCH(COLUMNS($AN$1006:BM1006),$AN$1006:$BO$1006,0))&gt;=100000), " ",IF(INDEX($AN$2:$BO$1001,MATCH(ROWS($AG$2:AG270),$AG$2:$AG$1001,0),MATCH(COLUMNS($AN$1006:BM1006),$AN$1006:$BO$1006,0)), HYPERLINK("#",""), HYPERLINK(CONCATENATE("#Metadata!", ADDRESS(INDEX($AI$2:$AI$1001,MATCH(ROWS($AG$2:AG270),$AG$2:$AG$1001,0),0), INDEX($AN$1004:$BO$1004,1,MATCH(COLUMNS($AN$1006:BM1006),$AN$1006:$BO$1006,0)))),"Fix")))</f>
        <v>0</v>
      </c>
      <c r="AB270" s="4">
        <f>IF(OR(INDEX($AH$2:$AH$1001,MATCH(ROWS($AG$2:AG270),$AG$2:$AG$1001,0),1)&gt;=100000,INDEX($AN$1005:$BO$1005,1,MATCH(COLUMNS($AN$1006:BN1006),$AN$1006:$BO$1006,0))&gt;=100000), " ",IF(INDEX($AN$2:$BO$1001,MATCH(ROWS($AG$2:AG270),$AG$2:$AG$1001,0),MATCH(COLUMNS($AN$1006:BN1006),$AN$1006:$BO$1006,0)), HYPERLINK("#",""), HYPERLINK(CONCATENATE("#Metadata!", ADDRESS(INDEX($AI$2:$AI$1001,MATCH(ROWS($AG$2:AG270),$AG$2:$AG$1001,0),0), INDEX($AN$1004:$BO$1004,1,MATCH(COLUMNS($AN$1006:BN1006),$AN$1006:$BO$1006,0)))),"Fix")))</f>
        <v>0</v>
      </c>
      <c r="AC270" s="4">
        <f>IF(OR(INDEX($AH$2:$AH$1001,MATCH(ROWS($AG$2:AG270),$AG$2:$AG$1001,0),1)&gt;=100000,INDEX($AN$1005:$BO$1005,1,MATCH(COLUMNS($AN$1006:BO1006),$AN$1006:$BO$1006,0))&gt;=100000), " ",IF(INDEX($AN$2:$BO$1001,MATCH(ROWS($AG$2:AG270),$AG$2:$AG$1001,0),MATCH(COLUMNS($AN$1006:BO1006),$AN$1006:$BO$1006,0)), HYPERLINK("#",""), HYPERLINK(CONCATENATE("#Metadata!", ADDRESS(INDEX($AI$2:$AI$1001,MATCH(ROWS($AG$2:AG270),$AG$2:$AG$1001,0),0), INDEX($AN$1004:$BO$1004,1,MATCH(COLUMNS($AN$1006:BO1006),$AN$1006:$BO$1006,0)))),"Fix")))</f>
        <v>0</v>
      </c>
      <c r="AG270">
        <v>0</v>
      </c>
      <c r="AH270">
        <v>0</v>
      </c>
      <c r="AI270">
        <v>0</v>
      </c>
      <c r="AJ270">
        <f>IF(AK270,TRUE,AND(AN270:BO270))</f>
        <v>0</v>
      </c>
      <c r="AK270">
        <f>COUNTBLANK(Metadata!B270:AC270)=COLUMNS(Metadata!B270:AC270)</f>
        <v>0</v>
      </c>
      <c r="AL270">
        <v>0</v>
      </c>
      <c r="AN270">
        <f>AND(IF(Metadata!B270="",FALSE,TRUE),COUNTIF(Metadata!B:B, Metadata!B270) = 1,NOT(ISERROR(SUMPRODUCT(SEARCH(MID(Metadata!B270,ROW(INDIRECT("1:"&amp;LEN(Metadata!B270))), 1),"0123456789abcdefghijklmnopqrstuvwxyzABCDEFGHIJKLMNOPQRSTUVWXYZ.")))))</f>
        <v>0</v>
      </c>
      <c r="AO270">
        <f>IF(Metadata!C270="",FALSE,TRUE)</f>
        <v>0</v>
      </c>
      <c r="AP270">
        <f>IF(Metadata!D270="",FALSE,TRUE)</f>
        <v>0</v>
      </c>
      <c r="AQ270">
        <f>OR(AND(IF(Metadata!E270="",FALSE,TRUE),OR(exact(Metadata!E270,"not collected"),exact(Metadata!E270,"not provided"),exact(Metadata!E270,"restricted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R270">
        <f>IF(Metadata!F270="",FALSE,TRUE)</f>
        <v>0</v>
      </c>
      <c r="AS270">
        <f>OR(AND(IF(Metadata!G270="",FALSE,TRUE),OR(exact(Metadata!G270,"not collected"),exact(Metadata!G270,"not provided"))),AND(IF(Metadata!G270="",FALSE,TRUE),OR(exact(Metadata!G270,"TRUE"),exact(Metadata!G270,"FALSE"))))</f>
        <v>0</v>
      </c>
      <c r="AT270">
        <f>OR(AND(IF(Metadata!H270="",FALSE,TRUE),OR(exact(Metadata!H270,"not collected"),exact(Metadata!H270,"not provided"),exact(Metadata!H270,"restricted access"))),AND(IF(Metadata!H270="",FALSE,ISNUMBER(VALUE(Metadata!H270))),Metadata!H270&gt;=-413.0))</f>
        <v>0</v>
      </c>
      <c r="AU270">
        <f>AND(IF(Metadata!I270="",FALSE,TRUE),exact(Metadata!I270,"meters"))</f>
        <v>0</v>
      </c>
      <c r="AV270">
        <f>AND(IF(Metadata!J270="",FALSE,TRUE),OR(exact(Metadata!J270,"Host-associated"),exact(Metadata!J270,"Free-living")))</f>
        <v>0</v>
      </c>
      <c r="AW270">
        <f>AND(IF(Metadata!K270="",FALSE,TRUE),OR(exact(Metadata!K270,"Animal"),exact(Metadata!K270,"Fungus"),exact(Metadata!K270,"Plant"),exact(Metadata!K270,"Saline"),exact(Metadata!K270,"Non-saline")))</f>
        <v>0</v>
      </c>
      <c r="AX270">
        <f>AND(IF(Metadata!L270="",FALSE,TRUE),OR(exact(Metadata!L270,"Plant secretion"),exact(Metadata!L270,"Plant rhizosphere"),exact(Metadata!L270,"Plant surface"),exact(Metadata!L270,"Plant corpus"),exact(Metadata!L270,"Fungus surface"),exact(Metadata!L270,"Fungus corpus"),exact(Metadata!L270,"Animal surface"),exact(Metadata!L270,"Animal proximal gut"),exact(Metadata!L270,"Animal corpus"),exact(Metadata!L270,"Animal distal gut"),exact(Metadata!L270,"Animal secretion"),exact(Metadata!L270,"Sub-surface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Y270">
        <f>IF(Metadata!M270="",FALSE,TRUE)</f>
        <v>0</v>
      </c>
      <c r="AZ270">
        <f>IF(Metadata!N270="",FALSE,TRUE)</f>
        <v>0</v>
      </c>
      <c r="BA270">
        <f>IF(Metadata!O270="",FALSE,TRUE)</f>
        <v>0</v>
      </c>
      <c r="BB270">
        <f>OR(AND(IF(Metadata!P270="",FALSE,TRUE),OR(exact(Metadata!P270,"not collected"),exact(Metadata!P270,"not provided"),exact(Metadata!P270,"restricted access"))),AND(IF(Metadata!P270="",FALSE,TRUE),OR(exact(Metadata!P270,"air"),exact(Metadata!P270,"built environment"),exact(Metadata!P270,"host-associated"),exact(Metadata!P270,"human-associated"),exact(Metadata!P270,"human-skin"),exact(Metadata!P270,"human-oral"),exact(Metadata!P270,"human-gut"),exact(Metadata!P270,"human-vaginal"),exact(Metadata!P270,"microbial mat/biofilm"),exact(Metadata!P270,"misc environment"),exact(Metadata!P270,"plant-associated"),exact(Metadata!P270,"sediment"),exact(Metadata!P270,"soil"),exact(Metadata!P270,"wastewater/sludge"),exact(Metadata!P270,"water"))))</f>
        <v>0</v>
      </c>
      <c r="BC270">
        <f>IF(Metadata!Q270="",FALSE,TRUE)</f>
        <v>0</v>
      </c>
      <c r="BD270">
        <f>IF(Metadata!R270="",FALSE,TRUE)</f>
        <v>0</v>
      </c>
      <c r="BE270">
        <f>OR(AND(IF(Metadata!S270="",FALSE,TRUE),OR(exact(Metadata!S270,"not collected"),exact(Metadata!S270,"not provided"),exact(Metadata!S270,"restricted access"))),AND(IF(Metadata!S270="",FALSE,ISNUMBER(VALUE(Metadata!S270))),Metadata!S270&gt;=-90.00,Metadata!S270&lt;=90.00))</f>
        <v>0</v>
      </c>
      <c r="BF270">
        <f>AND(IF(Metadata!T270="",FALSE,TRUE),exact(Metadata!T270,"Decimal degrees"))</f>
        <v>0</v>
      </c>
      <c r="BG270">
        <f>OR(AND(IF(Metadata!U270="",FALSE,TRUE),OR(exact(Metadata!U270,"not collected"),exact(Metadata!U270,"not provided"),exact(Metadata!U270,"restricted access"))),AND(IF(Metadata!U270="",FALSE,ISNUMBER(VALUE(Metadata!U270))),Metadata!U270&gt;=-180.00,Metadata!U270&lt;=180.00))</f>
        <v>0</v>
      </c>
      <c r="BH270">
        <f>AND(IF(Metadata!V270="",FALSE,TRUE),exact(Metadata!V270,"Decimal degrees"))</f>
        <v>0</v>
      </c>
      <c r="BI270">
        <f>IF(Metadata!W270="",FALSE,TRUE)</f>
        <v>0</v>
      </c>
      <c r="BJ270">
        <f>OR(AND(IF(Metadata!X270="",FALSE,TRUE),OR(exact(Metadata!X270,"not collected"),exact(Metadata!X270,"not provided"),exact(Metadata!X270,"restricted access"))),AND(IF(Metadata!X270="",FALSE,TRUE),OR(exact(Metadata!X270,"TRUE"),exact(Metadata!X270,"FALSE"))))</f>
        <v>0</v>
      </c>
      <c r="BK270">
        <f>AND(IF(Metadata!Y270="",FALSE,TRUE),exact(Metadata!Y270,"other"))</f>
        <v>0</v>
      </c>
      <c r="BL270">
        <f>IF(Metadata!Z270="",FALSE,TRUE)</f>
        <v>0</v>
      </c>
      <c r="BM270">
        <f>OR(AND(IF(Metadata!AA270="",FALSE,TRUE),OR(exact(Metadata!AA270,"not collected"),exact(Metadata!AA270,"not provided"))),AND(IF(Metadata!AA270="",FALSE,IF(ISERROR(INT(Metadata!AA270)),FALSE,INT(Metadata!AA270)=Metadata!AA270)),Metadata!AA270&gt;0))</f>
        <v>0</v>
      </c>
      <c r="BN270">
        <f>AND(IF(Metadata!AB270="",FALSE,TRUE),exact(Metadata!AB270,"Not applicable"))</f>
        <v>0</v>
      </c>
      <c r="BO270">
        <f>IF(Metadata!AC270="",FALSE,TRUE)</f>
        <v>0</v>
      </c>
    </row>
    <row r="271" spans="1:67">
      <c r="A271" s="5">
        <f>IF(B271=" "," ",HYPERLINK(CONCATENATE("#metadata!",ADDRESS(INDEX($AI$2:$AI$1001,MATCH(ROWS($AG$2:AG271),$AG$2:$AG$1001,0),0),1)),INDEX($AL$2:$AL$1001,MATCH(ROWS($AG$2:AG271),$AG$2:$AG$1001,0),0)))</f>
        <v>0</v>
      </c>
      <c r="B271" s="4">
        <f>IF(OR(INDEX($AH$2:$AH$1001,MATCH(ROWS($AG$2:AG271),$AG$2:$AG$1001,0),1)&gt;=100000,INDEX($AN$1005:$BO$1005,1,MATCH(COLUMNS($AN$1006:AN1006),$AN$1006:$BO$1006,0))&gt;=100000), " ",IF(INDEX($AN$2:$BO$1001,MATCH(ROWS($AG$2:AG271),$AG$2:$AG$1001,0),MATCH(COLUMNS($AN$1006:AN1006),$AN$1006:$BO$1006,0)), HYPERLINK("#",""), HYPERLINK(CONCATENATE("#Metadata!", ADDRESS(INDEX($AI$2:$AI$1001,MATCH(ROWS($AG$2:AG271),$AG$2:$AG$1001,0),0), INDEX($AN$1004:$BO$1004,1,MATCH(COLUMNS($AN$1006:AN1006),$AN$1006:$BO$1006,0)))),"Fix")))</f>
        <v>0</v>
      </c>
      <c r="C271" s="4">
        <f>IF(OR(INDEX($AH$2:$AH$1001,MATCH(ROWS($AG$2:AG271),$AG$2:$AG$1001,0),1)&gt;=100000,INDEX($AN$1005:$BO$1005,1,MATCH(COLUMNS($AN$1006:AO1006),$AN$1006:$BO$1006,0))&gt;=100000), " ",IF(INDEX($AN$2:$BO$1001,MATCH(ROWS($AG$2:AG271),$AG$2:$AG$1001,0),MATCH(COLUMNS($AN$1006:AO1006),$AN$1006:$BO$1006,0)), HYPERLINK("#",""), HYPERLINK(CONCATENATE("#Metadata!", ADDRESS(INDEX($AI$2:$AI$1001,MATCH(ROWS($AG$2:AG271),$AG$2:$AG$1001,0),0), INDEX($AN$1004:$BO$1004,1,MATCH(COLUMNS($AN$1006:AO1006),$AN$1006:$BO$1006,0)))),"Fix")))</f>
        <v>0</v>
      </c>
      <c r="D271" s="4">
        <f>IF(OR(INDEX($AH$2:$AH$1001,MATCH(ROWS($AG$2:AG271),$AG$2:$AG$1001,0),1)&gt;=100000,INDEX($AN$1005:$BO$1005,1,MATCH(COLUMNS($AN$1006:AP1006),$AN$1006:$BO$1006,0))&gt;=100000), " ",IF(INDEX($AN$2:$BO$1001,MATCH(ROWS($AG$2:AG271),$AG$2:$AG$1001,0),MATCH(COLUMNS($AN$1006:AP1006),$AN$1006:$BO$1006,0)), HYPERLINK("#",""), HYPERLINK(CONCATENATE("#Metadata!", ADDRESS(INDEX($AI$2:$AI$1001,MATCH(ROWS($AG$2:AG271),$AG$2:$AG$1001,0),0), INDEX($AN$1004:$BO$1004,1,MATCH(COLUMNS($AN$1006:AP1006),$AN$1006:$BO$1006,0)))),"Fix")))</f>
        <v>0</v>
      </c>
      <c r="E271" s="4">
        <f>IF(OR(INDEX($AH$2:$AH$1001,MATCH(ROWS($AG$2:AG271),$AG$2:$AG$1001,0),1)&gt;=100000,INDEX($AN$1005:$BO$1005,1,MATCH(COLUMNS($AN$1006:AQ1006),$AN$1006:$BO$1006,0))&gt;=100000), " ",IF(INDEX($AN$2:$BO$1001,MATCH(ROWS($AG$2:AG271),$AG$2:$AG$1001,0),MATCH(COLUMNS($AN$1006:AQ1006),$AN$1006:$BO$1006,0)), HYPERLINK("#",""), HYPERLINK(CONCATENATE("#Metadata!", ADDRESS(INDEX($AI$2:$AI$1001,MATCH(ROWS($AG$2:AG271),$AG$2:$AG$1001,0),0), INDEX($AN$1004:$BO$1004,1,MATCH(COLUMNS($AN$1006:AQ1006),$AN$1006:$BO$1006,0)))),"Fix")))</f>
        <v>0</v>
      </c>
      <c r="F271" s="4">
        <f>IF(OR(INDEX($AH$2:$AH$1001,MATCH(ROWS($AG$2:AG271),$AG$2:$AG$1001,0),1)&gt;=100000,INDEX($AN$1005:$BO$1005,1,MATCH(COLUMNS($AN$1006:AR1006),$AN$1006:$BO$1006,0))&gt;=100000), " ",IF(INDEX($AN$2:$BO$1001,MATCH(ROWS($AG$2:AG271),$AG$2:$AG$1001,0),MATCH(COLUMNS($AN$1006:AR1006),$AN$1006:$BO$1006,0)), HYPERLINK("#",""), HYPERLINK(CONCATENATE("#Metadata!", ADDRESS(INDEX($AI$2:$AI$1001,MATCH(ROWS($AG$2:AG271),$AG$2:$AG$1001,0),0), INDEX($AN$1004:$BO$1004,1,MATCH(COLUMNS($AN$1006:AR1006),$AN$1006:$BO$1006,0)))),"Fix")))</f>
        <v>0</v>
      </c>
      <c r="G271" s="4">
        <f>IF(OR(INDEX($AH$2:$AH$1001,MATCH(ROWS($AG$2:AG271),$AG$2:$AG$1001,0),1)&gt;=100000,INDEX($AN$1005:$BO$1005,1,MATCH(COLUMNS($AN$1006:AS1006),$AN$1006:$BO$1006,0))&gt;=100000), " ",IF(INDEX($AN$2:$BO$1001,MATCH(ROWS($AG$2:AG271),$AG$2:$AG$1001,0),MATCH(COLUMNS($AN$1006:AS1006),$AN$1006:$BO$1006,0)), HYPERLINK("#",""), HYPERLINK(CONCATENATE("#Metadata!", ADDRESS(INDEX($AI$2:$AI$1001,MATCH(ROWS($AG$2:AG271),$AG$2:$AG$1001,0),0), INDEX($AN$1004:$BO$1004,1,MATCH(COLUMNS($AN$1006:AS1006),$AN$1006:$BO$1006,0)))),"Fix")))</f>
        <v>0</v>
      </c>
      <c r="H271" s="4">
        <f>IF(OR(INDEX($AH$2:$AH$1001,MATCH(ROWS($AG$2:AG271),$AG$2:$AG$1001,0),1)&gt;=100000,INDEX($AN$1005:$BO$1005,1,MATCH(COLUMNS($AN$1006:AT1006),$AN$1006:$BO$1006,0))&gt;=100000), " ",IF(INDEX($AN$2:$BO$1001,MATCH(ROWS($AG$2:AG271),$AG$2:$AG$1001,0),MATCH(COLUMNS($AN$1006:AT1006),$AN$1006:$BO$1006,0)), HYPERLINK("#",""), HYPERLINK(CONCATENATE("#Metadata!", ADDRESS(INDEX($AI$2:$AI$1001,MATCH(ROWS($AG$2:AG271),$AG$2:$AG$1001,0),0), INDEX($AN$1004:$BO$1004,1,MATCH(COLUMNS($AN$1006:AT1006),$AN$1006:$BO$1006,0)))),"Fix")))</f>
        <v>0</v>
      </c>
      <c r="I271" s="4">
        <f>IF(OR(INDEX($AH$2:$AH$1001,MATCH(ROWS($AG$2:AG271),$AG$2:$AG$1001,0),1)&gt;=100000,INDEX($AN$1005:$BO$1005,1,MATCH(COLUMNS($AN$1006:AU1006),$AN$1006:$BO$1006,0))&gt;=100000), " ",IF(INDEX($AN$2:$BO$1001,MATCH(ROWS($AG$2:AG271),$AG$2:$AG$1001,0),MATCH(COLUMNS($AN$1006:AU1006),$AN$1006:$BO$1006,0)), HYPERLINK("#",""), HYPERLINK(CONCATENATE("#Metadata!", ADDRESS(INDEX($AI$2:$AI$1001,MATCH(ROWS($AG$2:AG271),$AG$2:$AG$1001,0),0), INDEX($AN$1004:$BO$1004,1,MATCH(COLUMNS($AN$1006:AU1006),$AN$1006:$BO$1006,0)))),"Fix")))</f>
        <v>0</v>
      </c>
      <c r="J271" s="4">
        <f>IF(OR(INDEX($AH$2:$AH$1001,MATCH(ROWS($AG$2:AG271),$AG$2:$AG$1001,0),1)&gt;=100000,INDEX($AN$1005:$BO$1005,1,MATCH(COLUMNS($AN$1006:AV1006),$AN$1006:$BO$1006,0))&gt;=100000), " ",IF(INDEX($AN$2:$BO$1001,MATCH(ROWS($AG$2:AG271),$AG$2:$AG$1001,0),MATCH(COLUMNS($AN$1006:AV1006),$AN$1006:$BO$1006,0)), HYPERLINK("#",""), HYPERLINK(CONCATENATE("#Metadata!", ADDRESS(INDEX($AI$2:$AI$1001,MATCH(ROWS($AG$2:AG271),$AG$2:$AG$1001,0),0), INDEX($AN$1004:$BO$1004,1,MATCH(COLUMNS($AN$1006:AV1006),$AN$1006:$BO$1006,0)))),"Fix")))</f>
        <v>0</v>
      </c>
      <c r="K271" s="4">
        <f>IF(OR(INDEX($AH$2:$AH$1001,MATCH(ROWS($AG$2:AG271),$AG$2:$AG$1001,0),1)&gt;=100000,INDEX($AN$1005:$BO$1005,1,MATCH(COLUMNS($AN$1006:AW1006),$AN$1006:$BO$1006,0))&gt;=100000), " ",IF(INDEX($AN$2:$BO$1001,MATCH(ROWS($AG$2:AG271),$AG$2:$AG$1001,0),MATCH(COLUMNS($AN$1006:AW1006),$AN$1006:$BO$1006,0)), HYPERLINK("#",""), HYPERLINK(CONCATENATE("#Metadata!", ADDRESS(INDEX($AI$2:$AI$1001,MATCH(ROWS($AG$2:AG271),$AG$2:$AG$1001,0),0), INDEX($AN$1004:$BO$1004,1,MATCH(COLUMNS($AN$1006:AW1006),$AN$1006:$BO$1006,0)))),"Fix")))</f>
        <v>0</v>
      </c>
      <c r="L271" s="4">
        <f>IF(OR(INDEX($AH$2:$AH$1001,MATCH(ROWS($AG$2:AG271),$AG$2:$AG$1001,0),1)&gt;=100000,INDEX($AN$1005:$BO$1005,1,MATCH(COLUMNS($AN$1006:AX1006),$AN$1006:$BO$1006,0))&gt;=100000), " ",IF(INDEX($AN$2:$BO$1001,MATCH(ROWS($AG$2:AG271),$AG$2:$AG$1001,0),MATCH(COLUMNS($AN$1006:AX1006),$AN$1006:$BO$1006,0)), HYPERLINK("#",""), HYPERLINK(CONCATENATE("#Metadata!", ADDRESS(INDEX($AI$2:$AI$1001,MATCH(ROWS($AG$2:AG271),$AG$2:$AG$1001,0),0), INDEX($AN$1004:$BO$1004,1,MATCH(COLUMNS($AN$1006:AX1006),$AN$1006:$BO$1006,0)))),"Fix")))</f>
        <v>0</v>
      </c>
      <c r="M271" s="4">
        <f>IF(OR(INDEX($AH$2:$AH$1001,MATCH(ROWS($AG$2:AG271),$AG$2:$AG$1001,0),1)&gt;=100000,INDEX($AN$1005:$BO$1005,1,MATCH(COLUMNS($AN$1006:AY1006),$AN$1006:$BO$1006,0))&gt;=100000), " ",IF(INDEX($AN$2:$BO$1001,MATCH(ROWS($AG$2:AG271),$AG$2:$AG$1001,0),MATCH(COLUMNS($AN$1006:AY1006),$AN$1006:$BO$1006,0)), HYPERLINK("#",""), HYPERLINK(CONCATENATE("#Metadata!", ADDRESS(INDEX($AI$2:$AI$1001,MATCH(ROWS($AG$2:AG271),$AG$2:$AG$1001,0),0), INDEX($AN$1004:$BO$1004,1,MATCH(COLUMNS($AN$1006:AY1006),$AN$1006:$BO$1006,0)))),"Fix")))</f>
        <v>0</v>
      </c>
      <c r="N271" s="4">
        <f>IF(OR(INDEX($AH$2:$AH$1001,MATCH(ROWS($AG$2:AG271),$AG$2:$AG$1001,0),1)&gt;=100000,INDEX($AN$1005:$BO$1005,1,MATCH(COLUMNS($AN$1006:AZ1006),$AN$1006:$BO$1006,0))&gt;=100000), " ",IF(INDEX($AN$2:$BO$1001,MATCH(ROWS($AG$2:AG271),$AG$2:$AG$1001,0),MATCH(COLUMNS($AN$1006:AZ1006),$AN$1006:$BO$1006,0)), HYPERLINK("#",""), HYPERLINK(CONCATENATE("#Metadata!", ADDRESS(INDEX($AI$2:$AI$1001,MATCH(ROWS($AG$2:AG271),$AG$2:$AG$1001,0),0), INDEX($AN$1004:$BO$1004,1,MATCH(COLUMNS($AN$1006:AZ1006),$AN$1006:$BO$1006,0)))),"Fix")))</f>
        <v>0</v>
      </c>
      <c r="O271" s="4">
        <f>IF(OR(INDEX($AH$2:$AH$1001,MATCH(ROWS($AG$2:AG271),$AG$2:$AG$1001,0),1)&gt;=100000,INDEX($AN$1005:$BO$1005,1,MATCH(COLUMNS($AN$1006:BA1006),$AN$1006:$BO$1006,0))&gt;=100000), " ",IF(INDEX($AN$2:$BO$1001,MATCH(ROWS($AG$2:AG271),$AG$2:$AG$1001,0),MATCH(COLUMNS($AN$1006:BA1006),$AN$1006:$BO$1006,0)), HYPERLINK("#",""), HYPERLINK(CONCATENATE("#Metadata!", ADDRESS(INDEX($AI$2:$AI$1001,MATCH(ROWS($AG$2:AG271),$AG$2:$AG$1001,0),0), INDEX($AN$1004:$BO$1004,1,MATCH(COLUMNS($AN$1006:BA1006),$AN$1006:$BO$1006,0)))),"Fix")))</f>
        <v>0</v>
      </c>
      <c r="P271" s="4">
        <f>IF(OR(INDEX($AH$2:$AH$1001,MATCH(ROWS($AG$2:AG271),$AG$2:$AG$1001,0),1)&gt;=100000,INDEX($AN$1005:$BO$1005,1,MATCH(COLUMNS($AN$1006:BB1006),$AN$1006:$BO$1006,0))&gt;=100000), " ",IF(INDEX($AN$2:$BO$1001,MATCH(ROWS($AG$2:AG271),$AG$2:$AG$1001,0),MATCH(COLUMNS($AN$1006:BB1006),$AN$1006:$BO$1006,0)), HYPERLINK("#",""), HYPERLINK(CONCATENATE("#Metadata!", ADDRESS(INDEX($AI$2:$AI$1001,MATCH(ROWS($AG$2:AG271),$AG$2:$AG$1001,0),0), INDEX($AN$1004:$BO$1004,1,MATCH(COLUMNS($AN$1006:BB1006),$AN$1006:$BO$1006,0)))),"Fix")))</f>
        <v>0</v>
      </c>
      <c r="Q271" s="4">
        <f>IF(OR(INDEX($AH$2:$AH$1001,MATCH(ROWS($AG$2:AG271),$AG$2:$AG$1001,0),1)&gt;=100000,INDEX($AN$1005:$BO$1005,1,MATCH(COLUMNS($AN$1006:BC1006),$AN$1006:$BO$1006,0))&gt;=100000), " ",IF(INDEX($AN$2:$BO$1001,MATCH(ROWS($AG$2:AG271),$AG$2:$AG$1001,0),MATCH(COLUMNS($AN$1006:BC1006),$AN$1006:$BO$1006,0)), HYPERLINK("#",""), HYPERLINK(CONCATENATE("#Metadata!", ADDRESS(INDEX($AI$2:$AI$1001,MATCH(ROWS($AG$2:AG271),$AG$2:$AG$1001,0),0), INDEX($AN$1004:$BO$1004,1,MATCH(COLUMNS($AN$1006:BC1006),$AN$1006:$BO$1006,0)))),"Fix")))</f>
        <v>0</v>
      </c>
      <c r="R271" s="4">
        <f>IF(OR(INDEX($AH$2:$AH$1001,MATCH(ROWS($AG$2:AG271),$AG$2:$AG$1001,0),1)&gt;=100000,INDEX($AN$1005:$BO$1005,1,MATCH(COLUMNS($AN$1006:BD1006),$AN$1006:$BO$1006,0))&gt;=100000), " ",IF(INDEX($AN$2:$BO$1001,MATCH(ROWS($AG$2:AG271),$AG$2:$AG$1001,0),MATCH(COLUMNS($AN$1006:BD1006),$AN$1006:$BO$1006,0)), HYPERLINK("#",""), HYPERLINK(CONCATENATE("#Metadata!", ADDRESS(INDEX($AI$2:$AI$1001,MATCH(ROWS($AG$2:AG271),$AG$2:$AG$1001,0),0), INDEX($AN$1004:$BO$1004,1,MATCH(COLUMNS($AN$1006:BD1006),$AN$1006:$BO$1006,0)))),"Fix")))</f>
        <v>0</v>
      </c>
      <c r="S271" s="4">
        <f>IF(OR(INDEX($AH$2:$AH$1001,MATCH(ROWS($AG$2:AG271),$AG$2:$AG$1001,0),1)&gt;=100000,INDEX($AN$1005:$BO$1005,1,MATCH(COLUMNS($AN$1006:BE1006),$AN$1006:$BO$1006,0))&gt;=100000), " ",IF(INDEX($AN$2:$BO$1001,MATCH(ROWS($AG$2:AG271),$AG$2:$AG$1001,0),MATCH(COLUMNS($AN$1006:BE1006),$AN$1006:$BO$1006,0)), HYPERLINK("#",""), HYPERLINK(CONCATENATE("#Metadata!", ADDRESS(INDEX($AI$2:$AI$1001,MATCH(ROWS($AG$2:AG271),$AG$2:$AG$1001,0),0), INDEX($AN$1004:$BO$1004,1,MATCH(COLUMNS($AN$1006:BE1006),$AN$1006:$BO$1006,0)))),"Fix")))</f>
        <v>0</v>
      </c>
      <c r="T271" s="4">
        <f>IF(OR(INDEX($AH$2:$AH$1001,MATCH(ROWS($AG$2:AG271),$AG$2:$AG$1001,0),1)&gt;=100000,INDEX($AN$1005:$BO$1005,1,MATCH(COLUMNS($AN$1006:BF1006),$AN$1006:$BO$1006,0))&gt;=100000), " ",IF(INDEX($AN$2:$BO$1001,MATCH(ROWS($AG$2:AG271),$AG$2:$AG$1001,0),MATCH(COLUMNS($AN$1006:BF1006),$AN$1006:$BO$1006,0)), HYPERLINK("#",""), HYPERLINK(CONCATENATE("#Metadata!", ADDRESS(INDEX($AI$2:$AI$1001,MATCH(ROWS($AG$2:AG271),$AG$2:$AG$1001,0),0), INDEX($AN$1004:$BO$1004,1,MATCH(COLUMNS($AN$1006:BF1006),$AN$1006:$BO$1006,0)))),"Fix")))</f>
        <v>0</v>
      </c>
      <c r="U271" s="4">
        <f>IF(OR(INDEX($AH$2:$AH$1001,MATCH(ROWS($AG$2:AG271),$AG$2:$AG$1001,0),1)&gt;=100000,INDEX($AN$1005:$BO$1005,1,MATCH(COLUMNS($AN$1006:BG1006),$AN$1006:$BO$1006,0))&gt;=100000), " ",IF(INDEX($AN$2:$BO$1001,MATCH(ROWS($AG$2:AG271),$AG$2:$AG$1001,0),MATCH(COLUMNS($AN$1006:BG1006),$AN$1006:$BO$1006,0)), HYPERLINK("#",""), HYPERLINK(CONCATENATE("#Metadata!", ADDRESS(INDEX($AI$2:$AI$1001,MATCH(ROWS($AG$2:AG271),$AG$2:$AG$1001,0),0), INDEX($AN$1004:$BO$1004,1,MATCH(COLUMNS($AN$1006:BG1006),$AN$1006:$BO$1006,0)))),"Fix")))</f>
        <v>0</v>
      </c>
      <c r="V271" s="4">
        <f>IF(OR(INDEX($AH$2:$AH$1001,MATCH(ROWS($AG$2:AG271),$AG$2:$AG$1001,0),1)&gt;=100000,INDEX($AN$1005:$BO$1005,1,MATCH(COLUMNS($AN$1006:BH1006),$AN$1006:$BO$1006,0))&gt;=100000), " ",IF(INDEX($AN$2:$BO$1001,MATCH(ROWS($AG$2:AG271),$AG$2:$AG$1001,0),MATCH(COLUMNS($AN$1006:BH1006),$AN$1006:$BO$1006,0)), HYPERLINK("#",""), HYPERLINK(CONCATENATE("#Metadata!", ADDRESS(INDEX($AI$2:$AI$1001,MATCH(ROWS($AG$2:AG271),$AG$2:$AG$1001,0),0), INDEX($AN$1004:$BO$1004,1,MATCH(COLUMNS($AN$1006:BH1006),$AN$1006:$BO$1006,0)))),"Fix")))</f>
        <v>0</v>
      </c>
      <c r="W271" s="4">
        <f>IF(OR(INDEX($AH$2:$AH$1001,MATCH(ROWS($AG$2:AG271),$AG$2:$AG$1001,0),1)&gt;=100000,INDEX($AN$1005:$BO$1005,1,MATCH(COLUMNS($AN$1006:BI1006),$AN$1006:$BO$1006,0))&gt;=100000), " ",IF(INDEX($AN$2:$BO$1001,MATCH(ROWS($AG$2:AG271),$AG$2:$AG$1001,0),MATCH(COLUMNS($AN$1006:BI1006),$AN$1006:$BO$1006,0)), HYPERLINK("#",""), HYPERLINK(CONCATENATE("#Metadata!", ADDRESS(INDEX($AI$2:$AI$1001,MATCH(ROWS($AG$2:AG271),$AG$2:$AG$1001,0),0), INDEX($AN$1004:$BO$1004,1,MATCH(COLUMNS($AN$1006:BI1006),$AN$1006:$BO$1006,0)))),"Fix")))</f>
        <v>0</v>
      </c>
      <c r="X271" s="4">
        <f>IF(OR(INDEX($AH$2:$AH$1001,MATCH(ROWS($AG$2:AG271),$AG$2:$AG$1001,0),1)&gt;=100000,INDEX($AN$1005:$BO$1005,1,MATCH(COLUMNS($AN$1006:BJ1006),$AN$1006:$BO$1006,0))&gt;=100000), " ",IF(INDEX($AN$2:$BO$1001,MATCH(ROWS($AG$2:AG271),$AG$2:$AG$1001,0),MATCH(COLUMNS($AN$1006:BJ1006),$AN$1006:$BO$1006,0)), HYPERLINK("#",""), HYPERLINK(CONCATENATE("#Metadata!", ADDRESS(INDEX($AI$2:$AI$1001,MATCH(ROWS($AG$2:AG271),$AG$2:$AG$1001,0),0), INDEX($AN$1004:$BO$1004,1,MATCH(COLUMNS($AN$1006:BJ1006),$AN$1006:$BO$1006,0)))),"Fix")))</f>
        <v>0</v>
      </c>
      <c r="Y271" s="4">
        <f>IF(OR(INDEX($AH$2:$AH$1001,MATCH(ROWS($AG$2:AG271),$AG$2:$AG$1001,0),1)&gt;=100000,INDEX($AN$1005:$BO$1005,1,MATCH(COLUMNS($AN$1006:BK1006),$AN$1006:$BO$1006,0))&gt;=100000), " ",IF(INDEX($AN$2:$BO$1001,MATCH(ROWS($AG$2:AG271),$AG$2:$AG$1001,0),MATCH(COLUMNS($AN$1006:BK1006),$AN$1006:$BO$1006,0)), HYPERLINK("#",""), HYPERLINK(CONCATENATE("#Metadata!", ADDRESS(INDEX($AI$2:$AI$1001,MATCH(ROWS($AG$2:AG271),$AG$2:$AG$1001,0),0), INDEX($AN$1004:$BO$1004,1,MATCH(COLUMNS($AN$1006:BK1006),$AN$1006:$BO$1006,0)))),"Fix")))</f>
        <v>0</v>
      </c>
      <c r="Z271" s="4">
        <f>IF(OR(INDEX($AH$2:$AH$1001,MATCH(ROWS($AG$2:AG271),$AG$2:$AG$1001,0),1)&gt;=100000,INDEX($AN$1005:$BO$1005,1,MATCH(COLUMNS($AN$1006:BL1006),$AN$1006:$BO$1006,0))&gt;=100000), " ",IF(INDEX($AN$2:$BO$1001,MATCH(ROWS($AG$2:AG271),$AG$2:$AG$1001,0),MATCH(COLUMNS($AN$1006:BL1006),$AN$1006:$BO$1006,0)), HYPERLINK("#",""), HYPERLINK(CONCATENATE("#Metadata!", ADDRESS(INDEX($AI$2:$AI$1001,MATCH(ROWS($AG$2:AG271),$AG$2:$AG$1001,0),0), INDEX($AN$1004:$BO$1004,1,MATCH(COLUMNS($AN$1006:BL1006),$AN$1006:$BO$1006,0)))),"Fix")))</f>
        <v>0</v>
      </c>
      <c r="AA271" s="4">
        <f>IF(OR(INDEX($AH$2:$AH$1001,MATCH(ROWS($AG$2:AG271),$AG$2:$AG$1001,0),1)&gt;=100000,INDEX($AN$1005:$BO$1005,1,MATCH(COLUMNS($AN$1006:BM1006),$AN$1006:$BO$1006,0))&gt;=100000), " ",IF(INDEX($AN$2:$BO$1001,MATCH(ROWS($AG$2:AG271),$AG$2:$AG$1001,0),MATCH(COLUMNS($AN$1006:BM1006),$AN$1006:$BO$1006,0)), HYPERLINK("#",""), HYPERLINK(CONCATENATE("#Metadata!", ADDRESS(INDEX($AI$2:$AI$1001,MATCH(ROWS($AG$2:AG271),$AG$2:$AG$1001,0),0), INDEX($AN$1004:$BO$1004,1,MATCH(COLUMNS($AN$1006:BM1006),$AN$1006:$BO$1006,0)))),"Fix")))</f>
        <v>0</v>
      </c>
      <c r="AB271" s="4">
        <f>IF(OR(INDEX($AH$2:$AH$1001,MATCH(ROWS($AG$2:AG271),$AG$2:$AG$1001,0),1)&gt;=100000,INDEX($AN$1005:$BO$1005,1,MATCH(COLUMNS($AN$1006:BN1006),$AN$1006:$BO$1006,0))&gt;=100000), " ",IF(INDEX($AN$2:$BO$1001,MATCH(ROWS($AG$2:AG271),$AG$2:$AG$1001,0),MATCH(COLUMNS($AN$1006:BN1006),$AN$1006:$BO$1006,0)), HYPERLINK("#",""), HYPERLINK(CONCATENATE("#Metadata!", ADDRESS(INDEX($AI$2:$AI$1001,MATCH(ROWS($AG$2:AG271),$AG$2:$AG$1001,0),0), INDEX($AN$1004:$BO$1004,1,MATCH(COLUMNS($AN$1006:BN1006),$AN$1006:$BO$1006,0)))),"Fix")))</f>
        <v>0</v>
      </c>
      <c r="AC271" s="4">
        <f>IF(OR(INDEX($AH$2:$AH$1001,MATCH(ROWS($AG$2:AG271),$AG$2:$AG$1001,0),1)&gt;=100000,INDEX($AN$1005:$BO$1005,1,MATCH(COLUMNS($AN$1006:BO1006),$AN$1006:$BO$1006,0))&gt;=100000), " ",IF(INDEX($AN$2:$BO$1001,MATCH(ROWS($AG$2:AG271),$AG$2:$AG$1001,0),MATCH(COLUMNS($AN$1006:BO1006),$AN$1006:$BO$1006,0)), HYPERLINK("#",""), HYPERLINK(CONCATENATE("#Metadata!", ADDRESS(INDEX($AI$2:$AI$1001,MATCH(ROWS($AG$2:AG271),$AG$2:$AG$1001,0),0), INDEX($AN$1004:$BO$1004,1,MATCH(COLUMNS($AN$1006:BO1006),$AN$1006:$BO$1006,0)))),"Fix")))</f>
        <v>0</v>
      </c>
      <c r="AG271">
        <v>0</v>
      </c>
      <c r="AH271">
        <v>0</v>
      </c>
      <c r="AI271">
        <v>0</v>
      </c>
      <c r="AJ271">
        <f>IF(AK271,TRUE,AND(AN271:BO271))</f>
        <v>0</v>
      </c>
      <c r="AK271">
        <f>COUNTBLANK(Metadata!B271:AC271)=COLUMNS(Metadata!B271:AC271)</f>
        <v>0</v>
      </c>
      <c r="AL271">
        <v>0</v>
      </c>
      <c r="AN271">
        <f>AND(IF(Metadata!B271="",FALSE,TRUE),COUNTIF(Metadata!B:B, Metadata!B271) = 1,NOT(ISERROR(SUMPRODUCT(SEARCH(MID(Metadata!B271,ROW(INDIRECT("1:"&amp;LEN(Metadata!B271))), 1),"0123456789abcdefghijklmnopqrstuvwxyzABCDEFGHIJKLMNOPQRSTUVWXYZ.")))))</f>
        <v>0</v>
      </c>
      <c r="AO271">
        <f>IF(Metadata!C271="",FALSE,TRUE)</f>
        <v>0</v>
      </c>
      <c r="AP271">
        <f>IF(Metadata!D271="",FALSE,TRUE)</f>
        <v>0</v>
      </c>
      <c r="AQ271">
        <f>OR(AND(IF(Metadata!E271="",FALSE,TRUE),OR(exact(Metadata!E271,"not collected"),exact(Metadata!E271,"not provided"),exact(Metadata!E271,"restricted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R271">
        <f>IF(Metadata!F271="",FALSE,TRUE)</f>
        <v>0</v>
      </c>
      <c r="AS271">
        <f>OR(AND(IF(Metadata!G271="",FALSE,TRUE),OR(exact(Metadata!G271,"not collected"),exact(Metadata!G271,"not provided"))),AND(IF(Metadata!G271="",FALSE,TRUE),OR(exact(Metadata!G271,"TRUE"),exact(Metadata!G271,"FALSE"))))</f>
        <v>0</v>
      </c>
      <c r="AT271">
        <f>OR(AND(IF(Metadata!H271="",FALSE,TRUE),OR(exact(Metadata!H271,"not collected"),exact(Metadata!H271,"not provided"),exact(Metadata!H271,"restricted access"))),AND(IF(Metadata!H271="",FALSE,ISNUMBER(VALUE(Metadata!H271))),Metadata!H271&gt;=-413.0))</f>
        <v>0</v>
      </c>
      <c r="AU271">
        <f>AND(IF(Metadata!I271="",FALSE,TRUE),exact(Metadata!I271,"meters"))</f>
        <v>0</v>
      </c>
      <c r="AV271">
        <f>AND(IF(Metadata!J271="",FALSE,TRUE),OR(exact(Metadata!J271,"Host-associated"),exact(Metadata!J271,"Free-living")))</f>
        <v>0</v>
      </c>
      <c r="AW271">
        <f>AND(IF(Metadata!K271="",FALSE,TRUE),OR(exact(Metadata!K271,"Animal"),exact(Metadata!K271,"Fungus"),exact(Metadata!K271,"Plant"),exact(Metadata!K271,"Saline"),exact(Metadata!K271,"Non-saline")))</f>
        <v>0</v>
      </c>
      <c r="AX271">
        <f>AND(IF(Metadata!L271="",FALSE,TRUE),OR(exact(Metadata!L271,"Plant secretion"),exact(Metadata!L271,"Plant rhizosphere"),exact(Metadata!L271,"Plant surface"),exact(Metadata!L271,"Plant corpus"),exact(Metadata!L271,"Fungus surface"),exact(Metadata!L271,"Fungus corpus"),exact(Metadata!L271,"Animal surface"),exact(Metadata!L271,"Animal proximal gut"),exact(Metadata!L271,"Animal corpus"),exact(Metadata!L271,"Animal distal gut"),exact(Metadata!L271,"Animal secretion"),exact(Metadata!L271,"Sub-surface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Y271">
        <f>IF(Metadata!M271="",FALSE,TRUE)</f>
        <v>0</v>
      </c>
      <c r="AZ271">
        <f>IF(Metadata!N271="",FALSE,TRUE)</f>
        <v>0</v>
      </c>
      <c r="BA271">
        <f>IF(Metadata!O271="",FALSE,TRUE)</f>
        <v>0</v>
      </c>
      <c r="BB271">
        <f>OR(AND(IF(Metadata!P271="",FALSE,TRUE),OR(exact(Metadata!P271,"not collected"),exact(Metadata!P271,"not provided"),exact(Metadata!P271,"restricted access"))),AND(IF(Metadata!P271="",FALSE,TRUE),OR(exact(Metadata!P271,"air"),exact(Metadata!P271,"built environment"),exact(Metadata!P271,"host-associated"),exact(Metadata!P271,"human-associated"),exact(Metadata!P271,"human-skin"),exact(Metadata!P271,"human-oral"),exact(Metadata!P271,"human-gut"),exact(Metadata!P271,"human-vaginal"),exact(Metadata!P271,"microbial mat/biofilm"),exact(Metadata!P271,"misc environment"),exact(Metadata!P271,"plant-associated"),exact(Metadata!P271,"sediment"),exact(Metadata!P271,"soil"),exact(Metadata!P271,"wastewater/sludge"),exact(Metadata!P271,"water"))))</f>
        <v>0</v>
      </c>
      <c r="BC271">
        <f>IF(Metadata!Q271="",FALSE,TRUE)</f>
        <v>0</v>
      </c>
      <c r="BD271">
        <f>IF(Metadata!R271="",FALSE,TRUE)</f>
        <v>0</v>
      </c>
      <c r="BE271">
        <f>OR(AND(IF(Metadata!S271="",FALSE,TRUE),OR(exact(Metadata!S271,"not collected"),exact(Metadata!S271,"not provided"),exact(Metadata!S271,"restricted access"))),AND(IF(Metadata!S271="",FALSE,ISNUMBER(VALUE(Metadata!S271))),Metadata!S271&gt;=-90.00,Metadata!S271&lt;=90.00))</f>
        <v>0</v>
      </c>
      <c r="BF271">
        <f>AND(IF(Metadata!T271="",FALSE,TRUE),exact(Metadata!T271,"Decimal degrees"))</f>
        <v>0</v>
      </c>
      <c r="BG271">
        <f>OR(AND(IF(Metadata!U271="",FALSE,TRUE),OR(exact(Metadata!U271,"not collected"),exact(Metadata!U271,"not provided"),exact(Metadata!U271,"restricted access"))),AND(IF(Metadata!U271="",FALSE,ISNUMBER(VALUE(Metadata!U271))),Metadata!U271&gt;=-180.00,Metadata!U271&lt;=180.00))</f>
        <v>0</v>
      </c>
      <c r="BH271">
        <f>AND(IF(Metadata!V271="",FALSE,TRUE),exact(Metadata!V271,"Decimal degrees"))</f>
        <v>0</v>
      </c>
      <c r="BI271">
        <f>IF(Metadata!W271="",FALSE,TRUE)</f>
        <v>0</v>
      </c>
      <c r="BJ271">
        <f>OR(AND(IF(Metadata!X271="",FALSE,TRUE),OR(exact(Metadata!X271,"not collected"),exact(Metadata!X271,"not provided"),exact(Metadata!X271,"restricted access"))),AND(IF(Metadata!X271="",FALSE,TRUE),OR(exact(Metadata!X271,"TRUE"),exact(Metadata!X271,"FALSE"))))</f>
        <v>0</v>
      </c>
      <c r="BK271">
        <f>AND(IF(Metadata!Y271="",FALSE,TRUE),exact(Metadata!Y271,"other"))</f>
        <v>0</v>
      </c>
      <c r="BL271">
        <f>IF(Metadata!Z271="",FALSE,TRUE)</f>
        <v>0</v>
      </c>
      <c r="BM271">
        <f>OR(AND(IF(Metadata!AA271="",FALSE,TRUE),OR(exact(Metadata!AA271,"not collected"),exact(Metadata!AA271,"not provided"))),AND(IF(Metadata!AA271="",FALSE,IF(ISERROR(INT(Metadata!AA271)),FALSE,INT(Metadata!AA271)=Metadata!AA271)),Metadata!AA271&gt;0))</f>
        <v>0</v>
      </c>
      <c r="BN271">
        <f>AND(IF(Metadata!AB271="",FALSE,TRUE),exact(Metadata!AB271,"Not applicable"))</f>
        <v>0</v>
      </c>
      <c r="BO271">
        <f>IF(Metadata!AC271="",FALSE,TRUE)</f>
        <v>0</v>
      </c>
    </row>
    <row r="272" spans="1:67">
      <c r="A272" s="5">
        <f>IF(B272=" "," ",HYPERLINK(CONCATENATE("#metadata!",ADDRESS(INDEX($AI$2:$AI$1001,MATCH(ROWS($AG$2:AG272),$AG$2:$AG$1001,0),0),1)),INDEX($AL$2:$AL$1001,MATCH(ROWS($AG$2:AG272),$AG$2:$AG$1001,0),0)))</f>
        <v>0</v>
      </c>
      <c r="B272" s="4">
        <f>IF(OR(INDEX($AH$2:$AH$1001,MATCH(ROWS($AG$2:AG272),$AG$2:$AG$1001,0),1)&gt;=100000,INDEX($AN$1005:$BO$1005,1,MATCH(COLUMNS($AN$1006:AN1006),$AN$1006:$BO$1006,0))&gt;=100000), " ",IF(INDEX($AN$2:$BO$1001,MATCH(ROWS($AG$2:AG272),$AG$2:$AG$1001,0),MATCH(COLUMNS($AN$1006:AN1006),$AN$1006:$BO$1006,0)), HYPERLINK("#",""), HYPERLINK(CONCATENATE("#Metadata!", ADDRESS(INDEX($AI$2:$AI$1001,MATCH(ROWS($AG$2:AG272),$AG$2:$AG$1001,0),0), INDEX($AN$1004:$BO$1004,1,MATCH(COLUMNS($AN$1006:AN1006),$AN$1006:$BO$1006,0)))),"Fix")))</f>
        <v>0</v>
      </c>
      <c r="C272" s="4">
        <f>IF(OR(INDEX($AH$2:$AH$1001,MATCH(ROWS($AG$2:AG272),$AG$2:$AG$1001,0),1)&gt;=100000,INDEX($AN$1005:$BO$1005,1,MATCH(COLUMNS($AN$1006:AO1006),$AN$1006:$BO$1006,0))&gt;=100000), " ",IF(INDEX($AN$2:$BO$1001,MATCH(ROWS($AG$2:AG272),$AG$2:$AG$1001,0),MATCH(COLUMNS($AN$1006:AO1006),$AN$1006:$BO$1006,0)), HYPERLINK("#",""), HYPERLINK(CONCATENATE("#Metadata!", ADDRESS(INDEX($AI$2:$AI$1001,MATCH(ROWS($AG$2:AG272),$AG$2:$AG$1001,0),0), INDEX($AN$1004:$BO$1004,1,MATCH(COLUMNS($AN$1006:AO1006),$AN$1006:$BO$1006,0)))),"Fix")))</f>
        <v>0</v>
      </c>
      <c r="D272" s="4">
        <f>IF(OR(INDEX($AH$2:$AH$1001,MATCH(ROWS($AG$2:AG272),$AG$2:$AG$1001,0),1)&gt;=100000,INDEX($AN$1005:$BO$1005,1,MATCH(COLUMNS($AN$1006:AP1006),$AN$1006:$BO$1006,0))&gt;=100000), " ",IF(INDEX($AN$2:$BO$1001,MATCH(ROWS($AG$2:AG272),$AG$2:$AG$1001,0),MATCH(COLUMNS($AN$1006:AP1006),$AN$1006:$BO$1006,0)), HYPERLINK("#",""), HYPERLINK(CONCATENATE("#Metadata!", ADDRESS(INDEX($AI$2:$AI$1001,MATCH(ROWS($AG$2:AG272),$AG$2:$AG$1001,0),0), INDEX($AN$1004:$BO$1004,1,MATCH(COLUMNS($AN$1006:AP1006),$AN$1006:$BO$1006,0)))),"Fix")))</f>
        <v>0</v>
      </c>
      <c r="E272" s="4">
        <f>IF(OR(INDEX($AH$2:$AH$1001,MATCH(ROWS($AG$2:AG272),$AG$2:$AG$1001,0),1)&gt;=100000,INDEX($AN$1005:$BO$1005,1,MATCH(COLUMNS($AN$1006:AQ1006),$AN$1006:$BO$1006,0))&gt;=100000), " ",IF(INDEX($AN$2:$BO$1001,MATCH(ROWS($AG$2:AG272),$AG$2:$AG$1001,0),MATCH(COLUMNS($AN$1006:AQ1006),$AN$1006:$BO$1006,0)), HYPERLINK("#",""), HYPERLINK(CONCATENATE("#Metadata!", ADDRESS(INDEX($AI$2:$AI$1001,MATCH(ROWS($AG$2:AG272),$AG$2:$AG$1001,0),0), INDEX($AN$1004:$BO$1004,1,MATCH(COLUMNS($AN$1006:AQ1006),$AN$1006:$BO$1006,0)))),"Fix")))</f>
        <v>0</v>
      </c>
      <c r="F272" s="4">
        <f>IF(OR(INDEX($AH$2:$AH$1001,MATCH(ROWS($AG$2:AG272),$AG$2:$AG$1001,0),1)&gt;=100000,INDEX($AN$1005:$BO$1005,1,MATCH(COLUMNS($AN$1006:AR1006),$AN$1006:$BO$1006,0))&gt;=100000), " ",IF(INDEX($AN$2:$BO$1001,MATCH(ROWS($AG$2:AG272),$AG$2:$AG$1001,0),MATCH(COLUMNS($AN$1006:AR1006),$AN$1006:$BO$1006,0)), HYPERLINK("#",""), HYPERLINK(CONCATENATE("#Metadata!", ADDRESS(INDEX($AI$2:$AI$1001,MATCH(ROWS($AG$2:AG272),$AG$2:$AG$1001,0),0), INDEX($AN$1004:$BO$1004,1,MATCH(COLUMNS($AN$1006:AR1006),$AN$1006:$BO$1006,0)))),"Fix")))</f>
        <v>0</v>
      </c>
      <c r="G272" s="4">
        <f>IF(OR(INDEX($AH$2:$AH$1001,MATCH(ROWS($AG$2:AG272),$AG$2:$AG$1001,0),1)&gt;=100000,INDEX($AN$1005:$BO$1005,1,MATCH(COLUMNS($AN$1006:AS1006),$AN$1006:$BO$1006,0))&gt;=100000), " ",IF(INDEX($AN$2:$BO$1001,MATCH(ROWS($AG$2:AG272),$AG$2:$AG$1001,0),MATCH(COLUMNS($AN$1006:AS1006),$AN$1006:$BO$1006,0)), HYPERLINK("#",""), HYPERLINK(CONCATENATE("#Metadata!", ADDRESS(INDEX($AI$2:$AI$1001,MATCH(ROWS($AG$2:AG272),$AG$2:$AG$1001,0),0), INDEX($AN$1004:$BO$1004,1,MATCH(COLUMNS($AN$1006:AS1006),$AN$1006:$BO$1006,0)))),"Fix")))</f>
        <v>0</v>
      </c>
      <c r="H272" s="4">
        <f>IF(OR(INDEX($AH$2:$AH$1001,MATCH(ROWS($AG$2:AG272),$AG$2:$AG$1001,0),1)&gt;=100000,INDEX($AN$1005:$BO$1005,1,MATCH(COLUMNS($AN$1006:AT1006),$AN$1006:$BO$1006,0))&gt;=100000), " ",IF(INDEX($AN$2:$BO$1001,MATCH(ROWS($AG$2:AG272),$AG$2:$AG$1001,0),MATCH(COLUMNS($AN$1006:AT1006),$AN$1006:$BO$1006,0)), HYPERLINK("#",""), HYPERLINK(CONCATENATE("#Metadata!", ADDRESS(INDEX($AI$2:$AI$1001,MATCH(ROWS($AG$2:AG272),$AG$2:$AG$1001,0),0), INDEX($AN$1004:$BO$1004,1,MATCH(COLUMNS($AN$1006:AT1006),$AN$1006:$BO$1006,0)))),"Fix")))</f>
        <v>0</v>
      </c>
      <c r="I272" s="4">
        <f>IF(OR(INDEX($AH$2:$AH$1001,MATCH(ROWS($AG$2:AG272),$AG$2:$AG$1001,0),1)&gt;=100000,INDEX($AN$1005:$BO$1005,1,MATCH(COLUMNS($AN$1006:AU1006),$AN$1006:$BO$1006,0))&gt;=100000), " ",IF(INDEX($AN$2:$BO$1001,MATCH(ROWS($AG$2:AG272),$AG$2:$AG$1001,0),MATCH(COLUMNS($AN$1006:AU1006),$AN$1006:$BO$1006,0)), HYPERLINK("#",""), HYPERLINK(CONCATENATE("#Metadata!", ADDRESS(INDEX($AI$2:$AI$1001,MATCH(ROWS($AG$2:AG272),$AG$2:$AG$1001,0),0), INDEX($AN$1004:$BO$1004,1,MATCH(COLUMNS($AN$1006:AU1006),$AN$1006:$BO$1006,0)))),"Fix")))</f>
        <v>0</v>
      </c>
      <c r="J272" s="4">
        <f>IF(OR(INDEX($AH$2:$AH$1001,MATCH(ROWS($AG$2:AG272),$AG$2:$AG$1001,0),1)&gt;=100000,INDEX($AN$1005:$BO$1005,1,MATCH(COLUMNS($AN$1006:AV1006),$AN$1006:$BO$1006,0))&gt;=100000), " ",IF(INDEX($AN$2:$BO$1001,MATCH(ROWS($AG$2:AG272),$AG$2:$AG$1001,0),MATCH(COLUMNS($AN$1006:AV1006),$AN$1006:$BO$1006,0)), HYPERLINK("#",""), HYPERLINK(CONCATENATE("#Metadata!", ADDRESS(INDEX($AI$2:$AI$1001,MATCH(ROWS($AG$2:AG272),$AG$2:$AG$1001,0),0), INDEX($AN$1004:$BO$1004,1,MATCH(COLUMNS($AN$1006:AV1006),$AN$1006:$BO$1006,0)))),"Fix")))</f>
        <v>0</v>
      </c>
      <c r="K272" s="4">
        <f>IF(OR(INDEX($AH$2:$AH$1001,MATCH(ROWS($AG$2:AG272),$AG$2:$AG$1001,0),1)&gt;=100000,INDEX($AN$1005:$BO$1005,1,MATCH(COLUMNS($AN$1006:AW1006),$AN$1006:$BO$1006,0))&gt;=100000), " ",IF(INDEX($AN$2:$BO$1001,MATCH(ROWS($AG$2:AG272),$AG$2:$AG$1001,0),MATCH(COLUMNS($AN$1006:AW1006),$AN$1006:$BO$1006,0)), HYPERLINK("#",""), HYPERLINK(CONCATENATE("#Metadata!", ADDRESS(INDEX($AI$2:$AI$1001,MATCH(ROWS($AG$2:AG272),$AG$2:$AG$1001,0),0), INDEX($AN$1004:$BO$1004,1,MATCH(COLUMNS($AN$1006:AW1006),$AN$1006:$BO$1006,0)))),"Fix")))</f>
        <v>0</v>
      </c>
      <c r="L272" s="4">
        <f>IF(OR(INDEX($AH$2:$AH$1001,MATCH(ROWS($AG$2:AG272),$AG$2:$AG$1001,0),1)&gt;=100000,INDEX($AN$1005:$BO$1005,1,MATCH(COLUMNS($AN$1006:AX1006),$AN$1006:$BO$1006,0))&gt;=100000), " ",IF(INDEX($AN$2:$BO$1001,MATCH(ROWS($AG$2:AG272),$AG$2:$AG$1001,0),MATCH(COLUMNS($AN$1006:AX1006),$AN$1006:$BO$1006,0)), HYPERLINK("#",""), HYPERLINK(CONCATENATE("#Metadata!", ADDRESS(INDEX($AI$2:$AI$1001,MATCH(ROWS($AG$2:AG272),$AG$2:$AG$1001,0),0), INDEX($AN$1004:$BO$1004,1,MATCH(COLUMNS($AN$1006:AX1006),$AN$1006:$BO$1006,0)))),"Fix")))</f>
        <v>0</v>
      </c>
      <c r="M272" s="4">
        <f>IF(OR(INDEX($AH$2:$AH$1001,MATCH(ROWS($AG$2:AG272),$AG$2:$AG$1001,0),1)&gt;=100000,INDEX($AN$1005:$BO$1005,1,MATCH(COLUMNS($AN$1006:AY1006),$AN$1006:$BO$1006,0))&gt;=100000), " ",IF(INDEX($AN$2:$BO$1001,MATCH(ROWS($AG$2:AG272),$AG$2:$AG$1001,0),MATCH(COLUMNS($AN$1006:AY1006),$AN$1006:$BO$1006,0)), HYPERLINK("#",""), HYPERLINK(CONCATENATE("#Metadata!", ADDRESS(INDEX($AI$2:$AI$1001,MATCH(ROWS($AG$2:AG272),$AG$2:$AG$1001,0),0), INDEX($AN$1004:$BO$1004,1,MATCH(COLUMNS($AN$1006:AY1006),$AN$1006:$BO$1006,0)))),"Fix")))</f>
        <v>0</v>
      </c>
      <c r="N272" s="4">
        <f>IF(OR(INDEX($AH$2:$AH$1001,MATCH(ROWS($AG$2:AG272),$AG$2:$AG$1001,0),1)&gt;=100000,INDEX($AN$1005:$BO$1005,1,MATCH(COLUMNS($AN$1006:AZ1006),$AN$1006:$BO$1006,0))&gt;=100000), " ",IF(INDEX($AN$2:$BO$1001,MATCH(ROWS($AG$2:AG272),$AG$2:$AG$1001,0),MATCH(COLUMNS($AN$1006:AZ1006),$AN$1006:$BO$1006,0)), HYPERLINK("#",""), HYPERLINK(CONCATENATE("#Metadata!", ADDRESS(INDEX($AI$2:$AI$1001,MATCH(ROWS($AG$2:AG272),$AG$2:$AG$1001,0),0), INDEX($AN$1004:$BO$1004,1,MATCH(COLUMNS($AN$1006:AZ1006),$AN$1006:$BO$1006,0)))),"Fix")))</f>
        <v>0</v>
      </c>
      <c r="O272" s="4">
        <f>IF(OR(INDEX($AH$2:$AH$1001,MATCH(ROWS($AG$2:AG272),$AG$2:$AG$1001,0),1)&gt;=100000,INDEX($AN$1005:$BO$1005,1,MATCH(COLUMNS($AN$1006:BA1006),$AN$1006:$BO$1006,0))&gt;=100000), " ",IF(INDEX($AN$2:$BO$1001,MATCH(ROWS($AG$2:AG272),$AG$2:$AG$1001,0),MATCH(COLUMNS($AN$1006:BA1006),$AN$1006:$BO$1006,0)), HYPERLINK("#",""), HYPERLINK(CONCATENATE("#Metadata!", ADDRESS(INDEX($AI$2:$AI$1001,MATCH(ROWS($AG$2:AG272),$AG$2:$AG$1001,0),0), INDEX($AN$1004:$BO$1004,1,MATCH(COLUMNS($AN$1006:BA1006),$AN$1006:$BO$1006,0)))),"Fix")))</f>
        <v>0</v>
      </c>
      <c r="P272" s="4">
        <f>IF(OR(INDEX($AH$2:$AH$1001,MATCH(ROWS($AG$2:AG272),$AG$2:$AG$1001,0),1)&gt;=100000,INDEX($AN$1005:$BO$1005,1,MATCH(COLUMNS($AN$1006:BB1006),$AN$1006:$BO$1006,0))&gt;=100000), " ",IF(INDEX($AN$2:$BO$1001,MATCH(ROWS($AG$2:AG272),$AG$2:$AG$1001,0),MATCH(COLUMNS($AN$1006:BB1006),$AN$1006:$BO$1006,0)), HYPERLINK("#",""), HYPERLINK(CONCATENATE("#Metadata!", ADDRESS(INDEX($AI$2:$AI$1001,MATCH(ROWS($AG$2:AG272),$AG$2:$AG$1001,0),0), INDEX($AN$1004:$BO$1004,1,MATCH(COLUMNS($AN$1006:BB1006),$AN$1006:$BO$1006,0)))),"Fix")))</f>
        <v>0</v>
      </c>
      <c r="Q272" s="4">
        <f>IF(OR(INDEX($AH$2:$AH$1001,MATCH(ROWS($AG$2:AG272),$AG$2:$AG$1001,0),1)&gt;=100000,INDEX($AN$1005:$BO$1005,1,MATCH(COLUMNS($AN$1006:BC1006),$AN$1006:$BO$1006,0))&gt;=100000), " ",IF(INDEX($AN$2:$BO$1001,MATCH(ROWS($AG$2:AG272),$AG$2:$AG$1001,0),MATCH(COLUMNS($AN$1006:BC1006),$AN$1006:$BO$1006,0)), HYPERLINK("#",""), HYPERLINK(CONCATENATE("#Metadata!", ADDRESS(INDEX($AI$2:$AI$1001,MATCH(ROWS($AG$2:AG272),$AG$2:$AG$1001,0),0), INDEX($AN$1004:$BO$1004,1,MATCH(COLUMNS($AN$1006:BC1006),$AN$1006:$BO$1006,0)))),"Fix")))</f>
        <v>0</v>
      </c>
      <c r="R272" s="4">
        <f>IF(OR(INDEX($AH$2:$AH$1001,MATCH(ROWS($AG$2:AG272),$AG$2:$AG$1001,0),1)&gt;=100000,INDEX($AN$1005:$BO$1005,1,MATCH(COLUMNS($AN$1006:BD1006),$AN$1006:$BO$1006,0))&gt;=100000), " ",IF(INDEX($AN$2:$BO$1001,MATCH(ROWS($AG$2:AG272),$AG$2:$AG$1001,0),MATCH(COLUMNS($AN$1006:BD1006),$AN$1006:$BO$1006,0)), HYPERLINK("#",""), HYPERLINK(CONCATENATE("#Metadata!", ADDRESS(INDEX($AI$2:$AI$1001,MATCH(ROWS($AG$2:AG272),$AG$2:$AG$1001,0),0), INDEX($AN$1004:$BO$1004,1,MATCH(COLUMNS($AN$1006:BD1006),$AN$1006:$BO$1006,0)))),"Fix")))</f>
        <v>0</v>
      </c>
      <c r="S272" s="4">
        <f>IF(OR(INDEX($AH$2:$AH$1001,MATCH(ROWS($AG$2:AG272),$AG$2:$AG$1001,0),1)&gt;=100000,INDEX($AN$1005:$BO$1005,1,MATCH(COLUMNS($AN$1006:BE1006),$AN$1006:$BO$1006,0))&gt;=100000), " ",IF(INDEX($AN$2:$BO$1001,MATCH(ROWS($AG$2:AG272),$AG$2:$AG$1001,0),MATCH(COLUMNS($AN$1006:BE1006),$AN$1006:$BO$1006,0)), HYPERLINK("#",""), HYPERLINK(CONCATENATE("#Metadata!", ADDRESS(INDEX($AI$2:$AI$1001,MATCH(ROWS($AG$2:AG272),$AG$2:$AG$1001,0),0), INDEX($AN$1004:$BO$1004,1,MATCH(COLUMNS($AN$1006:BE1006),$AN$1006:$BO$1006,0)))),"Fix")))</f>
        <v>0</v>
      </c>
      <c r="T272" s="4">
        <f>IF(OR(INDEX($AH$2:$AH$1001,MATCH(ROWS($AG$2:AG272),$AG$2:$AG$1001,0),1)&gt;=100000,INDEX($AN$1005:$BO$1005,1,MATCH(COLUMNS($AN$1006:BF1006),$AN$1006:$BO$1006,0))&gt;=100000), " ",IF(INDEX($AN$2:$BO$1001,MATCH(ROWS($AG$2:AG272),$AG$2:$AG$1001,0),MATCH(COLUMNS($AN$1006:BF1006),$AN$1006:$BO$1006,0)), HYPERLINK("#",""), HYPERLINK(CONCATENATE("#Metadata!", ADDRESS(INDEX($AI$2:$AI$1001,MATCH(ROWS($AG$2:AG272),$AG$2:$AG$1001,0),0), INDEX($AN$1004:$BO$1004,1,MATCH(COLUMNS($AN$1006:BF1006),$AN$1006:$BO$1006,0)))),"Fix")))</f>
        <v>0</v>
      </c>
      <c r="U272" s="4">
        <f>IF(OR(INDEX($AH$2:$AH$1001,MATCH(ROWS($AG$2:AG272),$AG$2:$AG$1001,0),1)&gt;=100000,INDEX($AN$1005:$BO$1005,1,MATCH(COLUMNS($AN$1006:BG1006),$AN$1006:$BO$1006,0))&gt;=100000), " ",IF(INDEX($AN$2:$BO$1001,MATCH(ROWS($AG$2:AG272),$AG$2:$AG$1001,0),MATCH(COLUMNS($AN$1006:BG1006),$AN$1006:$BO$1006,0)), HYPERLINK("#",""), HYPERLINK(CONCATENATE("#Metadata!", ADDRESS(INDEX($AI$2:$AI$1001,MATCH(ROWS($AG$2:AG272),$AG$2:$AG$1001,0),0), INDEX($AN$1004:$BO$1004,1,MATCH(COLUMNS($AN$1006:BG1006),$AN$1006:$BO$1006,0)))),"Fix")))</f>
        <v>0</v>
      </c>
      <c r="V272" s="4">
        <f>IF(OR(INDEX($AH$2:$AH$1001,MATCH(ROWS($AG$2:AG272),$AG$2:$AG$1001,0),1)&gt;=100000,INDEX($AN$1005:$BO$1005,1,MATCH(COLUMNS($AN$1006:BH1006),$AN$1006:$BO$1006,0))&gt;=100000), " ",IF(INDEX($AN$2:$BO$1001,MATCH(ROWS($AG$2:AG272),$AG$2:$AG$1001,0),MATCH(COLUMNS($AN$1006:BH1006),$AN$1006:$BO$1006,0)), HYPERLINK("#",""), HYPERLINK(CONCATENATE("#Metadata!", ADDRESS(INDEX($AI$2:$AI$1001,MATCH(ROWS($AG$2:AG272),$AG$2:$AG$1001,0),0), INDEX($AN$1004:$BO$1004,1,MATCH(COLUMNS($AN$1006:BH1006),$AN$1006:$BO$1006,0)))),"Fix")))</f>
        <v>0</v>
      </c>
      <c r="W272" s="4">
        <f>IF(OR(INDEX($AH$2:$AH$1001,MATCH(ROWS($AG$2:AG272),$AG$2:$AG$1001,0),1)&gt;=100000,INDEX($AN$1005:$BO$1005,1,MATCH(COLUMNS($AN$1006:BI1006),$AN$1006:$BO$1006,0))&gt;=100000), " ",IF(INDEX($AN$2:$BO$1001,MATCH(ROWS($AG$2:AG272),$AG$2:$AG$1001,0),MATCH(COLUMNS($AN$1006:BI1006),$AN$1006:$BO$1006,0)), HYPERLINK("#",""), HYPERLINK(CONCATENATE("#Metadata!", ADDRESS(INDEX($AI$2:$AI$1001,MATCH(ROWS($AG$2:AG272),$AG$2:$AG$1001,0),0), INDEX($AN$1004:$BO$1004,1,MATCH(COLUMNS($AN$1006:BI1006),$AN$1006:$BO$1006,0)))),"Fix")))</f>
        <v>0</v>
      </c>
      <c r="X272" s="4">
        <f>IF(OR(INDEX($AH$2:$AH$1001,MATCH(ROWS($AG$2:AG272),$AG$2:$AG$1001,0),1)&gt;=100000,INDEX($AN$1005:$BO$1005,1,MATCH(COLUMNS($AN$1006:BJ1006),$AN$1006:$BO$1006,0))&gt;=100000), " ",IF(INDEX($AN$2:$BO$1001,MATCH(ROWS($AG$2:AG272),$AG$2:$AG$1001,0),MATCH(COLUMNS($AN$1006:BJ1006),$AN$1006:$BO$1006,0)), HYPERLINK("#",""), HYPERLINK(CONCATENATE("#Metadata!", ADDRESS(INDEX($AI$2:$AI$1001,MATCH(ROWS($AG$2:AG272),$AG$2:$AG$1001,0),0), INDEX($AN$1004:$BO$1004,1,MATCH(COLUMNS($AN$1006:BJ1006),$AN$1006:$BO$1006,0)))),"Fix")))</f>
        <v>0</v>
      </c>
      <c r="Y272" s="4">
        <f>IF(OR(INDEX($AH$2:$AH$1001,MATCH(ROWS($AG$2:AG272),$AG$2:$AG$1001,0),1)&gt;=100000,INDEX($AN$1005:$BO$1005,1,MATCH(COLUMNS($AN$1006:BK1006),$AN$1006:$BO$1006,0))&gt;=100000), " ",IF(INDEX($AN$2:$BO$1001,MATCH(ROWS($AG$2:AG272),$AG$2:$AG$1001,0),MATCH(COLUMNS($AN$1006:BK1006),$AN$1006:$BO$1006,0)), HYPERLINK("#",""), HYPERLINK(CONCATENATE("#Metadata!", ADDRESS(INDEX($AI$2:$AI$1001,MATCH(ROWS($AG$2:AG272),$AG$2:$AG$1001,0),0), INDEX($AN$1004:$BO$1004,1,MATCH(COLUMNS($AN$1006:BK1006),$AN$1006:$BO$1006,0)))),"Fix")))</f>
        <v>0</v>
      </c>
      <c r="Z272" s="4">
        <f>IF(OR(INDEX($AH$2:$AH$1001,MATCH(ROWS($AG$2:AG272),$AG$2:$AG$1001,0),1)&gt;=100000,INDEX($AN$1005:$BO$1005,1,MATCH(COLUMNS($AN$1006:BL1006),$AN$1006:$BO$1006,0))&gt;=100000), " ",IF(INDEX($AN$2:$BO$1001,MATCH(ROWS($AG$2:AG272),$AG$2:$AG$1001,0),MATCH(COLUMNS($AN$1006:BL1006),$AN$1006:$BO$1006,0)), HYPERLINK("#",""), HYPERLINK(CONCATENATE("#Metadata!", ADDRESS(INDEX($AI$2:$AI$1001,MATCH(ROWS($AG$2:AG272),$AG$2:$AG$1001,0),0), INDEX($AN$1004:$BO$1004,1,MATCH(COLUMNS($AN$1006:BL1006),$AN$1006:$BO$1006,0)))),"Fix")))</f>
        <v>0</v>
      </c>
      <c r="AA272" s="4">
        <f>IF(OR(INDEX($AH$2:$AH$1001,MATCH(ROWS($AG$2:AG272),$AG$2:$AG$1001,0),1)&gt;=100000,INDEX($AN$1005:$BO$1005,1,MATCH(COLUMNS($AN$1006:BM1006),$AN$1006:$BO$1006,0))&gt;=100000), " ",IF(INDEX($AN$2:$BO$1001,MATCH(ROWS($AG$2:AG272),$AG$2:$AG$1001,0),MATCH(COLUMNS($AN$1006:BM1006),$AN$1006:$BO$1006,0)), HYPERLINK("#",""), HYPERLINK(CONCATENATE("#Metadata!", ADDRESS(INDEX($AI$2:$AI$1001,MATCH(ROWS($AG$2:AG272),$AG$2:$AG$1001,0),0), INDEX($AN$1004:$BO$1004,1,MATCH(COLUMNS($AN$1006:BM1006),$AN$1006:$BO$1006,0)))),"Fix")))</f>
        <v>0</v>
      </c>
      <c r="AB272" s="4">
        <f>IF(OR(INDEX($AH$2:$AH$1001,MATCH(ROWS($AG$2:AG272),$AG$2:$AG$1001,0),1)&gt;=100000,INDEX($AN$1005:$BO$1005,1,MATCH(COLUMNS($AN$1006:BN1006),$AN$1006:$BO$1006,0))&gt;=100000), " ",IF(INDEX($AN$2:$BO$1001,MATCH(ROWS($AG$2:AG272),$AG$2:$AG$1001,0),MATCH(COLUMNS($AN$1006:BN1006),$AN$1006:$BO$1006,0)), HYPERLINK("#",""), HYPERLINK(CONCATENATE("#Metadata!", ADDRESS(INDEX($AI$2:$AI$1001,MATCH(ROWS($AG$2:AG272),$AG$2:$AG$1001,0),0), INDEX($AN$1004:$BO$1004,1,MATCH(COLUMNS($AN$1006:BN1006),$AN$1006:$BO$1006,0)))),"Fix")))</f>
        <v>0</v>
      </c>
      <c r="AC272" s="4">
        <f>IF(OR(INDEX($AH$2:$AH$1001,MATCH(ROWS($AG$2:AG272),$AG$2:$AG$1001,0),1)&gt;=100000,INDEX($AN$1005:$BO$1005,1,MATCH(COLUMNS($AN$1006:BO1006),$AN$1006:$BO$1006,0))&gt;=100000), " ",IF(INDEX($AN$2:$BO$1001,MATCH(ROWS($AG$2:AG272),$AG$2:$AG$1001,0),MATCH(COLUMNS($AN$1006:BO1006),$AN$1006:$BO$1006,0)), HYPERLINK("#",""), HYPERLINK(CONCATENATE("#Metadata!", ADDRESS(INDEX($AI$2:$AI$1001,MATCH(ROWS($AG$2:AG272),$AG$2:$AG$1001,0),0), INDEX($AN$1004:$BO$1004,1,MATCH(COLUMNS($AN$1006:BO1006),$AN$1006:$BO$1006,0)))),"Fix")))</f>
        <v>0</v>
      </c>
      <c r="AG272">
        <v>0</v>
      </c>
      <c r="AH272">
        <v>0</v>
      </c>
      <c r="AI272">
        <v>0</v>
      </c>
      <c r="AJ272">
        <f>IF(AK272,TRUE,AND(AN272:BO272))</f>
        <v>0</v>
      </c>
      <c r="AK272">
        <f>COUNTBLANK(Metadata!B272:AC272)=COLUMNS(Metadata!B272:AC272)</f>
        <v>0</v>
      </c>
      <c r="AL272">
        <v>0</v>
      </c>
      <c r="AN272">
        <f>AND(IF(Metadata!B272="",FALSE,TRUE),COUNTIF(Metadata!B:B, Metadata!B272) = 1,NOT(ISERROR(SUMPRODUCT(SEARCH(MID(Metadata!B272,ROW(INDIRECT("1:"&amp;LEN(Metadata!B272))), 1),"0123456789abcdefghijklmnopqrstuvwxyzABCDEFGHIJKLMNOPQRSTUVWXYZ.")))))</f>
        <v>0</v>
      </c>
      <c r="AO272">
        <f>IF(Metadata!C272="",FALSE,TRUE)</f>
        <v>0</v>
      </c>
      <c r="AP272">
        <f>IF(Metadata!D272="",FALSE,TRUE)</f>
        <v>0</v>
      </c>
      <c r="AQ272">
        <f>OR(AND(IF(Metadata!E272="",FALSE,TRUE),OR(exact(Metadata!E272,"not collected"),exact(Metadata!E272,"not provided"),exact(Metadata!E272,"restricted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R272">
        <f>IF(Metadata!F272="",FALSE,TRUE)</f>
        <v>0</v>
      </c>
      <c r="AS272">
        <f>OR(AND(IF(Metadata!G272="",FALSE,TRUE),OR(exact(Metadata!G272,"not collected"),exact(Metadata!G272,"not provided"))),AND(IF(Metadata!G272="",FALSE,TRUE),OR(exact(Metadata!G272,"TRUE"),exact(Metadata!G272,"FALSE"))))</f>
        <v>0</v>
      </c>
      <c r="AT272">
        <f>OR(AND(IF(Metadata!H272="",FALSE,TRUE),OR(exact(Metadata!H272,"not collected"),exact(Metadata!H272,"not provided"),exact(Metadata!H272,"restricted access"))),AND(IF(Metadata!H272="",FALSE,ISNUMBER(VALUE(Metadata!H272))),Metadata!H272&gt;=-413.0))</f>
        <v>0</v>
      </c>
      <c r="AU272">
        <f>AND(IF(Metadata!I272="",FALSE,TRUE),exact(Metadata!I272,"meters"))</f>
        <v>0</v>
      </c>
      <c r="AV272">
        <f>AND(IF(Metadata!J272="",FALSE,TRUE),OR(exact(Metadata!J272,"Host-associated"),exact(Metadata!J272,"Free-living")))</f>
        <v>0</v>
      </c>
      <c r="AW272">
        <f>AND(IF(Metadata!K272="",FALSE,TRUE),OR(exact(Metadata!K272,"Animal"),exact(Metadata!K272,"Fungus"),exact(Metadata!K272,"Plant"),exact(Metadata!K272,"Saline"),exact(Metadata!K272,"Non-saline")))</f>
        <v>0</v>
      </c>
      <c r="AX272">
        <f>AND(IF(Metadata!L272="",FALSE,TRUE),OR(exact(Metadata!L272,"Plant secretion"),exact(Metadata!L272,"Plant rhizosphere"),exact(Metadata!L272,"Plant surface"),exact(Metadata!L272,"Plant corpus"),exact(Metadata!L272,"Fungus surface"),exact(Metadata!L272,"Fungus corpus"),exact(Metadata!L272,"Animal surface"),exact(Metadata!L272,"Animal proximal gut"),exact(Metadata!L272,"Animal corpus"),exact(Metadata!L272,"Animal distal gut"),exact(Metadata!L272,"Animal secretion"),exact(Metadata!L272,"Sub-surface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Y272">
        <f>IF(Metadata!M272="",FALSE,TRUE)</f>
        <v>0</v>
      </c>
      <c r="AZ272">
        <f>IF(Metadata!N272="",FALSE,TRUE)</f>
        <v>0</v>
      </c>
      <c r="BA272">
        <f>IF(Metadata!O272="",FALSE,TRUE)</f>
        <v>0</v>
      </c>
      <c r="BB272">
        <f>OR(AND(IF(Metadata!P272="",FALSE,TRUE),OR(exact(Metadata!P272,"not collected"),exact(Metadata!P272,"not provided"),exact(Metadata!P272,"restricted access"))),AND(IF(Metadata!P272="",FALSE,TRUE),OR(exact(Metadata!P272,"air"),exact(Metadata!P272,"built environment"),exact(Metadata!P272,"host-associated"),exact(Metadata!P272,"human-associated"),exact(Metadata!P272,"human-skin"),exact(Metadata!P272,"human-oral"),exact(Metadata!P272,"human-gut"),exact(Metadata!P272,"human-vaginal"),exact(Metadata!P272,"microbial mat/biofilm"),exact(Metadata!P272,"misc environment"),exact(Metadata!P272,"plant-associated"),exact(Metadata!P272,"sediment"),exact(Metadata!P272,"soil"),exact(Metadata!P272,"wastewater/sludge"),exact(Metadata!P272,"water"))))</f>
        <v>0</v>
      </c>
      <c r="BC272">
        <f>IF(Metadata!Q272="",FALSE,TRUE)</f>
        <v>0</v>
      </c>
      <c r="BD272">
        <f>IF(Metadata!R272="",FALSE,TRUE)</f>
        <v>0</v>
      </c>
      <c r="BE272">
        <f>OR(AND(IF(Metadata!S272="",FALSE,TRUE),OR(exact(Metadata!S272,"not collected"),exact(Metadata!S272,"not provided"),exact(Metadata!S272,"restricted access"))),AND(IF(Metadata!S272="",FALSE,ISNUMBER(VALUE(Metadata!S272))),Metadata!S272&gt;=-90.00,Metadata!S272&lt;=90.00))</f>
        <v>0</v>
      </c>
      <c r="BF272">
        <f>AND(IF(Metadata!T272="",FALSE,TRUE),exact(Metadata!T272,"Decimal degrees"))</f>
        <v>0</v>
      </c>
      <c r="BG272">
        <f>OR(AND(IF(Metadata!U272="",FALSE,TRUE),OR(exact(Metadata!U272,"not collected"),exact(Metadata!U272,"not provided"),exact(Metadata!U272,"restricted access"))),AND(IF(Metadata!U272="",FALSE,ISNUMBER(VALUE(Metadata!U272))),Metadata!U272&gt;=-180.00,Metadata!U272&lt;=180.00))</f>
        <v>0</v>
      </c>
      <c r="BH272">
        <f>AND(IF(Metadata!V272="",FALSE,TRUE),exact(Metadata!V272,"Decimal degrees"))</f>
        <v>0</v>
      </c>
      <c r="BI272">
        <f>IF(Metadata!W272="",FALSE,TRUE)</f>
        <v>0</v>
      </c>
      <c r="BJ272">
        <f>OR(AND(IF(Metadata!X272="",FALSE,TRUE),OR(exact(Metadata!X272,"not collected"),exact(Metadata!X272,"not provided"),exact(Metadata!X272,"restricted access"))),AND(IF(Metadata!X272="",FALSE,TRUE),OR(exact(Metadata!X272,"TRUE"),exact(Metadata!X272,"FALSE"))))</f>
        <v>0</v>
      </c>
      <c r="BK272">
        <f>AND(IF(Metadata!Y272="",FALSE,TRUE),exact(Metadata!Y272,"other"))</f>
        <v>0</v>
      </c>
      <c r="BL272">
        <f>IF(Metadata!Z272="",FALSE,TRUE)</f>
        <v>0</v>
      </c>
      <c r="BM272">
        <f>OR(AND(IF(Metadata!AA272="",FALSE,TRUE),OR(exact(Metadata!AA272,"not collected"),exact(Metadata!AA272,"not provided"))),AND(IF(Metadata!AA272="",FALSE,IF(ISERROR(INT(Metadata!AA272)),FALSE,INT(Metadata!AA272)=Metadata!AA272)),Metadata!AA272&gt;0))</f>
        <v>0</v>
      </c>
      <c r="BN272">
        <f>AND(IF(Metadata!AB272="",FALSE,TRUE),exact(Metadata!AB272,"Not applicable"))</f>
        <v>0</v>
      </c>
      <c r="BO272">
        <f>IF(Metadata!AC272="",FALSE,TRUE)</f>
        <v>0</v>
      </c>
    </row>
    <row r="273" spans="1:67">
      <c r="A273" s="5">
        <f>IF(B273=" "," ",HYPERLINK(CONCATENATE("#metadata!",ADDRESS(INDEX($AI$2:$AI$1001,MATCH(ROWS($AG$2:AG273),$AG$2:$AG$1001,0),0),1)),INDEX($AL$2:$AL$1001,MATCH(ROWS($AG$2:AG273),$AG$2:$AG$1001,0),0)))</f>
        <v>0</v>
      </c>
      <c r="B273" s="4">
        <f>IF(OR(INDEX($AH$2:$AH$1001,MATCH(ROWS($AG$2:AG273),$AG$2:$AG$1001,0),1)&gt;=100000,INDEX($AN$1005:$BO$1005,1,MATCH(COLUMNS($AN$1006:AN1006),$AN$1006:$BO$1006,0))&gt;=100000), " ",IF(INDEX($AN$2:$BO$1001,MATCH(ROWS($AG$2:AG273),$AG$2:$AG$1001,0),MATCH(COLUMNS($AN$1006:AN1006),$AN$1006:$BO$1006,0)), HYPERLINK("#",""), HYPERLINK(CONCATENATE("#Metadata!", ADDRESS(INDEX($AI$2:$AI$1001,MATCH(ROWS($AG$2:AG273),$AG$2:$AG$1001,0),0), INDEX($AN$1004:$BO$1004,1,MATCH(COLUMNS($AN$1006:AN1006),$AN$1006:$BO$1006,0)))),"Fix")))</f>
        <v>0</v>
      </c>
      <c r="C273" s="4">
        <f>IF(OR(INDEX($AH$2:$AH$1001,MATCH(ROWS($AG$2:AG273),$AG$2:$AG$1001,0),1)&gt;=100000,INDEX($AN$1005:$BO$1005,1,MATCH(COLUMNS($AN$1006:AO1006),$AN$1006:$BO$1006,0))&gt;=100000), " ",IF(INDEX($AN$2:$BO$1001,MATCH(ROWS($AG$2:AG273),$AG$2:$AG$1001,0),MATCH(COLUMNS($AN$1006:AO1006),$AN$1006:$BO$1006,0)), HYPERLINK("#",""), HYPERLINK(CONCATENATE("#Metadata!", ADDRESS(INDEX($AI$2:$AI$1001,MATCH(ROWS($AG$2:AG273),$AG$2:$AG$1001,0),0), INDEX($AN$1004:$BO$1004,1,MATCH(COLUMNS($AN$1006:AO1006),$AN$1006:$BO$1006,0)))),"Fix")))</f>
        <v>0</v>
      </c>
      <c r="D273" s="4">
        <f>IF(OR(INDEX($AH$2:$AH$1001,MATCH(ROWS($AG$2:AG273),$AG$2:$AG$1001,0),1)&gt;=100000,INDEX($AN$1005:$BO$1005,1,MATCH(COLUMNS($AN$1006:AP1006),$AN$1006:$BO$1006,0))&gt;=100000), " ",IF(INDEX($AN$2:$BO$1001,MATCH(ROWS($AG$2:AG273),$AG$2:$AG$1001,0),MATCH(COLUMNS($AN$1006:AP1006),$AN$1006:$BO$1006,0)), HYPERLINK("#",""), HYPERLINK(CONCATENATE("#Metadata!", ADDRESS(INDEX($AI$2:$AI$1001,MATCH(ROWS($AG$2:AG273),$AG$2:$AG$1001,0),0), INDEX($AN$1004:$BO$1004,1,MATCH(COLUMNS($AN$1006:AP1006),$AN$1006:$BO$1006,0)))),"Fix")))</f>
        <v>0</v>
      </c>
      <c r="E273" s="4">
        <f>IF(OR(INDEX($AH$2:$AH$1001,MATCH(ROWS($AG$2:AG273),$AG$2:$AG$1001,0),1)&gt;=100000,INDEX($AN$1005:$BO$1005,1,MATCH(COLUMNS($AN$1006:AQ1006),$AN$1006:$BO$1006,0))&gt;=100000), " ",IF(INDEX($AN$2:$BO$1001,MATCH(ROWS($AG$2:AG273),$AG$2:$AG$1001,0),MATCH(COLUMNS($AN$1006:AQ1006),$AN$1006:$BO$1006,0)), HYPERLINK("#",""), HYPERLINK(CONCATENATE("#Metadata!", ADDRESS(INDEX($AI$2:$AI$1001,MATCH(ROWS($AG$2:AG273),$AG$2:$AG$1001,0),0), INDEX($AN$1004:$BO$1004,1,MATCH(COLUMNS($AN$1006:AQ1006),$AN$1006:$BO$1006,0)))),"Fix")))</f>
        <v>0</v>
      </c>
      <c r="F273" s="4">
        <f>IF(OR(INDEX($AH$2:$AH$1001,MATCH(ROWS($AG$2:AG273),$AG$2:$AG$1001,0),1)&gt;=100000,INDEX($AN$1005:$BO$1005,1,MATCH(COLUMNS($AN$1006:AR1006),$AN$1006:$BO$1006,0))&gt;=100000), " ",IF(INDEX($AN$2:$BO$1001,MATCH(ROWS($AG$2:AG273),$AG$2:$AG$1001,0),MATCH(COLUMNS($AN$1006:AR1006),$AN$1006:$BO$1006,0)), HYPERLINK("#",""), HYPERLINK(CONCATENATE("#Metadata!", ADDRESS(INDEX($AI$2:$AI$1001,MATCH(ROWS($AG$2:AG273),$AG$2:$AG$1001,0),0), INDEX($AN$1004:$BO$1004,1,MATCH(COLUMNS($AN$1006:AR1006),$AN$1006:$BO$1006,0)))),"Fix")))</f>
        <v>0</v>
      </c>
      <c r="G273" s="4">
        <f>IF(OR(INDEX($AH$2:$AH$1001,MATCH(ROWS($AG$2:AG273),$AG$2:$AG$1001,0),1)&gt;=100000,INDEX($AN$1005:$BO$1005,1,MATCH(COLUMNS($AN$1006:AS1006),$AN$1006:$BO$1006,0))&gt;=100000), " ",IF(INDEX($AN$2:$BO$1001,MATCH(ROWS($AG$2:AG273),$AG$2:$AG$1001,0),MATCH(COLUMNS($AN$1006:AS1006),$AN$1006:$BO$1006,0)), HYPERLINK("#",""), HYPERLINK(CONCATENATE("#Metadata!", ADDRESS(INDEX($AI$2:$AI$1001,MATCH(ROWS($AG$2:AG273),$AG$2:$AG$1001,0),0), INDEX($AN$1004:$BO$1004,1,MATCH(COLUMNS($AN$1006:AS1006),$AN$1006:$BO$1006,0)))),"Fix")))</f>
        <v>0</v>
      </c>
      <c r="H273" s="4">
        <f>IF(OR(INDEX($AH$2:$AH$1001,MATCH(ROWS($AG$2:AG273),$AG$2:$AG$1001,0),1)&gt;=100000,INDEX($AN$1005:$BO$1005,1,MATCH(COLUMNS($AN$1006:AT1006),$AN$1006:$BO$1006,0))&gt;=100000), " ",IF(INDEX($AN$2:$BO$1001,MATCH(ROWS($AG$2:AG273),$AG$2:$AG$1001,0),MATCH(COLUMNS($AN$1006:AT1006),$AN$1006:$BO$1006,0)), HYPERLINK("#",""), HYPERLINK(CONCATENATE("#Metadata!", ADDRESS(INDEX($AI$2:$AI$1001,MATCH(ROWS($AG$2:AG273),$AG$2:$AG$1001,0),0), INDEX($AN$1004:$BO$1004,1,MATCH(COLUMNS($AN$1006:AT1006),$AN$1006:$BO$1006,0)))),"Fix")))</f>
        <v>0</v>
      </c>
      <c r="I273" s="4">
        <f>IF(OR(INDEX($AH$2:$AH$1001,MATCH(ROWS($AG$2:AG273),$AG$2:$AG$1001,0),1)&gt;=100000,INDEX($AN$1005:$BO$1005,1,MATCH(COLUMNS($AN$1006:AU1006),$AN$1006:$BO$1006,0))&gt;=100000), " ",IF(INDEX($AN$2:$BO$1001,MATCH(ROWS($AG$2:AG273),$AG$2:$AG$1001,0),MATCH(COLUMNS($AN$1006:AU1006),$AN$1006:$BO$1006,0)), HYPERLINK("#",""), HYPERLINK(CONCATENATE("#Metadata!", ADDRESS(INDEX($AI$2:$AI$1001,MATCH(ROWS($AG$2:AG273),$AG$2:$AG$1001,0),0), INDEX($AN$1004:$BO$1004,1,MATCH(COLUMNS($AN$1006:AU1006),$AN$1006:$BO$1006,0)))),"Fix")))</f>
        <v>0</v>
      </c>
      <c r="J273" s="4">
        <f>IF(OR(INDEX($AH$2:$AH$1001,MATCH(ROWS($AG$2:AG273),$AG$2:$AG$1001,0),1)&gt;=100000,INDEX($AN$1005:$BO$1005,1,MATCH(COLUMNS($AN$1006:AV1006),$AN$1006:$BO$1006,0))&gt;=100000), " ",IF(INDEX($AN$2:$BO$1001,MATCH(ROWS($AG$2:AG273),$AG$2:$AG$1001,0),MATCH(COLUMNS($AN$1006:AV1006),$AN$1006:$BO$1006,0)), HYPERLINK("#",""), HYPERLINK(CONCATENATE("#Metadata!", ADDRESS(INDEX($AI$2:$AI$1001,MATCH(ROWS($AG$2:AG273),$AG$2:$AG$1001,0),0), INDEX($AN$1004:$BO$1004,1,MATCH(COLUMNS($AN$1006:AV1006),$AN$1006:$BO$1006,0)))),"Fix")))</f>
        <v>0</v>
      </c>
      <c r="K273" s="4">
        <f>IF(OR(INDEX($AH$2:$AH$1001,MATCH(ROWS($AG$2:AG273),$AG$2:$AG$1001,0),1)&gt;=100000,INDEX($AN$1005:$BO$1005,1,MATCH(COLUMNS($AN$1006:AW1006),$AN$1006:$BO$1006,0))&gt;=100000), " ",IF(INDEX($AN$2:$BO$1001,MATCH(ROWS($AG$2:AG273),$AG$2:$AG$1001,0),MATCH(COLUMNS($AN$1006:AW1006),$AN$1006:$BO$1006,0)), HYPERLINK("#",""), HYPERLINK(CONCATENATE("#Metadata!", ADDRESS(INDEX($AI$2:$AI$1001,MATCH(ROWS($AG$2:AG273),$AG$2:$AG$1001,0),0), INDEX($AN$1004:$BO$1004,1,MATCH(COLUMNS($AN$1006:AW1006),$AN$1006:$BO$1006,0)))),"Fix")))</f>
        <v>0</v>
      </c>
      <c r="L273" s="4">
        <f>IF(OR(INDEX($AH$2:$AH$1001,MATCH(ROWS($AG$2:AG273),$AG$2:$AG$1001,0),1)&gt;=100000,INDEX($AN$1005:$BO$1005,1,MATCH(COLUMNS($AN$1006:AX1006),$AN$1006:$BO$1006,0))&gt;=100000), " ",IF(INDEX($AN$2:$BO$1001,MATCH(ROWS($AG$2:AG273),$AG$2:$AG$1001,0),MATCH(COLUMNS($AN$1006:AX1006),$AN$1006:$BO$1006,0)), HYPERLINK("#",""), HYPERLINK(CONCATENATE("#Metadata!", ADDRESS(INDEX($AI$2:$AI$1001,MATCH(ROWS($AG$2:AG273),$AG$2:$AG$1001,0),0), INDEX($AN$1004:$BO$1004,1,MATCH(COLUMNS($AN$1006:AX1006),$AN$1006:$BO$1006,0)))),"Fix")))</f>
        <v>0</v>
      </c>
      <c r="M273" s="4">
        <f>IF(OR(INDEX($AH$2:$AH$1001,MATCH(ROWS($AG$2:AG273),$AG$2:$AG$1001,0),1)&gt;=100000,INDEX($AN$1005:$BO$1005,1,MATCH(COLUMNS($AN$1006:AY1006),$AN$1006:$BO$1006,0))&gt;=100000), " ",IF(INDEX($AN$2:$BO$1001,MATCH(ROWS($AG$2:AG273),$AG$2:$AG$1001,0),MATCH(COLUMNS($AN$1006:AY1006),$AN$1006:$BO$1006,0)), HYPERLINK("#",""), HYPERLINK(CONCATENATE("#Metadata!", ADDRESS(INDEX($AI$2:$AI$1001,MATCH(ROWS($AG$2:AG273),$AG$2:$AG$1001,0),0), INDEX($AN$1004:$BO$1004,1,MATCH(COLUMNS($AN$1006:AY1006),$AN$1006:$BO$1006,0)))),"Fix")))</f>
        <v>0</v>
      </c>
      <c r="N273" s="4">
        <f>IF(OR(INDEX($AH$2:$AH$1001,MATCH(ROWS($AG$2:AG273),$AG$2:$AG$1001,0),1)&gt;=100000,INDEX($AN$1005:$BO$1005,1,MATCH(COLUMNS($AN$1006:AZ1006),$AN$1006:$BO$1006,0))&gt;=100000), " ",IF(INDEX($AN$2:$BO$1001,MATCH(ROWS($AG$2:AG273),$AG$2:$AG$1001,0),MATCH(COLUMNS($AN$1006:AZ1006),$AN$1006:$BO$1006,0)), HYPERLINK("#",""), HYPERLINK(CONCATENATE("#Metadata!", ADDRESS(INDEX($AI$2:$AI$1001,MATCH(ROWS($AG$2:AG273),$AG$2:$AG$1001,0),0), INDEX($AN$1004:$BO$1004,1,MATCH(COLUMNS($AN$1006:AZ1006),$AN$1006:$BO$1006,0)))),"Fix")))</f>
        <v>0</v>
      </c>
      <c r="O273" s="4">
        <f>IF(OR(INDEX($AH$2:$AH$1001,MATCH(ROWS($AG$2:AG273),$AG$2:$AG$1001,0),1)&gt;=100000,INDEX($AN$1005:$BO$1005,1,MATCH(COLUMNS($AN$1006:BA1006),$AN$1006:$BO$1006,0))&gt;=100000), " ",IF(INDEX($AN$2:$BO$1001,MATCH(ROWS($AG$2:AG273),$AG$2:$AG$1001,0),MATCH(COLUMNS($AN$1006:BA1006),$AN$1006:$BO$1006,0)), HYPERLINK("#",""), HYPERLINK(CONCATENATE("#Metadata!", ADDRESS(INDEX($AI$2:$AI$1001,MATCH(ROWS($AG$2:AG273),$AG$2:$AG$1001,0),0), INDEX($AN$1004:$BO$1004,1,MATCH(COLUMNS($AN$1006:BA1006),$AN$1006:$BO$1006,0)))),"Fix")))</f>
        <v>0</v>
      </c>
      <c r="P273" s="4">
        <f>IF(OR(INDEX($AH$2:$AH$1001,MATCH(ROWS($AG$2:AG273),$AG$2:$AG$1001,0),1)&gt;=100000,INDEX($AN$1005:$BO$1005,1,MATCH(COLUMNS($AN$1006:BB1006),$AN$1006:$BO$1006,0))&gt;=100000), " ",IF(INDEX($AN$2:$BO$1001,MATCH(ROWS($AG$2:AG273),$AG$2:$AG$1001,0),MATCH(COLUMNS($AN$1006:BB1006),$AN$1006:$BO$1006,0)), HYPERLINK("#",""), HYPERLINK(CONCATENATE("#Metadata!", ADDRESS(INDEX($AI$2:$AI$1001,MATCH(ROWS($AG$2:AG273),$AG$2:$AG$1001,0),0), INDEX($AN$1004:$BO$1004,1,MATCH(COLUMNS($AN$1006:BB1006),$AN$1006:$BO$1006,0)))),"Fix")))</f>
        <v>0</v>
      </c>
      <c r="Q273" s="4">
        <f>IF(OR(INDEX($AH$2:$AH$1001,MATCH(ROWS($AG$2:AG273),$AG$2:$AG$1001,0),1)&gt;=100000,INDEX($AN$1005:$BO$1005,1,MATCH(COLUMNS($AN$1006:BC1006),$AN$1006:$BO$1006,0))&gt;=100000), " ",IF(INDEX($AN$2:$BO$1001,MATCH(ROWS($AG$2:AG273),$AG$2:$AG$1001,0),MATCH(COLUMNS($AN$1006:BC1006),$AN$1006:$BO$1006,0)), HYPERLINK("#",""), HYPERLINK(CONCATENATE("#Metadata!", ADDRESS(INDEX($AI$2:$AI$1001,MATCH(ROWS($AG$2:AG273),$AG$2:$AG$1001,0),0), INDEX($AN$1004:$BO$1004,1,MATCH(COLUMNS($AN$1006:BC1006),$AN$1006:$BO$1006,0)))),"Fix")))</f>
        <v>0</v>
      </c>
      <c r="R273" s="4">
        <f>IF(OR(INDEX($AH$2:$AH$1001,MATCH(ROWS($AG$2:AG273),$AG$2:$AG$1001,0),1)&gt;=100000,INDEX($AN$1005:$BO$1005,1,MATCH(COLUMNS($AN$1006:BD1006),$AN$1006:$BO$1006,0))&gt;=100000), " ",IF(INDEX($AN$2:$BO$1001,MATCH(ROWS($AG$2:AG273),$AG$2:$AG$1001,0),MATCH(COLUMNS($AN$1006:BD1006),$AN$1006:$BO$1006,0)), HYPERLINK("#",""), HYPERLINK(CONCATENATE("#Metadata!", ADDRESS(INDEX($AI$2:$AI$1001,MATCH(ROWS($AG$2:AG273),$AG$2:$AG$1001,0),0), INDEX($AN$1004:$BO$1004,1,MATCH(COLUMNS($AN$1006:BD1006),$AN$1006:$BO$1006,0)))),"Fix")))</f>
        <v>0</v>
      </c>
      <c r="S273" s="4">
        <f>IF(OR(INDEX($AH$2:$AH$1001,MATCH(ROWS($AG$2:AG273),$AG$2:$AG$1001,0),1)&gt;=100000,INDEX($AN$1005:$BO$1005,1,MATCH(COLUMNS($AN$1006:BE1006),$AN$1006:$BO$1006,0))&gt;=100000), " ",IF(INDEX($AN$2:$BO$1001,MATCH(ROWS($AG$2:AG273),$AG$2:$AG$1001,0),MATCH(COLUMNS($AN$1006:BE1006),$AN$1006:$BO$1006,0)), HYPERLINK("#",""), HYPERLINK(CONCATENATE("#Metadata!", ADDRESS(INDEX($AI$2:$AI$1001,MATCH(ROWS($AG$2:AG273),$AG$2:$AG$1001,0),0), INDEX($AN$1004:$BO$1004,1,MATCH(COLUMNS($AN$1006:BE1006),$AN$1006:$BO$1006,0)))),"Fix")))</f>
        <v>0</v>
      </c>
      <c r="T273" s="4">
        <f>IF(OR(INDEX($AH$2:$AH$1001,MATCH(ROWS($AG$2:AG273),$AG$2:$AG$1001,0),1)&gt;=100000,INDEX($AN$1005:$BO$1005,1,MATCH(COLUMNS($AN$1006:BF1006),$AN$1006:$BO$1006,0))&gt;=100000), " ",IF(INDEX($AN$2:$BO$1001,MATCH(ROWS($AG$2:AG273),$AG$2:$AG$1001,0),MATCH(COLUMNS($AN$1006:BF1006),$AN$1006:$BO$1006,0)), HYPERLINK("#",""), HYPERLINK(CONCATENATE("#Metadata!", ADDRESS(INDEX($AI$2:$AI$1001,MATCH(ROWS($AG$2:AG273),$AG$2:$AG$1001,0),0), INDEX($AN$1004:$BO$1004,1,MATCH(COLUMNS($AN$1006:BF1006),$AN$1006:$BO$1006,0)))),"Fix")))</f>
        <v>0</v>
      </c>
      <c r="U273" s="4">
        <f>IF(OR(INDEX($AH$2:$AH$1001,MATCH(ROWS($AG$2:AG273),$AG$2:$AG$1001,0),1)&gt;=100000,INDEX($AN$1005:$BO$1005,1,MATCH(COLUMNS($AN$1006:BG1006),$AN$1006:$BO$1006,0))&gt;=100000), " ",IF(INDEX($AN$2:$BO$1001,MATCH(ROWS($AG$2:AG273),$AG$2:$AG$1001,0),MATCH(COLUMNS($AN$1006:BG1006),$AN$1006:$BO$1006,0)), HYPERLINK("#",""), HYPERLINK(CONCATENATE("#Metadata!", ADDRESS(INDEX($AI$2:$AI$1001,MATCH(ROWS($AG$2:AG273),$AG$2:$AG$1001,0),0), INDEX($AN$1004:$BO$1004,1,MATCH(COLUMNS($AN$1006:BG1006),$AN$1006:$BO$1006,0)))),"Fix")))</f>
        <v>0</v>
      </c>
      <c r="V273" s="4">
        <f>IF(OR(INDEX($AH$2:$AH$1001,MATCH(ROWS($AG$2:AG273),$AG$2:$AG$1001,0),1)&gt;=100000,INDEX($AN$1005:$BO$1005,1,MATCH(COLUMNS($AN$1006:BH1006),$AN$1006:$BO$1006,0))&gt;=100000), " ",IF(INDEX($AN$2:$BO$1001,MATCH(ROWS($AG$2:AG273),$AG$2:$AG$1001,0),MATCH(COLUMNS($AN$1006:BH1006),$AN$1006:$BO$1006,0)), HYPERLINK("#",""), HYPERLINK(CONCATENATE("#Metadata!", ADDRESS(INDEX($AI$2:$AI$1001,MATCH(ROWS($AG$2:AG273),$AG$2:$AG$1001,0),0), INDEX($AN$1004:$BO$1004,1,MATCH(COLUMNS($AN$1006:BH1006),$AN$1006:$BO$1006,0)))),"Fix")))</f>
        <v>0</v>
      </c>
      <c r="W273" s="4">
        <f>IF(OR(INDEX($AH$2:$AH$1001,MATCH(ROWS($AG$2:AG273),$AG$2:$AG$1001,0),1)&gt;=100000,INDEX($AN$1005:$BO$1005,1,MATCH(COLUMNS($AN$1006:BI1006),$AN$1006:$BO$1006,0))&gt;=100000), " ",IF(INDEX($AN$2:$BO$1001,MATCH(ROWS($AG$2:AG273),$AG$2:$AG$1001,0),MATCH(COLUMNS($AN$1006:BI1006),$AN$1006:$BO$1006,0)), HYPERLINK("#",""), HYPERLINK(CONCATENATE("#Metadata!", ADDRESS(INDEX($AI$2:$AI$1001,MATCH(ROWS($AG$2:AG273),$AG$2:$AG$1001,0),0), INDEX($AN$1004:$BO$1004,1,MATCH(COLUMNS($AN$1006:BI1006),$AN$1006:$BO$1006,0)))),"Fix")))</f>
        <v>0</v>
      </c>
      <c r="X273" s="4">
        <f>IF(OR(INDEX($AH$2:$AH$1001,MATCH(ROWS($AG$2:AG273),$AG$2:$AG$1001,0),1)&gt;=100000,INDEX($AN$1005:$BO$1005,1,MATCH(COLUMNS($AN$1006:BJ1006),$AN$1006:$BO$1006,0))&gt;=100000), " ",IF(INDEX($AN$2:$BO$1001,MATCH(ROWS($AG$2:AG273),$AG$2:$AG$1001,0),MATCH(COLUMNS($AN$1006:BJ1006),$AN$1006:$BO$1006,0)), HYPERLINK("#",""), HYPERLINK(CONCATENATE("#Metadata!", ADDRESS(INDEX($AI$2:$AI$1001,MATCH(ROWS($AG$2:AG273),$AG$2:$AG$1001,0),0), INDEX($AN$1004:$BO$1004,1,MATCH(COLUMNS($AN$1006:BJ1006),$AN$1006:$BO$1006,0)))),"Fix")))</f>
        <v>0</v>
      </c>
      <c r="Y273" s="4">
        <f>IF(OR(INDEX($AH$2:$AH$1001,MATCH(ROWS($AG$2:AG273),$AG$2:$AG$1001,0),1)&gt;=100000,INDEX($AN$1005:$BO$1005,1,MATCH(COLUMNS($AN$1006:BK1006),$AN$1006:$BO$1006,0))&gt;=100000), " ",IF(INDEX($AN$2:$BO$1001,MATCH(ROWS($AG$2:AG273),$AG$2:$AG$1001,0),MATCH(COLUMNS($AN$1006:BK1006),$AN$1006:$BO$1006,0)), HYPERLINK("#",""), HYPERLINK(CONCATENATE("#Metadata!", ADDRESS(INDEX($AI$2:$AI$1001,MATCH(ROWS($AG$2:AG273),$AG$2:$AG$1001,0),0), INDEX($AN$1004:$BO$1004,1,MATCH(COLUMNS($AN$1006:BK1006),$AN$1006:$BO$1006,0)))),"Fix")))</f>
        <v>0</v>
      </c>
      <c r="Z273" s="4">
        <f>IF(OR(INDEX($AH$2:$AH$1001,MATCH(ROWS($AG$2:AG273),$AG$2:$AG$1001,0),1)&gt;=100000,INDEX($AN$1005:$BO$1005,1,MATCH(COLUMNS($AN$1006:BL1006),$AN$1006:$BO$1006,0))&gt;=100000), " ",IF(INDEX($AN$2:$BO$1001,MATCH(ROWS($AG$2:AG273),$AG$2:$AG$1001,0),MATCH(COLUMNS($AN$1006:BL1006),$AN$1006:$BO$1006,0)), HYPERLINK("#",""), HYPERLINK(CONCATENATE("#Metadata!", ADDRESS(INDEX($AI$2:$AI$1001,MATCH(ROWS($AG$2:AG273),$AG$2:$AG$1001,0),0), INDEX($AN$1004:$BO$1004,1,MATCH(COLUMNS($AN$1006:BL1006),$AN$1006:$BO$1006,0)))),"Fix")))</f>
        <v>0</v>
      </c>
      <c r="AA273" s="4">
        <f>IF(OR(INDEX($AH$2:$AH$1001,MATCH(ROWS($AG$2:AG273),$AG$2:$AG$1001,0),1)&gt;=100000,INDEX($AN$1005:$BO$1005,1,MATCH(COLUMNS($AN$1006:BM1006),$AN$1006:$BO$1006,0))&gt;=100000), " ",IF(INDEX($AN$2:$BO$1001,MATCH(ROWS($AG$2:AG273),$AG$2:$AG$1001,0),MATCH(COLUMNS($AN$1006:BM1006),$AN$1006:$BO$1006,0)), HYPERLINK("#",""), HYPERLINK(CONCATENATE("#Metadata!", ADDRESS(INDEX($AI$2:$AI$1001,MATCH(ROWS($AG$2:AG273),$AG$2:$AG$1001,0),0), INDEX($AN$1004:$BO$1004,1,MATCH(COLUMNS($AN$1006:BM1006),$AN$1006:$BO$1006,0)))),"Fix")))</f>
        <v>0</v>
      </c>
      <c r="AB273" s="4">
        <f>IF(OR(INDEX($AH$2:$AH$1001,MATCH(ROWS($AG$2:AG273),$AG$2:$AG$1001,0),1)&gt;=100000,INDEX($AN$1005:$BO$1005,1,MATCH(COLUMNS($AN$1006:BN1006),$AN$1006:$BO$1006,0))&gt;=100000), " ",IF(INDEX($AN$2:$BO$1001,MATCH(ROWS($AG$2:AG273),$AG$2:$AG$1001,0),MATCH(COLUMNS($AN$1006:BN1006),$AN$1006:$BO$1006,0)), HYPERLINK("#",""), HYPERLINK(CONCATENATE("#Metadata!", ADDRESS(INDEX($AI$2:$AI$1001,MATCH(ROWS($AG$2:AG273),$AG$2:$AG$1001,0),0), INDEX($AN$1004:$BO$1004,1,MATCH(COLUMNS($AN$1006:BN1006),$AN$1006:$BO$1006,0)))),"Fix")))</f>
        <v>0</v>
      </c>
      <c r="AC273" s="4">
        <f>IF(OR(INDEX($AH$2:$AH$1001,MATCH(ROWS($AG$2:AG273),$AG$2:$AG$1001,0),1)&gt;=100000,INDEX($AN$1005:$BO$1005,1,MATCH(COLUMNS($AN$1006:BO1006),$AN$1006:$BO$1006,0))&gt;=100000), " ",IF(INDEX($AN$2:$BO$1001,MATCH(ROWS($AG$2:AG273),$AG$2:$AG$1001,0),MATCH(COLUMNS($AN$1006:BO1006),$AN$1006:$BO$1006,0)), HYPERLINK("#",""), HYPERLINK(CONCATENATE("#Metadata!", ADDRESS(INDEX($AI$2:$AI$1001,MATCH(ROWS($AG$2:AG273),$AG$2:$AG$1001,0),0), INDEX($AN$1004:$BO$1004,1,MATCH(COLUMNS($AN$1006:BO1006),$AN$1006:$BO$1006,0)))),"Fix")))</f>
        <v>0</v>
      </c>
      <c r="AG273">
        <v>0</v>
      </c>
      <c r="AH273">
        <v>0</v>
      </c>
      <c r="AI273">
        <v>0</v>
      </c>
      <c r="AJ273">
        <f>IF(AK273,TRUE,AND(AN273:BO273))</f>
        <v>0</v>
      </c>
      <c r="AK273">
        <f>COUNTBLANK(Metadata!B273:AC273)=COLUMNS(Metadata!B273:AC273)</f>
        <v>0</v>
      </c>
      <c r="AL273">
        <v>0</v>
      </c>
      <c r="AN273">
        <f>AND(IF(Metadata!B273="",FALSE,TRUE),COUNTIF(Metadata!B:B, Metadata!B273) = 1,NOT(ISERROR(SUMPRODUCT(SEARCH(MID(Metadata!B273,ROW(INDIRECT("1:"&amp;LEN(Metadata!B273))), 1),"0123456789abcdefghijklmnopqrstuvwxyzABCDEFGHIJKLMNOPQRSTUVWXYZ.")))))</f>
        <v>0</v>
      </c>
      <c r="AO273">
        <f>IF(Metadata!C273="",FALSE,TRUE)</f>
        <v>0</v>
      </c>
      <c r="AP273">
        <f>IF(Metadata!D273="",FALSE,TRUE)</f>
        <v>0</v>
      </c>
      <c r="AQ273">
        <f>OR(AND(IF(Metadata!E273="",FALSE,TRUE),OR(exact(Metadata!E273,"not collected"),exact(Metadata!E273,"not provided"),exact(Metadata!E273,"restricted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R273">
        <f>IF(Metadata!F273="",FALSE,TRUE)</f>
        <v>0</v>
      </c>
      <c r="AS273">
        <f>OR(AND(IF(Metadata!G273="",FALSE,TRUE),OR(exact(Metadata!G273,"not collected"),exact(Metadata!G273,"not provided"))),AND(IF(Metadata!G273="",FALSE,TRUE),OR(exact(Metadata!G273,"TRUE"),exact(Metadata!G273,"FALSE"))))</f>
        <v>0</v>
      </c>
      <c r="AT273">
        <f>OR(AND(IF(Metadata!H273="",FALSE,TRUE),OR(exact(Metadata!H273,"not collected"),exact(Metadata!H273,"not provided"),exact(Metadata!H273,"restricted access"))),AND(IF(Metadata!H273="",FALSE,ISNUMBER(VALUE(Metadata!H273))),Metadata!H273&gt;=-413.0))</f>
        <v>0</v>
      </c>
      <c r="AU273">
        <f>AND(IF(Metadata!I273="",FALSE,TRUE),exact(Metadata!I273,"meters"))</f>
        <v>0</v>
      </c>
      <c r="AV273">
        <f>AND(IF(Metadata!J273="",FALSE,TRUE),OR(exact(Metadata!J273,"Host-associated"),exact(Metadata!J273,"Free-living")))</f>
        <v>0</v>
      </c>
      <c r="AW273">
        <f>AND(IF(Metadata!K273="",FALSE,TRUE),OR(exact(Metadata!K273,"Animal"),exact(Metadata!K273,"Fungus"),exact(Metadata!K273,"Plant"),exact(Metadata!K273,"Saline"),exact(Metadata!K273,"Non-saline")))</f>
        <v>0</v>
      </c>
      <c r="AX273">
        <f>AND(IF(Metadata!L273="",FALSE,TRUE),OR(exact(Metadata!L273,"Plant secretion"),exact(Metadata!L273,"Plant rhizosphere"),exact(Metadata!L273,"Plant surface"),exact(Metadata!L273,"Plant corpus"),exact(Metadata!L273,"Fungus surface"),exact(Metadata!L273,"Fungus corpus"),exact(Metadata!L273,"Animal surface"),exact(Metadata!L273,"Animal proximal gut"),exact(Metadata!L273,"Animal corpus"),exact(Metadata!L273,"Animal distal gut"),exact(Metadata!L273,"Animal secretion"),exact(Metadata!L273,"Sub-surface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Y273">
        <f>IF(Metadata!M273="",FALSE,TRUE)</f>
        <v>0</v>
      </c>
      <c r="AZ273">
        <f>IF(Metadata!N273="",FALSE,TRUE)</f>
        <v>0</v>
      </c>
      <c r="BA273">
        <f>IF(Metadata!O273="",FALSE,TRUE)</f>
        <v>0</v>
      </c>
      <c r="BB273">
        <f>OR(AND(IF(Metadata!P273="",FALSE,TRUE),OR(exact(Metadata!P273,"not collected"),exact(Metadata!P273,"not provided"),exact(Metadata!P273,"restricted access"))),AND(IF(Metadata!P273="",FALSE,TRUE),OR(exact(Metadata!P273,"air"),exact(Metadata!P273,"built environment"),exact(Metadata!P273,"host-associated"),exact(Metadata!P273,"human-associated"),exact(Metadata!P273,"human-skin"),exact(Metadata!P273,"human-oral"),exact(Metadata!P273,"human-gut"),exact(Metadata!P273,"human-vaginal"),exact(Metadata!P273,"microbial mat/biofilm"),exact(Metadata!P273,"misc environment"),exact(Metadata!P273,"plant-associated"),exact(Metadata!P273,"sediment"),exact(Metadata!P273,"soil"),exact(Metadata!P273,"wastewater/sludge"),exact(Metadata!P273,"water"))))</f>
        <v>0</v>
      </c>
      <c r="BC273">
        <f>IF(Metadata!Q273="",FALSE,TRUE)</f>
        <v>0</v>
      </c>
      <c r="BD273">
        <f>IF(Metadata!R273="",FALSE,TRUE)</f>
        <v>0</v>
      </c>
      <c r="BE273">
        <f>OR(AND(IF(Metadata!S273="",FALSE,TRUE),OR(exact(Metadata!S273,"not collected"),exact(Metadata!S273,"not provided"),exact(Metadata!S273,"restricted access"))),AND(IF(Metadata!S273="",FALSE,ISNUMBER(VALUE(Metadata!S273))),Metadata!S273&gt;=-90.00,Metadata!S273&lt;=90.00))</f>
        <v>0</v>
      </c>
      <c r="BF273">
        <f>AND(IF(Metadata!T273="",FALSE,TRUE),exact(Metadata!T273,"Decimal degrees"))</f>
        <v>0</v>
      </c>
      <c r="BG273">
        <f>OR(AND(IF(Metadata!U273="",FALSE,TRUE),OR(exact(Metadata!U273,"not collected"),exact(Metadata!U273,"not provided"),exact(Metadata!U273,"restricted access"))),AND(IF(Metadata!U273="",FALSE,ISNUMBER(VALUE(Metadata!U273))),Metadata!U273&gt;=-180.00,Metadata!U273&lt;=180.00))</f>
        <v>0</v>
      </c>
      <c r="BH273">
        <f>AND(IF(Metadata!V273="",FALSE,TRUE),exact(Metadata!V273,"Decimal degrees"))</f>
        <v>0</v>
      </c>
      <c r="BI273">
        <f>IF(Metadata!W273="",FALSE,TRUE)</f>
        <v>0</v>
      </c>
      <c r="BJ273">
        <f>OR(AND(IF(Metadata!X273="",FALSE,TRUE),OR(exact(Metadata!X273,"not collected"),exact(Metadata!X273,"not provided"),exact(Metadata!X273,"restricted access"))),AND(IF(Metadata!X273="",FALSE,TRUE),OR(exact(Metadata!X273,"TRUE"),exact(Metadata!X273,"FALSE"))))</f>
        <v>0</v>
      </c>
      <c r="BK273">
        <f>AND(IF(Metadata!Y273="",FALSE,TRUE),exact(Metadata!Y273,"other"))</f>
        <v>0</v>
      </c>
      <c r="BL273">
        <f>IF(Metadata!Z273="",FALSE,TRUE)</f>
        <v>0</v>
      </c>
      <c r="BM273">
        <f>OR(AND(IF(Metadata!AA273="",FALSE,TRUE),OR(exact(Metadata!AA273,"not collected"),exact(Metadata!AA273,"not provided"))),AND(IF(Metadata!AA273="",FALSE,IF(ISERROR(INT(Metadata!AA273)),FALSE,INT(Metadata!AA273)=Metadata!AA273)),Metadata!AA273&gt;0))</f>
        <v>0</v>
      </c>
      <c r="BN273">
        <f>AND(IF(Metadata!AB273="",FALSE,TRUE),exact(Metadata!AB273,"Not applicable"))</f>
        <v>0</v>
      </c>
      <c r="BO273">
        <f>IF(Metadata!AC273="",FALSE,TRUE)</f>
        <v>0</v>
      </c>
    </row>
    <row r="274" spans="1:67">
      <c r="A274" s="5">
        <f>IF(B274=" "," ",HYPERLINK(CONCATENATE("#metadata!",ADDRESS(INDEX($AI$2:$AI$1001,MATCH(ROWS($AG$2:AG274),$AG$2:$AG$1001,0),0),1)),INDEX($AL$2:$AL$1001,MATCH(ROWS($AG$2:AG274),$AG$2:$AG$1001,0),0)))</f>
        <v>0</v>
      </c>
      <c r="B274" s="4">
        <f>IF(OR(INDEX($AH$2:$AH$1001,MATCH(ROWS($AG$2:AG274),$AG$2:$AG$1001,0),1)&gt;=100000,INDEX($AN$1005:$BO$1005,1,MATCH(COLUMNS($AN$1006:AN1006),$AN$1006:$BO$1006,0))&gt;=100000), " ",IF(INDEX($AN$2:$BO$1001,MATCH(ROWS($AG$2:AG274),$AG$2:$AG$1001,0),MATCH(COLUMNS($AN$1006:AN1006),$AN$1006:$BO$1006,0)), HYPERLINK("#",""), HYPERLINK(CONCATENATE("#Metadata!", ADDRESS(INDEX($AI$2:$AI$1001,MATCH(ROWS($AG$2:AG274),$AG$2:$AG$1001,0),0), INDEX($AN$1004:$BO$1004,1,MATCH(COLUMNS($AN$1006:AN1006),$AN$1006:$BO$1006,0)))),"Fix")))</f>
        <v>0</v>
      </c>
      <c r="C274" s="4">
        <f>IF(OR(INDEX($AH$2:$AH$1001,MATCH(ROWS($AG$2:AG274),$AG$2:$AG$1001,0),1)&gt;=100000,INDEX($AN$1005:$BO$1005,1,MATCH(COLUMNS($AN$1006:AO1006),$AN$1006:$BO$1006,0))&gt;=100000), " ",IF(INDEX($AN$2:$BO$1001,MATCH(ROWS($AG$2:AG274),$AG$2:$AG$1001,0),MATCH(COLUMNS($AN$1006:AO1006),$AN$1006:$BO$1006,0)), HYPERLINK("#",""), HYPERLINK(CONCATENATE("#Metadata!", ADDRESS(INDEX($AI$2:$AI$1001,MATCH(ROWS($AG$2:AG274),$AG$2:$AG$1001,0),0), INDEX($AN$1004:$BO$1004,1,MATCH(COLUMNS($AN$1006:AO1006),$AN$1006:$BO$1006,0)))),"Fix")))</f>
        <v>0</v>
      </c>
      <c r="D274" s="4">
        <f>IF(OR(INDEX($AH$2:$AH$1001,MATCH(ROWS($AG$2:AG274),$AG$2:$AG$1001,0),1)&gt;=100000,INDEX($AN$1005:$BO$1005,1,MATCH(COLUMNS($AN$1006:AP1006),$AN$1006:$BO$1006,0))&gt;=100000), " ",IF(INDEX($AN$2:$BO$1001,MATCH(ROWS($AG$2:AG274),$AG$2:$AG$1001,0),MATCH(COLUMNS($AN$1006:AP1006),$AN$1006:$BO$1006,0)), HYPERLINK("#",""), HYPERLINK(CONCATENATE("#Metadata!", ADDRESS(INDEX($AI$2:$AI$1001,MATCH(ROWS($AG$2:AG274),$AG$2:$AG$1001,0),0), INDEX($AN$1004:$BO$1004,1,MATCH(COLUMNS($AN$1006:AP1006),$AN$1006:$BO$1006,0)))),"Fix")))</f>
        <v>0</v>
      </c>
      <c r="E274" s="4">
        <f>IF(OR(INDEX($AH$2:$AH$1001,MATCH(ROWS($AG$2:AG274),$AG$2:$AG$1001,0),1)&gt;=100000,INDEX($AN$1005:$BO$1005,1,MATCH(COLUMNS($AN$1006:AQ1006),$AN$1006:$BO$1006,0))&gt;=100000), " ",IF(INDEX($AN$2:$BO$1001,MATCH(ROWS($AG$2:AG274),$AG$2:$AG$1001,0),MATCH(COLUMNS($AN$1006:AQ1006),$AN$1006:$BO$1006,0)), HYPERLINK("#",""), HYPERLINK(CONCATENATE("#Metadata!", ADDRESS(INDEX($AI$2:$AI$1001,MATCH(ROWS($AG$2:AG274),$AG$2:$AG$1001,0),0), INDEX($AN$1004:$BO$1004,1,MATCH(COLUMNS($AN$1006:AQ1006),$AN$1006:$BO$1006,0)))),"Fix")))</f>
        <v>0</v>
      </c>
      <c r="F274" s="4">
        <f>IF(OR(INDEX($AH$2:$AH$1001,MATCH(ROWS($AG$2:AG274),$AG$2:$AG$1001,0),1)&gt;=100000,INDEX($AN$1005:$BO$1005,1,MATCH(COLUMNS($AN$1006:AR1006),$AN$1006:$BO$1006,0))&gt;=100000), " ",IF(INDEX($AN$2:$BO$1001,MATCH(ROWS($AG$2:AG274),$AG$2:$AG$1001,0),MATCH(COLUMNS($AN$1006:AR1006),$AN$1006:$BO$1006,0)), HYPERLINK("#",""), HYPERLINK(CONCATENATE("#Metadata!", ADDRESS(INDEX($AI$2:$AI$1001,MATCH(ROWS($AG$2:AG274),$AG$2:$AG$1001,0),0), INDEX($AN$1004:$BO$1004,1,MATCH(COLUMNS($AN$1006:AR1006),$AN$1006:$BO$1006,0)))),"Fix")))</f>
        <v>0</v>
      </c>
      <c r="G274" s="4">
        <f>IF(OR(INDEX($AH$2:$AH$1001,MATCH(ROWS($AG$2:AG274),$AG$2:$AG$1001,0),1)&gt;=100000,INDEX($AN$1005:$BO$1005,1,MATCH(COLUMNS($AN$1006:AS1006),$AN$1006:$BO$1006,0))&gt;=100000), " ",IF(INDEX($AN$2:$BO$1001,MATCH(ROWS($AG$2:AG274),$AG$2:$AG$1001,0),MATCH(COLUMNS($AN$1006:AS1006),$AN$1006:$BO$1006,0)), HYPERLINK("#",""), HYPERLINK(CONCATENATE("#Metadata!", ADDRESS(INDEX($AI$2:$AI$1001,MATCH(ROWS($AG$2:AG274),$AG$2:$AG$1001,0),0), INDEX($AN$1004:$BO$1004,1,MATCH(COLUMNS($AN$1006:AS1006),$AN$1006:$BO$1006,0)))),"Fix")))</f>
        <v>0</v>
      </c>
      <c r="H274" s="4">
        <f>IF(OR(INDEX($AH$2:$AH$1001,MATCH(ROWS($AG$2:AG274),$AG$2:$AG$1001,0),1)&gt;=100000,INDEX($AN$1005:$BO$1005,1,MATCH(COLUMNS($AN$1006:AT1006),$AN$1006:$BO$1006,0))&gt;=100000), " ",IF(INDEX($AN$2:$BO$1001,MATCH(ROWS($AG$2:AG274),$AG$2:$AG$1001,0),MATCH(COLUMNS($AN$1006:AT1006),$AN$1006:$BO$1006,0)), HYPERLINK("#",""), HYPERLINK(CONCATENATE("#Metadata!", ADDRESS(INDEX($AI$2:$AI$1001,MATCH(ROWS($AG$2:AG274),$AG$2:$AG$1001,0),0), INDEX($AN$1004:$BO$1004,1,MATCH(COLUMNS($AN$1006:AT1006),$AN$1006:$BO$1006,0)))),"Fix")))</f>
        <v>0</v>
      </c>
      <c r="I274" s="4">
        <f>IF(OR(INDEX($AH$2:$AH$1001,MATCH(ROWS($AG$2:AG274),$AG$2:$AG$1001,0),1)&gt;=100000,INDEX($AN$1005:$BO$1005,1,MATCH(COLUMNS($AN$1006:AU1006),$AN$1006:$BO$1006,0))&gt;=100000), " ",IF(INDEX($AN$2:$BO$1001,MATCH(ROWS($AG$2:AG274),$AG$2:$AG$1001,0),MATCH(COLUMNS($AN$1006:AU1006),$AN$1006:$BO$1006,0)), HYPERLINK("#",""), HYPERLINK(CONCATENATE("#Metadata!", ADDRESS(INDEX($AI$2:$AI$1001,MATCH(ROWS($AG$2:AG274),$AG$2:$AG$1001,0),0), INDEX($AN$1004:$BO$1004,1,MATCH(COLUMNS($AN$1006:AU1006),$AN$1006:$BO$1006,0)))),"Fix")))</f>
        <v>0</v>
      </c>
      <c r="J274" s="4">
        <f>IF(OR(INDEX($AH$2:$AH$1001,MATCH(ROWS($AG$2:AG274),$AG$2:$AG$1001,0),1)&gt;=100000,INDEX($AN$1005:$BO$1005,1,MATCH(COLUMNS($AN$1006:AV1006),$AN$1006:$BO$1006,0))&gt;=100000), " ",IF(INDEX($AN$2:$BO$1001,MATCH(ROWS($AG$2:AG274),$AG$2:$AG$1001,0),MATCH(COLUMNS($AN$1006:AV1006),$AN$1006:$BO$1006,0)), HYPERLINK("#",""), HYPERLINK(CONCATENATE("#Metadata!", ADDRESS(INDEX($AI$2:$AI$1001,MATCH(ROWS($AG$2:AG274),$AG$2:$AG$1001,0),0), INDEX($AN$1004:$BO$1004,1,MATCH(COLUMNS($AN$1006:AV1006),$AN$1006:$BO$1006,0)))),"Fix")))</f>
        <v>0</v>
      </c>
      <c r="K274" s="4">
        <f>IF(OR(INDEX($AH$2:$AH$1001,MATCH(ROWS($AG$2:AG274),$AG$2:$AG$1001,0),1)&gt;=100000,INDEX($AN$1005:$BO$1005,1,MATCH(COLUMNS($AN$1006:AW1006),$AN$1006:$BO$1006,0))&gt;=100000), " ",IF(INDEX($AN$2:$BO$1001,MATCH(ROWS($AG$2:AG274),$AG$2:$AG$1001,0),MATCH(COLUMNS($AN$1006:AW1006),$AN$1006:$BO$1006,0)), HYPERLINK("#",""), HYPERLINK(CONCATENATE("#Metadata!", ADDRESS(INDEX($AI$2:$AI$1001,MATCH(ROWS($AG$2:AG274),$AG$2:$AG$1001,0),0), INDEX($AN$1004:$BO$1004,1,MATCH(COLUMNS($AN$1006:AW1006),$AN$1006:$BO$1006,0)))),"Fix")))</f>
        <v>0</v>
      </c>
      <c r="L274" s="4">
        <f>IF(OR(INDEX($AH$2:$AH$1001,MATCH(ROWS($AG$2:AG274),$AG$2:$AG$1001,0),1)&gt;=100000,INDEX($AN$1005:$BO$1005,1,MATCH(COLUMNS($AN$1006:AX1006),$AN$1006:$BO$1006,0))&gt;=100000), " ",IF(INDEX($AN$2:$BO$1001,MATCH(ROWS($AG$2:AG274),$AG$2:$AG$1001,0),MATCH(COLUMNS($AN$1006:AX1006),$AN$1006:$BO$1006,0)), HYPERLINK("#",""), HYPERLINK(CONCATENATE("#Metadata!", ADDRESS(INDEX($AI$2:$AI$1001,MATCH(ROWS($AG$2:AG274),$AG$2:$AG$1001,0),0), INDEX($AN$1004:$BO$1004,1,MATCH(COLUMNS($AN$1006:AX1006),$AN$1006:$BO$1006,0)))),"Fix")))</f>
        <v>0</v>
      </c>
      <c r="M274" s="4">
        <f>IF(OR(INDEX($AH$2:$AH$1001,MATCH(ROWS($AG$2:AG274),$AG$2:$AG$1001,0),1)&gt;=100000,INDEX($AN$1005:$BO$1005,1,MATCH(COLUMNS($AN$1006:AY1006),$AN$1006:$BO$1006,0))&gt;=100000), " ",IF(INDEX($AN$2:$BO$1001,MATCH(ROWS($AG$2:AG274),$AG$2:$AG$1001,0),MATCH(COLUMNS($AN$1006:AY1006),$AN$1006:$BO$1006,0)), HYPERLINK("#",""), HYPERLINK(CONCATENATE("#Metadata!", ADDRESS(INDEX($AI$2:$AI$1001,MATCH(ROWS($AG$2:AG274),$AG$2:$AG$1001,0),0), INDEX($AN$1004:$BO$1004,1,MATCH(COLUMNS($AN$1006:AY1006),$AN$1006:$BO$1006,0)))),"Fix")))</f>
        <v>0</v>
      </c>
      <c r="N274" s="4">
        <f>IF(OR(INDEX($AH$2:$AH$1001,MATCH(ROWS($AG$2:AG274),$AG$2:$AG$1001,0),1)&gt;=100000,INDEX($AN$1005:$BO$1005,1,MATCH(COLUMNS($AN$1006:AZ1006),$AN$1006:$BO$1006,0))&gt;=100000), " ",IF(INDEX($AN$2:$BO$1001,MATCH(ROWS($AG$2:AG274),$AG$2:$AG$1001,0),MATCH(COLUMNS($AN$1006:AZ1006),$AN$1006:$BO$1006,0)), HYPERLINK("#",""), HYPERLINK(CONCATENATE("#Metadata!", ADDRESS(INDEX($AI$2:$AI$1001,MATCH(ROWS($AG$2:AG274),$AG$2:$AG$1001,0),0), INDEX($AN$1004:$BO$1004,1,MATCH(COLUMNS($AN$1006:AZ1006),$AN$1006:$BO$1006,0)))),"Fix")))</f>
        <v>0</v>
      </c>
      <c r="O274" s="4">
        <f>IF(OR(INDEX($AH$2:$AH$1001,MATCH(ROWS($AG$2:AG274),$AG$2:$AG$1001,0),1)&gt;=100000,INDEX($AN$1005:$BO$1005,1,MATCH(COLUMNS($AN$1006:BA1006),$AN$1006:$BO$1006,0))&gt;=100000), " ",IF(INDEX($AN$2:$BO$1001,MATCH(ROWS($AG$2:AG274),$AG$2:$AG$1001,0),MATCH(COLUMNS($AN$1006:BA1006),$AN$1006:$BO$1006,0)), HYPERLINK("#",""), HYPERLINK(CONCATENATE("#Metadata!", ADDRESS(INDEX($AI$2:$AI$1001,MATCH(ROWS($AG$2:AG274),$AG$2:$AG$1001,0),0), INDEX($AN$1004:$BO$1004,1,MATCH(COLUMNS($AN$1006:BA1006),$AN$1006:$BO$1006,0)))),"Fix")))</f>
        <v>0</v>
      </c>
      <c r="P274" s="4">
        <f>IF(OR(INDEX($AH$2:$AH$1001,MATCH(ROWS($AG$2:AG274),$AG$2:$AG$1001,0),1)&gt;=100000,INDEX($AN$1005:$BO$1005,1,MATCH(COLUMNS($AN$1006:BB1006),$AN$1006:$BO$1006,0))&gt;=100000), " ",IF(INDEX($AN$2:$BO$1001,MATCH(ROWS($AG$2:AG274),$AG$2:$AG$1001,0),MATCH(COLUMNS($AN$1006:BB1006),$AN$1006:$BO$1006,0)), HYPERLINK("#",""), HYPERLINK(CONCATENATE("#Metadata!", ADDRESS(INDEX($AI$2:$AI$1001,MATCH(ROWS($AG$2:AG274),$AG$2:$AG$1001,0),0), INDEX($AN$1004:$BO$1004,1,MATCH(COLUMNS($AN$1006:BB1006),$AN$1006:$BO$1006,0)))),"Fix")))</f>
        <v>0</v>
      </c>
      <c r="Q274" s="4">
        <f>IF(OR(INDEX($AH$2:$AH$1001,MATCH(ROWS($AG$2:AG274),$AG$2:$AG$1001,0),1)&gt;=100000,INDEX($AN$1005:$BO$1005,1,MATCH(COLUMNS($AN$1006:BC1006),$AN$1006:$BO$1006,0))&gt;=100000), " ",IF(INDEX($AN$2:$BO$1001,MATCH(ROWS($AG$2:AG274),$AG$2:$AG$1001,0),MATCH(COLUMNS($AN$1006:BC1006),$AN$1006:$BO$1006,0)), HYPERLINK("#",""), HYPERLINK(CONCATENATE("#Metadata!", ADDRESS(INDEX($AI$2:$AI$1001,MATCH(ROWS($AG$2:AG274),$AG$2:$AG$1001,0),0), INDEX($AN$1004:$BO$1004,1,MATCH(COLUMNS($AN$1006:BC1006),$AN$1006:$BO$1006,0)))),"Fix")))</f>
        <v>0</v>
      </c>
      <c r="R274" s="4">
        <f>IF(OR(INDEX($AH$2:$AH$1001,MATCH(ROWS($AG$2:AG274),$AG$2:$AG$1001,0),1)&gt;=100000,INDEX($AN$1005:$BO$1005,1,MATCH(COLUMNS($AN$1006:BD1006),$AN$1006:$BO$1006,0))&gt;=100000), " ",IF(INDEX($AN$2:$BO$1001,MATCH(ROWS($AG$2:AG274),$AG$2:$AG$1001,0),MATCH(COLUMNS($AN$1006:BD1006),$AN$1006:$BO$1006,0)), HYPERLINK("#",""), HYPERLINK(CONCATENATE("#Metadata!", ADDRESS(INDEX($AI$2:$AI$1001,MATCH(ROWS($AG$2:AG274),$AG$2:$AG$1001,0),0), INDEX($AN$1004:$BO$1004,1,MATCH(COLUMNS($AN$1006:BD1006),$AN$1006:$BO$1006,0)))),"Fix")))</f>
        <v>0</v>
      </c>
      <c r="S274" s="4">
        <f>IF(OR(INDEX($AH$2:$AH$1001,MATCH(ROWS($AG$2:AG274),$AG$2:$AG$1001,0),1)&gt;=100000,INDEX($AN$1005:$BO$1005,1,MATCH(COLUMNS($AN$1006:BE1006),$AN$1006:$BO$1006,0))&gt;=100000), " ",IF(INDEX($AN$2:$BO$1001,MATCH(ROWS($AG$2:AG274),$AG$2:$AG$1001,0),MATCH(COLUMNS($AN$1006:BE1006),$AN$1006:$BO$1006,0)), HYPERLINK("#",""), HYPERLINK(CONCATENATE("#Metadata!", ADDRESS(INDEX($AI$2:$AI$1001,MATCH(ROWS($AG$2:AG274),$AG$2:$AG$1001,0),0), INDEX($AN$1004:$BO$1004,1,MATCH(COLUMNS($AN$1006:BE1006),$AN$1006:$BO$1006,0)))),"Fix")))</f>
        <v>0</v>
      </c>
      <c r="T274" s="4">
        <f>IF(OR(INDEX($AH$2:$AH$1001,MATCH(ROWS($AG$2:AG274),$AG$2:$AG$1001,0),1)&gt;=100000,INDEX($AN$1005:$BO$1005,1,MATCH(COLUMNS($AN$1006:BF1006),$AN$1006:$BO$1006,0))&gt;=100000), " ",IF(INDEX($AN$2:$BO$1001,MATCH(ROWS($AG$2:AG274),$AG$2:$AG$1001,0),MATCH(COLUMNS($AN$1006:BF1006),$AN$1006:$BO$1006,0)), HYPERLINK("#",""), HYPERLINK(CONCATENATE("#Metadata!", ADDRESS(INDEX($AI$2:$AI$1001,MATCH(ROWS($AG$2:AG274),$AG$2:$AG$1001,0),0), INDEX($AN$1004:$BO$1004,1,MATCH(COLUMNS($AN$1006:BF1006),$AN$1006:$BO$1006,0)))),"Fix")))</f>
        <v>0</v>
      </c>
      <c r="U274" s="4">
        <f>IF(OR(INDEX($AH$2:$AH$1001,MATCH(ROWS($AG$2:AG274),$AG$2:$AG$1001,0),1)&gt;=100000,INDEX($AN$1005:$BO$1005,1,MATCH(COLUMNS($AN$1006:BG1006),$AN$1006:$BO$1006,0))&gt;=100000), " ",IF(INDEX($AN$2:$BO$1001,MATCH(ROWS($AG$2:AG274),$AG$2:$AG$1001,0),MATCH(COLUMNS($AN$1006:BG1006),$AN$1006:$BO$1006,0)), HYPERLINK("#",""), HYPERLINK(CONCATENATE("#Metadata!", ADDRESS(INDEX($AI$2:$AI$1001,MATCH(ROWS($AG$2:AG274),$AG$2:$AG$1001,0),0), INDEX($AN$1004:$BO$1004,1,MATCH(COLUMNS($AN$1006:BG1006),$AN$1006:$BO$1006,0)))),"Fix")))</f>
        <v>0</v>
      </c>
      <c r="V274" s="4">
        <f>IF(OR(INDEX($AH$2:$AH$1001,MATCH(ROWS($AG$2:AG274),$AG$2:$AG$1001,0),1)&gt;=100000,INDEX($AN$1005:$BO$1005,1,MATCH(COLUMNS($AN$1006:BH1006),$AN$1006:$BO$1006,0))&gt;=100000), " ",IF(INDEX($AN$2:$BO$1001,MATCH(ROWS($AG$2:AG274),$AG$2:$AG$1001,0),MATCH(COLUMNS($AN$1006:BH1006),$AN$1006:$BO$1006,0)), HYPERLINK("#",""), HYPERLINK(CONCATENATE("#Metadata!", ADDRESS(INDEX($AI$2:$AI$1001,MATCH(ROWS($AG$2:AG274),$AG$2:$AG$1001,0),0), INDEX($AN$1004:$BO$1004,1,MATCH(COLUMNS($AN$1006:BH1006),$AN$1006:$BO$1006,0)))),"Fix")))</f>
        <v>0</v>
      </c>
      <c r="W274" s="4">
        <f>IF(OR(INDEX($AH$2:$AH$1001,MATCH(ROWS($AG$2:AG274),$AG$2:$AG$1001,0),1)&gt;=100000,INDEX($AN$1005:$BO$1005,1,MATCH(COLUMNS($AN$1006:BI1006),$AN$1006:$BO$1006,0))&gt;=100000), " ",IF(INDEX($AN$2:$BO$1001,MATCH(ROWS($AG$2:AG274),$AG$2:$AG$1001,0),MATCH(COLUMNS($AN$1006:BI1006),$AN$1006:$BO$1006,0)), HYPERLINK("#",""), HYPERLINK(CONCATENATE("#Metadata!", ADDRESS(INDEX($AI$2:$AI$1001,MATCH(ROWS($AG$2:AG274),$AG$2:$AG$1001,0),0), INDEX($AN$1004:$BO$1004,1,MATCH(COLUMNS($AN$1006:BI1006),$AN$1006:$BO$1006,0)))),"Fix")))</f>
        <v>0</v>
      </c>
      <c r="X274" s="4">
        <f>IF(OR(INDEX($AH$2:$AH$1001,MATCH(ROWS($AG$2:AG274),$AG$2:$AG$1001,0),1)&gt;=100000,INDEX($AN$1005:$BO$1005,1,MATCH(COLUMNS($AN$1006:BJ1006),$AN$1006:$BO$1006,0))&gt;=100000), " ",IF(INDEX($AN$2:$BO$1001,MATCH(ROWS($AG$2:AG274),$AG$2:$AG$1001,0),MATCH(COLUMNS($AN$1006:BJ1006),$AN$1006:$BO$1006,0)), HYPERLINK("#",""), HYPERLINK(CONCATENATE("#Metadata!", ADDRESS(INDEX($AI$2:$AI$1001,MATCH(ROWS($AG$2:AG274),$AG$2:$AG$1001,0),0), INDEX($AN$1004:$BO$1004,1,MATCH(COLUMNS($AN$1006:BJ1006),$AN$1006:$BO$1006,0)))),"Fix")))</f>
        <v>0</v>
      </c>
      <c r="Y274" s="4">
        <f>IF(OR(INDEX($AH$2:$AH$1001,MATCH(ROWS($AG$2:AG274),$AG$2:$AG$1001,0),1)&gt;=100000,INDEX($AN$1005:$BO$1005,1,MATCH(COLUMNS($AN$1006:BK1006),$AN$1006:$BO$1006,0))&gt;=100000), " ",IF(INDEX($AN$2:$BO$1001,MATCH(ROWS($AG$2:AG274),$AG$2:$AG$1001,0),MATCH(COLUMNS($AN$1006:BK1006),$AN$1006:$BO$1006,0)), HYPERLINK("#",""), HYPERLINK(CONCATENATE("#Metadata!", ADDRESS(INDEX($AI$2:$AI$1001,MATCH(ROWS($AG$2:AG274),$AG$2:$AG$1001,0),0), INDEX($AN$1004:$BO$1004,1,MATCH(COLUMNS($AN$1006:BK1006),$AN$1006:$BO$1006,0)))),"Fix")))</f>
        <v>0</v>
      </c>
      <c r="Z274" s="4">
        <f>IF(OR(INDEX($AH$2:$AH$1001,MATCH(ROWS($AG$2:AG274),$AG$2:$AG$1001,0),1)&gt;=100000,INDEX($AN$1005:$BO$1005,1,MATCH(COLUMNS($AN$1006:BL1006),$AN$1006:$BO$1006,0))&gt;=100000), " ",IF(INDEX($AN$2:$BO$1001,MATCH(ROWS($AG$2:AG274),$AG$2:$AG$1001,0),MATCH(COLUMNS($AN$1006:BL1006),$AN$1006:$BO$1006,0)), HYPERLINK("#",""), HYPERLINK(CONCATENATE("#Metadata!", ADDRESS(INDEX($AI$2:$AI$1001,MATCH(ROWS($AG$2:AG274),$AG$2:$AG$1001,0),0), INDEX($AN$1004:$BO$1004,1,MATCH(COLUMNS($AN$1006:BL1006),$AN$1006:$BO$1006,0)))),"Fix")))</f>
        <v>0</v>
      </c>
      <c r="AA274" s="4">
        <f>IF(OR(INDEX($AH$2:$AH$1001,MATCH(ROWS($AG$2:AG274),$AG$2:$AG$1001,0),1)&gt;=100000,INDEX($AN$1005:$BO$1005,1,MATCH(COLUMNS($AN$1006:BM1006),$AN$1006:$BO$1006,0))&gt;=100000), " ",IF(INDEX($AN$2:$BO$1001,MATCH(ROWS($AG$2:AG274),$AG$2:$AG$1001,0),MATCH(COLUMNS($AN$1006:BM1006),$AN$1006:$BO$1006,0)), HYPERLINK("#",""), HYPERLINK(CONCATENATE("#Metadata!", ADDRESS(INDEX($AI$2:$AI$1001,MATCH(ROWS($AG$2:AG274),$AG$2:$AG$1001,0),0), INDEX($AN$1004:$BO$1004,1,MATCH(COLUMNS($AN$1006:BM1006),$AN$1006:$BO$1006,0)))),"Fix")))</f>
        <v>0</v>
      </c>
      <c r="AB274" s="4">
        <f>IF(OR(INDEX($AH$2:$AH$1001,MATCH(ROWS($AG$2:AG274),$AG$2:$AG$1001,0),1)&gt;=100000,INDEX($AN$1005:$BO$1005,1,MATCH(COLUMNS($AN$1006:BN1006),$AN$1006:$BO$1006,0))&gt;=100000), " ",IF(INDEX($AN$2:$BO$1001,MATCH(ROWS($AG$2:AG274),$AG$2:$AG$1001,0),MATCH(COLUMNS($AN$1006:BN1006),$AN$1006:$BO$1006,0)), HYPERLINK("#",""), HYPERLINK(CONCATENATE("#Metadata!", ADDRESS(INDEX($AI$2:$AI$1001,MATCH(ROWS($AG$2:AG274),$AG$2:$AG$1001,0),0), INDEX($AN$1004:$BO$1004,1,MATCH(COLUMNS($AN$1006:BN1006),$AN$1006:$BO$1006,0)))),"Fix")))</f>
        <v>0</v>
      </c>
      <c r="AC274" s="4">
        <f>IF(OR(INDEX($AH$2:$AH$1001,MATCH(ROWS($AG$2:AG274),$AG$2:$AG$1001,0),1)&gt;=100000,INDEX($AN$1005:$BO$1005,1,MATCH(COLUMNS($AN$1006:BO1006),$AN$1006:$BO$1006,0))&gt;=100000), " ",IF(INDEX($AN$2:$BO$1001,MATCH(ROWS($AG$2:AG274),$AG$2:$AG$1001,0),MATCH(COLUMNS($AN$1006:BO1006),$AN$1006:$BO$1006,0)), HYPERLINK("#",""), HYPERLINK(CONCATENATE("#Metadata!", ADDRESS(INDEX($AI$2:$AI$1001,MATCH(ROWS($AG$2:AG274),$AG$2:$AG$1001,0),0), INDEX($AN$1004:$BO$1004,1,MATCH(COLUMNS($AN$1006:BO1006),$AN$1006:$BO$1006,0)))),"Fix")))</f>
        <v>0</v>
      </c>
      <c r="AG274">
        <v>0</v>
      </c>
      <c r="AH274">
        <v>0</v>
      </c>
      <c r="AI274">
        <v>0</v>
      </c>
      <c r="AJ274">
        <f>IF(AK274,TRUE,AND(AN274:BO274))</f>
        <v>0</v>
      </c>
      <c r="AK274">
        <f>COUNTBLANK(Metadata!B274:AC274)=COLUMNS(Metadata!B274:AC274)</f>
        <v>0</v>
      </c>
      <c r="AL274">
        <v>0</v>
      </c>
      <c r="AN274">
        <f>AND(IF(Metadata!B274="",FALSE,TRUE),COUNTIF(Metadata!B:B, Metadata!B274) = 1,NOT(ISERROR(SUMPRODUCT(SEARCH(MID(Metadata!B274,ROW(INDIRECT("1:"&amp;LEN(Metadata!B274))), 1),"0123456789abcdefghijklmnopqrstuvwxyzABCDEFGHIJKLMNOPQRSTUVWXYZ.")))))</f>
        <v>0</v>
      </c>
      <c r="AO274">
        <f>IF(Metadata!C274="",FALSE,TRUE)</f>
        <v>0</v>
      </c>
      <c r="AP274">
        <f>IF(Metadata!D274="",FALSE,TRUE)</f>
        <v>0</v>
      </c>
      <c r="AQ274">
        <f>OR(AND(IF(Metadata!E274="",FALSE,TRUE),OR(exact(Metadata!E274,"not collected"),exact(Metadata!E274,"not provided"),exact(Metadata!E274,"restricted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R274">
        <f>IF(Metadata!F274="",FALSE,TRUE)</f>
        <v>0</v>
      </c>
      <c r="AS274">
        <f>OR(AND(IF(Metadata!G274="",FALSE,TRUE),OR(exact(Metadata!G274,"not collected"),exact(Metadata!G274,"not provided"))),AND(IF(Metadata!G274="",FALSE,TRUE),OR(exact(Metadata!G274,"TRUE"),exact(Metadata!G274,"FALSE"))))</f>
        <v>0</v>
      </c>
      <c r="AT274">
        <f>OR(AND(IF(Metadata!H274="",FALSE,TRUE),OR(exact(Metadata!H274,"not collected"),exact(Metadata!H274,"not provided"),exact(Metadata!H274,"restricted access"))),AND(IF(Metadata!H274="",FALSE,ISNUMBER(VALUE(Metadata!H274))),Metadata!H274&gt;=-413.0))</f>
        <v>0</v>
      </c>
      <c r="AU274">
        <f>AND(IF(Metadata!I274="",FALSE,TRUE),exact(Metadata!I274,"meters"))</f>
        <v>0</v>
      </c>
      <c r="AV274">
        <f>AND(IF(Metadata!J274="",FALSE,TRUE),OR(exact(Metadata!J274,"Host-associated"),exact(Metadata!J274,"Free-living")))</f>
        <v>0</v>
      </c>
      <c r="AW274">
        <f>AND(IF(Metadata!K274="",FALSE,TRUE),OR(exact(Metadata!K274,"Animal"),exact(Metadata!K274,"Fungus"),exact(Metadata!K274,"Plant"),exact(Metadata!K274,"Saline"),exact(Metadata!K274,"Non-saline")))</f>
        <v>0</v>
      </c>
      <c r="AX274">
        <f>AND(IF(Metadata!L274="",FALSE,TRUE),OR(exact(Metadata!L274,"Plant secretion"),exact(Metadata!L274,"Plant rhizosphere"),exact(Metadata!L274,"Plant surface"),exact(Metadata!L274,"Plant corpus"),exact(Metadata!L274,"Fungus surface"),exact(Metadata!L274,"Fungus corpus"),exact(Metadata!L274,"Animal surface"),exact(Metadata!L274,"Animal proximal gut"),exact(Metadata!L274,"Animal corpus"),exact(Metadata!L274,"Animal distal gut"),exact(Metadata!L274,"Animal secretion"),exact(Metadata!L274,"Sub-surface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Y274">
        <f>IF(Metadata!M274="",FALSE,TRUE)</f>
        <v>0</v>
      </c>
      <c r="AZ274">
        <f>IF(Metadata!N274="",FALSE,TRUE)</f>
        <v>0</v>
      </c>
      <c r="BA274">
        <f>IF(Metadata!O274="",FALSE,TRUE)</f>
        <v>0</v>
      </c>
      <c r="BB274">
        <f>OR(AND(IF(Metadata!P274="",FALSE,TRUE),OR(exact(Metadata!P274,"not collected"),exact(Metadata!P274,"not provided"),exact(Metadata!P274,"restricted access"))),AND(IF(Metadata!P274="",FALSE,TRUE),OR(exact(Metadata!P274,"air"),exact(Metadata!P274,"built environment"),exact(Metadata!P274,"host-associated"),exact(Metadata!P274,"human-associated"),exact(Metadata!P274,"human-skin"),exact(Metadata!P274,"human-oral"),exact(Metadata!P274,"human-gut"),exact(Metadata!P274,"human-vaginal"),exact(Metadata!P274,"microbial mat/biofilm"),exact(Metadata!P274,"misc environment"),exact(Metadata!P274,"plant-associated"),exact(Metadata!P274,"sediment"),exact(Metadata!P274,"soil"),exact(Metadata!P274,"wastewater/sludge"),exact(Metadata!P274,"water"))))</f>
        <v>0</v>
      </c>
      <c r="BC274">
        <f>IF(Metadata!Q274="",FALSE,TRUE)</f>
        <v>0</v>
      </c>
      <c r="BD274">
        <f>IF(Metadata!R274="",FALSE,TRUE)</f>
        <v>0</v>
      </c>
      <c r="BE274">
        <f>OR(AND(IF(Metadata!S274="",FALSE,TRUE),OR(exact(Metadata!S274,"not collected"),exact(Metadata!S274,"not provided"),exact(Metadata!S274,"restricted access"))),AND(IF(Metadata!S274="",FALSE,ISNUMBER(VALUE(Metadata!S274))),Metadata!S274&gt;=-90.00,Metadata!S274&lt;=90.00))</f>
        <v>0</v>
      </c>
      <c r="BF274">
        <f>AND(IF(Metadata!T274="",FALSE,TRUE),exact(Metadata!T274,"Decimal degrees"))</f>
        <v>0</v>
      </c>
      <c r="BG274">
        <f>OR(AND(IF(Metadata!U274="",FALSE,TRUE),OR(exact(Metadata!U274,"not collected"),exact(Metadata!U274,"not provided"),exact(Metadata!U274,"restricted access"))),AND(IF(Metadata!U274="",FALSE,ISNUMBER(VALUE(Metadata!U274))),Metadata!U274&gt;=-180.00,Metadata!U274&lt;=180.00))</f>
        <v>0</v>
      </c>
      <c r="BH274">
        <f>AND(IF(Metadata!V274="",FALSE,TRUE),exact(Metadata!V274,"Decimal degrees"))</f>
        <v>0</v>
      </c>
      <c r="BI274">
        <f>IF(Metadata!W274="",FALSE,TRUE)</f>
        <v>0</v>
      </c>
      <c r="BJ274">
        <f>OR(AND(IF(Metadata!X274="",FALSE,TRUE),OR(exact(Metadata!X274,"not collected"),exact(Metadata!X274,"not provided"),exact(Metadata!X274,"restricted access"))),AND(IF(Metadata!X274="",FALSE,TRUE),OR(exact(Metadata!X274,"TRUE"),exact(Metadata!X274,"FALSE"))))</f>
        <v>0</v>
      </c>
      <c r="BK274">
        <f>AND(IF(Metadata!Y274="",FALSE,TRUE),exact(Metadata!Y274,"other"))</f>
        <v>0</v>
      </c>
      <c r="BL274">
        <f>IF(Metadata!Z274="",FALSE,TRUE)</f>
        <v>0</v>
      </c>
      <c r="BM274">
        <f>OR(AND(IF(Metadata!AA274="",FALSE,TRUE),OR(exact(Metadata!AA274,"not collected"),exact(Metadata!AA274,"not provided"))),AND(IF(Metadata!AA274="",FALSE,IF(ISERROR(INT(Metadata!AA274)),FALSE,INT(Metadata!AA274)=Metadata!AA274)),Metadata!AA274&gt;0))</f>
        <v>0</v>
      </c>
      <c r="BN274">
        <f>AND(IF(Metadata!AB274="",FALSE,TRUE),exact(Metadata!AB274,"Not applicable"))</f>
        <v>0</v>
      </c>
      <c r="BO274">
        <f>IF(Metadata!AC274="",FALSE,TRUE)</f>
        <v>0</v>
      </c>
    </row>
    <row r="275" spans="1:67">
      <c r="A275" s="5">
        <f>IF(B275=" "," ",HYPERLINK(CONCATENATE("#metadata!",ADDRESS(INDEX($AI$2:$AI$1001,MATCH(ROWS($AG$2:AG275),$AG$2:$AG$1001,0),0),1)),INDEX($AL$2:$AL$1001,MATCH(ROWS($AG$2:AG275),$AG$2:$AG$1001,0),0)))</f>
        <v>0</v>
      </c>
      <c r="B275" s="4">
        <f>IF(OR(INDEX($AH$2:$AH$1001,MATCH(ROWS($AG$2:AG275),$AG$2:$AG$1001,0),1)&gt;=100000,INDEX($AN$1005:$BO$1005,1,MATCH(COLUMNS($AN$1006:AN1006),$AN$1006:$BO$1006,0))&gt;=100000), " ",IF(INDEX($AN$2:$BO$1001,MATCH(ROWS($AG$2:AG275),$AG$2:$AG$1001,0),MATCH(COLUMNS($AN$1006:AN1006),$AN$1006:$BO$1006,0)), HYPERLINK("#",""), HYPERLINK(CONCATENATE("#Metadata!", ADDRESS(INDEX($AI$2:$AI$1001,MATCH(ROWS($AG$2:AG275),$AG$2:$AG$1001,0),0), INDEX($AN$1004:$BO$1004,1,MATCH(COLUMNS($AN$1006:AN1006),$AN$1006:$BO$1006,0)))),"Fix")))</f>
        <v>0</v>
      </c>
      <c r="C275" s="4">
        <f>IF(OR(INDEX($AH$2:$AH$1001,MATCH(ROWS($AG$2:AG275),$AG$2:$AG$1001,0),1)&gt;=100000,INDEX($AN$1005:$BO$1005,1,MATCH(COLUMNS($AN$1006:AO1006),$AN$1006:$BO$1006,0))&gt;=100000), " ",IF(INDEX($AN$2:$BO$1001,MATCH(ROWS($AG$2:AG275),$AG$2:$AG$1001,0),MATCH(COLUMNS($AN$1006:AO1006),$AN$1006:$BO$1006,0)), HYPERLINK("#",""), HYPERLINK(CONCATENATE("#Metadata!", ADDRESS(INDEX($AI$2:$AI$1001,MATCH(ROWS($AG$2:AG275),$AG$2:$AG$1001,0),0), INDEX($AN$1004:$BO$1004,1,MATCH(COLUMNS($AN$1006:AO1006),$AN$1006:$BO$1006,0)))),"Fix")))</f>
        <v>0</v>
      </c>
      <c r="D275" s="4">
        <f>IF(OR(INDEX($AH$2:$AH$1001,MATCH(ROWS($AG$2:AG275),$AG$2:$AG$1001,0),1)&gt;=100000,INDEX($AN$1005:$BO$1005,1,MATCH(COLUMNS($AN$1006:AP1006),$AN$1006:$BO$1006,0))&gt;=100000), " ",IF(INDEX($AN$2:$BO$1001,MATCH(ROWS($AG$2:AG275),$AG$2:$AG$1001,0),MATCH(COLUMNS($AN$1006:AP1006),$AN$1006:$BO$1006,0)), HYPERLINK("#",""), HYPERLINK(CONCATENATE("#Metadata!", ADDRESS(INDEX($AI$2:$AI$1001,MATCH(ROWS($AG$2:AG275),$AG$2:$AG$1001,0),0), INDEX($AN$1004:$BO$1004,1,MATCH(COLUMNS($AN$1006:AP1006),$AN$1006:$BO$1006,0)))),"Fix")))</f>
        <v>0</v>
      </c>
      <c r="E275" s="4">
        <f>IF(OR(INDEX($AH$2:$AH$1001,MATCH(ROWS($AG$2:AG275),$AG$2:$AG$1001,0),1)&gt;=100000,INDEX($AN$1005:$BO$1005,1,MATCH(COLUMNS($AN$1006:AQ1006),$AN$1006:$BO$1006,0))&gt;=100000), " ",IF(INDEX($AN$2:$BO$1001,MATCH(ROWS($AG$2:AG275),$AG$2:$AG$1001,0),MATCH(COLUMNS($AN$1006:AQ1006),$AN$1006:$BO$1006,0)), HYPERLINK("#",""), HYPERLINK(CONCATENATE("#Metadata!", ADDRESS(INDEX($AI$2:$AI$1001,MATCH(ROWS($AG$2:AG275),$AG$2:$AG$1001,0),0), INDEX($AN$1004:$BO$1004,1,MATCH(COLUMNS($AN$1006:AQ1006),$AN$1006:$BO$1006,0)))),"Fix")))</f>
        <v>0</v>
      </c>
      <c r="F275" s="4">
        <f>IF(OR(INDEX($AH$2:$AH$1001,MATCH(ROWS($AG$2:AG275),$AG$2:$AG$1001,0),1)&gt;=100000,INDEX($AN$1005:$BO$1005,1,MATCH(COLUMNS($AN$1006:AR1006),$AN$1006:$BO$1006,0))&gt;=100000), " ",IF(INDEX($AN$2:$BO$1001,MATCH(ROWS($AG$2:AG275),$AG$2:$AG$1001,0),MATCH(COLUMNS($AN$1006:AR1006),$AN$1006:$BO$1006,0)), HYPERLINK("#",""), HYPERLINK(CONCATENATE("#Metadata!", ADDRESS(INDEX($AI$2:$AI$1001,MATCH(ROWS($AG$2:AG275),$AG$2:$AG$1001,0),0), INDEX($AN$1004:$BO$1004,1,MATCH(COLUMNS($AN$1006:AR1006),$AN$1006:$BO$1006,0)))),"Fix")))</f>
        <v>0</v>
      </c>
      <c r="G275" s="4">
        <f>IF(OR(INDEX($AH$2:$AH$1001,MATCH(ROWS($AG$2:AG275),$AG$2:$AG$1001,0),1)&gt;=100000,INDEX($AN$1005:$BO$1005,1,MATCH(COLUMNS($AN$1006:AS1006),$AN$1006:$BO$1006,0))&gt;=100000), " ",IF(INDEX($AN$2:$BO$1001,MATCH(ROWS($AG$2:AG275),$AG$2:$AG$1001,0),MATCH(COLUMNS($AN$1006:AS1006),$AN$1006:$BO$1006,0)), HYPERLINK("#",""), HYPERLINK(CONCATENATE("#Metadata!", ADDRESS(INDEX($AI$2:$AI$1001,MATCH(ROWS($AG$2:AG275),$AG$2:$AG$1001,0),0), INDEX($AN$1004:$BO$1004,1,MATCH(COLUMNS($AN$1006:AS1006),$AN$1006:$BO$1006,0)))),"Fix")))</f>
        <v>0</v>
      </c>
      <c r="H275" s="4">
        <f>IF(OR(INDEX($AH$2:$AH$1001,MATCH(ROWS($AG$2:AG275),$AG$2:$AG$1001,0),1)&gt;=100000,INDEX($AN$1005:$BO$1005,1,MATCH(COLUMNS($AN$1006:AT1006),$AN$1006:$BO$1006,0))&gt;=100000), " ",IF(INDEX($AN$2:$BO$1001,MATCH(ROWS($AG$2:AG275),$AG$2:$AG$1001,0),MATCH(COLUMNS($AN$1006:AT1006),$AN$1006:$BO$1006,0)), HYPERLINK("#",""), HYPERLINK(CONCATENATE("#Metadata!", ADDRESS(INDEX($AI$2:$AI$1001,MATCH(ROWS($AG$2:AG275),$AG$2:$AG$1001,0),0), INDEX($AN$1004:$BO$1004,1,MATCH(COLUMNS($AN$1006:AT1006),$AN$1006:$BO$1006,0)))),"Fix")))</f>
        <v>0</v>
      </c>
      <c r="I275" s="4">
        <f>IF(OR(INDEX($AH$2:$AH$1001,MATCH(ROWS($AG$2:AG275),$AG$2:$AG$1001,0),1)&gt;=100000,INDEX($AN$1005:$BO$1005,1,MATCH(COLUMNS($AN$1006:AU1006),$AN$1006:$BO$1006,0))&gt;=100000), " ",IF(INDEX($AN$2:$BO$1001,MATCH(ROWS($AG$2:AG275),$AG$2:$AG$1001,0),MATCH(COLUMNS($AN$1006:AU1006),$AN$1006:$BO$1006,0)), HYPERLINK("#",""), HYPERLINK(CONCATENATE("#Metadata!", ADDRESS(INDEX($AI$2:$AI$1001,MATCH(ROWS($AG$2:AG275),$AG$2:$AG$1001,0),0), INDEX($AN$1004:$BO$1004,1,MATCH(COLUMNS($AN$1006:AU1006),$AN$1006:$BO$1006,0)))),"Fix")))</f>
        <v>0</v>
      </c>
      <c r="J275" s="4">
        <f>IF(OR(INDEX($AH$2:$AH$1001,MATCH(ROWS($AG$2:AG275),$AG$2:$AG$1001,0),1)&gt;=100000,INDEX($AN$1005:$BO$1005,1,MATCH(COLUMNS($AN$1006:AV1006),$AN$1006:$BO$1006,0))&gt;=100000), " ",IF(INDEX($AN$2:$BO$1001,MATCH(ROWS($AG$2:AG275),$AG$2:$AG$1001,0),MATCH(COLUMNS($AN$1006:AV1006),$AN$1006:$BO$1006,0)), HYPERLINK("#",""), HYPERLINK(CONCATENATE("#Metadata!", ADDRESS(INDEX($AI$2:$AI$1001,MATCH(ROWS($AG$2:AG275),$AG$2:$AG$1001,0),0), INDEX($AN$1004:$BO$1004,1,MATCH(COLUMNS($AN$1006:AV1006),$AN$1006:$BO$1006,0)))),"Fix")))</f>
        <v>0</v>
      </c>
      <c r="K275" s="4">
        <f>IF(OR(INDEX($AH$2:$AH$1001,MATCH(ROWS($AG$2:AG275),$AG$2:$AG$1001,0),1)&gt;=100000,INDEX($AN$1005:$BO$1005,1,MATCH(COLUMNS($AN$1006:AW1006),$AN$1006:$BO$1006,0))&gt;=100000), " ",IF(INDEX($AN$2:$BO$1001,MATCH(ROWS($AG$2:AG275),$AG$2:$AG$1001,0),MATCH(COLUMNS($AN$1006:AW1006),$AN$1006:$BO$1006,0)), HYPERLINK("#",""), HYPERLINK(CONCATENATE("#Metadata!", ADDRESS(INDEX($AI$2:$AI$1001,MATCH(ROWS($AG$2:AG275),$AG$2:$AG$1001,0),0), INDEX($AN$1004:$BO$1004,1,MATCH(COLUMNS($AN$1006:AW1006),$AN$1006:$BO$1006,0)))),"Fix")))</f>
        <v>0</v>
      </c>
      <c r="L275" s="4">
        <f>IF(OR(INDEX($AH$2:$AH$1001,MATCH(ROWS($AG$2:AG275),$AG$2:$AG$1001,0),1)&gt;=100000,INDEX($AN$1005:$BO$1005,1,MATCH(COLUMNS($AN$1006:AX1006),$AN$1006:$BO$1006,0))&gt;=100000), " ",IF(INDEX($AN$2:$BO$1001,MATCH(ROWS($AG$2:AG275),$AG$2:$AG$1001,0),MATCH(COLUMNS($AN$1006:AX1006),$AN$1006:$BO$1006,0)), HYPERLINK("#",""), HYPERLINK(CONCATENATE("#Metadata!", ADDRESS(INDEX($AI$2:$AI$1001,MATCH(ROWS($AG$2:AG275),$AG$2:$AG$1001,0),0), INDEX($AN$1004:$BO$1004,1,MATCH(COLUMNS($AN$1006:AX1006),$AN$1006:$BO$1006,0)))),"Fix")))</f>
        <v>0</v>
      </c>
      <c r="M275" s="4">
        <f>IF(OR(INDEX($AH$2:$AH$1001,MATCH(ROWS($AG$2:AG275),$AG$2:$AG$1001,0),1)&gt;=100000,INDEX($AN$1005:$BO$1005,1,MATCH(COLUMNS($AN$1006:AY1006),$AN$1006:$BO$1006,0))&gt;=100000), " ",IF(INDEX($AN$2:$BO$1001,MATCH(ROWS($AG$2:AG275),$AG$2:$AG$1001,0),MATCH(COLUMNS($AN$1006:AY1006),$AN$1006:$BO$1006,0)), HYPERLINK("#",""), HYPERLINK(CONCATENATE("#Metadata!", ADDRESS(INDEX($AI$2:$AI$1001,MATCH(ROWS($AG$2:AG275),$AG$2:$AG$1001,0),0), INDEX($AN$1004:$BO$1004,1,MATCH(COLUMNS($AN$1006:AY1006),$AN$1006:$BO$1006,0)))),"Fix")))</f>
        <v>0</v>
      </c>
      <c r="N275" s="4">
        <f>IF(OR(INDEX($AH$2:$AH$1001,MATCH(ROWS($AG$2:AG275),$AG$2:$AG$1001,0),1)&gt;=100000,INDEX($AN$1005:$BO$1005,1,MATCH(COLUMNS($AN$1006:AZ1006),$AN$1006:$BO$1006,0))&gt;=100000), " ",IF(INDEX($AN$2:$BO$1001,MATCH(ROWS($AG$2:AG275),$AG$2:$AG$1001,0),MATCH(COLUMNS($AN$1006:AZ1006),$AN$1006:$BO$1006,0)), HYPERLINK("#",""), HYPERLINK(CONCATENATE("#Metadata!", ADDRESS(INDEX($AI$2:$AI$1001,MATCH(ROWS($AG$2:AG275),$AG$2:$AG$1001,0),0), INDEX($AN$1004:$BO$1004,1,MATCH(COLUMNS($AN$1006:AZ1006),$AN$1006:$BO$1006,0)))),"Fix")))</f>
        <v>0</v>
      </c>
      <c r="O275" s="4">
        <f>IF(OR(INDEX($AH$2:$AH$1001,MATCH(ROWS($AG$2:AG275),$AG$2:$AG$1001,0),1)&gt;=100000,INDEX($AN$1005:$BO$1005,1,MATCH(COLUMNS($AN$1006:BA1006),$AN$1006:$BO$1006,0))&gt;=100000), " ",IF(INDEX($AN$2:$BO$1001,MATCH(ROWS($AG$2:AG275),$AG$2:$AG$1001,0),MATCH(COLUMNS($AN$1006:BA1006),$AN$1006:$BO$1006,0)), HYPERLINK("#",""), HYPERLINK(CONCATENATE("#Metadata!", ADDRESS(INDEX($AI$2:$AI$1001,MATCH(ROWS($AG$2:AG275),$AG$2:$AG$1001,0),0), INDEX($AN$1004:$BO$1004,1,MATCH(COLUMNS($AN$1006:BA1006),$AN$1006:$BO$1006,0)))),"Fix")))</f>
        <v>0</v>
      </c>
      <c r="P275" s="4">
        <f>IF(OR(INDEX($AH$2:$AH$1001,MATCH(ROWS($AG$2:AG275),$AG$2:$AG$1001,0),1)&gt;=100000,INDEX($AN$1005:$BO$1005,1,MATCH(COLUMNS($AN$1006:BB1006),$AN$1006:$BO$1006,0))&gt;=100000), " ",IF(INDEX($AN$2:$BO$1001,MATCH(ROWS($AG$2:AG275),$AG$2:$AG$1001,0),MATCH(COLUMNS($AN$1006:BB1006),$AN$1006:$BO$1006,0)), HYPERLINK("#",""), HYPERLINK(CONCATENATE("#Metadata!", ADDRESS(INDEX($AI$2:$AI$1001,MATCH(ROWS($AG$2:AG275),$AG$2:$AG$1001,0),0), INDEX($AN$1004:$BO$1004,1,MATCH(COLUMNS($AN$1006:BB1006),$AN$1006:$BO$1006,0)))),"Fix")))</f>
        <v>0</v>
      </c>
      <c r="Q275" s="4">
        <f>IF(OR(INDEX($AH$2:$AH$1001,MATCH(ROWS($AG$2:AG275),$AG$2:$AG$1001,0),1)&gt;=100000,INDEX($AN$1005:$BO$1005,1,MATCH(COLUMNS($AN$1006:BC1006),$AN$1006:$BO$1006,0))&gt;=100000), " ",IF(INDEX($AN$2:$BO$1001,MATCH(ROWS($AG$2:AG275),$AG$2:$AG$1001,0),MATCH(COLUMNS($AN$1006:BC1006),$AN$1006:$BO$1006,0)), HYPERLINK("#",""), HYPERLINK(CONCATENATE("#Metadata!", ADDRESS(INDEX($AI$2:$AI$1001,MATCH(ROWS($AG$2:AG275),$AG$2:$AG$1001,0),0), INDEX($AN$1004:$BO$1004,1,MATCH(COLUMNS($AN$1006:BC1006),$AN$1006:$BO$1006,0)))),"Fix")))</f>
        <v>0</v>
      </c>
      <c r="R275" s="4">
        <f>IF(OR(INDEX($AH$2:$AH$1001,MATCH(ROWS($AG$2:AG275),$AG$2:$AG$1001,0),1)&gt;=100000,INDEX($AN$1005:$BO$1005,1,MATCH(COLUMNS($AN$1006:BD1006),$AN$1006:$BO$1006,0))&gt;=100000), " ",IF(INDEX($AN$2:$BO$1001,MATCH(ROWS($AG$2:AG275),$AG$2:$AG$1001,0),MATCH(COLUMNS($AN$1006:BD1006),$AN$1006:$BO$1006,0)), HYPERLINK("#",""), HYPERLINK(CONCATENATE("#Metadata!", ADDRESS(INDEX($AI$2:$AI$1001,MATCH(ROWS($AG$2:AG275),$AG$2:$AG$1001,0),0), INDEX($AN$1004:$BO$1004,1,MATCH(COLUMNS($AN$1006:BD1006),$AN$1006:$BO$1006,0)))),"Fix")))</f>
        <v>0</v>
      </c>
      <c r="S275" s="4">
        <f>IF(OR(INDEX($AH$2:$AH$1001,MATCH(ROWS($AG$2:AG275),$AG$2:$AG$1001,0),1)&gt;=100000,INDEX($AN$1005:$BO$1005,1,MATCH(COLUMNS($AN$1006:BE1006),$AN$1006:$BO$1006,0))&gt;=100000), " ",IF(INDEX($AN$2:$BO$1001,MATCH(ROWS($AG$2:AG275),$AG$2:$AG$1001,0),MATCH(COLUMNS($AN$1006:BE1006),$AN$1006:$BO$1006,0)), HYPERLINK("#",""), HYPERLINK(CONCATENATE("#Metadata!", ADDRESS(INDEX($AI$2:$AI$1001,MATCH(ROWS($AG$2:AG275),$AG$2:$AG$1001,0),0), INDEX($AN$1004:$BO$1004,1,MATCH(COLUMNS($AN$1006:BE1006),$AN$1006:$BO$1006,0)))),"Fix")))</f>
        <v>0</v>
      </c>
      <c r="T275" s="4">
        <f>IF(OR(INDEX($AH$2:$AH$1001,MATCH(ROWS($AG$2:AG275),$AG$2:$AG$1001,0),1)&gt;=100000,INDEX($AN$1005:$BO$1005,1,MATCH(COLUMNS($AN$1006:BF1006),$AN$1006:$BO$1006,0))&gt;=100000), " ",IF(INDEX($AN$2:$BO$1001,MATCH(ROWS($AG$2:AG275),$AG$2:$AG$1001,0),MATCH(COLUMNS($AN$1006:BF1006),$AN$1006:$BO$1006,0)), HYPERLINK("#",""), HYPERLINK(CONCATENATE("#Metadata!", ADDRESS(INDEX($AI$2:$AI$1001,MATCH(ROWS($AG$2:AG275),$AG$2:$AG$1001,0),0), INDEX($AN$1004:$BO$1004,1,MATCH(COLUMNS($AN$1006:BF1006),$AN$1006:$BO$1006,0)))),"Fix")))</f>
        <v>0</v>
      </c>
      <c r="U275" s="4">
        <f>IF(OR(INDEX($AH$2:$AH$1001,MATCH(ROWS($AG$2:AG275),$AG$2:$AG$1001,0),1)&gt;=100000,INDEX($AN$1005:$BO$1005,1,MATCH(COLUMNS($AN$1006:BG1006),$AN$1006:$BO$1006,0))&gt;=100000), " ",IF(INDEX($AN$2:$BO$1001,MATCH(ROWS($AG$2:AG275),$AG$2:$AG$1001,0),MATCH(COLUMNS($AN$1006:BG1006),$AN$1006:$BO$1006,0)), HYPERLINK("#",""), HYPERLINK(CONCATENATE("#Metadata!", ADDRESS(INDEX($AI$2:$AI$1001,MATCH(ROWS($AG$2:AG275),$AG$2:$AG$1001,0),0), INDEX($AN$1004:$BO$1004,1,MATCH(COLUMNS($AN$1006:BG1006),$AN$1006:$BO$1006,0)))),"Fix")))</f>
        <v>0</v>
      </c>
      <c r="V275" s="4">
        <f>IF(OR(INDEX($AH$2:$AH$1001,MATCH(ROWS($AG$2:AG275),$AG$2:$AG$1001,0),1)&gt;=100000,INDEX($AN$1005:$BO$1005,1,MATCH(COLUMNS($AN$1006:BH1006),$AN$1006:$BO$1006,0))&gt;=100000), " ",IF(INDEX($AN$2:$BO$1001,MATCH(ROWS($AG$2:AG275),$AG$2:$AG$1001,0),MATCH(COLUMNS($AN$1006:BH1006),$AN$1006:$BO$1006,0)), HYPERLINK("#",""), HYPERLINK(CONCATENATE("#Metadata!", ADDRESS(INDEX($AI$2:$AI$1001,MATCH(ROWS($AG$2:AG275),$AG$2:$AG$1001,0),0), INDEX($AN$1004:$BO$1004,1,MATCH(COLUMNS($AN$1006:BH1006),$AN$1006:$BO$1006,0)))),"Fix")))</f>
        <v>0</v>
      </c>
      <c r="W275" s="4">
        <f>IF(OR(INDEX($AH$2:$AH$1001,MATCH(ROWS($AG$2:AG275),$AG$2:$AG$1001,0),1)&gt;=100000,INDEX($AN$1005:$BO$1005,1,MATCH(COLUMNS($AN$1006:BI1006),$AN$1006:$BO$1006,0))&gt;=100000), " ",IF(INDEX($AN$2:$BO$1001,MATCH(ROWS($AG$2:AG275),$AG$2:$AG$1001,0),MATCH(COLUMNS($AN$1006:BI1006),$AN$1006:$BO$1006,0)), HYPERLINK("#",""), HYPERLINK(CONCATENATE("#Metadata!", ADDRESS(INDEX($AI$2:$AI$1001,MATCH(ROWS($AG$2:AG275),$AG$2:$AG$1001,0),0), INDEX($AN$1004:$BO$1004,1,MATCH(COLUMNS($AN$1006:BI1006),$AN$1006:$BO$1006,0)))),"Fix")))</f>
        <v>0</v>
      </c>
      <c r="X275" s="4">
        <f>IF(OR(INDEX($AH$2:$AH$1001,MATCH(ROWS($AG$2:AG275),$AG$2:$AG$1001,0),1)&gt;=100000,INDEX($AN$1005:$BO$1005,1,MATCH(COLUMNS($AN$1006:BJ1006),$AN$1006:$BO$1006,0))&gt;=100000), " ",IF(INDEX($AN$2:$BO$1001,MATCH(ROWS($AG$2:AG275),$AG$2:$AG$1001,0),MATCH(COLUMNS($AN$1006:BJ1006),$AN$1006:$BO$1006,0)), HYPERLINK("#",""), HYPERLINK(CONCATENATE("#Metadata!", ADDRESS(INDEX($AI$2:$AI$1001,MATCH(ROWS($AG$2:AG275),$AG$2:$AG$1001,0),0), INDEX($AN$1004:$BO$1004,1,MATCH(COLUMNS($AN$1006:BJ1006),$AN$1006:$BO$1006,0)))),"Fix")))</f>
        <v>0</v>
      </c>
      <c r="Y275" s="4">
        <f>IF(OR(INDEX($AH$2:$AH$1001,MATCH(ROWS($AG$2:AG275),$AG$2:$AG$1001,0),1)&gt;=100000,INDEX($AN$1005:$BO$1005,1,MATCH(COLUMNS($AN$1006:BK1006),$AN$1006:$BO$1006,0))&gt;=100000), " ",IF(INDEX($AN$2:$BO$1001,MATCH(ROWS($AG$2:AG275),$AG$2:$AG$1001,0),MATCH(COLUMNS($AN$1006:BK1006),$AN$1006:$BO$1006,0)), HYPERLINK("#",""), HYPERLINK(CONCATENATE("#Metadata!", ADDRESS(INDEX($AI$2:$AI$1001,MATCH(ROWS($AG$2:AG275),$AG$2:$AG$1001,0),0), INDEX($AN$1004:$BO$1004,1,MATCH(COLUMNS($AN$1006:BK1006),$AN$1006:$BO$1006,0)))),"Fix")))</f>
        <v>0</v>
      </c>
      <c r="Z275" s="4">
        <f>IF(OR(INDEX($AH$2:$AH$1001,MATCH(ROWS($AG$2:AG275),$AG$2:$AG$1001,0),1)&gt;=100000,INDEX($AN$1005:$BO$1005,1,MATCH(COLUMNS($AN$1006:BL1006),$AN$1006:$BO$1006,0))&gt;=100000), " ",IF(INDEX($AN$2:$BO$1001,MATCH(ROWS($AG$2:AG275),$AG$2:$AG$1001,0),MATCH(COLUMNS($AN$1006:BL1006),$AN$1006:$BO$1006,0)), HYPERLINK("#",""), HYPERLINK(CONCATENATE("#Metadata!", ADDRESS(INDEX($AI$2:$AI$1001,MATCH(ROWS($AG$2:AG275),$AG$2:$AG$1001,0),0), INDEX($AN$1004:$BO$1004,1,MATCH(COLUMNS($AN$1006:BL1006),$AN$1006:$BO$1006,0)))),"Fix")))</f>
        <v>0</v>
      </c>
      <c r="AA275" s="4">
        <f>IF(OR(INDEX($AH$2:$AH$1001,MATCH(ROWS($AG$2:AG275),$AG$2:$AG$1001,0),1)&gt;=100000,INDEX($AN$1005:$BO$1005,1,MATCH(COLUMNS($AN$1006:BM1006),$AN$1006:$BO$1006,0))&gt;=100000), " ",IF(INDEX($AN$2:$BO$1001,MATCH(ROWS($AG$2:AG275),$AG$2:$AG$1001,0),MATCH(COLUMNS($AN$1006:BM1006),$AN$1006:$BO$1006,0)), HYPERLINK("#",""), HYPERLINK(CONCATENATE("#Metadata!", ADDRESS(INDEX($AI$2:$AI$1001,MATCH(ROWS($AG$2:AG275),$AG$2:$AG$1001,0),0), INDEX($AN$1004:$BO$1004,1,MATCH(COLUMNS($AN$1006:BM1006),$AN$1006:$BO$1006,0)))),"Fix")))</f>
        <v>0</v>
      </c>
      <c r="AB275" s="4">
        <f>IF(OR(INDEX($AH$2:$AH$1001,MATCH(ROWS($AG$2:AG275),$AG$2:$AG$1001,0),1)&gt;=100000,INDEX($AN$1005:$BO$1005,1,MATCH(COLUMNS($AN$1006:BN1006),$AN$1006:$BO$1006,0))&gt;=100000), " ",IF(INDEX($AN$2:$BO$1001,MATCH(ROWS($AG$2:AG275),$AG$2:$AG$1001,0),MATCH(COLUMNS($AN$1006:BN1006),$AN$1006:$BO$1006,0)), HYPERLINK("#",""), HYPERLINK(CONCATENATE("#Metadata!", ADDRESS(INDEX($AI$2:$AI$1001,MATCH(ROWS($AG$2:AG275),$AG$2:$AG$1001,0),0), INDEX($AN$1004:$BO$1004,1,MATCH(COLUMNS($AN$1006:BN1006),$AN$1006:$BO$1006,0)))),"Fix")))</f>
        <v>0</v>
      </c>
      <c r="AC275" s="4">
        <f>IF(OR(INDEX($AH$2:$AH$1001,MATCH(ROWS($AG$2:AG275),$AG$2:$AG$1001,0),1)&gt;=100000,INDEX($AN$1005:$BO$1005,1,MATCH(COLUMNS($AN$1006:BO1006),$AN$1006:$BO$1006,0))&gt;=100000), " ",IF(INDEX($AN$2:$BO$1001,MATCH(ROWS($AG$2:AG275),$AG$2:$AG$1001,0),MATCH(COLUMNS($AN$1006:BO1006),$AN$1006:$BO$1006,0)), HYPERLINK("#",""), HYPERLINK(CONCATENATE("#Metadata!", ADDRESS(INDEX($AI$2:$AI$1001,MATCH(ROWS($AG$2:AG275),$AG$2:$AG$1001,0),0), INDEX($AN$1004:$BO$1004,1,MATCH(COLUMNS($AN$1006:BO1006),$AN$1006:$BO$1006,0)))),"Fix")))</f>
        <v>0</v>
      </c>
      <c r="AG275">
        <v>0</v>
      </c>
      <c r="AH275">
        <v>0</v>
      </c>
      <c r="AI275">
        <v>0</v>
      </c>
      <c r="AJ275">
        <f>IF(AK275,TRUE,AND(AN275:BO275))</f>
        <v>0</v>
      </c>
      <c r="AK275">
        <f>COUNTBLANK(Metadata!B275:AC275)=COLUMNS(Metadata!B275:AC275)</f>
        <v>0</v>
      </c>
      <c r="AL275">
        <v>0</v>
      </c>
      <c r="AN275">
        <f>AND(IF(Metadata!B275="",FALSE,TRUE),COUNTIF(Metadata!B:B, Metadata!B275) = 1,NOT(ISERROR(SUMPRODUCT(SEARCH(MID(Metadata!B275,ROW(INDIRECT("1:"&amp;LEN(Metadata!B275))), 1),"0123456789abcdefghijklmnopqrstuvwxyzABCDEFGHIJKLMNOPQRSTUVWXYZ.")))))</f>
        <v>0</v>
      </c>
      <c r="AO275">
        <f>IF(Metadata!C275="",FALSE,TRUE)</f>
        <v>0</v>
      </c>
      <c r="AP275">
        <f>IF(Metadata!D275="",FALSE,TRUE)</f>
        <v>0</v>
      </c>
      <c r="AQ275">
        <f>OR(AND(IF(Metadata!E275="",FALSE,TRUE),OR(exact(Metadata!E275,"not collected"),exact(Metadata!E275,"not provided"),exact(Metadata!E275,"restricted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R275">
        <f>IF(Metadata!F275="",FALSE,TRUE)</f>
        <v>0</v>
      </c>
      <c r="AS275">
        <f>OR(AND(IF(Metadata!G275="",FALSE,TRUE),OR(exact(Metadata!G275,"not collected"),exact(Metadata!G275,"not provided"))),AND(IF(Metadata!G275="",FALSE,TRUE),OR(exact(Metadata!G275,"TRUE"),exact(Metadata!G275,"FALSE"))))</f>
        <v>0</v>
      </c>
      <c r="AT275">
        <f>OR(AND(IF(Metadata!H275="",FALSE,TRUE),OR(exact(Metadata!H275,"not collected"),exact(Metadata!H275,"not provided"),exact(Metadata!H275,"restricted access"))),AND(IF(Metadata!H275="",FALSE,ISNUMBER(VALUE(Metadata!H275))),Metadata!H275&gt;=-413.0))</f>
        <v>0</v>
      </c>
      <c r="AU275">
        <f>AND(IF(Metadata!I275="",FALSE,TRUE),exact(Metadata!I275,"meters"))</f>
        <v>0</v>
      </c>
      <c r="AV275">
        <f>AND(IF(Metadata!J275="",FALSE,TRUE),OR(exact(Metadata!J275,"Host-associated"),exact(Metadata!J275,"Free-living")))</f>
        <v>0</v>
      </c>
      <c r="AW275">
        <f>AND(IF(Metadata!K275="",FALSE,TRUE),OR(exact(Metadata!K275,"Animal"),exact(Metadata!K275,"Fungus"),exact(Metadata!K275,"Plant"),exact(Metadata!K275,"Saline"),exact(Metadata!K275,"Non-saline")))</f>
        <v>0</v>
      </c>
      <c r="AX275">
        <f>AND(IF(Metadata!L275="",FALSE,TRUE),OR(exact(Metadata!L275,"Plant secretion"),exact(Metadata!L275,"Plant rhizosphere"),exact(Metadata!L275,"Plant surface"),exact(Metadata!L275,"Plant corpus"),exact(Metadata!L275,"Fungus surface"),exact(Metadata!L275,"Fungus corpus"),exact(Metadata!L275,"Animal surface"),exact(Metadata!L275,"Animal proximal gut"),exact(Metadata!L275,"Animal corpus"),exact(Metadata!L275,"Animal distal gut"),exact(Metadata!L275,"Animal secretion"),exact(Metadata!L275,"Sub-surface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Y275">
        <f>IF(Metadata!M275="",FALSE,TRUE)</f>
        <v>0</v>
      </c>
      <c r="AZ275">
        <f>IF(Metadata!N275="",FALSE,TRUE)</f>
        <v>0</v>
      </c>
      <c r="BA275">
        <f>IF(Metadata!O275="",FALSE,TRUE)</f>
        <v>0</v>
      </c>
      <c r="BB275">
        <f>OR(AND(IF(Metadata!P275="",FALSE,TRUE),OR(exact(Metadata!P275,"not collected"),exact(Metadata!P275,"not provided"),exact(Metadata!P275,"restricted access"))),AND(IF(Metadata!P275="",FALSE,TRUE),OR(exact(Metadata!P275,"air"),exact(Metadata!P275,"built environment"),exact(Metadata!P275,"host-associated"),exact(Metadata!P275,"human-associated"),exact(Metadata!P275,"human-skin"),exact(Metadata!P275,"human-oral"),exact(Metadata!P275,"human-gut"),exact(Metadata!P275,"human-vaginal"),exact(Metadata!P275,"microbial mat/biofilm"),exact(Metadata!P275,"misc environment"),exact(Metadata!P275,"plant-associated"),exact(Metadata!P275,"sediment"),exact(Metadata!P275,"soil"),exact(Metadata!P275,"wastewater/sludge"),exact(Metadata!P275,"water"))))</f>
        <v>0</v>
      </c>
      <c r="BC275">
        <f>IF(Metadata!Q275="",FALSE,TRUE)</f>
        <v>0</v>
      </c>
      <c r="BD275">
        <f>IF(Metadata!R275="",FALSE,TRUE)</f>
        <v>0</v>
      </c>
      <c r="BE275">
        <f>OR(AND(IF(Metadata!S275="",FALSE,TRUE),OR(exact(Metadata!S275,"not collected"),exact(Metadata!S275,"not provided"),exact(Metadata!S275,"restricted access"))),AND(IF(Metadata!S275="",FALSE,ISNUMBER(VALUE(Metadata!S275))),Metadata!S275&gt;=-90.00,Metadata!S275&lt;=90.00))</f>
        <v>0</v>
      </c>
      <c r="BF275">
        <f>AND(IF(Metadata!T275="",FALSE,TRUE),exact(Metadata!T275,"Decimal degrees"))</f>
        <v>0</v>
      </c>
      <c r="BG275">
        <f>OR(AND(IF(Metadata!U275="",FALSE,TRUE),OR(exact(Metadata!U275,"not collected"),exact(Metadata!U275,"not provided"),exact(Metadata!U275,"restricted access"))),AND(IF(Metadata!U275="",FALSE,ISNUMBER(VALUE(Metadata!U275))),Metadata!U275&gt;=-180.00,Metadata!U275&lt;=180.00))</f>
        <v>0</v>
      </c>
      <c r="BH275">
        <f>AND(IF(Metadata!V275="",FALSE,TRUE),exact(Metadata!V275,"Decimal degrees"))</f>
        <v>0</v>
      </c>
      <c r="BI275">
        <f>IF(Metadata!W275="",FALSE,TRUE)</f>
        <v>0</v>
      </c>
      <c r="BJ275">
        <f>OR(AND(IF(Metadata!X275="",FALSE,TRUE),OR(exact(Metadata!X275,"not collected"),exact(Metadata!X275,"not provided"),exact(Metadata!X275,"restricted access"))),AND(IF(Metadata!X275="",FALSE,TRUE),OR(exact(Metadata!X275,"TRUE"),exact(Metadata!X275,"FALSE"))))</f>
        <v>0</v>
      </c>
      <c r="BK275">
        <f>AND(IF(Metadata!Y275="",FALSE,TRUE),exact(Metadata!Y275,"other"))</f>
        <v>0</v>
      </c>
      <c r="BL275">
        <f>IF(Metadata!Z275="",FALSE,TRUE)</f>
        <v>0</v>
      </c>
      <c r="BM275">
        <f>OR(AND(IF(Metadata!AA275="",FALSE,TRUE),OR(exact(Metadata!AA275,"not collected"),exact(Metadata!AA275,"not provided"))),AND(IF(Metadata!AA275="",FALSE,IF(ISERROR(INT(Metadata!AA275)),FALSE,INT(Metadata!AA275)=Metadata!AA275)),Metadata!AA275&gt;0))</f>
        <v>0</v>
      </c>
      <c r="BN275">
        <f>AND(IF(Metadata!AB275="",FALSE,TRUE),exact(Metadata!AB275,"Not applicable"))</f>
        <v>0</v>
      </c>
      <c r="BO275">
        <f>IF(Metadata!AC275="",FALSE,TRUE)</f>
        <v>0</v>
      </c>
    </row>
    <row r="276" spans="1:67">
      <c r="A276" s="5">
        <f>IF(B276=" "," ",HYPERLINK(CONCATENATE("#metadata!",ADDRESS(INDEX($AI$2:$AI$1001,MATCH(ROWS($AG$2:AG276),$AG$2:$AG$1001,0),0),1)),INDEX($AL$2:$AL$1001,MATCH(ROWS($AG$2:AG276),$AG$2:$AG$1001,0),0)))</f>
        <v>0</v>
      </c>
      <c r="B276" s="4">
        <f>IF(OR(INDEX($AH$2:$AH$1001,MATCH(ROWS($AG$2:AG276),$AG$2:$AG$1001,0),1)&gt;=100000,INDEX($AN$1005:$BO$1005,1,MATCH(COLUMNS($AN$1006:AN1006),$AN$1006:$BO$1006,0))&gt;=100000), " ",IF(INDEX($AN$2:$BO$1001,MATCH(ROWS($AG$2:AG276),$AG$2:$AG$1001,0),MATCH(COLUMNS($AN$1006:AN1006),$AN$1006:$BO$1006,0)), HYPERLINK("#",""), HYPERLINK(CONCATENATE("#Metadata!", ADDRESS(INDEX($AI$2:$AI$1001,MATCH(ROWS($AG$2:AG276),$AG$2:$AG$1001,0),0), INDEX($AN$1004:$BO$1004,1,MATCH(COLUMNS($AN$1006:AN1006),$AN$1006:$BO$1006,0)))),"Fix")))</f>
        <v>0</v>
      </c>
      <c r="C276" s="4">
        <f>IF(OR(INDEX($AH$2:$AH$1001,MATCH(ROWS($AG$2:AG276),$AG$2:$AG$1001,0),1)&gt;=100000,INDEX($AN$1005:$BO$1005,1,MATCH(COLUMNS($AN$1006:AO1006),$AN$1006:$BO$1006,0))&gt;=100000), " ",IF(INDEX($AN$2:$BO$1001,MATCH(ROWS($AG$2:AG276),$AG$2:$AG$1001,0),MATCH(COLUMNS($AN$1006:AO1006),$AN$1006:$BO$1006,0)), HYPERLINK("#",""), HYPERLINK(CONCATENATE("#Metadata!", ADDRESS(INDEX($AI$2:$AI$1001,MATCH(ROWS($AG$2:AG276),$AG$2:$AG$1001,0),0), INDEX($AN$1004:$BO$1004,1,MATCH(COLUMNS($AN$1006:AO1006),$AN$1006:$BO$1006,0)))),"Fix")))</f>
        <v>0</v>
      </c>
      <c r="D276" s="4">
        <f>IF(OR(INDEX($AH$2:$AH$1001,MATCH(ROWS($AG$2:AG276),$AG$2:$AG$1001,0),1)&gt;=100000,INDEX($AN$1005:$BO$1005,1,MATCH(COLUMNS($AN$1006:AP1006),$AN$1006:$BO$1006,0))&gt;=100000), " ",IF(INDEX($AN$2:$BO$1001,MATCH(ROWS($AG$2:AG276),$AG$2:$AG$1001,0),MATCH(COLUMNS($AN$1006:AP1006),$AN$1006:$BO$1006,0)), HYPERLINK("#",""), HYPERLINK(CONCATENATE("#Metadata!", ADDRESS(INDEX($AI$2:$AI$1001,MATCH(ROWS($AG$2:AG276),$AG$2:$AG$1001,0),0), INDEX($AN$1004:$BO$1004,1,MATCH(COLUMNS($AN$1006:AP1006),$AN$1006:$BO$1006,0)))),"Fix")))</f>
        <v>0</v>
      </c>
      <c r="E276" s="4">
        <f>IF(OR(INDEX($AH$2:$AH$1001,MATCH(ROWS($AG$2:AG276),$AG$2:$AG$1001,0),1)&gt;=100000,INDEX($AN$1005:$BO$1005,1,MATCH(COLUMNS($AN$1006:AQ1006),$AN$1006:$BO$1006,0))&gt;=100000), " ",IF(INDEX($AN$2:$BO$1001,MATCH(ROWS($AG$2:AG276),$AG$2:$AG$1001,0),MATCH(COLUMNS($AN$1006:AQ1006),$AN$1006:$BO$1006,0)), HYPERLINK("#",""), HYPERLINK(CONCATENATE("#Metadata!", ADDRESS(INDEX($AI$2:$AI$1001,MATCH(ROWS($AG$2:AG276),$AG$2:$AG$1001,0),0), INDEX($AN$1004:$BO$1004,1,MATCH(COLUMNS($AN$1006:AQ1006),$AN$1006:$BO$1006,0)))),"Fix")))</f>
        <v>0</v>
      </c>
      <c r="F276" s="4">
        <f>IF(OR(INDEX($AH$2:$AH$1001,MATCH(ROWS($AG$2:AG276),$AG$2:$AG$1001,0),1)&gt;=100000,INDEX($AN$1005:$BO$1005,1,MATCH(COLUMNS($AN$1006:AR1006),$AN$1006:$BO$1006,0))&gt;=100000), " ",IF(INDEX($AN$2:$BO$1001,MATCH(ROWS($AG$2:AG276),$AG$2:$AG$1001,0),MATCH(COLUMNS($AN$1006:AR1006),$AN$1006:$BO$1006,0)), HYPERLINK("#",""), HYPERLINK(CONCATENATE("#Metadata!", ADDRESS(INDEX($AI$2:$AI$1001,MATCH(ROWS($AG$2:AG276),$AG$2:$AG$1001,0),0), INDEX($AN$1004:$BO$1004,1,MATCH(COLUMNS($AN$1006:AR1006),$AN$1006:$BO$1006,0)))),"Fix")))</f>
        <v>0</v>
      </c>
      <c r="G276" s="4">
        <f>IF(OR(INDEX($AH$2:$AH$1001,MATCH(ROWS($AG$2:AG276),$AG$2:$AG$1001,0),1)&gt;=100000,INDEX($AN$1005:$BO$1005,1,MATCH(COLUMNS($AN$1006:AS1006),$AN$1006:$BO$1006,0))&gt;=100000), " ",IF(INDEX($AN$2:$BO$1001,MATCH(ROWS($AG$2:AG276),$AG$2:$AG$1001,0),MATCH(COLUMNS($AN$1006:AS1006),$AN$1006:$BO$1006,0)), HYPERLINK("#",""), HYPERLINK(CONCATENATE("#Metadata!", ADDRESS(INDEX($AI$2:$AI$1001,MATCH(ROWS($AG$2:AG276),$AG$2:$AG$1001,0),0), INDEX($AN$1004:$BO$1004,1,MATCH(COLUMNS($AN$1006:AS1006),$AN$1006:$BO$1006,0)))),"Fix")))</f>
        <v>0</v>
      </c>
      <c r="H276" s="4">
        <f>IF(OR(INDEX($AH$2:$AH$1001,MATCH(ROWS($AG$2:AG276),$AG$2:$AG$1001,0),1)&gt;=100000,INDEX($AN$1005:$BO$1005,1,MATCH(COLUMNS($AN$1006:AT1006),$AN$1006:$BO$1006,0))&gt;=100000), " ",IF(INDEX($AN$2:$BO$1001,MATCH(ROWS($AG$2:AG276),$AG$2:$AG$1001,0),MATCH(COLUMNS($AN$1006:AT1006),$AN$1006:$BO$1006,0)), HYPERLINK("#",""), HYPERLINK(CONCATENATE("#Metadata!", ADDRESS(INDEX($AI$2:$AI$1001,MATCH(ROWS($AG$2:AG276),$AG$2:$AG$1001,0),0), INDEX($AN$1004:$BO$1004,1,MATCH(COLUMNS($AN$1006:AT1006),$AN$1006:$BO$1006,0)))),"Fix")))</f>
        <v>0</v>
      </c>
      <c r="I276" s="4">
        <f>IF(OR(INDEX($AH$2:$AH$1001,MATCH(ROWS($AG$2:AG276),$AG$2:$AG$1001,0),1)&gt;=100000,INDEX($AN$1005:$BO$1005,1,MATCH(COLUMNS($AN$1006:AU1006),$AN$1006:$BO$1006,0))&gt;=100000), " ",IF(INDEX($AN$2:$BO$1001,MATCH(ROWS($AG$2:AG276),$AG$2:$AG$1001,0),MATCH(COLUMNS($AN$1006:AU1006),$AN$1006:$BO$1006,0)), HYPERLINK("#",""), HYPERLINK(CONCATENATE("#Metadata!", ADDRESS(INDEX($AI$2:$AI$1001,MATCH(ROWS($AG$2:AG276),$AG$2:$AG$1001,0),0), INDEX($AN$1004:$BO$1004,1,MATCH(COLUMNS($AN$1006:AU1006),$AN$1006:$BO$1006,0)))),"Fix")))</f>
        <v>0</v>
      </c>
      <c r="J276" s="4">
        <f>IF(OR(INDEX($AH$2:$AH$1001,MATCH(ROWS($AG$2:AG276),$AG$2:$AG$1001,0),1)&gt;=100000,INDEX($AN$1005:$BO$1005,1,MATCH(COLUMNS($AN$1006:AV1006),$AN$1006:$BO$1006,0))&gt;=100000), " ",IF(INDEX($AN$2:$BO$1001,MATCH(ROWS($AG$2:AG276),$AG$2:$AG$1001,0),MATCH(COLUMNS($AN$1006:AV1006),$AN$1006:$BO$1006,0)), HYPERLINK("#",""), HYPERLINK(CONCATENATE("#Metadata!", ADDRESS(INDEX($AI$2:$AI$1001,MATCH(ROWS($AG$2:AG276),$AG$2:$AG$1001,0),0), INDEX($AN$1004:$BO$1004,1,MATCH(COLUMNS($AN$1006:AV1006),$AN$1006:$BO$1006,0)))),"Fix")))</f>
        <v>0</v>
      </c>
      <c r="K276" s="4">
        <f>IF(OR(INDEX($AH$2:$AH$1001,MATCH(ROWS($AG$2:AG276),$AG$2:$AG$1001,0),1)&gt;=100000,INDEX($AN$1005:$BO$1005,1,MATCH(COLUMNS($AN$1006:AW1006),$AN$1006:$BO$1006,0))&gt;=100000), " ",IF(INDEX($AN$2:$BO$1001,MATCH(ROWS($AG$2:AG276),$AG$2:$AG$1001,0),MATCH(COLUMNS($AN$1006:AW1006),$AN$1006:$BO$1006,0)), HYPERLINK("#",""), HYPERLINK(CONCATENATE("#Metadata!", ADDRESS(INDEX($AI$2:$AI$1001,MATCH(ROWS($AG$2:AG276),$AG$2:$AG$1001,0),0), INDEX($AN$1004:$BO$1004,1,MATCH(COLUMNS($AN$1006:AW1006),$AN$1006:$BO$1006,0)))),"Fix")))</f>
        <v>0</v>
      </c>
      <c r="L276" s="4">
        <f>IF(OR(INDEX($AH$2:$AH$1001,MATCH(ROWS($AG$2:AG276),$AG$2:$AG$1001,0),1)&gt;=100000,INDEX($AN$1005:$BO$1005,1,MATCH(COLUMNS($AN$1006:AX1006),$AN$1006:$BO$1006,0))&gt;=100000), " ",IF(INDEX($AN$2:$BO$1001,MATCH(ROWS($AG$2:AG276),$AG$2:$AG$1001,0),MATCH(COLUMNS($AN$1006:AX1006),$AN$1006:$BO$1006,0)), HYPERLINK("#",""), HYPERLINK(CONCATENATE("#Metadata!", ADDRESS(INDEX($AI$2:$AI$1001,MATCH(ROWS($AG$2:AG276),$AG$2:$AG$1001,0),0), INDEX($AN$1004:$BO$1004,1,MATCH(COLUMNS($AN$1006:AX1006),$AN$1006:$BO$1006,0)))),"Fix")))</f>
        <v>0</v>
      </c>
      <c r="M276" s="4">
        <f>IF(OR(INDEX($AH$2:$AH$1001,MATCH(ROWS($AG$2:AG276),$AG$2:$AG$1001,0),1)&gt;=100000,INDEX($AN$1005:$BO$1005,1,MATCH(COLUMNS($AN$1006:AY1006),$AN$1006:$BO$1006,0))&gt;=100000), " ",IF(INDEX($AN$2:$BO$1001,MATCH(ROWS($AG$2:AG276),$AG$2:$AG$1001,0),MATCH(COLUMNS($AN$1006:AY1006),$AN$1006:$BO$1006,0)), HYPERLINK("#",""), HYPERLINK(CONCATENATE("#Metadata!", ADDRESS(INDEX($AI$2:$AI$1001,MATCH(ROWS($AG$2:AG276),$AG$2:$AG$1001,0),0), INDEX($AN$1004:$BO$1004,1,MATCH(COLUMNS($AN$1006:AY1006),$AN$1006:$BO$1006,0)))),"Fix")))</f>
        <v>0</v>
      </c>
      <c r="N276" s="4">
        <f>IF(OR(INDEX($AH$2:$AH$1001,MATCH(ROWS($AG$2:AG276),$AG$2:$AG$1001,0),1)&gt;=100000,INDEX($AN$1005:$BO$1005,1,MATCH(COLUMNS($AN$1006:AZ1006),$AN$1006:$BO$1006,0))&gt;=100000), " ",IF(INDEX($AN$2:$BO$1001,MATCH(ROWS($AG$2:AG276),$AG$2:$AG$1001,0),MATCH(COLUMNS($AN$1006:AZ1006),$AN$1006:$BO$1006,0)), HYPERLINK("#",""), HYPERLINK(CONCATENATE("#Metadata!", ADDRESS(INDEX($AI$2:$AI$1001,MATCH(ROWS($AG$2:AG276),$AG$2:$AG$1001,0),0), INDEX($AN$1004:$BO$1004,1,MATCH(COLUMNS($AN$1006:AZ1006),$AN$1006:$BO$1006,0)))),"Fix")))</f>
        <v>0</v>
      </c>
      <c r="O276" s="4">
        <f>IF(OR(INDEX($AH$2:$AH$1001,MATCH(ROWS($AG$2:AG276),$AG$2:$AG$1001,0),1)&gt;=100000,INDEX($AN$1005:$BO$1005,1,MATCH(COLUMNS($AN$1006:BA1006),$AN$1006:$BO$1006,0))&gt;=100000), " ",IF(INDEX($AN$2:$BO$1001,MATCH(ROWS($AG$2:AG276),$AG$2:$AG$1001,0),MATCH(COLUMNS($AN$1006:BA1006),$AN$1006:$BO$1006,0)), HYPERLINK("#",""), HYPERLINK(CONCATENATE("#Metadata!", ADDRESS(INDEX($AI$2:$AI$1001,MATCH(ROWS($AG$2:AG276),$AG$2:$AG$1001,0),0), INDEX($AN$1004:$BO$1004,1,MATCH(COLUMNS($AN$1006:BA1006),$AN$1006:$BO$1006,0)))),"Fix")))</f>
        <v>0</v>
      </c>
      <c r="P276" s="4">
        <f>IF(OR(INDEX($AH$2:$AH$1001,MATCH(ROWS($AG$2:AG276),$AG$2:$AG$1001,0),1)&gt;=100000,INDEX($AN$1005:$BO$1005,1,MATCH(COLUMNS($AN$1006:BB1006),$AN$1006:$BO$1006,0))&gt;=100000), " ",IF(INDEX($AN$2:$BO$1001,MATCH(ROWS($AG$2:AG276),$AG$2:$AG$1001,0),MATCH(COLUMNS($AN$1006:BB1006),$AN$1006:$BO$1006,0)), HYPERLINK("#",""), HYPERLINK(CONCATENATE("#Metadata!", ADDRESS(INDEX($AI$2:$AI$1001,MATCH(ROWS($AG$2:AG276),$AG$2:$AG$1001,0),0), INDEX($AN$1004:$BO$1004,1,MATCH(COLUMNS($AN$1006:BB1006),$AN$1006:$BO$1006,0)))),"Fix")))</f>
        <v>0</v>
      </c>
      <c r="Q276" s="4">
        <f>IF(OR(INDEX($AH$2:$AH$1001,MATCH(ROWS($AG$2:AG276),$AG$2:$AG$1001,0),1)&gt;=100000,INDEX($AN$1005:$BO$1005,1,MATCH(COLUMNS($AN$1006:BC1006),$AN$1006:$BO$1006,0))&gt;=100000), " ",IF(INDEX($AN$2:$BO$1001,MATCH(ROWS($AG$2:AG276),$AG$2:$AG$1001,0),MATCH(COLUMNS($AN$1006:BC1006),$AN$1006:$BO$1006,0)), HYPERLINK("#",""), HYPERLINK(CONCATENATE("#Metadata!", ADDRESS(INDEX($AI$2:$AI$1001,MATCH(ROWS($AG$2:AG276),$AG$2:$AG$1001,0),0), INDEX($AN$1004:$BO$1004,1,MATCH(COLUMNS($AN$1006:BC1006),$AN$1006:$BO$1006,0)))),"Fix")))</f>
        <v>0</v>
      </c>
      <c r="R276" s="4">
        <f>IF(OR(INDEX($AH$2:$AH$1001,MATCH(ROWS($AG$2:AG276),$AG$2:$AG$1001,0),1)&gt;=100000,INDEX($AN$1005:$BO$1005,1,MATCH(COLUMNS($AN$1006:BD1006),$AN$1006:$BO$1006,0))&gt;=100000), " ",IF(INDEX($AN$2:$BO$1001,MATCH(ROWS($AG$2:AG276),$AG$2:$AG$1001,0),MATCH(COLUMNS($AN$1006:BD1006),$AN$1006:$BO$1006,0)), HYPERLINK("#",""), HYPERLINK(CONCATENATE("#Metadata!", ADDRESS(INDEX($AI$2:$AI$1001,MATCH(ROWS($AG$2:AG276),$AG$2:$AG$1001,0),0), INDEX($AN$1004:$BO$1004,1,MATCH(COLUMNS($AN$1006:BD1006),$AN$1006:$BO$1006,0)))),"Fix")))</f>
        <v>0</v>
      </c>
      <c r="S276" s="4">
        <f>IF(OR(INDEX($AH$2:$AH$1001,MATCH(ROWS($AG$2:AG276),$AG$2:$AG$1001,0),1)&gt;=100000,INDEX($AN$1005:$BO$1005,1,MATCH(COLUMNS($AN$1006:BE1006),$AN$1006:$BO$1006,0))&gt;=100000), " ",IF(INDEX($AN$2:$BO$1001,MATCH(ROWS($AG$2:AG276),$AG$2:$AG$1001,0),MATCH(COLUMNS($AN$1006:BE1006),$AN$1006:$BO$1006,0)), HYPERLINK("#",""), HYPERLINK(CONCATENATE("#Metadata!", ADDRESS(INDEX($AI$2:$AI$1001,MATCH(ROWS($AG$2:AG276),$AG$2:$AG$1001,0),0), INDEX($AN$1004:$BO$1004,1,MATCH(COLUMNS($AN$1006:BE1006),$AN$1006:$BO$1006,0)))),"Fix")))</f>
        <v>0</v>
      </c>
      <c r="T276" s="4">
        <f>IF(OR(INDEX($AH$2:$AH$1001,MATCH(ROWS($AG$2:AG276),$AG$2:$AG$1001,0),1)&gt;=100000,INDEX($AN$1005:$BO$1005,1,MATCH(COLUMNS($AN$1006:BF1006),$AN$1006:$BO$1006,0))&gt;=100000), " ",IF(INDEX($AN$2:$BO$1001,MATCH(ROWS($AG$2:AG276),$AG$2:$AG$1001,0),MATCH(COLUMNS($AN$1006:BF1006),$AN$1006:$BO$1006,0)), HYPERLINK("#",""), HYPERLINK(CONCATENATE("#Metadata!", ADDRESS(INDEX($AI$2:$AI$1001,MATCH(ROWS($AG$2:AG276),$AG$2:$AG$1001,0),0), INDEX($AN$1004:$BO$1004,1,MATCH(COLUMNS($AN$1006:BF1006),$AN$1006:$BO$1006,0)))),"Fix")))</f>
        <v>0</v>
      </c>
      <c r="U276" s="4">
        <f>IF(OR(INDEX($AH$2:$AH$1001,MATCH(ROWS($AG$2:AG276),$AG$2:$AG$1001,0),1)&gt;=100000,INDEX($AN$1005:$BO$1005,1,MATCH(COLUMNS($AN$1006:BG1006),$AN$1006:$BO$1006,0))&gt;=100000), " ",IF(INDEX($AN$2:$BO$1001,MATCH(ROWS($AG$2:AG276),$AG$2:$AG$1001,0),MATCH(COLUMNS($AN$1006:BG1006),$AN$1006:$BO$1006,0)), HYPERLINK("#",""), HYPERLINK(CONCATENATE("#Metadata!", ADDRESS(INDEX($AI$2:$AI$1001,MATCH(ROWS($AG$2:AG276),$AG$2:$AG$1001,0),0), INDEX($AN$1004:$BO$1004,1,MATCH(COLUMNS($AN$1006:BG1006),$AN$1006:$BO$1006,0)))),"Fix")))</f>
        <v>0</v>
      </c>
      <c r="V276" s="4">
        <f>IF(OR(INDEX($AH$2:$AH$1001,MATCH(ROWS($AG$2:AG276),$AG$2:$AG$1001,0),1)&gt;=100000,INDEX($AN$1005:$BO$1005,1,MATCH(COLUMNS($AN$1006:BH1006),$AN$1006:$BO$1006,0))&gt;=100000), " ",IF(INDEX($AN$2:$BO$1001,MATCH(ROWS($AG$2:AG276),$AG$2:$AG$1001,0),MATCH(COLUMNS($AN$1006:BH1006),$AN$1006:$BO$1006,0)), HYPERLINK("#",""), HYPERLINK(CONCATENATE("#Metadata!", ADDRESS(INDEX($AI$2:$AI$1001,MATCH(ROWS($AG$2:AG276),$AG$2:$AG$1001,0),0), INDEX($AN$1004:$BO$1004,1,MATCH(COLUMNS($AN$1006:BH1006),$AN$1006:$BO$1006,0)))),"Fix")))</f>
        <v>0</v>
      </c>
      <c r="W276" s="4">
        <f>IF(OR(INDEX($AH$2:$AH$1001,MATCH(ROWS($AG$2:AG276),$AG$2:$AG$1001,0),1)&gt;=100000,INDEX($AN$1005:$BO$1005,1,MATCH(COLUMNS($AN$1006:BI1006),$AN$1006:$BO$1006,0))&gt;=100000), " ",IF(INDEX($AN$2:$BO$1001,MATCH(ROWS($AG$2:AG276),$AG$2:$AG$1001,0),MATCH(COLUMNS($AN$1006:BI1006),$AN$1006:$BO$1006,0)), HYPERLINK("#",""), HYPERLINK(CONCATENATE("#Metadata!", ADDRESS(INDEX($AI$2:$AI$1001,MATCH(ROWS($AG$2:AG276),$AG$2:$AG$1001,0),0), INDEX($AN$1004:$BO$1004,1,MATCH(COLUMNS($AN$1006:BI1006),$AN$1006:$BO$1006,0)))),"Fix")))</f>
        <v>0</v>
      </c>
      <c r="X276" s="4">
        <f>IF(OR(INDEX($AH$2:$AH$1001,MATCH(ROWS($AG$2:AG276),$AG$2:$AG$1001,0),1)&gt;=100000,INDEX($AN$1005:$BO$1005,1,MATCH(COLUMNS($AN$1006:BJ1006),$AN$1006:$BO$1006,0))&gt;=100000), " ",IF(INDEX($AN$2:$BO$1001,MATCH(ROWS($AG$2:AG276),$AG$2:$AG$1001,0),MATCH(COLUMNS($AN$1006:BJ1006),$AN$1006:$BO$1006,0)), HYPERLINK("#",""), HYPERLINK(CONCATENATE("#Metadata!", ADDRESS(INDEX($AI$2:$AI$1001,MATCH(ROWS($AG$2:AG276),$AG$2:$AG$1001,0),0), INDEX($AN$1004:$BO$1004,1,MATCH(COLUMNS($AN$1006:BJ1006),$AN$1006:$BO$1006,0)))),"Fix")))</f>
        <v>0</v>
      </c>
      <c r="Y276" s="4">
        <f>IF(OR(INDEX($AH$2:$AH$1001,MATCH(ROWS($AG$2:AG276),$AG$2:$AG$1001,0),1)&gt;=100000,INDEX($AN$1005:$BO$1005,1,MATCH(COLUMNS($AN$1006:BK1006),$AN$1006:$BO$1006,0))&gt;=100000), " ",IF(INDEX($AN$2:$BO$1001,MATCH(ROWS($AG$2:AG276),$AG$2:$AG$1001,0),MATCH(COLUMNS($AN$1006:BK1006),$AN$1006:$BO$1006,0)), HYPERLINK("#",""), HYPERLINK(CONCATENATE("#Metadata!", ADDRESS(INDEX($AI$2:$AI$1001,MATCH(ROWS($AG$2:AG276),$AG$2:$AG$1001,0),0), INDEX($AN$1004:$BO$1004,1,MATCH(COLUMNS($AN$1006:BK1006),$AN$1006:$BO$1006,0)))),"Fix")))</f>
        <v>0</v>
      </c>
      <c r="Z276" s="4">
        <f>IF(OR(INDEX($AH$2:$AH$1001,MATCH(ROWS($AG$2:AG276),$AG$2:$AG$1001,0),1)&gt;=100000,INDEX($AN$1005:$BO$1005,1,MATCH(COLUMNS($AN$1006:BL1006),$AN$1006:$BO$1006,0))&gt;=100000), " ",IF(INDEX($AN$2:$BO$1001,MATCH(ROWS($AG$2:AG276),$AG$2:$AG$1001,0),MATCH(COLUMNS($AN$1006:BL1006),$AN$1006:$BO$1006,0)), HYPERLINK("#",""), HYPERLINK(CONCATENATE("#Metadata!", ADDRESS(INDEX($AI$2:$AI$1001,MATCH(ROWS($AG$2:AG276),$AG$2:$AG$1001,0),0), INDEX($AN$1004:$BO$1004,1,MATCH(COLUMNS($AN$1006:BL1006),$AN$1006:$BO$1006,0)))),"Fix")))</f>
        <v>0</v>
      </c>
      <c r="AA276" s="4">
        <f>IF(OR(INDEX($AH$2:$AH$1001,MATCH(ROWS($AG$2:AG276),$AG$2:$AG$1001,0),1)&gt;=100000,INDEX($AN$1005:$BO$1005,1,MATCH(COLUMNS($AN$1006:BM1006),$AN$1006:$BO$1006,0))&gt;=100000), " ",IF(INDEX($AN$2:$BO$1001,MATCH(ROWS($AG$2:AG276),$AG$2:$AG$1001,0),MATCH(COLUMNS($AN$1006:BM1006),$AN$1006:$BO$1006,0)), HYPERLINK("#",""), HYPERLINK(CONCATENATE("#Metadata!", ADDRESS(INDEX($AI$2:$AI$1001,MATCH(ROWS($AG$2:AG276),$AG$2:$AG$1001,0),0), INDEX($AN$1004:$BO$1004,1,MATCH(COLUMNS($AN$1006:BM1006),$AN$1006:$BO$1006,0)))),"Fix")))</f>
        <v>0</v>
      </c>
      <c r="AB276" s="4">
        <f>IF(OR(INDEX($AH$2:$AH$1001,MATCH(ROWS($AG$2:AG276),$AG$2:$AG$1001,0),1)&gt;=100000,INDEX($AN$1005:$BO$1005,1,MATCH(COLUMNS($AN$1006:BN1006),$AN$1006:$BO$1006,0))&gt;=100000), " ",IF(INDEX($AN$2:$BO$1001,MATCH(ROWS($AG$2:AG276),$AG$2:$AG$1001,0),MATCH(COLUMNS($AN$1006:BN1006),$AN$1006:$BO$1006,0)), HYPERLINK("#",""), HYPERLINK(CONCATENATE("#Metadata!", ADDRESS(INDEX($AI$2:$AI$1001,MATCH(ROWS($AG$2:AG276),$AG$2:$AG$1001,0),0), INDEX($AN$1004:$BO$1004,1,MATCH(COLUMNS($AN$1006:BN1006),$AN$1006:$BO$1006,0)))),"Fix")))</f>
        <v>0</v>
      </c>
      <c r="AC276" s="4">
        <f>IF(OR(INDEX($AH$2:$AH$1001,MATCH(ROWS($AG$2:AG276),$AG$2:$AG$1001,0),1)&gt;=100000,INDEX($AN$1005:$BO$1005,1,MATCH(COLUMNS($AN$1006:BO1006),$AN$1006:$BO$1006,0))&gt;=100000), " ",IF(INDEX($AN$2:$BO$1001,MATCH(ROWS($AG$2:AG276),$AG$2:$AG$1001,0),MATCH(COLUMNS($AN$1006:BO1006),$AN$1006:$BO$1006,0)), HYPERLINK("#",""), HYPERLINK(CONCATENATE("#Metadata!", ADDRESS(INDEX($AI$2:$AI$1001,MATCH(ROWS($AG$2:AG276),$AG$2:$AG$1001,0),0), INDEX($AN$1004:$BO$1004,1,MATCH(COLUMNS($AN$1006:BO1006),$AN$1006:$BO$1006,0)))),"Fix")))</f>
        <v>0</v>
      </c>
      <c r="AG276">
        <v>0</v>
      </c>
      <c r="AH276">
        <v>0</v>
      </c>
      <c r="AI276">
        <v>0</v>
      </c>
      <c r="AJ276">
        <f>IF(AK276,TRUE,AND(AN276:BO276))</f>
        <v>0</v>
      </c>
      <c r="AK276">
        <f>COUNTBLANK(Metadata!B276:AC276)=COLUMNS(Metadata!B276:AC276)</f>
        <v>0</v>
      </c>
      <c r="AL276">
        <v>0</v>
      </c>
      <c r="AN276">
        <f>AND(IF(Metadata!B276="",FALSE,TRUE),COUNTIF(Metadata!B:B, Metadata!B276) = 1,NOT(ISERROR(SUMPRODUCT(SEARCH(MID(Metadata!B276,ROW(INDIRECT("1:"&amp;LEN(Metadata!B276))), 1),"0123456789abcdefghijklmnopqrstuvwxyzABCDEFGHIJKLMNOPQRSTUVWXYZ.")))))</f>
        <v>0</v>
      </c>
      <c r="AO276">
        <f>IF(Metadata!C276="",FALSE,TRUE)</f>
        <v>0</v>
      </c>
      <c r="AP276">
        <f>IF(Metadata!D276="",FALSE,TRUE)</f>
        <v>0</v>
      </c>
      <c r="AQ276">
        <f>OR(AND(IF(Metadata!E276="",FALSE,TRUE),OR(exact(Metadata!E276,"not collected"),exact(Metadata!E276,"not provided"),exact(Metadata!E276,"restricted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R276">
        <f>IF(Metadata!F276="",FALSE,TRUE)</f>
        <v>0</v>
      </c>
      <c r="AS276">
        <f>OR(AND(IF(Metadata!G276="",FALSE,TRUE),OR(exact(Metadata!G276,"not collected"),exact(Metadata!G276,"not provided"))),AND(IF(Metadata!G276="",FALSE,TRUE),OR(exact(Metadata!G276,"TRUE"),exact(Metadata!G276,"FALSE"))))</f>
        <v>0</v>
      </c>
      <c r="AT276">
        <f>OR(AND(IF(Metadata!H276="",FALSE,TRUE),OR(exact(Metadata!H276,"not collected"),exact(Metadata!H276,"not provided"),exact(Metadata!H276,"restricted access"))),AND(IF(Metadata!H276="",FALSE,ISNUMBER(VALUE(Metadata!H276))),Metadata!H276&gt;=-413.0))</f>
        <v>0</v>
      </c>
      <c r="AU276">
        <f>AND(IF(Metadata!I276="",FALSE,TRUE),exact(Metadata!I276,"meters"))</f>
        <v>0</v>
      </c>
      <c r="AV276">
        <f>AND(IF(Metadata!J276="",FALSE,TRUE),OR(exact(Metadata!J276,"Host-associated"),exact(Metadata!J276,"Free-living")))</f>
        <v>0</v>
      </c>
      <c r="AW276">
        <f>AND(IF(Metadata!K276="",FALSE,TRUE),OR(exact(Metadata!K276,"Animal"),exact(Metadata!K276,"Fungus"),exact(Metadata!K276,"Plant"),exact(Metadata!K276,"Saline"),exact(Metadata!K276,"Non-saline")))</f>
        <v>0</v>
      </c>
      <c r="AX276">
        <f>AND(IF(Metadata!L276="",FALSE,TRUE),OR(exact(Metadata!L276,"Plant secretion"),exact(Metadata!L276,"Plant rhizosphere"),exact(Metadata!L276,"Plant surface"),exact(Metadata!L276,"Plant corpus"),exact(Metadata!L276,"Fungus surface"),exact(Metadata!L276,"Fungus corpus"),exact(Metadata!L276,"Animal surface"),exact(Metadata!L276,"Animal proximal gut"),exact(Metadata!L276,"Animal corpus"),exact(Metadata!L276,"Animal distal gut"),exact(Metadata!L276,"Animal secretion"),exact(Metadata!L276,"Sub-surface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Y276">
        <f>IF(Metadata!M276="",FALSE,TRUE)</f>
        <v>0</v>
      </c>
      <c r="AZ276">
        <f>IF(Metadata!N276="",FALSE,TRUE)</f>
        <v>0</v>
      </c>
      <c r="BA276">
        <f>IF(Metadata!O276="",FALSE,TRUE)</f>
        <v>0</v>
      </c>
      <c r="BB276">
        <f>OR(AND(IF(Metadata!P276="",FALSE,TRUE),OR(exact(Metadata!P276,"not collected"),exact(Metadata!P276,"not provided"),exact(Metadata!P276,"restricted access"))),AND(IF(Metadata!P276="",FALSE,TRUE),OR(exact(Metadata!P276,"air"),exact(Metadata!P276,"built environment"),exact(Metadata!P276,"host-associated"),exact(Metadata!P276,"human-associated"),exact(Metadata!P276,"human-skin"),exact(Metadata!P276,"human-oral"),exact(Metadata!P276,"human-gut"),exact(Metadata!P276,"human-vaginal"),exact(Metadata!P276,"microbial mat/biofilm"),exact(Metadata!P276,"misc environment"),exact(Metadata!P276,"plant-associated"),exact(Metadata!P276,"sediment"),exact(Metadata!P276,"soil"),exact(Metadata!P276,"wastewater/sludge"),exact(Metadata!P276,"water"))))</f>
        <v>0</v>
      </c>
      <c r="BC276">
        <f>IF(Metadata!Q276="",FALSE,TRUE)</f>
        <v>0</v>
      </c>
      <c r="BD276">
        <f>IF(Metadata!R276="",FALSE,TRUE)</f>
        <v>0</v>
      </c>
      <c r="BE276">
        <f>OR(AND(IF(Metadata!S276="",FALSE,TRUE),OR(exact(Metadata!S276,"not collected"),exact(Metadata!S276,"not provided"),exact(Metadata!S276,"restricted access"))),AND(IF(Metadata!S276="",FALSE,ISNUMBER(VALUE(Metadata!S276))),Metadata!S276&gt;=-90.00,Metadata!S276&lt;=90.00))</f>
        <v>0</v>
      </c>
      <c r="BF276">
        <f>AND(IF(Metadata!T276="",FALSE,TRUE),exact(Metadata!T276,"Decimal degrees"))</f>
        <v>0</v>
      </c>
      <c r="BG276">
        <f>OR(AND(IF(Metadata!U276="",FALSE,TRUE),OR(exact(Metadata!U276,"not collected"),exact(Metadata!U276,"not provided"),exact(Metadata!U276,"restricted access"))),AND(IF(Metadata!U276="",FALSE,ISNUMBER(VALUE(Metadata!U276))),Metadata!U276&gt;=-180.00,Metadata!U276&lt;=180.00))</f>
        <v>0</v>
      </c>
      <c r="BH276">
        <f>AND(IF(Metadata!V276="",FALSE,TRUE),exact(Metadata!V276,"Decimal degrees"))</f>
        <v>0</v>
      </c>
      <c r="BI276">
        <f>IF(Metadata!W276="",FALSE,TRUE)</f>
        <v>0</v>
      </c>
      <c r="BJ276">
        <f>OR(AND(IF(Metadata!X276="",FALSE,TRUE),OR(exact(Metadata!X276,"not collected"),exact(Metadata!X276,"not provided"),exact(Metadata!X276,"restricted access"))),AND(IF(Metadata!X276="",FALSE,TRUE),OR(exact(Metadata!X276,"TRUE"),exact(Metadata!X276,"FALSE"))))</f>
        <v>0</v>
      </c>
      <c r="BK276">
        <f>AND(IF(Metadata!Y276="",FALSE,TRUE),exact(Metadata!Y276,"other"))</f>
        <v>0</v>
      </c>
      <c r="BL276">
        <f>IF(Metadata!Z276="",FALSE,TRUE)</f>
        <v>0</v>
      </c>
      <c r="BM276">
        <f>OR(AND(IF(Metadata!AA276="",FALSE,TRUE),OR(exact(Metadata!AA276,"not collected"),exact(Metadata!AA276,"not provided"))),AND(IF(Metadata!AA276="",FALSE,IF(ISERROR(INT(Metadata!AA276)),FALSE,INT(Metadata!AA276)=Metadata!AA276)),Metadata!AA276&gt;0))</f>
        <v>0</v>
      </c>
      <c r="BN276">
        <f>AND(IF(Metadata!AB276="",FALSE,TRUE),exact(Metadata!AB276,"Not applicable"))</f>
        <v>0</v>
      </c>
      <c r="BO276">
        <f>IF(Metadata!AC276="",FALSE,TRUE)</f>
        <v>0</v>
      </c>
    </row>
    <row r="277" spans="1:67">
      <c r="A277" s="5">
        <f>IF(B277=" "," ",HYPERLINK(CONCATENATE("#metadata!",ADDRESS(INDEX($AI$2:$AI$1001,MATCH(ROWS($AG$2:AG277),$AG$2:$AG$1001,0),0),1)),INDEX($AL$2:$AL$1001,MATCH(ROWS($AG$2:AG277),$AG$2:$AG$1001,0),0)))</f>
        <v>0</v>
      </c>
      <c r="B277" s="4">
        <f>IF(OR(INDEX($AH$2:$AH$1001,MATCH(ROWS($AG$2:AG277),$AG$2:$AG$1001,0),1)&gt;=100000,INDEX($AN$1005:$BO$1005,1,MATCH(COLUMNS($AN$1006:AN1006),$AN$1006:$BO$1006,0))&gt;=100000), " ",IF(INDEX($AN$2:$BO$1001,MATCH(ROWS($AG$2:AG277),$AG$2:$AG$1001,0),MATCH(COLUMNS($AN$1006:AN1006),$AN$1006:$BO$1006,0)), HYPERLINK("#",""), HYPERLINK(CONCATENATE("#Metadata!", ADDRESS(INDEX($AI$2:$AI$1001,MATCH(ROWS($AG$2:AG277),$AG$2:$AG$1001,0),0), INDEX($AN$1004:$BO$1004,1,MATCH(COLUMNS($AN$1006:AN1006),$AN$1006:$BO$1006,0)))),"Fix")))</f>
        <v>0</v>
      </c>
      <c r="C277" s="4">
        <f>IF(OR(INDEX($AH$2:$AH$1001,MATCH(ROWS($AG$2:AG277),$AG$2:$AG$1001,0),1)&gt;=100000,INDEX($AN$1005:$BO$1005,1,MATCH(COLUMNS($AN$1006:AO1006),$AN$1006:$BO$1006,0))&gt;=100000), " ",IF(INDEX($AN$2:$BO$1001,MATCH(ROWS($AG$2:AG277),$AG$2:$AG$1001,0),MATCH(COLUMNS($AN$1006:AO1006),$AN$1006:$BO$1006,0)), HYPERLINK("#",""), HYPERLINK(CONCATENATE("#Metadata!", ADDRESS(INDEX($AI$2:$AI$1001,MATCH(ROWS($AG$2:AG277),$AG$2:$AG$1001,0),0), INDEX($AN$1004:$BO$1004,1,MATCH(COLUMNS($AN$1006:AO1006),$AN$1006:$BO$1006,0)))),"Fix")))</f>
        <v>0</v>
      </c>
      <c r="D277" s="4">
        <f>IF(OR(INDEX($AH$2:$AH$1001,MATCH(ROWS($AG$2:AG277),$AG$2:$AG$1001,0),1)&gt;=100000,INDEX($AN$1005:$BO$1005,1,MATCH(COLUMNS($AN$1006:AP1006),$AN$1006:$BO$1006,0))&gt;=100000), " ",IF(INDEX($AN$2:$BO$1001,MATCH(ROWS($AG$2:AG277),$AG$2:$AG$1001,0),MATCH(COLUMNS($AN$1006:AP1006),$AN$1006:$BO$1006,0)), HYPERLINK("#",""), HYPERLINK(CONCATENATE("#Metadata!", ADDRESS(INDEX($AI$2:$AI$1001,MATCH(ROWS($AG$2:AG277),$AG$2:$AG$1001,0),0), INDEX($AN$1004:$BO$1004,1,MATCH(COLUMNS($AN$1006:AP1006),$AN$1006:$BO$1006,0)))),"Fix")))</f>
        <v>0</v>
      </c>
      <c r="E277" s="4">
        <f>IF(OR(INDEX($AH$2:$AH$1001,MATCH(ROWS($AG$2:AG277),$AG$2:$AG$1001,0),1)&gt;=100000,INDEX($AN$1005:$BO$1005,1,MATCH(COLUMNS($AN$1006:AQ1006),$AN$1006:$BO$1006,0))&gt;=100000), " ",IF(INDEX($AN$2:$BO$1001,MATCH(ROWS($AG$2:AG277),$AG$2:$AG$1001,0),MATCH(COLUMNS($AN$1006:AQ1006),$AN$1006:$BO$1006,0)), HYPERLINK("#",""), HYPERLINK(CONCATENATE("#Metadata!", ADDRESS(INDEX($AI$2:$AI$1001,MATCH(ROWS($AG$2:AG277),$AG$2:$AG$1001,0),0), INDEX($AN$1004:$BO$1004,1,MATCH(COLUMNS($AN$1006:AQ1006),$AN$1006:$BO$1006,0)))),"Fix")))</f>
        <v>0</v>
      </c>
      <c r="F277" s="4">
        <f>IF(OR(INDEX($AH$2:$AH$1001,MATCH(ROWS($AG$2:AG277),$AG$2:$AG$1001,0),1)&gt;=100000,INDEX($AN$1005:$BO$1005,1,MATCH(COLUMNS($AN$1006:AR1006),$AN$1006:$BO$1006,0))&gt;=100000), " ",IF(INDEX($AN$2:$BO$1001,MATCH(ROWS($AG$2:AG277),$AG$2:$AG$1001,0),MATCH(COLUMNS($AN$1006:AR1006),$AN$1006:$BO$1006,0)), HYPERLINK("#",""), HYPERLINK(CONCATENATE("#Metadata!", ADDRESS(INDEX($AI$2:$AI$1001,MATCH(ROWS($AG$2:AG277),$AG$2:$AG$1001,0),0), INDEX($AN$1004:$BO$1004,1,MATCH(COLUMNS($AN$1006:AR1006),$AN$1006:$BO$1006,0)))),"Fix")))</f>
        <v>0</v>
      </c>
      <c r="G277" s="4">
        <f>IF(OR(INDEX($AH$2:$AH$1001,MATCH(ROWS($AG$2:AG277),$AG$2:$AG$1001,0),1)&gt;=100000,INDEX($AN$1005:$BO$1005,1,MATCH(COLUMNS($AN$1006:AS1006),$AN$1006:$BO$1006,0))&gt;=100000), " ",IF(INDEX($AN$2:$BO$1001,MATCH(ROWS($AG$2:AG277),$AG$2:$AG$1001,0),MATCH(COLUMNS($AN$1006:AS1006),$AN$1006:$BO$1006,0)), HYPERLINK("#",""), HYPERLINK(CONCATENATE("#Metadata!", ADDRESS(INDEX($AI$2:$AI$1001,MATCH(ROWS($AG$2:AG277),$AG$2:$AG$1001,0),0), INDEX($AN$1004:$BO$1004,1,MATCH(COLUMNS($AN$1006:AS1006),$AN$1006:$BO$1006,0)))),"Fix")))</f>
        <v>0</v>
      </c>
      <c r="H277" s="4">
        <f>IF(OR(INDEX($AH$2:$AH$1001,MATCH(ROWS($AG$2:AG277),$AG$2:$AG$1001,0),1)&gt;=100000,INDEX($AN$1005:$BO$1005,1,MATCH(COLUMNS($AN$1006:AT1006),$AN$1006:$BO$1006,0))&gt;=100000), " ",IF(INDEX($AN$2:$BO$1001,MATCH(ROWS($AG$2:AG277),$AG$2:$AG$1001,0),MATCH(COLUMNS($AN$1006:AT1006),$AN$1006:$BO$1006,0)), HYPERLINK("#",""), HYPERLINK(CONCATENATE("#Metadata!", ADDRESS(INDEX($AI$2:$AI$1001,MATCH(ROWS($AG$2:AG277),$AG$2:$AG$1001,0),0), INDEX($AN$1004:$BO$1004,1,MATCH(COLUMNS($AN$1006:AT1006),$AN$1006:$BO$1006,0)))),"Fix")))</f>
        <v>0</v>
      </c>
      <c r="I277" s="4">
        <f>IF(OR(INDEX($AH$2:$AH$1001,MATCH(ROWS($AG$2:AG277),$AG$2:$AG$1001,0),1)&gt;=100000,INDEX($AN$1005:$BO$1005,1,MATCH(COLUMNS($AN$1006:AU1006),$AN$1006:$BO$1006,0))&gt;=100000), " ",IF(INDEX($AN$2:$BO$1001,MATCH(ROWS($AG$2:AG277),$AG$2:$AG$1001,0),MATCH(COLUMNS($AN$1006:AU1006),$AN$1006:$BO$1006,0)), HYPERLINK("#",""), HYPERLINK(CONCATENATE("#Metadata!", ADDRESS(INDEX($AI$2:$AI$1001,MATCH(ROWS($AG$2:AG277),$AG$2:$AG$1001,0),0), INDEX($AN$1004:$BO$1004,1,MATCH(COLUMNS($AN$1006:AU1006),$AN$1006:$BO$1006,0)))),"Fix")))</f>
        <v>0</v>
      </c>
      <c r="J277" s="4">
        <f>IF(OR(INDEX($AH$2:$AH$1001,MATCH(ROWS($AG$2:AG277),$AG$2:$AG$1001,0),1)&gt;=100000,INDEX($AN$1005:$BO$1005,1,MATCH(COLUMNS($AN$1006:AV1006),$AN$1006:$BO$1006,0))&gt;=100000), " ",IF(INDEX($AN$2:$BO$1001,MATCH(ROWS($AG$2:AG277),$AG$2:$AG$1001,0),MATCH(COLUMNS($AN$1006:AV1006),$AN$1006:$BO$1006,0)), HYPERLINK("#",""), HYPERLINK(CONCATENATE("#Metadata!", ADDRESS(INDEX($AI$2:$AI$1001,MATCH(ROWS($AG$2:AG277),$AG$2:$AG$1001,0),0), INDEX($AN$1004:$BO$1004,1,MATCH(COLUMNS($AN$1006:AV1006),$AN$1006:$BO$1006,0)))),"Fix")))</f>
        <v>0</v>
      </c>
      <c r="K277" s="4">
        <f>IF(OR(INDEX($AH$2:$AH$1001,MATCH(ROWS($AG$2:AG277),$AG$2:$AG$1001,0),1)&gt;=100000,INDEX($AN$1005:$BO$1005,1,MATCH(COLUMNS($AN$1006:AW1006),$AN$1006:$BO$1006,0))&gt;=100000), " ",IF(INDEX($AN$2:$BO$1001,MATCH(ROWS($AG$2:AG277),$AG$2:$AG$1001,0),MATCH(COLUMNS($AN$1006:AW1006),$AN$1006:$BO$1006,0)), HYPERLINK("#",""), HYPERLINK(CONCATENATE("#Metadata!", ADDRESS(INDEX($AI$2:$AI$1001,MATCH(ROWS($AG$2:AG277),$AG$2:$AG$1001,0),0), INDEX($AN$1004:$BO$1004,1,MATCH(COLUMNS($AN$1006:AW1006),$AN$1006:$BO$1006,0)))),"Fix")))</f>
        <v>0</v>
      </c>
      <c r="L277" s="4">
        <f>IF(OR(INDEX($AH$2:$AH$1001,MATCH(ROWS($AG$2:AG277),$AG$2:$AG$1001,0),1)&gt;=100000,INDEX($AN$1005:$BO$1005,1,MATCH(COLUMNS($AN$1006:AX1006),$AN$1006:$BO$1006,0))&gt;=100000), " ",IF(INDEX($AN$2:$BO$1001,MATCH(ROWS($AG$2:AG277),$AG$2:$AG$1001,0),MATCH(COLUMNS($AN$1006:AX1006),$AN$1006:$BO$1006,0)), HYPERLINK("#",""), HYPERLINK(CONCATENATE("#Metadata!", ADDRESS(INDEX($AI$2:$AI$1001,MATCH(ROWS($AG$2:AG277),$AG$2:$AG$1001,0),0), INDEX($AN$1004:$BO$1004,1,MATCH(COLUMNS($AN$1006:AX1006),$AN$1006:$BO$1006,0)))),"Fix")))</f>
        <v>0</v>
      </c>
      <c r="M277" s="4">
        <f>IF(OR(INDEX($AH$2:$AH$1001,MATCH(ROWS($AG$2:AG277),$AG$2:$AG$1001,0),1)&gt;=100000,INDEX($AN$1005:$BO$1005,1,MATCH(COLUMNS($AN$1006:AY1006),$AN$1006:$BO$1006,0))&gt;=100000), " ",IF(INDEX($AN$2:$BO$1001,MATCH(ROWS($AG$2:AG277),$AG$2:$AG$1001,0),MATCH(COLUMNS($AN$1006:AY1006),$AN$1006:$BO$1006,0)), HYPERLINK("#",""), HYPERLINK(CONCATENATE("#Metadata!", ADDRESS(INDEX($AI$2:$AI$1001,MATCH(ROWS($AG$2:AG277),$AG$2:$AG$1001,0),0), INDEX($AN$1004:$BO$1004,1,MATCH(COLUMNS($AN$1006:AY1006),$AN$1006:$BO$1006,0)))),"Fix")))</f>
        <v>0</v>
      </c>
      <c r="N277" s="4">
        <f>IF(OR(INDEX($AH$2:$AH$1001,MATCH(ROWS($AG$2:AG277),$AG$2:$AG$1001,0),1)&gt;=100000,INDEX($AN$1005:$BO$1005,1,MATCH(COLUMNS($AN$1006:AZ1006),$AN$1006:$BO$1006,0))&gt;=100000), " ",IF(INDEX($AN$2:$BO$1001,MATCH(ROWS($AG$2:AG277),$AG$2:$AG$1001,0),MATCH(COLUMNS($AN$1006:AZ1006),$AN$1006:$BO$1006,0)), HYPERLINK("#",""), HYPERLINK(CONCATENATE("#Metadata!", ADDRESS(INDEX($AI$2:$AI$1001,MATCH(ROWS($AG$2:AG277),$AG$2:$AG$1001,0),0), INDEX($AN$1004:$BO$1004,1,MATCH(COLUMNS($AN$1006:AZ1006),$AN$1006:$BO$1006,0)))),"Fix")))</f>
        <v>0</v>
      </c>
      <c r="O277" s="4">
        <f>IF(OR(INDEX($AH$2:$AH$1001,MATCH(ROWS($AG$2:AG277),$AG$2:$AG$1001,0),1)&gt;=100000,INDEX($AN$1005:$BO$1005,1,MATCH(COLUMNS($AN$1006:BA1006),$AN$1006:$BO$1006,0))&gt;=100000), " ",IF(INDEX($AN$2:$BO$1001,MATCH(ROWS($AG$2:AG277),$AG$2:$AG$1001,0),MATCH(COLUMNS($AN$1006:BA1006),$AN$1006:$BO$1006,0)), HYPERLINK("#",""), HYPERLINK(CONCATENATE("#Metadata!", ADDRESS(INDEX($AI$2:$AI$1001,MATCH(ROWS($AG$2:AG277),$AG$2:$AG$1001,0),0), INDEX($AN$1004:$BO$1004,1,MATCH(COLUMNS($AN$1006:BA1006),$AN$1006:$BO$1006,0)))),"Fix")))</f>
        <v>0</v>
      </c>
      <c r="P277" s="4">
        <f>IF(OR(INDEX($AH$2:$AH$1001,MATCH(ROWS($AG$2:AG277),$AG$2:$AG$1001,0),1)&gt;=100000,INDEX($AN$1005:$BO$1005,1,MATCH(COLUMNS($AN$1006:BB1006),$AN$1006:$BO$1006,0))&gt;=100000), " ",IF(INDEX($AN$2:$BO$1001,MATCH(ROWS($AG$2:AG277),$AG$2:$AG$1001,0),MATCH(COLUMNS($AN$1006:BB1006),$AN$1006:$BO$1006,0)), HYPERLINK("#",""), HYPERLINK(CONCATENATE("#Metadata!", ADDRESS(INDEX($AI$2:$AI$1001,MATCH(ROWS($AG$2:AG277),$AG$2:$AG$1001,0),0), INDEX($AN$1004:$BO$1004,1,MATCH(COLUMNS($AN$1006:BB1006),$AN$1006:$BO$1006,0)))),"Fix")))</f>
        <v>0</v>
      </c>
      <c r="Q277" s="4">
        <f>IF(OR(INDEX($AH$2:$AH$1001,MATCH(ROWS($AG$2:AG277),$AG$2:$AG$1001,0),1)&gt;=100000,INDEX($AN$1005:$BO$1005,1,MATCH(COLUMNS($AN$1006:BC1006),$AN$1006:$BO$1006,0))&gt;=100000), " ",IF(INDEX($AN$2:$BO$1001,MATCH(ROWS($AG$2:AG277),$AG$2:$AG$1001,0),MATCH(COLUMNS($AN$1006:BC1006),$AN$1006:$BO$1006,0)), HYPERLINK("#",""), HYPERLINK(CONCATENATE("#Metadata!", ADDRESS(INDEX($AI$2:$AI$1001,MATCH(ROWS($AG$2:AG277),$AG$2:$AG$1001,0),0), INDEX($AN$1004:$BO$1004,1,MATCH(COLUMNS($AN$1006:BC1006),$AN$1006:$BO$1006,0)))),"Fix")))</f>
        <v>0</v>
      </c>
      <c r="R277" s="4">
        <f>IF(OR(INDEX($AH$2:$AH$1001,MATCH(ROWS($AG$2:AG277),$AG$2:$AG$1001,0),1)&gt;=100000,INDEX($AN$1005:$BO$1005,1,MATCH(COLUMNS($AN$1006:BD1006),$AN$1006:$BO$1006,0))&gt;=100000), " ",IF(INDEX($AN$2:$BO$1001,MATCH(ROWS($AG$2:AG277),$AG$2:$AG$1001,0),MATCH(COLUMNS($AN$1006:BD1006),$AN$1006:$BO$1006,0)), HYPERLINK("#",""), HYPERLINK(CONCATENATE("#Metadata!", ADDRESS(INDEX($AI$2:$AI$1001,MATCH(ROWS($AG$2:AG277),$AG$2:$AG$1001,0),0), INDEX($AN$1004:$BO$1004,1,MATCH(COLUMNS($AN$1006:BD1006),$AN$1006:$BO$1006,0)))),"Fix")))</f>
        <v>0</v>
      </c>
      <c r="S277" s="4">
        <f>IF(OR(INDEX($AH$2:$AH$1001,MATCH(ROWS($AG$2:AG277),$AG$2:$AG$1001,0),1)&gt;=100000,INDEX($AN$1005:$BO$1005,1,MATCH(COLUMNS($AN$1006:BE1006),$AN$1006:$BO$1006,0))&gt;=100000), " ",IF(INDEX($AN$2:$BO$1001,MATCH(ROWS($AG$2:AG277),$AG$2:$AG$1001,0),MATCH(COLUMNS($AN$1006:BE1006),$AN$1006:$BO$1006,0)), HYPERLINK("#",""), HYPERLINK(CONCATENATE("#Metadata!", ADDRESS(INDEX($AI$2:$AI$1001,MATCH(ROWS($AG$2:AG277),$AG$2:$AG$1001,0),0), INDEX($AN$1004:$BO$1004,1,MATCH(COLUMNS($AN$1006:BE1006),$AN$1006:$BO$1006,0)))),"Fix")))</f>
        <v>0</v>
      </c>
      <c r="T277" s="4">
        <f>IF(OR(INDEX($AH$2:$AH$1001,MATCH(ROWS($AG$2:AG277),$AG$2:$AG$1001,0),1)&gt;=100000,INDEX($AN$1005:$BO$1005,1,MATCH(COLUMNS($AN$1006:BF1006),$AN$1006:$BO$1006,0))&gt;=100000), " ",IF(INDEX($AN$2:$BO$1001,MATCH(ROWS($AG$2:AG277),$AG$2:$AG$1001,0),MATCH(COLUMNS($AN$1006:BF1006),$AN$1006:$BO$1006,0)), HYPERLINK("#",""), HYPERLINK(CONCATENATE("#Metadata!", ADDRESS(INDEX($AI$2:$AI$1001,MATCH(ROWS($AG$2:AG277),$AG$2:$AG$1001,0),0), INDEX($AN$1004:$BO$1004,1,MATCH(COLUMNS($AN$1006:BF1006),$AN$1006:$BO$1006,0)))),"Fix")))</f>
        <v>0</v>
      </c>
      <c r="U277" s="4">
        <f>IF(OR(INDEX($AH$2:$AH$1001,MATCH(ROWS($AG$2:AG277),$AG$2:$AG$1001,0),1)&gt;=100000,INDEX($AN$1005:$BO$1005,1,MATCH(COLUMNS($AN$1006:BG1006),$AN$1006:$BO$1006,0))&gt;=100000), " ",IF(INDEX($AN$2:$BO$1001,MATCH(ROWS($AG$2:AG277),$AG$2:$AG$1001,0),MATCH(COLUMNS($AN$1006:BG1006),$AN$1006:$BO$1006,0)), HYPERLINK("#",""), HYPERLINK(CONCATENATE("#Metadata!", ADDRESS(INDEX($AI$2:$AI$1001,MATCH(ROWS($AG$2:AG277),$AG$2:$AG$1001,0),0), INDEX($AN$1004:$BO$1004,1,MATCH(COLUMNS($AN$1006:BG1006),$AN$1006:$BO$1006,0)))),"Fix")))</f>
        <v>0</v>
      </c>
      <c r="V277" s="4">
        <f>IF(OR(INDEX($AH$2:$AH$1001,MATCH(ROWS($AG$2:AG277),$AG$2:$AG$1001,0),1)&gt;=100000,INDEX($AN$1005:$BO$1005,1,MATCH(COLUMNS($AN$1006:BH1006),$AN$1006:$BO$1006,0))&gt;=100000), " ",IF(INDEX($AN$2:$BO$1001,MATCH(ROWS($AG$2:AG277),$AG$2:$AG$1001,0),MATCH(COLUMNS($AN$1006:BH1006),$AN$1006:$BO$1006,0)), HYPERLINK("#",""), HYPERLINK(CONCATENATE("#Metadata!", ADDRESS(INDEX($AI$2:$AI$1001,MATCH(ROWS($AG$2:AG277),$AG$2:$AG$1001,0),0), INDEX($AN$1004:$BO$1004,1,MATCH(COLUMNS($AN$1006:BH1006),$AN$1006:$BO$1006,0)))),"Fix")))</f>
        <v>0</v>
      </c>
      <c r="W277" s="4">
        <f>IF(OR(INDEX($AH$2:$AH$1001,MATCH(ROWS($AG$2:AG277),$AG$2:$AG$1001,0),1)&gt;=100000,INDEX($AN$1005:$BO$1005,1,MATCH(COLUMNS($AN$1006:BI1006),$AN$1006:$BO$1006,0))&gt;=100000), " ",IF(INDEX($AN$2:$BO$1001,MATCH(ROWS($AG$2:AG277),$AG$2:$AG$1001,0),MATCH(COLUMNS($AN$1006:BI1006),$AN$1006:$BO$1006,0)), HYPERLINK("#",""), HYPERLINK(CONCATENATE("#Metadata!", ADDRESS(INDEX($AI$2:$AI$1001,MATCH(ROWS($AG$2:AG277),$AG$2:$AG$1001,0),0), INDEX($AN$1004:$BO$1004,1,MATCH(COLUMNS($AN$1006:BI1006),$AN$1006:$BO$1006,0)))),"Fix")))</f>
        <v>0</v>
      </c>
      <c r="X277" s="4">
        <f>IF(OR(INDEX($AH$2:$AH$1001,MATCH(ROWS($AG$2:AG277),$AG$2:$AG$1001,0),1)&gt;=100000,INDEX($AN$1005:$BO$1005,1,MATCH(COLUMNS($AN$1006:BJ1006),$AN$1006:$BO$1006,0))&gt;=100000), " ",IF(INDEX($AN$2:$BO$1001,MATCH(ROWS($AG$2:AG277),$AG$2:$AG$1001,0),MATCH(COLUMNS($AN$1006:BJ1006),$AN$1006:$BO$1006,0)), HYPERLINK("#",""), HYPERLINK(CONCATENATE("#Metadata!", ADDRESS(INDEX($AI$2:$AI$1001,MATCH(ROWS($AG$2:AG277),$AG$2:$AG$1001,0),0), INDEX($AN$1004:$BO$1004,1,MATCH(COLUMNS($AN$1006:BJ1006),$AN$1006:$BO$1006,0)))),"Fix")))</f>
        <v>0</v>
      </c>
      <c r="Y277" s="4">
        <f>IF(OR(INDEX($AH$2:$AH$1001,MATCH(ROWS($AG$2:AG277),$AG$2:$AG$1001,0),1)&gt;=100000,INDEX($AN$1005:$BO$1005,1,MATCH(COLUMNS($AN$1006:BK1006),$AN$1006:$BO$1006,0))&gt;=100000), " ",IF(INDEX($AN$2:$BO$1001,MATCH(ROWS($AG$2:AG277),$AG$2:$AG$1001,0),MATCH(COLUMNS($AN$1006:BK1006),$AN$1006:$BO$1006,0)), HYPERLINK("#",""), HYPERLINK(CONCATENATE("#Metadata!", ADDRESS(INDEX($AI$2:$AI$1001,MATCH(ROWS($AG$2:AG277),$AG$2:$AG$1001,0),0), INDEX($AN$1004:$BO$1004,1,MATCH(COLUMNS($AN$1006:BK1006),$AN$1006:$BO$1006,0)))),"Fix")))</f>
        <v>0</v>
      </c>
      <c r="Z277" s="4">
        <f>IF(OR(INDEX($AH$2:$AH$1001,MATCH(ROWS($AG$2:AG277),$AG$2:$AG$1001,0),1)&gt;=100000,INDEX($AN$1005:$BO$1005,1,MATCH(COLUMNS($AN$1006:BL1006),$AN$1006:$BO$1006,0))&gt;=100000), " ",IF(INDEX($AN$2:$BO$1001,MATCH(ROWS($AG$2:AG277),$AG$2:$AG$1001,0),MATCH(COLUMNS($AN$1006:BL1006),$AN$1006:$BO$1006,0)), HYPERLINK("#",""), HYPERLINK(CONCATENATE("#Metadata!", ADDRESS(INDEX($AI$2:$AI$1001,MATCH(ROWS($AG$2:AG277),$AG$2:$AG$1001,0),0), INDEX($AN$1004:$BO$1004,1,MATCH(COLUMNS($AN$1006:BL1006),$AN$1006:$BO$1006,0)))),"Fix")))</f>
        <v>0</v>
      </c>
      <c r="AA277" s="4">
        <f>IF(OR(INDEX($AH$2:$AH$1001,MATCH(ROWS($AG$2:AG277),$AG$2:$AG$1001,0),1)&gt;=100000,INDEX($AN$1005:$BO$1005,1,MATCH(COLUMNS($AN$1006:BM1006),$AN$1006:$BO$1006,0))&gt;=100000), " ",IF(INDEX($AN$2:$BO$1001,MATCH(ROWS($AG$2:AG277),$AG$2:$AG$1001,0),MATCH(COLUMNS($AN$1006:BM1006),$AN$1006:$BO$1006,0)), HYPERLINK("#",""), HYPERLINK(CONCATENATE("#Metadata!", ADDRESS(INDEX($AI$2:$AI$1001,MATCH(ROWS($AG$2:AG277),$AG$2:$AG$1001,0),0), INDEX($AN$1004:$BO$1004,1,MATCH(COLUMNS($AN$1006:BM1006),$AN$1006:$BO$1006,0)))),"Fix")))</f>
        <v>0</v>
      </c>
      <c r="AB277" s="4">
        <f>IF(OR(INDEX($AH$2:$AH$1001,MATCH(ROWS($AG$2:AG277),$AG$2:$AG$1001,0),1)&gt;=100000,INDEX($AN$1005:$BO$1005,1,MATCH(COLUMNS($AN$1006:BN1006),$AN$1006:$BO$1006,0))&gt;=100000), " ",IF(INDEX($AN$2:$BO$1001,MATCH(ROWS($AG$2:AG277),$AG$2:$AG$1001,0),MATCH(COLUMNS($AN$1006:BN1006),$AN$1006:$BO$1006,0)), HYPERLINK("#",""), HYPERLINK(CONCATENATE("#Metadata!", ADDRESS(INDEX($AI$2:$AI$1001,MATCH(ROWS($AG$2:AG277),$AG$2:$AG$1001,0),0), INDEX($AN$1004:$BO$1004,1,MATCH(COLUMNS($AN$1006:BN1006),$AN$1006:$BO$1006,0)))),"Fix")))</f>
        <v>0</v>
      </c>
      <c r="AC277" s="4">
        <f>IF(OR(INDEX($AH$2:$AH$1001,MATCH(ROWS($AG$2:AG277),$AG$2:$AG$1001,0),1)&gt;=100000,INDEX($AN$1005:$BO$1005,1,MATCH(COLUMNS($AN$1006:BO1006),$AN$1006:$BO$1006,0))&gt;=100000), " ",IF(INDEX($AN$2:$BO$1001,MATCH(ROWS($AG$2:AG277),$AG$2:$AG$1001,0),MATCH(COLUMNS($AN$1006:BO1006),$AN$1006:$BO$1006,0)), HYPERLINK("#",""), HYPERLINK(CONCATENATE("#Metadata!", ADDRESS(INDEX($AI$2:$AI$1001,MATCH(ROWS($AG$2:AG277),$AG$2:$AG$1001,0),0), INDEX($AN$1004:$BO$1004,1,MATCH(COLUMNS($AN$1006:BO1006),$AN$1006:$BO$1006,0)))),"Fix")))</f>
        <v>0</v>
      </c>
      <c r="AG277">
        <v>0</v>
      </c>
      <c r="AH277">
        <v>0</v>
      </c>
      <c r="AI277">
        <v>0</v>
      </c>
      <c r="AJ277">
        <f>IF(AK277,TRUE,AND(AN277:BO277))</f>
        <v>0</v>
      </c>
      <c r="AK277">
        <f>COUNTBLANK(Metadata!B277:AC277)=COLUMNS(Metadata!B277:AC277)</f>
        <v>0</v>
      </c>
      <c r="AL277">
        <v>0</v>
      </c>
      <c r="AN277">
        <f>AND(IF(Metadata!B277="",FALSE,TRUE),COUNTIF(Metadata!B:B, Metadata!B277) = 1,NOT(ISERROR(SUMPRODUCT(SEARCH(MID(Metadata!B277,ROW(INDIRECT("1:"&amp;LEN(Metadata!B277))), 1),"0123456789abcdefghijklmnopqrstuvwxyzABCDEFGHIJKLMNOPQRSTUVWXYZ.")))))</f>
        <v>0</v>
      </c>
      <c r="AO277">
        <f>IF(Metadata!C277="",FALSE,TRUE)</f>
        <v>0</v>
      </c>
      <c r="AP277">
        <f>IF(Metadata!D277="",FALSE,TRUE)</f>
        <v>0</v>
      </c>
      <c r="AQ277">
        <f>OR(AND(IF(Metadata!E277="",FALSE,TRUE),OR(exact(Metadata!E277,"not collected"),exact(Metadata!E277,"not provided"),exact(Metadata!E277,"restricted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R277">
        <f>IF(Metadata!F277="",FALSE,TRUE)</f>
        <v>0</v>
      </c>
      <c r="AS277">
        <f>OR(AND(IF(Metadata!G277="",FALSE,TRUE),OR(exact(Metadata!G277,"not collected"),exact(Metadata!G277,"not provided"))),AND(IF(Metadata!G277="",FALSE,TRUE),OR(exact(Metadata!G277,"TRUE"),exact(Metadata!G277,"FALSE"))))</f>
        <v>0</v>
      </c>
      <c r="AT277">
        <f>OR(AND(IF(Metadata!H277="",FALSE,TRUE),OR(exact(Metadata!H277,"not collected"),exact(Metadata!H277,"not provided"),exact(Metadata!H277,"restricted access"))),AND(IF(Metadata!H277="",FALSE,ISNUMBER(VALUE(Metadata!H277))),Metadata!H277&gt;=-413.0))</f>
        <v>0</v>
      </c>
      <c r="AU277">
        <f>AND(IF(Metadata!I277="",FALSE,TRUE),exact(Metadata!I277,"meters"))</f>
        <v>0</v>
      </c>
      <c r="AV277">
        <f>AND(IF(Metadata!J277="",FALSE,TRUE),OR(exact(Metadata!J277,"Host-associated"),exact(Metadata!J277,"Free-living")))</f>
        <v>0</v>
      </c>
      <c r="AW277">
        <f>AND(IF(Metadata!K277="",FALSE,TRUE),OR(exact(Metadata!K277,"Animal"),exact(Metadata!K277,"Fungus"),exact(Metadata!K277,"Plant"),exact(Metadata!K277,"Saline"),exact(Metadata!K277,"Non-saline")))</f>
        <v>0</v>
      </c>
      <c r="AX277">
        <f>AND(IF(Metadata!L277="",FALSE,TRUE),OR(exact(Metadata!L277,"Plant secretion"),exact(Metadata!L277,"Plant rhizosphere"),exact(Metadata!L277,"Plant surface"),exact(Metadata!L277,"Plant corpus"),exact(Metadata!L277,"Fungus surface"),exact(Metadata!L277,"Fungus corpus"),exact(Metadata!L277,"Animal surface"),exact(Metadata!L277,"Animal proximal gut"),exact(Metadata!L277,"Animal corpus"),exact(Metadata!L277,"Animal distal gut"),exact(Metadata!L277,"Animal secretion"),exact(Metadata!L277,"Sub-surface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Y277">
        <f>IF(Metadata!M277="",FALSE,TRUE)</f>
        <v>0</v>
      </c>
      <c r="AZ277">
        <f>IF(Metadata!N277="",FALSE,TRUE)</f>
        <v>0</v>
      </c>
      <c r="BA277">
        <f>IF(Metadata!O277="",FALSE,TRUE)</f>
        <v>0</v>
      </c>
      <c r="BB277">
        <f>OR(AND(IF(Metadata!P277="",FALSE,TRUE),OR(exact(Metadata!P277,"not collected"),exact(Metadata!P277,"not provided"),exact(Metadata!P277,"restricted access"))),AND(IF(Metadata!P277="",FALSE,TRUE),OR(exact(Metadata!P277,"air"),exact(Metadata!P277,"built environment"),exact(Metadata!P277,"host-associated"),exact(Metadata!P277,"human-associated"),exact(Metadata!P277,"human-skin"),exact(Metadata!P277,"human-oral"),exact(Metadata!P277,"human-gut"),exact(Metadata!P277,"human-vaginal"),exact(Metadata!P277,"microbial mat/biofilm"),exact(Metadata!P277,"misc environment"),exact(Metadata!P277,"plant-associated"),exact(Metadata!P277,"sediment"),exact(Metadata!P277,"soil"),exact(Metadata!P277,"wastewater/sludge"),exact(Metadata!P277,"water"))))</f>
        <v>0</v>
      </c>
      <c r="BC277">
        <f>IF(Metadata!Q277="",FALSE,TRUE)</f>
        <v>0</v>
      </c>
      <c r="BD277">
        <f>IF(Metadata!R277="",FALSE,TRUE)</f>
        <v>0</v>
      </c>
      <c r="BE277">
        <f>OR(AND(IF(Metadata!S277="",FALSE,TRUE),OR(exact(Metadata!S277,"not collected"),exact(Metadata!S277,"not provided"),exact(Metadata!S277,"restricted access"))),AND(IF(Metadata!S277="",FALSE,ISNUMBER(VALUE(Metadata!S277))),Metadata!S277&gt;=-90.00,Metadata!S277&lt;=90.00))</f>
        <v>0</v>
      </c>
      <c r="BF277">
        <f>AND(IF(Metadata!T277="",FALSE,TRUE),exact(Metadata!T277,"Decimal degrees"))</f>
        <v>0</v>
      </c>
      <c r="BG277">
        <f>OR(AND(IF(Metadata!U277="",FALSE,TRUE),OR(exact(Metadata!U277,"not collected"),exact(Metadata!U277,"not provided"),exact(Metadata!U277,"restricted access"))),AND(IF(Metadata!U277="",FALSE,ISNUMBER(VALUE(Metadata!U277))),Metadata!U277&gt;=-180.00,Metadata!U277&lt;=180.00))</f>
        <v>0</v>
      </c>
      <c r="BH277">
        <f>AND(IF(Metadata!V277="",FALSE,TRUE),exact(Metadata!V277,"Decimal degrees"))</f>
        <v>0</v>
      </c>
      <c r="BI277">
        <f>IF(Metadata!W277="",FALSE,TRUE)</f>
        <v>0</v>
      </c>
      <c r="BJ277">
        <f>OR(AND(IF(Metadata!X277="",FALSE,TRUE),OR(exact(Metadata!X277,"not collected"),exact(Metadata!X277,"not provided"),exact(Metadata!X277,"restricted access"))),AND(IF(Metadata!X277="",FALSE,TRUE),OR(exact(Metadata!X277,"TRUE"),exact(Metadata!X277,"FALSE"))))</f>
        <v>0</v>
      </c>
      <c r="BK277">
        <f>AND(IF(Metadata!Y277="",FALSE,TRUE),exact(Metadata!Y277,"other"))</f>
        <v>0</v>
      </c>
      <c r="BL277">
        <f>IF(Metadata!Z277="",FALSE,TRUE)</f>
        <v>0</v>
      </c>
      <c r="BM277">
        <f>OR(AND(IF(Metadata!AA277="",FALSE,TRUE),OR(exact(Metadata!AA277,"not collected"),exact(Metadata!AA277,"not provided"))),AND(IF(Metadata!AA277="",FALSE,IF(ISERROR(INT(Metadata!AA277)),FALSE,INT(Metadata!AA277)=Metadata!AA277)),Metadata!AA277&gt;0))</f>
        <v>0</v>
      </c>
      <c r="BN277">
        <f>AND(IF(Metadata!AB277="",FALSE,TRUE),exact(Metadata!AB277,"Not applicable"))</f>
        <v>0</v>
      </c>
      <c r="BO277">
        <f>IF(Metadata!AC277="",FALSE,TRUE)</f>
        <v>0</v>
      </c>
    </row>
    <row r="278" spans="1:67">
      <c r="A278" s="5">
        <f>IF(B278=" "," ",HYPERLINK(CONCATENATE("#metadata!",ADDRESS(INDEX($AI$2:$AI$1001,MATCH(ROWS($AG$2:AG278),$AG$2:$AG$1001,0),0),1)),INDEX($AL$2:$AL$1001,MATCH(ROWS($AG$2:AG278),$AG$2:$AG$1001,0),0)))</f>
        <v>0</v>
      </c>
      <c r="B278" s="4">
        <f>IF(OR(INDEX($AH$2:$AH$1001,MATCH(ROWS($AG$2:AG278),$AG$2:$AG$1001,0),1)&gt;=100000,INDEX($AN$1005:$BO$1005,1,MATCH(COLUMNS($AN$1006:AN1006),$AN$1006:$BO$1006,0))&gt;=100000), " ",IF(INDEX($AN$2:$BO$1001,MATCH(ROWS($AG$2:AG278),$AG$2:$AG$1001,0),MATCH(COLUMNS($AN$1006:AN1006),$AN$1006:$BO$1006,0)), HYPERLINK("#",""), HYPERLINK(CONCATENATE("#Metadata!", ADDRESS(INDEX($AI$2:$AI$1001,MATCH(ROWS($AG$2:AG278),$AG$2:$AG$1001,0),0), INDEX($AN$1004:$BO$1004,1,MATCH(COLUMNS($AN$1006:AN1006),$AN$1006:$BO$1006,0)))),"Fix")))</f>
        <v>0</v>
      </c>
      <c r="C278" s="4">
        <f>IF(OR(INDEX($AH$2:$AH$1001,MATCH(ROWS($AG$2:AG278),$AG$2:$AG$1001,0),1)&gt;=100000,INDEX($AN$1005:$BO$1005,1,MATCH(COLUMNS($AN$1006:AO1006),$AN$1006:$BO$1006,0))&gt;=100000), " ",IF(INDEX($AN$2:$BO$1001,MATCH(ROWS($AG$2:AG278),$AG$2:$AG$1001,0),MATCH(COLUMNS($AN$1006:AO1006),$AN$1006:$BO$1006,0)), HYPERLINK("#",""), HYPERLINK(CONCATENATE("#Metadata!", ADDRESS(INDEX($AI$2:$AI$1001,MATCH(ROWS($AG$2:AG278),$AG$2:$AG$1001,0),0), INDEX($AN$1004:$BO$1004,1,MATCH(COLUMNS($AN$1006:AO1006),$AN$1006:$BO$1006,0)))),"Fix")))</f>
        <v>0</v>
      </c>
      <c r="D278" s="4">
        <f>IF(OR(INDEX($AH$2:$AH$1001,MATCH(ROWS($AG$2:AG278),$AG$2:$AG$1001,0),1)&gt;=100000,INDEX($AN$1005:$BO$1005,1,MATCH(COLUMNS($AN$1006:AP1006),$AN$1006:$BO$1006,0))&gt;=100000), " ",IF(INDEX($AN$2:$BO$1001,MATCH(ROWS($AG$2:AG278),$AG$2:$AG$1001,0),MATCH(COLUMNS($AN$1006:AP1006),$AN$1006:$BO$1006,0)), HYPERLINK("#",""), HYPERLINK(CONCATENATE("#Metadata!", ADDRESS(INDEX($AI$2:$AI$1001,MATCH(ROWS($AG$2:AG278),$AG$2:$AG$1001,0),0), INDEX($AN$1004:$BO$1004,1,MATCH(COLUMNS($AN$1006:AP1006),$AN$1006:$BO$1006,0)))),"Fix")))</f>
        <v>0</v>
      </c>
      <c r="E278" s="4">
        <f>IF(OR(INDEX($AH$2:$AH$1001,MATCH(ROWS($AG$2:AG278),$AG$2:$AG$1001,0),1)&gt;=100000,INDEX($AN$1005:$BO$1005,1,MATCH(COLUMNS($AN$1006:AQ1006),$AN$1006:$BO$1006,0))&gt;=100000), " ",IF(INDEX($AN$2:$BO$1001,MATCH(ROWS($AG$2:AG278),$AG$2:$AG$1001,0),MATCH(COLUMNS($AN$1006:AQ1006),$AN$1006:$BO$1006,0)), HYPERLINK("#",""), HYPERLINK(CONCATENATE("#Metadata!", ADDRESS(INDEX($AI$2:$AI$1001,MATCH(ROWS($AG$2:AG278),$AG$2:$AG$1001,0),0), INDEX($AN$1004:$BO$1004,1,MATCH(COLUMNS($AN$1006:AQ1006),$AN$1006:$BO$1006,0)))),"Fix")))</f>
        <v>0</v>
      </c>
      <c r="F278" s="4">
        <f>IF(OR(INDEX($AH$2:$AH$1001,MATCH(ROWS($AG$2:AG278),$AG$2:$AG$1001,0),1)&gt;=100000,INDEX($AN$1005:$BO$1005,1,MATCH(COLUMNS($AN$1006:AR1006),$AN$1006:$BO$1006,0))&gt;=100000), " ",IF(INDEX($AN$2:$BO$1001,MATCH(ROWS($AG$2:AG278),$AG$2:$AG$1001,0),MATCH(COLUMNS($AN$1006:AR1006),$AN$1006:$BO$1006,0)), HYPERLINK("#",""), HYPERLINK(CONCATENATE("#Metadata!", ADDRESS(INDEX($AI$2:$AI$1001,MATCH(ROWS($AG$2:AG278),$AG$2:$AG$1001,0),0), INDEX($AN$1004:$BO$1004,1,MATCH(COLUMNS($AN$1006:AR1006),$AN$1006:$BO$1006,0)))),"Fix")))</f>
        <v>0</v>
      </c>
      <c r="G278" s="4">
        <f>IF(OR(INDEX($AH$2:$AH$1001,MATCH(ROWS($AG$2:AG278),$AG$2:$AG$1001,0),1)&gt;=100000,INDEX($AN$1005:$BO$1005,1,MATCH(COLUMNS($AN$1006:AS1006),$AN$1006:$BO$1006,0))&gt;=100000), " ",IF(INDEX($AN$2:$BO$1001,MATCH(ROWS($AG$2:AG278),$AG$2:$AG$1001,0),MATCH(COLUMNS($AN$1006:AS1006),$AN$1006:$BO$1006,0)), HYPERLINK("#",""), HYPERLINK(CONCATENATE("#Metadata!", ADDRESS(INDEX($AI$2:$AI$1001,MATCH(ROWS($AG$2:AG278),$AG$2:$AG$1001,0),0), INDEX($AN$1004:$BO$1004,1,MATCH(COLUMNS($AN$1006:AS1006),$AN$1006:$BO$1006,0)))),"Fix")))</f>
        <v>0</v>
      </c>
      <c r="H278" s="4">
        <f>IF(OR(INDEX($AH$2:$AH$1001,MATCH(ROWS($AG$2:AG278),$AG$2:$AG$1001,0),1)&gt;=100000,INDEX($AN$1005:$BO$1005,1,MATCH(COLUMNS($AN$1006:AT1006),$AN$1006:$BO$1006,0))&gt;=100000), " ",IF(INDEX($AN$2:$BO$1001,MATCH(ROWS($AG$2:AG278),$AG$2:$AG$1001,0),MATCH(COLUMNS($AN$1006:AT1006),$AN$1006:$BO$1006,0)), HYPERLINK("#",""), HYPERLINK(CONCATENATE("#Metadata!", ADDRESS(INDEX($AI$2:$AI$1001,MATCH(ROWS($AG$2:AG278),$AG$2:$AG$1001,0),0), INDEX($AN$1004:$BO$1004,1,MATCH(COLUMNS($AN$1006:AT1006),$AN$1006:$BO$1006,0)))),"Fix")))</f>
        <v>0</v>
      </c>
      <c r="I278" s="4">
        <f>IF(OR(INDEX($AH$2:$AH$1001,MATCH(ROWS($AG$2:AG278),$AG$2:$AG$1001,0),1)&gt;=100000,INDEX($AN$1005:$BO$1005,1,MATCH(COLUMNS($AN$1006:AU1006),$AN$1006:$BO$1006,0))&gt;=100000), " ",IF(INDEX($AN$2:$BO$1001,MATCH(ROWS($AG$2:AG278),$AG$2:$AG$1001,0),MATCH(COLUMNS($AN$1006:AU1006),$AN$1006:$BO$1006,0)), HYPERLINK("#",""), HYPERLINK(CONCATENATE("#Metadata!", ADDRESS(INDEX($AI$2:$AI$1001,MATCH(ROWS($AG$2:AG278),$AG$2:$AG$1001,0),0), INDEX($AN$1004:$BO$1004,1,MATCH(COLUMNS($AN$1006:AU1006),$AN$1006:$BO$1006,0)))),"Fix")))</f>
        <v>0</v>
      </c>
      <c r="J278" s="4">
        <f>IF(OR(INDEX($AH$2:$AH$1001,MATCH(ROWS($AG$2:AG278),$AG$2:$AG$1001,0),1)&gt;=100000,INDEX($AN$1005:$BO$1005,1,MATCH(COLUMNS($AN$1006:AV1006),$AN$1006:$BO$1006,0))&gt;=100000), " ",IF(INDEX($AN$2:$BO$1001,MATCH(ROWS($AG$2:AG278),$AG$2:$AG$1001,0),MATCH(COLUMNS($AN$1006:AV1006),$AN$1006:$BO$1006,0)), HYPERLINK("#",""), HYPERLINK(CONCATENATE("#Metadata!", ADDRESS(INDEX($AI$2:$AI$1001,MATCH(ROWS($AG$2:AG278),$AG$2:$AG$1001,0),0), INDEX($AN$1004:$BO$1004,1,MATCH(COLUMNS($AN$1006:AV1006),$AN$1006:$BO$1006,0)))),"Fix")))</f>
        <v>0</v>
      </c>
      <c r="K278" s="4">
        <f>IF(OR(INDEX($AH$2:$AH$1001,MATCH(ROWS($AG$2:AG278),$AG$2:$AG$1001,0),1)&gt;=100000,INDEX($AN$1005:$BO$1005,1,MATCH(COLUMNS($AN$1006:AW1006),$AN$1006:$BO$1006,0))&gt;=100000), " ",IF(INDEX($AN$2:$BO$1001,MATCH(ROWS($AG$2:AG278),$AG$2:$AG$1001,0),MATCH(COLUMNS($AN$1006:AW1006),$AN$1006:$BO$1006,0)), HYPERLINK("#",""), HYPERLINK(CONCATENATE("#Metadata!", ADDRESS(INDEX($AI$2:$AI$1001,MATCH(ROWS($AG$2:AG278),$AG$2:$AG$1001,0),0), INDEX($AN$1004:$BO$1004,1,MATCH(COLUMNS($AN$1006:AW1006),$AN$1006:$BO$1006,0)))),"Fix")))</f>
        <v>0</v>
      </c>
      <c r="L278" s="4">
        <f>IF(OR(INDEX($AH$2:$AH$1001,MATCH(ROWS($AG$2:AG278),$AG$2:$AG$1001,0),1)&gt;=100000,INDEX($AN$1005:$BO$1005,1,MATCH(COLUMNS($AN$1006:AX1006),$AN$1006:$BO$1006,0))&gt;=100000), " ",IF(INDEX($AN$2:$BO$1001,MATCH(ROWS($AG$2:AG278),$AG$2:$AG$1001,0),MATCH(COLUMNS($AN$1006:AX1006),$AN$1006:$BO$1006,0)), HYPERLINK("#",""), HYPERLINK(CONCATENATE("#Metadata!", ADDRESS(INDEX($AI$2:$AI$1001,MATCH(ROWS($AG$2:AG278),$AG$2:$AG$1001,0),0), INDEX($AN$1004:$BO$1004,1,MATCH(COLUMNS($AN$1006:AX1006),$AN$1006:$BO$1006,0)))),"Fix")))</f>
        <v>0</v>
      </c>
      <c r="M278" s="4">
        <f>IF(OR(INDEX($AH$2:$AH$1001,MATCH(ROWS($AG$2:AG278),$AG$2:$AG$1001,0),1)&gt;=100000,INDEX($AN$1005:$BO$1005,1,MATCH(COLUMNS($AN$1006:AY1006),$AN$1006:$BO$1006,0))&gt;=100000), " ",IF(INDEX($AN$2:$BO$1001,MATCH(ROWS($AG$2:AG278),$AG$2:$AG$1001,0),MATCH(COLUMNS($AN$1006:AY1006),$AN$1006:$BO$1006,0)), HYPERLINK("#",""), HYPERLINK(CONCATENATE("#Metadata!", ADDRESS(INDEX($AI$2:$AI$1001,MATCH(ROWS($AG$2:AG278),$AG$2:$AG$1001,0),0), INDEX($AN$1004:$BO$1004,1,MATCH(COLUMNS($AN$1006:AY1006),$AN$1006:$BO$1006,0)))),"Fix")))</f>
        <v>0</v>
      </c>
      <c r="N278" s="4">
        <f>IF(OR(INDEX($AH$2:$AH$1001,MATCH(ROWS($AG$2:AG278),$AG$2:$AG$1001,0),1)&gt;=100000,INDEX($AN$1005:$BO$1005,1,MATCH(COLUMNS($AN$1006:AZ1006),$AN$1006:$BO$1006,0))&gt;=100000), " ",IF(INDEX($AN$2:$BO$1001,MATCH(ROWS($AG$2:AG278),$AG$2:$AG$1001,0),MATCH(COLUMNS($AN$1006:AZ1006),$AN$1006:$BO$1006,0)), HYPERLINK("#",""), HYPERLINK(CONCATENATE("#Metadata!", ADDRESS(INDEX($AI$2:$AI$1001,MATCH(ROWS($AG$2:AG278),$AG$2:$AG$1001,0),0), INDEX($AN$1004:$BO$1004,1,MATCH(COLUMNS($AN$1006:AZ1006),$AN$1006:$BO$1006,0)))),"Fix")))</f>
        <v>0</v>
      </c>
      <c r="O278" s="4">
        <f>IF(OR(INDEX($AH$2:$AH$1001,MATCH(ROWS($AG$2:AG278),$AG$2:$AG$1001,0),1)&gt;=100000,INDEX($AN$1005:$BO$1005,1,MATCH(COLUMNS($AN$1006:BA1006),$AN$1006:$BO$1006,0))&gt;=100000), " ",IF(INDEX($AN$2:$BO$1001,MATCH(ROWS($AG$2:AG278),$AG$2:$AG$1001,0),MATCH(COLUMNS($AN$1006:BA1006),$AN$1006:$BO$1006,0)), HYPERLINK("#",""), HYPERLINK(CONCATENATE("#Metadata!", ADDRESS(INDEX($AI$2:$AI$1001,MATCH(ROWS($AG$2:AG278),$AG$2:$AG$1001,0),0), INDEX($AN$1004:$BO$1004,1,MATCH(COLUMNS($AN$1006:BA1006),$AN$1006:$BO$1006,0)))),"Fix")))</f>
        <v>0</v>
      </c>
      <c r="P278" s="4">
        <f>IF(OR(INDEX($AH$2:$AH$1001,MATCH(ROWS($AG$2:AG278),$AG$2:$AG$1001,0),1)&gt;=100000,INDEX($AN$1005:$BO$1005,1,MATCH(COLUMNS($AN$1006:BB1006),$AN$1006:$BO$1006,0))&gt;=100000), " ",IF(INDEX($AN$2:$BO$1001,MATCH(ROWS($AG$2:AG278),$AG$2:$AG$1001,0),MATCH(COLUMNS($AN$1006:BB1006),$AN$1006:$BO$1006,0)), HYPERLINK("#",""), HYPERLINK(CONCATENATE("#Metadata!", ADDRESS(INDEX($AI$2:$AI$1001,MATCH(ROWS($AG$2:AG278),$AG$2:$AG$1001,0),0), INDEX($AN$1004:$BO$1004,1,MATCH(COLUMNS($AN$1006:BB1006),$AN$1006:$BO$1006,0)))),"Fix")))</f>
        <v>0</v>
      </c>
      <c r="Q278" s="4">
        <f>IF(OR(INDEX($AH$2:$AH$1001,MATCH(ROWS($AG$2:AG278),$AG$2:$AG$1001,0),1)&gt;=100000,INDEX($AN$1005:$BO$1005,1,MATCH(COLUMNS($AN$1006:BC1006),$AN$1006:$BO$1006,0))&gt;=100000), " ",IF(INDEX($AN$2:$BO$1001,MATCH(ROWS($AG$2:AG278),$AG$2:$AG$1001,0),MATCH(COLUMNS($AN$1006:BC1006),$AN$1006:$BO$1006,0)), HYPERLINK("#",""), HYPERLINK(CONCATENATE("#Metadata!", ADDRESS(INDEX($AI$2:$AI$1001,MATCH(ROWS($AG$2:AG278),$AG$2:$AG$1001,0),0), INDEX($AN$1004:$BO$1004,1,MATCH(COLUMNS($AN$1006:BC1006),$AN$1006:$BO$1006,0)))),"Fix")))</f>
        <v>0</v>
      </c>
      <c r="R278" s="4">
        <f>IF(OR(INDEX($AH$2:$AH$1001,MATCH(ROWS($AG$2:AG278),$AG$2:$AG$1001,0),1)&gt;=100000,INDEX($AN$1005:$BO$1005,1,MATCH(COLUMNS($AN$1006:BD1006),$AN$1006:$BO$1006,0))&gt;=100000), " ",IF(INDEX($AN$2:$BO$1001,MATCH(ROWS($AG$2:AG278),$AG$2:$AG$1001,0),MATCH(COLUMNS($AN$1006:BD1006),$AN$1006:$BO$1006,0)), HYPERLINK("#",""), HYPERLINK(CONCATENATE("#Metadata!", ADDRESS(INDEX($AI$2:$AI$1001,MATCH(ROWS($AG$2:AG278),$AG$2:$AG$1001,0),0), INDEX($AN$1004:$BO$1004,1,MATCH(COLUMNS($AN$1006:BD1006),$AN$1006:$BO$1006,0)))),"Fix")))</f>
        <v>0</v>
      </c>
      <c r="S278" s="4">
        <f>IF(OR(INDEX($AH$2:$AH$1001,MATCH(ROWS($AG$2:AG278),$AG$2:$AG$1001,0),1)&gt;=100000,INDEX($AN$1005:$BO$1005,1,MATCH(COLUMNS($AN$1006:BE1006),$AN$1006:$BO$1006,0))&gt;=100000), " ",IF(INDEX($AN$2:$BO$1001,MATCH(ROWS($AG$2:AG278),$AG$2:$AG$1001,0),MATCH(COLUMNS($AN$1006:BE1006),$AN$1006:$BO$1006,0)), HYPERLINK("#",""), HYPERLINK(CONCATENATE("#Metadata!", ADDRESS(INDEX($AI$2:$AI$1001,MATCH(ROWS($AG$2:AG278),$AG$2:$AG$1001,0),0), INDEX($AN$1004:$BO$1004,1,MATCH(COLUMNS($AN$1006:BE1006),$AN$1006:$BO$1006,0)))),"Fix")))</f>
        <v>0</v>
      </c>
      <c r="T278" s="4">
        <f>IF(OR(INDEX($AH$2:$AH$1001,MATCH(ROWS($AG$2:AG278),$AG$2:$AG$1001,0),1)&gt;=100000,INDEX($AN$1005:$BO$1005,1,MATCH(COLUMNS($AN$1006:BF1006),$AN$1006:$BO$1006,0))&gt;=100000), " ",IF(INDEX($AN$2:$BO$1001,MATCH(ROWS($AG$2:AG278),$AG$2:$AG$1001,0),MATCH(COLUMNS($AN$1006:BF1006),$AN$1006:$BO$1006,0)), HYPERLINK("#",""), HYPERLINK(CONCATENATE("#Metadata!", ADDRESS(INDEX($AI$2:$AI$1001,MATCH(ROWS($AG$2:AG278),$AG$2:$AG$1001,0),0), INDEX($AN$1004:$BO$1004,1,MATCH(COLUMNS($AN$1006:BF1006),$AN$1006:$BO$1006,0)))),"Fix")))</f>
        <v>0</v>
      </c>
      <c r="U278" s="4">
        <f>IF(OR(INDEX($AH$2:$AH$1001,MATCH(ROWS($AG$2:AG278),$AG$2:$AG$1001,0),1)&gt;=100000,INDEX($AN$1005:$BO$1005,1,MATCH(COLUMNS($AN$1006:BG1006),$AN$1006:$BO$1006,0))&gt;=100000), " ",IF(INDEX($AN$2:$BO$1001,MATCH(ROWS($AG$2:AG278),$AG$2:$AG$1001,0),MATCH(COLUMNS($AN$1006:BG1006),$AN$1006:$BO$1006,0)), HYPERLINK("#",""), HYPERLINK(CONCATENATE("#Metadata!", ADDRESS(INDEX($AI$2:$AI$1001,MATCH(ROWS($AG$2:AG278),$AG$2:$AG$1001,0),0), INDEX($AN$1004:$BO$1004,1,MATCH(COLUMNS($AN$1006:BG1006),$AN$1006:$BO$1006,0)))),"Fix")))</f>
        <v>0</v>
      </c>
      <c r="V278" s="4">
        <f>IF(OR(INDEX($AH$2:$AH$1001,MATCH(ROWS($AG$2:AG278),$AG$2:$AG$1001,0),1)&gt;=100000,INDEX($AN$1005:$BO$1005,1,MATCH(COLUMNS($AN$1006:BH1006),$AN$1006:$BO$1006,0))&gt;=100000), " ",IF(INDEX($AN$2:$BO$1001,MATCH(ROWS($AG$2:AG278),$AG$2:$AG$1001,0),MATCH(COLUMNS($AN$1006:BH1006),$AN$1006:$BO$1006,0)), HYPERLINK("#",""), HYPERLINK(CONCATENATE("#Metadata!", ADDRESS(INDEX($AI$2:$AI$1001,MATCH(ROWS($AG$2:AG278),$AG$2:$AG$1001,0),0), INDEX($AN$1004:$BO$1004,1,MATCH(COLUMNS($AN$1006:BH1006),$AN$1006:$BO$1006,0)))),"Fix")))</f>
        <v>0</v>
      </c>
      <c r="W278" s="4">
        <f>IF(OR(INDEX($AH$2:$AH$1001,MATCH(ROWS($AG$2:AG278),$AG$2:$AG$1001,0),1)&gt;=100000,INDEX($AN$1005:$BO$1005,1,MATCH(COLUMNS($AN$1006:BI1006),$AN$1006:$BO$1006,0))&gt;=100000), " ",IF(INDEX($AN$2:$BO$1001,MATCH(ROWS($AG$2:AG278),$AG$2:$AG$1001,0),MATCH(COLUMNS($AN$1006:BI1006),$AN$1006:$BO$1006,0)), HYPERLINK("#",""), HYPERLINK(CONCATENATE("#Metadata!", ADDRESS(INDEX($AI$2:$AI$1001,MATCH(ROWS($AG$2:AG278),$AG$2:$AG$1001,0),0), INDEX($AN$1004:$BO$1004,1,MATCH(COLUMNS($AN$1006:BI1006),$AN$1006:$BO$1006,0)))),"Fix")))</f>
        <v>0</v>
      </c>
      <c r="X278" s="4">
        <f>IF(OR(INDEX($AH$2:$AH$1001,MATCH(ROWS($AG$2:AG278),$AG$2:$AG$1001,0),1)&gt;=100000,INDEX($AN$1005:$BO$1005,1,MATCH(COLUMNS($AN$1006:BJ1006),$AN$1006:$BO$1006,0))&gt;=100000), " ",IF(INDEX($AN$2:$BO$1001,MATCH(ROWS($AG$2:AG278),$AG$2:$AG$1001,0),MATCH(COLUMNS($AN$1006:BJ1006),$AN$1006:$BO$1006,0)), HYPERLINK("#",""), HYPERLINK(CONCATENATE("#Metadata!", ADDRESS(INDEX($AI$2:$AI$1001,MATCH(ROWS($AG$2:AG278),$AG$2:$AG$1001,0),0), INDEX($AN$1004:$BO$1004,1,MATCH(COLUMNS($AN$1006:BJ1006),$AN$1006:$BO$1006,0)))),"Fix")))</f>
        <v>0</v>
      </c>
      <c r="Y278" s="4">
        <f>IF(OR(INDEX($AH$2:$AH$1001,MATCH(ROWS($AG$2:AG278),$AG$2:$AG$1001,0),1)&gt;=100000,INDEX($AN$1005:$BO$1005,1,MATCH(COLUMNS($AN$1006:BK1006),$AN$1006:$BO$1006,0))&gt;=100000), " ",IF(INDEX($AN$2:$BO$1001,MATCH(ROWS($AG$2:AG278),$AG$2:$AG$1001,0),MATCH(COLUMNS($AN$1006:BK1006),$AN$1006:$BO$1006,0)), HYPERLINK("#",""), HYPERLINK(CONCATENATE("#Metadata!", ADDRESS(INDEX($AI$2:$AI$1001,MATCH(ROWS($AG$2:AG278),$AG$2:$AG$1001,0),0), INDEX($AN$1004:$BO$1004,1,MATCH(COLUMNS($AN$1006:BK1006),$AN$1006:$BO$1006,0)))),"Fix")))</f>
        <v>0</v>
      </c>
      <c r="Z278" s="4">
        <f>IF(OR(INDEX($AH$2:$AH$1001,MATCH(ROWS($AG$2:AG278),$AG$2:$AG$1001,0),1)&gt;=100000,INDEX($AN$1005:$BO$1005,1,MATCH(COLUMNS($AN$1006:BL1006),$AN$1006:$BO$1006,0))&gt;=100000), " ",IF(INDEX($AN$2:$BO$1001,MATCH(ROWS($AG$2:AG278),$AG$2:$AG$1001,0),MATCH(COLUMNS($AN$1006:BL1006),$AN$1006:$BO$1006,0)), HYPERLINK("#",""), HYPERLINK(CONCATENATE("#Metadata!", ADDRESS(INDEX($AI$2:$AI$1001,MATCH(ROWS($AG$2:AG278),$AG$2:$AG$1001,0),0), INDEX($AN$1004:$BO$1004,1,MATCH(COLUMNS($AN$1006:BL1006),$AN$1006:$BO$1006,0)))),"Fix")))</f>
        <v>0</v>
      </c>
      <c r="AA278" s="4">
        <f>IF(OR(INDEX($AH$2:$AH$1001,MATCH(ROWS($AG$2:AG278),$AG$2:$AG$1001,0),1)&gt;=100000,INDEX($AN$1005:$BO$1005,1,MATCH(COLUMNS($AN$1006:BM1006),$AN$1006:$BO$1006,0))&gt;=100000), " ",IF(INDEX($AN$2:$BO$1001,MATCH(ROWS($AG$2:AG278),$AG$2:$AG$1001,0),MATCH(COLUMNS($AN$1006:BM1006),$AN$1006:$BO$1006,0)), HYPERLINK("#",""), HYPERLINK(CONCATENATE("#Metadata!", ADDRESS(INDEX($AI$2:$AI$1001,MATCH(ROWS($AG$2:AG278),$AG$2:$AG$1001,0),0), INDEX($AN$1004:$BO$1004,1,MATCH(COLUMNS($AN$1006:BM1006),$AN$1006:$BO$1006,0)))),"Fix")))</f>
        <v>0</v>
      </c>
      <c r="AB278" s="4">
        <f>IF(OR(INDEX($AH$2:$AH$1001,MATCH(ROWS($AG$2:AG278),$AG$2:$AG$1001,0),1)&gt;=100000,INDEX($AN$1005:$BO$1005,1,MATCH(COLUMNS($AN$1006:BN1006),$AN$1006:$BO$1006,0))&gt;=100000), " ",IF(INDEX($AN$2:$BO$1001,MATCH(ROWS($AG$2:AG278),$AG$2:$AG$1001,0),MATCH(COLUMNS($AN$1006:BN1006),$AN$1006:$BO$1006,0)), HYPERLINK("#",""), HYPERLINK(CONCATENATE("#Metadata!", ADDRESS(INDEX($AI$2:$AI$1001,MATCH(ROWS($AG$2:AG278),$AG$2:$AG$1001,0),0), INDEX($AN$1004:$BO$1004,1,MATCH(COLUMNS($AN$1006:BN1006),$AN$1006:$BO$1006,0)))),"Fix")))</f>
        <v>0</v>
      </c>
      <c r="AC278" s="4">
        <f>IF(OR(INDEX($AH$2:$AH$1001,MATCH(ROWS($AG$2:AG278),$AG$2:$AG$1001,0),1)&gt;=100000,INDEX($AN$1005:$BO$1005,1,MATCH(COLUMNS($AN$1006:BO1006),$AN$1006:$BO$1006,0))&gt;=100000), " ",IF(INDEX($AN$2:$BO$1001,MATCH(ROWS($AG$2:AG278),$AG$2:$AG$1001,0),MATCH(COLUMNS($AN$1006:BO1006),$AN$1006:$BO$1006,0)), HYPERLINK("#",""), HYPERLINK(CONCATENATE("#Metadata!", ADDRESS(INDEX($AI$2:$AI$1001,MATCH(ROWS($AG$2:AG278),$AG$2:$AG$1001,0),0), INDEX($AN$1004:$BO$1004,1,MATCH(COLUMNS($AN$1006:BO1006),$AN$1006:$BO$1006,0)))),"Fix")))</f>
        <v>0</v>
      </c>
      <c r="AG278">
        <v>0</v>
      </c>
      <c r="AH278">
        <v>0</v>
      </c>
      <c r="AI278">
        <v>0</v>
      </c>
      <c r="AJ278">
        <f>IF(AK278,TRUE,AND(AN278:BO278))</f>
        <v>0</v>
      </c>
      <c r="AK278">
        <f>COUNTBLANK(Metadata!B278:AC278)=COLUMNS(Metadata!B278:AC278)</f>
        <v>0</v>
      </c>
      <c r="AL278">
        <v>0</v>
      </c>
      <c r="AN278">
        <f>AND(IF(Metadata!B278="",FALSE,TRUE),COUNTIF(Metadata!B:B, Metadata!B278) = 1,NOT(ISERROR(SUMPRODUCT(SEARCH(MID(Metadata!B278,ROW(INDIRECT("1:"&amp;LEN(Metadata!B278))), 1),"0123456789abcdefghijklmnopqrstuvwxyzABCDEFGHIJKLMNOPQRSTUVWXYZ.")))))</f>
        <v>0</v>
      </c>
      <c r="AO278">
        <f>IF(Metadata!C278="",FALSE,TRUE)</f>
        <v>0</v>
      </c>
      <c r="AP278">
        <f>IF(Metadata!D278="",FALSE,TRUE)</f>
        <v>0</v>
      </c>
      <c r="AQ278">
        <f>OR(AND(IF(Metadata!E278="",FALSE,TRUE),OR(exact(Metadata!E278,"not collected"),exact(Metadata!E278,"not provided"),exact(Metadata!E278,"restricted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R278">
        <f>IF(Metadata!F278="",FALSE,TRUE)</f>
        <v>0</v>
      </c>
      <c r="AS278">
        <f>OR(AND(IF(Metadata!G278="",FALSE,TRUE),OR(exact(Metadata!G278,"not collected"),exact(Metadata!G278,"not provided"))),AND(IF(Metadata!G278="",FALSE,TRUE),OR(exact(Metadata!G278,"TRUE"),exact(Metadata!G278,"FALSE"))))</f>
        <v>0</v>
      </c>
      <c r="AT278">
        <f>OR(AND(IF(Metadata!H278="",FALSE,TRUE),OR(exact(Metadata!H278,"not collected"),exact(Metadata!H278,"not provided"),exact(Metadata!H278,"restricted access"))),AND(IF(Metadata!H278="",FALSE,ISNUMBER(VALUE(Metadata!H278))),Metadata!H278&gt;=-413.0))</f>
        <v>0</v>
      </c>
      <c r="AU278">
        <f>AND(IF(Metadata!I278="",FALSE,TRUE),exact(Metadata!I278,"meters"))</f>
        <v>0</v>
      </c>
      <c r="AV278">
        <f>AND(IF(Metadata!J278="",FALSE,TRUE),OR(exact(Metadata!J278,"Host-associated"),exact(Metadata!J278,"Free-living")))</f>
        <v>0</v>
      </c>
      <c r="AW278">
        <f>AND(IF(Metadata!K278="",FALSE,TRUE),OR(exact(Metadata!K278,"Animal"),exact(Metadata!K278,"Fungus"),exact(Metadata!K278,"Plant"),exact(Metadata!K278,"Saline"),exact(Metadata!K278,"Non-saline")))</f>
        <v>0</v>
      </c>
      <c r="AX278">
        <f>AND(IF(Metadata!L278="",FALSE,TRUE),OR(exact(Metadata!L278,"Plant secretion"),exact(Metadata!L278,"Plant rhizosphere"),exact(Metadata!L278,"Plant surface"),exact(Metadata!L278,"Plant corpus"),exact(Metadata!L278,"Fungus surface"),exact(Metadata!L278,"Fungus corpus"),exact(Metadata!L278,"Animal surface"),exact(Metadata!L278,"Animal proximal gut"),exact(Metadata!L278,"Animal corpus"),exact(Metadata!L278,"Animal distal gut"),exact(Metadata!L278,"Animal secretion"),exact(Metadata!L278,"Sub-surface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Y278">
        <f>IF(Metadata!M278="",FALSE,TRUE)</f>
        <v>0</v>
      </c>
      <c r="AZ278">
        <f>IF(Metadata!N278="",FALSE,TRUE)</f>
        <v>0</v>
      </c>
      <c r="BA278">
        <f>IF(Metadata!O278="",FALSE,TRUE)</f>
        <v>0</v>
      </c>
      <c r="BB278">
        <f>OR(AND(IF(Metadata!P278="",FALSE,TRUE),OR(exact(Metadata!P278,"not collected"),exact(Metadata!P278,"not provided"),exact(Metadata!P278,"restricted access"))),AND(IF(Metadata!P278="",FALSE,TRUE),OR(exact(Metadata!P278,"air"),exact(Metadata!P278,"built environment"),exact(Metadata!P278,"host-associated"),exact(Metadata!P278,"human-associated"),exact(Metadata!P278,"human-skin"),exact(Metadata!P278,"human-oral"),exact(Metadata!P278,"human-gut"),exact(Metadata!P278,"human-vaginal"),exact(Metadata!P278,"microbial mat/biofilm"),exact(Metadata!P278,"misc environment"),exact(Metadata!P278,"plant-associated"),exact(Metadata!P278,"sediment"),exact(Metadata!P278,"soil"),exact(Metadata!P278,"wastewater/sludge"),exact(Metadata!P278,"water"))))</f>
        <v>0</v>
      </c>
      <c r="BC278">
        <f>IF(Metadata!Q278="",FALSE,TRUE)</f>
        <v>0</v>
      </c>
      <c r="BD278">
        <f>IF(Metadata!R278="",FALSE,TRUE)</f>
        <v>0</v>
      </c>
      <c r="BE278">
        <f>OR(AND(IF(Metadata!S278="",FALSE,TRUE),OR(exact(Metadata!S278,"not collected"),exact(Metadata!S278,"not provided"),exact(Metadata!S278,"restricted access"))),AND(IF(Metadata!S278="",FALSE,ISNUMBER(VALUE(Metadata!S278))),Metadata!S278&gt;=-90.00,Metadata!S278&lt;=90.00))</f>
        <v>0</v>
      </c>
      <c r="BF278">
        <f>AND(IF(Metadata!T278="",FALSE,TRUE),exact(Metadata!T278,"Decimal degrees"))</f>
        <v>0</v>
      </c>
      <c r="BG278">
        <f>OR(AND(IF(Metadata!U278="",FALSE,TRUE),OR(exact(Metadata!U278,"not collected"),exact(Metadata!U278,"not provided"),exact(Metadata!U278,"restricted access"))),AND(IF(Metadata!U278="",FALSE,ISNUMBER(VALUE(Metadata!U278))),Metadata!U278&gt;=-180.00,Metadata!U278&lt;=180.00))</f>
        <v>0</v>
      </c>
      <c r="BH278">
        <f>AND(IF(Metadata!V278="",FALSE,TRUE),exact(Metadata!V278,"Decimal degrees"))</f>
        <v>0</v>
      </c>
      <c r="BI278">
        <f>IF(Metadata!W278="",FALSE,TRUE)</f>
        <v>0</v>
      </c>
      <c r="BJ278">
        <f>OR(AND(IF(Metadata!X278="",FALSE,TRUE),OR(exact(Metadata!X278,"not collected"),exact(Metadata!X278,"not provided"),exact(Metadata!X278,"restricted access"))),AND(IF(Metadata!X278="",FALSE,TRUE),OR(exact(Metadata!X278,"TRUE"),exact(Metadata!X278,"FALSE"))))</f>
        <v>0</v>
      </c>
      <c r="BK278">
        <f>AND(IF(Metadata!Y278="",FALSE,TRUE),exact(Metadata!Y278,"other"))</f>
        <v>0</v>
      </c>
      <c r="BL278">
        <f>IF(Metadata!Z278="",FALSE,TRUE)</f>
        <v>0</v>
      </c>
      <c r="BM278">
        <f>OR(AND(IF(Metadata!AA278="",FALSE,TRUE),OR(exact(Metadata!AA278,"not collected"),exact(Metadata!AA278,"not provided"))),AND(IF(Metadata!AA278="",FALSE,IF(ISERROR(INT(Metadata!AA278)),FALSE,INT(Metadata!AA278)=Metadata!AA278)),Metadata!AA278&gt;0))</f>
        <v>0</v>
      </c>
      <c r="BN278">
        <f>AND(IF(Metadata!AB278="",FALSE,TRUE),exact(Metadata!AB278,"Not applicable"))</f>
        <v>0</v>
      </c>
      <c r="BO278">
        <f>IF(Metadata!AC278="",FALSE,TRUE)</f>
        <v>0</v>
      </c>
    </row>
    <row r="279" spans="1:67">
      <c r="A279" s="5">
        <f>IF(B279=" "," ",HYPERLINK(CONCATENATE("#metadata!",ADDRESS(INDEX($AI$2:$AI$1001,MATCH(ROWS($AG$2:AG279),$AG$2:$AG$1001,0),0),1)),INDEX($AL$2:$AL$1001,MATCH(ROWS($AG$2:AG279),$AG$2:$AG$1001,0),0)))</f>
        <v>0</v>
      </c>
      <c r="B279" s="4">
        <f>IF(OR(INDEX($AH$2:$AH$1001,MATCH(ROWS($AG$2:AG279),$AG$2:$AG$1001,0),1)&gt;=100000,INDEX($AN$1005:$BO$1005,1,MATCH(COLUMNS($AN$1006:AN1006),$AN$1006:$BO$1006,0))&gt;=100000), " ",IF(INDEX($AN$2:$BO$1001,MATCH(ROWS($AG$2:AG279),$AG$2:$AG$1001,0),MATCH(COLUMNS($AN$1006:AN1006),$AN$1006:$BO$1006,0)), HYPERLINK("#",""), HYPERLINK(CONCATENATE("#Metadata!", ADDRESS(INDEX($AI$2:$AI$1001,MATCH(ROWS($AG$2:AG279),$AG$2:$AG$1001,0),0), INDEX($AN$1004:$BO$1004,1,MATCH(COLUMNS($AN$1006:AN1006),$AN$1006:$BO$1006,0)))),"Fix")))</f>
        <v>0</v>
      </c>
      <c r="C279" s="4">
        <f>IF(OR(INDEX($AH$2:$AH$1001,MATCH(ROWS($AG$2:AG279),$AG$2:$AG$1001,0),1)&gt;=100000,INDEX($AN$1005:$BO$1005,1,MATCH(COLUMNS($AN$1006:AO1006),$AN$1006:$BO$1006,0))&gt;=100000), " ",IF(INDEX($AN$2:$BO$1001,MATCH(ROWS($AG$2:AG279),$AG$2:$AG$1001,0),MATCH(COLUMNS($AN$1006:AO1006),$AN$1006:$BO$1006,0)), HYPERLINK("#",""), HYPERLINK(CONCATENATE("#Metadata!", ADDRESS(INDEX($AI$2:$AI$1001,MATCH(ROWS($AG$2:AG279),$AG$2:$AG$1001,0),0), INDEX($AN$1004:$BO$1004,1,MATCH(COLUMNS($AN$1006:AO1006),$AN$1006:$BO$1006,0)))),"Fix")))</f>
        <v>0</v>
      </c>
      <c r="D279" s="4">
        <f>IF(OR(INDEX($AH$2:$AH$1001,MATCH(ROWS($AG$2:AG279),$AG$2:$AG$1001,0),1)&gt;=100000,INDEX($AN$1005:$BO$1005,1,MATCH(COLUMNS($AN$1006:AP1006),$AN$1006:$BO$1006,0))&gt;=100000), " ",IF(INDEX($AN$2:$BO$1001,MATCH(ROWS($AG$2:AG279),$AG$2:$AG$1001,0),MATCH(COLUMNS($AN$1006:AP1006),$AN$1006:$BO$1006,0)), HYPERLINK("#",""), HYPERLINK(CONCATENATE("#Metadata!", ADDRESS(INDEX($AI$2:$AI$1001,MATCH(ROWS($AG$2:AG279),$AG$2:$AG$1001,0),0), INDEX($AN$1004:$BO$1004,1,MATCH(COLUMNS($AN$1006:AP1006),$AN$1006:$BO$1006,0)))),"Fix")))</f>
        <v>0</v>
      </c>
      <c r="E279" s="4">
        <f>IF(OR(INDEX($AH$2:$AH$1001,MATCH(ROWS($AG$2:AG279),$AG$2:$AG$1001,0),1)&gt;=100000,INDEX($AN$1005:$BO$1005,1,MATCH(COLUMNS($AN$1006:AQ1006),$AN$1006:$BO$1006,0))&gt;=100000), " ",IF(INDEX($AN$2:$BO$1001,MATCH(ROWS($AG$2:AG279),$AG$2:$AG$1001,0),MATCH(COLUMNS($AN$1006:AQ1006),$AN$1006:$BO$1006,0)), HYPERLINK("#",""), HYPERLINK(CONCATENATE("#Metadata!", ADDRESS(INDEX($AI$2:$AI$1001,MATCH(ROWS($AG$2:AG279),$AG$2:$AG$1001,0),0), INDEX($AN$1004:$BO$1004,1,MATCH(COLUMNS($AN$1006:AQ1006),$AN$1006:$BO$1006,0)))),"Fix")))</f>
        <v>0</v>
      </c>
      <c r="F279" s="4">
        <f>IF(OR(INDEX($AH$2:$AH$1001,MATCH(ROWS($AG$2:AG279),$AG$2:$AG$1001,0),1)&gt;=100000,INDEX($AN$1005:$BO$1005,1,MATCH(COLUMNS($AN$1006:AR1006),$AN$1006:$BO$1006,0))&gt;=100000), " ",IF(INDEX($AN$2:$BO$1001,MATCH(ROWS($AG$2:AG279),$AG$2:$AG$1001,0),MATCH(COLUMNS($AN$1006:AR1006),$AN$1006:$BO$1006,0)), HYPERLINK("#",""), HYPERLINK(CONCATENATE("#Metadata!", ADDRESS(INDEX($AI$2:$AI$1001,MATCH(ROWS($AG$2:AG279),$AG$2:$AG$1001,0),0), INDEX($AN$1004:$BO$1004,1,MATCH(COLUMNS($AN$1006:AR1006),$AN$1006:$BO$1006,0)))),"Fix")))</f>
        <v>0</v>
      </c>
      <c r="G279" s="4">
        <f>IF(OR(INDEX($AH$2:$AH$1001,MATCH(ROWS($AG$2:AG279),$AG$2:$AG$1001,0),1)&gt;=100000,INDEX($AN$1005:$BO$1005,1,MATCH(COLUMNS($AN$1006:AS1006),$AN$1006:$BO$1006,0))&gt;=100000), " ",IF(INDEX($AN$2:$BO$1001,MATCH(ROWS($AG$2:AG279),$AG$2:$AG$1001,0),MATCH(COLUMNS($AN$1006:AS1006),$AN$1006:$BO$1006,0)), HYPERLINK("#",""), HYPERLINK(CONCATENATE("#Metadata!", ADDRESS(INDEX($AI$2:$AI$1001,MATCH(ROWS($AG$2:AG279),$AG$2:$AG$1001,0),0), INDEX($AN$1004:$BO$1004,1,MATCH(COLUMNS($AN$1006:AS1006),$AN$1006:$BO$1006,0)))),"Fix")))</f>
        <v>0</v>
      </c>
      <c r="H279" s="4">
        <f>IF(OR(INDEX($AH$2:$AH$1001,MATCH(ROWS($AG$2:AG279),$AG$2:$AG$1001,0),1)&gt;=100000,INDEX($AN$1005:$BO$1005,1,MATCH(COLUMNS($AN$1006:AT1006),$AN$1006:$BO$1006,0))&gt;=100000), " ",IF(INDEX($AN$2:$BO$1001,MATCH(ROWS($AG$2:AG279),$AG$2:$AG$1001,0),MATCH(COLUMNS($AN$1006:AT1006),$AN$1006:$BO$1006,0)), HYPERLINK("#",""), HYPERLINK(CONCATENATE("#Metadata!", ADDRESS(INDEX($AI$2:$AI$1001,MATCH(ROWS($AG$2:AG279),$AG$2:$AG$1001,0),0), INDEX($AN$1004:$BO$1004,1,MATCH(COLUMNS($AN$1006:AT1006),$AN$1006:$BO$1006,0)))),"Fix")))</f>
        <v>0</v>
      </c>
      <c r="I279" s="4">
        <f>IF(OR(INDEX($AH$2:$AH$1001,MATCH(ROWS($AG$2:AG279),$AG$2:$AG$1001,0),1)&gt;=100000,INDEX($AN$1005:$BO$1005,1,MATCH(COLUMNS($AN$1006:AU1006),$AN$1006:$BO$1006,0))&gt;=100000), " ",IF(INDEX($AN$2:$BO$1001,MATCH(ROWS($AG$2:AG279),$AG$2:$AG$1001,0),MATCH(COLUMNS($AN$1006:AU1006),$AN$1006:$BO$1006,0)), HYPERLINK("#",""), HYPERLINK(CONCATENATE("#Metadata!", ADDRESS(INDEX($AI$2:$AI$1001,MATCH(ROWS($AG$2:AG279),$AG$2:$AG$1001,0),0), INDEX($AN$1004:$BO$1004,1,MATCH(COLUMNS($AN$1006:AU1006),$AN$1006:$BO$1006,0)))),"Fix")))</f>
        <v>0</v>
      </c>
      <c r="J279" s="4">
        <f>IF(OR(INDEX($AH$2:$AH$1001,MATCH(ROWS($AG$2:AG279),$AG$2:$AG$1001,0),1)&gt;=100000,INDEX($AN$1005:$BO$1005,1,MATCH(COLUMNS($AN$1006:AV1006),$AN$1006:$BO$1006,0))&gt;=100000), " ",IF(INDEX($AN$2:$BO$1001,MATCH(ROWS($AG$2:AG279),$AG$2:$AG$1001,0),MATCH(COLUMNS($AN$1006:AV1006),$AN$1006:$BO$1006,0)), HYPERLINK("#",""), HYPERLINK(CONCATENATE("#Metadata!", ADDRESS(INDEX($AI$2:$AI$1001,MATCH(ROWS($AG$2:AG279),$AG$2:$AG$1001,0),0), INDEX($AN$1004:$BO$1004,1,MATCH(COLUMNS($AN$1006:AV1006),$AN$1006:$BO$1006,0)))),"Fix")))</f>
        <v>0</v>
      </c>
      <c r="K279" s="4">
        <f>IF(OR(INDEX($AH$2:$AH$1001,MATCH(ROWS($AG$2:AG279),$AG$2:$AG$1001,0),1)&gt;=100000,INDEX($AN$1005:$BO$1005,1,MATCH(COLUMNS($AN$1006:AW1006),$AN$1006:$BO$1006,0))&gt;=100000), " ",IF(INDEX($AN$2:$BO$1001,MATCH(ROWS($AG$2:AG279),$AG$2:$AG$1001,0),MATCH(COLUMNS($AN$1006:AW1006),$AN$1006:$BO$1006,0)), HYPERLINK("#",""), HYPERLINK(CONCATENATE("#Metadata!", ADDRESS(INDEX($AI$2:$AI$1001,MATCH(ROWS($AG$2:AG279),$AG$2:$AG$1001,0),0), INDEX($AN$1004:$BO$1004,1,MATCH(COLUMNS($AN$1006:AW1006),$AN$1006:$BO$1006,0)))),"Fix")))</f>
        <v>0</v>
      </c>
      <c r="L279" s="4">
        <f>IF(OR(INDEX($AH$2:$AH$1001,MATCH(ROWS($AG$2:AG279),$AG$2:$AG$1001,0),1)&gt;=100000,INDEX($AN$1005:$BO$1005,1,MATCH(COLUMNS($AN$1006:AX1006),$AN$1006:$BO$1006,0))&gt;=100000), " ",IF(INDEX($AN$2:$BO$1001,MATCH(ROWS($AG$2:AG279),$AG$2:$AG$1001,0),MATCH(COLUMNS($AN$1006:AX1006),$AN$1006:$BO$1006,0)), HYPERLINK("#",""), HYPERLINK(CONCATENATE("#Metadata!", ADDRESS(INDEX($AI$2:$AI$1001,MATCH(ROWS($AG$2:AG279),$AG$2:$AG$1001,0),0), INDEX($AN$1004:$BO$1004,1,MATCH(COLUMNS($AN$1006:AX1006),$AN$1006:$BO$1006,0)))),"Fix")))</f>
        <v>0</v>
      </c>
      <c r="M279" s="4">
        <f>IF(OR(INDEX($AH$2:$AH$1001,MATCH(ROWS($AG$2:AG279),$AG$2:$AG$1001,0),1)&gt;=100000,INDEX($AN$1005:$BO$1005,1,MATCH(COLUMNS($AN$1006:AY1006),$AN$1006:$BO$1006,0))&gt;=100000), " ",IF(INDEX($AN$2:$BO$1001,MATCH(ROWS($AG$2:AG279),$AG$2:$AG$1001,0),MATCH(COLUMNS($AN$1006:AY1006),$AN$1006:$BO$1006,0)), HYPERLINK("#",""), HYPERLINK(CONCATENATE("#Metadata!", ADDRESS(INDEX($AI$2:$AI$1001,MATCH(ROWS($AG$2:AG279),$AG$2:$AG$1001,0),0), INDEX($AN$1004:$BO$1004,1,MATCH(COLUMNS($AN$1006:AY1006),$AN$1006:$BO$1006,0)))),"Fix")))</f>
        <v>0</v>
      </c>
      <c r="N279" s="4">
        <f>IF(OR(INDEX($AH$2:$AH$1001,MATCH(ROWS($AG$2:AG279),$AG$2:$AG$1001,0),1)&gt;=100000,INDEX($AN$1005:$BO$1005,1,MATCH(COLUMNS($AN$1006:AZ1006),$AN$1006:$BO$1006,0))&gt;=100000), " ",IF(INDEX($AN$2:$BO$1001,MATCH(ROWS($AG$2:AG279),$AG$2:$AG$1001,0),MATCH(COLUMNS($AN$1006:AZ1006),$AN$1006:$BO$1006,0)), HYPERLINK("#",""), HYPERLINK(CONCATENATE("#Metadata!", ADDRESS(INDEX($AI$2:$AI$1001,MATCH(ROWS($AG$2:AG279),$AG$2:$AG$1001,0),0), INDEX($AN$1004:$BO$1004,1,MATCH(COLUMNS($AN$1006:AZ1006),$AN$1006:$BO$1006,0)))),"Fix")))</f>
        <v>0</v>
      </c>
      <c r="O279" s="4">
        <f>IF(OR(INDEX($AH$2:$AH$1001,MATCH(ROWS($AG$2:AG279),$AG$2:$AG$1001,0),1)&gt;=100000,INDEX($AN$1005:$BO$1005,1,MATCH(COLUMNS($AN$1006:BA1006),$AN$1006:$BO$1006,0))&gt;=100000), " ",IF(INDEX($AN$2:$BO$1001,MATCH(ROWS($AG$2:AG279),$AG$2:$AG$1001,0),MATCH(COLUMNS($AN$1006:BA1006),$AN$1006:$BO$1006,0)), HYPERLINK("#",""), HYPERLINK(CONCATENATE("#Metadata!", ADDRESS(INDEX($AI$2:$AI$1001,MATCH(ROWS($AG$2:AG279),$AG$2:$AG$1001,0),0), INDEX($AN$1004:$BO$1004,1,MATCH(COLUMNS($AN$1006:BA1006),$AN$1006:$BO$1006,0)))),"Fix")))</f>
        <v>0</v>
      </c>
      <c r="P279" s="4">
        <f>IF(OR(INDEX($AH$2:$AH$1001,MATCH(ROWS($AG$2:AG279),$AG$2:$AG$1001,0),1)&gt;=100000,INDEX($AN$1005:$BO$1005,1,MATCH(COLUMNS($AN$1006:BB1006),$AN$1006:$BO$1006,0))&gt;=100000), " ",IF(INDEX($AN$2:$BO$1001,MATCH(ROWS($AG$2:AG279),$AG$2:$AG$1001,0),MATCH(COLUMNS($AN$1006:BB1006),$AN$1006:$BO$1006,0)), HYPERLINK("#",""), HYPERLINK(CONCATENATE("#Metadata!", ADDRESS(INDEX($AI$2:$AI$1001,MATCH(ROWS($AG$2:AG279),$AG$2:$AG$1001,0),0), INDEX($AN$1004:$BO$1004,1,MATCH(COLUMNS($AN$1006:BB1006),$AN$1006:$BO$1006,0)))),"Fix")))</f>
        <v>0</v>
      </c>
      <c r="Q279" s="4">
        <f>IF(OR(INDEX($AH$2:$AH$1001,MATCH(ROWS($AG$2:AG279),$AG$2:$AG$1001,0),1)&gt;=100000,INDEX($AN$1005:$BO$1005,1,MATCH(COLUMNS($AN$1006:BC1006),$AN$1006:$BO$1006,0))&gt;=100000), " ",IF(INDEX($AN$2:$BO$1001,MATCH(ROWS($AG$2:AG279),$AG$2:$AG$1001,0),MATCH(COLUMNS($AN$1006:BC1006),$AN$1006:$BO$1006,0)), HYPERLINK("#",""), HYPERLINK(CONCATENATE("#Metadata!", ADDRESS(INDEX($AI$2:$AI$1001,MATCH(ROWS($AG$2:AG279),$AG$2:$AG$1001,0),0), INDEX($AN$1004:$BO$1004,1,MATCH(COLUMNS($AN$1006:BC1006),$AN$1006:$BO$1006,0)))),"Fix")))</f>
        <v>0</v>
      </c>
      <c r="R279" s="4">
        <f>IF(OR(INDEX($AH$2:$AH$1001,MATCH(ROWS($AG$2:AG279),$AG$2:$AG$1001,0),1)&gt;=100000,INDEX($AN$1005:$BO$1005,1,MATCH(COLUMNS($AN$1006:BD1006),$AN$1006:$BO$1006,0))&gt;=100000), " ",IF(INDEX($AN$2:$BO$1001,MATCH(ROWS($AG$2:AG279),$AG$2:$AG$1001,0),MATCH(COLUMNS($AN$1006:BD1006),$AN$1006:$BO$1006,0)), HYPERLINK("#",""), HYPERLINK(CONCATENATE("#Metadata!", ADDRESS(INDEX($AI$2:$AI$1001,MATCH(ROWS($AG$2:AG279),$AG$2:$AG$1001,0),0), INDEX($AN$1004:$BO$1004,1,MATCH(COLUMNS($AN$1006:BD1006),$AN$1006:$BO$1006,0)))),"Fix")))</f>
        <v>0</v>
      </c>
      <c r="S279" s="4">
        <f>IF(OR(INDEX($AH$2:$AH$1001,MATCH(ROWS($AG$2:AG279),$AG$2:$AG$1001,0),1)&gt;=100000,INDEX($AN$1005:$BO$1005,1,MATCH(COLUMNS($AN$1006:BE1006),$AN$1006:$BO$1006,0))&gt;=100000), " ",IF(INDEX($AN$2:$BO$1001,MATCH(ROWS($AG$2:AG279),$AG$2:$AG$1001,0),MATCH(COLUMNS($AN$1006:BE1006),$AN$1006:$BO$1006,0)), HYPERLINK("#",""), HYPERLINK(CONCATENATE("#Metadata!", ADDRESS(INDEX($AI$2:$AI$1001,MATCH(ROWS($AG$2:AG279),$AG$2:$AG$1001,0),0), INDEX($AN$1004:$BO$1004,1,MATCH(COLUMNS($AN$1006:BE1006),$AN$1006:$BO$1006,0)))),"Fix")))</f>
        <v>0</v>
      </c>
      <c r="T279" s="4">
        <f>IF(OR(INDEX($AH$2:$AH$1001,MATCH(ROWS($AG$2:AG279),$AG$2:$AG$1001,0),1)&gt;=100000,INDEX($AN$1005:$BO$1005,1,MATCH(COLUMNS($AN$1006:BF1006),$AN$1006:$BO$1006,0))&gt;=100000), " ",IF(INDEX($AN$2:$BO$1001,MATCH(ROWS($AG$2:AG279),$AG$2:$AG$1001,0),MATCH(COLUMNS($AN$1006:BF1006),$AN$1006:$BO$1006,0)), HYPERLINK("#",""), HYPERLINK(CONCATENATE("#Metadata!", ADDRESS(INDEX($AI$2:$AI$1001,MATCH(ROWS($AG$2:AG279),$AG$2:$AG$1001,0),0), INDEX($AN$1004:$BO$1004,1,MATCH(COLUMNS($AN$1006:BF1006),$AN$1006:$BO$1006,0)))),"Fix")))</f>
        <v>0</v>
      </c>
      <c r="U279" s="4">
        <f>IF(OR(INDEX($AH$2:$AH$1001,MATCH(ROWS($AG$2:AG279),$AG$2:$AG$1001,0),1)&gt;=100000,INDEX($AN$1005:$BO$1005,1,MATCH(COLUMNS($AN$1006:BG1006),$AN$1006:$BO$1006,0))&gt;=100000), " ",IF(INDEX($AN$2:$BO$1001,MATCH(ROWS($AG$2:AG279),$AG$2:$AG$1001,0),MATCH(COLUMNS($AN$1006:BG1006),$AN$1006:$BO$1006,0)), HYPERLINK("#",""), HYPERLINK(CONCATENATE("#Metadata!", ADDRESS(INDEX($AI$2:$AI$1001,MATCH(ROWS($AG$2:AG279),$AG$2:$AG$1001,0),0), INDEX($AN$1004:$BO$1004,1,MATCH(COLUMNS($AN$1006:BG1006),$AN$1006:$BO$1006,0)))),"Fix")))</f>
        <v>0</v>
      </c>
      <c r="V279" s="4">
        <f>IF(OR(INDEX($AH$2:$AH$1001,MATCH(ROWS($AG$2:AG279),$AG$2:$AG$1001,0),1)&gt;=100000,INDEX($AN$1005:$BO$1005,1,MATCH(COLUMNS($AN$1006:BH1006),$AN$1006:$BO$1006,0))&gt;=100000), " ",IF(INDEX($AN$2:$BO$1001,MATCH(ROWS($AG$2:AG279),$AG$2:$AG$1001,0),MATCH(COLUMNS($AN$1006:BH1006),$AN$1006:$BO$1006,0)), HYPERLINK("#",""), HYPERLINK(CONCATENATE("#Metadata!", ADDRESS(INDEX($AI$2:$AI$1001,MATCH(ROWS($AG$2:AG279),$AG$2:$AG$1001,0),0), INDEX($AN$1004:$BO$1004,1,MATCH(COLUMNS($AN$1006:BH1006),$AN$1006:$BO$1006,0)))),"Fix")))</f>
        <v>0</v>
      </c>
      <c r="W279" s="4">
        <f>IF(OR(INDEX($AH$2:$AH$1001,MATCH(ROWS($AG$2:AG279),$AG$2:$AG$1001,0),1)&gt;=100000,INDEX($AN$1005:$BO$1005,1,MATCH(COLUMNS($AN$1006:BI1006),$AN$1006:$BO$1006,0))&gt;=100000), " ",IF(INDEX($AN$2:$BO$1001,MATCH(ROWS($AG$2:AG279),$AG$2:$AG$1001,0),MATCH(COLUMNS($AN$1006:BI1006),$AN$1006:$BO$1006,0)), HYPERLINK("#",""), HYPERLINK(CONCATENATE("#Metadata!", ADDRESS(INDEX($AI$2:$AI$1001,MATCH(ROWS($AG$2:AG279),$AG$2:$AG$1001,0),0), INDEX($AN$1004:$BO$1004,1,MATCH(COLUMNS($AN$1006:BI1006),$AN$1006:$BO$1006,0)))),"Fix")))</f>
        <v>0</v>
      </c>
      <c r="X279" s="4">
        <f>IF(OR(INDEX($AH$2:$AH$1001,MATCH(ROWS($AG$2:AG279),$AG$2:$AG$1001,0),1)&gt;=100000,INDEX($AN$1005:$BO$1005,1,MATCH(COLUMNS($AN$1006:BJ1006),$AN$1006:$BO$1006,0))&gt;=100000), " ",IF(INDEX($AN$2:$BO$1001,MATCH(ROWS($AG$2:AG279),$AG$2:$AG$1001,0),MATCH(COLUMNS($AN$1006:BJ1006),$AN$1006:$BO$1006,0)), HYPERLINK("#",""), HYPERLINK(CONCATENATE("#Metadata!", ADDRESS(INDEX($AI$2:$AI$1001,MATCH(ROWS($AG$2:AG279),$AG$2:$AG$1001,0),0), INDEX($AN$1004:$BO$1004,1,MATCH(COLUMNS($AN$1006:BJ1006),$AN$1006:$BO$1006,0)))),"Fix")))</f>
        <v>0</v>
      </c>
      <c r="Y279" s="4">
        <f>IF(OR(INDEX($AH$2:$AH$1001,MATCH(ROWS($AG$2:AG279),$AG$2:$AG$1001,0),1)&gt;=100000,INDEX($AN$1005:$BO$1005,1,MATCH(COLUMNS($AN$1006:BK1006),$AN$1006:$BO$1006,0))&gt;=100000), " ",IF(INDEX($AN$2:$BO$1001,MATCH(ROWS($AG$2:AG279),$AG$2:$AG$1001,0),MATCH(COLUMNS($AN$1006:BK1006),$AN$1006:$BO$1006,0)), HYPERLINK("#",""), HYPERLINK(CONCATENATE("#Metadata!", ADDRESS(INDEX($AI$2:$AI$1001,MATCH(ROWS($AG$2:AG279),$AG$2:$AG$1001,0),0), INDEX($AN$1004:$BO$1004,1,MATCH(COLUMNS($AN$1006:BK1006),$AN$1006:$BO$1006,0)))),"Fix")))</f>
        <v>0</v>
      </c>
      <c r="Z279" s="4">
        <f>IF(OR(INDEX($AH$2:$AH$1001,MATCH(ROWS($AG$2:AG279),$AG$2:$AG$1001,0),1)&gt;=100000,INDEX($AN$1005:$BO$1005,1,MATCH(COLUMNS($AN$1006:BL1006),$AN$1006:$BO$1006,0))&gt;=100000), " ",IF(INDEX($AN$2:$BO$1001,MATCH(ROWS($AG$2:AG279),$AG$2:$AG$1001,0),MATCH(COLUMNS($AN$1006:BL1006),$AN$1006:$BO$1006,0)), HYPERLINK("#",""), HYPERLINK(CONCATENATE("#Metadata!", ADDRESS(INDEX($AI$2:$AI$1001,MATCH(ROWS($AG$2:AG279),$AG$2:$AG$1001,0),0), INDEX($AN$1004:$BO$1004,1,MATCH(COLUMNS($AN$1006:BL1006),$AN$1006:$BO$1006,0)))),"Fix")))</f>
        <v>0</v>
      </c>
      <c r="AA279" s="4">
        <f>IF(OR(INDEX($AH$2:$AH$1001,MATCH(ROWS($AG$2:AG279),$AG$2:$AG$1001,0),1)&gt;=100000,INDEX($AN$1005:$BO$1005,1,MATCH(COLUMNS($AN$1006:BM1006),$AN$1006:$BO$1006,0))&gt;=100000), " ",IF(INDEX($AN$2:$BO$1001,MATCH(ROWS($AG$2:AG279),$AG$2:$AG$1001,0),MATCH(COLUMNS($AN$1006:BM1006),$AN$1006:$BO$1006,0)), HYPERLINK("#",""), HYPERLINK(CONCATENATE("#Metadata!", ADDRESS(INDEX($AI$2:$AI$1001,MATCH(ROWS($AG$2:AG279),$AG$2:$AG$1001,0),0), INDEX($AN$1004:$BO$1004,1,MATCH(COLUMNS($AN$1006:BM1006),$AN$1006:$BO$1006,0)))),"Fix")))</f>
        <v>0</v>
      </c>
      <c r="AB279" s="4">
        <f>IF(OR(INDEX($AH$2:$AH$1001,MATCH(ROWS($AG$2:AG279),$AG$2:$AG$1001,0),1)&gt;=100000,INDEX($AN$1005:$BO$1005,1,MATCH(COLUMNS($AN$1006:BN1006),$AN$1006:$BO$1006,0))&gt;=100000), " ",IF(INDEX($AN$2:$BO$1001,MATCH(ROWS($AG$2:AG279),$AG$2:$AG$1001,0),MATCH(COLUMNS($AN$1006:BN1006),$AN$1006:$BO$1006,0)), HYPERLINK("#",""), HYPERLINK(CONCATENATE("#Metadata!", ADDRESS(INDEX($AI$2:$AI$1001,MATCH(ROWS($AG$2:AG279),$AG$2:$AG$1001,0),0), INDEX($AN$1004:$BO$1004,1,MATCH(COLUMNS($AN$1006:BN1006),$AN$1006:$BO$1006,0)))),"Fix")))</f>
        <v>0</v>
      </c>
      <c r="AC279" s="4">
        <f>IF(OR(INDEX($AH$2:$AH$1001,MATCH(ROWS($AG$2:AG279),$AG$2:$AG$1001,0),1)&gt;=100000,INDEX($AN$1005:$BO$1005,1,MATCH(COLUMNS($AN$1006:BO1006),$AN$1006:$BO$1006,0))&gt;=100000), " ",IF(INDEX($AN$2:$BO$1001,MATCH(ROWS($AG$2:AG279),$AG$2:$AG$1001,0),MATCH(COLUMNS($AN$1006:BO1006),$AN$1006:$BO$1006,0)), HYPERLINK("#",""), HYPERLINK(CONCATENATE("#Metadata!", ADDRESS(INDEX($AI$2:$AI$1001,MATCH(ROWS($AG$2:AG279),$AG$2:$AG$1001,0),0), INDEX($AN$1004:$BO$1004,1,MATCH(COLUMNS($AN$1006:BO1006),$AN$1006:$BO$1006,0)))),"Fix")))</f>
        <v>0</v>
      </c>
      <c r="AG279">
        <v>0</v>
      </c>
      <c r="AH279">
        <v>0</v>
      </c>
      <c r="AI279">
        <v>0</v>
      </c>
      <c r="AJ279">
        <f>IF(AK279,TRUE,AND(AN279:BO279))</f>
        <v>0</v>
      </c>
      <c r="AK279">
        <f>COUNTBLANK(Metadata!B279:AC279)=COLUMNS(Metadata!B279:AC279)</f>
        <v>0</v>
      </c>
      <c r="AL279">
        <v>0</v>
      </c>
      <c r="AN279">
        <f>AND(IF(Metadata!B279="",FALSE,TRUE),COUNTIF(Metadata!B:B, Metadata!B279) = 1,NOT(ISERROR(SUMPRODUCT(SEARCH(MID(Metadata!B279,ROW(INDIRECT("1:"&amp;LEN(Metadata!B279))), 1),"0123456789abcdefghijklmnopqrstuvwxyzABCDEFGHIJKLMNOPQRSTUVWXYZ.")))))</f>
        <v>0</v>
      </c>
      <c r="AO279">
        <f>IF(Metadata!C279="",FALSE,TRUE)</f>
        <v>0</v>
      </c>
      <c r="AP279">
        <f>IF(Metadata!D279="",FALSE,TRUE)</f>
        <v>0</v>
      </c>
      <c r="AQ279">
        <f>OR(AND(IF(Metadata!E279="",FALSE,TRUE),OR(exact(Metadata!E279,"not collected"),exact(Metadata!E279,"not provided"),exact(Metadata!E279,"restricted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R279">
        <f>IF(Metadata!F279="",FALSE,TRUE)</f>
        <v>0</v>
      </c>
      <c r="AS279">
        <f>OR(AND(IF(Metadata!G279="",FALSE,TRUE),OR(exact(Metadata!G279,"not collected"),exact(Metadata!G279,"not provided"))),AND(IF(Metadata!G279="",FALSE,TRUE),OR(exact(Metadata!G279,"TRUE"),exact(Metadata!G279,"FALSE"))))</f>
        <v>0</v>
      </c>
      <c r="AT279">
        <f>OR(AND(IF(Metadata!H279="",FALSE,TRUE),OR(exact(Metadata!H279,"not collected"),exact(Metadata!H279,"not provided"),exact(Metadata!H279,"restricted access"))),AND(IF(Metadata!H279="",FALSE,ISNUMBER(VALUE(Metadata!H279))),Metadata!H279&gt;=-413.0))</f>
        <v>0</v>
      </c>
      <c r="AU279">
        <f>AND(IF(Metadata!I279="",FALSE,TRUE),exact(Metadata!I279,"meters"))</f>
        <v>0</v>
      </c>
      <c r="AV279">
        <f>AND(IF(Metadata!J279="",FALSE,TRUE),OR(exact(Metadata!J279,"Host-associated"),exact(Metadata!J279,"Free-living")))</f>
        <v>0</v>
      </c>
      <c r="AW279">
        <f>AND(IF(Metadata!K279="",FALSE,TRUE),OR(exact(Metadata!K279,"Animal"),exact(Metadata!K279,"Fungus"),exact(Metadata!K279,"Plant"),exact(Metadata!K279,"Saline"),exact(Metadata!K279,"Non-saline")))</f>
        <v>0</v>
      </c>
      <c r="AX279">
        <f>AND(IF(Metadata!L279="",FALSE,TRUE),OR(exact(Metadata!L279,"Plant secretion"),exact(Metadata!L279,"Plant rhizosphere"),exact(Metadata!L279,"Plant surface"),exact(Metadata!L279,"Plant corpus"),exact(Metadata!L279,"Fungus surface"),exact(Metadata!L279,"Fungus corpus"),exact(Metadata!L279,"Animal surface"),exact(Metadata!L279,"Animal proximal gut"),exact(Metadata!L279,"Animal corpus"),exact(Metadata!L279,"Animal distal gut"),exact(Metadata!L279,"Animal secretion"),exact(Metadata!L279,"Sub-surface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Y279">
        <f>IF(Metadata!M279="",FALSE,TRUE)</f>
        <v>0</v>
      </c>
      <c r="AZ279">
        <f>IF(Metadata!N279="",FALSE,TRUE)</f>
        <v>0</v>
      </c>
      <c r="BA279">
        <f>IF(Metadata!O279="",FALSE,TRUE)</f>
        <v>0</v>
      </c>
      <c r="BB279">
        <f>OR(AND(IF(Metadata!P279="",FALSE,TRUE),OR(exact(Metadata!P279,"not collected"),exact(Metadata!P279,"not provided"),exact(Metadata!P279,"restricted access"))),AND(IF(Metadata!P279="",FALSE,TRUE),OR(exact(Metadata!P279,"air"),exact(Metadata!P279,"built environment"),exact(Metadata!P279,"host-associated"),exact(Metadata!P279,"human-associated"),exact(Metadata!P279,"human-skin"),exact(Metadata!P279,"human-oral"),exact(Metadata!P279,"human-gut"),exact(Metadata!P279,"human-vaginal"),exact(Metadata!P279,"microbial mat/biofilm"),exact(Metadata!P279,"misc environment"),exact(Metadata!P279,"plant-associated"),exact(Metadata!P279,"sediment"),exact(Metadata!P279,"soil"),exact(Metadata!P279,"wastewater/sludge"),exact(Metadata!P279,"water"))))</f>
        <v>0</v>
      </c>
      <c r="BC279">
        <f>IF(Metadata!Q279="",FALSE,TRUE)</f>
        <v>0</v>
      </c>
      <c r="BD279">
        <f>IF(Metadata!R279="",FALSE,TRUE)</f>
        <v>0</v>
      </c>
      <c r="BE279">
        <f>OR(AND(IF(Metadata!S279="",FALSE,TRUE),OR(exact(Metadata!S279,"not collected"),exact(Metadata!S279,"not provided"),exact(Metadata!S279,"restricted access"))),AND(IF(Metadata!S279="",FALSE,ISNUMBER(VALUE(Metadata!S279))),Metadata!S279&gt;=-90.00,Metadata!S279&lt;=90.00))</f>
        <v>0</v>
      </c>
      <c r="BF279">
        <f>AND(IF(Metadata!T279="",FALSE,TRUE),exact(Metadata!T279,"Decimal degrees"))</f>
        <v>0</v>
      </c>
      <c r="BG279">
        <f>OR(AND(IF(Metadata!U279="",FALSE,TRUE),OR(exact(Metadata!U279,"not collected"),exact(Metadata!U279,"not provided"),exact(Metadata!U279,"restricted access"))),AND(IF(Metadata!U279="",FALSE,ISNUMBER(VALUE(Metadata!U279))),Metadata!U279&gt;=-180.00,Metadata!U279&lt;=180.00))</f>
        <v>0</v>
      </c>
      <c r="BH279">
        <f>AND(IF(Metadata!V279="",FALSE,TRUE),exact(Metadata!V279,"Decimal degrees"))</f>
        <v>0</v>
      </c>
      <c r="BI279">
        <f>IF(Metadata!W279="",FALSE,TRUE)</f>
        <v>0</v>
      </c>
      <c r="BJ279">
        <f>OR(AND(IF(Metadata!X279="",FALSE,TRUE),OR(exact(Metadata!X279,"not collected"),exact(Metadata!X279,"not provided"),exact(Metadata!X279,"restricted access"))),AND(IF(Metadata!X279="",FALSE,TRUE),OR(exact(Metadata!X279,"TRUE"),exact(Metadata!X279,"FALSE"))))</f>
        <v>0</v>
      </c>
      <c r="BK279">
        <f>AND(IF(Metadata!Y279="",FALSE,TRUE),exact(Metadata!Y279,"other"))</f>
        <v>0</v>
      </c>
      <c r="BL279">
        <f>IF(Metadata!Z279="",FALSE,TRUE)</f>
        <v>0</v>
      </c>
      <c r="BM279">
        <f>OR(AND(IF(Metadata!AA279="",FALSE,TRUE),OR(exact(Metadata!AA279,"not collected"),exact(Metadata!AA279,"not provided"))),AND(IF(Metadata!AA279="",FALSE,IF(ISERROR(INT(Metadata!AA279)),FALSE,INT(Metadata!AA279)=Metadata!AA279)),Metadata!AA279&gt;0))</f>
        <v>0</v>
      </c>
      <c r="BN279">
        <f>AND(IF(Metadata!AB279="",FALSE,TRUE),exact(Metadata!AB279,"Not applicable"))</f>
        <v>0</v>
      </c>
      <c r="BO279">
        <f>IF(Metadata!AC279="",FALSE,TRUE)</f>
        <v>0</v>
      </c>
    </row>
    <row r="280" spans="1:67">
      <c r="A280" s="5">
        <f>IF(B280=" "," ",HYPERLINK(CONCATENATE("#metadata!",ADDRESS(INDEX($AI$2:$AI$1001,MATCH(ROWS($AG$2:AG280),$AG$2:$AG$1001,0),0),1)),INDEX($AL$2:$AL$1001,MATCH(ROWS($AG$2:AG280),$AG$2:$AG$1001,0),0)))</f>
        <v>0</v>
      </c>
      <c r="B280" s="4">
        <f>IF(OR(INDEX($AH$2:$AH$1001,MATCH(ROWS($AG$2:AG280),$AG$2:$AG$1001,0),1)&gt;=100000,INDEX($AN$1005:$BO$1005,1,MATCH(COLUMNS($AN$1006:AN1006),$AN$1006:$BO$1006,0))&gt;=100000), " ",IF(INDEX($AN$2:$BO$1001,MATCH(ROWS($AG$2:AG280),$AG$2:$AG$1001,0),MATCH(COLUMNS($AN$1006:AN1006),$AN$1006:$BO$1006,0)), HYPERLINK("#",""), HYPERLINK(CONCATENATE("#Metadata!", ADDRESS(INDEX($AI$2:$AI$1001,MATCH(ROWS($AG$2:AG280),$AG$2:$AG$1001,0),0), INDEX($AN$1004:$BO$1004,1,MATCH(COLUMNS($AN$1006:AN1006),$AN$1006:$BO$1006,0)))),"Fix")))</f>
        <v>0</v>
      </c>
      <c r="C280" s="4">
        <f>IF(OR(INDEX($AH$2:$AH$1001,MATCH(ROWS($AG$2:AG280),$AG$2:$AG$1001,0),1)&gt;=100000,INDEX($AN$1005:$BO$1005,1,MATCH(COLUMNS($AN$1006:AO1006),$AN$1006:$BO$1006,0))&gt;=100000), " ",IF(INDEX($AN$2:$BO$1001,MATCH(ROWS($AG$2:AG280),$AG$2:$AG$1001,0),MATCH(COLUMNS($AN$1006:AO1006),$AN$1006:$BO$1006,0)), HYPERLINK("#",""), HYPERLINK(CONCATENATE("#Metadata!", ADDRESS(INDEX($AI$2:$AI$1001,MATCH(ROWS($AG$2:AG280),$AG$2:$AG$1001,0),0), INDEX($AN$1004:$BO$1004,1,MATCH(COLUMNS($AN$1006:AO1006),$AN$1006:$BO$1006,0)))),"Fix")))</f>
        <v>0</v>
      </c>
      <c r="D280" s="4">
        <f>IF(OR(INDEX($AH$2:$AH$1001,MATCH(ROWS($AG$2:AG280),$AG$2:$AG$1001,0),1)&gt;=100000,INDEX($AN$1005:$BO$1005,1,MATCH(COLUMNS($AN$1006:AP1006),$AN$1006:$BO$1006,0))&gt;=100000), " ",IF(INDEX($AN$2:$BO$1001,MATCH(ROWS($AG$2:AG280),$AG$2:$AG$1001,0),MATCH(COLUMNS($AN$1006:AP1006),$AN$1006:$BO$1006,0)), HYPERLINK("#",""), HYPERLINK(CONCATENATE("#Metadata!", ADDRESS(INDEX($AI$2:$AI$1001,MATCH(ROWS($AG$2:AG280),$AG$2:$AG$1001,0),0), INDEX($AN$1004:$BO$1004,1,MATCH(COLUMNS($AN$1006:AP1006),$AN$1006:$BO$1006,0)))),"Fix")))</f>
        <v>0</v>
      </c>
      <c r="E280" s="4">
        <f>IF(OR(INDEX($AH$2:$AH$1001,MATCH(ROWS($AG$2:AG280),$AG$2:$AG$1001,0),1)&gt;=100000,INDEX($AN$1005:$BO$1005,1,MATCH(COLUMNS($AN$1006:AQ1006),$AN$1006:$BO$1006,0))&gt;=100000), " ",IF(INDEX($AN$2:$BO$1001,MATCH(ROWS($AG$2:AG280),$AG$2:$AG$1001,0),MATCH(COLUMNS($AN$1006:AQ1006),$AN$1006:$BO$1006,0)), HYPERLINK("#",""), HYPERLINK(CONCATENATE("#Metadata!", ADDRESS(INDEX($AI$2:$AI$1001,MATCH(ROWS($AG$2:AG280),$AG$2:$AG$1001,0),0), INDEX($AN$1004:$BO$1004,1,MATCH(COLUMNS($AN$1006:AQ1006),$AN$1006:$BO$1006,0)))),"Fix")))</f>
        <v>0</v>
      </c>
      <c r="F280" s="4">
        <f>IF(OR(INDEX($AH$2:$AH$1001,MATCH(ROWS($AG$2:AG280),$AG$2:$AG$1001,0),1)&gt;=100000,INDEX($AN$1005:$BO$1005,1,MATCH(COLUMNS($AN$1006:AR1006),$AN$1006:$BO$1006,0))&gt;=100000), " ",IF(INDEX($AN$2:$BO$1001,MATCH(ROWS($AG$2:AG280),$AG$2:$AG$1001,0),MATCH(COLUMNS($AN$1006:AR1006),$AN$1006:$BO$1006,0)), HYPERLINK("#",""), HYPERLINK(CONCATENATE("#Metadata!", ADDRESS(INDEX($AI$2:$AI$1001,MATCH(ROWS($AG$2:AG280),$AG$2:$AG$1001,0),0), INDEX($AN$1004:$BO$1004,1,MATCH(COLUMNS($AN$1006:AR1006),$AN$1006:$BO$1006,0)))),"Fix")))</f>
        <v>0</v>
      </c>
      <c r="G280" s="4">
        <f>IF(OR(INDEX($AH$2:$AH$1001,MATCH(ROWS($AG$2:AG280),$AG$2:$AG$1001,0),1)&gt;=100000,INDEX($AN$1005:$BO$1005,1,MATCH(COLUMNS($AN$1006:AS1006),$AN$1006:$BO$1006,0))&gt;=100000), " ",IF(INDEX($AN$2:$BO$1001,MATCH(ROWS($AG$2:AG280),$AG$2:$AG$1001,0),MATCH(COLUMNS($AN$1006:AS1006),$AN$1006:$BO$1006,0)), HYPERLINK("#",""), HYPERLINK(CONCATENATE("#Metadata!", ADDRESS(INDEX($AI$2:$AI$1001,MATCH(ROWS($AG$2:AG280),$AG$2:$AG$1001,0),0), INDEX($AN$1004:$BO$1004,1,MATCH(COLUMNS($AN$1006:AS1006),$AN$1006:$BO$1006,0)))),"Fix")))</f>
        <v>0</v>
      </c>
      <c r="H280" s="4">
        <f>IF(OR(INDEX($AH$2:$AH$1001,MATCH(ROWS($AG$2:AG280),$AG$2:$AG$1001,0),1)&gt;=100000,INDEX($AN$1005:$BO$1005,1,MATCH(COLUMNS($AN$1006:AT1006),$AN$1006:$BO$1006,0))&gt;=100000), " ",IF(INDEX($AN$2:$BO$1001,MATCH(ROWS($AG$2:AG280),$AG$2:$AG$1001,0),MATCH(COLUMNS($AN$1006:AT1006),$AN$1006:$BO$1006,0)), HYPERLINK("#",""), HYPERLINK(CONCATENATE("#Metadata!", ADDRESS(INDEX($AI$2:$AI$1001,MATCH(ROWS($AG$2:AG280),$AG$2:$AG$1001,0),0), INDEX($AN$1004:$BO$1004,1,MATCH(COLUMNS($AN$1006:AT1006),$AN$1006:$BO$1006,0)))),"Fix")))</f>
        <v>0</v>
      </c>
      <c r="I280" s="4">
        <f>IF(OR(INDEX($AH$2:$AH$1001,MATCH(ROWS($AG$2:AG280),$AG$2:$AG$1001,0),1)&gt;=100000,INDEX($AN$1005:$BO$1005,1,MATCH(COLUMNS($AN$1006:AU1006),$AN$1006:$BO$1006,0))&gt;=100000), " ",IF(INDEX($AN$2:$BO$1001,MATCH(ROWS($AG$2:AG280),$AG$2:$AG$1001,0),MATCH(COLUMNS($AN$1006:AU1006),$AN$1006:$BO$1006,0)), HYPERLINK("#",""), HYPERLINK(CONCATENATE("#Metadata!", ADDRESS(INDEX($AI$2:$AI$1001,MATCH(ROWS($AG$2:AG280),$AG$2:$AG$1001,0),0), INDEX($AN$1004:$BO$1004,1,MATCH(COLUMNS($AN$1006:AU1006),$AN$1006:$BO$1006,0)))),"Fix")))</f>
        <v>0</v>
      </c>
      <c r="J280" s="4">
        <f>IF(OR(INDEX($AH$2:$AH$1001,MATCH(ROWS($AG$2:AG280),$AG$2:$AG$1001,0),1)&gt;=100000,INDEX($AN$1005:$BO$1005,1,MATCH(COLUMNS($AN$1006:AV1006),$AN$1006:$BO$1006,0))&gt;=100000), " ",IF(INDEX($AN$2:$BO$1001,MATCH(ROWS($AG$2:AG280),$AG$2:$AG$1001,0),MATCH(COLUMNS($AN$1006:AV1006),$AN$1006:$BO$1006,0)), HYPERLINK("#",""), HYPERLINK(CONCATENATE("#Metadata!", ADDRESS(INDEX($AI$2:$AI$1001,MATCH(ROWS($AG$2:AG280),$AG$2:$AG$1001,0),0), INDEX($AN$1004:$BO$1004,1,MATCH(COLUMNS($AN$1006:AV1006),$AN$1006:$BO$1006,0)))),"Fix")))</f>
        <v>0</v>
      </c>
      <c r="K280" s="4">
        <f>IF(OR(INDEX($AH$2:$AH$1001,MATCH(ROWS($AG$2:AG280),$AG$2:$AG$1001,0),1)&gt;=100000,INDEX($AN$1005:$BO$1005,1,MATCH(COLUMNS($AN$1006:AW1006),$AN$1006:$BO$1006,0))&gt;=100000), " ",IF(INDEX($AN$2:$BO$1001,MATCH(ROWS($AG$2:AG280),$AG$2:$AG$1001,0),MATCH(COLUMNS($AN$1006:AW1006),$AN$1006:$BO$1006,0)), HYPERLINK("#",""), HYPERLINK(CONCATENATE("#Metadata!", ADDRESS(INDEX($AI$2:$AI$1001,MATCH(ROWS($AG$2:AG280),$AG$2:$AG$1001,0),0), INDEX($AN$1004:$BO$1004,1,MATCH(COLUMNS($AN$1006:AW1006),$AN$1006:$BO$1006,0)))),"Fix")))</f>
        <v>0</v>
      </c>
      <c r="L280" s="4">
        <f>IF(OR(INDEX($AH$2:$AH$1001,MATCH(ROWS($AG$2:AG280),$AG$2:$AG$1001,0),1)&gt;=100000,INDEX($AN$1005:$BO$1005,1,MATCH(COLUMNS($AN$1006:AX1006),$AN$1006:$BO$1006,0))&gt;=100000), " ",IF(INDEX($AN$2:$BO$1001,MATCH(ROWS($AG$2:AG280),$AG$2:$AG$1001,0),MATCH(COLUMNS($AN$1006:AX1006),$AN$1006:$BO$1006,0)), HYPERLINK("#",""), HYPERLINK(CONCATENATE("#Metadata!", ADDRESS(INDEX($AI$2:$AI$1001,MATCH(ROWS($AG$2:AG280),$AG$2:$AG$1001,0),0), INDEX($AN$1004:$BO$1004,1,MATCH(COLUMNS($AN$1006:AX1006),$AN$1006:$BO$1006,0)))),"Fix")))</f>
        <v>0</v>
      </c>
      <c r="M280" s="4">
        <f>IF(OR(INDEX($AH$2:$AH$1001,MATCH(ROWS($AG$2:AG280),$AG$2:$AG$1001,0),1)&gt;=100000,INDEX($AN$1005:$BO$1005,1,MATCH(COLUMNS($AN$1006:AY1006),$AN$1006:$BO$1006,0))&gt;=100000), " ",IF(INDEX($AN$2:$BO$1001,MATCH(ROWS($AG$2:AG280),$AG$2:$AG$1001,0),MATCH(COLUMNS($AN$1006:AY1006),$AN$1006:$BO$1006,0)), HYPERLINK("#",""), HYPERLINK(CONCATENATE("#Metadata!", ADDRESS(INDEX($AI$2:$AI$1001,MATCH(ROWS($AG$2:AG280),$AG$2:$AG$1001,0),0), INDEX($AN$1004:$BO$1004,1,MATCH(COLUMNS($AN$1006:AY1006),$AN$1006:$BO$1006,0)))),"Fix")))</f>
        <v>0</v>
      </c>
      <c r="N280" s="4">
        <f>IF(OR(INDEX($AH$2:$AH$1001,MATCH(ROWS($AG$2:AG280),$AG$2:$AG$1001,0),1)&gt;=100000,INDEX($AN$1005:$BO$1005,1,MATCH(COLUMNS($AN$1006:AZ1006),$AN$1006:$BO$1006,0))&gt;=100000), " ",IF(INDEX($AN$2:$BO$1001,MATCH(ROWS($AG$2:AG280),$AG$2:$AG$1001,0),MATCH(COLUMNS($AN$1006:AZ1006),$AN$1006:$BO$1006,0)), HYPERLINK("#",""), HYPERLINK(CONCATENATE("#Metadata!", ADDRESS(INDEX($AI$2:$AI$1001,MATCH(ROWS($AG$2:AG280),$AG$2:$AG$1001,0),0), INDEX($AN$1004:$BO$1004,1,MATCH(COLUMNS($AN$1006:AZ1006),$AN$1006:$BO$1006,0)))),"Fix")))</f>
        <v>0</v>
      </c>
      <c r="O280" s="4">
        <f>IF(OR(INDEX($AH$2:$AH$1001,MATCH(ROWS($AG$2:AG280),$AG$2:$AG$1001,0),1)&gt;=100000,INDEX($AN$1005:$BO$1005,1,MATCH(COLUMNS($AN$1006:BA1006),$AN$1006:$BO$1006,0))&gt;=100000), " ",IF(INDEX($AN$2:$BO$1001,MATCH(ROWS($AG$2:AG280),$AG$2:$AG$1001,0),MATCH(COLUMNS($AN$1006:BA1006),$AN$1006:$BO$1006,0)), HYPERLINK("#",""), HYPERLINK(CONCATENATE("#Metadata!", ADDRESS(INDEX($AI$2:$AI$1001,MATCH(ROWS($AG$2:AG280),$AG$2:$AG$1001,0),0), INDEX($AN$1004:$BO$1004,1,MATCH(COLUMNS($AN$1006:BA1006),$AN$1006:$BO$1006,0)))),"Fix")))</f>
        <v>0</v>
      </c>
      <c r="P280" s="4">
        <f>IF(OR(INDEX($AH$2:$AH$1001,MATCH(ROWS($AG$2:AG280),$AG$2:$AG$1001,0),1)&gt;=100000,INDEX($AN$1005:$BO$1005,1,MATCH(COLUMNS($AN$1006:BB1006),$AN$1006:$BO$1006,0))&gt;=100000), " ",IF(INDEX($AN$2:$BO$1001,MATCH(ROWS($AG$2:AG280),$AG$2:$AG$1001,0),MATCH(COLUMNS($AN$1006:BB1006),$AN$1006:$BO$1006,0)), HYPERLINK("#",""), HYPERLINK(CONCATENATE("#Metadata!", ADDRESS(INDEX($AI$2:$AI$1001,MATCH(ROWS($AG$2:AG280),$AG$2:$AG$1001,0),0), INDEX($AN$1004:$BO$1004,1,MATCH(COLUMNS($AN$1006:BB1006),$AN$1006:$BO$1006,0)))),"Fix")))</f>
        <v>0</v>
      </c>
      <c r="Q280" s="4">
        <f>IF(OR(INDEX($AH$2:$AH$1001,MATCH(ROWS($AG$2:AG280),$AG$2:$AG$1001,0),1)&gt;=100000,INDEX($AN$1005:$BO$1005,1,MATCH(COLUMNS($AN$1006:BC1006),$AN$1006:$BO$1006,0))&gt;=100000), " ",IF(INDEX($AN$2:$BO$1001,MATCH(ROWS($AG$2:AG280),$AG$2:$AG$1001,0),MATCH(COLUMNS($AN$1006:BC1006),$AN$1006:$BO$1006,0)), HYPERLINK("#",""), HYPERLINK(CONCATENATE("#Metadata!", ADDRESS(INDEX($AI$2:$AI$1001,MATCH(ROWS($AG$2:AG280),$AG$2:$AG$1001,0),0), INDEX($AN$1004:$BO$1004,1,MATCH(COLUMNS($AN$1006:BC1006),$AN$1006:$BO$1006,0)))),"Fix")))</f>
        <v>0</v>
      </c>
      <c r="R280" s="4">
        <f>IF(OR(INDEX($AH$2:$AH$1001,MATCH(ROWS($AG$2:AG280),$AG$2:$AG$1001,0),1)&gt;=100000,INDEX($AN$1005:$BO$1005,1,MATCH(COLUMNS($AN$1006:BD1006),$AN$1006:$BO$1006,0))&gt;=100000), " ",IF(INDEX($AN$2:$BO$1001,MATCH(ROWS($AG$2:AG280),$AG$2:$AG$1001,0),MATCH(COLUMNS($AN$1006:BD1006),$AN$1006:$BO$1006,0)), HYPERLINK("#",""), HYPERLINK(CONCATENATE("#Metadata!", ADDRESS(INDEX($AI$2:$AI$1001,MATCH(ROWS($AG$2:AG280),$AG$2:$AG$1001,0),0), INDEX($AN$1004:$BO$1004,1,MATCH(COLUMNS($AN$1006:BD1006),$AN$1006:$BO$1006,0)))),"Fix")))</f>
        <v>0</v>
      </c>
      <c r="S280" s="4">
        <f>IF(OR(INDEX($AH$2:$AH$1001,MATCH(ROWS($AG$2:AG280),$AG$2:$AG$1001,0),1)&gt;=100000,INDEX($AN$1005:$BO$1005,1,MATCH(COLUMNS($AN$1006:BE1006),$AN$1006:$BO$1006,0))&gt;=100000), " ",IF(INDEX($AN$2:$BO$1001,MATCH(ROWS($AG$2:AG280),$AG$2:$AG$1001,0),MATCH(COLUMNS($AN$1006:BE1006),$AN$1006:$BO$1006,0)), HYPERLINK("#",""), HYPERLINK(CONCATENATE("#Metadata!", ADDRESS(INDEX($AI$2:$AI$1001,MATCH(ROWS($AG$2:AG280),$AG$2:$AG$1001,0),0), INDEX($AN$1004:$BO$1004,1,MATCH(COLUMNS($AN$1006:BE1006),$AN$1006:$BO$1006,0)))),"Fix")))</f>
        <v>0</v>
      </c>
      <c r="T280" s="4">
        <f>IF(OR(INDEX($AH$2:$AH$1001,MATCH(ROWS($AG$2:AG280),$AG$2:$AG$1001,0),1)&gt;=100000,INDEX($AN$1005:$BO$1005,1,MATCH(COLUMNS($AN$1006:BF1006),$AN$1006:$BO$1006,0))&gt;=100000), " ",IF(INDEX($AN$2:$BO$1001,MATCH(ROWS($AG$2:AG280),$AG$2:$AG$1001,0),MATCH(COLUMNS($AN$1006:BF1006),$AN$1006:$BO$1006,0)), HYPERLINK("#",""), HYPERLINK(CONCATENATE("#Metadata!", ADDRESS(INDEX($AI$2:$AI$1001,MATCH(ROWS($AG$2:AG280),$AG$2:$AG$1001,0),0), INDEX($AN$1004:$BO$1004,1,MATCH(COLUMNS($AN$1006:BF1006),$AN$1006:$BO$1006,0)))),"Fix")))</f>
        <v>0</v>
      </c>
      <c r="U280" s="4">
        <f>IF(OR(INDEX($AH$2:$AH$1001,MATCH(ROWS($AG$2:AG280),$AG$2:$AG$1001,0),1)&gt;=100000,INDEX($AN$1005:$BO$1005,1,MATCH(COLUMNS($AN$1006:BG1006),$AN$1006:$BO$1006,0))&gt;=100000), " ",IF(INDEX($AN$2:$BO$1001,MATCH(ROWS($AG$2:AG280),$AG$2:$AG$1001,0),MATCH(COLUMNS($AN$1006:BG1006),$AN$1006:$BO$1006,0)), HYPERLINK("#",""), HYPERLINK(CONCATENATE("#Metadata!", ADDRESS(INDEX($AI$2:$AI$1001,MATCH(ROWS($AG$2:AG280),$AG$2:$AG$1001,0),0), INDEX($AN$1004:$BO$1004,1,MATCH(COLUMNS($AN$1006:BG1006),$AN$1006:$BO$1006,0)))),"Fix")))</f>
        <v>0</v>
      </c>
      <c r="V280" s="4">
        <f>IF(OR(INDEX($AH$2:$AH$1001,MATCH(ROWS($AG$2:AG280),$AG$2:$AG$1001,0),1)&gt;=100000,INDEX($AN$1005:$BO$1005,1,MATCH(COLUMNS($AN$1006:BH1006),$AN$1006:$BO$1006,0))&gt;=100000), " ",IF(INDEX($AN$2:$BO$1001,MATCH(ROWS($AG$2:AG280),$AG$2:$AG$1001,0),MATCH(COLUMNS($AN$1006:BH1006),$AN$1006:$BO$1006,0)), HYPERLINK("#",""), HYPERLINK(CONCATENATE("#Metadata!", ADDRESS(INDEX($AI$2:$AI$1001,MATCH(ROWS($AG$2:AG280),$AG$2:$AG$1001,0),0), INDEX($AN$1004:$BO$1004,1,MATCH(COLUMNS($AN$1006:BH1006),$AN$1006:$BO$1006,0)))),"Fix")))</f>
        <v>0</v>
      </c>
      <c r="W280" s="4">
        <f>IF(OR(INDEX($AH$2:$AH$1001,MATCH(ROWS($AG$2:AG280),$AG$2:$AG$1001,0),1)&gt;=100000,INDEX($AN$1005:$BO$1005,1,MATCH(COLUMNS($AN$1006:BI1006),$AN$1006:$BO$1006,0))&gt;=100000), " ",IF(INDEX($AN$2:$BO$1001,MATCH(ROWS($AG$2:AG280),$AG$2:$AG$1001,0),MATCH(COLUMNS($AN$1006:BI1006),$AN$1006:$BO$1006,0)), HYPERLINK("#",""), HYPERLINK(CONCATENATE("#Metadata!", ADDRESS(INDEX($AI$2:$AI$1001,MATCH(ROWS($AG$2:AG280),$AG$2:$AG$1001,0),0), INDEX($AN$1004:$BO$1004,1,MATCH(COLUMNS($AN$1006:BI1006),$AN$1006:$BO$1006,0)))),"Fix")))</f>
        <v>0</v>
      </c>
      <c r="X280" s="4">
        <f>IF(OR(INDEX($AH$2:$AH$1001,MATCH(ROWS($AG$2:AG280),$AG$2:$AG$1001,0),1)&gt;=100000,INDEX($AN$1005:$BO$1005,1,MATCH(COLUMNS($AN$1006:BJ1006),$AN$1006:$BO$1006,0))&gt;=100000), " ",IF(INDEX($AN$2:$BO$1001,MATCH(ROWS($AG$2:AG280),$AG$2:$AG$1001,0),MATCH(COLUMNS($AN$1006:BJ1006),$AN$1006:$BO$1006,0)), HYPERLINK("#",""), HYPERLINK(CONCATENATE("#Metadata!", ADDRESS(INDEX($AI$2:$AI$1001,MATCH(ROWS($AG$2:AG280),$AG$2:$AG$1001,0),0), INDEX($AN$1004:$BO$1004,1,MATCH(COLUMNS($AN$1006:BJ1006),$AN$1006:$BO$1006,0)))),"Fix")))</f>
        <v>0</v>
      </c>
      <c r="Y280" s="4">
        <f>IF(OR(INDEX($AH$2:$AH$1001,MATCH(ROWS($AG$2:AG280),$AG$2:$AG$1001,0),1)&gt;=100000,INDEX($AN$1005:$BO$1005,1,MATCH(COLUMNS($AN$1006:BK1006),$AN$1006:$BO$1006,0))&gt;=100000), " ",IF(INDEX($AN$2:$BO$1001,MATCH(ROWS($AG$2:AG280),$AG$2:$AG$1001,0),MATCH(COLUMNS($AN$1006:BK1006),$AN$1006:$BO$1006,0)), HYPERLINK("#",""), HYPERLINK(CONCATENATE("#Metadata!", ADDRESS(INDEX($AI$2:$AI$1001,MATCH(ROWS($AG$2:AG280),$AG$2:$AG$1001,0),0), INDEX($AN$1004:$BO$1004,1,MATCH(COLUMNS($AN$1006:BK1006),$AN$1006:$BO$1006,0)))),"Fix")))</f>
        <v>0</v>
      </c>
      <c r="Z280" s="4">
        <f>IF(OR(INDEX($AH$2:$AH$1001,MATCH(ROWS($AG$2:AG280),$AG$2:$AG$1001,0),1)&gt;=100000,INDEX($AN$1005:$BO$1005,1,MATCH(COLUMNS($AN$1006:BL1006),$AN$1006:$BO$1006,0))&gt;=100000), " ",IF(INDEX($AN$2:$BO$1001,MATCH(ROWS($AG$2:AG280),$AG$2:$AG$1001,0),MATCH(COLUMNS($AN$1006:BL1006),$AN$1006:$BO$1006,0)), HYPERLINK("#",""), HYPERLINK(CONCATENATE("#Metadata!", ADDRESS(INDEX($AI$2:$AI$1001,MATCH(ROWS($AG$2:AG280),$AG$2:$AG$1001,0),0), INDEX($AN$1004:$BO$1004,1,MATCH(COLUMNS($AN$1006:BL1006),$AN$1006:$BO$1006,0)))),"Fix")))</f>
        <v>0</v>
      </c>
      <c r="AA280" s="4">
        <f>IF(OR(INDEX($AH$2:$AH$1001,MATCH(ROWS($AG$2:AG280),$AG$2:$AG$1001,0),1)&gt;=100000,INDEX($AN$1005:$BO$1005,1,MATCH(COLUMNS($AN$1006:BM1006),$AN$1006:$BO$1006,0))&gt;=100000), " ",IF(INDEX($AN$2:$BO$1001,MATCH(ROWS($AG$2:AG280),$AG$2:$AG$1001,0),MATCH(COLUMNS($AN$1006:BM1006),$AN$1006:$BO$1006,0)), HYPERLINK("#",""), HYPERLINK(CONCATENATE("#Metadata!", ADDRESS(INDEX($AI$2:$AI$1001,MATCH(ROWS($AG$2:AG280),$AG$2:$AG$1001,0),0), INDEX($AN$1004:$BO$1004,1,MATCH(COLUMNS($AN$1006:BM1006),$AN$1006:$BO$1006,0)))),"Fix")))</f>
        <v>0</v>
      </c>
      <c r="AB280" s="4">
        <f>IF(OR(INDEX($AH$2:$AH$1001,MATCH(ROWS($AG$2:AG280),$AG$2:$AG$1001,0),1)&gt;=100000,INDEX($AN$1005:$BO$1005,1,MATCH(COLUMNS($AN$1006:BN1006),$AN$1006:$BO$1006,0))&gt;=100000), " ",IF(INDEX($AN$2:$BO$1001,MATCH(ROWS($AG$2:AG280),$AG$2:$AG$1001,0),MATCH(COLUMNS($AN$1006:BN1006),$AN$1006:$BO$1006,0)), HYPERLINK("#",""), HYPERLINK(CONCATENATE("#Metadata!", ADDRESS(INDEX($AI$2:$AI$1001,MATCH(ROWS($AG$2:AG280),$AG$2:$AG$1001,0),0), INDEX($AN$1004:$BO$1004,1,MATCH(COLUMNS($AN$1006:BN1006),$AN$1006:$BO$1006,0)))),"Fix")))</f>
        <v>0</v>
      </c>
      <c r="AC280" s="4">
        <f>IF(OR(INDEX($AH$2:$AH$1001,MATCH(ROWS($AG$2:AG280),$AG$2:$AG$1001,0),1)&gt;=100000,INDEX($AN$1005:$BO$1005,1,MATCH(COLUMNS($AN$1006:BO1006),$AN$1006:$BO$1006,0))&gt;=100000), " ",IF(INDEX($AN$2:$BO$1001,MATCH(ROWS($AG$2:AG280),$AG$2:$AG$1001,0),MATCH(COLUMNS($AN$1006:BO1006),$AN$1006:$BO$1006,0)), HYPERLINK("#",""), HYPERLINK(CONCATENATE("#Metadata!", ADDRESS(INDEX($AI$2:$AI$1001,MATCH(ROWS($AG$2:AG280),$AG$2:$AG$1001,0),0), INDEX($AN$1004:$BO$1004,1,MATCH(COLUMNS($AN$1006:BO1006),$AN$1006:$BO$1006,0)))),"Fix")))</f>
        <v>0</v>
      </c>
      <c r="AG280">
        <v>0</v>
      </c>
      <c r="AH280">
        <v>0</v>
      </c>
      <c r="AI280">
        <v>0</v>
      </c>
      <c r="AJ280">
        <f>IF(AK280,TRUE,AND(AN280:BO280))</f>
        <v>0</v>
      </c>
      <c r="AK280">
        <f>COUNTBLANK(Metadata!B280:AC280)=COLUMNS(Metadata!B280:AC280)</f>
        <v>0</v>
      </c>
      <c r="AL280">
        <v>0</v>
      </c>
      <c r="AN280">
        <f>AND(IF(Metadata!B280="",FALSE,TRUE),COUNTIF(Metadata!B:B, Metadata!B280) = 1,NOT(ISERROR(SUMPRODUCT(SEARCH(MID(Metadata!B280,ROW(INDIRECT("1:"&amp;LEN(Metadata!B280))), 1),"0123456789abcdefghijklmnopqrstuvwxyzABCDEFGHIJKLMNOPQRSTUVWXYZ.")))))</f>
        <v>0</v>
      </c>
      <c r="AO280">
        <f>IF(Metadata!C280="",FALSE,TRUE)</f>
        <v>0</v>
      </c>
      <c r="AP280">
        <f>IF(Metadata!D280="",FALSE,TRUE)</f>
        <v>0</v>
      </c>
      <c r="AQ280">
        <f>OR(AND(IF(Metadata!E280="",FALSE,TRUE),OR(exact(Metadata!E280,"not collected"),exact(Metadata!E280,"not provided"),exact(Metadata!E280,"restricted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R280">
        <f>IF(Metadata!F280="",FALSE,TRUE)</f>
        <v>0</v>
      </c>
      <c r="AS280">
        <f>OR(AND(IF(Metadata!G280="",FALSE,TRUE),OR(exact(Metadata!G280,"not collected"),exact(Metadata!G280,"not provided"))),AND(IF(Metadata!G280="",FALSE,TRUE),OR(exact(Metadata!G280,"TRUE"),exact(Metadata!G280,"FALSE"))))</f>
        <v>0</v>
      </c>
      <c r="AT280">
        <f>OR(AND(IF(Metadata!H280="",FALSE,TRUE),OR(exact(Metadata!H280,"not collected"),exact(Metadata!H280,"not provided"),exact(Metadata!H280,"restricted access"))),AND(IF(Metadata!H280="",FALSE,ISNUMBER(VALUE(Metadata!H280))),Metadata!H280&gt;=-413.0))</f>
        <v>0</v>
      </c>
      <c r="AU280">
        <f>AND(IF(Metadata!I280="",FALSE,TRUE),exact(Metadata!I280,"meters"))</f>
        <v>0</v>
      </c>
      <c r="AV280">
        <f>AND(IF(Metadata!J280="",FALSE,TRUE),OR(exact(Metadata!J280,"Host-associated"),exact(Metadata!J280,"Free-living")))</f>
        <v>0</v>
      </c>
      <c r="AW280">
        <f>AND(IF(Metadata!K280="",FALSE,TRUE),OR(exact(Metadata!K280,"Animal"),exact(Metadata!K280,"Fungus"),exact(Metadata!K280,"Plant"),exact(Metadata!K280,"Saline"),exact(Metadata!K280,"Non-saline")))</f>
        <v>0</v>
      </c>
      <c r="AX280">
        <f>AND(IF(Metadata!L280="",FALSE,TRUE),OR(exact(Metadata!L280,"Plant secretion"),exact(Metadata!L280,"Plant rhizosphere"),exact(Metadata!L280,"Plant surface"),exact(Metadata!L280,"Plant corpus"),exact(Metadata!L280,"Fungus surface"),exact(Metadata!L280,"Fungus corpus"),exact(Metadata!L280,"Animal surface"),exact(Metadata!L280,"Animal proximal gut"),exact(Metadata!L280,"Animal corpus"),exact(Metadata!L280,"Animal distal gut"),exact(Metadata!L280,"Animal secretion"),exact(Metadata!L280,"Sub-surface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Y280">
        <f>IF(Metadata!M280="",FALSE,TRUE)</f>
        <v>0</v>
      </c>
      <c r="AZ280">
        <f>IF(Metadata!N280="",FALSE,TRUE)</f>
        <v>0</v>
      </c>
      <c r="BA280">
        <f>IF(Metadata!O280="",FALSE,TRUE)</f>
        <v>0</v>
      </c>
      <c r="BB280">
        <f>OR(AND(IF(Metadata!P280="",FALSE,TRUE),OR(exact(Metadata!P280,"not collected"),exact(Metadata!P280,"not provided"),exact(Metadata!P280,"restricted access"))),AND(IF(Metadata!P280="",FALSE,TRUE),OR(exact(Metadata!P280,"air"),exact(Metadata!P280,"built environment"),exact(Metadata!P280,"host-associated"),exact(Metadata!P280,"human-associated"),exact(Metadata!P280,"human-skin"),exact(Metadata!P280,"human-oral"),exact(Metadata!P280,"human-gut"),exact(Metadata!P280,"human-vaginal"),exact(Metadata!P280,"microbial mat/biofilm"),exact(Metadata!P280,"misc environment"),exact(Metadata!P280,"plant-associated"),exact(Metadata!P280,"sediment"),exact(Metadata!P280,"soil"),exact(Metadata!P280,"wastewater/sludge"),exact(Metadata!P280,"water"))))</f>
        <v>0</v>
      </c>
      <c r="BC280">
        <f>IF(Metadata!Q280="",FALSE,TRUE)</f>
        <v>0</v>
      </c>
      <c r="BD280">
        <f>IF(Metadata!R280="",FALSE,TRUE)</f>
        <v>0</v>
      </c>
      <c r="BE280">
        <f>OR(AND(IF(Metadata!S280="",FALSE,TRUE),OR(exact(Metadata!S280,"not collected"),exact(Metadata!S280,"not provided"),exact(Metadata!S280,"restricted access"))),AND(IF(Metadata!S280="",FALSE,ISNUMBER(VALUE(Metadata!S280))),Metadata!S280&gt;=-90.00,Metadata!S280&lt;=90.00))</f>
        <v>0</v>
      </c>
      <c r="BF280">
        <f>AND(IF(Metadata!T280="",FALSE,TRUE),exact(Metadata!T280,"Decimal degrees"))</f>
        <v>0</v>
      </c>
      <c r="BG280">
        <f>OR(AND(IF(Metadata!U280="",FALSE,TRUE),OR(exact(Metadata!U280,"not collected"),exact(Metadata!U280,"not provided"),exact(Metadata!U280,"restricted access"))),AND(IF(Metadata!U280="",FALSE,ISNUMBER(VALUE(Metadata!U280))),Metadata!U280&gt;=-180.00,Metadata!U280&lt;=180.00))</f>
        <v>0</v>
      </c>
      <c r="BH280">
        <f>AND(IF(Metadata!V280="",FALSE,TRUE),exact(Metadata!V280,"Decimal degrees"))</f>
        <v>0</v>
      </c>
      <c r="BI280">
        <f>IF(Metadata!W280="",FALSE,TRUE)</f>
        <v>0</v>
      </c>
      <c r="BJ280">
        <f>OR(AND(IF(Metadata!X280="",FALSE,TRUE),OR(exact(Metadata!X280,"not collected"),exact(Metadata!X280,"not provided"),exact(Metadata!X280,"restricted access"))),AND(IF(Metadata!X280="",FALSE,TRUE),OR(exact(Metadata!X280,"TRUE"),exact(Metadata!X280,"FALSE"))))</f>
        <v>0</v>
      </c>
      <c r="BK280">
        <f>AND(IF(Metadata!Y280="",FALSE,TRUE),exact(Metadata!Y280,"other"))</f>
        <v>0</v>
      </c>
      <c r="BL280">
        <f>IF(Metadata!Z280="",FALSE,TRUE)</f>
        <v>0</v>
      </c>
      <c r="BM280">
        <f>OR(AND(IF(Metadata!AA280="",FALSE,TRUE),OR(exact(Metadata!AA280,"not collected"),exact(Metadata!AA280,"not provided"))),AND(IF(Metadata!AA280="",FALSE,IF(ISERROR(INT(Metadata!AA280)),FALSE,INT(Metadata!AA280)=Metadata!AA280)),Metadata!AA280&gt;0))</f>
        <v>0</v>
      </c>
      <c r="BN280">
        <f>AND(IF(Metadata!AB280="",FALSE,TRUE),exact(Metadata!AB280,"Not applicable"))</f>
        <v>0</v>
      </c>
      <c r="BO280">
        <f>IF(Metadata!AC280="",FALSE,TRUE)</f>
        <v>0</v>
      </c>
    </row>
    <row r="281" spans="1:67">
      <c r="A281" s="5">
        <f>IF(B281=" "," ",HYPERLINK(CONCATENATE("#metadata!",ADDRESS(INDEX($AI$2:$AI$1001,MATCH(ROWS($AG$2:AG281),$AG$2:$AG$1001,0),0),1)),INDEX($AL$2:$AL$1001,MATCH(ROWS($AG$2:AG281),$AG$2:$AG$1001,0),0)))</f>
        <v>0</v>
      </c>
      <c r="B281" s="4">
        <f>IF(OR(INDEX($AH$2:$AH$1001,MATCH(ROWS($AG$2:AG281),$AG$2:$AG$1001,0),1)&gt;=100000,INDEX($AN$1005:$BO$1005,1,MATCH(COLUMNS($AN$1006:AN1006),$AN$1006:$BO$1006,0))&gt;=100000), " ",IF(INDEX($AN$2:$BO$1001,MATCH(ROWS($AG$2:AG281),$AG$2:$AG$1001,0),MATCH(COLUMNS($AN$1006:AN1006),$AN$1006:$BO$1006,0)), HYPERLINK("#",""), HYPERLINK(CONCATENATE("#Metadata!", ADDRESS(INDEX($AI$2:$AI$1001,MATCH(ROWS($AG$2:AG281),$AG$2:$AG$1001,0),0), INDEX($AN$1004:$BO$1004,1,MATCH(COLUMNS($AN$1006:AN1006),$AN$1006:$BO$1006,0)))),"Fix")))</f>
        <v>0</v>
      </c>
      <c r="C281" s="4">
        <f>IF(OR(INDEX($AH$2:$AH$1001,MATCH(ROWS($AG$2:AG281),$AG$2:$AG$1001,0),1)&gt;=100000,INDEX($AN$1005:$BO$1005,1,MATCH(COLUMNS($AN$1006:AO1006),$AN$1006:$BO$1006,0))&gt;=100000), " ",IF(INDEX($AN$2:$BO$1001,MATCH(ROWS($AG$2:AG281),$AG$2:$AG$1001,0),MATCH(COLUMNS($AN$1006:AO1006),$AN$1006:$BO$1006,0)), HYPERLINK("#",""), HYPERLINK(CONCATENATE("#Metadata!", ADDRESS(INDEX($AI$2:$AI$1001,MATCH(ROWS($AG$2:AG281),$AG$2:$AG$1001,0),0), INDEX($AN$1004:$BO$1004,1,MATCH(COLUMNS($AN$1006:AO1006),$AN$1006:$BO$1006,0)))),"Fix")))</f>
        <v>0</v>
      </c>
      <c r="D281" s="4">
        <f>IF(OR(INDEX($AH$2:$AH$1001,MATCH(ROWS($AG$2:AG281),$AG$2:$AG$1001,0),1)&gt;=100000,INDEX($AN$1005:$BO$1005,1,MATCH(COLUMNS($AN$1006:AP1006),$AN$1006:$BO$1006,0))&gt;=100000), " ",IF(INDEX($AN$2:$BO$1001,MATCH(ROWS($AG$2:AG281),$AG$2:$AG$1001,0),MATCH(COLUMNS($AN$1006:AP1006),$AN$1006:$BO$1006,0)), HYPERLINK("#",""), HYPERLINK(CONCATENATE("#Metadata!", ADDRESS(INDEX($AI$2:$AI$1001,MATCH(ROWS($AG$2:AG281),$AG$2:$AG$1001,0),0), INDEX($AN$1004:$BO$1004,1,MATCH(COLUMNS($AN$1006:AP1006),$AN$1006:$BO$1006,0)))),"Fix")))</f>
        <v>0</v>
      </c>
      <c r="E281" s="4">
        <f>IF(OR(INDEX($AH$2:$AH$1001,MATCH(ROWS($AG$2:AG281),$AG$2:$AG$1001,0),1)&gt;=100000,INDEX($AN$1005:$BO$1005,1,MATCH(COLUMNS($AN$1006:AQ1006),$AN$1006:$BO$1006,0))&gt;=100000), " ",IF(INDEX($AN$2:$BO$1001,MATCH(ROWS($AG$2:AG281),$AG$2:$AG$1001,0),MATCH(COLUMNS($AN$1006:AQ1006),$AN$1006:$BO$1006,0)), HYPERLINK("#",""), HYPERLINK(CONCATENATE("#Metadata!", ADDRESS(INDEX($AI$2:$AI$1001,MATCH(ROWS($AG$2:AG281),$AG$2:$AG$1001,0),0), INDEX($AN$1004:$BO$1004,1,MATCH(COLUMNS($AN$1006:AQ1006),$AN$1006:$BO$1006,0)))),"Fix")))</f>
        <v>0</v>
      </c>
      <c r="F281" s="4">
        <f>IF(OR(INDEX($AH$2:$AH$1001,MATCH(ROWS($AG$2:AG281),$AG$2:$AG$1001,0),1)&gt;=100000,INDEX($AN$1005:$BO$1005,1,MATCH(COLUMNS($AN$1006:AR1006),$AN$1006:$BO$1006,0))&gt;=100000), " ",IF(INDEX($AN$2:$BO$1001,MATCH(ROWS($AG$2:AG281),$AG$2:$AG$1001,0),MATCH(COLUMNS($AN$1006:AR1006),$AN$1006:$BO$1006,0)), HYPERLINK("#",""), HYPERLINK(CONCATENATE("#Metadata!", ADDRESS(INDEX($AI$2:$AI$1001,MATCH(ROWS($AG$2:AG281),$AG$2:$AG$1001,0),0), INDEX($AN$1004:$BO$1004,1,MATCH(COLUMNS($AN$1006:AR1006),$AN$1006:$BO$1006,0)))),"Fix")))</f>
        <v>0</v>
      </c>
      <c r="G281" s="4">
        <f>IF(OR(INDEX($AH$2:$AH$1001,MATCH(ROWS($AG$2:AG281),$AG$2:$AG$1001,0),1)&gt;=100000,INDEX($AN$1005:$BO$1005,1,MATCH(COLUMNS($AN$1006:AS1006),$AN$1006:$BO$1006,0))&gt;=100000), " ",IF(INDEX($AN$2:$BO$1001,MATCH(ROWS($AG$2:AG281),$AG$2:$AG$1001,0),MATCH(COLUMNS($AN$1006:AS1006),$AN$1006:$BO$1006,0)), HYPERLINK("#",""), HYPERLINK(CONCATENATE("#Metadata!", ADDRESS(INDEX($AI$2:$AI$1001,MATCH(ROWS($AG$2:AG281),$AG$2:$AG$1001,0),0), INDEX($AN$1004:$BO$1004,1,MATCH(COLUMNS($AN$1006:AS1006),$AN$1006:$BO$1006,0)))),"Fix")))</f>
        <v>0</v>
      </c>
      <c r="H281" s="4">
        <f>IF(OR(INDEX($AH$2:$AH$1001,MATCH(ROWS($AG$2:AG281),$AG$2:$AG$1001,0),1)&gt;=100000,INDEX($AN$1005:$BO$1005,1,MATCH(COLUMNS($AN$1006:AT1006),$AN$1006:$BO$1006,0))&gt;=100000), " ",IF(INDEX($AN$2:$BO$1001,MATCH(ROWS($AG$2:AG281),$AG$2:$AG$1001,0),MATCH(COLUMNS($AN$1006:AT1006),$AN$1006:$BO$1006,0)), HYPERLINK("#",""), HYPERLINK(CONCATENATE("#Metadata!", ADDRESS(INDEX($AI$2:$AI$1001,MATCH(ROWS($AG$2:AG281),$AG$2:$AG$1001,0),0), INDEX($AN$1004:$BO$1004,1,MATCH(COLUMNS($AN$1006:AT1006),$AN$1006:$BO$1006,0)))),"Fix")))</f>
        <v>0</v>
      </c>
      <c r="I281" s="4">
        <f>IF(OR(INDEX($AH$2:$AH$1001,MATCH(ROWS($AG$2:AG281),$AG$2:$AG$1001,0),1)&gt;=100000,INDEX($AN$1005:$BO$1005,1,MATCH(COLUMNS($AN$1006:AU1006),$AN$1006:$BO$1006,0))&gt;=100000), " ",IF(INDEX($AN$2:$BO$1001,MATCH(ROWS($AG$2:AG281),$AG$2:$AG$1001,0),MATCH(COLUMNS($AN$1006:AU1006),$AN$1006:$BO$1006,0)), HYPERLINK("#",""), HYPERLINK(CONCATENATE("#Metadata!", ADDRESS(INDEX($AI$2:$AI$1001,MATCH(ROWS($AG$2:AG281),$AG$2:$AG$1001,0),0), INDEX($AN$1004:$BO$1004,1,MATCH(COLUMNS($AN$1006:AU1006),$AN$1006:$BO$1006,0)))),"Fix")))</f>
        <v>0</v>
      </c>
      <c r="J281" s="4">
        <f>IF(OR(INDEX($AH$2:$AH$1001,MATCH(ROWS($AG$2:AG281),$AG$2:$AG$1001,0),1)&gt;=100000,INDEX($AN$1005:$BO$1005,1,MATCH(COLUMNS($AN$1006:AV1006),$AN$1006:$BO$1006,0))&gt;=100000), " ",IF(INDEX($AN$2:$BO$1001,MATCH(ROWS($AG$2:AG281),$AG$2:$AG$1001,0),MATCH(COLUMNS($AN$1006:AV1006),$AN$1006:$BO$1006,0)), HYPERLINK("#",""), HYPERLINK(CONCATENATE("#Metadata!", ADDRESS(INDEX($AI$2:$AI$1001,MATCH(ROWS($AG$2:AG281),$AG$2:$AG$1001,0),0), INDEX($AN$1004:$BO$1004,1,MATCH(COLUMNS($AN$1006:AV1006),$AN$1006:$BO$1006,0)))),"Fix")))</f>
        <v>0</v>
      </c>
      <c r="K281" s="4">
        <f>IF(OR(INDEX($AH$2:$AH$1001,MATCH(ROWS($AG$2:AG281),$AG$2:$AG$1001,0),1)&gt;=100000,INDEX($AN$1005:$BO$1005,1,MATCH(COLUMNS($AN$1006:AW1006),$AN$1006:$BO$1006,0))&gt;=100000), " ",IF(INDEX($AN$2:$BO$1001,MATCH(ROWS($AG$2:AG281),$AG$2:$AG$1001,0),MATCH(COLUMNS($AN$1006:AW1006),$AN$1006:$BO$1006,0)), HYPERLINK("#",""), HYPERLINK(CONCATENATE("#Metadata!", ADDRESS(INDEX($AI$2:$AI$1001,MATCH(ROWS($AG$2:AG281),$AG$2:$AG$1001,0),0), INDEX($AN$1004:$BO$1004,1,MATCH(COLUMNS($AN$1006:AW1006),$AN$1006:$BO$1006,0)))),"Fix")))</f>
        <v>0</v>
      </c>
      <c r="L281" s="4">
        <f>IF(OR(INDEX($AH$2:$AH$1001,MATCH(ROWS($AG$2:AG281),$AG$2:$AG$1001,0),1)&gt;=100000,INDEX($AN$1005:$BO$1005,1,MATCH(COLUMNS($AN$1006:AX1006),$AN$1006:$BO$1006,0))&gt;=100000), " ",IF(INDEX($AN$2:$BO$1001,MATCH(ROWS($AG$2:AG281),$AG$2:$AG$1001,0),MATCH(COLUMNS($AN$1006:AX1006),$AN$1006:$BO$1006,0)), HYPERLINK("#",""), HYPERLINK(CONCATENATE("#Metadata!", ADDRESS(INDEX($AI$2:$AI$1001,MATCH(ROWS($AG$2:AG281),$AG$2:$AG$1001,0),0), INDEX($AN$1004:$BO$1004,1,MATCH(COLUMNS($AN$1006:AX1006),$AN$1006:$BO$1006,0)))),"Fix")))</f>
        <v>0</v>
      </c>
      <c r="M281" s="4">
        <f>IF(OR(INDEX($AH$2:$AH$1001,MATCH(ROWS($AG$2:AG281),$AG$2:$AG$1001,0),1)&gt;=100000,INDEX($AN$1005:$BO$1005,1,MATCH(COLUMNS($AN$1006:AY1006),$AN$1006:$BO$1006,0))&gt;=100000), " ",IF(INDEX($AN$2:$BO$1001,MATCH(ROWS($AG$2:AG281),$AG$2:$AG$1001,0),MATCH(COLUMNS($AN$1006:AY1006),$AN$1006:$BO$1006,0)), HYPERLINK("#",""), HYPERLINK(CONCATENATE("#Metadata!", ADDRESS(INDEX($AI$2:$AI$1001,MATCH(ROWS($AG$2:AG281),$AG$2:$AG$1001,0),0), INDEX($AN$1004:$BO$1004,1,MATCH(COLUMNS($AN$1006:AY1006),$AN$1006:$BO$1006,0)))),"Fix")))</f>
        <v>0</v>
      </c>
      <c r="N281" s="4">
        <f>IF(OR(INDEX($AH$2:$AH$1001,MATCH(ROWS($AG$2:AG281),$AG$2:$AG$1001,0),1)&gt;=100000,INDEX($AN$1005:$BO$1005,1,MATCH(COLUMNS($AN$1006:AZ1006),$AN$1006:$BO$1006,0))&gt;=100000), " ",IF(INDEX($AN$2:$BO$1001,MATCH(ROWS($AG$2:AG281),$AG$2:$AG$1001,0),MATCH(COLUMNS($AN$1006:AZ1006),$AN$1006:$BO$1006,0)), HYPERLINK("#",""), HYPERLINK(CONCATENATE("#Metadata!", ADDRESS(INDEX($AI$2:$AI$1001,MATCH(ROWS($AG$2:AG281),$AG$2:$AG$1001,0),0), INDEX($AN$1004:$BO$1004,1,MATCH(COLUMNS($AN$1006:AZ1006),$AN$1006:$BO$1006,0)))),"Fix")))</f>
        <v>0</v>
      </c>
      <c r="O281" s="4">
        <f>IF(OR(INDEX($AH$2:$AH$1001,MATCH(ROWS($AG$2:AG281),$AG$2:$AG$1001,0),1)&gt;=100000,INDEX($AN$1005:$BO$1005,1,MATCH(COLUMNS($AN$1006:BA1006),$AN$1006:$BO$1006,0))&gt;=100000), " ",IF(INDEX($AN$2:$BO$1001,MATCH(ROWS($AG$2:AG281),$AG$2:$AG$1001,0),MATCH(COLUMNS($AN$1006:BA1006),$AN$1006:$BO$1006,0)), HYPERLINK("#",""), HYPERLINK(CONCATENATE("#Metadata!", ADDRESS(INDEX($AI$2:$AI$1001,MATCH(ROWS($AG$2:AG281),$AG$2:$AG$1001,0),0), INDEX($AN$1004:$BO$1004,1,MATCH(COLUMNS($AN$1006:BA1006),$AN$1006:$BO$1006,0)))),"Fix")))</f>
        <v>0</v>
      </c>
      <c r="P281" s="4">
        <f>IF(OR(INDEX($AH$2:$AH$1001,MATCH(ROWS($AG$2:AG281),$AG$2:$AG$1001,0),1)&gt;=100000,INDEX($AN$1005:$BO$1005,1,MATCH(COLUMNS($AN$1006:BB1006),$AN$1006:$BO$1006,0))&gt;=100000), " ",IF(INDEX($AN$2:$BO$1001,MATCH(ROWS($AG$2:AG281),$AG$2:$AG$1001,0),MATCH(COLUMNS($AN$1006:BB1006),$AN$1006:$BO$1006,0)), HYPERLINK("#",""), HYPERLINK(CONCATENATE("#Metadata!", ADDRESS(INDEX($AI$2:$AI$1001,MATCH(ROWS($AG$2:AG281),$AG$2:$AG$1001,0),0), INDEX($AN$1004:$BO$1004,1,MATCH(COLUMNS($AN$1006:BB1006),$AN$1006:$BO$1006,0)))),"Fix")))</f>
        <v>0</v>
      </c>
      <c r="Q281" s="4">
        <f>IF(OR(INDEX($AH$2:$AH$1001,MATCH(ROWS($AG$2:AG281),$AG$2:$AG$1001,0),1)&gt;=100000,INDEX($AN$1005:$BO$1005,1,MATCH(COLUMNS($AN$1006:BC1006),$AN$1006:$BO$1006,0))&gt;=100000), " ",IF(INDEX($AN$2:$BO$1001,MATCH(ROWS($AG$2:AG281),$AG$2:$AG$1001,0),MATCH(COLUMNS($AN$1006:BC1006),$AN$1006:$BO$1006,0)), HYPERLINK("#",""), HYPERLINK(CONCATENATE("#Metadata!", ADDRESS(INDEX($AI$2:$AI$1001,MATCH(ROWS($AG$2:AG281),$AG$2:$AG$1001,0),0), INDEX($AN$1004:$BO$1004,1,MATCH(COLUMNS($AN$1006:BC1006),$AN$1006:$BO$1006,0)))),"Fix")))</f>
        <v>0</v>
      </c>
      <c r="R281" s="4">
        <f>IF(OR(INDEX($AH$2:$AH$1001,MATCH(ROWS($AG$2:AG281),$AG$2:$AG$1001,0),1)&gt;=100000,INDEX($AN$1005:$BO$1005,1,MATCH(COLUMNS($AN$1006:BD1006),$AN$1006:$BO$1006,0))&gt;=100000), " ",IF(INDEX($AN$2:$BO$1001,MATCH(ROWS($AG$2:AG281),$AG$2:$AG$1001,0),MATCH(COLUMNS($AN$1006:BD1006),$AN$1006:$BO$1006,0)), HYPERLINK("#",""), HYPERLINK(CONCATENATE("#Metadata!", ADDRESS(INDEX($AI$2:$AI$1001,MATCH(ROWS($AG$2:AG281),$AG$2:$AG$1001,0),0), INDEX($AN$1004:$BO$1004,1,MATCH(COLUMNS($AN$1006:BD1006),$AN$1006:$BO$1006,0)))),"Fix")))</f>
        <v>0</v>
      </c>
      <c r="S281" s="4">
        <f>IF(OR(INDEX($AH$2:$AH$1001,MATCH(ROWS($AG$2:AG281),$AG$2:$AG$1001,0),1)&gt;=100000,INDEX($AN$1005:$BO$1005,1,MATCH(COLUMNS($AN$1006:BE1006),$AN$1006:$BO$1006,0))&gt;=100000), " ",IF(INDEX($AN$2:$BO$1001,MATCH(ROWS($AG$2:AG281),$AG$2:$AG$1001,0),MATCH(COLUMNS($AN$1006:BE1006),$AN$1006:$BO$1006,0)), HYPERLINK("#",""), HYPERLINK(CONCATENATE("#Metadata!", ADDRESS(INDEX($AI$2:$AI$1001,MATCH(ROWS($AG$2:AG281),$AG$2:$AG$1001,0),0), INDEX($AN$1004:$BO$1004,1,MATCH(COLUMNS($AN$1006:BE1006),$AN$1006:$BO$1006,0)))),"Fix")))</f>
        <v>0</v>
      </c>
      <c r="T281" s="4">
        <f>IF(OR(INDEX($AH$2:$AH$1001,MATCH(ROWS($AG$2:AG281),$AG$2:$AG$1001,0),1)&gt;=100000,INDEX($AN$1005:$BO$1005,1,MATCH(COLUMNS($AN$1006:BF1006),$AN$1006:$BO$1006,0))&gt;=100000), " ",IF(INDEX($AN$2:$BO$1001,MATCH(ROWS($AG$2:AG281),$AG$2:$AG$1001,0),MATCH(COLUMNS($AN$1006:BF1006),$AN$1006:$BO$1006,0)), HYPERLINK("#",""), HYPERLINK(CONCATENATE("#Metadata!", ADDRESS(INDEX($AI$2:$AI$1001,MATCH(ROWS($AG$2:AG281),$AG$2:$AG$1001,0),0), INDEX($AN$1004:$BO$1004,1,MATCH(COLUMNS($AN$1006:BF1006),$AN$1006:$BO$1006,0)))),"Fix")))</f>
        <v>0</v>
      </c>
      <c r="U281" s="4">
        <f>IF(OR(INDEX($AH$2:$AH$1001,MATCH(ROWS($AG$2:AG281),$AG$2:$AG$1001,0),1)&gt;=100000,INDEX($AN$1005:$BO$1005,1,MATCH(COLUMNS($AN$1006:BG1006),$AN$1006:$BO$1006,0))&gt;=100000), " ",IF(INDEX($AN$2:$BO$1001,MATCH(ROWS($AG$2:AG281),$AG$2:$AG$1001,0),MATCH(COLUMNS($AN$1006:BG1006),$AN$1006:$BO$1006,0)), HYPERLINK("#",""), HYPERLINK(CONCATENATE("#Metadata!", ADDRESS(INDEX($AI$2:$AI$1001,MATCH(ROWS($AG$2:AG281),$AG$2:$AG$1001,0),0), INDEX($AN$1004:$BO$1004,1,MATCH(COLUMNS($AN$1006:BG1006),$AN$1006:$BO$1006,0)))),"Fix")))</f>
        <v>0</v>
      </c>
      <c r="V281" s="4">
        <f>IF(OR(INDEX($AH$2:$AH$1001,MATCH(ROWS($AG$2:AG281),$AG$2:$AG$1001,0),1)&gt;=100000,INDEX($AN$1005:$BO$1005,1,MATCH(COLUMNS($AN$1006:BH1006),$AN$1006:$BO$1006,0))&gt;=100000), " ",IF(INDEX($AN$2:$BO$1001,MATCH(ROWS($AG$2:AG281),$AG$2:$AG$1001,0),MATCH(COLUMNS($AN$1006:BH1006),$AN$1006:$BO$1006,0)), HYPERLINK("#",""), HYPERLINK(CONCATENATE("#Metadata!", ADDRESS(INDEX($AI$2:$AI$1001,MATCH(ROWS($AG$2:AG281),$AG$2:$AG$1001,0),0), INDEX($AN$1004:$BO$1004,1,MATCH(COLUMNS($AN$1006:BH1006),$AN$1006:$BO$1006,0)))),"Fix")))</f>
        <v>0</v>
      </c>
      <c r="W281" s="4">
        <f>IF(OR(INDEX($AH$2:$AH$1001,MATCH(ROWS($AG$2:AG281),$AG$2:$AG$1001,0),1)&gt;=100000,INDEX($AN$1005:$BO$1005,1,MATCH(COLUMNS($AN$1006:BI1006),$AN$1006:$BO$1006,0))&gt;=100000), " ",IF(INDEX($AN$2:$BO$1001,MATCH(ROWS($AG$2:AG281),$AG$2:$AG$1001,0),MATCH(COLUMNS($AN$1006:BI1006),$AN$1006:$BO$1006,0)), HYPERLINK("#",""), HYPERLINK(CONCATENATE("#Metadata!", ADDRESS(INDEX($AI$2:$AI$1001,MATCH(ROWS($AG$2:AG281),$AG$2:$AG$1001,0),0), INDEX($AN$1004:$BO$1004,1,MATCH(COLUMNS($AN$1006:BI1006),$AN$1006:$BO$1006,0)))),"Fix")))</f>
        <v>0</v>
      </c>
      <c r="X281" s="4">
        <f>IF(OR(INDEX($AH$2:$AH$1001,MATCH(ROWS($AG$2:AG281),$AG$2:$AG$1001,0),1)&gt;=100000,INDEX($AN$1005:$BO$1005,1,MATCH(COLUMNS($AN$1006:BJ1006),$AN$1006:$BO$1006,0))&gt;=100000), " ",IF(INDEX($AN$2:$BO$1001,MATCH(ROWS($AG$2:AG281),$AG$2:$AG$1001,0),MATCH(COLUMNS($AN$1006:BJ1006),$AN$1006:$BO$1006,0)), HYPERLINK("#",""), HYPERLINK(CONCATENATE("#Metadata!", ADDRESS(INDEX($AI$2:$AI$1001,MATCH(ROWS($AG$2:AG281),$AG$2:$AG$1001,0),0), INDEX($AN$1004:$BO$1004,1,MATCH(COLUMNS($AN$1006:BJ1006),$AN$1006:$BO$1006,0)))),"Fix")))</f>
        <v>0</v>
      </c>
      <c r="Y281" s="4">
        <f>IF(OR(INDEX($AH$2:$AH$1001,MATCH(ROWS($AG$2:AG281),$AG$2:$AG$1001,0),1)&gt;=100000,INDEX($AN$1005:$BO$1005,1,MATCH(COLUMNS($AN$1006:BK1006),$AN$1006:$BO$1006,0))&gt;=100000), " ",IF(INDEX($AN$2:$BO$1001,MATCH(ROWS($AG$2:AG281),$AG$2:$AG$1001,0),MATCH(COLUMNS($AN$1006:BK1006),$AN$1006:$BO$1006,0)), HYPERLINK("#",""), HYPERLINK(CONCATENATE("#Metadata!", ADDRESS(INDEX($AI$2:$AI$1001,MATCH(ROWS($AG$2:AG281),$AG$2:$AG$1001,0),0), INDEX($AN$1004:$BO$1004,1,MATCH(COLUMNS($AN$1006:BK1006),$AN$1006:$BO$1006,0)))),"Fix")))</f>
        <v>0</v>
      </c>
      <c r="Z281" s="4">
        <f>IF(OR(INDEX($AH$2:$AH$1001,MATCH(ROWS($AG$2:AG281),$AG$2:$AG$1001,0),1)&gt;=100000,INDEX($AN$1005:$BO$1005,1,MATCH(COLUMNS($AN$1006:BL1006),$AN$1006:$BO$1006,0))&gt;=100000), " ",IF(INDEX($AN$2:$BO$1001,MATCH(ROWS($AG$2:AG281),$AG$2:$AG$1001,0),MATCH(COLUMNS($AN$1006:BL1006),$AN$1006:$BO$1006,0)), HYPERLINK("#",""), HYPERLINK(CONCATENATE("#Metadata!", ADDRESS(INDEX($AI$2:$AI$1001,MATCH(ROWS($AG$2:AG281),$AG$2:$AG$1001,0),0), INDEX($AN$1004:$BO$1004,1,MATCH(COLUMNS($AN$1006:BL1006),$AN$1006:$BO$1006,0)))),"Fix")))</f>
        <v>0</v>
      </c>
      <c r="AA281" s="4">
        <f>IF(OR(INDEX($AH$2:$AH$1001,MATCH(ROWS($AG$2:AG281),$AG$2:$AG$1001,0),1)&gt;=100000,INDEX($AN$1005:$BO$1005,1,MATCH(COLUMNS($AN$1006:BM1006),$AN$1006:$BO$1006,0))&gt;=100000), " ",IF(INDEX($AN$2:$BO$1001,MATCH(ROWS($AG$2:AG281),$AG$2:$AG$1001,0),MATCH(COLUMNS($AN$1006:BM1006),$AN$1006:$BO$1006,0)), HYPERLINK("#",""), HYPERLINK(CONCATENATE("#Metadata!", ADDRESS(INDEX($AI$2:$AI$1001,MATCH(ROWS($AG$2:AG281),$AG$2:$AG$1001,0),0), INDEX($AN$1004:$BO$1004,1,MATCH(COLUMNS($AN$1006:BM1006),$AN$1006:$BO$1006,0)))),"Fix")))</f>
        <v>0</v>
      </c>
      <c r="AB281" s="4">
        <f>IF(OR(INDEX($AH$2:$AH$1001,MATCH(ROWS($AG$2:AG281),$AG$2:$AG$1001,0),1)&gt;=100000,INDEX($AN$1005:$BO$1005,1,MATCH(COLUMNS($AN$1006:BN1006),$AN$1006:$BO$1006,0))&gt;=100000), " ",IF(INDEX($AN$2:$BO$1001,MATCH(ROWS($AG$2:AG281),$AG$2:$AG$1001,0),MATCH(COLUMNS($AN$1006:BN1006),$AN$1006:$BO$1006,0)), HYPERLINK("#",""), HYPERLINK(CONCATENATE("#Metadata!", ADDRESS(INDEX($AI$2:$AI$1001,MATCH(ROWS($AG$2:AG281),$AG$2:$AG$1001,0),0), INDEX($AN$1004:$BO$1004,1,MATCH(COLUMNS($AN$1006:BN1006),$AN$1006:$BO$1006,0)))),"Fix")))</f>
        <v>0</v>
      </c>
      <c r="AC281" s="4">
        <f>IF(OR(INDEX($AH$2:$AH$1001,MATCH(ROWS($AG$2:AG281),$AG$2:$AG$1001,0),1)&gt;=100000,INDEX($AN$1005:$BO$1005,1,MATCH(COLUMNS($AN$1006:BO1006),$AN$1006:$BO$1006,0))&gt;=100000), " ",IF(INDEX($AN$2:$BO$1001,MATCH(ROWS($AG$2:AG281),$AG$2:$AG$1001,0),MATCH(COLUMNS($AN$1006:BO1006),$AN$1006:$BO$1006,0)), HYPERLINK("#",""), HYPERLINK(CONCATENATE("#Metadata!", ADDRESS(INDEX($AI$2:$AI$1001,MATCH(ROWS($AG$2:AG281),$AG$2:$AG$1001,0),0), INDEX($AN$1004:$BO$1004,1,MATCH(COLUMNS($AN$1006:BO1006),$AN$1006:$BO$1006,0)))),"Fix")))</f>
        <v>0</v>
      </c>
      <c r="AG281">
        <v>0</v>
      </c>
      <c r="AH281">
        <v>0</v>
      </c>
      <c r="AI281">
        <v>0</v>
      </c>
      <c r="AJ281">
        <f>IF(AK281,TRUE,AND(AN281:BO281))</f>
        <v>0</v>
      </c>
      <c r="AK281">
        <f>COUNTBLANK(Metadata!B281:AC281)=COLUMNS(Metadata!B281:AC281)</f>
        <v>0</v>
      </c>
      <c r="AL281">
        <v>0</v>
      </c>
      <c r="AN281">
        <f>AND(IF(Metadata!B281="",FALSE,TRUE),COUNTIF(Metadata!B:B, Metadata!B281) = 1,NOT(ISERROR(SUMPRODUCT(SEARCH(MID(Metadata!B281,ROW(INDIRECT("1:"&amp;LEN(Metadata!B281))), 1),"0123456789abcdefghijklmnopqrstuvwxyzABCDEFGHIJKLMNOPQRSTUVWXYZ.")))))</f>
        <v>0</v>
      </c>
      <c r="AO281">
        <f>IF(Metadata!C281="",FALSE,TRUE)</f>
        <v>0</v>
      </c>
      <c r="AP281">
        <f>IF(Metadata!D281="",FALSE,TRUE)</f>
        <v>0</v>
      </c>
      <c r="AQ281">
        <f>OR(AND(IF(Metadata!E281="",FALSE,TRUE),OR(exact(Metadata!E281,"not collected"),exact(Metadata!E281,"not provided"),exact(Metadata!E281,"restricted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R281">
        <f>IF(Metadata!F281="",FALSE,TRUE)</f>
        <v>0</v>
      </c>
      <c r="AS281">
        <f>OR(AND(IF(Metadata!G281="",FALSE,TRUE),OR(exact(Metadata!G281,"not collected"),exact(Metadata!G281,"not provided"))),AND(IF(Metadata!G281="",FALSE,TRUE),OR(exact(Metadata!G281,"TRUE"),exact(Metadata!G281,"FALSE"))))</f>
        <v>0</v>
      </c>
      <c r="AT281">
        <f>OR(AND(IF(Metadata!H281="",FALSE,TRUE),OR(exact(Metadata!H281,"not collected"),exact(Metadata!H281,"not provided"),exact(Metadata!H281,"restricted access"))),AND(IF(Metadata!H281="",FALSE,ISNUMBER(VALUE(Metadata!H281))),Metadata!H281&gt;=-413.0))</f>
        <v>0</v>
      </c>
      <c r="AU281">
        <f>AND(IF(Metadata!I281="",FALSE,TRUE),exact(Metadata!I281,"meters"))</f>
        <v>0</v>
      </c>
      <c r="AV281">
        <f>AND(IF(Metadata!J281="",FALSE,TRUE),OR(exact(Metadata!J281,"Host-associated"),exact(Metadata!J281,"Free-living")))</f>
        <v>0</v>
      </c>
      <c r="AW281">
        <f>AND(IF(Metadata!K281="",FALSE,TRUE),OR(exact(Metadata!K281,"Animal"),exact(Metadata!K281,"Fungus"),exact(Metadata!K281,"Plant"),exact(Metadata!K281,"Saline"),exact(Metadata!K281,"Non-saline")))</f>
        <v>0</v>
      </c>
      <c r="AX281">
        <f>AND(IF(Metadata!L281="",FALSE,TRUE),OR(exact(Metadata!L281,"Plant secretion"),exact(Metadata!L281,"Plant rhizosphere"),exact(Metadata!L281,"Plant surface"),exact(Metadata!L281,"Plant corpus"),exact(Metadata!L281,"Fungus surface"),exact(Metadata!L281,"Fungus corpus"),exact(Metadata!L281,"Animal surface"),exact(Metadata!L281,"Animal proximal gut"),exact(Metadata!L281,"Animal corpus"),exact(Metadata!L281,"Animal distal gut"),exact(Metadata!L281,"Animal secretion"),exact(Metadata!L281,"Sub-surface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Y281">
        <f>IF(Metadata!M281="",FALSE,TRUE)</f>
        <v>0</v>
      </c>
      <c r="AZ281">
        <f>IF(Metadata!N281="",FALSE,TRUE)</f>
        <v>0</v>
      </c>
      <c r="BA281">
        <f>IF(Metadata!O281="",FALSE,TRUE)</f>
        <v>0</v>
      </c>
      <c r="BB281">
        <f>OR(AND(IF(Metadata!P281="",FALSE,TRUE),OR(exact(Metadata!P281,"not collected"),exact(Metadata!P281,"not provided"),exact(Metadata!P281,"restricted access"))),AND(IF(Metadata!P281="",FALSE,TRUE),OR(exact(Metadata!P281,"air"),exact(Metadata!P281,"built environment"),exact(Metadata!P281,"host-associated"),exact(Metadata!P281,"human-associated"),exact(Metadata!P281,"human-skin"),exact(Metadata!P281,"human-oral"),exact(Metadata!P281,"human-gut"),exact(Metadata!P281,"human-vaginal"),exact(Metadata!P281,"microbial mat/biofilm"),exact(Metadata!P281,"misc environment"),exact(Metadata!P281,"plant-associated"),exact(Metadata!P281,"sediment"),exact(Metadata!P281,"soil"),exact(Metadata!P281,"wastewater/sludge"),exact(Metadata!P281,"water"))))</f>
        <v>0</v>
      </c>
      <c r="BC281">
        <f>IF(Metadata!Q281="",FALSE,TRUE)</f>
        <v>0</v>
      </c>
      <c r="BD281">
        <f>IF(Metadata!R281="",FALSE,TRUE)</f>
        <v>0</v>
      </c>
      <c r="BE281">
        <f>OR(AND(IF(Metadata!S281="",FALSE,TRUE),OR(exact(Metadata!S281,"not collected"),exact(Metadata!S281,"not provided"),exact(Metadata!S281,"restricted access"))),AND(IF(Metadata!S281="",FALSE,ISNUMBER(VALUE(Metadata!S281))),Metadata!S281&gt;=-90.00,Metadata!S281&lt;=90.00))</f>
        <v>0</v>
      </c>
      <c r="BF281">
        <f>AND(IF(Metadata!T281="",FALSE,TRUE),exact(Metadata!T281,"Decimal degrees"))</f>
        <v>0</v>
      </c>
      <c r="BG281">
        <f>OR(AND(IF(Metadata!U281="",FALSE,TRUE),OR(exact(Metadata!U281,"not collected"),exact(Metadata!U281,"not provided"),exact(Metadata!U281,"restricted access"))),AND(IF(Metadata!U281="",FALSE,ISNUMBER(VALUE(Metadata!U281))),Metadata!U281&gt;=-180.00,Metadata!U281&lt;=180.00))</f>
        <v>0</v>
      </c>
      <c r="BH281">
        <f>AND(IF(Metadata!V281="",FALSE,TRUE),exact(Metadata!V281,"Decimal degrees"))</f>
        <v>0</v>
      </c>
      <c r="BI281">
        <f>IF(Metadata!W281="",FALSE,TRUE)</f>
        <v>0</v>
      </c>
      <c r="BJ281">
        <f>OR(AND(IF(Metadata!X281="",FALSE,TRUE),OR(exact(Metadata!X281,"not collected"),exact(Metadata!X281,"not provided"),exact(Metadata!X281,"restricted access"))),AND(IF(Metadata!X281="",FALSE,TRUE),OR(exact(Metadata!X281,"TRUE"),exact(Metadata!X281,"FALSE"))))</f>
        <v>0</v>
      </c>
      <c r="BK281">
        <f>AND(IF(Metadata!Y281="",FALSE,TRUE),exact(Metadata!Y281,"other"))</f>
        <v>0</v>
      </c>
      <c r="BL281">
        <f>IF(Metadata!Z281="",FALSE,TRUE)</f>
        <v>0</v>
      </c>
      <c r="BM281">
        <f>OR(AND(IF(Metadata!AA281="",FALSE,TRUE),OR(exact(Metadata!AA281,"not collected"),exact(Metadata!AA281,"not provided"))),AND(IF(Metadata!AA281="",FALSE,IF(ISERROR(INT(Metadata!AA281)),FALSE,INT(Metadata!AA281)=Metadata!AA281)),Metadata!AA281&gt;0))</f>
        <v>0</v>
      </c>
      <c r="BN281">
        <f>AND(IF(Metadata!AB281="",FALSE,TRUE),exact(Metadata!AB281,"Not applicable"))</f>
        <v>0</v>
      </c>
      <c r="BO281">
        <f>IF(Metadata!AC281="",FALSE,TRUE)</f>
        <v>0</v>
      </c>
    </row>
    <row r="282" spans="1:67">
      <c r="A282" s="5">
        <f>IF(B282=" "," ",HYPERLINK(CONCATENATE("#metadata!",ADDRESS(INDEX($AI$2:$AI$1001,MATCH(ROWS($AG$2:AG282),$AG$2:$AG$1001,0),0),1)),INDEX($AL$2:$AL$1001,MATCH(ROWS($AG$2:AG282),$AG$2:$AG$1001,0),0)))</f>
        <v>0</v>
      </c>
      <c r="B282" s="4">
        <f>IF(OR(INDEX($AH$2:$AH$1001,MATCH(ROWS($AG$2:AG282),$AG$2:$AG$1001,0),1)&gt;=100000,INDEX($AN$1005:$BO$1005,1,MATCH(COLUMNS($AN$1006:AN1006),$AN$1006:$BO$1006,0))&gt;=100000), " ",IF(INDEX($AN$2:$BO$1001,MATCH(ROWS($AG$2:AG282),$AG$2:$AG$1001,0),MATCH(COLUMNS($AN$1006:AN1006),$AN$1006:$BO$1006,0)), HYPERLINK("#",""), HYPERLINK(CONCATENATE("#Metadata!", ADDRESS(INDEX($AI$2:$AI$1001,MATCH(ROWS($AG$2:AG282),$AG$2:$AG$1001,0),0), INDEX($AN$1004:$BO$1004,1,MATCH(COLUMNS($AN$1006:AN1006),$AN$1006:$BO$1006,0)))),"Fix")))</f>
        <v>0</v>
      </c>
      <c r="C282" s="4">
        <f>IF(OR(INDEX($AH$2:$AH$1001,MATCH(ROWS($AG$2:AG282),$AG$2:$AG$1001,0),1)&gt;=100000,INDEX($AN$1005:$BO$1005,1,MATCH(COLUMNS($AN$1006:AO1006),$AN$1006:$BO$1006,0))&gt;=100000), " ",IF(INDEX($AN$2:$BO$1001,MATCH(ROWS($AG$2:AG282),$AG$2:$AG$1001,0),MATCH(COLUMNS($AN$1006:AO1006),$AN$1006:$BO$1006,0)), HYPERLINK("#",""), HYPERLINK(CONCATENATE("#Metadata!", ADDRESS(INDEX($AI$2:$AI$1001,MATCH(ROWS($AG$2:AG282),$AG$2:$AG$1001,0),0), INDEX($AN$1004:$BO$1004,1,MATCH(COLUMNS($AN$1006:AO1006),$AN$1006:$BO$1006,0)))),"Fix")))</f>
        <v>0</v>
      </c>
      <c r="D282" s="4">
        <f>IF(OR(INDEX($AH$2:$AH$1001,MATCH(ROWS($AG$2:AG282),$AG$2:$AG$1001,0),1)&gt;=100000,INDEX($AN$1005:$BO$1005,1,MATCH(COLUMNS($AN$1006:AP1006),$AN$1006:$BO$1006,0))&gt;=100000), " ",IF(INDEX($AN$2:$BO$1001,MATCH(ROWS($AG$2:AG282),$AG$2:$AG$1001,0),MATCH(COLUMNS($AN$1006:AP1006),$AN$1006:$BO$1006,0)), HYPERLINK("#",""), HYPERLINK(CONCATENATE("#Metadata!", ADDRESS(INDEX($AI$2:$AI$1001,MATCH(ROWS($AG$2:AG282),$AG$2:$AG$1001,0),0), INDEX($AN$1004:$BO$1004,1,MATCH(COLUMNS($AN$1006:AP1006),$AN$1006:$BO$1006,0)))),"Fix")))</f>
        <v>0</v>
      </c>
      <c r="E282" s="4">
        <f>IF(OR(INDEX($AH$2:$AH$1001,MATCH(ROWS($AG$2:AG282),$AG$2:$AG$1001,0),1)&gt;=100000,INDEX($AN$1005:$BO$1005,1,MATCH(COLUMNS($AN$1006:AQ1006),$AN$1006:$BO$1006,0))&gt;=100000), " ",IF(INDEX($AN$2:$BO$1001,MATCH(ROWS($AG$2:AG282),$AG$2:$AG$1001,0),MATCH(COLUMNS($AN$1006:AQ1006),$AN$1006:$BO$1006,0)), HYPERLINK("#",""), HYPERLINK(CONCATENATE("#Metadata!", ADDRESS(INDEX($AI$2:$AI$1001,MATCH(ROWS($AG$2:AG282),$AG$2:$AG$1001,0),0), INDEX($AN$1004:$BO$1004,1,MATCH(COLUMNS($AN$1006:AQ1006),$AN$1006:$BO$1006,0)))),"Fix")))</f>
        <v>0</v>
      </c>
      <c r="F282" s="4">
        <f>IF(OR(INDEX($AH$2:$AH$1001,MATCH(ROWS($AG$2:AG282),$AG$2:$AG$1001,0),1)&gt;=100000,INDEX($AN$1005:$BO$1005,1,MATCH(COLUMNS($AN$1006:AR1006),$AN$1006:$BO$1006,0))&gt;=100000), " ",IF(INDEX($AN$2:$BO$1001,MATCH(ROWS($AG$2:AG282),$AG$2:$AG$1001,0),MATCH(COLUMNS($AN$1006:AR1006),$AN$1006:$BO$1006,0)), HYPERLINK("#",""), HYPERLINK(CONCATENATE("#Metadata!", ADDRESS(INDEX($AI$2:$AI$1001,MATCH(ROWS($AG$2:AG282),$AG$2:$AG$1001,0),0), INDEX($AN$1004:$BO$1004,1,MATCH(COLUMNS($AN$1006:AR1006),$AN$1006:$BO$1006,0)))),"Fix")))</f>
        <v>0</v>
      </c>
      <c r="G282" s="4">
        <f>IF(OR(INDEX($AH$2:$AH$1001,MATCH(ROWS($AG$2:AG282),$AG$2:$AG$1001,0),1)&gt;=100000,INDEX($AN$1005:$BO$1005,1,MATCH(COLUMNS($AN$1006:AS1006),$AN$1006:$BO$1006,0))&gt;=100000), " ",IF(INDEX($AN$2:$BO$1001,MATCH(ROWS($AG$2:AG282),$AG$2:$AG$1001,0),MATCH(COLUMNS($AN$1006:AS1006),$AN$1006:$BO$1006,0)), HYPERLINK("#",""), HYPERLINK(CONCATENATE("#Metadata!", ADDRESS(INDEX($AI$2:$AI$1001,MATCH(ROWS($AG$2:AG282),$AG$2:$AG$1001,0),0), INDEX($AN$1004:$BO$1004,1,MATCH(COLUMNS($AN$1006:AS1006),$AN$1006:$BO$1006,0)))),"Fix")))</f>
        <v>0</v>
      </c>
      <c r="H282" s="4">
        <f>IF(OR(INDEX($AH$2:$AH$1001,MATCH(ROWS($AG$2:AG282),$AG$2:$AG$1001,0),1)&gt;=100000,INDEX($AN$1005:$BO$1005,1,MATCH(COLUMNS($AN$1006:AT1006),$AN$1006:$BO$1006,0))&gt;=100000), " ",IF(INDEX($AN$2:$BO$1001,MATCH(ROWS($AG$2:AG282),$AG$2:$AG$1001,0),MATCH(COLUMNS($AN$1006:AT1006),$AN$1006:$BO$1006,0)), HYPERLINK("#",""), HYPERLINK(CONCATENATE("#Metadata!", ADDRESS(INDEX($AI$2:$AI$1001,MATCH(ROWS($AG$2:AG282),$AG$2:$AG$1001,0),0), INDEX($AN$1004:$BO$1004,1,MATCH(COLUMNS($AN$1006:AT1006),$AN$1006:$BO$1006,0)))),"Fix")))</f>
        <v>0</v>
      </c>
      <c r="I282" s="4">
        <f>IF(OR(INDEX($AH$2:$AH$1001,MATCH(ROWS($AG$2:AG282),$AG$2:$AG$1001,0),1)&gt;=100000,INDEX($AN$1005:$BO$1005,1,MATCH(COLUMNS($AN$1006:AU1006),$AN$1006:$BO$1006,0))&gt;=100000), " ",IF(INDEX($AN$2:$BO$1001,MATCH(ROWS($AG$2:AG282),$AG$2:$AG$1001,0),MATCH(COLUMNS($AN$1006:AU1006),$AN$1006:$BO$1006,0)), HYPERLINK("#",""), HYPERLINK(CONCATENATE("#Metadata!", ADDRESS(INDEX($AI$2:$AI$1001,MATCH(ROWS($AG$2:AG282),$AG$2:$AG$1001,0),0), INDEX($AN$1004:$BO$1004,1,MATCH(COLUMNS($AN$1006:AU1006),$AN$1006:$BO$1006,0)))),"Fix")))</f>
        <v>0</v>
      </c>
      <c r="J282" s="4">
        <f>IF(OR(INDEX($AH$2:$AH$1001,MATCH(ROWS($AG$2:AG282),$AG$2:$AG$1001,0),1)&gt;=100000,INDEX($AN$1005:$BO$1005,1,MATCH(COLUMNS($AN$1006:AV1006),$AN$1006:$BO$1006,0))&gt;=100000), " ",IF(INDEX($AN$2:$BO$1001,MATCH(ROWS($AG$2:AG282),$AG$2:$AG$1001,0),MATCH(COLUMNS($AN$1006:AV1006),$AN$1006:$BO$1006,0)), HYPERLINK("#",""), HYPERLINK(CONCATENATE("#Metadata!", ADDRESS(INDEX($AI$2:$AI$1001,MATCH(ROWS($AG$2:AG282),$AG$2:$AG$1001,0),0), INDEX($AN$1004:$BO$1004,1,MATCH(COLUMNS($AN$1006:AV1006),$AN$1006:$BO$1006,0)))),"Fix")))</f>
        <v>0</v>
      </c>
      <c r="K282" s="4">
        <f>IF(OR(INDEX($AH$2:$AH$1001,MATCH(ROWS($AG$2:AG282),$AG$2:$AG$1001,0),1)&gt;=100000,INDEX($AN$1005:$BO$1005,1,MATCH(COLUMNS($AN$1006:AW1006),$AN$1006:$BO$1006,0))&gt;=100000), " ",IF(INDEX($AN$2:$BO$1001,MATCH(ROWS($AG$2:AG282),$AG$2:$AG$1001,0),MATCH(COLUMNS($AN$1006:AW1006),$AN$1006:$BO$1006,0)), HYPERLINK("#",""), HYPERLINK(CONCATENATE("#Metadata!", ADDRESS(INDEX($AI$2:$AI$1001,MATCH(ROWS($AG$2:AG282),$AG$2:$AG$1001,0),0), INDEX($AN$1004:$BO$1004,1,MATCH(COLUMNS($AN$1006:AW1006),$AN$1006:$BO$1006,0)))),"Fix")))</f>
        <v>0</v>
      </c>
      <c r="L282" s="4">
        <f>IF(OR(INDEX($AH$2:$AH$1001,MATCH(ROWS($AG$2:AG282),$AG$2:$AG$1001,0),1)&gt;=100000,INDEX($AN$1005:$BO$1005,1,MATCH(COLUMNS($AN$1006:AX1006),$AN$1006:$BO$1006,0))&gt;=100000), " ",IF(INDEX($AN$2:$BO$1001,MATCH(ROWS($AG$2:AG282),$AG$2:$AG$1001,0),MATCH(COLUMNS($AN$1006:AX1006),$AN$1006:$BO$1006,0)), HYPERLINK("#",""), HYPERLINK(CONCATENATE("#Metadata!", ADDRESS(INDEX($AI$2:$AI$1001,MATCH(ROWS($AG$2:AG282),$AG$2:$AG$1001,0),0), INDEX($AN$1004:$BO$1004,1,MATCH(COLUMNS($AN$1006:AX1006),$AN$1006:$BO$1006,0)))),"Fix")))</f>
        <v>0</v>
      </c>
      <c r="M282" s="4">
        <f>IF(OR(INDEX($AH$2:$AH$1001,MATCH(ROWS($AG$2:AG282),$AG$2:$AG$1001,0),1)&gt;=100000,INDEX($AN$1005:$BO$1005,1,MATCH(COLUMNS($AN$1006:AY1006),$AN$1006:$BO$1006,0))&gt;=100000), " ",IF(INDEX($AN$2:$BO$1001,MATCH(ROWS($AG$2:AG282),$AG$2:$AG$1001,0),MATCH(COLUMNS($AN$1006:AY1006),$AN$1006:$BO$1006,0)), HYPERLINK("#",""), HYPERLINK(CONCATENATE("#Metadata!", ADDRESS(INDEX($AI$2:$AI$1001,MATCH(ROWS($AG$2:AG282),$AG$2:$AG$1001,0),0), INDEX($AN$1004:$BO$1004,1,MATCH(COLUMNS($AN$1006:AY1006),$AN$1006:$BO$1006,0)))),"Fix")))</f>
        <v>0</v>
      </c>
      <c r="N282" s="4">
        <f>IF(OR(INDEX($AH$2:$AH$1001,MATCH(ROWS($AG$2:AG282),$AG$2:$AG$1001,0),1)&gt;=100000,INDEX($AN$1005:$BO$1005,1,MATCH(COLUMNS($AN$1006:AZ1006),$AN$1006:$BO$1006,0))&gt;=100000), " ",IF(INDEX($AN$2:$BO$1001,MATCH(ROWS($AG$2:AG282),$AG$2:$AG$1001,0),MATCH(COLUMNS($AN$1006:AZ1006),$AN$1006:$BO$1006,0)), HYPERLINK("#",""), HYPERLINK(CONCATENATE("#Metadata!", ADDRESS(INDEX($AI$2:$AI$1001,MATCH(ROWS($AG$2:AG282),$AG$2:$AG$1001,0),0), INDEX($AN$1004:$BO$1004,1,MATCH(COLUMNS($AN$1006:AZ1006),$AN$1006:$BO$1006,0)))),"Fix")))</f>
        <v>0</v>
      </c>
      <c r="O282" s="4">
        <f>IF(OR(INDEX($AH$2:$AH$1001,MATCH(ROWS($AG$2:AG282),$AG$2:$AG$1001,0),1)&gt;=100000,INDEX($AN$1005:$BO$1005,1,MATCH(COLUMNS($AN$1006:BA1006),$AN$1006:$BO$1006,0))&gt;=100000), " ",IF(INDEX($AN$2:$BO$1001,MATCH(ROWS($AG$2:AG282),$AG$2:$AG$1001,0),MATCH(COLUMNS($AN$1006:BA1006),$AN$1006:$BO$1006,0)), HYPERLINK("#",""), HYPERLINK(CONCATENATE("#Metadata!", ADDRESS(INDEX($AI$2:$AI$1001,MATCH(ROWS($AG$2:AG282),$AG$2:$AG$1001,0),0), INDEX($AN$1004:$BO$1004,1,MATCH(COLUMNS($AN$1006:BA1006),$AN$1006:$BO$1006,0)))),"Fix")))</f>
        <v>0</v>
      </c>
      <c r="P282" s="4">
        <f>IF(OR(INDEX($AH$2:$AH$1001,MATCH(ROWS($AG$2:AG282),$AG$2:$AG$1001,0),1)&gt;=100000,INDEX($AN$1005:$BO$1005,1,MATCH(COLUMNS($AN$1006:BB1006),$AN$1006:$BO$1006,0))&gt;=100000), " ",IF(INDEX($AN$2:$BO$1001,MATCH(ROWS($AG$2:AG282),$AG$2:$AG$1001,0),MATCH(COLUMNS($AN$1006:BB1006),$AN$1006:$BO$1006,0)), HYPERLINK("#",""), HYPERLINK(CONCATENATE("#Metadata!", ADDRESS(INDEX($AI$2:$AI$1001,MATCH(ROWS($AG$2:AG282),$AG$2:$AG$1001,0),0), INDEX($AN$1004:$BO$1004,1,MATCH(COLUMNS($AN$1006:BB1006),$AN$1006:$BO$1006,0)))),"Fix")))</f>
        <v>0</v>
      </c>
      <c r="Q282" s="4">
        <f>IF(OR(INDEX($AH$2:$AH$1001,MATCH(ROWS($AG$2:AG282),$AG$2:$AG$1001,0),1)&gt;=100000,INDEX($AN$1005:$BO$1005,1,MATCH(COLUMNS($AN$1006:BC1006),$AN$1006:$BO$1006,0))&gt;=100000), " ",IF(INDEX($AN$2:$BO$1001,MATCH(ROWS($AG$2:AG282),$AG$2:$AG$1001,0),MATCH(COLUMNS($AN$1006:BC1006),$AN$1006:$BO$1006,0)), HYPERLINK("#",""), HYPERLINK(CONCATENATE("#Metadata!", ADDRESS(INDEX($AI$2:$AI$1001,MATCH(ROWS($AG$2:AG282),$AG$2:$AG$1001,0),0), INDEX($AN$1004:$BO$1004,1,MATCH(COLUMNS($AN$1006:BC1006),$AN$1006:$BO$1006,0)))),"Fix")))</f>
        <v>0</v>
      </c>
      <c r="R282" s="4">
        <f>IF(OR(INDEX($AH$2:$AH$1001,MATCH(ROWS($AG$2:AG282),$AG$2:$AG$1001,0),1)&gt;=100000,INDEX($AN$1005:$BO$1005,1,MATCH(COLUMNS($AN$1006:BD1006),$AN$1006:$BO$1006,0))&gt;=100000), " ",IF(INDEX($AN$2:$BO$1001,MATCH(ROWS($AG$2:AG282),$AG$2:$AG$1001,0),MATCH(COLUMNS($AN$1006:BD1006),$AN$1006:$BO$1006,0)), HYPERLINK("#",""), HYPERLINK(CONCATENATE("#Metadata!", ADDRESS(INDEX($AI$2:$AI$1001,MATCH(ROWS($AG$2:AG282),$AG$2:$AG$1001,0),0), INDEX($AN$1004:$BO$1004,1,MATCH(COLUMNS($AN$1006:BD1006),$AN$1006:$BO$1006,0)))),"Fix")))</f>
        <v>0</v>
      </c>
      <c r="S282" s="4">
        <f>IF(OR(INDEX($AH$2:$AH$1001,MATCH(ROWS($AG$2:AG282),$AG$2:$AG$1001,0),1)&gt;=100000,INDEX($AN$1005:$BO$1005,1,MATCH(COLUMNS($AN$1006:BE1006),$AN$1006:$BO$1006,0))&gt;=100000), " ",IF(INDEX($AN$2:$BO$1001,MATCH(ROWS($AG$2:AG282),$AG$2:$AG$1001,0),MATCH(COLUMNS($AN$1006:BE1006),$AN$1006:$BO$1006,0)), HYPERLINK("#",""), HYPERLINK(CONCATENATE("#Metadata!", ADDRESS(INDEX($AI$2:$AI$1001,MATCH(ROWS($AG$2:AG282),$AG$2:$AG$1001,0),0), INDEX($AN$1004:$BO$1004,1,MATCH(COLUMNS($AN$1006:BE1006),$AN$1006:$BO$1006,0)))),"Fix")))</f>
        <v>0</v>
      </c>
      <c r="T282" s="4">
        <f>IF(OR(INDEX($AH$2:$AH$1001,MATCH(ROWS($AG$2:AG282),$AG$2:$AG$1001,0),1)&gt;=100000,INDEX($AN$1005:$BO$1005,1,MATCH(COLUMNS($AN$1006:BF1006),$AN$1006:$BO$1006,0))&gt;=100000), " ",IF(INDEX($AN$2:$BO$1001,MATCH(ROWS($AG$2:AG282),$AG$2:$AG$1001,0),MATCH(COLUMNS($AN$1006:BF1006),$AN$1006:$BO$1006,0)), HYPERLINK("#",""), HYPERLINK(CONCATENATE("#Metadata!", ADDRESS(INDEX($AI$2:$AI$1001,MATCH(ROWS($AG$2:AG282),$AG$2:$AG$1001,0),0), INDEX($AN$1004:$BO$1004,1,MATCH(COLUMNS($AN$1006:BF1006),$AN$1006:$BO$1006,0)))),"Fix")))</f>
        <v>0</v>
      </c>
      <c r="U282" s="4">
        <f>IF(OR(INDEX($AH$2:$AH$1001,MATCH(ROWS($AG$2:AG282),$AG$2:$AG$1001,0),1)&gt;=100000,INDEX($AN$1005:$BO$1005,1,MATCH(COLUMNS($AN$1006:BG1006),$AN$1006:$BO$1006,0))&gt;=100000), " ",IF(INDEX($AN$2:$BO$1001,MATCH(ROWS($AG$2:AG282),$AG$2:$AG$1001,0),MATCH(COLUMNS($AN$1006:BG1006),$AN$1006:$BO$1006,0)), HYPERLINK("#",""), HYPERLINK(CONCATENATE("#Metadata!", ADDRESS(INDEX($AI$2:$AI$1001,MATCH(ROWS($AG$2:AG282),$AG$2:$AG$1001,0),0), INDEX($AN$1004:$BO$1004,1,MATCH(COLUMNS($AN$1006:BG1006),$AN$1006:$BO$1006,0)))),"Fix")))</f>
        <v>0</v>
      </c>
      <c r="V282" s="4">
        <f>IF(OR(INDEX($AH$2:$AH$1001,MATCH(ROWS($AG$2:AG282),$AG$2:$AG$1001,0),1)&gt;=100000,INDEX($AN$1005:$BO$1005,1,MATCH(COLUMNS($AN$1006:BH1006),$AN$1006:$BO$1006,0))&gt;=100000), " ",IF(INDEX($AN$2:$BO$1001,MATCH(ROWS($AG$2:AG282),$AG$2:$AG$1001,0),MATCH(COLUMNS($AN$1006:BH1006),$AN$1006:$BO$1006,0)), HYPERLINK("#",""), HYPERLINK(CONCATENATE("#Metadata!", ADDRESS(INDEX($AI$2:$AI$1001,MATCH(ROWS($AG$2:AG282),$AG$2:$AG$1001,0),0), INDEX($AN$1004:$BO$1004,1,MATCH(COLUMNS($AN$1006:BH1006),$AN$1006:$BO$1006,0)))),"Fix")))</f>
        <v>0</v>
      </c>
      <c r="W282" s="4">
        <f>IF(OR(INDEX($AH$2:$AH$1001,MATCH(ROWS($AG$2:AG282),$AG$2:$AG$1001,0),1)&gt;=100000,INDEX($AN$1005:$BO$1005,1,MATCH(COLUMNS($AN$1006:BI1006),$AN$1006:$BO$1006,0))&gt;=100000), " ",IF(INDEX($AN$2:$BO$1001,MATCH(ROWS($AG$2:AG282),$AG$2:$AG$1001,0),MATCH(COLUMNS($AN$1006:BI1006),$AN$1006:$BO$1006,0)), HYPERLINK("#",""), HYPERLINK(CONCATENATE("#Metadata!", ADDRESS(INDEX($AI$2:$AI$1001,MATCH(ROWS($AG$2:AG282),$AG$2:$AG$1001,0),0), INDEX($AN$1004:$BO$1004,1,MATCH(COLUMNS($AN$1006:BI1006),$AN$1006:$BO$1006,0)))),"Fix")))</f>
        <v>0</v>
      </c>
      <c r="X282" s="4">
        <f>IF(OR(INDEX($AH$2:$AH$1001,MATCH(ROWS($AG$2:AG282),$AG$2:$AG$1001,0),1)&gt;=100000,INDEX($AN$1005:$BO$1005,1,MATCH(COLUMNS($AN$1006:BJ1006),$AN$1006:$BO$1006,0))&gt;=100000), " ",IF(INDEX($AN$2:$BO$1001,MATCH(ROWS($AG$2:AG282),$AG$2:$AG$1001,0),MATCH(COLUMNS($AN$1006:BJ1006),$AN$1006:$BO$1006,0)), HYPERLINK("#",""), HYPERLINK(CONCATENATE("#Metadata!", ADDRESS(INDEX($AI$2:$AI$1001,MATCH(ROWS($AG$2:AG282),$AG$2:$AG$1001,0),0), INDEX($AN$1004:$BO$1004,1,MATCH(COLUMNS($AN$1006:BJ1006),$AN$1006:$BO$1006,0)))),"Fix")))</f>
        <v>0</v>
      </c>
      <c r="Y282" s="4">
        <f>IF(OR(INDEX($AH$2:$AH$1001,MATCH(ROWS($AG$2:AG282),$AG$2:$AG$1001,0),1)&gt;=100000,INDEX($AN$1005:$BO$1005,1,MATCH(COLUMNS($AN$1006:BK1006),$AN$1006:$BO$1006,0))&gt;=100000), " ",IF(INDEX($AN$2:$BO$1001,MATCH(ROWS($AG$2:AG282),$AG$2:$AG$1001,0),MATCH(COLUMNS($AN$1006:BK1006),$AN$1006:$BO$1006,0)), HYPERLINK("#",""), HYPERLINK(CONCATENATE("#Metadata!", ADDRESS(INDEX($AI$2:$AI$1001,MATCH(ROWS($AG$2:AG282),$AG$2:$AG$1001,0),0), INDEX($AN$1004:$BO$1004,1,MATCH(COLUMNS($AN$1006:BK1006),$AN$1006:$BO$1006,0)))),"Fix")))</f>
        <v>0</v>
      </c>
      <c r="Z282" s="4">
        <f>IF(OR(INDEX($AH$2:$AH$1001,MATCH(ROWS($AG$2:AG282),$AG$2:$AG$1001,0),1)&gt;=100000,INDEX($AN$1005:$BO$1005,1,MATCH(COLUMNS($AN$1006:BL1006),$AN$1006:$BO$1006,0))&gt;=100000), " ",IF(INDEX($AN$2:$BO$1001,MATCH(ROWS($AG$2:AG282),$AG$2:$AG$1001,0),MATCH(COLUMNS($AN$1006:BL1006),$AN$1006:$BO$1006,0)), HYPERLINK("#",""), HYPERLINK(CONCATENATE("#Metadata!", ADDRESS(INDEX($AI$2:$AI$1001,MATCH(ROWS($AG$2:AG282),$AG$2:$AG$1001,0),0), INDEX($AN$1004:$BO$1004,1,MATCH(COLUMNS($AN$1006:BL1006),$AN$1006:$BO$1006,0)))),"Fix")))</f>
        <v>0</v>
      </c>
      <c r="AA282" s="4">
        <f>IF(OR(INDEX($AH$2:$AH$1001,MATCH(ROWS($AG$2:AG282),$AG$2:$AG$1001,0),1)&gt;=100000,INDEX($AN$1005:$BO$1005,1,MATCH(COLUMNS($AN$1006:BM1006),$AN$1006:$BO$1006,0))&gt;=100000), " ",IF(INDEX($AN$2:$BO$1001,MATCH(ROWS($AG$2:AG282),$AG$2:$AG$1001,0),MATCH(COLUMNS($AN$1006:BM1006),$AN$1006:$BO$1006,0)), HYPERLINK("#",""), HYPERLINK(CONCATENATE("#Metadata!", ADDRESS(INDEX($AI$2:$AI$1001,MATCH(ROWS($AG$2:AG282),$AG$2:$AG$1001,0),0), INDEX($AN$1004:$BO$1004,1,MATCH(COLUMNS($AN$1006:BM1006),$AN$1006:$BO$1006,0)))),"Fix")))</f>
        <v>0</v>
      </c>
      <c r="AB282" s="4">
        <f>IF(OR(INDEX($AH$2:$AH$1001,MATCH(ROWS($AG$2:AG282),$AG$2:$AG$1001,0),1)&gt;=100000,INDEX($AN$1005:$BO$1005,1,MATCH(COLUMNS($AN$1006:BN1006),$AN$1006:$BO$1006,0))&gt;=100000), " ",IF(INDEX($AN$2:$BO$1001,MATCH(ROWS($AG$2:AG282),$AG$2:$AG$1001,0),MATCH(COLUMNS($AN$1006:BN1006),$AN$1006:$BO$1006,0)), HYPERLINK("#",""), HYPERLINK(CONCATENATE("#Metadata!", ADDRESS(INDEX($AI$2:$AI$1001,MATCH(ROWS($AG$2:AG282),$AG$2:$AG$1001,0),0), INDEX($AN$1004:$BO$1004,1,MATCH(COLUMNS($AN$1006:BN1006),$AN$1006:$BO$1006,0)))),"Fix")))</f>
        <v>0</v>
      </c>
      <c r="AC282" s="4">
        <f>IF(OR(INDEX($AH$2:$AH$1001,MATCH(ROWS($AG$2:AG282),$AG$2:$AG$1001,0),1)&gt;=100000,INDEX($AN$1005:$BO$1005,1,MATCH(COLUMNS($AN$1006:BO1006),$AN$1006:$BO$1006,0))&gt;=100000), " ",IF(INDEX($AN$2:$BO$1001,MATCH(ROWS($AG$2:AG282),$AG$2:$AG$1001,0),MATCH(COLUMNS($AN$1006:BO1006),$AN$1006:$BO$1006,0)), HYPERLINK("#",""), HYPERLINK(CONCATENATE("#Metadata!", ADDRESS(INDEX($AI$2:$AI$1001,MATCH(ROWS($AG$2:AG282),$AG$2:$AG$1001,0),0), INDEX($AN$1004:$BO$1004,1,MATCH(COLUMNS($AN$1006:BO1006),$AN$1006:$BO$1006,0)))),"Fix")))</f>
        <v>0</v>
      </c>
      <c r="AG282">
        <v>0</v>
      </c>
      <c r="AH282">
        <v>0</v>
      </c>
      <c r="AI282">
        <v>0</v>
      </c>
      <c r="AJ282">
        <f>IF(AK282,TRUE,AND(AN282:BO282))</f>
        <v>0</v>
      </c>
      <c r="AK282">
        <f>COUNTBLANK(Metadata!B282:AC282)=COLUMNS(Metadata!B282:AC282)</f>
        <v>0</v>
      </c>
      <c r="AL282">
        <v>0</v>
      </c>
      <c r="AN282">
        <f>AND(IF(Metadata!B282="",FALSE,TRUE),COUNTIF(Metadata!B:B, Metadata!B282) = 1,NOT(ISERROR(SUMPRODUCT(SEARCH(MID(Metadata!B282,ROW(INDIRECT("1:"&amp;LEN(Metadata!B282))), 1),"0123456789abcdefghijklmnopqrstuvwxyzABCDEFGHIJKLMNOPQRSTUVWXYZ.")))))</f>
        <v>0</v>
      </c>
      <c r="AO282">
        <f>IF(Metadata!C282="",FALSE,TRUE)</f>
        <v>0</v>
      </c>
      <c r="AP282">
        <f>IF(Metadata!D282="",FALSE,TRUE)</f>
        <v>0</v>
      </c>
      <c r="AQ282">
        <f>OR(AND(IF(Metadata!E282="",FALSE,TRUE),OR(exact(Metadata!E282,"not collected"),exact(Metadata!E282,"not provided"),exact(Metadata!E282,"restricted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R282">
        <f>IF(Metadata!F282="",FALSE,TRUE)</f>
        <v>0</v>
      </c>
      <c r="AS282">
        <f>OR(AND(IF(Metadata!G282="",FALSE,TRUE),OR(exact(Metadata!G282,"not collected"),exact(Metadata!G282,"not provided"))),AND(IF(Metadata!G282="",FALSE,TRUE),OR(exact(Metadata!G282,"TRUE"),exact(Metadata!G282,"FALSE"))))</f>
        <v>0</v>
      </c>
      <c r="AT282">
        <f>OR(AND(IF(Metadata!H282="",FALSE,TRUE),OR(exact(Metadata!H282,"not collected"),exact(Metadata!H282,"not provided"),exact(Metadata!H282,"restricted access"))),AND(IF(Metadata!H282="",FALSE,ISNUMBER(VALUE(Metadata!H282))),Metadata!H282&gt;=-413.0))</f>
        <v>0</v>
      </c>
      <c r="AU282">
        <f>AND(IF(Metadata!I282="",FALSE,TRUE),exact(Metadata!I282,"meters"))</f>
        <v>0</v>
      </c>
      <c r="AV282">
        <f>AND(IF(Metadata!J282="",FALSE,TRUE),OR(exact(Metadata!J282,"Host-associated"),exact(Metadata!J282,"Free-living")))</f>
        <v>0</v>
      </c>
      <c r="AW282">
        <f>AND(IF(Metadata!K282="",FALSE,TRUE),OR(exact(Metadata!K282,"Animal"),exact(Metadata!K282,"Fungus"),exact(Metadata!K282,"Plant"),exact(Metadata!K282,"Saline"),exact(Metadata!K282,"Non-saline")))</f>
        <v>0</v>
      </c>
      <c r="AX282">
        <f>AND(IF(Metadata!L282="",FALSE,TRUE),OR(exact(Metadata!L282,"Plant secretion"),exact(Metadata!L282,"Plant rhizosphere"),exact(Metadata!L282,"Plant surface"),exact(Metadata!L282,"Plant corpus"),exact(Metadata!L282,"Fungus surface"),exact(Metadata!L282,"Fungus corpus"),exact(Metadata!L282,"Animal surface"),exact(Metadata!L282,"Animal proximal gut"),exact(Metadata!L282,"Animal corpus"),exact(Metadata!L282,"Animal distal gut"),exact(Metadata!L282,"Animal secretion"),exact(Metadata!L282,"Sub-surface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Y282">
        <f>IF(Metadata!M282="",FALSE,TRUE)</f>
        <v>0</v>
      </c>
      <c r="AZ282">
        <f>IF(Metadata!N282="",FALSE,TRUE)</f>
        <v>0</v>
      </c>
      <c r="BA282">
        <f>IF(Metadata!O282="",FALSE,TRUE)</f>
        <v>0</v>
      </c>
      <c r="BB282">
        <f>OR(AND(IF(Metadata!P282="",FALSE,TRUE),OR(exact(Metadata!P282,"not collected"),exact(Metadata!P282,"not provided"),exact(Metadata!P282,"restricted access"))),AND(IF(Metadata!P282="",FALSE,TRUE),OR(exact(Metadata!P282,"air"),exact(Metadata!P282,"built environment"),exact(Metadata!P282,"host-associated"),exact(Metadata!P282,"human-associated"),exact(Metadata!P282,"human-skin"),exact(Metadata!P282,"human-oral"),exact(Metadata!P282,"human-gut"),exact(Metadata!P282,"human-vaginal"),exact(Metadata!P282,"microbial mat/biofilm"),exact(Metadata!P282,"misc environment"),exact(Metadata!P282,"plant-associated"),exact(Metadata!P282,"sediment"),exact(Metadata!P282,"soil"),exact(Metadata!P282,"wastewater/sludge"),exact(Metadata!P282,"water"))))</f>
        <v>0</v>
      </c>
      <c r="BC282">
        <f>IF(Metadata!Q282="",FALSE,TRUE)</f>
        <v>0</v>
      </c>
      <c r="BD282">
        <f>IF(Metadata!R282="",FALSE,TRUE)</f>
        <v>0</v>
      </c>
      <c r="BE282">
        <f>OR(AND(IF(Metadata!S282="",FALSE,TRUE),OR(exact(Metadata!S282,"not collected"),exact(Metadata!S282,"not provided"),exact(Metadata!S282,"restricted access"))),AND(IF(Metadata!S282="",FALSE,ISNUMBER(VALUE(Metadata!S282))),Metadata!S282&gt;=-90.00,Metadata!S282&lt;=90.00))</f>
        <v>0</v>
      </c>
      <c r="BF282">
        <f>AND(IF(Metadata!T282="",FALSE,TRUE),exact(Metadata!T282,"Decimal degrees"))</f>
        <v>0</v>
      </c>
      <c r="BG282">
        <f>OR(AND(IF(Metadata!U282="",FALSE,TRUE),OR(exact(Metadata!U282,"not collected"),exact(Metadata!U282,"not provided"),exact(Metadata!U282,"restricted access"))),AND(IF(Metadata!U282="",FALSE,ISNUMBER(VALUE(Metadata!U282))),Metadata!U282&gt;=-180.00,Metadata!U282&lt;=180.00))</f>
        <v>0</v>
      </c>
      <c r="BH282">
        <f>AND(IF(Metadata!V282="",FALSE,TRUE),exact(Metadata!V282,"Decimal degrees"))</f>
        <v>0</v>
      </c>
      <c r="BI282">
        <f>IF(Metadata!W282="",FALSE,TRUE)</f>
        <v>0</v>
      </c>
      <c r="BJ282">
        <f>OR(AND(IF(Metadata!X282="",FALSE,TRUE),OR(exact(Metadata!X282,"not collected"),exact(Metadata!X282,"not provided"),exact(Metadata!X282,"restricted access"))),AND(IF(Metadata!X282="",FALSE,TRUE),OR(exact(Metadata!X282,"TRUE"),exact(Metadata!X282,"FALSE"))))</f>
        <v>0</v>
      </c>
      <c r="BK282">
        <f>AND(IF(Metadata!Y282="",FALSE,TRUE),exact(Metadata!Y282,"other"))</f>
        <v>0</v>
      </c>
      <c r="BL282">
        <f>IF(Metadata!Z282="",FALSE,TRUE)</f>
        <v>0</v>
      </c>
      <c r="BM282">
        <f>OR(AND(IF(Metadata!AA282="",FALSE,TRUE),OR(exact(Metadata!AA282,"not collected"),exact(Metadata!AA282,"not provided"))),AND(IF(Metadata!AA282="",FALSE,IF(ISERROR(INT(Metadata!AA282)),FALSE,INT(Metadata!AA282)=Metadata!AA282)),Metadata!AA282&gt;0))</f>
        <v>0</v>
      </c>
      <c r="BN282">
        <f>AND(IF(Metadata!AB282="",FALSE,TRUE),exact(Metadata!AB282,"Not applicable"))</f>
        <v>0</v>
      </c>
      <c r="BO282">
        <f>IF(Metadata!AC282="",FALSE,TRUE)</f>
        <v>0</v>
      </c>
    </row>
    <row r="283" spans="1:67">
      <c r="A283" s="5">
        <f>IF(B283=" "," ",HYPERLINK(CONCATENATE("#metadata!",ADDRESS(INDEX($AI$2:$AI$1001,MATCH(ROWS($AG$2:AG283),$AG$2:$AG$1001,0),0),1)),INDEX($AL$2:$AL$1001,MATCH(ROWS($AG$2:AG283),$AG$2:$AG$1001,0),0)))</f>
        <v>0</v>
      </c>
      <c r="B283" s="4">
        <f>IF(OR(INDEX($AH$2:$AH$1001,MATCH(ROWS($AG$2:AG283),$AG$2:$AG$1001,0),1)&gt;=100000,INDEX($AN$1005:$BO$1005,1,MATCH(COLUMNS($AN$1006:AN1006),$AN$1006:$BO$1006,0))&gt;=100000), " ",IF(INDEX($AN$2:$BO$1001,MATCH(ROWS($AG$2:AG283),$AG$2:$AG$1001,0),MATCH(COLUMNS($AN$1006:AN1006),$AN$1006:$BO$1006,0)), HYPERLINK("#",""), HYPERLINK(CONCATENATE("#Metadata!", ADDRESS(INDEX($AI$2:$AI$1001,MATCH(ROWS($AG$2:AG283),$AG$2:$AG$1001,0),0), INDEX($AN$1004:$BO$1004,1,MATCH(COLUMNS($AN$1006:AN1006),$AN$1006:$BO$1006,0)))),"Fix")))</f>
        <v>0</v>
      </c>
      <c r="C283" s="4">
        <f>IF(OR(INDEX($AH$2:$AH$1001,MATCH(ROWS($AG$2:AG283),$AG$2:$AG$1001,0),1)&gt;=100000,INDEX($AN$1005:$BO$1005,1,MATCH(COLUMNS($AN$1006:AO1006),$AN$1006:$BO$1006,0))&gt;=100000), " ",IF(INDEX($AN$2:$BO$1001,MATCH(ROWS($AG$2:AG283),$AG$2:$AG$1001,0),MATCH(COLUMNS($AN$1006:AO1006),$AN$1006:$BO$1006,0)), HYPERLINK("#",""), HYPERLINK(CONCATENATE("#Metadata!", ADDRESS(INDEX($AI$2:$AI$1001,MATCH(ROWS($AG$2:AG283),$AG$2:$AG$1001,0),0), INDEX($AN$1004:$BO$1004,1,MATCH(COLUMNS($AN$1006:AO1006),$AN$1006:$BO$1006,0)))),"Fix")))</f>
        <v>0</v>
      </c>
      <c r="D283" s="4">
        <f>IF(OR(INDEX($AH$2:$AH$1001,MATCH(ROWS($AG$2:AG283),$AG$2:$AG$1001,0),1)&gt;=100000,INDEX($AN$1005:$BO$1005,1,MATCH(COLUMNS($AN$1006:AP1006),$AN$1006:$BO$1006,0))&gt;=100000), " ",IF(INDEX($AN$2:$BO$1001,MATCH(ROWS($AG$2:AG283),$AG$2:$AG$1001,0),MATCH(COLUMNS($AN$1006:AP1006),$AN$1006:$BO$1006,0)), HYPERLINK("#",""), HYPERLINK(CONCATENATE("#Metadata!", ADDRESS(INDEX($AI$2:$AI$1001,MATCH(ROWS($AG$2:AG283),$AG$2:$AG$1001,0),0), INDEX($AN$1004:$BO$1004,1,MATCH(COLUMNS($AN$1006:AP1006),$AN$1006:$BO$1006,0)))),"Fix")))</f>
        <v>0</v>
      </c>
      <c r="E283" s="4">
        <f>IF(OR(INDEX($AH$2:$AH$1001,MATCH(ROWS($AG$2:AG283),$AG$2:$AG$1001,0),1)&gt;=100000,INDEX($AN$1005:$BO$1005,1,MATCH(COLUMNS($AN$1006:AQ1006),$AN$1006:$BO$1006,0))&gt;=100000), " ",IF(INDEX($AN$2:$BO$1001,MATCH(ROWS($AG$2:AG283),$AG$2:$AG$1001,0),MATCH(COLUMNS($AN$1006:AQ1006),$AN$1006:$BO$1006,0)), HYPERLINK("#",""), HYPERLINK(CONCATENATE("#Metadata!", ADDRESS(INDEX($AI$2:$AI$1001,MATCH(ROWS($AG$2:AG283),$AG$2:$AG$1001,0),0), INDEX($AN$1004:$BO$1004,1,MATCH(COLUMNS($AN$1006:AQ1006),$AN$1006:$BO$1006,0)))),"Fix")))</f>
        <v>0</v>
      </c>
      <c r="F283" s="4">
        <f>IF(OR(INDEX($AH$2:$AH$1001,MATCH(ROWS($AG$2:AG283),$AG$2:$AG$1001,0),1)&gt;=100000,INDEX($AN$1005:$BO$1005,1,MATCH(COLUMNS($AN$1006:AR1006),$AN$1006:$BO$1006,0))&gt;=100000), " ",IF(INDEX($AN$2:$BO$1001,MATCH(ROWS($AG$2:AG283),$AG$2:$AG$1001,0),MATCH(COLUMNS($AN$1006:AR1006),$AN$1006:$BO$1006,0)), HYPERLINK("#",""), HYPERLINK(CONCATENATE("#Metadata!", ADDRESS(INDEX($AI$2:$AI$1001,MATCH(ROWS($AG$2:AG283),$AG$2:$AG$1001,0),0), INDEX($AN$1004:$BO$1004,1,MATCH(COLUMNS($AN$1006:AR1006),$AN$1006:$BO$1006,0)))),"Fix")))</f>
        <v>0</v>
      </c>
      <c r="G283" s="4">
        <f>IF(OR(INDEX($AH$2:$AH$1001,MATCH(ROWS($AG$2:AG283),$AG$2:$AG$1001,0),1)&gt;=100000,INDEX($AN$1005:$BO$1005,1,MATCH(COLUMNS($AN$1006:AS1006),$AN$1006:$BO$1006,0))&gt;=100000), " ",IF(INDEX($AN$2:$BO$1001,MATCH(ROWS($AG$2:AG283),$AG$2:$AG$1001,0),MATCH(COLUMNS($AN$1006:AS1006),$AN$1006:$BO$1006,0)), HYPERLINK("#",""), HYPERLINK(CONCATENATE("#Metadata!", ADDRESS(INDEX($AI$2:$AI$1001,MATCH(ROWS($AG$2:AG283),$AG$2:$AG$1001,0),0), INDEX($AN$1004:$BO$1004,1,MATCH(COLUMNS($AN$1006:AS1006),$AN$1006:$BO$1006,0)))),"Fix")))</f>
        <v>0</v>
      </c>
      <c r="H283" s="4">
        <f>IF(OR(INDEX($AH$2:$AH$1001,MATCH(ROWS($AG$2:AG283),$AG$2:$AG$1001,0),1)&gt;=100000,INDEX($AN$1005:$BO$1005,1,MATCH(COLUMNS($AN$1006:AT1006),$AN$1006:$BO$1006,0))&gt;=100000), " ",IF(INDEX($AN$2:$BO$1001,MATCH(ROWS($AG$2:AG283),$AG$2:$AG$1001,0),MATCH(COLUMNS($AN$1006:AT1006),$AN$1006:$BO$1006,0)), HYPERLINK("#",""), HYPERLINK(CONCATENATE("#Metadata!", ADDRESS(INDEX($AI$2:$AI$1001,MATCH(ROWS($AG$2:AG283),$AG$2:$AG$1001,0),0), INDEX($AN$1004:$BO$1004,1,MATCH(COLUMNS($AN$1006:AT1006),$AN$1006:$BO$1006,0)))),"Fix")))</f>
        <v>0</v>
      </c>
      <c r="I283" s="4">
        <f>IF(OR(INDEX($AH$2:$AH$1001,MATCH(ROWS($AG$2:AG283),$AG$2:$AG$1001,0),1)&gt;=100000,INDEX($AN$1005:$BO$1005,1,MATCH(COLUMNS($AN$1006:AU1006),$AN$1006:$BO$1006,0))&gt;=100000), " ",IF(INDEX($AN$2:$BO$1001,MATCH(ROWS($AG$2:AG283),$AG$2:$AG$1001,0),MATCH(COLUMNS($AN$1006:AU1006),$AN$1006:$BO$1006,0)), HYPERLINK("#",""), HYPERLINK(CONCATENATE("#Metadata!", ADDRESS(INDEX($AI$2:$AI$1001,MATCH(ROWS($AG$2:AG283),$AG$2:$AG$1001,0),0), INDEX($AN$1004:$BO$1004,1,MATCH(COLUMNS($AN$1006:AU1006),$AN$1006:$BO$1006,0)))),"Fix")))</f>
        <v>0</v>
      </c>
      <c r="J283" s="4">
        <f>IF(OR(INDEX($AH$2:$AH$1001,MATCH(ROWS($AG$2:AG283),$AG$2:$AG$1001,0),1)&gt;=100000,INDEX($AN$1005:$BO$1005,1,MATCH(COLUMNS($AN$1006:AV1006),$AN$1006:$BO$1006,0))&gt;=100000), " ",IF(INDEX($AN$2:$BO$1001,MATCH(ROWS($AG$2:AG283),$AG$2:$AG$1001,0),MATCH(COLUMNS($AN$1006:AV1006),$AN$1006:$BO$1006,0)), HYPERLINK("#",""), HYPERLINK(CONCATENATE("#Metadata!", ADDRESS(INDEX($AI$2:$AI$1001,MATCH(ROWS($AG$2:AG283),$AG$2:$AG$1001,0),0), INDEX($AN$1004:$BO$1004,1,MATCH(COLUMNS($AN$1006:AV1006),$AN$1006:$BO$1006,0)))),"Fix")))</f>
        <v>0</v>
      </c>
      <c r="K283" s="4">
        <f>IF(OR(INDEX($AH$2:$AH$1001,MATCH(ROWS($AG$2:AG283),$AG$2:$AG$1001,0),1)&gt;=100000,INDEX($AN$1005:$BO$1005,1,MATCH(COLUMNS($AN$1006:AW1006),$AN$1006:$BO$1006,0))&gt;=100000), " ",IF(INDEX($AN$2:$BO$1001,MATCH(ROWS($AG$2:AG283),$AG$2:$AG$1001,0),MATCH(COLUMNS($AN$1006:AW1006),$AN$1006:$BO$1006,0)), HYPERLINK("#",""), HYPERLINK(CONCATENATE("#Metadata!", ADDRESS(INDEX($AI$2:$AI$1001,MATCH(ROWS($AG$2:AG283),$AG$2:$AG$1001,0),0), INDEX($AN$1004:$BO$1004,1,MATCH(COLUMNS($AN$1006:AW1006),$AN$1006:$BO$1006,0)))),"Fix")))</f>
        <v>0</v>
      </c>
      <c r="L283" s="4">
        <f>IF(OR(INDEX($AH$2:$AH$1001,MATCH(ROWS($AG$2:AG283),$AG$2:$AG$1001,0),1)&gt;=100000,INDEX($AN$1005:$BO$1005,1,MATCH(COLUMNS($AN$1006:AX1006),$AN$1006:$BO$1006,0))&gt;=100000), " ",IF(INDEX($AN$2:$BO$1001,MATCH(ROWS($AG$2:AG283),$AG$2:$AG$1001,0),MATCH(COLUMNS($AN$1006:AX1006),$AN$1006:$BO$1006,0)), HYPERLINK("#",""), HYPERLINK(CONCATENATE("#Metadata!", ADDRESS(INDEX($AI$2:$AI$1001,MATCH(ROWS($AG$2:AG283),$AG$2:$AG$1001,0),0), INDEX($AN$1004:$BO$1004,1,MATCH(COLUMNS($AN$1006:AX1006),$AN$1006:$BO$1006,0)))),"Fix")))</f>
        <v>0</v>
      </c>
      <c r="M283" s="4">
        <f>IF(OR(INDEX($AH$2:$AH$1001,MATCH(ROWS($AG$2:AG283),$AG$2:$AG$1001,0),1)&gt;=100000,INDEX($AN$1005:$BO$1005,1,MATCH(COLUMNS($AN$1006:AY1006),$AN$1006:$BO$1006,0))&gt;=100000), " ",IF(INDEX($AN$2:$BO$1001,MATCH(ROWS($AG$2:AG283),$AG$2:$AG$1001,0),MATCH(COLUMNS($AN$1006:AY1006),$AN$1006:$BO$1006,0)), HYPERLINK("#",""), HYPERLINK(CONCATENATE("#Metadata!", ADDRESS(INDEX($AI$2:$AI$1001,MATCH(ROWS($AG$2:AG283),$AG$2:$AG$1001,0),0), INDEX($AN$1004:$BO$1004,1,MATCH(COLUMNS($AN$1006:AY1006),$AN$1006:$BO$1006,0)))),"Fix")))</f>
        <v>0</v>
      </c>
      <c r="N283" s="4">
        <f>IF(OR(INDEX($AH$2:$AH$1001,MATCH(ROWS($AG$2:AG283),$AG$2:$AG$1001,0),1)&gt;=100000,INDEX($AN$1005:$BO$1005,1,MATCH(COLUMNS($AN$1006:AZ1006),$AN$1006:$BO$1006,0))&gt;=100000), " ",IF(INDEX($AN$2:$BO$1001,MATCH(ROWS($AG$2:AG283),$AG$2:$AG$1001,0),MATCH(COLUMNS($AN$1006:AZ1006),$AN$1006:$BO$1006,0)), HYPERLINK("#",""), HYPERLINK(CONCATENATE("#Metadata!", ADDRESS(INDEX($AI$2:$AI$1001,MATCH(ROWS($AG$2:AG283),$AG$2:$AG$1001,0),0), INDEX($AN$1004:$BO$1004,1,MATCH(COLUMNS($AN$1006:AZ1006),$AN$1006:$BO$1006,0)))),"Fix")))</f>
        <v>0</v>
      </c>
      <c r="O283" s="4">
        <f>IF(OR(INDEX($AH$2:$AH$1001,MATCH(ROWS($AG$2:AG283),$AG$2:$AG$1001,0),1)&gt;=100000,INDEX($AN$1005:$BO$1005,1,MATCH(COLUMNS($AN$1006:BA1006),$AN$1006:$BO$1006,0))&gt;=100000), " ",IF(INDEX($AN$2:$BO$1001,MATCH(ROWS($AG$2:AG283),$AG$2:$AG$1001,0),MATCH(COLUMNS($AN$1006:BA1006),$AN$1006:$BO$1006,0)), HYPERLINK("#",""), HYPERLINK(CONCATENATE("#Metadata!", ADDRESS(INDEX($AI$2:$AI$1001,MATCH(ROWS($AG$2:AG283),$AG$2:$AG$1001,0),0), INDEX($AN$1004:$BO$1004,1,MATCH(COLUMNS($AN$1006:BA1006),$AN$1006:$BO$1006,0)))),"Fix")))</f>
        <v>0</v>
      </c>
      <c r="P283" s="4">
        <f>IF(OR(INDEX($AH$2:$AH$1001,MATCH(ROWS($AG$2:AG283),$AG$2:$AG$1001,0),1)&gt;=100000,INDEX($AN$1005:$BO$1005,1,MATCH(COLUMNS($AN$1006:BB1006),$AN$1006:$BO$1006,0))&gt;=100000), " ",IF(INDEX($AN$2:$BO$1001,MATCH(ROWS($AG$2:AG283),$AG$2:$AG$1001,0),MATCH(COLUMNS($AN$1006:BB1006),$AN$1006:$BO$1006,0)), HYPERLINK("#",""), HYPERLINK(CONCATENATE("#Metadata!", ADDRESS(INDEX($AI$2:$AI$1001,MATCH(ROWS($AG$2:AG283),$AG$2:$AG$1001,0),0), INDEX($AN$1004:$BO$1004,1,MATCH(COLUMNS($AN$1006:BB1006),$AN$1006:$BO$1006,0)))),"Fix")))</f>
        <v>0</v>
      </c>
      <c r="Q283" s="4">
        <f>IF(OR(INDEX($AH$2:$AH$1001,MATCH(ROWS($AG$2:AG283),$AG$2:$AG$1001,0),1)&gt;=100000,INDEX($AN$1005:$BO$1005,1,MATCH(COLUMNS($AN$1006:BC1006),$AN$1006:$BO$1006,0))&gt;=100000), " ",IF(INDEX($AN$2:$BO$1001,MATCH(ROWS($AG$2:AG283),$AG$2:$AG$1001,0),MATCH(COLUMNS($AN$1006:BC1006),$AN$1006:$BO$1006,0)), HYPERLINK("#",""), HYPERLINK(CONCATENATE("#Metadata!", ADDRESS(INDEX($AI$2:$AI$1001,MATCH(ROWS($AG$2:AG283),$AG$2:$AG$1001,0),0), INDEX($AN$1004:$BO$1004,1,MATCH(COLUMNS($AN$1006:BC1006),$AN$1006:$BO$1006,0)))),"Fix")))</f>
        <v>0</v>
      </c>
      <c r="R283" s="4">
        <f>IF(OR(INDEX($AH$2:$AH$1001,MATCH(ROWS($AG$2:AG283),$AG$2:$AG$1001,0),1)&gt;=100000,INDEX($AN$1005:$BO$1005,1,MATCH(COLUMNS($AN$1006:BD1006),$AN$1006:$BO$1006,0))&gt;=100000), " ",IF(INDEX($AN$2:$BO$1001,MATCH(ROWS($AG$2:AG283),$AG$2:$AG$1001,0),MATCH(COLUMNS($AN$1006:BD1006),$AN$1006:$BO$1006,0)), HYPERLINK("#",""), HYPERLINK(CONCATENATE("#Metadata!", ADDRESS(INDEX($AI$2:$AI$1001,MATCH(ROWS($AG$2:AG283),$AG$2:$AG$1001,0),0), INDEX($AN$1004:$BO$1004,1,MATCH(COLUMNS($AN$1006:BD1006),$AN$1006:$BO$1006,0)))),"Fix")))</f>
        <v>0</v>
      </c>
      <c r="S283" s="4">
        <f>IF(OR(INDEX($AH$2:$AH$1001,MATCH(ROWS($AG$2:AG283),$AG$2:$AG$1001,0),1)&gt;=100000,INDEX($AN$1005:$BO$1005,1,MATCH(COLUMNS($AN$1006:BE1006),$AN$1006:$BO$1006,0))&gt;=100000), " ",IF(INDEX($AN$2:$BO$1001,MATCH(ROWS($AG$2:AG283),$AG$2:$AG$1001,0),MATCH(COLUMNS($AN$1006:BE1006),$AN$1006:$BO$1006,0)), HYPERLINK("#",""), HYPERLINK(CONCATENATE("#Metadata!", ADDRESS(INDEX($AI$2:$AI$1001,MATCH(ROWS($AG$2:AG283),$AG$2:$AG$1001,0),0), INDEX($AN$1004:$BO$1004,1,MATCH(COLUMNS($AN$1006:BE1006),$AN$1006:$BO$1006,0)))),"Fix")))</f>
        <v>0</v>
      </c>
      <c r="T283" s="4">
        <f>IF(OR(INDEX($AH$2:$AH$1001,MATCH(ROWS($AG$2:AG283),$AG$2:$AG$1001,0),1)&gt;=100000,INDEX($AN$1005:$BO$1005,1,MATCH(COLUMNS($AN$1006:BF1006),$AN$1006:$BO$1006,0))&gt;=100000), " ",IF(INDEX($AN$2:$BO$1001,MATCH(ROWS($AG$2:AG283),$AG$2:$AG$1001,0),MATCH(COLUMNS($AN$1006:BF1006),$AN$1006:$BO$1006,0)), HYPERLINK("#",""), HYPERLINK(CONCATENATE("#Metadata!", ADDRESS(INDEX($AI$2:$AI$1001,MATCH(ROWS($AG$2:AG283),$AG$2:$AG$1001,0),0), INDEX($AN$1004:$BO$1004,1,MATCH(COLUMNS($AN$1006:BF1006),$AN$1006:$BO$1006,0)))),"Fix")))</f>
        <v>0</v>
      </c>
      <c r="U283" s="4">
        <f>IF(OR(INDEX($AH$2:$AH$1001,MATCH(ROWS($AG$2:AG283),$AG$2:$AG$1001,0),1)&gt;=100000,INDEX($AN$1005:$BO$1005,1,MATCH(COLUMNS($AN$1006:BG1006),$AN$1006:$BO$1006,0))&gt;=100000), " ",IF(INDEX($AN$2:$BO$1001,MATCH(ROWS($AG$2:AG283),$AG$2:$AG$1001,0),MATCH(COLUMNS($AN$1006:BG1006),$AN$1006:$BO$1006,0)), HYPERLINK("#",""), HYPERLINK(CONCATENATE("#Metadata!", ADDRESS(INDEX($AI$2:$AI$1001,MATCH(ROWS($AG$2:AG283),$AG$2:$AG$1001,0),0), INDEX($AN$1004:$BO$1004,1,MATCH(COLUMNS($AN$1006:BG1006),$AN$1006:$BO$1006,0)))),"Fix")))</f>
        <v>0</v>
      </c>
      <c r="V283" s="4">
        <f>IF(OR(INDEX($AH$2:$AH$1001,MATCH(ROWS($AG$2:AG283),$AG$2:$AG$1001,0),1)&gt;=100000,INDEX($AN$1005:$BO$1005,1,MATCH(COLUMNS($AN$1006:BH1006),$AN$1006:$BO$1006,0))&gt;=100000), " ",IF(INDEX($AN$2:$BO$1001,MATCH(ROWS($AG$2:AG283),$AG$2:$AG$1001,0),MATCH(COLUMNS($AN$1006:BH1006),$AN$1006:$BO$1006,0)), HYPERLINK("#",""), HYPERLINK(CONCATENATE("#Metadata!", ADDRESS(INDEX($AI$2:$AI$1001,MATCH(ROWS($AG$2:AG283),$AG$2:$AG$1001,0),0), INDEX($AN$1004:$BO$1004,1,MATCH(COLUMNS($AN$1006:BH1006),$AN$1006:$BO$1006,0)))),"Fix")))</f>
        <v>0</v>
      </c>
      <c r="W283" s="4">
        <f>IF(OR(INDEX($AH$2:$AH$1001,MATCH(ROWS($AG$2:AG283),$AG$2:$AG$1001,0),1)&gt;=100000,INDEX($AN$1005:$BO$1005,1,MATCH(COLUMNS($AN$1006:BI1006),$AN$1006:$BO$1006,0))&gt;=100000), " ",IF(INDEX($AN$2:$BO$1001,MATCH(ROWS($AG$2:AG283),$AG$2:$AG$1001,0),MATCH(COLUMNS($AN$1006:BI1006),$AN$1006:$BO$1006,0)), HYPERLINK("#",""), HYPERLINK(CONCATENATE("#Metadata!", ADDRESS(INDEX($AI$2:$AI$1001,MATCH(ROWS($AG$2:AG283),$AG$2:$AG$1001,0),0), INDEX($AN$1004:$BO$1004,1,MATCH(COLUMNS($AN$1006:BI1006),$AN$1006:$BO$1006,0)))),"Fix")))</f>
        <v>0</v>
      </c>
      <c r="X283" s="4">
        <f>IF(OR(INDEX($AH$2:$AH$1001,MATCH(ROWS($AG$2:AG283),$AG$2:$AG$1001,0),1)&gt;=100000,INDEX($AN$1005:$BO$1005,1,MATCH(COLUMNS($AN$1006:BJ1006),$AN$1006:$BO$1006,0))&gt;=100000), " ",IF(INDEX($AN$2:$BO$1001,MATCH(ROWS($AG$2:AG283),$AG$2:$AG$1001,0),MATCH(COLUMNS($AN$1006:BJ1006),$AN$1006:$BO$1006,0)), HYPERLINK("#",""), HYPERLINK(CONCATENATE("#Metadata!", ADDRESS(INDEX($AI$2:$AI$1001,MATCH(ROWS($AG$2:AG283),$AG$2:$AG$1001,0),0), INDEX($AN$1004:$BO$1004,1,MATCH(COLUMNS($AN$1006:BJ1006),$AN$1006:$BO$1006,0)))),"Fix")))</f>
        <v>0</v>
      </c>
      <c r="Y283" s="4">
        <f>IF(OR(INDEX($AH$2:$AH$1001,MATCH(ROWS($AG$2:AG283),$AG$2:$AG$1001,0),1)&gt;=100000,INDEX($AN$1005:$BO$1005,1,MATCH(COLUMNS($AN$1006:BK1006),$AN$1006:$BO$1006,0))&gt;=100000), " ",IF(INDEX($AN$2:$BO$1001,MATCH(ROWS($AG$2:AG283),$AG$2:$AG$1001,0),MATCH(COLUMNS($AN$1006:BK1006),$AN$1006:$BO$1006,0)), HYPERLINK("#",""), HYPERLINK(CONCATENATE("#Metadata!", ADDRESS(INDEX($AI$2:$AI$1001,MATCH(ROWS($AG$2:AG283),$AG$2:$AG$1001,0),0), INDEX($AN$1004:$BO$1004,1,MATCH(COLUMNS($AN$1006:BK1006),$AN$1006:$BO$1006,0)))),"Fix")))</f>
        <v>0</v>
      </c>
      <c r="Z283" s="4">
        <f>IF(OR(INDEX($AH$2:$AH$1001,MATCH(ROWS($AG$2:AG283),$AG$2:$AG$1001,0),1)&gt;=100000,INDEX($AN$1005:$BO$1005,1,MATCH(COLUMNS($AN$1006:BL1006),$AN$1006:$BO$1006,0))&gt;=100000), " ",IF(INDEX($AN$2:$BO$1001,MATCH(ROWS($AG$2:AG283),$AG$2:$AG$1001,0),MATCH(COLUMNS($AN$1006:BL1006),$AN$1006:$BO$1006,0)), HYPERLINK("#",""), HYPERLINK(CONCATENATE("#Metadata!", ADDRESS(INDEX($AI$2:$AI$1001,MATCH(ROWS($AG$2:AG283),$AG$2:$AG$1001,0),0), INDEX($AN$1004:$BO$1004,1,MATCH(COLUMNS($AN$1006:BL1006),$AN$1006:$BO$1006,0)))),"Fix")))</f>
        <v>0</v>
      </c>
      <c r="AA283" s="4">
        <f>IF(OR(INDEX($AH$2:$AH$1001,MATCH(ROWS($AG$2:AG283),$AG$2:$AG$1001,0),1)&gt;=100000,INDEX($AN$1005:$BO$1005,1,MATCH(COLUMNS($AN$1006:BM1006),$AN$1006:$BO$1006,0))&gt;=100000), " ",IF(INDEX($AN$2:$BO$1001,MATCH(ROWS($AG$2:AG283),$AG$2:$AG$1001,0),MATCH(COLUMNS($AN$1006:BM1006),$AN$1006:$BO$1006,0)), HYPERLINK("#",""), HYPERLINK(CONCATENATE("#Metadata!", ADDRESS(INDEX($AI$2:$AI$1001,MATCH(ROWS($AG$2:AG283),$AG$2:$AG$1001,0),0), INDEX($AN$1004:$BO$1004,1,MATCH(COLUMNS($AN$1006:BM1006),$AN$1006:$BO$1006,0)))),"Fix")))</f>
        <v>0</v>
      </c>
      <c r="AB283" s="4">
        <f>IF(OR(INDEX($AH$2:$AH$1001,MATCH(ROWS($AG$2:AG283),$AG$2:$AG$1001,0),1)&gt;=100000,INDEX($AN$1005:$BO$1005,1,MATCH(COLUMNS($AN$1006:BN1006),$AN$1006:$BO$1006,0))&gt;=100000), " ",IF(INDEX($AN$2:$BO$1001,MATCH(ROWS($AG$2:AG283),$AG$2:$AG$1001,0),MATCH(COLUMNS($AN$1006:BN1006),$AN$1006:$BO$1006,0)), HYPERLINK("#",""), HYPERLINK(CONCATENATE("#Metadata!", ADDRESS(INDEX($AI$2:$AI$1001,MATCH(ROWS($AG$2:AG283),$AG$2:$AG$1001,0),0), INDEX($AN$1004:$BO$1004,1,MATCH(COLUMNS($AN$1006:BN1006),$AN$1006:$BO$1006,0)))),"Fix")))</f>
        <v>0</v>
      </c>
      <c r="AC283" s="4">
        <f>IF(OR(INDEX($AH$2:$AH$1001,MATCH(ROWS($AG$2:AG283),$AG$2:$AG$1001,0),1)&gt;=100000,INDEX($AN$1005:$BO$1005,1,MATCH(COLUMNS($AN$1006:BO1006),$AN$1006:$BO$1006,0))&gt;=100000), " ",IF(INDEX($AN$2:$BO$1001,MATCH(ROWS($AG$2:AG283),$AG$2:$AG$1001,0),MATCH(COLUMNS($AN$1006:BO1006),$AN$1006:$BO$1006,0)), HYPERLINK("#",""), HYPERLINK(CONCATENATE("#Metadata!", ADDRESS(INDEX($AI$2:$AI$1001,MATCH(ROWS($AG$2:AG283),$AG$2:$AG$1001,0),0), INDEX($AN$1004:$BO$1004,1,MATCH(COLUMNS($AN$1006:BO1006),$AN$1006:$BO$1006,0)))),"Fix")))</f>
        <v>0</v>
      </c>
      <c r="AG283">
        <v>0</v>
      </c>
      <c r="AH283">
        <v>0</v>
      </c>
      <c r="AI283">
        <v>0</v>
      </c>
      <c r="AJ283">
        <f>IF(AK283,TRUE,AND(AN283:BO283))</f>
        <v>0</v>
      </c>
      <c r="AK283">
        <f>COUNTBLANK(Metadata!B283:AC283)=COLUMNS(Metadata!B283:AC283)</f>
        <v>0</v>
      </c>
      <c r="AL283">
        <v>0</v>
      </c>
      <c r="AN283">
        <f>AND(IF(Metadata!B283="",FALSE,TRUE),COUNTIF(Metadata!B:B, Metadata!B283) = 1,NOT(ISERROR(SUMPRODUCT(SEARCH(MID(Metadata!B283,ROW(INDIRECT("1:"&amp;LEN(Metadata!B283))), 1),"0123456789abcdefghijklmnopqrstuvwxyzABCDEFGHIJKLMNOPQRSTUVWXYZ.")))))</f>
        <v>0</v>
      </c>
      <c r="AO283">
        <f>IF(Metadata!C283="",FALSE,TRUE)</f>
        <v>0</v>
      </c>
      <c r="AP283">
        <f>IF(Metadata!D283="",FALSE,TRUE)</f>
        <v>0</v>
      </c>
      <c r="AQ283">
        <f>OR(AND(IF(Metadata!E283="",FALSE,TRUE),OR(exact(Metadata!E283,"not collected"),exact(Metadata!E283,"not provided"),exact(Metadata!E283,"restricted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R283">
        <f>IF(Metadata!F283="",FALSE,TRUE)</f>
        <v>0</v>
      </c>
      <c r="AS283">
        <f>OR(AND(IF(Metadata!G283="",FALSE,TRUE),OR(exact(Metadata!G283,"not collected"),exact(Metadata!G283,"not provided"))),AND(IF(Metadata!G283="",FALSE,TRUE),OR(exact(Metadata!G283,"TRUE"),exact(Metadata!G283,"FALSE"))))</f>
        <v>0</v>
      </c>
      <c r="AT283">
        <f>OR(AND(IF(Metadata!H283="",FALSE,TRUE),OR(exact(Metadata!H283,"not collected"),exact(Metadata!H283,"not provided"),exact(Metadata!H283,"restricted access"))),AND(IF(Metadata!H283="",FALSE,ISNUMBER(VALUE(Metadata!H283))),Metadata!H283&gt;=-413.0))</f>
        <v>0</v>
      </c>
      <c r="AU283">
        <f>AND(IF(Metadata!I283="",FALSE,TRUE),exact(Metadata!I283,"meters"))</f>
        <v>0</v>
      </c>
      <c r="AV283">
        <f>AND(IF(Metadata!J283="",FALSE,TRUE),OR(exact(Metadata!J283,"Host-associated"),exact(Metadata!J283,"Free-living")))</f>
        <v>0</v>
      </c>
      <c r="AW283">
        <f>AND(IF(Metadata!K283="",FALSE,TRUE),OR(exact(Metadata!K283,"Animal"),exact(Metadata!K283,"Fungus"),exact(Metadata!K283,"Plant"),exact(Metadata!K283,"Saline"),exact(Metadata!K283,"Non-saline")))</f>
        <v>0</v>
      </c>
      <c r="AX283">
        <f>AND(IF(Metadata!L283="",FALSE,TRUE),OR(exact(Metadata!L283,"Plant secretion"),exact(Metadata!L283,"Plant rhizosphere"),exact(Metadata!L283,"Plant surface"),exact(Metadata!L283,"Plant corpus"),exact(Metadata!L283,"Fungus surface"),exact(Metadata!L283,"Fungus corpus"),exact(Metadata!L283,"Animal surface"),exact(Metadata!L283,"Animal proximal gut"),exact(Metadata!L283,"Animal corpus"),exact(Metadata!L283,"Animal distal gut"),exact(Metadata!L283,"Animal secretion"),exact(Metadata!L283,"Sub-surface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Y283">
        <f>IF(Metadata!M283="",FALSE,TRUE)</f>
        <v>0</v>
      </c>
      <c r="AZ283">
        <f>IF(Metadata!N283="",FALSE,TRUE)</f>
        <v>0</v>
      </c>
      <c r="BA283">
        <f>IF(Metadata!O283="",FALSE,TRUE)</f>
        <v>0</v>
      </c>
      <c r="BB283">
        <f>OR(AND(IF(Metadata!P283="",FALSE,TRUE),OR(exact(Metadata!P283,"not collected"),exact(Metadata!P283,"not provided"),exact(Metadata!P283,"restricted access"))),AND(IF(Metadata!P283="",FALSE,TRUE),OR(exact(Metadata!P283,"air"),exact(Metadata!P283,"built environment"),exact(Metadata!P283,"host-associated"),exact(Metadata!P283,"human-associated"),exact(Metadata!P283,"human-skin"),exact(Metadata!P283,"human-oral"),exact(Metadata!P283,"human-gut"),exact(Metadata!P283,"human-vaginal"),exact(Metadata!P283,"microbial mat/biofilm"),exact(Metadata!P283,"misc environment"),exact(Metadata!P283,"plant-associated"),exact(Metadata!P283,"sediment"),exact(Metadata!P283,"soil"),exact(Metadata!P283,"wastewater/sludge"),exact(Metadata!P283,"water"))))</f>
        <v>0</v>
      </c>
      <c r="BC283">
        <f>IF(Metadata!Q283="",FALSE,TRUE)</f>
        <v>0</v>
      </c>
      <c r="BD283">
        <f>IF(Metadata!R283="",FALSE,TRUE)</f>
        <v>0</v>
      </c>
      <c r="BE283">
        <f>OR(AND(IF(Metadata!S283="",FALSE,TRUE),OR(exact(Metadata!S283,"not collected"),exact(Metadata!S283,"not provided"),exact(Metadata!S283,"restricted access"))),AND(IF(Metadata!S283="",FALSE,ISNUMBER(VALUE(Metadata!S283))),Metadata!S283&gt;=-90.00,Metadata!S283&lt;=90.00))</f>
        <v>0</v>
      </c>
      <c r="BF283">
        <f>AND(IF(Metadata!T283="",FALSE,TRUE),exact(Metadata!T283,"Decimal degrees"))</f>
        <v>0</v>
      </c>
      <c r="BG283">
        <f>OR(AND(IF(Metadata!U283="",FALSE,TRUE),OR(exact(Metadata!U283,"not collected"),exact(Metadata!U283,"not provided"),exact(Metadata!U283,"restricted access"))),AND(IF(Metadata!U283="",FALSE,ISNUMBER(VALUE(Metadata!U283))),Metadata!U283&gt;=-180.00,Metadata!U283&lt;=180.00))</f>
        <v>0</v>
      </c>
      <c r="BH283">
        <f>AND(IF(Metadata!V283="",FALSE,TRUE),exact(Metadata!V283,"Decimal degrees"))</f>
        <v>0</v>
      </c>
      <c r="BI283">
        <f>IF(Metadata!W283="",FALSE,TRUE)</f>
        <v>0</v>
      </c>
      <c r="BJ283">
        <f>OR(AND(IF(Metadata!X283="",FALSE,TRUE),OR(exact(Metadata!X283,"not collected"),exact(Metadata!X283,"not provided"),exact(Metadata!X283,"restricted access"))),AND(IF(Metadata!X283="",FALSE,TRUE),OR(exact(Metadata!X283,"TRUE"),exact(Metadata!X283,"FALSE"))))</f>
        <v>0</v>
      </c>
      <c r="BK283">
        <f>AND(IF(Metadata!Y283="",FALSE,TRUE),exact(Metadata!Y283,"other"))</f>
        <v>0</v>
      </c>
      <c r="BL283">
        <f>IF(Metadata!Z283="",FALSE,TRUE)</f>
        <v>0</v>
      </c>
      <c r="BM283">
        <f>OR(AND(IF(Metadata!AA283="",FALSE,TRUE),OR(exact(Metadata!AA283,"not collected"),exact(Metadata!AA283,"not provided"))),AND(IF(Metadata!AA283="",FALSE,IF(ISERROR(INT(Metadata!AA283)),FALSE,INT(Metadata!AA283)=Metadata!AA283)),Metadata!AA283&gt;0))</f>
        <v>0</v>
      </c>
      <c r="BN283">
        <f>AND(IF(Metadata!AB283="",FALSE,TRUE),exact(Metadata!AB283,"Not applicable"))</f>
        <v>0</v>
      </c>
      <c r="BO283">
        <f>IF(Metadata!AC283="",FALSE,TRUE)</f>
        <v>0</v>
      </c>
    </row>
    <row r="284" spans="1:67">
      <c r="A284" s="5">
        <f>IF(B284=" "," ",HYPERLINK(CONCATENATE("#metadata!",ADDRESS(INDEX($AI$2:$AI$1001,MATCH(ROWS($AG$2:AG284),$AG$2:$AG$1001,0),0),1)),INDEX($AL$2:$AL$1001,MATCH(ROWS($AG$2:AG284),$AG$2:$AG$1001,0),0)))</f>
        <v>0</v>
      </c>
      <c r="B284" s="4">
        <f>IF(OR(INDEX($AH$2:$AH$1001,MATCH(ROWS($AG$2:AG284),$AG$2:$AG$1001,0),1)&gt;=100000,INDEX($AN$1005:$BO$1005,1,MATCH(COLUMNS($AN$1006:AN1006),$AN$1006:$BO$1006,0))&gt;=100000), " ",IF(INDEX($AN$2:$BO$1001,MATCH(ROWS($AG$2:AG284),$AG$2:$AG$1001,0),MATCH(COLUMNS($AN$1006:AN1006),$AN$1006:$BO$1006,0)), HYPERLINK("#",""), HYPERLINK(CONCATENATE("#Metadata!", ADDRESS(INDEX($AI$2:$AI$1001,MATCH(ROWS($AG$2:AG284),$AG$2:$AG$1001,0),0), INDEX($AN$1004:$BO$1004,1,MATCH(COLUMNS($AN$1006:AN1006),$AN$1006:$BO$1006,0)))),"Fix")))</f>
        <v>0</v>
      </c>
      <c r="C284" s="4">
        <f>IF(OR(INDEX($AH$2:$AH$1001,MATCH(ROWS($AG$2:AG284),$AG$2:$AG$1001,0),1)&gt;=100000,INDEX($AN$1005:$BO$1005,1,MATCH(COLUMNS($AN$1006:AO1006),$AN$1006:$BO$1006,0))&gt;=100000), " ",IF(INDEX($AN$2:$BO$1001,MATCH(ROWS($AG$2:AG284),$AG$2:$AG$1001,0),MATCH(COLUMNS($AN$1006:AO1006),$AN$1006:$BO$1006,0)), HYPERLINK("#",""), HYPERLINK(CONCATENATE("#Metadata!", ADDRESS(INDEX($AI$2:$AI$1001,MATCH(ROWS($AG$2:AG284),$AG$2:$AG$1001,0),0), INDEX($AN$1004:$BO$1004,1,MATCH(COLUMNS($AN$1006:AO1006),$AN$1006:$BO$1006,0)))),"Fix")))</f>
        <v>0</v>
      </c>
      <c r="D284" s="4">
        <f>IF(OR(INDEX($AH$2:$AH$1001,MATCH(ROWS($AG$2:AG284),$AG$2:$AG$1001,0),1)&gt;=100000,INDEX($AN$1005:$BO$1005,1,MATCH(COLUMNS($AN$1006:AP1006),$AN$1006:$BO$1006,0))&gt;=100000), " ",IF(INDEX($AN$2:$BO$1001,MATCH(ROWS($AG$2:AG284),$AG$2:$AG$1001,0),MATCH(COLUMNS($AN$1006:AP1006),$AN$1006:$BO$1006,0)), HYPERLINK("#",""), HYPERLINK(CONCATENATE("#Metadata!", ADDRESS(INDEX($AI$2:$AI$1001,MATCH(ROWS($AG$2:AG284),$AG$2:$AG$1001,0),0), INDEX($AN$1004:$BO$1004,1,MATCH(COLUMNS($AN$1006:AP1006),$AN$1006:$BO$1006,0)))),"Fix")))</f>
        <v>0</v>
      </c>
      <c r="E284" s="4">
        <f>IF(OR(INDEX($AH$2:$AH$1001,MATCH(ROWS($AG$2:AG284),$AG$2:$AG$1001,0),1)&gt;=100000,INDEX($AN$1005:$BO$1005,1,MATCH(COLUMNS($AN$1006:AQ1006),$AN$1006:$BO$1006,0))&gt;=100000), " ",IF(INDEX($AN$2:$BO$1001,MATCH(ROWS($AG$2:AG284),$AG$2:$AG$1001,0),MATCH(COLUMNS($AN$1006:AQ1006),$AN$1006:$BO$1006,0)), HYPERLINK("#",""), HYPERLINK(CONCATENATE("#Metadata!", ADDRESS(INDEX($AI$2:$AI$1001,MATCH(ROWS($AG$2:AG284),$AG$2:$AG$1001,0),0), INDEX($AN$1004:$BO$1004,1,MATCH(COLUMNS($AN$1006:AQ1006),$AN$1006:$BO$1006,0)))),"Fix")))</f>
        <v>0</v>
      </c>
      <c r="F284" s="4">
        <f>IF(OR(INDEX($AH$2:$AH$1001,MATCH(ROWS($AG$2:AG284),$AG$2:$AG$1001,0),1)&gt;=100000,INDEX($AN$1005:$BO$1005,1,MATCH(COLUMNS($AN$1006:AR1006),$AN$1006:$BO$1006,0))&gt;=100000), " ",IF(INDEX($AN$2:$BO$1001,MATCH(ROWS($AG$2:AG284),$AG$2:$AG$1001,0),MATCH(COLUMNS($AN$1006:AR1006),$AN$1006:$BO$1006,0)), HYPERLINK("#",""), HYPERLINK(CONCATENATE("#Metadata!", ADDRESS(INDEX($AI$2:$AI$1001,MATCH(ROWS($AG$2:AG284),$AG$2:$AG$1001,0),0), INDEX($AN$1004:$BO$1004,1,MATCH(COLUMNS($AN$1006:AR1006),$AN$1006:$BO$1006,0)))),"Fix")))</f>
        <v>0</v>
      </c>
      <c r="G284" s="4">
        <f>IF(OR(INDEX($AH$2:$AH$1001,MATCH(ROWS($AG$2:AG284),$AG$2:$AG$1001,0),1)&gt;=100000,INDEX($AN$1005:$BO$1005,1,MATCH(COLUMNS($AN$1006:AS1006),$AN$1006:$BO$1006,0))&gt;=100000), " ",IF(INDEX($AN$2:$BO$1001,MATCH(ROWS($AG$2:AG284),$AG$2:$AG$1001,0),MATCH(COLUMNS($AN$1006:AS1006),$AN$1006:$BO$1006,0)), HYPERLINK("#",""), HYPERLINK(CONCATENATE("#Metadata!", ADDRESS(INDEX($AI$2:$AI$1001,MATCH(ROWS($AG$2:AG284),$AG$2:$AG$1001,0),0), INDEX($AN$1004:$BO$1004,1,MATCH(COLUMNS($AN$1006:AS1006),$AN$1006:$BO$1006,0)))),"Fix")))</f>
        <v>0</v>
      </c>
      <c r="H284" s="4">
        <f>IF(OR(INDEX($AH$2:$AH$1001,MATCH(ROWS($AG$2:AG284),$AG$2:$AG$1001,0),1)&gt;=100000,INDEX($AN$1005:$BO$1005,1,MATCH(COLUMNS($AN$1006:AT1006),$AN$1006:$BO$1006,0))&gt;=100000), " ",IF(INDEX($AN$2:$BO$1001,MATCH(ROWS($AG$2:AG284),$AG$2:$AG$1001,0),MATCH(COLUMNS($AN$1006:AT1006),$AN$1006:$BO$1006,0)), HYPERLINK("#",""), HYPERLINK(CONCATENATE("#Metadata!", ADDRESS(INDEX($AI$2:$AI$1001,MATCH(ROWS($AG$2:AG284),$AG$2:$AG$1001,0),0), INDEX($AN$1004:$BO$1004,1,MATCH(COLUMNS($AN$1006:AT1006),$AN$1006:$BO$1006,0)))),"Fix")))</f>
        <v>0</v>
      </c>
      <c r="I284" s="4">
        <f>IF(OR(INDEX($AH$2:$AH$1001,MATCH(ROWS($AG$2:AG284),$AG$2:$AG$1001,0),1)&gt;=100000,INDEX($AN$1005:$BO$1005,1,MATCH(COLUMNS($AN$1006:AU1006),$AN$1006:$BO$1006,0))&gt;=100000), " ",IF(INDEX($AN$2:$BO$1001,MATCH(ROWS($AG$2:AG284),$AG$2:$AG$1001,0),MATCH(COLUMNS($AN$1006:AU1006),$AN$1006:$BO$1006,0)), HYPERLINK("#",""), HYPERLINK(CONCATENATE("#Metadata!", ADDRESS(INDEX($AI$2:$AI$1001,MATCH(ROWS($AG$2:AG284),$AG$2:$AG$1001,0),0), INDEX($AN$1004:$BO$1004,1,MATCH(COLUMNS($AN$1006:AU1006),$AN$1006:$BO$1006,0)))),"Fix")))</f>
        <v>0</v>
      </c>
      <c r="J284" s="4">
        <f>IF(OR(INDEX($AH$2:$AH$1001,MATCH(ROWS($AG$2:AG284),$AG$2:$AG$1001,0),1)&gt;=100000,INDEX($AN$1005:$BO$1005,1,MATCH(COLUMNS($AN$1006:AV1006),$AN$1006:$BO$1006,0))&gt;=100000), " ",IF(INDEX($AN$2:$BO$1001,MATCH(ROWS($AG$2:AG284),$AG$2:$AG$1001,0),MATCH(COLUMNS($AN$1006:AV1006),$AN$1006:$BO$1006,0)), HYPERLINK("#",""), HYPERLINK(CONCATENATE("#Metadata!", ADDRESS(INDEX($AI$2:$AI$1001,MATCH(ROWS($AG$2:AG284),$AG$2:$AG$1001,0),0), INDEX($AN$1004:$BO$1004,1,MATCH(COLUMNS($AN$1006:AV1006),$AN$1006:$BO$1006,0)))),"Fix")))</f>
        <v>0</v>
      </c>
      <c r="K284" s="4">
        <f>IF(OR(INDEX($AH$2:$AH$1001,MATCH(ROWS($AG$2:AG284),$AG$2:$AG$1001,0),1)&gt;=100000,INDEX($AN$1005:$BO$1005,1,MATCH(COLUMNS($AN$1006:AW1006),$AN$1006:$BO$1006,0))&gt;=100000), " ",IF(INDEX($AN$2:$BO$1001,MATCH(ROWS($AG$2:AG284),$AG$2:$AG$1001,0),MATCH(COLUMNS($AN$1006:AW1006),$AN$1006:$BO$1006,0)), HYPERLINK("#",""), HYPERLINK(CONCATENATE("#Metadata!", ADDRESS(INDEX($AI$2:$AI$1001,MATCH(ROWS($AG$2:AG284),$AG$2:$AG$1001,0),0), INDEX($AN$1004:$BO$1004,1,MATCH(COLUMNS($AN$1006:AW1006),$AN$1006:$BO$1006,0)))),"Fix")))</f>
        <v>0</v>
      </c>
      <c r="L284" s="4">
        <f>IF(OR(INDEX($AH$2:$AH$1001,MATCH(ROWS($AG$2:AG284),$AG$2:$AG$1001,0),1)&gt;=100000,INDEX($AN$1005:$BO$1005,1,MATCH(COLUMNS($AN$1006:AX1006),$AN$1006:$BO$1006,0))&gt;=100000), " ",IF(INDEX($AN$2:$BO$1001,MATCH(ROWS($AG$2:AG284),$AG$2:$AG$1001,0),MATCH(COLUMNS($AN$1006:AX1006),$AN$1006:$BO$1006,0)), HYPERLINK("#",""), HYPERLINK(CONCATENATE("#Metadata!", ADDRESS(INDEX($AI$2:$AI$1001,MATCH(ROWS($AG$2:AG284),$AG$2:$AG$1001,0),0), INDEX($AN$1004:$BO$1004,1,MATCH(COLUMNS($AN$1006:AX1006),$AN$1006:$BO$1006,0)))),"Fix")))</f>
        <v>0</v>
      </c>
      <c r="M284" s="4">
        <f>IF(OR(INDEX($AH$2:$AH$1001,MATCH(ROWS($AG$2:AG284),$AG$2:$AG$1001,0),1)&gt;=100000,INDEX($AN$1005:$BO$1005,1,MATCH(COLUMNS($AN$1006:AY1006),$AN$1006:$BO$1006,0))&gt;=100000), " ",IF(INDEX($AN$2:$BO$1001,MATCH(ROWS($AG$2:AG284),$AG$2:$AG$1001,0),MATCH(COLUMNS($AN$1006:AY1006),$AN$1006:$BO$1006,0)), HYPERLINK("#",""), HYPERLINK(CONCATENATE("#Metadata!", ADDRESS(INDEX($AI$2:$AI$1001,MATCH(ROWS($AG$2:AG284),$AG$2:$AG$1001,0),0), INDEX($AN$1004:$BO$1004,1,MATCH(COLUMNS($AN$1006:AY1006),$AN$1006:$BO$1006,0)))),"Fix")))</f>
        <v>0</v>
      </c>
      <c r="N284" s="4">
        <f>IF(OR(INDEX($AH$2:$AH$1001,MATCH(ROWS($AG$2:AG284),$AG$2:$AG$1001,0),1)&gt;=100000,INDEX($AN$1005:$BO$1005,1,MATCH(COLUMNS($AN$1006:AZ1006),$AN$1006:$BO$1006,0))&gt;=100000), " ",IF(INDEX($AN$2:$BO$1001,MATCH(ROWS($AG$2:AG284),$AG$2:$AG$1001,0),MATCH(COLUMNS($AN$1006:AZ1006),$AN$1006:$BO$1006,0)), HYPERLINK("#",""), HYPERLINK(CONCATENATE("#Metadata!", ADDRESS(INDEX($AI$2:$AI$1001,MATCH(ROWS($AG$2:AG284),$AG$2:$AG$1001,0),0), INDEX($AN$1004:$BO$1004,1,MATCH(COLUMNS($AN$1006:AZ1006),$AN$1006:$BO$1006,0)))),"Fix")))</f>
        <v>0</v>
      </c>
      <c r="O284" s="4">
        <f>IF(OR(INDEX($AH$2:$AH$1001,MATCH(ROWS($AG$2:AG284),$AG$2:$AG$1001,0),1)&gt;=100000,INDEX($AN$1005:$BO$1005,1,MATCH(COLUMNS($AN$1006:BA1006),$AN$1006:$BO$1006,0))&gt;=100000), " ",IF(INDEX($AN$2:$BO$1001,MATCH(ROWS($AG$2:AG284),$AG$2:$AG$1001,0),MATCH(COLUMNS($AN$1006:BA1006),$AN$1006:$BO$1006,0)), HYPERLINK("#",""), HYPERLINK(CONCATENATE("#Metadata!", ADDRESS(INDEX($AI$2:$AI$1001,MATCH(ROWS($AG$2:AG284),$AG$2:$AG$1001,0),0), INDEX($AN$1004:$BO$1004,1,MATCH(COLUMNS($AN$1006:BA1006),$AN$1006:$BO$1006,0)))),"Fix")))</f>
        <v>0</v>
      </c>
      <c r="P284" s="4">
        <f>IF(OR(INDEX($AH$2:$AH$1001,MATCH(ROWS($AG$2:AG284),$AG$2:$AG$1001,0),1)&gt;=100000,INDEX($AN$1005:$BO$1005,1,MATCH(COLUMNS($AN$1006:BB1006),$AN$1006:$BO$1006,0))&gt;=100000), " ",IF(INDEX($AN$2:$BO$1001,MATCH(ROWS($AG$2:AG284),$AG$2:$AG$1001,0),MATCH(COLUMNS($AN$1006:BB1006),$AN$1006:$BO$1006,0)), HYPERLINK("#",""), HYPERLINK(CONCATENATE("#Metadata!", ADDRESS(INDEX($AI$2:$AI$1001,MATCH(ROWS($AG$2:AG284),$AG$2:$AG$1001,0),0), INDEX($AN$1004:$BO$1004,1,MATCH(COLUMNS($AN$1006:BB1006),$AN$1006:$BO$1006,0)))),"Fix")))</f>
        <v>0</v>
      </c>
      <c r="Q284" s="4">
        <f>IF(OR(INDEX($AH$2:$AH$1001,MATCH(ROWS($AG$2:AG284),$AG$2:$AG$1001,0),1)&gt;=100000,INDEX($AN$1005:$BO$1005,1,MATCH(COLUMNS($AN$1006:BC1006),$AN$1006:$BO$1006,0))&gt;=100000), " ",IF(INDEX($AN$2:$BO$1001,MATCH(ROWS($AG$2:AG284),$AG$2:$AG$1001,0),MATCH(COLUMNS($AN$1006:BC1006),$AN$1006:$BO$1006,0)), HYPERLINK("#",""), HYPERLINK(CONCATENATE("#Metadata!", ADDRESS(INDEX($AI$2:$AI$1001,MATCH(ROWS($AG$2:AG284),$AG$2:$AG$1001,0),0), INDEX($AN$1004:$BO$1004,1,MATCH(COLUMNS($AN$1006:BC1006),$AN$1006:$BO$1006,0)))),"Fix")))</f>
        <v>0</v>
      </c>
      <c r="R284" s="4">
        <f>IF(OR(INDEX($AH$2:$AH$1001,MATCH(ROWS($AG$2:AG284),$AG$2:$AG$1001,0),1)&gt;=100000,INDEX($AN$1005:$BO$1005,1,MATCH(COLUMNS($AN$1006:BD1006),$AN$1006:$BO$1006,0))&gt;=100000), " ",IF(INDEX($AN$2:$BO$1001,MATCH(ROWS($AG$2:AG284),$AG$2:$AG$1001,0),MATCH(COLUMNS($AN$1006:BD1006),$AN$1006:$BO$1006,0)), HYPERLINK("#",""), HYPERLINK(CONCATENATE("#Metadata!", ADDRESS(INDEX($AI$2:$AI$1001,MATCH(ROWS($AG$2:AG284),$AG$2:$AG$1001,0),0), INDEX($AN$1004:$BO$1004,1,MATCH(COLUMNS($AN$1006:BD1006),$AN$1006:$BO$1006,0)))),"Fix")))</f>
        <v>0</v>
      </c>
      <c r="S284" s="4">
        <f>IF(OR(INDEX($AH$2:$AH$1001,MATCH(ROWS($AG$2:AG284),$AG$2:$AG$1001,0),1)&gt;=100000,INDEX($AN$1005:$BO$1005,1,MATCH(COLUMNS($AN$1006:BE1006),$AN$1006:$BO$1006,0))&gt;=100000), " ",IF(INDEX($AN$2:$BO$1001,MATCH(ROWS($AG$2:AG284),$AG$2:$AG$1001,0),MATCH(COLUMNS($AN$1006:BE1006),$AN$1006:$BO$1006,0)), HYPERLINK("#",""), HYPERLINK(CONCATENATE("#Metadata!", ADDRESS(INDEX($AI$2:$AI$1001,MATCH(ROWS($AG$2:AG284),$AG$2:$AG$1001,0),0), INDEX($AN$1004:$BO$1004,1,MATCH(COLUMNS($AN$1006:BE1006),$AN$1006:$BO$1006,0)))),"Fix")))</f>
        <v>0</v>
      </c>
      <c r="T284" s="4">
        <f>IF(OR(INDEX($AH$2:$AH$1001,MATCH(ROWS($AG$2:AG284),$AG$2:$AG$1001,0),1)&gt;=100000,INDEX($AN$1005:$BO$1005,1,MATCH(COLUMNS($AN$1006:BF1006),$AN$1006:$BO$1006,0))&gt;=100000), " ",IF(INDEX($AN$2:$BO$1001,MATCH(ROWS($AG$2:AG284),$AG$2:$AG$1001,0),MATCH(COLUMNS($AN$1006:BF1006),$AN$1006:$BO$1006,0)), HYPERLINK("#",""), HYPERLINK(CONCATENATE("#Metadata!", ADDRESS(INDEX($AI$2:$AI$1001,MATCH(ROWS($AG$2:AG284),$AG$2:$AG$1001,0),0), INDEX($AN$1004:$BO$1004,1,MATCH(COLUMNS($AN$1006:BF1006),$AN$1006:$BO$1006,0)))),"Fix")))</f>
        <v>0</v>
      </c>
      <c r="U284" s="4">
        <f>IF(OR(INDEX($AH$2:$AH$1001,MATCH(ROWS($AG$2:AG284),$AG$2:$AG$1001,0),1)&gt;=100000,INDEX($AN$1005:$BO$1005,1,MATCH(COLUMNS($AN$1006:BG1006),$AN$1006:$BO$1006,0))&gt;=100000), " ",IF(INDEX($AN$2:$BO$1001,MATCH(ROWS($AG$2:AG284),$AG$2:$AG$1001,0),MATCH(COLUMNS($AN$1006:BG1006),$AN$1006:$BO$1006,0)), HYPERLINK("#",""), HYPERLINK(CONCATENATE("#Metadata!", ADDRESS(INDEX($AI$2:$AI$1001,MATCH(ROWS($AG$2:AG284),$AG$2:$AG$1001,0),0), INDEX($AN$1004:$BO$1004,1,MATCH(COLUMNS($AN$1006:BG1006),$AN$1006:$BO$1006,0)))),"Fix")))</f>
        <v>0</v>
      </c>
      <c r="V284" s="4">
        <f>IF(OR(INDEX($AH$2:$AH$1001,MATCH(ROWS($AG$2:AG284),$AG$2:$AG$1001,0),1)&gt;=100000,INDEX($AN$1005:$BO$1005,1,MATCH(COLUMNS($AN$1006:BH1006),$AN$1006:$BO$1006,0))&gt;=100000), " ",IF(INDEX($AN$2:$BO$1001,MATCH(ROWS($AG$2:AG284),$AG$2:$AG$1001,0),MATCH(COLUMNS($AN$1006:BH1006),$AN$1006:$BO$1006,0)), HYPERLINK("#",""), HYPERLINK(CONCATENATE("#Metadata!", ADDRESS(INDEX($AI$2:$AI$1001,MATCH(ROWS($AG$2:AG284),$AG$2:$AG$1001,0),0), INDEX($AN$1004:$BO$1004,1,MATCH(COLUMNS($AN$1006:BH1006),$AN$1006:$BO$1006,0)))),"Fix")))</f>
        <v>0</v>
      </c>
      <c r="W284" s="4">
        <f>IF(OR(INDEX($AH$2:$AH$1001,MATCH(ROWS($AG$2:AG284),$AG$2:$AG$1001,0),1)&gt;=100000,INDEX($AN$1005:$BO$1005,1,MATCH(COLUMNS($AN$1006:BI1006),$AN$1006:$BO$1006,0))&gt;=100000), " ",IF(INDEX($AN$2:$BO$1001,MATCH(ROWS($AG$2:AG284),$AG$2:$AG$1001,0),MATCH(COLUMNS($AN$1006:BI1006),$AN$1006:$BO$1006,0)), HYPERLINK("#",""), HYPERLINK(CONCATENATE("#Metadata!", ADDRESS(INDEX($AI$2:$AI$1001,MATCH(ROWS($AG$2:AG284),$AG$2:$AG$1001,0),0), INDEX($AN$1004:$BO$1004,1,MATCH(COLUMNS($AN$1006:BI1006),$AN$1006:$BO$1006,0)))),"Fix")))</f>
        <v>0</v>
      </c>
      <c r="X284" s="4">
        <f>IF(OR(INDEX($AH$2:$AH$1001,MATCH(ROWS($AG$2:AG284),$AG$2:$AG$1001,0),1)&gt;=100000,INDEX($AN$1005:$BO$1005,1,MATCH(COLUMNS($AN$1006:BJ1006),$AN$1006:$BO$1006,0))&gt;=100000), " ",IF(INDEX($AN$2:$BO$1001,MATCH(ROWS($AG$2:AG284),$AG$2:$AG$1001,0),MATCH(COLUMNS($AN$1006:BJ1006),$AN$1006:$BO$1006,0)), HYPERLINK("#",""), HYPERLINK(CONCATENATE("#Metadata!", ADDRESS(INDEX($AI$2:$AI$1001,MATCH(ROWS($AG$2:AG284),$AG$2:$AG$1001,0),0), INDEX($AN$1004:$BO$1004,1,MATCH(COLUMNS($AN$1006:BJ1006),$AN$1006:$BO$1006,0)))),"Fix")))</f>
        <v>0</v>
      </c>
      <c r="Y284" s="4">
        <f>IF(OR(INDEX($AH$2:$AH$1001,MATCH(ROWS($AG$2:AG284),$AG$2:$AG$1001,0),1)&gt;=100000,INDEX($AN$1005:$BO$1005,1,MATCH(COLUMNS($AN$1006:BK1006),$AN$1006:$BO$1006,0))&gt;=100000), " ",IF(INDEX($AN$2:$BO$1001,MATCH(ROWS($AG$2:AG284),$AG$2:$AG$1001,0),MATCH(COLUMNS($AN$1006:BK1006),$AN$1006:$BO$1006,0)), HYPERLINK("#",""), HYPERLINK(CONCATENATE("#Metadata!", ADDRESS(INDEX($AI$2:$AI$1001,MATCH(ROWS($AG$2:AG284),$AG$2:$AG$1001,0),0), INDEX($AN$1004:$BO$1004,1,MATCH(COLUMNS($AN$1006:BK1006),$AN$1006:$BO$1006,0)))),"Fix")))</f>
        <v>0</v>
      </c>
      <c r="Z284" s="4">
        <f>IF(OR(INDEX($AH$2:$AH$1001,MATCH(ROWS($AG$2:AG284),$AG$2:$AG$1001,0),1)&gt;=100000,INDEX($AN$1005:$BO$1005,1,MATCH(COLUMNS($AN$1006:BL1006),$AN$1006:$BO$1006,0))&gt;=100000), " ",IF(INDEX($AN$2:$BO$1001,MATCH(ROWS($AG$2:AG284),$AG$2:$AG$1001,0),MATCH(COLUMNS($AN$1006:BL1006),$AN$1006:$BO$1006,0)), HYPERLINK("#",""), HYPERLINK(CONCATENATE("#Metadata!", ADDRESS(INDEX($AI$2:$AI$1001,MATCH(ROWS($AG$2:AG284),$AG$2:$AG$1001,0),0), INDEX($AN$1004:$BO$1004,1,MATCH(COLUMNS($AN$1006:BL1006),$AN$1006:$BO$1006,0)))),"Fix")))</f>
        <v>0</v>
      </c>
      <c r="AA284" s="4">
        <f>IF(OR(INDEX($AH$2:$AH$1001,MATCH(ROWS($AG$2:AG284),$AG$2:$AG$1001,0),1)&gt;=100000,INDEX($AN$1005:$BO$1005,1,MATCH(COLUMNS($AN$1006:BM1006),$AN$1006:$BO$1006,0))&gt;=100000), " ",IF(INDEX($AN$2:$BO$1001,MATCH(ROWS($AG$2:AG284),$AG$2:$AG$1001,0),MATCH(COLUMNS($AN$1006:BM1006),$AN$1006:$BO$1006,0)), HYPERLINK("#",""), HYPERLINK(CONCATENATE("#Metadata!", ADDRESS(INDEX($AI$2:$AI$1001,MATCH(ROWS($AG$2:AG284),$AG$2:$AG$1001,0),0), INDEX($AN$1004:$BO$1004,1,MATCH(COLUMNS($AN$1006:BM1006),$AN$1006:$BO$1006,0)))),"Fix")))</f>
        <v>0</v>
      </c>
      <c r="AB284" s="4">
        <f>IF(OR(INDEX($AH$2:$AH$1001,MATCH(ROWS($AG$2:AG284),$AG$2:$AG$1001,0),1)&gt;=100000,INDEX($AN$1005:$BO$1005,1,MATCH(COLUMNS($AN$1006:BN1006),$AN$1006:$BO$1006,0))&gt;=100000), " ",IF(INDEX($AN$2:$BO$1001,MATCH(ROWS($AG$2:AG284),$AG$2:$AG$1001,0),MATCH(COLUMNS($AN$1006:BN1006),$AN$1006:$BO$1006,0)), HYPERLINK("#",""), HYPERLINK(CONCATENATE("#Metadata!", ADDRESS(INDEX($AI$2:$AI$1001,MATCH(ROWS($AG$2:AG284),$AG$2:$AG$1001,0),0), INDEX($AN$1004:$BO$1004,1,MATCH(COLUMNS($AN$1006:BN1006),$AN$1006:$BO$1006,0)))),"Fix")))</f>
        <v>0</v>
      </c>
      <c r="AC284" s="4">
        <f>IF(OR(INDEX($AH$2:$AH$1001,MATCH(ROWS($AG$2:AG284),$AG$2:$AG$1001,0),1)&gt;=100000,INDEX($AN$1005:$BO$1005,1,MATCH(COLUMNS($AN$1006:BO1006),$AN$1006:$BO$1006,0))&gt;=100000), " ",IF(INDEX($AN$2:$BO$1001,MATCH(ROWS($AG$2:AG284),$AG$2:$AG$1001,0),MATCH(COLUMNS($AN$1006:BO1006),$AN$1006:$BO$1006,0)), HYPERLINK("#",""), HYPERLINK(CONCATENATE("#Metadata!", ADDRESS(INDEX($AI$2:$AI$1001,MATCH(ROWS($AG$2:AG284),$AG$2:$AG$1001,0),0), INDEX($AN$1004:$BO$1004,1,MATCH(COLUMNS($AN$1006:BO1006),$AN$1006:$BO$1006,0)))),"Fix")))</f>
        <v>0</v>
      </c>
      <c r="AG284">
        <v>0</v>
      </c>
      <c r="AH284">
        <v>0</v>
      </c>
      <c r="AI284">
        <v>0</v>
      </c>
      <c r="AJ284">
        <f>IF(AK284,TRUE,AND(AN284:BO284))</f>
        <v>0</v>
      </c>
      <c r="AK284">
        <f>COUNTBLANK(Metadata!B284:AC284)=COLUMNS(Metadata!B284:AC284)</f>
        <v>0</v>
      </c>
      <c r="AL284">
        <v>0</v>
      </c>
      <c r="AN284">
        <f>AND(IF(Metadata!B284="",FALSE,TRUE),COUNTIF(Metadata!B:B, Metadata!B284) = 1,NOT(ISERROR(SUMPRODUCT(SEARCH(MID(Metadata!B284,ROW(INDIRECT("1:"&amp;LEN(Metadata!B284))), 1),"0123456789abcdefghijklmnopqrstuvwxyzABCDEFGHIJKLMNOPQRSTUVWXYZ.")))))</f>
        <v>0</v>
      </c>
      <c r="AO284">
        <f>IF(Metadata!C284="",FALSE,TRUE)</f>
        <v>0</v>
      </c>
      <c r="AP284">
        <f>IF(Metadata!D284="",FALSE,TRUE)</f>
        <v>0</v>
      </c>
      <c r="AQ284">
        <f>OR(AND(IF(Metadata!E284="",FALSE,TRUE),OR(exact(Metadata!E284,"not collected"),exact(Metadata!E284,"not provided"),exact(Metadata!E284,"restricted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R284">
        <f>IF(Metadata!F284="",FALSE,TRUE)</f>
        <v>0</v>
      </c>
      <c r="AS284">
        <f>OR(AND(IF(Metadata!G284="",FALSE,TRUE),OR(exact(Metadata!G284,"not collected"),exact(Metadata!G284,"not provided"))),AND(IF(Metadata!G284="",FALSE,TRUE),OR(exact(Metadata!G284,"TRUE"),exact(Metadata!G284,"FALSE"))))</f>
        <v>0</v>
      </c>
      <c r="AT284">
        <f>OR(AND(IF(Metadata!H284="",FALSE,TRUE),OR(exact(Metadata!H284,"not collected"),exact(Metadata!H284,"not provided"),exact(Metadata!H284,"restricted access"))),AND(IF(Metadata!H284="",FALSE,ISNUMBER(VALUE(Metadata!H284))),Metadata!H284&gt;=-413.0))</f>
        <v>0</v>
      </c>
      <c r="AU284">
        <f>AND(IF(Metadata!I284="",FALSE,TRUE),exact(Metadata!I284,"meters"))</f>
        <v>0</v>
      </c>
      <c r="AV284">
        <f>AND(IF(Metadata!J284="",FALSE,TRUE),OR(exact(Metadata!J284,"Host-associated"),exact(Metadata!J284,"Free-living")))</f>
        <v>0</v>
      </c>
      <c r="AW284">
        <f>AND(IF(Metadata!K284="",FALSE,TRUE),OR(exact(Metadata!K284,"Animal"),exact(Metadata!K284,"Fungus"),exact(Metadata!K284,"Plant"),exact(Metadata!K284,"Saline"),exact(Metadata!K284,"Non-saline")))</f>
        <v>0</v>
      </c>
      <c r="AX284">
        <f>AND(IF(Metadata!L284="",FALSE,TRUE),OR(exact(Metadata!L284,"Plant secretion"),exact(Metadata!L284,"Plant rhizosphere"),exact(Metadata!L284,"Plant surface"),exact(Metadata!L284,"Plant corpus"),exact(Metadata!L284,"Fungus surface"),exact(Metadata!L284,"Fungus corpus"),exact(Metadata!L284,"Animal surface"),exact(Metadata!L284,"Animal proximal gut"),exact(Metadata!L284,"Animal corpus"),exact(Metadata!L284,"Animal distal gut"),exact(Metadata!L284,"Animal secretion"),exact(Metadata!L284,"Sub-surface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Y284">
        <f>IF(Metadata!M284="",FALSE,TRUE)</f>
        <v>0</v>
      </c>
      <c r="AZ284">
        <f>IF(Metadata!N284="",FALSE,TRUE)</f>
        <v>0</v>
      </c>
      <c r="BA284">
        <f>IF(Metadata!O284="",FALSE,TRUE)</f>
        <v>0</v>
      </c>
      <c r="BB284">
        <f>OR(AND(IF(Metadata!P284="",FALSE,TRUE),OR(exact(Metadata!P284,"not collected"),exact(Metadata!P284,"not provided"),exact(Metadata!P284,"restricted access"))),AND(IF(Metadata!P284="",FALSE,TRUE),OR(exact(Metadata!P284,"air"),exact(Metadata!P284,"built environment"),exact(Metadata!P284,"host-associated"),exact(Metadata!P284,"human-associated"),exact(Metadata!P284,"human-skin"),exact(Metadata!P284,"human-oral"),exact(Metadata!P284,"human-gut"),exact(Metadata!P284,"human-vaginal"),exact(Metadata!P284,"microbial mat/biofilm"),exact(Metadata!P284,"misc environment"),exact(Metadata!P284,"plant-associated"),exact(Metadata!P284,"sediment"),exact(Metadata!P284,"soil"),exact(Metadata!P284,"wastewater/sludge"),exact(Metadata!P284,"water"))))</f>
        <v>0</v>
      </c>
      <c r="BC284">
        <f>IF(Metadata!Q284="",FALSE,TRUE)</f>
        <v>0</v>
      </c>
      <c r="BD284">
        <f>IF(Metadata!R284="",FALSE,TRUE)</f>
        <v>0</v>
      </c>
      <c r="BE284">
        <f>OR(AND(IF(Metadata!S284="",FALSE,TRUE),OR(exact(Metadata!S284,"not collected"),exact(Metadata!S284,"not provided"),exact(Metadata!S284,"restricted access"))),AND(IF(Metadata!S284="",FALSE,ISNUMBER(VALUE(Metadata!S284))),Metadata!S284&gt;=-90.00,Metadata!S284&lt;=90.00))</f>
        <v>0</v>
      </c>
      <c r="BF284">
        <f>AND(IF(Metadata!T284="",FALSE,TRUE),exact(Metadata!T284,"Decimal degrees"))</f>
        <v>0</v>
      </c>
      <c r="BG284">
        <f>OR(AND(IF(Metadata!U284="",FALSE,TRUE),OR(exact(Metadata!U284,"not collected"),exact(Metadata!U284,"not provided"),exact(Metadata!U284,"restricted access"))),AND(IF(Metadata!U284="",FALSE,ISNUMBER(VALUE(Metadata!U284))),Metadata!U284&gt;=-180.00,Metadata!U284&lt;=180.00))</f>
        <v>0</v>
      </c>
      <c r="BH284">
        <f>AND(IF(Metadata!V284="",FALSE,TRUE),exact(Metadata!V284,"Decimal degrees"))</f>
        <v>0</v>
      </c>
      <c r="BI284">
        <f>IF(Metadata!W284="",FALSE,TRUE)</f>
        <v>0</v>
      </c>
      <c r="BJ284">
        <f>OR(AND(IF(Metadata!X284="",FALSE,TRUE),OR(exact(Metadata!X284,"not collected"),exact(Metadata!X284,"not provided"),exact(Metadata!X284,"restricted access"))),AND(IF(Metadata!X284="",FALSE,TRUE),OR(exact(Metadata!X284,"TRUE"),exact(Metadata!X284,"FALSE"))))</f>
        <v>0</v>
      </c>
      <c r="BK284">
        <f>AND(IF(Metadata!Y284="",FALSE,TRUE),exact(Metadata!Y284,"other"))</f>
        <v>0</v>
      </c>
      <c r="BL284">
        <f>IF(Metadata!Z284="",FALSE,TRUE)</f>
        <v>0</v>
      </c>
      <c r="BM284">
        <f>OR(AND(IF(Metadata!AA284="",FALSE,TRUE),OR(exact(Metadata!AA284,"not collected"),exact(Metadata!AA284,"not provided"))),AND(IF(Metadata!AA284="",FALSE,IF(ISERROR(INT(Metadata!AA284)),FALSE,INT(Metadata!AA284)=Metadata!AA284)),Metadata!AA284&gt;0))</f>
        <v>0</v>
      </c>
      <c r="BN284">
        <f>AND(IF(Metadata!AB284="",FALSE,TRUE),exact(Metadata!AB284,"Not applicable"))</f>
        <v>0</v>
      </c>
      <c r="BO284">
        <f>IF(Metadata!AC284="",FALSE,TRUE)</f>
        <v>0</v>
      </c>
    </row>
    <row r="285" spans="1:67">
      <c r="A285" s="5">
        <f>IF(B285=" "," ",HYPERLINK(CONCATENATE("#metadata!",ADDRESS(INDEX($AI$2:$AI$1001,MATCH(ROWS($AG$2:AG285),$AG$2:$AG$1001,0),0),1)),INDEX($AL$2:$AL$1001,MATCH(ROWS($AG$2:AG285),$AG$2:$AG$1001,0),0)))</f>
        <v>0</v>
      </c>
      <c r="B285" s="4">
        <f>IF(OR(INDEX($AH$2:$AH$1001,MATCH(ROWS($AG$2:AG285),$AG$2:$AG$1001,0),1)&gt;=100000,INDEX($AN$1005:$BO$1005,1,MATCH(COLUMNS($AN$1006:AN1006),$AN$1006:$BO$1006,0))&gt;=100000), " ",IF(INDEX($AN$2:$BO$1001,MATCH(ROWS($AG$2:AG285),$AG$2:$AG$1001,0),MATCH(COLUMNS($AN$1006:AN1006),$AN$1006:$BO$1006,0)), HYPERLINK("#",""), HYPERLINK(CONCATENATE("#Metadata!", ADDRESS(INDEX($AI$2:$AI$1001,MATCH(ROWS($AG$2:AG285),$AG$2:$AG$1001,0),0), INDEX($AN$1004:$BO$1004,1,MATCH(COLUMNS($AN$1006:AN1006),$AN$1006:$BO$1006,0)))),"Fix")))</f>
        <v>0</v>
      </c>
      <c r="C285" s="4">
        <f>IF(OR(INDEX($AH$2:$AH$1001,MATCH(ROWS($AG$2:AG285),$AG$2:$AG$1001,0),1)&gt;=100000,INDEX($AN$1005:$BO$1005,1,MATCH(COLUMNS($AN$1006:AO1006),$AN$1006:$BO$1006,0))&gt;=100000), " ",IF(INDEX($AN$2:$BO$1001,MATCH(ROWS($AG$2:AG285),$AG$2:$AG$1001,0),MATCH(COLUMNS($AN$1006:AO1006),$AN$1006:$BO$1006,0)), HYPERLINK("#",""), HYPERLINK(CONCATENATE("#Metadata!", ADDRESS(INDEX($AI$2:$AI$1001,MATCH(ROWS($AG$2:AG285),$AG$2:$AG$1001,0),0), INDEX($AN$1004:$BO$1004,1,MATCH(COLUMNS($AN$1006:AO1006),$AN$1006:$BO$1006,0)))),"Fix")))</f>
        <v>0</v>
      </c>
      <c r="D285" s="4">
        <f>IF(OR(INDEX($AH$2:$AH$1001,MATCH(ROWS($AG$2:AG285),$AG$2:$AG$1001,0),1)&gt;=100000,INDEX($AN$1005:$BO$1005,1,MATCH(COLUMNS($AN$1006:AP1006),$AN$1006:$BO$1006,0))&gt;=100000), " ",IF(INDEX($AN$2:$BO$1001,MATCH(ROWS($AG$2:AG285),$AG$2:$AG$1001,0),MATCH(COLUMNS($AN$1006:AP1006),$AN$1006:$BO$1006,0)), HYPERLINK("#",""), HYPERLINK(CONCATENATE("#Metadata!", ADDRESS(INDEX($AI$2:$AI$1001,MATCH(ROWS($AG$2:AG285),$AG$2:$AG$1001,0),0), INDEX($AN$1004:$BO$1004,1,MATCH(COLUMNS($AN$1006:AP1006),$AN$1006:$BO$1006,0)))),"Fix")))</f>
        <v>0</v>
      </c>
      <c r="E285" s="4">
        <f>IF(OR(INDEX($AH$2:$AH$1001,MATCH(ROWS($AG$2:AG285),$AG$2:$AG$1001,0),1)&gt;=100000,INDEX($AN$1005:$BO$1005,1,MATCH(COLUMNS($AN$1006:AQ1006),$AN$1006:$BO$1006,0))&gt;=100000), " ",IF(INDEX($AN$2:$BO$1001,MATCH(ROWS($AG$2:AG285),$AG$2:$AG$1001,0),MATCH(COLUMNS($AN$1006:AQ1006),$AN$1006:$BO$1006,0)), HYPERLINK("#",""), HYPERLINK(CONCATENATE("#Metadata!", ADDRESS(INDEX($AI$2:$AI$1001,MATCH(ROWS($AG$2:AG285),$AG$2:$AG$1001,0),0), INDEX($AN$1004:$BO$1004,1,MATCH(COLUMNS($AN$1006:AQ1006),$AN$1006:$BO$1006,0)))),"Fix")))</f>
        <v>0</v>
      </c>
      <c r="F285" s="4">
        <f>IF(OR(INDEX($AH$2:$AH$1001,MATCH(ROWS($AG$2:AG285),$AG$2:$AG$1001,0),1)&gt;=100000,INDEX($AN$1005:$BO$1005,1,MATCH(COLUMNS($AN$1006:AR1006),$AN$1006:$BO$1006,0))&gt;=100000), " ",IF(INDEX($AN$2:$BO$1001,MATCH(ROWS($AG$2:AG285),$AG$2:$AG$1001,0),MATCH(COLUMNS($AN$1006:AR1006),$AN$1006:$BO$1006,0)), HYPERLINK("#",""), HYPERLINK(CONCATENATE("#Metadata!", ADDRESS(INDEX($AI$2:$AI$1001,MATCH(ROWS($AG$2:AG285),$AG$2:$AG$1001,0),0), INDEX($AN$1004:$BO$1004,1,MATCH(COLUMNS($AN$1006:AR1006),$AN$1006:$BO$1006,0)))),"Fix")))</f>
        <v>0</v>
      </c>
      <c r="G285" s="4">
        <f>IF(OR(INDEX($AH$2:$AH$1001,MATCH(ROWS($AG$2:AG285),$AG$2:$AG$1001,0),1)&gt;=100000,INDEX($AN$1005:$BO$1005,1,MATCH(COLUMNS($AN$1006:AS1006),$AN$1006:$BO$1006,0))&gt;=100000), " ",IF(INDEX($AN$2:$BO$1001,MATCH(ROWS($AG$2:AG285),$AG$2:$AG$1001,0),MATCH(COLUMNS($AN$1006:AS1006),$AN$1006:$BO$1006,0)), HYPERLINK("#",""), HYPERLINK(CONCATENATE("#Metadata!", ADDRESS(INDEX($AI$2:$AI$1001,MATCH(ROWS($AG$2:AG285),$AG$2:$AG$1001,0),0), INDEX($AN$1004:$BO$1004,1,MATCH(COLUMNS($AN$1006:AS1006),$AN$1006:$BO$1006,0)))),"Fix")))</f>
        <v>0</v>
      </c>
      <c r="H285" s="4">
        <f>IF(OR(INDEX($AH$2:$AH$1001,MATCH(ROWS($AG$2:AG285),$AG$2:$AG$1001,0),1)&gt;=100000,INDEX($AN$1005:$BO$1005,1,MATCH(COLUMNS($AN$1006:AT1006),$AN$1006:$BO$1006,0))&gt;=100000), " ",IF(INDEX($AN$2:$BO$1001,MATCH(ROWS($AG$2:AG285),$AG$2:$AG$1001,0),MATCH(COLUMNS($AN$1006:AT1006),$AN$1006:$BO$1006,0)), HYPERLINK("#",""), HYPERLINK(CONCATENATE("#Metadata!", ADDRESS(INDEX($AI$2:$AI$1001,MATCH(ROWS($AG$2:AG285),$AG$2:$AG$1001,0),0), INDEX($AN$1004:$BO$1004,1,MATCH(COLUMNS($AN$1006:AT1006),$AN$1006:$BO$1006,0)))),"Fix")))</f>
        <v>0</v>
      </c>
      <c r="I285" s="4">
        <f>IF(OR(INDEX($AH$2:$AH$1001,MATCH(ROWS($AG$2:AG285),$AG$2:$AG$1001,0),1)&gt;=100000,INDEX($AN$1005:$BO$1005,1,MATCH(COLUMNS($AN$1006:AU1006),$AN$1006:$BO$1006,0))&gt;=100000), " ",IF(INDEX($AN$2:$BO$1001,MATCH(ROWS($AG$2:AG285),$AG$2:$AG$1001,0),MATCH(COLUMNS($AN$1006:AU1006),$AN$1006:$BO$1006,0)), HYPERLINK("#",""), HYPERLINK(CONCATENATE("#Metadata!", ADDRESS(INDEX($AI$2:$AI$1001,MATCH(ROWS($AG$2:AG285),$AG$2:$AG$1001,0),0), INDEX($AN$1004:$BO$1004,1,MATCH(COLUMNS($AN$1006:AU1006),$AN$1006:$BO$1006,0)))),"Fix")))</f>
        <v>0</v>
      </c>
      <c r="J285" s="4">
        <f>IF(OR(INDEX($AH$2:$AH$1001,MATCH(ROWS($AG$2:AG285),$AG$2:$AG$1001,0),1)&gt;=100000,INDEX($AN$1005:$BO$1005,1,MATCH(COLUMNS($AN$1006:AV1006),$AN$1006:$BO$1006,0))&gt;=100000), " ",IF(INDEX($AN$2:$BO$1001,MATCH(ROWS($AG$2:AG285),$AG$2:$AG$1001,0),MATCH(COLUMNS($AN$1006:AV1006),$AN$1006:$BO$1006,0)), HYPERLINK("#",""), HYPERLINK(CONCATENATE("#Metadata!", ADDRESS(INDEX($AI$2:$AI$1001,MATCH(ROWS($AG$2:AG285),$AG$2:$AG$1001,0),0), INDEX($AN$1004:$BO$1004,1,MATCH(COLUMNS($AN$1006:AV1006),$AN$1006:$BO$1006,0)))),"Fix")))</f>
        <v>0</v>
      </c>
      <c r="K285" s="4">
        <f>IF(OR(INDEX($AH$2:$AH$1001,MATCH(ROWS($AG$2:AG285),$AG$2:$AG$1001,0),1)&gt;=100000,INDEX($AN$1005:$BO$1005,1,MATCH(COLUMNS($AN$1006:AW1006),$AN$1006:$BO$1006,0))&gt;=100000), " ",IF(INDEX($AN$2:$BO$1001,MATCH(ROWS($AG$2:AG285),$AG$2:$AG$1001,0),MATCH(COLUMNS($AN$1006:AW1006),$AN$1006:$BO$1006,0)), HYPERLINK("#",""), HYPERLINK(CONCATENATE("#Metadata!", ADDRESS(INDEX($AI$2:$AI$1001,MATCH(ROWS($AG$2:AG285),$AG$2:$AG$1001,0),0), INDEX($AN$1004:$BO$1004,1,MATCH(COLUMNS($AN$1006:AW1006),$AN$1006:$BO$1006,0)))),"Fix")))</f>
        <v>0</v>
      </c>
      <c r="L285" s="4">
        <f>IF(OR(INDEX($AH$2:$AH$1001,MATCH(ROWS($AG$2:AG285),$AG$2:$AG$1001,0),1)&gt;=100000,INDEX($AN$1005:$BO$1005,1,MATCH(COLUMNS($AN$1006:AX1006),$AN$1006:$BO$1006,0))&gt;=100000), " ",IF(INDEX($AN$2:$BO$1001,MATCH(ROWS($AG$2:AG285),$AG$2:$AG$1001,0),MATCH(COLUMNS($AN$1006:AX1006),$AN$1006:$BO$1006,0)), HYPERLINK("#",""), HYPERLINK(CONCATENATE("#Metadata!", ADDRESS(INDEX($AI$2:$AI$1001,MATCH(ROWS($AG$2:AG285),$AG$2:$AG$1001,0),0), INDEX($AN$1004:$BO$1004,1,MATCH(COLUMNS($AN$1006:AX1006),$AN$1006:$BO$1006,0)))),"Fix")))</f>
        <v>0</v>
      </c>
      <c r="M285" s="4">
        <f>IF(OR(INDEX($AH$2:$AH$1001,MATCH(ROWS($AG$2:AG285),$AG$2:$AG$1001,0),1)&gt;=100000,INDEX($AN$1005:$BO$1005,1,MATCH(COLUMNS($AN$1006:AY1006),$AN$1006:$BO$1006,0))&gt;=100000), " ",IF(INDEX($AN$2:$BO$1001,MATCH(ROWS($AG$2:AG285),$AG$2:$AG$1001,0),MATCH(COLUMNS($AN$1006:AY1006),$AN$1006:$BO$1006,0)), HYPERLINK("#",""), HYPERLINK(CONCATENATE("#Metadata!", ADDRESS(INDEX($AI$2:$AI$1001,MATCH(ROWS($AG$2:AG285),$AG$2:$AG$1001,0),0), INDEX($AN$1004:$BO$1004,1,MATCH(COLUMNS($AN$1006:AY1006),$AN$1006:$BO$1006,0)))),"Fix")))</f>
        <v>0</v>
      </c>
      <c r="N285" s="4">
        <f>IF(OR(INDEX($AH$2:$AH$1001,MATCH(ROWS($AG$2:AG285),$AG$2:$AG$1001,0),1)&gt;=100000,INDEX($AN$1005:$BO$1005,1,MATCH(COLUMNS($AN$1006:AZ1006),$AN$1006:$BO$1006,0))&gt;=100000), " ",IF(INDEX($AN$2:$BO$1001,MATCH(ROWS($AG$2:AG285),$AG$2:$AG$1001,0),MATCH(COLUMNS($AN$1006:AZ1006),$AN$1006:$BO$1006,0)), HYPERLINK("#",""), HYPERLINK(CONCATENATE("#Metadata!", ADDRESS(INDEX($AI$2:$AI$1001,MATCH(ROWS($AG$2:AG285),$AG$2:$AG$1001,0),0), INDEX($AN$1004:$BO$1004,1,MATCH(COLUMNS($AN$1006:AZ1006),$AN$1006:$BO$1006,0)))),"Fix")))</f>
        <v>0</v>
      </c>
      <c r="O285" s="4">
        <f>IF(OR(INDEX($AH$2:$AH$1001,MATCH(ROWS($AG$2:AG285),$AG$2:$AG$1001,0),1)&gt;=100000,INDEX($AN$1005:$BO$1005,1,MATCH(COLUMNS($AN$1006:BA1006),$AN$1006:$BO$1006,0))&gt;=100000), " ",IF(INDEX($AN$2:$BO$1001,MATCH(ROWS($AG$2:AG285),$AG$2:$AG$1001,0),MATCH(COLUMNS($AN$1006:BA1006),$AN$1006:$BO$1006,0)), HYPERLINK("#",""), HYPERLINK(CONCATENATE("#Metadata!", ADDRESS(INDEX($AI$2:$AI$1001,MATCH(ROWS($AG$2:AG285),$AG$2:$AG$1001,0),0), INDEX($AN$1004:$BO$1004,1,MATCH(COLUMNS($AN$1006:BA1006),$AN$1006:$BO$1006,0)))),"Fix")))</f>
        <v>0</v>
      </c>
      <c r="P285" s="4">
        <f>IF(OR(INDEX($AH$2:$AH$1001,MATCH(ROWS($AG$2:AG285),$AG$2:$AG$1001,0),1)&gt;=100000,INDEX($AN$1005:$BO$1005,1,MATCH(COLUMNS($AN$1006:BB1006),$AN$1006:$BO$1006,0))&gt;=100000), " ",IF(INDEX($AN$2:$BO$1001,MATCH(ROWS($AG$2:AG285),$AG$2:$AG$1001,0),MATCH(COLUMNS($AN$1006:BB1006),$AN$1006:$BO$1006,0)), HYPERLINK("#",""), HYPERLINK(CONCATENATE("#Metadata!", ADDRESS(INDEX($AI$2:$AI$1001,MATCH(ROWS($AG$2:AG285),$AG$2:$AG$1001,0),0), INDEX($AN$1004:$BO$1004,1,MATCH(COLUMNS($AN$1006:BB1006),$AN$1006:$BO$1006,0)))),"Fix")))</f>
        <v>0</v>
      </c>
      <c r="Q285" s="4">
        <f>IF(OR(INDEX($AH$2:$AH$1001,MATCH(ROWS($AG$2:AG285),$AG$2:$AG$1001,0),1)&gt;=100000,INDEX($AN$1005:$BO$1005,1,MATCH(COLUMNS($AN$1006:BC1006),$AN$1006:$BO$1006,0))&gt;=100000), " ",IF(INDEX($AN$2:$BO$1001,MATCH(ROWS($AG$2:AG285),$AG$2:$AG$1001,0),MATCH(COLUMNS($AN$1006:BC1006),$AN$1006:$BO$1006,0)), HYPERLINK("#",""), HYPERLINK(CONCATENATE("#Metadata!", ADDRESS(INDEX($AI$2:$AI$1001,MATCH(ROWS($AG$2:AG285),$AG$2:$AG$1001,0),0), INDEX($AN$1004:$BO$1004,1,MATCH(COLUMNS($AN$1006:BC1006),$AN$1006:$BO$1006,0)))),"Fix")))</f>
        <v>0</v>
      </c>
      <c r="R285" s="4">
        <f>IF(OR(INDEX($AH$2:$AH$1001,MATCH(ROWS($AG$2:AG285),$AG$2:$AG$1001,0),1)&gt;=100000,INDEX($AN$1005:$BO$1005,1,MATCH(COLUMNS($AN$1006:BD1006),$AN$1006:$BO$1006,0))&gt;=100000), " ",IF(INDEX($AN$2:$BO$1001,MATCH(ROWS($AG$2:AG285),$AG$2:$AG$1001,0),MATCH(COLUMNS($AN$1006:BD1006),$AN$1006:$BO$1006,0)), HYPERLINK("#",""), HYPERLINK(CONCATENATE("#Metadata!", ADDRESS(INDEX($AI$2:$AI$1001,MATCH(ROWS($AG$2:AG285),$AG$2:$AG$1001,0),0), INDEX($AN$1004:$BO$1004,1,MATCH(COLUMNS($AN$1006:BD1006),$AN$1006:$BO$1006,0)))),"Fix")))</f>
        <v>0</v>
      </c>
      <c r="S285" s="4">
        <f>IF(OR(INDEX($AH$2:$AH$1001,MATCH(ROWS($AG$2:AG285),$AG$2:$AG$1001,0),1)&gt;=100000,INDEX($AN$1005:$BO$1005,1,MATCH(COLUMNS($AN$1006:BE1006),$AN$1006:$BO$1006,0))&gt;=100000), " ",IF(INDEX($AN$2:$BO$1001,MATCH(ROWS($AG$2:AG285),$AG$2:$AG$1001,0),MATCH(COLUMNS($AN$1006:BE1006),$AN$1006:$BO$1006,0)), HYPERLINK("#",""), HYPERLINK(CONCATENATE("#Metadata!", ADDRESS(INDEX($AI$2:$AI$1001,MATCH(ROWS($AG$2:AG285),$AG$2:$AG$1001,0),0), INDEX($AN$1004:$BO$1004,1,MATCH(COLUMNS($AN$1006:BE1006),$AN$1006:$BO$1006,0)))),"Fix")))</f>
        <v>0</v>
      </c>
      <c r="T285" s="4">
        <f>IF(OR(INDEX($AH$2:$AH$1001,MATCH(ROWS($AG$2:AG285),$AG$2:$AG$1001,0),1)&gt;=100000,INDEX($AN$1005:$BO$1005,1,MATCH(COLUMNS($AN$1006:BF1006),$AN$1006:$BO$1006,0))&gt;=100000), " ",IF(INDEX($AN$2:$BO$1001,MATCH(ROWS($AG$2:AG285),$AG$2:$AG$1001,0),MATCH(COLUMNS($AN$1006:BF1006),$AN$1006:$BO$1006,0)), HYPERLINK("#",""), HYPERLINK(CONCATENATE("#Metadata!", ADDRESS(INDEX($AI$2:$AI$1001,MATCH(ROWS($AG$2:AG285),$AG$2:$AG$1001,0),0), INDEX($AN$1004:$BO$1004,1,MATCH(COLUMNS($AN$1006:BF1006),$AN$1006:$BO$1006,0)))),"Fix")))</f>
        <v>0</v>
      </c>
      <c r="U285" s="4">
        <f>IF(OR(INDEX($AH$2:$AH$1001,MATCH(ROWS($AG$2:AG285),$AG$2:$AG$1001,0),1)&gt;=100000,INDEX($AN$1005:$BO$1005,1,MATCH(COLUMNS($AN$1006:BG1006),$AN$1006:$BO$1006,0))&gt;=100000), " ",IF(INDEX($AN$2:$BO$1001,MATCH(ROWS($AG$2:AG285),$AG$2:$AG$1001,0),MATCH(COLUMNS($AN$1006:BG1006),$AN$1006:$BO$1006,0)), HYPERLINK("#",""), HYPERLINK(CONCATENATE("#Metadata!", ADDRESS(INDEX($AI$2:$AI$1001,MATCH(ROWS($AG$2:AG285),$AG$2:$AG$1001,0),0), INDEX($AN$1004:$BO$1004,1,MATCH(COLUMNS($AN$1006:BG1006),$AN$1006:$BO$1006,0)))),"Fix")))</f>
        <v>0</v>
      </c>
      <c r="V285" s="4">
        <f>IF(OR(INDEX($AH$2:$AH$1001,MATCH(ROWS($AG$2:AG285),$AG$2:$AG$1001,0),1)&gt;=100000,INDEX($AN$1005:$BO$1005,1,MATCH(COLUMNS($AN$1006:BH1006),$AN$1006:$BO$1006,0))&gt;=100000), " ",IF(INDEX($AN$2:$BO$1001,MATCH(ROWS($AG$2:AG285),$AG$2:$AG$1001,0),MATCH(COLUMNS($AN$1006:BH1006),$AN$1006:$BO$1006,0)), HYPERLINK("#",""), HYPERLINK(CONCATENATE("#Metadata!", ADDRESS(INDEX($AI$2:$AI$1001,MATCH(ROWS($AG$2:AG285),$AG$2:$AG$1001,0),0), INDEX($AN$1004:$BO$1004,1,MATCH(COLUMNS($AN$1006:BH1006),$AN$1006:$BO$1006,0)))),"Fix")))</f>
        <v>0</v>
      </c>
      <c r="W285" s="4">
        <f>IF(OR(INDEX($AH$2:$AH$1001,MATCH(ROWS($AG$2:AG285),$AG$2:$AG$1001,0),1)&gt;=100000,INDEX($AN$1005:$BO$1005,1,MATCH(COLUMNS($AN$1006:BI1006),$AN$1006:$BO$1006,0))&gt;=100000), " ",IF(INDEX($AN$2:$BO$1001,MATCH(ROWS($AG$2:AG285),$AG$2:$AG$1001,0),MATCH(COLUMNS($AN$1006:BI1006),$AN$1006:$BO$1006,0)), HYPERLINK("#",""), HYPERLINK(CONCATENATE("#Metadata!", ADDRESS(INDEX($AI$2:$AI$1001,MATCH(ROWS($AG$2:AG285),$AG$2:$AG$1001,0),0), INDEX($AN$1004:$BO$1004,1,MATCH(COLUMNS($AN$1006:BI1006),$AN$1006:$BO$1006,0)))),"Fix")))</f>
        <v>0</v>
      </c>
      <c r="X285" s="4">
        <f>IF(OR(INDEX($AH$2:$AH$1001,MATCH(ROWS($AG$2:AG285),$AG$2:$AG$1001,0),1)&gt;=100000,INDEX($AN$1005:$BO$1005,1,MATCH(COLUMNS($AN$1006:BJ1006),$AN$1006:$BO$1006,0))&gt;=100000), " ",IF(INDEX($AN$2:$BO$1001,MATCH(ROWS($AG$2:AG285),$AG$2:$AG$1001,0),MATCH(COLUMNS($AN$1006:BJ1006),$AN$1006:$BO$1006,0)), HYPERLINK("#",""), HYPERLINK(CONCATENATE("#Metadata!", ADDRESS(INDEX($AI$2:$AI$1001,MATCH(ROWS($AG$2:AG285),$AG$2:$AG$1001,0),0), INDEX($AN$1004:$BO$1004,1,MATCH(COLUMNS($AN$1006:BJ1006),$AN$1006:$BO$1006,0)))),"Fix")))</f>
        <v>0</v>
      </c>
      <c r="Y285" s="4">
        <f>IF(OR(INDEX($AH$2:$AH$1001,MATCH(ROWS($AG$2:AG285),$AG$2:$AG$1001,0),1)&gt;=100000,INDEX($AN$1005:$BO$1005,1,MATCH(COLUMNS($AN$1006:BK1006),$AN$1006:$BO$1006,0))&gt;=100000), " ",IF(INDEX($AN$2:$BO$1001,MATCH(ROWS($AG$2:AG285),$AG$2:$AG$1001,0),MATCH(COLUMNS($AN$1006:BK1006),$AN$1006:$BO$1006,0)), HYPERLINK("#",""), HYPERLINK(CONCATENATE("#Metadata!", ADDRESS(INDEX($AI$2:$AI$1001,MATCH(ROWS($AG$2:AG285),$AG$2:$AG$1001,0),0), INDEX($AN$1004:$BO$1004,1,MATCH(COLUMNS($AN$1006:BK1006),$AN$1006:$BO$1006,0)))),"Fix")))</f>
        <v>0</v>
      </c>
      <c r="Z285" s="4">
        <f>IF(OR(INDEX($AH$2:$AH$1001,MATCH(ROWS($AG$2:AG285),$AG$2:$AG$1001,0),1)&gt;=100000,INDEX($AN$1005:$BO$1005,1,MATCH(COLUMNS($AN$1006:BL1006),$AN$1006:$BO$1006,0))&gt;=100000), " ",IF(INDEX($AN$2:$BO$1001,MATCH(ROWS($AG$2:AG285),$AG$2:$AG$1001,0),MATCH(COLUMNS($AN$1006:BL1006),$AN$1006:$BO$1006,0)), HYPERLINK("#",""), HYPERLINK(CONCATENATE("#Metadata!", ADDRESS(INDEX($AI$2:$AI$1001,MATCH(ROWS($AG$2:AG285),$AG$2:$AG$1001,0),0), INDEX($AN$1004:$BO$1004,1,MATCH(COLUMNS($AN$1006:BL1006),$AN$1006:$BO$1006,0)))),"Fix")))</f>
        <v>0</v>
      </c>
      <c r="AA285" s="4">
        <f>IF(OR(INDEX($AH$2:$AH$1001,MATCH(ROWS($AG$2:AG285),$AG$2:$AG$1001,0),1)&gt;=100000,INDEX($AN$1005:$BO$1005,1,MATCH(COLUMNS($AN$1006:BM1006),$AN$1006:$BO$1006,0))&gt;=100000), " ",IF(INDEX($AN$2:$BO$1001,MATCH(ROWS($AG$2:AG285),$AG$2:$AG$1001,0),MATCH(COLUMNS($AN$1006:BM1006),$AN$1006:$BO$1006,0)), HYPERLINK("#",""), HYPERLINK(CONCATENATE("#Metadata!", ADDRESS(INDEX($AI$2:$AI$1001,MATCH(ROWS($AG$2:AG285),$AG$2:$AG$1001,0),0), INDEX($AN$1004:$BO$1004,1,MATCH(COLUMNS($AN$1006:BM1006),$AN$1006:$BO$1006,0)))),"Fix")))</f>
        <v>0</v>
      </c>
      <c r="AB285" s="4">
        <f>IF(OR(INDEX($AH$2:$AH$1001,MATCH(ROWS($AG$2:AG285),$AG$2:$AG$1001,0),1)&gt;=100000,INDEX($AN$1005:$BO$1005,1,MATCH(COLUMNS($AN$1006:BN1006),$AN$1006:$BO$1006,0))&gt;=100000), " ",IF(INDEX($AN$2:$BO$1001,MATCH(ROWS($AG$2:AG285),$AG$2:$AG$1001,0),MATCH(COLUMNS($AN$1006:BN1006),$AN$1006:$BO$1006,0)), HYPERLINK("#",""), HYPERLINK(CONCATENATE("#Metadata!", ADDRESS(INDEX($AI$2:$AI$1001,MATCH(ROWS($AG$2:AG285),$AG$2:$AG$1001,0),0), INDEX($AN$1004:$BO$1004,1,MATCH(COLUMNS($AN$1006:BN1006),$AN$1006:$BO$1006,0)))),"Fix")))</f>
        <v>0</v>
      </c>
      <c r="AC285" s="4">
        <f>IF(OR(INDEX($AH$2:$AH$1001,MATCH(ROWS($AG$2:AG285),$AG$2:$AG$1001,0),1)&gt;=100000,INDEX($AN$1005:$BO$1005,1,MATCH(COLUMNS($AN$1006:BO1006),$AN$1006:$BO$1006,0))&gt;=100000), " ",IF(INDEX($AN$2:$BO$1001,MATCH(ROWS($AG$2:AG285),$AG$2:$AG$1001,0),MATCH(COLUMNS($AN$1006:BO1006),$AN$1006:$BO$1006,0)), HYPERLINK("#",""), HYPERLINK(CONCATENATE("#Metadata!", ADDRESS(INDEX($AI$2:$AI$1001,MATCH(ROWS($AG$2:AG285),$AG$2:$AG$1001,0),0), INDEX($AN$1004:$BO$1004,1,MATCH(COLUMNS($AN$1006:BO1006),$AN$1006:$BO$1006,0)))),"Fix")))</f>
        <v>0</v>
      </c>
      <c r="AG285">
        <v>0</v>
      </c>
      <c r="AH285">
        <v>0</v>
      </c>
      <c r="AI285">
        <v>0</v>
      </c>
      <c r="AJ285">
        <f>IF(AK285,TRUE,AND(AN285:BO285))</f>
        <v>0</v>
      </c>
      <c r="AK285">
        <f>COUNTBLANK(Metadata!B285:AC285)=COLUMNS(Metadata!B285:AC285)</f>
        <v>0</v>
      </c>
      <c r="AL285">
        <v>0</v>
      </c>
      <c r="AN285">
        <f>AND(IF(Metadata!B285="",FALSE,TRUE),COUNTIF(Metadata!B:B, Metadata!B285) = 1,NOT(ISERROR(SUMPRODUCT(SEARCH(MID(Metadata!B285,ROW(INDIRECT("1:"&amp;LEN(Metadata!B285))), 1),"0123456789abcdefghijklmnopqrstuvwxyzABCDEFGHIJKLMNOPQRSTUVWXYZ.")))))</f>
        <v>0</v>
      </c>
      <c r="AO285">
        <f>IF(Metadata!C285="",FALSE,TRUE)</f>
        <v>0</v>
      </c>
      <c r="AP285">
        <f>IF(Metadata!D285="",FALSE,TRUE)</f>
        <v>0</v>
      </c>
      <c r="AQ285">
        <f>OR(AND(IF(Metadata!E285="",FALSE,TRUE),OR(exact(Metadata!E285,"not collected"),exact(Metadata!E285,"not provided"),exact(Metadata!E285,"restricted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R285">
        <f>IF(Metadata!F285="",FALSE,TRUE)</f>
        <v>0</v>
      </c>
      <c r="AS285">
        <f>OR(AND(IF(Metadata!G285="",FALSE,TRUE),OR(exact(Metadata!G285,"not collected"),exact(Metadata!G285,"not provided"))),AND(IF(Metadata!G285="",FALSE,TRUE),OR(exact(Metadata!G285,"TRUE"),exact(Metadata!G285,"FALSE"))))</f>
        <v>0</v>
      </c>
      <c r="AT285">
        <f>OR(AND(IF(Metadata!H285="",FALSE,TRUE),OR(exact(Metadata!H285,"not collected"),exact(Metadata!H285,"not provided"),exact(Metadata!H285,"restricted access"))),AND(IF(Metadata!H285="",FALSE,ISNUMBER(VALUE(Metadata!H285))),Metadata!H285&gt;=-413.0))</f>
        <v>0</v>
      </c>
      <c r="AU285">
        <f>AND(IF(Metadata!I285="",FALSE,TRUE),exact(Metadata!I285,"meters"))</f>
        <v>0</v>
      </c>
      <c r="AV285">
        <f>AND(IF(Metadata!J285="",FALSE,TRUE),OR(exact(Metadata!J285,"Host-associated"),exact(Metadata!J285,"Free-living")))</f>
        <v>0</v>
      </c>
      <c r="AW285">
        <f>AND(IF(Metadata!K285="",FALSE,TRUE),OR(exact(Metadata!K285,"Animal"),exact(Metadata!K285,"Fungus"),exact(Metadata!K285,"Plant"),exact(Metadata!K285,"Saline"),exact(Metadata!K285,"Non-saline")))</f>
        <v>0</v>
      </c>
      <c r="AX285">
        <f>AND(IF(Metadata!L285="",FALSE,TRUE),OR(exact(Metadata!L285,"Plant secretion"),exact(Metadata!L285,"Plant rhizosphere"),exact(Metadata!L285,"Plant surface"),exact(Metadata!L285,"Plant corpus"),exact(Metadata!L285,"Fungus surface"),exact(Metadata!L285,"Fungus corpus"),exact(Metadata!L285,"Animal surface"),exact(Metadata!L285,"Animal proximal gut"),exact(Metadata!L285,"Animal corpus"),exact(Metadata!L285,"Animal distal gut"),exact(Metadata!L285,"Animal secretion"),exact(Metadata!L285,"Sub-surface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Y285">
        <f>IF(Metadata!M285="",FALSE,TRUE)</f>
        <v>0</v>
      </c>
      <c r="AZ285">
        <f>IF(Metadata!N285="",FALSE,TRUE)</f>
        <v>0</v>
      </c>
      <c r="BA285">
        <f>IF(Metadata!O285="",FALSE,TRUE)</f>
        <v>0</v>
      </c>
      <c r="BB285">
        <f>OR(AND(IF(Metadata!P285="",FALSE,TRUE),OR(exact(Metadata!P285,"not collected"),exact(Metadata!P285,"not provided"),exact(Metadata!P285,"restricted access"))),AND(IF(Metadata!P285="",FALSE,TRUE),OR(exact(Metadata!P285,"air"),exact(Metadata!P285,"built environment"),exact(Metadata!P285,"host-associated"),exact(Metadata!P285,"human-associated"),exact(Metadata!P285,"human-skin"),exact(Metadata!P285,"human-oral"),exact(Metadata!P285,"human-gut"),exact(Metadata!P285,"human-vaginal"),exact(Metadata!P285,"microbial mat/biofilm"),exact(Metadata!P285,"misc environment"),exact(Metadata!P285,"plant-associated"),exact(Metadata!P285,"sediment"),exact(Metadata!P285,"soil"),exact(Metadata!P285,"wastewater/sludge"),exact(Metadata!P285,"water"))))</f>
        <v>0</v>
      </c>
      <c r="BC285">
        <f>IF(Metadata!Q285="",FALSE,TRUE)</f>
        <v>0</v>
      </c>
      <c r="BD285">
        <f>IF(Metadata!R285="",FALSE,TRUE)</f>
        <v>0</v>
      </c>
      <c r="BE285">
        <f>OR(AND(IF(Metadata!S285="",FALSE,TRUE),OR(exact(Metadata!S285,"not collected"),exact(Metadata!S285,"not provided"),exact(Metadata!S285,"restricted access"))),AND(IF(Metadata!S285="",FALSE,ISNUMBER(VALUE(Metadata!S285))),Metadata!S285&gt;=-90.00,Metadata!S285&lt;=90.00))</f>
        <v>0</v>
      </c>
      <c r="BF285">
        <f>AND(IF(Metadata!T285="",FALSE,TRUE),exact(Metadata!T285,"Decimal degrees"))</f>
        <v>0</v>
      </c>
      <c r="BG285">
        <f>OR(AND(IF(Metadata!U285="",FALSE,TRUE),OR(exact(Metadata!U285,"not collected"),exact(Metadata!U285,"not provided"),exact(Metadata!U285,"restricted access"))),AND(IF(Metadata!U285="",FALSE,ISNUMBER(VALUE(Metadata!U285))),Metadata!U285&gt;=-180.00,Metadata!U285&lt;=180.00))</f>
        <v>0</v>
      </c>
      <c r="BH285">
        <f>AND(IF(Metadata!V285="",FALSE,TRUE),exact(Metadata!V285,"Decimal degrees"))</f>
        <v>0</v>
      </c>
      <c r="BI285">
        <f>IF(Metadata!W285="",FALSE,TRUE)</f>
        <v>0</v>
      </c>
      <c r="BJ285">
        <f>OR(AND(IF(Metadata!X285="",FALSE,TRUE),OR(exact(Metadata!X285,"not collected"),exact(Metadata!X285,"not provided"),exact(Metadata!X285,"restricted access"))),AND(IF(Metadata!X285="",FALSE,TRUE),OR(exact(Metadata!X285,"TRUE"),exact(Metadata!X285,"FALSE"))))</f>
        <v>0</v>
      </c>
      <c r="BK285">
        <f>AND(IF(Metadata!Y285="",FALSE,TRUE),exact(Metadata!Y285,"other"))</f>
        <v>0</v>
      </c>
      <c r="BL285">
        <f>IF(Metadata!Z285="",FALSE,TRUE)</f>
        <v>0</v>
      </c>
      <c r="BM285">
        <f>OR(AND(IF(Metadata!AA285="",FALSE,TRUE),OR(exact(Metadata!AA285,"not collected"),exact(Metadata!AA285,"not provided"))),AND(IF(Metadata!AA285="",FALSE,IF(ISERROR(INT(Metadata!AA285)),FALSE,INT(Metadata!AA285)=Metadata!AA285)),Metadata!AA285&gt;0))</f>
        <v>0</v>
      </c>
      <c r="BN285">
        <f>AND(IF(Metadata!AB285="",FALSE,TRUE),exact(Metadata!AB285,"Not applicable"))</f>
        <v>0</v>
      </c>
      <c r="BO285">
        <f>IF(Metadata!AC285="",FALSE,TRUE)</f>
        <v>0</v>
      </c>
    </row>
    <row r="286" spans="1:67">
      <c r="A286" s="5">
        <f>IF(B286=" "," ",HYPERLINK(CONCATENATE("#metadata!",ADDRESS(INDEX($AI$2:$AI$1001,MATCH(ROWS($AG$2:AG286),$AG$2:$AG$1001,0),0),1)),INDEX($AL$2:$AL$1001,MATCH(ROWS($AG$2:AG286),$AG$2:$AG$1001,0),0)))</f>
        <v>0</v>
      </c>
      <c r="B286" s="4">
        <f>IF(OR(INDEX($AH$2:$AH$1001,MATCH(ROWS($AG$2:AG286),$AG$2:$AG$1001,0),1)&gt;=100000,INDEX($AN$1005:$BO$1005,1,MATCH(COLUMNS($AN$1006:AN1006),$AN$1006:$BO$1006,0))&gt;=100000), " ",IF(INDEX($AN$2:$BO$1001,MATCH(ROWS($AG$2:AG286),$AG$2:$AG$1001,0),MATCH(COLUMNS($AN$1006:AN1006),$AN$1006:$BO$1006,0)), HYPERLINK("#",""), HYPERLINK(CONCATENATE("#Metadata!", ADDRESS(INDEX($AI$2:$AI$1001,MATCH(ROWS($AG$2:AG286),$AG$2:$AG$1001,0),0), INDEX($AN$1004:$BO$1004,1,MATCH(COLUMNS($AN$1006:AN1006),$AN$1006:$BO$1006,0)))),"Fix")))</f>
        <v>0</v>
      </c>
      <c r="C286" s="4">
        <f>IF(OR(INDEX($AH$2:$AH$1001,MATCH(ROWS($AG$2:AG286),$AG$2:$AG$1001,0),1)&gt;=100000,INDEX($AN$1005:$BO$1005,1,MATCH(COLUMNS($AN$1006:AO1006),$AN$1006:$BO$1006,0))&gt;=100000), " ",IF(INDEX($AN$2:$BO$1001,MATCH(ROWS($AG$2:AG286),$AG$2:$AG$1001,0),MATCH(COLUMNS($AN$1006:AO1006),$AN$1006:$BO$1006,0)), HYPERLINK("#",""), HYPERLINK(CONCATENATE("#Metadata!", ADDRESS(INDEX($AI$2:$AI$1001,MATCH(ROWS($AG$2:AG286),$AG$2:$AG$1001,0),0), INDEX($AN$1004:$BO$1004,1,MATCH(COLUMNS($AN$1006:AO1006),$AN$1006:$BO$1006,0)))),"Fix")))</f>
        <v>0</v>
      </c>
      <c r="D286" s="4">
        <f>IF(OR(INDEX($AH$2:$AH$1001,MATCH(ROWS($AG$2:AG286),$AG$2:$AG$1001,0),1)&gt;=100000,INDEX($AN$1005:$BO$1005,1,MATCH(COLUMNS($AN$1006:AP1006),$AN$1006:$BO$1006,0))&gt;=100000), " ",IF(INDEX($AN$2:$BO$1001,MATCH(ROWS($AG$2:AG286),$AG$2:$AG$1001,0),MATCH(COLUMNS($AN$1006:AP1006),$AN$1006:$BO$1006,0)), HYPERLINK("#",""), HYPERLINK(CONCATENATE("#Metadata!", ADDRESS(INDEX($AI$2:$AI$1001,MATCH(ROWS($AG$2:AG286),$AG$2:$AG$1001,0),0), INDEX($AN$1004:$BO$1004,1,MATCH(COLUMNS($AN$1006:AP1006),$AN$1006:$BO$1006,0)))),"Fix")))</f>
        <v>0</v>
      </c>
      <c r="E286" s="4">
        <f>IF(OR(INDEX($AH$2:$AH$1001,MATCH(ROWS($AG$2:AG286),$AG$2:$AG$1001,0),1)&gt;=100000,INDEX($AN$1005:$BO$1005,1,MATCH(COLUMNS($AN$1006:AQ1006),$AN$1006:$BO$1006,0))&gt;=100000), " ",IF(INDEX($AN$2:$BO$1001,MATCH(ROWS($AG$2:AG286),$AG$2:$AG$1001,0),MATCH(COLUMNS($AN$1006:AQ1006),$AN$1006:$BO$1006,0)), HYPERLINK("#",""), HYPERLINK(CONCATENATE("#Metadata!", ADDRESS(INDEX($AI$2:$AI$1001,MATCH(ROWS($AG$2:AG286),$AG$2:$AG$1001,0),0), INDEX($AN$1004:$BO$1004,1,MATCH(COLUMNS($AN$1006:AQ1006),$AN$1006:$BO$1006,0)))),"Fix")))</f>
        <v>0</v>
      </c>
      <c r="F286" s="4">
        <f>IF(OR(INDEX($AH$2:$AH$1001,MATCH(ROWS($AG$2:AG286),$AG$2:$AG$1001,0),1)&gt;=100000,INDEX($AN$1005:$BO$1005,1,MATCH(COLUMNS($AN$1006:AR1006),$AN$1006:$BO$1006,0))&gt;=100000), " ",IF(INDEX($AN$2:$BO$1001,MATCH(ROWS($AG$2:AG286),$AG$2:$AG$1001,0),MATCH(COLUMNS($AN$1006:AR1006),$AN$1006:$BO$1006,0)), HYPERLINK("#",""), HYPERLINK(CONCATENATE("#Metadata!", ADDRESS(INDEX($AI$2:$AI$1001,MATCH(ROWS($AG$2:AG286),$AG$2:$AG$1001,0),0), INDEX($AN$1004:$BO$1004,1,MATCH(COLUMNS($AN$1006:AR1006),$AN$1006:$BO$1006,0)))),"Fix")))</f>
        <v>0</v>
      </c>
      <c r="G286" s="4">
        <f>IF(OR(INDEX($AH$2:$AH$1001,MATCH(ROWS($AG$2:AG286),$AG$2:$AG$1001,0),1)&gt;=100000,INDEX($AN$1005:$BO$1005,1,MATCH(COLUMNS($AN$1006:AS1006),$AN$1006:$BO$1006,0))&gt;=100000), " ",IF(INDEX($AN$2:$BO$1001,MATCH(ROWS($AG$2:AG286),$AG$2:$AG$1001,0),MATCH(COLUMNS($AN$1006:AS1006),$AN$1006:$BO$1006,0)), HYPERLINK("#",""), HYPERLINK(CONCATENATE("#Metadata!", ADDRESS(INDEX($AI$2:$AI$1001,MATCH(ROWS($AG$2:AG286),$AG$2:$AG$1001,0),0), INDEX($AN$1004:$BO$1004,1,MATCH(COLUMNS($AN$1006:AS1006),$AN$1006:$BO$1006,0)))),"Fix")))</f>
        <v>0</v>
      </c>
      <c r="H286" s="4">
        <f>IF(OR(INDEX($AH$2:$AH$1001,MATCH(ROWS($AG$2:AG286),$AG$2:$AG$1001,0),1)&gt;=100000,INDEX($AN$1005:$BO$1005,1,MATCH(COLUMNS($AN$1006:AT1006),$AN$1006:$BO$1006,0))&gt;=100000), " ",IF(INDEX($AN$2:$BO$1001,MATCH(ROWS($AG$2:AG286),$AG$2:$AG$1001,0),MATCH(COLUMNS($AN$1006:AT1006),$AN$1006:$BO$1006,0)), HYPERLINK("#",""), HYPERLINK(CONCATENATE("#Metadata!", ADDRESS(INDEX($AI$2:$AI$1001,MATCH(ROWS($AG$2:AG286),$AG$2:$AG$1001,0),0), INDEX($AN$1004:$BO$1004,1,MATCH(COLUMNS($AN$1006:AT1006),$AN$1006:$BO$1006,0)))),"Fix")))</f>
        <v>0</v>
      </c>
      <c r="I286" s="4">
        <f>IF(OR(INDEX($AH$2:$AH$1001,MATCH(ROWS($AG$2:AG286),$AG$2:$AG$1001,0),1)&gt;=100000,INDEX($AN$1005:$BO$1005,1,MATCH(COLUMNS($AN$1006:AU1006),$AN$1006:$BO$1006,0))&gt;=100000), " ",IF(INDEX($AN$2:$BO$1001,MATCH(ROWS($AG$2:AG286),$AG$2:$AG$1001,0),MATCH(COLUMNS($AN$1006:AU1006),$AN$1006:$BO$1006,0)), HYPERLINK("#",""), HYPERLINK(CONCATENATE("#Metadata!", ADDRESS(INDEX($AI$2:$AI$1001,MATCH(ROWS($AG$2:AG286),$AG$2:$AG$1001,0),0), INDEX($AN$1004:$BO$1004,1,MATCH(COLUMNS($AN$1006:AU1006),$AN$1006:$BO$1006,0)))),"Fix")))</f>
        <v>0</v>
      </c>
      <c r="J286" s="4">
        <f>IF(OR(INDEX($AH$2:$AH$1001,MATCH(ROWS($AG$2:AG286),$AG$2:$AG$1001,0),1)&gt;=100000,INDEX($AN$1005:$BO$1005,1,MATCH(COLUMNS($AN$1006:AV1006),$AN$1006:$BO$1006,0))&gt;=100000), " ",IF(INDEX($AN$2:$BO$1001,MATCH(ROWS($AG$2:AG286),$AG$2:$AG$1001,0),MATCH(COLUMNS($AN$1006:AV1006),$AN$1006:$BO$1006,0)), HYPERLINK("#",""), HYPERLINK(CONCATENATE("#Metadata!", ADDRESS(INDEX($AI$2:$AI$1001,MATCH(ROWS($AG$2:AG286),$AG$2:$AG$1001,0),0), INDEX($AN$1004:$BO$1004,1,MATCH(COLUMNS($AN$1006:AV1006),$AN$1006:$BO$1006,0)))),"Fix")))</f>
        <v>0</v>
      </c>
      <c r="K286" s="4">
        <f>IF(OR(INDEX($AH$2:$AH$1001,MATCH(ROWS($AG$2:AG286),$AG$2:$AG$1001,0),1)&gt;=100000,INDEX($AN$1005:$BO$1005,1,MATCH(COLUMNS($AN$1006:AW1006),$AN$1006:$BO$1006,0))&gt;=100000), " ",IF(INDEX($AN$2:$BO$1001,MATCH(ROWS($AG$2:AG286),$AG$2:$AG$1001,0),MATCH(COLUMNS($AN$1006:AW1006),$AN$1006:$BO$1006,0)), HYPERLINK("#",""), HYPERLINK(CONCATENATE("#Metadata!", ADDRESS(INDEX($AI$2:$AI$1001,MATCH(ROWS($AG$2:AG286),$AG$2:$AG$1001,0),0), INDEX($AN$1004:$BO$1004,1,MATCH(COLUMNS($AN$1006:AW1006),$AN$1006:$BO$1006,0)))),"Fix")))</f>
        <v>0</v>
      </c>
      <c r="L286" s="4">
        <f>IF(OR(INDEX($AH$2:$AH$1001,MATCH(ROWS($AG$2:AG286),$AG$2:$AG$1001,0),1)&gt;=100000,INDEX($AN$1005:$BO$1005,1,MATCH(COLUMNS($AN$1006:AX1006),$AN$1006:$BO$1006,0))&gt;=100000), " ",IF(INDEX($AN$2:$BO$1001,MATCH(ROWS($AG$2:AG286),$AG$2:$AG$1001,0),MATCH(COLUMNS($AN$1006:AX1006),$AN$1006:$BO$1006,0)), HYPERLINK("#",""), HYPERLINK(CONCATENATE("#Metadata!", ADDRESS(INDEX($AI$2:$AI$1001,MATCH(ROWS($AG$2:AG286),$AG$2:$AG$1001,0),0), INDEX($AN$1004:$BO$1004,1,MATCH(COLUMNS($AN$1006:AX1006),$AN$1006:$BO$1006,0)))),"Fix")))</f>
        <v>0</v>
      </c>
      <c r="M286" s="4">
        <f>IF(OR(INDEX($AH$2:$AH$1001,MATCH(ROWS($AG$2:AG286),$AG$2:$AG$1001,0),1)&gt;=100000,INDEX($AN$1005:$BO$1005,1,MATCH(COLUMNS($AN$1006:AY1006),$AN$1006:$BO$1006,0))&gt;=100000), " ",IF(INDEX($AN$2:$BO$1001,MATCH(ROWS($AG$2:AG286),$AG$2:$AG$1001,0),MATCH(COLUMNS($AN$1006:AY1006),$AN$1006:$BO$1006,0)), HYPERLINK("#",""), HYPERLINK(CONCATENATE("#Metadata!", ADDRESS(INDEX($AI$2:$AI$1001,MATCH(ROWS($AG$2:AG286),$AG$2:$AG$1001,0),0), INDEX($AN$1004:$BO$1004,1,MATCH(COLUMNS($AN$1006:AY1006),$AN$1006:$BO$1006,0)))),"Fix")))</f>
        <v>0</v>
      </c>
      <c r="N286" s="4">
        <f>IF(OR(INDEX($AH$2:$AH$1001,MATCH(ROWS($AG$2:AG286),$AG$2:$AG$1001,0),1)&gt;=100000,INDEX($AN$1005:$BO$1005,1,MATCH(COLUMNS($AN$1006:AZ1006),$AN$1006:$BO$1006,0))&gt;=100000), " ",IF(INDEX($AN$2:$BO$1001,MATCH(ROWS($AG$2:AG286),$AG$2:$AG$1001,0),MATCH(COLUMNS($AN$1006:AZ1006),$AN$1006:$BO$1006,0)), HYPERLINK("#",""), HYPERLINK(CONCATENATE("#Metadata!", ADDRESS(INDEX($AI$2:$AI$1001,MATCH(ROWS($AG$2:AG286),$AG$2:$AG$1001,0),0), INDEX($AN$1004:$BO$1004,1,MATCH(COLUMNS($AN$1006:AZ1006),$AN$1006:$BO$1006,0)))),"Fix")))</f>
        <v>0</v>
      </c>
      <c r="O286" s="4">
        <f>IF(OR(INDEX($AH$2:$AH$1001,MATCH(ROWS($AG$2:AG286),$AG$2:$AG$1001,0),1)&gt;=100000,INDEX($AN$1005:$BO$1005,1,MATCH(COLUMNS($AN$1006:BA1006),$AN$1006:$BO$1006,0))&gt;=100000), " ",IF(INDEX($AN$2:$BO$1001,MATCH(ROWS($AG$2:AG286),$AG$2:$AG$1001,0),MATCH(COLUMNS($AN$1006:BA1006),$AN$1006:$BO$1006,0)), HYPERLINK("#",""), HYPERLINK(CONCATENATE("#Metadata!", ADDRESS(INDEX($AI$2:$AI$1001,MATCH(ROWS($AG$2:AG286),$AG$2:$AG$1001,0),0), INDEX($AN$1004:$BO$1004,1,MATCH(COLUMNS($AN$1006:BA1006),$AN$1006:$BO$1006,0)))),"Fix")))</f>
        <v>0</v>
      </c>
      <c r="P286" s="4">
        <f>IF(OR(INDEX($AH$2:$AH$1001,MATCH(ROWS($AG$2:AG286),$AG$2:$AG$1001,0),1)&gt;=100000,INDEX($AN$1005:$BO$1005,1,MATCH(COLUMNS($AN$1006:BB1006),$AN$1006:$BO$1006,0))&gt;=100000), " ",IF(INDEX($AN$2:$BO$1001,MATCH(ROWS($AG$2:AG286),$AG$2:$AG$1001,0),MATCH(COLUMNS($AN$1006:BB1006),$AN$1006:$BO$1006,0)), HYPERLINK("#",""), HYPERLINK(CONCATENATE("#Metadata!", ADDRESS(INDEX($AI$2:$AI$1001,MATCH(ROWS($AG$2:AG286),$AG$2:$AG$1001,0),0), INDEX($AN$1004:$BO$1004,1,MATCH(COLUMNS($AN$1006:BB1006),$AN$1006:$BO$1006,0)))),"Fix")))</f>
        <v>0</v>
      </c>
      <c r="Q286" s="4">
        <f>IF(OR(INDEX($AH$2:$AH$1001,MATCH(ROWS($AG$2:AG286),$AG$2:$AG$1001,0),1)&gt;=100000,INDEX($AN$1005:$BO$1005,1,MATCH(COLUMNS($AN$1006:BC1006),$AN$1006:$BO$1006,0))&gt;=100000), " ",IF(INDEX($AN$2:$BO$1001,MATCH(ROWS($AG$2:AG286),$AG$2:$AG$1001,0),MATCH(COLUMNS($AN$1006:BC1006),$AN$1006:$BO$1006,0)), HYPERLINK("#",""), HYPERLINK(CONCATENATE("#Metadata!", ADDRESS(INDEX($AI$2:$AI$1001,MATCH(ROWS($AG$2:AG286),$AG$2:$AG$1001,0),0), INDEX($AN$1004:$BO$1004,1,MATCH(COLUMNS($AN$1006:BC1006),$AN$1006:$BO$1006,0)))),"Fix")))</f>
        <v>0</v>
      </c>
      <c r="R286" s="4">
        <f>IF(OR(INDEX($AH$2:$AH$1001,MATCH(ROWS($AG$2:AG286),$AG$2:$AG$1001,0),1)&gt;=100000,INDEX($AN$1005:$BO$1005,1,MATCH(COLUMNS($AN$1006:BD1006),$AN$1006:$BO$1006,0))&gt;=100000), " ",IF(INDEX($AN$2:$BO$1001,MATCH(ROWS($AG$2:AG286),$AG$2:$AG$1001,0),MATCH(COLUMNS($AN$1006:BD1006),$AN$1006:$BO$1006,0)), HYPERLINK("#",""), HYPERLINK(CONCATENATE("#Metadata!", ADDRESS(INDEX($AI$2:$AI$1001,MATCH(ROWS($AG$2:AG286),$AG$2:$AG$1001,0),0), INDEX($AN$1004:$BO$1004,1,MATCH(COLUMNS($AN$1006:BD1006),$AN$1006:$BO$1006,0)))),"Fix")))</f>
        <v>0</v>
      </c>
      <c r="S286" s="4">
        <f>IF(OR(INDEX($AH$2:$AH$1001,MATCH(ROWS($AG$2:AG286),$AG$2:$AG$1001,0),1)&gt;=100000,INDEX($AN$1005:$BO$1005,1,MATCH(COLUMNS($AN$1006:BE1006),$AN$1006:$BO$1006,0))&gt;=100000), " ",IF(INDEX($AN$2:$BO$1001,MATCH(ROWS($AG$2:AG286),$AG$2:$AG$1001,0),MATCH(COLUMNS($AN$1006:BE1006),$AN$1006:$BO$1006,0)), HYPERLINK("#",""), HYPERLINK(CONCATENATE("#Metadata!", ADDRESS(INDEX($AI$2:$AI$1001,MATCH(ROWS($AG$2:AG286),$AG$2:$AG$1001,0),0), INDEX($AN$1004:$BO$1004,1,MATCH(COLUMNS($AN$1006:BE1006),$AN$1006:$BO$1006,0)))),"Fix")))</f>
        <v>0</v>
      </c>
      <c r="T286" s="4">
        <f>IF(OR(INDEX($AH$2:$AH$1001,MATCH(ROWS($AG$2:AG286),$AG$2:$AG$1001,0),1)&gt;=100000,INDEX($AN$1005:$BO$1005,1,MATCH(COLUMNS($AN$1006:BF1006),$AN$1006:$BO$1006,0))&gt;=100000), " ",IF(INDEX($AN$2:$BO$1001,MATCH(ROWS($AG$2:AG286),$AG$2:$AG$1001,0),MATCH(COLUMNS($AN$1006:BF1006),$AN$1006:$BO$1006,0)), HYPERLINK("#",""), HYPERLINK(CONCATENATE("#Metadata!", ADDRESS(INDEX($AI$2:$AI$1001,MATCH(ROWS($AG$2:AG286),$AG$2:$AG$1001,0),0), INDEX($AN$1004:$BO$1004,1,MATCH(COLUMNS($AN$1006:BF1006),$AN$1006:$BO$1006,0)))),"Fix")))</f>
        <v>0</v>
      </c>
      <c r="U286" s="4">
        <f>IF(OR(INDEX($AH$2:$AH$1001,MATCH(ROWS($AG$2:AG286),$AG$2:$AG$1001,0),1)&gt;=100000,INDEX($AN$1005:$BO$1005,1,MATCH(COLUMNS($AN$1006:BG1006),$AN$1006:$BO$1006,0))&gt;=100000), " ",IF(INDEX($AN$2:$BO$1001,MATCH(ROWS($AG$2:AG286),$AG$2:$AG$1001,0),MATCH(COLUMNS($AN$1006:BG1006),$AN$1006:$BO$1006,0)), HYPERLINK("#",""), HYPERLINK(CONCATENATE("#Metadata!", ADDRESS(INDEX($AI$2:$AI$1001,MATCH(ROWS($AG$2:AG286),$AG$2:$AG$1001,0),0), INDEX($AN$1004:$BO$1004,1,MATCH(COLUMNS($AN$1006:BG1006),$AN$1006:$BO$1006,0)))),"Fix")))</f>
        <v>0</v>
      </c>
      <c r="V286" s="4">
        <f>IF(OR(INDEX($AH$2:$AH$1001,MATCH(ROWS($AG$2:AG286),$AG$2:$AG$1001,0),1)&gt;=100000,INDEX($AN$1005:$BO$1005,1,MATCH(COLUMNS($AN$1006:BH1006),$AN$1006:$BO$1006,0))&gt;=100000), " ",IF(INDEX($AN$2:$BO$1001,MATCH(ROWS($AG$2:AG286),$AG$2:$AG$1001,0),MATCH(COLUMNS($AN$1006:BH1006),$AN$1006:$BO$1006,0)), HYPERLINK("#",""), HYPERLINK(CONCATENATE("#Metadata!", ADDRESS(INDEX($AI$2:$AI$1001,MATCH(ROWS($AG$2:AG286),$AG$2:$AG$1001,0),0), INDEX($AN$1004:$BO$1004,1,MATCH(COLUMNS($AN$1006:BH1006),$AN$1006:$BO$1006,0)))),"Fix")))</f>
        <v>0</v>
      </c>
      <c r="W286" s="4">
        <f>IF(OR(INDEX($AH$2:$AH$1001,MATCH(ROWS($AG$2:AG286),$AG$2:$AG$1001,0),1)&gt;=100000,INDEX($AN$1005:$BO$1005,1,MATCH(COLUMNS($AN$1006:BI1006),$AN$1006:$BO$1006,0))&gt;=100000), " ",IF(INDEX($AN$2:$BO$1001,MATCH(ROWS($AG$2:AG286),$AG$2:$AG$1001,0),MATCH(COLUMNS($AN$1006:BI1006),$AN$1006:$BO$1006,0)), HYPERLINK("#",""), HYPERLINK(CONCATENATE("#Metadata!", ADDRESS(INDEX($AI$2:$AI$1001,MATCH(ROWS($AG$2:AG286),$AG$2:$AG$1001,0),0), INDEX($AN$1004:$BO$1004,1,MATCH(COLUMNS($AN$1006:BI1006),$AN$1006:$BO$1006,0)))),"Fix")))</f>
        <v>0</v>
      </c>
      <c r="X286" s="4">
        <f>IF(OR(INDEX($AH$2:$AH$1001,MATCH(ROWS($AG$2:AG286),$AG$2:$AG$1001,0),1)&gt;=100000,INDEX($AN$1005:$BO$1005,1,MATCH(COLUMNS($AN$1006:BJ1006),$AN$1006:$BO$1006,0))&gt;=100000), " ",IF(INDEX($AN$2:$BO$1001,MATCH(ROWS($AG$2:AG286),$AG$2:$AG$1001,0),MATCH(COLUMNS($AN$1006:BJ1006),$AN$1006:$BO$1006,0)), HYPERLINK("#",""), HYPERLINK(CONCATENATE("#Metadata!", ADDRESS(INDEX($AI$2:$AI$1001,MATCH(ROWS($AG$2:AG286),$AG$2:$AG$1001,0),0), INDEX($AN$1004:$BO$1004,1,MATCH(COLUMNS($AN$1006:BJ1006),$AN$1006:$BO$1006,0)))),"Fix")))</f>
        <v>0</v>
      </c>
      <c r="Y286" s="4">
        <f>IF(OR(INDEX($AH$2:$AH$1001,MATCH(ROWS($AG$2:AG286),$AG$2:$AG$1001,0),1)&gt;=100000,INDEX($AN$1005:$BO$1005,1,MATCH(COLUMNS($AN$1006:BK1006),$AN$1006:$BO$1006,0))&gt;=100000), " ",IF(INDEX($AN$2:$BO$1001,MATCH(ROWS($AG$2:AG286),$AG$2:$AG$1001,0),MATCH(COLUMNS($AN$1006:BK1006),$AN$1006:$BO$1006,0)), HYPERLINK("#",""), HYPERLINK(CONCATENATE("#Metadata!", ADDRESS(INDEX($AI$2:$AI$1001,MATCH(ROWS($AG$2:AG286),$AG$2:$AG$1001,0),0), INDEX($AN$1004:$BO$1004,1,MATCH(COLUMNS($AN$1006:BK1006),$AN$1006:$BO$1006,0)))),"Fix")))</f>
        <v>0</v>
      </c>
      <c r="Z286" s="4">
        <f>IF(OR(INDEX($AH$2:$AH$1001,MATCH(ROWS($AG$2:AG286),$AG$2:$AG$1001,0),1)&gt;=100000,INDEX($AN$1005:$BO$1005,1,MATCH(COLUMNS($AN$1006:BL1006),$AN$1006:$BO$1006,0))&gt;=100000), " ",IF(INDEX($AN$2:$BO$1001,MATCH(ROWS($AG$2:AG286),$AG$2:$AG$1001,0),MATCH(COLUMNS($AN$1006:BL1006),$AN$1006:$BO$1006,0)), HYPERLINK("#",""), HYPERLINK(CONCATENATE("#Metadata!", ADDRESS(INDEX($AI$2:$AI$1001,MATCH(ROWS($AG$2:AG286),$AG$2:$AG$1001,0),0), INDEX($AN$1004:$BO$1004,1,MATCH(COLUMNS($AN$1006:BL1006),$AN$1006:$BO$1006,0)))),"Fix")))</f>
        <v>0</v>
      </c>
      <c r="AA286" s="4">
        <f>IF(OR(INDEX($AH$2:$AH$1001,MATCH(ROWS($AG$2:AG286),$AG$2:$AG$1001,0),1)&gt;=100000,INDEX($AN$1005:$BO$1005,1,MATCH(COLUMNS($AN$1006:BM1006),$AN$1006:$BO$1006,0))&gt;=100000), " ",IF(INDEX($AN$2:$BO$1001,MATCH(ROWS($AG$2:AG286),$AG$2:$AG$1001,0),MATCH(COLUMNS($AN$1006:BM1006),$AN$1006:$BO$1006,0)), HYPERLINK("#",""), HYPERLINK(CONCATENATE("#Metadata!", ADDRESS(INDEX($AI$2:$AI$1001,MATCH(ROWS($AG$2:AG286),$AG$2:$AG$1001,0),0), INDEX($AN$1004:$BO$1004,1,MATCH(COLUMNS($AN$1006:BM1006),$AN$1006:$BO$1006,0)))),"Fix")))</f>
        <v>0</v>
      </c>
      <c r="AB286" s="4">
        <f>IF(OR(INDEX($AH$2:$AH$1001,MATCH(ROWS($AG$2:AG286),$AG$2:$AG$1001,0),1)&gt;=100000,INDEX($AN$1005:$BO$1005,1,MATCH(COLUMNS($AN$1006:BN1006),$AN$1006:$BO$1006,0))&gt;=100000), " ",IF(INDEX($AN$2:$BO$1001,MATCH(ROWS($AG$2:AG286),$AG$2:$AG$1001,0),MATCH(COLUMNS($AN$1006:BN1006),$AN$1006:$BO$1006,0)), HYPERLINK("#",""), HYPERLINK(CONCATENATE("#Metadata!", ADDRESS(INDEX($AI$2:$AI$1001,MATCH(ROWS($AG$2:AG286),$AG$2:$AG$1001,0),0), INDEX($AN$1004:$BO$1004,1,MATCH(COLUMNS($AN$1006:BN1006),$AN$1006:$BO$1006,0)))),"Fix")))</f>
        <v>0</v>
      </c>
      <c r="AC286" s="4">
        <f>IF(OR(INDEX($AH$2:$AH$1001,MATCH(ROWS($AG$2:AG286),$AG$2:$AG$1001,0),1)&gt;=100000,INDEX($AN$1005:$BO$1005,1,MATCH(COLUMNS($AN$1006:BO1006),$AN$1006:$BO$1006,0))&gt;=100000), " ",IF(INDEX($AN$2:$BO$1001,MATCH(ROWS($AG$2:AG286),$AG$2:$AG$1001,0),MATCH(COLUMNS($AN$1006:BO1006),$AN$1006:$BO$1006,0)), HYPERLINK("#",""), HYPERLINK(CONCATENATE("#Metadata!", ADDRESS(INDEX($AI$2:$AI$1001,MATCH(ROWS($AG$2:AG286),$AG$2:$AG$1001,0),0), INDEX($AN$1004:$BO$1004,1,MATCH(COLUMNS($AN$1006:BO1006),$AN$1006:$BO$1006,0)))),"Fix")))</f>
        <v>0</v>
      </c>
      <c r="AG286">
        <v>0</v>
      </c>
      <c r="AH286">
        <v>0</v>
      </c>
      <c r="AI286">
        <v>0</v>
      </c>
      <c r="AJ286">
        <f>IF(AK286,TRUE,AND(AN286:BO286))</f>
        <v>0</v>
      </c>
      <c r="AK286">
        <f>COUNTBLANK(Metadata!B286:AC286)=COLUMNS(Metadata!B286:AC286)</f>
        <v>0</v>
      </c>
      <c r="AL286">
        <v>0</v>
      </c>
      <c r="AN286">
        <f>AND(IF(Metadata!B286="",FALSE,TRUE),COUNTIF(Metadata!B:B, Metadata!B286) = 1,NOT(ISERROR(SUMPRODUCT(SEARCH(MID(Metadata!B286,ROW(INDIRECT("1:"&amp;LEN(Metadata!B286))), 1),"0123456789abcdefghijklmnopqrstuvwxyzABCDEFGHIJKLMNOPQRSTUVWXYZ.")))))</f>
        <v>0</v>
      </c>
      <c r="AO286">
        <f>IF(Metadata!C286="",FALSE,TRUE)</f>
        <v>0</v>
      </c>
      <c r="AP286">
        <f>IF(Metadata!D286="",FALSE,TRUE)</f>
        <v>0</v>
      </c>
      <c r="AQ286">
        <f>OR(AND(IF(Metadata!E286="",FALSE,TRUE),OR(exact(Metadata!E286,"not collected"),exact(Metadata!E286,"not provided"),exact(Metadata!E286,"restricted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R286">
        <f>IF(Metadata!F286="",FALSE,TRUE)</f>
        <v>0</v>
      </c>
      <c r="AS286">
        <f>OR(AND(IF(Metadata!G286="",FALSE,TRUE),OR(exact(Metadata!G286,"not collected"),exact(Metadata!G286,"not provided"))),AND(IF(Metadata!G286="",FALSE,TRUE),OR(exact(Metadata!G286,"TRUE"),exact(Metadata!G286,"FALSE"))))</f>
        <v>0</v>
      </c>
      <c r="AT286">
        <f>OR(AND(IF(Metadata!H286="",FALSE,TRUE),OR(exact(Metadata!H286,"not collected"),exact(Metadata!H286,"not provided"),exact(Metadata!H286,"restricted access"))),AND(IF(Metadata!H286="",FALSE,ISNUMBER(VALUE(Metadata!H286))),Metadata!H286&gt;=-413.0))</f>
        <v>0</v>
      </c>
      <c r="AU286">
        <f>AND(IF(Metadata!I286="",FALSE,TRUE),exact(Metadata!I286,"meters"))</f>
        <v>0</v>
      </c>
      <c r="AV286">
        <f>AND(IF(Metadata!J286="",FALSE,TRUE),OR(exact(Metadata!J286,"Host-associated"),exact(Metadata!J286,"Free-living")))</f>
        <v>0</v>
      </c>
      <c r="AW286">
        <f>AND(IF(Metadata!K286="",FALSE,TRUE),OR(exact(Metadata!K286,"Animal"),exact(Metadata!K286,"Fungus"),exact(Metadata!K286,"Plant"),exact(Metadata!K286,"Saline"),exact(Metadata!K286,"Non-saline")))</f>
        <v>0</v>
      </c>
      <c r="AX286">
        <f>AND(IF(Metadata!L286="",FALSE,TRUE),OR(exact(Metadata!L286,"Plant secretion"),exact(Metadata!L286,"Plant rhizosphere"),exact(Metadata!L286,"Plant surface"),exact(Metadata!L286,"Plant corpus"),exact(Metadata!L286,"Fungus surface"),exact(Metadata!L286,"Fungus corpus"),exact(Metadata!L286,"Animal surface"),exact(Metadata!L286,"Animal proximal gut"),exact(Metadata!L286,"Animal corpus"),exact(Metadata!L286,"Animal distal gut"),exact(Metadata!L286,"Animal secretion"),exact(Metadata!L286,"Sub-surface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Y286">
        <f>IF(Metadata!M286="",FALSE,TRUE)</f>
        <v>0</v>
      </c>
      <c r="AZ286">
        <f>IF(Metadata!N286="",FALSE,TRUE)</f>
        <v>0</v>
      </c>
      <c r="BA286">
        <f>IF(Metadata!O286="",FALSE,TRUE)</f>
        <v>0</v>
      </c>
      <c r="BB286">
        <f>OR(AND(IF(Metadata!P286="",FALSE,TRUE),OR(exact(Metadata!P286,"not collected"),exact(Metadata!P286,"not provided"),exact(Metadata!P286,"restricted access"))),AND(IF(Metadata!P286="",FALSE,TRUE),OR(exact(Metadata!P286,"air"),exact(Metadata!P286,"built environment"),exact(Metadata!P286,"host-associated"),exact(Metadata!P286,"human-associated"),exact(Metadata!P286,"human-skin"),exact(Metadata!P286,"human-oral"),exact(Metadata!P286,"human-gut"),exact(Metadata!P286,"human-vaginal"),exact(Metadata!P286,"microbial mat/biofilm"),exact(Metadata!P286,"misc environment"),exact(Metadata!P286,"plant-associated"),exact(Metadata!P286,"sediment"),exact(Metadata!P286,"soil"),exact(Metadata!P286,"wastewater/sludge"),exact(Metadata!P286,"water"))))</f>
        <v>0</v>
      </c>
      <c r="BC286">
        <f>IF(Metadata!Q286="",FALSE,TRUE)</f>
        <v>0</v>
      </c>
      <c r="BD286">
        <f>IF(Metadata!R286="",FALSE,TRUE)</f>
        <v>0</v>
      </c>
      <c r="BE286">
        <f>OR(AND(IF(Metadata!S286="",FALSE,TRUE),OR(exact(Metadata!S286,"not collected"),exact(Metadata!S286,"not provided"),exact(Metadata!S286,"restricted access"))),AND(IF(Metadata!S286="",FALSE,ISNUMBER(VALUE(Metadata!S286))),Metadata!S286&gt;=-90.00,Metadata!S286&lt;=90.00))</f>
        <v>0</v>
      </c>
      <c r="BF286">
        <f>AND(IF(Metadata!T286="",FALSE,TRUE),exact(Metadata!T286,"Decimal degrees"))</f>
        <v>0</v>
      </c>
      <c r="BG286">
        <f>OR(AND(IF(Metadata!U286="",FALSE,TRUE),OR(exact(Metadata!U286,"not collected"),exact(Metadata!U286,"not provided"),exact(Metadata!U286,"restricted access"))),AND(IF(Metadata!U286="",FALSE,ISNUMBER(VALUE(Metadata!U286))),Metadata!U286&gt;=-180.00,Metadata!U286&lt;=180.00))</f>
        <v>0</v>
      </c>
      <c r="BH286">
        <f>AND(IF(Metadata!V286="",FALSE,TRUE),exact(Metadata!V286,"Decimal degrees"))</f>
        <v>0</v>
      </c>
      <c r="BI286">
        <f>IF(Metadata!W286="",FALSE,TRUE)</f>
        <v>0</v>
      </c>
      <c r="BJ286">
        <f>OR(AND(IF(Metadata!X286="",FALSE,TRUE),OR(exact(Metadata!X286,"not collected"),exact(Metadata!X286,"not provided"),exact(Metadata!X286,"restricted access"))),AND(IF(Metadata!X286="",FALSE,TRUE),OR(exact(Metadata!X286,"TRUE"),exact(Metadata!X286,"FALSE"))))</f>
        <v>0</v>
      </c>
      <c r="BK286">
        <f>AND(IF(Metadata!Y286="",FALSE,TRUE),exact(Metadata!Y286,"other"))</f>
        <v>0</v>
      </c>
      <c r="BL286">
        <f>IF(Metadata!Z286="",FALSE,TRUE)</f>
        <v>0</v>
      </c>
      <c r="BM286">
        <f>OR(AND(IF(Metadata!AA286="",FALSE,TRUE),OR(exact(Metadata!AA286,"not collected"),exact(Metadata!AA286,"not provided"))),AND(IF(Metadata!AA286="",FALSE,IF(ISERROR(INT(Metadata!AA286)),FALSE,INT(Metadata!AA286)=Metadata!AA286)),Metadata!AA286&gt;0))</f>
        <v>0</v>
      </c>
      <c r="BN286">
        <f>AND(IF(Metadata!AB286="",FALSE,TRUE),exact(Metadata!AB286,"Not applicable"))</f>
        <v>0</v>
      </c>
      <c r="BO286">
        <f>IF(Metadata!AC286="",FALSE,TRUE)</f>
        <v>0</v>
      </c>
    </row>
    <row r="287" spans="1:67">
      <c r="A287" s="5">
        <f>IF(B287=" "," ",HYPERLINK(CONCATENATE("#metadata!",ADDRESS(INDEX($AI$2:$AI$1001,MATCH(ROWS($AG$2:AG287),$AG$2:$AG$1001,0),0),1)),INDEX($AL$2:$AL$1001,MATCH(ROWS($AG$2:AG287),$AG$2:$AG$1001,0),0)))</f>
        <v>0</v>
      </c>
      <c r="B287" s="4">
        <f>IF(OR(INDEX($AH$2:$AH$1001,MATCH(ROWS($AG$2:AG287),$AG$2:$AG$1001,0),1)&gt;=100000,INDEX($AN$1005:$BO$1005,1,MATCH(COLUMNS($AN$1006:AN1006),$AN$1006:$BO$1006,0))&gt;=100000), " ",IF(INDEX($AN$2:$BO$1001,MATCH(ROWS($AG$2:AG287),$AG$2:$AG$1001,0),MATCH(COLUMNS($AN$1006:AN1006),$AN$1006:$BO$1006,0)), HYPERLINK("#",""), HYPERLINK(CONCATENATE("#Metadata!", ADDRESS(INDEX($AI$2:$AI$1001,MATCH(ROWS($AG$2:AG287),$AG$2:$AG$1001,0),0), INDEX($AN$1004:$BO$1004,1,MATCH(COLUMNS($AN$1006:AN1006),$AN$1006:$BO$1006,0)))),"Fix")))</f>
        <v>0</v>
      </c>
      <c r="C287" s="4">
        <f>IF(OR(INDEX($AH$2:$AH$1001,MATCH(ROWS($AG$2:AG287),$AG$2:$AG$1001,0),1)&gt;=100000,INDEX($AN$1005:$BO$1005,1,MATCH(COLUMNS($AN$1006:AO1006),$AN$1006:$BO$1006,0))&gt;=100000), " ",IF(INDEX($AN$2:$BO$1001,MATCH(ROWS($AG$2:AG287),$AG$2:$AG$1001,0),MATCH(COLUMNS($AN$1006:AO1006),$AN$1006:$BO$1006,0)), HYPERLINK("#",""), HYPERLINK(CONCATENATE("#Metadata!", ADDRESS(INDEX($AI$2:$AI$1001,MATCH(ROWS($AG$2:AG287),$AG$2:$AG$1001,0),0), INDEX($AN$1004:$BO$1004,1,MATCH(COLUMNS($AN$1006:AO1006),$AN$1006:$BO$1006,0)))),"Fix")))</f>
        <v>0</v>
      </c>
      <c r="D287" s="4">
        <f>IF(OR(INDEX($AH$2:$AH$1001,MATCH(ROWS($AG$2:AG287),$AG$2:$AG$1001,0),1)&gt;=100000,INDEX($AN$1005:$BO$1005,1,MATCH(COLUMNS($AN$1006:AP1006),$AN$1006:$BO$1006,0))&gt;=100000), " ",IF(INDEX($AN$2:$BO$1001,MATCH(ROWS($AG$2:AG287),$AG$2:$AG$1001,0),MATCH(COLUMNS($AN$1006:AP1006),$AN$1006:$BO$1006,0)), HYPERLINK("#",""), HYPERLINK(CONCATENATE("#Metadata!", ADDRESS(INDEX($AI$2:$AI$1001,MATCH(ROWS($AG$2:AG287),$AG$2:$AG$1001,0),0), INDEX($AN$1004:$BO$1004,1,MATCH(COLUMNS($AN$1006:AP1006),$AN$1006:$BO$1006,0)))),"Fix")))</f>
        <v>0</v>
      </c>
      <c r="E287" s="4">
        <f>IF(OR(INDEX($AH$2:$AH$1001,MATCH(ROWS($AG$2:AG287),$AG$2:$AG$1001,0),1)&gt;=100000,INDEX($AN$1005:$BO$1005,1,MATCH(COLUMNS($AN$1006:AQ1006),$AN$1006:$BO$1006,0))&gt;=100000), " ",IF(INDEX($AN$2:$BO$1001,MATCH(ROWS($AG$2:AG287),$AG$2:$AG$1001,0),MATCH(COLUMNS($AN$1006:AQ1006),$AN$1006:$BO$1006,0)), HYPERLINK("#",""), HYPERLINK(CONCATENATE("#Metadata!", ADDRESS(INDEX($AI$2:$AI$1001,MATCH(ROWS($AG$2:AG287),$AG$2:$AG$1001,0),0), INDEX($AN$1004:$BO$1004,1,MATCH(COLUMNS($AN$1006:AQ1006),$AN$1006:$BO$1006,0)))),"Fix")))</f>
        <v>0</v>
      </c>
      <c r="F287" s="4">
        <f>IF(OR(INDEX($AH$2:$AH$1001,MATCH(ROWS($AG$2:AG287),$AG$2:$AG$1001,0),1)&gt;=100000,INDEX($AN$1005:$BO$1005,1,MATCH(COLUMNS($AN$1006:AR1006),$AN$1006:$BO$1006,0))&gt;=100000), " ",IF(INDEX($AN$2:$BO$1001,MATCH(ROWS($AG$2:AG287),$AG$2:$AG$1001,0),MATCH(COLUMNS($AN$1006:AR1006),$AN$1006:$BO$1006,0)), HYPERLINK("#",""), HYPERLINK(CONCATENATE("#Metadata!", ADDRESS(INDEX($AI$2:$AI$1001,MATCH(ROWS($AG$2:AG287),$AG$2:$AG$1001,0),0), INDEX($AN$1004:$BO$1004,1,MATCH(COLUMNS($AN$1006:AR1006),$AN$1006:$BO$1006,0)))),"Fix")))</f>
        <v>0</v>
      </c>
      <c r="G287" s="4">
        <f>IF(OR(INDEX($AH$2:$AH$1001,MATCH(ROWS($AG$2:AG287),$AG$2:$AG$1001,0),1)&gt;=100000,INDEX($AN$1005:$BO$1005,1,MATCH(COLUMNS($AN$1006:AS1006),$AN$1006:$BO$1006,0))&gt;=100000), " ",IF(INDEX($AN$2:$BO$1001,MATCH(ROWS($AG$2:AG287),$AG$2:$AG$1001,0),MATCH(COLUMNS($AN$1006:AS1006),$AN$1006:$BO$1006,0)), HYPERLINK("#",""), HYPERLINK(CONCATENATE("#Metadata!", ADDRESS(INDEX($AI$2:$AI$1001,MATCH(ROWS($AG$2:AG287),$AG$2:$AG$1001,0),0), INDEX($AN$1004:$BO$1004,1,MATCH(COLUMNS($AN$1006:AS1006),$AN$1006:$BO$1006,0)))),"Fix")))</f>
        <v>0</v>
      </c>
      <c r="H287" s="4">
        <f>IF(OR(INDEX($AH$2:$AH$1001,MATCH(ROWS($AG$2:AG287),$AG$2:$AG$1001,0),1)&gt;=100000,INDEX($AN$1005:$BO$1005,1,MATCH(COLUMNS($AN$1006:AT1006),$AN$1006:$BO$1006,0))&gt;=100000), " ",IF(INDEX($AN$2:$BO$1001,MATCH(ROWS($AG$2:AG287),$AG$2:$AG$1001,0),MATCH(COLUMNS($AN$1006:AT1006),$AN$1006:$BO$1006,0)), HYPERLINK("#",""), HYPERLINK(CONCATENATE("#Metadata!", ADDRESS(INDEX($AI$2:$AI$1001,MATCH(ROWS($AG$2:AG287),$AG$2:$AG$1001,0),0), INDEX($AN$1004:$BO$1004,1,MATCH(COLUMNS($AN$1006:AT1006),$AN$1006:$BO$1006,0)))),"Fix")))</f>
        <v>0</v>
      </c>
      <c r="I287" s="4">
        <f>IF(OR(INDEX($AH$2:$AH$1001,MATCH(ROWS($AG$2:AG287),$AG$2:$AG$1001,0),1)&gt;=100000,INDEX($AN$1005:$BO$1005,1,MATCH(COLUMNS($AN$1006:AU1006),$AN$1006:$BO$1006,0))&gt;=100000), " ",IF(INDEX($AN$2:$BO$1001,MATCH(ROWS($AG$2:AG287),$AG$2:$AG$1001,0),MATCH(COLUMNS($AN$1006:AU1006),$AN$1006:$BO$1006,0)), HYPERLINK("#",""), HYPERLINK(CONCATENATE("#Metadata!", ADDRESS(INDEX($AI$2:$AI$1001,MATCH(ROWS($AG$2:AG287),$AG$2:$AG$1001,0),0), INDEX($AN$1004:$BO$1004,1,MATCH(COLUMNS($AN$1006:AU1006),$AN$1006:$BO$1006,0)))),"Fix")))</f>
        <v>0</v>
      </c>
      <c r="J287" s="4">
        <f>IF(OR(INDEX($AH$2:$AH$1001,MATCH(ROWS($AG$2:AG287),$AG$2:$AG$1001,0),1)&gt;=100000,INDEX($AN$1005:$BO$1005,1,MATCH(COLUMNS($AN$1006:AV1006),$AN$1006:$BO$1006,0))&gt;=100000), " ",IF(INDEX($AN$2:$BO$1001,MATCH(ROWS($AG$2:AG287),$AG$2:$AG$1001,0),MATCH(COLUMNS($AN$1006:AV1006),$AN$1006:$BO$1006,0)), HYPERLINK("#",""), HYPERLINK(CONCATENATE("#Metadata!", ADDRESS(INDEX($AI$2:$AI$1001,MATCH(ROWS($AG$2:AG287),$AG$2:$AG$1001,0),0), INDEX($AN$1004:$BO$1004,1,MATCH(COLUMNS($AN$1006:AV1006),$AN$1006:$BO$1006,0)))),"Fix")))</f>
        <v>0</v>
      </c>
      <c r="K287" s="4">
        <f>IF(OR(INDEX($AH$2:$AH$1001,MATCH(ROWS($AG$2:AG287),$AG$2:$AG$1001,0),1)&gt;=100000,INDEX($AN$1005:$BO$1005,1,MATCH(COLUMNS($AN$1006:AW1006),$AN$1006:$BO$1006,0))&gt;=100000), " ",IF(INDEX($AN$2:$BO$1001,MATCH(ROWS($AG$2:AG287),$AG$2:$AG$1001,0),MATCH(COLUMNS($AN$1006:AW1006),$AN$1006:$BO$1006,0)), HYPERLINK("#",""), HYPERLINK(CONCATENATE("#Metadata!", ADDRESS(INDEX($AI$2:$AI$1001,MATCH(ROWS($AG$2:AG287),$AG$2:$AG$1001,0),0), INDEX($AN$1004:$BO$1004,1,MATCH(COLUMNS($AN$1006:AW1006),$AN$1006:$BO$1006,0)))),"Fix")))</f>
        <v>0</v>
      </c>
      <c r="L287" s="4">
        <f>IF(OR(INDEX($AH$2:$AH$1001,MATCH(ROWS($AG$2:AG287),$AG$2:$AG$1001,0),1)&gt;=100000,INDEX($AN$1005:$BO$1005,1,MATCH(COLUMNS($AN$1006:AX1006),$AN$1006:$BO$1006,0))&gt;=100000), " ",IF(INDEX($AN$2:$BO$1001,MATCH(ROWS($AG$2:AG287),$AG$2:$AG$1001,0),MATCH(COLUMNS($AN$1006:AX1006),$AN$1006:$BO$1006,0)), HYPERLINK("#",""), HYPERLINK(CONCATENATE("#Metadata!", ADDRESS(INDEX($AI$2:$AI$1001,MATCH(ROWS($AG$2:AG287),$AG$2:$AG$1001,0),0), INDEX($AN$1004:$BO$1004,1,MATCH(COLUMNS($AN$1006:AX1006),$AN$1006:$BO$1006,0)))),"Fix")))</f>
        <v>0</v>
      </c>
      <c r="M287" s="4">
        <f>IF(OR(INDEX($AH$2:$AH$1001,MATCH(ROWS($AG$2:AG287),$AG$2:$AG$1001,0),1)&gt;=100000,INDEX($AN$1005:$BO$1005,1,MATCH(COLUMNS($AN$1006:AY1006),$AN$1006:$BO$1006,0))&gt;=100000), " ",IF(INDEX($AN$2:$BO$1001,MATCH(ROWS($AG$2:AG287),$AG$2:$AG$1001,0),MATCH(COLUMNS($AN$1006:AY1006),$AN$1006:$BO$1006,0)), HYPERLINK("#",""), HYPERLINK(CONCATENATE("#Metadata!", ADDRESS(INDEX($AI$2:$AI$1001,MATCH(ROWS($AG$2:AG287),$AG$2:$AG$1001,0),0), INDEX($AN$1004:$BO$1004,1,MATCH(COLUMNS($AN$1006:AY1006),$AN$1006:$BO$1006,0)))),"Fix")))</f>
        <v>0</v>
      </c>
      <c r="N287" s="4">
        <f>IF(OR(INDEX($AH$2:$AH$1001,MATCH(ROWS($AG$2:AG287),$AG$2:$AG$1001,0),1)&gt;=100000,INDEX($AN$1005:$BO$1005,1,MATCH(COLUMNS($AN$1006:AZ1006),$AN$1006:$BO$1006,0))&gt;=100000), " ",IF(INDEX($AN$2:$BO$1001,MATCH(ROWS($AG$2:AG287),$AG$2:$AG$1001,0),MATCH(COLUMNS($AN$1006:AZ1006),$AN$1006:$BO$1006,0)), HYPERLINK("#",""), HYPERLINK(CONCATENATE("#Metadata!", ADDRESS(INDEX($AI$2:$AI$1001,MATCH(ROWS($AG$2:AG287),$AG$2:$AG$1001,0),0), INDEX($AN$1004:$BO$1004,1,MATCH(COLUMNS($AN$1006:AZ1006),$AN$1006:$BO$1006,0)))),"Fix")))</f>
        <v>0</v>
      </c>
      <c r="O287" s="4">
        <f>IF(OR(INDEX($AH$2:$AH$1001,MATCH(ROWS($AG$2:AG287),$AG$2:$AG$1001,0),1)&gt;=100000,INDEX($AN$1005:$BO$1005,1,MATCH(COLUMNS($AN$1006:BA1006),$AN$1006:$BO$1006,0))&gt;=100000), " ",IF(INDEX($AN$2:$BO$1001,MATCH(ROWS($AG$2:AG287),$AG$2:$AG$1001,0),MATCH(COLUMNS($AN$1006:BA1006),$AN$1006:$BO$1006,0)), HYPERLINK("#",""), HYPERLINK(CONCATENATE("#Metadata!", ADDRESS(INDEX($AI$2:$AI$1001,MATCH(ROWS($AG$2:AG287),$AG$2:$AG$1001,0),0), INDEX($AN$1004:$BO$1004,1,MATCH(COLUMNS($AN$1006:BA1006),$AN$1006:$BO$1006,0)))),"Fix")))</f>
        <v>0</v>
      </c>
      <c r="P287" s="4">
        <f>IF(OR(INDEX($AH$2:$AH$1001,MATCH(ROWS($AG$2:AG287),$AG$2:$AG$1001,0),1)&gt;=100000,INDEX($AN$1005:$BO$1005,1,MATCH(COLUMNS($AN$1006:BB1006),$AN$1006:$BO$1006,0))&gt;=100000), " ",IF(INDEX($AN$2:$BO$1001,MATCH(ROWS($AG$2:AG287),$AG$2:$AG$1001,0),MATCH(COLUMNS($AN$1006:BB1006),$AN$1006:$BO$1006,0)), HYPERLINK("#",""), HYPERLINK(CONCATENATE("#Metadata!", ADDRESS(INDEX($AI$2:$AI$1001,MATCH(ROWS($AG$2:AG287),$AG$2:$AG$1001,0),0), INDEX($AN$1004:$BO$1004,1,MATCH(COLUMNS($AN$1006:BB1006),$AN$1006:$BO$1006,0)))),"Fix")))</f>
        <v>0</v>
      </c>
      <c r="Q287" s="4">
        <f>IF(OR(INDEX($AH$2:$AH$1001,MATCH(ROWS($AG$2:AG287),$AG$2:$AG$1001,0),1)&gt;=100000,INDEX($AN$1005:$BO$1005,1,MATCH(COLUMNS($AN$1006:BC1006),$AN$1006:$BO$1006,0))&gt;=100000), " ",IF(INDEX($AN$2:$BO$1001,MATCH(ROWS($AG$2:AG287),$AG$2:$AG$1001,0),MATCH(COLUMNS($AN$1006:BC1006),$AN$1006:$BO$1006,0)), HYPERLINK("#",""), HYPERLINK(CONCATENATE("#Metadata!", ADDRESS(INDEX($AI$2:$AI$1001,MATCH(ROWS($AG$2:AG287),$AG$2:$AG$1001,0),0), INDEX($AN$1004:$BO$1004,1,MATCH(COLUMNS($AN$1006:BC1006),$AN$1006:$BO$1006,0)))),"Fix")))</f>
        <v>0</v>
      </c>
      <c r="R287" s="4">
        <f>IF(OR(INDEX($AH$2:$AH$1001,MATCH(ROWS($AG$2:AG287),$AG$2:$AG$1001,0),1)&gt;=100000,INDEX($AN$1005:$BO$1005,1,MATCH(COLUMNS($AN$1006:BD1006),$AN$1006:$BO$1006,0))&gt;=100000), " ",IF(INDEX($AN$2:$BO$1001,MATCH(ROWS($AG$2:AG287),$AG$2:$AG$1001,0),MATCH(COLUMNS($AN$1006:BD1006),$AN$1006:$BO$1006,0)), HYPERLINK("#",""), HYPERLINK(CONCATENATE("#Metadata!", ADDRESS(INDEX($AI$2:$AI$1001,MATCH(ROWS($AG$2:AG287),$AG$2:$AG$1001,0),0), INDEX($AN$1004:$BO$1004,1,MATCH(COLUMNS($AN$1006:BD1006),$AN$1006:$BO$1006,0)))),"Fix")))</f>
        <v>0</v>
      </c>
      <c r="S287" s="4">
        <f>IF(OR(INDEX($AH$2:$AH$1001,MATCH(ROWS($AG$2:AG287),$AG$2:$AG$1001,0),1)&gt;=100000,INDEX($AN$1005:$BO$1005,1,MATCH(COLUMNS($AN$1006:BE1006),$AN$1006:$BO$1006,0))&gt;=100000), " ",IF(INDEX($AN$2:$BO$1001,MATCH(ROWS($AG$2:AG287),$AG$2:$AG$1001,0),MATCH(COLUMNS($AN$1006:BE1006),$AN$1006:$BO$1006,0)), HYPERLINK("#",""), HYPERLINK(CONCATENATE("#Metadata!", ADDRESS(INDEX($AI$2:$AI$1001,MATCH(ROWS($AG$2:AG287),$AG$2:$AG$1001,0),0), INDEX($AN$1004:$BO$1004,1,MATCH(COLUMNS($AN$1006:BE1006),$AN$1006:$BO$1006,0)))),"Fix")))</f>
        <v>0</v>
      </c>
      <c r="T287" s="4">
        <f>IF(OR(INDEX($AH$2:$AH$1001,MATCH(ROWS($AG$2:AG287),$AG$2:$AG$1001,0),1)&gt;=100000,INDEX($AN$1005:$BO$1005,1,MATCH(COLUMNS($AN$1006:BF1006),$AN$1006:$BO$1006,0))&gt;=100000), " ",IF(INDEX($AN$2:$BO$1001,MATCH(ROWS($AG$2:AG287),$AG$2:$AG$1001,0),MATCH(COLUMNS($AN$1006:BF1006),$AN$1006:$BO$1006,0)), HYPERLINK("#",""), HYPERLINK(CONCATENATE("#Metadata!", ADDRESS(INDEX($AI$2:$AI$1001,MATCH(ROWS($AG$2:AG287),$AG$2:$AG$1001,0),0), INDEX($AN$1004:$BO$1004,1,MATCH(COLUMNS($AN$1006:BF1006),$AN$1006:$BO$1006,0)))),"Fix")))</f>
        <v>0</v>
      </c>
      <c r="U287" s="4">
        <f>IF(OR(INDEX($AH$2:$AH$1001,MATCH(ROWS($AG$2:AG287),$AG$2:$AG$1001,0),1)&gt;=100000,INDEX($AN$1005:$BO$1005,1,MATCH(COLUMNS($AN$1006:BG1006),$AN$1006:$BO$1006,0))&gt;=100000), " ",IF(INDEX($AN$2:$BO$1001,MATCH(ROWS($AG$2:AG287),$AG$2:$AG$1001,0),MATCH(COLUMNS($AN$1006:BG1006),$AN$1006:$BO$1006,0)), HYPERLINK("#",""), HYPERLINK(CONCATENATE("#Metadata!", ADDRESS(INDEX($AI$2:$AI$1001,MATCH(ROWS($AG$2:AG287),$AG$2:$AG$1001,0),0), INDEX($AN$1004:$BO$1004,1,MATCH(COLUMNS($AN$1006:BG1006),$AN$1006:$BO$1006,0)))),"Fix")))</f>
        <v>0</v>
      </c>
      <c r="V287" s="4">
        <f>IF(OR(INDEX($AH$2:$AH$1001,MATCH(ROWS($AG$2:AG287),$AG$2:$AG$1001,0),1)&gt;=100000,INDEX($AN$1005:$BO$1005,1,MATCH(COLUMNS($AN$1006:BH1006),$AN$1006:$BO$1006,0))&gt;=100000), " ",IF(INDEX($AN$2:$BO$1001,MATCH(ROWS($AG$2:AG287),$AG$2:$AG$1001,0),MATCH(COLUMNS($AN$1006:BH1006),$AN$1006:$BO$1006,0)), HYPERLINK("#",""), HYPERLINK(CONCATENATE("#Metadata!", ADDRESS(INDEX($AI$2:$AI$1001,MATCH(ROWS($AG$2:AG287),$AG$2:$AG$1001,0),0), INDEX($AN$1004:$BO$1004,1,MATCH(COLUMNS($AN$1006:BH1006),$AN$1006:$BO$1006,0)))),"Fix")))</f>
        <v>0</v>
      </c>
      <c r="W287" s="4">
        <f>IF(OR(INDEX($AH$2:$AH$1001,MATCH(ROWS($AG$2:AG287),$AG$2:$AG$1001,0),1)&gt;=100000,INDEX($AN$1005:$BO$1005,1,MATCH(COLUMNS($AN$1006:BI1006),$AN$1006:$BO$1006,0))&gt;=100000), " ",IF(INDEX($AN$2:$BO$1001,MATCH(ROWS($AG$2:AG287),$AG$2:$AG$1001,0),MATCH(COLUMNS($AN$1006:BI1006),$AN$1006:$BO$1006,0)), HYPERLINK("#",""), HYPERLINK(CONCATENATE("#Metadata!", ADDRESS(INDEX($AI$2:$AI$1001,MATCH(ROWS($AG$2:AG287),$AG$2:$AG$1001,0),0), INDEX($AN$1004:$BO$1004,1,MATCH(COLUMNS($AN$1006:BI1006),$AN$1006:$BO$1006,0)))),"Fix")))</f>
        <v>0</v>
      </c>
      <c r="X287" s="4">
        <f>IF(OR(INDEX($AH$2:$AH$1001,MATCH(ROWS($AG$2:AG287),$AG$2:$AG$1001,0),1)&gt;=100000,INDEX($AN$1005:$BO$1005,1,MATCH(COLUMNS($AN$1006:BJ1006),$AN$1006:$BO$1006,0))&gt;=100000), " ",IF(INDEX($AN$2:$BO$1001,MATCH(ROWS($AG$2:AG287),$AG$2:$AG$1001,0),MATCH(COLUMNS($AN$1006:BJ1006),$AN$1006:$BO$1006,0)), HYPERLINK("#",""), HYPERLINK(CONCATENATE("#Metadata!", ADDRESS(INDEX($AI$2:$AI$1001,MATCH(ROWS($AG$2:AG287),$AG$2:$AG$1001,0),0), INDEX($AN$1004:$BO$1004,1,MATCH(COLUMNS($AN$1006:BJ1006),$AN$1006:$BO$1006,0)))),"Fix")))</f>
        <v>0</v>
      </c>
      <c r="Y287" s="4">
        <f>IF(OR(INDEX($AH$2:$AH$1001,MATCH(ROWS($AG$2:AG287),$AG$2:$AG$1001,0),1)&gt;=100000,INDEX($AN$1005:$BO$1005,1,MATCH(COLUMNS($AN$1006:BK1006),$AN$1006:$BO$1006,0))&gt;=100000), " ",IF(INDEX($AN$2:$BO$1001,MATCH(ROWS($AG$2:AG287),$AG$2:$AG$1001,0),MATCH(COLUMNS($AN$1006:BK1006),$AN$1006:$BO$1006,0)), HYPERLINK("#",""), HYPERLINK(CONCATENATE("#Metadata!", ADDRESS(INDEX($AI$2:$AI$1001,MATCH(ROWS($AG$2:AG287),$AG$2:$AG$1001,0),0), INDEX($AN$1004:$BO$1004,1,MATCH(COLUMNS($AN$1006:BK1006),$AN$1006:$BO$1006,0)))),"Fix")))</f>
        <v>0</v>
      </c>
      <c r="Z287" s="4">
        <f>IF(OR(INDEX($AH$2:$AH$1001,MATCH(ROWS($AG$2:AG287),$AG$2:$AG$1001,0),1)&gt;=100000,INDEX($AN$1005:$BO$1005,1,MATCH(COLUMNS($AN$1006:BL1006),$AN$1006:$BO$1006,0))&gt;=100000), " ",IF(INDEX($AN$2:$BO$1001,MATCH(ROWS($AG$2:AG287),$AG$2:$AG$1001,0),MATCH(COLUMNS($AN$1006:BL1006),$AN$1006:$BO$1006,0)), HYPERLINK("#",""), HYPERLINK(CONCATENATE("#Metadata!", ADDRESS(INDEX($AI$2:$AI$1001,MATCH(ROWS($AG$2:AG287),$AG$2:$AG$1001,0),0), INDEX($AN$1004:$BO$1004,1,MATCH(COLUMNS($AN$1006:BL1006),$AN$1006:$BO$1006,0)))),"Fix")))</f>
        <v>0</v>
      </c>
      <c r="AA287" s="4">
        <f>IF(OR(INDEX($AH$2:$AH$1001,MATCH(ROWS($AG$2:AG287),$AG$2:$AG$1001,0),1)&gt;=100000,INDEX($AN$1005:$BO$1005,1,MATCH(COLUMNS($AN$1006:BM1006),$AN$1006:$BO$1006,0))&gt;=100000), " ",IF(INDEX($AN$2:$BO$1001,MATCH(ROWS($AG$2:AG287),$AG$2:$AG$1001,0),MATCH(COLUMNS($AN$1006:BM1006),$AN$1006:$BO$1006,0)), HYPERLINK("#",""), HYPERLINK(CONCATENATE("#Metadata!", ADDRESS(INDEX($AI$2:$AI$1001,MATCH(ROWS($AG$2:AG287),$AG$2:$AG$1001,0),0), INDEX($AN$1004:$BO$1004,1,MATCH(COLUMNS($AN$1006:BM1006),$AN$1006:$BO$1006,0)))),"Fix")))</f>
        <v>0</v>
      </c>
      <c r="AB287" s="4">
        <f>IF(OR(INDEX($AH$2:$AH$1001,MATCH(ROWS($AG$2:AG287),$AG$2:$AG$1001,0),1)&gt;=100000,INDEX($AN$1005:$BO$1005,1,MATCH(COLUMNS($AN$1006:BN1006),$AN$1006:$BO$1006,0))&gt;=100000), " ",IF(INDEX($AN$2:$BO$1001,MATCH(ROWS($AG$2:AG287),$AG$2:$AG$1001,0),MATCH(COLUMNS($AN$1006:BN1006),$AN$1006:$BO$1006,0)), HYPERLINK("#",""), HYPERLINK(CONCATENATE("#Metadata!", ADDRESS(INDEX($AI$2:$AI$1001,MATCH(ROWS($AG$2:AG287),$AG$2:$AG$1001,0),0), INDEX($AN$1004:$BO$1004,1,MATCH(COLUMNS($AN$1006:BN1006),$AN$1006:$BO$1006,0)))),"Fix")))</f>
        <v>0</v>
      </c>
      <c r="AC287" s="4">
        <f>IF(OR(INDEX($AH$2:$AH$1001,MATCH(ROWS($AG$2:AG287),$AG$2:$AG$1001,0),1)&gt;=100000,INDEX($AN$1005:$BO$1005,1,MATCH(COLUMNS($AN$1006:BO1006),$AN$1006:$BO$1006,0))&gt;=100000), " ",IF(INDEX($AN$2:$BO$1001,MATCH(ROWS($AG$2:AG287),$AG$2:$AG$1001,0),MATCH(COLUMNS($AN$1006:BO1006),$AN$1006:$BO$1006,0)), HYPERLINK("#",""), HYPERLINK(CONCATENATE("#Metadata!", ADDRESS(INDEX($AI$2:$AI$1001,MATCH(ROWS($AG$2:AG287),$AG$2:$AG$1001,0),0), INDEX($AN$1004:$BO$1004,1,MATCH(COLUMNS($AN$1006:BO1006),$AN$1006:$BO$1006,0)))),"Fix")))</f>
        <v>0</v>
      </c>
      <c r="AG287">
        <v>0</v>
      </c>
      <c r="AH287">
        <v>0</v>
      </c>
      <c r="AI287">
        <v>0</v>
      </c>
      <c r="AJ287">
        <f>IF(AK287,TRUE,AND(AN287:BO287))</f>
        <v>0</v>
      </c>
      <c r="AK287">
        <f>COUNTBLANK(Metadata!B287:AC287)=COLUMNS(Metadata!B287:AC287)</f>
        <v>0</v>
      </c>
      <c r="AL287">
        <v>0</v>
      </c>
      <c r="AN287">
        <f>AND(IF(Metadata!B287="",FALSE,TRUE),COUNTIF(Metadata!B:B, Metadata!B287) = 1,NOT(ISERROR(SUMPRODUCT(SEARCH(MID(Metadata!B287,ROW(INDIRECT("1:"&amp;LEN(Metadata!B287))), 1),"0123456789abcdefghijklmnopqrstuvwxyzABCDEFGHIJKLMNOPQRSTUVWXYZ.")))))</f>
        <v>0</v>
      </c>
      <c r="AO287">
        <f>IF(Metadata!C287="",FALSE,TRUE)</f>
        <v>0</v>
      </c>
      <c r="AP287">
        <f>IF(Metadata!D287="",FALSE,TRUE)</f>
        <v>0</v>
      </c>
      <c r="AQ287">
        <f>OR(AND(IF(Metadata!E287="",FALSE,TRUE),OR(exact(Metadata!E287,"not collected"),exact(Metadata!E287,"not provided"),exact(Metadata!E287,"restricted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R287">
        <f>IF(Metadata!F287="",FALSE,TRUE)</f>
        <v>0</v>
      </c>
      <c r="AS287">
        <f>OR(AND(IF(Metadata!G287="",FALSE,TRUE),OR(exact(Metadata!G287,"not collected"),exact(Metadata!G287,"not provided"))),AND(IF(Metadata!G287="",FALSE,TRUE),OR(exact(Metadata!G287,"TRUE"),exact(Metadata!G287,"FALSE"))))</f>
        <v>0</v>
      </c>
      <c r="AT287">
        <f>OR(AND(IF(Metadata!H287="",FALSE,TRUE),OR(exact(Metadata!H287,"not collected"),exact(Metadata!H287,"not provided"),exact(Metadata!H287,"restricted access"))),AND(IF(Metadata!H287="",FALSE,ISNUMBER(VALUE(Metadata!H287))),Metadata!H287&gt;=-413.0))</f>
        <v>0</v>
      </c>
      <c r="AU287">
        <f>AND(IF(Metadata!I287="",FALSE,TRUE),exact(Metadata!I287,"meters"))</f>
        <v>0</v>
      </c>
      <c r="AV287">
        <f>AND(IF(Metadata!J287="",FALSE,TRUE),OR(exact(Metadata!J287,"Host-associated"),exact(Metadata!J287,"Free-living")))</f>
        <v>0</v>
      </c>
      <c r="AW287">
        <f>AND(IF(Metadata!K287="",FALSE,TRUE),OR(exact(Metadata!K287,"Animal"),exact(Metadata!K287,"Fungus"),exact(Metadata!K287,"Plant"),exact(Metadata!K287,"Saline"),exact(Metadata!K287,"Non-saline")))</f>
        <v>0</v>
      </c>
      <c r="AX287">
        <f>AND(IF(Metadata!L287="",FALSE,TRUE),OR(exact(Metadata!L287,"Plant secretion"),exact(Metadata!L287,"Plant rhizosphere"),exact(Metadata!L287,"Plant surface"),exact(Metadata!L287,"Plant corpus"),exact(Metadata!L287,"Fungus surface"),exact(Metadata!L287,"Fungus corpus"),exact(Metadata!L287,"Animal surface"),exact(Metadata!L287,"Animal proximal gut"),exact(Metadata!L287,"Animal corpus"),exact(Metadata!L287,"Animal distal gut"),exact(Metadata!L287,"Animal secretion"),exact(Metadata!L287,"Sub-surface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Y287">
        <f>IF(Metadata!M287="",FALSE,TRUE)</f>
        <v>0</v>
      </c>
      <c r="AZ287">
        <f>IF(Metadata!N287="",FALSE,TRUE)</f>
        <v>0</v>
      </c>
      <c r="BA287">
        <f>IF(Metadata!O287="",FALSE,TRUE)</f>
        <v>0</v>
      </c>
      <c r="BB287">
        <f>OR(AND(IF(Metadata!P287="",FALSE,TRUE),OR(exact(Metadata!P287,"not collected"),exact(Metadata!P287,"not provided"),exact(Metadata!P287,"restricted access"))),AND(IF(Metadata!P287="",FALSE,TRUE),OR(exact(Metadata!P287,"air"),exact(Metadata!P287,"built environment"),exact(Metadata!P287,"host-associated"),exact(Metadata!P287,"human-associated"),exact(Metadata!P287,"human-skin"),exact(Metadata!P287,"human-oral"),exact(Metadata!P287,"human-gut"),exact(Metadata!P287,"human-vaginal"),exact(Metadata!P287,"microbial mat/biofilm"),exact(Metadata!P287,"misc environment"),exact(Metadata!P287,"plant-associated"),exact(Metadata!P287,"sediment"),exact(Metadata!P287,"soil"),exact(Metadata!P287,"wastewater/sludge"),exact(Metadata!P287,"water"))))</f>
        <v>0</v>
      </c>
      <c r="BC287">
        <f>IF(Metadata!Q287="",FALSE,TRUE)</f>
        <v>0</v>
      </c>
      <c r="BD287">
        <f>IF(Metadata!R287="",FALSE,TRUE)</f>
        <v>0</v>
      </c>
      <c r="BE287">
        <f>OR(AND(IF(Metadata!S287="",FALSE,TRUE),OR(exact(Metadata!S287,"not collected"),exact(Metadata!S287,"not provided"),exact(Metadata!S287,"restricted access"))),AND(IF(Metadata!S287="",FALSE,ISNUMBER(VALUE(Metadata!S287))),Metadata!S287&gt;=-90.00,Metadata!S287&lt;=90.00))</f>
        <v>0</v>
      </c>
      <c r="BF287">
        <f>AND(IF(Metadata!T287="",FALSE,TRUE),exact(Metadata!T287,"Decimal degrees"))</f>
        <v>0</v>
      </c>
      <c r="BG287">
        <f>OR(AND(IF(Metadata!U287="",FALSE,TRUE),OR(exact(Metadata!U287,"not collected"),exact(Metadata!U287,"not provided"),exact(Metadata!U287,"restricted access"))),AND(IF(Metadata!U287="",FALSE,ISNUMBER(VALUE(Metadata!U287))),Metadata!U287&gt;=-180.00,Metadata!U287&lt;=180.00))</f>
        <v>0</v>
      </c>
      <c r="BH287">
        <f>AND(IF(Metadata!V287="",FALSE,TRUE),exact(Metadata!V287,"Decimal degrees"))</f>
        <v>0</v>
      </c>
      <c r="BI287">
        <f>IF(Metadata!W287="",FALSE,TRUE)</f>
        <v>0</v>
      </c>
      <c r="BJ287">
        <f>OR(AND(IF(Metadata!X287="",FALSE,TRUE),OR(exact(Metadata!X287,"not collected"),exact(Metadata!X287,"not provided"),exact(Metadata!X287,"restricted access"))),AND(IF(Metadata!X287="",FALSE,TRUE),OR(exact(Metadata!X287,"TRUE"),exact(Metadata!X287,"FALSE"))))</f>
        <v>0</v>
      </c>
      <c r="BK287">
        <f>AND(IF(Metadata!Y287="",FALSE,TRUE),exact(Metadata!Y287,"other"))</f>
        <v>0</v>
      </c>
      <c r="BL287">
        <f>IF(Metadata!Z287="",FALSE,TRUE)</f>
        <v>0</v>
      </c>
      <c r="BM287">
        <f>OR(AND(IF(Metadata!AA287="",FALSE,TRUE),OR(exact(Metadata!AA287,"not collected"),exact(Metadata!AA287,"not provided"))),AND(IF(Metadata!AA287="",FALSE,IF(ISERROR(INT(Metadata!AA287)),FALSE,INT(Metadata!AA287)=Metadata!AA287)),Metadata!AA287&gt;0))</f>
        <v>0</v>
      </c>
      <c r="BN287">
        <f>AND(IF(Metadata!AB287="",FALSE,TRUE),exact(Metadata!AB287,"Not applicable"))</f>
        <v>0</v>
      </c>
      <c r="BO287">
        <f>IF(Metadata!AC287="",FALSE,TRUE)</f>
        <v>0</v>
      </c>
    </row>
    <row r="288" spans="1:67">
      <c r="A288" s="5">
        <f>IF(B288=" "," ",HYPERLINK(CONCATENATE("#metadata!",ADDRESS(INDEX($AI$2:$AI$1001,MATCH(ROWS($AG$2:AG288),$AG$2:$AG$1001,0),0),1)),INDEX($AL$2:$AL$1001,MATCH(ROWS($AG$2:AG288),$AG$2:$AG$1001,0),0)))</f>
        <v>0</v>
      </c>
      <c r="B288" s="4">
        <f>IF(OR(INDEX($AH$2:$AH$1001,MATCH(ROWS($AG$2:AG288),$AG$2:$AG$1001,0),1)&gt;=100000,INDEX($AN$1005:$BO$1005,1,MATCH(COLUMNS($AN$1006:AN1006),$AN$1006:$BO$1006,0))&gt;=100000), " ",IF(INDEX($AN$2:$BO$1001,MATCH(ROWS($AG$2:AG288),$AG$2:$AG$1001,0),MATCH(COLUMNS($AN$1006:AN1006),$AN$1006:$BO$1006,0)), HYPERLINK("#",""), HYPERLINK(CONCATENATE("#Metadata!", ADDRESS(INDEX($AI$2:$AI$1001,MATCH(ROWS($AG$2:AG288),$AG$2:$AG$1001,0),0), INDEX($AN$1004:$BO$1004,1,MATCH(COLUMNS($AN$1006:AN1006),$AN$1006:$BO$1006,0)))),"Fix")))</f>
        <v>0</v>
      </c>
      <c r="C288" s="4">
        <f>IF(OR(INDEX($AH$2:$AH$1001,MATCH(ROWS($AG$2:AG288),$AG$2:$AG$1001,0),1)&gt;=100000,INDEX($AN$1005:$BO$1005,1,MATCH(COLUMNS($AN$1006:AO1006),$AN$1006:$BO$1006,0))&gt;=100000), " ",IF(INDEX($AN$2:$BO$1001,MATCH(ROWS($AG$2:AG288),$AG$2:$AG$1001,0),MATCH(COLUMNS($AN$1006:AO1006),$AN$1006:$BO$1006,0)), HYPERLINK("#",""), HYPERLINK(CONCATENATE("#Metadata!", ADDRESS(INDEX($AI$2:$AI$1001,MATCH(ROWS($AG$2:AG288),$AG$2:$AG$1001,0),0), INDEX($AN$1004:$BO$1004,1,MATCH(COLUMNS($AN$1006:AO1006),$AN$1006:$BO$1006,0)))),"Fix")))</f>
        <v>0</v>
      </c>
      <c r="D288" s="4">
        <f>IF(OR(INDEX($AH$2:$AH$1001,MATCH(ROWS($AG$2:AG288),$AG$2:$AG$1001,0),1)&gt;=100000,INDEX($AN$1005:$BO$1005,1,MATCH(COLUMNS($AN$1006:AP1006),$AN$1006:$BO$1006,0))&gt;=100000), " ",IF(INDEX($AN$2:$BO$1001,MATCH(ROWS($AG$2:AG288),$AG$2:$AG$1001,0),MATCH(COLUMNS($AN$1006:AP1006),$AN$1006:$BO$1006,0)), HYPERLINK("#",""), HYPERLINK(CONCATENATE("#Metadata!", ADDRESS(INDEX($AI$2:$AI$1001,MATCH(ROWS($AG$2:AG288),$AG$2:$AG$1001,0),0), INDEX($AN$1004:$BO$1004,1,MATCH(COLUMNS($AN$1006:AP1006),$AN$1006:$BO$1006,0)))),"Fix")))</f>
        <v>0</v>
      </c>
      <c r="E288" s="4">
        <f>IF(OR(INDEX($AH$2:$AH$1001,MATCH(ROWS($AG$2:AG288),$AG$2:$AG$1001,0),1)&gt;=100000,INDEX($AN$1005:$BO$1005,1,MATCH(COLUMNS($AN$1006:AQ1006),$AN$1006:$BO$1006,0))&gt;=100000), " ",IF(INDEX($AN$2:$BO$1001,MATCH(ROWS($AG$2:AG288),$AG$2:$AG$1001,0),MATCH(COLUMNS($AN$1006:AQ1006),$AN$1006:$BO$1006,0)), HYPERLINK("#",""), HYPERLINK(CONCATENATE("#Metadata!", ADDRESS(INDEX($AI$2:$AI$1001,MATCH(ROWS($AG$2:AG288),$AG$2:$AG$1001,0),0), INDEX($AN$1004:$BO$1004,1,MATCH(COLUMNS($AN$1006:AQ1006),$AN$1006:$BO$1006,0)))),"Fix")))</f>
        <v>0</v>
      </c>
      <c r="F288" s="4">
        <f>IF(OR(INDEX($AH$2:$AH$1001,MATCH(ROWS($AG$2:AG288),$AG$2:$AG$1001,0),1)&gt;=100000,INDEX($AN$1005:$BO$1005,1,MATCH(COLUMNS($AN$1006:AR1006),$AN$1006:$BO$1006,0))&gt;=100000), " ",IF(INDEX($AN$2:$BO$1001,MATCH(ROWS($AG$2:AG288),$AG$2:$AG$1001,0),MATCH(COLUMNS($AN$1006:AR1006),$AN$1006:$BO$1006,0)), HYPERLINK("#",""), HYPERLINK(CONCATENATE("#Metadata!", ADDRESS(INDEX($AI$2:$AI$1001,MATCH(ROWS($AG$2:AG288),$AG$2:$AG$1001,0),0), INDEX($AN$1004:$BO$1004,1,MATCH(COLUMNS($AN$1006:AR1006),$AN$1006:$BO$1006,0)))),"Fix")))</f>
        <v>0</v>
      </c>
      <c r="G288" s="4">
        <f>IF(OR(INDEX($AH$2:$AH$1001,MATCH(ROWS($AG$2:AG288),$AG$2:$AG$1001,0),1)&gt;=100000,INDEX($AN$1005:$BO$1005,1,MATCH(COLUMNS($AN$1006:AS1006),$AN$1006:$BO$1006,0))&gt;=100000), " ",IF(INDEX($AN$2:$BO$1001,MATCH(ROWS($AG$2:AG288),$AG$2:$AG$1001,0),MATCH(COLUMNS($AN$1006:AS1006),$AN$1006:$BO$1006,0)), HYPERLINK("#",""), HYPERLINK(CONCATENATE("#Metadata!", ADDRESS(INDEX($AI$2:$AI$1001,MATCH(ROWS($AG$2:AG288),$AG$2:$AG$1001,0),0), INDEX($AN$1004:$BO$1004,1,MATCH(COLUMNS($AN$1006:AS1006),$AN$1006:$BO$1006,0)))),"Fix")))</f>
        <v>0</v>
      </c>
      <c r="H288" s="4">
        <f>IF(OR(INDEX($AH$2:$AH$1001,MATCH(ROWS($AG$2:AG288),$AG$2:$AG$1001,0),1)&gt;=100000,INDEX($AN$1005:$BO$1005,1,MATCH(COLUMNS($AN$1006:AT1006),$AN$1006:$BO$1006,0))&gt;=100000), " ",IF(INDEX($AN$2:$BO$1001,MATCH(ROWS($AG$2:AG288),$AG$2:$AG$1001,0),MATCH(COLUMNS($AN$1006:AT1006),$AN$1006:$BO$1006,0)), HYPERLINK("#",""), HYPERLINK(CONCATENATE("#Metadata!", ADDRESS(INDEX($AI$2:$AI$1001,MATCH(ROWS($AG$2:AG288),$AG$2:$AG$1001,0),0), INDEX($AN$1004:$BO$1004,1,MATCH(COLUMNS($AN$1006:AT1006),$AN$1006:$BO$1006,0)))),"Fix")))</f>
        <v>0</v>
      </c>
      <c r="I288" s="4">
        <f>IF(OR(INDEX($AH$2:$AH$1001,MATCH(ROWS($AG$2:AG288),$AG$2:$AG$1001,0),1)&gt;=100000,INDEX($AN$1005:$BO$1005,1,MATCH(COLUMNS($AN$1006:AU1006),$AN$1006:$BO$1006,0))&gt;=100000), " ",IF(INDEX($AN$2:$BO$1001,MATCH(ROWS($AG$2:AG288),$AG$2:$AG$1001,0),MATCH(COLUMNS($AN$1006:AU1006),$AN$1006:$BO$1006,0)), HYPERLINK("#",""), HYPERLINK(CONCATENATE("#Metadata!", ADDRESS(INDEX($AI$2:$AI$1001,MATCH(ROWS($AG$2:AG288),$AG$2:$AG$1001,0),0), INDEX($AN$1004:$BO$1004,1,MATCH(COLUMNS($AN$1006:AU1006),$AN$1006:$BO$1006,0)))),"Fix")))</f>
        <v>0</v>
      </c>
      <c r="J288" s="4">
        <f>IF(OR(INDEX($AH$2:$AH$1001,MATCH(ROWS($AG$2:AG288),$AG$2:$AG$1001,0),1)&gt;=100000,INDEX($AN$1005:$BO$1005,1,MATCH(COLUMNS($AN$1006:AV1006),$AN$1006:$BO$1006,0))&gt;=100000), " ",IF(INDEX($AN$2:$BO$1001,MATCH(ROWS($AG$2:AG288),$AG$2:$AG$1001,0),MATCH(COLUMNS($AN$1006:AV1006),$AN$1006:$BO$1006,0)), HYPERLINK("#",""), HYPERLINK(CONCATENATE("#Metadata!", ADDRESS(INDEX($AI$2:$AI$1001,MATCH(ROWS($AG$2:AG288),$AG$2:$AG$1001,0),0), INDEX($AN$1004:$BO$1004,1,MATCH(COLUMNS($AN$1006:AV1006),$AN$1006:$BO$1006,0)))),"Fix")))</f>
        <v>0</v>
      </c>
      <c r="K288" s="4">
        <f>IF(OR(INDEX($AH$2:$AH$1001,MATCH(ROWS($AG$2:AG288),$AG$2:$AG$1001,0),1)&gt;=100000,INDEX($AN$1005:$BO$1005,1,MATCH(COLUMNS($AN$1006:AW1006),$AN$1006:$BO$1006,0))&gt;=100000), " ",IF(INDEX($AN$2:$BO$1001,MATCH(ROWS($AG$2:AG288),$AG$2:$AG$1001,0),MATCH(COLUMNS($AN$1006:AW1006),$AN$1006:$BO$1006,0)), HYPERLINK("#",""), HYPERLINK(CONCATENATE("#Metadata!", ADDRESS(INDEX($AI$2:$AI$1001,MATCH(ROWS($AG$2:AG288),$AG$2:$AG$1001,0),0), INDEX($AN$1004:$BO$1004,1,MATCH(COLUMNS($AN$1006:AW1006),$AN$1006:$BO$1006,0)))),"Fix")))</f>
        <v>0</v>
      </c>
      <c r="L288" s="4">
        <f>IF(OR(INDEX($AH$2:$AH$1001,MATCH(ROWS($AG$2:AG288),$AG$2:$AG$1001,0),1)&gt;=100000,INDEX($AN$1005:$BO$1005,1,MATCH(COLUMNS($AN$1006:AX1006),$AN$1006:$BO$1006,0))&gt;=100000), " ",IF(INDEX($AN$2:$BO$1001,MATCH(ROWS($AG$2:AG288),$AG$2:$AG$1001,0),MATCH(COLUMNS($AN$1006:AX1006),$AN$1006:$BO$1006,0)), HYPERLINK("#",""), HYPERLINK(CONCATENATE("#Metadata!", ADDRESS(INDEX($AI$2:$AI$1001,MATCH(ROWS($AG$2:AG288),$AG$2:$AG$1001,0),0), INDEX($AN$1004:$BO$1004,1,MATCH(COLUMNS($AN$1006:AX1006),$AN$1006:$BO$1006,0)))),"Fix")))</f>
        <v>0</v>
      </c>
      <c r="M288" s="4">
        <f>IF(OR(INDEX($AH$2:$AH$1001,MATCH(ROWS($AG$2:AG288),$AG$2:$AG$1001,0),1)&gt;=100000,INDEX($AN$1005:$BO$1005,1,MATCH(COLUMNS($AN$1006:AY1006),$AN$1006:$BO$1006,0))&gt;=100000), " ",IF(INDEX($AN$2:$BO$1001,MATCH(ROWS($AG$2:AG288),$AG$2:$AG$1001,0),MATCH(COLUMNS($AN$1006:AY1006),$AN$1006:$BO$1006,0)), HYPERLINK("#",""), HYPERLINK(CONCATENATE("#Metadata!", ADDRESS(INDEX($AI$2:$AI$1001,MATCH(ROWS($AG$2:AG288),$AG$2:$AG$1001,0),0), INDEX($AN$1004:$BO$1004,1,MATCH(COLUMNS($AN$1006:AY1006),$AN$1006:$BO$1006,0)))),"Fix")))</f>
        <v>0</v>
      </c>
      <c r="N288" s="4">
        <f>IF(OR(INDEX($AH$2:$AH$1001,MATCH(ROWS($AG$2:AG288),$AG$2:$AG$1001,0),1)&gt;=100000,INDEX($AN$1005:$BO$1005,1,MATCH(COLUMNS($AN$1006:AZ1006),$AN$1006:$BO$1006,0))&gt;=100000), " ",IF(INDEX($AN$2:$BO$1001,MATCH(ROWS($AG$2:AG288),$AG$2:$AG$1001,0),MATCH(COLUMNS($AN$1006:AZ1006),$AN$1006:$BO$1006,0)), HYPERLINK("#",""), HYPERLINK(CONCATENATE("#Metadata!", ADDRESS(INDEX($AI$2:$AI$1001,MATCH(ROWS($AG$2:AG288),$AG$2:$AG$1001,0),0), INDEX($AN$1004:$BO$1004,1,MATCH(COLUMNS($AN$1006:AZ1006),$AN$1006:$BO$1006,0)))),"Fix")))</f>
        <v>0</v>
      </c>
      <c r="O288" s="4">
        <f>IF(OR(INDEX($AH$2:$AH$1001,MATCH(ROWS($AG$2:AG288),$AG$2:$AG$1001,0),1)&gt;=100000,INDEX($AN$1005:$BO$1005,1,MATCH(COLUMNS($AN$1006:BA1006),$AN$1006:$BO$1006,0))&gt;=100000), " ",IF(INDEX($AN$2:$BO$1001,MATCH(ROWS($AG$2:AG288),$AG$2:$AG$1001,0),MATCH(COLUMNS($AN$1006:BA1006),$AN$1006:$BO$1006,0)), HYPERLINK("#",""), HYPERLINK(CONCATENATE("#Metadata!", ADDRESS(INDEX($AI$2:$AI$1001,MATCH(ROWS($AG$2:AG288),$AG$2:$AG$1001,0),0), INDEX($AN$1004:$BO$1004,1,MATCH(COLUMNS($AN$1006:BA1006),$AN$1006:$BO$1006,0)))),"Fix")))</f>
        <v>0</v>
      </c>
      <c r="P288" s="4">
        <f>IF(OR(INDEX($AH$2:$AH$1001,MATCH(ROWS($AG$2:AG288),$AG$2:$AG$1001,0),1)&gt;=100000,INDEX($AN$1005:$BO$1005,1,MATCH(COLUMNS($AN$1006:BB1006),$AN$1006:$BO$1006,0))&gt;=100000), " ",IF(INDEX($AN$2:$BO$1001,MATCH(ROWS($AG$2:AG288),$AG$2:$AG$1001,0),MATCH(COLUMNS($AN$1006:BB1006),$AN$1006:$BO$1006,0)), HYPERLINK("#",""), HYPERLINK(CONCATENATE("#Metadata!", ADDRESS(INDEX($AI$2:$AI$1001,MATCH(ROWS($AG$2:AG288),$AG$2:$AG$1001,0),0), INDEX($AN$1004:$BO$1004,1,MATCH(COLUMNS($AN$1006:BB1006),$AN$1006:$BO$1006,0)))),"Fix")))</f>
        <v>0</v>
      </c>
      <c r="Q288" s="4">
        <f>IF(OR(INDEX($AH$2:$AH$1001,MATCH(ROWS($AG$2:AG288),$AG$2:$AG$1001,0),1)&gt;=100000,INDEX($AN$1005:$BO$1005,1,MATCH(COLUMNS($AN$1006:BC1006),$AN$1006:$BO$1006,0))&gt;=100000), " ",IF(INDEX($AN$2:$BO$1001,MATCH(ROWS($AG$2:AG288),$AG$2:$AG$1001,0),MATCH(COLUMNS($AN$1006:BC1006),$AN$1006:$BO$1006,0)), HYPERLINK("#",""), HYPERLINK(CONCATENATE("#Metadata!", ADDRESS(INDEX($AI$2:$AI$1001,MATCH(ROWS($AG$2:AG288),$AG$2:$AG$1001,0),0), INDEX($AN$1004:$BO$1004,1,MATCH(COLUMNS($AN$1006:BC1006),$AN$1006:$BO$1006,0)))),"Fix")))</f>
        <v>0</v>
      </c>
      <c r="R288" s="4">
        <f>IF(OR(INDEX($AH$2:$AH$1001,MATCH(ROWS($AG$2:AG288),$AG$2:$AG$1001,0),1)&gt;=100000,INDEX($AN$1005:$BO$1005,1,MATCH(COLUMNS($AN$1006:BD1006),$AN$1006:$BO$1006,0))&gt;=100000), " ",IF(INDEX($AN$2:$BO$1001,MATCH(ROWS($AG$2:AG288),$AG$2:$AG$1001,0),MATCH(COLUMNS($AN$1006:BD1006),$AN$1006:$BO$1006,0)), HYPERLINK("#",""), HYPERLINK(CONCATENATE("#Metadata!", ADDRESS(INDEX($AI$2:$AI$1001,MATCH(ROWS($AG$2:AG288),$AG$2:$AG$1001,0),0), INDEX($AN$1004:$BO$1004,1,MATCH(COLUMNS($AN$1006:BD1006),$AN$1006:$BO$1006,0)))),"Fix")))</f>
        <v>0</v>
      </c>
      <c r="S288" s="4">
        <f>IF(OR(INDEX($AH$2:$AH$1001,MATCH(ROWS($AG$2:AG288),$AG$2:$AG$1001,0),1)&gt;=100000,INDEX($AN$1005:$BO$1005,1,MATCH(COLUMNS($AN$1006:BE1006),$AN$1006:$BO$1006,0))&gt;=100000), " ",IF(INDEX($AN$2:$BO$1001,MATCH(ROWS($AG$2:AG288),$AG$2:$AG$1001,0),MATCH(COLUMNS($AN$1006:BE1006),$AN$1006:$BO$1006,0)), HYPERLINK("#",""), HYPERLINK(CONCATENATE("#Metadata!", ADDRESS(INDEX($AI$2:$AI$1001,MATCH(ROWS($AG$2:AG288),$AG$2:$AG$1001,0),0), INDEX($AN$1004:$BO$1004,1,MATCH(COLUMNS($AN$1006:BE1006),$AN$1006:$BO$1006,0)))),"Fix")))</f>
        <v>0</v>
      </c>
      <c r="T288" s="4">
        <f>IF(OR(INDEX($AH$2:$AH$1001,MATCH(ROWS($AG$2:AG288),$AG$2:$AG$1001,0),1)&gt;=100000,INDEX($AN$1005:$BO$1005,1,MATCH(COLUMNS($AN$1006:BF1006),$AN$1006:$BO$1006,0))&gt;=100000), " ",IF(INDEX($AN$2:$BO$1001,MATCH(ROWS($AG$2:AG288),$AG$2:$AG$1001,0),MATCH(COLUMNS($AN$1006:BF1006),$AN$1006:$BO$1006,0)), HYPERLINK("#",""), HYPERLINK(CONCATENATE("#Metadata!", ADDRESS(INDEX($AI$2:$AI$1001,MATCH(ROWS($AG$2:AG288),$AG$2:$AG$1001,0),0), INDEX($AN$1004:$BO$1004,1,MATCH(COLUMNS($AN$1006:BF1006),$AN$1006:$BO$1006,0)))),"Fix")))</f>
        <v>0</v>
      </c>
      <c r="U288" s="4">
        <f>IF(OR(INDEX($AH$2:$AH$1001,MATCH(ROWS($AG$2:AG288),$AG$2:$AG$1001,0),1)&gt;=100000,INDEX($AN$1005:$BO$1005,1,MATCH(COLUMNS($AN$1006:BG1006),$AN$1006:$BO$1006,0))&gt;=100000), " ",IF(INDEX($AN$2:$BO$1001,MATCH(ROWS($AG$2:AG288),$AG$2:$AG$1001,0),MATCH(COLUMNS($AN$1006:BG1006),$AN$1006:$BO$1006,0)), HYPERLINK("#",""), HYPERLINK(CONCATENATE("#Metadata!", ADDRESS(INDEX($AI$2:$AI$1001,MATCH(ROWS($AG$2:AG288),$AG$2:$AG$1001,0),0), INDEX($AN$1004:$BO$1004,1,MATCH(COLUMNS($AN$1006:BG1006),$AN$1006:$BO$1006,0)))),"Fix")))</f>
        <v>0</v>
      </c>
      <c r="V288" s="4">
        <f>IF(OR(INDEX($AH$2:$AH$1001,MATCH(ROWS($AG$2:AG288),$AG$2:$AG$1001,0),1)&gt;=100000,INDEX($AN$1005:$BO$1005,1,MATCH(COLUMNS($AN$1006:BH1006),$AN$1006:$BO$1006,0))&gt;=100000), " ",IF(INDEX($AN$2:$BO$1001,MATCH(ROWS($AG$2:AG288),$AG$2:$AG$1001,0),MATCH(COLUMNS($AN$1006:BH1006),$AN$1006:$BO$1006,0)), HYPERLINK("#",""), HYPERLINK(CONCATENATE("#Metadata!", ADDRESS(INDEX($AI$2:$AI$1001,MATCH(ROWS($AG$2:AG288),$AG$2:$AG$1001,0),0), INDEX($AN$1004:$BO$1004,1,MATCH(COLUMNS($AN$1006:BH1006),$AN$1006:$BO$1006,0)))),"Fix")))</f>
        <v>0</v>
      </c>
      <c r="W288" s="4">
        <f>IF(OR(INDEX($AH$2:$AH$1001,MATCH(ROWS($AG$2:AG288),$AG$2:$AG$1001,0),1)&gt;=100000,INDEX($AN$1005:$BO$1005,1,MATCH(COLUMNS($AN$1006:BI1006),$AN$1006:$BO$1006,0))&gt;=100000), " ",IF(INDEX($AN$2:$BO$1001,MATCH(ROWS($AG$2:AG288),$AG$2:$AG$1001,0),MATCH(COLUMNS($AN$1006:BI1006),$AN$1006:$BO$1006,0)), HYPERLINK("#",""), HYPERLINK(CONCATENATE("#Metadata!", ADDRESS(INDEX($AI$2:$AI$1001,MATCH(ROWS($AG$2:AG288),$AG$2:$AG$1001,0),0), INDEX($AN$1004:$BO$1004,1,MATCH(COLUMNS($AN$1006:BI1006),$AN$1006:$BO$1006,0)))),"Fix")))</f>
        <v>0</v>
      </c>
      <c r="X288" s="4">
        <f>IF(OR(INDEX($AH$2:$AH$1001,MATCH(ROWS($AG$2:AG288),$AG$2:$AG$1001,0),1)&gt;=100000,INDEX($AN$1005:$BO$1005,1,MATCH(COLUMNS($AN$1006:BJ1006),$AN$1006:$BO$1006,0))&gt;=100000), " ",IF(INDEX($AN$2:$BO$1001,MATCH(ROWS($AG$2:AG288),$AG$2:$AG$1001,0),MATCH(COLUMNS($AN$1006:BJ1006),$AN$1006:$BO$1006,0)), HYPERLINK("#",""), HYPERLINK(CONCATENATE("#Metadata!", ADDRESS(INDEX($AI$2:$AI$1001,MATCH(ROWS($AG$2:AG288),$AG$2:$AG$1001,0),0), INDEX($AN$1004:$BO$1004,1,MATCH(COLUMNS($AN$1006:BJ1006),$AN$1006:$BO$1006,0)))),"Fix")))</f>
        <v>0</v>
      </c>
      <c r="Y288" s="4">
        <f>IF(OR(INDEX($AH$2:$AH$1001,MATCH(ROWS($AG$2:AG288),$AG$2:$AG$1001,0),1)&gt;=100000,INDEX($AN$1005:$BO$1005,1,MATCH(COLUMNS($AN$1006:BK1006),$AN$1006:$BO$1006,0))&gt;=100000), " ",IF(INDEX($AN$2:$BO$1001,MATCH(ROWS($AG$2:AG288),$AG$2:$AG$1001,0),MATCH(COLUMNS($AN$1006:BK1006),$AN$1006:$BO$1006,0)), HYPERLINK("#",""), HYPERLINK(CONCATENATE("#Metadata!", ADDRESS(INDEX($AI$2:$AI$1001,MATCH(ROWS($AG$2:AG288),$AG$2:$AG$1001,0),0), INDEX($AN$1004:$BO$1004,1,MATCH(COLUMNS($AN$1006:BK1006),$AN$1006:$BO$1006,0)))),"Fix")))</f>
        <v>0</v>
      </c>
      <c r="Z288" s="4">
        <f>IF(OR(INDEX($AH$2:$AH$1001,MATCH(ROWS($AG$2:AG288),$AG$2:$AG$1001,0),1)&gt;=100000,INDEX($AN$1005:$BO$1005,1,MATCH(COLUMNS($AN$1006:BL1006),$AN$1006:$BO$1006,0))&gt;=100000), " ",IF(INDEX($AN$2:$BO$1001,MATCH(ROWS($AG$2:AG288),$AG$2:$AG$1001,0),MATCH(COLUMNS($AN$1006:BL1006),$AN$1006:$BO$1006,0)), HYPERLINK("#",""), HYPERLINK(CONCATENATE("#Metadata!", ADDRESS(INDEX($AI$2:$AI$1001,MATCH(ROWS($AG$2:AG288),$AG$2:$AG$1001,0),0), INDEX($AN$1004:$BO$1004,1,MATCH(COLUMNS($AN$1006:BL1006),$AN$1006:$BO$1006,0)))),"Fix")))</f>
        <v>0</v>
      </c>
      <c r="AA288" s="4">
        <f>IF(OR(INDEX($AH$2:$AH$1001,MATCH(ROWS($AG$2:AG288),$AG$2:$AG$1001,0),1)&gt;=100000,INDEX($AN$1005:$BO$1005,1,MATCH(COLUMNS($AN$1006:BM1006),$AN$1006:$BO$1006,0))&gt;=100000), " ",IF(INDEX($AN$2:$BO$1001,MATCH(ROWS($AG$2:AG288),$AG$2:$AG$1001,0),MATCH(COLUMNS($AN$1006:BM1006),$AN$1006:$BO$1006,0)), HYPERLINK("#",""), HYPERLINK(CONCATENATE("#Metadata!", ADDRESS(INDEX($AI$2:$AI$1001,MATCH(ROWS($AG$2:AG288),$AG$2:$AG$1001,0),0), INDEX($AN$1004:$BO$1004,1,MATCH(COLUMNS($AN$1006:BM1006),$AN$1006:$BO$1006,0)))),"Fix")))</f>
        <v>0</v>
      </c>
      <c r="AB288" s="4">
        <f>IF(OR(INDEX($AH$2:$AH$1001,MATCH(ROWS($AG$2:AG288),$AG$2:$AG$1001,0),1)&gt;=100000,INDEX($AN$1005:$BO$1005,1,MATCH(COLUMNS($AN$1006:BN1006),$AN$1006:$BO$1006,0))&gt;=100000), " ",IF(INDEX($AN$2:$BO$1001,MATCH(ROWS($AG$2:AG288),$AG$2:$AG$1001,0),MATCH(COLUMNS($AN$1006:BN1006),$AN$1006:$BO$1006,0)), HYPERLINK("#",""), HYPERLINK(CONCATENATE("#Metadata!", ADDRESS(INDEX($AI$2:$AI$1001,MATCH(ROWS($AG$2:AG288),$AG$2:$AG$1001,0),0), INDEX($AN$1004:$BO$1004,1,MATCH(COLUMNS($AN$1006:BN1006),$AN$1006:$BO$1006,0)))),"Fix")))</f>
        <v>0</v>
      </c>
      <c r="AC288" s="4">
        <f>IF(OR(INDEX($AH$2:$AH$1001,MATCH(ROWS($AG$2:AG288),$AG$2:$AG$1001,0),1)&gt;=100000,INDEX($AN$1005:$BO$1005,1,MATCH(COLUMNS($AN$1006:BO1006),$AN$1006:$BO$1006,0))&gt;=100000), " ",IF(INDEX($AN$2:$BO$1001,MATCH(ROWS($AG$2:AG288),$AG$2:$AG$1001,0),MATCH(COLUMNS($AN$1006:BO1006),$AN$1006:$BO$1006,0)), HYPERLINK("#",""), HYPERLINK(CONCATENATE("#Metadata!", ADDRESS(INDEX($AI$2:$AI$1001,MATCH(ROWS($AG$2:AG288),$AG$2:$AG$1001,0),0), INDEX($AN$1004:$BO$1004,1,MATCH(COLUMNS($AN$1006:BO1006),$AN$1006:$BO$1006,0)))),"Fix")))</f>
        <v>0</v>
      </c>
      <c r="AG288">
        <v>0</v>
      </c>
      <c r="AH288">
        <v>0</v>
      </c>
      <c r="AI288">
        <v>0</v>
      </c>
      <c r="AJ288">
        <f>IF(AK288,TRUE,AND(AN288:BO288))</f>
        <v>0</v>
      </c>
      <c r="AK288">
        <f>COUNTBLANK(Metadata!B288:AC288)=COLUMNS(Metadata!B288:AC288)</f>
        <v>0</v>
      </c>
      <c r="AL288">
        <v>0</v>
      </c>
      <c r="AN288">
        <f>AND(IF(Metadata!B288="",FALSE,TRUE),COUNTIF(Metadata!B:B, Metadata!B288) = 1,NOT(ISERROR(SUMPRODUCT(SEARCH(MID(Metadata!B288,ROW(INDIRECT("1:"&amp;LEN(Metadata!B288))), 1),"0123456789abcdefghijklmnopqrstuvwxyzABCDEFGHIJKLMNOPQRSTUVWXYZ.")))))</f>
        <v>0</v>
      </c>
      <c r="AO288">
        <f>IF(Metadata!C288="",FALSE,TRUE)</f>
        <v>0</v>
      </c>
      <c r="AP288">
        <f>IF(Metadata!D288="",FALSE,TRUE)</f>
        <v>0</v>
      </c>
      <c r="AQ288">
        <f>OR(AND(IF(Metadata!E288="",FALSE,TRUE),OR(exact(Metadata!E288,"not collected"),exact(Metadata!E288,"not provided"),exact(Metadata!E288,"restricted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R288">
        <f>IF(Metadata!F288="",FALSE,TRUE)</f>
        <v>0</v>
      </c>
      <c r="AS288">
        <f>OR(AND(IF(Metadata!G288="",FALSE,TRUE),OR(exact(Metadata!G288,"not collected"),exact(Metadata!G288,"not provided"))),AND(IF(Metadata!G288="",FALSE,TRUE),OR(exact(Metadata!G288,"TRUE"),exact(Metadata!G288,"FALSE"))))</f>
        <v>0</v>
      </c>
      <c r="AT288">
        <f>OR(AND(IF(Metadata!H288="",FALSE,TRUE),OR(exact(Metadata!H288,"not collected"),exact(Metadata!H288,"not provided"),exact(Metadata!H288,"restricted access"))),AND(IF(Metadata!H288="",FALSE,ISNUMBER(VALUE(Metadata!H288))),Metadata!H288&gt;=-413.0))</f>
        <v>0</v>
      </c>
      <c r="AU288">
        <f>AND(IF(Metadata!I288="",FALSE,TRUE),exact(Metadata!I288,"meters"))</f>
        <v>0</v>
      </c>
      <c r="AV288">
        <f>AND(IF(Metadata!J288="",FALSE,TRUE),OR(exact(Metadata!J288,"Host-associated"),exact(Metadata!J288,"Free-living")))</f>
        <v>0</v>
      </c>
      <c r="AW288">
        <f>AND(IF(Metadata!K288="",FALSE,TRUE),OR(exact(Metadata!K288,"Animal"),exact(Metadata!K288,"Fungus"),exact(Metadata!K288,"Plant"),exact(Metadata!K288,"Saline"),exact(Metadata!K288,"Non-saline")))</f>
        <v>0</v>
      </c>
      <c r="AX288">
        <f>AND(IF(Metadata!L288="",FALSE,TRUE),OR(exact(Metadata!L288,"Plant secretion"),exact(Metadata!L288,"Plant rhizosphere"),exact(Metadata!L288,"Plant surface"),exact(Metadata!L288,"Plant corpus"),exact(Metadata!L288,"Fungus surface"),exact(Metadata!L288,"Fungus corpus"),exact(Metadata!L288,"Animal surface"),exact(Metadata!L288,"Animal proximal gut"),exact(Metadata!L288,"Animal corpus"),exact(Metadata!L288,"Animal distal gut"),exact(Metadata!L288,"Animal secretion"),exact(Metadata!L288,"Sub-surface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Y288">
        <f>IF(Metadata!M288="",FALSE,TRUE)</f>
        <v>0</v>
      </c>
      <c r="AZ288">
        <f>IF(Metadata!N288="",FALSE,TRUE)</f>
        <v>0</v>
      </c>
      <c r="BA288">
        <f>IF(Metadata!O288="",FALSE,TRUE)</f>
        <v>0</v>
      </c>
      <c r="BB288">
        <f>OR(AND(IF(Metadata!P288="",FALSE,TRUE),OR(exact(Metadata!P288,"not collected"),exact(Metadata!P288,"not provided"),exact(Metadata!P288,"restricted access"))),AND(IF(Metadata!P288="",FALSE,TRUE),OR(exact(Metadata!P288,"air"),exact(Metadata!P288,"built environment"),exact(Metadata!P288,"host-associated"),exact(Metadata!P288,"human-associated"),exact(Metadata!P288,"human-skin"),exact(Metadata!P288,"human-oral"),exact(Metadata!P288,"human-gut"),exact(Metadata!P288,"human-vaginal"),exact(Metadata!P288,"microbial mat/biofilm"),exact(Metadata!P288,"misc environment"),exact(Metadata!P288,"plant-associated"),exact(Metadata!P288,"sediment"),exact(Metadata!P288,"soil"),exact(Metadata!P288,"wastewater/sludge"),exact(Metadata!P288,"water"))))</f>
        <v>0</v>
      </c>
      <c r="BC288">
        <f>IF(Metadata!Q288="",FALSE,TRUE)</f>
        <v>0</v>
      </c>
      <c r="BD288">
        <f>IF(Metadata!R288="",FALSE,TRUE)</f>
        <v>0</v>
      </c>
      <c r="BE288">
        <f>OR(AND(IF(Metadata!S288="",FALSE,TRUE),OR(exact(Metadata!S288,"not collected"),exact(Metadata!S288,"not provided"),exact(Metadata!S288,"restricted access"))),AND(IF(Metadata!S288="",FALSE,ISNUMBER(VALUE(Metadata!S288))),Metadata!S288&gt;=-90.00,Metadata!S288&lt;=90.00))</f>
        <v>0</v>
      </c>
      <c r="BF288">
        <f>AND(IF(Metadata!T288="",FALSE,TRUE),exact(Metadata!T288,"Decimal degrees"))</f>
        <v>0</v>
      </c>
      <c r="BG288">
        <f>OR(AND(IF(Metadata!U288="",FALSE,TRUE),OR(exact(Metadata!U288,"not collected"),exact(Metadata!U288,"not provided"),exact(Metadata!U288,"restricted access"))),AND(IF(Metadata!U288="",FALSE,ISNUMBER(VALUE(Metadata!U288))),Metadata!U288&gt;=-180.00,Metadata!U288&lt;=180.00))</f>
        <v>0</v>
      </c>
      <c r="BH288">
        <f>AND(IF(Metadata!V288="",FALSE,TRUE),exact(Metadata!V288,"Decimal degrees"))</f>
        <v>0</v>
      </c>
      <c r="BI288">
        <f>IF(Metadata!W288="",FALSE,TRUE)</f>
        <v>0</v>
      </c>
      <c r="BJ288">
        <f>OR(AND(IF(Metadata!X288="",FALSE,TRUE),OR(exact(Metadata!X288,"not collected"),exact(Metadata!X288,"not provided"),exact(Metadata!X288,"restricted access"))),AND(IF(Metadata!X288="",FALSE,TRUE),OR(exact(Metadata!X288,"TRUE"),exact(Metadata!X288,"FALSE"))))</f>
        <v>0</v>
      </c>
      <c r="BK288">
        <f>AND(IF(Metadata!Y288="",FALSE,TRUE),exact(Metadata!Y288,"other"))</f>
        <v>0</v>
      </c>
      <c r="BL288">
        <f>IF(Metadata!Z288="",FALSE,TRUE)</f>
        <v>0</v>
      </c>
      <c r="BM288">
        <f>OR(AND(IF(Metadata!AA288="",FALSE,TRUE),OR(exact(Metadata!AA288,"not collected"),exact(Metadata!AA288,"not provided"))),AND(IF(Metadata!AA288="",FALSE,IF(ISERROR(INT(Metadata!AA288)),FALSE,INT(Metadata!AA288)=Metadata!AA288)),Metadata!AA288&gt;0))</f>
        <v>0</v>
      </c>
      <c r="BN288">
        <f>AND(IF(Metadata!AB288="",FALSE,TRUE),exact(Metadata!AB288,"Not applicable"))</f>
        <v>0</v>
      </c>
      <c r="BO288">
        <f>IF(Metadata!AC288="",FALSE,TRUE)</f>
        <v>0</v>
      </c>
    </row>
    <row r="289" spans="1:67">
      <c r="A289" s="5">
        <f>IF(B289=" "," ",HYPERLINK(CONCATENATE("#metadata!",ADDRESS(INDEX($AI$2:$AI$1001,MATCH(ROWS($AG$2:AG289),$AG$2:$AG$1001,0),0),1)),INDEX($AL$2:$AL$1001,MATCH(ROWS($AG$2:AG289),$AG$2:$AG$1001,0),0)))</f>
        <v>0</v>
      </c>
      <c r="B289" s="4">
        <f>IF(OR(INDEX($AH$2:$AH$1001,MATCH(ROWS($AG$2:AG289),$AG$2:$AG$1001,0),1)&gt;=100000,INDEX($AN$1005:$BO$1005,1,MATCH(COLUMNS($AN$1006:AN1006),$AN$1006:$BO$1006,0))&gt;=100000), " ",IF(INDEX($AN$2:$BO$1001,MATCH(ROWS($AG$2:AG289),$AG$2:$AG$1001,0),MATCH(COLUMNS($AN$1006:AN1006),$AN$1006:$BO$1006,0)), HYPERLINK("#",""), HYPERLINK(CONCATENATE("#Metadata!", ADDRESS(INDEX($AI$2:$AI$1001,MATCH(ROWS($AG$2:AG289),$AG$2:$AG$1001,0),0), INDEX($AN$1004:$BO$1004,1,MATCH(COLUMNS($AN$1006:AN1006),$AN$1006:$BO$1006,0)))),"Fix")))</f>
        <v>0</v>
      </c>
      <c r="C289" s="4">
        <f>IF(OR(INDEX($AH$2:$AH$1001,MATCH(ROWS($AG$2:AG289),$AG$2:$AG$1001,0),1)&gt;=100000,INDEX($AN$1005:$BO$1005,1,MATCH(COLUMNS($AN$1006:AO1006),$AN$1006:$BO$1006,0))&gt;=100000), " ",IF(INDEX($AN$2:$BO$1001,MATCH(ROWS($AG$2:AG289),$AG$2:$AG$1001,0),MATCH(COLUMNS($AN$1006:AO1006),$AN$1006:$BO$1006,0)), HYPERLINK("#",""), HYPERLINK(CONCATENATE("#Metadata!", ADDRESS(INDEX($AI$2:$AI$1001,MATCH(ROWS($AG$2:AG289),$AG$2:$AG$1001,0),0), INDEX($AN$1004:$BO$1004,1,MATCH(COLUMNS($AN$1006:AO1006),$AN$1006:$BO$1006,0)))),"Fix")))</f>
        <v>0</v>
      </c>
      <c r="D289" s="4">
        <f>IF(OR(INDEX($AH$2:$AH$1001,MATCH(ROWS($AG$2:AG289),$AG$2:$AG$1001,0),1)&gt;=100000,INDEX($AN$1005:$BO$1005,1,MATCH(COLUMNS($AN$1006:AP1006),$AN$1006:$BO$1006,0))&gt;=100000), " ",IF(INDEX($AN$2:$BO$1001,MATCH(ROWS($AG$2:AG289),$AG$2:$AG$1001,0),MATCH(COLUMNS($AN$1006:AP1006),$AN$1006:$BO$1006,0)), HYPERLINK("#",""), HYPERLINK(CONCATENATE("#Metadata!", ADDRESS(INDEX($AI$2:$AI$1001,MATCH(ROWS($AG$2:AG289),$AG$2:$AG$1001,0),0), INDEX($AN$1004:$BO$1004,1,MATCH(COLUMNS($AN$1006:AP1006),$AN$1006:$BO$1006,0)))),"Fix")))</f>
        <v>0</v>
      </c>
      <c r="E289" s="4">
        <f>IF(OR(INDEX($AH$2:$AH$1001,MATCH(ROWS($AG$2:AG289),$AG$2:$AG$1001,0),1)&gt;=100000,INDEX($AN$1005:$BO$1005,1,MATCH(COLUMNS($AN$1006:AQ1006),$AN$1006:$BO$1006,0))&gt;=100000), " ",IF(INDEX($AN$2:$BO$1001,MATCH(ROWS($AG$2:AG289),$AG$2:$AG$1001,0),MATCH(COLUMNS($AN$1006:AQ1006),$AN$1006:$BO$1006,0)), HYPERLINK("#",""), HYPERLINK(CONCATENATE("#Metadata!", ADDRESS(INDEX($AI$2:$AI$1001,MATCH(ROWS($AG$2:AG289),$AG$2:$AG$1001,0),0), INDEX($AN$1004:$BO$1004,1,MATCH(COLUMNS($AN$1006:AQ1006),$AN$1006:$BO$1006,0)))),"Fix")))</f>
        <v>0</v>
      </c>
      <c r="F289" s="4">
        <f>IF(OR(INDEX($AH$2:$AH$1001,MATCH(ROWS($AG$2:AG289),$AG$2:$AG$1001,0),1)&gt;=100000,INDEX($AN$1005:$BO$1005,1,MATCH(COLUMNS($AN$1006:AR1006),$AN$1006:$BO$1006,0))&gt;=100000), " ",IF(INDEX($AN$2:$BO$1001,MATCH(ROWS($AG$2:AG289),$AG$2:$AG$1001,0),MATCH(COLUMNS($AN$1006:AR1006),$AN$1006:$BO$1006,0)), HYPERLINK("#",""), HYPERLINK(CONCATENATE("#Metadata!", ADDRESS(INDEX($AI$2:$AI$1001,MATCH(ROWS($AG$2:AG289),$AG$2:$AG$1001,0),0), INDEX($AN$1004:$BO$1004,1,MATCH(COLUMNS($AN$1006:AR1006),$AN$1006:$BO$1006,0)))),"Fix")))</f>
        <v>0</v>
      </c>
      <c r="G289" s="4">
        <f>IF(OR(INDEX($AH$2:$AH$1001,MATCH(ROWS($AG$2:AG289),$AG$2:$AG$1001,0),1)&gt;=100000,INDEX($AN$1005:$BO$1005,1,MATCH(COLUMNS($AN$1006:AS1006),$AN$1006:$BO$1006,0))&gt;=100000), " ",IF(INDEX($AN$2:$BO$1001,MATCH(ROWS($AG$2:AG289),$AG$2:$AG$1001,0),MATCH(COLUMNS($AN$1006:AS1006),$AN$1006:$BO$1006,0)), HYPERLINK("#",""), HYPERLINK(CONCATENATE("#Metadata!", ADDRESS(INDEX($AI$2:$AI$1001,MATCH(ROWS($AG$2:AG289),$AG$2:$AG$1001,0),0), INDEX($AN$1004:$BO$1004,1,MATCH(COLUMNS($AN$1006:AS1006),$AN$1006:$BO$1006,0)))),"Fix")))</f>
        <v>0</v>
      </c>
      <c r="H289" s="4">
        <f>IF(OR(INDEX($AH$2:$AH$1001,MATCH(ROWS($AG$2:AG289),$AG$2:$AG$1001,0),1)&gt;=100000,INDEX($AN$1005:$BO$1005,1,MATCH(COLUMNS($AN$1006:AT1006),$AN$1006:$BO$1006,0))&gt;=100000), " ",IF(INDEX($AN$2:$BO$1001,MATCH(ROWS($AG$2:AG289),$AG$2:$AG$1001,0),MATCH(COLUMNS($AN$1006:AT1006),$AN$1006:$BO$1006,0)), HYPERLINK("#",""), HYPERLINK(CONCATENATE("#Metadata!", ADDRESS(INDEX($AI$2:$AI$1001,MATCH(ROWS($AG$2:AG289),$AG$2:$AG$1001,0),0), INDEX($AN$1004:$BO$1004,1,MATCH(COLUMNS($AN$1006:AT1006),$AN$1006:$BO$1006,0)))),"Fix")))</f>
        <v>0</v>
      </c>
      <c r="I289" s="4">
        <f>IF(OR(INDEX($AH$2:$AH$1001,MATCH(ROWS($AG$2:AG289),$AG$2:$AG$1001,0),1)&gt;=100000,INDEX($AN$1005:$BO$1005,1,MATCH(COLUMNS($AN$1006:AU1006),$AN$1006:$BO$1006,0))&gt;=100000), " ",IF(INDEX($AN$2:$BO$1001,MATCH(ROWS($AG$2:AG289),$AG$2:$AG$1001,0),MATCH(COLUMNS($AN$1006:AU1006),$AN$1006:$BO$1006,0)), HYPERLINK("#",""), HYPERLINK(CONCATENATE("#Metadata!", ADDRESS(INDEX($AI$2:$AI$1001,MATCH(ROWS($AG$2:AG289),$AG$2:$AG$1001,0),0), INDEX($AN$1004:$BO$1004,1,MATCH(COLUMNS($AN$1006:AU1006),$AN$1006:$BO$1006,0)))),"Fix")))</f>
        <v>0</v>
      </c>
      <c r="J289" s="4">
        <f>IF(OR(INDEX($AH$2:$AH$1001,MATCH(ROWS($AG$2:AG289),$AG$2:$AG$1001,0),1)&gt;=100000,INDEX($AN$1005:$BO$1005,1,MATCH(COLUMNS($AN$1006:AV1006),$AN$1006:$BO$1006,0))&gt;=100000), " ",IF(INDEX($AN$2:$BO$1001,MATCH(ROWS($AG$2:AG289),$AG$2:$AG$1001,0),MATCH(COLUMNS($AN$1006:AV1006),$AN$1006:$BO$1006,0)), HYPERLINK("#",""), HYPERLINK(CONCATENATE("#Metadata!", ADDRESS(INDEX($AI$2:$AI$1001,MATCH(ROWS($AG$2:AG289),$AG$2:$AG$1001,0),0), INDEX($AN$1004:$BO$1004,1,MATCH(COLUMNS($AN$1006:AV1006),$AN$1006:$BO$1006,0)))),"Fix")))</f>
        <v>0</v>
      </c>
      <c r="K289" s="4">
        <f>IF(OR(INDEX($AH$2:$AH$1001,MATCH(ROWS($AG$2:AG289),$AG$2:$AG$1001,0),1)&gt;=100000,INDEX($AN$1005:$BO$1005,1,MATCH(COLUMNS($AN$1006:AW1006),$AN$1006:$BO$1006,0))&gt;=100000), " ",IF(INDEX($AN$2:$BO$1001,MATCH(ROWS($AG$2:AG289),$AG$2:$AG$1001,0),MATCH(COLUMNS($AN$1006:AW1006),$AN$1006:$BO$1006,0)), HYPERLINK("#",""), HYPERLINK(CONCATENATE("#Metadata!", ADDRESS(INDEX($AI$2:$AI$1001,MATCH(ROWS($AG$2:AG289),$AG$2:$AG$1001,0),0), INDEX($AN$1004:$BO$1004,1,MATCH(COLUMNS($AN$1006:AW1006),$AN$1006:$BO$1006,0)))),"Fix")))</f>
        <v>0</v>
      </c>
      <c r="L289" s="4">
        <f>IF(OR(INDEX($AH$2:$AH$1001,MATCH(ROWS($AG$2:AG289),$AG$2:$AG$1001,0),1)&gt;=100000,INDEX($AN$1005:$BO$1005,1,MATCH(COLUMNS($AN$1006:AX1006),$AN$1006:$BO$1006,0))&gt;=100000), " ",IF(INDEX($AN$2:$BO$1001,MATCH(ROWS($AG$2:AG289),$AG$2:$AG$1001,0),MATCH(COLUMNS($AN$1006:AX1006),$AN$1006:$BO$1006,0)), HYPERLINK("#",""), HYPERLINK(CONCATENATE("#Metadata!", ADDRESS(INDEX($AI$2:$AI$1001,MATCH(ROWS($AG$2:AG289),$AG$2:$AG$1001,0),0), INDEX($AN$1004:$BO$1004,1,MATCH(COLUMNS($AN$1006:AX1006),$AN$1006:$BO$1006,0)))),"Fix")))</f>
        <v>0</v>
      </c>
      <c r="M289" s="4">
        <f>IF(OR(INDEX($AH$2:$AH$1001,MATCH(ROWS($AG$2:AG289),$AG$2:$AG$1001,0),1)&gt;=100000,INDEX($AN$1005:$BO$1005,1,MATCH(COLUMNS($AN$1006:AY1006),$AN$1006:$BO$1006,0))&gt;=100000), " ",IF(INDEX($AN$2:$BO$1001,MATCH(ROWS($AG$2:AG289),$AG$2:$AG$1001,0),MATCH(COLUMNS($AN$1006:AY1006),$AN$1006:$BO$1006,0)), HYPERLINK("#",""), HYPERLINK(CONCATENATE("#Metadata!", ADDRESS(INDEX($AI$2:$AI$1001,MATCH(ROWS($AG$2:AG289),$AG$2:$AG$1001,0),0), INDEX($AN$1004:$BO$1004,1,MATCH(COLUMNS($AN$1006:AY1006),$AN$1006:$BO$1006,0)))),"Fix")))</f>
        <v>0</v>
      </c>
      <c r="N289" s="4">
        <f>IF(OR(INDEX($AH$2:$AH$1001,MATCH(ROWS($AG$2:AG289),$AG$2:$AG$1001,0),1)&gt;=100000,INDEX($AN$1005:$BO$1005,1,MATCH(COLUMNS($AN$1006:AZ1006),$AN$1006:$BO$1006,0))&gt;=100000), " ",IF(INDEX($AN$2:$BO$1001,MATCH(ROWS($AG$2:AG289),$AG$2:$AG$1001,0),MATCH(COLUMNS($AN$1006:AZ1006),$AN$1006:$BO$1006,0)), HYPERLINK("#",""), HYPERLINK(CONCATENATE("#Metadata!", ADDRESS(INDEX($AI$2:$AI$1001,MATCH(ROWS($AG$2:AG289),$AG$2:$AG$1001,0),0), INDEX($AN$1004:$BO$1004,1,MATCH(COLUMNS($AN$1006:AZ1006),$AN$1006:$BO$1006,0)))),"Fix")))</f>
        <v>0</v>
      </c>
      <c r="O289" s="4">
        <f>IF(OR(INDEX($AH$2:$AH$1001,MATCH(ROWS($AG$2:AG289),$AG$2:$AG$1001,0),1)&gt;=100000,INDEX($AN$1005:$BO$1005,1,MATCH(COLUMNS($AN$1006:BA1006),$AN$1006:$BO$1006,0))&gt;=100000), " ",IF(INDEX($AN$2:$BO$1001,MATCH(ROWS($AG$2:AG289),$AG$2:$AG$1001,0),MATCH(COLUMNS($AN$1006:BA1006),$AN$1006:$BO$1006,0)), HYPERLINK("#",""), HYPERLINK(CONCATENATE("#Metadata!", ADDRESS(INDEX($AI$2:$AI$1001,MATCH(ROWS($AG$2:AG289),$AG$2:$AG$1001,0),0), INDEX($AN$1004:$BO$1004,1,MATCH(COLUMNS($AN$1006:BA1006),$AN$1006:$BO$1006,0)))),"Fix")))</f>
        <v>0</v>
      </c>
      <c r="P289" s="4">
        <f>IF(OR(INDEX($AH$2:$AH$1001,MATCH(ROWS($AG$2:AG289),$AG$2:$AG$1001,0),1)&gt;=100000,INDEX($AN$1005:$BO$1005,1,MATCH(COLUMNS($AN$1006:BB1006),$AN$1006:$BO$1006,0))&gt;=100000), " ",IF(INDEX($AN$2:$BO$1001,MATCH(ROWS($AG$2:AG289),$AG$2:$AG$1001,0),MATCH(COLUMNS($AN$1006:BB1006),$AN$1006:$BO$1006,0)), HYPERLINK("#",""), HYPERLINK(CONCATENATE("#Metadata!", ADDRESS(INDEX($AI$2:$AI$1001,MATCH(ROWS($AG$2:AG289),$AG$2:$AG$1001,0),0), INDEX($AN$1004:$BO$1004,1,MATCH(COLUMNS($AN$1006:BB1006),$AN$1006:$BO$1006,0)))),"Fix")))</f>
        <v>0</v>
      </c>
      <c r="Q289" s="4">
        <f>IF(OR(INDEX($AH$2:$AH$1001,MATCH(ROWS($AG$2:AG289),$AG$2:$AG$1001,0),1)&gt;=100000,INDEX($AN$1005:$BO$1005,1,MATCH(COLUMNS($AN$1006:BC1006),$AN$1006:$BO$1006,0))&gt;=100000), " ",IF(INDEX($AN$2:$BO$1001,MATCH(ROWS($AG$2:AG289),$AG$2:$AG$1001,0),MATCH(COLUMNS($AN$1006:BC1006),$AN$1006:$BO$1006,0)), HYPERLINK("#",""), HYPERLINK(CONCATENATE("#Metadata!", ADDRESS(INDEX($AI$2:$AI$1001,MATCH(ROWS($AG$2:AG289),$AG$2:$AG$1001,0),0), INDEX($AN$1004:$BO$1004,1,MATCH(COLUMNS($AN$1006:BC1006),$AN$1006:$BO$1006,0)))),"Fix")))</f>
        <v>0</v>
      </c>
      <c r="R289" s="4">
        <f>IF(OR(INDEX($AH$2:$AH$1001,MATCH(ROWS($AG$2:AG289),$AG$2:$AG$1001,0),1)&gt;=100000,INDEX($AN$1005:$BO$1005,1,MATCH(COLUMNS($AN$1006:BD1006),$AN$1006:$BO$1006,0))&gt;=100000), " ",IF(INDEX($AN$2:$BO$1001,MATCH(ROWS($AG$2:AG289),$AG$2:$AG$1001,0),MATCH(COLUMNS($AN$1006:BD1006),$AN$1006:$BO$1006,0)), HYPERLINK("#",""), HYPERLINK(CONCATENATE("#Metadata!", ADDRESS(INDEX($AI$2:$AI$1001,MATCH(ROWS($AG$2:AG289),$AG$2:$AG$1001,0),0), INDEX($AN$1004:$BO$1004,1,MATCH(COLUMNS($AN$1006:BD1006),$AN$1006:$BO$1006,0)))),"Fix")))</f>
        <v>0</v>
      </c>
      <c r="S289" s="4">
        <f>IF(OR(INDEX($AH$2:$AH$1001,MATCH(ROWS($AG$2:AG289),$AG$2:$AG$1001,0),1)&gt;=100000,INDEX($AN$1005:$BO$1005,1,MATCH(COLUMNS($AN$1006:BE1006),$AN$1006:$BO$1006,0))&gt;=100000), " ",IF(INDEX($AN$2:$BO$1001,MATCH(ROWS($AG$2:AG289),$AG$2:$AG$1001,0),MATCH(COLUMNS($AN$1006:BE1006),$AN$1006:$BO$1006,0)), HYPERLINK("#",""), HYPERLINK(CONCATENATE("#Metadata!", ADDRESS(INDEX($AI$2:$AI$1001,MATCH(ROWS($AG$2:AG289),$AG$2:$AG$1001,0),0), INDEX($AN$1004:$BO$1004,1,MATCH(COLUMNS($AN$1006:BE1006),$AN$1006:$BO$1006,0)))),"Fix")))</f>
        <v>0</v>
      </c>
      <c r="T289" s="4">
        <f>IF(OR(INDEX($AH$2:$AH$1001,MATCH(ROWS($AG$2:AG289),$AG$2:$AG$1001,0),1)&gt;=100000,INDEX($AN$1005:$BO$1005,1,MATCH(COLUMNS($AN$1006:BF1006),$AN$1006:$BO$1006,0))&gt;=100000), " ",IF(INDEX($AN$2:$BO$1001,MATCH(ROWS($AG$2:AG289),$AG$2:$AG$1001,0),MATCH(COLUMNS($AN$1006:BF1006),$AN$1006:$BO$1006,0)), HYPERLINK("#",""), HYPERLINK(CONCATENATE("#Metadata!", ADDRESS(INDEX($AI$2:$AI$1001,MATCH(ROWS($AG$2:AG289),$AG$2:$AG$1001,0),0), INDEX($AN$1004:$BO$1004,1,MATCH(COLUMNS($AN$1006:BF1006),$AN$1006:$BO$1006,0)))),"Fix")))</f>
        <v>0</v>
      </c>
      <c r="U289" s="4">
        <f>IF(OR(INDEX($AH$2:$AH$1001,MATCH(ROWS($AG$2:AG289),$AG$2:$AG$1001,0),1)&gt;=100000,INDEX($AN$1005:$BO$1005,1,MATCH(COLUMNS($AN$1006:BG1006),$AN$1006:$BO$1006,0))&gt;=100000), " ",IF(INDEX($AN$2:$BO$1001,MATCH(ROWS($AG$2:AG289),$AG$2:$AG$1001,0),MATCH(COLUMNS($AN$1006:BG1006),$AN$1006:$BO$1006,0)), HYPERLINK("#",""), HYPERLINK(CONCATENATE("#Metadata!", ADDRESS(INDEX($AI$2:$AI$1001,MATCH(ROWS($AG$2:AG289),$AG$2:$AG$1001,0),0), INDEX($AN$1004:$BO$1004,1,MATCH(COLUMNS($AN$1006:BG1006),$AN$1006:$BO$1006,0)))),"Fix")))</f>
        <v>0</v>
      </c>
      <c r="V289" s="4">
        <f>IF(OR(INDEX($AH$2:$AH$1001,MATCH(ROWS($AG$2:AG289),$AG$2:$AG$1001,0),1)&gt;=100000,INDEX($AN$1005:$BO$1005,1,MATCH(COLUMNS($AN$1006:BH1006),$AN$1006:$BO$1006,0))&gt;=100000), " ",IF(INDEX($AN$2:$BO$1001,MATCH(ROWS($AG$2:AG289),$AG$2:$AG$1001,0),MATCH(COLUMNS($AN$1006:BH1006),$AN$1006:$BO$1006,0)), HYPERLINK("#",""), HYPERLINK(CONCATENATE("#Metadata!", ADDRESS(INDEX($AI$2:$AI$1001,MATCH(ROWS($AG$2:AG289),$AG$2:$AG$1001,0),0), INDEX($AN$1004:$BO$1004,1,MATCH(COLUMNS($AN$1006:BH1006),$AN$1006:$BO$1006,0)))),"Fix")))</f>
        <v>0</v>
      </c>
      <c r="W289" s="4">
        <f>IF(OR(INDEX($AH$2:$AH$1001,MATCH(ROWS($AG$2:AG289),$AG$2:$AG$1001,0),1)&gt;=100000,INDEX($AN$1005:$BO$1005,1,MATCH(COLUMNS($AN$1006:BI1006),$AN$1006:$BO$1006,0))&gt;=100000), " ",IF(INDEX($AN$2:$BO$1001,MATCH(ROWS($AG$2:AG289),$AG$2:$AG$1001,0),MATCH(COLUMNS($AN$1006:BI1006),$AN$1006:$BO$1006,0)), HYPERLINK("#",""), HYPERLINK(CONCATENATE("#Metadata!", ADDRESS(INDEX($AI$2:$AI$1001,MATCH(ROWS($AG$2:AG289),$AG$2:$AG$1001,0),0), INDEX($AN$1004:$BO$1004,1,MATCH(COLUMNS($AN$1006:BI1006),$AN$1006:$BO$1006,0)))),"Fix")))</f>
        <v>0</v>
      </c>
      <c r="X289" s="4">
        <f>IF(OR(INDEX($AH$2:$AH$1001,MATCH(ROWS($AG$2:AG289),$AG$2:$AG$1001,0),1)&gt;=100000,INDEX($AN$1005:$BO$1005,1,MATCH(COLUMNS($AN$1006:BJ1006),$AN$1006:$BO$1006,0))&gt;=100000), " ",IF(INDEX($AN$2:$BO$1001,MATCH(ROWS($AG$2:AG289),$AG$2:$AG$1001,0),MATCH(COLUMNS($AN$1006:BJ1006),$AN$1006:$BO$1006,0)), HYPERLINK("#",""), HYPERLINK(CONCATENATE("#Metadata!", ADDRESS(INDEX($AI$2:$AI$1001,MATCH(ROWS($AG$2:AG289),$AG$2:$AG$1001,0),0), INDEX($AN$1004:$BO$1004,1,MATCH(COLUMNS($AN$1006:BJ1006),$AN$1006:$BO$1006,0)))),"Fix")))</f>
        <v>0</v>
      </c>
      <c r="Y289" s="4">
        <f>IF(OR(INDEX($AH$2:$AH$1001,MATCH(ROWS($AG$2:AG289),$AG$2:$AG$1001,0),1)&gt;=100000,INDEX($AN$1005:$BO$1005,1,MATCH(COLUMNS($AN$1006:BK1006),$AN$1006:$BO$1006,0))&gt;=100000), " ",IF(INDEX($AN$2:$BO$1001,MATCH(ROWS($AG$2:AG289),$AG$2:$AG$1001,0),MATCH(COLUMNS($AN$1006:BK1006),$AN$1006:$BO$1006,0)), HYPERLINK("#",""), HYPERLINK(CONCATENATE("#Metadata!", ADDRESS(INDEX($AI$2:$AI$1001,MATCH(ROWS($AG$2:AG289),$AG$2:$AG$1001,0),0), INDEX($AN$1004:$BO$1004,1,MATCH(COLUMNS($AN$1006:BK1006),$AN$1006:$BO$1006,0)))),"Fix")))</f>
        <v>0</v>
      </c>
      <c r="Z289" s="4">
        <f>IF(OR(INDEX($AH$2:$AH$1001,MATCH(ROWS($AG$2:AG289),$AG$2:$AG$1001,0),1)&gt;=100000,INDEX($AN$1005:$BO$1005,1,MATCH(COLUMNS($AN$1006:BL1006),$AN$1006:$BO$1006,0))&gt;=100000), " ",IF(INDEX($AN$2:$BO$1001,MATCH(ROWS($AG$2:AG289),$AG$2:$AG$1001,0),MATCH(COLUMNS($AN$1006:BL1006),$AN$1006:$BO$1006,0)), HYPERLINK("#",""), HYPERLINK(CONCATENATE("#Metadata!", ADDRESS(INDEX($AI$2:$AI$1001,MATCH(ROWS($AG$2:AG289),$AG$2:$AG$1001,0),0), INDEX($AN$1004:$BO$1004,1,MATCH(COLUMNS($AN$1006:BL1006),$AN$1006:$BO$1006,0)))),"Fix")))</f>
        <v>0</v>
      </c>
      <c r="AA289" s="4">
        <f>IF(OR(INDEX($AH$2:$AH$1001,MATCH(ROWS($AG$2:AG289),$AG$2:$AG$1001,0),1)&gt;=100000,INDEX($AN$1005:$BO$1005,1,MATCH(COLUMNS($AN$1006:BM1006),$AN$1006:$BO$1006,0))&gt;=100000), " ",IF(INDEX($AN$2:$BO$1001,MATCH(ROWS($AG$2:AG289),$AG$2:$AG$1001,0),MATCH(COLUMNS($AN$1006:BM1006),$AN$1006:$BO$1006,0)), HYPERLINK("#",""), HYPERLINK(CONCATENATE("#Metadata!", ADDRESS(INDEX($AI$2:$AI$1001,MATCH(ROWS($AG$2:AG289),$AG$2:$AG$1001,0),0), INDEX($AN$1004:$BO$1004,1,MATCH(COLUMNS($AN$1006:BM1006),$AN$1006:$BO$1006,0)))),"Fix")))</f>
        <v>0</v>
      </c>
      <c r="AB289" s="4">
        <f>IF(OR(INDEX($AH$2:$AH$1001,MATCH(ROWS($AG$2:AG289),$AG$2:$AG$1001,0),1)&gt;=100000,INDEX($AN$1005:$BO$1005,1,MATCH(COLUMNS($AN$1006:BN1006),$AN$1006:$BO$1006,0))&gt;=100000), " ",IF(INDEX($AN$2:$BO$1001,MATCH(ROWS($AG$2:AG289),$AG$2:$AG$1001,0),MATCH(COLUMNS($AN$1006:BN1006),$AN$1006:$BO$1006,0)), HYPERLINK("#",""), HYPERLINK(CONCATENATE("#Metadata!", ADDRESS(INDEX($AI$2:$AI$1001,MATCH(ROWS($AG$2:AG289),$AG$2:$AG$1001,0),0), INDEX($AN$1004:$BO$1004,1,MATCH(COLUMNS($AN$1006:BN1006),$AN$1006:$BO$1006,0)))),"Fix")))</f>
        <v>0</v>
      </c>
      <c r="AC289" s="4">
        <f>IF(OR(INDEX($AH$2:$AH$1001,MATCH(ROWS($AG$2:AG289),$AG$2:$AG$1001,0),1)&gt;=100000,INDEX($AN$1005:$BO$1005,1,MATCH(COLUMNS($AN$1006:BO1006),$AN$1006:$BO$1006,0))&gt;=100000), " ",IF(INDEX($AN$2:$BO$1001,MATCH(ROWS($AG$2:AG289),$AG$2:$AG$1001,0),MATCH(COLUMNS($AN$1006:BO1006),$AN$1006:$BO$1006,0)), HYPERLINK("#",""), HYPERLINK(CONCATENATE("#Metadata!", ADDRESS(INDEX($AI$2:$AI$1001,MATCH(ROWS($AG$2:AG289),$AG$2:$AG$1001,0),0), INDEX($AN$1004:$BO$1004,1,MATCH(COLUMNS($AN$1006:BO1006),$AN$1006:$BO$1006,0)))),"Fix")))</f>
        <v>0</v>
      </c>
      <c r="AG289">
        <v>0</v>
      </c>
      <c r="AH289">
        <v>0</v>
      </c>
      <c r="AI289">
        <v>0</v>
      </c>
      <c r="AJ289">
        <f>IF(AK289,TRUE,AND(AN289:BO289))</f>
        <v>0</v>
      </c>
      <c r="AK289">
        <f>COUNTBLANK(Metadata!B289:AC289)=COLUMNS(Metadata!B289:AC289)</f>
        <v>0</v>
      </c>
      <c r="AL289">
        <v>0</v>
      </c>
      <c r="AN289">
        <f>AND(IF(Metadata!B289="",FALSE,TRUE),COUNTIF(Metadata!B:B, Metadata!B289) = 1,NOT(ISERROR(SUMPRODUCT(SEARCH(MID(Metadata!B289,ROW(INDIRECT("1:"&amp;LEN(Metadata!B289))), 1),"0123456789abcdefghijklmnopqrstuvwxyzABCDEFGHIJKLMNOPQRSTUVWXYZ.")))))</f>
        <v>0</v>
      </c>
      <c r="AO289">
        <f>IF(Metadata!C289="",FALSE,TRUE)</f>
        <v>0</v>
      </c>
      <c r="AP289">
        <f>IF(Metadata!D289="",FALSE,TRUE)</f>
        <v>0</v>
      </c>
      <c r="AQ289">
        <f>OR(AND(IF(Metadata!E289="",FALSE,TRUE),OR(exact(Metadata!E289,"not collected"),exact(Metadata!E289,"not provided"),exact(Metadata!E289,"restricted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R289">
        <f>IF(Metadata!F289="",FALSE,TRUE)</f>
        <v>0</v>
      </c>
      <c r="AS289">
        <f>OR(AND(IF(Metadata!G289="",FALSE,TRUE),OR(exact(Metadata!G289,"not collected"),exact(Metadata!G289,"not provided"))),AND(IF(Metadata!G289="",FALSE,TRUE),OR(exact(Metadata!G289,"TRUE"),exact(Metadata!G289,"FALSE"))))</f>
        <v>0</v>
      </c>
      <c r="AT289">
        <f>OR(AND(IF(Metadata!H289="",FALSE,TRUE),OR(exact(Metadata!H289,"not collected"),exact(Metadata!H289,"not provided"),exact(Metadata!H289,"restricted access"))),AND(IF(Metadata!H289="",FALSE,ISNUMBER(VALUE(Metadata!H289))),Metadata!H289&gt;=-413.0))</f>
        <v>0</v>
      </c>
      <c r="AU289">
        <f>AND(IF(Metadata!I289="",FALSE,TRUE),exact(Metadata!I289,"meters"))</f>
        <v>0</v>
      </c>
      <c r="AV289">
        <f>AND(IF(Metadata!J289="",FALSE,TRUE),OR(exact(Metadata!J289,"Host-associated"),exact(Metadata!J289,"Free-living")))</f>
        <v>0</v>
      </c>
      <c r="AW289">
        <f>AND(IF(Metadata!K289="",FALSE,TRUE),OR(exact(Metadata!K289,"Animal"),exact(Metadata!K289,"Fungus"),exact(Metadata!K289,"Plant"),exact(Metadata!K289,"Saline"),exact(Metadata!K289,"Non-saline")))</f>
        <v>0</v>
      </c>
      <c r="AX289">
        <f>AND(IF(Metadata!L289="",FALSE,TRUE),OR(exact(Metadata!L289,"Plant secretion"),exact(Metadata!L289,"Plant rhizosphere"),exact(Metadata!L289,"Plant surface"),exact(Metadata!L289,"Plant corpus"),exact(Metadata!L289,"Fungus surface"),exact(Metadata!L289,"Fungus corpus"),exact(Metadata!L289,"Animal surface"),exact(Metadata!L289,"Animal proximal gut"),exact(Metadata!L289,"Animal corpus"),exact(Metadata!L289,"Animal distal gut"),exact(Metadata!L289,"Animal secretion"),exact(Metadata!L289,"Sub-surface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Y289">
        <f>IF(Metadata!M289="",FALSE,TRUE)</f>
        <v>0</v>
      </c>
      <c r="AZ289">
        <f>IF(Metadata!N289="",FALSE,TRUE)</f>
        <v>0</v>
      </c>
      <c r="BA289">
        <f>IF(Metadata!O289="",FALSE,TRUE)</f>
        <v>0</v>
      </c>
      <c r="BB289">
        <f>OR(AND(IF(Metadata!P289="",FALSE,TRUE),OR(exact(Metadata!P289,"not collected"),exact(Metadata!P289,"not provided"),exact(Metadata!P289,"restricted access"))),AND(IF(Metadata!P289="",FALSE,TRUE),OR(exact(Metadata!P289,"air"),exact(Metadata!P289,"built environment"),exact(Metadata!P289,"host-associated"),exact(Metadata!P289,"human-associated"),exact(Metadata!P289,"human-skin"),exact(Metadata!P289,"human-oral"),exact(Metadata!P289,"human-gut"),exact(Metadata!P289,"human-vaginal"),exact(Metadata!P289,"microbial mat/biofilm"),exact(Metadata!P289,"misc environment"),exact(Metadata!P289,"plant-associated"),exact(Metadata!P289,"sediment"),exact(Metadata!P289,"soil"),exact(Metadata!P289,"wastewater/sludge"),exact(Metadata!P289,"water"))))</f>
        <v>0</v>
      </c>
      <c r="BC289">
        <f>IF(Metadata!Q289="",FALSE,TRUE)</f>
        <v>0</v>
      </c>
      <c r="BD289">
        <f>IF(Metadata!R289="",FALSE,TRUE)</f>
        <v>0</v>
      </c>
      <c r="BE289">
        <f>OR(AND(IF(Metadata!S289="",FALSE,TRUE),OR(exact(Metadata!S289,"not collected"),exact(Metadata!S289,"not provided"),exact(Metadata!S289,"restricted access"))),AND(IF(Metadata!S289="",FALSE,ISNUMBER(VALUE(Metadata!S289))),Metadata!S289&gt;=-90.00,Metadata!S289&lt;=90.00))</f>
        <v>0</v>
      </c>
      <c r="BF289">
        <f>AND(IF(Metadata!T289="",FALSE,TRUE),exact(Metadata!T289,"Decimal degrees"))</f>
        <v>0</v>
      </c>
      <c r="BG289">
        <f>OR(AND(IF(Metadata!U289="",FALSE,TRUE),OR(exact(Metadata!U289,"not collected"),exact(Metadata!U289,"not provided"),exact(Metadata!U289,"restricted access"))),AND(IF(Metadata!U289="",FALSE,ISNUMBER(VALUE(Metadata!U289))),Metadata!U289&gt;=-180.00,Metadata!U289&lt;=180.00))</f>
        <v>0</v>
      </c>
      <c r="BH289">
        <f>AND(IF(Metadata!V289="",FALSE,TRUE),exact(Metadata!V289,"Decimal degrees"))</f>
        <v>0</v>
      </c>
      <c r="BI289">
        <f>IF(Metadata!W289="",FALSE,TRUE)</f>
        <v>0</v>
      </c>
      <c r="BJ289">
        <f>OR(AND(IF(Metadata!X289="",FALSE,TRUE),OR(exact(Metadata!X289,"not collected"),exact(Metadata!X289,"not provided"),exact(Metadata!X289,"restricted access"))),AND(IF(Metadata!X289="",FALSE,TRUE),OR(exact(Metadata!X289,"TRUE"),exact(Metadata!X289,"FALSE"))))</f>
        <v>0</v>
      </c>
      <c r="BK289">
        <f>AND(IF(Metadata!Y289="",FALSE,TRUE),exact(Metadata!Y289,"other"))</f>
        <v>0</v>
      </c>
      <c r="BL289">
        <f>IF(Metadata!Z289="",FALSE,TRUE)</f>
        <v>0</v>
      </c>
      <c r="BM289">
        <f>OR(AND(IF(Metadata!AA289="",FALSE,TRUE),OR(exact(Metadata!AA289,"not collected"),exact(Metadata!AA289,"not provided"))),AND(IF(Metadata!AA289="",FALSE,IF(ISERROR(INT(Metadata!AA289)),FALSE,INT(Metadata!AA289)=Metadata!AA289)),Metadata!AA289&gt;0))</f>
        <v>0</v>
      </c>
      <c r="BN289">
        <f>AND(IF(Metadata!AB289="",FALSE,TRUE),exact(Metadata!AB289,"Not applicable"))</f>
        <v>0</v>
      </c>
      <c r="BO289">
        <f>IF(Metadata!AC289="",FALSE,TRUE)</f>
        <v>0</v>
      </c>
    </row>
    <row r="290" spans="1:67">
      <c r="A290" s="5">
        <f>IF(B290=" "," ",HYPERLINK(CONCATENATE("#metadata!",ADDRESS(INDEX($AI$2:$AI$1001,MATCH(ROWS($AG$2:AG290),$AG$2:$AG$1001,0),0),1)),INDEX($AL$2:$AL$1001,MATCH(ROWS($AG$2:AG290),$AG$2:$AG$1001,0),0)))</f>
        <v>0</v>
      </c>
      <c r="B290" s="4">
        <f>IF(OR(INDEX($AH$2:$AH$1001,MATCH(ROWS($AG$2:AG290),$AG$2:$AG$1001,0),1)&gt;=100000,INDEX($AN$1005:$BO$1005,1,MATCH(COLUMNS($AN$1006:AN1006),$AN$1006:$BO$1006,0))&gt;=100000), " ",IF(INDEX($AN$2:$BO$1001,MATCH(ROWS($AG$2:AG290),$AG$2:$AG$1001,0),MATCH(COLUMNS($AN$1006:AN1006),$AN$1006:$BO$1006,0)), HYPERLINK("#",""), HYPERLINK(CONCATENATE("#Metadata!", ADDRESS(INDEX($AI$2:$AI$1001,MATCH(ROWS($AG$2:AG290),$AG$2:$AG$1001,0),0), INDEX($AN$1004:$BO$1004,1,MATCH(COLUMNS($AN$1006:AN1006),$AN$1006:$BO$1006,0)))),"Fix")))</f>
        <v>0</v>
      </c>
      <c r="C290" s="4">
        <f>IF(OR(INDEX($AH$2:$AH$1001,MATCH(ROWS($AG$2:AG290),$AG$2:$AG$1001,0),1)&gt;=100000,INDEX($AN$1005:$BO$1005,1,MATCH(COLUMNS($AN$1006:AO1006),$AN$1006:$BO$1006,0))&gt;=100000), " ",IF(INDEX($AN$2:$BO$1001,MATCH(ROWS($AG$2:AG290),$AG$2:$AG$1001,0),MATCH(COLUMNS($AN$1006:AO1006),$AN$1006:$BO$1006,0)), HYPERLINK("#",""), HYPERLINK(CONCATENATE("#Metadata!", ADDRESS(INDEX($AI$2:$AI$1001,MATCH(ROWS($AG$2:AG290),$AG$2:$AG$1001,0),0), INDEX($AN$1004:$BO$1004,1,MATCH(COLUMNS($AN$1006:AO1006),$AN$1006:$BO$1006,0)))),"Fix")))</f>
        <v>0</v>
      </c>
      <c r="D290" s="4">
        <f>IF(OR(INDEX($AH$2:$AH$1001,MATCH(ROWS($AG$2:AG290),$AG$2:$AG$1001,0),1)&gt;=100000,INDEX($AN$1005:$BO$1005,1,MATCH(COLUMNS($AN$1006:AP1006),$AN$1006:$BO$1006,0))&gt;=100000), " ",IF(INDEX($AN$2:$BO$1001,MATCH(ROWS($AG$2:AG290),$AG$2:$AG$1001,0),MATCH(COLUMNS($AN$1006:AP1006),$AN$1006:$BO$1006,0)), HYPERLINK("#",""), HYPERLINK(CONCATENATE("#Metadata!", ADDRESS(INDEX($AI$2:$AI$1001,MATCH(ROWS($AG$2:AG290),$AG$2:$AG$1001,0),0), INDEX($AN$1004:$BO$1004,1,MATCH(COLUMNS($AN$1006:AP1006),$AN$1006:$BO$1006,0)))),"Fix")))</f>
        <v>0</v>
      </c>
      <c r="E290" s="4">
        <f>IF(OR(INDEX($AH$2:$AH$1001,MATCH(ROWS($AG$2:AG290),$AG$2:$AG$1001,0),1)&gt;=100000,INDEX($AN$1005:$BO$1005,1,MATCH(COLUMNS($AN$1006:AQ1006),$AN$1006:$BO$1006,0))&gt;=100000), " ",IF(INDEX($AN$2:$BO$1001,MATCH(ROWS($AG$2:AG290),$AG$2:$AG$1001,0),MATCH(COLUMNS($AN$1006:AQ1006),$AN$1006:$BO$1006,0)), HYPERLINK("#",""), HYPERLINK(CONCATENATE("#Metadata!", ADDRESS(INDEX($AI$2:$AI$1001,MATCH(ROWS($AG$2:AG290),$AG$2:$AG$1001,0),0), INDEX($AN$1004:$BO$1004,1,MATCH(COLUMNS($AN$1006:AQ1006),$AN$1006:$BO$1006,0)))),"Fix")))</f>
        <v>0</v>
      </c>
      <c r="F290" s="4">
        <f>IF(OR(INDEX($AH$2:$AH$1001,MATCH(ROWS($AG$2:AG290),$AG$2:$AG$1001,0),1)&gt;=100000,INDEX($AN$1005:$BO$1005,1,MATCH(COLUMNS($AN$1006:AR1006),$AN$1006:$BO$1006,0))&gt;=100000), " ",IF(INDEX($AN$2:$BO$1001,MATCH(ROWS($AG$2:AG290),$AG$2:$AG$1001,0),MATCH(COLUMNS($AN$1006:AR1006),$AN$1006:$BO$1006,0)), HYPERLINK("#",""), HYPERLINK(CONCATENATE("#Metadata!", ADDRESS(INDEX($AI$2:$AI$1001,MATCH(ROWS($AG$2:AG290),$AG$2:$AG$1001,0),0), INDEX($AN$1004:$BO$1004,1,MATCH(COLUMNS($AN$1006:AR1006),$AN$1006:$BO$1006,0)))),"Fix")))</f>
        <v>0</v>
      </c>
      <c r="G290" s="4">
        <f>IF(OR(INDEX($AH$2:$AH$1001,MATCH(ROWS($AG$2:AG290),$AG$2:$AG$1001,0),1)&gt;=100000,INDEX($AN$1005:$BO$1005,1,MATCH(COLUMNS($AN$1006:AS1006),$AN$1006:$BO$1006,0))&gt;=100000), " ",IF(INDEX($AN$2:$BO$1001,MATCH(ROWS($AG$2:AG290),$AG$2:$AG$1001,0),MATCH(COLUMNS($AN$1006:AS1006),$AN$1006:$BO$1006,0)), HYPERLINK("#",""), HYPERLINK(CONCATENATE("#Metadata!", ADDRESS(INDEX($AI$2:$AI$1001,MATCH(ROWS($AG$2:AG290),$AG$2:$AG$1001,0),0), INDEX($AN$1004:$BO$1004,1,MATCH(COLUMNS($AN$1006:AS1006),$AN$1006:$BO$1006,0)))),"Fix")))</f>
        <v>0</v>
      </c>
      <c r="H290" s="4">
        <f>IF(OR(INDEX($AH$2:$AH$1001,MATCH(ROWS($AG$2:AG290),$AG$2:$AG$1001,0),1)&gt;=100000,INDEX($AN$1005:$BO$1005,1,MATCH(COLUMNS($AN$1006:AT1006),$AN$1006:$BO$1006,0))&gt;=100000), " ",IF(INDEX($AN$2:$BO$1001,MATCH(ROWS($AG$2:AG290),$AG$2:$AG$1001,0),MATCH(COLUMNS($AN$1006:AT1006),$AN$1006:$BO$1006,0)), HYPERLINK("#",""), HYPERLINK(CONCATENATE("#Metadata!", ADDRESS(INDEX($AI$2:$AI$1001,MATCH(ROWS($AG$2:AG290),$AG$2:$AG$1001,0),0), INDEX($AN$1004:$BO$1004,1,MATCH(COLUMNS($AN$1006:AT1006),$AN$1006:$BO$1006,0)))),"Fix")))</f>
        <v>0</v>
      </c>
      <c r="I290" s="4">
        <f>IF(OR(INDEX($AH$2:$AH$1001,MATCH(ROWS($AG$2:AG290),$AG$2:$AG$1001,0),1)&gt;=100000,INDEX($AN$1005:$BO$1005,1,MATCH(COLUMNS($AN$1006:AU1006),$AN$1006:$BO$1006,0))&gt;=100000), " ",IF(INDEX($AN$2:$BO$1001,MATCH(ROWS($AG$2:AG290),$AG$2:$AG$1001,0),MATCH(COLUMNS($AN$1006:AU1006),$AN$1006:$BO$1006,0)), HYPERLINK("#",""), HYPERLINK(CONCATENATE("#Metadata!", ADDRESS(INDEX($AI$2:$AI$1001,MATCH(ROWS($AG$2:AG290),$AG$2:$AG$1001,0),0), INDEX($AN$1004:$BO$1004,1,MATCH(COLUMNS($AN$1006:AU1006),$AN$1006:$BO$1006,0)))),"Fix")))</f>
        <v>0</v>
      </c>
      <c r="J290" s="4">
        <f>IF(OR(INDEX($AH$2:$AH$1001,MATCH(ROWS($AG$2:AG290),$AG$2:$AG$1001,0),1)&gt;=100000,INDEX($AN$1005:$BO$1005,1,MATCH(COLUMNS($AN$1006:AV1006),$AN$1006:$BO$1006,0))&gt;=100000), " ",IF(INDEX($AN$2:$BO$1001,MATCH(ROWS($AG$2:AG290),$AG$2:$AG$1001,0),MATCH(COLUMNS($AN$1006:AV1006),$AN$1006:$BO$1006,0)), HYPERLINK("#",""), HYPERLINK(CONCATENATE("#Metadata!", ADDRESS(INDEX($AI$2:$AI$1001,MATCH(ROWS($AG$2:AG290),$AG$2:$AG$1001,0),0), INDEX($AN$1004:$BO$1004,1,MATCH(COLUMNS($AN$1006:AV1006),$AN$1006:$BO$1006,0)))),"Fix")))</f>
        <v>0</v>
      </c>
      <c r="K290" s="4">
        <f>IF(OR(INDEX($AH$2:$AH$1001,MATCH(ROWS($AG$2:AG290),$AG$2:$AG$1001,0),1)&gt;=100000,INDEX($AN$1005:$BO$1005,1,MATCH(COLUMNS($AN$1006:AW1006),$AN$1006:$BO$1006,0))&gt;=100000), " ",IF(INDEX($AN$2:$BO$1001,MATCH(ROWS($AG$2:AG290),$AG$2:$AG$1001,0),MATCH(COLUMNS($AN$1006:AW1006),$AN$1006:$BO$1006,0)), HYPERLINK("#",""), HYPERLINK(CONCATENATE("#Metadata!", ADDRESS(INDEX($AI$2:$AI$1001,MATCH(ROWS($AG$2:AG290),$AG$2:$AG$1001,0),0), INDEX($AN$1004:$BO$1004,1,MATCH(COLUMNS($AN$1006:AW1006),$AN$1006:$BO$1006,0)))),"Fix")))</f>
        <v>0</v>
      </c>
      <c r="L290" s="4">
        <f>IF(OR(INDEX($AH$2:$AH$1001,MATCH(ROWS($AG$2:AG290),$AG$2:$AG$1001,0),1)&gt;=100000,INDEX($AN$1005:$BO$1005,1,MATCH(COLUMNS($AN$1006:AX1006),$AN$1006:$BO$1006,0))&gt;=100000), " ",IF(INDEX($AN$2:$BO$1001,MATCH(ROWS($AG$2:AG290),$AG$2:$AG$1001,0),MATCH(COLUMNS($AN$1006:AX1006),$AN$1006:$BO$1006,0)), HYPERLINK("#",""), HYPERLINK(CONCATENATE("#Metadata!", ADDRESS(INDEX($AI$2:$AI$1001,MATCH(ROWS($AG$2:AG290),$AG$2:$AG$1001,0),0), INDEX($AN$1004:$BO$1004,1,MATCH(COLUMNS($AN$1006:AX1006),$AN$1006:$BO$1006,0)))),"Fix")))</f>
        <v>0</v>
      </c>
      <c r="M290" s="4">
        <f>IF(OR(INDEX($AH$2:$AH$1001,MATCH(ROWS($AG$2:AG290),$AG$2:$AG$1001,0),1)&gt;=100000,INDEX($AN$1005:$BO$1005,1,MATCH(COLUMNS($AN$1006:AY1006),$AN$1006:$BO$1006,0))&gt;=100000), " ",IF(INDEX($AN$2:$BO$1001,MATCH(ROWS($AG$2:AG290),$AG$2:$AG$1001,0),MATCH(COLUMNS($AN$1006:AY1006),$AN$1006:$BO$1006,0)), HYPERLINK("#",""), HYPERLINK(CONCATENATE("#Metadata!", ADDRESS(INDEX($AI$2:$AI$1001,MATCH(ROWS($AG$2:AG290),$AG$2:$AG$1001,0),0), INDEX($AN$1004:$BO$1004,1,MATCH(COLUMNS($AN$1006:AY1006),$AN$1006:$BO$1006,0)))),"Fix")))</f>
        <v>0</v>
      </c>
      <c r="N290" s="4">
        <f>IF(OR(INDEX($AH$2:$AH$1001,MATCH(ROWS($AG$2:AG290),$AG$2:$AG$1001,0),1)&gt;=100000,INDEX($AN$1005:$BO$1005,1,MATCH(COLUMNS($AN$1006:AZ1006),$AN$1006:$BO$1006,0))&gt;=100000), " ",IF(INDEX($AN$2:$BO$1001,MATCH(ROWS($AG$2:AG290),$AG$2:$AG$1001,0),MATCH(COLUMNS($AN$1006:AZ1006),$AN$1006:$BO$1006,0)), HYPERLINK("#",""), HYPERLINK(CONCATENATE("#Metadata!", ADDRESS(INDEX($AI$2:$AI$1001,MATCH(ROWS($AG$2:AG290),$AG$2:$AG$1001,0),0), INDEX($AN$1004:$BO$1004,1,MATCH(COLUMNS($AN$1006:AZ1006),$AN$1006:$BO$1006,0)))),"Fix")))</f>
        <v>0</v>
      </c>
      <c r="O290" s="4">
        <f>IF(OR(INDEX($AH$2:$AH$1001,MATCH(ROWS($AG$2:AG290),$AG$2:$AG$1001,0),1)&gt;=100000,INDEX($AN$1005:$BO$1005,1,MATCH(COLUMNS($AN$1006:BA1006),$AN$1006:$BO$1006,0))&gt;=100000), " ",IF(INDEX($AN$2:$BO$1001,MATCH(ROWS($AG$2:AG290),$AG$2:$AG$1001,0),MATCH(COLUMNS($AN$1006:BA1006),$AN$1006:$BO$1006,0)), HYPERLINK("#",""), HYPERLINK(CONCATENATE("#Metadata!", ADDRESS(INDEX($AI$2:$AI$1001,MATCH(ROWS($AG$2:AG290),$AG$2:$AG$1001,0),0), INDEX($AN$1004:$BO$1004,1,MATCH(COLUMNS($AN$1006:BA1006),$AN$1006:$BO$1006,0)))),"Fix")))</f>
        <v>0</v>
      </c>
      <c r="P290" s="4">
        <f>IF(OR(INDEX($AH$2:$AH$1001,MATCH(ROWS($AG$2:AG290),$AG$2:$AG$1001,0),1)&gt;=100000,INDEX($AN$1005:$BO$1005,1,MATCH(COLUMNS($AN$1006:BB1006),$AN$1006:$BO$1006,0))&gt;=100000), " ",IF(INDEX($AN$2:$BO$1001,MATCH(ROWS($AG$2:AG290),$AG$2:$AG$1001,0),MATCH(COLUMNS($AN$1006:BB1006),$AN$1006:$BO$1006,0)), HYPERLINK("#",""), HYPERLINK(CONCATENATE("#Metadata!", ADDRESS(INDEX($AI$2:$AI$1001,MATCH(ROWS($AG$2:AG290),$AG$2:$AG$1001,0),0), INDEX($AN$1004:$BO$1004,1,MATCH(COLUMNS($AN$1006:BB1006),$AN$1006:$BO$1006,0)))),"Fix")))</f>
        <v>0</v>
      </c>
      <c r="Q290" s="4">
        <f>IF(OR(INDEX($AH$2:$AH$1001,MATCH(ROWS($AG$2:AG290),$AG$2:$AG$1001,0),1)&gt;=100000,INDEX($AN$1005:$BO$1005,1,MATCH(COLUMNS($AN$1006:BC1006),$AN$1006:$BO$1006,0))&gt;=100000), " ",IF(INDEX($AN$2:$BO$1001,MATCH(ROWS($AG$2:AG290),$AG$2:$AG$1001,0),MATCH(COLUMNS($AN$1006:BC1006),$AN$1006:$BO$1006,0)), HYPERLINK("#",""), HYPERLINK(CONCATENATE("#Metadata!", ADDRESS(INDEX($AI$2:$AI$1001,MATCH(ROWS($AG$2:AG290),$AG$2:$AG$1001,0),0), INDEX($AN$1004:$BO$1004,1,MATCH(COLUMNS($AN$1006:BC1006),$AN$1006:$BO$1006,0)))),"Fix")))</f>
        <v>0</v>
      </c>
      <c r="R290" s="4">
        <f>IF(OR(INDEX($AH$2:$AH$1001,MATCH(ROWS($AG$2:AG290),$AG$2:$AG$1001,0),1)&gt;=100000,INDEX($AN$1005:$BO$1005,1,MATCH(COLUMNS($AN$1006:BD1006),$AN$1006:$BO$1006,0))&gt;=100000), " ",IF(INDEX($AN$2:$BO$1001,MATCH(ROWS($AG$2:AG290),$AG$2:$AG$1001,0),MATCH(COLUMNS($AN$1006:BD1006),$AN$1006:$BO$1006,0)), HYPERLINK("#",""), HYPERLINK(CONCATENATE("#Metadata!", ADDRESS(INDEX($AI$2:$AI$1001,MATCH(ROWS($AG$2:AG290),$AG$2:$AG$1001,0),0), INDEX($AN$1004:$BO$1004,1,MATCH(COLUMNS($AN$1006:BD1006),$AN$1006:$BO$1006,0)))),"Fix")))</f>
        <v>0</v>
      </c>
      <c r="S290" s="4">
        <f>IF(OR(INDEX($AH$2:$AH$1001,MATCH(ROWS($AG$2:AG290),$AG$2:$AG$1001,0),1)&gt;=100000,INDEX($AN$1005:$BO$1005,1,MATCH(COLUMNS($AN$1006:BE1006),$AN$1006:$BO$1006,0))&gt;=100000), " ",IF(INDEX($AN$2:$BO$1001,MATCH(ROWS($AG$2:AG290),$AG$2:$AG$1001,0),MATCH(COLUMNS($AN$1006:BE1006),$AN$1006:$BO$1006,0)), HYPERLINK("#",""), HYPERLINK(CONCATENATE("#Metadata!", ADDRESS(INDEX($AI$2:$AI$1001,MATCH(ROWS($AG$2:AG290),$AG$2:$AG$1001,0),0), INDEX($AN$1004:$BO$1004,1,MATCH(COLUMNS($AN$1006:BE1006),$AN$1006:$BO$1006,0)))),"Fix")))</f>
        <v>0</v>
      </c>
      <c r="T290" s="4">
        <f>IF(OR(INDEX($AH$2:$AH$1001,MATCH(ROWS($AG$2:AG290),$AG$2:$AG$1001,0),1)&gt;=100000,INDEX($AN$1005:$BO$1005,1,MATCH(COLUMNS($AN$1006:BF1006),$AN$1006:$BO$1006,0))&gt;=100000), " ",IF(INDEX($AN$2:$BO$1001,MATCH(ROWS($AG$2:AG290),$AG$2:$AG$1001,0),MATCH(COLUMNS($AN$1006:BF1006),$AN$1006:$BO$1006,0)), HYPERLINK("#",""), HYPERLINK(CONCATENATE("#Metadata!", ADDRESS(INDEX($AI$2:$AI$1001,MATCH(ROWS($AG$2:AG290),$AG$2:$AG$1001,0),0), INDEX($AN$1004:$BO$1004,1,MATCH(COLUMNS($AN$1006:BF1006),$AN$1006:$BO$1006,0)))),"Fix")))</f>
        <v>0</v>
      </c>
      <c r="U290" s="4">
        <f>IF(OR(INDEX($AH$2:$AH$1001,MATCH(ROWS($AG$2:AG290),$AG$2:$AG$1001,0),1)&gt;=100000,INDEX($AN$1005:$BO$1005,1,MATCH(COLUMNS($AN$1006:BG1006),$AN$1006:$BO$1006,0))&gt;=100000), " ",IF(INDEX($AN$2:$BO$1001,MATCH(ROWS($AG$2:AG290),$AG$2:$AG$1001,0),MATCH(COLUMNS($AN$1006:BG1006),$AN$1006:$BO$1006,0)), HYPERLINK("#",""), HYPERLINK(CONCATENATE("#Metadata!", ADDRESS(INDEX($AI$2:$AI$1001,MATCH(ROWS($AG$2:AG290),$AG$2:$AG$1001,0),0), INDEX($AN$1004:$BO$1004,1,MATCH(COLUMNS($AN$1006:BG1006),$AN$1006:$BO$1006,0)))),"Fix")))</f>
        <v>0</v>
      </c>
      <c r="V290" s="4">
        <f>IF(OR(INDEX($AH$2:$AH$1001,MATCH(ROWS($AG$2:AG290),$AG$2:$AG$1001,0),1)&gt;=100000,INDEX($AN$1005:$BO$1005,1,MATCH(COLUMNS($AN$1006:BH1006),$AN$1006:$BO$1006,0))&gt;=100000), " ",IF(INDEX($AN$2:$BO$1001,MATCH(ROWS($AG$2:AG290),$AG$2:$AG$1001,0),MATCH(COLUMNS($AN$1006:BH1006),$AN$1006:$BO$1006,0)), HYPERLINK("#",""), HYPERLINK(CONCATENATE("#Metadata!", ADDRESS(INDEX($AI$2:$AI$1001,MATCH(ROWS($AG$2:AG290),$AG$2:$AG$1001,0),0), INDEX($AN$1004:$BO$1004,1,MATCH(COLUMNS($AN$1006:BH1006),$AN$1006:$BO$1006,0)))),"Fix")))</f>
        <v>0</v>
      </c>
      <c r="W290" s="4">
        <f>IF(OR(INDEX($AH$2:$AH$1001,MATCH(ROWS($AG$2:AG290),$AG$2:$AG$1001,0),1)&gt;=100000,INDEX($AN$1005:$BO$1005,1,MATCH(COLUMNS($AN$1006:BI1006),$AN$1006:$BO$1006,0))&gt;=100000), " ",IF(INDEX($AN$2:$BO$1001,MATCH(ROWS($AG$2:AG290),$AG$2:$AG$1001,0),MATCH(COLUMNS($AN$1006:BI1006),$AN$1006:$BO$1006,0)), HYPERLINK("#",""), HYPERLINK(CONCATENATE("#Metadata!", ADDRESS(INDEX($AI$2:$AI$1001,MATCH(ROWS($AG$2:AG290),$AG$2:$AG$1001,0),0), INDEX($AN$1004:$BO$1004,1,MATCH(COLUMNS($AN$1006:BI1006),$AN$1006:$BO$1006,0)))),"Fix")))</f>
        <v>0</v>
      </c>
      <c r="X290" s="4">
        <f>IF(OR(INDEX($AH$2:$AH$1001,MATCH(ROWS($AG$2:AG290),$AG$2:$AG$1001,0),1)&gt;=100000,INDEX($AN$1005:$BO$1005,1,MATCH(COLUMNS($AN$1006:BJ1006),$AN$1006:$BO$1006,0))&gt;=100000), " ",IF(INDEX($AN$2:$BO$1001,MATCH(ROWS($AG$2:AG290),$AG$2:$AG$1001,0),MATCH(COLUMNS($AN$1006:BJ1006),$AN$1006:$BO$1006,0)), HYPERLINK("#",""), HYPERLINK(CONCATENATE("#Metadata!", ADDRESS(INDEX($AI$2:$AI$1001,MATCH(ROWS($AG$2:AG290),$AG$2:$AG$1001,0),0), INDEX($AN$1004:$BO$1004,1,MATCH(COLUMNS($AN$1006:BJ1006),$AN$1006:$BO$1006,0)))),"Fix")))</f>
        <v>0</v>
      </c>
      <c r="Y290" s="4">
        <f>IF(OR(INDEX($AH$2:$AH$1001,MATCH(ROWS($AG$2:AG290),$AG$2:$AG$1001,0),1)&gt;=100000,INDEX($AN$1005:$BO$1005,1,MATCH(COLUMNS($AN$1006:BK1006),$AN$1006:$BO$1006,0))&gt;=100000), " ",IF(INDEX($AN$2:$BO$1001,MATCH(ROWS($AG$2:AG290),$AG$2:$AG$1001,0),MATCH(COLUMNS($AN$1006:BK1006),$AN$1006:$BO$1006,0)), HYPERLINK("#",""), HYPERLINK(CONCATENATE("#Metadata!", ADDRESS(INDEX($AI$2:$AI$1001,MATCH(ROWS($AG$2:AG290),$AG$2:$AG$1001,0),0), INDEX($AN$1004:$BO$1004,1,MATCH(COLUMNS($AN$1006:BK1006),$AN$1006:$BO$1006,0)))),"Fix")))</f>
        <v>0</v>
      </c>
      <c r="Z290" s="4">
        <f>IF(OR(INDEX($AH$2:$AH$1001,MATCH(ROWS($AG$2:AG290),$AG$2:$AG$1001,0),1)&gt;=100000,INDEX($AN$1005:$BO$1005,1,MATCH(COLUMNS($AN$1006:BL1006),$AN$1006:$BO$1006,0))&gt;=100000), " ",IF(INDEX($AN$2:$BO$1001,MATCH(ROWS($AG$2:AG290),$AG$2:$AG$1001,0),MATCH(COLUMNS($AN$1006:BL1006),$AN$1006:$BO$1006,0)), HYPERLINK("#",""), HYPERLINK(CONCATENATE("#Metadata!", ADDRESS(INDEX($AI$2:$AI$1001,MATCH(ROWS($AG$2:AG290),$AG$2:$AG$1001,0),0), INDEX($AN$1004:$BO$1004,1,MATCH(COLUMNS($AN$1006:BL1006),$AN$1006:$BO$1006,0)))),"Fix")))</f>
        <v>0</v>
      </c>
      <c r="AA290" s="4">
        <f>IF(OR(INDEX($AH$2:$AH$1001,MATCH(ROWS($AG$2:AG290),$AG$2:$AG$1001,0),1)&gt;=100000,INDEX($AN$1005:$BO$1005,1,MATCH(COLUMNS($AN$1006:BM1006),$AN$1006:$BO$1006,0))&gt;=100000), " ",IF(INDEX($AN$2:$BO$1001,MATCH(ROWS($AG$2:AG290),$AG$2:$AG$1001,0),MATCH(COLUMNS($AN$1006:BM1006),$AN$1006:$BO$1006,0)), HYPERLINK("#",""), HYPERLINK(CONCATENATE("#Metadata!", ADDRESS(INDEX($AI$2:$AI$1001,MATCH(ROWS($AG$2:AG290),$AG$2:$AG$1001,0),0), INDEX($AN$1004:$BO$1004,1,MATCH(COLUMNS($AN$1006:BM1006),$AN$1006:$BO$1006,0)))),"Fix")))</f>
        <v>0</v>
      </c>
      <c r="AB290" s="4">
        <f>IF(OR(INDEX($AH$2:$AH$1001,MATCH(ROWS($AG$2:AG290),$AG$2:$AG$1001,0),1)&gt;=100000,INDEX($AN$1005:$BO$1005,1,MATCH(COLUMNS($AN$1006:BN1006),$AN$1006:$BO$1006,0))&gt;=100000), " ",IF(INDEX($AN$2:$BO$1001,MATCH(ROWS($AG$2:AG290),$AG$2:$AG$1001,0),MATCH(COLUMNS($AN$1006:BN1006),$AN$1006:$BO$1006,0)), HYPERLINK("#",""), HYPERLINK(CONCATENATE("#Metadata!", ADDRESS(INDEX($AI$2:$AI$1001,MATCH(ROWS($AG$2:AG290),$AG$2:$AG$1001,0),0), INDEX($AN$1004:$BO$1004,1,MATCH(COLUMNS($AN$1006:BN1006),$AN$1006:$BO$1006,0)))),"Fix")))</f>
        <v>0</v>
      </c>
      <c r="AC290" s="4">
        <f>IF(OR(INDEX($AH$2:$AH$1001,MATCH(ROWS($AG$2:AG290),$AG$2:$AG$1001,0),1)&gt;=100000,INDEX($AN$1005:$BO$1005,1,MATCH(COLUMNS($AN$1006:BO1006),$AN$1006:$BO$1006,0))&gt;=100000), " ",IF(INDEX($AN$2:$BO$1001,MATCH(ROWS($AG$2:AG290),$AG$2:$AG$1001,0),MATCH(COLUMNS($AN$1006:BO1006),$AN$1006:$BO$1006,0)), HYPERLINK("#",""), HYPERLINK(CONCATENATE("#Metadata!", ADDRESS(INDEX($AI$2:$AI$1001,MATCH(ROWS($AG$2:AG290),$AG$2:$AG$1001,0),0), INDEX($AN$1004:$BO$1004,1,MATCH(COLUMNS($AN$1006:BO1006),$AN$1006:$BO$1006,0)))),"Fix")))</f>
        <v>0</v>
      </c>
      <c r="AG290">
        <v>0</v>
      </c>
      <c r="AH290">
        <v>0</v>
      </c>
      <c r="AI290">
        <v>0</v>
      </c>
      <c r="AJ290">
        <f>IF(AK290,TRUE,AND(AN290:BO290))</f>
        <v>0</v>
      </c>
      <c r="AK290">
        <f>COUNTBLANK(Metadata!B290:AC290)=COLUMNS(Metadata!B290:AC290)</f>
        <v>0</v>
      </c>
      <c r="AL290">
        <v>0</v>
      </c>
      <c r="AN290">
        <f>AND(IF(Metadata!B290="",FALSE,TRUE),COUNTIF(Metadata!B:B, Metadata!B290) = 1,NOT(ISERROR(SUMPRODUCT(SEARCH(MID(Metadata!B290,ROW(INDIRECT("1:"&amp;LEN(Metadata!B290))), 1),"0123456789abcdefghijklmnopqrstuvwxyzABCDEFGHIJKLMNOPQRSTUVWXYZ.")))))</f>
        <v>0</v>
      </c>
      <c r="AO290">
        <f>IF(Metadata!C290="",FALSE,TRUE)</f>
        <v>0</v>
      </c>
      <c r="AP290">
        <f>IF(Metadata!D290="",FALSE,TRUE)</f>
        <v>0</v>
      </c>
      <c r="AQ290">
        <f>OR(AND(IF(Metadata!E290="",FALSE,TRUE),OR(exact(Metadata!E290,"not collected"),exact(Metadata!E290,"not provided"),exact(Metadata!E290,"restricted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R290">
        <f>IF(Metadata!F290="",FALSE,TRUE)</f>
        <v>0</v>
      </c>
      <c r="AS290">
        <f>OR(AND(IF(Metadata!G290="",FALSE,TRUE),OR(exact(Metadata!G290,"not collected"),exact(Metadata!G290,"not provided"))),AND(IF(Metadata!G290="",FALSE,TRUE),OR(exact(Metadata!G290,"TRUE"),exact(Metadata!G290,"FALSE"))))</f>
        <v>0</v>
      </c>
      <c r="AT290">
        <f>OR(AND(IF(Metadata!H290="",FALSE,TRUE),OR(exact(Metadata!H290,"not collected"),exact(Metadata!H290,"not provided"),exact(Metadata!H290,"restricted access"))),AND(IF(Metadata!H290="",FALSE,ISNUMBER(VALUE(Metadata!H290))),Metadata!H290&gt;=-413.0))</f>
        <v>0</v>
      </c>
      <c r="AU290">
        <f>AND(IF(Metadata!I290="",FALSE,TRUE),exact(Metadata!I290,"meters"))</f>
        <v>0</v>
      </c>
      <c r="AV290">
        <f>AND(IF(Metadata!J290="",FALSE,TRUE),OR(exact(Metadata!J290,"Host-associated"),exact(Metadata!J290,"Free-living")))</f>
        <v>0</v>
      </c>
      <c r="AW290">
        <f>AND(IF(Metadata!K290="",FALSE,TRUE),OR(exact(Metadata!K290,"Animal"),exact(Metadata!K290,"Fungus"),exact(Metadata!K290,"Plant"),exact(Metadata!K290,"Saline"),exact(Metadata!K290,"Non-saline")))</f>
        <v>0</v>
      </c>
      <c r="AX290">
        <f>AND(IF(Metadata!L290="",FALSE,TRUE),OR(exact(Metadata!L290,"Plant secretion"),exact(Metadata!L290,"Plant rhizosphere"),exact(Metadata!L290,"Plant surface"),exact(Metadata!L290,"Plant corpus"),exact(Metadata!L290,"Fungus surface"),exact(Metadata!L290,"Fungus corpus"),exact(Metadata!L290,"Animal surface"),exact(Metadata!L290,"Animal proximal gut"),exact(Metadata!L290,"Animal corpus"),exact(Metadata!L290,"Animal distal gut"),exact(Metadata!L290,"Animal secretion"),exact(Metadata!L290,"Sub-surface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Y290">
        <f>IF(Metadata!M290="",FALSE,TRUE)</f>
        <v>0</v>
      </c>
      <c r="AZ290">
        <f>IF(Metadata!N290="",FALSE,TRUE)</f>
        <v>0</v>
      </c>
      <c r="BA290">
        <f>IF(Metadata!O290="",FALSE,TRUE)</f>
        <v>0</v>
      </c>
      <c r="BB290">
        <f>OR(AND(IF(Metadata!P290="",FALSE,TRUE),OR(exact(Metadata!P290,"not collected"),exact(Metadata!P290,"not provided"),exact(Metadata!P290,"restricted access"))),AND(IF(Metadata!P290="",FALSE,TRUE),OR(exact(Metadata!P290,"air"),exact(Metadata!P290,"built environment"),exact(Metadata!P290,"host-associated"),exact(Metadata!P290,"human-associated"),exact(Metadata!P290,"human-skin"),exact(Metadata!P290,"human-oral"),exact(Metadata!P290,"human-gut"),exact(Metadata!P290,"human-vaginal"),exact(Metadata!P290,"microbial mat/biofilm"),exact(Metadata!P290,"misc environment"),exact(Metadata!P290,"plant-associated"),exact(Metadata!P290,"sediment"),exact(Metadata!P290,"soil"),exact(Metadata!P290,"wastewater/sludge"),exact(Metadata!P290,"water"))))</f>
        <v>0</v>
      </c>
      <c r="BC290">
        <f>IF(Metadata!Q290="",FALSE,TRUE)</f>
        <v>0</v>
      </c>
      <c r="BD290">
        <f>IF(Metadata!R290="",FALSE,TRUE)</f>
        <v>0</v>
      </c>
      <c r="BE290">
        <f>OR(AND(IF(Metadata!S290="",FALSE,TRUE),OR(exact(Metadata!S290,"not collected"),exact(Metadata!S290,"not provided"),exact(Metadata!S290,"restricted access"))),AND(IF(Metadata!S290="",FALSE,ISNUMBER(VALUE(Metadata!S290))),Metadata!S290&gt;=-90.00,Metadata!S290&lt;=90.00))</f>
        <v>0</v>
      </c>
      <c r="BF290">
        <f>AND(IF(Metadata!T290="",FALSE,TRUE),exact(Metadata!T290,"Decimal degrees"))</f>
        <v>0</v>
      </c>
      <c r="BG290">
        <f>OR(AND(IF(Metadata!U290="",FALSE,TRUE),OR(exact(Metadata!U290,"not collected"),exact(Metadata!U290,"not provided"),exact(Metadata!U290,"restricted access"))),AND(IF(Metadata!U290="",FALSE,ISNUMBER(VALUE(Metadata!U290))),Metadata!U290&gt;=-180.00,Metadata!U290&lt;=180.00))</f>
        <v>0</v>
      </c>
      <c r="BH290">
        <f>AND(IF(Metadata!V290="",FALSE,TRUE),exact(Metadata!V290,"Decimal degrees"))</f>
        <v>0</v>
      </c>
      <c r="BI290">
        <f>IF(Metadata!W290="",FALSE,TRUE)</f>
        <v>0</v>
      </c>
      <c r="BJ290">
        <f>OR(AND(IF(Metadata!X290="",FALSE,TRUE),OR(exact(Metadata!X290,"not collected"),exact(Metadata!X290,"not provided"),exact(Metadata!X290,"restricted access"))),AND(IF(Metadata!X290="",FALSE,TRUE),OR(exact(Metadata!X290,"TRUE"),exact(Metadata!X290,"FALSE"))))</f>
        <v>0</v>
      </c>
      <c r="BK290">
        <f>AND(IF(Metadata!Y290="",FALSE,TRUE),exact(Metadata!Y290,"other"))</f>
        <v>0</v>
      </c>
      <c r="BL290">
        <f>IF(Metadata!Z290="",FALSE,TRUE)</f>
        <v>0</v>
      </c>
      <c r="BM290">
        <f>OR(AND(IF(Metadata!AA290="",FALSE,TRUE),OR(exact(Metadata!AA290,"not collected"),exact(Metadata!AA290,"not provided"))),AND(IF(Metadata!AA290="",FALSE,IF(ISERROR(INT(Metadata!AA290)),FALSE,INT(Metadata!AA290)=Metadata!AA290)),Metadata!AA290&gt;0))</f>
        <v>0</v>
      </c>
      <c r="BN290">
        <f>AND(IF(Metadata!AB290="",FALSE,TRUE),exact(Metadata!AB290,"Not applicable"))</f>
        <v>0</v>
      </c>
      <c r="BO290">
        <f>IF(Metadata!AC290="",FALSE,TRUE)</f>
        <v>0</v>
      </c>
    </row>
    <row r="291" spans="1:67">
      <c r="A291" s="5">
        <f>IF(B291=" "," ",HYPERLINK(CONCATENATE("#metadata!",ADDRESS(INDEX($AI$2:$AI$1001,MATCH(ROWS($AG$2:AG291),$AG$2:$AG$1001,0),0),1)),INDEX($AL$2:$AL$1001,MATCH(ROWS($AG$2:AG291),$AG$2:$AG$1001,0),0)))</f>
        <v>0</v>
      </c>
      <c r="B291" s="4">
        <f>IF(OR(INDEX($AH$2:$AH$1001,MATCH(ROWS($AG$2:AG291),$AG$2:$AG$1001,0),1)&gt;=100000,INDEX($AN$1005:$BO$1005,1,MATCH(COLUMNS($AN$1006:AN1006),$AN$1006:$BO$1006,0))&gt;=100000), " ",IF(INDEX($AN$2:$BO$1001,MATCH(ROWS($AG$2:AG291),$AG$2:$AG$1001,0),MATCH(COLUMNS($AN$1006:AN1006),$AN$1006:$BO$1006,0)), HYPERLINK("#",""), HYPERLINK(CONCATENATE("#Metadata!", ADDRESS(INDEX($AI$2:$AI$1001,MATCH(ROWS($AG$2:AG291),$AG$2:$AG$1001,0),0), INDEX($AN$1004:$BO$1004,1,MATCH(COLUMNS($AN$1006:AN1006),$AN$1006:$BO$1006,0)))),"Fix")))</f>
        <v>0</v>
      </c>
      <c r="C291" s="4">
        <f>IF(OR(INDEX($AH$2:$AH$1001,MATCH(ROWS($AG$2:AG291),$AG$2:$AG$1001,0),1)&gt;=100000,INDEX($AN$1005:$BO$1005,1,MATCH(COLUMNS($AN$1006:AO1006),$AN$1006:$BO$1006,0))&gt;=100000), " ",IF(INDEX($AN$2:$BO$1001,MATCH(ROWS($AG$2:AG291),$AG$2:$AG$1001,0),MATCH(COLUMNS($AN$1006:AO1006),$AN$1006:$BO$1006,0)), HYPERLINK("#",""), HYPERLINK(CONCATENATE("#Metadata!", ADDRESS(INDEX($AI$2:$AI$1001,MATCH(ROWS($AG$2:AG291),$AG$2:$AG$1001,0),0), INDEX($AN$1004:$BO$1004,1,MATCH(COLUMNS($AN$1006:AO1006),$AN$1006:$BO$1006,0)))),"Fix")))</f>
        <v>0</v>
      </c>
      <c r="D291" s="4">
        <f>IF(OR(INDEX($AH$2:$AH$1001,MATCH(ROWS($AG$2:AG291),$AG$2:$AG$1001,0),1)&gt;=100000,INDEX($AN$1005:$BO$1005,1,MATCH(COLUMNS($AN$1006:AP1006),$AN$1006:$BO$1006,0))&gt;=100000), " ",IF(INDEX($AN$2:$BO$1001,MATCH(ROWS($AG$2:AG291),$AG$2:$AG$1001,0),MATCH(COLUMNS($AN$1006:AP1006),$AN$1006:$BO$1006,0)), HYPERLINK("#",""), HYPERLINK(CONCATENATE("#Metadata!", ADDRESS(INDEX($AI$2:$AI$1001,MATCH(ROWS($AG$2:AG291),$AG$2:$AG$1001,0),0), INDEX($AN$1004:$BO$1004,1,MATCH(COLUMNS($AN$1006:AP1006),$AN$1006:$BO$1006,0)))),"Fix")))</f>
        <v>0</v>
      </c>
      <c r="E291" s="4">
        <f>IF(OR(INDEX($AH$2:$AH$1001,MATCH(ROWS($AG$2:AG291),$AG$2:$AG$1001,0),1)&gt;=100000,INDEX($AN$1005:$BO$1005,1,MATCH(COLUMNS($AN$1006:AQ1006),$AN$1006:$BO$1006,0))&gt;=100000), " ",IF(INDEX($AN$2:$BO$1001,MATCH(ROWS($AG$2:AG291),$AG$2:$AG$1001,0),MATCH(COLUMNS($AN$1006:AQ1006),$AN$1006:$BO$1006,0)), HYPERLINK("#",""), HYPERLINK(CONCATENATE("#Metadata!", ADDRESS(INDEX($AI$2:$AI$1001,MATCH(ROWS($AG$2:AG291),$AG$2:$AG$1001,0),0), INDEX($AN$1004:$BO$1004,1,MATCH(COLUMNS($AN$1006:AQ1006),$AN$1006:$BO$1006,0)))),"Fix")))</f>
        <v>0</v>
      </c>
      <c r="F291" s="4">
        <f>IF(OR(INDEX($AH$2:$AH$1001,MATCH(ROWS($AG$2:AG291),$AG$2:$AG$1001,0),1)&gt;=100000,INDEX($AN$1005:$BO$1005,1,MATCH(COLUMNS($AN$1006:AR1006),$AN$1006:$BO$1006,0))&gt;=100000), " ",IF(INDEX($AN$2:$BO$1001,MATCH(ROWS($AG$2:AG291),$AG$2:$AG$1001,0),MATCH(COLUMNS($AN$1006:AR1006),$AN$1006:$BO$1006,0)), HYPERLINK("#",""), HYPERLINK(CONCATENATE("#Metadata!", ADDRESS(INDEX($AI$2:$AI$1001,MATCH(ROWS($AG$2:AG291),$AG$2:$AG$1001,0),0), INDEX($AN$1004:$BO$1004,1,MATCH(COLUMNS($AN$1006:AR1006),$AN$1006:$BO$1006,0)))),"Fix")))</f>
        <v>0</v>
      </c>
      <c r="G291" s="4">
        <f>IF(OR(INDEX($AH$2:$AH$1001,MATCH(ROWS($AG$2:AG291),$AG$2:$AG$1001,0),1)&gt;=100000,INDEX($AN$1005:$BO$1005,1,MATCH(COLUMNS($AN$1006:AS1006),$AN$1006:$BO$1006,0))&gt;=100000), " ",IF(INDEX($AN$2:$BO$1001,MATCH(ROWS($AG$2:AG291),$AG$2:$AG$1001,0),MATCH(COLUMNS($AN$1006:AS1006),$AN$1006:$BO$1006,0)), HYPERLINK("#",""), HYPERLINK(CONCATENATE("#Metadata!", ADDRESS(INDEX($AI$2:$AI$1001,MATCH(ROWS($AG$2:AG291),$AG$2:$AG$1001,0),0), INDEX($AN$1004:$BO$1004,1,MATCH(COLUMNS($AN$1006:AS1006),$AN$1006:$BO$1006,0)))),"Fix")))</f>
        <v>0</v>
      </c>
      <c r="H291" s="4">
        <f>IF(OR(INDEX($AH$2:$AH$1001,MATCH(ROWS($AG$2:AG291),$AG$2:$AG$1001,0),1)&gt;=100000,INDEX($AN$1005:$BO$1005,1,MATCH(COLUMNS($AN$1006:AT1006),$AN$1006:$BO$1006,0))&gt;=100000), " ",IF(INDEX($AN$2:$BO$1001,MATCH(ROWS($AG$2:AG291),$AG$2:$AG$1001,0),MATCH(COLUMNS($AN$1006:AT1006),$AN$1006:$BO$1006,0)), HYPERLINK("#",""), HYPERLINK(CONCATENATE("#Metadata!", ADDRESS(INDEX($AI$2:$AI$1001,MATCH(ROWS($AG$2:AG291),$AG$2:$AG$1001,0),0), INDEX($AN$1004:$BO$1004,1,MATCH(COLUMNS($AN$1006:AT1006),$AN$1006:$BO$1006,0)))),"Fix")))</f>
        <v>0</v>
      </c>
      <c r="I291" s="4">
        <f>IF(OR(INDEX($AH$2:$AH$1001,MATCH(ROWS($AG$2:AG291),$AG$2:$AG$1001,0),1)&gt;=100000,INDEX($AN$1005:$BO$1005,1,MATCH(COLUMNS($AN$1006:AU1006),$AN$1006:$BO$1006,0))&gt;=100000), " ",IF(INDEX($AN$2:$BO$1001,MATCH(ROWS($AG$2:AG291),$AG$2:$AG$1001,0),MATCH(COLUMNS($AN$1006:AU1006),$AN$1006:$BO$1006,0)), HYPERLINK("#",""), HYPERLINK(CONCATENATE("#Metadata!", ADDRESS(INDEX($AI$2:$AI$1001,MATCH(ROWS($AG$2:AG291),$AG$2:$AG$1001,0),0), INDEX($AN$1004:$BO$1004,1,MATCH(COLUMNS($AN$1006:AU1006),$AN$1006:$BO$1006,0)))),"Fix")))</f>
        <v>0</v>
      </c>
      <c r="J291" s="4">
        <f>IF(OR(INDEX($AH$2:$AH$1001,MATCH(ROWS($AG$2:AG291),$AG$2:$AG$1001,0),1)&gt;=100000,INDEX($AN$1005:$BO$1005,1,MATCH(COLUMNS($AN$1006:AV1006),$AN$1006:$BO$1006,0))&gt;=100000), " ",IF(INDEX($AN$2:$BO$1001,MATCH(ROWS($AG$2:AG291),$AG$2:$AG$1001,0),MATCH(COLUMNS($AN$1006:AV1006),$AN$1006:$BO$1006,0)), HYPERLINK("#",""), HYPERLINK(CONCATENATE("#Metadata!", ADDRESS(INDEX($AI$2:$AI$1001,MATCH(ROWS($AG$2:AG291),$AG$2:$AG$1001,0),0), INDEX($AN$1004:$BO$1004,1,MATCH(COLUMNS($AN$1006:AV1006),$AN$1006:$BO$1006,0)))),"Fix")))</f>
        <v>0</v>
      </c>
      <c r="K291" s="4">
        <f>IF(OR(INDEX($AH$2:$AH$1001,MATCH(ROWS($AG$2:AG291),$AG$2:$AG$1001,0),1)&gt;=100000,INDEX($AN$1005:$BO$1005,1,MATCH(COLUMNS($AN$1006:AW1006),$AN$1006:$BO$1006,0))&gt;=100000), " ",IF(INDEX($AN$2:$BO$1001,MATCH(ROWS($AG$2:AG291),$AG$2:$AG$1001,0),MATCH(COLUMNS($AN$1006:AW1006),$AN$1006:$BO$1006,0)), HYPERLINK("#",""), HYPERLINK(CONCATENATE("#Metadata!", ADDRESS(INDEX($AI$2:$AI$1001,MATCH(ROWS($AG$2:AG291),$AG$2:$AG$1001,0),0), INDEX($AN$1004:$BO$1004,1,MATCH(COLUMNS($AN$1006:AW1006),$AN$1006:$BO$1006,0)))),"Fix")))</f>
        <v>0</v>
      </c>
      <c r="L291" s="4">
        <f>IF(OR(INDEX($AH$2:$AH$1001,MATCH(ROWS($AG$2:AG291),$AG$2:$AG$1001,0),1)&gt;=100000,INDEX($AN$1005:$BO$1005,1,MATCH(COLUMNS($AN$1006:AX1006),$AN$1006:$BO$1006,0))&gt;=100000), " ",IF(INDEX($AN$2:$BO$1001,MATCH(ROWS($AG$2:AG291),$AG$2:$AG$1001,0),MATCH(COLUMNS($AN$1006:AX1006),$AN$1006:$BO$1006,0)), HYPERLINK("#",""), HYPERLINK(CONCATENATE("#Metadata!", ADDRESS(INDEX($AI$2:$AI$1001,MATCH(ROWS($AG$2:AG291),$AG$2:$AG$1001,0),0), INDEX($AN$1004:$BO$1004,1,MATCH(COLUMNS($AN$1006:AX1006),$AN$1006:$BO$1006,0)))),"Fix")))</f>
        <v>0</v>
      </c>
      <c r="M291" s="4">
        <f>IF(OR(INDEX($AH$2:$AH$1001,MATCH(ROWS($AG$2:AG291),$AG$2:$AG$1001,0),1)&gt;=100000,INDEX($AN$1005:$BO$1005,1,MATCH(COLUMNS($AN$1006:AY1006),$AN$1006:$BO$1006,0))&gt;=100000), " ",IF(INDEX($AN$2:$BO$1001,MATCH(ROWS($AG$2:AG291),$AG$2:$AG$1001,0),MATCH(COLUMNS($AN$1006:AY1006),$AN$1006:$BO$1006,0)), HYPERLINK("#",""), HYPERLINK(CONCATENATE("#Metadata!", ADDRESS(INDEX($AI$2:$AI$1001,MATCH(ROWS($AG$2:AG291),$AG$2:$AG$1001,0),0), INDEX($AN$1004:$BO$1004,1,MATCH(COLUMNS($AN$1006:AY1006),$AN$1006:$BO$1006,0)))),"Fix")))</f>
        <v>0</v>
      </c>
      <c r="N291" s="4">
        <f>IF(OR(INDEX($AH$2:$AH$1001,MATCH(ROWS($AG$2:AG291),$AG$2:$AG$1001,0),1)&gt;=100000,INDEX($AN$1005:$BO$1005,1,MATCH(COLUMNS($AN$1006:AZ1006),$AN$1006:$BO$1006,0))&gt;=100000), " ",IF(INDEX($AN$2:$BO$1001,MATCH(ROWS($AG$2:AG291),$AG$2:$AG$1001,0),MATCH(COLUMNS($AN$1006:AZ1006),$AN$1006:$BO$1006,0)), HYPERLINK("#",""), HYPERLINK(CONCATENATE("#Metadata!", ADDRESS(INDEX($AI$2:$AI$1001,MATCH(ROWS($AG$2:AG291),$AG$2:$AG$1001,0),0), INDEX($AN$1004:$BO$1004,1,MATCH(COLUMNS($AN$1006:AZ1006),$AN$1006:$BO$1006,0)))),"Fix")))</f>
        <v>0</v>
      </c>
      <c r="O291" s="4">
        <f>IF(OR(INDEX($AH$2:$AH$1001,MATCH(ROWS($AG$2:AG291),$AG$2:$AG$1001,0),1)&gt;=100000,INDEX($AN$1005:$BO$1005,1,MATCH(COLUMNS($AN$1006:BA1006),$AN$1006:$BO$1006,0))&gt;=100000), " ",IF(INDEX($AN$2:$BO$1001,MATCH(ROWS($AG$2:AG291),$AG$2:$AG$1001,0),MATCH(COLUMNS($AN$1006:BA1006),$AN$1006:$BO$1006,0)), HYPERLINK("#",""), HYPERLINK(CONCATENATE("#Metadata!", ADDRESS(INDEX($AI$2:$AI$1001,MATCH(ROWS($AG$2:AG291),$AG$2:$AG$1001,0),0), INDEX($AN$1004:$BO$1004,1,MATCH(COLUMNS($AN$1006:BA1006),$AN$1006:$BO$1006,0)))),"Fix")))</f>
        <v>0</v>
      </c>
      <c r="P291" s="4">
        <f>IF(OR(INDEX($AH$2:$AH$1001,MATCH(ROWS($AG$2:AG291),$AG$2:$AG$1001,0),1)&gt;=100000,INDEX($AN$1005:$BO$1005,1,MATCH(COLUMNS($AN$1006:BB1006),$AN$1006:$BO$1006,0))&gt;=100000), " ",IF(INDEX($AN$2:$BO$1001,MATCH(ROWS($AG$2:AG291),$AG$2:$AG$1001,0),MATCH(COLUMNS($AN$1006:BB1006),$AN$1006:$BO$1006,0)), HYPERLINK("#",""), HYPERLINK(CONCATENATE("#Metadata!", ADDRESS(INDEX($AI$2:$AI$1001,MATCH(ROWS($AG$2:AG291),$AG$2:$AG$1001,0),0), INDEX($AN$1004:$BO$1004,1,MATCH(COLUMNS($AN$1006:BB1006),$AN$1006:$BO$1006,0)))),"Fix")))</f>
        <v>0</v>
      </c>
      <c r="Q291" s="4">
        <f>IF(OR(INDEX($AH$2:$AH$1001,MATCH(ROWS($AG$2:AG291),$AG$2:$AG$1001,0),1)&gt;=100000,INDEX($AN$1005:$BO$1005,1,MATCH(COLUMNS($AN$1006:BC1006),$AN$1006:$BO$1006,0))&gt;=100000), " ",IF(INDEX($AN$2:$BO$1001,MATCH(ROWS($AG$2:AG291),$AG$2:$AG$1001,0),MATCH(COLUMNS($AN$1006:BC1006),$AN$1006:$BO$1006,0)), HYPERLINK("#",""), HYPERLINK(CONCATENATE("#Metadata!", ADDRESS(INDEX($AI$2:$AI$1001,MATCH(ROWS($AG$2:AG291),$AG$2:$AG$1001,0),0), INDEX($AN$1004:$BO$1004,1,MATCH(COLUMNS($AN$1006:BC1006),$AN$1006:$BO$1006,0)))),"Fix")))</f>
        <v>0</v>
      </c>
      <c r="R291" s="4">
        <f>IF(OR(INDEX($AH$2:$AH$1001,MATCH(ROWS($AG$2:AG291),$AG$2:$AG$1001,0),1)&gt;=100000,INDEX($AN$1005:$BO$1005,1,MATCH(COLUMNS($AN$1006:BD1006),$AN$1006:$BO$1006,0))&gt;=100000), " ",IF(INDEX($AN$2:$BO$1001,MATCH(ROWS($AG$2:AG291),$AG$2:$AG$1001,0),MATCH(COLUMNS($AN$1006:BD1006),$AN$1006:$BO$1006,0)), HYPERLINK("#",""), HYPERLINK(CONCATENATE("#Metadata!", ADDRESS(INDEX($AI$2:$AI$1001,MATCH(ROWS($AG$2:AG291),$AG$2:$AG$1001,0),0), INDEX($AN$1004:$BO$1004,1,MATCH(COLUMNS($AN$1006:BD1006),$AN$1006:$BO$1006,0)))),"Fix")))</f>
        <v>0</v>
      </c>
      <c r="S291" s="4">
        <f>IF(OR(INDEX($AH$2:$AH$1001,MATCH(ROWS($AG$2:AG291),$AG$2:$AG$1001,0),1)&gt;=100000,INDEX($AN$1005:$BO$1005,1,MATCH(COLUMNS($AN$1006:BE1006),$AN$1006:$BO$1006,0))&gt;=100000), " ",IF(INDEX($AN$2:$BO$1001,MATCH(ROWS($AG$2:AG291),$AG$2:$AG$1001,0),MATCH(COLUMNS($AN$1006:BE1006),$AN$1006:$BO$1006,0)), HYPERLINK("#",""), HYPERLINK(CONCATENATE("#Metadata!", ADDRESS(INDEX($AI$2:$AI$1001,MATCH(ROWS($AG$2:AG291),$AG$2:$AG$1001,0),0), INDEX($AN$1004:$BO$1004,1,MATCH(COLUMNS($AN$1006:BE1006),$AN$1006:$BO$1006,0)))),"Fix")))</f>
        <v>0</v>
      </c>
      <c r="T291" s="4">
        <f>IF(OR(INDEX($AH$2:$AH$1001,MATCH(ROWS($AG$2:AG291),$AG$2:$AG$1001,0),1)&gt;=100000,INDEX($AN$1005:$BO$1005,1,MATCH(COLUMNS($AN$1006:BF1006),$AN$1006:$BO$1006,0))&gt;=100000), " ",IF(INDEX($AN$2:$BO$1001,MATCH(ROWS($AG$2:AG291),$AG$2:$AG$1001,0),MATCH(COLUMNS($AN$1006:BF1006),$AN$1006:$BO$1006,0)), HYPERLINK("#",""), HYPERLINK(CONCATENATE("#Metadata!", ADDRESS(INDEX($AI$2:$AI$1001,MATCH(ROWS($AG$2:AG291),$AG$2:$AG$1001,0),0), INDEX($AN$1004:$BO$1004,1,MATCH(COLUMNS($AN$1006:BF1006),$AN$1006:$BO$1006,0)))),"Fix")))</f>
        <v>0</v>
      </c>
      <c r="U291" s="4">
        <f>IF(OR(INDEX($AH$2:$AH$1001,MATCH(ROWS($AG$2:AG291),$AG$2:$AG$1001,0),1)&gt;=100000,INDEX($AN$1005:$BO$1005,1,MATCH(COLUMNS($AN$1006:BG1006),$AN$1006:$BO$1006,0))&gt;=100000), " ",IF(INDEX($AN$2:$BO$1001,MATCH(ROWS($AG$2:AG291),$AG$2:$AG$1001,0),MATCH(COLUMNS($AN$1006:BG1006),$AN$1006:$BO$1006,0)), HYPERLINK("#",""), HYPERLINK(CONCATENATE("#Metadata!", ADDRESS(INDEX($AI$2:$AI$1001,MATCH(ROWS($AG$2:AG291),$AG$2:$AG$1001,0),0), INDEX($AN$1004:$BO$1004,1,MATCH(COLUMNS($AN$1006:BG1006),$AN$1006:$BO$1006,0)))),"Fix")))</f>
        <v>0</v>
      </c>
      <c r="V291" s="4">
        <f>IF(OR(INDEX($AH$2:$AH$1001,MATCH(ROWS($AG$2:AG291),$AG$2:$AG$1001,0),1)&gt;=100000,INDEX($AN$1005:$BO$1005,1,MATCH(COLUMNS($AN$1006:BH1006),$AN$1006:$BO$1006,0))&gt;=100000), " ",IF(INDEX($AN$2:$BO$1001,MATCH(ROWS($AG$2:AG291),$AG$2:$AG$1001,0),MATCH(COLUMNS($AN$1006:BH1006),$AN$1006:$BO$1006,0)), HYPERLINK("#",""), HYPERLINK(CONCATENATE("#Metadata!", ADDRESS(INDEX($AI$2:$AI$1001,MATCH(ROWS($AG$2:AG291),$AG$2:$AG$1001,0),0), INDEX($AN$1004:$BO$1004,1,MATCH(COLUMNS($AN$1006:BH1006),$AN$1006:$BO$1006,0)))),"Fix")))</f>
        <v>0</v>
      </c>
      <c r="W291" s="4">
        <f>IF(OR(INDEX($AH$2:$AH$1001,MATCH(ROWS($AG$2:AG291),$AG$2:$AG$1001,0),1)&gt;=100000,INDEX($AN$1005:$BO$1005,1,MATCH(COLUMNS($AN$1006:BI1006),$AN$1006:$BO$1006,0))&gt;=100000), " ",IF(INDEX($AN$2:$BO$1001,MATCH(ROWS($AG$2:AG291),$AG$2:$AG$1001,0),MATCH(COLUMNS($AN$1006:BI1006),$AN$1006:$BO$1006,0)), HYPERLINK("#",""), HYPERLINK(CONCATENATE("#Metadata!", ADDRESS(INDEX($AI$2:$AI$1001,MATCH(ROWS($AG$2:AG291),$AG$2:$AG$1001,0),0), INDEX($AN$1004:$BO$1004,1,MATCH(COLUMNS($AN$1006:BI1006),$AN$1006:$BO$1006,0)))),"Fix")))</f>
        <v>0</v>
      </c>
      <c r="X291" s="4">
        <f>IF(OR(INDEX($AH$2:$AH$1001,MATCH(ROWS($AG$2:AG291),$AG$2:$AG$1001,0),1)&gt;=100000,INDEX($AN$1005:$BO$1005,1,MATCH(COLUMNS($AN$1006:BJ1006),$AN$1006:$BO$1006,0))&gt;=100000), " ",IF(INDEX($AN$2:$BO$1001,MATCH(ROWS($AG$2:AG291),$AG$2:$AG$1001,0),MATCH(COLUMNS($AN$1006:BJ1006),$AN$1006:$BO$1006,0)), HYPERLINK("#",""), HYPERLINK(CONCATENATE("#Metadata!", ADDRESS(INDEX($AI$2:$AI$1001,MATCH(ROWS($AG$2:AG291),$AG$2:$AG$1001,0),0), INDEX($AN$1004:$BO$1004,1,MATCH(COLUMNS($AN$1006:BJ1006),$AN$1006:$BO$1006,0)))),"Fix")))</f>
        <v>0</v>
      </c>
      <c r="Y291" s="4">
        <f>IF(OR(INDEX($AH$2:$AH$1001,MATCH(ROWS($AG$2:AG291),$AG$2:$AG$1001,0),1)&gt;=100000,INDEX($AN$1005:$BO$1005,1,MATCH(COLUMNS($AN$1006:BK1006),$AN$1006:$BO$1006,0))&gt;=100000), " ",IF(INDEX($AN$2:$BO$1001,MATCH(ROWS($AG$2:AG291),$AG$2:$AG$1001,0),MATCH(COLUMNS($AN$1006:BK1006),$AN$1006:$BO$1006,0)), HYPERLINK("#",""), HYPERLINK(CONCATENATE("#Metadata!", ADDRESS(INDEX($AI$2:$AI$1001,MATCH(ROWS($AG$2:AG291),$AG$2:$AG$1001,0),0), INDEX($AN$1004:$BO$1004,1,MATCH(COLUMNS($AN$1006:BK1006),$AN$1006:$BO$1006,0)))),"Fix")))</f>
        <v>0</v>
      </c>
      <c r="Z291" s="4">
        <f>IF(OR(INDEX($AH$2:$AH$1001,MATCH(ROWS($AG$2:AG291),$AG$2:$AG$1001,0),1)&gt;=100000,INDEX($AN$1005:$BO$1005,1,MATCH(COLUMNS($AN$1006:BL1006),$AN$1006:$BO$1006,0))&gt;=100000), " ",IF(INDEX($AN$2:$BO$1001,MATCH(ROWS($AG$2:AG291),$AG$2:$AG$1001,0),MATCH(COLUMNS($AN$1006:BL1006),$AN$1006:$BO$1006,0)), HYPERLINK("#",""), HYPERLINK(CONCATENATE("#Metadata!", ADDRESS(INDEX($AI$2:$AI$1001,MATCH(ROWS($AG$2:AG291),$AG$2:$AG$1001,0),0), INDEX($AN$1004:$BO$1004,1,MATCH(COLUMNS($AN$1006:BL1006),$AN$1006:$BO$1006,0)))),"Fix")))</f>
        <v>0</v>
      </c>
      <c r="AA291" s="4">
        <f>IF(OR(INDEX($AH$2:$AH$1001,MATCH(ROWS($AG$2:AG291),$AG$2:$AG$1001,0),1)&gt;=100000,INDEX($AN$1005:$BO$1005,1,MATCH(COLUMNS($AN$1006:BM1006),$AN$1006:$BO$1006,0))&gt;=100000), " ",IF(INDEX($AN$2:$BO$1001,MATCH(ROWS($AG$2:AG291),$AG$2:$AG$1001,0),MATCH(COLUMNS($AN$1006:BM1006),$AN$1006:$BO$1006,0)), HYPERLINK("#",""), HYPERLINK(CONCATENATE("#Metadata!", ADDRESS(INDEX($AI$2:$AI$1001,MATCH(ROWS($AG$2:AG291),$AG$2:$AG$1001,0),0), INDEX($AN$1004:$BO$1004,1,MATCH(COLUMNS($AN$1006:BM1006),$AN$1006:$BO$1006,0)))),"Fix")))</f>
        <v>0</v>
      </c>
      <c r="AB291" s="4">
        <f>IF(OR(INDEX($AH$2:$AH$1001,MATCH(ROWS($AG$2:AG291),$AG$2:$AG$1001,0),1)&gt;=100000,INDEX($AN$1005:$BO$1005,1,MATCH(COLUMNS($AN$1006:BN1006),$AN$1006:$BO$1006,0))&gt;=100000), " ",IF(INDEX($AN$2:$BO$1001,MATCH(ROWS($AG$2:AG291),$AG$2:$AG$1001,0),MATCH(COLUMNS($AN$1006:BN1006),$AN$1006:$BO$1006,0)), HYPERLINK("#",""), HYPERLINK(CONCATENATE("#Metadata!", ADDRESS(INDEX($AI$2:$AI$1001,MATCH(ROWS($AG$2:AG291),$AG$2:$AG$1001,0),0), INDEX($AN$1004:$BO$1004,1,MATCH(COLUMNS($AN$1006:BN1006),$AN$1006:$BO$1006,0)))),"Fix")))</f>
        <v>0</v>
      </c>
      <c r="AC291" s="4">
        <f>IF(OR(INDEX($AH$2:$AH$1001,MATCH(ROWS($AG$2:AG291),$AG$2:$AG$1001,0),1)&gt;=100000,INDEX($AN$1005:$BO$1005,1,MATCH(COLUMNS($AN$1006:BO1006),$AN$1006:$BO$1006,0))&gt;=100000), " ",IF(INDEX($AN$2:$BO$1001,MATCH(ROWS($AG$2:AG291),$AG$2:$AG$1001,0),MATCH(COLUMNS($AN$1006:BO1006),$AN$1006:$BO$1006,0)), HYPERLINK("#",""), HYPERLINK(CONCATENATE("#Metadata!", ADDRESS(INDEX($AI$2:$AI$1001,MATCH(ROWS($AG$2:AG291),$AG$2:$AG$1001,0),0), INDEX($AN$1004:$BO$1004,1,MATCH(COLUMNS($AN$1006:BO1006),$AN$1006:$BO$1006,0)))),"Fix")))</f>
        <v>0</v>
      </c>
      <c r="AG291">
        <v>0</v>
      </c>
      <c r="AH291">
        <v>0</v>
      </c>
      <c r="AI291">
        <v>0</v>
      </c>
      <c r="AJ291">
        <f>IF(AK291,TRUE,AND(AN291:BO291))</f>
        <v>0</v>
      </c>
      <c r="AK291">
        <f>COUNTBLANK(Metadata!B291:AC291)=COLUMNS(Metadata!B291:AC291)</f>
        <v>0</v>
      </c>
      <c r="AL291">
        <v>0</v>
      </c>
      <c r="AN291">
        <f>AND(IF(Metadata!B291="",FALSE,TRUE),COUNTIF(Metadata!B:B, Metadata!B291) = 1,NOT(ISERROR(SUMPRODUCT(SEARCH(MID(Metadata!B291,ROW(INDIRECT("1:"&amp;LEN(Metadata!B291))), 1),"0123456789abcdefghijklmnopqrstuvwxyzABCDEFGHIJKLMNOPQRSTUVWXYZ.")))))</f>
        <v>0</v>
      </c>
      <c r="AO291">
        <f>IF(Metadata!C291="",FALSE,TRUE)</f>
        <v>0</v>
      </c>
      <c r="AP291">
        <f>IF(Metadata!D291="",FALSE,TRUE)</f>
        <v>0</v>
      </c>
      <c r="AQ291">
        <f>OR(AND(IF(Metadata!E291="",FALSE,TRUE),OR(exact(Metadata!E291,"not collected"),exact(Metadata!E291,"not provided"),exact(Metadata!E291,"restricted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R291">
        <f>IF(Metadata!F291="",FALSE,TRUE)</f>
        <v>0</v>
      </c>
      <c r="AS291">
        <f>OR(AND(IF(Metadata!G291="",FALSE,TRUE),OR(exact(Metadata!G291,"not collected"),exact(Metadata!G291,"not provided"))),AND(IF(Metadata!G291="",FALSE,TRUE),OR(exact(Metadata!G291,"TRUE"),exact(Metadata!G291,"FALSE"))))</f>
        <v>0</v>
      </c>
      <c r="AT291">
        <f>OR(AND(IF(Metadata!H291="",FALSE,TRUE),OR(exact(Metadata!H291,"not collected"),exact(Metadata!H291,"not provided"),exact(Metadata!H291,"restricted access"))),AND(IF(Metadata!H291="",FALSE,ISNUMBER(VALUE(Metadata!H291))),Metadata!H291&gt;=-413.0))</f>
        <v>0</v>
      </c>
      <c r="AU291">
        <f>AND(IF(Metadata!I291="",FALSE,TRUE),exact(Metadata!I291,"meters"))</f>
        <v>0</v>
      </c>
      <c r="AV291">
        <f>AND(IF(Metadata!J291="",FALSE,TRUE),OR(exact(Metadata!J291,"Host-associated"),exact(Metadata!J291,"Free-living")))</f>
        <v>0</v>
      </c>
      <c r="AW291">
        <f>AND(IF(Metadata!K291="",FALSE,TRUE),OR(exact(Metadata!K291,"Animal"),exact(Metadata!K291,"Fungus"),exact(Metadata!K291,"Plant"),exact(Metadata!K291,"Saline"),exact(Metadata!K291,"Non-saline")))</f>
        <v>0</v>
      </c>
      <c r="AX291">
        <f>AND(IF(Metadata!L291="",FALSE,TRUE),OR(exact(Metadata!L291,"Plant secretion"),exact(Metadata!L291,"Plant rhizosphere"),exact(Metadata!L291,"Plant surface"),exact(Metadata!L291,"Plant corpus"),exact(Metadata!L291,"Fungus surface"),exact(Metadata!L291,"Fungus corpus"),exact(Metadata!L291,"Animal surface"),exact(Metadata!L291,"Animal proximal gut"),exact(Metadata!L291,"Animal corpus"),exact(Metadata!L291,"Animal distal gut"),exact(Metadata!L291,"Animal secretion"),exact(Metadata!L291,"Sub-surface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Y291">
        <f>IF(Metadata!M291="",FALSE,TRUE)</f>
        <v>0</v>
      </c>
      <c r="AZ291">
        <f>IF(Metadata!N291="",FALSE,TRUE)</f>
        <v>0</v>
      </c>
      <c r="BA291">
        <f>IF(Metadata!O291="",FALSE,TRUE)</f>
        <v>0</v>
      </c>
      <c r="BB291">
        <f>OR(AND(IF(Metadata!P291="",FALSE,TRUE),OR(exact(Metadata!P291,"not collected"),exact(Metadata!P291,"not provided"),exact(Metadata!P291,"restricted access"))),AND(IF(Metadata!P291="",FALSE,TRUE),OR(exact(Metadata!P291,"air"),exact(Metadata!P291,"built environment"),exact(Metadata!P291,"host-associated"),exact(Metadata!P291,"human-associated"),exact(Metadata!P291,"human-skin"),exact(Metadata!P291,"human-oral"),exact(Metadata!P291,"human-gut"),exact(Metadata!P291,"human-vaginal"),exact(Metadata!P291,"microbial mat/biofilm"),exact(Metadata!P291,"misc environment"),exact(Metadata!P291,"plant-associated"),exact(Metadata!P291,"sediment"),exact(Metadata!P291,"soil"),exact(Metadata!P291,"wastewater/sludge"),exact(Metadata!P291,"water"))))</f>
        <v>0</v>
      </c>
      <c r="BC291">
        <f>IF(Metadata!Q291="",FALSE,TRUE)</f>
        <v>0</v>
      </c>
      <c r="BD291">
        <f>IF(Metadata!R291="",FALSE,TRUE)</f>
        <v>0</v>
      </c>
      <c r="BE291">
        <f>OR(AND(IF(Metadata!S291="",FALSE,TRUE),OR(exact(Metadata!S291,"not collected"),exact(Metadata!S291,"not provided"),exact(Metadata!S291,"restricted access"))),AND(IF(Metadata!S291="",FALSE,ISNUMBER(VALUE(Metadata!S291))),Metadata!S291&gt;=-90.00,Metadata!S291&lt;=90.00))</f>
        <v>0</v>
      </c>
      <c r="BF291">
        <f>AND(IF(Metadata!T291="",FALSE,TRUE),exact(Metadata!T291,"Decimal degrees"))</f>
        <v>0</v>
      </c>
      <c r="BG291">
        <f>OR(AND(IF(Metadata!U291="",FALSE,TRUE),OR(exact(Metadata!U291,"not collected"),exact(Metadata!U291,"not provided"),exact(Metadata!U291,"restricted access"))),AND(IF(Metadata!U291="",FALSE,ISNUMBER(VALUE(Metadata!U291))),Metadata!U291&gt;=-180.00,Metadata!U291&lt;=180.00))</f>
        <v>0</v>
      </c>
      <c r="BH291">
        <f>AND(IF(Metadata!V291="",FALSE,TRUE),exact(Metadata!V291,"Decimal degrees"))</f>
        <v>0</v>
      </c>
      <c r="BI291">
        <f>IF(Metadata!W291="",FALSE,TRUE)</f>
        <v>0</v>
      </c>
      <c r="BJ291">
        <f>OR(AND(IF(Metadata!X291="",FALSE,TRUE),OR(exact(Metadata!X291,"not collected"),exact(Metadata!X291,"not provided"),exact(Metadata!X291,"restricted access"))),AND(IF(Metadata!X291="",FALSE,TRUE),OR(exact(Metadata!X291,"TRUE"),exact(Metadata!X291,"FALSE"))))</f>
        <v>0</v>
      </c>
      <c r="BK291">
        <f>AND(IF(Metadata!Y291="",FALSE,TRUE),exact(Metadata!Y291,"other"))</f>
        <v>0</v>
      </c>
      <c r="BL291">
        <f>IF(Metadata!Z291="",FALSE,TRUE)</f>
        <v>0</v>
      </c>
      <c r="BM291">
        <f>OR(AND(IF(Metadata!AA291="",FALSE,TRUE),OR(exact(Metadata!AA291,"not collected"),exact(Metadata!AA291,"not provided"))),AND(IF(Metadata!AA291="",FALSE,IF(ISERROR(INT(Metadata!AA291)),FALSE,INT(Metadata!AA291)=Metadata!AA291)),Metadata!AA291&gt;0))</f>
        <v>0</v>
      </c>
      <c r="BN291">
        <f>AND(IF(Metadata!AB291="",FALSE,TRUE),exact(Metadata!AB291,"Not applicable"))</f>
        <v>0</v>
      </c>
      <c r="BO291">
        <f>IF(Metadata!AC291="",FALSE,TRUE)</f>
        <v>0</v>
      </c>
    </row>
    <row r="292" spans="1:67">
      <c r="A292" s="5">
        <f>IF(B292=" "," ",HYPERLINK(CONCATENATE("#metadata!",ADDRESS(INDEX($AI$2:$AI$1001,MATCH(ROWS($AG$2:AG292),$AG$2:$AG$1001,0),0),1)),INDEX($AL$2:$AL$1001,MATCH(ROWS($AG$2:AG292),$AG$2:$AG$1001,0),0)))</f>
        <v>0</v>
      </c>
      <c r="B292" s="4">
        <f>IF(OR(INDEX($AH$2:$AH$1001,MATCH(ROWS($AG$2:AG292),$AG$2:$AG$1001,0),1)&gt;=100000,INDEX($AN$1005:$BO$1005,1,MATCH(COLUMNS($AN$1006:AN1006),$AN$1006:$BO$1006,0))&gt;=100000), " ",IF(INDEX($AN$2:$BO$1001,MATCH(ROWS($AG$2:AG292),$AG$2:$AG$1001,0),MATCH(COLUMNS($AN$1006:AN1006),$AN$1006:$BO$1006,0)), HYPERLINK("#",""), HYPERLINK(CONCATENATE("#Metadata!", ADDRESS(INDEX($AI$2:$AI$1001,MATCH(ROWS($AG$2:AG292),$AG$2:$AG$1001,0),0), INDEX($AN$1004:$BO$1004,1,MATCH(COLUMNS($AN$1006:AN1006),$AN$1006:$BO$1006,0)))),"Fix")))</f>
        <v>0</v>
      </c>
      <c r="C292" s="4">
        <f>IF(OR(INDEX($AH$2:$AH$1001,MATCH(ROWS($AG$2:AG292),$AG$2:$AG$1001,0),1)&gt;=100000,INDEX($AN$1005:$BO$1005,1,MATCH(COLUMNS($AN$1006:AO1006),$AN$1006:$BO$1006,0))&gt;=100000), " ",IF(INDEX($AN$2:$BO$1001,MATCH(ROWS($AG$2:AG292),$AG$2:$AG$1001,0),MATCH(COLUMNS($AN$1006:AO1006),$AN$1006:$BO$1006,0)), HYPERLINK("#",""), HYPERLINK(CONCATENATE("#Metadata!", ADDRESS(INDEX($AI$2:$AI$1001,MATCH(ROWS($AG$2:AG292),$AG$2:$AG$1001,0),0), INDEX($AN$1004:$BO$1004,1,MATCH(COLUMNS($AN$1006:AO1006),$AN$1006:$BO$1006,0)))),"Fix")))</f>
        <v>0</v>
      </c>
      <c r="D292" s="4">
        <f>IF(OR(INDEX($AH$2:$AH$1001,MATCH(ROWS($AG$2:AG292),$AG$2:$AG$1001,0),1)&gt;=100000,INDEX($AN$1005:$BO$1005,1,MATCH(COLUMNS($AN$1006:AP1006),$AN$1006:$BO$1006,0))&gt;=100000), " ",IF(INDEX($AN$2:$BO$1001,MATCH(ROWS($AG$2:AG292),$AG$2:$AG$1001,0),MATCH(COLUMNS($AN$1006:AP1006),$AN$1006:$BO$1006,0)), HYPERLINK("#",""), HYPERLINK(CONCATENATE("#Metadata!", ADDRESS(INDEX($AI$2:$AI$1001,MATCH(ROWS($AG$2:AG292),$AG$2:$AG$1001,0),0), INDEX($AN$1004:$BO$1004,1,MATCH(COLUMNS($AN$1006:AP1006),$AN$1006:$BO$1006,0)))),"Fix")))</f>
        <v>0</v>
      </c>
      <c r="E292" s="4">
        <f>IF(OR(INDEX($AH$2:$AH$1001,MATCH(ROWS($AG$2:AG292),$AG$2:$AG$1001,0),1)&gt;=100000,INDEX($AN$1005:$BO$1005,1,MATCH(COLUMNS($AN$1006:AQ1006),$AN$1006:$BO$1006,0))&gt;=100000), " ",IF(INDEX($AN$2:$BO$1001,MATCH(ROWS($AG$2:AG292),$AG$2:$AG$1001,0),MATCH(COLUMNS($AN$1006:AQ1006),$AN$1006:$BO$1006,0)), HYPERLINK("#",""), HYPERLINK(CONCATENATE("#Metadata!", ADDRESS(INDEX($AI$2:$AI$1001,MATCH(ROWS($AG$2:AG292),$AG$2:$AG$1001,0),0), INDEX($AN$1004:$BO$1004,1,MATCH(COLUMNS($AN$1006:AQ1006),$AN$1006:$BO$1006,0)))),"Fix")))</f>
        <v>0</v>
      </c>
      <c r="F292" s="4">
        <f>IF(OR(INDEX($AH$2:$AH$1001,MATCH(ROWS($AG$2:AG292),$AG$2:$AG$1001,0),1)&gt;=100000,INDEX($AN$1005:$BO$1005,1,MATCH(COLUMNS($AN$1006:AR1006),$AN$1006:$BO$1006,0))&gt;=100000), " ",IF(INDEX($AN$2:$BO$1001,MATCH(ROWS($AG$2:AG292),$AG$2:$AG$1001,0),MATCH(COLUMNS($AN$1006:AR1006),$AN$1006:$BO$1006,0)), HYPERLINK("#",""), HYPERLINK(CONCATENATE("#Metadata!", ADDRESS(INDEX($AI$2:$AI$1001,MATCH(ROWS($AG$2:AG292),$AG$2:$AG$1001,0),0), INDEX($AN$1004:$BO$1004,1,MATCH(COLUMNS($AN$1006:AR1006),$AN$1006:$BO$1006,0)))),"Fix")))</f>
        <v>0</v>
      </c>
      <c r="G292" s="4">
        <f>IF(OR(INDEX($AH$2:$AH$1001,MATCH(ROWS($AG$2:AG292),$AG$2:$AG$1001,0),1)&gt;=100000,INDEX($AN$1005:$BO$1005,1,MATCH(COLUMNS($AN$1006:AS1006),$AN$1006:$BO$1006,0))&gt;=100000), " ",IF(INDEX($AN$2:$BO$1001,MATCH(ROWS($AG$2:AG292),$AG$2:$AG$1001,0),MATCH(COLUMNS($AN$1006:AS1006),$AN$1006:$BO$1006,0)), HYPERLINK("#",""), HYPERLINK(CONCATENATE("#Metadata!", ADDRESS(INDEX($AI$2:$AI$1001,MATCH(ROWS($AG$2:AG292),$AG$2:$AG$1001,0),0), INDEX($AN$1004:$BO$1004,1,MATCH(COLUMNS($AN$1006:AS1006),$AN$1006:$BO$1006,0)))),"Fix")))</f>
        <v>0</v>
      </c>
      <c r="H292" s="4">
        <f>IF(OR(INDEX($AH$2:$AH$1001,MATCH(ROWS($AG$2:AG292),$AG$2:$AG$1001,0),1)&gt;=100000,INDEX($AN$1005:$BO$1005,1,MATCH(COLUMNS($AN$1006:AT1006),$AN$1006:$BO$1006,0))&gt;=100000), " ",IF(INDEX($AN$2:$BO$1001,MATCH(ROWS($AG$2:AG292),$AG$2:$AG$1001,0),MATCH(COLUMNS($AN$1006:AT1006),$AN$1006:$BO$1006,0)), HYPERLINK("#",""), HYPERLINK(CONCATENATE("#Metadata!", ADDRESS(INDEX($AI$2:$AI$1001,MATCH(ROWS($AG$2:AG292),$AG$2:$AG$1001,0),0), INDEX($AN$1004:$BO$1004,1,MATCH(COLUMNS($AN$1006:AT1006),$AN$1006:$BO$1006,0)))),"Fix")))</f>
        <v>0</v>
      </c>
      <c r="I292" s="4">
        <f>IF(OR(INDEX($AH$2:$AH$1001,MATCH(ROWS($AG$2:AG292),$AG$2:$AG$1001,0),1)&gt;=100000,INDEX($AN$1005:$BO$1005,1,MATCH(COLUMNS($AN$1006:AU1006),$AN$1006:$BO$1006,0))&gt;=100000), " ",IF(INDEX($AN$2:$BO$1001,MATCH(ROWS($AG$2:AG292),$AG$2:$AG$1001,0),MATCH(COLUMNS($AN$1006:AU1006),$AN$1006:$BO$1006,0)), HYPERLINK("#",""), HYPERLINK(CONCATENATE("#Metadata!", ADDRESS(INDEX($AI$2:$AI$1001,MATCH(ROWS($AG$2:AG292),$AG$2:$AG$1001,0),0), INDEX($AN$1004:$BO$1004,1,MATCH(COLUMNS($AN$1006:AU1006),$AN$1006:$BO$1006,0)))),"Fix")))</f>
        <v>0</v>
      </c>
      <c r="J292" s="4">
        <f>IF(OR(INDEX($AH$2:$AH$1001,MATCH(ROWS($AG$2:AG292),$AG$2:$AG$1001,0),1)&gt;=100000,INDEX($AN$1005:$BO$1005,1,MATCH(COLUMNS($AN$1006:AV1006),$AN$1006:$BO$1006,0))&gt;=100000), " ",IF(INDEX($AN$2:$BO$1001,MATCH(ROWS($AG$2:AG292),$AG$2:$AG$1001,0),MATCH(COLUMNS($AN$1006:AV1006),$AN$1006:$BO$1006,0)), HYPERLINK("#",""), HYPERLINK(CONCATENATE("#Metadata!", ADDRESS(INDEX($AI$2:$AI$1001,MATCH(ROWS($AG$2:AG292),$AG$2:$AG$1001,0),0), INDEX($AN$1004:$BO$1004,1,MATCH(COLUMNS($AN$1006:AV1006),$AN$1006:$BO$1006,0)))),"Fix")))</f>
        <v>0</v>
      </c>
      <c r="K292" s="4">
        <f>IF(OR(INDEX($AH$2:$AH$1001,MATCH(ROWS($AG$2:AG292),$AG$2:$AG$1001,0),1)&gt;=100000,INDEX($AN$1005:$BO$1005,1,MATCH(COLUMNS($AN$1006:AW1006),$AN$1006:$BO$1006,0))&gt;=100000), " ",IF(INDEX($AN$2:$BO$1001,MATCH(ROWS($AG$2:AG292),$AG$2:$AG$1001,0),MATCH(COLUMNS($AN$1006:AW1006),$AN$1006:$BO$1006,0)), HYPERLINK("#",""), HYPERLINK(CONCATENATE("#Metadata!", ADDRESS(INDEX($AI$2:$AI$1001,MATCH(ROWS($AG$2:AG292),$AG$2:$AG$1001,0),0), INDEX($AN$1004:$BO$1004,1,MATCH(COLUMNS($AN$1006:AW1006),$AN$1006:$BO$1006,0)))),"Fix")))</f>
        <v>0</v>
      </c>
      <c r="L292" s="4">
        <f>IF(OR(INDEX($AH$2:$AH$1001,MATCH(ROWS($AG$2:AG292),$AG$2:$AG$1001,0),1)&gt;=100000,INDEX($AN$1005:$BO$1005,1,MATCH(COLUMNS($AN$1006:AX1006),$AN$1006:$BO$1006,0))&gt;=100000), " ",IF(INDEX($AN$2:$BO$1001,MATCH(ROWS($AG$2:AG292),$AG$2:$AG$1001,0),MATCH(COLUMNS($AN$1006:AX1006),$AN$1006:$BO$1006,0)), HYPERLINK("#",""), HYPERLINK(CONCATENATE("#Metadata!", ADDRESS(INDEX($AI$2:$AI$1001,MATCH(ROWS($AG$2:AG292),$AG$2:$AG$1001,0),0), INDEX($AN$1004:$BO$1004,1,MATCH(COLUMNS($AN$1006:AX1006),$AN$1006:$BO$1006,0)))),"Fix")))</f>
        <v>0</v>
      </c>
      <c r="M292" s="4">
        <f>IF(OR(INDEX($AH$2:$AH$1001,MATCH(ROWS($AG$2:AG292),$AG$2:$AG$1001,0),1)&gt;=100000,INDEX($AN$1005:$BO$1005,1,MATCH(COLUMNS($AN$1006:AY1006),$AN$1006:$BO$1006,0))&gt;=100000), " ",IF(INDEX($AN$2:$BO$1001,MATCH(ROWS($AG$2:AG292),$AG$2:$AG$1001,0),MATCH(COLUMNS($AN$1006:AY1006),$AN$1006:$BO$1006,0)), HYPERLINK("#",""), HYPERLINK(CONCATENATE("#Metadata!", ADDRESS(INDEX($AI$2:$AI$1001,MATCH(ROWS($AG$2:AG292),$AG$2:$AG$1001,0),0), INDEX($AN$1004:$BO$1004,1,MATCH(COLUMNS($AN$1006:AY1006),$AN$1006:$BO$1006,0)))),"Fix")))</f>
        <v>0</v>
      </c>
      <c r="N292" s="4">
        <f>IF(OR(INDEX($AH$2:$AH$1001,MATCH(ROWS($AG$2:AG292),$AG$2:$AG$1001,0),1)&gt;=100000,INDEX($AN$1005:$BO$1005,1,MATCH(COLUMNS($AN$1006:AZ1006),$AN$1006:$BO$1006,0))&gt;=100000), " ",IF(INDEX($AN$2:$BO$1001,MATCH(ROWS($AG$2:AG292),$AG$2:$AG$1001,0),MATCH(COLUMNS($AN$1006:AZ1006),$AN$1006:$BO$1006,0)), HYPERLINK("#",""), HYPERLINK(CONCATENATE("#Metadata!", ADDRESS(INDEX($AI$2:$AI$1001,MATCH(ROWS($AG$2:AG292),$AG$2:$AG$1001,0),0), INDEX($AN$1004:$BO$1004,1,MATCH(COLUMNS($AN$1006:AZ1006),$AN$1006:$BO$1006,0)))),"Fix")))</f>
        <v>0</v>
      </c>
      <c r="O292" s="4">
        <f>IF(OR(INDEX($AH$2:$AH$1001,MATCH(ROWS($AG$2:AG292),$AG$2:$AG$1001,0),1)&gt;=100000,INDEX($AN$1005:$BO$1005,1,MATCH(COLUMNS($AN$1006:BA1006),$AN$1006:$BO$1006,0))&gt;=100000), " ",IF(INDEX($AN$2:$BO$1001,MATCH(ROWS($AG$2:AG292),$AG$2:$AG$1001,0),MATCH(COLUMNS($AN$1006:BA1006),$AN$1006:$BO$1006,0)), HYPERLINK("#",""), HYPERLINK(CONCATENATE("#Metadata!", ADDRESS(INDEX($AI$2:$AI$1001,MATCH(ROWS($AG$2:AG292),$AG$2:$AG$1001,0),0), INDEX($AN$1004:$BO$1004,1,MATCH(COLUMNS($AN$1006:BA1006),$AN$1006:$BO$1006,0)))),"Fix")))</f>
        <v>0</v>
      </c>
      <c r="P292" s="4">
        <f>IF(OR(INDEX($AH$2:$AH$1001,MATCH(ROWS($AG$2:AG292),$AG$2:$AG$1001,0),1)&gt;=100000,INDEX($AN$1005:$BO$1005,1,MATCH(COLUMNS($AN$1006:BB1006),$AN$1006:$BO$1006,0))&gt;=100000), " ",IF(INDEX($AN$2:$BO$1001,MATCH(ROWS($AG$2:AG292),$AG$2:$AG$1001,0),MATCH(COLUMNS($AN$1006:BB1006),$AN$1006:$BO$1006,0)), HYPERLINK("#",""), HYPERLINK(CONCATENATE("#Metadata!", ADDRESS(INDEX($AI$2:$AI$1001,MATCH(ROWS($AG$2:AG292),$AG$2:$AG$1001,0),0), INDEX($AN$1004:$BO$1004,1,MATCH(COLUMNS($AN$1006:BB1006),$AN$1006:$BO$1006,0)))),"Fix")))</f>
        <v>0</v>
      </c>
      <c r="Q292" s="4">
        <f>IF(OR(INDEX($AH$2:$AH$1001,MATCH(ROWS($AG$2:AG292),$AG$2:$AG$1001,0),1)&gt;=100000,INDEX($AN$1005:$BO$1005,1,MATCH(COLUMNS($AN$1006:BC1006),$AN$1006:$BO$1006,0))&gt;=100000), " ",IF(INDEX($AN$2:$BO$1001,MATCH(ROWS($AG$2:AG292),$AG$2:$AG$1001,0),MATCH(COLUMNS($AN$1006:BC1006),$AN$1006:$BO$1006,0)), HYPERLINK("#",""), HYPERLINK(CONCATENATE("#Metadata!", ADDRESS(INDEX($AI$2:$AI$1001,MATCH(ROWS($AG$2:AG292),$AG$2:$AG$1001,0),0), INDEX($AN$1004:$BO$1004,1,MATCH(COLUMNS($AN$1006:BC1006),$AN$1006:$BO$1006,0)))),"Fix")))</f>
        <v>0</v>
      </c>
      <c r="R292" s="4">
        <f>IF(OR(INDEX($AH$2:$AH$1001,MATCH(ROWS($AG$2:AG292),$AG$2:$AG$1001,0),1)&gt;=100000,INDEX($AN$1005:$BO$1005,1,MATCH(COLUMNS($AN$1006:BD1006),$AN$1006:$BO$1006,0))&gt;=100000), " ",IF(INDEX($AN$2:$BO$1001,MATCH(ROWS($AG$2:AG292),$AG$2:$AG$1001,0),MATCH(COLUMNS($AN$1006:BD1006),$AN$1006:$BO$1006,0)), HYPERLINK("#",""), HYPERLINK(CONCATENATE("#Metadata!", ADDRESS(INDEX($AI$2:$AI$1001,MATCH(ROWS($AG$2:AG292),$AG$2:$AG$1001,0),0), INDEX($AN$1004:$BO$1004,1,MATCH(COLUMNS($AN$1006:BD1006),$AN$1006:$BO$1006,0)))),"Fix")))</f>
        <v>0</v>
      </c>
      <c r="S292" s="4">
        <f>IF(OR(INDEX($AH$2:$AH$1001,MATCH(ROWS($AG$2:AG292),$AG$2:$AG$1001,0),1)&gt;=100000,INDEX($AN$1005:$BO$1005,1,MATCH(COLUMNS($AN$1006:BE1006),$AN$1006:$BO$1006,0))&gt;=100000), " ",IF(INDEX($AN$2:$BO$1001,MATCH(ROWS($AG$2:AG292),$AG$2:$AG$1001,0),MATCH(COLUMNS($AN$1006:BE1006),$AN$1006:$BO$1006,0)), HYPERLINK("#",""), HYPERLINK(CONCATENATE("#Metadata!", ADDRESS(INDEX($AI$2:$AI$1001,MATCH(ROWS($AG$2:AG292),$AG$2:$AG$1001,0),0), INDEX($AN$1004:$BO$1004,1,MATCH(COLUMNS($AN$1006:BE1006),$AN$1006:$BO$1006,0)))),"Fix")))</f>
        <v>0</v>
      </c>
      <c r="T292" s="4">
        <f>IF(OR(INDEX($AH$2:$AH$1001,MATCH(ROWS($AG$2:AG292),$AG$2:$AG$1001,0),1)&gt;=100000,INDEX($AN$1005:$BO$1005,1,MATCH(COLUMNS($AN$1006:BF1006),$AN$1006:$BO$1006,0))&gt;=100000), " ",IF(INDEX($AN$2:$BO$1001,MATCH(ROWS($AG$2:AG292),$AG$2:$AG$1001,0),MATCH(COLUMNS($AN$1006:BF1006),$AN$1006:$BO$1006,0)), HYPERLINK("#",""), HYPERLINK(CONCATENATE("#Metadata!", ADDRESS(INDEX($AI$2:$AI$1001,MATCH(ROWS($AG$2:AG292),$AG$2:$AG$1001,0),0), INDEX($AN$1004:$BO$1004,1,MATCH(COLUMNS($AN$1006:BF1006),$AN$1006:$BO$1006,0)))),"Fix")))</f>
        <v>0</v>
      </c>
      <c r="U292" s="4">
        <f>IF(OR(INDEX($AH$2:$AH$1001,MATCH(ROWS($AG$2:AG292),$AG$2:$AG$1001,0),1)&gt;=100000,INDEX($AN$1005:$BO$1005,1,MATCH(COLUMNS($AN$1006:BG1006),$AN$1006:$BO$1006,0))&gt;=100000), " ",IF(INDEX($AN$2:$BO$1001,MATCH(ROWS($AG$2:AG292),$AG$2:$AG$1001,0),MATCH(COLUMNS($AN$1006:BG1006),$AN$1006:$BO$1006,0)), HYPERLINK("#",""), HYPERLINK(CONCATENATE("#Metadata!", ADDRESS(INDEX($AI$2:$AI$1001,MATCH(ROWS($AG$2:AG292),$AG$2:$AG$1001,0),0), INDEX($AN$1004:$BO$1004,1,MATCH(COLUMNS($AN$1006:BG1006),$AN$1006:$BO$1006,0)))),"Fix")))</f>
        <v>0</v>
      </c>
      <c r="V292" s="4">
        <f>IF(OR(INDEX($AH$2:$AH$1001,MATCH(ROWS($AG$2:AG292),$AG$2:$AG$1001,0),1)&gt;=100000,INDEX($AN$1005:$BO$1005,1,MATCH(COLUMNS($AN$1006:BH1006),$AN$1006:$BO$1006,0))&gt;=100000), " ",IF(INDEX($AN$2:$BO$1001,MATCH(ROWS($AG$2:AG292),$AG$2:$AG$1001,0),MATCH(COLUMNS($AN$1006:BH1006),$AN$1006:$BO$1006,0)), HYPERLINK("#",""), HYPERLINK(CONCATENATE("#Metadata!", ADDRESS(INDEX($AI$2:$AI$1001,MATCH(ROWS($AG$2:AG292),$AG$2:$AG$1001,0),0), INDEX($AN$1004:$BO$1004,1,MATCH(COLUMNS($AN$1006:BH1006),$AN$1006:$BO$1006,0)))),"Fix")))</f>
        <v>0</v>
      </c>
      <c r="W292" s="4">
        <f>IF(OR(INDEX($AH$2:$AH$1001,MATCH(ROWS($AG$2:AG292),$AG$2:$AG$1001,0),1)&gt;=100000,INDEX($AN$1005:$BO$1005,1,MATCH(COLUMNS($AN$1006:BI1006),$AN$1006:$BO$1006,0))&gt;=100000), " ",IF(INDEX($AN$2:$BO$1001,MATCH(ROWS($AG$2:AG292),$AG$2:$AG$1001,0),MATCH(COLUMNS($AN$1006:BI1006),$AN$1006:$BO$1006,0)), HYPERLINK("#",""), HYPERLINK(CONCATENATE("#Metadata!", ADDRESS(INDEX($AI$2:$AI$1001,MATCH(ROWS($AG$2:AG292),$AG$2:$AG$1001,0),0), INDEX($AN$1004:$BO$1004,1,MATCH(COLUMNS($AN$1006:BI1006),$AN$1006:$BO$1006,0)))),"Fix")))</f>
        <v>0</v>
      </c>
      <c r="X292" s="4">
        <f>IF(OR(INDEX($AH$2:$AH$1001,MATCH(ROWS($AG$2:AG292),$AG$2:$AG$1001,0),1)&gt;=100000,INDEX($AN$1005:$BO$1005,1,MATCH(COLUMNS($AN$1006:BJ1006),$AN$1006:$BO$1006,0))&gt;=100000), " ",IF(INDEX($AN$2:$BO$1001,MATCH(ROWS($AG$2:AG292),$AG$2:$AG$1001,0),MATCH(COLUMNS($AN$1006:BJ1006),$AN$1006:$BO$1006,0)), HYPERLINK("#",""), HYPERLINK(CONCATENATE("#Metadata!", ADDRESS(INDEX($AI$2:$AI$1001,MATCH(ROWS($AG$2:AG292),$AG$2:$AG$1001,0),0), INDEX($AN$1004:$BO$1004,1,MATCH(COLUMNS($AN$1006:BJ1006),$AN$1006:$BO$1006,0)))),"Fix")))</f>
        <v>0</v>
      </c>
      <c r="Y292" s="4">
        <f>IF(OR(INDEX($AH$2:$AH$1001,MATCH(ROWS($AG$2:AG292),$AG$2:$AG$1001,0),1)&gt;=100000,INDEX($AN$1005:$BO$1005,1,MATCH(COLUMNS($AN$1006:BK1006),$AN$1006:$BO$1006,0))&gt;=100000), " ",IF(INDEX($AN$2:$BO$1001,MATCH(ROWS($AG$2:AG292),$AG$2:$AG$1001,0),MATCH(COLUMNS($AN$1006:BK1006),$AN$1006:$BO$1006,0)), HYPERLINK("#",""), HYPERLINK(CONCATENATE("#Metadata!", ADDRESS(INDEX($AI$2:$AI$1001,MATCH(ROWS($AG$2:AG292),$AG$2:$AG$1001,0),0), INDEX($AN$1004:$BO$1004,1,MATCH(COLUMNS($AN$1006:BK1006),$AN$1006:$BO$1006,0)))),"Fix")))</f>
        <v>0</v>
      </c>
      <c r="Z292" s="4">
        <f>IF(OR(INDEX($AH$2:$AH$1001,MATCH(ROWS($AG$2:AG292),$AG$2:$AG$1001,0),1)&gt;=100000,INDEX($AN$1005:$BO$1005,1,MATCH(COLUMNS($AN$1006:BL1006),$AN$1006:$BO$1006,0))&gt;=100000), " ",IF(INDEX($AN$2:$BO$1001,MATCH(ROWS($AG$2:AG292),$AG$2:$AG$1001,0),MATCH(COLUMNS($AN$1006:BL1006),$AN$1006:$BO$1006,0)), HYPERLINK("#",""), HYPERLINK(CONCATENATE("#Metadata!", ADDRESS(INDEX($AI$2:$AI$1001,MATCH(ROWS($AG$2:AG292),$AG$2:$AG$1001,0),0), INDEX($AN$1004:$BO$1004,1,MATCH(COLUMNS($AN$1006:BL1006),$AN$1006:$BO$1006,0)))),"Fix")))</f>
        <v>0</v>
      </c>
      <c r="AA292" s="4">
        <f>IF(OR(INDEX($AH$2:$AH$1001,MATCH(ROWS($AG$2:AG292),$AG$2:$AG$1001,0),1)&gt;=100000,INDEX($AN$1005:$BO$1005,1,MATCH(COLUMNS($AN$1006:BM1006),$AN$1006:$BO$1006,0))&gt;=100000), " ",IF(INDEX($AN$2:$BO$1001,MATCH(ROWS($AG$2:AG292),$AG$2:$AG$1001,0),MATCH(COLUMNS($AN$1006:BM1006),$AN$1006:$BO$1006,0)), HYPERLINK("#",""), HYPERLINK(CONCATENATE("#Metadata!", ADDRESS(INDEX($AI$2:$AI$1001,MATCH(ROWS($AG$2:AG292),$AG$2:$AG$1001,0),0), INDEX($AN$1004:$BO$1004,1,MATCH(COLUMNS($AN$1006:BM1006),$AN$1006:$BO$1006,0)))),"Fix")))</f>
        <v>0</v>
      </c>
      <c r="AB292" s="4">
        <f>IF(OR(INDEX($AH$2:$AH$1001,MATCH(ROWS($AG$2:AG292),$AG$2:$AG$1001,0),1)&gt;=100000,INDEX($AN$1005:$BO$1005,1,MATCH(COLUMNS($AN$1006:BN1006),$AN$1006:$BO$1006,0))&gt;=100000), " ",IF(INDEX($AN$2:$BO$1001,MATCH(ROWS($AG$2:AG292),$AG$2:$AG$1001,0),MATCH(COLUMNS($AN$1006:BN1006),$AN$1006:$BO$1006,0)), HYPERLINK("#",""), HYPERLINK(CONCATENATE("#Metadata!", ADDRESS(INDEX($AI$2:$AI$1001,MATCH(ROWS($AG$2:AG292),$AG$2:$AG$1001,0),0), INDEX($AN$1004:$BO$1004,1,MATCH(COLUMNS($AN$1006:BN1006),$AN$1006:$BO$1006,0)))),"Fix")))</f>
        <v>0</v>
      </c>
      <c r="AC292" s="4">
        <f>IF(OR(INDEX($AH$2:$AH$1001,MATCH(ROWS($AG$2:AG292),$AG$2:$AG$1001,0),1)&gt;=100000,INDEX($AN$1005:$BO$1005,1,MATCH(COLUMNS($AN$1006:BO1006),$AN$1006:$BO$1006,0))&gt;=100000), " ",IF(INDEX($AN$2:$BO$1001,MATCH(ROWS($AG$2:AG292),$AG$2:$AG$1001,0),MATCH(COLUMNS($AN$1006:BO1006),$AN$1006:$BO$1006,0)), HYPERLINK("#",""), HYPERLINK(CONCATENATE("#Metadata!", ADDRESS(INDEX($AI$2:$AI$1001,MATCH(ROWS($AG$2:AG292),$AG$2:$AG$1001,0),0), INDEX($AN$1004:$BO$1004,1,MATCH(COLUMNS($AN$1006:BO1006),$AN$1006:$BO$1006,0)))),"Fix")))</f>
        <v>0</v>
      </c>
      <c r="AG292">
        <v>0</v>
      </c>
      <c r="AH292">
        <v>0</v>
      </c>
      <c r="AI292">
        <v>0</v>
      </c>
      <c r="AJ292">
        <f>IF(AK292,TRUE,AND(AN292:BO292))</f>
        <v>0</v>
      </c>
      <c r="AK292">
        <f>COUNTBLANK(Metadata!B292:AC292)=COLUMNS(Metadata!B292:AC292)</f>
        <v>0</v>
      </c>
      <c r="AL292">
        <v>0</v>
      </c>
      <c r="AN292">
        <f>AND(IF(Metadata!B292="",FALSE,TRUE),COUNTIF(Metadata!B:B, Metadata!B292) = 1,NOT(ISERROR(SUMPRODUCT(SEARCH(MID(Metadata!B292,ROW(INDIRECT("1:"&amp;LEN(Metadata!B292))), 1),"0123456789abcdefghijklmnopqrstuvwxyzABCDEFGHIJKLMNOPQRSTUVWXYZ.")))))</f>
        <v>0</v>
      </c>
      <c r="AO292">
        <f>IF(Metadata!C292="",FALSE,TRUE)</f>
        <v>0</v>
      </c>
      <c r="AP292">
        <f>IF(Metadata!D292="",FALSE,TRUE)</f>
        <v>0</v>
      </c>
      <c r="AQ292">
        <f>OR(AND(IF(Metadata!E292="",FALSE,TRUE),OR(exact(Metadata!E292,"not collected"),exact(Metadata!E292,"not provided"),exact(Metadata!E292,"restricted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R292">
        <f>IF(Metadata!F292="",FALSE,TRUE)</f>
        <v>0</v>
      </c>
      <c r="AS292">
        <f>OR(AND(IF(Metadata!G292="",FALSE,TRUE),OR(exact(Metadata!G292,"not collected"),exact(Metadata!G292,"not provided"))),AND(IF(Metadata!G292="",FALSE,TRUE),OR(exact(Metadata!G292,"TRUE"),exact(Metadata!G292,"FALSE"))))</f>
        <v>0</v>
      </c>
      <c r="AT292">
        <f>OR(AND(IF(Metadata!H292="",FALSE,TRUE),OR(exact(Metadata!H292,"not collected"),exact(Metadata!H292,"not provided"),exact(Metadata!H292,"restricted access"))),AND(IF(Metadata!H292="",FALSE,ISNUMBER(VALUE(Metadata!H292))),Metadata!H292&gt;=-413.0))</f>
        <v>0</v>
      </c>
      <c r="AU292">
        <f>AND(IF(Metadata!I292="",FALSE,TRUE),exact(Metadata!I292,"meters"))</f>
        <v>0</v>
      </c>
      <c r="AV292">
        <f>AND(IF(Metadata!J292="",FALSE,TRUE),OR(exact(Metadata!J292,"Host-associated"),exact(Metadata!J292,"Free-living")))</f>
        <v>0</v>
      </c>
      <c r="AW292">
        <f>AND(IF(Metadata!K292="",FALSE,TRUE),OR(exact(Metadata!K292,"Animal"),exact(Metadata!K292,"Fungus"),exact(Metadata!K292,"Plant"),exact(Metadata!K292,"Saline"),exact(Metadata!K292,"Non-saline")))</f>
        <v>0</v>
      </c>
      <c r="AX292">
        <f>AND(IF(Metadata!L292="",FALSE,TRUE),OR(exact(Metadata!L292,"Plant secretion"),exact(Metadata!L292,"Plant rhizosphere"),exact(Metadata!L292,"Plant surface"),exact(Metadata!L292,"Plant corpus"),exact(Metadata!L292,"Fungus surface"),exact(Metadata!L292,"Fungus corpus"),exact(Metadata!L292,"Animal surface"),exact(Metadata!L292,"Animal proximal gut"),exact(Metadata!L292,"Animal corpus"),exact(Metadata!L292,"Animal distal gut"),exact(Metadata!L292,"Animal secretion"),exact(Metadata!L292,"Sub-surface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Y292">
        <f>IF(Metadata!M292="",FALSE,TRUE)</f>
        <v>0</v>
      </c>
      <c r="AZ292">
        <f>IF(Metadata!N292="",FALSE,TRUE)</f>
        <v>0</v>
      </c>
      <c r="BA292">
        <f>IF(Metadata!O292="",FALSE,TRUE)</f>
        <v>0</v>
      </c>
      <c r="BB292">
        <f>OR(AND(IF(Metadata!P292="",FALSE,TRUE),OR(exact(Metadata!P292,"not collected"),exact(Metadata!P292,"not provided"),exact(Metadata!P292,"restricted access"))),AND(IF(Metadata!P292="",FALSE,TRUE),OR(exact(Metadata!P292,"air"),exact(Metadata!P292,"built environment"),exact(Metadata!P292,"host-associated"),exact(Metadata!P292,"human-associated"),exact(Metadata!P292,"human-skin"),exact(Metadata!P292,"human-oral"),exact(Metadata!P292,"human-gut"),exact(Metadata!P292,"human-vaginal"),exact(Metadata!P292,"microbial mat/biofilm"),exact(Metadata!P292,"misc environment"),exact(Metadata!P292,"plant-associated"),exact(Metadata!P292,"sediment"),exact(Metadata!P292,"soil"),exact(Metadata!P292,"wastewater/sludge"),exact(Metadata!P292,"water"))))</f>
        <v>0</v>
      </c>
      <c r="BC292">
        <f>IF(Metadata!Q292="",FALSE,TRUE)</f>
        <v>0</v>
      </c>
      <c r="BD292">
        <f>IF(Metadata!R292="",FALSE,TRUE)</f>
        <v>0</v>
      </c>
      <c r="BE292">
        <f>OR(AND(IF(Metadata!S292="",FALSE,TRUE),OR(exact(Metadata!S292,"not collected"),exact(Metadata!S292,"not provided"),exact(Metadata!S292,"restricted access"))),AND(IF(Metadata!S292="",FALSE,ISNUMBER(VALUE(Metadata!S292))),Metadata!S292&gt;=-90.00,Metadata!S292&lt;=90.00))</f>
        <v>0</v>
      </c>
      <c r="BF292">
        <f>AND(IF(Metadata!T292="",FALSE,TRUE),exact(Metadata!T292,"Decimal degrees"))</f>
        <v>0</v>
      </c>
      <c r="BG292">
        <f>OR(AND(IF(Metadata!U292="",FALSE,TRUE),OR(exact(Metadata!U292,"not collected"),exact(Metadata!U292,"not provided"),exact(Metadata!U292,"restricted access"))),AND(IF(Metadata!U292="",FALSE,ISNUMBER(VALUE(Metadata!U292))),Metadata!U292&gt;=-180.00,Metadata!U292&lt;=180.00))</f>
        <v>0</v>
      </c>
      <c r="BH292">
        <f>AND(IF(Metadata!V292="",FALSE,TRUE),exact(Metadata!V292,"Decimal degrees"))</f>
        <v>0</v>
      </c>
      <c r="BI292">
        <f>IF(Metadata!W292="",FALSE,TRUE)</f>
        <v>0</v>
      </c>
      <c r="BJ292">
        <f>OR(AND(IF(Metadata!X292="",FALSE,TRUE),OR(exact(Metadata!X292,"not collected"),exact(Metadata!X292,"not provided"),exact(Metadata!X292,"restricted access"))),AND(IF(Metadata!X292="",FALSE,TRUE),OR(exact(Metadata!X292,"TRUE"),exact(Metadata!X292,"FALSE"))))</f>
        <v>0</v>
      </c>
      <c r="BK292">
        <f>AND(IF(Metadata!Y292="",FALSE,TRUE),exact(Metadata!Y292,"other"))</f>
        <v>0</v>
      </c>
      <c r="BL292">
        <f>IF(Metadata!Z292="",FALSE,TRUE)</f>
        <v>0</v>
      </c>
      <c r="BM292">
        <f>OR(AND(IF(Metadata!AA292="",FALSE,TRUE),OR(exact(Metadata!AA292,"not collected"),exact(Metadata!AA292,"not provided"))),AND(IF(Metadata!AA292="",FALSE,IF(ISERROR(INT(Metadata!AA292)),FALSE,INT(Metadata!AA292)=Metadata!AA292)),Metadata!AA292&gt;0))</f>
        <v>0</v>
      </c>
      <c r="BN292">
        <f>AND(IF(Metadata!AB292="",FALSE,TRUE),exact(Metadata!AB292,"Not applicable"))</f>
        <v>0</v>
      </c>
      <c r="BO292">
        <f>IF(Metadata!AC292="",FALSE,TRUE)</f>
        <v>0</v>
      </c>
    </row>
    <row r="293" spans="1:67">
      <c r="A293" s="5">
        <f>IF(B293=" "," ",HYPERLINK(CONCATENATE("#metadata!",ADDRESS(INDEX($AI$2:$AI$1001,MATCH(ROWS($AG$2:AG293),$AG$2:$AG$1001,0),0),1)),INDEX($AL$2:$AL$1001,MATCH(ROWS($AG$2:AG293),$AG$2:$AG$1001,0),0)))</f>
        <v>0</v>
      </c>
      <c r="B293" s="4">
        <f>IF(OR(INDEX($AH$2:$AH$1001,MATCH(ROWS($AG$2:AG293),$AG$2:$AG$1001,0),1)&gt;=100000,INDEX($AN$1005:$BO$1005,1,MATCH(COLUMNS($AN$1006:AN1006),$AN$1006:$BO$1006,0))&gt;=100000), " ",IF(INDEX($AN$2:$BO$1001,MATCH(ROWS($AG$2:AG293),$AG$2:$AG$1001,0),MATCH(COLUMNS($AN$1006:AN1006),$AN$1006:$BO$1006,0)), HYPERLINK("#",""), HYPERLINK(CONCATENATE("#Metadata!", ADDRESS(INDEX($AI$2:$AI$1001,MATCH(ROWS($AG$2:AG293),$AG$2:$AG$1001,0),0), INDEX($AN$1004:$BO$1004,1,MATCH(COLUMNS($AN$1006:AN1006),$AN$1006:$BO$1006,0)))),"Fix")))</f>
        <v>0</v>
      </c>
      <c r="C293" s="4">
        <f>IF(OR(INDEX($AH$2:$AH$1001,MATCH(ROWS($AG$2:AG293),$AG$2:$AG$1001,0),1)&gt;=100000,INDEX($AN$1005:$BO$1005,1,MATCH(COLUMNS($AN$1006:AO1006),$AN$1006:$BO$1006,0))&gt;=100000), " ",IF(INDEX($AN$2:$BO$1001,MATCH(ROWS($AG$2:AG293),$AG$2:$AG$1001,0),MATCH(COLUMNS($AN$1006:AO1006),$AN$1006:$BO$1006,0)), HYPERLINK("#",""), HYPERLINK(CONCATENATE("#Metadata!", ADDRESS(INDEX($AI$2:$AI$1001,MATCH(ROWS($AG$2:AG293),$AG$2:$AG$1001,0),0), INDEX($AN$1004:$BO$1004,1,MATCH(COLUMNS($AN$1006:AO1006),$AN$1006:$BO$1006,0)))),"Fix")))</f>
        <v>0</v>
      </c>
      <c r="D293" s="4">
        <f>IF(OR(INDEX($AH$2:$AH$1001,MATCH(ROWS($AG$2:AG293),$AG$2:$AG$1001,0),1)&gt;=100000,INDEX($AN$1005:$BO$1005,1,MATCH(COLUMNS($AN$1006:AP1006),$AN$1006:$BO$1006,0))&gt;=100000), " ",IF(INDEX($AN$2:$BO$1001,MATCH(ROWS($AG$2:AG293),$AG$2:$AG$1001,0),MATCH(COLUMNS($AN$1006:AP1006),$AN$1006:$BO$1006,0)), HYPERLINK("#",""), HYPERLINK(CONCATENATE("#Metadata!", ADDRESS(INDEX($AI$2:$AI$1001,MATCH(ROWS($AG$2:AG293),$AG$2:$AG$1001,0),0), INDEX($AN$1004:$BO$1004,1,MATCH(COLUMNS($AN$1006:AP1006),$AN$1006:$BO$1006,0)))),"Fix")))</f>
        <v>0</v>
      </c>
      <c r="E293" s="4">
        <f>IF(OR(INDEX($AH$2:$AH$1001,MATCH(ROWS($AG$2:AG293),$AG$2:$AG$1001,0),1)&gt;=100000,INDEX($AN$1005:$BO$1005,1,MATCH(COLUMNS($AN$1006:AQ1006),$AN$1006:$BO$1006,0))&gt;=100000), " ",IF(INDEX($AN$2:$BO$1001,MATCH(ROWS($AG$2:AG293),$AG$2:$AG$1001,0),MATCH(COLUMNS($AN$1006:AQ1006),$AN$1006:$BO$1006,0)), HYPERLINK("#",""), HYPERLINK(CONCATENATE("#Metadata!", ADDRESS(INDEX($AI$2:$AI$1001,MATCH(ROWS($AG$2:AG293),$AG$2:$AG$1001,0),0), INDEX($AN$1004:$BO$1004,1,MATCH(COLUMNS($AN$1006:AQ1006),$AN$1006:$BO$1006,0)))),"Fix")))</f>
        <v>0</v>
      </c>
      <c r="F293" s="4">
        <f>IF(OR(INDEX($AH$2:$AH$1001,MATCH(ROWS($AG$2:AG293),$AG$2:$AG$1001,0),1)&gt;=100000,INDEX($AN$1005:$BO$1005,1,MATCH(COLUMNS($AN$1006:AR1006),$AN$1006:$BO$1006,0))&gt;=100000), " ",IF(INDEX($AN$2:$BO$1001,MATCH(ROWS($AG$2:AG293),$AG$2:$AG$1001,0),MATCH(COLUMNS($AN$1006:AR1006),$AN$1006:$BO$1006,0)), HYPERLINK("#",""), HYPERLINK(CONCATENATE("#Metadata!", ADDRESS(INDEX($AI$2:$AI$1001,MATCH(ROWS($AG$2:AG293),$AG$2:$AG$1001,0),0), INDEX($AN$1004:$BO$1004,1,MATCH(COLUMNS($AN$1006:AR1006),$AN$1006:$BO$1006,0)))),"Fix")))</f>
        <v>0</v>
      </c>
      <c r="G293" s="4">
        <f>IF(OR(INDEX($AH$2:$AH$1001,MATCH(ROWS($AG$2:AG293),$AG$2:$AG$1001,0),1)&gt;=100000,INDEX($AN$1005:$BO$1005,1,MATCH(COLUMNS($AN$1006:AS1006),$AN$1006:$BO$1006,0))&gt;=100000), " ",IF(INDEX($AN$2:$BO$1001,MATCH(ROWS($AG$2:AG293),$AG$2:$AG$1001,0),MATCH(COLUMNS($AN$1006:AS1006),$AN$1006:$BO$1006,0)), HYPERLINK("#",""), HYPERLINK(CONCATENATE("#Metadata!", ADDRESS(INDEX($AI$2:$AI$1001,MATCH(ROWS($AG$2:AG293),$AG$2:$AG$1001,0),0), INDEX($AN$1004:$BO$1004,1,MATCH(COLUMNS($AN$1006:AS1006),$AN$1006:$BO$1006,0)))),"Fix")))</f>
        <v>0</v>
      </c>
      <c r="H293" s="4">
        <f>IF(OR(INDEX($AH$2:$AH$1001,MATCH(ROWS($AG$2:AG293),$AG$2:$AG$1001,0),1)&gt;=100000,INDEX($AN$1005:$BO$1005,1,MATCH(COLUMNS($AN$1006:AT1006),$AN$1006:$BO$1006,0))&gt;=100000), " ",IF(INDEX($AN$2:$BO$1001,MATCH(ROWS($AG$2:AG293),$AG$2:$AG$1001,0),MATCH(COLUMNS($AN$1006:AT1006),$AN$1006:$BO$1006,0)), HYPERLINK("#",""), HYPERLINK(CONCATENATE("#Metadata!", ADDRESS(INDEX($AI$2:$AI$1001,MATCH(ROWS($AG$2:AG293),$AG$2:$AG$1001,0),0), INDEX($AN$1004:$BO$1004,1,MATCH(COLUMNS($AN$1006:AT1006),$AN$1006:$BO$1006,0)))),"Fix")))</f>
        <v>0</v>
      </c>
      <c r="I293" s="4">
        <f>IF(OR(INDEX($AH$2:$AH$1001,MATCH(ROWS($AG$2:AG293),$AG$2:$AG$1001,0),1)&gt;=100000,INDEX($AN$1005:$BO$1005,1,MATCH(COLUMNS($AN$1006:AU1006),$AN$1006:$BO$1006,0))&gt;=100000), " ",IF(INDEX($AN$2:$BO$1001,MATCH(ROWS($AG$2:AG293),$AG$2:$AG$1001,0),MATCH(COLUMNS($AN$1006:AU1006),$AN$1006:$BO$1006,0)), HYPERLINK("#",""), HYPERLINK(CONCATENATE("#Metadata!", ADDRESS(INDEX($AI$2:$AI$1001,MATCH(ROWS($AG$2:AG293),$AG$2:$AG$1001,0),0), INDEX($AN$1004:$BO$1004,1,MATCH(COLUMNS($AN$1006:AU1006),$AN$1006:$BO$1006,0)))),"Fix")))</f>
        <v>0</v>
      </c>
      <c r="J293" s="4">
        <f>IF(OR(INDEX($AH$2:$AH$1001,MATCH(ROWS($AG$2:AG293),$AG$2:$AG$1001,0),1)&gt;=100000,INDEX($AN$1005:$BO$1005,1,MATCH(COLUMNS($AN$1006:AV1006),$AN$1006:$BO$1006,0))&gt;=100000), " ",IF(INDEX($AN$2:$BO$1001,MATCH(ROWS($AG$2:AG293),$AG$2:$AG$1001,0),MATCH(COLUMNS($AN$1006:AV1006),$AN$1006:$BO$1006,0)), HYPERLINK("#",""), HYPERLINK(CONCATENATE("#Metadata!", ADDRESS(INDEX($AI$2:$AI$1001,MATCH(ROWS($AG$2:AG293),$AG$2:$AG$1001,0),0), INDEX($AN$1004:$BO$1004,1,MATCH(COLUMNS($AN$1006:AV1006),$AN$1006:$BO$1006,0)))),"Fix")))</f>
        <v>0</v>
      </c>
      <c r="K293" s="4">
        <f>IF(OR(INDEX($AH$2:$AH$1001,MATCH(ROWS($AG$2:AG293),$AG$2:$AG$1001,0),1)&gt;=100000,INDEX($AN$1005:$BO$1005,1,MATCH(COLUMNS($AN$1006:AW1006),$AN$1006:$BO$1006,0))&gt;=100000), " ",IF(INDEX($AN$2:$BO$1001,MATCH(ROWS($AG$2:AG293),$AG$2:$AG$1001,0),MATCH(COLUMNS($AN$1006:AW1006),$AN$1006:$BO$1006,0)), HYPERLINK("#",""), HYPERLINK(CONCATENATE("#Metadata!", ADDRESS(INDEX($AI$2:$AI$1001,MATCH(ROWS($AG$2:AG293),$AG$2:$AG$1001,0),0), INDEX($AN$1004:$BO$1004,1,MATCH(COLUMNS($AN$1006:AW1006),$AN$1006:$BO$1006,0)))),"Fix")))</f>
        <v>0</v>
      </c>
      <c r="L293" s="4">
        <f>IF(OR(INDEX($AH$2:$AH$1001,MATCH(ROWS($AG$2:AG293),$AG$2:$AG$1001,0),1)&gt;=100000,INDEX($AN$1005:$BO$1005,1,MATCH(COLUMNS($AN$1006:AX1006),$AN$1006:$BO$1006,0))&gt;=100000), " ",IF(INDEX($AN$2:$BO$1001,MATCH(ROWS($AG$2:AG293),$AG$2:$AG$1001,0),MATCH(COLUMNS($AN$1006:AX1006),$AN$1006:$BO$1006,0)), HYPERLINK("#",""), HYPERLINK(CONCATENATE("#Metadata!", ADDRESS(INDEX($AI$2:$AI$1001,MATCH(ROWS($AG$2:AG293),$AG$2:$AG$1001,0),0), INDEX($AN$1004:$BO$1004,1,MATCH(COLUMNS($AN$1006:AX1006),$AN$1006:$BO$1006,0)))),"Fix")))</f>
        <v>0</v>
      </c>
      <c r="M293" s="4">
        <f>IF(OR(INDEX($AH$2:$AH$1001,MATCH(ROWS($AG$2:AG293),$AG$2:$AG$1001,0),1)&gt;=100000,INDEX($AN$1005:$BO$1005,1,MATCH(COLUMNS($AN$1006:AY1006),$AN$1006:$BO$1006,0))&gt;=100000), " ",IF(INDEX($AN$2:$BO$1001,MATCH(ROWS($AG$2:AG293),$AG$2:$AG$1001,0),MATCH(COLUMNS($AN$1006:AY1006),$AN$1006:$BO$1006,0)), HYPERLINK("#",""), HYPERLINK(CONCATENATE("#Metadata!", ADDRESS(INDEX($AI$2:$AI$1001,MATCH(ROWS($AG$2:AG293),$AG$2:$AG$1001,0),0), INDEX($AN$1004:$BO$1004,1,MATCH(COLUMNS($AN$1006:AY1006),$AN$1006:$BO$1006,0)))),"Fix")))</f>
        <v>0</v>
      </c>
      <c r="N293" s="4">
        <f>IF(OR(INDEX($AH$2:$AH$1001,MATCH(ROWS($AG$2:AG293),$AG$2:$AG$1001,0),1)&gt;=100000,INDEX($AN$1005:$BO$1005,1,MATCH(COLUMNS($AN$1006:AZ1006),$AN$1006:$BO$1006,0))&gt;=100000), " ",IF(INDEX($AN$2:$BO$1001,MATCH(ROWS($AG$2:AG293),$AG$2:$AG$1001,0),MATCH(COLUMNS($AN$1006:AZ1006),$AN$1006:$BO$1006,0)), HYPERLINK("#",""), HYPERLINK(CONCATENATE("#Metadata!", ADDRESS(INDEX($AI$2:$AI$1001,MATCH(ROWS($AG$2:AG293),$AG$2:$AG$1001,0),0), INDEX($AN$1004:$BO$1004,1,MATCH(COLUMNS($AN$1006:AZ1006),$AN$1006:$BO$1006,0)))),"Fix")))</f>
        <v>0</v>
      </c>
      <c r="O293" s="4">
        <f>IF(OR(INDEX($AH$2:$AH$1001,MATCH(ROWS($AG$2:AG293),$AG$2:$AG$1001,0),1)&gt;=100000,INDEX($AN$1005:$BO$1005,1,MATCH(COLUMNS($AN$1006:BA1006),$AN$1006:$BO$1006,0))&gt;=100000), " ",IF(INDEX($AN$2:$BO$1001,MATCH(ROWS($AG$2:AG293),$AG$2:$AG$1001,0),MATCH(COLUMNS($AN$1006:BA1006),$AN$1006:$BO$1006,0)), HYPERLINK("#",""), HYPERLINK(CONCATENATE("#Metadata!", ADDRESS(INDEX($AI$2:$AI$1001,MATCH(ROWS($AG$2:AG293),$AG$2:$AG$1001,0),0), INDEX($AN$1004:$BO$1004,1,MATCH(COLUMNS($AN$1006:BA1006),$AN$1006:$BO$1006,0)))),"Fix")))</f>
        <v>0</v>
      </c>
      <c r="P293" s="4">
        <f>IF(OR(INDEX($AH$2:$AH$1001,MATCH(ROWS($AG$2:AG293),$AG$2:$AG$1001,0),1)&gt;=100000,INDEX($AN$1005:$BO$1005,1,MATCH(COLUMNS($AN$1006:BB1006),$AN$1006:$BO$1006,0))&gt;=100000), " ",IF(INDEX($AN$2:$BO$1001,MATCH(ROWS($AG$2:AG293),$AG$2:$AG$1001,0),MATCH(COLUMNS($AN$1006:BB1006),$AN$1006:$BO$1006,0)), HYPERLINK("#",""), HYPERLINK(CONCATENATE("#Metadata!", ADDRESS(INDEX($AI$2:$AI$1001,MATCH(ROWS($AG$2:AG293),$AG$2:$AG$1001,0),0), INDEX($AN$1004:$BO$1004,1,MATCH(COLUMNS($AN$1006:BB1006),$AN$1006:$BO$1006,0)))),"Fix")))</f>
        <v>0</v>
      </c>
      <c r="Q293" s="4">
        <f>IF(OR(INDEX($AH$2:$AH$1001,MATCH(ROWS($AG$2:AG293),$AG$2:$AG$1001,0),1)&gt;=100000,INDEX($AN$1005:$BO$1005,1,MATCH(COLUMNS($AN$1006:BC1006),$AN$1006:$BO$1006,0))&gt;=100000), " ",IF(INDEX($AN$2:$BO$1001,MATCH(ROWS($AG$2:AG293),$AG$2:$AG$1001,0),MATCH(COLUMNS($AN$1006:BC1006),$AN$1006:$BO$1006,0)), HYPERLINK("#",""), HYPERLINK(CONCATENATE("#Metadata!", ADDRESS(INDEX($AI$2:$AI$1001,MATCH(ROWS($AG$2:AG293),$AG$2:$AG$1001,0),0), INDEX($AN$1004:$BO$1004,1,MATCH(COLUMNS($AN$1006:BC1006),$AN$1006:$BO$1006,0)))),"Fix")))</f>
        <v>0</v>
      </c>
      <c r="R293" s="4">
        <f>IF(OR(INDEX($AH$2:$AH$1001,MATCH(ROWS($AG$2:AG293),$AG$2:$AG$1001,0),1)&gt;=100000,INDEX($AN$1005:$BO$1005,1,MATCH(COLUMNS($AN$1006:BD1006),$AN$1006:$BO$1006,0))&gt;=100000), " ",IF(INDEX($AN$2:$BO$1001,MATCH(ROWS($AG$2:AG293),$AG$2:$AG$1001,0),MATCH(COLUMNS($AN$1006:BD1006),$AN$1006:$BO$1006,0)), HYPERLINK("#",""), HYPERLINK(CONCATENATE("#Metadata!", ADDRESS(INDEX($AI$2:$AI$1001,MATCH(ROWS($AG$2:AG293),$AG$2:$AG$1001,0),0), INDEX($AN$1004:$BO$1004,1,MATCH(COLUMNS($AN$1006:BD1006),$AN$1006:$BO$1006,0)))),"Fix")))</f>
        <v>0</v>
      </c>
      <c r="S293" s="4">
        <f>IF(OR(INDEX($AH$2:$AH$1001,MATCH(ROWS($AG$2:AG293),$AG$2:$AG$1001,0),1)&gt;=100000,INDEX($AN$1005:$BO$1005,1,MATCH(COLUMNS($AN$1006:BE1006),$AN$1006:$BO$1006,0))&gt;=100000), " ",IF(INDEX($AN$2:$BO$1001,MATCH(ROWS($AG$2:AG293),$AG$2:$AG$1001,0),MATCH(COLUMNS($AN$1006:BE1006),$AN$1006:$BO$1006,0)), HYPERLINK("#",""), HYPERLINK(CONCATENATE("#Metadata!", ADDRESS(INDEX($AI$2:$AI$1001,MATCH(ROWS($AG$2:AG293),$AG$2:$AG$1001,0),0), INDEX($AN$1004:$BO$1004,1,MATCH(COLUMNS($AN$1006:BE1006),$AN$1006:$BO$1006,0)))),"Fix")))</f>
        <v>0</v>
      </c>
      <c r="T293" s="4">
        <f>IF(OR(INDEX($AH$2:$AH$1001,MATCH(ROWS($AG$2:AG293),$AG$2:$AG$1001,0),1)&gt;=100000,INDEX($AN$1005:$BO$1005,1,MATCH(COLUMNS($AN$1006:BF1006),$AN$1006:$BO$1006,0))&gt;=100000), " ",IF(INDEX($AN$2:$BO$1001,MATCH(ROWS($AG$2:AG293),$AG$2:$AG$1001,0),MATCH(COLUMNS($AN$1006:BF1006),$AN$1006:$BO$1006,0)), HYPERLINK("#",""), HYPERLINK(CONCATENATE("#Metadata!", ADDRESS(INDEX($AI$2:$AI$1001,MATCH(ROWS($AG$2:AG293),$AG$2:$AG$1001,0),0), INDEX($AN$1004:$BO$1004,1,MATCH(COLUMNS($AN$1006:BF1006),$AN$1006:$BO$1006,0)))),"Fix")))</f>
        <v>0</v>
      </c>
      <c r="U293" s="4">
        <f>IF(OR(INDEX($AH$2:$AH$1001,MATCH(ROWS($AG$2:AG293),$AG$2:$AG$1001,0),1)&gt;=100000,INDEX($AN$1005:$BO$1005,1,MATCH(COLUMNS($AN$1006:BG1006),$AN$1006:$BO$1006,0))&gt;=100000), " ",IF(INDEX($AN$2:$BO$1001,MATCH(ROWS($AG$2:AG293),$AG$2:$AG$1001,0),MATCH(COLUMNS($AN$1006:BG1006),$AN$1006:$BO$1006,0)), HYPERLINK("#",""), HYPERLINK(CONCATENATE("#Metadata!", ADDRESS(INDEX($AI$2:$AI$1001,MATCH(ROWS($AG$2:AG293),$AG$2:$AG$1001,0),0), INDEX($AN$1004:$BO$1004,1,MATCH(COLUMNS($AN$1006:BG1006),$AN$1006:$BO$1006,0)))),"Fix")))</f>
        <v>0</v>
      </c>
      <c r="V293" s="4">
        <f>IF(OR(INDEX($AH$2:$AH$1001,MATCH(ROWS($AG$2:AG293),$AG$2:$AG$1001,0),1)&gt;=100000,INDEX($AN$1005:$BO$1005,1,MATCH(COLUMNS($AN$1006:BH1006),$AN$1006:$BO$1006,0))&gt;=100000), " ",IF(INDEX($AN$2:$BO$1001,MATCH(ROWS($AG$2:AG293),$AG$2:$AG$1001,0),MATCH(COLUMNS($AN$1006:BH1006),$AN$1006:$BO$1006,0)), HYPERLINK("#",""), HYPERLINK(CONCATENATE("#Metadata!", ADDRESS(INDEX($AI$2:$AI$1001,MATCH(ROWS($AG$2:AG293),$AG$2:$AG$1001,0),0), INDEX($AN$1004:$BO$1004,1,MATCH(COLUMNS($AN$1006:BH1006),$AN$1006:$BO$1006,0)))),"Fix")))</f>
        <v>0</v>
      </c>
      <c r="W293" s="4">
        <f>IF(OR(INDEX($AH$2:$AH$1001,MATCH(ROWS($AG$2:AG293),$AG$2:$AG$1001,0),1)&gt;=100000,INDEX($AN$1005:$BO$1005,1,MATCH(COLUMNS($AN$1006:BI1006),$AN$1006:$BO$1006,0))&gt;=100000), " ",IF(INDEX($AN$2:$BO$1001,MATCH(ROWS($AG$2:AG293),$AG$2:$AG$1001,0),MATCH(COLUMNS($AN$1006:BI1006),$AN$1006:$BO$1006,0)), HYPERLINK("#",""), HYPERLINK(CONCATENATE("#Metadata!", ADDRESS(INDEX($AI$2:$AI$1001,MATCH(ROWS($AG$2:AG293),$AG$2:$AG$1001,0),0), INDEX($AN$1004:$BO$1004,1,MATCH(COLUMNS($AN$1006:BI1006),$AN$1006:$BO$1006,0)))),"Fix")))</f>
        <v>0</v>
      </c>
      <c r="X293" s="4">
        <f>IF(OR(INDEX($AH$2:$AH$1001,MATCH(ROWS($AG$2:AG293),$AG$2:$AG$1001,0),1)&gt;=100000,INDEX($AN$1005:$BO$1005,1,MATCH(COLUMNS($AN$1006:BJ1006),$AN$1006:$BO$1006,0))&gt;=100000), " ",IF(INDEX($AN$2:$BO$1001,MATCH(ROWS($AG$2:AG293),$AG$2:$AG$1001,0),MATCH(COLUMNS($AN$1006:BJ1006),$AN$1006:$BO$1006,0)), HYPERLINK("#",""), HYPERLINK(CONCATENATE("#Metadata!", ADDRESS(INDEX($AI$2:$AI$1001,MATCH(ROWS($AG$2:AG293),$AG$2:$AG$1001,0),0), INDEX($AN$1004:$BO$1004,1,MATCH(COLUMNS($AN$1006:BJ1006),$AN$1006:$BO$1006,0)))),"Fix")))</f>
        <v>0</v>
      </c>
      <c r="Y293" s="4">
        <f>IF(OR(INDEX($AH$2:$AH$1001,MATCH(ROWS($AG$2:AG293),$AG$2:$AG$1001,0),1)&gt;=100000,INDEX($AN$1005:$BO$1005,1,MATCH(COLUMNS($AN$1006:BK1006),$AN$1006:$BO$1006,0))&gt;=100000), " ",IF(INDEX($AN$2:$BO$1001,MATCH(ROWS($AG$2:AG293),$AG$2:$AG$1001,0),MATCH(COLUMNS($AN$1006:BK1006),$AN$1006:$BO$1006,0)), HYPERLINK("#",""), HYPERLINK(CONCATENATE("#Metadata!", ADDRESS(INDEX($AI$2:$AI$1001,MATCH(ROWS($AG$2:AG293),$AG$2:$AG$1001,0),0), INDEX($AN$1004:$BO$1004,1,MATCH(COLUMNS($AN$1006:BK1006),$AN$1006:$BO$1006,0)))),"Fix")))</f>
        <v>0</v>
      </c>
      <c r="Z293" s="4">
        <f>IF(OR(INDEX($AH$2:$AH$1001,MATCH(ROWS($AG$2:AG293),$AG$2:$AG$1001,0),1)&gt;=100000,INDEX($AN$1005:$BO$1005,1,MATCH(COLUMNS($AN$1006:BL1006),$AN$1006:$BO$1006,0))&gt;=100000), " ",IF(INDEX($AN$2:$BO$1001,MATCH(ROWS($AG$2:AG293),$AG$2:$AG$1001,0),MATCH(COLUMNS($AN$1006:BL1006),$AN$1006:$BO$1006,0)), HYPERLINK("#",""), HYPERLINK(CONCATENATE("#Metadata!", ADDRESS(INDEX($AI$2:$AI$1001,MATCH(ROWS($AG$2:AG293),$AG$2:$AG$1001,0),0), INDEX($AN$1004:$BO$1004,1,MATCH(COLUMNS($AN$1006:BL1006),$AN$1006:$BO$1006,0)))),"Fix")))</f>
        <v>0</v>
      </c>
      <c r="AA293" s="4">
        <f>IF(OR(INDEX($AH$2:$AH$1001,MATCH(ROWS($AG$2:AG293),$AG$2:$AG$1001,0),1)&gt;=100000,INDEX($AN$1005:$BO$1005,1,MATCH(COLUMNS($AN$1006:BM1006),$AN$1006:$BO$1006,0))&gt;=100000), " ",IF(INDEX($AN$2:$BO$1001,MATCH(ROWS($AG$2:AG293),$AG$2:$AG$1001,0),MATCH(COLUMNS($AN$1006:BM1006),$AN$1006:$BO$1006,0)), HYPERLINK("#",""), HYPERLINK(CONCATENATE("#Metadata!", ADDRESS(INDEX($AI$2:$AI$1001,MATCH(ROWS($AG$2:AG293),$AG$2:$AG$1001,0),0), INDEX($AN$1004:$BO$1004,1,MATCH(COLUMNS($AN$1006:BM1006),$AN$1006:$BO$1006,0)))),"Fix")))</f>
        <v>0</v>
      </c>
      <c r="AB293" s="4">
        <f>IF(OR(INDEX($AH$2:$AH$1001,MATCH(ROWS($AG$2:AG293),$AG$2:$AG$1001,0),1)&gt;=100000,INDEX($AN$1005:$BO$1005,1,MATCH(COLUMNS($AN$1006:BN1006),$AN$1006:$BO$1006,0))&gt;=100000), " ",IF(INDEX($AN$2:$BO$1001,MATCH(ROWS($AG$2:AG293),$AG$2:$AG$1001,0),MATCH(COLUMNS($AN$1006:BN1006),$AN$1006:$BO$1006,0)), HYPERLINK("#",""), HYPERLINK(CONCATENATE("#Metadata!", ADDRESS(INDEX($AI$2:$AI$1001,MATCH(ROWS($AG$2:AG293),$AG$2:$AG$1001,0),0), INDEX($AN$1004:$BO$1004,1,MATCH(COLUMNS($AN$1006:BN1006),$AN$1006:$BO$1006,0)))),"Fix")))</f>
        <v>0</v>
      </c>
      <c r="AC293" s="4">
        <f>IF(OR(INDEX($AH$2:$AH$1001,MATCH(ROWS($AG$2:AG293),$AG$2:$AG$1001,0),1)&gt;=100000,INDEX($AN$1005:$BO$1005,1,MATCH(COLUMNS($AN$1006:BO1006),$AN$1006:$BO$1006,0))&gt;=100000), " ",IF(INDEX($AN$2:$BO$1001,MATCH(ROWS($AG$2:AG293),$AG$2:$AG$1001,0),MATCH(COLUMNS($AN$1006:BO1006),$AN$1006:$BO$1006,0)), HYPERLINK("#",""), HYPERLINK(CONCATENATE("#Metadata!", ADDRESS(INDEX($AI$2:$AI$1001,MATCH(ROWS($AG$2:AG293),$AG$2:$AG$1001,0),0), INDEX($AN$1004:$BO$1004,1,MATCH(COLUMNS($AN$1006:BO1006),$AN$1006:$BO$1006,0)))),"Fix")))</f>
        <v>0</v>
      </c>
      <c r="AG293">
        <v>0</v>
      </c>
      <c r="AH293">
        <v>0</v>
      </c>
      <c r="AI293">
        <v>0</v>
      </c>
      <c r="AJ293">
        <f>IF(AK293,TRUE,AND(AN293:BO293))</f>
        <v>0</v>
      </c>
      <c r="AK293">
        <f>COUNTBLANK(Metadata!B293:AC293)=COLUMNS(Metadata!B293:AC293)</f>
        <v>0</v>
      </c>
      <c r="AL293">
        <v>0</v>
      </c>
      <c r="AN293">
        <f>AND(IF(Metadata!B293="",FALSE,TRUE),COUNTIF(Metadata!B:B, Metadata!B293) = 1,NOT(ISERROR(SUMPRODUCT(SEARCH(MID(Metadata!B293,ROW(INDIRECT("1:"&amp;LEN(Metadata!B293))), 1),"0123456789abcdefghijklmnopqrstuvwxyzABCDEFGHIJKLMNOPQRSTUVWXYZ.")))))</f>
        <v>0</v>
      </c>
      <c r="AO293">
        <f>IF(Metadata!C293="",FALSE,TRUE)</f>
        <v>0</v>
      </c>
      <c r="AP293">
        <f>IF(Metadata!D293="",FALSE,TRUE)</f>
        <v>0</v>
      </c>
      <c r="AQ293">
        <f>OR(AND(IF(Metadata!E293="",FALSE,TRUE),OR(exact(Metadata!E293,"not collected"),exact(Metadata!E293,"not provided"),exact(Metadata!E293,"restricted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R293">
        <f>IF(Metadata!F293="",FALSE,TRUE)</f>
        <v>0</v>
      </c>
      <c r="AS293">
        <f>OR(AND(IF(Metadata!G293="",FALSE,TRUE),OR(exact(Metadata!G293,"not collected"),exact(Metadata!G293,"not provided"))),AND(IF(Metadata!G293="",FALSE,TRUE),OR(exact(Metadata!G293,"TRUE"),exact(Metadata!G293,"FALSE"))))</f>
        <v>0</v>
      </c>
      <c r="AT293">
        <f>OR(AND(IF(Metadata!H293="",FALSE,TRUE),OR(exact(Metadata!H293,"not collected"),exact(Metadata!H293,"not provided"),exact(Metadata!H293,"restricted access"))),AND(IF(Metadata!H293="",FALSE,ISNUMBER(VALUE(Metadata!H293))),Metadata!H293&gt;=-413.0))</f>
        <v>0</v>
      </c>
      <c r="AU293">
        <f>AND(IF(Metadata!I293="",FALSE,TRUE),exact(Metadata!I293,"meters"))</f>
        <v>0</v>
      </c>
      <c r="AV293">
        <f>AND(IF(Metadata!J293="",FALSE,TRUE),OR(exact(Metadata!J293,"Host-associated"),exact(Metadata!J293,"Free-living")))</f>
        <v>0</v>
      </c>
      <c r="AW293">
        <f>AND(IF(Metadata!K293="",FALSE,TRUE),OR(exact(Metadata!K293,"Animal"),exact(Metadata!K293,"Fungus"),exact(Metadata!K293,"Plant"),exact(Metadata!K293,"Saline"),exact(Metadata!K293,"Non-saline")))</f>
        <v>0</v>
      </c>
      <c r="AX293">
        <f>AND(IF(Metadata!L293="",FALSE,TRUE),OR(exact(Metadata!L293,"Plant secretion"),exact(Metadata!L293,"Plant rhizosphere"),exact(Metadata!L293,"Plant surface"),exact(Metadata!L293,"Plant corpus"),exact(Metadata!L293,"Fungus surface"),exact(Metadata!L293,"Fungus corpus"),exact(Metadata!L293,"Animal surface"),exact(Metadata!L293,"Animal proximal gut"),exact(Metadata!L293,"Animal corpus"),exact(Metadata!L293,"Animal distal gut"),exact(Metadata!L293,"Animal secretion"),exact(Metadata!L293,"Sub-surface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Y293">
        <f>IF(Metadata!M293="",FALSE,TRUE)</f>
        <v>0</v>
      </c>
      <c r="AZ293">
        <f>IF(Metadata!N293="",FALSE,TRUE)</f>
        <v>0</v>
      </c>
      <c r="BA293">
        <f>IF(Metadata!O293="",FALSE,TRUE)</f>
        <v>0</v>
      </c>
      <c r="BB293">
        <f>OR(AND(IF(Metadata!P293="",FALSE,TRUE),OR(exact(Metadata!P293,"not collected"),exact(Metadata!P293,"not provided"),exact(Metadata!P293,"restricted access"))),AND(IF(Metadata!P293="",FALSE,TRUE),OR(exact(Metadata!P293,"air"),exact(Metadata!P293,"built environment"),exact(Metadata!P293,"host-associated"),exact(Metadata!P293,"human-associated"),exact(Metadata!P293,"human-skin"),exact(Metadata!P293,"human-oral"),exact(Metadata!P293,"human-gut"),exact(Metadata!P293,"human-vaginal"),exact(Metadata!P293,"microbial mat/biofilm"),exact(Metadata!P293,"misc environment"),exact(Metadata!P293,"plant-associated"),exact(Metadata!P293,"sediment"),exact(Metadata!P293,"soil"),exact(Metadata!P293,"wastewater/sludge"),exact(Metadata!P293,"water"))))</f>
        <v>0</v>
      </c>
      <c r="BC293">
        <f>IF(Metadata!Q293="",FALSE,TRUE)</f>
        <v>0</v>
      </c>
      <c r="BD293">
        <f>IF(Metadata!R293="",FALSE,TRUE)</f>
        <v>0</v>
      </c>
      <c r="BE293">
        <f>OR(AND(IF(Metadata!S293="",FALSE,TRUE),OR(exact(Metadata!S293,"not collected"),exact(Metadata!S293,"not provided"),exact(Metadata!S293,"restricted access"))),AND(IF(Metadata!S293="",FALSE,ISNUMBER(VALUE(Metadata!S293))),Metadata!S293&gt;=-90.00,Metadata!S293&lt;=90.00))</f>
        <v>0</v>
      </c>
      <c r="BF293">
        <f>AND(IF(Metadata!T293="",FALSE,TRUE),exact(Metadata!T293,"Decimal degrees"))</f>
        <v>0</v>
      </c>
      <c r="BG293">
        <f>OR(AND(IF(Metadata!U293="",FALSE,TRUE),OR(exact(Metadata!U293,"not collected"),exact(Metadata!U293,"not provided"),exact(Metadata!U293,"restricted access"))),AND(IF(Metadata!U293="",FALSE,ISNUMBER(VALUE(Metadata!U293))),Metadata!U293&gt;=-180.00,Metadata!U293&lt;=180.00))</f>
        <v>0</v>
      </c>
      <c r="BH293">
        <f>AND(IF(Metadata!V293="",FALSE,TRUE),exact(Metadata!V293,"Decimal degrees"))</f>
        <v>0</v>
      </c>
      <c r="BI293">
        <f>IF(Metadata!W293="",FALSE,TRUE)</f>
        <v>0</v>
      </c>
      <c r="BJ293">
        <f>OR(AND(IF(Metadata!X293="",FALSE,TRUE),OR(exact(Metadata!X293,"not collected"),exact(Metadata!X293,"not provided"),exact(Metadata!X293,"restricted access"))),AND(IF(Metadata!X293="",FALSE,TRUE),OR(exact(Metadata!X293,"TRUE"),exact(Metadata!X293,"FALSE"))))</f>
        <v>0</v>
      </c>
      <c r="BK293">
        <f>AND(IF(Metadata!Y293="",FALSE,TRUE),exact(Metadata!Y293,"other"))</f>
        <v>0</v>
      </c>
      <c r="BL293">
        <f>IF(Metadata!Z293="",FALSE,TRUE)</f>
        <v>0</v>
      </c>
      <c r="BM293">
        <f>OR(AND(IF(Metadata!AA293="",FALSE,TRUE),OR(exact(Metadata!AA293,"not collected"),exact(Metadata!AA293,"not provided"))),AND(IF(Metadata!AA293="",FALSE,IF(ISERROR(INT(Metadata!AA293)),FALSE,INT(Metadata!AA293)=Metadata!AA293)),Metadata!AA293&gt;0))</f>
        <v>0</v>
      </c>
      <c r="BN293">
        <f>AND(IF(Metadata!AB293="",FALSE,TRUE),exact(Metadata!AB293,"Not applicable"))</f>
        <v>0</v>
      </c>
      <c r="BO293">
        <f>IF(Metadata!AC293="",FALSE,TRUE)</f>
        <v>0</v>
      </c>
    </row>
    <row r="294" spans="1:67">
      <c r="A294" s="5">
        <f>IF(B294=" "," ",HYPERLINK(CONCATENATE("#metadata!",ADDRESS(INDEX($AI$2:$AI$1001,MATCH(ROWS($AG$2:AG294),$AG$2:$AG$1001,0),0),1)),INDEX($AL$2:$AL$1001,MATCH(ROWS($AG$2:AG294),$AG$2:$AG$1001,0),0)))</f>
        <v>0</v>
      </c>
      <c r="B294" s="4">
        <f>IF(OR(INDEX($AH$2:$AH$1001,MATCH(ROWS($AG$2:AG294),$AG$2:$AG$1001,0),1)&gt;=100000,INDEX($AN$1005:$BO$1005,1,MATCH(COLUMNS($AN$1006:AN1006),$AN$1006:$BO$1006,0))&gt;=100000), " ",IF(INDEX($AN$2:$BO$1001,MATCH(ROWS($AG$2:AG294),$AG$2:$AG$1001,0),MATCH(COLUMNS($AN$1006:AN1006),$AN$1006:$BO$1006,0)), HYPERLINK("#",""), HYPERLINK(CONCATENATE("#Metadata!", ADDRESS(INDEX($AI$2:$AI$1001,MATCH(ROWS($AG$2:AG294),$AG$2:$AG$1001,0),0), INDEX($AN$1004:$BO$1004,1,MATCH(COLUMNS($AN$1006:AN1006),$AN$1006:$BO$1006,0)))),"Fix")))</f>
        <v>0</v>
      </c>
      <c r="C294" s="4">
        <f>IF(OR(INDEX($AH$2:$AH$1001,MATCH(ROWS($AG$2:AG294),$AG$2:$AG$1001,0),1)&gt;=100000,INDEX($AN$1005:$BO$1005,1,MATCH(COLUMNS($AN$1006:AO1006),$AN$1006:$BO$1006,0))&gt;=100000), " ",IF(INDEX($AN$2:$BO$1001,MATCH(ROWS($AG$2:AG294),$AG$2:$AG$1001,0),MATCH(COLUMNS($AN$1006:AO1006),$AN$1006:$BO$1006,0)), HYPERLINK("#",""), HYPERLINK(CONCATENATE("#Metadata!", ADDRESS(INDEX($AI$2:$AI$1001,MATCH(ROWS($AG$2:AG294),$AG$2:$AG$1001,0),0), INDEX($AN$1004:$BO$1004,1,MATCH(COLUMNS($AN$1006:AO1006),$AN$1006:$BO$1006,0)))),"Fix")))</f>
        <v>0</v>
      </c>
      <c r="D294" s="4">
        <f>IF(OR(INDEX($AH$2:$AH$1001,MATCH(ROWS($AG$2:AG294),$AG$2:$AG$1001,0),1)&gt;=100000,INDEX($AN$1005:$BO$1005,1,MATCH(COLUMNS($AN$1006:AP1006),$AN$1006:$BO$1006,0))&gt;=100000), " ",IF(INDEX($AN$2:$BO$1001,MATCH(ROWS($AG$2:AG294),$AG$2:$AG$1001,0),MATCH(COLUMNS($AN$1006:AP1006),$AN$1006:$BO$1006,0)), HYPERLINK("#",""), HYPERLINK(CONCATENATE("#Metadata!", ADDRESS(INDEX($AI$2:$AI$1001,MATCH(ROWS($AG$2:AG294),$AG$2:$AG$1001,0),0), INDEX($AN$1004:$BO$1004,1,MATCH(COLUMNS($AN$1006:AP1006),$AN$1006:$BO$1006,0)))),"Fix")))</f>
        <v>0</v>
      </c>
      <c r="E294" s="4">
        <f>IF(OR(INDEX($AH$2:$AH$1001,MATCH(ROWS($AG$2:AG294),$AG$2:$AG$1001,0),1)&gt;=100000,INDEX($AN$1005:$BO$1005,1,MATCH(COLUMNS($AN$1006:AQ1006),$AN$1006:$BO$1006,0))&gt;=100000), " ",IF(INDEX($AN$2:$BO$1001,MATCH(ROWS($AG$2:AG294),$AG$2:$AG$1001,0),MATCH(COLUMNS($AN$1006:AQ1006),$AN$1006:$BO$1006,0)), HYPERLINK("#",""), HYPERLINK(CONCATENATE("#Metadata!", ADDRESS(INDEX($AI$2:$AI$1001,MATCH(ROWS($AG$2:AG294),$AG$2:$AG$1001,0),0), INDEX($AN$1004:$BO$1004,1,MATCH(COLUMNS($AN$1006:AQ1006),$AN$1006:$BO$1006,0)))),"Fix")))</f>
        <v>0</v>
      </c>
      <c r="F294" s="4">
        <f>IF(OR(INDEX($AH$2:$AH$1001,MATCH(ROWS($AG$2:AG294),$AG$2:$AG$1001,0),1)&gt;=100000,INDEX($AN$1005:$BO$1005,1,MATCH(COLUMNS($AN$1006:AR1006),$AN$1006:$BO$1006,0))&gt;=100000), " ",IF(INDEX($AN$2:$BO$1001,MATCH(ROWS($AG$2:AG294),$AG$2:$AG$1001,0),MATCH(COLUMNS($AN$1006:AR1006),$AN$1006:$BO$1006,0)), HYPERLINK("#",""), HYPERLINK(CONCATENATE("#Metadata!", ADDRESS(INDEX($AI$2:$AI$1001,MATCH(ROWS($AG$2:AG294),$AG$2:$AG$1001,0),0), INDEX($AN$1004:$BO$1004,1,MATCH(COLUMNS($AN$1006:AR1006),$AN$1006:$BO$1006,0)))),"Fix")))</f>
        <v>0</v>
      </c>
      <c r="G294" s="4">
        <f>IF(OR(INDEX($AH$2:$AH$1001,MATCH(ROWS($AG$2:AG294),$AG$2:$AG$1001,0),1)&gt;=100000,INDEX($AN$1005:$BO$1005,1,MATCH(COLUMNS($AN$1006:AS1006),$AN$1006:$BO$1006,0))&gt;=100000), " ",IF(INDEX($AN$2:$BO$1001,MATCH(ROWS($AG$2:AG294),$AG$2:$AG$1001,0),MATCH(COLUMNS($AN$1006:AS1006),$AN$1006:$BO$1006,0)), HYPERLINK("#",""), HYPERLINK(CONCATENATE("#Metadata!", ADDRESS(INDEX($AI$2:$AI$1001,MATCH(ROWS($AG$2:AG294),$AG$2:$AG$1001,0),0), INDEX($AN$1004:$BO$1004,1,MATCH(COLUMNS($AN$1006:AS1006),$AN$1006:$BO$1006,0)))),"Fix")))</f>
        <v>0</v>
      </c>
      <c r="H294" s="4">
        <f>IF(OR(INDEX($AH$2:$AH$1001,MATCH(ROWS($AG$2:AG294),$AG$2:$AG$1001,0),1)&gt;=100000,INDEX($AN$1005:$BO$1005,1,MATCH(COLUMNS($AN$1006:AT1006),$AN$1006:$BO$1006,0))&gt;=100000), " ",IF(INDEX($AN$2:$BO$1001,MATCH(ROWS($AG$2:AG294),$AG$2:$AG$1001,0),MATCH(COLUMNS($AN$1006:AT1006),$AN$1006:$BO$1006,0)), HYPERLINK("#",""), HYPERLINK(CONCATENATE("#Metadata!", ADDRESS(INDEX($AI$2:$AI$1001,MATCH(ROWS($AG$2:AG294),$AG$2:$AG$1001,0),0), INDEX($AN$1004:$BO$1004,1,MATCH(COLUMNS($AN$1006:AT1006),$AN$1006:$BO$1006,0)))),"Fix")))</f>
        <v>0</v>
      </c>
      <c r="I294" s="4">
        <f>IF(OR(INDEX($AH$2:$AH$1001,MATCH(ROWS($AG$2:AG294),$AG$2:$AG$1001,0),1)&gt;=100000,INDEX($AN$1005:$BO$1005,1,MATCH(COLUMNS($AN$1006:AU1006),$AN$1006:$BO$1006,0))&gt;=100000), " ",IF(INDEX($AN$2:$BO$1001,MATCH(ROWS($AG$2:AG294),$AG$2:$AG$1001,0),MATCH(COLUMNS($AN$1006:AU1006),$AN$1006:$BO$1006,0)), HYPERLINK("#",""), HYPERLINK(CONCATENATE("#Metadata!", ADDRESS(INDEX($AI$2:$AI$1001,MATCH(ROWS($AG$2:AG294),$AG$2:$AG$1001,0),0), INDEX($AN$1004:$BO$1004,1,MATCH(COLUMNS($AN$1006:AU1006),$AN$1006:$BO$1006,0)))),"Fix")))</f>
        <v>0</v>
      </c>
      <c r="J294" s="4">
        <f>IF(OR(INDEX($AH$2:$AH$1001,MATCH(ROWS($AG$2:AG294),$AG$2:$AG$1001,0),1)&gt;=100000,INDEX($AN$1005:$BO$1005,1,MATCH(COLUMNS($AN$1006:AV1006),$AN$1006:$BO$1006,0))&gt;=100000), " ",IF(INDEX($AN$2:$BO$1001,MATCH(ROWS($AG$2:AG294),$AG$2:$AG$1001,0),MATCH(COLUMNS($AN$1006:AV1006),$AN$1006:$BO$1006,0)), HYPERLINK("#",""), HYPERLINK(CONCATENATE("#Metadata!", ADDRESS(INDEX($AI$2:$AI$1001,MATCH(ROWS($AG$2:AG294),$AG$2:$AG$1001,0),0), INDEX($AN$1004:$BO$1004,1,MATCH(COLUMNS($AN$1006:AV1006),$AN$1006:$BO$1006,0)))),"Fix")))</f>
        <v>0</v>
      </c>
      <c r="K294" s="4">
        <f>IF(OR(INDEX($AH$2:$AH$1001,MATCH(ROWS($AG$2:AG294),$AG$2:$AG$1001,0),1)&gt;=100000,INDEX($AN$1005:$BO$1005,1,MATCH(COLUMNS($AN$1006:AW1006),$AN$1006:$BO$1006,0))&gt;=100000), " ",IF(INDEX($AN$2:$BO$1001,MATCH(ROWS($AG$2:AG294),$AG$2:$AG$1001,0),MATCH(COLUMNS($AN$1006:AW1006),$AN$1006:$BO$1006,0)), HYPERLINK("#",""), HYPERLINK(CONCATENATE("#Metadata!", ADDRESS(INDEX($AI$2:$AI$1001,MATCH(ROWS($AG$2:AG294),$AG$2:$AG$1001,0),0), INDEX($AN$1004:$BO$1004,1,MATCH(COLUMNS($AN$1006:AW1006),$AN$1006:$BO$1006,0)))),"Fix")))</f>
        <v>0</v>
      </c>
      <c r="L294" s="4">
        <f>IF(OR(INDEX($AH$2:$AH$1001,MATCH(ROWS($AG$2:AG294),$AG$2:$AG$1001,0),1)&gt;=100000,INDEX($AN$1005:$BO$1005,1,MATCH(COLUMNS($AN$1006:AX1006),$AN$1006:$BO$1006,0))&gt;=100000), " ",IF(INDEX($AN$2:$BO$1001,MATCH(ROWS($AG$2:AG294),$AG$2:$AG$1001,0),MATCH(COLUMNS($AN$1006:AX1006),$AN$1006:$BO$1006,0)), HYPERLINK("#",""), HYPERLINK(CONCATENATE("#Metadata!", ADDRESS(INDEX($AI$2:$AI$1001,MATCH(ROWS($AG$2:AG294),$AG$2:$AG$1001,0),0), INDEX($AN$1004:$BO$1004,1,MATCH(COLUMNS($AN$1006:AX1006),$AN$1006:$BO$1006,0)))),"Fix")))</f>
        <v>0</v>
      </c>
      <c r="M294" s="4">
        <f>IF(OR(INDEX($AH$2:$AH$1001,MATCH(ROWS($AG$2:AG294),$AG$2:$AG$1001,0),1)&gt;=100000,INDEX($AN$1005:$BO$1005,1,MATCH(COLUMNS($AN$1006:AY1006),$AN$1006:$BO$1006,0))&gt;=100000), " ",IF(INDEX($AN$2:$BO$1001,MATCH(ROWS($AG$2:AG294),$AG$2:$AG$1001,0),MATCH(COLUMNS($AN$1006:AY1006),$AN$1006:$BO$1006,0)), HYPERLINK("#",""), HYPERLINK(CONCATENATE("#Metadata!", ADDRESS(INDEX($AI$2:$AI$1001,MATCH(ROWS($AG$2:AG294),$AG$2:$AG$1001,0),0), INDEX($AN$1004:$BO$1004,1,MATCH(COLUMNS($AN$1006:AY1006),$AN$1006:$BO$1006,0)))),"Fix")))</f>
        <v>0</v>
      </c>
      <c r="N294" s="4">
        <f>IF(OR(INDEX($AH$2:$AH$1001,MATCH(ROWS($AG$2:AG294),$AG$2:$AG$1001,0),1)&gt;=100000,INDEX($AN$1005:$BO$1005,1,MATCH(COLUMNS($AN$1006:AZ1006),$AN$1006:$BO$1006,0))&gt;=100000), " ",IF(INDEX($AN$2:$BO$1001,MATCH(ROWS($AG$2:AG294),$AG$2:$AG$1001,0),MATCH(COLUMNS($AN$1006:AZ1006),$AN$1006:$BO$1006,0)), HYPERLINK("#",""), HYPERLINK(CONCATENATE("#Metadata!", ADDRESS(INDEX($AI$2:$AI$1001,MATCH(ROWS($AG$2:AG294),$AG$2:$AG$1001,0),0), INDEX($AN$1004:$BO$1004,1,MATCH(COLUMNS($AN$1006:AZ1006),$AN$1006:$BO$1006,0)))),"Fix")))</f>
        <v>0</v>
      </c>
      <c r="O294" s="4">
        <f>IF(OR(INDEX($AH$2:$AH$1001,MATCH(ROWS($AG$2:AG294),$AG$2:$AG$1001,0),1)&gt;=100000,INDEX($AN$1005:$BO$1005,1,MATCH(COLUMNS($AN$1006:BA1006),$AN$1006:$BO$1006,0))&gt;=100000), " ",IF(INDEX($AN$2:$BO$1001,MATCH(ROWS($AG$2:AG294),$AG$2:$AG$1001,0),MATCH(COLUMNS($AN$1006:BA1006),$AN$1006:$BO$1006,0)), HYPERLINK("#",""), HYPERLINK(CONCATENATE("#Metadata!", ADDRESS(INDEX($AI$2:$AI$1001,MATCH(ROWS($AG$2:AG294),$AG$2:$AG$1001,0),0), INDEX($AN$1004:$BO$1004,1,MATCH(COLUMNS($AN$1006:BA1006),$AN$1006:$BO$1006,0)))),"Fix")))</f>
        <v>0</v>
      </c>
      <c r="P294" s="4">
        <f>IF(OR(INDEX($AH$2:$AH$1001,MATCH(ROWS($AG$2:AG294),$AG$2:$AG$1001,0),1)&gt;=100000,INDEX($AN$1005:$BO$1005,1,MATCH(COLUMNS($AN$1006:BB1006),$AN$1006:$BO$1006,0))&gt;=100000), " ",IF(INDEX($AN$2:$BO$1001,MATCH(ROWS($AG$2:AG294),$AG$2:$AG$1001,0),MATCH(COLUMNS($AN$1006:BB1006),$AN$1006:$BO$1006,0)), HYPERLINK("#",""), HYPERLINK(CONCATENATE("#Metadata!", ADDRESS(INDEX($AI$2:$AI$1001,MATCH(ROWS($AG$2:AG294),$AG$2:$AG$1001,0),0), INDEX($AN$1004:$BO$1004,1,MATCH(COLUMNS($AN$1006:BB1006),$AN$1006:$BO$1006,0)))),"Fix")))</f>
        <v>0</v>
      </c>
      <c r="Q294" s="4">
        <f>IF(OR(INDEX($AH$2:$AH$1001,MATCH(ROWS($AG$2:AG294),$AG$2:$AG$1001,0),1)&gt;=100000,INDEX($AN$1005:$BO$1005,1,MATCH(COLUMNS($AN$1006:BC1006),$AN$1006:$BO$1006,0))&gt;=100000), " ",IF(INDEX($AN$2:$BO$1001,MATCH(ROWS($AG$2:AG294),$AG$2:$AG$1001,0),MATCH(COLUMNS($AN$1006:BC1006),$AN$1006:$BO$1006,0)), HYPERLINK("#",""), HYPERLINK(CONCATENATE("#Metadata!", ADDRESS(INDEX($AI$2:$AI$1001,MATCH(ROWS($AG$2:AG294),$AG$2:$AG$1001,0),0), INDEX($AN$1004:$BO$1004,1,MATCH(COLUMNS($AN$1006:BC1006),$AN$1006:$BO$1006,0)))),"Fix")))</f>
        <v>0</v>
      </c>
      <c r="R294" s="4">
        <f>IF(OR(INDEX($AH$2:$AH$1001,MATCH(ROWS($AG$2:AG294),$AG$2:$AG$1001,0),1)&gt;=100000,INDEX($AN$1005:$BO$1005,1,MATCH(COLUMNS($AN$1006:BD1006),$AN$1006:$BO$1006,0))&gt;=100000), " ",IF(INDEX($AN$2:$BO$1001,MATCH(ROWS($AG$2:AG294),$AG$2:$AG$1001,0),MATCH(COLUMNS($AN$1006:BD1006),$AN$1006:$BO$1006,0)), HYPERLINK("#",""), HYPERLINK(CONCATENATE("#Metadata!", ADDRESS(INDEX($AI$2:$AI$1001,MATCH(ROWS($AG$2:AG294),$AG$2:$AG$1001,0),0), INDEX($AN$1004:$BO$1004,1,MATCH(COLUMNS($AN$1006:BD1006),$AN$1006:$BO$1006,0)))),"Fix")))</f>
        <v>0</v>
      </c>
      <c r="S294" s="4">
        <f>IF(OR(INDEX($AH$2:$AH$1001,MATCH(ROWS($AG$2:AG294),$AG$2:$AG$1001,0),1)&gt;=100000,INDEX($AN$1005:$BO$1005,1,MATCH(COLUMNS($AN$1006:BE1006),$AN$1006:$BO$1006,0))&gt;=100000), " ",IF(INDEX($AN$2:$BO$1001,MATCH(ROWS($AG$2:AG294),$AG$2:$AG$1001,0),MATCH(COLUMNS($AN$1006:BE1006),$AN$1006:$BO$1006,0)), HYPERLINK("#",""), HYPERLINK(CONCATENATE("#Metadata!", ADDRESS(INDEX($AI$2:$AI$1001,MATCH(ROWS($AG$2:AG294),$AG$2:$AG$1001,0),0), INDEX($AN$1004:$BO$1004,1,MATCH(COLUMNS($AN$1006:BE1006),$AN$1006:$BO$1006,0)))),"Fix")))</f>
        <v>0</v>
      </c>
      <c r="T294" s="4">
        <f>IF(OR(INDEX($AH$2:$AH$1001,MATCH(ROWS($AG$2:AG294),$AG$2:$AG$1001,0),1)&gt;=100000,INDEX($AN$1005:$BO$1005,1,MATCH(COLUMNS($AN$1006:BF1006),$AN$1006:$BO$1006,0))&gt;=100000), " ",IF(INDEX($AN$2:$BO$1001,MATCH(ROWS($AG$2:AG294),$AG$2:$AG$1001,0),MATCH(COLUMNS($AN$1006:BF1006),$AN$1006:$BO$1006,0)), HYPERLINK("#",""), HYPERLINK(CONCATENATE("#Metadata!", ADDRESS(INDEX($AI$2:$AI$1001,MATCH(ROWS($AG$2:AG294),$AG$2:$AG$1001,0),0), INDEX($AN$1004:$BO$1004,1,MATCH(COLUMNS($AN$1006:BF1006),$AN$1006:$BO$1006,0)))),"Fix")))</f>
        <v>0</v>
      </c>
      <c r="U294" s="4">
        <f>IF(OR(INDEX($AH$2:$AH$1001,MATCH(ROWS($AG$2:AG294),$AG$2:$AG$1001,0),1)&gt;=100000,INDEX($AN$1005:$BO$1005,1,MATCH(COLUMNS($AN$1006:BG1006),$AN$1006:$BO$1006,0))&gt;=100000), " ",IF(INDEX($AN$2:$BO$1001,MATCH(ROWS($AG$2:AG294),$AG$2:$AG$1001,0),MATCH(COLUMNS($AN$1006:BG1006),$AN$1006:$BO$1006,0)), HYPERLINK("#",""), HYPERLINK(CONCATENATE("#Metadata!", ADDRESS(INDEX($AI$2:$AI$1001,MATCH(ROWS($AG$2:AG294),$AG$2:$AG$1001,0),0), INDEX($AN$1004:$BO$1004,1,MATCH(COLUMNS($AN$1006:BG1006),$AN$1006:$BO$1006,0)))),"Fix")))</f>
        <v>0</v>
      </c>
      <c r="V294" s="4">
        <f>IF(OR(INDEX($AH$2:$AH$1001,MATCH(ROWS($AG$2:AG294),$AG$2:$AG$1001,0),1)&gt;=100000,INDEX($AN$1005:$BO$1005,1,MATCH(COLUMNS($AN$1006:BH1006),$AN$1006:$BO$1006,0))&gt;=100000), " ",IF(INDEX($AN$2:$BO$1001,MATCH(ROWS($AG$2:AG294),$AG$2:$AG$1001,0),MATCH(COLUMNS($AN$1006:BH1006),$AN$1006:$BO$1006,0)), HYPERLINK("#",""), HYPERLINK(CONCATENATE("#Metadata!", ADDRESS(INDEX($AI$2:$AI$1001,MATCH(ROWS($AG$2:AG294),$AG$2:$AG$1001,0),0), INDEX($AN$1004:$BO$1004,1,MATCH(COLUMNS($AN$1006:BH1006),$AN$1006:$BO$1006,0)))),"Fix")))</f>
        <v>0</v>
      </c>
      <c r="W294" s="4">
        <f>IF(OR(INDEX($AH$2:$AH$1001,MATCH(ROWS($AG$2:AG294),$AG$2:$AG$1001,0),1)&gt;=100000,INDEX($AN$1005:$BO$1005,1,MATCH(COLUMNS($AN$1006:BI1006),$AN$1006:$BO$1006,0))&gt;=100000), " ",IF(INDEX($AN$2:$BO$1001,MATCH(ROWS($AG$2:AG294),$AG$2:$AG$1001,0),MATCH(COLUMNS($AN$1006:BI1006),$AN$1006:$BO$1006,0)), HYPERLINK("#",""), HYPERLINK(CONCATENATE("#Metadata!", ADDRESS(INDEX($AI$2:$AI$1001,MATCH(ROWS($AG$2:AG294),$AG$2:$AG$1001,0),0), INDEX($AN$1004:$BO$1004,1,MATCH(COLUMNS($AN$1006:BI1006),$AN$1006:$BO$1006,0)))),"Fix")))</f>
        <v>0</v>
      </c>
      <c r="X294" s="4">
        <f>IF(OR(INDEX($AH$2:$AH$1001,MATCH(ROWS($AG$2:AG294),$AG$2:$AG$1001,0),1)&gt;=100000,INDEX($AN$1005:$BO$1005,1,MATCH(COLUMNS($AN$1006:BJ1006),$AN$1006:$BO$1006,0))&gt;=100000), " ",IF(INDEX($AN$2:$BO$1001,MATCH(ROWS($AG$2:AG294),$AG$2:$AG$1001,0),MATCH(COLUMNS($AN$1006:BJ1006),$AN$1006:$BO$1006,0)), HYPERLINK("#",""), HYPERLINK(CONCATENATE("#Metadata!", ADDRESS(INDEX($AI$2:$AI$1001,MATCH(ROWS($AG$2:AG294),$AG$2:$AG$1001,0),0), INDEX($AN$1004:$BO$1004,1,MATCH(COLUMNS($AN$1006:BJ1006),$AN$1006:$BO$1006,0)))),"Fix")))</f>
        <v>0</v>
      </c>
      <c r="Y294" s="4">
        <f>IF(OR(INDEX($AH$2:$AH$1001,MATCH(ROWS($AG$2:AG294),$AG$2:$AG$1001,0),1)&gt;=100000,INDEX($AN$1005:$BO$1005,1,MATCH(COLUMNS($AN$1006:BK1006),$AN$1006:$BO$1006,0))&gt;=100000), " ",IF(INDEX($AN$2:$BO$1001,MATCH(ROWS($AG$2:AG294),$AG$2:$AG$1001,0),MATCH(COLUMNS($AN$1006:BK1006),$AN$1006:$BO$1006,0)), HYPERLINK("#",""), HYPERLINK(CONCATENATE("#Metadata!", ADDRESS(INDEX($AI$2:$AI$1001,MATCH(ROWS($AG$2:AG294),$AG$2:$AG$1001,0),0), INDEX($AN$1004:$BO$1004,1,MATCH(COLUMNS($AN$1006:BK1006),$AN$1006:$BO$1006,0)))),"Fix")))</f>
        <v>0</v>
      </c>
      <c r="Z294" s="4">
        <f>IF(OR(INDEX($AH$2:$AH$1001,MATCH(ROWS($AG$2:AG294),$AG$2:$AG$1001,0),1)&gt;=100000,INDEX($AN$1005:$BO$1005,1,MATCH(COLUMNS($AN$1006:BL1006),$AN$1006:$BO$1006,0))&gt;=100000), " ",IF(INDEX($AN$2:$BO$1001,MATCH(ROWS($AG$2:AG294),$AG$2:$AG$1001,0),MATCH(COLUMNS($AN$1006:BL1006),$AN$1006:$BO$1006,0)), HYPERLINK("#",""), HYPERLINK(CONCATENATE("#Metadata!", ADDRESS(INDEX($AI$2:$AI$1001,MATCH(ROWS($AG$2:AG294),$AG$2:$AG$1001,0),0), INDEX($AN$1004:$BO$1004,1,MATCH(COLUMNS($AN$1006:BL1006),$AN$1006:$BO$1006,0)))),"Fix")))</f>
        <v>0</v>
      </c>
      <c r="AA294" s="4">
        <f>IF(OR(INDEX($AH$2:$AH$1001,MATCH(ROWS($AG$2:AG294),$AG$2:$AG$1001,0),1)&gt;=100000,INDEX($AN$1005:$BO$1005,1,MATCH(COLUMNS($AN$1006:BM1006),$AN$1006:$BO$1006,0))&gt;=100000), " ",IF(INDEX($AN$2:$BO$1001,MATCH(ROWS($AG$2:AG294),$AG$2:$AG$1001,0),MATCH(COLUMNS($AN$1006:BM1006),$AN$1006:$BO$1006,0)), HYPERLINK("#",""), HYPERLINK(CONCATENATE("#Metadata!", ADDRESS(INDEX($AI$2:$AI$1001,MATCH(ROWS($AG$2:AG294),$AG$2:$AG$1001,0),0), INDEX($AN$1004:$BO$1004,1,MATCH(COLUMNS($AN$1006:BM1006),$AN$1006:$BO$1006,0)))),"Fix")))</f>
        <v>0</v>
      </c>
      <c r="AB294" s="4">
        <f>IF(OR(INDEX($AH$2:$AH$1001,MATCH(ROWS($AG$2:AG294),$AG$2:$AG$1001,0),1)&gt;=100000,INDEX($AN$1005:$BO$1005,1,MATCH(COLUMNS($AN$1006:BN1006),$AN$1006:$BO$1006,0))&gt;=100000), " ",IF(INDEX($AN$2:$BO$1001,MATCH(ROWS($AG$2:AG294),$AG$2:$AG$1001,0),MATCH(COLUMNS($AN$1006:BN1006),$AN$1006:$BO$1006,0)), HYPERLINK("#",""), HYPERLINK(CONCATENATE("#Metadata!", ADDRESS(INDEX($AI$2:$AI$1001,MATCH(ROWS($AG$2:AG294),$AG$2:$AG$1001,0),0), INDEX($AN$1004:$BO$1004,1,MATCH(COLUMNS($AN$1006:BN1006),$AN$1006:$BO$1006,0)))),"Fix")))</f>
        <v>0</v>
      </c>
      <c r="AC294" s="4">
        <f>IF(OR(INDEX($AH$2:$AH$1001,MATCH(ROWS($AG$2:AG294),$AG$2:$AG$1001,0),1)&gt;=100000,INDEX($AN$1005:$BO$1005,1,MATCH(COLUMNS($AN$1006:BO1006),$AN$1006:$BO$1006,0))&gt;=100000), " ",IF(INDEX($AN$2:$BO$1001,MATCH(ROWS($AG$2:AG294),$AG$2:$AG$1001,0),MATCH(COLUMNS($AN$1006:BO1006),$AN$1006:$BO$1006,0)), HYPERLINK("#",""), HYPERLINK(CONCATENATE("#Metadata!", ADDRESS(INDEX($AI$2:$AI$1001,MATCH(ROWS($AG$2:AG294),$AG$2:$AG$1001,0),0), INDEX($AN$1004:$BO$1004,1,MATCH(COLUMNS($AN$1006:BO1006),$AN$1006:$BO$1006,0)))),"Fix")))</f>
        <v>0</v>
      </c>
      <c r="AG294">
        <v>0</v>
      </c>
      <c r="AH294">
        <v>0</v>
      </c>
      <c r="AI294">
        <v>0</v>
      </c>
      <c r="AJ294">
        <f>IF(AK294,TRUE,AND(AN294:BO294))</f>
        <v>0</v>
      </c>
      <c r="AK294">
        <f>COUNTBLANK(Metadata!B294:AC294)=COLUMNS(Metadata!B294:AC294)</f>
        <v>0</v>
      </c>
      <c r="AL294">
        <v>0</v>
      </c>
      <c r="AN294">
        <f>AND(IF(Metadata!B294="",FALSE,TRUE),COUNTIF(Metadata!B:B, Metadata!B294) = 1,NOT(ISERROR(SUMPRODUCT(SEARCH(MID(Metadata!B294,ROW(INDIRECT("1:"&amp;LEN(Metadata!B294))), 1),"0123456789abcdefghijklmnopqrstuvwxyzABCDEFGHIJKLMNOPQRSTUVWXYZ.")))))</f>
        <v>0</v>
      </c>
      <c r="AO294">
        <f>IF(Metadata!C294="",FALSE,TRUE)</f>
        <v>0</v>
      </c>
      <c r="AP294">
        <f>IF(Metadata!D294="",FALSE,TRUE)</f>
        <v>0</v>
      </c>
      <c r="AQ294">
        <f>OR(AND(IF(Metadata!E294="",FALSE,TRUE),OR(exact(Metadata!E294,"not collected"),exact(Metadata!E294,"not provided"),exact(Metadata!E294,"restricted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R294">
        <f>IF(Metadata!F294="",FALSE,TRUE)</f>
        <v>0</v>
      </c>
      <c r="AS294">
        <f>OR(AND(IF(Metadata!G294="",FALSE,TRUE),OR(exact(Metadata!G294,"not collected"),exact(Metadata!G294,"not provided"))),AND(IF(Metadata!G294="",FALSE,TRUE),OR(exact(Metadata!G294,"TRUE"),exact(Metadata!G294,"FALSE"))))</f>
        <v>0</v>
      </c>
      <c r="AT294">
        <f>OR(AND(IF(Metadata!H294="",FALSE,TRUE),OR(exact(Metadata!H294,"not collected"),exact(Metadata!H294,"not provided"),exact(Metadata!H294,"restricted access"))),AND(IF(Metadata!H294="",FALSE,ISNUMBER(VALUE(Metadata!H294))),Metadata!H294&gt;=-413.0))</f>
        <v>0</v>
      </c>
      <c r="AU294">
        <f>AND(IF(Metadata!I294="",FALSE,TRUE),exact(Metadata!I294,"meters"))</f>
        <v>0</v>
      </c>
      <c r="AV294">
        <f>AND(IF(Metadata!J294="",FALSE,TRUE),OR(exact(Metadata!J294,"Host-associated"),exact(Metadata!J294,"Free-living")))</f>
        <v>0</v>
      </c>
      <c r="AW294">
        <f>AND(IF(Metadata!K294="",FALSE,TRUE),OR(exact(Metadata!K294,"Animal"),exact(Metadata!K294,"Fungus"),exact(Metadata!K294,"Plant"),exact(Metadata!K294,"Saline"),exact(Metadata!K294,"Non-saline")))</f>
        <v>0</v>
      </c>
      <c r="AX294">
        <f>AND(IF(Metadata!L294="",FALSE,TRUE),OR(exact(Metadata!L294,"Plant secretion"),exact(Metadata!L294,"Plant rhizosphere"),exact(Metadata!L294,"Plant surface"),exact(Metadata!L294,"Plant corpus"),exact(Metadata!L294,"Fungus surface"),exact(Metadata!L294,"Fungus corpus"),exact(Metadata!L294,"Animal surface"),exact(Metadata!L294,"Animal proximal gut"),exact(Metadata!L294,"Animal corpus"),exact(Metadata!L294,"Animal distal gut"),exact(Metadata!L294,"Animal secretion"),exact(Metadata!L294,"Sub-surface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Y294">
        <f>IF(Metadata!M294="",FALSE,TRUE)</f>
        <v>0</v>
      </c>
      <c r="AZ294">
        <f>IF(Metadata!N294="",FALSE,TRUE)</f>
        <v>0</v>
      </c>
      <c r="BA294">
        <f>IF(Metadata!O294="",FALSE,TRUE)</f>
        <v>0</v>
      </c>
      <c r="BB294">
        <f>OR(AND(IF(Metadata!P294="",FALSE,TRUE),OR(exact(Metadata!P294,"not collected"),exact(Metadata!P294,"not provided"),exact(Metadata!P294,"restricted access"))),AND(IF(Metadata!P294="",FALSE,TRUE),OR(exact(Metadata!P294,"air"),exact(Metadata!P294,"built environment"),exact(Metadata!P294,"host-associated"),exact(Metadata!P294,"human-associated"),exact(Metadata!P294,"human-skin"),exact(Metadata!P294,"human-oral"),exact(Metadata!P294,"human-gut"),exact(Metadata!P294,"human-vaginal"),exact(Metadata!P294,"microbial mat/biofilm"),exact(Metadata!P294,"misc environment"),exact(Metadata!P294,"plant-associated"),exact(Metadata!P294,"sediment"),exact(Metadata!P294,"soil"),exact(Metadata!P294,"wastewater/sludge"),exact(Metadata!P294,"water"))))</f>
        <v>0</v>
      </c>
      <c r="BC294">
        <f>IF(Metadata!Q294="",FALSE,TRUE)</f>
        <v>0</v>
      </c>
      <c r="BD294">
        <f>IF(Metadata!R294="",FALSE,TRUE)</f>
        <v>0</v>
      </c>
      <c r="BE294">
        <f>OR(AND(IF(Metadata!S294="",FALSE,TRUE),OR(exact(Metadata!S294,"not collected"),exact(Metadata!S294,"not provided"),exact(Metadata!S294,"restricted access"))),AND(IF(Metadata!S294="",FALSE,ISNUMBER(VALUE(Metadata!S294))),Metadata!S294&gt;=-90.00,Metadata!S294&lt;=90.00))</f>
        <v>0</v>
      </c>
      <c r="BF294">
        <f>AND(IF(Metadata!T294="",FALSE,TRUE),exact(Metadata!T294,"Decimal degrees"))</f>
        <v>0</v>
      </c>
      <c r="BG294">
        <f>OR(AND(IF(Metadata!U294="",FALSE,TRUE),OR(exact(Metadata!U294,"not collected"),exact(Metadata!U294,"not provided"),exact(Metadata!U294,"restricted access"))),AND(IF(Metadata!U294="",FALSE,ISNUMBER(VALUE(Metadata!U294))),Metadata!U294&gt;=-180.00,Metadata!U294&lt;=180.00))</f>
        <v>0</v>
      </c>
      <c r="BH294">
        <f>AND(IF(Metadata!V294="",FALSE,TRUE),exact(Metadata!V294,"Decimal degrees"))</f>
        <v>0</v>
      </c>
      <c r="BI294">
        <f>IF(Metadata!W294="",FALSE,TRUE)</f>
        <v>0</v>
      </c>
      <c r="BJ294">
        <f>OR(AND(IF(Metadata!X294="",FALSE,TRUE),OR(exact(Metadata!X294,"not collected"),exact(Metadata!X294,"not provided"),exact(Metadata!X294,"restricted access"))),AND(IF(Metadata!X294="",FALSE,TRUE),OR(exact(Metadata!X294,"TRUE"),exact(Metadata!X294,"FALSE"))))</f>
        <v>0</v>
      </c>
      <c r="BK294">
        <f>AND(IF(Metadata!Y294="",FALSE,TRUE),exact(Metadata!Y294,"other"))</f>
        <v>0</v>
      </c>
      <c r="BL294">
        <f>IF(Metadata!Z294="",FALSE,TRUE)</f>
        <v>0</v>
      </c>
      <c r="BM294">
        <f>OR(AND(IF(Metadata!AA294="",FALSE,TRUE),OR(exact(Metadata!AA294,"not collected"),exact(Metadata!AA294,"not provided"))),AND(IF(Metadata!AA294="",FALSE,IF(ISERROR(INT(Metadata!AA294)),FALSE,INT(Metadata!AA294)=Metadata!AA294)),Metadata!AA294&gt;0))</f>
        <v>0</v>
      </c>
      <c r="BN294">
        <f>AND(IF(Metadata!AB294="",FALSE,TRUE),exact(Metadata!AB294,"Not applicable"))</f>
        <v>0</v>
      </c>
      <c r="BO294">
        <f>IF(Metadata!AC294="",FALSE,TRUE)</f>
        <v>0</v>
      </c>
    </row>
    <row r="295" spans="1:67">
      <c r="A295" s="5">
        <f>IF(B295=" "," ",HYPERLINK(CONCATENATE("#metadata!",ADDRESS(INDEX($AI$2:$AI$1001,MATCH(ROWS($AG$2:AG295),$AG$2:$AG$1001,0),0),1)),INDEX($AL$2:$AL$1001,MATCH(ROWS($AG$2:AG295),$AG$2:$AG$1001,0),0)))</f>
        <v>0</v>
      </c>
      <c r="B295" s="4">
        <f>IF(OR(INDEX($AH$2:$AH$1001,MATCH(ROWS($AG$2:AG295),$AG$2:$AG$1001,0),1)&gt;=100000,INDEX($AN$1005:$BO$1005,1,MATCH(COLUMNS($AN$1006:AN1006),$AN$1006:$BO$1006,0))&gt;=100000), " ",IF(INDEX($AN$2:$BO$1001,MATCH(ROWS($AG$2:AG295),$AG$2:$AG$1001,0),MATCH(COLUMNS($AN$1006:AN1006),$AN$1006:$BO$1006,0)), HYPERLINK("#",""), HYPERLINK(CONCATENATE("#Metadata!", ADDRESS(INDEX($AI$2:$AI$1001,MATCH(ROWS($AG$2:AG295),$AG$2:$AG$1001,0),0), INDEX($AN$1004:$BO$1004,1,MATCH(COLUMNS($AN$1006:AN1006),$AN$1006:$BO$1006,0)))),"Fix")))</f>
        <v>0</v>
      </c>
      <c r="C295" s="4">
        <f>IF(OR(INDEX($AH$2:$AH$1001,MATCH(ROWS($AG$2:AG295),$AG$2:$AG$1001,0),1)&gt;=100000,INDEX($AN$1005:$BO$1005,1,MATCH(COLUMNS($AN$1006:AO1006),$AN$1006:$BO$1006,0))&gt;=100000), " ",IF(INDEX($AN$2:$BO$1001,MATCH(ROWS($AG$2:AG295),$AG$2:$AG$1001,0),MATCH(COLUMNS($AN$1006:AO1006),$AN$1006:$BO$1006,0)), HYPERLINK("#",""), HYPERLINK(CONCATENATE("#Metadata!", ADDRESS(INDEX($AI$2:$AI$1001,MATCH(ROWS($AG$2:AG295),$AG$2:$AG$1001,0),0), INDEX($AN$1004:$BO$1004,1,MATCH(COLUMNS($AN$1006:AO1006),$AN$1006:$BO$1006,0)))),"Fix")))</f>
        <v>0</v>
      </c>
      <c r="D295" s="4">
        <f>IF(OR(INDEX($AH$2:$AH$1001,MATCH(ROWS($AG$2:AG295),$AG$2:$AG$1001,0),1)&gt;=100000,INDEX($AN$1005:$BO$1005,1,MATCH(COLUMNS($AN$1006:AP1006),$AN$1006:$BO$1006,0))&gt;=100000), " ",IF(INDEX($AN$2:$BO$1001,MATCH(ROWS($AG$2:AG295),$AG$2:$AG$1001,0),MATCH(COLUMNS($AN$1006:AP1006),$AN$1006:$BO$1006,0)), HYPERLINK("#",""), HYPERLINK(CONCATENATE("#Metadata!", ADDRESS(INDEX($AI$2:$AI$1001,MATCH(ROWS($AG$2:AG295),$AG$2:$AG$1001,0),0), INDEX($AN$1004:$BO$1004,1,MATCH(COLUMNS($AN$1006:AP1006),$AN$1006:$BO$1006,0)))),"Fix")))</f>
        <v>0</v>
      </c>
      <c r="E295" s="4">
        <f>IF(OR(INDEX($AH$2:$AH$1001,MATCH(ROWS($AG$2:AG295),$AG$2:$AG$1001,0),1)&gt;=100000,INDEX($AN$1005:$BO$1005,1,MATCH(COLUMNS($AN$1006:AQ1006),$AN$1006:$BO$1006,0))&gt;=100000), " ",IF(INDEX($AN$2:$BO$1001,MATCH(ROWS($AG$2:AG295),$AG$2:$AG$1001,0),MATCH(COLUMNS($AN$1006:AQ1006),$AN$1006:$BO$1006,0)), HYPERLINK("#",""), HYPERLINK(CONCATENATE("#Metadata!", ADDRESS(INDEX($AI$2:$AI$1001,MATCH(ROWS($AG$2:AG295),$AG$2:$AG$1001,0),0), INDEX($AN$1004:$BO$1004,1,MATCH(COLUMNS($AN$1006:AQ1006),$AN$1006:$BO$1006,0)))),"Fix")))</f>
        <v>0</v>
      </c>
      <c r="F295" s="4">
        <f>IF(OR(INDEX($AH$2:$AH$1001,MATCH(ROWS($AG$2:AG295),$AG$2:$AG$1001,0),1)&gt;=100000,INDEX($AN$1005:$BO$1005,1,MATCH(COLUMNS($AN$1006:AR1006),$AN$1006:$BO$1006,0))&gt;=100000), " ",IF(INDEX($AN$2:$BO$1001,MATCH(ROWS($AG$2:AG295),$AG$2:$AG$1001,0),MATCH(COLUMNS($AN$1006:AR1006),$AN$1006:$BO$1006,0)), HYPERLINK("#",""), HYPERLINK(CONCATENATE("#Metadata!", ADDRESS(INDEX($AI$2:$AI$1001,MATCH(ROWS($AG$2:AG295),$AG$2:$AG$1001,0),0), INDEX($AN$1004:$BO$1004,1,MATCH(COLUMNS($AN$1006:AR1006),$AN$1006:$BO$1006,0)))),"Fix")))</f>
        <v>0</v>
      </c>
      <c r="G295" s="4">
        <f>IF(OR(INDEX($AH$2:$AH$1001,MATCH(ROWS($AG$2:AG295),$AG$2:$AG$1001,0),1)&gt;=100000,INDEX($AN$1005:$BO$1005,1,MATCH(COLUMNS($AN$1006:AS1006),$AN$1006:$BO$1006,0))&gt;=100000), " ",IF(INDEX($AN$2:$BO$1001,MATCH(ROWS($AG$2:AG295),$AG$2:$AG$1001,0),MATCH(COLUMNS($AN$1006:AS1006),$AN$1006:$BO$1006,0)), HYPERLINK("#",""), HYPERLINK(CONCATENATE("#Metadata!", ADDRESS(INDEX($AI$2:$AI$1001,MATCH(ROWS($AG$2:AG295),$AG$2:$AG$1001,0),0), INDEX($AN$1004:$BO$1004,1,MATCH(COLUMNS($AN$1006:AS1006),$AN$1006:$BO$1006,0)))),"Fix")))</f>
        <v>0</v>
      </c>
      <c r="H295" s="4">
        <f>IF(OR(INDEX($AH$2:$AH$1001,MATCH(ROWS($AG$2:AG295),$AG$2:$AG$1001,0),1)&gt;=100000,INDEX($AN$1005:$BO$1005,1,MATCH(COLUMNS($AN$1006:AT1006),$AN$1006:$BO$1006,0))&gt;=100000), " ",IF(INDEX($AN$2:$BO$1001,MATCH(ROWS($AG$2:AG295),$AG$2:$AG$1001,0),MATCH(COLUMNS($AN$1006:AT1006),$AN$1006:$BO$1006,0)), HYPERLINK("#",""), HYPERLINK(CONCATENATE("#Metadata!", ADDRESS(INDEX($AI$2:$AI$1001,MATCH(ROWS($AG$2:AG295),$AG$2:$AG$1001,0),0), INDEX($AN$1004:$BO$1004,1,MATCH(COLUMNS($AN$1006:AT1006),$AN$1006:$BO$1006,0)))),"Fix")))</f>
        <v>0</v>
      </c>
      <c r="I295" s="4">
        <f>IF(OR(INDEX($AH$2:$AH$1001,MATCH(ROWS($AG$2:AG295),$AG$2:$AG$1001,0),1)&gt;=100000,INDEX($AN$1005:$BO$1005,1,MATCH(COLUMNS($AN$1006:AU1006),$AN$1006:$BO$1006,0))&gt;=100000), " ",IF(INDEX($AN$2:$BO$1001,MATCH(ROWS($AG$2:AG295),$AG$2:$AG$1001,0),MATCH(COLUMNS($AN$1006:AU1006),$AN$1006:$BO$1006,0)), HYPERLINK("#",""), HYPERLINK(CONCATENATE("#Metadata!", ADDRESS(INDEX($AI$2:$AI$1001,MATCH(ROWS($AG$2:AG295),$AG$2:$AG$1001,0),0), INDEX($AN$1004:$BO$1004,1,MATCH(COLUMNS($AN$1006:AU1006),$AN$1006:$BO$1006,0)))),"Fix")))</f>
        <v>0</v>
      </c>
      <c r="J295" s="4">
        <f>IF(OR(INDEX($AH$2:$AH$1001,MATCH(ROWS($AG$2:AG295),$AG$2:$AG$1001,0),1)&gt;=100000,INDEX($AN$1005:$BO$1005,1,MATCH(COLUMNS($AN$1006:AV1006),$AN$1006:$BO$1006,0))&gt;=100000), " ",IF(INDEX($AN$2:$BO$1001,MATCH(ROWS($AG$2:AG295),$AG$2:$AG$1001,0),MATCH(COLUMNS($AN$1006:AV1006),$AN$1006:$BO$1006,0)), HYPERLINK("#",""), HYPERLINK(CONCATENATE("#Metadata!", ADDRESS(INDEX($AI$2:$AI$1001,MATCH(ROWS($AG$2:AG295),$AG$2:$AG$1001,0),0), INDEX($AN$1004:$BO$1004,1,MATCH(COLUMNS($AN$1006:AV1006),$AN$1006:$BO$1006,0)))),"Fix")))</f>
        <v>0</v>
      </c>
      <c r="K295" s="4">
        <f>IF(OR(INDEX($AH$2:$AH$1001,MATCH(ROWS($AG$2:AG295),$AG$2:$AG$1001,0),1)&gt;=100000,INDEX($AN$1005:$BO$1005,1,MATCH(COLUMNS($AN$1006:AW1006),$AN$1006:$BO$1006,0))&gt;=100000), " ",IF(INDEX($AN$2:$BO$1001,MATCH(ROWS($AG$2:AG295),$AG$2:$AG$1001,0),MATCH(COLUMNS($AN$1006:AW1006),$AN$1006:$BO$1006,0)), HYPERLINK("#",""), HYPERLINK(CONCATENATE("#Metadata!", ADDRESS(INDEX($AI$2:$AI$1001,MATCH(ROWS($AG$2:AG295),$AG$2:$AG$1001,0),0), INDEX($AN$1004:$BO$1004,1,MATCH(COLUMNS($AN$1006:AW1006),$AN$1006:$BO$1006,0)))),"Fix")))</f>
        <v>0</v>
      </c>
      <c r="L295" s="4">
        <f>IF(OR(INDEX($AH$2:$AH$1001,MATCH(ROWS($AG$2:AG295),$AG$2:$AG$1001,0),1)&gt;=100000,INDEX($AN$1005:$BO$1005,1,MATCH(COLUMNS($AN$1006:AX1006),$AN$1006:$BO$1006,0))&gt;=100000), " ",IF(INDEX($AN$2:$BO$1001,MATCH(ROWS($AG$2:AG295),$AG$2:$AG$1001,0),MATCH(COLUMNS($AN$1006:AX1006),$AN$1006:$BO$1006,0)), HYPERLINK("#",""), HYPERLINK(CONCATENATE("#Metadata!", ADDRESS(INDEX($AI$2:$AI$1001,MATCH(ROWS($AG$2:AG295),$AG$2:$AG$1001,0),0), INDEX($AN$1004:$BO$1004,1,MATCH(COLUMNS($AN$1006:AX1006),$AN$1006:$BO$1006,0)))),"Fix")))</f>
        <v>0</v>
      </c>
      <c r="M295" s="4">
        <f>IF(OR(INDEX($AH$2:$AH$1001,MATCH(ROWS($AG$2:AG295),$AG$2:$AG$1001,0),1)&gt;=100000,INDEX($AN$1005:$BO$1005,1,MATCH(COLUMNS($AN$1006:AY1006),$AN$1006:$BO$1006,0))&gt;=100000), " ",IF(INDEX($AN$2:$BO$1001,MATCH(ROWS($AG$2:AG295),$AG$2:$AG$1001,0),MATCH(COLUMNS($AN$1006:AY1006),$AN$1006:$BO$1006,0)), HYPERLINK("#",""), HYPERLINK(CONCATENATE("#Metadata!", ADDRESS(INDEX($AI$2:$AI$1001,MATCH(ROWS($AG$2:AG295),$AG$2:$AG$1001,0),0), INDEX($AN$1004:$BO$1004,1,MATCH(COLUMNS($AN$1006:AY1006),$AN$1006:$BO$1006,0)))),"Fix")))</f>
        <v>0</v>
      </c>
      <c r="N295" s="4">
        <f>IF(OR(INDEX($AH$2:$AH$1001,MATCH(ROWS($AG$2:AG295),$AG$2:$AG$1001,0),1)&gt;=100000,INDEX($AN$1005:$BO$1005,1,MATCH(COLUMNS($AN$1006:AZ1006),$AN$1006:$BO$1006,0))&gt;=100000), " ",IF(INDEX($AN$2:$BO$1001,MATCH(ROWS($AG$2:AG295),$AG$2:$AG$1001,0),MATCH(COLUMNS($AN$1006:AZ1006),$AN$1006:$BO$1006,0)), HYPERLINK("#",""), HYPERLINK(CONCATENATE("#Metadata!", ADDRESS(INDEX($AI$2:$AI$1001,MATCH(ROWS($AG$2:AG295),$AG$2:$AG$1001,0),0), INDEX($AN$1004:$BO$1004,1,MATCH(COLUMNS($AN$1006:AZ1006),$AN$1006:$BO$1006,0)))),"Fix")))</f>
        <v>0</v>
      </c>
      <c r="O295" s="4">
        <f>IF(OR(INDEX($AH$2:$AH$1001,MATCH(ROWS($AG$2:AG295),$AG$2:$AG$1001,0),1)&gt;=100000,INDEX($AN$1005:$BO$1005,1,MATCH(COLUMNS($AN$1006:BA1006),$AN$1006:$BO$1006,0))&gt;=100000), " ",IF(INDEX($AN$2:$BO$1001,MATCH(ROWS($AG$2:AG295),$AG$2:$AG$1001,0),MATCH(COLUMNS($AN$1006:BA1006),$AN$1006:$BO$1006,0)), HYPERLINK("#",""), HYPERLINK(CONCATENATE("#Metadata!", ADDRESS(INDEX($AI$2:$AI$1001,MATCH(ROWS($AG$2:AG295),$AG$2:$AG$1001,0),0), INDEX($AN$1004:$BO$1004,1,MATCH(COLUMNS($AN$1006:BA1006),$AN$1006:$BO$1006,0)))),"Fix")))</f>
        <v>0</v>
      </c>
      <c r="P295" s="4">
        <f>IF(OR(INDEX($AH$2:$AH$1001,MATCH(ROWS($AG$2:AG295),$AG$2:$AG$1001,0),1)&gt;=100000,INDEX($AN$1005:$BO$1005,1,MATCH(COLUMNS($AN$1006:BB1006),$AN$1006:$BO$1006,0))&gt;=100000), " ",IF(INDEX($AN$2:$BO$1001,MATCH(ROWS($AG$2:AG295),$AG$2:$AG$1001,0),MATCH(COLUMNS($AN$1006:BB1006),$AN$1006:$BO$1006,0)), HYPERLINK("#",""), HYPERLINK(CONCATENATE("#Metadata!", ADDRESS(INDEX($AI$2:$AI$1001,MATCH(ROWS($AG$2:AG295),$AG$2:$AG$1001,0),0), INDEX($AN$1004:$BO$1004,1,MATCH(COLUMNS($AN$1006:BB1006),$AN$1006:$BO$1006,0)))),"Fix")))</f>
        <v>0</v>
      </c>
      <c r="Q295" s="4">
        <f>IF(OR(INDEX($AH$2:$AH$1001,MATCH(ROWS($AG$2:AG295),$AG$2:$AG$1001,0),1)&gt;=100000,INDEX($AN$1005:$BO$1005,1,MATCH(COLUMNS($AN$1006:BC1006),$AN$1006:$BO$1006,0))&gt;=100000), " ",IF(INDEX($AN$2:$BO$1001,MATCH(ROWS($AG$2:AG295),$AG$2:$AG$1001,0),MATCH(COLUMNS($AN$1006:BC1006),$AN$1006:$BO$1006,0)), HYPERLINK("#",""), HYPERLINK(CONCATENATE("#Metadata!", ADDRESS(INDEX($AI$2:$AI$1001,MATCH(ROWS($AG$2:AG295),$AG$2:$AG$1001,0),0), INDEX($AN$1004:$BO$1004,1,MATCH(COLUMNS($AN$1006:BC1006),$AN$1006:$BO$1006,0)))),"Fix")))</f>
        <v>0</v>
      </c>
      <c r="R295" s="4">
        <f>IF(OR(INDEX($AH$2:$AH$1001,MATCH(ROWS($AG$2:AG295),$AG$2:$AG$1001,0),1)&gt;=100000,INDEX($AN$1005:$BO$1005,1,MATCH(COLUMNS($AN$1006:BD1006),$AN$1006:$BO$1006,0))&gt;=100000), " ",IF(INDEX($AN$2:$BO$1001,MATCH(ROWS($AG$2:AG295),$AG$2:$AG$1001,0),MATCH(COLUMNS($AN$1006:BD1006),$AN$1006:$BO$1006,0)), HYPERLINK("#",""), HYPERLINK(CONCATENATE("#Metadata!", ADDRESS(INDEX($AI$2:$AI$1001,MATCH(ROWS($AG$2:AG295),$AG$2:$AG$1001,0),0), INDEX($AN$1004:$BO$1004,1,MATCH(COLUMNS($AN$1006:BD1006),$AN$1006:$BO$1006,0)))),"Fix")))</f>
        <v>0</v>
      </c>
      <c r="S295" s="4">
        <f>IF(OR(INDEX($AH$2:$AH$1001,MATCH(ROWS($AG$2:AG295),$AG$2:$AG$1001,0),1)&gt;=100000,INDEX($AN$1005:$BO$1005,1,MATCH(COLUMNS($AN$1006:BE1006),$AN$1006:$BO$1006,0))&gt;=100000), " ",IF(INDEX($AN$2:$BO$1001,MATCH(ROWS($AG$2:AG295),$AG$2:$AG$1001,0),MATCH(COLUMNS($AN$1006:BE1006),$AN$1006:$BO$1006,0)), HYPERLINK("#",""), HYPERLINK(CONCATENATE("#Metadata!", ADDRESS(INDEX($AI$2:$AI$1001,MATCH(ROWS($AG$2:AG295),$AG$2:$AG$1001,0),0), INDEX($AN$1004:$BO$1004,1,MATCH(COLUMNS($AN$1006:BE1006),$AN$1006:$BO$1006,0)))),"Fix")))</f>
        <v>0</v>
      </c>
      <c r="T295" s="4">
        <f>IF(OR(INDEX($AH$2:$AH$1001,MATCH(ROWS($AG$2:AG295),$AG$2:$AG$1001,0),1)&gt;=100000,INDEX($AN$1005:$BO$1005,1,MATCH(COLUMNS($AN$1006:BF1006),$AN$1006:$BO$1006,0))&gt;=100000), " ",IF(INDEX($AN$2:$BO$1001,MATCH(ROWS($AG$2:AG295),$AG$2:$AG$1001,0),MATCH(COLUMNS($AN$1006:BF1006),$AN$1006:$BO$1006,0)), HYPERLINK("#",""), HYPERLINK(CONCATENATE("#Metadata!", ADDRESS(INDEX($AI$2:$AI$1001,MATCH(ROWS($AG$2:AG295),$AG$2:$AG$1001,0),0), INDEX($AN$1004:$BO$1004,1,MATCH(COLUMNS($AN$1006:BF1006),$AN$1006:$BO$1006,0)))),"Fix")))</f>
        <v>0</v>
      </c>
      <c r="U295" s="4">
        <f>IF(OR(INDEX($AH$2:$AH$1001,MATCH(ROWS($AG$2:AG295),$AG$2:$AG$1001,0),1)&gt;=100000,INDEX($AN$1005:$BO$1005,1,MATCH(COLUMNS($AN$1006:BG1006),$AN$1006:$BO$1006,0))&gt;=100000), " ",IF(INDEX($AN$2:$BO$1001,MATCH(ROWS($AG$2:AG295),$AG$2:$AG$1001,0),MATCH(COLUMNS($AN$1006:BG1006),$AN$1006:$BO$1006,0)), HYPERLINK("#",""), HYPERLINK(CONCATENATE("#Metadata!", ADDRESS(INDEX($AI$2:$AI$1001,MATCH(ROWS($AG$2:AG295),$AG$2:$AG$1001,0),0), INDEX($AN$1004:$BO$1004,1,MATCH(COLUMNS($AN$1006:BG1006),$AN$1006:$BO$1006,0)))),"Fix")))</f>
        <v>0</v>
      </c>
      <c r="V295" s="4">
        <f>IF(OR(INDEX($AH$2:$AH$1001,MATCH(ROWS($AG$2:AG295),$AG$2:$AG$1001,0),1)&gt;=100000,INDEX($AN$1005:$BO$1005,1,MATCH(COLUMNS($AN$1006:BH1006),$AN$1006:$BO$1006,0))&gt;=100000), " ",IF(INDEX($AN$2:$BO$1001,MATCH(ROWS($AG$2:AG295),$AG$2:$AG$1001,0),MATCH(COLUMNS($AN$1006:BH1006),$AN$1006:$BO$1006,0)), HYPERLINK("#",""), HYPERLINK(CONCATENATE("#Metadata!", ADDRESS(INDEX($AI$2:$AI$1001,MATCH(ROWS($AG$2:AG295),$AG$2:$AG$1001,0),0), INDEX($AN$1004:$BO$1004,1,MATCH(COLUMNS($AN$1006:BH1006),$AN$1006:$BO$1006,0)))),"Fix")))</f>
        <v>0</v>
      </c>
      <c r="W295" s="4">
        <f>IF(OR(INDEX($AH$2:$AH$1001,MATCH(ROWS($AG$2:AG295),$AG$2:$AG$1001,0),1)&gt;=100000,INDEX($AN$1005:$BO$1005,1,MATCH(COLUMNS($AN$1006:BI1006),$AN$1006:$BO$1006,0))&gt;=100000), " ",IF(INDEX($AN$2:$BO$1001,MATCH(ROWS($AG$2:AG295),$AG$2:$AG$1001,0),MATCH(COLUMNS($AN$1006:BI1006),$AN$1006:$BO$1006,0)), HYPERLINK("#",""), HYPERLINK(CONCATENATE("#Metadata!", ADDRESS(INDEX($AI$2:$AI$1001,MATCH(ROWS($AG$2:AG295),$AG$2:$AG$1001,0),0), INDEX($AN$1004:$BO$1004,1,MATCH(COLUMNS($AN$1006:BI1006),$AN$1006:$BO$1006,0)))),"Fix")))</f>
        <v>0</v>
      </c>
      <c r="X295" s="4">
        <f>IF(OR(INDEX($AH$2:$AH$1001,MATCH(ROWS($AG$2:AG295),$AG$2:$AG$1001,0),1)&gt;=100000,INDEX($AN$1005:$BO$1005,1,MATCH(COLUMNS($AN$1006:BJ1006),$AN$1006:$BO$1006,0))&gt;=100000), " ",IF(INDEX($AN$2:$BO$1001,MATCH(ROWS($AG$2:AG295),$AG$2:$AG$1001,0),MATCH(COLUMNS($AN$1006:BJ1006),$AN$1006:$BO$1006,0)), HYPERLINK("#",""), HYPERLINK(CONCATENATE("#Metadata!", ADDRESS(INDEX($AI$2:$AI$1001,MATCH(ROWS($AG$2:AG295),$AG$2:$AG$1001,0),0), INDEX($AN$1004:$BO$1004,1,MATCH(COLUMNS($AN$1006:BJ1006),$AN$1006:$BO$1006,0)))),"Fix")))</f>
        <v>0</v>
      </c>
      <c r="Y295" s="4">
        <f>IF(OR(INDEX($AH$2:$AH$1001,MATCH(ROWS($AG$2:AG295),$AG$2:$AG$1001,0),1)&gt;=100000,INDEX($AN$1005:$BO$1005,1,MATCH(COLUMNS($AN$1006:BK1006),$AN$1006:$BO$1006,0))&gt;=100000), " ",IF(INDEX($AN$2:$BO$1001,MATCH(ROWS($AG$2:AG295),$AG$2:$AG$1001,0),MATCH(COLUMNS($AN$1006:BK1006),$AN$1006:$BO$1006,0)), HYPERLINK("#",""), HYPERLINK(CONCATENATE("#Metadata!", ADDRESS(INDEX($AI$2:$AI$1001,MATCH(ROWS($AG$2:AG295),$AG$2:$AG$1001,0),0), INDEX($AN$1004:$BO$1004,1,MATCH(COLUMNS($AN$1006:BK1006),$AN$1006:$BO$1006,0)))),"Fix")))</f>
        <v>0</v>
      </c>
      <c r="Z295" s="4">
        <f>IF(OR(INDEX($AH$2:$AH$1001,MATCH(ROWS($AG$2:AG295),$AG$2:$AG$1001,0),1)&gt;=100000,INDEX($AN$1005:$BO$1005,1,MATCH(COLUMNS($AN$1006:BL1006),$AN$1006:$BO$1006,0))&gt;=100000), " ",IF(INDEX($AN$2:$BO$1001,MATCH(ROWS($AG$2:AG295),$AG$2:$AG$1001,0),MATCH(COLUMNS($AN$1006:BL1006),$AN$1006:$BO$1006,0)), HYPERLINK("#",""), HYPERLINK(CONCATENATE("#Metadata!", ADDRESS(INDEX($AI$2:$AI$1001,MATCH(ROWS($AG$2:AG295),$AG$2:$AG$1001,0),0), INDEX($AN$1004:$BO$1004,1,MATCH(COLUMNS($AN$1006:BL1006),$AN$1006:$BO$1006,0)))),"Fix")))</f>
        <v>0</v>
      </c>
      <c r="AA295" s="4">
        <f>IF(OR(INDEX($AH$2:$AH$1001,MATCH(ROWS($AG$2:AG295),$AG$2:$AG$1001,0),1)&gt;=100000,INDEX($AN$1005:$BO$1005,1,MATCH(COLUMNS($AN$1006:BM1006),$AN$1006:$BO$1006,0))&gt;=100000), " ",IF(INDEX($AN$2:$BO$1001,MATCH(ROWS($AG$2:AG295),$AG$2:$AG$1001,0),MATCH(COLUMNS($AN$1006:BM1006),$AN$1006:$BO$1006,0)), HYPERLINK("#",""), HYPERLINK(CONCATENATE("#Metadata!", ADDRESS(INDEX($AI$2:$AI$1001,MATCH(ROWS($AG$2:AG295),$AG$2:$AG$1001,0),0), INDEX($AN$1004:$BO$1004,1,MATCH(COLUMNS($AN$1006:BM1006),$AN$1006:$BO$1006,0)))),"Fix")))</f>
        <v>0</v>
      </c>
      <c r="AB295" s="4">
        <f>IF(OR(INDEX($AH$2:$AH$1001,MATCH(ROWS($AG$2:AG295),$AG$2:$AG$1001,0),1)&gt;=100000,INDEX($AN$1005:$BO$1005,1,MATCH(COLUMNS($AN$1006:BN1006),$AN$1006:$BO$1006,0))&gt;=100000), " ",IF(INDEX($AN$2:$BO$1001,MATCH(ROWS($AG$2:AG295),$AG$2:$AG$1001,0),MATCH(COLUMNS($AN$1006:BN1006),$AN$1006:$BO$1006,0)), HYPERLINK("#",""), HYPERLINK(CONCATENATE("#Metadata!", ADDRESS(INDEX($AI$2:$AI$1001,MATCH(ROWS($AG$2:AG295),$AG$2:$AG$1001,0),0), INDEX($AN$1004:$BO$1004,1,MATCH(COLUMNS($AN$1006:BN1006),$AN$1006:$BO$1006,0)))),"Fix")))</f>
        <v>0</v>
      </c>
      <c r="AC295" s="4">
        <f>IF(OR(INDEX($AH$2:$AH$1001,MATCH(ROWS($AG$2:AG295),$AG$2:$AG$1001,0),1)&gt;=100000,INDEX($AN$1005:$BO$1005,1,MATCH(COLUMNS($AN$1006:BO1006),$AN$1006:$BO$1006,0))&gt;=100000), " ",IF(INDEX($AN$2:$BO$1001,MATCH(ROWS($AG$2:AG295),$AG$2:$AG$1001,0),MATCH(COLUMNS($AN$1006:BO1006),$AN$1006:$BO$1006,0)), HYPERLINK("#",""), HYPERLINK(CONCATENATE("#Metadata!", ADDRESS(INDEX($AI$2:$AI$1001,MATCH(ROWS($AG$2:AG295),$AG$2:$AG$1001,0),0), INDEX($AN$1004:$BO$1004,1,MATCH(COLUMNS($AN$1006:BO1006),$AN$1006:$BO$1006,0)))),"Fix")))</f>
        <v>0</v>
      </c>
      <c r="AG295">
        <v>0</v>
      </c>
      <c r="AH295">
        <v>0</v>
      </c>
      <c r="AI295">
        <v>0</v>
      </c>
      <c r="AJ295">
        <f>IF(AK295,TRUE,AND(AN295:BO295))</f>
        <v>0</v>
      </c>
      <c r="AK295">
        <f>COUNTBLANK(Metadata!B295:AC295)=COLUMNS(Metadata!B295:AC295)</f>
        <v>0</v>
      </c>
      <c r="AL295">
        <v>0</v>
      </c>
      <c r="AN295">
        <f>AND(IF(Metadata!B295="",FALSE,TRUE),COUNTIF(Metadata!B:B, Metadata!B295) = 1,NOT(ISERROR(SUMPRODUCT(SEARCH(MID(Metadata!B295,ROW(INDIRECT("1:"&amp;LEN(Metadata!B295))), 1),"0123456789abcdefghijklmnopqrstuvwxyzABCDEFGHIJKLMNOPQRSTUVWXYZ.")))))</f>
        <v>0</v>
      </c>
      <c r="AO295">
        <f>IF(Metadata!C295="",FALSE,TRUE)</f>
        <v>0</v>
      </c>
      <c r="AP295">
        <f>IF(Metadata!D295="",FALSE,TRUE)</f>
        <v>0</v>
      </c>
      <c r="AQ295">
        <f>OR(AND(IF(Metadata!E295="",FALSE,TRUE),OR(exact(Metadata!E295,"not collected"),exact(Metadata!E295,"not provided"),exact(Metadata!E295,"restricted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R295">
        <f>IF(Metadata!F295="",FALSE,TRUE)</f>
        <v>0</v>
      </c>
      <c r="AS295">
        <f>OR(AND(IF(Metadata!G295="",FALSE,TRUE),OR(exact(Metadata!G295,"not collected"),exact(Metadata!G295,"not provided"))),AND(IF(Metadata!G295="",FALSE,TRUE),OR(exact(Metadata!G295,"TRUE"),exact(Metadata!G295,"FALSE"))))</f>
        <v>0</v>
      </c>
      <c r="AT295">
        <f>OR(AND(IF(Metadata!H295="",FALSE,TRUE),OR(exact(Metadata!H295,"not collected"),exact(Metadata!H295,"not provided"),exact(Metadata!H295,"restricted access"))),AND(IF(Metadata!H295="",FALSE,ISNUMBER(VALUE(Metadata!H295))),Metadata!H295&gt;=-413.0))</f>
        <v>0</v>
      </c>
      <c r="AU295">
        <f>AND(IF(Metadata!I295="",FALSE,TRUE),exact(Metadata!I295,"meters"))</f>
        <v>0</v>
      </c>
      <c r="AV295">
        <f>AND(IF(Metadata!J295="",FALSE,TRUE),OR(exact(Metadata!J295,"Host-associated"),exact(Metadata!J295,"Free-living")))</f>
        <v>0</v>
      </c>
      <c r="AW295">
        <f>AND(IF(Metadata!K295="",FALSE,TRUE),OR(exact(Metadata!K295,"Animal"),exact(Metadata!K295,"Fungus"),exact(Metadata!K295,"Plant"),exact(Metadata!K295,"Saline"),exact(Metadata!K295,"Non-saline")))</f>
        <v>0</v>
      </c>
      <c r="AX295">
        <f>AND(IF(Metadata!L295="",FALSE,TRUE),OR(exact(Metadata!L295,"Plant secretion"),exact(Metadata!L295,"Plant rhizosphere"),exact(Metadata!L295,"Plant surface"),exact(Metadata!L295,"Plant corpus"),exact(Metadata!L295,"Fungus surface"),exact(Metadata!L295,"Fungus corpus"),exact(Metadata!L295,"Animal surface"),exact(Metadata!L295,"Animal proximal gut"),exact(Metadata!L295,"Animal corpus"),exact(Metadata!L295,"Animal distal gut"),exact(Metadata!L295,"Animal secretion"),exact(Metadata!L295,"Sub-surface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Y295">
        <f>IF(Metadata!M295="",FALSE,TRUE)</f>
        <v>0</v>
      </c>
      <c r="AZ295">
        <f>IF(Metadata!N295="",FALSE,TRUE)</f>
        <v>0</v>
      </c>
      <c r="BA295">
        <f>IF(Metadata!O295="",FALSE,TRUE)</f>
        <v>0</v>
      </c>
      <c r="BB295">
        <f>OR(AND(IF(Metadata!P295="",FALSE,TRUE),OR(exact(Metadata!P295,"not collected"),exact(Metadata!P295,"not provided"),exact(Metadata!P295,"restricted access"))),AND(IF(Metadata!P295="",FALSE,TRUE),OR(exact(Metadata!P295,"air"),exact(Metadata!P295,"built environment"),exact(Metadata!P295,"host-associated"),exact(Metadata!P295,"human-associated"),exact(Metadata!P295,"human-skin"),exact(Metadata!P295,"human-oral"),exact(Metadata!P295,"human-gut"),exact(Metadata!P295,"human-vaginal"),exact(Metadata!P295,"microbial mat/biofilm"),exact(Metadata!P295,"misc environment"),exact(Metadata!P295,"plant-associated"),exact(Metadata!P295,"sediment"),exact(Metadata!P295,"soil"),exact(Metadata!P295,"wastewater/sludge"),exact(Metadata!P295,"water"))))</f>
        <v>0</v>
      </c>
      <c r="BC295">
        <f>IF(Metadata!Q295="",FALSE,TRUE)</f>
        <v>0</v>
      </c>
      <c r="BD295">
        <f>IF(Metadata!R295="",FALSE,TRUE)</f>
        <v>0</v>
      </c>
      <c r="BE295">
        <f>OR(AND(IF(Metadata!S295="",FALSE,TRUE),OR(exact(Metadata!S295,"not collected"),exact(Metadata!S295,"not provided"),exact(Metadata!S295,"restricted access"))),AND(IF(Metadata!S295="",FALSE,ISNUMBER(VALUE(Metadata!S295))),Metadata!S295&gt;=-90.00,Metadata!S295&lt;=90.00))</f>
        <v>0</v>
      </c>
      <c r="BF295">
        <f>AND(IF(Metadata!T295="",FALSE,TRUE),exact(Metadata!T295,"Decimal degrees"))</f>
        <v>0</v>
      </c>
      <c r="BG295">
        <f>OR(AND(IF(Metadata!U295="",FALSE,TRUE),OR(exact(Metadata!U295,"not collected"),exact(Metadata!U295,"not provided"),exact(Metadata!U295,"restricted access"))),AND(IF(Metadata!U295="",FALSE,ISNUMBER(VALUE(Metadata!U295))),Metadata!U295&gt;=-180.00,Metadata!U295&lt;=180.00))</f>
        <v>0</v>
      </c>
      <c r="BH295">
        <f>AND(IF(Metadata!V295="",FALSE,TRUE),exact(Metadata!V295,"Decimal degrees"))</f>
        <v>0</v>
      </c>
      <c r="BI295">
        <f>IF(Metadata!W295="",FALSE,TRUE)</f>
        <v>0</v>
      </c>
      <c r="BJ295">
        <f>OR(AND(IF(Metadata!X295="",FALSE,TRUE),OR(exact(Metadata!X295,"not collected"),exact(Metadata!X295,"not provided"),exact(Metadata!X295,"restricted access"))),AND(IF(Metadata!X295="",FALSE,TRUE),OR(exact(Metadata!X295,"TRUE"),exact(Metadata!X295,"FALSE"))))</f>
        <v>0</v>
      </c>
      <c r="BK295">
        <f>AND(IF(Metadata!Y295="",FALSE,TRUE),exact(Metadata!Y295,"other"))</f>
        <v>0</v>
      </c>
      <c r="BL295">
        <f>IF(Metadata!Z295="",FALSE,TRUE)</f>
        <v>0</v>
      </c>
      <c r="BM295">
        <f>OR(AND(IF(Metadata!AA295="",FALSE,TRUE),OR(exact(Metadata!AA295,"not collected"),exact(Metadata!AA295,"not provided"))),AND(IF(Metadata!AA295="",FALSE,IF(ISERROR(INT(Metadata!AA295)),FALSE,INT(Metadata!AA295)=Metadata!AA295)),Metadata!AA295&gt;0))</f>
        <v>0</v>
      </c>
      <c r="BN295">
        <f>AND(IF(Metadata!AB295="",FALSE,TRUE),exact(Metadata!AB295,"Not applicable"))</f>
        <v>0</v>
      </c>
      <c r="BO295">
        <f>IF(Metadata!AC295="",FALSE,TRUE)</f>
        <v>0</v>
      </c>
    </row>
    <row r="296" spans="1:67">
      <c r="A296" s="5">
        <f>IF(B296=" "," ",HYPERLINK(CONCATENATE("#metadata!",ADDRESS(INDEX($AI$2:$AI$1001,MATCH(ROWS($AG$2:AG296),$AG$2:$AG$1001,0),0),1)),INDEX($AL$2:$AL$1001,MATCH(ROWS($AG$2:AG296),$AG$2:$AG$1001,0),0)))</f>
        <v>0</v>
      </c>
      <c r="B296" s="4">
        <f>IF(OR(INDEX($AH$2:$AH$1001,MATCH(ROWS($AG$2:AG296),$AG$2:$AG$1001,0),1)&gt;=100000,INDEX($AN$1005:$BO$1005,1,MATCH(COLUMNS($AN$1006:AN1006),$AN$1006:$BO$1006,0))&gt;=100000), " ",IF(INDEX($AN$2:$BO$1001,MATCH(ROWS($AG$2:AG296),$AG$2:$AG$1001,0),MATCH(COLUMNS($AN$1006:AN1006),$AN$1006:$BO$1006,0)), HYPERLINK("#",""), HYPERLINK(CONCATENATE("#Metadata!", ADDRESS(INDEX($AI$2:$AI$1001,MATCH(ROWS($AG$2:AG296),$AG$2:$AG$1001,0),0), INDEX($AN$1004:$BO$1004,1,MATCH(COLUMNS($AN$1006:AN1006),$AN$1006:$BO$1006,0)))),"Fix")))</f>
        <v>0</v>
      </c>
      <c r="C296" s="4">
        <f>IF(OR(INDEX($AH$2:$AH$1001,MATCH(ROWS($AG$2:AG296),$AG$2:$AG$1001,0),1)&gt;=100000,INDEX($AN$1005:$BO$1005,1,MATCH(COLUMNS($AN$1006:AO1006),$AN$1006:$BO$1006,0))&gt;=100000), " ",IF(INDEX($AN$2:$BO$1001,MATCH(ROWS($AG$2:AG296),$AG$2:$AG$1001,0),MATCH(COLUMNS($AN$1006:AO1006),$AN$1006:$BO$1006,0)), HYPERLINK("#",""), HYPERLINK(CONCATENATE("#Metadata!", ADDRESS(INDEX($AI$2:$AI$1001,MATCH(ROWS($AG$2:AG296),$AG$2:$AG$1001,0),0), INDEX($AN$1004:$BO$1004,1,MATCH(COLUMNS($AN$1006:AO1006),$AN$1006:$BO$1006,0)))),"Fix")))</f>
        <v>0</v>
      </c>
      <c r="D296" s="4">
        <f>IF(OR(INDEX($AH$2:$AH$1001,MATCH(ROWS($AG$2:AG296),$AG$2:$AG$1001,0),1)&gt;=100000,INDEX($AN$1005:$BO$1005,1,MATCH(COLUMNS($AN$1006:AP1006),$AN$1006:$BO$1006,0))&gt;=100000), " ",IF(INDEX($AN$2:$BO$1001,MATCH(ROWS($AG$2:AG296),$AG$2:$AG$1001,0),MATCH(COLUMNS($AN$1006:AP1006),$AN$1006:$BO$1006,0)), HYPERLINK("#",""), HYPERLINK(CONCATENATE("#Metadata!", ADDRESS(INDEX($AI$2:$AI$1001,MATCH(ROWS($AG$2:AG296),$AG$2:$AG$1001,0),0), INDEX($AN$1004:$BO$1004,1,MATCH(COLUMNS($AN$1006:AP1006),$AN$1006:$BO$1006,0)))),"Fix")))</f>
        <v>0</v>
      </c>
      <c r="E296" s="4">
        <f>IF(OR(INDEX($AH$2:$AH$1001,MATCH(ROWS($AG$2:AG296),$AG$2:$AG$1001,0),1)&gt;=100000,INDEX($AN$1005:$BO$1005,1,MATCH(COLUMNS($AN$1006:AQ1006),$AN$1006:$BO$1006,0))&gt;=100000), " ",IF(INDEX($AN$2:$BO$1001,MATCH(ROWS($AG$2:AG296),$AG$2:$AG$1001,0),MATCH(COLUMNS($AN$1006:AQ1006),$AN$1006:$BO$1006,0)), HYPERLINK("#",""), HYPERLINK(CONCATENATE("#Metadata!", ADDRESS(INDEX($AI$2:$AI$1001,MATCH(ROWS($AG$2:AG296),$AG$2:$AG$1001,0),0), INDEX($AN$1004:$BO$1004,1,MATCH(COLUMNS($AN$1006:AQ1006),$AN$1006:$BO$1006,0)))),"Fix")))</f>
        <v>0</v>
      </c>
      <c r="F296" s="4">
        <f>IF(OR(INDEX($AH$2:$AH$1001,MATCH(ROWS($AG$2:AG296),$AG$2:$AG$1001,0),1)&gt;=100000,INDEX($AN$1005:$BO$1005,1,MATCH(COLUMNS($AN$1006:AR1006),$AN$1006:$BO$1006,0))&gt;=100000), " ",IF(INDEX($AN$2:$BO$1001,MATCH(ROWS($AG$2:AG296),$AG$2:$AG$1001,0),MATCH(COLUMNS($AN$1006:AR1006),$AN$1006:$BO$1006,0)), HYPERLINK("#",""), HYPERLINK(CONCATENATE("#Metadata!", ADDRESS(INDEX($AI$2:$AI$1001,MATCH(ROWS($AG$2:AG296),$AG$2:$AG$1001,0),0), INDEX($AN$1004:$BO$1004,1,MATCH(COLUMNS($AN$1006:AR1006),$AN$1006:$BO$1006,0)))),"Fix")))</f>
        <v>0</v>
      </c>
      <c r="G296" s="4">
        <f>IF(OR(INDEX($AH$2:$AH$1001,MATCH(ROWS($AG$2:AG296),$AG$2:$AG$1001,0),1)&gt;=100000,INDEX($AN$1005:$BO$1005,1,MATCH(COLUMNS($AN$1006:AS1006),$AN$1006:$BO$1006,0))&gt;=100000), " ",IF(INDEX($AN$2:$BO$1001,MATCH(ROWS($AG$2:AG296),$AG$2:$AG$1001,0),MATCH(COLUMNS($AN$1006:AS1006),$AN$1006:$BO$1006,0)), HYPERLINK("#",""), HYPERLINK(CONCATENATE("#Metadata!", ADDRESS(INDEX($AI$2:$AI$1001,MATCH(ROWS($AG$2:AG296),$AG$2:$AG$1001,0),0), INDEX($AN$1004:$BO$1004,1,MATCH(COLUMNS($AN$1006:AS1006),$AN$1006:$BO$1006,0)))),"Fix")))</f>
        <v>0</v>
      </c>
      <c r="H296" s="4">
        <f>IF(OR(INDEX($AH$2:$AH$1001,MATCH(ROWS($AG$2:AG296),$AG$2:$AG$1001,0),1)&gt;=100000,INDEX($AN$1005:$BO$1005,1,MATCH(COLUMNS($AN$1006:AT1006),$AN$1006:$BO$1006,0))&gt;=100000), " ",IF(INDEX($AN$2:$BO$1001,MATCH(ROWS($AG$2:AG296),$AG$2:$AG$1001,0),MATCH(COLUMNS($AN$1006:AT1006),$AN$1006:$BO$1006,0)), HYPERLINK("#",""), HYPERLINK(CONCATENATE("#Metadata!", ADDRESS(INDEX($AI$2:$AI$1001,MATCH(ROWS($AG$2:AG296),$AG$2:$AG$1001,0),0), INDEX($AN$1004:$BO$1004,1,MATCH(COLUMNS($AN$1006:AT1006),$AN$1006:$BO$1006,0)))),"Fix")))</f>
        <v>0</v>
      </c>
      <c r="I296" s="4">
        <f>IF(OR(INDEX($AH$2:$AH$1001,MATCH(ROWS($AG$2:AG296),$AG$2:$AG$1001,0),1)&gt;=100000,INDEX($AN$1005:$BO$1005,1,MATCH(COLUMNS($AN$1006:AU1006),$AN$1006:$BO$1006,0))&gt;=100000), " ",IF(INDEX($AN$2:$BO$1001,MATCH(ROWS($AG$2:AG296),$AG$2:$AG$1001,0),MATCH(COLUMNS($AN$1006:AU1006),$AN$1006:$BO$1006,0)), HYPERLINK("#",""), HYPERLINK(CONCATENATE("#Metadata!", ADDRESS(INDEX($AI$2:$AI$1001,MATCH(ROWS($AG$2:AG296),$AG$2:$AG$1001,0),0), INDEX($AN$1004:$BO$1004,1,MATCH(COLUMNS($AN$1006:AU1006),$AN$1006:$BO$1006,0)))),"Fix")))</f>
        <v>0</v>
      </c>
      <c r="J296" s="4">
        <f>IF(OR(INDEX($AH$2:$AH$1001,MATCH(ROWS($AG$2:AG296),$AG$2:$AG$1001,0),1)&gt;=100000,INDEX($AN$1005:$BO$1005,1,MATCH(COLUMNS($AN$1006:AV1006),$AN$1006:$BO$1006,0))&gt;=100000), " ",IF(INDEX($AN$2:$BO$1001,MATCH(ROWS($AG$2:AG296),$AG$2:$AG$1001,0),MATCH(COLUMNS($AN$1006:AV1006),$AN$1006:$BO$1006,0)), HYPERLINK("#",""), HYPERLINK(CONCATENATE("#Metadata!", ADDRESS(INDEX($AI$2:$AI$1001,MATCH(ROWS($AG$2:AG296),$AG$2:$AG$1001,0),0), INDEX($AN$1004:$BO$1004,1,MATCH(COLUMNS($AN$1006:AV1006),$AN$1006:$BO$1006,0)))),"Fix")))</f>
        <v>0</v>
      </c>
      <c r="K296" s="4">
        <f>IF(OR(INDEX($AH$2:$AH$1001,MATCH(ROWS($AG$2:AG296),$AG$2:$AG$1001,0),1)&gt;=100000,INDEX($AN$1005:$BO$1005,1,MATCH(COLUMNS($AN$1006:AW1006),$AN$1006:$BO$1006,0))&gt;=100000), " ",IF(INDEX($AN$2:$BO$1001,MATCH(ROWS($AG$2:AG296),$AG$2:$AG$1001,0),MATCH(COLUMNS($AN$1006:AW1006),$AN$1006:$BO$1006,0)), HYPERLINK("#",""), HYPERLINK(CONCATENATE("#Metadata!", ADDRESS(INDEX($AI$2:$AI$1001,MATCH(ROWS($AG$2:AG296),$AG$2:$AG$1001,0),0), INDEX($AN$1004:$BO$1004,1,MATCH(COLUMNS($AN$1006:AW1006),$AN$1006:$BO$1006,0)))),"Fix")))</f>
        <v>0</v>
      </c>
      <c r="L296" s="4">
        <f>IF(OR(INDEX($AH$2:$AH$1001,MATCH(ROWS($AG$2:AG296),$AG$2:$AG$1001,0),1)&gt;=100000,INDEX($AN$1005:$BO$1005,1,MATCH(COLUMNS($AN$1006:AX1006),$AN$1006:$BO$1006,0))&gt;=100000), " ",IF(INDEX($AN$2:$BO$1001,MATCH(ROWS($AG$2:AG296),$AG$2:$AG$1001,0),MATCH(COLUMNS($AN$1006:AX1006),$AN$1006:$BO$1006,0)), HYPERLINK("#",""), HYPERLINK(CONCATENATE("#Metadata!", ADDRESS(INDEX($AI$2:$AI$1001,MATCH(ROWS($AG$2:AG296),$AG$2:$AG$1001,0),0), INDEX($AN$1004:$BO$1004,1,MATCH(COLUMNS($AN$1006:AX1006),$AN$1006:$BO$1006,0)))),"Fix")))</f>
        <v>0</v>
      </c>
      <c r="M296" s="4">
        <f>IF(OR(INDEX($AH$2:$AH$1001,MATCH(ROWS($AG$2:AG296),$AG$2:$AG$1001,0),1)&gt;=100000,INDEX($AN$1005:$BO$1005,1,MATCH(COLUMNS($AN$1006:AY1006),$AN$1006:$BO$1006,0))&gt;=100000), " ",IF(INDEX($AN$2:$BO$1001,MATCH(ROWS($AG$2:AG296),$AG$2:$AG$1001,0),MATCH(COLUMNS($AN$1006:AY1006),$AN$1006:$BO$1006,0)), HYPERLINK("#",""), HYPERLINK(CONCATENATE("#Metadata!", ADDRESS(INDEX($AI$2:$AI$1001,MATCH(ROWS($AG$2:AG296),$AG$2:$AG$1001,0),0), INDEX($AN$1004:$BO$1004,1,MATCH(COLUMNS($AN$1006:AY1006),$AN$1006:$BO$1006,0)))),"Fix")))</f>
        <v>0</v>
      </c>
      <c r="N296" s="4">
        <f>IF(OR(INDEX($AH$2:$AH$1001,MATCH(ROWS($AG$2:AG296),$AG$2:$AG$1001,0),1)&gt;=100000,INDEX($AN$1005:$BO$1005,1,MATCH(COLUMNS($AN$1006:AZ1006),$AN$1006:$BO$1006,0))&gt;=100000), " ",IF(INDEX($AN$2:$BO$1001,MATCH(ROWS($AG$2:AG296),$AG$2:$AG$1001,0),MATCH(COLUMNS($AN$1006:AZ1006),$AN$1006:$BO$1006,0)), HYPERLINK("#",""), HYPERLINK(CONCATENATE("#Metadata!", ADDRESS(INDEX($AI$2:$AI$1001,MATCH(ROWS($AG$2:AG296),$AG$2:$AG$1001,0),0), INDEX($AN$1004:$BO$1004,1,MATCH(COLUMNS($AN$1006:AZ1006),$AN$1006:$BO$1006,0)))),"Fix")))</f>
        <v>0</v>
      </c>
      <c r="O296" s="4">
        <f>IF(OR(INDEX($AH$2:$AH$1001,MATCH(ROWS($AG$2:AG296),$AG$2:$AG$1001,0),1)&gt;=100000,INDEX($AN$1005:$BO$1005,1,MATCH(COLUMNS($AN$1006:BA1006),$AN$1006:$BO$1006,0))&gt;=100000), " ",IF(INDEX($AN$2:$BO$1001,MATCH(ROWS($AG$2:AG296),$AG$2:$AG$1001,0),MATCH(COLUMNS($AN$1006:BA1006),$AN$1006:$BO$1006,0)), HYPERLINK("#",""), HYPERLINK(CONCATENATE("#Metadata!", ADDRESS(INDEX($AI$2:$AI$1001,MATCH(ROWS($AG$2:AG296),$AG$2:$AG$1001,0),0), INDEX($AN$1004:$BO$1004,1,MATCH(COLUMNS($AN$1006:BA1006),$AN$1006:$BO$1006,0)))),"Fix")))</f>
        <v>0</v>
      </c>
      <c r="P296" s="4">
        <f>IF(OR(INDEX($AH$2:$AH$1001,MATCH(ROWS($AG$2:AG296),$AG$2:$AG$1001,0),1)&gt;=100000,INDEX($AN$1005:$BO$1005,1,MATCH(COLUMNS($AN$1006:BB1006),$AN$1006:$BO$1006,0))&gt;=100000), " ",IF(INDEX($AN$2:$BO$1001,MATCH(ROWS($AG$2:AG296),$AG$2:$AG$1001,0),MATCH(COLUMNS($AN$1006:BB1006),$AN$1006:$BO$1006,0)), HYPERLINK("#",""), HYPERLINK(CONCATENATE("#Metadata!", ADDRESS(INDEX($AI$2:$AI$1001,MATCH(ROWS($AG$2:AG296),$AG$2:$AG$1001,0),0), INDEX($AN$1004:$BO$1004,1,MATCH(COLUMNS($AN$1006:BB1006),$AN$1006:$BO$1006,0)))),"Fix")))</f>
        <v>0</v>
      </c>
      <c r="Q296" s="4">
        <f>IF(OR(INDEX($AH$2:$AH$1001,MATCH(ROWS($AG$2:AG296),$AG$2:$AG$1001,0),1)&gt;=100000,INDEX($AN$1005:$BO$1005,1,MATCH(COLUMNS($AN$1006:BC1006),$AN$1006:$BO$1006,0))&gt;=100000), " ",IF(INDEX($AN$2:$BO$1001,MATCH(ROWS($AG$2:AG296),$AG$2:$AG$1001,0),MATCH(COLUMNS($AN$1006:BC1006),$AN$1006:$BO$1006,0)), HYPERLINK("#",""), HYPERLINK(CONCATENATE("#Metadata!", ADDRESS(INDEX($AI$2:$AI$1001,MATCH(ROWS($AG$2:AG296),$AG$2:$AG$1001,0),0), INDEX($AN$1004:$BO$1004,1,MATCH(COLUMNS($AN$1006:BC1006),$AN$1006:$BO$1006,0)))),"Fix")))</f>
        <v>0</v>
      </c>
      <c r="R296" s="4">
        <f>IF(OR(INDEX($AH$2:$AH$1001,MATCH(ROWS($AG$2:AG296),$AG$2:$AG$1001,0),1)&gt;=100000,INDEX($AN$1005:$BO$1005,1,MATCH(COLUMNS($AN$1006:BD1006),$AN$1006:$BO$1006,0))&gt;=100000), " ",IF(INDEX($AN$2:$BO$1001,MATCH(ROWS($AG$2:AG296),$AG$2:$AG$1001,0),MATCH(COLUMNS($AN$1006:BD1006),$AN$1006:$BO$1006,0)), HYPERLINK("#",""), HYPERLINK(CONCATENATE("#Metadata!", ADDRESS(INDEX($AI$2:$AI$1001,MATCH(ROWS($AG$2:AG296),$AG$2:$AG$1001,0),0), INDEX($AN$1004:$BO$1004,1,MATCH(COLUMNS($AN$1006:BD1006),$AN$1006:$BO$1006,0)))),"Fix")))</f>
        <v>0</v>
      </c>
      <c r="S296" s="4">
        <f>IF(OR(INDEX($AH$2:$AH$1001,MATCH(ROWS($AG$2:AG296),$AG$2:$AG$1001,0),1)&gt;=100000,INDEX($AN$1005:$BO$1005,1,MATCH(COLUMNS($AN$1006:BE1006),$AN$1006:$BO$1006,0))&gt;=100000), " ",IF(INDEX($AN$2:$BO$1001,MATCH(ROWS($AG$2:AG296),$AG$2:$AG$1001,0),MATCH(COLUMNS($AN$1006:BE1006),$AN$1006:$BO$1006,0)), HYPERLINK("#",""), HYPERLINK(CONCATENATE("#Metadata!", ADDRESS(INDEX($AI$2:$AI$1001,MATCH(ROWS($AG$2:AG296),$AG$2:$AG$1001,0),0), INDEX($AN$1004:$BO$1004,1,MATCH(COLUMNS($AN$1006:BE1006),$AN$1006:$BO$1006,0)))),"Fix")))</f>
        <v>0</v>
      </c>
      <c r="T296" s="4">
        <f>IF(OR(INDEX($AH$2:$AH$1001,MATCH(ROWS($AG$2:AG296),$AG$2:$AG$1001,0),1)&gt;=100000,INDEX($AN$1005:$BO$1005,1,MATCH(COLUMNS($AN$1006:BF1006),$AN$1006:$BO$1006,0))&gt;=100000), " ",IF(INDEX($AN$2:$BO$1001,MATCH(ROWS($AG$2:AG296),$AG$2:$AG$1001,0),MATCH(COLUMNS($AN$1006:BF1006),$AN$1006:$BO$1006,0)), HYPERLINK("#",""), HYPERLINK(CONCATENATE("#Metadata!", ADDRESS(INDEX($AI$2:$AI$1001,MATCH(ROWS($AG$2:AG296),$AG$2:$AG$1001,0),0), INDEX($AN$1004:$BO$1004,1,MATCH(COLUMNS($AN$1006:BF1006),$AN$1006:$BO$1006,0)))),"Fix")))</f>
        <v>0</v>
      </c>
      <c r="U296" s="4">
        <f>IF(OR(INDEX($AH$2:$AH$1001,MATCH(ROWS($AG$2:AG296),$AG$2:$AG$1001,0),1)&gt;=100000,INDEX($AN$1005:$BO$1005,1,MATCH(COLUMNS($AN$1006:BG1006),$AN$1006:$BO$1006,0))&gt;=100000), " ",IF(INDEX($AN$2:$BO$1001,MATCH(ROWS($AG$2:AG296),$AG$2:$AG$1001,0),MATCH(COLUMNS($AN$1006:BG1006),$AN$1006:$BO$1006,0)), HYPERLINK("#",""), HYPERLINK(CONCATENATE("#Metadata!", ADDRESS(INDEX($AI$2:$AI$1001,MATCH(ROWS($AG$2:AG296),$AG$2:$AG$1001,0),0), INDEX($AN$1004:$BO$1004,1,MATCH(COLUMNS($AN$1006:BG1006),$AN$1006:$BO$1006,0)))),"Fix")))</f>
        <v>0</v>
      </c>
      <c r="V296" s="4">
        <f>IF(OR(INDEX($AH$2:$AH$1001,MATCH(ROWS($AG$2:AG296),$AG$2:$AG$1001,0),1)&gt;=100000,INDEX($AN$1005:$BO$1005,1,MATCH(COLUMNS($AN$1006:BH1006),$AN$1006:$BO$1006,0))&gt;=100000), " ",IF(INDEX($AN$2:$BO$1001,MATCH(ROWS($AG$2:AG296),$AG$2:$AG$1001,0),MATCH(COLUMNS($AN$1006:BH1006),$AN$1006:$BO$1006,0)), HYPERLINK("#",""), HYPERLINK(CONCATENATE("#Metadata!", ADDRESS(INDEX($AI$2:$AI$1001,MATCH(ROWS($AG$2:AG296),$AG$2:$AG$1001,0),0), INDEX($AN$1004:$BO$1004,1,MATCH(COLUMNS($AN$1006:BH1006),$AN$1006:$BO$1006,0)))),"Fix")))</f>
        <v>0</v>
      </c>
      <c r="W296" s="4">
        <f>IF(OR(INDEX($AH$2:$AH$1001,MATCH(ROWS($AG$2:AG296),$AG$2:$AG$1001,0),1)&gt;=100000,INDEX($AN$1005:$BO$1005,1,MATCH(COLUMNS($AN$1006:BI1006),$AN$1006:$BO$1006,0))&gt;=100000), " ",IF(INDEX($AN$2:$BO$1001,MATCH(ROWS($AG$2:AG296),$AG$2:$AG$1001,0),MATCH(COLUMNS($AN$1006:BI1006),$AN$1006:$BO$1006,0)), HYPERLINK("#",""), HYPERLINK(CONCATENATE("#Metadata!", ADDRESS(INDEX($AI$2:$AI$1001,MATCH(ROWS($AG$2:AG296),$AG$2:$AG$1001,0),0), INDEX($AN$1004:$BO$1004,1,MATCH(COLUMNS($AN$1006:BI1006),$AN$1006:$BO$1006,0)))),"Fix")))</f>
        <v>0</v>
      </c>
      <c r="X296" s="4">
        <f>IF(OR(INDEX($AH$2:$AH$1001,MATCH(ROWS($AG$2:AG296),$AG$2:$AG$1001,0),1)&gt;=100000,INDEX($AN$1005:$BO$1005,1,MATCH(COLUMNS($AN$1006:BJ1006),$AN$1006:$BO$1006,0))&gt;=100000), " ",IF(INDEX($AN$2:$BO$1001,MATCH(ROWS($AG$2:AG296),$AG$2:$AG$1001,0),MATCH(COLUMNS($AN$1006:BJ1006),$AN$1006:$BO$1006,0)), HYPERLINK("#",""), HYPERLINK(CONCATENATE("#Metadata!", ADDRESS(INDEX($AI$2:$AI$1001,MATCH(ROWS($AG$2:AG296),$AG$2:$AG$1001,0),0), INDEX($AN$1004:$BO$1004,1,MATCH(COLUMNS($AN$1006:BJ1006),$AN$1006:$BO$1006,0)))),"Fix")))</f>
        <v>0</v>
      </c>
      <c r="Y296" s="4">
        <f>IF(OR(INDEX($AH$2:$AH$1001,MATCH(ROWS($AG$2:AG296),$AG$2:$AG$1001,0),1)&gt;=100000,INDEX($AN$1005:$BO$1005,1,MATCH(COLUMNS($AN$1006:BK1006),$AN$1006:$BO$1006,0))&gt;=100000), " ",IF(INDEX($AN$2:$BO$1001,MATCH(ROWS($AG$2:AG296),$AG$2:$AG$1001,0),MATCH(COLUMNS($AN$1006:BK1006),$AN$1006:$BO$1006,0)), HYPERLINK("#",""), HYPERLINK(CONCATENATE("#Metadata!", ADDRESS(INDEX($AI$2:$AI$1001,MATCH(ROWS($AG$2:AG296),$AG$2:$AG$1001,0),0), INDEX($AN$1004:$BO$1004,1,MATCH(COLUMNS($AN$1006:BK1006),$AN$1006:$BO$1006,0)))),"Fix")))</f>
        <v>0</v>
      </c>
      <c r="Z296" s="4">
        <f>IF(OR(INDEX($AH$2:$AH$1001,MATCH(ROWS($AG$2:AG296),$AG$2:$AG$1001,0),1)&gt;=100000,INDEX($AN$1005:$BO$1005,1,MATCH(COLUMNS($AN$1006:BL1006),$AN$1006:$BO$1006,0))&gt;=100000), " ",IF(INDEX($AN$2:$BO$1001,MATCH(ROWS($AG$2:AG296),$AG$2:$AG$1001,0),MATCH(COLUMNS($AN$1006:BL1006),$AN$1006:$BO$1006,0)), HYPERLINK("#",""), HYPERLINK(CONCATENATE("#Metadata!", ADDRESS(INDEX($AI$2:$AI$1001,MATCH(ROWS($AG$2:AG296),$AG$2:$AG$1001,0),0), INDEX($AN$1004:$BO$1004,1,MATCH(COLUMNS($AN$1006:BL1006),$AN$1006:$BO$1006,0)))),"Fix")))</f>
        <v>0</v>
      </c>
      <c r="AA296" s="4">
        <f>IF(OR(INDEX($AH$2:$AH$1001,MATCH(ROWS($AG$2:AG296),$AG$2:$AG$1001,0),1)&gt;=100000,INDEX($AN$1005:$BO$1005,1,MATCH(COLUMNS($AN$1006:BM1006),$AN$1006:$BO$1006,0))&gt;=100000), " ",IF(INDEX($AN$2:$BO$1001,MATCH(ROWS($AG$2:AG296),$AG$2:$AG$1001,0),MATCH(COLUMNS($AN$1006:BM1006),$AN$1006:$BO$1006,0)), HYPERLINK("#",""), HYPERLINK(CONCATENATE("#Metadata!", ADDRESS(INDEX($AI$2:$AI$1001,MATCH(ROWS($AG$2:AG296),$AG$2:$AG$1001,0),0), INDEX($AN$1004:$BO$1004,1,MATCH(COLUMNS($AN$1006:BM1006),$AN$1006:$BO$1006,0)))),"Fix")))</f>
        <v>0</v>
      </c>
      <c r="AB296" s="4">
        <f>IF(OR(INDEX($AH$2:$AH$1001,MATCH(ROWS($AG$2:AG296),$AG$2:$AG$1001,0),1)&gt;=100000,INDEX($AN$1005:$BO$1005,1,MATCH(COLUMNS($AN$1006:BN1006),$AN$1006:$BO$1006,0))&gt;=100000), " ",IF(INDEX($AN$2:$BO$1001,MATCH(ROWS($AG$2:AG296),$AG$2:$AG$1001,0),MATCH(COLUMNS($AN$1006:BN1006),$AN$1006:$BO$1006,0)), HYPERLINK("#",""), HYPERLINK(CONCATENATE("#Metadata!", ADDRESS(INDEX($AI$2:$AI$1001,MATCH(ROWS($AG$2:AG296),$AG$2:$AG$1001,0),0), INDEX($AN$1004:$BO$1004,1,MATCH(COLUMNS($AN$1006:BN1006),$AN$1006:$BO$1006,0)))),"Fix")))</f>
        <v>0</v>
      </c>
      <c r="AC296" s="4">
        <f>IF(OR(INDEX($AH$2:$AH$1001,MATCH(ROWS($AG$2:AG296),$AG$2:$AG$1001,0),1)&gt;=100000,INDEX($AN$1005:$BO$1005,1,MATCH(COLUMNS($AN$1006:BO1006),$AN$1006:$BO$1006,0))&gt;=100000), " ",IF(INDEX($AN$2:$BO$1001,MATCH(ROWS($AG$2:AG296),$AG$2:$AG$1001,0),MATCH(COLUMNS($AN$1006:BO1006),$AN$1006:$BO$1006,0)), HYPERLINK("#",""), HYPERLINK(CONCATENATE("#Metadata!", ADDRESS(INDEX($AI$2:$AI$1001,MATCH(ROWS($AG$2:AG296),$AG$2:$AG$1001,0),0), INDEX($AN$1004:$BO$1004,1,MATCH(COLUMNS($AN$1006:BO1006),$AN$1006:$BO$1006,0)))),"Fix")))</f>
        <v>0</v>
      </c>
      <c r="AG296">
        <v>0</v>
      </c>
      <c r="AH296">
        <v>0</v>
      </c>
      <c r="AI296">
        <v>0</v>
      </c>
      <c r="AJ296">
        <f>IF(AK296,TRUE,AND(AN296:BO296))</f>
        <v>0</v>
      </c>
      <c r="AK296">
        <f>COUNTBLANK(Metadata!B296:AC296)=COLUMNS(Metadata!B296:AC296)</f>
        <v>0</v>
      </c>
      <c r="AL296">
        <v>0</v>
      </c>
      <c r="AN296">
        <f>AND(IF(Metadata!B296="",FALSE,TRUE),COUNTIF(Metadata!B:B, Metadata!B296) = 1,NOT(ISERROR(SUMPRODUCT(SEARCH(MID(Metadata!B296,ROW(INDIRECT("1:"&amp;LEN(Metadata!B296))), 1),"0123456789abcdefghijklmnopqrstuvwxyzABCDEFGHIJKLMNOPQRSTUVWXYZ.")))))</f>
        <v>0</v>
      </c>
      <c r="AO296">
        <f>IF(Metadata!C296="",FALSE,TRUE)</f>
        <v>0</v>
      </c>
      <c r="AP296">
        <f>IF(Metadata!D296="",FALSE,TRUE)</f>
        <v>0</v>
      </c>
      <c r="AQ296">
        <f>OR(AND(IF(Metadata!E296="",FALSE,TRUE),OR(exact(Metadata!E296,"not collected"),exact(Metadata!E296,"not provided"),exact(Metadata!E296,"restricted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R296">
        <f>IF(Metadata!F296="",FALSE,TRUE)</f>
        <v>0</v>
      </c>
      <c r="AS296">
        <f>OR(AND(IF(Metadata!G296="",FALSE,TRUE),OR(exact(Metadata!G296,"not collected"),exact(Metadata!G296,"not provided"))),AND(IF(Metadata!G296="",FALSE,TRUE),OR(exact(Metadata!G296,"TRUE"),exact(Metadata!G296,"FALSE"))))</f>
        <v>0</v>
      </c>
      <c r="AT296">
        <f>OR(AND(IF(Metadata!H296="",FALSE,TRUE),OR(exact(Metadata!H296,"not collected"),exact(Metadata!H296,"not provided"),exact(Metadata!H296,"restricted access"))),AND(IF(Metadata!H296="",FALSE,ISNUMBER(VALUE(Metadata!H296))),Metadata!H296&gt;=-413.0))</f>
        <v>0</v>
      </c>
      <c r="AU296">
        <f>AND(IF(Metadata!I296="",FALSE,TRUE),exact(Metadata!I296,"meters"))</f>
        <v>0</v>
      </c>
      <c r="AV296">
        <f>AND(IF(Metadata!J296="",FALSE,TRUE),OR(exact(Metadata!J296,"Host-associated"),exact(Metadata!J296,"Free-living")))</f>
        <v>0</v>
      </c>
      <c r="AW296">
        <f>AND(IF(Metadata!K296="",FALSE,TRUE),OR(exact(Metadata!K296,"Animal"),exact(Metadata!K296,"Fungus"),exact(Metadata!K296,"Plant"),exact(Metadata!K296,"Saline"),exact(Metadata!K296,"Non-saline")))</f>
        <v>0</v>
      </c>
      <c r="AX296">
        <f>AND(IF(Metadata!L296="",FALSE,TRUE),OR(exact(Metadata!L296,"Plant secretion"),exact(Metadata!L296,"Plant rhizosphere"),exact(Metadata!L296,"Plant surface"),exact(Metadata!L296,"Plant corpus"),exact(Metadata!L296,"Fungus surface"),exact(Metadata!L296,"Fungus corpus"),exact(Metadata!L296,"Animal surface"),exact(Metadata!L296,"Animal proximal gut"),exact(Metadata!L296,"Animal corpus"),exact(Metadata!L296,"Animal distal gut"),exact(Metadata!L296,"Animal secretion"),exact(Metadata!L296,"Sub-surface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Y296">
        <f>IF(Metadata!M296="",FALSE,TRUE)</f>
        <v>0</v>
      </c>
      <c r="AZ296">
        <f>IF(Metadata!N296="",FALSE,TRUE)</f>
        <v>0</v>
      </c>
      <c r="BA296">
        <f>IF(Metadata!O296="",FALSE,TRUE)</f>
        <v>0</v>
      </c>
      <c r="BB296">
        <f>OR(AND(IF(Metadata!P296="",FALSE,TRUE),OR(exact(Metadata!P296,"not collected"),exact(Metadata!P296,"not provided"),exact(Metadata!P296,"restricted access"))),AND(IF(Metadata!P296="",FALSE,TRUE),OR(exact(Metadata!P296,"air"),exact(Metadata!P296,"built environment"),exact(Metadata!P296,"host-associated"),exact(Metadata!P296,"human-associated"),exact(Metadata!P296,"human-skin"),exact(Metadata!P296,"human-oral"),exact(Metadata!P296,"human-gut"),exact(Metadata!P296,"human-vaginal"),exact(Metadata!P296,"microbial mat/biofilm"),exact(Metadata!P296,"misc environment"),exact(Metadata!P296,"plant-associated"),exact(Metadata!P296,"sediment"),exact(Metadata!P296,"soil"),exact(Metadata!P296,"wastewater/sludge"),exact(Metadata!P296,"water"))))</f>
        <v>0</v>
      </c>
      <c r="BC296">
        <f>IF(Metadata!Q296="",FALSE,TRUE)</f>
        <v>0</v>
      </c>
      <c r="BD296">
        <f>IF(Metadata!R296="",FALSE,TRUE)</f>
        <v>0</v>
      </c>
      <c r="BE296">
        <f>OR(AND(IF(Metadata!S296="",FALSE,TRUE),OR(exact(Metadata!S296,"not collected"),exact(Metadata!S296,"not provided"),exact(Metadata!S296,"restricted access"))),AND(IF(Metadata!S296="",FALSE,ISNUMBER(VALUE(Metadata!S296))),Metadata!S296&gt;=-90.00,Metadata!S296&lt;=90.00))</f>
        <v>0</v>
      </c>
      <c r="BF296">
        <f>AND(IF(Metadata!T296="",FALSE,TRUE),exact(Metadata!T296,"Decimal degrees"))</f>
        <v>0</v>
      </c>
      <c r="BG296">
        <f>OR(AND(IF(Metadata!U296="",FALSE,TRUE),OR(exact(Metadata!U296,"not collected"),exact(Metadata!U296,"not provided"),exact(Metadata!U296,"restricted access"))),AND(IF(Metadata!U296="",FALSE,ISNUMBER(VALUE(Metadata!U296))),Metadata!U296&gt;=-180.00,Metadata!U296&lt;=180.00))</f>
        <v>0</v>
      </c>
      <c r="BH296">
        <f>AND(IF(Metadata!V296="",FALSE,TRUE),exact(Metadata!V296,"Decimal degrees"))</f>
        <v>0</v>
      </c>
      <c r="BI296">
        <f>IF(Metadata!W296="",FALSE,TRUE)</f>
        <v>0</v>
      </c>
      <c r="BJ296">
        <f>OR(AND(IF(Metadata!X296="",FALSE,TRUE),OR(exact(Metadata!X296,"not collected"),exact(Metadata!X296,"not provided"),exact(Metadata!X296,"restricted access"))),AND(IF(Metadata!X296="",FALSE,TRUE),OR(exact(Metadata!X296,"TRUE"),exact(Metadata!X296,"FALSE"))))</f>
        <v>0</v>
      </c>
      <c r="BK296">
        <f>AND(IF(Metadata!Y296="",FALSE,TRUE),exact(Metadata!Y296,"other"))</f>
        <v>0</v>
      </c>
      <c r="BL296">
        <f>IF(Metadata!Z296="",FALSE,TRUE)</f>
        <v>0</v>
      </c>
      <c r="BM296">
        <f>OR(AND(IF(Metadata!AA296="",FALSE,TRUE),OR(exact(Metadata!AA296,"not collected"),exact(Metadata!AA296,"not provided"))),AND(IF(Metadata!AA296="",FALSE,IF(ISERROR(INT(Metadata!AA296)),FALSE,INT(Metadata!AA296)=Metadata!AA296)),Metadata!AA296&gt;0))</f>
        <v>0</v>
      </c>
      <c r="BN296">
        <f>AND(IF(Metadata!AB296="",FALSE,TRUE),exact(Metadata!AB296,"Not applicable"))</f>
        <v>0</v>
      </c>
      <c r="BO296">
        <f>IF(Metadata!AC296="",FALSE,TRUE)</f>
        <v>0</v>
      </c>
    </row>
    <row r="297" spans="1:67">
      <c r="A297" s="5">
        <f>IF(B297=" "," ",HYPERLINK(CONCATENATE("#metadata!",ADDRESS(INDEX($AI$2:$AI$1001,MATCH(ROWS($AG$2:AG297),$AG$2:$AG$1001,0),0),1)),INDEX($AL$2:$AL$1001,MATCH(ROWS($AG$2:AG297),$AG$2:$AG$1001,0),0)))</f>
        <v>0</v>
      </c>
      <c r="B297" s="4">
        <f>IF(OR(INDEX($AH$2:$AH$1001,MATCH(ROWS($AG$2:AG297),$AG$2:$AG$1001,0),1)&gt;=100000,INDEX($AN$1005:$BO$1005,1,MATCH(COLUMNS($AN$1006:AN1006),$AN$1006:$BO$1006,0))&gt;=100000), " ",IF(INDEX($AN$2:$BO$1001,MATCH(ROWS($AG$2:AG297),$AG$2:$AG$1001,0),MATCH(COLUMNS($AN$1006:AN1006),$AN$1006:$BO$1006,0)), HYPERLINK("#",""), HYPERLINK(CONCATENATE("#Metadata!", ADDRESS(INDEX($AI$2:$AI$1001,MATCH(ROWS($AG$2:AG297),$AG$2:$AG$1001,0),0), INDEX($AN$1004:$BO$1004,1,MATCH(COLUMNS($AN$1006:AN1006),$AN$1006:$BO$1006,0)))),"Fix")))</f>
        <v>0</v>
      </c>
      <c r="C297" s="4">
        <f>IF(OR(INDEX($AH$2:$AH$1001,MATCH(ROWS($AG$2:AG297),$AG$2:$AG$1001,0),1)&gt;=100000,INDEX($AN$1005:$BO$1005,1,MATCH(COLUMNS($AN$1006:AO1006),$AN$1006:$BO$1006,0))&gt;=100000), " ",IF(INDEX($AN$2:$BO$1001,MATCH(ROWS($AG$2:AG297),$AG$2:$AG$1001,0),MATCH(COLUMNS($AN$1006:AO1006),$AN$1006:$BO$1006,0)), HYPERLINK("#",""), HYPERLINK(CONCATENATE("#Metadata!", ADDRESS(INDEX($AI$2:$AI$1001,MATCH(ROWS($AG$2:AG297),$AG$2:$AG$1001,0),0), INDEX($AN$1004:$BO$1004,1,MATCH(COLUMNS($AN$1006:AO1006),$AN$1006:$BO$1006,0)))),"Fix")))</f>
        <v>0</v>
      </c>
      <c r="D297" s="4">
        <f>IF(OR(INDEX($AH$2:$AH$1001,MATCH(ROWS($AG$2:AG297),$AG$2:$AG$1001,0),1)&gt;=100000,INDEX($AN$1005:$BO$1005,1,MATCH(COLUMNS($AN$1006:AP1006),$AN$1006:$BO$1006,0))&gt;=100000), " ",IF(INDEX($AN$2:$BO$1001,MATCH(ROWS($AG$2:AG297),$AG$2:$AG$1001,0),MATCH(COLUMNS($AN$1006:AP1006),$AN$1006:$BO$1006,0)), HYPERLINK("#",""), HYPERLINK(CONCATENATE("#Metadata!", ADDRESS(INDEX($AI$2:$AI$1001,MATCH(ROWS($AG$2:AG297),$AG$2:$AG$1001,0),0), INDEX($AN$1004:$BO$1004,1,MATCH(COLUMNS($AN$1006:AP1006),$AN$1006:$BO$1006,0)))),"Fix")))</f>
        <v>0</v>
      </c>
      <c r="E297" s="4">
        <f>IF(OR(INDEX($AH$2:$AH$1001,MATCH(ROWS($AG$2:AG297),$AG$2:$AG$1001,0),1)&gt;=100000,INDEX($AN$1005:$BO$1005,1,MATCH(COLUMNS($AN$1006:AQ1006),$AN$1006:$BO$1006,0))&gt;=100000), " ",IF(INDEX($AN$2:$BO$1001,MATCH(ROWS($AG$2:AG297),$AG$2:$AG$1001,0),MATCH(COLUMNS($AN$1006:AQ1006),$AN$1006:$BO$1006,0)), HYPERLINK("#",""), HYPERLINK(CONCATENATE("#Metadata!", ADDRESS(INDEX($AI$2:$AI$1001,MATCH(ROWS($AG$2:AG297),$AG$2:$AG$1001,0),0), INDEX($AN$1004:$BO$1004,1,MATCH(COLUMNS($AN$1006:AQ1006),$AN$1006:$BO$1006,0)))),"Fix")))</f>
        <v>0</v>
      </c>
      <c r="F297" s="4">
        <f>IF(OR(INDEX($AH$2:$AH$1001,MATCH(ROWS($AG$2:AG297),$AG$2:$AG$1001,0),1)&gt;=100000,INDEX($AN$1005:$BO$1005,1,MATCH(COLUMNS($AN$1006:AR1006),$AN$1006:$BO$1006,0))&gt;=100000), " ",IF(INDEX($AN$2:$BO$1001,MATCH(ROWS($AG$2:AG297),$AG$2:$AG$1001,0),MATCH(COLUMNS($AN$1006:AR1006),$AN$1006:$BO$1006,0)), HYPERLINK("#",""), HYPERLINK(CONCATENATE("#Metadata!", ADDRESS(INDEX($AI$2:$AI$1001,MATCH(ROWS($AG$2:AG297),$AG$2:$AG$1001,0),0), INDEX($AN$1004:$BO$1004,1,MATCH(COLUMNS($AN$1006:AR1006),$AN$1006:$BO$1006,0)))),"Fix")))</f>
        <v>0</v>
      </c>
      <c r="G297" s="4">
        <f>IF(OR(INDEX($AH$2:$AH$1001,MATCH(ROWS($AG$2:AG297),$AG$2:$AG$1001,0),1)&gt;=100000,INDEX($AN$1005:$BO$1005,1,MATCH(COLUMNS($AN$1006:AS1006),$AN$1006:$BO$1006,0))&gt;=100000), " ",IF(INDEX($AN$2:$BO$1001,MATCH(ROWS($AG$2:AG297),$AG$2:$AG$1001,0),MATCH(COLUMNS($AN$1006:AS1006),$AN$1006:$BO$1006,0)), HYPERLINK("#",""), HYPERLINK(CONCATENATE("#Metadata!", ADDRESS(INDEX($AI$2:$AI$1001,MATCH(ROWS($AG$2:AG297),$AG$2:$AG$1001,0),0), INDEX($AN$1004:$BO$1004,1,MATCH(COLUMNS($AN$1006:AS1006),$AN$1006:$BO$1006,0)))),"Fix")))</f>
        <v>0</v>
      </c>
      <c r="H297" s="4">
        <f>IF(OR(INDEX($AH$2:$AH$1001,MATCH(ROWS($AG$2:AG297),$AG$2:$AG$1001,0),1)&gt;=100000,INDEX($AN$1005:$BO$1005,1,MATCH(COLUMNS($AN$1006:AT1006),$AN$1006:$BO$1006,0))&gt;=100000), " ",IF(INDEX($AN$2:$BO$1001,MATCH(ROWS($AG$2:AG297),$AG$2:$AG$1001,0),MATCH(COLUMNS($AN$1006:AT1006),$AN$1006:$BO$1006,0)), HYPERLINK("#",""), HYPERLINK(CONCATENATE("#Metadata!", ADDRESS(INDEX($AI$2:$AI$1001,MATCH(ROWS($AG$2:AG297),$AG$2:$AG$1001,0),0), INDEX($AN$1004:$BO$1004,1,MATCH(COLUMNS($AN$1006:AT1006),$AN$1006:$BO$1006,0)))),"Fix")))</f>
        <v>0</v>
      </c>
      <c r="I297" s="4">
        <f>IF(OR(INDEX($AH$2:$AH$1001,MATCH(ROWS($AG$2:AG297),$AG$2:$AG$1001,0),1)&gt;=100000,INDEX($AN$1005:$BO$1005,1,MATCH(COLUMNS($AN$1006:AU1006),$AN$1006:$BO$1006,0))&gt;=100000), " ",IF(INDEX($AN$2:$BO$1001,MATCH(ROWS($AG$2:AG297),$AG$2:$AG$1001,0),MATCH(COLUMNS($AN$1006:AU1006),$AN$1006:$BO$1006,0)), HYPERLINK("#",""), HYPERLINK(CONCATENATE("#Metadata!", ADDRESS(INDEX($AI$2:$AI$1001,MATCH(ROWS($AG$2:AG297),$AG$2:$AG$1001,0),0), INDEX($AN$1004:$BO$1004,1,MATCH(COLUMNS($AN$1006:AU1006),$AN$1006:$BO$1006,0)))),"Fix")))</f>
        <v>0</v>
      </c>
      <c r="J297" s="4">
        <f>IF(OR(INDEX($AH$2:$AH$1001,MATCH(ROWS($AG$2:AG297),$AG$2:$AG$1001,0),1)&gt;=100000,INDEX($AN$1005:$BO$1005,1,MATCH(COLUMNS($AN$1006:AV1006),$AN$1006:$BO$1006,0))&gt;=100000), " ",IF(INDEX($AN$2:$BO$1001,MATCH(ROWS($AG$2:AG297),$AG$2:$AG$1001,0),MATCH(COLUMNS($AN$1006:AV1006),$AN$1006:$BO$1006,0)), HYPERLINK("#",""), HYPERLINK(CONCATENATE("#Metadata!", ADDRESS(INDEX($AI$2:$AI$1001,MATCH(ROWS($AG$2:AG297),$AG$2:$AG$1001,0),0), INDEX($AN$1004:$BO$1004,1,MATCH(COLUMNS($AN$1006:AV1006),$AN$1006:$BO$1006,0)))),"Fix")))</f>
        <v>0</v>
      </c>
      <c r="K297" s="4">
        <f>IF(OR(INDEX($AH$2:$AH$1001,MATCH(ROWS($AG$2:AG297),$AG$2:$AG$1001,0),1)&gt;=100000,INDEX($AN$1005:$BO$1005,1,MATCH(COLUMNS($AN$1006:AW1006),$AN$1006:$BO$1006,0))&gt;=100000), " ",IF(INDEX($AN$2:$BO$1001,MATCH(ROWS($AG$2:AG297),$AG$2:$AG$1001,0),MATCH(COLUMNS($AN$1006:AW1006),$AN$1006:$BO$1006,0)), HYPERLINK("#",""), HYPERLINK(CONCATENATE("#Metadata!", ADDRESS(INDEX($AI$2:$AI$1001,MATCH(ROWS($AG$2:AG297),$AG$2:$AG$1001,0),0), INDEX($AN$1004:$BO$1004,1,MATCH(COLUMNS($AN$1006:AW1006),$AN$1006:$BO$1006,0)))),"Fix")))</f>
        <v>0</v>
      </c>
      <c r="L297" s="4">
        <f>IF(OR(INDEX($AH$2:$AH$1001,MATCH(ROWS($AG$2:AG297),$AG$2:$AG$1001,0),1)&gt;=100000,INDEX($AN$1005:$BO$1005,1,MATCH(COLUMNS($AN$1006:AX1006),$AN$1006:$BO$1006,0))&gt;=100000), " ",IF(INDEX($AN$2:$BO$1001,MATCH(ROWS($AG$2:AG297),$AG$2:$AG$1001,0),MATCH(COLUMNS($AN$1006:AX1006),$AN$1006:$BO$1006,0)), HYPERLINK("#",""), HYPERLINK(CONCATENATE("#Metadata!", ADDRESS(INDEX($AI$2:$AI$1001,MATCH(ROWS($AG$2:AG297),$AG$2:$AG$1001,0),0), INDEX($AN$1004:$BO$1004,1,MATCH(COLUMNS($AN$1006:AX1006),$AN$1006:$BO$1006,0)))),"Fix")))</f>
        <v>0</v>
      </c>
      <c r="M297" s="4">
        <f>IF(OR(INDEX($AH$2:$AH$1001,MATCH(ROWS($AG$2:AG297),$AG$2:$AG$1001,0),1)&gt;=100000,INDEX($AN$1005:$BO$1005,1,MATCH(COLUMNS($AN$1006:AY1006),$AN$1006:$BO$1006,0))&gt;=100000), " ",IF(INDEX($AN$2:$BO$1001,MATCH(ROWS($AG$2:AG297),$AG$2:$AG$1001,0),MATCH(COLUMNS($AN$1006:AY1006),$AN$1006:$BO$1006,0)), HYPERLINK("#",""), HYPERLINK(CONCATENATE("#Metadata!", ADDRESS(INDEX($AI$2:$AI$1001,MATCH(ROWS($AG$2:AG297),$AG$2:$AG$1001,0),0), INDEX($AN$1004:$BO$1004,1,MATCH(COLUMNS($AN$1006:AY1006),$AN$1006:$BO$1006,0)))),"Fix")))</f>
        <v>0</v>
      </c>
      <c r="N297" s="4">
        <f>IF(OR(INDEX($AH$2:$AH$1001,MATCH(ROWS($AG$2:AG297),$AG$2:$AG$1001,0),1)&gt;=100000,INDEX($AN$1005:$BO$1005,1,MATCH(COLUMNS($AN$1006:AZ1006),$AN$1006:$BO$1006,0))&gt;=100000), " ",IF(INDEX($AN$2:$BO$1001,MATCH(ROWS($AG$2:AG297),$AG$2:$AG$1001,0),MATCH(COLUMNS($AN$1006:AZ1006),$AN$1006:$BO$1006,0)), HYPERLINK("#",""), HYPERLINK(CONCATENATE("#Metadata!", ADDRESS(INDEX($AI$2:$AI$1001,MATCH(ROWS($AG$2:AG297),$AG$2:$AG$1001,0),0), INDEX($AN$1004:$BO$1004,1,MATCH(COLUMNS($AN$1006:AZ1006),$AN$1006:$BO$1006,0)))),"Fix")))</f>
        <v>0</v>
      </c>
      <c r="O297" s="4">
        <f>IF(OR(INDEX($AH$2:$AH$1001,MATCH(ROWS($AG$2:AG297),$AG$2:$AG$1001,0),1)&gt;=100000,INDEX($AN$1005:$BO$1005,1,MATCH(COLUMNS($AN$1006:BA1006),$AN$1006:$BO$1006,0))&gt;=100000), " ",IF(INDEX($AN$2:$BO$1001,MATCH(ROWS($AG$2:AG297),$AG$2:$AG$1001,0),MATCH(COLUMNS($AN$1006:BA1006),$AN$1006:$BO$1006,0)), HYPERLINK("#",""), HYPERLINK(CONCATENATE("#Metadata!", ADDRESS(INDEX($AI$2:$AI$1001,MATCH(ROWS($AG$2:AG297),$AG$2:$AG$1001,0),0), INDEX($AN$1004:$BO$1004,1,MATCH(COLUMNS($AN$1006:BA1006),$AN$1006:$BO$1006,0)))),"Fix")))</f>
        <v>0</v>
      </c>
      <c r="P297" s="4">
        <f>IF(OR(INDEX($AH$2:$AH$1001,MATCH(ROWS($AG$2:AG297),$AG$2:$AG$1001,0),1)&gt;=100000,INDEX($AN$1005:$BO$1005,1,MATCH(COLUMNS($AN$1006:BB1006),$AN$1006:$BO$1006,0))&gt;=100000), " ",IF(INDEX($AN$2:$BO$1001,MATCH(ROWS($AG$2:AG297),$AG$2:$AG$1001,0),MATCH(COLUMNS($AN$1006:BB1006),$AN$1006:$BO$1006,0)), HYPERLINK("#",""), HYPERLINK(CONCATENATE("#Metadata!", ADDRESS(INDEX($AI$2:$AI$1001,MATCH(ROWS($AG$2:AG297),$AG$2:$AG$1001,0),0), INDEX($AN$1004:$BO$1004,1,MATCH(COLUMNS($AN$1006:BB1006),$AN$1006:$BO$1006,0)))),"Fix")))</f>
        <v>0</v>
      </c>
      <c r="Q297" s="4">
        <f>IF(OR(INDEX($AH$2:$AH$1001,MATCH(ROWS($AG$2:AG297),$AG$2:$AG$1001,0),1)&gt;=100000,INDEX($AN$1005:$BO$1005,1,MATCH(COLUMNS($AN$1006:BC1006),$AN$1006:$BO$1006,0))&gt;=100000), " ",IF(INDEX($AN$2:$BO$1001,MATCH(ROWS($AG$2:AG297),$AG$2:$AG$1001,0),MATCH(COLUMNS($AN$1006:BC1006),$AN$1006:$BO$1006,0)), HYPERLINK("#",""), HYPERLINK(CONCATENATE("#Metadata!", ADDRESS(INDEX($AI$2:$AI$1001,MATCH(ROWS($AG$2:AG297),$AG$2:$AG$1001,0),0), INDEX($AN$1004:$BO$1004,1,MATCH(COLUMNS($AN$1006:BC1006),$AN$1006:$BO$1006,0)))),"Fix")))</f>
        <v>0</v>
      </c>
      <c r="R297" s="4">
        <f>IF(OR(INDEX($AH$2:$AH$1001,MATCH(ROWS($AG$2:AG297),$AG$2:$AG$1001,0),1)&gt;=100000,INDEX($AN$1005:$BO$1005,1,MATCH(COLUMNS($AN$1006:BD1006),$AN$1006:$BO$1006,0))&gt;=100000), " ",IF(INDEX($AN$2:$BO$1001,MATCH(ROWS($AG$2:AG297),$AG$2:$AG$1001,0),MATCH(COLUMNS($AN$1006:BD1006),$AN$1006:$BO$1006,0)), HYPERLINK("#",""), HYPERLINK(CONCATENATE("#Metadata!", ADDRESS(INDEX($AI$2:$AI$1001,MATCH(ROWS($AG$2:AG297),$AG$2:$AG$1001,0),0), INDEX($AN$1004:$BO$1004,1,MATCH(COLUMNS($AN$1006:BD1006),$AN$1006:$BO$1006,0)))),"Fix")))</f>
        <v>0</v>
      </c>
      <c r="S297" s="4">
        <f>IF(OR(INDEX($AH$2:$AH$1001,MATCH(ROWS($AG$2:AG297),$AG$2:$AG$1001,0),1)&gt;=100000,INDEX($AN$1005:$BO$1005,1,MATCH(COLUMNS($AN$1006:BE1006),$AN$1006:$BO$1006,0))&gt;=100000), " ",IF(INDEX($AN$2:$BO$1001,MATCH(ROWS($AG$2:AG297),$AG$2:$AG$1001,0),MATCH(COLUMNS($AN$1006:BE1006),$AN$1006:$BO$1006,0)), HYPERLINK("#",""), HYPERLINK(CONCATENATE("#Metadata!", ADDRESS(INDEX($AI$2:$AI$1001,MATCH(ROWS($AG$2:AG297),$AG$2:$AG$1001,0),0), INDEX($AN$1004:$BO$1004,1,MATCH(COLUMNS($AN$1006:BE1006),$AN$1006:$BO$1006,0)))),"Fix")))</f>
        <v>0</v>
      </c>
      <c r="T297" s="4">
        <f>IF(OR(INDEX($AH$2:$AH$1001,MATCH(ROWS($AG$2:AG297),$AG$2:$AG$1001,0),1)&gt;=100000,INDEX($AN$1005:$BO$1005,1,MATCH(COLUMNS($AN$1006:BF1006),$AN$1006:$BO$1006,0))&gt;=100000), " ",IF(INDEX($AN$2:$BO$1001,MATCH(ROWS($AG$2:AG297),$AG$2:$AG$1001,0),MATCH(COLUMNS($AN$1006:BF1006),$AN$1006:$BO$1006,0)), HYPERLINK("#",""), HYPERLINK(CONCATENATE("#Metadata!", ADDRESS(INDEX($AI$2:$AI$1001,MATCH(ROWS($AG$2:AG297),$AG$2:$AG$1001,0),0), INDEX($AN$1004:$BO$1004,1,MATCH(COLUMNS($AN$1006:BF1006),$AN$1006:$BO$1006,0)))),"Fix")))</f>
        <v>0</v>
      </c>
      <c r="U297" s="4">
        <f>IF(OR(INDEX($AH$2:$AH$1001,MATCH(ROWS($AG$2:AG297),$AG$2:$AG$1001,0),1)&gt;=100000,INDEX($AN$1005:$BO$1005,1,MATCH(COLUMNS($AN$1006:BG1006),$AN$1006:$BO$1006,0))&gt;=100000), " ",IF(INDEX($AN$2:$BO$1001,MATCH(ROWS($AG$2:AG297),$AG$2:$AG$1001,0),MATCH(COLUMNS($AN$1006:BG1006),$AN$1006:$BO$1006,0)), HYPERLINK("#",""), HYPERLINK(CONCATENATE("#Metadata!", ADDRESS(INDEX($AI$2:$AI$1001,MATCH(ROWS($AG$2:AG297),$AG$2:$AG$1001,0),0), INDEX($AN$1004:$BO$1004,1,MATCH(COLUMNS($AN$1006:BG1006),$AN$1006:$BO$1006,0)))),"Fix")))</f>
        <v>0</v>
      </c>
      <c r="V297" s="4">
        <f>IF(OR(INDEX($AH$2:$AH$1001,MATCH(ROWS($AG$2:AG297),$AG$2:$AG$1001,0),1)&gt;=100000,INDEX($AN$1005:$BO$1005,1,MATCH(COLUMNS($AN$1006:BH1006),$AN$1006:$BO$1006,0))&gt;=100000), " ",IF(INDEX($AN$2:$BO$1001,MATCH(ROWS($AG$2:AG297),$AG$2:$AG$1001,0),MATCH(COLUMNS($AN$1006:BH1006),$AN$1006:$BO$1006,0)), HYPERLINK("#",""), HYPERLINK(CONCATENATE("#Metadata!", ADDRESS(INDEX($AI$2:$AI$1001,MATCH(ROWS($AG$2:AG297),$AG$2:$AG$1001,0),0), INDEX($AN$1004:$BO$1004,1,MATCH(COLUMNS($AN$1006:BH1006),$AN$1006:$BO$1006,0)))),"Fix")))</f>
        <v>0</v>
      </c>
      <c r="W297" s="4">
        <f>IF(OR(INDEX($AH$2:$AH$1001,MATCH(ROWS($AG$2:AG297),$AG$2:$AG$1001,0),1)&gt;=100000,INDEX($AN$1005:$BO$1005,1,MATCH(COLUMNS($AN$1006:BI1006),$AN$1006:$BO$1006,0))&gt;=100000), " ",IF(INDEX($AN$2:$BO$1001,MATCH(ROWS($AG$2:AG297),$AG$2:$AG$1001,0),MATCH(COLUMNS($AN$1006:BI1006),$AN$1006:$BO$1006,0)), HYPERLINK("#",""), HYPERLINK(CONCATENATE("#Metadata!", ADDRESS(INDEX($AI$2:$AI$1001,MATCH(ROWS($AG$2:AG297),$AG$2:$AG$1001,0),0), INDEX($AN$1004:$BO$1004,1,MATCH(COLUMNS($AN$1006:BI1006),$AN$1006:$BO$1006,0)))),"Fix")))</f>
        <v>0</v>
      </c>
      <c r="X297" s="4">
        <f>IF(OR(INDEX($AH$2:$AH$1001,MATCH(ROWS($AG$2:AG297),$AG$2:$AG$1001,0),1)&gt;=100000,INDEX($AN$1005:$BO$1005,1,MATCH(COLUMNS($AN$1006:BJ1006),$AN$1006:$BO$1006,0))&gt;=100000), " ",IF(INDEX($AN$2:$BO$1001,MATCH(ROWS($AG$2:AG297),$AG$2:$AG$1001,0),MATCH(COLUMNS($AN$1006:BJ1006),$AN$1006:$BO$1006,0)), HYPERLINK("#",""), HYPERLINK(CONCATENATE("#Metadata!", ADDRESS(INDEX($AI$2:$AI$1001,MATCH(ROWS($AG$2:AG297),$AG$2:$AG$1001,0),0), INDEX($AN$1004:$BO$1004,1,MATCH(COLUMNS($AN$1006:BJ1006),$AN$1006:$BO$1006,0)))),"Fix")))</f>
        <v>0</v>
      </c>
      <c r="Y297" s="4">
        <f>IF(OR(INDEX($AH$2:$AH$1001,MATCH(ROWS($AG$2:AG297),$AG$2:$AG$1001,0),1)&gt;=100000,INDEX($AN$1005:$BO$1005,1,MATCH(COLUMNS($AN$1006:BK1006),$AN$1006:$BO$1006,0))&gt;=100000), " ",IF(INDEX($AN$2:$BO$1001,MATCH(ROWS($AG$2:AG297),$AG$2:$AG$1001,0),MATCH(COLUMNS($AN$1006:BK1006),$AN$1006:$BO$1006,0)), HYPERLINK("#",""), HYPERLINK(CONCATENATE("#Metadata!", ADDRESS(INDEX($AI$2:$AI$1001,MATCH(ROWS($AG$2:AG297),$AG$2:$AG$1001,0),0), INDEX($AN$1004:$BO$1004,1,MATCH(COLUMNS($AN$1006:BK1006),$AN$1006:$BO$1006,0)))),"Fix")))</f>
        <v>0</v>
      </c>
      <c r="Z297" s="4">
        <f>IF(OR(INDEX($AH$2:$AH$1001,MATCH(ROWS($AG$2:AG297),$AG$2:$AG$1001,0),1)&gt;=100000,INDEX($AN$1005:$BO$1005,1,MATCH(COLUMNS($AN$1006:BL1006),$AN$1006:$BO$1006,0))&gt;=100000), " ",IF(INDEX($AN$2:$BO$1001,MATCH(ROWS($AG$2:AG297),$AG$2:$AG$1001,0),MATCH(COLUMNS($AN$1006:BL1006),$AN$1006:$BO$1006,0)), HYPERLINK("#",""), HYPERLINK(CONCATENATE("#Metadata!", ADDRESS(INDEX($AI$2:$AI$1001,MATCH(ROWS($AG$2:AG297),$AG$2:$AG$1001,0),0), INDEX($AN$1004:$BO$1004,1,MATCH(COLUMNS($AN$1006:BL1006),$AN$1006:$BO$1006,0)))),"Fix")))</f>
        <v>0</v>
      </c>
      <c r="AA297" s="4">
        <f>IF(OR(INDEX($AH$2:$AH$1001,MATCH(ROWS($AG$2:AG297),$AG$2:$AG$1001,0),1)&gt;=100000,INDEX($AN$1005:$BO$1005,1,MATCH(COLUMNS($AN$1006:BM1006),$AN$1006:$BO$1006,0))&gt;=100000), " ",IF(INDEX($AN$2:$BO$1001,MATCH(ROWS($AG$2:AG297),$AG$2:$AG$1001,0),MATCH(COLUMNS($AN$1006:BM1006),$AN$1006:$BO$1006,0)), HYPERLINK("#",""), HYPERLINK(CONCATENATE("#Metadata!", ADDRESS(INDEX($AI$2:$AI$1001,MATCH(ROWS($AG$2:AG297),$AG$2:$AG$1001,0),0), INDEX($AN$1004:$BO$1004,1,MATCH(COLUMNS($AN$1006:BM1006),$AN$1006:$BO$1006,0)))),"Fix")))</f>
        <v>0</v>
      </c>
      <c r="AB297" s="4">
        <f>IF(OR(INDEX($AH$2:$AH$1001,MATCH(ROWS($AG$2:AG297),$AG$2:$AG$1001,0),1)&gt;=100000,INDEX($AN$1005:$BO$1005,1,MATCH(COLUMNS($AN$1006:BN1006),$AN$1006:$BO$1006,0))&gt;=100000), " ",IF(INDEX($AN$2:$BO$1001,MATCH(ROWS($AG$2:AG297),$AG$2:$AG$1001,0),MATCH(COLUMNS($AN$1006:BN1006),$AN$1006:$BO$1006,0)), HYPERLINK("#",""), HYPERLINK(CONCATENATE("#Metadata!", ADDRESS(INDEX($AI$2:$AI$1001,MATCH(ROWS($AG$2:AG297),$AG$2:$AG$1001,0),0), INDEX($AN$1004:$BO$1004,1,MATCH(COLUMNS($AN$1006:BN1006),$AN$1006:$BO$1006,0)))),"Fix")))</f>
        <v>0</v>
      </c>
      <c r="AC297" s="4">
        <f>IF(OR(INDEX($AH$2:$AH$1001,MATCH(ROWS($AG$2:AG297),$AG$2:$AG$1001,0),1)&gt;=100000,INDEX($AN$1005:$BO$1005,1,MATCH(COLUMNS($AN$1006:BO1006),$AN$1006:$BO$1006,0))&gt;=100000), " ",IF(INDEX($AN$2:$BO$1001,MATCH(ROWS($AG$2:AG297),$AG$2:$AG$1001,0),MATCH(COLUMNS($AN$1006:BO1006),$AN$1006:$BO$1006,0)), HYPERLINK("#",""), HYPERLINK(CONCATENATE("#Metadata!", ADDRESS(INDEX($AI$2:$AI$1001,MATCH(ROWS($AG$2:AG297),$AG$2:$AG$1001,0),0), INDEX($AN$1004:$BO$1004,1,MATCH(COLUMNS($AN$1006:BO1006),$AN$1006:$BO$1006,0)))),"Fix")))</f>
        <v>0</v>
      </c>
      <c r="AG297">
        <v>0</v>
      </c>
      <c r="AH297">
        <v>0</v>
      </c>
      <c r="AI297">
        <v>0</v>
      </c>
      <c r="AJ297">
        <f>IF(AK297,TRUE,AND(AN297:BO297))</f>
        <v>0</v>
      </c>
      <c r="AK297">
        <f>COUNTBLANK(Metadata!B297:AC297)=COLUMNS(Metadata!B297:AC297)</f>
        <v>0</v>
      </c>
      <c r="AL297">
        <v>0</v>
      </c>
      <c r="AN297">
        <f>AND(IF(Metadata!B297="",FALSE,TRUE),COUNTIF(Metadata!B:B, Metadata!B297) = 1,NOT(ISERROR(SUMPRODUCT(SEARCH(MID(Metadata!B297,ROW(INDIRECT("1:"&amp;LEN(Metadata!B297))), 1),"0123456789abcdefghijklmnopqrstuvwxyzABCDEFGHIJKLMNOPQRSTUVWXYZ.")))))</f>
        <v>0</v>
      </c>
      <c r="AO297">
        <f>IF(Metadata!C297="",FALSE,TRUE)</f>
        <v>0</v>
      </c>
      <c r="AP297">
        <f>IF(Metadata!D297="",FALSE,TRUE)</f>
        <v>0</v>
      </c>
      <c r="AQ297">
        <f>OR(AND(IF(Metadata!E297="",FALSE,TRUE),OR(exact(Metadata!E297,"not collected"),exact(Metadata!E297,"not provided"),exact(Metadata!E297,"restricted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R297">
        <f>IF(Metadata!F297="",FALSE,TRUE)</f>
        <v>0</v>
      </c>
      <c r="AS297">
        <f>OR(AND(IF(Metadata!G297="",FALSE,TRUE),OR(exact(Metadata!G297,"not collected"),exact(Metadata!G297,"not provided"))),AND(IF(Metadata!G297="",FALSE,TRUE),OR(exact(Metadata!G297,"TRUE"),exact(Metadata!G297,"FALSE"))))</f>
        <v>0</v>
      </c>
      <c r="AT297">
        <f>OR(AND(IF(Metadata!H297="",FALSE,TRUE),OR(exact(Metadata!H297,"not collected"),exact(Metadata!H297,"not provided"),exact(Metadata!H297,"restricted access"))),AND(IF(Metadata!H297="",FALSE,ISNUMBER(VALUE(Metadata!H297))),Metadata!H297&gt;=-413.0))</f>
        <v>0</v>
      </c>
      <c r="AU297">
        <f>AND(IF(Metadata!I297="",FALSE,TRUE),exact(Metadata!I297,"meters"))</f>
        <v>0</v>
      </c>
      <c r="AV297">
        <f>AND(IF(Metadata!J297="",FALSE,TRUE),OR(exact(Metadata!J297,"Host-associated"),exact(Metadata!J297,"Free-living")))</f>
        <v>0</v>
      </c>
      <c r="AW297">
        <f>AND(IF(Metadata!K297="",FALSE,TRUE),OR(exact(Metadata!K297,"Animal"),exact(Metadata!K297,"Fungus"),exact(Metadata!K297,"Plant"),exact(Metadata!K297,"Saline"),exact(Metadata!K297,"Non-saline")))</f>
        <v>0</v>
      </c>
      <c r="AX297">
        <f>AND(IF(Metadata!L297="",FALSE,TRUE),OR(exact(Metadata!L297,"Plant secretion"),exact(Metadata!L297,"Plant rhizosphere"),exact(Metadata!L297,"Plant surface"),exact(Metadata!L297,"Plant corpus"),exact(Metadata!L297,"Fungus surface"),exact(Metadata!L297,"Fungus corpus"),exact(Metadata!L297,"Animal surface"),exact(Metadata!L297,"Animal proximal gut"),exact(Metadata!L297,"Animal corpus"),exact(Metadata!L297,"Animal distal gut"),exact(Metadata!L297,"Animal secretion"),exact(Metadata!L297,"Sub-surface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Y297">
        <f>IF(Metadata!M297="",FALSE,TRUE)</f>
        <v>0</v>
      </c>
      <c r="AZ297">
        <f>IF(Metadata!N297="",FALSE,TRUE)</f>
        <v>0</v>
      </c>
      <c r="BA297">
        <f>IF(Metadata!O297="",FALSE,TRUE)</f>
        <v>0</v>
      </c>
      <c r="BB297">
        <f>OR(AND(IF(Metadata!P297="",FALSE,TRUE),OR(exact(Metadata!P297,"not collected"),exact(Metadata!P297,"not provided"),exact(Metadata!P297,"restricted access"))),AND(IF(Metadata!P297="",FALSE,TRUE),OR(exact(Metadata!P297,"air"),exact(Metadata!P297,"built environment"),exact(Metadata!P297,"host-associated"),exact(Metadata!P297,"human-associated"),exact(Metadata!P297,"human-skin"),exact(Metadata!P297,"human-oral"),exact(Metadata!P297,"human-gut"),exact(Metadata!P297,"human-vaginal"),exact(Metadata!P297,"microbial mat/biofilm"),exact(Metadata!P297,"misc environment"),exact(Metadata!P297,"plant-associated"),exact(Metadata!P297,"sediment"),exact(Metadata!P297,"soil"),exact(Metadata!P297,"wastewater/sludge"),exact(Metadata!P297,"water"))))</f>
        <v>0</v>
      </c>
      <c r="BC297">
        <f>IF(Metadata!Q297="",FALSE,TRUE)</f>
        <v>0</v>
      </c>
      <c r="BD297">
        <f>IF(Metadata!R297="",FALSE,TRUE)</f>
        <v>0</v>
      </c>
      <c r="BE297">
        <f>OR(AND(IF(Metadata!S297="",FALSE,TRUE),OR(exact(Metadata!S297,"not collected"),exact(Metadata!S297,"not provided"),exact(Metadata!S297,"restricted access"))),AND(IF(Metadata!S297="",FALSE,ISNUMBER(VALUE(Metadata!S297))),Metadata!S297&gt;=-90.00,Metadata!S297&lt;=90.00))</f>
        <v>0</v>
      </c>
      <c r="BF297">
        <f>AND(IF(Metadata!T297="",FALSE,TRUE),exact(Metadata!T297,"Decimal degrees"))</f>
        <v>0</v>
      </c>
      <c r="BG297">
        <f>OR(AND(IF(Metadata!U297="",FALSE,TRUE),OR(exact(Metadata!U297,"not collected"),exact(Metadata!U297,"not provided"),exact(Metadata!U297,"restricted access"))),AND(IF(Metadata!U297="",FALSE,ISNUMBER(VALUE(Metadata!U297))),Metadata!U297&gt;=-180.00,Metadata!U297&lt;=180.00))</f>
        <v>0</v>
      </c>
      <c r="BH297">
        <f>AND(IF(Metadata!V297="",FALSE,TRUE),exact(Metadata!V297,"Decimal degrees"))</f>
        <v>0</v>
      </c>
      <c r="BI297">
        <f>IF(Metadata!W297="",FALSE,TRUE)</f>
        <v>0</v>
      </c>
      <c r="BJ297">
        <f>OR(AND(IF(Metadata!X297="",FALSE,TRUE),OR(exact(Metadata!X297,"not collected"),exact(Metadata!X297,"not provided"),exact(Metadata!X297,"restricted access"))),AND(IF(Metadata!X297="",FALSE,TRUE),OR(exact(Metadata!X297,"TRUE"),exact(Metadata!X297,"FALSE"))))</f>
        <v>0</v>
      </c>
      <c r="BK297">
        <f>AND(IF(Metadata!Y297="",FALSE,TRUE),exact(Metadata!Y297,"other"))</f>
        <v>0</v>
      </c>
      <c r="BL297">
        <f>IF(Metadata!Z297="",FALSE,TRUE)</f>
        <v>0</v>
      </c>
      <c r="BM297">
        <f>OR(AND(IF(Metadata!AA297="",FALSE,TRUE),OR(exact(Metadata!AA297,"not collected"),exact(Metadata!AA297,"not provided"))),AND(IF(Metadata!AA297="",FALSE,IF(ISERROR(INT(Metadata!AA297)),FALSE,INT(Metadata!AA297)=Metadata!AA297)),Metadata!AA297&gt;0))</f>
        <v>0</v>
      </c>
      <c r="BN297">
        <f>AND(IF(Metadata!AB297="",FALSE,TRUE),exact(Metadata!AB297,"Not applicable"))</f>
        <v>0</v>
      </c>
      <c r="BO297">
        <f>IF(Metadata!AC297="",FALSE,TRUE)</f>
        <v>0</v>
      </c>
    </row>
    <row r="298" spans="1:67">
      <c r="A298" s="5">
        <f>IF(B298=" "," ",HYPERLINK(CONCATENATE("#metadata!",ADDRESS(INDEX($AI$2:$AI$1001,MATCH(ROWS($AG$2:AG298),$AG$2:$AG$1001,0),0),1)),INDEX($AL$2:$AL$1001,MATCH(ROWS($AG$2:AG298),$AG$2:$AG$1001,0),0)))</f>
        <v>0</v>
      </c>
      <c r="B298" s="4">
        <f>IF(OR(INDEX($AH$2:$AH$1001,MATCH(ROWS($AG$2:AG298),$AG$2:$AG$1001,0),1)&gt;=100000,INDEX($AN$1005:$BO$1005,1,MATCH(COLUMNS($AN$1006:AN1006),$AN$1006:$BO$1006,0))&gt;=100000), " ",IF(INDEX($AN$2:$BO$1001,MATCH(ROWS($AG$2:AG298),$AG$2:$AG$1001,0),MATCH(COLUMNS($AN$1006:AN1006),$AN$1006:$BO$1006,0)), HYPERLINK("#",""), HYPERLINK(CONCATENATE("#Metadata!", ADDRESS(INDEX($AI$2:$AI$1001,MATCH(ROWS($AG$2:AG298),$AG$2:$AG$1001,0),0), INDEX($AN$1004:$BO$1004,1,MATCH(COLUMNS($AN$1006:AN1006),$AN$1006:$BO$1006,0)))),"Fix")))</f>
        <v>0</v>
      </c>
      <c r="C298" s="4">
        <f>IF(OR(INDEX($AH$2:$AH$1001,MATCH(ROWS($AG$2:AG298),$AG$2:$AG$1001,0),1)&gt;=100000,INDEX($AN$1005:$BO$1005,1,MATCH(COLUMNS($AN$1006:AO1006),$AN$1006:$BO$1006,0))&gt;=100000), " ",IF(INDEX($AN$2:$BO$1001,MATCH(ROWS($AG$2:AG298),$AG$2:$AG$1001,0),MATCH(COLUMNS($AN$1006:AO1006),$AN$1006:$BO$1006,0)), HYPERLINK("#",""), HYPERLINK(CONCATENATE("#Metadata!", ADDRESS(INDEX($AI$2:$AI$1001,MATCH(ROWS($AG$2:AG298),$AG$2:$AG$1001,0),0), INDEX($AN$1004:$BO$1004,1,MATCH(COLUMNS($AN$1006:AO1006),$AN$1006:$BO$1006,0)))),"Fix")))</f>
        <v>0</v>
      </c>
      <c r="D298" s="4">
        <f>IF(OR(INDEX($AH$2:$AH$1001,MATCH(ROWS($AG$2:AG298),$AG$2:$AG$1001,0),1)&gt;=100000,INDEX($AN$1005:$BO$1005,1,MATCH(COLUMNS($AN$1006:AP1006),$AN$1006:$BO$1006,0))&gt;=100000), " ",IF(INDEX($AN$2:$BO$1001,MATCH(ROWS($AG$2:AG298),$AG$2:$AG$1001,0),MATCH(COLUMNS($AN$1006:AP1006),$AN$1006:$BO$1006,0)), HYPERLINK("#",""), HYPERLINK(CONCATENATE("#Metadata!", ADDRESS(INDEX($AI$2:$AI$1001,MATCH(ROWS($AG$2:AG298),$AG$2:$AG$1001,0),0), INDEX($AN$1004:$BO$1004,1,MATCH(COLUMNS($AN$1006:AP1006),$AN$1006:$BO$1006,0)))),"Fix")))</f>
        <v>0</v>
      </c>
      <c r="E298" s="4">
        <f>IF(OR(INDEX($AH$2:$AH$1001,MATCH(ROWS($AG$2:AG298),$AG$2:$AG$1001,0),1)&gt;=100000,INDEX($AN$1005:$BO$1005,1,MATCH(COLUMNS($AN$1006:AQ1006),$AN$1006:$BO$1006,0))&gt;=100000), " ",IF(INDEX($AN$2:$BO$1001,MATCH(ROWS($AG$2:AG298),$AG$2:$AG$1001,0),MATCH(COLUMNS($AN$1006:AQ1006),$AN$1006:$BO$1006,0)), HYPERLINK("#",""), HYPERLINK(CONCATENATE("#Metadata!", ADDRESS(INDEX($AI$2:$AI$1001,MATCH(ROWS($AG$2:AG298),$AG$2:$AG$1001,0),0), INDEX($AN$1004:$BO$1004,1,MATCH(COLUMNS($AN$1006:AQ1006),$AN$1006:$BO$1006,0)))),"Fix")))</f>
        <v>0</v>
      </c>
      <c r="F298" s="4">
        <f>IF(OR(INDEX($AH$2:$AH$1001,MATCH(ROWS($AG$2:AG298),$AG$2:$AG$1001,0),1)&gt;=100000,INDEX($AN$1005:$BO$1005,1,MATCH(COLUMNS($AN$1006:AR1006),$AN$1006:$BO$1006,0))&gt;=100000), " ",IF(INDEX($AN$2:$BO$1001,MATCH(ROWS($AG$2:AG298),$AG$2:$AG$1001,0),MATCH(COLUMNS($AN$1006:AR1006),$AN$1006:$BO$1006,0)), HYPERLINK("#",""), HYPERLINK(CONCATENATE("#Metadata!", ADDRESS(INDEX($AI$2:$AI$1001,MATCH(ROWS($AG$2:AG298),$AG$2:$AG$1001,0),0), INDEX($AN$1004:$BO$1004,1,MATCH(COLUMNS($AN$1006:AR1006),$AN$1006:$BO$1006,0)))),"Fix")))</f>
        <v>0</v>
      </c>
      <c r="G298" s="4">
        <f>IF(OR(INDEX($AH$2:$AH$1001,MATCH(ROWS($AG$2:AG298),$AG$2:$AG$1001,0),1)&gt;=100000,INDEX($AN$1005:$BO$1005,1,MATCH(COLUMNS($AN$1006:AS1006),$AN$1006:$BO$1006,0))&gt;=100000), " ",IF(INDEX($AN$2:$BO$1001,MATCH(ROWS($AG$2:AG298),$AG$2:$AG$1001,0),MATCH(COLUMNS($AN$1006:AS1006),$AN$1006:$BO$1006,0)), HYPERLINK("#",""), HYPERLINK(CONCATENATE("#Metadata!", ADDRESS(INDEX($AI$2:$AI$1001,MATCH(ROWS($AG$2:AG298),$AG$2:$AG$1001,0),0), INDEX($AN$1004:$BO$1004,1,MATCH(COLUMNS($AN$1006:AS1006),$AN$1006:$BO$1006,0)))),"Fix")))</f>
        <v>0</v>
      </c>
      <c r="H298" s="4">
        <f>IF(OR(INDEX($AH$2:$AH$1001,MATCH(ROWS($AG$2:AG298),$AG$2:$AG$1001,0),1)&gt;=100000,INDEX($AN$1005:$BO$1005,1,MATCH(COLUMNS($AN$1006:AT1006),$AN$1006:$BO$1006,0))&gt;=100000), " ",IF(INDEX($AN$2:$BO$1001,MATCH(ROWS($AG$2:AG298),$AG$2:$AG$1001,0),MATCH(COLUMNS($AN$1006:AT1006),$AN$1006:$BO$1006,0)), HYPERLINK("#",""), HYPERLINK(CONCATENATE("#Metadata!", ADDRESS(INDEX($AI$2:$AI$1001,MATCH(ROWS($AG$2:AG298),$AG$2:$AG$1001,0),0), INDEX($AN$1004:$BO$1004,1,MATCH(COLUMNS($AN$1006:AT1006),$AN$1006:$BO$1006,0)))),"Fix")))</f>
        <v>0</v>
      </c>
      <c r="I298" s="4">
        <f>IF(OR(INDEX($AH$2:$AH$1001,MATCH(ROWS($AG$2:AG298),$AG$2:$AG$1001,0),1)&gt;=100000,INDEX($AN$1005:$BO$1005,1,MATCH(COLUMNS($AN$1006:AU1006),$AN$1006:$BO$1006,0))&gt;=100000), " ",IF(INDEX($AN$2:$BO$1001,MATCH(ROWS($AG$2:AG298),$AG$2:$AG$1001,0),MATCH(COLUMNS($AN$1006:AU1006),$AN$1006:$BO$1006,0)), HYPERLINK("#",""), HYPERLINK(CONCATENATE("#Metadata!", ADDRESS(INDEX($AI$2:$AI$1001,MATCH(ROWS($AG$2:AG298),$AG$2:$AG$1001,0),0), INDEX($AN$1004:$BO$1004,1,MATCH(COLUMNS($AN$1006:AU1006),$AN$1006:$BO$1006,0)))),"Fix")))</f>
        <v>0</v>
      </c>
      <c r="J298" s="4">
        <f>IF(OR(INDEX($AH$2:$AH$1001,MATCH(ROWS($AG$2:AG298),$AG$2:$AG$1001,0),1)&gt;=100000,INDEX($AN$1005:$BO$1005,1,MATCH(COLUMNS($AN$1006:AV1006),$AN$1006:$BO$1006,0))&gt;=100000), " ",IF(INDEX($AN$2:$BO$1001,MATCH(ROWS($AG$2:AG298),$AG$2:$AG$1001,0),MATCH(COLUMNS($AN$1006:AV1006),$AN$1006:$BO$1006,0)), HYPERLINK("#",""), HYPERLINK(CONCATENATE("#Metadata!", ADDRESS(INDEX($AI$2:$AI$1001,MATCH(ROWS($AG$2:AG298),$AG$2:$AG$1001,0),0), INDEX($AN$1004:$BO$1004,1,MATCH(COLUMNS($AN$1006:AV1006),$AN$1006:$BO$1006,0)))),"Fix")))</f>
        <v>0</v>
      </c>
      <c r="K298" s="4">
        <f>IF(OR(INDEX($AH$2:$AH$1001,MATCH(ROWS($AG$2:AG298),$AG$2:$AG$1001,0),1)&gt;=100000,INDEX($AN$1005:$BO$1005,1,MATCH(COLUMNS($AN$1006:AW1006),$AN$1006:$BO$1006,0))&gt;=100000), " ",IF(INDEX($AN$2:$BO$1001,MATCH(ROWS($AG$2:AG298),$AG$2:$AG$1001,0),MATCH(COLUMNS($AN$1006:AW1006),$AN$1006:$BO$1006,0)), HYPERLINK("#",""), HYPERLINK(CONCATENATE("#Metadata!", ADDRESS(INDEX($AI$2:$AI$1001,MATCH(ROWS($AG$2:AG298),$AG$2:$AG$1001,0),0), INDEX($AN$1004:$BO$1004,1,MATCH(COLUMNS($AN$1006:AW1006),$AN$1006:$BO$1006,0)))),"Fix")))</f>
        <v>0</v>
      </c>
      <c r="L298" s="4">
        <f>IF(OR(INDEX($AH$2:$AH$1001,MATCH(ROWS($AG$2:AG298),$AG$2:$AG$1001,0),1)&gt;=100000,INDEX($AN$1005:$BO$1005,1,MATCH(COLUMNS($AN$1006:AX1006),$AN$1006:$BO$1006,0))&gt;=100000), " ",IF(INDEX($AN$2:$BO$1001,MATCH(ROWS($AG$2:AG298),$AG$2:$AG$1001,0),MATCH(COLUMNS($AN$1006:AX1006),$AN$1006:$BO$1006,0)), HYPERLINK("#",""), HYPERLINK(CONCATENATE("#Metadata!", ADDRESS(INDEX($AI$2:$AI$1001,MATCH(ROWS($AG$2:AG298),$AG$2:$AG$1001,0),0), INDEX($AN$1004:$BO$1004,1,MATCH(COLUMNS($AN$1006:AX1006),$AN$1006:$BO$1006,0)))),"Fix")))</f>
        <v>0</v>
      </c>
      <c r="M298" s="4">
        <f>IF(OR(INDEX($AH$2:$AH$1001,MATCH(ROWS($AG$2:AG298),$AG$2:$AG$1001,0),1)&gt;=100000,INDEX($AN$1005:$BO$1005,1,MATCH(COLUMNS($AN$1006:AY1006),$AN$1006:$BO$1006,0))&gt;=100000), " ",IF(INDEX($AN$2:$BO$1001,MATCH(ROWS($AG$2:AG298),$AG$2:$AG$1001,0),MATCH(COLUMNS($AN$1006:AY1006),$AN$1006:$BO$1006,0)), HYPERLINK("#",""), HYPERLINK(CONCATENATE("#Metadata!", ADDRESS(INDEX($AI$2:$AI$1001,MATCH(ROWS($AG$2:AG298),$AG$2:$AG$1001,0),0), INDEX($AN$1004:$BO$1004,1,MATCH(COLUMNS($AN$1006:AY1006),$AN$1006:$BO$1006,0)))),"Fix")))</f>
        <v>0</v>
      </c>
      <c r="N298" s="4">
        <f>IF(OR(INDEX($AH$2:$AH$1001,MATCH(ROWS($AG$2:AG298),$AG$2:$AG$1001,0),1)&gt;=100000,INDEX($AN$1005:$BO$1005,1,MATCH(COLUMNS($AN$1006:AZ1006),$AN$1006:$BO$1006,0))&gt;=100000), " ",IF(INDEX($AN$2:$BO$1001,MATCH(ROWS($AG$2:AG298),$AG$2:$AG$1001,0),MATCH(COLUMNS($AN$1006:AZ1006),$AN$1006:$BO$1006,0)), HYPERLINK("#",""), HYPERLINK(CONCATENATE("#Metadata!", ADDRESS(INDEX($AI$2:$AI$1001,MATCH(ROWS($AG$2:AG298),$AG$2:$AG$1001,0),0), INDEX($AN$1004:$BO$1004,1,MATCH(COLUMNS($AN$1006:AZ1006),$AN$1006:$BO$1006,0)))),"Fix")))</f>
        <v>0</v>
      </c>
      <c r="O298" s="4">
        <f>IF(OR(INDEX($AH$2:$AH$1001,MATCH(ROWS($AG$2:AG298),$AG$2:$AG$1001,0),1)&gt;=100000,INDEX($AN$1005:$BO$1005,1,MATCH(COLUMNS($AN$1006:BA1006),$AN$1006:$BO$1006,0))&gt;=100000), " ",IF(INDEX($AN$2:$BO$1001,MATCH(ROWS($AG$2:AG298),$AG$2:$AG$1001,0),MATCH(COLUMNS($AN$1006:BA1006),$AN$1006:$BO$1006,0)), HYPERLINK("#",""), HYPERLINK(CONCATENATE("#Metadata!", ADDRESS(INDEX($AI$2:$AI$1001,MATCH(ROWS($AG$2:AG298),$AG$2:$AG$1001,0),0), INDEX($AN$1004:$BO$1004,1,MATCH(COLUMNS($AN$1006:BA1006),$AN$1006:$BO$1006,0)))),"Fix")))</f>
        <v>0</v>
      </c>
      <c r="P298" s="4">
        <f>IF(OR(INDEX($AH$2:$AH$1001,MATCH(ROWS($AG$2:AG298),$AG$2:$AG$1001,0),1)&gt;=100000,INDEX($AN$1005:$BO$1005,1,MATCH(COLUMNS($AN$1006:BB1006),$AN$1006:$BO$1006,0))&gt;=100000), " ",IF(INDEX($AN$2:$BO$1001,MATCH(ROWS($AG$2:AG298),$AG$2:$AG$1001,0),MATCH(COLUMNS($AN$1006:BB1006),$AN$1006:$BO$1006,0)), HYPERLINK("#",""), HYPERLINK(CONCATENATE("#Metadata!", ADDRESS(INDEX($AI$2:$AI$1001,MATCH(ROWS($AG$2:AG298),$AG$2:$AG$1001,0),0), INDEX($AN$1004:$BO$1004,1,MATCH(COLUMNS($AN$1006:BB1006),$AN$1006:$BO$1006,0)))),"Fix")))</f>
        <v>0</v>
      </c>
      <c r="Q298" s="4">
        <f>IF(OR(INDEX($AH$2:$AH$1001,MATCH(ROWS($AG$2:AG298),$AG$2:$AG$1001,0),1)&gt;=100000,INDEX($AN$1005:$BO$1005,1,MATCH(COLUMNS($AN$1006:BC1006),$AN$1006:$BO$1006,0))&gt;=100000), " ",IF(INDEX($AN$2:$BO$1001,MATCH(ROWS($AG$2:AG298),$AG$2:$AG$1001,0),MATCH(COLUMNS($AN$1006:BC1006),$AN$1006:$BO$1006,0)), HYPERLINK("#",""), HYPERLINK(CONCATENATE("#Metadata!", ADDRESS(INDEX($AI$2:$AI$1001,MATCH(ROWS($AG$2:AG298),$AG$2:$AG$1001,0),0), INDEX($AN$1004:$BO$1004,1,MATCH(COLUMNS($AN$1006:BC1006),$AN$1006:$BO$1006,0)))),"Fix")))</f>
        <v>0</v>
      </c>
      <c r="R298" s="4">
        <f>IF(OR(INDEX($AH$2:$AH$1001,MATCH(ROWS($AG$2:AG298),$AG$2:$AG$1001,0),1)&gt;=100000,INDEX($AN$1005:$BO$1005,1,MATCH(COLUMNS($AN$1006:BD1006),$AN$1006:$BO$1006,0))&gt;=100000), " ",IF(INDEX($AN$2:$BO$1001,MATCH(ROWS($AG$2:AG298),$AG$2:$AG$1001,0),MATCH(COLUMNS($AN$1006:BD1006),$AN$1006:$BO$1006,0)), HYPERLINK("#",""), HYPERLINK(CONCATENATE("#Metadata!", ADDRESS(INDEX($AI$2:$AI$1001,MATCH(ROWS($AG$2:AG298),$AG$2:$AG$1001,0),0), INDEX($AN$1004:$BO$1004,1,MATCH(COLUMNS($AN$1006:BD1006),$AN$1006:$BO$1006,0)))),"Fix")))</f>
        <v>0</v>
      </c>
      <c r="S298" s="4">
        <f>IF(OR(INDEX($AH$2:$AH$1001,MATCH(ROWS($AG$2:AG298),$AG$2:$AG$1001,0),1)&gt;=100000,INDEX($AN$1005:$BO$1005,1,MATCH(COLUMNS($AN$1006:BE1006),$AN$1006:$BO$1006,0))&gt;=100000), " ",IF(INDEX($AN$2:$BO$1001,MATCH(ROWS($AG$2:AG298),$AG$2:$AG$1001,0),MATCH(COLUMNS($AN$1006:BE1006),$AN$1006:$BO$1006,0)), HYPERLINK("#",""), HYPERLINK(CONCATENATE("#Metadata!", ADDRESS(INDEX($AI$2:$AI$1001,MATCH(ROWS($AG$2:AG298),$AG$2:$AG$1001,0),0), INDEX($AN$1004:$BO$1004,1,MATCH(COLUMNS($AN$1006:BE1006),$AN$1006:$BO$1006,0)))),"Fix")))</f>
        <v>0</v>
      </c>
      <c r="T298" s="4">
        <f>IF(OR(INDEX($AH$2:$AH$1001,MATCH(ROWS($AG$2:AG298),$AG$2:$AG$1001,0),1)&gt;=100000,INDEX($AN$1005:$BO$1005,1,MATCH(COLUMNS($AN$1006:BF1006),$AN$1006:$BO$1006,0))&gt;=100000), " ",IF(INDEX($AN$2:$BO$1001,MATCH(ROWS($AG$2:AG298),$AG$2:$AG$1001,0),MATCH(COLUMNS($AN$1006:BF1006),$AN$1006:$BO$1006,0)), HYPERLINK("#",""), HYPERLINK(CONCATENATE("#Metadata!", ADDRESS(INDEX($AI$2:$AI$1001,MATCH(ROWS($AG$2:AG298),$AG$2:$AG$1001,0),0), INDEX($AN$1004:$BO$1004,1,MATCH(COLUMNS($AN$1006:BF1006),$AN$1006:$BO$1006,0)))),"Fix")))</f>
        <v>0</v>
      </c>
      <c r="U298" s="4">
        <f>IF(OR(INDEX($AH$2:$AH$1001,MATCH(ROWS($AG$2:AG298),$AG$2:$AG$1001,0),1)&gt;=100000,INDEX($AN$1005:$BO$1005,1,MATCH(COLUMNS($AN$1006:BG1006),$AN$1006:$BO$1006,0))&gt;=100000), " ",IF(INDEX($AN$2:$BO$1001,MATCH(ROWS($AG$2:AG298),$AG$2:$AG$1001,0),MATCH(COLUMNS($AN$1006:BG1006),$AN$1006:$BO$1006,0)), HYPERLINK("#",""), HYPERLINK(CONCATENATE("#Metadata!", ADDRESS(INDEX($AI$2:$AI$1001,MATCH(ROWS($AG$2:AG298),$AG$2:$AG$1001,0),0), INDEX($AN$1004:$BO$1004,1,MATCH(COLUMNS($AN$1006:BG1006),$AN$1006:$BO$1006,0)))),"Fix")))</f>
        <v>0</v>
      </c>
      <c r="V298" s="4">
        <f>IF(OR(INDEX($AH$2:$AH$1001,MATCH(ROWS($AG$2:AG298),$AG$2:$AG$1001,0),1)&gt;=100000,INDEX($AN$1005:$BO$1005,1,MATCH(COLUMNS($AN$1006:BH1006),$AN$1006:$BO$1006,0))&gt;=100000), " ",IF(INDEX($AN$2:$BO$1001,MATCH(ROWS($AG$2:AG298),$AG$2:$AG$1001,0),MATCH(COLUMNS($AN$1006:BH1006),$AN$1006:$BO$1006,0)), HYPERLINK("#",""), HYPERLINK(CONCATENATE("#Metadata!", ADDRESS(INDEX($AI$2:$AI$1001,MATCH(ROWS($AG$2:AG298),$AG$2:$AG$1001,0),0), INDEX($AN$1004:$BO$1004,1,MATCH(COLUMNS($AN$1006:BH1006),$AN$1006:$BO$1006,0)))),"Fix")))</f>
        <v>0</v>
      </c>
      <c r="W298" s="4">
        <f>IF(OR(INDEX($AH$2:$AH$1001,MATCH(ROWS($AG$2:AG298),$AG$2:$AG$1001,0),1)&gt;=100000,INDEX($AN$1005:$BO$1005,1,MATCH(COLUMNS($AN$1006:BI1006),$AN$1006:$BO$1006,0))&gt;=100000), " ",IF(INDEX($AN$2:$BO$1001,MATCH(ROWS($AG$2:AG298),$AG$2:$AG$1001,0),MATCH(COLUMNS($AN$1006:BI1006),$AN$1006:$BO$1006,0)), HYPERLINK("#",""), HYPERLINK(CONCATENATE("#Metadata!", ADDRESS(INDEX($AI$2:$AI$1001,MATCH(ROWS($AG$2:AG298),$AG$2:$AG$1001,0),0), INDEX($AN$1004:$BO$1004,1,MATCH(COLUMNS($AN$1006:BI1006),$AN$1006:$BO$1006,0)))),"Fix")))</f>
        <v>0</v>
      </c>
      <c r="X298" s="4">
        <f>IF(OR(INDEX($AH$2:$AH$1001,MATCH(ROWS($AG$2:AG298),$AG$2:$AG$1001,0),1)&gt;=100000,INDEX($AN$1005:$BO$1005,1,MATCH(COLUMNS($AN$1006:BJ1006),$AN$1006:$BO$1006,0))&gt;=100000), " ",IF(INDEX($AN$2:$BO$1001,MATCH(ROWS($AG$2:AG298),$AG$2:$AG$1001,0),MATCH(COLUMNS($AN$1006:BJ1006),$AN$1006:$BO$1006,0)), HYPERLINK("#",""), HYPERLINK(CONCATENATE("#Metadata!", ADDRESS(INDEX($AI$2:$AI$1001,MATCH(ROWS($AG$2:AG298),$AG$2:$AG$1001,0),0), INDEX($AN$1004:$BO$1004,1,MATCH(COLUMNS($AN$1006:BJ1006),$AN$1006:$BO$1006,0)))),"Fix")))</f>
        <v>0</v>
      </c>
      <c r="Y298" s="4">
        <f>IF(OR(INDEX($AH$2:$AH$1001,MATCH(ROWS($AG$2:AG298),$AG$2:$AG$1001,0),1)&gt;=100000,INDEX($AN$1005:$BO$1005,1,MATCH(COLUMNS($AN$1006:BK1006),$AN$1006:$BO$1006,0))&gt;=100000), " ",IF(INDEX($AN$2:$BO$1001,MATCH(ROWS($AG$2:AG298),$AG$2:$AG$1001,0),MATCH(COLUMNS($AN$1006:BK1006),$AN$1006:$BO$1006,0)), HYPERLINK("#",""), HYPERLINK(CONCATENATE("#Metadata!", ADDRESS(INDEX($AI$2:$AI$1001,MATCH(ROWS($AG$2:AG298),$AG$2:$AG$1001,0),0), INDEX($AN$1004:$BO$1004,1,MATCH(COLUMNS($AN$1006:BK1006),$AN$1006:$BO$1006,0)))),"Fix")))</f>
        <v>0</v>
      </c>
      <c r="Z298" s="4">
        <f>IF(OR(INDEX($AH$2:$AH$1001,MATCH(ROWS($AG$2:AG298),$AG$2:$AG$1001,0),1)&gt;=100000,INDEX($AN$1005:$BO$1005,1,MATCH(COLUMNS($AN$1006:BL1006),$AN$1006:$BO$1006,0))&gt;=100000), " ",IF(INDEX($AN$2:$BO$1001,MATCH(ROWS($AG$2:AG298),$AG$2:$AG$1001,0),MATCH(COLUMNS($AN$1006:BL1006),$AN$1006:$BO$1006,0)), HYPERLINK("#",""), HYPERLINK(CONCATENATE("#Metadata!", ADDRESS(INDEX($AI$2:$AI$1001,MATCH(ROWS($AG$2:AG298),$AG$2:$AG$1001,0),0), INDEX($AN$1004:$BO$1004,1,MATCH(COLUMNS($AN$1006:BL1006),$AN$1006:$BO$1006,0)))),"Fix")))</f>
        <v>0</v>
      </c>
      <c r="AA298" s="4">
        <f>IF(OR(INDEX($AH$2:$AH$1001,MATCH(ROWS($AG$2:AG298),$AG$2:$AG$1001,0),1)&gt;=100000,INDEX($AN$1005:$BO$1005,1,MATCH(COLUMNS($AN$1006:BM1006),$AN$1006:$BO$1006,0))&gt;=100000), " ",IF(INDEX($AN$2:$BO$1001,MATCH(ROWS($AG$2:AG298),$AG$2:$AG$1001,0),MATCH(COLUMNS($AN$1006:BM1006),$AN$1006:$BO$1006,0)), HYPERLINK("#",""), HYPERLINK(CONCATENATE("#Metadata!", ADDRESS(INDEX($AI$2:$AI$1001,MATCH(ROWS($AG$2:AG298),$AG$2:$AG$1001,0),0), INDEX($AN$1004:$BO$1004,1,MATCH(COLUMNS($AN$1006:BM1006),$AN$1006:$BO$1006,0)))),"Fix")))</f>
        <v>0</v>
      </c>
      <c r="AB298" s="4">
        <f>IF(OR(INDEX($AH$2:$AH$1001,MATCH(ROWS($AG$2:AG298),$AG$2:$AG$1001,0),1)&gt;=100000,INDEX($AN$1005:$BO$1005,1,MATCH(COLUMNS($AN$1006:BN1006),$AN$1006:$BO$1006,0))&gt;=100000), " ",IF(INDEX($AN$2:$BO$1001,MATCH(ROWS($AG$2:AG298),$AG$2:$AG$1001,0),MATCH(COLUMNS($AN$1006:BN1006),$AN$1006:$BO$1006,0)), HYPERLINK("#",""), HYPERLINK(CONCATENATE("#Metadata!", ADDRESS(INDEX($AI$2:$AI$1001,MATCH(ROWS($AG$2:AG298),$AG$2:$AG$1001,0),0), INDEX($AN$1004:$BO$1004,1,MATCH(COLUMNS($AN$1006:BN1006),$AN$1006:$BO$1006,0)))),"Fix")))</f>
        <v>0</v>
      </c>
      <c r="AC298" s="4">
        <f>IF(OR(INDEX($AH$2:$AH$1001,MATCH(ROWS($AG$2:AG298),$AG$2:$AG$1001,0),1)&gt;=100000,INDEX($AN$1005:$BO$1005,1,MATCH(COLUMNS($AN$1006:BO1006),$AN$1006:$BO$1006,0))&gt;=100000), " ",IF(INDEX($AN$2:$BO$1001,MATCH(ROWS($AG$2:AG298),$AG$2:$AG$1001,0),MATCH(COLUMNS($AN$1006:BO1006),$AN$1006:$BO$1006,0)), HYPERLINK("#",""), HYPERLINK(CONCATENATE("#Metadata!", ADDRESS(INDEX($AI$2:$AI$1001,MATCH(ROWS($AG$2:AG298),$AG$2:$AG$1001,0),0), INDEX($AN$1004:$BO$1004,1,MATCH(COLUMNS($AN$1006:BO1006),$AN$1006:$BO$1006,0)))),"Fix")))</f>
        <v>0</v>
      </c>
      <c r="AG298">
        <v>0</v>
      </c>
      <c r="AH298">
        <v>0</v>
      </c>
      <c r="AI298">
        <v>0</v>
      </c>
      <c r="AJ298">
        <f>IF(AK298,TRUE,AND(AN298:BO298))</f>
        <v>0</v>
      </c>
      <c r="AK298">
        <f>COUNTBLANK(Metadata!B298:AC298)=COLUMNS(Metadata!B298:AC298)</f>
        <v>0</v>
      </c>
      <c r="AL298">
        <v>0</v>
      </c>
      <c r="AN298">
        <f>AND(IF(Metadata!B298="",FALSE,TRUE),COUNTIF(Metadata!B:B, Metadata!B298) = 1,NOT(ISERROR(SUMPRODUCT(SEARCH(MID(Metadata!B298,ROW(INDIRECT("1:"&amp;LEN(Metadata!B298))), 1),"0123456789abcdefghijklmnopqrstuvwxyzABCDEFGHIJKLMNOPQRSTUVWXYZ.")))))</f>
        <v>0</v>
      </c>
      <c r="AO298">
        <f>IF(Metadata!C298="",FALSE,TRUE)</f>
        <v>0</v>
      </c>
      <c r="AP298">
        <f>IF(Metadata!D298="",FALSE,TRUE)</f>
        <v>0</v>
      </c>
      <c r="AQ298">
        <f>OR(AND(IF(Metadata!E298="",FALSE,TRUE),OR(exact(Metadata!E298,"not collected"),exact(Metadata!E298,"not provided"),exact(Metadata!E298,"restricted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R298">
        <f>IF(Metadata!F298="",FALSE,TRUE)</f>
        <v>0</v>
      </c>
      <c r="AS298">
        <f>OR(AND(IF(Metadata!G298="",FALSE,TRUE),OR(exact(Metadata!G298,"not collected"),exact(Metadata!G298,"not provided"))),AND(IF(Metadata!G298="",FALSE,TRUE),OR(exact(Metadata!G298,"TRUE"),exact(Metadata!G298,"FALSE"))))</f>
        <v>0</v>
      </c>
      <c r="AT298">
        <f>OR(AND(IF(Metadata!H298="",FALSE,TRUE),OR(exact(Metadata!H298,"not collected"),exact(Metadata!H298,"not provided"),exact(Metadata!H298,"restricted access"))),AND(IF(Metadata!H298="",FALSE,ISNUMBER(VALUE(Metadata!H298))),Metadata!H298&gt;=-413.0))</f>
        <v>0</v>
      </c>
      <c r="AU298">
        <f>AND(IF(Metadata!I298="",FALSE,TRUE),exact(Metadata!I298,"meters"))</f>
        <v>0</v>
      </c>
      <c r="AV298">
        <f>AND(IF(Metadata!J298="",FALSE,TRUE),OR(exact(Metadata!J298,"Host-associated"),exact(Metadata!J298,"Free-living")))</f>
        <v>0</v>
      </c>
      <c r="AW298">
        <f>AND(IF(Metadata!K298="",FALSE,TRUE),OR(exact(Metadata!K298,"Animal"),exact(Metadata!K298,"Fungus"),exact(Metadata!K298,"Plant"),exact(Metadata!K298,"Saline"),exact(Metadata!K298,"Non-saline")))</f>
        <v>0</v>
      </c>
      <c r="AX298">
        <f>AND(IF(Metadata!L298="",FALSE,TRUE),OR(exact(Metadata!L298,"Plant secretion"),exact(Metadata!L298,"Plant rhizosphere"),exact(Metadata!L298,"Plant surface"),exact(Metadata!L298,"Plant corpus"),exact(Metadata!L298,"Fungus surface"),exact(Metadata!L298,"Fungus corpus"),exact(Metadata!L298,"Animal surface"),exact(Metadata!L298,"Animal proximal gut"),exact(Metadata!L298,"Animal corpus"),exact(Metadata!L298,"Animal distal gut"),exact(Metadata!L298,"Animal secretion"),exact(Metadata!L298,"Sub-surface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Y298">
        <f>IF(Metadata!M298="",FALSE,TRUE)</f>
        <v>0</v>
      </c>
      <c r="AZ298">
        <f>IF(Metadata!N298="",FALSE,TRUE)</f>
        <v>0</v>
      </c>
      <c r="BA298">
        <f>IF(Metadata!O298="",FALSE,TRUE)</f>
        <v>0</v>
      </c>
      <c r="BB298">
        <f>OR(AND(IF(Metadata!P298="",FALSE,TRUE),OR(exact(Metadata!P298,"not collected"),exact(Metadata!P298,"not provided"),exact(Metadata!P298,"restricted access"))),AND(IF(Metadata!P298="",FALSE,TRUE),OR(exact(Metadata!P298,"air"),exact(Metadata!P298,"built environment"),exact(Metadata!P298,"host-associated"),exact(Metadata!P298,"human-associated"),exact(Metadata!P298,"human-skin"),exact(Metadata!P298,"human-oral"),exact(Metadata!P298,"human-gut"),exact(Metadata!P298,"human-vaginal"),exact(Metadata!P298,"microbial mat/biofilm"),exact(Metadata!P298,"misc environment"),exact(Metadata!P298,"plant-associated"),exact(Metadata!P298,"sediment"),exact(Metadata!P298,"soil"),exact(Metadata!P298,"wastewater/sludge"),exact(Metadata!P298,"water"))))</f>
        <v>0</v>
      </c>
      <c r="BC298">
        <f>IF(Metadata!Q298="",FALSE,TRUE)</f>
        <v>0</v>
      </c>
      <c r="BD298">
        <f>IF(Metadata!R298="",FALSE,TRUE)</f>
        <v>0</v>
      </c>
      <c r="BE298">
        <f>OR(AND(IF(Metadata!S298="",FALSE,TRUE),OR(exact(Metadata!S298,"not collected"),exact(Metadata!S298,"not provided"),exact(Metadata!S298,"restricted access"))),AND(IF(Metadata!S298="",FALSE,ISNUMBER(VALUE(Metadata!S298))),Metadata!S298&gt;=-90.00,Metadata!S298&lt;=90.00))</f>
        <v>0</v>
      </c>
      <c r="BF298">
        <f>AND(IF(Metadata!T298="",FALSE,TRUE),exact(Metadata!T298,"Decimal degrees"))</f>
        <v>0</v>
      </c>
      <c r="BG298">
        <f>OR(AND(IF(Metadata!U298="",FALSE,TRUE),OR(exact(Metadata!U298,"not collected"),exact(Metadata!U298,"not provided"),exact(Metadata!U298,"restricted access"))),AND(IF(Metadata!U298="",FALSE,ISNUMBER(VALUE(Metadata!U298))),Metadata!U298&gt;=-180.00,Metadata!U298&lt;=180.00))</f>
        <v>0</v>
      </c>
      <c r="BH298">
        <f>AND(IF(Metadata!V298="",FALSE,TRUE),exact(Metadata!V298,"Decimal degrees"))</f>
        <v>0</v>
      </c>
      <c r="BI298">
        <f>IF(Metadata!W298="",FALSE,TRUE)</f>
        <v>0</v>
      </c>
      <c r="BJ298">
        <f>OR(AND(IF(Metadata!X298="",FALSE,TRUE),OR(exact(Metadata!X298,"not collected"),exact(Metadata!X298,"not provided"),exact(Metadata!X298,"restricted access"))),AND(IF(Metadata!X298="",FALSE,TRUE),OR(exact(Metadata!X298,"TRUE"),exact(Metadata!X298,"FALSE"))))</f>
        <v>0</v>
      </c>
      <c r="BK298">
        <f>AND(IF(Metadata!Y298="",FALSE,TRUE),exact(Metadata!Y298,"other"))</f>
        <v>0</v>
      </c>
      <c r="BL298">
        <f>IF(Metadata!Z298="",FALSE,TRUE)</f>
        <v>0</v>
      </c>
      <c r="BM298">
        <f>OR(AND(IF(Metadata!AA298="",FALSE,TRUE),OR(exact(Metadata!AA298,"not collected"),exact(Metadata!AA298,"not provided"))),AND(IF(Metadata!AA298="",FALSE,IF(ISERROR(INT(Metadata!AA298)),FALSE,INT(Metadata!AA298)=Metadata!AA298)),Metadata!AA298&gt;0))</f>
        <v>0</v>
      </c>
      <c r="BN298">
        <f>AND(IF(Metadata!AB298="",FALSE,TRUE),exact(Metadata!AB298,"Not applicable"))</f>
        <v>0</v>
      </c>
      <c r="BO298">
        <f>IF(Metadata!AC298="",FALSE,TRUE)</f>
        <v>0</v>
      </c>
    </row>
    <row r="299" spans="1:67">
      <c r="A299" s="5">
        <f>IF(B299=" "," ",HYPERLINK(CONCATENATE("#metadata!",ADDRESS(INDEX($AI$2:$AI$1001,MATCH(ROWS($AG$2:AG299),$AG$2:$AG$1001,0),0),1)),INDEX($AL$2:$AL$1001,MATCH(ROWS($AG$2:AG299),$AG$2:$AG$1001,0),0)))</f>
        <v>0</v>
      </c>
      <c r="B299" s="4">
        <f>IF(OR(INDEX($AH$2:$AH$1001,MATCH(ROWS($AG$2:AG299),$AG$2:$AG$1001,0),1)&gt;=100000,INDEX($AN$1005:$BO$1005,1,MATCH(COLUMNS($AN$1006:AN1006),$AN$1006:$BO$1006,0))&gt;=100000), " ",IF(INDEX($AN$2:$BO$1001,MATCH(ROWS($AG$2:AG299),$AG$2:$AG$1001,0),MATCH(COLUMNS($AN$1006:AN1006),$AN$1006:$BO$1006,0)), HYPERLINK("#",""), HYPERLINK(CONCATENATE("#Metadata!", ADDRESS(INDEX($AI$2:$AI$1001,MATCH(ROWS($AG$2:AG299),$AG$2:$AG$1001,0),0), INDEX($AN$1004:$BO$1004,1,MATCH(COLUMNS($AN$1006:AN1006),$AN$1006:$BO$1006,0)))),"Fix")))</f>
        <v>0</v>
      </c>
      <c r="C299" s="4">
        <f>IF(OR(INDEX($AH$2:$AH$1001,MATCH(ROWS($AG$2:AG299),$AG$2:$AG$1001,0),1)&gt;=100000,INDEX($AN$1005:$BO$1005,1,MATCH(COLUMNS($AN$1006:AO1006),$AN$1006:$BO$1006,0))&gt;=100000), " ",IF(INDEX($AN$2:$BO$1001,MATCH(ROWS($AG$2:AG299),$AG$2:$AG$1001,0),MATCH(COLUMNS($AN$1006:AO1006),$AN$1006:$BO$1006,0)), HYPERLINK("#",""), HYPERLINK(CONCATENATE("#Metadata!", ADDRESS(INDEX($AI$2:$AI$1001,MATCH(ROWS($AG$2:AG299),$AG$2:$AG$1001,0),0), INDEX($AN$1004:$BO$1004,1,MATCH(COLUMNS($AN$1006:AO1006),$AN$1006:$BO$1006,0)))),"Fix")))</f>
        <v>0</v>
      </c>
      <c r="D299" s="4">
        <f>IF(OR(INDEX($AH$2:$AH$1001,MATCH(ROWS($AG$2:AG299),$AG$2:$AG$1001,0),1)&gt;=100000,INDEX($AN$1005:$BO$1005,1,MATCH(COLUMNS($AN$1006:AP1006),$AN$1006:$BO$1006,0))&gt;=100000), " ",IF(INDEX($AN$2:$BO$1001,MATCH(ROWS($AG$2:AG299),$AG$2:$AG$1001,0),MATCH(COLUMNS($AN$1006:AP1006),$AN$1006:$BO$1006,0)), HYPERLINK("#",""), HYPERLINK(CONCATENATE("#Metadata!", ADDRESS(INDEX($AI$2:$AI$1001,MATCH(ROWS($AG$2:AG299),$AG$2:$AG$1001,0),0), INDEX($AN$1004:$BO$1004,1,MATCH(COLUMNS($AN$1006:AP1006),$AN$1006:$BO$1006,0)))),"Fix")))</f>
        <v>0</v>
      </c>
      <c r="E299" s="4">
        <f>IF(OR(INDEX($AH$2:$AH$1001,MATCH(ROWS($AG$2:AG299),$AG$2:$AG$1001,0),1)&gt;=100000,INDEX($AN$1005:$BO$1005,1,MATCH(COLUMNS($AN$1006:AQ1006),$AN$1006:$BO$1006,0))&gt;=100000), " ",IF(INDEX($AN$2:$BO$1001,MATCH(ROWS($AG$2:AG299),$AG$2:$AG$1001,0),MATCH(COLUMNS($AN$1006:AQ1006),$AN$1006:$BO$1006,0)), HYPERLINK("#",""), HYPERLINK(CONCATENATE("#Metadata!", ADDRESS(INDEX($AI$2:$AI$1001,MATCH(ROWS($AG$2:AG299),$AG$2:$AG$1001,0),0), INDEX($AN$1004:$BO$1004,1,MATCH(COLUMNS($AN$1006:AQ1006),$AN$1006:$BO$1006,0)))),"Fix")))</f>
        <v>0</v>
      </c>
      <c r="F299" s="4">
        <f>IF(OR(INDEX($AH$2:$AH$1001,MATCH(ROWS($AG$2:AG299),$AG$2:$AG$1001,0),1)&gt;=100000,INDEX($AN$1005:$BO$1005,1,MATCH(COLUMNS($AN$1006:AR1006),$AN$1006:$BO$1006,0))&gt;=100000), " ",IF(INDEX($AN$2:$BO$1001,MATCH(ROWS($AG$2:AG299),$AG$2:$AG$1001,0),MATCH(COLUMNS($AN$1006:AR1006),$AN$1006:$BO$1006,0)), HYPERLINK("#",""), HYPERLINK(CONCATENATE("#Metadata!", ADDRESS(INDEX($AI$2:$AI$1001,MATCH(ROWS($AG$2:AG299),$AG$2:$AG$1001,0),0), INDEX($AN$1004:$BO$1004,1,MATCH(COLUMNS($AN$1006:AR1006),$AN$1006:$BO$1006,0)))),"Fix")))</f>
        <v>0</v>
      </c>
      <c r="G299" s="4">
        <f>IF(OR(INDEX($AH$2:$AH$1001,MATCH(ROWS($AG$2:AG299),$AG$2:$AG$1001,0),1)&gt;=100000,INDEX($AN$1005:$BO$1005,1,MATCH(COLUMNS($AN$1006:AS1006),$AN$1006:$BO$1006,0))&gt;=100000), " ",IF(INDEX($AN$2:$BO$1001,MATCH(ROWS($AG$2:AG299),$AG$2:$AG$1001,0),MATCH(COLUMNS($AN$1006:AS1006),$AN$1006:$BO$1006,0)), HYPERLINK("#",""), HYPERLINK(CONCATENATE("#Metadata!", ADDRESS(INDEX($AI$2:$AI$1001,MATCH(ROWS($AG$2:AG299),$AG$2:$AG$1001,0),0), INDEX($AN$1004:$BO$1004,1,MATCH(COLUMNS($AN$1006:AS1006),$AN$1006:$BO$1006,0)))),"Fix")))</f>
        <v>0</v>
      </c>
      <c r="H299" s="4">
        <f>IF(OR(INDEX($AH$2:$AH$1001,MATCH(ROWS($AG$2:AG299),$AG$2:$AG$1001,0),1)&gt;=100000,INDEX($AN$1005:$BO$1005,1,MATCH(COLUMNS($AN$1006:AT1006),$AN$1006:$BO$1006,0))&gt;=100000), " ",IF(INDEX($AN$2:$BO$1001,MATCH(ROWS($AG$2:AG299),$AG$2:$AG$1001,0),MATCH(COLUMNS($AN$1006:AT1006),$AN$1006:$BO$1006,0)), HYPERLINK("#",""), HYPERLINK(CONCATENATE("#Metadata!", ADDRESS(INDEX($AI$2:$AI$1001,MATCH(ROWS($AG$2:AG299),$AG$2:$AG$1001,0),0), INDEX($AN$1004:$BO$1004,1,MATCH(COLUMNS($AN$1006:AT1006),$AN$1006:$BO$1006,0)))),"Fix")))</f>
        <v>0</v>
      </c>
      <c r="I299" s="4">
        <f>IF(OR(INDEX($AH$2:$AH$1001,MATCH(ROWS($AG$2:AG299),$AG$2:$AG$1001,0),1)&gt;=100000,INDEX($AN$1005:$BO$1005,1,MATCH(COLUMNS($AN$1006:AU1006),$AN$1006:$BO$1006,0))&gt;=100000), " ",IF(INDEX($AN$2:$BO$1001,MATCH(ROWS($AG$2:AG299),$AG$2:$AG$1001,0),MATCH(COLUMNS($AN$1006:AU1006),$AN$1006:$BO$1006,0)), HYPERLINK("#",""), HYPERLINK(CONCATENATE("#Metadata!", ADDRESS(INDEX($AI$2:$AI$1001,MATCH(ROWS($AG$2:AG299),$AG$2:$AG$1001,0),0), INDEX($AN$1004:$BO$1004,1,MATCH(COLUMNS($AN$1006:AU1006),$AN$1006:$BO$1006,0)))),"Fix")))</f>
        <v>0</v>
      </c>
      <c r="J299" s="4">
        <f>IF(OR(INDEX($AH$2:$AH$1001,MATCH(ROWS($AG$2:AG299),$AG$2:$AG$1001,0),1)&gt;=100000,INDEX($AN$1005:$BO$1005,1,MATCH(COLUMNS($AN$1006:AV1006),$AN$1006:$BO$1006,0))&gt;=100000), " ",IF(INDEX($AN$2:$BO$1001,MATCH(ROWS($AG$2:AG299),$AG$2:$AG$1001,0),MATCH(COLUMNS($AN$1006:AV1006),$AN$1006:$BO$1006,0)), HYPERLINK("#",""), HYPERLINK(CONCATENATE("#Metadata!", ADDRESS(INDEX($AI$2:$AI$1001,MATCH(ROWS($AG$2:AG299),$AG$2:$AG$1001,0),0), INDEX($AN$1004:$BO$1004,1,MATCH(COLUMNS($AN$1006:AV1006),$AN$1006:$BO$1006,0)))),"Fix")))</f>
        <v>0</v>
      </c>
      <c r="K299" s="4">
        <f>IF(OR(INDEX($AH$2:$AH$1001,MATCH(ROWS($AG$2:AG299),$AG$2:$AG$1001,0),1)&gt;=100000,INDEX($AN$1005:$BO$1005,1,MATCH(COLUMNS($AN$1006:AW1006),$AN$1006:$BO$1006,0))&gt;=100000), " ",IF(INDEX($AN$2:$BO$1001,MATCH(ROWS($AG$2:AG299),$AG$2:$AG$1001,0),MATCH(COLUMNS($AN$1006:AW1006),$AN$1006:$BO$1006,0)), HYPERLINK("#",""), HYPERLINK(CONCATENATE("#Metadata!", ADDRESS(INDEX($AI$2:$AI$1001,MATCH(ROWS($AG$2:AG299),$AG$2:$AG$1001,0),0), INDEX($AN$1004:$BO$1004,1,MATCH(COLUMNS($AN$1006:AW1006),$AN$1006:$BO$1006,0)))),"Fix")))</f>
        <v>0</v>
      </c>
      <c r="L299" s="4">
        <f>IF(OR(INDEX($AH$2:$AH$1001,MATCH(ROWS($AG$2:AG299),$AG$2:$AG$1001,0),1)&gt;=100000,INDEX($AN$1005:$BO$1005,1,MATCH(COLUMNS($AN$1006:AX1006),$AN$1006:$BO$1006,0))&gt;=100000), " ",IF(INDEX($AN$2:$BO$1001,MATCH(ROWS($AG$2:AG299),$AG$2:$AG$1001,0),MATCH(COLUMNS($AN$1006:AX1006),$AN$1006:$BO$1006,0)), HYPERLINK("#",""), HYPERLINK(CONCATENATE("#Metadata!", ADDRESS(INDEX($AI$2:$AI$1001,MATCH(ROWS($AG$2:AG299),$AG$2:$AG$1001,0),0), INDEX($AN$1004:$BO$1004,1,MATCH(COLUMNS($AN$1006:AX1006),$AN$1006:$BO$1006,0)))),"Fix")))</f>
        <v>0</v>
      </c>
      <c r="M299" s="4">
        <f>IF(OR(INDEX($AH$2:$AH$1001,MATCH(ROWS($AG$2:AG299),$AG$2:$AG$1001,0),1)&gt;=100000,INDEX($AN$1005:$BO$1005,1,MATCH(COLUMNS($AN$1006:AY1006),$AN$1006:$BO$1006,0))&gt;=100000), " ",IF(INDEX($AN$2:$BO$1001,MATCH(ROWS($AG$2:AG299),$AG$2:$AG$1001,0),MATCH(COLUMNS($AN$1006:AY1006),$AN$1006:$BO$1006,0)), HYPERLINK("#",""), HYPERLINK(CONCATENATE("#Metadata!", ADDRESS(INDEX($AI$2:$AI$1001,MATCH(ROWS($AG$2:AG299),$AG$2:$AG$1001,0),0), INDEX($AN$1004:$BO$1004,1,MATCH(COLUMNS($AN$1006:AY1006),$AN$1006:$BO$1006,0)))),"Fix")))</f>
        <v>0</v>
      </c>
      <c r="N299" s="4">
        <f>IF(OR(INDEX($AH$2:$AH$1001,MATCH(ROWS($AG$2:AG299),$AG$2:$AG$1001,0),1)&gt;=100000,INDEX($AN$1005:$BO$1005,1,MATCH(COLUMNS($AN$1006:AZ1006),$AN$1006:$BO$1006,0))&gt;=100000), " ",IF(INDEX($AN$2:$BO$1001,MATCH(ROWS($AG$2:AG299),$AG$2:$AG$1001,0),MATCH(COLUMNS($AN$1006:AZ1006),$AN$1006:$BO$1006,0)), HYPERLINK("#",""), HYPERLINK(CONCATENATE("#Metadata!", ADDRESS(INDEX($AI$2:$AI$1001,MATCH(ROWS($AG$2:AG299),$AG$2:$AG$1001,0),0), INDEX($AN$1004:$BO$1004,1,MATCH(COLUMNS($AN$1006:AZ1006),$AN$1006:$BO$1006,0)))),"Fix")))</f>
        <v>0</v>
      </c>
      <c r="O299" s="4">
        <f>IF(OR(INDEX($AH$2:$AH$1001,MATCH(ROWS($AG$2:AG299),$AG$2:$AG$1001,0),1)&gt;=100000,INDEX($AN$1005:$BO$1005,1,MATCH(COLUMNS($AN$1006:BA1006),$AN$1006:$BO$1006,0))&gt;=100000), " ",IF(INDEX($AN$2:$BO$1001,MATCH(ROWS($AG$2:AG299),$AG$2:$AG$1001,0),MATCH(COLUMNS($AN$1006:BA1006),$AN$1006:$BO$1006,0)), HYPERLINK("#",""), HYPERLINK(CONCATENATE("#Metadata!", ADDRESS(INDEX($AI$2:$AI$1001,MATCH(ROWS($AG$2:AG299),$AG$2:$AG$1001,0),0), INDEX($AN$1004:$BO$1004,1,MATCH(COLUMNS($AN$1006:BA1006),$AN$1006:$BO$1006,0)))),"Fix")))</f>
        <v>0</v>
      </c>
      <c r="P299" s="4">
        <f>IF(OR(INDEX($AH$2:$AH$1001,MATCH(ROWS($AG$2:AG299),$AG$2:$AG$1001,0),1)&gt;=100000,INDEX($AN$1005:$BO$1005,1,MATCH(COLUMNS($AN$1006:BB1006),$AN$1006:$BO$1006,0))&gt;=100000), " ",IF(INDEX($AN$2:$BO$1001,MATCH(ROWS($AG$2:AG299),$AG$2:$AG$1001,0),MATCH(COLUMNS($AN$1006:BB1006),$AN$1006:$BO$1006,0)), HYPERLINK("#",""), HYPERLINK(CONCATENATE("#Metadata!", ADDRESS(INDEX($AI$2:$AI$1001,MATCH(ROWS($AG$2:AG299),$AG$2:$AG$1001,0),0), INDEX($AN$1004:$BO$1004,1,MATCH(COLUMNS($AN$1006:BB1006),$AN$1006:$BO$1006,0)))),"Fix")))</f>
        <v>0</v>
      </c>
      <c r="Q299" s="4">
        <f>IF(OR(INDEX($AH$2:$AH$1001,MATCH(ROWS($AG$2:AG299),$AG$2:$AG$1001,0),1)&gt;=100000,INDEX($AN$1005:$BO$1005,1,MATCH(COLUMNS($AN$1006:BC1006),$AN$1006:$BO$1006,0))&gt;=100000), " ",IF(INDEX($AN$2:$BO$1001,MATCH(ROWS($AG$2:AG299),$AG$2:$AG$1001,0),MATCH(COLUMNS($AN$1006:BC1006),$AN$1006:$BO$1006,0)), HYPERLINK("#",""), HYPERLINK(CONCATENATE("#Metadata!", ADDRESS(INDEX($AI$2:$AI$1001,MATCH(ROWS($AG$2:AG299),$AG$2:$AG$1001,0),0), INDEX($AN$1004:$BO$1004,1,MATCH(COLUMNS($AN$1006:BC1006),$AN$1006:$BO$1006,0)))),"Fix")))</f>
        <v>0</v>
      </c>
      <c r="R299" s="4">
        <f>IF(OR(INDEX($AH$2:$AH$1001,MATCH(ROWS($AG$2:AG299),$AG$2:$AG$1001,0),1)&gt;=100000,INDEX($AN$1005:$BO$1005,1,MATCH(COLUMNS($AN$1006:BD1006),$AN$1006:$BO$1006,0))&gt;=100000), " ",IF(INDEX($AN$2:$BO$1001,MATCH(ROWS($AG$2:AG299),$AG$2:$AG$1001,0),MATCH(COLUMNS($AN$1006:BD1006),$AN$1006:$BO$1006,0)), HYPERLINK("#",""), HYPERLINK(CONCATENATE("#Metadata!", ADDRESS(INDEX($AI$2:$AI$1001,MATCH(ROWS($AG$2:AG299),$AG$2:$AG$1001,0),0), INDEX($AN$1004:$BO$1004,1,MATCH(COLUMNS($AN$1006:BD1006),$AN$1006:$BO$1006,0)))),"Fix")))</f>
        <v>0</v>
      </c>
      <c r="S299" s="4">
        <f>IF(OR(INDEX($AH$2:$AH$1001,MATCH(ROWS($AG$2:AG299),$AG$2:$AG$1001,0),1)&gt;=100000,INDEX($AN$1005:$BO$1005,1,MATCH(COLUMNS($AN$1006:BE1006),$AN$1006:$BO$1006,0))&gt;=100000), " ",IF(INDEX($AN$2:$BO$1001,MATCH(ROWS($AG$2:AG299),$AG$2:$AG$1001,0),MATCH(COLUMNS($AN$1006:BE1006),$AN$1006:$BO$1006,0)), HYPERLINK("#",""), HYPERLINK(CONCATENATE("#Metadata!", ADDRESS(INDEX($AI$2:$AI$1001,MATCH(ROWS($AG$2:AG299),$AG$2:$AG$1001,0),0), INDEX($AN$1004:$BO$1004,1,MATCH(COLUMNS($AN$1006:BE1006),$AN$1006:$BO$1006,0)))),"Fix")))</f>
        <v>0</v>
      </c>
      <c r="T299" s="4">
        <f>IF(OR(INDEX($AH$2:$AH$1001,MATCH(ROWS($AG$2:AG299),$AG$2:$AG$1001,0),1)&gt;=100000,INDEX($AN$1005:$BO$1005,1,MATCH(COLUMNS($AN$1006:BF1006),$AN$1006:$BO$1006,0))&gt;=100000), " ",IF(INDEX($AN$2:$BO$1001,MATCH(ROWS($AG$2:AG299),$AG$2:$AG$1001,0),MATCH(COLUMNS($AN$1006:BF1006),$AN$1006:$BO$1006,0)), HYPERLINK("#",""), HYPERLINK(CONCATENATE("#Metadata!", ADDRESS(INDEX($AI$2:$AI$1001,MATCH(ROWS($AG$2:AG299),$AG$2:$AG$1001,0),0), INDEX($AN$1004:$BO$1004,1,MATCH(COLUMNS($AN$1006:BF1006),$AN$1006:$BO$1006,0)))),"Fix")))</f>
        <v>0</v>
      </c>
      <c r="U299" s="4">
        <f>IF(OR(INDEX($AH$2:$AH$1001,MATCH(ROWS($AG$2:AG299),$AG$2:$AG$1001,0),1)&gt;=100000,INDEX($AN$1005:$BO$1005,1,MATCH(COLUMNS($AN$1006:BG1006),$AN$1006:$BO$1006,0))&gt;=100000), " ",IF(INDEX($AN$2:$BO$1001,MATCH(ROWS($AG$2:AG299),$AG$2:$AG$1001,0),MATCH(COLUMNS($AN$1006:BG1006),$AN$1006:$BO$1006,0)), HYPERLINK("#",""), HYPERLINK(CONCATENATE("#Metadata!", ADDRESS(INDEX($AI$2:$AI$1001,MATCH(ROWS($AG$2:AG299),$AG$2:$AG$1001,0),0), INDEX($AN$1004:$BO$1004,1,MATCH(COLUMNS($AN$1006:BG1006),$AN$1006:$BO$1006,0)))),"Fix")))</f>
        <v>0</v>
      </c>
      <c r="V299" s="4">
        <f>IF(OR(INDEX($AH$2:$AH$1001,MATCH(ROWS($AG$2:AG299),$AG$2:$AG$1001,0),1)&gt;=100000,INDEX($AN$1005:$BO$1005,1,MATCH(COLUMNS($AN$1006:BH1006),$AN$1006:$BO$1006,0))&gt;=100000), " ",IF(INDEX($AN$2:$BO$1001,MATCH(ROWS($AG$2:AG299),$AG$2:$AG$1001,0),MATCH(COLUMNS($AN$1006:BH1006),$AN$1006:$BO$1006,0)), HYPERLINK("#",""), HYPERLINK(CONCATENATE("#Metadata!", ADDRESS(INDEX($AI$2:$AI$1001,MATCH(ROWS($AG$2:AG299),$AG$2:$AG$1001,0),0), INDEX($AN$1004:$BO$1004,1,MATCH(COLUMNS($AN$1006:BH1006),$AN$1006:$BO$1006,0)))),"Fix")))</f>
        <v>0</v>
      </c>
      <c r="W299" s="4">
        <f>IF(OR(INDEX($AH$2:$AH$1001,MATCH(ROWS($AG$2:AG299),$AG$2:$AG$1001,0),1)&gt;=100000,INDEX($AN$1005:$BO$1005,1,MATCH(COLUMNS($AN$1006:BI1006),$AN$1006:$BO$1006,0))&gt;=100000), " ",IF(INDEX($AN$2:$BO$1001,MATCH(ROWS($AG$2:AG299),$AG$2:$AG$1001,0),MATCH(COLUMNS($AN$1006:BI1006),$AN$1006:$BO$1006,0)), HYPERLINK("#",""), HYPERLINK(CONCATENATE("#Metadata!", ADDRESS(INDEX($AI$2:$AI$1001,MATCH(ROWS($AG$2:AG299),$AG$2:$AG$1001,0),0), INDEX($AN$1004:$BO$1004,1,MATCH(COLUMNS($AN$1006:BI1006),$AN$1006:$BO$1006,0)))),"Fix")))</f>
        <v>0</v>
      </c>
      <c r="X299" s="4">
        <f>IF(OR(INDEX($AH$2:$AH$1001,MATCH(ROWS($AG$2:AG299),$AG$2:$AG$1001,0),1)&gt;=100000,INDEX($AN$1005:$BO$1005,1,MATCH(COLUMNS($AN$1006:BJ1006),$AN$1006:$BO$1006,0))&gt;=100000), " ",IF(INDEX($AN$2:$BO$1001,MATCH(ROWS($AG$2:AG299),$AG$2:$AG$1001,0),MATCH(COLUMNS($AN$1006:BJ1006),$AN$1006:$BO$1006,0)), HYPERLINK("#",""), HYPERLINK(CONCATENATE("#Metadata!", ADDRESS(INDEX($AI$2:$AI$1001,MATCH(ROWS($AG$2:AG299),$AG$2:$AG$1001,0),0), INDEX($AN$1004:$BO$1004,1,MATCH(COLUMNS($AN$1006:BJ1006),$AN$1006:$BO$1006,0)))),"Fix")))</f>
        <v>0</v>
      </c>
      <c r="Y299" s="4">
        <f>IF(OR(INDEX($AH$2:$AH$1001,MATCH(ROWS($AG$2:AG299),$AG$2:$AG$1001,0),1)&gt;=100000,INDEX($AN$1005:$BO$1005,1,MATCH(COLUMNS($AN$1006:BK1006),$AN$1006:$BO$1006,0))&gt;=100000), " ",IF(INDEX($AN$2:$BO$1001,MATCH(ROWS($AG$2:AG299),$AG$2:$AG$1001,0),MATCH(COLUMNS($AN$1006:BK1006),$AN$1006:$BO$1006,0)), HYPERLINK("#",""), HYPERLINK(CONCATENATE("#Metadata!", ADDRESS(INDEX($AI$2:$AI$1001,MATCH(ROWS($AG$2:AG299),$AG$2:$AG$1001,0),0), INDEX($AN$1004:$BO$1004,1,MATCH(COLUMNS($AN$1006:BK1006),$AN$1006:$BO$1006,0)))),"Fix")))</f>
        <v>0</v>
      </c>
      <c r="Z299" s="4">
        <f>IF(OR(INDEX($AH$2:$AH$1001,MATCH(ROWS($AG$2:AG299),$AG$2:$AG$1001,0),1)&gt;=100000,INDEX($AN$1005:$BO$1005,1,MATCH(COLUMNS($AN$1006:BL1006),$AN$1006:$BO$1006,0))&gt;=100000), " ",IF(INDEX($AN$2:$BO$1001,MATCH(ROWS($AG$2:AG299),$AG$2:$AG$1001,0),MATCH(COLUMNS($AN$1006:BL1006),$AN$1006:$BO$1006,0)), HYPERLINK("#",""), HYPERLINK(CONCATENATE("#Metadata!", ADDRESS(INDEX($AI$2:$AI$1001,MATCH(ROWS($AG$2:AG299),$AG$2:$AG$1001,0),0), INDEX($AN$1004:$BO$1004,1,MATCH(COLUMNS($AN$1006:BL1006),$AN$1006:$BO$1006,0)))),"Fix")))</f>
        <v>0</v>
      </c>
      <c r="AA299" s="4">
        <f>IF(OR(INDEX($AH$2:$AH$1001,MATCH(ROWS($AG$2:AG299),$AG$2:$AG$1001,0),1)&gt;=100000,INDEX($AN$1005:$BO$1005,1,MATCH(COLUMNS($AN$1006:BM1006),$AN$1006:$BO$1006,0))&gt;=100000), " ",IF(INDEX($AN$2:$BO$1001,MATCH(ROWS($AG$2:AG299),$AG$2:$AG$1001,0),MATCH(COLUMNS($AN$1006:BM1006),$AN$1006:$BO$1006,0)), HYPERLINK("#",""), HYPERLINK(CONCATENATE("#Metadata!", ADDRESS(INDEX($AI$2:$AI$1001,MATCH(ROWS($AG$2:AG299),$AG$2:$AG$1001,0),0), INDEX($AN$1004:$BO$1004,1,MATCH(COLUMNS($AN$1006:BM1006),$AN$1006:$BO$1006,0)))),"Fix")))</f>
        <v>0</v>
      </c>
      <c r="AB299" s="4">
        <f>IF(OR(INDEX($AH$2:$AH$1001,MATCH(ROWS($AG$2:AG299),$AG$2:$AG$1001,0),1)&gt;=100000,INDEX($AN$1005:$BO$1005,1,MATCH(COLUMNS($AN$1006:BN1006),$AN$1006:$BO$1006,0))&gt;=100000), " ",IF(INDEX($AN$2:$BO$1001,MATCH(ROWS($AG$2:AG299),$AG$2:$AG$1001,0),MATCH(COLUMNS($AN$1006:BN1006),$AN$1006:$BO$1006,0)), HYPERLINK("#",""), HYPERLINK(CONCATENATE("#Metadata!", ADDRESS(INDEX($AI$2:$AI$1001,MATCH(ROWS($AG$2:AG299),$AG$2:$AG$1001,0),0), INDEX($AN$1004:$BO$1004,1,MATCH(COLUMNS($AN$1006:BN1006),$AN$1006:$BO$1006,0)))),"Fix")))</f>
        <v>0</v>
      </c>
      <c r="AC299" s="4">
        <f>IF(OR(INDEX($AH$2:$AH$1001,MATCH(ROWS($AG$2:AG299),$AG$2:$AG$1001,0),1)&gt;=100000,INDEX($AN$1005:$BO$1005,1,MATCH(COLUMNS($AN$1006:BO1006),$AN$1006:$BO$1006,0))&gt;=100000), " ",IF(INDEX($AN$2:$BO$1001,MATCH(ROWS($AG$2:AG299),$AG$2:$AG$1001,0),MATCH(COLUMNS($AN$1006:BO1006),$AN$1006:$BO$1006,0)), HYPERLINK("#",""), HYPERLINK(CONCATENATE("#Metadata!", ADDRESS(INDEX($AI$2:$AI$1001,MATCH(ROWS($AG$2:AG299),$AG$2:$AG$1001,0),0), INDEX($AN$1004:$BO$1004,1,MATCH(COLUMNS($AN$1006:BO1006),$AN$1006:$BO$1006,0)))),"Fix")))</f>
        <v>0</v>
      </c>
      <c r="AG299">
        <v>0</v>
      </c>
      <c r="AH299">
        <v>0</v>
      </c>
      <c r="AI299">
        <v>0</v>
      </c>
      <c r="AJ299">
        <f>IF(AK299,TRUE,AND(AN299:BO299))</f>
        <v>0</v>
      </c>
      <c r="AK299">
        <f>COUNTBLANK(Metadata!B299:AC299)=COLUMNS(Metadata!B299:AC299)</f>
        <v>0</v>
      </c>
      <c r="AL299">
        <v>0</v>
      </c>
      <c r="AN299">
        <f>AND(IF(Metadata!B299="",FALSE,TRUE),COUNTIF(Metadata!B:B, Metadata!B299) = 1,NOT(ISERROR(SUMPRODUCT(SEARCH(MID(Metadata!B299,ROW(INDIRECT("1:"&amp;LEN(Metadata!B299))), 1),"0123456789abcdefghijklmnopqrstuvwxyzABCDEFGHIJKLMNOPQRSTUVWXYZ.")))))</f>
        <v>0</v>
      </c>
      <c r="AO299">
        <f>IF(Metadata!C299="",FALSE,TRUE)</f>
        <v>0</v>
      </c>
      <c r="AP299">
        <f>IF(Metadata!D299="",FALSE,TRUE)</f>
        <v>0</v>
      </c>
      <c r="AQ299">
        <f>OR(AND(IF(Metadata!E299="",FALSE,TRUE),OR(exact(Metadata!E299,"not collected"),exact(Metadata!E299,"not provided"),exact(Metadata!E299,"restricted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R299">
        <f>IF(Metadata!F299="",FALSE,TRUE)</f>
        <v>0</v>
      </c>
      <c r="AS299">
        <f>OR(AND(IF(Metadata!G299="",FALSE,TRUE),OR(exact(Metadata!G299,"not collected"),exact(Metadata!G299,"not provided"))),AND(IF(Metadata!G299="",FALSE,TRUE),OR(exact(Metadata!G299,"TRUE"),exact(Metadata!G299,"FALSE"))))</f>
        <v>0</v>
      </c>
      <c r="AT299">
        <f>OR(AND(IF(Metadata!H299="",FALSE,TRUE),OR(exact(Metadata!H299,"not collected"),exact(Metadata!H299,"not provided"),exact(Metadata!H299,"restricted access"))),AND(IF(Metadata!H299="",FALSE,ISNUMBER(VALUE(Metadata!H299))),Metadata!H299&gt;=-413.0))</f>
        <v>0</v>
      </c>
      <c r="AU299">
        <f>AND(IF(Metadata!I299="",FALSE,TRUE),exact(Metadata!I299,"meters"))</f>
        <v>0</v>
      </c>
      <c r="AV299">
        <f>AND(IF(Metadata!J299="",FALSE,TRUE),OR(exact(Metadata!J299,"Host-associated"),exact(Metadata!J299,"Free-living")))</f>
        <v>0</v>
      </c>
      <c r="AW299">
        <f>AND(IF(Metadata!K299="",FALSE,TRUE),OR(exact(Metadata!K299,"Animal"),exact(Metadata!K299,"Fungus"),exact(Metadata!K299,"Plant"),exact(Metadata!K299,"Saline"),exact(Metadata!K299,"Non-saline")))</f>
        <v>0</v>
      </c>
      <c r="AX299">
        <f>AND(IF(Metadata!L299="",FALSE,TRUE),OR(exact(Metadata!L299,"Plant secretion"),exact(Metadata!L299,"Plant rhizosphere"),exact(Metadata!L299,"Plant surface"),exact(Metadata!L299,"Plant corpus"),exact(Metadata!L299,"Fungus surface"),exact(Metadata!L299,"Fungus corpus"),exact(Metadata!L299,"Animal surface"),exact(Metadata!L299,"Animal proximal gut"),exact(Metadata!L299,"Animal corpus"),exact(Metadata!L299,"Animal distal gut"),exact(Metadata!L299,"Animal secretion"),exact(Metadata!L299,"Sub-surface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Y299">
        <f>IF(Metadata!M299="",FALSE,TRUE)</f>
        <v>0</v>
      </c>
      <c r="AZ299">
        <f>IF(Metadata!N299="",FALSE,TRUE)</f>
        <v>0</v>
      </c>
      <c r="BA299">
        <f>IF(Metadata!O299="",FALSE,TRUE)</f>
        <v>0</v>
      </c>
      <c r="BB299">
        <f>OR(AND(IF(Metadata!P299="",FALSE,TRUE),OR(exact(Metadata!P299,"not collected"),exact(Metadata!P299,"not provided"),exact(Metadata!P299,"restricted access"))),AND(IF(Metadata!P299="",FALSE,TRUE),OR(exact(Metadata!P299,"air"),exact(Metadata!P299,"built environment"),exact(Metadata!P299,"host-associated"),exact(Metadata!P299,"human-associated"),exact(Metadata!P299,"human-skin"),exact(Metadata!P299,"human-oral"),exact(Metadata!P299,"human-gut"),exact(Metadata!P299,"human-vaginal"),exact(Metadata!P299,"microbial mat/biofilm"),exact(Metadata!P299,"misc environment"),exact(Metadata!P299,"plant-associated"),exact(Metadata!P299,"sediment"),exact(Metadata!P299,"soil"),exact(Metadata!P299,"wastewater/sludge"),exact(Metadata!P299,"water"))))</f>
        <v>0</v>
      </c>
      <c r="BC299">
        <f>IF(Metadata!Q299="",FALSE,TRUE)</f>
        <v>0</v>
      </c>
      <c r="BD299">
        <f>IF(Metadata!R299="",FALSE,TRUE)</f>
        <v>0</v>
      </c>
      <c r="BE299">
        <f>OR(AND(IF(Metadata!S299="",FALSE,TRUE),OR(exact(Metadata!S299,"not collected"),exact(Metadata!S299,"not provided"),exact(Metadata!S299,"restricted access"))),AND(IF(Metadata!S299="",FALSE,ISNUMBER(VALUE(Metadata!S299))),Metadata!S299&gt;=-90.00,Metadata!S299&lt;=90.00))</f>
        <v>0</v>
      </c>
      <c r="BF299">
        <f>AND(IF(Metadata!T299="",FALSE,TRUE),exact(Metadata!T299,"Decimal degrees"))</f>
        <v>0</v>
      </c>
      <c r="BG299">
        <f>OR(AND(IF(Metadata!U299="",FALSE,TRUE),OR(exact(Metadata!U299,"not collected"),exact(Metadata!U299,"not provided"),exact(Metadata!U299,"restricted access"))),AND(IF(Metadata!U299="",FALSE,ISNUMBER(VALUE(Metadata!U299))),Metadata!U299&gt;=-180.00,Metadata!U299&lt;=180.00))</f>
        <v>0</v>
      </c>
      <c r="BH299">
        <f>AND(IF(Metadata!V299="",FALSE,TRUE),exact(Metadata!V299,"Decimal degrees"))</f>
        <v>0</v>
      </c>
      <c r="BI299">
        <f>IF(Metadata!W299="",FALSE,TRUE)</f>
        <v>0</v>
      </c>
      <c r="BJ299">
        <f>OR(AND(IF(Metadata!X299="",FALSE,TRUE),OR(exact(Metadata!X299,"not collected"),exact(Metadata!X299,"not provided"),exact(Metadata!X299,"restricted access"))),AND(IF(Metadata!X299="",FALSE,TRUE),OR(exact(Metadata!X299,"TRUE"),exact(Metadata!X299,"FALSE"))))</f>
        <v>0</v>
      </c>
      <c r="BK299">
        <f>AND(IF(Metadata!Y299="",FALSE,TRUE),exact(Metadata!Y299,"other"))</f>
        <v>0</v>
      </c>
      <c r="BL299">
        <f>IF(Metadata!Z299="",FALSE,TRUE)</f>
        <v>0</v>
      </c>
      <c r="BM299">
        <f>OR(AND(IF(Metadata!AA299="",FALSE,TRUE),OR(exact(Metadata!AA299,"not collected"),exact(Metadata!AA299,"not provided"))),AND(IF(Metadata!AA299="",FALSE,IF(ISERROR(INT(Metadata!AA299)),FALSE,INT(Metadata!AA299)=Metadata!AA299)),Metadata!AA299&gt;0))</f>
        <v>0</v>
      </c>
      <c r="BN299">
        <f>AND(IF(Metadata!AB299="",FALSE,TRUE),exact(Metadata!AB299,"Not applicable"))</f>
        <v>0</v>
      </c>
      <c r="BO299">
        <f>IF(Metadata!AC299="",FALSE,TRUE)</f>
        <v>0</v>
      </c>
    </row>
    <row r="300" spans="1:67">
      <c r="A300" s="5">
        <f>IF(B300=" "," ",HYPERLINK(CONCATENATE("#metadata!",ADDRESS(INDEX($AI$2:$AI$1001,MATCH(ROWS($AG$2:AG300),$AG$2:$AG$1001,0),0),1)),INDEX($AL$2:$AL$1001,MATCH(ROWS($AG$2:AG300),$AG$2:$AG$1001,0),0)))</f>
        <v>0</v>
      </c>
      <c r="B300" s="4">
        <f>IF(OR(INDEX($AH$2:$AH$1001,MATCH(ROWS($AG$2:AG300),$AG$2:$AG$1001,0),1)&gt;=100000,INDEX($AN$1005:$BO$1005,1,MATCH(COLUMNS($AN$1006:AN1006),$AN$1006:$BO$1006,0))&gt;=100000), " ",IF(INDEX($AN$2:$BO$1001,MATCH(ROWS($AG$2:AG300),$AG$2:$AG$1001,0),MATCH(COLUMNS($AN$1006:AN1006),$AN$1006:$BO$1006,0)), HYPERLINK("#",""), HYPERLINK(CONCATENATE("#Metadata!", ADDRESS(INDEX($AI$2:$AI$1001,MATCH(ROWS($AG$2:AG300),$AG$2:$AG$1001,0),0), INDEX($AN$1004:$BO$1004,1,MATCH(COLUMNS($AN$1006:AN1006),$AN$1006:$BO$1006,0)))),"Fix")))</f>
        <v>0</v>
      </c>
      <c r="C300" s="4">
        <f>IF(OR(INDEX($AH$2:$AH$1001,MATCH(ROWS($AG$2:AG300),$AG$2:$AG$1001,0),1)&gt;=100000,INDEX($AN$1005:$BO$1005,1,MATCH(COLUMNS($AN$1006:AO1006),$AN$1006:$BO$1006,0))&gt;=100000), " ",IF(INDEX($AN$2:$BO$1001,MATCH(ROWS($AG$2:AG300),$AG$2:$AG$1001,0),MATCH(COLUMNS($AN$1006:AO1006),$AN$1006:$BO$1006,0)), HYPERLINK("#",""), HYPERLINK(CONCATENATE("#Metadata!", ADDRESS(INDEX($AI$2:$AI$1001,MATCH(ROWS($AG$2:AG300),$AG$2:$AG$1001,0),0), INDEX($AN$1004:$BO$1004,1,MATCH(COLUMNS($AN$1006:AO1006),$AN$1006:$BO$1006,0)))),"Fix")))</f>
        <v>0</v>
      </c>
      <c r="D300" s="4">
        <f>IF(OR(INDEX($AH$2:$AH$1001,MATCH(ROWS($AG$2:AG300),$AG$2:$AG$1001,0),1)&gt;=100000,INDEX($AN$1005:$BO$1005,1,MATCH(COLUMNS($AN$1006:AP1006),$AN$1006:$BO$1006,0))&gt;=100000), " ",IF(INDEX($AN$2:$BO$1001,MATCH(ROWS($AG$2:AG300),$AG$2:$AG$1001,0),MATCH(COLUMNS($AN$1006:AP1006),$AN$1006:$BO$1006,0)), HYPERLINK("#",""), HYPERLINK(CONCATENATE("#Metadata!", ADDRESS(INDEX($AI$2:$AI$1001,MATCH(ROWS($AG$2:AG300),$AG$2:$AG$1001,0),0), INDEX($AN$1004:$BO$1004,1,MATCH(COLUMNS($AN$1006:AP1006),$AN$1006:$BO$1006,0)))),"Fix")))</f>
        <v>0</v>
      </c>
      <c r="E300" s="4">
        <f>IF(OR(INDEX($AH$2:$AH$1001,MATCH(ROWS($AG$2:AG300),$AG$2:$AG$1001,0),1)&gt;=100000,INDEX($AN$1005:$BO$1005,1,MATCH(COLUMNS($AN$1006:AQ1006),$AN$1006:$BO$1006,0))&gt;=100000), " ",IF(INDEX($AN$2:$BO$1001,MATCH(ROWS($AG$2:AG300),$AG$2:$AG$1001,0),MATCH(COLUMNS($AN$1006:AQ1006),$AN$1006:$BO$1006,0)), HYPERLINK("#",""), HYPERLINK(CONCATENATE("#Metadata!", ADDRESS(INDEX($AI$2:$AI$1001,MATCH(ROWS($AG$2:AG300),$AG$2:$AG$1001,0),0), INDEX($AN$1004:$BO$1004,1,MATCH(COLUMNS($AN$1006:AQ1006),$AN$1006:$BO$1006,0)))),"Fix")))</f>
        <v>0</v>
      </c>
      <c r="F300" s="4">
        <f>IF(OR(INDEX($AH$2:$AH$1001,MATCH(ROWS($AG$2:AG300),$AG$2:$AG$1001,0),1)&gt;=100000,INDEX($AN$1005:$BO$1005,1,MATCH(COLUMNS($AN$1006:AR1006),$AN$1006:$BO$1006,0))&gt;=100000), " ",IF(INDEX($AN$2:$BO$1001,MATCH(ROWS($AG$2:AG300),$AG$2:$AG$1001,0),MATCH(COLUMNS($AN$1006:AR1006),$AN$1006:$BO$1006,0)), HYPERLINK("#",""), HYPERLINK(CONCATENATE("#Metadata!", ADDRESS(INDEX($AI$2:$AI$1001,MATCH(ROWS($AG$2:AG300),$AG$2:$AG$1001,0),0), INDEX($AN$1004:$BO$1004,1,MATCH(COLUMNS($AN$1006:AR1006),$AN$1006:$BO$1006,0)))),"Fix")))</f>
        <v>0</v>
      </c>
      <c r="G300" s="4">
        <f>IF(OR(INDEX($AH$2:$AH$1001,MATCH(ROWS($AG$2:AG300),$AG$2:$AG$1001,0),1)&gt;=100000,INDEX($AN$1005:$BO$1005,1,MATCH(COLUMNS($AN$1006:AS1006),$AN$1006:$BO$1006,0))&gt;=100000), " ",IF(INDEX($AN$2:$BO$1001,MATCH(ROWS($AG$2:AG300),$AG$2:$AG$1001,0),MATCH(COLUMNS($AN$1006:AS1006),$AN$1006:$BO$1006,0)), HYPERLINK("#",""), HYPERLINK(CONCATENATE("#Metadata!", ADDRESS(INDEX($AI$2:$AI$1001,MATCH(ROWS($AG$2:AG300),$AG$2:$AG$1001,0),0), INDEX($AN$1004:$BO$1004,1,MATCH(COLUMNS($AN$1006:AS1006),$AN$1006:$BO$1006,0)))),"Fix")))</f>
        <v>0</v>
      </c>
      <c r="H300" s="4">
        <f>IF(OR(INDEX($AH$2:$AH$1001,MATCH(ROWS($AG$2:AG300),$AG$2:$AG$1001,0),1)&gt;=100000,INDEX($AN$1005:$BO$1005,1,MATCH(COLUMNS($AN$1006:AT1006),$AN$1006:$BO$1006,0))&gt;=100000), " ",IF(INDEX($AN$2:$BO$1001,MATCH(ROWS($AG$2:AG300),$AG$2:$AG$1001,0),MATCH(COLUMNS($AN$1006:AT1006),$AN$1006:$BO$1006,0)), HYPERLINK("#",""), HYPERLINK(CONCATENATE("#Metadata!", ADDRESS(INDEX($AI$2:$AI$1001,MATCH(ROWS($AG$2:AG300),$AG$2:$AG$1001,0),0), INDEX($AN$1004:$BO$1004,1,MATCH(COLUMNS($AN$1006:AT1006),$AN$1006:$BO$1006,0)))),"Fix")))</f>
        <v>0</v>
      </c>
      <c r="I300" s="4">
        <f>IF(OR(INDEX($AH$2:$AH$1001,MATCH(ROWS($AG$2:AG300),$AG$2:$AG$1001,0),1)&gt;=100000,INDEX($AN$1005:$BO$1005,1,MATCH(COLUMNS($AN$1006:AU1006),$AN$1006:$BO$1006,0))&gt;=100000), " ",IF(INDEX($AN$2:$BO$1001,MATCH(ROWS($AG$2:AG300),$AG$2:$AG$1001,0),MATCH(COLUMNS($AN$1006:AU1006),$AN$1006:$BO$1006,0)), HYPERLINK("#",""), HYPERLINK(CONCATENATE("#Metadata!", ADDRESS(INDEX($AI$2:$AI$1001,MATCH(ROWS($AG$2:AG300),$AG$2:$AG$1001,0),0), INDEX($AN$1004:$BO$1004,1,MATCH(COLUMNS($AN$1006:AU1006),$AN$1006:$BO$1006,0)))),"Fix")))</f>
        <v>0</v>
      </c>
      <c r="J300" s="4">
        <f>IF(OR(INDEX($AH$2:$AH$1001,MATCH(ROWS($AG$2:AG300),$AG$2:$AG$1001,0),1)&gt;=100000,INDEX($AN$1005:$BO$1005,1,MATCH(COLUMNS($AN$1006:AV1006),$AN$1006:$BO$1006,0))&gt;=100000), " ",IF(INDEX($AN$2:$BO$1001,MATCH(ROWS($AG$2:AG300),$AG$2:$AG$1001,0),MATCH(COLUMNS($AN$1006:AV1006),$AN$1006:$BO$1006,0)), HYPERLINK("#",""), HYPERLINK(CONCATENATE("#Metadata!", ADDRESS(INDEX($AI$2:$AI$1001,MATCH(ROWS($AG$2:AG300),$AG$2:$AG$1001,0),0), INDEX($AN$1004:$BO$1004,1,MATCH(COLUMNS($AN$1006:AV1006),$AN$1006:$BO$1006,0)))),"Fix")))</f>
        <v>0</v>
      </c>
      <c r="K300" s="4">
        <f>IF(OR(INDEX($AH$2:$AH$1001,MATCH(ROWS($AG$2:AG300),$AG$2:$AG$1001,0),1)&gt;=100000,INDEX($AN$1005:$BO$1005,1,MATCH(COLUMNS($AN$1006:AW1006),$AN$1006:$BO$1006,0))&gt;=100000), " ",IF(INDEX($AN$2:$BO$1001,MATCH(ROWS($AG$2:AG300),$AG$2:$AG$1001,0),MATCH(COLUMNS($AN$1006:AW1006),$AN$1006:$BO$1006,0)), HYPERLINK("#",""), HYPERLINK(CONCATENATE("#Metadata!", ADDRESS(INDEX($AI$2:$AI$1001,MATCH(ROWS($AG$2:AG300),$AG$2:$AG$1001,0),0), INDEX($AN$1004:$BO$1004,1,MATCH(COLUMNS($AN$1006:AW1006),$AN$1006:$BO$1006,0)))),"Fix")))</f>
        <v>0</v>
      </c>
      <c r="L300" s="4">
        <f>IF(OR(INDEX($AH$2:$AH$1001,MATCH(ROWS($AG$2:AG300),$AG$2:$AG$1001,0),1)&gt;=100000,INDEX($AN$1005:$BO$1005,1,MATCH(COLUMNS($AN$1006:AX1006),$AN$1006:$BO$1006,0))&gt;=100000), " ",IF(INDEX($AN$2:$BO$1001,MATCH(ROWS($AG$2:AG300),$AG$2:$AG$1001,0),MATCH(COLUMNS($AN$1006:AX1006),$AN$1006:$BO$1006,0)), HYPERLINK("#",""), HYPERLINK(CONCATENATE("#Metadata!", ADDRESS(INDEX($AI$2:$AI$1001,MATCH(ROWS($AG$2:AG300),$AG$2:$AG$1001,0),0), INDEX($AN$1004:$BO$1004,1,MATCH(COLUMNS($AN$1006:AX1006),$AN$1006:$BO$1006,0)))),"Fix")))</f>
        <v>0</v>
      </c>
      <c r="M300" s="4">
        <f>IF(OR(INDEX($AH$2:$AH$1001,MATCH(ROWS($AG$2:AG300),$AG$2:$AG$1001,0),1)&gt;=100000,INDEX($AN$1005:$BO$1005,1,MATCH(COLUMNS($AN$1006:AY1006),$AN$1006:$BO$1006,0))&gt;=100000), " ",IF(INDEX($AN$2:$BO$1001,MATCH(ROWS($AG$2:AG300),$AG$2:$AG$1001,0),MATCH(COLUMNS($AN$1006:AY1006),$AN$1006:$BO$1006,0)), HYPERLINK("#",""), HYPERLINK(CONCATENATE("#Metadata!", ADDRESS(INDEX($AI$2:$AI$1001,MATCH(ROWS($AG$2:AG300),$AG$2:$AG$1001,0),0), INDEX($AN$1004:$BO$1004,1,MATCH(COLUMNS($AN$1006:AY1006),$AN$1006:$BO$1006,0)))),"Fix")))</f>
        <v>0</v>
      </c>
      <c r="N300" s="4">
        <f>IF(OR(INDEX($AH$2:$AH$1001,MATCH(ROWS($AG$2:AG300),$AG$2:$AG$1001,0),1)&gt;=100000,INDEX($AN$1005:$BO$1005,1,MATCH(COLUMNS($AN$1006:AZ1006),$AN$1006:$BO$1006,0))&gt;=100000), " ",IF(INDEX($AN$2:$BO$1001,MATCH(ROWS($AG$2:AG300),$AG$2:$AG$1001,0),MATCH(COLUMNS($AN$1006:AZ1006),$AN$1006:$BO$1006,0)), HYPERLINK("#",""), HYPERLINK(CONCATENATE("#Metadata!", ADDRESS(INDEX($AI$2:$AI$1001,MATCH(ROWS($AG$2:AG300),$AG$2:$AG$1001,0),0), INDEX($AN$1004:$BO$1004,1,MATCH(COLUMNS($AN$1006:AZ1006),$AN$1006:$BO$1006,0)))),"Fix")))</f>
        <v>0</v>
      </c>
      <c r="O300" s="4">
        <f>IF(OR(INDEX($AH$2:$AH$1001,MATCH(ROWS($AG$2:AG300),$AG$2:$AG$1001,0),1)&gt;=100000,INDEX($AN$1005:$BO$1005,1,MATCH(COLUMNS($AN$1006:BA1006),$AN$1006:$BO$1006,0))&gt;=100000), " ",IF(INDEX($AN$2:$BO$1001,MATCH(ROWS($AG$2:AG300),$AG$2:$AG$1001,0),MATCH(COLUMNS($AN$1006:BA1006),$AN$1006:$BO$1006,0)), HYPERLINK("#",""), HYPERLINK(CONCATENATE("#Metadata!", ADDRESS(INDEX($AI$2:$AI$1001,MATCH(ROWS($AG$2:AG300),$AG$2:$AG$1001,0),0), INDEX($AN$1004:$BO$1004,1,MATCH(COLUMNS($AN$1006:BA1006),$AN$1006:$BO$1006,0)))),"Fix")))</f>
        <v>0</v>
      </c>
      <c r="P300" s="4">
        <f>IF(OR(INDEX($AH$2:$AH$1001,MATCH(ROWS($AG$2:AG300),$AG$2:$AG$1001,0),1)&gt;=100000,INDEX($AN$1005:$BO$1005,1,MATCH(COLUMNS($AN$1006:BB1006),$AN$1006:$BO$1006,0))&gt;=100000), " ",IF(INDEX($AN$2:$BO$1001,MATCH(ROWS($AG$2:AG300),$AG$2:$AG$1001,0),MATCH(COLUMNS($AN$1006:BB1006),$AN$1006:$BO$1006,0)), HYPERLINK("#",""), HYPERLINK(CONCATENATE("#Metadata!", ADDRESS(INDEX($AI$2:$AI$1001,MATCH(ROWS($AG$2:AG300),$AG$2:$AG$1001,0),0), INDEX($AN$1004:$BO$1004,1,MATCH(COLUMNS($AN$1006:BB1006),$AN$1006:$BO$1006,0)))),"Fix")))</f>
        <v>0</v>
      </c>
      <c r="Q300" s="4">
        <f>IF(OR(INDEX($AH$2:$AH$1001,MATCH(ROWS($AG$2:AG300),$AG$2:$AG$1001,0),1)&gt;=100000,INDEX($AN$1005:$BO$1005,1,MATCH(COLUMNS($AN$1006:BC1006),$AN$1006:$BO$1006,0))&gt;=100000), " ",IF(INDEX($AN$2:$BO$1001,MATCH(ROWS($AG$2:AG300),$AG$2:$AG$1001,0),MATCH(COLUMNS($AN$1006:BC1006),$AN$1006:$BO$1006,0)), HYPERLINK("#",""), HYPERLINK(CONCATENATE("#Metadata!", ADDRESS(INDEX($AI$2:$AI$1001,MATCH(ROWS($AG$2:AG300),$AG$2:$AG$1001,0),0), INDEX($AN$1004:$BO$1004,1,MATCH(COLUMNS($AN$1006:BC1006),$AN$1006:$BO$1006,0)))),"Fix")))</f>
        <v>0</v>
      </c>
      <c r="R300" s="4">
        <f>IF(OR(INDEX($AH$2:$AH$1001,MATCH(ROWS($AG$2:AG300),$AG$2:$AG$1001,0),1)&gt;=100000,INDEX($AN$1005:$BO$1005,1,MATCH(COLUMNS($AN$1006:BD1006),$AN$1006:$BO$1006,0))&gt;=100000), " ",IF(INDEX($AN$2:$BO$1001,MATCH(ROWS($AG$2:AG300),$AG$2:$AG$1001,0),MATCH(COLUMNS($AN$1006:BD1006),$AN$1006:$BO$1006,0)), HYPERLINK("#",""), HYPERLINK(CONCATENATE("#Metadata!", ADDRESS(INDEX($AI$2:$AI$1001,MATCH(ROWS($AG$2:AG300),$AG$2:$AG$1001,0),0), INDEX($AN$1004:$BO$1004,1,MATCH(COLUMNS($AN$1006:BD1006),$AN$1006:$BO$1006,0)))),"Fix")))</f>
        <v>0</v>
      </c>
      <c r="S300" s="4">
        <f>IF(OR(INDEX($AH$2:$AH$1001,MATCH(ROWS($AG$2:AG300),$AG$2:$AG$1001,0),1)&gt;=100000,INDEX($AN$1005:$BO$1005,1,MATCH(COLUMNS($AN$1006:BE1006),$AN$1006:$BO$1006,0))&gt;=100000), " ",IF(INDEX($AN$2:$BO$1001,MATCH(ROWS($AG$2:AG300),$AG$2:$AG$1001,0),MATCH(COLUMNS($AN$1006:BE1006),$AN$1006:$BO$1006,0)), HYPERLINK("#",""), HYPERLINK(CONCATENATE("#Metadata!", ADDRESS(INDEX($AI$2:$AI$1001,MATCH(ROWS($AG$2:AG300),$AG$2:$AG$1001,0),0), INDEX($AN$1004:$BO$1004,1,MATCH(COLUMNS($AN$1006:BE1006),$AN$1006:$BO$1006,0)))),"Fix")))</f>
        <v>0</v>
      </c>
      <c r="T300" s="4">
        <f>IF(OR(INDEX($AH$2:$AH$1001,MATCH(ROWS($AG$2:AG300),$AG$2:$AG$1001,0),1)&gt;=100000,INDEX($AN$1005:$BO$1005,1,MATCH(COLUMNS($AN$1006:BF1006),$AN$1006:$BO$1006,0))&gt;=100000), " ",IF(INDEX($AN$2:$BO$1001,MATCH(ROWS($AG$2:AG300),$AG$2:$AG$1001,0),MATCH(COLUMNS($AN$1006:BF1006),$AN$1006:$BO$1006,0)), HYPERLINK("#",""), HYPERLINK(CONCATENATE("#Metadata!", ADDRESS(INDEX($AI$2:$AI$1001,MATCH(ROWS($AG$2:AG300),$AG$2:$AG$1001,0),0), INDEX($AN$1004:$BO$1004,1,MATCH(COLUMNS($AN$1006:BF1006),$AN$1006:$BO$1006,0)))),"Fix")))</f>
        <v>0</v>
      </c>
      <c r="U300" s="4">
        <f>IF(OR(INDEX($AH$2:$AH$1001,MATCH(ROWS($AG$2:AG300),$AG$2:$AG$1001,0),1)&gt;=100000,INDEX($AN$1005:$BO$1005,1,MATCH(COLUMNS($AN$1006:BG1006),$AN$1006:$BO$1006,0))&gt;=100000), " ",IF(INDEX($AN$2:$BO$1001,MATCH(ROWS($AG$2:AG300),$AG$2:$AG$1001,0),MATCH(COLUMNS($AN$1006:BG1006),$AN$1006:$BO$1006,0)), HYPERLINK("#",""), HYPERLINK(CONCATENATE("#Metadata!", ADDRESS(INDEX($AI$2:$AI$1001,MATCH(ROWS($AG$2:AG300),$AG$2:$AG$1001,0),0), INDEX($AN$1004:$BO$1004,1,MATCH(COLUMNS($AN$1006:BG1006),$AN$1006:$BO$1006,0)))),"Fix")))</f>
        <v>0</v>
      </c>
      <c r="V300" s="4">
        <f>IF(OR(INDEX($AH$2:$AH$1001,MATCH(ROWS($AG$2:AG300),$AG$2:$AG$1001,0),1)&gt;=100000,INDEX($AN$1005:$BO$1005,1,MATCH(COLUMNS($AN$1006:BH1006),$AN$1006:$BO$1006,0))&gt;=100000), " ",IF(INDEX($AN$2:$BO$1001,MATCH(ROWS($AG$2:AG300),$AG$2:$AG$1001,0),MATCH(COLUMNS($AN$1006:BH1006),$AN$1006:$BO$1006,0)), HYPERLINK("#",""), HYPERLINK(CONCATENATE("#Metadata!", ADDRESS(INDEX($AI$2:$AI$1001,MATCH(ROWS($AG$2:AG300),$AG$2:$AG$1001,0),0), INDEX($AN$1004:$BO$1004,1,MATCH(COLUMNS($AN$1006:BH1006),$AN$1006:$BO$1006,0)))),"Fix")))</f>
        <v>0</v>
      </c>
      <c r="W300" s="4">
        <f>IF(OR(INDEX($AH$2:$AH$1001,MATCH(ROWS($AG$2:AG300),$AG$2:$AG$1001,0),1)&gt;=100000,INDEX($AN$1005:$BO$1005,1,MATCH(COLUMNS($AN$1006:BI1006),$AN$1006:$BO$1006,0))&gt;=100000), " ",IF(INDEX($AN$2:$BO$1001,MATCH(ROWS($AG$2:AG300),$AG$2:$AG$1001,0),MATCH(COLUMNS($AN$1006:BI1006),$AN$1006:$BO$1006,0)), HYPERLINK("#",""), HYPERLINK(CONCATENATE("#Metadata!", ADDRESS(INDEX($AI$2:$AI$1001,MATCH(ROWS($AG$2:AG300),$AG$2:$AG$1001,0),0), INDEX($AN$1004:$BO$1004,1,MATCH(COLUMNS($AN$1006:BI1006),$AN$1006:$BO$1006,0)))),"Fix")))</f>
        <v>0</v>
      </c>
      <c r="X300" s="4">
        <f>IF(OR(INDEX($AH$2:$AH$1001,MATCH(ROWS($AG$2:AG300),$AG$2:$AG$1001,0),1)&gt;=100000,INDEX($AN$1005:$BO$1005,1,MATCH(COLUMNS($AN$1006:BJ1006),$AN$1006:$BO$1006,0))&gt;=100000), " ",IF(INDEX($AN$2:$BO$1001,MATCH(ROWS($AG$2:AG300),$AG$2:$AG$1001,0),MATCH(COLUMNS($AN$1006:BJ1006),$AN$1006:$BO$1006,0)), HYPERLINK("#",""), HYPERLINK(CONCATENATE("#Metadata!", ADDRESS(INDEX($AI$2:$AI$1001,MATCH(ROWS($AG$2:AG300),$AG$2:$AG$1001,0),0), INDEX($AN$1004:$BO$1004,1,MATCH(COLUMNS($AN$1006:BJ1006),$AN$1006:$BO$1006,0)))),"Fix")))</f>
        <v>0</v>
      </c>
      <c r="Y300" s="4">
        <f>IF(OR(INDEX($AH$2:$AH$1001,MATCH(ROWS($AG$2:AG300),$AG$2:$AG$1001,0),1)&gt;=100000,INDEX($AN$1005:$BO$1005,1,MATCH(COLUMNS($AN$1006:BK1006),$AN$1006:$BO$1006,0))&gt;=100000), " ",IF(INDEX($AN$2:$BO$1001,MATCH(ROWS($AG$2:AG300),$AG$2:$AG$1001,0),MATCH(COLUMNS($AN$1006:BK1006),$AN$1006:$BO$1006,0)), HYPERLINK("#",""), HYPERLINK(CONCATENATE("#Metadata!", ADDRESS(INDEX($AI$2:$AI$1001,MATCH(ROWS($AG$2:AG300),$AG$2:$AG$1001,0),0), INDEX($AN$1004:$BO$1004,1,MATCH(COLUMNS($AN$1006:BK1006),$AN$1006:$BO$1006,0)))),"Fix")))</f>
        <v>0</v>
      </c>
      <c r="Z300" s="4">
        <f>IF(OR(INDEX($AH$2:$AH$1001,MATCH(ROWS($AG$2:AG300),$AG$2:$AG$1001,0),1)&gt;=100000,INDEX($AN$1005:$BO$1005,1,MATCH(COLUMNS($AN$1006:BL1006),$AN$1006:$BO$1006,0))&gt;=100000), " ",IF(INDEX($AN$2:$BO$1001,MATCH(ROWS($AG$2:AG300),$AG$2:$AG$1001,0),MATCH(COLUMNS($AN$1006:BL1006),$AN$1006:$BO$1006,0)), HYPERLINK("#",""), HYPERLINK(CONCATENATE("#Metadata!", ADDRESS(INDEX($AI$2:$AI$1001,MATCH(ROWS($AG$2:AG300),$AG$2:$AG$1001,0),0), INDEX($AN$1004:$BO$1004,1,MATCH(COLUMNS($AN$1006:BL1006),$AN$1006:$BO$1006,0)))),"Fix")))</f>
        <v>0</v>
      </c>
      <c r="AA300" s="4">
        <f>IF(OR(INDEX($AH$2:$AH$1001,MATCH(ROWS($AG$2:AG300),$AG$2:$AG$1001,0),1)&gt;=100000,INDEX($AN$1005:$BO$1005,1,MATCH(COLUMNS($AN$1006:BM1006),$AN$1006:$BO$1006,0))&gt;=100000), " ",IF(INDEX($AN$2:$BO$1001,MATCH(ROWS($AG$2:AG300),$AG$2:$AG$1001,0),MATCH(COLUMNS($AN$1006:BM1006),$AN$1006:$BO$1006,0)), HYPERLINK("#",""), HYPERLINK(CONCATENATE("#Metadata!", ADDRESS(INDEX($AI$2:$AI$1001,MATCH(ROWS($AG$2:AG300),$AG$2:$AG$1001,0),0), INDEX($AN$1004:$BO$1004,1,MATCH(COLUMNS($AN$1006:BM1006),$AN$1006:$BO$1006,0)))),"Fix")))</f>
        <v>0</v>
      </c>
      <c r="AB300" s="4">
        <f>IF(OR(INDEX($AH$2:$AH$1001,MATCH(ROWS($AG$2:AG300),$AG$2:$AG$1001,0),1)&gt;=100000,INDEX($AN$1005:$BO$1005,1,MATCH(COLUMNS($AN$1006:BN1006),$AN$1006:$BO$1006,0))&gt;=100000), " ",IF(INDEX($AN$2:$BO$1001,MATCH(ROWS($AG$2:AG300),$AG$2:$AG$1001,0),MATCH(COLUMNS($AN$1006:BN1006),$AN$1006:$BO$1006,0)), HYPERLINK("#",""), HYPERLINK(CONCATENATE("#Metadata!", ADDRESS(INDEX($AI$2:$AI$1001,MATCH(ROWS($AG$2:AG300),$AG$2:$AG$1001,0),0), INDEX($AN$1004:$BO$1004,1,MATCH(COLUMNS($AN$1006:BN1006),$AN$1006:$BO$1006,0)))),"Fix")))</f>
        <v>0</v>
      </c>
      <c r="AC300" s="4">
        <f>IF(OR(INDEX($AH$2:$AH$1001,MATCH(ROWS($AG$2:AG300),$AG$2:$AG$1001,0),1)&gt;=100000,INDEX($AN$1005:$BO$1005,1,MATCH(COLUMNS($AN$1006:BO1006),$AN$1006:$BO$1006,0))&gt;=100000), " ",IF(INDEX($AN$2:$BO$1001,MATCH(ROWS($AG$2:AG300),$AG$2:$AG$1001,0),MATCH(COLUMNS($AN$1006:BO1006),$AN$1006:$BO$1006,0)), HYPERLINK("#",""), HYPERLINK(CONCATENATE("#Metadata!", ADDRESS(INDEX($AI$2:$AI$1001,MATCH(ROWS($AG$2:AG300),$AG$2:$AG$1001,0),0), INDEX($AN$1004:$BO$1004,1,MATCH(COLUMNS($AN$1006:BO1006),$AN$1006:$BO$1006,0)))),"Fix")))</f>
        <v>0</v>
      </c>
      <c r="AG300">
        <v>0</v>
      </c>
      <c r="AH300">
        <v>0</v>
      </c>
      <c r="AI300">
        <v>0</v>
      </c>
      <c r="AJ300">
        <f>IF(AK300,TRUE,AND(AN300:BO300))</f>
        <v>0</v>
      </c>
      <c r="AK300">
        <f>COUNTBLANK(Metadata!B300:AC300)=COLUMNS(Metadata!B300:AC300)</f>
        <v>0</v>
      </c>
      <c r="AL300">
        <v>0</v>
      </c>
      <c r="AN300">
        <f>AND(IF(Metadata!B300="",FALSE,TRUE),COUNTIF(Metadata!B:B, Metadata!B300) = 1,NOT(ISERROR(SUMPRODUCT(SEARCH(MID(Metadata!B300,ROW(INDIRECT("1:"&amp;LEN(Metadata!B300))), 1),"0123456789abcdefghijklmnopqrstuvwxyzABCDEFGHIJKLMNOPQRSTUVWXYZ.")))))</f>
        <v>0</v>
      </c>
      <c r="AO300">
        <f>IF(Metadata!C300="",FALSE,TRUE)</f>
        <v>0</v>
      </c>
      <c r="AP300">
        <f>IF(Metadata!D300="",FALSE,TRUE)</f>
        <v>0</v>
      </c>
      <c r="AQ300">
        <f>OR(AND(IF(Metadata!E300="",FALSE,TRUE),OR(exact(Metadata!E300,"not collected"),exact(Metadata!E300,"not provided"),exact(Metadata!E300,"restricted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R300">
        <f>IF(Metadata!F300="",FALSE,TRUE)</f>
        <v>0</v>
      </c>
      <c r="AS300">
        <f>OR(AND(IF(Metadata!G300="",FALSE,TRUE),OR(exact(Metadata!G300,"not collected"),exact(Metadata!G300,"not provided"))),AND(IF(Metadata!G300="",FALSE,TRUE),OR(exact(Metadata!G300,"TRUE"),exact(Metadata!G300,"FALSE"))))</f>
        <v>0</v>
      </c>
      <c r="AT300">
        <f>OR(AND(IF(Metadata!H300="",FALSE,TRUE),OR(exact(Metadata!H300,"not collected"),exact(Metadata!H300,"not provided"),exact(Metadata!H300,"restricted access"))),AND(IF(Metadata!H300="",FALSE,ISNUMBER(VALUE(Metadata!H300))),Metadata!H300&gt;=-413.0))</f>
        <v>0</v>
      </c>
      <c r="AU300">
        <f>AND(IF(Metadata!I300="",FALSE,TRUE),exact(Metadata!I300,"meters"))</f>
        <v>0</v>
      </c>
      <c r="AV300">
        <f>AND(IF(Metadata!J300="",FALSE,TRUE),OR(exact(Metadata!J300,"Host-associated"),exact(Metadata!J300,"Free-living")))</f>
        <v>0</v>
      </c>
      <c r="AW300">
        <f>AND(IF(Metadata!K300="",FALSE,TRUE),OR(exact(Metadata!K300,"Animal"),exact(Metadata!K300,"Fungus"),exact(Metadata!K300,"Plant"),exact(Metadata!K300,"Saline"),exact(Metadata!K300,"Non-saline")))</f>
        <v>0</v>
      </c>
      <c r="AX300">
        <f>AND(IF(Metadata!L300="",FALSE,TRUE),OR(exact(Metadata!L300,"Plant secretion"),exact(Metadata!L300,"Plant rhizosphere"),exact(Metadata!L300,"Plant surface"),exact(Metadata!L300,"Plant corpus"),exact(Metadata!L300,"Fungus surface"),exact(Metadata!L300,"Fungus corpus"),exact(Metadata!L300,"Animal surface"),exact(Metadata!L300,"Animal proximal gut"),exact(Metadata!L300,"Animal corpus"),exact(Metadata!L300,"Animal distal gut"),exact(Metadata!L300,"Animal secretion"),exact(Metadata!L300,"Sub-surface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Y300">
        <f>IF(Metadata!M300="",FALSE,TRUE)</f>
        <v>0</v>
      </c>
      <c r="AZ300">
        <f>IF(Metadata!N300="",FALSE,TRUE)</f>
        <v>0</v>
      </c>
      <c r="BA300">
        <f>IF(Metadata!O300="",FALSE,TRUE)</f>
        <v>0</v>
      </c>
      <c r="BB300">
        <f>OR(AND(IF(Metadata!P300="",FALSE,TRUE),OR(exact(Metadata!P300,"not collected"),exact(Metadata!P300,"not provided"),exact(Metadata!P300,"restricted access"))),AND(IF(Metadata!P300="",FALSE,TRUE),OR(exact(Metadata!P300,"air"),exact(Metadata!P300,"built environment"),exact(Metadata!P300,"host-associated"),exact(Metadata!P300,"human-associated"),exact(Metadata!P300,"human-skin"),exact(Metadata!P300,"human-oral"),exact(Metadata!P300,"human-gut"),exact(Metadata!P300,"human-vaginal"),exact(Metadata!P300,"microbial mat/biofilm"),exact(Metadata!P300,"misc environment"),exact(Metadata!P300,"plant-associated"),exact(Metadata!P300,"sediment"),exact(Metadata!P300,"soil"),exact(Metadata!P300,"wastewater/sludge"),exact(Metadata!P300,"water"))))</f>
        <v>0</v>
      </c>
      <c r="BC300">
        <f>IF(Metadata!Q300="",FALSE,TRUE)</f>
        <v>0</v>
      </c>
      <c r="BD300">
        <f>IF(Metadata!R300="",FALSE,TRUE)</f>
        <v>0</v>
      </c>
      <c r="BE300">
        <f>OR(AND(IF(Metadata!S300="",FALSE,TRUE),OR(exact(Metadata!S300,"not collected"),exact(Metadata!S300,"not provided"),exact(Metadata!S300,"restricted access"))),AND(IF(Metadata!S300="",FALSE,ISNUMBER(VALUE(Metadata!S300))),Metadata!S300&gt;=-90.00,Metadata!S300&lt;=90.00))</f>
        <v>0</v>
      </c>
      <c r="BF300">
        <f>AND(IF(Metadata!T300="",FALSE,TRUE),exact(Metadata!T300,"Decimal degrees"))</f>
        <v>0</v>
      </c>
      <c r="BG300">
        <f>OR(AND(IF(Metadata!U300="",FALSE,TRUE),OR(exact(Metadata!U300,"not collected"),exact(Metadata!U300,"not provided"),exact(Metadata!U300,"restricted access"))),AND(IF(Metadata!U300="",FALSE,ISNUMBER(VALUE(Metadata!U300))),Metadata!U300&gt;=-180.00,Metadata!U300&lt;=180.00))</f>
        <v>0</v>
      </c>
      <c r="BH300">
        <f>AND(IF(Metadata!V300="",FALSE,TRUE),exact(Metadata!V300,"Decimal degrees"))</f>
        <v>0</v>
      </c>
      <c r="BI300">
        <f>IF(Metadata!W300="",FALSE,TRUE)</f>
        <v>0</v>
      </c>
      <c r="BJ300">
        <f>OR(AND(IF(Metadata!X300="",FALSE,TRUE),OR(exact(Metadata!X300,"not collected"),exact(Metadata!X300,"not provided"),exact(Metadata!X300,"restricted access"))),AND(IF(Metadata!X300="",FALSE,TRUE),OR(exact(Metadata!X300,"TRUE"),exact(Metadata!X300,"FALSE"))))</f>
        <v>0</v>
      </c>
      <c r="BK300">
        <f>AND(IF(Metadata!Y300="",FALSE,TRUE),exact(Metadata!Y300,"other"))</f>
        <v>0</v>
      </c>
      <c r="BL300">
        <f>IF(Metadata!Z300="",FALSE,TRUE)</f>
        <v>0</v>
      </c>
      <c r="BM300">
        <f>OR(AND(IF(Metadata!AA300="",FALSE,TRUE),OR(exact(Metadata!AA300,"not collected"),exact(Metadata!AA300,"not provided"))),AND(IF(Metadata!AA300="",FALSE,IF(ISERROR(INT(Metadata!AA300)),FALSE,INT(Metadata!AA300)=Metadata!AA300)),Metadata!AA300&gt;0))</f>
        <v>0</v>
      </c>
      <c r="BN300">
        <f>AND(IF(Metadata!AB300="",FALSE,TRUE),exact(Metadata!AB300,"Not applicable"))</f>
        <v>0</v>
      </c>
      <c r="BO300">
        <f>IF(Metadata!AC300="",FALSE,TRUE)</f>
        <v>0</v>
      </c>
    </row>
    <row r="301" spans="1:67">
      <c r="A301" s="5">
        <f>IF(B301=" "," ",HYPERLINK(CONCATENATE("#metadata!",ADDRESS(INDEX($AI$2:$AI$1001,MATCH(ROWS($AG$2:AG301),$AG$2:$AG$1001,0),0),1)),INDEX($AL$2:$AL$1001,MATCH(ROWS($AG$2:AG301),$AG$2:$AG$1001,0),0)))</f>
        <v>0</v>
      </c>
      <c r="B301" s="4">
        <f>IF(OR(INDEX($AH$2:$AH$1001,MATCH(ROWS($AG$2:AG301),$AG$2:$AG$1001,0),1)&gt;=100000,INDEX($AN$1005:$BO$1005,1,MATCH(COLUMNS($AN$1006:AN1006),$AN$1006:$BO$1006,0))&gt;=100000), " ",IF(INDEX($AN$2:$BO$1001,MATCH(ROWS($AG$2:AG301),$AG$2:$AG$1001,0),MATCH(COLUMNS($AN$1006:AN1006),$AN$1006:$BO$1006,0)), HYPERLINK("#",""), HYPERLINK(CONCATENATE("#Metadata!", ADDRESS(INDEX($AI$2:$AI$1001,MATCH(ROWS($AG$2:AG301),$AG$2:$AG$1001,0),0), INDEX($AN$1004:$BO$1004,1,MATCH(COLUMNS($AN$1006:AN1006),$AN$1006:$BO$1006,0)))),"Fix")))</f>
        <v>0</v>
      </c>
      <c r="C301" s="4">
        <f>IF(OR(INDEX($AH$2:$AH$1001,MATCH(ROWS($AG$2:AG301),$AG$2:$AG$1001,0),1)&gt;=100000,INDEX($AN$1005:$BO$1005,1,MATCH(COLUMNS($AN$1006:AO1006),$AN$1006:$BO$1006,0))&gt;=100000), " ",IF(INDEX($AN$2:$BO$1001,MATCH(ROWS($AG$2:AG301),$AG$2:$AG$1001,0),MATCH(COLUMNS($AN$1006:AO1006),$AN$1006:$BO$1006,0)), HYPERLINK("#",""), HYPERLINK(CONCATENATE("#Metadata!", ADDRESS(INDEX($AI$2:$AI$1001,MATCH(ROWS($AG$2:AG301),$AG$2:$AG$1001,0),0), INDEX($AN$1004:$BO$1004,1,MATCH(COLUMNS($AN$1006:AO1006),$AN$1006:$BO$1006,0)))),"Fix")))</f>
        <v>0</v>
      </c>
      <c r="D301" s="4">
        <f>IF(OR(INDEX($AH$2:$AH$1001,MATCH(ROWS($AG$2:AG301),$AG$2:$AG$1001,0),1)&gt;=100000,INDEX($AN$1005:$BO$1005,1,MATCH(COLUMNS($AN$1006:AP1006),$AN$1006:$BO$1006,0))&gt;=100000), " ",IF(INDEX($AN$2:$BO$1001,MATCH(ROWS($AG$2:AG301),$AG$2:$AG$1001,0),MATCH(COLUMNS($AN$1006:AP1006),$AN$1006:$BO$1006,0)), HYPERLINK("#",""), HYPERLINK(CONCATENATE("#Metadata!", ADDRESS(INDEX($AI$2:$AI$1001,MATCH(ROWS($AG$2:AG301),$AG$2:$AG$1001,0),0), INDEX($AN$1004:$BO$1004,1,MATCH(COLUMNS($AN$1006:AP1006),$AN$1006:$BO$1006,0)))),"Fix")))</f>
        <v>0</v>
      </c>
      <c r="E301" s="4">
        <f>IF(OR(INDEX($AH$2:$AH$1001,MATCH(ROWS($AG$2:AG301),$AG$2:$AG$1001,0),1)&gt;=100000,INDEX($AN$1005:$BO$1005,1,MATCH(COLUMNS($AN$1006:AQ1006),$AN$1006:$BO$1006,0))&gt;=100000), " ",IF(INDEX($AN$2:$BO$1001,MATCH(ROWS($AG$2:AG301),$AG$2:$AG$1001,0),MATCH(COLUMNS($AN$1006:AQ1006),$AN$1006:$BO$1006,0)), HYPERLINK("#",""), HYPERLINK(CONCATENATE("#Metadata!", ADDRESS(INDEX($AI$2:$AI$1001,MATCH(ROWS($AG$2:AG301),$AG$2:$AG$1001,0),0), INDEX($AN$1004:$BO$1004,1,MATCH(COLUMNS($AN$1006:AQ1006),$AN$1006:$BO$1006,0)))),"Fix")))</f>
        <v>0</v>
      </c>
      <c r="F301" s="4">
        <f>IF(OR(INDEX($AH$2:$AH$1001,MATCH(ROWS($AG$2:AG301),$AG$2:$AG$1001,0),1)&gt;=100000,INDEX($AN$1005:$BO$1005,1,MATCH(COLUMNS($AN$1006:AR1006),$AN$1006:$BO$1006,0))&gt;=100000), " ",IF(INDEX($AN$2:$BO$1001,MATCH(ROWS($AG$2:AG301),$AG$2:$AG$1001,0),MATCH(COLUMNS($AN$1006:AR1006),$AN$1006:$BO$1006,0)), HYPERLINK("#",""), HYPERLINK(CONCATENATE("#Metadata!", ADDRESS(INDEX($AI$2:$AI$1001,MATCH(ROWS($AG$2:AG301),$AG$2:$AG$1001,0),0), INDEX($AN$1004:$BO$1004,1,MATCH(COLUMNS($AN$1006:AR1006),$AN$1006:$BO$1006,0)))),"Fix")))</f>
        <v>0</v>
      </c>
      <c r="G301" s="4">
        <f>IF(OR(INDEX($AH$2:$AH$1001,MATCH(ROWS($AG$2:AG301),$AG$2:$AG$1001,0),1)&gt;=100000,INDEX($AN$1005:$BO$1005,1,MATCH(COLUMNS($AN$1006:AS1006),$AN$1006:$BO$1006,0))&gt;=100000), " ",IF(INDEX($AN$2:$BO$1001,MATCH(ROWS($AG$2:AG301),$AG$2:$AG$1001,0),MATCH(COLUMNS($AN$1006:AS1006),$AN$1006:$BO$1006,0)), HYPERLINK("#",""), HYPERLINK(CONCATENATE("#Metadata!", ADDRESS(INDEX($AI$2:$AI$1001,MATCH(ROWS($AG$2:AG301),$AG$2:$AG$1001,0),0), INDEX($AN$1004:$BO$1004,1,MATCH(COLUMNS($AN$1006:AS1006),$AN$1006:$BO$1006,0)))),"Fix")))</f>
        <v>0</v>
      </c>
      <c r="H301" s="4">
        <f>IF(OR(INDEX($AH$2:$AH$1001,MATCH(ROWS($AG$2:AG301),$AG$2:$AG$1001,0),1)&gt;=100000,INDEX($AN$1005:$BO$1005,1,MATCH(COLUMNS($AN$1006:AT1006),$AN$1006:$BO$1006,0))&gt;=100000), " ",IF(INDEX($AN$2:$BO$1001,MATCH(ROWS($AG$2:AG301),$AG$2:$AG$1001,0),MATCH(COLUMNS($AN$1006:AT1006),$AN$1006:$BO$1006,0)), HYPERLINK("#",""), HYPERLINK(CONCATENATE("#Metadata!", ADDRESS(INDEX($AI$2:$AI$1001,MATCH(ROWS($AG$2:AG301),$AG$2:$AG$1001,0),0), INDEX($AN$1004:$BO$1004,1,MATCH(COLUMNS($AN$1006:AT1006),$AN$1006:$BO$1006,0)))),"Fix")))</f>
        <v>0</v>
      </c>
      <c r="I301" s="4">
        <f>IF(OR(INDEX($AH$2:$AH$1001,MATCH(ROWS($AG$2:AG301),$AG$2:$AG$1001,0),1)&gt;=100000,INDEX($AN$1005:$BO$1005,1,MATCH(COLUMNS($AN$1006:AU1006),$AN$1006:$BO$1006,0))&gt;=100000), " ",IF(INDEX($AN$2:$BO$1001,MATCH(ROWS($AG$2:AG301),$AG$2:$AG$1001,0),MATCH(COLUMNS($AN$1006:AU1006),$AN$1006:$BO$1006,0)), HYPERLINK("#",""), HYPERLINK(CONCATENATE("#Metadata!", ADDRESS(INDEX($AI$2:$AI$1001,MATCH(ROWS($AG$2:AG301),$AG$2:$AG$1001,0),0), INDEX($AN$1004:$BO$1004,1,MATCH(COLUMNS($AN$1006:AU1006),$AN$1006:$BO$1006,0)))),"Fix")))</f>
        <v>0</v>
      </c>
      <c r="J301" s="4">
        <f>IF(OR(INDEX($AH$2:$AH$1001,MATCH(ROWS($AG$2:AG301),$AG$2:$AG$1001,0),1)&gt;=100000,INDEX($AN$1005:$BO$1005,1,MATCH(COLUMNS($AN$1006:AV1006),$AN$1006:$BO$1006,0))&gt;=100000), " ",IF(INDEX($AN$2:$BO$1001,MATCH(ROWS($AG$2:AG301),$AG$2:$AG$1001,0),MATCH(COLUMNS($AN$1006:AV1006),$AN$1006:$BO$1006,0)), HYPERLINK("#",""), HYPERLINK(CONCATENATE("#Metadata!", ADDRESS(INDEX($AI$2:$AI$1001,MATCH(ROWS($AG$2:AG301),$AG$2:$AG$1001,0),0), INDEX($AN$1004:$BO$1004,1,MATCH(COLUMNS($AN$1006:AV1006),$AN$1006:$BO$1006,0)))),"Fix")))</f>
        <v>0</v>
      </c>
      <c r="K301" s="4">
        <f>IF(OR(INDEX($AH$2:$AH$1001,MATCH(ROWS($AG$2:AG301),$AG$2:$AG$1001,0),1)&gt;=100000,INDEX($AN$1005:$BO$1005,1,MATCH(COLUMNS($AN$1006:AW1006),$AN$1006:$BO$1006,0))&gt;=100000), " ",IF(INDEX($AN$2:$BO$1001,MATCH(ROWS($AG$2:AG301),$AG$2:$AG$1001,0),MATCH(COLUMNS($AN$1006:AW1006),$AN$1006:$BO$1006,0)), HYPERLINK("#",""), HYPERLINK(CONCATENATE("#Metadata!", ADDRESS(INDEX($AI$2:$AI$1001,MATCH(ROWS($AG$2:AG301),$AG$2:$AG$1001,0),0), INDEX($AN$1004:$BO$1004,1,MATCH(COLUMNS($AN$1006:AW1006),$AN$1006:$BO$1006,0)))),"Fix")))</f>
        <v>0</v>
      </c>
      <c r="L301" s="4">
        <f>IF(OR(INDEX($AH$2:$AH$1001,MATCH(ROWS($AG$2:AG301),$AG$2:$AG$1001,0),1)&gt;=100000,INDEX($AN$1005:$BO$1005,1,MATCH(COLUMNS($AN$1006:AX1006),$AN$1006:$BO$1006,0))&gt;=100000), " ",IF(INDEX($AN$2:$BO$1001,MATCH(ROWS($AG$2:AG301),$AG$2:$AG$1001,0),MATCH(COLUMNS($AN$1006:AX1006),$AN$1006:$BO$1006,0)), HYPERLINK("#",""), HYPERLINK(CONCATENATE("#Metadata!", ADDRESS(INDEX($AI$2:$AI$1001,MATCH(ROWS($AG$2:AG301),$AG$2:$AG$1001,0),0), INDEX($AN$1004:$BO$1004,1,MATCH(COLUMNS($AN$1006:AX1006),$AN$1006:$BO$1006,0)))),"Fix")))</f>
        <v>0</v>
      </c>
      <c r="M301" s="4">
        <f>IF(OR(INDEX($AH$2:$AH$1001,MATCH(ROWS($AG$2:AG301),$AG$2:$AG$1001,0),1)&gt;=100000,INDEX($AN$1005:$BO$1005,1,MATCH(COLUMNS($AN$1006:AY1006),$AN$1006:$BO$1006,0))&gt;=100000), " ",IF(INDEX($AN$2:$BO$1001,MATCH(ROWS($AG$2:AG301),$AG$2:$AG$1001,0),MATCH(COLUMNS($AN$1006:AY1006),$AN$1006:$BO$1006,0)), HYPERLINK("#",""), HYPERLINK(CONCATENATE("#Metadata!", ADDRESS(INDEX($AI$2:$AI$1001,MATCH(ROWS($AG$2:AG301),$AG$2:$AG$1001,0),0), INDEX($AN$1004:$BO$1004,1,MATCH(COLUMNS($AN$1006:AY1006),$AN$1006:$BO$1006,0)))),"Fix")))</f>
        <v>0</v>
      </c>
      <c r="N301" s="4">
        <f>IF(OR(INDEX($AH$2:$AH$1001,MATCH(ROWS($AG$2:AG301),$AG$2:$AG$1001,0),1)&gt;=100000,INDEX($AN$1005:$BO$1005,1,MATCH(COLUMNS($AN$1006:AZ1006),$AN$1006:$BO$1006,0))&gt;=100000), " ",IF(INDEX($AN$2:$BO$1001,MATCH(ROWS($AG$2:AG301),$AG$2:$AG$1001,0),MATCH(COLUMNS($AN$1006:AZ1006),$AN$1006:$BO$1006,0)), HYPERLINK("#",""), HYPERLINK(CONCATENATE("#Metadata!", ADDRESS(INDEX($AI$2:$AI$1001,MATCH(ROWS($AG$2:AG301),$AG$2:$AG$1001,0),0), INDEX($AN$1004:$BO$1004,1,MATCH(COLUMNS($AN$1006:AZ1006),$AN$1006:$BO$1006,0)))),"Fix")))</f>
        <v>0</v>
      </c>
      <c r="O301" s="4">
        <f>IF(OR(INDEX($AH$2:$AH$1001,MATCH(ROWS($AG$2:AG301),$AG$2:$AG$1001,0),1)&gt;=100000,INDEX($AN$1005:$BO$1005,1,MATCH(COLUMNS($AN$1006:BA1006),$AN$1006:$BO$1006,0))&gt;=100000), " ",IF(INDEX($AN$2:$BO$1001,MATCH(ROWS($AG$2:AG301),$AG$2:$AG$1001,0),MATCH(COLUMNS($AN$1006:BA1006),$AN$1006:$BO$1006,0)), HYPERLINK("#",""), HYPERLINK(CONCATENATE("#Metadata!", ADDRESS(INDEX($AI$2:$AI$1001,MATCH(ROWS($AG$2:AG301),$AG$2:$AG$1001,0),0), INDEX($AN$1004:$BO$1004,1,MATCH(COLUMNS($AN$1006:BA1006),$AN$1006:$BO$1006,0)))),"Fix")))</f>
        <v>0</v>
      </c>
      <c r="P301" s="4">
        <f>IF(OR(INDEX($AH$2:$AH$1001,MATCH(ROWS($AG$2:AG301),$AG$2:$AG$1001,0),1)&gt;=100000,INDEX($AN$1005:$BO$1005,1,MATCH(COLUMNS($AN$1006:BB1006),$AN$1006:$BO$1006,0))&gt;=100000), " ",IF(INDEX($AN$2:$BO$1001,MATCH(ROWS($AG$2:AG301),$AG$2:$AG$1001,0),MATCH(COLUMNS($AN$1006:BB1006),$AN$1006:$BO$1006,0)), HYPERLINK("#",""), HYPERLINK(CONCATENATE("#Metadata!", ADDRESS(INDEX($AI$2:$AI$1001,MATCH(ROWS($AG$2:AG301),$AG$2:$AG$1001,0),0), INDEX($AN$1004:$BO$1004,1,MATCH(COLUMNS($AN$1006:BB1006),$AN$1006:$BO$1006,0)))),"Fix")))</f>
        <v>0</v>
      </c>
      <c r="Q301" s="4">
        <f>IF(OR(INDEX($AH$2:$AH$1001,MATCH(ROWS($AG$2:AG301),$AG$2:$AG$1001,0),1)&gt;=100000,INDEX($AN$1005:$BO$1005,1,MATCH(COLUMNS($AN$1006:BC1006),$AN$1006:$BO$1006,0))&gt;=100000), " ",IF(INDEX($AN$2:$BO$1001,MATCH(ROWS($AG$2:AG301),$AG$2:$AG$1001,0),MATCH(COLUMNS($AN$1006:BC1006),$AN$1006:$BO$1006,0)), HYPERLINK("#",""), HYPERLINK(CONCATENATE("#Metadata!", ADDRESS(INDEX($AI$2:$AI$1001,MATCH(ROWS($AG$2:AG301),$AG$2:$AG$1001,0),0), INDEX($AN$1004:$BO$1004,1,MATCH(COLUMNS($AN$1006:BC1006),$AN$1006:$BO$1006,0)))),"Fix")))</f>
        <v>0</v>
      </c>
      <c r="R301" s="4">
        <f>IF(OR(INDEX($AH$2:$AH$1001,MATCH(ROWS($AG$2:AG301),$AG$2:$AG$1001,0),1)&gt;=100000,INDEX($AN$1005:$BO$1005,1,MATCH(COLUMNS($AN$1006:BD1006),$AN$1006:$BO$1006,0))&gt;=100000), " ",IF(INDEX($AN$2:$BO$1001,MATCH(ROWS($AG$2:AG301),$AG$2:$AG$1001,0),MATCH(COLUMNS($AN$1006:BD1006),$AN$1006:$BO$1006,0)), HYPERLINK("#",""), HYPERLINK(CONCATENATE("#Metadata!", ADDRESS(INDEX($AI$2:$AI$1001,MATCH(ROWS($AG$2:AG301),$AG$2:$AG$1001,0),0), INDEX($AN$1004:$BO$1004,1,MATCH(COLUMNS($AN$1006:BD1006),$AN$1006:$BO$1006,0)))),"Fix")))</f>
        <v>0</v>
      </c>
      <c r="S301" s="4">
        <f>IF(OR(INDEX($AH$2:$AH$1001,MATCH(ROWS($AG$2:AG301),$AG$2:$AG$1001,0),1)&gt;=100000,INDEX($AN$1005:$BO$1005,1,MATCH(COLUMNS($AN$1006:BE1006),$AN$1006:$BO$1006,0))&gt;=100000), " ",IF(INDEX($AN$2:$BO$1001,MATCH(ROWS($AG$2:AG301),$AG$2:$AG$1001,0),MATCH(COLUMNS($AN$1006:BE1006),$AN$1006:$BO$1006,0)), HYPERLINK("#",""), HYPERLINK(CONCATENATE("#Metadata!", ADDRESS(INDEX($AI$2:$AI$1001,MATCH(ROWS($AG$2:AG301),$AG$2:$AG$1001,0),0), INDEX($AN$1004:$BO$1004,1,MATCH(COLUMNS($AN$1006:BE1006),$AN$1006:$BO$1006,0)))),"Fix")))</f>
        <v>0</v>
      </c>
      <c r="T301" s="4">
        <f>IF(OR(INDEX($AH$2:$AH$1001,MATCH(ROWS($AG$2:AG301),$AG$2:$AG$1001,0),1)&gt;=100000,INDEX($AN$1005:$BO$1005,1,MATCH(COLUMNS($AN$1006:BF1006),$AN$1006:$BO$1006,0))&gt;=100000), " ",IF(INDEX($AN$2:$BO$1001,MATCH(ROWS($AG$2:AG301),$AG$2:$AG$1001,0),MATCH(COLUMNS($AN$1006:BF1006),$AN$1006:$BO$1006,0)), HYPERLINK("#",""), HYPERLINK(CONCATENATE("#Metadata!", ADDRESS(INDEX($AI$2:$AI$1001,MATCH(ROWS($AG$2:AG301),$AG$2:$AG$1001,0),0), INDEX($AN$1004:$BO$1004,1,MATCH(COLUMNS($AN$1006:BF1006),$AN$1006:$BO$1006,0)))),"Fix")))</f>
        <v>0</v>
      </c>
      <c r="U301" s="4">
        <f>IF(OR(INDEX($AH$2:$AH$1001,MATCH(ROWS($AG$2:AG301),$AG$2:$AG$1001,0),1)&gt;=100000,INDEX($AN$1005:$BO$1005,1,MATCH(COLUMNS($AN$1006:BG1006),$AN$1006:$BO$1006,0))&gt;=100000), " ",IF(INDEX($AN$2:$BO$1001,MATCH(ROWS($AG$2:AG301),$AG$2:$AG$1001,0),MATCH(COLUMNS($AN$1006:BG1006),$AN$1006:$BO$1006,0)), HYPERLINK("#",""), HYPERLINK(CONCATENATE("#Metadata!", ADDRESS(INDEX($AI$2:$AI$1001,MATCH(ROWS($AG$2:AG301),$AG$2:$AG$1001,0),0), INDEX($AN$1004:$BO$1004,1,MATCH(COLUMNS($AN$1006:BG1006),$AN$1006:$BO$1006,0)))),"Fix")))</f>
        <v>0</v>
      </c>
      <c r="V301" s="4">
        <f>IF(OR(INDEX($AH$2:$AH$1001,MATCH(ROWS($AG$2:AG301),$AG$2:$AG$1001,0),1)&gt;=100000,INDEX($AN$1005:$BO$1005,1,MATCH(COLUMNS($AN$1006:BH1006),$AN$1006:$BO$1006,0))&gt;=100000), " ",IF(INDEX($AN$2:$BO$1001,MATCH(ROWS($AG$2:AG301),$AG$2:$AG$1001,0),MATCH(COLUMNS($AN$1006:BH1006),$AN$1006:$BO$1006,0)), HYPERLINK("#",""), HYPERLINK(CONCATENATE("#Metadata!", ADDRESS(INDEX($AI$2:$AI$1001,MATCH(ROWS($AG$2:AG301),$AG$2:$AG$1001,0),0), INDEX($AN$1004:$BO$1004,1,MATCH(COLUMNS($AN$1006:BH1006),$AN$1006:$BO$1006,0)))),"Fix")))</f>
        <v>0</v>
      </c>
      <c r="W301" s="4">
        <f>IF(OR(INDEX($AH$2:$AH$1001,MATCH(ROWS($AG$2:AG301),$AG$2:$AG$1001,0),1)&gt;=100000,INDEX($AN$1005:$BO$1005,1,MATCH(COLUMNS($AN$1006:BI1006),$AN$1006:$BO$1006,0))&gt;=100000), " ",IF(INDEX($AN$2:$BO$1001,MATCH(ROWS($AG$2:AG301),$AG$2:$AG$1001,0),MATCH(COLUMNS($AN$1006:BI1006),$AN$1006:$BO$1006,0)), HYPERLINK("#",""), HYPERLINK(CONCATENATE("#Metadata!", ADDRESS(INDEX($AI$2:$AI$1001,MATCH(ROWS($AG$2:AG301),$AG$2:$AG$1001,0),0), INDEX($AN$1004:$BO$1004,1,MATCH(COLUMNS($AN$1006:BI1006),$AN$1006:$BO$1006,0)))),"Fix")))</f>
        <v>0</v>
      </c>
      <c r="X301" s="4">
        <f>IF(OR(INDEX($AH$2:$AH$1001,MATCH(ROWS($AG$2:AG301),$AG$2:$AG$1001,0),1)&gt;=100000,INDEX($AN$1005:$BO$1005,1,MATCH(COLUMNS($AN$1006:BJ1006),$AN$1006:$BO$1006,0))&gt;=100000), " ",IF(INDEX($AN$2:$BO$1001,MATCH(ROWS($AG$2:AG301),$AG$2:$AG$1001,0),MATCH(COLUMNS($AN$1006:BJ1006),$AN$1006:$BO$1006,0)), HYPERLINK("#",""), HYPERLINK(CONCATENATE("#Metadata!", ADDRESS(INDEX($AI$2:$AI$1001,MATCH(ROWS($AG$2:AG301),$AG$2:$AG$1001,0),0), INDEX($AN$1004:$BO$1004,1,MATCH(COLUMNS($AN$1006:BJ1006),$AN$1006:$BO$1006,0)))),"Fix")))</f>
        <v>0</v>
      </c>
      <c r="Y301" s="4">
        <f>IF(OR(INDEX($AH$2:$AH$1001,MATCH(ROWS($AG$2:AG301),$AG$2:$AG$1001,0),1)&gt;=100000,INDEX($AN$1005:$BO$1005,1,MATCH(COLUMNS($AN$1006:BK1006),$AN$1006:$BO$1006,0))&gt;=100000), " ",IF(INDEX($AN$2:$BO$1001,MATCH(ROWS($AG$2:AG301),$AG$2:$AG$1001,0),MATCH(COLUMNS($AN$1006:BK1006),$AN$1006:$BO$1006,0)), HYPERLINK("#",""), HYPERLINK(CONCATENATE("#Metadata!", ADDRESS(INDEX($AI$2:$AI$1001,MATCH(ROWS($AG$2:AG301),$AG$2:$AG$1001,0),0), INDEX($AN$1004:$BO$1004,1,MATCH(COLUMNS($AN$1006:BK1006),$AN$1006:$BO$1006,0)))),"Fix")))</f>
        <v>0</v>
      </c>
      <c r="Z301" s="4">
        <f>IF(OR(INDEX($AH$2:$AH$1001,MATCH(ROWS($AG$2:AG301),$AG$2:$AG$1001,0),1)&gt;=100000,INDEX($AN$1005:$BO$1005,1,MATCH(COLUMNS($AN$1006:BL1006),$AN$1006:$BO$1006,0))&gt;=100000), " ",IF(INDEX($AN$2:$BO$1001,MATCH(ROWS($AG$2:AG301),$AG$2:$AG$1001,0),MATCH(COLUMNS($AN$1006:BL1006),$AN$1006:$BO$1006,0)), HYPERLINK("#",""), HYPERLINK(CONCATENATE("#Metadata!", ADDRESS(INDEX($AI$2:$AI$1001,MATCH(ROWS($AG$2:AG301),$AG$2:$AG$1001,0),0), INDEX($AN$1004:$BO$1004,1,MATCH(COLUMNS($AN$1006:BL1006),$AN$1006:$BO$1006,0)))),"Fix")))</f>
        <v>0</v>
      </c>
      <c r="AA301" s="4">
        <f>IF(OR(INDEX($AH$2:$AH$1001,MATCH(ROWS($AG$2:AG301),$AG$2:$AG$1001,0),1)&gt;=100000,INDEX($AN$1005:$BO$1005,1,MATCH(COLUMNS($AN$1006:BM1006),$AN$1006:$BO$1006,0))&gt;=100000), " ",IF(INDEX($AN$2:$BO$1001,MATCH(ROWS($AG$2:AG301),$AG$2:$AG$1001,0),MATCH(COLUMNS($AN$1006:BM1006),$AN$1006:$BO$1006,0)), HYPERLINK("#",""), HYPERLINK(CONCATENATE("#Metadata!", ADDRESS(INDEX($AI$2:$AI$1001,MATCH(ROWS($AG$2:AG301),$AG$2:$AG$1001,0),0), INDEX($AN$1004:$BO$1004,1,MATCH(COLUMNS($AN$1006:BM1006),$AN$1006:$BO$1006,0)))),"Fix")))</f>
        <v>0</v>
      </c>
      <c r="AB301" s="4">
        <f>IF(OR(INDEX($AH$2:$AH$1001,MATCH(ROWS($AG$2:AG301),$AG$2:$AG$1001,0),1)&gt;=100000,INDEX($AN$1005:$BO$1005,1,MATCH(COLUMNS($AN$1006:BN1006),$AN$1006:$BO$1006,0))&gt;=100000), " ",IF(INDEX($AN$2:$BO$1001,MATCH(ROWS($AG$2:AG301),$AG$2:$AG$1001,0),MATCH(COLUMNS($AN$1006:BN1006),$AN$1006:$BO$1006,0)), HYPERLINK("#",""), HYPERLINK(CONCATENATE("#Metadata!", ADDRESS(INDEX($AI$2:$AI$1001,MATCH(ROWS($AG$2:AG301),$AG$2:$AG$1001,0),0), INDEX($AN$1004:$BO$1004,1,MATCH(COLUMNS($AN$1006:BN1006),$AN$1006:$BO$1006,0)))),"Fix")))</f>
        <v>0</v>
      </c>
      <c r="AC301" s="4">
        <f>IF(OR(INDEX($AH$2:$AH$1001,MATCH(ROWS($AG$2:AG301),$AG$2:$AG$1001,0),1)&gt;=100000,INDEX($AN$1005:$BO$1005,1,MATCH(COLUMNS($AN$1006:BO1006),$AN$1006:$BO$1006,0))&gt;=100000), " ",IF(INDEX($AN$2:$BO$1001,MATCH(ROWS($AG$2:AG301),$AG$2:$AG$1001,0),MATCH(COLUMNS($AN$1006:BO1006),$AN$1006:$BO$1006,0)), HYPERLINK("#",""), HYPERLINK(CONCATENATE("#Metadata!", ADDRESS(INDEX($AI$2:$AI$1001,MATCH(ROWS($AG$2:AG301),$AG$2:$AG$1001,0),0), INDEX($AN$1004:$BO$1004,1,MATCH(COLUMNS($AN$1006:BO1006),$AN$1006:$BO$1006,0)))),"Fix")))</f>
        <v>0</v>
      </c>
      <c r="AG301">
        <v>0</v>
      </c>
      <c r="AH301">
        <v>0</v>
      </c>
      <c r="AI301">
        <v>0</v>
      </c>
      <c r="AJ301">
        <f>IF(AK301,TRUE,AND(AN301:BO301))</f>
        <v>0</v>
      </c>
      <c r="AK301">
        <f>COUNTBLANK(Metadata!B301:AC301)=COLUMNS(Metadata!B301:AC301)</f>
        <v>0</v>
      </c>
      <c r="AL301">
        <v>0</v>
      </c>
      <c r="AN301">
        <f>AND(IF(Metadata!B301="",FALSE,TRUE),COUNTIF(Metadata!B:B, Metadata!B301) = 1,NOT(ISERROR(SUMPRODUCT(SEARCH(MID(Metadata!B301,ROW(INDIRECT("1:"&amp;LEN(Metadata!B301))), 1),"0123456789abcdefghijklmnopqrstuvwxyzABCDEFGHIJKLMNOPQRSTUVWXYZ.")))))</f>
        <v>0</v>
      </c>
      <c r="AO301">
        <f>IF(Metadata!C301="",FALSE,TRUE)</f>
        <v>0</v>
      </c>
      <c r="AP301">
        <f>IF(Metadata!D301="",FALSE,TRUE)</f>
        <v>0</v>
      </c>
      <c r="AQ301">
        <f>OR(AND(IF(Metadata!E301="",FALSE,TRUE),OR(exact(Metadata!E301,"not collected"),exact(Metadata!E301,"not provided"),exact(Metadata!E301,"restricted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R301">
        <f>IF(Metadata!F301="",FALSE,TRUE)</f>
        <v>0</v>
      </c>
      <c r="AS301">
        <f>OR(AND(IF(Metadata!G301="",FALSE,TRUE),OR(exact(Metadata!G301,"not collected"),exact(Metadata!G301,"not provided"))),AND(IF(Metadata!G301="",FALSE,TRUE),OR(exact(Metadata!G301,"TRUE"),exact(Metadata!G301,"FALSE"))))</f>
        <v>0</v>
      </c>
      <c r="AT301">
        <f>OR(AND(IF(Metadata!H301="",FALSE,TRUE),OR(exact(Metadata!H301,"not collected"),exact(Metadata!H301,"not provided"),exact(Metadata!H301,"restricted access"))),AND(IF(Metadata!H301="",FALSE,ISNUMBER(VALUE(Metadata!H301))),Metadata!H301&gt;=-413.0))</f>
        <v>0</v>
      </c>
      <c r="AU301">
        <f>AND(IF(Metadata!I301="",FALSE,TRUE),exact(Metadata!I301,"meters"))</f>
        <v>0</v>
      </c>
      <c r="AV301">
        <f>AND(IF(Metadata!J301="",FALSE,TRUE),OR(exact(Metadata!J301,"Host-associated"),exact(Metadata!J301,"Free-living")))</f>
        <v>0</v>
      </c>
      <c r="AW301">
        <f>AND(IF(Metadata!K301="",FALSE,TRUE),OR(exact(Metadata!K301,"Animal"),exact(Metadata!K301,"Fungus"),exact(Metadata!K301,"Plant"),exact(Metadata!K301,"Saline"),exact(Metadata!K301,"Non-saline")))</f>
        <v>0</v>
      </c>
      <c r="AX301">
        <f>AND(IF(Metadata!L301="",FALSE,TRUE),OR(exact(Metadata!L301,"Plant secretion"),exact(Metadata!L301,"Plant rhizosphere"),exact(Metadata!L301,"Plant surface"),exact(Metadata!L301,"Plant corpus"),exact(Metadata!L301,"Fungus surface"),exact(Metadata!L301,"Fungus corpus"),exact(Metadata!L301,"Animal surface"),exact(Metadata!L301,"Animal proximal gut"),exact(Metadata!L301,"Animal corpus"),exact(Metadata!L301,"Animal distal gut"),exact(Metadata!L301,"Animal secretion"),exact(Metadata!L301,"Sub-surface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Y301">
        <f>IF(Metadata!M301="",FALSE,TRUE)</f>
        <v>0</v>
      </c>
      <c r="AZ301">
        <f>IF(Metadata!N301="",FALSE,TRUE)</f>
        <v>0</v>
      </c>
      <c r="BA301">
        <f>IF(Metadata!O301="",FALSE,TRUE)</f>
        <v>0</v>
      </c>
      <c r="BB301">
        <f>OR(AND(IF(Metadata!P301="",FALSE,TRUE),OR(exact(Metadata!P301,"not collected"),exact(Metadata!P301,"not provided"),exact(Metadata!P301,"restricted access"))),AND(IF(Metadata!P301="",FALSE,TRUE),OR(exact(Metadata!P301,"air"),exact(Metadata!P301,"built environment"),exact(Metadata!P301,"host-associated"),exact(Metadata!P301,"human-associated"),exact(Metadata!P301,"human-skin"),exact(Metadata!P301,"human-oral"),exact(Metadata!P301,"human-gut"),exact(Metadata!P301,"human-vaginal"),exact(Metadata!P301,"microbial mat/biofilm"),exact(Metadata!P301,"misc environment"),exact(Metadata!P301,"plant-associated"),exact(Metadata!P301,"sediment"),exact(Metadata!P301,"soil"),exact(Metadata!P301,"wastewater/sludge"),exact(Metadata!P301,"water"))))</f>
        <v>0</v>
      </c>
      <c r="BC301">
        <f>IF(Metadata!Q301="",FALSE,TRUE)</f>
        <v>0</v>
      </c>
      <c r="BD301">
        <f>IF(Metadata!R301="",FALSE,TRUE)</f>
        <v>0</v>
      </c>
      <c r="BE301">
        <f>OR(AND(IF(Metadata!S301="",FALSE,TRUE),OR(exact(Metadata!S301,"not collected"),exact(Metadata!S301,"not provided"),exact(Metadata!S301,"restricted access"))),AND(IF(Metadata!S301="",FALSE,ISNUMBER(VALUE(Metadata!S301))),Metadata!S301&gt;=-90.00,Metadata!S301&lt;=90.00))</f>
        <v>0</v>
      </c>
      <c r="BF301">
        <f>AND(IF(Metadata!T301="",FALSE,TRUE),exact(Metadata!T301,"Decimal degrees"))</f>
        <v>0</v>
      </c>
      <c r="BG301">
        <f>OR(AND(IF(Metadata!U301="",FALSE,TRUE),OR(exact(Metadata!U301,"not collected"),exact(Metadata!U301,"not provided"),exact(Metadata!U301,"restricted access"))),AND(IF(Metadata!U301="",FALSE,ISNUMBER(VALUE(Metadata!U301))),Metadata!U301&gt;=-180.00,Metadata!U301&lt;=180.00))</f>
        <v>0</v>
      </c>
      <c r="BH301">
        <f>AND(IF(Metadata!V301="",FALSE,TRUE),exact(Metadata!V301,"Decimal degrees"))</f>
        <v>0</v>
      </c>
      <c r="BI301">
        <f>IF(Metadata!W301="",FALSE,TRUE)</f>
        <v>0</v>
      </c>
      <c r="BJ301">
        <f>OR(AND(IF(Metadata!X301="",FALSE,TRUE),OR(exact(Metadata!X301,"not collected"),exact(Metadata!X301,"not provided"),exact(Metadata!X301,"restricted access"))),AND(IF(Metadata!X301="",FALSE,TRUE),OR(exact(Metadata!X301,"TRUE"),exact(Metadata!X301,"FALSE"))))</f>
        <v>0</v>
      </c>
      <c r="BK301">
        <f>AND(IF(Metadata!Y301="",FALSE,TRUE),exact(Metadata!Y301,"other"))</f>
        <v>0</v>
      </c>
      <c r="BL301">
        <f>IF(Metadata!Z301="",FALSE,TRUE)</f>
        <v>0</v>
      </c>
      <c r="BM301">
        <f>OR(AND(IF(Metadata!AA301="",FALSE,TRUE),OR(exact(Metadata!AA301,"not collected"),exact(Metadata!AA301,"not provided"))),AND(IF(Metadata!AA301="",FALSE,IF(ISERROR(INT(Metadata!AA301)),FALSE,INT(Metadata!AA301)=Metadata!AA301)),Metadata!AA301&gt;0))</f>
        <v>0</v>
      </c>
      <c r="BN301">
        <f>AND(IF(Metadata!AB301="",FALSE,TRUE),exact(Metadata!AB301,"Not applicable"))</f>
        <v>0</v>
      </c>
      <c r="BO301">
        <f>IF(Metadata!AC301="",FALSE,TRUE)</f>
        <v>0</v>
      </c>
    </row>
    <row r="302" spans="1:67">
      <c r="A302" s="5">
        <f>IF(B302=" "," ",HYPERLINK(CONCATENATE("#metadata!",ADDRESS(INDEX($AI$2:$AI$1001,MATCH(ROWS($AG$2:AG302),$AG$2:$AG$1001,0),0),1)),INDEX($AL$2:$AL$1001,MATCH(ROWS($AG$2:AG302),$AG$2:$AG$1001,0),0)))</f>
        <v>0</v>
      </c>
      <c r="B302" s="4">
        <f>IF(OR(INDEX($AH$2:$AH$1001,MATCH(ROWS($AG$2:AG302),$AG$2:$AG$1001,0),1)&gt;=100000,INDEX($AN$1005:$BO$1005,1,MATCH(COLUMNS($AN$1006:AN1006),$AN$1006:$BO$1006,0))&gt;=100000), " ",IF(INDEX($AN$2:$BO$1001,MATCH(ROWS($AG$2:AG302),$AG$2:$AG$1001,0),MATCH(COLUMNS($AN$1006:AN1006),$AN$1006:$BO$1006,0)), HYPERLINK("#",""), HYPERLINK(CONCATENATE("#Metadata!", ADDRESS(INDEX($AI$2:$AI$1001,MATCH(ROWS($AG$2:AG302),$AG$2:$AG$1001,0),0), INDEX($AN$1004:$BO$1004,1,MATCH(COLUMNS($AN$1006:AN1006),$AN$1006:$BO$1006,0)))),"Fix")))</f>
        <v>0</v>
      </c>
      <c r="C302" s="4">
        <f>IF(OR(INDEX($AH$2:$AH$1001,MATCH(ROWS($AG$2:AG302),$AG$2:$AG$1001,0),1)&gt;=100000,INDEX($AN$1005:$BO$1005,1,MATCH(COLUMNS($AN$1006:AO1006),$AN$1006:$BO$1006,0))&gt;=100000), " ",IF(INDEX($AN$2:$BO$1001,MATCH(ROWS($AG$2:AG302),$AG$2:$AG$1001,0),MATCH(COLUMNS($AN$1006:AO1006),$AN$1006:$BO$1006,0)), HYPERLINK("#",""), HYPERLINK(CONCATENATE("#Metadata!", ADDRESS(INDEX($AI$2:$AI$1001,MATCH(ROWS($AG$2:AG302),$AG$2:$AG$1001,0),0), INDEX($AN$1004:$BO$1004,1,MATCH(COLUMNS($AN$1006:AO1006),$AN$1006:$BO$1006,0)))),"Fix")))</f>
        <v>0</v>
      </c>
      <c r="D302" s="4">
        <f>IF(OR(INDEX($AH$2:$AH$1001,MATCH(ROWS($AG$2:AG302),$AG$2:$AG$1001,0),1)&gt;=100000,INDEX($AN$1005:$BO$1005,1,MATCH(COLUMNS($AN$1006:AP1006),$AN$1006:$BO$1006,0))&gt;=100000), " ",IF(INDEX($AN$2:$BO$1001,MATCH(ROWS($AG$2:AG302),$AG$2:$AG$1001,0),MATCH(COLUMNS($AN$1006:AP1006),$AN$1006:$BO$1006,0)), HYPERLINK("#",""), HYPERLINK(CONCATENATE("#Metadata!", ADDRESS(INDEX($AI$2:$AI$1001,MATCH(ROWS($AG$2:AG302),$AG$2:$AG$1001,0),0), INDEX($AN$1004:$BO$1004,1,MATCH(COLUMNS($AN$1006:AP1006),$AN$1006:$BO$1006,0)))),"Fix")))</f>
        <v>0</v>
      </c>
      <c r="E302" s="4">
        <f>IF(OR(INDEX($AH$2:$AH$1001,MATCH(ROWS($AG$2:AG302),$AG$2:$AG$1001,0),1)&gt;=100000,INDEX($AN$1005:$BO$1005,1,MATCH(COLUMNS($AN$1006:AQ1006),$AN$1006:$BO$1006,0))&gt;=100000), " ",IF(INDEX($AN$2:$BO$1001,MATCH(ROWS($AG$2:AG302),$AG$2:$AG$1001,0),MATCH(COLUMNS($AN$1006:AQ1006),$AN$1006:$BO$1006,0)), HYPERLINK("#",""), HYPERLINK(CONCATENATE("#Metadata!", ADDRESS(INDEX($AI$2:$AI$1001,MATCH(ROWS($AG$2:AG302),$AG$2:$AG$1001,0),0), INDEX($AN$1004:$BO$1004,1,MATCH(COLUMNS($AN$1006:AQ1006),$AN$1006:$BO$1006,0)))),"Fix")))</f>
        <v>0</v>
      </c>
      <c r="F302" s="4">
        <f>IF(OR(INDEX($AH$2:$AH$1001,MATCH(ROWS($AG$2:AG302),$AG$2:$AG$1001,0),1)&gt;=100000,INDEX($AN$1005:$BO$1005,1,MATCH(COLUMNS($AN$1006:AR1006),$AN$1006:$BO$1006,0))&gt;=100000), " ",IF(INDEX($AN$2:$BO$1001,MATCH(ROWS($AG$2:AG302),$AG$2:$AG$1001,0),MATCH(COLUMNS($AN$1006:AR1006),$AN$1006:$BO$1006,0)), HYPERLINK("#",""), HYPERLINK(CONCATENATE("#Metadata!", ADDRESS(INDEX($AI$2:$AI$1001,MATCH(ROWS($AG$2:AG302),$AG$2:$AG$1001,0),0), INDEX($AN$1004:$BO$1004,1,MATCH(COLUMNS($AN$1006:AR1006),$AN$1006:$BO$1006,0)))),"Fix")))</f>
        <v>0</v>
      </c>
      <c r="G302" s="4">
        <f>IF(OR(INDEX($AH$2:$AH$1001,MATCH(ROWS($AG$2:AG302),$AG$2:$AG$1001,0),1)&gt;=100000,INDEX($AN$1005:$BO$1005,1,MATCH(COLUMNS($AN$1006:AS1006),$AN$1006:$BO$1006,0))&gt;=100000), " ",IF(INDEX($AN$2:$BO$1001,MATCH(ROWS($AG$2:AG302),$AG$2:$AG$1001,0),MATCH(COLUMNS($AN$1006:AS1006),$AN$1006:$BO$1006,0)), HYPERLINK("#",""), HYPERLINK(CONCATENATE("#Metadata!", ADDRESS(INDEX($AI$2:$AI$1001,MATCH(ROWS($AG$2:AG302),$AG$2:$AG$1001,0),0), INDEX($AN$1004:$BO$1004,1,MATCH(COLUMNS($AN$1006:AS1006),$AN$1006:$BO$1006,0)))),"Fix")))</f>
        <v>0</v>
      </c>
      <c r="H302" s="4">
        <f>IF(OR(INDEX($AH$2:$AH$1001,MATCH(ROWS($AG$2:AG302),$AG$2:$AG$1001,0),1)&gt;=100000,INDEX($AN$1005:$BO$1005,1,MATCH(COLUMNS($AN$1006:AT1006),$AN$1006:$BO$1006,0))&gt;=100000), " ",IF(INDEX($AN$2:$BO$1001,MATCH(ROWS($AG$2:AG302),$AG$2:$AG$1001,0),MATCH(COLUMNS($AN$1006:AT1006),$AN$1006:$BO$1006,0)), HYPERLINK("#",""), HYPERLINK(CONCATENATE("#Metadata!", ADDRESS(INDEX($AI$2:$AI$1001,MATCH(ROWS($AG$2:AG302),$AG$2:$AG$1001,0),0), INDEX($AN$1004:$BO$1004,1,MATCH(COLUMNS($AN$1006:AT1006),$AN$1006:$BO$1006,0)))),"Fix")))</f>
        <v>0</v>
      </c>
      <c r="I302" s="4">
        <f>IF(OR(INDEX($AH$2:$AH$1001,MATCH(ROWS($AG$2:AG302),$AG$2:$AG$1001,0),1)&gt;=100000,INDEX($AN$1005:$BO$1005,1,MATCH(COLUMNS($AN$1006:AU1006),$AN$1006:$BO$1006,0))&gt;=100000), " ",IF(INDEX($AN$2:$BO$1001,MATCH(ROWS($AG$2:AG302),$AG$2:$AG$1001,0),MATCH(COLUMNS($AN$1006:AU1006),$AN$1006:$BO$1006,0)), HYPERLINK("#",""), HYPERLINK(CONCATENATE("#Metadata!", ADDRESS(INDEX($AI$2:$AI$1001,MATCH(ROWS($AG$2:AG302),$AG$2:$AG$1001,0),0), INDEX($AN$1004:$BO$1004,1,MATCH(COLUMNS($AN$1006:AU1006),$AN$1006:$BO$1006,0)))),"Fix")))</f>
        <v>0</v>
      </c>
      <c r="J302" s="4">
        <f>IF(OR(INDEX($AH$2:$AH$1001,MATCH(ROWS($AG$2:AG302),$AG$2:$AG$1001,0),1)&gt;=100000,INDEX($AN$1005:$BO$1005,1,MATCH(COLUMNS($AN$1006:AV1006),$AN$1006:$BO$1006,0))&gt;=100000), " ",IF(INDEX($AN$2:$BO$1001,MATCH(ROWS($AG$2:AG302),$AG$2:$AG$1001,0),MATCH(COLUMNS($AN$1006:AV1006),$AN$1006:$BO$1006,0)), HYPERLINK("#",""), HYPERLINK(CONCATENATE("#Metadata!", ADDRESS(INDEX($AI$2:$AI$1001,MATCH(ROWS($AG$2:AG302),$AG$2:$AG$1001,0),0), INDEX($AN$1004:$BO$1004,1,MATCH(COLUMNS($AN$1006:AV1006),$AN$1006:$BO$1006,0)))),"Fix")))</f>
        <v>0</v>
      </c>
      <c r="K302" s="4">
        <f>IF(OR(INDEX($AH$2:$AH$1001,MATCH(ROWS($AG$2:AG302),$AG$2:$AG$1001,0),1)&gt;=100000,INDEX($AN$1005:$BO$1005,1,MATCH(COLUMNS($AN$1006:AW1006),$AN$1006:$BO$1006,0))&gt;=100000), " ",IF(INDEX($AN$2:$BO$1001,MATCH(ROWS($AG$2:AG302),$AG$2:$AG$1001,0),MATCH(COLUMNS($AN$1006:AW1006),$AN$1006:$BO$1006,0)), HYPERLINK("#",""), HYPERLINK(CONCATENATE("#Metadata!", ADDRESS(INDEX($AI$2:$AI$1001,MATCH(ROWS($AG$2:AG302),$AG$2:$AG$1001,0),0), INDEX($AN$1004:$BO$1004,1,MATCH(COLUMNS($AN$1006:AW1006),$AN$1006:$BO$1006,0)))),"Fix")))</f>
        <v>0</v>
      </c>
      <c r="L302" s="4">
        <f>IF(OR(INDEX($AH$2:$AH$1001,MATCH(ROWS($AG$2:AG302),$AG$2:$AG$1001,0),1)&gt;=100000,INDEX($AN$1005:$BO$1005,1,MATCH(COLUMNS($AN$1006:AX1006),$AN$1006:$BO$1006,0))&gt;=100000), " ",IF(INDEX($AN$2:$BO$1001,MATCH(ROWS($AG$2:AG302),$AG$2:$AG$1001,0),MATCH(COLUMNS($AN$1006:AX1006),$AN$1006:$BO$1006,0)), HYPERLINK("#",""), HYPERLINK(CONCATENATE("#Metadata!", ADDRESS(INDEX($AI$2:$AI$1001,MATCH(ROWS($AG$2:AG302),$AG$2:$AG$1001,0),0), INDEX($AN$1004:$BO$1004,1,MATCH(COLUMNS($AN$1006:AX1006),$AN$1006:$BO$1006,0)))),"Fix")))</f>
        <v>0</v>
      </c>
      <c r="M302" s="4">
        <f>IF(OR(INDEX($AH$2:$AH$1001,MATCH(ROWS($AG$2:AG302),$AG$2:$AG$1001,0),1)&gt;=100000,INDEX($AN$1005:$BO$1005,1,MATCH(COLUMNS($AN$1006:AY1006),$AN$1006:$BO$1006,0))&gt;=100000), " ",IF(INDEX($AN$2:$BO$1001,MATCH(ROWS($AG$2:AG302),$AG$2:$AG$1001,0),MATCH(COLUMNS($AN$1006:AY1006),$AN$1006:$BO$1006,0)), HYPERLINK("#",""), HYPERLINK(CONCATENATE("#Metadata!", ADDRESS(INDEX($AI$2:$AI$1001,MATCH(ROWS($AG$2:AG302),$AG$2:$AG$1001,0),0), INDEX($AN$1004:$BO$1004,1,MATCH(COLUMNS($AN$1006:AY1006),$AN$1006:$BO$1006,0)))),"Fix")))</f>
        <v>0</v>
      </c>
      <c r="N302" s="4">
        <f>IF(OR(INDEX($AH$2:$AH$1001,MATCH(ROWS($AG$2:AG302),$AG$2:$AG$1001,0),1)&gt;=100000,INDEX($AN$1005:$BO$1005,1,MATCH(COLUMNS($AN$1006:AZ1006),$AN$1006:$BO$1006,0))&gt;=100000), " ",IF(INDEX($AN$2:$BO$1001,MATCH(ROWS($AG$2:AG302),$AG$2:$AG$1001,0),MATCH(COLUMNS($AN$1006:AZ1006),$AN$1006:$BO$1006,0)), HYPERLINK("#",""), HYPERLINK(CONCATENATE("#Metadata!", ADDRESS(INDEX($AI$2:$AI$1001,MATCH(ROWS($AG$2:AG302),$AG$2:$AG$1001,0),0), INDEX($AN$1004:$BO$1004,1,MATCH(COLUMNS($AN$1006:AZ1006),$AN$1006:$BO$1006,0)))),"Fix")))</f>
        <v>0</v>
      </c>
      <c r="O302" s="4">
        <f>IF(OR(INDEX($AH$2:$AH$1001,MATCH(ROWS($AG$2:AG302),$AG$2:$AG$1001,0),1)&gt;=100000,INDEX($AN$1005:$BO$1005,1,MATCH(COLUMNS($AN$1006:BA1006),$AN$1006:$BO$1006,0))&gt;=100000), " ",IF(INDEX($AN$2:$BO$1001,MATCH(ROWS($AG$2:AG302),$AG$2:$AG$1001,0),MATCH(COLUMNS($AN$1006:BA1006),$AN$1006:$BO$1006,0)), HYPERLINK("#",""), HYPERLINK(CONCATENATE("#Metadata!", ADDRESS(INDEX($AI$2:$AI$1001,MATCH(ROWS($AG$2:AG302),$AG$2:$AG$1001,0),0), INDEX($AN$1004:$BO$1004,1,MATCH(COLUMNS($AN$1006:BA1006),$AN$1006:$BO$1006,0)))),"Fix")))</f>
        <v>0</v>
      </c>
      <c r="P302" s="4">
        <f>IF(OR(INDEX($AH$2:$AH$1001,MATCH(ROWS($AG$2:AG302),$AG$2:$AG$1001,0),1)&gt;=100000,INDEX($AN$1005:$BO$1005,1,MATCH(COLUMNS($AN$1006:BB1006),$AN$1006:$BO$1006,0))&gt;=100000), " ",IF(INDEX($AN$2:$BO$1001,MATCH(ROWS($AG$2:AG302),$AG$2:$AG$1001,0),MATCH(COLUMNS($AN$1006:BB1006),$AN$1006:$BO$1006,0)), HYPERLINK("#",""), HYPERLINK(CONCATENATE("#Metadata!", ADDRESS(INDEX($AI$2:$AI$1001,MATCH(ROWS($AG$2:AG302),$AG$2:$AG$1001,0),0), INDEX($AN$1004:$BO$1004,1,MATCH(COLUMNS($AN$1006:BB1006),$AN$1006:$BO$1006,0)))),"Fix")))</f>
        <v>0</v>
      </c>
      <c r="Q302" s="4">
        <f>IF(OR(INDEX($AH$2:$AH$1001,MATCH(ROWS($AG$2:AG302),$AG$2:$AG$1001,0),1)&gt;=100000,INDEX($AN$1005:$BO$1005,1,MATCH(COLUMNS($AN$1006:BC1006),$AN$1006:$BO$1006,0))&gt;=100000), " ",IF(INDEX($AN$2:$BO$1001,MATCH(ROWS($AG$2:AG302),$AG$2:$AG$1001,0),MATCH(COLUMNS($AN$1006:BC1006),$AN$1006:$BO$1006,0)), HYPERLINK("#",""), HYPERLINK(CONCATENATE("#Metadata!", ADDRESS(INDEX($AI$2:$AI$1001,MATCH(ROWS($AG$2:AG302),$AG$2:$AG$1001,0),0), INDEX($AN$1004:$BO$1004,1,MATCH(COLUMNS($AN$1006:BC1006),$AN$1006:$BO$1006,0)))),"Fix")))</f>
        <v>0</v>
      </c>
      <c r="R302" s="4">
        <f>IF(OR(INDEX($AH$2:$AH$1001,MATCH(ROWS($AG$2:AG302),$AG$2:$AG$1001,0),1)&gt;=100000,INDEX($AN$1005:$BO$1005,1,MATCH(COLUMNS($AN$1006:BD1006),$AN$1006:$BO$1006,0))&gt;=100000), " ",IF(INDEX($AN$2:$BO$1001,MATCH(ROWS($AG$2:AG302),$AG$2:$AG$1001,0),MATCH(COLUMNS($AN$1006:BD1006),$AN$1006:$BO$1006,0)), HYPERLINK("#",""), HYPERLINK(CONCATENATE("#Metadata!", ADDRESS(INDEX($AI$2:$AI$1001,MATCH(ROWS($AG$2:AG302),$AG$2:$AG$1001,0),0), INDEX($AN$1004:$BO$1004,1,MATCH(COLUMNS($AN$1006:BD1006),$AN$1006:$BO$1006,0)))),"Fix")))</f>
        <v>0</v>
      </c>
      <c r="S302" s="4">
        <f>IF(OR(INDEX($AH$2:$AH$1001,MATCH(ROWS($AG$2:AG302),$AG$2:$AG$1001,0),1)&gt;=100000,INDEX($AN$1005:$BO$1005,1,MATCH(COLUMNS($AN$1006:BE1006),$AN$1006:$BO$1006,0))&gt;=100000), " ",IF(INDEX($AN$2:$BO$1001,MATCH(ROWS($AG$2:AG302),$AG$2:$AG$1001,0),MATCH(COLUMNS($AN$1006:BE1006),$AN$1006:$BO$1006,0)), HYPERLINK("#",""), HYPERLINK(CONCATENATE("#Metadata!", ADDRESS(INDEX($AI$2:$AI$1001,MATCH(ROWS($AG$2:AG302),$AG$2:$AG$1001,0),0), INDEX($AN$1004:$BO$1004,1,MATCH(COLUMNS($AN$1006:BE1006),$AN$1006:$BO$1006,0)))),"Fix")))</f>
        <v>0</v>
      </c>
      <c r="T302" s="4">
        <f>IF(OR(INDEX($AH$2:$AH$1001,MATCH(ROWS($AG$2:AG302),$AG$2:$AG$1001,0),1)&gt;=100000,INDEX($AN$1005:$BO$1005,1,MATCH(COLUMNS($AN$1006:BF1006),$AN$1006:$BO$1006,0))&gt;=100000), " ",IF(INDEX($AN$2:$BO$1001,MATCH(ROWS($AG$2:AG302),$AG$2:$AG$1001,0),MATCH(COLUMNS($AN$1006:BF1006),$AN$1006:$BO$1006,0)), HYPERLINK("#",""), HYPERLINK(CONCATENATE("#Metadata!", ADDRESS(INDEX($AI$2:$AI$1001,MATCH(ROWS($AG$2:AG302),$AG$2:$AG$1001,0),0), INDEX($AN$1004:$BO$1004,1,MATCH(COLUMNS($AN$1006:BF1006),$AN$1006:$BO$1006,0)))),"Fix")))</f>
        <v>0</v>
      </c>
      <c r="U302" s="4">
        <f>IF(OR(INDEX($AH$2:$AH$1001,MATCH(ROWS($AG$2:AG302),$AG$2:$AG$1001,0),1)&gt;=100000,INDEX($AN$1005:$BO$1005,1,MATCH(COLUMNS($AN$1006:BG1006),$AN$1006:$BO$1006,0))&gt;=100000), " ",IF(INDEX($AN$2:$BO$1001,MATCH(ROWS($AG$2:AG302),$AG$2:$AG$1001,0),MATCH(COLUMNS($AN$1006:BG1006),$AN$1006:$BO$1006,0)), HYPERLINK("#",""), HYPERLINK(CONCATENATE("#Metadata!", ADDRESS(INDEX($AI$2:$AI$1001,MATCH(ROWS($AG$2:AG302),$AG$2:$AG$1001,0),0), INDEX($AN$1004:$BO$1004,1,MATCH(COLUMNS($AN$1006:BG1006),$AN$1006:$BO$1006,0)))),"Fix")))</f>
        <v>0</v>
      </c>
      <c r="V302" s="4">
        <f>IF(OR(INDEX($AH$2:$AH$1001,MATCH(ROWS($AG$2:AG302),$AG$2:$AG$1001,0),1)&gt;=100000,INDEX($AN$1005:$BO$1005,1,MATCH(COLUMNS($AN$1006:BH1006),$AN$1006:$BO$1006,0))&gt;=100000), " ",IF(INDEX($AN$2:$BO$1001,MATCH(ROWS($AG$2:AG302),$AG$2:$AG$1001,0),MATCH(COLUMNS($AN$1006:BH1006),$AN$1006:$BO$1006,0)), HYPERLINK("#",""), HYPERLINK(CONCATENATE("#Metadata!", ADDRESS(INDEX($AI$2:$AI$1001,MATCH(ROWS($AG$2:AG302),$AG$2:$AG$1001,0),0), INDEX($AN$1004:$BO$1004,1,MATCH(COLUMNS($AN$1006:BH1006),$AN$1006:$BO$1006,0)))),"Fix")))</f>
        <v>0</v>
      </c>
      <c r="W302" s="4">
        <f>IF(OR(INDEX($AH$2:$AH$1001,MATCH(ROWS($AG$2:AG302),$AG$2:$AG$1001,0),1)&gt;=100000,INDEX($AN$1005:$BO$1005,1,MATCH(COLUMNS($AN$1006:BI1006),$AN$1006:$BO$1006,0))&gt;=100000), " ",IF(INDEX($AN$2:$BO$1001,MATCH(ROWS($AG$2:AG302),$AG$2:$AG$1001,0),MATCH(COLUMNS($AN$1006:BI1006),$AN$1006:$BO$1006,0)), HYPERLINK("#",""), HYPERLINK(CONCATENATE("#Metadata!", ADDRESS(INDEX($AI$2:$AI$1001,MATCH(ROWS($AG$2:AG302),$AG$2:$AG$1001,0),0), INDEX($AN$1004:$BO$1004,1,MATCH(COLUMNS($AN$1006:BI1006),$AN$1006:$BO$1006,0)))),"Fix")))</f>
        <v>0</v>
      </c>
      <c r="X302" s="4">
        <f>IF(OR(INDEX($AH$2:$AH$1001,MATCH(ROWS($AG$2:AG302),$AG$2:$AG$1001,0),1)&gt;=100000,INDEX($AN$1005:$BO$1005,1,MATCH(COLUMNS($AN$1006:BJ1006),$AN$1006:$BO$1006,0))&gt;=100000), " ",IF(INDEX($AN$2:$BO$1001,MATCH(ROWS($AG$2:AG302),$AG$2:$AG$1001,0),MATCH(COLUMNS($AN$1006:BJ1006),$AN$1006:$BO$1006,0)), HYPERLINK("#",""), HYPERLINK(CONCATENATE("#Metadata!", ADDRESS(INDEX($AI$2:$AI$1001,MATCH(ROWS($AG$2:AG302),$AG$2:$AG$1001,0),0), INDEX($AN$1004:$BO$1004,1,MATCH(COLUMNS($AN$1006:BJ1006),$AN$1006:$BO$1006,0)))),"Fix")))</f>
        <v>0</v>
      </c>
      <c r="Y302" s="4">
        <f>IF(OR(INDEX($AH$2:$AH$1001,MATCH(ROWS($AG$2:AG302),$AG$2:$AG$1001,0),1)&gt;=100000,INDEX($AN$1005:$BO$1005,1,MATCH(COLUMNS($AN$1006:BK1006),$AN$1006:$BO$1006,0))&gt;=100000), " ",IF(INDEX($AN$2:$BO$1001,MATCH(ROWS($AG$2:AG302),$AG$2:$AG$1001,0),MATCH(COLUMNS($AN$1006:BK1006),$AN$1006:$BO$1006,0)), HYPERLINK("#",""), HYPERLINK(CONCATENATE("#Metadata!", ADDRESS(INDEX($AI$2:$AI$1001,MATCH(ROWS($AG$2:AG302),$AG$2:$AG$1001,0),0), INDEX($AN$1004:$BO$1004,1,MATCH(COLUMNS($AN$1006:BK1006),$AN$1006:$BO$1006,0)))),"Fix")))</f>
        <v>0</v>
      </c>
      <c r="Z302" s="4">
        <f>IF(OR(INDEX($AH$2:$AH$1001,MATCH(ROWS($AG$2:AG302),$AG$2:$AG$1001,0),1)&gt;=100000,INDEX($AN$1005:$BO$1005,1,MATCH(COLUMNS($AN$1006:BL1006),$AN$1006:$BO$1006,0))&gt;=100000), " ",IF(INDEX($AN$2:$BO$1001,MATCH(ROWS($AG$2:AG302),$AG$2:$AG$1001,0),MATCH(COLUMNS($AN$1006:BL1006),$AN$1006:$BO$1006,0)), HYPERLINK("#",""), HYPERLINK(CONCATENATE("#Metadata!", ADDRESS(INDEX($AI$2:$AI$1001,MATCH(ROWS($AG$2:AG302),$AG$2:$AG$1001,0),0), INDEX($AN$1004:$BO$1004,1,MATCH(COLUMNS($AN$1006:BL1006),$AN$1006:$BO$1006,0)))),"Fix")))</f>
        <v>0</v>
      </c>
      <c r="AA302" s="4">
        <f>IF(OR(INDEX($AH$2:$AH$1001,MATCH(ROWS($AG$2:AG302),$AG$2:$AG$1001,0),1)&gt;=100000,INDEX($AN$1005:$BO$1005,1,MATCH(COLUMNS($AN$1006:BM1006),$AN$1006:$BO$1006,0))&gt;=100000), " ",IF(INDEX($AN$2:$BO$1001,MATCH(ROWS($AG$2:AG302),$AG$2:$AG$1001,0),MATCH(COLUMNS($AN$1006:BM1006),$AN$1006:$BO$1006,0)), HYPERLINK("#",""), HYPERLINK(CONCATENATE("#Metadata!", ADDRESS(INDEX($AI$2:$AI$1001,MATCH(ROWS($AG$2:AG302),$AG$2:$AG$1001,0),0), INDEX($AN$1004:$BO$1004,1,MATCH(COLUMNS($AN$1006:BM1006),$AN$1006:$BO$1006,0)))),"Fix")))</f>
        <v>0</v>
      </c>
      <c r="AB302" s="4">
        <f>IF(OR(INDEX($AH$2:$AH$1001,MATCH(ROWS($AG$2:AG302),$AG$2:$AG$1001,0),1)&gt;=100000,INDEX($AN$1005:$BO$1005,1,MATCH(COLUMNS($AN$1006:BN1006),$AN$1006:$BO$1006,0))&gt;=100000), " ",IF(INDEX($AN$2:$BO$1001,MATCH(ROWS($AG$2:AG302),$AG$2:$AG$1001,0),MATCH(COLUMNS($AN$1006:BN1006),$AN$1006:$BO$1006,0)), HYPERLINK("#",""), HYPERLINK(CONCATENATE("#Metadata!", ADDRESS(INDEX($AI$2:$AI$1001,MATCH(ROWS($AG$2:AG302),$AG$2:$AG$1001,0),0), INDEX($AN$1004:$BO$1004,1,MATCH(COLUMNS($AN$1006:BN1006),$AN$1006:$BO$1006,0)))),"Fix")))</f>
        <v>0</v>
      </c>
      <c r="AC302" s="4">
        <f>IF(OR(INDEX($AH$2:$AH$1001,MATCH(ROWS($AG$2:AG302),$AG$2:$AG$1001,0),1)&gt;=100000,INDEX($AN$1005:$BO$1005,1,MATCH(COLUMNS($AN$1006:BO1006),$AN$1006:$BO$1006,0))&gt;=100000), " ",IF(INDEX($AN$2:$BO$1001,MATCH(ROWS($AG$2:AG302),$AG$2:$AG$1001,0),MATCH(COLUMNS($AN$1006:BO1006),$AN$1006:$BO$1006,0)), HYPERLINK("#",""), HYPERLINK(CONCATENATE("#Metadata!", ADDRESS(INDEX($AI$2:$AI$1001,MATCH(ROWS($AG$2:AG302),$AG$2:$AG$1001,0),0), INDEX($AN$1004:$BO$1004,1,MATCH(COLUMNS($AN$1006:BO1006),$AN$1006:$BO$1006,0)))),"Fix")))</f>
        <v>0</v>
      </c>
      <c r="AG302">
        <v>0</v>
      </c>
      <c r="AH302">
        <v>0</v>
      </c>
      <c r="AI302">
        <v>0</v>
      </c>
      <c r="AJ302">
        <f>IF(AK302,TRUE,AND(AN302:BO302))</f>
        <v>0</v>
      </c>
      <c r="AK302">
        <f>COUNTBLANK(Metadata!B302:AC302)=COLUMNS(Metadata!B302:AC302)</f>
        <v>0</v>
      </c>
      <c r="AL302">
        <v>0</v>
      </c>
      <c r="AN302">
        <f>AND(IF(Metadata!B302="",FALSE,TRUE),COUNTIF(Metadata!B:B, Metadata!B302) = 1,NOT(ISERROR(SUMPRODUCT(SEARCH(MID(Metadata!B302,ROW(INDIRECT("1:"&amp;LEN(Metadata!B302))), 1),"0123456789abcdefghijklmnopqrstuvwxyzABCDEFGHIJKLMNOPQRSTUVWXYZ.")))))</f>
        <v>0</v>
      </c>
      <c r="AO302">
        <f>IF(Metadata!C302="",FALSE,TRUE)</f>
        <v>0</v>
      </c>
      <c r="AP302">
        <f>IF(Metadata!D302="",FALSE,TRUE)</f>
        <v>0</v>
      </c>
      <c r="AQ302">
        <f>OR(AND(IF(Metadata!E302="",FALSE,TRUE),OR(exact(Metadata!E302,"not collected"),exact(Metadata!E302,"not provided"),exact(Metadata!E302,"restricted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R302">
        <f>IF(Metadata!F302="",FALSE,TRUE)</f>
        <v>0</v>
      </c>
      <c r="AS302">
        <f>OR(AND(IF(Metadata!G302="",FALSE,TRUE),OR(exact(Metadata!G302,"not collected"),exact(Metadata!G302,"not provided"))),AND(IF(Metadata!G302="",FALSE,TRUE),OR(exact(Metadata!G302,"TRUE"),exact(Metadata!G302,"FALSE"))))</f>
        <v>0</v>
      </c>
      <c r="AT302">
        <f>OR(AND(IF(Metadata!H302="",FALSE,TRUE),OR(exact(Metadata!H302,"not collected"),exact(Metadata!H302,"not provided"),exact(Metadata!H302,"restricted access"))),AND(IF(Metadata!H302="",FALSE,ISNUMBER(VALUE(Metadata!H302))),Metadata!H302&gt;=-413.0))</f>
        <v>0</v>
      </c>
      <c r="AU302">
        <f>AND(IF(Metadata!I302="",FALSE,TRUE),exact(Metadata!I302,"meters"))</f>
        <v>0</v>
      </c>
      <c r="AV302">
        <f>AND(IF(Metadata!J302="",FALSE,TRUE),OR(exact(Metadata!J302,"Host-associated"),exact(Metadata!J302,"Free-living")))</f>
        <v>0</v>
      </c>
      <c r="AW302">
        <f>AND(IF(Metadata!K302="",FALSE,TRUE),OR(exact(Metadata!K302,"Animal"),exact(Metadata!K302,"Fungus"),exact(Metadata!K302,"Plant"),exact(Metadata!K302,"Saline"),exact(Metadata!K302,"Non-saline")))</f>
        <v>0</v>
      </c>
      <c r="AX302">
        <f>AND(IF(Metadata!L302="",FALSE,TRUE),OR(exact(Metadata!L302,"Plant secretion"),exact(Metadata!L302,"Plant rhizosphere"),exact(Metadata!L302,"Plant surface"),exact(Metadata!L302,"Plant corpus"),exact(Metadata!L302,"Fungus surface"),exact(Metadata!L302,"Fungus corpus"),exact(Metadata!L302,"Animal surface"),exact(Metadata!L302,"Animal proximal gut"),exact(Metadata!L302,"Animal corpus"),exact(Metadata!L302,"Animal distal gut"),exact(Metadata!L302,"Animal secretion"),exact(Metadata!L302,"Sub-surface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Y302">
        <f>IF(Metadata!M302="",FALSE,TRUE)</f>
        <v>0</v>
      </c>
      <c r="AZ302">
        <f>IF(Metadata!N302="",FALSE,TRUE)</f>
        <v>0</v>
      </c>
      <c r="BA302">
        <f>IF(Metadata!O302="",FALSE,TRUE)</f>
        <v>0</v>
      </c>
      <c r="BB302">
        <f>OR(AND(IF(Metadata!P302="",FALSE,TRUE),OR(exact(Metadata!P302,"not collected"),exact(Metadata!P302,"not provided"),exact(Metadata!P302,"restricted access"))),AND(IF(Metadata!P302="",FALSE,TRUE),OR(exact(Metadata!P302,"air"),exact(Metadata!P302,"built environment"),exact(Metadata!P302,"host-associated"),exact(Metadata!P302,"human-associated"),exact(Metadata!P302,"human-skin"),exact(Metadata!P302,"human-oral"),exact(Metadata!P302,"human-gut"),exact(Metadata!P302,"human-vaginal"),exact(Metadata!P302,"microbial mat/biofilm"),exact(Metadata!P302,"misc environment"),exact(Metadata!P302,"plant-associated"),exact(Metadata!P302,"sediment"),exact(Metadata!P302,"soil"),exact(Metadata!P302,"wastewater/sludge"),exact(Metadata!P302,"water"))))</f>
        <v>0</v>
      </c>
      <c r="BC302">
        <f>IF(Metadata!Q302="",FALSE,TRUE)</f>
        <v>0</v>
      </c>
      <c r="BD302">
        <f>IF(Metadata!R302="",FALSE,TRUE)</f>
        <v>0</v>
      </c>
      <c r="BE302">
        <f>OR(AND(IF(Metadata!S302="",FALSE,TRUE),OR(exact(Metadata!S302,"not collected"),exact(Metadata!S302,"not provided"),exact(Metadata!S302,"restricted access"))),AND(IF(Metadata!S302="",FALSE,ISNUMBER(VALUE(Metadata!S302))),Metadata!S302&gt;=-90.00,Metadata!S302&lt;=90.00))</f>
        <v>0</v>
      </c>
      <c r="BF302">
        <f>AND(IF(Metadata!T302="",FALSE,TRUE),exact(Metadata!T302,"Decimal degrees"))</f>
        <v>0</v>
      </c>
      <c r="BG302">
        <f>OR(AND(IF(Metadata!U302="",FALSE,TRUE),OR(exact(Metadata!U302,"not collected"),exact(Metadata!U302,"not provided"),exact(Metadata!U302,"restricted access"))),AND(IF(Metadata!U302="",FALSE,ISNUMBER(VALUE(Metadata!U302))),Metadata!U302&gt;=-180.00,Metadata!U302&lt;=180.00))</f>
        <v>0</v>
      </c>
      <c r="BH302">
        <f>AND(IF(Metadata!V302="",FALSE,TRUE),exact(Metadata!V302,"Decimal degrees"))</f>
        <v>0</v>
      </c>
      <c r="BI302">
        <f>IF(Metadata!W302="",FALSE,TRUE)</f>
        <v>0</v>
      </c>
      <c r="BJ302">
        <f>OR(AND(IF(Metadata!X302="",FALSE,TRUE),OR(exact(Metadata!X302,"not collected"),exact(Metadata!X302,"not provided"),exact(Metadata!X302,"restricted access"))),AND(IF(Metadata!X302="",FALSE,TRUE),OR(exact(Metadata!X302,"TRUE"),exact(Metadata!X302,"FALSE"))))</f>
        <v>0</v>
      </c>
      <c r="BK302">
        <f>AND(IF(Metadata!Y302="",FALSE,TRUE),exact(Metadata!Y302,"other"))</f>
        <v>0</v>
      </c>
      <c r="BL302">
        <f>IF(Metadata!Z302="",FALSE,TRUE)</f>
        <v>0</v>
      </c>
      <c r="BM302">
        <f>OR(AND(IF(Metadata!AA302="",FALSE,TRUE),OR(exact(Metadata!AA302,"not collected"),exact(Metadata!AA302,"not provided"))),AND(IF(Metadata!AA302="",FALSE,IF(ISERROR(INT(Metadata!AA302)),FALSE,INT(Metadata!AA302)=Metadata!AA302)),Metadata!AA302&gt;0))</f>
        <v>0</v>
      </c>
      <c r="BN302">
        <f>AND(IF(Metadata!AB302="",FALSE,TRUE),exact(Metadata!AB302,"Not applicable"))</f>
        <v>0</v>
      </c>
      <c r="BO302">
        <f>IF(Metadata!AC302="",FALSE,TRUE)</f>
        <v>0</v>
      </c>
    </row>
    <row r="303" spans="1:67">
      <c r="A303" s="5">
        <f>IF(B303=" "," ",HYPERLINK(CONCATENATE("#metadata!",ADDRESS(INDEX($AI$2:$AI$1001,MATCH(ROWS($AG$2:AG303),$AG$2:$AG$1001,0),0),1)),INDEX($AL$2:$AL$1001,MATCH(ROWS($AG$2:AG303),$AG$2:$AG$1001,0),0)))</f>
        <v>0</v>
      </c>
      <c r="B303" s="4">
        <f>IF(OR(INDEX($AH$2:$AH$1001,MATCH(ROWS($AG$2:AG303),$AG$2:$AG$1001,0),1)&gt;=100000,INDEX($AN$1005:$BO$1005,1,MATCH(COLUMNS($AN$1006:AN1006),$AN$1006:$BO$1006,0))&gt;=100000), " ",IF(INDEX($AN$2:$BO$1001,MATCH(ROWS($AG$2:AG303),$AG$2:$AG$1001,0),MATCH(COLUMNS($AN$1006:AN1006),$AN$1006:$BO$1006,0)), HYPERLINK("#",""), HYPERLINK(CONCATENATE("#Metadata!", ADDRESS(INDEX($AI$2:$AI$1001,MATCH(ROWS($AG$2:AG303),$AG$2:$AG$1001,0),0), INDEX($AN$1004:$BO$1004,1,MATCH(COLUMNS($AN$1006:AN1006),$AN$1006:$BO$1006,0)))),"Fix")))</f>
        <v>0</v>
      </c>
      <c r="C303" s="4">
        <f>IF(OR(INDEX($AH$2:$AH$1001,MATCH(ROWS($AG$2:AG303),$AG$2:$AG$1001,0),1)&gt;=100000,INDEX($AN$1005:$BO$1005,1,MATCH(COLUMNS($AN$1006:AO1006),$AN$1006:$BO$1006,0))&gt;=100000), " ",IF(INDEX($AN$2:$BO$1001,MATCH(ROWS($AG$2:AG303),$AG$2:$AG$1001,0),MATCH(COLUMNS($AN$1006:AO1006),$AN$1006:$BO$1006,0)), HYPERLINK("#",""), HYPERLINK(CONCATENATE("#Metadata!", ADDRESS(INDEX($AI$2:$AI$1001,MATCH(ROWS($AG$2:AG303),$AG$2:$AG$1001,0),0), INDEX($AN$1004:$BO$1004,1,MATCH(COLUMNS($AN$1006:AO1006),$AN$1006:$BO$1006,0)))),"Fix")))</f>
        <v>0</v>
      </c>
      <c r="D303" s="4">
        <f>IF(OR(INDEX($AH$2:$AH$1001,MATCH(ROWS($AG$2:AG303),$AG$2:$AG$1001,0),1)&gt;=100000,INDEX($AN$1005:$BO$1005,1,MATCH(COLUMNS($AN$1006:AP1006),$AN$1006:$BO$1006,0))&gt;=100000), " ",IF(INDEX($AN$2:$BO$1001,MATCH(ROWS($AG$2:AG303),$AG$2:$AG$1001,0),MATCH(COLUMNS($AN$1006:AP1006),$AN$1006:$BO$1006,0)), HYPERLINK("#",""), HYPERLINK(CONCATENATE("#Metadata!", ADDRESS(INDEX($AI$2:$AI$1001,MATCH(ROWS($AG$2:AG303),$AG$2:$AG$1001,0),0), INDEX($AN$1004:$BO$1004,1,MATCH(COLUMNS($AN$1006:AP1006),$AN$1006:$BO$1006,0)))),"Fix")))</f>
        <v>0</v>
      </c>
      <c r="E303" s="4">
        <f>IF(OR(INDEX($AH$2:$AH$1001,MATCH(ROWS($AG$2:AG303),$AG$2:$AG$1001,0),1)&gt;=100000,INDEX($AN$1005:$BO$1005,1,MATCH(COLUMNS($AN$1006:AQ1006),$AN$1006:$BO$1006,0))&gt;=100000), " ",IF(INDEX($AN$2:$BO$1001,MATCH(ROWS($AG$2:AG303),$AG$2:$AG$1001,0),MATCH(COLUMNS($AN$1006:AQ1006),$AN$1006:$BO$1006,0)), HYPERLINK("#",""), HYPERLINK(CONCATENATE("#Metadata!", ADDRESS(INDEX($AI$2:$AI$1001,MATCH(ROWS($AG$2:AG303),$AG$2:$AG$1001,0),0), INDEX($AN$1004:$BO$1004,1,MATCH(COLUMNS($AN$1006:AQ1006),$AN$1006:$BO$1006,0)))),"Fix")))</f>
        <v>0</v>
      </c>
      <c r="F303" s="4">
        <f>IF(OR(INDEX($AH$2:$AH$1001,MATCH(ROWS($AG$2:AG303),$AG$2:$AG$1001,0),1)&gt;=100000,INDEX($AN$1005:$BO$1005,1,MATCH(COLUMNS($AN$1006:AR1006),$AN$1006:$BO$1006,0))&gt;=100000), " ",IF(INDEX($AN$2:$BO$1001,MATCH(ROWS($AG$2:AG303),$AG$2:$AG$1001,0),MATCH(COLUMNS($AN$1006:AR1006),$AN$1006:$BO$1006,0)), HYPERLINK("#",""), HYPERLINK(CONCATENATE("#Metadata!", ADDRESS(INDEX($AI$2:$AI$1001,MATCH(ROWS($AG$2:AG303),$AG$2:$AG$1001,0),0), INDEX($AN$1004:$BO$1004,1,MATCH(COLUMNS($AN$1006:AR1006),$AN$1006:$BO$1006,0)))),"Fix")))</f>
        <v>0</v>
      </c>
      <c r="G303" s="4">
        <f>IF(OR(INDEX($AH$2:$AH$1001,MATCH(ROWS($AG$2:AG303),$AG$2:$AG$1001,0),1)&gt;=100000,INDEX($AN$1005:$BO$1005,1,MATCH(COLUMNS($AN$1006:AS1006),$AN$1006:$BO$1006,0))&gt;=100000), " ",IF(INDEX($AN$2:$BO$1001,MATCH(ROWS($AG$2:AG303),$AG$2:$AG$1001,0),MATCH(COLUMNS($AN$1006:AS1006),$AN$1006:$BO$1006,0)), HYPERLINK("#",""), HYPERLINK(CONCATENATE("#Metadata!", ADDRESS(INDEX($AI$2:$AI$1001,MATCH(ROWS($AG$2:AG303),$AG$2:$AG$1001,0),0), INDEX($AN$1004:$BO$1004,1,MATCH(COLUMNS($AN$1006:AS1006),$AN$1006:$BO$1006,0)))),"Fix")))</f>
        <v>0</v>
      </c>
      <c r="H303" s="4">
        <f>IF(OR(INDEX($AH$2:$AH$1001,MATCH(ROWS($AG$2:AG303),$AG$2:$AG$1001,0),1)&gt;=100000,INDEX($AN$1005:$BO$1005,1,MATCH(COLUMNS($AN$1006:AT1006),$AN$1006:$BO$1006,0))&gt;=100000), " ",IF(INDEX($AN$2:$BO$1001,MATCH(ROWS($AG$2:AG303),$AG$2:$AG$1001,0),MATCH(COLUMNS($AN$1006:AT1006),$AN$1006:$BO$1006,0)), HYPERLINK("#",""), HYPERLINK(CONCATENATE("#Metadata!", ADDRESS(INDEX($AI$2:$AI$1001,MATCH(ROWS($AG$2:AG303),$AG$2:$AG$1001,0),0), INDEX($AN$1004:$BO$1004,1,MATCH(COLUMNS($AN$1006:AT1006),$AN$1006:$BO$1006,0)))),"Fix")))</f>
        <v>0</v>
      </c>
      <c r="I303" s="4">
        <f>IF(OR(INDEX($AH$2:$AH$1001,MATCH(ROWS($AG$2:AG303),$AG$2:$AG$1001,0),1)&gt;=100000,INDEX($AN$1005:$BO$1005,1,MATCH(COLUMNS($AN$1006:AU1006),$AN$1006:$BO$1006,0))&gt;=100000), " ",IF(INDEX($AN$2:$BO$1001,MATCH(ROWS($AG$2:AG303),$AG$2:$AG$1001,0),MATCH(COLUMNS($AN$1006:AU1006),$AN$1006:$BO$1006,0)), HYPERLINK("#",""), HYPERLINK(CONCATENATE("#Metadata!", ADDRESS(INDEX($AI$2:$AI$1001,MATCH(ROWS($AG$2:AG303),$AG$2:$AG$1001,0),0), INDEX($AN$1004:$BO$1004,1,MATCH(COLUMNS($AN$1006:AU1006),$AN$1006:$BO$1006,0)))),"Fix")))</f>
        <v>0</v>
      </c>
      <c r="J303" s="4">
        <f>IF(OR(INDEX($AH$2:$AH$1001,MATCH(ROWS($AG$2:AG303),$AG$2:$AG$1001,0),1)&gt;=100000,INDEX($AN$1005:$BO$1005,1,MATCH(COLUMNS($AN$1006:AV1006),$AN$1006:$BO$1006,0))&gt;=100000), " ",IF(INDEX($AN$2:$BO$1001,MATCH(ROWS($AG$2:AG303),$AG$2:$AG$1001,0),MATCH(COLUMNS($AN$1006:AV1006),$AN$1006:$BO$1006,0)), HYPERLINK("#",""), HYPERLINK(CONCATENATE("#Metadata!", ADDRESS(INDEX($AI$2:$AI$1001,MATCH(ROWS($AG$2:AG303),$AG$2:$AG$1001,0),0), INDEX($AN$1004:$BO$1004,1,MATCH(COLUMNS($AN$1006:AV1006),$AN$1006:$BO$1006,0)))),"Fix")))</f>
        <v>0</v>
      </c>
      <c r="K303" s="4">
        <f>IF(OR(INDEX($AH$2:$AH$1001,MATCH(ROWS($AG$2:AG303),$AG$2:$AG$1001,0),1)&gt;=100000,INDEX($AN$1005:$BO$1005,1,MATCH(COLUMNS($AN$1006:AW1006),$AN$1006:$BO$1006,0))&gt;=100000), " ",IF(INDEX($AN$2:$BO$1001,MATCH(ROWS($AG$2:AG303),$AG$2:$AG$1001,0),MATCH(COLUMNS($AN$1006:AW1006),$AN$1006:$BO$1006,0)), HYPERLINK("#",""), HYPERLINK(CONCATENATE("#Metadata!", ADDRESS(INDEX($AI$2:$AI$1001,MATCH(ROWS($AG$2:AG303),$AG$2:$AG$1001,0),0), INDEX($AN$1004:$BO$1004,1,MATCH(COLUMNS($AN$1006:AW1006),$AN$1006:$BO$1006,0)))),"Fix")))</f>
        <v>0</v>
      </c>
      <c r="L303" s="4">
        <f>IF(OR(INDEX($AH$2:$AH$1001,MATCH(ROWS($AG$2:AG303),$AG$2:$AG$1001,0),1)&gt;=100000,INDEX($AN$1005:$BO$1005,1,MATCH(COLUMNS($AN$1006:AX1006),$AN$1006:$BO$1006,0))&gt;=100000), " ",IF(INDEX($AN$2:$BO$1001,MATCH(ROWS($AG$2:AG303),$AG$2:$AG$1001,0),MATCH(COLUMNS($AN$1006:AX1006),$AN$1006:$BO$1006,0)), HYPERLINK("#",""), HYPERLINK(CONCATENATE("#Metadata!", ADDRESS(INDEX($AI$2:$AI$1001,MATCH(ROWS($AG$2:AG303),$AG$2:$AG$1001,0),0), INDEX($AN$1004:$BO$1004,1,MATCH(COLUMNS($AN$1006:AX1006),$AN$1006:$BO$1006,0)))),"Fix")))</f>
        <v>0</v>
      </c>
      <c r="M303" s="4">
        <f>IF(OR(INDEX($AH$2:$AH$1001,MATCH(ROWS($AG$2:AG303),$AG$2:$AG$1001,0),1)&gt;=100000,INDEX($AN$1005:$BO$1005,1,MATCH(COLUMNS($AN$1006:AY1006),$AN$1006:$BO$1006,0))&gt;=100000), " ",IF(INDEX($AN$2:$BO$1001,MATCH(ROWS($AG$2:AG303),$AG$2:$AG$1001,0),MATCH(COLUMNS($AN$1006:AY1006),$AN$1006:$BO$1006,0)), HYPERLINK("#",""), HYPERLINK(CONCATENATE("#Metadata!", ADDRESS(INDEX($AI$2:$AI$1001,MATCH(ROWS($AG$2:AG303),$AG$2:$AG$1001,0),0), INDEX($AN$1004:$BO$1004,1,MATCH(COLUMNS($AN$1006:AY1006),$AN$1006:$BO$1006,0)))),"Fix")))</f>
        <v>0</v>
      </c>
      <c r="N303" s="4">
        <f>IF(OR(INDEX($AH$2:$AH$1001,MATCH(ROWS($AG$2:AG303),$AG$2:$AG$1001,0),1)&gt;=100000,INDEX($AN$1005:$BO$1005,1,MATCH(COLUMNS($AN$1006:AZ1006),$AN$1006:$BO$1006,0))&gt;=100000), " ",IF(INDEX($AN$2:$BO$1001,MATCH(ROWS($AG$2:AG303),$AG$2:$AG$1001,0),MATCH(COLUMNS($AN$1006:AZ1006),$AN$1006:$BO$1006,0)), HYPERLINK("#",""), HYPERLINK(CONCATENATE("#Metadata!", ADDRESS(INDEX($AI$2:$AI$1001,MATCH(ROWS($AG$2:AG303),$AG$2:$AG$1001,0),0), INDEX($AN$1004:$BO$1004,1,MATCH(COLUMNS($AN$1006:AZ1006),$AN$1006:$BO$1006,0)))),"Fix")))</f>
        <v>0</v>
      </c>
      <c r="O303" s="4">
        <f>IF(OR(INDEX($AH$2:$AH$1001,MATCH(ROWS($AG$2:AG303),$AG$2:$AG$1001,0),1)&gt;=100000,INDEX($AN$1005:$BO$1005,1,MATCH(COLUMNS($AN$1006:BA1006),$AN$1006:$BO$1006,0))&gt;=100000), " ",IF(INDEX($AN$2:$BO$1001,MATCH(ROWS($AG$2:AG303),$AG$2:$AG$1001,0),MATCH(COLUMNS($AN$1006:BA1006),$AN$1006:$BO$1006,0)), HYPERLINK("#",""), HYPERLINK(CONCATENATE("#Metadata!", ADDRESS(INDEX($AI$2:$AI$1001,MATCH(ROWS($AG$2:AG303),$AG$2:$AG$1001,0),0), INDEX($AN$1004:$BO$1004,1,MATCH(COLUMNS($AN$1006:BA1006),$AN$1006:$BO$1006,0)))),"Fix")))</f>
        <v>0</v>
      </c>
      <c r="P303" s="4">
        <f>IF(OR(INDEX($AH$2:$AH$1001,MATCH(ROWS($AG$2:AG303),$AG$2:$AG$1001,0),1)&gt;=100000,INDEX($AN$1005:$BO$1005,1,MATCH(COLUMNS($AN$1006:BB1006),$AN$1006:$BO$1006,0))&gt;=100000), " ",IF(INDEX($AN$2:$BO$1001,MATCH(ROWS($AG$2:AG303),$AG$2:$AG$1001,0),MATCH(COLUMNS($AN$1006:BB1006),$AN$1006:$BO$1006,0)), HYPERLINK("#",""), HYPERLINK(CONCATENATE("#Metadata!", ADDRESS(INDEX($AI$2:$AI$1001,MATCH(ROWS($AG$2:AG303),$AG$2:$AG$1001,0),0), INDEX($AN$1004:$BO$1004,1,MATCH(COLUMNS($AN$1006:BB1006),$AN$1006:$BO$1006,0)))),"Fix")))</f>
        <v>0</v>
      </c>
      <c r="Q303" s="4">
        <f>IF(OR(INDEX($AH$2:$AH$1001,MATCH(ROWS($AG$2:AG303),$AG$2:$AG$1001,0),1)&gt;=100000,INDEX($AN$1005:$BO$1005,1,MATCH(COLUMNS($AN$1006:BC1006),$AN$1006:$BO$1006,0))&gt;=100000), " ",IF(INDEX($AN$2:$BO$1001,MATCH(ROWS($AG$2:AG303),$AG$2:$AG$1001,0),MATCH(COLUMNS($AN$1006:BC1006),$AN$1006:$BO$1006,0)), HYPERLINK("#",""), HYPERLINK(CONCATENATE("#Metadata!", ADDRESS(INDEX($AI$2:$AI$1001,MATCH(ROWS($AG$2:AG303),$AG$2:$AG$1001,0),0), INDEX($AN$1004:$BO$1004,1,MATCH(COLUMNS($AN$1006:BC1006),$AN$1006:$BO$1006,0)))),"Fix")))</f>
        <v>0</v>
      </c>
      <c r="R303" s="4">
        <f>IF(OR(INDEX($AH$2:$AH$1001,MATCH(ROWS($AG$2:AG303),$AG$2:$AG$1001,0),1)&gt;=100000,INDEX($AN$1005:$BO$1005,1,MATCH(COLUMNS($AN$1006:BD1006),$AN$1006:$BO$1006,0))&gt;=100000), " ",IF(INDEX($AN$2:$BO$1001,MATCH(ROWS($AG$2:AG303),$AG$2:$AG$1001,0),MATCH(COLUMNS($AN$1006:BD1006),$AN$1006:$BO$1006,0)), HYPERLINK("#",""), HYPERLINK(CONCATENATE("#Metadata!", ADDRESS(INDEX($AI$2:$AI$1001,MATCH(ROWS($AG$2:AG303),$AG$2:$AG$1001,0),0), INDEX($AN$1004:$BO$1004,1,MATCH(COLUMNS($AN$1006:BD1006),$AN$1006:$BO$1006,0)))),"Fix")))</f>
        <v>0</v>
      </c>
      <c r="S303" s="4">
        <f>IF(OR(INDEX($AH$2:$AH$1001,MATCH(ROWS($AG$2:AG303),$AG$2:$AG$1001,0),1)&gt;=100000,INDEX($AN$1005:$BO$1005,1,MATCH(COLUMNS($AN$1006:BE1006),$AN$1006:$BO$1006,0))&gt;=100000), " ",IF(INDEX($AN$2:$BO$1001,MATCH(ROWS($AG$2:AG303),$AG$2:$AG$1001,0),MATCH(COLUMNS($AN$1006:BE1006),$AN$1006:$BO$1006,0)), HYPERLINK("#",""), HYPERLINK(CONCATENATE("#Metadata!", ADDRESS(INDEX($AI$2:$AI$1001,MATCH(ROWS($AG$2:AG303),$AG$2:$AG$1001,0),0), INDEX($AN$1004:$BO$1004,1,MATCH(COLUMNS($AN$1006:BE1006),$AN$1006:$BO$1006,0)))),"Fix")))</f>
        <v>0</v>
      </c>
      <c r="T303" s="4">
        <f>IF(OR(INDEX($AH$2:$AH$1001,MATCH(ROWS($AG$2:AG303),$AG$2:$AG$1001,0),1)&gt;=100000,INDEX($AN$1005:$BO$1005,1,MATCH(COLUMNS($AN$1006:BF1006),$AN$1006:$BO$1006,0))&gt;=100000), " ",IF(INDEX($AN$2:$BO$1001,MATCH(ROWS($AG$2:AG303),$AG$2:$AG$1001,0),MATCH(COLUMNS($AN$1006:BF1006),$AN$1006:$BO$1006,0)), HYPERLINK("#",""), HYPERLINK(CONCATENATE("#Metadata!", ADDRESS(INDEX($AI$2:$AI$1001,MATCH(ROWS($AG$2:AG303),$AG$2:$AG$1001,0),0), INDEX($AN$1004:$BO$1004,1,MATCH(COLUMNS($AN$1006:BF1006),$AN$1006:$BO$1006,0)))),"Fix")))</f>
        <v>0</v>
      </c>
      <c r="U303" s="4">
        <f>IF(OR(INDEX($AH$2:$AH$1001,MATCH(ROWS($AG$2:AG303),$AG$2:$AG$1001,0),1)&gt;=100000,INDEX($AN$1005:$BO$1005,1,MATCH(COLUMNS($AN$1006:BG1006),$AN$1006:$BO$1006,0))&gt;=100000), " ",IF(INDEX($AN$2:$BO$1001,MATCH(ROWS($AG$2:AG303),$AG$2:$AG$1001,0),MATCH(COLUMNS($AN$1006:BG1006),$AN$1006:$BO$1006,0)), HYPERLINK("#",""), HYPERLINK(CONCATENATE("#Metadata!", ADDRESS(INDEX($AI$2:$AI$1001,MATCH(ROWS($AG$2:AG303),$AG$2:$AG$1001,0),0), INDEX($AN$1004:$BO$1004,1,MATCH(COLUMNS($AN$1006:BG1006),$AN$1006:$BO$1006,0)))),"Fix")))</f>
        <v>0</v>
      </c>
      <c r="V303" s="4">
        <f>IF(OR(INDEX($AH$2:$AH$1001,MATCH(ROWS($AG$2:AG303),$AG$2:$AG$1001,0),1)&gt;=100000,INDEX($AN$1005:$BO$1005,1,MATCH(COLUMNS($AN$1006:BH1006),$AN$1006:$BO$1006,0))&gt;=100000), " ",IF(INDEX($AN$2:$BO$1001,MATCH(ROWS($AG$2:AG303),$AG$2:$AG$1001,0),MATCH(COLUMNS($AN$1006:BH1006),$AN$1006:$BO$1006,0)), HYPERLINK("#",""), HYPERLINK(CONCATENATE("#Metadata!", ADDRESS(INDEX($AI$2:$AI$1001,MATCH(ROWS($AG$2:AG303),$AG$2:$AG$1001,0),0), INDEX($AN$1004:$BO$1004,1,MATCH(COLUMNS($AN$1006:BH1006),$AN$1006:$BO$1006,0)))),"Fix")))</f>
        <v>0</v>
      </c>
      <c r="W303" s="4">
        <f>IF(OR(INDEX($AH$2:$AH$1001,MATCH(ROWS($AG$2:AG303),$AG$2:$AG$1001,0),1)&gt;=100000,INDEX($AN$1005:$BO$1005,1,MATCH(COLUMNS($AN$1006:BI1006),$AN$1006:$BO$1006,0))&gt;=100000), " ",IF(INDEX($AN$2:$BO$1001,MATCH(ROWS($AG$2:AG303),$AG$2:$AG$1001,0),MATCH(COLUMNS($AN$1006:BI1006),$AN$1006:$BO$1006,0)), HYPERLINK("#",""), HYPERLINK(CONCATENATE("#Metadata!", ADDRESS(INDEX($AI$2:$AI$1001,MATCH(ROWS($AG$2:AG303),$AG$2:$AG$1001,0),0), INDEX($AN$1004:$BO$1004,1,MATCH(COLUMNS($AN$1006:BI1006),$AN$1006:$BO$1006,0)))),"Fix")))</f>
        <v>0</v>
      </c>
      <c r="X303" s="4">
        <f>IF(OR(INDEX($AH$2:$AH$1001,MATCH(ROWS($AG$2:AG303),$AG$2:$AG$1001,0),1)&gt;=100000,INDEX($AN$1005:$BO$1005,1,MATCH(COLUMNS($AN$1006:BJ1006),$AN$1006:$BO$1006,0))&gt;=100000), " ",IF(INDEX($AN$2:$BO$1001,MATCH(ROWS($AG$2:AG303),$AG$2:$AG$1001,0),MATCH(COLUMNS($AN$1006:BJ1006),$AN$1006:$BO$1006,0)), HYPERLINK("#",""), HYPERLINK(CONCATENATE("#Metadata!", ADDRESS(INDEX($AI$2:$AI$1001,MATCH(ROWS($AG$2:AG303),$AG$2:$AG$1001,0),0), INDEX($AN$1004:$BO$1004,1,MATCH(COLUMNS($AN$1006:BJ1006),$AN$1006:$BO$1006,0)))),"Fix")))</f>
        <v>0</v>
      </c>
      <c r="Y303" s="4">
        <f>IF(OR(INDEX($AH$2:$AH$1001,MATCH(ROWS($AG$2:AG303),$AG$2:$AG$1001,0),1)&gt;=100000,INDEX($AN$1005:$BO$1005,1,MATCH(COLUMNS($AN$1006:BK1006),$AN$1006:$BO$1006,0))&gt;=100000), " ",IF(INDEX($AN$2:$BO$1001,MATCH(ROWS($AG$2:AG303),$AG$2:$AG$1001,0),MATCH(COLUMNS($AN$1006:BK1006),$AN$1006:$BO$1006,0)), HYPERLINK("#",""), HYPERLINK(CONCATENATE("#Metadata!", ADDRESS(INDEX($AI$2:$AI$1001,MATCH(ROWS($AG$2:AG303),$AG$2:$AG$1001,0),0), INDEX($AN$1004:$BO$1004,1,MATCH(COLUMNS($AN$1006:BK1006),$AN$1006:$BO$1006,0)))),"Fix")))</f>
        <v>0</v>
      </c>
      <c r="Z303" s="4">
        <f>IF(OR(INDEX($AH$2:$AH$1001,MATCH(ROWS($AG$2:AG303),$AG$2:$AG$1001,0),1)&gt;=100000,INDEX($AN$1005:$BO$1005,1,MATCH(COLUMNS($AN$1006:BL1006),$AN$1006:$BO$1006,0))&gt;=100000), " ",IF(INDEX($AN$2:$BO$1001,MATCH(ROWS($AG$2:AG303),$AG$2:$AG$1001,0),MATCH(COLUMNS($AN$1006:BL1006),$AN$1006:$BO$1006,0)), HYPERLINK("#",""), HYPERLINK(CONCATENATE("#Metadata!", ADDRESS(INDEX($AI$2:$AI$1001,MATCH(ROWS($AG$2:AG303),$AG$2:$AG$1001,0),0), INDEX($AN$1004:$BO$1004,1,MATCH(COLUMNS($AN$1006:BL1006),$AN$1006:$BO$1006,0)))),"Fix")))</f>
        <v>0</v>
      </c>
      <c r="AA303" s="4">
        <f>IF(OR(INDEX($AH$2:$AH$1001,MATCH(ROWS($AG$2:AG303),$AG$2:$AG$1001,0),1)&gt;=100000,INDEX($AN$1005:$BO$1005,1,MATCH(COLUMNS($AN$1006:BM1006),$AN$1006:$BO$1006,0))&gt;=100000), " ",IF(INDEX($AN$2:$BO$1001,MATCH(ROWS($AG$2:AG303),$AG$2:$AG$1001,0),MATCH(COLUMNS($AN$1006:BM1006),$AN$1006:$BO$1006,0)), HYPERLINK("#",""), HYPERLINK(CONCATENATE("#Metadata!", ADDRESS(INDEX($AI$2:$AI$1001,MATCH(ROWS($AG$2:AG303),$AG$2:$AG$1001,0),0), INDEX($AN$1004:$BO$1004,1,MATCH(COLUMNS($AN$1006:BM1006),$AN$1006:$BO$1006,0)))),"Fix")))</f>
        <v>0</v>
      </c>
      <c r="AB303" s="4">
        <f>IF(OR(INDEX($AH$2:$AH$1001,MATCH(ROWS($AG$2:AG303),$AG$2:$AG$1001,0),1)&gt;=100000,INDEX($AN$1005:$BO$1005,1,MATCH(COLUMNS($AN$1006:BN1006),$AN$1006:$BO$1006,0))&gt;=100000), " ",IF(INDEX($AN$2:$BO$1001,MATCH(ROWS($AG$2:AG303),$AG$2:$AG$1001,0),MATCH(COLUMNS($AN$1006:BN1006),$AN$1006:$BO$1006,0)), HYPERLINK("#",""), HYPERLINK(CONCATENATE("#Metadata!", ADDRESS(INDEX($AI$2:$AI$1001,MATCH(ROWS($AG$2:AG303),$AG$2:$AG$1001,0),0), INDEX($AN$1004:$BO$1004,1,MATCH(COLUMNS($AN$1006:BN1006),$AN$1006:$BO$1006,0)))),"Fix")))</f>
        <v>0</v>
      </c>
      <c r="AC303" s="4">
        <f>IF(OR(INDEX($AH$2:$AH$1001,MATCH(ROWS($AG$2:AG303),$AG$2:$AG$1001,0),1)&gt;=100000,INDEX($AN$1005:$BO$1005,1,MATCH(COLUMNS($AN$1006:BO1006),$AN$1006:$BO$1006,0))&gt;=100000), " ",IF(INDEX($AN$2:$BO$1001,MATCH(ROWS($AG$2:AG303),$AG$2:$AG$1001,0),MATCH(COLUMNS($AN$1006:BO1006),$AN$1006:$BO$1006,0)), HYPERLINK("#",""), HYPERLINK(CONCATENATE("#Metadata!", ADDRESS(INDEX($AI$2:$AI$1001,MATCH(ROWS($AG$2:AG303),$AG$2:$AG$1001,0),0), INDEX($AN$1004:$BO$1004,1,MATCH(COLUMNS($AN$1006:BO1006),$AN$1006:$BO$1006,0)))),"Fix")))</f>
        <v>0</v>
      </c>
      <c r="AG303">
        <v>0</v>
      </c>
      <c r="AH303">
        <v>0</v>
      </c>
      <c r="AI303">
        <v>0</v>
      </c>
      <c r="AJ303">
        <f>IF(AK303,TRUE,AND(AN303:BO303))</f>
        <v>0</v>
      </c>
      <c r="AK303">
        <f>COUNTBLANK(Metadata!B303:AC303)=COLUMNS(Metadata!B303:AC303)</f>
        <v>0</v>
      </c>
      <c r="AL303">
        <v>0</v>
      </c>
      <c r="AN303">
        <f>AND(IF(Metadata!B303="",FALSE,TRUE),COUNTIF(Metadata!B:B, Metadata!B303) = 1,NOT(ISERROR(SUMPRODUCT(SEARCH(MID(Metadata!B303,ROW(INDIRECT("1:"&amp;LEN(Metadata!B303))), 1),"0123456789abcdefghijklmnopqrstuvwxyzABCDEFGHIJKLMNOPQRSTUVWXYZ.")))))</f>
        <v>0</v>
      </c>
      <c r="AO303">
        <f>IF(Metadata!C303="",FALSE,TRUE)</f>
        <v>0</v>
      </c>
      <c r="AP303">
        <f>IF(Metadata!D303="",FALSE,TRUE)</f>
        <v>0</v>
      </c>
      <c r="AQ303">
        <f>OR(AND(IF(Metadata!E303="",FALSE,TRUE),OR(exact(Metadata!E303,"not collected"),exact(Metadata!E303,"not provided"),exact(Metadata!E303,"restricted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R303">
        <f>IF(Metadata!F303="",FALSE,TRUE)</f>
        <v>0</v>
      </c>
      <c r="AS303">
        <f>OR(AND(IF(Metadata!G303="",FALSE,TRUE),OR(exact(Metadata!G303,"not collected"),exact(Metadata!G303,"not provided"))),AND(IF(Metadata!G303="",FALSE,TRUE),OR(exact(Metadata!G303,"TRUE"),exact(Metadata!G303,"FALSE"))))</f>
        <v>0</v>
      </c>
      <c r="AT303">
        <f>OR(AND(IF(Metadata!H303="",FALSE,TRUE),OR(exact(Metadata!H303,"not collected"),exact(Metadata!H303,"not provided"),exact(Metadata!H303,"restricted access"))),AND(IF(Metadata!H303="",FALSE,ISNUMBER(VALUE(Metadata!H303))),Metadata!H303&gt;=-413.0))</f>
        <v>0</v>
      </c>
      <c r="AU303">
        <f>AND(IF(Metadata!I303="",FALSE,TRUE),exact(Metadata!I303,"meters"))</f>
        <v>0</v>
      </c>
      <c r="AV303">
        <f>AND(IF(Metadata!J303="",FALSE,TRUE),OR(exact(Metadata!J303,"Host-associated"),exact(Metadata!J303,"Free-living")))</f>
        <v>0</v>
      </c>
      <c r="AW303">
        <f>AND(IF(Metadata!K303="",FALSE,TRUE),OR(exact(Metadata!K303,"Animal"),exact(Metadata!K303,"Fungus"),exact(Metadata!K303,"Plant"),exact(Metadata!K303,"Saline"),exact(Metadata!K303,"Non-saline")))</f>
        <v>0</v>
      </c>
      <c r="AX303">
        <f>AND(IF(Metadata!L303="",FALSE,TRUE),OR(exact(Metadata!L303,"Plant secretion"),exact(Metadata!L303,"Plant rhizosphere"),exact(Metadata!L303,"Plant surface"),exact(Metadata!L303,"Plant corpus"),exact(Metadata!L303,"Fungus surface"),exact(Metadata!L303,"Fungus corpus"),exact(Metadata!L303,"Animal surface"),exact(Metadata!L303,"Animal proximal gut"),exact(Metadata!L303,"Animal corpus"),exact(Metadata!L303,"Animal distal gut"),exact(Metadata!L303,"Animal secretion"),exact(Metadata!L303,"Sub-surface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Y303">
        <f>IF(Metadata!M303="",FALSE,TRUE)</f>
        <v>0</v>
      </c>
      <c r="AZ303">
        <f>IF(Metadata!N303="",FALSE,TRUE)</f>
        <v>0</v>
      </c>
      <c r="BA303">
        <f>IF(Metadata!O303="",FALSE,TRUE)</f>
        <v>0</v>
      </c>
      <c r="BB303">
        <f>OR(AND(IF(Metadata!P303="",FALSE,TRUE),OR(exact(Metadata!P303,"not collected"),exact(Metadata!P303,"not provided"),exact(Metadata!P303,"restricted access"))),AND(IF(Metadata!P303="",FALSE,TRUE),OR(exact(Metadata!P303,"air"),exact(Metadata!P303,"built environment"),exact(Metadata!P303,"host-associated"),exact(Metadata!P303,"human-associated"),exact(Metadata!P303,"human-skin"),exact(Metadata!P303,"human-oral"),exact(Metadata!P303,"human-gut"),exact(Metadata!P303,"human-vaginal"),exact(Metadata!P303,"microbial mat/biofilm"),exact(Metadata!P303,"misc environment"),exact(Metadata!P303,"plant-associated"),exact(Metadata!P303,"sediment"),exact(Metadata!P303,"soil"),exact(Metadata!P303,"wastewater/sludge"),exact(Metadata!P303,"water"))))</f>
        <v>0</v>
      </c>
      <c r="BC303">
        <f>IF(Metadata!Q303="",FALSE,TRUE)</f>
        <v>0</v>
      </c>
      <c r="BD303">
        <f>IF(Metadata!R303="",FALSE,TRUE)</f>
        <v>0</v>
      </c>
      <c r="BE303">
        <f>OR(AND(IF(Metadata!S303="",FALSE,TRUE),OR(exact(Metadata!S303,"not collected"),exact(Metadata!S303,"not provided"),exact(Metadata!S303,"restricted access"))),AND(IF(Metadata!S303="",FALSE,ISNUMBER(VALUE(Metadata!S303))),Metadata!S303&gt;=-90.00,Metadata!S303&lt;=90.00))</f>
        <v>0</v>
      </c>
      <c r="BF303">
        <f>AND(IF(Metadata!T303="",FALSE,TRUE),exact(Metadata!T303,"Decimal degrees"))</f>
        <v>0</v>
      </c>
      <c r="BG303">
        <f>OR(AND(IF(Metadata!U303="",FALSE,TRUE),OR(exact(Metadata!U303,"not collected"),exact(Metadata!U303,"not provided"),exact(Metadata!U303,"restricted access"))),AND(IF(Metadata!U303="",FALSE,ISNUMBER(VALUE(Metadata!U303))),Metadata!U303&gt;=-180.00,Metadata!U303&lt;=180.00))</f>
        <v>0</v>
      </c>
      <c r="BH303">
        <f>AND(IF(Metadata!V303="",FALSE,TRUE),exact(Metadata!V303,"Decimal degrees"))</f>
        <v>0</v>
      </c>
      <c r="BI303">
        <f>IF(Metadata!W303="",FALSE,TRUE)</f>
        <v>0</v>
      </c>
      <c r="BJ303">
        <f>OR(AND(IF(Metadata!X303="",FALSE,TRUE),OR(exact(Metadata!X303,"not collected"),exact(Metadata!X303,"not provided"),exact(Metadata!X303,"restricted access"))),AND(IF(Metadata!X303="",FALSE,TRUE),OR(exact(Metadata!X303,"TRUE"),exact(Metadata!X303,"FALSE"))))</f>
        <v>0</v>
      </c>
      <c r="BK303">
        <f>AND(IF(Metadata!Y303="",FALSE,TRUE),exact(Metadata!Y303,"other"))</f>
        <v>0</v>
      </c>
      <c r="BL303">
        <f>IF(Metadata!Z303="",FALSE,TRUE)</f>
        <v>0</v>
      </c>
      <c r="BM303">
        <f>OR(AND(IF(Metadata!AA303="",FALSE,TRUE),OR(exact(Metadata!AA303,"not collected"),exact(Metadata!AA303,"not provided"))),AND(IF(Metadata!AA303="",FALSE,IF(ISERROR(INT(Metadata!AA303)),FALSE,INT(Metadata!AA303)=Metadata!AA303)),Metadata!AA303&gt;0))</f>
        <v>0</v>
      </c>
      <c r="BN303">
        <f>AND(IF(Metadata!AB303="",FALSE,TRUE),exact(Metadata!AB303,"Not applicable"))</f>
        <v>0</v>
      </c>
      <c r="BO303">
        <f>IF(Metadata!AC303="",FALSE,TRUE)</f>
        <v>0</v>
      </c>
    </row>
    <row r="304" spans="1:67">
      <c r="A304" s="5">
        <f>IF(B304=" "," ",HYPERLINK(CONCATENATE("#metadata!",ADDRESS(INDEX($AI$2:$AI$1001,MATCH(ROWS($AG$2:AG304),$AG$2:$AG$1001,0),0),1)),INDEX($AL$2:$AL$1001,MATCH(ROWS($AG$2:AG304),$AG$2:$AG$1001,0),0)))</f>
        <v>0</v>
      </c>
      <c r="B304" s="4">
        <f>IF(OR(INDEX($AH$2:$AH$1001,MATCH(ROWS($AG$2:AG304),$AG$2:$AG$1001,0),1)&gt;=100000,INDEX($AN$1005:$BO$1005,1,MATCH(COLUMNS($AN$1006:AN1006),$AN$1006:$BO$1006,0))&gt;=100000), " ",IF(INDEX($AN$2:$BO$1001,MATCH(ROWS($AG$2:AG304),$AG$2:$AG$1001,0),MATCH(COLUMNS($AN$1006:AN1006),$AN$1006:$BO$1006,0)), HYPERLINK("#",""), HYPERLINK(CONCATENATE("#Metadata!", ADDRESS(INDEX($AI$2:$AI$1001,MATCH(ROWS($AG$2:AG304),$AG$2:$AG$1001,0),0), INDEX($AN$1004:$BO$1004,1,MATCH(COLUMNS($AN$1006:AN1006),$AN$1006:$BO$1006,0)))),"Fix")))</f>
        <v>0</v>
      </c>
      <c r="C304" s="4">
        <f>IF(OR(INDEX($AH$2:$AH$1001,MATCH(ROWS($AG$2:AG304),$AG$2:$AG$1001,0),1)&gt;=100000,INDEX($AN$1005:$BO$1005,1,MATCH(COLUMNS($AN$1006:AO1006),$AN$1006:$BO$1006,0))&gt;=100000), " ",IF(INDEX($AN$2:$BO$1001,MATCH(ROWS($AG$2:AG304),$AG$2:$AG$1001,0),MATCH(COLUMNS($AN$1006:AO1006),$AN$1006:$BO$1006,0)), HYPERLINK("#",""), HYPERLINK(CONCATENATE("#Metadata!", ADDRESS(INDEX($AI$2:$AI$1001,MATCH(ROWS($AG$2:AG304),$AG$2:$AG$1001,0),0), INDEX($AN$1004:$BO$1004,1,MATCH(COLUMNS($AN$1006:AO1006),$AN$1006:$BO$1006,0)))),"Fix")))</f>
        <v>0</v>
      </c>
      <c r="D304" s="4">
        <f>IF(OR(INDEX($AH$2:$AH$1001,MATCH(ROWS($AG$2:AG304),$AG$2:$AG$1001,0),1)&gt;=100000,INDEX($AN$1005:$BO$1005,1,MATCH(COLUMNS($AN$1006:AP1006),$AN$1006:$BO$1006,0))&gt;=100000), " ",IF(INDEX($AN$2:$BO$1001,MATCH(ROWS($AG$2:AG304),$AG$2:$AG$1001,0),MATCH(COLUMNS($AN$1006:AP1006),$AN$1006:$BO$1006,0)), HYPERLINK("#",""), HYPERLINK(CONCATENATE("#Metadata!", ADDRESS(INDEX($AI$2:$AI$1001,MATCH(ROWS($AG$2:AG304),$AG$2:$AG$1001,0),0), INDEX($AN$1004:$BO$1004,1,MATCH(COLUMNS($AN$1006:AP1006),$AN$1006:$BO$1006,0)))),"Fix")))</f>
        <v>0</v>
      </c>
      <c r="E304" s="4">
        <f>IF(OR(INDEX($AH$2:$AH$1001,MATCH(ROWS($AG$2:AG304),$AG$2:$AG$1001,0),1)&gt;=100000,INDEX($AN$1005:$BO$1005,1,MATCH(COLUMNS($AN$1006:AQ1006),$AN$1006:$BO$1006,0))&gt;=100000), " ",IF(INDEX($AN$2:$BO$1001,MATCH(ROWS($AG$2:AG304),$AG$2:$AG$1001,0),MATCH(COLUMNS($AN$1006:AQ1006),$AN$1006:$BO$1006,0)), HYPERLINK("#",""), HYPERLINK(CONCATENATE("#Metadata!", ADDRESS(INDEX($AI$2:$AI$1001,MATCH(ROWS($AG$2:AG304),$AG$2:$AG$1001,0),0), INDEX($AN$1004:$BO$1004,1,MATCH(COLUMNS($AN$1006:AQ1006),$AN$1006:$BO$1006,0)))),"Fix")))</f>
        <v>0</v>
      </c>
      <c r="F304" s="4">
        <f>IF(OR(INDEX($AH$2:$AH$1001,MATCH(ROWS($AG$2:AG304),$AG$2:$AG$1001,0),1)&gt;=100000,INDEX($AN$1005:$BO$1005,1,MATCH(COLUMNS($AN$1006:AR1006),$AN$1006:$BO$1006,0))&gt;=100000), " ",IF(INDEX($AN$2:$BO$1001,MATCH(ROWS($AG$2:AG304),$AG$2:$AG$1001,0),MATCH(COLUMNS($AN$1006:AR1006),$AN$1006:$BO$1006,0)), HYPERLINK("#",""), HYPERLINK(CONCATENATE("#Metadata!", ADDRESS(INDEX($AI$2:$AI$1001,MATCH(ROWS($AG$2:AG304),$AG$2:$AG$1001,0),0), INDEX($AN$1004:$BO$1004,1,MATCH(COLUMNS($AN$1006:AR1006),$AN$1006:$BO$1006,0)))),"Fix")))</f>
        <v>0</v>
      </c>
      <c r="G304" s="4">
        <f>IF(OR(INDEX($AH$2:$AH$1001,MATCH(ROWS($AG$2:AG304),$AG$2:$AG$1001,0),1)&gt;=100000,INDEX($AN$1005:$BO$1005,1,MATCH(COLUMNS($AN$1006:AS1006),$AN$1006:$BO$1006,0))&gt;=100000), " ",IF(INDEX($AN$2:$BO$1001,MATCH(ROWS($AG$2:AG304),$AG$2:$AG$1001,0),MATCH(COLUMNS($AN$1006:AS1006),$AN$1006:$BO$1006,0)), HYPERLINK("#",""), HYPERLINK(CONCATENATE("#Metadata!", ADDRESS(INDEX($AI$2:$AI$1001,MATCH(ROWS($AG$2:AG304),$AG$2:$AG$1001,0),0), INDEX($AN$1004:$BO$1004,1,MATCH(COLUMNS($AN$1006:AS1006),$AN$1006:$BO$1006,0)))),"Fix")))</f>
        <v>0</v>
      </c>
      <c r="H304" s="4">
        <f>IF(OR(INDEX($AH$2:$AH$1001,MATCH(ROWS($AG$2:AG304),$AG$2:$AG$1001,0),1)&gt;=100000,INDEX($AN$1005:$BO$1005,1,MATCH(COLUMNS($AN$1006:AT1006),$AN$1006:$BO$1006,0))&gt;=100000), " ",IF(INDEX($AN$2:$BO$1001,MATCH(ROWS($AG$2:AG304),$AG$2:$AG$1001,0),MATCH(COLUMNS($AN$1006:AT1006),$AN$1006:$BO$1006,0)), HYPERLINK("#",""), HYPERLINK(CONCATENATE("#Metadata!", ADDRESS(INDEX($AI$2:$AI$1001,MATCH(ROWS($AG$2:AG304),$AG$2:$AG$1001,0),0), INDEX($AN$1004:$BO$1004,1,MATCH(COLUMNS($AN$1006:AT1006),$AN$1006:$BO$1006,0)))),"Fix")))</f>
        <v>0</v>
      </c>
      <c r="I304" s="4">
        <f>IF(OR(INDEX($AH$2:$AH$1001,MATCH(ROWS($AG$2:AG304),$AG$2:$AG$1001,0),1)&gt;=100000,INDEX($AN$1005:$BO$1005,1,MATCH(COLUMNS($AN$1006:AU1006),$AN$1006:$BO$1006,0))&gt;=100000), " ",IF(INDEX($AN$2:$BO$1001,MATCH(ROWS($AG$2:AG304),$AG$2:$AG$1001,0),MATCH(COLUMNS($AN$1006:AU1006),$AN$1006:$BO$1006,0)), HYPERLINK("#",""), HYPERLINK(CONCATENATE("#Metadata!", ADDRESS(INDEX($AI$2:$AI$1001,MATCH(ROWS($AG$2:AG304),$AG$2:$AG$1001,0),0), INDEX($AN$1004:$BO$1004,1,MATCH(COLUMNS($AN$1006:AU1006),$AN$1006:$BO$1006,0)))),"Fix")))</f>
        <v>0</v>
      </c>
      <c r="J304" s="4">
        <f>IF(OR(INDEX($AH$2:$AH$1001,MATCH(ROWS($AG$2:AG304),$AG$2:$AG$1001,0),1)&gt;=100000,INDEX($AN$1005:$BO$1005,1,MATCH(COLUMNS($AN$1006:AV1006),$AN$1006:$BO$1006,0))&gt;=100000), " ",IF(INDEX($AN$2:$BO$1001,MATCH(ROWS($AG$2:AG304),$AG$2:$AG$1001,0),MATCH(COLUMNS($AN$1006:AV1006),$AN$1006:$BO$1006,0)), HYPERLINK("#",""), HYPERLINK(CONCATENATE("#Metadata!", ADDRESS(INDEX($AI$2:$AI$1001,MATCH(ROWS($AG$2:AG304),$AG$2:$AG$1001,0),0), INDEX($AN$1004:$BO$1004,1,MATCH(COLUMNS($AN$1006:AV1006),$AN$1006:$BO$1006,0)))),"Fix")))</f>
        <v>0</v>
      </c>
      <c r="K304" s="4">
        <f>IF(OR(INDEX($AH$2:$AH$1001,MATCH(ROWS($AG$2:AG304),$AG$2:$AG$1001,0),1)&gt;=100000,INDEX($AN$1005:$BO$1005,1,MATCH(COLUMNS($AN$1006:AW1006),$AN$1006:$BO$1006,0))&gt;=100000), " ",IF(INDEX($AN$2:$BO$1001,MATCH(ROWS($AG$2:AG304),$AG$2:$AG$1001,0),MATCH(COLUMNS($AN$1006:AW1006),$AN$1006:$BO$1006,0)), HYPERLINK("#",""), HYPERLINK(CONCATENATE("#Metadata!", ADDRESS(INDEX($AI$2:$AI$1001,MATCH(ROWS($AG$2:AG304),$AG$2:$AG$1001,0),0), INDEX($AN$1004:$BO$1004,1,MATCH(COLUMNS($AN$1006:AW1006),$AN$1006:$BO$1006,0)))),"Fix")))</f>
        <v>0</v>
      </c>
      <c r="L304" s="4">
        <f>IF(OR(INDEX($AH$2:$AH$1001,MATCH(ROWS($AG$2:AG304),$AG$2:$AG$1001,0),1)&gt;=100000,INDEX($AN$1005:$BO$1005,1,MATCH(COLUMNS($AN$1006:AX1006),$AN$1006:$BO$1006,0))&gt;=100000), " ",IF(INDEX($AN$2:$BO$1001,MATCH(ROWS($AG$2:AG304),$AG$2:$AG$1001,0),MATCH(COLUMNS($AN$1006:AX1006),$AN$1006:$BO$1006,0)), HYPERLINK("#",""), HYPERLINK(CONCATENATE("#Metadata!", ADDRESS(INDEX($AI$2:$AI$1001,MATCH(ROWS($AG$2:AG304),$AG$2:$AG$1001,0),0), INDEX($AN$1004:$BO$1004,1,MATCH(COLUMNS($AN$1006:AX1006),$AN$1006:$BO$1006,0)))),"Fix")))</f>
        <v>0</v>
      </c>
      <c r="M304" s="4">
        <f>IF(OR(INDEX($AH$2:$AH$1001,MATCH(ROWS($AG$2:AG304),$AG$2:$AG$1001,0),1)&gt;=100000,INDEX($AN$1005:$BO$1005,1,MATCH(COLUMNS($AN$1006:AY1006),$AN$1006:$BO$1006,0))&gt;=100000), " ",IF(INDEX($AN$2:$BO$1001,MATCH(ROWS($AG$2:AG304),$AG$2:$AG$1001,0),MATCH(COLUMNS($AN$1006:AY1006),$AN$1006:$BO$1006,0)), HYPERLINK("#",""), HYPERLINK(CONCATENATE("#Metadata!", ADDRESS(INDEX($AI$2:$AI$1001,MATCH(ROWS($AG$2:AG304),$AG$2:$AG$1001,0),0), INDEX($AN$1004:$BO$1004,1,MATCH(COLUMNS($AN$1006:AY1006),$AN$1006:$BO$1006,0)))),"Fix")))</f>
        <v>0</v>
      </c>
      <c r="N304" s="4">
        <f>IF(OR(INDEX($AH$2:$AH$1001,MATCH(ROWS($AG$2:AG304),$AG$2:$AG$1001,0),1)&gt;=100000,INDEX($AN$1005:$BO$1005,1,MATCH(COLUMNS($AN$1006:AZ1006),$AN$1006:$BO$1006,0))&gt;=100000), " ",IF(INDEX($AN$2:$BO$1001,MATCH(ROWS($AG$2:AG304),$AG$2:$AG$1001,0),MATCH(COLUMNS($AN$1006:AZ1006),$AN$1006:$BO$1006,0)), HYPERLINK("#",""), HYPERLINK(CONCATENATE("#Metadata!", ADDRESS(INDEX($AI$2:$AI$1001,MATCH(ROWS($AG$2:AG304),$AG$2:$AG$1001,0),0), INDEX($AN$1004:$BO$1004,1,MATCH(COLUMNS($AN$1006:AZ1006),$AN$1006:$BO$1006,0)))),"Fix")))</f>
        <v>0</v>
      </c>
      <c r="O304" s="4">
        <f>IF(OR(INDEX($AH$2:$AH$1001,MATCH(ROWS($AG$2:AG304),$AG$2:$AG$1001,0),1)&gt;=100000,INDEX($AN$1005:$BO$1005,1,MATCH(COLUMNS($AN$1006:BA1006),$AN$1006:$BO$1006,0))&gt;=100000), " ",IF(INDEX($AN$2:$BO$1001,MATCH(ROWS($AG$2:AG304),$AG$2:$AG$1001,0),MATCH(COLUMNS($AN$1006:BA1006),$AN$1006:$BO$1006,0)), HYPERLINK("#",""), HYPERLINK(CONCATENATE("#Metadata!", ADDRESS(INDEX($AI$2:$AI$1001,MATCH(ROWS($AG$2:AG304),$AG$2:$AG$1001,0),0), INDEX($AN$1004:$BO$1004,1,MATCH(COLUMNS($AN$1006:BA1006),$AN$1006:$BO$1006,0)))),"Fix")))</f>
        <v>0</v>
      </c>
      <c r="P304" s="4">
        <f>IF(OR(INDEX($AH$2:$AH$1001,MATCH(ROWS($AG$2:AG304),$AG$2:$AG$1001,0),1)&gt;=100000,INDEX($AN$1005:$BO$1005,1,MATCH(COLUMNS($AN$1006:BB1006),$AN$1006:$BO$1006,0))&gt;=100000), " ",IF(INDEX($AN$2:$BO$1001,MATCH(ROWS($AG$2:AG304),$AG$2:$AG$1001,0),MATCH(COLUMNS($AN$1006:BB1006),$AN$1006:$BO$1006,0)), HYPERLINK("#",""), HYPERLINK(CONCATENATE("#Metadata!", ADDRESS(INDEX($AI$2:$AI$1001,MATCH(ROWS($AG$2:AG304),$AG$2:$AG$1001,0),0), INDEX($AN$1004:$BO$1004,1,MATCH(COLUMNS($AN$1006:BB1006),$AN$1006:$BO$1006,0)))),"Fix")))</f>
        <v>0</v>
      </c>
      <c r="Q304" s="4">
        <f>IF(OR(INDEX($AH$2:$AH$1001,MATCH(ROWS($AG$2:AG304),$AG$2:$AG$1001,0),1)&gt;=100000,INDEX($AN$1005:$BO$1005,1,MATCH(COLUMNS($AN$1006:BC1006),$AN$1006:$BO$1006,0))&gt;=100000), " ",IF(INDEX($AN$2:$BO$1001,MATCH(ROWS($AG$2:AG304),$AG$2:$AG$1001,0),MATCH(COLUMNS($AN$1006:BC1006),$AN$1006:$BO$1006,0)), HYPERLINK("#",""), HYPERLINK(CONCATENATE("#Metadata!", ADDRESS(INDEX($AI$2:$AI$1001,MATCH(ROWS($AG$2:AG304),$AG$2:$AG$1001,0),0), INDEX($AN$1004:$BO$1004,1,MATCH(COLUMNS($AN$1006:BC1006),$AN$1006:$BO$1006,0)))),"Fix")))</f>
        <v>0</v>
      </c>
      <c r="R304" s="4">
        <f>IF(OR(INDEX($AH$2:$AH$1001,MATCH(ROWS($AG$2:AG304),$AG$2:$AG$1001,0),1)&gt;=100000,INDEX($AN$1005:$BO$1005,1,MATCH(COLUMNS($AN$1006:BD1006),$AN$1006:$BO$1006,0))&gt;=100000), " ",IF(INDEX($AN$2:$BO$1001,MATCH(ROWS($AG$2:AG304),$AG$2:$AG$1001,0),MATCH(COLUMNS($AN$1006:BD1006),$AN$1006:$BO$1006,0)), HYPERLINK("#",""), HYPERLINK(CONCATENATE("#Metadata!", ADDRESS(INDEX($AI$2:$AI$1001,MATCH(ROWS($AG$2:AG304),$AG$2:$AG$1001,0),0), INDEX($AN$1004:$BO$1004,1,MATCH(COLUMNS($AN$1006:BD1006),$AN$1006:$BO$1006,0)))),"Fix")))</f>
        <v>0</v>
      </c>
      <c r="S304" s="4">
        <f>IF(OR(INDEX($AH$2:$AH$1001,MATCH(ROWS($AG$2:AG304),$AG$2:$AG$1001,0),1)&gt;=100000,INDEX($AN$1005:$BO$1005,1,MATCH(COLUMNS($AN$1006:BE1006),$AN$1006:$BO$1006,0))&gt;=100000), " ",IF(INDEX($AN$2:$BO$1001,MATCH(ROWS($AG$2:AG304),$AG$2:$AG$1001,0),MATCH(COLUMNS($AN$1006:BE1006),$AN$1006:$BO$1006,0)), HYPERLINK("#",""), HYPERLINK(CONCATENATE("#Metadata!", ADDRESS(INDEX($AI$2:$AI$1001,MATCH(ROWS($AG$2:AG304),$AG$2:$AG$1001,0),0), INDEX($AN$1004:$BO$1004,1,MATCH(COLUMNS($AN$1006:BE1006),$AN$1006:$BO$1006,0)))),"Fix")))</f>
        <v>0</v>
      </c>
      <c r="T304" s="4">
        <f>IF(OR(INDEX($AH$2:$AH$1001,MATCH(ROWS($AG$2:AG304),$AG$2:$AG$1001,0),1)&gt;=100000,INDEX($AN$1005:$BO$1005,1,MATCH(COLUMNS($AN$1006:BF1006),$AN$1006:$BO$1006,0))&gt;=100000), " ",IF(INDEX($AN$2:$BO$1001,MATCH(ROWS($AG$2:AG304),$AG$2:$AG$1001,0),MATCH(COLUMNS($AN$1006:BF1006),$AN$1006:$BO$1006,0)), HYPERLINK("#",""), HYPERLINK(CONCATENATE("#Metadata!", ADDRESS(INDEX($AI$2:$AI$1001,MATCH(ROWS($AG$2:AG304),$AG$2:$AG$1001,0),0), INDEX($AN$1004:$BO$1004,1,MATCH(COLUMNS($AN$1006:BF1006),$AN$1006:$BO$1006,0)))),"Fix")))</f>
        <v>0</v>
      </c>
      <c r="U304" s="4">
        <f>IF(OR(INDEX($AH$2:$AH$1001,MATCH(ROWS($AG$2:AG304),$AG$2:$AG$1001,0),1)&gt;=100000,INDEX($AN$1005:$BO$1005,1,MATCH(COLUMNS($AN$1006:BG1006),$AN$1006:$BO$1006,0))&gt;=100000), " ",IF(INDEX($AN$2:$BO$1001,MATCH(ROWS($AG$2:AG304),$AG$2:$AG$1001,0),MATCH(COLUMNS($AN$1006:BG1006),$AN$1006:$BO$1006,0)), HYPERLINK("#",""), HYPERLINK(CONCATENATE("#Metadata!", ADDRESS(INDEX($AI$2:$AI$1001,MATCH(ROWS($AG$2:AG304),$AG$2:$AG$1001,0),0), INDEX($AN$1004:$BO$1004,1,MATCH(COLUMNS($AN$1006:BG1006),$AN$1006:$BO$1006,0)))),"Fix")))</f>
        <v>0</v>
      </c>
      <c r="V304" s="4">
        <f>IF(OR(INDEX($AH$2:$AH$1001,MATCH(ROWS($AG$2:AG304),$AG$2:$AG$1001,0),1)&gt;=100000,INDEX($AN$1005:$BO$1005,1,MATCH(COLUMNS($AN$1006:BH1006),$AN$1006:$BO$1006,0))&gt;=100000), " ",IF(INDEX($AN$2:$BO$1001,MATCH(ROWS($AG$2:AG304),$AG$2:$AG$1001,0),MATCH(COLUMNS($AN$1006:BH1006),$AN$1006:$BO$1006,0)), HYPERLINK("#",""), HYPERLINK(CONCATENATE("#Metadata!", ADDRESS(INDEX($AI$2:$AI$1001,MATCH(ROWS($AG$2:AG304),$AG$2:$AG$1001,0),0), INDEX($AN$1004:$BO$1004,1,MATCH(COLUMNS($AN$1006:BH1006),$AN$1006:$BO$1006,0)))),"Fix")))</f>
        <v>0</v>
      </c>
      <c r="W304" s="4">
        <f>IF(OR(INDEX($AH$2:$AH$1001,MATCH(ROWS($AG$2:AG304),$AG$2:$AG$1001,0),1)&gt;=100000,INDEX($AN$1005:$BO$1005,1,MATCH(COLUMNS($AN$1006:BI1006),$AN$1006:$BO$1006,0))&gt;=100000), " ",IF(INDEX($AN$2:$BO$1001,MATCH(ROWS($AG$2:AG304),$AG$2:$AG$1001,0),MATCH(COLUMNS($AN$1006:BI1006),$AN$1006:$BO$1006,0)), HYPERLINK("#",""), HYPERLINK(CONCATENATE("#Metadata!", ADDRESS(INDEX($AI$2:$AI$1001,MATCH(ROWS($AG$2:AG304),$AG$2:$AG$1001,0),0), INDEX($AN$1004:$BO$1004,1,MATCH(COLUMNS($AN$1006:BI1006),$AN$1006:$BO$1006,0)))),"Fix")))</f>
        <v>0</v>
      </c>
      <c r="X304" s="4">
        <f>IF(OR(INDEX($AH$2:$AH$1001,MATCH(ROWS($AG$2:AG304),$AG$2:$AG$1001,0),1)&gt;=100000,INDEX($AN$1005:$BO$1005,1,MATCH(COLUMNS($AN$1006:BJ1006),$AN$1006:$BO$1006,0))&gt;=100000), " ",IF(INDEX($AN$2:$BO$1001,MATCH(ROWS($AG$2:AG304),$AG$2:$AG$1001,0),MATCH(COLUMNS($AN$1006:BJ1006),$AN$1006:$BO$1006,0)), HYPERLINK("#",""), HYPERLINK(CONCATENATE("#Metadata!", ADDRESS(INDEX($AI$2:$AI$1001,MATCH(ROWS($AG$2:AG304),$AG$2:$AG$1001,0),0), INDEX($AN$1004:$BO$1004,1,MATCH(COLUMNS($AN$1006:BJ1006),$AN$1006:$BO$1006,0)))),"Fix")))</f>
        <v>0</v>
      </c>
      <c r="Y304" s="4">
        <f>IF(OR(INDEX($AH$2:$AH$1001,MATCH(ROWS($AG$2:AG304),$AG$2:$AG$1001,0),1)&gt;=100000,INDEX($AN$1005:$BO$1005,1,MATCH(COLUMNS($AN$1006:BK1006),$AN$1006:$BO$1006,0))&gt;=100000), " ",IF(INDEX($AN$2:$BO$1001,MATCH(ROWS($AG$2:AG304),$AG$2:$AG$1001,0),MATCH(COLUMNS($AN$1006:BK1006),$AN$1006:$BO$1006,0)), HYPERLINK("#",""), HYPERLINK(CONCATENATE("#Metadata!", ADDRESS(INDEX($AI$2:$AI$1001,MATCH(ROWS($AG$2:AG304),$AG$2:$AG$1001,0),0), INDEX($AN$1004:$BO$1004,1,MATCH(COLUMNS($AN$1006:BK1006),$AN$1006:$BO$1006,0)))),"Fix")))</f>
        <v>0</v>
      </c>
      <c r="Z304" s="4">
        <f>IF(OR(INDEX($AH$2:$AH$1001,MATCH(ROWS($AG$2:AG304),$AG$2:$AG$1001,0),1)&gt;=100000,INDEX($AN$1005:$BO$1005,1,MATCH(COLUMNS($AN$1006:BL1006),$AN$1006:$BO$1006,0))&gt;=100000), " ",IF(INDEX($AN$2:$BO$1001,MATCH(ROWS($AG$2:AG304),$AG$2:$AG$1001,0),MATCH(COLUMNS($AN$1006:BL1006),$AN$1006:$BO$1006,0)), HYPERLINK("#",""), HYPERLINK(CONCATENATE("#Metadata!", ADDRESS(INDEX($AI$2:$AI$1001,MATCH(ROWS($AG$2:AG304),$AG$2:$AG$1001,0),0), INDEX($AN$1004:$BO$1004,1,MATCH(COLUMNS($AN$1006:BL1006),$AN$1006:$BO$1006,0)))),"Fix")))</f>
        <v>0</v>
      </c>
      <c r="AA304" s="4">
        <f>IF(OR(INDEX($AH$2:$AH$1001,MATCH(ROWS($AG$2:AG304),$AG$2:$AG$1001,0),1)&gt;=100000,INDEX($AN$1005:$BO$1005,1,MATCH(COLUMNS($AN$1006:BM1006),$AN$1006:$BO$1006,0))&gt;=100000), " ",IF(INDEX($AN$2:$BO$1001,MATCH(ROWS($AG$2:AG304),$AG$2:$AG$1001,0),MATCH(COLUMNS($AN$1006:BM1006),$AN$1006:$BO$1006,0)), HYPERLINK("#",""), HYPERLINK(CONCATENATE("#Metadata!", ADDRESS(INDEX($AI$2:$AI$1001,MATCH(ROWS($AG$2:AG304),$AG$2:$AG$1001,0),0), INDEX($AN$1004:$BO$1004,1,MATCH(COLUMNS($AN$1006:BM1006),$AN$1006:$BO$1006,0)))),"Fix")))</f>
        <v>0</v>
      </c>
      <c r="AB304" s="4">
        <f>IF(OR(INDEX($AH$2:$AH$1001,MATCH(ROWS($AG$2:AG304),$AG$2:$AG$1001,0),1)&gt;=100000,INDEX($AN$1005:$BO$1005,1,MATCH(COLUMNS($AN$1006:BN1006),$AN$1006:$BO$1006,0))&gt;=100000), " ",IF(INDEX($AN$2:$BO$1001,MATCH(ROWS($AG$2:AG304),$AG$2:$AG$1001,0),MATCH(COLUMNS($AN$1006:BN1006),$AN$1006:$BO$1006,0)), HYPERLINK("#",""), HYPERLINK(CONCATENATE("#Metadata!", ADDRESS(INDEX($AI$2:$AI$1001,MATCH(ROWS($AG$2:AG304),$AG$2:$AG$1001,0),0), INDEX($AN$1004:$BO$1004,1,MATCH(COLUMNS($AN$1006:BN1006),$AN$1006:$BO$1006,0)))),"Fix")))</f>
        <v>0</v>
      </c>
      <c r="AC304" s="4">
        <f>IF(OR(INDEX($AH$2:$AH$1001,MATCH(ROWS($AG$2:AG304),$AG$2:$AG$1001,0),1)&gt;=100000,INDEX($AN$1005:$BO$1005,1,MATCH(COLUMNS($AN$1006:BO1006),$AN$1006:$BO$1006,0))&gt;=100000), " ",IF(INDEX($AN$2:$BO$1001,MATCH(ROWS($AG$2:AG304),$AG$2:$AG$1001,0),MATCH(COLUMNS($AN$1006:BO1006),$AN$1006:$BO$1006,0)), HYPERLINK("#",""), HYPERLINK(CONCATENATE("#Metadata!", ADDRESS(INDEX($AI$2:$AI$1001,MATCH(ROWS($AG$2:AG304),$AG$2:$AG$1001,0),0), INDEX($AN$1004:$BO$1004,1,MATCH(COLUMNS($AN$1006:BO1006),$AN$1006:$BO$1006,0)))),"Fix")))</f>
        <v>0</v>
      </c>
      <c r="AG304">
        <v>0</v>
      </c>
      <c r="AH304">
        <v>0</v>
      </c>
      <c r="AI304">
        <v>0</v>
      </c>
      <c r="AJ304">
        <f>IF(AK304,TRUE,AND(AN304:BO304))</f>
        <v>0</v>
      </c>
      <c r="AK304">
        <f>COUNTBLANK(Metadata!B304:AC304)=COLUMNS(Metadata!B304:AC304)</f>
        <v>0</v>
      </c>
      <c r="AL304">
        <v>0</v>
      </c>
      <c r="AN304">
        <f>AND(IF(Metadata!B304="",FALSE,TRUE),COUNTIF(Metadata!B:B, Metadata!B304) = 1,NOT(ISERROR(SUMPRODUCT(SEARCH(MID(Metadata!B304,ROW(INDIRECT("1:"&amp;LEN(Metadata!B304))), 1),"0123456789abcdefghijklmnopqrstuvwxyzABCDEFGHIJKLMNOPQRSTUVWXYZ.")))))</f>
        <v>0</v>
      </c>
      <c r="AO304">
        <f>IF(Metadata!C304="",FALSE,TRUE)</f>
        <v>0</v>
      </c>
      <c r="AP304">
        <f>IF(Metadata!D304="",FALSE,TRUE)</f>
        <v>0</v>
      </c>
      <c r="AQ304">
        <f>OR(AND(IF(Metadata!E304="",FALSE,TRUE),OR(exact(Metadata!E304,"not collected"),exact(Metadata!E304,"not provided"),exact(Metadata!E304,"restricted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R304">
        <f>IF(Metadata!F304="",FALSE,TRUE)</f>
        <v>0</v>
      </c>
      <c r="AS304">
        <f>OR(AND(IF(Metadata!G304="",FALSE,TRUE),OR(exact(Metadata!G304,"not collected"),exact(Metadata!G304,"not provided"))),AND(IF(Metadata!G304="",FALSE,TRUE),OR(exact(Metadata!G304,"TRUE"),exact(Metadata!G304,"FALSE"))))</f>
        <v>0</v>
      </c>
      <c r="AT304">
        <f>OR(AND(IF(Metadata!H304="",FALSE,TRUE),OR(exact(Metadata!H304,"not collected"),exact(Metadata!H304,"not provided"),exact(Metadata!H304,"restricted access"))),AND(IF(Metadata!H304="",FALSE,ISNUMBER(VALUE(Metadata!H304))),Metadata!H304&gt;=-413.0))</f>
        <v>0</v>
      </c>
      <c r="AU304">
        <f>AND(IF(Metadata!I304="",FALSE,TRUE),exact(Metadata!I304,"meters"))</f>
        <v>0</v>
      </c>
      <c r="AV304">
        <f>AND(IF(Metadata!J304="",FALSE,TRUE),OR(exact(Metadata!J304,"Host-associated"),exact(Metadata!J304,"Free-living")))</f>
        <v>0</v>
      </c>
      <c r="AW304">
        <f>AND(IF(Metadata!K304="",FALSE,TRUE),OR(exact(Metadata!K304,"Animal"),exact(Metadata!K304,"Fungus"),exact(Metadata!K304,"Plant"),exact(Metadata!K304,"Saline"),exact(Metadata!K304,"Non-saline")))</f>
        <v>0</v>
      </c>
      <c r="AX304">
        <f>AND(IF(Metadata!L304="",FALSE,TRUE),OR(exact(Metadata!L304,"Plant secretion"),exact(Metadata!L304,"Plant rhizosphere"),exact(Metadata!L304,"Plant surface"),exact(Metadata!L304,"Plant corpus"),exact(Metadata!L304,"Fungus surface"),exact(Metadata!L304,"Fungus corpus"),exact(Metadata!L304,"Animal surface"),exact(Metadata!L304,"Animal proximal gut"),exact(Metadata!L304,"Animal corpus"),exact(Metadata!L304,"Animal distal gut"),exact(Metadata!L304,"Animal secretion"),exact(Metadata!L304,"Sub-surface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Y304">
        <f>IF(Metadata!M304="",FALSE,TRUE)</f>
        <v>0</v>
      </c>
      <c r="AZ304">
        <f>IF(Metadata!N304="",FALSE,TRUE)</f>
        <v>0</v>
      </c>
      <c r="BA304">
        <f>IF(Metadata!O304="",FALSE,TRUE)</f>
        <v>0</v>
      </c>
      <c r="BB304">
        <f>OR(AND(IF(Metadata!P304="",FALSE,TRUE),OR(exact(Metadata!P304,"not collected"),exact(Metadata!P304,"not provided"),exact(Metadata!P304,"restricted access"))),AND(IF(Metadata!P304="",FALSE,TRUE),OR(exact(Metadata!P304,"air"),exact(Metadata!P304,"built environment"),exact(Metadata!P304,"host-associated"),exact(Metadata!P304,"human-associated"),exact(Metadata!P304,"human-skin"),exact(Metadata!P304,"human-oral"),exact(Metadata!P304,"human-gut"),exact(Metadata!P304,"human-vaginal"),exact(Metadata!P304,"microbial mat/biofilm"),exact(Metadata!P304,"misc environment"),exact(Metadata!P304,"plant-associated"),exact(Metadata!P304,"sediment"),exact(Metadata!P304,"soil"),exact(Metadata!P304,"wastewater/sludge"),exact(Metadata!P304,"water"))))</f>
        <v>0</v>
      </c>
      <c r="BC304">
        <f>IF(Metadata!Q304="",FALSE,TRUE)</f>
        <v>0</v>
      </c>
      <c r="BD304">
        <f>IF(Metadata!R304="",FALSE,TRUE)</f>
        <v>0</v>
      </c>
      <c r="BE304">
        <f>OR(AND(IF(Metadata!S304="",FALSE,TRUE),OR(exact(Metadata!S304,"not collected"),exact(Metadata!S304,"not provided"),exact(Metadata!S304,"restricted access"))),AND(IF(Metadata!S304="",FALSE,ISNUMBER(VALUE(Metadata!S304))),Metadata!S304&gt;=-90.00,Metadata!S304&lt;=90.00))</f>
        <v>0</v>
      </c>
      <c r="BF304">
        <f>AND(IF(Metadata!T304="",FALSE,TRUE),exact(Metadata!T304,"Decimal degrees"))</f>
        <v>0</v>
      </c>
      <c r="BG304">
        <f>OR(AND(IF(Metadata!U304="",FALSE,TRUE),OR(exact(Metadata!U304,"not collected"),exact(Metadata!U304,"not provided"),exact(Metadata!U304,"restricted access"))),AND(IF(Metadata!U304="",FALSE,ISNUMBER(VALUE(Metadata!U304))),Metadata!U304&gt;=-180.00,Metadata!U304&lt;=180.00))</f>
        <v>0</v>
      </c>
      <c r="BH304">
        <f>AND(IF(Metadata!V304="",FALSE,TRUE),exact(Metadata!V304,"Decimal degrees"))</f>
        <v>0</v>
      </c>
      <c r="BI304">
        <f>IF(Metadata!W304="",FALSE,TRUE)</f>
        <v>0</v>
      </c>
      <c r="BJ304">
        <f>OR(AND(IF(Metadata!X304="",FALSE,TRUE),OR(exact(Metadata!X304,"not collected"),exact(Metadata!X304,"not provided"),exact(Metadata!X304,"restricted access"))),AND(IF(Metadata!X304="",FALSE,TRUE),OR(exact(Metadata!X304,"TRUE"),exact(Metadata!X304,"FALSE"))))</f>
        <v>0</v>
      </c>
      <c r="BK304">
        <f>AND(IF(Metadata!Y304="",FALSE,TRUE),exact(Metadata!Y304,"other"))</f>
        <v>0</v>
      </c>
      <c r="BL304">
        <f>IF(Metadata!Z304="",FALSE,TRUE)</f>
        <v>0</v>
      </c>
      <c r="BM304">
        <f>OR(AND(IF(Metadata!AA304="",FALSE,TRUE),OR(exact(Metadata!AA304,"not collected"),exact(Metadata!AA304,"not provided"))),AND(IF(Metadata!AA304="",FALSE,IF(ISERROR(INT(Metadata!AA304)),FALSE,INT(Metadata!AA304)=Metadata!AA304)),Metadata!AA304&gt;0))</f>
        <v>0</v>
      </c>
      <c r="BN304">
        <f>AND(IF(Metadata!AB304="",FALSE,TRUE),exact(Metadata!AB304,"Not applicable"))</f>
        <v>0</v>
      </c>
      <c r="BO304">
        <f>IF(Metadata!AC304="",FALSE,TRUE)</f>
        <v>0</v>
      </c>
    </row>
    <row r="305" spans="1:67">
      <c r="A305" s="5">
        <f>IF(B305=" "," ",HYPERLINK(CONCATENATE("#metadata!",ADDRESS(INDEX($AI$2:$AI$1001,MATCH(ROWS($AG$2:AG305),$AG$2:$AG$1001,0),0),1)),INDEX($AL$2:$AL$1001,MATCH(ROWS($AG$2:AG305),$AG$2:$AG$1001,0),0)))</f>
        <v>0</v>
      </c>
      <c r="B305" s="4">
        <f>IF(OR(INDEX($AH$2:$AH$1001,MATCH(ROWS($AG$2:AG305),$AG$2:$AG$1001,0),1)&gt;=100000,INDEX($AN$1005:$BO$1005,1,MATCH(COLUMNS($AN$1006:AN1006),$AN$1006:$BO$1006,0))&gt;=100000), " ",IF(INDEX($AN$2:$BO$1001,MATCH(ROWS($AG$2:AG305),$AG$2:$AG$1001,0),MATCH(COLUMNS($AN$1006:AN1006),$AN$1006:$BO$1006,0)), HYPERLINK("#",""), HYPERLINK(CONCATENATE("#Metadata!", ADDRESS(INDEX($AI$2:$AI$1001,MATCH(ROWS($AG$2:AG305),$AG$2:$AG$1001,0),0), INDEX($AN$1004:$BO$1004,1,MATCH(COLUMNS($AN$1006:AN1006),$AN$1006:$BO$1006,0)))),"Fix")))</f>
        <v>0</v>
      </c>
      <c r="C305" s="4">
        <f>IF(OR(INDEX($AH$2:$AH$1001,MATCH(ROWS($AG$2:AG305),$AG$2:$AG$1001,0),1)&gt;=100000,INDEX($AN$1005:$BO$1005,1,MATCH(COLUMNS($AN$1006:AO1006),$AN$1006:$BO$1006,0))&gt;=100000), " ",IF(INDEX($AN$2:$BO$1001,MATCH(ROWS($AG$2:AG305),$AG$2:$AG$1001,0),MATCH(COLUMNS($AN$1006:AO1006),$AN$1006:$BO$1006,0)), HYPERLINK("#",""), HYPERLINK(CONCATENATE("#Metadata!", ADDRESS(INDEX($AI$2:$AI$1001,MATCH(ROWS($AG$2:AG305),$AG$2:$AG$1001,0),0), INDEX($AN$1004:$BO$1004,1,MATCH(COLUMNS($AN$1006:AO1006),$AN$1006:$BO$1006,0)))),"Fix")))</f>
        <v>0</v>
      </c>
      <c r="D305" s="4">
        <f>IF(OR(INDEX($AH$2:$AH$1001,MATCH(ROWS($AG$2:AG305),$AG$2:$AG$1001,0),1)&gt;=100000,INDEX($AN$1005:$BO$1005,1,MATCH(COLUMNS($AN$1006:AP1006),$AN$1006:$BO$1006,0))&gt;=100000), " ",IF(INDEX($AN$2:$BO$1001,MATCH(ROWS($AG$2:AG305),$AG$2:$AG$1001,0),MATCH(COLUMNS($AN$1006:AP1006),$AN$1006:$BO$1006,0)), HYPERLINK("#",""), HYPERLINK(CONCATENATE("#Metadata!", ADDRESS(INDEX($AI$2:$AI$1001,MATCH(ROWS($AG$2:AG305),$AG$2:$AG$1001,0),0), INDEX($AN$1004:$BO$1004,1,MATCH(COLUMNS($AN$1006:AP1006),$AN$1006:$BO$1006,0)))),"Fix")))</f>
        <v>0</v>
      </c>
      <c r="E305" s="4">
        <f>IF(OR(INDEX($AH$2:$AH$1001,MATCH(ROWS($AG$2:AG305),$AG$2:$AG$1001,0),1)&gt;=100000,INDEX($AN$1005:$BO$1005,1,MATCH(COLUMNS($AN$1006:AQ1006),$AN$1006:$BO$1006,0))&gt;=100000), " ",IF(INDEX($AN$2:$BO$1001,MATCH(ROWS($AG$2:AG305),$AG$2:$AG$1001,0),MATCH(COLUMNS($AN$1006:AQ1006),$AN$1006:$BO$1006,0)), HYPERLINK("#",""), HYPERLINK(CONCATENATE("#Metadata!", ADDRESS(INDEX($AI$2:$AI$1001,MATCH(ROWS($AG$2:AG305),$AG$2:$AG$1001,0),0), INDEX($AN$1004:$BO$1004,1,MATCH(COLUMNS($AN$1006:AQ1006),$AN$1006:$BO$1006,0)))),"Fix")))</f>
        <v>0</v>
      </c>
      <c r="F305" s="4">
        <f>IF(OR(INDEX($AH$2:$AH$1001,MATCH(ROWS($AG$2:AG305),$AG$2:$AG$1001,0),1)&gt;=100000,INDEX($AN$1005:$BO$1005,1,MATCH(COLUMNS($AN$1006:AR1006),$AN$1006:$BO$1006,0))&gt;=100000), " ",IF(INDEX($AN$2:$BO$1001,MATCH(ROWS($AG$2:AG305),$AG$2:$AG$1001,0),MATCH(COLUMNS($AN$1006:AR1006),$AN$1006:$BO$1006,0)), HYPERLINK("#",""), HYPERLINK(CONCATENATE("#Metadata!", ADDRESS(INDEX($AI$2:$AI$1001,MATCH(ROWS($AG$2:AG305),$AG$2:$AG$1001,0),0), INDEX($AN$1004:$BO$1004,1,MATCH(COLUMNS($AN$1006:AR1006),$AN$1006:$BO$1006,0)))),"Fix")))</f>
        <v>0</v>
      </c>
      <c r="G305" s="4">
        <f>IF(OR(INDEX($AH$2:$AH$1001,MATCH(ROWS($AG$2:AG305),$AG$2:$AG$1001,0),1)&gt;=100000,INDEX($AN$1005:$BO$1005,1,MATCH(COLUMNS($AN$1006:AS1006),$AN$1006:$BO$1006,0))&gt;=100000), " ",IF(INDEX($AN$2:$BO$1001,MATCH(ROWS($AG$2:AG305),$AG$2:$AG$1001,0),MATCH(COLUMNS($AN$1006:AS1006),$AN$1006:$BO$1006,0)), HYPERLINK("#",""), HYPERLINK(CONCATENATE("#Metadata!", ADDRESS(INDEX($AI$2:$AI$1001,MATCH(ROWS($AG$2:AG305),$AG$2:$AG$1001,0),0), INDEX($AN$1004:$BO$1004,1,MATCH(COLUMNS($AN$1006:AS1006),$AN$1006:$BO$1006,0)))),"Fix")))</f>
        <v>0</v>
      </c>
      <c r="H305" s="4">
        <f>IF(OR(INDEX($AH$2:$AH$1001,MATCH(ROWS($AG$2:AG305),$AG$2:$AG$1001,0),1)&gt;=100000,INDEX($AN$1005:$BO$1005,1,MATCH(COLUMNS($AN$1006:AT1006),$AN$1006:$BO$1006,0))&gt;=100000), " ",IF(INDEX($AN$2:$BO$1001,MATCH(ROWS($AG$2:AG305),$AG$2:$AG$1001,0),MATCH(COLUMNS($AN$1006:AT1006),$AN$1006:$BO$1006,0)), HYPERLINK("#",""), HYPERLINK(CONCATENATE("#Metadata!", ADDRESS(INDEX($AI$2:$AI$1001,MATCH(ROWS($AG$2:AG305),$AG$2:$AG$1001,0),0), INDEX($AN$1004:$BO$1004,1,MATCH(COLUMNS($AN$1006:AT1006),$AN$1006:$BO$1006,0)))),"Fix")))</f>
        <v>0</v>
      </c>
      <c r="I305" s="4">
        <f>IF(OR(INDEX($AH$2:$AH$1001,MATCH(ROWS($AG$2:AG305),$AG$2:$AG$1001,0),1)&gt;=100000,INDEX($AN$1005:$BO$1005,1,MATCH(COLUMNS($AN$1006:AU1006),$AN$1006:$BO$1006,0))&gt;=100000), " ",IF(INDEX($AN$2:$BO$1001,MATCH(ROWS($AG$2:AG305),$AG$2:$AG$1001,0),MATCH(COLUMNS($AN$1006:AU1006),$AN$1006:$BO$1006,0)), HYPERLINK("#",""), HYPERLINK(CONCATENATE("#Metadata!", ADDRESS(INDEX($AI$2:$AI$1001,MATCH(ROWS($AG$2:AG305),$AG$2:$AG$1001,0),0), INDEX($AN$1004:$BO$1004,1,MATCH(COLUMNS($AN$1006:AU1006),$AN$1006:$BO$1006,0)))),"Fix")))</f>
        <v>0</v>
      </c>
      <c r="J305" s="4">
        <f>IF(OR(INDEX($AH$2:$AH$1001,MATCH(ROWS($AG$2:AG305),$AG$2:$AG$1001,0),1)&gt;=100000,INDEX($AN$1005:$BO$1005,1,MATCH(COLUMNS($AN$1006:AV1006),$AN$1006:$BO$1006,0))&gt;=100000), " ",IF(INDEX($AN$2:$BO$1001,MATCH(ROWS($AG$2:AG305),$AG$2:$AG$1001,0),MATCH(COLUMNS($AN$1006:AV1006),$AN$1006:$BO$1006,0)), HYPERLINK("#",""), HYPERLINK(CONCATENATE("#Metadata!", ADDRESS(INDEX($AI$2:$AI$1001,MATCH(ROWS($AG$2:AG305),$AG$2:$AG$1001,0),0), INDEX($AN$1004:$BO$1004,1,MATCH(COLUMNS($AN$1006:AV1006),$AN$1006:$BO$1006,0)))),"Fix")))</f>
        <v>0</v>
      </c>
      <c r="K305" s="4">
        <f>IF(OR(INDEX($AH$2:$AH$1001,MATCH(ROWS($AG$2:AG305),$AG$2:$AG$1001,0),1)&gt;=100000,INDEX($AN$1005:$BO$1005,1,MATCH(COLUMNS($AN$1006:AW1006),$AN$1006:$BO$1006,0))&gt;=100000), " ",IF(INDEX($AN$2:$BO$1001,MATCH(ROWS($AG$2:AG305),$AG$2:$AG$1001,0),MATCH(COLUMNS($AN$1006:AW1006),$AN$1006:$BO$1006,0)), HYPERLINK("#",""), HYPERLINK(CONCATENATE("#Metadata!", ADDRESS(INDEX($AI$2:$AI$1001,MATCH(ROWS($AG$2:AG305),$AG$2:$AG$1001,0),0), INDEX($AN$1004:$BO$1004,1,MATCH(COLUMNS($AN$1006:AW1006),$AN$1006:$BO$1006,0)))),"Fix")))</f>
        <v>0</v>
      </c>
      <c r="L305" s="4">
        <f>IF(OR(INDEX($AH$2:$AH$1001,MATCH(ROWS($AG$2:AG305),$AG$2:$AG$1001,0),1)&gt;=100000,INDEX($AN$1005:$BO$1005,1,MATCH(COLUMNS($AN$1006:AX1006),$AN$1006:$BO$1006,0))&gt;=100000), " ",IF(INDEX($AN$2:$BO$1001,MATCH(ROWS($AG$2:AG305),$AG$2:$AG$1001,0),MATCH(COLUMNS($AN$1006:AX1006),$AN$1006:$BO$1006,0)), HYPERLINK("#",""), HYPERLINK(CONCATENATE("#Metadata!", ADDRESS(INDEX($AI$2:$AI$1001,MATCH(ROWS($AG$2:AG305),$AG$2:$AG$1001,0),0), INDEX($AN$1004:$BO$1004,1,MATCH(COLUMNS($AN$1006:AX1006),$AN$1006:$BO$1006,0)))),"Fix")))</f>
        <v>0</v>
      </c>
      <c r="M305" s="4">
        <f>IF(OR(INDEX($AH$2:$AH$1001,MATCH(ROWS($AG$2:AG305),$AG$2:$AG$1001,0),1)&gt;=100000,INDEX($AN$1005:$BO$1005,1,MATCH(COLUMNS($AN$1006:AY1006),$AN$1006:$BO$1006,0))&gt;=100000), " ",IF(INDEX($AN$2:$BO$1001,MATCH(ROWS($AG$2:AG305),$AG$2:$AG$1001,0),MATCH(COLUMNS($AN$1006:AY1006),$AN$1006:$BO$1006,0)), HYPERLINK("#",""), HYPERLINK(CONCATENATE("#Metadata!", ADDRESS(INDEX($AI$2:$AI$1001,MATCH(ROWS($AG$2:AG305),$AG$2:$AG$1001,0),0), INDEX($AN$1004:$BO$1004,1,MATCH(COLUMNS($AN$1006:AY1006),$AN$1006:$BO$1006,0)))),"Fix")))</f>
        <v>0</v>
      </c>
      <c r="N305" s="4">
        <f>IF(OR(INDEX($AH$2:$AH$1001,MATCH(ROWS($AG$2:AG305),$AG$2:$AG$1001,0),1)&gt;=100000,INDEX($AN$1005:$BO$1005,1,MATCH(COLUMNS($AN$1006:AZ1006),$AN$1006:$BO$1006,0))&gt;=100000), " ",IF(INDEX($AN$2:$BO$1001,MATCH(ROWS($AG$2:AG305),$AG$2:$AG$1001,0),MATCH(COLUMNS($AN$1006:AZ1006),$AN$1006:$BO$1006,0)), HYPERLINK("#",""), HYPERLINK(CONCATENATE("#Metadata!", ADDRESS(INDEX($AI$2:$AI$1001,MATCH(ROWS($AG$2:AG305),$AG$2:$AG$1001,0),0), INDEX($AN$1004:$BO$1004,1,MATCH(COLUMNS($AN$1006:AZ1006),$AN$1006:$BO$1006,0)))),"Fix")))</f>
        <v>0</v>
      </c>
      <c r="O305" s="4">
        <f>IF(OR(INDEX($AH$2:$AH$1001,MATCH(ROWS($AG$2:AG305),$AG$2:$AG$1001,0),1)&gt;=100000,INDEX($AN$1005:$BO$1005,1,MATCH(COLUMNS($AN$1006:BA1006),$AN$1006:$BO$1006,0))&gt;=100000), " ",IF(INDEX($AN$2:$BO$1001,MATCH(ROWS($AG$2:AG305),$AG$2:$AG$1001,0),MATCH(COLUMNS($AN$1006:BA1006),$AN$1006:$BO$1006,0)), HYPERLINK("#",""), HYPERLINK(CONCATENATE("#Metadata!", ADDRESS(INDEX($AI$2:$AI$1001,MATCH(ROWS($AG$2:AG305),$AG$2:$AG$1001,0),0), INDEX($AN$1004:$BO$1004,1,MATCH(COLUMNS($AN$1006:BA1006),$AN$1006:$BO$1006,0)))),"Fix")))</f>
        <v>0</v>
      </c>
      <c r="P305" s="4">
        <f>IF(OR(INDEX($AH$2:$AH$1001,MATCH(ROWS($AG$2:AG305),$AG$2:$AG$1001,0),1)&gt;=100000,INDEX($AN$1005:$BO$1005,1,MATCH(COLUMNS($AN$1006:BB1006),$AN$1006:$BO$1006,0))&gt;=100000), " ",IF(INDEX($AN$2:$BO$1001,MATCH(ROWS($AG$2:AG305),$AG$2:$AG$1001,0),MATCH(COLUMNS($AN$1006:BB1006),$AN$1006:$BO$1006,0)), HYPERLINK("#",""), HYPERLINK(CONCATENATE("#Metadata!", ADDRESS(INDEX($AI$2:$AI$1001,MATCH(ROWS($AG$2:AG305),$AG$2:$AG$1001,0),0), INDEX($AN$1004:$BO$1004,1,MATCH(COLUMNS($AN$1006:BB1006),$AN$1006:$BO$1006,0)))),"Fix")))</f>
        <v>0</v>
      </c>
      <c r="Q305" s="4">
        <f>IF(OR(INDEX($AH$2:$AH$1001,MATCH(ROWS($AG$2:AG305),$AG$2:$AG$1001,0),1)&gt;=100000,INDEX($AN$1005:$BO$1005,1,MATCH(COLUMNS($AN$1006:BC1006),$AN$1006:$BO$1006,0))&gt;=100000), " ",IF(INDEX($AN$2:$BO$1001,MATCH(ROWS($AG$2:AG305),$AG$2:$AG$1001,0),MATCH(COLUMNS($AN$1006:BC1006),$AN$1006:$BO$1006,0)), HYPERLINK("#",""), HYPERLINK(CONCATENATE("#Metadata!", ADDRESS(INDEX($AI$2:$AI$1001,MATCH(ROWS($AG$2:AG305),$AG$2:$AG$1001,0),0), INDEX($AN$1004:$BO$1004,1,MATCH(COLUMNS($AN$1006:BC1006),$AN$1006:$BO$1006,0)))),"Fix")))</f>
        <v>0</v>
      </c>
      <c r="R305" s="4">
        <f>IF(OR(INDEX($AH$2:$AH$1001,MATCH(ROWS($AG$2:AG305),$AG$2:$AG$1001,0),1)&gt;=100000,INDEX($AN$1005:$BO$1005,1,MATCH(COLUMNS($AN$1006:BD1006),$AN$1006:$BO$1006,0))&gt;=100000), " ",IF(INDEX($AN$2:$BO$1001,MATCH(ROWS($AG$2:AG305),$AG$2:$AG$1001,0),MATCH(COLUMNS($AN$1006:BD1006),$AN$1006:$BO$1006,0)), HYPERLINK("#",""), HYPERLINK(CONCATENATE("#Metadata!", ADDRESS(INDEX($AI$2:$AI$1001,MATCH(ROWS($AG$2:AG305),$AG$2:$AG$1001,0),0), INDEX($AN$1004:$BO$1004,1,MATCH(COLUMNS($AN$1006:BD1006),$AN$1006:$BO$1006,0)))),"Fix")))</f>
        <v>0</v>
      </c>
      <c r="S305" s="4">
        <f>IF(OR(INDEX($AH$2:$AH$1001,MATCH(ROWS($AG$2:AG305),$AG$2:$AG$1001,0),1)&gt;=100000,INDEX($AN$1005:$BO$1005,1,MATCH(COLUMNS($AN$1006:BE1006),$AN$1006:$BO$1006,0))&gt;=100000), " ",IF(INDEX($AN$2:$BO$1001,MATCH(ROWS($AG$2:AG305),$AG$2:$AG$1001,0),MATCH(COLUMNS($AN$1006:BE1006),$AN$1006:$BO$1006,0)), HYPERLINK("#",""), HYPERLINK(CONCATENATE("#Metadata!", ADDRESS(INDEX($AI$2:$AI$1001,MATCH(ROWS($AG$2:AG305),$AG$2:$AG$1001,0),0), INDEX($AN$1004:$BO$1004,1,MATCH(COLUMNS($AN$1006:BE1006),$AN$1006:$BO$1006,0)))),"Fix")))</f>
        <v>0</v>
      </c>
      <c r="T305" s="4">
        <f>IF(OR(INDEX($AH$2:$AH$1001,MATCH(ROWS($AG$2:AG305),$AG$2:$AG$1001,0),1)&gt;=100000,INDEX($AN$1005:$BO$1005,1,MATCH(COLUMNS($AN$1006:BF1006),$AN$1006:$BO$1006,0))&gt;=100000), " ",IF(INDEX($AN$2:$BO$1001,MATCH(ROWS($AG$2:AG305),$AG$2:$AG$1001,0),MATCH(COLUMNS($AN$1006:BF1006),$AN$1006:$BO$1006,0)), HYPERLINK("#",""), HYPERLINK(CONCATENATE("#Metadata!", ADDRESS(INDEX($AI$2:$AI$1001,MATCH(ROWS($AG$2:AG305),$AG$2:$AG$1001,0),0), INDEX($AN$1004:$BO$1004,1,MATCH(COLUMNS($AN$1006:BF1006),$AN$1006:$BO$1006,0)))),"Fix")))</f>
        <v>0</v>
      </c>
      <c r="U305" s="4">
        <f>IF(OR(INDEX($AH$2:$AH$1001,MATCH(ROWS($AG$2:AG305),$AG$2:$AG$1001,0),1)&gt;=100000,INDEX($AN$1005:$BO$1005,1,MATCH(COLUMNS($AN$1006:BG1006),$AN$1006:$BO$1006,0))&gt;=100000), " ",IF(INDEX($AN$2:$BO$1001,MATCH(ROWS($AG$2:AG305),$AG$2:$AG$1001,0),MATCH(COLUMNS($AN$1006:BG1006),$AN$1006:$BO$1006,0)), HYPERLINK("#",""), HYPERLINK(CONCATENATE("#Metadata!", ADDRESS(INDEX($AI$2:$AI$1001,MATCH(ROWS($AG$2:AG305),$AG$2:$AG$1001,0),0), INDEX($AN$1004:$BO$1004,1,MATCH(COLUMNS($AN$1006:BG1006),$AN$1006:$BO$1006,0)))),"Fix")))</f>
        <v>0</v>
      </c>
      <c r="V305" s="4">
        <f>IF(OR(INDEX($AH$2:$AH$1001,MATCH(ROWS($AG$2:AG305),$AG$2:$AG$1001,0),1)&gt;=100000,INDEX($AN$1005:$BO$1005,1,MATCH(COLUMNS($AN$1006:BH1006),$AN$1006:$BO$1006,0))&gt;=100000), " ",IF(INDEX($AN$2:$BO$1001,MATCH(ROWS($AG$2:AG305),$AG$2:$AG$1001,0),MATCH(COLUMNS($AN$1006:BH1006),$AN$1006:$BO$1006,0)), HYPERLINK("#",""), HYPERLINK(CONCATENATE("#Metadata!", ADDRESS(INDEX($AI$2:$AI$1001,MATCH(ROWS($AG$2:AG305),$AG$2:$AG$1001,0),0), INDEX($AN$1004:$BO$1004,1,MATCH(COLUMNS($AN$1006:BH1006),$AN$1006:$BO$1006,0)))),"Fix")))</f>
        <v>0</v>
      </c>
      <c r="W305" s="4">
        <f>IF(OR(INDEX($AH$2:$AH$1001,MATCH(ROWS($AG$2:AG305),$AG$2:$AG$1001,0),1)&gt;=100000,INDEX($AN$1005:$BO$1005,1,MATCH(COLUMNS($AN$1006:BI1006),$AN$1006:$BO$1006,0))&gt;=100000), " ",IF(INDEX($AN$2:$BO$1001,MATCH(ROWS($AG$2:AG305),$AG$2:$AG$1001,0),MATCH(COLUMNS($AN$1006:BI1006),$AN$1006:$BO$1006,0)), HYPERLINK("#",""), HYPERLINK(CONCATENATE("#Metadata!", ADDRESS(INDEX($AI$2:$AI$1001,MATCH(ROWS($AG$2:AG305),$AG$2:$AG$1001,0),0), INDEX($AN$1004:$BO$1004,1,MATCH(COLUMNS($AN$1006:BI1006),$AN$1006:$BO$1006,0)))),"Fix")))</f>
        <v>0</v>
      </c>
      <c r="X305" s="4">
        <f>IF(OR(INDEX($AH$2:$AH$1001,MATCH(ROWS($AG$2:AG305),$AG$2:$AG$1001,0),1)&gt;=100000,INDEX($AN$1005:$BO$1005,1,MATCH(COLUMNS($AN$1006:BJ1006),$AN$1006:$BO$1006,0))&gt;=100000), " ",IF(INDEX($AN$2:$BO$1001,MATCH(ROWS($AG$2:AG305),$AG$2:$AG$1001,0),MATCH(COLUMNS($AN$1006:BJ1006),$AN$1006:$BO$1006,0)), HYPERLINK("#",""), HYPERLINK(CONCATENATE("#Metadata!", ADDRESS(INDEX($AI$2:$AI$1001,MATCH(ROWS($AG$2:AG305),$AG$2:$AG$1001,0),0), INDEX($AN$1004:$BO$1004,1,MATCH(COLUMNS($AN$1006:BJ1006),$AN$1006:$BO$1006,0)))),"Fix")))</f>
        <v>0</v>
      </c>
      <c r="Y305" s="4">
        <f>IF(OR(INDEX($AH$2:$AH$1001,MATCH(ROWS($AG$2:AG305),$AG$2:$AG$1001,0),1)&gt;=100000,INDEX($AN$1005:$BO$1005,1,MATCH(COLUMNS($AN$1006:BK1006),$AN$1006:$BO$1006,0))&gt;=100000), " ",IF(INDEX($AN$2:$BO$1001,MATCH(ROWS($AG$2:AG305),$AG$2:$AG$1001,0),MATCH(COLUMNS($AN$1006:BK1006),$AN$1006:$BO$1006,0)), HYPERLINK("#",""), HYPERLINK(CONCATENATE("#Metadata!", ADDRESS(INDEX($AI$2:$AI$1001,MATCH(ROWS($AG$2:AG305),$AG$2:$AG$1001,0),0), INDEX($AN$1004:$BO$1004,1,MATCH(COLUMNS($AN$1006:BK1006),$AN$1006:$BO$1006,0)))),"Fix")))</f>
        <v>0</v>
      </c>
      <c r="Z305" s="4">
        <f>IF(OR(INDEX($AH$2:$AH$1001,MATCH(ROWS($AG$2:AG305),$AG$2:$AG$1001,0),1)&gt;=100000,INDEX($AN$1005:$BO$1005,1,MATCH(COLUMNS($AN$1006:BL1006),$AN$1006:$BO$1006,0))&gt;=100000), " ",IF(INDEX($AN$2:$BO$1001,MATCH(ROWS($AG$2:AG305),$AG$2:$AG$1001,0),MATCH(COLUMNS($AN$1006:BL1006),$AN$1006:$BO$1006,0)), HYPERLINK("#",""), HYPERLINK(CONCATENATE("#Metadata!", ADDRESS(INDEX($AI$2:$AI$1001,MATCH(ROWS($AG$2:AG305),$AG$2:$AG$1001,0),0), INDEX($AN$1004:$BO$1004,1,MATCH(COLUMNS($AN$1006:BL1006),$AN$1006:$BO$1006,0)))),"Fix")))</f>
        <v>0</v>
      </c>
      <c r="AA305" s="4">
        <f>IF(OR(INDEX($AH$2:$AH$1001,MATCH(ROWS($AG$2:AG305),$AG$2:$AG$1001,0),1)&gt;=100000,INDEX($AN$1005:$BO$1005,1,MATCH(COLUMNS($AN$1006:BM1006),$AN$1006:$BO$1006,0))&gt;=100000), " ",IF(INDEX($AN$2:$BO$1001,MATCH(ROWS($AG$2:AG305),$AG$2:$AG$1001,0),MATCH(COLUMNS($AN$1006:BM1006),$AN$1006:$BO$1006,0)), HYPERLINK("#",""), HYPERLINK(CONCATENATE("#Metadata!", ADDRESS(INDEX($AI$2:$AI$1001,MATCH(ROWS($AG$2:AG305),$AG$2:$AG$1001,0),0), INDEX($AN$1004:$BO$1004,1,MATCH(COLUMNS($AN$1006:BM1006),$AN$1006:$BO$1006,0)))),"Fix")))</f>
        <v>0</v>
      </c>
      <c r="AB305" s="4">
        <f>IF(OR(INDEX($AH$2:$AH$1001,MATCH(ROWS($AG$2:AG305),$AG$2:$AG$1001,0),1)&gt;=100000,INDEX($AN$1005:$BO$1005,1,MATCH(COLUMNS($AN$1006:BN1006),$AN$1006:$BO$1006,0))&gt;=100000), " ",IF(INDEX($AN$2:$BO$1001,MATCH(ROWS($AG$2:AG305),$AG$2:$AG$1001,0),MATCH(COLUMNS($AN$1006:BN1006),$AN$1006:$BO$1006,0)), HYPERLINK("#",""), HYPERLINK(CONCATENATE("#Metadata!", ADDRESS(INDEX($AI$2:$AI$1001,MATCH(ROWS($AG$2:AG305),$AG$2:$AG$1001,0),0), INDEX($AN$1004:$BO$1004,1,MATCH(COLUMNS($AN$1006:BN1006),$AN$1006:$BO$1006,0)))),"Fix")))</f>
        <v>0</v>
      </c>
      <c r="AC305" s="4">
        <f>IF(OR(INDEX($AH$2:$AH$1001,MATCH(ROWS($AG$2:AG305),$AG$2:$AG$1001,0),1)&gt;=100000,INDEX($AN$1005:$BO$1005,1,MATCH(COLUMNS($AN$1006:BO1006),$AN$1006:$BO$1006,0))&gt;=100000), " ",IF(INDEX($AN$2:$BO$1001,MATCH(ROWS($AG$2:AG305),$AG$2:$AG$1001,0),MATCH(COLUMNS($AN$1006:BO1006),$AN$1006:$BO$1006,0)), HYPERLINK("#",""), HYPERLINK(CONCATENATE("#Metadata!", ADDRESS(INDEX($AI$2:$AI$1001,MATCH(ROWS($AG$2:AG305),$AG$2:$AG$1001,0),0), INDEX($AN$1004:$BO$1004,1,MATCH(COLUMNS($AN$1006:BO1006),$AN$1006:$BO$1006,0)))),"Fix")))</f>
        <v>0</v>
      </c>
      <c r="AG305">
        <v>0</v>
      </c>
      <c r="AH305">
        <v>0</v>
      </c>
      <c r="AI305">
        <v>0</v>
      </c>
      <c r="AJ305">
        <f>IF(AK305,TRUE,AND(AN305:BO305))</f>
        <v>0</v>
      </c>
      <c r="AK305">
        <f>COUNTBLANK(Metadata!B305:AC305)=COLUMNS(Metadata!B305:AC305)</f>
        <v>0</v>
      </c>
      <c r="AL305">
        <v>0</v>
      </c>
      <c r="AN305">
        <f>AND(IF(Metadata!B305="",FALSE,TRUE),COUNTIF(Metadata!B:B, Metadata!B305) = 1,NOT(ISERROR(SUMPRODUCT(SEARCH(MID(Metadata!B305,ROW(INDIRECT("1:"&amp;LEN(Metadata!B305))), 1),"0123456789abcdefghijklmnopqrstuvwxyzABCDEFGHIJKLMNOPQRSTUVWXYZ.")))))</f>
        <v>0</v>
      </c>
      <c r="AO305">
        <f>IF(Metadata!C305="",FALSE,TRUE)</f>
        <v>0</v>
      </c>
      <c r="AP305">
        <f>IF(Metadata!D305="",FALSE,TRUE)</f>
        <v>0</v>
      </c>
      <c r="AQ305">
        <f>OR(AND(IF(Metadata!E305="",FALSE,TRUE),OR(exact(Metadata!E305,"not collected"),exact(Metadata!E305,"not provided"),exact(Metadata!E305,"restricted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R305">
        <f>IF(Metadata!F305="",FALSE,TRUE)</f>
        <v>0</v>
      </c>
      <c r="AS305">
        <f>OR(AND(IF(Metadata!G305="",FALSE,TRUE),OR(exact(Metadata!G305,"not collected"),exact(Metadata!G305,"not provided"))),AND(IF(Metadata!G305="",FALSE,TRUE),OR(exact(Metadata!G305,"TRUE"),exact(Metadata!G305,"FALSE"))))</f>
        <v>0</v>
      </c>
      <c r="AT305">
        <f>OR(AND(IF(Metadata!H305="",FALSE,TRUE),OR(exact(Metadata!H305,"not collected"),exact(Metadata!H305,"not provided"),exact(Metadata!H305,"restricted access"))),AND(IF(Metadata!H305="",FALSE,ISNUMBER(VALUE(Metadata!H305))),Metadata!H305&gt;=-413.0))</f>
        <v>0</v>
      </c>
      <c r="AU305">
        <f>AND(IF(Metadata!I305="",FALSE,TRUE),exact(Metadata!I305,"meters"))</f>
        <v>0</v>
      </c>
      <c r="AV305">
        <f>AND(IF(Metadata!J305="",FALSE,TRUE),OR(exact(Metadata!J305,"Host-associated"),exact(Metadata!J305,"Free-living")))</f>
        <v>0</v>
      </c>
      <c r="AW305">
        <f>AND(IF(Metadata!K305="",FALSE,TRUE),OR(exact(Metadata!K305,"Animal"),exact(Metadata!K305,"Fungus"),exact(Metadata!K305,"Plant"),exact(Metadata!K305,"Saline"),exact(Metadata!K305,"Non-saline")))</f>
        <v>0</v>
      </c>
      <c r="AX305">
        <f>AND(IF(Metadata!L305="",FALSE,TRUE),OR(exact(Metadata!L305,"Plant secretion"),exact(Metadata!L305,"Plant rhizosphere"),exact(Metadata!L305,"Plant surface"),exact(Metadata!L305,"Plant corpus"),exact(Metadata!L305,"Fungus surface"),exact(Metadata!L305,"Fungus corpus"),exact(Metadata!L305,"Animal surface"),exact(Metadata!L305,"Animal proximal gut"),exact(Metadata!L305,"Animal corpus"),exact(Metadata!L305,"Animal distal gut"),exact(Metadata!L305,"Animal secretion"),exact(Metadata!L305,"Sub-surface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Y305">
        <f>IF(Metadata!M305="",FALSE,TRUE)</f>
        <v>0</v>
      </c>
      <c r="AZ305">
        <f>IF(Metadata!N305="",FALSE,TRUE)</f>
        <v>0</v>
      </c>
      <c r="BA305">
        <f>IF(Metadata!O305="",FALSE,TRUE)</f>
        <v>0</v>
      </c>
      <c r="BB305">
        <f>OR(AND(IF(Metadata!P305="",FALSE,TRUE),OR(exact(Metadata!P305,"not collected"),exact(Metadata!P305,"not provided"),exact(Metadata!P305,"restricted access"))),AND(IF(Metadata!P305="",FALSE,TRUE),OR(exact(Metadata!P305,"air"),exact(Metadata!P305,"built environment"),exact(Metadata!P305,"host-associated"),exact(Metadata!P305,"human-associated"),exact(Metadata!P305,"human-skin"),exact(Metadata!P305,"human-oral"),exact(Metadata!P305,"human-gut"),exact(Metadata!P305,"human-vaginal"),exact(Metadata!P305,"microbial mat/biofilm"),exact(Metadata!P305,"misc environment"),exact(Metadata!P305,"plant-associated"),exact(Metadata!P305,"sediment"),exact(Metadata!P305,"soil"),exact(Metadata!P305,"wastewater/sludge"),exact(Metadata!P305,"water"))))</f>
        <v>0</v>
      </c>
      <c r="BC305">
        <f>IF(Metadata!Q305="",FALSE,TRUE)</f>
        <v>0</v>
      </c>
      <c r="BD305">
        <f>IF(Metadata!R305="",FALSE,TRUE)</f>
        <v>0</v>
      </c>
      <c r="BE305">
        <f>OR(AND(IF(Metadata!S305="",FALSE,TRUE),OR(exact(Metadata!S305,"not collected"),exact(Metadata!S305,"not provided"),exact(Metadata!S305,"restricted access"))),AND(IF(Metadata!S305="",FALSE,ISNUMBER(VALUE(Metadata!S305))),Metadata!S305&gt;=-90.00,Metadata!S305&lt;=90.00))</f>
        <v>0</v>
      </c>
      <c r="BF305">
        <f>AND(IF(Metadata!T305="",FALSE,TRUE),exact(Metadata!T305,"Decimal degrees"))</f>
        <v>0</v>
      </c>
      <c r="BG305">
        <f>OR(AND(IF(Metadata!U305="",FALSE,TRUE),OR(exact(Metadata!U305,"not collected"),exact(Metadata!U305,"not provided"),exact(Metadata!U305,"restricted access"))),AND(IF(Metadata!U305="",FALSE,ISNUMBER(VALUE(Metadata!U305))),Metadata!U305&gt;=-180.00,Metadata!U305&lt;=180.00))</f>
        <v>0</v>
      </c>
      <c r="BH305">
        <f>AND(IF(Metadata!V305="",FALSE,TRUE),exact(Metadata!V305,"Decimal degrees"))</f>
        <v>0</v>
      </c>
      <c r="BI305">
        <f>IF(Metadata!W305="",FALSE,TRUE)</f>
        <v>0</v>
      </c>
      <c r="BJ305">
        <f>OR(AND(IF(Metadata!X305="",FALSE,TRUE),OR(exact(Metadata!X305,"not collected"),exact(Metadata!X305,"not provided"),exact(Metadata!X305,"restricted access"))),AND(IF(Metadata!X305="",FALSE,TRUE),OR(exact(Metadata!X305,"TRUE"),exact(Metadata!X305,"FALSE"))))</f>
        <v>0</v>
      </c>
      <c r="BK305">
        <f>AND(IF(Metadata!Y305="",FALSE,TRUE),exact(Metadata!Y305,"other"))</f>
        <v>0</v>
      </c>
      <c r="BL305">
        <f>IF(Metadata!Z305="",FALSE,TRUE)</f>
        <v>0</v>
      </c>
      <c r="BM305">
        <f>OR(AND(IF(Metadata!AA305="",FALSE,TRUE),OR(exact(Metadata!AA305,"not collected"),exact(Metadata!AA305,"not provided"))),AND(IF(Metadata!AA305="",FALSE,IF(ISERROR(INT(Metadata!AA305)),FALSE,INT(Metadata!AA305)=Metadata!AA305)),Metadata!AA305&gt;0))</f>
        <v>0</v>
      </c>
      <c r="BN305">
        <f>AND(IF(Metadata!AB305="",FALSE,TRUE),exact(Metadata!AB305,"Not applicable"))</f>
        <v>0</v>
      </c>
      <c r="BO305">
        <f>IF(Metadata!AC305="",FALSE,TRUE)</f>
        <v>0</v>
      </c>
    </row>
    <row r="306" spans="1:67">
      <c r="A306" s="5">
        <f>IF(B306=" "," ",HYPERLINK(CONCATENATE("#metadata!",ADDRESS(INDEX($AI$2:$AI$1001,MATCH(ROWS($AG$2:AG306),$AG$2:$AG$1001,0),0),1)),INDEX($AL$2:$AL$1001,MATCH(ROWS($AG$2:AG306),$AG$2:$AG$1001,0),0)))</f>
        <v>0</v>
      </c>
      <c r="B306" s="4">
        <f>IF(OR(INDEX($AH$2:$AH$1001,MATCH(ROWS($AG$2:AG306),$AG$2:$AG$1001,0),1)&gt;=100000,INDEX($AN$1005:$BO$1005,1,MATCH(COLUMNS($AN$1006:AN1006),$AN$1006:$BO$1006,0))&gt;=100000), " ",IF(INDEX($AN$2:$BO$1001,MATCH(ROWS($AG$2:AG306),$AG$2:$AG$1001,0),MATCH(COLUMNS($AN$1006:AN1006),$AN$1006:$BO$1006,0)), HYPERLINK("#",""), HYPERLINK(CONCATENATE("#Metadata!", ADDRESS(INDEX($AI$2:$AI$1001,MATCH(ROWS($AG$2:AG306),$AG$2:$AG$1001,0),0), INDEX($AN$1004:$BO$1004,1,MATCH(COLUMNS($AN$1006:AN1006),$AN$1006:$BO$1006,0)))),"Fix")))</f>
        <v>0</v>
      </c>
      <c r="C306" s="4">
        <f>IF(OR(INDEX($AH$2:$AH$1001,MATCH(ROWS($AG$2:AG306),$AG$2:$AG$1001,0),1)&gt;=100000,INDEX($AN$1005:$BO$1005,1,MATCH(COLUMNS($AN$1006:AO1006),$AN$1006:$BO$1006,0))&gt;=100000), " ",IF(INDEX($AN$2:$BO$1001,MATCH(ROWS($AG$2:AG306),$AG$2:$AG$1001,0),MATCH(COLUMNS($AN$1006:AO1006),$AN$1006:$BO$1006,0)), HYPERLINK("#",""), HYPERLINK(CONCATENATE("#Metadata!", ADDRESS(INDEX($AI$2:$AI$1001,MATCH(ROWS($AG$2:AG306),$AG$2:$AG$1001,0),0), INDEX($AN$1004:$BO$1004,1,MATCH(COLUMNS($AN$1006:AO1006),$AN$1006:$BO$1006,0)))),"Fix")))</f>
        <v>0</v>
      </c>
      <c r="D306" s="4">
        <f>IF(OR(INDEX($AH$2:$AH$1001,MATCH(ROWS($AG$2:AG306),$AG$2:$AG$1001,0),1)&gt;=100000,INDEX($AN$1005:$BO$1005,1,MATCH(COLUMNS($AN$1006:AP1006),$AN$1006:$BO$1006,0))&gt;=100000), " ",IF(INDEX($AN$2:$BO$1001,MATCH(ROWS($AG$2:AG306),$AG$2:$AG$1001,0),MATCH(COLUMNS($AN$1006:AP1006),$AN$1006:$BO$1006,0)), HYPERLINK("#",""), HYPERLINK(CONCATENATE("#Metadata!", ADDRESS(INDEX($AI$2:$AI$1001,MATCH(ROWS($AG$2:AG306),$AG$2:$AG$1001,0),0), INDEX($AN$1004:$BO$1004,1,MATCH(COLUMNS($AN$1006:AP1006),$AN$1006:$BO$1006,0)))),"Fix")))</f>
        <v>0</v>
      </c>
      <c r="E306" s="4">
        <f>IF(OR(INDEX($AH$2:$AH$1001,MATCH(ROWS($AG$2:AG306),$AG$2:$AG$1001,0),1)&gt;=100000,INDEX($AN$1005:$BO$1005,1,MATCH(COLUMNS($AN$1006:AQ1006),$AN$1006:$BO$1006,0))&gt;=100000), " ",IF(INDEX($AN$2:$BO$1001,MATCH(ROWS($AG$2:AG306),$AG$2:$AG$1001,0),MATCH(COLUMNS($AN$1006:AQ1006),$AN$1006:$BO$1006,0)), HYPERLINK("#",""), HYPERLINK(CONCATENATE("#Metadata!", ADDRESS(INDEX($AI$2:$AI$1001,MATCH(ROWS($AG$2:AG306),$AG$2:$AG$1001,0),0), INDEX($AN$1004:$BO$1004,1,MATCH(COLUMNS($AN$1006:AQ1006),$AN$1006:$BO$1006,0)))),"Fix")))</f>
        <v>0</v>
      </c>
      <c r="F306" s="4">
        <f>IF(OR(INDEX($AH$2:$AH$1001,MATCH(ROWS($AG$2:AG306),$AG$2:$AG$1001,0),1)&gt;=100000,INDEX($AN$1005:$BO$1005,1,MATCH(COLUMNS($AN$1006:AR1006),$AN$1006:$BO$1006,0))&gt;=100000), " ",IF(INDEX($AN$2:$BO$1001,MATCH(ROWS($AG$2:AG306),$AG$2:$AG$1001,0),MATCH(COLUMNS($AN$1006:AR1006),$AN$1006:$BO$1006,0)), HYPERLINK("#",""), HYPERLINK(CONCATENATE("#Metadata!", ADDRESS(INDEX($AI$2:$AI$1001,MATCH(ROWS($AG$2:AG306),$AG$2:$AG$1001,0),0), INDEX($AN$1004:$BO$1004,1,MATCH(COLUMNS($AN$1006:AR1006),$AN$1006:$BO$1006,0)))),"Fix")))</f>
        <v>0</v>
      </c>
      <c r="G306" s="4">
        <f>IF(OR(INDEX($AH$2:$AH$1001,MATCH(ROWS($AG$2:AG306),$AG$2:$AG$1001,0),1)&gt;=100000,INDEX($AN$1005:$BO$1005,1,MATCH(COLUMNS($AN$1006:AS1006),$AN$1006:$BO$1006,0))&gt;=100000), " ",IF(INDEX($AN$2:$BO$1001,MATCH(ROWS($AG$2:AG306),$AG$2:$AG$1001,0),MATCH(COLUMNS($AN$1006:AS1006),$AN$1006:$BO$1006,0)), HYPERLINK("#",""), HYPERLINK(CONCATENATE("#Metadata!", ADDRESS(INDEX($AI$2:$AI$1001,MATCH(ROWS($AG$2:AG306),$AG$2:$AG$1001,0),0), INDEX($AN$1004:$BO$1004,1,MATCH(COLUMNS($AN$1006:AS1006),$AN$1006:$BO$1006,0)))),"Fix")))</f>
        <v>0</v>
      </c>
      <c r="H306" s="4">
        <f>IF(OR(INDEX($AH$2:$AH$1001,MATCH(ROWS($AG$2:AG306),$AG$2:$AG$1001,0),1)&gt;=100000,INDEX($AN$1005:$BO$1005,1,MATCH(COLUMNS($AN$1006:AT1006),$AN$1006:$BO$1006,0))&gt;=100000), " ",IF(INDEX($AN$2:$BO$1001,MATCH(ROWS($AG$2:AG306),$AG$2:$AG$1001,0),MATCH(COLUMNS($AN$1006:AT1006),$AN$1006:$BO$1006,0)), HYPERLINK("#",""), HYPERLINK(CONCATENATE("#Metadata!", ADDRESS(INDEX($AI$2:$AI$1001,MATCH(ROWS($AG$2:AG306),$AG$2:$AG$1001,0),0), INDEX($AN$1004:$BO$1004,1,MATCH(COLUMNS($AN$1006:AT1006),$AN$1006:$BO$1006,0)))),"Fix")))</f>
        <v>0</v>
      </c>
      <c r="I306" s="4">
        <f>IF(OR(INDEX($AH$2:$AH$1001,MATCH(ROWS($AG$2:AG306),$AG$2:$AG$1001,0),1)&gt;=100000,INDEX($AN$1005:$BO$1005,1,MATCH(COLUMNS($AN$1006:AU1006),$AN$1006:$BO$1006,0))&gt;=100000), " ",IF(INDEX($AN$2:$BO$1001,MATCH(ROWS($AG$2:AG306),$AG$2:$AG$1001,0),MATCH(COLUMNS($AN$1006:AU1006),$AN$1006:$BO$1006,0)), HYPERLINK("#",""), HYPERLINK(CONCATENATE("#Metadata!", ADDRESS(INDEX($AI$2:$AI$1001,MATCH(ROWS($AG$2:AG306),$AG$2:$AG$1001,0),0), INDEX($AN$1004:$BO$1004,1,MATCH(COLUMNS($AN$1006:AU1006),$AN$1006:$BO$1006,0)))),"Fix")))</f>
        <v>0</v>
      </c>
      <c r="J306" s="4">
        <f>IF(OR(INDEX($AH$2:$AH$1001,MATCH(ROWS($AG$2:AG306),$AG$2:$AG$1001,0),1)&gt;=100000,INDEX($AN$1005:$BO$1005,1,MATCH(COLUMNS($AN$1006:AV1006),$AN$1006:$BO$1006,0))&gt;=100000), " ",IF(INDEX($AN$2:$BO$1001,MATCH(ROWS($AG$2:AG306),$AG$2:$AG$1001,0),MATCH(COLUMNS($AN$1006:AV1006),$AN$1006:$BO$1006,0)), HYPERLINK("#",""), HYPERLINK(CONCATENATE("#Metadata!", ADDRESS(INDEX($AI$2:$AI$1001,MATCH(ROWS($AG$2:AG306),$AG$2:$AG$1001,0),0), INDEX($AN$1004:$BO$1004,1,MATCH(COLUMNS($AN$1006:AV1006),$AN$1006:$BO$1006,0)))),"Fix")))</f>
        <v>0</v>
      </c>
      <c r="K306" s="4">
        <f>IF(OR(INDEX($AH$2:$AH$1001,MATCH(ROWS($AG$2:AG306),$AG$2:$AG$1001,0),1)&gt;=100000,INDEX($AN$1005:$BO$1005,1,MATCH(COLUMNS($AN$1006:AW1006),$AN$1006:$BO$1006,0))&gt;=100000), " ",IF(INDEX($AN$2:$BO$1001,MATCH(ROWS($AG$2:AG306),$AG$2:$AG$1001,0),MATCH(COLUMNS($AN$1006:AW1006),$AN$1006:$BO$1006,0)), HYPERLINK("#",""), HYPERLINK(CONCATENATE("#Metadata!", ADDRESS(INDEX($AI$2:$AI$1001,MATCH(ROWS($AG$2:AG306),$AG$2:$AG$1001,0),0), INDEX($AN$1004:$BO$1004,1,MATCH(COLUMNS($AN$1006:AW1006),$AN$1006:$BO$1006,0)))),"Fix")))</f>
        <v>0</v>
      </c>
      <c r="L306" s="4">
        <f>IF(OR(INDEX($AH$2:$AH$1001,MATCH(ROWS($AG$2:AG306),$AG$2:$AG$1001,0),1)&gt;=100000,INDEX($AN$1005:$BO$1005,1,MATCH(COLUMNS($AN$1006:AX1006),$AN$1006:$BO$1006,0))&gt;=100000), " ",IF(INDEX($AN$2:$BO$1001,MATCH(ROWS($AG$2:AG306),$AG$2:$AG$1001,0),MATCH(COLUMNS($AN$1006:AX1006),$AN$1006:$BO$1006,0)), HYPERLINK("#",""), HYPERLINK(CONCATENATE("#Metadata!", ADDRESS(INDEX($AI$2:$AI$1001,MATCH(ROWS($AG$2:AG306),$AG$2:$AG$1001,0),0), INDEX($AN$1004:$BO$1004,1,MATCH(COLUMNS($AN$1006:AX1006),$AN$1006:$BO$1006,0)))),"Fix")))</f>
        <v>0</v>
      </c>
      <c r="M306" s="4">
        <f>IF(OR(INDEX($AH$2:$AH$1001,MATCH(ROWS($AG$2:AG306),$AG$2:$AG$1001,0),1)&gt;=100000,INDEX($AN$1005:$BO$1005,1,MATCH(COLUMNS($AN$1006:AY1006),$AN$1006:$BO$1006,0))&gt;=100000), " ",IF(INDEX($AN$2:$BO$1001,MATCH(ROWS($AG$2:AG306),$AG$2:$AG$1001,0),MATCH(COLUMNS($AN$1006:AY1006),$AN$1006:$BO$1006,0)), HYPERLINK("#",""), HYPERLINK(CONCATENATE("#Metadata!", ADDRESS(INDEX($AI$2:$AI$1001,MATCH(ROWS($AG$2:AG306),$AG$2:$AG$1001,0),0), INDEX($AN$1004:$BO$1004,1,MATCH(COLUMNS($AN$1006:AY1006),$AN$1006:$BO$1006,0)))),"Fix")))</f>
        <v>0</v>
      </c>
      <c r="N306" s="4">
        <f>IF(OR(INDEX($AH$2:$AH$1001,MATCH(ROWS($AG$2:AG306),$AG$2:$AG$1001,0),1)&gt;=100000,INDEX($AN$1005:$BO$1005,1,MATCH(COLUMNS($AN$1006:AZ1006),$AN$1006:$BO$1006,0))&gt;=100000), " ",IF(INDEX($AN$2:$BO$1001,MATCH(ROWS($AG$2:AG306),$AG$2:$AG$1001,0),MATCH(COLUMNS($AN$1006:AZ1006),$AN$1006:$BO$1006,0)), HYPERLINK("#",""), HYPERLINK(CONCATENATE("#Metadata!", ADDRESS(INDEX($AI$2:$AI$1001,MATCH(ROWS($AG$2:AG306),$AG$2:$AG$1001,0),0), INDEX($AN$1004:$BO$1004,1,MATCH(COLUMNS($AN$1006:AZ1006),$AN$1006:$BO$1006,0)))),"Fix")))</f>
        <v>0</v>
      </c>
      <c r="O306" s="4">
        <f>IF(OR(INDEX($AH$2:$AH$1001,MATCH(ROWS($AG$2:AG306),$AG$2:$AG$1001,0),1)&gt;=100000,INDEX($AN$1005:$BO$1005,1,MATCH(COLUMNS($AN$1006:BA1006),$AN$1006:$BO$1006,0))&gt;=100000), " ",IF(INDEX($AN$2:$BO$1001,MATCH(ROWS($AG$2:AG306),$AG$2:$AG$1001,0),MATCH(COLUMNS($AN$1006:BA1006),$AN$1006:$BO$1006,0)), HYPERLINK("#",""), HYPERLINK(CONCATENATE("#Metadata!", ADDRESS(INDEX($AI$2:$AI$1001,MATCH(ROWS($AG$2:AG306),$AG$2:$AG$1001,0),0), INDEX($AN$1004:$BO$1004,1,MATCH(COLUMNS($AN$1006:BA1006),$AN$1006:$BO$1006,0)))),"Fix")))</f>
        <v>0</v>
      </c>
      <c r="P306" s="4">
        <f>IF(OR(INDEX($AH$2:$AH$1001,MATCH(ROWS($AG$2:AG306),$AG$2:$AG$1001,0),1)&gt;=100000,INDEX($AN$1005:$BO$1005,1,MATCH(COLUMNS($AN$1006:BB1006),$AN$1006:$BO$1006,0))&gt;=100000), " ",IF(INDEX($AN$2:$BO$1001,MATCH(ROWS($AG$2:AG306),$AG$2:$AG$1001,0),MATCH(COLUMNS($AN$1006:BB1006),$AN$1006:$BO$1006,0)), HYPERLINK("#",""), HYPERLINK(CONCATENATE("#Metadata!", ADDRESS(INDEX($AI$2:$AI$1001,MATCH(ROWS($AG$2:AG306),$AG$2:$AG$1001,0),0), INDEX($AN$1004:$BO$1004,1,MATCH(COLUMNS($AN$1006:BB1006),$AN$1006:$BO$1006,0)))),"Fix")))</f>
        <v>0</v>
      </c>
      <c r="Q306" s="4">
        <f>IF(OR(INDEX($AH$2:$AH$1001,MATCH(ROWS($AG$2:AG306),$AG$2:$AG$1001,0),1)&gt;=100000,INDEX($AN$1005:$BO$1005,1,MATCH(COLUMNS($AN$1006:BC1006),$AN$1006:$BO$1006,0))&gt;=100000), " ",IF(INDEX($AN$2:$BO$1001,MATCH(ROWS($AG$2:AG306),$AG$2:$AG$1001,0),MATCH(COLUMNS($AN$1006:BC1006),$AN$1006:$BO$1006,0)), HYPERLINK("#",""), HYPERLINK(CONCATENATE("#Metadata!", ADDRESS(INDEX($AI$2:$AI$1001,MATCH(ROWS($AG$2:AG306),$AG$2:$AG$1001,0),0), INDEX($AN$1004:$BO$1004,1,MATCH(COLUMNS($AN$1006:BC1006),$AN$1006:$BO$1006,0)))),"Fix")))</f>
        <v>0</v>
      </c>
      <c r="R306" s="4">
        <f>IF(OR(INDEX($AH$2:$AH$1001,MATCH(ROWS($AG$2:AG306),$AG$2:$AG$1001,0),1)&gt;=100000,INDEX($AN$1005:$BO$1005,1,MATCH(COLUMNS($AN$1006:BD1006),$AN$1006:$BO$1006,0))&gt;=100000), " ",IF(INDEX($AN$2:$BO$1001,MATCH(ROWS($AG$2:AG306),$AG$2:$AG$1001,0),MATCH(COLUMNS($AN$1006:BD1006),$AN$1006:$BO$1006,0)), HYPERLINK("#",""), HYPERLINK(CONCATENATE("#Metadata!", ADDRESS(INDEX($AI$2:$AI$1001,MATCH(ROWS($AG$2:AG306),$AG$2:$AG$1001,0),0), INDEX($AN$1004:$BO$1004,1,MATCH(COLUMNS($AN$1006:BD1006),$AN$1006:$BO$1006,0)))),"Fix")))</f>
        <v>0</v>
      </c>
      <c r="S306" s="4">
        <f>IF(OR(INDEX($AH$2:$AH$1001,MATCH(ROWS($AG$2:AG306),$AG$2:$AG$1001,0),1)&gt;=100000,INDEX($AN$1005:$BO$1005,1,MATCH(COLUMNS($AN$1006:BE1006),$AN$1006:$BO$1006,0))&gt;=100000), " ",IF(INDEX($AN$2:$BO$1001,MATCH(ROWS($AG$2:AG306),$AG$2:$AG$1001,0),MATCH(COLUMNS($AN$1006:BE1006),$AN$1006:$BO$1006,0)), HYPERLINK("#",""), HYPERLINK(CONCATENATE("#Metadata!", ADDRESS(INDEX($AI$2:$AI$1001,MATCH(ROWS($AG$2:AG306),$AG$2:$AG$1001,0),0), INDEX($AN$1004:$BO$1004,1,MATCH(COLUMNS($AN$1006:BE1006),$AN$1006:$BO$1006,0)))),"Fix")))</f>
        <v>0</v>
      </c>
      <c r="T306" s="4">
        <f>IF(OR(INDEX($AH$2:$AH$1001,MATCH(ROWS($AG$2:AG306),$AG$2:$AG$1001,0),1)&gt;=100000,INDEX($AN$1005:$BO$1005,1,MATCH(COLUMNS($AN$1006:BF1006),$AN$1006:$BO$1006,0))&gt;=100000), " ",IF(INDEX($AN$2:$BO$1001,MATCH(ROWS($AG$2:AG306),$AG$2:$AG$1001,0),MATCH(COLUMNS($AN$1006:BF1006),$AN$1006:$BO$1006,0)), HYPERLINK("#",""), HYPERLINK(CONCATENATE("#Metadata!", ADDRESS(INDEX($AI$2:$AI$1001,MATCH(ROWS($AG$2:AG306),$AG$2:$AG$1001,0),0), INDEX($AN$1004:$BO$1004,1,MATCH(COLUMNS($AN$1006:BF1006),$AN$1006:$BO$1006,0)))),"Fix")))</f>
        <v>0</v>
      </c>
      <c r="U306" s="4">
        <f>IF(OR(INDEX($AH$2:$AH$1001,MATCH(ROWS($AG$2:AG306),$AG$2:$AG$1001,0),1)&gt;=100000,INDEX($AN$1005:$BO$1005,1,MATCH(COLUMNS($AN$1006:BG1006),$AN$1006:$BO$1006,0))&gt;=100000), " ",IF(INDEX($AN$2:$BO$1001,MATCH(ROWS($AG$2:AG306),$AG$2:$AG$1001,0),MATCH(COLUMNS($AN$1006:BG1006),$AN$1006:$BO$1006,0)), HYPERLINK("#",""), HYPERLINK(CONCATENATE("#Metadata!", ADDRESS(INDEX($AI$2:$AI$1001,MATCH(ROWS($AG$2:AG306),$AG$2:$AG$1001,0),0), INDEX($AN$1004:$BO$1004,1,MATCH(COLUMNS($AN$1006:BG1006),$AN$1006:$BO$1006,0)))),"Fix")))</f>
        <v>0</v>
      </c>
      <c r="V306" s="4">
        <f>IF(OR(INDEX($AH$2:$AH$1001,MATCH(ROWS($AG$2:AG306),$AG$2:$AG$1001,0),1)&gt;=100000,INDEX($AN$1005:$BO$1005,1,MATCH(COLUMNS($AN$1006:BH1006),$AN$1006:$BO$1006,0))&gt;=100000), " ",IF(INDEX($AN$2:$BO$1001,MATCH(ROWS($AG$2:AG306),$AG$2:$AG$1001,0),MATCH(COLUMNS($AN$1006:BH1006),$AN$1006:$BO$1006,0)), HYPERLINK("#",""), HYPERLINK(CONCATENATE("#Metadata!", ADDRESS(INDEX($AI$2:$AI$1001,MATCH(ROWS($AG$2:AG306),$AG$2:$AG$1001,0),0), INDEX($AN$1004:$BO$1004,1,MATCH(COLUMNS($AN$1006:BH1006),$AN$1006:$BO$1006,0)))),"Fix")))</f>
        <v>0</v>
      </c>
      <c r="W306" s="4">
        <f>IF(OR(INDEX($AH$2:$AH$1001,MATCH(ROWS($AG$2:AG306),$AG$2:$AG$1001,0),1)&gt;=100000,INDEX($AN$1005:$BO$1005,1,MATCH(COLUMNS($AN$1006:BI1006),$AN$1006:$BO$1006,0))&gt;=100000), " ",IF(INDEX($AN$2:$BO$1001,MATCH(ROWS($AG$2:AG306),$AG$2:$AG$1001,0),MATCH(COLUMNS($AN$1006:BI1006),$AN$1006:$BO$1006,0)), HYPERLINK("#",""), HYPERLINK(CONCATENATE("#Metadata!", ADDRESS(INDEX($AI$2:$AI$1001,MATCH(ROWS($AG$2:AG306),$AG$2:$AG$1001,0),0), INDEX($AN$1004:$BO$1004,1,MATCH(COLUMNS($AN$1006:BI1006),$AN$1006:$BO$1006,0)))),"Fix")))</f>
        <v>0</v>
      </c>
      <c r="X306" s="4">
        <f>IF(OR(INDEX($AH$2:$AH$1001,MATCH(ROWS($AG$2:AG306),$AG$2:$AG$1001,0),1)&gt;=100000,INDEX($AN$1005:$BO$1005,1,MATCH(COLUMNS($AN$1006:BJ1006),$AN$1006:$BO$1006,0))&gt;=100000), " ",IF(INDEX($AN$2:$BO$1001,MATCH(ROWS($AG$2:AG306),$AG$2:$AG$1001,0),MATCH(COLUMNS($AN$1006:BJ1006),$AN$1006:$BO$1006,0)), HYPERLINK("#",""), HYPERLINK(CONCATENATE("#Metadata!", ADDRESS(INDEX($AI$2:$AI$1001,MATCH(ROWS($AG$2:AG306),$AG$2:$AG$1001,0),0), INDEX($AN$1004:$BO$1004,1,MATCH(COLUMNS($AN$1006:BJ1006),$AN$1006:$BO$1006,0)))),"Fix")))</f>
        <v>0</v>
      </c>
      <c r="Y306" s="4">
        <f>IF(OR(INDEX($AH$2:$AH$1001,MATCH(ROWS($AG$2:AG306),$AG$2:$AG$1001,0),1)&gt;=100000,INDEX($AN$1005:$BO$1005,1,MATCH(COLUMNS($AN$1006:BK1006),$AN$1006:$BO$1006,0))&gt;=100000), " ",IF(INDEX($AN$2:$BO$1001,MATCH(ROWS($AG$2:AG306),$AG$2:$AG$1001,0),MATCH(COLUMNS($AN$1006:BK1006),$AN$1006:$BO$1006,0)), HYPERLINK("#",""), HYPERLINK(CONCATENATE("#Metadata!", ADDRESS(INDEX($AI$2:$AI$1001,MATCH(ROWS($AG$2:AG306),$AG$2:$AG$1001,0),0), INDEX($AN$1004:$BO$1004,1,MATCH(COLUMNS($AN$1006:BK1006),$AN$1006:$BO$1006,0)))),"Fix")))</f>
        <v>0</v>
      </c>
      <c r="Z306" s="4">
        <f>IF(OR(INDEX($AH$2:$AH$1001,MATCH(ROWS($AG$2:AG306),$AG$2:$AG$1001,0),1)&gt;=100000,INDEX($AN$1005:$BO$1005,1,MATCH(COLUMNS($AN$1006:BL1006),$AN$1006:$BO$1006,0))&gt;=100000), " ",IF(INDEX($AN$2:$BO$1001,MATCH(ROWS($AG$2:AG306),$AG$2:$AG$1001,0),MATCH(COLUMNS($AN$1006:BL1006),$AN$1006:$BO$1006,0)), HYPERLINK("#",""), HYPERLINK(CONCATENATE("#Metadata!", ADDRESS(INDEX($AI$2:$AI$1001,MATCH(ROWS($AG$2:AG306),$AG$2:$AG$1001,0),0), INDEX($AN$1004:$BO$1004,1,MATCH(COLUMNS($AN$1006:BL1006),$AN$1006:$BO$1006,0)))),"Fix")))</f>
        <v>0</v>
      </c>
      <c r="AA306" s="4">
        <f>IF(OR(INDEX($AH$2:$AH$1001,MATCH(ROWS($AG$2:AG306),$AG$2:$AG$1001,0),1)&gt;=100000,INDEX($AN$1005:$BO$1005,1,MATCH(COLUMNS($AN$1006:BM1006),$AN$1006:$BO$1006,0))&gt;=100000), " ",IF(INDEX($AN$2:$BO$1001,MATCH(ROWS($AG$2:AG306),$AG$2:$AG$1001,0),MATCH(COLUMNS($AN$1006:BM1006),$AN$1006:$BO$1006,0)), HYPERLINK("#",""), HYPERLINK(CONCATENATE("#Metadata!", ADDRESS(INDEX($AI$2:$AI$1001,MATCH(ROWS($AG$2:AG306),$AG$2:$AG$1001,0),0), INDEX($AN$1004:$BO$1004,1,MATCH(COLUMNS($AN$1006:BM1006),$AN$1006:$BO$1006,0)))),"Fix")))</f>
        <v>0</v>
      </c>
      <c r="AB306" s="4">
        <f>IF(OR(INDEX($AH$2:$AH$1001,MATCH(ROWS($AG$2:AG306),$AG$2:$AG$1001,0),1)&gt;=100000,INDEX($AN$1005:$BO$1005,1,MATCH(COLUMNS($AN$1006:BN1006),$AN$1006:$BO$1006,0))&gt;=100000), " ",IF(INDEX($AN$2:$BO$1001,MATCH(ROWS($AG$2:AG306),$AG$2:$AG$1001,0),MATCH(COLUMNS($AN$1006:BN1006),$AN$1006:$BO$1006,0)), HYPERLINK("#",""), HYPERLINK(CONCATENATE("#Metadata!", ADDRESS(INDEX($AI$2:$AI$1001,MATCH(ROWS($AG$2:AG306),$AG$2:$AG$1001,0),0), INDEX($AN$1004:$BO$1004,1,MATCH(COLUMNS($AN$1006:BN1006),$AN$1006:$BO$1006,0)))),"Fix")))</f>
        <v>0</v>
      </c>
      <c r="AC306" s="4">
        <f>IF(OR(INDEX($AH$2:$AH$1001,MATCH(ROWS($AG$2:AG306),$AG$2:$AG$1001,0),1)&gt;=100000,INDEX($AN$1005:$BO$1005,1,MATCH(COLUMNS($AN$1006:BO1006),$AN$1006:$BO$1006,0))&gt;=100000), " ",IF(INDEX($AN$2:$BO$1001,MATCH(ROWS($AG$2:AG306),$AG$2:$AG$1001,0),MATCH(COLUMNS($AN$1006:BO1006),$AN$1006:$BO$1006,0)), HYPERLINK("#",""), HYPERLINK(CONCATENATE("#Metadata!", ADDRESS(INDEX($AI$2:$AI$1001,MATCH(ROWS($AG$2:AG306),$AG$2:$AG$1001,0),0), INDEX($AN$1004:$BO$1004,1,MATCH(COLUMNS($AN$1006:BO1006),$AN$1006:$BO$1006,0)))),"Fix")))</f>
        <v>0</v>
      </c>
      <c r="AG306">
        <v>0</v>
      </c>
      <c r="AH306">
        <v>0</v>
      </c>
      <c r="AI306">
        <v>0</v>
      </c>
      <c r="AJ306">
        <f>IF(AK306,TRUE,AND(AN306:BO306))</f>
        <v>0</v>
      </c>
      <c r="AK306">
        <f>COUNTBLANK(Metadata!B306:AC306)=COLUMNS(Metadata!B306:AC306)</f>
        <v>0</v>
      </c>
      <c r="AL306">
        <v>0</v>
      </c>
      <c r="AN306">
        <f>AND(IF(Metadata!B306="",FALSE,TRUE),COUNTIF(Metadata!B:B, Metadata!B306) = 1,NOT(ISERROR(SUMPRODUCT(SEARCH(MID(Metadata!B306,ROW(INDIRECT("1:"&amp;LEN(Metadata!B306))), 1),"0123456789abcdefghijklmnopqrstuvwxyzABCDEFGHIJKLMNOPQRSTUVWXYZ.")))))</f>
        <v>0</v>
      </c>
      <c r="AO306">
        <f>IF(Metadata!C306="",FALSE,TRUE)</f>
        <v>0</v>
      </c>
      <c r="AP306">
        <f>IF(Metadata!D306="",FALSE,TRUE)</f>
        <v>0</v>
      </c>
      <c r="AQ306">
        <f>OR(AND(IF(Metadata!E306="",FALSE,TRUE),OR(exact(Metadata!E306,"not collected"),exact(Metadata!E306,"not provided"),exact(Metadata!E306,"restricted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R306">
        <f>IF(Metadata!F306="",FALSE,TRUE)</f>
        <v>0</v>
      </c>
      <c r="AS306">
        <f>OR(AND(IF(Metadata!G306="",FALSE,TRUE),OR(exact(Metadata!G306,"not collected"),exact(Metadata!G306,"not provided"))),AND(IF(Metadata!G306="",FALSE,TRUE),OR(exact(Metadata!G306,"TRUE"),exact(Metadata!G306,"FALSE"))))</f>
        <v>0</v>
      </c>
      <c r="AT306">
        <f>OR(AND(IF(Metadata!H306="",FALSE,TRUE),OR(exact(Metadata!H306,"not collected"),exact(Metadata!H306,"not provided"),exact(Metadata!H306,"restricted access"))),AND(IF(Metadata!H306="",FALSE,ISNUMBER(VALUE(Metadata!H306))),Metadata!H306&gt;=-413.0))</f>
        <v>0</v>
      </c>
      <c r="AU306">
        <f>AND(IF(Metadata!I306="",FALSE,TRUE),exact(Metadata!I306,"meters"))</f>
        <v>0</v>
      </c>
      <c r="AV306">
        <f>AND(IF(Metadata!J306="",FALSE,TRUE),OR(exact(Metadata!J306,"Host-associated"),exact(Metadata!J306,"Free-living")))</f>
        <v>0</v>
      </c>
      <c r="AW306">
        <f>AND(IF(Metadata!K306="",FALSE,TRUE),OR(exact(Metadata!K306,"Animal"),exact(Metadata!K306,"Fungus"),exact(Metadata!K306,"Plant"),exact(Metadata!K306,"Saline"),exact(Metadata!K306,"Non-saline")))</f>
        <v>0</v>
      </c>
      <c r="AX306">
        <f>AND(IF(Metadata!L306="",FALSE,TRUE),OR(exact(Metadata!L306,"Plant secretion"),exact(Metadata!L306,"Plant rhizosphere"),exact(Metadata!L306,"Plant surface"),exact(Metadata!L306,"Plant corpus"),exact(Metadata!L306,"Fungus surface"),exact(Metadata!L306,"Fungus corpus"),exact(Metadata!L306,"Animal surface"),exact(Metadata!L306,"Animal proximal gut"),exact(Metadata!L306,"Animal corpus"),exact(Metadata!L306,"Animal distal gut"),exact(Metadata!L306,"Animal secretion"),exact(Metadata!L306,"Sub-surface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Y306">
        <f>IF(Metadata!M306="",FALSE,TRUE)</f>
        <v>0</v>
      </c>
      <c r="AZ306">
        <f>IF(Metadata!N306="",FALSE,TRUE)</f>
        <v>0</v>
      </c>
      <c r="BA306">
        <f>IF(Metadata!O306="",FALSE,TRUE)</f>
        <v>0</v>
      </c>
      <c r="BB306">
        <f>OR(AND(IF(Metadata!P306="",FALSE,TRUE),OR(exact(Metadata!P306,"not collected"),exact(Metadata!P306,"not provided"),exact(Metadata!P306,"restricted access"))),AND(IF(Metadata!P306="",FALSE,TRUE),OR(exact(Metadata!P306,"air"),exact(Metadata!P306,"built environment"),exact(Metadata!P306,"host-associated"),exact(Metadata!P306,"human-associated"),exact(Metadata!P306,"human-skin"),exact(Metadata!P306,"human-oral"),exact(Metadata!P306,"human-gut"),exact(Metadata!P306,"human-vaginal"),exact(Metadata!P306,"microbial mat/biofilm"),exact(Metadata!P306,"misc environment"),exact(Metadata!P306,"plant-associated"),exact(Metadata!P306,"sediment"),exact(Metadata!P306,"soil"),exact(Metadata!P306,"wastewater/sludge"),exact(Metadata!P306,"water"))))</f>
        <v>0</v>
      </c>
      <c r="BC306">
        <f>IF(Metadata!Q306="",FALSE,TRUE)</f>
        <v>0</v>
      </c>
      <c r="BD306">
        <f>IF(Metadata!R306="",FALSE,TRUE)</f>
        <v>0</v>
      </c>
      <c r="BE306">
        <f>OR(AND(IF(Metadata!S306="",FALSE,TRUE),OR(exact(Metadata!S306,"not collected"),exact(Metadata!S306,"not provided"),exact(Metadata!S306,"restricted access"))),AND(IF(Metadata!S306="",FALSE,ISNUMBER(VALUE(Metadata!S306))),Metadata!S306&gt;=-90.00,Metadata!S306&lt;=90.00))</f>
        <v>0</v>
      </c>
      <c r="BF306">
        <f>AND(IF(Metadata!T306="",FALSE,TRUE),exact(Metadata!T306,"Decimal degrees"))</f>
        <v>0</v>
      </c>
      <c r="BG306">
        <f>OR(AND(IF(Metadata!U306="",FALSE,TRUE),OR(exact(Metadata!U306,"not collected"),exact(Metadata!U306,"not provided"),exact(Metadata!U306,"restricted access"))),AND(IF(Metadata!U306="",FALSE,ISNUMBER(VALUE(Metadata!U306))),Metadata!U306&gt;=-180.00,Metadata!U306&lt;=180.00))</f>
        <v>0</v>
      </c>
      <c r="BH306">
        <f>AND(IF(Metadata!V306="",FALSE,TRUE),exact(Metadata!V306,"Decimal degrees"))</f>
        <v>0</v>
      </c>
      <c r="BI306">
        <f>IF(Metadata!W306="",FALSE,TRUE)</f>
        <v>0</v>
      </c>
      <c r="BJ306">
        <f>OR(AND(IF(Metadata!X306="",FALSE,TRUE),OR(exact(Metadata!X306,"not collected"),exact(Metadata!X306,"not provided"),exact(Metadata!X306,"restricted access"))),AND(IF(Metadata!X306="",FALSE,TRUE),OR(exact(Metadata!X306,"TRUE"),exact(Metadata!X306,"FALSE"))))</f>
        <v>0</v>
      </c>
      <c r="BK306">
        <f>AND(IF(Metadata!Y306="",FALSE,TRUE),exact(Metadata!Y306,"other"))</f>
        <v>0</v>
      </c>
      <c r="BL306">
        <f>IF(Metadata!Z306="",FALSE,TRUE)</f>
        <v>0</v>
      </c>
      <c r="BM306">
        <f>OR(AND(IF(Metadata!AA306="",FALSE,TRUE),OR(exact(Metadata!AA306,"not collected"),exact(Metadata!AA306,"not provided"))),AND(IF(Metadata!AA306="",FALSE,IF(ISERROR(INT(Metadata!AA306)),FALSE,INT(Metadata!AA306)=Metadata!AA306)),Metadata!AA306&gt;0))</f>
        <v>0</v>
      </c>
      <c r="BN306">
        <f>AND(IF(Metadata!AB306="",FALSE,TRUE),exact(Metadata!AB306,"Not applicable"))</f>
        <v>0</v>
      </c>
      <c r="BO306">
        <f>IF(Metadata!AC306="",FALSE,TRUE)</f>
        <v>0</v>
      </c>
    </row>
    <row r="307" spans="1:67">
      <c r="A307" s="5">
        <f>IF(B307=" "," ",HYPERLINK(CONCATENATE("#metadata!",ADDRESS(INDEX($AI$2:$AI$1001,MATCH(ROWS($AG$2:AG307),$AG$2:$AG$1001,0),0),1)),INDEX($AL$2:$AL$1001,MATCH(ROWS($AG$2:AG307),$AG$2:$AG$1001,0),0)))</f>
        <v>0</v>
      </c>
      <c r="B307" s="4">
        <f>IF(OR(INDEX($AH$2:$AH$1001,MATCH(ROWS($AG$2:AG307),$AG$2:$AG$1001,0),1)&gt;=100000,INDEX($AN$1005:$BO$1005,1,MATCH(COLUMNS($AN$1006:AN1006),$AN$1006:$BO$1006,0))&gt;=100000), " ",IF(INDEX($AN$2:$BO$1001,MATCH(ROWS($AG$2:AG307),$AG$2:$AG$1001,0),MATCH(COLUMNS($AN$1006:AN1006),$AN$1006:$BO$1006,0)), HYPERLINK("#",""), HYPERLINK(CONCATENATE("#Metadata!", ADDRESS(INDEX($AI$2:$AI$1001,MATCH(ROWS($AG$2:AG307),$AG$2:$AG$1001,0),0), INDEX($AN$1004:$BO$1004,1,MATCH(COLUMNS($AN$1006:AN1006),$AN$1006:$BO$1006,0)))),"Fix")))</f>
        <v>0</v>
      </c>
      <c r="C307" s="4">
        <f>IF(OR(INDEX($AH$2:$AH$1001,MATCH(ROWS($AG$2:AG307),$AG$2:$AG$1001,0),1)&gt;=100000,INDEX($AN$1005:$BO$1005,1,MATCH(COLUMNS($AN$1006:AO1006),$AN$1006:$BO$1006,0))&gt;=100000), " ",IF(INDEX($AN$2:$BO$1001,MATCH(ROWS($AG$2:AG307),$AG$2:$AG$1001,0),MATCH(COLUMNS($AN$1006:AO1006),$AN$1006:$BO$1006,0)), HYPERLINK("#",""), HYPERLINK(CONCATENATE("#Metadata!", ADDRESS(INDEX($AI$2:$AI$1001,MATCH(ROWS($AG$2:AG307),$AG$2:$AG$1001,0),0), INDEX($AN$1004:$BO$1004,1,MATCH(COLUMNS($AN$1006:AO1006),$AN$1006:$BO$1006,0)))),"Fix")))</f>
        <v>0</v>
      </c>
      <c r="D307" s="4">
        <f>IF(OR(INDEX($AH$2:$AH$1001,MATCH(ROWS($AG$2:AG307),$AG$2:$AG$1001,0),1)&gt;=100000,INDEX($AN$1005:$BO$1005,1,MATCH(COLUMNS($AN$1006:AP1006),$AN$1006:$BO$1006,0))&gt;=100000), " ",IF(INDEX($AN$2:$BO$1001,MATCH(ROWS($AG$2:AG307),$AG$2:$AG$1001,0),MATCH(COLUMNS($AN$1006:AP1006),$AN$1006:$BO$1006,0)), HYPERLINK("#",""), HYPERLINK(CONCATENATE("#Metadata!", ADDRESS(INDEX($AI$2:$AI$1001,MATCH(ROWS($AG$2:AG307),$AG$2:$AG$1001,0),0), INDEX($AN$1004:$BO$1004,1,MATCH(COLUMNS($AN$1006:AP1006),$AN$1006:$BO$1006,0)))),"Fix")))</f>
        <v>0</v>
      </c>
      <c r="E307" s="4">
        <f>IF(OR(INDEX($AH$2:$AH$1001,MATCH(ROWS($AG$2:AG307),$AG$2:$AG$1001,0),1)&gt;=100000,INDEX($AN$1005:$BO$1005,1,MATCH(COLUMNS($AN$1006:AQ1006),$AN$1006:$BO$1006,0))&gt;=100000), " ",IF(INDEX($AN$2:$BO$1001,MATCH(ROWS($AG$2:AG307),$AG$2:$AG$1001,0),MATCH(COLUMNS($AN$1006:AQ1006),$AN$1006:$BO$1006,0)), HYPERLINK("#",""), HYPERLINK(CONCATENATE("#Metadata!", ADDRESS(INDEX($AI$2:$AI$1001,MATCH(ROWS($AG$2:AG307),$AG$2:$AG$1001,0),0), INDEX($AN$1004:$BO$1004,1,MATCH(COLUMNS($AN$1006:AQ1006),$AN$1006:$BO$1006,0)))),"Fix")))</f>
        <v>0</v>
      </c>
      <c r="F307" s="4">
        <f>IF(OR(INDEX($AH$2:$AH$1001,MATCH(ROWS($AG$2:AG307),$AG$2:$AG$1001,0),1)&gt;=100000,INDEX($AN$1005:$BO$1005,1,MATCH(COLUMNS($AN$1006:AR1006),$AN$1006:$BO$1006,0))&gt;=100000), " ",IF(INDEX($AN$2:$BO$1001,MATCH(ROWS($AG$2:AG307),$AG$2:$AG$1001,0),MATCH(COLUMNS($AN$1006:AR1006),$AN$1006:$BO$1006,0)), HYPERLINK("#",""), HYPERLINK(CONCATENATE("#Metadata!", ADDRESS(INDEX($AI$2:$AI$1001,MATCH(ROWS($AG$2:AG307),$AG$2:$AG$1001,0),0), INDEX($AN$1004:$BO$1004,1,MATCH(COLUMNS($AN$1006:AR1006),$AN$1006:$BO$1006,0)))),"Fix")))</f>
        <v>0</v>
      </c>
      <c r="G307" s="4">
        <f>IF(OR(INDEX($AH$2:$AH$1001,MATCH(ROWS($AG$2:AG307),$AG$2:$AG$1001,0),1)&gt;=100000,INDEX($AN$1005:$BO$1005,1,MATCH(COLUMNS($AN$1006:AS1006),$AN$1006:$BO$1006,0))&gt;=100000), " ",IF(INDEX($AN$2:$BO$1001,MATCH(ROWS($AG$2:AG307),$AG$2:$AG$1001,0),MATCH(COLUMNS($AN$1006:AS1006),$AN$1006:$BO$1006,0)), HYPERLINK("#",""), HYPERLINK(CONCATENATE("#Metadata!", ADDRESS(INDEX($AI$2:$AI$1001,MATCH(ROWS($AG$2:AG307),$AG$2:$AG$1001,0),0), INDEX($AN$1004:$BO$1004,1,MATCH(COLUMNS($AN$1006:AS1006),$AN$1006:$BO$1006,0)))),"Fix")))</f>
        <v>0</v>
      </c>
      <c r="H307" s="4">
        <f>IF(OR(INDEX($AH$2:$AH$1001,MATCH(ROWS($AG$2:AG307),$AG$2:$AG$1001,0),1)&gt;=100000,INDEX($AN$1005:$BO$1005,1,MATCH(COLUMNS($AN$1006:AT1006),$AN$1006:$BO$1006,0))&gt;=100000), " ",IF(INDEX($AN$2:$BO$1001,MATCH(ROWS($AG$2:AG307),$AG$2:$AG$1001,0),MATCH(COLUMNS($AN$1006:AT1006),$AN$1006:$BO$1006,0)), HYPERLINK("#",""), HYPERLINK(CONCATENATE("#Metadata!", ADDRESS(INDEX($AI$2:$AI$1001,MATCH(ROWS($AG$2:AG307),$AG$2:$AG$1001,0),0), INDEX($AN$1004:$BO$1004,1,MATCH(COLUMNS($AN$1006:AT1006),$AN$1006:$BO$1006,0)))),"Fix")))</f>
        <v>0</v>
      </c>
      <c r="I307" s="4">
        <f>IF(OR(INDEX($AH$2:$AH$1001,MATCH(ROWS($AG$2:AG307),$AG$2:$AG$1001,0),1)&gt;=100000,INDEX($AN$1005:$BO$1005,1,MATCH(COLUMNS($AN$1006:AU1006),$AN$1006:$BO$1006,0))&gt;=100000), " ",IF(INDEX($AN$2:$BO$1001,MATCH(ROWS($AG$2:AG307),$AG$2:$AG$1001,0),MATCH(COLUMNS($AN$1006:AU1006),$AN$1006:$BO$1006,0)), HYPERLINK("#",""), HYPERLINK(CONCATENATE("#Metadata!", ADDRESS(INDEX($AI$2:$AI$1001,MATCH(ROWS($AG$2:AG307),$AG$2:$AG$1001,0),0), INDEX($AN$1004:$BO$1004,1,MATCH(COLUMNS($AN$1006:AU1006),$AN$1006:$BO$1006,0)))),"Fix")))</f>
        <v>0</v>
      </c>
      <c r="J307" s="4">
        <f>IF(OR(INDEX($AH$2:$AH$1001,MATCH(ROWS($AG$2:AG307),$AG$2:$AG$1001,0),1)&gt;=100000,INDEX($AN$1005:$BO$1005,1,MATCH(COLUMNS($AN$1006:AV1006),$AN$1006:$BO$1006,0))&gt;=100000), " ",IF(INDEX($AN$2:$BO$1001,MATCH(ROWS($AG$2:AG307),$AG$2:$AG$1001,0),MATCH(COLUMNS($AN$1006:AV1006),$AN$1006:$BO$1006,0)), HYPERLINK("#",""), HYPERLINK(CONCATENATE("#Metadata!", ADDRESS(INDEX($AI$2:$AI$1001,MATCH(ROWS($AG$2:AG307),$AG$2:$AG$1001,0),0), INDEX($AN$1004:$BO$1004,1,MATCH(COLUMNS($AN$1006:AV1006),$AN$1006:$BO$1006,0)))),"Fix")))</f>
        <v>0</v>
      </c>
      <c r="K307" s="4">
        <f>IF(OR(INDEX($AH$2:$AH$1001,MATCH(ROWS($AG$2:AG307),$AG$2:$AG$1001,0),1)&gt;=100000,INDEX($AN$1005:$BO$1005,1,MATCH(COLUMNS($AN$1006:AW1006),$AN$1006:$BO$1006,0))&gt;=100000), " ",IF(INDEX($AN$2:$BO$1001,MATCH(ROWS($AG$2:AG307),$AG$2:$AG$1001,0),MATCH(COLUMNS($AN$1006:AW1006),$AN$1006:$BO$1006,0)), HYPERLINK("#",""), HYPERLINK(CONCATENATE("#Metadata!", ADDRESS(INDEX($AI$2:$AI$1001,MATCH(ROWS($AG$2:AG307),$AG$2:$AG$1001,0),0), INDEX($AN$1004:$BO$1004,1,MATCH(COLUMNS($AN$1006:AW1006),$AN$1006:$BO$1006,0)))),"Fix")))</f>
        <v>0</v>
      </c>
      <c r="L307" s="4">
        <f>IF(OR(INDEX($AH$2:$AH$1001,MATCH(ROWS($AG$2:AG307),$AG$2:$AG$1001,0),1)&gt;=100000,INDEX($AN$1005:$BO$1005,1,MATCH(COLUMNS($AN$1006:AX1006),$AN$1006:$BO$1006,0))&gt;=100000), " ",IF(INDEX($AN$2:$BO$1001,MATCH(ROWS($AG$2:AG307),$AG$2:$AG$1001,0),MATCH(COLUMNS($AN$1006:AX1006),$AN$1006:$BO$1006,0)), HYPERLINK("#",""), HYPERLINK(CONCATENATE("#Metadata!", ADDRESS(INDEX($AI$2:$AI$1001,MATCH(ROWS($AG$2:AG307),$AG$2:$AG$1001,0),0), INDEX($AN$1004:$BO$1004,1,MATCH(COLUMNS($AN$1006:AX1006),$AN$1006:$BO$1006,0)))),"Fix")))</f>
        <v>0</v>
      </c>
      <c r="M307" s="4">
        <f>IF(OR(INDEX($AH$2:$AH$1001,MATCH(ROWS($AG$2:AG307),$AG$2:$AG$1001,0),1)&gt;=100000,INDEX($AN$1005:$BO$1005,1,MATCH(COLUMNS($AN$1006:AY1006),$AN$1006:$BO$1006,0))&gt;=100000), " ",IF(INDEX($AN$2:$BO$1001,MATCH(ROWS($AG$2:AG307),$AG$2:$AG$1001,0),MATCH(COLUMNS($AN$1006:AY1006),$AN$1006:$BO$1006,0)), HYPERLINK("#",""), HYPERLINK(CONCATENATE("#Metadata!", ADDRESS(INDEX($AI$2:$AI$1001,MATCH(ROWS($AG$2:AG307),$AG$2:$AG$1001,0),0), INDEX($AN$1004:$BO$1004,1,MATCH(COLUMNS($AN$1006:AY1006),$AN$1006:$BO$1006,0)))),"Fix")))</f>
        <v>0</v>
      </c>
      <c r="N307" s="4">
        <f>IF(OR(INDEX($AH$2:$AH$1001,MATCH(ROWS($AG$2:AG307),$AG$2:$AG$1001,0),1)&gt;=100000,INDEX($AN$1005:$BO$1005,1,MATCH(COLUMNS($AN$1006:AZ1006),$AN$1006:$BO$1006,0))&gt;=100000), " ",IF(INDEX($AN$2:$BO$1001,MATCH(ROWS($AG$2:AG307),$AG$2:$AG$1001,0),MATCH(COLUMNS($AN$1006:AZ1006),$AN$1006:$BO$1006,0)), HYPERLINK("#",""), HYPERLINK(CONCATENATE("#Metadata!", ADDRESS(INDEX($AI$2:$AI$1001,MATCH(ROWS($AG$2:AG307),$AG$2:$AG$1001,0),0), INDEX($AN$1004:$BO$1004,1,MATCH(COLUMNS($AN$1006:AZ1006),$AN$1006:$BO$1006,0)))),"Fix")))</f>
        <v>0</v>
      </c>
      <c r="O307" s="4">
        <f>IF(OR(INDEX($AH$2:$AH$1001,MATCH(ROWS($AG$2:AG307),$AG$2:$AG$1001,0),1)&gt;=100000,INDEX($AN$1005:$BO$1005,1,MATCH(COLUMNS($AN$1006:BA1006),$AN$1006:$BO$1006,0))&gt;=100000), " ",IF(INDEX($AN$2:$BO$1001,MATCH(ROWS($AG$2:AG307),$AG$2:$AG$1001,0),MATCH(COLUMNS($AN$1006:BA1006),$AN$1006:$BO$1006,0)), HYPERLINK("#",""), HYPERLINK(CONCATENATE("#Metadata!", ADDRESS(INDEX($AI$2:$AI$1001,MATCH(ROWS($AG$2:AG307),$AG$2:$AG$1001,0),0), INDEX($AN$1004:$BO$1004,1,MATCH(COLUMNS($AN$1006:BA1006),$AN$1006:$BO$1006,0)))),"Fix")))</f>
        <v>0</v>
      </c>
      <c r="P307" s="4">
        <f>IF(OR(INDEX($AH$2:$AH$1001,MATCH(ROWS($AG$2:AG307),$AG$2:$AG$1001,0),1)&gt;=100000,INDEX($AN$1005:$BO$1005,1,MATCH(COLUMNS($AN$1006:BB1006),$AN$1006:$BO$1006,0))&gt;=100000), " ",IF(INDEX($AN$2:$BO$1001,MATCH(ROWS($AG$2:AG307),$AG$2:$AG$1001,0),MATCH(COLUMNS($AN$1006:BB1006),$AN$1006:$BO$1006,0)), HYPERLINK("#",""), HYPERLINK(CONCATENATE("#Metadata!", ADDRESS(INDEX($AI$2:$AI$1001,MATCH(ROWS($AG$2:AG307),$AG$2:$AG$1001,0),0), INDEX($AN$1004:$BO$1004,1,MATCH(COLUMNS($AN$1006:BB1006),$AN$1006:$BO$1006,0)))),"Fix")))</f>
        <v>0</v>
      </c>
      <c r="Q307" s="4">
        <f>IF(OR(INDEX($AH$2:$AH$1001,MATCH(ROWS($AG$2:AG307),$AG$2:$AG$1001,0),1)&gt;=100000,INDEX($AN$1005:$BO$1005,1,MATCH(COLUMNS($AN$1006:BC1006),$AN$1006:$BO$1006,0))&gt;=100000), " ",IF(INDEX($AN$2:$BO$1001,MATCH(ROWS($AG$2:AG307),$AG$2:$AG$1001,0),MATCH(COLUMNS($AN$1006:BC1006),$AN$1006:$BO$1006,0)), HYPERLINK("#",""), HYPERLINK(CONCATENATE("#Metadata!", ADDRESS(INDEX($AI$2:$AI$1001,MATCH(ROWS($AG$2:AG307),$AG$2:$AG$1001,0),0), INDEX($AN$1004:$BO$1004,1,MATCH(COLUMNS($AN$1006:BC1006),$AN$1006:$BO$1006,0)))),"Fix")))</f>
        <v>0</v>
      </c>
      <c r="R307" s="4">
        <f>IF(OR(INDEX($AH$2:$AH$1001,MATCH(ROWS($AG$2:AG307),$AG$2:$AG$1001,0),1)&gt;=100000,INDEX($AN$1005:$BO$1005,1,MATCH(COLUMNS($AN$1006:BD1006),$AN$1006:$BO$1006,0))&gt;=100000), " ",IF(INDEX($AN$2:$BO$1001,MATCH(ROWS($AG$2:AG307),$AG$2:$AG$1001,0),MATCH(COLUMNS($AN$1006:BD1006),$AN$1006:$BO$1006,0)), HYPERLINK("#",""), HYPERLINK(CONCATENATE("#Metadata!", ADDRESS(INDEX($AI$2:$AI$1001,MATCH(ROWS($AG$2:AG307),$AG$2:$AG$1001,0),0), INDEX($AN$1004:$BO$1004,1,MATCH(COLUMNS($AN$1006:BD1006),$AN$1006:$BO$1006,0)))),"Fix")))</f>
        <v>0</v>
      </c>
      <c r="S307" s="4">
        <f>IF(OR(INDEX($AH$2:$AH$1001,MATCH(ROWS($AG$2:AG307),$AG$2:$AG$1001,0),1)&gt;=100000,INDEX($AN$1005:$BO$1005,1,MATCH(COLUMNS($AN$1006:BE1006),$AN$1006:$BO$1006,0))&gt;=100000), " ",IF(INDEX($AN$2:$BO$1001,MATCH(ROWS($AG$2:AG307),$AG$2:$AG$1001,0),MATCH(COLUMNS($AN$1006:BE1006),$AN$1006:$BO$1006,0)), HYPERLINK("#",""), HYPERLINK(CONCATENATE("#Metadata!", ADDRESS(INDEX($AI$2:$AI$1001,MATCH(ROWS($AG$2:AG307),$AG$2:$AG$1001,0),0), INDEX($AN$1004:$BO$1004,1,MATCH(COLUMNS($AN$1006:BE1006),$AN$1006:$BO$1006,0)))),"Fix")))</f>
        <v>0</v>
      </c>
      <c r="T307" s="4">
        <f>IF(OR(INDEX($AH$2:$AH$1001,MATCH(ROWS($AG$2:AG307),$AG$2:$AG$1001,0),1)&gt;=100000,INDEX($AN$1005:$BO$1005,1,MATCH(COLUMNS($AN$1006:BF1006),$AN$1006:$BO$1006,0))&gt;=100000), " ",IF(INDEX($AN$2:$BO$1001,MATCH(ROWS($AG$2:AG307),$AG$2:$AG$1001,0),MATCH(COLUMNS($AN$1006:BF1006),$AN$1006:$BO$1006,0)), HYPERLINK("#",""), HYPERLINK(CONCATENATE("#Metadata!", ADDRESS(INDEX($AI$2:$AI$1001,MATCH(ROWS($AG$2:AG307),$AG$2:$AG$1001,0),0), INDEX($AN$1004:$BO$1004,1,MATCH(COLUMNS($AN$1006:BF1006),$AN$1006:$BO$1006,0)))),"Fix")))</f>
        <v>0</v>
      </c>
      <c r="U307" s="4">
        <f>IF(OR(INDEX($AH$2:$AH$1001,MATCH(ROWS($AG$2:AG307),$AG$2:$AG$1001,0),1)&gt;=100000,INDEX($AN$1005:$BO$1005,1,MATCH(COLUMNS($AN$1006:BG1006),$AN$1006:$BO$1006,0))&gt;=100000), " ",IF(INDEX($AN$2:$BO$1001,MATCH(ROWS($AG$2:AG307),$AG$2:$AG$1001,0),MATCH(COLUMNS($AN$1006:BG1006),$AN$1006:$BO$1006,0)), HYPERLINK("#",""), HYPERLINK(CONCATENATE("#Metadata!", ADDRESS(INDEX($AI$2:$AI$1001,MATCH(ROWS($AG$2:AG307),$AG$2:$AG$1001,0),0), INDEX($AN$1004:$BO$1004,1,MATCH(COLUMNS($AN$1006:BG1006),$AN$1006:$BO$1006,0)))),"Fix")))</f>
        <v>0</v>
      </c>
      <c r="V307" s="4">
        <f>IF(OR(INDEX($AH$2:$AH$1001,MATCH(ROWS($AG$2:AG307),$AG$2:$AG$1001,0),1)&gt;=100000,INDEX($AN$1005:$BO$1005,1,MATCH(COLUMNS($AN$1006:BH1006),$AN$1006:$BO$1006,0))&gt;=100000), " ",IF(INDEX($AN$2:$BO$1001,MATCH(ROWS($AG$2:AG307),$AG$2:$AG$1001,0),MATCH(COLUMNS($AN$1006:BH1006),$AN$1006:$BO$1006,0)), HYPERLINK("#",""), HYPERLINK(CONCATENATE("#Metadata!", ADDRESS(INDEX($AI$2:$AI$1001,MATCH(ROWS($AG$2:AG307),$AG$2:$AG$1001,0),0), INDEX($AN$1004:$BO$1004,1,MATCH(COLUMNS($AN$1006:BH1006),$AN$1006:$BO$1006,0)))),"Fix")))</f>
        <v>0</v>
      </c>
      <c r="W307" s="4">
        <f>IF(OR(INDEX($AH$2:$AH$1001,MATCH(ROWS($AG$2:AG307),$AG$2:$AG$1001,0),1)&gt;=100000,INDEX($AN$1005:$BO$1005,1,MATCH(COLUMNS($AN$1006:BI1006),$AN$1006:$BO$1006,0))&gt;=100000), " ",IF(INDEX($AN$2:$BO$1001,MATCH(ROWS($AG$2:AG307),$AG$2:$AG$1001,0),MATCH(COLUMNS($AN$1006:BI1006),$AN$1006:$BO$1006,0)), HYPERLINK("#",""), HYPERLINK(CONCATENATE("#Metadata!", ADDRESS(INDEX($AI$2:$AI$1001,MATCH(ROWS($AG$2:AG307),$AG$2:$AG$1001,0),0), INDEX($AN$1004:$BO$1004,1,MATCH(COLUMNS($AN$1006:BI1006),$AN$1006:$BO$1006,0)))),"Fix")))</f>
        <v>0</v>
      </c>
      <c r="X307" s="4">
        <f>IF(OR(INDEX($AH$2:$AH$1001,MATCH(ROWS($AG$2:AG307),$AG$2:$AG$1001,0),1)&gt;=100000,INDEX($AN$1005:$BO$1005,1,MATCH(COLUMNS($AN$1006:BJ1006),$AN$1006:$BO$1006,0))&gt;=100000), " ",IF(INDEX($AN$2:$BO$1001,MATCH(ROWS($AG$2:AG307),$AG$2:$AG$1001,0),MATCH(COLUMNS($AN$1006:BJ1006),$AN$1006:$BO$1006,0)), HYPERLINK("#",""), HYPERLINK(CONCATENATE("#Metadata!", ADDRESS(INDEX($AI$2:$AI$1001,MATCH(ROWS($AG$2:AG307),$AG$2:$AG$1001,0),0), INDEX($AN$1004:$BO$1004,1,MATCH(COLUMNS($AN$1006:BJ1006),$AN$1006:$BO$1006,0)))),"Fix")))</f>
        <v>0</v>
      </c>
      <c r="Y307" s="4">
        <f>IF(OR(INDEX($AH$2:$AH$1001,MATCH(ROWS($AG$2:AG307),$AG$2:$AG$1001,0),1)&gt;=100000,INDEX($AN$1005:$BO$1005,1,MATCH(COLUMNS($AN$1006:BK1006),$AN$1006:$BO$1006,0))&gt;=100000), " ",IF(INDEX($AN$2:$BO$1001,MATCH(ROWS($AG$2:AG307),$AG$2:$AG$1001,0),MATCH(COLUMNS($AN$1006:BK1006),$AN$1006:$BO$1006,0)), HYPERLINK("#",""), HYPERLINK(CONCATENATE("#Metadata!", ADDRESS(INDEX($AI$2:$AI$1001,MATCH(ROWS($AG$2:AG307),$AG$2:$AG$1001,0),0), INDEX($AN$1004:$BO$1004,1,MATCH(COLUMNS($AN$1006:BK1006),$AN$1006:$BO$1006,0)))),"Fix")))</f>
        <v>0</v>
      </c>
      <c r="Z307" s="4">
        <f>IF(OR(INDEX($AH$2:$AH$1001,MATCH(ROWS($AG$2:AG307),$AG$2:$AG$1001,0),1)&gt;=100000,INDEX($AN$1005:$BO$1005,1,MATCH(COLUMNS($AN$1006:BL1006),$AN$1006:$BO$1006,0))&gt;=100000), " ",IF(INDEX($AN$2:$BO$1001,MATCH(ROWS($AG$2:AG307),$AG$2:$AG$1001,0),MATCH(COLUMNS($AN$1006:BL1006),$AN$1006:$BO$1006,0)), HYPERLINK("#",""), HYPERLINK(CONCATENATE("#Metadata!", ADDRESS(INDEX($AI$2:$AI$1001,MATCH(ROWS($AG$2:AG307),$AG$2:$AG$1001,0),0), INDEX($AN$1004:$BO$1004,1,MATCH(COLUMNS($AN$1006:BL1006),$AN$1006:$BO$1006,0)))),"Fix")))</f>
        <v>0</v>
      </c>
      <c r="AA307" s="4">
        <f>IF(OR(INDEX($AH$2:$AH$1001,MATCH(ROWS($AG$2:AG307),$AG$2:$AG$1001,0),1)&gt;=100000,INDEX($AN$1005:$BO$1005,1,MATCH(COLUMNS($AN$1006:BM1006),$AN$1006:$BO$1006,0))&gt;=100000), " ",IF(INDEX($AN$2:$BO$1001,MATCH(ROWS($AG$2:AG307),$AG$2:$AG$1001,0),MATCH(COLUMNS($AN$1006:BM1006),$AN$1006:$BO$1006,0)), HYPERLINK("#",""), HYPERLINK(CONCATENATE("#Metadata!", ADDRESS(INDEX($AI$2:$AI$1001,MATCH(ROWS($AG$2:AG307),$AG$2:$AG$1001,0),0), INDEX($AN$1004:$BO$1004,1,MATCH(COLUMNS($AN$1006:BM1006),$AN$1006:$BO$1006,0)))),"Fix")))</f>
        <v>0</v>
      </c>
      <c r="AB307" s="4">
        <f>IF(OR(INDEX($AH$2:$AH$1001,MATCH(ROWS($AG$2:AG307),$AG$2:$AG$1001,0),1)&gt;=100000,INDEX($AN$1005:$BO$1005,1,MATCH(COLUMNS($AN$1006:BN1006),$AN$1006:$BO$1006,0))&gt;=100000), " ",IF(INDEX($AN$2:$BO$1001,MATCH(ROWS($AG$2:AG307),$AG$2:$AG$1001,0),MATCH(COLUMNS($AN$1006:BN1006),$AN$1006:$BO$1006,0)), HYPERLINK("#",""), HYPERLINK(CONCATENATE("#Metadata!", ADDRESS(INDEX($AI$2:$AI$1001,MATCH(ROWS($AG$2:AG307),$AG$2:$AG$1001,0),0), INDEX($AN$1004:$BO$1004,1,MATCH(COLUMNS($AN$1006:BN1006),$AN$1006:$BO$1006,0)))),"Fix")))</f>
        <v>0</v>
      </c>
      <c r="AC307" s="4">
        <f>IF(OR(INDEX($AH$2:$AH$1001,MATCH(ROWS($AG$2:AG307),$AG$2:$AG$1001,0),1)&gt;=100000,INDEX($AN$1005:$BO$1005,1,MATCH(COLUMNS($AN$1006:BO1006),$AN$1006:$BO$1006,0))&gt;=100000), " ",IF(INDEX($AN$2:$BO$1001,MATCH(ROWS($AG$2:AG307),$AG$2:$AG$1001,0),MATCH(COLUMNS($AN$1006:BO1006),$AN$1006:$BO$1006,0)), HYPERLINK("#",""), HYPERLINK(CONCATENATE("#Metadata!", ADDRESS(INDEX($AI$2:$AI$1001,MATCH(ROWS($AG$2:AG307),$AG$2:$AG$1001,0),0), INDEX($AN$1004:$BO$1004,1,MATCH(COLUMNS($AN$1006:BO1006),$AN$1006:$BO$1006,0)))),"Fix")))</f>
        <v>0</v>
      </c>
      <c r="AG307">
        <v>0</v>
      </c>
      <c r="AH307">
        <v>0</v>
      </c>
      <c r="AI307">
        <v>0</v>
      </c>
      <c r="AJ307">
        <f>IF(AK307,TRUE,AND(AN307:BO307))</f>
        <v>0</v>
      </c>
      <c r="AK307">
        <f>COUNTBLANK(Metadata!B307:AC307)=COLUMNS(Metadata!B307:AC307)</f>
        <v>0</v>
      </c>
      <c r="AL307">
        <v>0</v>
      </c>
      <c r="AN307">
        <f>AND(IF(Metadata!B307="",FALSE,TRUE),COUNTIF(Metadata!B:B, Metadata!B307) = 1,NOT(ISERROR(SUMPRODUCT(SEARCH(MID(Metadata!B307,ROW(INDIRECT("1:"&amp;LEN(Metadata!B307))), 1),"0123456789abcdefghijklmnopqrstuvwxyzABCDEFGHIJKLMNOPQRSTUVWXYZ.")))))</f>
        <v>0</v>
      </c>
      <c r="AO307">
        <f>IF(Metadata!C307="",FALSE,TRUE)</f>
        <v>0</v>
      </c>
      <c r="AP307">
        <f>IF(Metadata!D307="",FALSE,TRUE)</f>
        <v>0</v>
      </c>
      <c r="AQ307">
        <f>OR(AND(IF(Metadata!E307="",FALSE,TRUE),OR(exact(Metadata!E307,"not collected"),exact(Metadata!E307,"not provided"),exact(Metadata!E307,"restricted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R307">
        <f>IF(Metadata!F307="",FALSE,TRUE)</f>
        <v>0</v>
      </c>
      <c r="AS307">
        <f>OR(AND(IF(Metadata!G307="",FALSE,TRUE),OR(exact(Metadata!G307,"not collected"),exact(Metadata!G307,"not provided"))),AND(IF(Metadata!G307="",FALSE,TRUE),OR(exact(Metadata!G307,"TRUE"),exact(Metadata!G307,"FALSE"))))</f>
        <v>0</v>
      </c>
      <c r="AT307">
        <f>OR(AND(IF(Metadata!H307="",FALSE,TRUE),OR(exact(Metadata!H307,"not collected"),exact(Metadata!H307,"not provided"),exact(Metadata!H307,"restricted access"))),AND(IF(Metadata!H307="",FALSE,ISNUMBER(VALUE(Metadata!H307))),Metadata!H307&gt;=-413.0))</f>
        <v>0</v>
      </c>
      <c r="AU307">
        <f>AND(IF(Metadata!I307="",FALSE,TRUE),exact(Metadata!I307,"meters"))</f>
        <v>0</v>
      </c>
      <c r="AV307">
        <f>AND(IF(Metadata!J307="",FALSE,TRUE),OR(exact(Metadata!J307,"Host-associated"),exact(Metadata!J307,"Free-living")))</f>
        <v>0</v>
      </c>
      <c r="AW307">
        <f>AND(IF(Metadata!K307="",FALSE,TRUE),OR(exact(Metadata!K307,"Animal"),exact(Metadata!K307,"Fungus"),exact(Metadata!K307,"Plant"),exact(Metadata!K307,"Saline"),exact(Metadata!K307,"Non-saline")))</f>
        <v>0</v>
      </c>
      <c r="AX307">
        <f>AND(IF(Metadata!L307="",FALSE,TRUE),OR(exact(Metadata!L307,"Plant secretion"),exact(Metadata!L307,"Plant rhizosphere"),exact(Metadata!L307,"Plant surface"),exact(Metadata!L307,"Plant corpus"),exact(Metadata!L307,"Fungus surface"),exact(Metadata!L307,"Fungus corpus"),exact(Metadata!L307,"Animal surface"),exact(Metadata!L307,"Animal proximal gut"),exact(Metadata!L307,"Animal corpus"),exact(Metadata!L307,"Animal distal gut"),exact(Metadata!L307,"Animal secretion"),exact(Metadata!L307,"Sub-surface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Y307">
        <f>IF(Metadata!M307="",FALSE,TRUE)</f>
        <v>0</v>
      </c>
      <c r="AZ307">
        <f>IF(Metadata!N307="",FALSE,TRUE)</f>
        <v>0</v>
      </c>
      <c r="BA307">
        <f>IF(Metadata!O307="",FALSE,TRUE)</f>
        <v>0</v>
      </c>
      <c r="BB307">
        <f>OR(AND(IF(Metadata!P307="",FALSE,TRUE),OR(exact(Metadata!P307,"not collected"),exact(Metadata!P307,"not provided"),exact(Metadata!P307,"restricted access"))),AND(IF(Metadata!P307="",FALSE,TRUE),OR(exact(Metadata!P307,"air"),exact(Metadata!P307,"built environment"),exact(Metadata!P307,"host-associated"),exact(Metadata!P307,"human-associated"),exact(Metadata!P307,"human-skin"),exact(Metadata!P307,"human-oral"),exact(Metadata!P307,"human-gut"),exact(Metadata!P307,"human-vaginal"),exact(Metadata!P307,"microbial mat/biofilm"),exact(Metadata!P307,"misc environment"),exact(Metadata!P307,"plant-associated"),exact(Metadata!P307,"sediment"),exact(Metadata!P307,"soil"),exact(Metadata!P307,"wastewater/sludge"),exact(Metadata!P307,"water"))))</f>
        <v>0</v>
      </c>
      <c r="BC307">
        <f>IF(Metadata!Q307="",FALSE,TRUE)</f>
        <v>0</v>
      </c>
      <c r="BD307">
        <f>IF(Metadata!R307="",FALSE,TRUE)</f>
        <v>0</v>
      </c>
      <c r="BE307">
        <f>OR(AND(IF(Metadata!S307="",FALSE,TRUE),OR(exact(Metadata!S307,"not collected"),exact(Metadata!S307,"not provided"),exact(Metadata!S307,"restricted access"))),AND(IF(Metadata!S307="",FALSE,ISNUMBER(VALUE(Metadata!S307))),Metadata!S307&gt;=-90.00,Metadata!S307&lt;=90.00))</f>
        <v>0</v>
      </c>
      <c r="BF307">
        <f>AND(IF(Metadata!T307="",FALSE,TRUE),exact(Metadata!T307,"Decimal degrees"))</f>
        <v>0</v>
      </c>
      <c r="BG307">
        <f>OR(AND(IF(Metadata!U307="",FALSE,TRUE),OR(exact(Metadata!U307,"not collected"),exact(Metadata!U307,"not provided"),exact(Metadata!U307,"restricted access"))),AND(IF(Metadata!U307="",FALSE,ISNUMBER(VALUE(Metadata!U307))),Metadata!U307&gt;=-180.00,Metadata!U307&lt;=180.00))</f>
        <v>0</v>
      </c>
      <c r="BH307">
        <f>AND(IF(Metadata!V307="",FALSE,TRUE),exact(Metadata!V307,"Decimal degrees"))</f>
        <v>0</v>
      </c>
      <c r="BI307">
        <f>IF(Metadata!W307="",FALSE,TRUE)</f>
        <v>0</v>
      </c>
      <c r="BJ307">
        <f>OR(AND(IF(Metadata!X307="",FALSE,TRUE),OR(exact(Metadata!X307,"not collected"),exact(Metadata!X307,"not provided"),exact(Metadata!X307,"restricted access"))),AND(IF(Metadata!X307="",FALSE,TRUE),OR(exact(Metadata!X307,"TRUE"),exact(Metadata!X307,"FALSE"))))</f>
        <v>0</v>
      </c>
      <c r="BK307">
        <f>AND(IF(Metadata!Y307="",FALSE,TRUE),exact(Metadata!Y307,"other"))</f>
        <v>0</v>
      </c>
      <c r="BL307">
        <f>IF(Metadata!Z307="",FALSE,TRUE)</f>
        <v>0</v>
      </c>
      <c r="BM307">
        <f>OR(AND(IF(Metadata!AA307="",FALSE,TRUE),OR(exact(Metadata!AA307,"not collected"),exact(Metadata!AA307,"not provided"))),AND(IF(Metadata!AA307="",FALSE,IF(ISERROR(INT(Metadata!AA307)),FALSE,INT(Metadata!AA307)=Metadata!AA307)),Metadata!AA307&gt;0))</f>
        <v>0</v>
      </c>
      <c r="BN307">
        <f>AND(IF(Metadata!AB307="",FALSE,TRUE),exact(Metadata!AB307,"Not applicable"))</f>
        <v>0</v>
      </c>
      <c r="BO307">
        <f>IF(Metadata!AC307="",FALSE,TRUE)</f>
        <v>0</v>
      </c>
    </row>
    <row r="308" spans="1:67">
      <c r="A308" s="5">
        <f>IF(B308=" "," ",HYPERLINK(CONCATENATE("#metadata!",ADDRESS(INDEX($AI$2:$AI$1001,MATCH(ROWS($AG$2:AG308),$AG$2:$AG$1001,0),0),1)),INDEX($AL$2:$AL$1001,MATCH(ROWS($AG$2:AG308),$AG$2:$AG$1001,0),0)))</f>
        <v>0</v>
      </c>
      <c r="B308" s="4">
        <f>IF(OR(INDEX($AH$2:$AH$1001,MATCH(ROWS($AG$2:AG308),$AG$2:$AG$1001,0),1)&gt;=100000,INDEX($AN$1005:$BO$1005,1,MATCH(COLUMNS($AN$1006:AN1006),$AN$1006:$BO$1006,0))&gt;=100000), " ",IF(INDEX($AN$2:$BO$1001,MATCH(ROWS($AG$2:AG308),$AG$2:$AG$1001,0),MATCH(COLUMNS($AN$1006:AN1006),$AN$1006:$BO$1006,0)), HYPERLINK("#",""), HYPERLINK(CONCATENATE("#Metadata!", ADDRESS(INDEX($AI$2:$AI$1001,MATCH(ROWS($AG$2:AG308),$AG$2:$AG$1001,0),0), INDEX($AN$1004:$BO$1004,1,MATCH(COLUMNS($AN$1006:AN1006),$AN$1006:$BO$1006,0)))),"Fix")))</f>
        <v>0</v>
      </c>
      <c r="C308" s="4">
        <f>IF(OR(INDEX($AH$2:$AH$1001,MATCH(ROWS($AG$2:AG308),$AG$2:$AG$1001,0),1)&gt;=100000,INDEX($AN$1005:$BO$1005,1,MATCH(COLUMNS($AN$1006:AO1006),$AN$1006:$BO$1006,0))&gt;=100000), " ",IF(INDEX($AN$2:$BO$1001,MATCH(ROWS($AG$2:AG308),$AG$2:$AG$1001,0),MATCH(COLUMNS($AN$1006:AO1006),$AN$1006:$BO$1006,0)), HYPERLINK("#",""), HYPERLINK(CONCATENATE("#Metadata!", ADDRESS(INDEX($AI$2:$AI$1001,MATCH(ROWS($AG$2:AG308),$AG$2:$AG$1001,0),0), INDEX($AN$1004:$BO$1004,1,MATCH(COLUMNS($AN$1006:AO1006),$AN$1006:$BO$1006,0)))),"Fix")))</f>
        <v>0</v>
      </c>
      <c r="D308" s="4">
        <f>IF(OR(INDEX($AH$2:$AH$1001,MATCH(ROWS($AG$2:AG308),$AG$2:$AG$1001,0),1)&gt;=100000,INDEX($AN$1005:$BO$1005,1,MATCH(COLUMNS($AN$1006:AP1006),$AN$1006:$BO$1006,0))&gt;=100000), " ",IF(INDEX($AN$2:$BO$1001,MATCH(ROWS($AG$2:AG308),$AG$2:$AG$1001,0),MATCH(COLUMNS($AN$1006:AP1006),$AN$1006:$BO$1006,0)), HYPERLINK("#",""), HYPERLINK(CONCATENATE("#Metadata!", ADDRESS(INDEX($AI$2:$AI$1001,MATCH(ROWS($AG$2:AG308),$AG$2:$AG$1001,0),0), INDEX($AN$1004:$BO$1004,1,MATCH(COLUMNS($AN$1006:AP1006),$AN$1006:$BO$1006,0)))),"Fix")))</f>
        <v>0</v>
      </c>
      <c r="E308" s="4">
        <f>IF(OR(INDEX($AH$2:$AH$1001,MATCH(ROWS($AG$2:AG308),$AG$2:$AG$1001,0),1)&gt;=100000,INDEX($AN$1005:$BO$1005,1,MATCH(COLUMNS($AN$1006:AQ1006),$AN$1006:$BO$1006,0))&gt;=100000), " ",IF(INDEX($AN$2:$BO$1001,MATCH(ROWS($AG$2:AG308),$AG$2:$AG$1001,0),MATCH(COLUMNS($AN$1006:AQ1006),$AN$1006:$BO$1006,0)), HYPERLINK("#",""), HYPERLINK(CONCATENATE("#Metadata!", ADDRESS(INDEX($AI$2:$AI$1001,MATCH(ROWS($AG$2:AG308),$AG$2:$AG$1001,0),0), INDEX($AN$1004:$BO$1004,1,MATCH(COLUMNS($AN$1006:AQ1006),$AN$1006:$BO$1006,0)))),"Fix")))</f>
        <v>0</v>
      </c>
      <c r="F308" s="4">
        <f>IF(OR(INDEX($AH$2:$AH$1001,MATCH(ROWS($AG$2:AG308),$AG$2:$AG$1001,0),1)&gt;=100000,INDEX($AN$1005:$BO$1005,1,MATCH(COLUMNS($AN$1006:AR1006),$AN$1006:$BO$1006,0))&gt;=100000), " ",IF(INDEX($AN$2:$BO$1001,MATCH(ROWS($AG$2:AG308),$AG$2:$AG$1001,0),MATCH(COLUMNS($AN$1006:AR1006),$AN$1006:$BO$1006,0)), HYPERLINK("#",""), HYPERLINK(CONCATENATE("#Metadata!", ADDRESS(INDEX($AI$2:$AI$1001,MATCH(ROWS($AG$2:AG308),$AG$2:$AG$1001,0),0), INDEX($AN$1004:$BO$1004,1,MATCH(COLUMNS($AN$1006:AR1006),$AN$1006:$BO$1006,0)))),"Fix")))</f>
        <v>0</v>
      </c>
      <c r="G308" s="4">
        <f>IF(OR(INDEX($AH$2:$AH$1001,MATCH(ROWS($AG$2:AG308),$AG$2:$AG$1001,0),1)&gt;=100000,INDEX($AN$1005:$BO$1005,1,MATCH(COLUMNS($AN$1006:AS1006),$AN$1006:$BO$1006,0))&gt;=100000), " ",IF(INDEX($AN$2:$BO$1001,MATCH(ROWS($AG$2:AG308),$AG$2:$AG$1001,0),MATCH(COLUMNS($AN$1006:AS1006),$AN$1006:$BO$1006,0)), HYPERLINK("#",""), HYPERLINK(CONCATENATE("#Metadata!", ADDRESS(INDEX($AI$2:$AI$1001,MATCH(ROWS($AG$2:AG308),$AG$2:$AG$1001,0),0), INDEX($AN$1004:$BO$1004,1,MATCH(COLUMNS($AN$1006:AS1006),$AN$1006:$BO$1006,0)))),"Fix")))</f>
        <v>0</v>
      </c>
      <c r="H308" s="4">
        <f>IF(OR(INDEX($AH$2:$AH$1001,MATCH(ROWS($AG$2:AG308),$AG$2:$AG$1001,0),1)&gt;=100000,INDEX($AN$1005:$BO$1005,1,MATCH(COLUMNS($AN$1006:AT1006),$AN$1006:$BO$1006,0))&gt;=100000), " ",IF(INDEX($AN$2:$BO$1001,MATCH(ROWS($AG$2:AG308),$AG$2:$AG$1001,0),MATCH(COLUMNS($AN$1006:AT1006),$AN$1006:$BO$1006,0)), HYPERLINK("#",""), HYPERLINK(CONCATENATE("#Metadata!", ADDRESS(INDEX($AI$2:$AI$1001,MATCH(ROWS($AG$2:AG308),$AG$2:$AG$1001,0),0), INDEX($AN$1004:$BO$1004,1,MATCH(COLUMNS($AN$1006:AT1006),$AN$1006:$BO$1006,0)))),"Fix")))</f>
        <v>0</v>
      </c>
      <c r="I308" s="4">
        <f>IF(OR(INDEX($AH$2:$AH$1001,MATCH(ROWS($AG$2:AG308),$AG$2:$AG$1001,0),1)&gt;=100000,INDEX($AN$1005:$BO$1005,1,MATCH(COLUMNS($AN$1006:AU1006),$AN$1006:$BO$1006,0))&gt;=100000), " ",IF(INDEX($AN$2:$BO$1001,MATCH(ROWS($AG$2:AG308),$AG$2:$AG$1001,0),MATCH(COLUMNS($AN$1006:AU1006),$AN$1006:$BO$1006,0)), HYPERLINK("#",""), HYPERLINK(CONCATENATE("#Metadata!", ADDRESS(INDEX($AI$2:$AI$1001,MATCH(ROWS($AG$2:AG308),$AG$2:$AG$1001,0),0), INDEX($AN$1004:$BO$1004,1,MATCH(COLUMNS($AN$1006:AU1006),$AN$1006:$BO$1006,0)))),"Fix")))</f>
        <v>0</v>
      </c>
      <c r="J308" s="4">
        <f>IF(OR(INDEX($AH$2:$AH$1001,MATCH(ROWS($AG$2:AG308),$AG$2:$AG$1001,0),1)&gt;=100000,INDEX($AN$1005:$BO$1005,1,MATCH(COLUMNS($AN$1006:AV1006),$AN$1006:$BO$1006,0))&gt;=100000), " ",IF(INDEX($AN$2:$BO$1001,MATCH(ROWS($AG$2:AG308),$AG$2:$AG$1001,0),MATCH(COLUMNS($AN$1006:AV1006),$AN$1006:$BO$1006,0)), HYPERLINK("#",""), HYPERLINK(CONCATENATE("#Metadata!", ADDRESS(INDEX($AI$2:$AI$1001,MATCH(ROWS($AG$2:AG308),$AG$2:$AG$1001,0),0), INDEX($AN$1004:$BO$1004,1,MATCH(COLUMNS($AN$1006:AV1006),$AN$1006:$BO$1006,0)))),"Fix")))</f>
        <v>0</v>
      </c>
      <c r="K308" s="4">
        <f>IF(OR(INDEX($AH$2:$AH$1001,MATCH(ROWS($AG$2:AG308),$AG$2:$AG$1001,0),1)&gt;=100000,INDEX($AN$1005:$BO$1005,1,MATCH(COLUMNS($AN$1006:AW1006),$AN$1006:$BO$1006,0))&gt;=100000), " ",IF(INDEX($AN$2:$BO$1001,MATCH(ROWS($AG$2:AG308),$AG$2:$AG$1001,0),MATCH(COLUMNS($AN$1006:AW1006),$AN$1006:$BO$1006,0)), HYPERLINK("#",""), HYPERLINK(CONCATENATE("#Metadata!", ADDRESS(INDEX($AI$2:$AI$1001,MATCH(ROWS($AG$2:AG308),$AG$2:$AG$1001,0),0), INDEX($AN$1004:$BO$1004,1,MATCH(COLUMNS($AN$1006:AW1006),$AN$1006:$BO$1006,0)))),"Fix")))</f>
        <v>0</v>
      </c>
      <c r="L308" s="4">
        <f>IF(OR(INDEX($AH$2:$AH$1001,MATCH(ROWS($AG$2:AG308),$AG$2:$AG$1001,0),1)&gt;=100000,INDEX($AN$1005:$BO$1005,1,MATCH(COLUMNS($AN$1006:AX1006),$AN$1006:$BO$1006,0))&gt;=100000), " ",IF(INDEX($AN$2:$BO$1001,MATCH(ROWS($AG$2:AG308),$AG$2:$AG$1001,0),MATCH(COLUMNS($AN$1006:AX1006),$AN$1006:$BO$1006,0)), HYPERLINK("#",""), HYPERLINK(CONCATENATE("#Metadata!", ADDRESS(INDEX($AI$2:$AI$1001,MATCH(ROWS($AG$2:AG308),$AG$2:$AG$1001,0),0), INDEX($AN$1004:$BO$1004,1,MATCH(COLUMNS($AN$1006:AX1006),$AN$1006:$BO$1006,0)))),"Fix")))</f>
        <v>0</v>
      </c>
      <c r="M308" s="4">
        <f>IF(OR(INDEX($AH$2:$AH$1001,MATCH(ROWS($AG$2:AG308),$AG$2:$AG$1001,0),1)&gt;=100000,INDEX($AN$1005:$BO$1005,1,MATCH(COLUMNS($AN$1006:AY1006),$AN$1006:$BO$1006,0))&gt;=100000), " ",IF(INDEX($AN$2:$BO$1001,MATCH(ROWS($AG$2:AG308),$AG$2:$AG$1001,0),MATCH(COLUMNS($AN$1006:AY1006),$AN$1006:$BO$1006,0)), HYPERLINK("#",""), HYPERLINK(CONCATENATE("#Metadata!", ADDRESS(INDEX($AI$2:$AI$1001,MATCH(ROWS($AG$2:AG308),$AG$2:$AG$1001,0),0), INDEX($AN$1004:$BO$1004,1,MATCH(COLUMNS($AN$1006:AY1006),$AN$1006:$BO$1006,0)))),"Fix")))</f>
        <v>0</v>
      </c>
      <c r="N308" s="4">
        <f>IF(OR(INDEX($AH$2:$AH$1001,MATCH(ROWS($AG$2:AG308),$AG$2:$AG$1001,0),1)&gt;=100000,INDEX($AN$1005:$BO$1005,1,MATCH(COLUMNS($AN$1006:AZ1006),$AN$1006:$BO$1006,0))&gt;=100000), " ",IF(INDEX($AN$2:$BO$1001,MATCH(ROWS($AG$2:AG308),$AG$2:$AG$1001,0),MATCH(COLUMNS($AN$1006:AZ1006),$AN$1006:$BO$1006,0)), HYPERLINK("#",""), HYPERLINK(CONCATENATE("#Metadata!", ADDRESS(INDEX($AI$2:$AI$1001,MATCH(ROWS($AG$2:AG308),$AG$2:$AG$1001,0),0), INDEX($AN$1004:$BO$1004,1,MATCH(COLUMNS($AN$1006:AZ1006),$AN$1006:$BO$1006,0)))),"Fix")))</f>
        <v>0</v>
      </c>
      <c r="O308" s="4">
        <f>IF(OR(INDEX($AH$2:$AH$1001,MATCH(ROWS($AG$2:AG308),$AG$2:$AG$1001,0),1)&gt;=100000,INDEX($AN$1005:$BO$1005,1,MATCH(COLUMNS($AN$1006:BA1006),$AN$1006:$BO$1006,0))&gt;=100000), " ",IF(INDEX($AN$2:$BO$1001,MATCH(ROWS($AG$2:AG308),$AG$2:$AG$1001,0),MATCH(COLUMNS($AN$1006:BA1006),$AN$1006:$BO$1006,0)), HYPERLINK("#",""), HYPERLINK(CONCATENATE("#Metadata!", ADDRESS(INDEX($AI$2:$AI$1001,MATCH(ROWS($AG$2:AG308),$AG$2:$AG$1001,0),0), INDEX($AN$1004:$BO$1004,1,MATCH(COLUMNS($AN$1006:BA1006),$AN$1006:$BO$1006,0)))),"Fix")))</f>
        <v>0</v>
      </c>
      <c r="P308" s="4">
        <f>IF(OR(INDEX($AH$2:$AH$1001,MATCH(ROWS($AG$2:AG308),$AG$2:$AG$1001,0),1)&gt;=100000,INDEX($AN$1005:$BO$1005,1,MATCH(COLUMNS($AN$1006:BB1006),$AN$1006:$BO$1006,0))&gt;=100000), " ",IF(INDEX($AN$2:$BO$1001,MATCH(ROWS($AG$2:AG308),$AG$2:$AG$1001,0),MATCH(COLUMNS($AN$1006:BB1006),$AN$1006:$BO$1006,0)), HYPERLINK("#",""), HYPERLINK(CONCATENATE("#Metadata!", ADDRESS(INDEX($AI$2:$AI$1001,MATCH(ROWS($AG$2:AG308),$AG$2:$AG$1001,0),0), INDEX($AN$1004:$BO$1004,1,MATCH(COLUMNS($AN$1006:BB1006),$AN$1006:$BO$1006,0)))),"Fix")))</f>
        <v>0</v>
      </c>
      <c r="Q308" s="4">
        <f>IF(OR(INDEX($AH$2:$AH$1001,MATCH(ROWS($AG$2:AG308),$AG$2:$AG$1001,0),1)&gt;=100000,INDEX($AN$1005:$BO$1005,1,MATCH(COLUMNS($AN$1006:BC1006),$AN$1006:$BO$1006,0))&gt;=100000), " ",IF(INDEX($AN$2:$BO$1001,MATCH(ROWS($AG$2:AG308),$AG$2:$AG$1001,0),MATCH(COLUMNS($AN$1006:BC1006),$AN$1006:$BO$1006,0)), HYPERLINK("#",""), HYPERLINK(CONCATENATE("#Metadata!", ADDRESS(INDEX($AI$2:$AI$1001,MATCH(ROWS($AG$2:AG308),$AG$2:$AG$1001,0),0), INDEX($AN$1004:$BO$1004,1,MATCH(COLUMNS($AN$1006:BC1006),$AN$1006:$BO$1006,0)))),"Fix")))</f>
        <v>0</v>
      </c>
      <c r="R308" s="4">
        <f>IF(OR(INDEX($AH$2:$AH$1001,MATCH(ROWS($AG$2:AG308),$AG$2:$AG$1001,0),1)&gt;=100000,INDEX($AN$1005:$BO$1005,1,MATCH(COLUMNS($AN$1006:BD1006),$AN$1006:$BO$1006,0))&gt;=100000), " ",IF(INDEX($AN$2:$BO$1001,MATCH(ROWS($AG$2:AG308),$AG$2:$AG$1001,0),MATCH(COLUMNS($AN$1006:BD1006),$AN$1006:$BO$1006,0)), HYPERLINK("#",""), HYPERLINK(CONCATENATE("#Metadata!", ADDRESS(INDEX($AI$2:$AI$1001,MATCH(ROWS($AG$2:AG308),$AG$2:$AG$1001,0),0), INDEX($AN$1004:$BO$1004,1,MATCH(COLUMNS($AN$1006:BD1006),$AN$1006:$BO$1006,0)))),"Fix")))</f>
        <v>0</v>
      </c>
      <c r="S308" s="4">
        <f>IF(OR(INDEX($AH$2:$AH$1001,MATCH(ROWS($AG$2:AG308),$AG$2:$AG$1001,0),1)&gt;=100000,INDEX($AN$1005:$BO$1005,1,MATCH(COLUMNS($AN$1006:BE1006),$AN$1006:$BO$1006,0))&gt;=100000), " ",IF(INDEX($AN$2:$BO$1001,MATCH(ROWS($AG$2:AG308),$AG$2:$AG$1001,0),MATCH(COLUMNS($AN$1006:BE1006),$AN$1006:$BO$1006,0)), HYPERLINK("#",""), HYPERLINK(CONCATENATE("#Metadata!", ADDRESS(INDEX($AI$2:$AI$1001,MATCH(ROWS($AG$2:AG308),$AG$2:$AG$1001,0),0), INDEX($AN$1004:$BO$1004,1,MATCH(COLUMNS($AN$1006:BE1006),$AN$1006:$BO$1006,0)))),"Fix")))</f>
        <v>0</v>
      </c>
      <c r="T308" s="4">
        <f>IF(OR(INDEX($AH$2:$AH$1001,MATCH(ROWS($AG$2:AG308),$AG$2:$AG$1001,0),1)&gt;=100000,INDEX($AN$1005:$BO$1005,1,MATCH(COLUMNS($AN$1006:BF1006),$AN$1006:$BO$1006,0))&gt;=100000), " ",IF(INDEX($AN$2:$BO$1001,MATCH(ROWS($AG$2:AG308),$AG$2:$AG$1001,0),MATCH(COLUMNS($AN$1006:BF1006),$AN$1006:$BO$1006,0)), HYPERLINK("#",""), HYPERLINK(CONCATENATE("#Metadata!", ADDRESS(INDEX($AI$2:$AI$1001,MATCH(ROWS($AG$2:AG308),$AG$2:$AG$1001,0),0), INDEX($AN$1004:$BO$1004,1,MATCH(COLUMNS($AN$1006:BF1006),$AN$1006:$BO$1006,0)))),"Fix")))</f>
        <v>0</v>
      </c>
      <c r="U308" s="4">
        <f>IF(OR(INDEX($AH$2:$AH$1001,MATCH(ROWS($AG$2:AG308),$AG$2:$AG$1001,0),1)&gt;=100000,INDEX($AN$1005:$BO$1005,1,MATCH(COLUMNS($AN$1006:BG1006),$AN$1006:$BO$1006,0))&gt;=100000), " ",IF(INDEX($AN$2:$BO$1001,MATCH(ROWS($AG$2:AG308),$AG$2:$AG$1001,0),MATCH(COLUMNS($AN$1006:BG1006),$AN$1006:$BO$1006,0)), HYPERLINK("#",""), HYPERLINK(CONCATENATE("#Metadata!", ADDRESS(INDEX($AI$2:$AI$1001,MATCH(ROWS($AG$2:AG308),$AG$2:$AG$1001,0),0), INDEX($AN$1004:$BO$1004,1,MATCH(COLUMNS($AN$1006:BG1006),$AN$1006:$BO$1006,0)))),"Fix")))</f>
        <v>0</v>
      </c>
      <c r="V308" s="4">
        <f>IF(OR(INDEX($AH$2:$AH$1001,MATCH(ROWS($AG$2:AG308),$AG$2:$AG$1001,0),1)&gt;=100000,INDEX($AN$1005:$BO$1005,1,MATCH(COLUMNS($AN$1006:BH1006),$AN$1006:$BO$1006,0))&gt;=100000), " ",IF(INDEX($AN$2:$BO$1001,MATCH(ROWS($AG$2:AG308),$AG$2:$AG$1001,0),MATCH(COLUMNS($AN$1006:BH1006),$AN$1006:$BO$1006,0)), HYPERLINK("#",""), HYPERLINK(CONCATENATE("#Metadata!", ADDRESS(INDEX($AI$2:$AI$1001,MATCH(ROWS($AG$2:AG308),$AG$2:$AG$1001,0),0), INDEX($AN$1004:$BO$1004,1,MATCH(COLUMNS($AN$1006:BH1006),$AN$1006:$BO$1006,0)))),"Fix")))</f>
        <v>0</v>
      </c>
      <c r="W308" s="4">
        <f>IF(OR(INDEX($AH$2:$AH$1001,MATCH(ROWS($AG$2:AG308),$AG$2:$AG$1001,0),1)&gt;=100000,INDEX($AN$1005:$BO$1005,1,MATCH(COLUMNS($AN$1006:BI1006),$AN$1006:$BO$1006,0))&gt;=100000), " ",IF(INDEX($AN$2:$BO$1001,MATCH(ROWS($AG$2:AG308),$AG$2:$AG$1001,0),MATCH(COLUMNS($AN$1006:BI1006),$AN$1006:$BO$1006,0)), HYPERLINK("#",""), HYPERLINK(CONCATENATE("#Metadata!", ADDRESS(INDEX($AI$2:$AI$1001,MATCH(ROWS($AG$2:AG308),$AG$2:$AG$1001,0),0), INDEX($AN$1004:$BO$1004,1,MATCH(COLUMNS($AN$1006:BI1006),$AN$1006:$BO$1006,0)))),"Fix")))</f>
        <v>0</v>
      </c>
      <c r="X308" s="4">
        <f>IF(OR(INDEX($AH$2:$AH$1001,MATCH(ROWS($AG$2:AG308),$AG$2:$AG$1001,0),1)&gt;=100000,INDEX($AN$1005:$BO$1005,1,MATCH(COLUMNS($AN$1006:BJ1006),$AN$1006:$BO$1006,0))&gt;=100000), " ",IF(INDEX($AN$2:$BO$1001,MATCH(ROWS($AG$2:AG308),$AG$2:$AG$1001,0),MATCH(COLUMNS($AN$1006:BJ1006),$AN$1006:$BO$1006,0)), HYPERLINK("#",""), HYPERLINK(CONCATENATE("#Metadata!", ADDRESS(INDEX($AI$2:$AI$1001,MATCH(ROWS($AG$2:AG308),$AG$2:$AG$1001,0),0), INDEX($AN$1004:$BO$1004,1,MATCH(COLUMNS($AN$1006:BJ1006),$AN$1006:$BO$1006,0)))),"Fix")))</f>
        <v>0</v>
      </c>
      <c r="Y308" s="4">
        <f>IF(OR(INDEX($AH$2:$AH$1001,MATCH(ROWS($AG$2:AG308),$AG$2:$AG$1001,0),1)&gt;=100000,INDEX($AN$1005:$BO$1005,1,MATCH(COLUMNS($AN$1006:BK1006),$AN$1006:$BO$1006,0))&gt;=100000), " ",IF(INDEX($AN$2:$BO$1001,MATCH(ROWS($AG$2:AG308),$AG$2:$AG$1001,0),MATCH(COLUMNS($AN$1006:BK1006),$AN$1006:$BO$1006,0)), HYPERLINK("#",""), HYPERLINK(CONCATENATE("#Metadata!", ADDRESS(INDEX($AI$2:$AI$1001,MATCH(ROWS($AG$2:AG308),$AG$2:$AG$1001,0),0), INDEX($AN$1004:$BO$1004,1,MATCH(COLUMNS($AN$1006:BK1006),$AN$1006:$BO$1006,0)))),"Fix")))</f>
        <v>0</v>
      </c>
      <c r="Z308" s="4">
        <f>IF(OR(INDEX($AH$2:$AH$1001,MATCH(ROWS($AG$2:AG308),$AG$2:$AG$1001,0),1)&gt;=100000,INDEX($AN$1005:$BO$1005,1,MATCH(COLUMNS($AN$1006:BL1006),$AN$1006:$BO$1006,0))&gt;=100000), " ",IF(INDEX($AN$2:$BO$1001,MATCH(ROWS($AG$2:AG308),$AG$2:$AG$1001,0),MATCH(COLUMNS($AN$1006:BL1006),$AN$1006:$BO$1006,0)), HYPERLINK("#",""), HYPERLINK(CONCATENATE("#Metadata!", ADDRESS(INDEX($AI$2:$AI$1001,MATCH(ROWS($AG$2:AG308),$AG$2:$AG$1001,0),0), INDEX($AN$1004:$BO$1004,1,MATCH(COLUMNS($AN$1006:BL1006),$AN$1006:$BO$1006,0)))),"Fix")))</f>
        <v>0</v>
      </c>
      <c r="AA308" s="4">
        <f>IF(OR(INDEX($AH$2:$AH$1001,MATCH(ROWS($AG$2:AG308),$AG$2:$AG$1001,0),1)&gt;=100000,INDEX($AN$1005:$BO$1005,1,MATCH(COLUMNS($AN$1006:BM1006),$AN$1006:$BO$1006,0))&gt;=100000), " ",IF(INDEX($AN$2:$BO$1001,MATCH(ROWS($AG$2:AG308),$AG$2:$AG$1001,0),MATCH(COLUMNS($AN$1006:BM1006),$AN$1006:$BO$1006,0)), HYPERLINK("#",""), HYPERLINK(CONCATENATE("#Metadata!", ADDRESS(INDEX($AI$2:$AI$1001,MATCH(ROWS($AG$2:AG308),$AG$2:$AG$1001,0),0), INDEX($AN$1004:$BO$1004,1,MATCH(COLUMNS($AN$1006:BM1006),$AN$1006:$BO$1006,0)))),"Fix")))</f>
        <v>0</v>
      </c>
      <c r="AB308" s="4">
        <f>IF(OR(INDEX($AH$2:$AH$1001,MATCH(ROWS($AG$2:AG308),$AG$2:$AG$1001,0),1)&gt;=100000,INDEX($AN$1005:$BO$1005,1,MATCH(COLUMNS($AN$1006:BN1006),$AN$1006:$BO$1006,0))&gt;=100000), " ",IF(INDEX($AN$2:$BO$1001,MATCH(ROWS($AG$2:AG308),$AG$2:$AG$1001,0),MATCH(COLUMNS($AN$1006:BN1006),$AN$1006:$BO$1006,0)), HYPERLINK("#",""), HYPERLINK(CONCATENATE("#Metadata!", ADDRESS(INDEX($AI$2:$AI$1001,MATCH(ROWS($AG$2:AG308),$AG$2:$AG$1001,0),0), INDEX($AN$1004:$BO$1004,1,MATCH(COLUMNS($AN$1006:BN1006),$AN$1006:$BO$1006,0)))),"Fix")))</f>
        <v>0</v>
      </c>
      <c r="AC308" s="4">
        <f>IF(OR(INDEX($AH$2:$AH$1001,MATCH(ROWS($AG$2:AG308),$AG$2:$AG$1001,0),1)&gt;=100000,INDEX($AN$1005:$BO$1005,1,MATCH(COLUMNS($AN$1006:BO1006),$AN$1006:$BO$1006,0))&gt;=100000), " ",IF(INDEX($AN$2:$BO$1001,MATCH(ROWS($AG$2:AG308),$AG$2:$AG$1001,0),MATCH(COLUMNS($AN$1006:BO1006),$AN$1006:$BO$1006,0)), HYPERLINK("#",""), HYPERLINK(CONCATENATE("#Metadata!", ADDRESS(INDEX($AI$2:$AI$1001,MATCH(ROWS($AG$2:AG308),$AG$2:$AG$1001,0),0), INDEX($AN$1004:$BO$1004,1,MATCH(COLUMNS($AN$1006:BO1006),$AN$1006:$BO$1006,0)))),"Fix")))</f>
        <v>0</v>
      </c>
      <c r="AG308">
        <v>0</v>
      </c>
      <c r="AH308">
        <v>0</v>
      </c>
      <c r="AI308">
        <v>0</v>
      </c>
      <c r="AJ308">
        <f>IF(AK308,TRUE,AND(AN308:BO308))</f>
        <v>0</v>
      </c>
      <c r="AK308">
        <f>COUNTBLANK(Metadata!B308:AC308)=COLUMNS(Metadata!B308:AC308)</f>
        <v>0</v>
      </c>
      <c r="AL308">
        <v>0</v>
      </c>
      <c r="AN308">
        <f>AND(IF(Metadata!B308="",FALSE,TRUE),COUNTIF(Metadata!B:B, Metadata!B308) = 1,NOT(ISERROR(SUMPRODUCT(SEARCH(MID(Metadata!B308,ROW(INDIRECT("1:"&amp;LEN(Metadata!B308))), 1),"0123456789abcdefghijklmnopqrstuvwxyzABCDEFGHIJKLMNOPQRSTUVWXYZ.")))))</f>
        <v>0</v>
      </c>
      <c r="AO308">
        <f>IF(Metadata!C308="",FALSE,TRUE)</f>
        <v>0</v>
      </c>
      <c r="AP308">
        <f>IF(Metadata!D308="",FALSE,TRUE)</f>
        <v>0</v>
      </c>
      <c r="AQ308">
        <f>OR(AND(IF(Metadata!E308="",FALSE,TRUE),OR(exact(Metadata!E308,"not collected"),exact(Metadata!E308,"not provided"),exact(Metadata!E308,"restricted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R308">
        <f>IF(Metadata!F308="",FALSE,TRUE)</f>
        <v>0</v>
      </c>
      <c r="AS308">
        <f>OR(AND(IF(Metadata!G308="",FALSE,TRUE),OR(exact(Metadata!G308,"not collected"),exact(Metadata!G308,"not provided"))),AND(IF(Metadata!G308="",FALSE,TRUE),OR(exact(Metadata!G308,"TRUE"),exact(Metadata!G308,"FALSE"))))</f>
        <v>0</v>
      </c>
      <c r="AT308">
        <f>OR(AND(IF(Metadata!H308="",FALSE,TRUE),OR(exact(Metadata!H308,"not collected"),exact(Metadata!H308,"not provided"),exact(Metadata!H308,"restricted access"))),AND(IF(Metadata!H308="",FALSE,ISNUMBER(VALUE(Metadata!H308))),Metadata!H308&gt;=-413.0))</f>
        <v>0</v>
      </c>
      <c r="AU308">
        <f>AND(IF(Metadata!I308="",FALSE,TRUE),exact(Metadata!I308,"meters"))</f>
        <v>0</v>
      </c>
      <c r="AV308">
        <f>AND(IF(Metadata!J308="",FALSE,TRUE),OR(exact(Metadata!J308,"Host-associated"),exact(Metadata!J308,"Free-living")))</f>
        <v>0</v>
      </c>
      <c r="AW308">
        <f>AND(IF(Metadata!K308="",FALSE,TRUE),OR(exact(Metadata!K308,"Animal"),exact(Metadata!K308,"Fungus"),exact(Metadata!K308,"Plant"),exact(Metadata!K308,"Saline"),exact(Metadata!K308,"Non-saline")))</f>
        <v>0</v>
      </c>
      <c r="AX308">
        <f>AND(IF(Metadata!L308="",FALSE,TRUE),OR(exact(Metadata!L308,"Plant secretion"),exact(Metadata!L308,"Plant rhizosphere"),exact(Metadata!L308,"Plant surface"),exact(Metadata!L308,"Plant corpus"),exact(Metadata!L308,"Fungus surface"),exact(Metadata!L308,"Fungus corpus"),exact(Metadata!L308,"Animal surface"),exact(Metadata!L308,"Animal proximal gut"),exact(Metadata!L308,"Animal corpus"),exact(Metadata!L308,"Animal distal gut"),exact(Metadata!L308,"Animal secretion"),exact(Metadata!L308,"Sub-surface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Y308">
        <f>IF(Metadata!M308="",FALSE,TRUE)</f>
        <v>0</v>
      </c>
      <c r="AZ308">
        <f>IF(Metadata!N308="",FALSE,TRUE)</f>
        <v>0</v>
      </c>
      <c r="BA308">
        <f>IF(Metadata!O308="",FALSE,TRUE)</f>
        <v>0</v>
      </c>
      <c r="BB308">
        <f>OR(AND(IF(Metadata!P308="",FALSE,TRUE),OR(exact(Metadata!P308,"not collected"),exact(Metadata!P308,"not provided"),exact(Metadata!P308,"restricted access"))),AND(IF(Metadata!P308="",FALSE,TRUE),OR(exact(Metadata!P308,"air"),exact(Metadata!P308,"built environment"),exact(Metadata!P308,"host-associated"),exact(Metadata!P308,"human-associated"),exact(Metadata!P308,"human-skin"),exact(Metadata!P308,"human-oral"),exact(Metadata!P308,"human-gut"),exact(Metadata!P308,"human-vaginal"),exact(Metadata!P308,"microbial mat/biofilm"),exact(Metadata!P308,"misc environment"),exact(Metadata!P308,"plant-associated"),exact(Metadata!P308,"sediment"),exact(Metadata!P308,"soil"),exact(Metadata!P308,"wastewater/sludge"),exact(Metadata!P308,"water"))))</f>
        <v>0</v>
      </c>
      <c r="BC308">
        <f>IF(Metadata!Q308="",FALSE,TRUE)</f>
        <v>0</v>
      </c>
      <c r="BD308">
        <f>IF(Metadata!R308="",FALSE,TRUE)</f>
        <v>0</v>
      </c>
      <c r="BE308">
        <f>OR(AND(IF(Metadata!S308="",FALSE,TRUE),OR(exact(Metadata!S308,"not collected"),exact(Metadata!S308,"not provided"),exact(Metadata!S308,"restricted access"))),AND(IF(Metadata!S308="",FALSE,ISNUMBER(VALUE(Metadata!S308))),Metadata!S308&gt;=-90.00,Metadata!S308&lt;=90.00))</f>
        <v>0</v>
      </c>
      <c r="BF308">
        <f>AND(IF(Metadata!T308="",FALSE,TRUE),exact(Metadata!T308,"Decimal degrees"))</f>
        <v>0</v>
      </c>
      <c r="BG308">
        <f>OR(AND(IF(Metadata!U308="",FALSE,TRUE),OR(exact(Metadata!U308,"not collected"),exact(Metadata!U308,"not provided"),exact(Metadata!U308,"restricted access"))),AND(IF(Metadata!U308="",FALSE,ISNUMBER(VALUE(Metadata!U308))),Metadata!U308&gt;=-180.00,Metadata!U308&lt;=180.00))</f>
        <v>0</v>
      </c>
      <c r="BH308">
        <f>AND(IF(Metadata!V308="",FALSE,TRUE),exact(Metadata!V308,"Decimal degrees"))</f>
        <v>0</v>
      </c>
      <c r="BI308">
        <f>IF(Metadata!W308="",FALSE,TRUE)</f>
        <v>0</v>
      </c>
      <c r="BJ308">
        <f>OR(AND(IF(Metadata!X308="",FALSE,TRUE),OR(exact(Metadata!X308,"not collected"),exact(Metadata!X308,"not provided"),exact(Metadata!X308,"restricted access"))),AND(IF(Metadata!X308="",FALSE,TRUE),OR(exact(Metadata!X308,"TRUE"),exact(Metadata!X308,"FALSE"))))</f>
        <v>0</v>
      </c>
      <c r="BK308">
        <f>AND(IF(Metadata!Y308="",FALSE,TRUE),exact(Metadata!Y308,"other"))</f>
        <v>0</v>
      </c>
      <c r="BL308">
        <f>IF(Metadata!Z308="",FALSE,TRUE)</f>
        <v>0</v>
      </c>
      <c r="BM308">
        <f>OR(AND(IF(Metadata!AA308="",FALSE,TRUE),OR(exact(Metadata!AA308,"not collected"),exact(Metadata!AA308,"not provided"))),AND(IF(Metadata!AA308="",FALSE,IF(ISERROR(INT(Metadata!AA308)),FALSE,INT(Metadata!AA308)=Metadata!AA308)),Metadata!AA308&gt;0))</f>
        <v>0</v>
      </c>
      <c r="BN308">
        <f>AND(IF(Metadata!AB308="",FALSE,TRUE),exact(Metadata!AB308,"Not applicable"))</f>
        <v>0</v>
      </c>
      <c r="BO308">
        <f>IF(Metadata!AC308="",FALSE,TRUE)</f>
        <v>0</v>
      </c>
    </row>
    <row r="309" spans="1:67">
      <c r="A309" s="5">
        <f>IF(B309=" "," ",HYPERLINK(CONCATENATE("#metadata!",ADDRESS(INDEX($AI$2:$AI$1001,MATCH(ROWS($AG$2:AG309),$AG$2:$AG$1001,0),0),1)),INDEX($AL$2:$AL$1001,MATCH(ROWS($AG$2:AG309),$AG$2:$AG$1001,0),0)))</f>
        <v>0</v>
      </c>
      <c r="B309" s="4">
        <f>IF(OR(INDEX($AH$2:$AH$1001,MATCH(ROWS($AG$2:AG309),$AG$2:$AG$1001,0),1)&gt;=100000,INDEX($AN$1005:$BO$1005,1,MATCH(COLUMNS($AN$1006:AN1006),$AN$1006:$BO$1006,0))&gt;=100000), " ",IF(INDEX($AN$2:$BO$1001,MATCH(ROWS($AG$2:AG309),$AG$2:$AG$1001,0),MATCH(COLUMNS($AN$1006:AN1006),$AN$1006:$BO$1006,0)), HYPERLINK("#",""), HYPERLINK(CONCATENATE("#Metadata!", ADDRESS(INDEX($AI$2:$AI$1001,MATCH(ROWS($AG$2:AG309),$AG$2:$AG$1001,0),0), INDEX($AN$1004:$BO$1004,1,MATCH(COLUMNS($AN$1006:AN1006),$AN$1006:$BO$1006,0)))),"Fix")))</f>
        <v>0</v>
      </c>
      <c r="C309" s="4">
        <f>IF(OR(INDEX($AH$2:$AH$1001,MATCH(ROWS($AG$2:AG309),$AG$2:$AG$1001,0),1)&gt;=100000,INDEX($AN$1005:$BO$1005,1,MATCH(COLUMNS($AN$1006:AO1006),$AN$1006:$BO$1006,0))&gt;=100000), " ",IF(INDEX($AN$2:$BO$1001,MATCH(ROWS($AG$2:AG309),$AG$2:$AG$1001,0),MATCH(COLUMNS($AN$1006:AO1006),$AN$1006:$BO$1006,0)), HYPERLINK("#",""), HYPERLINK(CONCATENATE("#Metadata!", ADDRESS(INDEX($AI$2:$AI$1001,MATCH(ROWS($AG$2:AG309),$AG$2:$AG$1001,0),0), INDEX($AN$1004:$BO$1004,1,MATCH(COLUMNS($AN$1006:AO1006),$AN$1006:$BO$1006,0)))),"Fix")))</f>
        <v>0</v>
      </c>
      <c r="D309" s="4">
        <f>IF(OR(INDEX($AH$2:$AH$1001,MATCH(ROWS($AG$2:AG309),$AG$2:$AG$1001,0),1)&gt;=100000,INDEX($AN$1005:$BO$1005,1,MATCH(COLUMNS($AN$1006:AP1006),$AN$1006:$BO$1006,0))&gt;=100000), " ",IF(INDEX($AN$2:$BO$1001,MATCH(ROWS($AG$2:AG309),$AG$2:$AG$1001,0),MATCH(COLUMNS($AN$1006:AP1006),$AN$1006:$BO$1006,0)), HYPERLINK("#",""), HYPERLINK(CONCATENATE("#Metadata!", ADDRESS(INDEX($AI$2:$AI$1001,MATCH(ROWS($AG$2:AG309),$AG$2:$AG$1001,0),0), INDEX($AN$1004:$BO$1004,1,MATCH(COLUMNS($AN$1006:AP1006),$AN$1006:$BO$1006,0)))),"Fix")))</f>
        <v>0</v>
      </c>
      <c r="E309" s="4">
        <f>IF(OR(INDEX($AH$2:$AH$1001,MATCH(ROWS($AG$2:AG309),$AG$2:$AG$1001,0),1)&gt;=100000,INDEX($AN$1005:$BO$1005,1,MATCH(COLUMNS($AN$1006:AQ1006),$AN$1006:$BO$1006,0))&gt;=100000), " ",IF(INDEX($AN$2:$BO$1001,MATCH(ROWS($AG$2:AG309),$AG$2:$AG$1001,0),MATCH(COLUMNS($AN$1006:AQ1006),$AN$1006:$BO$1006,0)), HYPERLINK("#",""), HYPERLINK(CONCATENATE("#Metadata!", ADDRESS(INDEX($AI$2:$AI$1001,MATCH(ROWS($AG$2:AG309),$AG$2:$AG$1001,0),0), INDEX($AN$1004:$BO$1004,1,MATCH(COLUMNS($AN$1006:AQ1006),$AN$1006:$BO$1006,0)))),"Fix")))</f>
        <v>0</v>
      </c>
      <c r="F309" s="4">
        <f>IF(OR(INDEX($AH$2:$AH$1001,MATCH(ROWS($AG$2:AG309),$AG$2:$AG$1001,0),1)&gt;=100000,INDEX($AN$1005:$BO$1005,1,MATCH(COLUMNS($AN$1006:AR1006),$AN$1006:$BO$1006,0))&gt;=100000), " ",IF(INDEX($AN$2:$BO$1001,MATCH(ROWS($AG$2:AG309),$AG$2:$AG$1001,0),MATCH(COLUMNS($AN$1006:AR1006),$AN$1006:$BO$1006,0)), HYPERLINK("#",""), HYPERLINK(CONCATENATE("#Metadata!", ADDRESS(INDEX($AI$2:$AI$1001,MATCH(ROWS($AG$2:AG309),$AG$2:$AG$1001,0),0), INDEX($AN$1004:$BO$1004,1,MATCH(COLUMNS($AN$1006:AR1006),$AN$1006:$BO$1006,0)))),"Fix")))</f>
        <v>0</v>
      </c>
      <c r="G309" s="4">
        <f>IF(OR(INDEX($AH$2:$AH$1001,MATCH(ROWS($AG$2:AG309),$AG$2:$AG$1001,0),1)&gt;=100000,INDEX($AN$1005:$BO$1005,1,MATCH(COLUMNS($AN$1006:AS1006),$AN$1006:$BO$1006,0))&gt;=100000), " ",IF(INDEX($AN$2:$BO$1001,MATCH(ROWS($AG$2:AG309),$AG$2:$AG$1001,0),MATCH(COLUMNS($AN$1006:AS1006),$AN$1006:$BO$1006,0)), HYPERLINK("#",""), HYPERLINK(CONCATENATE("#Metadata!", ADDRESS(INDEX($AI$2:$AI$1001,MATCH(ROWS($AG$2:AG309),$AG$2:$AG$1001,0),0), INDEX($AN$1004:$BO$1004,1,MATCH(COLUMNS($AN$1006:AS1006),$AN$1006:$BO$1006,0)))),"Fix")))</f>
        <v>0</v>
      </c>
      <c r="H309" s="4">
        <f>IF(OR(INDEX($AH$2:$AH$1001,MATCH(ROWS($AG$2:AG309),$AG$2:$AG$1001,0),1)&gt;=100000,INDEX($AN$1005:$BO$1005,1,MATCH(COLUMNS($AN$1006:AT1006),$AN$1006:$BO$1006,0))&gt;=100000), " ",IF(INDEX($AN$2:$BO$1001,MATCH(ROWS($AG$2:AG309),$AG$2:$AG$1001,0),MATCH(COLUMNS($AN$1006:AT1006),$AN$1006:$BO$1006,0)), HYPERLINK("#",""), HYPERLINK(CONCATENATE("#Metadata!", ADDRESS(INDEX($AI$2:$AI$1001,MATCH(ROWS($AG$2:AG309),$AG$2:$AG$1001,0),0), INDEX($AN$1004:$BO$1004,1,MATCH(COLUMNS($AN$1006:AT1006),$AN$1006:$BO$1006,0)))),"Fix")))</f>
        <v>0</v>
      </c>
      <c r="I309" s="4">
        <f>IF(OR(INDEX($AH$2:$AH$1001,MATCH(ROWS($AG$2:AG309),$AG$2:$AG$1001,0),1)&gt;=100000,INDEX($AN$1005:$BO$1005,1,MATCH(COLUMNS($AN$1006:AU1006),$AN$1006:$BO$1006,0))&gt;=100000), " ",IF(INDEX($AN$2:$BO$1001,MATCH(ROWS($AG$2:AG309),$AG$2:$AG$1001,0),MATCH(COLUMNS($AN$1006:AU1006),$AN$1006:$BO$1006,0)), HYPERLINK("#",""), HYPERLINK(CONCATENATE("#Metadata!", ADDRESS(INDEX($AI$2:$AI$1001,MATCH(ROWS($AG$2:AG309),$AG$2:$AG$1001,0),0), INDEX($AN$1004:$BO$1004,1,MATCH(COLUMNS($AN$1006:AU1006),$AN$1006:$BO$1006,0)))),"Fix")))</f>
        <v>0</v>
      </c>
      <c r="J309" s="4">
        <f>IF(OR(INDEX($AH$2:$AH$1001,MATCH(ROWS($AG$2:AG309),$AG$2:$AG$1001,0),1)&gt;=100000,INDEX($AN$1005:$BO$1005,1,MATCH(COLUMNS($AN$1006:AV1006),$AN$1006:$BO$1006,0))&gt;=100000), " ",IF(INDEX($AN$2:$BO$1001,MATCH(ROWS($AG$2:AG309),$AG$2:$AG$1001,0),MATCH(COLUMNS($AN$1006:AV1006),$AN$1006:$BO$1006,0)), HYPERLINK("#",""), HYPERLINK(CONCATENATE("#Metadata!", ADDRESS(INDEX($AI$2:$AI$1001,MATCH(ROWS($AG$2:AG309),$AG$2:$AG$1001,0),0), INDEX($AN$1004:$BO$1004,1,MATCH(COLUMNS($AN$1006:AV1006),$AN$1006:$BO$1006,0)))),"Fix")))</f>
        <v>0</v>
      </c>
      <c r="K309" s="4">
        <f>IF(OR(INDEX($AH$2:$AH$1001,MATCH(ROWS($AG$2:AG309),$AG$2:$AG$1001,0),1)&gt;=100000,INDEX($AN$1005:$BO$1005,1,MATCH(COLUMNS($AN$1006:AW1006),$AN$1006:$BO$1006,0))&gt;=100000), " ",IF(INDEX($AN$2:$BO$1001,MATCH(ROWS($AG$2:AG309),$AG$2:$AG$1001,0),MATCH(COLUMNS($AN$1006:AW1006),$AN$1006:$BO$1006,0)), HYPERLINK("#",""), HYPERLINK(CONCATENATE("#Metadata!", ADDRESS(INDEX($AI$2:$AI$1001,MATCH(ROWS($AG$2:AG309),$AG$2:$AG$1001,0),0), INDEX($AN$1004:$BO$1004,1,MATCH(COLUMNS($AN$1006:AW1006),$AN$1006:$BO$1006,0)))),"Fix")))</f>
        <v>0</v>
      </c>
      <c r="L309" s="4">
        <f>IF(OR(INDEX($AH$2:$AH$1001,MATCH(ROWS($AG$2:AG309),$AG$2:$AG$1001,0),1)&gt;=100000,INDEX($AN$1005:$BO$1005,1,MATCH(COLUMNS($AN$1006:AX1006),$AN$1006:$BO$1006,0))&gt;=100000), " ",IF(INDEX($AN$2:$BO$1001,MATCH(ROWS($AG$2:AG309),$AG$2:$AG$1001,0),MATCH(COLUMNS($AN$1006:AX1006),$AN$1006:$BO$1006,0)), HYPERLINK("#",""), HYPERLINK(CONCATENATE("#Metadata!", ADDRESS(INDEX($AI$2:$AI$1001,MATCH(ROWS($AG$2:AG309),$AG$2:$AG$1001,0),0), INDEX($AN$1004:$BO$1004,1,MATCH(COLUMNS($AN$1006:AX1006),$AN$1006:$BO$1006,0)))),"Fix")))</f>
        <v>0</v>
      </c>
      <c r="M309" s="4">
        <f>IF(OR(INDEX($AH$2:$AH$1001,MATCH(ROWS($AG$2:AG309),$AG$2:$AG$1001,0),1)&gt;=100000,INDEX($AN$1005:$BO$1005,1,MATCH(COLUMNS($AN$1006:AY1006),$AN$1006:$BO$1006,0))&gt;=100000), " ",IF(INDEX($AN$2:$BO$1001,MATCH(ROWS($AG$2:AG309),$AG$2:$AG$1001,0),MATCH(COLUMNS($AN$1006:AY1006),$AN$1006:$BO$1006,0)), HYPERLINK("#",""), HYPERLINK(CONCATENATE("#Metadata!", ADDRESS(INDEX($AI$2:$AI$1001,MATCH(ROWS($AG$2:AG309),$AG$2:$AG$1001,0),0), INDEX($AN$1004:$BO$1004,1,MATCH(COLUMNS($AN$1006:AY1006),$AN$1006:$BO$1006,0)))),"Fix")))</f>
        <v>0</v>
      </c>
      <c r="N309" s="4">
        <f>IF(OR(INDEX($AH$2:$AH$1001,MATCH(ROWS($AG$2:AG309),$AG$2:$AG$1001,0),1)&gt;=100000,INDEX($AN$1005:$BO$1005,1,MATCH(COLUMNS($AN$1006:AZ1006),$AN$1006:$BO$1006,0))&gt;=100000), " ",IF(INDEX($AN$2:$BO$1001,MATCH(ROWS($AG$2:AG309),$AG$2:$AG$1001,0),MATCH(COLUMNS($AN$1006:AZ1006),$AN$1006:$BO$1006,0)), HYPERLINK("#",""), HYPERLINK(CONCATENATE("#Metadata!", ADDRESS(INDEX($AI$2:$AI$1001,MATCH(ROWS($AG$2:AG309),$AG$2:$AG$1001,0),0), INDEX($AN$1004:$BO$1004,1,MATCH(COLUMNS($AN$1006:AZ1006),$AN$1006:$BO$1006,0)))),"Fix")))</f>
        <v>0</v>
      </c>
      <c r="O309" s="4">
        <f>IF(OR(INDEX($AH$2:$AH$1001,MATCH(ROWS($AG$2:AG309),$AG$2:$AG$1001,0),1)&gt;=100000,INDEX($AN$1005:$BO$1005,1,MATCH(COLUMNS($AN$1006:BA1006),$AN$1006:$BO$1006,0))&gt;=100000), " ",IF(INDEX($AN$2:$BO$1001,MATCH(ROWS($AG$2:AG309),$AG$2:$AG$1001,0),MATCH(COLUMNS($AN$1006:BA1006),$AN$1006:$BO$1006,0)), HYPERLINK("#",""), HYPERLINK(CONCATENATE("#Metadata!", ADDRESS(INDEX($AI$2:$AI$1001,MATCH(ROWS($AG$2:AG309),$AG$2:$AG$1001,0),0), INDEX($AN$1004:$BO$1004,1,MATCH(COLUMNS($AN$1006:BA1006),$AN$1006:$BO$1006,0)))),"Fix")))</f>
        <v>0</v>
      </c>
      <c r="P309" s="4">
        <f>IF(OR(INDEX($AH$2:$AH$1001,MATCH(ROWS($AG$2:AG309),$AG$2:$AG$1001,0),1)&gt;=100000,INDEX($AN$1005:$BO$1005,1,MATCH(COLUMNS($AN$1006:BB1006),$AN$1006:$BO$1006,0))&gt;=100000), " ",IF(INDEX($AN$2:$BO$1001,MATCH(ROWS($AG$2:AG309),$AG$2:$AG$1001,0),MATCH(COLUMNS($AN$1006:BB1006),$AN$1006:$BO$1006,0)), HYPERLINK("#",""), HYPERLINK(CONCATENATE("#Metadata!", ADDRESS(INDEX($AI$2:$AI$1001,MATCH(ROWS($AG$2:AG309),$AG$2:$AG$1001,0),0), INDEX($AN$1004:$BO$1004,1,MATCH(COLUMNS($AN$1006:BB1006),$AN$1006:$BO$1006,0)))),"Fix")))</f>
        <v>0</v>
      </c>
      <c r="Q309" s="4">
        <f>IF(OR(INDEX($AH$2:$AH$1001,MATCH(ROWS($AG$2:AG309),$AG$2:$AG$1001,0),1)&gt;=100000,INDEX($AN$1005:$BO$1005,1,MATCH(COLUMNS($AN$1006:BC1006),$AN$1006:$BO$1006,0))&gt;=100000), " ",IF(INDEX($AN$2:$BO$1001,MATCH(ROWS($AG$2:AG309),$AG$2:$AG$1001,0),MATCH(COLUMNS($AN$1006:BC1006),$AN$1006:$BO$1006,0)), HYPERLINK("#",""), HYPERLINK(CONCATENATE("#Metadata!", ADDRESS(INDEX($AI$2:$AI$1001,MATCH(ROWS($AG$2:AG309),$AG$2:$AG$1001,0),0), INDEX($AN$1004:$BO$1004,1,MATCH(COLUMNS($AN$1006:BC1006),$AN$1006:$BO$1006,0)))),"Fix")))</f>
        <v>0</v>
      </c>
      <c r="R309" s="4">
        <f>IF(OR(INDEX($AH$2:$AH$1001,MATCH(ROWS($AG$2:AG309),$AG$2:$AG$1001,0),1)&gt;=100000,INDEX($AN$1005:$BO$1005,1,MATCH(COLUMNS($AN$1006:BD1006),$AN$1006:$BO$1006,0))&gt;=100000), " ",IF(INDEX($AN$2:$BO$1001,MATCH(ROWS($AG$2:AG309),$AG$2:$AG$1001,0),MATCH(COLUMNS($AN$1006:BD1006),$AN$1006:$BO$1006,0)), HYPERLINK("#",""), HYPERLINK(CONCATENATE("#Metadata!", ADDRESS(INDEX($AI$2:$AI$1001,MATCH(ROWS($AG$2:AG309),$AG$2:$AG$1001,0),0), INDEX($AN$1004:$BO$1004,1,MATCH(COLUMNS($AN$1006:BD1006),$AN$1006:$BO$1006,0)))),"Fix")))</f>
        <v>0</v>
      </c>
      <c r="S309" s="4">
        <f>IF(OR(INDEX($AH$2:$AH$1001,MATCH(ROWS($AG$2:AG309),$AG$2:$AG$1001,0),1)&gt;=100000,INDEX($AN$1005:$BO$1005,1,MATCH(COLUMNS($AN$1006:BE1006),$AN$1006:$BO$1006,0))&gt;=100000), " ",IF(INDEX($AN$2:$BO$1001,MATCH(ROWS($AG$2:AG309),$AG$2:$AG$1001,0),MATCH(COLUMNS($AN$1006:BE1006),$AN$1006:$BO$1006,0)), HYPERLINK("#",""), HYPERLINK(CONCATENATE("#Metadata!", ADDRESS(INDEX($AI$2:$AI$1001,MATCH(ROWS($AG$2:AG309),$AG$2:$AG$1001,0),0), INDEX($AN$1004:$BO$1004,1,MATCH(COLUMNS($AN$1006:BE1006),$AN$1006:$BO$1006,0)))),"Fix")))</f>
        <v>0</v>
      </c>
      <c r="T309" s="4">
        <f>IF(OR(INDEX($AH$2:$AH$1001,MATCH(ROWS($AG$2:AG309),$AG$2:$AG$1001,0),1)&gt;=100000,INDEX($AN$1005:$BO$1005,1,MATCH(COLUMNS($AN$1006:BF1006),$AN$1006:$BO$1006,0))&gt;=100000), " ",IF(INDEX($AN$2:$BO$1001,MATCH(ROWS($AG$2:AG309),$AG$2:$AG$1001,0),MATCH(COLUMNS($AN$1006:BF1006),$AN$1006:$BO$1006,0)), HYPERLINK("#",""), HYPERLINK(CONCATENATE("#Metadata!", ADDRESS(INDEX($AI$2:$AI$1001,MATCH(ROWS($AG$2:AG309),$AG$2:$AG$1001,0),0), INDEX($AN$1004:$BO$1004,1,MATCH(COLUMNS($AN$1006:BF1006),$AN$1006:$BO$1006,0)))),"Fix")))</f>
        <v>0</v>
      </c>
      <c r="U309" s="4">
        <f>IF(OR(INDEX($AH$2:$AH$1001,MATCH(ROWS($AG$2:AG309),$AG$2:$AG$1001,0),1)&gt;=100000,INDEX($AN$1005:$BO$1005,1,MATCH(COLUMNS($AN$1006:BG1006),$AN$1006:$BO$1006,0))&gt;=100000), " ",IF(INDEX($AN$2:$BO$1001,MATCH(ROWS($AG$2:AG309),$AG$2:$AG$1001,0),MATCH(COLUMNS($AN$1006:BG1006),$AN$1006:$BO$1006,0)), HYPERLINK("#",""), HYPERLINK(CONCATENATE("#Metadata!", ADDRESS(INDEX($AI$2:$AI$1001,MATCH(ROWS($AG$2:AG309),$AG$2:$AG$1001,0),0), INDEX($AN$1004:$BO$1004,1,MATCH(COLUMNS($AN$1006:BG1006),$AN$1006:$BO$1006,0)))),"Fix")))</f>
        <v>0</v>
      </c>
      <c r="V309" s="4">
        <f>IF(OR(INDEX($AH$2:$AH$1001,MATCH(ROWS($AG$2:AG309),$AG$2:$AG$1001,0),1)&gt;=100000,INDEX($AN$1005:$BO$1005,1,MATCH(COLUMNS($AN$1006:BH1006),$AN$1006:$BO$1006,0))&gt;=100000), " ",IF(INDEX($AN$2:$BO$1001,MATCH(ROWS($AG$2:AG309),$AG$2:$AG$1001,0),MATCH(COLUMNS($AN$1006:BH1006),$AN$1006:$BO$1006,0)), HYPERLINK("#",""), HYPERLINK(CONCATENATE("#Metadata!", ADDRESS(INDEX($AI$2:$AI$1001,MATCH(ROWS($AG$2:AG309),$AG$2:$AG$1001,0),0), INDEX($AN$1004:$BO$1004,1,MATCH(COLUMNS($AN$1006:BH1006),$AN$1006:$BO$1006,0)))),"Fix")))</f>
        <v>0</v>
      </c>
      <c r="W309" s="4">
        <f>IF(OR(INDEX($AH$2:$AH$1001,MATCH(ROWS($AG$2:AG309),$AG$2:$AG$1001,0),1)&gt;=100000,INDEX($AN$1005:$BO$1005,1,MATCH(COLUMNS($AN$1006:BI1006),$AN$1006:$BO$1006,0))&gt;=100000), " ",IF(INDEX($AN$2:$BO$1001,MATCH(ROWS($AG$2:AG309),$AG$2:$AG$1001,0),MATCH(COLUMNS($AN$1006:BI1006),$AN$1006:$BO$1006,0)), HYPERLINK("#",""), HYPERLINK(CONCATENATE("#Metadata!", ADDRESS(INDEX($AI$2:$AI$1001,MATCH(ROWS($AG$2:AG309),$AG$2:$AG$1001,0),0), INDEX($AN$1004:$BO$1004,1,MATCH(COLUMNS($AN$1006:BI1006),$AN$1006:$BO$1006,0)))),"Fix")))</f>
        <v>0</v>
      </c>
      <c r="X309" s="4">
        <f>IF(OR(INDEX($AH$2:$AH$1001,MATCH(ROWS($AG$2:AG309),$AG$2:$AG$1001,0),1)&gt;=100000,INDEX($AN$1005:$BO$1005,1,MATCH(COLUMNS($AN$1006:BJ1006),$AN$1006:$BO$1006,0))&gt;=100000), " ",IF(INDEX($AN$2:$BO$1001,MATCH(ROWS($AG$2:AG309),$AG$2:$AG$1001,0),MATCH(COLUMNS($AN$1006:BJ1006),$AN$1006:$BO$1006,0)), HYPERLINK("#",""), HYPERLINK(CONCATENATE("#Metadata!", ADDRESS(INDEX($AI$2:$AI$1001,MATCH(ROWS($AG$2:AG309),$AG$2:$AG$1001,0),0), INDEX($AN$1004:$BO$1004,1,MATCH(COLUMNS($AN$1006:BJ1006),$AN$1006:$BO$1006,0)))),"Fix")))</f>
        <v>0</v>
      </c>
      <c r="Y309" s="4">
        <f>IF(OR(INDEX($AH$2:$AH$1001,MATCH(ROWS($AG$2:AG309),$AG$2:$AG$1001,0),1)&gt;=100000,INDEX($AN$1005:$BO$1005,1,MATCH(COLUMNS($AN$1006:BK1006),$AN$1006:$BO$1006,0))&gt;=100000), " ",IF(INDEX($AN$2:$BO$1001,MATCH(ROWS($AG$2:AG309),$AG$2:$AG$1001,0),MATCH(COLUMNS($AN$1006:BK1006),$AN$1006:$BO$1006,0)), HYPERLINK("#",""), HYPERLINK(CONCATENATE("#Metadata!", ADDRESS(INDEX($AI$2:$AI$1001,MATCH(ROWS($AG$2:AG309),$AG$2:$AG$1001,0),0), INDEX($AN$1004:$BO$1004,1,MATCH(COLUMNS($AN$1006:BK1006),$AN$1006:$BO$1006,0)))),"Fix")))</f>
        <v>0</v>
      </c>
      <c r="Z309" s="4">
        <f>IF(OR(INDEX($AH$2:$AH$1001,MATCH(ROWS($AG$2:AG309),$AG$2:$AG$1001,0),1)&gt;=100000,INDEX($AN$1005:$BO$1005,1,MATCH(COLUMNS($AN$1006:BL1006),$AN$1006:$BO$1006,0))&gt;=100000), " ",IF(INDEX($AN$2:$BO$1001,MATCH(ROWS($AG$2:AG309),$AG$2:$AG$1001,0),MATCH(COLUMNS($AN$1006:BL1006),$AN$1006:$BO$1006,0)), HYPERLINK("#",""), HYPERLINK(CONCATENATE("#Metadata!", ADDRESS(INDEX($AI$2:$AI$1001,MATCH(ROWS($AG$2:AG309),$AG$2:$AG$1001,0),0), INDEX($AN$1004:$BO$1004,1,MATCH(COLUMNS($AN$1006:BL1006),$AN$1006:$BO$1006,0)))),"Fix")))</f>
        <v>0</v>
      </c>
      <c r="AA309" s="4">
        <f>IF(OR(INDEX($AH$2:$AH$1001,MATCH(ROWS($AG$2:AG309),$AG$2:$AG$1001,0),1)&gt;=100000,INDEX($AN$1005:$BO$1005,1,MATCH(COLUMNS($AN$1006:BM1006),$AN$1006:$BO$1006,0))&gt;=100000), " ",IF(INDEX($AN$2:$BO$1001,MATCH(ROWS($AG$2:AG309),$AG$2:$AG$1001,0),MATCH(COLUMNS($AN$1006:BM1006),$AN$1006:$BO$1006,0)), HYPERLINK("#",""), HYPERLINK(CONCATENATE("#Metadata!", ADDRESS(INDEX($AI$2:$AI$1001,MATCH(ROWS($AG$2:AG309),$AG$2:$AG$1001,0),0), INDEX($AN$1004:$BO$1004,1,MATCH(COLUMNS($AN$1006:BM1006),$AN$1006:$BO$1006,0)))),"Fix")))</f>
        <v>0</v>
      </c>
      <c r="AB309" s="4">
        <f>IF(OR(INDEX($AH$2:$AH$1001,MATCH(ROWS($AG$2:AG309),$AG$2:$AG$1001,0),1)&gt;=100000,INDEX($AN$1005:$BO$1005,1,MATCH(COLUMNS($AN$1006:BN1006),$AN$1006:$BO$1006,0))&gt;=100000), " ",IF(INDEX($AN$2:$BO$1001,MATCH(ROWS($AG$2:AG309),$AG$2:$AG$1001,0),MATCH(COLUMNS($AN$1006:BN1006),$AN$1006:$BO$1006,0)), HYPERLINK("#",""), HYPERLINK(CONCATENATE("#Metadata!", ADDRESS(INDEX($AI$2:$AI$1001,MATCH(ROWS($AG$2:AG309),$AG$2:$AG$1001,0),0), INDEX($AN$1004:$BO$1004,1,MATCH(COLUMNS($AN$1006:BN1006),$AN$1006:$BO$1006,0)))),"Fix")))</f>
        <v>0</v>
      </c>
      <c r="AC309" s="4">
        <f>IF(OR(INDEX($AH$2:$AH$1001,MATCH(ROWS($AG$2:AG309),$AG$2:$AG$1001,0),1)&gt;=100000,INDEX($AN$1005:$BO$1005,1,MATCH(COLUMNS($AN$1006:BO1006),$AN$1006:$BO$1006,0))&gt;=100000), " ",IF(INDEX($AN$2:$BO$1001,MATCH(ROWS($AG$2:AG309),$AG$2:$AG$1001,0),MATCH(COLUMNS($AN$1006:BO1006),$AN$1006:$BO$1006,0)), HYPERLINK("#",""), HYPERLINK(CONCATENATE("#Metadata!", ADDRESS(INDEX($AI$2:$AI$1001,MATCH(ROWS($AG$2:AG309),$AG$2:$AG$1001,0),0), INDEX($AN$1004:$BO$1004,1,MATCH(COLUMNS($AN$1006:BO1006),$AN$1006:$BO$1006,0)))),"Fix")))</f>
        <v>0</v>
      </c>
      <c r="AG309">
        <v>0</v>
      </c>
      <c r="AH309">
        <v>0</v>
      </c>
      <c r="AI309">
        <v>0</v>
      </c>
      <c r="AJ309">
        <f>IF(AK309,TRUE,AND(AN309:BO309))</f>
        <v>0</v>
      </c>
      <c r="AK309">
        <f>COUNTBLANK(Metadata!B309:AC309)=COLUMNS(Metadata!B309:AC309)</f>
        <v>0</v>
      </c>
      <c r="AL309">
        <v>0</v>
      </c>
      <c r="AN309">
        <f>AND(IF(Metadata!B309="",FALSE,TRUE),COUNTIF(Metadata!B:B, Metadata!B309) = 1,NOT(ISERROR(SUMPRODUCT(SEARCH(MID(Metadata!B309,ROW(INDIRECT("1:"&amp;LEN(Metadata!B309))), 1),"0123456789abcdefghijklmnopqrstuvwxyzABCDEFGHIJKLMNOPQRSTUVWXYZ.")))))</f>
        <v>0</v>
      </c>
      <c r="AO309">
        <f>IF(Metadata!C309="",FALSE,TRUE)</f>
        <v>0</v>
      </c>
      <c r="AP309">
        <f>IF(Metadata!D309="",FALSE,TRUE)</f>
        <v>0</v>
      </c>
      <c r="AQ309">
        <f>OR(AND(IF(Metadata!E309="",FALSE,TRUE),OR(exact(Metadata!E309,"not collected"),exact(Metadata!E309,"not provided"),exact(Metadata!E309,"restricted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R309">
        <f>IF(Metadata!F309="",FALSE,TRUE)</f>
        <v>0</v>
      </c>
      <c r="AS309">
        <f>OR(AND(IF(Metadata!G309="",FALSE,TRUE),OR(exact(Metadata!G309,"not collected"),exact(Metadata!G309,"not provided"))),AND(IF(Metadata!G309="",FALSE,TRUE),OR(exact(Metadata!G309,"TRUE"),exact(Metadata!G309,"FALSE"))))</f>
        <v>0</v>
      </c>
      <c r="AT309">
        <f>OR(AND(IF(Metadata!H309="",FALSE,TRUE),OR(exact(Metadata!H309,"not collected"),exact(Metadata!H309,"not provided"),exact(Metadata!H309,"restricted access"))),AND(IF(Metadata!H309="",FALSE,ISNUMBER(VALUE(Metadata!H309))),Metadata!H309&gt;=-413.0))</f>
        <v>0</v>
      </c>
      <c r="AU309">
        <f>AND(IF(Metadata!I309="",FALSE,TRUE),exact(Metadata!I309,"meters"))</f>
        <v>0</v>
      </c>
      <c r="AV309">
        <f>AND(IF(Metadata!J309="",FALSE,TRUE),OR(exact(Metadata!J309,"Host-associated"),exact(Metadata!J309,"Free-living")))</f>
        <v>0</v>
      </c>
      <c r="AW309">
        <f>AND(IF(Metadata!K309="",FALSE,TRUE),OR(exact(Metadata!K309,"Animal"),exact(Metadata!K309,"Fungus"),exact(Metadata!K309,"Plant"),exact(Metadata!K309,"Saline"),exact(Metadata!K309,"Non-saline")))</f>
        <v>0</v>
      </c>
      <c r="AX309">
        <f>AND(IF(Metadata!L309="",FALSE,TRUE),OR(exact(Metadata!L309,"Plant secretion"),exact(Metadata!L309,"Plant rhizosphere"),exact(Metadata!L309,"Plant surface"),exact(Metadata!L309,"Plant corpus"),exact(Metadata!L309,"Fungus surface"),exact(Metadata!L309,"Fungus corpus"),exact(Metadata!L309,"Animal surface"),exact(Metadata!L309,"Animal proximal gut"),exact(Metadata!L309,"Animal corpus"),exact(Metadata!L309,"Animal distal gut"),exact(Metadata!L309,"Animal secretion"),exact(Metadata!L309,"Sub-surface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Y309">
        <f>IF(Metadata!M309="",FALSE,TRUE)</f>
        <v>0</v>
      </c>
      <c r="AZ309">
        <f>IF(Metadata!N309="",FALSE,TRUE)</f>
        <v>0</v>
      </c>
      <c r="BA309">
        <f>IF(Metadata!O309="",FALSE,TRUE)</f>
        <v>0</v>
      </c>
      <c r="BB309">
        <f>OR(AND(IF(Metadata!P309="",FALSE,TRUE),OR(exact(Metadata!P309,"not collected"),exact(Metadata!P309,"not provided"),exact(Metadata!P309,"restricted access"))),AND(IF(Metadata!P309="",FALSE,TRUE),OR(exact(Metadata!P309,"air"),exact(Metadata!P309,"built environment"),exact(Metadata!P309,"host-associated"),exact(Metadata!P309,"human-associated"),exact(Metadata!P309,"human-skin"),exact(Metadata!P309,"human-oral"),exact(Metadata!P309,"human-gut"),exact(Metadata!P309,"human-vaginal"),exact(Metadata!P309,"microbial mat/biofilm"),exact(Metadata!P309,"misc environment"),exact(Metadata!P309,"plant-associated"),exact(Metadata!P309,"sediment"),exact(Metadata!P309,"soil"),exact(Metadata!P309,"wastewater/sludge"),exact(Metadata!P309,"water"))))</f>
        <v>0</v>
      </c>
      <c r="BC309">
        <f>IF(Metadata!Q309="",FALSE,TRUE)</f>
        <v>0</v>
      </c>
      <c r="BD309">
        <f>IF(Metadata!R309="",FALSE,TRUE)</f>
        <v>0</v>
      </c>
      <c r="BE309">
        <f>OR(AND(IF(Metadata!S309="",FALSE,TRUE),OR(exact(Metadata!S309,"not collected"),exact(Metadata!S309,"not provided"),exact(Metadata!S309,"restricted access"))),AND(IF(Metadata!S309="",FALSE,ISNUMBER(VALUE(Metadata!S309))),Metadata!S309&gt;=-90.00,Metadata!S309&lt;=90.00))</f>
        <v>0</v>
      </c>
      <c r="BF309">
        <f>AND(IF(Metadata!T309="",FALSE,TRUE),exact(Metadata!T309,"Decimal degrees"))</f>
        <v>0</v>
      </c>
      <c r="BG309">
        <f>OR(AND(IF(Metadata!U309="",FALSE,TRUE),OR(exact(Metadata!U309,"not collected"),exact(Metadata!U309,"not provided"),exact(Metadata!U309,"restricted access"))),AND(IF(Metadata!U309="",FALSE,ISNUMBER(VALUE(Metadata!U309))),Metadata!U309&gt;=-180.00,Metadata!U309&lt;=180.00))</f>
        <v>0</v>
      </c>
      <c r="BH309">
        <f>AND(IF(Metadata!V309="",FALSE,TRUE),exact(Metadata!V309,"Decimal degrees"))</f>
        <v>0</v>
      </c>
      <c r="BI309">
        <f>IF(Metadata!W309="",FALSE,TRUE)</f>
        <v>0</v>
      </c>
      <c r="BJ309">
        <f>OR(AND(IF(Metadata!X309="",FALSE,TRUE),OR(exact(Metadata!X309,"not collected"),exact(Metadata!X309,"not provided"),exact(Metadata!X309,"restricted access"))),AND(IF(Metadata!X309="",FALSE,TRUE),OR(exact(Metadata!X309,"TRUE"),exact(Metadata!X309,"FALSE"))))</f>
        <v>0</v>
      </c>
      <c r="BK309">
        <f>AND(IF(Metadata!Y309="",FALSE,TRUE),exact(Metadata!Y309,"other"))</f>
        <v>0</v>
      </c>
      <c r="BL309">
        <f>IF(Metadata!Z309="",FALSE,TRUE)</f>
        <v>0</v>
      </c>
      <c r="BM309">
        <f>OR(AND(IF(Metadata!AA309="",FALSE,TRUE),OR(exact(Metadata!AA309,"not collected"),exact(Metadata!AA309,"not provided"))),AND(IF(Metadata!AA309="",FALSE,IF(ISERROR(INT(Metadata!AA309)),FALSE,INT(Metadata!AA309)=Metadata!AA309)),Metadata!AA309&gt;0))</f>
        <v>0</v>
      </c>
      <c r="BN309">
        <f>AND(IF(Metadata!AB309="",FALSE,TRUE),exact(Metadata!AB309,"Not applicable"))</f>
        <v>0</v>
      </c>
      <c r="BO309">
        <f>IF(Metadata!AC309="",FALSE,TRUE)</f>
        <v>0</v>
      </c>
    </row>
    <row r="310" spans="1:67">
      <c r="A310" s="5">
        <f>IF(B310=" "," ",HYPERLINK(CONCATENATE("#metadata!",ADDRESS(INDEX($AI$2:$AI$1001,MATCH(ROWS($AG$2:AG310),$AG$2:$AG$1001,0),0),1)),INDEX($AL$2:$AL$1001,MATCH(ROWS($AG$2:AG310),$AG$2:$AG$1001,0),0)))</f>
        <v>0</v>
      </c>
      <c r="B310" s="4">
        <f>IF(OR(INDEX($AH$2:$AH$1001,MATCH(ROWS($AG$2:AG310),$AG$2:$AG$1001,0),1)&gt;=100000,INDEX($AN$1005:$BO$1005,1,MATCH(COLUMNS($AN$1006:AN1006),$AN$1006:$BO$1006,0))&gt;=100000), " ",IF(INDEX($AN$2:$BO$1001,MATCH(ROWS($AG$2:AG310),$AG$2:$AG$1001,0),MATCH(COLUMNS($AN$1006:AN1006),$AN$1006:$BO$1006,0)), HYPERLINK("#",""), HYPERLINK(CONCATENATE("#Metadata!", ADDRESS(INDEX($AI$2:$AI$1001,MATCH(ROWS($AG$2:AG310),$AG$2:$AG$1001,0),0), INDEX($AN$1004:$BO$1004,1,MATCH(COLUMNS($AN$1006:AN1006),$AN$1006:$BO$1006,0)))),"Fix")))</f>
        <v>0</v>
      </c>
      <c r="C310" s="4">
        <f>IF(OR(INDEX($AH$2:$AH$1001,MATCH(ROWS($AG$2:AG310),$AG$2:$AG$1001,0),1)&gt;=100000,INDEX($AN$1005:$BO$1005,1,MATCH(COLUMNS($AN$1006:AO1006),$AN$1006:$BO$1006,0))&gt;=100000), " ",IF(INDEX($AN$2:$BO$1001,MATCH(ROWS($AG$2:AG310),$AG$2:$AG$1001,0),MATCH(COLUMNS($AN$1006:AO1006),$AN$1006:$BO$1006,0)), HYPERLINK("#",""), HYPERLINK(CONCATENATE("#Metadata!", ADDRESS(INDEX($AI$2:$AI$1001,MATCH(ROWS($AG$2:AG310),$AG$2:$AG$1001,0),0), INDEX($AN$1004:$BO$1004,1,MATCH(COLUMNS($AN$1006:AO1006),$AN$1006:$BO$1006,0)))),"Fix")))</f>
        <v>0</v>
      </c>
      <c r="D310" s="4">
        <f>IF(OR(INDEX($AH$2:$AH$1001,MATCH(ROWS($AG$2:AG310),$AG$2:$AG$1001,0),1)&gt;=100000,INDEX($AN$1005:$BO$1005,1,MATCH(COLUMNS($AN$1006:AP1006),$AN$1006:$BO$1006,0))&gt;=100000), " ",IF(INDEX($AN$2:$BO$1001,MATCH(ROWS($AG$2:AG310),$AG$2:$AG$1001,0),MATCH(COLUMNS($AN$1006:AP1006),$AN$1006:$BO$1006,0)), HYPERLINK("#",""), HYPERLINK(CONCATENATE("#Metadata!", ADDRESS(INDEX($AI$2:$AI$1001,MATCH(ROWS($AG$2:AG310),$AG$2:$AG$1001,0),0), INDEX($AN$1004:$BO$1004,1,MATCH(COLUMNS($AN$1006:AP1006),$AN$1006:$BO$1006,0)))),"Fix")))</f>
        <v>0</v>
      </c>
      <c r="E310" s="4">
        <f>IF(OR(INDEX($AH$2:$AH$1001,MATCH(ROWS($AG$2:AG310),$AG$2:$AG$1001,0),1)&gt;=100000,INDEX($AN$1005:$BO$1005,1,MATCH(COLUMNS($AN$1006:AQ1006),$AN$1006:$BO$1006,0))&gt;=100000), " ",IF(INDEX($AN$2:$BO$1001,MATCH(ROWS($AG$2:AG310),$AG$2:$AG$1001,0),MATCH(COLUMNS($AN$1006:AQ1006),$AN$1006:$BO$1006,0)), HYPERLINK("#",""), HYPERLINK(CONCATENATE("#Metadata!", ADDRESS(INDEX($AI$2:$AI$1001,MATCH(ROWS($AG$2:AG310),$AG$2:$AG$1001,0),0), INDEX($AN$1004:$BO$1004,1,MATCH(COLUMNS($AN$1006:AQ1006),$AN$1006:$BO$1006,0)))),"Fix")))</f>
        <v>0</v>
      </c>
      <c r="F310" s="4">
        <f>IF(OR(INDEX($AH$2:$AH$1001,MATCH(ROWS($AG$2:AG310),$AG$2:$AG$1001,0),1)&gt;=100000,INDEX($AN$1005:$BO$1005,1,MATCH(COLUMNS($AN$1006:AR1006),$AN$1006:$BO$1006,0))&gt;=100000), " ",IF(INDEX($AN$2:$BO$1001,MATCH(ROWS($AG$2:AG310),$AG$2:$AG$1001,0),MATCH(COLUMNS($AN$1006:AR1006),$AN$1006:$BO$1006,0)), HYPERLINK("#",""), HYPERLINK(CONCATENATE("#Metadata!", ADDRESS(INDEX($AI$2:$AI$1001,MATCH(ROWS($AG$2:AG310),$AG$2:$AG$1001,0),0), INDEX($AN$1004:$BO$1004,1,MATCH(COLUMNS($AN$1006:AR1006),$AN$1006:$BO$1006,0)))),"Fix")))</f>
        <v>0</v>
      </c>
      <c r="G310" s="4">
        <f>IF(OR(INDEX($AH$2:$AH$1001,MATCH(ROWS($AG$2:AG310),$AG$2:$AG$1001,0),1)&gt;=100000,INDEX($AN$1005:$BO$1005,1,MATCH(COLUMNS($AN$1006:AS1006),$AN$1006:$BO$1006,0))&gt;=100000), " ",IF(INDEX($AN$2:$BO$1001,MATCH(ROWS($AG$2:AG310),$AG$2:$AG$1001,0),MATCH(COLUMNS($AN$1006:AS1006),$AN$1006:$BO$1006,0)), HYPERLINK("#",""), HYPERLINK(CONCATENATE("#Metadata!", ADDRESS(INDEX($AI$2:$AI$1001,MATCH(ROWS($AG$2:AG310),$AG$2:$AG$1001,0),0), INDEX($AN$1004:$BO$1004,1,MATCH(COLUMNS($AN$1006:AS1006),$AN$1006:$BO$1006,0)))),"Fix")))</f>
        <v>0</v>
      </c>
      <c r="H310" s="4">
        <f>IF(OR(INDEX($AH$2:$AH$1001,MATCH(ROWS($AG$2:AG310),$AG$2:$AG$1001,0),1)&gt;=100000,INDEX($AN$1005:$BO$1005,1,MATCH(COLUMNS($AN$1006:AT1006),$AN$1006:$BO$1006,0))&gt;=100000), " ",IF(INDEX($AN$2:$BO$1001,MATCH(ROWS($AG$2:AG310),$AG$2:$AG$1001,0),MATCH(COLUMNS($AN$1006:AT1006),$AN$1006:$BO$1006,0)), HYPERLINK("#",""), HYPERLINK(CONCATENATE("#Metadata!", ADDRESS(INDEX($AI$2:$AI$1001,MATCH(ROWS($AG$2:AG310),$AG$2:$AG$1001,0),0), INDEX($AN$1004:$BO$1004,1,MATCH(COLUMNS($AN$1006:AT1006),$AN$1006:$BO$1006,0)))),"Fix")))</f>
        <v>0</v>
      </c>
      <c r="I310" s="4">
        <f>IF(OR(INDEX($AH$2:$AH$1001,MATCH(ROWS($AG$2:AG310),$AG$2:$AG$1001,0),1)&gt;=100000,INDEX($AN$1005:$BO$1005,1,MATCH(COLUMNS($AN$1006:AU1006),$AN$1006:$BO$1006,0))&gt;=100000), " ",IF(INDEX($AN$2:$BO$1001,MATCH(ROWS($AG$2:AG310),$AG$2:$AG$1001,0),MATCH(COLUMNS($AN$1006:AU1006),$AN$1006:$BO$1006,0)), HYPERLINK("#",""), HYPERLINK(CONCATENATE("#Metadata!", ADDRESS(INDEX($AI$2:$AI$1001,MATCH(ROWS($AG$2:AG310),$AG$2:$AG$1001,0),0), INDEX($AN$1004:$BO$1004,1,MATCH(COLUMNS($AN$1006:AU1006),$AN$1006:$BO$1006,0)))),"Fix")))</f>
        <v>0</v>
      </c>
      <c r="J310" s="4">
        <f>IF(OR(INDEX($AH$2:$AH$1001,MATCH(ROWS($AG$2:AG310),$AG$2:$AG$1001,0),1)&gt;=100000,INDEX($AN$1005:$BO$1005,1,MATCH(COLUMNS($AN$1006:AV1006),$AN$1006:$BO$1006,0))&gt;=100000), " ",IF(INDEX($AN$2:$BO$1001,MATCH(ROWS($AG$2:AG310),$AG$2:$AG$1001,0),MATCH(COLUMNS($AN$1006:AV1006),$AN$1006:$BO$1006,0)), HYPERLINK("#",""), HYPERLINK(CONCATENATE("#Metadata!", ADDRESS(INDEX($AI$2:$AI$1001,MATCH(ROWS($AG$2:AG310),$AG$2:$AG$1001,0),0), INDEX($AN$1004:$BO$1004,1,MATCH(COLUMNS($AN$1006:AV1006),$AN$1006:$BO$1006,0)))),"Fix")))</f>
        <v>0</v>
      </c>
      <c r="K310" s="4">
        <f>IF(OR(INDEX($AH$2:$AH$1001,MATCH(ROWS($AG$2:AG310),$AG$2:$AG$1001,0),1)&gt;=100000,INDEX($AN$1005:$BO$1005,1,MATCH(COLUMNS($AN$1006:AW1006),$AN$1006:$BO$1006,0))&gt;=100000), " ",IF(INDEX($AN$2:$BO$1001,MATCH(ROWS($AG$2:AG310),$AG$2:$AG$1001,0),MATCH(COLUMNS($AN$1006:AW1006),$AN$1006:$BO$1006,0)), HYPERLINK("#",""), HYPERLINK(CONCATENATE("#Metadata!", ADDRESS(INDEX($AI$2:$AI$1001,MATCH(ROWS($AG$2:AG310),$AG$2:$AG$1001,0),0), INDEX($AN$1004:$BO$1004,1,MATCH(COLUMNS($AN$1006:AW1006),$AN$1006:$BO$1006,0)))),"Fix")))</f>
        <v>0</v>
      </c>
      <c r="L310" s="4">
        <f>IF(OR(INDEX($AH$2:$AH$1001,MATCH(ROWS($AG$2:AG310),$AG$2:$AG$1001,0),1)&gt;=100000,INDEX($AN$1005:$BO$1005,1,MATCH(COLUMNS($AN$1006:AX1006),$AN$1006:$BO$1006,0))&gt;=100000), " ",IF(INDEX($AN$2:$BO$1001,MATCH(ROWS($AG$2:AG310),$AG$2:$AG$1001,0),MATCH(COLUMNS($AN$1006:AX1006),$AN$1006:$BO$1006,0)), HYPERLINK("#",""), HYPERLINK(CONCATENATE("#Metadata!", ADDRESS(INDEX($AI$2:$AI$1001,MATCH(ROWS($AG$2:AG310),$AG$2:$AG$1001,0),0), INDEX($AN$1004:$BO$1004,1,MATCH(COLUMNS($AN$1006:AX1006),$AN$1006:$BO$1006,0)))),"Fix")))</f>
        <v>0</v>
      </c>
      <c r="M310" s="4">
        <f>IF(OR(INDEX($AH$2:$AH$1001,MATCH(ROWS($AG$2:AG310),$AG$2:$AG$1001,0),1)&gt;=100000,INDEX($AN$1005:$BO$1005,1,MATCH(COLUMNS($AN$1006:AY1006),$AN$1006:$BO$1006,0))&gt;=100000), " ",IF(INDEX($AN$2:$BO$1001,MATCH(ROWS($AG$2:AG310),$AG$2:$AG$1001,0),MATCH(COLUMNS($AN$1006:AY1006),$AN$1006:$BO$1006,0)), HYPERLINK("#",""), HYPERLINK(CONCATENATE("#Metadata!", ADDRESS(INDEX($AI$2:$AI$1001,MATCH(ROWS($AG$2:AG310),$AG$2:$AG$1001,0),0), INDEX($AN$1004:$BO$1004,1,MATCH(COLUMNS($AN$1006:AY1006),$AN$1006:$BO$1006,0)))),"Fix")))</f>
        <v>0</v>
      </c>
      <c r="N310" s="4">
        <f>IF(OR(INDEX($AH$2:$AH$1001,MATCH(ROWS($AG$2:AG310),$AG$2:$AG$1001,0),1)&gt;=100000,INDEX($AN$1005:$BO$1005,1,MATCH(COLUMNS($AN$1006:AZ1006),$AN$1006:$BO$1006,0))&gt;=100000), " ",IF(INDEX($AN$2:$BO$1001,MATCH(ROWS($AG$2:AG310),$AG$2:$AG$1001,0),MATCH(COLUMNS($AN$1006:AZ1006),$AN$1006:$BO$1006,0)), HYPERLINK("#",""), HYPERLINK(CONCATENATE("#Metadata!", ADDRESS(INDEX($AI$2:$AI$1001,MATCH(ROWS($AG$2:AG310),$AG$2:$AG$1001,0),0), INDEX($AN$1004:$BO$1004,1,MATCH(COLUMNS($AN$1006:AZ1006),$AN$1006:$BO$1006,0)))),"Fix")))</f>
        <v>0</v>
      </c>
      <c r="O310" s="4">
        <f>IF(OR(INDEX($AH$2:$AH$1001,MATCH(ROWS($AG$2:AG310),$AG$2:$AG$1001,0),1)&gt;=100000,INDEX($AN$1005:$BO$1005,1,MATCH(COLUMNS($AN$1006:BA1006),$AN$1006:$BO$1006,0))&gt;=100000), " ",IF(INDEX($AN$2:$BO$1001,MATCH(ROWS($AG$2:AG310),$AG$2:$AG$1001,0),MATCH(COLUMNS($AN$1006:BA1006),$AN$1006:$BO$1006,0)), HYPERLINK("#",""), HYPERLINK(CONCATENATE("#Metadata!", ADDRESS(INDEX($AI$2:$AI$1001,MATCH(ROWS($AG$2:AG310),$AG$2:$AG$1001,0),0), INDEX($AN$1004:$BO$1004,1,MATCH(COLUMNS($AN$1006:BA1006),$AN$1006:$BO$1006,0)))),"Fix")))</f>
        <v>0</v>
      </c>
      <c r="P310" s="4">
        <f>IF(OR(INDEX($AH$2:$AH$1001,MATCH(ROWS($AG$2:AG310),$AG$2:$AG$1001,0),1)&gt;=100000,INDEX($AN$1005:$BO$1005,1,MATCH(COLUMNS($AN$1006:BB1006),$AN$1006:$BO$1006,0))&gt;=100000), " ",IF(INDEX($AN$2:$BO$1001,MATCH(ROWS($AG$2:AG310),$AG$2:$AG$1001,0),MATCH(COLUMNS($AN$1006:BB1006),$AN$1006:$BO$1006,0)), HYPERLINK("#",""), HYPERLINK(CONCATENATE("#Metadata!", ADDRESS(INDEX($AI$2:$AI$1001,MATCH(ROWS($AG$2:AG310),$AG$2:$AG$1001,0),0), INDEX($AN$1004:$BO$1004,1,MATCH(COLUMNS($AN$1006:BB1006),$AN$1006:$BO$1006,0)))),"Fix")))</f>
        <v>0</v>
      </c>
      <c r="Q310" s="4">
        <f>IF(OR(INDEX($AH$2:$AH$1001,MATCH(ROWS($AG$2:AG310),$AG$2:$AG$1001,0),1)&gt;=100000,INDEX($AN$1005:$BO$1005,1,MATCH(COLUMNS($AN$1006:BC1006),$AN$1006:$BO$1006,0))&gt;=100000), " ",IF(INDEX($AN$2:$BO$1001,MATCH(ROWS($AG$2:AG310),$AG$2:$AG$1001,0),MATCH(COLUMNS($AN$1006:BC1006),$AN$1006:$BO$1006,0)), HYPERLINK("#",""), HYPERLINK(CONCATENATE("#Metadata!", ADDRESS(INDEX($AI$2:$AI$1001,MATCH(ROWS($AG$2:AG310),$AG$2:$AG$1001,0),0), INDEX($AN$1004:$BO$1004,1,MATCH(COLUMNS($AN$1006:BC1006),$AN$1006:$BO$1006,0)))),"Fix")))</f>
        <v>0</v>
      </c>
      <c r="R310" s="4">
        <f>IF(OR(INDEX($AH$2:$AH$1001,MATCH(ROWS($AG$2:AG310),$AG$2:$AG$1001,0),1)&gt;=100000,INDEX($AN$1005:$BO$1005,1,MATCH(COLUMNS($AN$1006:BD1006),$AN$1006:$BO$1006,0))&gt;=100000), " ",IF(INDEX($AN$2:$BO$1001,MATCH(ROWS($AG$2:AG310),$AG$2:$AG$1001,0),MATCH(COLUMNS($AN$1006:BD1006),$AN$1006:$BO$1006,0)), HYPERLINK("#",""), HYPERLINK(CONCATENATE("#Metadata!", ADDRESS(INDEX($AI$2:$AI$1001,MATCH(ROWS($AG$2:AG310),$AG$2:$AG$1001,0),0), INDEX($AN$1004:$BO$1004,1,MATCH(COLUMNS($AN$1006:BD1006),$AN$1006:$BO$1006,0)))),"Fix")))</f>
        <v>0</v>
      </c>
      <c r="S310" s="4">
        <f>IF(OR(INDEX($AH$2:$AH$1001,MATCH(ROWS($AG$2:AG310),$AG$2:$AG$1001,0),1)&gt;=100000,INDEX($AN$1005:$BO$1005,1,MATCH(COLUMNS($AN$1006:BE1006),$AN$1006:$BO$1006,0))&gt;=100000), " ",IF(INDEX($AN$2:$BO$1001,MATCH(ROWS($AG$2:AG310),$AG$2:$AG$1001,0),MATCH(COLUMNS($AN$1006:BE1006),$AN$1006:$BO$1006,0)), HYPERLINK("#",""), HYPERLINK(CONCATENATE("#Metadata!", ADDRESS(INDEX($AI$2:$AI$1001,MATCH(ROWS($AG$2:AG310),$AG$2:$AG$1001,0),0), INDEX($AN$1004:$BO$1004,1,MATCH(COLUMNS($AN$1006:BE1006),$AN$1006:$BO$1006,0)))),"Fix")))</f>
        <v>0</v>
      </c>
      <c r="T310" s="4">
        <f>IF(OR(INDEX($AH$2:$AH$1001,MATCH(ROWS($AG$2:AG310),$AG$2:$AG$1001,0),1)&gt;=100000,INDEX($AN$1005:$BO$1005,1,MATCH(COLUMNS($AN$1006:BF1006),$AN$1006:$BO$1006,0))&gt;=100000), " ",IF(INDEX($AN$2:$BO$1001,MATCH(ROWS($AG$2:AG310),$AG$2:$AG$1001,0),MATCH(COLUMNS($AN$1006:BF1006),$AN$1006:$BO$1006,0)), HYPERLINK("#",""), HYPERLINK(CONCATENATE("#Metadata!", ADDRESS(INDEX($AI$2:$AI$1001,MATCH(ROWS($AG$2:AG310),$AG$2:$AG$1001,0),0), INDEX($AN$1004:$BO$1004,1,MATCH(COLUMNS($AN$1006:BF1006),$AN$1006:$BO$1006,0)))),"Fix")))</f>
        <v>0</v>
      </c>
      <c r="U310" s="4">
        <f>IF(OR(INDEX($AH$2:$AH$1001,MATCH(ROWS($AG$2:AG310),$AG$2:$AG$1001,0),1)&gt;=100000,INDEX($AN$1005:$BO$1005,1,MATCH(COLUMNS($AN$1006:BG1006),$AN$1006:$BO$1006,0))&gt;=100000), " ",IF(INDEX($AN$2:$BO$1001,MATCH(ROWS($AG$2:AG310),$AG$2:$AG$1001,0),MATCH(COLUMNS($AN$1006:BG1006),$AN$1006:$BO$1006,0)), HYPERLINK("#",""), HYPERLINK(CONCATENATE("#Metadata!", ADDRESS(INDEX($AI$2:$AI$1001,MATCH(ROWS($AG$2:AG310),$AG$2:$AG$1001,0),0), INDEX($AN$1004:$BO$1004,1,MATCH(COLUMNS($AN$1006:BG1006),$AN$1006:$BO$1006,0)))),"Fix")))</f>
        <v>0</v>
      </c>
      <c r="V310" s="4">
        <f>IF(OR(INDEX($AH$2:$AH$1001,MATCH(ROWS($AG$2:AG310),$AG$2:$AG$1001,0),1)&gt;=100000,INDEX($AN$1005:$BO$1005,1,MATCH(COLUMNS($AN$1006:BH1006),$AN$1006:$BO$1006,0))&gt;=100000), " ",IF(INDEX($AN$2:$BO$1001,MATCH(ROWS($AG$2:AG310),$AG$2:$AG$1001,0),MATCH(COLUMNS($AN$1006:BH1006),$AN$1006:$BO$1006,0)), HYPERLINK("#",""), HYPERLINK(CONCATENATE("#Metadata!", ADDRESS(INDEX($AI$2:$AI$1001,MATCH(ROWS($AG$2:AG310),$AG$2:$AG$1001,0),0), INDEX($AN$1004:$BO$1004,1,MATCH(COLUMNS($AN$1006:BH1006),$AN$1006:$BO$1006,0)))),"Fix")))</f>
        <v>0</v>
      </c>
      <c r="W310" s="4">
        <f>IF(OR(INDEX($AH$2:$AH$1001,MATCH(ROWS($AG$2:AG310),$AG$2:$AG$1001,0),1)&gt;=100000,INDEX($AN$1005:$BO$1005,1,MATCH(COLUMNS($AN$1006:BI1006),$AN$1006:$BO$1006,0))&gt;=100000), " ",IF(INDEX($AN$2:$BO$1001,MATCH(ROWS($AG$2:AG310),$AG$2:$AG$1001,0),MATCH(COLUMNS($AN$1006:BI1006),$AN$1006:$BO$1006,0)), HYPERLINK("#",""), HYPERLINK(CONCATENATE("#Metadata!", ADDRESS(INDEX($AI$2:$AI$1001,MATCH(ROWS($AG$2:AG310),$AG$2:$AG$1001,0),0), INDEX($AN$1004:$BO$1004,1,MATCH(COLUMNS($AN$1006:BI1006),$AN$1006:$BO$1006,0)))),"Fix")))</f>
        <v>0</v>
      </c>
      <c r="X310" s="4">
        <f>IF(OR(INDEX($AH$2:$AH$1001,MATCH(ROWS($AG$2:AG310),$AG$2:$AG$1001,0),1)&gt;=100000,INDEX($AN$1005:$BO$1005,1,MATCH(COLUMNS($AN$1006:BJ1006),$AN$1006:$BO$1006,0))&gt;=100000), " ",IF(INDEX($AN$2:$BO$1001,MATCH(ROWS($AG$2:AG310),$AG$2:$AG$1001,0),MATCH(COLUMNS($AN$1006:BJ1006),$AN$1006:$BO$1006,0)), HYPERLINK("#",""), HYPERLINK(CONCATENATE("#Metadata!", ADDRESS(INDEX($AI$2:$AI$1001,MATCH(ROWS($AG$2:AG310),$AG$2:$AG$1001,0),0), INDEX($AN$1004:$BO$1004,1,MATCH(COLUMNS($AN$1006:BJ1006),$AN$1006:$BO$1006,0)))),"Fix")))</f>
        <v>0</v>
      </c>
      <c r="Y310" s="4">
        <f>IF(OR(INDEX($AH$2:$AH$1001,MATCH(ROWS($AG$2:AG310),$AG$2:$AG$1001,0),1)&gt;=100000,INDEX($AN$1005:$BO$1005,1,MATCH(COLUMNS($AN$1006:BK1006),$AN$1006:$BO$1006,0))&gt;=100000), " ",IF(INDEX($AN$2:$BO$1001,MATCH(ROWS($AG$2:AG310),$AG$2:$AG$1001,0),MATCH(COLUMNS($AN$1006:BK1006),$AN$1006:$BO$1006,0)), HYPERLINK("#",""), HYPERLINK(CONCATENATE("#Metadata!", ADDRESS(INDEX($AI$2:$AI$1001,MATCH(ROWS($AG$2:AG310),$AG$2:$AG$1001,0),0), INDEX($AN$1004:$BO$1004,1,MATCH(COLUMNS($AN$1006:BK1006),$AN$1006:$BO$1006,0)))),"Fix")))</f>
        <v>0</v>
      </c>
      <c r="Z310" s="4">
        <f>IF(OR(INDEX($AH$2:$AH$1001,MATCH(ROWS($AG$2:AG310),$AG$2:$AG$1001,0),1)&gt;=100000,INDEX($AN$1005:$BO$1005,1,MATCH(COLUMNS($AN$1006:BL1006),$AN$1006:$BO$1006,0))&gt;=100000), " ",IF(INDEX($AN$2:$BO$1001,MATCH(ROWS($AG$2:AG310),$AG$2:$AG$1001,0),MATCH(COLUMNS($AN$1006:BL1006),$AN$1006:$BO$1006,0)), HYPERLINK("#",""), HYPERLINK(CONCATENATE("#Metadata!", ADDRESS(INDEX($AI$2:$AI$1001,MATCH(ROWS($AG$2:AG310),$AG$2:$AG$1001,0),0), INDEX($AN$1004:$BO$1004,1,MATCH(COLUMNS($AN$1006:BL1006),$AN$1006:$BO$1006,0)))),"Fix")))</f>
        <v>0</v>
      </c>
      <c r="AA310" s="4">
        <f>IF(OR(INDEX($AH$2:$AH$1001,MATCH(ROWS($AG$2:AG310),$AG$2:$AG$1001,0),1)&gt;=100000,INDEX($AN$1005:$BO$1005,1,MATCH(COLUMNS($AN$1006:BM1006),$AN$1006:$BO$1006,0))&gt;=100000), " ",IF(INDEX($AN$2:$BO$1001,MATCH(ROWS($AG$2:AG310),$AG$2:$AG$1001,0),MATCH(COLUMNS($AN$1006:BM1006),$AN$1006:$BO$1006,0)), HYPERLINK("#",""), HYPERLINK(CONCATENATE("#Metadata!", ADDRESS(INDEX($AI$2:$AI$1001,MATCH(ROWS($AG$2:AG310),$AG$2:$AG$1001,0),0), INDEX($AN$1004:$BO$1004,1,MATCH(COLUMNS($AN$1006:BM1006),$AN$1006:$BO$1006,0)))),"Fix")))</f>
        <v>0</v>
      </c>
      <c r="AB310" s="4">
        <f>IF(OR(INDEX($AH$2:$AH$1001,MATCH(ROWS($AG$2:AG310),$AG$2:$AG$1001,0),1)&gt;=100000,INDEX($AN$1005:$BO$1005,1,MATCH(COLUMNS($AN$1006:BN1006),$AN$1006:$BO$1006,0))&gt;=100000), " ",IF(INDEX($AN$2:$BO$1001,MATCH(ROWS($AG$2:AG310),$AG$2:$AG$1001,0),MATCH(COLUMNS($AN$1006:BN1006),$AN$1006:$BO$1006,0)), HYPERLINK("#",""), HYPERLINK(CONCATENATE("#Metadata!", ADDRESS(INDEX($AI$2:$AI$1001,MATCH(ROWS($AG$2:AG310),$AG$2:$AG$1001,0),0), INDEX($AN$1004:$BO$1004,1,MATCH(COLUMNS($AN$1006:BN1006),$AN$1006:$BO$1006,0)))),"Fix")))</f>
        <v>0</v>
      </c>
      <c r="AC310" s="4">
        <f>IF(OR(INDEX($AH$2:$AH$1001,MATCH(ROWS($AG$2:AG310),$AG$2:$AG$1001,0),1)&gt;=100000,INDEX($AN$1005:$BO$1005,1,MATCH(COLUMNS($AN$1006:BO1006),$AN$1006:$BO$1006,0))&gt;=100000), " ",IF(INDEX($AN$2:$BO$1001,MATCH(ROWS($AG$2:AG310),$AG$2:$AG$1001,0),MATCH(COLUMNS($AN$1006:BO1006),$AN$1006:$BO$1006,0)), HYPERLINK("#",""), HYPERLINK(CONCATENATE("#Metadata!", ADDRESS(INDEX($AI$2:$AI$1001,MATCH(ROWS($AG$2:AG310),$AG$2:$AG$1001,0),0), INDEX($AN$1004:$BO$1004,1,MATCH(COLUMNS($AN$1006:BO1006),$AN$1006:$BO$1006,0)))),"Fix")))</f>
        <v>0</v>
      </c>
      <c r="AG310">
        <v>0</v>
      </c>
      <c r="AH310">
        <v>0</v>
      </c>
      <c r="AI310">
        <v>0</v>
      </c>
      <c r="AJ310">
        <f>IF(AK310,TRUE,AND(AN310:BO310))</f>
        <v>0</v>
      </c>
      <c r="AK310">
        <f>COUNTBLANK(Metadata!B310:AC310)=COLUMNS(Metadata!B310:AC310)</f>
        <v>0</v>
      </c>
      <c r="AL310">
        <v>0</v>
      </c>
      <c r="AN310">
        <f>AND(IF(Metadata!B310="",FALSE,TRUE),COUNTIF(Metadata!B:B, Metadata!B310) = 1,NOT(ISERROR(SUMPRODUCT(SEARCH(MID(Metadata!B310,ROW(INDIRECT("1:"&amp;LEN(Metadata!B310))), 1),"0123456789abcdefghijklmnopqrstuvwxyzABCDEFGHIJKLMNOPQRSTUVWXYZ.")))))</f>
        <v>0</v>
      </c>
      <c r="AO310">
        <f>IF(Metadata!C310="",FALSE,TRUE)</f>
        <v>0</v>
      </c>
      <c r="AP310">
        <f>IF(Metadata!D310="",FALSE,TRUE)</f>
        <v>0</v>
      </c>
      <c r="AQ310">
        <f>OR(AND(IF(Metadata!E310="",FALSE,TRUE),OR(exact(Metadata!E310,"not collected"),exact(Metadata!E310,"not provided"),exact(Metadata!E310,"restricted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R310">
        <f>IF(Metadata!F310="",FALSE,TRUE)</f>
        <v>0</v>
      </c>
      <c r="AS310">
        <f>OR(AND(IF(Metadata!G310="",FALSE,TRUE),OR(exact(Metadata!G310,"not collected"),exact(Metadata!G310,"not provided"))),AND(IF(Metadata!G310="",FALSE,TRUE),OR(exact(Metadata!G310,"TRUE"),exact(Metadata!G310,"FALSE"))))</f>
        <v>0</v>
      </c>
      <c r="AT310">
        <f>OR(AND(IF(Metadata!H310="",FALSE,TRUE),OR(exact(Metadata!H310,"not collected"),exact(Metadata!H310,"not provided"),exact(Metadata!H310,"restricted access"))),AND(IF(Metadata!H310="",FALSE,ISNUMBER(VALUE(Metadata!H310))),Metadata!H310&gt;=-413.0))</f>
        <v>0</v>
      </c>
      <c r="AU310">
        <f>AND(IF(Metadata!I310="",FALSE,TRUE),exact(Metadata!I310,"meters"))</f>
        <v>0</v>
      </c>
      <c r="AV310">
        <f>AND(IF(Metadata!J310="",FALSE,TRUE),OR(exact(Metadata!J310,"Host-associated"),exact(Metadata!J310,"Free-living")))</f>
        <v>0</v>
      </c>
      <c r="AW310">
        <f>AND(IF(Metadata!K310="",FALSE,TRUE),OR(exact(Metadata!K310,"Animal"),exact(Metadata!K310,"Fungus"),exact(Metadata!K310,"Plant"),exact(Metadata!K310,"Saline"),exact(Metadata!K310,"Non-saline")))</f>
        <v>0</v>
      </c>
      <c r="AX310">
        <f>AND(IF(Metadata!L310="",FALSE,TRUE),OR(exact(Metadata!L310,"Plant secretion"),exact(Metadata!L310,"Plant rhizosphere"),exact(Metadata!L310,"Plant surface"),exact(Metadata!L310,"Plant corpus"),exact(Metadata!L310,"Fungus surface"),exact(Metadata!L310,"Fungus corpus"),exact(Metadata!L310,"Animal surface"),exact(Metadata!L310,"Animal proximal gut"),exact(Metadata!L310,"Animal corpus"),exact(Metadata!L310,"Animal distal gut"),exact(Metadata!L310,"Animal secretion"),exact(Metadata!L310,"Sub-surface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Y310">
        <f>IF(Metadata!M310="",FALSE,TRUE)</f>
        <v>0</v>
      </c>
      <c r="AZ310">
        <f>IF(Metadata!N310="",FALSE,TRUE)</f>
        <v>0</v>
      </c>
      <c r="BA310">
        <f>IF(Metadata!O310="",FALSE,TRUE)</f>
        <v>0</v>
      </c>
      <c r="BB310">
        <f>OR(AND(IF(Metadata!P310="",FALSE,TRUE),OR(exact(Metadata!P310,"not collected"),exact(Metadata!P310,"not provided"),exact(Metadata!P310,"restricted access"))),AND(IF(Metadata!P310="",FALSE,TRUE),OR(exact(Metadata!P310,"air"),exact(Metadata!P310,"built environment"),exact(Metadata!P310,"host-associated"),exact(Metadata!P310,"human-associated"),exact(Metadata!P310,"human-skin"),exact(Metadata!P310,"human-oral"),exact(Metadata!P310,"human-gut"),exact(Metadata!P310,"human-vaginal"),exact(Metadata!P310,"microbial mat/biofilm"),exact(Metadata!P310,"misc environment"),exact(Metadata!P310,"plant-associated"),exact(Metadata!P310,"sediment"),exact(Metadata!P310,"soil"),exact(Metadata!P310,"wastewater/sludge"),exact(Metadata!P310,"water"))))</f>
        <v>0</v>
      </c>
      <c r="BC310">
        <f>IF(Metadata!Q310="",FALSE,TRUE)</f>
        <v>0</v>
      </c>
      <c r="BD310">
        <f>IF(Metadata!R310="",FALSE,TRUE)</f>
        <v>0</v>
      </c>
      <c r="BE310">
        <f>OR(AND(IF(Metadata!S310="",FALSE,TRUE),OR(exact(Metadata!S310,"not collected"),exact(Metadata!S310,"not provided"),exact(Metadata!S310,"restricted access"))),AND(IF(Metadata!S310="",FALSE,ISNUMBER(VALUE(Metadata!S310))),Metadata!S310&gt;=-90.00,Metadata!S310&lt;=90.00))</f>
        <v>0</v>
      </c>
      <c r="BF310">
        <f>AND(IF(Metadata!T310="",FALSE,TRUE),exact(Metadata!T310,"Decimal degrees"))</f>
        <v>0</v>
      </c>
      <c r="BG310">
        <f>OR(AND(IF(Metadata!U310="",FALSE,TRUE),OR(exact(Metadata!U310,"not collected"),exact(Metadata!U310,"not provided"),exact(Metadata!U310,"restricted access"))),AND(IF(Metadata!U310="",FALSE,ISNUMBER(VALUE(Metadata!U310))),Metadata!U310&gt;=-180.00,Metadata!U310&lt;=180.00))</f>
        <v>0</v>
      </c>
      <c r="BH310">
        <f>AND(IF(Metadata!V310="",FALSE,TRUE),exact(Metadata!V310,"Decimal degrees"))</f>
        <v>0</v>
      </c>
      <c r="BI310">
        <f>IF(Metadata!W310="",FALSE,TRUE)</f>
        <v>0</v>
      </c>
      <c r="BJ310">
        <f>OR(AND(IF(Metadata!X310="",FALSE,TRUE),OR(exact(Metadata!X310,"not collected"),exact(Metadata!X310,"not provided"),exact(Metadata!X310,"restricted access"))),AND(IF(Metadata!X310="",FALSE,TRUE),OR(exact(Metadata!X310,"TRUE"),exact(Metadata!X310,"FALSE"))))</f>
        <v>0</v>
      </c>
      <c r="BK310">
        <f>AND(IF(Metadata!Y310="",FALSE,TRUE),exact(Metadata!Y310,"other"))</f>
        <v>0</v>
      </c>
      <c r="BL310">
        <f>IF(Metadata!Z310="",FALSE,TRUE)</f>
        <v>0</v>
      </c>
      <c r="BM310">
        <f>OR(AND(IF(Metadata!AA310="",FALSE,TRUE),OR(exact(Metadata!AA310,"not collected"),exact(Metadata!AA310,"not provided"))),AND(IF(Metadata!AA310="",FALSE,IF(ISERROR(INT(Metadata!AA310)),FALSE,INT(Metadata!AA310)=Metadata!AA310)),Metadata!AA310&gt;0))</f>
        <v>0</v>
      </c>
      <c r="BN310">
        <f>AND(IF(Metadata!AB310="",FALSE,TRUE),exact(Metadata!AB310,"Not applicable"))</f>
        <v>0</v>
      </c>
      <c r="BO310">
        <f>IF(Metadata!AC310="",FALSE,TRUE)</f>
        <v>0</v>
      </c>
    </row>
    <row r="311" spans="1:67">
      <c r="A311" s="5">
        <f>IF(B311=" "," ",HYPERLINK(CONCATENATE("#metadata!",ADDRESS(INDEX($AI$2:$AI$1001,MATCH(ROWS($AG$2:AG311),$AG$2:$AG$1001,0),0),1)),INDEX($AL$2:$AL$1001,MATCH(ROWS($AG$2:AG311),$AG$2:$AG$1001,0),0)))</f>
        <v>0</v>
      </c>
      <c r="B311" s="4">
        <f>IF(OR(INDEX($AH$2:$AH$1001,MATCH(ROWS($AG$2:AG311),$AG$2:$AG$1001,0),1)&gt;=100000,INDEX($AN$1005:$BO$1005,1,MATCH(COLUMNS($AN$1006:AN1006),$AN$1006:$BO$1006,0))&gt;=100000), " ",IF(INDEX($AN$2:$BO$1001,MATCH(ROWS($AG$2:AG311),$AG$2:$AG$1001,0),MATCH(COLUMNS($AN$1006:AN1006),$AN$1006:$BO$1006,0)), HYPERLINK("#",""), HYPERLINK(CONCATENATE("#Metadata!", ADDRESS(INDEX($AI$2:$AI$1001,MATCH(ROWS($AG$2:AG311),$AG$2:$AG$1001,0),0), INDEX($AN$1004:$BO$1004,1,MATCH(COLUMNS($AN$1006:AN1006),$AN$1006:$BO$1006,0)))),"Fix")))</f>
        <v>0</v>
      </c>
      <c r="C311" s="4">
        <f>IF(OR(INDEX($AH$2:$AH$1001,MATCH(ROWS($AG$2:AG311),$AG$2:$AG$1001,0),1)&gt;=100000,INDEX($AN$1005:$BO$1005,1,MATCH(COLUMNS($AN$1006:AO1006),$AN$1006:$BO$1006,0))&gt;=100000), " ",IF(INDEX($AN$2:$BO$1001,MATCH(ROWS($AG$2:AG311),$AG$2:$AG$1001,0),MATCH(COLUMNS($AN$1006:AO1006),$AN$1006:$BO$1006,0)), HYPERLINK("#",""), HYPERLINK(CONCATENATE("#Metadata!", ADDRESS(INDEX($AI$2:$AI$1001,MATCH(ROWS($AG$2:AG311),$AG$2:$AG$1001,0),0), INDEX($AN$1004:$BO$1004,1,MATCH(COLUMNS($AN$1006:AO1006),$AN$1006:$BO$1006,0)))),"Fix")))</f>
        <v>0</v>
      </c>
      <c r="D311" s="4">
        <f>IF(OR(INDEX($AH$2:$AH$1001,MATCH(ROWS($AG$2:AG311),$AG$2:$AG$1001,0),1)&gt;=100000,INDEX($AN$1005:$BO$1005,1,MATCH(COLUMNS($AN$1006:AP1006),$AN$1006:$BO$1006,0))&gt;=100000), " ",IF(INDEX($AN$2:$BO$1001,MATCH(ROWS($AG$2:AG311),$AG$2:$AG$1001,0),MATCH(COLUMNS($AN$1006:AP1006),$AN$1006:$BO$1006,0)), HYPERLINK("#",""), HYPERLINK(CONCATENATE("#Metadata!", ADDRESS(INDEX($AI$2:$AI$1001,MATCH(ROWS($AG$2:AG311),$AG$2:$AG$1001,0),0), INDEX($AN$1004:$BO$1004,1,MATCH(COLUMNS($AN$1006:AP1006),$AN$1006:$BO$1006,0)))),"Fix")))</f>
        <v>0</v>
      </c>
      <c r="E311" s="4">
        <f>IF(OR(INDEX($AH$2:$AH$1001,MATCH(ROWS($AG$2:AG311),$AG$2:$AG$1001,0),1)&gt;=100000,INDEX($AN$1005:$BO$1005,1,MATCH(COLUMNS($AN$1006:AQ1006),$AN$1006:$BO$1006,0))&gt;=100000), " ",IF(INDEX($AN$2:$BO$1001,MATCH(ROWS($AG$2:AG311),$AG$2:$AG$1001,0),MATCH(COLUMNS($AN$1006:AQ1006),$AN$1006:$BO$1006,0)), HYPERLINK("#",""), HYPERLINK(CONCATENATE("#Metadata!", ADDRESS(INDEX($AI$2:$AI$1001,MATCH(ROWS($AG$2:AG311),$AG$2:$AG$1001,0),0), INDEX($AN$1004:$BO$1004,1,MATCH(COLUMNS($AN$1006:AQ1006),$AN$1006:$BO$1006,0)))),"Fix")))</f>
        <v>0</v>
      </c>
      <c r="F311" s="4">
        <f>IF(OR(INDEX($AH$2:$AH$1001,MATCH(ROWS($AG$2:AG311),$AG$2:$AG$1001,0),1)&gt;=100000,INDEX($AN$1005:$BO$1005,1,MATCH(COLUMNS($AN$1006:AR1006),$AN$1006:$BO$1006,0))&gt;=100000), " ",IF(INDEX($AN$2:$BO$1001,MATCH(ROWS($AG$2:AG311),$AG$2:$AG$1001,0),MATCH(COLUMNS($AN$1006:AR1006),$AN$1006:$BO$1006,0)), HYPERLINK("#",""), HYPERLINK(CONCATENATE("#Metadata!", ADDRESS(INDEX($AI$2:$AI$1001,MATCH(ROWS($AG$2:AG311),$AG$2:$AG$1001,0),0), INDEX($AN$1004:$BO$1004,1,MATCH(COLUMNS($AN$1006:AR1006),$AN$1006:$BO$1006,0)))),"Fix")))</f>
        <v>0</v>
      </c>
      <c r="G311" s="4">
        <f>IF(OR(INDEX($AH$2:$AH$1001,MATCH(ROWS($AG$2:AG311),$AG$2:$AG$1001,0),1)&gt;=100000,INDEX($AN$1005:$BO$1005,1,MATCH(COLUMNS($AN$1006:AS1006),$AN$1006:$BO$1006,0))&gt;=100000), " ",IF(INDEX($AN$2:$BO$1001,MATCH(ROWS($AG$2:AG311),$AG$2:$AG$1001,0),MATCH(COLUMNS($AN$1006:AS1006),$AN$1006:$BO$1006,0)), HYPERLINK("#",""), HYPERLINK(CONCATENATE("#Metadata!", ADDRESS(INDEX($AI$2:$AI$1001,MATCH(ROWS($AG$2:AG311),$AG$2:$AG$1001,0),0), INDEX($AN$1004:$BO$1004,1,MATCH(COLUMNS($AN$1006:AS1006),$AN$1006:$BO$1006,0)))),"Fix")))</f>
        <v>0</v>
      </c>
      <c r="H311" s="4">
        <f>IF(OR(INDEX($AH$2:$AH$1001,MATCH(ROWS($AG$2:AG311),$AG$2:$AG$1001,0),1)&gt;=100000,INDEX($AN$1005:$BO$1005,1,MATCH(COLUMNS($AN$1006:AT1006),$AN$1006:$BO$1006,0))&gt;=100000), " ",IF(INDEX($AN$2:$BO$1001,MATCH(ROWS($AG$2:AG311),$AG$2:$AG$1001,0),MATCH(COLUMNS($AN$1006:AT1006),$AN$1006:$BO$1006,0)), HYPERLINK("#",""), HYPERLINK(CONCATENATE("#Metadata!", ADDRESS(INDEX($AI$2:$AI$1001,MATCH(ROWS($AG$2:AG311),$AG$2:$AG$1001,0),0), INDEX($AN$1004:$BO$1004,1,MATCH(COLUMNS($AN$1006:AT1006),$AN$1006:$BO$1006,0)))),"Fix")))</f>
        <v>0</v>
      </c>
      <c r="I311" s="4">
        <f>IF(OR(INDEX($AH$2:$AH$1001,MATCH(ROWS($AG$2:AG311),$AG$2:$AG$1001,0),1)&gt;=100000,INDEX($AN$1005:$BO$1005,1,MATCH(COLUMNS($AN$1006:AU1006),$AN$1006:$BO$1006,0))&gt;=100000), " ",IF(INDEX($AN$2:$BO$1001,MATCH(ROWS($AG$2:AG311),$AG$2:$AG$1001,0),MATCH(COLUMNS($AN$1006:AU1006),$AN$1006:$BO$1006,0)), HYPERLINK("#",""), HYPERLINK(CONCATENATE("#Metadata!", ADDRESS(INDEX($AI$2:$AI$1001,MATCH(ROWS($AG$2:AG311),$AG$2:$AG$1001,0),0), INDEX($AN$1004:$BO$1004,1,MATCH(COLUMNS($AN$1006:AU1006),$AN$1006:$BO$1006,0)))),"Fix")))</f>
        <v>0</v>
      </c>
      <c r="J311" s="4">
        <f>IF(OR(INDEX($AH$2:$AH$1001,MATCH(ROWS($AG$2:AG311),$AG$2:$AG$1001,0),1)&gt;=100000,INDEX($AN$1005:$BO$1005,1,MATCH(COLUMNS($AN$1006:AV1006),$AN$1006:$BO$1006,0))&gt;=100000), " ",IF(INDEX($AN$2:$BO$1001,MATCH(ROWS($AG$2:AG311),$AG$2:$AG$1001,0),MATCH(COLUMNS($AN$1006:AV1006),$AN$1006:$BO$1006,0)), HYPERLINK("#",""), HYPERLINK(CONCATENATE("#Metadata!", ADDRESS(INDEX($AI$2:$AI$1001,MATCH(ROWS($AG$2:AG311),$AG$2:$AG$1001,0),0), INDEX($AN$1004:$BO$1004,1,MATCH(COLUMNS($AN$1006:AV1006),$AN$1006:$BO$1006,0)))),"Fix")))</f>
        <v>0</v>
      </c>
      <c r="K311" s="4">
        <f>IF(OR(INDEX($AH$2:$AH$1001,MATCH(ROWS($AG$2:AG311),$AG$2:$AG$1001,0),1)&gt;=100000,INDEX($AN$1005:$BO$1005,1,MATCH(COLUMNS($AN$1006:AW1006),$AN$1006:$BO$1006,0))&gt;=100000), " ",IF(INDEX($AN$2:$BO$1001,MATCH(ROWS($AG$2:AG311),$AG$2:$AG$1001,0),MATCH(COLUMNS($AN$1006:AW1006),$AN$1006:$BO$1006,0)), HYPERLINK("#",""), HYPERLINK(CONCATENATE("#Metadata!", ADDRESS(INDEX($AI$2:$AI$1001,MATCH(ROWS($AG$2:AG311),$AG$2:$AG$1001,0),0), INDEX($AN$1004:$BO$1004,1,MATCH(COLUMNS($AN$1006:AW1006),$AN$1006:$BO$1006,0)))),"Fix")))</f>
        <v>0</v>
      </c>
      <c r="L311" s="4">
        <f>IF(OR(INDEX($AH$2:$AH$1001,MATCH(ROWS($AG$2:AG311),$AG$2:$AG$1001,0),1)&gt;=100000,INDEX($AN$1005:$BO$1005,1,MATCH(COLUMNS($AN$1006:AX1006),$AN$1006:$BO$1006,0))&gt;=100000), " ",IF(INDEX($AN$2:$BO$1001,MATCH(ROWS($AG$2:AG311),$AG$2:$AG$1001,0),MATCH(COLUMNS($AN$1006:AX1006),$AN$1006:$BO$1006,0)), HYPERLINK("#",""), HYPERLINK(CONCATENATE("#Metadata!", ADDRESS(INDEX($AI$2:$AI$1001,MATCH(ROWS($AG$2:AG311),$AG$2:$AG$1001,0),0), INDEX($AN$1004:$BO$1004,1,MATCH(COLUMNS($AN$1006:AX1006),$AN$1006:$BO$1006,0)))),"Fix")))</f>
        <v>0</v>
      </c>
      <c r="M311" s="4">
        <f>IF(OR(INDEX($AH$2:$AH$1001,MATCH(ROWS($AG$2:AG311),$AG$2:$AG$1001,0),1)&gt;=100000,INDEX($AN$1005:$BO$1005,1,MATCH(COLUMNS($AN$1006:AY1006),$AN$1006:$BO$1006,0))&gt;=100000), " ",IF(INDEX($AN$2:$BO$1001,MATCH(ROWS($AG$2:AG311),$AG$2:$AG$1001,0),MATCH(COLUMNS($AN$1006:AY1006),$AN$1006:$BO$1006,0)), HYPERLINK("#",""), HYPERLINK(CONCATENATE("#Metadata!", ADDRESS(INDEX($AI$2:$AI$1001,MATCH(ROWS($AG$2:AG311),$AG$2:$AG$1001,0),0), INDEX($AN$1004:$BO$1004,1,MATCH(COLUMNS($AN$1006:AY1006),$AN$1006:$BO$1006,0)))),"Fix")))</f>
        <v>0</v>
      </c>
      <c r="N311" s="4">
        <f>IF(OR(INDEX($AH$2:$AH$1001,MATCH(ROWS($AG$2:AG311),$AG$2:$AG$1001,0),1)&gt;=100000,INDEX($AN$1005:$BO$1005,1,MATCH(COLUMNS($AN$1006:AZ1006),$AN$1006:$BO$1006,0))&gt;=100000), " ",IF(INDEX($AN$2:$BO$1001,MATCH(ROWS($AG$2:AG311),$AG$2:$AG$1001,0),MATCH(COLUMNS($AN$1006:AZ1006),$AN$1006:$BO$1006,0)), HYPERLINK("#",""), HYPERLINK(CONCATENATE("#Metadata!", ADDRESS(INDEX($AI$2:$AI$1001,MATCH(ROWS($AG$2:AG311),$AG$2:$AG$1001,0),0), INDEX($AN$1004:$BO$1004,1,MATCH(COLUMNS($AN$1006:AZ1006),$AN$1006:$BO$1006,0)))),"Fix")))</f>
        <v>0</v>
      </c>
      <c r="O311" s="4">
        <f>IF(OR(INDEX($AH$2:$AH$1001,MATCH(ROWS($AG$2:AG311),$AG$2:$AG$1001,0),1)&gt;=100000,INDEX($AN$1005:$BO$1005,1,MATCH(COLUMNS($AN$1006:BA1006),$AN$1006:$BO$1006,0))&gt;=100000), " ",IF(INDEX($AN$2:$BO$1001,MATCH(ROWS($AG$2:AG311),$AG$2:$AG$1001,0),MATCH(COLUMNS($AN$1006:BA1006),$AN$1006:$BO$1006,0)), HYPERLINK("#",""), HYPERLINK(CONCATENATE("#Metadata!", ADDRESS(INDEX($AI$2:$AI$1001,MATCH(ROWS($AG$2:AG311),$AG$2:$AG$1001,0),0), INDEX($AN$1004:$BO$1004,1,MATCH(COLUMNS($AN$1006:BA1006),$AN$1006:$BO$1006,0)))),"Fix")))</f>
        <v>0</v>
      </c>
      <c r="P311" s="4">
        <f>IF(OR(INDEX($AH$2:$AH$1001,MATCH(ROWS($AG$2:AG311),$AG$2:$AG$1001,0),1)&gt;=100000,INDEX($AN$1005:$BO$1005,1,MATCH(COLUMNS($AN$1006:BB1006),$AN$1006:$BO$1006,0))&gt;=100000), " ",IF(INDEX($AN$2:$BO$1001,MATCH(ROWS($AG$2:AG311),$AG$2:$AG$1001,0),MATCH(COLUMNS($AN$1006:BB1006),$AN$1006:$BO$1006,0)), HYPERLINK("#",""), HYPERLINK(CONCATENATE("#Metadata!", ADDRESS(INDEX($AI$2:$AI$1001,MATCH(ROWS($AG$2:AG311),$AG$2:$AG$1001,0),0), INDEX($AN$1004:$BO$1004,1,MATCH(COLUMNS($AN$1006:BB1006),$AN$1006:$BO$1006,0)))),"Fix")))</f>
        <v>0</v>
      </c>
      <c r="Q311" s="4">
        <f>IF(OR(INDEX($AH$2:$AH$1001,MATCH(ROWS($AG$2:AG311),$AG$2:$AG$1001,0),1)&gt;=100000,INDEX($AN$1005:$BO$1005,1,MATCH(COLUMNS($AN$1006:BC1006),$AN$1006:$BO$1006,0))&gt;=100000), " ",IF(INDEX($AN$2:$BO$1001,MATCH(ROWS($AG$2:AG311),$AG$2:$AG$1001,0),MATCH(COLUMNS($AN$1006:BC1006),$AN$1006:$BO$1006,0)), HYPERLINK("#",""), HYPERLINK(CONCATENATE("#Metadata!", ADDRESS(INDEX($AI$2:$AI$1001,MATCH(ROWS($AG$2:AG311),$AG$2:$AG$1001,0),0), INDEX($AN$1004:$BO$1004,1,MATCH(COLUMNS($AN$1006:BC1006),$AN$1006:$BO$1006,0)))),"Fix")))</f>
        <v>0</v>
      </c>
      <c r="R311" s="4">
        <f>IF(OR(INDEX($AH$2:$AH$1001,MATCH(ROWS($AG$2:AG311),$AG$2:$AG$1001,0),1)&gt;=100000,INDEX($AN$1005:$BO$1005,1,MATCH(COLUMNS($AN$1006:BD1006),$AN$1006:$BO$1006,0))&gt;=100000), " ",IF(INDEX($AN$2:$BO$1001,MATCH(ROWS($AG$2:AG311),$AG$2:$AG$1001,0),MATCH(COLUMNS($AN$1006:BD1006),$AN$1006:$BO$1006,0)), HYPERLINK("#",""), HYPERLINK(CONCATENATE("#Metadata!", ADDRESS(INDEX($AI$2:$AI$1001,MATCH(ROWS($AG$2:AG311),$AG$2:$AG$1001,0),0), INDEX($AN$1004:$BO$1004,1,MATCH(COLUMNS($AN$1006:BD1006),$AN$1006:$BO$1006,0)))),"Fix")))</f>
        <v>0</v>
      </c>
      <c r="S311" s="4">
        <f>IF(OR(INDEX($AH$2:$AH$1001,MATCH(ROWS($AG$2:AG311),$AG$2:$AG$1001,0),1)&gt;=100000,INDEX($AN$1005:$BO$1005,1,MATCH(COLUMNS($AN$1006:BE1006),$AN$1006:$BO$1006,0))&gt;=100000), " ",IF(INDEX($AN$2:$BO$1001,MATCH(ROWS($AG$2:AG311),$AG$2:$AG$1001,0),MATCH(COLUMNS($AN$1006:BE1006),$AN$1006:$BO$1006,0)), HYPERLINK("#",""), HYPERLINK(CONCATENATE("#Metadata!", ADDRESS(INDEX($AI$2:$AI$1001,MATCH(ROWS($AG$2:AG311),$AG$2:$AG$1001,0),0), INDEX($AN$1004:$BO$1004,1,MATCH(COLUMNS($AN$1006:BE1006),$AN$1006:$BO$1006,0)))),"Fix")))</f>
        <v>0</v>
      </c>
      <c r="T311" s="4">
        <f>IF(OR(INDEX($AH$2:$AH$1001,MATCH(ROWS($AG$2:AG311),$AG$2:$AG$1001,0),1)&gt;=100000,INDEX($AN$1005:$BO$1005,1,MATCH(COLUMNS($AN$1006:BF1006),$AN$1006:$BO$1006,0))&gt;=100000), " ",IF(INDEX($AN$2:$BO$1001,MATCH(ROWS($AG$2:AG311),$AG$2:$AG$1001,0),MATCH(COLUMNS($AN$1006:BF1006),$AN$1006:$BO$1006,0)), HYPERLINK("#",""), HYPERLINK(CONCATENATE("#Metadata!", ADDRESS(INDEX($AI$2:$AI$1001,MATCH(ROWS($AG$2:AG311),$AG$2:$AG$1001,0),0), INDEX($AN$1004:$BO$1004,1,MATCH(COLUMNS($AN$1006:BF1006),$AN$1006:$BO$1006,0)))),"Fix")))</f>
        <v>0</v>
      </c>
      <c r="U311" s="4">
        <f>IF(OR(INDEX($AH$2:$AH$1001,MATCH(ROWS($AG$2:AG311),$AG$2:$AG$1001,0),1)&gt;=100000,INDEX($AN$1005:$BO$1005,1,MATCH(COLUMNS($AN$1006:BG1006),$AN$1006:$BO$1006,0))&gt;=100000), " ",IF(INDEX($AN$2:$BO$1001,MATCH(ROWS($AG$2:AG311),$AG$2:$AG$1001,0),MATCH(COLUMNS($AN$1006:BG1006),$AN$1006:$BO$1006,0)), HYPERLINK("#",""), HYPERLINK(CONCATENATE("#Metadata!", ADDRESS(INDEX($AI$2:$AI$1001,MATCH(ROWS($AG$2:AG311),$AG$2:$AG$1001,0),0), INDEX($AN$1004:$BO$1004,1,MATCH(COLUMNS($AN$1006:BG1006),$AN$1006:$BO$1006,0)))),"Fix")))</f>
        <v>0</v>
      </c>
      <c r="V311" s="4">
        <f>IF(OR(INDEX($AH$2:$AH$1001,MATCH(ROWS($AG$2:AG311),$AG$2:$AG$1001,0),1)&gt;=100000,INDEX($AN$1005:$BO$1005,1,MATCH(COLUMNS($AN$1006:BH1006),$AN$1006:$BO$1006,0))&gt;=100000), " ",IF(INDEX($AN$2:$BO$1001,MATCH(ROWS($AG$2:AG311),$AG$2:$AG$1001,0),MATCH(COLUMNS($AN$1006:BH1006),$AN$1006:$BO$1006,0)), HYPERLINK("#",""), HYPERLINK(CONCATENATE("#Metadata!", ADDRESS(INDEX($AI$2:$AI$1001,MATCH(ROWS($AG$2:AG311),$AG$2:$AG$1001,0),0), INDEX($AN$1004:$BO$1004,1,MATCH(COLUMNS($AN$1006:BH1006),$AN$1006:$BO$1006,0)))),"Fix")))</f>
        <v>0</v>
      </c>
      <c r="W311" s="4">
        <f>IF(OR(INDEX($AH$2:$AH$1001,MATCH(ROWS($AG$2:AG311),$AG$2:$AG$1001,0),1)&gt;=100000,INDEX($AN$1005:$BO$1005,1,MATCH(COLUMNS($AN$1006:BI1006),$AN$1006:$BO$1006,0))&gt;=100000), " ",IF(INDEX($AN$2:$BO$1001,MATCH(ROWS($AG$2:AG311),$AG$2:$AG$1001,0),MATCH(COLUMNS($AN$1006:BI1006),$AN$1006:$BO$1006,0)), HYPERLINK("#",""), HYPERLINK(CONCATENATE("#Metadata!", ADDRESS(INDEX($AI$2:$AI$1001,MATCH(ROWS($AG$2:AG311),$AG$2:$AG$1001,0),0), INDEX($AN$1004:$BO$1004,1,MATCH(COLUMNS($AN$1006:BI1006),$AN$1006:$BO$1006,0)))),"Fix")))</f>
        <v>0</v>
      </c>
      <c r="X311" s="4">
        <f>IF(OR(INDEX($AH$2:$AH$1001,MATCH(ROWS($AG$2:AG311),$AG$2:$AG$1001,0),1)&gt;=100000,INDEX($AN$1005:$BO$1005,1,MATCH(COLUMNS($AN$1006:BJ1006),$AN$1006:$BO$1006,0))&gt;=100000), " ",IF(INDEX($AN$2:$BO$1001,MATCH(ROWS($AG$2:AG311),$AG$2:$AG$1001,0),MATCH(COLUMNS($AN$1006:BJ1006),$AN$1006:$BO$1006,0)), HYPERLINK("#",""), HYPERLINK(CONCATENATE("#Metadata!", ADDRESS(INDEX($AI$2:$AI$1001,MATCH(ROWS($AG$2:AG311),$AG$2:$AG$1001,0),0), INDEX($AN$1004:$BO$1004,1,MATCH(COLUMNS($AN$1006:BJ1006),$AN$1006:$BO$1006,0)))),"Fix")))</f>
        <v>0</v>
      </c>
      <c r="Y311" s="4">
        <f>IF(OR(INDEX($AH$2:$AH$1001,MATCH(ROWS($AG$2:AG311),$AG$2:$AG$1001,0),1)&gt;=100000,INDEX($AN$1005:$BO$1005,1,MATCH(COLUMNS($AN$1006:BK1006),$AN$1006:$BO$1006,0))&gt;=100000), " ",IF(INDEX($AN$2:$BO$1001,MATCH(ROWS($AG$2:AG311),$AG$2:$AG$1001,0),MATCH(COLUMNS($AN$1006:BK1006),$AN$1006:$BO$1006,0)), HYPERLINK("#",""), HYPERLINK(CONCATENATE("#Metadata!", ADDRESS(INDEX($AI$2:$AI$1001,MATCH(ROWS($AG$2:AG311),$AG$2:$AG$1001,0),0), INDEX($AN$1004:$BO$1004,1,MATCH(COLUMNS($AN$1006:BK1006),$AN$1006:$BO$1006,0)))),"Fix")))</f>
        <v>0</v>
      </c>
      <c r="Z311" s="4">
        <f>IF(OR(INDEX($AH$2:$AH$1001,MATCH(ROWS($AG$2:AG311),$AG$2:$AG$1001,0),1)&gt;=100000,INDEX($AN$1005:$BO$1005,1,MATCH(COLUMNS($AN$1006:BL1006),$AN$1006:$BO$1006,0))&gt;=100000), " ",IF(INDEX($AN$2:$BO$1001,MATCH(ROWS($AG$2:AG311),$AG$2:$AG$1001,0),MATCH(COLUMNS($AN$1006:BL1006),$AN$1006:$BO$1006,0)), HYPERLINK("#",""), HYPERLINK(CONCATENATE("#Metadata!", ADDRESS(INDEX($AI$2:$AI$1001,MATCH(ROWS($AG$2:AG311),$AG$2:$AG$1001,0),0), INDEX($AN$1004:$BO$1004,1,MATCH(COLUMNS($AN$1006:BL1006),$AN$1006:$BO$1006,0)))),"Fix")))</f>
        <v>0</v>
      </c>
      <c r="AA311" s="4">
        <f>IF(OR(INDEX($AH$2:$AH$1001,MATCH(ROWS($AG$2:AG311),$AG$2:$AG$1001,0),1)&gt;=100000,INDEX($AN$1005:$BO$1005,1,MATCH(COLUMNS($AN$1006:BM1006),$AN$1006:$BO$1006,0))&gt;=100000), " ",IF(INDEX($AN$2:$BO$1001,MATCH(ROWS($AG$2:AG311),$AG$2:$AG$1001,0),MATCH(COLUMNS($AN$1006:BM1006),$AN$1006:$BO$1006,0)), HYPERLINK("#",""), HYPERLINK(CONCATENATE("#Metadata!", ADDRESS(INDEX($AI$2:$AI$1001,MATCH(ROWS($AG$2:AG311),$AG$2:$AG$1001,0),0), INDEX($AN$1004:$BO$1004,1,MATCH(COLUMNS($AN$1006:BM1006),$AN$1006:$BO$1006,0)))),"Fix")))</f>
        <v>0</v>
      </c>
      <c r="AB311" s="4">
        <f>IF(OR(INDEX($AH$2:$AH$1001,MATCH(ROWS($AG$2:AG311),$AG$2:$AG$1001,0),1)&gt;=100000,INDEX($AN$1005:$BO$1005,1,MATCH(COLUMNS($AN$1006:BN1006),$AN$1006:$BO$1006,0))&gt;=100000), " ",IF(INDEX($AN$2:$BO$1001,MATCH(ROWS($AG$2:AG311),$AG$2:$AG$1001,0),MATCH(COLUMNS($AN$1006:BN1006),$AN$1006:$BO$1006,0)), HYPERLINK("#",""), HYPERLINK(CONCATENATE("#Metadata!", ADDRESS(INDEX($AI$2:$AI$1001,MATCH(ROWS($AG$2:AG311),$AG$2:$AG$1001,0),0), INDEX($AN$1004:$BO$1004,1,MATCH(COLUMNS($AN$1006:BN1006),$AN$1006:$BO$1006,0)))),"Fix")))</f>
        <v>0</v>
      </c>
      <c r="AC311" s="4">
        <f>IF(OR(INDEX($AH$2:$AH$1001,MATCH(ROWS($AG$2:AG311),$AG$2:$AG$1001,0),1)&gt;=100000,INDEX($AN$1005:$BO$1005,1,MATCH(COLUMNS($AN$1006:BO1006),$AN$1006:$BO$1006,0))&gt;=100000), " ",IF(INDEX($AN$2:$BO$1001,MATCH(ROWS($AG$2:AG311),$AG$2:$AG$1001,0),MATCH(COLUMNS($AN$1006:BO1006),$AN$1006:$BO$1006,0)), HYPERLINK("#",""), HYPERLINK(CONCATENATE("#Metadata!", ADDRESS(INDEX($AI$2:$AI$1001,MATCH(ROWS($AG$2:AG311),$AG$2:$AG$1001,0),0), INDEX($AN$1004:$BO$1004,1,MATCH(COLUMNS($AN$1006:BO1006),$AN$1006:$BO$1006,0)))),"Fix")))</f>
        <v>0</v>
      </c>
      <c r="AG311">
        <v>0</v>
      </c>
      <c r="AH311">
        <v>0</v>
      </c>
      <c r="AI311">
        <v>0</v>
      </c>
      <c r="AJ311">
        <f>IF(AK311,TRUE,AND(AN311:BO311))</f>
        <v>0</v>
      </c>
      <c r="AK311">
        <f>COUNTBLANK(Metadata!B311:AC311)=COLUMNS(Metadata!B311:AC311)</f>
        <v>0</v>
      </c>
      <c r="AL311">
        <v>0</v>
      </c>
      <c r="AN311">
        <f>AND(IF(Metadata!B311="",FALSE,TRUE),COUNTIF(Metadata!B:B, Metadata!B311) = 1,NOT(ISERROR(SUMPRODUCT(SEARCH(MID(Metadata!B311,ROW(INDIRECT("1:"&amp;LEN(Metadata!B311))), 1),"0123456789abcdefghijklmnopqrstuvwxyzABCDEFGHIJKLMNOPQRSTUVWXYZ.")))))</f>
        <v>0</v>
      </c>
      <c r="AO311">
        <f>IF(Metadata!C311="",FALSE,TRUE)</f>
        <v>0</v>
      </c>
      <c r="AP311">
        <f>IF(Metadata!D311="",FALSE,TRUE)</f>
        <v>0</v>
      </c>
      <c r="AQ311">
        <f>OR(AND(IF(Metadata!E311="",FALSE,TRUE),OR(exact(Metadata!E311,"not collected"),exact(Metadata!E311,"not provided"),exact(Metadata!E311,"restricted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R311">
        <f>IF(Metadata!F311="",FALSE,TRUE)</f>
        <v>0</v>
      </c>
      <c r="AS311">
        <f>OR(AND(IF(Metadata!G311="",FALSE,TRUE),OR(exact(Metadata!G311,"not collected"),exact(Metadata!G311,"not provided"))),AND(IF(Metadata!G311="",FALSE,TRUE),OR(exact(Metadata!G311,"TRUE"),exact(Metadata!G311,"FALSE"))))</f>
        <v>0</v>
      </c>
      <c r="AT311">
        <f>OR(AND(IF(Metadata!H311="",FALSE,TRUE),OR(exact(Metadata!H311,"not collected"),exact(Metadata!H311,"not provided"),exact(Metadata!H311,"restricted access"))),AND(IF(Metadata!H311="",FALSE,ISNUMBER(VALUE(Metadata!H311))),Metadata!H311&gt;=-413.0))</f>
        <v>0</v>
      </c>
      <c r="AU311">
        <f>AND(IF(Metadata!I311="",FALSE,TRUE),exact(Metadata!I311,"meters"))</f>
        <v>0</v>
      </c>
      <c r="AV311">
        <f>AND(IF(Metadata!J311="",FALSE,TRUE),OR(exact(Metadata!J311,"Host-associated"),exact(Metadata!J311,"Free-living")))</f>
        <v>0</v>
      </c>
      <c r="AW311">
        <f>AND(IF(Metadata!K311="",FALSE,TRUE),OR(exact(Metadata!K311,"Animal"),exact(Metadata!K311,"Fungus"),exact(Metadata!K311,"Plant"),exact(Metadata!K311,"Saline"),exact(Metadata!K311,"Non-saline")))</f>
        <v>0</v>
      </c>
      <c r="AX311">
        <f>AND(IF(Metadata!L311="",FALSE,TRUE),OR(exact(Metadata!L311,"Plant secretion"),exact(Metadata!L311,"Plant rhizosphere"),exact(Metadata!L311,"Plant surface"),exact(Metadata!L311,"Plant corpus"),exact(Metadata!L311,"Fungus surface"),exact(Metadata!L311,"Fungus corpus"),exact(Metadata!L311,"Animal surface"),exact(Metadata!L311,"Animal proximal gut"),exact(Metadata!L311,"Animal corpus"),exact(Metadata!L311,"Animal distal gut"),exact(Metadata!L311,"Animal secretion"),exact(Metadata!L311,"Sub-surface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Y311">
        <f>IF(Metadata!M311="",FALSE,TRUE)</f>
        <v>0</v>
      </c>
      <c r="AZ311">
        <f>IF(Metadata!N311="",FALSE,TRUE)</f>
        <v>0</v>
      </c>
      <c r="BA311">
        <f>IF(Metadata!O311="",FALSE,TRUE)</f>
        <v>0</v>
      </c>
      <c r="BB311">
        <f>OR(AND(IF(Metadata!P311="",FALSE,TRUE),OR(exact(Metadata!P311,"not collected"),exact(Metadata!P311,"not provided"),exact(Metadata!P311,"restricted access"))),AND(IF(Metadata!P311="",FALSE,TRUE),OR(exact(Metadata!P311,"air"),exact(Metadata!P311,"built environment"),exact(Metadata!P311,"host-associated"),exact(Metadata!P311,"human-associated"),exact(Metadata!P311,"human-skin"),exact(Metadata!P311,"human-oral"),exact(Metadata!P311,"human-gut"),exact(Metadata!P311,"human-vaginal"),exact(Metadata!P311,"microbial mat/biofilm"),exact(Metadata!P311,"misc environment"),exact(Metadata!P311,"plant-associated"),exact(Metadata!P311,"sediment"),exact(Metadata!P311,"soil"),exact(Metadata!P311,"wastewater/sludge"),exact(Metadata!P311,"water"))))</f>
        <v>0</v>
      </c>
      <c r="BC311">
        <f>IF(Metadata!Q311="",FALSE,TRUE)</f>
        <v>0</v>
      </c>
      <c r="BD311">
        <f>IF(Metadata!R311="",FALSE,TRUE)</f>
        <v>0</v>
      </c>
      <c r="BE311">
        <f>OR(AND(IF(Metadata!S311="",FALSE,TRUE),OR(exact(Metadata!S311,"not collected"),exact(Metadata!S311,"not provided"),exact(Metadata!S311,"restricted access"))),AND(IF(Metadata!S311="",FALSE,ISNUMBER(VALUE(Metadata!S311))),Metadata!S311&gt;=-90.00,Metadata!S311&lt;=90.00))</f>
        <v>0</v>
      </c>
      <c r="BF311">
        <f>AND(IF(Metadata!T311="",FALSE,TRUE),exact(Metadata!T311,"Decimal degrees"))</f>
        <v>0</v>
      </c>
      <c r="BG311">
        <f>OR(AND(IF(Metadata!U311="",FALSE,TRUE),OR(exact(Metadata!U311,"not collected"),exact(Metadata!U311,"not provided"),exact(Metadata!U311,"restricted access"))),AND(IF(Metadata!U311="",FALSE,ISNUMBER(VALUE(Metadata!U311))),Metadata!U311&gt;=-180.00,Metadata!U311&lt;=180.00))</f>
        <v>0</v>
      </c>
      <c r="BH311">
        <f>AND(IF(Metadata!V311="",FALSE,TRUE),exact(Metadata!V311,"Decimal degrees"))</f>
        <v>0</v>
      </c>
      <c r="BI311">
        <f>IF(Metadata!W311="",FALSE,TRUE)</f>
        <v>0</v>
      </c>
      <c r="BJ311">
        <f>OR(AND(IF(Metadata!X311="",FALSE,TRUE),OR(exact(Metadata!X311,"not collected"),exact(Metadata!X311,"not provided"),exact(Metadata!X311,"restricted access"))),AND(IF(Metadata!X311="",FALSE,TRUE),OR(exact(Metadata!X311,"TRUE"),exact(Metadata!X311,"FALSE"))))</f>
        <v>0</v>
      </c>
      <c r="BK311">
        <f>AND(IF(Metadata!Y311="",FALSE,TRUE),exact(Metadata!Y311,"other"))</f>
        <v>0</v>
      </c>
      <c r="BL311">
        <f>IF(Metadata!Z311="",FALSE,TRUE)</f>
        <v>0</v>
      </c>
      <c r="BM311">
        <f>OR(AND(IF(Metadata!AA311="",FALSE,TRUE),OR(exact(Metadata!AA311,"not collected"),exact(Metadata!AA311,"not provided"))),AND(IF(Metadata!AA311="",FALSE,IF(ISERROR(INT(Metadata!AA311)),FALSE,INT(Metadata!AA311)=Metadata!AA311)),Metadata!AA311&gt;0))</f>
        <v>0</v>
      </c>
      <c r="BN311">
        <f>AND(IF(Metadata!AB311="",FALSE,TRUE),exact(Metadata!AB311,"Not applicable"))</f>
        <v>0</v>
      </c>
      <c r="BO311">
        <f>IF(Metadata!AC311="",FALSE,TRUE)</f>
        <v>0</v>
      </c>
    </row>
    <row r="312" spans="1:67">
      <c r="A312" s="5">
        <f>IF(B312=" "," ",HYPERLINK(CONCATENATE("#metadata!",ADDRESS(INDEX($AI$2:$AI$1001,MATCH(ROWS($AG$2:AG312),$AG$2:$AG$1001,0),0),1)),INDEX($AL$2:$AL$1001,MATCH(ROWS($AG$2:AG312),$AG$2:$AG$1001,0),0)))</f>
        <v>0</v>
      </c>
      <c r="B312" s="4">
        <f>IF(OR(INDEX($AH$2:$AH$1001,MATCH(ROWS($AG$2:AG312),$AG$2:$AG$1001,0),1)&gt;=100000,INDEX($AN$1005:$BO$1005,1,MATCH(COLUMNS($AN$1006:AN1006),$AN$1006:$BO$1006,0))&gt;=100000), " ",IF(INDEX($AN$2:$BO$1001,MATCH(ROWS($AG$2:AG312),$AG$2:$AG$1001,0),MATCH(COLUMNS($AN$1006:AN1006),$AN$1006:$BO$1006,0)), HYPERLINK("#",""), HYPERLINK(CONCATENATE("#Metadata!", ADDRESS(INDEX($AI$2:$AI$1001,MATCH(ROWS($AG$2:AG312),$AG$2:$AG$1001,0),0), INDEX($AN$1004:$BO$1004,1,MATCH(COLUMNS($AN$1006:AN1006),$AN$1006:$BO$1006,0)))),"Fix")))</f>
        <v>0</v>
      </c>
      <c r="C312" s="4">
        <f>IF(OR(INDEX($AH$2:$AH$1001,MATCH(ROWS($AG$2:AG312),$AG$2:$AG$1001,0),1)&gt;=100000,INDEX($AN$1005:$BO$1005,1,MATCH(COLUMNS($AN$1006:AO1006),$AN$1006:$BO$1006,0))&gt;=100000), " ",IF(INDEX($AN$2:$BO$1001,MATCH(ROWS($AG$2:AG312),$AG$2:$AG$1001,0),MATCH(COLUMNS($AN$1006:AO1006),$AN$1006:$BO$1006,0)), HYPERLINK("#",""), HYPERLINK(CONCATENATE("#Metadata!", ADDRESS(INDEX($AI$2:$AI$1001,MATCH(ROWS($AG$2:AG312),$AG$2:$AG$1001,0),0), INDEX($AN$1004:$BO$1004,1,MATCH(COLUMNS($AN$1006:AO1006),$AN$1006:$BO$1006,0)))),"Fix")))</f>
        <v>0</v>
      </c>
      <c r="D312" s="4">
        <f>IF(OR(INDEX($AH$2:$AH$1001,MATCH(ROWS($AG$2:AG312),$AG$2:$AG$1001,0),1)&gt;=100000,INDEX($AN$1005:$BO$1005,1,MATCH(COLUMNS($AN$1006:AP1006),$AN$1006:$BO$1006,0))&gt;=100000), " ",IF(INDEX($AN$2:$BO$1001,MATCH(ROWS($AG$2:AG312),$AG$2:$AG$1001,0),MATCH(COLUMNS($AN$1006:AP1006),$AN$1006:$BO$1006,0)), HYPERLINK("#",""), HYPERLINK(CONCATENATE("#Metadata!", ADDRESS(INDEX($AI$2:$AI$1001,MATCH(ROWS($AG$2:AG312),$AG$2:$AG$1001,0),0), INDEX($AN$1004:$BO$1004,1,MATCH(COLUMNS($AN$1006:AP1006),$AN$1006:$BO$1006,0)))),"Fix")))</f>
        <v>0</v>
      </c>
      <c r="E312" s="4">
        <f>IF(OR(INDEX($AH$2:$AH$1001,MATCH(ROWS($AG$2:AG312),$AG$2:$AG$1001,0),1)&gt;=100000,INDEX($AN$1005:$BO$1005,1,MATCH(COLUMNS($AN$1006:AQ1006),$AN$1006:$BO$1006,0))&gt;=100000), " ",IF(INDEX($AN$2:$BO$1001,MATCH(ROWS($AG$2:AG312),$AG$2:$AG$1001,0),MATCH(COLUMNS($AN$1006:AQ1006),$AN$1006:$BO$1006,0)), HYPERLINK("#",""), HYPERLINK(CONCATENATE("#Metadata!", ADDRESS(INDEX($AI$2:$AI$1001,MATCH(ROWS($AG$2:AG312),$AG$2:$AG$1001,0),0), INDEX($AN$1004:$BO$1004,1,MATCH(COLUMNS($AN$1006:AQ1006),$AN$1006:$BO$1006,0)))),"Fix")))</f>
        <v>0</v>
      </c>
      <c r="F312" s="4">
        <f>IF(OR(INDEX($AH$2:$AH$1001,MATCH(ROWS($AG$2:AG312),$AG$2:$AG$1001,0),1)&gt;=100000,INDEX($AN$1005:$BO$1005,1,MATCH(COLUMNS($AN$1006:AR1006),$AN$1006:$BO$1006,0))&gt;=100000), " ",IF(INDEX($AN$2:$BO$1001,MATCH(ROWS($AG$2:AG312),$AG$2:$AG$1001,0),MATCH(COLUMNS($AN$1006:AR1006),$AN$1006:$BO$1006,0)), HYPERLINK("#",""), HYPERLINK(CONCATENATE("#Metadata!", ADDRESS(INDEX($AI$2:$AI$1001,MATCH(ROWS($AG$2:AG312),$AG$2:$AG$1001,0),0), INDEX($AN$1004:$BO$1004,1,MATCH(COLUMNS($AN$1006:AR1006),$AN$1006:$BO$1006,0)))),"Fix")))</f>
        <v>0</v>
      </c>
      <c r="G312" s="4">
        <f>IF(OR(INDEX($AH$2:$AH$1001,MATCH(ROWS($AG$2:AG312),$AG$2:$AG$1001,0),1)&gt;=100000,INDEX($AN$1005:$BO$1005,1,MATCH(COLUMNS($AN$1006:AS1006),$AN$1006:$BO$1006,0))&gt;=100000), " ",IF(INDEX($AN$2:$BO$1001,MATCH(ROWS($AG$2:AG312),$AG$2:$AG$1001,0),MATCH(COLUMNS($AN$1006:AS1006),$AN$1006:$BO$1006,0)), HYPERLINK("#",""), HYPERLINK(CONCATENATE("#Metadata!", ADDRESS(INDEX($AI$2:$AI$1001,MATCH(ROWS($AG$2:AG312),$AG$2:$AG$1001,0),0), INDEX($AN$1004:$BO$1004,1,MATCH(COLUMNS($AN$1006:AS1006),$AN$1006:$BO$1006,0)))),"Fix")))</f>
        <v>0</v>
      </c>
      <c r="H312" s="4">
        <f>IF(OR(INDEX($AH$2:$AH$1001,MATCH(ROWS($AG$2:AG312),$AG$2:$AG$1001,0),1)&gt;=100000,INDEX($AN$1005:$BO$1005,1,MATCH(COLUMNS($AN$1006:AT1006),$AN$1006:$BO$1006,0))&gt;=100000), " ",IF(INDEX($AN$2:$BO$1001,MATCH(ROWS($AG$2:AG312),$AG$2:$AG$1001,0),MATCH(COLUMNS($AN$1006:AT1006),$AN$1006:$BO$1006,0)), HYPERLINK("#",""), HYPERLINK(CONCATENATE("#Metadata!", ADDRESS(INDEX($AI$2:$AI$1001,MATCH(ROWS($AG$2:AG312),$AG$2:$AG$1001,0),0), INDEX($AN$1004:$BO$1004,1,MATCH(COLUMNS($AN$1006:AT1006),$AN$1006:$BO$1006,0)))),"Fix")))</f>
        <v>0</v>
      </c>
      <c r="I312" s="4">
        <f>IF(OR(INDEX($AH$2:$AH$1001,MATCH(ROWS($AG$2:AG312),$AG$2:$AG$1001,0),1)&gt;=100000,INDEX($AN$1005:$BO$1005,1,MATCH(COLUMNS($AN$1006:AU1006),$AN$1006:$BO$1006,0))&gt;=100000), " ",IF(INDEX($AN$2:$BO$1001,MATCH(ROWS($AG$2:AG312),$AG$2:$AG$1001,0),MATCH(COLUMNS($AN$1006:AU1006),$AN$1006:$BO$1006,0)), HYPERLINK("#",""), HYPERLINK(CONCATENATE("#Metadata!", ADDRESS(INDEX($AI$2:$AI$1001,MATCH(ROWS($AG$2:AG312),$AG$2:$AG$1001,0),0), INDEX($AN$1004:$BO$1004,1,MATCH(COLUMNS($AN$1006:AU1006),$AN$1006:$BO$1006,0)))),"Fix")))</f>
        <v>0</v>
      </c>
      <c r="J312" s="4">
        <f>IF(OR(INDEX($AH$2:$AH$1001,MATCH(ROWS($AG$2:AG312),$AG$2:$AG$1001,0),1)&gt;=100000,INDEX($AN$1005:$BO$1005,1,MATCH(COLUMNS($AN$1006:AV1006),$AN$1006:$BO$1006,0))&gt;=100000), " ",IF(INDEX($AN$2:$BO$1001,MATCH(ROWS($AG$2:AG312),$AG$2:$AG$1001,0),MATCH(COLUMNS($AN$1006:AV1006),$AN$1006:$BO$1006,0)), HYPERLINK("#",""), HYPERLINK(CONCATENATE("#Metadata!", ADDRESS(INDEX($AI$2:$AI$1001,MATCH(ROWS($AG$2:AG312),$AG$2:$AG$1001,0),0), INDEX($AN$1004:$BO$1004,1,MATCH(COLUMNS($AN$1006:AV1006),$AN$1006:$BO$1006,0)))),"Fix")))</f>
        <v>0</v>
      </c>
      <c r="K312" s="4">
        <f>IF(OR(INDEX($AH$2:$AH$1001,MATCH(ROWS($AG$2:AG312),$AG$2:$AG$1001,0),1)&gt;=100000,INDEX($AN$1005:$BO$1005,1,MATCH(COLUMNS($AN$1006:AW1006),$AN$1006:$BO$1006,0))&gt;=100000), " ",IF(INDEX($AN$2:$BO$1001,MATCH(ROWS($AG$2:AG312),$AG$2:$AG$1001,0),MATCH(COLUMNS($AN$1006:AW1006),$AN$1006:$BO$1006,0)), HYPERLINK("#",""), HYPERLINK(CONCATENATE("#Metadata!", ADDRESS(INDEX($AI$2:$AI$1001,MATCH(ROWS($AG$2:AG312),$AG$2:$AG$1001,0),0), INDEX($AN$1004:$BO$1004,1,MATCH(COLUMNS($AN$1006:AW1006),$AN$1006:$BO$1006,0)))),"Fix")))</f>
        <v>0</v>
      </c>
      <c r="L312" s="4">
        <f>IF(OR(INDEX($AH$2:$AH$1001,MATCH(ROWS($AG$2:AG312),$AG$2:$AG$1001,0),1)&gt;=100000,INDEX($AN$1005:$BO$1005,1,MATCH(COLUMNS($AN$1006:AX1006),$AN$1006:$BO$1006,0))&gt;=100000), " ",IF(INDEX($AN$2:$BO$1001,MATCH(ROWS($AG$2:AG312),$AG$2:$AG$1001,0),MATCH(COLUMNS($AN$1006:AX1006),$AN$1006:$BO$1006,0)), HYPERLINK("#",""), HYPERLINK(CONCATENATE("#Metadata!", ADDRESS(INDEX($AI$2:$AI$1001,MATCH(ROWS($AG$2:AG312),$AG$2:$AG$1001,0),0), INDEX($AN$1004:$BO$1004,1,MATCH(COLUMNS($AN$1006:AX1006),$AN$1006:$BO$1006,0)))),"Fix")))</f>
        <v>0</v>
      </c>
      <c r="M312" s="4">
        <f>IF(OR(INDEX($AH$2:$AH$1001,MATCH(ROWS($AG$2:AG312),$AG$2:$AG$1001,0),1)&gt;=100000,INDEX($AN$1005:$BO$1005,1,MATCH(COLUMNS($AN$1006:AY1006),$AN$1006:$BO$1006,0))&gt;=100000), " ",IF(INDEX($AN$2:$BO$1001,MATCH(ROWS($AG$2:AG312),$AG$2:$AG$1001,0),MATCH(COLUMNS($AN$1006:AY1006),$AN$1006:$BO$1006,0)), HYPERLINK("#",""), HYPERLINK(CONCATENATE("#Metadata!", ADDRESS(INDEX($AI$2:$AI$1001,MATCH(ROWS($AG$2:AG312),$AG$2:$AG$1001,0),0), INDEX($AN$1004:$BO$1004,1,MATCH(COLUMNS($AN$1006:AY1006),$AN$1006:$BO$1006,0)))),"Fix")))</f>
        <v>0</v>
      </c>
      <c r="N312" s="4">
        <f>IF(OR(INDEX($AH$2:$AH$1001,MATCH(ROWS($AG$2:AG312),$AG$2:$AG$1001,0),1)&gt;=100000,INDEX($AN$1005:$BO$1005,1,MATCH(COLUMNS($AN$1006:AZ1006),$AN$1006:$BO$1006,0))&gt;=100000), " ",IF(INDEX($AN$2:$BO$1001,MATCH(ROWS($AG$2:AG312),$AG$2:$AG$1001,0),MATCH(COLUMNS($AN$1006:AZ1006),$AN$1006:$BO$1006,0)), HYPERLINK("#",""), HYPERLINK(CONCATENATE("#Metadata!", ADDRESS(INDEX($AI$2:$AI$1001,MATCH(ROWS($AG$2:AG312),$AG$2:$AG$1001,0),0), INDEX($AN$1004:$BO$1004,1,MATCH(COLUMNS($AN$1006:AZ1006),$AN$1006:$BO$1006,0)))),"Fix")))</f>
        <v>0</v>
      </c>
      <c r="O312" s="4">
        <f>IF(OR(INDEX($AH$2:$AH$1001,MATCH(ROWS($AG$2:AG312),$AG$2:$AG$1001,0),1)&gt;=100000,INDEX($AN$1005:$BO$1005,1,MATCH(COLUMNS($AN$1006:BA1006),$AN$1006:$BO$1006,0))&gt;=100000), " ",IF(INDEX($AN$2:$BO$1001,MATCH(ROWS($AG$2:AG312),$AG$2:$AG$1001,0),MATCH(COLUMNS($AN$1006:BA1006),$AN$1006:$BO$1006,0)), HYPERLINK("#",""), HYPERLINK(CONCATENATE("#Metadata!", ADDRESS(INDEX($AI$2:$AI$1001,MATCH(ROWS($AG$2:AG312),$AG$2:$AG$1001,0),0), INDEX($AN$1004:$BO$1004,1,MATCH(COLUMNS($AN$1006:BA1006),$AN$1006:$BO$1006,0)))),"Fix")))</f>
        <v>0</v>
      </c>
      <c r="P312" s="4">
        <f>IF(OR(INDEX($AH$2:$AH$1001,MATCH(ROWS($AG$2:AG312),$AG$2:$AG$1001,0),1)&gt;=100000,INDEX($AN$1005:$BO$1005,1,MATCH(COLUMNS($AN$1006:BB1006),$AN$1006:$BO$1006,0))&gt;=100000), " ",IF(INDEX($AN$2:$BO$1001,MATCH(ROWS($AG$2:AG312),$AG$2:$AG$1001,0),MATCH(COLUMNS($AN$1006:BB1006),$AN$1006:$BO$1006,0)), HYPERLINK("#",""), HYPERLINK(CONCATENATE("#Metadata!", ADDRESS(INDEX($AI$2:$AI$1001,MATCH(ROWS($AG$2:AG312),$AG$2:$AG$1001,0),0), INDEX($AN$1004:$BO$1004,1,MATCH(COLUMNS($AN$1006:BB1006),$AN$1006:$BO$1006,0)))),"Fix")))</f>
        <v>0</v>
      </c>
      <c r="Q312" s="4">
        <f>IF(OR(INDEX($AH$2:$AH$1001,MATCH(ROWS($AG$2:AG312),$AG$2:$AG$1001,0),1)&gt;=100000,INDEX($AN$1005:$BO$1005,1,MATCH(COLUMNS($AN$1006:BC1006),$AN$1006:$BO$1006,0))&gt;=100000), " ",IF(INDEX($AN$2:$BO$1001,MATCH(ROWS($AG$2:AG312),$AG$2:$AG$1001,0),MATCH(COLUMNS($AN$1006:BC1006),$AN$1006:$BO$1006,0)), HYPERLINK("#",""), HYPERLINK(CONCATENATE("#Metadata!", ADDRESS(INDEX($AI$2:$AI$1001,MATCH(ROWS($AG$2:AG312),$AG$2:$AG$1001,0),0), INDEX($AN$1004:$BO$1004,1,MATCH(COLUMNS($AN$1006:BC1006),$AN$1006:$BO$1006,0)))),"Fix")))</f>
        <v>0</v>
      </c>
      <c r="R312" s="4">
        <f>IF(OR(INDEX($AH$2:$AH$1001,MATCH(ROWS($AG$2:AG312),$AG$2:$AG$1001,0),1)&gt;=100000,INDEX($AN$1005:$BO$1005,1,MATCH(COLUMNS($AN$1006:BD1006),$AN$1006:$BO$1006,0))&gt;=100000), " ",IF(INDEX($AN$2:$BO$1001,MATCH(ROWS($AG$2:AG312),$AG$2:$AG$1001,0),MATCH(COLUMNS($AN$1006:BD1006),$AN$1006:$BO$1006,0)), HYPERLINK("#",""), HYPERLINK(CONCATENATE("#Metadata!", ADDRESS(INDEX($AI$2:$AI$1001,MATCH(ROWS($AG$2:AG312),$AG$2:$AG$1001,0),0), INDEX($AN$1004:$BO$1004,1,MATCH(COLUMNS($AN$1006:BD1006),$AN$1006:$BO$1006,0)))),"Fix")))</f>
        <v>0</v>
      </c>
      <c r="S312" s="4">
        <f>IF(OR(INDEX($AH$2:$AH$1001,MATCH(ROWS($AG$2:AG312),$AG$2:$AG$1001,0),1)&gt;=100000,INDEX($AN$1005:$BO$1005,1,MATCH(COLUMNS($AN$1006:BE1006),$AN$1006:$BO$1006,0))&gt;=100000), " ",IF(INDEX($AN$2:$BO$1001,MATCH(ROWS($AG$2:AG312),$AG$2:$AG$1001,0),MATCH(COLUMNS($AN$1006:BE1006),$AN$1006:$BO$1006,0)), HYPERLINK("#",""), HYPERLINK(CONCATENATE("#Metadata!", ADDRESS(INDEX($AI$2:$AI$1001,MATCH(ROWS($AG$2:AG312),$AG$2:$AG$1001,0),0), INDEX($AN$1004:$BO$1004,1,MATCH(COLUMNS($AN$1006:BE1006),$AN$1006:$BO$1006,0)))),"Fix")))</f>
        <v>0</v>
      </c>
      <c r="T312" s="4">
        <f>IF(OR(INDEX($AH$2:$AH$1001,MATCH(ROWS($AG$2:AG312),$AG$2:$AG$1001,0),1)&gt;=100000,INDEX($AN$1005:$BO$1005,1,MATCH(COLUMNS($AN$1006:BF1006),$AN$1006:$BO$1006,0))&gt;=100000), " ",IF(INDEX($AN$2:$BO$1001,MATCH(ROWS($AG$2:AG312),$AG$2:$AG$1001,0),MATCH(COLUMNS($AN$1006:BF1006),$AN$1006:$BO$1006,0)), HYPERLINK("#",""), HYPERLINK(CONCATENATE("#Metadata!", ADDRESS(INDEX($AI$2:$AI$1001,MATCH(ROWS($AG$2:AG312),$AG$2:$AG$1001,0),0), INDEX($AN$1004:$BO$1004,1,MATCH(COLUMNS($AN$1006:BF1006),$AN$1006:$BO$1006,0)))),"Fix")))</f>
        <v>0</v>
      </c>
      <c r="U312" s="4">
        <f>IF(OR(INDEX($AH$2:$AH$1001,MATCH(ROWS($AG$2:AG312),$AG$2:$AG$1001,0),1)&gt;=100000,INDEX($AN$1005:$BO$1005,1,MATCH(COLUMNS($AN$1006:BG1006),$AN$1006:$BO$1006,0))&gt;=100000), " ",IF(INDEX($AN$2:$BO$1001,MATCH(ROWS($AG$2:AG312),$AG$2:$AG$1001,0),MATCH(COLUMNS($AN$1006:BG1006),$AN$1006:$BO$1006,0)), HYPERLINK("#",""), HYPERLINK(CONCATENATE("#Metadata!", ADDRESS(INDEX($AI$2:$AI$1001,MATCH(ROWS($AG$2:AG312),$AG$2:$AG$1001,0),0), INDEX($AN$1004:$BO$1004,1,MATCH(COLUMNS($AN$1006:BG1006),$AN$1006:$BO$1006,0)))),"Fix")))</f>
        <v>0</v>
      </c>
      <c r="V312" s="4">
        <f>IF(OR(INDEX($AH$2:$AH$1001,MATCH(ROWS($AG$2:AG312),$AG$2:$AG$1001,0),1)&gt;=100000,INDEX($AN$1005:$BO$1005,1,MATCH(COLUMNS($AN$1006:BH1006),$AN$1006:$BO$1006,0))&gt;=100000), " ",IF(INDEX($AN$2:$BO$1001,MATCH(ROWS($AG$2:AG312),$AG$2:$AG$1001,0),MATCH(COLUMNS($AN$1006:BH1006),$AN$1006:$BO$1006,0)), HYPERLINK("#",""), HYPERLINK(CONCATENATE("#Metadata!", ADDRESS(INDEX($AI$2:$AI$1001,MATCH(ROWS($AG$2:AG312),$AG$2:$AG$1001,0),0), INDEX($AN$1004:$BO$1004,1,MATCH(COLUMNS($AN$1006:BH1006),$AN$1006:$BO$1006,0)))),"Fix")))</f>
        <v>0</v>
      </c>
      <c r="W312" s="4">
        <f>IF(OR(INDEX($AH$2:$AH$1001,MATCH(ROWS($AG$2:AG312),$AG$2:$AG$1001,0),1)&gt;=100000,INDEX($AN$1005:$BO$1005,1,MATCH(COLUMNS($AN$1006:BI1006),$AN$1006:$BO$1006,0))&gt;=100000), " ",IF(INDEX($AN$2:$BO$1001,MATCH(ROWS($AG$2:AG312),$AG$2:$AG$1001,0),MATCH(COLUMNS($AN$1006:BI1006),$AN$1006:$BO$1006,0)), HYPERLINK("#",""), HYPERLINK(CONCATENATE("#Metadata!", ADDRESS(INDEX($AI$2:$AI$1001,MATCH(ROWS($AG$2:AG312),$AG$2:$AG$1001,0),0), INDEX($AN$1004:$BO$1004,1,MATCH(COLUMNS($AN$1006:BI1006),$AN$1006:$BO$1006,0)))),"Fix")))</f>
        <v>0</v>
      </c>
      <c r="X312" s="4">
        <f>IF(OR(INDEX($AH$2:$AH$1001,MATCH(ROWS($AG$2:AG312),$AG$2:$AG$1001,0),1)&gt;=100000,INDEX($AN$1005:$BO$1005,1,MATCH(COLUMNS($AN$1006:BJ1006),$AN$1006:$BO$1006,0))&gt;=100000), " ",IF(INDEX($AN$2:$BO$1001,MATCH(ROWS($AG$2:AG312),$AG$2:$AG$1001,0),MATCH(COLUMNS($AN$1006:BJ1006),$AN$1006:$BO$1006,0)), HYPERLINK("#",""), HYPERLINK(CONCATENATE("#Metadata!", ADDRESS(INDEX($AI$2:$AI$1001,MATCH(ROWS($AG$2:AG312),$AG$2:$AG$1001,0),0), INDEX($AN$1004:$BO$1004,1,MATCH(COLUMNS($AN$1006:BJ1006),$AN$1006:$BO$1006,0)))),"Fix")))</f>
        <v>0</v>
      </c>
      <c r="Y312" s="4">
        <f>IF(OR(INDEX($AH$2:$AH$1001,MATCH(ROWS($AG$2:AG312),$AG$2:$AG$1001,0),1)&gt;=100000,INDEX($AN$1005:$BO$1005,1,MATCH(COLUMNS($AN$1006:BK1006),$AN$1006:$BO$1006,0))&gt;=100000), " ",IF(INDEX($AN$2:$BO$1001,MATCH(ROWS($AG$2:AG312),$AG$2:$AG$1001,0),MATCH(COLUMNS($AN$1006:BK1006),$AN$1006:$BO$1006,0)), HYPERLINK("#",""), HYPERLINK(CONCATENATE("#Metadata!", ADDRESS(INDEX($AI$2:$AI$1001,MATCH(ROWS($AG$2:AG312),$AG$2:$AG$1001,0),0), INDEX($AN$1004:$BO$1004,1,MATCH(COLUMNS($AN$1006:BK1006),$AN$1006:$BO$1006,0)))),"Fix")))</f>
        <v>0</v>
      </c>
      <c r="Z312" s="4">
        <f>IF(OR(INDEX($AH$2:$AH$1001,MATCH(ROWS($AG$2:AG312),$AG$2:$AG$1001,0),1)&gt;=100000,INDEX($AN$1005:$BO$1005,1,MATCH(COLUMNS($AN$1006:BL1006),$AN$1006:$BO$1006,0))&gt;=100000), " ",IF(INDEX($AN$2:$BO$1001,MATCH(ROWS($AG$2:AG312),$AG$2:$AG$1001,0),MATCH(COLUMNS($AN$1006:BL1006),$AN$1006:$BO$1006,0)), HYPERLINK("#",""), HYPERLINK(CONCATENATE("#Metadata!", ADDRESS(INDEX($AI$2:$AI$1001,MATCH(ROWS($AG$2:AG312),$AG$2:$AG$1001,0),0), INDEX($AN$1004:$BO$1004,1,MATCH(COLUMNS($AN$1006:BL1006),$AN$1006:$BO$1006,0)))),"Fix")))</f>
        <v>0</v>
      </c>
      <c r="AA312" s="4">
        <f>IF(OR(INDEX($AH$2:$AH$1001,MATCH(ROWS($AG$2:AG312),$AG$2:$AG$1001,0),1)&gt;=100000,INDEX($AN$1005:$BO$1005,1,MATCH(COLUMNS($AN$1006:BM1006),$AN$1006:$BO$1006,0))&gt;=100000), " ",IF(INDEX($AN$2:$BO$1001,MATCH(ROWS($AG$2:AG312),$AG$2:$AG$1001,0),MATCH(COLUMNS($AN$1006:BM1006),$AN$1006:$BO$1006,0)), HYPERLINK("#",""), HYPERLINK(CONCATENATE("#Metadata!", ADDRESS(INDEX($AI$2:$AI$1001,MATCH(ROWS($AG$2:AG312),$AG$2:$AG$1001,0),0), INDEX($AN$1004:$BO$1004,1,MATCH(COLUMNS($AN$1006:BM1006),$AN$1006:$BO$1006,0)))),"Fix")))</f>
        <v>0</v>
      </c>
      <c r="AB312" s="4">
        <f>IF(OR(INDEX($AH$2:$AH$1001,MATCH(ROWS($AG$2:AG312),$AG$2:$AG$1001,0),1)&gt;=100000,INDEX($AN$1005:$BO$1005,1,MATCH(COLUMNS($AN$1006:BN1006),$AN$1006:$BO$1006,0))&gt;=100000), " ",IF(INDEX($AN$2:$BO$1001,MATCH(ROWS($AG$2:AG312),$AG$2:$AG$1001,0),MATCH(COLUMNS($AN$1006:BN1006),$AN$1006:$BO$1006,0)), HYPERLINK("#",""), HYPERLINK(CONCATENATE("#Metadata!", ADDRESS(INDEX($AI$2:$AI$1001,MATCH(ROWS($AG$2:AG312),$AG$2:$AG$1001,0),0), INDEX($AN$1004:$BO$1004,1,MATCH(COLUMNS($AN$1006:BN1006),$AN$1006:$BO$1006,0)))),"Fix")))</f>
        <v>0</v>
      </c>
      <c r="AC312" s="4">
        <f>IF(OR(INDEX($AH$2:$AH$1001,MATCH(ROWS($AG$2:AG312),$AG$2:$AG$1001,0),1)&gt;=100000,INDEX($AN$1005:$BO$1005,1,MATCH(COLUMNS($AN$1006:BO1006),$AN$1006:$BO$1006,0))&gt;=100000), " ",IF(INDEX($AN$2:$BO$1001,MATCH(ROWS($AG$2:AG312),$AG$2:$AG$1001,0),MATCH(COLUMNS($AN$1006:BO1006),$AN$1006:$BO$1006,0)), HYPERLINK("#",""), HYPERLINK(CONCATENATE("#Metadata!", ADDRESS(INDEX($AI$2:$AI$1001,MATCH(ROWS($AG$2:AG312),$AG$2:$AG$1001,0),0), INDEX($AN$1004:$BO$1004,1,MATCH(COLUMNS($AN$1006:BO1006),$AN$1006:$BO$1006,0)))),"Fix")))</f>
        <v>0</v>
      </c>
      <c r="AG312">
        <v>0</v>
      </c>
      <c r="AH312">
        <v>0</v>
      </c>
      <c r="AI312">
        <v>0</v>
      </c>
      <c r="AJ312">
        <f>IF(AK312,TRUE,AND(AN312:BO312))</f>
        <v>0</v>
      </c>
      <c r="AK312">
        <f>COUNTBLANK(Metadata!B312:AC312)=COLUMNS(Metadata!B312:AC312)</f>
        <v>0</v>
      </c>
      <c r="AL312">
        <v>0</v>
      </c>
      <c r="AN312">
        <f>AND(IF(Metadata!B312="",FALSE,TRUE),COUNTIF(Metadata!B:B, Metadata!B312) = 1,NOT(ISERROR(SUMPRODUCT(SEARCH(MID(Metadata!B312,ROW(INDIRECT("1:"&amp;LEN(Metadata!B312))), 1),"0123456789abcdefghijklmnopqrstuvwxyzABCDEFGHIJKLMNOPQRSTUVWXYZ.")))))</f>
        <v>0</v>
      </c>
      <c r="AO312">
        <f>IF(Metadata!C312="",FALSE,TRUE)</f>
        <v>0</v>
      </c>
      <c r="AP312">
        <f>IF(Metadata!D312="",FALSE,TRUE)</f>
        <v>0</v>
      </c>
      <c r="AQ312">
        <f>OR(AND(IF(Metadata!E312="",FALSE,TRUE),OR(exact(Metadata!E312,"not collected"),exact(Metadata!E312,"not provided"),exact(Metadata!E312,"restricted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R312">
        <f>IF(Metadata!F312="",FALSE,TRUE)</f>
        <v>0</v>
      </c>
      <c r="AS312">
        <f>OR(AND(IF(Metadata!G312="",FALSE,TRUE),OR(exact(Metadata!G312,"not collected"),exact(Metadata!G312,"not provided"))),AND(IF(Metadata!G312="",FALSE,TRUE),OR(exact(Metadata!G312,"TRUE"),exact(Metadata!G312,"FALSE"))))</f>
        <v>0</v>
      </c>
      <c r="AT312">
        <f>OR(AND(IF(Metadata!H312="",FALSE,TRUE),OR(exact(Metadata!H312,"not collected"),exact(Metadata!H312,"not provided"),exact(Metadata!H312,"restricted access"))),AND(IF(Metadata!H312="",FALSE,ISNUMBER(VALUE(Metadata!H312))),Metadata!H312&gt;=-413.0))</f>
        <v>0</v>
      </c>
      <c r="AU312">
        <f>AND(IF(Metadata!I312="",FALSE,TRUE),exact(Metadata!I312,"meters"))</f>
        <v>0</v>
      </c>
      <c r="AV312">
        <f>AND(IF(Metadata!J312="",FALSE,TRUE),OR(exact(Metadata!J312,"Host-associated"),exact(Metadata!J312,"Free-living")))</f>
        <v>0</v>
      </c>
      <c r="AW312">
        <f>AND(IF(Metadata!K312="",FALSE,TRUE),OR(exact(Metadata!K312,"Animal"),exact(Metadata!K312,"Fungus"),exact(Metadata!K312,"Plant"),exact(Metadata!K312,"Saline"),exact(Metadata!K312,"Non-saline")))</f>
        <v>0</v>
      </c>
      <c r="AX312">
        <f>AND(IF(Metadata!L312="",FALSE,TRUE),OR(exact(Metadata!L312,"Plant secretion"),exact(Metadata!L312,"Plant rhizosphere"),exact(Metadata!L312,"Plant surface"),exact(Metadata!L312,"Plant corpus"),exact(Metadata!L312,"Fungus surface"),exact(Metadata!L312,"Fungus corpus"),exact(Metadata!L312,"Animal surface"),exact(Metadata!L312,"Animal proximal gut"),exact(Metadata!L312,"Animal corpus"),exact(Metadata!L312,"Animal distal gut"),exact(Metadata!L312,"Animal secretion"),exact(Metadata!L312,"Sub-surface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Y312">
        <f>IF(Metadata!M312="",FALSE,TRUE)</f>
        <v>0</v>
      </c>
      <c r="AZ312">
        <f>IF(Metadata!N312="",FALSE,TRUE)</f>
        <v>0</v>
      </c>
      <c r="BA312">
        <f>IF(Metadata!O312="",FALSE,TRUE)</f>
        <v>0</v>
      </c>
      <c r="BB312">
        <f>OR(AND(IF(Metadata!P312="",FALSE,TRUE),OR(exact(Metadata!P312,"not collected"),exact(Metadata!P312,"not provided"),exact(Metadata!P312,"restricted access"))),AND(IF(Metadata!P312="",FALSE,TRUE),OR(exact(Metadata!P312,"air"),exact(Metadata!P312,"built environment"),exact(Metadata!P312,"host-associated"),exact(Metadata!P312,"human-associated"),exact(Metadata!P312,"human-skin"),exact(Metadata!P312,"human-oral"),exact(Metadata!P312,"human-gut"),exact(Metadata!P312,"human-vaginal"),exact(Metadata!P312,"microbial mat/biofilm"),exact(Metadata!P312,"misc environment"),exact(Metadata!P312,"plant-associated"),exact(Metadata!P312,"sediment"),exact(Metadata!P312,"soil"),exact(Metadata!P312,"wastewater/sludge"),exact(Metadata!P312,"water"))))</f>
        <v>0</v>
      </c>
      <c r="BC312">
        <f>IF(Metadata!Q312="",FALSE,TRUE)</f>
        <v>0</v>
      </c>
      <c r="BD312">
        <f>IF(Metadata!R312="",FALSE,TRUE)</f>
        <v>0</v>
      </c>
      <c r="BE312">
        <f>OR(AND(IF(Metadata!S312="",FALSE,TRUE),OR(exact(Metadata!S312,"not collected"),exact(Metadata!S312,"not provided"),exact(Metadata!S312,"restricted access"))),AND(IF(Metadata!S312="",FALSE,ISNUMBER(VALUE(Metadata!S312))),Metadata!S312&gt;=-90.00,Metadata!S312&lt;=90.00))</f>
        <v>0</v>
      </c>
      <c r="BF312">
        <f>AND(IF(Metadata!T312="",FALSE,TRUE),exact(Metadata!T312,"Decimal degrees"))</f>
        <v>0</v>
      </c>
      <c r="BG312">
        <f>OR(AND(IF(Metadata!U312="",FALSE,TRUE),OR(exact(Metadata!U312,"not collected"),exact(Metadata!U312,"not provided"),exact(Metadata!U312,"restricted access"))),AND(IF(Metadata!U312="",FALSE,ISNUMBER(VALUE(Metadata!U312))),Metadata!U312&gt;=-180.00,Metadata!U312&lt;=180.00))</f>
        <v>0</v>
      </c>
      <c r="BH312">
        <f>AND(IF(Metadata!V312="",FALSE,TRUE),exact(Metadata!V312,"Decimal degrees"))</f>
        <v>0</v>
      </c>
      <c r="BI312">
        <f>IF(Metadata!W312="",FALSE,TRUE)</f>
        <v>0</v>
      </c>
      <c r="BJ312">
        <f>OR(AND(IF(Metadata!X312="",FALSE,TRUE),OR(exact(Metadata!X312,"not collected"),exact(Metadata!X312,"not provided"),exact(Metadata!X312,"restricted access"))),AND(IF(Metadata!X312="",FALSE,TRUE),OR(exact(Metadata!X312,"TRUE"),exact(Metadata!X312,"FALSE"))))</f>
        <v>0</v>
      </c>
      <c r="BK312">
        <f>AND(IF(Metadata!Y312="",FALSE,TRUE),exact(Metadata!Y312,"other"))</f>
        <v>0</v>
      </c>
      <c r="BL312">
        <f>IF(Metadata!Z312="",FALSE,TRUE)</f>
        <v>0</v>
      </c>
      <c r="BM312">
        <f>OR(AND(IF(Metadata!AA312="",FALSE,TRUE),OR(exact(Metadata!AA312,"not collected"),exact(Metadata!AA312,"not provided"))),AND(IF(Metadata!AA312="",FALSE,IF(ISERROR(INT(Metadata!AA312)),FALSE,INT(Metadata!AA312)=Metadata!AA312)),Metadata!AA312&gt;0))</f>
        <v>0</v>
      </c>
      <c r="BN312">
        <f>AND(IF(Metadata!AB312="",FALSE,TRUE),exact(Metadata!AB312,"Not applicable"))</f>
        <v>0</v>
      </c>
      <c r="BO312">
        <f>IF(Metadata!AC312="",FALSE,TRUE)</f>
        <v>0</v>
      </c>
    </row>
    <row r="313" spans="1:67">
      <c r="A313" s="5">
        <f>IF(B313=" "," ",HYPERLINK(CONCATENATE("#metadata!",ADDRESS(INDEX($AI$2:$AI$1001,MATCH(ROWS($AG$2:AG313),$AG$2:$AG$1001,0),0),1)),INDEX($AL$2:$AL$1001,MATCH(ROWS($AG$2:AG313),$AG$2:$AG$1001,0),0)))</f>
        <v>0</v>
      </c>
      <c r="B313" s="4">
        <f>IF(OR(INDEX($AH$2:$AH$1001,MATCH(ROWS($AG$2:AG313),$AG$2:$AG$1001,0),1)&gt;=100000,INDEX($AN$1005:$BO$1005,1,MATCH(COLUMNS($AN$1006:AN1006),$AN$1006:$BO$1006,0))&gt;=100000), " ",IF(INDEX($AN$2:$BO$1001,MATCH(ROWS($AG$2:AG313),$AG$2:$AG$1001,0),MATCH(COLUMNS($AN$1006:AN1006),$AN$1006:$BO$1006,0)), HYPERLINK("#",""), HYPERLINK(CONCATENATE("#Metadata!", ADDRESS(INDEX($AI$2:$AI$1001,MATCH(ROWS($AG$2:AG313),$AG$2:$AG$1001,0),0), INDEX($AN$1004:$BO$1004,1,MATCH(COLUMNS($AN$1006:AN1006),$AN$1006:$BO$1006,0)))),"Fix")))</f>
        <v>0</v>
      </c>
      <c r="C313" s="4">
        <f>IF(OR(INDEX($AH$2:$AH$1001,MATCH(ROWS($AG$2:AG313),$AG$2:$AG$1001,0),1)&gt;=100000,INDEX($AN$1005:$BO$1005,1,MATCH(COLUMNS($AN$1006:AO1006),$AN$1006:$BO$1006,0))&gt;=100000), " ",IF(INDEX($AN$2:$BO$1001,MATCH(ROWS($AG$2:AG313),$AG$2:$AG$1001,0),MATCH(COLUMNS($AN$1006:AO1006),$AN$1006:$BO$1006,0)), HYPERLINK("#",""), HYPERLINK(CONCATENATE("#Metadata!", ADDRESS(INDEX($AI$2:$AI$1001,MATCH(ROWS($AG$2:AG313),$AG$2:$AG$1001,0),0), INDEX($AN$1004:$BO$1004,1,MATCH(COLUMNS($AN$1006:AO1006),$AN$1006:$BO$1006,0)))),"Fix")))</f>
        <v>0</v>
      </c>
      <c r="D313" s="4">
        <f>IF(OR(INDEX($AH$2:$AH$1001,MATCH(ROWS($AG$2:AG313),$AG$2:$AG$1001,0),1)&gt;=100000,INDEX($AN$1005:$BO$1005,1,MATCH(COLUMNS($AN$1006:AP1006),$AN$1006:$BO$1006,0))&gt;=100000), " ",IF(INDEX($AN$2:$BO$1001,MATCH(ROWS($AG$2:AG313),$AG$2:$AG$1001,0),MATCH(COLUMNS($AN$1006:AP1006),$AN$1006:$BO$1006,0)), HYPERLINK("#",""), HYPERLINK(CONCATENATE("#Metadata!", ADDRESS(INDEX($AI$2:$AI$1001,MATCH(ROWS($AG$2:AG313),$AG$2:$AG$1001,0),0), INDEX($AN$1004:$BO$1004,1,MATCH(COLUMNS($AN$1006:AP1006),$AN$1006:$BO$1006,0)))),"Fix")))</f>
        <v>0</v>
      </c>
      <c r="E313" s="4">
        <f>IF(OR(INDEX($AH$2:$AH$1001,MATCH(ROWS($AG$2:AG313),$AG$2:$AG$1001,0),1)&gt;=100000,INDEX($AN$1005:$BO$1005,1,MATCH(COLUMNS($AN$1006:AQ1006),$AN$1006:$BO$1006,0))&gt;=100000), " ",IF(INDEX($AN$2:$BO$1001,MATCH(ROWS($AG$2:AG313),$AG$2:$AG$1001,0),MATCH(COLUMNS($AN$1006:AQ1006),$AN$1006:$BO$1006,0)), HYPERLINK("#",""), HYPERLINK(CONCATENATE("#Metadata!", ADDRESS(INDEX($AI$2:$AI$1001,MATCH(ROWS($AG$2:AG313),$AG$2:$AG$1001,0),0), INDEX($AN$1004:$BO$1004,1,MATCH(COLUMNS($AN$1006:AQ1006),$AN$1006:$BO$1006,0)))),"Fix")))</f>
        <v>0</v>
      </c>
      <c r="F313" s="4">
        <f>IF(OR(INDEX($AH$2:$AH$1001,MATCH(ROWS($AG$2:AG313),$AG$2:$AG$1001,0),1)&gt;=100000,INDEX($AN$1005:$BO$1005,1,MATCH(COLUMNS($AN$1006:AR1006),$AN$1006:$BO$1006,0))&gt;=100000), " ",IF(INDEX($AN$2:$BO$1001,MATCH(ROWS($AG$2:AG313),$AG$2:$AG$1001,0),MATCH(COLUMNS($AN$1006:AR1006),$AN$1006:$BO$1006,0)), HYPERLINK("#",""), HYPERLINK(CONCATENATE("#Metadata!", ADDRESS(INDEX($AI$2:$AI$1001,MATCH(ROWS($AG$2:AG313),$AG$2:$AG$1001,0),0), INDEX($AN$1004:$BO$1004,1,MATCH(COLUMNS($AN$1006:AR1006),$AN$1006:$BO$1006,0)))),"Fix")))</f>
        <v>0</v>
      </c>
      <c r="G313" s="4">
        <f>IF(OR(INDEX($AH$2:$AH$1001,MATCH(ROWS($AG$2:AG313),$AG$2:$AG$1001,0),1)&gt;=100000,INDEX($AN$1005:$BO$1005,1,MATCH(COLUMNS($AN$1006:AS1006),$AN$1006:$BO$1006,0))&gt;=100000), " ",IF(INDEX($AN$2:$BO$1001,MATCH(ROWS($AG$2:AG313),$AG$2:$AG$1001,0),MATCH(COLUMNS($AN$1006:AS1006),$AN$1006:$BO$1006,0)), HYPERLINK("#",""), HYPERLINK(CONCATENATE("#Metadata!", ADDRESS(INDEX($AI$2:$AI$1001,MATCH(ROWS($AG$2:AG313),$AG$2:$AG$1001,0),0), INDEX($AN$1004:$BO$1004,1,MATCH(COLUMNS($AN$1006:AS1006),$AN$1006:$BO$1006,0)))),"Fix")))</f>
        <v>0</v>
      </c>
      <c r="H313" s="4">
        <f>IF(OR(INDEX($AH$2:$AH$1001,MATCH(ROWS($AG$2:AG313),$AG$2:$AG$1001,0),1)&gt;=100000,INDEX($AN$1005:$BO$1005,1,MATCH(COLUMNS($AN$1006:AT1006),$AN$1006:$BO$1006,0))&gt;=100000), " ",IF(INDEX($AN$2:$BO$1001,MATCH(ROWS($AG$2:AG313),$AG$2:$AG$1001,0),MATCH(COLUMNS($AN$1006:AT1006),$AN$1006:$BO$1006,0)), HYPERLINK("#",""), HYPERLINK(CONCATENATE("#Metadata!", ADDRESS(INDEX($AI$2:$AI$1001,MATCH(ROWS($AG$2:AG313),$AG$2:$AG$1001,0),0), INDEX($AN$1004:$BO$1004,1,MATCH(COLUMNS($AN$1006:AT1006),$AN$1006:$BO$1006,0)))),"Fix")))</f>
        <v>0</v>
      </c>
      <c r="I313" s="4">
        <f>IF(OR(INDEX($AH$2:$AH$1001,MATCH(ROWS($AG$2:AG313),$AG$2:$AG$1001,0),1)&gt;=100000,INDEX($AN$1005:$BO$1005,1,MATCH(COLUMNS($AN$1006:AU1006),$AN$1006:$BO$1006,0))&gt;=100000), " ",IF(INDEX($AN$2:$BO$1001,MATCH(ROWS($AG$2:AG313),$AG$2:$AG$1001,0),MATCH(COLUMNS($AN$1006:AU1006),$AN$1006:$BO$1006,0)), HYPERLINK("#",""), HYPERLINK(CONCATENATE("#Metadata!", ADDRESS(INDEX($AI$2:$AI$1001,MATCH(ROWS($AG$2:AG313),$AG$2:$AG$1001,0),0), INDEX($AN$1004:$BO$1004,1,MATCH(COLUMNS($AN$1006:AU1006),$AN$1006:$BO$1006,0)))),"Fix")))</f>
        <v>0</v>
      </c>
      <c r="J313" s="4">
        <f>IF(OR(INDEX($AH$2:$AH$1001,MATCH(ROWS($AG$2:AG313),$AG$2:$AG$1001,0),1)&gt;=100000,INDEX($AN$1005:$BO$1005,1,MATCH(COLUMNS($AN$1006:AV1006),$AN$1006:$BO$1006,0))&gt;=100000), " ",IF(INDEX($AN$2:$BO$1001,MATCH(ROWS($AG$2:AG313),$AG$2:$AG$1001,0),MATCH(COLUMNS($AN$1006:AV1006),$AN$1006:$BO$1006,0)), HYPERLINK("#",""), HYPERLINK(CONCATENATE("#Metadata!", ADDRESS(INDEX($AI$2:$AI$1001,MATCH(ROWS($AG$2:AG313),$AG$2:$AG$1001,0),0), INDEX($AN$1004:$BO$1004,1,MATCH(COLUMNS($AN$1006:AV1006),$AN$1006:$BO$1006,0)))),"Fix")))</f>
        <v>0</v>
      </c>
      <c r="K313" s="4">
        <f>IF(OR(INDEX($AH$2:$AH$1001,MATCH(ROWS($AG$2:AG313),$AG$2:$AG$1001,0),1)&gt;=100000,INDEX($AN$1005:$BO$1005,1,MATCH(COLUMNS($AN$1006:AW1006),$AN$1006:$BO$1006,0))&gt;=100000), " ",IF(INDEX($AN$2:$BO$1001,MATCH(ROWS($AG$2:AG313),$AG$2:$AG$1001,0),MATCH(COLUMNS($AN$1006:AW1006),$AN$1006:$BO$1006,0)), HYPERLINK("#",""), HYPERLINK(CONCATENATE("#Metadata!", ADDRESS(INDEX($AI$2:$AI$1001,MATCH(ROWS($AG$2:AG313),$AG$2:$AG$1001,0),0), INDEX($AN$1004:$BO$1004,1,MATCH(COLUMNS($AN$1006:AW1006),$AN$1006:$BO$1006,0)))),"Fix")))</f>
        <v>0</v>
      </c>
      <c r="L313" s="4">
        <f>IF(OR(INDEX($AH$2:$AH$1001,MATCH(ROWS($AG$2:AG313),$AG$2:$AG$1001,0),1)&gt;=100000,INDEX($AN$1005:$BO$1005,1,MATCH(COLUMNS($AN$1006:AX1006),$AN$1006:$BO$1006,0))&gt;=100000), " ",IF(INDEX($AN$2:$BO$1001,MATCH(ROWS($AG$2:AG313),$AG$2:$AG$1001,0),MATCH(COLUMNS($AN$1006:AX1006),$AN$1006:$BO$1006,0)), HYPERLINK("#",""), HYPERLINK(CONCATENATE("#Metadata!", ADDRESS(INDEX($AI$2:$AI$1001,MATCH(ROWS($AG$2:AG313),$AG$2:$AG$1001,0),0), INDEX($AN$1004:$BO$1004,1,MATCH(COLUMNS($AN$1006:AX1006),$AN$1006:$BO$1006,0)))),"Fix")))</f>
        <v>0</v>
      </c>
      <c r="M313" s="4">
        <f>IF(OR(INDEX($AH$2:$AH$1001,MATCH(ROWS($AG$2:AG313),$AG$2:$AG$1001,0),1)&gt;=100000,INDEX($AN$1005:$BO$1005,1,MATCH(COLUMNS($AN$1006:AY1006),$AN$1006:$BO$1006,0))&gt;=100000), " ",IF(INDEX($AN$2:$BO$1001,MATCH(ROWS($AG$2:AG313),$AG$2:$AG$1001,0),MATCH(COLUMNS($AN$1006:AY1006),$AN$1006:$BO$1006,0)), HYPERLINK("#",""), HYPERLINK(CONCATENATE("#Metadata!", ADDRESS(INDEX($AI$2:$AI$1001,MATCH(ROWS($AG$2:AG313),$AG$2:$AG$1001,0),0), INDEX($AN$1004:$BO$1004,1,MATCH(COLUMNS($AN$1006:AY1006),$AN$1006:$BO$1006,0)))),"Fix")))</f>
        <v>0</v>
      </c>
      <c r="N313" s="4">
        <f>IF(OR(INDEX($AH$2:$AH$1001,MATCH(ROWS($AG$2:AG313),$AG$2:$AG$1001,0),1)&gt;=100000,INDEX($AN$1005:$BO$1005,1,MATCH(COLUMNS($AN$1006:AZ1006),$AN$1006:$BO$1006,0))&gt;=100000), " ",IF(INDEX($AN$2:$BO$1001,MATCH(ROWS($AG$2:AG313),$AG$2:$AG$1001,0),MATCH(COLUMNS($AN$1006:AZ1006),$AN$1006:$BO$1006,0)), HYPERLINK("#",""), HYPERLINK(CONCATENATE("#Metadata!", ADDRESS(INDEX($AI$2:$AI$1001,MATCH(ROWS($AG$2:AG313),$AG$2:$AG$1001,0),0), INDEX($AN$1004:$BO$1004,1,MATCH(COLUMNS($AN$1006:AZ1006),$AN$1006:$BO$1006,0)))),"Fix")))</f>
        <v>0</v>
      </c>
      <c r="O313" s="4">
        <f>IF(OR(INDEX($AH$2:$AH$1001,MATCH(ROWS($AG$2:AG313),$AG$2:$AG$1001,0),1)&gt;=100000,INDEX($AN$1005:$BO$1005,1,MATCH(COLUMNS($AN$1006:BA1006),$AN$1006:$BO$1006,0))&gt;=100000), " ",IF(INDEX($AN$2:$BO$1001,MATCH(ROWS($AG$2:AG313),$AG$2:$AG$1001,0),MATCH(COLUMNS($AN$1006:BA1006),$AN$1006:$BO$1006,0)), HYPERLINK("#",""), HYPERLINK(CONCATENATE("#Metadata!", ADDRESS(INDEX($AI$2:$AI$1001,MATCH(ROWS($AG$2:AG313),$AG$2:$AG$1001,0),0), INDEX($AN$1004:$BO$1004,1,MATCH(COLUMNS($AN$1006:BA1006),$AN$1006:$BO$1006,0)))),"Fix")))</f>
        <v>0</v>
      </c>
      <c r="P313" s="4">
        <f>IF(OR(INDEX($AH$2:$AH$1001,MATCH(ROWS($AG$2:AG313),$AG$2:$AG$1001,0),1)&gt;=100000,INDEX($AN$1005:$BO$1005,1,MATCH(COLUMNS($AN$1006:BB1006),$AN$1006:$BO$1006,0))&gt;=100000), " ",IF(INDEX($AN$2:$BO$1001,MATCH(ROWS($AG$2:AG313),$AG$2:$AG$1001,0),MATCH(COLUMNS($AN$1006:BB1006),$AN$1006:$BO$1006,0)), HYPERLINK("#",""), HYPERLINK(CONCATENATE("#Metadata!", ADDRESS(INDEX($AI$2:$AI$1001,MATCH(ROWS($AG$2:AG313),$AG$2:$AG$1001,0),0), INDEX($AN$1004:$BO$1004,1,MATCH(COLUMNS($AN$1006:BB1006),$AN$1006:$BO$1006,0)))),"Fix")))</f>
        <v>0</v>
      </c>
      <c r="Q313" s="4">
        <f>IF(OR(INDEX($AH$2:$AH$1001,MATCH(ROWS($AG$2:AG313),$AG$2:$AG$1001,0),1)&gt;=100000,INDEX($AN$1005:$BO$1005,1,MATCH(COLUMNS($AN$1006:BC1006),$AN$1006:$BO$1006,0))&gt;=100000), " ",IF(INDEX($AN$2:$BO$1001,MATCH(ROWS($AG$2:AG313),$AG$2:$AG$1001,0),MATCH(COLUMNS($AN$1006:BC1006),$AN$1006:$BO$1006,0)), HYPERLINK("#",""), HYPERLINK(CONCATENATE("#Metadata!", ADDRESS(INDEX($AI$2:$AI$1001,MATCH(ROWS($AG$2:AG313),$AG$2:$AG$1001,0),0), INDEX($AN$1004:$BO$1004,1,MATCH(COLUMNS($AN$1006:BC1006),$AN$1006:$BO$1006,0)))),"Fix")))</f>
        <v>0</v>
      </c>
      <c r="R313" s="4">
        <f>IF(OR(INDEX($AH$2:$AH$1001,MATCH(ROWS($AG$2:AG313),$AG$2:$AG$1001,0),1)&gt;=100000,INDEX($AN$1005:$BO$1005,1,MATCH(COLUMNS($AN$1006:BD1006),$AN$1006:$BO$1006,0))&gt;=100000), " ",IF(INDEX($AN$2:$BO$1001,MATCH(ROWS($AG$2:AG313),$AG$2:$AG$1001,0),MATCH(COLUMNS($AN$1006:BD1006),$AN$1006:$BO$1006,0)), HYPERLINK("#",""), HYPERLINK(CONCATENATE("#Metadata!", ADDRESS(INDEX($AI$2:$AI$1001,MATCH(ROWS($AG$2:AG313),$AG$2:$AG$1001,0),0), INDEX($AN$1004:$BO$1004,1,MATCH(COLUMNS($AN$1006:BD1006),$AN$1006:$BO$1006,0)))),"Fix")))</f>
        <v>0</v>
      </c>
      <c r="S313" s="4">
        <f>IF(OR(INDEX($AH$2:$AH$1001,MATCH(ROWS($AG$2:AG313),$AG$2:$AG$1001,0),1)&gt;=100000,INDEX($AN$1005:$BO$1005,1,MATCH(COLUMNS($AN$1006:BE1006),$AN$1006:$BO$1006,0))&gt;=100000), " ",IF(INDEX($AN$2:$BO$1001,MATCH(ROWS($AG$2:AG313),$AG$2:$AG$1001,0),MATCH(COLUMNS($AN$1006:BE1006),$AN$1006:$BO$1006,0)), HYPERLINK("#",""), HYPERLINK(CONCATENATE("#Metadata!", ADDRESS(INDEX($AI$2:$AI$1001,MATCH(ROWS($AG$2:AG313),$AG$2:$AG$1001,0),0), INDEX($AN$1004:$BO$1004,1,MATCH(COLUMNS($AN$1006:BE1006),$AN$1006:$BO$1006,0)))),"Fix")))</f>
        <v>0</v>
      </c>
      <c r="T313" s="4">
        <f>IF(OR(INDEX($AH$2:$AH$1001,MATCH(ROWS($AG$2:AG313),$AG$2:$AG$1001,0),1)&gt;=100000,INDEX($AN$1005:$BO$1005,1,MATCH(COLUMNS($AN$1006:BF1006),$AN$1006:$BO$1006,0))&gt;=100000), " ",IF(INDEX($AN$2:$BO$1001,MATCH(ROWS($AG$2:AG313),$AG$2:$AG$1001,0),MATCH(COLUMNS($AN$1006:BF1006),$AN$1006:$BO$1006,0)), HYPERLINK("#",""), HYPERLINK(CONCATENATE("#Metadata!", ADDRESS(INDEX($AI$2:$AI$1001,MATCH(ROWS($AG$2:AG313),$AG$2:$AG$1001,0),0), INDEX($AN$1004:$BO$1004,1,MATCH(COLUMNS($AN$1006:BF1006),$AN$1006:$BO$1006,0)))),"Fix")))</f>
        <v>0</v>
      </c>
      <c r="U313" s="4">
        <f>IF(OR(INDEX($AH$2:$AH$1001,MATCH(ROWS($AG$2:AG313),$AG$2:$AG$1001,0),1)&gt;=100000,INDEX($AN$1005:$BO$1005,1,MATCH(COLUMNS($AN$1006:BG1006),$AN$1006:$BO$1006,0))&gt;=100000), " ",IF(INDEX($AN$2:$BO$1001,MATCH(ROWS($AG$2:AG313),$AG$2:$AG$1001,0),MATCH(COLUMNS($AN$1006:BG1006),$AN$1006:$BO$1006,0)), HYPERLINK("#",""), HYPERLINK(CONCATENATE("#Metadata!", ADDRESS(INDEX($AI$2:$AI$1001,MATCH(ROWS($AG$2:AG313),$AG$2:$AG$1001,0),0), INDEX($AN$1004:$BO$1004,1,MATCH(COLUMNS($AN$1006:BG1006),$AN$1006:$BO$1006,0)))),"Fix")))</f>
        <v>0</v>
      </c>
      <c r="V313" s="4">
        <f>IF(OR(INDEX($AH$2:$AH$1001,MATCH(ROWS($AG$2:AG313),$AG$2:$AG$1001,0),1)&gt;=100000,INDEX($AN$1005:$BO$1005,1,MATCH(COLUMNS($AN$1006:BH1006),$AN$1006:$BO$1006,0))&gt;=100000), " ",IF(INDEX($AN$2:$BO$1001,MATCH(ROWS($AG$2:AG313),$AG$2:$AG$1001,0),MATCH(COLUMNS($AN$1006:BH1006),$AN$1006:$BO$1006,0)), HYPERLINK("#",""), HYPERLINK(CONCATENATE("#Metadata!", ADDRESS(INDEX($AI$2:$AI$1001,MATCH(ROWS($AG$2:AG313),$AG$2:$AG$1001,0),0), INDEX($AN$1004:$BO$1004,1,MATCH(COLUMNS($AN$1006:BH1006),$AN$1006:$BO$1006,0)))),"Fix")))</f>
        <v>0</v>
      </c>
      <c r="W313" s="4">
        <f>IF(OR(INDEX($AH$2:$AH$1001,MATCH(ROWS($AG$2:AG313),$AG$2:$AG$1001,0),1)&gt;=100000,INDEX($AN$1005:$BO$1005,1,MATCH(COLUMNS($AN$1006:BI1006),$AN$1006:$BO$1006,0))&gt;=100000), " ",IF(INDEX($AN$2:$BO$1001,MATCH(ROWS($AG$2:AG313),$AG$2:$AG$1001,0),MATCH(COLUMNS($AN$1006:BI1006),$AN$1006:$BO$1006,0)), HYPERLINK("#",""), HYPERLINK(CONCATENATE("#Metadata!", ADDRESS(INDEX($AI$2:$AI$1001,MATCH(ROWS($AG$2:AG313),$AG$2:$AG$1001,0),0), INDEX($AN$1004:$BO$1004,1,MATCH(COLUMNS($AN$1006:BI1006),$AN$1006:$BO$1006,0)))),"Fix")))</f>
        <v>0</v>
      </c>
      <c r="X313" s="4">
        <f>IF(OR(INDEX($AH$2:$AH$1001,MATCH(ROWS($AG$2:AG313),$AG$2:$AG$1001,0),1)&gt;=100000,INDEX($AN$1005:$BO$1005,1,MATCH(COLUMNS($AN$1006:BJ1006),$AN$1006:$BO$1006,0))&gt;=100000), " ",IF(INDEX($AN$2:$BO$1001,MATCH(ROWS($AG$2:AG313),$AG$2:$AG$1001,0),MATCH(COLUMNS($AN$1006:BJ1006),$AN$1006:$BO$1006,0)), HYPERLINK("#",""), HYPERLINK(CONCATENATE("#Metadata!", ADDRESS(INDEX($AI$2:$AI$1001,MATCH(ROWS($AG$2:AG313),$AG$2:$AG$1001,0),0), INDEX($AN$1004:$BO$1004,1,MATCH(COLUMNS($AN$1006:BJ1006),$AN$1006:$BO$1006,0)))),"Fix")))</f>
        <v>0</v>
      </c>
      <c r="Y313" s="4">
        <f>IF(OR(INDEX($AH$2:$AH$1001,MATCH(ROWS($AG$2:AG313),$AG$2:$AG$1001,0),1)&gt;=100000,INDEX($AN$1005:$BO$1005,1,MATCH(COLUMNS($AN$1006:BK1006),$AN$1006:$BO$1006,0))&gt;=100000), " ",IF(INDEX($AN$2:$BO$1001,MATCH(ROWS($AG$2:AG313),$AG$2:$AG$1001,0),MATCH(COLUMNS($AN$1006:BK1006),$AN$1006:$BO$1006,0)), HYPERLINK("#",""), HYPERLINK(CONCATENATE("#Metadata!", ADDRESS(INDEX($AI$2:$AI$1001,MATCH(ROWS($AG$2:AG313),$AG$2:$AG$1001,0),0), INDEX($AN$1004:$BO$1004,1,MATCH(COLUMNS($AN$1006:BK1006),$AN$1006:$BO$1006,0)))),"Fix")))</f>
        <v>0</v>
      </c>
      <c r="Z313" s="4">
        <f>IF(OR(INDEX($AH$2:$AH$1001,MATCH(ROWS($AG$2:AG313),$AG$2:$AG$1001,0),1)&gt;=100000,INDEX($AN$1005:$BO$1005,1,MATCH(COLUMNS($AN$1006:BL1006),$AN$1006:$BO$1006,0))&gt;=100000), " ",IF(INDEX($AN$2:$BO$1001,MATCH(ROWS($AG$2:AG313),$AG$2:$AG$1001,0),MATCH(COLUMNS($AN$1006:BL1006),$AN$1006:$BO$1006,0)), HYPERLINK("#",""), HYPERLINK(CONCATENATE("#Metadata!", ADDRESS(INDEX($AI$2:$AI$1001,MATCH(ROWS($AG$2:AG313),$AG$2:$AG$1001,0),0), INDEX($AN$1004:$BO$1004,1,MATCH(COLUMNS($AN$1006:BL1006),$AN$1006:$BO$1006,0)))),"Fix")))</f>
        <v>0</v>
      </c>
      <c r="AA313" s="4">
        <f>IF(OR(INDEX($AH$2:$AH$1001,MATCH(ROWS($AG$2:AG313),$AG$2:$AG$1001,0),1)&gt;=100000,INDEX($AN$1005:$BO$1005,1,MATCH(COLUMNS($AN$1006:BM1006),$AN$1006:$BO$1006,0))&gt;=100000), " ",IF(INDEX($AN$2:$BO$1001,MATCH(ROWS($AG$2:AG313),$AG$2:$AG$1001,0),MATCH(COLUMNS($AN$1006:BM1006),$AN$1006:$BO$1006,0)), HYPERLINK("#",""), HYPERLINK(CONCATENATE("#Metadata!", ADDRESS(INDEX($AI$2:$AI$1001,MATCH(ROWS($AG$2:AG313),$AG$2:$AG$1001,0),0), INDEX($AN$1004:$BO$1004,1,MATCH(COLUMNS($AN$1006:BM1006),$AN$1006:$BO$1006,0)))),"Fix")))</f>
        <v>0</v>
      </c>
      <c r="AB313" s="4">
        <f>IF(OR(INDEX($AH$2:$AH$1001,MATCH(ROWS($AG$2:AG313),$AG$2:$AG$1001,0),1)&gt;=100000,INDEX($AN$1005:$BO$1005,1,MATCH(COLUMNS($AN$1006:BN1006),$AN$1006:$BO$1006,0))&gt;=100000), " ",IF(INDEX($AN$2:$BO$1001,MATCH(ROWS($AG$2:AG313),$AG$2:$AG$1001,0),MATCH(COLUMNS($AN$1006:BN1006),$AN$1006:$BO$1006,0)), HYPERLINK("#",""), HYPERLINK(CONCATENATE("#Metadata!", ADDRESS(INDEX($AI$2:$AI$1001,MATCH(ROWS($AG$2:AG313),$AG$2:$AG$1001,0),0), INDEX($AN$1004:$BO$1004,1,MATCH(COLUMNS($AN$1006:BN1006),$AN$1006:$BO$1006,0)))),"Fix")))</f>
        <v>0</v>
      </c>
      <c r="AC313" s="4">
        <f>IF(OR(INDEX($AH$2:$AH$1001,MATCH(ROWS($AG$2:AG313),$AG$2:$AG$1001,0),1)&gt;=100000,INDEX($AN$1005:$BO$1005,1,MATCH(COLUMNS($AN$1006:BO1006),$AN$1006:$BO$1006,0))&gt;=100000), " ",IF(INDEX($AN$2:$BO$1001,MATCH(ROWS($AG$2:AG313),$AG$2:$AG$1001,0),MATCH(COLUMNS($AN$1006:BO1006),$AN$1006:$BO$1006,0)), HYPERLINK("#",""), HYPERLINK(CONCATENATE("#Metadata!", ADDRESS(INDEX($AI$2:$AI$1001,MATCH(ROWS($AG$2:AG313),$AG$2:$AG$1001,0),0), INDEX($AN$1004:$BO$1004,1,MATCH(COLUMNS($AN$1006:BO1006),$AN$1006:$BO$1006,0)))),"Fix")))</f>
        <v>0</v>
      </c>
      <c r="AG313">
        <v>0</v>
      </c>
      <c r="AH313">
        <v>0</v>
      </c>
      <c r="AI313">
        <v>0</v>
      </c>
      <c r="AJ313">
        <f>IF(AK313,TRUE,AND(AN313:BO313))</f>
        <v>0</v>
      </c>
      <c r="AK313">
        <f>COUNTBLANK(Metadata!B313:AC313)=COLUMNS(Metadata!B313:AC313)</f>
        <v>0</v>
      </c>
      <c r="AL313">
        <v>0</v>
      </c>
      <c r="AN313">
        <f>AND(IF(Metadata!B313="",FALSE,TRUE),COUNTIF(Metadata!B:B, Metadata!B313) = 1,NOT(ISERROR(SUMPRODUCT(SEARCH(MID(Metadata!B313,ROW(INDIRECT("1:"&amp;LEN(Metadata!B313))), 1),"0123456789abcdefghijklmnopqrstuvwxyzABCDEFGHIJKLMNOPQRSTUVWXYZ.")))))</f>
        <v>0</v>
      </c>
      <c r="AO313">
        <f>IF(Metadata!C313="",FALSE,TRUE)</f>
        <v>0</v>
      </c>
      <c r="AP313">
        <f>IF(Metadata!D313="",FALSE,TRUE)</f>
        <v>0</v>
      </c>
      <c r="AQ313">
        <f>OR(AND(IF(Metadata!E313="",FALSE,TRUE),OR(exact(Metadata!E313,"not collected"),exact(Metadata!E313,"not provided"),exact(Metadata!E313,"restricted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R313">
        <f>IF(Metadata!F313="",FALSE,TRUE)</f>
        <v>0</v>
      </c>
      <c r="AS313">
        <f>OR(AND(IF(Metadata!G313="",FALSE,TRUE),OR(exact(Metadata!G313,"not collected"),exact(Metadata!G313,"not provided"))),AND(IF(Metadata!G313="",FALSE,TRUE),OR(exact(Metadata!G313,"TRUE"),exact(Metadata!G313,"FALSE"))))</f>
        <v>0</v>
      </c>
      <c r="AT313">
        <f>OR(AND(IF(Metadata!H313="",FALSE,TRUE),OR(exact(Metadata!H313,"not collected"),exact(Metadata!H313,"not provided"),exact(Metadata!H313,"restricted access"))),AND(IF(Metadata!H313="",FALSE,ISNUMBER(VALUE(Metadata!H313))),Metadata!H313&gt;=-413.0))</f>
        <v>0</v>
      </c>
      <c r="AU313">
        <f>AND(IF(Metadata!I313="",FALSE,TRUE),exact(Metadata!I313,"meters"))</f>
        <v>0</v>
      </c>
      <c r="AV313">
        <f>AND(IF(Metadata!J313="",FALSE,TRUE),OR(exact(Metadata!J313,"Host-associated"),exact(Metadata!J313,"Free-living")))</f>
        <v>0</v>
      </c>
      <c r="AW313">
        <f>AND(IF(Metadata!K313="",FALSE,TRUE),OR(exact(Metadata!K313,"Animal"),exact(Metadata!K313,"Fungus"),exact(Metadata!K313,"Plant"),exact(Metadata!K313,"Saline"),exact(Metadata!K313,"Non-saline")))</f>
        <v>0</v>
      </c>
      <c r="AX313">
        <f>AND(IF(Metadata!L313="",FALSE,TRUE),OR(exact(Metadata!L313,"Plant secretion"),exact(Metadata!L313,"Plant rhizosphere"),exact(Metadata!L313,"Plant surface"),exact(Metadata!L313,"Plant corpus"),exact(Metadata!L313,"Fungus surface"),exact(Metadata!L313,"Fungus corpus"),exact(Metadata!L313,"Animal surface"),exact(Metadata!L313,"Animal proximal gut"),exact(Metadata!L313,"Animal corpus"),exact(Metadata!L313,"Animal distal gut"),exact(Metadata!L313,"Animal secretion"),exact(Metadata!L313,"Sub-surface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Y313">
        <f>IF(Metadata!M313="",FALSE,TRUE)</f>
        <v>0</v>
      </c>
      <c r="AZ313">
        <f>IF(Metadata!N313="",FALSE,TRUE)</f>
        <v>0</v>
      </c>
      <c r="BA313">
        <f>IF(Metadata!O313="",FALSE,TRUE)</f>
        <v>0</v>
      </c>
      <c r="BB313">
        <f>OR(AND(IF(Metadata!P313="",FALSE,TRUE),OR(exact(Metadata!P313,"not collected"),exact(Metadata!P313,"not provided"),exact(Metadata!P313,"restricted access"))),AND(IF(Metadata!P313="",FALSE,TRUE),OR(exact(Metadata!P313,"air"),exact(Metadata!P313,"built environment"),exact(Metadata!P313,"host-associated"),exact(Metadata!P313,"human-associated"),exact(Metadata!P313,"human-skin"),exact(Metadata!P313,"human-oral"),exact(Metadata!P313,"human-gut"),exact(Metadata!P313,"human-vaginal"),exact(Metadata!P313,"microbial mat/biofilm"),exact(Metadata!P313,"misc environment"),exact(Metadata!P313,"plant-associated"),exact(Metadata!P313,"sediment"),exact(Metadata!P313,"soil"),exact(Metadata!P313,"wastewater/sludge"),exact(Metadata!P313,"water"))))</f>
        <v>0</v>
      </c>
      <c r="BC313">
        <f>IF(Metadata!Q313="",FALSE,TRUE)</f>
        <v>0</v>
      </c>
      <c r="BD313">
        <f>IF(Metadata!R313="",FALSE,TRUE)</f>
        <v>0</v>
      </c>
      <c r="BE313">
        <f>OR(AND(IF(Metadata!S313="",FALSE,TRUE),OR(exact(Metadata!S313,"not collected"),exact(Metadata!S313,"not provided"),exact(Metadata!S313,"restricted access"))),AND(IF(Metadata!S313="",FALSE,ISNUMBER(VALUE(Metadata!S313))),Metadata!S313&gt;=-90.00,Metadata!S313&lt;=90.00))</f>
        <v>0</v>
      </c>
      <c r="BF313">
        <f>AND(IF(Metadata!T313="",FALSE,TRUE),exact(Metadata!T313,"Decimal degrees"))</f>
        <v>0</v>
      </c>
      <c r="BG313">
        <f>OR(AND(IF(Metadata!U313="",FALSE,TRUE),OR(exact(Metadata!U313,"not collected"),exact(Metadata!U313,"not provided"),exact(Metadata!U313,"restricted access"))),AND(IF(Metadata!U313="",FALSE,ISNUMBER(VALUE(Metadata!U313))),Metadata!U313&gt;=-180.00,Metadata!U313&lt;=180.00))</f>
        <v>0</v>
      </c>
      <c r="BH313">
        <f>AND(IF(Metadata!V313="",FALSE,TRUE),exact(Metadata!V313,"Decimal degrees"))</f>
        <v>0</v>
      </c>
      <c r="BI313">
        <f>IF(Metadata!W313="",FALSE,TRUE)</f>
        <v>0</v>
      </c>
      <c r="BJ313">
        <f>OR(AND(IF(Metadata!X313="",FALSE,TRUE),OR(exact(Metadata!X313,"not collected"),exact(Metadata!X313,"not provided"),exact(Metadata!X313,"restricted access"))),AND(IF(Metadata!X313="",FALSE,TRUE),OR(exact(Metadata!X313,"TRUE"),exact(Metadata!X313,"FALSE"))))</f>
        <v>0</v>
      </c>
      <c r="BK313">
        <f>AND(IF(Metadata!Y313="",FALSE,TRUE),exact(Metadata!Y313,"other"))</f>
        <v>0</v>
      </c>
      <c r="BL313">
        <f>IF(Metadata!Z313="",FALSE,TRUE)</f>
        <v>0</v>
      </c>
      <c r="BM313">
        <f>OR(AND(IF(Metadata!AA313="",FALSE,TRUE),OR(exact(Metadata!AA313,"not collected"),exact(Metadata!AA313,"not provided"))),AND(IF(Metadata!AA313="",FALSE,IF(ISERROR(INT(Metadata!AA313)),FALSE,INT(Metadata!AA313)=Metadata!AA313)),Metadata!AA313&gt;0))</f>
        <v>0</v>
      </c>
      <c r="BN313">
        <f>AND(IF(Metadata!AB313="",FALSE,TRUE),exact(Metadata!AB313,"Not applicable"))</f>
        <v>0</v>
      </c>
      <c r="BO313">
        <f>IF(Metadata!AC313="",FALSE,TRUE)</f>
        <v>0</v>
      </c>
    </row>
    <row r="314" spans="1:67">
      <c r="A314" s="5">
        <f>IF(B314=" "," ",HYPERLINK(CONCATENATE("#metadata!",ADDRESS(INDEX($AI$2:$AI$1001,MATCH(ROWS($AG$2:AG314),$AG$2:$AG$1001,0),0),1)),INDEX($AL$2:$AL$1001,MATCH(ROWS($AG$2:AG314),$AG$2:$AG$1001,0),0)))</f>
        <v>0</v>
      </c>
      <c r="B314" s="4">
        <f>IF(OR(INDEX($AH$2:$AH$1001,MATCH(ROWS($AG$2:AG314),$AG$2:$AG$1001,0),1)&gt;=100000,INDEX($AN$1005:$BO$1005,1,MATCH(COLUMNS($AN$1006:AN1006),$AN$1006:$BO$1006,0))&gt;=100000), " ",IF(INDEX($AN$2:$BO$1001,MATCH(ROWS($AG$2:AG314),$AG$2:$AG$1001,0),MATCH(COLUMNS($AN$1006:AN1006),$AN$1006:$BO$1006,0)), HYPERLINK("#",""), HYPERLINK(CONCATENATE("#Metadata!", ADDRESS(INDEX($AI$2:$AI$1001,MATCH(ROWS($AG$2:AG314),$AG$2:$AG$1001,0),0), INDEX($AN$1004:$BO$1004,1,MATCH(COLUMNS($AN$1006:AN1006),$AN$1006:$BO$1006,0)))),"Fix")))</f>
        <v>0</v>
      </c>
      <c r="C314" s="4">
        <f>IF(OR(INDEX($AH$2:$AH$1001,MATCH(ROWS($AG$2:AG314),$AG$2:$AG$1001,0),1)&gt;=100000,INDEX($AN$1005:$BO$1005,1,MATCH(COLUMNS($AN$1006:AO1006),$AN$1006:$BO$1006,0))&gt;=100000), " ",IF(INDEX($AN$2:$BO$1001,MATCH(ROWS($AG$2:AG314),$AG$2:$AG$1001,0),MATCH(COLUMNS($AN$1006:AO1006),$AN$1006:$BO$1006,0)), HYPERLINK("#",""), HYPERLINK(CONCATENATE("#Metadata!", ADDRESS(INDEX($AI$2:$AI$1001,MATCH(ROWS($AG$2:AG314),$AG$2:$AG$1001,0),0), INDEX($AN$1004:$BO$1004,1,MATCH(COLUMNS($AN$1006:AO1006),$AN$1006:$BO$1006,0)))),"Fix")))</f>
        <v>0</v>
      </c>
      <c r="D314" s="4">
        <f>IF(OR(INDEX($AH$2:$AH$1001,MATCH(ROWS($AG$2:AG314),$AG$2:$AG$1001,0),1)&gt;=100000,INDEX($AN$1005:$BO$1005,1,MATCH(COLUMNS($AN$1006:AP1006),$AN$1006:$BO$1006,0))&gt;=100000), " ",IF(INDEX($AN$2:$BO$1001,MATCH(ROWS($AG$2:AG314),$AG$2:$AG$1001,0),MATCH(COLUMNS($AN$1006:AP1006),$AN$1006:$BO$1006,0)), HYPERLINK("#",""), HYPERLINK(CONCATENATE("#Metadata!", ADDRESS(INDEX($AI$2:$AI$1001,MATCH(ROWS($AG$2:AG314),$AG$2:$AG$1001,0),0), INDEX($AN$1004:$BO$1004,1,MATCH(COLUMNS($AN$1006:AP1006),$AN$1006:$BO$1006,0)))),"Fix")))</f>
        <v>0</v>
      </c>
      <c r="E314" s="4">
        <f>IF(OR(INDEX($AH$2:$AH$1001,MATCH(ROWS($AG$2:AG314),$AG$2:$AG$1001,0),1)&gt;=100000,INDEX($AN$1005:$BO$1005,1,MATCH(COLUMNS($AN$1006:AQ1006),$AN$1006:$BO$1006,0))&gt;=100000), " ",IF(INDEX($AN$2:$BO$1001,MATCH(ROWS($AG$2:AG314),$AG$2:$AG$1001,0),MATCH(COLUMNS($AN$1006:AQ1006),$AN$1006:$BO$1006,0)), HYPERLINK("#",""), HYPERLINK(CONCATENATE("#Metadata!", ADDRESS(INDEX($AI$2:$AI$1001,MATCH(ROWS($AG$2:AG314),$AG$2:$AG$1001,0),0), INDEX($AN$1004:$BO$1004,1,MATCH(COLUMNS($AN$1006:AQ1006),$AN$1006:$BO$1006,0)))),"Fix")))</f>
        <v>0</v>
      </c>
      <c r="F314" s="4">
        <f>IF(OR(INDEX($AH$2:$AH$1001,MATCH(ROWS($AG$2:AG314),$AG$2:$AG$1001,0),1)&gt;=100000,INDEX($AN$1005:$BO$1005,1,MATCH(COLUMNS($AN$1006:AR1006),$AN$1006:$BO$1006,0))&gt;=100000), " ",IF(INDEX($AN$2:$BO$1001,MATCH(ROWS($AG$2:AG314),$AG$2:$AG$1001,0),MATCH(COLUMNS($AN$1006:AR1006),$AN$1006:$BO$1006,0)), HYPERLINK("#",""), HYPERLINK(CONCATENATE("#Metadata!", ADDRESS(INDEX($AI$2:$AI$1001,MATCH(ROWS($AG$2:AG314),$AG$2:$AG$1001,0),0), INDEX($AN$1004:$BO$1004,1,MATCH(COLUMNS($AN$1006:AR1006),$AN$1006:$BO$1006,0)))),"Fix")))</f>
        <v>0</v>
      </c>
      <c r="G314" s="4">
        <f>IF(OR(INDEX($AH$2:$AH$1001,MATCH(ROWS($AG$2:AG314),$AG$2:$AG$1001,0),1)&gt;=100000,INDEX($AN$1005:$BO$1005,1,MATCH(COLUMNS($AN$1006:AS1006),$AN$1006:$BO$1006,0))&gt;=100000), " ",IF(INDEX($AN$2:$BO$1001,MATCH(ROWS($AG$2:AG314),$AG$2:$AG$1001,0),MATCH(COLUMNS($AN$1006:AS1006),$AN$1006:$BO$1006,0)), HYPERLINK("#",""), HYPERLINK(CONCATENATE("#Metadata!", ADDRESS(INDEX($AI$2:$AI$1001,MATCH(ROWS($AG$2:AG314),$AG$2:$AG$1001,0),0), INDEX($AN$1004:$BO$1004,1,MATCH(COLUMNS($AN$1006:AS1006),$AN$1006:$BO$1006,0)))),"Fix")))</f>
        <v>0</v>
      </c>
      <c r="H314" s="4">
        <f>IF(OR(INDEX($AH$2:$AH$1001,MATCH(ROWS($AG$2:AG314),$AG$2:$AG$1001,0),1)&gt;=100000,INDEX($AN$1005:$BO$1005,1,MATCH(COLUMNS($AN$1006:AT1006),$AN$1006:$BO$1006,0))&gt;=100000), " ",IF(INDEX($AN$2:$BO$1001,MATCH(ROWS($AG$2:AG314),$AG$2:$AG$1001,0),MATCH(COLUMNS($AN$1006:AT1006),$AN$1006:$BO$1006,0)), HYPERLINK("#",""), HYPERLINK(CONCATENATE("#Metadata!", ADDRESS(INDEX($AI$2:$AI$1001,MATCH(ROWS($AG$2:AG314),$AG$2:$AG$1001,0),0), INDEX($AN$1004:$BO$1004,1,MATCH(COLUMNS($AN$1006:AT1006),$AN$1006:$BO$1006,0)))),"Fix")))</f>
        <v>0</v>
      </c>
      <c r="I314" s="4">
        <f>IF(OR(INDEX($AH$2:$AH$1001,MATCH(ROWS($AG$2:AG314),$AG$2:$AG$1001,0),1)&gt;=100000,INDEX($AN$1005:$BO$1005,1,MATCH(COLUMNS($AN$1006:AU1006),$AN$1006:$BO$1006,0))&gt;=100000), " ",IF(INDEX($AN$2:$BO$1001,MATCH(ROWS($AG$2:AG314),$AG$2:$AG$1001,0),MATCH(COLUMNS($AN$1006:AU1006),$AN$1006:$BO$1006,0)), HYPERLINK("#",""), HYPERLINK(CONCATENATE("#Metadata!", ADDRESS(INDEX($AI$2:$AI$1001,MATCH(ROWS($AG$2:AG314),$AG$2:$AG$1001,0),0), INDEX($AN$1004:$BO$1004,1,MATCH(COLUMNS($AN$1006:AU1006),$AN$1006:$BO$1006,0)))),"Fix")))</f>
        <v>0</v>
      </c>
      <c r="J314" s="4">
        <f>IF(OR(INDEX($AH$2:$AH$1001,MATCH(ROWS($AG$2:AG314),$AG$2:$AG$1001,0),1)&gt;=100000,INDEX($AN$1005:$BO$1005,1,MATCH(COLUMNS($AN$1006:AV1006),$AN$1006:$BO$1006,0))&gt;=100000), " ",IF(INDEX($AN$2:$BO$1001,MATCH(ROWS($AG$2:AG314),$AG$2:$AG$1001,0),MATCH(COLUMNS($AN$1006:AV1006),$AN$1006:$BO$1006,0)), HYPERLINK("#",""), HYPERLINK(CONCATENATE("#Metadata!", ADDRESS(INDEX($AI$2:$AI$1001,MATCH(ROWS($AG$2:AG314),$AG$2:$AG$1001,0),0), INDEX($AN$1004:$BO$1004,1,MATCH(COLUMNS($AN$1006:AV1006),$AN$1006:$BO$1006,0)))),"Fix")))</f>
        <v>0</v>
      </c>
      <c r="K314" s="4">
        <f>IF(OR(INDEX($AH$2:$AH$1001,MATCH(ROWS($AG$2:AG314),$AG$2:$AG$1001,0),1)&gt;=100000,INDEX($AN$1005:$BO$1005,1,MATCH(COLUMNS($AN$1006:AW1006),$AN$1006:$BO$1006,0))&gt;=100000), " ",IF(INDEX($AN$2:$BO$1001,MATCH(ROWS($AG$2:AG314),$AG$2:$AG$1001,0),MATCH(COLUMNS($AN$1006:AW1006),$AN$1006:$BO$1006,0)), HYPERLINK("#",""), HYPERLINK(CONCATENATE("#Metadata!", ADDRESS(INDEX($AI$2:$AI$1001,MATCH(ROWS($AG$2:AG314),$AG$2:$AG$1001,0),0), INDEX($AN$1004:$BO$1004,1,MATCH(COLUMNS($AN$1006:AW1006),$AN$1006:$BO$1006,0)))),"Fix")))</f>
        <v>0</v>
      </c>
      <c r="L314" s="4">
        <f>IF(OR(INDEX($AH$2:$AH$1001,MATCH(ROWS($AG$2:AG314),$AG$2:$AG$1001,0),1)&gt;=100000,INDEX($AN$1005:$BO$1005,1,MATCH(COLUMNS($AN$1006:AX1006),$AN$1006:$BO$1006,0))&gt;=100000), " ",IF(INDEX($AN$2:$BO$1001,MATCH(ROWS($AG$2:AG314),$AG$2:$AG$1001,0),MATCH(COLUMNS($AN$1006:AX1006),$AN$1006:$BO$1006,0)), HYPERLINK("#",""), HYPERLINK(CONCATENATE("#Metadata!", ADDRESS(INDEX($AI$2:$AI$1001,MATCH(ROWS($AG$2:AG314),$AG$2:$AG$1001,0),0), INDEX($AN$1004:$BO$1004,1,MATCH(COLUMNS($AN$1006:AX1006),$AN$1006:$BO$1006,0)))),"Fix")))</f>
        <v>0</v>
      </c>
      <c r="M314" s="4">
        <f>IF(OR(INDEX($AH$2:$AH$1001,MATCH(ROWS($AG$2:AG314),$AG$2:$AG$1001,0),1)&gt;=100000,INDEX($AN$1005:$BO$1005,1,MATCH(COLUMNS($AN$1006:AY1006),$AN$1006:$BO$1006,0))&gt;=100000), " ",IF(INDEX($AN$2:$BO$1001,MATCH(ROWS($AG$2:AG314),$AG$2:$AG$1001,0),MATCH(COLUMNS($AN$1006:AY1006),$AN$1006:$BO$1006,0)), HYPERLINK("#",""), HYPERLINK(CONCATENATE("#Metadata!", ADDRESS(INDEX($AI$2:$AI$1001,MATCH(ROWS($AG$2:AG314),$AG$2:$AG$1001,0),0), INDEX($AN$1004:$BO$1004,1,MATCH(COLUMNS($AN$1006:AY1006),$AN$1006:$BO$1006,0)))),"Fix")))</f>
        <v>0</v>
      </c>
      <c r="N314" s="4">
        <f>IF(OR(INDEX($AH$2:$AH$1001,MATCH(ROWS($AG$2:AG314),$AG$2:$AG$1001,0),1)&gt;=100000,INDEX($AN$1005:$BO$1005,1,MATCH(COLUMNS($AN$1006:AZ1006),$AN$1006:$BO$1006,0))&gt;=100000), " ",IF(INDEX($AN$2:$BO$1001,MATCH(ROWS($AG$2:AG314),$AG$2:$AG$1001,0),MATCH(COLUMNS($AN$1006:AZ1006),$AN$1006:$BO$1006,0)), HYPERLINK("#",""), HYPERLINK(CONCATENATE("#Metadata!", ADDRESS(INDEX($AI$2:$AI$1001,MATCH(ROWS($AG$2:AG314),$AG$2:$AG$1001,0),0), INDEX($AN$1004:$BO$1004,1,MATCH(COLUMNS($AN$1006:AZ1006),$AN$1006:$BO$1006,0)))),"Fix")))</f>
        <v>0</v>
      </c>
      <c r="O314" s="4">
        <f>IF(OR(INDEX($AH$2:$AH$1001,MATCH(ROWS($AG$2:AG314),$AG$2:$AG$1001,0),1)&gt;=100000,INDEX($AN$1005:$BO$1005,1,MATCH(COLUMNS($AN$1006:BA1006),$AN$1006:$BO$1006,0))&gt;=100000), " ",IF(INDEX($AN$2:$BO$1001,MATCH(ROWS($AG$2:AG314),$AG$2:$AG$1001,0),MATCH(COLUMNS($AN$1006:BA1006),$AN$1006:$BO$1006,0)), HYPERLINK("#",""), HYPERLINK(CONCATENATE("#Metadata!", ADDRESS(INDEX($AI$2:$AI$1001,MATCH(ROWS($AG$2:AG314),$AG$2:$AG$1001,0),0), INDEX($AN$1004:$BO$1004,1,MATCH(COLUMNS($AN$1006:BA1006),$AN$1006:$BO$1006,0)))),"Fix")))</f>
        <v>0</v>
      </c>
      <c r="P314" s="4">
        <f>IF(OR(INDEX($AH$2:$AH$1001,MATCH(ROWS($AG$2:AG314),$AG$2:$AG$1001,0),1)&gt;=100000,INDEX($AN$1005:$BO$1005,1,MATCH(COLUMNS($AN$1006:BB1006),$AN$1006:$BO$1006,0))&gt;=100000), " ",IF(INDEX($AN$2:$BO$1001,MATCH(ROWS($AG$2:AG314),$AG$2:$AG$1001,0),MATCH(COLUMNS($AN$1006:BB1006),$AN$1006:$BO$1006,0)), HYPERLINK("#",""), HYPERLINK(CONCATENATE("#Metadata!", ADDRESS(INDEX($AI$2:$AI$1001,MATCH(ROWS($AG$2:AG314),$AG$2:$AG$1001,0),0), INDEX($AN$1004:$BO$1004,1,MATCH(COLUMNS($AN$1006:BB1006),$AN$1006:$BO$1006,0)))),"Fix")))</f>
        <v>0</v>
      </c>
      <c r="Q314" s="4">
        <f>IF(OR(INDEX($AH$2:$AH$1001,MATCH(ROWS($AG$2:AG314),$AG$2:$AG$1001,0),1)&gt;=100000,INDEX($AN$1005:$BO$1005,1,MATCH(COLUMNS($AN$1006:BC1006),$AN$1006:$BO$1006,0))&gt;=100000), " ",IF(INDEX($AN$2:$BO$1001,MATCH(ROWS($AG$2:AG314),$AG$2:$AG$1001,0),MATCH(COLUMNS($AN$1006:BC1006),$AN$1006:$BO$1006,0)), HYPERLINK("#",""), HYPERLINK(CONCATENATE("#Metadata!", ADDRESS(INDEX($AI$2:$AI$1001,MATCH(ROWS($AG$2:AG314),$AG$2:$AG$1001,0),0), INDEX($AN$1004:$BO$1004,1,MATCH(COLUMNS($AN$1006:BC1006),$AN$1006:$BO$1006,0)))),"Fix")))</f>
        <v>0</v>
      </c>
      <c r="R314" s="4">
        <f>IF(OR(INDEX($AH$2:$AH$1001,MATCH(ROWS($AG$2:AG314),$AG$2:$AG$1001,0),1)&gt;=100000,INDEX($AN$1005:$BO$1005,1,MATCH(COLUMNS($AN$1006:BD1006),$AN$1006:$BO$1006,0))&gt;=100000), " ",IF(INDEX($AN$2:$BO$1001,MATCH(ROWS($AG$2:AG314),$AG$2:$AG$1001,0),MATCH(COLUMNS($AN$1006:BD1006),$AN$1006:$BO$1006,0)), HYPERLINK("#",""), HYPERLINK(CONCATENATE("#Metadata!", ADDRESS(INDEX($AI$2:$AI$1001,MATCH(ROWS($AG$2:AG314),$AG$2:$AG$1001,0),0), INDEX($AN$1004:$BO$1004,1,MATCH(COLUMNS($AN$1006:BD1006),$AN$1006:$BO$1006,0)))),"Fix")))</f>
        <v>0</v>
      </c>
      <c r="S314" s="4">
        <f>IF(OR(INDEX($AH$2:$AH$1001,MATCH(ROWS($AG$2:AG314),$AG$2:$AG$1001,0),1)&gt;=100000,INDEX($AN$1005:$BO$1005,1,MATCH(COLUMNS($AN$1006:BE1006),$AN$1006:$BO$1006,0))&gt;=100000), " ",IF(INDEX($AN$2:$BO$1001,MATCH(ROWS($AG$2:AG314),$AG$2:$AG$1001,0),MATCH(COLUMNS($AN$1006:BE1006),$AN$1006:$BO$1006,0)), HYPERLINK("#",""), HYPERLINK(CONCATENATE("#Metadata!", ADDRESS(INDEX($AI$2:$AI$1001,MATCH(ROWS($AG$2:AG314),$AG$2:$AG$1001,0),0), INDEX($AN$1004:$BO$1004,1,MATCH(COLUMNS($AN$1006:BE1006),$AN$1006:$BO$1006,0)))),"Fix")))</f>
        <v>0</v>
      </c>
      <c r="T314" s="4">
        <f>IF(OR(INDEX($AH$2:$AH$1001,MATCH(ROWS($AG$2:AG314),$AG$2:$AG$1001,0),1)&gt;=100000,INDEX($AN$1005:$BO$1005,1,MATCH(COLUMNS($AN$1006:BF1006),$AN$1006:$BO$1006,0))&gt;=100000), " ",IF(INDEX($AN$2:$BO$1001,MATCH(ROWS($AG$2:AG314),$AG$2:$AG$1001,0),MATCH(COLUMNS($AN$1006:BF1006),$AN$1006:$BO$1006,0)), HYPERLINK("#",""), HYPERLINK(CONCATENATE("#Metadata!", ADDRESS(INDEX($AI$2:$AI$1001,MATCH(ROWS($AG$2:AG314),$AG$2:$AG$1001,0),0), INDEX($AN$1004:$BO$1004,1,MATCH(COLUMNS($AN$1006:BF1006),$AN$1006:$BO$1006,0)))),"Fix")))</f>
        <v>0</v>
      </c>
      <c r="U314" s="4">
        <f>IF(OR(INDEX($AH$2:$AH$1001,MATCH(ROWS($AG$2:AG314),$AG$2:$AG$1001,0),1)&gt;=100000,INDEX($AN$1005:$BO$1005,1,MATCH(COLUMNS($AN$1006:BG1006),$AN$1006:$BO$1006,0))&gt;=100000), " ",IF(INDEX($AN$2:$BO$1001,MATCH(ROWS($AG$2:AG314),$AG$2:$AG$1001,0),MATCH(COLUMNS($AN$1006:BG1006),$AN$1006:$BO$1006,0)), HYPERLINK("#",""), HYPERLINK(CONCATENATE("#Metadata!", ADDRESS(INDEX($AI$2:$AI$1001,MATCH(ROWS($AG$2:AG314),$AG$2:$AG$1001,0),0), INDEX($AN$1004:$BO$1004,1,MATCH(COLUMNS($AN$1006:BG1006),$AN$1006:$BO$1006,0)))),"Fix")))</f>
        <v>0</v>
      </c>
      <c r="V314" s="4">
        <f>IF(OR(INDEX($AH$2:$AH$1001,MATCH(ROWS($AG$2:AG314),$AG$2:$AG$1001,0),1)&gt;=100000,INDEX($AN$1005:$BO$1005,1,MATCH(COLUMNS($AN$1006:BH1006),$AN$1006:$BO$1006,0))&gt;=100000), " ",IF(INDEX($AN$2:$BO$1001,MATCH(ROWS($AG$2:AG314),$AG$2:$AG$1001,0),MATCH(COLUMNS($AN$1006:BH1006),$AN$1006:$BO$1006,0)), HYPERLINK("#",""), HYPERLINK(CONCATENATE("#Metadata!", ADDRESS(INDEX($AI$2:$AI$1001,MATCH(ROWS($AG$2:AG314),$AG$2:$AG$1001,0),0), INDEX($AN$1004:$BO$1004,1,MATCH(COLUMNS($AN$1006:BH1006),$AN$1006:$BO$1006,0)))),"Fix")))</f>
        <v>0</v>
      </c>
      <c r="W314" s="4">
        <f>IF(OR(INDEX($AH$2:$AH$1001,MATCH(ROWS($AG$2:AG314),$AG$2:$AG$1001,0),1)&gt;=100000,INDEX($AN$1005:$BO$1005,1,MATCH(COLUMNS($AN$1006:BI1006),$AN$1006:$BO$1006,0))&gt;=100000), " ",IF(INDEX($AN$2:$BO$1001,MATCH(ROWS($AG$2:AG314),$AG$2:$AG$1001,0),MATCH(COLUMNS($AN$1006:BI1006),$AN$1006:$BO$1006,0)), HYPERLINK("#",""), HYPERLINK(CONCATENATE("#Metadata!", ADDRESS(INDEX($AI$2:$AI$1001,MATCH(ROWS($AG$2:AG314),$AG$2:$AG$1001,0),0), INDEX($AN$1004:$BO$1004,1,MATCH(COLUMNS($AN$1006:BI1006),$AN$1006:$BO$1006,0)))),"Fix")))</f>
        <v>0</v>
      </c>
      <c r="X314" s="4">
        <f>IF(OR(INDEX($AH$2:$AH$1001,MATCH(ROWS($AG$2:AG314),$AG$2:$AG$1001,0),1)&gt;=100000,INDEX($AN$1005:$BO$1005,1,MATCH(COLUMNS($AN$1006:BJ1006),$AN$1006:$BO$1006,0))&gt;=100000), " ",IF(INDEX($AN$2:$BO$1001,MATCH(ROWS($AG$2:AG314),$AG$2:$AG$1001,0),MATCH(COLUMNS($AN$1006:BJ1006),$AN$1006:$BO$1006,0)), HYPERLINK("#",""), HYPERLINK(CONCATENATE("#Metadata!", ADDRESS(INDEX($AI$2:$AI$1001,MATCH(ROWS($AG$2:AG314),$AG$2:$AG$1001,0),0), INDEX($AN$1004:$BO$1004,1,MATCH(COLUMNS($AN$1006:BJ1006),$AN$1006:$BO$1006,0)))),"Fix")))</f>
        <v>0</v>
      </c>
      <c r="Y314" s="4">
        <f>IF(OR(INDEX($AH$2:$AH$1001,MATCH(ROWS($AG$2:AG314),$AG$2:$AG$1001,0),1)&gt;=100000,INDEX($AN$1005:$BO$1005,1,MATCH(COLUMNS($AN$1006:BK1006),$AN$1006:$BO$1006,0))&gt;=100000), " ",IF(INDEX($AN$2:$BO$1001,MATCH(ROWS($AG$2:AG314),$AG$2:$AG$1001,0),MATCH(COLUMNS($AN$1006:BK1006),$AN$1006:$BO$1006,0)), HYPERLINK("#",""), HYPERLINK(CONCATENATE("#Metadata!", ADDRESS(INDEX($AI$2:$AI$1001,MATCH(ROWS($AG$2:AG314),$AG$2:$AG$1001,0),0), INDEX($AN$1004:$BO$1004,1,MATCH(COLUMNS($AN$1006:BK1006),$AN$1006:$BO$1006,0)))),"Fix")))</f>
        <v>0</v>
      </c>
      <c r="Z314" s="4">
        <f>IF(OR(INDEX($AH$2:$AH$1001,MATCH(ROWS($AG$2:AG314),$AG$2:$AG$1001,0),1)&gt;=100000,INDEX($AN$1005:$BO$1005,1,MATCH(COLUMNS($AN$1006:BL1006),$AN$1006:$BO$1006,0))&gt;=100000), " ",IF(INDEX($AN$2:$BO$1001,MATCH(ROWS($AG$2:AG314),$AG$2:$AG$1001,0),MATCH(COLUMNS($AN$1006:BL1006),$AN$1006:$BO$1006,0)), HYPERLINK("#",""), HYPERLINK(CONCATENATE("#Metadata!", ADDRESS(INDEX($AI$2:$AI$1001,MATCH(ROWS($AG$2:AG314),$AG$2:$AG$1001,0),0), INDEX($AN$1004:$BO$1004,1,MATCH(COLUMNS($AN$1006:BL1006),$AN$1006:$BO$1006,0)))),"Fix")))</f>
        <v>0</v>
      </c>
      <c r="AA314" s="4">
        <f>IF(OR(INDEX($AH$2:$AH$1001,MATCH(ROWS($AG$2:AG314),$AG$2:$AG$1001,0),1)&gt;=100000,INDEX($AN$1005:$BO$1005,1,MATCH(COLUMNS($AN$1006:BM1006),$AN$1006:$BO$1006,0))&gt;=100000), " ",IF(INDEX($AN$2:$BO$1001,MATCH(ROWS($AG$2:AG314),$AG$2:$AG$1001,0),MATCH(COLUMNS($AN$1006:BM1006),$AN$1006:$BO$1006,0)), HYPERLINK("#",""), HYPERLINK(CONCATENATE("#Metadata!", ADDRESS(INDEX($AI$2:$AI$1001,MATCH(ROWS($AG$2:AG314),$AG$2:$AG$1001,0),0), INDEX($AN$1004:$BO$1004,1,MATCH(COLUMNS($AN$1006:BM1006),$AN$1006:$BO$1006,0)))),"Fix")))</f>
        <v>0</v>
      </c>
      <c r="AB314" s="4">
        <f>IF(OR(INDEX($AH$2:$AH$1001,MATCH(ROWS($AG$2:AG314),$AG$2:$AG$1001,0),1)&gt;=100000,INDEX($AN$1005:$BO$1005,1,MATCH(COLUMNS($AN$1006:BN1006),$AN$1006:$BO$1006,0))&gt;=100000), " ",IF(INDEX($AN$2:$BO$1001,MATCH(ROWS($AG$2:AG314),$AG$2:$AG$1001,0),MATCH(COLUMNS($AN$1006:BN1006),$AN$1006:$BO$1006,0)), HYPERLINK("#",""), HYPERLINK(CONCATENATE("#Metadata!", ADDRESS(INDEX($AI$2:$AI$1001,MATCH(ROWS($AG$2:AG314),$AG$2:$AG$1001,0),0), INDEX($AN$1004:$BO$1004,1,MATCH(COLUMNS($AN$1006:BN1006),$AN$1006:$BO$1006,0)))),"Fix")))</f>
        <v>0</v>
      </c>
      <c r="AC314" s="4">
        <f>IF(OR(INDEX($AH$2:$AH$1001,MATCH(ROWS($AG$2:AG314),$AG$2:$AG$1001,0),1)&gt;=100000,INDEX($AN$1005:$BO$1005,1,MATCH(COLUMNS($AN$1006:BO1006),$AN$1006:$BO$1006,0))&gt;=100000), " ",IF(INDEX($AN$2:$BO$1001,MATCH(ROWS($AG$2:AG314),$AG$2:$AG$1001,0),MATCH(COLUMNS($AN$1006:BO1006),$AN$1006:$BO$1006,0)), HYPERLINK("#",""), HYPERLINK(CONCATENATE("#Metadata!", ADDRESS(INDEX($AI$2:$AI$1001,MATCH(ROWS($AG$2:AG314),$AG$2:$AG$1001,0),0), INDEX($AN$1004:$BO$1004,1,MATCH(COLUMNS($AN$1006:BO1006),$AN$1006:$BO$1006,0)))),"Fix")))</f>
        <v>0</v>
      </c>
      <c r="AG314">
        <v>0</v>
      </c>
      <c r="AH314">
        <v>0</v>
      </c>
      <c r="AI314">
        <v>0</v>
      </c>
      <c r="AJ314">
        <f>IF(AK314,TRUE,AND(AN314:BO314))</f>
        <v>0</v>
      </c>
      <c r="AK314">
        <f>COUNTBLANK(Metadata!B314:AC314)=COLUMNS(Metadata!B314:AC314)</f>
        <v>0</v>
      </c>
      <c r="AL314">
        <v>0</v>
      </c>
      <c r="AN314">
        <f>AND(IF(Metadata!B314="",FALSE,TRUE),COUNTIF(Metadata!B:B, Metadata!B314) = 1,NOT(ISERROR(SUMPRODUCT(SEARCH(MID(Metadata!B314,ROW(INDIRECT("1:"&amp;LEN(Metadata!B314))), 1),"0123456789abcdefghijklmnopqrstuvwxyzABCDEFGHIJKLMNOPQRSTUVWXYZ.")))))</f>
        <v>0</v>
      </c>
      <c r="AO314">
        <f>IF(Metadata!C314="",FALSE,TRUE)</f>
        <v>0</v>
      </c>
      <c r="AP314">
        <f>IF(Metadata!D314="",FALSE,TRUE)</f>
        <v>0</v>
      </c>
      <c r="AQ314">
        <f>OR(AND(IF(Metadata!E314="",FALSE,TRUE),OR(exact(Metadata!E314,"not collected"),exact(Metadata!E314,"not provided"),exact(Metadata!E314,"restricted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R314">
        <f>IF(Metadata!F314="",FALSE,TRUE)</f>
        <v>0</v>
      </c>
      <c r="AS314">
        <f>OR(AND(IF(Metadata!G314="",FALSE,TRUE),OR(exact(Metadata!G314,"not collected"),exact(Metadata!G314,"not provided"))),AND(IF(Metadata!G314="",FALSE,TRUE),OR(exact(Metadata!G314,"TRUE"),exact(Metadata!G314,"FALSE"))))</f>
        <v>0</v>
      </c>
      <c r="AT314">
        <f>OR(AND(IF(Metadata!H314="",FALSE,TRUE),OR(exact(Metadata!H314,"not collected"),exact(Metadata!H314,"not provided"),exact(Metadata!H314,"restricted access"))),AND(IF(Metadata!H314="",FALSE,ISNUMBER(VALUE(Metadata!H314))),Metadata!H314&gt;=-413.0))</f>
        <v>0</v>
      </c>
      <c r="AU314">
        <f>AND(IF(Metadata!I314="",FALSE,TRUE),exact(Metadata!I314,"meters"))</f>
        <v>0</v>
      </c>
      <c r="AV314">
        <f>AND(IF(Metadata!J314="",FALSE,TRUE),OR(exact(Metadata!J314,"Host-associated"),exact(Metadata!J314,"Free-living")))</f>
        <v>0</v>
      </c>
      <c r="AW314">
        <f>AND(IF(Metadata!K314="",FALSE,TRUE),OR(exact(Metadata!K314,"Animal"),exact(Metadata!K314,"Fungus"),exact(Metadata!K314,"Plant"),exact(Metadata!K314,"Saline"),exact(Metadata!K314,"Non-saline")))</f>
        <v>0</v>
      </c>
      <c r="AX314">
        <f>AND(IF(Metadata!L314="",FALSE,TRUE),OR(exact(Metadata!L314,"Plant secretion"),exact(Metadata!L314,"Plant rhizosphere"),exact(Metadata!L314,"Plant surface"),exact(Metadata!L314,"Plant corpus"),exact(Metadata!L314,"Fungus surface"),exact(Metadata!L314,"Fungus corpus"),exact(Metadata!L314,"Animal surface"),exact(Metadata!L314,"Animal proximal gut"),exact(Metadata!L314,"Animal corpus"),exact(Metadata!L314,"Animal distal gut"),exact(Metadata!L314,"Animal secretion"),exact(Metadata!L314,"Sub-surface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Y314">
        <f>IF(Metadata!M314="",FALSE,TRUE)</f>
        <v>0</v>
      </c>
      <c r="AZ314">
        <f>IF(Metadata!N314="",FALSE,TRUE)</f>
        <v>0</v>
      </c>
      <c r="BA314">
        <f>IF(Metadata!O314="",FALSE,TRUE)</f>
        <v>0</v>
      </c>
      <c r="BB314">
        <f>OR(AND(IF(Metadata!P314="",FALSE,TRUE),OR(exact(Metadata!P314,"not collected"),exact(Metadata!P314,"not provided"),exact(Metadata!P314,"restricted access"))),AND(IF(Metadata!P314="",FALSE,TRUE),OR(exact(Metadata!P314,"air"),exact(Metadata!P314,"built environment"),exact(Metadata!P314,"host-associated"),exact(Metadata!P314,"human-associated"),exact(Metadata!P314,"human-skin"),exact(Metadata!P314,"human-oral"),exact(Metadata!P314,"human-gut"),exact(Metadata!P314,"human-vaginal"),exact(Metadata!P314,"microbial mat/biofilm"),exact(Metadata!P314,"misc environment"),exact(Metadata!P314,"plant-associated"),exact(Metadata!P314,"sediment"),exact(Metadata!P314,"soil"),exact(Metadata!P314,"wastewater/sludge"),exact(Metadata!P314,"water"))))</f>
        <v>0</v>
      </c>
      <c r="BC314">
        <f>IF(Metadata!Q314="",FALSE,TRUE)</f>
        <v>0</v>
      </c>
      <c r="BD314">
        <f>IF(Metadata!R314="",FALSE,TRUE)</f>
        <v>0</v>
      </c>
      <c r="BE314">
        <f>OR(AND(IF(Metadata!S314="",FALSE,TRUE),OR(exact(Metadata!S314,"not collected"),exact(Metadata!S314,"not provided"),exact(Metadata!S314,"restricted access"))),AND(IF(Metadata!S314="",FALSE,ISNUMBER(VALUE(Metadata!S314))),Metadata!S314&gt;=-90.00,Metadata!S314&lt;=90.00))</f>
        <v>0</v>
      </c>
      <c r="BF314">
        <f>AND(IF(Metadata!T314="",FALSE,TRUE),exact(Metadata!T314,"Decimal degrees"))</f>
        <v>0</v>
      </c>
      <c r="BG314">
        <f>OR(AND(IF(Metadata!U314="",FALSE,TRUE),OR(exact(Metadata!U314,"not collected"),exact(Metadata!U314,"not provided"),exact(Metadata!U314,"restricted access"))),AND(IF(Metadata!U314="",FALSE,ISNUMBER(VALUE(Metadata!U314))),Metadata!U314&gt;=-180.00,Metadata!U314&lt;=180.00))</f>
        <v>0</v>
      </c>
      <c r="BH314">
        <f>AND(IF(Metadata!V314="",FALSE,TRUE),exact(Metadata!V314,"Decimal degrees"))</f>
        <v>0</v>
      </c>
      <c r="BI314">
        <f>IF(Metadata!W314="",FALSE,TRUE)</f>
        <v>0</v>
      </c>
      <c r="BJ314">
        <f>OR(AND(IF(Metadata!X314="",FALSE,TRUE),OR(exact(Metadata!X314,"not collected"),exact(Metadata!X314,"not provided"),exact(Metadata!X314,"restricted access"))),AND(IF(Metadata!X314="",FALSE,TRUE),OR(exact(Metadata!X314,"TRUE"),exact(Metadata!X314,"FALSE"))))</f>
        <v>0</v>
      </c>
      <c r="BK314">
        <f>AND(IF(Metadata!Y314="",FALSE,TRUE),exact(Metadata!Y314,"other"))</f>
        <v>0</v>
      </c>
      <c r="BL314">
        <f>IF(Metadata!Z314="",FALSE,TRUE)</f>
        <v>0</v>
      </c>
      <c r="BM314">
        <f>OR(AND(IF(Metadata!AA314="",FALSE,TRUE),OR(exact(Metadata!AA314,"not collected"),exact(Metadata!AA314,"not provided"))),AND(IF(Metadata!AA314="",FALSE,IF(ISERROR(INT(Metadata!AA314)),FALSE,INT(Metadata!AA314)=Metadata!AA314)),Metadata!AA314&gt;0))</f>
        <v>0</v>
      </c>
      <c r="BN314">
        <f>AND(IF(Metadata!AB314="",FALSE,TRUE),exact(Metadata!AB314,"Not applicable"))</f>
        <v>0</v>
      </c>
      <c r="BO314">
        <f>IF(Metadata!AC314="",FALSE,TRUE)</f>
        <v>0</v>
      </c>
    </row>
    <row r="315" spans="1:67">
      <c r="A315" s="5">
        <f>IF(B315=" "," ",HYPERLINK(CONCATENATE("#metadata!",ADDRESS(INDEX($AI$2:$AI$1001,MATCH(ROWS($AG$2:AG315),$AG$2:$AG$1001,0),0),1)),INDEX($AL$2:$AL$1001,MATCH(ROWS($AG$2:AG315),$AG$2:$AG$1001,0),0)))</f>
        <v>0</v>
      </c>
      <c r="B315" s="4">
        <f>IF(OR(INDEX($AH$2:$AH$1001,MATCH(ROWS($AG$2:AG315),$AG$2:$AG$1001,0),1)&gt;=100000,INDEX($AN$1005:$BO$1005,1,MATCH(COLUMNS($AN$1006:AN1006),$AN$1006:$BO$1006,0))&gt;=100000), " ",IF(INDEX($AN$2:$BO$1001,MATCH(ROWS($AG$2:AG315),$AG$2:$AG$1001,0),MATCH(COLUMNS($AN$1006:AN1006),$AN$1006:$BO$1006,0)), HYPERLINK("#",""), HYPERLINK(CONCATENATE("#Metadata!", ADDRESS(INDEX($AI$2:$AI$1001,MATCH(ROWS($AG$2:AG315),$AG$2:$AG$1001,0),0), INDEX($AN$1004:$BO$1004,1,MATCH(COLUMNS($AN$1006:AN1006),$AN$1006:$BO$1006,0)))),"Fix")))</f>
        <v>0</v>
      </c>
      <c r="C315" s="4">
        <f>IF(OR(INDEX($AH$2:$AH$1001,MATCH(ROWS($AG$2:AG315),$AG$2:$AG$1001,0),1)&gt;=100000,INDEX($AN$1005:$BO$1005,1,MATCH(COLUMNS($AN$1006:AO1006),$AN$1006:$BO$1006,0))&gt;=100000), " ",IF(INDEX($AN$2:$BO$1001,MATCH(ROWS($AG$2:AG315),$AG$2:$AG$1001,0),MATCH(COLUMNS($AN$1006:AO1006),$AN$1006:$BO$1006,0)), HYPERLINK("#",""), HYPERLINK(CONCATENATE("#Metadata!", ADDRESS(INDEX($AI$2:$AI$1001,MATCH(ROWS($AG$2:AG315),$AG$2:$AG$1001,0),0), INDEX($AN$1004:$BO$1004,1,MATCH(COLUMNS($AN$1006:AO1006),$AN$1006:$BO$1006,0)))),"Fix")))</f>
        <v>0</v>
      </c>
      <c r="D315" s="4">
        <f>IF(OR(INDEX($AH$2:$AH$1001,MATCH(ROWS($AG$2:AG315),$AG$2:$AG$1001,0),1)&gt;=100000,INDEX($AN$1005:$BO$1005,1,MATCH(COLUMNS($AN$1006:AP1006),$AN$1006:$BO$1006,0))&gt;=100000), " ",IF(INDEX($AN$2:$BO$1001,MATCH(ROWS($AG$2:AG315),$AG$2:$AG$1001,0),MATCH(COLUMNS($AN$1006:AP1006),$AN$1006:$BO$1006,0)), HYPERLINK("#",""), HYPERLINK(CONCATENATE("#Metadata!", ADDRESS(INDEX($AI$2:$AI$1001,MATCH(ROWS($AG$2:AG315),$AG$2:$AG$1001,0),0), INDEX($AN$1004:$BO$1004,1,MATCH(COLUMNS($AN$1006:AP1006),$AN$1006:$BO$1006,0)))),"Fix")))</f>
        <v>0</v>
      </c>
      <c r="E315" s="4">
        <f>IF(OR(INDEX($AH$2:$AH$1001,MATCH(ROWS($AG$2:AG315),$AG$2:$AG$1001,0),1)&gt;=100000,INDEX($AN$1005:$BO$1005,1,MATCH(COLUMNS($AN$1006:AQ1006),$AN$1006:$BO$1006,0))&gt;=100000), " ",IF(INDEX($AN$2:$BO$1001,MATCH(ROWS($AG$2:AG315),$AG$2:$AG$1001,0),MATCH(COLUMNS($AN$1006:AQ1006),$AN$1006:$BO$1006,0)), HYPERLINK("#",""), HYPERLINK(CONCATENATE("#Metadata!", ADDRESS(INDEX($AI$2:$AI$1001,MATCH(ROWS($AG$2:AG315),$AG$2:$AG$1001,0),0), INDEX($AN$1004:$BO$1004,1,MATCH(COLUMNS($AN$1006:AQ1006),$AN$1006:$BO$1006,0)))),"Fix")))</f>
        <v>0</v>
      </c>
      <c r="F315" s="4">
        <f>IF(OR(INDEX($AH$2:$AH$1001,MATCH(ROWS($AG$2:AG315),$AG$2:$AG$1001,0),1)&gt;=100000,INDEX($AN$1005:$BO$1005,1,MATCH(COLUMNS($AN$1006:AR1006),$AN$1006:$BO$1006,0))&gt;=100000), " ",IF(INDEX($AN$2:$BO$1001,MATCH(ROWS($AG$2:AG315),$AG$2:$AG$1001,0),MATCH(COLUMNS($AN$1006:AR1006),$AN$1006:$BO$1006,0)), HYPERLINK("#",""), HYPERLINK(CONCATENATE("#Metadata!", ADDRESS(INDEX($AI$2:$AI$1001,MATCH(ROWS($AG$2:AG315),$AG$2:$AG$1001,0),0), INDEX($AN$1004:$BO$1004,1,MATCH(COLUMNS($AN$1006:AR1006),$AN$1006:$BO$1006,0)))),"Fix")))</f>
        <v>0</v>
      </c>
      <c r="G315" s="4">
        <f>IF(OR(INDEX($AH$2:$AH$1001,MATCH(ROWS($AG$2:AG315),$AG$2:$AG$1001,0),1)&gt;=100000,INDEX($AN$1005:$BO$1005,1,MATCH(COLUMNS($AN$1006:AS1006),$AN$1006:$BO$1006,0))&gt;=100000), " ",IF(INDEX($AN$2:$BO$1001,MATCH(ROWS($AG$2:AG315),$AG$2:$AG$1001,0),MATCH(COLUMNS($AN$1006:AS1006),$AN$1006:$BO$1006,0)), HYPERLINK("#",""), HYPERLINK(CONCATENATE("#Metadata!", ADDRESS(INDEX($AI$2:$AI$1001,MATCH(ROWS($AG$2:AG315),$AG$2:$AG$1001,0),0), INDEX($AN$1004:$BO$1004,1,MATCH(COLUMNS($AN$1006:AS1006),$AN$1006:$BO$1006,0)))),"Fix")))</f>
        <v>0</v>
      </c>
      <c r="H315" s="4">
        <f>IF(OR(INDEX($AH$2:$AH$1001,MATCH(ROWS($AG$2:AG315),$AG$2:$AG$1001,0),1)&gt;=100000,INDEX($AN$1005:$BO$1005,1,MATCH(COLUMNS($AN$1006:AT1006),$AN$1006:$BO$1006,0))&gt;=100000), " ",IF(INDEX($AN$2:$BO$1001,MATCH(ROWS($AG$2:AG315),$AG$2:$AG$1001,0),MATCH(COLUMNS($AN$1006:AT1006),$AN$1006:$BO$1006,0)), HYPERLINK("#",""), HYPERLINK(CONCATENATE("#Metadata!", ADDRESS(INDEX($AI$2:$AI$1001,MATCH(ROWS($AG$2:AG315),$AG$2:$AG$1001,0),0), INDEX($AN$1004:$BO$1004,1,MATCH(COLUMNS($AN$1006:AT1006),$AN$1006:$BO$1006,0)))),"Fix")))</f>
        <v>0</v>
      </c>
      <c r="I315" s="4">
        <f>IF(OR(INDEX($AH$2:$AH$1001,MATCH(ROWS($AG$2:AG315),$AG$2:$AG$1001,0),1)&gt;=100000,INDEX($AN$1005:$BO$1005,1,MATCH(COLUMNS($AN$1006:AU1006),$AN$1006:$BO$1006,0))&gt;=100000), " ",IF(INDEX($AN$2:$BO$1001,MATCH(ROWS($AG$2:AG315),$AG$2:$AG$1001,0),MATCH(COLUMNS($AN$1006:AU1006),$AN$1006:$BO$1006,0)), HYPERLINK("#",""), HYPERLINK(CONCATENATE("#Metadata!", ADDRESS(INDEX($AI$2:$AI$1001,MATCH(ROWS($AG$2:AG315),$AG$2:$AG$1001,0),0), INDEX($AN$1004:$BO$1004,1,MATCH(COLUMNS($AN$1006:AU1006),$AN$1006:$BO$1006,0)))),"Fix")))</f>
        <v>0</v>
      </c>
      <c r="J315" s="4">
        <f>IF(OR(INDEX($AH$2:$AH$1001,MATCH(ROWS($AG$2:AG315),$AG$2:$AG$1001,0),1)&gt;=100000,INDEX($AN$1005:$BO$1005,1,MATCH(COLUMNS($AN$1006:AV1006),$AN$1006:$BO$1006,0))&gt;=100000), " ",IF(INDEX($AN$2:$BO$1001,MATCH(ROWS($AG$2:AG315),$AG$2:$AG$1001,0),MATCH(COLUMNS($AN$1006:AV1006),$AN$1006:$BO$1006,0)), HYPERLINK("#",""), HYPERLINK(CONCATENATE("#Metadata!", ADDRESS(INDEX($AI$2:$AI$1001,MATCH(ROWS($AG$2:AG315),$AG$2:$AG$1001,0),0), INDEX($AN$1004:$BO$1004,1,MATCH(COLUMNS($AN$1006:AV1006),$AN$1006:$BO$1006,0)))),"Fix")))</f>
        <v>0</v>
      </c>
      <c r="K315" s="4">
        <f>IF(OR(INDEX($AH$2:$AH$1001,MATCH(ROWS($AG$2:AG315),$AG$2:$AG$1001,0),1)&gt;=100000,INDEX($AN$1005:$BO$1005,1,MATCH(COLUMNS($AN$1006:AW1006),$AN$1006:$BO$1006,0))&gt;=100000), " ",IF(INDEX($AN$2:$BO$1001,MATCH(ROWS($AG$2:AG315),$AG$2:$AG$1001,0),MATCH(COLUMNS($AN$1006:AW1006),$AN$1006:$BO$1006,0)), HYPERLINK("#",""), HYPERLINK(CONCATENATE("#Metadata!", ADDRESS(INDEX($AI$2:$AI$1001,MATCH(ROWS($AG$2:AG315),$AG$2:$AG$1001,0),0), INDEX($AN$1004:$BO$1004,1,MATCH(COLUMNS($AN$1006:AW1006),$AN$1006:$BO$1006,0)))),"Fix")))</f>
        <v>0</v>
      </c>
      <c r="L315" s="4">
        <f>IF(OR(INDEX($AH$2:$AH$1001,MATCH(ROWS($AG$2:AG315),$AG$2:$AG$1001,0),1)&gt;=100000,INDEX($AN$1005:$BO$1005,1,MATCH(COLUMNS($AN$1006:AX1006),$AN$1006:$BO$1006,0))&gt;=100000), " ",IF(INDEX($AN$2:$BO$1001,MATCH(ROWS($AG$2:AG315),$AG$2:$AG$1001,0),MATCH(COLUMNS($AN$1006:AX1006),$AN$1006:$BO$1006,0)), HYPERLINK("#",""), HYPERLINK(CONCATENATE("#Metadata!", ADDRESS(INDEX($AI$2:$AI$1001,MATCH(ROWS($AG$2:AG315),$AG$2:$AG$1001,0),0), INDEX($AN$1004:$BO$1004,1,MATCH(COLUMNS($AN$1006:AX1006),$AN$1006:$BO$1006,0)))),"Fix")))</f>
        <v>0</v>
      </c>
      <c r="M315" s="4">
        <f>IF(OR(INDEX($AH$2:$AH$1001,MATCH(ROWS($AG$2:AG315),$AG$2:$AG$1001,0),1)&gt;=100000,INDEX($AN$1005:$BO$1005,1,MATCH(COLUMNS($AN$1006:AY1006),$AN$1006:$BO$1006,0))&gt;=100000), " ",IF(INDEX($AN$2:$BO$1001,MATCH(ROWS($AG$2:AG315),$AG$2:$AG$1001,0),MATCH(COLUMNS($AN$1006:AY1006),$AN$1006:$BO$1006,0)), HYPERLINK("#",""), HYPERLINK(CONCATENATE("#Metadata!", ADDRESS(INDEX($AI$2:$AI$1001,MATCH(ROWS($AG$2:AG315),$AG$2:$AG$1001,0),0), INDEX($AN$1004:$BO$1004,1,MATCH(COLUMNS($AN$1006:AY1006),$AN$1006:$BO$1006,0)))),"Fix")))</f>
        <v>0</v>
      </c>
      <c r="N315" s="4">
        <f>IF(OR(INDEX($AH$2:$AH$1001,MATCH(ROWS($AG$2:AG315),$AG$2:$AG$1001,0),1)&gt;=100000,INDEX($AN$1005:$BO$1005,1,MATCH(COLUMNS($AN$1006:AZ1006),$AN$1006:$BO$1006,0))&gt;=100000), " ",IF(INDEX($AN$2:$BO$1001,MATCH(ROWS($AG$2:AG315),$AG$2:$AG$1001,0),MATCH(COLUMNS($AN$1006:AZ1006),$AN$1006:$BO$1006,0)), HYPERLINK("#",""), HYPERLINK(CONCATENATE("#Metadata!", ADDRESS(INDEX($AI$2:$AI$1001,MATCH(ROWS($AG$2:AG315),$AG$2:$AG$1001,0),0), INDEX($AN$1004:$BO$1004,1,MATCH(COLUMNS($AN$1006:AZ1006),$AN$1006:$BO$1006,0)))),"Fix")))</f>
        <v>0</v>
      </c>
      <c r="O315" s="4">
        <f>IF(OR(INDEX($AH$2:$AH$1001,MATCH(ROWS($AG$2:AG315),$AG$2:$AG$1001,0),1)&gt;=100000,INDEX($AN$1005:$BO$1005,1,MATCH(COLUMNS($AN$1006:BA1006),$AN$1006:$BO$1006,0))&gt;=100000), " ",IF(INDEX($AN$2:$BO$1001,MATCH(ROWS($AG$2:AG315),$AG$2:$AG$1001,0),MATCH(COLUMNS($AN$1006:BA1006),$AN$1006:$BO$1006,0)), HYPERLINK("#",""), HYPERLINK(CONCATENATE("#Metadata!", ADDRESS(INDEX($AI$2:$AI$1001,MATCH(ROWS($AG$2:AG315),$AG$2:$AG$1001,0),0), INDEX($AN$1004:$BO$1004,1,MATCH(COLUMNS($AN$1006:BA1006),$AN$1006:$BO$1006,0)))),"Fix")))</f>
        <v>0</v>
      </c>
      <c r="P315" s="4">
        <f>IF(OR(INDEX($AH$2:$AH$1001,MATCH(ROWS($AG$2:AG315),$AG$2:$AG$1001,0),1)&gt;=100000,INDEX($AN$1005:$BO$1005,1,MATCH(COLUMNS($AN$1006:BB1006),$AN$1006:$BO$1006,0))&gt;=100000), " ",IF(INDEX($AN$2:$BO$1001,MATCH(ROWS($AG$2:AG315),$AG$2:$AG$1001,0),MATCH(COLUMNS($AN$1006:BB1006),$AN$1006:$BO$1006,0)), HYPERLINK("#",""), HYPERLINK(CONCATENATE("#Metadata!", ADDRESS(INDEX($AI$2:$AI$1001,MATCH(ROWS($AG$2:AG315),$AG$2:$AG$1001,0),0), INDEX($AN$1004:$BO$1004,1,MATCH(COLUMNS($AN$1006:BB1006),$AN$1006:$BO$1006,0)))),"Fix")))</f>
        <v>0</v>
      </c>
      <c r="Q315" s="4">
        <f>IF(OR(INDEX($AH$2:$AH$1001,MATCH(ROWS($AG$2:AG315),$AG$2:$AG$1001,0),1)&gt;=100000,INDEX($AN$1005:$BO$1005,1,MATCH(COLUMNS($AN$1006:BC1006),$AN$1006:$BO$1006,0))&gt;=100000), " ",IF(INDEX($AN$2:$BO$1001,MATCH(ROWS($AG$2:AG315),$AG$2:$AG$1001,0),MATCH(COLUMNS($AN$1006:BC1006),$AN$1006:$BO$1006,0)), HYPERLINK("#",""), HYPERLINK(CONCATENATE("#Metadata!", ADDRESS(INDEX($AI$2:$AI$1001,MATCH(ROWS($AG$2:AG315),$AG$2:$AG$1001,0),0), INDEX($AN$1004:$BO$1004,1,MATCH(COLUMNS($AN$1006:BC1006),$AN$1006:$BO$1006,0)))),"Fix")))</f>
        <v>0</v>
      </c>
      <c r="R315" s="4">
        <f>IF(OR(INDEX($AH$2:$AH$1001,MATCH(ROWS($AG$2:AG315),$AG$2:$AG$1001,0),1)&gt;=100000,INDEX($AN$1005:$BO$1005,1,MATCH(COLUMNS($AN$1006:BD1006),$AN$1006:$BO$1006,0))&gt;=100000), " ",IF(INDEX($AN$2:$BO$1001,MATCH(ROWS($AG$2:AG315),$AG$2:$AG$1001,0),MATCH(COLUMNS($AN$1006:BD1006),$AN$1006:$BO$1006,0)), HYPERLINK("#",""), HYPERLINK(CONCATENATE("#Metadata!", ADDRESS(INDEX($AI$2:$AI$1001,MATCH(ROWS($AG$2:AG315),$AG$2:$AG$1001,0),0), INDEX($AN$1004:$BO$1004,1,MATCH(COLUMNS($AN$1006:BD1006),$AN$1006:$BO$1006,0)))),"Fix")))</f>
        <v>0</v>
      </c>
      <c r="S315" s="4">
        <f>IF(OR(INDEX($AH$2:$AH$1001,MATCH(ROWS($AG$2:AG315),$AG$2:$AG$1001,0),1)&gt;=100000,INDEX($AN$1005:$BO$1005,1,MATCH(COLUMNS($AN$1006:BE1006),$AN$1006:$BO$1006,0))&gt;=100000), " ",IF(INDEX($AN$2:$BO$1001,MATCH(ROWS($AG$2:AG315),$AG$2:$AG$1001,0),MATCH(COLUMNS($AN$1006:BE1006),$AN$1006:$BO$1006,0)), HYPERLINK("#",""), HYPERLINK(CONCATENATE("#Metadata!", ADDRESS(INDEX($AI$2:$AI$1001,MATCH(ROWS($AG$2:AG315),$AG$2:$AG$1001,0),0), INDEX($AN$1004:$BO$1004,1,MATCH(COLUMNS($AN$1006:BE1006),$AN$1006:$BO$1006,0)))),"Fix")))</f>
        <v>0</v>
      </c>
      <c r="T315" s="4">
        <f>IF(OR(INDEX($AH$2:$AH$1001,MATCH(ROWS($AG$2:AG315),$AG$2:$AG$1001,0),1)&gt;=100000,INDEX($AN$1005:$BO$1005,1,MATCH(COLUMNS($AN$1006:BF1006),$AN$1006:$BO$1006,0))&gt;=100000), " ",IF(INDEX($AN$2:$BO$1001,MATCH(ROWS($AG$2:AG315),$AG$2:$AG$1001,0),MATCH(COLUMNS($AN$1006:BF1006),$AN$1006:$BO$1006,0)), HYPERLINK("#",""), HYPERLINK(CONCATENATE("#Metadata!", ADDRESS(INDEX($AI$2:$AI$1001,MATCH(ROWS($AG$2:AG315),$AG$2:$AG$1001,0),0), INDEX($AN$1004:$BO$1004,1,MATCH(COLUMNS($AN$1006:BF1006),$AN$1006:$BO$1006,0)))),"Fix")))</f>
        <v>0</v>
      </c>
      <c r="U315" s="4">
        <f>IF(OR(INDEX($AH$2:$AH$1001,MATCH(ROWS($AG$2:AG315),$AG$2:$AG$1001,0),1)&gt;=100000,INDEX($AN$1005:$BO$1005,1,MATCH(COLUMNS($AN$1006:BG1006),$AN$1006:$BO$1006,0))&gt;=100000), " ",IF(INDEX($AN$2:$BO$1001,MATCH(ROWS($AG$2:AG315),$AG$2:$AG$1001,0),MATCH(COLUMNS($AN$1006:BG1006),$AN$1006:$BO$1006,0)), HYPERLINK("#",""), HYPERLINK(CONCATENATE("#Metadata!", ADDRESS(INDEX($AI$2:$AI$1001,MATCH(ROWS($AG$2:AG315),$AG$2:$AG$1001,0),0), INDEX($AN$1004:$BO$1004,1,MATCH(COLUMNS($AN$1006:BG1006),$AN$1006:$BO$1006,0)))),"Fix")))</f>
        <v>0</v>
      </c>
      <c r="V315" s="4">
        <f>IF(OR(INDEX($AH$2:$AH$1001,MATCH(ROWS($AG$2:AG315),$AG$2:$AG$1001,0),1)&gt;=100000,INDEX($AN$1005:$BO$1005,1,MATCH(COLUMNS($AN$1006:BH1006),$AN$1006:$BO$1006,0))&gt;=100000), " ",IF(INDEX($AN$2:$BO$1001,MATCH(ROWS($AG$2:AG315),$AG$2:$AG$1001,0),MATCH(COLUMNS($AN$1006:BH1006),$AN$1006:$BO$1006,0)), HYPERLINK("#",""), HYPERLINK(CONCATENATE("#Metadata!", ADDRESS(INDEX($AI$2:$AI$1001,MATCH(ROWS($AG$2:AG315),$AG$2:$AG$1001,0),0), INDEX($AN$1004:$BO$1004,1,MATCH(COLUMNS($AN$1006:BH1006),$AN$1006:$BO$1006,0)))),"Fix")))</f>
        <v>0</v>
      </c>
      <c r="W315" s="4">
        <f>IF(OR(INDEX($AH$2:$AH$1001,MATCH(ROWS($AG$2:AG315),$AG$2:$AG$1001,0),1)&gt;=100000,INDEX($AN$1005:$BO$1005,1,MATCH(COLUMNS($AN$1006:BI1006),$AN$1006:$BO$1006,0))&gt;=100000), " ",IF(INDEX($AN$2:$BO$1001,MATCH(ROWS($AG$2:AG315),$AG$2:$AG$1001,0),MATCH(COLUMNS($AN$1006:BI1006),$AN$1006:$BO$1006,0)), HYPERLINK("#",""), HYPERLINK(CONCATENATE("#Metadata!", ADDRESS(INDEX($AI$2:$AI$1001,MATCH(ROWS($AG$2:AG315),$AG$2:$AG$1001,0),0), INDEX($AN$1004:$BO$1004,1,MATCH(COLUMNS($AN$1006:BI1006),$AN$1006:$BO$1006,0)))),"Fix")))</f>
        <v>0</v>
      </c>
      <c r="X315" s="4">
        <f>IF(OR(INDEX($AH$2:$AH$1001,MATCH(ROWS($AG$2:AG315),$AG$2:$AG$1001,0),1)&gt;=100000,INDEX($AN$1005:$BO$1005,1,MATCH(COLUMNS($AN$1006:BJ1006),$AN$1006:$BO$1006,0))&gt;=100000), " ",IF(INDEX($AN$2:$BO$1001,MATCH(ROWS($AG$2:AG315),$AG$2:$AG$1001,0),MATCH(COLUMNS($AN$1006:BJ1006),$AN$1006:$BO$1006,0)), HYPERLINK("#",""), HYPERLINK(CONCATENATE("#Metadata!", ADDRESS(INDEX($AI$2:$AI$1001,MATCH(ROWS($AG$2:AG315),$AG$2:$AG$1001,0),0), INDEX($AN$1004:$BO$1004,1,MATCH(COLUMNS($AN$1006:BJ1006),$AN$1006:$BO$1006,0)))),"Fix")))</f>
        <v>0</v>
      </c>
      <c r="Y315" s="4">
        <f>IF(OR(INDEX($AH$2:$AH$1001,MATCH(ROWS($AG$2:AG315),$AG$2:$AG$1001,0),1)&gt;=100000,INDEX($AN$1005:$BO$1005,1,MATCH(COLUMNS($AN$1006:BK1006),$AN$1006:$BO$1006,0))&gt;=100000), " ",IF(INDEX($AN$2:$BO$1001,MATCH(ROWS($AG$2:AG315),$AG$2:$AG$1001,0),MATCH(COLUMNS($AN$1006:BK1006),$AN$1006:$BO$1006,0)), HYPERLINK("#",""), HYPERLINK(CONCATENATE("#Metadata!", ADDRESS(INDEX($AI$2:$AI$1001,MATCH(ROWS($AG$2:AG315),$AG$2:$AG$1001,0),0), INDEX($AN$1004:$BO$1004,1,MATCH(COLUMNS($AN$1006:BK1006),$AN$1006:$BO$1006,0)))),"Fix")))</f>
        <v>0</v>
      </c>
      <c r="Z315" s="4">
        <f>IF(OR(INDEX($AH$2:$AH$1001,MATCH(ROWS($AG$2:AG315),$AG$2:$AG$1001,0),1)&gt;=100000,INDEX($AN$1005:$BO$1005,1,MATCH(COLUMNS($AN$1006:BL1006),$AN$1006:$BO$1006,0))&gt;=100000), " ",IF(INDEX($AN$2:$BO$1001,MATCH(ROWS($AG$2:AG315),$AG$2:$AG$1001,0),MATCH(COLUMNS($AN$1006:BL1006),$AN$1006:$BO$1006,0)), HYPERLINK("#",""), HYPERLINK(CONCATENATE("#Metadata!", ADDRESS(INDEX($AI$2:$AI$1001,MATCH(ROWS($AG$2:AG315),$AG$2:$AG$1001,0),0), INDEX($AN$1004:$BO$1004,1,MATCH(COLUMNS($AN$1006:BL1006),$AN$1006:$BO$1006,0)))),"Fix")))</f>
        <v>0</v>
      </c>
      <c r="AA315" s="4">
        <f>IF(OR(INDEX($AH$2:$AH$1001,MATCH(ROWS($AG$2:AG315),$AG$2:$AG$1001,0),1)&gt;=100000,INDEX($AN$1005:$BO$1005,1,MATCH(COLUMNS($AN$1006:BM1006),$AN$1006:$BO$1006,0))&gt;=100000), " ",IF(INDEX($AN$2:$BO$1001,MATCH(ROWS($AG$2:AG315),$AG$2:$AG$1001,0),MATCH(COLUMNS($AN$1006:BM1006),$AN$1006:$BO$1006,0)), HYPERLINK("#",""), HYPERLINK(CONCATENATE("#Metadata!", ADDRESS(INDEX($AI$2:$AI$1001,MATCH(ROWS($AG$2:AG315),$AG$2:$AG$1001,0),0), INDEX($AN$1004:$BO$1004,1,MATCH(COLUMNS($AN$1006:BM1006),$AN$1006:$BO$1006,0)))),"Fix")))</f>
        <v>0</v>
      </c>
      <c r="AB315" s="4">
        <f>IF(OR(INDEX($AH$2:$AH$1001,MATCH(ROWS($AG$2:AG315),$AG$2:$AG$1001,0),1)&gt;=100000,INDEX($AN$1005:$BO$1005,1,MATCH(COLUMNS($AN$1006:BN1006),$AN$1006:$BO$1006,0))&gt;=100000), " ",IF(INDEX($AN$2:$BO$1001,MATCH(ROWS($AG$2:AG315),$AG$2:$AG$1001,0),MATCH(COLUMNS($AN$1006:BN1006),$AN$1006:$BO$1006,0)), HYPERLINK("#",""), HYPERLINK(CONCATENATE("#Metadata!", ADDRESS(INDEX($AI$2:$AI$1001,MATCH(ROWS($AG$2:AG315),$AG$2:$AG$1001,0),0), INDEX($AN$1004:$BO$1004,1,MATCH(COLUMNS($AN$1006:BN1006),$AN$1006:$BO$1006,0)))),"Fix")))</f>
        <v>0</v>
      </c>
      <c r="AC315" s="4">
        <f>IF(OR(INDEX($AH$2:$AH$1001,MATCH(ROWS($AG$2:AG315),$AG$2:$AG$1001,0),1)&gt;=100000,INDEX($AN$1005:$BO$1005,1,MATCH(COLUMNS($AN$1006:BO1006),$AN$1006:$BO$1006,0))&gt;=100000), " ",IF(INDEX($AN$2:$BO$1001,MATCH(ROWS($AG$2:AG315),$AG$2:$AG$1001,0),MATCH(COLUMNS($AN$1006:BO1006),$AN$1006:$BO$1006,0)), HYPERLINK("#",""), HYPERLINK(CONCATENATE("#Metadata!", ADDRESS(INDEX($AI$2:$AI$1001,MATCH(ROWS($AG$2:AG315),$AG$2:$AG$1001,0),0), INDEX($AN$1004:$BO$1004,1,MATCH(COLUMNS($AN$1006:BO1006),$AN$1006:$BO$1006,0)))),"Fix")))</f>
        <v>0</v>
      </c>
      <c r="AG315">
        <v>0</v>
      </c>
      <c r="AH315">
        <v>0</v>
      </c>
      <c r="AI315">
        <v>0</v>
      </c>
      <c r="AJ315">
        <f>IF(AK315,TRUE,AND(AN315:BO315))</f>
        <v>0</v>
      </c>
      <c r="AK315">
        <f>COUNTBLANK(Metadata!B315:AC315)=COLUMNS(Metadata!B315:AC315)</f>
        <v>0</v>
      </c>
      <c r="AL315">
        <v>0</v>
      </c>
      <c r="AN315">
        <f>AND(IF(Metadata!B315="",FALSE,TRUE),COUNTIF(Metadata!B:B, Metadata!B315) = 1,NOT(ISERROR(SUMPRODUCT(SEARCH(MID(Metadata!B315,ROW(INDIRECT("1:"&amp;LEN(Metadata!B315))), 1),"0123456789abcdefghijklmnopqrstuvwxyzABCDEFGHIJKLMNOPQRSTUVWXYZ.")))))</f>
        <v>0</v>
      </c>
      <c r="AO315">
        <f>IF(Metadata!C315="",FALSE,TRUE)</f>
        <v>0</v>
      </c>
      <c r="AP315">
        <f>IF(Metadata!D315="",FALSE,TRUE)</f>
        <v>0</v>
      </c>
      <c r="AQ315">
        <f>OR(AND(IF(Metadata!E315="",FALSE,TRUE),OR(exact(Metadata!E315,"not collected"),exact(Metadata!E315,"not provided"),exact(Metadata!E315,"restricted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R315">
        <f>IF(Metadata!F315="",FALSE,TRUE)</f>
        <v>0</v>
      </c>
      <c r="AS315">
        <f>OR(AND(IF(Metadata!G315="",FALSE,TRUE),OR(exact(Metadata!G315,"not collected"),exact(Metadata!G315,"not provided"))),AND(IF(Metadata!G315="",FALSE,TRUE),OR(exact(Metadata!G315,"TRUE"),exact(Metadata!G315,"FALSE"))))</f>
        <v>0</v>
      </c>
      <c r="AT315">
        <f>OR(AND(IF(Metadata!H315="",FALSE,TRUE),OR(exact(Metadata!H315,"not collected"),exact(Metadata!H315,"not provided"),exact(Metadata!H315,"restricted access"))),AND(IF(Metadata!H315="",FALSE,ISNUMBER(VALUE(Metadata!H315))),Metadata!H315&gt;=-413.0))</f>
        <v>0</v>
      </c>
      <c r="AU315">
        <f>AND(IF(Metadata!I315="",FALSE,TRUE),exact(Metadata!I315,"meters"))</f>
        <v>0</v>
      </c>
      <c r="AV315">
        <f>AND(IF(Metadata!J315="",FALSE,TRUE),OR(exact(Metadata!J315,"Host-associated"),exact(Metadata!J315,"Free-living")))</f>
        <v>0</v>
      </c>
      <c r="AW315">
        <f>AND(IF(Metadata!K315="",FALSE,TRUE),OR(exact(Metadata!K315,"Animal"),exact(Metadata!K315,"Fungus"),exact(Metadata!K315,"Plant"),exact(Metadata!K315,"Saline"),exact(Metadata!K315,"Non-saline")))</f>
        <v>0</v>
      </c>
      <c r="AX315">
        <f>AND(IF(Metadata!L315="",FALSE,TRUE),OR(exact(Metadata!L315,"Plant secretion"),exact(Metadata!L315,"Plant rhizosphere"),exact(Metadata!L315,"Plant surface"),exact(Metadata!L315,"Plant corpus"),exact(Metadata!L315,"Fungus surface"),exact(Metadata!L315,"Fungus corpus"),exact(Metadata!L315,"Animal surface"),exact(Metadata!L315,"Animal proximal gut"),exact(Metadata!L315,"Animal corpus"),exact(Metadata!L315,"Animal distal gut"),exact(Metadata!L315,"Animal secretion"),exact(Metadata!L315,"Sub-surface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Y315">
        <f>IF(Metadata!M315="",FALSE,TRUE)</f>
        <v>0</v>
      </c>
      <c r="AZ315">
        <f>IF(Metadata!N315="",FALSE,TRUE)</f>
        <v>0</v>
      </c>
      <c r="BA315">
        <f>IF(Metadata!O315="",FALSE,TRUE)</f>
        <v>0</v>
      </c>
      <c r="BB315">
        <f>OR(AND(IF(Metadata!P315="",FALSE,TRUE),OR(exact(Metadata!P315,"not collected"),exact(Metadata!P315,"not provided"),exact(Metadata!P315,"restricted access"))),AND(IF(Metadata!P315="",FALSE,TRUE),OR(exact(Metadata!P315,"air"),exact(Metadata!P315,"built environment"),exact(Metadata!P315,"host-associated"),exact(Metadata!P315,"human-associated"),exact(Metadata!P315,"human-skin"),exact(Metadata!P315,"human-oral"),exact(Metadata!P315,"human-gut"),exact(Metadata!P315,"human-vaginal"),exact(Metadata!P315,"microbial mat/biofilm"),exact(Metadata!P315,"misc environment"),exact(Metadata!P315,"plant-associated"),exact(Metadata!P315,"sediment"),exact(Metadata!P315,"soil"),exact(Metadata!P315,"wastewater/sludge"),exact(Metadata!P315,"water"))))</f>
        <v>0</v>
      </c>
      <c r="BC315">
        <f>IF(Metadata!Q315="",FALSE,TRUE)</f>
        <v>0</v>
      </c>
      <c r="BD315">
        <f>IF(Metadata!R315="",FALSE,TRUE)</f>
        <v>0</v>
      </c>
      <c r="BE315">
        <f>OR(AND(IF(Metadata!S315="",FALSE,TRUE),OR(exact(Metadata!S315,"not collected"),exact(Metadata!S315,"not provided"),exact(Metadata!S315,"restricted access"))),AND(IF(Metadata!S315="",FALSE,ISNUMBER(VALUE(Metadata!S315))),Metadata!S315&gt;=-90.00,Metadata!S315&lt;=90.00))</f>
        <v>0</v>
      </c>
      <c r="BF315">
        <f>AND(IF(Metadata!T315="",FALSE,TRUE),exact(Metadata!T315,"Decimal degrees"))</f>
        <v>0</v>
      </c>
      <c r="BG315">
        <f>OR(AND(IF(Metadata!U315="",FALSE,TRUE),OR(exact(Metadata!U315,"not collected"),exact(Metadata!U315,"not provided"),exact(Metadata!U315,"restricted access"))),AND(IF(Metadata!U315="",FALSE,ISNUMBER(VALUE(Metadata!U315))),Metadata!U315&gt;=-180.00,Metadata!U315&lt;=180.00))</f>
        <v>0</v>
      </c>
      <c r="BH315">
        <f>AND(IF(Metadata!V315="",FALSE,TRUE),exact(Metadata!V315,"Decimal degrees"))</f>
        <v>0</v>
      </c>
      <c r="BI315">
        <f>IF(Metadata!W315="",FALSE,TRUE)</f>
        <v>0</v>
      </c>
      <c r="BJ315">
        <f>OR(AND(IF(Metadata!X315="",FALSE,TRUE),OR(exact(Metadata!X315,"not collected"),exact(Metadata!X315,"not provided"),exact(Metadata!X315,"restricted access"))),AND(IF(Metadata!X315="",FALSE,TRUE),OR(exact(Metadata!X315,"TRUE"),exact(Metadata!X315,"FALSE"))))</f>
        <v>0</v>
      </c>
      <c r="BK315">
        <f>AND(IF(Metadata!Y315="",FALSE,TRUE),exact(Metadata!Y315,"other"))</f>
        <v>0</v>
      </c>
      <c r="BL315">
        <f>IF(Metadata!Z315="",FALSE,TRUE)</f>
        <v>0</v>
      </c>
      <c r="BM315">
        <f>OR(AND(IF(Metadata!AA315="",FALSE,TRUE),OR(exact(Metadata!AA315,"not collected"),exact(Metadata!AA315,"not provided"))),AND(IF(Metadata!AA315="",FALSE,IF(ISERROR(INT(Metadata!AA315)),FALSE,INT(Metadata!AA315)=Metadata!AA315)),Metadata!AA315&gt;0))</f>
        <v>0</v>
      </c>
      <c r="BN315">
        <f>AND(IF(Metadata!AB315="",FALSE,TRUE),exact(Metadata!AB315,"Not applicable"))</f>
        <v>0</v>
      </c>
      <c r="BO315">
        <f>IF(Metadata!AC315="",FALSE,TRUE)</f>
        <v>0</v>
      </c>
    </row>
    <row r="316" spans="1:67">
      <c r="A316" s="5">
        <f>IF(B316=" "," ",HYPERLINK(CONCATENATE("#metadata!",ADDRESS(INDEX($AI$2:$AI$1001,MATCH(ROWS($AG$2:AG316),$AG$2:$AG$1001,0),0),1)),INDEX($AL$2:$AL$1001,MATCH(ROWS($AG$2:AG316),$AG$2:$AG$1001,0),0)))</f>
        <v>0</v>
      </c>
      <c r="B316" s="4">
        <f>IF(OR(INDEX($AH$2:$AH$1001,MATCH(ROWS($AG$2:AG316),$AG$2:$AG$1001,0),1)&gt;=100000,INDEX($AN$1005:$BO$1005,1,MATCH(COLUMNS($AN$1006:AN1006),$AN$1006:$BO$1006,0))&gt;=100000), " ",IF(INDEX($AN$2:$BO$1001,MATCH(ROWS($AG$2:AG316),$AG$2:$AG$1001,0),MATCH(COLUMNS($AN$1006:AN1006),$AN$1006:$BO$1006,0)), HYPERLINK("#",""), HYPERLINK(CONCATENATE("#Metadata!", ADDRESS(INDEX($AI$2:$AI$1001,MATCH(ROWS($AG$2:AG316),$AG$2:$AG$1001,0),0), INDEX($AN$1004:$BO$1004,1,MATCH(COLUMNS($AN$1006:AN1006),$AN$1006:$BO$1006,0)))),"Fix")))</f>
        <v>0</v>
      </c>
      <c r="C316" s="4">
        <f>IF(OR(INDEX($AH$2:$AH$1001,MATCH(ROWS($AG$2:AG316),$AG$2:$AG$1001,0),1)&gt;=100000,INDEX($AN$1005:$BO$1005,1,MATCH(COLUMNS($AN$1006:AO1006),$AN$1006:$BO$1006,0))&gt;=100000), " ",IF(INDEX($AN$2:$BO$1001,MATCH(ROWS($AG$2:AG316),$AG$2:$AG$1001,0),MATCH(COLUMNS($AN$1006:AO1006),$AN$1006:$BO$1006,0)), HYPERLINK("#",""), HYPERLINK(CONCATENATE("#Metadata!", ADDRESS(INDEX($AI$2:$AI$1001,MATCH(ROWS($AG$2:AG316),$AG$2:$AG$1001,0),0), INDEX($AN$1004:$BO$1004,1,MATCH(COLUMNS($AN$1006:AO1006),$AN$1006:$BO$1006,0)))),"Fix")))</f>
        <v>0</v>
      </c>
      <c r="D316" s="4">
        <f>IF(OR(INDEX($AH$2:$AH$1001,MATCH(ROWS($AG$2:AG316),$AG$2:$AG$1001,0),1)&gt;=100000,INDEX($AN$1005:$BO$1005,1,MATCH(COLUMNS($AN$1006:AP1006),$AN$1006:$BO$1006,0))&gt;=100000), " ",IF(INDEX($AN$2:$BO$1001,MATCH(ROWS($AG$2:AG316),$AG$2:$AG$1001,0),MATCH(COLUMNS($AN$1006:AP1006),$AN$1006:$BO$1006,0)), HYPERLINK("#",""), HYPERLINK(CONCATENATE("#Metadata!", ADDRESS(INDEX($AI$2:$AI$1001,MATCH(ROWS($AG$2:AG316),$AG$2:$AG$1001,0),0), INDEX($AN$1004:$BO$1004,1,MATCH(COLUMNS($AN$1006:AP1006),$AN$1006:$BO$1006,0)))),"Fix")))</f>
        <v>0</v>
      </c>
      <c r="E316" s="4">
        <f>IF(OR(INDEX($AH$2:$AH$1001,MATCH(ROWS($AG$2:AG316),$AG$2:$AG$1001,0),1)&gt;=100000,INDEX($AN$1005:$BO$1005,1,MATCH(COLUMNS($AN$1006:AQ1006),$AN$1006:$BO$1006,0))&gt;=100000), " ",IF(INDEX($AN$2:$BO$1001,MATCH(ROWS($AG$2:AG316),$AG$2:$AG$1001,0),MATCH(COLUMNS($AN$1006:AQ1006),$AN$1006:$BO$1006,0)), HYPERLINK("#",""), HYPERLINK(CONCATENATE("#Metadata!", ADDRESS(INDEX($AI$2:$AI$1001,MATCH(ROWS($AG$2:AG316),$AG$2:$AG$1001,0),0), INDEX($AN$1004:$BO$1004,1,MATCH(COLUMNS($AN$1006:AQ1006),$AN$1006:$BO$1006,0)))),"Fix")))</f>
        <v>0</v>
      </c>
      <c r="F316" s="4">
        <f>IF(OR(INDEX($AH$2:$AH$1001,MATCH(ROWS($AG$2:AG316),$AG$2:$AG$1001,0),1)&gt;=100000,INDEX($AN$1005:$BO$1005,1,MATCH(COLUMNS($AN$1006:AR1006),$AN$1006:$BO$1006,0))&gt;=100000), " ",IF(INDEX($AN$2:$BO$1001,MATCH(ROWS($AG$2:AG316),$AG$2:$AG$1001,0),MATCH(COLUMNS($AN$1006:AR1006),$AN$1006:$BO$1006,0)), HYPERLINK("#",""), HYPERLINK(CONCATENATE("#Metadata!", ADDRESS(INDEX($AI$2:$AI$1001,MATCH(ROWS($AG$2:AG316),$AG$2:$AG$1001,0),0), INDEX($AN$1004:$BO$1004,1,MATCH(COLUMNS($AN$1006:AR1006),$AN$1006:$BO$1006,0)))),"Fix")))</f>
        <v>0</v>
      </c>
      <c r="G316" s="4">
        <f>IF(OR(INDEX($AH$2:$AH$1001,MATCH(ROWS($AG$2:AG316),$AG$2:$AG$1001,0),1)&gt;=100000,INDEX($AN$1005:$BO$1005,1,MATCH(COLUMNS($AN$1006:AS1006),$AN$1006:$BO$1006,0))&gt;=100000), " ",IF(INDEX($AN$2:$BO$1001,MATCH(ROWS($AG$2:AG316),$AG$2:$AG$1001,0),MATCH(COLUMNS($AN$1006:AS1006),$AN$1006:$BO$1006,0)), HYPERLINK("#",""), HYPERLINK(CONCATENATE("#Metadata!", ADDRESS(INDEX($AI$2:$AI$1001,MATCH(ROWS($AG$2:AG316),$AG$2:$AG$1001,0),0), INDEX($AN$1004:$BO$1004,1,MATCH(COLUMNS($AN$1006:AS1006),$AN$1006:$BO$1006,0)))),"Fix")))</f>
        <v>0</v>
      </c>
      <c r="H316" s="4">
        <f>IF(OR(INDEX($AH$2:$AH$1001,MATCH(ROWS($AG$2:AG316),$AG$2:$AG$1001,0),1)&gt;=100000,INDEX($AN$1005:$BO$1005,1,MATCH(COLUMNS($AN$1006:AT1006),$AN$1006:$BO$1006,0))&gt;=100000), " ",IF(INDEX($AN$2:$BO$1001,MATCH(ROWS($AG$2:AG316),$AG$2:$AG$1001,0),MATCH(COLUMNS($AN$1006:AT1006),$AN$1006:$BO$1006,0)), HYPERLINK("#",""), HYPERLINK(CONCATENATE("#Metadata!", ADDRESS(INDEX($AI$2:$AI$1001,MATCH(ROWS($AG$2:AG316),$AG$2:$AG$1001,0),0), INDEX($AN$1004:$BO$1004,1,MATCH(COLUMNS($AN$1006:AT1006),$AN$1006:$BO$1006,0)))),"Fix")))</f>
        <v>0</v>
      </c>
      <c r="I316" s="4">
        <f>IF(OR(INDEX($AH$2:$AH$1001,MATCH(ROWS($AG$2:AG316),$AG$2:$AG$1001,0),1)&gt;=100000,INDEX($AN$1005:$BO$1005,1,MATCH(COLUMNS($AN$1006:AU1006),$AN$1006:$BO$1006,0))&gt;=100000), " ",IF(INDEX($AN$2:$BO$1001,MATCH(ROWS($AG$2:AG316),$AG$2:$AG$1001,0),MATCH(COLUMNS($AN$1006:AU1006),$AN$1006:$BO$1006,0)), HYPERLINK("#",""), HYPERLINK(CONCATENATE("#Metadata!", ADDRESS(INDEX($AI$2:$AI$1001,MATCH(ROWS($AG$2:AG316),$AG$2:$AG$1001,0),0), INDEX($AN$1004:$BO$1004,1,MATCH(COLUMNS($AN$1006:AU1006),$AN$1006:$BO$1006,0)))),"Fix")))</f>
        <v>0</v>
      </c>
      <c r="J316" s="4">
        <f>IF(OR(INDEX($AH$2:$AH$1001,MATCH(ROWS($AG$2:AG316),$AG$2:$AG$1001,0),1)&gt;=100000,INDEX($AN$1005:$BO$1005,1,MATCH(COLUMNS($AN$1006:AV1006),$AN$1006:$BO$1006,0))&gt;=100000), " ",IF(INDEX($AN$2:$BO$1001,MATCH(ROWS($AG$2:AG316),$AG$2:$AG$1001,0),MATCH(COLUMNS($AN$1006:AV1006),$AN$1006:$BO$1006,0)), HYPERLINK("#",""), HYPERLINK(CONCATENATE("#Metadata!", ADDRESS(INDEX($AI$2:$AI$1001,MATCH(ROWS($AG$2:AG316),$AG$2:$AG$1001,0),0), INDEX($AN$1004:$BO$1004,1,MATCH(COLUMNS($AN$1006:AV1006),$AN$1006:$BO$1006,0)))),"Fix")))</f>
        <v>0</v>
      </c>
      <c r="K316" s="4">
        <f>IF(OR(INDEX($AH$2:$AH$1001,MATCH(ROWS($AG$2:AG316),$AG$2:$AG$1001,0),1)&gt;=100000,INDEX($AN$1005:$BO$1005,1,MATCH(COLUMNS($AN$1006:AW1006),$AN$1006:$BO$1006,0))&gt;=100000), " ",IF(INDEX($AN$2:$BO$1001,MATCH(ROWS($AG$2:AG316),$AG$2:$AG$1001,0),MATCH(COLUMNS($AN$1006:AW1006),$AN$1006:$BO$1006,0)), HYPERLINK("#",""), HYPERLINK(CONCATENATE("#Metadata!", ADDRESS(INDEX($AI$2:$AI$1001,MATCH(ROWS($AG$2:AG316),$AG$2:$AG$1001,0),0), INDEX($AN$1004:$BO$1004,1,MATCH(COLUMNS($AN$1006:AW1006),$AN$1006:$BO$1006,0)))),"Fix")))</f>
        <v>0</v>
      </c>
      <c r="L316" s="4">
        <f>IF(OR(INDEX($AH$2:$AH$1001,MATCH(ROWS($AG$2:AG316),$AG$2:$AG$1001,0),1)&gt;=100000,INDEX($AN$1005:$BO$1005,1,MATCH(COLUMNS($AN$1006:AX1006),$AN$1006:$BO$1006,0))&gt;=100000), " ",IF(INDEX($AN$2:$BO$1001,MATCH(ROWS($AG$2:AG316),$AG$2:$AG$1001,0),MATCH(COLUMNS($AN$1006:AX1006),$AN$1006:$BO$1006,0)), HYPERLINK("#",""), HYPERLINK(CONCATENATE("#Metadata!", ADDRESS(INDEX($AI$2:$AI$1001,MATCH(ROWS($AG$2:AG316),$AG$2:$AG$1001,0),0), INDEX($AN$1004:$BO$1004,1,MATCH(COLUMNS($AN$1006:AX1006),$AN$1006:$BO$1006,0)))),"Fix")))</f>
        <v>0</v>
      </c>
      <c r="M316" s="4">
        <f>IF(OR(INDEX($AH$2:$AH$1001,MATCH(ROWS($AG$2:AG316),$AG$2:$AG$1001,0),1)&gt;=100000,INDEX($AN$1005:$BO$1005,1,MATCH(COLUMNS($AN$1006:AY1006),$AN$1006:$BO$1006,0))&gt;=100000), " ",IF(INDEX($AN$2:$BO$1001,MATCH(ROWS($AG$2:AG316),$AG$2:$AG$1001,0),MATCH(COLUMNS($AN$1006:AY1006),$AN$1006:$BO$1006,0)), HYPERLINK("#",""), HYPERLINK(CONCATENATE("#Metadata!", ADDRESS(INDEX($AI$2:$AI$1001,MATCH(ROWS($AG$2:AG316),$AG$2:$AG$1001,0),0), INDEX($AN$1004:$BO$1004,1,MATCH(COLUMNS($AN$1006:AY1006),$AN$1006:$BO$1006,0)))),"Fix")))</f>
        <v>0</v>
      </c>
      <c r="N316" s="4">
        <f>IF(OR(INDEX($AH$2:$AH$1001,MATCH(ROWS($AG$2:AG316),$AG$2:$AG$1001,0),1)&gt;=100000,INDEX($AN$1005:$BO$1005,1,MATCH(COLUMNS($AN$1006:AZ1006),$AN$1006:$BO$1006,0))&gt;=100000), " ",IF(INDEX($AN$2:$BO$1001,MATCH(ROWS($AG$2:AG316),$AG$2:$AG$1001,0),MATCH(COLUMNS($AN$1006:AZ1006),$AN$1006:$BO$1006,0)), HYPERLINK("#",""), HYPERLINK(CONCATENATE("#Metadata!", ADDRESS(INDEX($AI$2:$AI$1001,MATCH(ROWS($AG$2:AG316),$AG$2:$AG$1001,0),0), INDEX($AN$1004:$BO$1004,1,MATCH(COLUMNS($AN$1006:AZ1006),$AN$1006:$BO$1006,0)))),"Fix")))</f>
        <v>0</v>
      </c>
      <c r="O316" s="4">
        <f>IF(OR(INDEX($AH$2:$AH$1001,MATCH(ROWS($AG$2:AG316),$AG$2:$AG$1001,0),1)&gt;=100000,INDEX($AN$1005:$BO$1005,1,MATCH(COLUMNS($AN$1006:BA1006),$AN$1006:$BO$1006,0))&gt;=100000), " ",IF(INDEX($AN$2:$BO$1001,MATCH(ROWS($AG$2:AG316),$AG$2:$AG$1001,0),MATCH(COLUMNS($AN$1006:BA1006),$AN$1006:$BO$1006,0)), HYPERLINK("#",""), HYPERLINK(CONCATENATE("#Metadata!", ADDRESS(INDEX($AI$2:$AI$1001,MATCH(ROWS($AG$2:AG316),$AG$2:$AG$1001,0),0), INDEX($AN$1004:$BO$1004,1,MATCH(COLUMNS($AN$1006:BA1006),$AN$1006:$BO$1006,0)))),"Fix")))</f>
        <v>0</v>
      </c>
      <c r="P316" s="4">
        <f>IF(OR(INDEX($AH$2:$AH$1001,MATCH(ROWS($AG$2:AG316),$AG$2:$AG$1001,0),1)&gt;=100000,INDEX($AN$1005:$BO$1005,1,MATCH(COLUMNS($AN$1006:BB1006),$AN$1006:$BO$1006,0))&gt;=100000), " ",IF(INDEX($AN$2:$BO$1001,MATCH(ROWS($AG$2:AG316),$AG$2:$AG$1001,0),MATCH(COLUMNS($AN$1006:BB1006),$AN$1006:$BO$1006,0)), HYPERLINK("#",""), HYPERLINK(CONCATENATE("#Metadata!", ADDRESS(INDEX($AI$2:$AI$1001,MATCH(ROWS($AG$2:AG316),$AG$2:$AG$1001,0),0), INDEX($AN$1004:$BO$1004,1,MATCH(COLUMNS($AN$1006:BB1006),$AN$1006:$BO$1006,0)))),"Fix")))</f>
        <v>0</v>
      </c>
      <c r="Q316" s="4">
        <f>IF(OR(INDEX($AH$2:$AH$1001,MATCH(ROWS($AG$2:AG316),$AG$2:$AG$1001,0),1)&gt;=100000,INDEX($AN$1005:$BO$1005,1,MATCH(COLUMNS($AN$1006:BC1006),$AN$1006:$BO$1006,0))&gt;=100000), " ",IF(INDEX($AN$2:$BO$1001,MATCH(ROWS($AG$2:AG316),$AG$2:$AG$1001,0),MATCH(COLUMNS($AN$1006:BC1006),$AN$1006:$BO$1006,0)), HYPERLINK("#",""), HYPERLINK(CONCATENATE("#Metadata!", ADDRESS(INDEX($AI$2:$AI$1001,MATCH(ROWS($AG$2:AG316),$AG$2:$AG$1001,0),0), INDEX($AN$1004:$BO$1004,1,MATCH(COLUMNS($AN$1006:BC1006),$AN$1006:$BO$1006,0)))),"Fix")))</f>
        <v>0</v>
      </c>
      <c r="R316" s="4">
        <f>IF(OR(INDEX($AH$2:$AH$1001,MATCH(ROWS($AG$2:AG316),$AG$2:$AG$1001,0),1)&gt;=100000,INDEX($AN$1005:$BO$1005,1,MATCH(COLUMNS($AN$1006:BD1006),$AN$1006:$BO$1006,0))&gt;=100000), " ",IF(INDEX($AN$2:$BO$1001,MATCH(ROWS($AG$2:AG316),$AG$2:$AG$1001,0),MATCH(COLUMNS($AN$1006:BD1006),$AN$1006:$BO$1006,0)), HYPERLINK("#",""), HYPERLINK(CONCATENATE("#Metadata!", ADDRESS(INDEX($AI$2:$AI$1001,MATCH(ROWS($AG$2:AG316),$AG$2:$AG$1001,0),0), INDEX($AN$1004:$BO$1004,1,MATCH(COLUMNS($AN$1006:BD1006),$AN$1006:$BO$1006,0)))),"Fix")))</f>
        <v>0</v>
      </c>
      <c r="S316" s="4">
        <f>IF(OR(INDEX($AH$2:$AH$1001,MATCH(ROWS($AG$2:AG316),$AG$2:$AG$1001,0),1)&gt;=100000,INDEX($AN$1005:$BO$1005,1,MATCH(COLUMNS($AN$1006:BE1006),$AN$1006:$BO$1006,0))&gt;=100000), " ",IF(INDEX($AN$2:$BO$1001,MATCH(ROWS($AG$2:AG316),$AG$2:$AG$1001,0),MATCH(COLUMNS($AN$1006:BE1006),$AN$1006:$BO$1006,0)), HYPERLINK("#",""), HYPERLINK(CONCATENATE("#Metadata!", ADDRESS(INDEX($AI$2:$AI$1001,MATCH(ROWS($AG$2:AG316),$AG$2:$AG$1001,0),0), INDEX($AN$1004:$BO$1004,1,MATCH(COLUMNS($AN$1006:BE1006),$AN$1006:$BO$1006,0)))),"Fix")))</f>
        <v>0</v>
      </c>
      <c r="T316" s="4">
        <f>IF(OR(INDEX($AH$2:$AH$1001,MATCH(ROWS($AG$2:AG316),$AG$2:$AG$1001,0),1)&gt;=100000,INDEX($AN$1005:$BO$1005,1,MATCH(COLUMNS($AN$1006:BF1006),$AN$1006:$BO$1006,0))&gt;=100000), " ",IF(INDEX($AN$2:$BO$1001,MATCH(ROWS($AG$2:AG316),$AG$2:$AG$1001,0),MATCH(COLUMNS($AN$1006:BF1006),$AN$1006:$BO$1006,0)), HYPERLINK("#",""), HYPERLINK(CONCATENATE("#Metadata!", ADDRESS(INDEX($AI$2:$AI$1001,MATCH(ROWS($AG$2:AG316),$AG$2:$AG$1001,0),0), INDEX($AN$1004:$BO$1004,1,MATCH(COLUMNS($AN$1006:BF1006),$AN$1006:$BO$1006,0)))),"Fix")))</f>
        <v>0</v>
      </c>
      <c r="U316" s="4">
        <f>IF(OR(INDEX($AH$2:$AH$1001,MATCH(ROWS($AG$2:AG316),$AG$2:$AG$1001,0),1)&gt;=100000,INDEX($AN$1005:$BO$1005,1,MATCH(COLUMNS($AN$1006:BG1006),$AN$1006:$BO$1006,0))&gt;=100000), " ",IF(INDEX($AN$2:$BO$1001,MATCH(ROWS($AG$2:AG316),$AG$2:$AG$1001,0),MATCH(COLUMNS($AN$1006:BG1006),$AN$1006:$BO$1006,0)), HYPERLINK("#",""), HYPERLINK(CONCATENATE("#Metadata!", ADDRESS(INDEX($AI$2:$AI$1001,MATCH(ROWS($AG$2:AG316),$AG$2:$AG$1001,0),0), INDEX($AN$1004:$BO$1004,1,MATCH(COLUMNS($AN$1006:BG1006),$AN$1006:$BO$1006,0)))),"Fix")))</f>
        <v>0</v>
      </c>
      <c r="V316" s="4">
        <f>IF(OR(INDEX($AH$2:$AH$1001,MATCH(ROWS($AG$2:AG316),$AG$2:$AG$1001,0),1)&gt;=100000,INDEX($AN$1005:$BO$1005,1,MATCH(COLUMNS($AN$1006:BH1006),$AN$1006:$BO$1006,0))&gt;=100000), " ",IF(INDEX($AN$2:$BO$1001,MATCH(ROWS($AG$2:AG316),$AG$2:$AG$1001,0),MATCH(COLUMNS($AN$1006:BH1006),$AN$1006:$BO$1006,0)), HYPERLINK("#",""), HYPERLINK(CONCATENATE("#Metadata!", ADDRESS(INDEX($AI$2:$AI$1001,MATCH(ROWS($AG$2:AG316),$AG$2:$AG$1001,0),0), INDEX($AN$1004:$BO$1004,1,MATCH(COLUMNS($AN$1006:BH1006),$AN$1006:$BO$1006,0)))),"Fix")))</f>
        <v>0</v>
      </c>
      <c r="W316" s="4">
        <f>IF(OR(INDEX($AH$2:$AH$1001,MATCH(ROWS($AG$2:AG316),$AG$2:$AG$1001,0),1)&gt;=100000,INDEX($AN$1005:$BO$1005,1,MATCH(COLUMNS($AN$1006:BI1006),$AN$1006:$BO$1006,0))&gt;=100000), " ",IF(INDEX($AN$2:$BO$1001,MATCH(ROWS($AG$2:AG316),$AG$2:$AG$1001,0),MATCH(COLUMNS($AN$1006:BI1006),$AN$1006:$BO$1006,0)), HYPERLINK("#",""), HYPERLINK(CONCATENATE("#Metadata!", ADDRESS(INDEX($AI$2:$AI$1001,MATCH(ROWS($AG$2:AG316),$AG$2:$AG$1001,0),0), INDEX($AN$1004:$BO$1004,1,MATCH(COLUMNS($AN$1006:BI1006),$AN$1006:$BO$1006,0)))),"Fix")))</f>
        <v>0</v>
      </c>
      <c r="X316" s="4">
        <f>IF(OR(INDEX($AH$2:$AH$1001,MATCH(ROWS($AG$2:AG316),$AG$2:$AG$1001,0),1)&gt;=100000,INDEX($AN$1005:$BO$1005,1,MATCH(COLUMNS($AN$1006:BJ1006),$AN$1006:$BO$1006,0))&gt;=100000), " ",IF(INDEX($AN$2:$BO$1001,MATCH(ROWS($AG$2:AG316),$AG$2:$AG$1001,0),MATCH(COLUMNS($AN$1006:BJ1006),$AN$1006:$BO$1006,0)), HYPERLINK("#",""), HYPERLINK(CONCATENATE("#Metadata!", ADDRESS(INDEX($AI$2:$AI$1001,MATCH(ROWS($AG$2:AG316),$AG$2:$AG$1001,0),0), INDEX($AN$1004:$BO$1004,1,MATCH(COLUMNS($AN$1006:BJ1006),$AN$1006:$BO$1006,0)))),"Fix")))</f>
        <v>0</v>
      </c>
      <c r="Y316" s="4">
        <f>IF(OR(INDEX($AH$2:$AH$1001,MATCH(ROWS($AG$2:AG316),$AG$2:$AG$1001,0),1)&gt;=100000,INDEX($AN$1005:$BO$1005,1,MATCH(COLUMNS($AN$1006:BK1006),$AN$1006:$BO$1006,0))&gt;=100000), " ",IF(INDEX($AN$2:$BO$1001,MATCH(ROWS($AG$2:AG316),$AG$2:$AG$1001,0),MATCH(COLUMNS($AN$1006:BK1006),$AN$1006:$BO$1006,0)), HYPERLINK("#",""), HYPERLINK(CONCATENATE("#Metadata!", ADDRESS(INDEX($AI$2:$AI$1001,MATCH(ROWS($AG$2:AG316),$AG$2:$AG$1001,0),0), INDEX($AN$1004:$BO$1004,1,MATCH(COLUMNS($AN$1006:BK1006),$AN$1006:$BO$1006,0)))),"Fix")))</f>
        <v>0</v>
      </c>
      <c r="Z316" s="4">
        <f>IF(OR(INDEX($AH$2:$AH$1001,MATCH(ROWS($AG$2:AG316),$AG$2:$AG$1001,0),1)&gt;=100000,INDEX($AN$1005:$BO$1005,1,MATCH(COLUMNS($AN$1006:BL1006),$AN$1006:$BO$1006,0))&gt;=100000), " ",IF(INDEX($AN$2:$BO$1001,MATCH(ROWS($AG$2:AG316),$AG$2:$AG$1001,0),MATCH(COLUMNS($AN$1006:BL1006),$AN$1006:$BO$1006,0)), HYPERLINK("#",""), HYPERLINK(CONCATENATE("#Metadata!", ADDRESS(INDEX($AI$2:$AI$1001,MATCH(ROWS($AG$2:AG316),$AG$2:$AG$1001,0),0), INDEX($AN$1004:$BO$1004,1,MATCH(COLUMNS($AN$1006:BL1006),$AN$1006:$BO$1006,0)))),"Fix")))</f>
        <v>0</v>
      </c>
      <c r="AA316" s="4">
        <f>IF(OR(INDEX($AH$2:$AH$1001,MATCH(ROWS($AG$2:AG316),$AG$2:$AG$1001,0),1)&gt;=100000,INDEX($AN$1005:$BO$1005,1,MATCH(COLUMNS($AN$1006:BM1006),$AN$1006:$BO$1006,0))&gt;=100000), " ",IF(INDEX($AN$2:$BO$1001,MATCH(ROWS($AG$2:AG316),$AG$2:$AG$1001,0),MATCH(COLUMNS($AN$1006:BM1006),$AN$1006:$BO$1006,0)), HYPERLINK("#",""), HYPERLINK(CONCATENATE("#Metadata!", ADDRESS(INDEX($AI$2:$AI$1001,MATCH(ROWS($AG$2:AG316),$AG$2:$AG$1001,0),0), INDEX($AN$1004:$BO$1004,1,MATCH(COLUMNS($AN$1006:BM1006),$AN$1006:$BO$1006,0)))),"Fix")))</f>
        <v>0</v>
      </c>
      <c r="AB316" s="4">
        <f>IF(OR(INDEX($AH$2:$AH$1001,MATCH(ROWS($AG$2:AG316),$AG$2:$AG$1001,0),1)&gt;=100000,INDEX($AN$1005:$BO$1005,1,MATCH(COLUMNS($AN$1006:BN1006),$AN$1006:$BO$1006,0))&gt;=100000), " ",IF(INDEX($AN$2:$BO$1001,MATCH(ROWS($AG$2:AG316),$AG$2:$AG$1001,0),MATCH(COLUMNS($AN$1006:BN1006),$AN$1006:$BO$1006,0)), HYPERLINK("#",""), HYPERLINK(CONCATENATE("#Metadata!", ADDRESS(INDEX($AI$2:$AI$1001,MATCH(ROWS($AG$2:AG316),$AG$2:$AG$1001,0),0), INDEX($AN$1004:$BO$1004,1,MATCH(COLUMNS($AN$1006:BN1006),$AN$1006:$BO$1006,0)))),"Fix")))</f>
        <v>0</v>
      </c>
      <c r="AC316" s="4">
        <f>IF(OR(INDEX($AH$2:$AH$1001,MATCH(ROWS($AG$2:AG316),$AG$2:$AG$1001,0),1)&gt;=100000,INDEX($AN$1005:$BO$1005,1,MATCH(COLUMNS($AN$1006:BO1006),$AN$1006:$BO$1006,0))&gt;=100000), " ",IF(INDEX($AN$2:$BO$1001,MATCH(ROWS($AG$2:AG316),$AG$2:$AG$1001,0),MATCH(COLUMNS($AN$1006:BO1006),$AN$1006:$BO$1006,0)), HYPERLINK("#",""), HYPERLINK(CONCATENATE("#Metadata!", ADDRESS(INDEX($AI$2:$AI$1001,MATCH(ROWS($AG$2:AG316),$AG$2:$AG$1001,0),0), INDEX($AN$1004:$BO$1004,1,MATCH(COLUMNS($AN$1006:BO1006),$AN$1006:$BO$1006,0)))),"Fix")))</f>
        <v>0</v>
      </c>
      <c r="AG316">
        <v>0</v>
      </c>
      <c r="AH316">
        <v>0</v>
      </c>
      <c r="AI316">
        <v>0</v>
      </c>
      <c r="AJ316">
        <f>IF(AK316,TRUE,AND(AN316:BO316))</f>
        <v>0</v>
      </c>
      <c r="AK316">
        <f>COUNTBLANK(Metadata!B316:AC316)=COLUMNS(Metadata!B316:AC316)</f>
        <v>0</v>
      </c>
      <c r="AL316">
        <v>0</v>
      </c>
      <c r="AN316">
        <f>AND(IF(Metadata!B316="",FALSE,TRUE),COUNTIF(Metadata!B:B, Metadata!B316) = 1,NOT(ISERROR(SUMPRODUCT(SEARCH(MID(Metadata!B316,ROW(INDIRECT("1:"&amp;LEN(Metadata!B316))), 1),"0123456789abcdefghijklmnopqrstuvwxyzABCDEFGHIJKLMNOPQRSTUVWXYZ.")))))</f>
        <v>0</v>
      </c>
      <c r="AO316">
        <f>IF(Metadata!C316="",FALSE,TRUE)</f>
        <v>0</v>
      </c>
      <c r="AP316">
        <f>IF(Metadata!D316="",FALSE,TRUE)</f>
        <v>0</v>
      </c>
      <c r="AQ316">
        <f>OR(AND(IF(Metadata!E316="",FALSE,TRUE),OR(exact(Metadata!E316,"not collected"),exact(Metadata!E316,"not provided"),exact(Metadata!E316,"restricted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R316">
        <f>IF(Metadata!F316="",FALSE,TRUE)</f>
        <v>0</v>
      </c>
      <c r="AS316">
        <f>OR(AND(IF(Metadata!G316="",FALSE,TRUE),OR(exact(Metadata!G316,"not collected"),exact(Metadata!G316,"not provided"))),AND(IF(Metadata!G316="",FALSE,TRUE),OR(exact(Metadata!G316,"TRUE"),exact(Metadata!G316,"FALSE"))))</f>
        <v>0</v>
      </c>
      <c r="AT316">
        <f>OR(AND(IF(Metadata!H316="",FALSE,TRUE),OR(exact(Metadata!H316,"not collected"),exact(Metadata!H316,"not provided"),exact(Metadata!H316,"restricted access"))),AND(IF(Metadata!H316="",FALSE,ISNUMBER(VALUE(Metadata!H316))),Metadata!H316&gt;=-413.0))</f>
        <v>0</v>
      </c>
      <c r="AU316">
        <f>AND(IF(Metadata!I316="",FALSE,TRUE),exact(Metadata!I316,"meters"))</f>
        <v>0</v>
      </c>
      <c r="AV316">
        <f>AND(IF(Metadata!J316="",FALSE,TRUE),OR(exact(Metadata!J316,"Host-associated"),exact(Metadata!J316,"Free-living")))</f>
        <v>0</v>
      </c>
      <c r="AW316">
        <f>AND(IF(Metadata!K316="",FALSE,TRUE),OR(exact(Metadata!K316,"Animal"),exact(Metadata!K316,"Fungus"),exact(Metadata!K316,"Plant"),exact(Metadata!K316,"Saline"),exact(Metadata!K316,"Non-saline")))</f>
        <v>0</v>
      </c>
      <c r="AX316">
        <f>AND(IF(Metadata!L316="",FALSE,TRUE),OR(exact(Metadata!L316,"Plant secretion"),exact(Metadata!L316,"Plant rhizosphere"),exact(Metadata!L316,"Plant surface"),exact(Metadata!L316,"Plant corpus"),exact(Metadata!L316,"Fungus surface"),exact(Metadata!L316,"Fungus corpus"),exact(Metadata!L316,"Animal surface"),exact(Metadata!L316,"Animal proximal gut"),exact(Metadata!L316,"Animal corpus"),exact(Metadata!L316,"Animal distal gut"),exact(Metadata!L316,"Animal secretion"),exact(Metadata!L316,"Sub-surface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Y316">
        <f>IF(Metadata!M316="",FALSE,TRUE)</f>
        <v>0</v>
      </c>
      <c r="AZ316">
        <f>IF(Metadata!N316="",FALSE,TRUE)</f>
        <v>0</v>
      </c>
      <c r="BA316">
        <f>IF(Metadata!O316="",FALSE,TRUE)</f>
        <v>0</v>
      </c>
      <c r="BB316">
        <f>OR(AND(IF(Metadata!P316="",FALSE,TRUE),OR(exact(Metadata!P316,"not collected"),exact(Metadata!P316,"not provided"),exact(Metadata!P316,"restricted access"))),AND(IF(Metadata!P316="",FALSE,TRUE),OR(exact(Metadata!P316,"air"),exact(Metadata!P316,"built environment"),exact(Metadata!P316,"host-associated"),exact(Metadata!P316,"human-associated"),exact(Metadata!P316,"human-skin"),exact(Metadata!P316,"human-oral"),exact(Metadata!P316,"human-gut"),exact(Metadata!P316,"human-vaginal"),exact(Metadata!P316,"microbial mat/biofilm"),exact(Metadata!P316,"misc environment"),exact(Metadata!P316,"plant-associated"),exact(Metadata!P316,"sediment"),exact(Metadata!P316,"soil"),exact(Metadata!P316,"wastewater/sludge"),exact(Metadata!P316,"water"))))</f>
        <v>0</v>
      </c>
      <c r="BC316">
        <f>IF(Metadata!Q316="",FALSE,TRUE)</f>
        <v>0</v>
      </c>
      <c r="BD316">
        <f>IF(Metadata!R316="",FALSE,TRUE)</f>
        <v>0</v>
      </c>
      <c r="BE316">
        <f>OR(AND(IF(Metadata!S316="",FALSE,TRUE),OR(exact(Metadata!S316,"not collected"),exact(Metadata!S316,"not provided"),exact(Metadata!S316,"restricted access"))),AND(IF(Metadata!S316="",FALSE,ISNUMBER(VALUE(Metadata!S316))),Metadata!S316&gt;=-90.00,Metadata!S316&lt;=90.00))</f>
        <v>0</v>
      </c>
      <c r="BF316">
        <f>AND(IF(Metadata!T316="",FALSE,TRUE),exact(Metadata!T316,"Decimal degrees"))</f>
        <v>0</v>
      </c>
      <c r="BG316">
        <f>OR(AND(IF(Metadata!U316="",FALSE,TRUE),OR(exact(Metadata!U316,"not collected"),exact(Metadata!U316,"not provided"),exact(Metadata!U316,"restricted access"))),AND(IF(Metadata!U316="",FALSE,ISNUMBER(VALUE(Metadata!U316))),Metadata!U316&gt;=-180.00,Metadata!U316&lt;=180.00))</f>
        <v>0</v>
      </c>
      <c r="BH316">
        <f>AND(IF(Metadata!V316="",FALSE,TRUE),exact(Metadata!V316,"Decimal degrees"))</f>
        <v>0</v>
      </c>
      <c r="BI316">
        <f>IF(Metadata!W316="",FALSE,TRUE)</f>
        <v>0</v>
      </c>
      <c r="BJ316">
        <f>OR(AND(IF(Metadata!X316="",FALSE,TRUE),OR(exact(Metadata!X316,"not collected"),exact(Metadata!X316,"not provided"),exact(Metadata!X316,"restricted access"))),AND(IF(Metadata!X316="",FALSE,TRUE),OR(exact(Metadata!X316,"TRUE"),exact(Metadata!X316,"FALSE"))))</f>
        <v>0</v>
      </c>
      <c r="BK316">
        <f>AND(IF(Metadata!Y316="",FALSE,TRUE),exact(Metadata!Y316,"other"))</f>
        <v>0</v>
      </c>
      <c r="BL316">
        <f>IF(Metadata!Z316="",FALSE,TRUE)</f>
        <v>0</v>
      </c>
      <c r="BM316">
        <f>OR(AND(IF(Metadata!AA316="",FALSE,TRUE),OR(exact(Metadata!AA316,"not collected"),exact(Metadata!AA316,"not provided"))),AND(IF(Metadata!AA316="",FALSE,IF(ISERROR(INT(Metadata!AA316)),FALSE,INT(Metadata!AA316)=Metadata!AA316)),Metadata!AA316&gt;0))</f>
        <v>0</v>
      </c>
      <c r="BN316">
        <f>AND(IF(Metadata!AB316="",FALSE,TRUE),exact(Metadata!AB316,"Not applicable"))</f>
        <v>0</v>
      </c>
      <c r="BO316">
        <f>IF(Metadata!AC316="",FALSE,TRUE)</f>
        <v>0</v>
      </c>
    </row>
    <row r="317" spans="1:67">
      <c r="A317" s="5">
        <f>IF(B317=" "," ",HYPERLINK(CONCATENATE("#metadata!",ADDRESS(INDEX($AI$2:$AI$1001,MATCH(ROWS($AG$2:AG317),$AG$2:$AG$1001,0),0),1)),INDEX($AL$2:$AL$1001,MATCH(ROWS($AG$2:AG317),$AG$2:$AG$1001,0),0)))</f>
        <v>0</v>
      </c>
      <c r="B317" s="4">
        <f>IF(OR(INDEX($AH$2:$AH$1001,MATCH(ROWS($AG$2:AG317),$AG$2:$AG$1001,0),1)&gt;=100000,INDEX($AN$1005:$BO$1005,1,MATCH(COLUMNS($AN$1006:AN1006),$AN$1006:$BO$1006,0))&gt;=100000), " ",IF(INDEX($AN$2:$BO$1001,MATCH(ROWS($AG$2:AG317),$AG$2:$AG$1001,0),MATCH(COLUMNS($AN$1006:AN1006),$AN$1006:$BO$1006,0)), HYPERLINK("#",""), HYPERLINK(CONCATENATE("#Metadata!", ADDRESS(INDEX($AI$2:$AI$1001,MATCH(ROWS($AG$2:AG317),$AG$2:$AG$1001,0),0), INDEX($AN$1004:$BO$1004,1,MATCH(COLUMNS($AN$1006:AN1006),$AN$1006:$BO$1006,0)))),"Fix")))</f>
        <v>0</v>
      </c>
      <c r="C317" s="4">
        <f>IF(OR(INDEX($AH$2:$AH$1001,MATCH(ROWS($AG$2:AG317),$AG$2:$AG$1001,0),1)&gt;=100000,INDEX($AN$1005:$BO$1005,1,MATCH(COLUMNS($AN$1006:AO1006),$AN$1006:$BO$1006,0))&gt;=100000), " ",IF(INDEX($AN$2:$BO$1001,MATCH(ROWS($AG$2:AG317),$AG$2:$AG$1001,0),MATCH(COLUMNS($AN$1006:AO1006),$AN$1006:$BO$1006,0)), HYPERLINK("#",""), HYPERLINK(CONCATENATE("#Metadata!", ADDRESS(INDEX($AI$2:$AI$1001,MATCH(ROWS($AG$2:AG317),$AG$2:$AG$1001,0),0), INDEX($AN$1004:$BO$1004,1,MATCH(COLUMNS($AN$1006:AO1006),$AN$1006:$BO$1006,0)))),"Fix")))</f>
        <v>0</v>
      </c>
      <c r="D317" s="4">
        <f>IF(OR(INDEX($AH$2:$AH$1001,MATCH(ROWS($AG$2:AG317),$AG$2:$AG$1001,0),1)&gt;=100000,INDEX($AN$1005:$BO$1005,1,MATCH(COLUMNS($AN$1006:AP1006),$AN$1006:$BO$1006,0))&gt;=100000), " ",IF(INDEX($AN$2:$BO$1001,MATCH(ROWS($AG$2:AG317),$AG$2:$AG$1001,0),MATCH(COLUMNS($AN$1006:AP1006),$AN$1006:$BO$1006,0)), HYPERLINK("#",""), HYPERLINK(CONCATENATE("#Metadata!", ADDRESS(INDEX($AI$2:$AI$1001,MATCH(ROWS($AG$2:AG317),$AG$2:$AG$1001,0),0), INDEX($AN$1004:$BO$1004,1,MATCH(COLUMNS($AN$1006:AP1006),$AN$1006:$BO$1006,0)))),"Fix")))</f>
        <v>0</v>
      </c>
      <c r="E317" s="4">
        <f>IF(OR(INDEX($AH$2:$AH$1001,MATCH(ROWS($AG$2:AG317),$AG$2:$AG$1001,0),1)&gt;=100000,INDEX($AN$1005:$BO$1005,1,MATCH(COLUMNS($AN$1006:AQ1006),$AN$1006:$BO$1006,0))&gt;=100000), " ",IF(INDEX($AN$2:$BO$1001,MATCH(ROWS($AG$2:AG317),$AG$2:$AG$1001,0),MATCH(COLUMNS($AN$1006:AQ1006),$AN$1006:$BO$1006,0)), HYPERLINK("#",""), HYPERLINK(CONCATENATE("#Metadata!", ADDRESS(INDEX($AI$2:$AI$1001,MATCH(ROWS($AG$2:AG317),$AG$2:$AG$1001,0),0), INDEX($AN$1004:$BO$1004,1,MATCH(COLUMNS($AN$1006:AQ1006),$AN$1006:$BO$1006,0)))),"Fix")))</f>
        <v>0</v>
      </c>
      <c r="F317" s="4">
        <f>IF(OR(INDEX($AH$2:$AH$1001,MATCH(ROWS($AG$2:AG317),$AG$2:$AG$1001,0),1)&gt;=100000,INDEX($AN$1005:$BO$1005,1,MATCH(COLUMNS($AN$1006:AR1006),$AN$1006:$BO$1006,0))&gt;=100000), " ",IF(INDEX($AN$2:$BO$1001,MATCH(ROWS($AG$2:AG317),$AG$2:$AG$1001,0),MATCH(COLUMNS($AN$1006:AR1006),$AN$1006:$BO$1006,0)), HYPERLINK("#",""), HYPERLINK(CONCATENATE("#Metadata!", ADDRESS(INDEX($AI$2:$AI$1001,MATCH(ROWS($AG$2:AG317),$AG$2:$AG$1001,0),0), INDEX($AN$1004:$BO$1004,1,MATCH(COLUMNS($AN$1006:AR1006),$AN$1006:$BO$1006,0)))),"Fix")))</f>
        <v>0</v>
      </c>
      <c r="G317" s="4">
        <f>IF(OR(INDEX($AH$2:$AH$1001,MATCH(ROWS($AG$2:AG317),$AG$2:$AG$1001,0),1)&gt;=100000,INDEX($AN$1005:$BO$1005,1,MATCH(COLUMNS($AN$1006:AS1006),$AN$1006:$BO$1006,0))&gt;=100000), " ",IF(INDEX($AN$2:$BO$1001,MATCH(ROWS($AG$2:AG317),$AG$2:$AG$1001,0),MATCH(COLUMNS($AN$1006:AS1006),$AN$1006:$BO$1006,0)), HYPERLINK("#",""), HYPERLINK(CONCATENATE("#Metadata!", ADDRESS(INDEX($AI$2:$AI$1001,MATCH(ROWS($AG$2:AG317),$AG$2:$AG$1001,0),0), INDEX($AN$1004:$BO$1004,1,MATCH(COLUMNS($AN$1006:AS1006),$AN$1006:$BO$1006,0)))),"Fix")))</f>
        <v>0</v>
      </c>
      <c r="H317" s="4">
        <f>IF(OR(INDEX($AH$2:$AH$1001,MATCH(ROWS($AG$2:AG317),$AG$2:$AG$1001,0),1)&gt;=100000,INDEX($AN$1005:$BO$1005,1,MATCH(COLUMNS($AN$1006:AT1006),$AN$1006:$BO$1006,0))&gt;=100000), " ",IF(INDEX($AN$2:$BO$1001,MATCH(ROWS($AG$2:AG317),$AG$2:$AG$1001,0),MATCH(COLUMNS($AN$1006:AT1006),$AN$1006:$BO$1006,0)), HYPERLINK("#",""), HYPERLINK(CONCATENATE("#Metadata!", ADDRESS(INDEX($AI$2:$AI$1001,MATCH(ROWS($AG$2:AG317),$AG$2:$AG$1001,0),0), INDEX($AN$1004:$BO$1004,1,MATCH(COLUMNS($AN$1006:AT1006),$AN$1006:$BO$1006,0)))),"Fix")))</f>
        <v>0</v>
      </c>
      <c r="I317" s="4">
        <f>IF(OR(INDEX($AH$2:$AH$1001,MATCH(ROWS($AG$2:AG317),$AG$2:$AG$1001,0),1)&gt;=100000,INDEX($AN$1005:$BO$1005,1,MATCH(COLUMNS($AN$1006:AU1006),$AN$1006:$BO$1006,0))&gt;=100000), " ",IF(INDEX($AN$2:$BO$1001,MATCH(ROWS($AG$2:AG317),$AG$2:$AG$1001,0),MATCH(COLUMNS($AN$1006:AU1006),$AN$1006:$BO$1006,0)), HYPERLINK("#",""), HYPERLINK(CONCATENATE("#Metadata!", ADDRESS(INDEX($AI$2:$AI$1001,MATCH(ROWS($AG$2:AG317),$AG$2:$AG$1001,0),0), INDEX($AN$1004:$BO$1004,1,MATCH(COLUMNS($AN$1006:AU1006),$AN$1006:$BO$1006,0)))),"Fix")))</f>
        <v>0</v>
      </c>
      <c r="J317" s="4">
        <f>IF(OR(INDEX($AH$2:$AH$1001,MATCH(ROWS($AG$2:AG317),$AG$2:$AG$1001,0),1)&gt;=100000,INDEX($AN$1005:$BO$1005,1,MATCH(COLUMNS($AN$1006:AV1006),$AN$1006:$BO$1006,0))&gt;=100000), " ",IF(INDEX($AN$2:$BO$1001,MATCH(ROWS($AG$2:AG317),$AG$2:$AG$1001,0),MATCH(COLUMNS($AN$1006:AV1006),$AN$1006:$BO$1006,0)), HYPERLINK("#",""), HYPERLINK(CONCATENATE("#Metadata!", ADDRESS(INDEX($AI$2:$AI$1001,MATCH(ROWS($AG$2:AG317),$AG$2:$AG$1001,0),0), INDEX($AN$1004:$BO$1004,1,MATCH(COLUMNS($AN$1006:AV1006),$AN$1006:$BO$1006,0)))),"Fix")))</f>
        <v>0</v>
      </c>
      <c r="K317" s="4">
        <f>IF(OR(INDEX($AH$2:$AH$1001,MATCH(ROWS($AG$2:AG317),$AG$2:$AG$1001,0),1)&gt;=100000,INDEX($AN$1005:$BO$1005,1,MATCH(COLUMNS($AN$1006:AW1006),$AN$1006:$BO$1006,0))&gt;=100000), " ",IF(INDEX($AN$2:$BO$1001,MATCH(ROWS($AG$2:AG317),$AG$2:$AG$1001,0),MATCH(COLUMNS($AN$1006:AW1006),$AN$1006:$BO$1006,0)), HYPERLINK("#",""), HYPERLINK(CONCATENATE("#Metadata!", ADDRESS(INDEX($AI$2:$AI$1001,MATCH(ROWS($AG$2:AG317),$AG$2:$AG$1001,0),0), INDEX($AN$1004:$BO$1004,1,MATCH(COLUMNS($AN$1006:AW1006),$AN$1006:$BO$1006,0)))),"Fix")))</f>
        <v>0</v>
      </c>
      <c r="L317" s="4">
        <f>IF(OR(INDEX($AH$2:$AH$1001,MATCH(ROWS($AG$2:AG317),$AG$2:$AG$1001,0),1)&gt;=100000,INDEX($AN$1005:$BO$1005,1,MATCH(COLUMNS($AN$1006:AX1006),$AN$1006:$BO$1006,0))&gt;=100000), " ",IF(INDEX($AN$2:$BO$1001,MATCH(ROWS($AG$2:AG317),$AG$2:$AG$1001,0),MATCH(COLUMNS($AN$1006:AX1006),$AN$1006:$BO$1006,0)), HYPERLINK("#",""), HYPERLINK(CONCATENATE("#Metadata!", ADDRESS(INDEX($AI$2:$AI$1001,MATCH(ROWS($AG$2:AG317),$AG$2:$AG$1001,0),0), INDEX($AN$1004:$BO$1004,1,MATCH(COLUMNS($AN$1006:AX1006),$AN$1006:$BO$1006,0)))),"Fix")))</f>
        <v>0</v>
      </c>
      <c r="M317" s="4">
        <f>IF(OR(INDEX($AH$2:$AH$1001,MATCH(ROWS($AG$2:AG317),$AG$2:$AG$1001,0),1)&gt;=100000,INDEX($AN$1005:$BO$1005,1,MATCH(COLUMNS($AN$1006:AY1006),$AN$1006:$BO$1006,0))&gt;=100000), " ",IF(INDEX($AN$2:$BO$1001,MATCH(ROWS($AG$2:AG317),$AG$2:$AG$1001,0),MATCH(COLUMNS($AN$1006:AY1006),$AN$1006:$BO$1006,0)), HYPERLINK("#",""), HYPERLINK(CONCATENATE("#Metadata!", ADDRESS(INDEX($AI$2:$AI$1001,MATCH(ROWS($AG$2:AG317),$AG$2:$AG$1001,0),0), INDEX($AN$1004:$BO$1004,1,MATCH(COLUMNS($AN$1006:AY1006),$AN$1006:$BO$1006,0)))),"Fix")))</f>
        <v>0</v>
      </c>
      <c r="N317" s="4">
        <f>IF(OR(INDEX($AH$2:$AH$1001,MATCH(ROWS($AG$2:AG317),$AG$2:$AG$1001,0),1)&gt;=100000,INDEX($AN$1005:$BO$1005,1,MATCH(COLUMNS($AN$1006:AZ1006),$AN$1006:$BO$1006,0))&gt;=100000), " ",IF(INDEX($AN$2:$BO$1001,MATCH(ROWS($AG$2:AG317),$AG$2:$AG$1001,0),MATCH(COLUMNS($AN$1006:AZ1006),$AN$1006:$BO$1006,0)), HYPERLINK("#",""), HYPERLINK(CONCATENATE("#Metadata!", ADDRESS(INDEX($AI$2:$AI$1001,MATCH(ROWS($AG$2:AG317),$AG$2:$AG$1001,0),0), INDEX($AN$1004:$BO$1004,1,MATCH(COLUMNS($AN$1006:AZ1006),$AN$1006:$BO$1006,0)))),"Fix")))</f>
        <v>0</v>
      </c>
      <c r="O317" s="4">
        <f>IF(OR(INDEX($AH$2:$AH$1001,MATCH(ROWS($AG$2:AG317),$AG$2:$AG$1001,0),1)&gt;=100000,INDEX($AN$1005:$BO$1005,1,MATCH(COLUMNS($AN$1006:BA1006),$AN$1006:$BO$1006,0))&gt;=100000), " ",IF(INDEX($AN$2:$BO$1001,MATCH(ROWS($AG$2:AG317),$AG$2:$AG$1001,0),MATCH(COLUMNS($AN$1006:BA1006),$AN$1006:$BO$1006,0)), HYPERLINK("#",""), HYPERLINK(CONCATENATE("#Metadata!", ADDRESS(INDEX($AI$2:$AI$1001,MATCH(ROWS($AG$2:AG317),$AG$2:$AG$1001,0),0), INDEX($AN$1004:$BO$1004,1,MATCH(COLUMNS($AN$1006:BA1006),$AN$1006:$BO$1006,0)))),"Fix")))</f>
        <v>0</v>
      </c>
      <c r="P317" s="4">
        <f>IF(OR(INDEX($AH$2:$AH$1001,MATCH(ROWS($AG$2:AG317),$AG$2:$AG$1001,0),1)&gt;=100000,INDEX($AN$1005:$BO$1005,1,MATCH(COLUMNS($AN$1006:BB1006),$AN$1006:$BO$1006,0))&gt;=100000), " ",IF(INDEX($AN$2:$BO$1001,MATCH(ROWS($AG$2:AG317),$AG$2:$AG$1001,0),MATCH(COLUMNS($AN$1006:BB1006),$AN$1006:$BO$1006,0)), HYPERLINK("#",""), HYPERLINK(CONCATENATE("#Metadata!", ADDRESS(INDEX($AI$2:$AI$1001,MATCH(ROWS($AG$2:AG317),$AG$2:$AG$1001,0),0), INDEX($AN$1004:$BO$1004,1,MATCH(COLUMNS($AN$1006:BB1006),$AN$1006:$BO$1006,0)))),"Fix")))</f>
        <v>0</v>
      </c>
      <c r="Q317" s="4">
        <f>IF(OR(INDEX($AH$2:$AH$1001,MATCH(ROWS($AG$2:AG317),$AG$2:$AG$1001,0),1)&gt;=100000,INDEX($AN$1005:$BO$1005,1,MATCH(COLUMNS($AN$1006:BC1006),$AN$1006:$BO$1006,0))&gt;=100000), " ",IF(INDEX($AN$2:$BO$1001,MATCH(ROWS($AG$2:AG317),$AG$2:$AG$1001,0),MATCH(COLUMNS($AN$1006:BC1006),$AN$1006:$BO$1006,0)), HYPERLINK("#",""), HYPERLINK(CONCATENATE("#Metadata!", ADDRESS(INDEX($AI$2:$AI$1001,MATCH(ROWS($AG$2:AG317),$AG$2:$AG$1001,0),0), INDEX($AN$1004:$BO$1004,1,MATCH(COLUMNS($AN$1006:BC1006),$AN$1006:$BO$1006,0)))),"Fix")))</f>
        <v>0</v>
      </c>
      <c r="R317" s="4">
        <f>IF(OR(INDEX($AH$2:$AH$1001,MATCH(ROWS($AG$2:AG317),$AG$2:$AG$1001,0),1)&gt;=100000,INDEX($AN$1005:$BO$1005,1,MATCH(COLUMNS($AN$1006:BD1006),$AN$1006:$BO$1006,0))&gt;=100000), " ",IF(INDEX($AN$2:$BO$1001,MATCH(ROWS($AG$2:AG317),$AG$2:$AG$1001,0),MATCH(COLUMNS($AN$1006:BD1006),$AN$1006:$BO$1006,0)), HYPERLINK("#",""), HYPERLINK(CONCATENATE("#Metadata!", ADDRESS(INDEX($AI$2:$AI$1001,MATCH(ROWS($AG$2:AG317),$AG$2:$AG$1001,0),0), INDEX($AN$1004:$BO$1004,1,MATCH(COLUMNS($AN$1006:BD1006),$AN$1006:$BO$1006,0)))),"Fix")))</f>
        <v>0</v>
      </c>
      <c r="S317" s="4">
        <f>IF(OR(INDEX($AH$2:$AH$1001,MATCH(ROWS($AG$2:AG317),$AG$2:$AG$1001,0),1)&gt;=100000,INDEX($AN$1005:$BO$1005,1,MATCH(COLUMNS($AN$1006:BE1006),$AN$1006:$BO$1006,0))&gt;=100000), " ",IF(INDEX($AN$2:$BO$1001,MATCH(ROWS($AG$2:AG317),$AG$2:$AG$1001,0),MATCH(COLUMNS($AN$1006:BE1006),$AN$1006:$BO$1006,0)), HYPERLINK("#",""), HYPERLINK(CONCATENATE("#Metadata!", ADDRESS(INDEX($AI$2:$AI$1001,MATCH(ROWS($AG$2:AG317),$AG$2:$AG$1001,0),0), INDEX($AN$1004:$BO$1004,1,MATCH(COLUMNS($AN$1006:BE1006),$AN$1006:$BO$1006,0)))),"Fix")))</f>
        <v>0</v>
      </c>
      <c r="T317" s="4">
        <f>IF(OR(INDEX($AH$2:$AH$1001,MATCH(ROWS($AG$2:AG317),$AG$2:$AG$1001,0),1)&gt;=100000,INDEX($AN$1005:$BO$1005,1,MATCH(COLUMNS($AN$1006:BF1006),$AN$1006:$BO$1006,0))&gt;=100000), " ",IF(INDEX($AN$2:$BO$1001,MATCH(ROWS($AG$2:AG317),$AG$2:$AG$1001,0),MATCH(COLUMNS($AN$1006:BF1006),$AN$1006:$BO$1006,0)), HYPERLINK("#",""), HYPERLINK(CONCATENATE("#Metadata!", ADDRESS(INDEX($AI$2:$AI$1001,MATCH(ROWS($AG$2:AG317),$AG$2:$AG$1001,0),0), INDEX($AN$1004:$BO$1004,1,MATCH(COLUMNS($AN$1006:BF1006),$AN$1006:$BO$1006,0)))),"Fix")))</f>
        <v>0</v>
      </c>
      <c r="U317" s="4">
        <f>IF(OR(INDEX($AH$2:$AH$1001,MATCH(ROWS($AG$2:AG317),$AG$2:$AG$1001,0),1)&gt;=100000,INDEX($AN$1005:$BO$1005,1,MATCH(COLUMNS($AN$1006:BG1006),$AN$1006:$BO$1006,0))&gt;=100000), " ",IF(INDEX($AN$2:$BO$1001,MATCH(ROWS($AG$2:AG317),$AG$2:$AG$1001,0),MATCH(COLUMNS($AN$1006:BG1006),$AN$1006:$BO$1006,0)), HYPERLINK("#",""), HYPERLINK(CONCATENATE("#Metadata!", ADDRESS(INDEX($AI$2:$AI$1001,MATCH(ROWS($AG$2:AG317),$AG$2:$AG$1001,0),0), INDEX($AN$1004:$BO$1004,1,MATCH(COLUMNS($AN$1006:BG1006),$AN$1006:$BO$1006,0)))),"Fix")))</f>
        <v>0</v>
      </c>
      <c r="V317" s="4">
        <f>IF(OR(INDEX($AH$2:$AH$1001,MATCH(ROWS($AG$2:AG317),$AG$2:$AG$1001,0),1)&gt;=100000,INDEX($AN$1005:$BO$1005,1,MATCH(COLUMNS($AN$1006:BH1006),$AN$1006:$BO$1006,0))&gt;=100000), " ",IF(INDEX($AN$2:$BO$1001,MATCH(ROWS($AG$2:AG317),$AG$2:$AG$1001,0),MATCH(COLUMNS($AN$1006:BH1006),$AN$1006:$BO$1006,0)), HYPERLINK("#",""), HYPERLINK(CONCATENATE("#Metadata!", ADDRESS(INDEX($AI$2:$AI$1001,MATCH(ROWS($AG$2:AG317),$AG$2:$AG$1001,0),0), INDEX($AN$1004:$BO$1004,1,MATCH(COLUMNS($AN$1006:BH1006),$AN$1006:$BO$1006,0)))),"Fix")))</f>
        <v>0</v>
      </c>
      <c r="W317" s="4">
        <f>IF(OR(INDEX($AH$2:$AH$1001,MATCH(ROWS($AG$2:AG317),$AG$2:$AG$1001,0),1)&gt;=100000,INDEX($AN$1005:$BO$1005,1,MATCH(COLUMNS($AN$1006:BI1006),$AN$1006:$BO$1006,0))&gt;=100000), " ",IF(INDEX($AN$2:$BO$1001,MATCH(ROWS($AG$2:AG317),$AG$2:$AG$1001,0),MATCH(COLUMNS($AN$1006:BI1006),$AN$1006:$BO$1006,0)), HYPERLINK("#",""), HYPERLINK(CONCATENATE("#Metadata!", ADDRESS(INDEX($AI$2:$AI$1001,MATCH(ROWS($AG$2:AG317),$AG$2:$AG$1001,0),0), INDEX($AN$1004:$BO$1004,1,MATCH(COLUMNS($AN$1006:BI1006),$AN$1006:$BO$1006,0)))),"Fix")))</f>
        <v>0</v>
      </c>
      <c r="X317" s="4">
        <f>IF(OR(INDEX($AH$2:$AH$1001,MATCH(ROWS($AG$2:AG317),$AG$2:$AG$1001,0),1)&gt;=100000,INDEX($AN$1005:$BO$1005,1,MATCH(COLUMNS($AN$1006:BJ1006),$AN$1006:$BO$1006,0))&gt;=100000), " ",IF(INDEX($AN$2:$BO$1001,MATCH(ROWS($AG$2:AG317),$AG$2:$AG$1001,0),MATCH(COLUMNS($AN$1006:BJ1006),$AN$1006:$BO$1006,0)), HYPERLINK("#",""), HYPERLINK(CONCATENATE("#Metadata!", ADDRESS(INDEX($AI$2:$AI$1001,MATCH(ROWS($AG$2:AG317),$AG$2:$AG$1001,0),0), INDEX($AN$1004:$BO$1004,1,MATCH(COLUMNS($AN$1006:BJ1006),$AN$1006:$BO$1006,0)))),"Fix")))</f>
        <v>0</v>
      </c>
      <c r="Y317" s="4">
        <f>IF(OR(INDEX($AH$2:$AH$1001,MATCH(ROWS($AG$2:AG317),$AG$2:$AG$1001,0),1)&gt;=100000,INDEX($AN$1005:$BO$1005,1,MATCH(COLUMNS($AN$1006:BK1006),$AN$1006:$BO$1006,0))&gt;=100000), " ",IF(INDEX($AN$2:$BO$1001,MATCH(ROWS($AG$2:AG317),$AG$2:$AG$1001,0),MATCH(COLUMNS($AN$1006:BK1006),$AN$1006:$BO$1006,0)), HYPERLINK("#",""), HYPERLINK(CONCATENATE("#Metadata!", ADDRESS(INDEX($AI$2:$AI$1001,MATCH(ROWS($AG$2:AG317),$AG$2:$AG$1001,0),0), INDEX($AN$1004:$BO$1004,1,MATCH(COLUMNS($AN$1006:BK1006),$AN$1006:$BO$1006,0)))),"Fix")))</f>
        <v>0</v>
      </c>
      <c r="Z317" s="4">
        <f>IF(OR(INDEX($AH$2:$AH$1001,MATCH(ROWS($AG$2:AG317),$AG$2:$AG$1001,0),1)&gt;=100000,INDEX($AN$1005:$BO$1005,1,MATCH(COLUMNS($AN$1006:BL1006),$AN$1006:$BO$1006,0))&gt;=100000), " ",IF(INDEX($AN$2:$BO$1001,MATCH(ROWS($AG$2:AG317),$AG$2:$AG$1001,0),MATCH(COLUMNS($AN$1006:BL1006),$AN$1006:$BO$1006,0)), HYPERLINK("#",""), HYPERLINK(CONCATENATE("#Metadata!", ADDRESS(INDEX($AI$2:$AI$1001,MATCH(ROWS($AG$2:AG317),$AG$2:$AG$1001,0),0), INDEX($AN$1004:$BO$1004,1,MATCH(COLUMNS($AN$1006:BL1006),$AN$1006:$BO$1006,0)))),"Fix")))</f>
        <v>0</v>
      </c>
      <c r="AA317" s="4">
        <f>IF(OR(INDEX($AH$2:$AH$1001,MATCH(ROWS($AG$2:AG317),$AG$2:$AG$1001,0),1)&gt;=100000,INDEX($AN$1005:$BO$1005,1,MATCH(COLUMNS($AN$1006:BM1006),$AN$1006:$BO$1006,0))&gt;=100000), " ",IF(INDEX($AN$2:$BO$1001,MATCH(ROWS($AG$2:AG317),$AG$2:$AG$1001,0),MATCH(COLUMNS($AN$1006:BM1006),$AN$1006:$BO$1006,0)), HYPERLINK("#",""), HYPERLINK(CONCATENATE("#Metadata!", ADDRESS(INDEX($AI$2:$AI$1001,MATCH(ROWS($AG$2:AG317),$AG$2:$AG$1001,0),0), INDEX($AN$1004:$BO$1004,1,MATCH(COLUMNS($AN$1006:BM1006),$AN$1006:$BO$1006,0)))),"Fix")))</f>
        <v>0</v>
      </c>
      <c r="AB317" s="4">
        <f>IF(OR(INDEX($AH$2:$AH$1001,MATCH(ROWS($AG$2:AG317),$AG$2:$AG$1001,0),1)&gt;=100000,INDEX($AN$1005:$BO$1005,1,MATCH(COLUMNS($AN$1006:BN1006),$AN$1006:$BO$1006,0))&gt;=100000), " ",IF(INDEX($AN$2:$BO$1001,MATCH(ROWS($AG$2:AG317),$AG$2:$AG$1001,0),MATCH(COLUMNS($AN$1006:BN1006),$AN$1006:$BO$1006,0)), HYPERLINK("#",""), HYPERLINK(CONCATENATE("#Metadata!", ADDRESS(INDEX($AI$2:$AI$1001,MATCH(ROWS($AG$2:AG317),$AG$2:$AG$1001,0),0), INDEX($AN$1004:$BO$1004,1,MATCH(COLUMNS($AN$1006:BN1006),$AN$1006:$BO$1006,0)))),"Fix")))</f>
        <v>0</v>
      </c>
      <c r="AC317" s="4">
        <f>IF(OR(INDEX($AH$2:$AH$1001,MATCH(ROWS($AG$2:AG317),$AG$2:$AG$1001,0),1)&gt;=100000,INDEX($AN$1005:$BO$1005,1,MATCH(COLUMNS($AN$1006:BO1006),$AN$1006:$BO$1006,0))&gt;=100000), " ",IF(INDEX($AN$2:$BO$1001,MATCH(ROWS($AG$2:AG317),$AG$2:$AG$1001,0),MATCH(COLUMNS($AN$1006:BO1006),$AN$1006:$BO$1006,0)), HYPERLINK("#",""), HYPERLINK(CONCATENATE("#Metadata!", ADDRESS(INDEX($AI$2:$AI$1001,MATCH(ROWS($AG$2:AG317),$AG$2:$AG$1001,0),0), INDEX($AN$1004:$BO$1004,1,MATCH(COLUMNS($AN$1006:BO1006),$AN$1006:$BO$1006,0)))),"Fix")))</f>
        <v>0</v>
      </c>
      <c r="AG317">
        <v>0</v>
      </c>
      <c r="AH317">
        <v>0</v>
      </c>
      <c r="AI317">
        <v>0</v>
      </c>
      <c r="AJ317">
        <f>IF(AK317,TRUE,AND(AN317:BO317))</f>
        <v>0</v>
      </c>
      <c r="AK317">
        <f>COUNTBLANK(Metadata!B317:AC317)=COLUMNS(Metadata!B317:AC317)</f>
        <v>0</v>
      </c>
      <c r="AL317">
        <v>0</v>
      </c>
      <c r="AN317">
        <f>AND(IF(Metadata!B317="",FALSE,TRUE),COUNTIF(Metadata!B:B, Metadata!B317) = 1,NOT(ISERROR(SUMPRODUCT(SEARCH(MID(Metadata!B317,ROW(INDIRECT("1:"&amp;LEN(Metadata!B317))), 1),"0123456789abcdefghijklmnopqrstuvwxyzABCDEFGHIJKLMNOPQRSTUVWXYZ.")))))</f>
        <v>0</v>
      </c>
      <c r="AO317">
        <f>IF(Metadata!C317="",FALSE,TRUE)</f>
        <v>0</v>
      </c>
      <c r="AP317">
        <f>IF(Metadata!D317="",FALSE,TRUE)</f>
        <v>0</v>
      </c>
      <c r="AQ317">
        <f>OR(AND(IF(Metadata!E317="",FALSE,TRUE),OR(exact(Metadata!E317,"not collected"),exact(Metadata!E317,"not provided"),exact(Metadata!E317,"restricted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R317">
        <f>IF(Metadata!F317="",FALSE,TRUE)</f>
        <v>0</v>
      </c>
      <c r="AS317">
        <f>OR(AND(IF(Metadata!G317="",FALSE,TRUE),OR(exact(Metadata!G317,"not collected"),exact(Metadata!G317,"not provided"))),AND(IF(Metadata!G317="",FALSE,TRUE),OR(exact(Metadata!G317,"TRUE"),exact(Metadata!G317,"FALSE"))))</f>
        <v>0</v>
      </c>
      <c r="AT317">
        <f>OR(AND(IF(Metadata!H317="",FALSE,TRUE),OR(exact(Metadata!H317,"not collected"),exact(Metadata!H317,"not provided"),exact(Metadata!H317,"restricted access"))),AND(IF(Metadata!H317="",FALSE,ISNUMBER(VALUE(Metadata!H317))),Metadata!H317&gt;=-413.0))</f>
        <v>0</v>
      </c>
      <c r="AU317">
        <f>AND(IF(Metadata!I317="",FALSE,TRUE),exact(Metadata!I317,"meters"))</f>
        <v>0</v>
      </c>
      <c r="AV317">
        <f>AND(IF(Metadata!J317="",FALSE,TRUE),OR(exact(Metadata!J317,"Host-associated"),exact(Metadata!J317,"Free-living")))</f>
        <v>0</v>
      </c>
      <c r="AW317">
        <f>AND(IF(Metadata!K317="",FALSE,TRUE),OR(exact(Metadata!K317,"Animal"),exact(Metadata!K317,"Fungus"),exact(Metadata!K317,"Plant"),exact(Metadata!K317,"Saline"),exact(Metadata!K317,"Non-saline")))</f>
        <v>0</v>
      </c>
      <c r="AX317">
        <f>AND(IF(Metadata!L317="",FALSE,TRUE),OR(exact(Metadata!L317,"Plant secretion"),exact(Metadata!L317,"Plant rhizosphere"),exact(Metadata!L317,"Plant surface"),exact(Metadata!L317,"Plant corpus"),exact(Metadata!L317,"Fungus surface"),exact(Metadata!L317,"Fungus corpus"),exact(Metadata!L317,"Animal surface"),exact(Metadata!L317,"Animal proximal gut"),exact(Metadata!L317,"Animal corpus"),exact(Metadata!L317,"Animal distal gut"),exact(Metadata!L317,"Animal secretion"),exact(Metadata!L317,"Sub-surface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Y317">
        <f>IF(Metadata!M317="",FALSE,TRUE)</f>
        <v>0</v>
      </c>
      <c r="AZ317">
        <f>IF(Metadata!N317="",FALSE,TRUE)</f>
        <v>0</v>
      </c>
      <c r="BA317">
        <f>IF(Metadata!O317="",FALSE,TRUE)</f>
        <v>0</v>
      </c>
      <c r="BB317">
        <f>OR(AND(IF(Metadata!P317="",FALSE,TRUE),OR(exact(Metadata!P317,"not collected"),exact(Metadata!P317,"not provided"),exact(Metadata!P317,"restricted access"))),AND(IF(Metadata!P317="",FALSE,TRUE),OR(exact(Metadata!P317,"air"),exact(Metadata!P317,"built environment"),exact(Metadata!P317,"host-associated"),exact(Metadata!P317,"human-associated"),exact(Metadata!P317,"human-skin"),exact(Metadata!P317,"human-oral"),exact(Metadata!P317,"human-gut"),exact(Metadata!P317,"human-vaginal"),exact(Metadata!P317,"microbial mat/biofilm"),exact(Metadata!P317,"misc environment"),exact(Metadata!P317,"plant-associated"),exact(Metadata!P317,"sediment"),exact(Metadata!P317,"soil"),exact(Metadata!P317,"wastewater/sludge"),exact(Metadata!P317,"water"))))</f>
        <v>0</v>
      </c>
      <c r="BC317">
        <f>IF(Metadata!Q317="",FALSE,TRUE)</f>
        <v>0</v>
      </c>
      <c r="BD317">
        <f>IF(Metadata!R317="",FALSE,TRUE)</f>
        <v>0</v>
      </c>
      <c r="BE317">
        <f>OR(AND(IF(Metadata!S317="",FALSE,TRUE),OR(exact(Metadata!S317,"not collected"),exact(Metadata!S317,"not provided"),exact(Metadata!S317,"restricted access"))),AND(IF(Metadata!S317="",FALSE,ISNUMBER(VALUE(Metadata!S317))),Metadata!S317&gt;=-90.00,Metadata!S317&lt;=90.00))</f>
        <v>0</v>
      </c>
      <c r="BF317">
        <f>AND(IF(Metadata!T317="",FALSE,TRUE),exact(Metadata!T317,"Decimal degrees"))</f>
        <v>0</v>
      </c>
      <c r="BG317">
        <f>OR(AND(IF(Metadata!U317="",FALSE,TRUE),OR(exact(Metadata!U317,"not collected"),exact(Metadata!U317,"not provided"),exact(Metadata!U317,"restricted access"))),AND(IF(Metadata!U317="",FALSE,ISNUMBER(VALUE(Metadata!U317))),Metadata!U317&gt;=-180.00,Metadata!U317&lt;=180.00))</f>
        <v>0</v>
      </c>
      <c r="BH317">
        <f>AND(IF(Metadata!V317="",FALSE,TRUE),exact(Metadata!V317,"Decimal degrees"))</f>
        <v>0</v>
      </c>
      <c r="BI317">
        <f>IF(Metadata!W317="",FALSE,TRUE)</f>
        <v>0</v>
      </c>
      <c r="BJ317">
        <f>OR(AND(IF(Metadata!X317="",FALSE,TRUE),OR(exact(Metadata!X317,"not collected"),exact(Metadata!X317,"not provided"),exact(Metadata!X317,"restricted access"))),AND(IF(Metadata!X317="",FALSE,TRUE),OR(exact(Metadata!X317,"TRUE"),exact(Metadata!X317,"FALSE"))))</f>
        <v>0</v>
      </c>
      <c r="BK317">
        <f>AND(IF(Metadata!Y317="",FALSE,TRUE),exact(Metadata!Y317,"other"))</f>
        <v>0</v>
      </c>
      <c r="BL317">
        <f>IF(Metadata!Z317="",FALSE,TRUE)</f>
        <v>0</v>
      </c>
      <c r="BM317">
        <f>OR(AND(IF(Metadata!AA317="",FALSE,TRUE),OR(exact(Metadata!AA317,"not collected"),exact(Metadata!AA317,"not provided"))),AND(IF(Metadata!AA317="",FALSE,IF(ISERROR(INT(Metadata!AA317)),FALSE,INT(Metadata!AA317)=Metadata!AA317)),Metadata!AA317&gt;0))</f>
        <v>0</v>
      </c>
      <c r="BN317">
        <f>AND(IF(Metadata!AB317="",FALSE,TRUE),exact(Metadata!AB317,"Not applicable"))</f>
        <v>0</v>
      </c>
      <c r="BO317">
        <f>IF(Metadata!AC317="",FALSE,TRUE)</f>
        <v>0</v>
      </c>
    </row>
    <row r="318" spans="1:67">
      <c r="A318" s="5">
        <f>IF(B318=" "," ",HYPERLINK(CONCATENATE("#metadata!",ADDRESS(INDEX($AI$2:$AI$1001,MATCH(ROWS($AG$2:AG318),$AG$2:$AG$1001,0),0),1)),INDEX($AL$2:$AL$1001,MATCH(ROWS($AG$2:AG318),$AG$2:$AG$1001,0),0)))</f>
        <v>0</v>
      </c>
      <c r="B318" s="4">
        <f>IF(OR(INDEX($AH$2:$AH$1001,MATCH(ROWS($AG$2:AG318),$AG$2:$AG$1001,0),1)&gt;=100000,INDEX($AN$1005:$BO$1005,1,MATCH(COLUMNS($AN$1006:AN1006),$AN$1006:$BO$1006,0))&gt;=100000), " ",IF(INDEX($AN$2:$BO$1001,MATCH(ROWS($AG$2:AG318),$AG$2:$AG$1001,0),MATCH(COLUMNS($AN$1006:AN1006),$AN$1006:$BO$1006,0)), HYPERLINK("#",""), HYPERLINK(CONCATENATE("#Metadata!", ADDRESS(INDEX($AI$2:$AI$1001,MATCH(ROWS($AG$2:AG318),$AG$2:$AG$1001,0),0), INDEX($AN$1004:$BO$1004,1,MATCH(COLUMNS($AN$1006:AN1006),$AN$1006:$BO$1006,0)))),"Fix")))</f>
        <v>0</v>
      </c>
      <c r="C318" s="4">
        <f>IF(OR(INDEX($AH$2:$AH$1001,MATCH(ROWS($AG$2:AG318),$AG$2:$AG$1001,0),1)&gt;=100000,INDEX($AN$1005:$BO$1005,1,MATCH(COLUMNS($AN$1006:AO1006),$AN$1006:$BO$1006,0))&gt;=100000), " ",IF(INDEX($AN$2:$BO$1001,MATCH(ROWS($AG$2:AG318),$AG$2:$AG$1001,0),MATCH(COLUMNS($AN$1006:AO1006),$AN$1006:$BO$1006,0)), HYPERLINK("#",""), HYPERLINK(CONCATENATE("#Metadata!", ADDRESS(INDEX($AI$2:$AI$1001,MATCH(ROWS($AG$2:AG318),$AG$2:$AG$1001,0),0), INDEX($AN$1004:$BO$1004,1,MATCH(COLUMNS($AN$1006:AO1006),$AN$1006:$BO$1006,0)))),"Fix")))</f>
        <v>0</v>
      </c>
      <c r="D318" s="4">
        <f>IF(OR(INDEX($AH$2:$AH$1001,MATCH(ROWS($AG$2:AG318),$AG$2:$AG$1001,0),1)&gt;=100000,INDEX($AN$1005:$BO$1005,1,MATCH(COLUMNS($AN$1006:AP1006),$AN$1006:$BO$1006,0))&gt;=100000), " ",IF(INDEX($AN$2:$BO$1001,MATCH(ROWS($AG$2:AG318),$AG$2:$AG$1001,0),MATCH(COLUMNS($AN$1006:AP1006),$AN$1006:$BO$1006,0)), HYPERLINK("#",""), HYPERLINK(CONCATENATE("#Metadata!", ADDRESS(INDEX($AI$2:$AI$1001,MATCH(ROWS($AG$2:AG318),$AG$2:$AG$1001,0),0), INDEX($AN$1004:$BO$1004,1,MATCH(COLUMNS($AN$1006:AP1006),$AN$1006:$BO$1006,0)))),"Fix")))</f>
        <v>0</v>
      </c>
      <c r="E318" s="4">
        <f>IF(OR(INDEX($AH$2:$AH$1001,MATCH(ROWS($AG$2:AG318),$AG$2:$AG$1001,0),1)&gt;=100000,INDEX($AN$1005:$BO$1005,1,MATCH(COLUMNS($AN$1006:AQ1006),$AN$1006:$BO$1006,0))&gt;=100000), " ",IF(INDEX($AN$2:$BO$1001,MATCH(ROWS($AG$2:AG318),$AG$2:$AG$1001,0),MATCH(COLUMNS($AN$1006:AQ1006),$AN$1006:$BO$1006,0)), HYPERLINK("#",""), HYPERLINK(CONCATENATE("#Metadata!", ADDRESS(INDEX($AI$2:$AI$1001,MATCH(ROWS($AG$2:AG318),$AG$2:$AG$1001,0),0), INDEX($AN$1004:$BO$1004,1,MATCH(COLUMNS($AN$1006:AQ1006),$AN$1006:$BO$1006,0)))),"Fix")))</f>
        <v>0</v>
      </c>
      <c r="F318" s="4">
        <f>IF(OR(INDEX($AH$2:$AH$1001,MATCH(ROWS($AG$2:AG318),$AG$2:$AG$1001,0),1)&gt;=100000,INDEX($AN$1005:$BO$1005,1,MATCH(COLUMNS($AN$1006:AR1006),$AN$1006:$BO$1006,0))&gt;=100000), " ",IF(INDEX($AN$2:$BO$1001,MATCH(ROWS($AG$2:AG318),$AG$2:$AG$1001,0),MATCH(COLUMNS($AN$1006:AR1006),$AN$1006:$BO$1006,0)), HYPERLINK("#",""), HYPERLINK(CONCATENATE("#Metadata!", ADDRESS(INDEX($AI$2:$AI$1001,MATCH(ROWS($AG$2:AG318),$AG$2:$AG$1001,0),0), INDEX($AN$1004:$BO$1004,1,MATCH(COLUMNS($AN$1006:AR1006),$AN$1006:$BO$1006,0)))),"Fix")))</f>
        <v>0</v>
      </c>
      <c r="G318" s="4">
        <f>IF(OR(INDEX($AH$2:$AH$1001,MATCH(ROWS($AG$2:AG318),$AG$2:$AG$1001,0),1)&gt;=100000,INDEX($AN$1005:$BO$1005,1,MATCH(COLUMNS($AN$1006:AS1006),$AN$1006:$BO$1006,0))&gt;=100000), " ",IF(INDEX($AN$2:$BO$1001,MATCH(ROWS($AG$2:AG318),$AG$2:$AG$1001,0),MATCH(COLUMNS($AN$1006:AS1006),$AN$1006:$BO$1006,0)), HYPERLINK("#",""), HYPERLINK(CONCATENATE("#Metadata!", ADDRESS(INDEX($AI$2:$AI$1001,MATCH(ROWS($AG$2:AG318),$AG$2:$AG$1001,0),0), INDEX($AN$1004:$BO$1004,1,MATCH(COLUMNS($AN$1006:AS1006),$AN$1006:$BO$1006,0)))),"Fix")))</f>
        <v>0</v>
      </c>
      <c r="H318" s="4">
        <f>IF(OR(INDEX($AH$2:$AH$1001,MATCH(ROWS($AG$2:AG318),$AG$2:$AG$1001,0),1)&gt;=100000,INDEX($AN$1005:$BO$1005,1,MATCH(COLUMNS($AN$1006:AT1006),$AN$1006:$BO$1006,0))&gt;=100000), " ",IF(INDEX($AN$2:$BO$1001,MATCH(ROWS($AG$2:AG318),$AG$2:$AG$1001,0),MATCH(COLUMNS($AN$1006:AT1006),$AN$1006:$BO$1006,0)), HYPERLINK("#",""), HYPERLINK(CONCATENATE("#Metadata!", ADDRESS(INDEX($AI$2:$AI$1001,MATCH(ROWS($AG$2:AG318),$AG$2:$AG$1001,0),0), INDEX($AN$1004:$BO$1004,1,MATCH(COLUMNS($AN$1006:AT1006),$AN$1006:$BO$1006,0)))),"Fix")))</f>
        <v>0</v>
      </c>
      <c r="I318" s="4">
        <f>IF(OR(INDEX($AH$2:$AH$1001,MATCH(ROWS($AG$2:AG318),$AG$2:$AG$1001,0),1)&gt;=100000,INDEX($AN$1005:$BO$1005,1,MATCH(COLUMNS($AN$1006:AU1006),$AN$1006:$BO$1006,0))&gt;=100000), " ",IF(INDEX($AN$2:$BO$1001,MATCH(ROWS($AG$2:AG318),$AG$2:$AG$1001,0),MATCH(COLUMNS($AN$1006:AU1006),$AN$1006:$BO$1006,0)), HYPERLINK("#",""), HYPERLINK(CONCATENATE("#Metadata!", ADDRESS(INDEX($AI$2:$AI$1001,MATCH(ROWS($AG$2:AG318),$AG$2:$AG$1001,0),0), INDEX($AN$1004:$BO$1004,1,MATCH(COLUMNS($AN$1006:AU1006),$AN$1006:$BO$1006,0)))),"Fix")))</f>
        <v>0</v>
      </c>
      <c r="J318" s="4">
        <f>IF(OR(INDEX($AH$2:$AH$1001,MATCH(ROWS($AG$2:AG318),$AG$2:$AG$1001,0),1)&gt;=100000,INDEX($AN$1005:$BO$1005,1,MATCH(COLUMNS($AN$1006:AV1006),$AN$1006:$BO$1006,0))&gt;=100000), " ",IF(INDEX($AN$2:$BO$1001,MATCH(ROWS($AG$2:AG318),$AG$2:$AG$1001,0),MATCH(COLUMNS($AN$1006:AV1006),$AN$1006:$BO$1006,0)), HYPERLINK("#",""), HYPERLINK(CONCATENATE("#Metadata!", ADDRESS(INDEX($AI$2:$AI$1001,MATCH(ROWS($AG$2:AG318),$AG$2:$AG$1001,0),0), INDEX($AN$1004:$BO$1004,1,MATCH(COLUMNS($AN$1006:AV1006),$AN$1006:$BO$1006,0)))),"Fix")))</f>
        <v>0</v>
      </c>
      <c r="K318" s="4">
        <f>IF(OR(INDEX($AH$2:$AH$1001,MATCH(ROWS($AG$2:AG318),$AG$2:$AG$1001,0),1)&gt;=100000,INDEX($AN$1005:$BO$1005,1,MATCH(COLUMNS($AN$1006:AW1006),$AN$1006:$BO$1006,0))&gt;=100000), " ",IF(INDEX($AN$2:$BO$1001,MATCH(ROWS($AG$2:AG318),$AG$2:$AG$1001,0),MATCH(COLUMNS($AN$1006:AW1006),$AN$1006:$BO$1006,0)), HYPERLINK("#",""), HYPERLINK(CONCATENATE("#Metadata!", ADDRESS(INDEX($AI$2:$AI$1001,MATCH(ROWS($AG$2:AG318),$AG$2:$AG$1001,0),0), INDEX($AN$1004:$BO$1004,1,MATCH(COLUMNS($AN$1006:AW1006),$AN$1006:$BO$1006,0)))),"Fix")))</f>
        <v>0</v>
      </c>
      <c r="L318" s="4">
        <f>IF(OR(INDEX($AH$2:$AH$1001,MATCH(ROWS($AG$2:AG318),$AG$2:$AG$1001,0),1)&gt;=100000,INDEX($AN$1005:$BO$1005,1,MATCH(COLUMNS($AN$1006:AX1006),$AN$1006:$BO$1006,0))&gt;=100000), " ",IF(INDEX($AN$2:$BO$1001,MATCH(ROWS($AG$2:AG318),$AG$2:$AG$1001,0),MATCH(COLUMNS($AN$1006:AX1006),$AN$1006:$BO$1006,0)), HYPERLINK("#",""), HYPERLINK(CONCATENATE("#Metadata!", ADDRESS(INDEX($AI$2:$AI$1001,MATCH(ROWS($AG$2:AG318),$AG$2:$AG$1001,0),0), INDEX($AN$1004:$BO$1004,1,MATCH(COLUMNS($AN$1006:AX1006),$AN$1006:$BO$1006,0)))),"Fix")))</f>
        <v>0</v>
      </c>
      <c r="M318" s="4">
        <f>IF(OR(INDEX($AH$2:$AH$1001,MATCH(ROWS($AG$2:AG318),$AG$2:$AG$1001,0),1)&gt;=100000,INDEX($AN$1005:$BO$1005,1,MATCH(COLUMNS($AN$1006:AY1006),$AN$1006:$BO$1006,0))&gt;=100000), " ",IF(INDEX($AN$2:$BO$1001,MATCH(ROWS($AG$2:AG318),$AG$2:$AG$1001,0),MATCH(COLUMNS($AN$1006:AY1006),$AN$1006:$BO$1006,0)), HYPERLINK("#",""), HYPERLINK(CONCATENATE("#Metadata!", ADDRESS(INDEX($AI$2:$AI$1001,MATCH(ROWS($AG$2:AG318),$AG$2:$AG$1001,0),0), INDEX($AN$1004:$BO$1004,1,MATCH(COLUMNS($AN$1006:AY1006),$AN$1006:$BO$1006,0)))),"Fix")))</f>
        <v>0</v>
      </c>
      <c r="N318" s="4">
        <f>IF(OR(INDEX($AH$2:$AH$1001,MATCH(ROWS($AG$2:AG318),$AG$2:$AG$1001,0),1)&gt;=100000,INDEX($AN$1005:$BO$1005,1,MATCH(COLUMNS($AN$1006:AZ1006),$AN$1006:$BO$1006,0))&gt;=100000), " ",IF(INDEX($AN$2:$BO$1001,MATCH(ROWS($AG$2:AG318),$AG$2:$AG$1001,0),MATCH(COLUMNS($AN$1006:AZ1006),$AN$1006:$BO$1006,0)), HYPERLINK("#",""), HYPERLINK(CONCATENATE("#Metadata!", ADDRESS(INDEX($AI$2:$AI$1001,MATCH(ROWS($AG$2:AG318),$AG$2:$AG$1001,0),0), INDEX($AN$1004:$BO$1004,1,MATCH(COLUMNS($AN$1006:AZ1006),$AN$1006:$BO$1006,0)))),"Fix")))</f>
        <v>0</v>
      </c>
      <c r="O318" s="4">
        <f>IF(OR(INDEX($AH$2:$AH$1001,MATCH(ROWS($AG$2:AG318),$AG$2:$AG$1001,0),1)&gt;=100000,INDEX($AN$1005:$BO$1005,1,MATCH(COLUMNS($AN$1006:BA1006),$AN$1006:$BO$1006,0))&gt;=100000), " ",IF(INDEX($AN$2:$BO$1001,MATCH(ROWS($AG$2:AG318),$AG$2:$AG$1001,0),MATCH(COLUMNS($AN$1006:BA1006),$AN$1006:$BO$1006,0)), HYPERLINK("#",""), HYPERLINK(CONCATENATE("#Metadata!", ADDRESS(INDEX($AI$2:$AI$1001,MATCH(ROWS($AG$2:AG318),$AG$2:$AG$1001,0),0), INDEX($AN$1004:$BO$1004,1,MATCH(COLUMNS($AN$1006:BA1006),$AN$1006:$BO$1006,0)))),"Fix")))</f>
        <v>0</v>
      </c>
      <c r="P318" s="4">
        <f>IF(OR(INDEX($AH$2:$AH$1001,MATCH(ROWS($AG$2:AG318),$AG$2:$AG$1001,0),1)&gt;=100000,INDEX($AN$1005:$BO$1005,1,MATCH(COLUMNS($AN$1006:BB1006),$AN$1006:$BO$1006,0))&gt;=100000), " ",IF(INDEX($AN$2:$BO$1001,MATCH(ROWS($AG$2:AG318),$AG$2:$AG$1001,0),MATCH(COLUMNS($AN$1006:BB1006),$AN$1006:$BO$1006,0)), HYPERLINK("#",""), HYPERLINK(CONCATENATE("#Metadata!", ADDRESS(INDEX($AI$2:$AI$1001,MATCH(ROWS($AG$2:AG318),$AG$2:$AG$1001,0),0), INDEX($AN$1004:$BO$1004,1,MATCH(COLUMNS($AN$1006:BB1006),$AN$1006:$BO$1006,0)))),"Fix")))</f>
        <v>0</v>
      </c>
      <c r="Q318" s="4">
        <f>IF(OR(INDEX($AH$2:$AH$1001,MATCH(ROWS($AG$2:AG318),$AG$2:$AG$1001,0),1)&gt;=100000,INDEX($AN$1005:$BO$1005,1,MATCH(COLUMNS($AN$1006:BC1006),$AN$1006:$BO$1006,0))&gt;=100000), " ",IF(INDEX($AN$2:$BO$1001,MATCH(ROWS($AG$2:AG318),$AG$2:$AG$1001,0),MATCH(COLUMNS($AN$1006:BC1006),$AN$1006:$BO$1006,0)), HYPERLINK("#",""), HYPERLINK(CONCATENATE("#Metadata!", ADDRESS(INDEX($AI$2:$AI$1001,MATCH(ROWS($AG$2:AG318),$AG$2:$AG$1001,0),0), INDEX($AN$1004:$BO$1004,1,MATCH(COLUMNS($AN$1006:BC1006),$AN$1006:$BO$1006,0)))),"Fix")))</f>
        <v>0</v>
      </c>
      <c r="R318" s="4">
        <f>IF(OR(INDEX($AH$2:$AH$1001,MATCH(ROWS($AG$2:AG318),$AG$2:$AG$1001,0),1)&gt;=100000,INDEX($AN$1005:$BO$1005,1,MATCH(COLUMNS($AN$1006:BD1006),$AN$1006:$BO$1006,0))&gt;=100000), " ",IF(INDEX($AN$2:$BO$1001,MATCH(ROWS($AG$2:AG318),$AG$2:$AG$1001,0),MATCH(COLUMNS($AN$1006:BD1006),$AN$1006:$BO$1006,0)), HYPERLINK("#",""), HYPERLINK(CONCATENATE("#Metadata!", ADDRESS(INDEX($AI$2:$AI$1001,MATCH(ROWS($AG$2:AG318),$AG$2:$AG$1001,0),0), INDEX($AN$1004:$BO$1004,1,MATCH(COLUMNS($AN$1006:BD1006),$AN$1006:$BO$1006,0)))),"Fix")))</f>
        <v>0</v>
      </c>
      <c r="S318" s="4">
        <f>IF(OR(INDEX($AH$2:$AH$1001,MATCH(ROWS($AG$2:AG318),$AG$2:$AG$1001,0),1)&gt;=100000,INDEX($AN$1005:$BO$1005,1,MATCH(COLUMNS($AN$1006:BE1006),$AN$1006:$BO$1006,0))&gt;=100000), " ",IF(INDEX($AN$2:$BO$1001,MATCH(ROWS($AG$2:AG318),$AG$2:$AG$1001,0),MATCH(COLUMNS($AN$1006:BE1006),$AN$1006:$BO$1006,0)), HYPERLINK("#",""), HYPERLINK(CONCATENATE("#Metadata!", ADDRESS(INDEX($AI$2:$AI$1001,MATCH(ROWS($AG$2:AG318),$AG$2:$AG$1001,0),0), INDEX($AN$1004:$BO$1004,1,MATCH(COLUMNS($AN$1006:BE1006),$AN$1006:$BO$1006,0)))),"Fix")))</f>
        <v>0</v>
      </c>
      <c r="T318" s="4">
        <f>IF(OR(INDEX($AH$2:$AH$1001,MATCH(ROWS($AG$2:AG318),$AG$2:$AG$1001,0),1)&gt;=100000,INDEX($AN$1005:$BO$1005,1,MATCH(COLUMNS($AN$1006:BF1006),$AN$1006:$BO$1006,0))&gt;=100000), " ",IF(INDEX($AN$2:$BO$1001,MATCH(ROWS($AG$2:AG318),$AG$2:$AG$1001,0),MATCH(COLUMNS($AN$1006:BF1006),$AN$1006:$BO$1006,0)), HYPERLINK("#",""), HYPERLINK(CONCATENATE("#Metadata!", ADDRESS(INDEX($AI$2:$AI$1001,MATCH(ROWS($AG$2:AG318),$AG$2:$AG$1001,0),0), INDEX($AN$1004:$BO$1004,1,MATCH(COLUMNS($AN$1006:BF1006),$AN$1006:$BO$1006,0)))),"Fix")))</f>
        <v>0</v>
      </c>
      <c r="U318" s="4">
        <f>IF(OR(INDEX($AH$2:$AH$1001,MATCH(ROWS($AG$2:AG318),$AG$2:$AG$1001,0),1)&gt;=100000,INDEX($AN$1005:$BO$1005,1,MATCH(COLUMNS($AN$1006:BG1006),$AN$1006:$BO$1006,0))&gt;=100000), " ",IF(INDEX($AN$2:$BO$1001,MATCH(ROWS($AG$2:AG318),$AG$2:$AG$1001,0),MATCH(COLUMNS($AN$1006:BG1006),$AN$1006:$BO$1006,0)), HYPERLINK("#",""), HYPERLINK(CONCATENATE("#Metadata!", ADDRESS(INDEX($AI$2:$AI$1001,MATCH(ROWS($AG$2:AG318),$AG$2:$AG$1001,0),0), INDEX($AN$1004:$BO$1004,1,MATCH(COLUMNS($AN$1006:BG1006),$AN$1006:$BO$1006,0)))),"Fix")))</f>
        <v>0</v>
      </c>
      <c r="V318" s="4">
        <f>IF(OR(INDEX($AH$2:$AH$1001,MATCH(ROWS($AG$2:AG318),$AG$2:$AG$1001,0),1)&gt;=100000,INDEX($AN$1005:$BO$1005,1,MATCH(COLUMNS($AN$1006:BH1006),$AN$1006:$BO$1006,0))&gt;=100000), " ",IF(INDEX($AN$2:$BO$1001,MATCH(ROWS($AG$2:AG318),$AG$2:$AG$1001,0),MATCH(COLUMNS($AN$1006:BH1006),$AN$1006:$BO$1006,0)), HYPERLINK("#",""), HYPERLINK(CONCATENATE("#Metadata!", ADDRESS(INDEX($AI$2:$AI$1001,MATCH(ROWS($AG$2:AG318),$AG$2:$AG$1001,0),0), INDEX($AN$1004:$BO$1004,1,MATCH(COLUMNS($AN$1006:BH1006),$AN$1006:$BO$1006,0)))),"Fix")))</f>
        <v>0</v>
      </c>
      <c r="W318" s="4">
        <f>IF(OR(INDEX($AH$2:$AH$1001,MATCH(ROWS($AG$2:AG318),$AG$2:$AG$1001,0),1)&gt;=100000,INDEX($AN$1005:$BO$1005,1,MATCH(COLUMNS($AN$1006:BI1006),$AN$1006:$BO$1006,0))&gt;=100000), " ",IF(INDEX($AN$2:$BO$1001,MATCH(ROWS($AG$2:AG318),$AG$2:$AG$1001,0),MATCH(COLUMNS($AN$1006:BI1006),$AN$1006:$BO$1006,0)), HYPERLINK("#",""), HYPERLINK(CONCATENATE("#Metadata!", ADDRESS(INDEX($AI$2:$AI$1001,MATCH(ROWS($AG$2:AG318),$AG$2:$AG$1001,0),0), INDEX($AN$1004:$BO$1004,1,MATCH(COLUMNS($AN$1006:BI1006),$AN$1006:$BO$1006,0)))),"Fix")))</f>
        <v>0</v>
      </c>
      <c r="X318" s="4">
        <f>IF(OR(INDEX($AH$2:$AH$1001,MATCH(ROWS($AG$2:AG318),$AG$2:$AG$1001,0),1)&gt;=100000,INDEX($AN$1005:$BO$1005,1,MATCH(COLUMNS($AN$1006:BJ1006),$AN$1006:$BO$1006,0))&gt;=100000), " ",IF(INDEX($AN$2:$BO$1001,MATCH(ROWS($AG$2:AG318),$AG$2:$AG$1001,0),MATCH(COLUMNS($AN$1006:BJ1006),$AN$1006:$BO$1006,0)), HYPERLINK("#",""), HYPERLINK(CONCATENATE("#Metadata!", ADDRESS(INDEX($AI$2:$AI$1001,MATCH(ROWS($AG$2:AG318),$AG$2:$AG$1001,0),0), INDEX($AN$1004:$BO$1004,1,MATCH(COLUMNS($AN$1006:BJ1006),$AN$1006:$BO$1006,0)))),"Fix")))</f>
        <v>0</v>
      </c>
      <c r="Y318" s="4">
        <f>IF(OR(INDEX($AH$2:$AH$1001,MATCH(ROWS($AG$2:AG318),$AG$2:$AG$1001,0),1)&gt;=100000,INDEX($AN$1005:$BO$1005,1,MATCH(COLUMNS($AN$1006:BK1006),$AN$1006:$BO$1006,0))&gt;=100000), " ",IF(INDEX($AN$2:$BO$1001,MATCH(ROWS($AG$2:AG318),$AG$2:$AG$1001,0),MATCH(COLUMNS($AN$1006:BK1006),$AN$1006:$BO$1006,0)), HYPERLINK("#",""), HYPERLINK(CONCATENATE("#Metadata!", ADDRESS(INDEX($AI$2:$AI$1001,MATCH(ROWS($AG$2:AG318),$AG$2:$AG$1001,0),0), INDEX($AN$1004:$BO$1004,1,MATCH(COLUMNS($AN$1006:BK1006),$AN$1006:$BO$1006,0)))),"Fix")))</f>
        <v>0</v>
      </c>
      <c r="Z318" s="4">
        <f>IF(OR(INDEX($AH$2:$AH$1001,MATCH(ROWS($AG$2:AG318),$AG$2:$AG$1001,0),1)&gt;=100000,INDEX($AN$1005:$BO$1005,1,MATCH(COLUMNS($AN$1006:BL1006),$AN$1006:$BO$1006,0))&gt;=100000), " ",IF(INDEX($AN$2:$BO$1001,MATCH(ROWS($AG$2:AG318),$AG$2:$AG$1001,0),MATCH(COLUMNS($AN$1006:BL1006),$AN$1006:$BO$1006,0)), HYPERLINK("#",""), HYPERLINK(CONCATENATE("#Metadata!", ADDRESS(INDEX($AI$2:$AI$1001,MATCH(ROWS($AG$2:AG318),$AG$2:$AG$1001,0),0), INDEX($AN$1004:$BO$1004,1,MATCH(COLUMNS($AN$1006:BL1006),$AN$1006:$BO$1006,0)))),"Fix")))</f>
        <v>0</v>
      </c>
      <c r="AA318" s="4">
        <f>IF(OR(INDEX($AH$2:$AH$1001,MATCH(ROWS($AG$2:AG318),$AG$2:$AG$1001,0),1)&gt;=100000,INDEX($AN$1005:$BO$1005,1,MATCH(COLUMNS($AN$1006:BM1006),$AN$1006:$BO$1006,0))&gt;=100000), " ",IF(INDEX($AN$2:$BO$1001,MATCH(ROWS($AG$2:AG318),$AG$2:$AG$1001,0),MATCH(COLUMNS($AN$1006:BM1006),$AN$1006:$BO$1006,0)), HYPERLINK("#",""), HYPERLINK(CONCATENATE("#Metadata!", ADDRESS(INDEX($AI$2:$AI$1001,MATCH(ROWS($AG$2:AG318),$AG$2:$AG$1001,0),0), INDEX($AN$1004:$BO$1004,1,MATCH(COLUMNS($AN$1006:BM1006),$AN$1006:$BO$1006,0)))),"Fix")))</f>
        <v>0</v>
      </c>
      <c r="AB318" s="4">
        <f>IF(OR(INDEX($AH$2:$AH$1001,MATCH(ROWS($AG$2:AG318),$AG$2:$AG$1001,0),1)&gt;=100000,INDEX($AN$1005:$BO$1005,1,MATCH(COLUMNS($AN$1006:BN1006),$AN$1006:$BO$1006,0))&gt;=100000), " ",IF(INDEX($AN$2:$BO$1001,MATCH(ROWS($AG$2:AG318),$AG$2:$AG$1001,0),MATCH(COLUMNS($AN$1006:BN1006),$AN$1006:$BO$1006,0)), HYPERLINK("#",""), HYPERLINK(CONCATENATE("#Metadata!", ADDRESS(INDEX($AI$2:$AI$1001,MATCH(ROWS($AG$2:AG318),$AG$2:$AG$1001,0),0), INDEX($AN$1004:$BO$1004,1,MATCH(COLUMNS($AN$1006:BN1006),$AN$1006:$BO$1006,0)))),"Fix")))</f>
        <v>0</v>
      </c>
      <c r="AC318" s="4">
        <f>IF(OR(INDEX($AH$2:$AH$1001,MATCH(ROWS($AG$2:AG318),$AG$2:$AG$1001,0),1)&gt;=100000,INDEX($AN$1005:$BO$1005,1,MATCH(COLUMNS($AN$1006:BO1006),$AN$1006:$BO$1006,0))&gt;=100000), " ",IF(INDEX($AN$2:$BO$1001,MATCH(ROWS($AG$2:AG318),$AG$2:$AG$1001,0),MATCH(COLUMNS($AN$1006:BO1006),$AN$1006:$BO$1006,0)), HYPERLINK("#",""), HYPERLINK(CONCATENATE("#Metadata!", ADDRESS(INDEX($AI$2:$AI$1001,MATCH(ROWS($AG$2:AG318),$AG$2:$AG$1001,0),0), INDEX($AN$1004:$BO$1004,1,MATCH(COLUMNS($AN$1006:BO1006),$AN$1006:$BO$1006,0)))),"Fix")))</f>
        <v>0</v>
      </c>
      <c r="AG318">
        <v>0</v>
      </c>
      <c r="AH318">
        <v>0</v>
      </c>
      <c r="AI318">
        <v>0</v>
      </c>
      <c r="AJ318">
        <f>IF(AK318,TRUE,AND(AN318:BO318))</f>
        <v>0</v>
      </c>
      <c r="AK318">
        <f>COUNTBLANK(Metadata!B318:AC318)=COLUMNS(Metadata!B318:AC318)</f>
        <v>0</v>
      </c>
      <c r="AL318">
        <v>0</v>
      </c>
      <c r="AN318">
        <f>AND(IF(Metadata!B318="",FALSE,TRUE),COUNTIF(Metadata!B:B, Metadata!B318) = 1,NOT(ISERROR(SUMPRODUCT(SEARCH(MID(Metadata!B318,ROW(INDIRECT("1:"&amp;LEN(Metadata!B318))), 1),"0123456789abcdefghijklmnopqrstuvwxyzABCDEFGHIJKLMNOPQRSTUVWXYZ.")))))</f>
        <v>0</v>
      </c>
      <c r="AO318">
        <f>IF(Metadata!C318="",FALSE,TRUE)</f>
        <v>0</v>
      </c>
      <c r="AP318">
        <f>IF(Metadata!D318="",FALSE,TRUE)</f>
        <v>0</v>
      </c>
      <c r="AQ318">
        <f>OR(AND(IF(Metadata!E318="",FALSE,TRUE),OR(exact(Metadata!E318,"not collected"),exact(Metadata!E318,"not provided"),exact(Metadata!E318,"restricted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R318">
        <f>IF(Metadata!F318="",FALSE,TRUE)</f>
        <v>0</v>
      </c>
      <c r="AS318">
        <f>OR(AND(IF(Metadata!G318="",FALSE,TRUE),OR(exact(Metadata!G318,"not collected"),exact(Metadata!G318,"not provided"))),AND(IF(Metadata!G318="",FALSE,TRUE),OR(exact(Metadata!G318,"TRUE"),exact(Metadata!G318,"FALSE"))))</f>
        <v>0</v>
      </c>
      <c r="AT318">
        <f>OR(AND(IF(Metadata!H318="",FALSE,TRUE),OR(exact(Metadata!H318,"not collected"),exact(Metadata!H318,"not provided"),exact(Metadata!H318,"restricted access"))),AND(IF(Metadata!H318="",FALSE,ISNUMBER(VALUE(Metadata!H318))),Metadata!H318&gt;=-413.0))</f>
        <v>0</v>
      </c>
      <c r="AU318">
        <f>AND(IF(Metadata!I318="",FALSE,TRUE),exact(Metadata!I318,"meters"))</f>
        <v>0</v>
      </c>
      <c r="AV318">
        <f>AND(IF(Metadata!J318="",FALSE,TRUE),OR(exact(Metadata!J318,"Host-associated"),exact(Metadata!J318,"Free-living")))</f>
        <v>0</v>
      </c>
      <c r="AW318">
        <f>AND(IF(Metadata!K318="",FALSE,TRUE),OR(exact(Metadata!K318,"Animal"),exact(Metadata!K318,"Fungus"),exact(Metadata!K318,"Plant"),exact(Metadata!K318,"Saline"),exact(Metadata!K318,"Non-saline")))</f>
        <v>0</v>
      </c>
      <c r="AX318">
        <f>AND(IF(Metadata!L318="",FALSE,TRUE),OR(exact(Metadata!L318,"Plant secretion"),exact(Metadata!L318,"Plant rhizosphere"),exact(Metadata!L318,"Plant surface"),exact(Metadata!L318,"Plant corpus"),exact(Metadata!L318,"Fungus surface"),exact(Metadata!L318,"Fungus corpus"),exact(Metadata!L318,"Animal surface"),exact(Metadata!L318,"Animal proximal gut"),exact(Metadata!L318,"Animal corpus"),exact(Metadata!L318,"Animal distal gut"),exact(Metadata!L318,"Animal secretion"),exact(Metadata!L318,"Sub-surface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Y318">
        <f>IF(Metadata!M318="",FALSE,TRUE)</f>
        <v>0</v>
      </c>
      <c r="AZ318">
        <f>IF(Metadata!N318="",FALSE,TRUE)</f>
        <v>0</v>
      </c>
      <c r="BA318">
        <f>IF(Metadata!O318="",FALSE,TRUE)</f>
        <v>0</v>
      </c>
      <c r="BB318">
        <f>OR(AND(IF(Metadata!P318="",FALSE,TRUE),OR(exact(Metadata!P318,"not collected"),exact(Metadata!P318,"not provided"),exact(Metadata!P318,"restricted access"))),AND(IF(Metadata!P318="",FALSE,TRUE),OR(exact(Metadata!P318,"air"),exact(Metadata!P318,"built environment"),exact(Metadata!P318,"host-associated"),exact(Metadata!P318,"human-associated"),exact(Metadata!P318,"human-skin"),exact(Metadata!P318,"human-oral"),exact(Metadata!P318,"human-gut"),exact(Metadata!P318,"human-vaginal"),exact(Metadata!P318,"microbial mat/biofilm"),exact(Metadata!P318,"misc environment"),exact(Metadata!P318,"plant-associated"),exact(Metadata!P318,"sediment"),exact(Metadata!P318,"soil"),exact(Metadata!P318,"wastewater/sludge"),exact(Metadata!P318,"water"))))</f>
        <v>0</v>
      </c>
      <c r="BC318">
        <f>IF(Metadata!Q318="",FALSE,TRUE)</f>
        <v>0</v>
      </c>
      <c r="BD318">
        <f>IF(Metadata!R318="",FALSE,TRUE)</f>
        <v>0</v>
      </c>
      <c r="BE318">
        <f>OR(AND(IF(Metadata!S318="",FALSE,TRUE),OR(exact(Metadata!S318,"not collected"),exact(Metadata!S318,"not provided"),exact(Metadata!S318,"restricted access"))),AND(IF(Metadata!S318="",FALSE,ISNUMBER(VALUE(Metadata!S318))),Metadata!S318&gt;=-90.00,Metadata!S318&lt;=90.00))</f>
        <v>0</v>
      </c>
      <c r="BF318">
        <f>AND(IF(Metadata!T318="",FALSE,TRUE),exact(Metadata!T318,"Decimal degrees"))</f>
        <v>0</v>
      </c>
      <c r="BG318">
        <f>OR(AND(IF(Metadata!U318="",FALSE,TRUE),OR(exact(Metadata!U318,"not collected"),exact(Metadata!U318,"not provided"),exact(Metadata!U318,"restricted access"))),AND(IF(Metadata!U318="",FALSE,ISNUMBER(VALUE(Metadata!U318))),Metadata!U318&gt;=-180.00,Metadata!U318&lt;=180.00))</f>
        <v>0</v>
      </c>
      <c r="BH318">
        <f>AND(IF(Metadata!V318="",FALSE,TRUE),exact(Metadata!V318,"Decimal degrees"))</f>
        <v>0</v>
      </c>
      <c r="BI318">
        <f>IF(Metadata!W318="",FALSE,TRUE)</f>
        <v>0</v>
      </c>
      <c r="BJ318">
        <f>OR(AND(IF(Metadata!X318="",FALSE,TRUE),OR(exact(Metadata!X318,"not collected"),exact(Metadata!X318,"not provided"),exact(Metadata!X318,"restricted access"))),AND(IF(Metadata!X318="",FALSE,TRUE),OR(exact(Metadata!X318,"TRUE"),exact(Metadata!X318,"FALSE"))))</f>
        <v>0</v>
      </c>
      <c r="BK318">
        <f>AND(IF(Metadata!Y318="",FALSE,TRUE),exact(Metadata!Y318,"other"))</f>
        <v>0</v>
      </c>
      <c r="BL318">
        <f>IF(Metadata!Z318="",FALSE,TRUE)</f>
        <v>0</v>
      </c>
      <c r="BM318">
        <f>OR(AND(IF(Metadata!AA318="",FALSE,TRUE),OR(exact(Metadata!AA318,"not collected"),exact(Metadata!AA318,"not provided"))),AND(IF(Metadata!AA318="",FALSE,IF(ISERROR(INT(Metadata!AA318)),FALSE,INT(Metadata!AA318)=Metadata!AA318)),Metadata!AA318&gt;0))</f>
        <v>0</v>
      </c>
      <c r="BN318">
        <f>AND(IF(Metadata!AB318="",FALSE,TRUE),exact(Metadata!AB318,"Not applicable"))</f>
        <v>0</v>
      </c>
      <c r="BO318">
        <f>IF(Metadata!AC318="",FALSE,TRUE)</f>
        <v>0</v>
      </c>
    </row>
    <row r="319" spans="1:67">
      <c r="A319" s="5">
        <f>IF(B319=" "," ",HYPERLINK(CONCATENATE("#metadata!",ADDRESS(INDEX($AI$2:$AI$1001,MATCH(ROWS($AG$2:AG319),$AG$2:$AG$1001,0),0),1)),INDEX($AL$2:$AL$1001,MATCH(ROWS($AG$2:AG319),$AG$2:$AG$1001,0),0)))</f>
        <v>0</v>
      </c>
      <c r="B319" s="4">
        <f>IF(OR(INDEX($AH$2:$AH$1001,MATCH(ROWS($AG$2:AG319),$AG$2:$AG$1001,0),1)&gt;=100000,INDEX($AN$1005:$BO$1005,1,MATCH(COLUMNS($AN$1006:AN1006),$AN$1006:$BO$1006,0))&gt;=100000), " ",IF(INDEX($AN$2:$BO$1001,MATCH(ROWS($AG$2:AG319),$AG$2:$AG$1001,0),MATCH(COLUMNS($AN$1006:AN1006),$AN$1006:$BO$1006,0)), HYPERLINK("#",""), HYPERLINK(CONCATENATE("#Metadata!", ADDRESS(INDEX($AI$2:$AI$1001,MATCH(ROWS($AG$2:AG319),$AG$2:$AG$1001,0),0), INDEX($AN$1004:$BO$1004,1,MATCH(COLUMNS($AN$1006:AN1006),$AN$1006:$BO$1006,0)))),"Fix")))</f>
        <v>0</v>
      </c>
      <c r="C319" s="4">
        <f>IF(OR(INDEX($AH$2:$AH$1001,MATCH(ROWS($AG$2:AG319),$AG$2:$AG$1001,0),1)&gt;=100000,INDEX($AN$1005:$BO$1005,1,MATCH(COLUMNS($AN$1006:AO1006),$AN$1006:$BO$1006,0))&gt;=100000), " ",IF(INDEX($AN$2:$BO$1001,MATCH(ROWS($AG$2:AG319),$AG$2:$AG$1001,0),MATCH(COLUMNS($AN$1006:AO1006),$AN$1006:$BO$1006,0)), HYPERLINK("#",""), HYPERLINK(CONCATENATE("#Metadata!", ADDRESS(INDEX($AI$2:$AI$1001,MATCH(ROWS($AG$2:AG319),$AG$2:$AG$1001,0),0), INDEX($AN$1004:$BO$1004,1,MATCH(COLUMNS($AN$1006:AO1006),$AN$1006:$BO$1006,0)))),"Fix")))</f>
        <v>0</v>
      </c>
      <c r="D319" s="4">
        <f>IF(OR(INDEX($AH$2:$AH$1001,MATCH(ROWS($AG$2:AG319),$AG$2:$AG$1001,0),1)&gt;=100000,INDEX($AN$1005:$BO$1005,1,MATCH(COLUMNS($AN$1006:AP1006),$AN$1006:$BO$1006,0))&gt;=100000), " ",IF(INDEX($AN$2:$BO$1001,MATCH(ROWS($AG$2:AG319),$AG$2:$AG$1001,0),MATCH(COLUMNS($AN$1006:AP1006),$AN$1006:$BO$1006,0)), HYPERLINK("#",""), HYPERLINK(CONCATENATE("#Metadata!", ADDRESS(INDEX($AI$2:$AI$1001,MATCH(ROWS($AG$2:AG319),$AG$2:$AG$1001,0),0), INDEX($AN$1004:$BO$1004,1,MATCH(COLUMNS($AN$1006:AP1006),$AN$1006:$BO$1006,0)))),"Fix")))</f>
        <v>0</v>
      </c>
      <c r="E319" s="4">
        <f>IF(OR(INDEX($AH$2:$AH$1001,MATCH(ROWS($AG$2:AG319),$AG$2:$AG$1001,0),1)&gt;=100000,INDEX($AN$1005:$BO$1005,1,MATCH(COLUMNS($AN$1006:AQ1006),$AN$1006:$BO$1006,0))&gt;=100000), " ",IF(INDEX($AN$2:$BO$1001,MATCH(ROWS($AG$2:AG319),$AG$2:$AG$1001,0),MATCH(COLUMNS($AN$1006:AQ1006),$AN$1006:$BO$1006,0)), HYPERLINK("#",""), HYPERLINK(CONCATENATE("#Metadata!", ADDRESS(INDEX($AI$2:$AI$1001,MATCH(ROWS($AG$2:AG319),$AG$2:$AG$1001,0),0), INDEX($AN$1004:$BO$1004,1,MATCH(COLUMNS($AN$1006:AQ1006),$AN$1006:$BO$1006,0)))),"Fix")))</f>
        <v>0</v>
      </c>
      <c r="F319" s="4">
        <f>IF(OR(INDEX($AH$2:$AH$1001,MATCH(ROWS($AG$2:AG319),$AG$2:$AG$1001,0),1)&gt;=100000,INDEX($AN$1005:$BO$1005,1,MATCH(COLUMNS($AN$1006:AR1006),$AN$1006:$BO$1006,0))&gt;=100000), " ",IF(INDEX($AN$2:$BO$1001,MATCH(ROWS($AG$2:AG319),$AG$2:$AG$1001,0),MATCH(COLUMNS($AN$1006:AR1006),$AN$1006:$BO$1006,0)), HYPERLINK("#",""), HYPERLINK(CONCATENATE("#Metadata!", ADDRESS(INDEX($AI$2:$AI$1001,MATCH(ROWS($AG$2:AG319),$AG$2:$AG$1001,0),0), INDEX($AN$1004:$BO$1004,1,MATCH(COLUMNS($AN$1006:AR1006),$AN$1006:$BO$1006,0)))),"Fix")))</f>
        <v>0</v>
      </c>
      <c r="G319" s="4">
        <f>IF(OR(INDEX($AH$2:$AH$1001,MATCH(ROWS($AG$2:AG319),$AG$2:$AG$1001,0),1)&gt;=100000,INDEX($AN$1005:$BO$1005,1,MATCH(COLUMNS($AN$1006:AS1006),$AN$1006:$BO$1006,0))&gt;=100000), " ",IF(INDEX($AN$2:$BO$1001,MATCH(ROWS($AG$2:AG319),$AG$2:$AG$1001,0),MATCH(COLUMNS($AN$1006:AS1006),$AN$1006:$BO$1006,0)), HYPERLINK("#",""), HYPERLINK(CONCATENATE("#Metadata!", ADDRESS(INDEX($AI$2:$AI$1001,MATCH(ROWS($AG$2:AG319),$AG$2:$AG$1001,0),0), INDEX($AN$1004:$BO$1004,1,MATCH(COLUMNS($AN$1006:AS1006),$AN$1006:$BO$1006,0)))),"Fix")))</f>
        <v>0</v>
      </c>
      <c r="H319" s="4">
        <f>IF(OR(INDEX($AH$2:$AH$1001,MATCH(ROWS($AG$2:AG319),$AG$2:$AG$1001,0),1)&gt;=100000,INDEX($AN$1005:$BO$1005,1,MATCH(COLUMNS($AN$1006:AT1006),$AN$1006:$BO$1006,0))&gt;=100000), " ",IF(INDEX($AN$2:$BO$1001,MATCH(ROWS($AG$2:AG319),$AG$2:$AG$1001,0),MATCH(COLUMNS($AN$1006:AT1006),$AN$1006:$BO$1006,0)), HYPERLINK("#",""), HYPERLINK(CONCATENATE("#Metadata!", ADDRESS(INDEX($AI$2:$AI$1001,MATCH(ROWS($AG$2:AG319),$AG$2:$AG$1001,0),0), INDEX($AN$1004:$BO$1004,1,MATCH(COLUMNS($AN$1006:AT1006),$AN$1006:$BO$1006,0)))),"Fix")))</f>
        <v>0</v>
      </c>
      <c r="I319" s="4">
        <f>IF(OR(INDEX($AH$2:$AH$1001,MATCH(ROWS($AG$2:AG319),$AG$2:$AG$1001,0),1)&gt;=100000,INDEX($AN$1005:$BO$1005,1,MATCH(COLUMNS($AN$1006:AU1006),$AN$1006:$BO$1006,0))&gt;=100000), " ",IF(INDEX($AN$2:$BO$1001,MATCH(ROWS($AG$2:AG319),$AG$2:$AG$1001,0),MATCH(COLUMNS($AN$1006:AU1006),$AN$1006:$BO$1006,0)), HYPERLINK("#",""), HYPERLINK(CONCATENATE("#Metadata!", ADDRESS(INDEX($AI$2:$AI$1001,MATCH(ROWS($AG$2:AG319),$AG$2:$AG$1001,0),0), INDEX($AN$1004:$BO$1004,1,MATCH(COLUMNS($AN$1006:AU1006),$AN$1006:$BO$1006,0)))),"Fix")))</f>
        <v>0</v>
      </c>
      <c r="J319" s="4">
        <f>IF(OR(INDEX($AH$2:$AH$1001,MATCH(ROWS($AG$2:AG319),$AG$2:$AG$1001,0),1)&gt;=100000,INDEX($AN$1005:$BO$1005,1,MATCH(COLUMNS($AN$1006:AV1006),$AN$1006:$BO$1006,0))&gt;=100000), " ",IF(INDEX($AN$2:$BO$1001,MATCH(ROWS($AG$2:AG319),$AG$2:$AG$1001,0),MATCH(COLUMNS($AN$1006:AV1006),$AN$1006:$BO$1006,0)), HYPERLINK("#",""), HYPERLINK(CONCATENATE("#Metadata!", ADDRESS(INDEX($AI$2:$AI$1001,MATCH(ROWS($AG$2:AG319),$AG$2:$AG$1001,0),0), INDEX($AN$1004:$BO$1004,1,MATCH(COLUMNS($AN$1006:AV1006),$AN$1006:$BO$1006,0)))),"Fix")))</f>
        <v>0</v>
      </c>
      <c r="K319" s="4">
        <f>IF(OR(INDEX($AH$2:$AH$1001,MATCH(ROWS($AG$2:AG319),$AG$2:$AG$1001,0),1)&gt;=100000,INDEX($AN$1005:$BO$1005,1,MATCH(COLUMNS($AN$1006:AW1006),$AN$1006:$BO$1006,0))&gt;=100000), " ",IF(INDEX($AN$2:$BO$1001,MATCH(ROWS($AG$2:AG319),$AG$2:$AG$1001,0),MATCH(COLUMNS($AN$1006:AW1006),$AN$1006:$BO$1006,0)), HYPERLINK("#",""), HYPERLINK(CONCATENATE("#Metadata!", ADDRESS(INDEX($AI$2:$AI$1001,MATCH(ROWS($AG$2:AG319),$AG$2:$AG$1001,0),0), INDEX($AN$1004:$BO$1004,1,MATCH(COLUMNS($AN$1006:AW1006),$AN$1006:$BO$1006,0)))),"Fix")))</f>
        <v>0</v>
      </c>
      <c r="L319" s="4">
        <f>IF(OR(INDEX($AH$2:$AH$1001,MATCH(ROWS($AG$2:AG319),$AG$2:$AG$1001,0),1)&gt;=100000,INDEX($AN$1005:$BO$1005,1,MATCH(COLUMNS($AN$1006:AX1006),$AN$1006:$BO$1006,0))&gt;=100000), " ",IF(INDEX($AN$2:$BO$1001,MATCH(ROWS($AG$2:AG319),$AG$2:$AG$1001,0),MATCH(COLUMNS($AN$1006:AX1006),$AN$1006:$BO$1006,0)), HYPERLINK("#",""), HYPERLINK(CONCATENATE("#Metadata!", ADDRESS(INDEX($AI$2:$AI$1001,MATCH(ROWS($AG$2:AG319),$AG$2:$AG$1001,0),0), INDEX($AN$1004:$BO$1004,1,MATCH(COLUMNS($AN$1006:AX1006),$AN$1006:$BO$1006,0)))),"Fix")))</f>
        <v>0</v>
      </c>
      <c r="M319" s="4">
        <f>IF(OR(INDEX($AH$2:$AH$1001,MATCH(ROWS($AG$2:AG319),$AG$2:$AG$1001,0),1)&gt;=100000,INDEX($AN$1005:$BO$1005,1,MATCH(COLUMNS($AN$1006:AY1006),$AN$1006:$BO$1006,0))&gt;=100000), " ",IF(INDEX($AN$2:$BO$1001,MATCH(ROWS($AG$2:AG319),$AG$2:$AG$1001,0),MATCH(COLUMNS($AN$1006:AY1006),$AN$1006:$BO$1006,0)), HYPERLINK("#",""), HYPERLINK(CONCATENATE("#Metadata!", ADDRESS(INDEX($AI$2:$AI$1001,MATCH(ROWS($AG$2:AG319),$AG$2:$AG$1001,0),0), INDEX($AN$1004:$BO$1004,1,MATCH(COLUMNS($AN$1006:AY1006),$AN$1006:$BO$1006,0)))),"Fix")))</f>
        <v>0</v>
      </c>
      <c r="N319" s="4">
        <f>IF(OR(INDEX($AH$2:$AH$1001,MATCH(ROWS($AG$2:AG319),$AG$2:$AG$1001,0),1)&gt;=100000,INDEX($AN$1005:$BO$1005,1,MATCH(COLUMNS($AN$1006:AZ1006),$AN$1006:$BO$1006,0))&gt;=100000), " ",IF(INDEX($AN$2:$BO$1001,MATCH(ROWS($AG$2:AG319),$AG$2:$AG$1001,0),MATCH(COLUMNS($AN$1006:AZ1006),$AN$1006:$BO$1006,0)), HYPERLINK("#",""), HYPERLINK(CONCATENATE("#Metadata!", ADDRESS(INDEX($AI$2:$AI$1001,MATCH(ROWS($AG$2:AG319),$AG$2:$AG$1001,0),0), INDEX($AN$1004:$BO$1004,1,MATCH(COLUMNS($AN$1006:AZ1006),$AN$1006:$BO$1006,0)))),"Fix")))</f>
        <v>0</v>
      </c>
      <c r="O319" s="4">
        <f>IF(OR(INDEX($AH$2:$AH$1001,MATCH(ROWS($AG$2:AG319),$AG$2:$AG$1001,0),1)&gt;=100000,INDEX($AN$1005:$BO$1005,1,MATCH(COLUMNS($AN$1006:BA1006),$AN$1006:$BO$1006,0))&gt;=100000), " ",IF(INDEX($AN$2:$BO$1001,MATCH(ROWS($AG$2:AG319),$AG$2:$AG$1001,0),MATCH(COLUMNS($AN$1006:BA1006),$AN$1006:$BO$1006,0)), HYPERLINK("#",""), HYPERLINK(CONCATENATE("#Metadata!", ADDRESS(INDEX($AI$2:$AI$1001,MATCH(ROWS($AG$2:AG319),$AG$2:$AG$1001,0),0), INDEX($AN$1004:$BO$1004,1,MATCH(COLUMNS($AN$1006:BA1006),$AN$1006:$BO$1006,0)))),"Fix")))</f>
        <v>0</v>
      </c>
      <c r="P319" s="4">
        <f>IF(OR(INDEX($AH$2:$AH$1001,MATCH(ROWS($AG$2:AG319),$AG$2:$AG$1001,0),1)&gt;=100000,INDEX($AN$1005:$BO$1005,1,MATCH(COLUMNS($AN$1006:BB1006),$AN$1006:$BO$1006,0))&gt;=100000), " ",IF(INDEX($AN$2:$BO$1001,MATCH(ROWS($AG$2:AG319),$AG$2:$AG$1001,0),MATCH(COLUMNS($AN$1006:BB1006),$AN$1006:$BO$1006,0)), HYPERLINK("#",""), HYPERLINK(CONCATENATE("#Metadata!", ADDRESS(INDEX($AI$2:$AI$1001,MATCH(ROWS($AG$2:AG319),$AG$2:$AG$1001,0),0), INDEX($AN$1004:$BO$1004,1,MATCH(COLUMNS($AN$1006:BB1006),$AN$1006:$BO$1006,0)))),"Fix")))</f>
        <v>0</v>
      </c>
      <c r="Q319" s="4">
        <f>IF(OR(INDEX($AH$2:$AH$1001,MATCH(ROWS($AG$2:AG319),$AG$2:$AG$1001,0),1)&gt;=100000,INDEX($AN$1005:$BO$1005,1,MATCH(COLUMNS($AN$1006:BC1006),$AN$1006:$BO$1006,0))&gt;=100000), " ",IF(INDEX($AN$2:$BO$1001,MATCH(ROWS($AG$2:AG319),$AG$2:$AG$1001,0),MATCH(COLUMNS($AN$1006:BC1006),$AN$1006:$BO$1006,0)), HYPERLINK("#",""), HYPERLINK(CONCATENATE("#Metadata!", ADDRESS(INDEX($AI$2:$AI$1001,MATCH(ROWS($AG$2:AG319),$AG$2:$AG$1001,0),0), INDEX($AN$1004:$BO$1004,1,MATCH(COLUMNS($AN$1006:BC1006),$AN$1006:$BO$1006,0)))),"Fix")))</f>
        <v>0</v>
      </c>
      <c r="R319" s="4">
        <f>IF(OR(INDEX($AH$2:$AH$1001,MATCH(ROWS($AG$2:AG319),$AG$2:$AG$1001,0),1)&gt;=100000,INDEX($AN$1005:$BO$1005,1,MATCH(COLUMNS($AN$1006:BD1006),$AN$1006:$BO$1006,0))&gt;=100000), " ",IF(INDEX($AN$2:$BO$1001,MATCH(ROWS($AG$2:AG319),$AG$2:$AG$1001,0),MATCH(COLUMNS($AN$1006:BD1006),$AN$1006:$BO$1006,0)), HYPERLINK("#",""), HYPERLINK(CONCATENATE("#Metadata!", ADDRESS(INDEX($AI$2:$AI$1001,MATCH(ROWS($AG$2:AG319),$AG$2:$AG$1001,0),0), INDEX($AN$1004:$BO$1004,1,MATCH(COLUMNS($AN$1006:BD1006),$AN$1006:$BO$1006,0)))),"Fix")))</f>
        <v>0</v>
      </c>
      <c r="S319" s="4">
        <f>IF(OR(INDEX($AH$2:$AH$1001,MATCH(ROWS($AG$2:AG319),$AG$2:$AG$1001,0),1)&gt;=100000,INDEX($AN$1005:$BO$1005,1,MATCH(COLUMNS($AN$1006:BE1006),$AN$1006:$BO$1006,0))&gt;=100000), " ",IF(INDEX($AN$2:$BO$1001,MATCH(ROWS($AG$2:AG319),$AG$2:$AG$1001,0),MATCH(COLUMNS($AN$1006:BE1006),$AN$1006:$BO$1006,0)), HYPERLINK("#",""), HYPERLINK(CONCATENATE("#Metadata!", ADDRESS(INDEX($AI$2:$AI$1001,MATCH(ROWS($AG$2:AG319),$AG$2:$AG$1001,0),0), INDEX($AN$1004:$BO$1004,1,MATCH(COLUMNS($AN$1006:BE1006),$AN$1006:$BO$1006,0)))),"Fix")))</f>
        <v>0</v>
      </c>
      <c r="T319" s="4">
        <f>IF(OR(INDEX($AH$2:$AH$1001,MATCH(ROWS($AG$2:AG319),$AG$2:$AG$1001,0),1)&gt;=100000,INDEX($AN$1005:$BO$1005,1,MATCH(COLUMNS($AN$1006:BF1006),$AN$1006:$BO$1006,0))&gt;=100000), " ",IF(INDEX($AN$2:$BO$1001,MATCH(ROWS($AG$2:AG319),$AG$2:$AG$1001,0),MATCH(COLUMNS($AN$1006:BF1006),$AN$1006:$BO$1006,0)), HYPERLINK("#",""), HYPERLINK(CONCATENATE("#Metadata!", ADDRESS(INDEX($AI$2:$AI$1001,MATCH(ROWS($AG$2:AG319),$AG$2:$AG$1001,0),0), INDEX($AN$1004:$BO$1004,1,MATCH(COLUMNS($AN$1006:BF1006),$AN$1006:$BO$1006,0)))),"Fix")))</f>
        <v>0</v>
      </c>
      <c r="U319" s="4">
        <f>IF(OR(INDEX($AH$2:$AH$1001,MATCH(ROWS($AG$2:AG319),$AG$2:$AG$1001,0),1)&gt;=100000,INDEX($AN$1005:$BO$1005,1,MATCH(COLUMNS($AN$1006:BG1006),$AN$1006:$BO$1006,0))&gt;=100000), " ",IF(INDEX($AN$2:$BO$1001,MATCH(ROWS($AG$2:AG319),$AG$2:$AG$1001,0),MATCH(COLUMNS($AN$1006:BG1006),$AN$1006:$BO$1006,0)), HYPERLINK("#",""), HYPERLINK(CONCATENATE("#Metadata!", ADDRESS(INDEX($AI$2:$AI$1001,MATCH(ROWS($AG$2:AG319),$AG$2:$AG$1001,0),0), INDEX($AN$1004:$BO$1004,1,MATCH(COLUMNS($AN$1006:BG1006),$AN$1006:$BO$1006,0)))),"Fix")))</f>
        <v>0</v>
      </c>
      <c r="V319" s="4">
        <f>IF(OR(INDEX($AH$2:$AH$1001,MATCH(ROWS($AG$2:AG319),$AG$2:$AG$1001,0),1)&gt;=100000,INDEX($AN$1005:$BO$1005,1,MATCH(COLUMNS($AN$1006:BH1006),$AN$1006:$BO$1006,0))&gt;=100000), " ",IF(INDEX($AN$2:$BO$1001,MATCH(ROWS($AG$2:AG319),$AG$2:$AG$1001,0),MATCH(COLUMNS($AN$1006:BH1006),$AN$1006:$BO$1006,0)), HYPERLINK("#",""), HYPERLINK(CONCATENATE("#Metadata!", ADDRESS(INDEX($AI$2:$AI$1001,MATCH(ROWS($AG$2:AG319),$AG$2:$AG$1001,0),0), INDEX($AN$1004:$BO$1004,1,MATCH(COLUMNS($AN$1006:BH1006),$AN$1006:$BO$1006,0)))),"Fix")))</f>
        <v>0</v>
      </c>
      <c r="W319" s="4">
        <f>IF(OR(INDEX($AH$2:$AH$1001,MATCH(ROWS($AG$2:AG319),$AG$2:$AG$1001,0),1)&gt;=100000,INDEX($AN$1005:$BO$1005,1,MATCH(COLUMNS($AN$1006:BI1006),$AN$1006:$BO$1006,0))&gt;=100000), " ",IF(INDEX($AN$2:$BO$1001,MATCH(ROWS($AG$2:AG319),$AG$2:$AG$1001,0),MATCH(COLUMNS($AN$1006:BI1006),$AN$1006:$BO$1006,0)), HYPERLINK("#",""), HYPERLINK(CONCATENATE("#Metadata!", ADDRESS(INDEX($AI$2:$AI$1001,MATCH(ROWS($AG$2:AG319),$AG$2:$AG$1001,0),0), INDEX($AN$1004:$BO$1004,1,MATCH(COLUMNS($AN$1006:BI1006),$AN$1006:$BO$1006,0)))),"Fix")))</f>
        <v>0</v>
      </c>
      <c r="X319" s="4">
        <f>IF(OR(INDEX($AH$2:$AH$1001,MATCH(ROWS($AG$2:AG319),$AG$2:$AG$1001,0),1)&gt;=100000,INDEX($AN$1005:$BO$1005,1,MATCH(COLUMNS($AN$1006:BJ1006),$AN$1006:$BO$1006,0))&gt;=100000), " ",IF(INDEX($AN$2:$BO$1001,MATCH(ROWS($AG$2:AG319),$AG$2:$AG$1001,0),MATCH(COLUMNS($AN$1006:BJ1006),$AN$1006:$BO$1006,0)), HYPERLINK("#",""), HYPERLINK(CONCATENATE("#Metadata!", ADDRESS(INDEX($AI$2:$AI$1001,MATCH(ROWS($AG$2:AG319),$AG$2:$AG$1001,0),0), INDEX($AN$1004:$BO$1004,1,MATCH(COLUMNS($AN$1006:BJ1006),$AN$1006:$BO$1006,0)))),"Fix")))</f>
        <v>0</v>
      </c>
      <c r="Y319" s="4">
        <f>IF(OR(INDEX($AH$2:$AH$1001,MATCH(ROWS($AG$2:AG319),$AG$2:$AG$1001,0),1)&gt;=100000,INDEX($AN$1005:$BO$1005,1,MATCH(COLUMNS($AN$1006:BK1006),$AN$1006:$BO$1006,0))&gt;=100000), " ",IF(INDEX($AN$2:$BO$1001,MATCH(ROWS($AG$2:AG319),$AG$2:$AG$1001,0),MATCH(COLUMNS($AN$1006:BK1006),$AN$1006:$BO$1006,0)), HYPERLINK("#",""), HYPERLINK(CONCATENATE("#Metadata!", ADDRESS(INDEX($AI$2:$AI$1001,MATCH(ROWS($AG$2:AG319),$AG$2:$AG$1001,0),0), INDEX($AN$1004:$BO$1004,1,MATCH(COLUMNS($AN$1006:BK1006),$AN$1006:$BO$1006,0)))),"Fix")))</f>
        <v>0</v>
      </c>
      <c r="Z319" s="4">
        <f>IF(OR(INDEX($AH$2:$AH$1001,MATCH(ROWS($AG$2:AG319),$AG$2:$AG$1001,0),1)&gt;=100000,INDEX($AN$1005:$BO$1005,1,MATCH(COLUMNS($AN$1006:BL1006),$AN$1006:$BO$1006,0))&gt;=100000), " ",IF(INDEX($AN$2:$BO$1001,MATCH(ROWS($AG$2:AG319),$AG$2:$AG$1001,0),MATCH(COLUMNS($AN$1006:BL1006),$AN$1006:$BO$1006,0)), HYPERLINK("#",""), HYPERLINK(CONCATENATE("#Metadata!", ADDRESS(INDEX($AI$2:$AI$1001,MATCH(ROWS($AG$2:AG319),$AG$2:$AG$1001,0),0), INDEX($AN$1004:$BO$1004,1,MATCH(COLUMNS($AN$1006:BL1006),$AN$1006:$BO$1006,0)))),"Fix")))</f>
        <v>0</v>
      </c>
      <c r="AA319" s="4">
        <f>IF(OR(INDEX($AH$2:$AH$1001,MATCH(ROWS($AG$2:AG319),$AG$2:$AG$1001,0),1)&gt;=100000,INDEX($AN$1005:$BO$1005,1,MATCH(COLUMNS($AN$1006:BM1006),$AN$1006:$BO$1006,0))&gt;=100000), " ",IF(INDEX($AN$2:$BO$1001,MATCH(ROWS($AG$2:AG319),$AG$2:$AG$1001,0),MATCH(COLUMNS($AN$1006:BM1006),$AN$1006:$BO$1006,0)), HYPERLINK("#",""), HYPERLINK(CONCATENATE("#Metadata!", ADDRESS(INDEX($AI$2:$AI$1001,MATCH(ROWS($AG$2:AG319),$AG$2:$AG$1001,0),0), INDEX($AN$1004:$BO$1004,1,MATCH(COLUMNS($AN$1006:BM1006),$AN$1006:$BO$1006,0)))),"Fix")))</f>
        <v>0</v>
      </c>
      <c r="AB319" s="4">
        <f>IF(OR(INDEX($AH$2:$AH$1001,MATCH(ROWS($AG$2:AG319),$AG$2:$AG$1001,0),1)&gt;=100000,INDEX($AN$1005:$BO$1005,1,MATCH(COLUMNS($AN$1006:BN1006),$AN$1006:$BO$1006,0))&gt;=100000), " ",IF(INDEX($AN$2:$BO$1001,MATCH(ROWS($AG$2:AG319),$AG$2:$AG$1001,0),MATCH(COLUMNS($AN$1006:BN1006),$AN$1006:$BO$1006,0)), HYPERLINK("#",""), HYPERLINK(CONCATENATE("#Metadata!", ADDRESS(INDEX($AI$2:$AI$1001,MATCH(ROWS($AG$2:AG319),$AG$2:$AG$1001,0),0), INDEX($AN$1004:$BO$1004,1,MATCH(COLUMNS($AN$1006:BN1006),$AN$1006:$BO$1006,0)))),"Fix")))</f>
        <v>0</v>
      </c>
      <c r="AC319" s="4">
        <f>IF(OR(INDEX($AH$2:$AH$1001,MATCH(ROWS($AG$2:AG319),$AG$2:$AG$1001,0),1)&gt;=100000,INDEX($AN$1005:$BO$1005,1,MATCH(COLUMNS($AN$1006:BO1006),$AN$1006:$BO$1006,0))&gt;=100000), " ",IF(INDEX($AN$2:$BO$1001,MATCH(ROWS($AG$2:AG319),$AG$2:$AG$1001,0),MATCH(COLUMNS($AN$1006:BO1006),$AN$1006:$BO$1006,0)), HYPERLINK("#",""), HYPERLINK(CONCATENATE("#Metadata!", ADDRESS(INDEX($AI$2:$AI$1001,MATCH(ROWS($AG$2:AG319),$AG$2:$AG$1001,0),0), INDEX($AN$1004:$BO$1004,1,MATCH(COLUMNS($AN$1006:BO1006),$AN$1006:$BO$1006,0)))),"Fix")))</f>
        <v>0</v>
      </c>
      <c r="AG319">
        <v>0</v>
      </c>
      <c r="AH319">
        <v>0</v>
      </c>
      <c r="AI319">
        <v>0</v>
      </c>
      <c r="AJ319">
        <f>IF(AK319,TRUE,AND(AN319:BO319))</f>
        <v>0</v>
      </c>
      <c r="AK319">
        <f>COUNTBLANK(Metadata!B319:AC319)=COLUMNS(Metadata!B319:AC319)</f>
        <v>0</v>
      </c>
      <c r="AL319">
        <v>0</v>
      </c>
      <c r="AN319">
        <f>AND(IF(Metadata!B319="",FALSE,TRUE),COUNTIF(Metadata!B:B, Metadata!B319) = 1,NOT(ISERROR(SUMPRODUCT(SEARCH(MID(Metadata!B319,ROW(INDIRECT("1:"&amp;LEN(Metadata!B319))), 1),"0123456789abcdefghijklmnopqrstuvwxyzABCDEFGHIJKLMNOPQRSTUVWXYZ.")))))</f>
        <v>0</v>
      </c>
      <c r="AO319">
        <f>IF(Metadata!C319="",FALSE,TRUE)</f>
        <v>0</v>
      </c>
      <c r="AP319">
        <f>IF(Metadata!D319="",FALSE,TRUE)</f>
        <v>0</v>
      </c>
      <c r="AQ319">
        <f>OR(AND(IF(Metadata!E319="",FALSE,TRUE),OR(exact(Metadata!E319,"not collected"),exact(Metadata!E319,"not provided"),exact(Metadata!E319,"restricted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R319">
        <f>IF(Metadata!F319="",FALSE,TRUE)</f>
        <v>0</v>
      </c>
      <c r="AS319">
        <f>OR(AND(IF(Metadata!G319="",FALSE,TRUE),OR(exact(Metadata!G319,"not collected"),exact(Metadata!G319,"not provided"))),AND(IF(Metadata!G319="",FALSE,TRUE),OR(exact(Metadata!G319,"TRUE"),exact(Metadata!G319,"FALSE"))))</f>
        <v>0</v>
      </c>
      <c r="AT319">
        <f>OR(AND(IF(Metadata!H319="",FALSE,TRUE),OR(exact(Metadata!H319,"not collected"),exact(Metadata!H319,"not provided"),exact(Metadata!H319,"restricted access"))),AND(IF(Metadata!H319="",FALSE,ISNUMBER(VALUE(Metadata!H319))),Metadata!H319&gt;=-413.0))</f>
        <v>0</v>
      </c>
      <c r="AU319">
        <f>AND(IF(Metadata!I319="",FALSE,TRUE),exact(Metadata!I319,"meters"))</f>
        <v>0</v>
      </c>
      <c r="AV319">
        <f>AND(IF(Metadata!J319="",FALSE,TRUE),OR(exact(Metadata!J319,"Host-associated"),exact(Metadata!J319,"Free-living")))</f>
        <v>0</v>
      </c>
      <c r="AW319">
        <f>AND(IF(Metadata!K319="",FALSE,TRUE),OR(exact(Metadata!K319,"Animal"),exact(Metadata!K319,"Fungus"),exact(Metadata!K319,"Plant"),exact(Metadata!K319,"Saline"),exact(Metadata!K319,"Non-saline")))</f>
        <v>0</v>
      </c>
      <c r="AX319">
        <f>AND(IF(Metadata!L319="",FALSE,TRUE),OR(exact(Metadata!L319,"Plant secretion"),exact(Metadata!L319,"Plant rhizosphere"),exact(Metadata!L319,"Plant surface"),exact(Metadata!L319,"Plant corpus"),exact(Metadata!L319,"Fungus surface"),exact(Metadata!L319,"Fungus corpus"),exact(Metadata!L319,"Animal surface"),exact(Metadata!L319,"Animal proximal gut"),exact(Metadata!L319,"Animal corpus"),exact(Metadata!L319,"Animal distal gut"),exact(Metadata!L319,"Animal secretion"),exact(Metadata!L319,"Sub-surface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Y319">
        <f>IF(Metadata!M319="",FALSE,TRUE)</f>
        <v>0</v>
      </c>
      <c r="AZ319">
        <f>IF(Metadata!N319="",FALSE,TRUE)</f>
        <v>0</v>
      </c>
      <c r="BA319">
        <f>IF(Metadata!O319="",FALSE,TRUE)</f>
        <v>0</v>
      </c>
      <c r="BB319">
        <f>OR(AND(IF(Metadata!P319="",FALSE,TRUE),OR(exact(Metadata!P319,"not collected"),exact(Metadata!P319,"not provided"),exact(Metadata!P319,"restricted access"))),AND(IF(Metadata!P319="",FALSE,TRUE),OR(exact(Metadata!P319,"air"),exact(Metadata!P319,"built environment"),exact(Metadata!P319,"host-associated"),exact(Metadata!P319,"human-associated"),exact(Metadata!P319,"human-skin"),exact(Metadata!P319,"human-oral"),exact(Metadata!P319,"human-gut"),exact(Metadata!P319,"human-vaginal"),exact(Metadata!P319,"microbial mat/biofilm"),exact(Metadata!P319,"misc environment"),exact(Metadata!P319,"plant-associated"),exact(Metadata!P319,"sediment"),exact(Metadata!P319,"soil"),exact(Metadata!P319,"wastewater/sludge"),exact(Metadata!P319,"water"))))</f>
        <v>0</v>
      </c>
      <c r="BC319">
        <f>IF(Metadata!Q319="",FALSE,TRUE)</f>
        <v>0</v>
      </c>
      <c r="BD319">
        <f>IF(Metadata!R319="",FALSE,TRUE)</f>
        <v>0</v>
      </c>
      <c r="BE319">
        <f>OR(AND(IF(Metadata!S319="",FALSE,TRUE),OR(exact(Metadata!S319,"not collected"),exact(Metadata!S319,"not provided"),exact(Metadata!S319,"restricted access"))),AND(IF(Metadata!S319="",FALSE,ISNUMBER(VALUE(Metadata!S319))),Metadata!S319&gt;=-90.00,Metadata!S319&lt;=90.00))</f>
        <v>0</v>
      </c>
      <c r="BF319">
        <f>AND(IF(Metadata!T319="",FALSE,TRUE),exact(Metadata!T319,"Decimal degrees"))</f>
        <v>0</v>
      </c>
      <c r="BG319">
        <f>OR(AND(IF(Metadata!U319="",FALSE,TRUE),OR(exact(Metadata!U319,"not collected"),exact(Metadata!U319,"not provided"),exact(Metadata!U319,"restricted access"))),AND(IF(Metadata!U319="",FALSE,ISNUMBER(VALUE(Metadata!U319))),Metadata!U319&gt;=-180.00,Metadata!U319&lt;=180.00))</f>
        <v>0</v>
      </c>
      <c r="BH319">
        <f>AND(IF(Metadata!V319="",FALSE,TRUE),exact(Metadata!V319,"Decimal degrees"))</f>
        <v>0</v>
      </c>
      <c r="BI319">
        <f>IF(Metadata!W319="",FALSE,TRUE)</f>
        <v>0</v>
      </c>
      <c r="BJ319">
        <f>OR(AND(IF(Metadata!X319="",FALSE,TRUE),OR(exact(Metadata!X319,"not collected"),exact(Metadata!X319,"not provided"),exact(Metadata!X319,"restricted access"))),AND(IF(Metadata!X319="",FALSE,TRUE),OR(exact(Metadata!X319,"TRUE"),exact(Metadata!X319,"FALSE"))))</f>
        <v>0</v>
      </c>
      <c r="BK319">
        <f>AND(IF(Metadata!Y319="",FALSE,TRUE),exact(Metadata!Y319,"other"))</f>
        <v>0</v>
      </c>
      <c r="BL319">
        <f>IF(Metadata!Z319="",FALSE,TRUE)</f>
        <v>0</v>
      </c>
      <c r="BM319">
        <f>OR(AND(IF(Metadata!AA319="",FALSE,TRUE),OR(exact(Metadata!AA319,"not collected"),exact(Metadata!AA319,"not provided"))),AND(IF(Metadata!AA319="",FALSE,IF(ISERROR(INT(Metadata!AA319)),FALSE,INT(Metadata!AA319)=Metadata!AA319)),Metadata!AA319&gt;0))</f>
        <v>0</v>
      </c>
      <c r="BN319">
        <f>AND(IF(Metadata!AB319="",FALSE,TRUE),exact(Metadata!AB319,"Not applicable"))</f>
        <v>0</v>
      </c>
      <c r="BO319">
        <f>IF(Metadata!AC319="",FALSE,TRUE)</f>
        <v>0</v>
      </c>
    </row>
    <row r="320" spans="1:67">
      <c r="A320" s="5">
        <f>IF(B320=" "," ",HYPERLINK(CONCATENATE("#metadata!",ADDRESS(INDEX($AI$2:$AI$1001,MATCH(ROWS($AG$2:AG320),$AG$2:$AG$1001,0),0),1)),INDEX($AL$2:$AL$1001,MATCH(ROWS($AG$2:AG320),$AG$2:$AG$1001,0),0)))</f>
        <v>0</v>
      </c>
      <c r="B320" s="4">
        <f>IF(OR(INDEX($AH$2:$AH$1001,MATCH(ROWS($AG$2:AG320),$AG$2:$AG$1001,0),1)&gt;=100000,INDEX($AN$1005:$BO$1005,1,MATCH(COLUMNS($AN$1006:AN1006),$AN$1006:$BO$1006,0))&gt;=100000), " ",IF(INDEX($AN$2:$BO$1001,MATCH(ROWS($AG$2:AG320),$AG$2:$AG$1001,0),MATCH(COLUMNS($AN$1006:AN1006),$AN$1006:$BO$1006,0)), HYPERLINK("#",""), HYPERLINK(CONCATENATE("#Metadata!", ADDRESS(INDEX($AI$2:$AI$1001,MATCH(ROWS($AG$2:AG320),$AG$2:$AG$1001,0),0), INDEX($AN$1004:$BO$1004,1,MATCH(COLUMNS($AN$1006:AN1006),$AN$1006:$BO$1006,0)))),"Fix")))</f>
        <v>0</v>
      </c>
      <c r="C320" s="4">
        <f>IF(OR(INDEX($AH$2:$AH$1001,MATCH(ROWS($AG$2:AG320),$AG$2:$AG$1001,0),1)&gt;=100000,INDEX($AN$1005:$BO$1005,1,MATCH(COLUMNS($AN$1006:AO1006),$AN$1006:$BO$1006,0))&gt;=100000), " ",IF(INDEX($AN$2:$BO$1001,MATCH(ROWS($AG$2:AG320),$AG$2:$AG$1001,0),MATCH(COLUMNS($AN$1006:AO1006),$AN$1006:$BO$1006,0)), HYPERLINK("#",""), HYPERLINK(CONCATENATE("#Metadata!", ADDRESS(INDEX($AI$2:$AI$1001,MATCH(ROWS($AG$2:AG320),$AG$2:$AG$1001,0),0), INDEX($AN$1004:$BO$1004,1,MATCH(COLUMNS($AN$1006:AO1006),$AN$1006:$BO$1006,0)))),"Fix")))</f>
        <v>0</v>
      </c>
      <c r="D320" s="4">
        <f>IF(OR(INDEX($AH$2:$AH$1001,MATCH(ROWS($AG$2:AG320),$AG$2:$AG$1001,0),1)&gt;=100000,INDEX($AN$1005:$BO$1005,1,MATCH(COLUMNS($AN$1006:AP1006),$AN$1006:$BO$1006,0))&gt;=100000), " ",IF(INDEX($AN$2:$BO$1001,MATCH(ROWS($AG$2:AG320),$AG$2:$AG$1001,0),MATCH(COLUMNS($AN$1006:AP1006),$AN$1006:$BO$1006,0)), HYPERLINK("#",""), HYPERLINK(CONCATENATE("#Metadata!", ADDRESS(INDEX($AI$2:$AI$1001,MATCH(ROWS($AG$2:AG320),$AG$2:$AG$1001,0),0), INDEX($AN$1004:$BO$1004,1,MATCH(COLUMNS($AN$1006:AP1006),$AN$1006:$BO$1006,0)))),"Fix")))</f>
        <v>0</v>
      </c>
      <c r="E320" s="4">
        <f>IF(OR(INDEX($AH$2:$AH$1001,MATCH(ROWS($AG$2:AG320),$AG$2:$AG$1001,0),1)&gt;=100000,INDEX($AN$1005:$BO$1005,1,MATCH(COLUMNS($AN$1006:AQ1006),$AN$1006:$BO$1006,0))&gt;=100000), " ",IF(INDEX($AN$2:$BO$1001,MATCH(ROWS($AG$2:AG320),$AG$2:$AG$1001,0),MATCH(COLUMNS($AN$1006:AQ1006),$AN$1006:$BO$1006,0)), HYPERLINK("#",""), HYPERLINK(CONCATENATE("#Metadata!", ADDRESS(INDEX($AI$2:$AI$1001,MATCH(ROWS($AG$2:AG320),$AG$2:$AG$1001,0),0), INDEX($AN$1004:$BO$1004,1,MATCH(COLUMNS($AN$1006:AQ1006),$AN$1006:$BO$1006,0)))),"Fix")))</f>
        <v>0</v>
      </c>
      <c r="F320" s="4">
        <f>IF(OR(INDEX($AH$2:$AH$1001,MATCH(ROWS($AG$2:AG320),$AG$2:$AG$1001,0),1)&gt;=100000,INDEX($AN$1005:$BO$1005,1,MATCH(COLUMNS($AN$1006:AR1006),$AN$1006:$BO$1006,0))&gt;=100000), " ",IF(INDEX($AN$2:$BO$1001,MATCH(ROWS($AG$2:AG320),$AG$2:$AG$1001,0),MATCH(COLUMNS($AN$1006:AR1006),$AN$1006:$BO$1006,0)), HYPERLINK("#",""), HYPERLINK(CONCATENATE("#Metadata!", ADDRESS(INDEX($AI$2:$AI$1001,MATCH(ROWS($AG$2:AG320),$AG$2:$AG$1001,0),0), INDEX($AN$1004:$BO$1004,1,MATCH(COLUMNS($AN$1006:AR1006),$AN$1006:$BO$1006,0)))),"Fix")))</f>
        <v>0</v>
      </c>
      <c r="G320" s="4">
        <f>IF(OR(INDEX($AH$2:$AH$1001,MATCH(ROWS($AG$2:AG320),$AG$2:$AG$1001,0),1)&gt;=100000,INDEX($AN$1005:$BO$1005,1,MATCH(COLUMNS($AN$1006:AS1006),$AN$1006:$BO$1006,0))&gt;=100000), " ",IF(INDEX($AN$2:$BO$1001,MATCH(ROWS($AG$2:AG320),$AG$2:$AG$1001,0),MATCH(COLUMNS($AN$1006:AS1006),$AN$1006:$BO$1006,0)), HYPERLINK("#",""), HYPERLINK(CONCATENATE("#Metadata!", ADDRESS(INDEX($AI$2:$AI$1001,MATCH(ROWS($AG$2:AG320),$AG$2:$AG$1001,0),0), INDEX($AN$1004:$BO$1004,1,MATCH(COLUMNS($AN$1006:AS1006),$AN$1006:$BO$1006,0)))),"Fix")))</f>
        <v>0</v>
      </c>
      <c r="H320" s="4">
        <f>IF(OR(INDEX($AH$2:$AH$1001,MATCH(ROWS($AG$2:AG320),$AG$2:$AG$1001,0),1)&gt;=100000,INDEX($AN$1005:$BO$1005,1,MATCH(COLUMNS($AN$1006:AT1006),$AN$1006:$BO$1006,0))&gt;=100000), " ",IF(INDEX($AN$2:$BO$1001,MATCH(ROWS($AG$2:AG320),$AG$2:$AG$1001,0),MATCH(COLUMNS($AN$1006:AT1006),$AN$1006:$BO$1006,0)), HYPERLINK("#",""), HYPERLINK(CONCATENATE("#Metadata!", ADDRESS(INDEX($AI$2:$AI$1001,MATCH(ROWS($AG$2:AG320),$AG$2:$AG$1001,0),0), INDEX($AN$1004:$BO$1004,1,MATCH(COLUMNS($AN$1006:AT1006),$AN$1006:$BO$1006,0)))),"Fix")))</f>
        <v>0</v>
      </c>
      <c r="I320" s="4">
        <f>IF(OR(INDEX($AH$2:$AH$1001,MATCH(ROWS($AG$2:AG320),$AG$2:$AG$1001,0),1)&gt;=100000,INDEX($AN$1005:$BO$1005,1,MATCH(COLUMNS($AN$1006:AU1006),$AN$1006:$BO$1006,0))&gt;=100000), " ",IF(INDEX($AN$2:$BO$1001,MATCH(ROWS($AG$2:AG320),$AG$2:$AG$1001,0),MATCH(COLUMNS($AN$1006:AU1006),$AN$1006:$BO$1006,0)), HYPERLINK("#",""), HYPERLINK(CONCATENATE("#Metadata!", ADDRESS(INDEX($AI$2:$AI$1001,MATCH(ROWS($AG$2:AG320),$AG$2:$AG$1001,0),0), INDEX($AN$1004:$BO$1004,1,MATCH(COLUMNS($AN$1006:AU1006),$AN$1006:$BO$1006,0)))),"Fix")))</f>
        <v>0</v>
      </c>
      <c r="J320" s="4">
        <f>IF(OR(INDEX($AH$2:$AH$1001,MATCH(ROWS($AG$2:AG320),$AG$2:$AG$1001,0),1)&gt;=100000,INDEX($AN$1005:$BO$1005,1,MATCH(COLUMNS($AN$1006:AV1006),$AN$1006:$BO$1006,0))&gt;=100000), " ",IF(INDEX($AN$2:$BO$1001,MATCH(ROWS($AG$2:AG320),$AG$2:$AG$1001,0),MATCH(COLUMNS($AN$1006:AV1006),$AN$1006:$BO$1006,0)), HYPERLINK("#",""), HYPERLINK(CONCATENATE("#Metadata!", ADDRESS(INDEX($AI$2:$AI$1001,MATCH(ROWS($AG$2:AG320),$AG$2:$AG$1001,0),0), INDEX($AN$1004:$BO$1004,1,MATCH(COLUMNS($AN$1006:AV1006),$AN$1006:$BO$1006,0)))),"Fix")))</f>
        <v>0</v>
      </c>
      <c r="K320" s="4">
        <f>IF(OR(INDEX($AH$2:$AH$1001,MATCH(ROWS($AG$2:AG320),$AG$2:$AG$1001,0),1)&gt;=100000,INDEX($AN$1005:$BO$1005,1,MATCH(COLUMNS($AN$1006:AW1006),$AN$1006:$BO$1006,0))&gt;=100000), " ",IF(INDEX($AN$2:$BO$1001,MATCH(ROWS($AG$2:AG320),$AG$2:$AG$1001,0),MATCH(COLUMNS($AN$1006:AW1006),$AN$1006:$BO$1006,0)), HYPERLINK("#",""), HYPERLINK(CONCATENATE("#Metadata!", ADDRESS(INDEX($AI$2:$AI$1001,MATCH(ROWS($AG$2:AG320),$AG$2:$AG$1001,0),0), INDEX($AN$1004:$BO$1004,1,MATCH(COLUMNS($AN$1006:AW1006),$AN$1006:$BO$1006,0)))),"Fix")))</f>
        <v>0</v>
      </c>
      <c r="L320" s="4">
        <f>IF(OR(INDEX($AH$2:$AH$1001,MATCH(ROWS($AG$2:AG320),$AG$2:$AG$1001,0),1)&gt;=100000,INDEX($AN$1005:$BO$1005,1,MATCH(COLUMNS($AN$1006:AX1006),$AN$1006:$BO$1006,0))&gt;=100000), " ",IF(INDEX($AN$2:$BO$1001,MATCH(ROWS($AG$2:AG320),$AG$2:$AG$1001,0),MATCH(COLUMNS($AN$1006:AX1006),$AN$1006:$BO$1006,0)), HYPERLINK("#",""), HYPERLINK(CONCATENATE("#Metadata!", ADDRESS(INDEX($AI$2:$AI$1001,MATCH(ROWS($AG$2:AG320),$AG$2:$AG$1001,0),0), INDEX($AN$1004:$BO$1004,1,MATCH(COLUMNS($AN$1006:AX1006),$AN$1006:$BO$1006,0)))),"Fix")))</f>
        <v>0</v>
      </c>
      <c r="M320" s="4">
        <f>IF(OR(INDEX($AH$2:$AH$1001,MATCH(ROWS($AG$2:AG320),$AG$2:$AG$1001,0),1)&gt;=100000,INDEX($AN$1005:$BO$1005,1,MATCH(COLUMNS($AN$1006:AY1006),$AN$1006:$BO$1006,0))&gt;=100000), " ",IF(INDEX($AN$2:$BO$1001,MATCH(ROWS($AG$2:AG320),$AG$2:$AG$1001,0),MATCH(COLUMNS($AN$1006:AY1006),$AN$1006:$BO$1006,0)), HYPERLINK("#",""), HYPERLINK(CONCATENATE("#Metadata!", ADDRESS(INDEX($AI$2:$AI$1001,MATCH(ROWS($AG$2:AG320),$AG$2:$AG$1001,0),0), INDEX($AN$1004:$BO$1004,1,MATCH(COLUMNS($AN$1006:AY1006),$AN$1006:$BO$1006,0)))),"Fix")))</f>
        <v>0</v>
      </c>
      <c r="N320" s="4">
        <f>IF(OR(INDEX($AH$2:$AH$1001,MATCH(ROWS($AG$2:AG320),$AG$2:$AG$1001,0),1)&gt;=100000,INDEX($AN$1005:$BO$1005,1,MATCH(COLUMNS($AN$1006:AZ1006),$AN$1006:$BO$1006,0))&gt;=100000), " ",IF(INDEX($AN$2:$BO$1001,MATCH(ROWS($AG$2:AG320),$AG$2:$AG$1001,0),MATCH(COLUMNS($AN$1006:AZ1006),$AN$1006:$BO$1006,0)), HYPERLINK("#",""), HYPERLINK(CONCATENATE("#Metadata!", ADDRESS(INDEX($AI$2:$AI$1001,MATCH(ROWS($AG$2:AG320),$AG$2:$AG$1001,0),0), INDEX($AN$1004:$BO$1004,1,MATCH(COLUMNS($AN$1006:AZ1006),$AN$1006:$BO$1006,0)))),"Fix")))</f>
        <v>0</v>
      </c>
      <c r="O320" s="4">
        <f>IF(OR(INDEX($AH$2:$AH$1001,MATCH(ROWS($AG$2:AG320),$AG$2:$AG$1001,0),1)&gt;=100000,INDEX($AN$1005:$BO$1005,1,MATCH(COLUMNS($AN$1006:BA1006),$AN$1006:$BO$1006,0))&gt;=100000), " ",IF(INDEX($AN$2:$BO$1001,MATCH(ROWS($AG$2:AG320),$AG$2:$AG$1001,0),MATCH(COLUMNS($AN$1006:BA1006),$AN$1006:$BO$1006,0)), HYPERLINK("#",""), HYPERLINK(CONCATENATE("#Metadata!", ADDRESS(INDEX($AI$2:$AI$1001,MATCH(ROWS($AG$2:AG320),$AG$2:$AG$1001,0),0), INDEX($AN$1004:$BO$1004,1,MATCH(COLUMNS($AN$1006:BA1006),$AN$1006:$BO$1006,0)))),"Fix")))</f>
        <v>0</v>
      </c>
      <c r="P320" s="4">
        <f>IF(OR(INDEX($AH$2:$AH$1001,MATCH(ROWS($AG$2:AG320),$AG$2:$AG$1001,0),1)&gt;=100000,INDEX($AN$1005:$BO$1005,1,MATCH(COLUMNS($AN$1006:BB1006),$AN$1006:$BO$1006,0))&gt;=100000), " ",IF(INDEX($AN$2:$BO$1001,MATCH(ROWS($AG$2:AG320),$AG$2:$AG$1001,0),MATCH(COLUMNS($AN$1006:BB1006),$AN$1006:$BO$1006,0)), HYPERLINK("#",""), HYPERLINK(CONCATENATE("#Metadata!", ADDRESS(INDEX($AI$2:$AI$1001,MATCH(ROWS($AG$2:AG320),$AG$2:$AG$1001,0),0), INDEX($AN$1004:$BO$1004,1,MATCH(COLUMNS($AN$1006:BB1006),$AN$1006:$BO$1006,0)))),"Fix")))</f>
        <v>0</v>
      </c>
      <c r="Q320" s="4">
        <f>IF(OR(INDEX($AH$2:$AH$1001,MATCH(ROWS($AG$2:AG320),$AG$2:$AG$1001,0),1)&gt;=100000,INDEX($AN$1005:$BO$1005,1,MATCH(COLUMNS($AN$1006:BC1006),$AN$1006:$BO$1006,0))&gt;=100000), " ",IF(INDEX($AN$2:$BO$1001,MATCH(ROWS($AG$2:AG320),$AG$2:$AG$1001,0),MATCH(COLUMNS($AN$1006:BC1006),$AN$1006:$BO$1006,0)), HYPERLINK("#",""), HYPERLINK(CONCATENATE("#Metadata!", ADDRESS(INDEX($AI$2:$AI$1001,MATCH(ROWS($AG$2:AG320),$AG$2:$AG$1001,0),0), INDEX($AN$1004:$BO$1004,1,MATCH(COLUMNS($AN$1006:BC1006),$AN$1006:$BO$1006,0)))),"Fix")))</f>
        <v>0</v>
      </c>
      <c r="R320" s="4">
        <f>IF(OR(INDEX($AH$2:$AH$1001,MATCH(ROWS($AG$2:AG320),$AG$2:$AG$1001,0),1)&gt;=100000,INDEX($AN$1005:$BO$1005,1,MATCH(COLUMNS($AN$1006:BD1006),$AN$1006:$BO$1006,0))&gt;=100000), " ",IF(INDEX($AN$2:$BO$1001,MATCH(ROWS($AG$2:AG320),$AG$2:$AG$1001,0),MATCH(COLUMNS($AN$1006:BD1006),$AN$1006:$BO$1006,0)), HYPERLINK("#",""), HYPERLINK(CONCATENATE("#Metadata!", ADDRESS(INDEX($AI$2:$AI$1001,MATCH(ROWS($AG$2:AG320),$AG$2:$AG$1001,0),0), INDEX($AN$1004:$BO$1004,1,MATCH(COLUMNS($AN$1006:BD1006),$AN$1006:$BO$1006,0)))),"Fix")))</f>
        <v>0</v>
      </c>
      <c r="S320" s="4">
        <f>IF(OR(INDEX($AH$2:$AH$1001,MATCH(ROWS($AG$2:AG320),$AG$2:$AG$1001,0),1)&gt;=100000,INDEX($AN$1005:$BO$1005,1,MATCH(COLUMNS($AN$1006:BE1006),$AN$1006:$BO$1006,0))&gt;=100000), " ",IF(INDEX($AN$2:$BO$1001,MATCH(ROWS($AG$2:AG320),$AG$2:$AG$1001,0),MATCH(COLUMNS($AN$1006:BE1006),$AN$1006:$BO$1006,0)), HYPERLINK("#",""), HYPERLINK(CONCATENATE("#Metadata!", ADDRESS(INDEX($AI$2:$AI$1001,MATCH(ROWS($AG$2:AG320),$AG$2:$AG$1001,0),0), INDEX($AN$1004:$BO$1004,1,MATCH(COLUMNS($AN$1006:BE1006),$AN$1006:$BO$1006,0)))),"Fix")))</f>
        <v>0</v>
      </c>
      <c r="T320" s="4">
        <f>IF(OR(INDEX($AH$2:$AH$1001,MATCH(ROWS($AG$2:AG320),$AG$2:$AG$1001,0),1)&gt;=100000,INDEX($AN$1005:$BO$1005,1,MATCH(COLUMNS($AN$1006:BF1006),$AN$1006:$BO$1006,0))&gt;=100000), " ",IF(INDEX($AN$2:$BO$1001,MATCH(ROWS($AG$2:AG320),$AG$2:$AG$1001,0),MATCH(COLUMNS($AN$1006:BF1006),$AN$1006:$BO$1006,0)), HYPERLINK("#",""), HYPERLINK(CONCATENATE("#Metadata!", ADDRESS(INDEX($AI$2:$AI$1001,MATCH(ROWS($AG$2:AG320),$AG$2:$AG$1001,0),0), INDEX($AN$1004:$BO$1004,1,MATCH(COLUMNS($AN$1006:BF1006),$AN$1006:$BO$1006,0)))),"Fix")))</f>
        <v>0</v>
      </c>
      <c r="U320" s="4">
        <f>IF(OR(INDEX($AH$2:$AH$1001,MATCH(ROWS($AG$2:AG320),$AG$2:$AG$1001,0),1)&gt;=100000,INDEX($AN$1005:$BO$1005,1,MATCH(COLUMNS($AN$1006:BG1006),$AN$1006:$BO$1006,0))&gt;=100000), " ",IF(INDEX($AN$2:$BO$1001,MATCH(ROWS($AG$2:AG320),$AG$2:$AG$1001,0),MATCH(COLUMNS($AN$1006:BG1006),$AN$1006:$BO$1006,0)), HYPERLINK("#",""), HYPERLINK(CONCATENATE("#Metadata!", ADDRESS(INDEX($AI$2:$AI$1001,MATCH(ROWS($AG$2:AG320),$AG$2:$AG$1001,0),0), INDEX($AN$1004:$BO$1004,1,MATCH(COLUMNS($AN$1006:BG1006),$AN$1006:$BO$1006,0)))),"Fix")))</f>
        <v>0</v>
      </c>
      <c r="V320" s="4">
        <f>IF(OR(INDEX($AH$2:$AH$1001,MATCH(ROWS($AG$2:AG320),$AG$2:$AG$1001,0),1)&gt;=100000,INDEX($AN$1005:$BO$1005,1,MATCH(COLUMNS($AN$1006:BH1006),$AN$1006:$BO$1006,0))&gt;=100000), " ",IF(INDEX($AN$2:$BO$1001,MATCH(ROWS($AG$2:AG320),$AG$2:$AG$1001,0),MATCH(COLUMNS($AN$1006:BH1006),$AN$1006:$BO$1006,0)), HYPERLINK("#",""), HYPERLINK(CONCATENATE("#Metadata!", ADDRESS(INDEX($AI$2:$AI$1001,MATCH(ROWS($AG$2:AG320),$AG$2:$AG$1001,0),0), INDEX($AN$1004:$BO$1004,1,MATCH(COLUMNS($AN$1006:BH1006),$AN$1006:$BO$1006,0)))),"Fix")))</f>
        <v>0</v>
      </c>
      <c r="W320" s="4">
        <f>IF(OR(INDEX($AH$2:$AH$1001,MATCH(ROWS($AG$2:AG320),$AG$2:$AG$1001,0),1)&gt;=100000,INDEX($AN$1005:$BO$1005,1,MATCH(COLUMNS($AN$1006:BI1006),$AN$1006:$BO$1006,0))&gt;=100000), " ",IF(INDEX($AN$2:$BO$1001,MATCH(ROWS($AG$2:AG320),$AG$2:$AG$1001,0),MATCH(COLUMNS($AN$1006:BI1006),$AN$1006:$BO$1006,0)), HYPERLINK("#",""), HYPERLINK(CONCATENATE("#Metadata!", ADDRESS(INDEX($AI$2:$AI$1001,MATCH(ROWS($AG$2:AG320),$AG$2:$AG$1001,0),0), INDEX($AN$1004:$BO$1004,1,MATCH(COLUMNS($AN$1006:BI1006),$AN$1006:$BO$1006,0)))),"Fix")))</f>
        <v>0</v>
      </c>
      <c r="X320" s="4">
        <f>IF(OR(INDEX($AH$2:$AH$1001,MATCH(ROWS($AG$2:AG320),$AG$2:$AG$1001,0),1)&gt;=100000,INDEX($AN$1005:$BO$1005,1,MATCH(COLUMNS($AN$1006:BJ1006),$AN$1006:$BO$1006,0))&gt;=100000), " ",IF(INDEX($AN$2:$BO$1001,MATCH(ROWS($AG$2:AG320),$AG$2:$AG$1001,0),MATCH(COLUMNS($AN$1006:BJ1006),$AN$1006:$BO$1006,0)), HYPERLINK("#",""), HYPERLINK(CONCATENATE("#Metadata!", ADDRESS(INDEX($AI$2:$AI$1001,MATCH(ROWS($AG$2:AG320),$AG$2:$AG$1001,0),0), INDEX($AN$1004:$BO$1004,1,MATCH(COLUMNS($AN$1006:BJ1006),$AN$1006:$BO$1006,0)))),"Fix")))</f>
        <v>0</v>
      </c>
      <c r="Y320" s="4">
        <f>IF(OR(INDEX($AH$2:$AH$1001,MATCH(ROWS($AG$2:AG320),$AG$2:$AG$1001,0),1)&gt;=100000,INDEX($AN$1005:$BO$1005,1,MATCH(COLUMNS($AN$1006:BK1006),$AN$1006:$BO$1006,0))&gt;=100000), " ",IF(INDEX($AN$2:$BO$1001,MATCH(ROWS($AG$2:AG320),$AG$2:$AG$1001,0),MATCH(COLUMNS($AN$1006:BK1006),$AN$1006:$BO$1006,0)), HYPERLINK("#",""), HYPERLINK(CONCATENATE("#Metadata!", ADDRESS(INDEX($AI$2:$AI$1001,MATCH(ROWS($AG$2:AG320),$AG$2:$AG$1001,0),0), INDEX($AN$1004:$BO$1004,1,MATCH(COLUMNS($AN$1006:BK1006),$AN$1006:$BO$1006,0)))),"Fix")))</f>
        <v>0</v>
      </c>
      <c r="Z320" s="4">
        <f>IF(OR(INDEX($AH$2:$AH$1001,MATCH(ROWS($AG$2:AG320),$AG$2:$AG$1001,0),1)&gt;=100000,INDEX($AN$1005:$BO$1005,1,MATCH(COLUMNS($AN$1006:BL1006),$AN$1006:$BO$1006,0))&gt;=100000), " ",IF(INDEX($AN$2:$BO$1001,MATCH(ROWS($AG$2:AG320),$AG$2:$AG$1001,0),MATCH(COLUMNS($AN$1006:BL1006),$AN$1006:$BO$1006,0)), HYPERLINK("#",""), HYPERLINK(CONCATENATE("#Metadata!", ADDRESS(INDEX($AI$2:$AI$1001,MATCH(ROWS($AG$2:AG320),$AG$2:$AG$1001,0),0), INDEX($AN$1004:$BO$1004,1,MATCH(COLUMNS($AN$1006:BL1006),$AN$1006:$BO$1006,0)))),"Fix")))</f>
        <v>0</v>
      </c>
      <c r="AA320" s="4">
        <f>IF(OR(INDEX($AH$2:$AH$1001,MATCH(ROWS($AG$2:AG320),$AG$2:$AG$1001,0),1)&gt;=100000,INDEX($AN$1005:$BO$1005,1,MATCH(COLUMNS($AN$1006:BM1006),$AN$1006:$BO$1006,0))&gt;=100000), " ",IF(INDEX($AN$2:$BO$1001,MATCH(ROWS($AG$2:AG320),$AG$2:$AG$1001,0),MATCH(COLUMNS($AN$1006:BM1006),$AN$1006:$BO$1006,0)), HYPERLINK("#",""), HYPERLINK(CONCATENATE("#Metadata!", ADDRESS(INDEX($AI$2:$AI$1001,MATCH(ROWS($AG$2:AG320),$AG$2:$AG$1001,0),0), INDEX($AN$1004:$BO$1004,1,MATCH(COLUMNS($AN$1006:BM1006),$AN$1006:$BO$1006,0)))),"Fix")))</f>
        <v>0</v>
      </c>
      <c r="AB320" s="4">
        <f>IF(OR(INDEX($AH$2:$AH$1001,MATCH(ROWS($AG$2:AG320),$AG$2:$AG$1001,0),1)&gt;=100000,INDEX($AN$1005:$BO$1005,1,MATCH(COLUMNS($AN$1006:BN1006),$AN$1006:$BO$1006,0))&gt;=100000), " ",IF(INDEX($AN$2:$BO$1001,MATCH(ROWS($AG$2:AG320),$AG$2:$AG$1001,0),MATCH(COLUMNS($AN$1006:BN1006),$AN$1006:$BO$1006,0)), HYPERLINK("#",""), HYPERLINK(CONCATENATE("#Metadata!", ADDRESS(INDEX($AI$2:$AI$1001,MATCH(ROWS($AG$2:AG320),$AG$2:$AG$1001,0),0), INDEX($AN$1004:$BO$1004,1,MATCH(COLUMNS($AN$1006:BN1006),$AN$1006:$BO$1006,0)))),"Fix")))</f>
        <v>0</v>
      </c>
      <c r="AC320" s="4">
        <f>IF(OR(INDEX($AH$2:$AH$1001,MATCH(ROWS($AG$2:AG320),$AG$2:$AG$1001,0),1)&gt;=100000,INDEX($AN$1005:$BO$1005,1,MATCH(COLUMNS($AN$1006:BO1006),$AN$1006:$BO$1006,0))&gt;=100000), " ",IF(INDEX($AN$2:$BO$1001,MATCH(ROWS($AG$2:AG320),$AG$2:$AG$1001,0),MATCH(COLUMNS($AN$1006:BO1006),$AN$1006:$BO$1006,0)), HYPERLINK("#",""), HYPERLINK(CONCATENATE("#Metadata!", ADDRESS(INDEX($AI$2:$AI$1001,MATCH(ROWS($AG$2:AG320),$AG$2:$AG$1001,0),0), INDEX($AN$1004:$BO$1004,1,MATCH(COLUMNS($AN$1006:BO1006),$AN$1006:$BO$1006,0)))),"Fix")))</f>
        <v>0</v>
      </c>
      <c r="AG320">
        <v>0</v>
      </c>
      <c r="AH320">
        <v>0</v>
      </c>
      <c r="AI320">
        <v>0</v>
      </c>
      <c r="AJ320">
        <f>IF(AK320,TRUE,AND(AN320:BO320))</f>
        <v>0</v>
      </c>
      <c r="AK320">
        <f>COUNTBLANK(Metadata!B320:AC320)=COLUMNS(Metadata!B320:AC320)</f>
        <v>0</v>
      </c>
      <c r="AL320">
        <v>0</v>
      </c>
      <c r="AN320">
        <f>AND(IF(Metadata!B320="",FALSE,TRUE),COUNTIF(Metadata!B:B, Metadata!B320) = 1,NOT(ISERROR(SUMPRODUCT(SEARCH(MID(Metadata!B320,ROW(INDIRECT("1:"&amp;LEN(Metadata!B320))), 1),"0123456789abcdefghijklmnopqrstuvwxyzABCDEFGHIJKLMNOPQRSTUVWXYZ.")))))</f>
        <v>0</v>
      </c>
      <c r="AO320">
        <f>IF(Metadata!C320="",FALSE,TRUE)</f>
        <v>0</v>
      </c>
      <c r="AP320">
        <f>IF(Metadata!D320="",FALSE,TRUE)</f>
        <v>0</v>
      </c>
      <c r="AQ320">
        <f>OR(AND(IF(Metadata!E320="",FALSE,TRUE),OR(exact(Metadata!E320,"not collected"),exact(Metadata!E320,"not provided"),exact(Metadata!E320,"restricted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R320">
        <f>IF(Metadata!F320="",FALSE,TRUE)</f>
        <v>0</v>
      </c>
      <c r="AS320">
        <f>OR(AND(IF(Metadata!G320="",FALSE,TRUE),OR(exact(Metadata!G320,"not collected"),exact(Metadata!G320,"not provided"))),AND(IF(Metadata!G320="",FALSE,TRUE),OR(exact(Metadata!G320,"TRUE"),exact(Metadata!G320,"FALSE"))))</f>
        <v>0</v>
      </c>
      <c r="AT320">
        <f>OR(AND(IF(Metadata!H320="",FALSE,TRUE),OR(exact(Metadata!H320,"not collected"),exact(Metadata!H320,"not provided"),exact(Metadata!H320,"restricted access"))),AND(IF(Metadata!H320="",FALSE,ISNUMBER(VALUE(Metadata!H320))),Metadata!H320&gt;=-413.0))</f>
        <v>0</v>
      </c>
      <c r="AU320">
        <f>AND(IF(Metadata!I320="",FALSE,TRUE),exact(Metadata!I320,"meters"))</f>
        <v>0</v>
      </c>
      <c r="AV320">
        <f>AND(IF(Metadata!J320="",FALSE,TRUE),OR(exact(Metadata!J320,"Host-associated"),exact(Metadata!J320,"Free-living")))</f>
        <v>0</v>
      </c>
      <c r="AW320">
        <f>AND(IF(Metadata!K320="",FALSE,TRUE),OR(exact(Metadata!K320,"Animal"),exact(Metadata!K320,"Fungus"),exact(Metadata!K320,"Plant"),exact(Metadata!K320,"Saline"),exact(Metadata!K320,"Non-saline")))</f>
        <v>0</v>
      </c>
      <c r="AX320">
        <f>AND(IF(Metadata!L320="",FALSE,TRUE),OR(exact(Metadata!L320,"Plant secretion"),exact(Metadata!L320,"Plant rhizosphere"),exact(Metadata!L320,"Plant surface"),exact(Metadata!L320,"Plant corpus"),exact(Metadata!L320,"Fungus surface"),exact(Metadata!L320,"Fungus corpus"),exact(Metadata!L320,"Animal surface"),exact(Metadata!L320,"Animal proximal gut"),exact(Metadata!L320,"Animal corpus"),exact(Metadata!L320,"Animal distal gut"),exact(Metadata!L320,"Animal secretion"),exact(Metadata!L320,"Sub-surface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Y320">
        <f>IF(Metadata!M320="",FALSE,TRUE)</f>
        <v>0</v>
      </c>
      <c r="AZ320">
        <f>IF(Metadata!N320="",FALSE,TRUE)</f>
        <v>0</v>
      </c>
      <c r="BA320">
        <f>IF(Metadata!O320="",FALSE,TRUE)</f>
        <v>0</v>
      </c>
      <c r="BB320">
        <f>OR(AND(IF(Metadata!P320="",FALSE,TRUE),OR(exact(Metadata!P320,"not collected"),exact(Metadata!P320,"not provided"),exact(Metadata!P320,"restricted access"))),AND(IF(Metadata!P320="",FALSE,TRUE),OR(exact(Metadata!P320,"air"),exact(Metadata!P320,"built environment"),exact(Metadata!P320,"host-associated"),exact(Metadata!P320,"human-associated"),exact(Metadata!P320,"human-skin"),exact(Metadata!P320,"human-oral"),exact(Metadata!P320,"human-gut"),exact(Metadata!P320,"human-vaginal"),exact(Metadata!P320,"microbial mat/biofilm"),exact(Metadata!P320,"misc environment"),exact(Metadata!P320,"plant-associated"),exact(Metadata!P320,"sediment"),exact(Metadata!P320,"soil"),exact(Metadata!P320,"wastewater/sludge"),exact(Metadata!P320,"water"))))</f>
        <v>0</v>
      </c>
      <c r="BC320">
        <f>IF(Metadata!Q320="",FALSE,TRUE)</f>
        <v>0</v>
      </c>
      <c r="BD320">
        <f>IF(Metadata!R320="",FALSE,TRUE)</f>
        <v>0</v>
      </c>
      <c r="BE320">
        <f>OR(AND(IF(Metadata!S320="",FALSE,TRUE),OR(exact(Metadata!S320,"not collected"),exact(Metadata!S320,"not provided"),exact(Metadata!S320,"restricted access"))),AND(IF(Metadata!S320="",FALSE,ISNUMBER(VALUE(Metadata!S320))),Metadata!S320&gt;=-90.00,Metadata!S320&lt;=90.00))</f>
        <v>0</v>
      </c>
      <c r="BF320">
        <f>AND(IF(Metadata!T320="",FALSE,TRUE),exact(Metadata!T320,"Decimal degrees"))</f>
        <v>0</v>
      </c>
      <c r="BG320">
        <f>OR(AND(IF(Metadata!U320="",FALSE,TRUE),OR(exact(Metadata!U320,"not collected"),exact(Metadata!U320,"not provided"),exact(Metadata!U320,"restricted access"))),AND(IF(Metadata!U320="",FALSE,ISNUMBER(VALUE(Metadata!U320))),Metadata!U320&gt;=-180.00,Metadata!U320&lt;=180.00))</f>
        <v>0</v>
      </c>
      <c r="BH320">
        <f>AND(IF(Metadata!V320="",FALSE,TRUE),exact(Metadata!V320,"Decimal degrees"))</f>
        <v>0</v>
      </c>
      <c r="BI320">
        <f>IF(Metadata!W320="",FALSE,TRUE)</f>
        <v>0</v>
      </c>
      <c r="BJ320">
        <f>OR(AND(IF(Metadata!X320="",FALSE,TRUE),OR(exact(Metadata!X320,"not collected"),exact(Metadata!X320,"not provided"),exact(Metadata!X320,"restricted access"))),AND(IF(Metadata!X320="",FALSE,TRUE),OR(exact(Metadata!X320,"TRUE"),exact(Metadata!X320,"FALSE"))))</f>
        <v>0</v>
      </c>
      <c r="BK320">
        <f>AND(IF(Metadata!Y320="",FALSE,TRUE),exact(Metadata!Y320,"other"))</f>
        <v>0</v>
      </c>
      <c r="BL320">
        <f>IF(Metadata!Z320="",FALSE,TRUE)</f>
        <v>0</v>
      </c>
      <c r="BM320">
        <f>OR(AND(IF(Metadata!AA320="",FALSE,TRUE),OR(exact(Metadata!AA320,"not collected"),exact(Metadata!AA320,"not provided"))),AND(IF(Metadata!AA320="",FALSE,IF(ISERROR(INT(Metadata!AA320)),FALSE,INT(Metadata!AA320)=Metadata!AA320)),Metadata!AA320&gt;0))</f>
        <v>0</v>
      </c>
      <c r="BN320">
        <f>AND(IF(Metadata!AB320="",FALSE,TRUE),exact(Metadata!AB320,"Not applicable"))</f>
        <v>0</v>
      </c>
      <c r="BO320">
        <f>IF(Metadata!AC320="",FALSE,TRUE)</f>
        <v>0</v>
      </c>
    </row>
    <row r="321" spans="1:67">
      <c r="A321" s="5">
        <f>IF(B321=" "," ",HYPERLINK(CONCATENATE("#metadata!",ADDRESS(INDEX($AI$2:$AI$1001,MATCH(ROWS($AG$2:AG321),$AG$2:$AG$1001,0),0),1)),INDEX($AL$2:$AL$1001,MATCH(ROWS($AG$2:AG321),$AG$2:$AG$1001,0),0)))</f>
        <v>0</v>
      </c>
      <c r="B321" s="4">
        <f>IF(OR(INDEX($AH$2:$AH$1001,MATCH(ROWS($AG$2:AG321),$AG$2:$AG$1001,0),1)&gt;=100000,INDEX($AN$1005:$BO$1005,1,MATCH(COLUMNS($AN$1006:AN1006),$AN$1006:$BO$1006,0))&gt;=100000), " ",IF(INDEX($AN$2:$BO$1001,MATCH(ROWS($AG$2:AG321),$AG$2:$AG$1001,0),MATCH(COLUMNS($AN$1006:AN1006),$AN$1006:$BO$1006,0)), HYPERLINK("#",""), HYPERLINK(CONCATENATE("#Metadata!", ADDRESS(INDEX($AI$2:$AI$1001,MATCH(ROWS($AG$2:AG321),$AG$2:$AG$1001,0),0), INDEX($AN$1004:$BO$1004,1,MATCH(COLUMNS($AN$1006:AN1006),$AN$1006:$BO$1006,0)))),"Fix")))</f>
        <v>0</v>
      </c>
      <c r="C321" s="4">
        <f>IF(OR(INDEX($AH$2:$AH$1001,MATCH(ROWS($AG$2:AG321),$AG$2:$AG$1001,0),1)&gt;=100000,INDEX($AN$1005:$BO$1005,1,MATCH(COLUMNS($AN$1006:AO1006),$AN$1006:$BO$1006,0))&gt;=100000), " ",IF(INDEX($AN$2:$BO$1001,MATCH(ROWS($AG$2:AG321),$AG$2:$AG$1001,0),MATCH(COLUMNS($AN$1006:AO1006),$AN$1006:$BO$1006,0)), HYPERLINK("#",""), HYPERLINK(CONCATENATE("#Metadata!", ADDRESS(INDEX($AI$2:$AI$1001,MATCH(ROWS($AG$2:AG321),$AG$2:$AG$1001,0),0), INDEX($AN$1004:$BO$1004,1,MATCH(COLUMNS($AN$1006:AO1006),$AN$1006:$BO$1006,0)))),"Fix")))</f>
        <v>0</v>
      </c>
      <c r="D321" s="4">
        <f>IF(OR(INDEX($AH$2:$AH$1001,MATCH(ROWS($AG$2:AG321),$AG$2:$AG$1001,0),1)&gt;=100000,INDEX($AN$1005:$BO$1005,1,MATCH(COLUMNS($AN$1006:AP1006),$AN$1006:$BO$1006,0))&gt;=100000), " ",IF(INDEX($AN$2:$BO$1001,MATCH(ROWS($AG$2:AG321),$AG$2:$AG$1001,0),MATCH(COLUMNS($AN$1006:AP1006),$AN$1006:$BO$1006,0)), HYPERLINK("#",""), HYPERLINK(CONCATENATE("#Metadata!", ADDRESS(INDEX($AI$2:$AI$1001,MATCH(ROWS($AG$2:AG321),$AG$2:$AG$1001,0),0), INDEX($AN$1004:$BO$1004,1,MATCH(COLUMNS($AN$1006:AP1006),$AN$1006:$BO$1006,0)))),"Fix")))</f>
        <v>0</v>
      </c>
      <c r="E321" s="4">
        <f>IF(OR(INDEX($AH$2:$AH$1001,MATCH(ROWS($AG$2:AG321),$AG$2:$AG$1001,0),1)&gt;=100000,INDEX($AN$1005:$BO$1005,1,MATCH(COLUMNS($AN$1006:AQ1006),$AN$1006:$BO$1006,0))&gt;=100000), " ",IF(INDEX($AN$2:$BO$1001,MATCH(ROWS($AG$2:AG321),$AG$2:$AG$1001,0),MATCH(COLUMNS($AN$1006:AQ1006),$AN$1006:$BO$1006,0)), HYPERLINK("#",""), HYPERLINK(CONCATENATE("#Metadata!", ADDRESS(INDEX($AI$2:$AI$1001,MATCH(ROWS($AG$2:AG321),$AG$2:$AG$1001,0),0), INDEX($AN$1004:$BO$1004,1,MATCH(COLUMNS($AN$1006:AQ1006),$AN$1006:$BO$1006,0)))),"Fix")))</f>
        <v>0</v>
      </c>
      <c r="F321" s="4">
        <f>IF(OR(INDEX($AH$2:$AH$1001,MATCH(ROWS($AG$2:AG321),$AG$2:$AG$1001,0),1)&gt;=100000,INDEX($AN$1005:$BO$1005,1,MATCH(COLUMNS($AN$1006:AR1006),$AN$1006:$BO$1006,0))&gt;=100000), " ",IF(INDEX($AN$2:$BO$1001,MATCH(ROWS($AG$2:AG321),$AG$2:$AG$1001,0),MATCH(COLUMNS($AN$1006:AR1006),$AN$1006:$BO$1006,0)), HYPERLINK("#",""), HYPERLINK(CONCATENATE("#Metadata!", ADDRESS(INDEX($AI$2:$AI$1001,MATCH(ROWS($AG$2:AG321),$AG$2:$AG$1001,0),0), INDEX($AN$1004:$BO$1004,1,MATCH(COLUMNS($AN$1006:AR1006),$AN$1006:$BO$1006,0)))),"Fix")))</f>
        <v>0</v>
      </c>
      <c r="G321" s="4">
        <f>IF(OR(INDEX($AH$2:$AH$1001,MATCH(ROWS($AG$2:AG321),$AG$2:$AG$1001,0),1)&gt;=100000,INDEX($AN$1005:$BO$1005,1,MATCH(COLUMNS($AN$1006:AS1006),$AN$1006:$BO$1006,0))&gt;=100000), " ",IF(INDEX($AN$2:$BO$1001,MATCH(ROWS($AG$2:AG321),$AG$2:$AG$1001,0),MATCH(COLUMNS($AN$1006:AS1006),$AN$1006:$BO$1006,0)), HYPERLINK("#",""), HYPERLINK(CONCATENATE("#Metadata!", ADDRESS(INDEX($AI$2:$AI$1001,MATCH(ROWS($AG$2:AG321),$AG$2:$AG$1001,0),0), INDEX($AN$1004:$BO$1004,1,MATCH(COLUMNS($AN$1006:AS1006),$AN$1006:$BO$1006,0)))),"Fix")))</f>
        <v>0</v>
      </c>
      <c r="H321" s="4">
        <f>IF(OR(INDEX($AH$2:$AH$1001,MATCH(ROWS($AG$2:AG321),$AG$2:$AG$1001,0),1)&gt;=100000,INDEX($AN$1005:$BO$1005,1,MATCH(COLUMNS($AN$1006:AT1006),$AN$1006:$BO$1006,0))&gt;=100000), " ",IF(INDEX($AN$2:$BO$1001,MATCH(ROWS($AG$2:AG321),$AG$2:$AG$1001,0),MATCH(COLUMNS($AN$1006:AT1006),$AN$1006:$BO$1006,0)), HYPERLINK("#",""), HYPERLINK(CONCATENATE("#Metadata!", ADDRESS(INDEX($AI$2:$AI$1001,MATCH(ROWS($AG$2:AG321),$AG$2:$AG$1001,0),0), INDEX($AN$1004:$BO$1004,1,MATCH(COLUMNS($AN$1006:AT1006),$AN$1006:$BO$1006,0)))),"Fix")))</f>
        <v>0</v>
      </c>
      <c r="I321" s="4">
        <f>IF(OR(INDEX($AH$2:$AH$1001,MATCH(ROWS($AG$2:AG321),$AG$2:$AG$1001,0),1)&gt;=100000,INDEX($AN$1005:$BO$1005,1,MATCH(COLUMNS($AN$1006:AU1006),$AN$1006:$BO$1006,0))&gt;=100000), " ",IF(INDEX($AN$2:$BO$1001,MATCH(ROWS($AG$2:AG321),$AG$2:$AG$1001,0),MATCH(COLUMNS($AN$1006:AU1006),$AN$1006:$BO$1006,0)), HYPERLINK("#",""), HYPERLINK(CONCATENATE("#Metadata!", ADDRESS(INDEX($AI$2:$AI$1001,MATCH(ROWS($AG$2:AG321),$AG$2:$AG$1001,0),0), INDEX($AN$1004:$BO$1004,1,MATCH(COLUMNS($AN$1006:AU1006),$AN$1006:$BO$1006,0)))),"Fix")))</f>
        <v>0</v>
      </c>
      <c r="J321" s="4">
        <f>IF(OR(INDEX($AH$2:$AH$1001,MATCH(ROWS($AG$2:AG321),$AG$2:$AG$1001,0),1)&gt;=100000,INDEX($AN$1005:$BO$1005,1,MATCH(COLUMNS($AN$1006:AV1006),$AN$1006:$BO$1006,0))&gt;=100000), " ",IF(INDEX($AN$2:$BO$1001,MATCH(ROWS($AG$2:AG321),$AG$2:$AG$1001,0),MATCH(COLUMNS($AN$1006:AV1006),$AN$1006:$BO$1006,0)), HYPERLINK("#",""), HYPERLINK(CONCATENATE("#Metadata!", ADDRESS(INDEX($AI$2:$AI$1001,MATCH(ROWS($AG$2:AG321),$AG$2:$AG$1001,0),0), INDEX($AN$1004:$BO$1004,1,MATCH(COLUMNS($AN$1006:AV1006),$AN$1006:$BO$1006,0)))),"Fix")))</f>
        <v>0</v>
      </c>
      <c r="K321" s="4">
        <f>IF(OR(INDEX($AH$2:$AH$1001,MATCH(ROWS($AG$2:AG321),$AG$2:$AG$1001,0),1)&gt;=100000,INDEX($AN$1005:$BO$1005,1,MATCH(COLUMNS($AN$1006:AW1006),$AN$1006:$BO$1006,0))&gt;=100000), " ",IF(INDEX($AN$2:$BO$1001,MATCH(ROWS($AG$2:AG321),$AG$2:$AG$1001,0),MATCH(COLUMNS($AN$1006:AW1006),$AN$1006:$BO$1006,0)), HYPERLINK("#",""), HYPERLINK(CONCATENATE("#Metadata!", ADDRESS(INDEX($AI$2:$AI$1001,MATCH(ROWS($AG$2:AG321),$AG$2:$AG$1001,0),0), INDEX($AN$1004:$BO$1004,1,MATCH(COLUMNS($AN$1006:AW1006),$AN$1006:$BO$1006,0)))),"Fix")))</f>
        <v>0</v>
      </c>
      <c r="L321" s="4">
        <f>IF(OR(INDEX($AH$2:$AH$1001,MATCH(ROWS($AG$2:AG321),$AG$2:$AG$1001,0),1)&gt;=100000,INDEX($AN$1005:$BO$1005,1,MATCH(COLUMNS($AN$1006:AX1006),$AN$1006:$BO$1006,0))&gt;=100000), " ",IF(INDEX($AN$2:$BO$1001,MATCH(ROWS($AG$2:AG321),$AG$2:$AG$1001,0),MATCH(COLUMNS($AN$1006:AX1006),$AN$1006:$BO$1006,0)), HYPERLINK("#",""), HYPERLINK(CONCATENATE("#Metadata!", ADDRESS(INDEX($AI$2:$AI$1001,MATCH(ROWS($AG$2:AG321),$AG$2:$AG$1001,0),0), INDEX($AN$1004:$BO$1004,1,MATCH(COLUMNS($AN$1006:AX1006),$AN$1006:$BO$1006,0)))),"Fix")))</f>
        <v>0</v>
      </c>
      <c r="M321" s="4">
        <f>IF(OR(INDEX($AH$2:$AH$1001,MATCH(ROWS($AG$2:AG321),$AG$2:$AG$1001,0),1)&gt;=100000,INDEX($AN$1005:$BO$1005,1,MATCH(COLUMNS($AN$1006:AY1006),$AN$1006:$BO$1006,0))&gt;=100000), " ",IF(INDEX($AN$2:$BO$1001,MATCH(ROWS($AG$2:AG321),$AG$2:$AG$1001,0),MATCH(COLUMNS($AN$1006:AY1006),$AN$1006:$BO$1006,0)), HYPERLINK("#",""), HYPERLINK(CONCATENATE("#Metadata!", ADDRESS(INDEX($AI$2:$AI$1001,MATCH(ROWS($AG$2:AG321),$AG$2:$AG$1001,0),0), INDEX($AN$1004:$BO$1004,1,MATCH(COLUMNS($AN$1006:AY1006),$AN$1006:$BO$1006,0)))),"Fix")))</f>
        <v>0</v>
      </c>
      <c r="N321" s="4">
        <f>IF(OR(INDEX($AH$2:$AH$1001,MATCH(ROWS($AG$2:AG321),$AG$2:$AG$1001,0),1)&gt;=100000,INDEX($AN$1005:$BO$1005,1,MATCH(COLUMNS($AN$1006:AZ1006),$AN$1006:$BO$1006,0))&gt;=100000), " ",IF(INDEX($AN$2:$BO$1001,MATCH(ROWS($AG$2:AG321),$AG$2:$AG$1001,0),MATCH(COLUMNS($AN$1006:AZ1006),$AN$1006:$BO$1006,0)), HYPERLINK("#",""), HYPERLINK(CONCATENATE("#Metadata!", ADDRESS(INDEX($AI$2:$AI$1001,MATCH(ROWS($AG$2:AG321),$AG$2:$AG$1001,0),0), INDEX($AN$1004:$BO$1004,1,MATCH(COLUMNS($AN$1006:AZ1006),$AN$1006:$BO$1006,0)))),"Fix")))</f>
        <v>0</v>
      </c>
      <c r="O321" s="4">
        <f>IF(OR(INDEX($AH$2:$AH$1001,MATCH(ROWS($AG$2:AG321),$AG$2:$AG$1001,0),1)&gt;=100000,INDEX($AN$1005:$BO$1005,1,MATCH(COLUMNS($AN$1006:BA1006),$AN$1006:$BO$1006,0))&gt;=100000), " ",IF(INDEX($AN$2:$BO$1001,MATCH(ROWS($AG$2:AG321),$AG$2:$AG$1001,0),MATCH(COLUMNS($AN$1006:BA1006),$AN$1006:$BO$1006,0)), HYPERLINK("#",""), HYPERLINK(CONCATENATE("#Metadata!", ADDRESS(INDEX($AI$2:$AI$1001,MATCH(ROWS($AG$2:AG321),$AG$2:$AG$1001,0),0), INDEX($AN$1004:$BO$1004,1,MATCH(COLUMNS($AN$1006:BA1006),$AN$1006:$BO$1006,0)))),"Fix")))</f>
        <v>0</v>
      </c>
      <c r="P321" s="4">
        <f>IF(OR(INDEX($AH$2:$AH$1001,MATCH(ROWS($AG$2:AG321),$AG$2:$AG$1001,0),1)&gt;=100000,INDEX($AN$1005:$BO$1005,1,MATCH(COLUMNS($AN$1006:BB1006),$AN$1006:$BO$1006,0))&gt;=100000), " ",IF(INDEX($AN$2:$BO$1001,MATCH(ROWS($AG$2:AG321),$AG$2:$AG$1001,0),MATCH(COLUMNS($AN$1006:BB1006),$AN$1006:$BO$1006,0)), HYPERLINK("#",""), HYPERLINK(CONCATENATE("#Metadata!", ADDRESS(INDEX($AI$2:$AI$1001,MATCH(ROWS($AG$2:AG321),$AG$2:$AG$1001,0),0), INDEX($AN$1004:$BO$1004,1,MATCH(COLUMNS($AN$1006:BB1006),$AN$1006:$BO$1006,0)))),"Fix")))</f>
        <v>0</v>
      </c>
      <c r="Q321" s="4">
        <f>IF(OR(INDEX($AH$2:$AH$1001,MATCH(ROWS($AG$2:AG321),$AG$2:$AG$1001,0),1)&gt;=100000,INDEX($AN$1005:$BO$1005,1,MATCH(COLUMNS($AN$1006:BC1006),$AN$1006:$BO$1006,0))&gt;=100000), " ",IF(INDEX($AN$2:$BO$1001,MATCH(ROWS($AG$2:AG321),$AG$2:$AG$1001,0),MATCH(COLUMNS($AN$1006:BC1006),$AN$1006:$BO$1006,0)), HYPERLINK("#",""), HYPERLINK(CONCATENATE("#Metadata!", ADDRESS(INDEX($AI$2:$AI$1001,MATCH(ROWS($AG$2:AG321),$AG$2:$AG$1001,0),0), INDEX($AN$1004:$BO$1004,1,MATCH(COLUMNS($AN$1006:BC1006),$AN$1006:$BO$1006,0)))),"Fix")))</f>
        <v>0</v>
      </c>
      <c r="R321" s="4">
        <f>IF(OR(INDEX($AH$2:$AH$1001,MATCH(ROWS($AG$2:AG321),$AG$2:$AG$1001,0),1)&gt;=100000,INDEX($AN$1005:$BO$1005,1,MATCH(COLUMNS($AN$1006:BD1006),$AN$1006:$BO$1006,0))&gt;=100000), " ",IF(INDEX($AN$2:$BO$1001,MATCH(ROWS($AG$2:AG321),$AG$2:$AG$1001,0),MATCH(COLUMNS($AN$1006:BD1006),$AN$1006:$BO$1006,0)), HYPERLINK("#",""), HYPERLINK(CONCATENATE("#Metadata!", ADDRESS(INDEX($AI$2:$AI$1001,MATCH(ROWS($AG$2:AG321),$AG$2:$AG$1001,0),0), INDEX($AN$1004:$BO$1004,1,MATCH(COLUMNS($AN$1006:BD1006),$AN$1006:$BO$1006,0)))),"Fix")))</f>
        <v>0</v>
      </c>
      <c r="S321" s="4">
        <f>IF(OR(INDEX($AH$2:$AH$1001,MATCH(ROWS($AG$2:AG321),$AG$2:$AG$1001,0),1)&gt;=100000,INDEX($AN$1005:$BO$1005,1,MATCH(COLUMNS($AN$1006:BE1006),$AN$1006:$BO$1006,0))&gt;=100000), " ",IF(INDEX($AN$2:$BO$1001,MATCH(ROWS($AG$2:AG321),$AG$2:$AG$1001,0),MATCH(COLUMNS($AN$1006:BE1006),$AN$1006:$BO$1006,0)), HYPERLINK("#",""), HYPERLINK(CONCATENATE("#Metadata!", ADDRESS(INDEX($AI$2:$AI$1001,MATCH(ROWS($AG$2:AG321),$AG$2:$AG$1001,0),0), INDEX($AN$1004:$BO$1004,1,MATCH(COLUMNS($AN$1006:BE1006),$AN$1006:$BO$1006,0)))),"Fix")))</f>
        <v>0</v>
      </c>
      <c r="T321" s="4">
        <f>IF(OR(INDEX($AH$2:$AH$1001,MATCH(ROWS($AG$2:AG321),$AG$2:$AG$1001,0),1)&gt;=100000,INDEX($AN$1005:$BO$1005,1,MATCH(COLUMNS($AN$1006:BF1006),$AN$1006:$BO$1006,0))&gt;=100000), " ",IF(INDEX($AN$2:$BO$1001,MATCH(ROWS($AG$2:AG321),$AG$2:$AG$1001,0),MATCH(COLUMNS($AN$1006:BF1006),$AN$1006:$BO$1006,0)), HYPERLINK("#",""), HYPERLINK(CONCATENATE("#Metadata!", ADDRESS(INDEX($AI$2:$AI$1001,MATCH(ROWS($AG$2:AG321),$AG$2:$AG$1001,0),0), INDEX($AN$1004:$BO$1004,1,MATCH(COLUMNS($AN$1006:BF1006),$AN$1006:$BO$1006,0)))),"Fix")))</f>
        <v>0</v>
      </c>
      <c r="U321" s="4">
        <f>IF(OR(INDEX($AH$2:$AH$1001,MATCH(ROWS($AG$2:AG321),$AG$2:$AG$1001,0),1)&gt;=100000,INDEX($AN$1005:$BO$1005,1,MATCH(COLUMNS($AN$1006:BG1006),$AN$1006:$BO$1006,0))&gt;=100000), " ",IF(INDEX($AN$2:$BO$1001,MATCH(ROWS($AG$2:AG321),$AG$2:$AG$1001,0),MATCH(COLUMNS($AN$1006:BG1006),$AN$1006:$BO$1006,0)), HYPERLINK("#",""), HYPERLINK(CONCATENATE("#Metadata!", ADDRESS(INDEX($AI$2:$AI$1001,MATCH(ROWS($AG$2:AG321),$AG$2:$AG$1001,0),0), INDEX($AN$1004:$BO$1004,1,MATCH(COLUMNS($AN$1006:BG1006),$AN$1006:$BO$1006,0)))),"Fix")))</f>
        <v>0</v>
      </c>
      <c r="V321" s="4">
        <f>IF(OR(INDEX($AH$2:$AH$1001,MATCH(ROWS($AG$2:AG321),$AG$2:$AG$1001,0),1)&gt;=100000,INDEX($AN$1005:$BO$1005,1,MATCH(COLUMNS($AN$1006:BH1006),$AN$1006:$BO$1006,0))&gt;=100000), " ",IF(INDEX($AN$2:$BO$1001,MATCH(ROWS($AG$2:AG321),$AG$2:$AG$1001,0),MATCH(COLUMNS($AN$1006:BH1006),$AN$1006:$BO$1006,0)), HYPERLINK("#",""), HYPERLINK(CONCATENATE("#Metadata!", ADDRESS(INDEX($AI$2:$AI$1001,MATCH(ROWS($AG$2:AG321),$AG$2:$AG$1001,0),0), INDEX($AN$1004:$BO$1004,1,MATCH(COLUMNS($AN$1006:BH1006),$AN$1006:$BO$1006,0)))),"Fix")))</f>
        <v>0</v>
      </c>
      <c r="W321" s="4">
        <f>IF(OR(INDEX($AH$2:$AH$1001,MATCH(ROWS($AG$2:AG321),$AG$2:$AG$1001,0),1)&gt;=100000,INDEX($AN$1005:$BO$1005,1,MATCH(COLUMNS($AN$1006:BI1006),$AN$1006:$BO$1006,0))&gt;=100000), " ",IF(INDEX($AN$2:$BO$1001,MATCH(ROWS($AG$2:AG321),$AG$2:$AG$1001,0),MATCH(COLUMNS($AN$1006:BI1006),$AN$1006:$BO$1006,0)), HYPERLINK("#",""), HYPERLINK(CONCATENATE("#Metadata!", ADDRESS(INDEX($AI$2:$AI$1001,MATCH(ROWS($AG$2:AG321),$AG$2:$AG$1001,0),0), INDEX($AN$1004:$BO$1004,1,MATCH(COLUMNS($AN$1006:BI1006),$AN$1006:$BO$1006,0)))),"Fix")))</f>
        <v>0</v>
      </c>
      <c r="X321" s="4">
        <f>IF(OR(INDEX($AH$2:$AH$1001,MATCH(ROWS($AG$2:AG321),$AG$2:$AG$1001,0),1)&gt;=100000,INDEX($AN$1005:$BO$1005,1,MATCH(COLUMNS($AN$1006:BJ1006),$AN$1006:$BO$1006,0))&gt;=100000), " ",IF(INDEX($AN$2:$BO$1001,MATCH(ROWS($AG$2:AG321),$AG$2:$AG$1001,0),MATCH(COLUMNS($AN$1006:BJ1006),$AN$1006:$BO$1006,0)), HYPERLINK("#",""), HYPERLINK(CONCATENATE("#Metadata!", ADDRESS(INDEX($AI$2:$AI$1001,MATCH(ROWS($AG$2:AG321),$AG$2:$AG$1001,0),0), INDEX($AN$1004:$BO$1004,1,MATCH(COLUMNS($AN$1006:BJ1006),$AN$1006:$BO$1006,0)))),"Fix")))</f>
        <v>0</v>
      </c>
      <c r="Y321" s="4">
        <f>IF(OR(INDEX($AH$2:$AH$1001,MATCH(ROWS($AG$2:AG321),$AG$2:$AG$1001,0),1)&gt;=100000,INDEX($AN$1005:$BO$1005,1,MATCH(COLUMNS($AN$1006:BK1006),$AN$1006:$BO$1006,0))&gt;=100000), " ",IF(INDEX($AN$2:$BO$1001,MATCH(ROWS($AG$2:AG321),$AG$2:$AG$1001,0),MATCH(COLUMNS($AN$1006:BK1006),$AN$1006:$BO$1006,0)), HYPERLINK("#",""), HYPERLINK(CONCATENATE("#Metadata!", ADDRESS(INDEX($AI$2:$AI$1001,MATCH(ROWS($AG$2:AG321),$AG$2:$AG$1001,0),0), INDEX($AN$1004:$BO$1004,1,MATCH(COLUMNS($AN$1006:BK1006),$AN$1006:$BO$1006,0)))),"Fix")))</f>
        <v>0</v>
      </c>
      <c r="Z321" s="4">
        <f>IF(OR(INDEX($AH$2:$AH$1001,MATCH(ROWS($AG$2:AG321),$AG$2:$AG$1001,0),1)&gt;=100000,INDEX($AN$1005:$BO$1005,1,MATCH(COLUMNS($AN$1006:BL1006),$AN$1006:$BO$1006,0))&gt;=100000), " ",IF(INDEX($AN$2:$BO$1001,MATCH(ROWS($AG$2:AG321),$AG$2:$AG$1001,0),MATCH(COLUMNS($AN$1006:BL1006),$AN$1006:$BO$1006,0)), HYPERLINK("#",""), HYPERLINK(CONCATENATE("#Metadata!", ADDRESS(INDEX($AI$2:$AI$1001,MATCH(ROWS($AG$2:AG321),$AG$2:$AG$1001,0),0), INDEX($AN$1004:$BO$1004,1,MATCH(COLUMNS($AN$1006:BL1006),$AN$1006:$BO$1006,0)))),"Fix")))</f>
        <v>0</v>
      </c>
      <c r="AA321" s="4">
        <f>IF(OR(INDEX($AH$2:$AH$1001,MATCH(ROWS($AG$2:AG321),$AG$2:$AG$1001,0),1)&gt;=100000,INDEX($AN$1005:$BO$1005,1,MATCH(COLUMNS($AN$1006:BM1006),$AN$1006:$BO$1006,0))&gt;=100000), " ",IF(INDEX($AN$2:$BO$1001,MATCH(ROWS($AG$2:AG321),$AG$2:$AG$1001,0),MATCH(COLUMNS($AN$1006:BM1006),$AN$1006:$BO$1006,0)), HYPERLINK("#",""), HYPERLINK(CONCATENATE("#Metadata!", ADDRESS(INDEX($AI$2:$AI$1001,MATCH(ROWS($AG$2:AG321),$AG$2:$AG$1001,0),0), INDEX($AN$1004:$BO$1004,1,MATCH(COLUMNS($AN$1006:BM1006),$AN$1006:$BO$1006,0)))),"Fix")))</f>
        <v>0</v>
      </c>
      <c r="AB321" s="4">
        <f>IF(OR(INDEX($AH$2:$AH$1001,MATCH(ROWS($AG$2:AG321),$AG$2:$AG$1001,0),1)&gt;=100000,INDEX($AN$1005:$BO$1005,1,MATCH(COLUMNS($AN$1006:BN1006),$AN$1006:$BO$1006,0))&gt;=100000), " ",IF(INDEX($AN$2:$BO$1001,MATCH(ROWS($AG$2:AG321),$AG$2:$AG$1001,0),MATCH(COLUMNS($AN$1006:BN1006),$AN$1006:$BO$1006,0)), HYPERLINK("#",""), HYPERLINK(CONCATENATE("#Metadata!", ADDRESS(INDEX($AI$2:$AI$1001,MATCH(ROWS($AG$2:AG321),$AG$2:$AG$1001,0),0), INDEX($AN$1004:$BO$1004,1,MATCH(COLUMNS($AN$1006:BN1006),$AN$1006:$BO$1006,0)))),"Fix")))</f>
        <v>0</v>
      </c>
      <c r="AC321" s="4">
        <f>IF(OR(INDEX($AH$2:$AH$1001,MATCH(ROWS($AG$2:AG321),$AG$2:$AG$1001,0),1)&gt;=100000,INDEX($AN$1005:$BO$1005,1,MATCH(COLUMNS($AN$1006:BO1006),$AN$1006:$BO$1006,0))&gt;=100000), " ",IF(INDEX($AN$2:$BO$1001,MATCH(ROWS($AG$2:AG321),$AG$2:$AG$1001,0),MATCH(COLUMNS($AN$1006:BO1006),$AN$1006:$BO$1006,0)), HYPERLINK("#",""), HYPERLINK(CONCATENATE("#Metadata!", ADDRESS(INDEX($AI$2:$AI$1001,MATCH(ROWS($AG$2:AG321),$AG$2:$AG$1001,0),0), INDEX($AN$1004:$BO$1004,1,MATCH(COLUMNS($AN$1006:BO1006),$AN$1006:$BO$1006,0)))),"Fix")))</f>
        <v>0</v>
      </c>
      <c r="AG321">
        <v>0</v>
      </c>
      <c r="AH321">
        <v>0</v>
      </c>
      <c r="AI321">
        <v>0</v>
      </c>
      <c r="AJ321">
        <f>IF(AK321,TRUE,AND(AN321:BO321))</f>
        <v>0</v>
      </c>
      <c r="AK321">
        <f>COUNTBLANK(Metadata!B321:AC321)=COLUMNS(Metadata!B321:AC321)</f>
        <v>0</v>
      </c>
      <c r="AL321">
        <v>0</v>
      </c>
      <c r="AN321">
        <f>AND(IF(Metadata!B321="",FALSE,TRUE),COUNTIF(Metadata!B:B, Metadata!B321) = 1,NOT(ISERROR(SUMPRODUCT(SEARCH(MID(Metadata!B321,ROW(INDIRECT("1:"&amp;LEN(Metadata!B321))), 1),"0123456789abcdefghijklmnopqrstuvwxyzABCDEFGHIJKLMNOPQRSTUVWXYZ.")))))</f>
        <v>0</v>
      </c>
      <c r="AO321">
        <f>IF(Metadata!C321="",FALSE,TRUE)</f>
        <v>0</v>
      </c>
      <c r="AP321">
        <f>IF(Metadata!D321="",FALSE,TRUE)</f>
        <v>0</v>
      </c>
      <c r="AQ321">
        <f>OR(AND(IF(Metadata!E321="",FALSE,TRUE),OR(exact(Metadata!E321,"not collected"),exact(Metadata!E321,"not provided"),exact(Metadata!E321,"restricted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R321">
        <f>IF(Metadata!F321="",FALSE,TRUE)</f>
        <v>0</v>
      </c>
      <c r="AS321">
        <f>OR(AND(IF(Metadata!G321="",FALSE,TRUE),OR(exact(Metadata!G321,"not collected"),exact(Metadata!G321,"not provided"))),AND(IF(Metadata!G321="",FALSE,TRUE),OR(exact(Metadata!G321,"TRUE"),exact(Metadata!G321,"FALSE"))))</f>
        <v>0</v>
      </c>
      <c r="AT321">
        <f>OR(AND(IF(Metadata!H321="",FALSE,TRUE),OR(exact(Metadata!H321,"not collected"),exact(Metadata!H321,"not provided"),exact(Metadata!H321,"restricted access"))),AND(IF(Metadata!H321="",FALSE,ISNUMBER(VALUE(Metadata!H321))),Metadata!H321&gt;=-413.0))</f>
        <v>0</v>
      </c>
      <c r="AU321">
        <f>AND(IF(Metadata!I321="",FALSE,TRUE),exact(Metadata!I321,"meters"))</f>
        <v>0</v>
      </c>
      <c r="AV321">
        <f>AND(IF(Metadata!J321="",FALSE,TRUE),OR(exact(Metadata!J321,"Host-associated"),exact(Metadata!J321,"Free-living")))</f>
        <v>0</v>
      </c>
      <c r="AW321">
        <f>AND(IF(Metadata!K321="",FALSE,TRUE),OR(exact(Metadata!K321,"Animal"),exact(Metadata!K321,"Fungus"),exact(Metadata!K321,"Plant"),exact(Metadata!K321,"Saline"),exact(Metadata!K321,"Non-saline")))</f>
        <v>0</v>
      </c>
      <c r="AX321">
        <f>AND(IF(Metadata!L321="",FALSE,TRUE),OR(exact(Metadata!L321,"Plant secretion"),exact(Metadata!L321,"Plant rhizosphere"),exact(Metadata!L321,"Plant surface"),exact(Metadata!L321,"Plant corpus"),exact(Metadata!L321,"Fungus surface"),exact(Metadata!L321,"Fungus corpus"),exact(Metadata!L321,"Animal surface"),exact(Metadata!L321,"Animal proximal gut"),exact(Metadata!L321,"Animal corpus"),exact(Metadata!L321,"Animal distal gut"),exact(Metadata!L321,"Animal secretion"),exact(Metadata!L321,"Sub-surface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Y321">
        <f>IF(Metadata!M321="",FALSE,TRUE)</f>
        <v>0</v>
      </c>
      <c r="AZ321">
        <f>IF(Metadata!N321="",FALSE,TRUE)</f>
        <v>0</v>
      </c>
      <c r="BA321">
        <f>IF(Metadata!O321="",FALSE,TRUE)</f>
        <v>0</v>
      </c>
      <c r="BB321">
        <f>OR(AND(IF(Metadata!P321="",FALSE,TRUE),OR(exact(Metadata!P321,"not collected"),exact(Metadata!P321,"not provided"),exact(Metadata!P321,"restricted access"))),AND(IF(Metadata!P321="",FALSE,TRUE),OR(exact(Metadata!P321,"air"),exact(Metadata!P321,"built environment"),exact(Metadata!P321,"host-associated"),exact(Metadata!P321,"human-associated"),exact(Metadata!P321,"human-skin"),exact(Metadata!P321,"human-oral"),exact(Metadata!P321,"human-gut"),exact(Metadata!P321,"human-vaginal"),exact(Metadata!P321,"microbial mat/biofilm"),exact(Metadata!P321,"misc environment"),exact(Metadata!P321,"plant-associated"),exact(Metadata!P321,"sediment"),exact(Metadata!P321,"soil"),exact(Metadata!P321,"wastewater/sludge"),exact(Metadata!P321,"water"))))</f>
        <v>0</v>
      </c>
      <c r="BC321">
        <f>IF(Metadata!Q321="",FALSE,TRUE)</f>
        <v>0</v>
      </c>
      <c r="BD321">
        <f>IF(Metadata!R321="",FALSE,TRUE)</f>
        <v>0</v>
      </c>
      <c r="BE321">
        <f>OR(AND(IF(Metadata!S321="",FALSE,TRUE),OR(exact(Metadata!S321,"not collected"),exact(Metadata!S321,"not provided"),exact(Metadata!S321,"restricted access"))),AND(IF(Metadata!S321="",FALSE,ISNUMBER(VALUE(Metadata!S321))),Metadata!S321&gt;=-90.00,Metadata!S321&lt;=90.00))</f>
        <v>0</v>
      </c>
      <c r="BF321">
        <f>AND(IF(Metadata!T321="",FALSE,TRUE),exact(Metadata!T321,"Decimal degrees"))</f>
        <v>0</v>
      </c>
      <c r="BG321">
        <f>OR(AND(IF(Metadata!U321="",FALSE,TRUE),OR(exact(Metadata!U321,"not collected"),exact(Metadata!U321,"not provided"),exact(Metadata!U321,"restricted access"))),AND(IF(Metadata!U321="",FALSE,ISNUMBER(VALUE(Metadata!U321))),Metadata!U321&gt;=-180.00,Metadata!U321&lt;=180.00))</f>
        <v>0</v>
      </c>
      <c r="BH321">
        <f>AND(IF(Metadata!V321="",FALSE,TRUE),exact(Metadata!V321,"Decimal degrees"))</f>
        <v>0</v>
      </c>
      <c r="BI321">
        <f>IF(Metadata!W321="",FALSE,TRUE)</f>
        <v>0</v>
      </c>
      <c r="BJ321">
        <f>OR(AND(IF(Metadata!X321="",FALSE,TRUE),OR(exact(Metadata!X321,"not collected"),exact(Metadata!X321,"not provided"),exact(Metadata!X321,"restricted access"))),AND(IF(Metadata!X321="",FALSE,TRUE),OR(exact(Metadata!X321,"TRUE"),exact(Metadata!X321,"FALSE"))))</f>
        <v>0</v>
      </c>
      <c r="BK321">
        <f>AND(IF(Metadata!Y321="",FALSE,TRUE),exact(Metadata!Y321,"other"))</f>
        <v>0</v>
      </c>
      <c r="BL321">
        <f>IF(Metadata!Z321="",FALSE,TRUE)</f>
        <v>0</v>
      </c>
      <c r="BM321">
        <f>OR(AND(IF(Metadata!AA321="",FALSE,TRUE),OR(exact(Metadata!AA321,"not collected"),exact(Metadata!AA321,"not provided"))),AND(IF(Metadata!AA321="",FALSE,IF(ISERROR(INT(Metadata!AA321)),FALSE,INT(Metadata!AA321)=Metadata!AA321)),Metadata!AA321&gt;0))</f>
        <v>0</v>
      </c>
      <c r="BN321">
        <f>AND(IF(Metadata!AB321="",FALSE,TRUE),exact(Metadata!AB321,"Not applicable"))</f>
        <v>0</v>
      </c>
      <c r="BO321">
        <f>IF(Metadata!AC321="",FALSE,TRUE)</f>
        <v>0</v>
      </c>
    </row>
    <row r="322" spans="1:67">
      <c r="A322" s="5">
        <f>IF(B322=" "," ",HYPERLINK(CONCATENATE("#metadata!",ADDRESS(INDEX($AI$2:$AI$1001,MATCH(ROWS($AG$2:AG322),$AG$2:$AG$1001,0),0),1)),INDEX($AL$2:$AL$1001,MATCH(ROWS($AG$2:AG322),$AG$2:$AG$1001,0),0)))</f>
        <v>0</v>
      </c>
      <c r="B322" s="4">
        <f>IF(OR(INDEX($AH$2:$AH$1001,MATCH(ROWS($AG$2:AG322),$AG$2:$AG$1001,0),1)&gt;=100000,INDEX($AN$1005:$BO$1005,1,MATCH(COLUMNS($AN$1006:AN1006),$AN$1006:$BO$1006,0))&gt;=100000), " ",IF(INDEX($AN$2:$BO$1001,MATCH(ROWS($AG$2:AG322),$AG$2:$AG$1001,0),MATCH(COLUMNS($AN$1006:AN1006),$AN$1006:$BO$1006,0)), HYPERLINK("#",""), HYPERLINK(CONCATENATE("#Metadata!", ADDRESS(INDEX($AI$2:$AI$1001,MATCH(ROWS($AG$2:AG322),$AG$2:$AG$1001,0),0), INDEX($AN$1004:$BO$1004,1,MATCH(COLUMNS($AN$1006:AN1006),$AN$1006:$BO$1006,0)))),"Fix")))</f>
        <v>0</v>
      </c>
      <c r="C322" s="4">
        <f>IF(OR(INDEX($AH$2:$AH$1001,MATCH(ROWS($AG$2:AG322),$AG$2:$AG$1001,0),1)&gt;=100000,INDEX($AN$1005:$BO$1005,1,MATCH(COLUMNS($AN$1006:AO1006),$AN$1006:$BO$1006,0))&gt;=100000), " ",IF(INDEX($AN$2:$BO$1001,MATCH(ROWS($AG$2:AG322),$AG$2:$AG$1001,0),MATCH(COLUMNS($AN$1006:AO1006),$AN$1006:$BO$1006,0)), HYPERLINK("#",""), HYPERLINK(CONCATENATE("#Metadata!", ADDRESS(INDEX($AI$2:$AI$1001,MATCH(ROWS($AG$2:AG322),$AG$2:$AG$1001,0),0), INDEX($AN$1004:$BO$1004,1,MATCH(COLUMNS($AN$1006:AO1006),$AN$1006:$BO$1006,0)))),"Fix")))</f>
        <v>0</v>
      </c>
      <c r="D322" s="4">
        <f>IF(OR(INDEX($AH$2:$AH$1001,MATCH(ROWS($AG$2:AG322),$AG$2:$AG$1001,0),1)&gt;=100000,INDEX($AN$1005:$BO$1005,1,MATCH(COLUMNS($AN$1006:AP1006),$AN$1006:$BO$1006,0))&gt;=100000), " ",IF(INDEX($AN$2:$BO$1001,MATCH(ROWS($AG$2:AG322),$AG$2:$AG$1001,0),MATCH(COLUMNS($AN$1006:AP1006),$AN$1006:$BO$1006,0)), HYPERLINK("#",""), HYPERLINK(CONCATENATE("#Metadata!", ADDRESS(INDEX($AI$2:$AI$1001,MATCH(ROWS($AG$2:AG322),$AG$2:$AG$1001,0),0), INDEX($AN$1004:$BO$1004,1,MATCH(COLUMNS($AN$1006:AP1006),$AN$1006:$BO$1006,0)))),"Fix")))</f>
        <v>0</v>
      </c>
      <c r="E322" s="4">
        <f>IF(OR(INDEX($AH$2:$AH$1001,MATCH(ROWS($AG$2:AG322),$AG$2:$AG$1001,0),1)&gt;=100000,INDEX($AN$1005:$BO$1005,1,MATCH(COLUMNS($AN$1006:AQ1006),$AN$1006:$BO$1006,0))&gt;=100000), " ",IF(INDEX($AN$2:$BO$1001,MATCH(ROWS($AG$2:AG322),$AG$2:$AG$1001,0),MATCH(COLUMNS($AN$1006:AQ1006),$AN$1006:$BO$1006,0)), HYPERLINK("#",""), HYPERLINK(CONCATENATE("#Metadata!", ADDRESS(INDEX($AI$2:$AI$1001,MATCH(ROWS($AG$2:AG322),$AG$2:$AG$1001,0),0), INDEX($AN$1004:$BO$1004,1,MATCH(COLUMNS($AN$1006:AQ1006),$AN$1006:$BO$1006,0)))),"Fix")))</f>
        <v>0</v>
      </c>
      <c r="F322" s="4">
        <f>IF(OR(INDEX($AH$2:$AH$1001,MATCH(ROWS($AG$2:AG322),$AG$2:$AG$1001,0),1)&gt;=100000,INDEX($AN$1005:$BO$1005,1,MATCH(COLUMNS($AN$1006:AR1006),$AN$1006:$BO$1006,0))&gt;=100000), " ",IF(INDEX($AN$2:$BO$1001,MATCH(ROWS($AG$2:AG322),$AG$2:$AG$1001,0),MATCH(COLUMNS($AN$1006:AR1006),$AN$1006:$BO$1006,0)), HYPERLINK("#",""), HYPERLINK(CONCATENATE("#Metadata!", ADDRESS(INDEX($AI$2:$AI$1001,MATCH(ROWS($AG$2:AG322),$AG$2:$AG$1001,0),0), INDEX($AN$1004:$BO$1004,1,MATCH(COLUMNS($AN$1006:AR1006),$AN$1006:$BO$1006,0)))),"Fix")))</f>
        <v>0</v>
      </c>
      <c r="G322" s="4">
        <f>IF(OR(INDEX($AH$2:$AH$1001,MATCH(ROWS($AG$2:AG322),$AG$2:$AG$1001,0),1)&gt;=100000,INDEX($AN$1005:$BO$1005,1,MATCH(COLUMNS($AN$1006:AS1006),$AN$1006:$BO$1006,0))&gt;=100000), " ",IF(INDEX($AN$2:$BO$1001,MATCH(ROWS($AG$2:AG322),$AG$2:$AG$1001,0),MATCH(COLUMNS($AN$1006:AS1006),$AN$1006:$BO$1006,0)), HYPERLINK("#",""), HYPERLINK(CONCATENATE("#Metadata!", ADDRESS(INDEX($AI$2:$AI$1001,MATCH(ROWS($AG$2:AG322),$AG$2:$AG$1001,0),0), INDEX($AN$1004:$BO$1004,1,MATCH(COLUMNS($AN$1006:AS1006),$AN$1006:$BO$1006,0)))),"Fix")))</f>
        <v>0</v>
      </c>
      <c r="H322" s="4">
        <f>IF(OR(INDEX($AH$2:$AH$1001,MATCH(ROWS($AG$2:AG322),$AG$2:$AG$1001,0),1)&gt;=100000,INDEX($AN$1005:$BO$1005,1,MATCH(COLUMNS($AN$1006:AT1006),$AN$1006:$BO$1006,0))&gt;=100000), " ",IF(INDEX($AN$2:$BO$1001,MATCH(ROWS($AG$2:AG322),$AG$2:$AG$1001,0),MATCH(COLUMNS($AN$1006:AT1006),$AN$1006:$BO$1006,0)), HYPERLINK("#",""), HYPERLINK(CONCATENATE("#Metadata!", ADDRESS(INDEX($AI$2:$AI$1001,MATCH(ROWS($AG$2:AG322),$AG$2:$AG$1001,0),0), INDEX($AN$1004:$BO$1004,1,MATCH(COLUMNS($AN$1006:AT1006),$AN$1006:$BO$1006,0)))),"Fix")))</f>
        <v>0</v>
      </c>
      <c r="I322" s="4">
        <f>IF(OR(INDEX($AH$2:$AH$1001,MATCH(ROWS($AG$2:AG322),$AG$2:$AG$1001,0),1)&gt;=100000,INDEX($AN$1005:$BO$1005,1,MATCH(COLUMNS($AN$1006:AU1006),$AN$1006:$BO$1006,0))&gt;=100000), " ",IF(INDEX($AN$2:$BO$1001,MATCH(ROWS($AG$2:AG322),$AG$2:$AG$1001,0),MATCH(COLUMNS($AN$1006:AU1006),$AN$1006:$BO$1006,0)), HYPERLINK("#",""), HYPERLINK(CONCATENATE("#Metadata!", ADDRESS(INDEX($AI$2:$AI$1001,MATCH(ROWS($AG$2:AG322),$AG$2:$AG$1001,0),0), INDEX($AN$1004:$BO$1004,1,MATCH(COLUMNS($AN$1006:AU1006),$AN$1006:$BO$1006,0)))),"Fix")))</f>
        <v>0</v>
      </c>
      <c r="J322" s="4">
        <f>IF(OR(INDEX($AH$2:$AH$1001,MATCH(ROWS($AG$2:AG322),$AG$2:$AG$1001,0),1)&gt;=100000,INDEX($AN$1005:$BO$1005,1,MATCH(COLUMNS($AN$1006:AV1006),$AN$1006:$BO$1006,0))&gt;=100000), " ",IF(INDEX($AN$2:$BO$1001,MATCH(ROWS($AG$2:AG322),$AG$2:$AG$1001,0),MATCH(COLUMNS($AN$1006:AV1006),$AN$1006:$BO$1006,0)), HYPERLINK("#",""), HYPERLINK(CONCATENATE("#Metadata!", ADDRESS(INDEX($AI$2:$AI$1001,MATCH(ROWS($AG$2:AG322),$AG$2:$AG$1001,0),0), INDEX($AN$1004:$BO$1004,1,MATCH(COLUMNS($AN$1006:AV1006),$AN$1006:$BO$1006,0)))),"Fix")))</f>
        <v>0</v>
      </c>
      <c r="K322" s="4">
        <f>IF(OR(INDEX($AH$2:$AH$1001,MATCH(ROWS($AG$2:AG322),$AG$2:$AG$1001,0),1)&gt;=100000,INDEX($AN$1005:$BO$1005,1,MATCH(COLUMNS($AN$1006:AW1006),$AN$1006:$BO$1006,0))&gt;=100000), " ",IF(INDEX($AN$2:$BO$1001,MATCH(ROWS($AG$2:AG322),$AG$2:$AG$1001,0),MATCH(COLUMNS($AN$1006:AW1006),$AN$1006:$BO$1006,0)), HYPERLINK("#",""), HYPERLINK(CONCATENATE("#Metadata!", ADDRESS(INDEX($AI$2:$AI$1001,MATCH(ROWS($AG$2:AG322),$AG$2:$AG$1001,0),0), INDEX($AN$1004:$BO$1004,1,MATCH(COLUMNS($AN$1006:AW1006),$AN$1006:$BO$1006,0)))),"Fix")))</f>
        <v>0</v>
      </c>
      <c r="L322" s="4">
        <f>IF(OR(INDEX($AH$2:$AH$1001,MATCH(ROWS($AG$2:AG322),$AG$2:$AG$1001,0),1)&gt;=100000,INDEX($AN$1005:$BO$1005,1,MATCH(COLUMNS($AN$1006:AX1006),$AN$1006:$BO$1006,0))&gt;=100000), " ",IF(INDEX($AN$2:$BO$1001,MATCH(ROWS($AG$2:AG322),$AG$2:$AG$1001,0),MATCH(COLUMNS($AN$1006:AX1006),$AN$1006:$BO$1006,0)), HYPERLINK("#",""), HYPERLINK(CONCATENATE("#Metadata!", ADDRESS(INDEX($AI$2:$AI$1001,MATCH(ROWS($AG$2:AG322),$AG$2:$AG$1001,0),0), INDEX($AN$1004:$BO$1004,1,MATCH(COLUMNS($AN$1006:AX1006),$AN$1006:$BO$1006,0)))),"Fix")))</f>
        <v>0</v>
      </c>
      <c r="M322" s="4">
        <f>IF(OR(INDEX($AH$2:$AH$1001,MATCH(ROWS($AG$2:AG322),$AG$2:$AG$1001,0),1)&gt;=100000,INDEX($AN$1005:$BO$1005,1,MATCH(COLUMNS($AN$1006:AY1006),$AN$1006:$BO$1006,0))&gt;=100000), " ",IF(INDEX($AN$2:$BO$1001,MATCH(ROWS($AG$2:AG322),$AG$2:$AG$1001,0),MATCH(COLUMNS($AN$1006:AY1006),$AN$1006:$BO$1006,0)), HYPERLINK("#",""), HYPERLINK(CONCATENATE("#Metadata!", ADDRESS(INDEX($AI$2:$AI$1001,MATCH(ROWS($AG$2:AG322),$AG$2:$AG$1001,0),0), INDEX($AN$1004:$BO$1004,1,MATCH(COLUMNS($AN$1006:AY1006),$AN$1006:$BO$1006,0)))),"Fix")))</f>
        <v>0</v>
      </c>
      <c r="N322" s="4">
        <f>IF(OR(INDEX($AH$2:$AH$1001,MATCH(ROWS($AG$2:AG322),$AG$2:$AG$1001,0),1)&gt;=100000,INDEX($AN$1005:$BO$1005,1,MATCH(COLUMNS($AN$1006:AZ1006),$AN$1006:$BO$1006,0))&gt;=100000), " ",IF(INDEX($AN$2:$BO$1001,MATCH(ROWS($AG$2:AG322),$AG$2:$AG$1001,0),MATCH(COLUMNS($AN$1006:AZ1006),$AN$1006:$BO$1006,0)), HYPERLINK("#",""), HYPERLINK(CONCATENATE("#Metadata!", ADDRESS(INDEX($AI$2:$AI$1001,MATCH(ROWS($AG$2:AG322),$AG$2:$AG$1001,0),0), INDEX($AN$1004:$BO$1004,1,MATCH(COLUMNS($AN$1006:AZ1006),$AN$1006:$BO$1006,0)))),"Fix")))</f>
        <v>0</v>
      </c>
      <c r="O322" s="4">
        <f>IF(OR(INDEX($AH$2:$AH$1001,MATCH(ROWS($AG$2:AG322),$AG$2:$AG$1001,0),1)&gt;=100000,INDEX($AN$1005:$BO$1005,1,MATCH(COLUMNS($AN$1006:BA1006),$AN$1006:$BO$1006,0))&gt;=100000), " ",IF(INDEX($AN$2:$BO$1001,MATCH(ROWS($AG$2:AG322),$AG$2:$AG$1001,0),MATCH(COLUMNS($AN$1006:BA1006),$AN$1006:$BO$1006,0)), HYPERLINK("#",""), HYPERLINK(CONCATENATE("#Metadata!", ADDRESS(INDEX($AI$2:$AI$1001,MATCH(ROWS($AG$2:AG322),$AG$2:$AG$1001,0),0), INDEX($AN$1004:$BO$1004,1,MATCH(COLUMNS($AN$1006:BA1006),$AN$1006:$BO$1006,0)))),"Fix")))</f>
        <v>0</v>
      </c>
      <c r="P322" s="4">
        <f>IF(OR(INDEX($AH$2:$AH$1001,MATCH(ROWS($AG$2:AG322),$AG$2:$AG$1001,0),1)&gt;=100000,INDEX($AN$1005:$BO$1005,1,MATCH(COLUMNS($AN$1006:BB1006),$AN$1006:$BO$1006,0))&gt;=100000), " ",IF(INDEX($AN$2:$BO$1001,MATCH(ROWS($AG$2:AG322),$AG$2:$AG$1001,0),MATCH(COLUMNS($AN$1006:BB1006),$AN$1006:$BO$1006,0)), HYPERLINK("#",""), HYPERLINK(CONCATENATE("#Metadata!", ADDRESS(INDEX($AI$2:$AI$1001,MATCH(ROWS($AG$2:AG322),$AG$2:$AG$1001,0),0), INDEX($AN$1004:$BO$1004,1,MATCH(COLUMNS($AN$1006:BB1006),$AN$1006:$BO$1006,0)))),"Fix")))</f>
        <v>0</v>
      </c>
      <c r="Q322" s="4">
        <f>IF(OR(INDEX($AH$2:$AH$1001,MATCH(ROWS($AG$2:AG322),$AG$2:$AG$1001,0),1)&gt;=100000,INDEX($AN$1005:$BO$1005,1,MATCH(COLUMNS($AN$1006:BC1006),$AN$1006:$BO$1006,0))&gt;=100000), " ",IF(INDEX($AN$2:$BO$1001,MATCH(ROWS($AG$2:AG322),$AG$2:$AG$1001,0),MATCH(COLUMNS($AN$1006:BC1006),$AN$1006:$BO$1006,0)), HYPERLINK("#",""), HYPERLINK(CONCATENATE("#Metadata!", ADDRESS(INDEX($AI$2:$AI$1001,MATCH(ROWS($AG$2:AG322),$AG$2:$AG$1001,0),0), INDEX($AN$1004:$BO$1004,1,MATCH(COLUMNS($AN$1006:BC1006),$AN$1006:$BO$1006,0)))),"Fix")))</f>
        <v>0</v>
      </c>
      <c r="R322" s="4">
        <f>IF(OR(INDEX($AH$2:$AH$1001,MATCH(ROWS($AG$2:AG322),$AG$2:$AG$1001,0),1)&gt;=100000,INDEX($AN$1005:$BO$1005,1,MATCH(COLUMNS($AN$1006:BD1006),$AN$1006:$BO$1006,0))&gt;=100000), " ",IF(INDEX($AN$2:$BO$1001,MATCH(ROWS($AG$2:AG322),$AG$2:$AG$1001,0),MATCH(COLUMNS($AN$1006:BD1006),$AN$1006:$BO$1006,0)), HYPERLINK("#",""), HYPERLINK(CONCATENATE("#Metadata!", ADDRESS(INDEX($AI$2:$AI$1001,MATCH(ROWS($AG$2:AG322),$AG$2:$AG$1001,0),0), INDEX($AN$1004:$BO$1004,1,MATCH(COLUMNS($AN$1006:BD1006),$AN$1006:$BO$1006,0)))),"Fix")))</f>
        <v>0</v>
      </c>
      <c r="S322" s="4">
        <f>IF(OR(INDEX($AH$2:$AH$1001,MATCH(ROWS($AG$2:AG322),$AG$2:$AG$1001,0),1)&gt;=100000,INDEX($AN$1005:$BO$1005,1,MATCH(COLUMNS($AN$1006:BE1006),$AN$1006:$BO$1006,0))&gt;=100000), " ",IF(INDEX($AN$2:$BO$1001,MATCH(ROWS($AG$2:AG322),$AG$2:$AG$1001,0),MATCH(COLUMNS($AN$1006:BE1006),$AN$1006:$BO$1006,0)), HYPERLINK("#",""), HYPERLINK(CONCATENATE("#Metadata!", ADDRESS(INDEX($AI$2:$AI$1001,MATCH(ROWS($AG$2:AG322),$AG$2:$AG$1001,0),0), INDEX($AN$1004:$BO$1004,1,MATCH(COLUMNS($AN$1006:BE1006),$AN$1006:$BO$1006,0)))),"Fix")))</f>
        <v>0</v>
      </c>
      <c r="T322" s="4">
        <f>IF(OR(INDEX($AH$2:$AH$1001,MATCH(ROWS($AG$2:AG322),$AG$2:$AG$1001,0),1)&gt;=100000,INDEX($AN$1005:$BO$1005,1,MATCH(COLUMNS($AN$1006:BF1006),$AN$1006:$BO$1006,0))&gt;=100000), " ",IF(INDEX($AN$2:$BO$1001,MATCH(ROWS($AG$2:AG322),$AG$2:$AG$1001,0),MATCH(COLUMNS($AN$1006:BF1006),$AN$1006:$BO$1006,0)), HYPERLINK("#",""), HYPERLINK(CONCATENATE("#Metadata!", ADDRESS(INDEX($AI$2:$AI$1001,MATCH(ROWS($AG$2:AG322),$AG$2:$AG$1001,0),0), INDEX($AN$1004:$BO$1004,1,MATCH(COLUMNS($AN$1006:BF1006),$AN$1006:$BO$1006,0)))),"Fix")))</f>
        <v>0</v>
      </c>
      <c r="U322" s="4">
        <f>IF(OR(INDEX($AH$2:$AH$1001,MATCH(ROWS($AG$2:AG322),$AG$2:$AG$1001,0),1)&gt;=100000,INDEX($AN$1005:$BO$1005,1,MATCH(COLUMNS($AN$1006:BG1006),$AN$1006:$BO$1006,0))&gt;=100000), " ",IF(INDEX($AN$2:$BO$1001,MATCH(ROWS($AG$2:AG322),$AG$2:$AG$1001,0),MATCH(COLUMNS($AN$1006:BG1006),$AN$1006:$BO$1006,0)), HYPERLINK("#",""), HYPERLINK(CONCATENATE("#Metadata!", ADDRESS(INDEX($AI$2:$AI$1001,MATCH(ROWS($AG$2:AG322),$AG$2:$AG$1001,0),0), INDEX($AN$1004:$BO$1004,1,MATCH(COLUMNS($AN$1006:BG1006),$AN$1006:$BO$1006,0)))),"Fix")))</f>
        <v>0</v>
      </c>
      <c r="V322" s="4">
        <f>IF(OR(INDEX($AH$2:$AH$1001,MATCH(ROWS($AG$2:AG322),$AG$2:$AG$1001,0),1)&gt;=100000,INDEX($AN$1005:$BO$1005,1,MATCH(COLUMNS($AN$1006:BH1006),$AN$1006:$BO$1006,0))&gt;=100000), " ",IF(INDEX($AN$2:$BO$1001,MATCH(ROWS($AG$2:AG322),$AG$2:$AG$1001,0),MATCH(COLUMNS($AN$1006:BH1006),$AN$1006:$BO$1006,0)), HYPERLINK("#",""), HYPERLINK(CONCATENATE("#Metadata!", ADDRESS(INDEX($AI$2:$AI$1001,MATCH(ROWS($AG$2:AG322),$AG$2:$AG$1001,0),0), INDEX($AN$1004:$BO$1004,1,MATCH(COLUMNS($AN$1006:BH1006),$AN$1006:$BO$1006,0)))),"Fix")))</f>
        <v>0</v>
      </c>
      <c r="W322" s="4">
        <f>IF(OR(INDEX($AH$2:$AH$1001,MATCH(ROWS($AG$2:AG322),$AG$2:$AG$1001,0),1)&gt;=100000,INDEX($AN$1005:$BO$1005,1,MATCH(COLUMNS($AN$1006:BI1006),$AN$1006:$BO$1006,0))&gt;=100000), " ",IF(INDEX($AN$2:$BO$1001,MATCH(ROWS($AG$2:AG322),$AG$2:$AG$1001,0),MATCH(COLUMNS($AN$1006:BI1006),$AN$1006:$BO$1006,0)), HYPERLINK("#",""), HYPERLINK(CONCATENATE("#Metadata!", ADDRESS(INDEX($AI$2:$AI$1001,MATCH(ROWS($AG$2:AG322),$AG$2:$AG$1001,0),0), INDEX($AN$1004:$BO$1004,1,MATCH(COLUMNS($AN$1006:BI1006),$AN$1006:$BO$1006,0)))),"Fix")))</f>
        <v>0</v>
      </c>
      <c r="X322" s="4">
        <f>IF(OR(INDEX($AH$2:$AH$1001,MATCH(ROWS($AG$2:AG322),$AG$2:$AG$1001,0),1)&gt;=100000,INDEX($AN$1005:$BO$1005,1,MATCH(COLUMNS($AN$1006:BJ1006),$AN$1006:$BO$1006,0))&gt;=100000), " ",IF(INDEX($AN$2:$BO$1001,MATCH(ROWS($AG$2:AG322),$AG$2:$AG$1001,0),MATCH(COLUMNS($AN$1006:BJ1006),$AN$1006:$BO$1006,0)), HYPERLINK("#",""), HYPERLINK(CONCATENATE("#Metadata!", ADDRESS(INDEX($AI$2:$AI$1001,MATCH(ROWS($AG$2:AG322),$AG$2:$AG$1001,0),0), INDEX($AN$1004:$BO$1004,1,MATCH(COLUMNS($AN$1006:BJ1006),$AN$1006:$BO$1006,0)))),"Fix")))</f>
        <v>0</v>
      </c>
      <c r="Y322" s="4">
        <f>IF(OR(INDEX($AH$2:$AH$1001,MATCH(ROWS($AG$2:AG322),$AG$2:$AG$1001,0),1)&gt;=100000,INDEX($AN$1005:$BO$1005,1,MATCH(COLUMNS($AN$1006:BK1006),$AN$1006:$BO$1006,0))&gt;=100000), " ",IF(INDEX($AN$2:$BO$1001,MATCH(ROWS($AG$2:AG322),$AG$2:$AG$1001,0),MATCH(COLUMNS($AN$1006:BK1006),$AN$1006:$BO$1006,0)), HYPERLINK("#",""), HYPERLINK(CONCATENATE("#Metadata!", ADDRESS(INDEX($AI$2:$AI$1001,MATCH(ROWS($AG$2:AG322),$AG$2:$AG$1001,0),0), INDEX($AN$1004:$BO$1004,1,MATCH(COLUMNS($AN$1006:BK1006),$AN$1006:$BO$1006,0)))),"Fix")))</f>
        <v>0</v>
      </c>
      <c r="Z322" s="4">
        <f>IF(OR(INDEX($AH$2:$AH$1001,MATCH(ROWS($AG$2:AG322),$AG$2:$AG$1001,0),1)&gt;=100000,INDEX($AN$1005:$BO$1005,1,MATCH(COLUMNS($AN$1006:BL1006),$AN$1006:$BO$1006,0))&gt;=100000), " ",IF(INDEX($AN$2:$BO$1001,MATCH(ROWS($AG$2:AG322),$AG$2:$AG$1001,0),MATCH(COLUMNS($AN$1006:BL1006),$AN$1006:$BO$1006,0)), HYPERLINK("#",""), HYPERLINK(CONCATENATE("#Metadata!", ADDRESS(INDEX($AI$2:$AI$1001,MATCH(ROWS($AG$2:AG322),$AG$2:$AG$1001,0),0), INDEX($AN$1004:$BO$1004,1,MATCH(COLUMNS($AN$1006:BL1006),$AN$1006:$BO$1006,0)))),"Fix")))</f>
        <v>0</v>
      </c>
      <c r="AA322" s="4">
        <f>IF(OR(INDEX($AH$2:$AH$1001,MATCH(ROWS($AG$2:AG322),$AG$2:$AG$1001,0),1)&gt;=100000,INDEX($AN$1005:$BO$1005,1,MATCH(COLUMNS($AN$1006:BM1006),$AN$1006:$BO$1006,0))&gt;=100000), " ",IF(INDEX($AN$2:$BO$1001,MATCH(ROWS($AG$2:AG322),$AG$2:$AG$1001,0),MATCH(COLUMNS($AN$1006:BM1006),$AN$1006:$BO$1006,0)), HYPERLINK("#",""), HYPERLINK(CONCATENATE("#Metadata!", ADDRESS(INDEX($AI$2:$AI$1001,MATCH(ROWS($AG$2:AG322),$AG$2:$AG$1001,0),0), INDEX($AN$1004:$BO$1004,1,MATCH(COLUMNS($AN$1006:BM1006),$AN$1006:$BO$1006,0)))),"Fix")))</f>
        <v>0</v>
      </c>
      <c r="AB322" s="4">
        <f>IF(OR(INDEX($AH$2:$AH$1001,MATCH(ROWS($AG$2:AG322),$AG$2:$AG$1001,0),1)&gt;=100000,INDEX($AN$1005:$BO$1005,1,MATCH(COLUMNS($AN$1006:BN1006),$AN$1006:$BO$1006,0))&gt;=100000), " ",IF(INDEX($AN$2:$BO$1001,MATCH(ROWS($AG$2:AG322),$AG$2:$AG$1001,0),MATCH(COLUMNS($AN$1006:BN1006),$AN$1006:$BO$1006,0)), HYPERLINK("#",""), HYPERLINK(CONCATENATE("#Metadata!", ADDRESS(INDEX($AI$2:$AI$1001,MATCH(ROWS($AG$2:AG322),$AG$2:$AG$1001,0),0), INDEX($AN$1004:$BO$1004,1,MATCH(COLUMNS($AN$1006:BN1006),$AN$1006:$BO$1006,0)))),"Fix")))</f>
        <v>0</v>
      </c>
      <c r="AC322" s="4">
        <f>IF(OR(INDEX($AH$2:$AH$1001,MATCH(ROWS($AG$2:AG322),$AG$2:$AG$1001,0),1)&gt;=100000,INDEX($AN$1005:$BO$1005,1,MATCH(COLUMNS($AN$1006:BO1006),$AN$1006:$BO$1006,0))&gt;=100000), " ",IF(INDEX($AN$2:$BO$1001,MATCH(ROWS($AG$2:AG322),$AG$2:$AG$1001,0),MATCH(COLUMNS($AN$1006:BO1006),$AN$1006:$BO$1006,0)), HYPERLINK("#",""), HYPERLINK(CONCATENATE("#Metadata!", ADDRESS(INDEX($AI$2:$AI$1001,MATCH(ROWS($AG$2:AG322),$AG$2:$AG$1001,0),0), INDEX($AN$1004:$BO$1004,1,MATCH(COLUMNS($AN$1006:BO1006),$AN$1006:$BO$1006,0)))),"Fix")))</f>
        <v>0</v>
      </c>
      <c r="AG322">
        <v>0</v>
      </c>
      <c r="AH322">
        <v>0</v>
      </c>
      <c r="AI322">
        <v>0</v>
      </c>
      <c r="AJ322">
        <f>IF(AK322,TRUE,AND(AN322:BO322))</f>
        <v>0</v>
      </c>
      <c r="AK322">
        <f>COUNTBLANK(Metadata!B322:AC322)=COLUMNS(Metadata!B322:AC322)</f>
        <v>0</v>
      </c>
      <c r="AL322">
        <v>0</v>
      </c>
      <c r="AN322">
        <f>AND(IF(Metadata!B322="",FALSE,TRUE),COUNTIF(Metadata!B:B, Metadata!B322) = 1,NOT(ISERROR(SUMPRODUCT(SEARCH(MID(Metadata!B322,ROW(INDIRECT("1:"&amp;LEN(Metadata!B322))), 1),"0123456789abcdefghijklmnopqrstuvwxyzABCDEFGHIJKLMNOPQRSTUVWXYZ.")))))</f>
        <v>0</v>
      </c>
      <c r="AO322">
        <f>IF(Metadata!C322="",FALSE,TRUE)</f>
        <v>0</v>
      </c>
      <c r="AP322">
        <f>IF(Metadata!D322="",FALSE,TRUE)</f>
        <v>0</v>
      </c>
      <c r="AQ322">
        <f>OR(AND(IF(Metadata!E322="",FALSE,TRUE),OR(exact(Metadata!E322,"not collected"),exact(Metadata!E322,"not provided"),exact(Metadata!E322,"restricted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R322">
        <f>IF(Metadata!F322="",FALSE,TRUE)</f>
        <v>0</v>
      </c>
      <c r="AS322">
        <f>OR(AND(IF(Metadata!G322="",FALSE,TRUE),OR(exact(Metadata!G322,"not collected"),exact(Metadata!G322,"not provided"))),AND(IF(Metadata!G322="",FALSE,TRUE),OR(exact(Metadata!G322,"TRUE"),exact(Metadata!G322,"FALSE"))))</f>
        <v>0</v>
      </c>
      <c r="AT322">
        <f>OR(AND(IF(Metadata!H322="",FALSE,TRUE),OR(exact(Metadata!H322,"not collected"),exact(Metadata!H322,"not provided"),exact(Metadata!H322,"restricted access"))),AND(IF(Metadata!H322="",FALSE,ISNUMBER(VALUE(Metadata!H322))),Metadata!H322&gt;=-413.0))</f>
        <v>0</v>
      </c>
      <c r="AU322">
        <f>AND(IF(Metadata!I322="",FALSE,TRUE),exact(Metadata!I322,"meters"))</f>
        <v>0</v>
      </c>
      <c r="AV322">
        <f>AND(IF(Metadata!J322="",FALSE,TRUE),OR(exact(Metadata!J322,"Host-associated"),exact(Metadata!J322,"Free-living")))</f>
        <v>0</v>
      </c>
      <c r="AW322">
        <f>AND(IF(Metadata!K322="",FALSE,TRUE),OR(exact(Metadata!K322,"Animal"),exact(Metadata!K322,"Fungus"),exact(Metadata!K322,"Plant"),exact(Metadata!K322,"Saline"),exact(Metadata!K322,"Non-saline")))</f>
        <v>0</v>
      </c>
      <c r="AX322">
        <f>AND(IF(Metadata!L322="",FALSE,TRUE),OR(exact(Metadata!L322,"Plant secretion"),exact(Metadata!L322,"Plant rhizosphere"),exact(Metadata!L322,"Plant surface"),exact(Metadata!L322,"Plant corpus"),exact(Metadata!L322,"Fungus surface"),exact(Metadata!L322,"Fungus corpus"),exact(Metadata!L322,"Animal surface"),exact(Metadata!L322,"Animal proximal gut"),exact(Metadata!L322,"Animal corpus"),exact(Metadata!L322,"Animal distal gut"),exact(Metadata!L322,"Animal secretion"),exact(Metadata!L322,"Sub-surface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Y322">
        <f>IF(Metadata!M322="",FALSE,TRUE)</f>
        <v>0</v>
      </c>
      <c r="AZ322">
        <f>IF(Metadata!N322="",FALSE,TRUE)</f>
        <v>0</v>
      </c>
      <c r="BA322">
        <f>IF(Metadata!O322="",FALSE,TRUE)</f>
        <v>0</v>
      </c>
      <c r="BB322">
        <f>OR(AND(IF(Metadata!P322="",FALSE,TRUE),OR(exact(Metadata!P322,"not collected"),exact(Metadata!P322,"not provided"),exact(Metadata!P322,"restricted access"))),AND(IF(Metadata!P322="",FALSE,TRUE),OR(exact(Metadata!P322,"air"),exact(Metadata!P322,"built environment"),exact(Metadata!P322,"host-associated"),exact(Metadata!P322,"human-associated"),exact(Metadata!P322,"human-skin"),exact(Metadata!P322,"human-oral"),exact(Metadata!P322,"human-gut"),exact(Metadata!P322,"human-vaginal"),exact(Metadata!P322,"microbial mat/biofilm"),exact(Metadata!P322,"misc environment"),exact(Metadata!P322,"plant-associated"),exact(Metadata!P322,"sediment"),exact(Metadata!P322,"soil"),exact(Metadata!P322,"wastewater/sludge"),exact(Metadata!P322,"water"))))</f>
        <v>0</v>
      </c>
      <c r="BC322">
        <f>IF(Metadata!Q322="",FALSE,TRUE)</f>
        <v>0</v>
      </c>
      <c r="BD322">
        <f>IF(Metadata!R322="",FALSE,TRUE)</f>
        <v>0</v>
      </c>
      <c r="BE322">
        <f>OR(AND(IF(Metadata!S322="",FALSE,TRUE),OR(exact(Metadata!S322,"not collected"),exact(Metadata!S322,"not provided"),exact(Metadata!S322,"restricted access"))),AND(IF(Metadata!S322="",FALSE,ISNUMBER(VALUE(Metadata!S322))),Metadata!S322&gt;=-90.00,Metadata!S322&lt;=90.00))</f>
        <v>0</v>
      </c>
      <c r="BF322">
        <f>AND(IF(Metadata!T322="",FALSE,TRUE),exact(Metadata!T322,"Decimal degrees"))</f>
        <v>0</v>
      </c>
      <c r="BG322">
        <f>OR(AND(IF(Metadata!U322="",FALSE,TRUE),OR(exact(Metadata!U322,"not collected"),exact(Metadata!U322,"not provided"),exact(Metadata!U322,"restricted access"))),AND(IF(Metadata!U322="",FALSE,ISNUMBER(VALUE(Metadata!U322))),Metadata!U322&gt;=-180.00,Metadata!U322&lt;=180.00))</f>
        <v>0</v>
      </c>
      <c r="BH322">
        <f>AND(IF(Metadata!V322="",FALSE,TRUE),exact(Metadata!V322,"Decimal degrees"))</f>
        <v>0</v>
      </c>
      <c r="BI322">
        <f>IF(Metadata!W322="",FALSE,TRUE)</f>
        <v>0</v>
      </c>
      <c r="BJ322">
        <f>OR(AND(IF(Metadata!X322="",FALSE,TRUE),OR(exact(Metadata!X322,"not collected"),exact(Metadata!X322,"not provided"),exact(Metadata!X322,"restricted access"))),AND(IF(Metadata!X322="",FALSE,TRUE),OR(exact(Metadata!X322,"TRUE"),exact(Metadata!X322,"FALSE"))))</f>
        <v>0</v>
      </c>
      <c r="BK322">
        <f>AND(IF(Metadata!Y322="",FALSE,TRUE),exact(Metadata!Y322,"other"))</f>
        <v>0</v>
      </c>
      <c r="BL322">
        <f>IF(Metadata!Z322="",FALSE,TRUE)</f>
        <v>0</v>
      </c>
      <c r="BM322">
        <f>OR(AND(IF(Metadata!AA322="",FALSE,TRUE),OR(exact(Metadata!AA322,"not collected"),exact(Metadata!AA322,"not provided"))),AND(IF(Metadata!AA322="",FALSE,IF(ISERROR(INT(Metadata!AA322)),FALSE,INT(Metadata!AA322)=Metadata!AA322)),Metadata!AA322&gt;0))</f>
        <v>0</v>
      </c>
      <c r="BN322">
        <f>AND(IF(Metadata!AB322="",FALSE,TRUE),exact(Metadata!AB322,"Not applicable"))</f>
        <v>0</v>
      </c>
      <c r="BO322">
        <f>IF(Metadata!AC322="",FALSE,TRUE)</f>
        <v>0</v>
      </c>
    </row>
    <row r="323" spans="1:67">
      <c r="A323" s="5">
        <f>IF(B323=" "," ",HYPERLINK(CONCATENATE("#metadata!",ADDRESS(INDEX($AI$2:$AI$1001,MATCH(ROWS($AG$2:AG323),$AG$2:$AG$1001,0),0),1)),INDEX($AL$2:$AL$1001,MATCH(ROWS($AG$2:AG323),$AG$2:$AG$1001,0),0)))</f>
        <v>0</v>
      </c>
      <c r="B323" s="4">
        <f>IF(OR(INDEX($AH$2:$AH$1001,MATCH(ROWS($AG$2:AG323),$AG$2:$AG$1001,0),1)&gt;=100000,INDEX($AN$1005:$BO$1005,1,MATCH(COLUMNS($AN$1006:AN1006),$AN$1006:$BO$1006,0))&gt;=100000), " ",IF(INDEX($AN$2:$BO$1001,MATCH(ROWS($AG$2:AG323),$AG$2:$AG$1001,0),MATCH(COLUMNS($AN$1006:AN1006),$AN$1006:$BO$1006,0)), HYPERLINK("#",""), HYPERLINK(CONCATENATE("#Metadata!", ADDRESS(INDEX($AI$2:$AI$1001,MATCH(ROWS($AG$2:AG323),$AG$2:$AG$1001,0),0), INDEX($AN$1004:$BO$1004,1,MATCH(COLUMNS($AN$1006:AN1006),$AN$1006:$BO$1006,0)))),"Fix")))</f>
        <v>0</v>
      </c>
      <c r="C323" s="4">
        <f>IF(OR(INDEX($AH$2:$AH$1001,MATCH(ROWS($AG$2:AG323),$AG$2:$AG$1001,0),1)&gt;=100000,INDEX($AN$1005:$BO$1005,1,MATCH(COLUMNS($AN$1006:AO1006),$AN$1006:$BO$1006,0))&gt;=100000), " ",IF(INDEX($AN$2:$BO$1001,MATCH(ROWS($AG$2:AG323),$AG$2:$AG$1001,0),MATCH(COLUMNS($AN$1006:AO1006),$AN$1006:$BO$1006,0)), HYPERLINK("#",""), HYPERLINK(CONCATENATE("#Metadata!", ADDRESS(INDEX($AI$2:$AI$1001,MATCH(ROWS($AG$2:AG323),$AG$2:$AG$1001,0),0), INDEX($AN$1004:$BO$1004,1,MATCH(COLUMNS($AN$1006:AO1006),$AN$1006:$BO$1006,0)))),"Fix")))</f>
        <v>0</v>
      </c>
      <c r="D323" s="4">
        <f>IF(OR(INDEX($AH$2:$AH$1001,MATCH(ROWS($AG$2:AG323),$AG$2:$AG$1001,0),1)&gt;=100000,INDEX($AN$1005:$BO$1005,1,MATCH(COLUMNS($AN$1006:AP1006),$AN$1006:$BO$1006,0))&gt;=100000), " ",IF(INDEX($AN$2:$BO$1001,MATCH(ROWS($AG$2:AG323),$AG$2:$AG$1001,0),MATCH(COLUMNS($AN$1006:AP1006),$AN$1006:$BO$1006,0)), HYPERLINK("#",""), HYPERLINK(CONCATENATE("#Metadata!", ADDRESS(INDEX($AI$2:$AI$1001,MATCH(ROWS($AG$2:AG323),$AG$2:$AG$1001,0),0), INDEX($AN$1004:$BO$1004,1,MATCH(COLUMNS($AN$1006:AP1006),$AN$1006:$BO$1006,0)))),"Fix")))</f>
        <v>0</v>
      </c>
      <c r="E323" s="4">
        <f>IF(OR(INDEX($AH$2:$AH$1001,MATCH(ROWS($AG$2:AG323),$AG$2:$AG$1001,0),1)&gt;=100000,INDEX($AN$1005:$BO$1005,1,MATCH(COLUMNS($AN$1006:AQ1006),$AN$1006:$BO$1006,0))&gt;=100000), " ",IF(INDEX($AN$2:$BO$1001,MATCH(ROWS($AG$2:AG323),$AG$2:$AG$1001,0),MATCH(COLUMNS($AN$1006:AQ1006),$AN$1006:$BO$1006,0)), HYPERLINK("#",""), HYPERLINK(CONCATENATE("#Metadata!", ADDRESS(INDEX($AI$2:$AI$1001,MATCH(ROWS($AG$2:AG323),$AG$2:$AG$1001,0),0), INDEX($AN$1004:$BO$1004,1,MATCH(COLUMNS($AN$1006:AQ1006),$AN$1006:$BO$1006,0)))),"Fix")))</f>
        <v>0</v>
      </c>
      <c r="F323" s="4">
        <f>IF(OR(INDEX($AH$2:$AH$1001,MATCH(ROWS($AG$2:AG323),$AG$2:$AG$1001,0),1)&gt;=100000,INDEX($AN$1005:$BO$1005,1,MATCH(COLUMNS($AN$1006:AR1006),$AN$1006:$BO$1006,0))&gt;=100000), " ",IF(INDEX($AN$2:$BO$1001,MATCH(ROWS($AG$2:AG323),$AG$2:$AG$1001,0),MATCH(COLUMNS($AN$1006:AR1006),$AN$1006:$BO$1006,0)), HYPERLINK("#",""), HYPERLINK(CONCATENATE("#Metadata!", ADDRESS(INDEX($AI$2:$AI$1001,MATCH(ROWS($AG$2:AG323),$AG$2:$AG$1001,0),0), INDEX($AN$1004:$BO$1004,1,MATCH(COLUMNS($AN$1006:AR1006),$AN$1006:$BO$1006,0)))),"Fix")))</f>
        <v>0</v>
      </c>
      <c r="G323" s="4">
        <f>IF(OR(INDEX($AH$2:$AH$1001,MATCH(ROWS($AG$2:AG323),$AG$2:$AG$1001,0),1)&gt;=100000,INDEX($AN$1005:$BO$1005,1,MATCH(COLUMNS($AN$1006:AS1006),$AN$1006:$BO$1006,0))&gt;=100000), " ",IF(INDEX($AN$2:$BO$1001,MATCH(ROWS($AG$2:AG323),$AG$2:$AG$1001,0),MATCH(COLUMNS($AN$1006:AS1006),$AN$1006:$BO$1006,0)), HYPERLINK("#",""), HYPERLINK(CONCATENATE("#Metadata!", ADDRESS(INDEX($AI$2:$AI$1001,MATCH(ROWS($AG$2:AG323),$AG$2:$AG$1001,0),0), INDEX($AN$1004:$BO$1004,1,MATCH(COLUMNS($AN$1006:AS1006),$AN$1006:$BO$1006,0)))),"Fix")))</f>
        <v>0</v>
      </c>
      <c r="H323" s="4">
        <f>IF(OR(INDEX($AH$2:$AH$1001,MATCH(ROWS($AG$2:AG323),$AG$2:$AG$1001,0),1)&gt;=100000,INDEX($AN$1005:$BO$1005,1,MATCH(COLUMNS($AN$1006:AT1006),$AN$1006:$BO$1006,0))&gt;=100000), " ",IF(INDEX($AN$2:$BO$1001,MATCH(ROWS($AG$2:AG323),$AG$2:$AG$1001,0),MATCH(COLUMNS($AN$1006:AT1006),$AN$1006:$BO$1006,0)), HYPERLINK("#",""), HYPERLINK(CONCATENATE("#Metadata!", ADDRESS(INDEX($AI$2:$AI$1001,MATCH(ROWS($AG$2:AG323),$AG$2:$AG$1001,0),0), INDEX($AN$1004:$BO$1004,1,MATCH(COLUMNS($AN$1006:AT1006),$AN$1006:$BO$1006,0)))),"Fix")))</f>
        <v>0</v>
      </c>
      <c r="I323" s="4">
        <f>IF(OR(INDEX($AH$2:$AH$1001,MATCH(ROWS($AG$2:AG323),$AG$2:$AG$1001,0),1)&gt;=100000,INDEX($AN$1005:$BO$1005,1,MATCH(COLUMNS($AN$1006:AU1006),$AN$1006:$BO$1006,0))&gt;=100000), " ",IF(INDEX($AN$2:$BO$1001,MATCH(ROWS($AG$2:AG323),$AG$2:$AG$1001,0),MATCH(COLUMNS($AN$1006:AU1006),$AN$1006:$BO$1006,0)), HYPERLINK("#",""), HYPERLINK(CONCATENATE("#Metadata!", ADDRESS(INDEX($AI$2:$AI$1001,MATCH(ROWS($AG$2:AG323),$AG$2:$AG$1001,0),0), INDEX($AN$1004:$BO$1004,1,MATCH(COLUMNS($AN$1006:AU1006),$AN$1006:$BO$1006,0)))),"Fix")))</f>
        <v>0</v>
      </c>
      <c r="J323" s="4">
        <f>IF(OR(INDEX($AH$2:$AH$1001,MATCH(ROWS($AG$2:AG323),$AG$2:$AG$1001,0),1)&gt;=100000,INDEX($AN$1005:$BO$1005,1,MATCH(COLUMNS($AN$1006:AV1006),$AN$1006:$BO$1006,0))&gt;=100000), " ",IF(INDEX($AN$2:$BO$1001,MATCH(ROWS($AG$2:AG323),$AG$2:$AG$1001,0),MATCH(COLUMNS($AN$1006:AV1006),$AN$1006:$BO$1006,0)), HYPERLINK("#",""), HYPERLINK(CONCATENATE("#Metadata!", ADDRESS(INDEX($AI$2:$AI$1001,MATCH(ROWS($AG$2:AG323),$AG$2:$AG$1001,0),0), INDEX($AN$1004:$BO$1004,1,MATCH(COLUMNS($AN$1006:AV1006),$AN$1006:$BO$1006,0)))),"Fix")))</f>
        <v>0</v>
      </c>
      <c r="K323" s="4">
        <f>IF(OR(INDEX($AH$2:$AH$1001,MATCH(ROWS($AG$2:AG323),$AG$2:$AG$1001,0),1)&gt;=100000,INDEX($AN$1005:$BO$1005,1,MATCH(COLUMNS($AN$1006:AW1006),$AN$1006:$BO$1006,0))&gt;=100000), " ",IF(INDEX($AN$2:$BO$1001,MATCH(ROWS($AG$2:AG323),$AG$2:$AG$1001,0),MATCH(COLUMNS($AN$1006:AW1006),$AN$1006:$BO$1006,0)), HYPERLINK("#",""), HYPERLINK(CONCATENATE("#Metadata!", ADDRESS(INDEX($AI$2:$AI$1001,MATCH(ROWS($AG$2:AG323),$AG$2:$AG$1001,0),0), INDEX($AN$1004:$BO$1004,1,MATCH(COLUMNS($AN$1006:AW1006),$AN$1006:$BO$1006,0)))),"Fix")))</f>
        <v>0</v>
      </c>
      <c r="L323" s="4">
        <f>IF(OR(INDEX($AH$2:$AH$1001,MATCH(ROWS($AG$2:AG323),$AG$2:$AG$1001,0),1)&gt;=100000,INDEX($AN$1005:$BO$1005,1,MATCH(COLUMNS($AN$1006:AX1006),$AN$1006:$BO$1006,0))&gt;=100000), " ",IF(INDEX($AN$2:$BO$1001,MATCH(ROWS($AG$2:AG323),$AG$2:$AG$1001,0),MATCH(COLUMNS($AN$1006:AX1006),$AN$1006:$BO$1006,0)), HYPERLINK("#",""), HYPERLINK(CONCATENATE("#Metadata!", ADDRESS(INDEX($AI$2:$AI$1001,MATCH(ROWS($AG$2:AG323),$AG$2:$AG$1001,0),0), INDEX($AN$1004:$BO$1004,1,MATCH(COLUMNS($AN$1006:AX1006),$AN$1006:$BO$1006,0)))),"Fix")))</f>
        <v>0</v>
      </c>
      <c r="M323" s="4">
        <f>IF(OR(INDEX($AH$2:$AH$1001,MATCH(ROWS($AG$2:AG323),$AG$2:$AG$1001,0),1)&gt;=100000,INDEX($AN$1005:$BO$1005,1,MATCH(COLUMNS($AN$1006:AY1006),$AN$1006:$BO$1006,0))&gt;=100000), " ",IF(INDEX($AN$2:$BO$1001,MATCH(ROWS($AG$2:AG323),$AG$2:$AG$1001,0),MATCH(COLUMNS($AN$1006:AY1006),$AN$1006:$BO$1006,0)), HYPERLINK("#",""), HYPERLINK(CONCATENATE("#Metadata!", ADDRESS(INDEX($AI$2:$AI$1001,MATCH(ROWS($AG$2:AG323),$AG$2:$AG$1001,0),0), INDEX($AN$1004:$BO$1004,1,MATCH(COLUMNS($AN$1006:AY1006),$AN$1006:$BO$1006,0)))),"Fix")))</f>
        <v>0</v>
      </c>
      <c r="N323" s="4">
        <f>IF(OR(INDEX($AH$2:$AH$1001,MATCH(ROWS($AG$2:AG323),$AG$2:$AG$1001,0),1)&gt;=100000,INDEX($AN$1005:$BO$1005,1,MATCH(COLUMNS($AN$1006:AZ1006),$AN$1006:$BO$1006,0))&gt;=100000), " ",IF(INDEX($AN$2:$BO$1001,MATCH(ROWS($AG$2:AG323),$AG$2:$AG$1001,0),MATCH(COLUMNS($AN$1006:AZ1006),$AN$1006:$BO$1006,0)), HYPERLINK("#",""), HYPERLINK(CONCATENATE("#Metadata!", ADDRESS(INDEX($AI$2:$AI$1001,MATCH(ROWS($AG$2:AG323),$AG$2:$AG$1001,0),0), INDEX($AN$1004:$BO$1004,1,MATCH(COLUMNS($AN$1006:AZ1006),$AN$1006:$BO$1006,0)))),"Fix")))</f>
        <v>0</v>
      </c>
      <c r="O323" s="4">
        <f>IF(OR(INDEX($AH$2:$AH$1001,MATCH(ROWS($AG$2:AG323),$AG$2:$AG$1001,0),1)&gt;=100000,INDEX($AN$1005:$BO$1005,1,MATCH(COLUMNS($AN$1006:BA1006),$AN$1006:$BO$1006,0))&gt;=100000), " ",IF(INDEX($AN$2:$BO$1001,MATCH(ROWS($AG$2:AG323),$AG$2:$AG$1001,0),MATCH(COLUMNS($AN$1006:BA1006),$AN$1006:$BO$1006,0)), HYPERLINK("#",""), HYPERLINK(CONCATENATE("#Metadata!", ADDRESS(INDEX($AI$2:$AI$1001,MATCH(ROWS($AG$2:AG323),$AG$2:$AG$1001,0),0), INDEX($AN$1004:$BO$1004,1,MATCH(COLUMNS($AN$1006:BA1006),$AN$1006:$BO$1006,0)))),"Fix")))</f>
        <v>0</v>
      </c>
      <c r="P323" s="4">
        <f>IF(OR(INDEX($AH$2:$AH$1001,MATCH(ROWS($AG$2:AG323),$AG$2:$AG$1001,0),1)&gt;=100000,INDEX($AN$1005:$BO$1005,1,MATCH(COLUMNS($AN$1006:BB1006),$AN$1006:$BO$1006,0))&gt;=100000), " ",IF(INDEX($AN$2:$BO$1001,MATCH(ROWS($AG$2:AG323),$AG$2:$AG$1001,0),MATCH(COLUMNS($AN$1006:BB1006),$AN$1006:$BO$1006,0)), HYPERLINK("#",""), HYPERLINK(CONCATENATE("#Metadata!", ADDRESS(INDEX($AI$2:$AI$1001,MATCH(ROWS($AG$2:AG323),$AG$2:$AG$1001,0),0), INDEX($AN$1004:$BO$1004,1,MATCH(COLUMNS($AN$1006:BB1006),$AN$1006:$BO$1006,0)))),"Fix")))</f>
        <v>0</v>
      </c>
      <c r="Q323" s="4">
        <f>IF(OR(INDEX($AH$2:$AH$1001,MATCH(ROWS($AG$2:AG323),$AG$2:$AG$1001,0),1)&gt;=100000,INDEX($AN$1005:$BO$1005,1,MATCH(COLUMNS($AN$1006:BC1006),$AN$1006:$BO$1006,0))&gt;=100000), " ",IF(INDEX($AN$2:$BO$1001,MATCH(ROWS($AG$2:AG323),$AG$2:$AG$1001,0),MATCH(COLUMNS($AN$1006:BC1006),$AN$1006:$BO$1006,0)), HYPERLINK("#",""), HYPERLINK(CONCATENATE("#Metadata!", ADDRESS(INDEX($AI$2:$AI$1001,MATCH(ROWS($AG$2:AG323),$AG$2:$AG$1001,0),0), INDEX($AN$1004:$BO$1004,1,MATCH(COLUMNS($AN$1006:BC1006),$AN$1006:$BO$1006,0)))),"Fix")))</f>
        <v>0</v>
      </c>
      <c r="R323" s="4">
        <f>IF(OR(INDEX($AH$2:$AH$1001,MATCH(ROWS($AG$2:AG323),$AG$2:$AG$1001,0),1)&gt;=100000,INDEX($AN$1005:$BO$1005,1,MATCH(COLUMNS($AN$1006:BD1006),$AN$1006:$BO$1006,0))&gt;=100000), " ",IF(INDEX($AN$2:$BO$1001,MATCH(ROWS($AG$2:AG323),$AG$2:$AG$1001,0),MATCH(COLUMNS($AN$1006:BD1006),$AN$1006:$BO$1006,0)), HYPERLINK("#",""), HYPERLINK(CONCATENATE("#Metadata!", ADDRESS(INDEX($AI$2:$AI$1001,MATCH(ROWS($AG$2:AG323),$AG$2:$AG$1001,0),0), INDEX($AN$1004:$BO$1004,1,MATCH(COLUMNS($AN$1006:BD1006),$AN$1006:$BO$1006,0)))),"Fix")))</f>
        <v>0</v>
      </c>
      <c r="S323" s="4">
        <f>IF(OR(INDEX($AH$2:$AH$1001,MATCH(ROWS($AG$2:AG323),$AG$2:$AG$1001,0),1)&gt;=100000,INDEX($AN$1005:$BO$1005,1,MATCH(COLUMNS($AN$1006:BE1006),$AN$1006:$BO$1006,0))&gt;=100000), " ",IF(INDEX($AN$2:$BO$1001,MATCH(ROWS($AG$2:AG323),$AG$2:$AG$1001,0),MATCH(COLUMNS($AN$1006:BE1006),$AN$1006:$BO$1006,0)), HYPERLINK("#",""), HYPERLINK(CONCATENATE("#Metadata!", ADDRESS(INDEX($AI$2:$AI$1001,MATCH(ROWS($AG$2:AG323),$AG$2:$AG$1001,0),0), INDEX($AN$1004:$BO$1004,1,MATCH(COLUMNS($AN$1006:BE1006),$AN$1006:$BO$1006,0)))),"Fix")))</f>
        <v>0</v>
      </c>
      <c r="T323" s="4">
        <f>IF(OR(INDEX($AH$2:$AH$1001,MATCH(ROWS($AG$2:AG323),$AG$2:$AG$1001,0),1)&gt;=100000,INDEX($AN$1005:$BO$1005,1,MATCH(COLUMNS($AN$1006:BF1006),$AN$1006:$BO$1006,0))&gt;=100000), " ",IF(INDEX($AN$2:$BO$1001,MATCH(ROWS($AG$2:AG323),$AG$2:$AG$1001,0),MATCH(COLUMNS($AN$1006:BF1006),$AN$1006:$BO$1006,0)), HYPERLINK("#",""), HYPERLINK(CONCATENATE("#Metadata!", ADDRESS(INDEX($AI$2:$AI$1001,MATCH(ROWS($AG$2:AG323),$AG$2:$AG$1001,0),0), INDEX($AN$1004:$BO$1004,1,MATCH(COLUMNS($AN$1006:BF1006),$AN$1006:$BO$1006,0)))),"Fix")))</f>
        <v>0</v>
      </c>
      <c r="U323" s="4">
        <f>IF(OR(INDEX($AH$2:$AH$1001,MATCH(ROWS($AG$2:AG323),$AG$2:$AG$1001,0),1)&gt;=100000,INDEX($AN$1005:$BO$1005,1,MATCH(COLUMNS($AN$1006:BG1006),$AN$1006:$BO$1006,0))&gt;=100000), " ",IF(INDEX($AN$2:$BO$1001,MATCH(ROWS($AG$2:AG323),$AG$2:$AG$1001,0),MATCH(COLUMNS($AN$1006:BG1006),$AN$1006:$BO$1006,0)), HYPERLINK("#",""), HYPERLINK(CONCATENATE("#Metadata!", ADDRESS(INDEX($AI$2:$AI$1001,MATCH(ROWS($AG$2:AG323),$AG$2:$AG$1001,0),0), INDEX($AN$1004:$BO$1004,1,MATCH(COLUMNS($AN$1006:BG1006),$AN$1006:$BO$1006,0)))),"Fix")))</f>
        <v>0</v>
      </c>
      <c r="V323" s="4">
        <f>IF(OR(INDEX($AH$2:$AH$1001,MATCH(ROWS($AG$2:AG323),$AG$2:$AG$1001,0),1)&gt;=100000,INDEX($AN$1005:$BO$1005,1,MATCH(COLUMNS($AN$1006:BH1006),$AN$1006:$BO$1006,0))&gt;=100000), " ",IF(INDEX($AN$2:$BO$1001,MATCH(ROWS($AG$2:AG323),$AG$2:$AG$1001,0),MATCH(COLUMNS($AN$1006:BH1006),$AN$1006:$BO$1006,0)), HYPERLINK("#",""), HYPERLINK(CONCATENATE("#Metadata!", ADDRESS(INDEX($AI$2:$AI$1001,MATCH(ROWS($AG$2:AG323),$AG$2:$AG$1001,0),0), INDEX($AN$1004:$BO$1004,1,MATCH(COLUMNS($AN$1006:BH1006),$AN$1006:$BO$1006,0)))),"Fix")))</f>
        <v>0</v>
      </c>
      <c r="W323" s="4">
        <f>IF(OR(INDEX($AH$2:$AH$1001,MATCH(ROWS($AG$2:AG323),$AG$2:$AG$1001,0),1)&gt;=100000,INDEX($AN$1005:$BO$1005,1,MATCH(COLUMNS($AN$1006:BI1006),$AN$1006:$BO$1006,0))&gt;=100000), " ",IF(INDEX($AN$2:$BO$1001,MATCH(ROWS($AG$2:AG323),$AG$2:$AG$1001,0),MATCH(COLUMNS($AN$1006:BI1006),$AN$1006:$BO$1006,0)), HYPERLINK("#",""), HYPERLINK(CONCATENATE("#Metadata!", ADDRESS(INDEX($AI$2:$AI$1001,MATCH(ROWS($AG$2:AG323),$AG$2:$AG$1001,0),0), INDEX($AN$1004:$BO$1004,1,MATCH(COLUMNS($AN$1006:BI1006),$AN$1006:$BO$1006,0)))),"Fix")))</f>
        <v>0</v>
      </c>
      <c r="X323" s="4">
        <f>IF(OR(INDEX($AH$2:$AH$1001,MATCH(ROWS($AG$2:AG323),$AG$2:$AG$1001,0),1)&gt;=100000,INDEX($AN$1005:$BO$1005,1,MATCH(COLUMNS($AN$1006:BJ1006),$AN$1006:$BO$1006,0))&gt;=100000), " ",IF(INDEX($AN$2:$BO$1001,MATCH(ROWS($AG$2:AG323),$AG$2:$AG$1001,0),MATCH(COLUMNS($AN$1006:BJ1006),$AN$1006:$BO$1006,0)), HYPERLINK("#",""), HYPERLINK(CONCATENATE("#Metadata!", ADDRESS(INDEX($AI$2:$AI$1001,MATCH(ROWS($AG$2:AG323),$AG$2:$AG$1001,0),0), INDEX($AN$1004:$BO$1004,1,MATCH(COLUMNS($AN$1006:BJ1006),$AN$1006:$BO$1006,0)))),"Fix")))</f>
        <v>0</v>
      </c>
      <c r="Y323" s="4">
        <f>IF(OR(INDEX($AH$2:$AH$1001,MATCH(ROWS($AG$2:AG323),$AG$2:$AG$1001,0),1)&gt;=100000,INDEX($AN$1005:$BO$1005,1,MATCH(COLUMNS($AN$1006:BK1006),$AN$1006:$BO$1006,0))&gt;=100000), " ",IF(INDEX($AN$2:$BO$1001,MATCH(ROWS($AG$2:AG323),$AG$2:$AG$1001,0),MATCH(COLUMNS($AN$1006:BK1006),$AN$1006:$BO$1006,0)), HYPERLINK("#",""), HYPERLINK(CONCATENATE("#Metadata!", ADDRESS(INDEX($AI$2:$AI$1001,MATCH(ROWS($AG$2:AG323),$AG$2:$AG$1001,0),0), INDEX($AN$1004:$BO$1004,1,MATCH(COLUMNS($AN$1006:BK1006),$AN$1006:$BO$1006,0)))),"Fix")))</f>
        <v>0</v>
      </c>
      <c r="Z323" s="4">
        <f>IF(OR(INDEX($AH$2:$AH$1001,MATCH(ROWS($AG$2:AG323),$AG$2:$AG$1001,0),1)&gt;=100000,INDEX($AN$1005:$BO$1005,1,MATCH(COLUMNS($AN$1006:BL1006),$AN$1006:$BO$1006,0))&gt;=100000), " ",IF(INDEX($AN$2:$BO$1001,MATCH(ROWS($AG$2:AG323),$AG$2:$AG$1001,0),MATCH(COLUMNS($AN$1006:BL1006),$AN$1006:$BO$1006,0)), HYPERLINK("#",""), HYPERLINK(CONCATENATE("#Metadata!", ADDRESS(INDEX($AI$2:$AI$1001,MATCH(ROWS($AG$2:AG323),$AG$2:$AG$1001,0),0), INDEX($AN$1004:$BO$1004,1,MATCH(COLUMNS($AN$1006:BL1006),$AN$1006:$BO$1006,0)))),"Fix")))</f>
        <v>0</v>
      </c>
      <c r="AA323" s="4">
        <f>IF(OR(INDEX($AH$2:$AH$1001,MATCH(ROWS($AG$2:AG323),$AG$2:$AG$1001,0),1)&gt;=100000,INDEX($AN$1005:$BO$1005,1,MATCH(COLUMNS($AN$1006:BM1006),$AN$1006:$BO$1006,0))&gt;=100000), " ",IF(INDEX($AN$2:$BO$1001,MATCH(ROWS($AG$2:AG323),$AG$2:$AG$1001,0),MATCH(COLUMNS($AN$1006:BM1006),$AN$1006:$BO$1006,0)), HYPERLINK("#",""), HYPERLINK(CONCATENATE("#Metadata!", ADDRESS(INDEX($AI$2:$AI$1001,MATCH(ROWS($AG$2:AG323),$AG$2:$AG$1001,0),0), INDEX($AN$1004:$BO$1004,1,MATCH(COLUMNS($AN$1006:BM1006),$AN$1006:$BO$1006,0)))),"Fix")))</f>
        <v>0</v>
      </c>
      <c r="AB323" s="4">
        <f>IF(OR(INDEX($AH$2:$AH$1001,MATCH(ROWS($AG$2:AG323),$AG$2:$AG$1001,0),1)&gt;=100000,INDEX($AN$1005:$BO$1005,1,MATCH(COLUMNS($AN$1006:BN1006),$AN$1006:$BO$1006,0))&gt;=100000), " ",IF(INDEX($AN$2:$BO$1001,MATCH(ROWS($AG$2:AG323),$AG$2:$AG$1001,0),MATCH(COLUMNS($AN$1006:BN1006),$AN$1006:$BO$1006,0)), HYPERLINK("#",""), HYPERLINK(CONCATENATE("#Metadata!", ADDRESS(INDEX($AI$2:$AI$1001,MATCH(ROWS($AG$2:AG323),$AG$2:$AG$1001,0),0), INDEX($AN$1004:$BO$1004,1,MATCH(COLUMNS($AN$1006:BN1006),$AN$1006:$BO$1006,0)))),"Fix")))</f>
        <v>0</v>
      </c>
      <c r="AC323" s="4">
        <f>IF(OR(INDEX($AH$2:$AH$1001,MATCH(ROWS($AG$2:AG323),$AG$2:$AG$1001,0),1)&gt;=100000,INDEX($AN$1005:$BO$1005,1,MATCH(COLUMNS($AN$1006:BO1006),$AN$1006:$BO$1006,0))&gt;=100000), " ",IF(INDEX($AN$2:$BO$1001,MATCH(ROWS($AG$2:AG323),$AG$2:$AG$1001,0),MATCH(COLUMNS($AN$1006:BO1006),$AN$1006:$BO$1006,0)), HYPERLINK("#",""), HYPERLINK(CONCATENATE("#Metadata!", ADDRESS(INDEX($AI$2:$AI$1001,MATCH(ROWS($AG$2:AG323),$AG$2:$AG$1001,0),0), INDEX($AN$1004:$BO$1004,1,MATCH(COLUMNS($AN$1006:BO1006),$AN$1006:$BO$1006,0)))),"Fix")))</f>
        <v>0</v>
      </c>
      <c r="AG323">
        <v>0</v>
      </c>
      <c r="AH323">
        <v>0</v>
      </c>
      <c r="AI323">
        <v>0</v>
      </c>
      <c r="AJ323">
        <f>IF(AK323,TRUE,AND(AN323:BO323))</f>
        <v>0</v>
      </c>
      <c r="AK323">
        <f>COUNTBLANK(Metadata!B323:AC323)=COLUMNS(Metadata!B323:AC323)</f>
        <v>0</v>
      </c>
      <c r="AL323">
        <v>0</v>
      </c>
      <c r="AN323">
        <f>AND(IF(Metadata!B323="",FALSE,TRUE),COUNTIF(Metadata!B:B, Metadata!B323) = 1,NOT(ISERROR(SUMPRODUCT(SEARCH(MID(Metadata!B323,ROW(INDIRECT("1:"&amp;LEN(Metadata!B323))), 1),"0123456789abcdefghijklmnopqrstuvwxyzABCDEFGHIJKLMNOPQRSTUVWXYZ.")))))</f>
        <v>0</v>
      </c>
      <c r="AO323">
        <f>IF(Metadata!C323="",FALSE,TRUE)</f>
        <v>0</v>
      </c>
      <c r="AP323">
        <f>IF(Metadata!D323="",FALSE,TRUE)</f>
        <v>0</v>
      </c>
      <c r="AQ323">
        <f>OR(AND(IF(Metadata!E323="",FALSE,TRUE),OR(exact(Metadata!E323,"not collected"),exact(Metadata!E323,"not provided"),exact(Metadata!E323,"restricted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R323">
        <f>IF(Metadata!F323="",FALSE,TRUE)</f>
        <v>0</v>
      </c>
      <c r="AS323">
        <f>OR(AND(IF(Metadata!G323="",FALSE,TRUE),OR(exact(Metadata!G323,"not collected"),exact(Metadata!G323,"not provided"))),AND(IF(Metadata!G323="",FALSE,TRUE),OR(exact(Metadata!G323,"TRUE"),exact(Metadata!G323,"FALSE"))))</f>
        <v>0</v>
      </c>
      <c r="AT323">
        <f>OR(AND(IF(Metadata!H323="",FALSE,TRUE),OR(exact(Metadata!H323,"not collected"),exact(Metadata!H323,"not provided"),exact(Metadata!H323,"restricted access"))),AND(IF(Metadata!H323="",FALSE,ISNUMBER(VALUE(Metadata!H323))),Metadata!H323&gt;=-413.0))</f>
        <v>0</v>
      </c>
      <c r="AU323">
        <f>AND(IF(Metadata!I323="",FALSE,TRUE),exact(Metadata!I323,"meters"))</f>
        <v>0</v>
      </c>
      <c r="AV323">
        <f>AND(IF(Metadata!J323="",FALSE,TRUE),OR(exact(Metadata!J323,"Host-associated"),exact(Metadata!J323,"Free-living")))</f>
        <v>0</v>
      </c>
      <c r="AW323">
        <f>AND(IF(Metadata!K323="",FALSE,TRUE),OR(exact(Metadata!K323,"Animal"),exact(Metadata!K323,"Fungus"),exact(Metadata!K323,"Plant"),exact(Metadata!K323,"Saline"),exact(Metadata!K323,"Non-saline")))</f>
        <v>0</v>
      </c>
      <c r="AX323">
        <f>AND(IF(Metadata!L323="",FALSE,TRUE),OR(exact(Metadata!L323,"Plant secretion"),exact(Metadata!L323,"Plant rhizosphere"),exact(Metadata!L323,"Plant surface"),exact(Metadata!L323,"Plant corpus"),exact(Metadata!L323,"Fungus surface"),exact(Metadata!L323,"Fungus corpus"),exact(Metadata!L323,"Animal surface"),exact(Metadata!L323,"Animal proximal gut"),exact(Metadata!L323,"Animal corpus"),exact(Metadata!L323,"Animal distal gut"),exact(Metadata!L323,"Animal secretion"),exact(Metadata!L323,"Sub-surface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Y323">
        <f>IF(Metadata!M323="",FALSE,TRUE)</f>
        <v>0</v>
      </c>
      <c r="AZ323">
        <f>IF(Metadata!N323="",FALSE,TRUE)</f>
        <v>0</v>
      </c>
      <c r="BA323">
        <f>IF(Metadata!O323="",FALSE,TRUE)</f>
        <v>0</v>
      </c>
      <c r="BB323">
        <f>OR(AND(IF(Metadata!P323="",FALSE,TRUE),OR(exact(Metadata!P323,"not collected"),exact(Metadata!P323,"not provided"),exact(Metadata!P323,"restricted access"))),AND(IF(Metadata!P323="",FALSE,TRUE),OR(exact(Metadata!P323,"air"),exact(Metadata!P323,"built environment"),exact(Metadata!P323,"host-associated"),exact(Metadata!P323,"human-associated"),exact(Metadata!P323,"human-skin"),exact(Metadata!P323,"human-oral"),exact(Metadata!P323,"human-gut"),exact(Metadata!P323,"human-vaginal"),exact(Metadata!P323,"microbial mat/biofilm"),exact(Metadata!P323,"misc environment"),exact(Metadata!P323,"plant-associated"),exact(Metadata!P323,"sediment"),exact(Metadata!P323,"soil"),exact(Metadata!P323,"wastewater/sludge"),exact(Metadata!P323,"water"))))</f>
        <v>0</v>
      </c>
      <c r="BC323">
        <f>IF(Metadata!Q323="",FALSE,TRUE)</f>
        <v>0</v>
      </c>
      <c r="BD323">
        <f>IF(Metadata!R323="",FALSE,TRUE)</f>
        <v>0</v>
      </c>
      <c r="BE323">
        <f>OR(AND(IF(Metadata!S323="",FALSE,TRUE),OR(exact(Metadata!S323,"not collected"),exact(Metadata!S323,"not provided"),exact(Metadata!S323,"restricted access"))),AND(IF(Metadata!S323="",FALSE,ISNUMBER(VALUE(Metadata!S323))),Metadata!S323&gt;=-90.00,Metadata!S323&lt;=90.00))</f>
        <v>0</v>
      </c>
      <c r="BF323">
        <f>AND(IF(Metadata!T323="",FALSE,TRUE),exact(Metadata!T323,"Decimal degrees"))</f>
        <v>0</v>
      </c>
      <c r="BG323">
        <f>OR(AND(IF(Metadata!U323="",FALSE,TRUE),OR(exact(Metadata!U323,"not collected"),exact(Metadata!U323,"not provided"),exact(Metadata!U323,"restricted access"))),AND(IF(Metadata!U323="",FALSE,ISNUMBER(VALUE(Metadata!U323))),Metadata!U323&gt;=-180.00,Metadata!U323&lt;=180.00))</f>
        <v>0</v>
      </c>
      <c r="BH323">
        <f>AND(IF(Metadata!V323="",FALSE,TRUE),exact(Metadata!V323,"Decimal degrees"))</f>
        <v>0</v>
      </c>
      <c r="BI323">
        <f>IF(Metadata!W323="",FALSE,TRUE)</f>
        <v>0</v>
      </c>
      <c r="BJ323">
        <f>OR(AND(IF(Metadata!X323="",FALSE,TRUE),OR(exact(Metadata!X323,"not collected"),exact(Metadata!X323,"not provided"),exact(Metadata!X323,"restricted access"))),AND(IF(Metadata!X323="",FALSE,TRUE),OR(exact(Metadata!X323,"TRUE"),exact(Metadata!X323,"FALSE"))))</f>
        <v>0</v>
      </c>
      <c r="BK323">
        <f>AND(IF(Metadata!Y323="",FALSE,TRUE),exact(Metadata!Y323,"other"))</f>
        <v>0</v>
      </c>
      <c r="BL323">
        <f>IF(Metadata!Z323="",FALSE,TRUE)</f>
        <v>0</v>
      </c>
      <c r="BM323">
        <f>OR(AND(IF(Metadata!AA323="",FALSE,TRUE),OR(exact(Metadata!AA323,"not collected"),exact(Metadata!AA323,"not provided"))),AND(IF(Metadata!AA323="",FALSE,IF(ISERROR(INT(Metadata!AA323)),FALSE,INT(Metadata!AA323)=Metadata!AA323)),Metadata!AA323&gt;0))</f>
        <v>0</v>
      </c>
      <c r="BN323">
        <f>AND(IF(Metadata!AB323="",FALSE,TRUE),exact(Metadata!AB323,"Not applicable"))</f>
        <v>0</v>
      </c>
      <c r="BO323">
        <f>IF(Metadata!AC323="",FALSE,TRUE)</f>
        <v>0</v>
      </c>
    </row>
    <row r="324" spans="1:67">
      <c r="A324" s="5">
        <f>IF(B324=" "," ",HYPERLINK(CONCATENATE("#metadata!",ADDRESS(INDEX($AI$2:$AI$1001,MATCH(ROWS($AG$2:AG324),$AG$2:$AG$1001,0),0),1)),INDEX($AL$2:$AL$1001,MATCH(ROWS($AG$2:AG324),$AG$2:$AG$1001,0),0)))</f>
        <v>0</v>
      </c>
      <c r="B324" s="4">
        <f>IF(OR(INDEX($AH$2:$AH$1001,MATCH(ROWS($AG$2:AG324),$AG$2:$AG$1001,0),1)&gt;=100000,INDEX($AN$1005:$BO$1005,1,MATCH(COLUMNS($AN$1006:AN1006),$AN$1006:$BO$1006,0))&gt;=100000), " ",IF(INDEX($AN$2:$BO$1001,MATCH(ROWS($AG$2:AG324),$AG$2:$AG$1001,0),MATCH(COLUMNS($AN$1006:AN1006),$AN$1006:$BO$1006,0)), HYPERLINK("#",""), HYPERLINK(CONCATENATE("#Metadata!", ADDRESS(INDEX($AI$2:$AI$1001,MATCH(ROWS($AG$2:AG324),$AG$2:$AG$1001,0),0), INDEX($AN$1004:$BO$1004,1,MATCH(COLUMNS($AN$1006:AN1006),$AN$1006:$BO$1006,0)))),"Fix")))</f>
        <v>0</v>
      </c>
      <c r="C324" s="4">
        <f>IF(OR(INDEX($AH$2:$AH$1001,MATCH(ROWS($AG$2:AG324),$AG$2:$AG$1001,0),1)&gt;=100000,INDEX($AN$1005:$BO$1005,1,MATCH(COLUMNS($AN$1006:AO1006),$AN$1006:$BO$1006,0))&gt;=100000), " ",IF(INDEX($AN$2:$BO$1001,MATCH(ROWS($AG$2:AG324),$AG$2:$AG$1001,0),MATCH(COLUMNS($AN$1006:AO1006),$AN$1006:$BO$1006,0)), HYPERLINK("#",""), HYPERLINK(CONCATENATE("#Metadata!", ADDRESS(INDEX($AI$2:$AI$1001,MATCH(ROWS($AG$2:AG324),$AG$2:$AG$1001,0),0), INDEX($AN$1004:$BO$1004,1,MATCH(COLUMNS($AN$1006:AO1006),$AN$1006:$BO$1006,0)))),"Fix")))</f>
        <v>0</v>
      </c>
      <c r="D324" s="4">
        <f>IF(OR(INDEX($AH$2:$AH$1001,MATCH(ROWS($AG$2:AG324),$AG$2:$AG$1001,0),1)&gt;=100000,INDEX($AN$1005:$BO$1005,1,MATCH(COLUMNS($AN$1006:AP1006),$AN$1006:$BO$1006,0))&gt;=100000), " ",IF(INDEX($AN$2:$BO$1001,MATCH(ROWS($AG$2:AG324),$AG$2:$AG$1001,0),MATCH(COLUMNS($AN$1006:AP1006),$AN$1006:$BO$1006,0)), HYPERLINK("#",""), HYPERLINK(CONCATENATE("#Metadata!", ADDRESS(INDEX($AI$2:$AI$1001,MATCH(ROWS($AG$2:AG324),$AG$2:$AG$1001,0),0), INDEX($AN$1004:$BO$1004,1,MATCH(COLUMNS($AN$1006:AP1006),$AN$1006:$BO$1006,0)))),"Fix")))</f>
        <v>0</v>
      </c>
      <c r="E324" s="4">
        <f>IF(OR(INDEX($AH$2:$AH$1001,MATCH(ROWS($AG$2:AG324),$AG$2:$AG$1001,0),1)&gt;=100000,INDEX($AN$1005:$BO$1005,1,MATCH(COLUMNS($AN$1006:AQ1006),$AN$1006:$BO$1006,0))&gt;=100000), " ",IF(INDEX($AN$2:$BO$1001,MATCH(ROWS($AG$2:AG324),$AG$2:$AG$1001,0),MATCH(COLUMNS($AN$1006:AQ1006),$AN$1006:$BO$1006,0)), HYPERLINK("#",""), HYPERLINK(CONCATENATE("#Metadata!", ADDRESS(INDEX($AI$2:$AI$1001,MATCH(ROWS($AG$2:AG324),$AG$2:$AG$1001,0),0), INDEX($AN$1004:$BO$1004,1,MATCH(COLUMNS($AN$1006:AQ1006),$AN$1006:$BO$1006,0)))),"Fix")))</f>
        <v>0</v>
      </c>
      <c r="F324" s="4">
        <f>IF(OR(INDEX($AH$2:$AH$1001,MATCH(ROWS($AG$2:AG324),$AG$2:$AG$1001,0),1)&gt;=100000,INDEX($AN$1005:$BO$1005,1,MATCH(COLUMNS($AN$1006:AR1006),$AN$1006:$BO$1006,0))&gt;=100000), " ",IF(INDEX($AN$2:$BO$1001,MATCH(ROWS($AG$2:AG324),$AG$2:$AG$1001,0),MATCH(COLUMNS($AN$1006:AR1006),$AN$1006:$BO$1006,0)), HYPERLINK("#",""), HYPERLINK(CONCATENATE("#Metadata!", ADDRESS(INDEX($AI$2:$AI$1001,MATCH(ROWS($AG$2:AG324),$AG$2:$AG$1001,0),0), INDEX($AN$1004:$BO$1004,1,MATCH(COLUMNS($AN$1006:AR1006),$AN$1006:$BO$1006,0)))),"Fix")))</f>
        <v>0</v>
      </c>
      <c r="G324" s="4">
        <f>IF(OR(INDEX($AH$2:$AH$1001,MATCH(ROWS($AG$2:AG324),$AG$2:$AG$1001,0),1)&gt;=100000,INDEX($AN$1005:$BO$1005,1,MATCH(COLUMNS($AN$1006:AS1006),$AN$1006:$BO$1006,0))&gt;=100000), " ",IF(INDEX($AN$2:$BO$1001,MATCH(ROWS($AG$2:AG324),$AG$2:$AG$1001,0),MATCH(COLUMNS($AN$1006:AS1006),$AN$1006:$BO$1006,0)), HYPERLINK("#",""), HYPERLINK(CONCATENATE("#Metadata!", ADDRESS(INDEX($AI$2:$AI$1001,MATCH(ROWS($AG$2:AG324),$AG$2:$AG$1001,0),0), INDEX($AN$1004:$BO$1004,1,MATCH(COLUMNS($AN$1006:AS1006),$AN$1006:$BO$1006,0)))),"Fix")))</f>
        <v>0</v>
      </c>
      <c r="H324" s="4">
        <f>IF(OR(INDEX($AH$2:$AH$1001,MATCH(ROWS($AG$2:AG324),$AG$2:$AG$1001,0),1)&gt;=100000,INDEX($AN$1005:$BO$1005,1,MATCH(COLUMNS($AN$1006:AT1006),$AN$1006:$BO$1006,0))&gt;=100000), " ",IF(INDEX($AN$2:$BO$1001,MATCH(ROWS($AG$2:AG324),$AG$2:$AG$1001,0),MATCH(COLUMNS($AN$1006:AT1006),$AN$1006:$BO$1006,0)), HYPERLINK("#",""), HYPERLINK(CONCATENATE("#Metadata!", ADDRESS(INDEX($AI$2:$AI$1001,MATCH(ROWS($AG$2:AG324),$AG$2:$AG$1001,0),0), INDEX($AN$1004:$BO$1004,1,MATCH(COLUMNS($AN$1006:AT1006),$AN$1006:$BO$1006,0)))),"Fix")))</f>
        <v>0</v>
      </c>
      <c r="I324" s="4">
        <f>IF(OR(INDEX($AH$2:$AH$1001,MATCH(ROWS($AG$2:AG324),$AG$2:$AG$1001,0),1)&gt;=100000,INDEX($AN$1005:$BO$1005,1,MATCH(COLUMNS($AN$1006:AU1006),$AN$1006:$BO$1006,0))&gt;=100000), " ",IF(INDEX($AN$2:$BO$1001,MATCH(ROWS($AG$2:AG324),$AG$2:$AG$1001,0),MATCH(COLUMNS($AN$1006:AU1006),$AN$1006:$BO$1006,0)), HYPERLINK("#",""), HYPERLINK(CONCATENATE("#Metadata!", ADDRESS(INDEX($AI$2:$AI$1001,MATCH(ROWS($AG$2:AG324),$AG$2:$AG$1001,0),0), INDEX($AN$1004:$BO$1004,1,MATCH(COLUMNS($AN$1006:AU1006),$AN$1006:$BO$1006,0)))),"Fix")))</f>
        <v>0</v>
      </c>
      <c r="J324" s="4">
        <f>IF(OR(INDEX($AH$2:$AH$1001,MATCH(ROWS($AG$2:AG324),$AG$2:$AG$1001,0),1)&gt;=100000,INDEX($AN$1005:$BO$1005,1,MATCH(COLUMNS($AN$1006:AV1006),$AN$1006:$BO$1006,0))&gt;=100000), " ",IF(INDEX($AN$2:$BO$1001,MATCH(ROWS($AG$2:AG324),$AG$2:$AG$1001,0),MATCH(COLUMNS($AN$1006:AV1006),$AN$1006:$BO$1006,0)), HYPERLINK("#",""), HYPERLINK(CONCATENATE("#Metadata!", ADDRESS(INDEX($AI$2:$AI$1001,MATCH(ROWS($AG$2:AG324),$AG$2:$AG$1001,0),0), INDEX($AN$1004:$BO$1004,1,MATCH(COLUMNS($AN$1006:AV1006),$AN$1006:$BO$1006,0)))),"Fix")))</f>
        <v>0</v>
      </c>
      <c r="K324" s="4">
        <f>IF(OR(INDEX($AH$2:$AH$1001,MATCH(ROWS($AG$2:AG324),$AG$2:$AG$1001,0),1)&gt;=100000,INDEX($AN$1005:$BO$1005,1,MATCH(COLUMNS($AN$1006:AW1006),$AN$1006:$BO$1006,0))&gt;=100000), " ",IF(INDEX($AN$2:$BO$1001,MATCH(ROWS($AG$2:AG324),$AG$2:$AG$1001,0),MATCH(COLUMNS($AN$1006:AW1006),$AN$1006:$BO$1006,0)), HYPERLINK("#",""), HYPERLINK(CONCATENATE("#Metadata!", ADDRESS(INDEX($AI$2:$AI$1001,MATCH(ROWS($AG$2:AG324),$AG$2:$AG$1001,0),0), INDEX($AN$1004:$BO$1004,1,MATCH(COLUMNS($AN$1006:AW1006),$AN$1006:$BO$1006,0)))),"Fix")))</f>
        <v>0</v>
      </c>
      <c r="L324" s="4">
        <f>IF(OR(INDEX($AH$2:$AH$1001,MATCH(ROWS($AG$2:AG324),$AG$2:$AG$1001,0),1)&gt;=100000,INDEX($AN$1005:$BO$1005,1,MATCH(COLUMNS($AN$1006:AX1006),$AN$1006:$BO$1006,0))&gt;=100000), " ",IF(INDEX($AN$2:$BO$1001,MATCH(ROWS($AG$2:AG324),$AG$2:$AG$1001,0),MATCH(COLUMNS($AN$1006:AX1006),$AN$1006:$BO$1006,0)), HYPERLINK("#",""), HYPERLINK(CONCATENATE("#Metadata!", ADDRESS(INDEX($AI$2:$AI$1001,MATCH(ROWS($AG$2:AG324),$AG$2:$AG$1001,0),0), INDEX($AN$1004:$BO$1004,1,MATCH(COLUMNS($AN$1006:AX1006),$AN$1006:$BO$1006,0)))),"Fix")))</f>
        <v>0</v>
      </c>
      <c r="M324" s="4">
        <f>IF(OR(INDEX($AH$2:$AH$1001,MATCH(ROWS($AG$2:AG324),$AG$2:$AG$1001,0),1)&gt;=100000,INDEX($AN$1005:$BO$1005,1,MATCH(COLUMNS($AN$1006:AY1006),$AN$1006:$BO$1006,0))&gt;=100000), " ",IF(INDEX($AN$2:$BO$1001,MATCH(ROWS($AG$2:AG324),$AG$2:$AG$1001,0),MATCH(COLUMNS($AN$1006:AY1006),$AN$1006:$BO$1006,0)), HYPERLINK("#",""), HYPERLINK(CONCATENATE("#Metadata!", ADDRESS(INDEX($AI$2:$AI$1001,MATCH(ROWS($AG$2:AG324),$AG$2:$AG$1001,0),0), INDEX($AN$1004:$BO$1004,1,MATCH(COLUMNS($AN$1006:AY1006),$AN$1006:$BO$1006,0)))),"Fix")))</f>
        <v>0</v>
      </c>
      <c r="N324" s="4">
        <f>IF(OR(INDEX($AH$2:$AH$1001,MATCH(ROWS($AG$2:AG324),$AG$2:$AG$1001,0),1)&gt;=100000,INDEX($AN$1005:$BO$1005,1,MATCH(COLUMNS($AN$1006:AZ1006),$AN$1006:$BO$1006,0))&gt;=100000), " ",IF(INDEX($AN$2:$BO$1001,MATCH(ROWS($AG$2:AG324),$AG$2:$AG$1001,0),MATCH(COLUMNS($AN$1006:AZ1006),$AN$1006:$BO$1006,0)), HYPERLINK("#",""), HYPERLINK(CONCATENATE("#Metadata!", ADDRESS(INDEX($AI$2:$AI$1001,MATCH(ROWS($AG$2:AG324),$AG$2:$AG$1001,0),0), INDEX($AN$1004:$BO$1004,1,MATCH(COLUMNS($AN$1006:AZ1006),$AN$1006:$BO$1006,0)))),"Fix")))</f>
        <v>0</v>
      </c>
      <c r="O324" s="4">
        <f>IF(OR(INDEX($AH$2:$AH$1001,MATCH(ROWS($AG$2:AG324),$AG$2:$AG$1001,0),1)&gt;=100000,INDEX($AN$1005:$BO$1005,1,MATCH(COLUMNS($AN$1006:BA1006),$AN$1006:$BO$1006,0))&gt;=100000), " ",IF(INDEX($AN$2:$BO$1001,MATCH(ROWS($AG$2:AG324),$AG$2:$AG$1001,0),MATCH(COLUMNS($AN$1006:BA1006),$AN$1006:$BO$1006,0)), HYPERLINK("#",""), HYPERLINK(CONCATENATE("#Metadata!", ADDRESS(INDEX($AI$2:$AI$1001,MATCH(ROWS($AG$2:AG324),$AG$2:$AG$1001,0),0), INDEX($AN$1004:$BO$1004,1,MATCH(COLUMNS($AN$1006:BA1006),$AN$1006:$BO$1006,0)))),"Fix")))</f>
        <v>0</v>
      </c>
      <c r="P324" s="4">
        <f>IF(OR(INDEX($AH$2:$AH$1001,MATCH(ROWS($AG$2:AG324),$AG$2:$AG$1001,0),1)&gt;=100000,INDEX($AN$1005:$BO$1005,1,MATCH(COLUMNS($AN$1006:BB1006),$AN$1006:$BO$1006,0))&gt;=100000), " ",IF(INDEX($AN$2:$BO$1001,MATCH(ROWS($AG$2:AG324),$AG$2:$AG$1001,0),MATCH(COLUMNS($AN$1006:BB1006),$AN$1006:$BO$1006,0)), HYPERLINK("#",""), HYPERLINK(CONCATENATE("#Metadata!", ADDRESS(INDEX($AI$2:$AI$1001,MATCH(ROWS($AG$2:AG324),$AG$2:$AG$1001,0),0), INDEX($AN$1004:$BO$1004,1,MATCH(COLUMNS($AN$1006:BB1006),$AN$1006:$BO$1006,0)))),"Fix")))</f>
        <v>0</v>
      </c>
      <c r="Q324" s="4">
        <f>IF(OR(INDEX($AH$2:$AH$1001,MATCH(ROWS($AG$2:AG324),$AG$2:$AG$1001,0),1)&gt;=100000,INDEX($AN$1005:$BO$1005,1,MATCH(COLUMNS($AN$1006:BC1006),$AN$1006:$BO$1006,0))&gt;=100000), " ",IF(INDEX($AN$2:$BO$1001,MATCH(ROWS($AG$2:AG324),$AG$2:$AG$1001,0),MATCH(COLUMNS($AN$1006:BC1006),$AN$1006:$BO$1006,0)), HYPERLINK("#",""), HYPERLINK(CONCATENATE("#Metadata!", ADDRESS(INDEX($AI$2:$AI$1001,MATCH(ROWS($AG$2:AG324),$AG$2:$AG$1001,0),0), INDEX($AN$1004:$BO$1004,1,MATCH(COLUMNS($AN$1006:BC1006),$AN$1006:$BO$1006,0)))),"Fix")))</f>
        <v>0</v>
      </c>
      <c r="R324" s="4">
        <f>IF(OR(INDEX($AH$2:$AH$1001,MATCH(ROWS($AG$2:AG324),$AG$2:$AG$1001,0),1)&gt;=100000,INDEX($AN$1005:$BO$1005,1,MATCH(COLUMNS($AN$1006:BD1006),$AN$1006:$BO$1006,0))&gt;=100000), " ",IF(INDEX($AN$2:$BO$1001,MATCH(ROWS($AG$2:AG324),$AG$2:$AG$1001,0),MATCH(COLUMNS($AN$1006:BD1006),$AN$1006:$BO$1006,0)), HYPERLINK("#",""), HYPERLINK(CONCATENATE("#Metadata!", ADDRESS(INDEX($AI$2:$AI$1001,MATCH(ROWS($AG$2:AG324),$AG$2:$AG$1001,0),0), INDEX($AN$1004:$BO$1004,1,MATCH(COLUMNS($AN$1006:BD1006),$AN$1006:$BO$1006,0)))),"Fix")))</f>
        <v>0</v>
      </c>
      <c r="S324" s="4">
        <f>IF(OR(INDEX($AH$2:$AH$1001,MATCH(ROWS($AG$2:AG324),$AG$2:$AG$1001,0),1)&gt;=100000,INDEX($AN$1005:$BO$1005,1,MATCH(COLUMNS($AN$1006:BE1006),$AN$1006:$BO$1006,0))&gt;=100000), " ",IF(INDEX($AN$2:$BO$1001,MATCH(ROWS($AG$2:AG324),$AG$2:$AG$1001,0),MATCH(COLUMNS($AN$1006:BE1006),$AN$1006:$BO$1006,0)), HYPERLINK("#",""), HYPERLINK(CONCATENATE("#Metadata!", ADDRESS(INDEX($AI$2:$AI$1001,MATCH(ROWS($AG$2:AG324),$AG$2:$AG$1001,0),0), INDEX($AN$1004:$BO$1004,1,MATCH(COLUMNS($AN$1006:BE1006),$AN$1006:$BO$1006,0)))),"Fix")))</f>
        <v>0</v>
      </c>
      <c r="T324" s="4">
        <f>IF(OR(INDEX($AH$2:$AH$1001,MATCH(ROWS($AG$2:AG324),$AG$2:$AG$1001,0),1)&gt;=100000,INDEX($AN$1005:$BO$1005,1,MATCH(COLUMNS($AN$1006:BF1006),$AN$1006:$BO$1006,0))&gt;=100000), " ",IF(INDEX($AN$2:$BO$1001,MATCH(ROWS($AG$2:AG324),$AG$2:$AG$1001,0),MATCH(COLUMNS($AN$1006:BF1006),$AN$1006:$BO$1006,0)), HYPERLINK("#",""), HYPERLINK(CONCATENATE("#Metadata!", ADDRESS(INDEX($AI$2:$AI$1001,MATCH(ROWS($AG$2:AG324),$AG$2:$AG$1001,0),0), INDEX($AN$1004:$BO$1004,1,MATCH(COLUMNS($AN$1006:BF1006),$AN$1006:$BO$1006,0)))),"Fix")))</f>
        <v>0</v>
      </c>
      <c r="U324" s="4">
        <f>IF(OR(INDEX($AH$2:$AH$1001,MATCH(ROWS($AG$2:AG324),$AG$2:$AG$1001,0),1)&gt;=100000,INDEX($AN$1005:$BO$1005,1,MATCH(COLUMNS($AN$1006:BG1006),$AN$1006:$BO$1006,0))&gt;=100000), " ",IF(INDEX($AN$2:$BO$1001,MATCH(ROWS($AG$2:AG324),$AG$2:$AG$1001,0),MATCH(COLUMNS($AN$1006:BG1006),$AN$1006:$BO$1006,0)), HYPERLINK("#",""), HYPERLINK(CONCATENATE("#Metadata!", ADDRESS(INDEX($AI$2:$AI$1001,MATCH(ROWS($AG$2:AG324),$AG$2:$AG$1001,0),0), INDEX($AN$1004:$BO$1004,1,MATCH(COLUMNS($AN$1006:BG1006),$AN$1006:$BO$1006,0)))),"Fix")))</f>
        <v>0</v>
      </c>
      <c r="V324" s="4">
        <f>IF(OR(INDEX($AH$2:$AH$1001,MATCH(ROWS($AG$2:AG324),$AG$2:$AG$1001,0),1)&gt;=100000,INDEX($AN$1005:$BO$1005,1,MATCH(COLUMNS($AN$1006:BH1006),$AN$1006:$BO$1006,0))&gt;=100000), " ",IF(INDEX($AN$2:$BO$1001,MATCH(ROWS($AG$2:AG324),$AG$2:$AG$1001,0),MATCH(COLUMNS($AN$1006:BH1006),$AN$1006:$BO$1006,0)), HYPERLINK("#",""), HYPERLINK(CONCATENATE("#Metadata!", ADDRESS(INDEX($AI$2:$AI$1001,MATCH(ROWS($AG$2:AG324),$AG$2:$AG$1001,0),0), INDEX($AN$1004:$BO$1004,1,MATCH(COLUMNS($AN$1006:BH1006),$AN$1006:$BO$1006,0)))),"Fix")))</f>
        <v>0</v>
      </c>
      <c r="W324" s="4">
        <f>IF(OR(INDEX($AH$2:$AH$1001,MATCH(ROWS($AG$2:AG324),$AG$2:$AG$1001,0),1)&gt;=100000,INDEX($AN$1005:$BO$1005,1,MATCH(COLUMNS($AN$1006:BI1006),$AN$1006:$BO$1006,0))&gt;=100000), " ",IF(INDEX($AN$2:$BO$1001,MATCH(ROWS($AG$2:AG324),$AG$2:$AG$1001,0),MATCH(COLUMNS($AN$1006:BI1006),$AN$1006:$BO$1006,0)), HYPERLINK("#",""), HYPERLINK(CONCATENATE("#Metadata!", ADDRESS(INDEX($AI$2:$AI$1001,MATCH(ROWS($AG$2:AG324),$AG$2:$AG$1001,0),0), INDEX($AN$1004:$BO$1004,1,MATCH(COLUMNS($AN$1006:BI1006),$AN$1006:$BO$1006,0)))),"Fix")))</f>
        <v>0</v>
      </c>
      <c r="X324" s="4">
        <f>IF(OR(INDEX($AH$2:$AH$1001,MATCH(ROWS($AG$2:AG324),$AG$2:$AG$1001,0),1)&gt;=100000,INDEX($AN$1005:$BO$1005,1,MATCH(COLUMNS($AN$1006:BJ1006),$AN$1006:$BO$1006,0))&gt;=100000), " ",IF(INDEX($AN$2:$BO$1001,MATCH(ROWS($AG$2:AG324),$AG$2:$AG$1001,0),MATCH(COLUMNS($AN$1006:BJ1006),$AN$1006:$BO$1006,0)), HYPERLINK("#",""), HYPERLINK(CONCATENATE("#Metadata!", ADDRESS(INDEX($AI$2:$AI$1001,MATCH(ROWS($AG$2:AG324),$AG$2:$AG$1001,0),0), INDEX($AN$1004:$BO$1004,1,MATCH(COLUMNS($AN$1006:BJ1006),$AN$1006:$BO$1006,0)))),"Fix")))</f>
        <v>0</v>
      </c>
      <c r="Y324" s="4">
        <f>IF(OR(INDEX($AH$2:$AH$1001,MATCH(ROWS($AG$2:AG324),$AG$2:$AG$1001,0),1)&gt;=100000,INDEX($AN$1005:$BO$1005,1,MATCH(COLUMNS($AN$1006:BK1006),$AN$1006:$BO$1006,0))&gt;=100000), " ",IF(INDEX($AN$2:$BO$1001,MATCH(ROWS($AG$2:AG324),$AG$2:$AG$1001,0),MATCH(COLUMNS($AN$1006:BK1006),$AN$1006:$BO$1006,0)), HYPERLINK("#",""), HYPERLINK(CONCATENATE("#Metadata!", ADDRESS(INDEX($AI$2:$AI$1001,MATCH(ROWS($AG$2:AG324),$AG$2:$AG$1001,0),0), INDEX($AN$1004:$BO$1004,1,MATCH(COLUMNS($AN$1006:BK1006),$AN$1006:$BO$1006,0)))),"Fix")))</f>
        <v>0</v>
      </c>
      <c r="Z324" s="4">
        <f>IF(OR(INDEX($AH$2:$AH$1001,MATCH(ROWS($AG$2:AG324),$AG$2:$AG$1001,0),1)&gt;=100000,INDEX($AN$1005:$BO$1005,1,MATCH(COLUMNS($AN$1006:BL1006),$AN$1006:$BO$1006,0))&gt;=100000), " ",IF(INDEX($AN$2:$BO$1001,MATCH(ROWS($AG$2:AG324),$AG$2:$AG$1001,0),MATCH(COLUMNS($AN$1006:BL1006),$AN$1006:$BO$1006,0)), HYPERLINK("#",""), HYPERLINK(CONCATENATE("#Metadata!", ADDRESS(INDEX($AI$2:$AI$1001,MATCH(ROWS($AG$2:AG324),$AG$2:$AG$1001,0),0), INDEX($AN$1004:$BO$1004,1,MATCH(COLUMNS($AN$1006:BL1006),$AN$1006:$BO$1006,0)))),"Fix")))</f>
        <v>0</v>
      </c>
      <c r="AA324" s="4">
        <f>IF(OR(INDEX($AH$2:$AH$1001,MATCH(ROWS($AG$2:AG324),$AG$2:$AG$1001,0),1)&gt;=100000,INDEX($AN$1005:$BO$1005,1,MATCH(COLUMNS($AN$1006:BM1006),$AN$1006:$BO$1006,0))&gt;=100000), " ",IF(INDEX($AN$2:$BO$1001,MATCH(ROWS($AG$2:AG324),$AG$2:$AG$1001,0),MATCH(COLUMNS($AN$1006:BM1006),$AN$1006:$BO$1006,0)), HYPERLINK("#",""), HYPERLINK(CONCATENATE("#Metadata!", ADDRESS(INDEX($AI$2:$AI$1001,MATCH(ROWS($AG$2:AG324),$AG$2:$AG$1001,0),0), INDEX($AN$1004:$BO$1004,1,MATCH(COLUMNS($AN$1006:BM1006),$AN$1006:$BO$1006,0)))),"Fix")))</f>
        <v>0</v>
      </c>
      <c r="AB324" s="4">
        <f>IF(OR(INDEX($AH$2:$AH$1001,MATCH(ROWS($AG$2:AG324),$AG$2:$AG$1001,0),1)&gt;=100000,INDEX($AN$1005:$BO$1005,1,MATCH(COLUMNS($AN$1006:BN1006),$AN$1006:$BO$1006,0))&gt;=100000), " ",IF(INDEX($AN$2:$BO$1001,MATCH(ROWS($AG$2:AG324),$AG$2:$AG$1001,0),MATCH(COLUMNS($AN$1006:BN1006),$AN$1006:$BO$1006,0)), HYPERLINK("#",""), HYPERLINK(CONCATENATE("#Metadata!", ADDRESS(INDEX($AI$2:$AI$1001,MATCH(ROWS($AG$2:AG324),$AG$2:$AG$1001,0),0), INDEX($AN$1004:$BO$1004,1,MATCH(COLUMNS($AN$1006:BN1006),$AN$1006:$BO$1006,0)))),"Fix")))</f>
        <v>0</v>
      </c>
      <c r="AC324" s="4">
        <f>IF(OR(INDEX($AH$2:$AH$1001,MATCH(ROWS($AG$2:AG324),$AG$2:$AG$1001,0),1)&gt;=100000,INDEX($AN$1005:$BO$1005,1,MATCH(COLUMNS($AN$1006:BO1006),$AN$1006:$BO$1006,0))&gt;=100000), " ",IF(INDEX($AN$2:$BO$1001,MATCH(ROWS($AG$2:AG324),$AG$2:$AG$1001,0),MATCH(COLUMNS($AN$1006:BO1006),$AN$1006:$BO$1006,0)), HYPERLINK("#",""), HYPERLINK(CONCATENATE("#Metadata!", ADDRESS(INDEX($AI$2:$AI$1001,MATCH(ROWS($AG$2:AG324),$AG$2:$AG$1001,0),0), INDEX($AN$1004:$BO$1004,1,MATCH(COLUMNS($AN$1006:BO1006),$AN$1006:$BO$1006,0)))),"Fix")))</f>
        <v>0</v>
      </c>
      <c r="AG324">
        <v>0</v>
      </c>
      <c r="AH324">
        <v>0</v>
      </c>
      <c r="AI324">
        <v>0</v>
      </c>
      <c r="AJ324">
        <f>IF(AK324,TRUE,AND(AN324:BO324))</f>
        <v>0</v>
      </c>
      <c r="AK324">
        <f>COUNTBLANK(Metadata!B324:AC324)=COLUMNS(Metadata!B324:AC324)</f>
        <v>0</v>
      </c>
      <c r="AL324">
        <v>0</v>
      </c>
      <c r="AN324">
        <f>AND(IF(Metadata!B324="",FALSE,TRUE),COUNTIF(Metadata!B:B, Metadata!B324) = 1,NOT(ISERROR(SUMPRODUCT(SEARCH(MID(Metadata!B324,ROW(INDIRECT("1:"&amp;LEN(Metadata!B324))), 1),"0123456789abcdefghijklmnopqrstuvwxyzABCDEFGHIJKLMNOPQRSTUVWXYZ.")))))</f>
        <v>0</v>
      </c>
      <c r="AO324">
        <f>IF(Metadata!C324="",FALSE,TRUE)</f>
        <v>0</v>
      </c>
      <c r="AP324">
        <f>IF(Metadata!D324="",FALSE,TRUE)</f>
        <v>0</v>
      </c>
      <c r="AQ324">
        <f>OR(AND(IF(Metadata!E324="",FALSE,TRUE),OR(exact(Metadata!E324,"not collected"),exact(Metadata!E324,"not provided"),exact(Metadata!E324,"restricted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R324">
        <f>IF(Metadata!F324="",FALSE,TRUE)</f>
        <v>0</v>
      </c>
      <c r="AS324">
        <f>OR(AND(IF(Metadata!G324="",FALSE,TRUE),OR(exact(Metadata!G324,"not collected"),exact(Metadata!G324,"not provided"))),AND(IF(Metadata!G324="",FALSE,TRUE),OR(exact(Metadata!G324,"TRUE"),exact(Metadata!G324,"FALSE"))))</f>
        <v>0</v>
      </c>
      <c r="AT324">
        <f>OR(AND(IF(Metadata!H324="",FALSE,TRUE),OR(exact(Metadata!H324,"not collected"),exact(Metadata!H324,"not provided"),exact(Metadata!H324,"restricted access"))),AND(IF(Metadata!H324="",FALSE,ISNUMBER(VALUE(Metadata!H324))),Metadata!H324&gt;=-413.0))</f>
        <v>0</v>
      </c>
      <c r="AU324">
        <f>AND(IF(Metadata!I324="",FALSE,TRUE),exact(Metadata!I324,"meters"))</f>
        <v>0</v>
      </c>
      <c r="AV324">
        <f>AND(IF(Metadata!J324="",FALSE,TRUE),OR(exact(Metadata!J324,"Host-associated"),exact(Metadata!J324,"Free-living")))</f>
        <v>0</v>
      </c>
      <c r="AW324">
        <f>AND(IF(Metadata!K324="",FALSE,TRUE),OR(exact(Metadata!K324,"Animal"),exact(Metadata!K324,"Fungus"),exact(Metadata!K324,"Plant"),exact(Metadata!K324,"Saline"),exact(Metadata!K324,"Non-saline")))</f>
        <v>0</v>
      </c>
      <c r="AX324">
        <f>AND(IF(Metadata!L324="",FALSE,TRUE),OR(exact(Metadata!L324,"Plant secretion"),exact(Metadata!L324,"Plant rhizosphere"),exact(Metadata!L324,"Plant surface"),exact(Metadata!L324,"Plant corpus"),exact(Metadata!L324,"Fungus surface"),exact(Metadata!L324,"Fungus corpus"),exact(Metadata!L324,"Animal surface"),exact(Metadata!L324,"Animal proximal gut"),exact(Metadata!L324,"Animal corpus"),exact(Metadata!L324,"Animal distal gut"),exact(Metadata!L324,"Animal secretion"),exact(Metadata!L324,"Sub-surface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Y324">
        <f>IF(Metadata!M324="",FALSE,TRUE)</f>
        <v>0</v>
      </c>
      <c r="AZ324">
        <f>IF(Metadata!N324="",FALSE,TRUE)</f>
        <v>0</v>
      </c>
      <c r="BA324">
        <f>IF(Metadata!O324="",FALSE,TRUE)</f>
        <v>0</v>
      </c>
      <c r="BB324">
        <f>OR(AND(IF(Metadata!P324="",FALSE,TRUE),OR(exact(Metadata!P324,"not collected"),exact(Metadata!P324,"not provided"),exact(Metadata!P324,"restricted access"))),AND(IF(Metadata!P324="",FALSE,TRUE),OR(exact(Metadata!P324,"air"),exact(Metadata!P324,"built environment"),exact(Metadata!P324,"host-associated"),exact(Metadata!P324,"human-associated"),exact(Metadata!P324,"human-skin"),exact(Metadata!P324,"human-oral"),exact(Metadata!P324,"human-gut"),exact(Metadata!P324,"human-vaginal"),exact(Metadata!P324,"microbial mat/biofilm"),exact(Metadata!P324,"misc environment"),exact(Metadata!P324,"plant-associated"),exact(Metadata!P324,"sediment"),exact(Metadata!P324,"soil"),exact(Metadata!P324,"wastewater/sludge"),exact(Metadata!P324,"water"))))</f>
        <v>0</v>
      </c>
      <c r="BC324">
        <f>IF(Metadata!Q324="",FALSE,TRUE)</f>
        <v>0</v>
      </c>
      <c r="BD324">
        <f>IF(Metadata!R324="",FALSE,TRUE)</f>
        <v>0</v>
      </c>
      <c r="BE324">
        <f>OR(AND(IF(Metadata!S324="",FALSE,TRUE),OR(exact(Metadata!S324,"not collected"),exact(Metadata!S324,"not provided"),exact(Metadata!S324,"restricted access"))),AND(IF(Metadata!S324="",FALSE,ISNUMBER(VALUE(Metadata!S324))),Metadata!S324&gt;=-90.00,Metadata!S324&lt;=90.00))</f>
        <v>0</v>
      </c>
      <c r="BF324">
        <f>AND(IF(Metadata!T324="",FALSE,TRUE),exact(Metadata!T324,"Decimal degrees"))</f>
        <v>0</v>
      </c>
      <c r="BG324">
        <f>OR(AND(IF(Metadata!U324="",FALSE,TRUE),OR(exact(Metadata!U324,"not collected"),exact(Metadata!U324,"not provided"),exact(Metadata!U324,"restricted access"))),AND(IF(Metadata!U324="",FALSE,ISNUMBER(VALUE(Metadata!U324))),Metadata!U324&gt;=-180.00,Metadata!U324&lt;=180.00))</f>
        <v>0</v>
      </c>
      <c r="BH324">
        <f>AND(IF(Metadata!V324="",FALSE,TRUE),exact(Metadata!V324,"Decimal degrees"))</f>
        <v>0</v>
      </c>
      <c r="BI324">
        <f>IF(Metadata!W324="",FALSE,TRUE)</f>
        <v>0</v>
      </c>
      <c r="BJ324">
        <f>OR(AND(IF(Metadata!X324="",FALSE,TRUE),OR(exact(Metadata!X324,"not collected"),exact(Metadata!X324,"not provided"),exact(Metadata!X324,"restricted access"))),AND(IF(Metadata!X324="",FALSE,TRUE),OR(exact(Metadata!X324,"TRUE"),exact(Metadata!X324,"FALSE"))))</f>
        <v>0</v>
      </c>
      <c r="BK324">
        <f>AND(IF(Metadata!Y324="",FALSE,TRUE),exact(Metadata!Y324,"other"))</f>
        <v>0</v>
      </c>
      <c r="BL324">
        <f>IF(Metadata!Z324="",FALSE,TRUE)</f>
        <v>0</v>
      </c>
      <c r="BM324">
        <f>OR(AND(IF(Metadata!AA324="",FALSE,TRUE),OR(exact(Metadata!AA324,"not collected"),exact(Metadata!AA324,"not provided"))),AND(IF(Metadata!AA324="",FALSE,IF(ISERROR(INT(Metadata!AA324)),FALSE,INT(Metadata!AA324)=Metadata!AA324)),Metadata!AA324&gt;0))</f>
        <v>0</v>
      </c>
      <c r="BN324">
        <f>AND(IF(Metadata!AB324="",FALSE,TRUE),exact(Metadata!AB324,"Not applicable"))</f>
        <v>0</v>
      </c>
      <c r="BO324">
        <f>IF(Metadata!AC324="",FALSE,TRUE)</f>
        <v>0</v>
      </c>
    </row>
    <row r="325" spans="1:67">
      <c r="A325" s="5">
        <f>IF(B325=" "," ",HYPERLINK(CONCATENATE("#metadata!",ADDRESS(INDEX($AI$2:$AI$1001,MATCH(ROWS($AG$2:AG325),$AG$2:$AG$1001,0),0),1)),INDEX($AL$2:$AL$1001,MATCH(ROWS($AG$2:AG325),$AG$2:$AG$1001,0),0)))</f>
        <v>0</v>
      </c>
      <c r="B325" s="4">
        <f>IF(OR(INDEX($AH$2:$AH$1001,MATCH(ROWS($AG$2:AG325),$AG$2:$AG$1001,0),1)&gt;=100000,INDEX($AN$1005:$BO$1005,1,MATCH(COLUMNS($AN$1006:AN1006),$AN$1006:$BO$1006,0))&gt;=100000), " ",IF(INDEX($AN$2:$BO$1001,MATCH(ROWS($AG$2:AG325),$AG$2:$AG$1001,0),MATCH(COLUMNS($AN$1006:AN1006),$AN$1006:$BO$1006,0)), HYPERLINK("#",""), HYPERLINK(CONCATENATE("#Metadata!", ADDRESS(INDEX($AI$2:$AI$1001,MATCH(ROWS($AG$2:AG325),$AG$2:$AG$1001,0),0), INDEX($AN$1004:$BO$1004,1,MATCH(COLUMNS($AN$1006:AN1006),$AN$1006:$BO$1006,0)))),"Fix")))</f>
        <v>0</v>
      </c>
      <c r="C325" s="4">
        <f>IF(OR(INDEX($AH$2:$AH$1001,MATCH(ROWS($AG$2:AG325),$AG$2:$AG$1001,0),1)&gt;=100000,INDEX($AN$1005:$BO$1005,1,MATCH(COLUMNS($AN$1006:AO1006),$AN$1006:$BO$1006,0))&gt;=100000), " ",IF(INDEX($AN$2:$BO$1001,MATCH(ROWS($AG$2:AG325),$AG$2:$AG$1001,0),MATCH(COLUMNS($AN$1006:AO1006),$AN$1006:$BO$1006,0)), HYPERLINK("#",""), HYPERLINK(CONCATENATE("#Metadata!", ADDRESS(INDEX($AI$2:$AI$1001,MATCH(ROWS($AG$2:AG325),$AG$2:$AG$1001,0),0), INDEX($AN$1004:$BO$1004,1,MATCH(COLUMNS($AN$1006:AO1006),$AN$1006:$BO$1006,0)))),"Fix")))</f>
        <v>0</v>
      </c>
      <c r="D325" s="4">
        <f>IF(OR(INDEX($AH$2:$AH$1001,MATCH(ROWS($AG$2:AG325),$AG$2:$AG$1001,0),1)&gt;=100000,INDEX($AN$1005:$BO$1005,1,MATCH(COLUMNS($AN$1006:AP1006),$AN$1006:$BO$1006,0))&gt;=100000), " ",IF(INDEX($AN$2:$BO$1001,MATCH(ROWS($AG$2:AG325),$AG$2:$AG$1001,0),MATCH(COLUMNS($AN$1006:AP1006),$AN$1006:$BO$1006,0)), HYPERLINK("#",""), HYPERLINK(CONCATENATE("#Metadata!", ADDRESS(INDEX($AI$2:$AI$1001,MATCH(ROWS($AG$2:AG325),$AG$2:$AG$1001,0),0), INDEX($AN$1004:$BO$1004,1,MATCH(COLUMNS($AN$1006:AP1006),$AN$1006:$BO$1006,0)))),"Fix")))</f>
        <v>0</v>
      </c>
      <c r="E325" s="4">
        <f>IF(OR(INDEX($AH$2:$AH$1001,MATCH(ROWS($AG$2:AG325),$AG$2:$AG$1001,0),1)&gt;=100000,INDEX($AN$1005:$BO$1005,1,MATCH(COLUMNS($AN$1006:AQ1006),$AN$1006:$BO$1006,0))&gt;=100000), " ",IF(INDEX($AN$2:$BO$1001,MATCH(ROWS($AG$2:AG325),$AG$2:$AG$1001,0),MATCH(COLUMNS($AN$1006:AQ1006),$AN$1006:$BO$1006,0)), HYPERLINK("#",""), HYPERLINK(CONCATENATE("#Metadata!", ADDRESS(INDEX($AI$2:$AI$1001,MATCH(ROWS($AG$2:AG325),$AG$2:$AG$1001,0),0), INDEX($AN$1004:$BO$1004,1,MATCH(COLUMNS($AN$1006:AQ1006),$AN$1006:$BO$1006,0)))),"Fix")))</f>
        <v>0</v>
      </c>
      <c r="F325" s="4">
        <f>IF(OR(INDEX($AH$2:$AH$1001,MATCH(ROWS($AG$2:AG325),$AG$2:$AG$1001,0),1)&gt;=100000,INDEX($AN$1005:$BO$1005,1,MATCH(COLUMNS($AN$1006:AR1006),$AN$1006:$BO$1006,0))&gt;=100000), " ",IF(INDEX($AN$2:$BO$1001,MATCH(ROWS($AG$2:AG325),$AG$2:$AG$1001,0),MATCH(COLUMNS($AN$1006:AR1006),$AN$1006:$BO$1006,0)), HYPERLINK("#",""), HYPERLINK(CONCATENATE("#Metadata!", ADDRESS(INDEX($AI$2:$AI$1001,MATCH(ROWS($AG$2:AG325),$AG$2:$AG$1001,0),0), INDEX($AN$1004:$BO$1004,1,MATCH(COLUMNS($AN$1006:AR1006),$AN$1006:$BO$1006,0)))),"Fix")))</f>
        <v>0</v>
      </c>
      <c r="G325" s="4">
        <f>IF(OR(INDEX($AH$2:$AH$1001,MATCH(ROWS($AG$2:AG325),$AG$2:$AG$1001,0),1)&gt;=100000,INDEX($AN$1005:$BO$1005,1,MATCH(COLUMNS($AN$1006:AS1006),$AN$1006:$BO$1006,0))&gt;=100000), " ",IF(INDEX($AN$2:$BO$1001,MATCH(ROWS($AG$2:AG325),$AG$2:$AG$1001,0),MATCH(COLUMNS($AN$1006:AS1006),$AN$1006:$BO$1006,0)), HYPERLINK("#",""), HYPERLINK(CONCATENATE("#Metadata!", ADDRESS(INDEX($AI$2:$AI$1001,MATCH(ROWS($AG$2:AG325),$AG$2:$AG$1001,0),0), INDEX($AN$1004:$BO$1004,1,MATCH(COLUMNS($AN$1006:AS1006),$AN$1006:$BO$1006,0)))),"Fix")))</f>
        <v>0</v>
      </c>
      <c r="H325" s="4">
        <f>IF(OR(INDEX($AH$2:$AH$1001,MATCH(ROWS($AG$2:AG325),$AG$2:$AG$1001,0),1)&gt;=100000,INDEX($AN$1005:$BO$1005,1,MATCH(COLUMNS($AN$1006:AT1006),$AN$1006:$BO$1006,0))&gt;=100000), " ",IF(INDEX($AN$2:$BO$1001,MATCH(ROWS($AG$2:AG325),$AG$2:$AG$1001,0),MATCH(COLUMNS($AN$1006:AT1006),$AN$1006:$BO$1006,0)), HYPERLINK("#",""), HYPERLINK(CONCATENATE("#Metadata!", ADDRESS(INDEX($AI$2:$AI$1001,MATCH(ROWS($AG$2:AG325),$AG$2:$AG$1001,0),0), INDEX($AN$1004:$BO$1004,1,MATCH(COLUMNS($AN$1006:AT1006),$AN$1006:$BO$1006,0)))),"Fix")))</f>
        <v>0</v>
      </c>
      <c r="I325" s="4">
        <f>IF(OR(INDEX($AH$2:$AH$1001,MATCH(ROWS($AG$2:AG325),$AG$2:$AG$1001,0),1)&gt;=100000,INDEX($AN$1005:$BO$1005,1,MATCH(COLUMNS($AN$1006:AU1006),$AN$1006:$BO$1006,0))&gt;=100000), " ",IF(INDEX($AN$2:$BO$1001,MATCH(ROWS($AG$2:AG325),$AG$2:$AG$1001,0),MATCH(COLUMNS($AN$1006:AU1006),$AN$1006:$BO$1006,0)), HYPERLINK("#",""), HYPERLINK(CONCATENATE("#Metadata!", ADDRESS(INDEX($AI$2:$AI$1001,MATCH(ROWS($AG$2:AG325),$AG$2:$AG$1001,0),0), INDEX($AN$1004:$BO$1004,1,MATCH(COLUMNS($AN$1006:AU1006),$AN$1006:$BO$1006,0)))),"Fix")))</f>
        <v>0</v>
      </c>
      <c r="J325" s="4">
        <f>IF(OR(INDEX($AH$2:$AH$1001,MATCH(ROWS($AG$2:AG325),$AG$2:$AG$1001,0),1)&gt;=100000,INDEX($AN$1005:$BO$1005,1,MATCH(COLUMNS($AN$1006:AV1006),$AN$1006:$BO$1006,0))&gt;=100000), " ",IF(INDEX($AN$2:$BO$1001,MATCH(ROWS($AG$2:AG325),$AG$2:$AG$1001,0),MATCH(COLUMNS($AN$1006:AV1006),$AN$1006:$BO$1006,0)), HYPERLINK("#",""), HYPERLINK(CONCATENATE("#Metadata!", ADDRESS(INDEX($AI$2:$AI$1001,MATCH(ROWS($AG$2:AG325),$AG$2:$AG$1001,0),0), INDEX($AN$1004:$BO$1004,1,MATCH(COLUMNS($AN$1006:AV1006),$AN$1006:$BO$1006,0)))),"Fix")))</f>
        <v>0</v>
      </c>
      <c r="K325" s="4">
        <f>IF(OR(INDEX($AH$2:$AH$1001,MATCH(ROWS($AG$2:AG325),$AG$2:$AG$1001,0),1)&gt;=100000,INDEX($AN$1005:$BO$1005,1,MATCH(COLUMNS($AN$1006:AW1006),$AN$1006:$BO$1006,0))&gt;=100000), " ",IF(INDEX($AN$2:$BO$1001,MATCH(ROWS($AG$2:AG325),$AG$2:$AG$1001,0),MATCH(COLUMNS($AN$1006:AW1006),$AN$1006:$BO$1006,0)), HYPERLINK("#",""), HYPERLINK(CONCATENATE("#Metadata!", ADDRESS(INDEX($AI$2:$AI$1001,MATCH(ROWS($AG$2:AG325),$AG$2:$AG$1001,0),0), INDEX($AN$1004:$BO$1004,1,MATCH(COLUMNS($AN$1006:AW1006),$AN$1006:$BO$1006,0)))),"Fix")))</f>
        <v>0</v>
      </c>
      <c r="L325" s="4">
        <f>IF(OR(INDEX($AH$2:$AH$1001,MATCH(ROWS($AG$2:AG325),$AG$2:$AG$1001,0),1)&gt;=100000,INDEX($AN$1005:$BO$1005,1,MATCH(COLUMNS($AN$1006:AX1006),$AN$1006:$BO$1006,0))&gt;=100000), " ",IF(INDEX($AN$2:$BO$1001,MATCH(ROWS($AG$2:AG325),$AG$2:$AG$1001,0),MATCH(COLUMNS($AN$1006:AX1006),$AN$1006:$BO$1006,0)), HYPERLINK("#",""), HYPERLINK(CONCATENATE("#Metadata!", ADDRESS(INDEX($AI$2:$AI$1001,MATCH(ROWS($AG$2:AG325),$AG$2:$AG$1001,0),0), INDEX($AN$1004:$BO$1004,1,MATCH(COLUMNS($AN$1006:AX1006),$AN$1006:$BO$1006,0)))),"Fix")))</f>
        <v>0</v>
      </c>
      <c r="M325" s="4">
        <f>IF(OR(INDEX($AH$2:$AH$1001,MATCH(ROWS($AG$2:AG325),$AG$2:$AG$1001,0),1)&gt;=100000,INDEX($AN$1005:$BO$1005,1,MATCH(COLUMNS($AN$1006:AY1006),$AN$1006:$BO$1006,0))&gt;=100000), " ",IF(INDEX($AN$2:$BO$1001,MATCH(ROWS($AG$2:AG325),$AG$2:$AG$1001,0),MATCH(COLUMNS($AN$1006:AY1006),$AN$1006:$BO$1006,0)), HYPERLINK("#",""), HYPERLINK(CONCATENATE("#Metadata!", ADDRESS(INDEX($AI$2:$AI$1001,MATCH(ROWS($AG$2:AG325),$AG$2:$AG$1001,0),0), INDEX($AN$1004:$BO$1004,1,MATCH(COLUMNS($AN$1006:AY1006),$AN$1006:$BO$1006,0)))),"Fix")))</f>
        <v>0</v>
      </c>
      <c r="N325" s="4">
        <f>IF(OR(INDEX($AH$2:$AH$1001,MATCH(ROWS($AG$2:AG325),$AG$2:$AG$1001,0),1)&gt;=100000,INDEX($AN$1005:$BO$1005,1,MATCH(COLUMNS($AN$1006:AZ1006),$AN$1006:$BO$1006,0))&gt;=100000), " ",IF(INDEX($AN$2:$BO$1001,MATCH(ROWS($AG$2:AG325),$AG$2:$AG$1001,0),MATCH(COLUMNS($AN$1006:AZ1006),$AN$1006:$BO$1006,0)), HYPERLINK("#",""), HYPERLINK(CONCATENATE("#Metadata!", ADDRESS(INDEX($AI$2:$AI$1001,MATCH(ROWS($AG$2:AG325),$AG$2:$AG$1001,0),0), INDEX($AN$1004:$BO$1004,1,MATCH(COLUMNS($AN$1006:AZ1006),$AN$1006:$BO$1006,0)))),"Fix")))</f>
        <v>0</v>
      </c>
      <c r="O325" s="4">
        <f>IF(OR(INDEX($AH$2:$AH$1001,MATCH(ROWS($AG$2:AG325),$AG$2:$AG$1001,0),1)&gt;=100000,INDEX($AN$1005:$BO$1005,1,MATCH(COLUMNS($AN$1006:BA1006),$AN$1006:$BO$1006,0))&gt;=100000), " ",IF(INDEX($AN$2:$BO$1001,MATCH(ROWS($AG$2:AG325),$AG$2:$AG$1001,0),MATCH(COLUMNS($AN$1006:BA1006),$AN$1006:$BO$1006,0)), HYPERLINK("#",""), HYPERLINK(CONCATENATE("#Metadata!", ADDRESS(INDEX($AI$2:$AI$1001,MATCH(ROWS($AG$2:AG325),$AG$2:$AG$1001,0),0), INDEX($AN$1004:$BO$1004,1,MATCH(COLUMNS($AN$1006:BA1006),$AN$1006:$BO$1006,0)))),"Fix")))</f>
        <v>0</v>
      </c>
      <c r="P325" s="4">
        <f>IF(OR(INDEX($AH$2:$AH$1001,MATCH(ROWS($AG$2:AG325),$AG$2:$AG$1001,0),1)&gt;=100000,INDEX($AN$1005:$BO$1005,1,MATCH(COLUMNS($AN$1006:BB1006),$AN$1006:$BO$1006,0))&gt;=100000), " ",IF(INDEX($AN$2:$BO$1001,MATCH(ROWS($AG$2:AG325),$AG$2:$AG$1001,0),MATCH(COLUMNS($AN$1006:BB1006),$AN$1006:$BO$1006,0)), HYPERLINK("#",""), HYPERLINK(CONCATENATE("#Metadata!", ADDRESS(INDEX($AI$2:$AI$1001,MATCH(ROWS($AG$2:AG325),$AG$2:$AG$1001,0),0), INDEX($AN$1004:$BO$1004,1,MATCH(COLUMNS($AN$1006:BB1006),$AN$1006:$BO$1006,0)))),"Fix")))</f>
        <v>0</v>
      </c>
      <c r="Q325" s="4">
        <f>IF(OR(INDEX($AH$2:$AH$1001,MATCH(ROWS($AG$2:AG325),$AG$2:$AG$1001,0),1)&gt;=100000,INDEX($AN$1005:$BO$1005,1,MATCH(COLUMNS($AN$1006:BC1006),$AN$1006:$BO$1006,0))&gt;=100000), " ",IF(INDEX($AN$2:$BO$1001,MATCH(ROWS($AG$2:AG325),$AG$2:$AG$1001,0),MATCH(COLUMNS($AN$1006:BC1006),$AN$1006:$BO$1006,0)), HYPERLINK("#",""), HYPERLINK(CONCATENATE("#Metadata!", ADDRESS(INDEX($AI$2:$AI$1001,MATCH(ROWS($AG$2:AG325),$AG$2:$AG$1001,0),0), INDEX($AN$1004:$BO$1004,1,MATCH(COLUMNS($AN$1006:BC1006),$AN$1006:$BO$1006,0)))),"Fix")))</f>
        <v>0</v>
      </c>
      <c r="R325" s="4">
        <f>IF(OR(INDEX($AH$2:$AH$1001,MATCH(ROWS($AG$2:AG325),$AG$2:$AG$1001,0),1)&gt;=100000,INDEX($AN$1005:$BO$1005,1,MATCH(COLUMNS($AN$1006:BD1006),$AN$1006:$BO$1006,0))&gt;=100000), " ",IF(INDEX($AN$2:$BO$1001,MATCH(ROWS($AG$2:AG325),$AG$2:$AG$1001,0),MATCH(COLUMNS($AN$1006:BD1006),$AN$1006:$BO$1006,0)), HYPERLINK("#",""), HYPERLINK(CONCATENATE("#Metadata!", ADDRESS(INDEX($AI$2:$AI$1001,MATCH(ROWS($AG$2:AG325),$AG$2:$AG$1001,0),0), INDEX($AN$1004:$BO$1004,1,MATCH(COLUMNS($AN$1006:BD1006),$AN$1006:$BO$1006,0)))),"Fix")))</f>
        <v>0</v>
      </c>
      <c r="S325" s="4">
        <f>IF(OR(INDEX($AH$2:$AH$1001,MATCH(ROWS($AG$2:AG325),$AG$2:$AG$1001,0),1)&gt;=100000,INDEX($AN$1005:$BO$1005,1,MATCH(COLUMNS($AN$1006:BE1006),$AN$1006:$BO$1006,0))&gt;=100000), " ",IF(INDEX($AN$2:$BO$1001,MATCH(ROWS($AG$2:AG325),$AG$2:$AG$1001,0),MATCH(COLUMNS($AN$1006:BE1006),$AN$1006:$BO$1006,0)), HYPERLINK("#",""), HYPERLINK(CONCATENATE("#Metadata!", ADDRESS(INDEX($AI$2:$AI$1001,MATCH(ROWS($AG$2:AG325),$AG$2:$AG$1001,0),0), INDEX($AN$1004:$BO$1004,1,MATCH(COLUMNS($AN$1006:BE1006),$AN$1006:$BO$1006,0)))),"Fix")))</f>
        <v>0</v>
      </c>
      <c r="T325" s="4">
        <f>IF(OR(INDEX($AH$2:$AH$1001,MATCH(ROWS($AG$2:AG325),$AG$2:$AG$1001,0),1)&gt;=100000,INDEX($AN$1005:$BO$1005,1,MATCH(COLUMNS($AN$1006:BF1006),$AN$1006:$BO$1006,0))&gt;=100000), " ",IF(INDEX($AN$2:$BO$1001,MATCH(ROWS($AG$2:AG325),$AG$2:$AG$1001,0),MATCH(COLUMNS($AN$1006:BF1006),$AN$1006:$BO$1006,0)), HYPERLINK("#",""), HYPERLINK(CONCATENATE("#Metadata!", ADDRESS(INDEX($AI$2:$AI$1001,MATCH(ROWS($AG$2:AG325),$AG$2:$AG$1001,0),0), INDEX($AN$1004:$BO$1004,1,MATCH(COLUMNS($AN$1006:BF1006),$AN$1006:$BO$1006,0)))),"Fix")))</f>
        <v>0</v>
      </c>
      <c r="U325" s="4">
        <f>IF(OR(INDEX($AH$2:$AH$1001,MATCH(ROWS($AG$2:AG325),$AG$2:$AG$1001,0),1)&gt;=100000,INDEX($AN$1005:$BO$1005,1,MATCH(COLUMNS($AN$1006:BG1006),$AN$1006:$BO$1006,0))&gt;=100000), " ",IF(INDEX($AN$2:$BO$1001,MATCH(ROWS($AG$2:AG325),$AG$2:$AG$1001,0),MATCH(COLUMNS($AN$1006:BG1006),$AN$1006:$BO$1006,0)), HYPERLINK("#",""), HYPERLINK(CONCATENATE("#Metadata!", ADDRESS(INDEX($AI$2:$AI$1001,MATCH(ROWS($AG$2:AG325),$AG$2:$AG$1001,0),0), INDEX($AN$1004:$BO$1004,1,MATCH(COLUMNS($AN$1006:BG1006),$AN$1006:$BO$1006,0)))),"Fix")))</f>
        <v>0</v>
      </c>
      <c r="V325" s="4">
        <f>IF(OR(INDEX($AH$2:$AH$1001,MATCH(ROWS($AG$2:AG325),$AG$2:$AG$1001,0),1)&gt;=100000,INDEX($AN$1005:$BO$1005,1,MATCH(COLUMNS($AN$1006:BH1006),$AN$1006:$BO$1006,0))&gt;=100000), " ",IF(INDEX($AN$2:$BO$1001,MATCH(ROWS($AG$2:AG325),$AG$2:$AG$1001,0),MATCH(COLUMNS($AN$1006:BH1006),$AN$1006:$BO$1006,0)), HYPERLINK("#",""), HYPERLINK(CONCATENATE("#Metadata!", ADDRESS(INDEX($AI$2:$AI$1001,MATCH(ROWS($AG$2:AG325),$AG$2:$AG$1001,0),0), INDEX($AN$1004:$BO$1004,1,MATCH(COLUMNS($AN$1006:BH1006),$AN$1006:$BO$1006,0)))),"Fix")))</f>
        <v>0</v>
      </c>
      <c r="W325" s="4">
        <f>IF(OR(INDEX($AH$2:$AH$1001,MATCH(ROWS($AG$2:AG325),$AG$2:$AG$1001,0),1)&gt;=100000,INDEX($AN$1005:$BO$1005,1,MATCH(COLUMNS($AN$1006:BI1006),$AN$1006:$BO$1006,0))&gt;=100000), " ",IF(INDEX($AN$2:$BO$1001,MATCH(ROWS($AG$2:AG325),$AG$2:$AG$1001,0),MATCH(COLUMNS($AN$1006:BI1006),$AN$1006:$BO$1006,0)), HYPERLINK("#",""), HYPERLINK(CONCATENATE("#Metadata!", ADDRESS(INDEX($AI$2:$AI$1001,MATCH(ROWS($AG$2:AG325),$AG$2:$AG$1001,0),0), INDEX($AN$1004:$BO$1004,1,MATCH(COLUMNS($AN$1006:BI1006),$AN$1006:$BO$1006,0)))),"Fix")))</f>
        <v>0</v>
      </c>
      <c r="X325" s="4">
        <f>IF(OR(INDEX($AH$2:$AH$1001,MATCH(ROWS($AG$2:AG325),$AG$2:$AG$1001,0),1)&gt;=100000,INDEX($AN$1005:$BO$1005,1,MATCH(COLUMNS($AN$1006:BJ1006),$AN$1006:$BO$1006,0))&gt;=100000), " ",IF(INDEX($AN$2:$BO$1001,MATCH(ROWS($AG$2:AG325),$AG$2:$AG$1001,0),MATCH(COLUMNS($AN$1006:BJ1006),$AN$1006:$BO$1006,0)), HYPERLINK("#",""), HYPERLINK(CONCATENATE("#Metadata!", ADDRESS(INDEX($AI$2:$AI$1001,MATCH(ROWS($AG$2:AG325),$AG$2:$AG$1001,0),0), INDEX($AN$1004:$BO$1004,1,MATCH(COLUMNS($AN$1006:BJ1006),$AN$1006:$BO$1006,0)))),"Fix")))</f>
        <v>0</v>
      </c>
      <c r="Y325" s="4">
        <f>IF(OR(INDEX($AH$2:$AH$1001,MATCH(ROWS($AG$2:AG325),$AG$2:$AG$1001,0),1)&gt;=100000,INDEX($AN$1005:$BO$1005,1,MATCH(COLUMNS($AN$1006:BK1006),$AN$1006:$BO$1006,0))&gt;=100000), " ",IF(INDEX($AN$2:$BO$1001,MATCH(ROWS($AG$2:AG325),$AG$2:$AG$1001,0),MATCH(COLUMNS($AN$1006:BK1006),$AN$1006:$BO$1006,0)), HYPERLINK("#",""), HYPERLINK(CONCATENATE("#Metadata!", ADDRESS(INDEX($AI$2:$AI$1001,MATCH(ROWS($AG$2:AG325),$AG$2:$AG$1001,0),0), INDEX($AN$1004:$BO$1004,1,MATCH(COLUMNS($AN$1006:BK1006),$AN$1006:$BO$1006,0)))),"Fix")))</f>
        <v>0</v>
      </c>
      <c r="Z325" s="4">
        <f>IF(OR(INDEX($AH$2:$AH$1001,MATCH(ROWS($AG$2:AG325),$AG$2:$AG$1001,0),1)&gt;=100000,INDEX($AN$1005:$BO$1005,1,MATCH(COLUMNS($AN$1006:BL1006),$AN$1006:$BO$1006,0))&gt;=100000), " ",IF(INDEX($AN$2:$BO$1001,MATCH(ROWS($AG$2:AG325),$AG$2:$AG$1001,0),MATCH(COLUMNS($AN$1006:BL1006),$AN$1006:$BO$1006,0)), HYPERLINK("#",""), HYPERLINK(CONCATENATE("#Metadata!", ADDRESS(INDEX($AI$2:$AI$1001,MATCH(ROWS($AG$2:AG325),$AG$2:$AG$1001,0),0), INDEX($AN$1004:$BO$1004,1,MATCH(COLUMNS($AN$1006:BL1006),$AN$1006:$BO$1006,0)))),"Fix")))</f>
        <v>0</v>
      </c>
      <c r="AA325" s="4">
        <f>IF(OR(INDEX($AH$2:$AH$1001,MATCH(ROWS($AG$2:AG325),$AG$2:$AG$1001,0),1)&gt;=100000,INDEX($AN$1005:$BO$1005,1,MATCH(COLUMNS($AN$1006:BM1006),$AN$1006:$BO$1006,0))&gt;=100000), " ",IF(INDEX($AN$2:$BO$1001,MATCH(ROWS($AG$2:AG325),$AG$2:$AG$1001,0),MATCH(COLUMNS($AN$1006:BM1006),$AN$1006:$BO$1006,0)), HYPERLINK("#",""), HYPERLINK(CONCATENATE("#Metadata!", ADDRESS(INDEX($AI$2:$AI$1001,MATCH(ROWS($AG$2:AG325),$AG$2:$AG$1001,0),0), INDEX($AN$1004:$BO$1004,1,MATCH(COLUMNS($AN$1006:BM1006),$AN$1006:$BO$1006,0)))),"Fix")))</f>
        <v>0</v>
      </c>
      <c r="AB325" s="4">
        <f>IF(OR(INDEX($AH$2:$AH$1001,MATCH(ROWS($AG$2:AG325),$AG$2:$AG$1001,0),1)&gt;=100000,INDEX($AN$1005:$BO$1005,1,MATCH(COLUMNS($AN$1006:BN1006),$AN$1006:$BO$1006,0))&gt;=100000), " ",IF(INDEX($AN$2:$BO$1001,MATCH(ROWS($AG$2:AG325),$AG$2:$AG$1001,0),MATCH(COLUMNS($AN$1006:BN1006),$AN$1006:$BO$1006,0)), HYPERLINK("#",""), HYPERLINK(CONCATENATE("#Metadata!", ADDRESS(INDEX($AI$2:$AI$1001,MATCH(ROWS($AG$2:AG325),$AG$2:$AG$1001,0),0), INDEX($AN$1004:$BO$1004,1,MATCH(COLUMNS($AN$1006:BN1006),$AN$1006:$BO$1006,0)))),"Fix")))</f>
        <v>0</v>
      </c>
      <c r="AC325" s="4">
        <f>IF(OR(INDEX($AH$2:$AH$1001,MATCH(ROWS($AG$2:AG325),$AG$2:$AG$1001,0),1)&gt;=100000,INDEX($AN$1005:$BO$1005,1,MATCH(COLUMNS($AN$1006:BO1006),$AN$1006:$BO$1006,0))&gt;=100000), " ",IF(INDEX($AN$2:$BO$1001,MATCH(ROWS($AG$2:AG325),$AG$2:$AG$1001,0),MATCH(COLUMNS($AN$1006:BO1006),$AN$1006:$BO$1006,0)), HYPERLINK("#",""), HYPERLINK(CONCATENATE("#Metadata!", ADDRESS(INDEX($AI$2:$AI$1001,MATCH(ROWS($AG$2:AG325),$AG$2:$AG$1001,0),0), INDEX($AN$1004:$BO$1004,1,MATCH(COLUMNS($AN$1006:BO1006),$AN$1006:$BO$1006,0)))),"Fix")))</f>
        <v>0</v>
      </c>
      <c r="AG325">
        <v>0</v>
      </c>
      <c r="AH325">
        <v>0</v>
      </c>
      <c r="AI325">
        <v>0</v>
      </c>
      <c r="AJ325">
        <f>IF(AK325,TRUE,AND(AN325:BO325))</f>
        <v>0</v>
      </c>
      <c r="AK325">
        <f>COUNTBLANK(Metadata!B325:AC325)=COLUMNS(Metadata!B325:AC325)</f>
        <v>0</v>
      </c>
      <c r="AL325">
        <v>0</v>
      </c>
      <c r="AN325">
        <f>AND(IF(Metadata!B325="",FALSE,TRUE),COUNTIF(Metadata!B:B, Metadata!B325) = 1,NOT(ISERROR(SUMPRODUCT(SEARCH(MID(Metadata!B325,ROW(INDIRECT("1:"&amp;LEN(Metadata!B325))), 1),"0123456789abcdefghijklmnopqrstuvwxyzABCDEFGHIJKLMNOPQRSTUVWXYZ.")))))</f>
        <v>0</v>
      </c>
      <c r="AO325">
        <f>IF(Metadata!C325="",FALSE,TRUE)</f>
        <v>0</v>
      </c>
      <c r="AP325">
        <f>IF(Metadata!D325="",FALSE,TRUE)</f>
        <v>0</v>
      </c>
      <c r="AQ325">
        <f>OR(AND(IF(Metadata!E325="",FALSE,TRUE),OR(exact(Metadata!E325,"not collected"),exact(Metadata!E325,"not provided"),exact(Metadata!E325,"restricted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R325">
        <f>IF(Metadata!F325="",FALSE,TRUE)</f>
        <v>0</v>
      </c>
      <c r="AS325">
        <f>OR(AND(IF(Metadata!G325="",FALSE,TRUE),OR(exact(Metadata!G325,"not collected"),exact(Metadata!G325,"not provided"))),AND(IF(Metadata!G325="",FALSE,TRUE),OR(exact(Metadata!G325,"TRUE"),exact(Metadata!G325,"FALSE"))))</f>
        <v>0</v>
      </c>
      <c r="AT325">
        <f>OR(AND(IF(Metadata!H325="",FALSE,TRUE),OR(exact(Metadata!H325,"not collected"),exact(Metadata!H325,"not provided"),exact(Metadata!H325,"restricted access"))),AND(IF(Metadata!H325="",FALSE,ISNUMBER(VALUE(Metadata!H325))),Metadata!H325&gt;=-413.0))</f>
        <v>0</v>
      </c>
      <c r="AU325">
        <f>AND(IF(Metadata!I325="",FALSE,TRUE),exact(Metadata!I325,"meters"))</f>
        <v>0</v>
      </c>
      <c r="AV325">
        <f>AND(IF(Metadata!J325="",FALSE,TRUE),OR(exact(Metadata!J325,"Host-associated"),exact(Metadata!J325,"Free-living")))</f>
        <v>0</v>
      </c>
      <c r="AW325">
        <f>AND(IF(Metadata!K325="",FALSE,TRUE),OR(exact(Metadata!K325,"Animal"),exact(Metadata!K325,"Fungus"),exact(Metadata!K325,"Plant"),exact(Metadata!K325,"Saline"),exact(Metadata!K325,"Non-saline")))</f>
        <v>0</v>
      </c>
      <c r="AX325">
        <f>AND(IF(Metadata!L325="",FALSE,TRUE),OR(exact(Metadata!L325,"Plant secretion"),exact(Metadata!L325,"Plant rhizosphere"),exact(Metadata!L325,"Plant surface"),exact(Metadata!L325,"Plant corpus"),exact(Metadata!L325,"Fungus surface"),exact(Metadata!L325,"Fungus corpus"),exact(Metadata!L325,"Animal surface"),exact(Metadata!L325,"Animal proximal gut"),exact(Metadata!L325,"Animal corpus"),exact(Metadata!L325,"Animal distal gut"),exact(Metadata!L325,"Animal secretion"),exact(Metadata!L325,"Sub-surface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Y325">
        <f>IF(Metadata!M325="",FALSE,TRUE)</f>
        <v>0</v>
      </c>
      <c r="AZ325">
        <f>IF(Metadata!N325="",FALSE,TRUE)</f>
        <v>0</v>
      </c>
      <c r="BA325">
        <f>IF(Metadata!O325="",FALSE,TRUE)</f>
        <v>0</v>
      </c>
      <c r="BB325">
        <f>OR(AND(IF(Metadata!P325="",FALSE,TRUE),OR(exact(Metadata!P325,"not collected"),exact(Metadata!P325,"not provided"),exact(Metadata!P325,"restricted access"))),AND(IF(Metadata!P325="",FALSE,TRUE),OR(exact(Metadata!P325,"air"),exact(Metadata!P325,"built environment"),exact(Metadata!P325,"host-associated"),exact(Metadata!P325,"human-associated"),exact(Metadata!P325,"human-skin"),exact(Metadata!P325,"human-oral"),exact(Metadata!P325,"human-gut"),exact(Metadata!P325,"human-vaginal"),exact(Metadata!P325,"microbial mat/biofilm"),exact(Metadata!P325,"misc environment"),exact(Metadata!P325,"plant-associated"),exact(Metadata!P325,"sediment"),exact(Metadata!P325,"soil"),exact(Metadata!P325,"wastewater/sludge"),exact(Metadata!P325,"water"))))</f>
        <v>0</v>
      </c>
      <c r="BC325">
        <f>IF(Metadata!Q325="",FALSE,TRUE)</f>
        <v>0</v>
      </c>
      <c r="BD325">
        <f>IF(Metadata!R325="",FALSE,TRUE)</f>
        <v>0</v>
      </c>
      <c r="BE325">
        <f>OR(AND(IF(Metadata!S325="",FALSE,TRUE),OR(exact(Metadata!S325,"not collected"),exact(Metadata!S325,"not provided"),exact(Metadata!S325,"restricted access"))),AND(IF(Metadata!S325="",FALSE,ISNUMBER(VALUE(Metadata!S325))),Metadata!S325&gt;=-90.00,Metadata!S325&lt;=90.00))</f>
        <v>0</v>
      </c>
      <c r="BF325">
        <f>AND(IF(Metadata!T325="",FALSE,TRUE),exact(Metadata!T325,"Decimal degrees"))</f>
        <v>0</v>
      </c>
      <c r="BG325">
        <f>OR(AND(IF(Metadata!U325="",FALSE,TRUE),OR(exact(Metadata!U325,"not collected"),exact(Metadata!U325,"not provided"),exact(Metadata!U325,"restricted access"))),AND(IF(Metadata!U325="",FALSE,ISNUMBER(VALUE(Metadata!U325))),Metadata!U325&gt;=-180.00,Metadata!U325&lt;=180.00))</f>
        <v>0</v>
      </c>
      <c r="BH325">
        <f>AND(IF(Metadata!V325="",FALSE,TRUE),exact(Metadata!V325,"Decimal degrees"))</f>
        <v>0</v>
      </c>
      <c r="BI325">
        <f>IF(Metadata!W325="",FALSE,TRUE)</f>
        <v>0</v>
      </c>
      <c r="BJ325">
        <f>OR(AND(IF(Metadata!X325="",FALSE,TRUE),OR(exact(Metadata!X325,"not collected"),exact(Metadata!X325,"not provided"),exact(Metadata!X325,"restricted access"))),AND(IF(Metadata!X325="",FALSE,TRUE),OR(exact(Metadata!X325,"TRUE"),exact(Metadata!X325,"FALSE"))))</f>
        <v>0</v>
      </c>
      <c r="BK325">
        <f>AND(IF(Metadata!Y325="",FALSE,TRUE),exact(Metadata!Y325,"other"))</f>
        <v>0</v>
      </c>
      <c r="BL325">
        <f>IF(Metadata!Z325="",FALSE,TRUE)</f>
        <v>0</v>
      </c>
      <c r="BM325">
        <f>OR(AND(IF(Metadata!AA325="",FALSE,TRUE),OR(exact(Metadata!AA325,"not collected"),exact(Metadata!AA325,"not provided"))),AND(IF(Metadata!AA325="",FALSE,IF(ISERROR(INT(Metadata!AA325)),FALSE,INT(Metadata!AA325)=Metadata!AA325)),Metadata!AA325&gt;0))</f>
        <v>0</v>
      </c>
      <c r="BN325">
        <f>AND(IF(Metadata!AB325="",FALSE,TRUE),exact(Metadata!AB325,"Not applicable"))</f>
        <v>0</v>
      </c>
      <c r="BO325">
        <f>IF(Metadata!AC325="",FALSE,TRUE)</f>
        <v>0</v>
      </c>
    </row>
    <row r="326" spans="1:67">
      <c r="A326" s="5">
        <f>IF(B326=" "," ",HYPERLINK(CONCATENATE("#metadata!",ADDRESS(INDEX($AI$2:$AI$1001,MATCH(ROWS($AG$2:AG326),$AG$2:$AG$1001,0),0),1)),INDEX($AL$2:$AL$1001,MATCH(ROWS($AG$2:AG326),$AG$2:$AG$1001,0),0)))</f>
        <v>0</v>
      </c>
      <c r="B326" s="4">
        <f>IF(OR(INDEX($AH$2:$AH$1001,MATCH(ROWS($AG$2:AG326),$AG$2:$AG$1001,0),1)&gt;=100000,INDEX($AN$1005:$BO$1005,1,MATCH(COLUMNS($AN$1006:AN1006),$AN$1006:$BO$1006,0))&gt;=100000), " ",IF(INDEX($AN$2:$BO$1001,MATCH(ROWS($AG$2:AG326),$AG$2:$AG$1001,0),MATCH(COLUMNS($AN$1006:AN1006),$AN$1006:$BO$1006,0)), HYPERLINK("#",""), HYPERLINK(CONCATENATE("#Metadata!", ADDRESS(INDEX($AI$2:$AI$1001,MATCH(ROWS($AG$2:AG326),$AG$2:$AG$1001,0),0), INDEX($AN$1004:$BO$1004,1,MATCH(COLUMNS($AN$1006:AN1006),$AN$1006:$BO$1006,0)))),"Fix")))</f>
        <v>0</v>
      </c>
      <c r="C326" s="4">
        <f>IF(OR(INDEX($AH$2:$AH$1001,MATCH(ROWS($AG$2:AG326),$AG$2:$AG$1001,0),1)&gt;=100000,INDEX($AN$1005:$BO$1005,1,MATCH(COLUMNS($AN$1006:AO1006),$AN$1006:$BO$1006,0))&gt;=100000), " ",IF(INDEX($AN$2:$BO$1001,MATCH(ROWS($AG$2:AG326),$AG$2:$AG$1001,0),MATCH(COLUMNS($AN$1006:AO1006),$AN$1006:$BO$1006,0)), HYPERLINK("#",""), HYPERLINK(CONCATENATE("#Metadata!", ADDRESS(INDEX($AI$2:$AI$1001,MATCH(ROWS($AG$2:AG326),$AG$2:$AG$1001,0),0), INDEX($AN$1004:$BO$1004,1,MATCH(COLUMNS($AN$1006:AO1006),$AN$1006:$BO$1006,0)))),"Fix")))</f>
        <v>0</v>
      </c>
      <c r="D326" s="4">
        <f>IF(OR(INDEX($AH$2:$AH$1001,MATCH(ROWS($AG$2:AG326),$AG$2:$AG$1001,0),1)&gt;=100000,INDEX($AN$1005:$BO$1005,1,MATCH(COLUMNS($AN$1006:AP1006),$AN$1006:$BO$1006,0))&gt;=100000), " ",IF(INDEX($AN$2:$BO$1001,MATCH(ROWS($AG$2:AG326),$AG$2:$AG$1001,0),MATCH(COLUMNS($AN$1006:AP1006),$AN$1006:$BO$1006,0)), HYPERLINK("#",""), HYPERLINK(CONCATENATE("#Metadata!", ADDRESS(INDEX($AI$2:$AI$1001,MATCH(ROWS($AG$2:AG326),$AG$2:$AG$1001,0),0), INDEX($AN$1004:$BO$1004,1,MATCH(COLUMNS($AN$1006:AP1006),$AN$1006:$BO$1006,0)))),"Fix")))</f>
        <v>0</v>
      </c>
      <c r="E326" s="4">
        <f>IF(OR(INDEX($AH$2:$AH$1001,MATCH(ROWS($AG$2:AG326),$AG$2:$AG$1001,0),1)&gt;=100000,INDEX($AN$1005:$BO$1005,1,MATCH(COLUMNS($AN$1006:AQ1006),$AN$1006:$BO$1006,0))&gt;=100000), " ",IF(INDEX($AN$2:$BO$1001,MATCH(ROWS($AG$2:AG326),$AG$2:$AG$1001,0),MATCH(COLUMNS($AN$1006:AQ1006),$AN$1006:$BO$1006,0)), HYPERLINK("#",""), HYPERLINK(CONCATENATE("#Metadata!", ADDRESS(INDEX($AI$2:$AI$1001,MATCH(ROWS($AG$2:AG326),$AG$2:$AG$1001,0),0), INDEX($AN$1004:$BO$1004,1,MATCH(COLUMNS($AN$1006:AQ1006),$AN$1006:$BO$1006,0)))),"Fix")))</f>
        <v>0</v>
      </c>
      <c r="F326" s="4">
        <f>IF(OR(INDEX($AH$2:$AH$1001,MATCH(ROWS($AG$2:AG326),$AG$2:$AG$1001,0),1)&gt;=100000,INDEX($AN$1005:$BO$1005,1,MATCH(COLUMNS($AN$1006:AR1006),$AN$1006:$BO$1006,0))&gt;=100000), " ",IF(INDEX($AN$2:$BO$1001,MATCH(ROWS($AG$2:AG326),$AG$2:$AG$1001,0),MATCH(COLUMNS($AN$1006:AR1006),$AN$1006:$BO$1006,0)), HYPERLINK("#",""), HYPERLINK(CONCATENATE("#Metadata!", ADDRESS(INDEX($AI$2:$AI$1001,MATCH(ROWS($AG$2:AG326),$AG$2:$AG$1001,0),0), INDEX($AN$1004:$BO$1004,1,MATCH(COLUMNS($AN$1006:AR1006),$AN$1006:$BO$1006,0)))),"Fix")))</f>
        <v>0</v>
      </c>
      <c r="G326" s="4">
        <f>IF(OR(INDEX($AH$2:$AH$1001,MATCH(ROWS($AG$2:AG326),$AG$2:$AG$1001,0),1)&gt;=100000,INDEX($AN$1005:$BO$1005,1,MATCH(COLUMNS($AN$1006:AS1006),$AN$1006:$BO$1006,0))&gt;=100000), " ",IF(INDEX($AN$2:$BO$1001,MATCH(ROWS($AG$2:AG326),$AG$2:$AG$1001,0),MATCH(COLUMNS($AN$1006:AS1006),$AN$1006:$BO$1006,0)), HYPERLINK("#",""), HYPERLINK(CONCATENATE("#Metadata!", ADDRESS(INDEX($AI$2:$AI$1001,MATCH(ROWS($AG$2:AG326),$AG$2:$AG$1001,0),0), INDEX($AN$1004:$BO$1004,1,MATCH(COLUMNS($AN$1006:AS1006),$AN$1006:$BO$1006,0)))),"Fix")))</f>
        <v>0</v>
      </c>
      <c r="H326" s="4">
        <f>IF(OR(INDEX($AH$2:$AH$1001,MATCH(ROWS($AG$2:AG326),$AG$2:$AG$1001,0),1)&gt;=100000,INDEX($AN$1005:$BO$1005,1,MATCH(COLUMNS($AN$1006:AT1006),$AN$1006:$BO$1006,0))&gt;=100000), " ",IF(INDEX($AN$2:$BO$1001,MATCH(ROWS($AG$2:AG326),$AG$2:$AG$1001,0),MATCH(COLUMNS($AN$1006:AT1006),$AN$1006:$BO$1006,0)), HYPERLINK("#",""), HYPERLINK(CONCATENATE("#Metadata!", ADDRESS(INDEX($AI$2:$AI$1001,MATCH(ROWS($AG$2:AG326),$AG$2:$AG$1001,0),0), INDEX($AN$1004:$BO$1004,1,MATCH(COLUMNS($AN$1006:AT1006),$AN$1006:$BO$1006,0)))),"Fix")))</f>
        <v>0</v>
      </c>
      <c r="I326" s="4">
        <f>IF(OR(INDEX($AH$2:$AH$1001,MATCH(ROWS($AG$2:AG326),$AG$2:$AG$1001,0),1)&gt;=100000,INDEX($AN$1005:$BO$1005,1,MATCH(COLUMNS($AN$1006:AU1006),$AN$1006:$BO$1006,0))&gt;=100000), " ",IF(INDEX($AN$2:$BO$1001,MATCH(ROWS($AG$2:AG326),$AG$2:$AG$1001,0),MATCH(COLUMNS($AN$1006:AU1006),$AN$1006:$BO$1006,0)), HYPERLINK("#",""), HYPERLINK(CONCATENATE("#Metadata!", ADDRESS(INDEX($AI$2:$AI$1001,MATCH(ROWS($AG$2:AG326),$AG$2:$AG$1001,0),0), INDEX($AN$1004:$BO$1004,1,MATCH(COLUMNS($AN$1006:AU1006),$AN$1006:$BO$1006,0)))),"Fix")))</f>
        <v>0</v>
      </c>
      <c r="J326" s="4">
        <f>IF(OR(INDEX($AH$2:$AH$1001,MATCH(ROWS($AG$2:AG326),$AG$2:$AG$1001,0),1)&gt;=100000,INDEX($AN$1005:$BO$1005,1,MATCH(COLUMNS($AN$1006:AV1006),$AN$1006:$BO$1006,0))&gt;=100000), " ",IF(INDEX($AN$2:$BO$1001,MATCH(ROWS($AG$2:AG326),$AG$2:$AG$1001,0),MATCH(COLUMNS($AN$1006:AV1006),$AN$1006:$BO$1006,0)), HYPERLINK("#",""), HYPERLINK(CONCATENATE("#Metadata!", ADDRESS(INDEX($AI$2:$AI$1001,MATCH(ROWS($AG$2:AG326),$AG$2:$AG$1001,0),0), INDEX($AN$1004:$BO$1004,1,MATCH(COLUMNS($AN$1006:AV1006),$AN$1006:$BO$1006,0)))),"Fix")))</f>
        <v>0</v>
      </c>
      <c r="K326" s="4">
        <f>IF(OR(INDEX($AH$2:$AH$1001,MATCH(ROWS($AG$2:AG326),$AG$2:$AG$1001,0),1)&gt;=100000,INDEX($AN$1005:$BO$1005,1,MATCH(COLUMNS($AN$1006:AW1006),$AN$1006:$BO$1006,0))&gt;=100000), " ",IF(INDEX($AN$2:$BO$1001,MATCH(ROWS($AG$2:AG326),$AG$2:$AG$1001,0),MATCH(COLUMNS($AN$1006:AW1006),$AN$1006:$BO$1006,0)), HYPERLINK("#",""), HYPERLINK(CONCATENATE("#Metadata!", ADDRESS(INDEX($AI$2:$AI$1001,MATCH(ROWS($AG$2:AG326),$AG$2:$AG$1001,0),0), INDEX($AN$1004:$BO$1004,1,MATCH(COLUMNS($AN$1006:AW1006),$AN$1006:$BO$1006,0)))),"Fix")))</f>
        <v>0</v>
      </c>
      <c r="L326" s="4">
        <f>IF(OR(INDEX($AH$2:$AH$1001,MATCH(ROWS($AG$2:AG326),$AG$2:$AG$1001,0),1)&gt;=100000,INDEX($AN$1005:$BO$1005,1,MATCH(COLUMNS($AN$1006:AX1006),$AN$1006:$BO$1006,0))&gt;=100000), " ",IF(INDEX($AN$2:$BO$1001,MATCH(ROWS($AG$2:AG326),$AG$2:$AG$1001,0),MATCH(COLUMNS($AN$1006:AX1006),$AN$1006:$BO$1006,0)), HYPERLINK("#",""), HYPERLINK(CONCATENATE("#Metadata!", ADDRESS(INDEX($AI$2:$AI$1001,MATCH(ROWS($AG$2:AG326),$AG$2:$AG$1001,0),0), INDEX($AN$1004:$BO$1004,1,MATCH(COLUMNS($AN$1006:AX1006),$AN$1006:$BO$1006,0)))),"Fix")))</f>
        <v>0</v>
      </c>
      <c r="M326" s="4">
        <f>IF(OR(INDEX($AH$2:$AH$1001,MATCH(ROWS($AG$2:AG326),$AG$2:$AG$1001,0),1)&gt;=100000,INDEX($AN$1005:$BO$1005,1,MATCH(COLUMNS($AN$1006:AY1006),$AN$1006:$BO$1006,0))&gt;=100000), " ",IF(INDEX($AN$2:$BO$1001,MATCH(ROWS($AG$2:AG326),$AG$2:$AG$1001,0),MATCH(COLUMNS($AN$1006:AY1006),$AN$1006:$BO$1006,0)), HYPERLINK("#",""), HYPERLINK(CONCATENATE("#Metadata!", ADDRESS(INDEX($AI$2:$AI$1001,MATCH(ROWS($AG$2:AG326),$AG$2:$AG$1001,0),0), INDEX($AN$1004:$BO$1004,1,MATCH(COLUMNS($AN$1006:AY1006),$AN$1006:$BO$1006,0)))),"Fix")))</f>
        <v>0</v>
      </c>
      <c r="N326" s="4">
        <f>IF(OR(INDEX($AH$2:$AH$1001,MATCH(ROWS($AG$2:AG326),$AG$2:$AG$1001,0),1)&gt;=100000,INDEX($AN$1005:$BO$1005,1,MATCH(COLUMNS($AN$1006:AZ1006),$AN$1006:$BO$1006,0))&gt;=100000), " ",IF(INDEX($AN$2:$BO$1001,MATCH(ROWS($AG$2:AG326),$AG$2:$AG$1001,0),MATCH(COLUMNS($AN$1006:AZ1006),$AN$1006:$BO$1006,0)), HYPERLINK("#",""), HYPERLINK(CONCATENATE("#Metadata!", ADDRESS(INDEX($AI$2:$AI$1001,MATCH(ROWS($AG$2:AG326),$AG$2:$AG$1001,0),0), INDEX($AN$1004:$BO$1004,1,MATCH(COLUMNS($AN$1006:AZ1006),$AN$1006:$BO$1006,0)))),"Fix")))</f>
        <v>0</v>
      </c>
      <c r="O326" s="4">
        <f>IF(OR(INDEX($AH$2:$AH$1001,MATCH(ROWS($AG$2:AG326),$AG$2:$AG$1001,0),1)&gt;=100000,INDEX($AN$1005:$BO$1005,1,MATCH(COLUMNS($AN$1006:BA1006),$AN$1006:$BO$1006,0))&gt;=100000), " ",IF(INDEX($AN$2:$BO$1001,MATCH(ROWS($AG$2:AG326),$AG$2:$AG$1001,0),MATCH(COLUMNS($AN$1006:BA1006),$AN$1006:$BO$1006,0)), HYPERLINK("#",""), HYPERLINK(CONCATENATE("#Metadata!", ADDRESS(INDEX($AI$2:$AI$1001,MATCH(ROWS($AG$2:AG326),$AG$2:$AG$1001,0),0), INDEX($AN$1004:$BO$1004,1,MATCH(COLUMNS($AN$1006:BA1006),$AN$1006:$BO$1006,0)))),"Fix")))</f>
        <v>0</v>
      </c>
      <c r="P326" s="4">
        <f>IF(OR(INDEX($AH$2:$AH$1001,MATCH(ROWS($AG$2:AG326),$AG$2:$AG$1001,0),1)&gt;=100000,INDEX($AN$1005:$BO$1005,1,MATCH(COLUMNS($AN$1006:BB1006),$AN$1006:$BO$1006,0))&gt;=100000), " ",IF(INDEX($AN$2:$BO$1001,MATCH(ROWS($AG$2:AG326),$AG$2:$AG$1001,0),MATCH(COLUMNS($AN$1006:BB1006),$AN$1006:$BO$1006,0)), HYPERLINK("#",""), HYPERLINK(CONCATENATE("#Metadata!", ADDRESS(INDEX($AI$2:$AI$1001,MATCH(ROWS($AG$2:AG326),$AG$2:$AG$1001,0),0), INDEX($AN$1004:$BO$1004,1,MATCH(COLUMNS($AN$1006:BB1006),$AN$1006:$BO$1006,0)))),"Fix")))</f>
        <v>0</v>
      </c>
      <c r="Q326" s="4">
        <f>IF(OR(INDEX($AH$2:$AH$1001,MATCH(ROWS($AG$2:AG326),$AG$2:$AG$1001,0),1)&gt;=100000,INDEX($AN$1005:$BO$1005,1,MATCH(COLUMNS($AN$1006:BC1006),$AN$1006:$BO$1006,0))&gt;=100000), " ",IF(INDEX($AN$2:$BO$1001,MATCH(ROWS($AG$2:AG326),$AG$2:$AG$1001,0),MATCH(COLUMNS($AN$1006:BC1006),$AN$1006:$BO$1006,0)), HYPERLINK("#",""), HYPERLINK(CONCATENATE("#Metadata!", ADDRESS(INDEX($AI$2:$AI$1001,MATCH(ROWS($AG$2:AG326),$AG$2:$AG$1001,0),0), INDEX($AN$1004:$BO$1004,1,MATCH(COLUMNS($AN$1006:BC1006),$AN$1006:$BO$1006,0)))),"Fix")))</f>
        <v>0</v>
      </c>
      <c r="R326" s="4">
        <f>IF(OR(INDEX($AH$2:$AH$1001,MATCH(ROWS($AG$2:AG326),$AG$2:$AG$1001,0),1)&gt;=100000,INDEX($AN$1005:$BO$1005,1,MATCH(COLUMNS($AN$1006:BD1006),$AN$1006:$BO$1006,0))&gt;=100000), " ",IF(INDEX($AN$2:$BO$1001,MATCH(ROWS($AG$2:AG326),$AG$2:$AG$1001,0),MATCH(COLUMNS($AN$1006:BD1006),$AN$1006:$BO$1006,0)), HYPERLINK("#",""), HYPERLINK(CONCATENATE("#Metadata!", ADDRESS(INDEX($AI$2:$AI$1001,MATCH(ROWS($AG$2:AG326),$AG$2:$AG$1001,0),0), INDEX($AN$1004:$BO$1004,1,MATCH(COLUMNS($AN$1006:BD1006),$AN$1006:$BO$1006,0)))),"Fix")))</f>
        <v>0</v>
      </c>
      <c r="S326" s="4">
        <f>IF(OR(INDEX($AH$2:$AH$1001,MATCH(ROWS($AG$2:AG326),$AG$2:$AG$1001,0),1)&gt;=100000,INDEX($AN$1005:$BO$1005,1,MATCH(COLUMNS($AN$1006:BE1006),$AN$1006:$BO$1006,0))&gt;=100000), " ",IF(INDEX($AN$2:$BO$1001,MATCH(ROWS($AG$2:AG326),$AG$2:$AG$1001,0),MATCH(COLUMNS($AN$1006:BE1006),$AN$1006:$BO$1006,0)), HYPERLINK("#",""), HYPERLINK(CONCATENATE("#Metadata!", ADDRESS(INDEX($AI$2:$AI$1001,MATCH(ROWS($AG$2:AG326),$AG$2:$AG$1001,0),0), INDEX($AN$1004:$BO$1004,1,MATCH(COLUMNS($AN$1006:BE1006),$AN$1006:$BO$1006,0)))),"Fix")))</f>
        <v>0</v>
      </c>
      <c r="T326" s="4">
        <f>IF(OR(INDEX($AH$2:$AH$1001,MATCH(ROWS($AG$2:AG326),$AG$2:$AG$1001,0),1)&gt;=100000,INDEX($AN$1005:$BO$1005,1,MATCH(COLUMNS($AN$1006:BF1006),$AN$1006:$BO$1006,0))&gt;=100000), " ",IF(INDEX($AN$2:$BO$1001,MATCH(ROWS($AG$2:AG326),$AG$2:$AG$1001,0),MATCH(COLUMNS($AN$1006:BF1006),$AN$1006:$BO$1006,0)), HYPERLINK("#",""), HYPERLINK(CONCATENATE("#Metadata!", ADDRESS(INDEX($AI$2:$AI$1001,MATCH(ROWS($AG$2:AG326),$AG$2:$AG$1001,0),0), INDEX($AN$1004:$BO$1004,1,MATCH(COLUMNS($AN$1006:BF1006),$AN$1006:$BO$1006,0)))),"Fix")))</f>
        <v>0</v>
      </c>
      <c r="U326" s="4">
        <f>IF(OR(INDEX($AH$2:$AH$1001,MATCH(ROWS($AG$2:AG326),$AG$2:$AG$1001,0),1)&gt;=100000,INDEX($AN$1005:$BO$1005,1,MATCH(COLUMNS($AN$1006:BG1006),$AN$1006:$BO$1006,0))&gt;=100000), " ",IF(INDEX($AN$2:$BO$1001,MATCH(ROWS($AG$2:AG326),$AG$2:$AG$1001,0),MATCH(COLUMNS($AN$1006:BG1006),$AN$1006:$BO$1006,0)), HYPERLINK("#",""), HYPERLINK(CONCATENATE("#Metadata!", ADDRESS(INDEX($AI$2:$AI$1001,MATCH(ROWS($AG$2:AG326),$AG$2:$AG$1001,0),0), INDEX($AN$1004:$BO$1004,1,MATCH(COLUMNS($AN$1006:BG1006),$AN$1006:$BO$1006,0)))),"Fix")))</f>
        <v>0</v>
      </c>
      <c r="V326" s="4">
        <f>IF(OR(INDEX($AH$2:$AH$1001,MATCH(ROWS($AG$2:AG326),$AG$2:$AG$1001,0),1)&gt;=100000,INDEX($AN$1005:$BO$1005,1,MATCH(COLUMNS($AN$1006:BH1006),$AN$1006:$BO$1006,0))&gt;=100000), " ",IF(INDEX($AN$2:$BO$1001,MATCH(ROWS($AG$2:AG326),$AG$2:$AG$1001,0),MATCH(COLUMNS($AN$1006:BH1006),$AN$1006:$BO$1006,0)), HYPERLINK("#",""), HYPERLINK(CONCATENATE("#Metadata!", ADDRESS(INDEX($AI$2:$AI$1001,MATCH(ROWS($AG$2:AG326),$AG$2:$AG$1001,0),0), INDEX($AN$1004:$BO$1004,1,MATCH(COLUMNS($AN$1006:BH1006),$AN$1006:$BO$1006,0)))),"Fix")))</f>
        <v>0</v>
      </c>
      <c r="W326" s="4">
        <f>IF(OR(INDEX($AH$2:$AH$1001,MATCH(ROWS($AG$2:AG326),$AG$2:$AG$1001,0),1)&gt;=100000,INDEX($AN$1005:$BO$1005,1,MATCH(COLUMNS($AN$1006:BI1006),$AN$1006:$BO$1006,0))&gt;=100000), " ",IF(INDEX($AN$2:$BO$1001,MATCH(ROWS($AG$2:AG326),$AG$2:$AG$1001,0),MATCH(COLUMNS($AN$1006:BI1006),$AN$1006:$BO$1006,0)), HYPERLINK("#",""), HYPERLINK(CONCATENATE("#Metadata!", ADDRESS(INDEX($AI$2:$AI$1001,MATCH(ROWS($AG$2:AG326),$AG$2:$AG$1001,0),0), INDEX($AN$1004:$BO$1004,1,MATCH(COLUMNS($AN$1006:BI1006),$AN$1006:$BO$1006,0)))),"Fix")))</f>
        <v>0</v>
      </c>
      <c r="X326" s="4">
        <f>IF(OR(INDEX($AH$2:$AH$1001,MATCH(ROWS($AG$2:AG326),$AG$2:$AG$1001,0),1)&gt;=100000,INDEX($AN$1005:$BO$1005,1,MATCH(COLUMNS($AN$1006:BJ1006),$AN$1006:$BO$1006,0))&gt;=100000), " ",IF(INDEX($AN$2:$BO$1001,MATCH(ROWS($AG$2:AG326),$AG$2:$AG$1001,0),MATCH(COLUMNS($AN$1006:BJ1006),$AN$1006:$BO$1006,0)), HYPERLINK("#",""), HYPERLINK(CONCATENATE("#Metadata!", ADDRESS(INDEX($AI$2:$AI$1001,MATCH(ROWS($AG$2:AG326),$AG$2:$AG$1001,0),0), INDEX($AN$1004:$BO$1004,1,MATCH(COLUMNS($AN$1006:BJ1006),$AN$1006:$BO$1006,0)))),"Fix")))</f>
        <v>0</v>
      </c>
      <c r="Y326" s="4">
        <f>IF(OR(INDEX($AH$2:$AH$1001,MATCH(ROWS($AG$2:AG326),$AG$2:$AG$1001,0),1)&gt;=100000,INDEX($AN$1005:$BO$1005,1,MATCH(COLUMNS($AN$1006:BK1006),$AN$1006:$BO$1006,0))&gt;=100000), " ",IF(INDEX($AN$2:$BO$1001,MATCH(ROWS($AG$2:AG326),$AG$2:$AG$1001,0),MATCH(COLUMNS($AN$1006:BK1006),$AN$1006:$BO$1006,0)), HYPERLINK("#",""), HYPERLINK(CONCATENATE("#Metadata!", ADDRESS(INDEX($AI$2:$AI$1001,MATCH(ROWS($AG$2:AG326),$AG$2:$AG$1001,0),0), INDEX($AN$1004:$BO$1004,1,MATCH(COLUMNS($AN$1006:BK1006),$AN$1006:$BO$1006,0)))),"Fix")))</f>
        <v>0</v>
      </c>
      <c r="Z326" s="4">
        <f>IF(OR(INDEX($AH$2:$AH$1001,MATCH(ROWS($AG$2:AG326),$AG$2:$AG$1001,0),1)&gt;=100000,INDEX($AN$1005:$BO$1005,1,MATCH(COLUMNS($AN$1006:BL1006),$AN$1006:$BO$1006,0))&gt;=100000), " ",IF(INDEX($AN$2:$BO$1001,MATCH(ROWS($AG$2:AG326),$AG$2:$AG$1001,0),MATCH(COLUMNS($AN$1006:BL1006),$AN$1006:$BO$1006,0)), HYPERLINK("#",""), HYPERLINK(CONCATENATE("#Metadata!", ADDRESS(INDEX($AI$2:$AI$1001,MATCH(ROWS($AG$2:AG326),$AG$2:$AG$1001,0),0), INDEX($AN$1004:$BO$1004,1,MATCH(COLUMNS($AN$1006:BL1006),$AN$1006:$BO$1006,0)))),"Fix")))</f>
        <v>0</v>
      </c>
      <c r="AA326" s="4">
        <f>IF(OR(INDEX($AH$2:$AH$1001,MATCH(ROWS($AG$2:AG326),$AG$2:$AG$1001,0),1)&gt;=100000,INDEX($AN$1005:$BO$1005,1,MATCH(COLUMNS($AN$1006:BM1006),$AN$1006:$BO$1006,0))&gt;=100000), " ",IF(INDEX($AN$2:$BO$1001,MATCH(ROWS($AG$2:AG326),$AG$2:$AG$1001,0),MATCH(COLUMNS($AN$1006:BM1006),$AN$1006:$BO$1006,0)), HYPERLINK("#",""), HYPERLINK(CONCATENATE("#Metadata!", ADDRESS(INDEX($AI$2:$AI$1001,MATCH(ROWS($AG$2:AG326),$AG$2:$AG$1001,0),0), INDEX($AN$1004:$BO$1004,1,MATCH(COLUMNS($AN$1006:BM1006),$AN$1006:$BO$1006,0)))),"Fix")))</f>
        <v>0</v>
      </c>
      <c r="AB326" s="4">
        <f>IF(OR(INDEX($AH$2:$AH$1001,MATCH(ROWS($AG$2:AG326),$AG$2:$AG$1001,0),1)&gt;=100000,INDEX($AN$1005:$BO$1005,1,MATCH(COLUMNS($AN$1006:BN1006),$AN$1006:$BO$1006,0))&gt;=100000), " ",IF(INDEX($AN$2:$BO$1001,MATCH(ROWS($AG$2:AG326),$AG$2:$AG$1001,0),MATCH(COLUMNS($AN$1006:BN1006),$AN$1006:$BO$1006,0)), HYPERLINK("#",""), HYPERLINK(CONCATENATE("#Metadata!", ADDRESS(INDEX($AI$2:$AI$1001,MATCH(ROWS($AG$2:AG326),$AG$2:$AG$1001,0),0), INDEX($AN$1004:$BO$1004,1,MATCH(COLUMNS($AN$1006:BN1006),$AN$1006:$BO$1006,0)))),"Fix")))</f>
        <v>0</v>
      </c>
      <c r="AC326" s="4">
        <f>IF(OR(INDEX($AH$2:$AH$1001,MATCH(ROWS($AG$2:AG326),$AG$2:$AG$1001,0),1)&gt;=100000,INDEX($AN$1005:$BO$1005,1,MATCH(COLUMNS($AN$1006:BO1006),$AN$1006:$BO$1006,0))&gt;=100000), " ",IF(INDEX($AN$2:$BO$1001,MATCH(ROWS($AG$2:AG326),$AG$2:$AG$1001,0),MATCH(COLUMNS($AN$1006:BO1006),$AN$1006:$BO$1006,0)), HYPERLINK("#",""), HYPERLINK(CONCATENATE("#Metadata!", ADDRESS(INDEX($AI$2:$AI$1001,MATCH(ROWS($AG$2:AG326),$AG$2:$AG$1001,0),0), INDEX($AN$1004:$BO$1004,1,MATCH(COLUMNS($AN$1006:BO1006),$AN$1006:$BO$1006,0)))),"Fix")))</f>
        <v>0</v>
      </c>
      <c r="AG326">
        <v>0</v>
      </c>
      <c r="AH326">
        <v>0</v>
      </c>
      <c r="AI326">
        <v>0</v>
      </c>
      <c r="AJ326">
        <f>IF(AK326,TRUE,AND(AN326:BO326))</f>
        <v>0</v>
      </c>
      <c r="AK326">
        <f>COUNTBLANK(Metadata!B326:AC326)=COLUMNS(Metadata!B326:AC326)</f>
        <v>0</v>
      </c>
      <c r="AL326">
        <v>0</v>
      </c>
      <c r="AN326">
        <f>AND(IF(Metadata!B326="",FALSE,TRUE),COUNTIF(Metadata!B:B, Metadata!B326) = 1,NOT(ISERROR(SUMPRODUCT(SEARCH(MID(Metadata!B326,ROW(INDIRECT("1:"&amp;LEN(Metadata!B326))), 1),"0123456789abcdefghijklmnopqrstuvwxyzABCDEFGHIJKLMNOPQRSTUVWXYZ.")))))</f>
        <v>0</v>
      </c>
      <c r="AO326">
        <f>IF(Metadata!C326="",FALSE,TRUE)</f>
        <v>0</v>
      </c>
      <c r="AP326">
        <f>IF(Metadata!D326="",FALSE,TRUE)</f>
        <v>0</v>
      </c>
      <c r="AQ326">
        <f>OR(AND(IF(Metadata!E326="",FALSE,TRUE),OR(exact(Metadata!E326,"not collected"),exact(Metadata!E326,"not provided"),exact(Metadata!E326,"restricted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R326">
        <f>IF(Metadata!F326="",FALSE,TRUE)</f>
        <v>0</v>
      </c>
      <c r="AS326">
        <f>OR(AND(IF(Metadata!G326="",FALSE,TRUE),OR(exact(Metadata!G326,"not collected"),exact(Metadata!G326,"not provided"))),AND(IF(Metadata!G326="",FALSE,TRUE),OR(exact(Metadata!G326,"TRUE"),exact(Metadata!G326,"FALSE"))))</f>
        <v>0</v>
      </c>
      <c r="AT326">
        <f>OR(AND(IF(Metadata!H326="",FALSE,TRUE),OR(exact(Metadata!H326,"not collected"),exact(Metadata!H326,"not provided"),exact(Metadata!H326,"restricted access"))),AND(IF(Metadata!H326="",FALSE,ISNUMBER(VALUE(Metadata!H326))),Metadata!H326&gt;=-413.0))</f>
        <v>0</v>
      </c>
      <c r="AU326">
        <f>AND(IF(Metadata!I326="",FALSE,TRUE),exact(Metadata!I326,"meters"))</f>
        <v>0</v>
      </c>
      <c r="AV326">
        <f>AND(IF(Metadata!J326="",FALSE,TRUE),OR(exact(Metadata!J326,"Host-associated"),exact(Metadata!J326,"Free-living")))</f>
        <v>0</v>
      </c>
      <c r="AW326">
        <f>AND(IF(Metadata!K326="",FALSE,TRUE),OR(exact(Metadata!K326,"Animal"),exact(Metadata!K326,"Fungus"),exact(Metadata!K326,"Plant"),exact(Metadata!K326,"Saline"),exact(Metadata!K326,"Non-saline")))</f>
        <v>0</v>
      </c>
      <c r="AX326">
        <f>AND(IF(Metadata!L326="",FALSE,TRUE),OR(exact(Metadata!L326,"Plant secretion"),exact(Metadata!L326,"Plant rhizosphere"),exact(Metadata!L326,"Plant surface"),exact(Metadata!L326,"Plant corpus"),exact(Metadata!L326,"Fungus surface"),exact(Metadata!L326,"Fungus corpus"),exact(Metadata!L326,"Animal surface"),exact(Metadata!L326,"Animal proximal gut"),exact(Metadata!L326,"Animal corpus"),exact(Metadata!L326,"Animal distal gut"),exact(Metadata!L326,"Animal secretion"),exact(Metadata!L326,"Sub-surface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Y326">
        <f>IF(Metadata!M326="",FALSE,TRUE)</f>
        <v>0</v>
      </c>
      <c r="AZ326">
        <f>IF(Metadata!N326="",FALSE,TRUE)</f>
        <v>0</v>
      </c>
      <c r="BA326">
        <f>IF(Metadata!O326="",FALSE,TRUE)</f>
        <v>0</v>
      </c>
      <c r="BB326">
        <f>OR(AND(IF(Metadata!P326="",FALSE,TRUE),OR(exact(Metadata!P326,"not collected"),exact(Metadata!P326,"not provided"),exact(Metadata!P326,"restricted access"))),AND(IF(Metadata!P326="",FALSE,TRUE),OR(exact(Metadata!P326,"air"),exact(Metadata!P326,"built environment"),exact(Metadata!P326,"host-associated"),exact(Metadata!P326,"human-associated"),exact(Metadata!P326,"human-skin"),exact(Metadata!P326,"human-oral"),exact(Metadata!P326,"human-gut"),exact(Metadata!P326,"human-vaginal"),exact(Metadata!P326,"microbial mat/biofilm"),exact(Metadata!P326,"misc environment"),exact(Metadata!P326,"plant-associated"),exact(Metadata!P326,"sediment"),exact(Metadata!P326,"soil"),exact(Metadata!P326,"wastewater/sludge"),exact(Metadata!P326,"water"))))</f>
        <v>0</v>
      </c>
      <c r="BC326">
        <f>IF(Metadata!Q326="",FALSE,TRUE)</f>
        <v>0</v>
      </c>
      <c r="BD326">
        <f>IF(Metadata!R326="",FALSE,TRUE)</f>
        <v>0</v>
      </c>
      <c r="BE326">
        <f>OR(AND(IF(Metadata!S326="",FALSE,TRUE),OR(exact(Metadata!S326,"not collected"),exact(Metadata!S326,"not provided"),exact(Metadata!S326,"restricted access"))),AND(IF(Metadata!S326="",FALSE,ISNUMBER(VALUE(Metadata!S326))),Metadata!S326&gt;=-90.00,Metadata!S326&lt;=90.00))</f>
        <v>0</v>
      </c>
      <c r="BF326">
        <f>AND(IF(Metadata!T326="",FALSE,TRUE),exact(Metadata!T326,"Decimal degrees"))</f>
        <v>0</v>
      </c>
      <c r="BG326">
        <f>OR(AND(IF(Metadata!U326="",FALSE,TRUE),OR(exact(Metadata!U326,"not collected"),exact(Metadata!U326,"not provided"),exact(Metadata!U326,"restricted access"))),AND(IF(Metadata!U326="",FALSE,ISNUMBER(VALUE(Metadata!U326))),Metadata!U326&gt;=-180.00,Metadata!U326&lt;=180.00))</f>
        <v>0</v>
      </c>
      <c r="BH326">
        <f>AND(IF(Metadata!V326="",FALSE,TRUE),exact(Metadata!V326,"Decimal degrees"))</f>
        <v>0</v>
      </c>
      <c r="BI326">
        <f>IF(Metadata!W326="",FALSE,TRUE)</f>
        <v>0</v>
      </c>
      <c r="BJ326">
        <f>OR(AND(IF(Metadata!X326="",FALSE,TRUE),OR(exact(Metadata!X326,"not collected"),exact(Metadata!X326,"not provided"),exact(Metadata!X326,"restricted access"))),AND(IF(Metadata!X326="",FALSE,TRUE),OR(exact(Metadata!X326,"TRUE"),exact(Metadata!X326,"FALSE"))))</f>
        <v>0</v>
      </c>
      <c r="BK326">
        <f>AND(IF(Metadata!Y326="",FALSE,TRUE),exact(Metadata!Y326,"other"))</f>
        <v>0</v>
      </c>
      <c r="BL326">
        <f>IF(Metadata!Z326="",FALSE,TRUE)</f>
        <v>0</v>
      </c>
      <c r="BM326">
        <f>OR(AND(IF(Metadata!AA326="",FALSE,TRUE),OR(exact(Metadata!AA326,"not collected"),exact(Metadata!AA326,"not provided"))),AND(IF(Metadata!AA326="",FALSE,IF(ISERROR(INT(Metadata!AA326)),FALSE,INT(Metadata!AA326)=Metadata!AA326)),Metadata!AA326&gt;0))</f>
        <v>0</v>
      </c>
      <c r="BN326">
        <f>AND(IF(Metadata!AB326="",FALSE,TRUE),exact(Metadata!AB326,"Not applicable"))</f>
        <v>0</v>
      </c>
      <c r="BO326">
        <f>IF(Metadata!AC326="",FALSE,TRUE)</f>
        <v>0</v>
      </c>
    </row>
    <row r="327" spans="1:67">
      <c r="A327" s="5">
        <f>IF(B327=" "," ",HYPERLINK(CONCATENATE("#metadata!",ADDRESS(INDEX($AI$2:$AI$1001,MATCH(ROWS($AG$2:AG327),$AG$2:$AG$1001,0),0),1)),INDEX($AL$2:$AL$1001,MATCH(ROWS($AG$2:AG327),$AG$2:$AG$1001,0),0)))</f>
        <v>0</v>
      </c>
      <c r="B327" s="4">
        <f>IF(OR(INDEX($AH$2:$AH$1001,MATCH(ROWS($AG$2:AG327),$AG$2:$AG$1001,0),1)&gt;=100000,INDEX($AN$1005:$BO$1005,1,MATCH(COLUMNS($AN$1006:AN1006),$AN$1006:$BO$1006,0))&gt;=100000), " ",IF(INDEX($AN$2:$BO$1001,MATCH(ROWS($AG$2:AG327),$AG$2:$AG$1001,0),MATCH(COLUMNS($AN$1006:AN1006),$AN$1006:$BO$1006,0)), HYPERLINK("#",""), HYPERLINK(CONCATENATE("#Metadata!", ADDRESS(INDEX($AI$2:$AI$1001,MATCH(ROWS($AG$2:AG327),$AG$2:$AG$1001,0),0), INDEX($AN$1004:$BO$1004,1,MATCH(COLUMNS($AN$1006:AN1006),$AN$1006:$BO$1006,0)))),"Fix")))</f>
        <v>0</v>
      </c>
      <c r="C327" s="4">
        <f>IF(OR(INDEX($AH$2:$AH$1001,MATCH(ROWS($AG$2:AG327),$AG$2:$AG$1001,0),1)&gt;=100000,INDEX($AN$1005:$BO$1005,1,MATCH(COLUMNS($AN$1006:AO1006),$AN$1006:$BO$1006,0))&gt;=100000), " ",IF(INDEX($AN$2:$BO$1001,MATCH(ROWS($AG$2:AG327),$AG$2:$AG$1001,0),MATCH(COLUMNS($AN$1006:AO1006),$AN$1006:$BO$1006,0)), HYPERLINK("#",""), HYPERLINK(CONCATENATE("#Metadata!", ADDRESS(INDEX($AI$2:$AI$1001,MATCH(ROWS($AG$2:AG327),$AG$2:$AG$1001,0),0), INDEX($AN$1004:$BO$1004,1,MATCH(COLUMNS($AN$1006:AO1006),$AN$1006:$BO$1006,0)))),"Fix")))</f>
        <v>0</v>
      </c>
      <c r="D327" s="4">
        <f>IF(OR(INDEX($AH$2:$AH$1001,MATCH(ROWS($AG$2:AG327),$AG$2:$AG$1001,0),1)&gt;=100000,INDEX($AN$1005:$BO$1005,1,MATCH(COLUMNS($AN$1006:AP1006),$AN$1006:$BO$1006,0))&gt;=100000), " ",IF(INDEX($AN$2:$BO$1001,MATCH(ROWS($AG$2:AG327),$AG$2:$AG$1001,0),MATCH(COLUMNS($AN$1006:AP1006),$AN$1006:$BO$1006,0)), HYPERLINK("#",""), HYPERLINK(CONCATENATE("#Metadata!", ADDRESS(INDEX($AI$2:$AI$1001,MATCH(ROWS($AG$2:AG327),$AG$2:$AG$1001,0),0), INDEX($AN$1004:$BO$1004,1,MATCH(COLUMNS($AN$1006:AP1006),$AN$1006:$BO$1006,0)))),"Fix")))</f>
        <v>0</v>
      </c>
      <c r="E327" s="4">
        <f>IF(OR(INDEX($AH$2:$AH$1001,MATCH(ROWS($AG$2:AG327),$AG$2:$AG$1001,0),1)&gt;=100000,INDEX($AN$1005:$BO$1005,1,MATCH(COLUMNS($AN$1006:AQ1006),$AN$1006:$BO$1006,0))&gt;=100000), " ",IF(INDEX($AN$2:$BO$1001,MATCH(ROWS($AG$2:AG327),$AG$2:$AG$1001,0),MATCH(COLUMNS($AN$1006:AQ1006),$AN$1006:$BO$1006,0)), HYPERLINK("#",""), HYPERLINK(CONCATENATE("#Metadata!", ADDRESS(INDEX($AI$2:$AI$1001,MATCH(ROWS($AG$2:AG327),$AG$2:$AG$1001,0),0), INDEX($AN$1004:$BO$1004,1,MATCH(COLUMNS($AN$1006:AQ1006),$AN$1006:$BO$1006,0)))),"Fix")))</f>
        <v>0</v>
      </c>
      <c r="F327" s="4">
        <f>IF(OR(INDEX($AH$2:$AH$1001,MATCH(ROWS($AG$2:AG327),$AG$2:$AG$1001,0),1)&gt;=100000,INDEX($AN$1005:$BO$1005,1,MATCH(COLUMNS($AN$1006:AR1006),$AN$1006:$BO$1006,0))&gt;=100000), " ",IF(INDEX($AN$2:$BO$1001,MATCH(ROWS($AG$2:AG327),$AG$2:$AG$1001,0),MATCH(COLUMNS($AN$1006:AR1006),$AN$1006:$BO$1006,0)), HYPERLINK("#",""), HYPERLINK(CONCATENATE("#Metadata!", ADDRESS(INDEX($AI$2:$AI$1001,MATCH(ROWS($AG$2:AG327),$AG$2:$AG$1001,0),0), INDEX($AN$1004:$BO$1004,1,MATCH(COLUMNS($AN$1006:AR1006),$AN$1006:$BO$1006,0)))),"Fix")))</f>
        <v>0</v>
      </c>
      <c r="G327" s="4">
        <f>IF(OR(INDEX($AH$2:$AH$1001,MATCH(ROWS($AG$2:AG327),$AG$2:$AG$1001,0),1)&gt;=100000,INDEX($AN$1005:$BO$1005,1,MATCH(COLUMNS($AN$1006:AS1006),$AN$1006:$BO$1006,0))&gt;=100000), " ",IF(INDEX($AN$2:$BO$1001,MATCH(ROWS($AG$2:AG327),$AG$2:$AG$1001,0),MATCH(COLUMNS($AN$1006:AS1006),$AN$1006:$BO$1006,0)), HYPERLINK("#",""), HYPERLINK(CONCATENATE("#Metadata!", ADDRESS(INDEX($AI$2:$AI$1001,MATCH(ROWS($AG$2:AG327),$AG$2:$AG$1001,0),0), INDEX($AN$1004:$BO$1004,1,MATCH(COLUMNS($AN$1006:AS1006),$AN$1006:$BO$1006,0)))),"Fix")))</f>
        <v>0</v>
      </c>
      <c r="H327" s="4">
        <f>IF(OR(INDEX($AH$2:$AH$1001,MATCH(ROWS($AG$2:AG327),$AG$2:$AG$1001,0),1)&gt;=100000,INDEX($AN$1005:$BO$1005,1,MATCH(COLUMNS($AN$1006:AT1006),$AN$1006:$BO$1006,0))&gt;=100000), " ",IF(INDEX($AN$2:$BO$1001,MATCH(ROWS($AG$2:AG327),$AG$2:$AG$1001,0),MATCH(COLUMNS($AN$1006:AT1006),$AN$1006:$BO$1006,0)), HYPERLINK("#",""), HYPERLINK(CONCATENATE("#Metadata!", ADDRESS(INDEX($AI$2:$AI$1001,MATCH(ROWS($AG$2:AG327),$AG$2:$AG$1001,0),0), INDEX($AN$1004:$BO$1004,1,MATCH(COLUMNS($AN$1006:AT1006),$AN$1006:$BO$1006,0)))),"Fix")))</f>
        <v>0</v>
      </c>
      <c r="I327" s="4">
        <f>IF(OR(INDEX($AH$2:$AH$1001,MATCH(ROWS($AG$2:AG327),$AG$2:$AG$1001,0),1)&gt;=100000,INDEX($AN$1005:$BO$1005,1,MATCH(COLUMNS($AN$1006:AU1006),$AN$1006:$BO$1006,0))&gt;=100000), " ",IF(INDEX($AN$2:$BO$1001,MATCH(ROWS($AG$2:AG327),$AG$2:$AG$1001,0),MATCH(COLUMNS($AN$1006:AU1006),$AN$1006:$BO$1006,0)), HYPERLINK("#",""), HYPERLINK(CONCATENATE("#Metadata!", ADDRESS(INDEX($AI$2:$AI$1001,MATCH(ROWS($AG$2:AG327),$AG$2:$AG$1001,0),0), INDEX($AN$1004:$BO$1004,1,MATCH(COLUMNS($AN$1006:AU1006),$AN$1006:$BO$1006,0)))),"Fix")))</f>
        <v>0</v>
      </c>
      <c r="J327" s="4">
        <f>IF(OR(INDEX($AH$2:$AH$1001,MATCH(ROWS($AG$2:AG327),$AG$2:$AG$1001,0),1)&gt;=100000,INDEX($AN$1005:$BO$1005,1,MATCH(COLUMNS($AN$1006:AV1006),$AN$1006:$BO$1006,0))&gt;=100000), " ",IF(INDEX($AN$2:$BO$1001,MATCH(ROWS($AG$2:AG327),$AG$2:$AG$1001,0),MATCH(COLUMNS($AN$1006:AV1006),$AN$1006:$BO$1006,0)), HYPERLINK("#",""), HYPERLINK(CONCATENATE("#Metadata!", ADDRESS(INDEX($AI$2:$AI$1001,MATCH(ROWS($AG$2:AG327),$AG$2:$AG$1001,0),0), INDEX($AN$1004:$BO$1004,1,MATCH(COLUMNS($AN$1006:AV1006),$AN$1006:$BO$1006,0)))),"Fix")))</f>
        <v>0</v>
      </c>
      <c r="K327" s="4">
        <f>IF(OR(INDEX($AH$2:$AH$1001,MATCH(ROWS($AG$2:AG327),$AG$2:$AG$1001,0),1)&gt;=100000,INDEX($AN$1005:$BO$1005,1,MATCH(COLUMNS($AN$1006:AW1006),$AN$1006:$BO$1006,0))&gt;=100000), " ",IF(INDEX($AN$2:$BO$1001,MATCH(ROWS($AG$2:AG327),$AG$2:$AG$1001,0),MATCH(COLUMNS($AN$1006:AW1006),$AN$1006:$BO$1006,0)), HYPERLINK("#",""), HYPERLINK(CONCATENATE("#Metadata!", ADDRESS(INDEX($AI$2:$AI$1001,MATCH(ROWS($AG$2:AG327),$AG$2:$AG$1001,0),0), INDEX($AN$1004:$BO$1004,1,MATCH(COLUMNS($AN$1006:AW1006),$AN$1006:$BO$1006,0)))),"Fix")))</f>
        <v>0</v>
      </c>
      <c r="L327" s="4">
        <f>IF(OR(INDEX($AH$2:$AH$1001,MATCH(ROWS($AG$2:AG327),$AG$2:$AG$1001,0),1)&gt;=100000,INDEX($AN$1005:$BO$1005,1,MATCH(COLUMNS($AN$1006:AX1006),$AN$1006:$BO$1006,0))&gt;=100000), " ",IF(INDEX($AN$2:$BO$1001,MATCH(ROWS($AG$2:AG327),$AG$2:$AG$1001,0),MATCH(COLUMNS($AN$1006:AX1006),$AN$1006:$BO$1006,0)), HYPERLINK("#",""), HYPERLINK(CONCATENATE("#Metadata!", ADDRESS(INDEX($AI$2:$AI$1001,MATCH(ROWS($AG$2:AG327),$AG$2:$AG$1001,0),0), INDEX($AN$1004:$BO$1004,1,MATCH(COLUMNS($AN$1006:AX1006),$AN$1006:$BO$1006,0)))),"Fix")))</f>
        <v>0</v>
      </c>
      <c r="M327" s="4">
        <f>IF(OR(INDEX($AH$2:$AH$1001,MATCH(ROWS($AG$2:AG327),$AG$2:$AG$1001,0),1)&gt;=100000,INDEX($AN$1005:$BO$1005,1,MATCH(COLUMNS($AN$1006:AY1006),$AN$1006:$BO$1006,0))&gt;=100000), " ",IF(INDEX($AN$2:$BO$1001,MATCH(ROWS($AG$2:AG327),$AG$2:$AG$1001,0),MATCH(COLUMNS($AN$1006:AY1006),$AN$1006:$BO$1006,0)), HYPERLINK("#",""), HYPERLINK(CONCATENATE("#Metadata!", ADDRESS(INDEX($AI$2:$AI$1001,MATCH(ROWS($AG$2:AG327),$AG$2:$AG$1001,0),0), INDEX($AN$1004:$BO$1004,1,MATCH(COLUMNS($AN$1006:AY1006),$AN$1006:$BO$1006,0)))),"Fix")))</f>
        <v>0</v>
      </c>
      <c r="N327" s="4">
        <f>IF(OR(INDEX($AH$2:$AH$1001,MATCH(ROWS($AG$2:AG327),$AG$2:$AG$1001,0),1)&gt;=100000,INDEX($AN$1005:$BO$1005,1,MATCH(COLUMNS($AN$1006:AZ1006),$AN$1006:$BO$1006,0))&gt;=100000), " ",IF(INDEX($AN$2:$BO$1001,MATCH(ROWS($AG$2:AG327),$AG$2:$AG$1001,0),MATCH(COLUMNS($AN$1006:AZ1006),$AN$1006:$BO$1006,0)), HYPERLINK("#",""), HYPERLINK(CONCATENATE("#Metadata!", ADDRESS(INDEX($AI$2:$AI$1001,MATCH(ROWS($AG$2:AG327),$AG$2:$AG$1001,0),0), INDEX($AN$1004:$BO$1004,1,MATCH(COLUMNS($AN$1006:AZ1006),$AN$1006:$BO$1006,0)))),"Fix")))</f>
        <v>0</v>
      </c>
      <c r="O327" s="4">
        <f>IF(OR(INDEX($AH$2:$AH$1001,MATCH(ROWS($AG$2:AG327),$AG$2:$AG$1001,0),1)&gt;=100000,INDEX($AN$1005:$BO$1005,1,MATCH(COLUMNS($AN$1006:BA1006),$AN$1006:$BO$1006,0))&gt;=100000), " ",IF(INDEX($AN$2:$BO$1001,MATCH(ROWS($AG$2:AG327),$AG$2:$AG$1001,0),MATCH(COLUMNS($AN$1006:BA1006),$AN$1006:$BO$1006,0)), HYPERLINK("#",""), HYPERLINK(CONCATENATE("#Metadata!", ADDRESS(INDEX($AI$2:$AI$1001,MATCH(ROWS($AG$2:AG327),$AG$2:$AG$1001,0),0), INDEX($AN$1004:$BO$1004,1,MATCH(COLUMNS($AN$1006:BA1006),$AN$1006:$BO$1006,0)))),"Fix")))</f>
        <v>0</v>
      </c>
      <c r="P327" s="4">
        <f>IF(OR(INDEX($AH$2:$AH$1001,MATCH(ROWS($AG$2:AG327),$AG$2:$AG$1001,0),1)&gt;=100000,INDEX($AN$1005:$BO$1005,1,MATCH(COLUMNS($AN$1006:BB1006),$AN$1006:$BO$1006,0))&gt;=100000), " ",IF(INDEX($AN$2:$BO$1001,MATCH(ROWS($AG$2:AG327),$AG$2:$AG$1001,0),MATCH(COLUMNS($AN$1006:BB1006),$AN$1006:$BO$1006,0)), HYPERLINK("#",""), HYPERLINK(CONCATENATE("#Metadata!", ADDRESS(INDEX($AI$2:$AI$1001,MATCH(ROWS($AG$2:AG327),$AG$2:$AG$1001,0),0), INDEX($AN$1004:$BO$1004,1,MATCH(COLUMNS($AN$1006:BB1006),$AN$1006:$BO$1006,0)))),"Fix")))</f>
        <v>0</v>
      </c>
      <c r="Q327" s="4">
        <f>IF(OR(INDEX($AH$2:$AH$1001,MATCH(ROWS($AG$2:AG327),$AG$2:$AG$1001,0),1)&gt;=100000,INDEX($AN$1005:$BO$1005,1,MATCH(COLUMNS($AN$1006:BC1006),$AN$1006:$BO$1006,0))&gt;=100000), " ",IF(INDEX($AN$2:$BO$1001,MATCH(ROWS($AG$2:AG327),$AG$2:$AG$1001,0),MATCH(COLUMNS($AN$1006:BC1006),$AN$1006:$BO$1006,0)), HYPERLINK("#",""), HYPERLINK(CONCATENATE("#Metadata!", ADDRESS(INDEX($AI$2:$AI$1001,MATCH(ROWS($AG$2:AG327),$AG$2:$AG$1001,0),0), INDEX($AN$1004:$BO$1004,1,MATCH(COLUMNS($AN$1006:BC1006),$AN$1006:$BO$1006,0)))),"Fix")))</f>
        <v>0</v>
      </c>
      <c r="R327" s="4">
        <f>IF(OR(INDEX($AH$2:$AH$1001,MATCH(ROWS($AG$2:AG327),$AG$2:$AG$1001,0),1)&gt;=100000,INDEX($AN$1005:$BO$1005,1,MATCH(COLUMNS($AN$1006:BD1006),$AN$1006:$BO$1006,0))&gt;=100000), " ",IF(INDEX($AN$2:$BO$1001,MATCH(ROWS($AG$2:AG327),$AG$2:$AG$1001,0),MATCH(COLUMNS($AN$1006:BD1006),$AN$1006:$BO$1006,0)), HYPERLINK("#",""), HYPERLINK(CONCATENATE("#Metadata!", ADDRESS(INDEX($AI$2:$AI$1001,MATCH(ROWS($AG$2:AG327),$AG$2:$AG$1001,0),0), INDEX($AN$1004:$BO$1004,1,MATCH(COLUMNS($AN$1006:BD1006),$AN$1006:$BO$1006,0)))),"Fix")))</f>
        <v>0</v>
      </c>
      <c r="S327" s="4">
        <f>IF(OR(INDEX($AH$2:$AH$1001,MATCH(ROWS($AG$2:AG327),$AG$2:$AG$1001,0),1)&gt;=100000,INDEX($AN$1005:$BO$1005,1,MATCH(COLUMNS($AN$1006:BE1006),$AN$1006:$BO$1006,0))&gt;=100000), " ",IF(INDEX($AN$2:$BO$1001,MATCH(ROWS($AG$2:AG327),$AG$2:$AG$1001,0),MATCH(COLUMNS($AN$1006:BE1006),$AN$1006:$BO$1006,0)), HYPERLINK("#",""), HYPERLINK(CONCATENATE("#Metadata!", ADDRESS(INDEX($AI$2:$AI$1001,MATCH(ROWS($AG$2:AG327),$AG$2:$AG$1001,0),0), INDEX($AN$1004:$BO$1004,1,MATCH(COLUMNS($AN$1006:BE1006),$AN$1006:$BO$1006,0)))),"Fix")))</f>
        <v>0</v>
      </c>
      <c r="T327" s="4">
        <f>IF(OR(INDEX($AH$2:$AH$1001,MATCH(ROWS($AG$2:AG327),$AG$2:$AG$1001,0),1)&gt;=100000,INDEX($AN$1005:$BO$1005,1,MATCH(COLUMNS($AN$1006:BF1006),$AN$1006:$BO$1006,0))&gt;=100000), " ",IF(INDEX($AN$2:$BO$1001,MATCH(ROWS($AG$2:AG327),$AG$2:$AG$1001,0),MATCH(COLUMNS($AN$1006:BF1006),$AN$1006:$BO$1006,0)), HYPERLINK("#",""), HYPERLINK(CONCATENATE("#Metadata!", ADDRESS(INDEX($AI$2:$AI$1001,MATCH(ROWS($AG$2:AG327),$AG$2:$AG$1001,0),0), INDEX($AN$1004:$BO$1004,1,MATCH(COLUMNS($AN$1006:BF1006),$AN$1006:$BO$1006,0)))),"Fix")))</f>
        <v>0</v>
      </c>
      <c r="U327" s="4">
        <f>IF(OR(INDEX($AH$2:$AH$1001,MATCH(ROWS($AG$2:AG327),$AG$2:$AG$1001,0),1)&gt;=100000,INDEX($AN$1005:$BO$1005,1,MATCH(COLUMNS($AN$1006:BG1006),$AN$1006:$BO$1006,0))&gt;=100000), " ",IF(INDEX($AN$2:$BO$1001,MATCH(ROWS($AG$2:AG327),$AG$2:$AG$1001,0),MATCH(COLUMNS($AN$1006:BG1006),$AN$1006:$BO$1006,0)), HYPERLINK("#",""), HYPERLINK(CONCATENATE("#Metadata!", ADDRESS(INDEX($AI$2:$AI$1001,MATCH(ROWS($AG$2:AG327),$AG$2:$AG$1001,0),0), INDEX($AN$1004:$BO$1004,1,MATCH(COLUMNS($AN$1006:BG1006),$AN$1006:$BO$1006,0)))),"Fix")))</f>
        <v>0</v>
      </c>
      <c r="V327" s="4">
        <f>IF(OR(INDEX($AH$2:$AH$1001,MATCH(ROWS($AG$2:AG327),$AG$2:$AG$1001,0),1)&gt;=100000,INDEX($AN$1005:$BO$1005,1,MATCH(COLUMNS($AN$1006:BH1006),$AN$1006:$BO$1006,0))&gt;=100000), " ",IF(INDEX($AN$2:$BO$1001,MATCH(ROWS($AG$2:AG327),$AG$2:$AG$1001,0),MATCH(COLUMNS($AN$1006:BH1006),$AN$1006:$BO$1006,0)), HYPERLINK("#",""), HYPERLINK(CONCATENATE("#Metadata!", ADDRESS(INDEX($AI$2:$AI$1001,MATCH(ROWS($AG$2:AG327),$AG$2:$AG$1001,0),0), INDEX($AN$1004:$BO$1004,1,MATCH(COLUMNS($AN$1006:BH1006),$AN$1006:$BO$1006,0)))),"Fix")))</f>
        <v>0</v>
      </c>
      <c r="W327" s="4">
        <f>IF(OR(INDEX($AH$2:$AH$1001,MATCH(ROWS($AG$2:AG327),$AG$2:$AG$1001,0),1)&gt;=100000,INDEX($AN$1005:$BO$1005,1,MATCH(COLUMNS($AN$1006:BI1006),$AN$1006:$BO$1006,0))&gt;=100000), " ",IF(INDEX($AN$2:$BO$1001,MATCH(ROWS($AG$2:AG327),$AG$2:$AG$1001,0),MATCH(COLUMNS($AN$1006:BI1006),$AN$1006:$BO$1006,0)), HYPERLINK("#",""), HYPERLINK(CONCATENATE("#Metadata!", ADDRESS(INDEX($AI$2:$AI$1001,MATCH(ROWS($AG$2:AG327),$AG$2:$AG$1001,0),0), INDEX($AN$1004:$BO$1004,1,MATCH(COLUMNS($AN$1006:BI1006),$AN$1006:$BO$1006,0)))),"Fix")))</f>
        <v>0</v>
      </c>
      <c r="X327" s="4">
        <f>IF(OR(INDEX($AH$2:$AH$1001,MATCH(ROWS($AG$2:AG327),$AG$2:$AG$1001,0),1)&gt;=100000,INDEX($AN$1005:$BO$1005,1,MATCH(COLUMNS($AN$1006:BJ1006),$AN$1006:$BO$1006,0))&gt;=100000), " ",IF(INDEX($AN$2:$BO$1001,MATCH(ROWS($AG$2:AG327),$AG$2:$AG$1001,0),MATCH(COLUMNS($AN$1006:BJ1006),$AN$1006:$BO$1006,0)), HYPERLINK("#",""), HYPERLINK(CONCATENATE("#Metadata!", ADDRESS(INDEX($AI$2:$AI$1001,MATCH(ROWS($AG$2:AG327),$AG$2:$AG$1001,0),0), INDEX($AN$1004:$BO$1004,1,MATCH(COLUMNS($AN$1006:BJ1006),$AN$1006:$BO$1006,0)))),"Fix")))</f>
        <v>0</v>
      </c>
      <c r="Y327" s="4">
        <f>IF(OR(INDEX($AH$2:$AH$1001,MATCH(ROWS($AG$2:AG327),$AG$2:$AG$1001,0),1)&gt;=100000,INDEX($AN$1005:$BO$1005,1,MATCH(COLUMNS($AN$1006:BK1006),$AN$1006:$BO$1006,0))&gt;=100000), " ",IF(INDEX($AN$2:$BO$1001,MATCH(ROWS($AG$2:AG327),$AG$2:$AG$1001,0),MATCH(COLUMNS($AN$1006:BK1006),$AN$1006:$BO$1006,0)), HYPERLINK("#",""), HYPERLINK(CONCATENATE("#Metadata!", ADDRESS(INDEX($AI$2:$AI$1001,MATCH(ROWS($AG$2:AG327),$AG$2:$AG$1001,0),0), INDEX($AN$1004:$BO$1004,1,MATCH(COLUMNS($AN$1006:BK1006),$AN$1006:$BO$1006,0)))),"Fix")))</f>
        <v>0</v>
      </c>
      <c r="Z327" s="4">
        <f>IF(OR(INDEX($AH$2:$AH$1001,MATCH(ROWS($AG$2:AG327),$AG$2:$AG$1001,0),1)&gt;=100000,INDEX($AN$1005:$BO$1005,1,MATCH(COLUMNS($AN$1006:BL1006),$AN$1006:$BO$1006,0))&gt;=100000), " ",IF(INDEX($AN$2:$BO$1001,MATCH(ROWS($AG$2:AG327),$AG$2:$AG$1001,0),MATCH(COLUMNS($AN$1006:BL1006),$AN$1006:$BO$1006,0)), HYPERLINK("#",""), HYPERLINK(CONCATENATE("#Metadata!", ADDRESS(INDEX($AI$2:$AI$1001,MATCH(ROWS($AG$2:AG327),$AG$2:$AG$1001,0),0), INDEX($AN$1004:$BO$1004,1,MATCH(COLUMNS($AN$1006:BL1006),$AN$1006:$BO$1006,0)))),"Fix")))</f>
        <v>0</v>
      </c>
      <c r="AA327" s="4">
        <f>IF(OR(INDEX($AH$2:$AH$1001,MATCH(ROWS($AG$2:AG327),$AG$2:$AG$1001,0),1)&gt;=100000,INDEX($AN$1005:$BO$1005,1,MATCH(COLUMNS($AN$1006:BM1006),$AN$1006:$BO$1006,0))&gt;=100000), " ",IF(INDEX($AN$2:$BO$1001,MATCH(ROWS($AG$2:AG327),$AG$2:$AG$1001,0),MATCH(COLUMNS($AN$1006:BM1006),$AN$1006:$BO$1006,0)), HYPERLINK("#",""), HYPERLINK(CONCATENATE("#Metadata!", ADDRESS(INDEX($AI$2:$AI$1001,MATCH(ROWS($AG$2:AG327),$AG$2:$AG$1001,0),0), INDEX($AN$1004:$BO$1004,1,MATCH(COLUMNS($AN$1006:BM1006),$AN$1006:$BO$1006,0)))),"Fix")))</f>
        <v>0</v>
      </c>
      <c r="AB327" s="4">
        <f>IF(OR(INDEX($AH$2:$AH$1001,MATCH(ROWS($AG$2:AG327),$AG$2:$AG$1001,0),1)&gt;=100000,INDEX($AN$1005:$BO$1005,1,MATCH(COLUMNS($AN$1006:BN1006),$AN$1006:$BO$1006,0))&gt;=100000), " ",IF(INDEX($AN$2:$BO$1001,MATCH(ROWS($AG$2:AG327),$AG$2:$AG$1001,0),MATCH(COLUMNS($AN$1006:BN1006),$AN$1006:$BO$1006,0)), HYPERLINK("#",""), HYPERLINK(CONCATENATE("#Metadata!", ADDRESS(INDEX($AI$2:$AI$1001,MATCH(ROWS($AG$2:AG327),$AG$2:$AG$1001,0),0), INDEX($AN$1004:$BO$1004,1,MATCH(COLUMNS($AN$1006:BN1006),$AN$1006:$BO$1006,0)))),"Fix")))</f>
        <v>0</v>
      </c>
      <c r="AC327" s="4">
        <f>IF(OR(INDEX($AH$2:$AH$1001,MATCH(ROWS($AG$2:AG327),$AG$2:$AG$1001,0),1)&gt;=100000,INDEX($AN$1005:$BO$1005,1,MATCH(COLUMNS($AN$1006:BO1006),$AN$1006:$BO$1006,0))&gt;=100000), " ",IF(INDEX($AN$2:$BO$1001,MATCH(ROWS($AG$2:AG327),$AG$2:$AG$1001,0),MATCH(COLUMNS($AN$1006:BO1006),$AN$1006:$BO$1006,0)), HYPERLINK("#",""), HYPERLINK(CONCATENATE("#Metadata!", ADDRESS(INDEX($AI$2:$AI$1001,MATCH(ROWS($AG$2:AG327),$AG$2:$AG$1001,0),0), INDEX($AN$1004:$BO$1004,1,MATCH(COLUMNS($AN$1006:BO1006),$AN$1006:$BO$1006,0)))),"Fix")))</f>
        <v>0</v>
      </c>
      <c r="AG327">
        <v>0</v>
      </c>
      <c r="AH327">
        <v>0</v>
      </c>
      <c r="AI327">
        <v>0</v>
      </c>
      <c r="AJ327">
        <f>IF(AK327,TRUE,AND(AN327:BO327))</f>
        <v>0</v>
      </c>
      <c r="AK327">
        <f>COUNTBLANK(Metadata!B327:AC327)=COLUMNS(Metadata!B327:AC327)</f>
        <v>0</v>
      </c>
      <c r="AL327">
        <v>0</v>
      </c>
      <c r="AN327">
        <f>AND(IF(Metadata!B327="",FALSE,TRUE),COUNTIF(Metadata!B:B, Metadata!B327) = 1,NOT(ISERROR(SUMPRODUCT(SEARCH(MID(Metadata!B327,ROW(INDIRECT("1:"&amp;LEN(Metadata!B327))), 1),"0123456789abcdefghijklmnopqrstuvwxyzABCDEFGHIJKLMNOPQRSTUVWXYZ.")))))</f>
        <v>0</v>
      </c>
      <c r="AO327">
        <f>IF(Metadata!C327="",FALSE,TRUE)</f>
        <v>0</v>
      </c>
      <c r="AP327">
        <f>IF(Metadata!D327="",FALSE,TRUE)</f>
        <v>0</v>
      </c>
      <c r="AQ327">
        <f>OR(AND(IF(Metadata!E327="",FALSE,TRUE),OR(exact(Metadata!E327,"not collected"),exact(Metadata!E327,"not provided"),exact(Metadata!E327,"restricted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R327">
        <f>IF(Metadata!F327="",FALSE,TRUE)</f>
        <v>0</v>
      </c>
      <c r="AS327">
        <f>OR(AND(IF(Metadata!G327="",FALSE,TRUE),OR(exact(Metadata!G327,"not collected"),exact(Metadata!G327,"not provided"))),AND(IF(Metadata!G327="",FALSE,TRUE),OR(exact(Metadata!G327,"TRUE"),exact(Metadata!G327,"FALSE"))))</f>
        <v>0</v>
      </c>
      <c r="AT327">
        <f>OR(AND(IF(Metadata!H327="",FALSE,TRUE),OR(exact(Metadata!H327,"not collected"),exact(Metadata!H327,"not provided"),exact(Metadata!H327,"restricted access"))),AND(IF(Metadata!H327="",FALSE,ISNUMBER(VALUE(Metadata!H327))),Metadata!H327&gt;=-413.0))</f>
        <v>0</v>
      </c>
      <c r="AU327">
        <f>AND(IF(Metadata!I327="",FALSE,TRUE),exact(Metadata!I327,"meters"))</f>
        <v>0</v>
      </c>
      <c r="AV327">
        <f>AND(IF(Metadata!J327="",FALSE,TRUE),OR(exact(Metadata!J327,"Host-associated"),exact(Metadata!J327,"Free-living")))</f>
        <v>0</v>
      </c>
      <c r="AW327">
        <f>AND(IF(Metadata!K327="",FALSE,TRUE),OR(exact(Metadata!K327,"Animal"),exact(Metadata!K327,"Fungus"),exact(Metadata!K327,"Plant"),exact(Metadata!K327,"Saline"),exact(Metadata!K327,"Non-saline")))</f>
        <v>0</v>
      </c>
      <c r="AX327">
        <f>AND(IF(Metadata!L327="",FALSE,TRUE),OR(exact(Metadata!L327,"Plant secretion"),exact(Metadata!L327,"Plant rhizosphere"),exact(Metadata!L327,"Plant surface"),exact(Metadata!L327,"Plant corpus"),exact(Metadata!L327,"Fungus surface"),exact(Metadata!L327,"Fungus corpus"),exact(Metadata!L327,"Animal surface"),exact(Metadata!L327,"Animal proximal gut"),exact(Metadata!L327,"Animal corpus"),exact(Metadata!L327,"Animal distal gut"),exact(Metadata!L327,"Animal secretion"),exact(Metadata!L327,"Sub-surface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Y327">
        <f>IF(Metadata!M327="",FALSE,TRUE)</f>
        <v>0</v>
      </c>
      <c r="AZ327">
        <f>IF(Metadata!N327="",FALSE,TRUE)</f>
        <v>0</v>
      </c>
      <c r="BA327">
        <f>IF(Metadata!O327="",FALSE,TRUE)</f>
        <v>0</v>
      </c>
      <c r="BB327">
        <f>OR(AND(IF(Metadata!P327="",FALSE,TRUE),OR(exact(Metadata!P327,"not collected"),exact(Metadata!P327,"not provided"),exact(Metadata!P327,"restricted access"))),AND(IF(Metadata!P327="",FALSE,TRUE),OR(exact(Metadata!P327,"air"),exact(Metadata!P327,"built environment"),exact(Metadata!P327,"host-associated"),exact(Metadata!P327,"human-associated"),exact(Metadata!P327,"human-skin"),exact(Metadata!P327,"human-oral"),exact(Metadata!P327,"human-gut"),exact(Metadata!P327,"human-vaginal"),exact(Metadata!P327,"microbial mat/biofilm"),exact(Metadata!P327,"misc environment"),exact(Metadata!P327,"plant-associated"),exact(Metadata!P327,"sediment"),exact(Metadata!P327,"soil"),exact(Metadata!P327,"wastewater/sludge"),exact(Metadata!P327,"water"))))</f>
        <v>0</v>
      </c>
      <c r="BC327">
        <f>IF(Metadata!Q327="",FALSE,TRUE)</f>
        <v>0</v>
      </c>
      <c r="BD327">
        <f>IF(Metadata!R327="",FALSE,TRUE)</f>
        <v>0</v>
      </c>
      <c r="BE327">
        <f>OR(AND(IF(Metadata!S327="",FALSE,TRUE),OR(exact(Metadata!S327,"not collected"),exact(Metadata!S327,"not provided"),exact(Metadata!S327,"restricted access"))),AND(IF(Metadata!S327="",FALSE,ISNUMBER(VALUE(Metadata!S327))),Metadata!S327&gt;=-90.00,Metadata!S327&lt;=90.00))</f>
        <v>0</v>
      </c>
      <c r="BF327">
        <f>AND(IF(Metadata!T327="",FALSE,TRUE),exact(Metadata!T327,"Decimal degrees"))</f>
        <v>0</v>
      </c>
      <c r="BG327">
        <f>OR(AND(IF(Metadata!U327="",FALSE,TRUE),OR(exact(Metadata!U327,"not collected"),exact(Metadata!U327,"not provided"),exact(Metadata!U327,"restricted access"))),AND(IF(Metadata!U327="",FALSE,ISNUMBER(VALUE(Metadata!U327))),Metadata!U327&gt;=-180.00,Metadata!U327&lt;=180.00))</f>
        <v>0</v>
      </c>
      <c r="BH327">
        <f>AND(IF(Metadata!V327="",FALSE,TRUE),exact(Metadata!V327,"Decimal degrees"))</f>
        <v>0</v>
      </c>
      <c r="BI327">
        <f>IF(Metadata!W327="",FALSE,TRUE)</f>
        <v>0</v>
      </c>
      <c r="BJ327">
        <f>OR(AND(IF(Metadata!X327="",FALSE,TRUE),OR(exact(Metadata!X327,"not collected"),exact(Metadata!X327,"not provided"),exact(Metadata!X327,"restricted access"))),AND(IF(Metadata!X327="",FALSE,TRUE),OR(exact(Metadata!X327,"TRUE"),exact(Metadata!X327,"FALSE"))))</f>
        <v>0</v>
      </c>
      <c r="BK327">
        <f>AND(IF(Metadata!Y327="",FALSE,TRUE),exact(Metadata!Y327,"other"))</f>
        <v>0</v>
      </c>
      <c r="BL327">
        <f>IF(Metadata!Z327="",FALSE,TRUE)</f>
        <v>0</v>
      </c>
      <c r="BM327">
        <f>OR(AND(IF(Metadata!AA327="",FALSE,TRUE),OR(exact(Metadata!AA327,"not collected"),exact(Metadata!AA327,"not provided"))),AND(IF(Metadata!AA327="",FALSE,IF(ISERROR(INT(Metadata!AA327)),FALSE,INT(Metadata!AA327)=Metadata!AA327)),Metadata!AA327&gt;0))</f>
        <v>0</v>
      </c>
      <c r="BN327">
        <f>AND(IF(Metadata!AB327="",FALSE,TRUE),exact(Metadata!AB327,"Not applicable"))</f>
        <v>0</v>
      </c>
      <c r="BO327">
        <f>IF(Metadata!AC327="",FALSE,TRUE)</f>
        <v>0</v>
      </c>
    </row>
    <row r="328" spans="1:67">
      <c r="A328" s="5">
        <f>IF(B328=" "," ",HYPERLINK(CONCATENATE("#metadata!",ADDRESS(INDEX($AI$2:$AI$1001,MATCH(ROWS($AG$2:AG328),$AG$2:$AG$1001,0),0),1)),INDEX($AL$2:$AL$1001,MATCH(ROWS($AG$2:AG328),$AG$2:$AG$1001,0),0)))</f>
        <v>0</v>
      </c>
      <c r="B328" s="4">
        <f>IF(OR(INDEX($AH$2:$AH$1001,MATCH(ROWS($AG$2:AG328),$AG$2:$AG$1001,0),1)&gt;=100000,INDEX($AN$1005:$BO$1005,1,MATCH(COLUMNS($AN$1006:AN1006),$AN$1006:$BO$1006,0))&gt;=100000), " ",IF(INDEX($AN$2:$BO$1001,MATCH(ROWS($AG$2:AG328),$AG$2:$AG$1001,0),MATCH(COLUMNS($AN$1006:AN1006),$AN$1006:$BO$1006,0)), HYPERLINK("#",""), HYPERLINK(CONCATENATE("#Metadata!", ADDRESS(INDEX($AI$2:$AI$1001,MATCH(ROWS($AG$2:AG328),$AG$2:$AG$1001,0),0), INDEX($AN$1004:$BO$1004,1,MATCH(COLUMNS($AN$1006:AN1006),$AN$1006:$BO$1006,0)))),"Fix")))</f>
        <v>0</v>
      </c>
      <c r="C328" s="4">
        <f>IF(OR(INDEX($AH$2:$AH$1001,MATCH(ROWS($AG$2:AG328),$AG$2:$AG$1001,0),1)&gt;=100000,INDEX($AN$1005:$BO$1005,1,MATCH(COLUMNS($AN$1006:AO1006),$AN$1006:$BO$1006,0))&gt;=100000), " ",IF(INDEX($AN$2:$BO$1001,MATCH(ROWS($AG$2:AG328),$AG$2:$AG$1001,0),MATCH(COLUMNS($AN$1006:AO1006),$AN$1006:$BO$1006,0)), HYPERLINK("#",""), HYPERLINK(CONCATENATE("#Metadata!", ADDRESS(INDEX($AI$2:$AI$1001,MATCH(ROWS($AG$2:AG328),$AG$2:$AG$1001,0),0), INDEX($AN$1004:$BO$1004,1,MATCH(COLUMNS($AN$1006:AO1006),$AN$1006:$BO$1006,0)))),"Fix")))</f>
        <v>0</v>
      </c>
      <c r="D328" s="4">
        <f>IF(OR(INDEX($AH$2:$AH$1001,MATCH(ROWS($AG$2:AG328),$AG$2:$AG$1001,0),1)&gt;=100000,INDEX($AN$1005:$BO$1005,1,MATCH(COLUMNS($AN$1006:AP1006),$AN$1006:$BO$1006,0))&gt;=100000), " ",IF(INDEX($AN$2:$BO$1001,MATCH(ROWS($AG$2:AG328),$AG$2:$AG$1001,0),MATCH(COLUMNS($AN$1006:AP1006),$AN$1006:$BO$1006,0)), HYPERLINK("#",""), HYPERLINK(CONCATENATE("#Metadata!", ADDRESS(INDEX($AI$2:$AI$1001,MATCH(ROWS($AG$2:AG328),$AG$2:$AG$1001,0),0), INDEX($AN$1004:$BO$1004,1,MATCH(COLUMNS($AN$1006:AP1006),$AN$1006:$BO$1006,0)))),"Fix")))</f>
        <v>0</v>
      </c>
      <c r="E328" s="4">
        <f>IF(OR(INDEX($AH$2:$AH$1001,MATCH(ROWS($AG$2:AG328),$AG$2:$AG$1001,0),1)&gt;=100000,INDEX($AN$1005:$BO$1005,1,MATCH(COLUMNS($AN$1006:AQ1006),$AN$1006:$BO$1006,0))&gt;=100000), " ",IF(INDEX($AN$2:$BO$1001,MATCH(ROWS($AG$2:AG328),$AG$2:$AG$1001,0),MATCH(COLUMNS($AN$1006:AQ1006),$AN$1006:$BO$1006,0)), HYPERLINK("#",""), HYPERLINK(CONCATENATE("#Metadata!", ADDRESS(INDEX($AI$2:$AI$1001,MATCH(ROWS($AG$2:AG328),$AG$2:$AG$1001,0),0), INDEX($AN$1004:$BO$1004,1,MATCH(COLUMNS($AN$1006:AQ1006),$AN$1006:$BO$1006,0)))),"Fix")))</f>
        <v>0</v>
      </c>
      <c r="F328" s="4">
        <f>IF(OR(INDEX($AH$2:$AH$1001,MATCH(ROWS($AG$2:AG328),$AG$2:$AG$1001,0),1)&gt;=100000,INDEX($AN$1005:$BO$1005,1,MATCH(COLUMNS($AN$1006:AR1006),$AN$1006:$BO$1006,0))&gt;=100000), " ",IF(INDEX($AN$2:$BO$1001,MATCH(ROWS($AG$2:AG328),$AG$2:$AG$1001,0),MATCH(COLUMNS($AN$1006:AR1006),$AN$1006:$BO$1006,0)), HYPERLINK("#",""), HYPERLINK(CONCATENATE("#Metadata!", ADDRESS(INDEX($AI$2:$AI$1001,MATCH(ROWS($AG$2:AG328),$AG$2:$AG$1001,0),0), INDEX($AN$1004:$BO$1004,1,MATCH(COLUMNS($AN$1006:AR1006),$AN$1006:$BO$1006,0)))),"Fix")))</f>
        <v>0</v>
      </c>
      <c r="G328" s="4">
        <f>IF(OR(INDEX($AH$2:$AH$1001,MATCH(ROWS($AG$2:AG328),$AG$2:$AG$1001,0),1)&gt;=100000,INDEX($AN$1005:$BO$1005,1,MATCH(COLUMNS($AN$1006:AS1006),$AN$1006:$BO$1006,0))&gt;=100000), " ",IF(INDEX($AN$2:$BO$1001,MATCH(ROWS($AG$2:AG328),$AG$2:$AG$1001,0),MATCH(COLUMNS($AN$1006:AS1006),$AN$1006:$BO$1006,0)), HYPERLINK("#",""), HYPERLINK(CONCATENATE("#Metadata!", ADDRESS(INDEX($AI$2:$AI$1001,MATCH(ROWS($AG$2:AG328),$AG$2:$AG$1001,0),0), INDEX($AN$1004:$BO$1004,1,MATCH(COLUMNS($AN$1006:AS1006),$AN$1006:$BO$1006,0)))),"Fix")))</f>
        <v>0</v>
      </c>
      <c r="H328" s="4">
        <f>IF(OR(INDEX($AH$2:$AH$1001,MATCH(ROWS($AG$2:AG328),$AG$2:$AG$1001,0),1)&gt;=100000,INDEX($AN$1005:$BO$1005,1,MATCH(COLUMNS($AN$1006:AT1006),$AN$1006:$BO$1006,0))&gt;=100000), " ",IF(INDEX($AN$2:$BO$1001,MATCH(ROWS($AG$2:AG328),$AG$2:$AG$1001,0),MATCH(COLUMNS($AN$1006:AT1006),$AN$1006:$BO$1006,0)), HYPERLINK("#",""), HYPERLINK(CONCATENATE("#Metadata!", ADDRESS(INDEX($AI$2:$AI$1001,MATCH(ROWS($AG$2:AG328),$AG$2:$AG$1001,0),0), INDEX($AN$1004:$BO$1004,1,MATCH(COLUMNS($AN$1006:AT1006),$AN$1006:$BO$1006,0)))),"Fix")))</f>
        <v>0</v>
      </c>
      <c r="I328" s="4">
        <f>IF(OR(INDEX($AH$2:$AH$1001,MATCH(ROWS($AG$2:AG328),$AG$2:$AG$1001,0),1)&gt;=100000,INDEX($AN$1005:$BO$1005,1,MATCH(COLUMNS($AN$1006:AU1006),$AN$1006:$BO$1006,0))&gt;=100000), " ",IF(INDEX($AN$2:$BO$1001,MATCH(ROWS($AG$2:AG328),$AG$2:$AG$1001,0),MATCH(COLUMNS($AN$1006:AU1006),$AN$1006:$BO$1006,0)), HYPERLINK("#",""), HYPERLINK(CONCATENATE("#Metadata!", ADDRESS(INDEX($AI$2:$AI$1001,MATCH(ROWS($AG$2:AG328),$AG$2:$AG$1001,0),0), INDEX($AN$1004:$BO$1004,1,MATCH(COLUMNS($AN$1006:AU1006),$AN$1006:$BO$1006,0)))),"Fix")))</f>
        <v>0</v>
      </c>
      <c r="J328" s="4">
        <f>IF(OR(INDEX($AH$2:$AH$1001,MATCH(ROWS($AG$2:AG328),$AG$2:$AG$1001,0),1)&gt;=100000,INDEX($AN$1005:$BO$1005,1,MATCH(COLUMNS($AN$1006:AV1006),$AN$1006:$BO$1006,0))&gt;=100000), " ",IF(INDEX($AN$2:$BO$1001,MATCH(ROWS($AG$2:AG328),$AG$2:$AG$1001,0),MATCH(COLUMNS($AN$1006:AV1006),$AN$1006:$BO$1006,0)), HYPERLINK("#",""), HYPERLINK(CONCATENATE("#Metadata!", ADDRESS(INDEX($AI$2:$AI$1001,MATCH(ROWS($AG$2:AG328),$AG$2:$AG$1001,0),0), INDEX($AN$1004:$BO$1004,1,MATCH(COLUMNS($AN$1006:AV1006),$AN$1006:$BO$1006,0)))),"Fix")))</f>
        <v>0</v>
      </c>
      <c r="K328" s="4">
        <f>IF(OR(INDEX($AH$2:$AH$1001,MATCH(ROWS($AG$2:AG328),$AG$2:$AG$1001,0),1)&gt;=100000,INDEX($AN$1005:$BO$1005,1,MATCH(COLUMNS($AN$1006:AW1006),$AN$1006:$BO$1006,0))&gt;=100000), " ",IF(INDEX($AN$2:$BO$1001,MATCH(ROWS($AG$2:AG328),$AG$2:$AG$1001,0),MATCH(COLUMNS($AN$1006:AW1006),$AN$1006:$BO$1006,0)), HYPERLINK("#",""), HYPERLINK(CONCATENATE("#Metadata!", ADDRESS(INDEX($AI$2:$AI$1001,MATCH(ROWS($AG$2:AG328),$AG$2:$AG$1001,0),0), INDEX($AN$1004:$BO$1004,1,MATCH(COLUMNS($AN$1006:AW1006),$AN$1006:$BO$1006,0)))),"Fix")))</f>
        <v>0</v>
      </c>
      <c r="L328" s="4">
        <f>IF(OR(INDEX($AH$2:$AH$1001,MATCH(ROWS($AG$2:AG328),$AG$2:$AG$1001,0),1)&gt;=100000,INDEX($AN$1005:$BO$1005,1,MATCH(COLUMNS($AN$1006:AX1006),$AN$1006:$BO$1006,0))&gt;=100000), " ",IF(INDEX($AN$2:$BO$1001,MATCH(ROWS($AG$2:AG328),$AG$2:$AG$1001,0),MATCH(COLUMNS($AN$1006:AX1006),$AN$1006:$BO$1006,0)), HYPERLINK("#",""), HYPERLINK(CONCATENATE("#Metadata!", ADDRESS(INDEX($AI$2:$AI$1001,MATCH(ROWS($AG$2:AG328),$AG$2:$AG$1001,0),0), INDEX($AN$1004:$BO$1004,1,MATCH(COLUMNS($AN$1006:AX1006),$AN$1006:$BO$1006,0)))),"Fix")))</f>
        <v>0</v>
      </c>
      <c r="M328" s="4">
        <f>IF(OR(INDEX($AH$2:$AH$1001,MATCH(ROWS($AG$2:AG328),$AG$2:$AG$1001,0),1)&gt;=100000,INDEX($AN$1005:$BO$1005,1,MATCH(COLUMNS($AN$1006:AY1006),$AN$1006:$BO$1006,0))&gt;=100000), " ",IF(INDEX($AN$2:$BO$1001,MATCH(ROWS($AG$2:AG328),$AG$2:$AG$1001,0),MATCH(COLUMNS($AN$1006:AY1006),$AN$1006:$BO$1006,0)), HYPERLINK("#",""), HYPERLINK(CONCATENATE("#Metadata!", ADDRESS(INDEX($AI$2:$AI$1001,MATCH(ROWS($AG$2:AG328),$AG$2:$AG$1001,0),0), INDEX($AN$1004:$BO$1004,1,MATCH(COLUMNS($AN$1006:AY1006),$AN$1006:$BO$1006,0)))),"Fix")))</f>
        <v>0</v>
      </c>
      <c r="N328" s="4">
        <f>IF(OR(INDEX($AH$2:$AH$1001,MATCH(ROWS($AG$2:AG328),$AG$2:$AG$1001,0),1)&gt;=100000,INDEX($AN$1005:$BO$1005,1,MATCH(COLUMNS($AN$1006:AZ1006),$AN$1006:$BO$1006,0))&gt;=100000), " ",IF(INDEX($AN$2:$BO$1001,MATCH(ROWS($AG$2:AG328),$AG$2:$AG$1001,0),MATCH(COLUMNS($AN$1006:AZ1006),$AN$1006:$BO$1006,0)), HYPERLINK("#",""), HYPERLINK(CONCATENATE("#Metadata!", ADDRESS(INDEX($AI$2:$AI$1001,MATCH(ROWS($AG$2:AG328),$AG$2:$AG$1001,0),0), INDEX($AN$1004:$BO$1004,1,MATCH(COLUMNS($AN$1006:AZ1006),$AN$1006:$BO$1006,0)))),"Fix")))</f>
        <v>0</v>
      </c>
      <c r="O328" s="4">
        <f>IF(OR(INDEX($AH$2:$AH$1001,MATCH(ROWS($AG$2:AG328),$AG$2:$AG$1001,0),1)&gt;=100000,INDEX($AN$1005:$BO$1005,1,MATCH(COLUMNS($AN$1006:BA1006),$AN$1006:$BO$1006,0))&gt;=100000), " ",IF(INDEX($AN$2:$BO$1001,MATCH(ROWS($AG$2:AG328),$AG$2:$AG$1001,0),MATCH(COLUMNS($AN$1006:BA1006),$AN$1006:$BO$1006,0)), HYPERLINK("#",""), HYPERLINK(CONCATENATE("#Metadata!", ADDRESS(INDEX($AI$2:$AI$1001,MATCH(ROWS($AG$2:AG328),$AG$2:$AG$1001,0),0), INDEX($AN$1004:$BO$1004,1,MATCH(COLUMNS($AN$1006:BA1006),$AN$1006:$BO$1006,0)))),"Fix")))</f>
        <v>0</v>
      </c>
      <c r="P328" s="4">
        <f>IF(OR(INDEX($AH$2:$AH$1001,MATCH(ROWS($AG$2:AG328),$AG$2:$AG$1001,0),1)&gt;=100000,INDEX($AN$1005:$BO$1005,1,MATCH(COLUMNS($AN$1006:BB1006),$AN$1006:$BO$1006,0))&gt;=100000), " ",IF(INDEX($AN$2:$BO$1001,MATCH(ROWS($AG$2:AG328),$AG$2:$AG$1001,0),MATCH(COLUMNS($AN$1006:BB1006),$AN$1006:$BO$1006,0)), HYPERLINK("#",""), HYPERLINK(CONCATENATE("#Metadata!", ADDRESS(INDEX($AI$2:$AI$1001,MATCH(ROWS($AG$2:AG328),$AG$2:$AG$1001,0),0), INDEX($AN$1004:$BO$1004,1,MATCH(COLUMNS($AN$1006:BB1006),$AN$1006:$BO$1006,0)))),"Fix")))</f>
        <v>0</v>
      </c>
      <c r="Q328" s="4">
        <f>IF(OR(INDEX($AH$2:$AH$1001,MATCH(ROWS($AG$2:AG328),$AG$2:$AG$1001,0),1)&gt;=100000,INDEX($AN$1005:$BO$1005,1,MATCH(COLUMNS($AN$1006:BC1006),$AN$1006:$BO$1006,0))&gt;=100000), " ",IF(INDEX($AN$2:$BO$1001,MATCH(ROWS($AG$2:AG328),$AG$2:$AG$1001,0),MATCH(COLUMNS($AN$1006:BC1006),$AN$1006:$BO$1006,0)), HYPERLINK("#",""), HYPERLINK(CONCATENATE("#Metadata!", ADDRESS(INDEX($AI$2:$AI$1001,MATCH(ROWS($AG$2:AG328),$AG$2:$AG$1001,0),0), INDEX($AN$1004:$BO$1004,1,MATCH(COLUMNS($AN$1006:BC1006),$AN$1006:$BO$1006,0)))),"Fix")))</f>
        <v>0</v>
      </c>
      <c r="R328" s="4">
        <f>IF(OR(INDEX($AH$2:$AH$1001,MATCH(ROWS($AG$2:AG328),$AG$2:$AG$1001,0),1)&gt;=100000,INDEX($AN$1005:$BO$1005,1,MATCH(COLUMNS($AN$1006:BD1006),$AN$1006:$BO$1006,0))&gt;=100000), " ",IF(INDEX($AN$2:$BO$1001,MATCH(ROWS($AG$2:AG328),$AG$2:$AG$1001,0),MATCH(COLUMNS($AN$1006:BD1006),$AN$1006:$BO$1006,0)), HYPERLINK("#",""), HYPERLINK(CONCATENATE("#Metadata!", ADDRESS(INDEX($AI$2:$AI$1001,MATCH(ROWS($AG$2:AG328),$AG$2:$AG$1001,0),0), INDEX($AN$1004:$BO$1004,1,MATCH(COLUMNS($AN$1006:BD1006),$AN$1006:$BO$1006,0)))),"Fix")))</f>
        <v>0</v>
      </c>
      <c r="S328" s="4">
        <f>IF(OR(INDEX($AH$2:$AH$1001,MATCH(ROWS($AG$2:AG328),$AG$2:$AG$1001,0),1)&gt;=100000,INDEX($AN$1005:$BO$1005,1,MATCH(COLUMNS($AN$1006:BE1006),$AN$1006:$BO$1006,0))&gt;=100000), " ",IF(INDEX($AN$2:$BO$1001,MATCH(ROWS($AG$2:AG328),$AG$2:$AG$1001,0),MATCH(COLUMNS($AN$1006:BE1006),$AN$1006:$BO$1006,0)), HYPERLINK("#",""), HYPERLINK(CONCATENATE("#Metadata!", ADDRESS(INDEX($AI$2:$AI$1001,MATCH(ROWS($AG$2:AG328),$AG$2:$AG$1001,0),0), INDEX($AN$1004:$BO$1004,1,MATCH(COLUMNS($AN$1006:BE1006),$AN$1006:$BO$1006,0)))),"Fix")))</f>
        <v>0</v>
      </c>
      <c r="T328" s="4">
        <f>IF(OR(INDEX($AH$2:$AH$1001,MATCH(ROWS($AG$2:AG328),$AG$2:$AG$1001,0),1)&gt;=100000,INDEX($AN$1005:$BO$1005,1,MATCH(COLUMNS($AN$1006:BF1006),$AN$1006:$BO$1006,0))&gt;=100000), " ",IF(INDEX($AN$2:$BO$1001,MATCH(ROWS($AG$2:AG328),$AG$2:$AG$1001,0),MATCH(COLUMNS($AN$1006:BF1006),$AN$1006:$BO$1006,0)), HYPERLINK("#",""), HYPERLINK(CONCATENATE("#Metadata!", ADDRESS(INDEX($AI$2:$AI$1001,MATCH(ROWS($AG$2:AG328),$AG$2:$AG$1001,0),0), INDEX($AN$1004:$BO$1004,1,MATCH(COLUMNS($AN$1006:BF1006),$AN$1006:$BO$1006,0)))),"Fix")))</f>
        <v>0</v>
      </c>
      <c r="U328" s="4">
        <f>IF(OR(INDEX($AH$2:$AH$1001,MATCH(ROWS($AG$2:AG328),$AG$2:$AG$1001,0),1)&gt;=100000,INDEX($AN$1005:$BO$1005,1,MATCH(COLUMNS($AN$1006:BG1006),$AN$1006:$BO$1006,0))&gt;=100000), " ",IF(INDEX($AN$2:$BO$1001,MATCH(ROWS($AG$2:AG328),$AG$2:$AG$1001,0),MATCH(COLUMNS($AN$1006:BG1006),$AN$1006:$BO$1006,0)), HYPERLINK("#",""), HYPERLINK(CONCATENATE("#Metadata!", ADDRESS(INDEX($AI$2:$AI$1001,MATCH(ROWS($AG$2:AG328),$AG$2:$AG$1001,0),0), INDEX($AN$1004:$BO$1004,1,MATCH(COLUMNS($AN$1006:BG1006),$AN$1006:$BO$1006,0)))),"Fix")))</f>
        <v>0</v>
      </c>
      <c r="V328" s="4">
        <f>IF(OR(INDEX($AH$2:$AH$1001,MATCH(ROWS($AG$2:AG328),$AG$2:$AG$1001,0),1)&gt;=100000,INDEX($AN$1005:$BO$1005,1,MATCH(COLUMNS($AN$1006:BH1006),$AN$1006:$BO$1006,0))&gt;=100000), " ",IF(INDEX($AN$2:$BO$1001,MATCH(ROWS($AG$2:AG328),$AG$2:$AG$1001,0),MATCH(COLUMNS($AN$1006:BH1006),$AN$1006:$BO$1006,0)), HYPERLINK("#",""), HYPERLINK(CONCATENATE("#Metadata!", ADDRESS(INDEX($AI$2:$AI$1001,MATCH(ROWS($AG$2:AG328),$AG$2:$AG$1001,0),0), INDEX($AN$1004:$BO$1004,1,MATCH(COLUMNS($AN$1006:BH1006),$AN$1006:$BO$1006,0)))),"Fix")))</f>
        <v>0</v>
      </c>
      <c r="W328" s="4">
        <f>IF(OR(INDEX($AH$2:$AH$1001,MATCH(ROWS($AG$2:AG328),$AG$2:$AG$1001,0),1)&gt;=100000,INDEX($AN$1005:$BO$1005,1,MATCH(COLUMNS($AN$1006:BI1006),$AN$1006:$BO$1006,0))&gt;=100000), " ",IF(INDEX($AN$2:$BO$1001,MATCH(ROWS($AG$2:AG328),$AG$2:$AG$1001,0),MATCH(COLUMNS($AN$1006:BI1006),$AN$1006:$BO$1006,0)), HYPERLINK("#",""), HYPERLINK(CONCATENATE("#Metadata!", ADDRESS(INDEX($AI$2:$AI$1001,MATCH(ROWS($AG$2:AG328),$AG$2:$AG$1001,0),0), INDEX($AN$1004:$BO$1004,1,MATCH(COLUMNS($AN$1006:BI1006),$AN$1006:$BO$1006,0)))),"Fix")))</f>
        <v>0</v>
      </c>
      <c r="X328" s="4">
        <f>IF(OR(INDEX($AH$2:$AH$1001,MATCH(ROWS($AG$2:AG328),$AG$2:$AG$1001,0),1)&gt;=100000,INDEX($AN$1005:$BO$1005,1,MATCH(COLUMNS($AN$1006:BJ1006),$AN$1006:$BO$1006,0))&gt;=100000), " ",IF(INDEX($AN$2:$BO$1001,MATCH(ROWS($AG$2:AG328),$AG$2:$AG$1001,0),MATCH(COLUMNS($AN$1006:BJ1006),$AN$1006:$BO$1006,0)), HYPERLINK("#",""), HYPERLINK(CONCATENATE("#Metadata!", ADDRESS(INDEX($AI$2:$AI$1001,MATCH(ROWS($AG$2:AG328),$AG$2:$AG$1001,0),0), INDEX($AN$1004:$BO$1004,1,MATCH(COLUMNS($AN$1006:BJ1006),$AN$1006:$BO$1006,0)))),"Fix")))</f>
        <v>0</v>
      </c>
      <c r="Y328" s="4">
        <f>IF(OR(INDEX($AH$2:$AH$1001,MATCH(ROWS($AG$2:AG328),$AG$2:$AG$1001,0),1)&gt;=100000,INDEX($AN$1005:$BO$1005,1,MATCH(COLUMNS($AN$1006:BK1006),$AN$1006:$BO$1006,0))&gt;=100000), " ",IF(INDEX($AN$2:$BO$1001,MATCH(ROWS($AG$2:AG328),$AG$2:$AG$1001,0),MATCH(COLUMNS($AN$1006:BK1006),$AN$1006:$BO$1006,0)), HYPERLINK("#",""), HYPERLINK(CONCATENATE("#Metadata!", ADDRESS(INDEX($AI$2:$AI$1001,MATCH(ROWS($AG$2:AG328),$AG$2:$AG$1001,0),0), INDEX($AN$1004:$BO$1004,1,MATCH(COLUMNS($AN$1006:BK1006),$AN$1006:$BO$1006,0)))),"Fix")))</f>
        <v>0</v>
      </c>
      <c r="Z328" s="4">
        <f>IF(OR(INDEX($AH$2:$AH$1001,MATCH(ROWS($AG$2:AG328),$AG$2:$AG$1001,0),1)&gt;=100000,INDEX($AN$1005:$BO$1005,1,MATCH(COLUMNS($AN$1006:BL1006),$AN$1006:$BO$1006,0))&gt;=100000), " ",IF(INDEX($AN$2:$BO$1001,MATCH(ROWS($AG$2:AG328),$AG$2:$AG$1001,0),MATCH(COLUMNS($AN$1006:BL1006),$AN$1006:$BO$1006,0)), HYPERLINK("#",""), HYPERLINK(CONCATENATE("#Metadata!", ADDRESS(INDEX($AI$2:$AI$1001,MATCH(ROWS($AG$2:AG328),$AG$2:$AG$1001,0),0), INDEX($AN$1004:$BO$1004,1,MATCH(COLUMNS($AN$1006:BL1006),$AN$1006:$BO$1006,0)))),"Fix")))</f>
        <v>0</v>
      </c>
      <c r="AA328" s="4">
        <f>IF(OR(INDEX($AH$2:$AH$1001,MATCH(ROWS($AG$2:AG328),$AG$2:$AG$1001,0),1)&gt;=100000,INDEX($AN$1005:$BO$1005,1,MATCH(COLUMNS($AN$1006:BM1006),$AN$1006:$BO$1006,0))&gt;=100000), " ",IF(INDEX($AN$2:$BO$1001,MATCH(ROWS($AG$2:AG328),$AG$2:$AG$1001,0),MATCH(COLUMNS($AN$1006:BM1006),$AN$1006:$BO$1006,0)), HYPERLINK("#",""), HYPERLINK(CONCATENATE("#Metadata!", ADDRESS(INDEX($AI$2:$AI$1001,MATCH(ROWS($AG$2:AG328),$AG$2:$AG$1001,0),0), INDEX($AN$1004:$BO$1004,1,MATCH(COLUMNS($AN$1006:BM1006),$AN$1006:$BO$1006,0)))),"Fix")))</f>
        <v>0</v>
      </c>
      <c r="AB328" s="4">
        <f>IF(OR(INDEX($AH$2:$AH$1001,MATCH(ROWS($AG$2:AG328),$AG$2:$AG$1001,0),1)&gt;=100000,INDEX($AN$1005:$BO$1005,1,MATCH(COLUMNS($AN$1006:BN1006),$AN$1006:$BO$1006,0))&gt;=100000), " ",IF(INDEX($AN$2:$BO$1001,MATCH(ROWS($AG$2:AG328),$AG$2:$AG$1001,0),MATCH(COLUMNS($AN$1006:BN1006),$AN$1006:$BO$1006,0)), HYPERLINK("#",""), HYPERLINK(CONCATENATE("#Metadata!", ADDRESS(INDEX($AI$2:$AI$1001,MATCH(ROWS($AG$2:AG328),$AG$2:$AG$1001,0),0), INDEX($AN$1004:$BO$1004,1,MATCH(COLUMNS($AN$1006:BN1006),$AN$1006:$BO$1006,0)))),"Fix")))</f>
        <v>0</v>
      </c>
      <c r="AC328" s="4">
        <f>IF(OR(INDEX($AH$2:$AH$1001,MATCH(ROWS($AG$2:AG328),$AG$2:$AG$1001,0),1)&gt;=100000,INDEX($AN$1005:$BO$1005,1,MATCH(COLUMNS($AN$1006:BO1006),$AN$1006:$BO$1006,0))&gt;=100000), " ",IF(INDEX($AN$2:$BO$1001,MATCH(ROWS($AG$2:AG328),$AG$2:$AG$1001,0),MATCH(COLUMNS($AN$1006:BO1006),$AN$1006:$BO$1006,0)), HYPERLINK("#",""), HYPERLINK(CONCATENATE("#Metadata!", ADDRESS(INDEX($AI$2:$AI$1001,MATCH(ROWS($AG$2:AG328),$AG$2:$AG$1001,0),0), INDEX($AN$1004:$BO$1004,1,MATCH(COLUMNS($AN$1006:BO1006),$AN$1006:$BO$1006,0)))),"Fix")))</f>
        <v>0</v>
      </c>
      <c r="AG328">
        <v>0</v>
      </c>
      <c r="AH328">
        <v>0</v>
      </c>
      <c r="AI328">
        <v>0</v>
      </c>
      <c r="AJ328">
        <f>IF(AK328,TRUE,AND(AN328:BO328))</f>
        <v>0</v>
      </c>
      <c r="AK328">
        <f>COUNTBLANK(Metadata!B328:AC328)=COLUMNS(Metadata!B328:AC328)</f>
        <v>0</v>
      </c>
      <c r="AL328">
        <v>0</v>
      </c>
      <c r="AN328">
        <f>AND(IF(Metadata!B328="",FALSE,TRUE),COUNTIF(Metadata!B:B, Metadata!B328) = 1,NOT(ISERROR(SUMPRODUCT(SEARCH(MID(Metadata!B328,ROW(INDIRECT("1:"&amp;LEN(Metadata!B328))), 1),"0123456789abcdefghijklmnopqrstuvwxyzABCDEFGHIJKLMNOPQRSTUVWXYZ.")))))</f>
        <v>0</v>
      </c>
      <c r="AO328">
        <f>IF(Metadata!C328="",FALSE,TRUE)</f>
        <v>0</v>
      </c>
      <c r="AP328">
        <f>IF(Metadata!D328="",FALSE,TRUE)</f>
        <v>0</v>
      </c>
      <c r="AQ328">
        <f>OR(AND(IF(Metadata!E328="",FALSE,TRUE),OR(exact(Metadata!E328,"not collected"),exact(Metadata!E328,"not provided"),exact(Metadata!E328,"restricted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R328">
        <f>IF(Metadata!F328="",FALSE,TRUE)</f>
        <v>0</v>
      </c>
      <c r="AS328">
        <f>OR(AND(IF(Metadata!G328="",FALSE,TRUE),OR(exact(Metadata!G328,"not collected"),exact(Metadata!G328,"not provided"))),AND(IF(Metadata!G328="",FALSE,TRUE),OR(exact(Metadata!G328,"TRUE"),exact(Metadata!G328,"FALSE"))))</f>
        <v>0</v>
      </c>
      <c r="AT328">
        <f>OR(AND(IF(Metadata!H328="",FALSE,TRUE),OR(exact(Metadata!H328,"not collected"),exact(Metadata!H328,"not provided"),exact(Metadata!H328,"restricted access"))),AND(IF(Metadata!H328="",FALSE,ISNUMBER(VALUE(Metadata!H328))),Metadata!H328&gt;=-413.0))</f>
        <v>0</v>
      </c>
      <c r="AU328">
        <f>AND(IF(Metadata!I328="",FALSE,TRUE),exact(Metadata!I328,"meters"))</f>
        <v>0</v>
      </c>
      <c r="AV328">
        <f>AND(IF(Metadata!J328="",FALSE,TRUE),OR(exact(Metadata!J328,"Host-associated"),exact(Metadata!J328,"Free-living")))</f>
        <v>0</v>
      </c>
      <c r="AW328">
        <f>AND(IF(Metadata!K328="",FALSE,TRUE),OR(exact(Metadata!K328,"Animal"),exact(Metadata!K328,"Fungus"),exact(Metadata!K328,"Plant"),exact(Metadata!K328,"Saline"),exact(Metadata!K328,"Non-saline")))</f>
        <v>0</v>
      </c>
      <c r="AX328">
        <f>AND(IF(Metadata!L328="",FALSE,TRUE),OR(exact(Metadata!L328,"Plant secretion"),exact(Metadata!L328,"Plant rhizosphere"),exact(Metadata!L328,"Plant surface"),exact(Metadata!L328,"Plant corpus"),exact(Metadata!L328,"Fungus surface"),exact(Metadata!L328,"Fungus corpus"),exact(Metadata!L328,"Animal surface"),exact(Metadata!L328,"Animal proximal gut"),exact(Metadata!L328,"Animal corpus"),exact(Metadata!L328,"Animal distal gut"),exact(Metadata!L328,"Animal secretion"),exact(Metadata!L328,"Sub-surface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Y328">
        <f>IF(Metadata!M328="",FALSE,TRUE)</f>
        <v>0</v>
      </c>
      <c r="AZ328">
        <f>IF(Metadata!N328="",FALSE,TRUE)</f>
        <v>0</v>
      </c>
      <c r="BA328">
        <f>IF(Metadata!O328="",FALSE,TRUE)</f>
        <v>0</v>
      </c>
      <c r="BB328">
        <f>OR(AND(IF(Metadata!P328="",FALSE,TRUE),OR(exact(Metadata!P328,"not collected"),exact(Metadata!P328,"not provided"),exact(Metadata!P328,"restricted access"))),AND(IF(Metadata!P328="",FALSE,TRUE),OR(exact(Metadata!P328,"air"),exact(Metadata!P328,"built environment"),exact(Metadata!P328,"host-associated"),exact(Metadata!P328,"human-associated"),exact(Metadata!P328,"human-skin"),exact(Metadata!P328,"human-oral"),exact(Metadata!P328,"human-gut"),exact(Metadata!P328,"human-vaginal"),exact(Metadata!P328,"microbial mat/biofilm"),exact(Metadata!P328,"misc environment"),exact(Metadata!P328,"plant-associated"),exact(Metadata!P328,"sediment"),exact(Metadata!P328,"soil"),exact(Metadata!P328,"wastewater/sludge"),exact(Metadata!P328,"water"))))</f>
        <v>0</v>
      </c>
      <c r="BC328">
        <f>IF(Metadata!Q328="",FALSE,TRUE)</f>
        <v>0</v>
      </c>
      <c r="BD328">
        <f>IF(Metadata!R328="",FALSE,TRUE)</f>
        <v>0</v>
      </c>
      <c r="BE328">
        <f>OR(AND(IF(Metadata!S328="",FALSE,TRUE),OR(exact(Metadata!S328,"not collected"),exact(Metadata!S328,"not provided"),exact(Metadata!S328,"restricted access"))),AND(IF(Metadata!S328="",FALSE,ISNUMBER(VALUE(Metadata!S328))),Metadata!S328&gt;=-90.00,Metadata!S328&lt;=90.00))</f>
        <v>0</v>
      </c>
      <c r="BF328">
        <f>AND(IF(Metadata!T328="",FALSE,TRUE),exact(Metadata!T328,"Decimal degrees"))</f>
        <v>0</v>
      </c>
      <c r="BG328">
        <f>OR(AND(IF(Metadata!U328="",FALSE,TRUE),OR(exact(Metadata!U328,"not collected"),exact(Metadata!U328,"not provided"),exact(Metadata!U328,"restricted access"))),AND(IF(Metadata!U328="",FALSE,ISNUMBER(VALUE(Metadata!U328))),Metadata!U328&gt;=-180.00,Metadata!U328&lt;=180.00))</f>
        <v>0</v>
      </c>
      <c r="BH328">
        <f>AND(IF(Metadata!V328="",FALSE,TRUE),exact(Metadata!V328,"Decimal degrees"))</f>
        <v>0</v>
      </c>
      <c r="BI328">
        <f>IF(Metadata!W328="",FALSE,TRUE)</f>
        <v>0</v>
      </c>
      <c r="BJ328">
        <f>OR(AND(IF(Metadata!X328="",FALSE,TRUE),OR(exact(Metadata!X328,"not collected"),exact(Metadata!X328,"not provided"),exact(Metadata!X328,"restricted access"))),AND(IF(Metadata!X328="",FALSE,TRUE),OR(exact(Metadata!X328,"TRUE"),exact(Metadata!X328,"FALSE"))))</f>
        <v>0</v>
      </c>
      <c r="BK328">
        <f>AND(IF(Metadata!Y328="",FALSE,TRUE),exact(Metadata!Y328,"other"))</f>
        <v>0</v>
      </c>
      <c r="BL328">
        <f>IF(Metadata!Z328="",FALSE,TRUE)</f>
        <v>0</v>
      </c>
      <c r="BM328">
        <f>OR(AND(IF(Metadata!AA328="",FALSE,TRUE),OR(exact(Metadata!AA328,"not collected"),exact(Metadata!AA328,"not provided"))),AND(IF(Metadata!AA328="",FALSE,IF(ISERROR(INT(Metadata!AA328)),FALSE,INT(Metadata!AA328)=Metadata!AA328)),Metadata!AA328&gt;0))</f>
        <v>0</v>
      </c>
      <c r="BN328">
        <f>AND(IF(Metadata!AB328="",FALSE,TRUE),exact(Metadata!AB328,"Not applicable"))</f>
        <v>0</v>
      </c>
      <c r="BO328">
        <f>IF(Metadata!AC328="",FALSE,TRUE)</f>
        <v>0</v>
      </c>
    </row>
    <row r="329" spans="1:67">
      <c r="A329" s="5">
        <f>IF(B329=" "," ",HYPERLINK(CONCATENATE("#metadata!",ADDRESS(INDEX($AI$2:$AI$1001,MATCH(ROWS($AG$2:AG329),$AG$2:$AG$1001,0),0),1)),INDEX($AL$2:$AL$1001,MATCH(ROWS($AG$2:AG329),$AG$2:$AG$1001,0),0)))</f>
        <v>0</v>
      </c>
      <c r="B329" s="4">
        <f>IF(OR(INDEX($AH$2:$AH$1001,MATCH(ROWS($AG$2:AG329),$AG$2:$AG$1001,0),1)&gt;=100000,INDEX($AN$1005:$BO$1005,1,MATCH(COLUMNS($AN$1006:AN1006),$AN$1006:$BO$1006,0))&gt;=100000), " ",IF(INDEX($AN$2:$BO$1001,MATCH(ROWS($AG$2:AG329),$AG$2:$AG$1001,0),MATCH(COLUMNS($AN$1006:AN1006),$AN$1006:$BO$1006,0)), HYPERLINK("#",""), HYPERLINK(CONCATENATE("#Metadata!", ADDRESS(INDEX($AI$2:$AI$1001,MATCH(ROWS($AG$2:AG329),$AG$2:$AG$1001,0),0), INDEX($AN$1004:$BO$1004,1,MATCH(COLUMNS($AN$1006:AN1006),$AN$1006:$BO$1006,0)))),"Fix")))</f>
        <v>0</v>
      </c>
      <c r="C329" s="4">
        <f>IF(OR(INDEX($AH$2:$AH$1001,MATCH(ROWS($AG$2:AG329),$AG$2:$AG$1001,0),1)&gt;=100000,INDEX($AN$1005:$BO$1005,1,MATCH(COLUMNS($AN$1006:AO1006),$AN$1006:$BO$1006,0))&gt;=100000), " ",IF(INDEX($AN$2:$BO$1001,MATCH(ROWS($AG$2:AG329),$AG$2:$AG$1001,0),MATCH(COLUMNS($AN$1006:AO1006),$AN$1006:$BO$1006,0)), HYPERLINK("#",""), HYPERLINK(CONCATENATE("#Metadata!", ADDRESS(INDEX($AI$2:$AI$1001,MATCH(ROWS($AG$2:AG329),$AG$2:$AG$1001,0),0), INDEX($AN$1004:$BO$1004,1,MATCH(COLUMNS($AN$1006:AO1006),$AN$1006:$BO$1006,0)))),"Fix")))</f>
        <v>0</v>
      </c>
      <c r="D329" s="4">
        <f>IF(OR(INDEX($AH$2:$AH$1001,MATCH(ROWS($AG$2:AG329),$AG$2:$AG$1001,0),1)&gt;=100000,INDEX($AN$1005:$BO$1005,1,MATCH(COLUMNS($AN$1006:AP1006),$AN$1006:$BO$1006,0))&gt;=100000), " ",IF(INDEX($AN$2:$BO$1001,MATCH(ROWS($AG$2:AG329),$AG$2:$AG$1001,0),MATCH(COLUMNS($AN$1006:AP1006),$AN$1006:$BO$1006,0)), HYPERLINK("#",""), HYPERLINK(CONCATENATE("#Metadata!", ADDRESS(INDEX($AI$2:$AI$1001,MATCH(ROWS($AG$2:AG329),$AG$2:$AG$1001,0),0), INDEX($AN$1004:$BO$1004,1,MATCH(COLUMNS($AN$1006:AP1006),$AN$1006:$BO$1006,0)))),"Fix")))</f>
        <v>0</v>
      </c>
      <c r="E329" s="4">
        <f>IF(OR(INDEX($AH$2:$AH$1001,MATCH(ROWS($AG$2:AG329),$AG$2:$AG$1001,0),1)&gt;=100000,INDEX($AN$1005:$BO$1005,1,MATCH(COLUMNS($AN$1006:AQ1006),$AN$1006:$BO$1006,0))&gt;=100000), " ",IF(INDEX($AN$2:$BO$1001,MATCH(ROWS($AG$2:AG329),$AG$2:$AG$1001,0),MATCH(COLUMNS($AN$1006:AQ1006),$AN$1006:$BO$1006,0)), HYPERLINK("#",""), HYPERLINK(CONCATENATE("#Metadata!", ADDRESS(INDEX($AI$2:$AI$1001,MATCH(ROWS($AG$2:AG329),$AG$2:$AG$1001,0),0), INDEX($AN$1004:$BO$1004,1,MATCH(COLUMNS($AN$1006:AQ1006),$AN$1006:$BO$1006,0)))),"Fix")))</f>
        <v>0</v>
      </c>
      <c r="F329" s="4">
        <f>IF(OR(INDEX($AH$2:$AH$1001,MATCH(ROWS($AG$2:AG329),$AG$2:$AG$1001,0),1)&gt;=100000,INDEX($AN$1005:$BO$1005,1,MATCH(COLUMNS($AN$1006:AR1006),$AN$1006:$BO$1006,0))&gt;=100000), " ",IF(INDEX($AN$2:$BO$1001,MATCH(ROWS($AG$2:AG329),$AG$2:$AG$1001,0),MATCH(COLUMNS($AN$1006:AR1006),$AN$1006:$BO$1006,0)), HYPERLINK("#",""), HYPERLINK(CONCATENATE("#Metadata!", ADDRESS(INDEX($AI$2:$AI$1001,MATCH(ROWS($AG$2:AG329),$AG$2:$AG$1001,0),0), INDEX($AN$1004:$BO$1004,1,MATCH(COLUMNS($AN$1006:AR1006),$AN$1006:$BO$1006,0)))),"Fix")))</f>
        <v>0</v>
      </c>
      <c r="G329" s="4">
        <f>IF(OR(INDEX($AH$2:$AH$1001,MATCH(ROWS($AG$2:AG329),$AG$2:$AG$1001,0),1)&gt;=100000,INDEX($AN$1005:$BO$1005,1,MATCH(COLUMNS($AN$1006:AS1006),$AN$1006:$BO$1006,0))&gt;=100000), " ",IF(INDEX($AN$2:$BO$1001,MATCH(ROWS($AG$2:AG329),$AG$2:$AG$1001,0),MATCH(COLUMNS($AN$1006:AS1006),$AN$1006:$BO$1006,0)), HYPERLINK("#",""), HYPERLINK(CONCATENATE("#Metadata!", ADDRESS(INDEX($AI$2:$AI$1001,MATCH(ROWS($AG$2:AG329),$AG$2:$AG$1001,0),0), INDEX($AN$1004:$BO$1004,1,MATCH(COLUMNS($AN$1006:AS1006),$AN$1006:$BO$1006,0)))),"Fix")))</f>
        <v>0</v>
      </c>
      <c r="H329" s="4">
        <f>IF(OR(INDEX($AH$2:$AH$1001,MATCH(ROWS($AG$2:AG329),$AG$2:$AG$1001,0),1)&gt;=100000,INDEX($AN$1005:$BO$1005,1,MATCH(COLUMNS($AN$1006:AT1006),$AN$1006:$BO$1006,0))&gt;=100000), " ",IF(INDEX($AN$2:$BO$1001,MATCH(ROWS($AG$2:AG329),$AG$2:$AG$1001,0),MATCH(COLUMNS($AN$1006:AT1006),$AN$1006:$BO$1006,0)), HYPERLINK("#",""), HYPERLINK(CONCATENATE("#Metadata!", ADDRESS(INDEX($AI$2:$AI$1001,MATCH(ROWS($AG$2:AG329),$AG$2:$AG$1001,0),0), INDEX($AN$1004:$BO$1004,1,MATCH(COLUMNS($AN$1006:AT1006),$AN$1006:$BO$1006,0)))),"Fix")))</f>
        <v>0</v>
      </c>
      <c r="I329" s="4">
        <f>IF(OR(INDEX($AH$2:$AH$1001,MATCH(ROWS($AG$2:AG329),$AG$2:$AG$1001,0),1)&gt;=100000,INDEX($AN$1005:$BO$1005,1,MATCH(COLUMNS($AN$1006:AU1006),$AN$1006:$BO$1006,0))&gt;=100000), " ",IF(INDEX($AN$2:$BO$1001,MATCH(ROWS($AG$2:AG329),$AG$2:$AG$1001,0),MATCH(COLUMNS($AN$1006:AU1006),$AN$1006:$BO$1006,0)), HYPERLINK("#",""), HYPERLINK(CONCATENATE("#Metadata!", ADDRESS(INDEX($AI$2:$AI$1001,MATCH(ROWS($AG$2:AG329),$AG$2:$AG$1001,0),0), INDEX($AN$1004:$BO$1004,1,MATCH(COLUMNS($AN$1006:AU1006),$AN$1006:$BO$1006,0)))),"Fix")))</f>
        <v>0</v>
      </c>
      <c r="J329" s="4">
        <f>IF(OR(INDEX($AH$2:$AH$1001,MATCH(ROWS($AG$2:AG329),$AG$2:$AG$1001,0),1)&gt;=100000,INDEX($AN$1005:$BO$1005,1,MATCH(COLUMNS($AN$1006:AV1006),$AN$1006:$BO$1006,0))&gt;=100000), " ",IF(INDEX($AN$2:$BO$1001,MATCH(ROWS($AG$2:AG329),$AG$2:$AG$1001,0),MATCH(COLUMNS($AN$1006:AV1006),$AN$1006:$BO$1006,0)), HYPERLINK("#",""), HYPERLINK(CONCATENATE("#Metadata!", ADDRESS(INDEX($AI$2:$AI$1001,MATCH(ROWS($AG$2:AG329),$AG$2:$AG$1001,0),0), INDEX($AN$1004:$BO$1004,1,MATCH(COLUMNS($AN$1006:AV1006),$AN$1006:$BO$1006,0)))),"Fix")))</f>
        <v>0</v>
      </c>
      <c r="K329" s="4">
        <f>IF(OR(INDEX($AH$2:$AH$1001,MATCH(ROWS($AG$2:AG329),$AG$2:$AG$1001,0),1)&gt;=100000,INDEX($AN$1005:$BO$1005,1,MATCH(COLUMNS($AN$1006:AW1006),$AN$1006:$BO$1006,0))&gt;=100000), " ",IF(INDEX($AN$2:$BO$1001,MATCH(ROWS($AG$2:AG329),$AG$2:$AG$1001,0),MATCH(COLUMNS($AN$1006:AW1006),$AN$1006:$BO$1006,0)), HYPERLINK("#",""), HYPERLINK(CONCATENATE("#Metadata!", ADDRESS(INDEX($AI$2:$AI$1001,MATCH(ROWS($AG$2:AG329),$AG$2:$AG$1001,0),0), INDEX($AN$1004:$BO$1004,1,MATCH(COLUMNS($AN$1006:AW1006),$AN$1006:$BO$1006,0)))),"Fix")))</f>
        <v>0</v>
      </c>
      <c r="L329" s="4">
        <f>IF(OR(INDEX($AH$2:$AH$1001,MATCH(ROWS($AG$2:AG329),$AG$2:$AG$1001,0),1)&gt;=100000,INDEX($AN$1005:$BO$1005,1,MATCH(COLUMNS($AN$1006:AX1006),$AN$1006:$BO$1006,0))&gt;=100000), " ",IF(INDEX($AN$2:$BO$1001,MATCH(ROWS($AG$2:AG329),$AG$2:$AG$1001,0),MATCH(COLUMNS($AN$1006:AX1006),$AN$1006:$BO$1006,0)), HYPERLINK("#",""), HYPERLINK(CONCATENATE("#Metadata!", ADDRESS(INDEX($AI$2:$AI$1001,MATCH(ROWS($AG$2:AG329),$AG$2:$AG$1001,0),0), INDEX($AN$1004:$BO$1004,1,MATCH(COLUMNS($AN$1006:AX1006),$AN$1006:$BO$1006,0)))),"Fix")))</f>
        <v>0</v>
      </c>
      <c r="M329" s="4">
        <f>IF(OR(INDEX($AH$2:$AH$1001,MATCH(ROWS($AG$2:AG329),$AG$2:$AG$1001,0),1)&gt;=100000,INDEX($AN$1005:$BO$1005,1,MATCH(COLUMNS($AN$1006:AY1006),$AN$1006:$BO$1006,0))&gt;=100000), " ",IF(INDEX($AN$2:$BO$1001,MATCH(ROWS($AG$2:AG329),$AG$2:$AG$1001,0),MATCH(COLUMNS($AN$1006:AY1006),$AN$1006:$BO$1006,0)), HYPERLINK("#",""), HYPERLINK(CONCATENATE("#Metadata!", ADDRESS(INDEX($AI$2:$AI$1001,MATCH(ROWS($AG$2:AG329),$AG$2:$AG$1001,0),0), INDEX($AN$1004:$BO$1004,1,MATCH(COLUMNS($AN$1006:AY1006),$AN$1006:$BO$1006,0)))),"Fix")))</f>
        <v>0</v>
      </c>
      <c r="N329" s="4">
        <f>IF(OR(INDEX($AH$2:$AH$1001,MATCH(ROWS($AG$2:AG329),$AG$2:$AG$1001,0),1)&gt;=100000,INDEX($AN$1005:$BO$1005,1,MATCH(COLUMNS($AN$1006:AZ1006),$AN$1006:$BO$1006,0))&gt;=100000), " ",IF(INDEX($AN$2:$BO$1001,MATCH(ROWS($AG$2:AG329),$AG$2:$AG$1001,0),MATCH(COLUMNS($AN$1006:AZ1006),$AN$1006:$BO$1006,0)), HYPERLINK("#",""), HYPERLINK(CONCATENATE("#Metadata!", ADDRESS(INDEX($AI$2:$AI$1001,MATCH(ROWS($AG$2:AG329),$AG$2:$AG$1001,0),0), INDEX($AN$1004:$BO$1004,1,MATCH(COLUMNS($AN$1006:AZ1006),$AN$1006:$BO$1006,0)))),"Fix")))</f>
        <v>0</v>
      </c>
      <c r="O329" s="4">
        <f>IF(OR(INDEX($AH$2:$AH$1001,MATCH(ROWS($AG$2:AG329),$AG$2:$AG$1001,0),1)&gt;=100000,INDEX($AN$1005:$BO$1005,1,MATCH(COLUMNS($AN$1006:BA1006),$AN$1006:$BO$1006,0))&gt;=100000), " ",IF(INDEX($AN$2:$BO$1001,MATCH(ROWS($AG$2:AG329),$AG$2:$AG$1001,0),MATCH(COLUMNS($AN$1006:BA1006),$AN$1006:$BO$1006,0)), HYPERLINK("#",""), HYPERLINK(CONCATENATE("#Metadata!", ADDRESS(INDEX($AI$2:$AI$1001,MATCH(ROWS($AG$2:AG329),$AG$2:$AG$1001,0),0), INDEX($AN$1004:$BO$1004,1,MATCH(COLUMNS($AN$1006:BA1006),$AN$1006:$BO$1006,0)))),"Fix")))</f>
        <v>0</v>
      </c>
      <c r="P329" s="4">
        <f>IF(OR(INDEX($AH$2:$AH$1001,MATCH(ROWS($AG$2:AG329),$AG$2:$AG$1001,0),1)&gt;=100000,INDEX($AN$1005:$BO$1005,1,MATCH(COLUMNS($AN$1006:BB1006),$AN$1006:$BO$1006,0))&gt;=100000), " ",IF(INDEX($AN$2:$BO$1001,MATCH(ROWS($AG$2:AG329),$AG$2:$AG$1001,0),MATCH(COLUMNS($AN$1006:BB1006),$AN$1006:$BO$1006,0)), HYPERLINK("#",""), HYPERLINK(CONCATENATE("#Metadata!", ADDRESS(INDEX($AI$2:$AI$1001,MATCH(ROWS($AG$2:AG329),$AG$2:$AG$1001,0),0), INDEX($AN$1004:$BO$1004,1,MATCH(COLUMNS($AN$1006:BB1006),$AN$1006:$BO$1006,0)))),"Fix")))</f>
        <v>0</v>
      </c>
      <c r="Q329" s="4">
        <f>IF(OR(INDEX($AH$2:$AH$1001,MATCH(ROWS($AG$2:AG329),$AG$2:$AG$1001,0),1)&gt;=100000,INDEX($AN$1005:$BO$1005,1,MATCH(COLUMNS($AN$1006:BC1006),$AN$1006:$BO$1006,0))&gt;=100000), " ",IF(INDEX($AN$2:$BO$1001,MATCH(ROWS($AG$2:AG329),$AG$2:$AG$1001,0),MATCH(COLUMNS($AN$1006:BC1006),$AN$1006:$BO$1006,0)), HYPERLINK("#",""), HYPERLINK(CONCATENATE("#Metadata!", ADDRESS(INDEX($AI$2:$AI$1001,MATCH(ROWS($AG$2:AG329),$AG$2:$AG$1001,0),0), INDEX($AN$1004:$BO$1004,1,MATCH(COLUMNS($AN$1006:BC1006),$AN$1006:$BO$1006,0)))),"Fix")))</f>
        <v>0</v>
      </c>
      <c r="R329" s="4">
        <f>IF(OR(INDEX($AH$2:$AH$1001,MATCH(ROWS($AG$2:AG329),$AG$2:$AG$1001,0),1)&gt;=100000,INDEX($AN$1005:$BO$1005,1,MATCH(COLUMNS($AN$1006:BD1006),$AN$1006:$BO$1006,0))&gt;=100000), " ",IF(INDEX($AN$2:$BO$1001,MATCH(ROWS($AG$2:AG329),$AG$2:$AG$1001,0),MATCH(COLUMNS($AN$1006:BD1006),$AN$1006:$BO$1006,0)), HYPERLINK("#",""), HYPERLINK(CONCATENATE("#Metadata!", ADDRESS(INDEX($AI$2:$AI$1001,MATCH(ROWS($AG$2:AG329),$AG$2:$AG$1001,0),0), INDEX($AN$1004:$BO$1004,1,MATCH(COLUMNS($AN$1006:BD1006),$AN$1006:$BO$1006,0)))),"Fix")))</f>
        <v>0</v>
      </c>
      <c r="S329" s="4">
        <f>IF(OR(INDEX($AH$2:$AH$1001,MATCH(ROWS($AG$2:AG329),$AG$2:$AG$1001,0),1)&gt;=100000,INDEX($AN$1005:$BO$1005,1,MATCH(COLUMNS($AN$1006:BE1006),$AN$1006:$BO$1006,0))&gt;=100000), " ",IF(INDEX($AN$2:$BO$1001,MATCH(ROWS($AG$2:AG329),$AG$2:$AG$1001,0),MATCH(COLUMNS($AN$1006:BE1006),$AN$1006:$BO$1006,0)), HYPERLINK("#",""), HYPERLINK(CONCATENATE("#Metadata!", ADDRESS(INDEX($AI$2:$AI$1001,MATCH(ROWS($AG$2:AG329),$AG$2:$AG$1001,0),0), INDEX($AN$1004:$BO$1004,1,MATCH(COLUMNS($AN$1006:BE1006),$AN$1006:$BO$1006,0)))),"Fix")))</f>
        <v>0</v>
      </c>
      <c r="T329" s="4">
        <f>IF(OR(INDEX($AH$2:$AH$1001,MATCH(ROWS($AG$2:AG329),$AG$2:$AG$1001,0),1)&gt;=100000,INDEX($AN$1005:$BO$1005,1,MATCH(COLUMNS($AN$1006:BF1006),$AN$1006:$BO$1006,0))&gt;=100000), " ",IF(INDEX($AN$2:$BO$1001,MATCH(ROWS($AG$2:AG329),$AG$2:$AG$1001,0),MATCH(COLUMNS($AN$1006:BF1006),$AN$1006:$BO$1006,0)), HYPERLINK("#",""), HYPERLINK(CONCATENATE("#Metadata!", ADDRESS(INDEX($AI$2:$AI$1001,MATCH(ROWS($AG$2:AG329),$AG$2:$AG$1001,0),0), INDEX($AN$1004:$BO$1004,1,MATCH(COLUMNS($AN$1006:BF1006),$AN$1006:$BO$1006,0)))),"Fix")))</f>
        <v>0</v>
      </c>
      <c r="U329" s="4">
        <f>IF(OR(INDEX($AH$2:$AH$1001,MATCH(ROWS($AG$2:AG329),$AG$2:$AG$1001,0),1)&gt;=100000,INDEX($AN$1005:$BO$1005,1,MATCH(COLUMNS($AN$1006:BG1006),$AN$1006:$BO$1006,0))&gt;=100000), " ",IF(INDEX($AN$2:$BO$1001,MATCH(ROWS($AG$2:AG329),$AG$2:$AG$1001,0),MATCH(COLUMNS($AN$1006:BG1006),$AN$1006:$BO$1006,0)), HYPERLINK("#",""), HYPERLINK(CONCATENATE("#Metadata!", ADDRESS(INDEX($AI$2:$AI$1001,MATCH(ROWS($AG$2:AG329),$AG$2:$AG$1001,0),0), INDEX($AN$1004:$BO$1004,1,MATCH(COLUMNS($AN$1006:BG1006),$AN$1006:$BO$1006,0)))),"Fix")))</f>
        <v>0</v>
      </c>
      <c r="V329" s="4">
        <f>IF(OR(INDEX($AH$2:$AH$1001,MATCH(ROWS($AG$2:AG329),$AG$2:$AG$1001,0),1)&gt;=100000,INDEX($AN$1005:$BO$1005,1,MATCH(COLUMNS($AN$1006:BH1006),$AN$1006:$BO$1006,0))&gt;=100000), " ",IF(INDEX($AN$2:$BO$1001,MATCH(ROWS($AG$2:AG329),$AG$2:$AG$1001,0),MATCH(COLUMNS($AN$1006:BH1006),$AN$1006:$BO$1006,0)), HYPERLINK("#",""), HYPERLINK(CONCATENATE("#Metadata!", ADDRESS(INDEX($AI$2:$AI$1001,MATCH(ROWS($AG$2:AG329),$AG$2:$AG$1001,0),0), INDEX($AN$1004:$BO$1004,1,MATCH(COLUMNS($AN$1006:BH1006),$AN$1006:$BO$1006,0)))),"Fix")))</f>
        <v>0</v>
      </c>
      <c r="W329" s="4">
        <f>IF(OR(INDEX($AH$2:$AH$1001,MATCH(ROWS($AG$2:AG329),$AG$2:$AG$1001,0),1)&gt;=100000,INDEX($AN$1005:$BO$1005,1,MATCH(COLUMNS($AN$1006:BI1006),$AN$1006:$BO$1006,0))&gt;=100000), " ",IF(INDEX($AN$2:$BO$1001,MATCH(ROWS($AG$2:AG329),$AG$2:$AG$1001,0),MATCH(COLUMNS($AN$1006:BI1006),$AN$1006:$BO$1006,0)), HYPERLINK("#",""), HYPERLINK(CONCATENATE("#Metadata!", ADDRESS(INDEX($AI$2:$AI$1001,MATCH(ROWS($AG$2:AG329),$AG$2:$AG$1001,0),0), INDEX($AN$1004:$BO$1004,1,MATCH(COLUMNS($AN$1006:BI1006),$AN$1006:$BO$1006,0)))),"Fix")))</f>
        <v>0</v>
      </c>
      <c r="X329" s="4">
        <f>IF(OR(INDEX($AH$2:$AH$1001,MATCH(ROWS($AG$2:AG329),$AG$2:$AG$1001,0),1)&gt;=100000,INDEX($AN$1005:$BO$1005,1,MATCH(COLUMNS($AN$1006:BJ1006),$AN$1006:$BO$1006,0))&gt;=100000), " ",IF(INDEX($AN$2:$BO$1001,MATCH(ROWS($AG$2:AG329),$AG$2:$AG$1001,0),MATCH(COLUMNS($AN$1006:BJ1006),$AN$1006:$BO$1006,0)), HYPERLINK("#",""), HYPERLINK(CONCATENATE("#Metadata!", ADDRESS(INDEX($AI$2:$AI$1001,MATCH(ROWS($AG$2:AG329),$AG$2:$AG$1001,0),0), INDEX($AN$1004:$BO$1004,1,MATCH(COLUMNS($AN$1006:BJ1006),$AN$1006:$BO$1006,0)))),"Fix")))</f>
        <v>0</v>
      </c>
      <c r="Y329" s="4">
        <f>IF(OR(INDEX($AH$2:$AH$1001,MATCH(ROWS($AG$2:AG329),$AG$2:$AG$1001,0),1)&gt;=100000,INDEX($AN$1005:$BO$1005,1,MATCH(COLUMNS($AN$1006:BK1006),$AN$1006:$BO$1006,0))&gt;=100000), " ",IF(INDEX($AN$2:$BO$1001,MATCH(ROWS($AG$2:AG329),$AG$2:$AG$1001,0),MATCH(COLUMNS($AN$1006:BK1006),$AN$1006:$BO$1006,0)), HYPERLINK("#",""), HYPERLINK(CONCATENATE("#Metadata!", ADDRESS(INDEX($AI$2:$AI$1001,MATCH(ROWS($AG$2:AG329),$AG$2:$AG$1001,0),0), INDEX($AN$1004:$BO$1004,1,MATCH(COLUMNS($AN$1006:BK1006),$AN$1006:$BO$1006,0)))),"Fix")))</f>
        <v>0</v>
      </c>
      <c r="Z329" s="4">
        <f>IF(OR(INDEX($AH$2:$AH$1001,MATCH(ROWS($AG$2:AG329),$AG$2:$AG$1001,0),1)&gt;=100000,INDEX($AN$1005:$BO$1005,1,MATCH(COLUMNS($AN$1006:BL1006),$AN$1006:$BO$1006,0))&gt;=100000), " ",IF(INDEX($AN$2:$BO$1001,MATCH(ROWS($AG$2:AG329),$AG$2:$AG$1001,0),MATCH(COLUMNS($AN$1006:BL1006),$AN$1006:$BO$1006,0)), HYPERLINK("#",""), HYPERLINK(CONCATENATE("#Metadata!", ADDRESS(INDEX($AI$2:$AI$1001,MATCH(ROWS($AG$2:AG329),$AG$2:$AG$1001,0),0), INDEX($AN$1004:$BO$1004,1,MATCH(COLUMNS($AN$1006:BL1006),$AN$1006:$BO$1006,0)))),"Fix")))</f>
        <v>0</v>
      </c>
      <c r="AA329" s="4">
        <f>IF(OR(INDEX($AH$2:$AH$1001,MATCH(ROWS($AG$2:AG329),$AG$2:$AG$1001,0),1)&gt;=100000,INDEX($AN$1005:$BO$1005,1,MATCH(COLUMNS($AN$1006:BM1006),$AN$1006:$BO$1006,0))&gt;=100000), " ",IF(INDEX($AN$2:$BO$1001,MATCH(ROWS($AG$2:AG329),$AG$2:$AG$1001,0),MATCH(COLUMNS($AN$1006:BM1006),$AN$1006:$BO$1006,0)), HYPERLINK("#",""), HYPERLINK(CONCATENATE("#Metadata!", ADDRESS(INDEX($AI$2:$AI$1001,MATCH(ROWS($AG$2:AG329),$AG$2:$AG$1001,0),0), INDEX($AN$1004:$BO$1004,1,MATCH(COLUMNS($AN$1006:BM1006),$AN$1006:$BO$1006,0)))),"Fix")))</f>
        <v>0</v>
      </c>
      <c r="AB329" s="4">
        <f>IF(OR(INDEX($AH$2:$AH$1001,MATCH(ROWS($AG$2:AG329),$AG$2:$AG$1001,0),1)&gt;=100000,INDEX($AN$1005:$BO$1005,1,MATCH(COLUMNS($AN$1006:BN1006),$AN$1006:$BO$1006,0))&gt;=100000), " ",IF(INDEX($AN$2:$BO$1001,MATCH(ROWS($AG$2:AG329),$AG$2:$AG$1001,0),MATCH(COLUMNS($AN$1006:BN1006),$AN$1006:$BO$1006,0)), HYPERLINK("#",""), HYPERLINK(CONCATENATE("#Metadata!", ADDRESS(INDEX($AI$2:$AI$1001,MATCH(ROWS($AG$2:AG329),$AG$2:$AG$1001,0),0), INDEX($AN$1004:$BO$1004,1,MATCH(COLUMNS($AN$1006:BN1006),$AN$1006:$BO$1006,0)))),"Fix")))</f>
        <v>0</v>
      </c>
      <c r="AC329" s="4">
        <f>IF(OR(INDEX($AH$2:$AH$1001,MATCH(ROWS($AG$2:AG329),$AG$2:$AG$1001,0),1)&gt;=100000,INDEX($AN$1005:$BO$1005,1,MATCH(COLUMNS($AN$1006:BO1006),$AN$1006:$BO$1006,0))&gt;=100000), " ",IF(INDEX($AN$2:$BO$1001,MATCH(ROWS($AG$2:AG329),$AG$2:$AG$1001,0),MATCH(COLUMNS($AN$1006:BO1006),$AN$1006:$BO$1006,0)), HYPERLINK("#",""), HYPERLINK(CONCATENATE("#Metadata!", ADDRESS(INDEX($AI$2:$AI$1001,MATCH(ROWS($AG$2:AG329),$AG$2:$AG$1001,0),0), INDEX($AN$1004:$BO$1004,1,MATCH(COLUMNS($AN$1006:BO1006),$AN$1006:$BO$1006,0)))),"Fix")))</f>
        <v>0</v>
      </c>
      <c r="AG329">
        <v>0</v>
      </c>
      <c r="AH329">
        <v>0</v>
      </c>
      <c r="AI329">
        <v>0</v>
      </c>
      <c r="AJ329">
        <f>IF(AK329,TRUE,AND(AN329:BO329))</f>
        <v>0</v>
      </c>
      <c r="AK329">
        <f>COUNTBLANK(Metadata!B329:AC329)=COLUMNS(Metadata!B329:AC329)</f>
        <v>0</v>
      </c>
      <c r="AL329">
        <v>0</v>
      </c>
      <c r="AN329">
        <f>AND(IF(Metadata!B329="",FALSE,TRUE),COUNTIF(Metadata!B:B, Metadata!B329) = 1,NOT(ISERROR(SUMPRODUCT(SEARCH(MID(Metadata!B329,ROW(INDIRECT("1:"&amp;LEN(Metadata!B329))), 1),"0123456789abcdefghijklmnopqrstuvwxyzABCDEFGHIJKLMNOPQRSTUVWXYZ.")))))</f>
        <v>0</v>
      </c>
      <c r="AO329">
        <f>IF(Metadata!C329="",FALSE,TRUE)</f>
        <v>0</v>
      </c>
      <c r="AP329">
        <f>IF(Metadata!D329="",FALSE,TRUE)</f>
        <v>0</v>
      </c>
      <c r="AQ329">
        <f>OR(AND(IF(Metadata!E329="",FALSE,TRUE),OR(exact(Metadata!E329,"not collected"),exact(Metadata!E329,"not provided"),exact(Metadata!E329,"restricted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R329">
        <f>IF(Metadata!F329="",FALSE,TRUE)</f>
        <v>0</v>
      </c>
      <c r="AS329">
        <f>OR(AND(IF(Metadata!G329="",FALSE,TRUE),OR(exact(Metadata!G329,"not collected"),exact(Metadata!G329,"not provided"))),AND(IF(Metadata!G329="",FALSE,TRUE),OR(exact(Metadata!G329,"TRUE"),exact(Metadata!G329,"FALSE"))))</f>
        <v>0</v>
      </c>
      <c r="AT329">
        <f>OR(AND(IF(Metadata!H329="",FALSE,TRUE),OR(exact(Metadata!H329,"not collected"),exact(Metadata!H329,"not provided"),exact(Metadata!H329,"restricted access"))),AND(IF(Metadata!H329="",FALSE,ISNUMBER(VALUE(Metadata!H329))),Metadata!H329&gt;=-413.0))</f>
        <v>0</v>
      </c>
      <c r="AU329">
        <f>AND(IF(Metadata!I329="",FALSE,TRUE),exact(Metadata!I329,"meters"))</f>
        <v>0</v>
      </c>
      <c r="AV329">
        <f>AND(IF(Metadata!J329="",FALSE,TRUE),OR(exact(Metadata!J329,"Host-associated"),exact(Metadata!J329,"Free-living")))</f>
        <v>0</v>
      </c>
      <c r="AW329">
        <f>AND(IF(Metadata!K329="",FALSE,TRUE),OR(exact(Metadata!K329,"Animal"),exact(Metadata!K329,"Fungus"),exact(Metadata!K329,"Plant"),exact(Metadata!K329,"Saline"),exact(Metadata!K329,"Non-saline")))</f>
        <v>0</v>
      </c>
      <c r="AX329">
        <f>AND(IF(Metadata!L329="",FALSE,TRUE),OR(exact(Metadata!L329,"Plant secretion"),exact(Metadata!L329,"Plant rhizosphere"),exact(Metadata!L329,"Plant surface"),exact(Metadata!L329,"Plant corpus"),exact(Metadata!L329,"Fungus surface"),exact(Metadata!L329,"Fungus corpus"),exact(Metadata!L329,"Animal surface"),exact(Metadata!L329,"Animal proximal gut"),exact(Metadata!L329,"Animal corpus"),exact(Metadata!L329,"Animal distal gut"),exact(Metadata!L329,"Animal secretion"),exact(Metadata!L329,"Sub-surface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Y329">
        <f>IF(Metadata!M329="",FALSE,TRUE)</f>
        <v>0</v>
      </c>
      <c r="AZ329">
        <f>IF(Metadata!N329="",FALSE,TRUE)</f>
        <v>0</v>
      </c>
      <c r="BA329">
        <f>IF(Metadata!O329="",FALSE,TRUE)</f>
        <v>0</v>
      </c>
      <c r="BB329">
        <f>OR(AND(IF(Metadata!P329="",FALSE,TRUE),OR(exact(Metadata!P329,"not collected"),exact(Metadata!P329,"not provided"),exact(Metadata!P329,"restricted access"))),AND(IF(Metadata!P329="",FALSE,TRUE),OR(exact(Metadata!P329,"air"),exact(Metadata!P329,"built environment"),exact(Metadata!P329,"host-associated"),exact(Metadata!P329,"human-associated"),exact(Metadata!P329,"human-skin"),exact(Metadata!P329,"human-oral"),exact(Metadata!P329,"human-gut"),exact(Metadata!P329,"human-vaginal"),exact(Metadata!P329,"microbial mat/biofilm"),exact(Metadata!P329,"misc environment"),exact(Metadata!P329,"plant-associated"),exact(Metadata!P329,"sediment"),exact(Metadata!P329,"soil"),exact(Metadata!P329,"wastewater/sludge"),exact(Metadata!P329,"water"))))</f>
        <v>0</v>
      </c>
      <c r="BC329">
        <f>IF(Metadata!Q329="",FALSE,TRUE)</f>
        <v>0</v>
      </c>
      <c r="BD329">
        <f>IF(Metadata!R329="",FALSE,TRUE)</f>
        <v>0</v>
      </c>
      <c r="BE329">
        <f>OR(AND(IF(Metadata!S329="",FALSE,TRUE),OR(exact(Metadata!S329,"not collected"),exact(Metadata!S329,"not provided"),exact(Metadata!S329,"restricted access"))),AND(IF(Metadata!S329="",FALSE,ISNUMBER(VALUE(Metadata!S329))),Metadata!S329&gt;=-90.00,Metadata!S329&lt;=90.00))</f>
        <v>0</v>
      </c>
      <c r="BF329">
        <f>AND(IF(Metadata!T329="",FALSE,TRUE),exact(Metadata!T329,"Decimal degrees"))</f>
        <v>0</v>
      </c>
      <c r="BG329">
        <f>OR(AND(IF(Metadata!U329="",FALSE,TRUE),OR(exact(Metadata!U329,"not collected"),exact(Metadata!U329,"not provided"),exact(Metadata!U329,"restricted access"))),AND(IF(Metadata!U329="",FALSE,ISNUMBER(VALUE(Metadata!U329))),Metadata!U329&gt;=-180.00,Metadata!U329&lt;=180.00))</f>
        <v>0</v>
      </c>
      <c r="BH329">
        <f>AND(IF(Metadata!V329="",FALSE,TRUE),exact(Metadata!V329,"Decimal degrees"))</f>
        <v>0</v>
      </c>
      <c r="BI329">
        <f>IF(Metadata!W329="",FALSE,TRUE)</f>
        <v>0</v>
      </c>
      <c r="BJ329">
        <f>OR(AND(IF(Metadata!X329="",FALSE,TRUE),OR(exact(Metadata!X329,"not collected"),exact(Metadata!X329,"not provided"),exact(Metadata!X329,"restricted access"))),AND(IF(Metadata!X329="",FALSE,TRUE),OR(exact(Metadata!X329,"TRUE"),exact(Metadata!X329,"FALSE"))))</f>
        <v>0</v>
      </c>
      <c r="BK329">
        <f>AND(IF(Metadata!Y329="",FALSE,TRUE),exact(Metadata!Y329,"other"))</f>
        <v>0</v>
      </c>
      <c r="BL329">
        <f>IF(Metadata!Z329="",FALSE,TRUE)</f>
        <v>0</v>
      </c>
      <c r="BM329">
        <f>OR(AND(IF(Metadata!AA329="",FALSE,TRUE),OR(exact(Metadata!AA329,"not collected"),exact(Metadata!AA329,"not provided"))),AND(IF(Metadata!AA329="",FALSE,IF(ISERROR(INT(Metadata!AA329)),FALSE,INT(Metadata!AA329)=Metadata!AA329)),Metadata!AA329&gt;0))</f>
        <v>0</v>
      </c>
      <c r="BN329">
        <f>AND(IF(Metadata!AB329="",FALSE,TRUE),exact(Metadata!AB329,"Not applicable"))</f>
        <v>0</v>
      </c>
      <c r="BO329">
        <f>IF(Metadata!AC329="",FALSE,TRUE)</f>
        <v>0</v>
      </c>
    </row>
    <row r="330" spans="1:67">
      <c r="A330" s="5">
        <f>IF(B330=" "," ",HYPERLINK(CONCATENATE("#metadata!",ADDRESS(INDEX($AI$2:$AI$1001,MATCH(ROWS($AG$2:AG330),$AG$2:$AG$1001,0),0),1)),INDEX($AL$2:$AL$1001,MATCH(ROWS($AG$2:AG330),$AG$2:$AG$1001,0),0)))</f>
        <v>0</v>
      </c>
      <c r="B330" s="4">
        <f>IF(OR(INDEX($AH$2:$AH$1001,MATCH(ROWS($AG$2:AG330),$AG$2:$AG$1001,0),1)&gt;=100000,INDEX($AN$1005:$BO$1005,1,MATCH(COLUMNS($AN$1006:AN1006),$AN$1006:$BO$1006,0))&gt;=100000), " ",IF(INDEX($AN$2:$BO$1001,MATCH(ROWS($AG$2:AG330),$AG$2:$AG$1001,0),MATCH(COLUMNS($AN$1006:AN1006),$AN$1006:$BO$1006,0)), HYPERLINK("#",""), HYPERLINK(CONCATENATE("#Metadata!", ADDRESS(INDEX($AI$2:$AI$1001,MATCH(ROWS($AG$2:AG330),$AG$2:$AG$1001,0),0), INDEX($AN$1004:$BO$1004,1,MATCH(COLUMNS($AN$1006:AN1006),$AN$1006:$BO$1006,0)))),"Fix")))</f>
        <v>0</v>
      </c>
      <c r="C330" s="4">
        <f>IF(OR(INDEX($AH$2:$AH$1001,MATCH(ROWS($AG$2:AG330),$AG$2:$AG$1001,0),1)&gt;=100000,INDEX($AN$1005:$BO$1005,1,MATCH(COLUMNS($AN$1006:AO1006),$AN$1006:$BO$1006,0))&gt;=100000), " ",IF(INDEX($AN$2:$BO$1001,MATCH(ROWS($AG$2:AG330),$AG$2:$AG$1001,0),MATCH(COLUMNS($AN$1006:AO1006),$AN$1006:$BO$1006,0)), HYPERLINK("#",""), HYPERLINK(CONCATENATE("#Metadata!", ADDRESS(INDEX($AI$2:$AI$1001,MATCH(ROWS($AG$2:AG330),$AG$2:$AG$1001,0),0), INDEX($AN$1004:$BO$1004,1,MATCH(COLUMNS($AN$1006:AO1006),$AN$1006:$BO$1006,0)))),"Fix")))</f>
        <v>0</v>
      </c>
      <c r="D330" s="4">
        <f>IF(OR(INDEX($AH$2:$AH$1001,MATCH(ROWS($AG$2:AG330),$AG$2:$AG$1001,0),1)&gt;=100000,INDEX($AN$1005:$BO$1005,1,MATCH(COLUMNS($AN$1006:AP1006),$AN$1006:$BO$1006,0))&gt;=100000), " ",IF(INDEX($AN$2:$BO$1001,MATCH(ROWS($AG$2:AG330),$AG$2:$AG$1001,0),MATCH(COLUMNS($AN$1006:AP1006),$AN$1006:$BO$1006,0)), HYPERLINK("#",""), HYPERLINK(CONCATENATE("#Metadata!", ADDRESS(INDEX($AI$2:$AI$1001,MATCH(ROWS($AG$2:AG330),$AG$2:$AG$1001,0),0), INDEX($AN$1004:$BO$1004,1,MATCH(COLUMNS($AN$1006:AP1006),$AN$1006:$BO$1006,0)))),"Fix")))</f>
        <v>0</v>
      </c>
      <c r="E330" s="4">
        <f>IF(OR(INDEX($AH$2:$AH$1001,MATCH(ROWS($AG$2:AG330),$AG$2:$AG$1001,0),1)&gt;=100000,INDEX($AN$1005:$BO$1005,1,MATCH(COLUMNS($AN$1006:AQ1006),$AN$1006:$BO$1006,0))&gt;=100000), " ",IF(INDEX($AN$2:$BO$1001,MATCH(ROWS($AG$2:AG330),$AG$2:$AG$1001,0),MATCH(COLUMNS($AN$1006:AQ1006),$AN$1006:$BO$1006,0)), HYPERLINK("#",""), HYPERLINK(CONCATENATE("#Metadata!", ADDRESS(INDEX($AI$2:$AI$1001,MATCH(ROWS($AG$2:AG330),$AG$2:$AG$1001,0),0), INDEX($AN$1004:$BO$1004,1,MATCH(COLUMNS($AN$1006:AQ1006),$AN$1006:$BO$1006,0)))),"Fix")))</f>
        <v>0</v>
      </c>
      <c r="F330" s="4">
        <f>IF(OR(INDEX($AH$2:$AH$1001,MATCH(ROWS($AG$2:AG330),$AG$2:$AG$1001,0),1)&gt;=100000,INDEX($AN$1005:$BO$1005,1,MATCH(COLUMNS($AN$1006:AR1006),$AN$1006:$BO$1006,0))&gt;=100000), " ",IF(INDEX($AN$2:$BO$1001,MATCH(ROWS($AG$2:AG330),$AG$2:$AG$1001,0),MATCH(COLUMNS($AN$1006:AR1006),$AN$1006:$BO$1006,0)), HYPERLINK("#",""), HYPERLINK(CONCATENATE("#Metadata!", ADDRESS(INDEX($AI$2:$AI$1001,MATCH(ROWS($AG$2:AG330),$AG$2:$AG$1001,0),0), INDEX($AN$1004:$BO$1004,1,MATCH(COLUMNS($AN$1006:AR1006),$AN$1006:$BO$1006,0)))),"Fix")))</f>
        <v>0</v>
      </c>
      <c r="G330" s="4">
        <f>IF(OR(INDEX($AH$2:$AH$1001,MATCH(ROWS($AG$2:AG330),$AG$2:$AG$1001,0),1)&gt;=100000,INDEX($AN$1005:$BO$1005,1,MATCH(COLUMNS($AN$1006:AS1006),$AN$1006:$BO$1006,0))&gt;=100000), " ",IF(INDEX($AN$2:$BO$1001,MATCH(ROWS($AG$2:AG330),$AG$2:$AG$1001,0),MATCH(COLUMNS($AN$1006:AS1006),$AN$1006:$BO$1006,0)), HYPERLINK("#",""), HYPERLINK(CONCATENATE("#Metadata!", ADDRESS(INDEX($AI$2:$AI$1001,MATCH(ROWS($AG$2:AG330),$AG$2:$AG$1001,0),0), INDEX($AN$1004:$BO$1004,1,MATCH(COLUMNS($AN$1006:AS1006),$AN$1006:$BO$1006,0)))),"Fix")))</f>
        <v>0</v>
      </c>
      <c r="H330" s="4">
        <f>IF(OR(INDEX($AH$2:$AH$1001,MATCH(ROWS($AG$2:AG330),$AG$2:$AG$1001,0),1)&gt;=100000,INDEX($AN$1005:$BO$1005,1,MATCH(COLUMNS($AN$1006:AT1006),$AN$1006:$BO$1006,0))&gt;=100000), " ",IF(INDEX($AN$2:$BO$1001,MATCH(ROWS($AG$2:AG330),$AG$2:$AG$1001,0),MATCH(COLUMNS($AN$1006:AT1006),$AN$1006:$BO$1006,0)), HYPERLINK("#",""), HYPERLINK(CONCATENATE("#Metadata!", ADDRESS(INDEX($AI$2:$AI$1001,MATCH(ROWS($AG$2:AG330),$AG$2:$AG$1001,0),0), INDEX($AN$1004:$BO$1004,1,MATCH(COLUMNS($AN$1006:AT1006),$AN$1006:$BO$1006,0)))),"Fix")))</f>
        <v>0</v>
      </c>
      <c r="I330" s="4">
        <f>IF(OR(INDEX($AH$2:$AH$1001,MATCH(ROWS($AG$2:AG330),$AG$2:$AG$1001,0),1)&gt;=100000,INDEX($AN$1005:$BO$1005,1,MATCH(COLUMNS($AN$1006:AU1006),$AN$1006:$BO$1006,0))&gt;=100000), " ",IF(INDEX($AN$2:$BO$1001,MATCH(ROWS($AG$2:AG330),$AG$2:$AG$1001,0),MATCH(COLUMNS($AN$1006:AU1006),$AN$1006:$BO$1006,0)), HYPERLINK("#",""), HYPERLINK(CONCATENATE("#Metadata!", ADDRESS(INDEX($AI$2:$AI$1001,MATCH(ROWS($AG$2:AG330),$AG$2:$AG$1001,0),0), INDEX($AN$1004:$BO$1004,1,MATCH(COLUMNS($AN$1006:AU1006),$AN$1006:$BO$1006,0)))),"Fix")))</f>
        <v>0</v>
      </c>
      <c r="J330" s="4">
        <f>IF(OR(INDEX($AH$2:$AH$1001,MATCH(ROWS($AG$2:AG330),$AG$2:$AG$1001,0),1)&gt;=100000,INDEX($AN$1005:$BO$1005,1,MATCH(COLUMNS($AN$1006:AV1006),$AN$1006:$BO$1006,0))&gt;=100000), " ",IF(INDEX($AN$2:$BO$1001,MATCH(ROWS($AG$2:AG330),$AG$2:$AG$1001,0),MATCH(COLUMNS($AN$1006:AV1006),$AN$1006:$BO$1006,0)), HYPERLINK("#",""), HYPERLINK(CONCATENATE("#Metadata!", ADDRESS(INDEX($AI$2:$AI$1001,MATCH(ROWS($AG$2:AG330),$AG$2:$AG$1001,0),0), INDEX($AN$1004:$BO$1004,1,MATCH(COLUMNS($AN$1006:AV1006),$AN$1006:$BO$1006,0)))),"Fix")))</f>
        <v>0</v>
      </c>
      <c r="K330" s="4">
        <f>IF(OR(INDEX($AH$2:$AH$1001,MATCH(ROWS($AG$2:AG330),$AG$2:$AG$1001,0),1)&gt;=100000,INDEX($AN$1005:$BO$1005,1,MATCH(COLUMNS($AN$1006:AW1006),$AN$1006:$BO$1006,0))&gt;=100000), " ",IF(INDEX($AN$2:$BO$1001,MATCH(ROWS($AG$2:AG330),$AG$2:$AG$1001,0),MATCH(COLUMNS($AN$1006:AW1006),$AN$1006:$BO$1006,0)), HYPERLINK("#",""), HYPERLINK(CONCATENATE("#Metadata!", ADDRESS(INDEX($AI$2:$AI$1001,MATCH(ROWS($AG$2:AG330),$AG$2:$AG$1001,0),0), INDEX($AN$1004:$BO$1004,1,MATCH(COLUMNS($AN$1006:AW1006),$AN$1006:$BO$1006,0)))),"Fix")))</f>
        <v>0</v>
      </c>
      <c r="L330" s="4">
        <f>IF(OR(INDEX($AH$2:$AH$1001,MATCH(ROWS($AG$2:AG330),$AG$2:$AG$1001,0),1)&gt;=100000,INDEX($AN$1005:$BO$1005,1,MATCH(COLUMNS($AN$1006:AX1006),$AN$1006:$BO$1006,0))&gt;=100000), " ",IF(INDEX($AN$2:$BO$1001,MATCH(ROWS($AG$2:AG330),$AG$2:$AG$1001,0),MATCH(COLUMNS($AN$1006:AX1006),$AN$1006:$BO$1006,0)), HYPERLINK("#",""), HYPERLINK(CONCATENATE("#Metadata!", ADDRESS(INDEX($AI$2:$AI$1001,MATCH(ROWS($AG$2:AG330),$AG$2:$AG$1001,0),0), INDEX($AN$1004:$BO$1004,1,MATCH(COLUMNS($AN$1006:AX1006),$AN$1006:$BO$1006,0)))),"Fix")))</f>
        <v>0</v>
      </c>
      <c r="M330" s="4">
        <f>IF(OR(INDEX($AH$2:$AH$1001,MATCH(ROWS($AG$2:AG330),$AG$2:$AG$1001,0),1)&gt;=100000,INDEX($AN$1005:$BO$1005,1,MATCH(COLUMNS($AN$1006:AY1006),$AN$1006:$BO$1006,0))&gt;=100000), " ",IF(INDEX($AN$2:$BO$1001,MATCH(ROWS($AG$2:AG330),$AG$2:$AG$1001,0),MATCH(COLUMNS($AN$1006:AY1006),$AN$1006:$BO$1006,0)), HYPERLINK("#",""), HYPERLINK(CONCATENATE("#Metadata!", ADDRESS(INDEX($AI$2:$AI$1001,MATCH(ROWS($AG$2:AG330),$AG$2:$AG$1001,0),0), INDEX($AN$1004:$BO$1004,1,MATCH(COLUMNS($AN$1006:AY1006),$AN$1006:$BO$1006,0)))),"Fix")))</f>
        <v>0</v>
      </c>
      <c r="N330" s="4">
        <f>IF(OR(INDEX($AH$2:$AH$1001,MATCH(ROWS($AG$2:AG330),$AG$2:$AG$1001,0),1)&gt;=100000,INDEX($AN$1005:$BO$1005,1,MATCH(COLUMNS($AN$1006:AZ1006),$AN$1006:$BO$1006,0))&gt;=100000), " ",IF(INDEX($AN$2:$BO$1001,MATCH(ROWS($AG$2:AG330),$AG$2:$AG$1001,0),MATCH(COLUMNS($AN$1006:AZ1006),$AN$1006:$BO$1006,0)), HYPERLINK("#",""), HYPERLINK(CONCATENATE("#Metadata!", ADDRESS(INDEX($AI$2:$AI$1001,MATCH(ROWS($AG$2:AG330),$AG$2:$AG$1001,0),0), INDEX($AN$1004:$BO$1004,1,MATCH(COLUMNS($AN$1006:AZ1006),$AN$1006:$BO$1006,0)))),"Fix")))</f>
        <v>0</v>
      </c>
      <c r="O330" s="4">
        <f>IF(OR(INDEX($AH$2:$AH$1001,MATCH(ROWS($AG$2:AG330),$AG$2:$AG$1001,0),1)&gt;=100000,INDEX($AN$1005:$BO$1005,1,MATCH(COLUMNS($AN$1006:BA1006),$AN$1006:$BO$1006,0))&gt;=100000), " ",IF(INDEX($AN$2:$BO$1001,MATCH(ROWS($AG$2:AG330),$AG$2:$AG$1001,0),MATCH(COLUMNS($AN$1006:BA1006),$AN$1006:$BO$1006,0)), HYPERLINK("#",""), HYPERLINK(CONCATENATE("#Metadata!", ADDRESS(INDEX($AI$2:$AI$1001,MATCH(ROWS($AG$2:AG330),$AG$2:$AG$1001,0),0), INDEX($AN$1004:$BO$1004,1,MATCH(COLUMNS($AN$1006:BA1006),$AN$1006:$BO$1006,0)))),"Fix")))</f>
        <v>0</v>
      </c>
      <c r="P330" s="4">
        <f>IF(OR(INDEX($AH$2:$AH$1001,MATCH(ROWS($AG$2:AG330),$AG$2:$AG$1001,0),1)&gt;=100000,INDEX($AN$1005:$BO$1005,1,MATCH(COLUMNS($AN$1006:BB1006),$AN$1006:$BO$1006,0))&gt;=100000), " ",IF(INDEX($AN$2:$BO$1001,MATCH(ROWS($AG$2:AG330),$AG$2:$AG$1001,0),MATCH(COLUMNS($AN$1006:BB1006),$AN$1006:$BO$1006,0)), HYPERLINK("#",""), HYPERLINK(CONCATENATE("#Metadata!", ADDRESS(INDEX($AI$2:$AI$1001,MATCH(ROWS($AG$2:AG330),$AG$2:$AG$1001,0),0), INDEX($AN$1004:$BO$1004,1,MATCH(COLUMNS($AN$1006:BB1006),$AN$1006:$BO$1006,0)))),"Fix")))</f>
        <v>0</v>
      </c>
      <c r="Q330" s="4">
        <f>IF(OR(INDEX($AH$2:$AH$1001,MATCH(ROWS($AG$2:AG330),$AG$2:$AG$1001,0),1)&gt;=100000,INDEX($AN$1005:$BO$1005,1,MATCH(COLUMNS($AN$1006:BC1006),$AN$1006:$BO$1006,0))&gt;=100000), " ",IF(INDEX($AN$2:$BO$1001,MATCH(ROWS($AG$2:AG330),$AG$2:$AG$1001,0),MATCH(COLUMNS($AN$1006:BC1006),$AN$1006:$BO$1006,0)), HYPERLINK("#",""), HYPERLINK(CONCATENATE("#Metadata!", ADDRESS(INDEX($AI$2:$AI$1001,MATCH(ROWS($AG$2:AG330),$AG$2:$AG$1001,0),0), INDEX($AN$1004:$BO$1004,1,MATCH(COLUMNS($AN$1006:BC1006),$AN$1006:$BO$1006,0)))),"Fix")))</f>
        <v>0</v>
      </c>
      <c r="R330" s="4">
        <f>IF(OR(INDEX($AH$2:$AH$1001,MATCH(ROWS($AG$2:AG330),$AG$2:$AG$1001,0),1)&gt;=100000,INDEX($AN$1005:$BO$1005,1,MATCH(COLUMNS($AN$1006:BD1006),$AN$1006:$BO$1006,0))&gt;=100000), " ",IF(INDEX($AN$2:$BO$1001,MATCH(ROWS($AG$2:AG330),$AG$2:$AG$1001,0),MATCH(COLUMNS($AN$1006:BD1006),$AN$1006:$BO$1006,0)), HYPERLINK("#",""), HYPERLINK(CONCATENATE("#Metadata!", ADDRESS(INDEX($AI$2:$AI$1001,MATCH(ROWS($AG$2:AG330),$AG$2:$AG$1001,0),0), INDEX($AN$1004:$BO$1004,1,MATCH(COLUMNS($AN$1006:BD1006),$AN$1006:$BO$1006,0)))),"Fix")))</f>
        <v>0</v>
      </c>
      <c r="S330" s="4">
        <f>IF(OR(INDEX($AH$2:$AH$1001,MATCH(ROWS($AG$2:AG330),$AG$2:$AG$1001,0),1)&gt;=100000,INDEX($AN$1005:$BO$1005,1,MATCH(COLUMNS($AN$1006:BE1006),$AN$1006:$BO$1006,0))&gt;=100000), " ",IF(INDEX($AN$2:$BO$1001,MATCH(ROWS($AG$2:AG330),$AG$2:$AG$1001,0),MATCH(COLUMNS($AN$1006:BE1006),$AN$1006:$BO$1006,0)), HYPERLINK("#",""), HYPERLINK(CONCATENATE("#Metadata!", ADDRESS(INDEX($AI$2:$AI$1001,MATCH(ROWS($AG$2:AG330),$AG$2:$AG$1001,0),0), INDEX($AN$1004:$BO$1004,1,MATCH(COLUMNS($AN$1006:BE1006),$AN$1006:$BO$1006,0)))),"Fix")))</f>
        <v>0</v>
      </c>
      <c r="T330" s="4">
        <f>IF(OR(INDEX($AH$2:$AH$1001,MATCH(ROWS($AG$2:AG330),$AG$2:$AG$1001,0),1)&gt;=100000,INDEX($AN$1005:$BO$1005,1,MATCH(COLUMNS($AN$1006:BF1006),$AN$1006:$BO$1006,0))&gt;=100000), " ",IF(INDEX($AN$2:$BO$1001,MATCH(ROWS($AG$2:AG330),$AG$2:$AG$1001,0),MATCH(COLUMNS($AN$1006:BF1006),$AN$1006:$BO$1006,0)), HYPERLINK("#",""), HYPERLINK(CONCATENATE("#Metadata!", ADDRESS(INDEX($AI$2:$AI$1001,MATCH(ROWS($AG$2:AG330),$AG$2:$AG$1001,0),0), INDEX($AN$1004:$BO$1004,1,MATCH(COLUMNS($AN$1006:BF1006),$AN$1006:$BO$1006,0)))),"Fix")))</f>
        <v>0</v>
      </c>
      <c r="U330" s="4">
        <f>IF(OR(INDEX($AH$2:$AH$1001,MATCH(ROWS($AG$2:AG330),$AG$2:$AG$1001,0),1)&gt;=100000,INDEX($AN$1005:$BO$1005,1,MATCH(COLUMNS($AN$1006:BG1006),$AN$1006:$BO$1006,0))&gt;=100000), " ",IF(INDEX($AN$2:$BO$1001,MATCH(ROWS($AG$2:AG330),$AG$2:$AG$1001,0),MATCH(COLUMNS($AN$1006:BG1006),$AN$1006:$BO$1006,0)), HYPERLINK("#",""), HYPERLINK(CONCATENATE("#Metadata!", ADDRESS(INDEX($AI$2:$AI$1001,MATCH(ROWS($AG$2:AG330),$AG$2:$AG$1001,0),0), INDEX($AN$1004:$BO$1004,1,MATCH(COLUMNS($AN$1006:BG1006),$AN$1006:$BO$1006,0)))),"Fix")))</f>
        <v>0</v>
      </c>
      <c r="V330" s="4">
        <f>IF(OR(INDEX($AH$2:$AH$1001,MATCH(ROWS($AG$2:AG330),$AG$2:$AG$1001,0),1)&gt;=100000,INDEX($AN$1005:$BO$1005,1,MATCH(COLUMNS($AN$1006:BH1006),$AN$1006:$BO$1006,0))&gt;=100000), " ",IF(INDEX($AN$2:$BO$1001,MATCH(ROWS($AG$2:AG330),$AG$2:$AG$1001,0),MATCH(COLUMNS($AN$1006:BH1006),$AN$1006:$BO$1006,0)), HYPERLINK("#",""), HYPERLINK(CONCATENATE("#Metadata!", ADDRESS(INDEX($AI$2:$AI$1001,MATCH(ROWS($AG$2:AG330),$AG$2:$AG$1001,0),0), INDEX($AN$1004:$BO$1004,1,MATCH(COLUMNS($AN$1006:BH1006),$AN$1006:$BO$1006,0)))),"Fix")))</f>
        <v>0</v>
      </c>
      <c r="W330" s="4">
        <f>IF(OR(INDEX($AH$2:$AH$1001,MATCH(ROWS($AG$2:AG330),$AG$2:$AG$1001,0),1)&gt;=100000,INDEX($AN$1005:$BO$1005,1,MATCH(COLUMNS($AN$1006:BI1006),$AN$1006:$BO$1006,0))&gt;=100000), " ",IF(INDEX($AN$2:$BO$1001,MATCH(ROWS($AG$2:AG330),$AG$2:$AG$1001,0),MATCH(COLUMNS($AN$1006:BI1006),$AN$1006:$BO$1006,0)), HYPERLINK("#",""), HYPERLINK(CONCATENATE("#Metadata!", ADDRESS(INDEX($AI$2:$AI$1001,MATCH(ROWS($AG$2:AG330),$AG$2:$AG$1001,0),0), INDEX($AN$1004:$BO$1004,1,MATCH(COLUMNS($AN$1006:BI1006),$AN$1006:$BO$1006,0)))),"Fix")))</f>
        <v>0</v>
      </c>
      <c r="X330" s="4">
        <f>IF(OR(INDEX($AH$2:$AH$1001,MATCH(ROWS($AG$2:AG330),$AG$2:$AG$1001,0),1)&gt;=100000,INDEX($AN$1005:$BO$1005,1,MATCH(COLUMNS($AN$1006:BJ1006),$AN$1006:$BO$1006,0))&gt;=100000), " ",IF(INDEX($AN$2:$BO$1001,MATCH(ROWS($AG$2:AG330),$AG$2:$AG$1001,0),MATCH(COLUMNS($AN$1006:BJ1006),$AN$1006:$BO$1006,0)), HYPERLINK("#",""), HYPERLINK(CONCATENATE("#Metadata!", ADDRESS(INDEX($AI$2:$AI$1001,MATCH(ROWS($AG$2:AG330),$AG$2:$AG$1001,0),0), INDEX($AN$1004:$BO$1004,1,MATCH(COLUMNS($AN$1006:BJ1006),$AN$1006:$BO$1006,0)))),"Fix")))</f>
        <v>0</v>
      </c>
      <c r="Y330" s="4">
        <f>IF(OR(INDEX($AH$2:$AH$1001,MATCH(ROWS($AG$2:AG330),$AG$2:$AG$1001,0),1)&gt;=100000,INDEX($AN$1005:$BO$1005,1,MATCH(COLUMNS($AN$1006:BK1006),$AN$1006:$BO$1006,0))&gt;=100000), " ",IF(INDEX($AN$2:$BO$1001,MATCH(ROWS($AG$2:AG330),$AG$2:$AG$1001,0),MATCH(COLUMNS($AN$1006:BK1006),$AN$1006:$BO$1006,0)), HYPERLINK("#",""), HYPERLINK(CONCATENATE("#Metadata!", ADDRESS(INDEX($AI$2:$AI$1001,MATCH(ROWS($AG$2:AG330),$AG$2:$AG$1001,0),0), INDEX($AN$1004:$BO$1004,1,MATCH(COLUMNS($AN$1006:BK1006),$AN$1006:$BO$1006,0)))),"Fix")))</f>
        <v>0</v>
      </c>
      <c r="Z330" s="4">
        <f>IF(OR(INDEX($AH$2:$AH$1001,MATCH(ROWS($AG$2:AG330),$AG$2:$AG$1001,0),1)&gt;=100000,INDEX($AN$1005:$BO$1005,1,MATCH(COLUMNS($AN$1006:BL1006),$AN$1006:$BO$1006,0))&gt;=100000), " ",IF(INDEX($AN$2:$BO$1001,MATCH(ROWS($AG$2:AG330),$AG$2:$AG$1001,0),MATCH(COLUMNS($AN$1006:BL1006),$AN$1006:$BO$1006,0)), HYPERLINK("#",""), HYPERLINK(CONCATENATE("#Metadata!", ADDRESS(INDEX($AI$2:$AI$1001,MATCH(ROWS($AG$2:AG330),$AG$2:$AG$1001,0),0), INDEX($AN$1004:$BO$1004,1,MATCH(COLUMNS($AN$1006:BL1006),$AN$1006:$BO$1006,0)))),"Fix")))</f>
        <v>0</v>
      </c>
      <c r="AA330" s="4">
        <f>IF(OR(INDEX($AH$2:$AH$1001,MATCH(ROWS($AG$2:AG330),$AG$2:$AG$1001,0),1)&gt;=100000,INDEX($AN$1005:$BO$1005,1,MATCH(COLUMNS($AN$1006:BM1006),$AN$1006:$BO$1006,0))&gt;=100000), " ",IF(INDEX($AN$2:$BO$1001,MATCH(ROWS($AG$2:AG330),$AG$2:$AG$1001,0),MATCH(COLUMNS($AN$1006:BM1006),$AN$1006:$BO$1006,0)), HYPERLINK("#",""), HYPERLINK(CONCATENATE("#Metadata!", ADDRESS(INDEX($AI$2:$AI$1001,MATCH(ROWS($AG$2:AG330),$AG$2:$AG$1001,0),0), INDEX($AN$1004:$BO$1004,1,MATCH(COLUMNS($AN$1006:BM1006),$AN$1006:$BO$1006,0)))),"Fix")))</f>
        <v>0</v>
      </c>
      <c r="AB330" s="4">
        <f>IF(OR(INDEX($AH$2:$AH$1001,MATCH(ROWS($AG$2:AG330),$AG$2:$AG$1001,0),1)&gt;=100000,INDEX($AN$1005:$BO$1005,1,MATCH(COLUMNS($AN$1006:BN1006),$AN$1006:$BO$1006,0))&gt;=100000), " ",IF(INDEX($AN$2:$BO$1001,MATCH(ROWS($AG$2:AG330),$AG$2:$AG$1001,0),MATCH(COLUMNS($AN$1006:BN1006),$AN$1006:$BO$1006,0)), HYPERLINK("#",""), HYPERLINK(CONCATENATE("#Metadata!", ADDRESS(INDEX($AI$2:$AI$1001,MATCH(ROWS($AG$2:AG330),$AG$2:$AG$1001,0),0), INDEX($AN$1004:$BO$1004,1,MATCH(COLUMNS($AN$1006:BN1006),$AN$1006:$BO$1006,0)))),"Fix")))</f>
        <v>0</v>
      </c>
      <c r="AC330" s="4">
        <f>IF(OR(INDEX($AH$2:$AH$1001,MATCH(ROWS($AG$2:AG330),$AG$2:$AG$1001,0),1)&gt;=100000,INDEX($AN$1005:$BO$1005,1,MATCH(COLUMNS($AN$1006:BO1006),$AN$1006:$BO$1006,0))&gt;=100000), " ",IF(INDEX($AN$2:$BO$1001,MATCH(ROWS($AG$2:AG330),$AG$2:$AG$1001,0),MATCH(COLUMNS($AN$1006:BO1006),$AN$1006:$BO$1006,0)), HYPERLINK("#",""), HYPERLINK(CONCATENATE("#Metadata!", ADDRESS(INDEX($AI$2:$AI$1001,MATCH(ROWS($AG$2:AG330),$AG$2:$AG$1001,0),0), INDEX($AN$1004:$BO$1004,1,MATCH(COLUMNS($AN$1006:BO1006),$AN$1006:$BO$1006,0)))),"Fix")))</f>
        <v>0</v>
      </c>
      <c r="AG330">
        <v>0</v>
      </c>
      <c r="AH330">
        <v>0</v>
      </c>
      <c r="AI330">
        <v>0</v>
      </c>
      <c r="AJ330">
        <f>IF(AK330,TRUE,AND(AN330:BO330))</f>
        <v>0</v>
      </c>
      <c r="AK330">
        <f>COUNTBLANK(Metadata!B330:AC330)=COLUMNS(Metadata!B330:AC330)</f>
        <v>0</v>
      </c>
      <c r="AL330">
        <v>0</v>
      </c>
      <c r="AN330">
        <f>AND(IF(Metadata!B330="",FALSE,TRUE),COUNTIF(Metadata!B:B, Metadata!B330) = 1,NOT(ISERROR(SUMPRODUCT(SEARCH(MID(Metadata!B330,ROW(INDIRECT("1:"&amp;LEN(Metadata!B330))), 1),"0123456789abcdefghijklmnopqrstuvwxyzABCDEFGHIJKLMNOPQRSTUVWXYZ.")))))</f>
        <v>0</v>
      </c>
      <c r="AO330">
        <f>IF(Metadata!C330="",FALSE,TRUE)</f>
        <v>0</v>
      </c>
      <c r="AP330">
        <f>IF(Metadata!D330="",FALSE,TRUE)</f>
        <v>0</v>
      </c>
      <c r="AQ330">
        <f>OR(AND(IF(Metadata!E330="",FALSE,TRUE),OR(exact(Metadata!E330,"not collected"),exact(Metadata!E330,"not provided"),exact(Metadata!E330,"restricted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R330">
        <f>IF(Metadata!F330="",FALSE,TRUE)</f>
        <v>0</v>
      </c>
      <c r="AS330">
        <f>OR(AND(IF(Metadata!G330="",FALSE,TRUE),OR(exact(Metadata!G330,"not collected"),exact(Metadata!G330,"not provided"))),AND(IF(Metadata!G330="",FALSE,TRUE),OR(exact(Metadata!G330,"TRUE"),exact(Metadata!G330,"FALSE"))))</f>
        <v>0</v>
      </c>
      <c r="AT330">
        <f>OR(AND(IF(Metadata!H330="",FALSE,TRUE),OR(exact(Metadata!H330,"not collected"),exact(Metadata!H330,"not provided"),exact(Metadata!H330,"restricted access"))),AND(IF(Metadata!H330="",FALSE,ISNUMBER(VALUE(Metadata!H330))),Metadata!H330&gt;=-413.0))</f>
        <v>0</v>
      </c>
      <c r="AU330">
        <f>AND(IF(Metadata!I330="",FALSE,TRUE),exact(Metadata!I330,"meters"))</f>
        <v>0</v>
      </c>
      <c r="AV330">
        <f>AND(IF(Metadata!J330="",FALSE,TRUE),OR(exact(Metadata!J330,"Host-associated"),exact(Metadata!J330,"Free-living")))</f>
        <v>0</v>
      </c>
      <c r="AW330">
        <f>AND(IF(Metadata!K330="",FALSE,TRUE),OR(exact(Metadata!K330,"Animal"),exact(Metadata!K330,"Fungus"),exact(Metadata!K330,"Plant"),exact(Metadata!K330,"Saline"),exact(Metadata!K330,"Non-saline")))</f>
        <v>0</v>
      </c>
      <c r="AX330">
        <f>AND(IF(Metadata!L330="",FALSE,TRUE),OR(exact(Metadata!L330,"Plant secretion"),exact(Metadata!L330,"Plant rhizosphere"),exact(Metadata!L330,"Plant surface"),exact(Metadata!L330,"Plant corpus"),exact(Metadata!L330,"Fungus surface"),exact(Metadata!L330,"Fungus corpus"),exact(Metadata!L330,"Animal surface"),exact(Metadata!L330,"Animal proximal gut"),exact(Metadata!L330,"Animal corpus"),exact(Metadata!L330,"Animal distal gut"),exact(Metadata!L330,"Animal secretion"),exact(Metadata!L330,"Sub-surface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Y330">
        <f>IF(Metadata!M330="",FALSE,TRUE)</f>
        <v>0</v>
      </c>
      <c r="AZ330">
        <f>IF(Metadata!N330="",FALSE,TRUE)</f>
        <v>0</v>
      </c>
      <c r="BA330">
        <f>IF(Metadata!O330="",FALSE,TRUE)</f>
        <v>0</v>
      </c>
      <c r="BB330">
        <f>OR(AND(IF(Metadata!P330="",FALSE,TRUE),OR(exact(Metadata!P330,"not collected"),exact(Metadata!P330,"not provided"),exact(Metadata!P330,"restricted access"))),AND(IF(Metadata!P330="",FALSE,TRUE),OR(exact(Metadata!P330,"air"),exact(Metadata!P330,"built environment"),exact(Metadata!P330,"host-associated"),exact(Metadata!P330,"human-associated"),exact(Metadata!P330,"human-skin"),exact(Metadata!P330,"human-oral"),exact(Metadata!P330,"human-gut"),exact(Metadata!P330,"human-vaginal"),exact(Metadata!P330,"microbial mat/biofilm"),exact(Metadata!P330,"misc environment"),exact(Metadata!P330,"plant-associated"),exact(Metadata!P330,"sediment"),exact(Metadata!P330,"soil"),exact(Metadata!P330,"wastewater/sludge"),exact(Metadata!P330,"water"))))</f>
        <v>0</v>
      </c>
      <c r="BC330">
        <f>IF(Metadata!Q330="",FALSE,TRUE)</f>
        <v>0</v>
      </c>
      <c r="BD330">
        <f>IF(Metadata!R330="",FALSE,TRUE)</f>
        <v>0</v>
      </c>
      <c r="BE330">
        <f>OR(AND(IF(Metadata!S330="",FALSE,TRUE),OR(exact(Metadata!S330,"not collected"),exact(Metadata!S330,"not provided"),exact(Metadata!S330,"restricted access"))),AND(IF(Metadata!S330="",FALSE,ISNUMBER(VALUE(Metadata!S330))),Metadata!S330&gt;=-90.00,Metadata!S330&lt;=90.00))</f>
        <v>0</v>
      </c>
      <c r="BF330">
        <f>AND(IF(Metadata!T330="",FALSE,TRUE),exact(Metadata!T330,"Decimal degrees"))</f>
        <v>0</v>
      </c>
      <c r="BG330">
        <f>OR(AND(IF(Metadata!U330="",FALSE,TRUE),OR(exact(Metadata!U330,"not collected"),exact(Metadata!U330,"not provided"),exact(Metadata!U330,"restricted access"))),AND(IF(Metadata!U330="",FALSE,ISNUMBER(VALUE(Metadata!U330))),Metadata!U330&gt;=-180.00,Metadata!U330&lt;=180.00))</f>
        <v>0</v>
      </c>
      <c r="BH330">
        <f>AND(IF(Metadata!V330="",FALSE,TRUE),exact(Metadata!V330,"Decimal degrees"))</f>
        <v>0</v>
      </c>
      <c r="BI330">
        <f>IF(Metadata!W330="",FALSE,TRUE)</f>
        <v>0</v>
      </c>
      <c r="BJ330">
        <f>OR(AND(IF(Metadata!X330="",FALSE,TRUE),OR(exact(Metadata!X330,"not collected"),exact(Metadata!X330,"not provided"),exact(Metadata!X330,"restricted access"))),AND(IF(Metadata!X330="",FALSE,TRUE),OR(exact(Metadata!X330,"TRUE"),exact(Metadata!X330,"FALSE"))))</f>
        <v>0</v>
      </c>
      <c r="BK330">
        <f>AND(IF(Metadata!Y330="",FALSE,TRUE),exact(Metadata!Y330,"other"))</f>
        <v>0</v>
      </c>
      <c r="BL330">
        <f>IF(Metadata!Z330="",FALSE,TRUE)</f>
        <v>0</v>
      </c>
      <c r="BM330">
        <f>OR(AND(IF(Metadata!AA330="",FALSE,TRUE),OR(exact(Metadata!AA330,"not collected"),exact(Metadata!AA330,"not provided"))),AND(IF(Metadata!AA330="",FALSE,IF(ISERROR(INT(Metadata!AA330)),FALSE,INT(Metadata!AA330)=Metadata!AA330)),Metadata!AA330&gt;0))</f>
        <v>0</v>
      </c>
      <c r="BN330">
        <f>AND(IF(Metadata!AB330="",FALSE,TRUE),exact(Metadata!AB330,"Not applicable"))</f>
        <v>0</v>
      </c>
      <c r="BO330">
        <f>IF(Metadata!AC330="",FALSE,TRUE)</f>
        <v>0</v>
      </c>
    </row>
    <row r="331" spans="1:67">
      <c r="A331" s="5">
        <f>IF(B331=" "," ",HYPERLINK(CONCATENATE("#metadata!",ADDRESS(INDEX($AI$2:$AI$1001,MATCH(ROWS($AG$2:AG331),$AG$2:$AG$1001,0),0),1)),INDEX($AL$2:$AL$1001,MATCH(ROWS($AG$2:AG331),$AG$2:$AG$1001,0),0)))</f>
        <v>0</v>
      </c>
      <c r="B331" s="4">
        <f>IF(OR(INDEX($AH$2:$AH$1001,MATCH(ROWS($AG$2:AG331),$AG$2:$AG$1001,0),1)&gt;=100000,INDEX($AN$1005:$BO$1005,1,MATCH(COLUMNS($AN$1006:AN1006),$AN$1006:$BO$1006,0))&gt;=100000), " ",IF(INDEX($AN$2:$BO$1001,MATCH(ROWS($AG$2:AG331),$AG$2:$AG$1001,0),MATCH(COLUMNS($AN$1006:AN1006),$AN$1006:$BO$1006,0)), HYPERLINK("#",""), HYPERLINK(CONCATENATE("#Metadata!", ADDRESS(INDEX($AI$2:$AI$1001,MATCH(ROWS($AG$2:AG331),$AG$2:$AG$1001,0),0), INDEX($AN$1004:$BO$1004,1,MATCH(COLUMNS($AN$1006:AN1006),$AN$1006:$BO$1006,0)))),"Fix")))</f>
        <v>0</v>
      </c>
      <c r="C331" s="4">
        <f>IF(OR(INDEX($AH$2:$AH$1001,MATCH(ROWS($AG$2:AG331),$AG$2:$AG$1001,0),1)&gt;=100000,INDEX($AN$1005:$BO$1005,1,MATCH(COLUMNS($AN$1006:AO1006),$AN$1006:$BO$1006,0))&gt;=100000), " ",IF(INDEX($AN$2:$BO$1001,MATCH(ROWS($AG$2:AG331),$AG$2:$AG$1001,0),MATCH(COLUMNS($AN$1006:AO1006),$AN$1006:$BO$1006,0)), HYPERLINK("#",""), HYPERLINK(CONCATENATE("#Metadata!", ADDRESS(INDEX($AI$2:$AI$1001,MATCH(ROWS($AG$2:AG331),$AG$2:$AG$1001,0),0), INDEX($AN$1004:$BO$1004,1,MATCH(COLUMNS($AN$1006:AO1006),$AN$1006:$BO$1006,0)))),"Fix")))</f>
        <v>0</v>
      </c>
      <c r="D331" s="4">
        <f>IF(OR(INDEX($AH$2:$AH$1001,MATCH(ROWS($AG$2:AG331),$AG$2:$AG$1001,0),1)&gt;=100000,INDEX($AN$1005:$BO$1005,1,MATCH(COLUMNS($AN$1006:AP1006),$AN$1006:$BO$1006,0))&gt;=100000), " ",IF(INDEX($AN$2:$BO$1001,MATCH(ROWS($AG$2:AG331),$AG$2:$AG$1001,0),MATCH(COLUMNS($AN$1006:AP1006),$AN$1006:$BO$1006,0)), HYPERLINK("#",""), HYPERLINK(CONCATENATE("#Metadata!", ADDRESS(INDEX($AI$2:$AI$1001,MATCH(ROWS($AG$2:AG331),$AG$2:$AG$1001,0),0), INDEX($AN$1004:$BO$1004,1,MATCH(COLUMNS($AN$1006:AP1006),$AN$1006:$BO$1006,0)))),"Fix")))</f>
        <v>0</v>
      </c>
      <c r="E331" s="4">
        <f>IF(OR(INDEX($AH$2:$AH$1001,MATCH(ROWS($AG$2:AG331),$AG$2:$AG$1001,0),1)&gt;=100000,INDEX($AN$1005:$BO$1005,1,MATCH(COLUMNS($AN$1006:AQ1006),$AN$1006:$BO$1006,0))&gt;=100000), " ",IF(INDEX($AN$2:$BO$1001,MATCH(ROWS($AG$2:AG331),$AG$2:$AG$1001,0),MATCH(COLUMNS($AN$1006:AQ1006),$AN$1006:$BO$1006,0)), HYPERLINK("#",""), HYPERLINK(CONCATENATE("#Metadata!", ADDRESS(INDEX($AI$2:$AI$1001,MATCH(ROWS($AG$2:AG331),$AG$2:$AG$1001,0),0), INDEX($AN$1004:$BO$1004,1,MATCH(COLUMNS($AN$1006:AQ1006),$AN$1006:$BO$1006,0)))),"Fix")))</f>
        <v>0</v>
      </c>
      <c r="F331" s="4">
        <f>IF(OR(INDEX($AH$2:$AH$1001,MATCH(ROWS($AG$2:AG331),$AG$2:$AG$1001,0),1)&gt;=100000,INDEX($AN$1005:$BO$1005,1,MATCH(COLUMNS($AN$1006:AR1006),$AN$1006:$BO$1006,0))&gt;=100000), " ",IF(INDEX($AN$2:$BO$1001,MATCH(ROWS($AG$2:AG331),$AG$2:$AG$1001,0),MATCH(COLUMNS($AN$1006:AR1006),$AN$1006:$BO$1006,0)), HYPERLINK("#",""), HYPERLINK(CONCATENATE("#Metadata!", ADDRESS(INDEX($AI$2:$AI$1001,MATCH(ROWS($AG$2:AG331),$AG$2:$AG$1001,0),0), INDEX($AN$1004:$BO$1004,1,MATCH(COLUMNS($AN$1006:AR1006),$AN$1006:$BO$1006,0)))),"Fix")))</f>
        <v>0</v>
      </c>
      <c r="G331" s="4">
        <f>IF(OR(INDEX($AH$2:$AH$1001,MATCH(ROWS($AG$2:AG331),$AG$2:$AG$1001,0),1)&gt;=100000,INDEX($AN$1005:$BO$1005,1,MATCH(COLUMNS($AN$1006:AS1006),$AN$1006:$BO$1006,0))&gt;=100000), " ",IF(INDEX($AN$2:$BO$1001,MATCH(ROWS($AG$2:AG331),$AG$2:$AG$1001,0),MATCH(COLUMNS($AN$1006:AS1006),$AN$1006:$BO$1006,0)), HYPERLINK("#",""), HYPERLINK(CONCATENATE("#Metadata!", ADDRESS(INDEX($AI$2:$AI$1001,MATCH(ROWS($AG$2:AG331),$AG$2:$AG$1001,0),0), INDEX($AN$1004:$BO$1004,1,MATCH(COLUMNS($AN$1006:AS1006),$AN$1006:$BO$1006,0)))),"Fix")))</f>
        <v>0</v>
      </c>
      <c r="H331" s="4">
        <f>IF(OR(INDEX($AH$2:$AH$1001,MATCH(ROWS($AG$2:AG331),$AG$2:$AG$1001,0),1)&gt;=100000,INDEX($AN$1005:$BO$1005,1,MATCH(COLUMNS($AN$1006:AT1006),$AN$1006:$BO$1006,0))&gt;=100000), " ",IF(INDEX($AN$2:$BO$1001,MATCH(ROWS($AG$2:AG331),$AG$2:$AG$1001,0),MATCH(COLUMNS($AN$1006:AT1006),$AN$1006:$BO$1006,0)), HYPERLINK("#",""), HYPERLINK(CONCATENATE("#Metadata!", ADDRESS(INDEX($AI$2:$AI$1001,MATCH(ROWS($AG$2:AG331),$AG$2:$AG$1001,0),0), INDEX($AN$1004:$BO$1004,1,MATCH(COLUMNS($AN$1006:AT1006),$AN$1006:$BO$1006,0)))),"Fix")))</f>
        <v>0</v>
      </c>
      <c r="I331" s="4">
        <f>IF(OR(INDEX($AH$2:$AH$1001,MATCH(ROWS($AG$2:AG331),$AG$2:$AG$1001,0),1)&gt;=100000,INDEX($AN$1005:$BO$1005,1,MATCH(COLUMNS($AN$1006:AU1006),$AN$1006:$BO$1006,0))&gt;=100000), " ",IF(INDEX($AN$2:$BO$1001,MATCH(ROWS($AG$2:AG331),$AG$2:$AG$1001,0),MATCH(COLUMNS($AN$1006:AU1006),$AN$1006:$BO$1006,0)), HYPERLINK("#",""), HYPERLINK(CONCATENATE("#Metadata!", ADDRESS(INDEX($AI$2:$AI$1001,MATCH(ROWS($AG$2:AG331),$AG$2:$AG$1001,0),0), INDEX($AN$1004:$BO$1004,1,MATCH(COLUMNS($AN$1006:AU1006),$AN$1006:$BO$1006,0)))),"Fix")))</f>
        <v>0</v>
      </c>
      <c r="J331" s="4">
        <f>IF(OR(INDEX($AH$2:$AH$1001,MATCH(ROWS($AG$2:AG331),$AG$2:$AG$1001,0),1)&gt;=100000,INDEX($AN$1005:$BO$1005,1,MATCH(COLUMNS($AN$1006:AV1006),$AN$1006:$BO$1006,0))&gt;=100000), " ",IF(INDEX($AN$2:$BO$1001,MATCH(ROWS($AG$2:AG331),$AG$2:$AG$1001,0),MATCH(COLUMNS($AN$1006:AV1006),$AN$1006:$BO$1006,0)), HYPERLINK("#",""), HYPERLINK(CONCATENATE("#Metadata!", ADDRESS(INDEX($AI$2:$AI$1001,MATCH(ROWS($AG$2:AG331),$AG$2:$AG$1001,0),0), INDEX($AN$1004:$BO$1004,1,MATCH(COLUMNS($AN$1006:AV1006),$AN$1006:$BO$1006,0)))),"Fix")))</f>
        <v>0</v>
      </c>
      <c r="K331" s="4">
        <f>IF(OR(INDEX($AH$2:$AH$1001,MATCH(ROWS($AG$2:AG331),$AG$2:$AG$1001,0),1)&gt;=100000,INDEX($AN$1005:$BO$1005,1,MATCH(COLUMNS($AN$1006:AW1006),$AN$1006:$BO$1006,0))&gt;=100000), " ",IF(INDEX($AN$2:$BO$1001,MATCH(ROWS($AG$2:AG331),$AG$2:$AG$1001,0),MATCH(COLUMNS($AN$1006:AW1006),$AN$1006:$BO$1006,0)), HYPERLINK("#",""), HYPERLINK(CONCATENATE("#Metadata!", ADDRESS(INDEX($AI$2:$AI$1001,MATCH(ROWS($AG$2:AG331),$AG$2:$AG$1001,0),0), INDEX($AN$1004:$BO$1004,1,MATCH(COLUMNS($AN$1006:AW1006),$AN$1006:$BO$1006,0)))),"Fix")))</f>
        <v>0</v>
      </c>
      <c r="L331" s="4">
        <f>IF(OR(INDEX($AH$2:$AH$1001,MATCH(ROWS($AG$2:AG331),$AG$2:$AG$1001,0),1)&gt;=100000,INDEX($AN$1005:$BO$1005,1,MATCH(COLUMNS($AN$1006:AX1006),$AN$1006:$BO$1006,0))&gt;=100000), " ",IF(INDEX($AN$2:$BO$1001,MATCH(ROWS($AG$2:AG331),$AG$2:$AG$1001,0),MATCH(COLUMNS($AN$1006:AX1006),$AN$1006:$BO$1006,0)), HYPERLINK("#",""), HYPERLINK(CONCATENATE("#Metadata!", ADDRESS(INDEX($AI$2:$AI$1001,MATCH(ROWS($AG$2:AG331),$AG$2:$AG$1001,0),0), INDEX($AN$1004:$BO$1004,1,MATCH(COLUMNS($AN$1006:AX1006),$AN$1006:$BO$1006,0)))),"Fix")))</f>
        <v>0</v>
      </c>
      <c r="M331" s="4">
        <f>IF(OR(INDEX($AH$2:$AH$1001,MATCH(ROWS($AG$2:AG331),$AG$2:$AG$1001,0),1)&gt;=100000,INDEX($AN$1005:$BO$1005,1,MATCH(COLUMNS($AN$1006:AY1006),$AN$1006:$BO$1006,0))&gt;=100000), " ",IF(INDEX($AN$2:$BO$1001,MATCH(ROWS($AG$2:AG331),$AG$2:$AG$1001,0),MATCH(COLUMNS($AN$1006:AY1006),$AN$1006:$BO$1006,0)), HYPERLINK("#",""), HYPERLINK(CONCATENATE("#Metadata!", ADDRESS(INDEX($AI$2:$AI$1001,MATCH(ROWS($AG$2:AG331),$AG$2:$AG$1001,0),0), INDEX($AN$1004:$BO$1004,1,MATCH(COLUMNS($AN$1006:AY1006),$AN$1006:$BO$1006,0)))),"Fix")))</f>
        <v>0</v>
      </c>
      <c r="N331" s="4">
        <f>IF(OR(INDEX($AH$2:$AH$1001,MATCH(ROWS($AG$2:AG331),$AG$2:$AG$1001,0),1)&gt;=100000,INDEX($AN$1005:$BO$1005,1,MATCH(COLUMNS($AN$1006:AZ1006),$AN$1006:$BO$1006,0))&gt;=100000), " ",IF(INDEX($AN$2:$BO$1001,MATCH(ROWS($AG$2:AG331),$AG$2:$AG$1001,0),MATCH(COLUMNS($AN$1006:AZ1006),$AN$1006:$BO$1006,0)), HYPERLINK("#",""), HYPERLINK(CONCATENATE("#Metadata!", ADDRESS(INDEX($AI$2:$AI$1001,MATCH(ROWS($AG$2:AG331),$AG$2:$AG$1001,0),0), INDEX($AN$1004:$BO$1004,1,MATCH(COLUMNS($AN$1006:AZ1006),$AN$1006:$BO$1006,0)))),"Fix")))</f>
        <v>0</v>
      </c>
      <c r="O331" s="4">
        <f>IF(OR(INDEX($AH$2:$AH$1001,MATCH(ROWS($AG$2:AG331),$AG$2:$AG$1001,0),1)&gt;=100000,INDEX($AN$1005:$BO$1005,1,MATCH(COLUMNS($AN$1006:BA1006),$AN$1006:$BO$1006,0))&gt;=100000), " ",IF(INDEX($AN$2:$BO$1001,MATCH(ROWS($AG$2:AG331),$AG$2:$AG$1001,0),MATCH(COLUMNS($AN$1006:BA1006),$AN$1006:$BO$1006,0)), HYPERLINK("#",""), HYPERLINK(CONCATENATE("#Metadata!", ADDRESS(INDEX($AI$2:$AI$1001,MATCH(ROWS($AG$2:AG331),$AG$2:$AG$1001,0),0), INDEX($AN$1004:$BO$1004,1,MATCH(COLUMNS($AN$1006:BA1006),$AN$1006:$BO$1006,0)))),"Fix")))</f>
        <v>0</v>
      </c>
      <c r="P331" s="4">
        <f>IF(OR(INDEX($AH$2:$AH$1001,MATCH(ROWS($AG$2:AG331),$AG$2:$AG$1001,0),1)&gt;=100000,INDEX($AN$1005:$BO$1005,1,MATCH(COLUMNS($AN$1006:BB1006),$AN$1006:$BO$1006,0))&gt;=100000), " ",IF(INDEX($AN$2:$BO$1001,MATCH(ROWS($AG$2:AG331),$AG$2:$AG$1001,0),MATCH(COLUMNS($AN$1006:BB1006),$AN$1006:$BO$1006,0)), HYPERLINK("#",""), HYPERLINK(CONCATENATE("#Metadata!", ADDRESS(INDEX($AI$2:$AI$1001,MATCH(ROWS($AG$2:AG331),$AG$2:$AG$1001,0),0), INDEX($AN$1004:$BO$1004,1,MATCH(COLUMNS($AN$1006:BB1006),$AN$1006:$BO$1006,0)))),"Fix")))</f>
        <v>0</v>
      </c>
      <c r="Q331" s="4">
        <f>IF(OR(INDEX($AH$2:$AH$1001,MATCH(ROWS($AG$2:AG331),$AG$2:$AG$1001,0),1)&gt;=100000,INDEX($AN$1005:$BO$1005,1,MATCH(COLUMNS($AN$1006:BC1006),$AN$1006:$BO$1006,0))&gt;=100000), " ",IF(INDEX($AN$2:$BO$1001,MATCH(ROWS($AG$2:AG331),$AG$2:$AG$1001,0),MATCH(COLUMNS($AN$1006:BC1006),$AN$1006:$BO$1006,0)), HYPERLINK("#",""), HYPERLINK(CONCATENATE("#Metadata!", ADDRESS(INDEX($AI$2:$AI$1001,MATCH(ROWS($AG$2:AG331),$AG$2:$AG$1001,0),0), INDEX($AN$1004:$BO$1004,1,MATCH(COLUMNS($AN$1006:BC1006),$AN$1006:$BO$1006,0)))),"Fix")))</f>
        <v>0</v>
      </c>
      <c r="R331" s="4">
        <f>IF(OR(INDEX($AH$2:$AH$1001,MATCH(ROWS($AG$2:AG331),$AG$2:$AG$1001,0),1)&gt;=100000,INDEX($AN$1005:$BO$1005,1,MATCH(COLUMNS($AN$1006:BD1006),$AN$1006:$BO$1006,0))&gt;=100000), " ",IF(INDEX($AN$2:$BO$1001,MATCH(ROWS($AG$2:AG331),$AG$2:$AG$1001,0),MATCH(COLUMNS($AN$1006:BD1006),$AN$1006:$BO$1006,0)), HYPERLINK("#",""), HYPERLINK(CONCATENATE("#Metadata!", ADDRESS(INDEX($AI$2:$AI$1001,MATCH(ROWS($AG$2:AG331),$AG$2:$AG$1001,0),0), INDEX($AN$1004:$BO$1004,1,MATCH(COLUMNS($AN$1006:BD1006),$AN$1006:$BO$1006,0)))),"Fix")))</f>
        <v>0</v>
      </c>
      <c r="S331" s="4">
        <f>IF(OR(INDEX($AH$2:$AH$1001,MATCH(ROWS($AG$2:AG331),$AG$2:$AG$1001,0),1)&gt;=100000,INDEX($AN$1005:$BO$1005,1,MATCH(COLUMNS($AN$1006:BE1006),$AN$1006:$BO$1006,0))&gt;=100000), " ",IF(INDEX($AN$2:$BO$1001,MATCH(ROWS($AG$2:AG331),$AG$2:$AG$1001,0),MATCH(COLUMNS($AN$1006:BE1006),$AN$1006:$BO$1006,0)), HYPERLINK("#",""), HYPERLINK(CONCATENATE("#Metadata!", ADDRESS(INDEX($AI$2:$AI$1001,MATCH(ROWS($AG$2:AG331),$AG$2:$AG$1001,0),0), INDEX($AN$1004:$BO$1004,1,MATCH(COLUMNS($AN$1006:BE1006),$AN$1006:$BO$1006,0)))),"Fix")))</f>
        <v>0</v>
      </c>
      <c r="T331" s="4">
        <f>IF(OR(INDEX($AH$2:$AH$1001,MATCH(ROWS($AG$2:AG331),$AG$2:$AG$1001,0),1)&gt;=100000,INDEX($AN$1005:$BO$1005,1,MATCH(COLUMNS($AN$1006:BF1006),$AN$1006:$BO$1006,0))&gt;=100000), " ",IF(INDEX($AN$2:$BO$1001,MATCH(ROWS($AG$2:AG331),$AG$2:$AG$1001,0),MATCH(COLUMNS($AN$1006:BF1006),$AN$1006:$BO$1006,0)), HYPERLINK("#",""), HYPERLINK(CONCATENATE("#Metadata!", ADDRESS(INDEX($AI$2:$AI$1001,MATCH(ROWS($AG$2:AG331),$AG$2:$AG$1001,0),0), INDEX($AN$1004:$BO$1004,1,MATCH(COLUMNS($AN$1006:BF1006),$AN$1006:$BO$1006,0)))),"Fix")))</f>
        <v>0</v>
      </c>
      <c r="U331" s="4">
        <f>IF(OR(INDEX($AH$2:$AH$1001,MATCH(ROWS($AG$2:AG331),$AG$2:$AG$1001,0),1)&gt;=100000,INDEX($AN$1005:$BO$1005,1,MATCH(COLUMNS($AN$1006:BG1006),$AN$1006:$BO$1006,0))&gt;=100000), " ",IF(INDEX($AN$2:$BO$1001,MATCH(ROWS($AG$2:AG331),$AG$2:$AG$1001,0),MATCH(COLUMNS($AN$1006:BG1006),$AN$1006:$BO$1006,0)), HYPERLINK("#",""), HYPERLINK(CONCATENATE("#Metadata!", ADDRESS(INDEX($AI$2:$AI$1001,MATCH(ROWS($AG$2:AG331),$AG$2:$AG$1001,0),0), INDEX($AN$1004:$BO$1004,1,MATCH(COLUMNS($AN$1006:BG1006),$AN$1006:$BO$1006,0)))),"Fix")))</f>
        <v>0</v>
      </c>
      <c r="V331" s="4">
        <f>IF(OR(INDEX($AH$2:$AH$1001,MATCH(ROWS($AG$2:AG331),$AG$2:$AG$1001,0),1)&gt;=100000,INDEX($AN$1005:$BO$1005,1,MATCH(COLUMNS($AN$1006:BH1006),$AN$1006:$BO$1006,0))&gt;=100000), " ",IF(INDEX($AN$2:$BO$1001,MATCH(ROWS($AG$2:AG331),$AG$2:$AG$1001,0),MATCH(COLUMNS($AN$1006:BH1006),$AN$1006:$BO$1006,0)), HYPERLINK("#",""), HYPERLINK(CONCATENATE("#Metadata!", ADDRESS(INDEX($AI$2:$AI$1001,MATCH(ROWS($AG$2:AG331),$AG$2:$AG$1001,0),0), INDEX($AN$1004:$BO$1004,1,MATCH(COLUMNS($AN$1006:BH1006),$AN$1006:$BO$1006,0)))),"Fix")))</f>
        <v>0</v>
      </c>
      <c r="W331" s="4">
        <f>IF(OR(INDEX($AH$2:$AH$1001,MATCH(ROWS($AG$2:AG331),$AG$2:$AG$1001,0),1)&gt;=100000,INDEX($AN$1005:$BO$1005,1,MATCH(COLUMNS($AN$1006:BI1006),$AN$1006:$BO$1006,0))&gt;=100000), " ",IF(INDEX($AN$2:$BO$1001,MATCH(ROWS($AG$2:AG331),$AG$2:$AG$1001,0),MATCH(COLUMNS($AN$1006:BI1006),$AN$1006:$BO$1006,0)), HYPERLINK("#",""), HYPERLINK(CONCATENATE("#Metadata!", ADDRESS(INDEX($AI$2:$AI$1001,MATCH(ROWS($AG$2:AG331),$AG$2:$AG$1001,0),0), INDEX($AN$1004:$BO$1004,1,MATCH(COLUMNS($AN$1006:BI1006),$AN$1006:$BO$1006,0)))),"Fix")))</f>
        <v>0</v>
      </c>
      <c r="X331" s="4">
        <f>IF(OR(INDEX($AH$2:$AH$1001,MATCH(ROWS($AG$2:AG331),$AG$2:$AG$1001,0),1)&gt;=100000,INDEX($AN$1005:$BO$1005,1,MATCH(COLUMNS($AN$1006:BJ1006),$AN$1006:$BO$1006,0))&gt;=100000), " ",IF(INDEX($AN$2:$BO$1001,MATCH(ROWS($AG$2:AG331),$AG$2:$AG$1001,0),MATCH(COLUMNS($AN$1006:BJ1006),$AN$1006:$BO$1006,0)), HYPERLINK("#",""), HYPERLINK(CONCATENATE("#Metadata!", ADDRESS(INDEX($AI$2:$AI$1001,MATCH(ROWS($AG$2:AG331),$AG$2:$AG$1001,0),0), INDEX($AN$1004:$BO$1004,1,MATCH(COLUMNS($AN$1006:BJ1006),$AN$1006:$BO$1006,0)))),"Fix")))</f>
        <v>0</v>
      </c>
      <c r="Y331" s="4">
        <f>IF(OR(INDEX($AH$2:$AH$1001,MATCH(ROWS($AG$2:AG331),$AG$2:$AG$1001,0),1)&gt;=100000,INDEX($AN$1005:$BO$1005,1,MATCH(COLUMNS($AN$1006:BK1006),$AN$1006:$BO$1006,0))&gt;=100000), " ",IF(INDEX($AN$2:$BO$1001,MATCH(ROWS($AG$2:AG331),$AG$2:$AG$1001,0),MATCH(COLUMNS($AN$1006:BK1006),$AN$1006:$BO$1006,0)), HYPERLINK("#",""), HYPERLINK(CONCATENATE("#Metadata!", ADDRESS(INDEX($AI$2:$AI$1001,MATCH(ROWS($AG$2:AG331),$AG$2:$AG$1001,0),0), INDEX($AN$1004:$BO$1004,1,MATCH(COLUMNS($AN$1006:BK1006),$AN$1006:$BO$1006,0)))),"Fix")))</f>
        <v>0</v>
      </c>
      <c r="Z331" s="4">
        <f>IF(OR(INDEX($AH$2:$AH$1001,MATCH(ROWS($AG$2:AG331),$AG$2:$AG$1001,0),1)&gt;=100000,INDEX($AN$1005:$BO$1005,1,MATCH(COLUMNS($AN$1006:BL1006),$AN$1006:$BO$1006,0))&gt;=100000), " ",IF(INDEX($AN$2:$BO$1001,MATCH(ROWS($AG$2:AG331),$AG$2:$AG$1001,0),MATCH(COLUMNS($AN$1006:BL1006),$AN$1006:$BO$1006,0)), HYPERLINK("#",""), HYPERLINK(CONCATENATE("#Metadata!", ADDRESS(INDEX($AI$2:$AI$1001,MATCH(ROWS($AG$2:AG331),$AG$2:$AG$1001,0),0), INDEX($AN$1004:$BO$1004,1,MATCH(COLUMNS($AN$1006:BL1006),$AN$1006:$BO$1006,0)))),"Fix")))</f>
        <v>0</v>
      </c>
      <c r="AA331" s="4">
        <f>IF(OR(INDEX($AH$2:$AH$1001,MATCH(ROWS($AG$2:AG331),$AG$2:$AG$1001,0),1)&gt;=100000,INDEX($AN$1005:$BO$1005,1,MATCH(COLUMNS($AN$1006:BM1006),$AN$1006:$BO$1006,0))&gt;=100000), " ",IF(INDEX($AN$2:$BO$1001,MATCH(ROWS($AG$2:AG331),$AG$2:$AG$1001,0),MATCH(COLUMNS($AN$1006:BM1006),$AN$1006:$BO$1006,0)), HYPERLINK("#",""), HYPERLINK(CONCATENATE("#Metadata!", ADDRESS(INDEX($AI$2:$AI$1001,MATCH(ROWS($AG$2:AG331),$AG$2:$AG$1001,0),0), INDEX($AN$1004:$BO$1004,1,MATCH(COLUMNS($AN$1006:BM1006),$AN$1006:$BO$1006,0)))),"Fix")))</f>
        <v>0</v>
      </c>
      <c r="AB331" s="4">
        <f>IF(OR(INDEX($AH$2:$AH$1001,MATCH(ROWS($AG$2:AG331),$AG$2:$AG$1001,0),1)&gt;=100000,INDEX($AN$1005:$BO$1005,1,MATCH(COLUMNS($AN$1006:BN1006),$AN$1006:$BO$1006,0))&gt;=100000), " ",IF(INDEX($AN$2:$BO$1001,MATCH(ROWS($AG$2:AG331),$AG$2:$AG$1001,0),MATCH(COLUMNS($AN$1006:BN1006),$AN$1006:$BO$1006,0)), HYPERLINK("#",""), HYPERLINK(CONCATENATE("#Metadata!", ADDRESS(INDEX($AI$2:$AI$1001,MATCH(ROWS($AG$2:AG331),$AG$2:$AG$1001,0),0), INDEX($AN$1004:$BO$1004,1,MATCH(COLUMNS($AN$1006:BN1006),$AN$1006:$BO$1006,0)))),"Fix")))</f>
        <v>0</v>
      </c>
      <c r="AC331" s="4">
        <f>IF(OR(INDEX($AH$2:$AH$1001,MATCH(ROWS($AG$2:AG331),$AG$2:$AG$1001,0),1)&gt;=100000,INDEX($AN$1005:$BO$1005,1,MATCH(COLUMNS($AN$1006:BO1006),$AN$1006:$BO$1006,0))&gt;=100000), " ",IF(INDEX($AN$2:$BO$1001,MATCH(ROWS($AG$2:AG331),$AG$2:$AG$1001,0),MATCH(COLUMNS($AN$1006:BO1006),$AN$1006:$BO$1006,0)), HYPERLINK("#",""), HYPERLINK(CONCATENATE("#Metadata!", ADDRESS(INDEX($AI$2:$AI$1001,MATCH(ROWS($AG$2:AG331),$AG$2:$AG$1001,0),0), INDEX($AN$1004:$BO$1004,1,MATCH(COLUMNS($AN$1006:BO1006),$AN$1006:$BO$1006,0)))),"Fix")))</f>
        <v>0</v>
      </c>
      <c r="AG331">
        <v>0</v>
      </c>
      <c r="AH331">
        <v>0</v>
      </c>
      <c r="AI331">
        <v>0</v>
      </c>
      <c r="AJ331">
        <f>IF(AK331,TRUE,AND(AN331:BO331))</f>
        <v>0</v>
      </c>
      <c r="AK331">
        <f>COUNTBLANK(Metadata!B331:AC331)=COLUMNS(Metadata!B331:AC331)</f>
        <v>0</v>
      </c>
      <c r="AL331">
        <v>0</v>
      </c>
      <c r="AN331">
        <f>AND(IF(Metadata!B331="",FALSE,TRUE),COUNTIF(Metadata!B:B, Metadata!B331) = 1,NOT(ISERROR(SUMPRODUCT(SEARCH(MID(Metadata!B331,ROW(INDIRECT("1:"&amp;LEN(Metadata!B331))), 1),"0123456789abcdefghijklmnopqrstuvwxyzABCDEFGHIJKLMNOPQRSTUVWXYZ.")))))</f>
        <v>0</v>
      </c>
      <c r="AO331">
        <f>IF(Metadata!C331="",FALSE,TRUE)</f>
        <v>0</v>
      </c>
      <c r="AP331">
        <f>IF(Metadata!D331="",FALSE,TRUE)</f>
        <v>0</v>
      </c>
      <c r="AQ331">
        <f>OR(AND(IF(Metadata!E331="",FALSE,TRUE),OR(exact(Metadata!E331,"not collected"),exact(Metadata!E331,"not provided"),exact(Metadata!E331,"restricted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R331">
        <f>IF(Metadata!F331="",FALSE,TRUE)</f>
        <v>0</v>
      </c>
      <c r="AS331">
        <f>OR(AND(IF(Metadata!G331="",FALSE,TRUE),OR(exact(Metadata!G331,"not collected"),exact(Metadata!G331,"not provided"))),AND(IF(Metadata!G331="",FALSE,TRUE),OR(exact(Metadata!G331,"TRUE"),exact(Metadata!G331,"FALSE"))))</f>
        <v>0</v>
      </c>
      <c r="AT331">
        <f>OR(AND(IF(Metadata!H331="",FALSE,TRUE),OR(exact(Metadata!H331,"not collected"),exact(Metadata!H331,"not provided"),exact(Metadata!H331,"restricted access"))),AND(IF(Metadata!H331="",FALSE,ISNUMBER(VALUE(Metadata!H331))),Metadata!H331&gt;=-413.0))</f>
        <v>0</v>
      </c>
      <c r="AU331">
        <f>AND(IF(Metadata!I331="",FALSE,TRUE),exact(Metadata!I331,"meters"))</f>
        <v>0</v>
      </c>
      <c r="AV331">
        <f>AND(IF(Metadata!J331="",FALSE,TRUE),OR(exact(Metadata!J331,"Host-associated"),exact(Metadata!J331,"Free-living")))</f>
        <v>0</v>
      </c>
      <c r="AW331">
        <f>AND(IF(Metadata!K331="",FALSE,TRUE),OR(exact(Metadata!K331,"Animal"),exact(Metadata!K331,"Fungus"),exact(Metadata!K331,"Plant"),exact(Metadata!K331,"Saline"),exact(Metadata!K331,"Non-saline")))</f>
        <v>0</v>
      </c>
      <c r="AX331">
        <f>AND(IF(Metadata!L331="",FALSE,TRUE),OR(exact(Metadata!L331,"Plant secretion"),exact(Metadata!L331,"Plant rhizosphere"),exact(Metadata!L331,"Plant surface"),exact(Metadata!L331,"Plant corpus"),exact(Metadata!L331,"Fungus surface"),exact(Metadata!L331,"Fungus corpus"),exact(Metadata!L331,"Animal surface"),exact(Metadata!L331,"Animal proximal gut"),exact(Metadata!L331,"Animal corpus"),exact(Metadata!L331,"Animal distal gut"),exact(Metadata!L331,"Animal secretion"),exact(Metadata!L331,"Sub-surface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Y331">
        <f>IF(Metadata!M331="",FALSE,TRUE)</f>
        <v>0</v>
      </c>
      <c r="AZ331">
        <f>IF(Metadata!N331="",FALSE,TRUE)</f>
        <v>0</v>
      </c>
      <c r="BA331">
        <f>IF(Metadata!O331="",FALSE,TRUE)</f>
        <v>0</v>
      </c>
      <c r="BB331">
        <f>OR(AND(IF(Metadata!P331="",FALSE,TRUE),OR(exact(Metadata!P331,"not collected"),exact(Metadata!P331,"not provided"),exact(Metadata!P331,"restricted access"))),AND(IF(Metadata!P331="",FALSE,TRUE),OR(exact(Metadata!P331,"air"),exact(Metadata!P331,"built environment"),exact(Metadata!P331,"host-associated"),exact(Metadata!P331,"human-associated"),exact(Metadata!P331,"human-skin"),exact(Metadata!P331,"human-oral"),exact(Metadata!P331,"human-gut"),exact(Metadata!P331,"human-vaginal"),exact(Metadata!P331,"microbial mat/biofilm"),exact(Metadata!P331,"misc environment"),exact(Metadata!P331,"plant-associated"),exact(Metadata!P331,"sediment"),exact(Metadata!P331,"soil"),exact(Metadata!P331,"wastewater/sludge"),exact(Metadata!P331,"water"))))</f>
        <v>0</v>
      </c>
      <c r="BC331">
        <f>IF(Metadata!Q331="",FALSE,TRUE)</f>
        <v>0</v>
      </c>
      <c r="BD331">
        <f>IF(Metadata!R331="",FALSE,TRUE)</f>
        <v>0</v>
      </c>
      <c r="BE331">
        <f>OR(AND(IF(Metadata!S331="",FALSE,TRUE),OR(exact(Metadata!S331,"not collected"),exact(Metadata!S331,"not provided"),exact(Metadata!S331,"restricted access"))),AND(IF(Metadata!S331="",FALSE,ISNUMBER(VALUE(Metadata!S331))),Metadata!S331&gt;=-90.00,Metadata!S331&lt;=90.00))</f>
        <v>0</v>
      </c>
      <c r="BF331">
        <f>AND(IF(Metadata!T331="",FALSE,TRUE),exact(Metadata!T331,"Decimal degrees"))</f>
        <v>0</v>
      </c>
      <c r="BG331">
        <f>OR(AND(IF(Metadata!U331="",FALSE,TRUE),OR(exact(Metadata!U331,"not collected"),exact(Metadata!U331,"not provided"),exact(Metadata!U331,"restricted access"))),AND(IF(Metadata!U331="",FALSE,ISNUMBER(VALUE(Metadata!U331))),Metadata!U331&gt;=-180.00,Metadata!U331&lt;=180.00))</f>
        <v>0</v>
      </c>
      <c r="BH331">
        <f>AND(IF(Metadata!V331="",FALSE,TRUE),exact(Metadata!V331,"Decimal degrees"))</f>
        <v>0</v>
      </c>
      <c r="BI331">
        <f>IF(Metadata!W331="",FALSE,TRUE)</f>
        <v>0</v>
      </c>
      <c r="BJ331">
        <f>OR(AND(IF(Metadata!X331="",FALSE,TRUE),OR(exact(Metadata!X331,"not collected"),exact(Metadata!X331,"not provided"),exact(Metadata!X331,"restricted access"))),AND(IF(Metadata!X331="",FALSE,TRUE),OR(exact(Metadata!X331,"TRUE"),exact(Metadata!X331,"FALSE"))))</f>
        <v>0</v>
      </c>
      <c r="BK331">
        <f>AND(IF(Metadata!Y331="",FALSE,TRUE),exact(Metadata!Y331,"other"))</f>
        <v>0</v>
      </c>
      <c r="BL331">
        <f>IF(Metadata!Z331="",FALSE,TRUE)</f>
        <v>0</v>
      </c>
      <c r="BM331">
        <f>OR(AND(IF(Metadata!AA331="",FALSE,TRUE),OR(exact(Metadata!AA331,"not collected"),exact(Metadata!AA331,"not provided"))),AND(IF(Metadata!AA331="",FALSE,IF(ISERROR(INT(Metadata!AA331)),FALSE,INT(Metadata!AA331)=Metadata!AA331)),Metadata!AA331&gt;0))</f>
        <v>0</v>
      </c>
      <c r="BN331">
        <f>AND(IF(Metadata!AB331="",FALSE,TRUE),exact(Metadata!AB331,"Not applicable"))</f>
        <v>0</v>
      </c>
      <c r="BO331">
        <f>IF(Metadata!AC331="",FALSE,TRUE)</f>
        <v>0</v>
      </c>
    </row>
    <row r="332" spans="1:67">
      <c r="A332" s="5">
        <f>IF(B332=" "," ",HYPERLINK(CONCATENATE("#metadata!",ADDRESS(INDEX($AI$2:$AI$1001,MATCH(ROWS($AG$2:AG332),$AG$2:$AG$1001,0),0),1)),INDEX($AL$2:$AL$1001,MATCH(ROWS($AG$2:AG332),$AG$2:$AG$1001,0),0)))</f>
        <v>0</v>
      </c>
      <c r="B332" s="4">
        <f>IF(OR(INDEX($AH$2:$AH$1001,MATCH(ROWS($AG$2:AG332),$AG$2:$AG$1001,0),1)&gt;=100000,INDEX($AN$1005:$BO$1005,1,MATCH(COLUMNS($AN$1006:AN1006),$AN$1006:$BO$1006,0))&gt;=100000), " ",IF(INDEX($AN$2:$BO$1001,MATCH(ROWS($AG$2:AG332),$AG$2:$AG$1001,0),MATCH(COLUMNS($AN$1006:AN1006),$AN$1006:$BO$1006,0)), HYPERLINK("#",""), HYPERLINK(CONCATENATE("#Metadata!", ADDRESS(INDEX($AI$2:$AI$1001,MATCH(ROWS($AG$2:AG332),$AG$2:$AG$1001,0),0), INDEX($AN$1004:$BO$1004,1,MATCH(COLUMNS($AN$1006:AN1006),$AN$1006:$BO$1006,0)))),"Fix")))</f>
        <v>0</v>
      </c>
      <c r="C332" s="4">
        <f>IF(OR(INDEX($AH$2:$AH$1001,MATCH(ROWS($AG$2:AG332),$AG$2:$AG$1001,0),1)&gt;=100000,INDEX($AN$1005:$BO$1005,1,MATCH(COLUMNS($AN$1006:AO1006),$AN$1006:$BO$1006,0))&gt;=100000), " ",IF(INDEX($AN$2:$BO$1001,MATCH(ROWS($AG$2:AG332),$AG$2:$AG$1001,0),MATCH(COLUMNS($AN$1006:AO1006),$AN$1006:$BO$1006,0)), HYPERLINK("#",""), HYPERLINK(CONCATENATE("#Metadata!", ADDRESS(INDEX($AI$2:$AI$1001,MATCH(ROWS($AG$2:AG332),$AG$2:$AG$1001,0),0), INDEX($AN$1004:$BO$1004,1,MATCH(COLUMNS($AN$1006:AO1006),$AN$1006:$BO$1006,0)))),"Fix")))</f>
        <v>0</v>
      </c>
      <c r="D332" s="4">
        <f>IF(OR(INDEX($AH$2:$AH$1001,MATCH(ROWS($AG$2:AG332),$AG$2:$AG$1001,0),1)&gt;=100000,INDEX($AN$1005:$BO$1005,1,MATCH(COLUMNS($AN$1006:AP1006),$AN$1006:$BO$1006,0))&gt;=100000), " ",IF(INDEX($AN$2:$BO$1001,MATCH(ROWS($AG$2:AG332),$AG$2:$AG$1001,0),MATCH(COLUMNS($AN$1006:AP1006),$AN$1006:$BO$1006,0)), HYPERLINK("#",""), HYPERLINK(CONCATENATE("#Metadata!", ADDRESS(INDEX($AI$2:$AI$1001,MATCH(ROWS($AG$2:AG332),$AG$2:$AG$1001,0),0), INDEX($AN$1004:$BO$1004,1,MATCH(COLUMNS($AN$1006:AP1006),$AN$1006:$BO$1006,0)))),"Fix")))</f>
        <v>0</v>
      </c>
      <c r="E332" s="4">
        <f>IF(OR(INDEX($AH$2:$AH$1001,MATCH(ROWS($AG$2:AG332),$AG$2:$AG$1001,0),1)&gt;=100000,INDEX($AN$1005:$BO$1005,1,MATCH(COLUMNS($AN$1006:AQ1006),$AN$1006:$BO$1006,0))&gt;=100000), " ",IF(INDEX($AN$2:$BO$1001,MATCH(ROWS($AG$2:AG332),$AG$2:$AG$1001,0),MATCH(COLUMNS($AN$1006:AQ1006),$AN$1006:$BO$1006,0)), HYPERLINK("#",""), HYPERLINK(CONCATENATE("#Metadata!", ADDRESS(INDEX($AI$2:$AI$1001,MATCH(ROWS($AG$2:AG332),$AG$2:$AG$1001,0),0), INDEX($AN$1004:$BO$1004,1,MATCH(COLUMNS($AN$1006:AQ1006),$AN$1006:$BO$1006,0)))),"Fix")))</f>
        <v>0</v>
      </c>
      <c r="F332" s="4">
        <f>IF(OR(INDEX($AH$2:$AH$1001,MATCH(ROWS($AG$2:AG332),$AG$2:$AG$1001,0),1)&gt;=100000,INDEX($AN$1005:$BO$1005,1,MATCH(COLUMNS($AN$1006:AR1006),$AN$1006:$BO$1006,0))&gt;=100000), " ",IF(INDEX($AN$2:$BO$1001,MATCH(ROWS($AG$2:AG332),$AG$2:$AG$1001,0),MATCH(COLUMNS($AN$1006:AR1006),$AN$1006:$BO$1006,0)), HYPERLINK("#",""), HYPERLINK(CONCATENATE("#Metadata!", ADDRESS(INDEX($AI$2:$AI$1001,MATCH(ROWS($AG$2:AG332),$AG$2:$AG$1001,0),0), INDEX($AN$1004:$BO$1004,1,MATCH(COLUMNS($AN$1006:AR1006),$AN$1006:$BO$1006,0)))),"Fix")))</f>
        <v>0</v>
      </c>
      <c r="G332" s="4">
        <f>IF(OR(INDEX($AH$2:$AH$1001,MATCH(ROWS($AG$2:AG332),$AG$2:$AG$1001,0),1)&gt;=100000,INDEX($AN$1005:$BO$1005,1,MATCH(COLUMNS($AN$1006:AS1006),$AN$1006:$BO$1006,0))&gt;=100000), " ",IF(INDEX($AN$2:$BO$1001,MATCH(ROWS($AG$2:AG332),$AG$2:$AG$1001,0),MATCH(COLUMNS($AN$1006:AS1006),$AN$1006:$BO$1006,0)), HYPERLINK("#",""), HYPERLINK(CONCATENATE("#Metadata!", ADDRESS(INDEX($AI$2:$AI$1001,MATCH(ROWS($AG$2:AG332),$AG$2:$AG$1001,0),0), INDEX($AN$1004:$BO$1004,1,MATCH(COLUMNS($AN$1006:AS1006),$AN$1006:$BO$1006,0)))),"Fix")))</f>
        <v>0</v>
      </c>
      <c r="H332" s="4">
        <f>IF(OR(INDEX($AH$2:$AH$1001,MATCH(ROWS($AG$2:AG332),$AG$2:$AG$1001,0),1)&gt;=100000,INDEX($AN$1005:$BO$1005,1,MATCH(COLUMNS($AN$1006:AT1006),$AN$1006:$BO$1006,0))&gt;=100000), " ",IF(INDEX($AN$2:$BO$1001,MATCH(ROWS($AG$2:AG332),$AG$2:$AG$1001,0),MATCH(COLUMNS($AN$1006:AT1006),$AN$1006:$BO$1006,0)), HYPERLINK("#",""), HYPERLINK(CONCATENATE("#Metadata!", ADDRESS(INDEX($AI$2:$AI$1001,MATCH(ROWS($AG$2:AG332),$AG$2:$AG$1001,0),0), INDEX($AN$1004:$BO$1004,1,MATCH(COLUMNS($AN$1006:AT1006),$AN$1006:$BO$1006,0)))),"Fix")))</f>
        <v>0</v>
      </c>
      <c r="I332" s="4">
        <f>IF(OR(INDEX($AH$2:$AH$1001,MATCH(ROWS($AG$2:AG332),$AG$2:$AG$1001,0),1)&gt;=100000,INDEX($AN$1005:$BO$1005,1,MATCH(COLUMNS($AN$1006:AU1006),$AN$1006:$BO$1006,0))&gt;=100000), " ",IF(INDEX($AN$2:$BO$1001,MATCH(ROWS($AG$2:AG332),$AG$2:$AG$1001,0),MATCH(COLUMNS($AN$1006:AU1006),$AN$1006:$BO$1006,0)), HYPERLINK("#",""), HYPERLINK(CONCATENATE("#Metadata!", ADDRESS(INDEX($AI$2:$AI$1001,MATCH(ROWS($AG$2:AG332),$AG$2:$AG$1001,0),0), INDEX($AN$1004:$BO$1004,1,MATCH(COLUMNS($AN$1006:AU1006),$AN$1006:$BO$1006,0)))),"Fix")))</f>
        <v>0</v>
      </c>
      <c r="J332" s="4">
        <f>IF(OR(INDEX($AH$2:$AH$1001,MATCH(ROWS($AG$2:AG332),$AG$2:$AG$1001,0),1)&gt;=100000,INDEX($AN$1005:$BO$1005,1,MATCH(COLUMNS($AN$1006:AV1006),$AN$1006:$BO$1006,0))&gt;=100000), " ",IF(INDEX($AN$2:$BO$1001,MATCH(ROWS($AG$2:AG332),$AG$2:$AG$1001,0),MATCH(COLUMNS($AN$1006:AV1006),$AN$1006:$BO$1006,0)), HYPERLINK("#",""), HYPERLINK(CONCATENATE("#Metadata!", ADDRESS(INDEX($AI$2:$AI$1001,MATCH(ROWS($AG$2:AG332),$AG$2:$AG$1001,0),0), INDEX($AN$1004:$BO$1004,1,MATCH(COLUMNS($AN$1006:AV1006),$AN$1006:$BO$1006,0)))),"Fix")))</f>
        <v>0</v>
      </c>
      <c r="K332" s="4">
        <f>IF(OR(INDEX($AH$2:$AH$1001,MATCH(ROWS($AG$2:AG332),$AG$2:$AG$1001,0),1)&gt;=100000,INDEX($AN$1005:$BO$1005,1,MATCH(COLUMNS($AN$1006:AW1006),$AN$1006:$BO$1006,0))&gt;=100000), " ",IF(INDEX($AN$2:$BO$1001,MATCH(ROWS($AG$2:AG332),$AG$2:$AG$1001,0),MATCH(COLUMNS($AN$1006:AW1006),$AN$1006:$BO$1006,0)), HYPERLINK("#",""), HYPERLINK(CONCATENATE("#Metadata!", ADDRESS(INDEX($AI$2:$AI$1001,MATCH(ROWS($AG$2:AG332),$AG$2:$AG$1001,0),0), INDEX($AN$1004:$BO$1004,1,MATCH(COLUMNS($AN$1006:AW1006),$AN$1006:$BO$1006,0)))),"Fix")))</f>
        <v>0</v>
      </c>
      <c r="L332" s="4">
        <f>IF(OR(INDEX($AH$2:$AH$1001,MATCH(ROWS($AG$2:AG332),$AG$2:$AG$1001,0),1)&gt;=100000,INDEX($AN$1005:$BO$1005,1,MATCH(COLUMNS($AN$1006:AX1006),$AN$1006:$BO$1006,0))&gt;=100000), " ",IF(INDEX($AN$2:$BO$1001,MATCH(ROWS($AG$2:AG332),$AG$2:$AG$1001,0),MATCH(COLUMNS($AN$1006:AX1006),$AN$1006:$BO$1006,0)), HYPERLINK("#",""), HYPERLINK(CONCATENATE("#Metadata!", ADDRESS(INDEX($AI$2:$AI$1001,MATCH(ROWS($AG$2:AG332),$AG$2:$AG$1001,0),0), INDEX($AN$1004:$BO$1004,1,MATCH(COLUMNS($AN$1006:AX1006),$AN$1006:$BO$1006,0)))),"Fix")))</f>
        <v>0</v>
      </c>
      <c r="M332" s="4">
        <f>IF(OR(INDEX($AH$2:$AH$1001,MATCH(ROWS($AG$2:AG332),$AG$2:$AG$1001,0),1)&gt;=100000,INDEX($AN$1005:$BO$1005,1,MATCH(COLUMNS($AN$1006:AY1006),$AN$1006:$BO$1006,0))&gt;=100000), " ",IF(INDEX($AN$2:$BO$1001,MATCH(ROWS($AG$2:AG332),$AG$2:$AG$1001,0),MATCH(COLUMNS($AN$1006:AY1006),$AN$1006:$BO$1006,0)), HYPERLINK("#",""), HYPERLINK(CONCATENATE("#Metadata!", ADDRESS(INDEX($AI$2:$AI$1001,MATCH(ROWS($AG$2:AG332),$AG$2:$AG$1001,0),0), INDEX($AN$1004:$BO$1004,1,MATCH(COLUMNS($AN$1006:AY1006),$AN$1006:$BO$1006,0)))),"Fix")))</f>
        <v>0</v>
      </c>
      <c r="N332" s="4">
        <f>IF(OR(INDEX($AH$2:$AH$1001,MATCH(ROWS($AG$2:AG332),$AG$2:$AG$1001,0),1)&gt;=100000,INDEX($AN$1005:$BO$1005,1,MATCH(COLUMNS($AN$1006:AZ1006),$AN$1006:$BO$1006,0))&gt;=100000), " ",IF(INDEX($AN$2:$BO$1001,MATCH(ROWS($AG$2:AG332),$AG$2:$AG$1001,0),MATCH(COLUMNS($AN$1006:AZ1006),$AN$1006:$BO$1006,0)), HYPERLINK("#",""), HYPERLINK(CONCATENATE("#Metadata!", ADDRESS(INDEX($AI$2:$AI$1001,MATCH(ROWS($AG$2:AG332),$AG$2:$AG$1001,0),0), INDEX($AN$1004:$BO$1004,1,MATCH(COLUMNS($AN$1006:AZ1006),$AN$1006:$BO$1006,0)))),"Fix")))</f>
        <v>0</v>
      </c>
      <c r="O332" s="4">
        <f>IF(OR(INDEX($AH$2:$AH$1001,MATCH(ROWS($AG$2:AG332),$AG$2:$AG$1001,0),1)&gt;=100000,INDEX($AN$1005:$BO$1005,1,MATCH(COLUMNS($AN$1006:BA1006),$AN$1006:$BO$1006,0))&gt;=100000), " ",IF(INDEX($AN$2:$BO$1001,MATCH(ROWS($AG$2:AG332),$AG$2:$AG$1001,0),MATCH(COLUMNS($AN$1006:BA1006),$AN$1006:$BO$1006,0)), HYPERLINK("#",""), HYPERLINK(CONCATENATE("#Metadata!", ADDRESS(INDEX($AI$2:$AI$1001,MATCH(ROWS($AG$2:AG332),$AG$2:$AG$1001,0),0), INDEX($AN$1004:$BO$1004,1,MATCH(COLUMNS($AN$1006:BA1006),$AN$1006:$BO$1006,0)))),"Fix")))</f>
        <v>0</v>
      </c>
      <c r="P332" s="4">
        <f>IF(OR(INDEX($AH$2:$AH$1001,MATCH(ROWS($AG$2:AG332),$AG$2:$AG$1001,0),1)&gt;=100000,INDEX($AN$1005:$BO$1005,1,MATCH(COLUMNS($AN$1006:BB1006),$AN$1006:$BO$1006,0))&gt;=100000), " ",IF(INDEX($AN$2:$BO$1001,MATCH(ROWS($AG$2:AG332),$AG$2:$AG$1001,0),MATCH(COLUMNS($AN$1006:BB1006),$AN$1006:$BO$1006,0)), HYPERLINK("#",""), HYPERLINK(CONCATENATE("#Metadata!", ADDRESS(INDEX($AI$2:$AI$1001,MATCH(ROWS($AG$2:AG332),$AG$2:$AG$1001,0),0), INDEX($AN$1004:$BO$1004,1,MATCH(COLUMNS($AN$1006:BB1006),$AN$1006:$BO$1006,0)))),"Fix")))</f>
        <v>0</v>
      </c>
      <c r="Q332" s="4">
        <f>IF(OR(INDEX($AH$2:$AH$1001,MATCH(ROWS($AG$2:AG332),$AG$2:$AG$1001,0),1)&gt;=100000,INDEX($AN$1005:$BO$1005,1,MATCH(COLUMNS($AN$1006:BC1006),$AN$1006:$BO$1006,0))&gt;=100000), " ",IF(INDEX($AN$2:$BO$1001,MATCH(ROWS($AG$2:AG332),$AG$2:$AG$1001,0),MATCH(COLUMNS($AN$1006:BC1006),$AN$1006:$BO$1006,0)), HYPERLINK("#",""), HYPERLINK(CONCATENATE("#Metadata!", ADDRESS(INDEX($AI$2:$AI$1001,MATCH(ROWS($AG$2:AG332),$AG$2:$AG$1001,0),0), INDEX($AN$1004:$BO$1004,1,MATCH(COLUMNS($AN$1006:BC1006),$AN$1006:$BO$1006,0)))),"Fix")))</f>
        <v>0</v>
      </c>
      <c r="R332" s="4">
        <f>IF(OR(INDEX($AH$2:$AH$1001,MATCH(ROWS($AG$2:AG332),$AG$2:$AG$1001,0),1)&gt;=100000,INDEX($AN$1005:$BO$1005,1,MATCH(COLUMNS($AN$1006:BD1006),$AN$1006:$BO$1006,0))&gt;=100000), " ",IF(INDEX($AN$2:$BO$1001,MATCH(ROWS($AG$2:AG332),$AG$2:$AG$1001,0),MATCH(COLUMNS($AN$1006:BD1006),$AN$1006:$BO$1006,0)), HYPERLINK("#",""), HYPERLINK(CONCATENATE("#Metadata!", ADDRESS(INDEX($AI$2:$AI$1001,MATCH(ROWS($AG$2:AG332),$AG$2:$AG$1001,0),0), INDEX($AN$1004:$BO$1004,1,MATCH(COLUMNS($AN$1006:BD1006),$AN$1006:$BO$1006,0)))),"Fix")))</f>
        <v>0</v>
      </c>
      <c r="S332" s="4">
        <f>IF(OR(INDEX($AH$2:$AH$1001,MATCH(ROWS($AG$2:AG332),$AG$2:$AG$1001,0),1)&gt;=100000,INDEX($AN$1005:$BO$1005,1,MATCH(COLUMNS($AN$1006:BE1006),$AN$1006:$BO$1006,0))&gt;=100000), " ",IF(INDEX($AN$2:$BO$1001,MATCH(ROWS($AG$2:AG332),$AG$2:$AG$1001,0),MATCH(COLUMNS($AN$1006:BE1006),$AN$1006:$BO$1006,0)), HYPERLINK("#",""), HYPERLINK(CONCATENATE("#Metadata!", ADDRESS(INDEX($AI$2:$AI$1001,MATCH(ROWS($AG$2:AG332),$AG$2:$AG$1001,0),0), INDEX($AN$1004:$BO$1004,1,MATCH(COLUMNS($AN$1006:BE1006),$AN$1006:$BO$1006,0)))),"Fix")))</f>
        <v>0</v>
      </c>
      <c r="T332" s="4">
        <f>IF(OR(INDEX($AH$2:$AH$1001,MATCH(ROWS($AG$2:AG332),$AG$2:$AG$1001,0),1)&gt;=100000,INDEX($AN$1005:$BO$1005,1,MATCH(COLUMNS($AN$1006:BF1006),$AN$1006:$BO$1006,0))&gt;=100000), " ",IF(INDEX($AN$2:$BO$1001,MATCH(ROWS($AG$2:AG332),$AG$2:$AG$1001,0),MATCH(COLUMNS($AN$1006:BF1006),$AN$1006:$BO$1006,0)), HYPERLINK("#",""), HYPERLINK(CONCATENATE("#Metadata!", ADDRESS(INDEX($AI$2:$AI$1001,MATCH(ROWS($AG$2:AG332),$AG$2:$AG$1001,0),0), INDEX($AN$1004:$BO$1004,1,MATCH(COLUMNS($AN$1006:BF1006),$AN$1006:$BO$1006,0)))),"Fix")))</f>
        <v>0</v>
      </c>
      <c r="U332" s="4">
        <f>IF(OR(INDEX($AH$2:$AH$1001,MATCH(ROWS($AG$2:AG332),$AG$2:$AG$1001,0),1)&gt;=100000,INDEX($AN$1005:$BO$1005,1,MATCH(COLUMNS($AN$1006:BG1006),$AN$1006:$BO$1006,0))&gt;=100000), " ",IF(INDEX($AN$2:$BO$1001,MATCH(ROWS($AG$2:AG332),$AG$2:$AG$1001,0),MATCH(COLUMNS($AN$1006:BG1006),$AN$1006:$BO$1006,0)), HYPERLINK("#",""), HYPERLINK(CONCATENATE("#Metadata!", ADDRESS(INDEX($AI$2:$AI$1001,MATCH(ROWS($AG$2:AG332),$AG$2:$AG$1001,0),0), INDEX($AN$1004:$BO$1004,1,MATCH(COLUMNS($AN$1006:BG1006),$AN$1006:$BO$1006,0)))),"Fix")))</f>
        <v>0</v>
      </c>
      <c r="V332" s="4">
        <f>IF(OR(INDEX($AH$2:$AH$1001,MATCH(ROWS($AG$2:AG332),$AG$2:$AG$1001,0),1)&gt;=100000,INDEX($AN$1005:$BO$1005,1,MATCH(COLUMNS($AN$1006:BH1006),$AN$1006:$BO$1006,0))&gt;=100000), " ",IF(INDEX($AN$2:$BO$1001,MATCH(ROWS($AG$2:AG332),$AG$2:$AG$1001,0),MATCH(COLUMNS($AN$1006:BH1006),$AN$1006:$BO$1006,0)), HYPERLINK("#",""), HYPERLINK(CONCATENATE("#Metadata!", ADDRESS(INDEX($AI$2:$AI$1001,MATCH(ROWS($AG$2:AG332),$AG$2:$AG$1001,0),0), INDEX($AN$1004:$BO$1004,1,MATCH(COLUMNS($AN$1006:BH1006),$AN$1006:$BO$1006,0)))),"Fix")))</f>
        <v>0</v>
      </c>
      <c r="W332" s="4">
        <f>IF(OR(INDEX($AH$2:$AH$1001,MATCH(ROWS($AG$2:AG332),$AG$2:$AG$1001,0),1)&gt;=100000,INDEX($AN$1005:$BO$1005,1,MATCH(COLUMNS($AN$1006:BI1006),$AN$1006:$BO$1006,0))&gt;=100000), " ",IF(INDEX($AN$2:$BO$1001,MATCH(ROWS($AG$2:AG332),$AG$2:$AG$1001,0),MATCH(COLUMNS($AN$1006:BI1006),$AN$1006:$BO$1006,0)), HYPERLINK("#",""), HYPERLINK(CONCATENATE("#Metadata!", ADDRESS(INDEX($AI$2:$AI$1001,MATCH(ROWS($AG$2:AG332),$AG$2:$AG$1001,0),0), INDEX($AN$1004:$BO$1004,1,MATCH(COLUMNS($AN$1006:BI1006),$AN$1006:$BO$1006,0)))),"Fix")))</f>
        <v>0</v>
      </c>
      <c r="X332" s="4">
        <f>IF(OR(INDEX($AH$2:$AH$1001,MATCH(ROWS($AG$2:AG332),$AG$2:$AG$1001,0),1)&gt;=100000,INDEX($AN$1005:$BO$1005,1,MATCH(COLUMNS($AN$1006:BJ1006),$AN$1006:$BO$1006,0))&gt;=100000), " ",IF(INDEX($AN$2:$BO$1001,MATCH(ROWS($AG$2:AG332),$AG$2:$AG$1001,0),MATCH(COLUMNS($AN$1006:BJ1006),$AN$1006:$BO$1006,0)), HYPERLINK("#",""), HYPERLINK(CONCATENATE("#Metadata!", ADDRESS(INDEX($AI$2:$AI$1001,MATCH(ROWS($AG$2:AG332),$AG$2:$AG$1001,0),0), INDEX($AN$1004:$BO$1004,1,MATCH(COLUMNS($AN$1006:BJ1006),$AN$1006:$BO$1006,0)))),"Fix")))</f>
        <v>0</v>
      </c>
      <c r="Y332" s="4">
        <f>IF(OR(INDEX($AH$2:$AH$1001,MATCH(ROWS($AG$2:AG332),$AG$2:$AG$1001,0),1)&gt;=100000,INDEX($AN$1005:$BO$1005,1,MATCH(COLUMNS($AN$1006:BK1006),$AN$1006:$BO$1006,0))&gt;=100000), " ",IF(INDEX($AN$2:$BO$1001,MATCH(ROWS($AG$2:AG332),$AG$2:$AG$1001,0),MATCH(COLUMNS($AN$1006:BK1006),$AN$1006:$BO$1006,0)), HYPERLINK("#",""), HYPERLINK(CONCATENATE("#Metadata!", ADDRESS(INDEX($AI$2:$AI$1001,MATCH(ROWS($AG$2:AG332),$AG$2:$AG$1001,0),0), INDEX($AN$1004:$BO$1004,1,MATCH(COLUMNS($AN$1006:BK1006),$AN$1006:$BO$1006,0)))),"Fix")))</f>
        <v>0</v>
      </c>
      <c r="Z332" s="4">
        <f>IF(OR(INDEX($AH$2:$AH$1001,MATCH(ROWS($AG$2:AG332),$AG$2:$AG$1001,0),1)&gt;=100000,INDEX($AN$1005:$BO$1005,1,MATCH(COLUMNS($AN$1006:BL1006),$AN$1006:$BO$1006,0))&gt;=100000), " ",IF(INDEX($AN$2:$BO$1001,MATCH(ROWS($AG$2:AG332),$AG$2:$AG$1001,0),MATCH(COLUMNS($AN$1006:BL1006),$AN$1006:$BO$1006,0)), HYPERLINK("#",""), HYPERLINK(CONCATENATE("#Metadata!", ADDRESS(INDEX($AI$2:$AI$1001,MATCH(ROWS($AG$2:AG332),$AG$2:$AG$1001,0),0), INDEX($AN$1004:$BO$1004,1,MATCH(COLUMNS($AN$1006:BL1006),$AN$1006:$BO$1006,0)))),"Fix")))</f>
        <v>0</v>
      </c>
      <c r="AA332" s="4">
        <f>IF(OR(INDEX($AH$2:$AH$1001,MATCH(ROWS($AG$2:AG332),$AG$2:$AG$1001,0),1)&gt;=100000,INDEX($AN$1005:$BO$1005,1,MATCH(COLUMNS($AN$1006:BM1006),$AN$1006:$BO$1006,0))&gt;=100000), " ",IF(INDEX($AN$2:$BO$1001,MATCH(ROWS($AG$2:AG332),$AG$2:$AG$1001,0),MATCH(COLUMNS($AN$1006:BM1006),$AN$1006:$BO$1006,0)), HYPERLINK("#",""), HYPERLINK(CONCATENATE("#Metadata!", ADDRESS(INDEX($AI$2:$AI$1001,MATCH(ROWS($AG$2:AG332),$AG$2:$AG$1001,0),0), INDEX($AN$1004:$BO$1004,1,MATCH(COLUMNS($AN$1006:BM1006),$AN$1006:$BO$1006,0)))),"Fix")))</f>
        <v>0</v>
      </c>
      <c r="AB332" s="4">
        <f>IF(OR(INDEX($AH$2:$AH$1001,MATCH(ROWS($AG$2:AG332),$AG$2:$AG$1001,0),1)&gt;=100000,INDEX($AN$1005:$BO$1005,1,MATCH(COLUMNS($AN$1006:BN1006),$AN$1006:$BO$1006,0))&gt;=100000), " ",IF(INDEX($AN$2:$BO$1001,MATCH(ROWS($AG$2:AG332),$AG$2:$AG$1001,0),MATCH(COLUMNS($AN$1006:BN1006),$AN$1006:$BO$1006,0)), HYPERLINK("#",""), HYPERLINK(CONCATENATE("#Metadata!", ADDRESS(INDEX($AI$2:$AI$1001,MATCH(ROWS($AG$2:AG332),$AG$2:$AG$1001,0),0), INDEX($AN$1004:$BO$1004,1,MATCH(COLUMNS($AN$1006:BN1006),$AN$1006:$BO$1006,0)))),"Fix")))</f>
        <v>0</v>
      </c>
      <c r="AC332" s="4">
        <f>IF(OR(INDEX($AH$2:$AH$1001,MATCH(ROWS($AG$2:AG332),$AG$2:$AG$1001,0),1)&gt;=100000,INDEX($AN$1005:$BO$1005,1,MATCH(COLUMNS($AN$1006:BO1006),$AN$1006:$BO$1006,0))&gt;=100000), " ",IF(INDEX($AN$2:$BO$1001,MATCH(ROWS($AG$2:AG332),$AG$2:$AG$1001,0),MATCH(COLUMNS($AN$1006:BO1006),$AN$1006:$BO$1006,0)), HYPERLINK("#",""), HYPERLINK(CONCATENATE("#Metadata!", ADDRESS(INDEX($AI$2:$AI$1001,MATCH(ROWS($AG$2:AG332),$AG$2:$AG$1001,0),0), INDEX($AN$1004:$BO$1004,1,MATCH(COLUMNS($AN$1006:BO1006),$AN$1006:$BO$1006,0)))),"Fix")))</f>
        <v>0</v>
      </c>
      <c r="AG332">
        <v>0</v>
      </c>
      <c r="AH332">
        <v>0</v>
      </c>
      <c r="AI332">
        <v>0</v>
      </c>
      <c r="AJ332">
        <f>IF(AK332,TRUE,AND(AN332:BO332))</f>
        <v>0</v>
      </c>
      <c r="AK332">
        <f>COUNTBLANK(Metadata!B332:AC332)=COLUMNS(Metadata!B332:AC332)</f>
        <v>0</v>
      </c>
      <c r="AL332">
        <v>0</v>
      </c>
      <c r="AN332">
        <f>AND(IF(Metadata!B332="",FALSE,TRUE),COUNTIF(Metadata!B:B, Metadata!B332) = 1,NOT(ISERROR(SUMPRODUCT(SEARCH(MID(Metadata!B332,ROW(INDIRECT("1:"&amp;LEN(Metadata!B332))), 1),"0123456789abcdefghijklmnopqrstuvwxyzABCDEFGHIJKLMNOPQRSTUVWXYZ.")))))</f>
        <v>0</v>
      </c>
      <c r="AO332">
        <f>IF(Metadata!C332="",FALSE,TRUE)</f>
        <v>0</v>
      </c>
      <c r="AP332">
        <f>IF(Metadata!D332="",FALSE,TRUE)</f>
        <v>0</v>
      </c>
      <c r="AQ332">
        <f>OR(AND(IF(Metadata!E332="",FALSE,TRUE),OR(exact(Metadata!E332,"not collected"),exact(Metadata!E332,"not provided"),exact(Metadata!E332,"restricted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R332">
        <f>IF(Metadata!F332="",FALSE,TRUE)</f>
        <v>0</v>
      </c>
      <c r="AS332">
        <f>OR(AND(IF(Metadata!G332="",FALSE,TRUE),OR(exact(Metadata!G332,"not collected"),exact(Metadata!G332,"not provided"))),AND(IF(Metadata!G332="",FALSE,TRUE),OR(exact(Metadata!G332,"TRUE"),exact(Metadata!G332,"FALSE"))))</f>
        <v>0</v>
      </c>
      <c r="AT332">
        <f>OR(AND(IF(Metadata!H332="",FALSE,TRUE),OR(exact(Metadata!H332,"not collected"),exact(Metadata!H332,"not provided"),exact(Metadata!H332,"restricted access"))),AND(IF(Metadata!H332="",FALSE,ISNUMBER(VALUE(Metadata!H332))),Metadata!H332&gt;=-413.0))</f>
        <v>0</v>
      </c>
      <c r="AU332">
        <f>AND(IF(Metadata!I332="",FALSE,TRUE),exact(Metadata!I332,"meters"))</f>
        <v>0</v>
      </c>
      <c r="AV332">
        <f>AND(IF(Metadata!J332="",FALSE,TRUE),OR(exact(Metadata!J332,"Host-associated"),exact(Metadata!J332,"Free-living")))</f>
        <v>0</v>
      </c>
      <c r="AW332">
        <f>AND(IF(Metadata!K332="",FALSE,TRUE),OR(exact(Metadata!K332,"Animal"),exact(Metadata!K332,"Fungus"),exact(Metadata!K332,"Plant"),exact(Metadata!K332,"Saline"),exact(Metadata!K332,"Non-saline")))</f>
        <v>0</v>
      </c>
      <c r="AX332">
        <f>AND(IF(Metadata!L332="",FALSE,TRUE),OR(exact(Metadata!L332,"Plant secretion"),exact(Metadata!L332,"Plant rhizosphere"),exact(Metadata!L332,"Plant surface"),exact(Metadata!L332,"Plant corpus"),exact(Metadata!L332,"Fungus surface"),exact(Metadata!L332,"Fungus corpus"),exact(Metadata!L332,"Animal surface"),exact(Metadata!L332,"Animal proximal gut"),exact(Metadata!L332,"Animal corpus"),exact(Metadata!L332,"Animal distal gut"),exact(Metadata!L332,"Animal secretion"),exact(Metadata!L332,"Sub-surface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Y332">
        <f>IF(Metadata!M332="",FALSE,TRUE)</f>
        <v>0</v>
      </c>
      <c r="AZ332">
        <f>IF(Metadata!N332="",FALSE,TRUE)</f>
        <v>0</v>
      </c>
      <c r="BA332">
        <f>IF(Metadata!O332="",FALSE,TRUE)</f>
        <v>0</v>
      </c>
      <c r="BB332">
        <f>OR(AND(IF(Metadata!P332="",FALSE,TRUE),OR(exact(Metadata!P332,"not collected"),exact(Metadata!P332,"not provided"),exact(Metadata!P332,"restricted access"))),AND(IF(Metadata!P332="",FALSE,TRUE),OR(exact(Metadata!P332,"air"),exact(Metadata!P332,"built environment"),exact(Metadata!P332,"host-associated"),exact(Metadata!P332,"human-associated"),exact(Metadata!P332,"human-skin"),exact(Metadata!P332,"human-oral"),exact(Metadata!P332,"human-gut"),exact(Metadata!P332,"human-vaginal"),exact(Metadata!P332,"microbial mat/biofilm"),exact(Metadata!P332,"misc environment"),exact(Metadata!P332,"plant-associated"),exact(Metadata!P332,"sediment"),exact(Metadata!P332,"soil"),exact(Metadata!P332,"wastewater/sludge"),exact(Metadata!P332,"water"))))</f>
        <v>0</v>
      </c>
      <c r="BC332">
        <f>IF(Metadata!Q332="",FALSE,TRUE)</f>
        <v>0</v>
      </c>
      <c r="BD332">
        <f>IF(Metadata!R332="",FALSE,TRUE)</f>
        <v>0</v>
      </c>
      <c r="BE332">
        <f>OR(AND(IF(Metadata!S332="",FALSE,TRUE),OR(exact(Metadata!S332,"not collected"),exact(Metadata!S332,"not provided"),exact(Metadata!S332,"restricted access"))),AND(IF(Metadata!S332="",FALSE,ISNUMBER(VALUE(Metadata!S332))),Metadata!S332&gt;=-90.00,Metadata!S332&lt;=90.00))</f>
        <v>0</v>
      </c>
      <c r="BF332">
        <f>AND(IF(Metadata!T332="",FALSE,TRUE),exact(Metadata!T332,"Decimal degrees"))</f>
        <v>0</v>
      </c>
      <c r="BG332">
        <f>OR(AND(IF(Metadata!U332="",FALSE,TRUE),OR(exact(Metadata!U332,"not collected"),exact(Metadata!U332,"not provided"),exact(Metadata!U332,"restricted access"))),AND(IF(Metadata!U332="",FALSE,ISNUMBER(VALUE(Metadata!U332))),Metadata!U332&gt;=-180.00,Metadata!U332&lt;=180.00))</f>
        <v>0</v>
      </c>
      <c r="BH332">
        <f>AND(IF(Metadata!V332="",FALSE,TRUE),exact(Metadata!V332,"Decimal degrees"))</f>
        <v>0</v>
      </c>
      <c r="BI332">
        <f>IF(Metadata!W332="",FALSE,TRUE)</f>
        <v>0</v>
      </c>
      <c r="BJ332">
        <f>OR(AND(IF(Metadata!X332="",FALSE,TRUE),OR(exact(Metadata!X332,"not collected"),exact(Metadata!X332,"not provided"),exact(Metadata!X332,"restricted access"))),AND(IF(Metadata!X332="",FALSE,TRUE),OR(exact(Metadata!X332,"TRUE"),exact(Metadata!X332,"FALSE"))))</f>
        <v>0</v>
      </c>
      <c r="BK332">
        <f>AND(IF(Metadata!Y332="",FALSE,TRUE),exact(Metadata!Y332,"other"))</f>
        <v>0</v>
      </c>
      <c r="BL332">
        <f>IF(Metadata!Z332="",FALSE,TRUE)</f>
        <v>0</v>
      </c>
      <c r="BM332">
        <f>OR(AND(IF(Metadata!AA332="",FALSE,TRUE),OR(exact(Metadata!AA332,"not collected"),exact(Metadata!AA332,"not provided"))),AND(IF(Metadata!AA332="",FALSE,IF(ISERROR(INT(Metadata!AA332)),FALSE,INT(Metadata!AA332)=Metadata!AA332)),Metadata!AA332&gt;0))</f>
        <v>0</v>
      </c>
      <c r="BN332">
        <f>AND(IF(Metadata!AB332="",FALSE,TRUE),exact(Metadata!AB332,"Not applicable"))</f>
        <v>0</v>
      </c>
      <c r="BO332">
        <f>IF(Metadata!AC332="",FALSE,TRUE)</f>
        <v>0</v>
      </c>
    </row>
    <row r="333" spans="1:67">
      <c r="A333" s="5">
        <f>IF(B333=" "," ",HYPERLINK(CONCATENATE("#metadata!",ADDRESS(INDEX($AI$2:$AI$1001,MATCH(ROWS($AG$2:AG333),$AG$2:$AG$1001,0),0),1)),INDEX($AL$2:$AL$1001,MATCH(ROWS($AG$2:AG333),$AG$2:$AG$1001,0),0)))</f>
        <v>0</v>
      </c>
      <c r="B333" s="4">
        <f>IF(OR(INDEX($AH$2:$AH$1001,MATCH(ROWS($AG$2:AG333),$AG$2:$AG$1001,0),1)&gt;=100000,INDEX($AN$1005:$BO$1005,1,MATCH(COLUMNS($AN$1006:AN1006),$AN$1006:$BO$1006,0))&gt;=100000), " ",IF(INDEX($AN$2:$BO$1001,MATCH(ROWS($AG$2:AG333),$AG$2:$AG$1001,0),MATCH(COLUMNS($AN$1006:AN1006),$AN$1006:$BO$1006,0)), HYPERLINK("#",""), HYPERLINK(CONCATENATE("#Metadata!", ADDRESS(INDEX($AI$2:$AI$1001,MATCH(ROWS($AG$2:AG333),$AG$2:$AG$1001,0),0), INDEX($AN$1004:$BO$1004,1,MATCH(COLUMNS($AN$1006:AN1006),$AN$1006:$BO$1006,0)))),"Fix")))</f>
        <v>0</v>
      </c>
      <c r="C333" s="4">
        <f>IF(OR(INDEX($AH$2:$AH$1001,MATCH(ROWS($AG$2:AG333),$AG$2:$AG$1001,0),1)&gt;=100000,INDEX($AN$1005:$BO$1005,1,MATCH(COLUMNS($AN$1006:AO1006),$AN$1006:$BO$1006,0))&gt;=100000), " ",IF(INDEX($AN$2:$BO$1001,MATCH(ROWS($AG$2:AG333),$AG$2:$AG$1001,0),MATCH(COLUMNS($AN$1006:AO1006),$AN$1006:$BO$1006,0)), HYPERLINK("#",""), HYPERLINK(CONCATENATE("#Metadata!", ADDRESS(INDEX($AI$2:$AI$1001,MATCH(ROWS($AG$2:AG333),$AG$2:$AG$1001,0),0), INDEX($AN$1004:$BO$1004,1,MATCH(COLUMNS($AN$1006:AO1006),$AN$1006:$BO$1006,0)))),"Fix")))</f>
        <v>0</v>
      </c>
      <c r="D333" s="4">
        <f>IF(OR(INDEX($AH$2:$AH$1001,MATCH(ROWS($AG$2:AG333),$AG$2:$AG$1001,0),1)&gt;=100000,INDEX($AN$1005:$BO$1005,1,MATCH(COLUMNS($AN$1006:AP1006),$AN$1006:$BO$1006,0))&gt;=100000), " ",IF(INDEX($AN$2:$BO$1001,MATCH(ROWS($AG$2:AG333),$AG$2:$AG$1001,0),MATCH(COLUMNS($AN$1006:AP1006),$AN$1006:$BO$1006,0)), HYPERLINK("#",""), HYPERLINK(CONCATENATE("#Metadata!", ADDRESS(INDEX($AI$2:$AI$1001,MATCH(ROWS($AG$2:AG333),$AG$2:$AG$1001,0),0), INDEX($AN$1004:$BO$1004,1,MATCH(COLUMNS($AN$1006:AP1006),$AN$1006:$BO$1006,0)))),"Fix")))</f>
        <v>0</v>
      </c>
      <c r="E333" s="4">
        <f>IF(OR(INDEX($AH$2:$AH$1001,MATCH(ROWS($AG$2:AG333),$AG$2:$AG$1001,0),1)&gt;=100000,INDEX($AN$1005:$BO$1005,1,MATCH(COLUMNS($AN$1006:AQ1006),$AN$1006:$BO$1006,0))&gt;=100000), " ",IF(INDEX($AN$2:$BO$1001,MATCH(ROWS($AG$2:AG333),$AG$2:$AG$1001,0),MATCH(COLUMNS($AN$1006:AQ1006),$AN$1006:$BO$1006,0)), HYPERLINK("#",""), HYPERLINK(CONCATENATE("#Metadata!", ADDRESS(INDEX($AI$2:$AI$1001,MATCH(ROWS($AG$2:AG333),$AG$2:$AG$1001,0),0), INDEX($AN$1004:$BO$1004,1,MATCH(COLUMNS($AN$1006:AQ1006),$AN$1006:$BO$1006,0)))),"Fix")))</f>
        <v>0</v>
      </c>
      <c r="F333" s="4">
        <f>IF(OR(INDEX($AH$2:$AH$1001,MATCH(ROWS($AG$2:AG333),$AG$2:$AG$1001,0),1)&gt;=100000,INDEX($AN$1005:$BO$1005,1,MATCH(COLUMNS($AN$1006:AR1006),$AN$1006:$BO$1006,0))&gt;=100000), " ",IF(INDEX($AN$2:$BO$1001,MATCH(ROWS($AG$2:AG333),$AG$2:$AG$1001,0),MATCH(COLUMNS($AN$1006:AR1006),$AN$1006:$BO$1006,0)), HYPERLINK("#",""), HYPERLINK(CONCATENATE("#Metadata!", ADDRESS(INDEX($AI$2:$AI$1001,MATCH(ROWS($AG$2:AG333),$AG$2:$AG$1001,0),0), INDEX($AN$1004:$BO$1004,1,MATCH(COLUMNS($AN$1006:AR1006),$AN$1006:$BO$1006,0)))),"Fix")))</f>
        <v>0</v>
      </c>
      <c r="G333" s="4">
        <f>IF(OR(INDEX($AH$2:$AH$1001,MATCH(ROWS($AG$2:AG333),$AG$2:$AG$1001,0),1)&gt;=100000,INDEX($AN$1005:$BO$1005,1,MATCH(COLUMNS($AN$1006:AS1006),$AN$1006:$BO$1006,0))&gt;=100000), " ",IF(INDEX($AN$2:$BO$1001,MATCH(ROWS($AG$2:AG333),$AG$2:$AG$1001,0),MATCH(COLUMNS($AN$1006:AS1006),$AN$1006:$BO$1006,0)), HYPERLINK("#",""), HYPERLINK(CONCATENATE("#Metadata!", ADDRESS(INDEX($AI$2:$AI$1001,MATCH(ROWS($AG$2:AG333),$AG$2:$AG$1001,0),0), INDEX($AN$1004:$BO$1004,1,MATCH(COLUMNS($AN$1006:AS1006),$AN$1006:$BO$1006,0)))),"Fix")))</f>
        <v>0</v>
      </c>
      <c r="H333" s="4">
        <f>IF(OR(INDEX($AH$2:$AH$1001,MATCH(ROWS($AG$2:AG333),$AG$2:$AG$1001,0),1)&gt;=100000,INDEX($AN$1005:$BO$1005,1,MATCH(COLUMNS($AN$1006:AT1006),$AN$1006:$BO$1006,0))&gt;=100000), " ",IF(INDEX($AN$2:$BO$1001,MATCH(ROWS($AG$2:AG333),$AG$2:$AG$1001,0),MATCH(COLUMNS($AN$1006:AT1006),$AN$1006:$BO$1006,0)), HYPERLINK("#",""), HYPERLINK(CONCATENATE("#Metadata!", ADDRESS(INDEX($AI$2:$AI$1001,MATCH(ROWS($AG$2:AG333),$AG$2:$AG$1001,0),0), INDEX($AN$1004:$BO$1004,1,MATCH(COLUMNS($AN$1006:AT1006),$AN$1006:$BO$1006,0)))),"Fix")))</f>
        <v>0</v>
      </c>
      <c r="I333" s="4">
        <f>IF(OR(INDEX($AH$2:$AH$1001,MATCH(ROWS($AG$2:AG333),$AG$2:$AG$1001,0),1)&gt;=100000,INDEX($AN$1005:$BO$1005,1,MATCH(COLUMNS($AN$1006:AU1006),$AN$1006:$BO$1006,0))&gt;=100000), " ",IF(INDEX($AN$2:$BO$1001,MATCH(ROWS($AG$2:AG333),$AG$2:$AG$1001,0),MATCH(COLUMNS($AN$1006:AU1006),$AN$1006:$BO$1006,0)), HYPERLINK("#",""), HYPERLINK(CONCATENATE("#Metadata!", ADDRESS(INDEX($AI$2:$AI$1001,MATCH(ROWS($AG$2:AG333),$AG$2:$AG$1001,0),0), INDEX($AN$1004:$BO$1004,1,MATCH(COLUMNS($AN$1006:AU1006),$AN$1006:$BO$1006,0)))),"Fix")))</f>
        <v>0</v>
      </c>
      <c r="J333" s="4">
        <f>IF(OR(INDEX($AH$2:$AH$1001,MATCH(ROWS($AG$2:AG333),$AG$2:$AG$1001,0),1)&gt;=100000,INDEX($AN$1005:$BO$1005,1,MATCH(COLUMNS($AN$1006:AV1006),$AN$1006:$BO$1006,0))&gt;=100000), " ",IF(INDEX($AN$2:$BO$1001,MATCH(ROWS($AG$2:AG333),$AG$2:$AG$1001,0),MATCH(COLUMNS($AN$1006:AV1006),$AN$1006:$BO$1006,0)), HYPERLINK("#",""), HYPERLINK(CONCATENATE("#Metadata!", ADDRESS(INDEX($AI$2:$AI$1001,MATCH(ROWS($AG$2:AG333),$AG$2:$AG$1001,0),0), INDEX($AN$1004:$BO$1004,1,MATCH(COLUMNS($AN$1006:AV1006),$AN$1006:$BO$1006,0)))),"Fix")))</f>
        <v>0</v>
      </c>
      <c r="K333" s="4">
        <f>IF(OR(INDEX($AH$2:$AH$1001,MATCH(ROWS($AG$2:AG333),$AG$2:$AG$1001,0),1)&gt;=100000,INDEX($AN$1005:$BO$1005,1,MATCH(COLUMNS($AN$1006:AW1006),$AN$1006:$BO$1006,0))&gt;=100000), " ",IF(INDEX($AN$2:$BO$1001,MATCH(ROWS($AG$2:AG333),$AG$2:$AG$1001,0),MATCH(COLUMNS($AN$1006:AW1006),$AN$1006:$BO$1006,0)), HYPERLINK("#",""), HYPERLINK(CONCATENATE("#Metadata!", ADDRESS(INDEX($AI$2:$AI$1001,MATCH(ROWS($AG$2:AG333),$AG$2:$AG$1001,0),0), INDEX($AN$1004:$BO$1004,1,MATCH(COLUMNS($AN$1006:AW1006),$AN$1006:$BO$1006,0)))),"Fix")))</f>
        <v>0</v>
      </c>
      <c r="L333" s="4">
        <f>IF(OR(INDEX($AH$2:$AH$1001,MATCH(ROWS($AG$2:AG333),$AG$2:$AG$1001,0),1)&gt;=100000,INDEX($AN$1005:$BO$1005,1,MATCH(COLUMNS($AN$1006:AX1006),$AN$1006:$BO$1006,0))&gt;=100000), " ",IF(INDEX($AN$2:$BO$1001,MATCH(ROWS($AG$2:AG333),$AG$2:$AG$1001,0),MATCH(COLUMNS($AN$1006:AX1006),$AN$1006:$BO$1006,0)), HYPERLINK("#",""), HYPERLINK(CONCATENATE("#Metadata!", ADDRESS(INDEX($AI$2:$AI$1001,MATCH(ROWS($AG$2:AG333),$AG$2:$AG$1001,0),0), INDEX($AN$1004:$BO$1004,1,MATCH(COLUMNS($AN$1006:AX1006),$AN$1006:$BO$1006,0)))),"Fix")))</f>
        <v>0</v>
      </c>
      <c r="M333" s="4">
        <f>IF(OR(INDEX($AH$2:$AH$1001,MATCH(ROWS($AG$2:AG333),$AG$2:$AG$1001,0),1)&gt;=100000,INDEX($AN$1005:$BO$1005,1,MATCH(COLUMNS($AN$1006:AY1006),$AN$1006:$BO$1006,0))&gt;=100000), " ",IF(INDEX($AN$2:$BO$1001,MATCH(ROWS($AG$2:AG333),$AG$2:$AG$1001,0),MATCH(COLUMNS($AN$1006:AY1006),$AN$1006:$BO$1006,0)), HYPERLINK("#",""), HYPERLINK(CONCATENATE("#Metadata!", ADDRESS(INDEX($AI$2:$AI$1001,MATCH(ROWS($AG$2:AG333),$AG$2:$AG$1001,0),0), INDEX($AN$1004:$BO$1004,1,MATCH(COLUMNS($AN$1006:AY1006),$AN$1006:$BO$1006,0)))),"Fix")))</f>
        <v>0</v>
      </c>
      <c r="N333" s="4">
        <f>IF(OR(INDEX($AH$2:$AH$1001,MATCH(ROWS($AG$2:AG333),$AG$2:$AG$1001,0),1)&gt;=100000,INDEX($AN$1005:$BO$1005,1,MATCH(COLUMNS($AN$1006:AZ1006),$AN$1006:$BO$1006,0))&gt;=100000), " ",IF(INDEX($AN$2:$BO$1001,MATCH(ROWS($AG$2:AG333),$AG$2:$AG$1001,0),MATCH(COLUMNS($AN$1006:AZ1006),$AN$1006:$BO$1006,0)), HYPERLINK("#",""), HYPERLINK(CONCATENATE("#Metadata!", ADDRESS(INDEX($AI$2:$AI$1001,MATCH(ROWS($AG$2:AG333),$AG$2:$AG$1001,0),0), INDEX($AN$1004:$BO$1004,1,MATCH(COLUMNS($AN$1006:AZ1006),$AN$1006:$BO$1006,0)))),"Fix")))</f>
        <v>0</v>
      </c>
      <c r="O333" s="4">
        <f>IF(OR(INDEX($AH$2:$AH$1001,MATCH(ROWS($AG$2:AG333),$AG$2:$AG$1001,0),1)&gt;=100000,INDEX($AN$1005:$BO$1005,1,MATCH(COLUMNS($AN$1006:BA1006),$AN$1006:$BO$1006,0))&gt;=100000), " ",IF(INDEX($AN$2:$BO$1001,MATCH(ROWS($AG$2:AG333),$AG$2:$AG$1001,0),MATCH(COLUMNS($AN$1006:BA1006),$AN$1006:$BO$1006,0)), HYPERLINK("#",""), HYPERLINK(CONCATENATE("#Metadata!", ADDRESS(INDEX($AI$2:$AI$1001,MATCH(ROWS($AG$2:AG333),$AG$2:$AG$1001,0),0), INDEX($AN$1004:$BO$1004,1,MATCH(COLUMNS($AN$1006:BA1006),$AN$1006:$BO$1006,0)))),"Fix")))</f>
        <v>0</v>
      </c>
      <c r="P333" s="4">
        <f>IF(OR(INDEX($AH$2:$AH$1001,MATCH(ROWS($AG$2:AG333),$AG$2:$AG$1001,0),1)&gt;=100000,INDEX($AN$1005:$BO$1005,1,MATCH(COLUMNS($AN$1006:BB1006),$AN$1006:$BO$1006,0))&gt;=100000), " ",IF(INDEX($AN$2:$BO$1001,MATCH(ROWS($AG$2:AG333),$AG$2:$AG$1001,0),MATCH(COLUMNS($AN$1006:BB1006),$AN$1006:$BO$1006,0)), HYPERLINK("#",""), HYPERLINK(CONCATENATE("#Metadata!", ADDRESS(INDEX($AI$2:$AI$1001,MATCH(ROWS($AG$2:AG333),$AG$2:$AG$1001,0),0), INDEX($AN$1004:$BO$1004,1,MATCH(COLUMNS($AN$1006:BB1006),$AN$1006:$BO$1006,0)))),"Fix")))</f>
        <v>0</v>
      </c>
      <c r="Q333" s="4">
        <f>IF(OR(INDEX($AH$2:$AH$1001,MATCH(ROWS($AG$2:AG333),$AG$2:$AG$1001,0),1)&gt;=100000,INDEX($AN$1005:$BO$1005,1,MATCH(COLUMNS($AN$1006:BC1006),$AN$1006:$BO$1006,0))&gt;=100000), " ",IF(INDEX($AN$2:$BO$1001,MATCH(ROWS($AG$2:AG333),$AG$2:$AG$1001,0),MATCH(COLUMNS($AN$1006:BC1006),$AN$1006:$BO$1006,0)), HYPERLINK("#",""), HYPERLINK(CONCATENATE("#Metadata!", ADDRESS(INDEX($AI$2:$AI$1001,MATCH(ROWS($AG$2:AG333),$AG$2:$AG$1001,0),0), INDEX($AN$1004:$BO$1004,1,MATCH(COLUMNS($AN$1006:BC1006),$AN$1006:$BO$1006,0)))),"Fix")))</f>
        <v>0</v>
      </c>
      <c r="R333" s="4">
        <f>IF(OR(INDEX($AH$2:$AH$1001,MATCH(ROWS($AG$2:AG333),$AG$2:$AG$1001,0),1)&gt;=100000,INDEX($AN$1005:$BO$1005,1,MATCH(COLUMNS($AN$1006:BD1006),$AN$1006:$BO$1006,0))&gt;=100000), " ",IF(INDEX($AN$2:$BO$1001,MATCH(ROWS($AG$2:AG333),$AG$2:$AG$1001,0),MATCH(COLUMNS($AN$1006:BD1006),$AN$1006:$BO$1006,0)), HYPERLINK("#",""), HYPERLINK(CONCATENATE("#Metadata!", ADDRESS(INDEX($AI$2:$AI$1001,MATCH(ROWS($AG$2:AG333),$AG$2:$AG$1001,0),0), INDEX($AN$1004:$BO$1004,1,MATCH(COLUMNS($AN$1006:BD1006),$AN$1006:$BO$1006,0)))),"Fix")))</f>
        <v>0</v>
      </c>
      <c r="S333" s="4">
        <f>IF(OR(INDEX($AH$2:$AH$1001,MATCH(ROWS($AG$2:AG333),$AG$2:$AG$1001,0),1)&gt;=100000,INDEX($AN$1005:$BO$1005,1,MATCH(COLUMNS($AN$1006:BE1006),$AN$1006:$BO$1006,0))&gt;=100000), " ",IF(INDEX($AN$2:$BO$1001,MATCH(ROWS($AG$2:AG333),$AG$2:$AG$1001,0),MATCH(COLUMNS($AN$1006:BE1006),$AN$1006:$BO$1006,0)), HYPERLINK("#",""), HYPERLINK(CONCATENATE("#Metadata!", ADDRESS(INDEX($AI$2:$AI$1001,MATCH(ROWS($AG$2:AG333),$AG$2:$AG$1001,0),0), INDEX($AN$1004:$BO$1004,1,MATCH(COLUMNS($AN$1006:BE1006),$AN$1006:$BO$1006,0)))),"Fix")))</f>
        <v>0</v>
      </c>
      <c r="T333" s="4">
        <f>IF(OR(INDEX($AH$2:$AH$1001,MATCH(ROWS($AG$2:AG333),$AG$2:$AG$1001,0),1)&gt;=100000,INDEX($AN$1005:$BO$1005,1,MATCH(COLUMNS($AN$1006:BF1006),$AN$1006:$BO$1006,0))&gt;=100000), " ",IF(INDEX($AN$2:$BO$1001,MATCH(ROWS($AG$2:AG333),$AG$2:$AG$1001,0),MATCH(COLUMNS($AN$1006:BF1006),$AN$1006:$BO$1006,0)), HYPERLINK("#",""), HYPERLINK(CONCATENATE("#Metadata!", ADDRESS(INDEX($AI$2:$AI$1001,MATCH(ROWS($AG$2:AG333),$AG$2:$AG$1001,0),0), INDEX($AN$1004:$BO$1004,1,MATCH(COLUMNS($AN$1006:BF1006),$AN$1006:$BO$1006,0)))),"Fix")))</f>
        <v>0</v>
      </c>
      <c r="U333" s="4">
        <f>IF(OR(INDEX($AH$2:$AH$1001,MATCH(ROWS($AG$2:AG333),$AG$2:$AG$1001,0),1)&gt;=100000,INDEX($AN$1005:$BO$1005,1,MATCH(COLUMNS($AN$1006:BG1006),$AN$1006:$BO$1006,0))&gt;=100000), " ",IF(INDEX($AN$2:$BO$1001,MATCH(ROWS($AG$2:AG333),$AG$2:$AG$1001,0),MATCH(COLUMNS($AN$1006:BG1006),$AN$1006:$BO$1006,0)), HYPERLINK("#",""), HYPERLINK(CONCATENATE("#Metadata!", ADDRESS(INDEX($AI$2:$AI$1001,MATCH(ROWS($AG$2:AG333),$AG$2:$AG$1001,0),0), INDEX($AN$1004:$BO$1004,1,MATCH(COLUMNS($AN$1006:BG1006),$AN$1006:$BO$1006,0)))),"Fix")))</f>
        <v>0</v>
      </c>
      <c r="V333" s="4">
        <f>IF(OR(INDEX($AH$2:$AH$1001,MATCH(ROWS($AG$2:AG333),$AG$2:$AG$1001,0),1)&gt;=100000,INDEX($AN$1005:$BO$1005,1,MATCH(COLUMNS($AN$1006:BH1006),$AN$1006:$BO$1006,0))&gt;=100000), " ",IF(INDEX($AN$2:$BO$1001,MATCH(ROWS($AG$2:AG333),$AG$2:$AG$1001,0),MATCH(COLUMNS($AN$1006:BH1006),$AN$1006:$BO$1006,0)), HYPERLINK("#",""), HYPERLINK(CONCATENATE("#Metadata!", ADDRESS(INDEX($AI$2:$AI$1001,MATCH(ROWS($AG$2:AG333),$AG$2:$AG$1001,0),0), INDEX($AN$1004:$BO$1004,1,MATCH(COLUMNS($AN$1006:BH1006),$AN$1006:$BO$1006,0)))),"Fix")))</f>
        <v>0</v>
      </c>
      <c r="W333" s="4">
        <f>IF(OR(INDEX($AH$2:$AH$1001,MATCH(ROWS($AG$2:AG333),$AG$2:$AG$1001,0),1)&gt;=100000,INDEX($AN$1005:$BO$1005,1,MATCH(COLUMNS($AN$1006:BI1006),$AN$1006:$BO$1006,0))&gt;=100000), " ",IF(INDEX($AN$2:$BO$1001,MATCH(ROWS($AG$2:AG333),$AG$2:$AG$1001,0),MATCH(COLUMNS($AN$1006:BI1006),$AN$1006:$BO$1006,0)), HYPERLINK("#",""), HYPERLINK(CONCATENATE("#Metadata!", ADDRESS(INDEX($AI$2:$AI$1001,MATCH(ROWS($AG$2:AG333),$AG$2:$AG$1001,0),0), INDEX($AN$1004:$BO$1004,1,MATCH(COLUMNS($AN$1006:BI1006),$AN$1006:$BO$1006,0)))),"Fix")))</f>
        <v>0</v>
      </c>
      <c r="X333" s="4">
        <f>IF(OR(INDEX($AH$2:$AH$1001,MATCH(ROWS($AG$2:AG333),$AG$2:$AG$1001,0),1)&gt;=100000,INDEX($AN$1005:$BO$1005,1,MATCH(COLUMNS($AN$1006:BJ1006),$AN$1006:$BO$1006,0))&gt;=100000), " ",IF(INDEX($AN$2:$BO$1001,MATCH(ROWS($AG$2:AG333),$AG$2:$AG$1001,0),MATCH(COLUMNS($AN$1006:BJ1006),$AN$1006:$BO$1006,0)), HYPERLINK("#",""), HYPERLINK(CONCATENATE("#Metadata!", ADDRESS(INDEX($AI$2:$AI$1001,MATCH(ROWS($AG$2:AG333),$AG$2:$AG$1001,0),0), INDEX($AN$1004:$BO$1004,1,MATCH(COLUMNS($AN$1006:BJ1006),$AN$1006:$BO$1006,0)))),"Fix")))</f>
        <v>0</v>
      </c>
      <c r="Y333" s="4">
        <f>IF(OR(INDEX($AH$2:$AH$1001,MATCH(ROWS($AG$2:AG333),$AG$2:$AG$1001,0),1)&gt;=100000,INDEX($AN$1005:$BO$1005,1,MATCH(COLUMNS($AN$1006:BK1006),$AN$1006:$BO$1006,0))&gt;=100000), " ",IF(INDEX($AN$2:$BO$1001,MATCH(ROWS($AG$2:AG333),$AG$2:$AG$1001,0),MATCH(COLUMNS($AN$1006:BK1006),$AN$1006:$BO$1006,0)), HYPERLINK("#",""), HYPERLINK(CONCATENATE("#Metadata!", ADDRESS(INDEX($AI$2:$AI$1001,MATCH(ROWS($AG$2:AG333),$AG$2:$AG$1001,0),0), INDEX($AN$1004:$BO$1004,1,MATCH(COLUMNS($AN$1006:BK1006),$AN$1006:$BO$1006,0)))),"Fix")))</f>
        <v>0</v>
      </c>
      <c r="Z333" s="4">
        <f>IF(OR(INDEX($AH$2:$AH$1001,MATCH(ROWS($AG$2:AG333),$AG$2:$AG$1001,0),1)&gt;=100000,INDEX($AN$1005:$BO$1005,1,MATCH(COLUMNS($AN$1006:BL1006),$AN$1006:$BO$1006,0))&gt;=100000), " ",IF(INDEX($AN$2:$BO$1001,MATCH(ROWS($AG$2:AG333),$AG$2:$AG$1001,0),MATCH(COLUMNS($AN$1006:BL1006),$AN$1006:$BO$1006,0)), HYPERLINK("#",""), HYPERLINK(CONCATENATE("#Metadata!", ADDRESS(INDEX($AI$2:$AI$1001,MATCH(ROWS($AG$2:AG333),$AG$2:$AG$1001,0),0), INDEX($AN$1004:$BO$1004,1,MATCH(COLUMNS($AN$1006:BL1006),$AN$1006:$BO$1006,0)))),"Fix")))</f>
        <v>0</v>
      </c>
      <c r="AA333" s="4">
        <f>IF(OR(INDEX($AH$2:$AH$1001,MATCH(ROWS($AG$2:AG333),$AG$2:$AG$1001,0),1)&gt;=100000,INDEX($AN$1005:$BO$1005,1,MATCH(COLUMNS($AN$1006:BM1006),$AN$1006:$BO$1006,0))&gt;=100000), " ",IF(INDEX($AN$2:$BO$1001,MATCH(ROWS($AG$2:AG333),$AG$2:$AG$1001,0),MATCH(COLUMNS($AN$1006:BM1006),$AN$1006:$BO$1006,0)), HYPERLINK("#",""), HYPERLINK(CONCATENATE("#Metadata!", ADDRESS(INDEX($AI$2:$AI$1001,MATCH(ROWS($AG$2:AG333),$AG$2:$AG$1001,0),0), INDEX($AN$1004:$BO$1004,1,MATCH(COLUMNS($AN$1006:BM1006),$AN$1006:$BO$1006,0)))),"Fix")))</f>
        <v>0</v>
      </c>
      <c r="AB333" s="4">
        <f>IF(OR(INDEX($AH$2:$AH$1001,MATCH(ROWS($AG$2:AG333),$AG$2:$AG$1001,0),1)&gt;=100000,INDEX($AN$1005:$BO$1005,1,MATCH(COLUMNS($AN$1006:BN1006),$AN$1006:$BO$1006,0))&gt;=100000), " ",IF(INDEX($AN$2:$BO$1001,MATCH(ROWS($AG$2:AG333),$AG$2:$AG$1001,0),MATCH(COLUMNS($AN$1006:BN1006),$AN$1006:$BO$1006,0)), HYPERLINK("#",""), HYPERLINK(CONCATENATE("#Metadata!", ADDRESS(INDEX($AI$2:$AI$1001,MATCH(ROWS($AG$2:AG333),$AG$2:$AG$1001,0),0), INDEX($AN$1004:$BO$1004,1,MATCH(COLUMNS($AN$1006:BN1006),$AN$1006:$BO$1006,0)))),"Fix")))</f>
        <v>0</v>
      </c>
      <c r="AC333" s="4">
        <f>IF(OR(INDEX($AH$2:$AH$1001,MATCH(ROWS($AG$2:AG333),$AG$2:$AG$1001,0),1)&gt;=100000,INDEX($AN$1005:$BO$1005,1,MATCH(COLUMNS($AN$1006:BO1006),$AN$1006:$BO$1006,0))&gt;=100000), " ",IF(INDEX($AN$2:$BO$1001,MATCH(ROWS($AG$2:AG333),$AG$2:$AG$1001,0),MATCH(COLUMNS($AN$1006:BO1006),$AN$1006:$BO$1006,0)), HYPERLINK("#",""), HYPERLINK(CONCATENATE("#Metadata!", ADDRESS(INDEX($AI$2:$AI$1001,MATCH(ROWS($AG$2:AG333),$AG$2:$AG$1001,0),0), INDEX($AN$1004:$BO$1004,1,MATCH(COLUMNS($AN$1006:BO1006),$AN$1006:$BO$1006,0)))),"Fix")))</f>
        <v>0</v>
      </c>
      <c r="AG333">
        <v>0</v>
      </c>
      <c r="AH333">
        <v>0</v>
      </c>
      <c r="AI333">
        <v>0</v>
      </c>
      <c r="AJ333">
        <f>IF(AK333,TRUE,AND(AN333:BO333))</f>
        <v>0</v>
      </c>
      <c r="AK333">
        <f>COUNTBLANK(Metadata!B333:AC333)=COLUMNS(Metadata!B333:AC333)</f>
        <v>0</v>
      </c>
      <c r="AL333">
        <v>0</v>
      </c>
      <c r="AN333">
        <f>AND(IF(Metadata!B333="",FALSE,TRUE),COUNTIF(Metadata!B:B, Metadata!B333) = 1,NOT(ISERROR(SUMPRODUCT(SEARCH(MID(Metadata!B333,ROW(INDIRECT("1:"&amp;LEN(Metadata!B333))), 1),"0123456789abcdefghijklmnopqrstuvwxyzABCDEFGHIJKLMNOPQRSTUVWXYZ.")))))</f>
        <v>0</v>
      </c>
      <c r="AO333">
        <f>IF(Metadata!C333="",FALSE,TRUE)</f>
        <v>0</v>
      </c>
      <c r="AP333">
        <f>IF(Metadata!D333="",FALSE,TRUE)</f>
        <v>0</v>
      </c>
      <c r="AQ333">
        <f>OR(AND(IF(Metadata!E333="",FALSE,TRUE),OR(exact(Metadata!E333,"not collected"),exact(Metadata!E333,"not provided"),exact(Metadata!E333,"restricted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R333">
        <f>IF(Metadata!F333="",FALSE,TRUE)</f>
        <v>0</v>
      </c>
      <c r="AS333">
        <f>OR(AND(IF(Metadata!G333="",FALSE,TRUE),OR(exact(Metadata!G333,"not collected"),exact(Metadata!G333,"not provided"))),AND(IF(Metadata!G333="",FALSE,TRUE),OR(exact(Metadata!G333,"TRUE"),exact(Metadata!G333,"FALSE"))))</f>
        <v>0</v>
      </c>
      <c r="AT333">
        <f>OR(AND(IF(Metadata!H333="",FALSE,TRUE),OR(exact(Metadata!H333,"not collected"),exact(Metadata!H333,"not provided"),exact(Metadata!H333,"restricted access"))),AND(IF(Metadata!H333="",FALSE,ISNUMBER(VALUE(Metadata!H333))),Metadata!H333&gt;=-413.0))</f>
        <v>0</v>
      </c>
      <c r="AU333">
        <f>AND(IF(Metadata!I333="",FALSE,TRUE),exact(Metadata!I333,"meters"))</f>
        <v>0</v>
      </c>
      <c r="AV333">
        <f>AND(IF(Metadata!J333="",FALSE,TRUE),OR(exact(Metadata!J333,"Host-associated"),exact(Metadata!J333,"Free-living")))</f>
        <v>0</v>
      </c>
      <c r="AW333">
        <f>AND(IF(Metadata!K333="",FALSE,TRUE),OR(exact(Metadata!K333,"Animal"),exact(Metadata!K333,"Fungus"),exact(Metadata!K333,"Plant"),exact(Metadata!K333,"Saline"),exact(Metadata!K333,"Non-saline")))</f>
        <v>0</v>
      </c>
      <c r="AX333">
        <f>AND(IF(Metadata!L333="",FALSE,TRUE),OR(exact(Metadata!L333,"Plant secretion"),exact(Metadata!L333,"Plant rhizosphere"),exact(Metadata!L333,"Plant surface"),exact(Metadata!L333,"Plant corpus"),exact(Metadata!L333,"Fungus surface"),exact(Metadata!L333,"Fungus corpus"),exact(Metadata!L333,"Animal surface"),exact(Metadata!L333,"Animal proximal gut"),exact(Metadata!L333,"Animal corpus"),exact(Metadata!L333,"Animal distal gut"),exact(Metadata!L333,"Animal secretion"),exact(Metadata!L333,"Sub-surface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Y333">
        <f>IF(Metadata!M333="",FALSE,TRUE)</f>
        <v>0</v>
      </c>
      <c r="AZ333">
        <f>IF(Metadata!N333="",FALSE,TRUE)</f>
        <v>0</v>
      </c>
      <c r="BA333">
        <f>IF(Metadata!O333="",FALSE,TRUE)</f>
        <v>0</v>
      </c>
      <c r="BB333">
        <f>OR(AND(IF(Metadata!P333="",FALSE,TRUE),OR(exact(Metadata!P333,"not collected"),exact(Metadata!P333,"not provided"),exact(Metadata!P333,"restricted access"))),AND(IF(Metadata!P333="",FALSE,TRUE),OR(exact(Metadata!P333,"air"),exact(Metadata!P333,"built environment"),exact(Metadata!P333,"host-associated"),exact(Metadata!P333,"human-associated"),exact(Metadata!P333,"human-skin"),exact(Metadata!P333,"human-oral"),exact(Metadata!P333,"human-gut"),exact(Metadata!P333,"human-vaginal"),exact(Metadata!P333,"microbial mat/biofilm"),exact(Metadata!P333,"misc environment"),exact(Metadata!P333,"plant-associated"),exact(Metadata!P333,"sediment"),exact(Metadata!P333,"soil"),exact(Metadata!P333,"wastewater/sludge"),exact(Metadata!P333,"water"))))</f>
        <v>0</v>
      </c>
      <c r="BC333">
        <f>IF(Metadata!Q333="",FALSE,TRUE)</f>
        <v>0</v>
      </c>
      <c r="BD333">
        <f>IF(Metadata!R333="",FALSE,TRUE)</f>
        <v>0</v>
      </c>
      <c r="BE333">
        <f>OR(AND(IF(Metadata!S333="",FALSE,TRUE),OR(exact(Metadata!S333,"not collected"),exact(Metadata!S333,"not provided"),exact(Metadata!S333,"restricted access"))),AND(IF(Metadata!S333="",FALSE,ISNUMBER(VALUE(Metadata!S333))),Metadata!S333&gt;=-90.00,Metadata!S333&lt;=90.00))</f>
        <v>0</v>
      </c>
      <c r="BF333">
        <f>AND(IF(Metadata!T333="",FALSE,TRUE),exact(Metadata!T333,"Decimal degrees"))</f>
        <v>0</v>
      </c>
      <c r="BG333">
        <f>OR(AND(IF(Metadata!U333="",FALSE,TRUE),OR(exact(Metadata!U333,"not collected"),exact(Metadata!U333,"not provided"),exact(Metadata!U333,"restricted access"))),AND(IF(Metadata!U333="",FALSE,ISNUMBER(VALUE(Metadata!U333))),Metadata!U333&gt;=-180.00,Metadata!U333&lt;=180.00))</f>
        <v>0</v>
      </c>
      <c r="BH333">
        <f>AND(IF(Metadata!V333="",FALSE,TRUE),exact(Metadata!V333,"Decimal degrees"))</f>
        <v>0</v>
      </c>
      <c r="BI333">
        <f>IF(Metadata!W333="",FALSE,TRUE)</f>
        <v>0</v>
      </c>
      <c r="BJ333">
        <f>OR(AND(IF(Metadata!X333="",FALSE,TRUE),OR(exact(Metadata!X333,"not collected"),exact(Metadata!X333,"not provided"),exact(Metadata!X333,"restricted access"))),AND(IF(Metadata!X333="",FALSE,TRUE),OR(exact(Metadata!X333,"TRUE"),exact(Metadata!X333,"FALSE"))))</f>
        <v>0</v>
      </c>
      <c r="BK333">
        <f>AND(IF(Metadata!Y333="",FALSE,TRUE),exact(Metadata!Y333,"other"))</f>
        <v>0</v>
      </c>
      <c r="BL333">
        <f>IF(Metadata!Z333="",FALSE,TRUE)</f>
        <v>0</v>
      </c>
      <c r="BM333">
        <f>OR(AND(IF(Metadata!AA333="",FALSE,TRUE),OR(exact(Metadata!AA333,"not collected"),exact(Metadata!AA333,"not provided"))),AND(IF(Metadata!AA333="",FALSE,IF(ISERROR(INT(Metadata!AA333)),FALSE,INT(Metadata!AA333)=Metadata!AA333)),Metadata!AA333&gt;0))</f>
        <v>0</v>
      </c>
      <c r="BN333">
        <f>AND(IF(Metadata!AB333="",FALSE,TRUE),exact(Metadata!AB333,"Not applicable"))</f>
        <v>0</v>
      </c>
      <c r="BO333">
        <f>IF(Metadata!AC333="",FALSE,TRUE)</f>
        <v>0</v>
      </c>
    </row>
    <row r="334" spans="1:67">
      <c r="A334" s="5">
        <f>IF(B334=" "," ",HYPERLINK(CONCATENATE("#metadata!",ADDRESS(INDEX($AI$2:$AI$1001,MATCH(ROWS($AG$2:AG334),$AG$2:$AG$1001,0),0),1)),INDEX($AL$2:$AL$1001,MATCH(ROWS($AG$2:AG334),$AG$2:$AG$1001,0),0)))</f>
        <v>0</v>
      </c>
      <c r="B334" s="4">
        <f>IF(OR(INDEX($AH$2:$AH$1001,MATCH(ROWS($AG$2:AG334),$AG$2:$AG$1001,0),1)&gt;=100000,INDEX($AN$1005:$BO$1005,1,MATCH(COLUMNS($AN$1006:AN1006),$AN$1006:$BO$1006,0))&gt;=100000), " ",IF(INDEX($AN$2:$BO$1001,MATCH(ROWS($AG$2:AG334),$AG$2:$AG$1001,0),MATCH(COLUMNS($AN$1006:AN1006),$AN$1006:$BO$1006,0)), HYPERLINK("#",""), HYPERLINK(CONCATENATE("#Metadata!", ADDRESS(INDEX($AI$2:$AI$1001,MATCH(ROWS($AG$2:AG334),$AG$2:$AG$1001,0),0), INDEX($AN$1004:$BO$1004,1,MATCH(COLUMNS($AN$1006:AN1006),$AN$1006:$BO$1006,0)))),"Fix")))</f>
        <v>0</v>
      </c>
      <c r="C334" s="4">
        <f>IF(OR(INDEX($AH$2:$AH$1001,MATCH(ROWS($AG$2:AG334),$AG$2:$AG$1001,0),1)&gt;=100000,INDEX($AN$1005:$BO$1005,1,MATCH(COLUMNS($AN$1006:AO1006),$AN$1006:$BO$1006,0))&gt;=100000), " ",IF(INDEX($AN$2:$BO$1001,MATCH(ROWS($AG$2:AG334),$AG$2:$AG$1001,0),MATCH(COLUMNS($AN$1006:AO1006),$AN$1006:$BO$1006,0)), HYPERLINK("#",""), HYPERLINK(CONCATENATE("#Metadata!", ADDRESS(INDEX($AI$2:$AI$1001,MATCH(ROWS($AG$2:AG334),$AG$2:$AG$1001,0),0), INDEX($AN$1004:$BO$1004,1,MATCH(COLUMNS($AN$1006:AO1006),$AN$1006:$BO$1006,0)))),"Fix")))</f>
        <v>0</v>
      </c>
      <c r="D334" s="4">
        <f>IF(OR(INDEX($AH$2:$AH$1001,MATCH(ROWS($AG$2:AG334),$AG$2:$AG$1001,0),1)&gt;=100000,INDEX($AN$1005:$BO$1005,1,MATCH(COLUMNS($AN$1006:AP1006),$AN$1006:$BO$1006,0))&gt;=100000), " ",IF(INDEX($AN$2:$BO$1001,MATCH(ROWS($AG$2:AG334),$AG$2:$AG$1001,0),MATCH(COLUMNS($AN$1006:AP1006),$AN$1006:$BO$1006,0)), HYPERLINK("#",""), HYPERLINK(CONCATENATE("#Metadata!", ADDRESS(INDEX($AI$2:$AI$1001,MATCH(ROWS($AG$2:AG334),$AG$2:$AG$1001,0),0), INDEX($AN$1004:$BO$1004,1,MATCH(COLUMNS($AN$1006:AP1006),$AN$1006:$BO$1006,0)))),"Fix")))</f>
        <v>0</v>
      </c>
      <c r="E334" s="4">
        <f>IF(OR(INDEX($AH$2:$AH$1001,MATCH(ROWS($AG$2:AG334),$AG$2:$AG$1001,0),1)&gt;=100000,INDEX($AN$1005:$BO$1005,1,MATCH(COLUMNS($AN$1006:AQ1006),$AN$1006:$BO$1006,0))&gt;=100000), " ",IF(INDEX($AN$2:$BO$1001,MATCH(ROWS($AG$2:AG334),$AG$2:$AG$1001,0),MATCH(COLUMNS($AN$1006:AQ1006),$AN$1006:$BO$1006,0)), HYPERLINK("#",""), HYPERLINK(CONCATENATE("#Metadata!", ADDRESS(INDEX($AI$2:$AI$1001,MATCH(ROWS($AG$2:AG334),$AG$2:$AG$1001,0),0), INDEX($AN$1004:$BO$1004,1,MATCH(COLUMNS($AN$1006:AQ1006),$AN$1006:$BO$1006,0)))),"Fix")))</f>
        <v>0</v>
      </c>
      <c r="F334" s="4">
        <f>IF(OR(INDEX($AH$2:$AH$1001,MATCH(ROWS($AG$2:AG334),$AG$2:$AG$1001,0),1)&gt;=100000,INDEX($AN$1005:$BO$1005,1,MATCH(COLUMNS($AN$1006:AR1006),$AN$1006:$BO$1006,0))&gt;=100000), " ",IF(INDEX($AN$2:$BO$1001,MATCH(ROWS($AG$2:AG334),$AG$2:$AG$1001,0),MATCH(COLUMNS($AN$1006:AR1006),$AN$1006:$BO$1006,0)), HYPERLINK("#",""), HYPERLINK(CONCATENATE("#Metadata!", ADDRESS(INDEX($AI$2:$AI$1001,MATCH(ROWS($AG$2:AG334),$AG$2:$AG$1001,0),0), INDEX($AN$1004:$BO$1004,1,MATCH(COLUMNS($AN$1006:AR1006),$AN$1006:$BO$1006,0)))),"Fix")))</f>
        <v>0</v>
      </c>
      <c r="G334" s="4">
        <f>IF(OR(INDEX($AH$2:$AH$1001,MATCH(ROWS($AG$2:AG334),$AG$2:$AG$1001,0),1)&gt;=100000,INDEX($AN$1005:$BO$1005,1,MATCH(COLUMNS($AN$1006:AS1006),$AN$1006:$BO$1006,0))&gt;=100000), " ",IF(INDEX($AN$2:$BO$1001,MATCH(ROWS($AG$2:AG334),$AG$2:$AG$1001,0),MATCH(COLUMNS($AN$1006:AS1006),$AN$1006:$BO$1006,0)), HYPERLINK("#",""), HYPERLINK(CONCATENATE("#Metadata!", ADDRESS(INDEX($AI$2:$AI$1001,MATCH(ROWS($AG$2:AG334),$AG$2:$AG$1001,0),0), INDEX($AN$1004:$BO$1004,1,MATCH(COLUMNS($AN$1006:AS1006),$AN$1006:$BO$1006,0)))),"Fix")))</f>
        <v>0</v>
      </c>
      <c r="H334" s="4">
        <f>IF(OR(INDEX($AH$2:$AH$1001,MATCH(ROWS($AG$2:AG334),$AG$2:$AG$1001,0),1)&gt;=100000,INDEX($AN$1005:$BO$1005,1,MATCH(COLUMNS($AN$1006:AT1006),$AN$1006:$BO$1006,0))&gt;=100000), " ",IF(INDEX($AN$2:$BO$1001,MATCH(ROWS($AG$2:AG334),$AG$2:$AG$1001,0),MATCH(COLUMNS($AN$1006:AT1006),$AN$1006:$BO$1006,0)), HYPERLINK("#",""), HYPERLINK(CONCATENATE("#Metadata!", ADDRESS(INDEX($AI$2:$AI$1001,MATCH(ROWS($AG$2:AG334),$AG$2:$AG$1001,0),0), INDEX($AN$1004:$BO$1004,1,MATCH(COLUMNS($AN$1006:AT1006),$AN$1006:$BO$1006,0)))),"Fix")))</f>
        <v>0</v>
      </c>
      <c r="I334" s="4">
        <f>IF(OR(INDEX($AH$2:$AH$1001,MATCH(ROWS($AG$2:AG334),$AG$2:$AG$1001,0),1)&gt;=100000,INDEX($AN$1005:$BO$1005,1,MATCH(COLUMNS($AN$1006:AU1006),$AN$1006:$BO$1006,0))&gt;=100000), " ",IF(INDEX($AN$2:$BO$1001,MATCH(ROWS($AG$2:AG334),$AG$2:$AG$1001,0),MATCH(COLUMNS($AN$1006:AU1006),$AN$1006:$BO$1006,0)), HYPERLINK("#",""), HYPERLINK(CONCATENATE("#Metadata!", ADDRESS(INDEX($AI$2:$AI$1001,MATCH(ROWS($AG$2:AG334),$AG$2:$AG$1001,0),0), INDEX($AN$1004:$BO$1004,1,MATCH(COLUMNS($AN$1006:AU1006),$AN$1006:$BO$1006,0)))),"Fix")))</f>
        <v>0</v>
      </c>
      <c r="J334" s="4">
        <f>IF(OR(INDEX($AH$2:$AH$1001,MATCH(ROWS($AG$2:AG334),$AG$2:$AG$1001,0),1)&gt;=100000,INDEX($AN$1005:$BO$1005,1,MATCH(COLUMNS($AN$1006:AV1006),$AN$1006:$BO$1006,0))&gt;=100000), " ",IF(INDEX($AN$2:$BO$1001,MATCH(ROWS($AG$2:AG334),$AG$2:$AG$1001,0),MATCH(COLUMNS($AN$1006:AV1006),$AN$1006:$BO$1006,0)), HYPERLINK("#",""), HYPERLINK(CONCATENATE("#Metadata!", ADDRESS(INDEX($AI$2:$AI$1001,MATCH(ROWS($AG$2:AG334),$AG$2:$AG$1001,0),0), INDEX($AN$1004:$BO$1004,1,MATCH(COLUMNS($AN$1006:AV1006),$AN$1006:$BO$1006,0)))),"Fix")))</f>
        <v>0</v>
      </c>
      <c r="K334" s="4">
        <f>IF(OR(INDEX($AH$2:$AH$1001,MATCH(ROWS($AG$2:AG334),$AG$2:$AG$1001,0),1)&gt;=100000,INDEX($AN$1005:$BO$1005,1,MATCH(COLUMNS($AN$1006:AW1006),$AN$1006:$BO$1006,0))&gt;=100000), " ",IF(INDEX($AN$2:$BO$1001,MATCH(ROWS($AG$2:AG334),$AG$2:$AG$1001,0),MATCH(COLUMNS($AN$1006:AW1006),$AN$1006:$BO$1006,0)), HYPERLINK("#",""), HYPERLINK(CONCATENATE("#Metadata!", ADDRESS(INDEX($AI$2:$AI$1001,MATCH(ROWS($AG$2:AG334),$AG$2:$AG$1001,0),0), INDEX($AN$1004:$BO$1004,1,MATCH(COLUMNS($AN$1006:AW1006),$AN$1006:$BO$1006,0)))),"Fix")))</f>
        <v>0</v>
      </c>
      <c r="L334" s="4">
        <f>IF(OR(INDEX($AH$2:$AH$1001,MATCH(ROWS($AG$2:AG334),$AG$2:$AG$1001,0),1)&gt;=100000,INDEX($AN$1005:$BO$1005,1,MATCH(COLUMNS($AN$1006:AX1006),$AN$1006:$BO$1006,0))&gt;=100000), " ",IF(INDEX($AN$2:$BO$1001,MATCH(ROWS($AG$2:AG334),$AG$2:$AG$1001,0),MATCH(COLUMNS($AN$1006:AX1006),$AN$1006:$BO$1006,0)), HYPERLINK("#",""), HYPERLINK(CONCATENATE("#Metadata!", ADDRESS(INDEX($AI$2:$AI$1001,MATCH(ROWS($AG$2:AG334),$AG$2:$AG$1001,0),0), INDEX($AN$1004:$BO$1004,1,MATCH(COLUMNS($AN$1006:AX1006),$AN$1006:$BO$1006,0)))),"Fix")))</f>
        <v>0</v>
      </c>
      <c r="M334" s="4">
        <f>IF(OR(INDEX($AH$2:$AH$1001,MATCH(ROWS($AG$2:AG334),$AG$2:$AG$1001,0),1)&gt;=100000,INDEX($AN$1005:$BO$1005,1,MATCH(COLUMNS($AN$1006:AY1006),$AN$1006:$BO$1006,0))&gt;=100000), " ",IF(INDEX($AN$2:$BO$1001,MATCH(ROWS($AG$2:AG334),$AG$2:$AG$1001,0),MATCH(COLUMNS($AN$1006:AY1006),$AN$1006:$BO$1006,0)), HYPERLINK("#",""), HYPERLINK(CONCATENATE("#Metadata!", ADDRESS(INDEX($AI$2:$AI$1001,MATCH(ROWS($AG$2:AG334),$AG$2:$AG$1001,0),0), INDEX($AN$1004:$BO$1004,1,MATCH(COLUMNS($AN$1006:AY1006),$AN$1006:$BO$1006,0)))),"Fix")))</f>
        <v>0</v>
      </c>
      <c r="N334" s="4">
        <f>IF(OR(INDEX($AH$2:$AH$1001,MATCH(ROWS($AG$2:AG334),$AG$2:$AG$1001,0),1)&gt;=100000,INDEX($AN$1005:$BO$1005,1,MATCH(COLUMNS($AN$1006:AZ1006),$AN$1006:$BO$1006,0))&gt;=100000), " ",IF(INDEX($AN$2:$BO$1001,MATCH(ROWS($AG$2:AG334),$AG$2:$AG$1001,0),MATCH(COLUMNS($AN$1006:AZ1006),$AN$1006:$BO$1006,0)), HYPERLINK("#",""), HYPERLINK(CONCATENATE("#Metadata!", ADDRESS(INDEX($AI$2:$AI$1001,MATCH(ROWS($AG$2:AG334),$AG$2:$AG$1001,0),0), INDEX($AN$1004:$BO$1004,1,MATCH(COLUMNS($AN$1006:AZ1006),$AN$1006:$BO$1006,0)))),"Fix")))</f>
        <v>0</v>
      </c>
      <c r="O334" s="4">
        <f>IF(OR(INDEX($AH$2:$AH$1001,MATCH(ROWS($AG$2:AG334),$AG$2:$AG$1001,0),1)&gt;=100000,INDEX($AN$1005:$BO$1005,1,MATCH(COLUMNS($AN$1006:BA1006),$AN$1006:$BO$1006,0))&gt;=100000), " ",IF(INDEX($AN$2:$BO$1001,MATCH(ROWS($AG$2:AG334),$AG$2:$AG$1001,0),MATCH(COLUMNS($AN$1006:BA1006),$AN$1006:$BO$1006,0)), HYPERLINK("#",""), HYPERLINK(CONCATENATE("#Metadata!", ADDRESS(INDEX($AI$2:$AI$1001,MATCH(ROWS($AG$2:AG334),$AG$2:$AG$1001,0),0), INDEX($AN$1004:$BO$1004,1,MATCH(COLUMNS($AN$1006:BA1006),$AN$1006:$BO$1006,0)))),"Fix")))</f>
        <v>0</v>
      </c>
      <c r="P334" s="4">
        <f>IF(OR(INDEX($AH$2:$AH$1001,MATCH(ROWS($AG$2:AG334),$AG$2:$AG$1001,0),1)&gt;=100000,INDEX($AN$1005:$BO$1005,1,MATCH(COLUMNS($AN$1006:BB1006),$AN$1006:$BO$1006,0))&gt;=100000), " ",IF(INDEX($AN$2:$BO$1001,MATCH(ROWS($AG$2:AG334),$AG$2:$AG$1001,0),MATCH(COLUMNS($AN$1006:BB1006),$AN$1006:$BO$1006,0)), HYPERLINK("#",""), HYPERLINK(CONCATENATE("#Metadata!", ADDRESS(INDEX($AI$2:$AI$1001,MATCH(ROWS($AG$2:AG334),$AG$2:$AG$1001,0),0), INDEX($AN$1004:$BO$1004,1,MATCH(COLUMNS($AN$1006:BB1006),$AN$1006:$BO$1006,0)))),"Fix")))</f>
        <v>0</v>
      </c>
      <c r="Q334" s="4">
        <f>IF(OR(INDEX($AH$2:$AH$1001,MATCH(ROWS($AG$2:AG334),$AG$2:$AG$1001,0),1)&gt;=100000,INDEX($AN$1005:$BO$1005,1,MATCH(COLUMNS($AN$1006:BC1006),$AN$1006:$BO$1006,0))&gt;=100000), " ",IF(INDEX($AN$2:$BO$1001,MATCH(ROWS($AG$2:AG334),$AG$2:$AG$1001,0),MATCH(COLUMNS($AN$1006:BC1006),$AN$1006:$BO$1006,0)), HYPERLINK("#",""), HYPERLINK(CONCATENATE("#Metadata!", ADDRESS(INDEX($AI$2:$AI$1001,MATCH(ROWS($AG$2:AG334),$AG$2:$AG$1001,0),0), INDEX($AN$1004:$BO$1004,1,MATCH(COLUMNS($AN$1006:BC1006),$AN$1006:$BO$1006,0)))),"Fix")))</f>
        <v>0</v>
      </c>
      <c r="R334" s="4">
        <f>IF(OR(INDEX($AH$2:$AH$1001,MATCH(ROWS($AG$2:AG334),$AG$2:$AG$1001,0),1)&gt;=100000,INDEX($AN$1005:$BO$1005,1,MATCH(COLUMNS($AN$1006:BD1006),$AN$1006:$BO$1006,0))&gt;=100000), " ",IF(INDEX($AN$2:$BO$1001,MATCH(ROWS($AG$2:AG334),$AG$2:$AG$1001,0),MATCH(COLUMNS($AN$1006:BD1006),$AN$1006:$BO$1006,0)), HYPERLINK("#",""), HYPERLINK(CONCATENATE("#Metadata!", ADDRESS(INDEX($AI$2:$AI$1001,MATCH(ROWS($AG$2:AG334),$AG$2:$AG$1001,0),0), INDEX($AN$1004:$BO$1004,1,MATCH(COLUMNS($AN$1006:BD1006),$AN$1006:$BO$1006,0)))),"Fix")))</f>
        <v>0</v>
      </c>
      <c r="S334" s="4">
        <f>IF(OR(INDEX($AH$2:$AH$1001,MATCH(ROWS($AG$2:AG334),$AG$2:$AG$1001,0),1)&gt;=100000,INDEX($AN$1005:$BO$1005,1,MATCH(COLUMNS($AN$1006:BE1006),$AN$1006:$BO$1006,0))&gt;=100000), " ",IF(INDEX($AN$2:$BO$1001,MATCH(ROWS($AG$2:AG334),$AG$2:$AG$1001,0),MATCH(COLUMNS($AN$1006:BE1006),$AN$1006:$BO$1006,0)), HYPERLINK("#",""), HYPERLINK(CONCATENATE("#Metadata!", ADDRESS(INDEX($AI$2:$AI$1001,MATCH(ROWS($AG$2:AG334),$AG$2:$AG$1001,0),0), INDEX($AN$1004:$BO$1004,1,MATCH(COLUMNS($AN$1006:BE1006),$AN$1006:$BO$1006,0)))),"Fix")))</f>
        <v>0</v>
      </c>
      <c r="T334" s="4">
        <f>IF(OR(INDEX($AH$2:$AH$1001,MATCH(ROWS($AG$2:AG334),$AG$2:$AG$1001,0),1)&gt;=100000,INDEX($AN$1005:$BO$1005,1,MATCH(COLUMNS($AN$1006:BF1006),$AN$1006:$BO$1006,0))&gt;=100000), " ",IF(INDEX($AN$2:$BO$1001,MATCH(ROWS($AG$2:AG334),$AG$2:$AG$1001,0),MATCH(COLUMNS($AN$1006:BF1006),$AN$1006:$BO$1006,0)), HYPERLINK("#",""), HYPERLINK(CONCATENATE("#Metadata!", ADDRESS(INDEX($AI$2:$AI$1001,MATCH(ROWS($AG$2:AG334),$AG$2:$AG$1001,0),0), INDEX($AN$1004:$BO$1004,1,MATCH(COLUMNS($AN$1006:BF1006),$AN$1006:$BO$1006,0)))),"Fix")))</f>
        <v>0</v>
      </c>
      <c r="U334" s="4">
        <f>IF(OR(INDEX($AH$2:$AH$1001,MATCH(ROWS($AG$2:AG334),$AG$2:$AG$1001,0),1)&gt;=100000,INDEX($AN$1005:$BO$1005,1,MATCH(COLUMNS($AN$1006:BG1006),$AN$1006:$BO$1006,0))&gt;=100000), " ",IF(INDEX($AN$2:$BO$1001,MATCH(ROWS($AG$2:AG334),$AG$2:$AG$1001,0),MATCH(COLUMNS($AN$1006:BG1006),$AN$1006:$BO$1006,0)), HYPERLINK("#",""), HYPERLINK(CONCATENATE("#Metadata!", ADDRESS(INDEX($AI$2:$AI$1001,MATCH(ROWS($AG$2:AG334),$AG$2:$AG$1001,0),0), INDEX($AN$1004:$BO$1004,1,MATCH(COLUMNS($AN$1006:BG1006),$AN$1006:$BO$1006,0)))),"Fix")))</f>
        <v>0</v>
      </c>
      <c r="V334" s="4">
        <f>IF(OR(INDEX($AH$2:$AH$1001,MATCH(ROWS($AG$2:AG334),$AG$2:$AG$1001,0),1)&gt;=100000,INDEX($AN$1005:$BO$1005,1,MATCH(COLUMNS($AN$1006:BH1006),$AN$1006:$BO$1006,0))&gt;=100000), " ",IF(INDEX($AN$2:$BO$1001,MATCH(ROWS($AG$2:AG334),$AG$2:$AG$1001,0),MATCH(COLUMNS($AN$1006:BH1006),$AN$1006:$BO$1006,0)), HYPERLINK("#",""), HYPERLINK(CONCATENATE("#Metadata!", ADDRESS(INDEX($AI$2:$AI$1001,MATCH(ROWS($AG$2:AG334),$AG$2:$AG$1001,0),0), INDEX($AN$1004:$BO$1004,1,MATCH(COLUMNS($AN$1006:BH1006),$AN$1006:$BO$1006,0)))),"Fix")))</f>
        <v>0</v>
      </c>
      <c r="W334" s="4">
        <f>IF(OR(INDEX($AH$2:$AH$1001,MATCH(ROWS($AG$2:AG334),$AG$2:$AG$1001,0),1)&gt;=100000,INDEX($AN$1005:$BO$1005,1,MATCH(COLUMNS($AN$1006:BI1006),$AN$1006:$BO$1006,0))&gt;=100000), " ",IF(INDEX($AN$2:$BO$1001,MATCH(ROWS($AG$2:AG334),$AG$2:$AG$1001,0),MATCH(COLUMNS($AN$1006:BI1006),$AN$1006:$BO$1006,0)), HYPERLINK("#",""), HYPERLINK(CONCATENATE("#Metadata!", ADDRESS(INDEX($AI$2:$AI$1001,MATCH(ROWS($AG$2:AG334),$AG$2:$AG$1001,0),0), INDEX($AN$1004:$BO$1004,1,MATCH(COLUMNS($AN$1006:BI1006),$AN$1006:$BO$1006,0)))),"Fix")))</f>
        <v>0</v>
      </c>
      <c r="X334" s="4">
        <f>IF(OR(INDEX($AH$2:$AH$1001,MATCH(ROWS($AG$2:AG334),$AG$2:$AG$1001,0),1)&gt;=100000,INDEX($AN$1005:$BO$1005,1,MATCH(COLUMNS($AN$1006:BJ1006),$AN$1006:$BO$1006,0))&gt;=100000), " ",IF(INDEX($AN$2:$BO$1001,MATCH(ROWS($AG$2:AG334),$AG$2:$AG$1001,0),MATCH(COLUMNS($AN$1006:BJ1006),$AN$1006:$BO$1006,0)), HYPERLINK("#",""), HYPERLINK(CONCATENATE("#Metadata!", ADDRESS(INDEX($AI$2:$AI$1001,MATCH(ROWS($AG$2:AG334),$AG$2:$AG$1001,0),0), INDEX($AN$1004:$BO$1004,1,MATCH(COLUMNS($AN$1006:BJ1006),$AN$1006:$BO$1006,0)))),"Fix")))</f>
        <v>0</v>
      </c>
      <c r="Y334" s="4">
        <f>IF(OR(INDEX($AH$2:$AH$1001,MATCH(ROWS($AG$2:AG334),$AG$2:$AG$1001,0),1)&gt;=100000,INDEX($AN$1005:$BO$1005,1,MATCH(COLUMNS($AN$1006:BK1006),$AN$1006:$BO$1006,0))&gt;=100000), " ",IF(INDEX($AN$2:$BO$1001,MATCH(ROWS($AG$2:AG334),$AG$2:$AG$1001,0),MATCH(COLUMNS($AN$1006:BK1006),$AN$1006:$BO$1006,0)), HYPERLINK("#",""), HYPERLINK(CONCATENATE("#Metadata!", ADDRESS(INDEX($AI$2:$AI$1001,MATCH(ROWS($AG$2:AG334),$AG$2:$AG$1001,0),0), INDEX($AN$1004:$BO$1004,1,MATCH(COLUMNS($AN$1006:BK1006),$AN$1006:$BO$1006,0)))),"Fix")))</f>
        <v>0</v>
      </c>
      <c r="Z334" s="4">
        <f>IF(OR(INDEX($AH$2:$AH$1001,MATCH(ROWS($AG$2:AG334),$AG$2:$AG$1001,0),1)&gt;=100000,INDEX($AN$1005:$BO$1005,1,MATCH(COLUMNS($AN$1006:BL1006),$AN$1006:$BO$1006,0))&gt;=100000), " ",IF(INDEX($AN$2:$BO$1001,MATCH(ROWS($AG$2:AG334),$AG$2:$AG$1001,0),MATCH(COLUMNS($AN$1006:BL1006),$AN$1006:$BO$1006,0)), HYPERLINK("#",""), HYPERLINK(CONCATENATE("#Metadata!", ADDRESS(INDEX($AI$2:$AI$1001,MATCH(ROWS($AG$2:AG334),$AG$2:$AG$1001,0),0), INDEX($AN$1004:$BO$1004,1,MATCH(COLUMNS($AN$1006:BL1006),$AN$1006:$BO$1006,0)))),"Fix")))</f>
        <v>0</v>
      </c>
      <c r="AA334" s="4">
        <f>IF(OR(INDEX($AH$2:$AH$1001,MATCH(ROWS($AG$2:AG334),$AG$2:$AG$1001,0),1)&gt;=100000,INDEX($AN$1005:$BO$1005,1,MATCH(COLUMNS($AN$1006:BM1006),$AN$1006:$BO$1006,0))&gt;=100000), " ",IF(INDEX($AN$2:$BO$1001,MATCH(ROWS($AG$2:AG334),$AG$2:$AG$1001,0),MATCH(COLUMNS($AN$1006:BM1006),$AN$1006:$BO$1006,0)), HYPERLINK("#",""), HYPERLINK(CONCATENATE("#Metadata!", ADDRESS(INDEX($AI$2:$AI$1001,MATCH(ROWS($AG$2:AG334),$AG$2:$AG$1001,0),0), INDEX($AN$1004:$BO$1004,1,MATCH(COLUMNS($AN$1006:BM1006),$AN$1006:$BO$1006,0)))),"Fix")))</f>
        <v>0</v>
      </c>
      <c r="AB334" s="4">
        <f>IF(OR(INDEX($AH$2:$AH$1001,MATCH(ROWS($AG$2:AG334),$AG$2:$AG$1001,0),1)&gt;=100000,INDEX($AN$1005:$BO$1005,1,MATCH(COLUMNS($AN$1006:BN1006),$AN$1006:$BO$1006,0))&gt;=100000), " ",IF(INDEX($AN$2:$BO$1001,MATCH(ROWS($AG$2:AG334),$AG$2:$AG$1001,0),MATCH(COLUMNS($AN$1006:BN1006),$AN$1006:$BO$1006,0)), HYPERLINK("#",""), HYPERLINK(CONCATENATE("#Metadata!", ADDRESS(INDEX($AI$2:$AI$1001,MATCH(ROWS($AG$2:AG334),$AG$2:$AG$1001,0),0), INDEX($AN$1004:$BO$1004,1,MATCH(COLUMNS($AN$1006:BN1006),$AN$1006:$BO$1006,0)))),"Fix")))</f>
        <v>0</v>
      </c>
      <c r="AC334" s="4">
        <f>IF(OR(INDEX($AH$2:$AH$1001,MATCH(ROWS($AG$2:AG334),$AG$2:$AG$1001,0),1)&gt;=100000,INDEX($AN$1005:$BO$1005,1,MATCH(COLUMNS($AN$1006:BO1006),$AN$1006:$BO$1006,0))&gt;=100000), " ",IF(INDEX($AN$2:$BO$1001,MATCH(ROWS($AG$2:AG334),$AG$2:$AG$1001,0),MATCH(COLUMNS($AN$1006:BO1006),$AN$1006:$BO$1006,0)), HYPERLINK("#",""), HYPERLINK(CONCATENATE("#Metadata!", ADDRESS(INDEX($AI$2:$AI$1001,MATCH(ROWS($AG$2:AG334),$AG$2:$AG$1001,0),0), INDEX($AN$1004:$BO$1004,1,MATCH(COLUMNS($AN$1006:BO1006),$AN$1006:$BO$1006,0)))),"Fix")))</f>
        <v>0</v>
      </c>
      <c r="AG334">
        <v>0</v>
      </c>
      <c r="AH334">
        <v>0</v>
      </c>
      <c r="AI334">
        <v>0</v>
      </c>
      <c r="AJ334">
        <f>IF(AK334,TRUE,AND(AN334:BO334))</f>
        <v>0</v>
      </c>
      <c r="AK334">
        <f>COUNTBLANK(Metadata!B334:AC334)=COLUMNS(Metadata!B334:AC334)</f>
        <v>0</v>
      </c>
      <c r="AL334">
        <v>0</v>
      </c>
      <c r="AN334">
        <f>AND(IF(Metadata!B334="",FALSE,TRUE),COUNTIF(Metadata!B:B, Metadata!B334) = 1,NOT(ISERROR(SUMPRODUCT(SEARCH(MID(Metadata!B334,ROW(INDIRECT("1:"&amp;LEN(Metadata!B334))), 1),"0123456789abcdefghijklmnopqrstuvwxyzABCDEFGHIJKLMNOPQRSTUVWXYZ.")))))</f>
        <v>0</v>
      </c>
      <c r="AO334">
        <f>IF(Metadata!C334="",FALSE,TRUE)</f>
        <v>0</v>
      </c>
      <c r="AP334">
        <f>IF(Metadata!D334="",FALSE,TRUE)</f>
        <v>0</v>
      </c>
      <c r="AQ334">
        <f>OR(AND(IF(Metadata!E334="",FALSE,TRUE),OR(exact(Metadata!E334,"not collected"),exact(Metadata!E334,"not provided"),exact(Metadata!E334,"restricted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R334">
        <f>IF(Metadata!F334="",FALSE,TRUE)</f>
        <v>0</v>
      </c>
      <c r="AS334">
        <f>OR(AND(IF(Metadata!G334="",FALSE,TRUE),OR(exact(Metadata!G334,"not collected"),exact(Metadata!G334,"not provided"))),AND(IF(Metadata!G334="",FALSE,TRUE),OR(exact(Metadata!G334,"TRUE"),exact(Metadata!G334,"FALSE"))))</f>
        <v>0</v>
      </c>
      <c r="AT334">
        <f>OR(AND(IF(Metadata!H334="",FALSE,TRUE),OR(exact(Metadata!H334,"not collected"),exact(Metadata!H334,"not provided"),exact(Metadata!H334,"restricted access"))),AND(IF(Metadata!H334="",FALSE,ISNUMBER(VALUE(Metadata!H334))),Metadata!H334&gt;=-413.0))</f>
        <v>0</v>
      </c>
      <c r="AU334">
        <f>AND(IF(Metadata!I334="",FALSE,TRUE),exact(Metadata!I334,"meters"))</f>
        <v>0</v>
      </c>
      <c r="AV334">
        <f>AND(IF(Metadata!J334="",FALSE,TRUE),OR(exact(Metadata!J334,"Host-associated"),exact(Metadata!J334,"Free-living")))</f>
        <v>0</v>
      </c>
      <c r="AW334">
        <f>AND(IF(Metadata!K334="",FALSE,TRUE),OR(exact(Metadata!K334,"Animal"),exact(Metadata!K334,"Fungus"),exact(Metadata!K334,"Plant"),exact(Metadata!K334,"Saline"),exact(Metadata!K334,"Non-saline")))</f>
        <v>0</v>
      </c>
      <c r="AX334">
        <f>AND(IF(Metadata!L334="",FALSE,TRUE),OR(exact(Metadata!L334,"Plant secretion"),exact(Metadata!L334,"Plant rhizosphere"),exact(Metadata!L334,"Plant surface"),exact(Metadata!L334,"Plant corpus"),exact(Metadata!L334,"Fungus surface"),exact(Metadata!L334,"Fungus corpus"),exact(Metadata!L334,"Animal surface"),exact(Metadata!L334,"Animal proximal gut"),exact(Metadata!L334,"Animal corpus"),exact(Metadata!L334,"Animal distal gut"),exact(Metadata!L334,"Animal secretion"),exact(Metadata!L334,"Sub-surface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Y334">
        <f>IF(Metadata!M334="",FALSE,TRUE)</f>
        <v>0</v>
      </c>
      <c r="AZ334">
        <f>IF(Metadata!N334="",FALSE,TRUE)</f>
        <v>0</v>
      </c>
      <c r="BA334">
        <f>IF(Metadata!O334="",FALSE,TRUE)</f>
        <v>0</v>
      </c>
      <c r="BB334">
        <f>OR(AND(IF(Metadata!P334="",FALSE,TRUE),OR(exact(Metadata!P334,"not collected"),exact(Metadata!P334,"not provided"),exact(Metadata!P334,"restricted access"))),AND(IF(Metadata!P334="",FALSE,TRUE),OR(exact(Metadata!P334,"air"),exact(Metadata!P334,"built environment"),exact(Metadata!P334,"host-associated"),exact(Metadata!P334,"human-associated"),exact(Metadata!P334,"human-skin"),exact(Metadata!P334,"human-oral"),exact(Metadata!P334,"human-gut"),exact(Metadata!P334,"human-vaginal"),exact(Metadata!P334,"microbial mat/biofilm"),exact(Metadata!P334,"misc environment"),exact(Metadata!P334,"plant-associated"),exact(Metadata!P334,"sediment"),exact(Metadata!P334,"soil"),exact(Metadata!P334,"wastewater/sludge"),exact(Metadata!P334,"water"))))</f>
        <v>0</v>
      </c>
      <c r="BC334">
        <f>IF(Metadata!Q334="",FALSE,TRUE)</f>
        <v>0</v>
      </c>
      <c r="BD334">
        <f>IF(Metadata!R334="",FALSE,TRUE)</f>
        <v>0</v>
      </c>
      <c r="BE334">
        <f>OR(AND(IF(Metadata!S334="",FALSE,TRUE),OR(exact(Metadata!S334,"not collected"),exact(Metadata!S334,"not provided"),exact(Metadata!S334,"restricted access"))),AND(IF(Metadata!S334="",FALSE,ISNUMBER(VALUE(Metadata!S334))),Metadata!S334&gt;=-90.00,Metadata!S334&lt;=90.00))</f>
        <v>0</v>
      </c>
      <c r="BF334">
        <f>AND(IF(Metadata!T334="",FALSE,TRUE),exact(Metadata!T334,"Decimal degrees"))</f>
        <v>0</v>
      </c>
      <c r="BG334">
        <f>OR(AND(IF(Metadata!U334="",FALSE,TRUE),OR(exact(Metadata!U334,"not collected"),exact(Metadata!U334,"not provided"),exact(Metadata!U334,"restricted access"))),AND(IF(Metadata!U334="",FALSE,ISNUMBER(VALUE(Metadata!U334))),Metadata!U334&gt;=-180.00,Metadata!U334&lt;=180.00))</f>
        <v>0</v>
      </c>
      <c r="BH334">
        <f>AND(IF(Metadata!V334="",FALSE,TRUE),exact(Metadata!V334,"Decimal degrees"))</f>
        <v>0</v>
      </c>
      <c r="BI334">
        <f>IF(Metadata!W334="",FALSE,TRUE)</f>
        <v>0</v>
      </c>
      <c r="BJ334">
        <f>OR(AND(IF(Metadata!X334="",FALSE,TRUE),OR(exact(Metadata!X334,"not collected"),exact(Metadata!X334,"not provided"),exact(Metadata!X334,"restricted access"))),AND(IF(Metadata!X334="",FALSE,TRUE),OR(exact(Metadata!X334,"TRUE"),exact(Metadata!X334,"FALSE"))))</f>
        <v>0</v>
      </c>
      <c r="BK334">
        <f>AND(IF(Metadata!Y334="",FALSE,TRUE),exact(Metadata!Y334,"other"))</f>
        <v>0</v>
      </c>
      <c r="BL334">
        <f>IF(Metadata!Z334="",FALSE,TRUE)</f>
        <v>0</v>
      </c>
      <c r="BM334">
        <f>OR(AND(IF(Metadata!AA334="",FALSE,TRUE),OR(exact(Metadata!AA334,"not collected"),exact(Metadata!AA334,"not provided"))),AND(IF(Metadata!AA334="",FALSE,IF(ISERROR(INT(Metadata!AA334)),FALSE,INT(Metadata!AA334)=Metadata!AA334)),Metadata!AA334&gt;0))</f>
        <v>0</v>
      </c>
      <c r="BN334">
        <f>AND(IF(Metadata!AB334="",FALSE,TRUE),exact(Metadata!AB334,"Not applicable"))</f>
        <v>0</v>
      </c>
      <c r="BO334">
        <f>IF(Metadata!AC334="",FALSE,TRUE)</f>
        <v>0</v>
      </c>
    </row>
    <row r="335" spans="1:67">
      <c r="A335" s="5">
        <f>IF(B335=" "," ",HYPERLINK(CONCATENATE("#metadata!",ADDRESS(INDEX($AI$2:$AI$1001,MATCH(ROWS($AG$2:AG335),$AG$2:$AG$1001,0),0),1)),INDEX($AL$2:$AL$1001,MATCH(ROWS($AG$2:AG335),$AG$2:$AG$1001,0),0)))</f>
        <v>0</v>
      </c>
      <c r="B335" s="4">
        <f>IF(OR(INDEX($AH$2:$AH$1001,MATCH(ROWS($AG$2:AG335),$AG$2:$AG$1001,0),1)&gt;=100000,INDEX($AN$1005:$BO$1005,1,MATCH(COLUMNS($AN$1006:AN1006),$AN$1006:$BO$1006,0))&gt;=100000), " ",IF(INDEX($AN$2:$BO$1001,MATCH(ROWS($AG$2:AG335),$AG$2:$AG$1001,0),MATCH(COLUMNS($AN$1006:AN1006),$AN$1006:$BO$1006,0)), HYPERLINK("#",""), HYPERLINK(CONCATENATE("#Metadata!", ADDRESS(INDEX($AI$2:$AI$1001,MATCH(ROWS($AG$2:AG335),$AG$2:$AG$1001,0),0), INDEX($AN$1004:$BO$1004,1,MATCH(COLUMNS($AN$1006:AN1006),$AN$1006:$BO$1006,0)))),"Fix")))</f>
        <v>0</v>
      </c>
      <c r="C335" s="4">
        <f>IF(OR(INDEX($AH$2:$AH$1001,MATCH(ROWS($AG$2:AG335),$AG$2:$AG$1001,0),1)&gt;=100000,INDEX($AN$1005:$BO$1005,1,MATCH(COLUMNS($AN$1006:AO1006),$AN$1006:$BO$1006,0))&gt;=100000), " ",IF(INDEX($AN$2:$BO$1001,MATCH(ROWS($AG$2:AG335),$AG$2:$AG$1001,0),MATCH(COLUMNS($AN$1006:AO1006),$AN$1006:$BO$1006,0)), HYPERLINK("#",""), HYPERLINK(CONCATENATE("#Metadata!", ADDRESS(INDEX($AI$2:$AI$1001,MATCH(ROWS($AG$2:AG335),$AG$2:$AG$1001,0),0), INDEX($AN$1004:$BO$1004,1,MATCH(COLUMNS($AN$1006:AO1006),$AN$1006:$BO$1006,0)))),"Fix")))</f>
        <v>0</v>
      </c>
      <c r="D335" s="4">
        <f>IF(OR(INDEX($AH$2:$AH$1001,MATCH(ROWS($AG$2:AG335),$AG$2:$AG$1001,0),1)&gt;=100000,INDEX($AN$1005:$BO$1005,1,MATCH(COLUMNS($AN$1006:AP1006),$AN$1006:$BO$1006,0))&gt;=100000), " ",IF(INDEX($AN$2:$BO$1001,MATCH(ROWS($AG$2:AG335),$AG$2:$AG$1001,0),MATCH(COLUMNS($AN$1006:AP1006),$AN$1006:$BO$1006,0)), HYPERLINK("#",""), HYPERLINK(CONCATENATE("#Metadata!", ADDRESS(INDEX($AI$2:$AI$1001,MATCH(ROWS($AG$2:AG335),$AG$2:$AG$1001,0),0), INDEX($AN$1004:$BO$1004,1,MATCH(COLUMNS($AN$1006:AP1006),$AN$1006:$BO$1006,0)))),"Fix")))</f>
        <v>0</v>
      </c>
      <c r="E335" s="4">
        <f>IF(OR(INDEX($AH$2:$AH$1001,MATCH(ROWS($AG$2:AG335),$AG$2:$AG$1001,0),1)&gt;=100000,INDEX($AN$1005:$BO$1005,1,MATCH(COLUMNS($AN$1006:AQ1006),$AN$1006:$BO$1006,0))&gt;=100000), " ",IF(INDEX($AN$2:$BO$1001,MATCH(ROWS($AG$2:AG335),$AG$2:$AG$1001,0),MATCH(COLUMNS($AN$1006:AQ1006),$AN$1006:$BO$1006,0)), HYPERLINK("#",""), HYPERLINK(CONCATENATE("#Metadata!", ADDRESS(INDEX($AI$2:$AI$1001,MATCH(ROWS($AG$2:AG335),$AG$2:$AG$1001,0),0), INDEX($AN$1004:$BO$1004,1,MATCH(COLUMNS($AN$1006:AQ1006),$AN$1006:$BO$1006,0)))),"Fix")))</f>
        <v>0</v>
      </c>
      <c r="F335" s="4">
        <f>IF(OR(INDEX($AH$2:$AH$1001,MATCH(ROWS($AG$2:AG335),$AG$2:$AG$1001,0),1)&gt;=100000,INDEX($AN$1005:$BO$1005,1,MATCH(COLUMNS($AN$1006:AR1006),$AN$1006:$BO$1006,0))&gt;=100000), " ",IF(INDEX($AN$2:$BO$1001,MATCH(ROWS($AG$2:AG335),$AG$2:$AG$1001,0),MATCH(COLUMNS($AN$1006:AR1006),$AN$1006:$BO$1006,0)), HYPERLINK("#",""), HYPERLINK(CONCATENATE("#Metadata!", ADDRESS(INDEX($AI$2:$AI$1001,MATCH(ROWS($AG$2:AG335),$AG$2:$AG$1001,0),0), INDEX($AN$1004:$BO$1004,1,MATCH(COLUMNS($AN$1006:AR1006),$AN$1006:$BO$1006,0)))),"Fix")))</f>
        <v>0</v>
      </c>
      <c r="G335" s="4">
        <f>IF(OR(INDEX($AH$2:$AH$1001,MATCH(ROWS($AG$2:AG335),$AG$2:$AG$1001,0),1)&gt;=100000,INDEX($AN$1005:$BO$1005,1,MATCH(COLUMNS($AN$1006:AS1006),$AN$1006:$BO$1006,0))&gt;=100000), " ",IF(INDEX($AN$2:$BO$1001,MATCH(ROWS($AG$2:AG335),$AG$2:$AG$1001,0),MATCH(COLUMNS($AN$1006:AS1006),$AN$1006:$BO$1006,0)), HYPERLINK("#",""), HYPERLINK(CONCATENATE("#Metadata!", ADDRESS(INDEX($AI$2:$AI$1001,MATCH(ROWS($AG$2:AG335),$AG$2:$AG$1001,0),0), INDEX($AN$1004:$BO$1004,1,MATCH(COLUMNS($AN$1006:AS1006),$AN$1006:$BO$1006,0)))),"Fix")))</f>
        <v>0</v>
      </c>
      <c r="H335" s="4">
        <f>IF(OR(INDEX($AH$2:$AH$1001,MATCH(ROWS($AG$2:AG335),$AG$2:$AG$1001,0),1)&gt;=100000,INDEX($AN$1005:$BO$1005,1,MATCH(COLUMNS($AN$1006:AT1006),$AN$1006:$BO$1006,0))&gt;=100000), " ",IF(INDEX($AN$2:$BO$1001,MATCH(ROWS($AG$2:AG335),$AG$2:$AG$1001,0),MATCH(COLUMNS($AN$1006:AT1006),$AN$1006:$BO$1006,0)), HYPERLINK("#",""), HYPERLINK(CONCATENATE("#Metadata!", ADDRESS(INDEX($AI$2:$AI$1001,MATCH(ROWS($AG$2:AG335),$AG$2:$AG$1001,0),0), INDEX($AN$1004:$BO$1004,1,MATCH(COLUMNS($AN$1006:AT1006),$AN$1006:$BO$1006,0)))),"Fix")))</f>
        <v>0</v>
      </c>
      <c r="I335" s="4">
        <f>IF(OR(INDEX($AH$2:$AH$1001,MATCH(ROWS($AG$2:AG335),$AG$2:$AG$1001,0),1)&gt;=100000,INDEX($AN$1005:$BO$1005,1,MATCH(COLUMNS($AN$1006:AU1006),$AN$1006:$BO$1006,0))&gt;=100000), " ",IF(INDEX($AN$2:$BO$1001,MATCH(ROWS($AG$2:AG335),$AG$2:$AG$1001,0),MATCH(COLUMNS($AN$1006:AU1006),$AN$1006:$BO$1006,0)), HYPERLINK("#",""), HYPERLINK(CONCATENATE("#Metadata!", ADDRESS(INDEX($AI$2:$AI$1001,MATCH(ROWS($AG$2:AG335),$AG$2:$AG$1001,0),0), INDEX($AN$1004:$BO$1004,1,MATCH(COLUMNS($AN$1006:AU1006),$AN$1006:$BO$1006,0)))),"Fix")))</f>
        <v>0</v>
      </c>
      <c r="J335" s="4">
        <f>IF(OR(INDEX($AH$2:$AH$1001,MATCH(ROWS($AG$2:AG335),$AG$2:$AG$1001,0),1)&gt;=100000,INDEX($AN$1005:$BO$1005,1,MATCH(COLUMNS($AN$1006:AV1006),$AN$1006:$BO$1006,0))&gt;=100000), " ",IF(INDEX($AN$2:$BO$1001,MATCH(ROWS($AG$2:AG335),$AG$2:$AG$1001,0),MATCH(COLUMNS($AN$1006:AV1006),$AN$1006:$BO$1006,0)), HYPERLINK("#",""), HYPERLINK(CONCATENATE("#Metadata!", ADDRESS(INDEX($AI$2:$AI$1001,MATCH(ROWS($AG$2:AG335),$AG$2:$AG$1001,0),0), INDEX($AN$1004:$BO$1004,1,MATCH(COLUMNS($AN$1006:AV1006),$AN$1006:$BO$1006,0)))),"Fix")))</f>
        <v>0</v>
      </c>
      <c r="K335" s="4">
        <f>IF(OR(INDEX($AH$2:$AH$1001,MATCH(ROWS($AG$2:AG335),$AG$2:$AG$1001,0),1)&gt;=100000,INDEX($AN$1005:$BO$1005,1,MATCH(COLUMNS($AN$1006:AW1006),$AN$1006:$BO$1006,0))&gt;=100000), " ",IF(INDEX($AN$2:$BO$1001,MATCH(ROWS($AG$2:AG335),$AG$2:$AG$1001,0),MATCH(COLUMNS($AN$1006:AW1006),$AN$1006:$BO$1006,0)), HYPERLINK("#",""), HYPERLINK(CONCATENATE("#Metadata!", ADDRESS(INDEX($AI$2:$AI$1001,MATCH(ROWS($AG$2:AG335),$AG$2:$AG$1001,0),0), INDEX($AN$1004:$BO$1004,1,MATCH(COLUMNS($AN$1006:AW1006),$AN$1006:$BO$1006,0)))),"Fix")))</f>
        <v>0</v>
      </c>
      <c r="L335" s="4">
        <f>IF(OR(INDEX($AH$2:$AH$1001,MATCH(ROWS($AG$2:AG335),$AG$2:$AG$1001,0),1)&gt;=100000,INDEX($AN$1005:$BO$1005,1,MATCH(COLUMNS($AN$1006:AX1006),$AN$1006:$BO$1006,0))&gt;=100000), " ",IF(INDEX($AN$2:$BO$1001,MATCH(ROWS($AG$2:AG335),$AG$2:$AG$1001,0),MATCH(COLUMNS($AN$1006:AX1006),$AN$1006:$BO$1006,0)), HYPERLINK("#",""), HYPERLINK(CONCATENATE("#Metadata!", ADDRESS(INDEX($AI$2:$AI$1001,MATCH(ROWS($AG$2:AG335),$AG$2:$AG$1001,0),0), INDEX($AN$1004:$BO$1004,1,MATCH(COLUMNS($AN$1006:AX1006),$AN$1006:$BO$1006,0)))),"Fix")))</f>
        <v>0</v>
      </c>
      <c r="M335" s="4">
        <f>IF(OR(INDEX($AH$2:$AH$1001,MATCH(ROWS($AG$2:AG335),$AG$2:$AG$1001,0),1)&gt;=100000,INDEX($AN$1005:$BO$1005,1,MATCH(COLUMNS($AN$1006:AY1006),$AN$1006:$BO$1006,0))&gt;=100000), " ",IF(INDEX($AN$2:$BO$1001,MATCH(ROWS($AG$2:AG335),$AG$2:$AG$1001,0),MATCH(COLUMNS($AN$1006:AY1006),$AN$1006:$BO$1006,0)), HYPERLINK("#",""), HYPERLINK(CONCATENATE("#Metadata!", ADDRESS(INDEX($AI$2:$AI$1001,MATCH(ROWS($AG$2:AG335),$AG$2:$AG$1001,0),0), INDEX($AN$1004:$BO$1004,1,MATCH(COLUMNS($AN$1006:AY1006),$AN$1006:$BO$1006,0)))),"Fix")))</f>
        <v>0</v>
      </c>
      <c r="N335" s="4">
        <f>IF(OR(INDEX($AH$2:$AH$1001,MATCH(ROWS($AG$2:AG335),$AG$2:$AG$1001,0),1)&gt;=100000,INDEX($AN$1005:$BO$1005,1,MATCH(COLUMNS($AN$1006:AZ1006),$AN$1006:$BO$1006,0))&gt;=100000), " ",IF(INDEX($AN$2:$BO$1001,MATCH(ROWS($AG$2:AG335),$AG$2:$AG$1001,0),MATCH(COLUMNS($AN$1006:AZ1006),$AN$1006:$BO$1006,0)), HYPERLINK("#",""), HYPERLINK(CONCATENATE("#Metadata!", ADDRESS(INDEX($AI$2:$AI$1001,MATCH(ROWS($AG$2:AG335),$AG$2:$AG$1001,0),0), INDEX($AN$1004:$BO$1004,1,MATCH(COLUMNS($AN$1006:AZ1006),$AN$1006:$BO$1006,0)))),"Fix")))</f>
        <v>0</v>
      </c>
      <c r="O335" s="4">
        <f>IF(OR(INDEX($AH$2:$AH$1001,MATCH(ROWS($AG$2:AG335),$AG$2:$AG$1001,0),1)&gt;=100000,INDEX($AN$1005:$BO$1005,1,MATCH(COLUMNS($AN$1006:BA1006),$AN$1006:$BO$1006,0))&gt;=100000), " ",IF(INDEX($AN$2:$BO$1001,MATCH(ROWS($AG$2:AG335),$AG$2:$AG$1001,0),MATCH(COLUMNS($AN$1006:BA1006),$AN$1006:$BO$1006,0)), HYPERLINK("#",""), HYPERLINK(CONCATENATE("#Metadata!", ADDRESS(INDEX($AI$2:$AI$1001,MATCH(ROWS($AG$2:AG335),$AG$2:$AG$1001,0),0), INDEX($AN$1004:$BO$1004,1,MATCH(COLUMNS($AN$1006:BA1006),$AN$1006:$BO$1006,0)))),"Fix")))</f>
        <v>0</v>
      </c>
      <c r="P335" s="4">
        <f>IF(OR(INDEX($AH$2:$AH$1001,MATCH(ROWS($AG$2:AG335),$AG$2:$AG$1001,0),1)&gt;=100000,INDEX($AN$1005:$BO$1005,1,MATCH(COLUMNS($AN$1006:BB1006),$AN$1006:$BO$1006,0))&gt;=100000), " ",IF(INDEX($AN$2:$BO$1001,MATCH(ROWS($AG$2:AG335),$AG$2:$AG$1001,0),MATCH(COLUMNS($AN$1006:BB1006),$AN$1006:$BO$1006,0)), HYPERLINK("#",""), HYPERLINK(CONCATENATE("#Metadata!", ADDRESS(INDEX($AI$2:$AI$1001,MATCH(ROWS($AG$2:AG335),$AG$2:$AG$1001,0),0), INDEX($AN$1004:$BO$1004,1,MATCH(COLUMNS($AN$1006:BB1006),$AN$1006:$BO$1006,0)))),"Fix")))</f>
        <v>0</v>
      </c>
      <c r="Q335" s="4">
        <f>IF(OR(INDEX($AH$2:$AH$1001,MATCH(ROWS($AG$2:AG335),$AG$2:$AG$1001,0),1)&gt;=100000,INDEX($AN$1005:$BO$1005,1,MATCH(COLUMNS($AN$1006:BC1006),$AN$1006:$BO$1006,0))&gt;=100000), " ",IF(INDEX($AN$2:$BO$1001,MATCH(ROWS($AG$2:AG335),$AG$2:$AG$1001,0),MATCH(COLUMNS($AN$1006:BC1006),$AN$1006:$BO$1006,0)), HYPERLINK("#",""), HYPERLINK(CONCATENATE("#Metadata!", ADDRESS(INDEX($AI$2:$AI$1001,MATCH(ROWS($AG$2:AG335),$AG$2:$AG$1001,0),0), INDEX($AN$1004:$BO$1004,1,MATCH(COLUMNS($AN$1006:BC1006),$AN$1006:$BO$1006,0)))),"Fix")))</f>
        <v>0</v>
      </c>
      <c r="R335" s="4">
        <f>IF(OR(INDEX($AH$2:$AH$1001,MATCH(ROWS($AG$2:AG335),$AG$2:$AG$1001,0),1)&gt;=100000,INDEX($AN$1005:$BO$1005,1,MATCH(COLUMNS($AN$1006:BD1006),$AN$1006:$BO$1006,0))&gt;=100000), " ",IF(INDEX($AN$2:$BO$1001,MATCH(ROWS($AG$2:AG335),$AG$2:$AG$1001,0),MATCH(COLUMNS($AN$1006:BD1006),$AN$1006:$BO$1006,0)), HYPERLINK("#",""), HYPERLINK(CONCATENATE("#Metadata!", ADDRESS(INDEX($AI$2:$AI$1001,MATCH(ROWS($AG$2:AG335),$AG$2:$AG$1001,0),0), INDEX($AN$1004:$BO$1004,1,MATCH(COLUMNS($AN$1006:BD1006),$AN$1006:$BO$1006,0)))),"Fix")))</f>
        <v>0</v>
      </c>
      <c r="S335" s="4">
        <f>IF(OR(INDEX($AH$2:$AH$1001,MATCH(ROWS($AG$2:AG335),$AG$2:$AG$1001,0),1)&gt;=100000,INDEX($AN$1005:$BO$1005,1,MATCH(COLUMNS($AN$1006:BE1006),$AN$1006:$BO$1006,0))&gt;=100000), " ",IF(INDEX($AN$2:$BO$1001,MATCH(ROWS($AG$2:AG335),$AG$2:$AG$1001,0),MATCH(COLUMNS($AN$1006:BE1006),$AN$1006:$BO$1006,0)), HYPERLINK("#",""), HYPERLINK(CONCATENATE("#Metadata!", ADDRESS(INDEX($AI$2:$AI$1001,MATCH(ROWS($AG$2:AG335),$AG$2:$AG$1001,0),0), INDEX($AN$1004:$BO$1004,1,MATCH(COLUMNS($AN$1006:BE1006),$AN$1006:$BO$1006,0)))),"Fix")))</f>
        <v>0</v>
      </c>
      <c r="T335" s="4">
        <f>IF(OR(INDEX($AH$2:$AH$1001,MATCH(ROWS($AG$2:AG335),$AG$2:$AG$1001,0),1)&gt;=100000,INDEX($AN$1005:$BO$1005,1,MATCH(COLUMNS($AN$1006:BF1006),$AN$1006:$BO$1006,0))&gt;=100000), " ",IF(INDEX($AN$2:$BO$1001,MATCH(ROWS($AG$2:AG335),$AG$2:$AG$1001,0),MATCH(COLUMNS($AN$1006:BF1006),$AN$1006:$BO$1006,0)), HYPERLINK("#",""), HYPERLINK(CONCATENATE("#Metadata!", ADDRESS(INDEX($AI$2:$AI$1001,MATCH(ROWS($AG$2:AG335),$AG$2:$AG$1001,0),0), INDEX($AN$1004:$BO$1004,1,MATCH(COLUMNS($AN$1006:BF1006),$AN$1006:$BO$1006,0)))),"Fix")))</f>
        <v>0</v>
      </c>
      <c r="U335" s="4">
        <f>IF(OR(INDEX($AH$2:$AH$1001,MATCH(ROWS($AG$2:AG335),$AG$2:$AG$1001,0),1)&gt;=100000,INDEX($AN$1005:$BO$1005,1,MATCH(COLUMNS($AN$1006:BG1006),$AN$1006:$BO$1006,0))&gt;=100000), " ",IF(INDEX($AN$2:$BO$1001,MATCH(ROWS($AG$2:AG335),$AG$2:$AG$1001,0),MATCH(COLUMNS($AN$1006:BG1006),$AN$1006:$BO$1006,0)), HYPERLINK("#",""), HYPERLINK(CONCATENATE("#Metadata!", ADDRESS(INDEX($AI$2:$AI$1001,MATCH(ROWS($AG$2:AG335),$AG$2:$AG$1001,0),0), INDEX($AN$1004:$BO$1004,1,MATCH(COLUMNS($AN$1006:BG1006),$AN$1006:$BO$1006,0)))),"Fix")))</f>
        <v>0</v>
      </c>
      <c r="V335" s="4">
        <f>IF(OR(INDEX($AH$2:$AH$1001,MATCH(ROWS($AG$2:AG335),$AG$2:$AG$1001,0),1)&gt;=100000,INDEX($AN$1005:$BO$1005,1,MATCH(COLUMNS($AN$1006:BH1006),$AN$1006:$BO$1006,0))&gt;=100000), " ",IF(INDEX($AN$2:$BO$1001,MATCH(ROWS($AG$2:AG335),$AG$2:$AG$1001,0),MATCH(COLUMNS($AN$1006:BH1006),$AN$1006:$BO$1006,0)), HYPERLINK("#",""), HYPERLINK(CONCATENATE("#Metadata!", ADDRESS(INDEX($AI$2:$AI$1001,MATCH(ROWS($AG$2:AG335),$AG$2:$AG$1001,0),0), INDEX($AN$1004:$BO$1004,1,MATCH(COLUMNS($AN$1006:BH1006),$AN$1006:$BO$1006,0)))),"Fix")))</f>
        <v>0</v>
      </c>
      <c r="W335" s="4">
        <f>IF(OR(INDEX($AH$2:$AH$1001,MATCH(ROWS($AG$2:AG335),$AG$2:$AG$1001,0),1)&gt;=100000,INDEX($AN$1005:$BO$1005,1,MATCH(COLUMNS($AN$1006:BI1006),$AN$1006:$BO$1006,0))&gt;=100000), " ",IF(INDEX($AN$2:$BO$1001,MATCH(ROWS($AG$2:AG335),$AG$2:$AG$1001,0),MATCH(COLUMNS($AN$1006:BI1006),$AN$1006:$BO$1006,0)), HYPERLINK("#",""), HYPERLINK(CONCATENATE("#Metadata!", ADDRESS(INDEX($AI$2:$AI$1001,MATCH(ROWS($AG$2:AG335),$AG$2:$AG$1001,0),0), INDEX($AN$1004:$BO$1004,1,MATCH(COLUMNS($AN$1006:BI1006),$AN$1006:$BO$1006,0)))),"Fix")))</f>
        <v>0</v>
      </c>
      <c r="X335" s="4">
        <f>IF(OR(INDEX($AH$2:$AH$1001,MATCH(ROWS($AG$2:AG335),$AG$2:$AG$1001,0),1)&gt;=100000,INDEX($AN$1005:$BO$1005,1,MATCH(COLUMNS($AN$1006:BJ1006),$AN$1006:$BO$1006,0))&gt;=100000), " ",IF(INDEX($AN$2:$BO$1001,MATCH(ROWS($AG$2:AG335),$AG$2:$AG$1001,0),MATCH(COLUMNS($AN$1006:BJ1006),$AN$1006:$BO$1006,0)), HYPERLINK("#",""), HYPERLINK(CONCATENATE("#Metadata!", ADDRESS(INDEX($AI$2:$AI$1001,MATCH(ROWS($AG$2:AG335),$AG$2:$AG$1001,0),0), INDEX($AN$1004:$BO$1004,1,MATCH(COLUMNS($AN$1006:BJ1006),$AN$1006:$BO$1006,0)))),"Fix")))</f>
        <v>0</v>
      </c>
      <c r="Y335" s="4">
        <f>IF(OR(INDEX($AH$2:$AH$1001,MATCH(ROWS($AG$2:AG335),$AG$2:$AG$1001,0),1)&gt;=100000,INDEX($AN$1005:$BO$1005,1,MATCH(COLUMNS($AN$1006:BK1006),$AN$1006:$BO$1006,0))&gt;=100000), " ",IF(INDEX($AN$2:$BO$1001,MATCH(ROWS($AG$2:AG335),$AG$2:$AG$1001,0),MATCH(COLUMNS($AN$1006:BK1006),$AN$1006:$BO$1006,0)), HYPERLINK("#",""), HYPERLINK(CONCATENATE("#Metadata!", ADDRESS(INDEX($AI$2:$AI$1001,MATCH(ROWS($AG$2:AG335),$AG$2:$AG$1001,0),0), INDEX($AN$1004:$BO$1004,1,MATCH(COLUMNS($AN$1006:BK1006),$AN$1006:$BO$1006,0)))),"Fix")))</f>
        <v>0</v>
      </c>
      <c r="Z335" s="4">
        <f>IF(OR(INDEX($AH$2:$AH$1001,MATCH(ROWS($AG$2:AG335),$AG$2:$AG$1001,0),1)&gt;=100000,INDEX($AN$1005:$BO$1005,1,MATCH(COLUMNS($AN$1006:BL1006),$AN$1006:$BO$1006,0))&gt;=100000), " ",IF(INDEX($AN$2:$BO$1001,MATCH(ROWS($AG$2:AG335),$AG$2:$AG$1001,0),MATCH(COLUMNS($AN$1006:BL1006),$AN$1006:$BO$1006,0)), HYPERLINK("#",""), HYPERLINK(CONCATENATE("#Metadata!", ADDRESS(INDEX($AI$2:$AI$1001,MATCH(ROWS($AG$2:AG335),$AG$2:$AG$1001,0),0), INDEX($AN$1004:$BO$1004,1,MATCH(COLUMNS($AN$1006:BL1006),$AN$1006:$BO$1006,0)))),"Fix")))</f>
        <v>0</v>
      </c>
      <c r="AA335" s="4">
        <f>IF(OR(INDEX($AH$2:$AH$1001,MATCH(ROWS($AG$2:AG335),$AG$2:$AG$1001,0),1)&gt;=100000,INDEX($AN$1005:$BO$1005,1,MATCH(COLUMNS($AN$1006:BM1006),$AN$1006:$BO$1006,0))&gt;=100000), " ",IF(INDEX($AN$2:$BO$1001,MATCH(ROWS($AG$2:AG335),$AG$2:$AG$1001,0),MATCH(COLUMNS($AN$1006:BM1006),$AN$1006:$BO$1006,0)), HYPERLINK("#",""), HYPERLINK(CONCATENATE("#Metadata!", ADDRESS(INDEX($AI$2:$AI$1001,MATCH(ROWS($AG$2:AG335),$AG$2:$AG$1001,0),0), INDEX($AN$1004:$BO$1004,1,MATCH(COLUMNS($AN$1006:BM1006),$AN$1006:$BO$1006,0)))),"Fix")))</f>
        <v>0</v>
      </c>
      <c r="AB335" s="4">
        <f>IF(OR(INDEX($AH$2:$AH$1001,MATCH(ROWS($AG$2:AG335),$AG$2:$AG$1001,0),1)&gt;=100000,INDEX($AN$1005:$BO$1005,1,MATCH(COLUMNS($AN$1006:BN1006),$AN$1006:$BO$1006,0))&gt;=100000), " ",IF(INDEX($AN$2:$BO$1001,MATCH(ROWS($AG$2:AG335),$AG$2:$AG$1001,0),MATCH(COLUMNS($AN$1006:BN1006),$AN$1006:$BO$1006,0)), HYPERLINK("#",""), HYPERLINK(CONCATENATE("#Metadata!", ADDRESS(INDEX($AI$2:$AI$1001,MATCH(ROWS($AG$2:AG335),$AG$2:$AG$1001,0),0), INDEX($AN$1004:$BO$1004,1,MATCH(COLUMNS($AN$1006:BN1006),$AN$1006:$BO$1006,0)))),"Fix")))</f>
        <v>0</v>
      </c>
      <c r="AC335" s="4">
        <f>IF(OR(INDEX($AH$2:$AH$1001,MATCH(ROWS($AG$2:AG335),$AG$2:$AG$1001,0),1)&gt;=100000,INDEX($AN$1005:$BO$1005,1,MATCH(COLUMNS($AN$1006:BO1006),$AN$1006:$BO$1006,0))&gt;=100000), " ",IF(INDEX($AN$2:$BO$1001,MATCH(ROWS($AG$2:AG335),$AG$2:$AG$1001,0),MATCH(COLUMNS($AN$1006:BO1006),$AN$1006:$BO$1006,0)), HYPERLINK("#",""), HYPERLINK(CONCATENATE("#Metadata!", ADDRESS(INDEX($AI$2:$AI$1001,MATCH(ROWS($AG$2:AG335),$AG$2:$AG$1001,0),0), INDEX($AN$1004:$BO$1004,1,MATCH(COLUMNS($AN$1006:BO1006),$AN$1006:$BO$1006,0)))),"Fix")))</f>
        <v>0</v>
      </c>
      <c r="AG335">
        <v>0</v>
      </c>
      <c r="AH335">
        <v>0</v>
      </c>
      <c r="AI335">
        <v>0</v>
      </c>
      <c r="AJ335">
        <f>IF(AK335,TRUE,AND(AN335:BO335))</f>
        <v>0</v>
      </c>
      <c r="AK335">
        <f>COUNTBLANK(Metadata!B335:AC335)=COLUMNS(Metadata!B335:AC335)</f>
        <v>0</v>
      </c>
      <c r="AL335">
        <v>0</v>
      </c>
      <c r="AN335">
        <f>AND(IF(Metadata!B335="",FALSE,TRUE),COUNTIF(Metadata!B:B, Metadata!B335) = 1,NOT(ISERROR(SUMPRODUCT(SEARCH(MID(Metadata!B335,ROW(INDIRECT("1:"&amp;LEN(Metadata!B335))), 1),"0123456789abcdefghijklmnopqrstuvwxyzABCDEFGHIJKLMNOPQRSTUVWXYZ.")))))</f>
        <v>0</v>
      </c>
      <c r="AO335">
        <f>IF(Metadata!C335="",FALSE,TRUE)</f>
        <v>0</v>
      </c>
      <c r="AP335">
        <f>IF(Metadata!D335="",FALSE,TRUE)</f>
        <v>0</v>
      </c>
      <c r="AQ335">
        <f>OR(AND(IF(Metadata!E335="",FALSE,TRUE),OR(exact(Metadata!E335,"not collected"),exact(Metadata!E335,"not provided"),exact(Metadata!E335,"restricted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R335">
        <f>IF(Metadata!F335="",FALSE,TRUE)</f>
        <v>0</v>
      </c>
      <c r="AS335">
        <f>OR(AND(IF(Metadata!G335="",FALSE,TRUE),OR(exact(Metadata!G335,"not collected"),exact(Metadata!G335,"not provided"))),AND(IF(Metadata!G335="",FALSE,TRUE),OR(exact(Metadata!G335,"TRUE"),exact(Metadata!G335,"FALSE"))))</f>
        <v>0</v>
      </c>
      <c r="AT335">
        <f>OR(AND(IF(Metadata!H335="",FALSE,TRUE),OR(exact(Metadata!H335,"not collected"),exact(Metadata!H335,"not provided"),exact(Metadata!H335,"restricted access"))),AND(IF(Metadata!H335="",FALSE,ISNUMBER(VALUE(Metadata!H335))),Metadata!H335&gt;=-413.0))</f>
        <v>0</v>
      </c>
      <c r="AU335">
        <f>AND(IF(Metadata!I335="",FALSE,TRUE),exact(Metadata!I335,"meters"))</f>
        <v>0</v>
      </c>
      <c r="AV335">
        <f>AND(IF(Metadata!J335="",FALSE,TRUE),OR(exact(Metadata!J335,"Host-associated"),exact(Metadata!J335,"Free-living")))</f>
        <v>0</v>
      </c>
      <c r="AW335">
        <f>AND(IF(Metadata!K335="",FALSE,TRUE),OR(exact(Metadata!K335,"Animal"),exact(Metadata!K335,"Fungus"),exact(Metadata!K335,"Plant"),exact(Metadata!K335,"Saline"),exact(Metadata!K335,"Non-saline")))</f>
        <v>0</v>
      </c>
      <c r="AX335">
        <f>AND(IF(Metadata!L335="",FALSE,TRUE),OR(exact(Metadata!L335,"Plant secretion"),exact(Metadata!L335,"Plant rhizosphere"),exact(Metadata!L335,"Plant surface"),exact(Metadata!L335,"Plant corpus"),exact(Metadata!L335,"Fungus surface"),exact(Metadata!L335,"Fungus corpus"),exact(Metadata!L335,"Animal surface"),exact(Metadata!L335,"Animal proximal gut"),exact(Metadata!L335,"Animal corpus"),exact(Metadata!L335,"Animal distal gut"),exact(Metadata!L335,"Animal secretion"),exact(Metadata!L335,"Sub-surface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Y335">
        <f>IF(Metadata!M335="",FALSE,TRUE)</f>
        <v>0</v>
      </c>
      <c r="AZ335">
        <f>IF(Metadata!N335="",FALSE,TRUE)</f>
        <v>0</v>
      </c>
      <c r="BA335">
        <f>IF(Metadata!O335="",FALSE,TRUE)</f>
        <v>0</v>
      </c>
      <c r="BB335">
        <f>OR(AND(IF(Metadata!P335="",FALSE,TRUE),OR(exact(Metadata!P335,"not collected"),exact(Metadata!P335,"not provided"),exact(Metadata!P335,"restricted access"))),AND(IF(Metadata!P335="",FALSE,TRUE),OR(exact(Metadata!P335,"air"),exact(Metadata!P335,"built environment"),exact(Metadata!P335,"host-associated"),exact(Metadata!P335,"human-associated"),exact(Metadata!P335,"human-skin"),exact(Metadata!P335,"human-oral"),exact(Metadata!P335,"human-gut"),exact(Metadata!P335,"human-vaginal"),exact(Metadata!P335,"microbial mat/biofilm"),exact(Metadata!P335,"misc environment"),exact(Metadata!P335,"plant-associated"),exact(Metadata!P335,"sediment"),exact(Metadata!P335,"soil"),exact(Metadata!P335,"wastewater/sludge"),exact(Metadata!P335,"water"))))</f>
        <v>0</v>
      </c>
      <c r="BC335">
        <f>IF(Metadata!Q335="",FALSE,TRUE)</f>
        <v>0</v>
      </c>
      <c r="BD335">
        <f>IF(Metadata!R335="",FALSE,TRUE)</f>
        <v>0</v>
      </c>
      <c r="BE335">
        <f>OR(AND(IF(Metadata!S335="",FALSE,TRUE),OR(exact(Metadata!S335,"not collected"),exact(Metadata!S335,"not provided"),exact(Metadata!S335,"restricted access"))),AND(IF(Metadata!S335="",FALSE,ISNUMBER(VALUE(Metadata!S335))),Metadata!S335&gt;=-90.00,Metadata!S335&lt;=90.00))</f>
        <v>0</v>
      </c>
      <c r="BF335">
        <f>AND(IF(Metadata!T335="",FALSE,TRUE),exact(Metadata!T335,"Decimal degrees"))</f>
        <v>0</v>
      </c>
      <c r="BG335">
        <f>OR(AND(IF(Metadata!U335="",FALSE,TRUE),OR(exact(Metadata!U335,"not collected"),exact(Metadata!U335,"not provided"),exact(Metadata!U335,"restricted access"))),AND(IF(Metadata!U335="",FALSE,ISNUMBER(VALUE(Metadata!U335))),Metadata!U335&gt;=-180.00,Metadata!U335&lt;=180.00))</f>
        <v>0</v>
      </c>
      <c r="BH335">
        <f>AND(IF(Metadata!V335="",FALSE,TRUE),exact(Metadata!V335,"Decimal degrees"))</f>
        <v>0</v>
      </c>
      <c r="BI335">
        <f>IF(Metadata!W335="",FALSE,TRUE)</f>
        <v>0</v>
      </c>
      <c r="BJ335">
        <f>OR(AND(IF(Metadata!X335="",FALSE,TRUE),OR(exact(Metadata!X335,"not collected"),exact(Metadata!X335,"not provided"),exact(Metadata!X335,"restricted access"))),AND(IF(Metadata!X335="",FALSE,TRUE),OR(exact(Metadata!X335,"TRUE"),exact(Metadata!X335,"FALSE"))))</f>
        <v>0</v>
      </c>
      <c r="BK335">
        <f>AND(IF(Metadata!Y335="",FALSE,TRUE),exact(Metadata!Y335,"other"))</f>
        <v>0</v>
      </c>
      <c r="BL335">
        <f>IF(Metadata!Z335="",FALSE,TRUE)</f>
        <v>0</v>
      </c>
      <c r="BM335">
        <f>OR(AND(IF(Metadata!AA335="",FALSE,TRUE),OR(exact(Metadata!AA335,"not collected"),exact(Metadata!AA335,"not provided"))),AND(IF(Metadata!AA335="",FALSE,IF(ISERROR(INT(Metadata!AA335)),FALSE,INT(Metadata!AA335)=Metadata!AA335)),Metadata!AA335&gt;0))</f>
        <v>0</v>
      </c>
      <c r="BN335">
        <f>AND(IF(Metadata!AB335="",FALSE,TRUE),exact(Metadata!AB335,"Not applicable"))</f>
        <v>0</v>
      </c>
      <c r="BO335">
        <f>IF(Metadata!AC335="",FALSE,TRUE)</f>
        <v>0</v>
      </c>
    </row>
    <row r="336" spans="1:67">
      <c r="A336" s="5">
        <f>IF(B336=" "," ",HYPERLINK(CONCATENATE("#metadata!",ADDRESS(INDEX($AI$2:$AI$1001,MATCH(ROWS($AG$2:AG336),$AG$2:$AG$1001,0),0),1)),INDEX($AL$2:$AL$1001,MATCH(ROWS($AG$2:AG336),$AG$2:$AG$1001,0),0)))</f>
        <v>0</v>
      </c>
      <c r="B336" s="4">
        <f>IF(OR(INDEX($AH$2:$AH$1001,MATCH(ROWS($AG$2:AG336),$AG$2:$AG$1001,0),1)&gt;=100000,INDEX($AN$1005:$BO$1005,1,MATCH(COLUMNS($AN$1006:AN1006),$AN$1006:$BO$1006,0))&gt;=100000), " ",IF(INDEX($AN$2:$BO$1001,MATCH(ROWS($AG$2:AG336),$AG$2:$AG$1001,0),MATCH(COLUMNS($AN$1006:AN1006),$AN$1006:$BO$1006,0)), HYPERLINK("#",""), HYPERLINK(CONCATENATE("#Metadata!", ADDRESS(INDEX($AI$2:$AI$1001,MATCH(ROWS($AG$2:AG336),$AG$2:$AG$1001,0),0), INDEX($AN$1004:$BO$1004,1,MATCH(COLUMNS($AN$1006:AN1006),$AN$1006:$BO$1006,0)))),"Fix")))</f>
        <v>0</v>
      </c>
      <c r="C336" s="4">
        <f>IF(OR(INDEX($AH$2:$AH$1001,MATCH(ROWS($AG$2:AG336),$AG$2:$AG$1001,0),1)&gt;=100000,INDEX($AN$1005:$BO$1005,1,MATCH(COLUMNS($AN$1006:AO1006),$AN$1006:$BO$1006,0))&gt;=100000), " ",IF(INDEX($AN$2:$BO$1001,MATCH(ROWS($AG$2:AG336),$AG$2:$AG$1001,0),MATCH(COLUMNS($AN$1006:AO1006),$AN$1006:$BO$1006,0)), HYPERLINK("#",""), HYPERLINK(CONCATENATE("#Metadata!", ADDRESS(INDEX($AI$2:$AI$1001,MATCH(ROWS($AG$2:AG336),$AG$2:$AG$1001,0),0), INDEX($AN$1004:$BO$1004,1,MATCH(COLUMNS($AN$1006:AO1006),$AN$1006:$BO$1006,0)))),"Fix")))</f>
        <v>0</v>
      </c>
      <c r="D336" s="4">
        <f>IF(OR(INDEX($AH$2:$AH$1001,MATCH(ROWS($AG$2:AG336),$AG$2:$AG$1001,0),1)&gt;=100000,INDEX($AN$1005:$BO$1005,1,MATCH(COLUMNS($AN$1006:AP1006),$AN$1006:$BO$1006,0))&gt;=100000), " ",IF(INDEX($AN$2:$BO$1001,MATCH(ROWS($AG$2:AG336),$AG$2:$AG$1001,0),MATCH(COLUMNS($AN$1006:AP1006),$AN$1006:$BO$1006,0)), HYPERLINK("#",""), HYPERLINK(CONCATENATE("#Metadata!", ADDRESS(INDEX($AI$2:$AI$1001,MATCH(ROWS($AG$2:AG336),$AG$2:$AG$1001,0),0), INDEX($AN$1004:$BO$1004,1,MATCH(COLUMNS($AN$1006:AP1006),$AN$1006:$BO$1006,0)))),"Fix")))</f>
        <v>0</v>
      </c>
      <c r="E336" s="4">
        <f>IF(OR(INDEX($AH$2:$AH$1001,MATCH(ROWS($AG$2:AG336),$AG$2:$AG$1001,0),1)&gt;=100000,INDEX($AN$1005:$BO$1005,1,MATCH(COLUMNS($AN$1006:AQ1006),$AN$1006:$BO$1006,0))&gt;=100000), " ",IF(INDEX($AN$2:$BO$1001,MATCH(ROWS($AG$2:AG336),$AG$2:$AG$1001,0),MATCH(COLUMNS($AN$1006:AQ1006),$AN$1006:$BO$1006,0)), HYPERLINK("#",""), HYPERLINK(CONCATENATE("#Metadata!", ADDRESS(INDEX($AI$2:$AI$1001,MATCH(ROWS($AG$2:AG336),$AG$2:$AG$1001,0),0), INDEX($AN$1004:$BO$1004,1,MATCH(COLUMNS($AN$1006:AQ1006),$AN$1006:$BO$1006,0)))),"Fix")))</f>
        <v>0</v>
      </c>
      <c r="F336" s="4">
        <f>IF(OR(INDEX($AH$2:$AH$1001,MATCH(ROWS($AG$2:AG336),$AG$2:$AG$1001,0),1)&gt;=100000,INDEX($AN$1005:$BO$1005,1,MATCH(COLUMNS($AN$1006:AR1006),$AN$1006:$BO$1006,0))&gt;=100000), " ",IF(INDEX($AN$2:$BO$1001,MATCH(ROWS($AG$2:AG336),$AG$2:$AG$1001,0),MATCH(COLUMNS($AN$1006:AR1006),$AN$1006:$BO$1006,0)), HYPERLINK("#",""), HYPERLINK(CONCATENATE("#Metadata!", ADDRESS(INDEX($AI$2:$AI$1001,MATCH(ROWS($AG$2:AG336),$AG$2:$AG$1001,0),0), INDEX($AN$1004:$BO$1004,1,MATCH(COLUMNS($AN$1006:AR1006),$AN$1006:$BO$1006,0)))),"Fix")))</f>
        <v>0</v>
      </c>
      <c r="G336" s="4">
        <f>IF(OR(INDEX($AH$2:$AH$1001,MATCH(ROWS($AG$2:AG336),$AG$2:$AG$1001,0),1)&gt;=100000,INDEX($AN$1005:$BO$1005,1,MATCH(COLUMNS($AN$1006:AS1006),$AN$1006:$BO$1006,0))&gt;=100000), " ",IF(INDEX($AN$2:$BO$1001,MATCH(ROWS($AG$2:AG336),$AG$2:$AG$1001,0),MATCH(COLUMNS($AN$1006:AS1006),$AN$1006:$BO$1006,0)), HYPERLINK("#",""), HYPERLINK(CONCATENATE("#Metadata!", ADDRESS(INDEX($AI$2:$AI$1001,MATCH(ROWS($AG$2:AG336),$AG$2:$AG$1001,0),0), INDEX($AN$1004:$BO$1004,1,MATCH(COLUMNS($AN$1006:AS1006),$AN$1006:$BO$1006,0)))),"Fix")))</f>
        <v>0</v>
      </c>
      <c r="H336" s="4">
        <f>IF(OR(INDEX($AH$2:$AH$1001,MATCH(ROWS($AG$2:AG336),$AG$2:$AG$1001,0),1)&gt;=100000,INDEX($AN$1005:$BO$1005,1,MATCH(COLUMNS($AN$1006:AT1006),$AN$1006:$BO$1006,0))&gt;=100000), " ",IF(INDEX($AN$2:$BO$1001,MATCH(ROWS($AG$2:AG336),$AG$2:$AG$1001,0),MATCH(COLUMNS($AN$1006:AT1006),$AN$1006:$BO$1006,0)), HYPERLINK("#",""), HYPERLINK(CONCATENATE("#Metadata!", ADDRESS(INDEX($AI$2:$AI$1001,MATCH(ROWS($AG$2:AG336),$AG$2:$AG$1001,0),0), INDEX($AN$1004:$BO$1004,1,MATCH(COLUMNS($AN$1006:AT1006),$AN$1006:$BO$1006,0)))),"Fix")))</f>
        <v>0</v>
      </c>
      <c r="I336" s="4">
        <f>IF(OR(INDEX($AH$2:$AH$1001,MATCH(ROWS($AG$2:AG336),$AG$2:$AG$1001,0),1)&gt;=100000,INDEX($AN$1005:$BO$1005,1,MATCH(COLUMNS($AN$1006:AU1006),$AN$1006:$BO$1006,0))&gt;=100000), " ",IF(INDEX($AN$2:$BO$1001,MATCH(ROWS($AG$2:AG336),$AG$2:$AG$1001,0),MATCH(COLUMNS($AN$1006:AU1006),$AN$1006:$BO$1006,0)), HYPERLINK("#",""), HYPERLINK(CONCATENATE("#Metadata!", ADDRESS(INDEX($AI$2:$AI$1001,MATCH(ROWS($AG$2:AG336),$AG$2:$AG$1001,0),0), INDEX($AN$1004:$BO$1004,1,MATCH(COLUMNS($AN$1006:AU1006),$AN$1006:$BO$1006,0)))),"Fix")))</f>
        <v>0</v>
      </c>
      <c r="J336" s="4">
        <f>IF(OR(INDEX($AH$2:$AH$1001,MATCH(ROWS($AG$2:AG336),$AG$2:$AG$1001,0),1)&gt;=100000,INDEX($AN$1005:$BO$1005,1,MATCH(COLUMNS($AN$1006:AV1006),$AN$1006:$BO$1006,0))&gt;=100000), " ",IF(INDEX($AN$2:$BO$1001,MATCH(ROWS($AG$2:AG336),$AG$2:$AG$1001,0),MATCH(COLUMNS($AN$1006:AV1006),$AN$1006:$BO$1006,0)), HYPERLINK("#",""), HYPERLINK(CONCATENATE("#Metadata!", ADDRESS(INDEX($AI$2:$AI$1001,MATCH(ROWS($AG$2:AG336),$AG$2:$AG$1001,0),0), INDEX($AN$1004:$BO$1004,1,MATCH(COLUMNS($AN$1006:AV1006),$AN$1006:$BO$1006,0)))),"Fix")))</f>
        <v>0</v>
      </c>
      <c r="K336" s="4">
        <f>IF(OR(INDEX($AH$2:$AH$1001,MATCH(ROWS($AG$2:AG336),$AG$2:$AG$1001,0),1)&gt;=100000,INDEX($AN$1005:$BO$1005,1,MATCH(COLUMNS($AN$1006:AW1006),$AN$1006:$BO$1006,0))&gt;=100000), " ",IF(INDEX($AN$2:$BO$1001,MATCH(ROWS($AG$2:AG336),$AG$2:$AG$1001,0),MATCH(COLUMNS($AN$1006:AW1006),$AN$1006:$BO$1006,0)), HYPERLINK("#",""), HYPERLINK(CONCATENATE("#Metadata!", ADDRESS(INDEX($AI$2:$AI$1001,MATCH(ROWS($AG$2:AG336),$AG$2:$AG$1001,0),0), INDEX($AN$1004:$BO$1004,1,MATCH(COLUMNS($AN$1006:AW1006),$AN$1006:$BO$1006,0)))),"Fix")))</f>
        <v>0</v>
      </c>
      <c r="L336" s="4">
        <f>IF(OR(INDEX($AH$2:$AH$1001,MATCH(ROWS($AG$2:AG336),$AG$2:$AG$1001,0),1)&gt;=100000,INDEX($AN$1005:$BO$1005,1,MATCH(COLUMNS($AN$1006:AX1006),$AN$1006:$BO$1006,0))&gt;=100000), " ",IF(INDEX($AN$2:$BO$1001,MATCH(ROWS($AG$2:AG336),$AG$2:$AG$1001,0),MATCH(COLUMNS($AN$1006:AX1006),$AN$1006:$BO$1006,0)), HYPERLINK("#",""), HYPERLINK(CONCATENATE("#Metadata!", ADDRESS(INDEX($AI$2:$AI$1001,MATCH(ROWS($AG$2:AG336),$AG$2:$AG$1001,0),0), INDEX($AN$1004:$BO$1004,1,MATCH(COLUMNS($AN$1006:AX1006),$AN$1006:$BO$1006,0)))),"Fix")))</f>
        <v>0</v>
      </c>
      <c r="M336" s="4">
        <f>IF(OR(INDEX($AH$2:$AH$1001,MATCH(ROWS($AG$2:AG336),$AG$2:$AG$1001,0),1)&gt;=100000,INDEX($AN$1005:$BO$1005,1,MATCH(COLUMNS($AN$1006:AY1006),$AN$1006:$BO$1006,0))&gt;=100000), " ",IF(INDEX($AN$2:$BO$1001,MATCH(ROWS($AG$2:AG336),$AG$2:$AG$1001,0),MATCH(COLUMNS($AN$1006:AY1006),$AN$1006:$BO$1006,0)), HYPERLINK("#",""), HYPERLINK(CONCATENATE("#Metadata!", ADDRESS(INDEX($AI$2:$AI$1001,MATCH(ROWS($AG$2:AG336),$AG$2:$AG$1001,0),0), INDEX($AN$1004:$BO$1004,1,MATCH(COLUMNS($AN$1006:AY1006),$AN$1006:$BO$1006,0)))),"Fix")))</f>
        <v>0</v>
      </c>
      <c r="N336" s="4">
        <f>IF(OR(INDEX($AH$2:$AH$1001,MATCH(ROWS($AG$2:AG336),$AG$2:$AG$1001,0),1)&gt;=100000,INDEX($AN$1005:$BO$1005,1,MATCH(COLUMNS($AN$1006:AZ1006),$AN$1006:$BO$1006,0))&gt;=100000), " ",IF(INDEX($AN$2:$BO$1001,MATCH(ROWS($AG$2:AG336),$AG$2:$AG$1001,0),MATCH(COLUMNS($AN$1006:AZ1006),$AN$1006:$BO$1006,0)), HYPERLINK("#",""), HYPERLINK(CONCATENATE("#Metadata!", ADDRESS(INDEX($AI$2:$AI$1001,MATCH(ROWS($AG$2:AG336),$AG$2:$AG$1001,0),0), INDEX($AN$1004:$BO$1004,1,MATCH(COLUMNS($AN$1006:AZ1006),$AN$1006:$BO$1006,0)))),"Fix")))</f>
        <v>0</v>
      </c>
      <c r="O336" s="4">
        <f>IF(OR(INDEX($AH$2:$AH$1001,MATCH(ROWS($AG$2:AG336),$AG$2:$AG$1001,0),1)&gt;=100000,INDEX($AN$1005:$BO$1005,1,MATCH(COLUMNS($AN$1006:BA1006),$AN$1006:$BO$1006,0))&gt;=100000), " ",IF(INDEX($AN$2:$BO$1001,MATCH(ROWS($AG$2:AG336),$AG$2:$AG$1001,0),MATCH(COLUMNS($AN$1006:BA1006),$AN$1006:$BO$1006,0)), HYPERLINK("#",""), HYPERLINK(CONCATENATE("#Metadata!", ADDRESS(INDEX($AI$2:$AI$1001,MATCH(ROWS($AG$2:AG336),$AG$2:$AG$1001,0),0), INDEX($AN$1004:$BO$1004,1,MATCH(COLUMNS($AN$1006:BA1006),$AN$1006:$BO$1006,0)))),"Fix")))</f>
        <v>0</v>
      </c>
      <c r="P336" s="4">
        <f>IF(OR(INDEX($AH$2:$AH$1001,MATCH(ROWS($AG$2:AG336),$AG$2:$AG$1001,0),1)&gt;=100000,INDEX($AN$1005:$BO$1005,1,MATCH(COLUMNS($AN$1006:BB1006),$AN$1006:$BO$1006,0))&gt;=100000), " ",IF(INDEX($AN$2:$BO$1001,MATCH(ROWS($AG$2:AG336),$AG$2:$AG$1001,0),MATCH(COLUMNS($AN$1006:BB1006),$AN$1006:$BO$1006,0)), HYPERLINK("#",""), HYPERLINK(CONCATENATE("#Metadata!", ADDRESS(INDEX($AI$2:$AI$1001,MATCH(ROWS($AG$2:AG336),$AG$2:$AG$1001,0),0), INDEX($AN$1004:$BO$1004,1,MATCH(COLUMNS($AN$1006:BB1006),$AN$1006:$BO$1006,0)))),"Fix")))</f>
        <v>0</v>
      </c>
      <c r="Q336" s="4">
        <f>IF(OR(INDEX($AH$2:$AH$1001,MATCH(ROWS($AG$2:AG336),$AG$2:$AG$1001,0),1)&gt;=100000,INDEX($AN$1005:$BO$1005,1,MATCH(COLUMNS($AN$1006:BC1006),$AN$1006:$BO$1006,0))&gt;=100000), " ",IF(INDEX($AN$2:$BO$1001,MATCH(ROWS($AG$2:AG336),$AG$2:$AG$1001,0),MATCH(COLUMNS($AN$1006:BC1006),$AN$1006:$BO$1006,0)), HYPERLINK("#",""), HYPERLINK(CONCATENATE("#Metadata!", ADDRESS(INDEX($AI$2:$AI$1001,MATCH(ROWS($AG$2:AG336),$AG$2:$AG$1001,0),0), INDEX($AN$1004:$BO$1004,1,MATCH(COLUMNS($AN$1006:BC1006),$AN$1006:$BO$1006,0)))),"Fix")))</f>
        <v>0</v>
      </c>
      <c r="R336" s="4">
        <f>IF(OR(INDEX($AH$2:$AH$1001,MATCH(ROWS($AG$2:AG336),$AG$2:$AG$1001,0),1)&gt;=100000,INDEX($AN$1005:$BO$1005,1,MATCH(COLUMNS($AN$1006:BD1006),$AN$1006:$BO$1006,0))&gt;=100000), " ",IF(INDEX($AN$2:$BO$1001,MATCH(ROWS($AG$2:AG336),$AG$2:$AG$1001,0),MATCH(COLUMNS($AN$1006:BD1006),$AN$1006:$BO$1006,0)), HYPERLINK("#",""), HYPERLINK(CONCATENATE("#Metadata!", ADDRESS(INDEX($AI$2:$AI$1001,MATCH(ROWS($AG$2:AG336),$AG$2:$AG$1001,0),0), INDEX($AN$1004:$BO$1004,1,MATCH(COLUMNS($AN$1006:BD1006),$AN$1006:$BO$1006,0)))),"Fix")))</f>
        <v>0</v>
      </c>
      <c r="S336" s="4">
        <f>IF(OR(INDEX($AH$2:$AH$1001,MATCH(ROWS($AG$2:AG336),$AG$2:$AG$1001,0),1)&gt;=100000,INDEX($AN$1005:$BO$1005,1,MATCH(COLUMNS($AN$1006:BE1006),$AN$1006:$BO$1006,0))&gt;=100000), " ",IF(INDEX($AN$2:$BO$1001,MATCH(ROWS($AG$2:AG336),$AG$2:$AG$1001,0),MATCH(COLUMNS($AN$1006:BE1006),$AN$1006:$BO$1006,0)), HYPERLINK("#",""), HYPERLINK(CONCATENATE("#Metadata!", ADDRESS(INDEX($AI$2:$AI$1001,MATCH(ROWS($AG$2:AG336),$AG$2:$AG$1001,0),0), INDEX($AN$1004:$BO$1004,1,MATCH(COLUMNS($AN$1006:BE1006),$AN$1006:$BO$1006,0)))),"Fix")))</f>
        <v>0</v>
      </c>
      <c r="T336" s="4">
        <f>IF(OR(INDEX($AH$2:$AH$1001,MATCH(ROWS($AG$2:AG336),$AG$2:$AG$1001,0),1)&gt;=100000,INDEX($AN$1005:$BO$1005,1,MATCH(COLUMNS($AN$1006:BF1006),$AN$1006:$BO$1006,0))&gt;=100000), " ",IF(INDEX($AN$2:$BO$1001,MATCH(ROWS($AG$2:AG336),$AG$2:$AG$1001,0),MATCH(COLUMNS($AN$1006:BF1006),$AN$1006:$BO$1006,0)), HYPERLINK("#",""), HYPERLINK(CONCATENATE("#Metadata!", ADDRESS(INDEX($AI$2:$AI$1001,MATCH(ROWS($AG$2:AG336),$AG$2:$AG$1001,0),0), INDEX($AN$1004:$BO$1004,1,MATCH(COLUMNS($AN$1006:BF1006),$AN$1006:$BO$1006,0)))),"Fix")))</f>
        <v>0</v>
      </c>
      <c r="U336" s="4">
        <f>IF(OR(INDEX($AH$2:$AH$1001,MATCH(ROWS($AG$2:AG336),$AG$2:$AG$1001,0),1)&gt;=100000,INDEX($AN$1005:$BO$1005,1,MATCH(COLUMNS($AN$1006:BG1006),$AN$1006:$BO$1006,0))&gt;=100000), " ",IF(INDEX($AN$2:$BO$1001,MATCH(ROWS($AG$2:AG336),$AG$2:$AG$1001,0),MATCH(COLUMNS($AN$1006:BG1006),$AN$1006:$BO$1006,0)), HYPERLINK("#",""), HYPERLINK(CONCATENATE("#Metadata!", ADDRESS(INDEX($AI$2:$AI$1001,MATCH(ROWS($AG$2:AG336),$AG$2:$AG$1001,0),0), INDEX($AN$1004:$BO$1004,1,MATCH(COLUMNS($AN$1006:BG1006),$AN$1006:$BO$1006,0)))),"Fix")))</f>
        <v>0</v>
      </c>
      <c r="V336" s="4">
        <f>IF(OR(INDEX($AH$2:$AH$1001,MATCH(ROWS($AG$2:AG336),$AG$2:$AG$1001,0),1)&gt;=100000,INDEX($AN$1005:$BO$1005,1,MATCH(COLUMNS($AN$1006:BH1006),$AN$1006:$BO$1006,0))&gt;=100000), " ",IF(INDEX($AN$2:$BO$1001,MATCH(ROWS($AG$2:AG336),$AG$2:$AG$1001,0),MATCH(COLUMNS($AN$1006:BH1006),$AN$1006:$BO$1006,0)), HYPERLINK("#",""), HYPERLINK(CONCATENATE("#Metadata!", ADDRESS(INDEX($AI$2:$AI$1001,MATCH(ROWS($AG$2:AG336),$AG$2:$AG$1001,0),0), INDEX($AN$1004:$BO$1004,1,MATCH(COLUMNS($AN$1006:BH1006),$AN$1006:$BO$1006,0)))),"Fix")))</f>
        <v>0</v>
      </c>
      <c r="W336" s="4">
        <f>IF(OR(INDEX($AH$2:$AH$1001,MATCH(ROWS($AG$2:AG336),$AG$2:$AG$1001,0),1)&gt;=100000,INDEX($AN$1005:$BO$1005,1,MATCH(COLUMNS($AN$1006:BI1006),$AN$1006:$BO$1006,0))&gt;=100000), " ",IF(INDEX($AN$2:$BO$1001,MATCH(ROWS($AG$2:AG336),$AG$2:$AG$1001,0),MATCH(COLUMNS($AN$1006:BI1006),$AN$1006:$BO$1006,0)), HYPERLINK("#",""), HYPERLINK(CONCATENATE("#Metadata!", ADDRESS(INDEX($AI$2:$AI$1001,MATCH(ROWS($AG$2:AG336),$AG$2:$AG$1001,0),0), INDEX($AN$1004:$BO$1004,1,MATCH(COLUMNS($AN$1006:BI1006),$AN$1006:$BO$1006,0)))),"Fix")))</f>
        <v>0</v>
      </c>
      <c r="X336" s="4">
        <f>IF(OR(INDEX($AH$2:$AH$1001,MATCH(ROWS($AG$2:AG336),$AG$2:$AG$1001,0),1)&gt;=100000,INDEX($AN$1005:$BO$1005,1,MATCH(COLUMNS($AN$1006:BJ1006),$AN$1006:$BO$1006,0))&gt;=100000), " ",IF(INDEX($AN$2:$BO$1001,MATCH(ROWS($AG$2:AG336),$AG$2:$AG$1001,0),MATCH(COLUMNS($AN$1006:BJ1006),$AN$1006:$BO$1006,0)), HYPERLINK("#",""), HYPERLINK(CONCATENATE("#Metadata!", ADDRESS(INDEX($AI$2:$AI$1001,MATCH(ROWS($AG$2:AG336),$AG$2:$AG$1001,0),0), INDEX($AN$1004:$BO$1004,1,MATCH(COLUMNS($AN$1006:BJ1006),$AN$1006:$BO$1006,0)))),"Fix")))</f>
        <v>0</v>
      </c>
      <c r="Y336" s="4">
        <f>IF(OR(INDEX($AH$2:$AH$1001,MATCH(ROWS($AG$2:AG336),$AG$2:$AG$1001,0),1)&gt;=100000,INDEX($AN$1005:$BO$1005,1,MATCH(COLUMNS($AN$1006:BK1006),$AN$1006:$BO$1006,0))&gt;=100000), " ",IF(INDEX($AN$2:$BO$1001,MATCH(ROWS($AG$2:AG336),$AG$2:$AG$1001,0),MATCH(COLUMNS($AN$1006:BK1006),$AN$1006:$BO$1006,0)), HYPERLINK("#",""), HYPERLINK(CONCATENATE("#Metadata!", ADDRESS(INDEX($AI$2:$AI$1001,MATCH(ROWS($AG$2:AG336),$AG$2:$AG$1001,0),0), INDEX($AN$1004:$BO$1004,1,MATCH(COLUMNS($AN$1006:BK1006),$AN$1006:$BO$1006,0)))),"Fix")))</f>
        <v>0</v>
      </c>
      <c r="Z336" s="4">
        <f>IF(OR(INDEX($AH$2:$AH$1001,MATCH(ROWS($AG$2:AG336),$AG$2:$AG$1001,0),1)&gt;=100000,INDEX($AN$1005:$BO$1005,1,MATCH(COLUMNS($AN$1006:BL1006),$AN$1006:$BO$1006,0))&gt;=100000), " ",IF(INDEX($AN$2:$BO$1001,MATCH(ROWS($AG$2:AG336),$AG$2:$AG$1001,0),MATCH(COLUMNS($AN$1006:BL1006),$AN$1006:$BO$1006,0)), HYPERLINK("#",""), HYPERLINK(CONCATENATE("#Metadata!", ADDRESS(INDEX($AI$2:$AI$1001,MATCH(ROWS($AG$2:AG336),$AG$2:$AG$1001,0),0), INDEX($AN$1004:$BO$1004,1,MATCH(COLUMNS($AN$1006:BL1006),$AN$1006:$BO$1006,0)))),"Fix")))</f>
        <v>0</v>
      </c>
      <c r="AA336" s="4">
        <f>IF(OR(INDEX($AH$2:$AH$1001,MATCH(ROWS($AG$2:AG336),$AG$2:$AG$1001,0),1)&gt;=100000,INDEX($AN$1005:$BO$1005,1,MATCH(COLUMNS($AN$1006:BM1006),$AN$1006:$BO$1006,0))&gt;=100000), " ",IF(INDEX($AN$2:$BO$1001,MATCH(ROWS($AG$2:AG336),$AG$2:$AG$1001,0),MATCH(COLUMNS($AN$1006:BM1006),$AN$1006:$BO$1006,0)), HYPERLINK("#",""), HYPERLINK(CONCATENATE("#Metadata!", ADDRESS(INDEX($AI$2:$AI$1001,MATCH(ROWS($AG$2:AG336),$AG$2:$AG$1001,0),0), INDEX($AN$1004:$BO$1004,1,MATCH(COLUMNS($AN$1006:BM1006),$AN$1006:$BO$1006,0)))),"Fix")))</f>
        <v>0</v>
      </c>
      <c r="AB336" s="4">
        <f>IF(OR(INDEX($AH$2:$AH$1001,MATCH(ROWS($AG$2:AG336),$AG$2:$AG$1001,0),1)&gt;=100000,INDEX($AN$1005:$BO$1005,1,MATCH(COLUMNS($AN$1006:BN1006),$AN$1006:$BO$1006,0))&gt;=100000), " ",IF(INDEX($AN$2:$BO$1001,MATCH(ROWS($AG$2:AG336),$AG$2:$AG$1001,0),MATCH(COLUMNS($AN$1006:BN1006),$AN$1006:$BO$1006,0)), HYPERLINK("#",""), HYPERLINK(CONCATENATE("#Metadata!", ADDRESS(INDEX($AI$2:$AI$1001,MATCH(ROWS($AG$2:AG336),$AG$2:$AG$1001,0),0), INDEX($AN$1004:$BO$1004,1,MATCH(COLUMNS($AN$1006:BN1006),$AN$1006:$BO$1006,0)))),"Fix")))</f>
        <v>0</v>
      </c>
      <c r="AC336" s="4">
        <f>IF(OR(INDEX($AH$2:$AH$1001,MATCH(ROWS($AG$2:AG336),$AG$2:$AG$1001,0),1)&gt;=100000,INDEX($AN$1005:$BO$1005,1,MATCH(COLUMNS($AN$1006:BO1006),$AN$1006:$BO$1006,0))&gt;=100000), " ",IF(INDEX($AN$2:$BO$1001,MATCH(ROWS($AG$2:AG336),$AG$2:$AG$1001,0),MATCH(COLUMNS($AN$1006:BO1006),$AN$1006:$BO$1006,0)), HYPERLINK("#",""), HYPERLINK(CONCATENATE("#Metadata!", ADDRESS(INDEX($AI$2:$AI$1001,MATCH(ROWS($AG$2:AG336),$AG$2:$AG$1001,0),0), INDEX($AN$1004:$BO$1004,1,MATCH(COLUMNS($AN$1006:BO1006),$AN$1006:$BO$1006,0)))),"Fix")))</f>
        <v>0</v>
      </c>
      <c r="AG336">
        <v>0</v>
      </c>
      <c r="AH336">
        <v>0</v>
      </c>
      <c r="AI336">
        <v>0</v>
      </c>
      <c r="AJ336">
        <f>IF(AK336,TRUE,AND(AN336:BO336))</f>
        <v>0</v>
      </c>
      <c r="AK336">
        <f>COUNTBLANK(Metadata!B336:AC336)=COLUMNS(Metadata!B336:AC336)</f>
        <v>0</v>
      </c>
      <c r="AL336">
        <v>0</v>
      </c>
      <c r="AN336">
        <f>AND(IF(Metadata!B336="",FALSE,TRUE),COUNTIF(Metadata!B:B, Metadata!B336) = 1,NOT(ISERROR(SUMPRODUCT(SEARCH(MID(Metadata!B336,ROW(INDIRECT("1:"&amp;LEN(Metadata!B336))), 1),"0123456789abcdefghijklmnopqrstuvwxyzABCDEFGHIJKLMNOPQRSTUVWXYZ.")))))</f>
        <v>0</v>
      </c>
      <c r="AO336">
        <f>IF(Metadata!C336="",FALSE,TRUE)</f>
        <v>0</v>
      </c>
      <c r="AP336">
        <f>IF(Metadata!D336="",FALSE,TRUE)</f>
        <v>0</v>
      </c>
      <c r="AQ336">
        <f>OR(AND(IF(Metadata!E336="",FALSE,TRUE),OR(exact(Metadata!E336,"not collected"),exact(Metadata!E336,"not provided"),exact(Metadata!E336,"restricted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R336">
        <f>IF(Metadata!F336="",FALSE,TRUE)</f>
        <v>0</v>
      </c>
      <c r="AS336">
        <f>OR(AND(IF(Metadata!G336="",FALSE,TRUE),OR(exact(Metadata!G336,"not collected"),exact(Metadata!G336,"not provided"))),AND(IF(Metadata!G336="",FALSE,TRUE),OR(exact(Metadata!G336,"TRUE"),exact(Metadata!G336,"FALSE"))))</f>
        <v>0</v>
      </c>
      <c r="AT336">
        <f>OR(AND(IF(Metadata!H336="",FALSE,TRUE),OR(exact(Metadata!H336,"not collected"),exact(Metadata!H336,"not provided"),exact(Metadata!H336,"restricted access"))),AND(IF(Metadata!H336="",FALSE,ISNUMBER(VALUE(Metadata!H336))),Metadata!H336&gt;=-413.0))</f>
        <v>0</v>
      </c>
      <c r="AU336">
        <f>AND(IF(Metadata!I336="",FALSE,TRUE),exact(Metadata!I336,"meters"))</f>
        <v>0</v>
      </c>
      <c r="AV336">
        <f>AND(IF(Metadata!J336="",FALSE,TRUE),OR(exact(Metadata!J336,"Host-associated"),exact(Metadata!J336,"Free-living")))</f>
        <v>0</v>
      </c>
      <c r="AW336">
        <f>AND(IF(Metadata!K336="",FALSE,TRUE),OR(exact(Metadata!K336,"Animal"),exact(Metadata!K336,"Fungus"),exact(Metadata!K336,"Plant"),exact(Metadata!K336,"Saline"),exact(Metadata!K336,"Non-saline")))</f>
        <v>0</v>
      </c>
      <c r="AX336">
        <f>AND(IF(Metadata!L336="",FALSE,TRUE),OR(exact(Metadata!L336,"Plant secretion"),exact(Metadata!L336,"Plant rhizosphere"),exact(Metadata!L336,"Plant surface"),exact(Metadata!L336,"Plant corpus"),exact(Metadata!L336,"Fungus surface"),exact(Metadata!L336,"Fungus corpus"),exact(Metadata!L336,"Animal surface"),exact(Metadata!L336,"Animal proximal gut"),exact(Metadata!L336,"Animal corpus"),exact(Metadata!L336,"Animal distal gut"),exact(Metadata!L336,"Animal secretion"),exact(Metadata!L336,"Sub-surface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Y336">
        <f>IF(Metadata!M336="",FALSE,TRUE)</f>
        <v>0</v>
      </c>
      <c r="AZ336">
        <f>IF(Metadata!N336="",FALSE,TRUE)</f>
        <v>0</v>
      </c>
      <c r="BA336">
        <f>IF(Metadata!O336="",FALSE,TRUE)</f>
        <v>0</v>
      </c>
      <c r="BB336">
        <f>OR(AND(IF(Metadata!P336="",FALSE,TRUE),OR(exact(Metadata!P336,"not collected"),exact(Metadata!P336,"not provided"),exact(Metadata!P336,"restricted access"))),AND(IF(Metadata!P336="",FALSE,TRUE),OR(exact(Metadata!P336,"air"),exact(Metadata!P336,"built environment"),exact(Metadata!P336,"host-associated"),exact(Metadata!P336,"human-associated"),exact(Metadata!P336,"human-skin"),exact(Metadata!P336,"human-oral"),exact(Metadata!P336,"human-gut"),exact(Metadata!P336,"human-vaginal"),exact(Metadata!P336,"microbial mat/biofilm"),exact(Metadata!P336,"misc environment"),exact(Metadata!P336,"plant-associated"),exact(Metadata!P336,"sediment"),exact(Metadata!P336,"soil"),exact(Metadata!P336,"wastewater/sludge"),exact(Metadata!P336,"water"))))</f>
        <v>0</v>
      </c>
      <c r="BC336">
        <f>IF(Metadata!Q336="",FALSE,TRUE)</f>
        <v>0</v>
      </c>
      <c r="BD336">
        <f>IF(Metadata!R336="",FALSE,TRUE)</f>
        <v>0</v>
      </c>
      <c r="BE336">
        <f>OR(AND(IF(Metadata!S336="",FALSE,TRUE),OR(exact(Metadata!S336,"not collected"),exact(Metadata!S336,"not provided"),exact(Metadata!S336,"restricted access"))),AND(IF(Metadata!S336="",FALSE,ISNUMBER(VALUE(Metadata!S336))),Metadata!S336&gt;=-90.00,Metadata!S336&lt;=90.00))</f>
        <v>0</v>
      </c>
      <c r="BF336">
        <f>AND(IF(Metadata!T336="",FALSE,TRUE),exact(Metadata!T336,"Decimal degrees"))</f>
        <v>0</v>
      </c>
      <c r="BG336">
        <f>OR(AND(IF(Metadata!U336="",FALSE,TRUE),OR(exact(Metadata!U336,"not collected"),exact(Metadata!U336,"not provided"),exact(Metadata!U336,"restricted access"))),AND(IF(Metadata!U336="",FALSE,ISNUMBER(VALUE(Metadata!U336))),Metadata!U336&gt;=-180.00,Metadata!U336&lt;=180.00))</f>
        <v>0</v>
      </c>
      <c r="BH336">
        <f>AND(IF(Metadata!V336="",FALSE,TRUE),exact(Metadata!V336,"Decimal degrees"))</f>
        <v>0</v>
      </c>
      <c r="BI336">
        <f>IF(Metadata!W336="",FALSE,TRUE)</f>
        <v>0</v>
      </c>
      <c r="BJ336">
        <f>OR(AND(IF(Metadata!X336="",FALSE,TRUE),OR(exact(Metadata!X336,"not collected"),exact(Metadata!X336,"not provided"),exact(Metadata!X336,"restricted access"))),AND(IF(Metadata!X336="",FALSE,TRUE),OR(exact(Metadata!X336,"TRUE"),exact(Metadata!X336,"FALSE"))))</f>
        <v>0</v>
      </c>
      <c r="BK336">
        <f>AND(IF(Metadata!Y336="",FALSE,TRUE),exact(Metadata!Y336,"other"))</f>
        <v>0</v>
      </c>
      <c r="BL336">
        <f>IF(Metadata!Z336="",FALSE,TRUE)</f>
        <v>0</v>
      </c>
      <c r="BM336">
        <f>OR(AND(IF(Metadata!AA336="",FALSE,TRUE),OR(exact(Metadata!AA336,"not collected"),exact(Metadata!AA336,"not provided"))),AND(IF(Metadata!AA336="",FALSE,IF(ISERROR(INT(Metadata!AA336)),FALSE,INT(Metadata!AA336)=Metadata!AA336)),Metadata!AA336&gt;0))</f>
        <v>0</v>
      </c>
      <c r="BN336">
        <f>AND(IF(Metadata!AB336="",FALSE,TRUE),exact(Metadata!AB336,"Not applicable"))</f>
        <v>0</v>
      </c>
      <c r="BO336">
        <f>IF(Metadata!AC336="",FALSE,TRUE)</f>
        <v>0</v>
      </c>
    </row>
    <row r="337" spans="1:67">
      <c r="A337" s="5">
        <f>IF(B337=" "," ",HYPERLINK(CONCATENATE("#metadata!",ADDRESS(INDEX($AI$2:$AI$1001,MATCH(ROWS($AG$2:AG337),$AG$2:$AG$1001,0),0),1)),INDEX($AL$2:$AL$1001,MATCH(ROWS($AG$2:AG337),$AG$2:$AG$1001,0),0)))</f>
        <v>0</v>
      </c>
      <c r="B337" s="4">
        <f>IF(OR(INDEX($AH$2:$AH$1001,MATCH(ROWS($AG$2:AG337),$AG$2:$AG$1001,0),1)&gt;=100000,INDEX($AN$1005:$BO$1005,1,MATCH(COLUMNS($AN$1006:AN1006),$AN$1006:$BO$1006,0))&gt;=100000), " ",IF(INDEX($AN$2:$BO$1001,MATCH(ROWS($AG$2:AG337),$AG$2:$AG$1001,0),MATCH(COLUMNS($AN$1006:AN1006),$AN$1006:$BO$1006,0)), HYPERLINK("#",""), HYPERLINK(CONCATENATE("#Metadata!", ADDRESS(INDEX($AI$2:$AI$1001,MATCH(ROWS($AG$2:AG337),$AG$2:$AG$1001,0),0), INDEX($AN$1004:$BO$1004,1,MATCH(COLUMNS($AN$1006:AN1006),$AN$1006:$BO$1006,0)))),"Fix")))</f>
        <v>0</v>
      </c>
      <c r="C337" s="4">
        <f>IF(OR(INDEX($AH$2:$AH$1001,MATCH(ROWS($AG$2:AG337),$AG$2:$AG$1001,0),1)&gt;=100000,INDEX($AN$1005:$BO$1005,1,MATCH(COLUMNS($AN$1006:AO1006),$AN$1006:$BO$1006,0))&gt;=100000), " ",IF(INDEX($AN$2:$BO$1001,MATCH(ROWS($AG$2:AG337),$AG$2:$AG$1001,0),MATCH(COLUMNS($AN$1006:AO1006),$AN$1006:$BO$1006,0)), HYPERLINK("#",""), HYPERLINK(CONCATENATE("#Metadata!", ADDRESS(INDEX($AI$2:$AI$1001,MATCH(ROWS($AG$2:AG337),$AG$2:$AG$1001,0),0), INDEX($AN$1004:$BO$1004,1,MATCH(COLUMNS($AN$1006:AO1006),$AN$1006:$BO$1006,0)))),"Fix")))</f>
        <v>0</v>
      </c>
      <c r="D337" s="4">
        <f>IF(OR(INDEX($AH$2:$AH$1001,MATCH(ROWS($AG$2:AG337),$AG$2:$AG$1001,0),1)&gt;=100000,INDEX($AN$1005:$BO$1005,1,MATCH(COLUMNS($AN$1006:AP1006),$AN$1006:$BO$1006,0))&gt;=100000), " ",IF(INDEX($AN$2:$BO$1001,MATCH(ROWS($AG$2:AG337),$AG$2:$AG$1001,0),MATCH(COLUMNS($AN$1006:AP1006),$AN$1006:$BO$1006,0)), HYPERLINK("#",""), HYPERLINK(CONCATENATE("#Metadata!", ADDRESS(INDEX($AI$2:$AI$1001,MATCH(ROWS($AG$2:AG337),$AG$2:$AG$1001,0),0), INDEX($AN$1004:$BO$1004,1,MATCH(COLUMNS($AN$1006:AP1006),$AN$1006:$BO$1006,0)))),"Fix")))</f>
        <v>0</v>
      </c>
      <c r="E337" s="4">
        <f>IF(OR(INDEX($AH$2:$AH$1001,MATCH(ROWS($AG$2:AG337),$AG$2:$AG$1001,0),1)&gt;=100000,INDEX($AN$1005:$BO$1005,1,MATCH(COLUMNS($AN$1006:AQ1006),$AN$1006:$BO$1006,0))&gt;=100000), " ",IF(INDEX($AN$2:$BO$1001,MATCH(ROWS($AG$2:AG337),$AG$2:$AG$1001,0),MATCH(COLUMNS($AN$1006:AQ1006),$AN$1006:$BO$1006,0)), HYPERLINK("#",""), HYPERLINK(CONCATENATE("#Metadata!", ADDRESS(INDEX($AI$2:$AI$1001,MATCH(ROWS($AG$2:AG337),$AG$2:$AG$1001,0),0), INDEX($AN$1004:$BO$1004,1,MATCH(COLUMNS($AN$1006:AQ1006),$AN$1006:$BO$1006,0)))),"Fix")))</f>
        <v>0</v>
      </c>
      <c r="F337" s="4">
        <f>IF(OR(INDEX($AH$2:$AH$1001,MATCH(ROWS($AG$2:AG337),$AG$2:$AG$1001,0),1)&gt;=100000,INDEX($AN$1005:$BO$1005,1,MATCH(COLUMNS($AN$1006:AR1006),$AN$1006:$BO$1006,0))&gt;=100000), " ",IF(INDEX($AN$2:$BO$1001,MATCH(ROWS($AG$2:AG337),$AG$2:$AG$1001,0),MATCH(COLUMNS($AN$1006:AR1006),$AN$1006:$BO$1006,0)), HYPERLINK("#",""), HYPERLINK(CONCATENATE("#Metadata!", ADDRESS(INDEX($AI$2:$AI$1001,MATCH(ROWS($AG$2:AG337),$AG$2:$AG$1001,0),0), INDEX($AN$1004:$BO$1004,1,MATCH(COLUMNS($AN$1006:AR1006),$AN$1006:$BO$1006,0)))),"Fix")))</f>
        <v>0</v>
      </c>
      <c r="G337" s="4">
        <f>IF(OR(INDEX($AH$2:$AH$1001,MATCH(ROWS($AG$2:AG337),$AG$2:$AG$1001,0),1)&gt;=100000,INDEX($AN$1005:$BO$1005,1,MATCH(COLUMNS($AN$1006:AS1006),$AN$1006:$BO$1006,0))&gt;=100000), " ",IF(INDEX($AN$2:$BO$1001,MATCH(ROWS($AG$2:AG337),$AG$2:$AG$1001,0),MATCH(COLUMNS($AN$1006:AS1006),$AN$1006:$BO$1006,0)), HYPERLINK("#",""), HYPERLINK(CONCATENATE("#Metadata!", ADDRESS(INDEX($AI$2:$AI$1001,MATCH(ROWS($AG$2:AG337),$AG$2:$AG$1001,0),0), INDEX($AN$1004:$BO$1004,1,MATCH(COLUMNS($AN$1006:AS1006),$AN$1006:$BO$1006,0)))),"Fix")))</f>
        <v>0</v>
      </c>
      <c r="H337" s="4">
        <f>IF(OR(INDEX($AH$2:$AH$1001,MATCH(ROWS($AG$2:AG337),$AG$2:$AG$1001,0),1)&gt;=100000,INDEX($AN$1005:$BO$1005,1,MATCH(COLUMNS($AN$1006:AT1006),$AN$1006:$BO$1006,0))&gt;=100000), " ",IF(INDEX($AN$2:$BO$1001,MATCH(ROWS($AG$2:AG337),$AG$2:$AG$1001,0),MATCH(COLUMNS($AN$1006:AT1006),$AN$1006:$BO$1006,0)), HYPERLINK("#",""), HYPERLINK(CONCATENATE("#Metadata!", ADDRESS(INDEX($AI$2:$AI$1001,MATCH(ROWS($AG$2:AG337),$AG$2:$AG$1001,0),0), INDEX($AN$1004:$BO$1004,1,MATCH(COLUMNS($AN$1006:AT1006),$AN$1006:$BO$1006,0)))),"Fix")))</f>
        <v>0</v>
      </c>
      <c r="I337" s="4">
        <f>IF(OR(INDEX($AH$2:$AH$1001,MATCH(ROWS($AG$2:AG337),$AG$2:$AG$1001,0),1)&gt;=100000,INDEX($AN$1005:$BO$1005,1,MATCH(COLUMNS($AN$1006:AU1006),$AN$1006:$BO$1006,0))&gt;=100000), " ",IF(INDEX($AN$2:$BO$1001,MATCH(ROWS($AG$2:AG337),$AG$2:$AG$1001,0),MATCH(COLUMNS($AN$1006:AU1006),$AN$1006:$BO$1006,0)), HYPERLINK("#",""), HYPERLINK(CONCATENATE("#Metadata!", ADDRESS(INDEX($AI$2:$AI$1001,MATCH(ROWS($AG$2:AG337),$AG$2:$AG$1001,0),0), INDEX($AN$1004:$BO$1004,1,MATCH(COLUMNS($AN$1006:AU1006),$AN$1006:$BO$1006,0)))),"Fix")))</f>
        <v>0</v>
      </c>
      <c r="J337" s="4">
        <f>IF(OR(INDEX($AH$2:$AH$1001,MATCH(ROWS($AG$2:AG337),$AG$2:$AG$1001,0),1)&gt;=100000,INDEX($AN$1005:$BO$1005,1,MATCH(COLUMNS($AN$1006:AV1006),$AN$1006:$BO$1006,0))&gt;=100000), " ",IF(INDEX($AN$2:$BO$1001,MATCH(ROWS($AG$2:AG337),$AG$2:$AG$1001,0),MATCH(COLUMNS($AN$1006:AV1006),$AN$1006:$BO$1006,0)), HYPERLINK("#",""), HYPERLINK(CONCATENATE("#Metadata!", ADDRESS(INDEX($AI$2:$AI$1001,MATCH(ROWS($AG$2:AG337),$AG$2:$AG$1001,0),0), INDEX($AN$1004:$BO$1004,1,MATCH(COLUMNS($AN$1006:AV1006),$AN$1006:$BO$1006,0)))),"Fix")))</f>
        <v>0</v>
      </c>
      <c r="K337" s="4">
        <f>IF(OR(INDEX($AH$2:$AH$1001,MATCH(ROWS($AG$2:AG337),$AG$2:$AG$1001,0),1)&gt;=100000,INDEX($AN$1005:$BO$1005,1,MATCH(COLUMNS($AN$1006:AW1006),$AN$1006:$BO$1006,0))&gt;=100000), " ",IF(INDEX($AN$2:$BO$1001,MATCH(ROWS($AG$2:AG337),$AG$2:$AG$1001,0),MATCH(COLUMNS($AN$1006:AW1006),$AN$1006:$BO$1006,0)), HYPERLINK("#",""), HYPERLINK(CONCATENATE("#Metadata!", ADDRESS(INDEX($AI$2:$AI$1001,MATCH(ROWS($AG$2:AG337),$AG$2:$AG$1001,0),0), INDEX($AN$1004:$BO$1004,1,MATCH(COLUMNS($AN$1006:AW1006),$AN$1006:$BO$1006,0)))),"Fix")))</f>
        <v>0</v>
      </c>
      <c r="L337" s="4">
        <f>IF(OR(INDEX($AH$2:$AH$1001,MATCH(ROWS($AG$2:AG337),$AG$2:$AG$1001,0),1)&gt;=100000,INDEX($AN$1005:$BO$1005,1,MATCH(COLUMNS($AN$1006:AX1006),$AN$1006:$BO$1006,0))&gt;=100000), " ",IF(INDEX($AN$2:$BO$1001,MATCH(ROWS($AG$2:AG337),$AG$2:$AG$1001,0),MATCH(COLUMNS($AN$1006:AX1006),$AN$1006:$BO$1006,0)), HYPERLINK("#",""), HYPERLINK(CONCATENATE("#Metadata!", ADDRESS(INDEX($AI$2:$AI$1001,MATCH(ROWS($AG$2:AG337),$AG$2:$AG$1001,0),0), INDEX($AN$1004:$BO$1004,1,MATCH(COLUMNS($AN$1006:AX1006),$AN$1006:$BO$1006,0)))),"Fix")))</f>
        <v>0</v>
      </c>
      <c r="M337" s="4">
        <f>IF(OR(INDEX($AH$2:$AH$1001,MATCH(ROWS($AG$2:AG337),$AG$2:$AG$1001,0),1)&gt;=100000,INDEX($AN$1005:$BO$1005,1,MATCH(COLUMNS($AN$1006:AY1006),$AN$1006:$BO$1006,0))&gt;=100000), " ",IF(INDEX($AN$2:$BO$1001,MATCH(ROWS($AG$2:AG337),$AG$2:$AG$1001,0),MATCH(COLUMNS($AN$1006:AY1006),$AN$1006:$BO$1006,0)), HYPERLINK("#",""), HYPERLINK(CONCATENATE("#Metadata!", ADDRESS(INDEX($AI$2:$AI$1001,MATCH(ROWS($AG$2:AG337),$AG$2:$AG$1001,0),0), INDEX($AN$1004:$BO$1004,1,MATCH(COLUMNS($AN$1006:AY1006),$AN$1006:$BO$1006,0)))),"Fix")))</f>
        <v>0</v>
      </c>
      <c r="N337" s="4">
        <f>IF(OR(INDEX($AH$2:$AH$1001,MATCH(ROWS($AG$2:AG337),$AG$2:$AG$1001,0),1)&gt;=100000,INDEX($AN$1005:$BO$1005,1,MATCH(COLUMNS($AN$1006:AZ1006),$AN$1006:$BO$1006,0))&gt;=100000), " ",IF(INDEX($AN$2:$BO$1001,MATCH(ROWS($AG$2:AG337),$AG$2:$AG$1001,0),MATCH(COLUMNS($AN$1006:AZ1006),$AN$1006:$BO$1006,0)), HYPERLINK("#",""), HYPERLINK(CONCATENATE("#Metadata!", ADDRESS(INDEX($AI$2:$AI$1001,MATCH(ROWS($AG$2:AG337),$AG$2:$AG$1001,0),0), INDEX($AN$1004:$BO$1004,1,MATCH(COLUMNS($AN$1006:AZ1006),$AN$1006:$BO$1006,0)))),"Fix")))</f>
        <v>0</v>
      </c>
      <c r="O337" s="4">
        <f>IF(OR(INDEX($AH$2:$AH$1001,MATCH(ROWS($AG$2:AG337),$AG$2:$AG$1001,0),1)&gt;=100000,INDEX($AN$1005:$BO$1005,1,MATCH(COLUMNS($AN$1006:BA1006),$AN$1006:$BO$1006,0))&gt;=100000), " ",IF(INDEX($AN$2:$BO$1001,MATCH(ROWS($AG$2:AG337),$AG$2:$AG$1001,0),MATCH(COLUMNS($AN$1006:BA1006),$AN$1006:$BO$1006,0)), HYPERLINK("#",""), HYPERLINK(CONCATENATE("#Metadata!", ADDRESS(INDEX($AI$2:$AI$1001,MATCH(ROWS($AG$2:AG337),$AG$2:$AG$1001,0),0), INDEX($AN$1004:$BO$1004,1,MATCH(COLUMNS($AN$1006:BA1006),$AN$1006:$BO$1006,0)))),"Fix")))</f>
        <v>0</v>
      </c>
      <c r="P337" s="4">
        <f>IF(OR(INDEX($AH$2:$AH$1001,MATCH(ROWS($AG$2:AG337),$AG$2:$AG$1001,0),1)&gt;=100000,INDEX($AN$1005:$BO$1005,1,MATCH(COLUMNS($AN$1006:BB1006),$AN$1006:$BO$1006,0))&gt;=100000), " ",IF(INDEX($AN$2:$BO$1001,MATCH(ROWS($AG$2:AG337),$AG$2:$AG$1001,0),MATCH(COLUMNS($AN$1006:BB1006),$AN$1006:$BO$1006,0)), HYPERLINK("#",""), HYPERLINK(CONCATENATE("#Metadata!", ADDRESS(INDEX($AI$2:$AI$1001,MATCH(ROWS($AG$2:AG337),$AG$2:$AG$1001,0),0), INDEX($AN$1004:$BO$1004,1,MATCH(COLUMNS($AN$1006:BB1006),$AN$1006:$BO$1006,0)))),"Fix")))</f>
        <v>0</v>
      </c>
      <c r="Q337" s="4">
        <f>IF(OR(INDEX($AH$2:$AH$1001,MATCH(ROWS($AG$2:AG337),$AG$2:$AG$1001,0),1)&gt;=100000,INDEX($AN$1005:$BO$1005,1,MATCH(COLUMNS($AN$1006:BC1006),$AN$1006:$BO$1006,0))&gt;=100000), " ",IF(INDEX($AN$2:$BO$1001,MATCH(ROWS($AG$2:AG337),$AG$2:$AG$1001,0),MATCH(COLUMNS($AN$1006:BC1006),$AN$1006:$BO$1006,0)), HYPERLINK("#",""), HYPERLINK(CONCATENATE("#Metadata!", ADDRESS(INDEX($AI$2:$AI$1001,MATCH(ROWS($AG$2:AG337),$AG$2:$AG$1001,0),0), INDEX($AN$1004:$BO$1004,1,MATCH(COLUMNS($AN$1006:BC1006),$AN$1006:$BO$1006,0)))),"Fix")))</f>
        <v>0</v>
      </c>
      <c r="R337" s="4">
        <f>IF(OR(INDEX($AH$2:$AH$1001,MATCH(ROWS($AG$2:AG337),$AG$2:$AG$1001,0),1)&gt;=100000,INDEX($AN$1005:$BO$1005,1,MATCH(COLUMNS($AN$1006:BD1006),$AN$1006:$BO$1006,0))&gt;=100000), " ",IF(INDEX($AN$2:$BO$1001,MATCH(ROWS($AG$2:AG337),$AG$2:$AG$1001,0),MATCH(COLUMNS($AN$1006:BD1006),$AN$1006:$BO$1006,0)), HYPERLINK("#",""), HYPERLINK(CONCATENATE("#Metadata!", ADDRESS(INDEX($AI$2:$AI$1001,MATCH(ROWS($AG$2:AG337),$AG$2:$AG$1001,0),0), INDEX($AN$1004:$BO$1004,1,MATCH(COLUMNS($AN$1006:BD1006),$AN$1006:$BO$1006,0)))),"Fix")))</f>
        <v>0</v>
      </c>
      <c r="S337" s="4">
        <f>IF(OR(INDEX($AH$2:$AH$1001,MATCH(ROWS($AG$2:AG337),$AG$2:$AG$1001,0),1)&gt;=100000,INDEX($AN$1005:$BO$1005,1,MATCH(COLUMNS($AN$1006:BE1006),$AN$1006:$BO$1006,0))&gt;=100000), " ",IF(INDEX($AN$2:$BO$1001,MATCH(ROWS($AG$2:AG337),$AG$2:$AG$1001,0),MATCH(COLUMNS($AN$1006:BE1006),$AN$1006:$BO$1006,0)), HYPERLINK("#",""), HYPERLINK(CONCATENATE("#Metadata!", ADDRESS(INDEX($AI$2:$AI$1001,MATCH(ROWS($AG$2:AG337),$AG$2:$AG$1001,0),0), INDEX($AN$1004:$BO$1004,1,MATCH(COLUMNS($AN$1006:BE1006),$AN$1006:$BO$1006,0)))),"Fix")))</f>
        <v>0</v>
      </c>
      <c r="T337" s="4">
        <f>IF(OR(INDEX($AH$2:$AH$1001,MATCH(ROWS($AG$2:AG337),$AG$2:$AG$1001,0),1)&gt;=100000,INDEX($AN$1005:$BO$1005,1,MATCH(COLUMNS($AN$1006:BF1006),$AN$1006:$BO$1006,0))&gt;=100000), " ",IF(INDEX($AN$2:$BO$1001,MATCH(ROWS($AG$2:AG337),$AG$2:$AG$1001,0),MATCH(COLUMNS($AN$1006:BF1006),$AN$1006:$BO$1006,0)), HYPERLINK("#",""), HYPERLINK(CONCATENATE("#Metadata!", ADDRESS(INDEX($AI$2:$AI$1001,MATCH(ROWS($AG$2:AG337),$AG$2:$AG$1001,0),0), INDEX($AN$1004:$BO$1004,1,MATCH(COLUMNS($AN$1006:BF1006),$AN$1006:$BO$1006,0)))),"Fix")))</f>
        <v>0</v>
      </c>
      <c r="U337" s="4">
        <f>IF(OR(INDEX($AH$2:$AH$1001,MATCH(ROWS($AG$2:AG337),$AG$2:$AG$1001,0),1)&gt;=100000,INDEX($AN$1005:$BO$1005,1,MATCH(COLUMNS($AN$1006:BG1006),$AN$1006:$BO$1006,0))&gt;=100000), " ",IF(INDEX($AN$2:$BO$1001,MATCH(ROWS($AG$2:AG337),$AG$2:$AG$1001,0),MATCH(COLUMNS($AN$1006:BG1006),$AN$1006:$BO$1006,0)), HYPERLINK("#",""), HYPERLINK(CONCATENATE("#Metadata!", ADDRESS(INDEX($AI$2:$AI$1001,MATCH(ROWS($AG$2:AG337),$AG$2:$AG$1001,0),0), INDEX($AN$1004:$BO$1004,1,MATCH(COLUMNS($AN$1006:BG1006),$AN$1006:$BO$1006,0)))),"Fix")))</f>
        <v>0</v>
      </c>
      <c r="V337" s="4">
        <f>IF(OR(INDEX($AH$2:$AH$1001,MATCH(ROWS($AG$2:AG337),$AG$2:$AG$1001,0),1)&gt;=100000,INDEX($AN$1005:$BO$1005,1,MATCH(COLUMNS($AN$1006:BH1006),$AN$1006:$BO$1006,0))&gt;=100000), " ",IF(INDEX($AN$2:$BO$1001,MATCH(ROWS($AG$2:AG337),$AG$2:$AG$1001,0),MATCH(COLUMNS($AN$1006:BH1006),$AN$1006:$BO$1006,0)), HYPERLINK("#",""), HYPERLINK(CONCATENATE("#Metadata!", ADDRESS(INDEX($AI$2:$AI$1001,MATCH(ROWS($AG$2:AG337),$AG$2:$AG$1001,0),0), INDEX($AN$1004:$BO$1004,1,MATCH(COLUMNS($AN$1006:BH1006),$AN$1006:$BO$1006,0)))),"Fix")))</f>
        <v>0</v>
      </c>
      <c r="W337" s="4">
        <f>IF(OR(INDEX($AH$2:$AH$1001,MATCH(ROWS($AG$2:AG337),$AG$2:$AG$1001,0),1)&gt;=100000,INDEX($AN$1005:$BO$1005,1,MATCH(COLUMNS($AN$1006:BI1006),$AN$1006:$BO$1006,0))&gt;=100000), " ",IF(INDEX($AN$2:$BO$1001,MATCH(ROWS($AG$2:AG337),$AG$2:$AG$1001,0),MATCH(COLUMNS($AN$1006:BI1006),$AN$1006:$BO$1006,0)), HYPERLINK("#",""), HYPERLINK(CONCATENATE("#Metadata!", ADDRESS(INDEX($AI$2:$AI$1001,MATCH(ROWS($AG$2:AG337),$AG$2:$AG$1001,0),0), INDEX($AN$1004:$BO$1004,1,MATCH(COLUMNS($AN$1006:BI1006),$AN$1006:$BO$1006,0)))),"Fix")))</f>
        <v>0</v>
      </c>
      <c r="X337" s="4">
        <f>IF(OR(INDEX($AH$2:$AH$1001,MATCH(ROWS($AG$2:AG337),$AG$2:$AG$1001,0),1)&gt;=100000,INDEX($AN$1005:$BO$1005,1,MATCH(COLUMNS($AN$1006:BJ1006),$AN$1006:$BO$1006,0))&gt;=100000), " ",IF(INDEX($AN$2:$BO$1001,MATCH(ROWS($AG$2:AG337),$AG$2:$AG$1001,0),MATCH(COLUMNS($AN$1006:BJ1006),$AN$1006:$BO$1006,0)), HYPERLINK("#",""), HYPERLINK(CONCATENATE("#Metadata!", ADDRESS(INDEX($AI$2:$AI$1001,MATCH(ROWS($AG$2:AG337),$AG$2:$AG$1001,0),0), INDEX($AN$1004:$BO$1004,1,MATCH(COLUMNS($AN$1006:BJ1006),$AN$1006:$BO$1006,0)))),"Fix")))</f>
        <v>0</v>
      </c>
      <c r="Y337" s="4">
        <f>IF(OR(INDEX($AH$2:$AH$1001,MATCH(ROWS($AG$2:AG337),$AG$2:$AG$1001,0),1)&gt;=100000,INDEX($AN$1005:$BO$1005,1,MATCH(COLUMNS($AN$1006:BK1006),$AN$1006:$BO$1006,0))&gt;=100000), " ",IF(INDEX($AN$2:$BO$1001,MATCH(ROWS($AG$2:AG337),$AG$2:$AG$1001,0),MATCH(COLUMNS($AN$1006:BK1006),$AN$1006:$BO$1006,0)), HYPERLINK("#",""), HYPERLINK(CONCATENATE("#Metadata!", ADDRESS(INDEX($AI$2:$AI$1001,MATCH(ROWS($AG$2:AG337),$AG$2:$AG$1001,0),0), INDEX($AN$1004:$BO$1004,1,MATCH(COLUMNS($AN$1006:BK1006),$AN$1006:$BO$1006,0)))),"Fix")))</f>
        <v>0</v>
      </c>
      <c r="Z337" s="4">
        <f>IF(OR(INDEX($AH$2:$AH$1001,MATCH(ROWS($AG$2:AG337),$AG$2:$AG$1001,0),1)&gt;=100000,INDEX($AN$1005:$BO$1005,1,MATCH(COLUMNS($AN$1006:BL1006),$AN$1006:$BO$1006,0))&gt;=100000), " ",IF(INDEX($AN$2:$BO$1001,MATCH(ROWS($AG$2:AG337),$AG$2:$AG$1001,0),MATCH(COLUMNS($AN$1006:BL1006),$AN$1006:$BO$1006,0)), HYPERLINK("#",""), HYPERLINK(CONCATENATE("#Metadata!", ADDRESS(INDEX($AI$2:$AI$1001,MATCH(ROWS($AG$2:AG337),$AG$2:$AG$1001,0),0), INDEX($AN$1004:$BO$1004,1,MATCH(COLUMNS($AN$1006:BL1006),$AN$1006:$BO$1006,0)))),"Fix")))</f>
        <v>0</v>
      </c>
      <c r="AA337" s="4">
        <f>IF(OR(INDEX($AH$2:$AH$1001,MATCH(ROWS($AG$2:AG337),$AG$2:$AG$1001,0),1)&gt;=100000,INDEX($AN$1005:$BO$1005,1,MATCH(COLUMNS($AN$1006:BM1006),$AN$1006:$BO$1006,0))&gt;=100000), " ",IF(INDEX($AN$2:$BO$1001,MATCH(ROWS($AG$2:AG337),$AG$2:$AG$1001,0),MATCH(COLUMNS($AN$1006:BM1006),$AN$1006:$BO$1006,0)), HYPERLINK("#",""), HYPERLINK(CONCATENATE("#Metadata!", ADDRESS(INDEX($AI$2:$AI$1001,MATCH(ROWS($AG$2:AG337),$AG$2:$AG$1001,0),0), INDEX($AN$1004:$BO$1004,1,MATCH(COLUMNS($AN$1006:BM1006),$AN$1006:$BO$1006,0)))),"Fix")))</f>
        <v>0</v>
      </c>
      <c r="AB337" s="4">
        <f>IF(OR(INDEX($AH$2:$AH$1001,MATCH(ROWS($AG$2:AG337),$AG$2:$AG$1001,0),1)&gt;=100000,INDEX($AN$1005:$BO$1005,1,MATCH(COLUMNS($AN$1006:BN1006),$AN$1006:$BO$1006,0))&gt;=100000), " ",IF(INDEX($AN$2:$BO$1001,MATCH(ROWS($AG$2:AG337),$AG$2:$AG$1001,0),MATCH(COLUMNS($AN$1006:BN1006),$AN$1006:$BO$1006,0)), HYPERLINK("#",""), HYPERLINK(CONCATENATE("#Metadata!", ADDRESS(INDEX($AI$2:$AI$1001,MATCH(ROWS($AG$2:AG337),$AG$2:$AG$1001,0),0), INDEX($AN$1004:$BO$1004,1,MATCH(COLUMNS($AN$1006:BN1006),$AN$1006:$BO$1006,0)))),"Fix")))</f>
        <v>0</v>
      </c>
      <c r="AC337" s="4">
        <f>IF(OR(INDEX($AH$2:$AH$1001,MATCH(ROWS($AG$2:AG337),$AG$2:$AG$1001,0),1)&gt;=100000,INDEX($AN$1005:$BO$1005,1,MATCH(COLUMNS($AN$1006:BO1006),$AN$1006:$BO$1006,0))&gt;=100000), " ",IF(INDEX($AN$2:$BO$1001,MATCH(ROWS($AG$2:AG337),$AG$2:$AG$1001,0),MATCH(COLUMNS($AN$1006:BO1006),$AN$1006:$BO$1006,0)), HYPERLINK("#",""), HYPERLINK(CONCATENATE("#Metadata!", ADDRESS(INDEX($AI$2:$AI$1001,MATCH(ROWS($AG$2:AG337),$AG$2:$AG$1001,0),0), INDEX($AN$1004:$BO$1004,1,MATCH(COLUMNS($AN$1006:BO1006),$AN$1006:$BO$1006,0)))),"Fix")))</f>
        <v>0</v>
      </c>
      <c r="AG337">
        <v>0</v>
      </c>
      <c r="AH337">
        <v>0</v>
      </c>
      <c r="AI337">
        <v>0</v>
      </c>
      <c r="AJ337">
        <f>IF(AK337,TRUE,AND(AN337:BO337))</f>
        <v>0</v>
      </c>
      <c r="AK337">
        <f>COUNTBLANK(Metadata!B337:AC337)=COLUMNS(Metadata!B337:AC337)</f>
        <v>0</v>
      </c>
      <c r="AL337">
        <v>0</v>
      </c>
      <c r="AN337">
        <f>AND(IF(Metadata!B337="",FALSE,TRUE),COUNTIF(Metadata!B:B, Metadata!B337) = 1,NOT(ISERROR(SUMPRODUCT(SEARCH(MID(Metadata!B337,ROW(INDIRECT("1:"&amp;LEN(Metadata!B337))), 1),"0123456789abcdefghijklmnopqrstuvwxyzABCDEFGHIJKLMNOPQRSTUVWXYZ.")))))</f>
        <v>0</v>
      </c>
      <c r="AO337">
        <f>IF(Metadata!C337="",FALSE,TRUE)</f>
        <v>0</v>
      </c>
      <c r="AP337">
        <f>IF(Metadata!D337="",FALSE,TRUE)</f>
        <v>0</v>
      </c>
      <c r="AQ337">
        <f>OR(AND(IF(Metadata!E337="",FALSE,TRUE),OR(exact(Metadata!E337,"not collected"),exact(Metadata!E337,"not provided"),exact(Metadata!E337,"restricted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R337">
        <f>IF(Metadata!F337="",FALSE,TRUE)</f>
        <v>0</v>
      </c>
      <c r="AS337">
        <f>OR(AND(IF(Metadata!G337="",FALSE,TRUE),OR(exact(Metadata!G337,"not collected"),exact(Metadata!G337,"not provided"))),AND(IF(Metadata!G337="",FALSE,TRUE),OR(exact(Metadata!G337,"TRUE"),exact(Metadata!G337,"FALSE"))))</f>
        <v>0</v>
      </c>
      <c r="AT337">
        <f>OR(AND(IF(Metadata!H337="",FALSE,TRUE),OR(exact(Metadata!H337,"not collected"),exact(Metadata!H337,"not provided"),exact(Metadata!H337,"restricted access"))),AND(IF(Metadata!H337="",FALSE,ISNUMBER(VALUE(Metadata!H337))),Metadata!H337&gt;=-413.0))</f>
        <v>0</v>
      </c>
      <c r="AU337">
        <f>AND(IF(Metadata!I337="",FALSE,TRUE),exact(Metadata!I337,"meters"))</f>
        <v>0</v>
      </c>
      <c r="AV337">
        <f>AND(IF(Metadata!J337="",FALSE,TRUE),OR(exact(Metadata!J337,"Host-associated"),exact(Metadata!J337,"Free-living")))</f>
        <v>0</v>
      </c>
      <c r="AW337">
        <f>AND(IF(Metadata!K337="",FALSE,TRUE),OR(exact(Metadata!K337,"Animal"),exact(Metadata!K337,"Fungus"),exact(Metadata!K337,"Plant"),exact(Metadata!K337,"Saline"),exact(Metadata!K337,"Non-saline")))</f>
        <v>0</v>
      </c>
      <c r="AX337">
        <f>AND(IF(Metadata!L337="",FALSE,TRUE),OR(exact(Metadata!L337,"Plant secretion"),exact(Metadata!L337,"Plant rhizosphere"),exact(Metadata!L337,"Plant surface"),exact(Metadata!L337,"Plant corpus"),exact(Metadata!L337,"Fungus surface"),exact(Metadata!L337,"Fungus corpus"),exact(Metadata!L337,"Animal surface"),exact(Metadata!L337,"Animal proximal gut"),exact(Metadata!L337,"Animal corpus"),exact(Metadata!L337,"Animal distal gut"),exact(Metadata!L337,"Animal secretion"),exact(Metadata!L337,"Sub-surface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Y337">
        <f>IF(Metadata!M337="",FALSE,TRUE)</f>
        <v>0</v>
      </c>
      <c r="AZ337">
        <f>IF(Metadata!N337="",FALSE,TRUE)</f>
        <v>0</v>
      </c>
      <c r="BA337">
        <f>IF(Metadata!O337="",FALSE,TRUE)</f>
        <v>0</v>
      </c>
      <c r="BB337">
        <f>OR(AND(IF(Metadata!P337="",FALSE,TRUE),OR(exact(Metadata!P337,"not collected"),exact(Metadata!P337,"not provided"),exact(Metadata!P337,"restricted access"))),AND(IF(Metadata!P337="",FALSE,TRUE),OR(exact(Metadata!P337,"air"),exact(Metadata!P337,"built environment"),exact(Metadata!P337,"host-associated"),exact(Metadata!P337,"human-associated"),exact(Metadata!P337,"human-skin"),exact(Metadata!P337,"human-oral"),exact(Metadata!P337,"human-gut"),exact(Metadata!P337,"human-vaginal"),exact(Metadata!P337,"microbial mat/biofilm"),exact(Metadata!P337,"misc environment"),exact(Metadata!P337,"plant-associated"),exact(Metadata!P337,"sediment"),exact(Metadata!P337,"soil"),exact(Metadata!P337,"wastewater/sludge"),exact(Metadata!P337,"water"))))</f>
        <v>0</v>
      </c>
      <c r="BC337">
        <f>IF(Metadata!Q337="",FALSE,TRUE)</f>
        <v>0</v>
      </c>
      <c r="BD337">
        <f>IF(Metadata!R337="",FALSE,TRUE)</f>
        <v>0</v>
      </c>
      <c r="BE337">
        <f>OR(AND(IF(Metadata!S337="",FALSE,TRUE),OR(exact(Metadata!S337,"not collected"),exact(Metadata!S337,"not provided"),exact(Metadata!S337,"restricted access"))),AND(IF(Metadata!S337="",FALSE,ISNUMBER(VALUE(Metadata!S337))),Metadata!S337&gt;=-90.00,Metadata!S337&lt;=90.00))</f>
        <v>0</v>
      </c>
      <c r="BF337">
        <f>AND(IF(Metadata!T337="",FALSE,TRUE),exact(Metadata!T337,"Decimal degrees"))</f>
        <v>0</v>
      </c>
      <c r="BG337">
        <f>OR(AND(IF(Metadata!U337="",FALSE,TRUE),OR(exact(Metadata!U337,"not collected"),exact(Metadata!U337,"not provided"),exact(Metadata!U337,"restricted access"))),AND(IF(Metadata!U337="",FALSE,ISNUMBER(VALUE(Metadata!U337))),Metadata!U337&gt;=-180.00,Metadata!U337&lt;=180.00))</f>
        <v>0</v>
      </c>
      <c r="BH337">
        <f>AND(IF(Metadata!V337="",FALSE,TRUE),exact(Metadata!V337,"Decimal degrees"))</f>
        <v>0</v>
      </c>
      <c r="BI337">
        <f>IF(Metadata!W337="",FALSE,TRUE)</f>
        <v>0</v>
      </c>
      <c r="BJ337">
        <f>OR(AND(IF(Metadata!X337="",FALSE,TRUE),OR(exact(Metadata!X337,"not collected"),exact(Metadata!X337,"not provided"),exact(Metadata!X337,"restricted access"))),AND(IF(Metadata!X337="",FALSE,TRUE),OR(exact(Metadata!X337,"TRUE"),exact(Metadata!X337,"FALSE"))))</f>
        <v>0</v>
      </c>
      <c r="BK337">
        <f>AND(IF(Metadata!Y337="",FALSE,TRUE),exact(Metadata!Y337,"other"))</f>
        <v>0</v>
      </c>
      <c r="BL337">
        <f>IF(Metadata!Z337="",FALSE,TRUE)</f>
        <v>0</v>
      </c>
      <c r="BM337">
        <f>OR(AND(IF(Metadata!AA337="",FALSE,TRUE),OR(exact(Metadata!AA337,"not collected"),exact(Metadata!AA337,"not provided"))),AND(IF(Metadata!AA337="",FALSE,IF(ISERROR(INT(Metadata!AA337)),FALSE,INT(Metadata!AA337)=Metadata!AA337)),Metadata!AA337&gt;0))</f>
        <v>0</v>
      </c>
      <c r="BN337">
        <f>AND(IF(Metadata!AB337="",FALSE,TRUE),exact(Metadata!AB337,"Not applicable"))</f>
        <v>0</v>
      </c>
      <c r="BO337">
        <f>IF(Metadata!AC337="",FALSE,TRUE)</f>
        <v>0</v>
      </c>
    </row>
    <row r="338" spans="1:67">
      <c r="A338" s="5">
        <f>IF(B338=" "," ",HYPERLINK(CONCATENATE("#metadata!",ADDRESS(INDEX($AI$2:$AI$1001,MATCH(ROWS($AG$2:AG338),$AG$2:$AG$1001,0),0),1)),INDEX($AL$2:$AL$1001,MATCH(ROWS($AG$2:AG338),$AG$2:$AG$1001,0),0)))</f>
        <v>0</v>
      </c>
      <c r="B338" s="4">
        <f>IF(OR(INDEX($AH$2:$AH$1001,MATCH(ROWS($AG$2:AG338),$AG$2:$AG$1001,0),1)&gt;=100000,INDEX($AN$1005:$BO$1005,1,MATCH(COLUMNS($AN$1006:AN1006),$AN$1006:$BO$1006,0))&gt;=100000), " ",IF(INDEX($AN$2:$BO$1001,MATCH(ROWS($AG$2:AG338),$AG$2:$AG$1001,0),MATCH(COLUMNS($AN$1006:AN1006),$AN$1006:$BO$1006,0)), HYPERLINK("#",""), HYPERLINK(CONCATENATE("#Metadata!", ADDRESS(INDEX($AI$2:$AI$1001,MATCH(ROWS($AG$2:AG338),$AG$2:$AG$1001,0),0), INDEX($AN$1004:$BO$1004,1,MATCH(COLUMNS($AN$1006:AN1006),$AN$1006:$BO$1006,0)))),"Fix")))</f>
        <v>0</v>
      </c>
      <c r="C338" s="4">
        <f>IF(OR(INDEX($AH$2:$AH$1001,MATCH(ROWS($AG$2:AG338),$AG$2:$AG$1001,0),1)&gt;=100000,INDEX($AN$1005:$BO$1005,1,MATCH(COLUMNS($AN$1006:AO1006),$AN$1006:$BO$1006,0))&gt;=100000), " ",IF(INDEX($AN$2:$BO$1001,MATCH(ROWS($AG$2:AG338),$AG$2:$AG$1001,0),MATCH(COLUMNS($AN$1006:AO1006),$AN$1006:$BO$1006,0)), HYPERLINK("#",""), HYPERLINK(CONCATENATE("#Metadata!", ADDRESS(INDEX($AI$2:$AI$1001,MATCH(ROWS($AG$2:AG338),$AG$2:$AG$1001,0),0), INDEX($AN$1004:$BO$1004,1,MATCH(COLUMNS($AN$1006:AO1006),$AN$1006:$BO$1006,0)))),"Fix")))</f>
        <v>0</v>
      </c>
      <c r="D338" s="4">
        <f>IF(OR(INDEX($AH$2:$AH$1001,MATCH(ROWS($AG$2:AG338),$AG$2:$AG$1001,0),1)&gt;=100000,INDEX($AN$1005:$BO$1005,1,MATCH(COLUMNS($AN$1006:AP1006),$AN$1006:$BO$1006,0))&gt;=100000), " ",IF(INDEX($AN$2:$BO$1001,MATCH(ROWS($AG$2:AG338),$AG$2:$AG$1001,0),MATCH(COLUMNS($AN$1006:AP1006),$AN$1006:$BO$1006,0)), HYPERLINK("#",""), HYPERLINK(CONCATENATE("#Metadata!", ADDRESS(INDEX($AI$2:$AI$1001,MATCH(ROWS($AG$2:AG338),$AG$2:$AG$1001,0),0), INDEX($AN$1004:$BO$1004,1,MATCH(COLUMNS($AN$1006:AP1006),$AN$1006:$BO$1006,0)))),"Fix")))</f>
        <v>0</v>
      </c>
      <c r="E338" s="4">
        <f>IF(OR(INDEX($AH$2:$AH$1001,MATCH(ROWS($AG$2:AG338),$AG$2:$AG$1001,0),1)&gt;=100000,INDEX($AN$1005:$BO$1005,1,MATCH(COLUMNS($AN$1006:AQ1006),$AN$1006:$BO$1006,0))&gt;=100000), " ",IF(INDEX($AN$2:$BO$1001,MATCH(ROWS($AG$2:AG338),$AG$2:$AG$1001,0),MATCH(COLUMNS($AN$1006:AQ1006),$AN$1006:$BO$1006,0)), HYPERLINK("#",""), HYPERLINK(CONCATENATE("#Metadata!", ADDRESS(INDEX($AI$2:$AI$1001,MATCH(ROWS($AG$2:AG338),$AG$2:$AG$1001,0),0), INDEX($AN$1004:$BO$1004,1,MATCH(COLUMNS($AN$1006:AQ1006),$AN$1006:$BO$1006,0)))),"Fix")))</f>
        <v>0</v>
      </c>
      <c r="F338" s="4">
        <f>IF(OR(INDEX($AH$2:$AH$1001,MATCH(ROWS($AG$2:AG338),$AG$2:$AG$1001,0),1)&gt;=100000,INDEX($AN$1005:$BO$1005,1,MATCH(COLUMNS($AN$1006:AR1006),$AN$1006:$BO$1006,0))&gt;=100000), " ",IF(INDEX($AN$2:$BO$1001,MATCH(ROWS($AG$2:AG338),$AG$2:$AG$1001,0),MATCH(COLUMNS($AN$1006:AR1006),$AN$1006:$BO$1006,0)), HYPERLINK("#",""), HYPERLINK(CONCATENATE("#Metadata!", ADDRESS(INDEX($AI$2:$AI$1001,MATCH(ROWS($AG$2:AG338),$AG$2:$AG$1001,0),0), INDEX($AN$1004:$BO$1004,1,MATCH(COLUMNS($AN$1006:AR1006),$AN$1006:$BO$1006,0)))),"Fix")))</f>
        <v>0</v>
      </c>
      <c r="G338" s="4">
        <f>IF(OR(INDEX($AH$2:$AH$1001,MATCH(ROWS($AG$2:AG338),$AG$2:$AG$1001,0),1)&gt;=100000,INDEX($AN$1005:$BO$1005,1,MATCH(COLUMNS($AN$1006:AS1006),$AN$1006:$BO$1006,0))&gt;=100000), " ",IF(INDEX($AN$2:$BO$1001,MATCH(ROWS($AG$2:AG338),$AG$2:$AG$1001,0),MATCH(COLUMNS($AN$1006:AS1006),$AN$1006:$BO$1006,0)), HYPERLINK("#",""), HYPERLINK(CONCATENATE("#Metadata!", ADDRESS(INDEX($AI$2:$AI$1001,MATCH(ROWS($AG$2:AG338),$AG$2:$AG$1001,0),0), INDEX($AN$1004:$BO$1004,1,MATCH(COLUMNS($AN$1006:AS1006),$AN$1006:$BO$1006,0)))),"Fix")))</f>
        <v>0</v>
      </c>
      <c r="H338" s="4">
        <f>IF(OR(INDEX($AH$2:$AH$1001,MATCH(ROWS($AG$2:AG338),$AG$2:$AG$1001,0),1)&gt;=100000,INDEX($AN$1005:$BO$1005,1,MATCH(COLUMNS($AN$1006:AT1006),$AN$1006:$BO$1006,0))&gt;=100000), " ",IF(INDEX($AN$2:$BO$1001,MATCH(ROWS($AG$2:AG338),$AG$2:$AG$1001,0),MATCH(COLUMNS($AN$1006:AT1006),$AN$1006:$BO$1006,0)), HYPERLINK("#",""), HYPERLINK(CONCATENATE("#Metadata!", ADDRESS(INDEX($AI$2:$AI$1001,MATCH(ROWS($AG$2:AG338),$AG$2:$AG$1001,0),0), INDEX($AN$1004:$BO$1004,1,MATCH(COLUMNS($AN$1006:AT1006),$AN$1006:$BO$1006,0)))),"Fix")))</f>
        <v>0</v>
      </c>
      <c r="I338" s="4">
        <f>IF(OR(INDEX($AH$2:$AH$1001,MATCH(ROWS($AG$2:AG338),$AG$2:$AG$1001,0),1)&gt;=100000,INDEX($AN$1005:$BO$1005,1,MATCH(COLUMNS($AN$1006:AU1006),$AN$1006:$BO$1006,0))&gt;=100000), " ",IF(INDEX($AN$2:$BO$1001,MATCH(ROWS($AG$2:AG338),$AG$2:$AG$1001,0),MATCH(COLUMNS($AN$1006:AU1006),$AN$1006:$BO$1006,0)), HYPERLINK("#",""), HYPERLINK(CONCATENATE("#Metadata!", ADDRESS(INDEX($AI$2:$AI$1001,MATCH(ROWS($AG$2:AG338),$AG$2:$AG$1001,0),0), INDEX($AN$1004:$BO$1004,1,MATCH(COLUMNS($AN$1006:AU1006),$AN$1006:$BO$1006,0)))),"Fix")))</f>
        <v>0</v>
      </c>
      <c r="J338" s="4">
        <f>IF(OR(INDEX($AH$2:$AH$1001,MATCH(ROWS($AG$2:AG338),$AG$2:$AG$1001,0),1)&gt;=100000,INDEX($AN$1005:$BO$1005,1,MATCH(COLUMNS($AN$1006:AV1006),$AN$1006:$BO$1006,0))&gt;=100000), " ",IF(INDEX($AN$2:$BO$1001,MATCH(ROWS($AG$2:AG338),$AG$2:$AG$1001,0),MATCH(COLUMNS($AN$1006:AV1006),$AN$1006:$BO$1006,0)), HYPERLINK("#",""), HYPERLINK(CONCATENATE("#Metadata!", ADDRESS(INDEX($AI$2:$AI$1001,MATCH(ROWS($AG$2:AG338),$AG$2:$AG$1001,0),0), INDEX($AN$1004:$BO$1004,1,MATCH(COLUMNS($AN$1006:AV1006),$AN$1006:$BO$1006,0)))),"Fix")))</f>
        <v>0</v>
      </c>
      <c r="K338" s="4">
        <f>IF(OR(INDEX($AH$2:$AH$1001,MATCH(ROWS($AG$2:AG338),$AG$2:$AG$1001,0),1)&gt;=100000,INDEX($AN$1005:$BO$1005,1,MATCH(COLUMNS($AN$1006:AW1006),$AN$1006:$BO$1006,0))&gt;=100000), " ",IF(INDEX($AN$2:$BO$1001,MATCH(ROWS($AG$2:AG338),$AG$2:$AG$1001,0),MATCH(COLUMNS($AN$1006:AW1006),$AN$1006:$BO$1006,0)), HYPERLINK("#",""), HYPERLINK(CONCATENATE("#Metadata!", ADDRESS(INDEX($AI$2:$AI$1001,MATCH(ROWS($AG$2:AG338),$AG$2:$AG$1001,0),0), INDEX($AN$1004:$BO$1004,1,MATCH(COLUMNS($AN$1006:AW1006),$AN$1006:$BO$1006,0)))),"Fix")))</f>
        <v>0</v>
      </c>
      <c r="L338" s="4">
        <f>IF(OR(INDEX($AH$2:$AH$1001,MATCH(ROWS($AG$2:AG338),$AG$2:$AG$1001,0),1)&gt;=100000,INDEX($AN$1005:$BO$1005,1,MATCH(COLUMNS($AN$1006:AX1006),$AN$1006:$BO$1006,0))&gt;=100000), " ",IF(INDEX($AN$2:$BO$1001,MATCH(ROWS($AG$2:AG338),$AG$2:$AG$1001,0),MATCH(COLUMNS($AN$1006:AX1006),$AN$1006:$BO$1006,0)), HYPERLINK("#",""), HYPERLINK(CONCATENATE("#Metadata!", ADDRESS(INDEX($AI$2:$AI$1001,MATCH(ROWS($AG$2:AG338),$AG$2:$AG$1001,0),0), INDEX($AN$1004:$BO$1004,1,MATCH(COLUMNS($AN$1006:AX1006),$AN$1006:$BO$1006,0)))),"Fix")))</f>
        <v>0</v>
      </c>
      <c r="M338" s="4">
        <f>IF(OR(INDEX($AH$2:$AH$1001,MATCH(ROWS($AG$2:AG338),$AG$2:$AG$1001,0),1)&gt;=100000,INDEX($AN$1005:$BO$1005,1,MATCH(COLUMNS($AN$1006:AY1006),$AN$1006:$BO$1006,0))&gt;=100000), " ",IF(INDEX($AN$2:$BO$1001,MATCH(ROWS($AG$2:AG338),$AG$2:$AG$1001,0),MATCH(COLUMNS($AN$1006:AY1006),$AN$1006:$BO$1006,0)), HYPERLINK("#",""), HYPERLINK(CONCATENATE("#Metadata!", ADDRESS(INDEX($AI$2:$AI$1001,MATCH(ROWS($AG$2:AG338),$AG$2:$AG$1001,0),0), INDEX($AN$1004:$BO$1004,1,MATCH(COLUMNS($AN$1006:AY1006),$AN$1006:$BO$1006,0)))),"Fix")))</f>
        <v>0</v>
      </c>
      <c r="N338" s="4">
        <f>IF(OR(INDEX($AH$2:$AH$1001,MATCH(ROWS($AG$2:AG338),$AG$2:$AG$1001,0),1)&gt;=100000,INDEX($AN$1005:$BO$1005,1,MATCH(COLUMNS($AN$1006:AZ1006),$AN$1006:$BO$1006,0))&gt;=100000), " ",IF(INDEX($AN$2:$BO$1001,MATCH(ROWS($AG$2:AG338),$AG$2:$AG$1001,0),MATCH(COLUMNS($AN$1006:AZ1006),$AN$1006:$BO$1006,0)), HYPERLINK("#",""), HYPERLINK(CONCATENATE("#Metadata!", ADDRESS(INDEX($AI$2:$AI$1001,MATCH(ROWS($AG$2:AG338),$AG$2:$AG$1001,0),0), INDEX($AN$1004:$BO$1004,1,MATCH(COLUMNS($AN$1006:AZ1006),$AN$1006:$BO$1006,0)))),"Fix")))</f>
        <v>0</v>
      </c>
      <c r="O338" s="4">
        <f>IF(OR(INDEX($AH$2:$AH$1001,MATCH(ROWS($AG$2:AG338),$AG$2:$AG$1001,0),1)&gt;=100000,INDEX($AN$1005:$BO$1005,1,MATCH(COLUMNS($AN$1006:BA1006),$AN$1006:$BO$1006,0))&gt;=100000), " ",IF(INDEX($AN$2:$BO$1001,MATCH(ROWS($AG$2:AG338),$AG$2:$AG$1001,0),MATCH(COLUMNS($AN$1006:BA1006),$AN$1006:$BO$1006,0)), HYPERLINK("#",""), HYPERLINK(CONCATENATE("#Metadata!", ADDRESS(INDEX($AI$2:$AI$1001,MATCH(ROWS($AG$2:AG338),$AG$2:$AG$1001,0),0), INDEX($AN$1004:$BO$1004,1,MATCH(COLUMNS($AN$1006:BA1006),$AN$1006:$BO$1006,0)))),"Fix")))</f>
        <v>0</v>
      </c>
      <c r="P338" s="4">
        <f>IF(OR(INDEX($AH$2:$AH$1001,MATCH(ROWS($AG$2:AG338),$AG$2:$AG$1001,0),1)&gt;=100000,INDEX($AN$1005:$BO$1005,1,MATCH(COLUMNS($AN$1006:BB1006),$AN$1006:$BO$1006,0))&gt;=100000), " ",IF(INDEX($AN$2:$BO$1001,MATCH(ROWS($AG$2:AG338),$AG$2:$AG$1001,0),MATCH(COLUMNS($AN$1006:BB1006),$AN$1006:$BO$1006,0)), HYPERLINK("#",""), HYPERLINK(CONCATENATE("#Metadata!", ADDRESS(INDEX($AI$2:$AI$1001,MATCH(ROWS($AG$2:AG338),$AG$2:$AG$1001,0),0), INDEX($AN$1004:$BO$1004,1,MATCH(COLUMNS($AN$1006:BB1006),$AN$1006:$BO$1006,0)))),"Fix")))</f>
        <v>0</v>
      </c>
      <c r="Q338" s="4">
        <f>IF(OR(INDEX($AH$2:$AH$1001,MATCH(ROWS($AG$2:AG338),$AG$2:$AG$1001,0),1)&gt;=100000,INDEX($AN$1005:$BO$1005,1,MATCH(COLUMNS($AN$1006:BC1006),$AN$1006:$BO$1006,0))&gt;=100000), " ",IF(INDEX($AN$2:$BO$1001,MATCH(ROWS($AG$2:AG338),$AG$2:$AG$1001,0),MATCH(COLUMNS($AN$1006:BC1006),$AN$1006:$BO$1006,0)), HYPERLINK("#",""), HYPERLINK(CONCATENATE("#Metadata!", ADDRESS(INDEX($AI$2:$AI$1001,MATCH(ROWS($AG$2:AG338),$AG$2:$AG$1001,0),0), INDEX($AN$1004:$BO$1004,1,MATCH(COLUMNS($AN$1006:BC1006),$AN$1006:$BO$1006,0)))),"Fix")))</f>
        <v>0</v>
      </c>
      <c r="R338" s="4">
        <f>IF(OR(INDEX($AH$2:$AH$1001,MATCH(ROWS($AG$2:AG338),$AG$2:$AG$1001,0),1)&gt;=100000,INDEX($AN$1005:$BO$1005,1,MATCH(COLUMNS($AN$1006:BD1006),$AN$1006:$BO$1006,0))&gt;=100000), " ",IF(INDEX($AN$2:$BO$1001,MATCH(ROWS($AG$2:AG338),$AG$2:$AG$1001,0),MATCH(COLUMNS($AN$1006:BD1006),$AN$1006:$BO$1006,0)), HYPERLINK("#",""), HYPERLINK(CONCATENATE("#Metadata!", ADDRESS(INDEX($AI$2:$AI$1001,MATCH(ROWS($AG$2:AG338),$AG$2:$AG$1001,0),0), INDEX($AN$1004:$BO$1004,1,MATCH(COLUMNS($AN$1006:BD1006),$AN$1006:$BO$1006,0)))),"Fix")))</f>
        <v>0</v>
      </c>
      <c r="S338" s="4">
        <f>IF(OR(INDEX($AH$2:$AH$1001,MATCH(ROWS($AG$2:AG338),$AG$2:$AG$1001,0),1)&gt;=100000,INDEX($AN$1005:$BO$1005,1,MATCH(COLUMNS($AN$1006:BE1006),$AN$1006:$BO$1006,0))&gt;=100000), " ",IF(INDEX($AN$2:$BO$1001,MATCH(ROWS($AG$2:AG338),$AG$2:$AG$1001,0),MATCH(COLUMNS($AN$1006:BE1006),$AN$1006:$BO$1006,0)), HYPERLINK("#",""), HYPERLINK(CONCATENATE("#Metadata!", ADDRESS(INDEX($AI$2:$AI$1001,MATCH(ROWS($AG$2:AG338),$AG$2:$AG$1001,0),0), INDEX($AN$1004:$BO$1004,1,MATCH(COLUMNS($AN$1006:BE1006),$AN$1006:$BO$1006,0)))),"Fix")))</f>
        <v>0</v>
      </c>
      <c r="T338" s="4">
        <f>IF(OR(INDEX($AH$2:$AH$1001,MATCH(ROWS($AG$2:AG338),$AG$2:$AG$1001,0),1)&gt;=100000,INDEX($AN$1005:$BO$1005,1,MATCH(COLUMNS($AN$1006:BF1006),$AN$1006:$BO$1006,0))&gt;=100000), " ",IF(INDEX($AN$2:$BO$1001,MATCH(ROWS($AG$2:AG338),$AG$2:$AG$1001,0),MATCH(COLUMNS($AN$1006:BF1006),$AN$1006:$BO$1006,0)), HYPERLINK("#",""), HYPERLINK(CONCATENATE("#Metadata!", ADDRESS(INDEX($AI$2:$AI$1001,MATCH(ROWS($AG$2:AG338),$AG$2:$AG$1001,0),0), INDEX($AN$1004:$BO$1004,1,MATCH(COLUMNS($AN$1006:BF1006),$AN$1006:$BO$1006,0)))),"Fix")))</f>
        <v>0</v>
      </c>
      <c r="U338" s="4">
        <f>IF(OR(INDEX($AH$2:$AH$1001,MATCH(ROWS($AG$2:AG338),$AG$2:$AG$1001,0),1)&gt;=100000,INDEX($AN$1005:$BO$1005,1,MATCH(COLUMNS($AN$1006:BG1006),$AN$1006:$BO$1006,0))&gt;=100000), " ",IF(INDEX($AN$2:$BO$1001,MATCH(ROWS($AG$2:AG338),$AG$2:$AG$1001,0),MATCH(COLUMNS($AN$1006:BG1006),$AN$1006:$BO$1006,0)), HYPERLINK("#",""), HYPERLINK(CONCATENATE("#Metadata!", ADDRESS(INDEX($AI$2:$AI$1001,MATCH(ROWS($AG$2:AG338),$AG$2:$AG$1001,0),0), INDEX($AN$1004:$BO$1004,1,MATCH(COLUMNS($AN$1006:BG1006),$AN$1006:$BO$1006,0)))),"Fix")))</f>
        <v>0</v>
      </c>
      <c r="V338" s="4">
        <f>IF(OR(INDEX($AH$2:$AH$1001,MATCH(ROWS($AG$2:AG338),$AG$2:$AG$1001,0),1)&gt;=100000,INDEX($AN$1005:$BO$1005,1,MATCH(COLUMNS($AN$1006:BH1006),$AN$1006:$BO$1006,0))&gt;=100000), " ",IF(INDEX($AN$2:$BO$1001,MATCH(ROWS($AG$2:AG338),$AG$2:$AG$1001,0),MATCH(COLUMNS($AN$1006:BH1006),$AN$1006:$BO$1006,0)), HYPERLINK("#",""), HYPERLINK(CONCATENATE("#Metadata!", ADDRESS(INDEX($AI$2:$AI$1001,MATCH(ROWS($AG$2:AG338),$AG$2:$AG$1001,0),0), INDEX($AN$1004:$BO$1004,1,MATCH(COLUMNS($AN$1006:BH1006),$AN$1006:$BO$1006,0)))),"Fix")))</f>
        <v>0</v>
      </c>
      <c r="W338" s="4">
        <f>IF(OR(INDEX($AH$2:$AH$1001,MATCH(ROWS($AG$2:AG338),$AG$2:$AG$1001,0),1)&gt;=100000,INDEX($AN$1005:$BO$1005,1,MATCH(COLUMNS($AN$1006:BI1006),$AN$1006:$BO$1006,0))&gt;=100000), " ",IF(INDEX($AN$2:$BO$1001,MATCH(ROWS($AG$2:AG338),$AG$2:$AG$1001,0),MATCH(COLUMNS($AN$1006:BI1006),$AN$1006:$BO$1006,0)), HYPERLINK("#",""), HYPERLINK(CONCATENATE("#Metadata!", ADDRESS(INDEX($AI$2:$AI$1001,MATCH(ROWS($AG$2:AG338),$AG$2:$AG$1001,0),0), INDEX($AN$1004:$BO$1004,1,MATCH(COLUMNS($AN$1006:BI1006),$AN$1006:$BO$1006,0)))),"Fix")))</f>
        <v>0</v>
      </c>
      <c r="X338" s="4">
        <f>IF(OR(INDEX($AH$2:$AH$1001,MATCH(ROWS($AG$2:AG338),$AG$2:$AG$1001,0),1)&gt;=100000,INDEX($AN$1005:$BO$1005,1,MATCH(COLUMNS($AN$1006:BJ1006),$AN$1006:$BO$1006,0))&gt;=100000), " ",IF(INDEX($AN$2:$BO$1001,MATCH(ROWS($AG$2:AG338),$AG$2:$AG$1001,0),MATCH(COLUMNS($AN$1006:BJ1006),$AN$1006:$BO$1006,0)), HYPERLINK("#",""), HYPERLINK(CONCATENATE("#Metadata!", ADDRESS(INDEX($AI$2:$AI$1001,MATCH(ROWS($AG$2:AG338),$AG$2:$AG$1001,0),0), INDEX($AN$1004:$BO$1004,1,MATCH(COLUMNS($AN$1006:BJ1006),$AN$1006:$BO$1006,0)))),"Fix")))</f>
        <v>0</v>
      </c>
      <c r="Y338" s="4">
        <f>IF(OR(INDEX($AH$2:$AH$1001,MATCH(ROWS($AG$2:AG338),$AG$2:$AG$1001,0),1)&gt;=100000,INDEX($AN$1005:$BO$1005,1,MATCH(COLUMNS($AN$1006:BK1006),$AN$1006:$BO$1006,0))&gt;=100000), " ",IF(INDEX($AN$2:$BO$1001,MATCH(ROWS($AG$2:AG338),$AG$2:$AG$1001,0),MATCH(COLUMNS($AN$1006:BK1006),$AN$1006:$BO$1006,0)), HYPERLINK("#",""), HYPERLINK(CONCATENATE("#Metadata!", ADDRESS(INDEX($AI$2:$AI$1001,MATCH(ROWS($AG$2:AG338),$AG$2:$AG$1001,0),0), INDEX($AN$1004:$BO$1004,1,MATCH(COLUMNS($AN$1006:BK1006),$AN$1006:$BO$1006,0)))),"Fix")))</f>
        <v>0</v>
      </c>
      <c r="Z338" s="4">
        <f>IF(OR(INDEX($AH$2:$AH$1001,MATCH(ROWS($AG$2:AG338),$AG$2:$AG$1001,0),1)&gt;=100000,INDEX($AN$1005:$BO$1005,1,MATCH(COLUMNS($AN$1006:BL1006),$AN$1006:$BO$1006,0))&gt;=100000), " ",IF(INDEX($AN$2:$BO$1001,MATCH(ROWS($AG$2:AG338),$AG$2:$AG$1001,0),MATCH(COLUMNS($AN$1006:BL1006),$AN$1006:$BO$1006,0)), HYPERLINK("#",""), HYPERLINK(CONCATENATE("#Metadata!", ADDRESS(INDEX($AI$2:$AI$1001,MATCH(ROWS($AG$2:AG338),$AG$2:$AG$1001,0),0), INDEX($AN$1004:$BO$1004,1,MATCH(COLUMNS($AN$1006:BL1006),$AN$1006:$BO$1006,0)))),"Fix")))</f>
        <v>0</v>
      </c>
      <c r="AA338" s="4">
        <f>IF(OR(INDEX($AH$2:$AH$1001,MATCH(ROWS($AG$2:AG338),$AG$2:$AG$1001,0),1)&gt;=100000,INDEX($AN$1005:$BO$1005,1,MATCH(COLUMNS($AN$1006:BM1006),$AN$1006:$BO$1006,0))&gt;=100000), " ",IF(INDEX($AN$2:$BO$1001,MATCH(ROWS($AG$2:AG338),$AG$2:$AG$1001,0),MATCH(COLUMNS($AN$1006:BM1006),$AN$1006:$BO$1006,0)), HYPERLINK("#",""), HYPERLINK(CONCATENATE("#Metadata!", ADDRESS(INDEX($AI$2:$AI$1001,MATCH(ROWS($AG$2:AG338),$AG$2:$AG$1001,0),0), INDEX($AN$1004:$BO$1004,1,MATCH(COLUMNS($AN$1006:BM1006),$AN$1006:$BO$1006,0)))),"Fix")))</f>
        <v>0</v>
      </c>
      <c r="AB338" s="4">
        <f>IF(OR(INDEX($AH$2:$AH$1001,MATCH(ROWS($AG$2:AG338),$AG$2:$AG$1001,0),1)&gt;=100000,INDEX($AN$1005:$BO$1005,1,MATCH(COLUMNS($AN$1006:BN1006),$AN$1006:$BO$1006,0))&gt;=100000), " ",IF(INDEX($AN$2:$BO$1001,MATCH(ROWS($AG$2:AG338),$AG$2:$AG$1001,0),MATCH(COLUMNS($AN$1006:BN1006),$AN$1006:$BO$1006,0)), HYPERLINK("#",""), HYPERLINK(CONCATENATE("#Metadata!", ADDRESS(INDEX($AI$2:$AI$1001,MATCH(ROWS($AG$2:AG338),$AG$2:$AG$1001,0),0), INDEX($AN$1004:$BO$1004,1,MATCH(COLUMNS($AN$1006:BN1006),$AN$1006:$BO$1006,0)))),"Fix")))</f>
        <v>0</v>
      </c>
      <c r="AC338" s="4">
        <f>IF(OR(INDEX($AH$2:$AH$1001,MATCH(ROWS($AG$2:AG338),$AG$2:$AG$1001,0),1)&gt;=100000,INDEX($AN$1005:$BO$1005,1,MATCH(COLUMNS($AN$1006:BO1006),$AN$1006:$BO$1006,0))&gt;=100000), " ",IF(INDEX($AN$2:$BO$1001,MATCH(ROWS($AG$2:AG338),$AG$2:$AG$1001,0),MATCH(COLUMNS($AN$1006:BO1006),$AN$1006:$BO$1006,0)), HYPERLINK("#",""), HYPERLINK(CONCATENATE("#Metadata!", ADDRESS(INDEX($AI$2:$AI$1001,MATCH(ROWS($AG$2:AG338),$AG$2:$AG$1001,0),0), INDEX($AN$1004:$BO$1004,1,MATCH(COLUMNS($AN$1006:BO1006),$AN$1006:$BO$1006,0)))),"Fix")))</f>
        <v>0</v>
      </c>
      <c r="AG338">
        <v>0</v>
      </c>
      <c r="AH338">
        <v>0</v>
      </c>
      <c r="AI338">
        <v>0</v>
      </c>
      <c r="AJ338">
        <f>IF(AK338,TRUE,AND(AN338:BO338))</f>
        <v>0</v>
      </c>
      <c r="AK338">
        <f>COUNTBLANK(Metadata!B338:AC338)=COLUMNS(Metadata!B338:AC338)</f>
        <v>0</v>
      </c>
      <c r="AL338">
        <v>0</v>
      </c>
      <c r="AN338">
        <f>AND(IF(Metadata!B338="",FALSE,TRUE),COUNTIF(Metadata!B:B, Metadata!B338) = 1,NOT(ISERROR(SUMPRODUCT(SEARCH(MID(Metadata!B338,ROW(INDIRECT("1:"&amp;LEN(Metadata!B338))), 1),"0123456789abcdefghijklmnopqrstuvwxyzABCDEFGHIJKLMNOPQRSTUVWXYZ.")))))</f>
        <v>0</v>
      </c>
      <c r="AO338">
        <f>IF(Metadata!C338="",FALSE,TRUE)</f>
        <v>0</v>
      </c>
      <c r="AP338">
        <f>IF(Metadata!D338="",FALSE,TRUE)</f>
        <v>0</v>
      </c>
      <c r="AQ338">
        <f>OR(AND(IF(Metadata!E338="",FALSE,TRUE),OR(exact(Metadata!E338,"not collected"),exact(Metadata!E338,"not provided"),exact(Metadata!E338,"restricted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R338">
        <f>IF(Metadata!F338="",FALSE,TRUE)</f>
        <v>0</v>
      </c>
      <c r="AS338">
        <f>OR(AND(IF(Metadata!G338="",FALSE,TRUE),OR(exact(Metadata!G338,"not collected"),exact(Metadata!G338,"not provided"))),AND(IF(Metadata!G338="",FALSE,TRUE),OR(exact(Metadata!G338,"TRUE"),exact(Metadata!G338,"FALSE"))))</f>
        <v>0</v>
      </c>
      <c r="AT338">
        <f>OR(AND(IF(Metadata!H338="",FALSE,TRUE),OR(exact(Metadata!H338,"not collected"),exact(Metadata!H338,"not provided"),exact(Metadata!H338,"restricted access"))),AND(IF(Metadata!H338="",FALSE,ISNUMBER(VALUE(Metadata!H338))),Metadata!H338&gt;=-413.0))</f>
        <v>0</v>
      </c>
      <c r="AU338">
        <f>AND(IF(Metadata!I338="",FALSE,TRUE),exact(Metadata!I338,"meters"))</f>
        <v>0</v>
      </c>
      <c r="AV338">
        <f>AND(IF(Metadata!J338="",FALSE,TRUE),OR(exact(Metadata!J338,"Host-associated"),exact(Metadata!J338,"Free-living")))</f>
        <v>0</v>
      </c>
      <c r="AW338">
        <f>AND(IF(Metadata!K338="",FALSE,TRUE),OR(exact(Metadata!K338,"Animal"),exact(Metadata!K338,"Fungus"),exact(Metadata!K338,"Plant"),exact(Metadata!K338,"Saline"),exact(Metadata!K338,"Non-saline")))</f>
        <v>0</v>
      </c>
      <c r="AX338">
        <f>AND(IF(Metadata!L338="",FALSE,TRUE),OR(exact(Metadata!L338,"Plant secretion"),exact(Metadata!L338,"Plant rhizosphere"),exact(Metadata!L338,"Plant surface"),exact(Metadata!L338,"Plant corpus"),exact(Metadata!L338,"Fungus surface"),exact(Metadata!L338,"Fungus corpus"),exact(Metadata!L338,"Animal surface"),exact(Metadata!L338,"Animal proximal gut"),exact(Metadata!L338,"Animal corpus"),exact(Metadata!L338,"Animal distal gut"),exact(Metadata!L338,"Animal secretion"),exact(Metadata!L338,"Sub-surface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Y338">
        <f>IF(Metadata!M338="",FALSE,TRUE)</f>
        <v>0</v>
      </c>
      <c r="AZ338">
        <f>IF(Metadata!N338="",FALSE,TRUE)</f>
        <v>0</v>
      </c>
      <c r="BA338">
        <f>IF(Metadata!O338="",FALSE,TRUE)</f>
        <v>0</v>
      </c>
      <c r="BB338">
        <f>OR(AND(IF(Metadata!P338="",FALSE,TRUE),OR(exact(Metadata!P338,"not collected"),exact(Metadata!P338,"not provided"),exact(Metadata!P338,"restricted access"))),AND(IF(Metadata!P338="",FALSE,TRUE),OR(exact(Metadata!P338,"air"),exact(Metadata!P338,"built environment"),exact(Metadata!P338,"host-associated"),exact(Metadata!P338,"human-associated"),exact(Metadata!P338,"human-skin"),exact(Metadata!P338,"human-oral"),exact(Metadata!P338,"human-gut"),exact(Metadata!P338,"human-vaginal"),exact(Metadata!P338,"microbial mat/biofilm"),exact(Metadata!P338,"misc environment"),exact(Metadata!P338,"plant-associated"),exact(Metadata!P338,"sediment"),exact(Metadata!P338,"soil"),exact(Metadata!P338,"wastewater/sludge"),exact(Metadata!P338,"water"))))</f>
        <v>0</v>
      </c>
      <c r="BC338">
        <f>IF(Metadata!Q338="",FALSE,TRUE)</f>
        <v>0</v>
      </c>
      <c r="BD338">
        <f>IF(Metadata!R338="",FALSE,TRUE)</f>
        <v>0</v>
      </c>
      <c r="BE338">
        <f>OR(AND(IF(Metadata!S338="",FALSE,TRUE),OR(exact(Metadata!S338,"not collected"),exact(Metadata!S338,"not provided"),exact(Metadata!S338,"restricted access"))),AND(IF(Metadata!S338="",FALSE,ISNUMBER(VALUE(Metadata!S338))),Metadata!S338&gt;=-90.00,Metadata!S338&lt;=90.00))</f>
        <v>0</v>
      </c>
      <c r="BF338">
        <f>AND(IF(Metadata!T338="",FALSE,TRUE),exact(Metadata!T338,"Decimal degrees"))</f>
        <v>0</v>
      </c>
      <c r="BG338">
        <f>OR(AND(IF(Metadata!U338="",FALSE,TRUE),OR(exact(Metadata!U338,"not collected"),exact(Metadata!U338,"not provided"),exact(Metadata!U338,"restricted access"))),AND(IF(Metadata!U338="",FALSE,ISNUMBER(VALUE(Metadata!U338))),Metadata!U338&gt;=-180.00,Metadata!U338&lt;=180.00))</f>
        <v>0</v>
      </c>
      <c r="BH338">
        <f>AND(IF(Metadata!V338="",FALSE,TRUE),exact(Metadata!V338,"Decimal degrees"))</f>
        <v>0</v>
      </c>
      <c r="BI338">
        <f>IF(Metadata!W338="",FALSE,TRUE)</f>
        <v>0</v>
      </c>
      <c r="BJ338">
        <f>OR(AND(IF(Metadata!X338="",FALSE,TRUE),OR(exact(Metadata!X338,"not collected"),exact(Metadata!X338,"not provided"),exact(Metadata!X338,"restricted access"))),AND(IF(Metadata!X338="",FALSE,TRUE),OR(exact(Metadata!X338,"TRUE"),exact(Metadata!X338,"FALSE"))))</f>
        <v>0</v>
      </c>
      <c r="BK338">
        <f>AND(IF(Metadata!Y338="",FALSE,TRUE),exact(Metadata!Y338,"other"))</f>
        <v>0</v>
      </c>
      <c r="BL338">
        <f>IF(Metadata!Z338="",FALSE,TRUE)</f>
        <v>0</v>
      </c>
      <c r="BM338">
        <f>OR(AND(IF(Metadata!AA338="",FALSE,TRUE),OR(exact(Metadata!AA338,"not collected"),exact(Metadata!AA338,"not provided"))),AND(IF(Metadata!AA338="",FALSE,IF(ISERROR(INT(Metadata!AA338)),FALSE,INT(Metadata!AA338)=Metadata!AA338)),Metadata!AA338&gt;0))</f>
        <v>0</v>
      </c>
      <c r="BN338">
        <f>AND(IF(Metadata!AB338="",FALSE,TRUE),exact(Metadata!AB338,"Not applicable"))</f>
        <v>0</v>
      </c>
      <c r="BO338">
        <f>IF(Metadata!AC338="",FALSE,TRUE)</f>
        <v>0</v>
      </c>
    </row>
    <row r="339" spans="1:67">
      <c r="A339" s="5">
        <f>IF(B339=" "," ",HYPERLINK(CONCATENATE("#metadata!",ADDRESS(INDEX($AI$2:$AI$1001,MATCH(ROWS($AG$2:AG339),$AG$2:$AG$1001,0),0),1)),INDEX($AL$2:$AL$1001,MATCH(ROWS($AG$2:AG339),$AG$2:$AG$1001,0),0)))</f>
        <v>0</v>
      </c>
      <c r="B339" s="4">
        <f>IF(OR(INDEX($AH$2:$AH$1001,MATCH(ROWS($AG$2:AG339),$AG$2:$AG$1001,0),1)&gt;=100000,INDEX($AN$1005:$BO$1005,1,MATCH(COLUMNS($AN$1006:AN1006),$AN$1006:$BO$1006,0))&gt;=100000), " ",IF(INDEX($AN$2:$BO$1001,MATCH(ROWS($AG$2:AG339),$AG$2:$AG$1001,0),MATCH(COLUMNS($AN$1006:AN1006),$AN$1006:$BO$1006,0)), HYPERLINK("#",""), HYPERLINK(CONCATENATE("#Metadata!", ADDRESS(INDEX($AI$2:$AI$1001,MATCH(ROWS($AG$2:AG339),$AG$2:$AG$1001,0),0), INDEX($AN$1004:$BO$1004,1,MATCH(COLUMNS($AN$1006:AN1006),$AN$1006:$BO$1006,0)))),"Fix")))</f>
        <v>0</v>
      </c>
      <c r="C339" s="4">
        <f>IF(OR(INDEX($AH$2:$AH$1001,MATCH(ROWS($AG$2:AG339),$AG$2:$AG$1001,0),1)&gt;=100000,INDEX($AN$1005:$BO$1005,1,MATCH(COLUMNS($AN$1006:AO1006),$AN$1006:$BO$1006,0))&gt;=100000), " ",IF(INDEX($AN$2:$BO$1001,MATCH(ROWS($AG$2:AG339),$AG$2:$AG$1001,0),MATCH(COLUMNS($AN$1006:AO1006),$AN$1006:$BO$1006,0)), HYPERLINK("#",""), HYPERLINK(CONCATENATE("#Metadata!", ADDRESS(INDEX($AI$2:$AI$1001,MATCH(ROWS($AG$2:AG339),$AG$2:$AG$1001,0),0), INDEX($AN$1004:$BO$1004,1,MATCH(COLUMNS($AN$1006:AO1006),$AN$1006:$BO$1006,0)))),"Fix")))</f>
        <v>0</v>
      </c>
      <c r="D339" s="4">
        <f>IF(OR(INDEX($AH$2:$AH$1001,MATCH(ROWS($AG$2:AG339),$AG$2:$AG$1001,0),1)&gt;=100000,INDEX($AN$1005:$BO$1005,1,MATCH(COLUMNS($AN$1006:AP1006),$AN$1006:$BO$1006,0))&gt;=100000), " ",IF(INDEX($AN$2:$BO$1001,MATCH(ROWS($AG$2:AG339),$AG$2:$AG$1001,0),MATCH(COLUMNS($AN$1006:AP1006),$AN$1006:$BO$1006,0)), HYPERLINK("#",""), HYPERLINK(CONCATENATE("#Metadata!", ADDRESS(INDEX($AI$2:$AI$1001,MATCH(ROWS($AG$2:AG339),$AG$2:$AG$1001,0),0), INDEX($AN$1004:$BO$1004,1,MATCH(COLUMNS($AN$1006:AP1006),$AN$1006:$BO$1006,0)))),"Fix")))</f>
        <v>0</v>
      </c>
      <c r="E339" s="4">
        <f>IF(OR(INDEX($AH$2:$AH$1001,MATCH(ROWS($AG$2:AG339),$AG$2:$AG$1001,0),1)&gt;=100000,INDEX($AN$1005:$BO$1005,1,MATCH(COLUMNS($AN$1006:AQ1006),$AN$1006:$BO$1006,0))&gt;=100000), " ",IF(INDEX($AN$2:$BO$1001,MATCH(ROWS($AG$2:AG339),$AG$2:$AG$1001,0),MATCH(COLUMNS($AN$1006:AQ1006),$AN$1006:$BO$1006,0)), HYPERLINK("#",""), HYPERLINK(CONCATENATE("#Metadata!", ADDRESS(INDEX($AI$2:$AI$1001,MATCH(ROWS($AG$2:AG339),$AG$2:$AG$1001,0),0), INDEX($AN$1004:$BO$1004,1,MATCH(COLUMNS($AN$1006:AQ1006),$AN$1006:$BO$1006,0)))),"Fix")))</f>
        <v>0</v>
      </c>
      <c r="F339" s="4">
        <f>IF(OR(INDEX($AH$2:$AH$1001,MATCH(ROWS($AG$2:AG339),$AG$2:$AG$1001,0),1)&gt;=100000,INDEX($AN$1005:$BO$1005,1,MATCH(COLUMNS($AN$1006:AR1006),$AN$1006:$BO$1006,0))&gt;=100000), " ",IF(INDEX($AN$2:$BO$1001,MATCH(ROWS($AG$2:AG339),$AG$2:$AG$1001,0),MATCH(COLUMNS($AN$1006:AR1006),$AN$1006:$BO$1006,0)), HYPERLINK("#",""), HYPERLINK(CONCATENATE("#Metadata!", ADDRESS(INDEX($AI$2:$AI$1001,MATCH(ROWS($AG$2:AG339),$AG$2:$AG$1001,0),0), INDEX($AN$1004:$BO$1004,1,MATCH(COLUMNS($AN$1006:AR1006),$AN$1006:$BO$1006,0)))),"Fix")))</f>
        <v>0</v>
      </c>
      <c r="G339" s="4">
        <f>IF(OR(INDEX($AH$2:$AH$1001,MATCH(ROWS($AG$2:AG339),$AG$2:$AG$1001,0),1)&gt;=100000,INDEX($AN$1005:$BO$1005,1,MATCH(COLUMNS($AN$1006:AS1006),$AN$1006:$BO$1006,0))&gt;=100000), " ",IF(INDEX($AN$2:$BO$1001,MATCH(ROWS($AG$2:AG339),$AG$2:$AG$1001,0),MATCH(COLUMNS($AN$1006:AS1006),$AN$1006:$BO$1006,0)), HYPERLINK("#",""), HYPERLINK(CONCATENATE("#Metadata!", ADDRESS(INDEX($AI$2:$AI$1001,MATCH(ROWS($AG$2:AG339),$AG$2:$AG$1001,0),0), INDEX($AN$1004:$BO$1004,1,MATCH(COLUMNS($AN$1006:AS1006),$AN$1006:$BO$1006,0)))),"Fix")))</f>
        <v>0</v>
      </c>
      <c r="H339" s="4">
        <f>IF(OR(INDEX($AH$2:$AH$1001,MATCH(ROWS($AG$2:AG339),$AG$2:$AG$1001,0),1)&gt;=100000,INDEX($AN$1005:$BO$1005,1,MATCH(COLUMNS($AN$1006:AT1006),$AN$1006:$BO$1006,0))&gt;=100000), " ",IF(INDEX($AN$2:$BO$1001,MATCH(ROWS($AG$2:AG339),$AG$2:$AG$1001,0),MATCH(COLUMNS($AN$1006:AT1006),$AN$1006:$BO$1006,0)), HYPERLINK("#",""), HYPERLINK(CONCATENATE("#Metadata!", ADDRESS(INDEX($AI$2:$AI$1001,MATCH(ROWS($AG$2:AG339),$AG$2:$AG$1001,0),0), INDEX($AN$1004:$BO$1004,1,MATCH(COLUMNS($AN$1006:AT1006),$AN$1006:$BO$1006,0)))),"Fix")))</f>
        <v>0</v>
      </c>
      <c r="I339" s="4">
        <f>IF(OR(INDEX($AH$2:$AH$1001,MATCH(ROWS($AG$2:AG339),$AG$2:$AG$1001,0),1)&gt;=100000,INDEX($AN$1005:$BO$1005,1,MATCH(COLUMNS($AN$1006:AU1006),$AN$1006:$BO$1006,0))&gt;=100000), " ",IF(INDEX($AN$2:$BO$1001,MATCH(ROWS($AG$2:AG339),$AG$2:$AG$1001,0),MATCH(COLUMNS($AN$1006:AU1006),$AN$1006:$BO$1006,0)), HYPERLINK("#",""), HYPERLINK(CONCATENATE("#Metadata!", ADDRESS(INDEX($AI$2:$AI$1001,MATCH(ROWS($AG$2:AG339),$AG$2:$AG$1001,0),0), INDEX($AN$1004:$BO$1004,1,MATCH(COLUMNS($AN$1006:AU1006),$AN$1006:$BO$1006,0)))),"Fix")))</f>
        <v>0</v>
      </c>
      <c r="J339" s="4">
        <f>IF(OR(INDEX($AH$2:$AH$1001,MATCH(ROWS($AG$2:AG339),$AG$2:$AG$1001,0),1)&gt;=100000,INDEX($AN$1005:$BO$1005,1,MATCH(COLUMNS($AN$1006:AV1006),$AN$1006:$BO$1006,0))&gt;=100000), " ",IF(INDEX($AN$2:$BO$1001,MATCH(ROWS($AG$2:AG339),$AG$2:$AG$1001,0),MATCH(COLUMNS($AN$1006:AV1006),$AN$1006:$BO$1006,0)), HYPERLINK("#",""), HYPERLINK(CONCATENATE("#Metadata!", ADDRESS(INDEX($AI$2:$AI$1001,MATCH(ROWS($AG$2:AG339),$AG$2:$AG$1001,0),0), INDEX($AN$1004:$BO$1004,1,MATCH(COLUMNS($AN$1006:AV1006),$AN$1006:$BO$1006,0)))),"Fix")))</f>
        <v>0</v>
      </c>
      <c r="K339" s="4">
        <f>IF(OR(INDEX($AH$2:$AH$1001,MATCH(ROWS($AG$2:AG339),$AG$2:$AG$1001,0),1)&gt;=100000,INDEX($AN$1005:$BO$1005,1,MATCH(COLUMNS($AN$1006:AW1006),$AN$1006:$BO$1006,0))&gt;=100000), " ",IF(INDEX($AN$2:$BO$1001,MATCH(ROWS($AG$2:AG339),$AG$2:$AG$1001,0),MATCH(COLUMNS($AN$1006:AW1006),$AN$1006:$BO$1006,0)), HYPERLINK("#",""), HYPERLINK(CONCATENATE("#Metadata!", ADDRESS(INDEX($AI$2:$AI$1001,MATCH(ROWS($AG$2:AG339),$AG$2:$AG$1001,0),0), INDEX($AN$1004:$BO$1004,1,MATCH(COLUMNS($AN$1006:AW1006),$AN$1006:$BO$1006,0)))),"Fix")))</f>
        <v>0</v>
      </c>
      <c r="L339" s="4">
        <f>IF(OR(INDEX($AH$2:$AH$1001,MATCH(ROWS($AG$2:AG339),$AG$2:$AG$1001,0),1)&gt;=100000,INDEX($AN$1005:$BO$1005,1,MATCH(COLUMNS($AN$1006:AX1006),$AN$1006:$BO$1006,0))&gt;=100000), " ",IF(INDEX($AN$2:$BO$1001,MATCH(ROWS($AG$2:AG339),$AG$2:$AG$1001,0),MATCH(COLUMNS($AN$1006:AX1006),$AN$1006:$BO$1006,0)), HYPERLINK("#",""), HYPERLINK(CONCATENATE("#Metadata!", ADDRESS(INDEX($AI$2:$AI$1001,MATCH(ROWS($AG$2:AG339),$AG$2:$AG$1001,0),0), INDEX($AN$1004:$BO$1004,1,MATCH(COLUMNS($AN$1006:AX1006),$AN$1006:$BO$1006,0)))),"Fix")))</f>
        <v>0</v>
      </c>
      <c r="M339" s="4">
        <f>IF(OR(INDEX($AH$2:$AH$1001,MATCH(ROWS($AG$2:AG339),$AG$2:$AG$1001,0),1)&gt;=100000,INDEX($AN$1005:$BO$1005,1,MATCH(COLUMNS($AN$1006:AY1006),$AN$1006:$BO$1006,0))&gt;=100000), " ",IF(INDEX($AN$2:$BO$1001,MATCH(ROWS($AG$2:AG339),$AG$2:$AG$1001,0),MATCH(COLUMNS($AN$1006:AY1006),$AN$1006:$BO$1006,0)), HYPERLINK("#",""), HYPERLINK(CONCATENATE("#Metadata!", ADDRESS(INDEX($AI$2:$AI$1001,MATCH(ROWS($AG$2:AG339),$AG$2:$AG$1001,0),0), INDEX($AN$1004:$BO$1004,1,MATCH(COLUMNS($AN$1006:AY1006),$AN$1006:$BO$1006,0)))),"Fix")))</f>
        <v>0</v>
      </c>
      <c r="N339" s="4">
        <f>IF(OR(INDEX($AH$2:$AH$1001,MATCH(ROWS($AG$2:AG339),$AG$2:$AG$1001,0),1)&gt;=100000,INDEX($AN$1005:$BO$1005,1,MATCH(COLUMNS($AN$1006:AZ1006),$AN$1006:$BO$1006,0))&gt;=100000), " ",IF(INDEX($AN$2:$BO$1001,MATCH(ROWS($AG$2:AG339),$AG$2:$AG$1001,0),MATCH(COLUMNS($AN$1006:AZ1006),$AN$1006:$BO$1006,0)), HYPERLINK("#",""), HYPERLINK(CONCATENATE("#Metadata!", ADDRESS(INDEX($AI$2:$AI$1001,MATCH(ROWS($AG$2:AG339),$AG$2:$AG$1001,0),0), INDEX($AN$1004:$BO$1004,1,MATCH(COLUMNS($AN$1006:AZ1006),$AN$1006:$BO$1006,0)))),"Fix")))</f>
        <v>0</v>
      </c>
      <c r="O339" s="4">
        <f>IF(OR(INDEX($AH$2:$AH$1001,MATCH(ROWS($AG$2:AG339),$AG$2:$AG$1001,0),1)&gt;=100000,INDEX($AN$1005:$BO$1005,1,MATCH(COLUMNS($AN$1006:BA1006),$AN$1006:$BO$1006,0))&gt;=100000), " ",IF(INDEX($AN$2:$BO$1001,MATCH(ROWS($AG$2:AG339),$AG$2:$AG$1001,0),MATCH(COLUMNS($AN$1006:BA1006),$AN$1006:$BO$1006,0)), HYPERLINK("#",""), HYPERLINK(CONCATENATE("#Metadata!", ADDRESS(INDEX($AI$2:$AI$1001,MATCH(ROWS($AG$2:AG339),$AG$2:$AG$1001,0),0), INDEX($AN$1004:$BO$1004,1,MATCH(COLUMNS($AN$1006:BA1006),$AN$1006:$BO$1006,0)))),"Fix")))</f>
        <v>0</v>
      </c>
      <c r="P339" s="4">
        <f>IF(OR(INDEX($AH$2:$AH$1001,MATCH(ROWS($AG$2:AG339),$AG$2:$AG$1001,0),1)&gt;=100000,INDEX($AN$1005:$BO$1005,1,MATCH(COLUMNS($AN$1006:BB1006),$AN$1006:$BO$1006,0))&gt;=100000), " ",IF(INDEX($AN$2:$BO$1001,MATCH(ROWS($AG$2:AG339),$AG$2:$AG$1001,0),MATCH(COLUMNS($AN$1006:BB1006),$AN$1006:$BO$1006,0)), HYPERLINK("#",""), HYPERLINK(CONCATENATE("#Metadata!", ADDRESS(INDEX($AI$2:$AI$1001,MATCH(ROWS($AG$2:AG339),$AG$2:$AG$1001,0),0), INDEX($AN$1004:$BO$1004,1,MATCH(COLUMNS($AN$1006:BB1006),$AN$1006:$BO$1006,0)))),"Fix")))</f>
        <v>0</v>
      </c>
      <c r="Q339" s="4">
        <f>IF(OR(INDEX($AH$2:$AH$1001,MATCH(ROWS($AG$2:AG339),$AG$2:$AG$1001,0),1)&gt;=100000,INDEX($AN$1005:$BO$1005,1,MATCH(COLUMNS($AN$1006:BC1006),$AN$1006:$BO$1006,0))&gt;=100000), " ",IF(INDEX($AN$2:$BO$1001,MATCH(ROWS($AG$2:AG339),$AG$2:$AG$1001,0),MATCH(COLUMNS($AN$1006:BC1006),$AN$1006:$BO$1006,0)), HYPERLINK("#",""), HYPERLINK(CONCATENATE("#Metadata!", ADDRESS(INDEX($AI$2:$AI$1001,MATCH(ROWS($AG$2:AG339),$AG$2:$AG$1001,0),0), INDEX($AN$1004:$BO$1004,1,MATCH(COLUMNS($AN$1006:BC1006),$AN$1006:$BO$1006,0)))),"Fix")))</f>
        <v>0</v>
      </c>
      <c r="R339" s="4">
        <f>IF(OR(INDEX($AH$2:$AH$1001,MATCH(ROWS($AG$2:AG339),$AG$2:$AG$1001,0),1)&gt;=100000,INDEX($AN$1005:$BO$1005,1,MATCH(COLUMNS($AN$1006:BD1006),$AN$1006:$BO$1006,0))&gt;=100000), " ",IF(INDEX($AN$2:$BO$1001,MATCH(ROWS($AG$2:AG339),$AG$2:$AG$1001,0),MATCH(COLUMNS($AN$1006:BD1006),$AN$1006:$BO$1006,0)), HYPERLINK("#",""), HYPERLINK(CONCATENATE("#Metadata!", ADDRESS(INDEX($AI$2:$AI$1001,MATCH(ROWS($AG$2:AG339),$AG$2:$AG$1001,0),0), INDEX($AN$1004:$BO$1004,1,MATCH(COLUMNS($AN$1006:BD1006),$AN$1006:$BO$1006,0)))),"Fix")))</f>
        <v>0</v>
      </c>
      <c r="S339" s="4">
        <f>IF(OR(INDEX($AH$2:$AH$1001,MATCH(ROWS($AG$2:AG339),$AG$2:$AG$1001,0),1)&gt;=100000,INDEX($AN$1005:$BO$1005,1,MATCH(COLUMNS($AN$1006:BE1006),$AN$1006:$BO$1006,0))&gt;=100000), " ",IF(INDEX($AN$2:$BO$1001,MATCH(ROWS($AG$2:AG339),$AG$2:$AG$1001,0),MATCH(COLUMNS($AN$1006:BE1006),$AN$1006:$BO$1006,0)), HYPERLINK("#",""), HYPERLINK(CONCATENATE("#Metadata!", ADDRESS(INDEX($AI$2:$AI$1001,MATCH(ROWS($AG$2:AG339),$AG$2:$AG$1001,0),0), INDEX($AN$1004:$BO$1004,1,MATCH(COLUMNS($AN$1006:BE1006),$AN$1006:$BO$1006,0)))),"Fix")))</f>
        <v>0</v>
      </c>
      <c r="T339" s="4">
        <f>IF(OR(INDEX($AH$2:$AH$1001,MATCH(ROWS($AG$2:AG339),$AG$2:$AG$1001,0),1)&gt;=100000,INDEX($AN$1005:$BO$1005,1,MATCH(COLUMNS($AN$1006:BF1006),$AN$1006:$BO$1006,0))&gt;=100000), " ",IF(INDEX($AN$2:$BO$1001,MATCH(ROWS($AG$2:AG339),$AG$2:$AG$1001,0),MATCH(COLUMNS($AN$1006:BF1006),$AN$1006:$BO$1006,0)), HYPERLINK("#",""), HYPERLINK(CONCATENATE("#Metadata!", ADDRESS(INDEX($AI$2:$AI$1001,MATCH(ROWS($AG$2:AG339),$AG$2:$AG$1001,0),0), INDEX($AN$1004:$BO$1004,1,MATCH(COLUMNS($AN$1006:BF1006),$AN$1006:$BO$1006,0)))),"Fix")))</f>
        <v>0</v>
      </c>
      <c r="U339" s="4">
        <f>IF(OR(INDEX($AH$2:$AH$1001,MATCH(ROWS($AG$2:AG339),$AG$2:$AG$1001,0),1)&gt;=100000,INDEX($AN$1005:$BO$1005,1,MATCH(COLUMNS($AN$1006:BG1006),$AN$1006:$BO$1006,0))&gt;=100000), " ",IF(INDEX($AN$2:$BO$1001,MATCH(ROWS($AG$2:AG339),$AG$2:$AG$1001,0),MATCH(COLUMNS($AN$1006:BG1006),$AN$1006:$BO$1006,0)), HYPERLINK("#",""), HYPERLINK(CONCATENATE("#Metadata!", ADDRESS(INDEX($AI$2:$AI$1001,MATCH(ROWS($AG$2:AG339),$AG$2:$AG$1001,0),0), INDEX($AN$1004:$BO$1004,1,MATCH(COLUMNS($AN$1006:BG1006),$AN$1006:$BO$1006,0)))),"Fix")))</f>
        <v>0</v>
      </c>
      <c r="V339" s="4">
        <f>IF(OR(INDEX($AH$2:$AH$1001,MATCH(ROWS($AG$2:AG339),$AG$2:$AG$1001,0),1)&gt;=100000,INDEX($AN$1005:$BO$1005,1,MATCH(COLUMNS($AN$1006:BH1006),$AN$1006:$BO$1006,0))&gt;=100000), " ",IF(INDEX($AN$2:$BO$1001,MATCH(ROWS($AG$2:AG339),$AG$2:$AG$1001,0),MATCH(COLUMNS($AN$1006:BH1006),$AN$1006:$BO$1006,0)), HYPERLINK("#",""), HYPERLINK(CONCATENATE("#Metadata!", ADDRESS(INDEX($AI$2:$AI$1001,MATCH(ROWS($AG$2:AG339),$AG$2:$AG$1001,0),0), INDEX($AN$1004:$BO$1004,1,MATCH(COLUMNS($AN$1006:BH1006),$AN$1006:$BO$1006,0)))),"Fix")))</f>
        <v>0</v>
      </c>
      <c r="W339" s="4">
        <f>IF(OR(INDEX($AH$2:$AH$1001,MATCH(ROWS($AG$2:AG339),$AG$2:$AG$1001,0),1)&gt;=100000,INDEX($AN$1005:$BO$1005,1,MATCH(COLUMNS($AN$1006:BI1006),$AN$1006:$BO$1006,0))&gt;=100000), " ",IF(INDEX($AN$2:$BO$1001,MATCH(ROWS($AG$2:AG339),$AG$2:$AG$1001,0),MATCH(COLUMNS($AN$1006:BI1006),$AN$1006:$BO$1006,0)), HYPERLINK("#",""), HYPERLINK(CONCATENATE("#Metadata!", ADDRESS(INDEX($AI$2:$AI$1001,MATCH(ROWS($AG$2:AG339),$AG$2:$AG$1001,0),0), INDEX($AN$1004:$BO$1004,1,MATCH(COLUMNS($AN$1006:BI1006),$AN$1006:$BO$1006,0)))),"Fix")))</f>
        <v>0</v>
      </c>
      <c r="X339" s="4">
        <f>IF(OR(INDEX($AH$2:$AH$1001,MATCH(ROWS($AG$2:AG339),$AG$2:$AG$1001,0),1)&gt;=100000,INDEX($AN$1005:$BO$1005,1,MATCH(COLUMNS($AN$1006:BJ1006),$AN$1006:$BO$1006,0))&gt;=100000), " ",IF(INDEX($AN$2:$BO$1001,MATCH(ROWS($AG$2:AG339),$AG$2:$AG$1001,0),MATCH(COLUMNS($AN$1006:BJ1006),$AN$1006:$BO$1006,0)), HYPERLINK("#",""), HYPERLINK(CONCATENATE("#Metadata!", ADDRESS(INDEX($AI$2:$AI$1001,MATCH(ROWS($AG$2:AG339),$AG$2:$AG$1001,0),0), INDEX($AN$1004:$BO$1004,1,MATCH(COLUMNS($AN$1006:BJ1006),$AN$1006:$BO$1006,0)))),"Fix")))</f>
        <v>0</v>
      </c>
      <c r="Y339" s="4">
        <f>IF(OR(INDEX($AH$2:$AH$1001,MATCH(ROWS($AG$2:AG339),$AG$2:$AG$1001,0),1)&gt;=100000,INDEX($AN$1005:$BO$1005,1,MATCH(COLUMNS($AN$1006:BK1006),$AN$1006:$BO$1006,0))&gt;=100000), " ",IF(INDEX($AN$2:$BO$1001,MATCH(ROWS($AG$2:AG339),$AG$2:$AG$1001,0),MATCH(COLUMNS($AN$1006:BK1006),$AN$1006:$BO$1006,0)), HYPERLINK("#",""), HYPERLINK(CONCATENATE("#Metadata!", ADDRESS(INDEX($AI$2:$AI$1001,MATCH(ROWS($AG$2:AG339),$AG$2:$AG$1001,0),0), INDEX($AN$1004:$BO$1004,1,MATCH(COLUMNS($AN$1006:BK1006),$AN$1006:$BO$1006,0)))),"Fix")))</f>
        <v>0</v>
      </c>
      <c r="Z339" s="4">
        <f>IF(OR(INDEX($AH$2:$AH$1001,MATCH(ROWS($AG$2:AG339),$AG$2:$AG$1001,0),1)&gt;=100000,INDEX($AN$1005:$BO$1005,1,MATCH(COLUMNS($AN$1006:BL1006),$AN$1006:$BO$1006,0))&gt;=100000), " ",IF(INDEX($AN$2:$BO$1001,MATCH(ROWS($AG$2:AG339),$AG$2:$AG$1001,0),MATCH(COLUMNS($AN$1006:BL1006),$AN$1006:$BO$1006,0)), HYPERLINK("#",""), HYPERLINK(CONCATENATE("#Metadata!", ADDRESS(INDEX($AI$2:$AI$1001,MATCH(ROWS($AG$2:AG339),$AG$2:$AG$1001,0),0), INDEX($AN$1004:$BO$1004,1,MATCH(COLUMNS($AN$1006:BL1006),$AN$1006:$BO$1006,0)))),"Fix")))</f>
        <v>0</v>
      </c>
      <c r="AA339" s="4">
        <f>IF(OR(INDEX($AH$2:$AH$1001,MATCH(ROWS($AG$2:AG339),$AG$2:$AG$1001,0),1)&gt;=100000,INDEX($AN$1005:$BO$1005,1,MATCH(COLUMNS($AN$1006:BM1006),$AN$1006:$BO$1006,0))&gt;=100000), " ",IF(INDEX($AN$2:$BO$1001,MATCH(ROWS($AG$2:AG339),$AG$2:$AG$1001,0),MATCH(COLUMNS($AN$1006:BM1006),$AN$1006:$BO$1006,0)), HYPERLINK("#",""), HYPERLINK(CONCATENATE("#Metadata!", ADDRESS(INDEX($AI$2:$AI$1001,MATCH(ROWS($AG$2:AG339),$AG$2:$AG$1001,0),0), INDEX($AN$1004:$BO$1004,1,MATCH(COLUMNS($AN$1006:BM1006),$AN$1006:$BO$1006,0)))),"Fix")))</f>
        <v>0</v>
      </c>
      <c r="AB339" s="4">
        <f>IF(OR(INDEX($AH$2:$AH$1001,MATCH(ROWS($AG$2:AG339),$AG$2:$AG$1001,0),1)&gt;=100000,INDEX($AN$1005:$BO$1005,1,MATCH(COLUMNS($AN$1006:BN1006),$AN$1006:$BO$1006,0))&gt;=100000), " ",IF(INDEX($AN$2:$BO$1001,MATCH(ROWS($AG$2:AG339),$AG$2:$AG$1001,0),MATCH(COLUMNS($AN$1006:BN1006),$AN$1006:$BO$1006,0)), HYPERLINK("#",""), HYPERLINK(CONCATENATE("#Metadata!", ADDRESS(INDEX($AI$2:$AI$1001,MATCH(ROWS($AG$2:AG339),$AG$2:$AG$1001,0),0), INDEX($AN$1004:$BO$1004,1,MATCH(COLUMNS($AN$1006:BN1006),$AN$1006:$BO$1006,0)))),"Fix")))</f>
        <v>0</v>
      </c>
      <c r="AC339" s="4">
        <f>IF(OR(INDEX($AH$2:$AH$1001,MATCH(ROWS($AG$2:AG339),$AG$2:$AG$1001,0),1)&gt;=100000,INDEX($AN$1005:$BO$1005,1,MATCH(COLUMNS($AN$1006:BO1006),$AN$1006:$BO$1006,0))&gt;=100000), " ",IF(INDEX($AN$2:$BO$1001,MATCH(ROWS($AG$2:AG339),$AG$2:$AG$1001,0),MATCH(COLUMNS($AN$1006:BO1006),$AN$1006:$BO$1006,0)), HYPERLINK("#",""), HYPERLINK(CONCATENATE("#Metadata!", ADDRESS(INDEX($AI$2:$AI$1001,MATCH(ROWS($AG$2:AG339),$AG$2:$AG$1001,0),0), INDEX($AN$1004:$BO$1004,1,MATCH(COLUMNS($AN$1006:BO1006),$AN$1006:$BO$1006,0)))),"Fix")))</f>
        <v>0</v>
      </c>
      <c r="AG339">
        <v>0</v>
      </c>
      <c r="AH339">
        <v>0</v>
      </c>
      <c r="AI339">
        <v>0</v>
      </c>
      <c r="AJ339">
        <f>IF(AK339,TRUE,AND(AN339:BO339))</f>
        <v>0</v>
      </c>
      <c r="AK339">
        <f>COUNTBLANK(Metadata!B339:AC339)=COLUMNS(Metadata!B339:AC339)</f>
        <v>0</v>
      </c>
      <c r="AL339">
        <v>0</v>
      </c>
      <c r="AN339">
        <f>AND(IF(Metadata!B339="",FALSE,TRUE),COUNTIF(Metadata!B:B, Metadata!B339) = 1,NOT(ISERROR(SUMPRODUCT(SEARCH(MID(Metadata!B339,ROW(INDIRECT("1:"&amp;LEN(Metadata!B339))), 1),"0123456789abcdefghijklmnopqrstuvwxyzABCDEFGHIJKLMNOPQRSTUVWXYZ.")))))</f>
        <v>0</v>
      </c>
      <c r="AO339">
        <f>IF(Metadata!C339="",FALSE,TRUE)</f>
        <v>0</v>
      </c>
      <c r="AP339">
        <f>IF(Metadata!D339="",FALSE,TRUE)</f>
        <v>0</v>
      </c>
      <c r="AQ339">
        <f>OR(AND(IF(Metadata!E339="",FALSE,TRUE),OR(exact(Metadata!E339,"not collected"),exact(Metadata!E339,"not provided"),exact(Metadata!E339,"restricted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R339">
        <f>IF(Metadata!F339="",FALSE,TRUE)</f>
        <v>0</v>
      </c>
      <c r="AS339">
        <f>OR(AND(IF(Metadata!G339="",FALSE,TRUE),OR(exact(Metadata!G339,"not collected"),exact(Metadata!G339,"not provided"))),AND(IF(Metadata!G339="",FALSE,TRUE),OR(exact(Metadata!G339,"TRUE"),exact(Metadata!G339,"FALSE"))))</f>
        <v>0</v>
      </c>
      <c r="AT339">
        <f>OR(AND(IF(Metadata!H339="",FALSE,TRUE),OR(exact(Metadata!H339,"not collected"),exact(Metadata!H339,"not provided"),exact(Metadata!H339,"restricted access"))),AND(IF(Metadata!H339="",FALSE,ISNUMBER(VALUE(Metadata!H339))),Metadata!H339&gt;=-413.0))</f>
        <v>0</v>
      </c>
      <c r="AU339">
        <f>AND(IF(Metadata!I339="",FALSE,TRUE),exact(Metadata!I339,"meters"))</f>
        <v>0</v>
      </c>
      <c r="AV339">
        <f>AND(IF(Metadata!J339="",FALSE,TRUE),OR(exact(Metadata!J339,"Host-associated"),exact(Metadata!J339,"Free-living")))</f>
        <v>0</v>
      </c>
      <c r="AW339">
        <f>AND(IF(Metadata!K339="",FALSE,TRUE),OR(exact(Metadata!K339,"Animal"),exact(Metadata!K339,"Fungus"),exact(Metadata!K339,"Plant"),exact(Metadata!K339,"Saline"),exact(Metadata!K339,"Non-saline")))</f>
        <v>0</v>
      </c>
      <c r="AX339">
        <f>AND(IF(Metadata!L339="",FALSE,TRUE),OR(exact(Metadata!L339,"Plant secretion"),exact(Metadata!L339,"Plant rhizosphere"),exact(Metadata!L339,"Plant surface"),exact(Metadata!L339,"Plant corpus"),exact(Metadata!L339,"Fungus surface"),exact(Metadata!L339,"Fungus corpus"),exact(Metadata!L339,"Animal surface"),exact(Metadata!L339,"Animal proximal gut"),exact(Metadata!L339,"Animal corpus"),exact(Metadata!L339,"Animal distal gut"),exact(Metadata!L339,"Animal secretion"),exact(Metadata!L339,"Sub-surface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Y339">
        <f>IF(Metadata!M339="",FALSE,TRUE)</f>
        <v>0</v>
      </c>
      <c r="AZ339">
        <f>IF(Metadata!N339="",FALSE,TRUE)</f>
        <v>0</v>
      </c>
      <c r="BA339">
        <f>IF(Metadata!O339="",FALSE,TRUE)</f>
        <v>0</v>
      </c>
      <c r="BB339">
        <f>OR(AND(IF(Metadata!P339="",FALSE,TRUE),OR(exact(Metadata!P339,"not collected"),exact(Metadata!P339,"not provided"),exact(Metadata!P339,"restricted access"))),AND(IF(Metadata!P339="",FALSE,TRUE),OR(exact(Metadata!P339,"air"),exact(Metadata!P339,"built environment"),exact(Metadata!P339,"host-associated"),exact(Metadata!P339,"human-associated"),exact(Metadata!P339,"human-skin"),exact(Metadata!P339,"human-oral"),exact(Metadata!P339,"human-gut"),exact(Metadata!P339,"human-vaginal"),exact(Metadata!P339,"microbial mat/biofilm"),exact(Metadata!P339,"misc environment"),exact(Metadata!P339,"plant-associated"),exact(Metadata!P339,"sediment"),exact(Metadata!P339,"soil"),exact(Metadata!P339,"wastewater/sludge"),exact(Metadata!P339,"water"))))</f>
        <v>0</v>
      </c>
      <c r="BC339">
        <f>IF(Metadata!Q339="",FALSE,TRUE)</f>
        <v>0</v>
      </c>
      <c r="BD339">
        <f>IF(Metadata!R339="",FALSE,TRUE)</f>
        <v>0</v>
      </c>
      <c r="BE339">
        <f>OR(AND(IF(Metadata!S339="",FALSE,TRUE),OR(exact(Metadata!S339,"not collected"),exact(Metadata!S339,"not provided"),exact(Metadata!S339,"restricted access"))),AND(IF(Metadata!S339="",FALSE,ISNUMBER(VALUE(Metadata!S339))),Metadata!S339&gt;=-90.00,Metadata!S339&lt;=90.00))</f>
        <v>0</v>
      </c>
      <c r="BF339">
        <f>AND(IF(Metadata!T339="",FALSE,TRUE),exact(Metadata!T339,"Decimal degrees"))</f>
        <v>0</v>
      </c>
      <c r="BG339">
        <f>OR(AND(IF(Metadata!U339="",FALSE,TRUE),OR(exact(Metadata!U339,"not collected"),exact(Metadata!U339,"not provided"),exact(Metadata!U339,"restricted access"))),AND(IF(Metadata!U339="",FALSE,ISNUMBER(VALUE(Metadata!U339))),Metadata!U339&gt;=-180.00,Metadata!U339&lt;=180.00))</f>
        <v>0</v>
      </c>
      <c r="BH339">
        <f>AND(IF(Metadata!V339="",FALSE,TRUE),exact(Metadata!V339,"Decimal degrees"))</f>
        <v>0</v>
      </c>
      <c r="BI339">
        <f>IF(Metadata!W339="",FALSE,TRUE)</f>
        <v>0</v>
      </c>
      <c r="BJ339">
        <f>OR(AND(IF(Metadata!X339="",FALSE,TRUE),OR(exact(Metadata!X339,"not collected"),exact(Metadata!X339,"not provided"),exact(Metadata!X339,"restricted access"))),AND(IF(Metadata!X339="",FALSE,TRUE),OR(exact(Metadata!X339,"TRUE"),exact(Metadata!X339,"FALSE"))))</f>
        <v>0</v>
      </c>
      <c r="BK339">
        <f>AND(IF(Metadata!Y339="",FALSE,TRUE),exact(Metadata!Y339,"other"))</f>
        <v>0</v>
      </c>
      <c r="BL339">
        <f>IF(Metadata!Z339="",FALSE,TRUE)</f>
        <v>0</v>
      </c>
      <c r="BM339">
        <f>OR(AND(IF(Metadata!AA339="",FALSE,TRUE),OR(exact(Metadata!AA339,"not collected"),exact(Metadata!AA339,"not provided"))),AND(IF(Metadata!AA339="",FALSE,IF(ISERROR(INT(Metadata!AA339)),FALSE,INT(Metadata!AA339)=Metadata!AA339)),Metadata!AA339&gt;0))</f>
        <v>0</v>
      </c>
      <c r="BN339">
        <f>AND(IF(Metadata!AB339="",FALSE,TRUE),exact(Metadata!AB339,"Not applicable"))</f>
        <v>0</v>
      </c>
      <c r="BO339">
        <f>IF(Metadata!AC339="",FALSE,TRUE)</f>
        <v>0</v>
      </c>
    </row>
    <row r="340" spans="1:67">
      <c r="A340" s="5">
        <f>IF(B340=" "," ",HYPERLINK(CONCATENATE("#metadata!",ADDRESS(INDEX($AI$2:$AI$1001,MATCH(ROWS($AG$2:AG340),$AG$2:$AG$1001,0),0),1)),INDEX($AL$2:$AL$1001,MATCH(ROWS($AG$2:AG340),$AG$2:$AG$1001,0),0)))</f>
        <v>0</v>
      </c>
      <c r="B340" s="4">
        <f>IF(OR(INDEX($AH$2:$AH$1001,MATCH(ROWS($AG$2:AG340),$AG$2:$AG$1001,0),1)&gt;=100000,INDEX($AN$1005:$BO$1005,1,MATCH(COLUMNS($AN$1006:AN1006),$AN$1006:$BO$1006,0))&gt;=100000), " ",IF(INDEX($AN$2:$BO$1001,MATCH(ROWS($AG$2:AG340),$AG$2:$AG$1001,0),MATCH(COLUMNS($AN$1006:AN1006),$AN$1006:$BO$1006,0)), HYPERLINK("#",""), HYPERLINK(CONCATENATE("#Metadata!", ADDRESS(INDEX($AI$2:$AI$1001,MATCH(ROWS($AG$2:AG340),$AG$2:$AG$1001,0),0), INDEX($AN$1004:$BO$1004,1,MATCH(COLUMNS($AN$1006:AN1006),$AN$1006:$BO$1006,0)))),"Fix")))</f>
        <v>0</v>
      </c>
      <c r="C340" s="4">
        <f>IF(OR(INDEX($AH$2:$AH$1001,MATCH(ROWS($AG$2:AG340),$AG$2:$AG$1001,0),1)&gt;=100000,INDEX($AN$1005:$BO$1005,1,MATCH(COLUMNS($AN$1006:AO1006),$AN$1006:$BO$1006,0))&gt;=100000), " ",IF(INDEX($AN$2:$BO$1001,MATCH(ROWS($AG$2:AG340),$AG$2:$AG$1001,0),MATCH(COLUMNS($AN$1006:AO1006),$AN$1006:$BO$1006,0)), HYPERLINK("#",""), HYPERLINK(CONCATENATE("#Metadata!", ADDRESS(INDEX($AI$2:$AI$1001,MATCH(ROWS($AG$2:AG340),$AG$2:$AG$1001,0),0), INDEX($AN$1004:$BO$1004,1,MATCH(COLUMNS($AN$1006:AO1006),$AN$1006:$BO$1006,0)))),"Fix")))</f>
        <v>0</v>
      </c>
      <c r="D340" s="4">
        <f>IF(OR(INDEX($AH$2:$AH$1001,MATCH(ROWS($AG$2:AG340),$AG$2:$AG$1001,0),1)&gt;=100000,INDEX($AN$1005:$BO$1005,1,MATCH(COLUMNS($AN$1006:AP1006),$AN$1006:$BO$1006,0))&gt;=100000), " ",IF(INDEX($AN$2:$BO$1001,MATCH(ROWS($AG$2:AG340),$AG$2:$AG$1001,0),MATCH(COLUMNS($AN$1006:AP1006),$AN$1006:$BO$1006,0)), HYPERLINK("#",""), HYPERLINK(CONCATENATE("#Metadata!", ADDRESS(INDEX($AI$2:$AI$1001,MATCH(ROWS($AG$2:AG340),$AG$2:$AG$1001,0),0), INDEX($AN$1004:$BO$1004,1,MATCH(COLUMNS($AN$1006:AP1006),$AN$1006:$BO$1006,0)))),"Fix")))</f>
        <v>0</v>
      </c>
      <c r="E340" s="4">
        <f>IF(OR(INDEX($AH$2:$AH$1001,MATCH(ROWS($AG$2:AG340),$AG$2:$AG$1001,0),1)&gt;=100000,INDEX($AN$1005:$BO$1005,1,MATCH(COLUMNS($AN$1006:AQ1006),$AN$1006:$BO$1006,0))&gt;=100000), " ",IF(INDEX($AN$2:$BO$1001,MATCH(ROWS($AG$2:AG340),$AG$2:$AG$1001,0),MATCH(COLUMNS($AN$1006:AQ1006),$AN$1006:$BO$1006,0)), HYPERLINK("#",""), HYPERLINK(CONCATENATE("#Metadata!", ADDRESS(INDEX($AI$2:$AI$1001,MATCH(ROWS($AG$2:AG340),$AG$2:$AG$1001,0),0), INDEX($AN$1004:$BO$1004,1,MATCH(COLUMNS($AN$1006:AQ1006),$AN$1006:$BO$1006,0)))),"Fix")))</f>
        <v>0</v>
      </c>
      <c r="F340" s="4">
        <f>IF(OR(INDEX($AH$2:$AH$1001,MATCH(ROWS($AG$2:AG340),$AG$2:$AG$1001,0),1)&gt;=100000,INDEX($AN$1005:$BO$1005,1,MATCH(COLUMNS($AN$1006:AR1006),$AN$1006:$BO$1006,0))&gt;=100000), " ",IF(INDEX($AN$2:$BO$1001,MATCH(ROWS($AG$2:AG340),$AG$2:$AG$1001,0),MATCH(COLUMNS($AN$1006:AR1006),$AN$1006:$BO$1006,0)), HYPERLINK("#",""), HYPERLINK(CONCATENATE("#Metadata!", ADDRESS(INDEX($AI$2:$AI$1001,MATCH(ROWS($AG$2:AG340),$AG$2:$AG$1001,0),0), INDEX($AN$1004:$BO$1004,1,MATCH(COLUMNS($AN$1006:AR1006),$AN$1006:$BO$1006,0)))),"Fix")))</f>
        <v>0</v>
      </c>
      <c r="G340" s="4">
        <f>IF(OR(INDEX($AH$2:$AH$1001,MATCH(ROWS($AG$2:AG340),$AG$2:$AG$1001,0),1)&gt;=100000,INDEX($AN$1005:$BO$1005,1,MATCH(COLUMNS($AN$1006:AS1006),$AN$1006:$BO$1006,0))&gt;=100000), " ",IF(INDEX($AN$2:$BO$1001,MATCH(ROWS($AG$2:AG340),$AG$2:$AG$1001,0),MATCH(COLUMNS($AN$1006:AS1006),$AN$1006:$BO$1006,0)), HYPERLINK("#",""), HYPERLINK(CONCATENATE("#Metadata!", ADDRESS(INDEX($AI$2:$AI$1001,MATCH(ROWS($AG$2:AG340),$AG$2:$AG$1001,0),0), INDEX($AN$1004:$BO$1004,1,MATCH(COLUMNS($AN$1006:AS1006),$AN$1006:$BO$1006,0)))),"Fix")))</f>
        <v>0</v>
      </c>
      <c r="H340" s="4">
        <f>IF(OR(INDEX($AH$2:$AH$1001,MATCH(ROWS($AG$2:AG340),$AG$2:$AG$1001,0),1)&gt;=100000,INDEX($AN$1005:$BO$1005,1,MATCH(COLUMNS($AN$1006:AT1006),$AN$1006:$BO$1006,0))&gt;=100000), " ",IF(INDEX($AN$2:$BO$1001,MATCH(ROWS($AG$2:AG340),$AG$2:$AG$1001,0),MATCH(COLUMNS($AN$1006:AT1006),$AN$1006:$BO$1006,0)), HYPERLINK("#",""), HYPERLINK(CONCATENATE("#Metadata!", ADDRESS(INDEX($AI$2:$AI$1001,MATCH(ROWS($AG$2:AG340),$AG$2:$AG$1001,0),0), INDEX($AN$1004:$BO$1004,1,MATCH(COLUMNS($AN$1006:AT1006),$AN$1006:$BO$1006,0)))),"Fix")))</f>
        <v>0</v>
      </c>
      <c r="I340" s="4">
        <f>IF(OR(INDEX($AH$2:$AH$1001,MATCH(ROWS($AG$2:AG340),$AG$2:$AG$1001,0),1)&gt;=100000,INDEX($AN$1005:$BO$1005,1,MATCH(COLUMNS($AN$1006:AU1006),$AN$1006:$BO$1006,0))&gt;=100000), " ",IF(INDEX($AN$2:$BO$1001,MATCH(ROWS($AG$2:AG340),$AG$2:$AG$1001,0),MATCH(COLUMNS($AN$1006:AU1006),$AN$1006:$BO$1006,0)), HYPERLINK("#",""), HYPERLINK(CONCATENATE("#Metadata!", ADDRESS(INDEX($AI$2:$AI$1001,MATCH(ROWS($AG$2:AG340),$AG$2:$AG$1001,0),0), INDEX($AN$1004:$BO$1004,1,MATCH(COLUMNS($AN$1006:AU1006),$AN$1006:$BO$1006,0)))),"Fix")))</f>
        <v>0</v>
      </c>
      <c r="J340" s="4">
        <f>IF(OR(INDEX($AH$2:$AH$1001,MATCH(ROWS($AG$2:AG340),$AG$2:$AG$1001,0),1)&gt;=100000,INDEX($AN$1005:$BO$1005,1,MATCH(COLUMNS($AN$1006:AV1006),$AN$1006:$BO$1006,0))&gt;=100000), " ",IF(INDEX($AN$2:$BO$1001,MATCH(ROWS($AG$2:AG340),$AG$2:$AG$1001,0),MATCH(COLUMNS($AN$1006:AV1006),$AN$1006:$BO$1006,0)), HYPERLINK("#",""), HYPERLINK(CONCATENATE("#Metadata!", ADDRESS(INDEX($AI$2:$AI$1001,MATCH(ROWS($AG$2:AG340),$AG$2:$AG$1001,0),0), INDEX($AN$1004:$BO$1004,1,MATCH(COLUMNS($AN$1006:AV1006),$AN$1006:$BO$1006,0)))),"Fix")))</f>
        <v>0</v>
      </c>
      <c r="K340" s="4">
        <f>IF(OR(INDEX($AH$2:$AH$1001,MATCH(ROWS($AG$2:AG340),$AG$2:$AG$1001,0),1)&gt;=100000,INDEX($AN$1005:$BO$1005,1,MATCH(COLUMNS($AN$1006:AW1006),$AN$1006:$BO$1006,0))&gt;=100000), " ",IF(INDEX($AN$2:$BO$1001,MATCH(ROWS($AG$2:AG340),$AG$2:$AG$1001,0),MATCH(COLUMNS($AN$1006:AW1006),$AN$1006:$BO$1006,0)), HYPERLINK("#",""), HYPERLINK(CONCATENATE("#Metadata!", ADDRESS(INDEX($AI$2:$AI$1001,MATCH(ROWS($AG$2:AG340),$AG$2:$AG$1001,0),0), INDEX($AN$1004:$BO$1004,1,MATCH(COLUMNS($AN$1006:AW1006),$AN$1006:$BO$1006,0)))),"Fix")))</f>
        <v>0</v>
      </c>
      <c r="L340" s="4">
        <f>IF(OR(INDEX($AH$2:$AH$1001,MATCH(ROWS($AG$2:AG340),$AG$2:$AG$1001,0),1)&gt;=100000,INDEX($AN$1005:$BO$1005,1,MATCH(COLUMNS($AN$1006:AX1006),$AN$1006:$BO$1006,0))&gt;=100000), " ",IF(INDEX($AN$2:$BO$1001,MATCH(ROWS($AG$2:AG340),$AG$2:$AG$1001,0),MATCH(COLUMNS($AN$1006:AX1006),$AN$1006:$BO$1006,0)), HYPERLINK("#",""), HYPERLINK(CONCATENATE("#Metadata!", ADDRESS(INDEX($AI$2:$AI$1001,MATCH(ROWS($AG$2:AG340),$AG$2:$AG$1001,0),0), INDEX($AN$1004:$BO$1004,1,MATCH(COLUMNS($AN$1006:AX1006),$AN$1006:$BO$1006,0)))),"Fix")))</f>
        <v>0</v>
      </c>
      <c r="M340" s="4">
        <f>IF(OR(INDEX($AH$2:$AH$1001,MATCH(ROWS($AG$2:AG340),$AG$2:$AG$1001,0),1)&gt;=100000,INDEX($AN$1005:$BO$1005,1,MATCH(COLUMNS($AN$1006:AY1006),$AN$1006:$BO$1006,0))&gt;=100000), " ",IF(INDEX($AN$2:$BO$1001,MATCH(ROWS($AG$2:AG340),$AG$2:$AG$1001,0),MATCH(COLUMNS($AN$1006:AY1006),$AN$1006:$BO$1006,0)), HYPERLINK("#",""), HYPERLINK(CONCATENATE("#Metadata!", ADDRESS(INDEX($AI$2:$AI$1001,MATCH(ROWS($AG$2:AG340),$AG$2:$AG$1001,0),0), INDEX($AN$1004:$BO$1004,1,MATCH(COLUMNS($AN$1006:AY1006),$AN$1006:$BO$1006,0)))),"Fix")))</f>
        <v>0</v>
      </c>
      <c r="N340" s="4">
        <f>IF(OR(INDEX($AH$2:$AH$1001,MATCH(ROWS($AG$2:AG340),$AG$2:$AG$1001,0),1)&gt;=100000,INDEX($AN$1005:$BO$1005,1,MATCH(COLUMNS($AN$1006:AZ1006),$AN$1006:$BO$1006,0))&gt;=100000), " ",IF(INDEX($AN$2:$BO$1001,MATCH(ROWS($AG$2:AG340),$AG$2:$AG$1001,0),MATCH(COLUMNS($AN$1006:AZ1006),$AN$1006:$BO$1006,0)), HYPERLINK("#",""), HYPERLINK(CONCATENATE("#Metadata!", ADDRESS(INDEX($AI$2:$AI$1001,MATCH(ROWS($AG$2:AG340),$AG$2:$AG$1001,0),0), INDEX($AN$1004:$BO$1004,1,MATCH(COLUMNS($AN$1006:AZ1006),$AN$1006:$BO$1006,0)))),"Fix")))</f>
        <v>0</v>
      </c>
      <c r="O340" s="4">
        <f>IF(OR(INDEX($AH$2:$AH$1001,MATCH(ROWS($AG$2:AG340),$AG$2:$AG$1001,0),1)&gt;=100000,INDEX($AN$1005:$BO$1005,1,MATCH(COLUMNS($AN$1006:BA1006),$AN$1006:$BO$1006,0))&gt;=100000), " ",IF(INDEX($AN$2:$BO$1001,MATCH(ROWS($AG$2:AG340),$AG$2:$AG$1001,0),MATCH(COLUMNS($AN$1006:BA1006),$AN$1006:$BO$1006,0)), HYPERLINK("#",""), HYPERLINK(CONCATENATE("#Metadata!", ADDRESS(INDEX($AI$2:$AI$1001,MATCH(ROWS($AG$2:AG340),$AG$2:$AG$1001,0),0), INDEX($AN$1004:$BO$1004,1,MATCH(COLUMNS($AN$1006:BA1006),$AN$1006:$BO$1006,0)))),"Fix")))</f>
        <v>0</v>
      </c>
      <c r="P340" s="4">
        <f>IF(OR(INDEX($AH$2:$AH$1001,MATCH(ROWS($AG$2:AG340),$AG$2:$AG$1001,0),1)&gt;=100000,INDEX($AN$1005:$BO$1005,1,MATCH(COLUMNS($AN$1006:BB1006),$AN$1006:$BO$1006,0))&gt;=100000), " ",IF(INDEX($AN$2:$BO$1001,MATCH(ROWS($AG$2:AG340),$AG$2:$AG$1001,0),MATCH(COLUMNS($AN$1006:BB1006),$AN$1006:$BO$1006,0)), HYPERLINK("#",""), HYPERLINK(CONCATENATE("#Metadata!", ADDRESS(INDEX($AI$2:$AI$1001,MATCH(ROWS($AG$2:AG340),$AG$2:$AG$1001,0),0), INDEX($AN$1004:$BO$1004,1,MATCH(COLUMNS($AN$1006:BB1006),$AN$1006:$BO$1006,0)))),"Fix")))</f>
        <v>0</v>
      </c>
      <c r="Q340" s="4">
        <f>IF(OR(INDEX($AH$2:$AH$1001,MATCH(ROWS($AG$2:AG340),$AG$2:$AG$1001,0),1)&gt;=100000,INDEX($AN$1005:$BO$1005,1,MATCH(COLUMNS($AN$1006:BC1006),$AN$1006:$BO$1006,0))&gt;=100000), " ",IF(INDEX($AN$2:$BO$1001,MATCH(ROWS($AG$2:AG340),$AG$2:$AG$1001,0),MATCH(COLUMNS($AN$1006:BC1006),$AN$1006:$BO$1006,0)), HYPERLINK("#",""), HYPERLINK(CONCATENATE("#Metadata!", ADDRESS(INDEX($AI$2:$AI$1001,MATCH(ROWS($AG$2:AG340),$AG$2:$AG$1001,0),0), INDEX($AN$1004:$BO$1004,1,MATCH(COLUMNS($AN$1006:BC1006),$AN$1006:$BO$1006,0)))),"Fix")))</f>
        <v>0</v>
      </c>
      <c r="R340" s="4">
        <f>IF(OR(INDEX($AH$2:$AH$1001,MATCH(ROWS($AG$2:AG340),$AG$2:$AG$1001,0),1)&gt;=100000,INDEX($AN$1005:$BO$1005,1,MATCH(COLUMNS($AN$1006:BD1006),$AN$1006:$BO$1006,0))&gt;=100000), " ",IF(INDEX($AN$2:$BO$1001,MATCH(ROWS($AG$2:AG340),$AG$2:$AG$1001,0),MATCH(COLUMNS($AN$1006:BD1006),$AN$1006:$BO$1006,0)), HYPERLINK("#",""), HYPERLINK(CONCATENATE("#Metadata!", ADDRESS(INDEX($AI$2:$AI$1001,MATCH(ROWS($AG$2:AG340),$AG$2:$AG$1001,0),0), INDEX($AN$1004:$BO$1004,1,MATCH(COLUMNS($AN$1006:BD1006),$AN$1006:$BO$1006,0)))),"Fix")))</f>
        <v>0</v>
      </c>
      <c r="S340" s="4">
        <f>IF(OR(INDEX($AH$2:$AH$1001,MATCH(ROWS($AG$2:AG340),$AG$2:$AG$1001,0),1)&gt;=100000,INDEX($AN$1005:$BO$1005,1,MATCH(COLUMNS($AN$1006:BE1006),$AN$1006:$BO$1006,0))&gt;=100000), " ",IF(INDEX($AN$2:$BO$1001,MATCH(ROWS($AG$2:AG340),$AG$2:$AG$1001,0),MATCH(COLUMNS($AN$1006:BE1006),$AN$1006:$BO$1006,0)), HYPERLINK("#",""), HYPERLINK(CONCATENATE("#Metadata!", ADDRESS(INDEX($AI$2:$AI$1001,MATCH(ROWS($AG$2:AG340),$AG$2:$AG$1001,0),0), INDEX($AN$1004:$BO$1004,1,MATCH(COLUMNS($AN$1006:BE1006),$AN$1006:$BO$1006,0)))),"Fix")))</f>
        <v>0</v>
      </c>
      <c r="T340" s="4">
        <f>IF(OR(INDEX($AH$2:$AH$1001,MATCH(ROWS($AG$2:AG340),$AG$2:$AG$1001,0),1)&gt;=100000,INDEX($AN$1005:$BO$1005,1,MATCH(COLUMNS($AN$1006:BF1006),$AN$1006:$BO$1006,0))&gt;=100000), " ",IF(INDEX($AN$2:$BO$1001,MATCH(ROWS($AG$2:AG340),$AG$2:$AG$1001,0),MATCH(COLUMNS($AN$1006:BF1006),$AN$1006:$BO$1006,0)), HYPERLINK("#",""), HYPERLINK(CONCATENATE("#Metadata!", ADDRESS(INDEX($AI$2:$AI$1001,MATCH(ROWS($AG$2:AG340),$AG$2:$AG$1001,0),0), INDEX($AN$1004:$BO$1004,1,MATCH(COLUMNS($AN$1006:BF1006),$AN$1006:$BO$1006,0)))),"Fix")))</f>
        <v>0</v>
      </c>
      <c r="U340" s="4">
        <f>IF(OR(INDEX($AH$2:$AH$1001,MATCH(ROWS($AG$2:AG340),$AG$2:$AG$1001,0),1)&gt;=100000,INDEX($AN$1005:$BO$1005,1,MATCH(COLUMNS($AN$1006:BG1006),$AN$1006:$BO$1006,0))&gt;=100000), " ",IF(INDEX($AN$2:$BO$1001,MATCH(ROWS($AG$2:AG340),$AG$2:$AG$1001,0),MATCH(COLUMNS($AN$1006:BG1006),$AN$1006:$BO$1006,0)), HYPERLINK("#",""), HYPERLINK(CONCATENATE("#Metadata!", ADDRESS(INDEX($AI$2:$AI$1001,MATCH(ROWS($AG$2:AG340),$AG$2:$AG$1001,0),0), INDEX($AN$1004:$BO$1004,1,MATCH(COLUMNS($AN$1006:BG1006),$AN$1006:$BO$1006,0)))),"Fix")))</f>
        <v>0</v>
      </c>
      <c r="V340" s="4">
        <f>IF(OR(INDEX($AH$2:$AH$1001,MATCH(ROWS($AG$2:AG340),$AG$2:$AG$1001,0),1)&gt;=100000,INDEX($AN$1005:$BO$1005,1,MATCH(COLUMNS($AN$1006:BH1006),$AN$1006:$BO$1006,0))&gt;=100000), " ",IF(INDEX($AN$2:$BO$1001,MATCH(ROWS($AG$2:AG340),$AG$2:$AG$1001,0),MATCH(COLUMNS($AN$1006:BH1006),$AN$1006:$BO$1006,0)), HYPERLINK("#",""), HYPERLINK(CONCATENATE("#Metadata!", ADDRESS(INDEX($AI$2:$AI$1001,MATCH(ROWS($AG$2:AG340),$AG$2:$AG$1001,0),0), INDEX($AN$1004:$BO$1004,1,MATCH(COLUMNS($AN$1006:BH1006),$AN$1006:$BO$1006,0)))),"Fix")))</f>
        <v>0</v>
      </c>
      <c r="W340" s="4">
        <f>IF(OR(INDEX($AH$2:$AH$1001,MATCH(ROWS($AG$2:AG340),$AG$2:$AG$1001,0),1)&gt;=100000,INDEX($AN$1005:$BO$1005,1,MATCH(COLUMNS($AN$1006:BI1006),$AN$1006:$BO$1006,0))&gt;=100000), " ",IF(INDEX($AN$2:$BO$1001,MATCH(ROWS($AG$2:AG340),$AG$2:$AG$1001,0),MATCH(COLUMNS($AN$1006:BI1006),$AN$1006:$BO$1006,0)), HYPERLINK("#",""), HYPERLINK(CONCATENATE("#Metadata!", ADDRESS(INDEX($AI$2:$AI$1001,MATCH(ROWS($AG$2:AG340),$AG$2:$AG$1001,0),0), INDEX($AN$1004:$BO$1004,1,MATCH(COLUMNS($AN$1006:BI1006),$AN$1006:$BO$1006,0)))),"Fix")))</f>
        <v>0</v>
      </c>
      <c r="X340" s="4">
        <f>IF(OR(INDEX($AH$2:$AH$1001,MATCH(ROWS($AG$2:AG340),$AG$2:$AG$1001,0),1)&gt;=100000,INDEX($AN$1005:$BO$1005,1,MATCH(COLUMNS($AN$1006:BJ1006),$AN$1006:$BO$1006,0))&gt;=100000), " ",IF(INDEX($AN$2:$BO$1001,MATCH(ROWS($AG$2:AG340),$AG$2:$AG$1001,0),MATCH(COLUMNS($AN$1006:BJ1006),$AN$1006:$BO$1006,0)), HYPERLINK("#",""), HYPERLINK(CONCATENATE("#Metadata!", ADDRESS(INDEX($AI$2:$AI$1001,MATCH(ROWS($AG$2:AG340),$AG$2:$AG$1001,0),0), INDEX($AN$1004:$BO$1004,1,MATCH(COLUMNS($AN$1006:BJ1006),$AN$1006:$BO$1006,0)))),"Fix")))</f>
        <v>0</v>
      </c>
      <c r="Y340" s="4">
        <f>IF(OR(INDEX($AH$2:$AH$1001,MATCH(ROWS($AG$2:AG340),$AG$2:$AG$1001,0),1)&gt;=100000,INDEX($AN$1005:$BO$1005,1,MATCH(COLUMNS($AN$1006:BK1006),$AN$1006:$BO$1006,0))&gt;=100000), " ",IF(INDEX($AN$2:$BO$1001,MATCH(ROWS($AG$2:AG340),$AG$2:$AG$1001,0),MATCH(COLUMNS($AN$1006:BK1006),$AN$1006:$BO$1006,0)), HYPERLINK("#",""), HYPERLINK(CONCATENATE("#Metadata!", ADDRESS(INDEX($AI$2:$AI$1001,MATCH(ROWS($AG$2:AG340),$AG$2:$AG$1001,0),0), INDEX($AN$1004:$BO$1004,1,MATCH(COLUMNS($AN$1006:BK1006),$AN$1006:$BO$1006,0)))),"Fix")))</f>
        <v>0</v>
      </c>
      <c r="Z340" s="4">
        <f>IF(OR(INDEX($AH$2:$AH$1001,MATCH(ROWS($AG$2:AG340),$AG$2:$AG$1001,0),1)&gt;=100000,INDEX($AN$1005:$BO$1005,1,MATCH(COLUMNS($AN$1006:BL1006),$AN$1006:$BO$1006,0))&gt;=100000), " ",IF(INDEX($AN$2:$BO$1001,MATCH(ROWS($AG$2:AG340),$AG$2:$AG$1001,0),MATCH(COLUMNS($AN$1006:BL1006),$AN$1006:$BO$1006,0)), HYPERLINK("#",""), HYPERLINK(CONCATENATE("#Metadata!", ADDRESS(INDEX($AI$2:$AI$1001,MATCH(ROWS($AG$2:AG340),$AG$2:$AG$1001,0),0), INDEX($AN$1004:$BO$1004,1,MATCH(COLUMNS($AN$1006:BL1006),$AN$1006:$BO$1006,0)))),"Fix")))</f>
        <v>0</v>
      </c>
      <c r="AA340" s="4">
        <f>IF(OR(INDEX($AH$2:$AH$1001,MATCH(ROWS($AG$2:AG340),$AG$2:$AG$1001,0),1)&gt;=100000,INDEX($AN$1005:$BO$1005,1,MATCH(COLUMNS($AN$1006:BM1006),$AN$1006:$BO$1006,0))&gt;=100000), " ",IF(INDEX($AN$2:$BO$1001,MATCH(ROWS($AG$2:AG340),$AG$2:$AG$1001,0),MATCH(COLUMNS($AN$1006:BM1006),$AN$1006:$BO$1006,0)), HYPERLINK("#",""), HYPERLINK(CONCATENATE("#Metadata!", ADDRESS(INDEX($AI$2:$AI$1001,MATCH(ROWS($AG$2:AG340),$AG$2:$AG$1001,0),0), INDEX($AN$1004:$BO$1004,1,MATCH(COLUMNS($AN$1006:BM1006),$AN$1006:$BO$1006,0)))),"Fix")))</f>
        <v>0</v>
      </c>
      <c r="AB340" s="4">
        <f>IF(OR(INDEX($AH$2:$AH$1001,MATCH(ROWS($AG$2:AG340),$AG$2:$AG$1001,0),1)&gt;=100000,INDEX($AN$1005:$BO$1005,1,MATCH(COLUMNS($AN$1006:BN1006),$AN$1006:$BO$1006,0))&gt;=100000), " ",IF(INDEX($AN$2:$BO$1001,MATCH(ROWS($AG$2:AG340),$AG$2:$AG$1001,0),MATCH(COLUMNS($AN$1006:BN1006),$AN$1006:$BO$1006,0)), HYPERLINK("#",""), HYPERLINK(CONCATENATE("#Metadata!", ADDRESS(INDEX($AI$2:$AI$1001,MATCH(ROWS($AG$2:AG340),$AG$2:$AG$1001,0),0), INDEX($AN$1004:$BO$1004,1,MATCH(COLUMNS($AN$1006:BN1006),$AN$1006:$BO$1006,0)))),"Fix")))</f>
        <v>0</v>
      </c>
      <c r="AC340" s="4">
        <f>IF(OR(INDEX($AH$2:$AH$1001,MATCH(ROWS($AG$2:AG340),$AG$2:$AG$1001,0),1)&gt;=100000,INDEX($AN$1005:$BO$1005,1,MATCH(COLUMNS($AN$1006:BO1006),$AN$1006:$BO$1006,0))&gt;=100000), " ",IF(INDEX($AN$2:$BO$1001,MATCH(ROWS($AG$2:AG340),$AG$2:$AG$1001,0),MATCH(COLUMNS($AN$1006:BO1006),$AN$1006:$BO$1006,0)), HYPERLINK("#",""), HYPERLINK(CONCATENATE("#Metadata!", ADDRESS(INDEX($AI$2:$AI$1001,MATCH(ROWS($AG$2:AG340),$AG$2:$AG$1001,0),0), INDEX($AN$1004:$BO$1004,1,MATCH(COLUMNS($AN$1006:BO1006),$AN$1006:$BO$1006,0)))),"Fix")))</f>
        <v>0</v>
      </c>
      <c r="AG340">
        <v>0</v>
      </c>
      <c r="AH340">
        <v>0</v>
      </c>
      <c r="AI340">
        <v>0</v>
      </c>
      <c r="AJ340">
        <f>IF(AK340,TRUE,AND(AN340:BO340))</f>
        <v>0</v>
      </c>
      <c r="AK340">
        <f>COUNTBLANK(Metadata!B340:AC340)=COLUMNS(Metadata!B340:AC340)</f>
        <v>0</v>
      </c>
      <c r="AL340">
        <v>0</v>
      </c>
      <c r="AN340">
        <f>AND(IF(Metadata!B340="",FALSE,TRUE),COUNTIF(Metadata!B:B, Metadata!B340) = 1,NOT(ISERROR(SUMPRODUCT(SEARCH(MID(Metadata!B340,ROW(INDIRECT("1:"&amp;LEN(Metadata!B340))), 1),"0123456789abcdefghijklmnopqrstuvwxyzABCDEFGHIJKLMNOPQRSTUVWXYZ.")))))</f>
        <v>0</v>
      </c>
      <c r="AO340">
        <f>IF(Metadata!C340="",FALSE,TRUE)</f>
        <v>0</v>
      </c>
      <c r="AP340">
        <f>IF(Metadata!D340="",FALSE,TRUE)</f>
        <v>0</v>
      </c>
      <c r="AQ340">
        <f>OR(AND(IF(Metadata!E340="",FALSE,TRUE),OR(exact(Metadata!E340,"not collected"),exact(Metadata!E340,"not provided"),exact(Metadata!E340,"restricted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R340">
        <f>IF(Metadata!F340="",FALSE,TRUE)</f>
        <v>0</v>
      </c>
      <c r="AS340">
        <f>OR(AND(IF(Metadata!G340="",FALSE,TRUE),OR(exact(Metadata!G340,"not collected"),exact(Metadata!G340,"not provided"))),AND(IF(Metadata!G340="",FALSE,TRUE),OR(exact(Metadata!G340,"TRUE"),exact(Metadata!G340,"FALSE"))))</f>
        <v>0</v>
      </c>
      <c r="AT340">
        <f>OR(AND(IF(Metadata!H340="",FALSE,TRUE),OR(exact(Metadata!H340,"not collected"),exact(Metadata!H340,"not provided"),exact(Metadata!H340,"restricted access"))),AND(IF(Metadata!H340="",FALSE,ISNUMBER(VALUE(Metadata!H340))),Metadata!H340&gt;=-413.0))</f>
        <v>0</v>
      </c>
      <c r="AU340">
        <f>AND(IF(Metadata!I340="",FALSE,TRUE),exact(Metadata!I340,"meters"))</f>
        <v>0</v>
      </c>
      <c r="AV340">
        <f>AND(IF(Metadata!J340="",FALSE,TRUE),OR(exact(Metadata!J340,"Host-associated"),exact(Metadata!J340,"Free-living")))</f>
        <v>0</v>
      </c>
      <c r="AW340">
        <f>AND(IF(Metadata!K340="",FALSE,TRUE),OR(exact(Metadata!K340,"Animal"),exact(Metadata!K340,"Fungus"),exact(Metadata!K340,"Plant"),exact(Metadata!K340,"Saline"),exact(Metadata!K340,"Non-saline")))</f>
        <v>0</v>
      </c>
      <c r="AX340">
        <f>AND(IF(Metadata!L340="",FALSE,TRUE),OR(exact(Metadata!L340,"Plant secretion"),exact(Metadata!L340,"Plant rhizosphere"),exact(Metadata!L340,"Plant surface"),exact(Metadata!L340,"Plant corpus"),exact(Metadata!L340,"Fungus surface"),exact(Metadata!L340,"Fungus corpus"),exact(Metadata!L340,"Animal surface"),exact(Metadata!L340,"Animal proximal gut"),exact(Metadata!L340,"Animal corpus"),exact(Metadata!L340,"Animal distal gut"),exact(Metadata!L340,"Animal secretion"),exact(Metadata!L340,"Sub-surface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Y340">
        <f>IF(Metadata!M340="",FALSE,TRUE)</f>
        <v>0</v>
      </c>
      <c r="AZ340">
        <f>IF(Metadata!N340="",FALSE,TRUE)</f>
        <v>0</v>
      </c>
      <c r="BA340">
        <f>IF(Metadata!O340="",FALSE,TRUE)</f>
        <v>0</v>
      </c>
      <c r="BB340">
        <f>OR(AND(IF(Metadata!P340="",FALSE,TRUE),OR(exact(Metadata!P340,"not collected"),exact(Metadata!P340,"not provided"),exact(Metadata!P340,"restricted access"))),AND(IF(Metadata!P340="",FALSE,TRUE),OR(exact(Metadata!P340,"air"),exact(Metadata!P340,"built environment"),exact(Metadata!P340,"host-associated"),exact(Metadata!P340,"human-associated"),exact(Metadata!P340,"human-skin"),exact(Metadata!P340,"human-oral"),exact(Metadata!P340,"human-gut"),exact(Metadata!P340,"human-vaginal"),exact(Metadata!P340,"microbial mat/biofilm"),exact(Metadata!P340,"misc environment"),exact(Metadata!P340,"plant-associated"),exact(Metadata!P340,"sediment"),exact(Metadata!P340,"soil"),exact(Metadata!P340,"wastewater/sludge"),exact(Metadata!P340,"water"))))</f>
        <v>0</v>
      </c>
      <c r="BC340">
        <f>IF(Metadata!Q340="",FALSE,TRUE)</f>
        <v>0</v>
      </c>
      <c r="BD340">
        <f>IF(Metadata!R340="",FALSE,TRUE)</f>
        <v>0</v>
      </c>
      <c r="BE340">
        <f>OR(AND(IF(Metadata!S340="",FALSE,TRUE),OR(exact(Metadata!S340,"not collected"),exact(Metadata!S340,"not provided"),exact(Metadata!S340,"restricted access"))),AND(IF(Metadata!S340="",FALSE,ISNUMBER(VALUE(Metadata!S340))),Metadata!S340&gt;=-90.00,Metadata!S340&lt;=90.00))</f>
        <v>0</v>
      </c>
      <c r="BF340">
        <f>AND(IF(Metadata!T340="",FALSE,TRUE),exact(Metadata!T340,"Decimal degrees"))</f>
        <v>0</v>
      </c>
      <c r="BG340">
        <f>OR(AND(IF(Metadata!U340="",FALSE,TRUE),OR(exact(Metadata!U340,"not collected"),exact(Metadata!U340,"not provided"),exact(Metadata!U340,"restricted access"))),AND(IF(Metadata!U340="",FALSE,ISNUMBER(VALUE(Metadata!U340))),Metadata!U340&gt;=-180.00,Metadata!U340&lt;=180.00))</f>
        <v>0</v>
      </c>
      <c r="BH340">
        <f>AND(IF(Metadata!V340="",FALSE,TRUE),exact(Metadata!V340,"Decimal degrees"))</f>
        <v>0</v>
      </c>
      <c r="BI340">
        <f>IF(Metadata!W340="",FALSE,TRUE)</f>
        <v>0</v>
      </c>
      <c r="BJ340">
        <f>OR(AND(IF(Metadata!X340="",FALSE,TRUE),OR(exact(Metadata!X340,"not collected"),exact(Metadata!X340,"not provided"),exact(Metadata!X340,"restricted access"))),AND(IF(Metadata!X340="",FALSE,TRUE),OR(exact(Metadata!X340,"TRUE"),exact(Metadata!X340,"FALSE"))))</f>
        <v>0</v>
      </c>
      <c r="BK340">
        <f>AND(IF(Metadata!Y340="",FALSE,TRUE),exact(Metadata!Y340,"other"))</f>
        <v>0</v>
      </c>
      <c r="BL340">
        <f>IF(Metadata!Z340="",FALSE,TRUE)</f>
        <v>0</v>
      </c>
      <c r="BM340">
        <f>OR(AND(IF(Metadata!AA340="",FALSE,TRUE),OR(exact(Metadata!AA340,"not collected"),exact(Metadata!AA340,"not provided"))),AND(IF(Metadata!AA340="",FALSE,IF(ISERROR(INT(Metadata!AA340)),FALSE,INT(Metadata!AA340)=Metadata!AA340)),Metadata!AA340&gt;0))</f>
        <v>0</v>
      </c>
      <c r="BN340">
        <f>AND(IF(Metadata!AB340="",FALSE,TRUE),exact(Metadata!AB340,"Not applicable"))</f>
        <v>0</v>
      </c>
      <c r="BO340">
        <f>IF(Metadata!AC340="",FALSE,TRUE)</f>
        <v>0</v>
      </c>
    </row>
    <row r="341" spans="1:67">
      <c r="A341" s="5">
        <f>IF(B341=" "," ",HYPERLINK(CONCATENATE("#metadata!",ADDRESS(INDEX($AI$2:$AI$1001,MATCH(ROWS($AG$2:AG341),$AG$2:$AG$1001,0),0),1)),INDEX($AL$2:$AL$1001,MATCH(ROWS($AG$2:AG341),$AG$2:$AG$1001,0),0)))</f>
        <v>0</v>
      </c>
      <c r="B341" s="4">
        <f>IF(OR(INDEX($AH$2:$AH$1001,MATCH(ROWS($AG$2:AG341),$AG$2:$AG$1001,0),1)&gt;=100000,INDEX($AN$1005:$BO$1005,1,MATCH(COLUMNS($AN$1006:AN1006),$AN$1006:$BO$1006,0))&gt;=100000), " ",IF(INDEX($AN$2:$BO$1001,MATCH(ROWS($AG$2:AG341),$AG$2:$AG$1001,0),MATCH(COLUMNS($AN$1006:AN1006),$AN$1006:$BO$1006,0)), HYPERLINK("#",""), HYPERLINK(CONCATENATE("#Metadata!", ADDRESS(INDEX($AI$2:$AI$1001,MATCH(ROWS($AG$2:AG341),$AG$2:$AG$1001,0),0), INDEX($AN$1004:$BO$1004,1,MATCH(COLUMNS($AN$1006:AN1006),$AN$1006:$BO$1006,0)))),"Fix")))</f>
        <v>0</v>
      </c>
      <c r="C341" s="4">
        <f>IF(OR(INDEX($AH$2:$AH$1001,MATCH(ROWS($AG$2:AG341),$AG$2:$AG$1001,0),1)&gt;=100000,INDEX($AN$1005:$BO$1005,1,MATCH(COLUMNS($AN$1006:AO1006),$AN$1006:$BO$1006,0))&gt;=100000), " ",IF(INDEX($AN$2:$BO$1001,MATCH(ROWS($AG$2:AG341),$AG$2:$AG$1001,0),MATCH(COLUMNS($AN$1006:AO1006),$AN$1006:$BO$1006,0)), HYPERLINK("#",""), HYPERLINK(CONCATENATE("#Metadata!", ADDRESS(INDEX($AI$2:$AI$1001,MATCH(ROWS($AG$2:AG341),$AG$2:$AG$1001,0),0), INDEX($AN$1004:$BO$1004,1,MATCH(COLUMNS($AN$1006:AO1006),$AN$1006:$BO$1006,0)))),"Fix")))</f>
        <v>0</v>
      </c>
      <c r="D341" s="4">
        <f>IF(OR(INDEX($AH$2:$AH$1001,MATCH(ROWS($AG$2:AG341),$AG$2:$AG$1001,0),1)&gt;=100000,INDEX($AN$1005:$BO$1005,1,MATCH(COLUMNS($AN$1006:AP1006),$AN$1006:$BO$1006,0))&gt;=100000), " ",IF(INDEX($AN$2:$BO$1001,MATCH(ROWS($AG$2:AG341),$AG$2:$AG$1001,0),MATCH(COLUMNS($AN$1006:AP1006),$AN$1006:$BO$1006,0)), HYPERLINK("#",""), HYPERLINK(CONCATENATE("#Metadata!", ADDRESS(INDEX($AI$2:$AI$1001,MATCH(ROWS($AG$2:AG341),$AG$2:$AG$1001,0),0), INDEX($AN$1004:$BO$1004,1,MATCH(COLUMNS($AN$1006:AP1006),$AN$1006:$BO$1006,0)))),"Fix")))</f>
        <v>0</v>
      </c>
      <c r="E341" s="4">
        <f>IF(OR(INDEX($AH$2:$AH$1001,MATCH(ROWS($AG$2:AG341),$AG$2:$AG$1001,0),1)&gt;=100000,INDEX($AN$1005:$BO$1005,1,MATCH(COLUMNS($AN$1006:AQ1006),$AN$1006:$BO$1006,0))&gt;=100000), " ",IF(INDEX($AN$2:$BO$1001,MATCH(ROWS($AG$2:AG341),$AG$2:$AG$1001,0),MATCH(COLUMNS($AN$1006:AQ1006),$AN$1006:$BO$1006,0)), HYPERLINK("#",""), HYPERLINK(CONCATENATE("#Metadata!", ADDRESS(INDEX($AI$2:$AI$1001,MATCH(ROWS($AG$2:AG341),$AG$2:$AG$1001,0),0), INDEX($AN$1004:$BO$1004,1,MATCH(COLUMNS($AN$1006:AQ1006),$AN$1006:$BO$1006,0)))),"Fix")))</f>
        <v>0</v>
      </c>
      <c r="F341" s="4">
        <f>IF(OR(INDEX($AH$2:$AH$1001,MATCH(ROWS($AG$2:AG341),$AG$2:$AG$1001,0),1)&gt;=100000,INDEX($AN$1005:$BO$1005,1,MATCH(COLUMNS($AN$1006:AR1006),$AN$1006:$BO$1006,0))&gt;=100000), " ",IF(INDEX($AN$2:$BO$1001,MATCH(ROWS($AG$2:AG341),$AG$2:$AG$1001,0),MATCH(COLUMNS($AN$1006:AR1006),$AN$1006:$BO$1006,0)), HYPERLINK("#",""), HYPERLINK(CONCATENATE("#Metadata!", ADDRESS(INDEX($AI$2:$AI$1001,MATCH(ROWS($AG$2:AG341),$AG$2:$AG$1001,0),0), INDEX($AN$1004:$BO$1004,1,MATCH(COLUMNS($AN$1006:AR1006),$AN$1006:$BO$1006,0)))),"Fix")))</f>
        <v>0</v>
      </c>
      <c r="G341" s="4">
        <f>IF(OR(INDEX($AH$2:$AH$1001,MATCH(ROWS($AG$2:AG341),$AG$2:$AG$1001,0),1)&gt;=100000,INDEX($AN$1005:$BO$1005,1,MATCH(COLUMNS($AN$1006:AS1006),$AN$1006:$BO$1006,0))&gt;=100000), " ",IF(INDEX($AN$2:$BO$1001,MATCH(ROWS($AG$2:AG341),$AG$2:$AG$1001,0),MATCH(COLUMNS($AN$1006:AS1006),$AN$1006:$BO$1006,0)), HYPERLINK("#",""), HYPERLINK(CONCATENATE("#Metadata!", ADDRESS(INDEX($AI$2:$AI$1001,MATCH(ROWS($AG$2:AG341),$AG$2:$AG$1001,0),0), INDEX($AN$1004:$BO$1004,1,MATCH(COLUMNS($AN$1006:AS1006),$AN$1006:$BO$1006,0)))),"Fix")))</f>
        <v>0</v>
      </c>
      <c r="H341" s="4">
        <f>IF(OR(INDEX($AH$2:$AH$1001,MATCH(ROWS($AG$2:AG341),$AG$2:$AG$1001,0),1)&gt;=100000,INDEX($AN$1005:$BO$1005,1,MATCH(COLUMNS($AN$1006:AT1006),$AN$1006:$BO$1006,0))&gt;=100000), " ",IF(INDEX($AN$2:$BO$1001,MATCH(ROWS($AG$2:AG341),$AG$2:$AG$1001,0),MATCH(COLUMNS($AN$1006:AT1006),$AN$1006:$BO$1006,0)), HYPERLINK("#",""), HYPERLINK(CONCATENATE("#Metadata!", ADDRESS(INDEX($AI$2:$AI$1001,MATCH(ROWS($AG$2:AG341),$AG$2:$AG$1001,0),0), INDEX($AN$1004:$BO$1004,1,MATCH(COLUMNS($AN$1006:AT1006),$AN$1006:$BO$1006,0)))),"Fix")))</f>
        <v>0</v>
      </c>
      <c r="I341" s="4">
        <f>IF(OR(INDEX($AH$2:$AH$1001,MATCH(ROWS($AG$2:AG341),$AG$2:$AG$1001,0),1)&gt;=100000,INDEX($AN$1005:$BO$1005,1,MATCH(COLUMNS($AN$1006:AU1006),$AN$1006:$BO$1006,0))&gt;=100000), " ",IF(INDEX($AN$2:$BO$1001,MATCH(ROWS($AG$2:AG341),$AG$2:$AG$1001,0),MATCH(COLUMNS($AN$1006:AU1006),$AN$1006:$BO$1006,0)), HYPERLINK("#",""), HYPERLINK(CONCATENATE("#Metadata!", ADDRESS(INDEX($AI$2:$AI$1001,MATCH(ROWS($AG$2:AG341),$AG$2:$AG$1001,0),0), INDEX($AN$1004:$BO$1004,1,MATCH(COLUMNS($AN$1006:AU1006),$AN$1006:$BO$1006,0)))),"Fix")))</f>
        <v>0</v>
      </c>
      <c r="J341" s="4">
        <f>IF(OR(INDEX($AH$2:$AH$1001,MATCH(ROWS($AG$2:AG341),$AG$2:$AG$1001,0),1)&gt;=100000,INDEX($AN$1005:$BO$1005,1,MATCH(COLUMNS($AN$1006:AV1006),$AN$1006:$BO$1006,0))&gt;=100000), " ",IF(INDEX($AN$2:$BO$1001,MATCH(ROWS($AG$2:AG341),$AG$2:$AG$1001,0),MATCH(COLUMNS($AN$1006:AV1006),$AN$1006:$BO$1006,0)), HYPERLINK("#",""), HYPERLINK(CONCATENATE("#Metadata!", ADDRESS(INDEX($AI$2:$AI$1001,MATCH(ROWS($AG$2:AG341),$AG$2:$AG$1001,0),0), INDEX($AN$1004:$BO$1004,1,MATCH(COLUMNS($AN$1006:AV1006),$AN$1006:$BO$1006,0)))),"Fix")))</f>
        <v>0</v>
      </c>
      <c r="K341" s="4">
        <f>IF(OR(INDEX($AH$2:$AH$1001,MATCH(ROWS($AG$2:AG341),$AG$2:$AG$1001,0),1)&gt;=100000,INDEX($AN$1005:$BO$1005,1,MATCH(COLUMNS($AN$1006:AW1006),$AN$1006:$BO$1006,0))&gt;=100000), " ",IF(INDEX($AN$2:$BO$1001,MATCH(ROWS($AG$2:AG341),$AG$2:$AG$1001,0),MATCH(COLUMNS($AN$1006:AW1006),$AN$1006:$BO$1006,0)), HYPERLINK("#",""), HYPERLINK(CONCATENATE("#Metadata!", ADDRESS(INDEX($AI$2:$AI$1001,MATCH(ROWS($AG$2:AG341),$AG$2:$AG$1001,0),0), INDEX($AN$1004:$BO$1004,1,MATCH(COLUMNS($AN$1006:AW1006),$AN$1006:$BO$1006,0)))),"Fix")))</f>
        <v>0</v>
      </c>
      <c r="L341" s="4">
        <f>IF(OR(INDEX($AH$2:$AH$1001,MATCH(ROWS($AG$2:AG341),$AG$2:$AG$1001,0),1)&gt;=100000,INDEX($AN$1005:$BO$1005,1,MATCH(COLUMNS($AN$1006:AX1006),$AN$1006:$BO$1006,0))&gt;=100000), " ",IF(INDEX($AN$2:$BO$1001,MATCH(ROWS($AG$2:AG341),$AG$2:$AG$1001,0),MATCH(COLUMNS($AN$1006:AX1006),$AN$1006:$BO$1006,0)), HYPERLINK("#",""), HYPERLINK(CONCATENATE("#Metadata!", ADDRESS(INDEX($AI$2:$AI$1001,MATCH(ROWS($AG$2:AG341),$AG$2:$AG$1001,0),0), INDEX($AN$1004:$BO$1004,1,MATCH(COLUMNS($AN$1006:AX1006),$AN$1006:$BO$1006,0)))),"Fix")))</f>
        <v>0</v>
      </c>
      <c r="M341" s="4">
        <f>IF(OR(INDEX($AH$2:$AH$1001,MATCH(ROWS($AG$2:AG341),$AG$2:$AG$1001,0),1)&gt;=100000,INDEX($AN$1005:$BO$1005,1,MATCH(COLUMNS($AN$1006:AY1006),$AN$1006:$BO$1006,0))&gt;=100000), " ",IF(INDEX($AN$2:$BO$1001,MATCH(ROWS($AG$2:AG341),$AG$2:$AG$1001,0),MATCH(COLUMNS($AN$1006:AY1006),$AN$1006:$BO$1006,0)), HYPERLINK("#",""), HYPERLINK(CONCATENATE("#Metadata!", ADDRESS(INDEX($AI$2:$AI$1001,MATCH(ROWS($AG$2:AG341),$AG$2:$AG$1001,0),0), INDEX($AN$1004:$BO$1004,1,MATCH(COLUMNS($AN$1006:AY1006),$AN$1006:$BO$1006,0)))),"Fix")))</f>
        <v>0</v>
      </c>
      <c r="N341" s="4">
        <f>IF(OR(INDEX($AH$2:$AH$1001,MATCH(ROWS($AG$2:AG341),$AG$2:$AG$1001,0),1)&gt;=100000,INDEX($AN$1005:$BO$1005,1,MATCH(COLUMNS($AN$1006:AZ1006),$AN$1006:$BO$1006,0))&gt;=100000), " ",IF(INDEX($AN$2:$BO$1001,MATCH(ROWS($AG$2:AG341),$AG$2:$AG$1001,0),MATCH(COLUMNS($AN$1006:AZ1006),$AN$1006:$BO$1006,0)), HYPERLINK("#",""), HYPERLINK(CONCATENATE("#Metadata!", ADDRESS(INDEX($AI$2:$AI$1001,MATCH(ROWS($AG$2:AG341),$AG$2:$AG$1001,0),0), INDEX($AN$1004:$BO$1004,1,MATCH(COLUMNS($AN$1006:AZ1006),$AN$1006:$BO$1006,0)))),"Fix")))</f>
        <v>0</v>
      </c>
      <c r="O341" s="4">
        <f>IF(OR(INDEX($AH$2:$AH$1001,MATCH(ROWS($AG$2:AG341),$AG$2:$AG$1001,0),1)&gt;=100000,INDEX($AN$1005:$BO$1005,1,MATCH(COLUMNS($AN$1006:BA1006),$AN$1006:$BO$1006,0))&gt;=100000), " ",IF(INDEX($AN$2:$BO$1001,MATCH(ROWS($AG$2:AG341),$AG$2:$AG$1001,0),MATCH(COLUMNS($AN$1006:BA1006),$AN$1006:$BO$1006,0)), HYPERLINK("#",""), HYPERLINK(CONCATENATE("#Metadata!", ADDRESS(INDEX($AI$2:$AI$1001,MATCH(ROWS($AG$2:AG341),$AG$2:$AG$1001,0),0), INDEX($AN$1004:$BO$1004,1,MATCH(COLUMNS($AN$1006:BA1006),$AN$1006:$BO$1006,0)))),"Fix")))</f>
        <v>0</v>
      </c>
      <c r="P341" s="4">
        <f>IF(OR(INDEX($AH$2:$AH$1001,MATCH(ROWS($AG$2:AG341),$AG$2:$AG$1001,0),1)&gt;=100000,INDEX($AN$1005:$BO$1005,1,MATCH(COLUMNS($AN$1006:BB1006),$AN$1006:$BO$1006,0))&gt;=100000), " ",IF(INDEX($AN$2:$BO$1001,MATCH(ROWS($AG$2:AG341),$AG$2:$AG$1001,0),MATCH(COLUMNS($AN$1006:BB1006),$AN$1006:$BO$1006,0)), HYPERLINK("#",""), HYPERLINK(CONCATENATE("#Metadata!", ADDRESS(INDEX($AI$2:$AI$1001,MATCH(ROWS($AG$2:AG341),$AG$2:$AG$1001,0),0), INDEX($AN$1004:$BO$1004,1,MATCH(COLUMNS($AN$1006:BB1006),$AN$1006:$BO$1006,0)))),"Fix")))</f>
        <v>0</v>
      </c>
      <c r="Q341" s="4">
        <f>IF(OR(INDEX($AH$2:$AH$1001,MATCH(ROWS($AG$2:AG341),$AG$2:$AG$1001,0),1)&gt;=100000,INDEX($AN$1005:$BO$1005,1,MATCH(COLUMNS($AN$1006:BC1006),$AN$1006:$BO$1006,0))&gt;=100000), " ",IF(INDEX($AN$2:$BO$1001,MATCH(ROWS($AG$2:AG341),$AG$2:$AG$1001,0),MATCH(COLUMNS($AN$1006:BC1006),$AN$1006:$BO$1006,0)), HYPERLINK("#",""), HYPERLINK(CONCATENATE("#Metadata!", ADDRESS(INDEX($AI$2:$AI$1001,MATCH(ROWS($AG$2:AG341),$AG$2:$AG$1001,0),0), INDEX($AN$1004:$BO$1004,1,MATCH(COLUMNS($AN$1006:BC1006),$AN$1006:$BO$1006,0)))),"Fix")))</f>
        <v>0</v>
      </c>
      <c r="R341" s="4">
        <f>IF(OR(INDEX($AH$2:$AH$1001,MATCH(ROWS($AG$2:AG341),$AG$2:$AG$1001,0),1)&gt;=100000,INDEX($AN$1005:$BO$1005,1,MATCH(COLUMNS($AN$1006:BD1006),$AN$1006:$BO$1006,0))&gt;=100000), " ",IF(INDEX($AN$2:$BO$1001,MATCH(ROWS($AG$2:AG341),$AG$2:$AG$1001,0),MATCH(COLUMNS($AN$1006:BD1006),$AN$1006:$BO$1006,0)), HYPERLINK("#",""), HYPERLINK(CONCATENATE("#Metadata!", ADDRESS(INDEX($AI$2:$AI$1001,MATCH(ROWS($AG$2:AG341),$AG$2:$AG$1001,0),0), INDEX($AN$1004:$BO$1004,1,MATCH(COLUMNS($AN$1006:BD1006),$AN$1006:$BO$1006,0)))),"Fix")))</f>
        <v>0</v>
      </c>
      <c r="S341" s="4">
        <f>IF(OR(INDEX($AH$2:$AH$1001,MATCH(ROWS($AG$2:AG341),$AG$2:$AG$1001,0),1)&gt;=100000,INDEX($AN$1005:$BO$1005,1,MATCH(COLUMNS($AN$1006:BE1006),$AN$1006:$BO$1006,0))&gt;=100000), " ",IF(INDEX($AN$2:$BO$1001,MATCH(ROWS($AG$2:AG341),$AG$2:$AG$1001,0),MATCH(COLUMNS($AN$1006:BE1006),$AN$1006:$BO$1006,0)), HYPERLINK("#",""), HYPERLINK(CONCATENATE("#Metadata!", ADDRESS(INDEX($AI$2:$AI$1001,MATCH(ROWS($AG$2:AG341),$AG$2:$AG$1001,0),0), INDEX($AN$1004:$BO$1004,1,MATCH(COLUMNS($AN$1006:BE1006),$AN$1006:$BO$1006,0)))),"Fix")))</f>
        <v>0</v>
      </c>
      <c r="T341" s="4">
        <f>IF(OR(INDEX($AH$2:$AH$1001,MATCH(ROWS($AG$2:AG341),$AG$2:$AG$1001,0),1)&gt;=100000,INDEX($AN$1005:$BO$1005,1,MATCH(COLUMNS($AN$1006:BF1006),$AN$1006:$BO$1006,0))&gt;=100000), " ",IF(INDEX($AN$2:$BO$1001,MATCH(ROWS($AG$2:AG341),$AG$2:$AG$1001,0),MATCH(COLUMNS($AN$1006:BF1006),$AN$1006:$BO$1006,0)), HYPERLINK("#",""), HYPERLINK(CONCATENATE("#Metadata!", ADDRESS(INDEX($AI$2:$AI$1001,MATCH(ROWS($AG$2:AG341),$AG$2:$AG$1001,0),0), INDEX($AN$1004:$BO$1004,1,MATCH(COLUMNS($AN$1006:BF1006),$AN$1006:$BO$1006,0)))),"Fix")))</f>
        <v>0</v>
      </c>
      <c r="U341" s="4">
        <f>IF(OR(INDEX($AH$2:$AH$1001,MATCH(ROWS($AG$2:AG341),$AG$2:$AG$1001,0),1)&gt;=100000,INDEX($AN$1005:$BO$1005,1,MATCH(COLUMNS($AN$1006:BG1006),$AN$1006:$BO$1006,0))&gt;=100000), " ",IF(INDEX($AN$2:$BO$1001,MATCH(ROWS($AG$2:AG341),$AG$2:$AG$1001,0),MATCH(COLUMNS($AN$1006:BG1006),$AN$1006:$BO$1006,0)), HYPERLINK("#",""), HYPERLINK(CONCATENATE("#Metadata!", ADDRESS(INDEX($AI$2:$AI$1001,MATCH(ROWS($AG$2:AG341),$AG$2:$AG$1001,0),0), INDEX($AN$1004:$BO$1004,1,MATCH(COLUMNS($AN$1006:BG1006),$AN$1006:$BO$1006,0)))),"Fix")))</f>
        <v>0</v>
      </c>
      <c r="V341" s="4">
        <f>IF(OR(INDEX($AH$2:$AH$1001,MATCH(ROWS($AG$2:AG341),$AG$2:$AG$1001,0),1)&gt;=100000,INDEX($AN$1005:$BO$1005,1,MATCH(COLUMNS($AN$1006:BH1006),$AN$1006:$BO$1006,0))&gt;=100000), " ",IF(INDEX($AN$2:$BO$1001,MATCH(ROWS($AG$2:AG341),$AG$2:$AG$1001,0),MATCH(COLUMNS($AN$1006:BH1006),$AN$1006:$BO$1006,0)), HYPERLINK("#",""), HYPERLINK(CONCATENATE("#Metadata!", ADDRESS(INDEX($AI$2:$AI$1001,MATCH(ROWS($AG$2:AG341),$AG$2:$AG$1001,0),0), INDEX($AN$1004:$BO$1004,1,MATCH(COLUMNS($AN$1006:BH1006),$AN$1006:$BO$1006,0)))),"Fix")))</f>
        <v>0</v>
      </c>
      <c r="W341" s="4">
        <f>IF(OR(INDEX($AH$2:$AH$1001,MATCH(ROWS($AG$2:AG341),$AG$2:$AG$1001,0),1)&gt;=100000,INDEX($AN$1005:$BO$1005,1,MATCH(COLUMNS($AN$1006:BI1006),$AN$1006:$BO$1006,0))&gt;=100000), " ",IF(INDEX($AN$2:$BO$1001,MATCH(ROWS($AG$2:AG341),$AG$2:$AG$1001,0),MATCH(COLUMNS($AN$1006:BI1006),$AN$1006:$BO$1006,0)), HYPERLINK("#",""), HYPERLINK(CONCATENATE("#Metadata!", ADDRESS(INDEX($AI$2:$AI$1001,MATCH(ROWS($AG$2:AG341),$AG$2:$AG$1001,0),0), INDEX($AN$1004:$BO$1004,1,MATCH(COLUMNS($AN$1006:BI1006),$AN$1006:$BO$1006,0)))),"Fix")))</f>
        <v>0</v>
      </c>
      <c r="X341" s="4">
        <f>IF(OR(INDEX($AH$2:$AH$1001,MATCH(ROWS($AG$2:AG341),$AG$2:$AG$1001,0),1)&gt;=100000,INDEX($AN$1005:$BO$1005,1,MATCH(COLUMNS($AN$1006:BJ1006),$AN$1006:$BO$1006,0))&gt;=100000), " ",IF(INDEX($AN$2:$BO$1001,MATCH(ROWS($AG$2:AG341),$AG$2:$AG$1001,0),MATCH(COLUMNS($AN$1006:BJ1006),$AN$1006:$BO$1006,0)), HYPERLINK("#",""), HYPERLINK(CONCATENATE("#Metadata!", ADDRESS(INDEX($AI$2:$AI$1001,MATCH(ROWS($AG$2:AG341),$AG$2:$AG$1001,0),0), INDEX($AN$1004:$BO$1004,1,MATCH(COLUMNS($AN$1006:BJ1006),$AN$1006:$BO$1006,0)))),"Fix")))</f>
        <v>0</v>
      </c>
      <c r="Y341" s="4">
        <f>IF(OR(INDEX($AH$2:$AH$1001,MATCH(ROWS($AG$2:AG341),$AG$2:$AG$1001,0),1)&gt;=100000,INDEX($AN$1005:$BO$1005,1,MATCH(COLUMNS($AN$1006:BK1006),$AN$1006:$BO$1006,0))&gt;=100000), " ",IF(INDEX($AN$2:$BO$1001,MATCH(ROWS($AG$2:AG341),$AG$2:$AG$1001,0),MATCH(COLUMNS($AN$1006:BK1006),$AN$1006:$BO$1006,0)), HYPERLINK("#",""), HYPERLINK(CONCATENATE("#Metadata!", ADDRESS(INDEX($AI$2:$AI$1001,MATCH(ROWS($AG$2:AG341),$AG$2:$AG$1001,0),0), INDEX($AN$1004:$BO$1004,1,MATCH(COLUMNS($AN$1006:BK1006),$AN$1006:$BO$1006,0)))),"Fix")))</f>
        <v>0</v>
      </c>
      <c r="Z341" s="4">
        <f>IF(OR(INDEX($AH$2:$AH$1001,MATCH(ROWS($AG$2:AG341),$AG$2:$AG$1001,0),1)&gt;=100000,INDEX($AN$1005:$BO$1005,1,MATCH(COLUMNS($AN$1006:BL1006),$AN$1006:$BO$1006,0))&gt;=100000), " ",IF(INDEX($AN$2:$BO$1001,MATCH(ROWS($AG$2:AG341),$AG$2:$AG$1001,0),MATCH(COLUMNS($AN$1006:BL1006),$AN$1006:$BO$1006,0)), HYPERLINK("#",""), HYPERLINK(CONCATENATE("#Metadata!", ADDRESS(INDEX($AI$2:$AI$1001,MATCH(ROWS($AG$2:AG341),$AG$2:$AG$1001,0),0), INDEX($AN$1004:$BO$1004,1,MATCH(COLUMNS($AN$1006:BL1006),$AN$1006:$BO$1006,0)))),"Fix")))</f>
        <v>0</v>
      </c>
      <c r="AA341" s="4">
        <f>IF(OR(INDEX($AH$2:$AH$1001,MATCH(ROWS($AG$2:AG341),$AG$2:$AG$1001,0),1)&gt;=100000,INDEX($AN$1005:$BO$1005,1,MATCH(COLUMNS($AN$1006:BM1006),$AN$1006:$BO$1006,0))&gt;=100000), " ",IF(INDEX($AN$2:$BO$1001,MATCH(ROWS($AG$2:AG341),$AG$2:$AG$1001,0),MATCH(COLUMNS($AN$1006:BM1006),$AN$1006:$BO$1006,0)), HYPERLINK("#",""), HYPERLINK(CONCATENATE("#Metadata!", ADDRESS(INDEX($AI$2:$AI$1001,MATCH(ROWS($AG$2:AG341),$AG$2:$AG$1001,0),0), INDEX($AN$1004:$BO$1004,1,MATCH(COLUMNS($AN$1006:BM1006),$AN$1006:$BO$1006,0)))),"Fix")))</f>
        <v>0</v>
      </c>
      <c r="AB341" s="4">
        <f>IF(OR(INDEX($AH$2:$AH$1001,MATCH(ROWS($AG$2:AG341),$AG$2:$AG$1001,0),1)&gt;=100000,INDEX($AN$1005:$BO$1005,1,MATCH(COLUMNS($AN$1006:BN1006),$AN$1006:$BO$1006,0))&gt;=100000), " ",IF(INDEX($AN$2:$BO$1001,MATCH(ROWS($AG$2:AG341),$AG$2:$AG$1001,0),MATCH(COLUMNS($AN$1006:BN1006),$AN$1006:$BO$1006,0)), HYPERLINK("#",""), HYPERLINK(CONCATENATE("#Metadata!", ADDRESS(INDEX($AI$2:$AI$1001,MATCH(ROWS($AG$2:AG341),$AG$2:$AG$1001,0),0), INDEX($AN$1004:$BO$1004,1,MATCH(COLUMNS($AN$1006:BN1006),$AN$1006:$BO$1006,0)))),"Fix")))</f>
        <v>0</v>
      </c>
      <c r="AC341" s="4">
        <f>IF(OR(INDEX($AH$2:$AH$1001,MATCH(ROWS($AG$2:AG341),$AG$2:$AG$1001,0),1)&gt;=100000,INDEX($AN$1005:$BO$1005,1,MATCH(COLUMNS($AN$1006:BO1006),$AN$1006:$BO$1006,0))&gt;=100000), " ",IF(INDEX($AN$2:$BO$1001,MATCH(ROWS($AG$2:AG341),$AG$2:$AG$1001,0),MATCH(COLUMNS($AN$1006:BO1006),$AN$1006:$BO$1006,0)), HYPERLINK("#",""), HYPERLINK(CONCATENATE("#Metadata!", ADDRESS(INDEX($AI$2:$AI$1001,MATCH(ROWS($AG$2:AG341),$AG$2:$AG$1001,0),0), INDEX($AN$1004:$BO$1004,1,MATCH(COLUMNS($AN$1006:BO1006),$AN$1006:$BO$1006,0)))),"Fix")))</f>
        <v>0</v>
      </c>
      <c r="AG341">
        <v>0</v>
      </c>
      <c r="AH341">
        <v>0</v>
      </c>
      <c r="AI341">
        <v>0</v>
      </c>
      <c r="AJ341">
        <f>IF(AK341,TRUE,AND(AN341:BO341))</f>
        <v>0</v>
      </c>
      <c r="AK341">
        <f>COUNTBLANK(Metadata!B341:AC341)=COLUMNS(Metadata!B341:AC341)</f>
        <v>0</v>
      </c>
      <c r="AL341">
        <v>0</v>
      </c>
      <c r="AN341">
        <f>AND(IF(Metadata!B341="",FALSE,TRUE),COUNTIF(Metadata!B:B, Metadata!B341) = 1,NOT(ISERROR(SUMPRODUCT(SEARCH(MID(Metadata!B341,ROW(INDIRECT("1:"&amp;LEN(Metadata!B341))), 1),"0123456789abcdefghijklmnopqrstuvwxyzABCDEFGHIJKLMNOPQRSTUVWXYZ.")))))</f>
        <v>0</v>
      </c>
      <c r="AO341">
        <f>IF(Metadata!C341="",FALSE,TRUE)</f>
        <v>0</v>
      </c>
      <c r="AP341">
        <f>IF(Metadata!D341="",FALSE,TRUE)</f>
        <v>0</v>
      </c>
      <c r="AQ341">
        <f>OR(AND(IF(Metadata!E341="",FALSE,TRUE),OR(exact(Metadata!E341,"not collected"),exact(Metadata!E341,"not provided"),exact(Metadata!E341,"restricted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R341">
        <f>IF(Metadata!F341="",FALSE,TRUE)</f>
        <v>0</v>
      </c>
      <c r="AS341">
        <f>OR(AND(IF(Metadata!G341="",FALSE,TRUE),OR(exact(Metadata!G341,"not collected"),exact(Metadata!G341,"not provided"))),AND(IF(Metadata!G341="",FALSE,TRUE),OR(exact(Metadata!G341,"TRUE"),exact(Metadata!G341,"FALSE"))))</f>
        <v>0</v>
      </c>
      <c r="AT341">
        <f>OR(AND(IF(Metadata!H341="",FALSE,TRUE),OR(exact(Metadata!H341,"not collected"),exact(Metadata!H341,"not provided"),exact(Metadata!H341,"restricted access"))),AND(IF(Metadata!H341="",FALSE,ISNUMBER(VALUE(Metadata!H341))),Metadata!H341&gt;=-413.0))</f>
        <v>0</v>
      </c>
      <c r="AU341">
        <f>AND(IF(Metadata!I341="",FALSE,TRUE),exact(Metadata!I341,"meters"))</f>
        <v>0</v>
      </c>
      <c r="AV341">
        <f>AND(IF(Metadata!J341="",FALSE,TRUE),OR(exact(Metadata!J341,"Host-associated"),exact(Metadata!J341,"Free-living")))</f>
        <v>0</v>
      </c>
      <c r="AW341">
        <f>AND(IF(Metadata!K341="",FALSE,TRUE),OR(exact(Metadata!K341,"Animal"),exact(Metadata!K341,"Fungus"),exact(Metadata!K341,"Plant"),exact(Metadata!K341,"Saline"),exact(Metadata!K341,"Non-saline")))</f>
        <v>0</v>
      </c>
      <c r="AX341">
        <f>AND(IF(Metadata!L341="",FALSE,TRUE),OR(exact(Metadata!L341,"Plant secretion"),exact(Metadata!L341,"Plant rhizosphere"),exact(Metadata!L341,"Plant surface"),exact(Metadata!L341,"Plant corpus"),exact(Metadata!L341,"Fungus surface"),exact(Metadata!L341,"Fungus corpus"),exact(Metadata!L341,"Animal surface"),exact(Metadata!L341,"Animal proximal gut"),exact(Metadata!L341,"Animal corpus"),exact(Metadata!L341,"Animal distal gut"),exact(Metadata!L341,"Animal secretion"),exact(Metadata!L341,"Sub-surface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Y341">
        <f>IF(Metadata!M341="",FALSE,TRUE)</f>
        <v>0</v>
      </c>
      <c r="AZ341">
        <f>IF(Metadata!N341="",FALSE,TRUE)</f>
        <v>0</v>
      </c>
      <c r="BA341">
        <f>IF(Metadata!O341="",FALSE,TRUE)</f>
        <v>0</v>
      </c>
      <c r="BB341">
        <f>OR(AND(IF(Metadata!P341="",FALSE,TRUE),OR(exact(Metadata!P341,"not collected"),exact(Metadata!P341,"not provided"),exact(Metadata!P341,"restricted access"))),AND(IF(Metadata!P341="",FALSE,TRUE),OR(exact(Metadata!P341,"air"),exact(Metadata!P341,"built environment"),exact(Metadata!P341,"host-associated"),exact(Metadata!P341,"human-associated"),exact(Metadata!P341,"human-skin"),exact(Metadata!P341,"human-oral"),exact(Metadata!P341,"human-gut"),exact(Metadata!P341,"human-vaginal"),exact(Metadata!P341,"microbial mat/biofilm"),exact(Metadata!P341,"misc environment"),exact(Metadata!P341,"plant-associated"),exact(Metadata!P341,"sediment"),exact(Metadata!P341,"soil"),exact(Metadata!P341,"wastewater/sludge"),exact(Metadata!P341,"water"))))</f>
        <v>0</v>
      </c>
      <c r="BC341">
        <f>IF(Metadata!Q341="",FALSE,TRUE)</f>
        <v>0</v>
      </c>
      <c r="BD341">
        <f>IF(Metadata!R341="",FALSE,TRUE)</f>
        <v>0</v>
      </c>
      <c r="BE341">
        <f>OR(AND(IF(Metadata!S341="",FALSE,TRUE),OR(exact(Metadata!S341,"not collected"),exact(Metadata!S341,"not provided"),exact(Metadata!S341,"restricted access"))),AND(IF(Metadata!S341="",FALSE,ISNUMBER(VALUE(Metadata!S341))),Metadata!S341&gt;=-90.00,Metadata!S341&lt;=90.00))</f>
        <v>0</v>
      </c>
      <c r="BF341">
        <f>AND(IF(Metadata!T341="",FALSE,TRUE),exact(Metadata!T341,"Decimal degrees"))</f>
        <v>0</v>
      </c>
      <c r="BG341">
        <f>OR(AND(IF(Metadata!U341="",FALSE,TRUE),OR(exact(Metadata!U341,"not collected"),exact(Metadata!U341,"not provided"),exact(Metadata!U341,"restricted access"))),AND(IF(Metadata!U341="",FALSE,ISNUMBER(VALUE(Metadata!U341))),Metadata!U341&gt;=-180.00,Metadata!U341&lt;=180.00))</f>
        <v>0</v>
      </c>
      <c r="BH341">
        <f>AND(IF(Metadata!V341="",FALSE,TRUE),exact(Metadata!V341,"Decimal degrees"))</f>
        <v>0</v>
      </c>
      <c r="BI341">
        <f>IF(Metadata!W341="",FALSE,TRUE)</f>
        <v>0</v>
      </c>
      <c r="BJ341">
        <f>OR(AND(IF(Metadata!X341="",FALSE,TRUE),OR(exact(Metadata!X341,"not collected"),exact(Metadata!X341,"not provided"),exact(Metadata!X341,"restricted access"))),AND(IF(Metadata!X341="",FALSE,TRUE),OR(exact(Metadata!X341,"TRUE"),exact(Metadata!X341,"FALSE"))))</f>
        <v>0</v>
      </c>
      <c r="BK341">
        <f>AND(IF(Metadata!Y341="",FALSE,TRUE),exact(Metadata!Y341,"other"))</f>
        <v>0</v>
      </c>
      <c r="BL341">
        <f>IF(Metadata!Z341="",FALSE,TRUE)</f>
        <v>0</v>
      </c>
      <c r="BM341">
        <f>OR(AND(IF(Metadata!AA341="",FALSE,TRUE),OR(exact(Metadata!AA341,"not collected"),exact(Metadata!AA341,"not provided"))),AND(IF(Metadata!AA341="",FALSE,IF(ISERROR(INT(Metadata!AA341)),FALSE,INT(Metadata!AA341)=Metadata!AA341)),Metadata!AA341&gt;0))</f>
        <v>0</v>
      </c>
      <c r="BN341">
        <f>AND(IF(Metadata!AB341="",FALSE,TRUE),exact(Metadata!AB341,"Not applicable"))</f>
        <v>0</v>
      </c>
      <c r="BO341">
        <f>IF(Metadata!AC341="",FALSE,TRUE)</f>
        <v>0</v>
      </c>
    </row>
    <row r="342" spans="1:67">
      <c r="A342" s="5">
        <f>IF(B342=" "," ",HYPERLINK(CONCATENATE("#metadata!",ADDRESS(INDEX($AI$2:$AI$1001,MATCH(ROWS($AG$2:AG342),$AG$2:$AG$1001,0),0),1)),INDEX($AL$2:$AL$1001,MATCH(ROWS($AG$2:AG342),$AG$2:$AG$1001,0),0)))</f>
        <v>0</v>
      </c>
      <c r="B342" s="4">
        <f>IF(OR(INDEX($AH$2:$AH$1001,MATCH(ROWS($AG$2:AG342),$AG$2:$AG$1001,0),1)&gt;=100000,INDEX($AN$1005:$BO$1005,1,MATCH(COLUMNS($AN$1006:AN1006),$AN$1006:$BO$1006,0))&gt;=100000), " ",IF(INDEX($AN$2:$BO$1001,MATCH(ROWS($AG$2:AG342),$AG$2:$AG$1001,0),MATCH(COLUMNS($AN$1006:AN1006),$AN$1006:$BO$1006,0)), HYPERLINK("#",""), HYPERLINK(CONCATENATE("#Metadata!", ADDRESS(INDEX($AI$2:$AI$1001,MATCH(ROWS($AG$2:AG342),$AG$2:$AG$1001,0),0), INDEX($AN$1004:$BO$1004,1,MATCH(COLUMNS($AN$1006:AN1006),$AN$1006:$BO$1006,0)))),"Fix")))</f>
        <v>0</v>
      </c>
      <c r="C342" s="4">
        <f>IF(OR(INDEX($AH$2:$AH$1001,MATCH(ROWS($AG$2:AG342),$AG$2:$AG$1001,0),1)&gt;=100000,INDEX($AN$1005:$BO$1005,1,MATCH(COLUMNS($AN$1006:AO1006),$AN$1006:$BO$1006,0))&gt;=100000), " ",IF(INDEX($AN$2:$BO$1001,MATCH(ROWS($AG$2:AG342),$AG$2:$AG$1001,0),MATCH(COLUMNS($AN$1006:AO1006),$AN$1006:$BO$1006,0)), HYPERLINK("#",""), HYPERLINK(CONCATENATE("#Metadata!", ADDRESS(INDEX($AI$2:$AI$1001,MATCH(ROWS($AG$2:AG342),$AG$2:$AG$1001,0),0), INDEX($AN$1004:$BO$1004,1,MATCH(COLUMNS($AN$1006:AO1006),$AN$1006:$BO$1006,0)))),"Fix")))</f>
        <v>0</v>
      </c>
      <c r="D342" s="4">
        <f>IF(OR(INDEX($AH$2:$AH$1001,MATCH(ROWS($AG$2:AG342),$AG$2:$AG$1001,0),1)&gt;=100000,INDEX($AN$1005:$BO$1005,1,MATCH(COLUMNS($AN$1006:AP1006),$AN$1006:$BO$1006,0))&gt;=100000), " ",IF(INDEX($AN$2:$BO$1001,MATCH(ROWS($AG$2:AG342),$AG$2:$AG$1001,0),MATCH(COLUMNS($AN$1006:AP1006),$AN$1006:$BO$1006,0)), HYPERLINK("#",""), HYPERLINK(CONCATENATE("#Metadata!", ADDRESS(INDEX($AI$2:$AI$1001,MATCH(ROWS($AG$2:AG342),$AG$2:$AG$1001,0),0), INDEX($AN$1004:$BO$1004,1,MATCH(COLUMNS($AN$1006:AP1006),$AN$1006:$BO$1006,0)))),"Fix")))</f>
        <v>0</v>
      </c>
      <c r="E342" s="4">
        <f>IF(OR(INDEX($AH$2:$AH$1001,MATCH(ROWS($AG$2:AG342),$AG$2:$AG$1001,0),1)&gt;=100000,INDEX($AN$1005:$BO$1005,1,MATCH(COLUMNS($AN$1006:AQ1006),$AN$1006:$BO$1006,0))&gt;=100000), " ",IF(INDEX($AN$2:$BO$1001,MATCH(ROWS($AG$2:AG342),$AG$2:$AG$1001,0),MATCH(COLUMNS($AN$1006:AQ1006),$AN$1006:$BO$1006,0)), HYPERLINK("#",""), HYPERLINK(CONCATENATE("#Metadata!", ADDRESS(INDEX($AI$2:$AI$1001,MATCH(ROWS($AG$2:AG342),$AG$2:$AG$1001,0),0), INDEX($AN$1004:$BO$1004,1,MATCH(COLUMNS($AN$1006:AQ1006),$AN$1006:$BO$1006,0)))),"Fix")))</f>
        <v>0</v>
      </c>
      <c r="F342" s="4">
        <f>IF(OR(INDEX($AH$2:$AH$1001,MATCH(ROWS($AG$2:AG342),$AG$2:$AG$1001,0),1)&gt;=100000,INDEX($AN$1005:$BO$1005,1,MATCH(COLUMNS($AN$1006:AR1006),$AN$1006:$BO$1006,0))&gt;=100000), " ",IF(INDEX($AN$2:$BO$1001,MATCH(ROWS($AG$2:AG342),$AG$2:$AG$1001,0),MATCH(COLUMNS($AN$1006:AR1006),$AN$1006:$BO$1006,0)), HYPERLINK("#",""), HYPERLINK(CONCATENATE("#Metadata!", ADDRESS(INDEX($AI$2:$AI$1001,MATCH(ROWS($AG$2:AG342),$AG$2:$AG$1001,0),0), INDEX($AN$1004:$BO$1004,1,MATCH(COLUMNS($AN$1006:AR1006),$AN$1006:$BO$1006,0)))),"Fix")))</f>
        <v>0</v>
      </c>
      <c r="G342" s="4">
        <f>IF(OR(INDEX($AH$2:$AH$1001,MATCH(ROWS($AG$2:AG342),$AG$2:$AG$1001,0),1)&gt;=100000,INDEX($AN$1005:$BO$1005,1,MATCH(COLUMNS($AN$1006:AS1006),$AN$1006:$BO$1006,0))&gt;=100000), " ",IF(INDEX($AN$2:$BO$1001,MATCH(ROWS($AG$2:AG342),$AG$2:$AG$1001,0),MATCH(COLUMNS($AN$1006:AS1006),$AN$1006:$BO$1006,0)), HYPERLINK("#",""), HYPERLINK(CONCATENATE("#Metadata!", ADDRESS(INDEX($AI$2:$AI$1001,MATCH(ROWS($AG$2:AG342),$AG$2:$AG$1001,0),0), INDEX($AN$1004:$BO$1004,1,MATCH(COLUMNS($AN$1006:AS1006),$AN$1006:$BO$1006,0)))),"Fix")))</f>
        <v>0</v>
      </c>
      <c r="H342" s="4">
        <f>IF(OR(INDEX($AH$2:$AH$1001,MATCH(ROWS($AG$2:AG342),$AG$2:$AG$1001,0),1)&gt;=100000,INDEX($AN$1005:$BO$1005,1,MATCH(COLUMNS($AN$1006:AT1006),$AN$1006:$BO$1006,0))&gt;=100000), " ",IF(INDEX($AN$2:$BO$1001,MATCH(ROWS($AG$2:AG342),$AG$2:$AG$1001,0),MATCH(COLUMNS($AN$1006:AT1006),$AN$1006:$BO$1006,0)), HYPERLINK("#",""), HYPERLINK(CONCATENATE("#Metadata!", ADDRESS(INDEX($AI$2:$AI$1001,MATCH(ROWS($AG$2:AG342),$AG$2:$AG$1001,0),0), INDEX($AN$1004:$BO$1004,1,MATCH(COLUMNS($AN$1006:AT1006),$AN$1006:$BO$1006,0)))),"Fix")))</f>
        <v>0</v>
      </c>
      <c r="I342" s="4">
        <f>IF(OR(INDEX($AH$2:$AH$1001,MATCH(ROWS($AG$2:AG342),$AG$2:$AG$1001,0),1)&gt;=100000,INDEX($AN$1005:$BO$1005,1,MATCH(COLUMNS($AN$1006:AU1006),$AN$1006:$BO$1006,0))&gt;=100000), " ",IF(INDEX($AN$2:$BO$1001,MATCH(ROWS($AG$2:AG342),$AG$2:$AG$1001,0),MATCH(COLUMNS($AN$1006:AU1006),$AN$1006:$BO$1006,0)), HYPERLINK("#",""), HYPERLINK(CONCATENATE("#Metadata!", ADDRESS(INDEX($AI$2:$AI$1001,MATCH(ROWS($AG$2:AG342),$AG$2:$AG$1001,0),0), INDEX($AN$1004:$BO$1004,1,MATCH(COLUMNS($AN$1006:AU1006),$AN$1006:$BO$1006,0)))),"Fix")))</f>
        <v>0</v>
      </c>
      <c r="J342" s="4">
        <f>IF(OR(INDEX($AH$2:$AH$1001,MATCH(ROWS($AG$2:AG342),$AG$2:$AG$1001,0),1)&gt;=100000,INDEX($AN$1005:$BO$1005,1,MATCH(COLUMNS($AN$1006:AV1006),$AN$1006:$BO$1006,0))&gt;=100000), " ",IF(INDEX($AN$2:$BO$1001,MATCH(ROWS($AG$2:AG342),$AG$2:$AG$1001,0),MATCH(COLUMNS($AN$1006:AV1006),$AN$1006:$BO$1006,0)), HYPERLINK("#",""), HYPERLINK(CONCATENATE("#Metadata!", ADDRESS(INDEX($AI$2:$AI$1001,MATCH(ROWS($AG$2:AG342),$AG$2:$AG$1001,0),0), INDEX($AN$1004:$BO$1004,1,MATCH(COLUMNS($AN$1006:AV1006),$AN$1006:$BO$1006,0)))),"Fix")))</f>
        <v>0</v>
      </c>
      <c r="K342" s="4">
        <f>IF(OR(INDEX($AH$2:$AH$1001,MATCH(ROWS($AG$2:AG342),$AG$2:$AG$1001,0),1)&gt;=100000,INDEX($AN$1005:$BO$1005,1,MATCH(COLUMNS($AN$1006:AW1006),$AN$1006:$BO$1006,0))&gt;=100000), " ",IF(INDEX($AN$2:$BO$1001,MATCH(ROWS($AG$2:AG342),$AG$2:$AG$1001,0),MATCH(COLUMNS($AN$1006:AW1006),$AN$1006:$BO$1006,0)), HYPERLINK("#",""), HYPERLINK(CONCATENATE("#Metadata!", ADDRESS(INDEX($AI$2:$AI$1001,MATCH(ROWS($AG$2:AG342),$AG$2:$AG$1001,0),0), INDEX($AN$1004:$BO$1004,1,MATCH(COLUMNS($AN$1006:AW1006),$AN$1006:$BO$1006,0)))),"Fix")))</f>
        <v>0</v>
      </c>
      <c r="L342" s="4">
        <f>IF(OR(INDEX($AH$2:$AH$1001,MATCH(ROWS($AG$2:AG342),$AG$2:$AG$1001,0),1)&gt;=100000,INDEX($AN$1005:$BO$1005,1,MATCH(COLUMNS($AN$1006:AX1006),$AN$1006:$BO$1006,0))&gt;=100000), " ",IF(INDEX($AN$2:$BO$1001,MATCH(ROWS($AG$2:AG342),$AG$2:$AG$1001,0),MATCH(COLUMNS($AN$1006:AX1006),$AN$1006:$BO$1006,0)), HYPERLINK("#",""), HYPERLINK(CONCATENATE("#Metadata!", ADDRESS(INDEX($AI$2:$AI$1001,MATCH(ROWS($AG$2:AG342),$AG$2:$AG$1001,0),0), INDEX($AN$1004:$BO$1004,1,MATCH(COLUMNS($AN$1006:AX1006),$AN$1006:$BO$1006,0)))),"Fix")))</f>
        <v>0</v>
      </c>
      <c r="M342" s="4">
        <f>IF(OR(INDEX($AH$2:$AH$1001,MATCH(ROWS($AG$2:AG342),$AG$2:$AG$1001,0),1)&gt;=100000,INDEX($AN$1005:$BO$1005,1,MATCH(COLUMNS($AN$1006:AY1006),$AN$1006:$BO$1006,0))&gt;=100000), " ",IF(INDEX($AN$2:$BO$1001,MATCH(ROWS($AG$2:AG342),$AG$2:$AG$1001,0),MATCH(COLUMNS($AN$1006:AY1006),$AN$1006:$BO$1006,0)), HYPERLINK("#",""), HYPERLINK(CONCATENATE("#Metadata!", ADDRESS(INDEX($AI$2:$AI$1001,MATCH(ROWS($AG$2:AG342),$AG$2:$AG$1001,0),0), INDEX($AN$1004:$BO$1004,1,MATCH(COLUMNS($AN$1006:AY1006),$AN$1006:$BO$1006,0)))),"Fix")))</f>
        <v>0</v>
      </c>
      <c r="N342" s="4">
        <f>IF(OR(INDEX($AH$2:$AH$1001,MATCH(ROWS($AG$2:AG342),$AG$2:$AG$1001,0),1)&gt;=100000,INDEX($AN$1005:$BO$1005,1,MATCH(COLUMNS($AN$1006:AZ1006),$AN$1006:$BO$1006,0))&gt;=100000), " ",IF(INDEX($AN$2:$BO$1001,MATCH(ROWS($AG$2:AG342),$AG$2:$AG$1001,0),MATCH(COLUMNS($AN$1006:AZ1006),$AN$1006:$BO$1006,0)), HYPERLINK("#",""), HYPERLINK(CONCATENATE("#Metadata!", ADDRESS(INDEX($AI$2:$AI$1001,MATCH(ROWS($AG$2:AG342),$AG$2:$AG$1001,0),0), INDEX($AN$1004:$BO$1004,1,MATCH(COLUMNS($AN$1006:AZ1006),$AN$1006:$BO$1006,0)))),"Fix")))</f>
        <v>0</v>
      </c>
      <c r="O342" s="4">
        <f>IF(OR(INDEX($AH$2:$AH$1001,MATCH(ROWS($AG$2:AG342),$AG$2:$AG$1001,0),1)&gt;=100000,INDEX($AN$1005:$BO$1005,1,MATCH(COLUMNS($AN$1006:BA1006),$AN$1006:$BO$1006,0))&gt;=100000), " ",IF(INDEX($AN$2:$BO$1001,MATCH(ROWS($AG$2:AG342),$AG$2:$AG$1001,0),MATCH(COLUMNS($AN$1006:BA1006),$AN$1006:$BO$1006,0)), HYPERLINK("#",""), HYPERLINK(CONCATENATE("#Metadata!", ADDRESS(INDEX($AI$2:$AI$1001,MATCH(ROWS($AG$2:AG342),$AG$2:$AG$1001,0),0), INDEX($AN$1004:$BO$1004,1,MATCH(COLUMNS($AN$1006:BA1006),$AN$1006:$BO$1006,0)))),"Fix")))</f>
        <v>0</v>
      </c>
      <c r="P342" s="4">
        <f>IF(OR(INDEX($AH$2:$AH$1001,MATCH(ROWS($AG$2:AG342),$AG$2:$AG$1001,0),1)&gt;=100000,INDEX($AN$1005:$BO$1005,1,MATCH(COLUMNS($AN$1006:BB1006),$AN$1006:$BO$1006,0))&gt;=100000), " ",IF(INDEX($AN$2:$BO$1001,MATCH(ROWS($AG$2:AG342),$AG$2:$AG$1001,0),MATCH(COLUMNS($AN$1006:BB1006),$AN$1006:$BO$1006,0)), HYPERLINK("#",""), HYPERLINK(CONCATENATE("#Metadata!", ADDRESS(INDEX($AI$2:$AI$1001,MATCH(ROWS($AG$2:AG342),$AG$2:$AG$1001,0),0), INDEX($AN$1004:$BO$1004,1,MATCH(COLUMNS($AN$1006:BB1006),$AN$1006:$BO$1006,0)))),"Fix")))</f>
        <v>0</v>
      </c>
      <c r="Q342" s="4">
        <f>IF(OR(INDEX($AH$2:$AH$1001,MATCH(ROWS($AG$2:AG342),$AG$2:$AG$1001,0),1)&gt;=100000,INDEX($AN$1005:$BO$1005,1,MATCH(COLUMNS($AN$1006:BC1006),$AN$1006:$BO$1006,0))&gt;=100000), " ",IF(INDEX($AN$2:$BO$1001,MATCH(ROWS($AG$2:AG342),$AG$2:$AG$1001,0),MATCH(COLUMNS($AN$1006:BC1006),$AN$1006:$BO$1006,0)), HYPERLINK("#",""), HYPERLINK(CONCATENATE("#Metadata!", ADDRESS(INDEX($AI$2:$AI$1001,MATCH(ROWS($AG$2:AG342),$AG$2:$AG$1001,0),0), INDEX($AN$1004:$BO$1004,1,MATCH(COLUMNS($AN$1006:BC1006),$AN$1006:$BO$1006,0)))),"Fix")))</f>
        <v>0</v>
      </c>
      <c r="R342" s="4">
        <f>IF(OR(INDEX($AH$2:$AH$1001,MATCH(ROWS($AG$2:AG342),$AG$2:$AG$1001,0),1)&gt;=100000,INDEX($AN$1005:$BO$1005,1,MATCH(COLUMNS($AN$1006:BD1006),$AN$1006:$BO$1006,0))&gt;=100000), " ",IF(INDEX($AN$2:$BO$1001,MATCH(ROWS($AG$2:AG342),$AG$2:$AG$1001,0),MATCH(COLUMNS($AN$1006:BD1006),$AN$1006:$BO$1006,0)), HYPERLINK("#",""), HYPERLINK(CONCATENATE("#Metadata!", ADDRESS(INDEX($AI$2:$AI$1001,MATCH(ROWS($AG$2:AG342),$AG$2:$AG$1001,0),0), INDEX($AN$1004:$BO$1004,1,MATCH(COLUMNS($AN$1006:BD1006),$AN$1006:$BO$1006,0)))),"Fix")))</f>
        <v>0</v>
      </c>
      <c r="S342" s="4">
        <f>IF(OR(INDEX($AH$2:$AH$1001,MATCH(ROWS($AG$2:AG342),$AG$2:$AG$1001,0),1)&gt;=100000,INDEX($AN$1005:$BO$1005,1,MATCH(COLUMNS($AN$1006:BE1006),$AN$1006:$BO$1006,0))&gt;=100000), " ",IF(INDEX($AN$2:$BO$1001,MATCH(ROWS($AG$2:AG342),$AG$2:$AG$1001,0),MATCH(COLUMNS($AN$1006:BE1006),$AN$1006:$BO$1006,0)), HYPERLINK("#",""), HYPERLINK(CONCATENATE("#Metadata!", ADDRESS(INDEX($AI$2:$AI$1001,MATCH(ROWS($AG$2:AG342),$AG$2:$AG$1001,0),0), INDEX($AN$1004:$BO$1004,1,MATCH(COLUMNS($AN$1006:BE1006),$AN$1006:$BO$1006,0)))),"Fix")))</f>
        <v>0</v>
      </c>
      <c r="T342" s="4">
        <f>IF(OR(INDEX($AH$2:$AH$1001,MATCH(ROWS($AG$2:AG342),$AG$2:$AG$1001,0),1)&gt;=100000,INDEX($AN$1005:$BO$1005,1,MATCH(COLUMNS($AN$1006:BF1006),$AN$1006:$BO$1006,0))&gt;=100000), " ",IF(INDEX($AN$2:$BO$1001,MATCH(ROWS($AG$2:AG342),$AG$2:$AG$1001,0),MATCH(COLUMNS($AN$1006:BF1006),$AN$1006:$BO$1006,0)), HYPERLINK("#",""), HYPERLINK(CONCATENATE("#Metadata!", ADDRESS(INDEX($AI$2:$AI$1001,MATCH(ROWS($AG$2:AG342),$AG$2:$AG$1001,0),0), INDEX($AN$1004:$BO$1004,1,MATCH(COLUMNS($AN$1006:BF1006),$AN$1006:$BO$1006,0)))),"Fix")))</f>
        <v>0</v>
      </c>
      <c r="U342" s="4">
        <f>IF(OR(INDEX($AH$2:$AH$1001,MATCH(ROWS($AG$2:AG342),$AG$2:$AG$1001,0),1)&gt;=100000,INDEX($AN$1005:$BO$1005,1,MATCH(COLUMNS($AN$1006:BG1006),$AN$1006:$BO$1006,0))&gt;=100000), " ",IF(INDEX($AN$2:$BO$1001,MATCH(ROWS($AG$2:AG342),$AG$2:$AG$1001,0),MATCH(COLUMNS($AN$1006:BG1006),$AN$1006:$BO$1006,0)), HYPERLINK("#",""), HYPERLINK(CONCATENATE("#Metadata!", ADDRESS(INDEX($AI$2:$AI$1001,MATCH(ROWS($AG$2:AG342),$AG$2:$AG$1001,0),0), INDEX($AN$1004:$BO$1004,1,MATCH(COLUMNS($AN$1006:BG1006),$AN$1006:$BO$1006,0)))),"Fix")))</f>
        <v>0</v>
      </c>
      <c r="V342" s="4">
        <f>IF(OR(INDEX($AH$2:$AH$1001,MATCH(ROWS($AG$2:AG342),$AG$2:$AG$1001,0),1)&gt;=100000,INDEX($AN$1005:$BO$1005,1,MATCH(COLUMNS($AN$1006:BH1006),$AN$1006:$BO$1006,0))&gt;=100000), " ",IF(INDEX($AN$2:$BO$1001,MATCH(ROWS($AG$2:AG342),$AG$2:$AG$1001,0),MATCH(COLUMNS($AN$1006:BH1006),$AN$1006:$BO$1006,0)), HYPERLINK("#",""), HYPERLINK(CONCATENATE("#Metadata!", ADDRESS(INDEX($AI$2:$AI$1001,MATCH(ROWS($AG$2:AG342),$AG$2:$AG$1001,0),0), INDEX($AN$1004:$BO$1004,1,MATCH(COLUMNS($AN$1006:BH1006),$AN$1006:$BO$1006,0)))),"Fix")))</f>
        <v>0</v>
      </c>
      <c r="W342" s="4">
        <f>IF(OR(INDEX($AH$2:$AH$1001,MATCH(ROWS($AG$2:AG342),$AG$2:$AG$1001,0),1)&gt;=100000,INDEX($AN$1005:$BO$1005,1,MATCH(COLUMNS($AN$1006:BI1006),$AN$1006:$BO$1006,0))&gt;=100000), " ",IF(INDEX($AN$2:$BO$1001,MATCH(ROWS($AG$2:AG342),$AG$2:$AG$1001,0),MATCH(COLUMNS($AN$1006:BI1006),$AN$1006:$BO$1006,0)), HYPERLINK("#",""), HYPERLINK(CONCATENATE("#Metadata!", ADDRESS(INDEX($AI$2:$AI$1001,MATCH(ROWS($AG$2:AG342),$AG$2:$AG$1001,0),0), INDEX($AN$1004:$BO$1004,1,MATCH(COLUMNS($AN$1006:BI1006),$AN$1006:$BO$1006,0)))),"Fix")))</f>
        <v>0</v>
      </c>
      <c r="X342" s="4">
        <f>IF(OR(INDEX($AH$2:$AH$1001,MATCH(ROWS($AG$2:AG342),$AG$2:$AG$1001,0),1)&gt;=100000,INDEX($AN$1005:$BO$1005,1,MATCH(COLUMNS($AN$1006:BJ1006),$AN$1006:$BO$1006,0))&gt;=100000), " ",IF(INDEX($AN$2:$BO$1001,MATCH(ROWS($AG$2:AG342),$AG$2:$AG$1001,0),MATCH(COLUMNS($AN$1006:BJ1006),$AN$1006:$BO$1006,0)), HYPERLINK("#",""), HYPERLINK(CONCATENATE("#Metadata!", ADDRESS(INDEX($AI$2:$AI$1001,MATCH(ROWS($AG$2:AG342),$AG$2:$AG$1001,0),0), INDEX($AN$1004:$BO$1004,1,MATCH(COLUMNS($AN$1006:BJ1006),$AN$1006:$BO$1006,0)))),"Fix")))</f>
        <v>0</v>
      </c>
      <c r="Y342" s="4">
        <f>IF(OR(INDEX($AH$2:$AH$1001,MATCH(ROWS($AG$2:AG342),$AG$2:$AG$1001,0),1)&gt;=100000,INDEX($AN$1005:$BO$1005,1,MATCH(COLUMNS($AN$1006:BK1006),$AN$1006:$BO$1006,0))&gt;=100000), " ",IF(INDEX($AN$2:$BO$1001,MATCH(ROWS($AG$2:AG342),$AG$2:$AG$1001,0),MATCH(COLUMNS($AN$1006:BK1006),$AN$1006:$BO$1006,0)), HYPERLINK("#",""), HYPERLINK(CONCATENATE("#Metadata!", ADDRESS(INDEX($AI$2:$AI$1001,MATCH(ROWS($AG$2:AG342),$AG$2:$AG$1001,0),0), INDEX($AN$1004:$BO$1004,1,MATCH(COLUMNS($AN$1006:BK1006),$AN$1006:$BO$1006,0)))),"Fix")))</f>
        <v>0</v>
      </c>
      <c r="Z342" s="4">
        <f>IF(OR(INDEX($AH$2:$AH$1001,MATCH(ROWS($AG$2:AG342),$AG$2:$AG$1001,0),1)&gt;=100000,INDEX($AN$1005:$BO$1005,1,MATCH(COLUMNS($AN$1006:BL1006),$AN$1006:$BO$1006,0))&gt;=100000), " ",IF(INDEX($AN$2:$BO$1001,MATCH(ROWS($AG$2:AG342),$AG$2:$AG$1001,0),MATCH(COLUMNS($AN$1006:BL1006),$AN$1006:$BO$1006,0)), HYPERLINK("#",""), HYPERLINK(CONCATENATE("#Metadata!", ADDRESS(INDEX($AI$2:$AI$1001,MATCH(ROWS($AG$2:AG342),$AG$2:$AG$1001,0),0), INDEX($AN$1004:$BO$1004,1,MATCH(COLUMNS($AN$1006:BL1006),$AN$1006:$BO$1006,0)))),"Fix")))</f>
        <v>0</v>
      </c>
      <c r="AA342" s="4">
        <f>IF(OR(INDEX($AH$2:$AH$1001,MATCH(ROWS($AG$2:AG342),$AG$2:$AG$1001,0),1)&gt;=100000,INDEX($AN$1005:$BO$1005,1,MATCH(COLUMNS($AN$1006:BM1006),$AN$1006:$BO$1006,0))&gt;=100000), " ",IF(INDEX($AN$2:$BO$1001,MATCH(ROWS($AG$2:AG342),$AG$2:$AG$1001,0),MATCH(COLUMNS($AN$1006:BM1006),$AN$1006:$BO$1006,0)), HYPERLINK("#",""), HYPERLINK(CONCATENATE("#Metadata!", ADDRESS(INDEX($AI$2:$AI$1001,MATCH(ROWS($AG$2:AG342),$AG$2:$AG$1001,0),0), INDEX($AN$1004:$BO$1004,1,MATCH(COLUMNS($AN$1006:BM1006),$AN$1006:$BO$1006,0)))),"Fix")))</f>
        <v>0</v>
      </c>
      <c r="AB342" s="4">
        <f>IF(OR(INDEX($AH$2:$AH$1001,MATCH(ROWS($AG$2:AG342),$AG$2:$AG$1001,0),1)&gt;=100000,INDEX($AN$1005:$BO$1005,1,MATCH(COLUMNS($AN$1006:BN1006),$AN$1006:$BO$1006,0))&gt;=100000), " ",IF(INDEX($AN$2:$BO$1001,MATCH(ROWS($AG$2:AG342),$AG$2:$AG$1001,0),MATCH(COLUMNS($AN$1006:BN1006),$AN$1006:$BO$1006,0)), HYPERLINK("#",""), HYPERLINK(CONCATENATE("#Metadata!", ADDRESS(INDEX($AI$2:$AI$1001,MATCH(ROWS($AG$2:AG342),$AG$2:$AG$1001,0),0), INDEX($AN$1004:$BO$1004,1,MATCH(COLUMNS($AN$1006:BN1006),$AN$1006:$BO$1006,0)))),"Fix")))</f>
        <v>0</v>
      </c>
      <c r="AC342" s="4">
        <f>IF(OR(INDEX($AH$2:$AH$1001,MATCH(ROWS($AG$2:AG342),$AG$2:$AG$1001,0),1)&gt;=100000,INDEX($AN$1005:$BO$1005,1,MATCH(COLUMNS($AN$1006:BO1006),$AN$1006:$BO$1006,0))&gt;=100000), " ",IF(INDEX($AN$2:$BO$1001,MATCH(ROWS($AG$2:AG342),$AG$2:$AG$1001,0),MATCH(COLUMNS($AN$1006:BO1006),$AN$1006:$BO$1006,0)), HYPERLINK("#",""), HYPERLINK(CONCATENATE("#Metadata!", ADDRESS(INDEX($AI$2:$AI$1001,MATCH(ROWS($AG$2:AG342),$AG$2:$AG$1001,0),0), INDEX($AN$1004:$BO$1004,1,MATCH(COLUMNS($AN$1006:BO1006),$AN$1006:$BO$1006,0)))),"Fix")))</f>
        <v>0</v>
      </c>
      <c r="AG342">
        <v>0</v>
      </c>
      <c r="AH342">
        <v>0</v>
      </c>
      <c r="AI342">
        <v>0</v>
      </c>
      <c r="AJ342">
        <f>IF(AK342,TRUE,AND(AN342:BO342))</f>
        <v>0</v>
      </c>
      <c r="AK342">
        <f>COUNTBLANK(Metadata!B342:AC342)=COLUMNS(Metadata!B342:AC342)</f>
        <v>0</v>
      </c>
      <c r="AL342">
        <v>0</v>
      </c>
      <c r="AN342">
        <f>AND(IF(Metadata!B342="",FALSE,TRUE),COUNTIF(Metadata!B:B, Metadata!B342) = 1,NOT(ISERROR(SUMPRODUCT(SEARCH(MID(Metadata!B342,ROW(INDIRECT("1:"&amp;LEN(Metadata!B342))), 1),"0123456789abcdefghijklmnopqrstuvwxyzABCDEFGHIJKLMNOPQRSTUVWXYZ.")))))</f>
        <v>0</v>
      </c>
      <c r="AO342">
        <f>IF(Metadata!C342="",FALSE,TRUE)</f>
        <v>0</v>
      </c>
      <c r="AP342">
        <f>IF(Metadata!D342="",FALSE,TRUE)</f>
        <v>0</v>
      </c>
      <c r="AQ342">
        <f>OR(AND(IF(Metadata!E342="",FALSE,TRUE),OR(exact(Metadata!E342,"not collected"),exact(Metadata!E342,"not provided"),exact(Metadata!E342,"restricted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R342">
        <f>IF(Metadata!F342="",FALSE,TRUE)</f>
        <v>0</v>
      </c>
      <c r="AS342">
        <f>OR(AND(IF(Metadata!G342="",FALSE,TRUE),OR(exact(Metadata!G342,"not collected"),exact(Metadata!G342,"not provided"))),AND(IF(Metadata!G342="",FALSE,TRUE),OR(exact(Metadata!G342,"TRUE"),exact(Metadata!G342,"FALSE"))))</f>
        <v>0</v>
      </c>
      <c r="AT342">
        <f>OR(AND(IF(Metadata!H342="",FALSE,TRUE),OR(exact(Metadata!H342,"not collected"),exact(Metadata!H342,"not provided"),exact(Metadata!H342,"restricted access"))),AND(IF(Metadata!H342="",FALSE,ISNUMBER(VALUE(Metadata!H342))),Metadata!H342&gt;=-413.0))</f>
        <v>0</v>
      </c>
      <c r="AU342">
        <f>AND(IF(Metadata!I342="",FALSE,TRUE),exact(Metadata!I342,"meters"))</f>
        <v>0</v>
      </c>
      <c r="AV342">
        <f>AND(IF(Metadata!J342="",FALSE,TRUE),OR(exact(Metadata!J342,"Host-associated"),exact(Metadata!J342,"Free-living")))</f>
        <v>0</v>
      </c>
      <c r="AW342">
        <f>AND(IF(Metadata!K342="",FALSE,TRUE),OR(exact(Metadata!K342,"Animal"),exact(Metadata!K342,"Fungus"),exact(Metadata!K342,"Plant"),exact(Metadata!K342,"Saline"),exact(Metadata!K342,"Non-saline")))</f>
        <v>0</v>
      </c>
      <c r="AX342">
        <f>AND(IF(Metadata!L342="",FALSE,TRUE),OR(exact(Metadata!L342,"Plant secretion"),exact(Metadata!L342,"Plant rhizosphere"),exact(Metadata!L342,"Plant surface"),exact(Metadata!L342,"Plant corpus"),exact(Metadata!L342,"Fungus surface"),exact(Metadata!L342,"Fungus corpus"),exact(Metadata!L342,"Animal surface"),exact(Metadata!L342,"Animal proximal gut"),exact(Metadata!L342,"Animal corpus"),exact(Metadata!L342,"Animal distal gut"),exact(Metadata!L342,"Animal secretion"),exact(Metadata!L342,"Sub-surface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Y342">
        <f>IF(Metadata!M342="",FALSE,TRUE)</f>
        <v>0</v>
      </c>
      <c r="AZ342">
        <f>IF(Metadata!N342="",FALSE,TRUE)</f>
        <v>0</v>
      </c>
      <c r="BA342">
        <f>IF(Metadata!O342="",FALSE,TRUE)</f>
        <v>0</v>
      </c>
      <c r="BB342">
        <f>OR(AND(IF(Metadata!P342="",FALSE,TRUE),OR(exact(Metadata!P342,"not collected"),exact(Metadata!P342,"not provided"),exact(Metadata!P342,"restricted access"))),AND(IF(Metadata!P342="",FALSE,TRUE),OR(exact(Metadata!P342,"air"),exact(Metadata!P342,"built environment"),exact(Metadata!P342,"host-associated"),exact(Metadata!P342,"human-associated"),exact(Metadata!P342,"human-skin"),exact(Metadata!P342,"human-oral"),exact(Metadata!P342,"human-gut"),exact(Metadata!P342,"human-vaginal"),exact(Metadata!P342,"microbial mat/biofilm"),exact(Metadata!P342,"misc environment"),exact(Metadata!P342,"plant-associated"),exact(Metadata!P342,"sediment"),exact(Metadata!P342,"soil"),exact(Metadata!P342,"wastewater/sludge"),exact(Metadata!P342,"water"))))</f>
        <v>0</v>
      </c>
      <c r="BC342">
        <f>IF(Metadata!Q342="",FALSE,TRUE)</f>
        <v>0</v>
      </c>
      <c r="BD342">
        <f>IF(Metadata!R342="",FALSE,TRUE)</f>
        <v>0</v>
      </c>
      <c r="BE342">
        <f>OR(AND(IF(Metadata!S342="",FALSE,TRUE),OR(exact(Metadata!S342,"not collected"),exact(Metadata!S342,"not provided"),exact(Metadata!S342,"restricted access"))),AND(IF(Metadata!S342="",FALSE,ISNUMBER(VALUE(Metadata!S342))),Metadata!S342&gt;=-90.00,Metadata!S342&lt;=90.00))</f>
        <v>0</v>
      </c>
      <c r="BF342">
        <f>AND(IF(Metadata!T342="",FALSE,TRUE),exact(Metadata!T342,"Decimal degrees"))</f>
        <v>0</v>
      </c>
      <c r="BG342">
        <f>OR(AND(IF(Metadata!U342="",FALSE,TRUE),OR(exact(Metadata!U342,"not collected"),exact(Metadata!U342,"not provided"),exact(Metadata!U342,"restricted access"))),AND(IF(Metadata!U342="",FALSE,ISNUMBER(VALUE(Metadata!U342))),Metadata!U342&gt;=-180.00,Metadata!U342&lt;=180.00))</f>
        <v>0</v>
      </c>
      <c r="BH342">
        <f>AND(IF(Metadata!V342="",FALSE,TRUE),exact(Metadata!V342,"Decimal degrees"))</f>
        <v>0</v>
      </c>
      <c r="BI342">
        <f>IF(Metadata!W342="",FALSE,TRUE)</f>
        <v>0</v>
      </c>
      <c r="BJ342">
        <f>OR(AND(IF(Metadata!X342="",FALSE,TRUE),OR(exact(Metadata!X342,"not collected"),exact(Metadata!X342,"not provided"),exact(Metadata!X342,"restricted access"))),AND(IF(Metadata!X342="",FALSE,TRUE),OR(exact(Metadata!X342,"TRUE"),exact(Metadata!X342,"FALSE"))))</f>
        <v>0</v>
      </c>
      <c r="BK342">
        <f>AND(IF(Metadata!Y342="",FALSE,TRUE),exact(Metadata!Y342,"other"))</f>
        <v>0</v>
      </c>
      <c r="BL342">
        <f>IF(Metadata!Z342="",FALSE,TRUE)</f>
        <v>0</v>
      </c>
      <c r="BM342">
        <f>OR(AND(IF(Metadata!AA342="",FALSE,TRUE),OR(exact(Metadata!AA342,"not collected"),exact(Metadata!AA342,"not provided"))),AND(IF(Metadata!AA342="",FALSE,IF(ISERROR(INT(Metadata!AA342)),FALSE,INT(Metadata!AA342)=Metadata!AA342)),Metadata!AA342&gt;0))</f>
        <v>0</v>
      </c>
      <c r="BN342">
        <f>AND(IF(Metadata!AB342="",FALSE,TRUE),exact(Metadata!AB342,"Not applicable"))</f>
        <v>0</v>
      </c>
      <c r="BO342">
        <f>IF(Metadata!AC342="",FALSE,TRUE)</f>
        <v>0</v>
      </c>
    </row>
    <row r="343" spans="1:67">
      <c r="A343" s="5">
        <f>IF(B343=" "," ",HYPERLINK(CONCATENATE("#metadata!",ADDRESS(INDEX($AI$2:$AI$1001,MATCH(ROWS($AG$2:AG343),$AG$2:$AG$1001,0),0),1)),INDEX($AL$2:$AL$1001,MATCH(ROWS($AG$2:AG343),$AG$2:$AG$1001,0),0)))</f>
        <v>0</v>
      </c>
      <c r="B343" s="4">
        <f>IF(OR(INDEX($AH$2:$AH$1001,MATCH(ROWS($AG$2:AG343),$AG$2:$AG$1001,0),1)&gt;=100000,INDEX($AN$1005:$BO$1005,1,MATCH(COLUMNS($AN$1006:AN1006),$AN$1006:$BO$1006,0))&gt;=100000), " ",IF(INDEX($AN$2:$BO$1001,MATCH(ROWS($AG$2:AG343),$AG$2:$AG$1001,0),MATCH(COLUMNS($AN$1006:AN1006),$AN$1006:$BO$1006,0)), HYPERLINK("#",""), HYPERLINK(CONCATENATE("#Metadata!", ADDRESS(INDEX($AI$2:$AI$1001,MATCH(ROWS($AG$2:AG343),$AG$2:$AG$1001,0),0), INDEX($AN$1004:$BO$1004,1,MATCH(COLUMNS($AN$1006:AN1006),$AN$1006:$BO$1006,0)))),"Fix")))</f>
        <v>0</v>
      </c>
      <c r="C343" s="4">
        <f>IF(OR(INDEX($AH$2:$AH$1001,MATCH(ROWS($AG$2:AG343),$AG$2:$AG$1001,0),1)&gt;=100000,INDEX($AN$1005:$BO$1005,1,MATCH(COLUMNS($AN$1006:AO1006),$AN$1006:$BO$1006,0))&gt;=100000), " ",IF(INDEX($AN$2:$BO$1001,MATCH(ROWS($AG$2:AG343),$AG$2:$AG$1001,0),MATCH(COLUMNS($AN$1006:AO1006),$AN$1006:$BO$1006,0)), HYPERLINK("#",""), HYPERLINK(CONCATENATE("#Metadata!", ADDRESS(INDEX($AI$2:$AI$1001,MATCH(ROWS($AG$2:AG343),$AG$2:$AG$1001,0),0), INDEX($AN$1004:$BO$1004,1,MATCH(COLUMNS($AN$1006:AO1006),$AN$1006:$BO$1006,0)))),"Fix")))</f>
        <v>0</v>
      </c>
      <c r="D343" s="4">
        <f>IF(OR(INDEX($AH$2:$AH$1001,MATCH(ROWS($AG$2:AG343),$AG$2:$AG$1001,0),1)&gt;=100000,INDEX($AN$1005:$BO$1005,1,MATCH(COLUMNS($AN$1006:AP1006),$AN$1006:$BO$1006,0))&gt;=100000), " ",IF(INDEX($AN$2:$BO$1001,MATCH(ROWS($AG$2:AG343),$AG$2:$AG$1001,0),MATCH(COLUMNS($AN$1006:AP1006),$AN$1006:$BO$1006,0)), HYPERLINK("#",""), HYPERLINK(CONCATENATE("#Metadata!", ADDRESS(INDEX($AI$2:$AI$1001,MATCH(ROWS($AG$2:AG343),$AG$2:$AG$1001,0),0), INDEX($AN$1004:$BO$1004,1,MATCH(COLUMNS($AN$1006:AP1006),$AN$1006:$BO$1006,0)))),"Fix")))</f>
        <v>0</v>
      </c>
      <c r="E343" s="4">
        <f>IF(OR(INDEX($AH$2:$AH$1001,MATCH(ROWS($AG$2:AG343),$AG$2:$AG$1001,0),1)&gt;=100000,INDEX($AN$1005:$BO$1005,1,MATCH(COLUMNS($AN$1006:AQ1006),$AN$1006:$BO$1006,0))&gt;=100000), " ",IF(INDEX($AN$2:$BO$1001,MATCH(ROWS($AG$2:AG343),$AG$2:$AG$1001,0),MATCH(COLUMNS($AN$1006:AQ1006),$AN$1006:$BO$1006,0)), HYPERLINK("#",""), HYPERLINK(CONCATENATE("#Metadata!", ADDRESS(INDEX($AI$2:$AI$1001,MATCH(ROWS($AG$2:AG343),$AG$2:$AG$1001,0),0), INDEX($AN$1004:$BO$1004,1,MATCH(COLUMNS($AN$1006:AQ1006),$AN$1006:$BO$1006,0)))),"Fix")))</f>
        <v>0</v>
      </c>
      <c r="F343" s="4">
        <f>IF(OR(INDEX($AH$2:$AH$1001,MATCH(ROWS($AG$2:AG343),$AG$2:$AG$1001,0),1)&gt;=100000,INDEX($AN$1005:$BO$1005,1,MATCH(COLUMNS($AN$1006:AR1006),$AN$1006:$BO$1006,0))&gt;=100000), " ",IF(INDEX($AN$2:$BO$1001,MATCH(ROWS($AG$2:AG343),$AG$2:$AG$1001,0),MATCH(COLUMNS($AN$1006:AR1006),$AN$1006:$BO$1006,0)), HYPERLINK("#",""), HYPERLINK(CONCATENATE("#Metadata!", ADDRESS(INDEX($AI$2:$AI$1001,MATCH(ROWS($AG$2:AG343),$AG$2:$AG$1001,0),0), INDEX($AN$1004:$BO$1004,1,MATCH(COLUMNS($AN$1006:AR1006),$AN$1006:$BO$1006,0)))),"Fix")))</f>
        <v>0</v>
      </c>
      <c r="G343" s="4">
        <f>IF(OR(INDEX($AH$2:$AH$1001,MATCH(ROWS($AG$2:AG343),$AG$2:$AG$1001,0),1)&gt;=100000,INDEX($AN$1005:$BO$1005,1,MATCH(COLUMNS($AN$1006:AS1006),$AN$1006:$BO$1006,0))&gt;=100000), " ",IF(INDEX($AN$2:$BO$1001,MATCH(ROWS($AG$2:AG343),$AG$2:$AG$1001,0),MATCH(COLUMNS($AN$1006:AS1006),$AN$1006:$BO$1006,0)), HYPERLINK("#",""), HYPERLINK(CONCATENATE("#Metadata!", ADDRESS(INDEX($AI$2:$AI$1001,MATCH(ROWS($AG$2:AG343),$AG$2:$AG$1001,0),0), INDEX($AN$1004:$BO$1004,1,MATCH(COLUMNS($AN$1006:AS1006),$AN$1006:$BO$1006,0)))),"Fix")))</f>
        <v>0</v>
      </c>
      <c r="H343" s="4">
        <f>IF(OR(INDEX($AH$2:$AH$1001,MATCH(ROWS($AG$2:AG343),$AG$2:$AG$1001,0),1)&gt;=100000,INDEX($AN$1005:$BO$1005,1,MATCH(COLUMNS($AN$1006:AT1006),$AN$1006:$BO$1006,0))&gt;=100000), " ",IF(INDEX($AN$2:$BO$1001,MATCH(ROWS($AG$2:AG343),$AG$2:$AG$1001,0),MATCH(COLUMNS($AN$1006:AT1006),$AN$1006:$BO$1006,0)), HYPERLINK("#",""), HYPERLINK(CONCATENATE("#Metadata!", ADDRESS(INDEX($AI$2:$AI$1001,MATCH(ROWS($AG$2:AG343),$AG$2:$AG$1001,0),0), INDEX($AN$1004:$BO$1004,1,MATCH(COLUMNS($AN$1006:AT1006),$AN$1006:$BO$1006,0)))),"Fix")))</f>
        <v>0</v>
      </c>
      <c r="I343" s="4">
        <f>IF(OR(INDEX($AH$2:$AH$1001,MATCH(ROWS($AG$2:AG343),$AG$2:$AG$1001,0),1)&gt;=100000,INDEX($AN$1005:$BO$1005,1,MATCH(COLUMNS($AN$1006:AU1006),$AN$1006:$BO$1006,0))&gt;=100000), " ",IF(INDEX($AN$2:$BO$1001,MATCH(ROWS($AG$2:AG343),$AG$2:$AG$1001,0),MATCH(COLUMNS($AN$1006:AU1006),$AN$1006:$BO$1006,0)), HYPERLINK("#",""), HYPERLINK(CONCATENATE("#Metadata!", ADDRESS(INDEX($AI$2:$AI$1001,MATCH(ROWS($AG$2:AG343),$AG$2:$AG$1001,0),0), INDEX($AN$1004:$BO$1004,1,MATCH(COLUMNS($AN$1006:AU1006),$AN$1006:$BO$1006,0)))),"Fix")))</f>
        <v>0</v>
      </c>
      <c r="J343" s="4">
        <f>IF(OR(INDEX($AH$2:$AH$1001,MATCH(ROWS($AG$2:AG343),$AG$2:$AG$1001,0),1)&gt;=100000,INDEX($AN$1005:$BO$1005,1,MATCH(COLUMNS($AN$1006:AV1006),$AN$1006:$BO$1006,0))&gt;=100000), " ",IF(INDEX($AN$2:$BO$1001,MATCH(ROWS($AG$2:AG343),$AG$2:$AG$1001,0),MATCH(COLUMNS($AN$1006:AV1006),$AN$1006:$BO$1006,0)), HYPERLINK("#",""), HYPERLINK(CONCATENATE("#Metadata!", ADDRESS(INDEX($AI$2:$AI$1001,MATCH(ROWS($AG$2:AG343),$AG$2:$AG$1001,0),0), INDEX($AN$1004:$BO$1004,1,MATCH(COLUMNS($AN$1006:AV1006),$AN$1006:$BO$1006,0)))),"Fix")))</f>
        <v>0</v>
      </c>
      <c r="K343" s="4">
        <f>IF(OR(INDEX($AH$2:$AH$1001,MATCH(ROWS($AG$2:AG343),$AG$2:$AG$1001,0),1)&gt;=100000,INDEX($AN$1005:$BO$1005,1,MATCH(COLUMNS($AN$1006:AW1006),$AN$1006:$BO$1006,0))&gt;=100000), " ",IF(INDEX($AN$2:$BO$1001,MATCH(ROWS($AG$2:AG343),$AG$2:$AG$1001,0),MATCH(COLUMNS($AN$1006:AW1006),$AN$1006:$BO$1006,0)), HYPERLINK("#",""), HYPERLINK(CONCATENATE("#Metadata!", ADDRESS(INDEX($AI$2:$AI$1001,MATCH(ROWS($AG$2:AG343),$AG$2:$AG$1001,0),0), INDEX($AN$1004:$BO$1004,1,MATCH(COLUMNS($AN$1006:AW1006),$AN$1006:$BO$1006,0)))),"Fix")))</f>
        <v>0</v>
      </c>
      <c r="L343" s="4">
        <f>IF(OR(INDEX($AH$2:$AH$1001,MATCH(ROWS($AG$2:AG343),$AG$2:$AG$1001,0),1)&gt;=100000,INDEX($AN$1005:$BO$1005,1,MATCH(COLUMNS($AN$1006:AX1006),$AN$1006:$BO$1006,0))&gt;=100000), " ",IF(INDEX($AN$2:$BO$1001,MATCH(ROWS($AG$2:AG343),$AG$2:$AG$1001,0),MATCH(COLUMNS($AN$1006:AX1006),$AN$1006:$BO$1006,0)), HYPERLINK("#",""), HYPERLINK(CONCATENATE("#Metadata!", ADDRESS(INDEX($AI$2:$AI$1001,MATCH(ROWS($AG$2:AG343),$AG$2:$AG$1001,0),0), INDEX($AN$1004:$BO$1004,1,MATCH(COLUMNS($AN$1006:AX1006),$AN$1006:$BO$1006,0)))),"Fix")))</f>
        <v>0</v>
      </c>
      <c r="M343" s="4">
        <f>IF(OR(INDEX($AH$2:$AH$1001,MATCH(ROWS($AG$2:AG343),$AG$2:$AG$1001,0),1)&gt;=100000,INDEX($AN$1005:$BO$1005,1,MATCH(COLUMNS($AN$1006:AY1006),$AN$1006:$BO$1006,0))&gt;=100000), " ",IF(INDEX($AN$2:$BO$1001,MATCH(ROWS($AG$2:AG343),$AG$2:$AG$1001,0),MATCH(COLUMNS($AN$1006:AY1006),$AN$1006:$BO$1006,0)), HYPERLINK("#",""), HYPERLINK(CONCATENATE("#Metadata!", ADDRESS(INDEX($AI$2:$AI$1001,MATCH(ROWS($AG$2:AG343),$AG$2:$AG$1001,0),0), INDEX($AN$1004:$BO$1004,1,MATCH(COLUMNS($AN$1006:AY1006),$AN$1006:$BO$1006,0)))),"Fix")))</f>
        <v>0</v>
      </c>
      <c r="N343" s="4">
        <f>IF(OR(INDEX($AH$2:$AH$1001,MATCH(ROWS($AG$2:AG343),$AG$2:$AG$1001,0),1)&gt;=100000,INDEX($AN$1005:$BO$1005,1,MATCH(COLUMNS($AN$1006:AZ1006),$AN$1006:$BO$1006,0))&gt;=100000), " ",IF(INDEX($AN$2:$BO$1001,MATCH(ROWS($AG$2:AG343),$AG$2:$AG$1001,0),MATCH(COLUMNS($AN$1006:AZ1006),$AN$1006:$BO$1006,0)), HYPERLINK("#",""), HYPERLINK(CONCATENATE("#Metadata!", ADDRESS(INDEX($AI$2:$AI$1001,MATCH(ROWS($AG$2:AG343),$AG$2:$AG$1001,0),0), INDEX($AN$1004:$BO$1004,1,MATCH(COLUMNS($AN$1006:AZ1006),$AN$1006:$BO$1006,0)))),"Fix")))</f>
        <v>0</v>
      </c>
      <c r="O343" s="4">
        <f>IF(OR(INDEX($AH$2:$AH$1001,MATCH(ROWS($AG$2:AG343),$AG$2:$AG$1001,0),1)&gt;=100000,INDEX($AN$1005:$BO$1005,1,MATCH(COLUMNS($AN$1006:BA1006),$AN$1006:$BO$1006,0))&gt;=100000), " ",IF(INDEX($AN$2:$BO$1001,MATCH(ROWS($AG$2:AG343),$AG$2:$AG$1001,0),MATCH(COLUMNS($AN$1006:BA1006),$AN$1006:$BO$1006,0)), HYPERLINK("#",""), HYPERLINK(CONCATENATE("#Metadata!", ADDRESS(INDEX($AI$2:$AI$1001,MATCH(ROWS($AG$2:AG343),$AG$2:$AG$1001,0),0), INDEX($AN$1004:$BO$1004,1,MATCH(COLUMNS($AN$1006:BA1006),$AN$1006:$BO$1006,0)))),"Fix")))</f>
        <v>0</v>
      </c>
      <c r="P343" s="4">
        <f>IF(OR(INDEX($AH$2:$AH$1001,MATCH(ROWS($AG$2:AG343),$AG$2:$AG$1001,0),1)&gt;=100000,INDEX($AN$1005:$BO$1005,1,MATCH(COLUMNS($AN$1006:BB1006),$AN$1006:$BO$1006,0))&gt;=100000), " ",IF(INDEX($AN$2:$BO$1001,MATCH(ROWS($AG$2:AG343),$AG$2:$AG$1001,0),MATCH(COLUMNS($AN$1006:BB1006),$AN$1006:$BO$1006,0)), HYPERLINK("#",""), HYPERLINK(CONCATENATE("#Metadata!", ADDRESS(INDEX($AI$2:$AI$1001,MATCH(ROWS($AG$2:AG343),$AG$2:$AG$1001,0),0), INDEX($AN$1004:$BO$1004,1,MATCH(COLUMNS($AN$1006:BB1006),$AN$1006:$BO$1006,0)))),"Fix")))</f>
        <v>0</v>
      </c>
      <c r="Q343" s="4">
        <f>IF(OR(INDEX($AH$2:$AH$1001,MATCH(ROWS($AG$2:AG343),$AG$2:$AG$1001,0),1)&gt;=100000,INDEX($AN$1005:$BO$1005,1,MATCH(COLUMNS($AN$1006:BC1006),$AN$1006:$BO$1006,0))&gt;=100000), " ",IF(INDEX($AN$2:$BO$1001,MATCH(ROWS($AG$2:AG343),$AG$2:$AG$1001,0),MATCH(COLUMNS($AN$1006:BC1006),$AN$1006:$BO$1006,0)), HYPERLINK("#",""), HYPERLINK(CONCATENATE("#Metadata!", ADDRESS(INDEX($AI$2:$AI$1001,MATCH(ROWS($AG$2:AG343),$AG$2:$AG$1001,0),0), INDEX($AN$1004:$BO$1004,1,MATCH(COLUMNS($AN$1006:BC1006),$AN$1006:$BO$1006,0)))),"Fix")))</f>
        <v>0</v>
      </c>
      <c r="R343" s="4">
        <f>IF(OR(INDEX($AH$2:$AH$1001,MATCH(ROWS($AG$2:AG343),$AG$2:$AG$1001,0),1)&gt;=100000,INDEX($AN$1005:$BO$1005,1,MATCH(COLUMNS($AN$1006:BD1006),$AN$1006:$BO$1006,0))&gt;=100000), " ",IF(INDEX($AN$2:$BO$1001,MATCH(ROWS($AG$2:AG343),$AG$2:$AG$1001,0),MATCH(COLUMNS($AN$1006:BD1006),$AN$1006:$BO$1006,0)), HYPERLINK("#",""), HYPERLINK(CONCATENATE("#Metadata!", ADDRESS(INDEX($AI$2:$AI$1001,MATCH(ROWS($AG$2:AG343),$AG$2:$AG$1001,0),0), INDEX($AN$1004:$BO$1004,1,MATCH(COLUMNS($AN$1006:BD1006),$AN$1006:$BO$1006,0)))),"Fix")))</f>
        <v>0</v>
      </c>
      <c r="S343" s="4">
        <f>IF(OR(INDEX($AH$2:$AH$1001,MATCH(ROWS($AG$2:AG343),$AG$2:$AG$1001,0),1)&gt;=100000,INDEX($AN$1005:$BO$1005,1,MATCH(COLUMNS($AN$1006:BE1006),$AN$1006:$BO$1006,0))&gt;=100000), " ",IF(INDEX($AN$2:$BO$1001,MATCH(ROWS($AG$2:AG343),$AG$2:$AG$1001,0),MATCH(COLUMNS($AN$1006:BE1006),$AN$1006:$BO$1006,0)), HYPERLINK("#",""), HYPERLINK(CONCATENATE("#Metadata!", ADDRESS(INDEX($AI$2:$AI$1001,MATCH(ROWS($AG$2:AG343),$AG$2:$AG$1001,0),0), INDEX($AN$1004:$BO$1004,1,MATCH(COLUMNS($AN$1006:BE1006),$AN$1006:$BO$1006,0)))),"Fix")))</f>
        <v>0</v>
      </c>
      <c r="T343" s="4">
        <f>IF(OR(INDEX($AH$2:$AH$1001,MATCH(ROWS($AG$2:AG343),$AG$2:$AG$1001,0),1)&gt;=100000,INDEX($AN$1005:$BO$1005,1,MATCH(COLUMNS($AN$1006:BF1006),$AN$1006:$BO$1006,0))&gt;=100000), " ",IF(INDEX($AN$2:$BO$1001,MATCH(ROWS($AG$2:AG343),$AG$2:$AG$1001,0),MATCH(COLUMNS($AN$1006:BF1006),$AN$1006:$BO$1006,0)), HYPERLINK("#",""), HYPERLINK(CONCATENATE("#Metadata!", ADDRESS(INDEX($AI$2:$AI$1001,MATCH(ROWS($AG$2:AG343),$AG$2:$AG$1001,0),0), INDEX($AN$1004:$BO$1004,1,MATCH(COLUMNS($AN$1006:BF1006),$AN$1006:$BO$1006,0)))),"Fix")))</f>
        <v>0</v>
      </c>
      <c r="U343" s="4">
        <f>IF(OR(INDEX($AH$2:$AH$1001,MATCH(ROWS($AG$2:AG343),$AG$2:$AG$1001,0),1)&gt;=100000,INDEX($AN$1005:$BO$1005,1,MATCH(COLUMNS($AN$1006:BG1006),$AN$1006:$BO$1006,0))&gt;=100000), " ",IF(INDEX($AN$2:$BO$1001,MATCH(ROWS($AG$2:AG343),$AG$2:$AG$1001,0),MATCH(COLUMNS($AN$1006:BG1006),$AN$1006:$BO$1006,0)), HYPERLINK("#",""), HYPERLINK(CONCATENATE("#Metadata!", ADDRESS(INDEX($AI$2:$AI$1001,MATCH(ROWS($AG$2:AG343),$AG$2:$AG$1001,0),0), INDEX($AN$1004:$BO$1004,1,MATCH(COLUMNS($AN$1006:BG1006),$AN$1006:$BO$1006,0)))),"Fix")))</f>
        <v>0</v>
      </c>
      <c r="V343" s="4">
        <f>IF(OR(INDEX($AH$2:$AH$1001,MATCH(ROWS($AG$2:AG343),$AG$2:$AG$1001,0),1)&gt;=100000,INDEX($AN$1005:$BO$1005,1,MATCH(COLUMNS($AN$1006:BH1006),$AN$1006:$BO$1006,0))&gt;=100000), " ",IF(INDEX($AN$2:$BO$1001,MATCH(ROWS($AG$2:AG343),$AG$2:$AG$1001,0),MATCH(COLUMNS($AN$1006:BH1006),$AN$1006:$BO$1006,0)), HYPERLINK("#",""), HYPERLINK(CONCATENATE("#Metadata!", ADDRESS(INDEX($AI$2:$AI$1001,MATCH(ROWS($AG$2:AG343),$AG$2:$AG$1001,0),0), INDEX($AN$1004:$BO$1004,1,MATCH(COLUMNS($AN$1006:BH1006),$AN$1006:$BO$1006,0)))),"Fix")))</f>
        <v>0</v>
      </c>
      <c r="W343" s="4">
        <f>IF(OR(INDEX($AH$2:$AH$1001,MATCH(ROWS($AG$2:AG343),$AG$2:$AG$1001,0),1)&gt;=100000,INDEX($AN$1005:$BO$1005,1,MATCH(COLUMNS($AN$1006:BI1006),$AN$1006:$BO$1006,0))&gt;=100000), " ",IF(INDEX($AN$2:$BO$1001,MATCH(ROWS($AG$2:AG343),$AG$2:$AG$1001,0),MATCH(COLUMNS($AN$1006:BI1006),$AN$1006:$BO$1006,0)), HYPERLINK("#",""), HYPERLINK(CONCATENATE("#Metadata!", ADDRESS(INDEX($AI$2:$AI$1001,MATCH(ROWS($AG$2:AG343),$AG$2:$AG$1001,0),0), INDEX($AN$1004:$BO$1004,1,MATCH(COLUMNS($AN$1006:BI1006),$AN$1006:$BO$1006,0)))),"Fix")))</f>
        <v>0</v>
      </c>
      <c r="X343" s="4">
        <f>IF(OR(INDEX($AH$2:$AH$1001,MATCH(ROWS($AG$2:AG343),$AG$2:$AG$1001,0),1)&gt;=100000,INDEX($AN$1005:$BO$1005,1,MATCH(COLUMNS($AN$1006:BJ1006),$AN$1006:$BO$1006,0))&gt;=100000), " ",IF(INDEX($AN$2:$BO$1001,MATCH(ROWS($AG$2:AG343),$AG$2:$AG$1001,0),MATCH(COLUMNS($AN$1006:BJ1006),$AN$1006:$BO$1006,0)), HYPERLINK("#",""), HYPERLINK(CONCATENATE("#Metadata!", ADDRESS(INDEX($AI$2:$AI$1001,MATCH(ROWS($AG$2:AG343),$AG$2:$AG$1001,0),0), INDEX($AN$1004:$BO$1004,1,MATCH(COLUMNS($AN$1006:BJ1006),$AN$1006:$BO$1006,0)))),"Fix")))</f>
        <v>0</v>
      </c>
      <c r="Y343" s="4">
        <f>IF(OR(INDEX($AH$2:$AH$1001,MATCH(ROWS($AG$2:AG343),$AG$2:$AG$1001,0),1)&gt;=100000,INDEX($AN$1005:$BO$1005,1,MATCH(COLUMNS($AN$1006:BK1006),$AN$1006:$BO$1006,0))&gt;=100000), " ",IF(INDEX($AN$2:$BO$1001,MATCH(ROWS($AG$2:AG343),$AG$2:$AG$1001,0),MATCH(COLUMNS($AN$1006:BK1006),$AN$1006:$BO$1006,0)), HYPERLINK("#",""), HYPERLINK(CONCATENATE("#Metadata!", ADDRESS(INDEX($AI$2:$AI$1001,MATCH(ROWS($AG$2:AG343),$AG$2:$AG$1001,0),0), INDEX($AN$1004:$BO$1004,1,MATCH(COLUMNS($AN$1006:BK1006),$AN$1006:$BO$1006,0)))),"Fix")))</f>
        <v>0</v>
      </c>
      <c r="Z343" s="4">
        <f>IF(OR(INDEX($AH$2:$AH$1001,MATCH(ROWS($AG$2:AG343),$AG$2:$AG$1001,0),1)&gt;=100000,INDEX($AN$1005:$BO$1005,1,MATCH(COLUMNS($AN$1006:BL1006),$AN$1006:$BO$1006,0))&gt;=100000), " ",IF(INDEX($AN$2:$BO$1001,MATCH(ROWS($AG$2:AG343),$AG$2:$AG$1001,0),MATCH(COLUMNS($AN$1006:BL1006),$AN$1006:$BO$1006,0)), HYPERLINK("#",""), HYPERLINK(CONCATENATE("#Metadata!", ADDRESS(INDEX($AI$2:$AI$1001,MATCH(ROWS($AG$2:AG343),$AG$2:$AG$1001,0),0), INDEX($AN$1004:$BO$1004,1,MATCH(COLUMNS($AN$1006:BL1006),$AN$1006:$BO$1006,0)))),"Fix")))</f>
        <v>0</v>
      </c>
      <c r="AA343" s="4">
        <f>IF(OR(INDEX($AH$2:$AH$1001,MATCH(ROWS($AG$2:AG343),$AG$2:$AG$1001,0),1)&gt;=100000,INDEX($AN$1005:$BO$1005,1,MATCH(COLUMNS($AN$1006:BM1006),$AN$1006:$BO$1006,0))&gt;=100000), " ",IF(INDEX($AN$2:$BO$1001,MATCH(ROWS($AG$2:AG343),$AG$2:$AG$1001,0),MATCH(COLUMNS($AN$1006:BM1006),$AN$1006:$BO$1006,0)), HYPERLINK("#",""), HYPERLINK(CONCATENATE("#Metadata!", ADDRESS(INDEX($AI$2:$AI$1001,MATCH(ROWS($AG$2:AG343),$AG$2:$AG$1001,0),0), INDEX($AN$1004:$BO$1004,1,MATCH(COLUMNS($AN$1006:BM1006),$AN$1006:$BO$1006,0)))),"Fix")))</f>
        <v>0</v>
      </c>
      <c r="AB343" s="4">
        <f>IF(OR(INDEX($AH$2:$AH$1001,MATCH(ROWS($AG$2:AG343),$AG$2:$AG$1001,0),1)&gt;=100000,INDEX($AN$1005:$BO$1005,1,MATCH(COLUMNS($AN$1006:BN1006),$AN$1006:$BO$1006,0))&gt;=100000), " ",IF(INDEX($AN$2:$BO$1001,MATCH(ROWS($AG$2:AG343),$AG$2:$AG$1001,0),MATCH(COLUMNS($AN$1006:BN1006),$AN$1006:$BO$1006,0)), HYPERLINK("#",""), HYPERLINK(CONCATENATE("#Metadata!", ADDRESS(INDEX($AI$2:$AI$1001,MATCH(ROWS($AG$2:AG343),$AG$2:$AG$1001,0),0), INDEX($AN$1004:$BO$1004,1,MATCH(COLUMNS($AN$1006:BN1006),$AN$1006:$BO$1006,0)))),"Fix")))</f>
        <v>0</v>
      </c>
      <c r="AC343" s="4">
        <f>IF(OR(INDEX($AH$2:$AH$1001,MATCH(ROWS($AG$2:AG343),$AG$2:$AG$1001,0),1)&gt;=100000,INDEX($AN$1005:$BO$1005,1,MATCH(COLUMNS($AN$1006:BO1006),$AN$1006:$BO$1006,0))&gt;=100000), " ",IF(INDEX($AN$2:$BO$1001,MATCH(ROWS($AG$2:AG343),$AG$2:$AG$1001,0),MATCH(COLUMNS($AN$1006:BO1006),$AN$1006:$BO$1006,0)), HYPERLINK("#",""), HYPERLINK(CONCATENATE("#Metadata!", ADDRESS(INDEX($AI$2:$AI$1001,MATCH(ROWS($AG$2:AG343),$AG$2:$AG$1001,0),0), INDEX($AN$1004:$BO$1004,1,MATCH(COLUMNS($AN$1006:BO1006),$AN$1006:$BO$1006,0)))),"Fix")))</f>
        <v>0</v>
      </c>
      <c r="AG343">
        <v>0</v>
      </c>
      <c r="AH343">
        <v>0</v>
      </c>
      <c r="AI343">
        <v>0</v>
      </c>
      <c r="AJ343">
        <f>IF(AK343,TRUE,AND(AN343:BO343))</f>
        <v>0</v>
      </c>
      <c r="AK343">
        <f>COUNTBLANK(Metadata!B343:AC343)=COLUMNS(Metadata!B343:AC343)</f>
        <v>0</v>
      </c>
      <c r="AL343">
        <v>0</v>
      </c>
      <c r="AN343">
        <f>AND(IF(Metadata!B343="",FALSE,TRUE),COUNTIF(Metadata!B:B, Metadata!B343) = 1,NOT(ISERROR(SUMPRODUCT(SEARCH(MID(Metadata!B343,ROW(INDIRECT("1:"&amp;LEN(Metadata!B343))), 1),"0123456789abcdefghijklmnopqrstuvwxyzABCDEFGHIJKLMNOPQRSTUVWXYZ.")))))</f>
        <v>0</v>
      </c>
      <c r="AO343">
        <f>IF(Metadata!C343="",FALSE,TRUE)</f>
        <v>0</v>
      </c>
      <c r="AP343">
        <f>IF(Metadata!D343="",FALSE,TRUE)</f>
        <v>0</v>
      </c>
      <c r="AQ343">
        <f>OR(AND(IF(Metadata!E343="",FALSE,TRUE),OR(exact(Metadata!E343,"not collected"),exact(Metadata!E343,"not provided"),exact(Metadata!E343,"restricted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R343">
        <f>IF(Metadata!F343="",FALSE,TRUE)</f>
        <v>0</v>
      </c>
      <c r="AS343">
        <f>OR(AND(IF(Metadata!G343="",FALSE,TRUE),OR(exact(Metadata!G343,"not collected"),exact(Metadata!G343,"not provided"))),AND(IF(Metadata!G343="",FALSE,TRUE),OR(exact(Metadata!G343,"TRUE"),exact(Metadata!G343,"FALSE"))))</f>
        <v>0</v>
      </c>
      <c r="AT343">
        <f>OR(AND(IF(Metadata!H343="",FALSE,TRUE),OR(exact(Metadata!H343,"not collected"),exact(Metadata!H343,"not provided"),exact(Metadata!H343,"restricted access"))),AND(IF(Metadata!H343="",FALSE,ISNUMBER(VALUE(Metadata!H343))),Metadata!H343&gt;=-413.0))</f>
        <v>0</v>
      </c>
      <c r="AU343">
        <f>AND(IF(Metadata!I343="",FALSE,TRUE),exact(Metadata!I343,"meters"))</f>
        <v>0</v>
      </c>
      <c r="AV343">
        <f>AND(IF(Metadata!J343="",FALSE,TRUE),OR(exact(Metadata!J343,"Host-associated"),exact(Metadata!J343,"Free-living")))</f>
        <v>0</v>
      </c>
      <c r="AW343">
        <f>AND(IF(Metadata!K343="",FALSE,TRUE),OR(exact(Metadata!K343,"Animal"),exact(Metadata!K343,"Fungus"),exact(Metadata!K343,"Plant"),exact(Metadata!K343,"Saline"),exact(Metadata!K343,"Non-saline")))</f>
        <v>0</v>
      </c>
      <c r="AX343">
        <f>AND(IF(Metadata!L343="",FALSE,TRUE),OR(exact(Metadata!L343,"Plant secretion"),exact(Metadata!L343,"Plant rhizosphere"),exact(Metadata!L343,"Plant surface"),exact(Metadata!L343,"Plant corpus"),exact(Metadata!L343,"Fungus surface"),exact(Metadata!L343,"Fungus corpus"),exact(Metadata!L343,"Animal surface"),exact(Metadata!L343,"Animal proximal gut"),exact(Metadata!L343,"Animal corpus"),exact(Metadata!L343,"Animal distal gut"),exact(Metadata!L343,"Animal secretion"),exact(Metadata!L343,"Sub-surface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Y343">
        <f>IF(Metadata!M343="",FALSE,TRUE)</f>
        <v>0</v>
      </c>
      <c r="AZ343">
        <f>IF(Metadata!N343="",FALSE,TRUE)</f>
        <v>0</v>
      </c>
      <c r="BA343">
        <f>IF(Metadata!O343="",FALSE,TRUE)</f>
        <v>0</v>
      </c>
      <c r="BB343">
        <f>OR(AND(IF(Metadata!P343="",FALSE,TRUE),OR(exact(Metadata!P343,"not collected"),exact(Metadata!P343,"not provided"),exact(Metadata!P343,"restricted access"))),AND(IF(Metadata!P343="",FALSE,TRUE),OR(exact(Metadata!P343,"air"),exact(Metadata!P343,"built environment"),exact(Metadata!P343,"host-associated"),exact(Metadata!P343,"human-associated"),exact(Metadata!P343,"human-skin"),exact(Metadata!P343,"human-oral"),exact(Metadata!P343,"human-gut"),exact(Metadata!P343,"human-vaginal"),exact(Metadata!P343,"microbial mat/biofilm"),exact(Metadata!P343,"misc environment"),exact(Metadata!P343,"plant-associated"),exact(Metadata!P343,"sediment"),exact(Metadata!P343,"soil"),exact(Metadata!P343,"wastewater/sludge"),exact(Metadata!P343,"water"))))</f>
        <v>0</v>
      </c>
      <c r="BC343">
        <f>IF(Metadata!Q343="",FALSE,TRUE)</f>
        <v>0</v>
      </c>
      <c r="BD343">
        <f>IF(Metadata!R343="",FALSE,TRUE)</f>
        <v>0</v>
      </c>
      <c r="BE343">
        <f>OR(AND(IF(Metadata!S343="",FALSE,TRUE),OR(exact(Metadata!S343,"not collected"),exact(Metadata!S343,"not provided"),exact(Metadata!S343,"restricted access"))),AND(IF(Metadata!S343="",FALSE,ISNUMBER(VALUE(Metadata!S343))),Metadata!S343&gt;=-90.00,Metadata!S343&lt;=90.00))</f>
        <v>0</v>
      </c>
      <c r="BF343">
        <f>AND(IF(Metadata!T343="",FALSE,TRUE),exact(Metadata!T343,"Decimal degrees"))</f>
        <v>0</v>
      </c>
      <c r="BG343">
        <f>OR(AND(IF(Metadata!U343="",FALSE,TRUE),OR(exact(Metadata!U343,"not collected"),exact(Metadata!U343,"not provided"),exact(Metadata!U343,"restricted access"))),AND(IF(Metadata!U343="",FALSE,ISNUMBER(VALUE(Metadata!U343))),Metadata!U343&gt;=-180.00,Metadata!U343&lt;=180.00))</f>
        <v>0</v>
      </c>
      <c r="BH343">
        <f>AND(IF(Metadata!V343="",FALSE,TRUE),exact(Metadata!V343,"Decimal degrees"))</f>
        <v>0</v>
      </c>
      <c r="BI343">
        <f>IF(Metadata!W343="",FALSE,TRUE)</f>
        <v>0</v>
      </c>
      <c r="BJ343">
        <f>OR(AND(IF(Metadata!X343="",FALSE,TRUE),OR(exact(Metadata!X343,"not collected"),exact(Metadata!X343,"not provided"),exact(Metadata!X343,"restricted access"))),AND(IF(Metadata!X343="",FALSE,TRUE),OR(exact(Metadata!X343,"TRUE"),exact(Metadata!X343,"FALSE"))))</f>
        <v>0</v>
      </c>
      <c r="BK343">
        <f>AND(IF(Metadata!Y343="",FALSE,TRUE),exact(Metadata!Y343,"other"))</f>
        <v>0</v>
      </c>
      <c r="BL343">
        <f>IF(Metadata!Z343="",FALSE,TRUE)</f>
        <v>0</v>
      </c>
      <c r="BM343">
        <f>OR(AND(IF(Metadata!AA343="",FALSE,TRUE),OR(exact(Metadata!AA343,"not collected"),exact(Metadata!AA343,"not provided"))),AND(IF(Metadata!AA343="",FALSE,IF(ISERROR(INT(Metadata!AA343)),FALSE,INT(Metadata!AA343)=Metadata!AA343)),Metadata!AA343&gt;0))</f>
        <v>0</v>
      </c>
      <c r="BN343">
        <f>AND(IF(Metadata!AB343="",FALSE,TRUE),exact(Metadata!AB343,"Not applicable"))</f>
        <v>0</v>
      </c>
      <c r="BO343">
        <f>IF(Metadata!AC343="",FALSE,TRUE)</f>
        <v>0</v>
      </c>
    </row>
    <row r="344" spans="1:67">
      <c r="A344" s="5">
        <f>IF(B344=" "," ",HYPERLINK(CONCATENATE("#metadata!",ADDRESS(INDEX($AI$2:$AI$1001,MATCH(ROWS($AG$2:AG344),$AG$2:$AG$1001,0),0),1)),INDEX($AL$2:$AL$1001,MATCH(ROWS($AG$2:AG344),$AG$2:$AG$1001,0),0)))</f>
        <v>0</v>
      </c>
      <c r="B344" s="4">
        <f>IF(OR(INDEX($AH$2:$AH$1001,MATCH(ROWS($AG$2:AG344),$AG$2:$AG$1001,0),1)&gt;=100000,INDEX($AN$1005:$BO$1005,1,MATCH(COLUMNS($AN$1006:AN1006),$AN$1006:$BO$1006,0))&gt;=100000), " ",IF(INDEX($AN$2:$BO$1001,MATCH(ROWS($AG$2:AG344),$AG$2:$AG$1001,0),MATCH(COLUMNS($AN$1006:AN1006),$AN$1006:$BO$1006,0)), HYPERLINK("#",""), HYPERLINK(CONCATENATE("#Metadata!", ADDRESS(INDEX($AI$2:$AI$1001,MATCH(ROWS($AG$2:AG344),$AG$2:$AG$1001,0),0), INDEX($AN$1004:$BO$1004,1,MATCH(COLUMNS($AN$1006:AN1006),$AN$1006:$BO$1006,0)))),"Fix")))</f>
        <v>0</v>
      </c>
      <c r="C344" s="4">
        <f>IF(OR(INDEX($AH$2:$AH$1001,MATCH(ROWS($AG$2:AG344),$AG$2:$AG$1001,0),1)&gt;=100000,INDEX($AN$1005:$BO$1005,1,MATCH(COLUMNS($AN$1006:AO1006),$AN$1006:$BO$1006,0))&gt;=100000), " ",IF(INDEX($AN$2:$BO$1001,MATCH(ROWS($AG$2:AG344),$AG$2:$AG$1001,0),MATCH(COLUMNS($AN$1006:AO1006),$AN$1006:$BO$1006,0)), HYPERLINK("#",""), HYPERLINK(CONCATENATE("#Metadata!", ADDRESS(INDEX($AI$2:$AI$1001,MATCH(ROWS($AG$2:AG344),$AG$2:$AG$1001,0),0), INDEX($AN$1004:$BO$1004,1,MATCH(COLUMNS($AN$1006:AO1006),$AN$1006:$BO$1006,0)))),"Fix")))</f>
        <v>0</v>
      </c>
      <c r="D344" s="4">
        <f>IF(OR(INDEX($AH$2:$AH$1001,MATCH(ROWS($AG$2:AG344),$AG$2:$AG$1001,0),1)&gt;=100000,INDEX($AN$1005:$BO$1005,1,MATCH(COLUMNS($AN$1006:AP1006),$AN$1006:$BO$1006,0))&gt;=100000), " ",IF(INDEX($AN$2:$BO$1001,MATCH(ROWS($AG$2:AG344),$AG$2:$AG$1001,0),MATCH(COLUMNS($AN$1006:AP1006),$AN$1006:$BO$1006,0)), HYPERLINK("#",""), HYPERLINK(CONCATENATE("#Metadata!", ADDRESS(INDEX($AI$2:$AI$1001,MATCH(ROWS($AG$2:AG344),$AG$2:$AG$1001,0),0), INDEX($AN$1004:$BO$1004,1,MATCH(COLUMNS($AN$1006:AP1006),$AN$1006:$BO$1006,0)))),"Fix")))</f>
        <v>0</v>
      </c>
      <c r="E344" s="4">
        <f>IF(OR(INDEX($AH$2:$AH$1001,MATCH(ROWS($AG$2:AG344),$AG$2:$AG$1001,0),1)&gt;=100000,INDEX($AN$1005:$BO$1005,1,MATCH(COLUMNS($AN$1006:AQ1006),$AN$1006:$BO$1006,0))&gt;=100000), " ",IF(INDEX($AN$2:$BO$1001,MATCH(ROWS($AG$2:AG344),$AG$2:$AG$1001,0),MATCH(COLUMNS($AN$1006:AQ1006),$AN$1006:$BO$1006,0)), HYPERLINK("#",""), HYPERLINK(CONCATENATE("#Metadata!", ADDRESS(INDEX($AI$2:$AI$1001,MATCH(ROWS($AG$2:AG344),$AG$2:$AG$1001,0),0), INDEX($AN$1004:$BO$1004,1,MATCH(COLUMNS($AN$1006:AQ1006),$AN$1006:$BO$1006,0)))),"Fix")))</f>
        <v>0</v>
      </c>
      <c r="F344" s="4">
        <f>IF(OR(INDEX($AH$2:$AH$1001,MATCH(ROWS($AG$2:AG344),$AG$2:$AG$1001,0),1)&gt;=100000,INDEX($AN$1005:$BO$1005,1,MATCH(COLUMNS($AN$1006:AR1006),$AN$1006:$BO$1006,0))&gt;=100000), " ",IF(INDEX($AN$2:$BO$1001,MATCH(ROWS($AG$2:AG344),$AG$2:$AG$1001,0),MATCH(COLUMNS($AN$1006:AR1006),$AN$1006:$BO$1006,0)), HYPERLINK("#",""), HYPERLINK(CONCATENATE("#Metadata!", ADDRESS(INDEX($AI$2:$AI$1001,MATCH(ROWS($AG$2:AG344),$AG$2:$AG$1001,0),0), INDEX($AN$1004:$BO$1004,1,MATCH(COLUMNS($AN$1006:AR1006),$AN$1006:$BO$1006,0)))),"Fix")))</f>
        <v>0</v>
      </c>
      <c r="G344" s="4">
        <f>IF(OR(INDEX($AH$2:$AH$1001,MATCH(ROWS($AG$2:AG344),$AG$2:$AG$1001,0),1)&gt;=100000,INDEX($AN$1005:$BO$1005,1,MATCH(COLUMNS($AN$1006:AS1006),$AN$1006:$BO$1006,0))&gt;=100000), " ",IF(INDEX($AN$2:$BO$1001,MATCH(ROWS($AG$2:AG344),$AG$2:$AG$1001,0),MATCH(COLUMNS($AN$1006:AS1006),$AN$1006:$BO$1006,0)), HYPERLINK("#",""), HYPERLINK(CONCATENATE("#Metadata!", ADDRESS(INDEX($AI$2:$AI$1001,MATCH(ROWS($AG$2:AG344),$AG$2:$AG$1001,0),0), INDEX($AN$1004:$BO$1004,1,MATCH(COLUMNS($AN$1006:AS1006),$AN$1006:$BO$1006,0)))),"Fix")))</f>
        <v>0</v>
      </c>
      <c r="H344" s="4">
        <f>IF(OR(INDEX($AH$2:$AH$1001,MATCH(ROWS($AG$2:AG344),$AG$2:$AG$1001,0),1)&gt;=100000,INDEX($AN$1005:$BO$1005,1,MATCH(COLUMNS($AN$1006:AT1006),$AN$1006:$BO$1006,0))&gt;=100000), " ",IF(INDEX($AN$2:$BO$1001,MATCH(ROWS($AG$2:AG344),$AG$2:$AG$1001,0),MATCH(COLUMNS($AN$1006:AT1006),$AN$1006:$BO$1006,0)), HYPERLINK("#",""), HYPERLINK(CONCATENATE("#Metadata!", ADDRESS(INDEX($AI$2:$AI$1001,MATCH(ROWS($AG$2:AG344),$AG$2:$AG$1001,0),0), INDEX($AN$1004:$BO$1004,1,MATCH(COLUMNS($AN$1006:AT1006),$AN$1006:$BO$1006,0)))),"Fix")))</f>
        <v>0</v>
      </c>
      <c r="I344" s="4">
        <f>IF(OR(INDEX($AH$2:$AH$1001,MATCH(ROWS($AG$2:AG344),$AG$2:$AG$1001,0),1)&gt;=100000,INDEX($AN$1005:$BO$1005,1,MATCH(COLUMNS($AN$1006:AU1006),$AN$1006:$BO$1006,0))&gt;=100000), " ",IF(INDEX($AN$2:$BO$1001,MATCH(ROWS($AG$2:AG344),$AG$2:$AG$1001,0),MATCH(COLUMNS($AN$1006:AU1006),$AN$1006:$BO$1006,0)), HYPERLINK("#",""), HYPERLINK(CONCATENATE("#Metadata!", ADDRESS(INDEX($AI$2:$AI$1001,MATCH(ROWS($AG$2:AG344),$AG$2:$AG$1001,0),0), INDEX($AN$1004:$BO$1004,1,MATCH(COLUMNS($AN$1006:AU1006),$AN$1006:$BO$1006,0)))),"Fix")))</f>
        <v>0</v>
      </c>
      <c r="J344" s="4">
        <f>IF(OR(INDEX($AH$2:$AH$1001,MATCH(ROWS($AG$2:AG344),$AG$2:$AG$1001,0),1)&gt;=100000,INDEX($AN$1005:$BO$1005,1,MATCH(COLUMNS($AN$1006:AV1006),$AN$1006:$BO$1006,0))&gt;=100000), " ",IF(INDEX($AN$2:$BO$1001,MATCH(ROWS($AG$2:AG344),$AG$2:$AG$1001,0),MATCH(COLUMNS($AN$1006:AV1006),$AN$1006:$BO$1006,0)), HYPERLINK("#",""), HYPERLINK(CONCATENATE("#Metadata!", ADDRESS(INDEX($AI$2:$AI$1001,MATCH(ROWS($AG$2:AG344),$AG$2:$AG$1001,0),0), INDEX($AN$1004:$BO$1004,1,MATCH(COLUMNS($AN$1006:AV1006),$AN$1006:$BO$1006,0)))),"Fix")))</f>
        <v>0</v>
      </c>
      <c r="K344" s="4">
        <f>IF(OR(INDEX($AH$2:$AH$1001,MATCH(ROWS($AG$2:AG344),$AG$2:$AG$1001,0),1)&gt;=100000,INDEX($AN$1005:$BO$1005,1,MATCH(COLUMNS($AN$1006:AW1006),$AN$1006:$BO$1006,0))&gt;=100000), " ",IF(INDEX($AN$2:$BO$1001,MATCH(ROWS($AG$2:AG344),$AG$2:$AG$1001,0),MATCH(COLUMNS($AN$1006:AW1006),$AN$1006:$BO$1006,0)), HYPERLINK("#",""), HYPERLINK(CONCATENATE("#Metadata!", ADDRESS(INDEX($AI$2:$AI$1001,MATCH(ROWS($AG$2:AG344),$AG$2:$AG$1001,0),0), INDEX($AN$1004:$BO$1004,1,MATCH(COLUMNS($AN$1006:AW1006),$AN$1006:$BO$1006,0)))),"Fix")))</f>
        <v>0</v>
      </c>
      <c r="L344" s="4">
        <f>IF(OR(INDEX($AH$2:$AH$1001,MATCH(ROWS($AG$2:AG344),$AG$2:$AG$1001,0),1)&gt;=100000,INDEX($AN$1005:$BO$1005,1,MATCH(COLUMNS($AN$1006:AX1006),$AN$1006:$BO$1006,0))&gt;=100000), " ",IF(INDEX($AN$2:$BO$1001,MATCH(ROWS($AG$2:AG344),$AG$2:$AG$1001,0),MATCH(COLUMNS($AN$1006:AX1006),$AN$1006:$BO$1006,0)), HYPERLINK("#",""), HYPERLINK(CONCATENATE("#Metadata!", ADDRESS(INDEX($AI$2:$AI$1001,MATCH(ROWS($AG$2:AG344),$AG$2:$AG$1001,0),0), INDEX($AN$1004:$BO$1004,1,MATCH(COLUMNS($AN$1006:AX1006),$AN$1006:$BO$1006,0)))),"Fix")))</f>
        <v>0</v>
      </c>
      <c r="M344" s="4">
        <f>IF(OR(INDEX($AH$2:$AH$1001,MATCH(ROWS($AG$2:AG344),$AG$2:$AG$1001,0),1)&gt;=100000,INDEX($AN$1005:$BO$1005,1,MATCH(COLUMNS($AN$1006:AY1006),$AN$1006:$BO$1006,0))&gt;=100000), " ",IF(INDEX($AN$2:$BO$1001,MATCH(ROWS($AG$2:AG344),$AG$2:$AG$1001,0),MATCH(COLUMNS($AN$1006:AY1006),$AN$1006:$BO$1006,0)), HYPERLINK("#",""), HYPERLINK(CONCATENATE("#Metadata!", ADDRESS(INDEX($AI$2:$AI$1001,MATCH(ROWS($AG$2:AG344),$AG$2:$AG$1001,0),0), INDEX($AN$1004:$BO$1004,1,MATCH(COLUMNS($AN$1006:AY1006),$AN$1006:$BO$1006,0)))),"Fix")))</f>
        <v>0</v>
      </c>
      <c r="N344" s="4">
        <f>IF(OR(INDEX($AH$2:$AH$1001,MATCH(ROWS($AG$2:AG344),$AG$2:$AG$1001,0),1)&gt;=100000,INDEX($AN$1005:$BO$1005,1,MATCH(COLUMNS($AN$1006:AZ1006),$AN$1006:$BO$1006,0))&gt;=100000), " ",IF(INDEX($AN$2:$BO$1001,MATCH(ROWS($AG$2:AG344),$AG$2:$AG$1001,0),MATCH(COLUMNS($AN$1006:AZ1006),$AN$1006:$BO$1006,0)), HYPERLINK("#",""), HYPERLINK(CONCATENATE("#Metadata!", ADDRESS(INDEX($AI$2:$AI$1001,MATCH(ROWS($AG$2:AG344),$AG$2:$AG$1001,0),0), INDEX($AN$1004:$BO$1004,1,MATCH(COLUMNS($AN$1006:AZ1006),$AN$1006:$BO$1006,0)))),"Fix")))</f>
        <v>0</v>
      </c>
      <c r="O344" s="4">
        <f>IF(OR(INDEX($AH$2:$AH$1001,MATCH(ROWS($AG$2:AG344),$AG$2:$AG$1001,0),1)&gt;=100000,INDEX($AN$1005:$BO$1005,1,MATCH(COLUMNS($AN$1006:BA1006),$AN$1006:$BO$1006,0))&gt;=100000), " ",IF(INDEX($AN$2:$BO$1001,MATCH(ROWS($AG$2:AG344),$AG$2:$AG$1001,0),MATCH(COLUMNS($AN$1006:BA1006),$AN$1006:$BO$1006,0)), HYPERLINK("#",""), HYPERLINK(CONCATENATE("#Metadata!", ADDRESS(INDEX($AI$2:$AI$1001,MATCH(ROWS($AG$2:AG344),$AG$2:$AG$1001,0),0), INDEX($AN$1004:$BO$1004,1,MATCH(COLUMNS($AN$1006:BA1006),$AN$1006:$BO$1006,0)))),"Fix")))</f>
        <v>0</v>
      </c>
      <c r="P344" s="4">
        <f>IF(OR(INDEX($AH$2:$AH$1001,MATCH(ROWS($AG$2:AG344),$AG$2:$AG$1001,0),1)&gt;=100000,INDEX($AN$1005:$BO$1005,1,MATCH(COLUMNS($AN$1006:BB1006),$AN$1006:$BO$1006,0))&gt;=100000), " ",IF(INDEX($AN$2:$BO$1001,MATCH(ROWS($AG$2:AG344),$AG$2:$AG$1001,0),MATCH(COLUMNS($AN$1006:BB1006),$AN$1006:$BO$1006,0)), HYPERLINK("#",""), HYPERLINK(CONCATENATE("#Metadata!", ADDRESS(INDEX($AI$2:$AI$1001,MATCH(ROWS($AG$2:AG344),$AG$2:$AG$1001,0),0), INDEX($AN$1004:$BO$1004,1,MATCH(COLUMNS($AN$1006:BB1006),$AN$1006:$BO$1006,0)))),"Fix")))</f>
        <v>0</v>
      </c>
      <c r="Q344" s="4">
        <f>IF(OR(INDEX($AH$2:$AH$1001,MATCH(ROWS($AG$2:AG344),$AG$2:$AG$1001,0),1)&gt;=100000,INDEX($AN$1005:$BO$1005,1,MATCH(COLUMNS($AN$1006:BC1006),$AN$1006:$BO$1006,0))&gt;=100000), " ",IF(INDEX($AN$2:$BO$1001,MATCH(ROWS($AG$2:AG344),$AG$2:$AG$1001,0),MATCH(COLUMNS($AN$1006:BC1006),$AN$1006:$BO$1006,0)), HYPERLINK("#",""), HYPERLINK(CONCATENATE("#Metadata!", ADDRESS(INDEX($AI$2:$AI$1001,MATCH(ROWS($AG$2:AG344),$AG$2:$AG$1001,0),0), INDEX($AN$1004:$BO$1004,1,MATCH(COLUMNS($AN$1006:BC1006),$AN$1006:$BO$1006,0)))),"Fix")))</f>
        <v>0</v>
      </c>
      <c r="R344" s="4">
        <f>IF(OR(INDEX($AH$2:$AH$1001,MATCH(ROWS($AG$2:AG344),$AG$2:$AG$1001,0),1)&gt;=100000,INDEX($AN$1005:$BO$1005,1,MATCH(COLUMNS($AN$1006:BD1006),$AN$1006:$BO$1006,0))&gt;=100000), " ",IF(INDEX($AN$2:$BO$1001,MATCH(ROWS($AG$2:AG344),$AG$2:$AG$1001,0),MATCH(COLUMNS($AN$1006:BD1006),$AN$1006:$BO$1006,0)), HYPERLINK("#",""), HYPERLINK(CONCATENATE("#Metadata!", ADDRESS(INDEX($AI$2:$AI$1001,MATCH(ROWS($AG$2:AG344),$AG$2:$AG$1001,0),0), INDEX($AN$1004:$BO$1004,1,MATCH(COLUMNS($AN$1006:BD1006),$AN$1006:$BO$1006,0)))),"Fix")))</f>
        <v>0</v>
      </c>
      <c r="S344" s="4">
        <f>IF(OR(INDEX($AH$2:$AH$1001,MATCH(ROWS($AG$2:AG344),$AG$2:$AG$1001,0),1)&gt;=100000,INDEX($AN$1005:$BO$1005,1,MATCH(COLUMNS($AN$1006:BE1006),$AN$1006:$BO$1006,0))&gt;=100000), " ",IF(INDEX($AN$2:$BO$1001,MATCH(ROWS($AG$2:AG344),$AG$2:$AG$1001,0),MATCH(COLUMNS($AN$1006:BE1006),$AN$1006:$BO$1006,0)), HYPERLINK("#",""), HYPERLINK(CONCATENATE("#Metadata!", ADDRESS(INDEX($AI$2:$AI$1001,MATCH(ROWS($AG$2:AG344),$AG$2:$AG$1001,0),0), INDEX($AN$1004:$BO$1004,1,MATCH(COLUMNS($AN$1006:BE1006),$AN$1006:$BO$1006,0)))),"Fix")))</f>
        <v>0</v>
      </c>
      <c r="T344" s="4">
        <f>IF(OR(INDEX($AH$2:$AH$1001,MATCH(ROWS($AG$2:AG344),$AG$2:$AG$1001,0),1)&gt;=100000,INDEX($AN$1005:$BO$1005,1,MATCH(COLUMNS($AN$1006:BF1006),$AN$1006:$BO$1006,0))&gt;=100000), " ",IF(INDEX($AN$2:$BO$1001,MATCH(ROWS($AG$2:AG344),$AG$2:$AG$1001,0),MATCH(COLUMNS($AN$1006:BF1006),$AN$1006:$BO$1006,0)), HYPERLINK("#",""), HYPERLINK(CONCATENATE("#Metadata!", ADDRESS(INDEX($AI$2:$AI$1001,MATCH(ROWS($AG$2:AG344),$AG$2:$AG$1001,0),0), INDEX($AN$1004:$BO$1004,1,MATCH(COLUMNS($AN$1006:BF1006),$AN$1006:$BO$1006,0)))),"Fix")))</f>
        <v>0</v>
      </c>
      <c r="U344" s="4">
        <f>IF(OR(INDEX($AH$2:$AH$1001,MATCH(ROWS($AG$2:AG344),$AG$2:$AG$1001,0),1)&gt;=100000,INDEX($AN$1005:$BO$1005,1,MATCH(COLUMNS($AN$1006:BG1006),$AN$1006:$BO$1006,0))&gt;=100000), " ",IF(INDEX($AN$2:$BO$1001,MATCH(ROWS($AG$2:AG344),$AG$2:$AG$1001,0),MATCH(COLUMNS($AN$1006:BG1006),$AN$1006:$BO$1006,0)), HYPERLINK("#",""), HYPERLINK(CONCATENATE("#Metadata!", ADDRESS(INDEX($AI$2:$AI$1001,MATCH(ROWS($AG$2:AG344),$AG$2:$AG$1001,0),0), INDEX($AN$1004:$BO$1004,1,MATCH(COLUMNS($AN$1006:BG1006),$AN$1006:$BO$1006,0)))),"Fix")))</f>
        <v>0</v>
      </c>
      <c r="V344" s="4">
        <f>IF(OR(INDEX($AH$2:$AH$1001,MATCH(ROWS($AG$2:AG344),$AG$2:$AG$1001,0),1)&gt;=100000,INDEX($AN$1005:$BO$1005,1,MATCH(COLUMNS($AN$1006:BH1006),$AN$1006:$BO$1006,0))&gt;=100000), " ",IF(INDEX($AN$2:$BO$1001,MATCH(ROWS($AG$2:AG344),$AG$2:$AG$1001,0),MATCH(COLUMNS($AN$1006:BH1006),$AN$1006:$BO$1006,0)), HYPERLINK("#",""), HYPERLINK(CONCATENATE("#Metadata!", ADDRESS(INDEX($AI$2:$AI$1001,MATCH(ROWS($AG$2:AG344),$AG$2:$AG$1001,0),0), INDEX($AN$1004:$BO$1004,1,MATCH(COLUMNS($AN$1006:BH1006),$AN$1006:$BO$1006,0)))),"Fix")))</f>
        <v>0</v>
      </c>
      <c r="W344" s="4">
        <f>IF(OR(INDEX($AH$2:$AH$1001,MATCH(ROWS($AG$2:AG344),$AG$2:$AG$1001,0),1)&gt;=100000,INDEX($AN$1005:$BO$1005,1,MATCH(COLUMNS($AN$1006:BI1006),$AN$1006:$BO$1006,0))&gt;=100000), " ",IF(INDEX($AN$2:$BO$1001,MATCH(ROWS($AG$2:AG344),$AG$2:$AG$1001,0),MATCH(COLUMNS($AN$1006:BI1006),$AN$1006:$BO$1006,0)), HYPERLINK("#",""), HYPERLINK(CONCATENATE("#Metadata!", ADDRESS(INDEX($AI$2:$AI$1001,MATCH(ROWS($AG$2:AG344),$AG$2:$AG$1001,0),0), INDEX($AN$1004:$BO$1004,1,MATCH(COLUMNS($AN$1006:BI1006),$AN$1006:$BO$1006,0)))),"Fix")))</f>
        <v>0</v>
      </c>
      <c r="X344" s="4">
        <f>IF(OR(INDEX($AH$2:$AH$1001,MATCH(ROWS($AG$2:AG344),$AG$2:$AG$1001,0),1)&gt;=100000,INDEX($AN$1005:$BO$1005,1,MATCH(COLUMNS($AN$1006:BJ1006),$AN$1006:$BO$1006,0))&gt;=100000), " ",IF(INDEX($AN$2:$BO$1001,MATCH(ROWS($AG$2:AG344),$AG$2:$AG$1001,0),MATCH(COLUMNS($AN$1006:BJ1006),$AN$1006:$BO$1006,0)), HYPERLINK("#",""), HYPERLINK(CONCATENATE("#Metadata!", ADDRESS(INDEX($AI$2:$AI$1001,MATCH(ROWS($AG$2:AG344),$AG$2:$AG$1001,0),0), INDEX($AN$1004:$BO$1004,1,MATCH(COLUMNS($AN$1006:BJ1006),$AN$1006:$BO$1006,0)))),"Fix")))</f>
        <v>0</v>
      </c>
      <c r="Y344" s="4">
        <f>IF(OR(INDEX($AH$2:$AH$1001,MATCH(ROWS($AG$2:AG344),$AG$2:$AG$1001,0),1)&gt;=100000,INDEX($AN$1005:$BO$1005,1,MATCH(COLUMNS($AN$1006:BK1006),$AN$1006:$BO$1006,0))&gt;=100000), " ",IF(INDEX($AN$2:$BO$1001,MATCH(ROWS($AG$2:AG344),$AG$2:$AG$1001,0),MATCH(COLUMNS($AN$1006:BK1006),$AN$1006:$BO$1006,0)), HYPERLINK("#",""), HYPERLINK(CONCATENATE("#Metadata!", ADDRESS(INDEX($AI$2:$AI$1001,MATCH(ROWS($AG$2:AG344),$AG$2:$AG$1001,0),0), INDEX($AN$1004:$BO$1004,1,MATCH(COLUMNS($AN$1006:BK1006),$AN$1006:$BO$1006,0)))),"Fix")))</f>
        <v>0</v>
      </c>
      <c r="Z344" s="4">
        <f>IF(OR(INDEX($AH$2:$AH$1001,MATCH(ROWS($AG$2:AG344),$AG$2:$AG$1001,0),1)&gt;=100000,INDEX($AN$1005:$BO$1005,1,MATCH(COLUMNS($AN$1006:BL1006),$AN$1006:$BO$1006,0))&gt;=100000), " ",IF(INDEX($AN$2:$BO$1001,MATCH(ROWS($AG$2:AG344),$AG$2:$AG$1001,0),MATCH(COLUMNS($AN$1006:BL1006),$AN$1006:$BO$1006,0)), HYPERLINK("#",""), HYPERLINK(CONCATENATE("#Metadata!", ADDRESS(INDEX($AI$2:$AI$1001,MATCH(ROWS($AG$2:AG344),$AG$2:$AG$1001,0),0), INDEX($AN$1004:$BO$1004,1,MATCH(COLUMNS($AN$1006:BL1006),$AN$1006:$BO$1006,0)))),"Fix")))</f>
        <v>0</v>
      </c>
      <c r="AA344" s="4">
        <f>IF(OR(INDEX($AH$2:$AH$1001,MATCH(ROWS($AG$2:AG344),$AG$2:$AG$1001,0),1)&gt;=100000,INDEX($AN$1005:$BO$1005,1,MATCH(COLUMNS($AN$1006:BM1006),$AN$1006:$BO$1006,0))&gt;=100000), " ",IF(INDEX($AN$2:$BO$1001,MATCH(ROWS($AG$2:AG344),$AG$2:$AG$1001,0),MATCH(COLUMNS($AN$1006:BM1006),$AN$1006:$BO$1006,0)), HYPERLINK("#",""), HYPERLINK(CONCATENATE("#Metadata!", ADDRESS(INDEX($AI$2:$AI$1001,MATCH(ROWS($AG$2:AG344),$AG$2:$AG$1001,0),0), INDEX($AN$1004:$BO$1004,1,MATCH(COLUMNS($AN$1006:BM1006),$AN$1006:$BO$1006,0)))),"Fix")))</f>
        <v>0</v>
      </c>
      <c r="AB344" s="4">
        <f>IF(OR(INDEX($AH$2:$AH$1001,MATCH(ROWS($AG$2:AG344),$AG$2:$AG$1001,0),1)&gt;=100000,INDEX($AN$1005:$BO$1005,1,MATCH(COLUMNS($AN$1006:BN1006),$AN$1006:$BO$1006,0))&gt;=100000), " ",IF(INDEX($AN$2:$BO$1001,MATCH(ROWS($AG$2:AG344),$AG$2:$AG$1001,0),MATCH(COLUMNS($AN$1006:BN1006),$AN$1006:$BO$1006,0)), HYPERLINK("#",""), HYPERLINK(CONCATENATE("#Metadata!", ADDRESS(INDEX($AI$2:$AI$1001,MATCH(ROWS($AG$2:AG344),$AG$2:$AG$1001,0),0), INDEX($AN$1004:$BO$1004,1,MATCH(COLUMNS($AN$1006:BN1006),$AN$1006:$BO$1006,0)))),"Fix")))</f>
        <v>0</v>
      </c>
      <c r="AC344" s="4">
        <f>IF(OR(INDEX($AH$2:$AH$1001,MATCH(ROWS($AG$2:AG344),$AG$2:$AG$1001,0),1)&gt;=100000,INDEX($AN$1005:$BO$1005,1,MATCH(COLUMNS($AN$1006:BO1006),$AN$1006:$BO$1006,0))&gt;=100000), " ",IF(INDEX($AN$2:$BO$1001,MATCH(ROWS($AG$2:AG344),$AG$2:$AG$1001,0),MATCH(COLUMNS($AN$1006:BO1006),$AN$1006:$BO$1006,0)), HYPERLINK("#",""), HYPERLINK(CONCATENATE("#Metadata!", ADDRESS(INDEX($AI$2:$AI$1001,MATCH(ROWS($AG$2:AG344),$AG$2:$AG$1001,0),0), INDEX($AN$1004:$BO$1004,1,MATCH(COLUMNS($AN$1006:BO1006),$AN$1006:$BO$1006,0)))),"Fix")))</f>
        <v>0</v>
      </c>
      <c r="AG344">
        <v>0</v>
      </c>
      <c r="AH344">
        <v>0</v>
      </c>
      <c r="AI344">
        <v>0</v>
      </c>
      <c r="AJ344">
        <f>IF(AK344,TRUE,AND(AN344:BO344))</f>
        <v>0</v>
      </c>
      <c r="AK344">
        <f>COUNTBLANK(Metadata!B344:AC344)=COLUMNS(Metadata!B344:AC344)</f>
        <v>0</v>
      </c>
      <c r="AL344">
        <v>0</v>
      </c>
      <c r="AN344">
        <f>AND(IF(Metadata!B344="",FALSE,TRUE),COUNTIF(Metadata!B:B, Metadata!B344) = 1,NOT(ISERROR(SUMPRODUCT(SEARCH(MID(Metadata!B344,ROW(INDIRECT("1:"&amp;LEN(Metadata!B344))), 1),"0123456789abcdefghijklmnopqrstuvwxyzABCDEFGHIJKLMNOPQRSTUVWXYZ.")))))</f>
        <v>0</v>
      </c>
      <c r="AO344">
        <f>IF(Metadata!C344="",FALSE,TRUE)</f>
        <v>0</v>
      </c>
      <c r="AP344">
        <f>IF(Metadata!D344="",FALSE,TRUE)</f>
        <v>0</v>
      </c>
      <c r="AQ344">
        <f>OR(AND(IF(Metadata!E344="",FALSE,TRUE),OR(exact(Metadata!E344,"not collected"),exact(Metadata!E344,"not provided"),exact(Metadata!E344,"restricted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R344">
        <f>IF(Metadata!F344="",FALSE,TRUE)</f>
        <v>0</v>
      </c>
      <c r="AS344">
        <f>OR(AND(IF(Metadata!G344="",FALSE,TRUE),OR(exact(Metadata!G344,"not collected"),exact(Metadata!G344,"not provided"))),AND(IF(Metadata!G344="",FALSE,TRUE),OR(exact(Metadata!G344,"TRUE"),exact(Metadata!G344,"FALSE"))))</f>
        <v>0</v>
      </c>
      <c r="AT344">
        <f>OR(AND(IF(Metadata!H344="",FALSE,TRUE),OR(exact(Metadata!H344,"not collected"),exact(Metadata!H344,"not provided"),exact(Metadata!H344,"restricted access"))),AND(IF(Metadata!H344="",FALSE,ISNUMBER(VALUE(Metadata!H344))),Metadata!H344&gt;=-413.0))</f>
        <v>0</v>
      </c>
      <c r="AU344">
        <f>AND(IF(Metadata!I344="",FALSE,TRUE),exact(Metadata!I344,"meters"))</f>
        <v>0</v>
      </c>
      <c r="AV344">
        <f>AND(IF(Metadata!J344="",FALSE,TRUE),OR(exact(Metadata!J344,"Host-associated"),exact(Metadata!J344,"Free-living")))</f>
        <v>0</v>
      </c>
      <c r="AW344">
        <f>AND(IF(Metadata!K344="",FALSE,TRUE),OR(exact(Metadata!K344,"Animal"),exact(Metadata!K344,"Fungus"),exact(Metadata!K344,"Plant"),exact(Metadata!K344,"Saline"),exact(Metadata!K344,"Non-saline")))</f>
        <v>0</v>
      </c>
      <c r="AX344">
        <f>AND(IF(Metadata!L344="",FALSE,TRUE),OR(exact(Metadata!L344,"Plant secretion"),exact(Metadata!L344,"Plant rhizosphere"),exact(Metadata!L344,"Plant surface"),exact(Metadata!L344,"Plant corpus"),exact(Metadata!L344,"Fungus surface"),exact(Metadata!L344,"Fungus corpus"),exact(Metadata!L344,"Animal surface"),exact(Metadata!L344,"Animal proximal gut"),exact(Metadata!L344,"Animal corpus"),exact(Metadata!L344,"Animal distal gut"),exact(Metadata!L344,"Animal secretion"),exact(Metadata!L344,"Sub-surface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Y344">
        <f>IF(Metadata!M344="",FALSE,TRUE)</f>
        <v>0</v>
      </c>
      <c r="AZ344">
        <f>IF(Metadata!N344="",FALSE,TRUE)</f>
        <v>0</v>
      </c>
      <c r="BA344">
        <f>IF(Metadata!O344="",FALSE,TRUE)</f>
        <v>0</v>
      </c>
      <c r="BB344">
        <f>OR(AND(IF(Metadata!P344="",FALSE,TRUE),OR(exact(Metadata!P344,"not collected"),exact(Metadata!P344,"not provided"),exact(Metadata!P344,"restricted access"))),AND(IF(Metadata!P344="",FALSE,TRUE),OR(exact(Metadata!P344,"air"),exact(Metadata!P344,"built environment"),exact(Metadata!P344,"host-associated"),exact(Metadata!P344,"human-associated"),exact(Metadata!P344,"human-skin"),exact(Metadata!P344,"human-oral"),exact(Metadata!P344,"human-gut"),exact(Metadata!P344,"human-vaginal"),exact(Metadata!P344,"microbial mat/biofilm"),exact(Metadata!P344,"misc environment"),exact(Metadata!P344,"plant-associated"),exact(Metadata!P344,"sediment"),exact(Metadata!P344,"soil"),exact(Metadata!P344,"wastewater/sludge"),exact(Metadata!P344,"water"))))</f>
        <v>0</v>
      </c>
      <c r="BC344">
        <f>IF(Metadata!Q344="",FALSE,TRUE)</f>
        <v>0</v>
      </c>
      <c r="BD344">
        <f>IF(Metadata!R344="",FALSE,TRUE)</f>
        <v>0</v>
      </c>
      <c r="BE344">
        <f>OR(AND(IF(Metadata!S344="",FALSE,TRUE),OR(exact(Metadata!S344,"not collected"),exact(Metadata!S344,"not provided"),exact(Metadata!S344,"restricted access"))),AND(IF(Metadata!S344="",FALSE,ISNUMBER(VALUE(Metadata!S344))),Metadata!S344&gt;=-90.00,Metadata!S344&lt;=90.00))</f>
        <v>0</v>
      </c>
      <c r="BF344">
        <f>AND(IF(Metadata!T344="",FALSE,TRUE),exact(Metadata!T344,"Decimal degrees"))</f>
        <v>0</v>
      </c>
      <c r="BG344">
        <f>OR(AND(IF(Metadata!U344="",FALSE,TRUE),OR(exact(Metadata!U344,"not collected"),exact(Metadata!U344,"not provided"),exact(Metadata!U344,"restricted access"))),AND(IF(Metadata!U344="",FALSE,ISNUMBER(VALUE(Metadata!U344))),Metadata!U344&gt;=-180.00,Metadata!U344&lt;=180.00))</f>
        <v>0</v>
      </c>
      <c r="BH344">
        <f>AND(IF(Metadata!V344="",FALSE,TRUE),exact(Metadata!V344,"Decimal degrees"))</f>
        <v>0</v>
      </c>
      <c r="BI344">
        <f>IF(Metadata!W344="",FALSE,TRUE)</f>
        <v>0</v>
      </c>
      <c r="BJ344">
        <f>OR(AND(IF(Metadata!X344="",FALSE,TRUE),OR(exact(Metadata!X344,"not collected"),exact(Metadata!X344,"not provided"),exact(Metadata!X344,"restricted access"))),AND(IF(Metadata!X344="",FALSE,TRUE),OR(exact(Metadata!X344,"TRUE"),exact(Metadata!X344,"FALSE"))))</f>
        <v>0</v>
      </c>
      <c r="BK344">
        <f>AND(IF(Metadata!Y344="",FALSE,TRUE),exact(Metadata!Y344,"other"))</f>
        <v>0</v>
      </c>
      <c r="BL344">
        <f>IF(Metadata!Z344="",FALSE,TRUE)</f>
        <v>0</v>
      </c>
      <c r="BM344">
        <f>OR(AND(IF(Metadata!AA344="",FALSE,TRUE),OR(exact(Metadata!AA344,"not collected"),exact(Metadata!AA344,"not provided"))),AND(IF(Metadata!AA344="",FALSE,IF(ISERROR(INT(Metadata!AA344)),FALSE,INT(Metadata!AA344)=Metadata!AA344)),Metadata!AA344&gt;0))</f>
        <v>0</v>
      </c>
      <c r="BN344">
        <f>AND(IF(Metadata!AB344="",FALSE,TRUE),exact(Metadata!AB344,"Not applicable"))</f>
        <v>0</v>
      </c>
      <c r="BO344">
        <f>IF(Metadata!AC344="",FALSE,TRUE)</f>
        <v>0</v>
      </c>
    </row>
    <row r="345" spans="1:67">
      <c r="A345" s="5">
        <f>IF(B345=" "," ",HYPERLINK(CONCATENATE("#metadata!",ADDRESS(INDEX($AI$2:$AI$1001,MATCH(ROWS($AG$2:AG345),$AG$2:$AG$1001,0),0),1)),INDEX($AL$2:$AL$1001,MATCH(ROWS($AG$2:AG345),$AG$2:$AG$1001,0),0)))</f>
        <v>0</v>
      </c>
      <c r="B345" s="4">
        <f>IF(OR(INDEX($AH$2:$AH$1001,MATCH(ROWS($AG$2:AG345),$AG$2:$AG$1001,0),1)&gt;=100000,INDEX($AN$1005:$BO$1005,1,MATCH(COLUMNS($AN$1006:AN1006),$AN$1006:$BO$1006,0))&gt;=100000), " ",IF(INDEX($AN$2:$BO$1001,MATCH(ROWS($AG$2:AG345),$AG$2:$AG$1001,0),MATCH(COLUMNS($AN$1006:AN1006),$AN$1006:$BO$1006,0)), HYPERLINK("#",""), HYPERLINK(CONCATENATE("#Metadata!", ADDRESS(INDEX($AI$2:$AI$1001,MATCH(ROWS($AG$2:AG345),$AG$2:$AG$1001,0),0), INDEX($AN$1004:$BO$1004,1,MATCH(COLUMNS($AN$1006:AN1006),$AN$1006:$BO$1006,0)))),"Fix")))</f>
        <v>0</v>
      </c>
      <c r="C345" s="4">
        <f>IF(OR(INDEX($AH$2:$AH$1001,MATCH(ROWS($AG$2:AG345),$AG$2:$AG$1001,0),1)&gt;=100000,INDEX($AN$1005:$BO$1005,1,MATCH(COLUMNS($AN$1006:AO1006),$AN$1006:$BO$1006,0))&gt;=100000), " ",IF(INDEX($AN$2:$BO$1001,MATCH(ROWS($AG$2:AG345),$AG$2:$AG$1001,0),MATCH(COLUMNS($AN$1006:AO1006),$AN$1006:$BO$1006,0)), HYPERLINK("#",""), HYPERLINK(CONCATENATE("#Metadata!", ADDRESS(INDEX($AI$2:$AI$1001,MATCH(ROWS($AG$2:AG345),$AG$2:$AG$1001,0),0), INDEX($AN$1004:$BO$1004,1,MATCH(COLUMNS($AN$1006:AO1006),$AN$1006:$BO$1006,0)))),"Fix")))</f>
        <v>0</v>
      </c>
      <c r="D345" s="4">
        <f>IF(OR(INDEX($AH$2:$AH$1001,MATCH(ROWS($AG$2:AG345),$AG$2:$AG$1001,0),1)&gt;=100000,INDEX($AN$1005:$BO$1005,1,MATCH(COLUMNS($AN$1006:AP1006),$AN$1006:$BO$1006,0))&gt;=100000), " ",IF(INDEX($AN$2:$BO$1001,MATCH(ROWS($AG$2:AG345),$AG$2:$AG$1001,0),MATCH(COLUMNS($AN$1006:AP1006),$AN$1006:$BO$1006,0)), HYPERLINK("#",""), HYPERLINK(CONCATENATE("#Metadata!", ADDRESS(INDEX($AI$2:$AI$1001,MATCH(ROWS($AG$2:AG345),$AG$2:$AG$1001,0),0), INDEX($AN$1004:$BO$1004,1,MATCH(COLUMNS($AN$1006:AP1006),$AN$1006:$BO$1006,0)))),"Fix")))</f>
        <v>0</v>
      </c>
      <c r="E345" s="4">
        <f>IF(OR(INDEX($AH$2:$AH$1001,MATCH(ROWS($AG$2:AG345),$AG$2:$AG$1001,0),1)&gt;=100000,INDEX($AN$1005:$BO$1005,1,MATCH(COLUMNS($AN$1006:AQ1006),$AN$1006:$BO$1006,0))&gt;=100000), " ",IF(INDEX($AN$2:$BO$1001,MATCH(ROWS($AG$2:AG345),$AG$2:$AG$1001,0),MATCH(COLUMNS($AN$1006:AQ1006),$AN$1006:$BO$1006,0)), HYPERLINK("#",""), HYPERLINK(CONCATENATE("#Metadata!", ADDRESS(INDEX($AI$2:$AI$1001,MATCH(ROWS($AG$2:AG345),$AG$2:$AG$1001,0),0), INDEX($AN$1004:$BO$1004,1,MATCH(COLUMNS($AN$1006:AQ1006),$AN$1006:$BO$1006,0)))),"Fix")))</f>
        <v>0</v>
      </c>
      <c r="F345" s="4">
        <f>IF(OR(INDEX($AH$2:$AH$1001,MATCH(ROWS($AG$2:AG345),$AG$2:$AG$1001,0),1)&gt;=100000,INDEX($AN$1005:$BO$1005,1,MATCH(COLUMNS($AN$1006:AR1006),$AN$1006:$BO$1006,0))&gt;=100000), " ",IF(INDEX($AN$2:$BO$1001,MATCH(ROWS($AG$2:AG345),$AG$2:$AG$1001,0),MATCH(COLUMNS($AN$1006:AR1006),$AN$1006:$BO$1006,0)), HYPERLINK("#",""), HYPERLINK(CONCATENATE("#Metadata!", ADDRESS(INDEX($AI$2:$AI$1001,MATCH(ROWS($AG$2:AG345),$AG$2:$AG$1001,0),0), INDEX($AN$1004:$BO$1004,1,MATCH(COLUMNS($AN$1006:AR1006),$AN$1006:$BO$1006,0)))),"Fix")))</f>
        <v>0</v>
      </c>
      <c r="G345" s="4">
        <f>IF(OR(INDEX($AH$2:$AH$1001,MATCH(ROWS($AG$2:AG345),$AG$2:$AG$1001,0),1)&gt;=100000,INDEX($AN$1005:$BO$1005,1,MATCH(COLUMNS($AN$1006:AS1006),$AN$1006:$BO$1006,0))&gt;=100000), " ",IF(INDEX($AN$2:$BO$1001,MATCH(ROWS($AG$2:AG345),$AG$2:$AG$1001,0),MATCH(COLUMNS($AN$1006:AS1006),$AN$1006:$BO$1006,0)), HYPERLINK("#",""), HYPERLINK(CONCATENATE("#Metadata!", ADDRESS(INDEX($AI$2:$AI$1001,MATCH(ROWS($AG$2:AG345),$AG$2:$AG$1001,0),0), INDEX($AN$1004:$BO$1004,1,MATCH(COLUMNS($AN$1006:AS1006),$AN$1006:$BO$1006,0)))),"Fix")))</f>
        <v>0</v>
      </c>
      <c r="H345" s="4">
        <f>IF(OR(INDEX($AH$2:$AH$1001,MATCH(ROWS($AG$2:AG345),$AG$2:$AG$1001,0),1)&gt;=100000,INDEX($AN$1005:$BO$1005,1,MATCH(COLUMNS($AN$1006:AT1006),$AN$1006:$BO$1006,0))&gt;=100000), " ",IF(INDEX($AN$2:$BO$1001,MATCH(ROWS($AG$2:AG345),$AG$2:$AG$1001,0),MATCH(COLUMNS($AN$1006:AT1006),$AN$1006:$BO$1006,0)), HYPERLINK("#",""), HYPERLINK(CONCATENATE("#Metadata!", ADDRESS(INDEX($AI$2:$AI$1001,MATCH(ROWS($AG$2:AG345),$AG$2:$AG$1001,0),0), INDEX($AN$1004:$BO$1004,1,MATCH(COLUMNS($AN$1006:AT1006),$AN$1006:$BO$1006,0)))),"Fix")))</f>
        <v>0</v>
      </c>
      <c r="I345" s="4">
        <f>IF(OR(INDEX($AH$2:$AH$1001,MATCH(ROWS($AG$2:AG345),$AG$2:$AG$1001,0),1)&gt;=100000,INDEX($AN$1005:$BO$1005,1,MATCH(COLUMNS($AN$1006:AU1006),$AN$1006:$BO$1006,0))&gt;=100000), " ",IF(INDEX($AN$2:$BO$1001,MATCH(ROWS($AG$2:AG345),$AG$2:$AG$1001,0),MATCH(COLUMNS($AN$1006:AU1006),$AN$1006:$BO$1006,0)), HYPERLINK("#",""), HYPERLINK(CONCATENATE("#Metadata!", ADDRESS(INDEX($AI$2:$AI$1001,MATCH(ROWS($AG$2:AG345),$AG$2:$AG$1001,0),0), INDEX($AN$1004:$BO$1004,1,MATCH(COLUMNS($AN$1006:AU1006),$AN$1006:$BO$1006,0)))),"Fix")))</f>
        <v>0</v>
      </c>
      <c r="J345" s="4">
        <f>IF(OR(INDEX($AH$2:$AH$1001,MATCH(ROWS($AG$2:AG345),$AG$2:$AG$1001,0),1)&gt;=100000,INDEX($AN$1005:$BO$1005,1,MATCH(COLUMNS($AN$1006:AV1006),$AN$1006:$BO$1006,0))&gt;=100000), " ",IF(INDEX($AN$2:$BO$1001,MATCH(ROWS($AG$2:AG345),$AG$2:$AG$1001,0),MATCH(COLUMNS($AN$1006:AV1006),$AN$1006:$BO$1006,0)), HYPERLINK("#",""), HYPERLINK(CONCATENATE("#Metadata!", ADDRESS(INDEX($AI$2:$AI$1001,MATCH(ROWS($AG$2:AG345),$AG$2:$AG$1001,0),0), INDEX($AN$1004:$BO$1004,1,MATCH(COLUMNS($AN$1006:AV1006),$AN$1006:$BO$1006,0)))),"Fix")))</f>
        <v>0</v>
      </c>
      <c r="K345" s="4">
        <f>IF(OR(INDEX($AH$2:$AH$1001,MATCH(ROWS($AG$2:AG345),$AG$2:$AG$1001,0),1)&gt;=100000,INDEX($AN$1005:$BO$1005,1,MATCH(COLUMNS($AN$1006:AW1006),$AN$1006:$BO$1006,0))&gt;=100000), " ",IF(INDEX($AN$2:$BO$1001,MATCH(ROWS($AG$2:AG345),$AG$2:$AG$1001,0),MATCH(COLUMNS($AN$1006:AW1006),$AN$1006:$BO$1006,0)), HYPERLINK("#",""), HYPERLINK(CONCATENATE("#Metadata!", ADDRESS(INDEX($AI$2:$AI$1001,MATCH(ROWS($AG$2:AG345),$AG$2:$AG$1001,0),0), INDEX($AN$1004:$BO$1004,1,MATCH(COLUMNS($AN$1006:AW1006),$AN$1006:$BO$1006,0)))),"Fix")))</f>
        <v>0</v>
      </c>
      <c r="L345" s="4">
        <f>IF(OR(INDEX($AH$2:$AH$1001,MATCH(ROWS($AG$2:AG345),$AG$2:$AG$1001,0),1)&gt;=100000,INDEX($AN$1005:$BO$1005,1,MATCH(COLUMNS($AN$1006:AX1006),$AN$1006:$BO$1006,0))&gt;=100000), " ",IF(INDEX($AN$2:$BO$1001,MATCH(ROWS($AG$2:AG345),$AG$2:$AG$1001,0),MATCH(COLUMNS($AN$1006:AX1006),$AN$1006:$BO$1006,0)), HYPERLINK("#",""), HYPERLINK(CONCATENATE("#Metadata!", ADDRESS(INDEX($AI$2:$AI$1001,MATCH(ROWS($AG$2:AG345),$AG$2:$AG$1001,0),0), INDEX($AN$1004:$BO$1004,1,MATCH(COLUMNS($AN$1006:AX1006),$AN$1006:$BO$1006,0)))),"Fix")))</f>
        <v>0</v>
      </c>
      <c r="M345" s="4">
        <f>IF(OR(INDEX($AH$2:$AH$1001,MATCH(ROWS($AG$2:AG345),$AG$2:$AG$1001,0),1)&gt;=100000,INDEX($AN$1005:$BO$1005,1,MATCH(COLUMNS($AN$1006:AY1006),$AN$1006:$BO$1006,0))&gt;=100000), " ",IF(INDEX($AN$2:$BO$1001,MATCH(ROWS($AG$2:AG345),$AG$2:$AG$1001,0),MATCH(COLUMNS($AN$1006:AY1006),$AN$1006:$BO$1006,0)), HYPERLINK("#",""), HYPERLINK(CONCATENATE("#Metadata!", ADDRESS(INDEX($AI$2:$AI$1001,MATCH(ROWS($AG$2:AG345),$AG$2:$AG$1001,0),0), INDEX($AN$1004:$BO$1004,1,MATCH(COLUMNS($AN$1006:AY1006),$AN$1006:$BO$1006,0)))),"Fix")))</f>
        <v>0</v>
      </c>
      <c r="N345" s="4">
        <f>IF(OR(INDEX($AH$2:$AH$1001,MATCH(ROWS($AG$2:AG345),$AG$2:$AG$1001,0),1)&gt;=100000,INDEX($AN$1005:$BO$1005,1,MATCH(COLUMNS($AN$1006:AZ1006),$AN$1006:$BO$1006,0))&gt;=100000), " ",IF(INDEX($AN$2:$BO$1001,MATCH(ROWS($AG$2:AG345),$AG$2:$AG$1001,0),MATCH(COLUMNS($AN$1006:AZ1006),$AN$1006:$BO$1006,0)), HYPERLINK("#",""), HYPERLINK(CONCATENATE("#Metadata!", ADDRESS(INDEX($AI$2:$AI$1001,MATCH(ROWS($AG$2:AG345),$AG$2:$AG$1001,0),0), INDEX($AN$1004:$BO$1004,1,MATCH(COLUMNS($AN$1006:AZ1006),$AN$1006:$BO$1006,0)))),"Fix")))</f>
        <v>0</v>
      </c>
      <c r="O345" s="4">
        <f>IF(OR(INDEX($AH$2:$AH$1001,MATCH(ROWS($AG$2:AG345),$AG$2:$AG$1001,0),1)&gt;=100000,INDEX($AN$1005:$BO$1005,1,MATCH(COLUMNS($AN$1006:BA1006),$AN$1006:$BO$1006,0))&gt;=100000), " ",IF(INDEX($AN$2:$BO$1001,MATCH(ROWS($AG$2:AG345),$AG$2:$AG$1001,0),MATCH(COLUMNS($AN$1006:BA1006),$AN$1006:$BO$1006,0)), HYPERLINK("#",""), HYPERLINK(CONCATENATE("#Metadata!", ADDRESS(INDEX($AI$2:$AI$1001,MATCH(ROWS($AG$2:AG345),$AG$2:$AG$1001,0),0), INDEX($AN$1004:$BO$1004,1,MATCH(COLUMNS($AN$1006:BA1006),$AN$1006:$BO$1006,0)))),"Fix")))</f>
        <v>0</v>
      </c>
      <c r="P345" s="4">
        <f>IF(OR(INDEX($AH$2:$AH$1001,MATCH(ROWS($AG$2:AG345),$AG$2:$AG$1001,0),1)&gt;=100000,INDEX($AN$1005:$BO$1005,1,MATCH(COLUMNS($AN$1006:BB1006),$AN$1006:$BO$1006,0))&gt;=100000), " ",IF(INDEX($AN$2:$BO$1001,MATCH(ROWS($AG$2:AG345),$AG$2:$AG$1001,0),MATCH(COLUMNS($AN$1006:BB1006),$AN$1006:$BO$1006,0)), HYPERLINK("#",""), HYPERLINK(CONCATENATE("#Metadata!", ADDRESS(INDEX($AI$2:$AI$1001,MATCH(ROWS($AG$2:AG345),$AG$2:$AG$1001,0),0), INDEX($AN$1004:$BO$1004,1,MATCH(COLUMNS($AN$1006:BB1006),$AN$1006:$BO$1006,0)))),"Fix")))</f>
        <v>0</v>
      </c>
      <c r="Q345" s="4">
        <f>IF(OR(INDEX($AH$2:$AH$1001,MATCH(ROWS($AG$2:AG345),$AG$2:$AG$1001,0),1)&gt;=100000,INDEX($AN$1005:$BO$1005,1,MATCH(COLUMNS($AN$1006:BC1006),$AN$1006:$BO$1006,0))&gt;=100000), " ",IF(INDEX($AN$2:$BO$1001,MATCH(ROWS($AG$2:AG345),$AG$2:$AG$1001,0),MATCH(COLUMNS($AN$1006:BC1006),$AN$1006:$BO$1006,0)), HYPERLINK("#",""), HYPERLINK(CONCATENATE("#Metadata!", ADDRESS(INDEX($AI$2:$AI$1001,MATCH(ROWS($AG$2:AG345),$AG$2:$AG$1001,0),0), INDEX($AN$1004:$BO$1004,1,MATCH(COLUMNS($AN$1006:BC1006),$AN$1006:$BO$1006,0)))),"Fix")))</f>
        <v>0</v>
      </c>
      <c r="R345" s="4">
        <f>IF(OR(INDEX($AH$2:$AH$1001,MATCH(ROWS($AG$2:AG345),$AG$2:$AG$1001,0),1)&gt;=100000,INDEX($AN$1005:$BO$1005,1,MATCH(COLUMNS($AN$1006:BD1006),$AN$1006:$BO$1006,0))&gt;=100000), " ",IF(INDEX($AN$2:$BO$1001,MATCH(ROWS($AG$2:AG345),$AG$2:$AG$1001,0),MATCH(COLUMNS($AN$1006:BD1006),$AN$1006:$BO$1006,0)), HYPERLINK("#",""), HYPERLINK(CONCATENATE("#Metadata!", ADDRESS(INDEX($AI$2:$AI$1001,MATCH(ROWS($AG$2:AG345),$AG$2:$AG$1001,0),0), INDEX($AN$1004:$BO$1004,1,MATCH(COLUMNS($AN$1006:BD1006),$AN$1006:$BO$1006,0)))),"Fix")))</f>
        <v>0</v>
      </c>
      <c r="S345" s="4">
        <f>IF(OR(INDEX($AH$2:$AH$1001,MATCH(ROWS($AG$2:AG345),$AG$2:$AG$1001,0),1)&gt;=100000,INDEX($AN$1005:$BO$1005,1,MATCH(COLUMNS($AN$1006:BE1006),$AN$1006:$BO$1006,0))&gt;=100000), " ",IF(INDEX($AN$2:$BO$1001,MATCH(ROWS($AG$2:AG345),$AG$2:$AG$1001,0),MATCH(COLUMNS($AN$1006:BE1006),$AN$1006:$BO$1006,0)), HYPERLINK("#",""), HYPERLINK(CONCATENATE("#Metadata!", ADDRESS(INDEX($AI$2:$AI$1001,MATCH(ROWS($AG$2:AG345),$AG$2:$AG$1001,0),0), INDEX($AN$1004:$BO$1004,1,MATCH(COLUMNS($AN$1006:BE1006),$AN$1006:$BO$1006,0)))),"Fix")))</f>
        <v>0</v>
      </c>
      <c r="T345" s="4">
        <f>IF(OR(INDEX($AH$2:$AH$1001,MATCH(ROWS($AG$2:AG345),$AG$2:$AG$1001,0),1)&gt;=100000,INDEX($AN$1005:$BO$1005,1,MATCH(COLUMNS($AN$1006:BF1006),$AN$1006:$BO$1006,0))&gt;=100000), " ",IF(INDEX($AN$2:$BO$1001,MATCH(ROWS($AG$2:AG345),$AG$2:$AG$1001,0),MATCH(COLUMNS($AN$1006:BF1006),$AN$1006:$BO$1006,0)), HYPERLINK("#",""), HYPERLINK(CONCATENATE("#Metadata!", ADDRESS(INDEX($AI$2:$AI$1001,MATCH(ROWS($AG$2:AG345),$AG$2:$AG$1001,0),0), INDEX($AN$1004:$BO$1004,1,MATCH(COLUMNS($AN$1006:BF1006),$AN$1006:$BO$1006,0)))),"Fix")))</f>
        <v>0</v>
      </c>
      <c r="U345" s="4">
        <f>IF(OR(INDEX($AH$2:$AH$1001,MATCH(ROWS($AG$2:AG345),$AG$2:$AG$1001,0),1)&gt;=100000,INDEX($AN$1005:$BO$1005,1,MATCH(COLUMNS($AN$1006:BG1006),$AN$1006:$BO$1006,0))&gt;=100000), " ",IF(INDEX($AN$2:$BO$1001,MATCH(ROWS($AG$2:AG345),$AG$2:$AG$1001,0),MATCH(COLUMNS($AN$1006:BG1006),$AN$1006:$BO$1006,0)), HYPERLINK("#",""), HYPERLINK(CONCATENATE("#Metadata!", ADDRESS(INDEX($AI$2:$AI$1001,MATCH(ROWS($AG$2:AG345),$AG$2:$AG$1001,0),0), INDEX($AN$1004:$BO$1004,1,MATCH(COLUMNS($AN$1006:BG1006),$AN$1006:$BO$1006,0)))),"Fix")))</f>
        <v>0</v>
      </c>
      <c r="V345" s="4">
        <f>IF(OR(INDEX($AH$2:$AH$1001,MATCH(ROWS($AG$2:AG345),$AG$2:$AG$1001,0),1)&gt;=100000,INDEX($AN$1005:$BO$1005,1,MATCH(COLUMNS($AN$1006:BH1006),$AN$1006:$BO$1006,0))&gt;=100000), " ",IF(INDEX($AN$2:$BO$1001,MATCH(ROWS($AG$2:AG345),$AG$2:$AG$1001,0),MATCH(COLUMNS($AN$1006:BH1006),$AN$1006:$BO$1006,0)), HYPERLINK("#",""), HYPERLINK(CONCATENATE("#Metadata!", ADDRESS(INDEX($AI$2:$AI$1001,MATCH(ROWS($AG$2:AG345),$AG$2:$AG$1001,0),0), INDEX($AN$1004:$BO$1004,1,MATCH(COLUMNS($AN$1006:BH1006),$AN$1006:$BO$1006,0)))),"Fix")))</f>
        <v>0</v>
      </c>
      <c r="W345" s="4">
        <f>IF(OR(INDEX($AH$2:$AH$1001,MATCH(ROWS($AG$2:AG345),$AG$2:$AG$1001,0),1)&gt;=100000,INDEX($AN$1005:$BO$1005,1,MATCH(COLUMNS($AN$1006:BI1006),$AN$1006:$BO$1006,0))&gt;=100000), " ",IF(INDEX($AN$2:$BO$1001,MATCH(ROWS($AG$2:AG345),$AG$2:$AG$1001,0),MATCH(COLUMNS($AN$1006:BI1006),$AN$1006:$BO$1006,0)), HYPERLINK("#",""), HYPERLINK(CONCATENATE("#Metadata!", ADDRESS(INDEX($AI$2:$AI$1001,MATCH(ROWS($AG$2:AG345),$AG$2:$AG$1001,0),0), INDEX($AN$1004:$BO$1004,1,MATCH(COLUMNS($AN$1006:BI1006),$AN$1006:$BO$1006,0)))),"Fix")))</f>
        <v>0</v>
      </c>
      <c r="X345" s="4">
        <f>IF(OR(INDEX($AH$2:$AH$1001,MATCH(ROWS($AG$2:AG345),$AG$2:$AG$1001,0),1)&gt;=100000,INDEX($AN$1005:$BO$1005,1,MATCH(COLUMNS($AN$1006:BJ1006),$AN$1006:$BO$1006,0))&gt;=100000), " ",IF(INDEX($AN$2:$BO$1001,MATCH(ROWS($AG$2:AG345),$AG$2:$AG$1001,0),MATCH(COLUMNS($AN$1006:BJ1006),$AN$1006:$BO$1006,0)), HYPERLINK("#",""), HYPERLINK(CONCATENATE("#Metadata!", ADDRESS(INDEX($AI$2:$AI$1001,MATCH(ROWS($AG$2:AG345),$AG$2:$AG$1001,0),0), INDEX($AN$1004:$BO$1004,1,MATCH(COLUMNS($AN$1006:BJ1006),$AN$1006:$BO$1006,0)))),"Fix")))</f>
        <v>0</v>
      </c>
      <c r="Y345" s="4">
        <f>IF(OR(INDEX($AH$2:$AH$1001,MATCH(ROWS($AG$2:AG345),$AG$2:$AG$1001,0),1)&gt;=100000,INDEX($AN$1005:$BO$1005,1,MATCH(COLUMNS($AN$1006:BK1006),$AN$1006:$BO$1006,0))&gt;=100000), " ",IF(INDEX($AN$2:$BO$1001,MATCH(ROWS($AG$2:AG345),$AG$2:$AG$1001,0),MATCH(COLUMNS($AN$1006:BK1006),$AN$1006:$BO$1006,0)), HYPERLINK("#",""), HYPERLINK(CONCATENATE("#Metadata!", ADDRESS(INDEX($AI$2:$AI$1001,MATCH(ROWS($AG$2:AG345),$AG$2:$AG$1001,0),0), INDEX($AN$1004:$BO$1004,1,MATCH(COLUMNS($AN$1006:BK1006),$AN$1006:$BO$1006,0)))),"Fix")))</f>
        <v>0</v>
      </c>
      <c r="Z345" s="4">
        <f>IF(OR(INDEX($AH$2:$AH$1001,MATCH(ROWS($AG$2:AG345),$AG$2:$AG$1001,0),1)&gt;=100000,INDEX($AN$1005:$BO$1005,1,MATCH(COLUMNS($AN$1006:BL1006),$AN$1006:$BO$1006,0))&gt;=100000), " ",IF(INDEX($AN$2:$BO$1001,MATCH(ROWS($AG$2:AG345),$AG$2:$AG$1001,0),MATCH(COLUMNS($AN$1006:BL1006),$AN$1006:$BO$1006,0)), HYPERLINK("#",""), HYPERLINK(CONCATENATE("#Metadata!", ADDRESS(INDEX($AI$2:$AI$1001,MATCH(ROWS($AG$2:AG345),$AG$2:$AG$1001,0),0), INDEX($AN$1004:$BO$1004,1,MATCH(COLUMNS($AN$1006:BL1006),$AN$1006:$BO$1006,0)))),"Fix")))</f>
        <v>0</v>
      </c>
      <c r="AA345" s="4">
        <f>IF(OR(INDEX($AH$2:$AH$1001,MATCH(ROWS($AG$2:AG345),$AG$2:$AG$1001,0),1)&gt;=100000,INDEX($AN$1005:$BO$1005,1,MATCH(COLUMNS($AN$1006:BM1006),$AN$1006:$BO$1006,0))&gt;=100000), " ",IF(INDEX($AN$2:$BO$1001,MATCH(ROWS($AG$2:AG345),$AG$2:$AG$1001,0),MATCH(COLUMNS($AN$1006:BM1006),$AN$1006:$BO$1006,0)), HYPERLINK("#",""), HYPERLINK(CONCATENATE("#Metadata!", ADDRESS(INDEX($AI$2:$AI$1001,MATCH(ROWS($AG$2:AG345),$AG$2:$AG$1001,0),0), INDEX($AN$1004:$BO$1004,1,MATCH(COLUMNS($AN$1006:BM1006),$AN$1006:$BO$1006,0)))),"Fix")))</f>
        <v>0</v>
      </c>
      <c r="AB345" s="4">
        <f>IF(OR(INDEX($AH$2:$AH$1001,MATCH(ROWS($AG$2:AG345),$AG$2:$AG$1001,0),1)&gt;=100000,INDEX($AN$1005:$BO$1005,1,MATCH(COLUMNS($AN$1006:BN1006),$AN$1006:$BO$1006,0))&gt;=100000), " ",IF(INDEX($AN$2:$BO$1001,MATCH(ROWS($AG$2:AG345),$AG$2:$AG$1001,0),MATCH(COLUMNS($AN$1006:BN1006),$AN$1006:$BO$1006,0)), HYPERLINK("#",""), HYPERLINK(CONCATENATE("#Metadata!", ADDRESS(INDEX($AI$2:$AI$1001,MATCH(ROWS($AG$2:AG345),$AG$2:$AG$1001,0),0), INDEX($AN$1004:$BO$1004,1,MATCH(COLUMNS($AN$1006:BN1006),$AN$1006:$BO$1006,0)))),"Fix")))</f>
        <v>0</v>
      </c>
      <c r="AC345" s="4">
        <f>IF(OR(INDEX($AH$2:$AH$1001,MATCH(ROWS($AG$2:AG345),$AG$2:$AG$1001,0),1)&gt;=100000,INDEX($AN$1005:$BO$1005,1,MATCH(COLUMNS($AN$1006:BO1006),$AN$1006:$BO$1006,0))&gt;=100000), " ",IF(INDEX($AN$2:$BO$1001,MATCH(ROWS($AG$2:AG345),$AG$2:$AG$1001,0),MATCH(COLUMNS($AN$1006:BO1006),$AN$1006:$BO$1006,0)), HYPERLINK("#",""), HYPERLINK(CONCATENATE("#Metadata!", ADDRESS(INDEX($AI$2:$AI$1001,MATCH(ROWS($AG$2:AG345),$AG$2:$AG$1001,0),0), INDEX($AN$1004:$BO$1004,1,MATCH(COLUMNS($AN$1006:BO1006),$AN$1006:$BO$1006,0)))),"Fix")))</f>
        <v>0</v>
      </c>
      <c r="AG345">
        <v>0</v>
      </c>
      <c r="AH345">
        <v>0</v>
      </c>
      <c r="AI345">
        <v>0</v>
      </c>
      <c r="AJ345">
        <f>IF(AK345,TRUE,AND(AN345:BO345))</f>
        <v>0</v>
      </c>
      <c r="AK345">
        <f>COUNTBLANK(Metadata!B345:AC345)=COLUMNS(Metadata!B345:AC345)</f>
        <v>0</v>
      </c>
      <c r="AL345">
        <v>0</v>
      </c>
      <c r="AN345">
        <f>AND(IF(Metadata!B345="",FALSE,TRUE),COUNTIF(Metadata!B:B, Metadata!B345) = 1,NOT(ISERROR(SUMPRODUCT(SEARCH(MID(Metadata!B345,ROW(INDIRECT("1:"&amp;LEN(Metadata!B345))), 1),"0123456789abcdefghijklmnopqrstuvwxyzABCDEFGHIJKLMNOPQRSTUVWXYZ.")))))</f>
        <v>0</v>
      </c>
      <c r="AO345">
        <f>IF(Metadata!C345="",FALSE,TRUE)</f>
        <v>0</v>
      </c>
      <c r="AP345">
        <f>IF(Metadata!D345="",FALSE,TRUE)</f>
        <v>0</v>
      </c>
      <c r="AQ345">
        <f>OR(AND(IF(Metadata!E345="",FALSE,TRUE),OR(exact(Metadata!E345,"not collected"),exact(Metadata!E345,"not provided"),exact(Metadata!E345,"restricted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R345">
        <f>IF(Metadata!F345="",FALSE,TRUE)</f>
        <v>0</v>
      </c>
      <c r="AS345">
        <f>OR(AND(IF(Metadata!G345="",FALSE,TRUE),OR(exact(Metadata!G345,"not collected"),exact(Metadata!G345,"not provided"))),AND(IF(Metadata!G345="",FALSE,TRUE),OR(exact(Metadata!G345,"TRUE"),exact(Metadata!G345,"FALSE"))))</f>
        <v>0</v>
      </c>
      <c r="AT345">
        <f>OR(AND(IF(Metadata!H345="",FALSE,TRUE),OR(exact(Metadata!H345,"not collected"),exact(Metadata!H345,"not provided"),exact(Metadata!H345,"restricted access"))),AND(IF(Metadata!H345="",FALSE,ISNUMBER(VALUE(Metadata!H345))),Metadata!H345&gt;=-413.0))</f>
        <v>0</v>
      </c>
      <c r="AU345">
        <f>AND(IF(Metadata!I345="",FALSE,TRUE),exact(Metadata!I345,"meters"))</f>
        <v>0</v>
      </c>
      <c r="AV345">
        <f>AND(IF(Metadata!J345="",FALSE,TRUE),OR(exact(Metadata!J345,"Host-associated"),exact(Metadata!J345,"Free-living")))</f>
        <v>0</v>
      </c>
      <c r="AW345">
        <f>AND(IF(Metadata!K345="",FALSE,TRUE),OR(exact(Metadata!K345,"Animal"),exact(Metadata!K345,"Fungus"),exact(Metadata!K345,"Plant"),exact(Metadata!K345,"Saline"),exact(Metadata!K345,"Non-saline")))</f>
        <v>0</v>
      </c>
      <c r="AX345">
        <f>AND(IF(Metadata!L345="",FALSE,TRUE),OR(exact(Metadata!L345,"Plant secretion"),exact(Metadata!L345,"Plant rhizosphere"),exact(Metadata!L345,"Plant surface"),exact(Metadata!L345,"Plant corpus"),exact(Metadata!L345,"Fungus surface"),exact(Metadata!L345,"Fungus corpus"),exact(Metadata!L345,"Animal surface"),exact(Metadata!L345,"Animal proximal gut"),exact(Metadata!L345,"Animal corpus"),exact(Metadata!L345,"Animal distal gut"),exact(Metadata!L345,"Animal secretion"),exact(Metadata!L345,"Sub-surface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Y345">
        <f>IF(Metadata!M345="",FALSE,TRUE)</f>
        <v>0</v>
      </c>
      <c r="AZ345">
        <f>IF(Metadata!N345="",FALSE,TRUE)</f>
        <v>0</v>
      </c>
      <c r="BA345">
        <f>IF(Metadata!O345="",FALSE,TRUE)</f>
        <v>0</v>
      </c>
      <c r="BB345">
        <f>OR(AND(IF(Metadata!P345="",FALSE,TRUE),OR(exact(Metadata!P345,"not collected"),exact(Metadata!P345,"not provided"),exact(Metadata!P345,"restricted access"))),AND(IF(Metadata!P345="",FALSE,TRUE),OR(exact(Metadata!P345,"air"),exact(Metadata!P345,"built environment"),exact(Metadata!P345,"host-associated"),exact(Metadata!P345,"human-associated"),exact(Metadata!P345,"human-skin"),exact(Metadata!P345,"human-oral"),exact(Metadata!P345,"human-gut"),exact(Metadata!P345,"human-vaginal"),exact(Metadata!P345,"microbial mat/biofilm"),exact(Metadata!P345,"misc environment"),exact(Metadata!P345,"plant-associated"),exact(Metadata!P345,"sediment"),exact(Metadata!P345,"soil"),exact(Metadata!P345,"wastewater/sludge"),exact(Metadata!P345,"water"))))</f>
        <v>0</v>
      </c>
      <c r="BC345">
        <f>IF(Metadata!Q345="",FALSE,TRUE)</f>
        <v>0</v>
      </c>
      <c r="BD345">
        <f>IF(Metadata!R345="",FALSE,TRUE)</f>
        <v>0</v>
      </c>
      <c r="BE345">
        <f>OR(AND(IF(Metadata!S345="",FALSE,TRUE),OR(exact(Metadata!S345,"not collected"),exact(Metadata!S345,"not provided"),exact(Metadata!S345,"restricted access"))),AND(IF(Metadata!S345="",FALSE,ISNUMBER(VALUE(Metadata!S345))),Metadata!S345&gt;=-90.00,Metadata!S345&lt;=90.00))</f>
        <v>0</v>
      </c>
      <c r="BF345">
        <f>AND(IF(Metadata!T345="",FALSE,TRUE),exact(Metadata!T345,"Decimal degrees"))</f>
        <v>0</v>
      </c>
      <c r="BG345">
        <f>OR(AND(IF(Metadata!U345="",FALSE,TRUE),OR(exact(Metadata!U345,"not collected"),exact(Metadata!U345,"not provided"),exact(Metadata!U345,"restricted access"))),AND(IF(Metadata!U345="",FALSE,ISNUMBER(VALUE(Metadata!U345))),Metadata!U345&gt;=-180.00,Metadata!U345&lt;=180.00))</f>
        <v>0</v>
      </c>
      <c r="BH345">
        <f>AND(IF(Metadata!V345="",FALSE,TRUE),exact(Metadata!V345,"Decimal degrees"))</f>
        <v>0</v>
      </c>
      <c r="BI345">
        <f>IF(Metadata!W345="",FALSE,TRUE)</f>
        <v>0</v>
      </c>
      <c r="BJ345">
        <f>OR(AND(IF(Metadata!X345="",FALSE,TRUE),OR(exact(Metadata!X345,"not collected"),exact(Metadata!X345,"not provided"),exact(Metadata!X345,"restricted access"))),AND(IF(Metadata!X345="",FALSE,TRUE),OR(exact(Metadata!X345,"TRUE"),exact(Metadata!X345,"FALSE"))))</f>
        <v>0</v>
      </c>
      <c r="BK345">
        <f>AND(IF(Metadata!Y345="",FALSE,TRUE),exact(Metadata!Y345,"other"))</f>
        <v>0</v>
      </c>
      <c r="BL345">
        <f>IF(Metadata!Z345="",FALSE,TRUE)</f>
        <v>0</v>
      </c>
      <c r="BM345">
        <f>OR(AND(IF(Metadata!AA345="",FALSE,TRUE),OR(exact(Metadata!AA345,"not collected"),exact(Metadata!AA345,"not provided"))),AND(IF(Metadata!AA345="",FALSE,IF(ISERROR(INT(Metadata!AA345)),FALSE,INT(Metadata!AA345)=Metadata!AA345)),Metadata!AA345&gt;0))</f>
        <v>0</v>
      </c>
      <c r="BN345">
        <f>AND(IF(Metadata!AB345="",FALSE,TRUE),exact(Metadata!AB345,"Not applicable"))</f>
        <v>0</v>
      </c>
      <c r="BO345">
        <f>IF(Metadata!AC345="",FALSE,TRUE)</f>
        <v>0</v>
      </c>
    </row>
    <row r="346" spans="1:67">
      <c r="A346" s="5">
        <f>IF(B346=" "," ",HYPERLINK(CONCATENATE("#metadata!",ADDRESS(INDEX($AI$2:$AI$1001,MATCH(ROWS($AG$2:AG346),$AG$2:$AG$1001,0),0),1)),INDEX($AL$2:$AL$1001,MATCH(ROWS($AG$2:AG346),$AG$2:$AG$1001,0),0)))</f>
        <v>0</v>
      </c>
      <c r="B346" s="4">
        <f>IF(OR(INDEX($AH$2:$AH$1001,MATCH(ROWS($AG$2:AG346),$AG$2:$AG$1001,0),1)&gt;=100000,INDEX($AN$1005:$BO$1005,1,MATCH(COLUMNS($AN$1006:AN1006),$AN$1006:$BO$1006,0))&gt;=100000), " ",IF(INDEX($AN$2:$BO$1001,MATCH(ROWS($AG$2:AG346),$AG$2:$AG$1001,0),MATCH(COLUMNS($AN$1006:AN1006),$AN$1006:$BO$1006,0)), HYPERLINK("#",""), HYPERLINK(CONCATENATE("#Metadata!", ADDRESS(INDEX($AI$2:$AI$1001,MATCH(ROWS($AG$2:AG346),$AG$2:$AG$1001,0),0), INDEX($AN$1004:$BO$1004,1,MATCH(COLUMNS($AN$1006:AN1006),$AN$1006:$BO$1006,0)))),"Fix")))</f>
        <v>0</v>
      </c>
      <c r="C346" s="4">
        <f>IF(OR(INDEX($AH$2:$AH$1001,MATCH(ROWS($AG$2:AG346),$AG$2:$AG$1001,0),1)&gt;=100000,INDEX($AN$1005:$BO$1005,1,MATCH(COLUMNS($AN$1006:AO1006),$AN$1006:$BO$1006,0))&gt;=100000), " ",IF(INDEX($AN$2:$BO$1001,MATCH(ROWS($AG$2:AG346),$AG$2:$AG$1001,0),MATCH(COLUMNS($AN$1006:AO1006),$AN$1006:$BO$1006,0)), HYPERLINK("#",""), HYPERLINK(CONCATENATE("#Metadata!", ADDRESS(INDEX($AI$2:$AI$1001,MATCH(ROWS($AG$2:AG346),$AG$2:$AG$1001,0),0), INDEX($AN$1004:$BO$1004,1,MATCH(COLUMNS($AN$1006:AO1006),$AN$1006:$BO$1006,0)))),"Fix")))</f>
        <v>0</v>
      </c>
      <c r="D346" s="4">
        <f>IF(OR(INDEX($AH$2:$AH$1001,MATCH(ROWS($AG$2:AG346),$AG$2:$AG$1001,0),1)&gt;=100000,INDEX($AN$1005:$BO$1005,1,MATCH(COLUMNS($AN$1006:AP1006),$AN$1006:$BO$1006,0))&gt;=100000), " ",IF(INDEX($AN$2:$BO$1001,MATCH(ROWS($AG$2:AG346),$AG$2:$AG$1001,0),MATCH(COLUMNS($AN$1006:AP1006),$AN$1006:$BO$1006,0)), HYPERLINK("#",""), HYPERLINK(CONCATENATE("#Metadata!", ADDRESS(INDEX($AI$2:$AI$1001,MATCH(ROWS($AG$2:AG346),$AG$2:$AG$1001,0),0), INDEX($AN$1004:$BO$1004,1,MATCH(COLUMNS($AN$1006:AP1006),$AN$1006:$BO$1006,0)))),"Fix")))</f>
        <v>0</v>
      </c>
      <c r="E346" s="4">
        <f>IF(OR(INDEX($AH$2:$AH$1001,MATCH(ROWS($AG$2:AG346),$AG$2:$AG$1001,0),1)&gt;=100000,INDEX($AN$1005:$BO$1005,1,MATCH(COLUMNS($AN$1006:AQ1006),$AN$1006:$BO$1006,0))&gt;=100000), " ",IF(INDEX($AN$2:$BO$1001,MATCH(ROWS($AG$2:AG346),$AG$2:$AG$1001,0),MATCH(COLUMNS($AN$1006:AQ1006),$AN$1006:$BO$1006,0)), HYPERLINK("#",""), HYPERLINK(CONCATENATE("#Metadata!", ADDRESS(INDEX($AI$2:$AI$1001,MATCH(ROWS($AG$2:AG346),$AG$2:$AG$1001,0),0), INDEX($AN$1004:$BO$1004,1,MATCH(COLUMNS($AN$1006:AQ1006),$AN$1006:$BO$1006,0)))),"Fix")))</f>
        <v>0</v>
      </c>
      <c r="F346" s="4">
        <f>IF(OR(INDEX($AH$2:$AH$1001,MATCH(ROWS($AG$2:AG346),$AG$2:$AG$1001,0),1)&gt;=100000,INDEX($AN$1005:$BO$1005,1,MATCH(COLUMNS($AN$1006:AR1006),$AN$1006:$BO$1006,0))&gt;=100000), " ",IF(INDEX($AN$2:$BO$1001,MATCH(ROWS($AG$2:AG346),$AG$2:$AG$1001,0),MATCH(COLUMNS($AN$1006:AR1006),$AN$1006:$BO$1006,0)), HYPERLINK("#",""), HYPERLINK(CONCATENATE("#Metadata!", ADDRESS(INDEX($AI$2:$AI$1001,MATCH(ROWS($AG$2:AG346),$AG$2:$AG$1001,0),0), INDEX($AN$1004:$BO$1004,1,MATCH(COLUMNS($AN$1006:AR1006),$AN$1006:$BO$1006,0)))),"Fix")))</f>
        <v>0</v>
      </c>
      <c r="G346" s="4">
        <f>IF(OR(INDEX($AH$2:$AH$1001,MATCH(ROWS($AG$2:AG346),$AG$2:$AG$1001,0),1)&gt;=100000,INDEX($AN$1005:$BO$1005,1,MATCH(COLUMNS($AN$1006:AS1006),$AN$1006:$BO$1006,0))&gt;=100000), " ",IF(INDEX($AN$2:$BO$1001,MATCH(ROWS($AG$2:AG346),$AG$2:$AG$1001,0),MATCH(COLUMNS($AN$1006:AS1006),$AN$1006:$BO$1006,0)), HYPERLINK("#",""), HYPERLINK(CONCATENATE("#Metadata!", ADDRESS(INDEX($AI$2:$AI$1001,MATCH(ROWS($AG$2:AG346),$AG$2:$AG$1001,0),0), INDEX($AN$1004:$BO$1004,1,MATCH(COLUMNS($AN$1006:AS1006),$AN$1006:$BO$1006,0)))),"Fix")))</f>
        <v>0</v>
      </c>
      <c r="H346" s="4">
        <f>IF(OR(INDEX($AH$2:$AH$1001,MATCH(ROWS($AG$2:AG346),$AG$2:$AG$1001,0),1)&gt;=100000,INDEX($AN$1005:$BO$1005,1,MATCH(COLUMNS($AN$1006:AT1006),$AN$1006:$BO$1006,0))&gt;=100000), " ",IF(INDEX($AN$2:$BO$1001,MATCH(ROWS($AG$2:AG346),$AG$2:$AG$1001,0),MATCH(COLUMNS($AN$1006:AT1006),$AN$1006:$BO$1006,0)), HYPERLINK("#",""), HYPERLINK(CONCATENATE("#Metadata!", ADDRESS(INDEX($AI$2:$AI$1001,MATCH(ROWS($AG$2:AG346),$AG$2:$AG$1001,0),0), INDEX($AN$1004:$BO$1004,1,MATCH(COLUMNS($AN$1006:AT1006),$AN$1006:$BO$1006,0)))),"Fix")))</f>
        <v>0</v>
      </c>
      <c r="I346" s="4">
        <f>IF(OR(INDEX($AH$2:$AH$1001,MATCH(ROWS($AG$2:AG346),$AG$2:$AG$1001,0),1)&gt;=100000,INDEX($AN$1005:$BO$1005,1,MATCH(COLUMNS($AN$1006:AU1006),$AN$1006:$BO$1006,0))&gt;=100000), " ",IF(INDEX($AN$2:$BO$1001,MATCH(ROWS($AG$2:AG346),$AG$2:$AG$1001,0),MATCH(COLUMNS($AN$1006:AU1006),$AN$1006:$BO$1006,0)), HYPERLINK("#",""), HYPERLINK(CONCATENATE("#Metadata!", ADDRESS(INDEX($AI$2:$AI$1001,MATCH(ROWS($AG$2:AG346),$AG$2:$AG$1001,0),0), INDEX($AN$1004:$BO$1004,1,MATCH(COLUMNS($AN$1006:AU1006),$AN$1006:$BO$1006,0)))),"Fix")))</f>
        <v>0</v>
      </c>
      <c r="J346" s="4">
        <f>IF(OR(INDEX($AH$2:$AH$1001,MATCH(ROWS($AG$2:AG346),$AG$2:$AG$1001,0),1)&gt;=100000,INDEX($AN$1005:$BO$1005,1,MATCH(COLUMNS($AN$1006:AV1006),$AN$1006:$BO$1006,0))&gt;=100000), " ",IF(INDEX($AN$2:$BO$1001,MATCH(ROWS($AG$2:AG346),$AG$2:$AG$1001,0),MATCH(COLUMNS($AN$1006:AV1006),$AN$1006:$BO$1006,0)), HYPERLINK("#",""), HYPERLINK(CONCATENATE("#Metadata!", ADDRESS(INDEX($AI$2:$AI$1001,MATCH(ROWS($AG$2:AG346),$AG$2:$AG$1001,0),0), INDEX($AN$1004:$BO$1004,1,MATCH(COLUMNS($AN$1006:AV1006),$AN$1006:$BO$1006,0)))),"Fix")))</f>
        <v>0</v>
      </c>
      <c r="K346" s="4">
        <f>IF(OR(INDEX($AH$2:$AH$1001,MATCH(ROWS($AG$2:AG346),$AG$2:$AG$1001,0),1)&gt;=100000,INDEX($AN$1005:$BO$1005,1,MATCH(COLUMNS($AN$1006:AW1006),$AN$1006:$BO$1006,0))&gt;=100000), " ",IF(INDEX($AN$2:$BO$1001,MATCH(ROWS($AG$2:AG346),$AG$2:$AG$1001,0),MATCH(COLUMNS($AN$1006:AW1006),$AN$1006:$BO$1006,0)), HYPERLINK("#",""), HYPERLINK(CONCATENATE("#Metadata!", ADDRESS(INDEX($AI$2:$AI$1001,MATCH(ROWS($AG$2:AG346),$AG$2:$AG$1001,0),0), INDEX($AN$1004:$BO$1004,1,MATCH(COLUMNS($AN$1006:AW1006),$AN$1006:$BO$1006,0)))),"Fix")))</f>
        <v>0</v>
      </c>
      <c r="L346" s="4">
        <f>IF(OR(INDEX($AH$2:$AH$1001,MATCH(ROWS($AG$2:AG346),$AG$2:$AG$1001,0),1)&gt;=100000,INDEX($AN$1005:$BO$1005,1,MATCH(COLUMNS($AN$1006:AX1006),$AN$1006:$BO$1006,0))&gt;=100000), " ",IF(INDEX($AN$2:$BO$1001,MATCH(ROWS($AG$2:AG346),$AG$2:$AG$1001,0),MATCH(COLUMNS($AN$1006:AX1006),$AN$1006:$BO$1006,0)), HYPERLINK("#",""), HYPERLINK(CONCATENATE("#Metadata!", ADDRESS(INDEX($AI$2:$AI$1001,MATCH(ROWS($AG$2:AG346),$AG$2:$AG$1001,0),0), INDEX($AN$1004:$BO$1004,1,MATCH(COLUMNS($AN$1006:AX1006),$AN$1006:$BO$1006,0)))),"Fix")))</f>
        <v>0</v>
      </c>
      <c r="M346" s="4">
        <f>IF(OR(INDEX($AH$2:$AH$1001,MATCH(ROWS($AG$2:AG346),$AG$2:$AG$1001,0),1)&gt;=100000,INDEX($AN$1005:$BO$1005,1,MATCH(COLUMNS($AN$1006:AY1006),$AN$1006:$BO$1006,0))&gt;=100000), " ",IF(INDEX($AN$2:$BO$1001,MATCH(ROWS($AG$2:AG346),$AG$2:$AG$1001,0),MATCH(COLUMNS($AN$1006:AY1006),$AN$1006:$BO$1006,0)), HYPERLINK("#",""), HYPERLINK(CONCATENATE("#Metadata!", ADDRESS(INDEX($AI$2:$AI$1001,MATCH(ROWS($AG$2:AG346),$AG$2:$AG$1001,0),0), INDEX($AN$1004:$BO$1004,1,MATCH(COLUMNS($AN$1006:AY1006),$AN$1006:$BO$1006,0)))),"Fix")))</f>
        <v>0</v>
      </c>
      <c r="N346" s="4">
        <f>IF(OR(INDEX($AH$2:$AH$1001,MATCH(ROWS($AG$2:AG346),$AG$2:$AG$1001,0),1)&gt;=100000,INDEX($AN$1005:$BO$1005,1,MATCH(COLUMNS($AN$1006:AZ1006),$AN$1006:$BO$1006,0))&gt;=100000), " ",IF(INDEX($AN$2:$BO$1001,MATCH(ROWS($AG$2:AG346),$AG$2:$AG$1001,0),MATCH(COLUMNS($AN$1006:AZ1006),$AN$1006:$BO$1006,0)), HYPERLINK("#",""), HYPERLINK(CONCATENATE("#Metadata!", ADDRESS(INDEX($AI$2:$AI$1001,MATCH(ROWS($AG$2:AG346),$AG$2:$AG$1001,0),0), INDEX($AN$1004:$BO$1004,1,MATCH(COLUMNS($AN$1006:AZ1006),$AN$1006:$BO$1006,0)))),"Fix")))</f>
        <v>0</v>
      </c>
      <c r="O346" s="4">
        <f>IF(OR(INDEX($AH$2:$AH$1001,MATCH(ROWS($AG$2:AG346),$AG$2:$AG$1001,0),1)&gt;=100000,INDEX($AN$1005:$BO$1005,1,MATCH(COLUMNS($AN$1006:BA1006),$AN$1006:$BO$1006,0))&gt;=100000), " ",IF(INDEX($AN$2:$BO$1001,MATCH(ROWS($AG$2:AG346),$AG$2:$AG$1001,0),MATCH(COLUMNS($AN$1006:BA1006),$AN$1006:$BO$1006,0)), HYPERLINK("#",""), HYPERLINK(CONCATENATE("#Metadata!", ADDRESS(INDEX($AI$2:$AI$1001,MATCH(ROWS($AG$2:AG346),$AG$2:$AG$1001,0),0), INDEX($AN$1004:$BO$1004,1,MATCH(COLUMNS($AN$1006:BA1006),$AN$1006:$BO$1006,0)))),"Fix")))</f>
        <v>0</v>
      </c>
      <c r="P346" s="4">
        <f>IF(OR(INDEX($AH$2:$AH$1001,MATCH(ROWS($AG$2:AG346),$AG$2:$AG$1001,0),1)&gt;=100000,INDEX($AN$1005:$BO$1005,1,MATCH(COLUMNS($AN$1006:BB1006),$AN$1006:$BO$1006,0))&gt;=100000), " ",IF(INDEX($AN$2:$BO$1001,MATCH(ROWS($AG$2:AG346),$AG$2:$AG$1001,0),MATCH(COLUMNS($AN$1006:BB1006),$AN$1006:$BO$1006,0)), HYPERLINK("#",""), HYPERLINK(CONCATENATE("#Metadata!", ADDRESS(INDEX($AI$2:$AI$1001,MATCH(ROWS($AG$2:AG346),$AG$2:$AG$1001,0),0), INDEX($AN$1004:$BO$1004,1,MATCH(COLUMNS($AN$1006:BB1006),$AN$1006:$BO$1006,0)))),"Fix")))</f>
        <v>0</v>
      </c>
      <c r="Q346" s="4">
        <f>IF(OR(INDEX($AH$2:$AH$1001,MATCH(ROWS($AG$2:AG346),$AG$2:$AG$1001,0),1)&gt;=100000,INDEX($AN$1005:$BO$1005,1,MATCH(COLUMNS($AN$1006:BC1006),$AN$1006:$BO$1006,0))&gt;=100000), " ",IF(INDEX($AN$2:$BO$1001,MATCH(ROWS($AG$2:AG346),$AG$2:$AG$1001,0),MATCH(COLUMNS($AN$1006:BC1006),$AN$1006:$BO$1006,0)), HYPERLINK("#",""), HYPERLINK(CONCATENATE("#Metadata!", ADDRESS(INDEX($AI$2:$AI$1001,MATCH(ROWS($AG$2:AG346),$AG$2:$AG$1001,0),0), INDEX($AN$1004:$BO$1004,1,MATCH(COLUMNS($AN$1006:BC1006),$AN$1006:$BO$1006,0)))),"Fix")))</f>
        <v>0</v>
      </c>
      <c r="R346" s="4">
        <f>IF(OR(INDEX($AH$2:$AH$1001,MATCH(ROWS($AG$2:AG346),$AG$2:$AG$1001,0),1)&gt;=100000,INDEX($AN$1005:$BO$1005,1,MATCH(COLUMNS($AN$1006:BD1006),$AN$1006:$BO$1006,0))&gt;=100000), " ",IF(INDEX($AN$2:$BO$1001,MATCH(ROWS($AG$2:AG346),$AG$2:$AG$1001,0),MATCH(COLUMNS($AN$1006:BD1006),$AN$1006:$BO$1006,0)), HYPERLINK("#",""), HYPERLINK(CONCATENATE("#Metadata!", ADDRESS(INDEX($AI$2:$AI$1001,MATCH(ROWS($AG$2:AG346),$AG$2:$AG$1001,0),0), INDEX($AN$1004:$BO$1004,1,MATCH(COLUMNS($AN$1006:BD1006),$AN$1006:$BO$1006,0)))),"Fix")))</f>
        <v>0</v>
      </c>
      <c r="S346" s="4">
        <f>IF(OR(INDEX($AH$2:$AH$1001,MATCH(ROWS($AG$2:AG346),$AG$2:$AG$1001,0),1)&gt;=100000,INDEX($AN$1005:$BO$1005,1,MATCH(COLUMNS($AN$1006:BE1006),$AN$1006:$BO$1006,0))&gt;=100000), " ",IF(INDEX($AN$2:$BO$1001,MATCH(ROWS($AG$2:AG346),$AG$2:$AG$1001,0),MATCH(COLUMNS($AN$1006:BE1006),$AN$1006:$BO$1006,0)), HYPERLINK("#",""), HYPERLINK(CONCATENATE("#Metadata!", ADDRESS(INDEX($AI$2:$AI$1001,MATCH(ROWS($AG$2:AG346),$AG$2:$AG$1001,0),0), INDEX($AN$1004:$BO$1004,1,MATCH(COLUMNS($AN$1006:BE1006),$AN$1006:$BO$1006,0)))),"Fix")))</f>
        <v>0</v>
      </c>
      <c r="T346" s="4">
        <f>IF(OR(INDEX($AH$2:$AH$1001,MATCH(ROWS($AG$2:AG346),$AG$2:$AG$1001,0),1)&gt;=100000,INDEX($AN$1005:$BO$1005,1,MATCH(COLUMNS($AN$1006:BF1006),$AN$1006:$BO$1006,0))&gt;=100000), " ",IF(INDEX($AN$2:$BO$1001,MATCH(ROWS($AG$2:AG346),$AG$2:$AG$1001,0),MATCH(COLUMNS($AN$1006:BF1006),$AN$1006:$BO$1006,0)), HYPERLINK("#",""), HYPERLINK(CONCATENATE("#Metadata!", ADDRESS(INDEX($AI$2:$AI$1001,MATCH(ROWS($AG$2:AG346),$AG$2:$AG$1001,0),0), INDEX($AN$1004:$BO$1004,1,MATCH(COLUMNS($AN$1006:BF1006),$AN$1006:$BO$1006,0)))),"Fix")))</f>
        <v>0</v>
      </c>
      <c r="U346" s="4">
        <f>IF(OR(INDEX($AH$2:$AH$1001,MATCH(ROWS($AG$2:AG346),$AG$2:$AG$1001,0),1)&gt;=100000,INDEX($AN$1005:$BO$1005,1,MATCH(COLUMNS($AN$1006:BG1006),$AN$1006:$BO$1006,0))&gt;=100000), " ",IF(INDEX($AN$2:$BO$1001,MATCH(ROWS($AG$2:AG346),$AG$2:$AG$1001,0),MATCH(COLUMNS($AN$1006:BG1006),$AN$1006:$BO$1006,0)), HYPERLINK("#",""), HYPERLINK(CONCATENATE("#Metadata!", ADDRESS(INDEX($AI$2:$AI$1001,MATCH(ROWS($AG$2:AG346),$AG$2:$AG$1001,0),0), INDEX($AN$1004:$BO$1004,1,MATCH(COLUMNS($AN$1006:BG1006),$AN$1006:$BO$1006,0)))),"Fix")))</f>
        <v>0</v>
      </c>
      <c r="V346" s="4">
        <f>IF(OR(INDEX($AH$2:$AH$1001,MATCH(ROWS($AG$2:AG346),$AG$2:$AG$1001,0),1)&gt;=100000,INDEX($AN$1005:$BO$1005,1,MATCH(COLUMNS($AN$1006:BH1006),$AN$1006:$BO$1006,0))&gt;=100000), " ",IF(INDEX($AN$2:$BO$1001,MATCH(ROWS($AG$2:AG346),$AG$2:$AG$1001,0),MATCH(COLUMNS($AN$1006:BH1006),$AN$1006:$BO$1006,0)), HYPERLINK("#",""), HYPERLINK(CONCATENATE("#Metadata!", ADDRESS(INDEX($AI$2:$AI$1001,MATCH(ROWS($AG$2:AG346),$AG$2:$AG$1001,0),0), INDEX($AN$1004:$BO$1004,1,MATCH(COLUMNS($AN$1006:BH1006),$AN$1006:$BO$1006,0)))),"Fix")))</f>
        <v>0</v>
      </c>
      <c r="W346" s="4">
        <f>IF(OR(INDEX($AH$2:$AH$1001,MATCH(ROWS($AG$2:AG346),$AG$2:$AG$1001,0),1)&gt;=100000,INDEX($AN$1005:$BO$1005,1,MATCH(COLUMNS($AN$1006:BI1006),$AN$1006:$BO$1006,0))&gt;=100000), " ",IF(INDEX($AN$2:$BO$1001,MATCH(ROWS($AG$2:AG346),$AG$2:$AG$1001,0),MATCH(COLUMNS($AN$1006:BI1006),$AN$1006:$BO$1006,0)), HYPERLINK("#",""), HYPERLINK(CONCATENATE("#Metadata!", ADDRESS(INDEX($AI$2:$AI$1001,MATCH(ROWS($AG$2:AG346),$AG$2:$AG$1001,0),0), INDEX($AN$1004:$BO$1004,1,MATCH(COLUMNS($AN$1006:BI1006),$AN$1006:$BO$1006,0)))),"Fix")))</f>
        <v>0</v>
      </c>
      <c r="X346" s="4">
        <f>IF(OR(INDEX($AH$2:$AH$1001,MATCH(ROWS($AG$2:AG346),$AG$2:$AG$1001,0),1)&gt;=100000,INDEX($AN$1005:$BO$1005,1,MATCH(COLUMNS($AN$1006:BJ1006),$AN$1006:$BO$1006,0))&gt;=100000), " ",IF(INDEX($AN$2:$BO$1001,MATCH(ROWS($AG$2:AG346),$AG$2:$AG$1001,0),MATCH(COLUMNS($AN$1006:BJ1006),$AN$1006:$BO$1006,0)), HYPERLINK("#",""), HYPERLINK(CONCATENATE("#Metadata!", ADDRESS(INDEX($AI$2:$AI$1001,MATCH(ROWS($AG$2:AG346),$AG$2:$AG$1001,0),0), INDEX($AN$1004:$BO$1004,1,MATCH(COLUMNS($AN$1006:BJ1006),$AN$1006:$BO$1006,0)))),"Fix")))</f>
        <v>0</v>
      </c>
      <c r="Y346" s="4">
        <f>IF(OR(INDEX($AH$2:$AH$1001,MATCH(ROWS($AG$2:AG346),$AG$2:$AG$1001,0),1)&gt;=100000,INDEX($AN$1005:$BO$1005,1,MATCH(COLUMNS($AN$1006:BK1006),$AN$1006:$BO$1006,0))&gt;=100000), " ",IF(INDEX($AN$2:$BO$1001,MATCH(ROWS($AG$2:AG346),$AG$2:$AG$1001,0),MATCH(COLUMNS($AN$1006:BK1006),$AN$1006:$BO$1006,0)), HYPERLINK("#",""), HYPERLINK(CONCATENATE("#Metadata!", ADDRESS(INDEX($AI$2:$AI$1001,MATCH(ROWS($AG$2:AG346),$AG$2:$AG$1001,0),0), INDEX($AN$1004:$BO$1004,1,MATCH(COLUMNS($AN$1006:BK1006),$AN$1006:$BO$1006,0)))),"Fix")))</f>
        <v>0</v>
      </c>
      <c r="Z346" s="4">
        <f>IF(OR(INDEX($AH$2:$AH$1001,MATCH(ROWS($AG$2:AG346),$AG$2:$AG$1001,0),1)&gt;=100000,INDEX($AN$1005:$BO$1005,1,MATCH(COLUMNS($AN$1006:BL1006),$AN$1006:$BO$1006,0))&gt;=100000), " ",IF(INDEX($AN$2:$BO$1001,MATCH(ROWS($AG$2:AG346),$AG$2:$AG$1001,0),MATCH(COLUMNS($AN$1006:BL1006),$AN$1006:$BO$1006,0)), HYPERLINK("#",""), HYPERLINK(CONCATENATE("#Metadata!", ADDRESS(INDEX($AI$2:$AI$1001,MATCH(ROWS($AG$2:AG346),$AG$2:$AG$1001,0),0), INDEX($AN$1004:$BO$1004,1,MATCH(COLUMNS($AN$1006:BL1006),$AN$1006:$BO$1006,0)))),"Fix")))</f>
        <v>0</v>
      </c>
      <c r="AA346" s="4">
        <f>IF(OR(INDEX($AH$2:$AH$1001,MATCH(ROWS($AG$2:AG346),$AG$2:$AG$1001,0),1)&gt;=100000,INDEX($AN$1005:$BO$1005,1,MATCH(COLUMNS($AN$1006:BM1006),$AN$1006:$BO$1006,0))&gt;=100000), " ",IF(INDEX($AN$2:$BO$1001,MATCH(ROWS($AG$2:AG346),$AG$2:$AG$1001,0),MATCH(COLUMNS($AN$1006:BM1006),$AN$1006:$BO$1006,0)), HYPERLINK("#",""), HYPERLINK(CONCATENATE("#Metadata!", ADDRESS(INDEX($AI$2:$AI$1001,MATCH(ROWS($AG$2:AG346),$AG$2:$AG$1001,0),0), INDEX($AN$1004:$BO$1004,1,MATCH(COLUMNS($AN$1006:BM1006),$AN$1006:$BO$1006,0)))),"Fix")))</f>
        <v>0</v>
      </c>
      <c r="AB346" s="4">
        <f>IF(OR(INDEX($AH$2:$AH$1001,MATCH(ROWS($AG$2:AG346),$AG$2:$AG$1001,0),1)&gt;=100000,INDEX($AN$1005:$BO$1005,1,MATCH(COLUMNS($AN$1006:BN1006),$AN$1006:$BO$1006,0))&gt;=100000), " ",IF(INDEX($AN$2:$BO$1001,MATCH(ROWS($AG$2:AG346),$AG$2:$AG$1001,0),MATCH(COLUMNS($AN$1006:BN1006),$AN$1006:$BO$1006,0)), HYPERLINK("#",""), HYPERLINK(CONCATENATE("#Metadata!", ADDRESS(INDEX($AI$2:$AI$1001,MATCH(ROWS($AG$2:AG346),$AG$2:$AG$1001,0),0), INDEX($AN$1004:$BO$1004,1,MATCH(COLUMNS($AN$1006:BN1006),$AN$1006:$BO$1006,0)))),"Fix")))</f>
        <v>0</v>
      </c>
      <c r="AC346" s="4">
        <f>IF(OR(INDEX($AH$2:$AH$1001,MATCH(ROWS($AG$2:AG346),$AG$2:$AG$1001,0),1)&gt;=100000,INDEX($AN$1005:$BO$1005,1,MATCH(COLUMNS($AN$1006:BO1006),$AN$1006:$BO$1006,0))&gt;=100000), " ",IF(INDEX($AN$2:$BO$1001,MATCH(ROWS($AG$2:AG346),$AG$2:$AG$1001,0),MATCH(COLUMNS($AN$1006:BO1006),$AN$1006:$BO$1006,0)), HYPERLINK("#",""), HYPERLINK(CONCATENATE("#Metadata!", ADDRESS(INDEX($AI$2:$AI$1001,MATCH(ROWS($AG$2:AG346),$AG$2:$AG$1001,0),0), INDEX($AN$1004:$BO$1004,1,MATCH(COLUMNS($AN$1006:BO1006),$AN$1006:$BO$1006,0)))),"Fix")))</f>
        <v>0</v>
      </c>
      <c r="AG346">
        <v>0</v>
      </c>
      <c r="AH346">
        <v>0</v>
      </c>
      <c r="AI346">
        <v>0</v>
      </c>
      <c r="AJ346">
        <f>IF(AK346,TRUE,AND(AN346:BO346))</f>
        <v>0</v>
      </c>
      <c r="AK346">
        <f>COUNTBLANK(Metadata!B346:AC346)=COLUMNS(Metadata!B346:AC346)</f>
        <v>0</v>
      </c>
      <c r="AL346">
        <v>0</v>
      </c>
      <c r="AN346">
        <f>AND(IF(Metadata!B346="",FALSE,TRUE),COUNTIF(Metadata!B:B, Metadata!B346) = 1,NOT(ISERROR(SUMPRODUCT(SEARCH(MID(Metadata!B346,ROW(INDIRECT("1:"&amp;LEN(Metadata!B346))), 1),"0123456789abcdefghijklmnopqrstuvwxyzABCDEFGHIJKLMNOPQRSTUVWXYZ.")))))</f>
        <v>0</v>
      </c>
      <c r="AO346">
        <f>IF(Metadata!C346="",FALSE,TRUE)</f>
        <v>0</v>
      </c>
      <c r="AP346">
        <f>IF(Metadata!D346="",FALSE,TRUE)</f>
        <v>0</v>
      </c>
      <c r="AQ346">
        <f>OR(AND(IF(Metadata!E346="",FALSE,TRUE),OR(exact(Metadata!E346,"not collected"),exact(Metadata!E346,"not provided"),exact(Metadata!E346,"restricted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R346">
        <f>IF(Metadata!F346="",FALSE,TRUE)</f>
        <v>0</v>
      </c>
      <c r="AS346">
        <f>OR(AND(IF(Metadata!G346="",FALSE,TRUE),OR(exact(Metadata!G346,"not collected"),exact(Metadata!G346,"not provided"))),AND(IF(Metadata!G346="",FALSE,TRUE),OR(exact(Metadata!G346,"TRUE"),exact(Metadata!G346,"FALSE"))))</f>
        <v>0</v>
      </c>
      <c r="AT346">
        <f>OR(AND(IF(Metadata!H346="",FALSE,TRUE),OR(exact(Metadata!H346,"not collected"),exact(Metadata!H346,"not provided"),exact(Metadata!H346,"restricted access"))),AND(IF(Metadata!H346="",FALSE,ISNUMBER(VALUE(Metadata!H346))),Metadata!H346&gt;=-413.0))</f>
        <v>0</v>
      </c>
      <c r="AU346">
        <f>AND(IF(Metadata!I346="",FALSE,TRUE),exact(Metadata!I346,"meters"))</f>
        <v>0</v>
      </c>
      <c r="AV346">
        <f>AND(IF(Metadata!J346="",FALSE,TRUE),OR(exact(Metadata!J346,"Host-associated"),exact(Metadata!J346,"Free-living")))</f>
        <v>0</v>
      </c>
      <c r="AW346">
        <f>AND(IF(Metadata!K346="",FALSE,TRUE),OR(exact(Metadata!K346,"Animal"),exact(Metadata!K346,"Fungus"),exact(Metadata!K346,"Plant"),exact(Metadata!K346,"Saline"),exact(Metadata!K346,"Non-saline")))</f>
        <v>0</v>
      </c>
      <c r="AX346">
        <f>AND(IF(Metadata!L346="",FALSE,TRUE),OR(exact(Metadata!L346,"Plant secretion"),exact(Metadata!L346,"Plant rhizosphere"),exact(Metadata!L346,"Plant surface"),exact(Metadata!L346,"Plant corpus"),exact(Metadata!L346,"Fungus surface"),exact(Metadata!L346,"Fungus corpus"),exact(Metadata!L346,"Animal surface"),exact(Metadata!L346,"Animal proximal gut"),exact(Metadata!L346,"Animal corpus"),exact(Metadata!L346,"Animal distal gut"),exact(Metadata!L346,"Animal secretion"),exact(Metadata!L346,"Sub-surface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Y346">
        <f>IF(Metadata!M346="",FALSE,TRUE)</f>
        <v>0</v>
      </c>
      <c r="AZ346">
        <f>IF(Metadata!N346="",FALSE,TRUE)</f>
        <v>0</v>
      </c>
      <c r="BA346">
        <f>IF(Metadata!O346="",FALSE,TRUE)</f>
        <v>0</v>
      </c>
      <c r="BB346">
        <f>OR(AND(IF(Metadata!P346="",FALSE,TRUE),OR(exact(Metadata!P346,"not collected"),exact(Metadata!P346,"not provided"),exact(Metadata!P346,"restricted access"))),AND(IF(Metadata!P346="",FALSE,TRUE),OR(exact(Metadata!P346,"air"),exact(Metadata!P346,"built environment"),exact(Metadata!P346,"host-associated"),exact(Metadata!P346,"human-associated"),exact(Metadata!P346,"human-skin"),exact(Metadata!P346,"human-oral"),exact(Metadata!P346,"human-gut"),exact(Metadata!P346,"human-vaginal"),exact(Metadata!P346,"microbial mat/biofilm"),exact(Metadata!P346,"misc environment"),exact(Metadata!P346,"plant-associated"),exact(Metadata!P346,"sediment"),exact(Metadata!P346,"soil"),exact(Metadata!P346,"wastewater/sludge"),exact(Metadata!P346,"water"))))</f>
        <v>0</v>
      </c>
      <c r="BC346">
        <f>IF(Metadata!Q346="",FALSE,TRUE)</f>
        <v>0</v>
      </c>
      <c r="BD346">
        <f>IF(Metadata!R346="",FALSE,TRUE)</f>
        <v>0</v>
      </c>
      <c r="BE346">
        <f>OR(AND(IF(Metadata!S346="",FALSE,TRUE),OR(exact(Metadata!S346,"not collected"),exact(Metadata!S346,"not provided"),exact(Metadata!S346,"restricted access"))),AND(IF(Metadata!S346="",FALSE,ISNUMBER(VALUE(Metadata!S346))),Metadata!S346&gt;=-90.00,Metadata!S346&lt;=90.00))</f>
        <v>0</v>
      </c>
      <c r="BF346">
        <f>AND(IF(Metadata!T346="",FALSE,TRUE),exact(Metadata!T346,"Decimal degrees"))</f>
        <v>0</v>
      </c>
      <c r="BG346">
        <f>OR(AND(IF(Metadata!U346="",FALSE,TRUE),OR(exact(Metadata!U346,"not collected"),exact(Metadata!U346,"not provided"),exact(Metadata!U346,"restricted access"))),AND(IF(Metadata!U346="",FALSE,ISNUMBER(VALUE(Metadata!U346))),Metadata!U346&gt;=-180.00,Metadata!U346&lt;=180.00))</f>
        <v>0</v>
      </c>
      <c r="BH346">
        <f>AND(IF(Metadata!V346="",FALSE,TRUE),exact(Metadata!V346,"Decimal degrees"))</f>
        <v>0</v>
      </c>
      <c r="BI346">
        <f>IF(Metadata!W346="",FALSE,TRUE)</f>
        <v>0</v>
      </c>
      <c r="BJ346">
        <f>OR(AND(IF(Metadata!X346="",FALSE,TRUE),OR(exact(Metadata!X346,"not collected"),exact(Metadata!X346,"not provided"),exact(Metadata!X346,"restricted access"))),AND(IF(Metadata!X346="",FALSE,TRUE),OR(exact(Metadata!X346,"TRUE"),exact(Metadata!X346,"FALSE"))))</f>
        <v>0</v>
      </c>
      <c r="BK346">
        <f>AND(IF(Metadata!Y346="",FALSE,TRUE),exact(Metadata!Y346,"other"))</f>
        <v>0</v>
      </c>
      <c r="BL346">
        <f>IF(Metadata!Z346="",FALSE,TRUE)</f>
        <v>0</v>
      </c>
      <c r="BM346">
        <f>OR(AND(IF(Metadata!AA346="",FALSE,TRUE),OR(exact(Metadata!AA346,"not collected"),exact(Metadata!AA346,"not provided"))),AND(IF(Metadata!AA346="",FALSE,IF(ISERROR(INT(Metadata!AA346)),FALSE,INT(Metadata!AA346)=Metadata!AA346)),Metadata!AA346&gt;0))</f>
        <v>0</v>
      </c>
      <c r="BN346">
        <f>AND(IF(Metadata!AB346="",FALSE,TRUE),exact(Metadata!AB346,"Not applicable"))</f>
        <v>0</v>
      </c>
      <c r="BO346">
        <f>IF(Metadata!AC346="",FALSE,TRUE)</f>
        <v>0</v>
      </c>
    </row>
    <row r="347" spans="1:67">
      <c r="A347" s="5">
        <f>IF(B347=" "," ",HYPERLINK(CONCATENATE("#metadata!",ADDRESS(INDEX($AI$2:$AI$1001,MATCH(ROWS($AG$2:AG347),$AG$2:$AG$1001,0),0),1)),INDEX($AL$2:$AL$1001,MATCH(ROWS($AG$2:AG347),$AG$2:$AG$1001,0),0)))</f>
        <v>0</v>
      </c>
      <c r="B347" s="4">
        <f>IF(OR(INDEX($AH$2:$AH$1001,MATCH(ROWS($AG$2:AG347),$AG$2:$AG$1001,0),1)&gt;=100000,INDEX($AN$1005:$BO$1005,1,MATCH(COLUMNS($AN$1006:AN1006),$AN$1006:$BO$1006,0))&gt;=100000), " ",IF(INDEX($AN$2:$BO$1001,MATCH(ROWS($AG$2:AG347),$AG$2:$AG$1001,0),MATCH(COLUMNS($AN$1006:AN1006),$AN$1006:$BO$1006,0)), HYPERLINK("#",""), HYPERLINK(CONCATENATE("#Metadata!", ADDRESS(INDEX($AI$2:$AI$1001,MATCH(ROWS($AG$2:AG347),$AG$2:$AG$1001,0),0), INDEX($AN$1004:$BO$1004,1,MATCH(COLUMNS($AN$1006:AN1006),$AN$1006:$BO$1006,0)))),"Fix")))</f>
        <v>0</v>
      </c>
      <c r="C347" s="4">
        <f>IF(OR(INDEX($AH$2:$AH$1001,MATCH(ROWS($AG$2:AG347),$AG$2:$AG$1001,0),1)&gt;=100000,INDEX($AN$1005:$BO$1005,1,MATCH(COLUMNS($AN$1006:AO1006),$AN$1006:$BO$1006,0))&gt;=100000), " ",IF(INDEX($AN$2:$BO$1001,MATCH(ROWS($AG$2:AG347),$AG$2:$AG$1001,0),MATCH(COLUMNS($AN$1006:AO1006),$AN$1006:$BO$1006,0)), HYPERLINK("#",""), HYPERLINK(CONCATENATE("#Metadata!", ADDRESS(INDEX($AI$2:$AI$1001,MATCH(ROWS($AG$2:AG347),$AG$2:$AG$1001,0),0), INDEX($AN$1004:$BO$1004,1,MATCH(COLUMNS($AN$1006:AO1006),$AN$1006:$BO$1006,0)))),"Fix")))</f>
        <v>0</v>
      </c>
      <c r="D347" s="4">
        <f>IF(OR(INDEX($AH$2:$AH$1001,MATCH(ROWS($AG$2:AG347),$AG$2:$AG$1001,0),1)&gt;=100000,INDEX($AN$1005:$BO$1005,1,MATCH(COLUMNS($AN$1006:AP1006),$AN$1006:$BO$1006,0))&gt;=100000), " ",IF(INDEX($AN$2:$BO$1001,MATCH(ROWS($AG$2:AG347),$AG$2:$AG$1001,0),MATCH(COLUMNS($AN$1006:AP1006),$AN$1006:$BO$1006,0)), HYPERLINK("#",""), HYPERLINK(CONCATENATE("#Metadata!", ADDRESS(INDEX($AI$2:$AI$1001,MATCH(ROWS($AG$2:AG347),$AG$2:$AG$1001,0),0), INDEX($AN$1004:$BO$1004,1,MATCH(COLUMNS($AN$1006:AP1006),$AN$1006:$BO$1006,0)))),"Fix")))</f>
        <v>0</v>
      </c>
      <c r="E347" s="4">
        <f>IF(OR(INDEX($AH$2:$AH$1001,MATCH(ROWS($AG$2:AG347),$AG$2:$AG$1001,0),1)&gt;=100000,INDEX($AN$1005:$BO$1005,1,MATCH(COLUMNS($AN$1006:AQ1006),$AN$1006:$BO$1006,0))&gt;=100000), " ",IF(INDEX($AN$2:$BO$1001,MATCH(ROWS($AG$2:AG347),$AG$2:$AG$1001,0),MATCH(COLUMNS($AN$1006:AQ1006),$AN$1006:$BO$1006,0)), HYPERLINK("#",""), HYPERLINK(CONCATENATE("#Metadata!", ADDRESS(INDEX($AI$2:$AI$1001,MATCH(ROWS($AG$2:AG347),$AG$2:$AG$1001,0),0), INDEX($AN$1004:$BO$1004,1,MATCH(COLUMNS($AN$1006:AQ1006),$AN$1006:$BO$1006,0)))),"Fix")))</f>
        <v>0</v>
      </c>
      <c r="F347" s="4">
        <f>IF(OR(INDEX($AH$2:$AH$1001,MATCH(ROWS($AG$2:AG347),$AG$2:$AG$1001,0),1)&gt;=100000,INDEX($AN$1005:$BO$1005,1,MATCH(COLUMNS($AN$1006:AR1006),$AN$1006:$BO$1006,0))&gt;=100000), " ",IF(INDEX($AN$2:$BO$1001,MATCH(ROWS($AG$2:AG347),$AG$2:$AG$1001,0),MATCH(COLUMNS($AN$1006:AR1006),$AN$1006:$BO$1006,0)), HYPERLINK("#",""), HYPERLINK(CONCATENATE("#Metadata!", ADDRESS(INDEX($AI$2:$AI$1001,MATCH(ROWS($AG$2:AG347),$AG$2:$AG$1001,0),0), INDEX($AN$1004:$BO$1004,1,MATCH(COLUMNS($AN$1006:AR1006),$AN$1006:$BO$1006,0)))),"Fix")))</f>
        <v>0</v>
      </c>
      <c r="G347" s="4">
        <f>IF(OR(INDEX($AH$2:$AH$1001,MATCH(ROWS($AG$2:AG347),$AG$2:$AG$1001,0),1)&gt;=100000,INDEX($AN$1005:$BO$1005,1,MATCH(COLUMNS($AN$1006:AS1006),$AN$1006:$BO$1006,0))&gt;=100000), " ",IF(INDEX($AN$2:$BO$1001,MATCH(ROWS($AG$2:AG347),$AG$2:$AG$1001,0),MATCH(COLUMNS($AN$1006:AS1006),$AN$1006:$BO$1006,0)), HYPERLINK("#",""), HYPERLINK(CONCATENATE("#Metadata!", ADDRESS(INDEX($AI$2:$AI$1001,MATCH(ROWS($AG$2:AG347),$AG$2:$AG$1001,0),0), INDEX($AN$1004:$BO$1004,1,MATCH(COLUMNS($AN$1006:AS1006),$AN$1006:$BO$1006,0)))),"Fix")))</f>
        <v>0</v>
      </c>
      <c r="H347" s="4">
        <f>IF(OR(INDEX($AH$2:$AH$1001,MATCH(ROWS($AG$2:AG347),$AG$2:$AG$1001,0),1)&gt;=100000,INDEX($AN$1005:$BO$1005,1,MATCH(COLUMNS($AN$1006:AT1006),$AN$1006:$BO$1006,0))&gt;=100000), " ",IF(INDEX($AN$2:$BO$1001,MATCH(ROWS($AG$2:AG347),$AG$2:$AG$1001,0),MATCH(COLUMNS($AN$1006:AT1006),$AN$1006:$BO$1006,0)), HYPERLINK("#",""), HYPERLINK(CONCATENATE("#Metadata!", ADDRESS(INDEX($AI$2:$AI$1001,MATCH(ROWS($AG$2:AG347),$AG$2:$AG$1001,0),0), INDEX($AN$1004:$BO$1004,1,MATCH(COLUMNS($AN$1006:AT1006),$AN$1006:$BO$1006,0)))),"Fix")))</f>
        <v>0</v>
      </c>
      <c r="I347" s="4">
        <f>IF(OR(INDEX($AH$2:$AH$1001,MATCH(ROWS($AG$2:AG347),$AG$2:$AG$1001,0),1)&gt;=100000,INDEX($AN$1005:$BO$1005,1,MATCH(COLUMNS($AN$1006:AU1006),$AN$1006:$BO$1006,0))&gt;=100000), " ",IF(INDEX($AN$2:$BO$1001,MATCH(ROWS($AG$2:AG347),$AG$2:$AG$1001,0),MATCH(COLUMNS($AN$1006:AU1006),$AN$1006:$BO$1006,0)), HYPERLINK("#",""), HYPERLINK(CONCATENATE("#Metadata!", ADDRESS(INDEX($AI$2:$AI$1001,MATCH(ROWS($AG$2:AG347),$AG$2:$AG$1001,0),0), INDEX($AN$1004:$BO$1004,1,MATCH(COLUMNS($AN$1006:AU1006),$AN$1006:$BO$1006,0)))),"Fix")))</f>
        <v>0</v>
      </c>
      <c r="J347" s="4">
        <f>IF(OR(INDEX($AH$2:$AH$1001,MATCH(ROWS($AG$2:AG347),$AG$2:$AG$1001,0),1)&gt;=100000,INDEX($AN$1005:$BO$1005,1,MATCH(COLUMNS($AN$1006:AV1006),$AN$1006:$BO$1006,0))&gt;=100000), " ",IF(INDEX($AN$2:$BO$1001,MATCH(ROWS($AG$2:AG347),$AG$2:$AG$1001,0),MATCH(COLUMNS($AN$1006:AV1006),$AN$1006:$BO$1006,0)), HYPERLINK("#",""), HYPERLINK(CONCATENATE("#Metadata!", ADDRESS(INDEX($AI$2:$AI$1001,MATCH(ROWS($AG$2:AG347),$AG$2:$AG$1001,0),0), INDEX($AN$1004:$BO$1004,1,MATCH(COLUMNS($AN$1006:AV1006),$AN$1006:$BO$1006,0)))),"Fix")))</f>
        <v>0</v>
      </c>
      <c r="K347" s="4">
        <f>IF(OR(INDEX($AH$2:$AH$1001,MATCH(ROWS($AG$2:AG347),$AG$2:$AG$1001,0),1)&gt;=100000,INDEX($AN$1005:$BO$1005,1,MATCH(COLUMNS($AN$1006:AW1006),$AN$1006:$BO$1006,0))&gt;=100000), " ",IF(INDEX($AN$2:$BO$1001,MATCH(ROWS($AG$2:AG347),$AG$2:$AG$1001,0),MATCH(COLUMNS($AN$1006:AW1006),$AN$1006:$BO$1006,0)), HYPERLINK("#",""), HYPERLINK(CONCATENATE("#Metadata!", ADDRESS(INDEX($AI$2:$AI$1001,MATCH(ROWS($AG$2:AG347),$AG$2:$AG$1001,0),0), INDEX($AN$1004:$BO$1004,1,MATCH(COLUMNS($AN$1006:AW1006),$AN$1006:$BO$1006,0)))),"Fix")))</f>
        <v>0</v>
      </c>
      <c r="L347" s="4">
        <f>IF(OR(INDEX($AH$2:$AH$1001,MATCH(ROWS($AG$2:AG347),$AG$2:$AG$1001,0),1)&gt;=100000,INDEX($AN$1005:$BO$1005,1,MATCH(COLUMNS($AN$1006:AX1006),$AN$1006:$BO$1006,0))&gt;=100000), " ",IF(INDEX($AN$2:$BO$1001,MATCH(ROWS($AG$2:AG347),$AG$2:$AG$1001,0),MATCH(COLUMNS($AN$1006:AX1006),$AN$1006:$BO$1006,0)), HYPERLINK("#",""), HYPERLINK(CONCATENATE("#Metadata!", ADDRESS(INDEX($AI$2:$AI$1001,MATCH(ROWS($AG$2:AG347),$AG$2:$AG$1001,0),0), INDEX($AN$1004:$BO$1004,1,MATCH(COLUMNS($AN$1006:AX1006),$AN$1006:$BO$1006,0)))),"Fix")))</f>
        <v>0</v>
      </c>
      <c r="M347" s="4">
        <f>IF(OR(INDEX($AH$2:$AH$1001,MATCH(ROWS($AG$2:AG347),$AG$2:$AG$1001,0),1)&gt;=100000,INDEX($AN$1005:$BO$1005,1,MATCH(COLUMNS($AN$1006:AY1006),$AN$1006:$BO$1006,0))&gt;=100000), " ",IF(INDEX($AN$2:$BO$1001,MATCH(ROWS($AG$2:AG347),$AG$2:$AG$1001,0),MATCH(COLUMNS($AN$1006:AY1006),$AN$1006:$BO$1006,0)), HYPERLINK("#",""), HYPERLINK(CONCATENATE("#Metadata!", ADDRESS(INDEX($AI$2:$AI$1001,MATCH(ROWS($AG$2:AG347),$AG$2:$AG$1001,0),0), INDEX($AN$1004:$BO$1004,1,MATCH(COLUMNS($AN$1006:AY1006),$AN$1006:$BO$1006,0)))),"Fix")))</f>
        <v>0</v>
      </c>
      <c r="N347" s="4">
        <f>IF(OR(INDEX($AH$2:$AH$1001,MATCH(ROWS($AG$2:AG347),$AG$2:$AG$1001,0),1)&gt;=100000,INDEX($AN$1005:$BO$1005,1,MATCH(COLUMNS($AN$1006:AZ1006),$AN$1006:$BO$1006,0))&gt;=100000), " ",IF(INDEX($AN$2:$BO$1001,MATCH(ROWS($AG$2:AG347),$AG$2:$AG$1001,0),MATCH(COLUMNS($AN$1006:AZ1006),$AN$1006:$BO$1006,0)), HYPERLINK("#",""), HYPERLINK(CONCATENATE("#Metadata!", ADDRESS(INDEX($AI$2:$AI$1001,MATCH(ROWS($AG$2:AG347),$AG$2:$AG$1001,0),0), INDEX($AN$1004:$BO$1004,1,MATCH(COLUMNS($AN$1006:AZ1006),$AN$1006:$BO$1006,0)))),"Fix")))</f>
        <v>0</v>
      </c>
      <c r="O347" s="4">
        <f>IF(OR(INDEX($AH$2:$AH$1001,MATCH(ROWS($AG$2:AG347),$AG$2:$AG$1001,0),1)&gt;=100000,INDEX($AN$1005:$BO$1005,1,MATCH(COLUMNS($AN$1006:BA1006),$AN$1006:$BO$1006,0))&gt;=100000), " ",IF(INDEX($AN$2:$BO$1001,MATCH(ROWS($AG$2:AG347),$AG$2:$AG$1001,0),MATCH(COLUMNS($AN$1006:BA1006),$AN$1006:$BO$1006,0)), HYPERLINK("#",""), HYPERLINK(CONCATENATE("#Metadata!", ADDRESS(INDEX($AI$2:$AI$1001,MATCH(ROWS($AG$2:AG347),$AG$2:$AG$1001,0),0), INDEX($AN$1004:$BO$1004,1,MATCH(COLUMNS($AN$1006:BA1006),$AN$1006:$BO$1006,0)))),"Fix")))</f>
        <v>0</v>
      </c>
      <c r="P347" s="4">
        <f>IF(OR(INDEX($AH$2:$AH$1001,MATCH(ROWS($AG$2:AG347),$AG$2:$AG$1001,0),1)&gt;=100000,INDEX($AN$1005:$BO$1005,1,MATCH(COLUMNS($AN$1006:BB1006),$AN$1006:$BO$1006,0))&gt;=100000), " ",IF(INDEX($AN$2:$BO$1001,MATCH(ROWS($AG$2:AG347),$AG$2:$AG$1001,0),MATCH(COLUMNS($AN$1006:BB1006),$AN$1006:$BO$1006,0)), HYPERLINK("#",""), HYPERLINK(CONCATENATE("#Metadata!", ADDRESS(INDEX($AI$2:$AI$1001,MATCH(ROWS($AG$2:AG347),$AG$2:$AG$1001,0),0), INDEX($AN$1004:$BO$1004,1,MATCH(COLUMNS($AN$1006:BB1006),$AN$1006:$BO$1006,0)))),"Fix")))</f>
        <v>0</v>
      </c>
      <c r="Q347" s="4">
        <f>IF(OR(INDEX($AH$2:$AH$1001,MATCH(ROWS($AG$2:AG347),$AG$2:$AG$1001,0),1)&gt;=100000,INDEX($AN$1005:$BO$1005,1,MATCH(COLUMNS($AN$1006:BC1006),$AN$1006:$BO$1006,0))&gt;=100000), " ",IF(INDEX($AN$2:$BO$1001,MATCH(ROWS($AG$2:AG347),$AG$2:$AG$1001,0),MATCH(COLUMNS($AN$1006:BC1006),$AN$1006:$BO$1006,0)), HYPERLINK("#",""), HYPERLINK(CONCATENATE("#Metadata!", ADDRESS(INDEX($AI$2:$AI$1001,MATCH(ROWS($AG$2:AG347),$AG$2:$AG$1001,0),0), INDEX($AN$1004:$BO$1004,1,MATCH(COLUMNS($AN$1006:BC1006),$AN$1006:$BO$1006,0)))),"Fix")))</f>
        <v>0</v>
      </c>
      <c r="R347" s="4">
        <f>IF(OR(INDEX($AH$2:$AH$1001,MATCH(ROWS($AG$2:AG347),$AG$2:$AG$1001,0),1)&gt;=100000,INDEX($AN$1005:$BO$1005,1,MATCH(COLUMNS($AN$1006:BD1006),$AN$1006:$BO$1006,0))&gt;=100000), " ",IF(INDEX($AN$2:$BO$1001,MATCH(ROWS($AG$2:AG347),$AG$2:$AG$1001,0),MATCH(COLUMNS($AN$1006:BD1006),$AN$1006:$BO$1006,0)), HYPERLINK("#",""), HYPERLINK(CONCATENATE("#Metadata!", ADDRESS(INDEX($AI$2:$AI$1001,MATCH(ROWS($AG$2:AG347),$AG$2:$AG$1001,0),0), INDEX($AN$1004:$BO$1004,1,MATCH(COLUMNS($AN$1006:BD1006),$AN$1006:$BO$1006,0)))),"Fix")))</f>
        <v>0</v>
      </c>
      <c r="S347" s="4">
        <f>IF(OR(INDEX($AH$2:$AH$1001,MATCH(ROWS($AG$2:AG347),$AG$2:$AG$1001,0),1)&gt;=100000,INDEX($AN$1005:$BO$1005,1,MATCH(COLUMNS($AN$1006:BE1006),$AN$1006:$BO$1006,0))&gt;=100000), " ",IF(INDEX($AN$2:$BO$1001,MATCH(ROWS($AG$2:AG347),$AG$2:$AG$1001,0),MATCH(COLUMNS($AN$1006:BE1006),$AN$1006:$BO$1006,0)), HYPERLINK("#",""), HYPERLINK(CONCATENATE("#Metadata!", ADDRESS(INDEX($AI$2:$AI$1001,MATCH(ROWS($AG$2:AG347),$AG$2:$AG$1001,0),0), INDEX($AN$1004:$BO$1004,1,MATCH(COLUMNS($AN$1006:BE1006),$AN$1006:$BO$1006,0)))),"Fix")))</f>
        <v>0</v>
      </c>
      <c r="T347" s="4">
        <f>IF(OR(INDEX($AH$2:$AH$1001,MATCH(ROWS($AG$2:AG347),$AG$2:$AG$1001,0),1)&gt;=100000,INDEX($AN$1005:$BO$1005,1,MATCH(COLUMNS($AN$1006:BF1006),$AN$1006:$BO$1006,0))&gt;=100000), " ",IF(INDEX($AN$2:$BO$1001,MATCH(ROWS($AG$2:AG347),$AG$2:$AG$1001,0),MATCH(COLUMNS($AN$1006:BF1006),$AN$1006:$BO$1006,0)), HYPERLINK("#",""), HYPERLINK(CONCATENATE("#Metadata!", ADDRESS(INDEX($AI$2:$AI$1001,MATCH(ROWS($AG$2:AG347),$AG$2:$AG$1001,0),0), INDEX($AN$1004:$BO$1004,1,MATCH(COLUMNS($AN$1006:BF1006),$AN$1006:$BO$1006,0)))),"Fix")))</f>
        <v>0</v>
      </c>
      <c r="U347" s="4">
        <f>IF(OR(INDEX($AH$2:$AH$1001,MATCH(ROWS($AG$2:AG347),$AG$2:$AG$1001,0),1)&gt;=100000,INDEX($AN$1005:$BO$1005,1,MATCH(COLUMNS($AN$1006:BG1006),$AN$1006:$BO$1006,0))&gt;=100000), " ",IF(INDEX($AN$2:$BO$1001,MATCH(ROWS($AG$2:AG347),$AG$2:$AG$1001,0),MATCH(COLUMNS($AN$1006:BG1006),$AN$1006:$BO$1006,0)), HYPERLINK("#",""), HYPERLINK(CONCATENATE("#Metadata!", ADDRESS(INDEX($AI$2:$AI$1001,MATCH(ROWS($AG$2:AG347),$AG$2:$AG$1001,0),0), INDEX($AN$1004:$BO$1004,1,MATCH(COLUMNS($AN$1006:BG1006),$AN$1006:$BO$1006,0)))),"Fix")))</f>
        <v>0</v>
      </c>
      <c r="V347" s="4">
        <f>IF(OR(INDEX($AH$2:$AH$1001,MATCH(ROWS($AG$2:AG347),$AG$2:$AG$1001,0),1)&gt;=100000,INDEX($AN$1005:$BO$1005,1,MATCH(COLUMNS($AN$1006:BH1006),$AN$1006:$BO$1006,0))&gt;=100000), " ",IF(INDEX($AN$2:$BO$1001,MATCH(ROWS($AG$2:AG347),$AG$2:$AG$1001,0),MATCH(COLUMNS($AN$1006:BH1006),$AN$1006:$BO$1006,0)), HYPERLINK("#",""), HYPERLINK(CONCATENATE("#Metadata!", ADDRESS(INDEX($AI$2:$AI$1001,MATCH(ROWS($AG$2:AG347),$AG$2:$AG$1001,0),0), INDEX($AN$1004:$BO$1004,1,MATCH(COLUMNS($AN$1006:BH1006),$AN$1006:$BO$1006,0)))),"Fix")))</f>
        <v>0</v>
      </c>
      <c r="W347" s="4">
        <f>IF(OR(INDEX($AH$2:$AH$1001,MATCH(ROWS($AG$2:AG347),$AG$2:$AG$1001,0),1)&gt;=100000,INDEX($AN$1005:$BO$1005,1,MATCH(COLUMNS($AN$1006:BI1006),$AN$1006:$BO$1006,0))&gt;=100000), " ",IF(INDEX($AN$2:$BO$1001,MATCH(ROWS($AG$2:AG347),$AG$2:$AG$1001,0),MATCH(COLUMNS($AN$1006:BI1006),$AN$1006:$BO$1006,0)), HYPERLINK("#",""), HYPERLINK(CONCATENATE("#Metadata!", ADDRESS(INDEX($AI$2:$AI$1001,MATCH(ROWS($AG$2:AG347),$AG$2:$AG$1001,0),0), INDEX($AN$1004:$BO$1004,1,MATCH(COLUMNS($AN$1006:BI1006),$AN$1006:$BO$1006,0)))),"Fix")))</f>
        <v>0</v>
      </c>
      <c r="X347" s="4">
        <f>IF(OR(INDEX($AH$2:$AH$1001,MATCH(ROWS($AG$2:AG347),$AG$2:$AG$1001,0),1)&gt;=100000,INDEX($AN$1005:$BO$1005,1,MATCH(COLUMNS($AN$1006:BJ1006),$AN$1006:$BO$1006,0))&gt;=100000), " ",IF(INDEX($AN$2:$BO$1001,MATCH(ROWS($AG$2:AG347),$AG$2:$AG$1001,0),MATCH(COLUMNS($AN$1006:BJ1006),$AN$1006:$BO$1006,0)), HYPERLINK("#",""), HYPERLINK(CONCATENATE("#Metadata!", ADDRESS(INDEX($AI$2:$AI$1001,MATCH(ROWS($AG$2:AG347),$AG$2:$AG$1001,0),0), INDEX($AN$1004:$BO$1004,1,MATCH(COLUMNS($AN$1006:BJ1006),$AN$1006:$BO$1006,0)))),"Fix")))</f>
        <v>0</v>
      </c>
      <c r="Y347" s="4">
        <f>IF(OR(INDEX($AH$2:$AH$1001,MATCH(ROWS($AG$2:AG347),$AG$2:$AG$1001,0),1)&gt;=100000,INDEX($AN$1005:$BO$1005,1,MATCH(COLUMNS($AN$1006:BK1006),$AN$1006:$BO$1006,0))&gt;=100000), " ",IF(INDEX($AN$2:$BO$1001,MATCH(ROWS($AG$2:AG347),$AG$2:$AG$1001,0),MATCH(COLUMNS($AN$1006:BK1006),$AN$1006:$BO$1006,0)), HYPERLINK("#",""), HYPERLINK(CONCATENATE("#Metadata!", ADDRESS(INDEX($AI$2:$AI$1001,MATCH(ROWS($AG$2:AG347),$AG$2:$AG$1001,0),0), INDEX($AN$1004:$BO$1004,1,MATCH(COLUMNS($AN$1006:BK1006),$AN$1006:$BO$1006,0)))),"Fix")))</f>
        <v>0</v>
      </c>
      <c r="Z347" s="4">
        <f>IF(OR(INDEX($AH$2:$AH$1001,MATCH(ROWS($AG$2:AG347),$AG$2:$AG$1001,0),1)&gt;=100000,INDEX($AN$1005:$BO$1005,1,MATCH(COLUMNS($AN$1006:BL1006),$AN$1006:$BO$1006,0))&gt;=100000), " ",IF(INDEX($AN$2:$BO$1001,MATCH(ROWS($AG$2:AG347),$AG$2:$AG$1001,0),MATCH(COLUMNS($AN$1006:BL1006),$AN$1006:$BO$1006,0)), HYPERLINK("#",""), HYPERLINK(CONCATENATE("#Metadata!", ADDRESS(INDEX($AI$2:$AI$1001,MATCH(ROWS($AG$2:AG347),$AG$2:$AG$1001,0),0), INDEX($AN$1004:$BO$1004,1,MATCH(COLUMNS($AN$1006:BL1006),$AN$1006:$BO$1006,0)))),"Fix")))</f>
        <v>0</v>
      </c>
      <c r="AA347" s="4">
        <f>IF(OR(INDEX($AH$2:$AH$1001,MATCH(ROWS($AG$2:AG347),$AG$2:$AG$1001,0),1)&gt;=100000,INDEX($AN$1005:$BO$1005,1,MATCH(COLUMNS($AN$1006:BM1006),$AN$1006:$BO$1006,0))&gt;=100000), " ",IF(INDEX($AN$2:$BO$1001,MATCH(ROWS($AG$2:AG347),$AG$2:$AG$1001,0),MATCH(COLUMNS($AN$1006:BM1006),$AN$1006:$BO$1006,0)), HYPERLINK("#",""), HYPERLINK(CONCATENATE("#Metadata!", ADDRESS(INDEX($AI$2:$AI$1001,MATCH(ROWS($AG$2:AG347),$AG$2:$AG$1001,0),0), INDEX($AN$1004:$BO$1004,1,MATCH(COLUMNS($AN$1006:BM1006),$AN$1006:$BO$1006,0)))),"Fix")))</f>
        <v>0</v>
      </c>
      <c r="AB347" s="4">
        <f>IF(OR(INDEX($AH$2:$AH$1001,MATCH(ROWS($AG$2:AG347),$AG$2:$AG$1001,0),1)&gt;=100000,INDEX($AN$1005:$BO$1005,1,MATCH(COLUMNS($AN$1006:BN1006),$AN$1006:$BO$1006,0))&gt;=100000), " ",IF(INDEX($AN$2:$BO$1001,MATCH(ROWS($AG$2:AG347),$AG$2:$AG$1001,0),MATCH(COLUMNS($AN$1006:BN1006),$AN$1006:$BO$1006,0)), HYPERLINK("#",""), HYPERLINK(CONCATENATE("#Metadata!", ADDRESS(INDEX($AI$2:$AI$1001,MATCH(ROWS($AG$2:AG347),$AG$2:$AG$1001,0),0), INDEX($AN$1004:$BO$1004,1,MATCH(COLUMNS($AN$1006:BN1006),$AN$1006:$BO$1006,0)))),"Fix")))</f>
        <v>0</v>
      </c>
      <c r="AC347" s="4">
        <f>IF(OR(INDEX($AH$2:$AH$1001,MATCH(ROWS($AG$2:AG347),$AG$2:$AG$1001,0),1)&gt;=100000,INDEX($AN$1005:$BO$1005,1,MATCH(COLUMNS($AN$1006:BO1006),$AN$1006:$BO$1006,0))&gt;=100000), " ",IF(INDEX($AN$2:$BO$1001,MATCH(ROWS($AG$2:AG347),$AG$2:$AG$1001,0),MATCH(COLUMNS($AN$1006:BO1006),$AN$1006:$BO$1006,0)), HYPERLINK("#",""), HYPERLINK(CONCATENATE("#Metadata!", ADDRESS(INDEX($AI$2:$AI$1001,MATCH(ROWS($AG$2:AG347),$AG$2:$AG$1001,0),0), INDEX($AN$1004:$BO$1004,1,MATCH(COLUMNS($AN$1006:BO1006),$AN$1006:$BO$1006,0)))),"Fix")))</f>
        <v>0</v>
      </c>
      <c r="AG347">
        <v>0</v>
      </c>
      <c r="AH347">
        <v>0</v>
      </c>
      <c r="AI347">
        <v>0</v>
      </c>
      <c r="AJ347">
        <f>IF(AK347,TRUE,AND(AN347:BO347))</f>
        <v>0</v>
      </c>
      <c r="AK347">
        <f>COUNTBLANK(Metadata!B347:AC347)=COLUMNS(Metadata!B347:AC347)</f>
        <v>0</v>
      </c>
      <c r="AL347">
        <v>0</v>
      </c>
      <c r="AN347">
        <f>AND(IF(Metadata!B347="",FALSE,TRUE),COUNTIF(Metadata!B:B, Metadata!B347) = 1,NOT(ISERROR(SUMPRODUCT(SEARCH(MID(Metadata!B347,ROW(INDIRECT("1:"&amp;LEN(Metadata!B347))), 1),"0123456789abcdefghijklmnopqrstuvwxyzABCDEFGHIJKLMNOPQRSTUVWXYZ.")))))</f>
        <v>0</v>
      </c>
      <c r="AO347">
        <f>IF(Metadata!C347="",FALSE,TRUE)</f>
        <v>0</v>
      </c>
      <c r="AP347">
        <f>IF(Metadata!D347="",FALSE,TRUE)</f>
        <v>0</v>
      </c>
      <c r="AQ347">
        <f>OR(AND(IF(Metadata!E347="",FALSE,TRUE),OR(exact(Metadata!E347,"not collected"),exact(Metadata!E347,"not provided"),exact(Metadata!E347,"restricted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R347">
        <f>IF(Metadata!F347="",FALSE,TRUE)</f>
        <v>0</v>
      </c>
      <c r="AS347">
        <f>OR(AND(IF(Metadata!G347="",FALSE,TRUE),OR(exact(Metadata!G347,"not collected"),exact(Metadata!G347,"not provided"))),AND(IF(Metadata!G347="",FALSE,TRUE),OR(exact(Metadata!G347,"TRUE"),exact(Metadata!G347,"FALSE"))))</f>
        <v>0</v>
      </c>
      <c r="AT347">
        <f>OR(AND(IF(Metadata!H347="",FALSE,TRUE),OR(exact(Metadata!H347,"not collected"),exact(Metadata!H347,"not provided"),exact(Metadata!H347,"restricted access"))),AND(IF(Metadata!H347="",FALSE,ISNUMBER(VALUE(Metadata!H347))),Metadata!H347&gt;=-413.0))</f>
        <v>0</v>
      </c>
      <c r="AU347">
        <f>AND(IF(Metadata!I347="",FALSE,TRUE),exact(Metadata!I347,"meters"))</f>
        <v>0</v>
      </c>
      <c r="AV347">
        <f>AND(IF(Metadata!J347="",FALSE,TRUE),OR(exact(Metadata!J347,"Host-associated"),exact(Metadata!J347,"Free-living")))</f>
        <v>0</v>
      </c>
      <c r="AW347">
        <f>AND(IF(Metadata!K347="",FALSE,TRUE),OR(exact(Metadata!K347,"Animal"),exact(Metadata!K347,"Fungus"),exact(Metadata!K347,"Plant"),exact(Metadata!K347,"Saline"),exact(Metadata!K347,"Non-saline")))</f>
        <v>0</v>
      </c>
      <c r="AX347">
        <f>AND(IF(Metadata!L347="",FALSE,TRUE),OR(exact(Metadata!L347,"Plant secretion"),exact(Metadata!L347,"Plant rhizosphere"),exact(Metadata!L347,"Plant surface"),exact(Metadata!L347,"Plant corpus"),exact(Metadata!L347,"Fungus surface"),exact(Metadata!L347,"Fungus corpus"),exact(Metadata!L347,"Animal surface"),exact(Metadata!L347,"Animal proximal gut"),exact(Metadata!L347,"Animal corpus"),exact(Metadata!L347,"Animal distal gut"),exact(Metadata!L347,"Animal secretion"),exact(Metadata!L347,"Sub-surface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Y347">
        <f>IF(Metadata!M347="",FALSE,TRUE)</f>
        <v>0</v>
      </c>
      <c r="AZ347">
        <f>IF(Metadata!N347="",FALSE,TRUE)</f>
        <v>0</v>
      </c>
      <c r="BA347">
        <f>IF(Metadata!O347="",FALSE,TRUE)</f>
        <v>0</v>
      </c>
      <c r="BB347">
        <f>OR(AND(IF(Metadata!P347="",FALSE,TRUE),OR(exact(Metadata!P347,"not collected"),exact(Metadata!P347,"not provided"),exact(Metadata!P347,"restricted access"))),AND(IF(Metadata!P347="",FALSE,TRUE),OR(exact(Metadata!P347,"air"),exact(Metadata!P347,"built environment"),exact(Metadata!P347,"host-associated"),exact(Metadata!P347,"human-associated"),exact(Metadata!P347,"human-skin"),exact(Metadata!P347,"human-oral"),exact(Metadata!P347,"human-gut"),exact(Metadata!P347,"human-vaginal"),exact(Metadata!P347,"microbial mat/biofilm"),exact(Metadata!P347,"misc environment"),exact(Metadata!P347,"plant-associated"),exact(Metadata!P347,"sediment"),exact(Metadata!P347,"soil"),exact(Metadata!P347,"wastewater/sludge"),exact(Metadata!P347,"water"))))</f>
        <v>0</v>
      </c>
      <c r="BC347">
        <f>IF(Metadata!Q347="",FALSE,TRUE)</f>
        <v>0</v>
      </c>
      <c r="BD347">
        <f>IF(Metadata!R347="",FALSE,TRUE)</f>
        <v>0</v>
      </c>
      <c r="BE347">
        <f>OR(AND(IF(Metadata!S347="",FALSE,TRUE),OR(exact(Metadata!S347,"not collected"),exact(Metadata!S347,"not provided"),exact(Metadata!S347,"restricted access"))),AND(IF(Metadata!S347="",FALSE,ISNUMBER(VALUE(Metadata!S347))),Metadata!S347&gt;=-90.00,Metadata!S347&lt;=90.00))</f>
        <v>0</v>
      </c>
      <c r="BF347">
        <f>AND(IF(Metadata!T347="",FALSE,TRUE),exact(Metadata!T347,"Decimal degrees"))</f>
        <v>0</v>
      </c>
      <c r="BG347">
        <f>OR(AND(IF(Metadata!U347="",FALSE,TRUE),OR(exact(Metadata!U347,"not collected"),exact(Metadata!U347,"not provided"),exact(Metadata!U347,"restricted access"))),AND(IF(Metadata!U347="",FALSE,ISNUMBER(VALUE(Metadata!U347))),Metadata!U347&gt;=-180.00,Metadata!U347&lt;=180.00))</f>
        <v>0</v>
      </c>
      <c r="BH347">
        <f>AND(IF(Metadata!V347="",FALSE,TRUE),exact(Metadata!V347,"Decimal degrees"))</f>
        <v>0</v>
      </c>
      <c r="BI347">
        <f>IF(Metadata!W347="",FALSE,TRUE)</f>
        <v>0</v>
      </c>
      <c r="BJ347">
        <f>OR(AND(IF(Metadata!X347="",FALSE,TRUE),OR(exact(Metadata!X347,"not collected"),exact(Metadata!X347,"not provided"),exact(Metadata!X347,"restricted access"))),AND(IF(Metadata!X347="",FALSE,TRUE),OR(exact(Metadata!X347,"TRUE"),exact(Metadata!X347,"FALSE"))))</f>
        <v>0</v>
      </c>
      <c r="BK347">
        <f>AND(IF(Metadata!Y347="",FALSE,TRUE),exact(Metadata!Y347,"other"))</f>
        <v>0</v>
      </c>
      <c r="BL347">
        <f>IF(Metadata!Z347="",FALSE,TRUE)</f>
        <v>0</v>
      </c>
      <c r="BM347">
        <f>OR(AND(IF(Metadata!AA347="",FALSE,TRUE),OR(exact(Metadata!AA347,"not collected"),exact(Metadata!AA347,"not provided"))),AND(IF(Metadata!AA347="",FALSE,IF(ISERROR(INT(Metadata!AA347)),FALSE,INT(Metadata!AA347)=Metadata!AA347)),Metadata!AA347&gt;0))</f>
        <v>0</v>
      </c>
      <c r="BN347">
        <f>AND(IF(Metadata!AB347="",FALSE,TRUE),exact(Metadata!AB347,"Not applicable"))</f>
        <v>0</v>
      </c>
      <c r="BO347">
        <f>IF(Metadata!AC347="",FALSE,TRUE)</f>
        <v>0</v>
      </c>
    </row>
    <row r="348" spans="1:67">
      <c r="A348" s="5">
        <f>IF(B348=" "," ",HYPERLINK(CONCATENATE("#metadata!",ADDRESS(INDEX($AI$2:$AI$1001,MATCH(ROWS($AG$2:AG348),$AG$2:$AG$1001,0),0),1)),INDEX($AL$2:$AL$1001,MATCH(ROWS($AG$2:AG348),$AG$2:$AG$1001,0),0)))</f>
        <v>0</v>
      </c>
      <c r="B348" s="4">
        <f>IF(OR(INDEX($AH$2:$AH$1001,MATCH(ROWS($AG$2:AG348),$AG$2:$AG$1001,0),1)&gt;=100000,INDEX($AN$1005:$BO$1005,1,MATCH(COLUMNS($AN$1006:AN1006),$AN$1006:$BO$1006,0))&gt;=100000), " ",IF(INDEX($AN$2:$BO$1001,MATCH(ROWS($AG$2:AG348),$AG$2:$AG$1001,0),MATCH(COLUMNS($AN$1006:AN1006),$AN$1006:$BO$1006,0)), HYPERLINK("#",""), HYPERLINK(CONCATENATE("#Metadata!", ADDRESS(INDEX($AI$2:$AI$1001,MATCH(ROWS($AG$2:AG348),$AG$2:$AG$1001,0),0), INDEX($AN$1004:$BO$1004,1,MATCH(COLUMNS($AN$1006:AN1006),$AN$1006:$BO$1006,0)))),"Fix")))</f>
        <v>0</v>
      </c>
      <c r="C348" s="4">
        <f>IF(OR(INDEX($AH$2:$AH$1001,MATCH(ROWS($AG$2:AG348),$AG$2:$AG$1001,0),1)&gt;=100000,INDEX($AN$1005:$BO$1005,1,MATCH(COLUMNS($AN$1006:AO1006),$AN$1006:$BO$1006,0))&gt;=100000), " ",IF(INDEX($AN$2:$BO$1001,MATCH(ROWS($AG$2:AG348),$AG$2:$AG$1001,0),MATCH(COLUMNS($AN$1006:AO1006),$AN$1006:$BO$1006,0)), HYPERLINK("#",""), HYPERLINK(CONCATENATE("#Metadata!", ADDRESS(INDEX($AI$2:$AI$1001,MATCH(ROWS($AG$2:AG348),$AG$2:$AG$1001,0),0), INDEX($AN$1004:$BO$1004,1,MATCH(COLUMNS($AN$1006:AO1006),$AN$1006:$BO$1006,0)))),"Fix")))</f>
        <v>0</v>
      </c>
      <c r="D348" s="4">
        <f>IF(OR(INDEX($AH$2:$AH$1001,MATCH(ROWS($AG$2:AG348),$AG$2:$AG$1001,0),1)&gt;=100000,INDEX($AN$1005:$BO$1005,1,MATCH(COLUMNS($AN$1006:AP1006),$AN$1006:$BO$1006,0))&gt;=100000), " ",IF(INDEX($AN$2:$BO$1001,MATCH(ROWS($AG$2:AG348),$AG$2:$AG$1001,0),MATCH(COLUMNS($AN$1006:AP1006),$AN$1006:$BO$1006,0)), HYPERLINK("#",""), HYPERLINK(CONCATENATE("#Metadata!", ADDRESS(INDEX($AI$2:$AI$1001,MATCH(ROWS($AG$2:AG348),$AG$2:$AG$1001,0),0), INDEX($AN$1004:$BO$1004,1,MATCH(COLUMNS($AN$1006:AP1006),$AN$1006:$BO$1006,0)))),"Fix")))</f>
        <v>0</v>
      </c>
      <c r="E348" s="4">
        <f>IF(OR(INDEX($AH$2:$AH$1001,MATCH(ROWS($AG$2:AG348),$AG$2:$AG$1001,0),1)&gt;=100000,INDEX($AN$1005:$BO$1005,1,MATCH(COLUMNS($AN$1006:AQ1006),$AN$1006:$BO$1006,0))&gt;=100000), " ",IF(INDEX($AN$2:$BO$1001,MATCH(ROWS($AG$2:AG348),$AG$2:$AG$1001,0),MATCH(COLUMNS($AN$1006:AQ1006),$AN$1006:$BO$1006,0)), HYPERLINK("#",""), HYPERLINK(CONCATENATE("#Metadata!", ADDRESS(INDEX($AI$2:$AI$1001,MATCH(ROWS($AG$2:AG348),$AG$2:$AG$1001,0),0), INDEX($AN$1004:$BO$1004,1,MATCH(COLUMNS($AN$1006:AQ1006),$AN$1006:$BO$1006,0)))),"Fix")))</f>
        <v>0</v>
      </c>
      <c r="F348" s="4">
        <f>IF(OR(INDEX($AH$2:$AH$1001,MATCH(ROWS($AG$2:AG348),$AG$2:$AG$1001,0),1)&gt;=100000,INDEX($AN$1005:$BO$1005,1,MATCH(COLUMNS($AN$1006:AR1006),$AN$1006:$BO$1006,0))&gt;=100000), " ",IF(INDEX($AN$2:$BO$1001,MATCH(ROWS($AG$2:AG348),$AG$2:$AG$1001,0),MATCH(COLUMNS($AN$1006:AR1006),$AN$1006:$BO$1006,0)), HYPERLINK("#",""), HYPERLINK(CONCATENATE("#Metadata!", ADDRESS(INDEX($AI$2:$AI$1001,MATCH(ROWS($AG$2:AG348),$AG$2:$AG$1001,0),0), INDEX($AN$1004:$BO$1004,1,MATCH(COLUMNS($AN$1006:AR1006),$AN$1006:$BO$1006,0)))),"Fix")))</f>
        <v>0</v>
      </c>
      <c r="G348" s="4">
        <f>IF(OR(INDEX($AH$2:$AH$1001,MATCH(ROWS($AG$2:AG348),$AG$2:$AG$1001,0),1)&gt;=100000,INDEX($AN$1005:$BO$1005,1,MATCH(COLUMNS($AN$1006:AS1006),$AN$1006:$BO$1006,0))&gt;=100000), " ",IF(INDEX($AN$2:$BO$1001,MATCH(ROWS($AG$2:AG348),$AG$2:$AG$1001,0),MATCH(COLUMNS($AN$1006:AS1006),$AN$1006:$BO$1006,0)), HYPERLINK("#",""), HYPERLINK(CONCATENATE("#Metadata!", ADDRESS(INDEX($AI$2:$AI$1001,MATCH(ROWS($AG$2:AG348),$AG$2:$AG$1001,0),0), INDEX($AN$1004:$BO$1004,1,MATCH(COLUMNS($AN$1006:AS1006),$AN$1006:$BO$1006,0)))),"Fix")))</f>
        <v>0</v>
      </c>
      <c r="H348" s="4">
        <f>IF(OR(INDEX($AH$2:$AH$1001,MATCH(ROWS($AG$2:AG348),$AG$2:$AG$1001,0),1)&gt;=100000,INDEX($AN$1005:$BO$1005,1,MATCH(COLUMNS($AN$1006:AT1006),$AN$1006:$BO$1006,0))&gt;=100000), " ",IF(INDEX($AN$2:$BO$1001,MATCH(ROWS($AG$2:AG348),$AG$2:$AG$1001,0),MATCH(COLUMNS($AN$1006:AT1006),$AN$1006:$BO$1006,0)), HYPERLINK("#",""), HYPERLINK(CONCATENATE("#Metadata!", ADDRESS(INDEX($AI$2:$AI$1001,MATCH(ROWS($AG$2:AG348),$AG$2:$AG$1001,0),0), INDEX($AN$1004:$BO$1004,1,MATCH(COLUMNS($AN$1006:AT1006),$AN$1006:$BO$1006,0)))),"Fix")))</f>
        <v>0</v>
      </c>
      <c r="I348" s="4">
        <f>IF(OR(INDEX($AH$2:$AH$1001,MATCH(ROWS($AG$2:AG348),$AG$2:$AG$1001,0),1)&gt;=100000,INDEX($AN$1005:$BO$1005,1,MATCH(COLUMNS($AN$1006:AU1006),$AN$1006:$BO$1006,0))&gt;=100000), " ",IF(INDEX($AN$2:$BO$1001,MATCH(ROWS($AG$2:AG348),$AG$2:$AG$1001,0),MATCH(COLUMNS($AN$1006:AU1006),$AN$1006:$BO$1006,0)), HYPERLINK("#",""), HYPERLINK(CONCATENATE("#Metadata!", ADDRESS(INDEX($AI$2:$AI$1001,MATCH(ROWS($AG$2:AG348),$AG$2:$AG$1001,0),0), INDEX($AN$1004:$BO$1004,1,MATCH(COLUMNS($AN$1006:AU1006),$AN$1006:$BO$1006,0)))),"Fix")))</f>
        <v>0</v>
      </c>
      <c r="J348" s="4">
        <f>IF(OR(INDEX($AH$2:$AH$1001,MATCH(ROWS($AG$2:AG348),$AG$2:$AG$1001,0),1)&gt;=100000,INDEX($AN$1005:$BO$1005,1,MATCH(COLUMNS($AN$1006:AV1006),$AN$1006:$BO$1006,0))&gt;=100000), " ",IF(INDEX($AN$2:$BO$1001,MATCH(ROWS($AG$2:AG348),$AG$2:$AG$1001,0),MATCH(COLUMNS($AN$1006:AV1006),$AN$1006:$BO$1006,0)), HYPERLINK("#",""), HYPERLINK(CONCATENATE("#Metadata!", ADDRESS(INDEX($AI$2:$AI$1001,MATCH(ROWS($AG$2:AG348),$AG$2:$AG$1001,0),0), INDEX($AN$1004:$BO$1004,1,MATCH(COLUMNS($AN$1006:AV1006),$AN$1006:$BO$1006,0)))),"Fix")))</f>
        <v>0</v>
      </c>
      <c r="K348" s="4">
        <f>IF(OR(INDEX($AH$2:$AH$1001,MATCH(ROWS($AG$2:AG348),$AG$2:$AG$1001,0),1)&gt;=100000,INDEX($AN$1005:$BO$1005,1,MATCH(COLUMNS($AN$1006:AW1006),$AN$1006:$BO$1006,0))&gt;=100000), " ",IF(INDEX($AN$2:$BO$1001,MATCH(ROWS($AG$2:AG348),$AG$2:$AG$1001,0),MATCH(COLUMNS($AN$1006:AW1006),$AN$1006:$BO$1006,0)), HYPERLINK("#",""), HYPERLINK(CONCATENATE("#Metadata!", ADDRESS(INDEX($AI$2:$AI$1001,MATCH(ROWS($AG$2:AG348),$AG$2:$AG$1001,0),0), INDEX($AN$1004:$BO$1004,1,MATCH(COLUMNS($AN$1006:AW1006),$AN$1006:$BO$1006,0)))),"Fix")))</f>
        <v>0</v>
      </c>
      <c r="L348" s="4">
        <f>IF(OR(INDEX($AH$2:$AH$1001,MATCH(ROWS($AG$2:AG348),$AG$2:$AG$1001,0),1)&gt;=100000,INDEX($AN$1005:$BO$1005,1,MATCH(COLUMNS($AN$1006:AX1006),$AN$1006:$BO$1006,0))&gt;=100000), " ",IF(INDEX($AN$2:$BO$1001,MATCH(ROWS($AG$2:AG348),$AG$2:$AG$1001,0),MATCH(COLUMNS($AN$1006:AX1006),$AN$1006:$BO$1006,0)), HYPERLINK("#",""), HYPERLINK(CONCATENATE("#Metadata!", ADDRESS(INDEX($AI$2:$AI$1001,MATCH(ROWS($AG$2:AG348),$AG$2:$AG$1001,0),0), INDEX($AN$1004:$BO$1004,1,MATCH(COLUMNS($AN$1006:AX1006),$AN$1006:$BO$1006,0)))),"Fix")))</f>
        <v>0</v>
      </c>
      <c r="M348" s="4">
        <f>IF(OR(INDEX($AH$2:$AH$1001,MATCH(ROWS($AG$2:AG348),$AG$2:$AG$1001,0),1)&gt;=100000,INDEX($AN$1005:$BO$1005,1,MATCH(COLUMNS($AN$1006:AY1006),$AN$1006:$BO$1006,0))&gt;=100000), " ",IF(INDEX($AN$2:$BO$1001,MATCH(ROWS($AG$2:AG348),$AG$2:$AG$1001,0),MATCH(COLUMNS($AN$1006:AY1006),$AN$1006:$BO$1006,0)), HYPERLINK("#",""), HYPERLINK(CONCATENATE("#Metadata!", ADDRESS(INDEX($AI$2:$AI$1001,MATCH(ROWS($AG$2:AG348),$AG$2:$AG$1001,0),0), INDEX($AN$1004:$BO$1004,1,MATCH(COLUMNS($AN$1006:AY1006),$AN$1006:$BO$1006,0)))),"Fix")))</f>
        <v>0</v>
      </c>
      <c r="N348" s="4">
        <f>IF(OR(INDEX($AH$2:$AH$1001,MATCH(ROWS($AG$2:AG348),$AG$2:$AG$1001,0),1)&gt;=100000,INDEX($AN$1005:$BO$1005,1,MATCH(COLUMNS($AN$1006:AZ1006),$AN$1006:$BO$1006,0))&gt;=100000), " ",IF(INDEX($AN$2:$BO$1001,MATCH(ROWS($AG$2:AG348),$AG$2:$AG$1001,0),MATCH(COLUMNS($AN$1006:AZ1006),$AN$1006:$BO$1006,0)), HYPERLINK("#",""), HYPERLINK(CONCATENATE("#Metadata!", ADDRESS(INDEX($AI$2:$AI$1001,MATCH(ROWS($AG$2:AG348),$AG$2:$AG$1001,0),0), INDEX($AN$1004:$BO$1004,1,MATCH(COLUMNS($AN$1006:AZ1006),$AN$1006:$BO$1006,0)))),"Fix")))</f>
        <v>0</v>
      </c>
      <c r="O348" s="4">
        <f>IF(OR(INDEX($AH$2:$AH$1001,MATCH(ROWS($AG$2:AG348),$AG$2:$AG$1001,0),1)&gt;=100000,INDEX($AN$1005:$BO$1005,1,MATCH(COLUMNS($AN$1006:BA1006),$AN$1006:$BO$1006,0))&gt;=100000), " ",IF(INDEX($AN$2:$BO$1001,MATCH(ROWS($AG$2:AG348),$AG$2:$AG$1001,0),MATCH(COLUMNS($AN$1006:BA1006),$AN$1006:$BO$1006,0)), HYPERLINK("#",""), HYPERLINK(CONCATENATE("#Metadata!", ADDRESS(INDEX($AI$2:$AI$1001,MATCH(ROWS($AG$2:AG348),$AG$2:$AG$1001,0),0), INDEX($AN$1004:$BO$1004,1,MATCH(COLUMNS($AN$1006:BA1006),$AN$1006:$BO$1006,0)))),"Fix")))</f>
        <v>0</v>
      </c>
      <c r="P348" s="4">
        <f>IF(OR(INDEX($AH$2:$AH$1001,MATCH(ROWS($AG$2:AG348),$AG$2:$AG$1001,0),1)&gt;=100000,INDEX($AN$1005:$BO$1005,1,MATCH(COLUMNS($AN$1006:BB1006),$AN$1006:$BO$1006,0))&gt;=100000), " ",IF(INDEX($AN$2:$BO$1001,MATCH(ROWS($AG$2:AG348),$AG$2:$AG$1001,0),MATCH(COLUMNS($AN$1006:BB1006),$AN$1006:$BO$1006,0)), HYPERLINK("#",""), HYPERLINK(CONCATENATE("#Metadata!", ADDRESS(INDEX($AI$2:$AI$1001,MATCH(ROWS($AG$2:AG348),$AG$2:$AG$1001,0),0), INDEX($AN$1004:$BO$1004,1,MATCH(COLUMNS($AN$1006:BB1006),$AN$1006:$BO$1006,0)))),"Fix")))</f>
        <v>0</v>
      </c>
      <c r="Q348" s="4">
        <f>IF(OR(INDEX($AH$2:$AH$1001,MATCH(ROWS($AG$2:AG348),$AG$2:$AG$1001,0),1)&gt;=100000,INDEX($AN$1005:$BO$1005,1,MATCH(COLUMNS($AN$1006:BC1006),$AN$1006:$BO$1006,0))&gt;=100000), " ",IF(INDEX($AN$2:$BO$1001,MATCH(ROWS($AG$2:AG348),$AG$2:$AG$1001,0),MATCH(COLUMNS($AN$1006:BC1006),$AN$1006:$BO$1006,0)), HYPERLINK("#",""), HYPERLINK(CONCATENATE("#Metadata!", ADDRESS(INDEX($AI$2:$AI$1001,MATCH(ROWS($AG$2:AG348),$AG$2:$AG$1001,0),0), INDEX($AN$1004:$BO$1004,1,MATCH(COLUMNS($AN$1006:BC1006),$AN$1006:$BO$1006,0)))),"Fix")))</f>
        <v>0</v>
      </c>
      <c r="R348" s="4">
        <f>IF(OR(INDEX($AH$2:$AH$1001,MATCH(ROWS($AG$2:AG348),$AG$2:$AG$1001,0),1)&gt;=100000,INDEX($AN$1005:$BO$1005,1,MATCH(COLUMNS($AN$1006:BD1006),$AN$1006:$BO$1006,0))&gt;=100000), " ",IF(INDEX($AN$2:$BO$1001,MATCH(ROWS($AG$2:AG348),$AG$2:$AG$1001,0),MATCH(COLUMNS($AN$1006:BD1006),$AN$1006:$BO$1006,0)), HYPERLINK("#",""), HYPERLINK(CONCATENATE("#Metadata!", ADDRESS(INDEX($AI$2:$AI$1001,MATCH(ROWS($AG$2:AG348),$AG$2:$AG$1001,0),0), INDEX($AN$1004:$BO$1004,1,MATCH(COLUMNS($AN$1006:BD1006),$AN$1006:$BO$1006,0)))),"Fix")))</f>
        <v>0</v>
      </c>
      <c r="S348" s="4">
        <f>IF(OR(INDEX($AH$2:$AH$1001,MATCH(ROWS($AG$2:AG348),$AG$2:$AG$1001,0),1)&gt;=100000,INDEX($AN$1005:$BO$1005,1,MATCH(COLUMNS($AN$1006:BE1006),$AN$1006:$BO$1006,0))&gt;=100000), " ",IF(INDEX($AN$2:$BO$1001,MATCH(ROWS($AG$2:AG348),$AG$2:$AG$1001,0),MATCH(COLUMNS($AN$1006:BE1006),$AN$1006:$BO$1006,0)), HYPERLINK("#",""), HYPERLINK(CONCATENATE("#Metadata!", ADDRESS(INDEX($AI$2:$AI$1001,MATCH(ROWS($AG$2:AG348),$AG$2:$AG$1001,0),0), INDEX($AN$1004:$BO$1004,1,MATCH(COLUMNS($AN$1006:BE1006),$AN$1006:$BO$1006,0)))),"Fix")))</f>
        <v>0</v>
      </c>
      <c r="T348" s="4">
        <f>IF(OR(INDEX($AH$2:$AH$1001,MATCH(ROWS($AG$2:AG348),$AG$2:$AG$1001,0),1)&gt;=100000,INDEX($AN$1005:$BO$1005,1,MATCH(COLUMNS($AN$1006:BF1006),$AN$1006:$BO$1006,0))&gt;=100000), " ",IF(INDEX($AN$2:$BO$1001,MATCH(ROWS($AG$2:AG348),$AG$2:$AG$1001,0),MATCH(COLUMNS($AN$1006:BF1006),$AN$1006:$BO$1006,0)), HYPERLINK("#",""), HYPERLINK(CONCATENATE("#Metadata!", ADDRESS(INDEX($AI$2:$AI$1001,MATCH(ROWS($AG$2:AG348),$AG$2:$AG$1001,0),0), INDEX($AN$1004:$BO$1004,1,MATCH(COLUMNS($AN$1006:BF1006),$AN$1006:$BO$1006,0)))),"Fix")))</f>
        <v>0</v>
      </c>
      <c r="U348" s="4">
        <f>IF(OR(INDEX($AH$2:$AH$1001,MATCH(ROWS($AG$2:AG348),$AG$2:$AG$1001,0),1)&gt;=100000,INDEX($AN$1005:$BO$1005,1,MATCH(COLUMNS($AN$1006:BG1006),$AN$1006:$BO$1006,0))&gt;=100000), " ",IF(INDEX($AN$2:$BO$1001,MATCH(ROWS($AG$2:AG348),$AG$2:$AG$1001,0),MATCH(COLUMNS($AN$1006:BG1006),$AN$1006:$BO$1006,0)), HYPERLINK("#",""), HYPERLINK(CONCATENATE("#Metadata!", ADDRESS(INDEX($AI$2:$AI$1001,MATCH(ROWS($AG$2:AG348),$AG$2:$AG$1001,0),0), INDEX($AN$1004:$BO$1004,1,MATCH(COLUMNS($AN$1006:BG1006),$AN$1006:$BO$1006,0)))),"Fix")))</f>
        <v>0</v>
      </c>
      <c r="V348" s="4">
        <f>IF(OR(INDEX($AH$2:$AH$1001,MATCH(ROWS($AG$2:AG348),$AG$2:$AG$1001,0),1)&gt;=100000,INDEX($AN$1005:$BO$1005,1,MATCH(COLUMNS($AN$1006:BH1006),$AN$1006:$BO$1006,0))&gt;=100000), " ",IF(INDEX($AN$2:$BO$1001,MATCH(ROWS($AG$2:AG348),$AG$2:$AG$1001,0),MATCH(COLUMNS($AN$1006:BH1006),$AN$1006:$BO$1006,0)), HYPERLINK("#",""), HYPERLINK(CONCATENATE("#Metadata!", ADDRESS(INDEX($AI$2:$AI$1001,MATCH(ROWS($AG$2:AG348),$AG$2:$AG$1001,0),0), INDEX($AN$1004:$BO$1004,1,MATCH(COLUMNS($AN$1006:BH1006),$AN$1006:$BO$1006,0)))),"Fix")))</f>
        <v>0</v>
      </c>
      <c r="W348" s="4">
        <f>IF(OR(INDEX($AH$2:$AH$1001,MATCH(ROWS($AG$2:AG348),$AG$2:$AG$1001,0),1)&gt;=100000,INDEX($AN$1005:$BO$1005,1,MATCH(COLUMNS($AN$1006:BI1006),$AN$1006:$BO$1006,0))&gt;=100000), " ",IF(INDEX($AN$2:$BO$1001,MATCH(ROWS($AG$2:AG348),$AG$2:$AG$1001,0),MATCH(COLUMNS($AN$1006:BI1006),$AN$1006:$BO$1006,0)), HYPERLINK("#",""), HYPERLINK(CONCATENATE("#Metadata!", ADDRESS(INDEX($AI$2:$AI$1001,MATCH(ROWS($AG$2:AG348),$AG$2:$AG$1001,0),0), INDEX($AN$1004:$BO$1004,1,MATCH(COLUMNS($AN$1006:BI1006),$AN$1006:$BO$1006,0)))),"Fix")))</f>
        <v>0</v>
      </c>
      <c r="X348" s="4">
        <f>IF(OR(INDEX($AH$2:$AH$1001,MATCH(ROWS($AG$2:AG348),$AG$2:$AG$1001,0),1)&gt;=100000,INDEX($AN$1005:$BO$1005,1,MATCH(COLUMNS($AN$1006:BJ1006),$AN$1006:$BO$1006,0))&gt;=100000), " ",IF(INDEX($AN$2:$BO$1001,MATCH(ROWS($AG$2:AG348),$AG$2:$AG$1001,0),MATCH(COLUMNS($AN$1006:BJ1006),$AN$1006:$BO$1006,0)), HYPERLINK("#",""), HYPERLINK(CONCATENATE("#Metadata!", ADDRESS(INDEX($AI$2:$AI$1001,MATCH(ROWS($AG$2:AG348),$AG$2:$AG$1001,0),0), INDEX($AN$1004:$BO$1004,1,MATCH(COLUMNS($AN$1006:BJ1006),$AN$1006:$BO$1006,0)))),"Fix")))</f>
        <v>0</v>
      </c>
      <c r="Y348" s="4">
        <f>IF(OR(INDEX($AH$2:$AH$1001,MATCH(ROWS($AG$2:AG348),$AG$2:$AG$1001,0),1)&gt;=100000,INDEX($AN$1005:$BO$1005,1,MATCH(COLUMNS($AN$1006:BK1006),$AN$1006:$BO$1006,0))&gt;=100000), " ",IF(INDEX($AN$2:$BO$1001,MATCH(ROWS($AG$2:AG348),$AG$2:$AG$1001,0),MATCH(COLUMNS($AN$1006:BK1006),$AN$1006:$BO$1006,0)), HYPERLINK("#",""), HYPERLINK(CONCATENATE("#Metadata!", ADDRESS(INDEX($AI$2:$AI$1001,MATCH(ROWS($AG$2:AG348),$AG$2:$AG$1001,0),0), INDEX($AN$1004:$BO$1004,1,MATCH(COLUMNS($AN$1006:BK1006),$AN$1006:$BO$1006,0)))),"Fix")))</f>
        <v>0</v>
      </c>
      <c r="Z348" s="4">
        <f>IF(OR(INDEX($AH$2:$AH$1001,MATCH(ROWS($AG$2:AG348),$AG$2:$AG$1001,0),1)&gt;=100000,INDEX($AN$1005:$BO$1005,1,MATCH(COLUMNS($AN$1006:BL1006),$AN$1006:$BO$1006,0))&gt;=100000), " ",IF(INDEX($AN$2:$BO$1001,MATCH(ROWS($AG$2:AG348),$AG$2:$AG$1001,0),MATCH(COLUMNS($AN$1006:BL1006),$AN$1006:$BO$1006,0)), HYPERLINK("#",""), HYPERLINK(CONCATENATE("#Metadata!", ADDRESS(INDEX($AI$2:$AI$1001,MATCH(ROWS($AG$2:AG348),$AG$2:$AG$1001,0),0), INDEX($AN$1004:$BO$1004,1,MATCH(COLUMNS($AN$1006:BL1006),$AN$1006:$BO$1006,0)))),"Fix")))</f>
        <v>0</v>
      </c>
      <c r="AA348" s="4">
        <f>IF(OR(INDEX($AH$2:$AH$1001,MATCH(ROWS($AG$2:AG348),$AG$2:$AG$1001,0),1)&gt;=100000,INDEX($AN$1005:$BO$1005,1,MATCH(COLUMNS($AN$1006:BM1006),$AN$1006:$BO$1006,0))&gt;=100000), " ",IF(INDEX($AN$2:$BO$1001,MATCH(ROWS($AG$2:AG348),$AG$2:$AG$1001,0),MATCH(COLUMNS($AN$1006:BM1006),$AN$1006:$BO$1006,0)), HYPERLINK("#",""), HYPERLINK(CONCATENATE("#Metadata!", ADDRESS(INDEX($AI$2:$AI$1001,MATCH(ROWS($AG$2:AG348),$AG$2:$AG$1001,0),0), INDEX($AN$1004:$BO$1004,1,MATCH(COLUMNS($AN$1006:BM1006),$AN$1006:$BO$1006,0)))),"Fix")))</f>
        <v>0</v>
      </c>
      <c r="AB348" s="4">
        <f>IF(OR(INDEX($AH$2:$AH$1001,MATCH(ROWS($AG$2:AG348),$AG$2:$AG$1001,0),1)&gt;=100000,INDEX($AN$1005:$BO$1005,1,MATCH(COLUMNS($AN$1006:BN1006),$AN$1006:$BO$1006,0))&gt;=100000), " ",IF(INDEX($AN$2:$BO$1001,MATCH(ROWS($AG$2:AG348),$AG$2:$AG$1001,0),MATCH(COLUMNS($AN$1006:BN1006),$AN$1006:$BO$1006,0)), HYPERLINK("#",""), HYPERLINK(CONCATENATE("#Metadata!", ADDRESS(INDEX($AI$2:$AI$1001,MATCH(ROWS($AG$2:AG348),$AG$2:$AG$1001,0),0), INDEX($AN$1004:$BO$1004,1,MATCH(COLUMNS($AN$1006:BN1006),$AN$1006:$BO$1006,0)))),"Fix")))</f>
        <v>0</v>
      </c>
      <c r="AC348" s="4">
        <f>IF(OR(INDEX($AH$2:$AH$1001,MATCH(ROWS($AG$2:AG348),$AG$2:$AG$1001,0),1)&gt;=100000,INDEX($AN$1005:$BO$1005,1,MATCH(COLUMNS($AN$1006:BO1006),$AN$1006:$BO$1006,0))&gt;=100000), " ",IF(INDEX($AN$2:$BO$1001,MATCH(ROWS($AG$2:AG348),$AG$2:$AG$1001,0),MATCH(COLUMNS($AN$1006:BO1006),$AN$1006:$BO$1006,0)), HYPERLINK("#",""), HYPERLINK(CONCATENATE("#Metadata!", ADDRESS(INDEX($AI$2:$AI$1001,MATCH(ROWS($AG$2:AG348),$AG$2:$AG$1001,0),0), INDEX($AN$1004:$BO$1004,1,MATCH(COLUMNS($AN$1006:BO1006),$AN$1006:$BO$1006,0)))),"Fix")))</f>
        <v>0</v>
      </c>
      <c r="AG348">
        <v>0</v>
      </c>
      <c r="AH348">
        <v>0</v>
      </c>
      <c r="AI348">
        <v>0</v>
      </c>
      <c r="AJ348">
        <f>IF(AK348,TRUE,AND(AN348:BO348))</f>
        <v>0</v>
      </c>
      <c r="AK348">
        <f>COUNTBLANK(Metadata!B348:AC348)=COLUMNS(Metadata!B348:AC348)</f>
        <v>0</v>
      </c>
      <c r="AL348">
        <v>0</v>
      </c>
      <c r="AN348">
        <f>AND(IF(Metadata!B348="",FALSE,TRUE),COUNTIF(Metadata!B:B, Metadata!B348) = 1,NOT(ISERROR(SUMPRODUCT(SEARCH(MID(Metadata!B348,ROW(INDIRECT("1:"&amp;LEN(Metadata!B348))), 1),"0123456789abcdefghijklmnopqrstuvwxyzABCDEFGHIJKLMNOPQRSTUVWXYZ.")))))</f>
        <v>0</v>
      </c>
      <c r="AO348">
        <f>IF(Metadata!C348="",FALSE,TRUE)</f>
        <v>0</v>
      </c>
      <c r="AP348">
        <f>IF(Metadata!D348="",FALSE,TRUE)</f>
        <v>0</v>
      </c>
      <c r="AQ348">
        <f>OR(AND(IF(Metadata!E348="",FALSE,TRUE),OR(exact(Metadata!E348,"not collected"),exact(Metadata!E348,"not provided"),exact(Metadata!E348,"restricted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R348">
        <f>IF(Metadata!F348="",FALSE,TRUE)</f>
        <v>0</v>
      </c>
      <c r="AS348">
        <f>OR(AND(IF(Metadata!G348="",FALSE,TRUE),OR(exact(Metadata!G348,"not collected"),exact(Metadata!G348,"not provided"))),AND(IF(Metadata!G348="",FALSE,TRUE),OR(exact(Metadata!G348,"TRUE"),exact(Metadata!G348,"FALSE"))))</f>
        <v>0</v>
      </c>
      <c r="AT348">
        <f>OR(AND(IF(Metadata!H348="",FALSE,TRUE),OR(exact(Metadata!H348,"not collected"),exact(Metadata!H348,"not provided"),exact(Metadata!H348,"restricted access"))),AND(IF(Metadata!H348="",FALSE,ISNUMBER(VALUE(Metadata!H348))),Metadata!H348&gt;=-413.0))</f>
        <v>0</v>
      </c>
      <c r="AU348">
        <f>AND(IF(Metadata!I348="",FALSE,TRUE),exact(Metadata!I348,"meters"))</f>
        <v>0</v>
      </c>
      <c r="AV348">
        <f>AND(IF(Metadata!J348="",FALSE,TRUE),OR(exact(Metadata!J348,"Host-associated"),exact(Metadata!J348,"Free-living")))</f>
        <v>0</v>
      </c>
      <c r="AW348">
        <f>AND(IF(Metadata!K348="",FALSE,TRUE),OR(exact(Metadata!K348,"Animal"),exact(Metadata!K348,"Fungus"),exact(Metadata!K348,"Plant"),exact(Metadata!K348,"Saline"),exact(Metadata!K348,"Non-saline")))</f>
        <v>0</v>
      </c>
      <c r="AX348">
        <f>AND(IF(Metadata!L348="",FALSE,TRUE),OR(exact(Metadata!L348,"Plant secretion"),exact(Metadata!L348,"Plant rhizosphere"),exact(Metadata!L348,"Plant surface"),exact(Metadata!L348,"Plant corpus"),exact(Metadata!L348,"Fungus surface"),exact(Metadata!L348,"Fungus corpus"),exact(Metadata!L348,"Animal surface"),exact(Metadata!L348,"Animal proximal gut"),exact(Metadata!L348,"Animal corpus"),exact(Metadata!L348,"Animal distal gut"),exact(Metadata!L348,"Animal secretion"),exact(Metadata!L348,"Sub-surface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Y348">
        <f>IF(Metadata!M348="",FALSE,TRUE)</f>
        <v>0</v>
      </c>
      <c r="AZ348">
        <f>IF(Metadata!N348="",FALSE,TRUE)</f>
        <v>0</v>
      </c>
      <c r="BA348">
        <f>IF(Metadata!O348="",FALSE,TRUE)</f>
        <v>0</v>
      </c>
      <c r="BB348">
        <f>OR(AND(IF(Metadata!P348="",FALSE,TRUE),OR(exact(Metadata!P348,"not collected"),exact(Metadata!P348,"not provided"),exact(Metadata!P348,"restricted access"))),AND(IF(Metadata!P348="",FALSE,TRUE),OR(exact(Metadata!P348,"air"),exact(Metadata!P348,"built environment"),exact(Metadata!P348,"host-associated"),exact(Metadata!P348,"human-associated"),exact(Metadata!P348,"human-skin"),exact(Metadata!P348,"human-oral"),exact(Metadata!P348,"human-gut"),exact(Metadata!P348,"human-vaginal"),exact(Metadata!P348,"microbial mat/biofilm"),exact(Metadata!P348,"misc environment"),exact(Metadata!P348,"plant-associated"),exact(Metadata!P348,"sediment"),exact(Metadata!P348,"soil"),exact(Metadata!P348,"wastewater/sludge"),exact(Metadata!P348,"water"))))</f>
        <v>0</v>
      </c>
      <c r="BC348">
        <f>IF(Metadata!Q348="",FALSE,TRUE)</f>
        <v>0</v>
      </c>
      <c r="BD348">
        <f>IF(Metadata!R348="",FALSE,TRUE)</f>
        <v>0</v>
      </c>
      <c r="BE348">
        <f>OR(AND(IF(Metadata!S348="",FALSE,TRUE),OR(exact(Metadata!S348,"not collected"),exact(Metadata!S348,"not provided"),exact(Metadata!S348,"restricted access"))),AND(IF(Metadata!S348="",FALSE,ISNUMBER(VALUE(Metadata!S348))),Metadata!S348&gt;=-90.00,Metadata!S348&lt;=90.00))</f>
        <v>0</v>
      </c>
      <c r="BF348">
        <f>AND(IF(Metadata!T348="",FALSE,TRUE),exact(Metadata!T348,"Decimal degrees"))</f>
        <v>0</v>
      </c>
      <c r="BG348">
        <f>OR(AND(IF(Metadata!U348="",FALSE,TRUE),OR(exact(Metadata!U348,"not collected"),exact(Metadata!U348,"not provided"),exact(Metadata!U348,"restricted access"))),AND(IF(Metadata!U348="",FALSE,ISNUMBER(VALUE(Metadata!U348))),Metadata!U348&gt;=-180.00,Metadata!U348&lt;=180.00))</f>
        <v>0</v>
      </c>
      <c r="BH348">
        <f>AND(IF(Metadata!V348="",FALSE,TRUE),exact(Metadata!V348,"Decimal degrees"))</f>
        <v>0</v>
      </c>
      <c r="BI348">
        <f>IF(Metadata!W348="",FALSE,TRUE)</f>
        <v>0</v>
      </c>
      <c r="BJ348">
        <f>OR(AND(IF(Metadata!X348="",FALSE,TRUE),OR(exact(Metadata!X348,"not collected"),exact(Metadata!X348,"not provided"),exact(Metadata!X348,"restricted access"))),AND(IF(Metadata!X348="",FALSE,TRUE),OR(exact(Metadata!X348,"TRUE"),exact(Metadata!X348,"FALSE"))))</f>
        <v>0</v>
      </c>
      <c r="BK348">
        <f>AND(IF(Metadata!Y348="",FALSE,TRUE),exact(Metadata!Y348,"other"))</f>
        <v>0</v>
      </c>
      <c r="BL348">
        <f>IF(Metadata!Z348="",FALSE,TRUE)</f>
        <v>0</v>
      </c>
      <c r="BM348">
        <f>OR(AND(IF(Metadata!AA348="",FALSE,TRUE),OR(exact(Metadata!AA348,"not collected"),exact(Metadata!AA348,"not provided"))),AND(IF(Metadata!AA348="",FALSE,IF(ISERROR(INT(Metadata!AA348)),FALSE,INT(Metadata!AA348)=Metadata!AA348)),Metadata!AA348&gt;0))</f>
        <v>0</v>
      </c>
      <c r="BN348">
        <f>AND(IF(Metadata!AB348="",FALSE,TRUE),exact(Metadata!AB348,"Not applicable"))</f>
        <v>0</v>
      </c>
      <c r="BO348">
        <f>IF(Metadata!AC348="",FALSE,TRUE)</f>
        <v>0</v>
      </c>
    </row>
    <row r="349" spans="1:67">
      <c r="A349" s="5">
        <f>IF(B349=" "," ",HYPERLINK(CONCATENATE("#metadata!",ADDRESS(INDEX($AI$2:$AI$1001,MATCH(ROWS($AG$2:AG349),$AG$2:$AG$1001,0),0),1)),INDEX($AL$2:$AL$1001,MATCH(ROWS($AG$2:AG349),$AG$2:$AG$1001,0),0)))</f>
        <v>0</v>
      </c>
      <c r="B349" s="4">
        <f>IF(OR(INDEX($AH$2:$AH$1001,MATCH(ROWS($AG$2:AG349),$AG$2:$AG$1001,0),1)&gt;=100000,INDEX($AN$1005:$BO$1005,1,MATCH(COLUMNS($AN$1006:AN1006),$AN$1006:$BO$1006,0))&gt;=100000), " ",IF(INDEX($AN$2:$BO$1001,MATCH(ROWS($AG$2:AG349),$AG$2:$AG$1001,0),MATCH(COLUMNS($AN$1006:AN1006),$AN$1006:$BO$1006,0)), HYPERLINK("#",""), HYPERLINK(CONCATENATE("#Metadata!", ADDRESS(INDEX($AI$2:$AI$1001,MATCH(ROWS($AG$2:AG349),$AG$2:$AG$1001,0),0), INDEX($AN$1004:$BO$1004,1,MATCH(COLUMNS($AN$1006:AN1006),$AN$1006:$BO$1006,0)))),"Fix")))</f>
        <v>0</v>
      </c>
      <c r="C349" s="4">
        <f>IF(OR(INDEX($AH$2:$AH$1001,MATCH(ROWS($AG$2:AG349),$AG$2:$AG$1001,0),1)&gt;=100000,INDEX($AN$1005:$BO$1005,1,MATCH(COLUMNS($AN$1006:AO1006),$AN$1006:$BO$1006,0))&gt;=100000), " ",IF(INDEX($AN$2:$BO$1001,MATCH(ROWS($AG$2:AG349),$AG$2:$AG$1001,0),MATCH(COLUMNS($AN$1006:AO1006),$AN$1006:$BO$1006,0)), HYPERLINK("#",""), HYPERLINK(CONCATENATE("#Metadata!", ADDRESS(INDEX($AI$2:$AI$1001,MATCH(ROWS($AG$2:AG349),$AG$2:$AG$1001,0),0), INDEX($AN$1004:$BO$1004,1,MATCH(COLUMNS($AN$1006:AO1006),$AN$1006:$BO$1006,0)))),"Fix")))</f>
        <v>0</v>
      </c>
      <c r="D349" s="4">
        <f>IF(OR(INDEX($AH$2:$AH$1001,MATCH(ROWS($AG$2:AG349),$AG$2:$AG$1001,0),1)&gt;=100000,INDEX($AN$1005:$BO$1005,1,MATCH(COLUMNS($AN$1006:AP1006),$AN$1006:$BO$1006,0))&gt;=100000), " ",IF(INDEX($AN$2:$BO$1001,MATCH(ROWS($AG$2:AG349),$AG$2:$AG$1001,0),MATCH(COLUMNS($AN$1006:AP1006),$AN$1006:$BO$1006,0)), HYPERLINK("#",""), HYPERLINK(CONCATENATE("#Metadata!", ADDRESS(INDEX($AI$2:$AI$1001,MATCH(ROWS($AG$2:AG349),$AG$2:$AG$1001,0),0), INDEX($AN$1004:$BO$1004,1,MATCH(COLUMNS($AN$1006:AP1006),$AN$1006:$BO$1006,0)))),"Fix")))</f>
        <v>0</v>
      </c>
      <c r="E349" s="4">
        <f>IF(OR(INDEX($AH$2:$AH$1001,MATCH(ROWS($AG$2:AG349),$AG$2:$AG$1001,0),1)&gt;=100000,INDEX($AN$1005:$BO$1005,1,MATCH(COLUMNS($AN$1006:AQ1006),$AN$1006:$BO$1006,0))&gt;=100000), " ",IF(INDEX($AN$2:$BO$1001,MATCH(ROWS($AG$2:AG349),$AG$2:$AG$1001,0),MATCH(COLUMNS($AN$1006:AQ1006),$AN$1006:$BO$1006,0)), HYPERLINK("#",""), HYPERLINK(CONCATENATE("#Metadata!", ADDRESS(INDEX($AI$2:$AI$1001,MATCH(ROWS($AG$2:AG349),$AG$2:$AG$1001,0),0), INDEX($AN$1004:$BO$1004,1,MATCH(COLUMNS($AN$1006:AQ1006),$AN$1006:$BO$1006,0)))),"Fix")))</f>
        <v>0</v>
      </c>
      <c r="F349" s="4">
        <f>IF(OR(INDEX($AH$2:$AH$1001,MATCH(ROWS($AG$2:AG349),$AG$2:$AG$1001,0),1)&gt;=100000,INDEX($AN$1005:$BO$1005,1,MATCH(COLUMNS($AN$1006:AR1006),$AN$1006:$BO$1006,0))&gt;=100000), " ",IF(INDEX($AN$2:$BO$1001,MATCH(ROWS($AG$2:AG349),$AG$2:$AG$1001,0),MATCH(COLUMNS($AN$1006:AR1006),$AN$1006:$BO$1006,0)), HYPERLINK("#",""), HYPERLINK(CONCATENATE("#Metadata!", ADDRESS(INDEX($AI$2:$AI$1001,MATCH(ROWS($AG$2:AG349),$AG$2:$AG$1001,0),0), INDEX($AN$1004:$BO$1004,1,MATCH(COLUMNS($AN$1006:AR1006),$AN$1006:$BO$1006,0)))),"Fix")))</f>
        <v>0</v>
      </c>
      <c r="G349" s="4">
        <f>IF(OR(INDEX($AH$2:$AH$1001,MATCH(ROWS($AG$2:AG349),$AG$2:$AG$1001,0),1)&gt;=100000,INDEX($AN$1005:$BO$1005,1,MATCH(COLUMNS($AN$1006:AS1006),$AN$1006:$BO$1006,0))&gt;=100000), " ",IF(INDEX($AN$2:$BO$1001,MATCH(ROWS($AG$2:AG349),$AG$2:$AG$1001,0),MATCH(COLUMNS($AN$1006:AS1006),$AN$1006:$BO$1006,0)), HYPERLINK("#",""), HYPERLINK(CONCATENATE("#Metadata!", ADDRESS(INDEX($AI$2:$AI$1001,MATCH(ROWS($AG$2:AG349),$AG$2:$AG$1001,0),0), INDEX($AN$1004:$BO$1004,1,MATCH(COLUMNS($AN$1006:AS1006),$AN$1006:$BO$1006,0)))),"Fix")))</f>
        <v>0</v>
      </c>
      <c r="H349" s="4">
        <f>IF(OR(INDEX($AH$2:$AH$1001,MATCH(ROWS($AG$2:AG349),$AG$2:$AG$1001,0),1)&gt;=100000,INDEX($AN$1005:$BO$1005,1,MATCH(COLUMNS($AN$1006:AT1006),$AN$1006:$BO$1006,0))&gt;=100000), " ",IF(INDEX($AN$2:$BO$1001,MATCH(ROWS($AG$2:AG349),$AG$2:$AG$1001,0),MATCH(COLUMNS($AN$1006:AT1006),$AN$1006:$BO$1006,0)), HYPERLINK("#",""), HYPERLINK(CONCATENATE("#Metadata!", ADDRESS(INDEX($AI$2:$AI$1001,MATCH(ROWS($AG$2:AG349),$AG$2:$AG$1001,0),0), INDEX($AN$1004:$BO$1004,1,MATCH(COLUMNS($AN$1006:AT1006),$AN$1006:$BO$1006,0)))),"Fix")))</f>
        <v>0</v>
      </c>
      <c r="I349" s="4">
        <f>IF(OR(INDEX($AH$2:$AH$1001,MATCH(ROWS($AG$2:AG349),$AG$2:$AG$1001,0),1)&gt;=100000,INDEX($AN$1005:$BO$1005,1,MATCH(COLUMNS($AN$1006:AU1006),$AN$1006:$BO$1006,0))&gt;=100000), " ",IF(INDEX($AN$2:$BO$1001,MATCH(ROWS($AG$2:AG349),$AG$2:$AG$1001,0),MATCH(COLUMNS($AN$1006:AU1006),$AN$1006:$BO$1006,0)), HYPERLINK("#",""), HYPERLINK(CONCATENATE("#Metadata!", ADDRESS(INDEX($AI$2:$AI$1001,MATCH(ROWS($AG$2:AG349),$AG$2:$AG$1001,0),0), INDEX($AN$1004:$BO$1004,1,MATCH(COLUMNS($AN$1006:AU1006),$AN$1006:$BO$1006,0)))),"Fix")))</f>
        <v>0</v>
      </c>
      <c r="J349" s="4">
        <f>IF(OR(INDEX($AH$2:$AH$1001,MATCH(ROWS($AG$2:AG349),$AG$2:$AG$1001,0),1)&gt;=100000,INDEX($AN$1005:$BO$1005,1,MATCH(COLUMNS($AN$1006:AV1006),$AN$1006:$BO$1006,0))&gt;=100000), " ",IF(INDEX($AN$2:$BO$1001,MATCH(ROWS($AG$2:AG349),$AG$2:$AG$1001,0),MATCH(COLUMNS($AN$1006:AV1006),$AN$1006:$BO$1006,0)), HYPERLINK("#",""), HYPERLINK(CONCATENATE("#Metadata!", ADDRESS(INDEX($AI$2:$AI$1001,MATCH(ROWS($AG$2:AG349),$AG$2:$AG$1001,0),0), INDEX($AN$1004:$BO$1004,1,MATCH(COLUMNS($AN$1006:AV1006),$AN$1006:$BO$1006,0)))),"Fix")))</f>
        <v>0</v>
      </c>
      <c r="K349" s="4">
        <f>IF(OR(INDEX($AH$2:$AH$1001,MATCH(ROWS($AG$2:AG349),$AG$2:$AG$1001,0),1)&gt;=100000,INDEX($AN$1005:$BO$1005,1,MATCH(COLUMNS($AN$1006:AW1006),$AN$1006:$BO$1006,0))&gt;=100000), " ",IF(INDEX($AN$2:$BO$1001,MATCH(ROWS($AG$2:AG349),$AG$2:$AG$1001,0),MATCH(COLUMNS($AN$1006:AW1006),$AN$1006:$BO$1006,0)), HYPERLINK("#",""), HYPERLINK(CONCATENATE("#Metadata!", ADDRESS(INDEX($AI$2:$AI$1001,MATCH(ROWS($AG$2:AG349),$AG$2:$AG$1001,0),0), INDEX($AN$1004:$BO$1004,1,MATCH(COLUMNS($AN$1006:AW1006),$AN$1006:$BO$1006,0)))),"Fix")))</f>
        <v>0</v>
      </c>
      <c r="L349" s="4">
        <f>IF(OR(INDEX($AH$2:$AH$1001,MATCH(ROWS($AG$2:AG349),$AG$2:$AG$1001,0),1)&gt;=100000,INDEX($AN$1005:$BO$1005,1,MATCH(COLUMNS($AN$1006:AX1006),$AN$1006:$BO$1006,0))&gt;=100000), " ",IF(INDEX($AN$2:$BO$1001,MATCH(ROWS($AG$2:AG349),$AG$2:$AG$1001,0),MATCH(COLUMNS($AN$1006:AX1006),$AN$1006:$BO$1006,0)), HYPERLINK("#",""), HYPERLINK(CONCATENATE("#Metadata!", ADDRESS(INDEX($AI$2:$AI$1001,MATCH(ROWS($AG$2:AG349),$AG$2:$AG$1001,0),0), INDEX($AN$1004:$BO$1004,1,MATCH(COLUMNS($AN$1006:AX1006),$AN$1006:$BO$1006,0)))),"Fix")))</f>
        <v>0</v>
      </c>
      <c r="M349" s="4">
        <f>IF(OR(INDEX($AH$2:$AH$1001,MATCH(ROWS($AG$2:AG349),$AG$2:$AG$1001,0),1)&gt;=100000,INDEX($AN$1005:$BO$1005,1,MATCH(COLUMNS($AN$1006:AY1006),$AN$1006:$BO$1006,0))&gt;=100000), " ",IF(INDEX($AN$2:$BO$1001,MATCH(ROWS($AG$2:AG349),$AG$2:$AG$1001,0),MATCH(COLUMNS($AN$1006:AY1006),$AN$1006:$BO$1006,0)), HYPERLINK("#",""), HYPERLINK(CONCATENATE("#Metadata!", ADDRESS(INDEX($AI$2:$AI$1001,MATCH(ROWS($AG$2:AG349),$AG$2:$AG$1001,0),0), INDEX($AN$1004:$BO$1004,1,MATCH(COLUMNS($AN$1006:AY1006),$AN$1006:$BO$1006,0)))),"Fix")))</f>
        <v>0</v>
      </c>
      <c r="N349" s="4">
        <f>IF(OR(INDEX($AH$2:$AH$1001,MATCH(ROWS($AG$2:AG349),$AG$2:$AG$1001,0),1)&gt;=100000,INDEX($AN$1005:$BO$1005,1,MATCH(COLUMNS($AN$1006:AZ1006),$AN$1006:$BO$1006,0))&gt;=100000), " ",IF(INDEX($AN$2:$BO$1001,MATCH(ROWS($AG$2:AG349),$AG$2:$AG$1001,0),MATCH(COLUMNS($AN$1006:AZ1006),$AN$1006:$BO$1006,0)), HYPERLINK("#",""), HYPERLINK(CONCATENATE("#Metadata!", ADDRESS(INDEX($AI$2:$AI$1001,MATCH(ROWS($AG$2:AG349),$AG$2:$AG$1001,0),0), INDEX($AN$1004:$BO$1004,1,MATCH(COLUMNS($AN$1006:AZ1006),$AN$1006:$BO$1006,0)))),"Fix")))</f>
        <v>0</v>
      </c>
      <c r="O349" s="4">
        <f>IF(OR(INDEX($AH$2:$AH$1001,MATCH(ROWS($AG$2:AG349),$AG$2:$AG$1001,0),1)&gt;=100000,INDEX($AN$1005:$BO$1005,1,MATCH(COLUMNS($AN$1006:BA1006),$AN$1006:$BO$1006,0))&gt;=100000), " ",IF(INDEX($AN$2:$BO$1001,MATCH(ROWS($AG$2:AG349),$AG$2:$AG$1001,0),MATCH(COLUMNS($AN$1006:BA1006),$AN$1006:$BO$1006,0)), HYPERLINK("#",""), HYPERLINK(CONCATENATE("#Metadata!", ADDRESS(INDEX($AI$2:$AI$1001,MATCH(ROWS($AG$2:AG349),$AG$2:$AG$1001,0),0), INDEX($AN$1004:$BO$1004,1,MATCH(COLUMNS($AN$1006:BA1006),$AN$1006:$BO$1006,0)))),"Fix")))</f>
        <v>0</v>
      </c>
      <c r="P349" s="4">
        <f>IF(OR(INDEX($AH$2:$AH$1001,MATCH(ROWS($AG$2:AG349),$AG$2:$AG$1001,0),1)&gt;=100000,INDEX($AN$1005:$BO$1005,1,MATCH(COLUMNS($AN$1006:BB1006),$AN$1006:$BO$1006,0))&gt;=100000), " ",IF(INDEX($AN$2:$BO$1001,MATCH(ROWS($AG$2:AG349),$AG$2:$AG$1001,0),MATCH(COLUMNS($AN$1006:BB1006),$AN$1006:$BO$1006,0)), HYPERLINK("#",""), HYPERLINK(CONCATENATE("#Metadata!", ADDRESS(INDEX($AI$2:$AI$1001,MATCH(ROWS($AG$2:AG349),$AG$2:$AG$1001,0),0), INDEX($AN$1004:$BO$1004,1,MATCH(COLUMNS($AN$1006:BB1006),$AN$1006:$BO$1006,0)))),"Fix")))</f>
        <v>0</v>
      </c>
      <c r="Q349" s="4">
        <f>IF(OR(INDEX($AH$2:$AH$1001,MATCH(ROWS($AG$2:AG349),$AG$2:$AG$1001,0),1)&gt;=100000,INDEX($AN$1005:$BO$1005,1,MATCH(COLUMNS($AN$1006:BC1006),$AN$1006:$BO$1006,0))&gt;=100000), " ",IF(INDEX($AN$2:$BO$1001,MATCH(ROWS($AG$2:AG349),$AG$2:$AG$1001,0),MATCH(COLUMNS($AN$1006:BC1006),$AN$1006:$BO$1006,0)), HYPERLINK("#",""), HYPERLINK(CONCATENATE("#Metadata!", ADDRESS(INDEX($AI$2:$AI$1001,MATCH(ROWS($AG$2:AG349),$AG$2:$AG$1001,0),0), INDEX($AN$1004:$BO$1004,1,MATCH(COLUMNS($AN$1006:BC1006),$AN$1006:$BO$1006,0)))),"Fix")))</f>
        <v>0</v>
      </c>
      <c r="R349" s="4">
        <f>IF(OR(INDEX($AH$2:$AH$1001,MATCH(ROWS($AG$2:AG349),$AG$2:$AG$1001,0),1)&gt;=100000,INDEX($AN$1005:$BO$1005,1,MATCH(COLUMNS($AN$1006:BD1006),$AN$1006:$BO$1006,0))&gt;=100000), " ",IF(INDEX($AN$2:$BO$1001,MATCH(ROWS($AG$2:AG349),$AG$2:$AG$1001,0),MATCH(COLUMNS($AN$1006:BD1006),$AN$1006:$BO$1006,0)), HYPERLINK("#",""), HYPERLINK(CONCATENATE("#Metadata!", ADDRESS(INDEX($AI$2:$AI$1001,MATCH(ROWS($AG$2:AG349),$AG$2:$AG$1001,0),0), INDEX($AN$1004:$BO$1004,1,MATCH(COLUMNS($AN$1006:BD1006),$AN$1006:$BO$1006,0)))),"Fix")))</f>
        <v>0</v>
      </c>
      <c r="S349" s="4">
        <f>IF(OR(INDEX($AH$2:$AH$1001,MATCH(ROWS($AG$2:AG349),$AG$2:$AG$1001,0),1)&gt;=100000,INDEX($AN$1005:$BO$1005,1,MATCH(COLUMNS($AN$1006:BE1006),$AN$1006:$BO$1006,0))&gt;=100000), " ",IF(INDEX($AN$2:$BO$1001,MATCH(ROWS($AG$2:AG349),$AG$2:$AG$1001,0),MATCH(COLUMNS($AN$1006:BE1006),$AN$1006:$BO$1006,0)), HYPERLINK("#",""), HYPERLINK(CONCATENATE("#Metadata!", ADDRESS(INDEX($AI$2:$AI$1001,MATCH(ROWS($AG$2:AG349),$AG$2:$AG$1001,0),0), INDEX($AN$1004:$BO$1004,1,MATCH(COLUMNS($AN$1006:BE1006),$AN$1006:$BO$1006,0)))),"Fix")))</f>
        <v>0</v>
      </c>
      <c r="T349" s="4">
        <f>IF(OR(INDEX($AH$2:$AH$1001,MATCH(ROWS($AG$2:AG349),$AG$2:$AG$1001,0),1)&gt;=100000,INDEX($AN$1005:$BO$1005,1,MATCH(COLUMNS($AN$1006:BF1006),$AN$1006:$BO$1006,0))&gt;=100000), " ",IF(INDEX($AN$2:$BO$1001,MATCH(ROWS($AG$2:AG349),$AG$2:$AG$1001,0),MATCH(COLUMNS($AN$1006:BF1006),$AN$1006:$BO$1006,0)), HYPERLINK("#",""), HYPERLINK(CONCATENATE("#Metadata!", ADDRESS(INDEX($AI$2:$AI$1001,MATCH(ROWS($AG$2:AG349),$AG$2:$AG$1001,0),0), INDEX($AN$1004:$BO$1004,1,MATCH(COLUMNS($AN$1006:BF1006),$AN$1006:$BO$1006,0)))),"Fix")))</f>
        <v>0</v>
      </c>
      <c r="U349" s="4">
        <f>IF(OR(INDEX($AH$2:$AH$1001,MATCH(ROWS($AG$2:AG349),$AG$2:$AG$1001,0),1)&gt;=100000,INDEX($AN$1005:$BO$1005,1,MATCH(COLUMNS($AN$1006:BG1006),$AN$1006:$BO$1006,0))&gt;=100000), " ",IF(INDEX($AN$2:$BO$1001,MATCH(ROWS($AG$2:AG349),$AG$2:$AG$1001,0),MATCH(COLUMNS($AN$1006:BG1006),$AN$1006:$BO$1006,0)), HYPERLINK("#",""), HYPERLINK(CONCATENATE("#Metadata!", ADDRESS(INDEX($AI$2:$AI$1001,MATCH(ROWS($AG$2:AG349),$AG$2:$AG$1001,0),0), INDEX($AN$1004:$BO$1004,1,MATCH(COLUMNS($AN$1006:BG1006),$AN$1006:$BO$1006,0)))),"Fix")))</f>
        <v>0</v>
      </c>
      <c r="V349" s="4">
        <f>IF(OR(INDEX($AH$2:$AH$1001,MATCH(ROWS($AG$2:AG349),$AG$2:$AG$1001,0),1)&gt;=100000,INDEX($AN$1005:$BO$1005,1,MATCH(COLUMNS($AN$1006:BH1006),$AN$1006:$BO$1006,0))&gt;=100000), " ",IF(INDEX($AN$2:$BO$1001,MATCH(ROWS($AG$2:AG349),$AG$2:$AG$1001,0),MATCH(COLUMNS($AN$1006:BH1006),$AN$1006:$BO$1006,0)), HYPERLINK("#",""), HYPERLINK(CONCATENATE("#Metadata!", ADDRESS(INDEX($AI$2:$AI$1001,MATCH(ROWS($AG$2:AG349),$AG$2:$AG$1001,0),0), INDEX($AN$1004:$BO$1004,1,MATCH(COLUMNS($AN$1006:BH1006),$AN$1006:$BO$1006,0)))),"Fix")))</f>
        <v>0</v>
      </c>
      <c r="W349" s="4">
        <f>IF(OR(INDEX($AH$2:$AH$1001,MATCH(ROWS($AG$2:AG349),$AG$2:$AG$1001,0),1)&gt;=100000,INDEX($AN$1005:$BO$1005,1,MATCH(COLUMNS($AN$1006:BI1006),$AN$1006:$BO$1006,0))&gt;=100000), " ",IF(INDEX($AN$2:$BO$1001,MATCH(ROWS($AG$2:AG349),$AG$2:$AG$1001,0),MATCH(COLUMNS($AN$1006:BI1006),$AN$1006:$BO$1006,0)), HYPERLINK("#",""), HYPERLINK(CONCATENATE("#Metadata!", ADDRESS(INDEX($AI$2:$AI$1001,MATCH(ROWS($AG$2:AG349),$AG$2:$AG$1001,0),0), INDEX($AN$1004:$BO$1004,1,MATCH(COLUMNS($AN$1006:BI1006),$AN$1006:$BO$1006,0)))),"Fix")))</f>
        <v>0</v>
      </c>
      <c r="X349" s="4">
        <f>IF(OR(INDEX($AH$2:$AH$1001,MATCH(ROWS($AG$2:AG349),$AG$2:$AG$1001,0),1)&gt;=100000,INDEX($AN$1005:$BO$1005,1,MATCH(COLUMNS($AN$1006:BJ1006),$AN$1006:$BO$1006,0))&gt;=100000), " ",IF(INDEX($AN$2:$BO$1001,MATCH(ROWS($AG$2:AG349),$AG$2:$AG$1001,0),MATCH(COLUMNS($AN$1006:BJ1006),$AN$1006:$BO$1006,0)), HYPERLINK("#",""), HYPERLINK(CONCATENATE("#Metadata!", ADDRESS(INDEX($AI$2:$AI$1001,MATCH(ROWS($AG$2:AG349),$AG$2:$AG$1001,0),0), INDEX($AN$1004:$BO$1004,1,MATCH(COLUMNS($AN$1006:BJ1006),$AN$1006:$BO$1006,0)))),"Fix")))</f>
        <v>0</v>
      </c>
      <c r="Y349" s="4">
        <f>IF(OR(INDEX($AH$2:$AH$1001,MATCH(ROWS($AG$2:AG349),$AG$2:$AG$1001,0),1)&gt;=100000,INDEX($AN$1005:$BO$1005,1,MATCH(COLUMNS($AN$1006:BK1006),$AN$1006:$BO$1006,0))&gt;=100000), " ",IF(INDEX($AN$2:$BO$1001,MATCH(ROWS($AG$2:AG349),$AG$2:$AG$1001,0),MATCH(COLUMNS($AN$1006:BK1006),$AN$1006:$BO$1006,0)), HYPERLINK("#",""), HYPERLINK(CONCATENATE("#Metadata!", ADDRESS(INDEX($AI$2:$AI$1001,MATCH(ROWS($AG$2:AG349),$AG$2:$AG$1001,0),0), INDEX($AN$1004:$BO$1004,1,MATCH(COLUMNS($AN$1006:BK1006),$AN$1006:$BO$1006,0)))),"Fix")))</f>
        <v>0</v>
      </c>
      <c r="Z349" s="4">
        <f>IF(OR(INDEX($AH$2:$AH$1001,MATCH(ROWS($AG$2:AG349),$AG$2:$AG$1001,0),1)&gt;=100000,INDEX($AN$1005:$BO$1005,1,MATCH(COLUMNS($AN$1006:BL1006),$AN$1006:$BO$1006,0))&gt;=100000), " ",IF(INDEX($AN$2:$BO$1001,MATCH(ROWS($AG$2:AG349),$AG$2:$AG$1001,0),MATCH(COLUMNS($AN$1006:BL1006),$AN$1006:$BO$1006,0)), HYPERLINK("#",""), HYPERLINK(CONCATENATE("#Metadata!", ADDRESS(INDEX($AI$2:$AI$1001,MATCH(ROWS($AG$2:AG349),$AG$2:$AG$1001,0),0), INDEX($AN$1004:$BO$1004,1,MATCH(COLUMNS($AN$1006:BL1006),$AN$1006:$BO$1006,0)))),"Fix")))</f>
        <v>0</v>
      </c>
      <c r="AA349" s="4">
        <f>IF(OR(INDEX($AH$2:$AH$1001,MATCH(ROWS($AG$2:AG349),$AG$2:$AG$1001,0),1)&gt;=100000,INDEX($AN$1005:$BO$1005,1,MATCH(COLUMNS($AN$1006:BM1006),$AN$1006:$BO$1006,0))&gt;=100000), " ",IF(INDEX($AN$2:$BO$1001,MATCH(ROWS($AG$2:AG349),$AG$2:$AG$1001,0),MATCH(COLUMNS($AN$1006:BM1006),$AN$1006:$BO$1006,0)), HYPERLINK("#",""), HYPERLINK(CONCATENATE("#Metadata!", ADDRESS(INDEX($AI$2:$AI$1001,MATCH(ROWS($AG$2:AG349),$AG$2:$AG$1001,0),0), INDEX($AN$1004:$BO$1004,1,MATCH(COLUMNS($AN$1006:BM1006),$AN$1006:$BO$1006,0)))),"Fix")))</f>
        <v>0</v>
      </c>
      <c r="AB349" s="4">
        <f>IF(OR(INDEX($AH$2:$AH$1001,MATCH(ROWS($AG$2:AG349),$AG$2:$AG$1001,0),1)&gt;=100000,INDEX($AN$1005:$BO$1005,1,MATCH(COLUMNS($AN$1006:BN1006),$AN$1006:$BO$1006,0))&gt;=100000), " ",IF(INDEX($AN$2:$BO$1001,MATCH(ROWS($AG$2:AG349),$AG$2:$AG$1001,0),MATCH(COLUMNS($AN$1006:BN1006),$AN$1006:$BO$1006,0)), HYPERLINK("#",""), HYPERLINK(CONCATENATE("#Metadata!", ADDRESS(INDEX($AI$2:$AI$1001,MATCH(ROWS($AG$2:AG349),$AG$2:$AG$1001,0),0), INDEX($AN$1004:$BO$1004,1,MATCH(COLUMNS($AN$1006:BN1006),$AN$1006:$BO$1006,0)))),"Fix")))</f>
        <v>0</v>
      </c>
      <c r="AC349" s="4">
        <f>IF(OR(INDEX($AH$2:$AH$1001,MATCH(ROWS($AG$2:AG349),$AG$2:$AG$1001,0),1)&gt;=100000,INDEX($AN$1005:$BO$1005,1,MATCH(COLUMNS($AN$1006:BO1006),$AN$1006:$BO$1006,0))&gt;=100000), " ",IF(INDEX($AN$2:$BO$1001,MATCH(ROWS($AG$2:AG349),$AG$2:$AG$1001,0),MATCH(COLUMNS($AN$1006:BO1006),$AN$1006:$BO$1006,0)), HYPERLINK("#",""), HYPERLINK(CONCATENATE("#Metadata!", ADDRESS(INDEX($AI$2:$AI$1001,MATCH(ROWS($AG$2:AG349),$AG$2:$AG$1001,0),0), INDEX($AN$1004:$BO$1004,1,MATCH(COLUMNS($AN$1006:BO1006),$AN$1006:$BO$1006,0)))),"Fix")))</f>
        <v>0</v>
      </c>
      <c r="AG349">
        <v>0</v>
      </c>
      <c r="AH349">
        <v>0</v>
      </c>
      <c r="AI349">
        <v>0</v>
      </c>
      <c r="AJ349">
        <f>IF(AK349,TRUE,AND(AN349:BO349))</f>
        <v>0</v>
      </c>
      <c r="AK349">
        <f>COUNTBLANK(Metadata!B349:AC349)=COLUMNS(Metadata!B349:AC349)</f>
        <v>0</v>
      </c>
      <c r="AL349">
        <v>0</v>
      </c>
      <c r="AN349">
        <f>AND(IF(Metadata!B349="",FALSE,TRUE),COUNTIF(Metadata!B:B, Metadata!B349) = 1,NOT(ISERROR(SUMPRODUCT(SEARCH(MID(Metadata!B349,ROW(INDIRECT("1:"&amp;LEN(Metadata!B349))), 1),"0123456789abcdefghijklmnopqrstuvwxyzABCDEFGHIJKLMNOPQRSTUVWXYZ.")))))</f>
        <v>0</v>
      </c>
      <c r="AO349">
        <f>IF(Metadata!C349="",FALSE,TRUE)</f>
        <v>0</v>
      </c>
      <c r="AP349">
        <f>IF(Metadata!D349="",FALSE,TRUE)</f>
        <v>0</v>
      </c>
      <c r="AQ349">
        <f>OR(AND(IF(Metadata!E349="",FALSE,TRUE),OR(exact(Metadata!E349,"not collected"),exact(Metadata!E349,"not provided"),exact(Metadata!E349,"restricted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R349">
        <f>IF(Metadata!F349="",FALSE,TRUE)</f>
        <v>0</v>
      </c>
      <c r="AS349">
        <f>OR(AND(IF(Metadata!G349="",FALSE,TRUE),OR(exact(Metadata!G349,"not collected"),exact(Metadata!G349,"not provided"))),AND(IF(Metadata!G349="",FALSE,TRUE),OR(exact(Metadata!G349,"TRUE"),exact(Metadata!G349,"FALSE"))))</f>
        <v>0</v>
      </c>
      <c r="AT349">
        <f>OR(AND(IF(Metadata!H349="",FALSE,TRUE),OR(exact(Metadata!H349,"not collected"),exact(Metadata!H349,"not provided"),exact(Metadata!H349,"restricted access"))),AND(IF(Metadata!H349="",FALSE,ISNUMBER(VALUE(Metadata!H349))),Metadata!H349&gt;=-413.0))</f>
        <v>0</v>
      </c>
      <c r="AU349">
        <f>AND(IF(Metadata!I349="",FALSE,TRUE),exact(Metadata!I349,"meters"))</f>
        <v>0</v>
      </c>
      <c r="AV349">
        <f>AND(IF(Metadata!J349="",FALSE,TRUE),OR(exact(Metadata!J349,"Host-associated"),exact(Metadata!J349,"Free-living")))</f>
        <v>0</v>
      </c>
      <c r="AW349">
        <f>AND(IF(Metadata!K349="",FALSE,TRUE),OR(exact(Metadata!K349,"Animal"),exact(Metadata!K349,"Fungus"),exact(Metadata!K349,"Plant"),exact(Metadata!K349,"Saline"),exact(Metadata!K349,"Non-saline")))</f>
        <v>0</v>
      </c>
      <c r="AX349">
        <f>AND(IF(Metadata!L349="",FALSE,TRUE),OR(exact(Metadata!L349,"Plant secretion"),exact(Metadata!L349,"Plant rhizosphere"),exact(Metadata!L349,"Plant surface"),exact(Metadata!L349,"Plant corpus"),exact(Metadata!L349,"Fungus surface"),exact(Metadata!L349,"Fungus corpus"),exact(Metadata!L349,"Animal surface"),exact(Metadata!L349,"Animal proximal gut"),exact(Metadata!L349,"Animal corpus"),exact(Metadata!L349,"Animal distal gut"),exact(Metadata!L349,"Animal secretion"),exact(Metadata!L349,"Sub-surface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Y349">
        <f>IF(Metadata!M349="",FALSE,TRUE)</f>
        <v>0</v>
      </c>
      <c r="AZ349">
        <f>IF(Metadata!N349="",FALSE,TRUE)</f>
        <v>0</v>
      </c>
      <c r="BA349">
        <f>IF(Metadata!O349="",FALSE,TRUE)</f>
        <v>0</v>
      </c>
      <c r="BB349">
        <f>OR(AND(IF(Metadata!P349="",FALSE,TRUE),OR(exact(Metadata!P349,"not collected"),exact(Metadata!P349,"not provided"),exact(Metadata!P349,"restricted access"))),AND(IF(Metadata!P349="",FALSE,TRUE),OR(exact(Metadata!P349,"air"),exact(Metadata!P349,"built environment"),exact(Metadata!P349,"host-associated"),exact(Metadata!P349,"human-associated"),exact(Metadata!P349,"human-skin"),exact(Metadata!P349,"human-oral"),exact(Metadata!P349,"human-gut"),exact(Metadata!P349,"human-vaginal"),exact(Metadata!P349,"microbial mat/biofilm"),exact(Metadata!P349,"misc environment"),exact(Metadata!P349,"plant-associated"),exact(Metadata!P349,"sediment"),exact(Metadata!P349,"soil"),exact(Metadata!P349,"wastewater/sludge"),exact(Metadata!P349,"water"))))</f>
        <v>0</v>
      </c>
      <c r="BC349">
        <f>IF(Metadata!Q349="",FALSE,TRUE)</f>
        <v>0</v>
      </c>
      <c r="BD349">
        <f>IF(Metadata!R349="",FALSE,TRUE)</f>
        <v>0</v>
      </c>
      <c r="BE349">
        <f>OR(AND(IF(Metadata!S349="",FALSE,TRUE),OR(exact(Metadata!S349,"not collected"),exact(Metadata!S349,"not provided"),exact(Metadata!S349,"restricted access"))),AND(IF(Metadata!S349="",FALSE,ISNUMBER(VALUE(Metadata!S349))),Metadata!S349&gt;=-90.00,Metadata!S349&lt;=90.00))</f>
        <v>0</v>
      </c>
      <c r="BF349">
        <f>AND(IF(Metadata!T349="",FALSE,TRUE),exact(Metadata!T349,"Decimal degrees"))</f>
        <v>0</v>
      </c>
      <c r="BG349">
        <f>OR(AND(IF(Metadata!U349="",FALSE,TRUE),OR(exact(Metadata!U349,"not collected"),exact(Metadata!U349,"not provided"),exact(Metadata!U349,"restricted access"))),AND(IF(Metadata!U349="",FALSE,ISNUMBER(VALUE(Metadata!U349))),Metadata!U349&gt;=-180.00,Metadata!U349&lt;=180.00))</f>
        <v>0</v>
      </c>
      <c r="BH349">
        <f>AND(IF(Metadata!V349="",FALSE,TRUE),exact(Metadata!V349,"Decimal degrees"))</f>
        <v>0</v>
      </c>
      <c r="BI349">
        <f>IF(Metadata!W349="",FALSE,TRUE)</f>
        <v>0</v>
      </c>
      <c r="BJ349">
        <f>OR(AND(IF(Metadata!X349="",FALSE,TRUE),OR(exact(Metadata!X349,"not collected"),exact(Metadata!X349,"not provided"),exact(Metadata!X349,"restricted access"))),AND(IF(Metadata!X349="",FALSE,TRUE),OR(exact(Metadata!X349,"TRUE"),exact(Metadata!X349,"FALSE"))))</f>
        <v>0</v>
      </c>
      <c r="BK349">
        <f>AND(IF(Metadata!Y349="",FALSE,TRUE),exact(Metadata!Y349,"other"))</f>
        <v>0</v>
      </c>
      <c r="BL349">
        <f>IF(Metadata!Z349="",FALSE,TRUE)</f>
        <v>0</v>
      </c>
      <c r="BM349">
        <f>OR(AND(IF(Metadata!AA349="",FALSE,TRUE),OR(exact(Metadata!AA349,"not collected"),exact(Metadata!AA349,"not provided"))),AND(IF(Metadata!AA349="",FALSE,IF(ISERROR(INT(Metadata!AA349)),FALSE,INT(Metadata!AA349)=Metadata!AA349)),Metadata!AA349&gt;0))</f>
        <v>0</v>
      </c>
      <c r="BN349">
        <f>AND(IF(Metadata!AB349="",FALSE,TRUE),exact(Metadata!AB349,"Not applicable"))</f>
        <v>0</v>
      </c>
      <c r="BO349">
        <f>IF(Metadata!AC349="",FALSE,TRUE)</f>
        <v>0</v>
      </c>
    </row>
    <row r="350" spans="1:67">
      <c r="A350" s="5">
        <f>IF(B350=" "," ",HYPERLINK(CONCATENATE("#metadata!",ADDRESS(INDEX($AI$2:$AI$1001,MATCH(ROWS($AG$2:AG350),$AG$2:$AG$1001,0),0),1)),INDEX($AL$2:$AL$1001,MATCH(ROWS($AG$2:AG350),$AG$2:$AG$1001,0),0)))</f>
        <v>0</v>
      </c>
      <c r="B350" s="4">
        <f>IF(OR(INDEX($AH$2:$AH$1001,MATCH(ROWS($AG$2:AG350),$AG$2:$AG$1001,0),1)&gt;=100000,INDEX($AN$1005:$BO$1005,1,MATCH(COLUMNS($AN$1006:AN1006),$AN$1006:$BO$1006,0))&gt;=100000), " ",IF(INDEX($AN$2:$BO$1001,MATCH(ROWS($AG$2:AG350),$AG$2:$AG$1001,0),MATCH(COLUMNS($AN$1006:AN1006),$AN$1006:$BO$1006,0)), HYPERLINK("#",""), HYPERLINK(CONCATENATE("#Metadata!", ADDRESS(INDEX($AI$2:$AI$1001,MATCH(ROWS($AG$2:AG350),$AG$2:$AG$1001,0),0), INDEX($AN$1004:$BO$1004,1,MATCH(COLUMNS($AN$1006:AN1006),$AN$1006:$BO$1006,0)))),"Fix")))</f>
        <v>0</v>
      </c>
      <c r="C350" s="4">
        <f>IF(OR(INDEX($AH$2:$AH$1001,MATCH(ROWS($AG$2:AG350),$AG$2:$AG$1001,0),1)&gt;=100000,INDEX($AN$1005:$BO$1005,1,MATCH(COLUMNS($AN$1006:AO1006),$AN$1006:$BO$1006,0))&gt;=100000), " ",IF(INDEX($AN$2:$BO$1001,MATCH(ROWS($AG$2:AG350),$AG$2:$AG$1001,0),MATCH(COLUMNS($AN$1006:AO1006),$AN$1006:$BO$1006,0)), HYPERLINK("#",""), HYPERLINK(CONCATENATE("#Metadata!", ADDRESS(INDEX($AI$2:$AI$1001,MATCH(ROWS($AG$2:AG350),$AG$2:$AG$1001,0),0), INDEX($AN$1004:$BO$1004,1,MATCH(COLUMNS($AN$1006:AO1006),$AN$1006:$BO$1006,0)))),"Fix")))</f>
        <v>0</v>
      </c>
      <c r="D350" s="4">
        <f>IF(OR(INDEX($AH$2:$AH$1001,MATCH(ROWS($AG$2:AG350),$AG$2:$AG$1001,0),1)&gt;=100000,INDEX($AN$1005:$BO$1005,1,MATCH(COLUMNS($AN$1006:AP1006),$AN$1006:$BO$1006,0))&gt;=100000), " ",IF(INDEX($AN$2:$BO$1001,MATCH(ROWS($AG$2:AG350),$AG$2:$AG$1001,0),MATCH(COLUMNS($AN$1006:AP1006),$AN$1006:$BO$1006,0)), HYPERLINK("#",""), HYPERLINK(CONCATENATE("#Metadata!", ADDRESS(INDEX($AI$2:$AI$1001,MATCH(ROWS($AG$2:AG350),$AG$2:$AG$1001,0),0), INDEX($AN$1004:$BO$1004,1,MATCH(COLUMNS($AN$1006:AP1006),$AN$1006:$BO$1006,0)))),"Fix")))</f>
        <v>0</v>
      </c>
      <c r="E350" s="4">
        <f>IF(OR(INDEX($AH$2:$AH$1001,MATCH(ROWS($AG$2:AG350),$AG$2:$AG$1001,0),1)&gt;=100000,INDEX($AN$1005:$BO$1005,1,MATCH(COLUMNS($AN$1006:AQ1006),$AN$1006:$BO$1006,0))&gt;=100000), " ",IF(INDEX($AN$2:$BO$1001,MATCH(ROWS($AG$2:AG350),$AG$2:$AG$1001,0),MATCH(COLUMNS($AN$1006:AQ1006),$AN$1006:$BO$1006,0)), HYPERLINK("#",""), HYPERLINK(CONCATENATE("#Metadata!", ADDRESS(INDEX($AI$2:$AI$1001,MATCH(ROWS($AG$2:AG350),$AG$2:$AG$1001,0),0), INDEX($AN$1004:$BO$1004,1,MATCH(COLUMNS($AN$1006:AQ1006),$AN$1006:$BO$1006,0)))),"Fix")))</f>
        <v>0</v>
      </c>
      <c r="F350" s="4">
        <f>IF(OR(INDEX($AH$2:$AH$1001,MATCH(ROWS($AG$2:AG350),$AG$2:$AG$1001,0),1)&gt;=100000,INDEX($AN$1005:$BO$1005,1,MATCH(COLUMNS($AN$1006:AR1006),$AN$1006:$BO$1006,0))&gt;=100000), " ",IF(INDEX($AN$2:$BO$1001,MATCH(ROWS($AG$2:AG350),$AG$2:$AG$1001,0),MATCH(COLUMNS($AN$1006:AR1006),$AN$1006:$BO$1006,0)), HYPERLINK("#",""), HYPERLINK(CONCATENATE("#Metadata!", ADDRESS(INDEX($AI$2:$AI$1001,MATCH(ROWS($AG$2:AG350),$AG$2:$AG$1001,0),0), INDEX($AN$1004:$BO$1004,1,MATCH(COLUMNS($AN$1006:AR1006),$AN$1006:$BO$1006,0)))),"Fix")))</f>
        <v>0</v>
      </c>
      <c r="G350" s="4">
        <f>IF(OR(INDEX($AH$2:$AH$1001,MATCH(ROWS($AG$2:AG350),$AG$2:$AG$1001,0),1)&gt;=100000,INDEX($AN$1005:$BO$1005,1,MATCH(COLUMNS($AN$1006:AS1006),$AN$1006:$BO$1006,0))&gt;=100000), " ",IF(INDEX($AN$2:$BO$1001,MATCH(ROWS($AG$2:AG350),$AG$2:$AG$1001,0),MATCH(COLUMNS($AN$1006:AS1006),$AN$1006:$BO$1006,0)), HYPERLINK("#",""), HYPERLINK(CONCATENATE("#Metadata!", ADDRESS(INDEX($AI$2:$AI$1001,MATCH(ROWS($AG$2:AG350),$AG$2:$AG$1001,0),0), INDEX($AN$1004:$BO$1004,1,MATCH(COLUMNS($AN$1006:AS1006),$AN$1006:$BO$1006,0)))),"Fix")))</f>
        <v>0</v>
      </c>
      <c r="H350" s="4">
        <f>IF(OR(INDEX($AH$2:$AH$1001,MATCH(ROWS($AG$2:AG350),$AG$2:$AG$1001,0),1)&gt;=100000,INDEX($AN$1005:$BO$1005,1,MATCH(COLUMNS($AN$1006:AT1006),$AN$1006:$BO$1006,0))&gt;=100000), " ",IF(INDEX($AN$2:$BO$1001,MATCH(ROWS($AG$2:AG350),$AG$2:$AG$1001,0),MATCH(COLUMNS($AN$1006:AT1006),$AN$1006:$BO$1006,0)), HYPERLINK("#",""), HYPERLINK(CONCATENATE("#Metadata!", ADDRESS(INDEX($AI$2:$AI$1001,MATCH(ROWS($AG$2:AG350),$AG$2:$AG$1001,0),0), INDEX($AN$1004:$BO$1004,1,MATCH(COLUMNS($AN$1006:AT1006),$AN$1006:$BO$1006,0)))),"Fix")))</f>
        <v>0</v>
      </c>
      <c r="I350" s="4">
        <f>IF(OR(INDEX($AH$2:$AH$1001,MATCH(ROWS($AG$2:AG350),$AG$2:$AG$1001,0),1)&gt;=100000,INDEX($AN$1005:$BO$1005,1,MATCH(COLUMNS($AN$1006:AU1006),$AN$1006:$BO$1006,0))&gt;=100000), " ",IF(INDEX($AN$2:$BO$1001,MATCH(ROWS($AG$2:AG350),$AG$2:$AG$1001,0),MATCH(COLUMNS($AN$1006:AU1006),$AN$1006:$BO$1006,0)), HYPERLINK("#",""), HYPERLINK(CONCATENATE("#Metadata!", ADDRESS(INDEX($AI$2:$AI$1001,MATCH(ROWS($AG$2:AG350),$AG$2:$AG$1001,0),0), INDEX($AN$1004:$BO$1004,1,MATCH(COLUMNS($AN$1006:AU1006),$AN$1006:$BO$1006,0)))),"Fix")))</f>
        <v>0</v>
      </c>
      <c r="J350" s="4">
        <f>IF(OR(INDEX($AH$2:$AH$1001,MATCH(ROWS($AG$2:AG350),$AG$2:$AG$1001,0),1)&gt;=100000,INDEX($AN$1005:$BO$1005,1,MATCH(COLUMNS($AN$1006:AV1006),$AN$1006:$BO$1006,0))&gt;=100000), " ",IF(INDEX($AN$2:$BO$1001,MATCH(ROWS($AG$2:AG350),$AG$2:$AG$1001,0),MATCH(COLUMNS($AN$1006:AV1006),$AN$1006:$BO$1006,0)), HYPERLINK("#",""), HYPERLINK(CONCATENATE("#Metadata!", ADDRESS(INDEX($AI$2:$AI$1001,MATCH(ROWS($AG$2:AG350),$AG$2:$AG$1001,0),0), INDEX($AN$1004:$BO$1004,1,MATCH(COLUMNS($AN$1006:AV1006),$AN$1006:$BO$1006,0)))),"Fix")))</f>
        <v>0</v>
      </c>
      <c r="K350" s="4">
        <f>IF(OR(INDEX($AH$2:$AH$1001,MATCH(ROWS($AG$2:AG350),$AG$2:$AG$1001,0),1)&gt;=100000,INDEX($AN$1005:$BO$1005,1,MATCH(COLUMNS($AN$1006:AW1006),$AN$1006:$BO$1006,0))&gt;=100000), " ",IF(INDEX($AN$2:$BO$1001,MATCH(ROWS($AG$2:AG350),$AG$2:$AG$1001,0),MATCH(COLUMNS($AN$1006:AW1006),$AN$1006:$BO$1006,0)), HYPERLINK("#",""), HYPERLINK(CONCATENATE("#Metadata!", ADDRESS(INDEX($AI$2:$AI$1001,MATCH(ROWS($AG$2:AG350),$AG$2:$AG$1001,0),0), INDEX($AN$1004:$BO$1004,1,MATCH(COLUMNS($AN$1006:AW1006),$AN$1006:$BO$1006,0)))),"Fix")))</f>
        <v>0</v>
      </c>
      <c r="L350" s="4">
        <f>IF(OR(INDEX($AH$2:$AH$1001,MATCH(ROWS($AG$2:AG350),$AG$2:$AG$1001,0),1)&gt;=100000,INDEX($AN$1005:$BO$1005,1,MATCH(COLUMNS($AN$1006:AX1006),$AN$1006:$BO$1006,0))&gt;=100000), " ",IF(INDEX($AN$2:$BO$1001,MATCH(ROWS($AG$2:AG350),$AG$2:$AG$1001,0),MATCH(COLUMNS($AN$1006:AX1006),$AN$1006:$BO$1006,0)), HYPERLINK("#",""), HYPERLINK(CONCATENATE("#Metadata!", ADDRESS(INDEX($AI$2:$AI$1001,MATCH(ROWS($AG$2:AG350),$AG$2:$AG$1001,0),0), INDEX($AN$1004:$BO$1004,1,MATCH(COLUMNS($AN$1006:AX1006),$AN$1006:$BO$1006,0)))),"Fix")))</f>
        <v>0</v>
      </c>
      <c r="M350" s="4">
        <f>IF(OR(INDEX($AH$2:$AH$1001,MATCH(ROWS($AG$2:AG350),$AG$2:$AG$1001,0),1)&gt;=100000,INDEX($AN$1005:$BO$1005,1,MATCH(COLUMNS($AN$1006:AY1006),$AN$1006:$BO$1006,0))&gt;=100000), " ",IF(INDEX($AN$2:$BO$1001,MATCH(ROWS($AG$2:AG350),$AG$2:$AG$1001,0),MATCH(COLUMNS($AN$1006:AY1006),$AN$1006:$BO$1006,0)), HYPERLINK("#",""), HYPERLINK(CONCATENATE("#Metadata!", ADDRESS(INDEX($AI$2:$AI$1001,MATCH(ROWS($AG$2:AG350),$AG$2:$AG$1001,0),0), INDEX($AN$1004:$BO$1004,1,MATCH(COLUMNS($AN$1006:AY1006),$AN$1006:$BO$1006,0)))),"Fix")))</f>
        <v>0</v>
      </c>
      <c r="N350" s="4">
        <f>IF(OR(INDEX($AH$2:$AH$1001,MATCH(ROWS($AG$2:AG350),$AG$2:$AG$1001,0),1)&gt;=100000,INDEX($AN$1005:$BO$1005,1,MATCH(COLUMNS($AN$1006:AZ1006),$AN$1006:$BO$1006,0))&gt;=100000), " ",IF(INDEX($AN$2:$BO$1001,MATCH(ROWS($AG$2:AG350),$AG$2:$AG$1001,0),MATCH(COLUMNS($AN$1006:AZ1006),$AN$1006:$BO$1006,0)), HYPERLINK("#",""), HYPERLINK(CONCATENATE("#Metadata!", ADDRESS(INDEX($AI$2:$AI$1001,MATCH(ROWS($AG$2:AG350),$AG$2:$AG$1001,0),0), INDEX($AN$1004:$BO$1004,1,MATCH(COLUMNS($AN$1006:AZ1006),$AN$1006:$BO$1006,0)))),"Fix")))</f>
        <v>0</v>
      </c>
      <c r="O350" s="4">
        <f>IF(OR(INDEX($AH$2:$AH$1001,MATCH(ROWS($AG$2:AG350),$AG$2:$AG$1001,0),1)&gt;=100000,INDEX($AN$1005:$BO$1005,1,MATCH(COLUMNS($AN$1006:BA1006),$AN$1006:$BO$1006,0))&gt;=100000), " ",IF(INDEX($AN$2:$BO$1001,MATCH(ROWS($AG$2:AG350),$AG$2:$AG$1001,0),MATCH(COLUMNS($AN$1006:BA1006),$AN$1006:$BO$1006,0)), HYPERLINK("#",""), HYPERLINK(CONCATENATE("#Metadata!", ADDRESS(INDEX($AI$2:$AI$1001,MATCH(ROWS($AG$2:AG350),$AG$2:$AG$1001,0),0), INDEX($AN$1004:$BO$1004,1,MATCH(COLUMNS($AN$1006:BA1006),$AN$1006:$BO$1006,0)))),"Fix")))</f>
        <v>0</v>
      </c>
      <c r="P350" s="4">
        <f>IF(OR(INDEX($AH$2:$AH$1001,MATCH(ROWS($AG$2:AG350),$AG$2:$AG$1001,0),1)&gt;=100000,INDEX($AN$1005:$BO$1005,1,MATCH(COLUMNS($AN$1006:BB1006),$AN$1006:$BO$1006,0))&gt;=100000), " ",IF(INDEX($AN$2:$BO$1001,MATCH(ROWS($AG$2:AG350),$AG$2:$AG$1001,0),MATCH(COLUMNS($AN$1006:BB1006),$AN$1006:$BO$1006,0)), HYPERLINK("#",""), HYPERLINK(CONCATENATE("#Metadata!", ADDRESS(INDEX($AI$2:$AI$1001,MATCH(ROWS($AG$2:AG350),$AG$2:$AG$1001,0),0), INDEX($AN$1004:$BO$1004,1,MATCH(COLUMNS($AN$1006:BB1006),$AN$1006:$BO$1006,0)))),"Fix")))</f>
        <v>0</v>
      </c>
      <c r="Q350" s="4">
        <f>IF(OR(INDEX($AH$2:$AH$1001,MATCH(ROWS($AG$2:AG350),$AG$2:$AG$1001,0),1)&gt;=100000,INDEX($AN$1005:$BO$1005,1,MATCH(COLUMNS($AN$1006:BC1006),$AN$1006:$BO$1006,0))&gt;=100000), " ",IF(INDEX($AN$2:$BO$1001,MATCH(ROWS($AG$2:AG350),$AG$2:$AG$1001,0),MATCH(COLUMNS($AN$1006:BC1006),$AN$1006:$BO$1006,0)), HYPERLINK("#",""), HYPERLINK(CONCATENATE("#Metadata!", ADDRESS(INDEX($AI$2:$AI$1001,MATCH(ROWS($AG$2:AG350),$AG$2:$AG$1001,0),0), INDEX($AN$1004:$BO$1004,1,MATCH(COLUMNS($AN$1006:BC1006),$AN$1006:$BO$1006,0)))),"Fix")))</f>
        <v>0</v>
      </c>
      <c r="R350" s="4">
        <f>IF(OR(INDEX($AH$2:$AH$1001,MATCH(ROWS($AG$2:AG350),$AG$2:$AG$1001,0),1)&gt;=100000,INDEX($AN$1005:$BO$1005,1,MATCH(COLUMNS($AN$1006:BD1006),$AN$1006:$BO$1006,0))&gt;=100000), " ",IF(INDEX($AN$2:$BO$1001,MATCH(ROWS($AG$2:AG350),$AG$2:$AG$1001,0),MATCH(COLUMNS($AN$1006:BD1006),$AN$1006:$BO$1006,0)), HYPERLINK("#",""), HYPERLINK(CONCATENATE("#Metadata!", ADDRESS(INDEX($AI$2:$AI$1001,MATCH(ROWS($AG$2:AG350),$AG$2:$AG$1001,0),0), INDEX($AN$1004:$BO$1004,1,MATCH(COLUMNS($AN$1006:BD1006),$AN$1006:$BO$1006,0)))),"Fix")))</f>
        <v>0</v>
      </c>
      <c r="S350" s="4">
        <f>IF(OR(INDEX($AH$2:$AH$1001,MATCH(ROWS($AG$2:AG350),$AG$2:$AG$1001,0),1)&gt;=100000,INDEX($AN$1005:$BO$1005,1,MATCH(COLUMNS($AN$1006:BE1006),$AN$1006:$BO$1006,0))&gt;=100000), " ",IF(INDEX($AN$2:$BO$1001,MATCH(ROWS($AG$2:AG350),$AG$2:$AG$1001,0),MATCH(COLUMNS($AN$1006:BE1006),$AN$1006:$BO$1006,0)), HYPERLINK("#",""), HYPERLINK(CONCATENATE("#Metadata!", ADDRESS(INDEX($AI$2:$AI$1001,MATCH(ROWS($AG$2:AG350),$AG$2:$AG$1001,0),0), INDEX($AN$1004:$BO$1004,1,MATCH(COLUMNS($AN$1006:BE1006),$AN$1006:$BO$1006,0)))),"Fix")))</f>
        <v>0</v>
      </c>
      <c r="T350" s="4">
        <f>IF(OR(INDEX($AH$2:$AH$1001,MATCH(ROWS($AG$2:AG350),$AG$2:$AG$1001,0),1)&gt;=100000,INDEX($AN$1005:$BO$1005,1,MATCH(COLUMNS($AN$1006:BF1006),$AN$1006:$BO$1006,0))&gt;=100000), " ",IF(INDEX($AN$2:$BO$1001,MATCH(ROWS($AG$2:AG350),$AG$2:$AG$1001,0),MATCH(COLUMNS($AN$1006:BF1006),$AN$1006:$BO$1006,0)), HYPERLINK("#",""), HYPERLINK(CONCATENATE("#Metadata!", ADDRESS(INDEX($AI$2:$AI$1001,MATCH(ROWS($AG$2:AG350),$AG$2:$AG$1001,0),0), INDEX($AN$1004:$BO$1004,1,MATCH(COLUMNS($AN$1006:BF1006),$AN$1006:$BO$1006,0)))),"Fix")))</f>
        <v>0</v>
      </c>
      <c r="U350" s="4">
        <f>IF(OR(INDEX($AH$2:$AH$1001,MATCH(ROWS($AG$2:AG350),$AG$2:$AG$1001,0),1)&gt;=100000,INDEX($AN$1005:$BO$1005,1,MATCH(COLUMNS($AN$1006:BG1006),$AN$1006:$BO$1006,0))&gt;=100000), " ",IF(INDEX($AN$2:$BO$1001,MATCH(ROWS($AG$2:AG350),$AG$2:$AG$1001,0),MATCH(COLUMNS($AN$1006:BG1006),$AN$1006:$BO$1006,0)), HYPERLINK("#",""), HYPERLINK(CONCATENATE("#Metadata!", ADDRESS(INDEX($AI$2:$AI$1001,MATCH(ROWS($AG$2:AG350),$AG$2:$AG$1001,0),0), INDEX($AN$1004:$BO$1004,1,MATCH(COLUMNS($AN$1006:BG1006),$AN$1006:$BO$1006,0)))),"Fix")))</f>
        <v>0</v>
      </c>
      <c r="V350" s="4">
        <f>IF(OR(INDEX($AH$2:$AH$1001,MATCH(ROWS($AG$2:AG350),$AG$2:$AG$1001,0),1)&gt;=100000,INDEX($AN$1005:$BO$1005,1,MATCH(COLUMNS($AN$1006:BH1006),$AN$1006:$BO$1006,0))&gt;=100000), " ",IF(INDEX($AN$2:$BO$1001,MATCH(ROWS($AG$2:AG350),$AG$2:$AG$1001,0),MATCH(COLUMNS($AN$1006:BH1006),$AN$1006:$BO$1006,0)), HYPERLINK("#",""), HYPERLINK(CONCATENATE("#Metadata!", ADDRESS(INDEX($AI$2:$AI$1001,MATCH(ROWS($AG$2:AG350),$AG$2:$AG$1001,0),0), INDEX($AN$1004:$BO$1004,1,MATCH(COLUMNS($AN$1006:BH1006),$AN$1006:$BO$1006,0)))),"Fix")))</f>
        <v>0</v>
      </c>
      <c r="W350" s="4">
        <f>IF(OR(INDEX($AH$2:$AH$1001,MATCH(ROWS($AG$2:AG350),$AG$2:$AG$1001,0),1)&gt;=100000,INDEX($AN$1005:$BO$1005,1,MATCH(COLUMNS($AN$1006:BI1006),$AN$1006:$BO$1006,0))&gt;=100000), " ",IF(INDEX($AN$2:$BO$1001,MATCH(ROWS($AG$2:AG350),$AG$2:$AG$1001,0),MATCH(COLUMNS($AN$1006:BI1006),$AN$1006:$BO$1006,0)), HYPERLINK("#",""), HYPERLINK(CONCATENATE("#Metadata!", ADDRESS(INDEX($AI$2:$AI$1001,MATCH(ROWS($AG$2:AG350),$AG$2:$AG$1001,0),0), INDEX($AN$1004:$BO$1004,1,MATCH(COLUMNS($AN$1006:BI1006),$AN$1006:$BO$1006,0)))),"Fix")))</f>
        <v>0</v>
      </c>
      <c r="X350" s="4">
        <f>IF(OR(INDEX($AH$2:$AH$1001,MATCH(ROWS($AG$2:AG350),$AG$2:$AG$1001,0),1)&gt;=100000,INDEX($AN$1005:$BO$1005,1,MATCH(COLUMNS($AN$1006:BJ1006),$AN$1006:$BO$1006,0))&gt;=100000), " ",IF(INDEX($AN$2:$BO$1001,MATCH(ROWS($AG$2:AG350),$AG$2:$AG$1001,0),MATCH(COLUMNS($AN$1006:BJ1006),$AN$1006:$BO$1006,0)), HYPERLINK("#",""), HYPERLINK(CONCATENATE("#Metadata!", ADDRESS(INDEX($AI$2:$AI$1001,MATCH(ROWS($AG$2:AG350),$AG$2:$AG$1001,0),0), INDEX($AN$1004:$BO$1004,1,MATCH(COLUMNS($AN$1006:BJ1006),$AN$1006:$BO$1006,0)))),"Fix")))</f>
        <v>0</v>
      </c>
      <c r="Y350" s="4">
        <f>IF(OR(INDEX($AH$2:$AH$1001,MATCH(ROWS($AG$2:AG350),$AG$2:$AG$1001,0),1)&gt;=100000,INDEX($AN$1005:$BO$1005,1,MATCH(COLUMNS($AN$1006:BK1006),$AN$1006:$BO$1006,0))&gt;=100000), " ",IF(INDEX($AN$2:$BO$1001,MATCH(ROWS($AG$2:AG350),$AG$2:$AG$1001,0),MATCH(COLUMNS($AN$1006:BK1006),$AN$1006:$BO$1006,0)), HYPERLINK("#",""), HYPERLINK(CONCATENATE("#Metadata!", ADDRESS(INDEX($AI$2:$AI$1001,MATCH(ROWS($AG$2:AG350),$AG$2:$AG$1001,0),0), INDEX($AN$1004:$BO$1004,1,MATCH(COLUMNS($AN$1006:BK1006),$AN$1006:$BO$1006,0)))),"Fix")))</f>
        <v>0</v>
      </c>
      <c r="Z350" s="4">
        <f>IF(OR(INDEX($AH$2:$AH$1001,MATCH(ROWS($AG$2:AG350),$AG$2:$AG$1001,0),1)&gt;=100000,INDEX($AN$1005:$BO$1005,1,MATCH(COLUMNS($AN$1006:BL1006),$AN$1006:$BO$1006,0))&gt;=100000), " ",IF(INDEX($AN$2:$BO$1001,MATCH(ROWS($AG$2:AG350),$AG$2:$AG$1001,0),MATCH(COLUMNS($AN$1006:BL1006),$AN$1006:$BO$1006,0)), HYPERLINK("#",""), HYPERLINK(CONCATENATE("#Metadata!", ADDRESS(INDEX($AI$2:$AI$1001,MATCH(ROWS($AG$2:AG350),$AG$2:$AG$1001,0),0), INDEX($AN$1004:$BO$1004,1,MATCH(COLUMNS($AN$1006:BL1006),$AN$1006:$BO$1006,0)))),"Fix")))</f>
        <v>0</v>
      </c>
      <c r="AA350" s="4">
        <f>IF(OR(INDEX($AH$2:$AH$1001,MATCH(ROWS($AG$2:AG350),$AG$2:$AG$1001,0),1)&gt;=100000,INDEX($AN$1005:$BO$1005,1,MATCH(COLUMNS($AN$1006:BM1006),$AN$1006:$BO$1006,0))&gt;=100000), " ",IF(INDEX($AN$2:$BO$1001,MATCH(ROWS($AG$2:AG350),$AG$2:$AG$1001,0),MATCH(COLUMNS($AN$1006:BM1006),$AN$1006:$BO$1006,0)), HYPERLINK("#",""), HYPERLINK(CONCATENATE("#Metadata!", ADDRESS(INDEX($AI$2:$AI$1001,MATCH(ROWS($AG$2:AG350),$AG$2:$AG$1001,0),0), INDEX($AN$1004:$BO$1004,1,MATCH(COLUMNS($AN$1006:BM1006),$AN$1006:$BO$1006,0)))),"Fix")))</f>
        <v>0</v>
      </c>
      <c r="AB350" s="4">
        <f>IF(OR(INDEX($AH$2:$AH$1001,MATCH(ROWS($AG$2:AG350),$AG$2:$AG$1001,0),1)&gt;=100000,INDEX($AN$1005:$BO$1005,1,MATCH(COLUMNS($AN$1006:BN1006),$AN$1006:$BO$1006,0))&gt;=100000), " ",IF(INDEX($AN$2:$BO$1001,MATCH(ROWS($AG$2:AG350),$AG$2:$AG$1001,0),MATCH(COLUMNS($AN$1006:BN1006),$AN$1006:$BO$1006,0)), HYPERLINK("#",""), HYPERLINK(CONCATENATE("#Metadata!", ADDRESS(INDEX($AI$2:$AI$1001,MATCH(ROWS($AG$2:AG350),$AG$2:$AG$1001,0),0), INDEX($AN$1004:$BO$1004,1,MATCH(COLUMNS($AN$1006:BN1006),$AN$1006:$BO$1006,0)))),"Fix")))</f>
        <v>0</v>
      </c>
      <c r="AC350" s="4">
        <f>IF(OR(INDEX($AH$2:$AH$1001,MATCH(ROWS($AG$2:AG350),$AG$2:$AG$1001,0),1)&gt;=100000,INDEX($AN$1005:$BO$1005,1,MATCH(COLUMNS($AN$1006:BO1006),$AN$1006:$BO$1006,0))&gt;=100000), " ",IF(INDEX($AN$2:$BO$1001,MATCH(ROWS($AG$2:AG350),$AG$2:$AG$1001,0),MATCH(COLUMNS($AN$1006:BO1006),$AN$1006:$BO$1006,0)), HYPERLINK("#",""), HYPERLINK(CONCATENATE("#Metadata!", ADDRESS(INDEX($AI$2:$AI$1001,MATCH(ROWS($AG$2:AG350),$AG$2:$AG$1001,0),0), INDEX($AN$1004:$BO$1004,1,MATCH(COLUMNS($AN$1006:BO1006),$AN$1006:$BO$1006,0)))),"Fix")))</f>
        <v>0</v>
      </c>
      <c r="AG350">
        <v>0</v>
      </c>
      <c r="AH350">
        <v>0</v>
      </c>
      <c r="AI350">
        <v>0</v>
      </c>
      <c r="AJ350">
        <f>IF(AK350,TRUE,AND(AN350:BO350))</f>
        <v>0</v>
      </c>
      <c r="AK350">
        <f>COUNTBLANK(Metadata!B350:AC350)=COLUMNS(Metadata!B350:AC350)</f>
        <v>0</v>
      </c>
      <c r="AL350">
        <v>0</v>
      </c>
      <c r="AN350">
        <f>AND(IF(Metadata!B350="",FALSE,TRUE),COUNTIF(Metadata!B:B, Metadata!B350) = 1,NOT(ISERROR(SUMPRODUCT(SEARCH(MID(Metadata!B350,ROW(INDIRECT("1:"&amp;LEN(Metadata!B350))), 1),"0123456789abcdefghijklmnopqrstuvwxyzABCDEFGHIJKLMNOPQRSTUVWXYZ.")))))</f>
        <v>0</v>
      </c>
      <c r="AO350">
        <f>IF(Metadata!C350="",FALSE,TRUE)</f>
        <v>0</v>
      </c>
      <c r="AP350">
        <f>IF(Metadata!D350="",FALSE,TRUE)</f>
        <v>0</v>
      </c>
      <c r="AQ350">
        <f>OR(AND(IF(Metadata!E350="",FALSE,TRUE),OR(exact(Metadata!E350,"not collected"),exact(Metadata!E350,"not provided"),exact(Metadata!E350,"restricted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R350">
        <f>IF(Metadata!F350="",FALSE,TRUE)</f>
        <v>0</v>
      </c>
      <c r="AS350">
        <f>OR(AND(IF(Metadata!G350="",FALSE,TRUE),OR(exact(Metadata!G350,"not collected"),exact(Metadata!G350,"not provided"))),AND(IF(Metadata!G350="",FALSE,TRUE),OR(exact(Metadata!G350,"TRUE"),exact(Metadata!G350,"FALSE"))))</f>
        <v>0</v>
      </c>
      <c r="AT350">
        <f>OR(AND(IF(Metadata!H350="",FALSE,TRUE),OR(exact(Metadata!H350,"not collected"),exact(Metadata!H350,"not provided"),exact(Metadata!H350,"restricted access"))),AND(IF(Metadata!H350="",FALSE,ISNUMBER(VALUE(Metadata!H350))),Metadata!H350&gt;=-413.0))</f>
        <v>0</v>
      </c>
      <c r="AU350">
        <f>AND(IF(Metadata!I350="",FALSE,TRUE),exact(Metadata!I350,"meters"))</f>
        <v>0</v>
      </c>
      <c r="AV350">
        <f>AND(IF(Metadata!J350="",FALSE,TRUE),OR(exact(Metadata!J350,"Host-associated"),exact(Metadata!J350,"Free-living")))</f>
        <v>0</v>
      </c>
      <c r="AW350">
        <f>AND(IF(Metadata!K350="",FALSE,TRUE),OR(exact(Metadata!K350,"Animal"),exact(Metadata!K350,"Fungus"),exact(Metadata!K350,"Plant"),exact(Metadata!K350,"Saline"),exact(Metadata!K350,"Non-saline")))</f>
        <v>0</v>
      </c>
      <c r="AX350">
        <f>AND(IF(Metadata!L350="",FALSE,TRUE),OR(exact(Metadata!L350,"Plant secretion"),exact(Metadata!L350,"Plant rhizosphere"),exact(Metadata!L350,"Plant surface"),exact(Metadata!L350,"Plant corpus"),exact(Metadata!L350,"Fungus surface"),exact(Metadata!L350,"Fungus corpus"),exact(Metadata!L350,"Animal surface"),exact(Metadata!L350,"Animal proximal gut"),exact(Metadata!L350,"Animal corpus"),exact(Metadata!L350,"Animal distal gut"),exact(Metadata!L350,"Animal secretion"),exact(Metadata!L350,"Sub-surface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Y350">
        <f>IF(Metadata!M350="",FALSE,TRUE)</f>
        <v>0</v>
      </c>
      <c r="AZ350">
        <f>IF(Metadata!N350="",FALSE,TRUE)</f>
        <v>0</v>
      </c>
      <c r="BA350">
        <f>IF(Metadata!O350="",FALSE,TRUE)</f>
        <v>0</v>
      </c>
      <c r="BB350">
        <f>OR(AND(IF(Metadata!P350="",FALSE,TRUE),OR(exact(Metadata!P350,"not collected"),exact(Metadata!P350,"not provided"),exact(Metadata!P350,"restricted access"))),AND(IF(Metadata!P350="",FALSE,TRUE),OR(exact(Metadata!P350,"air"),exact(Metadata!P350,"built environment"),exact(Metadata!P350,"host-associated"),exact(Metadata!P350,"human-associated"),exact(Metadata!P350,"human-skin"),exact(Metadata!P350,"human-oral"),exact(Metadata!P350,"human-gut"),exact(Metadata!P350,"human-vaginal"),exact(Metadata!P350,"microbial mat/biofilm"),exact(Metadata!P350,"misc environment"),exact(Metadata!P350,"plant-associated"),exact(Metadata!P350,"sediment"),exact(Metadata!P350,"soil"),exact(Metadata!P350,"wastewater/sludge"),exact(Metadata!P350,"water"))))</f>
        <v>0</v>
      </c>
      <c r="BC350">
        <f>IF(Metadata!Q350="",FALSE,TRUE)</f>
        <v>0</v>
      </c>
      <c r="BD350">
        <f>IF(Metadata!R350="",FALSE,TRUE)</f>
        <v>0</v>
      </c>
      <c r="BE350">
        <f>OR(AND(IF(Metadata!S350="",FALSE,TRUE),OR(exact(Metadata!S350,"not collected"),exact(Metadata!S350,"not provided"),exact(Metadata!S350,"restricted access"))),AND(IF(Metadata!S350="",FALSE,ISNUMBER(VALUE(Metadata!S350))),Metadata!S350&gt;=-90.00,Metadata!S350&lt;=90.00))</f>
        <v>0</v>
      </c>
      <c r="BF350">
        <f>AND(IF(Metadata!T350="",FALSE,TRUE),exact(Metadata!T350,"Decimal degrees"))</f>
        <v>0</v>
      </c>
      <c r="BG350">
        <f>OR(AND(IF(Metadata!U350="",FALSE,TRUE),OR(exact(Metadata!U350,"not collected"),exact(Metadata!U350,"not provided"),exact(Metadata!U350,"restricted access"))),AND(IF(Metadata!U350="",FALSE,ISNUMBER(VALUE(Metadata!U350))),Metadata!U350&gt;=-180.00,Metadata!U350&lt;=180.00))</f>
        <v>0</v>
      </c>
      <c r="BH350">
        <f>AND(IF(Metadata!V350="",FALSE,TRUE),exact(Metadata!V350,"Decimal degrees"))</f>
        <v>0</v>
      </c>
      <c r="BI350">
        <f>IF(Metadata!W350="",FALSE,TRUE)</f>
        <v>0</v>
      </c>
      <c r="BJ350">
        <f>OR(AND(IF(Metadata!X350="",FALSE,TRUE),OR(exact(Metadata!X350,"not collected"),exact(Metadata!X350,"not provided"),exact(Metadata!X350,"restricted access"))),AND(IF(Metadata!X350="",FALSE,TRUE),OR(exact(Metadata!X350,"TRUE"),exact(Metadata!X350,"FALSE"))))</f>
        <v>0</v>
      </c>
      <c r="BK350">
        <f>AND(IF(Metadata!Y350="",FALSE,TRUE),exact(Metadata!Y350,"other"))</f>
        <v>0</v>
      </c>
      <c r="BL350">
        <f>IF(Metadata!Z350="",FALSE,TRUE)</f>
        <v>0</v>
      </c>
      <c r="BM350">
        <f>OR(AND(IF(Metadata!AA350="",FALSE,TRUE),OR(exact(Metadata!AA350,"not collected"),exact(Metadata!AA350,"not provided"))),AND(IF(Metadata!AA350="",FALSE,IF(ISERROR(INT(Metadata!AA350)),FALSE,INT(Metadata!AA350)=Metadata!AA350)),Metadata!AA350&gt;0))</f>
        <v>0</v>
      </c>
      <c r="BN350">
        <f>AND(IF(Metadata!AB350="",FALSE,TRUE),exact(Metadata!AB350,"Not applicable"))</f>
        <v>0</v>
      </c>
      <c r="BO350">
        <f>IF(Metadata!AC350="",FALSE,TRUE)</f>
        <v>0</v>
      </c>
    </row>
    <row r="351" spans="1:67">
      <c r="A351" s="5">
        <f>IF(B351=" "," ",HYPERLINK(CONCATENATE("#metadata!",ADDRESS(INDEX($AI$2:$AI$1001,MATCH(ROWS($AG$2:AG351),$AG$2:$AG$1001,0),0),1)),INDEX($AL$2:$AL$1001,MATCH(ROWS($AG$2:AG351),$AG$2:$AG$1001,0),0)))</f>
        <v>0</v>
      </c>
      <c r="B351" s="4">
        <f>IF(OR(INDEX($AH$2:$AH$1001,MATCH(ROWS($AG$2:AG351),$AG$2:$AG$1001,0),1)&gt;=100000,INDEX($AN$1005:$BO$1005,1,MATCH(COLUMNS($AN$1006:AN1006),$AN$1006:$BO$1006,0))&gt;=100000), " ",IF(INDEX($AN$2:$BO$1001,MATCH(ROWS($AG$2:AG351),$AG$2:$AG$1001,0),MATCH(COLUMNS($AN$1006:AN1006),$AN$1006:$BO$1006,0)), HYPERLINK("#",""), HYPERLINK(CONCATENATE("#Metadata!", ADDRESS(INDEX($AI$2:$AI$1001,MATCH(ROWS($AG$2:AG351),$AG$2:$AG$1001,0),0), INDEX($AN$1004:$BO$1004,1,MATCH(COLUMNS($AN$1006:AN1006),$AN$1006:$BO$1006,0)))),"Fix")))</f>
        <v>0</v>
      </c>
      <c r="C351" s="4">
        <f>IF(OR(INDEX($AH$2:$AH$1001,MATCH(ROWS($AG$2:AG351),$AG$2:$AG$1001,0),1)&gt;=100000,INDEX($AN$1005:$BO$1005,1,MATCH(COLUMNS($AN$1006:AO1006),$AN$1006:$BO$1006,0))&gt;=100000), " ",IF(INDEX($AN$2:$BO$1001,MATCH(ROWS($AG$2:AG351),$AG$2:$AG$1001,0),MATCH(COLUMNS($AN$1006:AO1006),$AN$1006:$BO$1006,0)), HYPERLINK("#",""), HYPERLINK(CONCATENATE("#Metadata!", ADDRESS(INDEX($AI$2:$AI$1001,MATCH(ROWS($AG$2:AG351),$AG$2:$AG$1001,0),0), INDEX($AN$1004:$BO$1004,1,MATCH(COLUMNS($AN$1006:AO1006),$AN$1006:$BO$1006,0)))),"Fix")))</f>
        <v>0</v>
      </c>
      <c r="D351" s="4">
        <f>IF(OR(INDEX($AH$2:$AH$1001,MATCH(ROWS($AG$2:AG351),$AG$2:$AG$1001,0),1)&gt;=100000,INDEX($AN$1005:$BO$1005,1,MATCH(COLUMNS($AN$1006:AP1006),$AN$1006:$BO$1006,0))&gt;=100000), " ",IF(INDEX($AN$2:$BO$1001,MATCH(ROWS($AG$2:AG351),$AG$2:$AG$1001,0),MATCH(COLUMNS($AN$1006:AP1006),$AN$1006:$BO$1006,0)), HYPERLINK("#",""), HYPERLINK(CONCATENATE("#Metadata!", ADDRESS(INDEX($AI$2:$AI$1001,MATCH(ROWS($AG$2:AG351),$AG$2:$AG$1001,0),0), INDEX($AN$1004:$BO$1004,1,MATCH(COLUMNS($AN$1006:AP1006),$AN$1006:$BO$1006,0)))),"Fix")))</f>
        <v>0</v>
      </c>
      <c r="E351" s="4">
        <f>IF(OR(INDEX($AH$2:$AH$1001,MATCH(ROWS($AG$2:AG351),$AG$2:$AG$1001,0),1)&gt;=100000,INDEX($AN$1005:$BO$1005,1,MATCH(COLUMNS($AN$1006:AQ1006),$AN$1006:$BO$1006,0))&gt;=100000), " ",IF(INDEX($AN$2:$BO$1001,MATCH(ROWS($AG$2:AG351),$AG$2:$AG$1001,0),MATCH(COLUMNS($AN$1006:AQ1006),$AN$1006:$BO$1006,0)), HYPERLINK("#",""), HYPERLINK(CONCATENATE("#Metadata!", ADDRESS(INDEX($AI$2:$AI$1001,MATCH(ROWS($AG$2:AG351),$AG$2:$AG$1001,0),0), INDEX($AN$1004:$BO$1004,1,MATCH(COLUMNS($AN$1006:AQ1006),$AN$1006:$BO$1006,0)))),"Fix")))</f>
        <v>0</v>
      </c>
      <c r="F351" s="4">
        <f>IF(OR(INDEX($AH$2:$AH$1001,MATCH(ROWS($AG$2:AG351),$AG$2:$AG$1001,0),1)&gt;=100000,INDEX($AN$1005:$BO$1005,1,MATCH(COLUMNS($AN$1006:AR1006),$AN$1006:$BO$1006,0))&gt;=100000), " ",IF(INDEX($AN$2:$BO$1001,MATCH(ROWS($AG$2:AG351),$AG$2:$AG$1001,0),MATCH(COLUMNS($AN$1006:AR1006),$AN$1006:$BO$1006,0)), HYPERLINK("#",""), HYPERLINK(CONCATENATE("#Metadata!", ADDRESS(INDEX($AI$2:$AI$1001,MATCH(ROWS($AG$2:AG351),$AG$2:$AG$1001,0),0), INDEX($AN$1004:$BO$1004,1,MATCH(COLUMNS($AN$1006:AR1006),$AN$1006:$BO$1006,0)))),"Fix")))</f>
        <v>0</v>
      </c>
      <c r="G351" s="4">
        <f>IF(OR(INDEX($AH$2:$AH$1001,MATCH(ROWS($AG$2:AG351),$AG$2:$AG$1001,0),1)&gt;=100000,INDEX($AN$1005:$BO$1005,1,MATCH(COLUMNS($AN$1006:AS1006),$AN$1006:$BO$1006,0))&gt;=100000), " ",IF(INDEX($AN$2:$BO$1001,MATCH(ROWS($AG$2:AG351),$AG$2:$AG$1001,0),MATCH(COLUMNS($AN$1006:AS1006),$AN$1006:$BO$1006,0)), HYPERLINK("#",""), HYPERLINK(CONCATENATE("#Metadata!", ADDRESS(INDEX($AI$2:$AI$1001,MATCH(ROWS($AG$2:AG351),$AG$2:$AG$1001,0),0), INDEX($AN$1004:$BO$1004,1,MATCH(COLUMNS($AN$1006:AS1006),$AN$1006:$BO$1006,0)))),"Fix")))</f>
        <v>0</v>
      </c>
      <c r="H351" s="4">
        <f>IF(OR(INDEX($AH$2:$AH$1001,MATCH(ROWS($AG$2:AG351),$AG$2:$AG$1001,0),1)&gt;=100000,INDEX($AN$1005:$BO$1005,1,MATCH(COLUMNS($AN$1006:AT1006),$AN$1006:$BO$1006,0))&gt;=100000), " ",IF(INDEX($AN$2:$BO$1001,MATCH(ROWS($AG$2:AG351),$AG$2:$AG$1001,0),MATCH(COLUMNS($AN$1006:AT1006),$AN$1006:$BO$1006,0)), HYPERLINK("#",""), HYPERLINK(CONCATENATE("#Metadata!", ADDRESS(INDEX($AI$2:$AI$1001,MATCH(ROWS($AG$2:AG351),$AG$2:$AG$1001,0),0), INDEX($AN$1004:$BO$1004,1,MATCH(COLUMNS($AN$1006:AT1006),$AN$1006:$BO$1006,0)))),"Fix")))</f>
        <v>0</v>
      </c>
      <c r="I351" s="4">
        <f>IF(OR(INDEX($AH$2:$AH$1001,MATCH(ROWS($AG$2:AG351),$AG$2:$AG$1001,0),1)&gt;=100000,INDEX($AN$1005:$BO$1005,1,MATCH(COLUMNS($AN$1006:AU1006),$AN$1006:$BO$1006,0))&gt;=100000), " ",IF(INDEX($AN$2:$BO$1001,MATCH(ROWS($AG$2:AG351),$AG$2:$AG$1001,0),MATCH(COLUMNS($AN$1006:AU1006),$AN$1006:$BO$1006,0)), HYPERLINK("#",""), HYPERLINK(CONCATENATE("#Metadata!", ADDRESS(INDEX($AI$2:$AI$1001,MATCH(ROWS($AG$2:AG351),$AG$2:$AG$1001,0),0), INDEX($AN$1004:$BO$1004,1,MATCH(COLUMNS($AN$1006:AU1006),$AN$1006:$BO$1006,0)))),"Fix")))</f>
        <v>0</v>
      </c>
      <c r="J351" s="4">
        <f>IF(OR(INDEX($AH$2:$AH$1001,MATCH(ROWS($AG$2:AG351),$AG$2:$AG$1001,0),1)&gt;=100000,INDEX($AN$1005:$BO$1005,1,MATCH(COLUMNS($AN$1006:AV1006),$AN$1006:$BO$1006,0))&gt;=100000), " ",IF(INDEX($AN$2:$BO$1001,MATCH(ROWS($AG$2:AG351),$AG$2:$AG$1001,0),MATCH(COLUMNS($AN$1006:AV1006),$AN$1006:$BO$1006,0)), HYPERLINK("#",""), HYPERLINK(CONCATENATE("#Metadata!", ADDRESS(INDEX($AI$2:$AI$1001,MATCH(ROWS($AG$2:AG351),$AG$2:$AG$1001,0),0), INDEX($AN$1004:$BO$1004,1,MATCH(COLUMNS($AN$1006:AV1006),$AN$1006:$BO$1006,0)))),"Fix")))</f>
        <v>0</v>
      </c>
      <c r="K351" s="4">
        <f>IF(OR(INDEX($AH$2:$AH$1001,MATCH(ROWS($AG$2:AG351),$AG$2:$AG$1001,0),1)&gt;=100000,INDEX($AN$1005:$BO$1005,1,MATCH(COLUMNS($AN$1006:AW1006),$AN$1006:$BO$1006,0))&gt;=100000), " ",IF(INDEX($AN$2:$BO$1001,MATCH(ROWS($AG$2:AG351),$AG$2:$AG$1001,0),MATCH(COLUMNS($AN$1006:AW1006),$AN$1006:$BO$1006,0)), HYPERLINK("#",""), HYPERLINK(CONCATENATE("#Metadata!", ADDRESS(INDEX($AI$2:$AI$1001,MATCH(ROWS($AG$2:AG351),$AG$2:$AG$1001,0),0), INDEX($AN$1004:$BO$1004,1,MATCH(COLUMNS($AN$1006:AW1006),$AN$1006:$BO$1006,0)))),"Fix")))</f>
        <v>0</v>
      </c>
      <c r="L351" s="4">
        <f>IF(OR(INDEX($AH$2:$AH$1001,MATCH(ROWS($AG$2:AG351),$AG$2:$AG$1001,0),1)&gt;=100000,INDEX($AN$1005:$BO$1005,1,MATCH(COLUMNS($AN$1006:AX1006),$AN$1006:$BO$1006,0))&gt;=100000), " ",IF(INDEX($AN$2:$BO$1001,MATCH(ROWS($AG$2:AG351),$AG$2:$AG$1001,0),MATCH(COLUMNS($AN$1006:AX1006),$AN$1006:$BO$1006,0)), HYPERLINK("#",""), HYPERLINK(CONCATENATE("#Metadata!", ADDRESS(INDEX($AI$2:$AI$1001,MATCH(ROWS($AG$2:AG351),$AG$2:$AG$1001,0),0), INDEX($AN$1004:$BO$1004,1,MATCH(COLUMNS($AN$1006:AX1006),$AN$1006:$BO$1006,0)))),"Fix")))</f>
        <v>0</v>
      </c>
      <c r="M351" s="4">
        <f>IF(OR(INDEX($AH$2:$AH$1001,MATCH(ROWS($AG$2:AG351),$AG$2:$AG$1001,0),1)&gt;=100000,INDEX($AN$1005:$BO$1005,1,MATCH(COLUMNS($AN$1006:AY1006),$AN$1006:$BO$1006,0))&gt;=100000), " ",IF(INDEX($AN$2:$BO$1001,MATCH(ROWS($AG$2:AG351),$AG$2:$AG$1001,0),MATCH(COLUMNS($AN$1006:AY1006),$AN$1006:$BO$1006,0)), HYPERLINK("#",""), HYPERLINK(CONCATENATE("#Metadata!", ADDRESS(INDEX($AI$2:$AI$1001,MATCH(ROWS($AG$2:AG351),$AG$2:$AG$1001,0),0), INDEX($AN$1004:$BO$1004,1,MATCH(COLUMNS($AN$1006:AY1006),$AN$1006:$BO$1006,0)))),"Fix")))</f>
        <v>0</v>
      </c>
      <c r="N351" s="4">
        <f>IF(OR(INDEX($AH$2:$AH$1001,MATCH(ROWS($AG$2:AG351),$AG$2:$AG$1001,0),1)&gt;=100000,INDEX($AN$1005:$BO$1005,1,MATCH(COLUMNS($AN$1006:AZ1006),$AN$1006:$BO$1006,0))&gt;=100000), " ",IF(INDEX($AN$2:$BO$1001,MATCH(ROWS($AG$2:AG351),$AG$2:$AG$1001,0),MATCH(COLUMNS($AN$1006:AZ1006),$AN$1006:$BO$1006,0)), HYPERLINK("#",""), HYPERLINK(CONCATENATE("#Metadata!", ADDRESS(INDEX($AI$2:$AI$1001,MATCH(ROWS($AG$2:AG351),$AG$2:$AG$1001,0),0), INDEX($AN$1004:$BO$1004,1,MATCH(COLUMNS($AN$1006:AZ1006),$AN$1006:$BO$1006,0)))),"Fix")))</f>
        <v>0</v>
      </c>
      <c r="O351" s="4">
        <f>IF(OR(INDEX($AH$2:$AH$1001,MATCH(ROWS($AG$2:AG351),$AG$2:$AG$1001,0),1)&gt;=100000,INDEX($AN$1005:$BO$1005,1,MATCH(COLUMNS($AN$1006:BA1006),$AN$1006:$BO$1006,0))&gt;=100000), " ",IF(INDEX($AN$2:$BO$1001,MATCH(ROWS($AG$2:AG351),$AG$2:$AG$1001,0),MATCH(COLUMNS($AN$1006:BA1006),$AN$1006:$BO$1006,0)), HYPERLINK("#",""), HYPERLINK(CONCATENATE("#Metadata!", ADDRESS(INDEX($AI$2:$AI$1001,MATCH(ROWS($AG$2:AG351),$AG$2:$AG$1001,0),0), INDEX($AN$1004:$BO$1004,1,MATCH(COLUMNS($AN$1006:BA1006),$AN$1006:$BO$1006,0)))),"Fix")))</f>
        <v>0</v>
      </c>
      <c r="P351" s="4">
        <f>IF(OR(INDEX($AH$2:$AH$1001,MATCH(ROWS($AG$2:AG351),$AG$2:$AG$1001,0),1)&gt;=100000,INDEX($AN$1005:$BO$1005,1,MATCH(COLUMNS($AN$1006:BB1006),$AN$1006:$BO$1006,0))&gt;=100000), " ",IF(INDEX($AN$2:$BO$1001,MATCH(ROWS($AG$2:AG351),$AG$2:$AG$1001,0),MATCH(COLUMNS($AN$1006:BB1006),$AN$1006:$BO$1006,0)), HYPERLINK("#",""), HYPERLINK(CONCATENATE("#Metadata!", ADDRESS(INDEX($AI$2:$AI$1001,MATCH(ROWS($AG$2:AG351),$AG$2:$AG$1001,0),0), INDEX($AN$1004:$BO$1004,1,MATCH(COLUMNS($AN$1006:BB1006),$AN$1006:$BO$1006,0)))),"Fix")))</f>
        <v>0</v>
      </c>
      <c r="Q351" s="4">
        <f>IF(OR(INDEX($AH$2:$AH$1001,MATCH(ROWS($AG$2:AG351),$AG$2:$AG$1001,0),1)&gt;=100000,INDEX($AN$1005:$BO$1005,1,MATCH(COLUMNS($AN$1006:BC1006),$AN$1006:$BO$1006,0))&gt;=100000), " ",IF(INDEX($AN$2:$BO$1001,MATCH(ROWS($AG$2:AG351),$AG$2:$AG$1001,0),MATCH(COLUMNS($AN$1006:BC1006),$AN$1006:$BO$1006,0)), HYPERLINK("#",""), HYPERLINK(CONCATENATE("#Metadata!", ADDRESS(INDEX($AI$2:$AI$1001,MATCH(ROWS($AG$2:AG351),$AG$2:$AG$1001,0),0), INDEX($AN$1004:$BO$1004,1,MATCH(COLUMNS($AN$1006:BC1006),$AN$1006:$BO$1006,0)))),"Fix")))</f>
        <v>0</v>
      </c>
      <c r="R351" s="4">
        <f>IF(OR(INDEX($AH$2:$AH$1001,MATCH(ROWS($AG$2:AG351),$AG$2:$AG$1001,0),1)&gt;=100000,INDEX($AN$1005:$BO$1005,1,MATCH(COLUMNS($AN$1006:BD1006),$AN$1006:$BO$1006,0))&gt;=100000), " ",IF(INDEX($AN$2:$BO$1001,MATCH(ROWS($AG$2:AG351),$AG$2:$AG$1001,0),MATCH(COLUMNS($AN$1006:BD1006),$AN$1006:$BO$1006,0)), HYPERLINK("#",""), HYPERLINK(CONCATENATE("#Metadata!", ADDRESS(INDEX($AI$2:$AI$1001,MATCH(ROWS($AG$2:AG351),$AG$2:$AG$1001,0),0), INDEX($AN$1004:$BO$1004,1,MATCH(COLUMNS($AN$1006:BD1006),$AN$1006:$BO$1006,0)))),"Fix")))</f>
        <v>0</v>
      </c>
      <c r="S351" s="4">
        <f>IF(OR(INDEX($AH$2:$AH$1001,MATCH(ROWS($AG$2:AG351),$AG$2:$AG$1001,0),1)&gt;=100000,INDEX($AN$1005:$BO$1005,1,MATCH(COLUMNS($AN$1006:BE1006),$AN$1006:$BO$1006,0))&gt;=100000), " ",IF(INDEX($AN$2:$BO$1001,MATCH(ROWS($AG$2:AG351),$AG$2:$AG$1001,0),MATCH(COLUMNS($AN$1006:BE1006),$AN$1006:$BO$1006,0)), HYPERLINK("#",""), HYPERLINK(CONCATENATE("#Metadata!", ADDRESS(INDEX($AI$2:$AI$1001,MATCH(ROWS($AG$2:AG351),$AG$2:$AG$1001,0),0), INDEX($AN$1004:$BO$1004,1,MATCH(COLUMNS($AN$1006:BE1006),$AN$1006:$BO$1006,0)))),"Fix")))</f>
        <v>0</v>
      </c>
      <c r="T351" s="4">
        <f>IF(OR(INDEX($AH$2:$AH$1001,MATCH(ROWS($AG$2:AG351),$AG$2:$AG$1001,0),1)&gt;=100000,INDEX($AN$1005:$BO$1005,1,MATCH(COLUMNS($AN$1006:BF1006),$AN$1006:$BO$1006,0))&gt;=100000), " ",IF(INDEX($AN$2:$BO$1001,MATCH(ROWS($AG$2:AG351),$AG$2:$AG$1001,0),MATCH(COLUMNS($AN$1006:BF1006),$AN$1006:$BO$1006,0)), HYPERLINK("#",""), HYPERLINK(CONCATENATE("#Metadata!", ADDRESS(INDEX($AI$2:$AI$1001,MATCH(ROWS($AG$2:AG351),$AG$2:$AG$1001,0),0), INDEX($AN$1004:$BO$1004,1,MATCH(COLUMNS($AN$1006:BF1006),$AN$1006:$BO$1006,0)))),"Fix")))</f>
        <v>0</v>
      </c>
      <c r="U351" s="4">
        <f>IF(OR(INDEX($AH$2:$AH$1001,MATCH(ROWS($AG$2:AG351),$AG$2:$AG$1001,0),1)&gt;=100000,INDEX($AN$1005:$BO$1005,1,MATCH(COLUMNS($AN$1006:BG1006),$AN$1006:$BO$1006,0))&gt;=100000), " ",IF(INDEX($AN$2:$BO$1001,MATCH(ROWS($AG$2:AG351),$AG$2:$AG$1001,0),MATCH(COLUMNS($AN$1006:BG1006),$AN$1006:$BO$1006,0)), HYPERLINK("#",""), HYPERLINK(CONCATENATE("#Metadata!", ADDRESS(INDEX($AI$2:$AI$1001,MATCH(ROWS($AG$2:AG351),$AG$2:$AG$1001,0),0), INDEX($AN$1004:$BO$1004,1,MATCH(COLUMNS($AN$1006:BG1006),$AN$1006:$BO$1006,0)))),"Fix")))</f>
        <v>0</v>
      </c>
      <c r="V351" s="4">
        <f>IF(OR(INDEX($AH$2:$AH$1001,MATCH(ROWS($AG$2:AG351),$AG$2:$AG$1001,0),1)&gt;=100000,INDEX($AN$1005:$BO$1005,1,MATCH(COLUMNS($AN$1006:BH1006),$AN$1006:$BO$1006,0))&gt;=100000), " ",IF(INDEX($AN$2:$BO$1001,MATCH(ROWS($AG$2:AG351),$AG$2:$AG$1001,0),MATCH(COLUMNS($AN$1006:BH1006),$AN$1006:$BO$1006,0)), HYPERLINK("#",""), HYPERLINK(CONCATENATE("#Metadata!", ADDRESS(INDEX($AI$2:$AI$1001,MATCH(ROWS($AG$2:AG351),$AG$2:$AG$1001,0),0), INDEX($AN$1004:$BO$1004,1,MATCH(COLUMNS($AN$1006:BH1006),$AN$1006:$BO$1006,0)))),"Fix")))</f>
        <v>0</v>
      </c>
      <c r="W351" s="4">
        <f>IF(OR(INDEX($AH$2:$AH$1001,MATCH(ROWS($AG$2:AG351),$AG$2:$AG$1001,0),1)&gt;=100000,INDEX($AN$1005:$BO$1005,1,MATCH(COLUMNS($AN$1006:BI1006),$AN$1006:$BO$1006,0))&gt;=100000), " ",IF(INDEX($AN$2:$BO$1001,MATCH(ROWS($AG$2:AG351),$AG$2:$AG$1001,0),MATCH(COLUMNS($AN$1006:BI1006),$AN$1006:$BO$1006,0)), HYPERLINK("#",""), HYPERLINK(CONCATENATE("#Metadata!", ADDRESS(INDEX($AI$2:$AI$1001,MATCH(ROWS($AG$2:AG351),$AG$2:$AG$1001,0),0), INDEX($AN$1004:$BO$1004,1,MATCH(COLUMNS($AN$1006:BI1006),$AN$1006:$BO$1006,0)))),"Fix")))</f>
        <v>0</v>
      </c>
      <c r="X351" s="4">
        <f>IF(OR(INDEX($AH$2:$AH$1001,MATCH(ROWS($AG$2:AG351),$AG$2:$AG$1001,0),1)&gt;=100000,INDEX($AN$1005:$BO$1005,1,MATCH(COLUMNS($AN$1006:BJ1006),$AN$1006:$BO$1006,0))&gt;=100000), " ",IF(INDEX($AN$2:$BO$1001,MATCH(ROWS($AG$2:AG351),$AG$2:$AG$1001,0),MATCH(COLUMNS($AN$1006:BJ1006),$AN$1006:$BO$1006,0)), HYPERLINK("#",""), HYPERLINK(CONCATENATE("#Metadata!", ADDRESS(INDEX($AI$2:$AI$1001,MATCH(ROWS($AG$2:AG351),$AG$2:$AG$1001,0),0), INDEX($AN$1004:$BO$1004,1,MATCH(COLUMNS($AN$1006:BJ1006),$AN$1006:$BO$1006,0)))),"Fix")))</f>
        <v>0</v>
      </c>
      <c r="Y351" s="4">
        <f>IF(OR(INDEX($AH$2:$AH$1001,MATCH(ROWS($AG$2:AG351),$AG$2:$AG$1001,0),1)&gt;=100000,INDEX($AN$1005:$BO$1005,1,MATCH(COLUMNS($AN$1006:BK1006),$AN$1006:$BO$1006,0))&gt;=100000), " ",IF(INDEX($AN$2:$BO$1001,MATCH(ROWS($AG$2:AG351),$AG$2:$AG$1001,0),MATCH(COLUMNS($AN$1006:BK1006),$AN$1006:$BO$1006,0)), HYPERLINK("#",""), HYPERLINK(CONCATENATE("#Metadata!", ADDRESS(INDEX($AI$2:$AI$1001,MATCH(ROWS($AG$2:AG351),$AG$2:$AG$1001,0),0), INDEX($AN$1004:$BO$1004,1,MATCH(COLUMNS($AN$1006:BK1006),$AN$1006:$BO$1006,0)))),"Fix")))</f>
        <v>0</v>
      </c>
      <c r="Z351" s="4">
        <f>IF(OR(INDEX($AH$2:$AH$1001,MATCH(ROWS($AG$2:AG351),$AG$2:$AG$1001,0),1)&gt;=100000,INDEX($AN$1005:$BO$1005,1,MATCH(COLUMNS($AN$1006:BL1006),$AN$1006:$BO$1006,0))&gt;=100000), " ",IF(INDEX($AN$2:$BO$1001,MATCH(ROWS($AG$2:AG351),$AG$2:$AG$1001,0),MATCH(COLUMNS($AN$1006:BL1006),$AN$1006:$BO$1006,0)), HYPERLINK("#",""), HYPERLINK(CONCATENATE("#Metadata!", ADDRESS(INDEX($AI$2:$AI$1001,MATCH(ROWS($AG$2:AG351),$AG$2:$AG$1001,0),0), INDEX($AN$1004:$BO$1004,1,MATCH(COLUMNS($AN$1006:BL1006),$AN$1006:$BO$1006,0)))),"Fix")))</f>
        <v>0</v>
      </c>
      <c r="AA351" s="4">
        <f>IF(OR(INDEX($AH$2:$AH$1001,MATCH(ROWS($AG$2:AG351),$AG$2:$AG$1001,0),1)&gt;=100000,INDEX($AN$1005:$BO$1005,1,MATCH(COLUMNS($AN$1006:BM1006),$AN$1006:$BO$1006,0))&gt;=100000), " ",IF(INDEX($AN$2:$BO$1001,MATCH(ROWS($AG$2:AG351),$AG$2:$AG$1001,0),MATCH(COLUMNS($AN$1006:BM1006),$AN$1006:$BO$1006,0)), HYPERLINK("#",""), HYPERLINK(CONCATENATE("#Metadata!", ADDRESS(INDEX($AI$2:$AI$1001,MATCH(ROWS($AG$2:AG351),$AG$2:$AG$1001,0),0), INDEX($AN$1004:$BO$1004,1,MATCH(COLUMNS($AN$1006:BM1006),$AN$1006:$BO$1006,0)))),"Fix")))</f>
        <v>0</v>
      </c>
      <c r="AB351" s="4">
        <f>IF(OR(INDEX($AH$2:$AH$1001,MATCH(ROWS($AG$2:AG351),$AG$2:$AG$1001,0),1)&gt;=100000,INDEX($AN$1005:$BO$1005,1,MATCH(COLUMNS($AN$1006:BN1006),$AN$1006:$BO$1006,0))&gt;=100000), " ",IF(INDEX($AN$2:$BO$1001,MATCH(ROWS($AG$2:AG351),$AG$2:$AG$1001,0),MATCH(COLUMNS($AN$1006:BN1006),$AN$1006:$BO$1006,0)), HYPERLINK("#",""), HYPERLINK(CONCATENATE("#Metadata!", ADDRESS(INDEX($AI$2:$AI$1001,MATCH(ROWS($AG$2:AG351),$AG$2:$AG$1001,0),0), INDEX($AN$1004:$BO$1004,1,MATCH(COLUMNS($AN$1006:BN1006),$AN$1006:$BO$1006,0)))),"Fix")))</f>
        <v>0</v>
      </c>
      <c r="AC351" s="4">
        <f>IF(OR(INDEX($AH$2:$AH$1001,MATCH(ROWS($AG$2:AG351),$AG$2:$AG$1001,0),1)&gt;=100000,INDEX($AN$1005:$BO$1005,1,MATCH(COLUMNS($AN$1006:BO1006),$AN$1006:$BO$1006,0))&gt;=100000), " ",IF(INDEX($AN$2:$BO$1001,MATCH(ROWS($AG$2:AG351),$AG$2:$AG$1001,0),MATCH(COLUMNS($AN$1006:BO1006),$AN$1006:$BO$1006,0)), HYPERLINK("#",""), HYPERLINK(CONCATENATE("#Metadata!", ADDRESS(INDEX($AI$2:$AI$1001,MATCH(ROWS($AG$2:AG351),$AG$2:$AG$1001,0),0), INDEX($AN$1004:$BO$1004,1,MATCH(COLUMNS($AN$1006:BO1006),$AN$1006:$BO$1006,0)))),"Fix")))</f>
        <v>0</v>
      </c>
      <c r="AG351">
        <v>0</v>
      </c>
      <c r="AH351">
        <v>0</v>
      </c>
      <c r="AI351">
        <v>0</v>
      </c>
      <c r="AJ351">
        <f>IF(AK351,TRUE,AND(AN351:BO351))</f>
        <v>0</v>
      </c>
      <c r="AK351">
        <f>COUNTBLANK(Metadata!B351:AC351)=COLUMNS(Metadata!B351:AC351)</f>
        <v>0</v>
      </c>
      <c r="AL351">
        <v>0</v>
      </c>
      <c r="AN351">
        <f>AND(IF(Metadata!B351="",FALSE,TRUE),COUNTIF(Metadata!B:B, Metadata!B351) = 1,NOT(ISERROR(SUMPRODUCT(SEARCH(MID(Metadata!B351,ROW(INDIRECT("1:"&amp;LEN(Metadata!B351))), 1),"0123456789abcdefghijklmnopqrstuvwxyzABCDEFGHIJKLMNOPQRSTUVWXYZ.")))))</f>
        <v>0</v>
      </c>
      <c r="AO351">
        <f>IF(Metadata!C351="",FALSE,TRUE)</f>
        <v>0</v>
      </c>
      <c r="AP351">
        <f>IF(Metadata!D351="",FALSE,TRUE)</f>
        <v>0</v>
      </c>
      <c r="AQ351">
        <f>OR(AND(IF(Metadata!E351="",FALSE,TRUE),OR(exact(Metadata!E351,"not collected"),exact(Metadata!E351,"not provided"),exact(Metadata!E351,"restricted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R351">
        <f>IF(Metadata!F351="",FALSE,TRUE)</f>
        <v>0</v>
      </c>
      <c r="AS351">
        <f>OR(AND(IF(Metadata!G351="",FALSE,TRUE),OR(exact(Metadata!G351,"not collected"),exact(Metadata!G351,"not provided"))),AND(IF(Metadata!G351="",FALSE,TRUE),OR(exact(Metadata!G351,"TRUE"),exact(Metadata!G351,"FALSE"))))</f>
        <v>0</v>
      </c>
      <c r="AT351">
        <f>OR(AND(IF(Metadata!H351="",FALSE,TRUE),OR(exact(Metadata!H351,"not collected"),exact(Metadata!H351,"not provided"),exact(Metadata!H351,"restricted access"))),AND(IF(Metadata!H351="",FALSE,ISNUMBER(VALUE(Metadata!H351))),Metadata!H351&gt;=-413.0))</f>
        <v>0</v>
      </c>
      <c r="AU351">
        <f>AND(IF(Metadata!I351="",FALSE,TRUE),exact(Metadata!I351,"meters"))</f>
        <v>0</v>
      </c>
      <c r="AV351">
        <f>AND(IF(Metadata!J351="",FALSE,TRUE),OR(exact(Metadata!J351,"Host-associated"),exact(Metadata!J351,"Free-living")))</f>
        <v>0</v>
      </c>
      <c r="AW351">
        <f>AND(IF(Metadata!K351="",FALSE,TRUE),OR(exact(Metadata!K351,"Animal"),exact(Metadata!K351,"Fungus"),exact(Metadata!K351,"Plant"),exact(Metadata!K351,"Saline"),exact(Metadata!K351,"Non-saline")))</f>
        <v>0</v>
      </c>
      <c r="AX351">
        <f>AND(IF(Metadata!L351="",FALSE,TRUE),OR(exact(Metadata!L351,"Plant secretion"),exact(Metadata!L351,"Plant rhizosphere"),exact(Metadata!L351,"Plant surface"),exact(Metadata!L351,"Plant corpus"),exact(Metadata!L351,"Fungus surface"),exact(Metadata!L351,"Fungus corpus"),exact(Metadata!L351,"Animal surface"),exact(Metadata!L351,"Animal proximal gut"),exact(Metadata!L351,"Animal corpus"),exact(Metadata!L351,"Animal distal gut"),exact(Metadata!L351,"Animal secretion"),exact(Metadata!L351,"Sub-surface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Y351">
        <f>IF(Metadata!M351="",FALSE,TRUE)</f>
        <v>0</v>
      </c>
      <c r="AZ351">
        <f>IF(Metadata!N351="",FALSE,TRUE)</f>
        <v>0</v>
      </c>
      <c r="BA351">
        <f>IF(Metadata!O351="",FALSE,TRUE)</f>
        <v>0</v>
      </c>
      <c r="BB351">
        <f>OR(AND(IF(Metadata!P351="",FALSE,TRUE),OR(exact(Metadata!P351,"not collected"),exact(Metadata!P351,"not provided"),exact(Metadata!P351,"restricted access"))),AND(IF(Metadata!P351="",FALSE,TRUE),OR(exact(Metadata!P351,"air"),exact(Metadata!P351,"built environment"),exact(Metadata!P351,"host-associated"),exact(Metadata!P351,"human-associated"),exact(Metadata!P351,"human-skin"),exact(Metadata!P351,"human-oral"),exact(Metadata!P351,"human-gut"),exact(Metadata!P351,"human-vaginal"),exact(Metadata!P351,"microbial mat/biofilm"),exact(Metadata!P351,"misc environment"),exact(Metadata!P351,"plant-associated"),exact(Metadata!P351,"sediment"),exact(Metadata!P351,"soil"),exact(Metadata!P351,"wastewater/sludge"),exact(Metadata!P351,"water"))))</f>
        <v>0</v>
      </c>
      <c r="BC351">
        <f>IF(Metadata!Q351="",FALSE,TRUE)</f>
        <v>0</v>
      </c>
      <c r="BD351">
        <f>IF(Metadata!R351="",FALSE,TRUE)</f>
        <v>0</v>
      </c>
      <c r="BE351">
        <f>OR(AND(IF(Metadata!S351="",FALSE,TRUE),OR(exact(Metadata!S351,"not collected"),exact(Metadata!S351,"not provided"),exact(Metadata!S351,"restricted access"))),AND(IF(Metadata!S351="",FALSE,ISNUMBER(VALUE(Metadata!S351))),Metadata!S351&gt;=-90.00,Metadata!S351&lt;=90.00))</f>
        <v>0</v>
      </c>
      <c r="BF351">
        <f>AND(IF(Metadata!T351="",FALSE,TRUE),exact(Metadata!T351,"Decimal degrees"))</f>
        <v>0</v>
      </c>
      <c r="BG351">
        <f>OR(AND(IF(Metadata!U351="",FALSE,TRUE),OR(exact(Metadata!U351,"not collected"),exact(Metadata!U351,"not provided"),exact(Metadata!U351,"restricted access"))),AND(IF(Metadata!U351="",FALSE,ISNUMBER(VALUE(Metadata!U351))),Metadata!U351&gt;=-180.00,Metadata!U351&lt;=180.00))</f>
        <v>0</v>
      </c>
      <c r="BH351">
        <f>AND(IF(Metadata!V351="",FALSE,TRUE),exact(Metadata!V351,"Decimal degrees"))</f>
        <v>0</v>
      </c>
      <c r="BI351">
        <f>IF(Metadata!W351="",FALSE,TRUE)</f>
        <v>0</v>
      </c>
      <c r="BJ351">
        <f>OR(AND(IF(Metadata!X351="",FALSE,TRUE),OR(exact(Metadata!X351,"not collected"),exact(Metadata!X351,"not provided"),exact(Metadata!X351,"restricted access"))),AND(IF(Metadata!X351="",FALSE,TRUE),OR(exact(Metadata!X351,"TRUE"),exact(Metadata!X351,"FALSE"))))</f>
        <v>0</v>
      </c>
      <c r="BK351">
        <f>AND(IF(Metadata!Y351="",FALSE,TRUE),exact(Metadata!Y351,"other"))</f>
        <v>0</v>
      </c>
      <c r="BL351">
        <f>IF(Metadata!Z351="",FALSE,TRUE)</f>
        <v>0</v>
      </c>
      <c r="BM351">
        <f>OR(AND(IF(Metadata!AA351="",FALSE,TRUE),OR(exact(Metadata!AA351,"not collected"),exact(Metadata!AA351,"not provided"))),AND(IF(Metadata!AA351="",FALSE,IF(ISERROR(INT(Metadata!AA351)),FALSE,INT(Metadata!AA351)=Metadata!AA351)),Metadata!AA351&gt;0))</f>
        <v>0</v>
      </c>
      <c r="BN351">
        <f>AND(IF(Metadata!AB351="",FALSE,TRUE),exact(Metadata!AB351,"Not applicable"))</f>
        <v>0</v>
      </c>
      <c r="BO351">
        <f>IF(Metadata!AC351="",FALSE,TRUE)</f>
        <v>0</v>
      </c>
    </row>
    <row r="352" spans="1:67">
      <c r="A352" s="5">
        <f>IF(B352=" "," ",HYPERLINK(CONCATENATE("#metadata!",ADDRESS(INDEX($AI$2:$AI$1001,MATCH(ROWS($AG$2:AG352),$AG$2:$AG$1001,0),0),1)),INDEX($AL$2:$AL$1001,MATCH(ROWS($AG$2:AG352),$AG$2:$AG$1001,0),0)))</f>
        <v>0</v>
      </c>
      <c r="B352" s="4">
        <f>IF(OR(INDEX($AH$2:$AH$1001,MATCH(ROWS($AG$2:AG352),$AG$2:$AG$1001,0),1)&gt;=100000,INDEX($AN$1005:$BO$1005,1,MATCH(COLUMNS($AN$1006:AN1006),$AN$1006:$BO$1006,0))&gt;=100000), " ",IF(INDEX($AN$2:$BO$1001,MATCH(ROWS($AG$2:AG352),$AG$2:$AG$1001,0),MATCH(COLUMNS($AN$1006:AN1006),$AN$1006:$BO$1006,0)), HYPERLINK("#",""), HYPERLINK(CONCATENATE("#Metadata!", ADDRESS(INDEX($AI$2:$AI$1001,MATCH(ROWS($AG$2:AG352),$AG$2:$AG$1001,0),0), INDEX($AN$1004:$BO$1004,1,MATCH(COLUMNS($AN$1006:AN1006),$AN$1006:$BO$1006,0)))),"Fix")))</f>
        <v>0</v>
      </c>
      <c r="C352" s="4">
        <f>IF(OR(INDEX($AH$2:$AH$1001,MATCH(ROWS($AG$2:AG352),$AG$2:$AG$1001,0),1)&gt;=100000,INDEX($AN$1005:$BO$1005,1,MATCH(COLUMNS($AN$1006:AO1006),$AN$1006:$BO$1006,0))&gt;=100000), " ",IF(INDEX($AN$2:$BO$1001,MATCH(ROWS($AG$2:AG352),$AG$2:$AG$1001,0),MATCH(COLUMNS($AN$1006:AO1006),$AN$1006:$BO$1006,0)), HYPERLINK("#",""), HYPERLINK(CONCATENATE("#Metadata!", ADDRESS(INDEX($AI$2:$AI$1001,MATCH(ROWS($AG$2:AG352),$AG$2:$AG$1001,0),0), INDEX($AN$1004:$BO$1004,1,MATCH(COLUMNS($AN$1006:AO1006),$AN$1006:$BO$1006,0)))),"Fix")))</f>
        <v>0</v>
      </c>
      <c r="D352" s="4">
        <f>IF(OR(INDEX($AH$2:$AH$1001,MATCH(ROWS($AG$2:AG352),$AG$2:$AG$1001,0),1)&gt;=100000,INDEX($AN$1005:$BO$1005,1,MATCH(COLUMNS($AN$1006:AP1006),$AN$1006:$BO$1006,0))&gt;=100000), " ",IF(INDEX($AN$2:$BO$1001,MATCH(ROWS($AG$2:AG352),$AG$2:$AG$1001,0),MATCH(COLUMNS($AN$1006:AP1006),$AN$1006:$BO$1006,0)), HYPERLINK("#",""), HYPERLINK(CONCATENATE("#Metadata!", ADDRESS(INDEX($AI$2:$AI$1001,MATCH(ROWS($AG$2:AG352),$AG$2:$AG$1001,0),0), INDEX($AN$1004:$BO$1004,1,MATCH(COLUMNS($AN$1006:AP1006),$AN$1006:$BO$1006,0)))),"Fix")))</f>
        <v>0</v>
      </c>
      <c r="E352" s="4">
        <f>IF(OR(INDEX($AH$2:$AH$1001,MATCH(ROWS($AG$2:AG352),$AG$2:$AG$1001,0),1)&gt;=100000,INDEX($AN$1005:$BO$1005,1,MATCH(COLUMNS($AN$1006:AQ1006),$AN$1006:$BO$1006,0))&gt;=100000), " ",IF(INDEX($AN$2:$BO$1001,MATCH(ROWS($AG$2:AG352),$AG$2:$AG$1001,0),MATCH(COLUMNS($AN$1006:AQ1006),$AN$1006:$BO$1006,0)), HYPERLINK("#",""), HYPERLINK(CONCATENATE("#Metadata!", ADDRESS(INDEX($AI$2:$AI$1001,MATCH(ROWS($AG$2:AG352),$AG$2:$AG$1001,0),0), INDEX($AN$1004:$BO$1004,1,MATCH(COLUMNS($AN$1006:AQ1006),$AN$1006:$BO$1006,0)))),"Fix")))</f>
        <v>0</v>
      </c>
      <c r="F352" s="4">
        <f>IF(OR(INDEX($AH$2:$AH$1001,MATCH(ROWS($AG$2:AG352),$AG$2:$AG$1001,0),1)&gt;=100000,INDEX($AN$1005:$BO$1005,1,MATCH(COLUMNS($AN$1006:AR1006),$AN$1006:$BO$1006,0))&gt;=100000), " ",IF(INDEX($AN$2:$BO$1001,MATCH(ROWS($AG$2:AG352),$AG$2:$AG$1001,0),MATCH(COLUMNS($AN$1006:AR1006),$AN$1006:$BO$1006,0)), HYPERLINK("#",""), HYPERLINK(CONCATENATE("#Metadata!", ADDRESS(INDEX($AI$2:$AI$1001,MATCH(ROWS($AG$2:AG352),$AG$2:$AG$1001,0),0), INDEX($AN$1004:$BO$1004,1,MATCH(COLUMNS($AN$1006:AR1006),$AN$1006:$BO$1006,0)))),"Fix")))</f>
        <v>0</v>
      </c>
      <c r="G352" s="4">
        <f>IF(OR(INDEX($AH$2:$AH$1001,MATCH(ROWS($AG$2:AG352),$AG$2:$AG$1001,0),1)&gt;=100000,INDEX($AN$1005:$BO$1005,1,MATCH(COLUMNS($AN$1006:AS1006),$AN$1006:$BO$1006,0))&gt;=100000), " ",IF(INDEX($AN$2:$BO$1001,MATCH(ROWS($AG$2:AG352),$AG$2:$AG$1001,0),MATCH(COLUMNS($AN$1006:AS1006),$AN$1006:$BO$1006,0)), HYPERLINK("#",""), HYPERLINK(CONCATENATE("#Metadata!", ADDRESS(INDEX($AI$2:$AI$1001,MATCH(ROWS($AG$2:AG352),$AG$2:$AG$1001,0),0), INDEX($AN$1004:$BO$1004,1,MATCH(COLUMNS($AN$1006:AS1006),$AN$1006:$BO$1006,0)))),"Fix")))</f>
        <v>0</v>
      </c>
      <c r="H352" s="4">
        <f>IF(OR(INDEX($AH$2:$AH$1001,MATCH(ROWS($AG$2:AG352),$AG$2:$AG$1001,0),1)&gt;=100000,INDEX($AN$1005:$BO$1005,1,MATCH(COLUMNS($AN$1006:AT1006),$AN$1006:$BO$1006,0))&gt;=100000), " ",IF(INDEX($AN$2:$BO$1001,MATCH(ROWS($AG$2:AG352),$AG$2:$AG$1001,0),MATCH(COLUMNS($AN$1006:AT1006),$AN$1006:$BO$1006,0)), HYPERLINK("#",""), HYPERLINK(CONCATENATE("#Metadata!", ADDRESS(INDEX($AI$2:$AI$1001,MATCH(ROWS($AG$2:AG352),$AG$2:$AG$1001,0),0), INDEX($AN$1004:$BO$1004,1,MATCH(COLUMNS($AN$1006:AT1006),$AN$1006:$BO$1006,0)))),"Fix")))</f>
        <v>0</v>
      </c>
      <c r="I352" s="4">
        <f>IF(OR(INDEX($AH$2:$AH$1001,MATCH(ROWS($AG$2:AG352),$AG$2:$AG$1001,0),1)&gt;=100000,INDEX($AN$1005:$BO$1005,1,MATCH(COLUMNS($AN$1006:AU1006),$AN$1006:$BO$1006,0))&gt;=100000), " ",IF(INDEX($AN$2:$BO$1001,MATCH(ROWS($AG$2:AG352),$AG$2:$AG$1001,0),MATCH(COLUMNS($AN$1006:AU1006),$AN$1006:$BO$1006,0)), HYPERLINK("#",""), HYPERLINK(CONCATENATE("#Metadata!", ADDRESS(INDEX($AI$2:$AI$1001,MATCH(ROWS($AG$2:AG352),$AG$2:$AG$1001,0),0), INDEX($AN$1004:$BO$1004,1,MATCH(COLUMNS($AN$1006:AU1006),$AN$1006:$BO$1006,0)))),"Fix")))</f>
        <v>0</v>
      </c>
      <c r="J352" s="4">
        <f>IF(OR(INDEX($AH$2:$AH$1001,MATCH(ROWS($AG$2:AG352),$AG$2:$AG$1001,0),1)&gt;=100000,INDEX($AN$1005:$BO$1005,1,MATCH(COLUMNS($AN$1006:AV1006),$AN$1006:$BO$1006,0))&gt;=100000), " ",IF(INDEX($AN$2:$BO$1001,MATCH(ROWS($AG$2:AG352),$AG$2:$AG$1001,0),MATCH(COLUMNS($AN$1006:AV1006),$AN$1006:$BO$1006,0)), HYPERLINK("#",""), HYPERLINK(CONCATENATE("#Metadata!", ADDRESS(INDEX($AI$2:$AI$1001,MATCH(ROWS($AG$2:AG352),$AG$2:$AG$1001,0),0), INDEX($AN$1004:$BO$1004,1,MATCH(COLUMNS($AN$1006:AV1006),$AN$1006:$BO$1006,0)))),"Fix")))</f>
        <v>0</v>
      </c>
      <c r="K352" s="4">
        <f>IF(OR(INDEX($AH$2:$AH$1001,MATCH(ROWS($AG$2:AG352),$AG$2:$AG$1001,0),1)&gt;=100000,INDEX($AN$1005:$BO$1005,1,MATCH(COLUMNS($AN$1006:AW1006),$AN$1006:$BO$1006,0))&gt;=100000), " ",IF(INDEX($AN$2:$BO$1001,MATCH(ROWS($AG$2:AG352),$AG$2:$AG$1001,0),MATCH(COLUMNS($AN$1006:AW1006),$AN$1006:$BO$1006,0)), HYPERLINK("#",""), HYPERLINK(CONCATENATE("#Metadata!", ADDRESS(INDEX($AI$2:$AI$1001,MATCH(ROWS($AG$2:AG352),$AG$2:$AG$1001,0),0), INDEX($AN$1004:$BO$1004,1,MATCH(COLUMNS($AN$1006:AW1006),$AN$1006:$BO$1006,0)))),"Fix")))</f>
        <v>0</v>
      </c>
      <c r="L352" s="4">
        <f>IF(OR(INDEX($AH$2:$AH$1001,MATCH(ROWS($AG$2:AG352),$AG$2:$AG$1001,0),1)&gt;=100000,INDEX($AN$1005:$BO$1005,1,MATCH(COLUMNS($AN$1006:AX1006),$AN$1006:$BO$1006,0))&gt;=100000), " ",IF(INDEX($AN$2:$BO$1001,MATCH(ROWS($AG$2:AG352),$AG$2:$AG$1001,0),MATCH(COLUMNS($AN$1006:AX1006),$AN$1006:$BO$1006,0)), HYPERLINK("#",""), HYPERLINK(CONCATENATE("#Metadata!", ADDRESS(INDEX($AI$2:$AI$1001,MATCH(ROWS($AG$2:AG352),$AG$2:$AG$1001,0),0), INDEX($AN$1004:$BO$1004,1,MATCH(COLUMNS($AN$1006:AX1006),$AN$1006:$BO$1006,0)))),"Fix")))</f>
        <v>0</v>
      </c>
      <c r="M352" s="4">
        <f>IF(OR(INDEX($AH$2:$AH$1001,MATCH(ROWS($AG$2:AG352),$AG$2:$AG$1001,0),1)&gt;=100000,INDEX($AN$1005:$BO$1005,1,MATCH(COLUMNS($AN$1006:AY1006),$AN$1006:$BO$1006,0))&gt;=100000), " ",IF(INDEX($AN$2:$BO$1001,MATCH(ROWS($AG$2:AG352),$AG$2:$AG$1001,0),MATCH(COLUMNS($AN$1006:AY1006),$AN$1006:$BO$1006,0)), HYPERLINK("#",""), HYPERLINK(CONCATENATE("#Metadata!", ADDRESS(INDEX($AI$2:$AI$1001,MATCH(ROWS($AG$2:AG352),$AG$2:$AG$1001,0),0), INDEX($AN$1004:$BO$1004,1,MATCH(COLUMNS($AN$1006:AY1006),$AN$1006:$BO$1006,0)))),"Fix")))</f>
        <v>0</v>
      </c>
      <c r="N352" s="4">
        <f>IF(OR(INDEX($AH$2:$AH$1001,MATCH(ROWS($AG$2:AG352),$AG$2:$AG$1001,0),1)&gt;=100000,INDEX($AN$1005:$BO$1005,1,MATCH(COLUMNS($AN$1006:AZ1006),$AN$1006:$BO$1006,0))&gt;=100000), " ",IF(INDEX($AN$2:$BO$1001,MATCH(ROWS($AG$2:AG352),$AG$2:$AG$1001,0),MATCH(COLUMNS($AN$1006:AZ1006),$AN$1006:$BO$1006,0)), HYPERLINK("#",""), HYPERLINK(CONCATENATE("#Metadata!", ADDRESS(INDEX($AI$2:$AI$1001,MATCH(ROWS($AG$2:AG352),$AG$2:$AG$1001,0),0), INDEX($AN$1004:$BO$1004,1,MATCH(COLUMNS($AN$1006:AZ1006),$AN$1006:$BO$1006,0)))),"Fix")))</f>
        <v>0</v>
      </c>
      <c r="O352" s="4">
        <f>IF(OR(INDEX($AH$2:$AH$1001,MATCH(ROWS($AG$2:AG352),$AG$2:$AG$1001,0),1)&gt;=100000,INDEX($AN$1005:$BO$1005,1,MATCH(COLUMNS($AN$1006:BA1006),$AN$1006:$BO$1006,0))&gt;=100000), " ",IF(INDEX($AN$2:$BO$1001,MATCH(ROWS($AG$2:AG352),$AG$2:$AG$1001,0),MATCH(COLUMNS($AN$1006:BA1006),$AN$1006:$BO$1006,0)), HYPERLINK("#",""), HYPERLINK(CONCATENATE("#Metadata!", ADDRESS(INDEX($AI$2:$AI$1001,MATCH(ROWS($AG$2:AG352),$AG$2:$AG$1001,0),0), INDEX($AN$1004:$BO$1004,1,MATCH(COLUMNS($AN$1006:BA1006),$AN$1006:$BO$1006,0)))),"Fix")))</f>
        <v>0</v>
      </c>
      <c r="P352" s="4">
        <f>IF(OR(INDEX($AH$2:$AH$1001,MATCH(ROWS($AG$2:AG352),$AG$2:$AG$1001,0),1)&gt;=100000,INDEX($AN$1005:$BO$1005,1,MATCH(COLUMNS($AN$1006:BB1006),$AN$1006:$BO$1006,0))&gt;=100000), " ",IF(INDEX($AN$2:$BO$1001,MATCH(ROWS($AG$2:AG352),$AG$2:$AG$1001,0),MATCH(COLUMNS($AN$1006:BB1006),$AN$1006:$BO$1006,0)), HYPERLINK("#",""), HYPERLINK(CONCATENATE("#Metadata!", ADDRESS(INDEX($AI$2:$AI$1001,MATCH(ROWS($AG$2:AG352),$AG$2:$AG$1001,0),0), INDEX($AN$1004:$BO$1004,1,MATCH(COLUMNS($AN$1006:BB1006),$AN$1006:$BO$1006,0)))),"Fix")))</f>
        <v>0</v>
      </c>
      <c r="Q352" s="4">
        <f>IF(OR(INDEX($AH$2:$AH$1001,MATCH(ROWS($AG$2:AG352),$AG$2:$AG$1001,0),1)&gt;=100000,INDEX($AN$1005:$BO$1005,1,MATCH(COLUMNS($AN$1006:BC1006),$AN$1006:$BO$1006,0))&gt;=100000), " ",IF(INDEX($AN$2:$BO$1001,MATCH(ROWS($AG$2:AG352),$AG$2:$AG$1001,0),MATCH(COLUMNS($AN$1006:BC1006),$AN$1006:$BO$1006,0)), HYPERLINK("#",""), HYPERLINK(CONCATENATE("#Metadata!", ADDRESS(INDEX($AI$2:$AI$1001,MATCH(ROWS($AG$2:AG352),$AG$2:$AG$1001,0),0), INDEX($AN$1004:$BO$1004,1,MATCH(COLUMNS($AN$1006:BC1006),$AN$1006:$BO$1006,0)))),"Fix")))</f>
        <v>0</v>
      </c>
      <c r="R352" s="4">
        <f>IF(OR(INDEX($AH$2:$AH$1001,MATCH(ROWS($AG$2:AG352),$AG$2:$AG$1001,0),1)&gt;=100000,INDEX($AN$1005:$BO$1005,1,MATCH(COLUMNS($AN$1006:BD1006),$AN$1006:$BO$1006,0))&gt;=100000), " ",IF(INDEX($AN$2:$BO$1001,MATCH(ROWS($AG$2:AG352),$AG$2:$AG$1001,0),MATCH(COLUMNS($AN$1006:BD1006),$AN$1006:$BO$1006,0)), HYPERLINK("#",""), HYPERLINK(CONCATENATE("#Metadata!", ADDRESS(INDEX($AI$2:$AI$1001,MATCH(ROWS($AG$2:AG352),$AG$2:$AG$1001,0),0), INDEX($AN$1004:$BO$1004,1,MATCH(COLUMNS($AN$1006:BD1006),$AN$1006:$BO$1006,0)))),"Fix")))</f>
        <v>0</v>
      </c>
      <c r="S352" s="4">
        <f>IF(OR(INDEX($AH$2:$AH$1001,MATCH(ROWS($AG$2:AG352),$AG$2:$AG$1001,0),1)&gt;=100000,INDEX($AN$1005:$BO$1005,1,MATCH(COLUMNS($AN$1006:BE1006),$AN$1006:$BO$1006,0))&gt;=100000), " ",IF(INDEX($AN$2:$BO$1001,MATCH(ROWS($AG$2:AG352),$AG$2:$AG$1001,0),MATCH(COLUMNS($AN$1006:BE1006),$AN$1006:$BO$1006,0)), HYPERLINK("#",""), HYPERLINK(CONCATENATE("#Metadata!", ADDRESS(INDEX($AI$2:$AI$1001,MATCH(ROWS($AG$2:AG352),$AG$2:$AG$1001,0),0), INDEX($AN$1004:$BO$1004,1,MATCH(COLUMNS($AN$1006:BE1006),$AN$1006:$BO$1006,0)))),"Fix")))</f>
        <v>0</v>
      </c>
      <c r="T352" s="4">
        <f>IF(OR(INDEX($AH$2:$AH$1001,MATCH(ROWS($AG$2:AG352),$AG$2:$AG$1001,0),1)&gt;=100000,INDEX($AN$1005:$BO$1005,1,MATCH(COLUMNS($AN$1006:BF1006),$AN$1006:$BO$1006,0))&gt;=100000), " ",IF(INDEX($AN$2:$BO$1001,MATCH(ROWS($AG$2:AG352),$AG$2:$AG$1001,0),MATCH(COLUMNS($AN$1006:BF1006),$AN$1006:$BO$1006,0)), HYPERLINK("#",""), HYPERLINK(CONCATENATE("#Metadata!", ADDRESS(INDEX($AI$2:$AI$1001,MATCH(ROWS($AG$2:AG352),$AG$2:$AG$1001,0),0), INDEX($AN$1004:$BO$1004,1,MATCH(COLUMNS($AN$1006:BF1006),$AN$1006:$BO$1006,0)))),"Fix")))</f>
        <v>0</v>
      </c>
      <c r="U352" s="4">
        <f>IF(OR(INDEX($AH$2:$AH$1001,MATCH(ROWS($AG$2:AG352),$AG$2:$AG$1001,0),1)&gt;=100000,INDEX($AN$1005:$BO$1005,1,MATCH(COLUMNS($AN$1006:BG1006),$AN$1006:$BO$1006,0))&gt;=100000), " ",IF(INDEX($AN$2:$BO$1001,MATCH(ROWS($AG$2:AG352),$AG$2:$AG$1001,0),MATCH(COLUMNS($AN$1006:BG1006),$AN$1006:$BO$1006,0)), HYPERLINK("#",""), HYPERLINK(CONCATENATE("#Metadata!", ADDRESS(INDEX($AI$2:$AI$1001,MATCH(ROWS($AG$2:AG352),$AG$2:$AG$1001,0),0), INDEX($AN$1004:$BO$1004,1,MATCH(COLUMNS($AN$1006:BG1006),$AN$1006:$BO$1006,0)))),"Fix")))</f>
        <v>0</v>
      </c>
      <c r="V352" s="4">
        <f>IF(OR(INDEX($AH$2:$AH$1001,MATCH(ROWS($AG$2:AG352),$AG$2:$AG$1001,0),1)&gt;=100000,INDEX($AN$1005:$BO$1005,1,MATCH(COLUMNS($AN$1006:BH1006),$AN$1006:$BO$1006,0))&gt;=100000), " ",IF(INDEX($AN$2:$BO$1001,MATCH(ROWS($AG$2:AG352),$AG$2:$AG$1001,0),MATCH(COLUMNS($AN$1006:BH1006),$AN$1006:$BO$1006,0)), HYPERLINK("#",""), HYPERLINK(CONCATENATE("#Metadata!", ADDRESS(INDEX($AI$2:$AI$1001,MATCH(ROWS($AG$2:AG352),$AG$2:$AG$1001,0),0), INDEX($AN$1004:$BO$1004,1,MATCH(COLUMNS($AN$1006:BH1006),$AN$1006:$BO$1006,0)))),"Fix")))</f>
        <v>0</v>
      </c>
      <c r="W352" s="4">
        <f>IF(OR(INDEX($AH$2:$AH$1001,MATCH(ROWS($AG$2:AG352),$AG$2:$AG$1001,0),1)&gt;=100000,INDEX($AN$1005:$BO$1005,1,MATCH(COLUMNS($AN$1006:BI1006),$AN$1006:$BO$1006,0))&gt;=100000), " ",IF(INDEX($AN$2:$BO$1001,MATCH(ROWS($AG$2:AG352),$AG$2:$AG$1001,0),MATCH(COLUMNS($AN$1006:BI1006),$AN$1006:$BO$1006,0)), HYPERLINK("#",""), HYPERLINK(CONCATENATE("#Metadata!", ADDRESS(INDEX($AI$2:$AI$1001,MATCH(ROWS($AG$2:AG352),$AG$2:$AG$1001,0),0), INDEX($AN$1004:$BO$1004,1,MATCH(COLUMNS($AN$1006:BI1006),$AN$1006:$BO$1006,0)))),"Fix")))</f>
        <v>0</v>
      </c>
      <c r="X352" s="4">
        <f>IF(OR(INDEX($AH$2:$AH$1001,MATCH(ROWS($AG$2:AG352),$AG$2:$AG$1001,0),1)&gt;=100000,INDEX($AN$1005:$BO$1005,1,MATCH(COLUMNS($AN$1006:BJ1006),$AN$1006:$BO$1006,0))&gt;=100000), " ",IF(INDEX($AN$2:$BO$1001,MATCH(ROWS($AG$2:AG352),$AG$2:$AG$1001,0),MATCH(COLUMNS($AN$1006:BJ1006),$AN$1006:$BO$1006,0)), HYPERLINK("#",""), HYPERLINK(CONCATENATE("#Metadata!", ADDRESS(INDEX($AI$2:$AI$1001,MATCH(ROWS($AG$2:AG352),$AG$2:$AG$1001,0),0), INDEX($AN$1004:$BO$1004,1,MATCH(COLUMNS($AN$1006:BJ1006),$AN$1006:$BO$1006,0)))),"Fix")))</f>
        <v>0</v>
      </c>
      <c r="Y352" s="4">
        <f>IF(OR(INDEX($AH$2:$AH$1001,MATCH(ROWS($AG$2:AG352),$AG$2:$AG$1001,0),1)&gt;=100000,INDEX($AN$1005:$BO$1005,1,MATCH(COLUMNS($AN$1006:BK1006),$AN$1006:$BO$1006,0))&gt;=100000), " ",IF(INDEX($AN$2:$BO$1001,MATCH(ROWS($AG$2:AG352),$AG$2:$AG$1001,0),MATCH(COLUMNS($AN$1006:BK1006),$AN$1006:$BO$1006,0)), HYPERLINK("#",""), HYPERLINK(CONCATENATE("#Metadata!", ADDRESS(INDEX($AI$2:$AI$1001,MATCH(ROWS($AG$2:AG352),$AG$2:$AG$1001,0),0), INDEX($AN$1004:$BO$1004,1,MATCH(COLUMNS($AN$1006:BK1006),$AN$1006:$BO$1006,0)))),"Fix")))</f>
        <v>0</v>
      </c>
      <c r="Z352" s="4">
        <f>IF(OR(INDEX($AH$2:$AH$1001,MATCH(ROWS($AG$2:AG352),$AG$2:$AG$1001,0),1)&gt;=100000,INDEX($AN$1005:$BO$1005,1,MATCH(COLUMNS($AN$1006:BL1006),$AN$1006:$BO$1006,0))&gt;=100000), " ",IF(INDEX($AN$2:$BO$1001,MATCH(ROWS($AG$2:AG352),$AG$2:$AG$1001,0),MATCH(COLUMNS($AN$1006:BL1006),$AN$1006:$BO$1006,0)), HYPERLINK("#",""), HYPERLINK(CONCATENATE("#Metadata!", ADDRESS(INDEX($AI$2:$AI$1001,MATCH(ROWS($AG$2:AG352),$AG$2:$AG$1001,0),0), INDEX($AN$1004:$BO$1004,1,MATCH(COLUMNS($AN$1006:BL1006),$AN$1006:$BO$1006,0)))),"Fix")))</f>
        <v>0</v>
      </c>
      <c r="AA352" s="4">
        <f>IF(OR(INDEX($AH$2:$AH$1001,MATCH(ROWS($AG$2:AG352),$AG$2:$AG$1001,0),1)&gt;=100000,INDEX($AN$1005:$BO$1005,1,MATCH(COLUMNS($AN$1006:BM1006),$AN$1006:$BO$1006,0))&gt;=100000), " ",IF(INDEX($AN$2:$BO$1001,MATCH(ROWS($AG$2:AG352),$AG$2:$AG$1001,0),MATCH(COLUMNS($AN$1006:BM1006),$AN$1006:$BO$1006,0)), HYPERLINK("#",""), HYPERLINK(CONCATENATE("#Metadata!", ADDRESS(INDEX($AI$2:$AI$1001,MATCH(ROWS($AG$2:AG352),$AG$2:$AG$1001,0),0), INDEX($AN$1004:$BO$1004,1,MATCH(COLUMNS($AN$1006:BM1006),$AN$1006:$BO$1006,0)))),"Fix")))</f>
        <v>0</v>
      </c>
      <c r="AB352" s="4">
        <f>IF(OR(INDEX($AH$2:$AH$1001,MATCH(ROWS($AG$2:AG352),$AG$2:$AG$1001,0),1)&gt;=100000,INDEX($AN$1005:$BO$1005,1,MATCH(COLUMNS($AN$1006:BN1006),$AN$1006:$BO$1006,0))&gt;=100000), " ",IF(INDEX($AN$2:$BO$1001,MATCH(ROWS($AG$2:AG352),$AG$2:$AG$1001,0),MATCH(COLUMNS($AN$1006:BN1006),$AN$1006:$BO$1006,0)), HYPERLINK("#",""), HYPERLINK(CONCATENATE("#Metadata!", ADDRESS(INDEX($AI$2:$AI$1001,MATCH(ROWS($AG$2:AG352),$AG$2:$AG$1001,0),0), INDEX($AN$1004:$BO$1004,1,MATCH(COLUMNS($AN$1006:BN1006),$AN$1006:$BO$1006,0)))),"Fix")))</f>
        <v>0</v>
      </c>
      <c r="AC352" s="4">
        <f>IF(OR(INDEX($AH$2:$AH$1001,MATCH(ROWS($AG$2:AG352),$AG$2:$AG$1001,0),1)&gt;=100000,INDEX($AN$1005:$BO$1005,1,MATCH(COLUMNS($AN$1006:BO1006),$AN$1006:$BO$1006,0))&gt;=100000), " ",IF(INDEX($AN$2:$BO$1001,MATCH(ROWS($AG$2:AG352),$AG$2:$AG$1001,0),MATCH(COLUMNS($AN$1006:BO1006),$AN$1006:$BO$1006,0)), HYPERLINK("#",""), HYPERLINK(CONCATENATE("#Metadata!", ADDRESS(INDEX($AI$2:$AI$1001,MATCH(ROWS($AG$2:AG352),$AG$2:$AG$1001,0),0), INDEX($AN$1004:$BO$1004,1,MATCH(COLUMNS($AN$1006:BO1006),$AN$1006:$BO$1006,0)))),"Fix")))</f>
        <v>0</v>
      </c>
      <c r="AG352">
        <v>0</v>
      </c>
      <c r="AH352">
        <v>0</v>
      </c>
      <c r="AI352">
        <v>0</v>
      </c>
      <c r="AJ352">
        <f>IF(AK352,TRUE,AND(AN352:BO352))</f>
        <v>0</v>
      </c>
      <c r="AK352">
        <f>COUNTBLANK(Metadata!B352:AC352)=COLUMNS(Metadata!B352:AC352)</f>
        <v>0</v>
      </c>
      <c r="AL352">
        <v>0</v>
      </c>
      <c r="AN352">
        <f>AND(IF(Metadata!B352="",FALSE,TRUE),COUNTIF(Metadata!B:B, Metadata!B352) = 1,NOT(ISERROR(SUMPRODUCT(SEARCH(MID(Metadata!B352,ROW(INDIRECT("1:"&amp;LEN(Metadata!B352))), 1),"0123456789abcdefghijklmnopqrstuvwxyzABCDEFGHIJKLMNOPQRSTUVWXYZ.")))))</f>
        <v>0</v>
      </c>
      <c r="AO352">
        <f>IF(Metadata!C352="",FALSE,TRUE)</f>
        <v>0</v>
      </c>
      <c r="AP352">
        <f>IF(Metadata!D352="",FALSE,TRUE)</f>
        <v>0</v>
      </c>
      <c r="AQ352">
        <f>OR(AND(IF(Metadata!E352="",FALSE,TRUE),OR(exact(Metadata!E352,"not collected"),exact(Metadata!E352,"not provided"),exact(Metadata!E352,"restricted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R352">
        <f>IF(Metadata!F352="",FALSE,TRUE)</f>
        <v>0</v>
      </c>
      <c r="AS352">
        <f>OR(AND(IF(Metadata!G352="",FALSE,TRUE),OR(exact(Metadata!G352,"not collected"),exact(Metadata!G352,"not provided"))),AND(IF(Metadata!G352="",FALSE,TRUE),OR(exact(Metadata!G352,"TRUE"),exact(Metadata!G352,"FALSE"))))</f>
        <v>0</v>
      </c>
      <c r="AT352">
        <f>OR(AND(IF(Metadata!H352="",FALSE,TRUE),OR(exact(Metadata!H352,"not collected"),exact(Metadata!H352,"not provided"),exact(Metadata!H352,"restricted access"))),AND(IF(Metadata!H352="",FALSE,ISNUMBER(VALUE(Metadata!H352))),Metadata!H352&gt;=-413.0))</f>
        <v>0</v>
      </c>
      <c r="AU352">
        <f>AND(IF(Metadata!I352="",FALSE,TRUE),exact(Metadata!I352,"meters"))</f>
        <v>0</v>
      </c>
      <c r="AV352">
        <f>AND(IF(Metadata!J352="",FALSE,TRUE),OR(exact(Metadata!J352,"Host-associated"),exact(Metadata!J352,"Free-living")))</f>
        <v>0</v>
      </c>
      <c r="AW352">
        <f>AND(IF(Metadata!K352="",FALSE,TRUE),OR(exact(Metadata!K352,"Animal"),exact(Metadata!K352,"Fungus"),exact(Metadata!K352,"Plant"),exact(Metadata!K352,"Saline"),exact(Metadata!K352,"Non-saline")))</f>
        <v>0</v>
      </c>
      <c r="AX352">
        <f>AND(IF(Metadata!L352="",FALSE,TRUE),OR(exact(Metadata!L352,"Plant secretion"),exact(Metadata!L352,"Plant rhizosphere"),exact(Metadata!L352,"Plant surface"),exact(Metadata!L352,"Plant corpus"),exact(Metadata!L352,"Fungus surface"),exact(Metadata!L352,"Fungus corpus"),exact(Metadata!L352,"Animal surface"),exact(Metadata!L352,"Animal proximal gut"),exact(Metadata!L352,"Animal corpus"),exact(Metadata!L352,"Animal distal gut"),exact(Metadata!L352,"Animal secretion"),exact(Metadata!L352,"Sub-surface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Y352">
        <f>IF(Metadata!M352="",FALSE,TRUE)</f>
        <v>0</v>
      </c>
      <c r="AZ352">
        <f>IF(Metadata!N352="",FALSE,TRUE)</f>
        <v>0</v>
      </c>
      <c r="BA352">
        <f>IF(Metadata!O352="",FALSE,TRUE)</f>
        <v>0</v>
      </c>
      <c r="BB352">
        <f>OR(AND(IF(Metadata!P352="",FALSE,TRUE),OR(exact(Metadata!P352,"not collected"),exact(Metadata!P352,"not provided"),exact(Metadata!P352,"restricted access"))),AND(IF(Metadata!P352="",FALSE,TRUE),OR(exact(Metadata!P352,"air"),exact(Metadata!P352,"built environment"),exact(Metadata!P352,"host-associated"),exact(Metadata!P352,"human-associated"),exact(Metadata!P352,"human-skin"),exact(Metadata!P352,"human-oral"),exact(Metadata!P352,"human-gut"),exact(Metadata!P352,"human-vaginal"),exact(Metadata!P352,"microbial mat/biofilm"),exact(Metadata!P352,"misc environment"),exact(Metadata!P352,"plant-associated"),exact(Metadata!P352,"sediment"),exact(Metadata!P352,"soil"),exact(Metadata!P352,"wastewater/sludge"),exact(Metadata!P352,"water"))))</f>
        <v>0</v>
      </c>
      <c r="BC352">
        <f>IF(Metadata!Q352="",FALSE,TRUE)</f>
        <v>0</v>
      </c>
      <c r="BD352">
        <f>IF(Metadata!R352="",FALSE,TRUE)</f>
        <v>0</v>
      </c>
      <c r="BE352">
        <f>OR(AND(IF(Metadata!S352="",FALSE,TRUE),OR(exact(Metadata!S352,"not collected"),exact(Metadata!S352,"not provided"),exact(Metadata!S352,"restricted access"))),AND(IF(Metadata!S352="",FALSE,ISNUMBER(VALUE(Metadata!S352))),Metadata!S352&gt;=-90.00,Metadata!S352&lt;=90.00))</f>
        <v>0</v>
      </c>
      <c r="BF352">
        <f>AND(IF(Metadata!T352="",FALSE,TRUE),exact(Metadata!T352,"Decimal degrees"))</f>
        <v>0</v>
      </c>
      <c r="BG352">
        <f>OR(AND(IF(Metadata!U352="",FALSE,TRUE),OR(exact(Metadata!U352,"not collected"),exact(Metadata!U352,"not provided"),exact(Metadata!U352,"restricted access"))),AND(IF(Metadata!U352="",FALSE,ISNUMBER(VALUE(Metadata!U352))),Metadata!U352&gt;=-180.00,Metadata!U352&lt;=180.00))</f>
        <v>0</v>
      </c>
      <c r="BH352">
        <f>AND(IF(Metadata!V352="",FALSE,TRUE),exact(Metadata!V352,"Decimal degrees"))</f>
        <v>0</v>
      </c>
      <c r="BI352">
        <f>IF(Metadata!W352="",FALSE,TRUE)</f>
        <v>0</v>
      </c>
      <c r="BJ352">
        <f>OR(AND(IF(Metadata!X352="",FALSE,TRUE),OR(exact(Metadata!X352,"not collected"),exact(Metadata!X352,"not provided"),exact(Metadata!X352,"restricted access"))),AND(IF(Metadata!X352="",FALSE,TRUE),OR(exact(Metadata!X352,"TRUE"),exact(Metadata!X352,"FALSE"))))</f>
        <v>0</v>
      </c>
      <c r="BK352">
        <f>AND(IF(Metadata!Y352="",FALSE,TRUE),exact(Metadata!Y352,"other"))</f>
        <v>0</v>
      </c>
      <c r="BL352">
        <f>IF(Metadata!Z352="",FALSE,TRUE)</f>
        <v>0</v>
      </c>
      <c r="BM352">
        <f>OR(AND(IF(Metadata!AA352="",FALSE,TRUE),OR(exact(Metadata!AA352,"not collected"),exact(Metadata!AA352,"not provided"))),AND(IF(Metadata!AA352="",FALSE,IF(ISERROR(INT(Metadata!AA352)),FALSE,INT(Metadata!AA352)=Metadata!AA352)),Metadata!AA352&gt;0))</f>
        <v>0</v>
      </c>
      <c r="BN352">
        <f>AND(IF(Metadata!AB352="",FALSE,TRUE),exact(Metadata!AB352,"Not applicable"))</f>
        <v>0</v>
      </c>
      <c r="BO352">
        <f>IF(Metadata!AC352="",FALSE,TRUE)</f>
        <v>0</v>
      </c>
    </row>
    <row r="353" spans="1:67">
      <c r="A353" s="5">
        <f>IF(B353=" "," ",HYPERLINK(CONCATENATE("#metadata!",ADDRESS(INDEX($AI$2:$AI$1001,MATCH(ROWS($AG$2:AG353),$AG$2:$AG$1001,0),0),1)),INDEX($AL$2:$AL$1001,MATCH(ROWS($AG$2:AG353),$AG$2:$AG$1001,0),0)))</f>
        <v>0</v>
      </c>
      <c r="B353" s="4">
        <f>IF(OR(INDEX($AH$2:$AH$1001,MATCH(ROWS($AG$2:AG353),$AG$2:$AG$1001,0),1)&gt;=100000,INDEX($AN$1005:$BO$1005,1,MATCH(COLUMNS($AN$1006:AN1006),$AN$1006:$BO$1006,0))&gt;=100000), " ",IF(INDEX($AN$2:$BO$1001,MATCH(ROWS($AG$2:AG353),$AG$2:$AG$1001,0),MATCH(COLUMNS($AN$1006:AN1006),$AN$1006:$BO$1006,0)), HYPERLINK("#",""), HYPERLINK(CONCATENATE("#Metadata!", ADDRESS(INDEX($AI$2:$AI$1001,MATCH(ROWS($AG$2:AG353),$AG$2:$AG$1001,0),0), INDEX($AN$1004:$BO$1004,1,MATCH(COLUMNS($AN$1006:AN1006),$AN$1006:$BO$1006,0)))),"Fix")))</f>
        <v>0</v>
      </c>
      <c r="C353" s="4">
        <f>IF(OR(INDEX($AH$2:$AH$1001,MATCH(ROWS($AG$2:AG353),$AG$2:$AG$1001,0),1)&gt;=100000,INDEX($AN$1005:$BO$1005,1,MATCH(COLUMNS($AN$1006:AO1006),$AN$1006:$BO$1006,0))&gt;=100000), " ",IF(INDEX($AN$2:$BO$1001,MATCH(ROWS($AG$2:AG353),$AG$2:$AG$1001,0),MATCH(COLUMNS($AN$1006:AO1006),$AN$1006:$BO$1006,0)), HYPERLINK("#",""), HYPERLINK(CONCATENATE("#Metadata!", ADDRESS(INDEX($AI$2:$AI$1001,MATCH(ROWS($AG$2:AG353),$AG$2:$AG$1001,0),0), INDEX($AN$1004:$BO$1004,1,MATCH(COLUMNS($AN$1006:AO1006),$AN$1006:$BO$1006,0)))),"Fix")))</f>
        <v>0</v>
      </c>
      <c r="D353" s="4">
        <f>IF(OR(INDEX($AH$2:$AH$1001,MATCH(ROWS($AG$2:AG353),$AG$2:$AG$1001,0),1)&gt;=100000,INDEX($AN$1005:$BO$1005,1,MATCH(COLUMNS($AN$1006:AP1006),$AN$1006:$BO$1006,0))&gt;=100000), " ",IF(INDEX($AN$2:$BO$1001,MATCH(ROWS($AG$2:AG353),$AG$2:$AG$1001,0),MATCH(COLUMNS($AN$1006:AP1006),$AN$1006:$BO$1006,0)), HYPERLINK("#",""), HYPERLINK(CONCATENATE("#Metadata!", ADDRESS(INDEX($AI$2:$AI$1001,MATCH(ROWS($AG$2:AG353),$AG$2:$AG$1001,0),0), INDEX($AN$1004:$BO$1004,1,MATCH(COLUMNS($AN$1006:AP1006),$AN$1006:$BO$1006,0)))),"Fix")))</f>
        <v>0</v>
      </c>
      <c r="E353" s="4">
        <f>IF(OR(INDEX($AH$2:$AH$1001,MATCH(ROWS($AG$2:AG353),$AG$2:$AG$1001,0),1)&gt;=100000,INDEX($AN$1005:$BO$1005,1,MATCH(COLUMNS($AN$1006:AQ1006),$AN$1006:$BO$1006,0))&gt;=100000), " ",IF(INDEX($AN$2:$BO$1001,MATCH(ROWS($AG$2:AG353),$AG$2:$AG$1001,0),MATCH(COLUMNS($AN$1006:AQ1006),$AN$1006:$BO$1006,0)), HYPERLINK("#",""), HYPERLINK(CONCATENATE("#Metadata!", ADDRESS(INDEX($AI$2:$AI$1001,MATCH(ROWS($AG$2:AG353),$AG$2:$AG$1001,0),0), INDEX($AN$1004:$BO$1004,1,MATCH(COLUMNS($AN$1006:AQ1006),$AN$1006:$BO$1006,0)))),"Fix")))</f>
        <v>0</v>
      </c>
      <c r="F353" s="4">
        <f>IF(OR(INDEX($AH$2:$AH$1001,MATCH(ROWS($AG$2:AG353),$AG$2:$AG$1001,0),1)&gt;=100000,INDEX($AN$1005:$BO$1005,1,MATCH(COLUMNS($AN$1006:AR1006),$AN$1006:$BO$1006,0))&gt;=100000), " ",IF(INDEX($AN$2:$BO$1001,MATCH(ROWS($AG$2:AG353),$AG$2:$AG$1001,0),MATCH(COLUMNS($AN$1006:AR1006),$AN$1006:$BO$1006,0)), HYPERLINK("#",""), HYPERLINK(CONCATENATE("#Metadata!", ADDRESS(INDEX($AI$2:$AI$1001,MATCH(ROWS($AG$2:AG353),$AG$2:$AG$1001,0),0), INDEX($AN$1004:$BO$1004,1,MATCH(COLUMNS($AN$1006:AR1006),$AN$1006:$BO$1006,0)))),"Fix")))</f>
        <v>0</v>
      </c>
      <c r="G353" s="4">
        <f>IF(OR(INDEX($AH$2:$AH$1001,MATCH(ROWS($AG$2:AG353),$AG$2:$AG$1001,0),1)&gt;=100000,INDEX($AN$1005:$BO$1005,1,MATCH(COLUMNS($AN$1006:AS1006),$AN$1006:$BO$1006,0))&gt;=100000), " ",IF(INDEX($AN$2:$BO$1001,MATCH(ROWS($AG$2:AG353),$AG$2:$AG$1001,0),MATCH(COLUMNS($AN$1006:AS1006),$AN$1006:$BO$1006,0)), HYPERLINK("#",""), HYPERLINK(CONCATENATE("#Metadata!", ADDRESS(INDEX($AI$2:$AI$1001,MATCH(ROWS($AG$2:AG353),$AG$2:$AG$1001,0),0), INDEX($AN$1004:$BO$1004,1,MATCH(COLUMNS($AN$1006:AS1006),$AN$1006:$BO$1006,0)))),"Fix")))</f>
        <v>0</v>
      </c>
      <c r="H353" s="4">
        <f>IF(OR(INDEX($AH$2:$AH$1001,MATCH(ROWS($AG$2:AG353),$AG$2:$AG$1001,0),1)&gt;=100000,INDEX($AN$1005:$BO$1005,1,MATCH(COLUMNS($AN$1006:AT1006),$AN$1006:$BO$1006,0))&gt;=100000), " ",IF(INDEX($AN$2:$BO$1001,MATCH(ROWS($AG$2:AG353),$AG$2:$AG$1001,0),MATCH(COLUMNS($AN$1006:AT1006),$AN$1006:$BO$1006,0)), HYPERLINK("#",""), HYPERLINK(CONCATENATE("#Metadata!", ADDRESS(INDEX($AI$2:$AI$1001,MATCH(ROWS($AG$2:AG353),$AG$2:$AG$1001,0),0), INDEX($AN$1004:$BO$1004,1,MATCH(COLUMNS($AN$1006:AT1006),$AN$1006:$BO$1006,0)))),"Fix")))</f>
        <v>0</v>
      </c>
      <c r="I353" s="4">
        <f>IF(OR(INDEX($AH$2:$AH$1001,MATCH(ROWS($AG$2:AG353),$AG$2:$AG$1001,0),1)&gt;=100000,INDEX($AN$1005:$BO$1005,1,MATCH(COLUMNS($AN$1006:AU1006),$AN$1006:$BO$1006,0))&gt;=100000), " ",IF(INDEX($AN$2:$BO$1001,MATCH(ROWS($AG$2:AG353),$AG$2:$AG$1001,0),MATCH(COLUMNS($AN$1006:AU1006),$AN$1006:$BO$1006,0)), HYPERLINK("#",""), HYPERLINK(CONCATENATE("#Metadata!", ADDRESS(INDEX($AI$2:$AI$1001,MATCH(ROWS($AG$2:AG353),$AG$2:$AG$1001,0),0), INDEX($AN$1004:$BO$1004,1,MATCH(COLUMNS($AN$1006:AU1006),$AN$1006:$BO$1006,0)))),"Fix")))</f>
        <v>0</v>
      </c>
      <c r="J353" s="4">
        <f>IF(OR(INDEX($AH$2:$AH$1001,MATCH(ROWS($AG$2:AG353),$AG$2:$AG$1001,0),1)&gt;=100000,INDEX($AN$1005:$BO$1005,1,MATCH(COLUMNS($AN$1006:AV1006),$AN$1006:$BO$1006,0))&gt;=100000), " ",IF(INDEX($AN$2:$BO$1001,MATCH(ROWS($AG$2:AG353),$AG$2:$AG$1001,0),MATCH(COLUMNS($AN$1006:AV1006),$AN$1006:$BO$1006,0)), HYPERLINK("#",""), HYPERLINK(CONCATENATE("#Metadata!", ADDRESS(INDEX($AI$2:$AI$1001,MATCH(ROWS($AG$2:AG353),$AG$2:$AG$1001,0),0), INDEX($AN$1004:$BO$1004,1,MATCH(COLUMNS($AN$1006:AV1006),$AN$1006:$BO$1006,0)))),"Fix")))</f>
        <v>0</v>
      </c>
      <c r="K353" s="4">
        <f>IF(OR(INDEX($AH$2:$AH$1001,MATCH(ROWS($AG$2:AG353),$AG$2:$AG$1001,0),1)&gt;=100000,INDEX($AN$1005:$BO$1005,1,MATCH(COLUMNS($AN$1006:AW1006),$AN$1006:$BO$1006,0))&gt;=100000), " ",IF(INDEX($AN$2:$BO$1001,MATCH(ROWS($AG$2:AG353),$AG$2:$AG$1001,0),MATCH(COLUMNS($AN$1006:AW1006),$AN$1006:$BO$1006,0)), HYPERLINK("#",""), HYPERLINK(CONCATENATE("#Metadata!", ADDRESS(INDEX($AI$2:$AI$1001,MATCH(ROWS($AG$2:AG353),$AG$2:$AG$1001,0),0), INDEX($AN$1004:$BO$1004,1,MATCH(COLUMNS($AN$1006:AW1006),$AN$1006:$BO$1006,0)))),"Fix")))</f>
        <v>0</v>
      </c>
      <c r="L353" s="4">
        <f>IF(OR(INDEX($AH$2:$AH$1001,MATCH(ROWS($AG$2:AG353),$AG$2:$AG$1001,0),1)&gt;=100000,INDEX($AN$1005:$BO$1005,1,MATCH(COLUMNS($AN$1006:AX1006),$AN$1006:$BO$1006,0))&gt;=100000), " ",IF(INDEX($AN$2:$BO$1001,MATCH(ROWS($AG$2:AG353),$AG$2:$AG$1001,0),MATCH(COLUMNS($AN$1006:AX1006),$AN$1006:$BO$1006,0)), HYPERLINK("#",""), HYPERLINK(CONCATENATE("#Metadata!", ADDRESS(INDEX($AI$2:$AI$1001,MATCH(ROWS($AG$2:AG353),$AG$2:$AG$1001,0),0), INDEX($AN$1004:$BO$1004,1,MATCH(COLUMNS($AN$1006:AX1006),$AN$1006:$BO$1006,0)))),"Fix")))</f>
        <v>0</v>
      </c>
      <c r="M353" s="4">
        <f>IF(OR(INDEX($AH$2:$AH$1001,MATCH(ROWS($AG$2:AG353),$AG$2:$AG$1001,0),1)&gt;=100000,INDEX($AN$1005:$BO$1005,1,MATCH(COLUMNS($AN$1006:AY1006),$AN$1006:$BO$1006,0))&gt;=100000), " ",IF(INDEX($AN$2:$BO$1001,MATCH(ROWS($AG$2:AG353),$AG$2:$AG$1001,0),MATCH(COLUMNS($AN$1006:AY1006),$AN$1006:$BO$1006,0)), HYPERLINK("#",""), HYPERLINK(CONCATENATE("#Metadata!", ADDRESS(INDEX($AI$2:$AI$1001,MATCH(ROWS($AG$2:AG353),$AG$2:$AG$1001,0),0), INDEX($AN$1004:$BO$1004,1,MATCH(COLUMNS($AN$1006:AY1006),$AN$1006:$BO$1006,0)))),"Fix")))</f>
        <v>0</v>
      </c>
      <c r="N353" s="4">
        <f>IF(OR(INDEX($AH$2:$AH$1001,MATCH(ROWS($AG$2:AG353),$AG$2:$AG$1001,0),1)&gt;=100000,INDEX($AN$1005:$BO$1005,1,MATCH(COLUMNS($AN$1006:AZ1006),$AN$1006:$BO$1006,0))&gt;=100000), " ",IF(INDEX($AN$2:$BO$1001,MATCH(ROWS($AG$2:AG353),$AG$2:$AG$1001,0),MATCH(COLUMNS($AN$1006:AZ1006),$AN$1006:$BO$1006,0)), HYPERLINK("#",""), HYPERLINK(CONCATENATE("#Metadata!", ADDRESS(INDEX($AI$2:$AI$1001,MATCH(ROWS($AG$2:AG353),$AG$2:$AG$1001,0),0), INDEX($AN$1004:$BO$1004,1,MATCH(COLUMNS($AN$1006:AZ1006),$AN$1006:$BO$1006,0)))),"Fix")))</f>
        <v>0</v>
      </c>
      <c r="O353" s="4">
        <f>IF(OR(INDEX($AH$2:$AH$1001,MATCH(ROWS($AG$2:AG353),$AG$2:$AG$1001,0),1)&gt;=100000,INDEX($AN$1005:$BO$1005,1,MATCH(COLUMNS($AN$1006:BA1006),$AN$1006:$BO$1006,0))&gt;=100000), " ",IF(INDEX($AN$2:$BO$1001,MATCH(ROWS($AG$2:AG353),$AG$2:$AG$1001,0),MATCH(COLUMNS($AN$1006:BA1006),$AN$1006:$BO$1006,0)), HYPERLINK("#",""), HYPERLINK(CONCATENATE("#Metadata!", ADDRESS(INDEX($AI$2:$AI$1001,MATCH(ROWS($AG$2:AG353),$AG$2:$AG$1001,0),0), INDEX($AN$1004:$BO$1004,1,MATCH(COLUMNS($AN$1006:BA1006),$AN$1006:$BO$1006,0)))),"Fix")))</f>
        <v>0</v>
      </c>
      <c r="P353" s="4">
        <f>IF(OR(INDEX($AH$2:$AH$1001,MATCH(ROWS($AG$2:AG353),$AG$2:$AG$1001,0),1)&gt;=100000,INDEX($AN$1005:$BO$1005,1,MATCH(COLUMNS($AN$1006:BB1006),$AN$1006:$BO$1006,0))&gt;=100000), " ",IF(INDEX($AN$2:$BO$1001,MATCH(ROWS($AG$2:AG353),$AG$2:$AG$1001,0),MATCH(COLUMNS($AN$1006:BB1006),$AN$1006:$BO$1006,0)), HYPERLINK("#",""), HYPERLINK(CONCATENATE("#Metadata!", ADDRESS(INDEX($AI$2:$AI$1001,MATCH(ROWS($AG$2:AG353),$AG$2:$AG$1001,0),0), INDEX($AN$1004:$BO$1004,1,MATCH(COLUMNS($AN$1006:BB1006),$AN$1006:$BO$1006,0)))),"Fix")))</f>
        <v>0</v>
      </c>
      <c r="Q353" s="4">
        <f>IF(OR(INDEX($AH$2:$AH$1001,MATCH(ROWS($AG$2:AG353),$AG$2:$AG$1001,0),1)&gt;=100000,INDEX($AN$1005:$BO$1005,1,MATCH(COLUMNS($AN$1006:BC1006),$AN$1006:$BO$1006,0))&gt;=100000), " ",IF(INDEX($AN$2:$BO$1001,MATCH(ROWS($AG$2:AG353),$AG$2:$AG$1001,0),MATCH(COLUMNS($AN$1006:BC1006),$AN$1006:$BO$1006,0)), HYPERLINK("#",""), HYPERLINK(CONCATENATE("#Metadata!", ADDRESS(INDEX($AI$2:$AI$1001,MATCH(ROWS($AG$2:AG353),$AG$2:$AG$1001,0),0), INDEX($AN$1004:$BO$1004,1,MATCH(COLUMNS($AN$1006:BC1006),$AN$1006:$BO$1006,0)))),"Fix")))</f>
        <v>0</v>
      </c>
      <c r="R353" s="4">
        <f>IF(OR(INDEX($AH$2:$AH$1001,MATCH(ROWS($AG$2:AG353),$AG$2:$AG$1001,0),1)&gt;=100000,INDEX($AN$1005:$BO$1005,1,MATCH(COLUMNS($AN$1006:BD1006),$AN$1006:$BO$1006,0))&gt;=100000), " ",IF(INDEX($AN$2:$BO$1001,MATCH(ROWS($AG$2:AG353),$AG$2:$AG$1001,0),MATCH(COLUMNS($AN$1006:BD1006),$AN$1006:$BO$1006,0)), HYPERLINK("#",""), HYPERLINK(CONCATENATE("#Metadata!", ADDRESS(INDEX($AI$2:$AI$1001,MATCH(ROWS($AG$2:AG353),$AG$2:$AG$1001,0),0), INDEX($AN$1004:$BO$1004,1,MATCH(COLUMNS($AN$1006:BD1006),$AN$1006:$BO$1006,0)))),"Fix")))</f>
        <v>0</v>
      </c>
      <c r="S353" s="4">
        <f>IF(OR(INDEX($AH$2:$AH$1001,MATCH(ROWS($AG$2:AG353),$AG$2:$AG$1001,0),1)&gt;=100000,INDEX($AN$1005:$BO$1005,1,MATCH(COLUMNS($AN$1006:BE1006),$AN$1006:$BO$1006,0))&gt;=100000), " ",IF(INDEX($AN$2:$BO$1001,MATCH(ROWS($AG$2:AG353),$AG$2:$AG$1001,0),MATCH(COLUMNS($AN$1006:BE1006),$AN$1006:$BO$1006,0)), HYPERLINK("#",""), HYPERLINK(CONCATENATE("#Metadata!", ADDRESS(INDEX($AI$2:$AI$1001,MATCH(ROWS($AG$2:AG353),$AG$2:$AG$1001,0),0), INDEX($AN$1004:$BO$1004,1,MATCH(COLUMNS($AN$1006:BE1006),$AN$1006:$BO$1006,0)))),"Fix")))</f>
        <v>0</v>
      </c>
      <c r="T353" s="4">
        <f>IF(OR(INDEX($AH$2:$AH$1001,MATCH(ROWS($AG$2:AG353),$AG$2:$AG$1001,0),1)&gt;=100000,INDEX($AN$1005:$BO$1005,1,MATCH(COLUMNS($AN$1006:BF1006),$AN$1006:$BO$1006,0))&gt;=100000), " ",IF(INDEX($AN$2:$BO$1001,MATCH(ROWS($AG$2:AG353),$AG$2:$AG$1001,0),MATCH(COLUMNS($AN$1006:BF1006),$AN$1006:$BO$1006,0)), HYPERLINK("#",""), HYPERLINK(CONCATENATE("#Metadata!", ADDRESS(INDEX($AI$2:$AI$1001,MATCH(ROWS($AG$2:AG353),$AG$2:$AG$1001,0),0), INDEX($AN$1004:$BO$1004,1,MATCH(COLUMNS($AN$1006:BF1006),$AN$1006:$BO$1006,0)))),"Fix")))</f>
        <v>0</v>
      </c>
      <c r="U353" s="4">
        <f>IF(OR(INDEX($AH$2:$AH$1001,MATCH(ROWS($AG$2:AG353),$AG$2:$AG$1001,0),1)&gt;=100000,INDEX($AN$1005:$BO$1005,1,MATCH(COLUMNS($AN$1006:BG1006),$AN$1006:$BO$1006,0))&gt;=100000), " ",IF(INDEX($AN$2:$BO$1001,MATCH(ROWS($AG$2:AG353),$AG$2:$AG$1001,0),MATCH(COLUMNS($AN$1006:BG1006),$AN$1006:$BO$1006,0)), HYPERLINK("#",""), HYPERLINK(CONCATENATE("#Metadata!", ADDRESS(INDEX($AI$2:$AI$1001,MATCH(ROWS($AG$2:AG353),$AG$2:$AG$1001,0),0), INDEX($AN$1004:$BO$1004,1,MATCH(COLUMNS($AN$1006:BG1006),$AN$1006:$BO$1006,0)))),"Fix")))</f>
        <v>0</v>
      </c>
      <c r="V353" s="4">
        <f>IF(OR(INDEX($AH$2:$AH$1001,MATCH(ROWS($AG$2:AG353),$AG$2:$AG$1001,0),1)&gt;=100000,INDEX($AN$1005:$BO$1005,1,MATCH(COLUMNS($AN$1006:BH1006),$AN$1006:$BO$1006,0))&gt;=100000), " ",IF(INDEX($AN$2:$BO$1001,MATCH(ROWS($AG$2:AG353),$AG$2:$AG$1001,0),MATCH(COLUMNS($AN$1006:BH1006),$AN$1006:$BO$1006,0)), HYPERLINK("#",""), HYPERLINK(CONCATENATE("#Metadata!", ADDRESS(INDEX($AI$2:$AI$1001,MATCH(ROWS($AG$2:AG353),$AG$2:$AG$1001,0),0), INDEX($AN$1004:$BO$1004,1,MATCH(COLUMNS($AN$1006:BH1006),$AN$1006:$BO$1006,0)))),"Fix")))</f>
        <v>0</v>
      </c>
      <c r="W353" s="4">
        <f>IF(OR(INDEX($AH$2:$AH$1001,MATCH(ROWS($AG$2:AG353),$AG$2:$AG$1001,0),1)&gt;=100000,INDEX($AN$1005:$BO$1005,1,MATCH(COLUMNS($AN$1006:BI1006),$AN$1006:$BO$1006,0))&gt;=100000), " ",IF(INDEX($AN$2:$BO$1001,MATCH(ROWS($AG$2:AG353),$AG$2:$AG$1001,0),MATCH(COLUMNS($AN$1006:BI1006),$AN$1006:$BO$1006,0)), HYPERLINK("#",""), HYPERLINK(CONCATENATE("#Metadata!", ADDRESS(INDEX($AI$2:$AI$1001,MATCH(ROWS($AG$2:AG353),$AG$2:$AG$1001,0),0), INDEX($AN$1004:$BO$1004,1,MATCH(COLUMNS($AN$1006:BI1006),$AN$1006:$BO$1006,0)))),"Fix")))</f>
        <v>0</v>
      </c>
      <c r="X353" s="4">
        <f>IF(OR(INDEX($AH$2:$AH$1001,MATCH(ROWS($AG$2:AG353),$AG$2:$AG$1001,0),1)&gt;=100000,INDEX($AN$1005:$BO$1005,1,MATCH(COLUMNS($AN$1006:BJ1006),$AN$1006:$BO$1006,0))&gt;=100000), " ",IF(INDEX($AN$2:$BO$1001,MATCH(ROWS($AG$2:AG353),$AG$2:$AG$1001,0),MATCH(COLUMNS($AN$1006:BJ1006),$AN$1006:$BO$1006,0)), HYPERLINK("#",""), HYPERLINK(CONCATENATE("#Metadata!", ADDRESS(INDEX($AI$2:$AI$1001,MATCH(ROWS($AG$2:AG353),$AG$2:$AG$1001,0),0), INDEX($AN$1004:$BO$1004,1,MATCH(COLUMNS($AN$1006:BJ1006),$AN$1006:$BO$1006,0)))),"Fix")))</f>
        <v>0</v>
      </c>
      <c r="Y353" s="4">
        <f>IF(OR(INDEX($AH$2:$AH$1001,MATCH(ROWS($AG$2:AG353),$AG$2:$AG$1001,0),1)&gt;=100000,INDEX($AN$1005:$BO$1005,1,MATCH(COLUMNS($AN$1006:BK1006),$AN$1006:$BO$1006,0))&gt;=100000), " ",IF(INDEX($AN$2:$BO$1001,MATCH(ROWS($AG$2:AG353),$AG$2:$AG$1001,0),MATCH(COLUMNS($AN$1006:BK1006),$AN$1006:$BO$1006,0)), HYPERLINK("#",""), HYPERLINK(CONCATENATE("#Metadata!", ADDRESS(INDEX($AI$2:$AI$1001,MATCH(ROWS($AG$2:AG353),$AG$2:$AG$1001,0),0), INDEX($AN$1004:$BO$1004,1,MATCH(COLUMNS($AN$1006:BK1006),$AN$1006:$BO$1006,0)))),"Fix")))</f>
        <v>0</v>
      </c>
      <c r="Z353" s="4">
        <f>IF(OR(INDEX($AH$2:$AH$1001,MATCH(ROWS($AG$2:AG353),$AG$2:$AG$1001,0),1)&gt;=100000,INDEX($AN$1005:$BO$1005,1,MATCH(COLUMNS($AN$1006:BL1006),$AN$1006:$BO$1006,0))&gt;=100000), " ",IF(INDEX($AN$2:$BO$1001,MATCH(ROWS($AG$2:AG353),$AG$2:$AG$1001,0),MATCH(COLUMNS($AN$1006:BL1006),$AN$1006:$BO$1006,0)), HYPERLINK("#",""), HYPERLINK(CONCATENATE("#Metadata!", ADDRESS(INDEX($AI$2:$AI$1001,MATCH(ROWS($AG$2:AG353),$AG$2:$AG$1001,0),0), INDEX($AN$1004:$BO$1004,1,MATCH(COLUMNS($AN$1006:BL1006),$AN$1006:$BO$1006,0)))),"Fix")))</f>
        <v>0</v>
      </c>
      <c r="AA353" s="4">
        <f>IF(OR(INDEX($AH$2:$AH$1001,MATCH(ROWS($AG$2:AG353),$AG$2:$AG$1001,0),1)&gt;=100000,INDEX($AN$1005:$BO$1005,1,MATCH(COLUMNS($AN$1006:BM1006),$AN$1006:$BO$1006,0))&gt;=100000), " ",IF(INDEX($AN$2:$BO$1001,MATCH(ROWS($AG$2:AG353),$AG$2:$AG$1001,0),MATCH(COLUMNS($AN$1006:BM1006),$AN$1006:$BO$1006,0)), HYPERLINK("#",""), HYPERLINK(CONCATENATE("#Metadata!", ADDRESS(INDEX($AI$2:$AI$1001,MATCH(ROWS($AG$2:AG353),$AG$2:$AG$1001,0),0), INDEX($AN$1004:$BO$1004,1,MATCH(COLUMNS($AN$1006:BM1006),$AN$1006:$BO$1006,0)))),"Fix")))</f>
        <v>0</v>
      </c>
      <c r="AB353" s="4">
        <f>IF(OR(INDEX($AH$2:$AH$1001,MATCH(ROWS($AG$2:AG353),$AG$2:$AG$1001,0),1)&gt;=100000,INDEX($AN$1005:$BO$1005,1,MATCH(COLUMNS($AN$1006:BN1006),$AN$1006:$BO$1006,0))&gt;=100000), " ",IF(INDEX($AN$2:$BO$1001,MATCH(ROWS($AG$2:AG353),$AG$2:$AG$1001,0),MATCH(COLUMNS($AN$1006:BN1006),$AN$1006:$BO$1006,0)), HYPERLINK("#",""), HYPERLINK(CONCATENATE("#Metadata!", ADDRESS(INDEX($AI$2:$AI$1001,MATCH(ROWS($AG$2:AG353),$AG$2:$AG$1001,0),0), INDEX($AN$1004:$BO$1004,1,MATCH(COLUMNS($AN$1006:BN1006),$AN$1006:$BO$1006,0)))),"Fix")))</f>
        <v>0</v>
      </c>
      <c r="AC353" s="4">
        <f>IF(OR(INDEX($AH$2:$AH$1001,MATCH(ROWS($AG$2:AG353),$AG$2:$AG$1001,0),1)&gt;=100000,INDEX($AN$1005:$BO$1005,1,MATCH(COLUMNS($AN$1006:BO1006),$AN$1006:$BO$1006,0))&gt;=100000), " ",IF(INDEX($AN$2:$BO$1001,MATCH(ROWS($AG$2:AG353),$AG$2:$AG$1001,0),MATCH(COLUMNS($AN$1006:BO1006),$AN$1006:$BO$1006,0)), HYPERLINK("#",""), HYPERLINK(CONCATENATE("#Metadata!", ADDRESS(INDEX($AI$2:$AI$1001,MATCH(ROWS($AG$2:AG353),$AG$2:$AG$1001,0),0), INDEX($AN$1004:$BO$1004,1,MATCH(COLUMNS($AN$1006:BO1006),$AN$1006:$BO$1006,0)))),"Fix")))</f>
        <v>0</v>
      </c>
      <c r="AG353">
        <v>0</v>
      </c>
      <c r="AH353">
        <v>0</v>
      </c>
      <c r="AI353">
        <v>0</v>
      </c>
      <c r="AJ353">
        <f>IF(AK353,TRUE,AND(AN353:BO353))</f>
        <v>0</v>
      </c>
      <c r="AK353">
        <f>COUNTBLANK(Metadata!B353:AC353)=COLUMNS(Metadata!B353:AC353)</f>
        <v>0</v>
      </c>
      <c r="AL353">
        <v>0</v>
      </c>
      <c r="AN353">
        <f>AND(IF(Metadata!B353="",FALSE,TRUE),COUNTIF(Metadata!B:B, Metadata!B353) = 1,NOT(ISERROR(SUMPRODUCT(SEARCH(MID(Metadata!B353,ROW(INDIRECT("1:"&amp;LEN(Metadata!B353))), 1),"0123456789abcdefghijklmnopqrstuvwxyzABCDEFGHIJKLMNOPQRSTUVWXYZ.")))))</f>
        <v>0</v>
      </c>
      <c r="AO353">
        <f>IF(Metadata!C353="",FALSE,TRUE)</f>
        <v>0</v>
      </c>
      <c r="AP353">
        <f>IF(Metadata!D353="",FALSE,TRUE)</f>
        <v>0</v>
      </c>
      <c r="AQ353">
        <f>OR(AND(IF(Metadata!E353="",FALSE,TRUE),OR(exact(Metadata!E353,"not collected"),exact(Metadata!E353,"not provided"),exact(Metadata!E353,"restricted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R353">
        <f>IF(Metadata!F353="",FALSE,TRUE)</f>
        <v>0</v>
      </c>
      <c r="AS353">
        <f>OR(AND(IF(Metadata!G353="",FALSE,TRUE),OR(exact(Metadata!G353,"not collected"),exact(Metadata!G353,"not provided"))),AND(IF(Metadata!G353="",FALSE,TRUE),OR(exact(Metadata!G353,"TRUE"),exact(Metadata!G353,"FALSE"))))</f>
        <v>0</v>
      </c>
      <c r="AT353">
        <f>OR(AND(IF(Metadata!H353="",FALSE,TRUE),OR(exact(Metadata!H353,"not collected"),exact(Metadata!H353,"not provided"),exact(Metadata!H353,"restricted access"))),AND(IF(Metadata!H353="",FALSE,ISNUMBER(VALUE(Metadata!H353))),Metadata!H353&gt;=-413.0))</f>
        <v>0</v>
      </c>
      <c r="AU353">
        <f>AND(IF(Metadata!I353="",FALSE,TRUE),exact(Metadata!I353,"meters"))</f>
        <v>0</v>
      </c>
      <c r="AV353">
        <f>AND(IF(Metadata!J353="",FALSE,TRUE),OR(exact(Metadata!J353,"Host-associated"),exact(Metadata!J353,"Free-living")))</f>
        <v>0</v>
      </c>
      <c r="AW353">
        <f>AND(IF(Metadata!K353="",FALSE,TRUE),OR(exact(Metadata!K353,"Animal"),exact(Metadata!K353,"Fungus"),exact(Metadata!K353,"Plant"),exact(Metadata!K353,"Saline"),exact(Metadata!K353,"Non-saline")))</f>
        <v>0</v>
      </c>
      <c r="AX353">
        <f>AND(IF(Metadata!L353="",FALSE,TRUE),OR(exact(Metadata!L353,"Plant secretion"),exact(Metadata!L353,"Plant rhizosphere"),exact(Metadata!L353,"Plant surface"),exact(Metadata!L353,"Plant corpus"),exact(Metadata!L353,"Fungus surface"),exact(Metadata!L353,"Fungus corpus"),exact(Metadata!L353,"Animal surface"),exact(Metadata!L353,"Animal proximal gut"),exact(Metadata!L353,"Animal corpus"),exact(Metadata!L353,"Animal distal gut"),exact(Metadata!L353,"Animal secretion"),exact(Metadata!L353,"Sub-surface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Y353">
        <f>IF(Metadata!M353="",FALSE,TRUE)</f>
        <v>0</v>
      </c>
      <c r="AZ353">
        <f>IF(Metadata!N353="",FALSE,TRUE)</f>
        <v>0</v>
      </c>
      <c r="BA353">
        <f>IF(Metadata!O353="",FALSE,TRUE)</f>
        <v>0</v>
      </c>
      <c r="BB353">
        <f>OR(AND(IF(Metadata!P353="",FALSE,TRUE),OR(exact(Metadata!P353,"not collected"),exact(Metadata!P353,"not provided"),exact(Metadata!P353,"restricted access"))),AND(IF(Metadata!P353="",FALSE,TRUE),OR(exact(Metadata!P353,"air"),exact(Metadata!P353,"built environment"),exact(Metadata!P353,"host-associated"),exact(Metadata!P353,"human-associated"),exact(Metadata!P353,"human-skin"),exact(Metadata!P353,"human-oral"),exact(Metadata!P353,"human-gut"),exact(Metadata!P353,"human-vaginal"),exact(Metadata!P353,"microbial mat/biofilm"),exact(Metadata!P353,"misc environment"),exact(Metadata!P353,"plant-associated"),exact(Metadata!P353,"sediment"),exact(Metadata!P353,"soil"),exact(Metadata!P353,"wastewater/sludge"),exact(Metadata!P353,"water"))))</f>
        <v>0</v>
      </c>
      <c r="BC353">
        <f>IF(Metadata!Q353="",FALSE,TRUE)</f>
        <v>0</v>
      </c>
      <c r="BD353">
        <f>IF(Metadata!R353="",FALSE,TRUE)</f>
        <v>0</v>
      </c>
      <c r="BE353">
        <f>OR(AND(IF(Metadata!S353="",FALSE,TRUE),OR(exact(Metadata!S353,"not collected"),exact(Metadata!S353,"not provided"),exact(Metadata!S353,"restricted access"))),AND(IF(Metadata!S353="",FALSE,ISNUMBER(VALUE(Metadata!S353))),Metadata!S353&gt;=-90.00,Metadata!S353&lt;=90.00))</f>
        <v>0</v>
      </c>
      <c r="BF353">
        <f>AND(IF(Metadata!T353="",FALSE,TRUE),exact(Metadata!T353,"Decimal degrees"))</f>
        <v>0</v>
      </c>
      <c r="BG353">
        <f>OR(AND(IF(Metadata!U353="",FALSE,TRUE),OR(exact(Metadata!U353,"not collected"),exact(Metadata!U353,"not provided"),exact(Metadata!U353,"restricted access"))),AND(IF(Metadata!U353="",FALSE,ISNUMBER(VALUE(Metadata!U353))),Metadata!U353&gt;=-180.00,Metadata!U353&lt;=180.00))</f>
        <v>0</v>
      </c>
      <c r="BH353">
        <f>AND(IF(Metadata!V353="",FALSE,TRUE),exact(Metadata!V353,"Decimal degrees"))</f>
        <v>0</v>
      </c>
      <c r="BI353">
        <f>IF(Metadata!W353="",FALSE,TRUE)</f>
        <v>0</v>
      </c>
      <c r="BJ353">
        <f>OR(AND(IF(Metadata!X353="",FALSE,TRUE),OR(exact(Metadata!X353,"not collected"),exact(Metadata!X353,"not provided"),exact(Metadata!X353,"restricted access"))),AND(IF(Metadata!X353="",FALSE,TRUE),OR(exact(Metadata!X353,"TRUE"),exact(Metadata!X353,"FALSE"))))</f>
        <v>0</v>
      </c>
      <c r="BK353">
        <f>AND(IF(Metadata!Y353="",FALSE,TRUE),exact(Metadata!Y353,"other"))</f>
        <v>0</v>
      </c>
      <c r="BL353">
        <f>IF(Metadata!Z353="",FALSE,TRUE)</f>
        <v>0</v>
      </c>
      <c r="BM353">
        <f>OR(AND(IF(Metadata!AA353="",FALSE,TRUE),OR(exact(Metadata!AA353,"not collected"),exact(Metadata!AA353,"not provided"))),AND(IF(Metadata!AA353="",FALSE,IF(ISERROR(INT(Metadata!AA353)),FALSE,INT(Metadata!AA353)=Metadata!AA353)),Metadata!AA353&gt;0))</f>
        <v>0</v>
      </c>
      <c r="BN353">
        <f>AND(IF(Metadata!AB353="",FALSE,TRUE),exact(Metadata!AB353,"Not applicable"))</f>
        <v>0</v>
      </c>
      <c r="BO353">
        <f>IF(Metadata!AC353="",FALSE,TRUE)</f>
        <v>0</v>
      </c>
    </row>
    <row r="354" spans="1:67">
      <c r="A354" s="5">
        <f>IF(B354=" "," ",HYPERLINK(CONCATENATE("#metadata!",ADDRESS(INDEX($AI$2:$AI$1001,MATCH(ROWS($AG$2:AG354),$AG$2:$AG$1001,0),0),1)),INDEX($AL$2:$AL$1001,MATCH(ROWS($AG$2:AG354),$AG$2:$AG$1001,0),0)))</f>
        <v>0</v>
      </c>
      <c r="B354" s="4">
        <f>IF(OR(INDEX($AH$2:$AH$1001,MATCH(ROWS($AG$2:AG354),$AG$2:$AG$1001,0),1)&gt;=100000,INDEX($AN$1005:$BO$1005,1,MATCH(COLUMNS($AN$1006:AN1006),$AN$1006:$BO$1006,0))&gt;=100000), " ",IF(INDEX($AN$2:$BO$1001,MATCH(ROWS($AG$2:AG354),$AG$2:$AG$1001,0),MATCH(COLUMNS($AN$1006:AN1006),$AN$1006:$BO$1006,0)), HYPERLINK("#",""), HYPERLINK(CONCATENATE("#Metadata!", ADDRESS(INDEX($AI$2:$AI$1001,MATCH(ROWS($AG$2:AG354),$AG$2:$AG$1001,0),0), INDEX($AN$1004:$BO$1004,1,MATCH(COLUMNS($AN$1006:AN1006),$AN$1006:$BO$1006,0)))),"Fix")))</f>
        <v>0</v>
      </c>
      <c r="C354" s="4">
        <f>IF(OR(INDEX($AH$2:$AH$1001,MATCH(ROWS($AG$2:AG354),$AG$2:$AG$1001,0),1)&gt;=100000,INDEX($AN$1005:$BO$1005,1,MATCH(COLUMNS($AN$1006:AO1006),$AN$1006:$BO$1006,0))&gt;=100000), " ",IF(INDEX($AN$2:$BO$1001,MATCH(ROWS($AG$2:AG354),$AG$2:$AG$1001,0),MATCH(COLUMNS($AN$1006:AO1006),$AN$1006:$BO$1006,0)), HYPERLINK("#",""), HYPERLINK(CONCATENATE("#Metadata!", ADDRESS(INDEX($AI$2:$AI$1001,MATCH(ROWS($AG$2:AG354),$AG$2:$AG$1001,0),0), INDEX($AN$1004:$BO$1004,1,MATCH(COLUMNS($AN$1006:AO1006),$AN$1006:$BO$1006,0)))),"Fix")))</f>
        <v>0</v>
      </c>
      <c r="D354" s="4">
        <f>IF(OR(INDEX($AH$2:$AH$1001,MATCH(ROWS($AG$2:AG354),$AG$2:$AG$1001,0),1)&gt;=100000,INDEX($AN$1005:$BO$1005,1,MATCH(COLUMNS($AN$1006:AP1006),$AN$1006:$BO$1006,0))&gt;=100000), " ",IF(INDEX($AN$2:$BO$1001,MATCH(ROWS($AG$2:AG354),$AG$2:$AG$1001,0),MATCH(COLUMNS($AN$1006:AP1006),$AN$1006:$BO$1006,0)), HYPERLINK("#",""), HYPERLINK(CONCATENATE("#Metadata!", ADDRESS(INDEX($AI$2:$AI$1001,MATCH(ROWS($AG$2:AG354),$AG$2:$AG$1001,0),0), INDEX($AN$1004:$BO$1004,1,MATCH(COLUMNS($AN$1006:AP1006),$AN$1006:$BO$1006,0)))),"Fix")))</f>
        <v>0</v>
      </c>
      <c r="E354" s="4">
        <f>IF(OR(INDEX($AH$2:$AH$1001,MATCH(ROWS($AG$2:AG354),$AG$2:$AG$1001,0),1)&gt;=100000,INDEX($AN$1005:$BO$1005,1,MATCH(COLUMNS($AN$1006:AQ1006),$AN$1006:$BO$1006,0))&gt;=100000), " ",IF(INDEX($AN$2:$BO$1001,MATCH(ROWS($AG$2:AG354),$AG$2:$AG$1001,0),MATCH(COLUMNS($AN$1006:AQ1006),$AN$1006:$BO$1006,0)), HYPERLINK("#",""), HYPERLINK(CONCATENATE("#Metadata!", ADDRESS(INDEX($AI$2:$AI$1001,MATCH(ROWS($AG$2:AG354),$AG$2:$AG$1001,0),0), INDEX($AN$1004:$BO$1004,1,MATCH(COLUMNS($AN$1006:AQ1006),$AN$1006:$BO$1006,0)))),"Fix")))</f>
        <v>0</v>
      </c>
      <c r="F354" s="4">
        <f>IF(OR(INDEX($AH$2:$AH$1001,MATCH(ROWS($AG$2:AG354),$AG$2:$AG$1001,0),1)&gt;=100000,INDEX($AN$1005:$BO$1005,1,MATCH(COLUMNS($AN$1006:AR1006),$AN$1006:$BO$1006,0))&gt;=100000), " ",IF(INDEX($AN$2:$BO$1001,MATCH(ROWS($AG$2:AG354),$AG$2:$AG$1001,0),MATCH(COLUMNS($AN$1006:AR1006),$AN$1006:$BO$1006,0)), HYPERLINK("#",""), HYPERLINK(CONCATENATE("#Metadata!", ADDRESS(INDEX($AI$2:$AI$1001,MATCH(ROWS($AG$2:AG354),$AG$2:$AG$1001,0),0), INDEX($AN$1004:$BO$1004,1,MATCH(COLUMNS($AN$1006:AR1006),$AN$1006:$BO$1006,0)))),"Fix")))</f>
        <v>0</v>
      </c>
      <c r="G354" s="4">
        <f>IF(OR(INDEX($AH$2:$AH$1001,MATCH(ROWS($AG$2:AG354),$AG$2:$AG$1001,0),1)&gt;=100000,INDEX($AN$1005:$BO$1005,1,MATCH(COLUMNS($AN$1006:AS1006),$AN$1006:$BO$1006,0))&gt;=100000), " ",IF(INDEX($AN$2:$BO$1001,MATCH(ROWS($AG$2:AG354),$AG$2:$AG$1001,0),MATCH(COLUMNS($AN$1006:AS1006),$AN$1006:$BO$1006,0)), HYPERLINK("#",""), HYPERLINK(CONCATENATE("#Metadata!", ADDRESS(INDEX($AI$2:$AI$1001,MATCH(ROWS($AG$2:AG354),$AG$2:$AG$1001,0),0), INDEX($AN$1004:$BO$1004,1,MATCH(COLUMNS($AN$1006:AS1006),$AN$1006:$BO$1006,0)))),"Fix")))</f>
        <v>0</v>
      </c>
      <c r="H354" s="4">
        <f>IF(OR(INDEX($AH$2:$AH$1001,MATCH(ROWS($AG$2:AG354),$AG$2:$AG$1001,0),1)&gt;=100000,INDEX($AN$1005:$BO$1005,1,MATCH(COLUMNS($AN$1006:AT1006),$AN$1006:$BO$1006,0))&gt;=100000), " ",IF(INDEX($AN$2:$BO$1001,MATCH(ROWS($AG$2:AG354),$AG$2:$AG$1001,0),MATCH(COLUMNS($AN$1006:AT1006),$AN$1006:$BO$1006,0)), HYPERLINK("#",""), HYPERLINK(CONCATENATE("#Metadata!", ADDRESS(INDEX($AI$2:$AI$1001,MATCH(ROWS($AG$2:AG354),$AG$2:$AG$1001,0),0), INDEX($AN$1004:$BO$1004,1,MATCH(COLUMNS($AN$1006:AT1006),$AN$1006:$BO$1006,0)))),"Fix")))</f>
        <v>0</v>
      </c>
      <c r="I354" s="4">
        <f>IF(OR(INDEX($AH$2:$AH$1001,MATCH(ROWS($AG$2:AG354),$AG$2:$AG$1001,0),1)&gt;=100000,INDEX($AN$1005:$BO$1005,1,MATCH(COLUMNS($AN$1006:AU1006),$AN$1006:$BO$1006,0))&gt;=100000), " ",IF(INDEX($AN$2:$BO$1001,MATCH(ROWS($AG$2:AG354),$AG$2:$AG$1001,0),MATCH(COLUMNS($AN$1006:AU1006),$AN$1006:$BO$1006,0)), HYPERLINK("#",""), HYPERLINK(CONCATENATE("#Metadata!", ADDRESS(INDEX($AI$2:$AI$1001,MATCH(ROWS($AG$2:AG354),$AG$2:$AG$1001,0),0), INDEX($AN$1004:$BO$1004,1,MATCH(COLUMNS($AN$1006:AU1006),$AN$1006:$BO$1006,0)))),"Fix")))</f>
        <v>0</v>
      </c>
      <c r="J354" s="4">
        <f>IF(OR(INDEX($AH$2:$AH$1001,MATCH(ROWS($AG$2:AG354),$AG$2:$AG$1001,0),1)&gt;=100000,INDEX($AN$1005:$BO$1005,1,MATCH(COLUMNS($AN$1006:AV1006),$AN$1006:$BO$1006,0))&gt;=100000), " ",IF(INDEX($AN$2:$BO$1001,MATCH(ROWS($AG$2:AG354),$AG$2:$AG$1001,0),MATCH(COLUMNS($AN$1006:AV1006),$AN$1006:$BO$1006,0)), HYPERLINK("#",""), HYPERLINK(CONCATENATE("#Metadata!", ADDRESS(INDEX($AI$2:$AI$1001,MATCH(ROWS($AG$2:AG354),$AG$2:$AG$1001,0),0), INDEX($AN$1004:$BO$1004,1,MATCH(COLUMNS($AN$1006:AV1006),$AN$1006:$BO$1006,0)))),"Fix")))</f>
        <v>0</v>
      </c>
      <c r="K354" s="4">
        <f>IF(OR(INDEX($AH$2:$AH$1001,MATCH(ROWS($AG$2:AG354),$AG$2:$AG$1001,0),1)&gt;=100000,INDEX($AN$1005:$BO$1005,1,MATCH(COLUMNS($AN$1006:AW1006),$AN$1006:$BO$1006,0))&gt;=100000), " ",IF(INDEX($AN$2:$BO$1001,MATCH(ROWS($AG$2:AG354),$AG$2:$AG$1001,0),MATCH(COLUMNS($AN$1006:AW1006),$AN$1006:$BO$1006,0)), HYPERLINK("#",""), HYPERLINK(CONCATENATE("#Metadata!", ADDRESS(INDEX($AI$2:$AI$1001,MATCH(ROWS($AG$2:AG354),$AG$2:$AG$1001,0),0), INDEX($AN$1004:$BO$1004,1,MATCH(COLUMNS($AN$1006:AW1006),$AN$1006:$BO$1006,0)))),"Fix")))</f>
        <v>0</v>
      </c>
      <c r="L354" s="4">
        <f>IF(OR(INDEX($AH$2:$AH$1001,MATCH(ROWS($AG$2:AG354),$AG$2:$AG$1001,0),1)&gt;=100000,INDEX($AN$1005:$BO$1005,1,MATCH(COLUMNS($AN$1006:AX1006),$AN$1006:$BO$1006,0))&gt;=100000), " ",IF(INDEX($AN$2:$BO$1001,MATCH(ROWS($AG$2:AG354),$AG$2:$AG$1001,0),MATCH(COLUMNS($AN$1006:AX1006),$AN$1006:$BO$1006,0)), HYPERLINK("#",""), HYPERLINK(CONCATENATE("#Metadata!", ADDRESS(INDEX($AI$2:$AI$1001,MATCH(ROWS($AG$2:AG354),$AG$2:$AG$1001,0),0), INDEX($AN$1004:$BO$1004,1,MATCH(COLUMNS($AN$1006:AX1006),$AN$1006:$BO$1006,0)))),"Fix")))</f>
        <v>0</v>
      </c>
      <c r="M354" s="4">
        <f>IF(OR(INDEX($AH$2:$AH$1001,MATCH(ROWS($AG$2:AG354),$AG$2:$AG$1001,0),1)&gt;=100000,INDEX($AN$1005:$BO$1005,1,MATCH(COLUMNS($AN$1006:AY1006),$AN$1006:$BO$1006,0))&gt;=100000), " ",IF(INDEX($AN$2:$BO$1001,MATCH(ROWS($AG$2:AG354),$AG$2:$AG$1001,0),MATCH(COLUMNS($AN$1006:AY1006),$AN$1006:$BO$1006,0)), HYPERLINK("#",""), HYPERLINK(CONCATENATE("#Metadata!", ADDRESS(INDEX($AI$2:$AI$1001,MATCH(ROWS($AG$2:AG354),$AG$2:$AG$1001,0),0), INDEX($AN$1004:$BO$1004,1,MATCH(COLUMNS($AN$1006:AY1006),$AN$1006:$BO$1006,0)))),"Fix")))</f>
        <v>0</v>
      </c>
      <c r="N354" s="4">
        <f>IF(OR(INDEX($AH$2:$AH$1001,MATCH(ROWS($AG$2:AG354),$AG$2:$AG$1001,0),1)&gt;=100000,INDEX($AN$1005:$BO$1005,1,MATCH(COLUMNS($AN$1006:AZ1006),$AN$1006:$BO$1006,0))&gt;=100000), " ",IF(INDEX($AN$2:$BO$1001,MATCH(ROWS($AG$2:AG354),$AG$2:$AG$1001,0),MATCH(COLUMNS($AN$1006:AZ1006),$AN$1006:$BO$1006,0)), HYPERLINK("#",""), HYPERLINK(CONCATENATE("#Metadata!", ADDRESS(INDEX($AI$2:$AI$1001,MATCH(ROWS($AG$2:AG354),$AG$2:$AG$1001,0),0), INDEX($AN$1004:$BO$1004,1,MATCH(COLUMNS($AN$1006:AZ1006),$AN$1006:$BO$1006,0)))),"Fix")))</f>
        <v>0</v>
      </c>
      <c r="O354" s="4">
        <f>IF(OR(INDEX($AH$2:$AH$1001,MATCH(ROWS($AG$2:AG354),$AG$2:$AG$1001,0),1)&gt;=100000,INDEX($AN$1005:$BO$1005,1,MATCH(COLUMNS($AN$1006:BA1006),$AN$1006:$BO$1006,0))&gt;=100000), " ",IF(INDEX($AN$2:$BO$1001,MATCH(ROWS($AG$2:AG354),$AG$2:$AG$1001,0),MATCH(COLUMNS($AN$1006:BA1006),$AN$1006:$BO$1006,0)), HYPERLINK("#",""), HYPERLINK(CONCATENATE("#Metadata!", ADDRESS(INDEX($AI$2:$AI$1001,MATCH(ROWS($AG$2:AG354),$AG$2:$AG$1001,0),0), INDEX($AN$1004:$BO$1004,1,MATCH(COLUMNS($AN$1006:BA1006),$AN$1006:$BO$1006,0)))),"Fix")))</f>
        <v>0</v>
      </c>
      <c r="P354" s="4">
        <f>IF(OR(INDEX($AH$2:$AH$1001,MATCH(ROWS($AG$2:AG354),$AG$2:$AG$1001,0),1)&gt;=100000,INDEX($AN$1005:$BO$1005,1,MATCH(COLUMNS($AN$1006:BB1006),$AN$1006:$BO$1006,0))&gt;=100000), " ",IF(INDEX($AN$2:$BO$1001,MATCH(ROWS($AG$2:AG354),$AG$2:$AG$1001,0),MATCH(COLUMNS($AN$1006:BB1006),$AN$1006:$BO$1006,0)), HYPERLINK("#",""), HYPERLINK(CONCATENATE("#Metadata!", ADDRESS(INDEX($AI$2:$AI$1001,MATCH(ROWS($AG$2:AG354),$AG$2:$AG$1001,0),0), INDEX($AN$1004:$BO$1004,1,MATCH(COLUMNS($AN$1006:BB1006),$AN$1006:$BO$1006,0)))),"Fix")))</f>
        <v>0</v>
      </c>
      <c r="Q354" s="4">
        <f>IF(OR(INDEX($AH$2:$AH$1001,MATCH(ROWS($AG$2:AG354),$AG$2:$AG$1001,0),1)&gt;=100000,INDEX($AN$1005:$BO$1005,1,MATCH(COLUMNS($AN$1006:BC1006),$AN$1006:$BO$1006,0))&gt;=100000), " ",IF(INDEX($AN$2:$BO$1001,MATCH(ROWS($AG$2:AG354),$AG$2:$AG$1001,0),MATCH(COLUMNS($AN$1006:BC1006),$AN$1006:$BO$1006,0)), HYPERLINK("#",""), HYPERLINK(CONCATENATE("#Metadata!", ADDRESS(INDEX($AI$2:$AI$1001,MATCH(ROWS($AG$2:AG354),$AG$2:$AG$1001,0),0), INDEX($AN$1004:$BO$1004,1,MATCH(COLUMNS($AN$1006:BC1006),$AN$1006:$BO$1006,0)))),"Fix")))</f>
        <v>0</v>
      </c>
      <c r="R354" s="4">
        <f>IF(OR(INDEX($AH$2:$AH$1001,MATCH(ROWS($AG$2:AG354),$AG$2:$AG$1001,0),1)&gt;=100000,INDEX($AN$1005:$BO$1005,1,MATCH(COLUMNS($AN$1006:BD1006),$AN$1006:$BO$1006,0))&gt;=100000), " ",IF(INDEX($AN$2:$BO$1001,MATCH(ROWS($AG$2:AG354),$AG$2:$AG$1001,0),MATCH(COLUMNS($AN$1006:BD1006),$AN$1006:$BO$1006,0)), HYPERLINK("#",""), HYPERLINK(CONCATENATE("#Metadata!", ADDRESS(INDEX($AI$2:$AI$1001,MATCH(ROWS($AG$2:AG354),$AG$2:$AG$1001,0),0), INDEX($AN$1004:$BO$1004,1,MATCH(COLUMNS($AN$1006:BD1006),$AN$1006:$BO$1006,0)))),"Fix")))</f>
        <v>0</v>
      </c>
      <c r="S354" s="4">
        <f>IF(OR(INDEX($AH$2:$AH$1001,MATCH(ROWS($AG$2:AG354),$AG$2:$AG$1001,0),1)&gt;=100000,INDEX($AN$1005:$BO$1005,1,MATCH(COLUMNS($AN$1006:BE1006),$AN$1006:$BO$1006,0))&gt;=100000), " ",IF(INDEX($AN$2:$BO$1001,MATCH(ROWS($AG$2:AG354),$AG$2:$AG$1001,0),MATCH(COLUMNS($AN$1006:BE1006),$AN$1006:$BO$1006,0)), HYPERLINK("#",""), HYPERLINK(CONCATENATE("#Metadata!", ADDRESS(INDEX($AI$2:$AI$1001,MATCH(ROWS($AG$2:AG354),$AG$2:$AG$1001,0),0), INDEX($AN$1004:$BO$1004,1,MATCH(COLUMNS($AN$1006:BE1006),$AN$1006:$BO$1006,0)))),"Fix")))</f>
        <v>0</v>
      </c>
      <c r="T354" s="4">
        <f>IF(OR(INDEX($AH$2:$AH$1001,MATCH(ROWS($AG$2:AG354),$AG$2:$AG$1001,0),1)&gt;=100000,INDEX($AN$1005:$BO$1005,1,MATCH(COLUMNS($AN$1006:BF1006),$AN$1006:$BO$1006,0))&gt;=100000), " ",IF(INDEX($AN$2:$BO$1001,MATCH(ROWS($AG$2:AG354),$AG$2:$AG$1001,0),MATCH(COLUMNS($AN$1006:BF1006),$AN$1006:$BO$1006,0)), HYPERLINK("#",""), HYPERLINK(CONCATENATE("#Metadata!", ADDRESS(INDEX($AI$2:$AI$1001,MATCH(ROWS($AG$2:AG354),$AG$2:$AG$1001,0),0), INDEX($AN$1004:$BO$1004,1,MATCH(COLUMNS($AN$1006:BF1006),$AN$1006:$BO$1006,0)))),"Fix")))</f>
        <v>0</v>
      </c>
      <c r="U354" s="4">
        <f>IF(OR(INDEX($AH$2:$AH$1001,MATCH(ROWS($AG$2:AG354),$AG$2:$AG$1001,0),1)&gt;=100000,INDEX($AN$1005:$BO$1005,1,MATCH(COLUMNS($AN$1006:BG1006),$AN$1006:$BO$1006,0))&gt;=100000), " ",IF(INDEX($AN$2:$BO$1001,MATCH(ROWS($AG$2:AG354),$AG$2:$AG$1001,0),MATCH(COLUMNS($AN$1006:BG1006),$AN$1006:$BO$1006,0)), HYPERLINK("#",""), HYPERLINK(CONCATENATE("#Metadata!", ADDRESS(INDEX($AI$2:$AI$1001,MATCH(ROWS($AG$2:AG354),$AG$2:$AG$1001,0),0), INDEX($AN$1004:$BO$1004,1,MATCH(COLUMNS($AN$1006:BG1006),$AN$1006:$BO$1006,0)))),"Fix")))</f>
        <v>0</v>
      </c>
      <c r="V354" s="4">
        <f>IF(OR(INDEX($AH$2:$AH$1001,MATCH(ROWS($AG$2:AG354),$AG$2:$AG$1001,0),1)&gt;=100000,INDEX($AN$1005:$BO$1005,1,MATCH(COLUMNS($AN$1006:BH1006),$AN$1006:$BO$1006,0))&gt;=100000), " ",IF(INDEX($AN$2:$BO$1001,MATCH(ROWS($AG$2:AG354),$AG$2:$AG$1001,0),MATCH(COLUMNS($AN$1006:BH1006),$AN$1006:$BO$1006,0)), HYPERLINK("#",""), HYPERLINK(CONCATENATE("#Metadata!", ADDRESS(INDEX($AI$2:$AI$1001,MATCH(ROWS($AG$2:AG354),$AG$2:$AG$1001,0),0), INDEX($AN$1004:$BO$1004,1,MATCH(COLUMNS($AN$1006:BH1006),$AN$1006:$BO$1006,0)))),"Fix")))</f>
        <v>0</v>
      </c>
      <c r="W354" s="4">
        <f>IF(OR(INDEX($AH$2:$AH$1001,MATCH(ROWS($AG$2:AG354),$AG$2:$AG$1001,0),1)&gt;=100000,INDEX($AN$1005:$BO$1005,1,MATCH(COLUMNS($AN$1006:BI1006),$AN$1006:$BO$1006,0))&gt;=100000), " ",IF(INDEX($AN$2:$BO$1001,MATCH(ROWS($AG$2:AG354),$AG$2:$AG$1001,0),MATCH(COLUMNS($AN$1006:BI1006),$AN$1006:$BO$1006,0)), HYPERLINK("#",""), HYPERLINK(CONCATENATE("#Metadata!", ADDRESS(INDEX($AI$2:$AI$1001,MATCH(ROWS($AG$2:AG354),$AG$2:$AG$1001,0),0), INDEX($AN$1004:$BO$1004,1,MATCH(COLUMNS($AN$1006:BI1006),$AN$1006:$BO$1006,0)))),"Fix")))</f>
        <v>0</v>
      </c>
      <c r="X354" s="4">
        <f>IF(OR(INDEX($AH$2:$AH$1001,MATCH(ROWS($AG$2:AG354),$AG$2:$AG$1001,0),1)&gt;=100000,INDEX($AN$1005:$BO$1005,1,MATCH(COLUMNS($AN$1006:BJ1006),$AN$1006:$BO$1006,0))&gt;=100000), " ",IF(INDEX($AN$2:$BO$1001,MATCH(ROWS($AG$2:AG354),$AG$2:$AG$1001,0),MATCH(COLUMNS($AN$1006:BJ1006),$AN$1006:$BO$1006,0)), HYPERLINK("#",""), HYPERLINK(CONCATENATE("#Metadata!", ADDRESS(INDEX($AI$2:$AI$1001,MATCH(ROWS($AG$2:AG354),$AG$2:$AG$1001,0),0), INDEX($AN$1004:$BO$1004,1,MATCH(COLUMNS($AN$1006:BJ1006),$AN$1006:$BO$1006,0)))),"Fix")))</f>
        <v>0</v>
      </c>
      <c r="Y354" s="4">
        <f>IF(OR(INDEX($AH$2:$AH$1001,MATCH(ROWS($AG$2:AG354),$AG$2:$AG$1001,0),1)&gt;=100000,INDEX($AN$1005:$BO$1005,1,MATCH(COLUMNS($AN$1006:BK1006),$AN$1006:$BO$1006,0))&gt;=100000), " ",IF(INDEX($AN$2:$BO$1001,MATCH(ROWS($AG$2:AG354),$AG$2:$AG$1001,0),MATCH(COLUMNS($AN$1006:BK1006),$AN$1006:$BO$1006,0)), HYPERLINK("#",""), HYPERLINK(CONCATENATE("#Metadata!", ADDRESS(INDEX($AI$2:$AI$1001,MATCH(ROWS($AG$2:AG354),$AG$2:$AG$1001,0),0), INDEX($AN$1004:$BO$1004,1,MATCH(COLUMNS($AN$1006:BK1006),$AN$1006:$BO$1006,0)))),"Fix")))</f>
        <v>0</v>
      </c>
      <c r="Z354" s="4">
        <f>IF(OR(INDEX($AH$2:$AH$1001,MATCH(ROWS($AG$2:AG354),$AG$2:$AG$1001,0),1)&gt;=100000,INDEX($AN$1005:$BO$1005,1,MATCH(COLUMNS($AN$1006:BL1006),$AN$1006:$BO$1006,0))&gt;=100000), " ",IF(INDEX($AN$2:$BO$1001,MATCH(ROWS($AG$2:AG354),$AG$2:$AG$1001,0),MATCH(COLUMNS($AN$1006:BL1006),$AN$1006:$BO$1006,0)), HYPERLINK("#",""), HYPERLINK(CONCATENATE("#Metadata!", ADDRESS(INDEX($AI$2:$AI$1001,MATCH(ROWS($AG$2:AG354),$AG$2:$AG$1001,0),0), INDEX($AN$1004:$BO$1004,1,MATCH(COLUMNS($AN$1006:BL1006),$AN$1006:$BO$1006,0)))),"Fix")))</f>
        <v>0</v>
      </c>
      <c r="AA354" s="4">
        <f>IF(OR(INDEX($AH$2:$AH$1001,MATCH(ROWS($AG$2:AG354),$AG$2:$AG$1001,0),1)&gt;=100000,INDEX($AN$1005:$BO$1005,1,MATCH(COLUMNS($AN$1006:BM1006),$AN$1006:$BO$1006,0))&gt;=100000), " ",IF(INDEX($AN$2:$BO$1001,MATCH(ROWS($AG$2:AG354),$AG$2:$AG$1001,0),MATCH(COLUMNS($AN$1006:BM1006),$AN$1006:$BO$1006,0)), HYPERLINK("#",""), HYPERLINK(CONCATENATE("#Metadata!", ADDRESS(INDEX($AI$2:$AI$1001,MATCH(ROWS($AG$2:AG354),$AG$2:$AG$1001,0),0), INDEX($AN$1004:$BO$1004,1,MATCH(COLUMNS($AN$1006:BM1006),$AN$1006:$BO$1006,0)))),"Fix")))</f>
        <v>0</v>
      </c>
      <c r="AB354" s="4">
        <f>IF(OR(INDEX($AH$2:$AH$1001,MATCH(ROWS($AG$2:AG354),$AG$2:$AG$1001,0),1)&gt;=100000,INDEX($AN$1005:$BO$1005,1,MATCH(COLUMNS($AN$1006:BN1006),$AN$1006:$BO$1006,0))&gt;=100000), " ",IF(INDEX($AN$2:$BO$1001,MATCH(ROWS($AG$2:AG354),$AG$2:$AG$1001,0),MATCH(COLUMNS($AN$1006:BN1006),$AN$1006:$BO$1006,0)), HYPERLINK("#",""), HYPERLINK(CONCATENATE("#Metadata!", ADDRESS(INDEX($AI$2:$AI$1001,MATCH(ROWS($AG$2:AG354),$AG$2:$AG$1001,0),0), INDEX($AN$1004:$BO$1004,1,MATCH(COLUMNS($AN$1006:BN1006),$AN$1006:$BO$1006,0)))),"Fix")))</f>
        <v>0</v>
      </c>
      <c r="AC354" s="4">
        <f>IF(OR(INDEX($AH$2:$AH$1001,MATCH(ROWS($AG$2:AG354),$AG$2:$AG$1001,0),1)&gt;=100000,INDEX($AN$1005:$BO$1005,1,MATCH(COLUMNS($AN$1006:BO1006),$AN$1006:$BO$1006,0))&gt;=100000), " ",IF(INDEX($AN$2:$BO$1001,MATCH(ROWS($AG$2:AG354),$AG$2:$AG$1001,0),MATCH(COLUMNS($AN$1006:BO1006),$AN$1006:$BO$1006,0)), HYPERLINK("#",""), HYPERLINK(CONCATENATE("#Metadata!", ADDRESS(INDEX($AI$2:$AI$1001,MATCH(ROWS($AG$2:AG354),$AG$2:$AG$1001,0),0), INDEX($AN$1004:$BO$1004,1,MATCH(COLUMNS($AN$1006:BO1006),$AN$1006:$BO$1006,0)))),"Fix")))</f>
        <v>0</v>
      </c>
      <c r="AG354">
        <v>0</v>
      </c>
      <c r="AH354">
        <v>0</v>
      </c>
      <c r="AI354">
        <v>0</v>
      </c>
      <c r="AJ354">
        <f>IF(AK354,TRUE,AND(AN354:BO354))</f>
        <v>0</v>
      </c>
      <c r="AK354">
        <f>COUNTBLANK(Metadata!B354:AC354)=COLUMNS(Metadata!B354:AC354)</f>
        <v>0</v>
      </c>
      <c r="AL354">
        <v>0</v>
      </c>
      <c r="AN354">
        <f>AND(IF(Metadata!B354="",FALSE,TRUE),COUNTIF(Metadata!B:B, Metadata!B354) = 1,NOT(ISERROR(SUMPRODUCT(SEARCH(MID(Metadata!B354,ROW(INDIRECT("1:"&amp;LEN(Metadata!B354))), 1),"0123456789abcdefghijklmnopqrstuvwxyzABCDEFGHIJKLMNOPQRSTUVWXYZ.")))))</f>
        <v>0</v>
      </c>
      <c r="AO354">
        <f>IF(Metadata!C354="",FALSE,TRUE)</f>
        <v>0</v>
      </c>
      <c r="AP354">
        <f>IF(Metadata!D354="",FALSE,TRUE)</f>
        <v>0</v>
      </c>
      <c r="AQ354">
        <f>OR(AND(IF(Metadata!E354="",FALSE,TRUE),OR(exact(Metadata!E354,"not collected"),exact(Metadata!E354,"not provided"),exact(Metadata!E354,"restricted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R354">
        <f>IF(Metadata!F354="",FALSE,TRUE)</f>
        <v>0</v>
      </c>
      <c r="AS354">
        <f>OR(AND(IF(Metadata!G354="",FALSE,TRUE),OR(exact(Metadata!G354,"not collected"),exact(Metadata!G354,"not provided"))),AND(IF(Metadata!G354="",FALSE,TRUE),OR(exact(Metadata!G354,"TRUE"),exact(Metadata!G354,"FALSE"))))</f>
        <v>0</v>
      </c>
      <c r="AT354">
        <f>OR(AND(IF(Metadata!H354="",FALSE,TRUE),OR(exact(Metadata!H354,"not collected"),exact(Metadata!H354,"not provided"),exact(Metadata!H354,"restricted access"))),AND(IF(Metadata!H354="",FALSE,ISNUMBER(VALUE(Metadata!H354))),Metadata!H354&gt;=-413.0))</f>
        <v>0</v>
      </c>
      <c r="AU354">
        <f>AND(IF(Metadata!I354="",FALSE,TRUE),exact(Metadata!I354,"meters"))</f>
        <v>0</v>
      </c>
      <c r="AV354">
        <f>AND(IF(Metadata!J354="",FALSE,TRUE),OR(exact(Metadata!J354,"Host-associated"),exact(Metadata!J354,"Free-living")))</f>
        <v>0</v>
      </c>
      <c r="AW354">
        <f>AND(IF(Metadata!K354="",FALSE,TRUE),OR(exact(Metadata!K354,"Animal"),exact(Metadata!K354,"Fungus"),exact(Metadata!K354,"Plant"),exact(Metadata!K354,"Saline"),exact(Metadata!K354,"Non-saline")))</f>
        <v>0</v>
      </c>
      <c r="AX354">
        <f>AND(IF(Metadata!L354="",FALSE,TRUE),OR(exact(Metadata!L354,"Plant secretion"),exact(Metadata!L354,"Plant rhizosphere"),exact(Metadata!L354,"Plant surface"),exact(Metadata!L354,"Plant corpus"),exact(Metadata!L354,"Fungus surface"),exact(Metadata!L354,"Fungus corpus"),exact(Metadata!L354,"Animal surface"),exact(Metadata!L354,"Animal proximal gut"),exact(Metadata!L354,"Animal corpus"),exact(Metadata!L354,"Animal distal gut"),exact(Metadata!L354,"Animal secretion"),exact(Metadata!L354,"Sub-surface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Y354">
        <f>IF(Metadata!M354="",FALSE,TRUE)</f>
        <v>0</v>
      </c>
      <c r="AZ354">
        <f>IF(Metadata!N354="",FALSE,TRUE)</f>
        <v>0</v>
      </c>
      <c r="BA354">
        <f>IF(Metadata!O354="",FALSE,TRUE)</f>
        <v>0</v>
      </c>
      <c r="BB354">
        <f>OR(AND(IF(Metadata!P354="",FALSE,TRUE),OR(exact(Metadata!P354,"not collected"),exact(Metadata!P354,"not provided"),exact(Metadata!P354,"restricted access"))),AND(IF(Metadata!P354="",FALSE,TRUE),OR(exact(Metadata!P354,"air"),exact(Metadata!P354,"built environment"),exact(Metadata!P354,"host-associated"),exact(Metadata!P354,"human-associated"),exact(Metadata!P354,"human-skin"),exact(Metadata!P354,"human-oral"),exact(Metadata!P354,"human-gut"),exact(Metadata!P354,"human-vaginal"),exact(Metadata!P354,"microbial mat/biofilm"),exact(Metadata!P354,"misc environment"),exact(Metadata!P354,"plant-associated"),exact(Metadata!P354,"sediment"),exact(Metadata!P354,"soil"),exact(Metadata!P354,"wastewater/sludge"),exact(Metadata!P354,"water"))))</f>
        <v>0</v>
      </c>
      <c r="BC354">
        <f>IF(Metadata!Q354="",FALSE,TRUE)</f>
        <v>0</v>
      </c>
      <c r="BD354">
        <f>IF(Metadata!R354="",FALSE,TRUE)</f>
        <v>0</v>
      </c>
      <c r="BE354">
        <f>OR(AND(IF(Metadata!S354="",FALSE,TRUE),OR(exact(Metadata!S354,"not collected"),exact(Metadata!S354,"not provided"),exact(Metadata!S354,"restricted access"))),AND(IF(Metadata!S354="",FALSE,ISNUMBER(VALUE(Metadata!S354))),Metadata!S354&gt;=-90.00,Metadata!S354&lt;=90.00))</f>
        <v>0</v>
      </c>
      <c r="BF354">
        <f>AND(IF(Metadata!T354="",FALSE,TRUE),exact(Metadata!T354,"Decimal degrees"))</f>
        <v>0</v>
      </c>
      <c r="BG354">
        <f>OR(AND(IF(Metadata!U354="",FALSE,TRUE),OR(exact(Metadata!U354,"not collected"),exact(Metadata!U354,"not provided"),exact(Metadata!U354,"restricted access"))),AND(IF(Metadata!U354="",FALSE,ISNUMBER(VALUE(Metadata!U354))),Metadata!U354&gt;=-180.00,Metadata!U354&lt;=180.00))</f>
        <v>0</v>
      </c>
      <c r="BH354">
        <f>AND(IF(Metadata!V354="",FALSE,TRUE),exact(Metadata!V354,"Decimal degrees"))</f>
        <v>0</v>
      </c>
      <c r="BI354">
        <f>IF(Metadata!W354="",FALSE,TRUE)</f>
        <v>0</v>
      </c>
      <c r="BJ354">
        <f>OR(AND(IF(Metadata!X354="",FALSE,TRUE),OR(exact(Metadata!X354,"not collected"),exact(Metadata!X354,"not provided"),exact(Metadata!X354,"restricted access"))),AND(IF(Metadata!X354="",FALSE,TRUE),OR(exact(Metadata!X354,"TRUE"),exact(Metadata!X354,"FALSE"))))</f>
        <v>0</v>
      </c>
      <c r="BK354">
        <f>AND(IF(Metadata!Y354="",FALSE,TRUE),exact(Metadata!Y354,"other"))</f>
        <v>0</v>
      </c>
      <c r="BL354">
        <f>IF(Metadata!Z354="",FALSE,TRUE)</f>
        <v>0</v>
      </c>
      <c r="BM354">
        <f>OR(AND(IF(Metadata!AA354="",FALSE,TRUE),OR(exact(Metadata!AA354,"not collected"),exact(Metadata!AA354,"not provided"))),AND(IF(Metadata!AA354="",FALSE,IF(ISERROR(INT(Metadata!AA354)),FALSE,INT(Metadata!AA354)=Metadata!AA354)),Metadata!AA354&gt;0))</f>
        <v>0</v>
      </c>
      <c r="BN354">
        <f>AND(IF(Metadata!AB354="",FALSE,TRUE),exact(Metadata!AB354,"Not applicable"))</f>
        <v>0</v>
      </c>
      <c r="BO354">
        <f>IF(Metadata!AC354="",FALSE,TRUE)</f>
        <v>0</v>
      </c>
    </row>
    <row r="355" spans="1:67">
      <c r="A355" s="5">
        <f>IF(B355=" "," ",HYPERLINK(CONCATENATE("#metadata!",ADDRESS(INDEX($AI$2:$AI$1001,MATCH(ROWS($AG$2:AG355),$AG$2:$AG$1001,0),0),1)),INDEX($AL$2:$AL$1001,MATCH(ROWS($AG$2:AG355),$AG$2:$AG$1001,0),0)))</f>
        <v>0</v>
      </c>
      <c r="B355" s="4">
        <f>IF(OR(INDEX($AH$2:$AH$1001,MATCH(ROWS($AG$2:AG355),$AG$2:$AG$1001,0),1)&gt;=100000,INDEX($AN$1005:$BO$1005,1,MATCH(COLUMNS($AN$1006:AN1006),$AN$1006:$BO$1006,0))&gt;=100000), " ",IF(INDEX($AN$2:$BO$1001,MATCH(ROWS($AG$2:AG355),$AG$2:$AG$1001,0),MATCH(COLUMNS($AN$1006:AN1006),$AN$1006:$BO$1006,0)), HYPERLINK("#",""), HYPERLINK(CONCATENATE("#Metadata!", ADDRESS(INDEX($AI$2:$AI$1001,MATCH(ROWS($AG$2:AG355),$AG$2:$AG$1001,0),0), INDEX($AN$1004:$BO$1004,1,MATCH(COLUMNS($AN$1006:AN1006),$AN$1006:$BO$1006,0)))),"Fix")))</f>
        <v>0</v>
      </c>
      <c r="C355" s="4">
        <f>IF(OR(INDEX($AH$2:$AH$1001,MATCH(ROWS($AG$2:AG355),$AG$2:$AG$1001,0),1)&gt;=100000,INDEX($AN$1005:$BO$1005,1,MATCH(COLUMNS($AN$1006:AO1006),$AN$1006:$BO$1006,0))&gt;=100000), " ",IF(INDEX($AN$2:$BO$1001,MATCH(ROWS($AG$2:AG355),$AG$2:$AG$1001,0),MATCH(COLUMNS($AN$1006:AO1006),$AN$1006:$BO$1006,0)), HYPERLINK("#",""), HYPERLINK(CONCATENATE("#Metadata!", ADDRESS(INDEX($AI$2:$AI$1001,MATCH(ROWS($AG$2:AG355),$AG$2:$AG$1001,0),0), INDEX($AN$1004:$BO$1004,1,MATCH(COLUMNS($AN$1006:AO1006),$AN$1006:$BO$1006,0)))),"Fix")))</f>
        <v>0</v>
      </c>
      <c r="D355" s="4">
        <f>IF(OR(INDEX($AH$2:$AH$1001,MATCH(ROWS($AG$2:AG355),$AG$2:$AG$1001,0),1)&gt;=100000,INDEX($AN$1005:$BO$1005,1,MATCH(COLUMNS($AN$1006:AP1006),$AN$1006:$BO$1006,0))&gt;=100000), " ",IF(INDEX($AN$2:$BO$1001,MATCH(ROWS($AG$2:AG355),$AG$2:$AG$1001,0),MATCH(COLUMNS($AN$1006:AP1006),$AN$1006:$BO$1006,0)), HYPERLINK("#",""), HYPERLINK(CONCATENATE("#Metadata!", ADDRESS(INDEX($AI$2:$AI$1001,MATCH(ROWS($AG$2:AG355),$AG$2:$AG$1001,0),0), INDEX($AN$1004:$BO$1004,1,MATCH(COLUMNS($AN$1006:AP1006),$AN$1006:$BO$1006,0)))),"Fix")))</f>
        <v>0</v>
      </c>
      <c r="E355" s="4">
        <f>IF(OR(INDEX($AH$2:$AH$1001,MATCH(ROWS($AG$2:AG355),$AG$2:$AG$1001,0),1)&gt;=100000,INDEX($AN$1005:$BO$1005,1,MATCH(COLUMNS($AN$1006:AQ1006),$AN$1006:$BO$1006,0))&gt;=100000), " ",IF(INDEX($AN$2:$BO$1001,MATCH(ROWS($AG$2:AG355),$AG$2:$AG$1001,0),MATCH(COLUMNS($AN$1006:AQ1006),$AN$1006:$BO$1006,0)), HYPERLINK("#",""), HYPERLINK(CONCATENATE("#Metadata!", ADDRESS(INDEX($AI$2:$AI$1001,MATCH(ROWS($AG$2:AG355),$AG$2:$AG$1001,0),0), INDEX($AN$1004:$BO$1004,1,MATCH(COLUMNS($AN$1006:AQ1006),$AN$1006:$BO$1006,0)))),"Fix")))</f>
        <v>0</v>
      </c>
      <c r="F355" s="4">
        <f>IF(OR(INDEX($AH$2:$AH$1001,MATCH(ROWS($AG$2:AG355),$AG$2:$AG$1001,0),1)&gt;=100000,INDEX($AN$1005:$BO$1005,1,MATCH(COLUMNS($AN$1006:AR1006),$AN$1006:$BO$1006,0))&gt;=100000), " ",IF(INDEX($AN$2:$BO$1001,MATCH(ROWS($AG$2:AG355),$AG$2:$AG$1001,0),MATCH(COLUMNS($AN$1006:AR1006),$AN$1006:$BO$1006,0)), HYPERLINK("#",""), HYPERLINK(CONCATENATE("#Metadata!", ADDRESS(INDEX($AI$2:$AI$1001,MATCH(ROWS($AG$2:AG355),$AG$2:$AG$1001,0),0), INDEX($AN$1004:$BO$1004,1,MATCH(COLUMNS($AN$1006:AR1006),$AN$1006:$BO$1006,0)))),"Fix")))</f>
        <v>0</v>
      </c>
      <c r="G355" s="4">
        <f>IF(OR(INDEX($AH$2:$AH$1001,MATCH(ROWS($AG$2:AG355),$AG$2:$AG$1001,0),1)&gt;=100000,INDEX($AN$1005:$BO$1005,1,MATCH(COLUMNS($AN$1006:AS1006),$AN$1006:$BO$1006,0))&gt;=100000), " ",IF(INDEX($AN$2:$BO$1001,MATCH(ROWS($AG$2:AG355),$AG$2:$AG$1001,0),MATCH(COLUMNS($AN$1006:AS1006),$AN$1006:$BO$1006,0)), HYPERLINK("#",""), HYPERLINK(CONCATENATE("#Metadata!", ADDRESS(INDEX($AI$2:$AI$1001,MATCH(ROWS($AG$2:AG355),$AG$2:$AG$1001,0),0), INDEX($AN$1004:$BO$1004,1,MATCH(COLUMNS($AN$1006:AS1006),$AN$1006:$BO$1006,0)))),"Fix")))</f>
        <v>0</v>
      </c>
      <c r="H355" s="4">
        <f>IF(OR(INDEX($AH$2:$AH$1001,MATCH(ROWS($AG$2:AG355),$AG$2:$AG$1001,0),1)&gt;=100000,INDEX($AN$1005:$BO$1005,1,MATCH(COLUMNS($AN$1006:AT1006),$AN$1006:$BO$1006,0))&gt;=100000), " ",IF(INDEX($AN$2:$BO$1001,MATCH(ROWS($AG$2:AG355),$AG$2:$AG$1001,0),MATCH(COLUMNS($AN$1006:AT1006),$AN$1006:$BO$1006,0)), HYPERLINK("#",""), HYPERLINK(CONCATENATE("#Metadata!", ADDRESS(INDEX($AI$2:$AI$1001,MATCH(ROWS($AG$2:AG355),$AG$2:$AG$1001,0),0), INDEX($AN$1004:$BO$1004,1,MATCH(COLUMNS($AN$1006:AT1006),$AN$1006:$BO$1006,0)))),"Fix")))</f>
        <v>0</v>
      </c>
      <c r="I355" s="4">
        <f>IF(OR(INDEX($AH$2:$AH$1001,MATCH(ROWS($AG$2:AG355),$AG$2:$AG$1001,0),1)&gt;=100000,INDEX($AN$1005:$BO$1005,1,MATCH(COLUMNS($AN$1006:AU1006),$AN$1006:$BO$1006,0))&gt;=100000), " ",IF(INDEX($AN$2:$BO$1001,MATCH(ROWS($AG$2:AG355),$AG$2:$AG$1001,0),MATCH(COLUMNS($AN$1006:AU1006),$AN$1006:$BO$1006,0)), HYPERLINK("#",""), HYPERLINK(CONCATENATE("#Metadata!", ADDRESS(INDEX($AI$2:$AI$1001,MATCH(ROWS($AG$2:AG355),$AG$2:$AG$1001,0),0), INDEX($AN$1004:$BO$1004,1,MATCH(COLUMNS($AN$1006:AU1006),$AN$1006:$BO$1006,0)))),"Fix")))</f>
        <v>0</v>
      </c>
      <c r="J355" s="4">
        <f>IF(OR(INDEX($AH$2:$AH$1001,MATCH(ROWS($AG$2:AG355),$AG$2:$AG$1001,0),1)&gt;=100000,INDEX($AN$1005:$BO$1005,1,MATCH(COLUMNS($AN$1006:AV1006),$AN$1006:$BO$1006,0))&gt;=100000), " ",IF(INDEX($AN$2:$BO$1001,MATCH(ROWS($AG$2:AG355),$AG$2:$AG$1001,0),MATCH(COLUMNS($AN$1006:AV1006),$AN$1006:$BO$1006,0)), HYPERLINK("#",""), HYPERLINK(CONCATENATE("#Metadata!", ADDRESS(INDEX($AI$2:$AI$1001,MATCH(ROWS($AG$2:AG355),$AG$2:$AG$1001,0),0), INDEX($AN$1004:$BO$1004,1,MATCH(COLUMNS($AN$1006:AV1006),$AN$1006:$BO$1006,0)))),"Fix")))</f>
        <v>0</v>
      </c>
      <c r="K355" s="4">
        <f>IF(OR(INDEX($AH$2:$AH$1001,MATCH(ROWS($AG$2:AG355),$AG$2:$AG$1001,0),1)&gt;=100000,INDEX($AN$1005:$BO$1005,1,MATCH(COLUMNS($AN$1006:AW1006),$AN$1006:$BO$1006,0))&gt;=100000), " ",IF(INDEX($AN$2:$BO$1001,MATCH(ROWS($AG$2:AG355),$AG$2:$AG$1001,0),MATCH(COLUMNS($AN$1006:AW1006),$AN$1006:$BO$1006,0)), HYPERLINK("#",""), HYPERLINK(CONCATENATE("#Metadata!", ADDRESS(INDEX($AI$2:$AI$1001,MATCH(ROWS($AG$2:AG355),$AG$2:$AG$1001,0),0), INDEX($AN$1004:$BO$1004,1,MATCH(COLUMNS($AN$1006:AW1006),$AN$1006:$BO$1006,0)))),"Fix")))</f>
        <v>0</v>
      </c>
      <c r="L355" s="4">
        <f>IF(OR(INDEX($AH$2:$AH$1001,MATCH(ROWS($AG$2:AG355),$AG$2:$AG$1001,0),1)&gt;=100000,INDEX($AN$1005:$BO$1005,1,MATCH(COLUMNS($AN$1006:AX1006),$AN$1006:$BO$1006,0))&gt;=100000), " ",IF(INDEX($AN$2:$BO$1001,MATCH(ROWS($AG$2:AG355),$AG$2:$AG$1001,0),MATCH(COLUMNS($AN$1006:AX1006),$AN$1006:$BO$1006,0)), HYPERLINK("#",""), HYPERLINK(CONCATENATE("#Metadata!", ADDRESS(INDEX($AI$2:$AI$1001,MATCH(ROWS($AG$2:AG355),$AG$2:$AG$1001,0),0), INDEX($AN$1004:$BO$1004,1,MATCH(COLUMNS($AN$1006:AX1006),$AN$1006:$BO$1006,0)))),"Fix")))</f>
        <v>0</v>
      </c>
      <c r="M355" s="4">
        <f>IF(OR(INDEX($AH$2:$AH$1001,MATCH(ROWS($AG$2:AG355),$AG$2:$AG$1001,0),1)&gt;=100000,INDEX($AN$1005:$BO$1005,1,MATCH(COLUMNS($AN$1006:AY1006),$AN$1006:$BO$1006,0))&gt;=100000), " ",IF(INDEX($AN$2:$BO$1001,MATCH(ROWS($AG$2:AG355),$AG$2:$AG$1001,0),MATCH(COLUMNS($AN$1006:AY1006),$AN$1006:$BO$1006,0)), HYPERLINK("#",""), HYPERLINK(CONCATENATE("#Metadata!", ADDRESS(INDEX($AI$2:$AI$1001,MATCH(ROWS($AG$2:AG355),$AG$2:$AG$1001,0),0), INDEX($AN$1004:$BO$1004,1,MATCH(COLUMNS($AN$1006:AY1006),$AN$1006:$BO$1006,0)))),"Fix")))</f>
        <v>0</v>
      </c>
      <c r="N355" s="4">
        <f>IF(OR(INDEX($AH$2:$AH$1001,MATCH(ROWS($AG$2:AG355),$AG$2:$AG$1001,0),1)&gt;=100000,INDEX($AN$1005:$BO$1005,1,MATCH(COLUMNS($AN$1006:AZ1006),$AN$1006:$BO$1006,0))&gt;=100000), " ",IF(INDEX($AN$2:$BO$1001,MATCH(ROWS($AG$2:AG355),$AG$2:$AG$1001,0),MATCH(COLUMNS($AN$1006:AZ1006),$AN$1006:$BO$1006,0)), HYPERLINK("#",""), HYPERLINK(CONCATENATE("#Metadata!", ADDRESS(INDEX($AI$2:$AI$1001,MATCH(ROWS($AG$2:AG355),$AG$2:$AG$1001,0),0), INDEX($AN$1004:$BO$1004,1,MATCH(COLUMNS($AN$1006:AZ1006),$AN$1006:$BO$1006,0)))),"Fix")))</f>
        <v>0</v>
      </c>
      <c r="O355" s="4">
        <f>IF(OR(INDEX($AH$2:$AH$1001,MATCH(ROWS($AG$2:AG355),$AG$2:$AG$1001,0),1)&gt;=100000,INDEX($AN$1005:$BO$1005,1,MATCH(COLUMNS($AN$1006:BA1006),$AN$1006:$BO$1006,0))&gt;=100000), " ",IF(INDEX($AN$2:$BO$1001,MATCH(ROWS($AG$2:AG355),$AG$2:$AG$1001,0),MATCH(COLUMNS($AN$1006:BA1006),$AN$1006:$BO$1006,0)), HYPERLINK("#",""), HYPERLINK(CONCATENATE("#Metadata!", ADDRESS(INDEX($AI$2:$AI$1001,MATCH(ROWS($AG$2:AG355),$AG$2:$AG$1001,0),0), INDEX($AN$1004:$BO$1004,1,MATCH(COLUMNS($AN$1006:BA1006),$AN$1006:$BO$1006,0)))),"Fix")))</f>
        <v>0</v>
      </c>
      <c r="P355" s="4">
        <f>IF(OR(INDEX($AH$2:$AH$1001,MATCH(ROWS($AG$2:AG355),$AG$2:$AG$1001,0),1)&gt;=100000,INDEX($AN$1005:$BO$1005,1,MATCH(COLUMNS($AN$1006:BB1006),$AN$1006:$BO$1006,0))&gt;=100000), " ",IF(INDEX($AN$2:$BO$1001,MATCH(ROWS($AG$2:AG355),$AG$2:$AG$1001,0),MATCH(COLUMNS($AN$1006:BB1006),$AN$1006:$BO$1006,0)), HYPERLINK("#",""), HYPERLINK(CONCATENATE("#Metadata!", ADDRESS(INDEX($AI$2:$AI$1001,MATCH(ROWS($AG$2:AG355),$AG$2:$AG$1001,0),0), INDEX($AN$1004:$BO$1004,1,MATCH(COLUMNS($AN$1006:BB1006),$AN$1006:$BO$1006,0)))),"Fix")))</f>
        <v>0</v>
      </c>
      <c r="Q355" s="4">
        <f>IF(OR(INDEX($AH$2:$AH$1001,MATCH(ROWS($AG$2:AG355),$AG$2:$AG$1001,0),1)&gt;=100000,INDEX($AN$1005:$BO$1005,1,MATCH(COLUMNS($AN$1006:BC1006),$AN$1006:$BO$1006,0))&gt;=100000), " ",IF(INDEX($AN$2:$BO$1001,MATCH(ROWS($AG$2:AG355),$AG$2:$AG$1001,0),MATCH(COLUMNS($AN$1006:BC1006),$AN$1006:$BO$1006,0)), HYPERLINK("#",""), HYPERLINK(CONCATENATE("#Metadata!", ADDRESS(INDEX($AI$2:$AI$1001,MATCH(ROWS($AG$2:AG355),$AG$2:$AG$1001,0),0), INDEX($AN$1004:$BO$1004,1,MATCH(COLUMNS($AN$1006:BC1006),$AN$1006:$BO$1006,0)))),"Fix")))</f>
        <v>0</v>
      </c>
      <c r="R355" s="4">
        <f>IF(OR(INDEX($AH$2:$AH$1001,MATCH(ROWS($AG$2:AG355),$AG$2:$AG$1001,0),1)&gt;=100000,INDEX($AN$1005:$BO$1005,1,MATCH(COLUMNS($AN$1006:BD1006),$AN$1006:$BO$1006,0))&gt;=100000), " ",IF(INDEX($AN$2:$BO$1001,MATCH(ROWS($AG$2:AG355),$AG$2:$AG$1001,0),MATCH(COLUMNS($AN$1006:BD1006),$AN$1006:$BO$1006,0)), HYPERLINK("#",""), HYPERLINK(CONCATENATE("#Metadata!", ADDRESS(INDEX($AI$2:$AI$1001,MATCH(ROWS($AG$2:AG355),$AG$2:$AG$1001,0),0), INDEX($AN$1004:$BO$1004,1,MATCH(COLUMNS($AN$1006:BD1006),$AN$1006:$BO$1006,0)))),"Fix")))</f>
        <v>0</v>
      </c>
      <c r="S355" s="4">
        <f>IF(OR(INDEX($AH$2:$AH$1001,MATCH(ROWS($AG$2:AG355),$AG$2:$AG$1001,0),1)&gt;=100000,INDEX($AN$1005:$BO$1005,1,MATCH(COLUMNS($AN$1006:BE1006),$AN$1006:$BO$1006,0))&gt;=100000), " ",IF(INDEX($AN$2:$BO$1001,MATCH(ROWS($AG$2:AG355),$AG$2:$AG$1001,0),MATCH(COLUMNS($AN$1006:BE1006),$AN$1006:$BO$1006,0)), HYPERLINK("#",""), HYPERLINK(CONCATENATE("#Metadata!", ADDRESS(INDEX($AI$2:$AI$1001,MATCH(ROWS($AG$2:AG355),$AG$2:$AG$1001,0),0), INDEX($AN$1004:$BO$1004,1,MATCH(COLUMNS($AN$1006:BE1006),$AN$1006:$BO$1006,0)))),"Fix")))</f>
        <v>0</v>
      </c>
      <c r="T355" s="4">
        <f>IF(OR(INDEX($AH$2:$AH$1001,MATCH(ROWS($AG$2:AG355),$AG$2:$AG$1001,0),1)&gt;=100000,INDEX($AN$1005:$BO$1005,1,MATCH(COLUMNS($AN$1006:BF1006),$AN$1006:$BO$1006,0))&gt;=100000), " ",IF(INDEX($AN$2:$BO$1001,MATCH(ROWS($AG$2:AG355),$AG$2:$AG$1001,0),MATCH(COLUMNS($AN$1006:BF1006),$AN$1006:$BO$1006,0)), HYPERLINK("#",""), HYPERLINK(CONCATENATE("#Metadata!", ADDRESS(INDEX($AI$2:$AI$1001,MATCH(ROWS($AG$2:AG355),$AG$2:$AG$1001,0),0), INDEX($AN$1004:$BO$1004,1,MATCH(COLUMNS($AN$1006:BF1006),$AN$1006:$BO$1006,0)))),"Fix")))</f>
        <v>0</v>
      </c>
      <c r="U355" s="4">
        <f>IF(OR(INDEX($AH$2:$AH$1001,MATCH(ROWS($AG$2:AG355),$AG$2:$AG$1001,0),1)&gt;=100000,INDEX($AN$1005:$BO$1005,1,MATCH(COLUMNS($AN$1006:BG1006),$AN$1006:$BO$1006,0))&gt;=100000), " ",IF(INDEX($AN$2:$BO$1001,MATCH(ROWS($AG$2:AG355),$AG$2:$AG$1001,0),MATCH(COLUMNS($AN$1006:BG1006),$AN$1006:$BO$1006,0)), HYPERLINK("#",""), HYPERLINK(CONCATENATE("#Metadata!", ADDRESS(INDEX($AI$2:$AI$1001,MATCH(ROWS($AG$2:AG355),$AG$2:$AG$1001,0),0), INDEX($AN$1004:$BO$1004,1,MATCH(COLUMNS($AN$1006:BG1006),$AN$1006:$BO$1006,0)))),"Fix")))</f>
        <v>0</v>
      </c>
      <c r="V355" s="4">
        <f>IF(OR(INDEX($AH$2:$AH$1001,MATCH(ROWS($AG$2:AG355),$AG$2:$AG$1001,0),1)&gt;=100000,INDEX($AN$1005:$BO$1005,1,MATCH(COLUMNS($AN$1006:BH1006),$AN$1006:$BO$1006,0))&gt;=100000), " ",IF(INDEX($AN$2:$BO$1001,MATCH(ROWS($AG$2:AG355),$AG$2:$AG$1001,0),MATCH(COLUMNS($AN$1006:BH1006),$AN$1006:$BO$1006,0)), HYPERLINK("#",""), HYPERLINK(CONCATENATE("#Metadata!", ADDRESS(INDEX($AI$2:$AI$1001,MATCH(ROWS($AG$2:AG355),$AG$2:$AG$1001,0),0), INDEX($AN$1004:$BO$1004,1,MATCH(COLUMNS($AN$1006:BH1006),$AN$1006:$BO$1006,0)))),"Fix")))</f>
        <v>0</v>
      </c>
      <c r="W355" s="4">
        <f>IF(OR(INDEX($AH$2:$AH$1001,MATCH(ROWS($AG$2:AG355),$AG$2:$AG$1001,0),1)&gt;=100000,INDEX($AN$1005:$BO$1005,1,MATCH(COLUMNS($AN$1006:BI1006),$AN$1006:$BO$1006,0))&gt;=100000), " ",IF(INDEX($AN$2:$BO$1001,MATCH(ROWS($AG$2:AG355),$AG$2:$AG$1001,0),MATCH(COLUMNS($AN$1006:BI1006),$AN$1006:$BO$1006,0)), HYPERLINK("#",""), HYPERLINK(CONCATENATE("#Metadata!", ADDRESS(INDEX($AI$2:$AI$1001,MATCH(ROWS($AG$2:AG355),$AG$2:$AG$1001,0),0), INDEX($AN$1004:$BO$1004,1,MATCH(COLUMNS($AN$1006:BI1006),$AN$1006:$BO$1006,0)))),"Fix")))</f>
        <v>0</v>
      </c>
      <c r="X355" s="4">
        <f>IF(OR(INDEX($AH$2:$AH$1001,MATCH(ROWS($AG$2:AG355),$AG$2:$AG$1001,0),1)&gt;=100000,INDEX($AN$1005:$BO$1005,1,MATCH(COLUMNS($AN$1006:BJ1006),$AN$1006:$BO$1006,0))&gt;=100000), " ",IF(INDEX($AN$2:$BO$1001,MATCH(ROWS($AG$2:AG355),$AG$2:$AG$1001,0),MATCH(COLUMNS($AN$1006:BJ1006),$AN$1006:$BO$1006,0)), HYPERLINK("#",""), HYPERLINK(CONCATENATE("#Metadata!", ADDRESS(INDEX($AI$2:$AI$1001,MATCH(ROWS($AG$2:AG355),$AG$2:$AG$1001,0),0), INDEX($AN$1004:$BO$1004,1,MATCH(COLUMNS($AN$1006:BJ1006),$AN$1006:$BO$1006,0)))),"Fix")))</f>
        <v>0</v>
      </c>
      <c r="Y355" s="4">
        <f>IF(OR(INDEX($AH$2:$AH$1001,MATCH(ROWS($AG$2:AG355),$AG$2:$AG$1001,0),1)&gt;=100000,INDEX($AN$1005:$BO$1005,1,MATCH(COLUMNS($AN$1006:BK1006),$AN$1006:$BO$1006,0))&gt;=100000), " ",IF(INDEX($AN$2:$BO$1001,MATCH(ROWS($AG$2:AG355),$AG$2:$AG$1001,0),MATCH(COLUMNS($AN$1006:BK1006),$AN$1006:$BO$1006,0)), HYPERLINK("#",""), HYPERLINK(CONCATENATE("#Metadata!", ADDRESS(INDEX($AI$2:$AI$1001,MATCH(ROWS($AG$2:AG355),$AG$2:$AG$1001,0),0), INDEX($AN$1004:$BO$1004,1,MATCH(COLUMNS($AN$1006:BK1006),$AN$1006:$BO$1006,0)))),"Fix")))</f>
        <v>0</v>
      </c>
      <c r="Z355" s="4">
        <f>IF(OR(INDEX($AH$2:$AH$1001,MATCH(ROWS($AG$2:AG355),$AG$2:$AG$1001,0),1)&gt;=100000,INDEX($AN$1005:$BO$1005,1,MATCH(COLUMNS($AN$1006:BL1006),$AN$1006:$BO$1006,0))&gt;=100000), " ",IF(INDEX($AN$2:$BO$1001,MATCH(ROWS($AG$2:AG355),$AG$2:$AG$1001,0),MATCH(COLUMNS($AN$1006:BL1006),$AN$1006:$BO$1006,0)), HYPERLINK("#",""), HYPERLINK(CONCATENATE("#Metadata!", ADDRESS(INDEX($AI$2:$AI$1001,MATCH(ROWS($AG$2:AG355),$AG$2:$AG$1001,0),0), INDEX($AN$1004:$BO$1004,1,MATCH(COLUMNS($AN$1006:BL1006),$AN$1006:$BO$1006,0)))),"Fix")))</f>
        <v>0</v>
      </c>
      <c r="AA355" s="4">
        <f>IF(OR(INDEX($AH$2:$AH$1001,MATCH(ROWS($AG$2:AG355),$AG$2:$AG$1001,0),1)&gt;=100000,INDEX($AN$1005:$BO$1005,1,MATCH(COLUMNS($AN$1006:BM1006),$AN$1006:$BO$1006,0))&gt;=100000), " ",IF(INDEX($AN$2:$BO$1001,MATCH(ROWS($AG$2:AG355),$AG$2:$AG$1001,0),MATCH(COLUMNS($AN$1006:BM1006),$AN$1006:$BO$1006,0)), HYPERLINK("#",""), HYPERLINK(CONCATENATE("#Metadata!", ADDRESS(INDEX($AI$2:$AI$1001,MATCH(ROWS($AG$2:AG355),$AG$2:$AG$1001,0),0), INDEX($AN$1004:$BO$1004,1,MATCH(COLUMNS($AN$1006:BM1006),$AN$1006:$BO$1006,0)))),"Fix")))</f>
        <v>0</v>
      </c>
      <c r="AB355" s="4">
        <f>IF(OR(INDEX($AH$2:$AH$1001,MATCH(ROWS($AG$2:AG355),$AG$2:$AG$1001,0),1)&gt;=100000,INDEX($AN$1005:$BO$1005,1,MATCH(COLUMNS($AN$1006:BN1006),$AN$1006:$BO$1006,0))&gt;=100000), " ",IF(INDEX($AN$2:$BO$1001,MATCH(ROWS($AG$2:AG355),$AG$2:$AG$1001,0),MATCH(COLUMNS($AN$1006:BN1006),$AN$1006:$BO$1006,0)), HYPERLINK("#",""), HYPERLINK(CONCATENATE("#Metadata!", ADDRESS(INDEX($AI$2:$AI$1001,MATCH(ROWS($AG$2:AG355),$AG$2:$AG$1001,0),0), INDEX($AN$1004:$BO$1004,1,MATCH(COLUMNS($AN$1006:BN1006),$AN$1006:$BO$1006,0)))),"Fix")))</f>
        <v>0</v>
      </c>
      <c r="AC355" s="4">
        <f>IF(OR(INDEX($AH$2:$AH$1001,MATCH(ROWS($AG$2:AG355),$AG$2:$AG$1001,0),1)&gt;=100000,INDEX($AN$1005:$BO$1005,1,MATCH(COLUMNS($AN$1006:BO1006),$AN$1006:$BO$1006,0))&gt;=100000), " ",IF(INDEX($AN$2:$BO$1001,MATCH(ROWS($AG$2:AG355),$AG$2:$AG$1001,0),MATCH(COLUMNS($AN$1006:BO1006),$AN$1006:$BO$1006,0)), HYPERLINK("#",""), HYPERLINK(CONCATENATE("#Metadata!", ADDRESS(INDEX($AI$2:$AI$1001,MATCH(ROWS($AG$2:AG355),$AG$2:$AG$1001,0),0), INDEX($AN$1004:$BO$1004,1,MATCH(COLUMNS($AN$1006:BO1006),$AN$1006:$BO$1006,0)))),"Fix")))</f>
        <v>0</v>
      </c>
      <c r="AG355">
        <v>0</v>
      </c>
      <c r="AH355">
        <v>0</v>
      </c>
      <c r="AI355">
        <v>0</v>
      </c>
      <c r="AJ355">
        <f>IF(AK355,TRUE,AND(AN355:BO355))</f>
        <v>0</v>
      </c>
      <c r="AK355">
        <f>COUNTBLANK(Metadata!B355:AC355)=COLUMNS(Metadata!B355:AC355)</f>
        <v>0</v>
      </c>
      <c r="AL355">
        <v>0</v>
      </c>
      <c r="AN355">
        <f>AND(IF(Metadata!B355="",FALSE,TRUE),COUNTIF(Metadata!B:B, Metadata!B355) = 1,NOT(ISERROR(SUMPRODUCT(SEARCH(MID(Metadata!B355,ROW(INDIRECT("1:"&amp;LEN(Metadata!B355))), 1),"0123456789abcdefghijklmnopqrstuvwxyzABCDEFGHIJKLMNOPQRSTUVWXYZ.")))))</f>
        <v>0</v>
      </c>
      <c r="AO355">
        <f>IF(Metadata!C355="",FALSE,TRUE)</f>
        <v>0</v>
      </c>
      <c r="AP355">
        <f>IF(Metadata!D355="",FALSE,TRUE)</f>
        <v>0</v>
      </c>
      <c r="AQ355">
        <f>OR(AND(IF(Metadata!E355="",FALSE,TRUE),OR(exact(Metadata!E355,"not collected"),exact(Metadata!E355,"not provided"),exact(Metadata!E355,"restricted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R355">
        <f>IF(Metadata!F355="",FALSE,TRUE)</f>
        <v>0</v>
      </c>
      <c r="AS355">
        <f>OR(AND(IF(Metadata!G355="",FALSE,TRUE),OR(exact(Metadata!G355,"not collected"),exact(Metadata!G355,"not provided"))),AND(IF(Metadata!G355="",FALSE,TRUE),OR(exact(Metadata!G355,"TRUE"),exact(Metadata!G355,"FALSE"))))</f>
        <v>0</v>
      </c>
      <c r="AT355">
        <f>OR(AND(IF(Metadata!H355="",FALSE,TRUE),OR(exact(Metadata!H355,"not collected"),exact(Metadata!H355,"not provided"),exact(Metadata!H355,"restricted access"))),AND(IF(Metadata!H355="",FALSE,ISNUMBER(VALUE(Metadata!H355))),Metadata!H355&gt;=-413.0))</f>
        <v>0</v>
      </c>
      <c r="AU355">
        <f>AND(IF(Metadata!I355="",FALSE,TRUE),exact(Metadata!I355,"meters"))</f>
        <v>0</v>
      </c>
      <c r="AV355">
        <f>AND(IF(Metadata!J355="",FALSE,TRUE),OR(exact(Metadata!J355,"Host-associated"),exact(Metadata!J355,"Free-living")))</f>
        <v>0</v>
      </c>
      <c r="AW355">
        <f>AND(IF(Metadata!K355="",FALSE,TRUE),OR(exact(Metadata!K355,"Animal"),exact(Metadata!K355,"Fungus"),exact(Metadata!K355,"Plant"),exact(Metadata!K355,"Saline"),exact(Metadata!K355,"Non-saline")))</f>
        <v>0</v>
      </c>
      <c r="AX355">
        <f>AND(IF(Metadata!L355="",FALSE,TRUE),OR(exact(Metadata!L355,"Plant secretion"),exact(Metadata!L355,"Plant rhizosphere"),exact(Metadata!L355,"Plant surface"),exact(Metadata!L355,"Plant corpus"),exact(Metadata!L355,"Fungus surface"),exact(Metadata!L355,"Fungus corpus"),exact(Metadata!L355,"Animal surface"),exact(Metadata!L355,"Animal proximal gut"),exact(Metadata!L355,"Animal corpus"),exact(Metadata!L355,"Animal distal gut"),exact(Metadata!L355,"Animal secretion"),exact(Metadata!L355,"Sub-surface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Y355">
        <f>IF(Metadata!M355="",FALSE,TRUE)</f>
        <v>0</v>
      </c>
      <c r="AZ355">
        <f>IF(Metadata!N355="",FALSE,TRUE)</f>
        <v>0</v>
      </c>
      <c r="BA355">
        <f>IF(Metadata!O355="",FALSE,TRUE)</f>
        <v>0</v>
      </c>
      <c r="BB355">
        <f>OR(AND(IF(Metadata!P355="",FALSE,TRUE),OR(exact(Metadata!P355,"not collected"),exact(Metadata!P355,"not provided"),exact(Metadata!P355,"restricted access"))),AND(IF(Metadata!P355="",FALSE,TRUE),OR(exact(Metadata!P355,"air"),exact(Metadata!P355,"built environment"),exact(Metadata!P355,"host-associated"),exact(Metadata!P355,"human-associated"),exact(Metadata!P355,"human-skin"),exact(Metadata!P355,"human-oral"),exact(Metadata!P355,"human-gut"),exact(Metadata!P355,"human-vaginal"),exact(Metadata!P355,"microbial mat/biofilm"),exact(Metadata!P355,"misc environment"),exact(Metadata!P355,"plant-associated"),exact(Metadata!P355,"sediment"),exact(Metadata!P355,"soil"),exact(Metadata!P355,"wastewater/sludge"),exact(Metadata!P355,"water"))))</f>
        <v>0</v>
      </c>
      <c r="BC355">
        <f>IF(Metadata!Q355="",FALSE,TRUE)</f>
        <v>0</v>
      </c>
      <c r="BD355">
        <f>IF(Metadata!R355="",FALSE,TRUE)</f>
        <v>0</v>
      </c>
      <c r="BE355">
        <f>OR(AND(IF(Metadata!S355="",FALSE,TRUE),OR(exact(Metadata!S355,"not collected"),exact(Metadata!S355,"not provided"),exact(Metadata!S355,"restricted access"))),AND(IF(Metadata!S355="",FALSE,ISNUMBER(VALUE(Metadata!S355))),Metadata!S355&gt;=-90.00,Metadata!S355&lt;=90.00))</f>
        <v>0</v>
      </c>
      <c r="BF355">
        <f>AND(IF(Metadata!T355="",FALSE,TRUE),exact(Metadata!T355,"Decimal degrees"))</f>
        <v>0</v>
      </c>
      <c r="BG355">
        <f>OR(AND(IF(Metadata!U355="",FALSE,TRUE),OR(exact(Metadata!U355,"not collected"),exact(Metadata!U355,"not provided"),exact(Metadata!U355,"restricted access"))),AND(IF(Metadata!U355="",FALSE,ISNUMBER(VALUE(Metadata!U355))),Metadata!U355&gt;=-180.00,Metadata!U355&lt;=180.00))</f>
        <v>0</v>
      </c>
      <c r="BH355">
        <f>AND(IF(Metadata!V355="",FALSE,TRUE),exact(Metadata!V355,"Decimal degrees"))</f>
        <v>0</v>
      </c>
      <c r="BI355">
        <f>IF(Metadata!W355="",FALSE,TRUE)</f>
        <v>0</v>
      </c>
      <c r="BJ355">
        <f>OR(AND(IF(Metadata!X355="",FALSE,TRUE),OR(exact(Metadata!X355,"not collected"),exact(Metadata!X355,"not provided"),exact(Metadata!X355,"restricted access"))),AND(IF(Metadata!X355="",FALSE,TRUE),OR(exact(Metadata!X355,"TRUE"),exact(Metadata!X355,"FALSE"))))</f>
        <v>0</v>
      </c>
      <c r="BK355">
        <f>AND(IF(Metadata!Y355="",FALSE,TRUE),exact(Metadata!Y355,"other"))</f>
        <v>0</v>
      </c>
      <c r="BL355">
        <f>IF(Metadata!Z355="",FALSE,TRUE)</f>
        <v>0</v>
      </c>
      <c r="BM355">
        <f>OR(AND(IF(Metadata!AA355="",FALSE,TRUE),OR(exact(Metadata!AA355,"not collected"),exact(Metadata!AA355,"not provided"))),AND(IF(Metadata!AA355="",FALSE,IF(ISERROR(INT(Metadata!AA355)),FALSE,INT(Metadata!AA355)=Metadata!AA355)),Metadata!AA355&gt;0))</f>
        <v>0</v>
      </c>
      <c r="BN355">
        <f>AND(IF(Metadata!AB355="",FALSE,TRUE),exact(Metadata!AB355,"Not applicable"))</f>
        <v>0</v>
      </c>
      <c r="BO355">
        <f>IF(Metadata!AC355="",FALSE,TRUE)</f>
        <v>0</v>
      </c>
    </row>
    <row r="356" spans="1:67">
      <c r="A356" s="5">
        <f>IF(B356=" "," ",HYPERLINK(CONCATENATE("#metadata!",ADDRESS(INDEX($AI$2:$AI$1001,MATCH(ROWS($AG$2:AG356),$AG$2:$AG$1001,0),0),1)),INDEX($AL$2:$AL$1001,MATCH(ROWS($AG$2:AG356),$AG$2:$AG$1001,0),0)))</f>
        <v>0</v>
      </c>
      <c r="B356" s="4">
        <f>IF(OR(INDEX($AH$2:$AH$1001,MATCH(ROWS($AG$2:AG356),$AG$2:$AG$1001,0),1)&gt;=100000,INDEX($AN$1005:$BO$1005,1,MATCH(COLUMNS($AN$1006:AN1006),$AN$1006:$BO$1006,0))&gt;=100000), " ",IF(INDEX($AN$2:$BO$1001,MATCH(ROWS($AG$2:AG356),$AG$2:$AG$1001,0),MATCH(COLUMNS($AN$1006:AN1006),$AN$1006:$BO$1006,0)), HYPERLINK("#",""), HYPERLINK(CONCATENATE("#Metadata!", ADDRESS(INDEX($AI$2:$AI$1001,MATCH(ROWS($AG$2:AG356),$AG$2:$AG$1001,0),0), INDEX($AN$1004:$BO$1004,1,MATCH(COLUMNS($AN$1006:AN1006),$AN$1006:$BO$1006,0)))),"Fix")))</f>
        <v>0</v>
      </c>
      <c r="C356" s="4">
        <f>IF(OR(INDEX($AH$2:$AH$1001,MATCH(ROWS($AG$2:AG356),$AG$2:$AG$1001,0),1)&gt;=100000,INDEX($AN$1005:$BO$1005,1,MATCH(COLUMNS($AN$1006:AO1006),$AN$1006:$BO$1006,0))&gt;=100000), " ",IF(INDEX($AN$2:$BO$1001,MATCH(ROWS($AG$2:AG356),$AG$2:$AG$1001,0),MATCH(COLUMNS($AN$1006:AO1006),$AN$1006:$BO$1006,0)), HYPERLINK("#",""), HYPERLINK(CONCATENATE("#Metadata!", ADDRESS(INDEX($AI$2:$AI$1001,MATCH(ROWS($AG$2:AG356),$AG$2:$AG$1001,0),0), INDEX($AN$1004:$BO$1004,1,MATCH(COLUMNS($AN$1006:AO1006),$AN$1006:$BO$1006,0)))),"Fix")))</f>
        <v>0</v>
      </c>
      <c r="D356" s="4">
        <f>IF(OR(INDEX($AH$2:$AH$1001,MATCH(ROWS($AG$2:AG356),$AG$2:$AG$1001,0),1)&gt;=100000,INDEX($AN$1005:$BO$1005,1,MATCH(COLUMNS($AN$1006:AP1006),$AN$1006:$BO$1006,0))&gt;=100000), " ",IF(INDEX($AN$2:$BO$1001,MATCH(ROWS($AG$2:AG356),$AG$2:$AG$1001,0),MATCH(COLUMNS($AN$1006:AP1006),$AN$1006:$BO$1006,0)), HYPERLINK("#",""), HYPERLINK(CONCATENATE("#Metadata!", ADDRESS(INDEX($AI$2:$AI$1001,MATCH(ROWS($AG$2:AG356),$AG$2:$AG$1001,0),0), INDEX($AN$1004:$BO$1004,1,MATCH(COLUMNS($AN$1006:AP1006),$AN$1006:$BO$1006,0)))),"Fix")))</f>
        <v>0</v>
      </c>
      <c r="E356" s="4">
        <f>IF(OR(INDEX($AH$2:$AH$1001,MATCH(ROWS($AG$2:AG356),$AG$2:$AG$1001,0),1)&gt;=100000,INDEX($AN$1005:$BO$1005,1,MATCH(COLUMNS($AN$1006:AQ1006),$AN$1006:$BO$1006,0))&gt;=100000), " ",IF(INDEX($AN$2:$BO$1001,MATCH(ROWS($AG$2:AG356),$AG$2:$AG$1001,0),MATCH(COLUMNS($AN$1006:AQ1006),$AN$1006:$BO$1006,0)), HYPERLINK("#",""), HYPERLINK(CONCATENATE("#Metadata!", ADDRESS(INDEX($AI$2:$AI$1001,MATCH(ROWS($AG$2:AG356),$AG$2:$AG$1001,0),0), INDEX($AN$1004:$BO$1004,1,MATCH(COLUMNS($AN$1006:AQ1006),$AN$1006:$BO$1006,0)))),"Fix")))</f>
        <v>0</v>
      </c>
      <c r="F356" s="4">
        <f>IF(OR(INDEX($AH$2:$AH$1001,MATCH(ROWS($AG$2:AG356),$AG$2:$AG$1001,0),1)&gt;=100000,INDEX($AN$1005:$BO$1005,1,MATCH(COLUMNS($AN$1006:AR1006),$AN$1006:$BO$1006,0))&gt;=100000), " ",IF(INDEX($AN$2:$BO$1001,MATCH(ROWS($AG$2:AG356),$AG$2:$AG$1001,0),MATCH(COLUMNS($AN$1006:AR1006),$AN$1006:$BO$1006,0)), HYPERLINK("#",""), HYPERLINK(CONCATENATE("#Metadata!", ADDRESS(INDEX($AI$2:$AI$1001,MATCH(ROWS($AG$2:AG356),$AG$2:$AG$1001,0),0), INDEX($AN$1004:$BO$1004,1,MATCH(COLUMNS($AN$1006:AR1006),$AN$1006:$BO$1006,0)))),"Fix")))</f>
        <v>0</v>
      </c>
      <c r="G356" s="4">
        <f>IF(OR(INDEX($AH$2:$AH$1001,MATCH(ROWS($AG$2:AG356),$AG$2:$AG$1001,0),1)&gt;=100000,INDEX($AN$1005:$BO$1005,1,MATCH(COLUMNS($AN$1006:AS1006),$AN$1006:$BO$1006,0))&gt;=100000), " ",IF(INDEX($AN$2:$BO$1001,MATCH(ROWS($AG$2:AG356),$AG$2:$AG$1001,0),MATCH(COLUMNS($AN$1006:AS1006),$AN$1006:$BO$1006,0)), HYPERLINK("#",""), HYPERLINK(CONCATENATE("#Metadata!", ADDRESS(INDEX($AI$2:$AI$1001,MATCH(ROWS($AG$2:AG356),$AG$2:$AG$1001,0),0), INDEX($AN$1004:$BO$1004,1,MATCH(COLUMNS($AN$1006:AS1006),$AN$1006:$BO$1006,0)))),"Fix")))</f>
        <v>0</v>
      </c>
      <c r="H356" s="4">
        <f>IF(OR(INDEX($AH$2:$AH$1001,MATCH(ROWS($AG$2:AG356),$AG$2:$AG$1001,0),1)&gt;=100000,INDEX($AN$1005:$BO$1005,1,MATCH(COLUMNS($AN$1006:AT1006),$AN$1006:$BO$1006,0))&gt;=100000), " ",IF(INDEX($AN$2:$BO$1001,MATCH(ROWS($AG$2:AG356),$AG$2:$AG$1001,0),MATCH(COLUMNS($AN$1006:AT1006),$AN$1006:$BO$1006,0)), HYPERLINK("#",""), HYPERLINK(CONCATENATE("#Metadata!", ADDRESS(INDEX($AI$2:$AI$1001,MATCH(ROWS($AG$2:AG356),$AG$2:$AG$1001,0),0), INDEX($AN$1004:$BO$1004,1,MATCH(COLUMNS($AN$1006:AT1006),$AN$1006:$BO$1006,0)))),"Fix")))</f>
        <v>0</v>
      </c>
      <c r="I356" s="4">
        <f>IF(OR(INDEX($AH$2:$AH$1001,MATCH(ROWS($AG$2:AG356),$AG$2:$AG$1001,0),1)&gt;=100000,INDEX($AN$1005:$BO$1005,1,MATCH(COLUMNS($AN$1006:AU1006),$AN$1006:$BO$1006,0))&gt;=100000), " ",IF(INDEX($AN$2:$BO$1001,MATCH(ROWS($AG$2:AG356),$AG$2:$AG$1001,0),MATCH(COLUMNS($AN$1006:AU1006),$AN$1006:$BO$1006,0)), HYPERLINK("#",""), HYPERLINK(CONCATENATE("#Metadata!", ADDRESS(INDEX($AI$2:$AI$1001,MATCH(ROWS($AG$2:AG356),$AG$2:$AG$1001,0),0), INDEX($AN$1004:$BO$1004,1,MATCH(COLUMNS($AN$1006:AU1006),$AN$1006:$BO$1006,0)))),"Fix")))</f>
        <v>0</v>
      </c>
      <c r="J356" s="4">
        <f>IF(OR(INDEX($AH$2:$AH$1001,MATCH(ROWS($AG$2:AG356),$AG$2:$AG$1001,0),1)&gt;=100000,INDEX($AN$1005:$BO$1005,1,MATCH(COLUMNS($AN$1006:AV1006),$AN$1006:$BO$1006,0))&gt;=100000), " ",IF(INDEX($AN$2:$BO$1001,MATCH(ROWS($AG$2:AG356),$AG$2:$AG$1001,0),MATCH(COLUMNS($AN$1006:AV1006),$AN$1006:$BO$1006,0)), HYPERLINK("#",""), HYPERLINK(CONCATENATE("#Metadata!", ADDRESS(INDEX($AI$2:$AI$1001,MATCH(ROWS($AG$2:AG356),$AG$2:$AG$1001,0),0), INDEX($AN$1004:$BO$1004,1,MATCH(COLUMNS($AN$1006:AV1006),$AN$1006:$BO$1006,0)))),"Fix")))</f>
        <v>0</v>
      </c>
      <c r="K356" s="4">
        <f>IF(OR(INDEX($AH$2:$AH$1001,MATCH(ROWS($AG$2:AG356),$AG$2:$AG$1001,0),1)&gt;=100000,INDEX($AN$1005:$BO$1005,1,MATCH(COLUMNS($AN$1006:AW1006),$AN$1006:$BO$1006,0))&gt;=100000), " ",IF(INDEX($AN$2:$BO$1001,MATCH(ROWS($AG$2:AG356),$AG$2:$AG$1001,0),MATCH(COLUMNS($AN$1006:AW1006),$AN$1006:$BO$1006,0)), HYPERLINK("#",""), HYPERLINK(CONCATENATE("#Metadata!", ADDRESS(INDEX($AI$2:$AI$1001,MATCH(ROWS($AG$2:AG356),$AG$2:$AG$1001,0),0), INDEX($AN$1004:$BO$1004,1,MATCH(COLUMNS($AN$1006:AW1006),$AN$1006:$BO$1006,0)))),"Fix")))</f>
        <v>0</v>
      </c>
      <c r="L356" s="4">
        <f>IF(OR(INDEX($AH$2:$AH$1001,MATCH(ROWS($AG$2:AG356),$AG$2:$AG$1001,0),1)&gt;=100000,INDEX($AN$1005:$BO$1005,1,MATCH(COLUMNS($AN$1006:AX1006),$AN$1006:$BO$1006,0))&gt;=100000), " ",IF(INDEX($AN$2:$BO$1001,MATCH(ROWS($AG$2:AG356),$AG$2:$AG$1001,0),MATCH(COLUMNS($AN$1006:AX1006),$AN$1006:$BO$1006,0)), HYPERLINK("#",""), HYPERLINK(CONCATENATE("#Metadata!", ADDRESS(INDEX($AI$2:$AI$1001,MATCH(ROWS($AG$2:AG356),$AG$2:$AG$1001,0),0), INDEX($AN$1004:$BO$1004,1,MATCH(COLUMNS($AN$1006:AX1006),$AN$1006:$BO$1006,0)))),"Fix")))</f>
        <v>0</v>
      </c>
      <c r="M356" s="4">
        <f>IF(OR(INDEX($AH$2:$AH$1001,MATCH(ROWS($AG$2:AG356),$AG$2:$AG$1001,0),1)&gt;=100000,INDEX($AN$1005:$BO$1005,1,MATCH(COLUMNS($AN$1006:AY1006),$AN$1006:$BO$1006,0))&gt;=100000), " ",IF(INDEX($AN$2:$BO$1001,MATCH(ROWS($AG$2:AG356),$AG$2:$AG$1001,0),MATCH(COLUMNS($AN$1006:AY1006),$AN$1006:$BO$1006,0)), HYPERLINK("#",""), HYPERLINK(CONCATENATE("#Metadata!", ADDRESS(INDEX($AI$2:$AI$1001,MATCH(ROWS($AG$2:AG356),$AG$2:$AG$1001,0),0), INDEX($AN$1004:$BO$1004,1,MATCH(COLUMNS($AN$1006:AY1006),$AN$1006:$BO$1006,0)))),"Fix")))</f>
        <v>0</v>
      </c>
      <c r="N356" s="4">
        <f>IF(OR(INDEX($AH$2:$AH$1001,MATCH(ROWS($AG$2:AG356),$AG$2:$AG$1001,0),1)&gt;=100000,INDEX($AN$1005:$BO$1005,1,MATCH(COLUMNS($AN$1006:AZ1006),$AN$1006:$BO$1006,0))&gt;=100000), " ",IF(INDEX($AN$2:$BO$1001,MATCH(ROWS($AG$2:AG356),$AG$2:$AG$1001,0),MATCH(COLUMNS($AN$1006:AZ1006),$AN$1006:$BO$1006,0)), HYPERLINK("#",""), HYPERLINK(CONCATENATE("#Metadata!", ADDRESS(INDEX($AI$2:$AI$1001,MATCH(ROWS($AG$2:AG356),$AG$2:$AG$1001,0),0), INDEX($AN$1004:$BO$1004,1,MATCH(COLUMNS($AN$1006:AZ1006),$AN$1006:$BO$1006,0)))),"Fix")))</f>
        <v>0</v>
      </c>
      <c r="O356" s="4">
        <f>IF(OR(INDEX($AH$2:$AH$1001,MATCH(ROWS($AG$2:AG356),$AG$2:$AG$1001,0),1)&gt;=100000,INDEX($AN$1005:$BO$1005,1,MATCH(COLUMNS($AN$1006:BA1006),$AN$1006:$BO$1006,0))&gt;=100000), " ",IF(INDEX($AN$2:$BO$1001,MATCH(ROWS($AG$2:AG356),$AG$2:$AG$1001,0),MATCH(COLUMNS($AN$1006:BA1006),$AN$1006:$BO$1006,0)), HYPERLINK("#",""), HYPERLINK(CONCATENATE("#Metadata!", ADDRESS(INDEX($AI$2:$AI$1001,MATCH(ROWS($AG$2:AG356),$AG$2:$AG$1001,0),0), INDEX($AN$1004:$BO$1004,1,MATCH(COLUMNS($AN$1006:BA1006),$AN$1006:$BO$1006,0)))),"Fix")))</f>
        <v>0</v>
      </c>
      <c r="P356" s="4">
        <f>IF(OR(INDEX($AH$2:$AH$1001,MATCH(ROWS($AG$2:AG356),$AG$2:$AG$1001,0),1)&gt;=100000,INDEX($AN$1005:$BO$1005,1,MATCH(COLUMNS($AN$1006:BB1006),$AN$1006:$BO$1006,0))&gt;=100000), " ",IF(INDEX($AN$2:$BO$1001,MATCH(ROWS($AG$2:AG356),$AG$2:$AG$1001,0),MATCH(COLUMNS($AN$1006:BB1006),$AN$1006:$BO$1006,0)), HYPERLINK("#",""), HYPERLINK(CONCATENATE("#Metadata!", ADDRESS(INDEX($AI$2:$AI$1001,MATCH(ROWS($AG$2:AG356),$AG$2:$AG$1001,0),0), INDEX($AN$1004:$BO$1004,1,MATCH(COLUMNS($AN$1006:BB1006),$AN$1006:$BO$1006,0)))),"Fix")))</f>
        <v>0</v>
      </c>
      <c r="Q356" s="4">
        <f>IF(OR(INDEX($AH$2:$AH$1001,MATCH(ROWS($AG$2:AG356),$AG$2:$AG$1001,0),1)&gt;=100000,INDEX($AN$1005:$BO$1005,1,MATCH(COLUMNS($AN$1006:BC1006),$AN$1006:$BO$1006,0))&gt;=100000), " ",IF(INDEX($AN$2:$BO$1001,MATCH(ROWS($AG$2:AG356),$AG$2:$AG$1001,0),MATCH(COLUMNS($AN$1006:BC1006),$AN$1006:$BO$1006,0)), HYPERLINK("#",""), HYPERLINK(CONCATENATE("#Metadata!", ADDRESS(INDEX($AI$2:$AI$1001,MATCH(ROWS($AG$2:AG356),$AG$2:$AG$1001,0),0), INDEX($AN$1004:$BO$1004,1,MATCH(COLUMNS($AN$1006:BC1006),$AN$1006:$BO$1006,0)))),"Fix")))</f>
        <v>0</v>
      </c>
      <c r="R356" s="4">
        <f>IF(OR(INDEX($AH$2:$AH$1001,MATCH(ROWS($AG$2:AG356),$AG$2:$AG$1001,0),1)&gt;=100000,INDEX($AN$1005:$BO$1005,1,MATCH(COLUMNS($AN$1006:BD1006),$AN$1006:$BO$1006,0))&gt;=100000), " ",IF(INDEX($AN$2:$BO$1001,MATCH(ROWS($AG$2:AG356),$AG$2:$AG$1001,0),MATCH(COLUMNS($AN$1006:BD1006),$AN$1006:$BO$1006,0)), HYPERLINK("#",""), HYPERLINK(CONCATENATE("#Metadata!", ADDRESS(INDEX($AI$2:$AI$1001,MATCH(ROWS($AG$2:AG356),$AG$2:$AG$1001,0),0), INDEX($AN$1004:$BO$1004,1,MATCH(COLUMNS($AN$1006:BD1006),$AN$1006:$BO$1006,0)))),"Fix")))</f>
        <v>0</v>
      </c>
      <c r="S356" s="4">
        <f>IF(OR(INDEX($AH$2:$AH$1001,MATCH(ROWS($AG$2:AG356),$AG$2:$AG$1001,0),1)&gt;=100000,INDEX($AN$1005:$BO$1005,1,MATCH(COLUMNS($AN$1006:BE1006),$AN$1006:$BO$1006,0))&gt;=100000), " ",IF(INDEX($AN$2:$BO$1001,MATCH(ROWS($AG$2:AG356),$AG$2:$AG$1001,0),MATCH(COLUMNS($AN$1006:BE1006),$AN$1006:$BO$1006,0)), HYPERLINK("#",""), HYPERLINK(CONCATENATE("#Metadata!", ADDRESS(INDEX($AI$2:$AI$1001,MATCH(ROWS($AG$2:AG356),$AG$2:$AG$1001,0),0), INDEX($AN$1004:$BO$1004,1,MATCH(COLUMNS($AN$1006:BE1006),$AN$1006:$BO$1006,0)))),"Fix")))</f>
        <v>0</v>
      </c>
      <c r="T356" s="4">
        <f>IF(OR(INDEX($AH$2:$AH$1001,MATCH(ROWS($AG$2:AG356),$AG$2:$AG$1001,0),1)&gt;=100000,INDEX($AN$1005:$BO$1005,1,MATCH(COLUMNS($AN$1006:BF1006),$AN$1006:$BO$1006,0))&gt;=100000), " ",IF(INDEX($AN$2:$BO$1001,MATCH(ROWS($AG$2:AG356),$AG$2:$AG$1001,0),MATCH(COLUMNS($AN$1006:BF1006),$AN$1006:$BO$1006,0)), HYPERLINK("#",""), HYPERLINK(CONCATENATE("#Metadata!", ADDRESS(INDEX($AI$2:$AI$1001,MATCH(ROWS($AG$2:AG356),$AG$2:$AG$1001,0),0), INDEX($AN$1004:$BO$1004,1,MATCH(COLUMNS($AN$1006:BF1006),$AN$1006:$BO$1006,0)))),"Fix")))</f>
        <v>0</v>
      </c>
      <c r="U356" s="4">
        <f>IF(OR(INDEX($AH$2:$AH$1001,MATCH(ROWS($AG$2:AG356),$AG$2:$AG$1001,0),1)&gt;=100000,INDEX($AN$1005:$BO$1005,1,MATCH(COLUMNS($AN$1006:BG1006),$AN$1006:$BO$1006,0))&gt;=100000), " ",IF(INDEX($AN$2:$BO$1001,MATCH(ROWS($AG$2:AG356),$AG$2:$AG$1001,0),MATCH(COLUMNS($AN$1006:BG1006),$AN$1006:$BO$1006,0)), HYPERLINK("#",""), HYPERLINK(CONCATENATE("#Metadata!", ADDRESS(INDEX($AI$2:$AI$1001,MATCH(ROWS($AG$2:AG356),$AG$2:$AG$1001,0),0), INDEX($AN$1004:$BO$1004,1,MATCH(COLUMNS($AN$1006:BG1006),$AN$1006:$BO$1006,0)))),"Fix")))</f>
        <v>0</v>
      </c>
      <c r="V356" s="4">
        <f>IF(OR(INDEX($AH$2:$AH$1001,MATCH(ROWS($AG$2:AG356),$AG$2:$AG$1001,0),1)&gt;=100000,INDEX($AN$1005:$BO$1005,1,MATCH(COLUMNS($AN$1006:BH1006),$AN$1006:$BO$1006,0))&gt;=100000), " ",IF(INDEX($AN$2:$BO$1001,MATCH(ROWS($AG$2:AG356),$AG$2:$AG$1001,0),MATCH(COLUMNS($AN$1006:BH1006),$AN$1006:$BO$1006,0)), HYPERLINK("#",""), HYPERLINK(CONCATENATE("#Metadata!", ADDRESS(INDEX($AI$2:$AI$1001,MATCH(ROWS($AG$2:AG356),$AG$2:$AG$1001,0),0), INDEX($AN$1004:$BO$1004,1,MATCH(COLUMNS($AN$1006:BH1006),$AN$1006:$BO$1006,0)))),"Fix")))</f>
        <v>0</v>
      </c>
      <c r="W356" s="4">
        <f>IF(OR(INDEX($AH$2:$AH$1001,MATCH(ROWS($AG$2:AG356),$AG$2:$AG$1001,0),1)&gt;=100000,INDEX($AN$1005:$BO$1005,1,MATCH(COLUMNS($AN$1006:BI1006),$AN$1006:$BO$1006,0))&gt;=100000), " ",IF(INDEX($AN$2:$BO$1001,MATCH(ROWS($AG$2:AG356),$AG$2:$AG$1001,0),MATCH(COLUMNS($AN$1006:BI1006),$AN$1006:$BO$1006,0)), HYPERLINK("#",""), HYPERLINK(CONCATENATE("#Metadata!", ADDRESS(INDEX($AI$2:$AI$1001,MATCH(ROWS($AG$2:AG356),$AG$2:$AG$1001,0),0), INDEX($AN$1004:$BO$1004,1,MATCH(COLUMNS($AN$1006:BI1006),$AN$1006:$BO$1006,0)))),"Fix")))</f>
        <v>0</v>
      </c>
      <c r="X356" s="4">
        <f>IF(OR(INDEX($AH$2:$AH$1001,MATCH(ROWS($AG$2:AG356),$AG$2:$AG$1001,0),1)&gt;=100000,INDEX($AN$1005:$BO$1005,1,MATCH(COLUMNS($AN$1006:BJ1006),$AN$1006:$BO$1006,0))&gt;=100000), " ",IF(INDEX($AN$2:$BO$1001,MATCH(ROWS($AG$2:AG356),$AG$2:$AG$1001,0),MATCH(COLUMNS($AN$1006:BJ1006),$AN$1006:$BO$1006,0)), HYPERLINK("#",""), HYPERLINK(CONCATENATE("#Metadata!", ADDRESS(INDEX($AI$2:$AI$1001,MATCH(ROWS($AG$2:AG356),$AG$2:$AG$1001,0),0), INDEX($AN$1004:$BO$1004,1,MATCH(COLUMNS($AN$1006:BJ1006),$AN$1006:$BO$1006,0)))),"Fix")))</f>
        <v>0</v>
      </c>
      <c r="Y356" s="4">
        <f>IF(OR(INDEX($AH$2:$AH$1001,MATCH(ROWS($AG$2:AG356),$AG$2:$AG$1001,0),1)&gt;=100000,INDEX($AN$1005:$BO$1005,1,MATCH(COLUMNS($AN$1006:BK1006),$AN$1006:$BO$1006,0))&gt;=100000), " ",IF(INDEX($AN$2:$BO$1001,MATCH(ROWS($AG$2:AG356),$AG$2:$AG$1001,0),MATCH(COLUMNS($AN$1006:BK1006),$AN$1006:$BO$1006,0)), HYPERLINK("#",""), HYPERLINK(CONCATENATE("#Metadata!", ADDRESS(INDEX($AI$2:$AI$1001,MATCH(ROWS($AG$2:AG356),$AG$2:$AG$1001,0),0), INDEX($AN$1004:$BO$1004,1,MATCH(COLUMNS($AN$1006:BK1006),$AN$1006:$BO$1006,0)))),"Fix")))</f>
        <v>0</v>
      </c>
      <c r="Z356" s="4">
        <f>IF(OR(INDEX($AH$2:$AH$1001,MATCH(ROWS($AG$2:AG356),$AG$2:$AG$1001,0),1)&gt;=100000,INDEX($AN$1005:$BO$1005,1,MATCH(COLUMNS($AN$1006:BL1006),$AN$1006:$BO$1006,0))&gt;=100000), " ",IF(INDEX($AN$2:$BO$1001,MATCH(ROWS($AG$2:AG356),$AG$2:$AG$1001,0),MATCH(COLUMNS($AN$1006:BL1006),$AN$1006:$BO$1006,0)), HYPERLINK("#",""), HYPERLINK(CONCATENATE("#Metadata!", ADDRESS(INDEX($AI$2:$AI$1001,MATCH(ROWS($AG$2:AG356),$AG$2:$AG$1001,0),0), INDEX($AN$1004:$BO$1004,1,MATCH(COLUMNS($AN$1006:BL1006),$AN$1006:$BO$1006,0)))),"Fix")))</f>
        <v>0</v>
      </c>
      <c r="AA356" s="4">
        <f>IF(OR(INDEX($AH$2:$AH$1001,MATCH(ROWS($AG$2:AG356),$AG$2:$AG$1001,0),1)&gt;=100000,INDEX($AN$1005:$BO$1005,1,MATCH(COLUMNS($AN$1006:BM1006),$AN$1006:$BO$1006,0))&gt;=100000), " ",IF(INDEX($AN$2:$BO$1001,MATCH(ROWS($AG$2:AG356),$AG$2:$AG$1001,0),MATCH(COLUMNS($AN$1006:BM1006),$AN$1006:$BO$1006,0)), HYPERLINK("#",""), HYPERLINK(CONCATENATE("#Metadata!", ADDRESS(INDEX($AI$2:$AI$1001,MATCH(ROWS($AG$2:AG356),$AG$2:$AG$1001,0),0), INDEX($AN$1004:$BO$1004,1,MATCH(COLUMNS($AN$1006:BM1006),$AN$1006:$BO$1006,0)))),"Fix")))</f>
        <v>0</v>
      </c>
      <c r="AB356" s="4">
        <f>IF(OR(INDEX($AH$2:$AH$1001,MATCH(ROWS($AG$2:AG356),$AG$2:$AG$1001,0),1)&gt;=100000,INDEX($AN$1005:$BO$1005,1,MATCH(COLUMNS($AN$1006:BN1006),$AN$1006:$BO$1006,0))&gt;=100000), " ",IF(INDEX($AN$2:$BO$1001,MATCH(ROWS($AG$2:AG356),$AG$2:$AG$1001,0),MATCH(COLUMNS($AN$1006:BN1006),$AN$1006:$BO$1006,0)), HYPERLINK("#",""), HYPERLINK(CONCATENATE("#Metadata!", ADDRESS(INDEX($AI$2:$AI$1001,MATCH(ROWS($AG$2:AG356),$AG$2:$AG$1001,0),0), INDEX($AN$1004:$BO$1004,1,MATCH(COLUMNS($AN$1006:BN1006),$AN$1006:$BO$1006,0)))),"Fix")))</f>
        <v>0</v>
      </c>
      <c r="AC356" s="4">
        <f>IF(OR(INDEX($AH$2:$AH$1001,MATCH(ROWS($AG$2:AG356),$AG$2:$AG$1001,0),1)&gt;=100000,INDEX($AN$1005:$BO$1005,1,MATCH(COLUMNS($AN$1006:BO1006),$AN$1006:$BO$1006,0))&gt;=100000), " ",IF(INDEX($AN$2:$BO$1001,MATCH(ROWS($AG$2:AG356),$AG$2:$AG$1001,0),MATCH(COLUMNS($AN$1006:BO1006),$AN$1006:$BO$1006,0)), HYPERLINK("#",""), HYPERLINK(CONCATENATE("#Metadata!", ADDRESS(INDEX($AI$2:$AI$1001,MATCH(ROWS($AG$2:AG356),$AG$2:$AG$1001,0),0), INDEX($AN$1004:$BO$1004,1,MATCH(COLUMNS($AN$1006:BO1006),$AN$1006:$BO$1006,0)))),"Fix")))</f>
        <v>0</v>
      </c>
      <c r="AG356">
        <v>0</v>
      </c>
      <c r="AH356">
        <v>0</v>
      </c>
      <c r="AI356">
        <v>0</v>
      </c>
      <c r="AJ356">
        <f>IF(AK356,TRUE,AND(AN356:BO356))</f>
        <v>0</v>
      </c>
      <c r="AK356">
        <f>COUNTBLANK(Metadata!B356:AC356)=COLUMNS(Metadata!B356:AC356)</f>
        <v>0</v>
      </c>
      <c r="AL356">
        <v>0</v>
      </c>
      <c r="AN356">
        <f>AND(IF(Metadata!B356="",FALSE,TRUE),COUNTIF(Metadata!B:B, Metadata!B356) = 1,NOT(ISERROR(SUMPRODUCT(SEARCH(MID(Metadata!B356,ROW(INDIRECT("1:"&amp;LEN(Metadata!B356))), 1),"0123456789abcdefghijklmnopqrstuvwxyzABCDEFGHIJKLMNOPQRSTUVWXYZ.")))))</f>
        <v>0</v>
      </c>
      <c r="AO356">
        <f>IF(Metadata!C356="",FALSE,TRUE)</f>
        <v>0</v>
      </c>
      <c r="AP356">
        <f>IF(Metadata!D356="",FALSE,TRUE)</f>
        <v>0</v>
      </c>
      <c r="AQ356">
        <f>OR(AND(IF(Metadata!E356="",FALSE,TRUE),OR(exact(Metadata!E356,"not collected"),exact(Metadata!E356,"not provided"),exact(Metadata!E356,"restricted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R356">
        <f>IF(Metadata!F356="",FALSE,TRUE)</f>
        <v>0</v>
      </c>
      <c r="AS356">
        <f>OR(AND(IF(Metadata!G356="",FALSE,TRUE),OR(exact(Metadata!G356,"not collected"),exact(Metadata!G356,"not provided"))),AND(IF(Metadata!G356="",FALSE,TRUE),OR(exact(Metadata!G356,"TRUE"),exact(Metadata!G356,"FALSE"))))</f>
        <v>0</v>
      </c>
      <c r="AT356">
        <f>OR(AND(IF(Metadata!H356="",FALSE,TRUE),OR(exact(Metadata!H356,"not collected"),exact(Metadata!H356,"not provided"),exact(Metadata!H356,"restricted access"))),AND(IF(Metadata!H356="",FALSE,ISNUMBER(VALUE(Metadata!H356))),Metadata!H356&gt;=-413.0))</f>
        <v>0</v>
      </c>
      <c r="AU356">
        <f>AND(IF(Metadata!I356="",FALSE,TRUE),exact(Metadata!I356,"meters"))</f>
        <v>0</v>
      </c>
      <c r="AV356">
        <f>AND(IF(Metadata!J356="",FALSE,TRUE),OR(exact(Metadata!J356,"Host-associated"),exact(Metadata!J356,"Free-living")))</f>
        <v>0</v>
      </c>
      <c r="AW356">
        <f>AND(IF(Metadata!K356="",FALSE,TRUE),OR(exact(Metadata!K356,"Animal"),exact(Metadata!K356,"Fungus"),exact(Metadata!K356,"Plant"),exact(Metadata!K356,"Saline"),exact(Metadata!K356,"Non-saline")))</f>
        <v>0</v>
      </c>
      <c r="AX356">
        <f>AND(IF(Metadata!L356="",FALSE,TRUE),OR(exact(Metadata!L356,"Plant secretion"),exact(Metadata!L356,"Plant rhizosphere"),exact(Metadata!L356,"Plant surface"),exact(Metadata!L356,"Plant corpus"),exact(Metadata!L356,"Fungus surface"),exact(Metadata!L356,"Fungus corpus"),exact(Metadata!L356,"Animal surface"),exact(Metadata!L356,"Animal proximal gut"),exact(Metadata!L356,"Animal corpus"),exact(Metadata!L356,"Animal distal gut"),exact(Metadata!L356,"Animal secretion"),exact(Metadata!L356,"Sub-surface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Y356">
        <f>IF(Metadata!M356="",FALSE,TRUE)</f>
        <v>0</v>
      </c>
      <c r="AZ356">
        <f>IF(Metadata!N356="",FALSE,TRUE)</f>
        <v>0</v>
      </c>
      <c r="BA356">
        <f>IF(Metadata!O356="",FALSE,TRUE)</f>
        <v>0</v>
      </c>
      <c r="BB356">
        <f>OR(AND(IF(Metadata!P356="",FALSE,TRUE),OR(exact(Metadata!P356,"not collected"),exact(Metadata!P356,"not provided"),exact(Metadata!P356,"restricted access"))),AND(IF(Metadata!P356="",FALSE,TRUE),OR(exact(Metadata!P356,"air"),exact(Metadata!P356,"built environment"),exact(Metadata!P356,"host-associated"),exact(Metadata!P356,"human-associated"),exact(Metadata!P356,"human-skin"),exact(Metadata!P356,"human-oral"),exact(Metadata!P356,"human-gut"),exact(Metadata!P356,"human-vaginal"),exact(Metadata!P356,"microbial mat/biofilm"),exact(Metadata!P356,"misc environment"),exact(Metadata!P356,"plant-associated"),exact(Metadata!P356,"sediment"),exact(Metadata!P356,"soil"),exact(Metadata!P356,"wastewater/sludge"),exact(Metadata!P356,"water"))))</f>
        <v>0</v>
      </c>
      <c r="BC356">
        <f>IF(Metadata!Q356="",FALSE,TRUE)</f>
        <v>0</v>
      </c>
      <c r="BD356">
        <f>IF(Metadata!R356="",FALSE,TRUE)</f>
        <v>0</v>
      </c>
      <c r="BE356">
        <f>OR(AND(IF(Metadata!S356="",FALSE,TRUE),OR(exact(Metadata!S356,"not collected"),exact(Metadata!S356,"not provided"),exact(Metadata!S356,"restricted access"))),AND(IF(Metadata!S356="",FALSE,ISNUMBER(VALUE(Metadata!S356))),Metadata!S356&gt;=-90.00,Metadata!S356&lt;=90.00))</f>
        <v>0</v>
      </c>
      <c r="BF356">
        <f>AND(IF(Metadata!T356="",FALSE,TRUE),exact(Metadata!T356,"Decimal degrees"))</f>
        <v>0</v>
      </c>
      <c r="BG356">
        <f>OR(AND(IF(Metadata!U356="",FALSE,TRUE),OR(exact(Metadata!U356,"not collected"),exact(Metadata!U356,"not provided"),exact(Metadata!U356,"restricted access"))),AND(IF(Metadata!U356="",FALSE,ISNUMBER(VALUE(Metadata!U356))),Metadata!U356&gt;=-180.00,Metadata!U356&lt;=180.00))</f>
        <v>0</v>
      </c>
      <c r="BH356">
        <f>AND(IF(Metadata!V356="",FALSE,TRUE),exact(Metadata!V356,"Decimal degrees"))</f>
        <v>0</v>
      </c>
      <c r="BI356">
        <f>IF(Metadata!W356="",FALSE,TRUE)</f>
        <v>0</v>
      </c>
      <c r="BJ356">
        <f>OR(AND(IF(Metadata!X356="",FALSE,TRUE),OR(exact(Metadata!X356,"not collected"),exact(Metadata!X356,"not provided"),exact(Metadata!X356,"restricted access"))),AND(IF(Metadata!X356="",FALSE,TRUE),OR(exact(Metadata!X356,"TRUE"),exact(Metadata!X356,"FALSE"))))</f>
        <v>0</v>
      </c>
      <c r="BK356">
        <f>AND(IF(Metadata!Y356="",FALSE,TRUE),exact(Metadata!Y356,"other"))</f>
        <v>0</v>
      </c>
      <c r="BL356">
        <f>IF(Metadata!Z356="",FALSE,TRUE)</f>
        <v>0</v>
      </c>
      <c r="BM356">
        <f>OR(AND(IF(Metadata!AA356="",FALSE,TRUE),OR(exact(Metadata!AA356,"not collected"),exact(Metadata!AA356,"not provided"))),AND(IF(Metadata!AA356="",FALSE,IF(ISERROR(INT(Metadata!AA356)),FALSE,INT(Metadata!AA356)=Metadata!AA356)),Metadata!AA356&gt;0))</f>
        <v>0</v>
      </c>
      <c r="BN356">
        <f>AND(IF(Metadata!AB356="",FALSE,TRUE),exact(Metadata!AB356,"Not applicable"))</f>
        <v>0</v>
      </c>
      <c r="BO356">
        <f>IF(Metadata!AC356="",FALSE,TRUE)</f>
        <v>0</v>
      </c>
    </row>
    <row r="357" spans="1:67">
      <c r="A357" s="5">
        <f>IF(B357=" "," ",HYPERLINK(CONCATENATE("#metadata!",ADDRESS(INDEX($AI$2:$AI$1001,MATCH(ROWS($AG$2:AG357),$AG$2:$AG$1001,0),0),1)),INDEX($AL$2:$AL$1001,MATCH(ROWS($AG$2:AG357),$AG$2:$AG$1001,0),0)))</f>
        <v>0</v>
      </c>
      <c r="B357" s="4">
        <f>IF(OR(INDEX($AH$2:$AH$1001,MATCH(ROWS($AG$2:AG357),$AG$2:$AG$1001,0),1)&gt;=100000,INDEX($AN$1005:$BO$1005,1,MATCH(COLUMNS($AN$1006:AN1006),$AN$1006:$BO$1006,0))&gt;=100000), " ",IF(INDEX($AN$2:$BO$1001,MATCH(ROWS($AG$2:AG357),$AG$2:$AG$1001,0),MATCH(COLUMNS($AN$1006:AN1006),$AN$1006:$BO$1006,0)), HYPERLINK("#",""), HYPERLINK(CONCATENATE("#Metadata!", ADDRESS(INDEX($AI$2:$AI$1001,MATCH(ROWS($AG$2:AG357),$AG$2:$AG$1001,0),0), INDEX($AN$1004:$BO$1004,1,MATCH(COLUMNS($AN$1006:AN1006),$AN$1006:$BO$1006,0)))),"Fix")))</f>
        <v>0</v>
      </c>
      <c r="C357" s="4">
        <f>IF(OR(INDEX($AH$2:$AH$1001,MATCH(ROWS($AG$2:AG357),$AG$2:$AG$1001,0),1)&gt;=100000,INDEX($AN$1005:$BO$1005,1,MATCH(COLUMNS($AN$1006:AO1006),$AN$1006:$BO$1006,0))&gt;=100000), " ",IF(INDEX($AN$2:$BO$1001,MATCH(ROWS($AG$2:AG357),$AG$2:$AG$1001,0),MATCH(COLUMNS($AN$1006:AO1006),$AN$1006:$BO$1006,0)), HYPERLINK("#",""), HYPERLINK(CONCATENATE("#Metadata!", ADDRESS(INDEX($AI$2:$AI$1001,MATCH(ROWS($AG$2:AG357),$AG$2:$AG$1001,0),0), INDEX($AN$1004:$BO$1004,1,MATCH(COLUMNS($AN$1006:AO1006),$AN$1006:$BO$1006,0)))),"Fix")))</f>
        <v>0</v>
      </c>
      <c r="D357" s="4">
        <f>IF(OR(INDEX($AH$2:$AH$1001,MATCH(ROWS($AG$2:AG357),$AG$2:$AG$1001,0),1)&gt;=100000,INDEX($AN$1005:$BO$1005,1,MATCH(COLUMNS($AN$1006:AP1006),$AN$1006:$BO$1006,0))&gt;=100000), " ",IF(INDEX($AN$2:$BO$1001,MATCH(ROWS($AG$2:AG357),$AG$2:$AG$1001,0),MATCH(COLUMNS($AN$1006:AP1006),$AN$1006:$BO$1006,0)), HYPERLINK("#",""), HYPERLINK(CONCATENATE("#Metadata!", ADDRESS(INDEX($AI$2:$AI$1001,MATCH(ROWS($AG$2:AG357),$AG$2:$AG$1001,0),0), INDEX($AN$1004:$BO$1004,1,MATCH(COLUMNS($AN$1006:AP1006),$AN$1006:$BO$1006,0)))),"Fix")))</f>
        <v>0</v>
      </c>
      <c r="E357" s="4">
        <f>IF(OR(INDEX($AH$2:$AH$1001,MATCH(ROWS($AG$2:AG357),$AG$2:$AG$1001,0),1)&gt;=100000,INDEX($AN$1005:$BO$1005,1,MATCH(COLUMNS($AN$1006:AQ1006),$AN$1006:$BO$1006,0))&gt;=100000), " ",IF(INDEX($AN$2:$BO$1001,MATCH(ROWS($AG$2:AG357),$AG$2:$AG$1001,0),MATCH(COLUMNS($AN$1006:AQ1006),$AN$1006:$BO$1006,0)), HYPERLINK("#",""), HYPERLINK(CONCATENATE("#Metadata!", ADDRESS(INDEX($AI$2:$AI$1001,MATCH(ROWS($AG$2:AG357),$AG$2:$AG$1001,0),0), INDEX($AN$1004:$BO$1004,1,MATCH(COLUMNS($AN$1006:AQ1006),$AN$1006:$BO$1006,0)))),"Fix")))</f>
        <v>0</v>
      </c>
      <c r="F357" s="4">
        <f>IF(OR(INDEX($AH$2:$AH$1001,MATCH(ROWS($AG$2:AG357),$AG$2:$AG$1001,0),1)&gt;=100000,INDEX($AN$1005:$BO$1005,1,MATCH(COLUMNS($AN$1006:AR1006),$AN$1006:$BO$1006,0))&gt;=100000), " ",IF(INDEX($AN$2:$BO$1001,MATCH(ROWS($AG$2:AG357),$AG$2:$AG$1001,0),MATCH(COLUMNS($AN$1006:AR1006),$AN$1006:$BO$1006,0)), HYPERLINK("#",""), HYPERLINK(CONCATENATE("#Metadata!", ADDRESS(INDEX($AI$2:$AI$1001,MATCH(ROWS($AG$2:AG357),$AG$2:$AG$1001,0),0), INDEX($AN$1004:$BO$1004,1,MATCH(COLUMNS($AN$1006:AR1006),$AN$1006:$BO$1006,0)))),"Fix")))</f>
        <v>0</v>
      </c>
      <c r="G357" s="4">
        <f>IF(OR(INDEX($AH$2:$AH$1001,MATCH(ROWS($AG$2:AG357),$AG$2:$AG$1001,0),1)&gt;=100000,INDEX($AN$1005:$BO$1005,1,MATCH(COLUMNS($AN$1006:AS1006),$AN$1006:$BO$1006,0))&gt;=100000), " ",IF(INDEX($AN$2:$BO$1001,MATCH(ROWS($AG$2:AG357),$AG$2:$AG$1001,0),MATCH(COLUMNS($AN$1006:AS1006),$AN$1006:$BO$1006,0)), HYPERLINK("#",""), HYPERLINK(CONCATENATE("#Metadata!", ADDRESS(INDEX($AI$2:$AI$1001,MATCH(ROWS($AG$2:AG357),$AG$2:$AG$1001,0),0), INDEX($AN$1004:$BO$1004,1,MATCH(COLUMNS($AN$1006:AS1006),$AN$1006:$BO$1006,0)))),"Fix")))</f>
        <v>0</v>
      </c>
      <c r="H357" s="4">
        <f>IF(OR(INDEX($AH$2:$AH$1001,MATCH(ROWS($AG$2:AG357),$AG$2:$AG$1001,0),1)&gt;=100000,INDEX($AN$1005:$BO$1005,1,MATCH(COLUMNS($AN$1006:AT1006),$AN$1006:$BO$1006,0))&gt;=100000), " ",IF(INDEX($AN$2:$BO$1001,MATCH(ROWS($AG$2:AG357),$AG$2:$AG$1001,0),MATCH(COLUMNS($AN$1006:AT1006),$AN$1006:$BO$1006,0)), HYPERLINK("#",""), HYPERLINK(CONCATENATE("#Metadata!", ADDRESS(INDEX($AI$2:$AI$1001,MATCH(ROWS($AG$2:AG357),$AG$2:$AG$1001,0),0), INDEX($AN$1004:$BO$1004,1,MATCH(COLUMNS($AN$1006:AT1006),$AN$1006:$BO$1006,0)))),"Fix")))</f>
        <v>0</v>
      </c>
      <c r="I357" s="4">
        <f>IF(OR(INDEX($AH$2:$AH$1001,MATCH(ROWS($AG$2:AG357),$AG$2:$AG$1001,0),1)&gt;=100000,INDEX($AN$1005:$BO$1005,1,MATCH(COLUMNS($AN$1006:AU1006),$AN$1006:$BO$1006,0))&gt;=100000), " ",IF(INDEX($AN$2:$BO$1001,MATCH(ROWS($AG$2:AG357),$AG$2:$AG$1001,0),MATCH(COLUMNS($AN$1006:AU1006),$AN$1006:$BO$1006,0)), HYPERLINK("#",""), HYPERLINK(CONCATENATE("#Metadata!", ADDRESS(INDEX($AI$2:$AI$1001,MATCH(ROWS($AG$2:AG357),$AG$2:$AG$1001,0),0), INDEX($AN$1004:$BO$1004,1,MATCH(COLUMNS($AN$1006:AU1006),$AN$1006:$BO$1006,0)))),"Fix")))</f>
        <v>0</v>
      </c>
      <c r="J357" s="4">
        <f>IF(OR(INDEX($AH$2:$AH$1001,MATCH(ROWS($AG$2:AG357),$AG$2:$AG$1001,0),1)&gt;=100000,INDEX($AN$1005:$BO$1005,1,MATCH(COLUMNS($AN$1006:AV1006),$AN$1006:$BO$1006,0))&gt;=100000), " ",IF(INDEX($AN$2:$BO$1001,MATCH(ROWS($AG$2:AG357),$AG$2:$AG$1001,0),MATCH(COLUMNS($AN$1006:AV1006),$AN$1006:$BO$1006,0)), HYPERLINK("#",""), HYPERLINK(CONCATENATE("#Metadata!", ADDRESS(INDEX($AI$2:$AI$1001,MATCH(ROWS($AG$2:AG357),$AG$2:$AG$1001,0),0), INDEX($AN$1004:$BO$1004,1,MATCH(COLUMNS($AN$1006:AV1006),$AN$1006:$BO$1006,0)))),"Fix")))</f>
        <v>0</v>
      </c>
      <c r="K357" s="4">
        <f>IF(OR(INDEX($AH$2:$AH$1001,MATCH(ROWS($AG$2:AG357),$AG$2:$AG$1001,0),1)&gt;=100000,INDEX($AN$1005:$BO$1005,1,MATCH(COLUMNS($AN$1006:AW1006),$AN$1006:$BO$1006,0))&gt;=100000), " ",IF(INDEX($AN$2:$BO$1001,MATCH(ROWS($AG$2:AG357),$AG$2:$AG$1001,0),MATCH(COLUMNS($AN$1006:AW1006),$AN$1006:$BO$1006,0)), HYPERLINK("#",""), HYPERLINK(CONCATENATE("#Metadata!", ADDRESS(INDEX($AI$2:$AI$1001,MATCH(ROWS($AG$2:AG357),$AG$2:$AG$1001,0),0), INDEX($AN$1004:$BO$1004,1,MATCH(COLUMNS($AN$1006:AW1006),$AN$1006:$BO$1006,0)))),"Fix")))</f>
        <v>0</v>
      </c>
      <c r="L357" s="4">
        <f>IF(OR(INDEX($AH$2:$AH$1001,MATCH(ROWS($AG$2:AG357),$AG$2:$AG$1001,0),1)&gt;=100000,INDEX($AN$1005:$BO$1005,1,MATCH(COLUMNS($AN$1006:AX1006),$AN$1006:$BO$1006,0))&gt;=100000), " ",IF(INDEX($AN$2:$BO$1001,MATCH(ROWS($AG$2:AG357),$AG$2:$AG$1001,0),MATCH(COLUMNS($AN$1006:AX1006),$AN$1006:$BO$1006,0)), HYPERLINK("#",""), HYPERLINK(CONCATENATE("#Metadata!", ADDRESS(INDEX($AI$2:$AI$1001,MATCH(ROWS($AG$2:AG357),$AG$2:$AG$1001,0),0), INDEX($AN$1004:$BO$1004,1,MATCH(COLUMNS($AN$1006:AX1006),$AN$1006:$BO$1006,0)))),"Fix")))</f>
        <v>0</v>
      </c>
      <c r="M357" s="4">
        <f>IF(OR(INDEX($AH$2:$AH$1001,MATCH(ROWS($AG$2:AG357),$AG$2:$AG$1001,0),1)&gt;=100000,INDEX($AN$1005:$BO$1005,1,MATCH(COLUMNS($AN$1006:AY1006),$AN$1006:$BO$1006,0))&gt;=100000), " ",IF(INDEX($AN$2:$BO$1001,MATCH(ROWS($AG$2:AG357),$AG$2:$AG$1001,0),MATCH(COLUMNS($AN$1006:AY1006),$AN$1006:$BO$1006,0)), HYPERLINK("#",""), HYPERLINK(CONCATENATE("#Metadata!", ADDRESS(INDEX($AI$2:$AI$1001,MATCH(ROWS($AG$2:AG357),$AG$2:$AG$1001,0),0), INDEX($AN$1004:$BO$1004,1,MATCH(COLUMNS($AN$1006:AY1006),$AN$1006:$BO$1006,0)))),"Fix")))</f>
        <v>0</v>
      </c>
      <c r="N357" s="4">
        <f>IF(OR(INDEX($AH$2:$AH$1001,MATCH(ROWS($AG$2:AG357),$AG$2:$AG$1001,0),1)&gt;=100000,INDEX($AN$1005:$BO$1005,1,MATCH(COLUMNS($AN$1006:AZ1006),$AN$1006:$BO$1006,0))&gt;=100000), " ",IF(INDEX($AN$2:$BO$1001,MATCH(ROWS($AG$2:AG357),$AG$2:$AG$1001,0),MATCH(COLUMNS($AN$1006:AZ1006),$AN$1006:$BO$1006,0)), HYPERLINK("#",""), HYPERLINK(CONCATENATE("#Metadata!", ADDRESS(INDEX($AI$2:$AI$1001,MATCH(ROWS($AG$2:AG357),$AG$2:$AG$1001,0),0), INDEX($AN$1004:$BO$1004,1,MATCH(COLUMNS($AN$1006:AZ1006),$AN$1006:$BO$1006,0)))),"Fix")))</f>
        <v>0</v>
      </c>
      <c r="O357" s="4">
        <f>IF(OR(INDEX($AH$2:$AH$1001,MATCH(ROWS($AG$2:AG357),$AG$2:$AG$1001,0),1)&gt;=100000,INDEX($AN$1005:$BO$1005,1,MATCH(COLUMNS($AN$1006:BA1006),$AN$1006:$BO$1006,0))&gt;=100000), " ",IF(INDEX($AN$2:$BO$1001,MATCH(ROWS($AG$2:AG357),$AG$2:$AG$1001,0),MATCH(COLUMNS($AN$1006:BA1006),$AN$1006:$BO$1006,0)), HYPERLINK("#",""), HYPERLINK(CONCATENATE("#Metadata!", ADDRESS(INDEX($AI$2:$AI$1001,MATCH(ROWS($AG$2:AG357),$AG$2:$AG$1001,0),0), INDEX($AN$1004:$BO$1004,1,MATCH(COLUMNS($AN$1006:BA1006),$AN$1006:$BO$1006,0)))),"Fix")))</f>
        <v>0</v>
      </c>
      <c r="P357" s="4">
        <f>IF(OR(INDEX($AH$2:$AH$1001,MATCH(ROWS($AG$2:AG357),$AG$2:$AG$1001,0),1)&gt;=100000,INDEX($AN$1005:$BO$1005,1,MATCH(COLUMNS($AN$1006:BB1006),$AN$1006:$BO$1006,0))&gt;=100000), " ",IF(INDEX($AN$2:$BO$1001,MATCH(ROWS($AG$2:AG357),$AG$2:$AG$1001,0),MATCH(COLUMNS($AN$1006:BB1006),$AN$1006:$BO$1006,0)), HYPERLINK("#",""), HYPERLINK(CONCATENATE("#Metadata!", ADDRESS(INDEX($AI$2:$AI$1001,MATCH(ROWS($AG$2:AG357),$AG$2:$AG$1001,0),0), INDEX($AN$1004:$BO$1004,1,MATCH(COLUMNS($AN$1006:BB1006),$AN$1006:$BO$1006,0)))),"Fix")))</f>
        <v>0</v>
      </c>
      <c r="Q357" s="4">
        <f>IF(OR(INDEX($AH$2:$AH$1001,MATCH(ROWS($AG$2:AG357),$AG$2:$AG$1001,0),1)&gt;=100000,INDEX($AN$1005:$BO$1005,1,MATCH(COLUMNS($AN$1006:BC1006),$AN$1006:$BO$1006,0))&gt;=100000), " ",IF(INDEX($AN$2:$BO$1001,MATCH(ROWS($AG$2:AG357),$AG$2:$AG$1001,0),MATCH(COLUMNS($AN$1006:BC1006),$AN$1006:$BO$1006,0)), HYPERLINK("#",""), HYPERLINK(CONCATENATE("#Metadata!", ADDRESS(INDEX($AI$2:$AI$1001,MATCH(ROWS($AG$2:AG357),$AG$2:$AG$1001,0),0), INDEX($AN$1004:$BO$1004,1,MATCH(COLUMNS($AN$1006:BC1006),$AN$1006:$BO$1006,0)))),"Fix")))</f>
        <v>0</v>
      </c>
      <c r="R357" s="4">
        <f>IF(OR(INDEX($AH$2:$AH$1001,MATCH(ROWS($AG$2:AG357),$AG$2:$AG$1001,0),1)&gt;=100000,INDEX($AN$1005:$BO$1005,1,MATCH(COLUMNS($AN$1006:BD1006),$AN$1006:$BO$1006,0))&gt;=100000), " ",IF(INDEX($AN$2:$BO$1001,MATCH(ROWS($AG$2:AG357),$AG$2:$AG$1001,0),MATCH(COLUMNS($AN$1006:BD1006),$AN$1006:$BO$1006,0)), HYPERLINK("#",""), HYPERLINK(CONCATENATE("#Metadata!", ADDRESS(INDEX($AI$2:$AI$1001,MATCH(ROWS($AG$2:AG357),$AG$2:$AG$1001,0),0), INDEX($AN$1004:$BO$1004,1,MATCH(COLUMNS($AN$1006:BD1006),$AN$1006:$BO$1006,0)))),"Fix")))</f>
        <v>0</v>
      </c>
      <c r="S357" s="4">
        <f>IF(OR(INDEX($AH$2:$AH$1001,MATCH(ROWS($AG$2:AG357),$AG$2:$AG$1001,0),1)&gt;=100000,INDEX($AN$1005:$BO$1005,1,MATCH(COLUMNS($AN$1006:BE1006),$AN$1006:$BO$1006,0))&gt;=100000), " ",IF(INDEX($AN$2:$BO$1001,MATCH(ROWS($AG$2:AG357),$AG$2:$AG$1001,0),MATCH(COLUMNS($AN$1006:BE1006),$AN$1006:$BO$1006,0)), HYPERLINK("#",""), HYPERLINK(CONCATENATE("#Metadata!", ADDRESS(INDEX($AI$2:$AI$1001,MATCH(ROWS($AG$2:AG357),$AG$2:$AG$1001,0),0), INDEX($AN$1004:$BO$1004,1,MATCH(COLUMNS($AN$1006:BE1006),$AN$1006:$BO$1006,0)))),"Fix")))</f>
        <v>0</v>
      </c>
      <c r="T357" s="4">
        <f>IF(OR(INDEX($AH$2:$AH$1001,MATCH(ROWS($AG$2:AG357),$AG$2:$AG$1001,0),1)&gt;=100000,INDEX($AN$1005:$BO$1005,1,MATCH(COLUMNS($AN$1006:BF1006),$AN$1006:$BO$1006,0))&gt;=100000), " ",IF(INDEX($AN$2:$BO$1001,MATCH(ROWS($AG$2:AG357),$AG$2:$AG$1001,0),MATCH(COLUMNS($AN$1006:BF1006),$AN$1006:$BO$1006,0)), HYPERLINK("#",""), HYPERLINK(CONCATENATE("#Metadata!", ADDRESS(INDEX($AI$2:$AI$1001,MATCH(ROWS($AG$2:AG357),$AG$2:$AG$1001,0),0), INDEX($AN$1004:$BO$1004,1,MATCH(COLUMNS($AN$1006:BF1006),$AN$1006:$BO$1006,0)))),"Fix")))</f>
        <v>0</v>
      </c>
      <c r="U357" s="4">
        <f>IF(OR(INDEX($AH$2:$AH$1001,MATCH(ROWS($AG$2:AG357),$AG$2:$AG$1001,0),1)&gt;=100000,INDEX($AN$1005:$BO$1005,1,MATCH(COLUMNS($AN$1006:BG1006),$AN$1006:$BO$1006,0))&gt;=100000), " ",IF(INDEX($AN$2:$BO$1001,MATCH(ROWS($AG$2:AG357),$AG$2:$AG$1001,0),MATCH(COLUMNS($AN$1006:BG1006),$AN$1006:$BO$1006,0)), HYPERLINK("#",""), HYPERLINK(CONCATENATE("#Metadata!", ADDRESS(INDEX($AI$2:$AI$1001,MATCH(ROWS($AG$2:AG357),$AG$2:$AG$1001,0),0), INDEX($AN$1004:$BO$1004,1,MATCH(COLUMNS($AN$1006:BG1006),$AN$1006:$BO$1006,0)))),"Fix")))</f>
        <v>0</v>
      </c>
      <c r="V357" s="4">
        <f>IF(OR(INDEX($AH$2:$AH$1001,MATCH(ROWS($AG$2:AG357),$AG$2:$AG$1001,0),1)&gt;=100000,INDEX($AN$1005:$BO$1005,1,MATCH(COLUMNS($AN$1006:BH1006),$AN$1006:$BO$1006,0))&gt;=100000), " ",IF(INDEX($AN$2:$BO$1001,MATCH(ROWS($AG$2:AG357),$AG$2:$AG$1001,0),MATCH(COLUMNS($AN$1006:BH1006),$AN$1006:$BO$1006,0)), HYPERLINK("#",""), HYPERLINK(CONCATENATE("#Metadata!", ADDRESS(INDEX($AI$2:$AI$1001,MATCH(ROWS($AG$2:AG357),$AG$2:$AG$1001,0),0), INDEX($AN$1004:$BO$1004,1,MATCH(COLUMNS($AN$1006:BH1006),$AN$1006:$BO$1006,0)))),"Fix")))</f>
        <v>0</v>
      </c>
      <c r="W357" s="4">
        <f>IF(OR(INDEX($AH$2:$AH$1001,MATCH(ROWS($AG$2:AG357),$AG$2:$AG$1001,0),1)&gt;=100000,INDEX($AN$1005:$BO$1005,1,MATCH(COLUMNS($AN$1006:BI1006),$AN$1006:$BO$1006,0))&gt;=100000), " ",IF(INDEX($AN$2:$BO$1001,MATCH(ROWS($AG$2:AG357),$AG$2:$AG$1001,0),MATCH(COLUMNS($AN$1006:BI1006),$AN$1006:$BO$1006,0)), HYPERLINK("#",""), HYPERLINK(CONCATENATE("#Metadata!", ADDRESS(INDEX($AI$2:$AI$1001,MATCH(ROWS($AG$2:AG357),$AG$2:$AG$1001,0),0), INDEX($AN$1004:$BO$1004,1,MATCH(COLUMNS($AN$1006:BI1006),$AN$1006:$BO$1006,0)))),"Fix")))</f>
        <v>0</v>
      </c>
      <c r="X357" s="4">
        <f>IF(OR(INDEX($AH$2:$AH$1001,MATCH(ROWS($AG$2:AG357),$AG$2:$AG$1001,0),1)&gt;=100000,INDEX($AN$1005:$BO$1005,1,MATCH(COLUMNS($AN$1006:BJ1006),$AN$1006:$BO$1006,0))&gt;=100000), " ",IF(INDEX($AN$2:$BO$1001,MATCH(ROWS($AG$2:AG357),$AG$2:$AG$1001,0),MATCH(COLUMNS($AN$1006:BJ1006),$AN$1006:$BO$1006,0)), HYPERLINK("#",""), HYPERLINK(CONCATENATE("#Metadata!", ADDRESS(INDEX($AI$2:$AI$1001,MATCH(ROWS($AG$2:AG357),$AG$2:$AG$1001,0),0), INDEX($AN$1004:$BO$1004,1,MATCH(COLUMNS($AN$1006:BJ1006),$AN$1006:$BO$1006,0)))),"Fix")))</f>
        <v>0</v>
      </c>
      <c r="Y357" s="4">
        <f>IF(OR(INDEX($AH$2:$AH$1001,MATCH(ROWS($AG$2:AG357),$AG$2:$AG$1001,0),1)&gt;=100000,INDEX($AN$1005:$BO$1005,1,MATCH(COLUMNS($AN$1006:BK1006),$AN$1006:$BO$1006,0))&gt;=100000), " ",IF(INDEX($AN$2:$BO$1001,MATCH(ROWS($AG$2:AG357),$AG$2:$AG$1001,0),MATCH(COLUMNS($AN$1006:BK1006),$AN$1006:$BO$1006,0)), HYPERLINK("#",""), HYPERLINK(CONCATENATE("#Metadata!", ADDRESS(INDEX($AI$2:$AI$1001,MATCH(ROWS($AG$2:AG357),$AG$2:$AG$1001,0),0), INDEX($AN$1004:$BO$1004,1,MATCH(COLUMNS($AN$1006:BK1006),$AN$1006:$BO$1006,0)))),"Fix")))</f>
        <v>0</v>
      </c>
      <c r="Z357" s="4">
        <f>IF(OR(INDEX($AH$2:$AH$1001,MATCH(ROWS($AG$2:AG357),$AG$2:$AG$1001,0),1)&gt;=100000,INDEX($AN$1005:$BO$1005,1,MATCH(COLUMNS($AN$1006:BL1006),$AN$1006:$BO$1006,0))&gt;=100000), " ",IF(INDEX($AN$2:$BO$1001,MATCH(ROWS($AG$2:AG357),$AG$2:$AG$1001,0),MATCH(COLUMNS($AN$1006:BL1006),$AN$1006:$BO$1006,0)), HYPERLINK("#",""), HYPERLINK(CONCATENATE("#Metadata!", ADDRESS(INDEX($AI$2:$AI$1001,MATCH(ROWS($AG$2:AG357),$AG$2:$AG$1001,0),0), INDEX($AN$1004:$BO$1004,1,MATCH(COLUMNS($AN$1006:BL1006),$AN$1006:$BO$1006,0)))),"Fix")))</f>
        <v>0</v>
      </c>
      <c r="AA357" s="4">
        <f>IF(OR(INDEX($AH$2:$AH$1001,MATCH(ROWS($AG$2:AG357),$AG$2:$AG$1001,0),1)&gt;=100000,INDEX($AN$1005:$BO$1005,1,MATCH(COLUMNS($AN$1006:BM1006),$AN$1006:$BO$1006,0))&gt;=100000), " ",IF(INDEX($AN$2:$BO$1001,MATCH(ROWS($AG$2:AG357),$AG$2:$AG$1001,0),MATCH(COLUMNS($AN$1006:BM1006),$AN$1006:$BO$1006,0)), HYPERLINK("#",""), HYPERLINK(CONCATENATE("#Metadata!", ADDRESS(INDEX($AI$2:$AI$1001,MATCH(ROWS($AG$2:AG357),$AG$2:$AG$1001,0),0), INDEX($AN$1004:$BO$1004,1,MATCH(COLUMNS($AN$1006:BM1006),$AN$1006:$BO$1006,0)))),"Fix")))</f>
        <v>0</v>
      </c>
      <c r="AB357" s="4">
        <f>IF(OR(INDEX($AH$2:$AH$1001,MATCH(ROWS($AG$2:AG357),$AG$2:$AG$1001,0),1)&gt;=100000,INDEX($AN$1005:$BO$1005,1,MATCH(COLUMNS($AN$1006:BN1006),$AN$1006:$BO$1006,0))&gt;=100000), " ",IF(INDEX($AN$2:$BO$1001,MATCH(ROWS($AG$2:AG357),$AG$2:$AG$1001,0),MATCH(COLUMNS($AN$1006:BN1006),$AN$1006:$BO$1006,0)), HYPERLINK("#",""), HYPERLINK(CONCATENATE("#Metadata!", ADDRESS(INDEX($AI$2:$AI$1001,MATCH(ROWS($AG$2:AG357),$AG$2:$AG$1001,0),0), INDEX($AN$1004:$BO$1004,1,MATCH(COLUMNS($AN$1006:BN1006),$AN$1006:$BO$1006,0)))),"Fix")))</f>
        <v>0</v>
      </c>
      <c r="AC357" s="4">
        <f>IF(OR(INDEX($AH$2:$AH$1001,MATCH(ROWS($AG$2:AG357),$AG$2:$AG$1001,0),1)&gt;=100000,INDEX($AN$1005:$BO$1005,1,MATCH(COLUMNS($AN$1006:BO1006),$AN$1006:$BO$1006,0))&gt;=100000), " ",IF(INDEX($AN$2:$BO$1001,MATCH(ROWS($AG$2:AG357),$AG$2:$AG$1001,0),MATCH(COLUMNS($AN$1006:BO1006),$AN$1006:$BO$1006,0)), HYPERLINK("#",""), HYPERLINK(CONCATENATE("#Metadata!", ADDRESS(INDEX($AI$2:$AI$1001,MATCH(ROWS($AG$2:AG357),$AG$2:$AG$1001,0),0), INDEX($AN$1004:$BO$1004,1,MATCH(COLUMNS($AN$1006:BO1006),$AN$1006:$BO$1006,0)))),"Fix")))</f>
        <v>0</v>
      </c>
      <c r="AG357">
        <v>0</v>
      </c>
      <c r="AH357">
        <v>0</v>
      </c>
      <c r="AI357">
        <v>0</v>
      </c>
      <c r="AJ357">
        <f>IF(AK357,TRUE,AND(AN357:BO357))</f>
        <v>0</v>
      </c>
      <c r="AK357">
        <f>COUNTBLANK(Metadata!B357:AC357)=COLUMNS(Metadata!B357:AC357)</f>
        <v>0</v>
      </c>
      <c r="AL357">
        <v>0</v>
      </c>
      <c r="AN357">
        <f>AND(IF(Metadata!B357="",FALSE,TRUE),COUNTIF(Metadata!B:B, Metadata!B357) = 1,NOT(ISERROR(SUMPRODUCT(SEARCH(MID(Metadata!B357,ROW(INDIRECT("1:"&amp;LEN(Metadata!B357))), 1),"0123456789abcdefghijklmnopqrstuvwxyzABCDEFGHIJKLMNOPQRSTUVWXYZ.")))))</f>
        <v>0</v>
      </c>
      <c r="AO357">
        <f>IF(Metadata!C357="",FALSE,TRUE)</f>
        <v>0</v>
      </c>
      <c r="AP357">
        <f>IF(Metadata!D357="",FALSE,TRUE)</f>
        <v>0</v>
      </c>
      <c r="AQ357">
        <f>OR(AND(IF(Metadata!E357="",FALSE,TRUE),OR(exact(Metadata!E357,"not collected"),exact(Metadata!E357,"not provided"),exact(Metadata!E357,"restricted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R357">
        <f>IF(Metadata!F357="",FALSE,TRUE)</f>
        <v>0</v>
      </c>
      <c r="AS357">
        <f>OR(AND(IF(Metadata!G357="",FALSE,TRUE),OR(exact(Metadata!G357,"not collected"),exact(Metadata!G357,"not provided"))),AND(IF(Metadata!G357="",FALSE,TRUE),OR(exact(Metadata!G357,"TRUE"),exact(Metadata!G357,"FALSE"))))</f>
        <v>0</v>
      </c>
      <c r="AT357">
        <f>OR(AND(IF(Metadata!H357="",FALSE,TRUE),OR(exact(Metadata!H357,"not collected"),exact(Metadata!H357,"not provided"),exact(Metadata!H357,"restricted access"))),AND(IF(Metadata!H357="",FALSE,ISNUMBER(VALUE(Metadata!H357))),Metadata!H357&gt;=-413.0))</f>
        <v>0</v>
      </c>
      <c r="AU357">
        <f>AND(IF(Metadata!I357="",FALSE,TRUE),exact(Metadata!I357,"meters"))</f>
        <v>0</v>
      </c>
      <c r="AV357">
        <f>AND(IF(Metadata!J357="",FALSE,TRUE),OR(exact(Metadata!J357,"Host-associated"),exact(Metadata!J357,"Free-living")))</f>
        <v>0</v>
      </c>
      <c r="AW357">
        <f>AND(IF(Metadata!K357="",FALSE,TRUE),OR(exact(Metadata!K357,"Animal"),exact(Metadata!K357,"Fungus"),exact(Metadata!K357,"Plant"),exact(Metadata!K357,"Saline"),exact(Metadata!K357,"Non-saline")))</f>
        <v>0</v>
      </c>
      <c r="AX357">
        <f>AND(IF(Metadata!L357="",FALSE,TRUE),OR(exact(Metadata!L357,"Plant secretion"),exact(Metadata!L357,"Plant rhizosphere"),exact(Metadata!L357,"Plant surface"),exact(Metadata!L357,"Plant corpus"),exact(Metadata!L357,"Fungus surface"),exact(Metadata!L357,"Fungus corpus"),exact(Metadata!L357,"Animal surface"),exact(Metadata!L357,"Animal proximal gut"),exact(Metadata!L357,"Animal corpus"),exact(Metadata!L357,"Animal distal gut"),exact(Metadata!L357,"Animal secretion"),exact(Metadata!L357,"Sub-surface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Y357">
        <f>IF(Metadata!M357="",FALSE,TRUE)</f>
        <v>0</v>
      </c>
      <c r="AZ357">
        <f>IF(Metadata!N357="",FALSE,TRUE)</f>
        <v>0</v>
      </c>
      <c r="BA357">
        <f>IF(Metadata!O357="",FALSE,TRUE)</f>
        <v>0</v>
      </c>
      <c r="BB357">
        <f>OR(AND(IF(Metadata!P357="",FALSE,TRUE),OR(exact(Metadata!P357,"not collected"),exact(Metadata!P357,"not provided"),exact(Metadata!P357,"restricted access"))),AND(IF(Metadata!P357="",FALSE,TRUE),OR(exact(Metadata!P357,"air"),exact(Metadata!P357,"built environment"),exact(Metadata!P357,"host-associated"),exact(Metadata!P357,"human-associated"),exact(Metadata!P357,"human-skin"),exact(Metadata!P357,"human-oral"),exact(Metadata!P357,"human-gut"),exact(Metadata!P357,"human-vaginal"),exact(Metadata!P357,"microbial mat/biofilm"),exact(Metadata!P357,"misc environment"),exact(Metadata!P357,"plant-associated"),exact(Metadata!P357,"sediment"),exact(Metadata!P357,"soil"),exact(Metadata!P357,"wastewater/sludge"),exact(Metadata!P357,"water"))))</f>
        <v>0</v>
      </c>
      <c r="BC357">
        <f>IF(Metadata!Q357="",FALSE,TRUE)</f>
        <v>0</v>
      </c>
      <c r="BD357">
        <f>IF(Metadata!R357="",FALSE,TRUE)</f>
        <v>0</v>
      </c>
      <c r="BE357">
        <f>OR(AND(IF(Metadata!S357="",FALSE,TRUE),OR(exact(Metadata!S357,"not collected"),exact(Metadata!S357,"not provided"),exact(Metadata!S357,"restricted access"))),AND(IF(Metadata!S357="",FALSE,ISNUMBER(VALUE(Metadata!S357))),Metadata!S357&gt;=-90.00,Metadata!S357&lt;=90.00))</f>
        <v>0</v>
      </c>
      <c r="BF357">
        <f>AND(IF(Metadata!T357="",FALSE,TRUE),exact(Metadata!T357,"Decimal degrees"))</f>
        <v>0</v>
      </c>
      <c r="BG357">
        <f>OR(AND(IF(Metadata!U357="",FALSE,TRUE),OR(exact(Metadata!U357,"not collected"),exact(Metadata!U357,"not provided"),exact(Metadata!U357,"restricted access"))),AND(IF(Metadata!U357="",FALSE,ISNUMBER(VALUE(Metadata!U357))),Metadata!U357&gt;=-180.00,Metadata!U357&lt;=180.00))</f>
        <v>0</v>
      </c>
      <c r="BH357">
        <f>AND(IF(Metadata!V357="",FALSE,TRUE),exact(Metadata!V357,"Decimal degrees"))</f>
        <v>0</v>
      </c>
      <c r="BI357">
        <f>IF(Metadata!W357="",FALSE,TRUE)</f>
        <v>0</v>
      </c>
      <c r="BJ357">
        <f>OR(AND(IF(Metadata!X357="",FALSE,TRUE),OR(exact(Metadata!X357,"not collected"),exact(Metadata!X357,"not provided"),exact(Metadata!X357,"restricted access"))),AND(IF(Metadata!X357="",FALSE,TRUE),OR(exact(Metadata!X357,"TRUE"),exact(Metadata!X357,"FALSE"))))</f>
        <v>0</v>
      </c>
      <c r="BK357">
        <f>AND(IF(Metadata!Y357="",FALSE,TRUE),exact(Metadata!Y357,"other"))</f>
        <v>0</v>
      </c>
      <c r="BL357">
        <f>IF(Metadata!Z357="",FALSE,TRUE)</f>
        <v>0</v>
      </c>
      <c r="BM357">
        <f>OR(AND(IF(Metadata!AA357="",FALSE,TRUE),OR(exact(Metadata!AA357,"not collected"),exact(Metadata!AA357,"not provided"))),AND(IF(Metadata!AA357="",FALSE,IF(ISERROR(INT(Metadata!AA357)),FALSE,INT(Metadata!AA357)=Metadata!AA357)),Metadata!AA357&gt;0))</f>
        <v>0</v>
      </c>
      <c r="BN357">
        <f>AND(IF(Metadata!AB357="",FALSE,TRUE),exact(Metadata!AB357,"Not applicable"))</f>
        <v>0</v>
      </c>
      <c r="BO357">
        <f>IF(Metadata!AC357="",FALSE,TRUE)</f>
        <v>0</v>
      </c>
    </row>
    <row r="358" spans="1:67">
      <c r="A358" s="5">
        <f>IF(B358=" "," ",HYPERLINK(CONCATENATE("#metadata!",ADDRESS(INDEX($AI$2:$AI$1001,MATCH(ROWS($AG$2:AG358),$AG$2:$AG$1001,0),0),1)),INDEX($AL$2:$AL$1001,MATCH(ROWS($AG$2:AG358),$AG$2:$AG$1001,0),0)))</f>
        <v>0</v>
      </c>
      <c r="B358" s="4">
        <f>IF(OR(INDEX($AH$2:$AH$1001,MATCH(ROWS($AG$2:AG358),$AG$2:$AG$1001,0),1)&gt;=100000,INDEX($AN$1005:$BO$1005,1,MATCH(COLUMNS($AN$1006:AN1006),$AN$1006:$BO$1006,0))&gt;=100000), " ",IF(INDEX($AN$2:$BO$1001,MATCH(ROWS($AG$2:AG358),$AG$2:$AG$1001,0),MATCH(COLUMNS($AN$1006:AN1006),$AN$1006:$BO$1006,0)), HYPERLINK("#",""), HYPERLINK(CONCATENATE("#Metadata!", ADDRESS(INDEX($AI$2:$AI$1001,MATCH(ROWS($AG$2:AG358),$AG$2:$AG$1001,0),0), INDEX($AN$1004:$BO$1004,1,MATCH(COLUMNS($AN$1006:AN1006),$AN$1006:$BO$1006,0)))),"Fix")))</f>
        <v>0</v>
      </c>
      <c r="C358" s="4">
        <f>IF(OR(INDEX($AH$2:$AH$1001,MATCH(ROWS($AG$2:AG358),$AG$2:$AG$1001,0),1)&gt;=100000,INDEX($AN$1005:$BO$1005,1,MATCH(COLUMNS($AN$1006:AO1006),$AN$1006:$BO$1006,0))&gt;=100000), " ",IF(INDEX($AN$2:$BO$1001,MATCH(ROWS($AG$2:AG358),$AG$2:$AG$1001,0),MATCH(COLUMNS($AN$1006:AO1006),$AN$1006:$BO$1006,0)), HYPERLINK("#",""), HYPERLINK(CONCATENATE("#Metadata!", ADDRESS(INDEX($AI$2:$AI$1001,MATCH(ROWS($AG$2:AG358),$AG$2:$AG$1001,0),0), INDEX($AN$1004:$BO$1004,1,MATCH(COLUMNS($AN$1006:AO1006),$AN$1006:$BO$1006,0)))),"Fix")))</f>
        <v>0</v>
      </c>
      <c r="D358" s="4">
        <f>IF(OR(INDEX($AH$2:$AH$1001,MATCH(ROWS($AG$2:AG358),$AG$2:$AG$1001,0),1)&gt;=100000,INDEX($AN$1005:$BO$1005,1,MATCH(COLUMNS($AN$1006:AP1006),$AN$1006:$BO$1006,0))&gt;=100000), " ",IF(INDEX($AN$2:$BO$1001,MATCH(ROWS($AG$2:AG358),$AG$2:$AG$1001,0),MATCH(COLUMNS($AN$1006:AP1006),$AN$1006:$BO$1006,0)), HYPERLINK("#",""), HYPERLINK(CONCATENATE("#Metadata!", ADDRESS(INDEX($AI$2:$AI$1001,MATCH(ROWS($AG$2:AG358),$AG$2:$AG$1001,0),0), INDEX($AN$1004:$BO$1004,1,MATCH(COLUMNS($AN$1006:AP1006),$AN$1006:$BO$1006,0)))),"Fix")))</f>
        <v>0</v>
      </c>
      <c r="E358" s="4">
        <f>IF(OR(INDEX($AH$2:$AH$1001,MATCH(ROWS($AG$2:AG358),$AG$2:$AG$1001,0),1)&gt;=100000,INDEX($AN$1005:$BO$1005,1,MATCH(COLUMNS($AN$1006:AQ1006),$AN$1006:$BO$1006,0))&gt;=100000), " ",IF(INDEX($AN$2:$BO$1001,MATCH(ROWS($AG$2:AG358),$AG$2:$AG$1001,0),MATCH(COLUMNS($AN$1006:AQ1006),$AN$1006:$BO$1006,0)), HYPERLINK("#",""), HYPERLINK(CONCATENATE("#Metadata!", ADDRESS(INDEX($AI$2:$AI$1001,MATCH(ROWS($AG$2:AG358),$AG$2:$AG$1001,0),0), INDEX($AN$1004:$BO$1004,1,MATCH(COLUMNS($AN$1006:AQ1006),$AN$1006:$BO$1006,0)))),"Fix")))</f>
        <v>0</v>
      </c>
      <c r="F358" s="4">
        <f>IF(OR(INDEX($AH$2:$AH$1001,MATCH(ROWS($AG$2:AG358),$AG$2:$AG$1001,0),1)&gt;=100000,INDEX($AN$1005:$BO$1005,1,MATCH(COLUMNS($AN$1006:AR1006),$AN$1006:$BO$1006,0))&gt;=100000), " ",IF(INDEX($AN$2:$BO$1001,MATCH(ROWS($AG$2:AG358),$AG$2:$AG$1001,0),MATCH(COLUMNS($AN$1006:AR1006),$AN$1006:$BO$1006,0)), HYPERLINK("#",""), HYPERLINK(CONCATENATE("#Metadata!", ADDRESS(INDEX($AI$2:$AI$1001,MATCH(ROWS($AG$2:AG358),$AG$2:$AG$1001,0),0), INDEX($AN$1004:$BO$1004,1,MATCH(COLUMNS($AN$1006:AR1006),$AN$1006:$BO$1006,0)))),"Fix")))</f>
        <v>0</v>
      </c>
      <c r="G358" s="4">
        <f>IF(OR(INDEX($AH$2:$AH$1001,MATCH(ROWS($AG$2:AG358),$AG$2:$AG$1001,0),1)&gt;=100000,INDEX($AN$1005:$BO$1005,1,MATCH(COLUMNS($AN$1006:AS1006),$AN$1006:$BO$1006,0))&gt;=100000), " ",IF(INDEX($AN$2:$BO$1001,MATCH(ROWS($AG$2:AG358),$AG$2:$AG$1001,0),MATCH(COLUMNS($AN$1006:AS1006),$AN$1006:$BO$1006,0)), HYPERLINK("#",""), HYPERLINK(CONCATENATE("#Metadata!", ADDRESS(INDEX($AI$2:$AI$1001,MATCH(ROWS($AG$2:AG358),$AG$2:$AG$1001,0),0), INDEX($AN$1004:$BO$1004,1,MATCH(COLUMNS($AN$1006:AS1006),$AN$1006:$BO$1006,0)))),"Fix")))</f>
        <v>0</v>
      </c>
      <c r="H358" s="4">
        <f>IF(OR(INDEX($AH$2:$AH$1001,MATCH(ROWS($AG$2:AG358),$AG$2:$AG$1001,0),1)&gt;=100000,INDEX($AN$1005:$BO$1005,1,MATCH(COLUMNS($AN$1006:AT1006),$AN$1006:$BO$1006,0))&gt;=100000), " ",IF(INDEX($AN$2:$BO$1001,MATCH(ROWS($AG$2:AG358),$AG$2:$AG$1001,0),MATCH(COLUMNS($AN$1006:AT1006),$AN$1006:$BO$1006,0)), HYPERLINK("#",""), HYPERLINK(CONCATENATE("#Metadata!", ADDRESS(INDEX($AI$2:$AI$1001,MATCH(ROWS($AG$2:AG358),$AG$2:$AG$1001,0),0), INDEX($AN$1004:$BO$1004,1,MATCH(COLUMNS($AN$1006:AT1006),$AN$1006:$BO$1006,0)))),"Fix")))</f>
        <v>0</v>
      </c>
      <c r="I358" s="4">
        <f>IF(OR(INDEX($AH$2:$AH$1001,MATCH(ROWS($AG$2:AG358),$AG$2:$AG$1001,0),1)&gt;=100000,INDEX($AN$1005:$BO$1005,1,MATCH(COLUMNS($AN$1006:AU1006),$AN$1006:$BO$1006,0))&gt;=100000), " ",IF(INDEX($AN$2:$BO$1001,MATCH(ROWS($AG$2:AG358),$AG$2:$AG$1001,0),MATCH(COLUMNS($AN$1006:AU1006),$AN$1006:$BO$1006,0)), HYPERLINK("#",""), HYPERLINK(CONCATENATE("#Metadata!", ADDRESS(INDEX($AI$2:$AI$1001,MATCH(ROWS($AG$2:AG358),$AG$2:$AG$1001,0),0), INDEX($AN$1004:$BO$1004,1,MATCH(COLUMNS($AN$1006:AU1006),$AN$1006:$BO$1006,0)))),"Fix")))</f>
        <v>0</v>
      </c>
      <c r="J358" s="4">
        <f>IF(OR(INDEX($AH$2:$AH$1001,MATCH(ROWS($AG$2:AG358),$AG$2:$AG$1001,0),1)&gt;=100000,INDEX($AN$1005:$BO$1005,1,MATCH(COLUMNS($AN$1006:AV1006),$AN$1006:$BO$1006,0))&gt;=100000), " ",IF(INDEX($AN$2:$BO$1001,MATCH(ROWS($AG$2:AG358),$AG$2:$AG$1001,0),MATCH(COLUMNS($AN$1006:AV1006),$AN$1006:$BO$1006,0)), HYPERLINK("#",""), HYPERLINK(CONCATENATE("#Metadata!", ADDRESS(INDEX($AI$2:$AI$1001,MATCH(ROWS($AG$2:AG358),$AG$2:$AG$1001,0),0), INDEX($AN$1004:$BO$1004,1,MATCH(COLUMNS($AN$1006:AV1006),$AN$1006:$BO$1006,0)))),"Fix")))</f>
        <v>0</v>
      </c>
      <c r="K358" s="4">
        <f>IF(OR(INDEX($AH$2:$AH$1001,MATCH(ROWS($AG$2:AG358),$AG$2:$AG$1001,0),1)&gt;=100000,INDEX($AN$1005:$BO$1005,1,MATCH(COLUMNS($AN$1006:AW1006),$AN$1006:$BO$1006,0))&gt;=100000), " ",IF(INDEX($AN$2:$BO$1001,MATCH(ROWS($AG$2:AG358),$AG$2:$AG$1001,0),MATCH(COLUMNS($AN$1006:AW1006),$AN$1006:$BO$1006,0)), HYPERLINK("#",""), HYPERLINK(CONCATENATE("#Metadata!", ADDRESS(INDEX($AI$2:$AI$1001,MATCH(ROWS($AG$2:AG358),$AG$2:$AG$1001,0),0), INDEX($AN$1004:$BO$1004,1,MATCH(COLUMNS($AN$1006:AW1006),$AN$1006:$BO$1006,0)))),"Fix")))</f>
        <v>0</v>
      </c>
      <c r="L358" s="4">
        <f>IF(OR(INDEX($AH$2:$AH$1001,MATCH(ROWS($AG$2:AG358),$AG$2:$AG$1001,0),1)&gt;=100000,INDEX($AN$1005:$BO$1005,1,MATCH(COLUMNS($AN$1006:AX1006),$AN$1006:$BO$1006,0))&gt;=100000), " ",IF(INDEX($AN$2:$BO$1001,MATCH(ROWS($AG$2:AG358),$AG$2:$AG$1001,0),MATCH(COLUMNS($AN$1006:AX1006),$AN$1006:$BO$1006,0)), HYPERLINK("#",""), HYPERLINK(CONCATENATE("#Metadata!", ADDRESS(INDEX($AI$2:$AI$1001,MATCH(ROWS($AG$2:AG358),$AG$2:$AG$1001,0),0), INDEX($AN$1004:$BO$1004,1,MATCH(COLUMNS($AN$1006:AX1006),$AN$1006:$BO$1006,0)))),"Fix")))</f>
        <v>0</v>
      </c>
      <c r="M358" s="4">
        <f>IF(OR(INDEX($AH$2:$AH$1001,MATCH(ROWS($AG$2:AG358),$AG$2:$AG$1001,0),1)&gt;=100000,INDEX($AN$1005:$BO$1005,1,MATCH(COLUMNS($AN$1006:AY1006),$AN$1006:$BO$1006,0))&gt;=100000), " ",IF(INDEX($AN$2:$BO$1001,MATCH(ROWS($AG$2:AG358),$AG$2:$AG$1001,0),MATCH(COLUMNS($AN$1006:AY1006),$AN$1006:$BO$1006,0)), HYPERLINK("#",""), HYPERLINK(CONCATENATE("#Metadata!", ADDRESS(INDEX($AI$2:$AI$1001,MATCH(ROWS($AG$2:AG358),$AG$2:$AG$1001,0),0), INDEX($AN$1004:$BO$1004,1,MATCH(COLUMNS($AN$1006:AY1006),$AN$1006:$BO$1006,0)))),"Fix")))</f>
        <v>0</v>
      </c>
      <c r="N358" s="4">
        <f>IF(OR(INDEX($AH$2:$AH$1001,MATCH(ROWS($AG$2:AG358),$AG$2:$AG$1001,0),1)&gt;=100000,INDEX($AN$1005:$BO$1005,1,MATCH(COLUMNS($AN$1006:AZ1006),$AN$1006:$BO$1006,0))&gt;=100000), " ",IF(INDEX($AN$2:$BO$1001,MATCH(ROWS($AG$2:AG358),$AG$2:$AG$1001,0),MATCH(COLUMNS($AN$1006:AZ1006),$AN$1006:$BO$1006,0)), HYPERLINK("#",""), HYPERLINK(CONCATENATE("#Metadata!", ADDRESS(INDEX($AI$2:$AI$1001,MATCH(ROWS($AG$2:AG358),$AG$2:$AG$1001,0),0), INDEX($AN$1004:$BO$1004,1,MATCH(COLUMNS($AN$1006:AZ1006),$AN$1006:$BO$1006,0)))),"Fix")))</f>
        <v>0</v>
      </c>
      <c r="O358" s="4">
        <f>IF(OR(INDEX($AH$2:$AH$1001,MATCH(ROWS($AG$2:AG358),$AG$2:$AG$1001,0),1)&gt;=100000,INDEX($AN$1005:$BO$1005,1,MATCH(COLUMNS($AN$1006:BA1006),$AN$1006:$BO$1006,0))&gt;=100000), " ",IF(INDEX($AN$2:$BO$1001,MATCH(ROWS($AG$2:AG358),$AG$2:$AG$1001,0),MATCH(COLUMNS($AN$1006:BA1006),$AN$1006:$BO$1006,0)), HYPERLINK("#",""), HYPERLINK(CONCATENATE("#Metadata!", ADDRESS(INDEX($AI$2:$AI$1001,MATCH(ROWS($AG$2:AG358),$AG$2:$AG$1001,0),0), INDEX($AN$1004:$BO$1004,1,MATCH(COLUMNS($AN$1006:BA1006),$AN$1006:$BO$1006,0)))),"Fix")))</f>
        <v>0</v>
      </c>
      <c r="P358" s="4">
        <f>IF(OR(INDEX($AH$2:$AH$1001,MATCH(ROWS($AG$2:AG358),$AG$2:$AG$1001,0),1)&gt;=100000,INDEX($AN$1005:$BO$1005,1,MATCH(COLUMNS($AN$1006:BB1006),$AN$1006:$BO$1006,0))&gt;=100000), " ",IF(INDEX($AN$2:$BO$1001,MATCH(ROWS($AG$2:AG358),$AG$2:$AG$1001,0),MATCH(COLUMNS($AN$1006:BB1006),$AN$1006:$BO$1006,0)), HYPERLINK("#",""), HYPERLINK(CONCATENATE("#Metadata!", ADDRESS(INDEX($AI$2:$AI$1001,MATCH(ROWS($AG$2:AG358),$AG$2:$AG$1001,0),0), INDEX($AN$1004:$BO$1004,1,MATCH(COLUMNS($AN$1006:BB1006),$AN$1006:$BO$1006,0)))),"Fix")))</f>
        <v>0</v>
      </c>
      <c r="Q358" s="4">
        <f>IF(OR(INDEX($AH$2:$AH$1001,MATCH(ROWS($AG$2:AG358),$AG$2:$AG$1001,0),1)&gt;=100000,INDEX($AN$1005:$BO$1005,1,MATCH(COLUMNS($AN$1006:BC1006),$AN$1006:$BO$1006,0))&gt;=100000), " ",IF(INDEX($AN$2:$BO$1001,MATCH(ROWS($AG$2:AG358),$AG$2:$AG$1001,0),MATCH(COLUMNS($AN$1006:BC1006),$AN$1006:$BO$1006,0)), HYPERLINK("#",""), HYPERLINK(CONCATENATE("#Metadata!", ADDRESS(INDEX($AI$2:$AI$1001,MATCH(ROWS($AG$2:AG358),$AG$2:$AG$1001,0),0), INDEX($AN$1004:$BO$1004,1,MATCH(COLUMNS($AN$1006:BC1006),$AN$1006:$BO$1006,0)))),"Fix")))</f>
        <v>0</v>
      </c>
      <c r="R358" s="4">
        <f>IF(OR(INDEX($AH$2:$AH$1001,MATCH(ROWS($AG$2:AG358),$AG$2:$AG$1001,0),1)&gt;=100000,INDEX($AN$1005:$BO$1005,1,MATCH(COLUMNS($AN$1006:BD1006),$AN$1006:$BO$1006,0))&gt;=100000), " ",IF(INDEX($AN$2:$BO$1001,MATCH(ROWS($AG$2:AG358),$AG$2:$AG$1001,0),MATCH(COLUMNS($AN$1006:BD1006),$AN$1006:$BO$1006,0)), HYPERLINK("#",""), HYPERLINK(CONCATENATE("#Metadata!", ADDRESS(INDEX($AI$2:$AI$1001,MATCH(ROWS($AG$2:AG358),$AG$2:$AG$1001,0),0), INDEX($AN$1004:$BO$1004,1,MATCH(COLUMNS($AN$1006:BD1006),$AN$1006:$BO$1006,0)))),"Fix")))</f>
        <v>0</v>
      </c>
      <c r="S358" s="4">
        <f>IF(OR(INDEX($AH$2:$AH$1001,MATCH(ROWS($AG$2:AG358),$AG$2:$AG$1001,0),1)&gt;=100000,INDEX($AN$1005:$BO$1005,1,MATCH(COLUMNS($AN$1006:BE1006),$AN$1006:$BO$1006,0))&gt;=100000), " ",IF(INDEX($AN$2:$BO$1001,MATCH(ROWS($AG$2:AG358),$AG$2:$AG$1001,0),MATCH(COLUMNS($AN$1006:BE1006),$AN$1006:$BO$1006,0)), HYPERLINK("#",""), HYPERLINK(CONCATENATE("#Metadata!", ADDRESS(INDEX($AI$2:$AI$1001,MATCH(ROWS($AG$2:AG358),$AG$2:$AG$1001,0),0), INDEX($AN$1004:$BO$1004,1,MATCH(COLUMNS($AN$1006:BE1006),$AN$1006:$BO$1006,0)))),"Fix")))</f>
        <v>0</v>
      </c>
      <c r="T358" s="4">
        <f>IF(OR(INDEX($AH$2:$AH$1001,MATCH(ROWS($AG$2:AG358),$AG$2:$AG$1001,0),1)&gt;=100000,INDEX($AN$1005:$BO$1005,1,MATCH(COLUMNS($AN$1006:BF1006),$AN$1006:$BO$1006,0))&gt;=100000), " ",IF(INDEX($AN$2:$BO$1001,MATCH(ROWS($AG$2:AG358),$AG$2:$AG$1001,0),MATCH(COLUMNS($AN$1006:BF1006),$AN$1006:$BO$1006,0)), HYPERLINK("#",""), HYPERLINK(CONCATENATE("#Metadata!", ADDRESS(INDEX($AI$2:$AI$1001,MATCH(ROWS($AG$2:AG358),$AG$2:$AG$1001,0),0), INDEX($AN$1004:$BO$1004,1,MATCH(COLUMNS($AN$1006:BF1006),$AN$1006:$BO$1006,0)))),"Fix")))</f>
        <v>0</v>
      </c>
      <c r="U358" s="4">
        <f>IF(OR(INDEX($AH$2:$AH$1001,MATCH(ROWS($AG$2:AG358),$AG$2:$AG$1001,0),1)&gt;=100000,INDEX($AN$1005:$BO$1005,1,MATCH(COLUMNS($AN$1006:BG1006),$AN$1006:$BO$1006,0))&gt;=100000), " ",IF(INDEX($AN$2:$BO$1001,MATCH(ROWS($AG$2:AG358),$AG$2:$AG$1001,0),MATCH(COLUMNS($AN$1006:BG1006),$AN$1006:$BO$1006,0)), HYPERLINK("#",""), HYPERLINK(CONCATENATE("#Metadata!", ADDRESS(INDEX($AI$2:$AI$1001,MATCH(ROWS($AG$2:AG358),$AG$2:$AG$1001,0),0), INDEX($AN$1004:$BO$1004,1,MATCH(COLUMNS($AN$1006:BG1006),$AN$1006:$BO$1006,0)))),"Fix")))</f>
        <v>0</v>
      </c>
      <c r="V358" s="4">
        <f>IF(OR(INDEX($AH$2:$AH$1001,MATCH(ROWS($AG$2:AG358),$AG$2:$AG$1001,0),1)&gt;=100000,INDEX($AN$1005:$BO$1005,1,MATCH(COLUMNS($AN$1006:BH1006),$AN$1006:$BO$1006,0))&gt;=100000), " ",IF(INDEX($AN$2:$BO$1001,MATCH(ROWS($AG$2:AG358),$AG$2:$AG$1001,0),MATCH(COLUMNS($AN$1006:BH1006),$AN$1006:$BO$1006,0)), HYPERLINK("#",""), HYPERLINK(CONCATENATE("#Metadata!", ADDRESS(INDEX($AI$2:$AI$1001,MATCH(ROWS($AG$2:AG358),$AG$2:$AG$1001,0),0), INDEX($AN$1004:$BO$1004,1,MATCH(COLUMNS($AN$1006:BH1006),$AN$1006:$BO$1006,0)))),"Fix")))</f>
        <v>0</v>
      </c>
      <c r="W358" s="4">
        <f>IF(OR(INDEX($AH$2:$AH$1001,MATCH(ROWS($AG$2:AG358),$AG$2:$AG$1001,0),1)&gt;=100000,INDEX($AN$1005:$BO$1005,1,MATCH(COLUMNS($AN$1006:BI1006),$AN$1006:$BO$1006,0))&gt;=100000), " ",IF(INDEX($AN$2:$BO$1001,MATCH(ROWS($AG$2:AG358),$AG$2:$AG$1001,0),MATCH(COLUMNS($AN$1006:BI1006),$AN$1006:$BO$1006,0)), HYPERLINK("#",""), HYPERLINK(CONCATENATE("#Metadata!", ADDRESS(INDEX($AI$2:$AI$1001,MATCH(ROWS($AG$2:AG358),$AG$2:$AG$1001,0),0), INDEX($AN$1004:$BO$1004,1,MATCH(COLUMNS($AN$1006:BI1006),$AN$1006:$BO$1006,0)))),"Fix")))</f>
        <v>0</v>
      </c>
      <c r="X358" s="4">
        <f>IF(OR(INDEX($AH$2:$AH$1001,MATCH(ROWS($AG$2:AG358),$AG$2:$AG$1001,0),1)&gt;=100000,INDEX($AN$1005:$BO$1005,1,MATCH(COLUMNS($AN$1006:BJ1006),$AN$1006:$BO$1006,0))&gt;=100000), " ",IF(INDEX($AN$2:$BO$1001,MATCH(ROWS($AG$2:AG358),$AG$2:$AG$1001,0),MATCH(COLUMNS($AN$1006:BJ1006),$AN$1006:$BO$1006,0)), HYPERLINK("#",""), HYPERLINK(CONCATENATE("#Metadata!", ADDRESS(INDEX($AI$2:$AI$1001,MATCH(ROWS($AG$2:AG358),$AG$2:$AG$1001,0),0), INDEX($AN$1004:$BO$1004,1,MATCH(COLUMNS($AN$1006:BJ1006),$AN$1006:$BO$1006,0)))),"Fix")))</f>
        <v>0</v>
      </c>
      <c r="Y358" s="4">
        <f>IF(OR(INDEX($AH$2:$AH$1001,MATCH(ROWS($AG$2:AG358),$AG$2:$AG$1001,0),1)&gt;=100000,INDEX($AN$1005:$BO$1005,1,MATCH(COLUMNS($AN$1006:BK1006),$AN$1006:$BO$1006,0))&gt;=100000), " ",IF(INDEX($AN$2:$BO$1001,MATCH(ROWS($AG$2:AG358),$AG$2:$AG$1001,0),MATCH(COLUMNS($AN$1006:BK1006),$AN$1006:$BO$1006,0)), HYPERLINK("#",""), HYPERLINK(CONCATENATE("#Metadata!", ADDRESS(INDEX($AI$2:$AI$1001,MATCH(ROWS($AG$2:AG358),$AG$2:$AG$1001,0),0), INDEX($AN$1004:$BO$1004,1,MATCH(COLUMNS($AN$1006:BK1006),$AN$1006:$BO$1006,0)))),"Fix")))</f>
        <v>0</v>
      </c>
      <c r="Z358" s="4">
        <f>IF(OR(INDEX($AH$2:$AH$1001,MATCH(ROWS($AG$2:AG358),$AG$2:$AG$1001,0),1)&gt;=100000,INDEX($AN$1005:$BO$1005,1,MATCH(COLUMNS($AN$1006:BL1006),$AN$1006:$BO$1006,0))&gt;=100000), " ",IF(INDEX($AN$2:$BO$1001,MATCH(ROWS($AG$2:AG358),$AG$2:$AG$1001,0),MATCH(COLUMNS($AN$1006:BL1006),$AN$1006:$BO$1006,0)), HYPERLINK("#",""), HYPERLINK(CONCATENATE("#Metadata!", ADDRESS(INDEX($AI$2:$AI$1001,MATCH(ROWS($AG$2:AG358),$AG$2:$AG$1001,0),0), INDEX($AN$1004:$BO$1004,1,MATCH(COLUMNS($AN$1006:BL1006),$AN$1006:$BO$1006,0)))),"Fix")))</f>
        <v>0</v>
      </c>
      <c r="AA358" s="4">
        <f>IF(OR(INDEX($AH$2:$AH$1001,MATCH(ROWS($AG$2:AG358),$AG$2:$AG$1001,0),1)&gt;=100000,INDEX($AN$1005:$BO$1005,1,MATCH(COLUMNS($AN$1006:BM1006),$AN$1006:$BO$1006,0))&gt;=100000), " ",IF(INDEX($AN$2:$BO$1001,MATCH(ROWS($AG$2:AG358),$AG$2:$AG$1001,0),MATCH(COLUMNS($AN$1006:BM1006),$AN$1006:$BO$1006,0)), HYPERLINK("#",""), HYPERLINK(CONCATENATE("#Metadata!", ADDRESS(INDEX($AI$2:$AI$1001,MATCH(ROWS($AG$2:AG358),$AG$2:$AG$1001,0),0), INDEX($AN$1004:$BO$1004,1,MATCH(COLUMNS($AN$1006:BM1006),$AN$1006:$BO$1006,0)))),"Fix")))</f>
        <v>0</v>
      </c>
      <c r="AB358" s="4">
        <f>IF(OR(INDEX($AH$2:$AH$1001,MATCH(ROWS($AG$2:AG358),$AG$2:$AG$1001,0),1)&gt;=100000,INDEX($AN$1005:$BO$1005,1,MATCH(COLUMNS($AN$1006:BN1006),$AN$1006:$BO$1006,0))&gt;=100000), " ",IF(INDEX($AN$2:$BO$1001,MATCH(ROWS($AG$2:AG358),$AG$2:$AG$1001,0),MATCH(COLUMNS($AN$1006:BN1006),$AN$1006:$BO$1006,0)), HYPERLINK("#",""), HYPERLINK(CONCATENATE("#Metadata!", ADDRESS(INDEX($AI$2:$AI$1001,MATCH(ROWS($AG$2:AG358),$AG$2:$AG$1001,0),0), INDEX($AN$1004:$BO$1004,1,MATCH(COLUMNS($AN$1006:BN1006),$AN$1006:$BO$1006,0)))),"Fix")))</f>
        <v>0</v>
      </c>
      <c r="AC358" s="4">
        <f>IF(OR(INDEX($AH$2:$AH$1001,MATCH(ROWS($AG$2:AG358),$AG$2:$AG$1001,0),1)&gt;=100000,INDEX($AN$1005:$BO$1005,1,MATCH(COLUMNS($AN$1006:BO1006),$AN$1006:$BO$1006,0))&gt;=100000), " ",IF(INDEX($AN$2:$BO$1001,MATCH(ROWS($AG$2:AG358),$AG$2:$AG$1001,0),MATCH(COLUMNS($AN$1006:BO1006),$AN$1006:$BO$1006,0)), HYPERLINK("#",""), HYPERLINK(CONCATENATE("#Metadata!", ADDRESS(INDEX($AI$2:$AI$1001,MATCH(ROWS($AG$2:AG358),$AG$2:$AG$1001,0),0), INDEX($AN$1004:$BO$1004,1,MATCH(COLUMNS($AN$1006:BO1006),$AN$1006:$BO$1006,0)))),"Fix")))</f>
        <v>0</v>
      </c>
      <c r="AG358">
        <v>0</v>
      </c>
      <c r="AH358">
        <v>0</v>
      </c>
      <c r="AI358">
        <v>0</v>
      </c>
      <c r="AJ358">
        <f>IF(AK358,TRUE,AND(AN358:BO358))</f>
        <v>0</v>
      </c>
      <c r="AK358">
        <f>COUNTBLANK(Metadata!B358:AC358)=COLUMNS(Metadata!B358:AC358)</f>
        <v>0</v>
      </c>
      <c r="AL358">
        <v>0</v>
      </c>
      <c r="AN358">
        <f>AND(IF(Metadata!B358="",FALSE,TRUE),COUNTIF(Metadata!B:B, Metadata!B358) = 1,NOT(ISERROR(SUMPRODUCT(SEARCH(MID(Metadata!B358,ROW(INDIRECT("1:"&amp;LEN(Metadata!B358))), 1),"0123456789abcdefghijklmnopqrstuvwxyzABCDEFGHIJKLMNOPQRSTUVWXYZ.")))))</f>
        <v>0</v>
      </c>
      <c r="AO358">
        <f>IF(Metadata!C358="",FALSE,TRUE)</f>
        <v>0</v>
      </c>
      <c r="AP358">
        <f>IF(Metadata!D358="",FALSE,TRUE)</f>
        <v>0</v>
      </c>
      <c r="AQ358">
        <f>OR(AND(IF(Metadata!E358="",FALSE,TRUE),OR(exact(Metadata!E358,"not collected"),exact(Metadata!E358,"not provided"),exact(Metadata!E358,"restricted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R358">
        <f>IF(Metadata!F358="",FALSE,TRUE)</f>
        <v>0</v>
      </c>
      <c r="AS358">
        <f>OR(AND(IF(Metadata!G358="",FALSE,TRUE),OR(exact(Metadata!G358,"not collected"),exact(Metadata!G358,"not provided"))),AND(IF(Metadata!G358="",FALSE,TRUE),OR(exact(Metadata!G358,"TRUE"),exact(Metadata!G358,"FALSE"))))</f>
        <v>0</v>
      </c>
      <c r="AT358">
        <f>OR(AND(IF(Metadata!H358="",FALSE,TRUE),OR(exact(Metadata!H358,"not collected"),exact(Metadata!H358,"not provided"),exact(Metadata!H358,"restricted access"))),AND(IF(Metadata!H358="",FALSE,ISNUMBER(VALUE(Metadata!H358))),Metadata!H358&gt;=-413.0))</f>
        <v>0</v>
      </c>
      <c r="AU358">
        <f>AND(IF(Metadata!I358="",FALSE,TRUE),exact(Metadata!I358,"meters"))</f>
        <v>0</v>
      </c>
      <c r="AV358">
        <f>AND(IF(Metadata!J358="",FALSE,TRUE),OR(exact(Metadata!J358,"Host-associated"),exact(Metadata!J358,"Free-living")))</f>
        <v>0</v>
      </c>
      <c r="AW358">
        <f>AND(IF(Metadata!K358="",FALSE,TRUE),OR(exact(Metadata!K358,"Animal"),exact(Metadata!K358,"Fungus"),exact(Metadata!K358,"Plant"),exact(Metadata!K358,"Saline"),exact(Metadata!K358,"Non-saline")))</f>
        <v>0</v>
      </c>
      <c r="AX358">
        <f>AND(IF(Metadata!L358="",FALSE,TRUE),OR(exact(Metadata!L358,"Plant secretion"),exact(Metadata!L358,"Plant rhizosphere"),exact(Metadata!L358,"Plant surface"),exact(Metadata!L358,"Plant corpus"),exact(Metadata!L358,"Fungus surface"),exact(Metadata!L358,"Fungus corpus"),exact(Metadata!L358,"Animal surface"),exact(Metadata!L358,"Animal proximal gut"),exact(Metadata!L358,"Animal corpus"),exact(Metadata!L358,"Animal distal gut"),exact(Metadata!L358,"Animal secretion"),exact(Metadata!L358,"Sub-surface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Y358">
        <f>IF(Metadata!M358="",FALSE,TRUE)</f>
        <v>0</v>
      </c>
      <c r="AZ358">
        <f>IF(Metadata!N358="",FALSE,TRUE)</f>
        <v>0</v>
      </c>
      <c r="BA358">
        <f>IF(Metadata!O358="",FALSE,TRUE)</f>
        <v>0</v>
      </c>
      <c r="BB358">
        <f>OR(AND(IF(Metadata!P358="",FALSE,TRUE),OR(exact(Metadata!P358,"not collected"),exact(Metadata!P358,"not provided"),exact(Metadata!P358,"restricted access"))),AND(IF(Metadata!P358="",FALSE,TRUE),OR(exact(Metadata!P358,"air"),exact(Metadata!P358,"built environment"),exact(Metadata!P358,"host-associated"),exact(Metadata!P358,"human-associated"),exact(Metadata!P358,"human-skin"),exact(Metadata!P358,"human-oral"),exact(Metadata!P358,"human-gut"),exact(Metadata!P358,"human-vaginal"),exact(Metadata!P358,"microbial mat/biofilm"),exact(Metadata!P358,"misc environment"),exact(Metadata!P358,"plant-associated"),exact(Metadata!P358,"sediment"),exact(Metadata!P358,"soil"),exact(Metadata!P358,"wastewater/sludge"),exact(Metadata!P358,"water"))))</f>
        <v>0</v>
      </c>
      <c r="BC358">
        <f>IF(Metadata!Q358="",FALSE,TRUE)</f>
        <v>0</v>
      </c>
      <c r="BD358">
        <f>IF(Metadata!R358="",FALSE,TRUE)</f>
        <v>0</v>
      </c>
      <c r="BE358">
        <f>OR(AND(IF(Metadata!S358="",FALSE,TRUE),OR(exact(Metadata!S358,"not collected"),exact(Metadata!S358,"not provided"),exact(Metadata!S358,"restricted access"))),AND(IF(Metadata!S358="",FALSE,ISNUMBER(VALUE(Metadata!S358))),Metadata!S358&gt;=-90.00,Metadata!S358&lt;=90.00))</f>
        <v>0</v>
      </c>
      <c r="BF358">
        <f>AND(IF(Metadata!T358="",FALSE,TRUE),exact(Metadata!T358,"Decimal degrees"))</f>
        <v>0</v>
      </c>
      <c r="BG358">
        <f>OR(AND(IF(Metadata!U358="",FALSE,TRUE),OR(exact(Metadata!U358,"not collected"),exact(Metadata!U358,"not provided"),exact(Metadata!U358,"restricted access"))),AND(IF(Metadata!U358="",FALSE,ISNUMBER(VALUE(Metadata!U358))),Metadata!U358&gt;=-180.00,Metadata!U358&lt;=180.00))</f>
        <v>0</v>
      </c>
      <c r="BH358">
        <f>AND(IF(Metadata!V358="",FALSE,TRUE),exact(Metadata!V358,"Decimal degrees"))</f>
        <v>0</v>
      </c>
      <c r="BI358">
        <f>IF(Metadata!W358="",FALSE,TRUE)</f>
        <v>0</v>
      </c>
      <c r="BJ358">
        <f>OR(AND(IF(Metadata!X358="",FALSE,TRUE),OR(exact(Metadata!X358,"not collected"),exact(Metadata!X358,"not provided"),exact(Metadata!X358,"restricted access"))),AND(IF(Metadata!X358="",FALSE,TRUE),OR(exact(Metadata!X358,"TRUE"),exact(Metadata!X358,"FALSE"))))</f>
        <v>0</v>
      </c>
      <c r="BK358">
        <f>AND(IF(Metadata!Y358="",FALSE,TRUE),exact(Metadata!Y358,"other"))</f>
        <v>0</v>
      </c>
      <c r="BL358">
        <f>IF(Metadata!Z358="",FALSE,TRUE)</f>
        <v>0</v>
      </c>
      <c r="BM358">
        <f>OR(AND(IF(Metadata!AA358="",FALSE,TRUE),OR(exact(Metadata!AA358,"not collected"),exact(Metadata!AA358,"not provided"))),AND(IF(Metadata!AA358="",FALSE,IF(ISERROR(INT(Metadata!AA358)),FALSE,INT(Metadata!AA358)=Metadata!AA358)),Metadata!AA358&gt;0))</f>
        <v>0</v>
      </c>
      <c r="BN358">
        <f>AND(IF(Metadata!AB358="",FALSE,TRUE),exact(Metadata!AB358,"Not applicable"))</f>
        <v>0</v>
      </c>
      <c r="BO358">
        <f>IF(Metadata!AC358="",FALSE,TRUE)</f>
        <v>0</v>
      </c>
    </row>
    <row r="359" spans="1:67">
      <c r="A359" s="5">
        <f>IF(B359=" "," ",HYPERLINK(CONCATENATE("#metadata!",ADDRESS(INDEX($AI$2:$AI$1001,MATCH(ROWS($AG$2:AG359),$AG$2:$AG$1001,0),0),1)),INDEX($AL$2:$AL$1001,MATCH(ROWS($AG$2:AG359),$AG$2:$AG$1001,0),0)))</f>
        <v>0</v>
      </c>
      <c r="B359" s="4">
        <f>IF(OR(INDEX($AH$2:$AH$1001,MATCH(ROWS($AG$2:AG359),$AG$2:$AG$1001,0),1)&gt;=100000,INDEX($AN$1005:$BO$1005,1,MATCH(COLUMNS($AN$1006:AN1006),$AN$1006:$BO$1006,0))&gt;=100000), " ",IF(INDEX($AN$2:$BO$1001,MATCH(ROWS($AG$2:AG359),$AG$2:$AG$1001,0),MATCH(COLUMNS($AN$1006:AN1006),$AN$1006:$BO$1006,0)), HYPERLINK("#",""), HYPERLINK(CONCATENATE("#Metadata!", ADDRESS(INDEX($AI$2:$AI$1001,MATCH(ROWS($AG$2:AG359),$AG$2:$AG$1001,0),0), INDEX($AN$1004:$BO$1004,1,MATCH(COLUMNS($AN$1006:AN1006),$AN$1006:$BO$1006,0)))),"Fix")))</f>
        <v>0</v>
      </c>
      <c r="C359" s="4">
        <f>IF(OR(INDEX($AH$2:$AH$1001,MATCH(ROWS($AG$2:AG359),$AG$2:$AG$1001,0),1)&gt;=100000,INDEX($AN$1005:$BO$1005,1,MATCH(COLUMNS($AN$1006:AO1006),$AN$1006:$BO$1006,0))&gt;=100000), " ",IF(INDEX($AN$2:$BO$1001,MATCH(ROWS($AG$2:AG359),$AG$2:$AG$1001,0),MATCH(COLUMNS($AN$1006:AO1006),$AN$1006:$BO$1006,0)), HYPERLINK("#",""), HYPERLINK(CONCATENATE("#Metadata!", ADDRESS(INDEX($AI$2:$AI$1001,MATCH(ROWS($AG$2:AG359),$AG$2:$AG$1001,0),0), INDEX($AN$1004:$BO$1004,1,MATCH(COLUMNS($AN$1006:AO1006),$AN$1006:$BO$1006,0)))),"Fix")))</f>
        <v>0</v>
      </c>
      <c r="D359" s="4">
        <f>IF(OR(INDEX($AH$2:$AH$1001,MATCH(ROWS($AG$2:AG359),$AG$2:$AG$1001,0),1)&gt;=100000,INDEX($AN$1005:$BO$1005,1,MATCH(COLUMNS($AN$1006:AP1006),$AN$1006:$BO$1006,0))&gt;=100000), " ",IF(INDEX($AN$2:$BO$1001,MATCH(ROWS($AG$2:AG359),$AG$2:$AG$1001,0),MATCH(COLUMNS($AN$1006:AP1006),$AN$1006:$BO$1006,0)), HYPERLINK("#",""), HYPERLINK(CONCATENATE("#Metadata!", ADDRESS(INDEX($AI$2:$AI$1001,MATCH(ROWS($AG$2:AG359),$AG$2:$AG$1001,0),0), INDEX($AN$1004:$BO$1004,1,MATCH(COLUMNS($AN$1006:AP1006),$AN$1006:$BO$1006,0)))),"Fix")))</f>
        <v>0</v>
      </c>
      <c r="E359" s="4">
        <f>IF(OR(INDEX($AH$2:$AH$1001,MATCH(ROWS($AG$2:AG359),$AG$2:$AG$1001,0),1)&gt;=100000,INDEX($AN$1005:$BO$1005,1,MATCH(COLUMNS($AN$1006:AQ1006),$AN$1006:$BO$1006,0))&gt;=100000), " ",IF(INDEX($AN$2:$BO$1001,MATCH(ROWS($AG$2:AG359),$AG$2:$AG$1001,0),MATCH(COLUMNS($AN$1006:AQ1006),$AN$1006:$BO$1006,0)), HYPERLINK("#",""), HYPERLINK(CONCATENATE("#Metadata!", ADDRESS(INDEX($AI$2:$AI$1001,MATCH(ROWS($AG$2:AG359),$AG$2:$AG$1001,0),0), INDEX($AN$1004:$BO$1004,1,MATCH(COLUMNS($AN$1006:AQ1006),$AN$1006:$BO$1006,0)))),"Fix")))</f>
        <v>0</v>
      </c>
      <c r="F359" s="4">
        <f>IF(OR(INDEX($AH$2:$AH$1001,MATCH(ROWS($AG$2:AG359),$AG$2:$AG$1001,0),1)&gt;=100000,INDEX($AN$1005:$BO$1005,1,MATCH(COLUMNS($AN$1006:AR1006),$AN$1006:$BO$1006,0))&gt;=100000), " ",IF(INDEX($AN$2:$BO$1001,MATCH(ROWS($AG$2:AG359),$AG$2:$AG$1001,0),MATCH(COLUMNS($AN$1006:AR1006),$AN$1006:$BO$1006,0)), HYPERLINK("#",""), HYPERLINK(CONCATENATE("#Metadata!", ADDRESS(INDEX($AI$2:$AI$1001,MATCH(ROWS($AG$2:AG359),$AG$2:$AG$1001,0),0), INDEX($AN$1004:$BO$1004,1,MATCH(COLUMNS($AN$1006:AR1006),$AN$1006:$BO$1006,0)))),"Fix")))</f>
        <v>0</v>
      </c>
      <c r="G359" s="4">
        <f>IF(OR(INDEX($AH$2:$AH$1001,MATCH(ROWS($AG$2:AG359),$AG$2:$AG$1001,0),1)&gt;=100000,INDEX($AN$1005:$BO$1005,1,MATCH(COLUMNS($AN$1006:AS1006),$AN$1006:$BO$1006,0))&gt;=100000), " ",IF(INDEX($AN$2:$BO$1001,MATCH(ROWS($AG$2:AG359),$AG$2:$AG$1001,0),MATCH(COLUMNS($AN$1006:AS1006),$AN$1006:$BO$1006,0)), HYPERLINK("#",""), HYPERLINK(CONCATENATE("#Metadata!", ADDRESS(INDEX($AI$2:$AI$1001,MATCH(ROWS($AG$2:AG359),$AG$2:$AG$1001,0),0), INDEX($AN$1004:$BO$1004,1,MATCH(COLUMNS($AN$1006:AS1006),$AN$1006:$BO$1006,0)))),"Fix")))</f>
        <v>0</v>
      </c>
      <c r="H359" s="4">
        <f>IF(OR(INDEX($AH$2:$AH$1001,MATCH(ROWS($AG$2:AG359),$AG$2:$AG$1001,0),1)&gt;=100000,INDEX($AN$1005:$BO$1005,1,MATCH(COLUMNS($AN$1006:AT1006),$AN$1006:$BO$1006,0))&gt;=100000), " ",IF(INDEX($AN$2:$BO$1001,MATCH(ROWS($AG$2:AG359),$AG$2:$AG$1001,0),MATCH(COLUMNS($AN$1006:AT1006),$AN$1006:$BO$1006,0)), HYPERLINK("#",""), HYPERLINK(CONCATENATE("#Metadata!", ADDRESS(INDEX($AI$2:$AI$1001,MATCH(ROWS($AG$2:AG359),$AG$2:$AG$1001,0),0), INDEX($AN$1004:$BO$1004,1,MATCH(COLUMNS($AN$1006:AT1006),$AN$1006:$BO$1006,0)))),"Fix")))</f>
        <v>0</v>
      </c>
      <c r="I359" s="4">
        <f>IF(OR(INDEX($AH$2:$AH$1001,MATCH(ROWS($AG$2:AG359),$AG$2:$AG$1001,0),1)&gt;=100000,INDEX($AN$1005:$BO$1005,1,MATCH(COLUMNS($AN$1006:AU1006),$AN$1006:$BO$1006,0))&gt;=100000), " ",IF(INDEX($AN$2:$BO$1001,MATCH(ROWS($AG$2:AG359),$AG$2:$AG$1001,0),MATCH(COLUMNS($AN$1006:AU1006),$AN$1006:$BO$1006,0)), HYPERLINK("#",""), HYPERLINK(CONCATENATE("#Metadata!", ADDRESS(INDEX($AI$2:$AI$1001,MATCH(ROWS($AG$2:AG359),$AG$2:$AG$1001,0),0), INDEX($AN$1004:$BO$1004,1,MATCH(COLUMNS($AN$1006:AU1006),$AN$1006:$BO$1006,0)))),"Fix")))</f>
        <v>0</v>
      </c>
      <c r="J359" s="4">
        <f>IF(OR(INDEX($AH$2:$AH$1001,MATCH(ROWS($AG$2:AG359),$AG$2:$AG$1001,0),1)&gt;=100000,INDEX($AN$1005:$BO$1005,1,MATCH(COLUMNS($AN$1006:AV1006),$AN$1006:$BO$1006,0))&gt;=100000), " ",IF(INDEX($AN$2:$BO$1001,MATCH(ROWS($AG$2:AG359),$AG$2:$AG$1001,0),MATCH(COLUMNS($AN$1006:AV1006),$AN$1006:$BO$1006,0)), HYPERLINK("#",""), HYPERLINK(CONCATENATE("#Metadata!", ADDRESS(INDEX($AI$2:$AI$1001,MATCH(ROWS($AG$2:AG359),$AG$2:$AG$1001,0),0), INDEX($AN$1004:$BO$1004,1,MATCH(COLUMNS($AN$1006:AV1006),$AN$1006:$BO$1006,0)))),"Fix")))</f>
        <v>0</v>
      </c>
      <c r="K359" s="4">
        <f>IF(OR(INDEX($AH$2:$AH$1001,MATCH(ROWS($AG$2:AG359),$AG$2:$AG$1001,0),1)&gt;=100000,INDEX($AN$1005:$BO$1005,1,MATCH(COLUMNS($AN$1006:AW1006),$AN$1006:$BO$1006,0))&gt;=100000), " ",IF(INDEX($AN$2:$BO$1001,MATCH(ROWS($AG$2:AG359),$AG$2:$AG$1001,0),MATCH(COLUMNS($AN$1006:AW1006),$AN$1006:$BO$1006,0)), HYPERLINK("#",""), HYPERLINK(CONCATENATE("#Metadata!", ADDRESS(INDEX($AI$2:$AI$1001,MATCH(ROWS($AG$2:AG359),$AG$2:$AG$1001,0),0), INDEX($AN$1004:$BO$1004,1,MATCH(COLUMNS($AN$1006:AW1006),$AN$1006:$BO$1006,0)))),"Fix")))</f>
        <v>0</v>
      </c>
      <c r="L359" s="4">
        <f>IF(OR(INDEX($AH$2:$AH$1001,MATCH(ROWS($AG$2:AG359),$AG$2:$AG$1001,0),1)&gt;=100000,INDEX($AN$1005:$BO$1005,1,MATCH(COLUMNS($AN$1006:AX1006),$AN$1006:$BO$1006,0))&gt;=100000), " ",IF(INDEX($AN$2:$BO$1001,MATCH(ROWS($AG$2:AG359),$AG$2:$AG$1001,0),MATCH(COLUMNS($AN$1006:AX1006),$AN$1006:$BO$1006,0)), HYPERLINK("#",""), HYPERLINK(CONCATENATE("#Metadata!", ADDRESS(INDEX($AI$2:$AI$1001,MATCH(ROWS($AG$2:AG359),$AG$2:$AG$1001,0),0), INDEX($AN$1004:$BO$1004,1,MATCH(COLUMNS($AN$1006:AX1006),$AN$1006:$BO$1006,0)))),"Fix")))</f>
        <v>0</v>
      </c>
      <c r="M359" s="4">
        <f>IF(OR(INDEX($AH$2:$AH$1001,MATCH(ROWS($AG$2:AG359),$AG$2:$AG$1001,0),1)&gt;=100000,INDEX($AN$1005:$BO$1005,1,MATCH(COLUMNS($AN$1006:AY1006),$AN$1006:$BO$1006,0))&gt;=100000), " ",IF(INDEX($AN$2:$BO$1001,MATCH(ROWS($AG$2:AG359),$AG$2:$AG$1001,0),MATCH(COLUMNS($AN$1006:AY1006),$AN$1006:$BO$1006,0)), HYPERLINK("#",""), HYPERLINK(CONCATENATE("#Metadata!", ADDRESS(INDEX($AI$2:$AI$1001,MATCH(ROWS($AG$2:AG359),$AG$2:$AG$1001,0),0), INDEX($AN$1004:$BO$1004,1,MATCH(COLUMNS($AN$1006:AY1006),$AN$1006:$BO$1006,0)))),"Fix")))</f>
        <v>0</v>
      </c>
      <c r="N359" s="4">
        <f>IF(OR(INDEX($AH$2:$AH$1001,MATCH(ROWS($AG$2:AG359),$AG$2:$AG$1001,0),1)&gt;=100000,INDEX($AN$1005:$BO$1005,1,MATCH(COLUMNS($AN$1006:AZ1006),$AN$1006:$BO$1006,0))&gt;=100000), " ",IF(INDEX($AN$2:$BO$1001,MATCH(ROWS($AG$2:AG359),$AG$2:$AG$1001,0),MATCH(COLUMNS($AN$1006:AZ1006),$AN$1006:$BO$1006,0)), HYPERLINK("#",""), HYPERLINK(CONCATENATE("#Metadata!", ADDRESS(INDEX($AI$2:$AI$1001,MATCH(ROWS($AG$2:AG359),$AG$2:$AG$1001,0),0), INDEX($AN$1004:$BO$1004,1,MATCH(COLUMNS($AN$1006:AZ1006),$AN$1006:$BO$1006,0)))),"Fix")))</f>
        <v>0</v>
      </c>
      <c r="O359" s="4">
        <f>IF(OR(INDEX($AH$2:$AH$1001,MATCH(ROWS($AG$2:AG359),$AG$2:$AG$1001,0),1)&gt;=100000,INDEX($AN$1005:$BO$1005,1,MATCH(COLUMNS($AN$1006:BA1006),$AN$1006:$BO$1006,0))&gt;=100000), " ",IF(INDEX($AN$2:$BO$1001,MATCH(ROWS($AG$2:AG359),$AG$2:$AG$1001,0),MATCH(COLUMNS($AN$1006:BA1006),$AN$1006:$BO$1006,0)), HYPERLINK("#",""), HYPERLINK(CONCATENATE("#Metadata!", ADDRESS(INDEX($AI$2:$AI$1001,MATCH(ROWS($AG$2:AG359),$AG$2:$AG$1001,0),0), INDEX($AN$1004:$BO$1004,1,MATCH(COLUMNS($AN$1006:BA1006),$AN$1006:$BO$1006,0)))),"Fix")))</f>
        <v>0</v>
      </c>
      <c r="P359" s="4">
        <f>IF(OR(INDEX($AH$2:$AH$1001,MATCH(ROWS($AG$2:AG359),$AG$2:$AG$1001,0),1)&gt;=100000,INDEX($AN$1005:$BO$1005,1,MATCH(COLUMNS($AN$1006:BB1006),$AN$1006:$BO$1006,0))&gt;=100000), " ",IF(INDEX($AN$2:$BO$1001,MATCH(ROWS($AG$2:AG359),$AG$2:$AG$1001,0),MATCH(COLUMNS($AN$1006:BB1006),$AN$1006:$BO$1006,0)), HYPERLINK("#",""), HYPERLINK(CONCATENATE("#Metadata!", ADDRESS(INDEX($AI$2:$AI$1001,MATCH(ROWS($AG$2:AG359),$AG$2:$AG$1001,0),0), INDEX($AN$1004:$BO$1004,1,MATCH(COLUMNS($AN$1006:BB1006),$AN$1006:$BO$1006,0)))),"Fix")))</f>
        <v>0</v>
      </c>
      <c r="Q359" s="4">
        <f>IF(OR(INDEX($AH$2:$AH$1001,MATCH(ROWS($AG$2:AG359),$AG$2:$AG$1001,0),1)&gt;=100000,INDEX($AN$1005:$BO$1005,1,MATCH(COLUMNS($AN$1006:BC1006),$AN$1006:$BO$1006,0))&gt;=100000), " ",IF(INDEX($AN$2:$BO$1001,MATCH(ROWS($AG$2:AG359),$AG$2:$AG$1001,0),MATCH(COLUMNS($AN$1006:BC1006),$AN$1006:$BO$1006,0)), HYPERLINK("#",""), HYPERLINK(CONCATENATE("#Metadata!", ADDRESS(INDEX($AI$2:$AI$1001,MATCH(ROWS($AG$2:AG359),$AG$2:$AG$1001,0),0), INDEX($AN$1004:$BO$1004,1,MATCH(COLUMNS($AN$1006:BC1006),$AN$1006:$BO$1006,0)))),"Fix")))</f>
        <v>0</v>
      </c>
      <c r="R359" s="4">
        <f>IF(OR(INDEX($AH$2:$AH$1001,MATCH(ROWS($AG$2:AG359),$AG$2:$AG$1001,0),1)&gt;=100000,INDEX($AN$1005:$BO$1005,1,MATCH(COLUMNS($AN$1006:BD1006),$AN$1006:$BO$1006,0))&gt;=100000), " ",IF(INDEX($AN$2:$BO$1001,MATCH(ROWS($AG$2:AG359),$AG$2:$AG$1001,0),MATCH(COLUMNS($AN$1006:BD1006),$AN$1006:$BO$1006,0)), HYPERLINK("#",""), HYPERLINK(CONCATENATE("#Metadata!", ADDRESS(INDEX($AI$2:$AI$1001,MATCH(ROWS($AG$2:AG359),$AG$2:$AG$1001,0),0), INDEX($AN$1004:$BO$1004,1,MATCH(COLUMNS($AN$1006:BD1006),$AN$1006:$BO$1006,0)))),"Fix")))</f>
        <v>0</v>
      </c>
      <c r="S359" s="4">
        <f>IF(OR(INDEX($AH$2:$AH$1001,MATCH(ROWS($AG$2:AG359),$AG$2:$AG$1001,0),1)&gt;=100000,INDEX($AN$1005:$BO$1005,1,MATCH(COLUMNS($AN$1006:BE1006),$AN$1006:$BO$1006,0))&gt;=100000), " ",IF(INDEX($AN$2:$BO$1001,MATCH(ROWS($AG$2:AG359),$AG$2:$AG$1001,0),MATCH(COLUMNS($AN$1006:BE1006),$AN$1006:$BO$1006,0)), HYPERLINK("#",""), HYPERLINK(CONCATENATE("#Metadata!", ADDRESS(INDEX($AI$2:$AI$1001,MATCH(ROWS($AG$2:AG359),$AG$2:$AG$1001,0),0), INDEX($AN$1004:$BO$1004,1,MATCH(COLUMNS($AN$1006:BE1006),$AN$1006:$BO$1006,0)))),"Fix")))</f>
        <v>0</v>
      </c>
      <c r="T359" s="4">
        <f>IF(OR(INDEX($AH$2:$AH$1001,MATCH(ROWS($AG$2:AG359),$AG$2:$AG$1001,0),1)&gt;=100000,INDEX($AN$1005:$BO$1005,1,MATCH(COLUMNS($AN$1006:BF1006),$AN$1006:$BO$1006,0))&gt;=100000), " ",IF(INDEX($AN$2:$BO$1001,MATCH(ROWS($AG$2:AG359),$AG$2:$AG$1001,0),MATCH(COLUMNS($AN$1006:BF1006),$AN$1006:$BO$1006,0)), HYPERLINK("#",""), HYPERLINK(CONCATENATE("#Metadata!", ADDRESS(INDEX($AI$2:$AI$1001,MATCH(ROWS($AG$2:AG359),$AG$2:$AG$1001,0),0), INDEX($AN$1004:$BO$1004,1,MATCH(COLUMNS($AN$1006:BF1006),$AN$1006:$BO$1006,0)))),"Fix")))</f>
        <v>0</v>
      </c>
      <c r="U359" s="4">
        <f>IF(OR(INDEX($AH$2:$AH$1001,MATCH(ROWS($AG$2:AG359),$AG$2:$AG$1001,0),1)&gt;=100000,INDEX($AN$1005:$BO$1005,1,MATCH(COLUMNS($AN$1006:BG1006),$AN$1006:$BO$1006,0))&gt;=100000), " ",IF(INDEX($AN$2:$BO$1001,MATCH(ROWS($AG$2:AG359),$AG$2:$AG$1001,0),MATCH(COLUMNS($AN$1006:BG1006),$AN$1006:$BO$1006,0)), HYPERLINK("#",""), HYPERLINK(CONCATENATE("#Metadata!", ADDRESS(INDEX($AI$2:$AI$1001,MATCH(ROWS($AG$2:AG359),$AG$2:$AG$1001,0),0), INDEX($AN$1004:$BO$1004,1,MATCH(COLUMNS($AN$1006:BG1006),$AN$1006:$BO$1006,0)))),"Fix")))</f>
        <v>0</v>
      </c>
      <c r="V359" s="4">
        <f>IF(OR(INDEX($AH$2:$AH$1001,MATCH(ROWS($AG$2:AG359),$AG$2:$AG$1001,0),1)&gt;=100000,INDEX($AN$1005:$BO$1005,1,MATCH(COLUMNS($AN$1006:BH1006),$AN$1006:$BO$1006,0))&gt;=100000), " ",IF(INDEX($AN$2:$BO$1001,MATCH(ROWS($AG$2:AG359),$AG$2:$AG$1001,0),MATCH(COLUMNS($AN$1006:BH1006),$AN$1006:$BO$1006,0)), HYPERLINK("#",""), HYPERLINK(CONCATENATE("#Metadata!", ADDRESS(INDEX($AI$2:$AI$1001,MATCH(ROWS($AG$2:AG359),$AG$2:$AG$1001,0),0), INDEX($AN$1004:$BO$1004,1,MATCH(COLUMNS($AN$1006:BH1006),$AN$1006:$BO$1006,0)))),"Fix")))</f>
        <v>0</v>
      </c>
      <c r="W359" s="4">
        <f>IF(OR(INDEX($AH$2:$AH$1001,MATCH(ROWS($AG$2:AG359),$AG$2:$AG$1001,0),1)&gt;=100000,INDEX($AN$1005:$BO$1005,1,MATCH(COLUMNS($AN$1006:BI1006),$AN$1006:$BO$1006,0))&gt;=100000), " ",IF(INDEX($AN$2:$BO$1001,MATCH(ROWS($AG$2:AG359),$AG$2:$AG$1001,0),MATCH(COLUMNS($AN$1006:BI1006),$AN$1006:$BO$1006,0)), HYPERLINK("#",""), HYPERLINK(CONCATENATE("#Metadata!", ADDRESS(INDEX($AI$2:$AI$1001,MATCH(ROWS($AG$2:AG359),$AG$2:$AG$1001,0),0), INDEX($AN$1004:$BO$1004,1,MATCH(COLUMNS($AN$1006:BI1006),$AN$1006:$BO$1006,0)))),"Fix")))</f>
        <v>0</v>
      </c>
      <c r="X359" s="4">
        <f>IF(OR(INDEX($AH$2:$AH$1001,MATCH(ROWS($AG$2:AG359),$AG$2:$AG$1001,0),1)&gt;=100000,INDEX($AN$1005:$BO$1005,1,MATCH(COLUMNS($AN$1006:BJ1006),$AN$1006:$BO$1006,0))&gt;=100000), " ",IF(INDEX($AN$2:$BO$1001,MATCH(ROWS($AG$2:AG359),$AG$2:$AG$1001,0),MATCH(COLUMNS($AN$1006:BJ1006),$AN$1006:$BO$1006,0)), HYPERLINK("#",""), HYPERLINK(CONCATENATE("#Metadata!", ADDRESS(INDEX($AI$2:$AI$1001,MATCH(ROWS($AG$2:AG359),$AG$2:$AG$1001,0),0), INDEX($AN$1004:$BO$1004,1,MATCH(COLUMNS($AN$1006:BJ1006),$AN$1006:$BO$1006,0)))),"Fix")))</f>
        <v>0</v>
      </c>
      <c r="Y359" s="4">
        <f>IF(OR(INDEX($AH$2:$AH$1001,MATCH(ROWS($AG$2:AG359),$AG$2:$AG$1001,0),1)&gt;=100000,INDEX($AN$1005:$BO$1005,1,MATCH(COLUMNS($AN$1006:BK1006),$AN$1006:$BO$1006,0))&gt;=100000), " ",IF(INDEX($AN$2:$BO$1001,MATCH(ROWS($AG$2:AG359),$AG$2:$AG$1001,0),MATCH(COLUMNS($AN$1006:BK1006),$AN$1006:$BO$1006,0)), HYPERLINK("#",""), HYPERLINK(CONCATENATE("#Metadata!", ADDRESS(INDEX($AI$2:$AI$1001,MATCH(ROWS($AG$2:AG359),$AG$2:$AG$1001,0),0), INDEX($AN$1004:$BO$1004,1,MATCH(COLUMNS($AN$1006:BK1006),$AN$1006:$BO$1006,0)))),"Fix")))</f>
        <v>0</v>
      </c>
      <c r="Z359" s="4">
        <f>IF(OR(INDEX($AH$2:$AH$1001,MATCH(ROWS($AG$2:AG359),$AG$2:$AG$1001,0),1)&gt;=100000,INDEX($AN$1005:$BO$1005,1,MATCH(COLUMNS($AN$1006:BL1006),$AN$1006:$BO$1006,0))&gt;=100000), " ",IF(INDEX($AN$2:$BO$1001,MATCH(ROWS($AG$2:AG359),$AG$2:$AG$1001,0),MATCH(COLUMNS($AN$1006:BL1006),$AN$1006:$BO$1006,0)), HYPERLINK("#",""), HYPERLINK(CONCATENATE("#Metadata!", ADDRESS(INDEX($AI$2:$AI$1001,MATCH(ROWS($AG$2:AG359),$AG$2:$AG$1001,0),0), INDEX($AN$1004:$BO$1004,1,MATCH(COLUMNS($AN$1006:BL1006),$AN$1006:$BO$1006,0)))),"Fix")))</f>
        <v>0</v>
      </c>
      <c r="AA359" s="4">
        <f>IF(OR(INDEX($AH$2:$AH$1001,MATCH(ROWS($AG$2:AG359),$AG$2:$AG$1001,0),1)&gt;=100000,INDEX($AN$1005:$BO$1005,1,MATCH(COLUMNS($AN$1006:BM1006),$AN$1006:$BO$1006,0))&gt;=100000), " ",IF(INDEX($AN$2:$BO$1001,MATCH(ROWS($AG$2:AG359),$AG$2:$AG$1001,0),MATCH(COLUMNS($AN$1006:BM1006),$AN$1006:$BO$1006,0)), HYPERLINK("#",""), HYPERLINK(CONCATENATE("#Metadata!", ADDRESS(INDEX($AI$2:$AI$1001,MATCH(ROWS($AG$2:AG359),$AG$2:$AG$1001,0),0), INDEX($AN$1004:$BO$1004,1,MATCH(COLUMNS($AN$1006:BM1006),$AN$1006:$BO$1006,0)))),"Fix")))</f>
        <v>0</v>
      </c>
      <c r="AB359" s="4">
        <f>IF(OR(INDEX($AH$2:$AH$1001,MATCH(ROWS($AG$2:AG359),$AG$2:$AG$1001,0),1)&gt;=100000,INDEX($AN$1005:$BO$1005,1,MATCH(COLUMNS($AN$1006:BN1006),$AN$1006:$BO$1006,0))&gt;=100000), " ",IF(INDEX($AN$2:$BO$1001,MATCH(ROWS($AG$2:AG359),$AG$2:$AG$1001,0),MATCH(COLUMNS($AN$1006:BN1006),$AN$1006:$BO$1006,0)), HYPERLINK("#",""), HYPERLINK(CONCATENATE("#Metadata!", ADDRESS(INDEX($AI$2:$AI$1001,MATCH(ROWS($AG$2:AG359),$AG$2:$AG$1001,0),0), INDEX($AN$1004:$BO$1004,1,MATCH(COLUMNS($AN$1006:BN1006),$AN$1006:$BO$1006,0)))),"Fix")))</f>
        <v>0</v>
      </c>
      <c r="AC359" s="4">
        <f>IF(OR(INDEX($AH$2:$AH$1001,MATCH(ROWS($AG$2:AG359),$AG$2:$AG$1001,0),1)&gt;=100000,INDEX($AN$1005:$BO$1005,1,MATCH(COLUMNS($AN$1006:BO1006),$AN$1006:$BO$1006,0))&gt;=100000), " ",IF(INDEX($AN$2:$BO$1001,MATCH(ROWS($AG$2:AG359),$AG$2:$AG$1001,0),MATCH(COLUMNS($AN$1006:BO1006),$AN$1006:$BO$1006,0)), HYPERLINK("#",""), HYPERLINK(CONCATENATE("#Metadata!", ADDRESS(INDEX($AI$2:$AI$1001,MATCH(ROWS($AG$2:AG359),$AG$2:$AG$1001,0),0), INDEX($AN$1004:$BO$1004,1,MATCH(COLUMNS($AN$1006:BO1006),$AN$1006:$BO$1006,0)))),"Fix")))</f>
        <v>0</v>
      </c>
      <c r="AG359">
        <v>0</v>
      </c>
      <c r="AH359">
        <v>0</v>
      </c>
      <c r="AI359">
        <v>0</v>
      </c>
      <c r="AJ359">
        <f>IF(AK359,TRUE,AND(AN359:BO359))</f>
        <v>0</v>
      </c>
      <c r="AK359">
        <f>COUNTBLANK(Metadata!B359:AC359)=COLUMNS(Metadata!B359:AC359)</f>
        <v>0</v>
      </c>
      <c r="AL359">
        <v>0</v>
      </c>
      <c r="AN359">
        <f>AND(IF(Metadata!B359="",FALSE,TRUE),COUNTIF(Metadata!B:B, Metadata!B359) = 1,NOT(ISERROR(SUMPRODUCT(SEARCH(MID(Metadata!B359,ROW(INDIRECT("1:"&amp;LEN(Metadata!B359))), 1),"0123456789abcdefghijklmnopqrstuvwxyzABCDEFGHIJKLMNOPQRSTUVWXYZ.")))))</f>
        <v>0</v>
      </c>
      <c r="AO359">
        <f>IF(Metadata!C359="",FALSE,TRUE)</f>
        <v>0</v>
      </c>
      <c r="AP359">
        <f>IF(Metadata!D359="",FALSE,TRUE)</f>
        <v>0</v>
      </c>
      <c r="AQ359">
        <f>OR(AND(IF(Metadata!E359="",FALSE,TRUE),OR(exact(Metadata!E359,"not collected"),exact(Metadata!E359,"not provided"),exact(Metadata!E359,"restricted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R359">
        <f>IF(Metadata!F359="",FALSE,TRUE)</f>
        <v>0</v>
      </c>
      <c r="AS359">
        <f>OR(AND(IF(Metadata!G359="",FALSE,TRUE),OR(exact(Metadata!G359,"not collected"),exact(Metadata!G359,"not provided"))),AND(IF(Metadata!G359="",FALSE,TRUE),OR(exact(Metadata!G359,"TRUE"),exact(Metadata!G359,"FALSE"))))</f>
        <v>0</v>
      </c>
      <c r="AT359">
        <f>OR(AND(IF(Metadata!H359="",FALSE,TRUE),OR(exact(Metadata!H359,"not collected"),exact(Metadata!H359,"not provided"),exact(Metadata!H359,"restricted access"))),AND(IF(Metadata!H359="",FALSE,ISNUMBER(VALUE(Metadata!H359))),Metadata!H359&gt;=-413.0))</f>
        <v>0</v>
      </c>
      <c r="AU359">
        <f>AND(IF(Metadata!I359="",FALSE,TRUE),exact(Metadata!I359,"meters"))</f>
        <v>0</v>
      </c>
      <c r="AV359">
        <f>AND(IF(Metadata!J359="",FALSE,TRUE),OR(exact(Metadata!J359,"Host-associated"),exact(Metadata!J359,"Free-living")))</f>
        <v>0</v>
      </c>
      <c r="AW359">
        <f>AND(IF(Metadata!K359="",FALSE,TRUE),OR(exact(Metadata!K359,"Animal"),exact(Metadata!K359,"Fungus"),exact(Metadata!K359,"Plant"),exact(Metadata!K359,"Saline"),exact(Metadata!K359,"Non-saline")))</f>
        <v>0</v>
      </c>
      <c r="AX359">
        <f>AND(IF(Metadata!L359="",FALSE,TRUE),OR(exact(Metadata!L359,"Plant secretion"),exact(Metadata!L359,"Plant rhizosphere"),exact(Metadata!L359,"Plant surface"),exact(Metadata!L359,"Plant corpus"),exact(Metadata!L359,"Fungus surface"),exact(Metadata!L359,"Fungus corpus"),exact(Metadata!L359,"Animal surface"),exact(Metadata!L359,"Animal proximal gut"),exact(Metadata!L359,"Animal corpus"),exact(Metadata!L359,"Animal distal gut"),exact(Metadata!L359,"Animal secretion"),exact(Metadata!L359,"Sub-surface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Y359">
        <f>IF(Metadata!M359="",FALSE,TRUE)</f>
        <v>0</v>
      </c>
      <c r="AZ359">
        <f>IF(Metadata!N359="",FALSE,TRUE)</f>
        <v>0</v>
      </c>
      <c r="BA359">
        <f>IF(Metadata!O359="",FALSE,TRUE)</f>
        <v>0</v>
      </c>
      <c r="BB359">
        <f>OR(AND(IF(Metadata!P359="",FALSE,TRUE),OR(exact(Metadata!P359,"not collected"),exact(Metadata!P359,"not provided"),exact(Metadata!P359,"restricted access"))),AND(IF(Metadata!P359="",FALSE,TRUE),OR(exact(Metadata!P359,"air"),exact(Metadata!P359,"built environment"),exact(Metadata!P359,"host-associated"),exact(Metadata!P359,"human-associated"),exact(Metadata!P359,"human-skin"),exact(Metadata!P359,"human-oral"),exact(Metadata!P359,"human-gut"),exact(Metadata!P359,"human-vaginal"),exact(Metadata!P359,"microbial mat/biofilm"),exact(Metadata!P359,"misc environment"),exact(Metadata!P359,"plant-associated"),exact(Metadata!P359,"sediment"),exact(Metadata!P359,"soil"),exact(Metadata!P359,"wastewater/sludge"),exact(Metadata!P359,"water"))))</f>
        <v>0</v>
      </c>
      <c r="BC359">
        <f>IF(Metadata!Q359="",FALSE,TRUE)</f>
        <v>0</v>
      </c>
      <c r="BD359">
        <f>IF(Metadata!R359="",FALSE,TRUE)</f>
        <v>0</v>
      </c>
      <c r="BE359">
        <f>OR(AND(IF(Metadata!S359="",FALSE,TRUE),OR(exact(Metadata!S359,"not collected"),exact(Metadata!S359,"not provided"),exact(Metadata!S359,"restricted access"))),AND(IF(Metadata!S359="",FALSE,ISNUMBER(VALUE(Metadata!S359))),Metadata!S359&gt;=-90.00,Metadata!S359&lt;=90.00))</f>
        <v>0</v>
      </c>
      <c r="BF359">
        <f>AND(IF(Metadata!T359="",FALSE,TRUE),exact(Metadata!T359,"Decimal degrees"))</f>
        <v>0</v>
      </c>
      <c r="BG359">
        <f>OR(AND(IF(Metadata!U359="",FALSE,TRUE),OR(exact(Metadata!U359,"not collected"),exact(Metadata!U359,"not provided"),exact(Metadata!U359,"restricted access"))),AND(IF(Metadata!U359="",FALSE,ISNUMBER(VALUE(Metadata!U359))),Metadata!U359&gt;=-180.00,Metadata!U359&lt;=180.00))</f>
        <v>0</v>
      </c>
      <c r="BH359">
        <f>AND(IF(Metadata!V359="",FALSE,TRUE),exact(Metadata!V359,"Decimal degrees"))</f>
        <v>0</v>
      </c>
      <c r="BI359">
        <f>IF(Metadata!W359="",FALSE,TRUE)</f>
        <v>0</v>
      </c>
      <c r="BJ359">
        <f>OR(AND(IF(Metadata!X359="",FALSE,TRUE),OR(exact(Metadata!X359,"not collected"),exact(Metadata!X359,"not provided"),exact(Metadata!X359,"restricted access"))),AND(IF(Metadata!X359="",FALSE,TRUE),OR(exact(Metadata!X359,"TRUE"),exact(Metadata!X359,"FALSE"))))</f>
        <v>0</v>
      </c>
      <c r="BK359">
        <f>AND(IF(Metadata!Y359="",FALSE,TRUE),exact(Metadata!Y359,"other"))</f>
        <v>0</v>
      </c>
      <c r="BL359">
        <f>IF(Metadata!Z359="",FALSE,TRUE)</f>
        <v>0</v>
      </c>
      <c r="BM359">
        <f>OR(AND(IF(Metadata!AA359="",FALSE,TRUE),OR(exact(Metadata!AA359,"not collected"),exact(Metadata!AA359,"not provided"))),AND(IF(Metadata!AA359="",FALSE,IF(ISERROR(INT(Metadata!AA359)),FALSE,INT(Metadata!AA359)=Metadata!AA359)),Metadata!AA359&gt;0))</f>
        <v>0</v>
      </c>
      <c r="BN359">
        <f>AND(IF(Metadata!AB359="",FALSE,TRUE),exact(Metadata!AB359,"Not applicable"))</f>
        <v>0</v>
      </c>
      <c r="BO359">
        <f>IF(Metadata!AC359="",FALSE,TRUE)</f>
        <v>0</v>
      </c>
    </row>
    <row r="360" spans="1:67">
      <c r="A360" s="5">
        <f>IF(B360=" "," ",HYPERLINK(CONCATENATE("#metadata!",ADDRESS(INDEX($AI$2:$AI$1001,MATCH(ROWS($AG$2:AG360),$AG$2:$AG$1001,0),0),1)),INDEX($AL$2:$AL$1001,MATCH(ROWS($AG$2:AG360),$AG$2:$AG$1001,0),0)))</f>
        <v>0</v>
      </c>
      <c r="B360" s="4">
        <f>IF(OR(INDEX($AH$2:$AH$1001,MATCH(ROWS($AG$2:AG360),$AG$2:$AG$1001,0),1)&gt;=100000,INDEX($AN$1005:$BO$1005,1,MATCH(COLUMNS($AN$1006:AN1006),$AN$1006:$BO$1006,0))&gt;=100000), " ",IF(INDEX($AN$2:$BO$1001,MATCH(ROWS($AG$2:AG360),$AG$2:$AG$1001,0),MATCH(COLUMNS($AN$1006:AN1006),$AN$1006:$BO$1006,0)), HYPERLINK("#",""), HYPERLINK(CONCATENATE("#Metadata!", ADDRESS(INDEX($AI$2:$AI$1001,MATCH(ROWS($AG$2:AG360),$AG$2:$AG$1001,0),0), INDEX($AN$1004:$BO$1004,1,MATCH(COLUMNS($AN$1006:AN1006),$AN$1006:$BO$1006,0)))),"Fix")))</f>
        <v>0</v>
      </c>
      <c r="C360" s="4">
        <f>IF(OR(INDEX($AH$2:$AH$1001,MATCH(ROWS($AG$2:AG360),$AG$2:$AG$1001,0),1)&gt;=100000,INDEX($AN$1005:$BO$1005,1,MATCH(COLUMNS($AN$1006:AO1006),$AN$1006:$BO$1006,0))&gt;=100000), " ",IF(INDEX($AN$2:$BO$1001,MATCH(ROWS($AG$2:AG360),$AG$2:$AG$1001,0),MATCH(COLUMNS($AN$1006:AO1006),$AN$1006:$BO$1006,0)), HYPERLINK("#",""), HYPERLINK(CONCATENATE("#Metadata!", ADDRESS(INDEX($AI$2:$AI$1001,MATCH(ROWS($AG$2:AG360),$AG$2:$AG$1001,0),0), INDEX($AN$1004:$BO$1004,1,MATCH(COLUMNS($AN$1006:AO1006),$AN$1006:$BO$1006,0)))),"Fix")))</f>
        <v>0</v>
      </c>
      <c r="D360" s="4">
        <f>IF(OR(INDEX($AH$2:$AH$1001,MATCH(ROWS($AG$2:AG360),$AG$2:$AG$1001,0),1)&gt;=100000,INDEX($AN$1005:$BO$1005,1,MATCH(COLUMNS($AN$1006:AP1006),$AN$1006:$BO$1006,0))&gt;=100000), " ",IF(INDEX($AN$2:$BO$1001,MATCH(ROWS($AG$2:AG360),$AG$2:$AG$1001,0),MATCH(COLUMNS($AN$1006:AP1006),$AN$1006:$BO$1006,0)), HYPERLINK("#",""), HYPERLINK(CONCATENATE("#Metadata!", ADDRESS(INDEX($AI$2:$AI$1001,MATCH(ROWS($AG$2:AG360),$AG$2:$AG$1001,0),0), INDEX($AN$1004:$BO$1004,1,MATCH(COLUMNS($AN$1006:AP1006),$AN$1006:$BO$1006,0)))),"Fix")))</f>
        <v>0</v>
      </c>
      <c r="E360" s="4">
        <f>IF(OR(INDEX($AH$2:$AH$1001,MATCH(ROWS($AG$2:AG360),$AG$2:$AG$1001,0),1)&gt;=100000,INDEX($AN$1005:$BO$1005,1,MATCH(COLUMNS($AN$1006:AQ1006),$AN$1006:$BO$1006,0))&gt;=100000), " ",IF(INDEX($AN$2:$BO$1001,MATCH(ROWS($AG$2:AG360),$AG$2:$AG$1001,0),MATCH(COLUMNS($AN$1006:AQ1006),$AN$1006:$BO$1006,0)), HYPERLINK("#",""), HYPERLINK(CONCATENATE("#Metadata!", ADDRESS(INDEX($AI$2:$AI$1001,MATCH(ROWS($AG$2:AG360),$AG$2:$AG$1001,0),0), INDEX($AN$1004:$BO$1004,1,MATCH(COLUMNS($AN$1006:AQ1006),$AN$1006:$BO$1006,0)))),"Fix")))</f>
        <v>0</v>
      </c>
      <c r="F360" s="4">
        <f>IF(OR(INDEX($AH$2:$AH$1001,MATCH(ROWS($AG$2:AG360),$AG$2:$AG$1001,0),1)&gt;=100000,INDEX($AN$1005:$BO$1005,1,MATCH(COLUMNS($AN$1006:AR1006),$AN$1006:$BO$1006,0))&gt;=100000), " ",IF(INDEX($AN$2:$BO$1001,MATCH(ROWS($AG$2:AG360),$AG$2:$AG$1001,0),MATCH(COLUMNS($AN$1006:AR1006),$AN$1006:$BO$1006,0)), HYPERLINK("#",""), HYPERLINK(CONCATENATE("#Metadata!", ADDRESS(INDEX($AI$2:$AI$1001,MATCH(ROWS($AG$2:AG360),$AG$2:$AG$1001,0),0), INDEX($AN$1004:$BO$1004,1,MATCH(COLUMNS($AN$1006:AR1006),$AN$1006:$BO$1006,0)))),"Fix")))</f>
        <v>0</v>
      </c>
      <c r="G360" s="4">
        <f>IF(OR(INDEX($AH$2:$AH$1001,MATCH(ROWS($AG$2:AG360),$AG$2:$AG$1001,0),1)&gt;=100000,INDEX($AN$1005:$BO$1005,1,MATCH(COLUMNS($AN$1006:AS1006),$AN$1006:$BO$1006,0))&gt;=100000), " ",IF(INDEX($AN$2:$BO$1001,MATCH(ROWS($AG$2:AG360),$AG$2:$AG$1001,0),MATCH(COLUMNS($AN$1006:AS1006),$AN$1006:$BO$1006,0)), HYPERLINK("#",""), HYPERLINK(CONCATENATE("#Metadata!", ADDRESS(INDEX($AI$2:$AI$1001,MATCH(ROWS($AG$2:AG360),$AG$2:$AG$1001,0),0), INDEX($AN$1004:$BO$1004,1,MATCH(COLUMNS($AN$1006:AS1006),$AN$1006:$BO$1006,0)))),"Fix")))</f>
        <v>0</v>
      </c>
      <c r="H360" s="4">
        <f>IF(OR(INDEX($AH$2:$AH$1001,MATCH(ROWS($AG$2:AG360),$AG$2:$AG$1001,0),1)&gt;=100000,INDEX($AN$1005:$BO$1005,1,MATCH(COLUMNS($AN$1006:AT1006),$AN$1006:$BO$1006,0))&gt;=100000), " ",IF(INDEX($AN$2:$BO$1001,MATCH(ROWS($AG$2:AG360),$AG$2:$AG$1001,0),MATCH(COLUMNS($AN$1006:AT1006),$AN$1006:$BO$1006,0)), HYPERLINK("#",""), HYPERLINK(CONCATENATE("#Metadata!", ADDRESS(INDEX($AI$2:$AI$1001,MATCH(ROWS($AG$2:AG360),$AG$2:$AG$1001,0),0), INDEX($AN$1004:$BO$1004,1,MATCH(COLUMNS($AN$1006:AT1006),$AN$1006:$BO$1006,0)))),"Fix")))</f>
        <v>0</v>
      </c>
      <c r="I360" s="4">
        <f>IF(OR(INDEX($AH$2:$AH$1001,MATCH(ROWS($AG$2:AG360),$AG$2:$AG$1001,0),1)&gt;=100000,INDEX($AN$1005:$BO$1005,1,MATCH(COLUMNS($AN$1006:AU1006),$AN$1006:$BO$1006,0))&gt;=100000), " ",IF(INDEX($AN$2:$BO$1001,MATCH(ROWS($AG$2:AG360),$AG$2:$AG$1001,0),MATCH(COLUMNS($AN$1006:AU1006),$AN$1006:$BO$1006,0)), HYPERLINK("#",""), HYPERLINK(CONCATENATE("#Metadata!", ADDRESS(INDEX($AI$2:$AI$1001,MATCH(ROWS($AG$2:AG360),$AG$2:$AG$1001,0),0), INDEX($AN$1004:$BO$1004,1,MATCH(COLUMNS($AN$1006:AU1006),$AN$1006:$BO$1006,0)))),"Fix")))</f>
        <v>0</v>
      </c>
      <c r="J360" s="4">
        <f>IF(OR(INDEX($AH$2:$AH$1001,MATCH(ROWS($AG$2:AG360),$AG$2:$AG$1001,0),1)&gt;=100000,INDEX($AN$1005:$BO$1005,1,MATCH(COLUMNS($AN$1006:AV1006),$AN$1006:$BO$1006,0))&gt;=100000), " ",IF(INDEX($AN$2:$BO$1001,MATCH(ROWS($AG$2:AG360),$AG$2:$AG$1001,0),MATCH(COLUMNS($AN$1006:AV1006),$AN$1006:$BO$1006,0)), HYPERLINK("#",""), HYPERLINK(CONCATENATE("#Metadata!", ADDRESS(INDEX($AI$2:$AI$1001,MATCH(ROWS($AG$2:AG360),$AG$2:$AG$1001,0),0), INDEX($AN$1004:$BO$1004,1,MATCH(COLUMNS($AN$1006:AV1006),$AN$1006:$BO$1006,0)))),"Fix")))</f>
        <v>0</v>
      </c>
      <c r="K360" s="4">
        <f>IF(OR(INDEX($AH$2:$AH$1001,MATCH(ROWS($AG$2:AG360),$AG$2:$AG$1001,0),1)&gt;=100000,INDEX($AN$1005:$BO$1005,1,MATCH(COLUMNS($AN$1006:AW1006),$AN$1006:$BO$1006,0))&gt;=100000), " ",IF(INDEX($AN$2:$BO$1001,MATCH(ROWS($AG$2:AG360),$AG$2:$AG$1001,0),MATCH(COLUMNS($AN$1006:AW1006),$AN$1006:$BO$1006,0)), HYPERLINK("#",""), HYPERLINK(CONCATENATE("#Metadata!", ADDRESS(INDEX($AI$2:$AI$1001,MATCH(ROWS($AG$2:AG360),$AG$2:$AG$1001,0),0), INDEX($AN$1004:$BO$1004,1,MATCH(COLUMNS($AN$1006:AW1006),$AN$1006:$BO$1006,0)))),"Fix")))</f>
        <v>0</v>
      </c>
      <c r="L360" s="4">
        <f>IF(OR(INDEX($AH$2:$AH$1001,MATCH(ROWS($AG$2:AG360),$AG$2:$AG$1001,0),1)&gt;=100000,INDEX($AN$1005:$BO$1005,1,MATCH(COLUMNS($AN$1006:AX1006),$AN$1006:$BO$1006,0))&gt;=100000), " ",IF(INDEX($AN$2:$BO$1001,MATCH(ROWS($AG$2:AG360),$AG$2:$AG$1001,0),MATCH(COLUMNS($AN$1006:AX1006),$AN$1006:$BO$1006,0)), HYPERLINK("#",""), HYPERLINK(CONCATENATE("#Metadata!", ADDRESS(INDEX($AI$2:$AI$1001,MATCH(ROWS($AG$2:AG360),$AG$2:$AG$1001,0),0), INDEX($AN$1004:$BO$1004,1,MATCH(COLUMNS($AN$1006:AX1006),$AN$1006:$BO$1006,0)))),"Fix")))</f>
        <v>0</v>
      </c>
      <c r="M360" s="4">
        <f>IF(OR(INDEX($AH$2:$AH$1001,MATCH(ROWS($AG$2:AG360),$AG$2:$AG$1001,0),1)&gt;=100000,INDEX($AN$1005:$BO$1005,1,MATCH(COLUMNS($AN$1006:AY1006),$AN$1006:$BO$1006,0))&gt;=100000), " ",IF(INDEX($AN$2:$BO$1001,MATCH(ROWS($AG$2:AG360),$AG$2:$AG$1001,0),MATCH(COLUMNS($AN$1006:AY1006),$AN$1006:$BO$1006,0)), HYPERLINK("#",""), HYPERLINK(CONCATENATE("#Metadata!", ADDRESS(INDEX($AI$2:$AI$1001,MATCH(ROWS($AG$2:AG360),$AG$2:$AG$1001,0),0), INDEX($AN$1004:$BO$1004,1,MATCH(COLUMNS($AN$1006:AY1006),$AN$1006:$BO$1006,0)))),"Fix")))</f>
        <v>0</v>
      </c>
      <c r="N360" s="4">
        <f>IF(OR(INDEX($AH$2:$AH$1001,MATCH(ROWS($AG$2:AG360),$AG$2:$AG$1001,0),1)&gt;=100000,INDEX($AN$1005:$BO$1005,1,MATCH(COLUMNS($AN$1006:AZ1006),$AN$1006:$BO$1006,0))&gt;=100000), " ",IF(INDEX($AN$2:$BO$1001,MATCH(ROWS($AG$2:AG360),$AG$2:$AG$1001,0),MATCH(COLUMNS($AN$1006:AZ1006),$AN$1006:$BO$1006,0)), HYPERLINK("#",""), HYPERLINK(CONCATENATE("#Metadata!", ADDRESS(INDEX($AI$2:$AI$1001,MATCH(ROWS($AG$2:AG360),$AG$2:$AG$1001,0),0), INDEX($AN$1004:$BO$1004,1,MATCH(COLUMNS($AN$1006:AZ1006),$AN$1006:$BO$1006,0)))),"Fix")))</f>
        <v>0</v>
      </c>
      <c r="O360" s="4">
        <f>IF(OR(INDEX($AH$2:$AH$1001,MATCH(ROWS($AG$2:AG360),$AG$2:$AG$1001,0),1)&gt;=100000,INDEX($AN$1005:$BO$1005,1,MATCH(COLUMNS($AN$1006:BA1006),$AN$1006:$BO$1006,0))&gt;=100000), " ",IF(INDEX($AN$2:$BO$1001,MATCH(ROWS($AG$2:AG360),$AG$2:$AG$1001,0),MATCH(COLUMNS($AN$1006:BA1006),$AN$1006:$BO$1006,0)), HYPERLINK("#",""), HYPERLINK(CONCATENATE("#Metadata!", ADDRESS(INDEX($AI$2:$AI$1001,MATCH(ROWS($AG$2:AG360),$AG$2:$AG$1001,0),0), INDEX($AN$1004:$BO$1004,1,MATCH(COLUMNS($AN$1006:BA1006),$AN$1006:$BO$1006,0)))),"Fix")))</f>
        <v>0</v>
      </c>
      <c r="P360" s="4">
        <f>IF(OR(INDEX($AH$2:$AH$1001,MATCH(ROWS($AG$2:AG360),$AG$2:$AG$1001,0),1)&gt;=100000,INDEX($AN$1005:$BO$1005,1,MATCH(COLUMNS($AN$1006:BB1006),$AN$1006:$BO$1006,0))&gt;=100000), " ",IF(INDEX($AN$2:$BO$1001,MATCH(ROWS($AG$2:AG360),$AG$2:$AG$1001,0),MATCH(COLUMNS($AN$1006:BB1006),$AN$1006:$BO$1006,0)), HYPERLINK("#",""), HYPERLINK(CONCATENATE("#Metadata!", ADDRESS(INDEX($AI$2:$AI$1001,MATCH(ROWS($AG$2:AG360),$AG$2:$AG$1001,0),0), INDEX($AN$1004:$BO$1004,1,MATCH(COLUMNS($AN$1006:BB1006),$AN$1006:$BO$1006,0)))),"Fix")))</f>
        <v>0</v>
      </c>
      <c r="Q360" s="4">
        <f>IF(OR(INDEX($AH$2:$AH$1001,MATCH(ROWS($AG$2:AG360),$AG$2:$AG$1001,0),1)&gt;=100000,INDEX($AN$1005:$BO$1005,1,MATCH(COLUMNS($AN$1006:BC1006),$AN$1006:$BO$1006,0))&gt;=100000), " ",IF(INDEX($AN$2:$BO$1001,MATCH(ROWS($AG$2:AG360),$AG$2:$AG$1001,0),MATCH(COLUMNS($AN$1006:BC1006),$AN$1006:$BO$1006,0)), HYPERLINK("#",""), HYPERLINK(CONCATENATE("#Metadata!", ADDRESS(INDEX($AI$2:$AI$1001,MATCH(ROWS($AG$2:AG360),$AG$2:$AG$1001,0),0), INDEX($AN$1004:$BO$1004,1,MATCH(COLUMNS($AN$1006:BC1006),$AN$1006:$BO$1006,0)))),"Fix")))</f>
        <v>0</v>
      </c>
      <c r="R360" s="4">
        <f>IF(OR(INDEX($AH$2:$AH$1001,MATCH(ROWS($AG$2:AG360),$AG$2:$AG$1001,0),1)&gt;=100000,INDEX($AN$1005:$BO$1005,1,MATCH(COLUMNS($AN$1006:BD1006),$AN$1006:$BO$1006,0))&gt;=100000), " ",IF(INDEX($AN$2:$BO$1001,MATCH(ROWS($AG$2:AG360),$AG$2:$AG$1001,0),MATCH(COLUMNS($AN$1006:BD1006),$AN$1006:$BO$1006,0)), HYPERLINK("#",""), HYPERLINK(CONCATENATE("#Metadata!", ADDRESS(INDEX($AI$2:$AI$1001,MATCH(ROWS($AG$2:AG360),$AG$2:$AG$1001,0),0), INDEX($AN$1004:$BO$1004,1,MATCH(COLUMNS($AN$1006:BD1006),$AN$1006:$BO$1006,0)))),"Fix")))</f>
        <v>0</v>
      </c>
      <c r="S360" s="4">
        <f>IF(OR(INDEX($AH$2:$AH$1001,MATCH(ROWS($AG$2:AG360),$AG$2:$AG$1001,0),1)&gt;=100000,INDEX($AN$1005:$BO$1005,1,MATCH(COLUMNS($AN$1006:BE1006),$AN$1006:$BO$1006,0))&gt;=100000), " ",IF(INDEX($AN$2:$BO$1001,MATCH(ROWS($AG$2:AG360),$AG$2:$AG$1001,0),MATCH(COLUMNS($AN$1006:BE1006),$AN$1006:$BO$1006,0)), HYPERLINK("#",""), HYPERLINK(CONCATENATE("#Metadata!", ADDRESS(INDEX($AI$2:$AI$1001,MATCH(ROWS($AG$2:AG360),$AG$2:$AG$1001,0),0), INDEX($AN$1004:$BO$1004,1,MATCH(COLUMNS($AN$1006:BE1006),$AN$1006:$BO$1006,0)))),"Fix")))</f>
        <v>0</v>
      </c>
      <c r="T360" s="4">
        <f>IF(OR(INDEX($AH$2:$AH$1001,MATCH(ROWS($AG$2:AG360),$AG$2:$AG$1001,0),1)&gt;=100000,INDEX($AN$1005:$BO$1005,1,MATCH(COLUMNS($AN$1006:BF1006),$AN$1006:$BO$1006,0))&gt;=100000), " ",IF(INDEX($AN$2:$BO$1001,MATCH(ROWS($AG$2:AG360),$AG$2:$AG$1001,0),MATCH(COLUMNS($AN$1006:BF1006),$AN$1006:$BO$1006,0)), HYPERLINK("#",""), HYPERLINK(CONCATENATE("#Metadata!", ADDRESS(INDEX($AI$2:$AI$1001,MATCH(ROWS($AG$2:AG360),$AG$2:$AG$1001,0),0), INDEX($AN$1004:$BO$1004,1,MATCH(COLUMNS($AN$1006:BF1006),$AN$1006:$BO$1006,0)))),"Fix")))</f>
        <v>0</v>
      </c>
      <c r="U360" s="4">
        <f>IF(OR(INDEX($AH$2:$AH$1001,MATCH(ROWS($AG$2:AG360),$AG$2:$AG$1001,0),1)&gt;=100000,INDEX($AN$1005:$BO$1005,1,MATCH(COLUMNS($AN$1006:BG1006),$AN$1006:$BO$1006,0))&gt;=100000), " ",IF(INDEX($AN$2:$BO$1001,MATCH(ROWS($AG$2:AG360),$AG$2:$AG$1001,0),MATCH(COLUMNS($AN$1006:BG1006),$AN$1006:$BO$1006,0)), HYPERLINK("#",""), HYPERLINK(CONCATENATE("#Metadata!", ADDRESS(INDEX($AI$2:$AI$1001,MATCH(ROWS($AG$2:AG360),$AG$2:$AG$1001,0),0), INDEX($AN$1004:$BO$1004,1,MATCH(COLUMNS($AN$1006:BG1006),$AN$1006:$BO$1006,0)))),"Fix")))</f>
        <v>0</v>
      </c>
      <c r="V360" s="4">
        <f>IF(OR(INDEX($AH$2:$AH$1001,MATCH(ROWS($AG$2:AG360),$AG$2:$AG$1001,0),1)&gt;=100000,INDEX($AN$1005:$BO$1005,1,MATCH(COLUMNS($AN$1006:BH1006),$AN$1006:$BO$1006,0))&gt;=100000), " ",IF(INDEX($AN$2:$BO$1001,MATCH(ROWS($AG$2:AG360),$AG$2:$AG$1001,0),MATCH(COLUMNS($AN$1006:BH1006),$AN$1006:$BO$1006,0)), HYPERLINK("#",""), HYPERLINK(CONCATENATE("#Metadata!", ADDRESS(INDEX($AI$2:$AI$1001,MATCH(ROWS($AG$2:AG360),$AG$2:$AG$1001,0),0), INDEX($AN$1004:$BO$1004,1,MATCH(COLUMNS($AN$1006:BH1006),$AN$1006:$BO$1006,0)))),"Fix")))</f>
        <v>0</v>
      </c>
      <c r="W360" s="4">
        <f>IF(OR(INDEX($AH$2:$AH$1001,MATCH(ROWS($AG$2:AG360),$AG$2:$AG$1001,0),1)&gt;=100000,INDEX($AN$1005:$BO$1005,1,MATCH(COLUMNS($AN$1006:BI1006),$AN$1006:$BO$1006,0))&gt;=100000), " ",IF(INDEX($AN$2:$BO$1001,MATCH(ROWS($AG$2:AG360),$AG$2:$AG$1001,0),MATCH(COLUMNS($AN$1006:BI1006),$AN$1006:$BO$1006,0)), HYPERLINK("#",""), HYPERLINK(CONCATENATE("#Metadata!", ADDRESS(INDEX($AI$2:$AI$1001,MATCH(ROWS($AG$2:AG360),$AG$2:$AG$1001,0),0), INDEX($AN$1004:$BO$1004,1,MATCH(COLUMNS($AN$1006:BI1006),$AN$1006:$BO$1006,0)))),"Fix")))</f>
        <v>0</v>
      </c>
      <c r="X360" s="4">
        <f>IF(OR(INDEX($AH$2:$AH$1001,MATCH(ROWS($AG$2:AG360),$AG$2:$AG$1001,0),1)&gt;=100000,INDEX($AN$1005:$BO$1005,1,MATCH(COLUMNS($AN$1006:BJ1006),$AN$1006:$BO$1006,0))&gt;=100000), " ",IF(INDEX($AN$2:$BO$1001,MATCH(ROWS($AG$2:AG360),$AG$2:$AG$1001,0),MATCH(COLUMNS($AN$1006:BJ1006),$AN$1006:$BO$1006,0)), HYPERLINK("#",""), HYPERLINK(CONCATENATE("#Metadata!", ADDRESS(INDEX($AI$2:$AI$1001,MATCH(ROWS($AG$2:AG360),$AG$2:$AG$1001,0),0), INDEX($AN$1004:$BO$1004,1,MATCH(COLUMNS($AN$1006:BJ1006),$AN$1006:$BO$1006,0)))),"Fix")))</f>
        <v>0</v>
      </c>
      <c r="Y360" s="4">
        <f>IF(OR(INDEX($AH$2:$AH$1001,MATCH(ROWS($AG$2:AG360),$AG$2:$AG$1001,0),1)&gt;=100000,INDEX($AN$1005:$BO$1005,1,MATCH(COLUMNS($AN$1006:BK1006),$AN$1006:$BO$1006,0))&gt;=100000), " ",IF(INDEX($AN$2:$BO$1001,MATCH(ROWS($AG$2:AG360),$AG$2:$AG$1001,0),MATCH(COLUMNS($AN$1006:BK1006),$AN$1006:$BO$1006,0)), HYPERLINK("#",""), HYPERLINK(CONCATENATE("#Metadata!", ADDRESS(INDEX($AI$2:$AI$1001,MATCH(ROWS($AG$2:AG360),$AG$2:$AG$1001,0),0), INDEX($AN$1004:$BO$1004,1,MATCH(COLUMNS($AN$1006:BK1006),$AN$1006:$BO$1006,0)))),"Fix")))</f>
        <v>0</v>
      </c>
      <c r="Z360" s="4">
        <f>IF(OR(INDEX($AH$2:$AH$1001,MATCH(ROWS($AG$2:AG360),$AG$2:$AG$1001,0),1)&gt;=100000,INDEX($AN$1005:$BO$1005,1,MATCH(COLUMNS($AN$1006:BL1006),$AN$1006:$BO$1006,0))&gt;=100000), " ",IF(INDEX($AN$2:$BO$1001,MATCH(ROWS($AG$2:AG360),$AG$2:$AG$1001,0),MATCH(COLUMNS($AN$1006:BL1006),$AN$1006:$BO$1006,0)), HYPERLINK("#",""), HYPERLINK(CONCATENATE("#Metadata!", ADDRESS(INDEX($AI$2:$AI$1001,MATCH(ROWS($AG$2:AG360),$AG$2:$AG$1001,0),0), INDEX($AN$1004:$BO$1004,1,MATCH(COLUMNS($AN$1006:BL1006),$AN$1006:$BO$1006,0)))),"Fix")))</f>
        <v>0</v>
      </c>
      <c r="AA360" s="4">
        <f>IF(OR(INDEX($AH$2:$AH$1001,MATCH(ROWS($AG$2:AG360),$AG$2:$AG$1001,0),1)&gt;=100000,INDEX($AN$1005:$BO$1005,1,MATCH(COLUMNS($AN$1006:BM1006),$AN$1006:$BO$1006,0))&gt;=100000), " ",IF(INDEX($AN$2:$BO$1001,MATCH(ROWS($AG$2:AG360),$AG$2:$AG$1001,0),MATCH(COLUMNS($AN$1006:BM1006),$AN$1006:$BO$1006,0)), HYPERLINK("#",""), HYPERLINK(CONCATENATE("#Metadata!", ADDRESS(INDEX($AI$2:$AI$1001,MATCH(ROWS($AG$2:AG360),$AG$2:$AG$1001,0),0), INDEX($AN$1004:$BO$1004,1,MATCH(COLUMNS($AN$1006:BM1006),$AN$1006:$BO$1006,0)))),"Fix")))</f>
        <v>0</v>
      </c>
      <c r="AB360" s="4">
        <f>IF(OR(INDEX($AH$2:$AH$1001,MATCH(ROWS($AG$2:AG360),$AG$2:$AG$1001,0),1)&gt;=100000,INDEX($AN$1005:$BO$1005,1,MATCH(COLUMNS($AN$1006:BN1006),$AN$1006:$BO$1006,0))&gt;=100000), " ",IF(INDEX($AN$2:$BO$1001,MATCH(ROWS($AG$2:AG360),$AG$2:$AG$1001,0),MATCH(COLUMNS($AN$1006:BN1006),$AN$1006:$BO$1006,0)), HYPERLINK("#",""), HYPERLINK(CONCATENATE("#Metadata!", ADDRESS(INDEX($AI$2:$AI$1001,MATCH(ROWS($AG$2:AG360),$AG$2:$AG$1001,0),0), INDEX($AN$1004:$BO$1004,1,MATCH(COLUMNS($AN$1006:BN1006),$AN$1006:$BO$1006,0)))),"Fix")))</f>
        <v>0</v>
      </c>
      <c r="AC360" s="4">
        <f>IF(OR(INDEX($AH$2:$AH$1001,MATCH(ROWS($AG$2:AG360),$AG$2:$AG$1001,0),1)&gt;=100000,INDEX($AN$1005:$BO$1005,1,MATCH(COLUMNS($AN$1006:BO1006),$AN$1006:$BO$1006,0))&gt;=100000), " ",IF(INDEX($AN$2:$BO$1001,MATCH(ROWS($AG$2:AG360),$AG$2:$AG$1001,0),MATCH(COLUMNS($AN$1006:BO1006),$AN$1006:$BO$1006,0)), HYPERLINK("#",""), HYPERLINK(CONCATENATE("#Metadata!", ADDRESS(INDEX($AI$2:$AI$1001,MATCH(ROWS($AG$2:AG360),$AG$2:$AG$1001,0),0), INDEX($AN$1004:$BO$1004,1,MATCH(COLUMNS($AN$1006:BO1006),$AN$1006:$BO$1006,0)))),"Fix")))</f>
        <v>0</v>
      </c>
      <c r="AG360">
        <v>0</v>
      </c>
      <c r="AH360">
        <v>0</v>
      </c>
      <c r="AI360">
        <v>0</v>
      </c>
      <c r="AJ360">
        <f>IF(AK360,TRUE,AND(AN360:BO360))</f>
        <v>0</v>
      </c>
      <c r="AK360">
        <f>COUNTBLANK(Metadata!B360:AC360)=COLUMNS(Metadata!B360:AC360)</f>
        <v>0</v>
      </c>
      <c r="AL360">
        <v>0</v>
      </c>
      <c r="AN360">
        <f>AND(IF(Metadata!B360="",FALSE,TRUE),COUNTIF(Metadata!B:B, Metadata!B360) = 1,NOT(ISERROR(SUMPRODUCT(SEARCH(MID(Metadata!B360,ROW(INDIRECT("1:"&amp;LEN(Metadata!B360))), 1),"0123456789abcdefghijklmnopqrstuvwxyzABCDEFGHIJKLMNOPQRSTUVWXYZ.")))))</f>
        <v>0</v>
      </c>
      <c r="AO360">
        <f>IF(Metadata!C360="",FALSE,TRUE)</f>
        <v>0</v>
      </c>
      <c r="AP360">
        <f>IF(Metadata!D360="",FALSE,TRUE)</f>
        <v>0</v>
      </c>
      <c r="AQ360">
        <f>OR(AND(IF(Metadata!E360="",FALSE,TRUE),OR(exact(Metadata!E360,"not collected"),exact(Metadata!E360,"not provided"),exact(Metadata!E360,"restricted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R360">
        <f>IF(Metadata!F360="",FALSE,TRUE)</f>
        <v>0</v>
      </c>
      <c r="AS360">
        <f>OR(AND(IF(Metadata!G360="",FALSE,TRUE),OR(exact(Metadata!G360,"not collected"),exact(Metadata!G360,"not provided"))),AND(IF(Metadata!G360="",FALSE,TRUE),OR(exact(Metadata!G360,"TRUE"),exact(Metadata!G360,"FALSE"))))</f>
        <v>0</v>
      </c>
      <c r="AT360">
        <f>OR(AND(IF(Metadata!H360="",FALSE,TRUE),OR(exact(Metadata!H360,"not collected"),exact(Metadata!H360,"not provided"),exact(Metadata!H360,"restricted access"))),AND(IF(Metadata!H360="",FALSE,ISNUMBER(VALUE(Metadata!H360))),Metadata!H360&gt;=-413.0))</f>
        <v>0</v>
      </c>
      <c r="AU360">
        <f>AND(IF(Metadata!I360="",FALSE,TRUE),exact(Metadata!I360,"meters"))</f>
        <v>0</v>
      </c>
      <c r="AV360">
        <f>AND(IF(Metadata!J360="",FALSE,TRUE),OR(exact(Metadata!J360,"Host-associated"),exact(Metadata!J360,"Free-living")))</f>
        <v>0</v>
      </c>
      <c r="AW360">
        <f>AND(IF(Metadata!K360="",FALSE,TRUE),OR(exact(Metadata!K360,"Animal"),exact(Metadata!K360,"Fungus"),exact(Metadata!K360,"Plant"),exact(Metadata!K360,"Saline"),exact(Metadata!K360,"Non-saline")))</f>
        <v>0</v>
      </c>
      <c r="AX360">
        <f>AND(IF(Metadata!L360="",FALSE,TRUE),OR(exact(Metadata!L360,"Plant secretion"),exact(Metadata!L360,"Plant rhizosphere"),exact(Metadata!L360,"Plant surface"),exact(Metadata!L360,"Plant corpus"),exact(Metadata!L360,"Fungus surface"),exact(Metadata!L360,"Fungus corpus"),exact(Metadata!L360,"Animal surface"),exact(Metadata!L360,"Animal proximal gut"),exact(Metadata!L360,"Animal corpus"),exact(Metadata!L360,"Animal distal gut"),exact(Metadata!L360,"Animal secretion"),exact(Metadata!L360,"Sub-surface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Y360">
        <f>IF(Metadata!M360="",FALSE,TRUE)</f>
        <v>0</v>
      </c>
      <c r="AZ360">
        <f>IF(Metadata!N360="",FALSE,TRUE)</f>
        <v>0</v>
      </c>
      <c r="BA360">
        <f>IF(Metadata!O360="",FALSE,TRUE)</f>
        <v>0</v>
      </c>
      <c r="BB360">
        <f>OR(AND(IF(Metadata!P360="",FALSE,TRUE),OR(exact(Metadata!P360,"not collected"),exact(Metadata!P360,"not provided"),exact(Metadata!P360,"restricted access"))),AND(IF(Metadata!P360="",FALSE,TRUE),OR(exact(Metadata!P360,"air"),exact(Metadata!P360,"built environment"),exact(Metadata!P360,"host-associated"),exact(Metadata!P360,"human-associated"),exact(Metadata!P360,"human-skin"),exact(Metadata!P360,"human-oral"),exact(Metadata!P360,"human-gut"),exact(Metadata!P360,"human-vaginal"),exact(Metadata!P360,"microbial mat/biofilm"),exact(Metadata!P360,"misc environment"),exact(Metadata!P360,"plant-associated"),exact(Metadata!P360,"sediment"),exact(Metadata!P360,"soil"),exact(Metadata!P360,"wastewater/sludge"),exact(Metadata!P360,"water"))))</f>
        <v>0</v>
      </c>
      <c r="BC360">
        <f>IF(Metadata!Q360="",FALSE,TRUE)</f>
        <v>0</v>
      </c>
      <c r="BD360">
        <f>IF(Metadata!R360="",FALSE,TRUE)</f>
        <v>0</v>
      </c>
      <c r="BE360">
        <f>OR(AND(IF(Metadata!S360="",FALSE,TRUE),OR(exact(Metadata!S360,"not collected"),exact(Metadata!S360,"not provided"),exact(Metadata!S360,"restricted access"))),AND(IF(Metadata!S360="",FALSE,ISNUMBER(VALUE(Metadata!S360))),Metadata!S360&gt;=-90.00,Metadata!S360&lt;=90.00))</f>
        <v>0</v>
      </c>
      <c r="BF360">
        <f>AND(IF(Metadata!T360="",FALSE,TRUE),exact(Metadata!T360,"Decimal degrees"))</f>
        <v>0</v>
      </c>
      <c r="BG360">
        <f>OR(AND(IF(Metadata!U360="",FALSE,TRUE),OR(exact(Metadata!U360,"not collected"),exact(Metadata!U360,"not provided"),exact(Metadata!U360,"restricted access"))),AND(IF(Metadata!U360="",FALSE,ISNUMBER(VALUE(Metadata!U360))),Metadata!U360&gt;=-180.00,Metadata!U360&lt;=180.00))</f>
        <v>0</v>
      </c>
      <c r="BH360">
        <f>AND(IF(Metadata!V360="",FALSE,TRUE),exact(Metadata!V360,"Decimal degrees"))</f>
        <v>0</v>
      </c>
      <c r="BI360">
        <f>IF(Metadata!W360="",FALSE,TRUE)</f>
        <v>0</v>
      </c>
      <c r="BJ360">
        <f>OR(AND(IF(Metadata!X360="",FALSE,TRUE),OR(exact(Metadata!X360,"not collected"),exact(Metadata!X360,"not provided"),exact(Metadata!X360,"restricted access"))),AND(IF(Metadata!X360="",FALSE,TRUE),OR(exact(Metadata!X360,"TRUE"),exact(Metadata!X360,"FALSE"))))</f>
        <v>0</v>
      </c>
      <c r="BK360">
        <f>AND(IF(Metadata!Y360="",FALSE,TRUE),exact(Metadata!Y360,"other"))</f>
        <v>0</v>
      </c>
      <c r="BL360">
        <f>IF(Metadata!Z360="",FALSE,TRUE)</f>
        <v>0</v>
      </c>
      <c r="BM360">
        <f>OR(AND(IF(Metadata!AA360="",FALSE,TRUE),OR(exact(Metadata!AA360,"not collected"),exact(Metadata!AA360,"not provided"))),AND(IF(Metadata!AA360="",FALSE,IF(ISERROR(INT(Metadata!AA360)),FALSE,INT(Metadata!AA360)=Metadata!AA360)),Metadata!AA360&gt;0))</f>
        <v>0</v>
      </c>
      <c r="BN360">
        <f>AND(IF(Metadata!AB360="",FALSE,TRUE),exact(Metadata!AB360,"Not applicable"))</f>
        <v>0</v>
      </c>
      <c r="BO360">
        <f>IF(Metadata!AC360="",FALSE,TRUE)</f>
        <v>0</v>
      </c>
    </row>
    <row r="361" spans="1:67">
      <c r="A361" s="5">
        <f>IF(B361=" "," ",HYPERLINK(CONCATENATE("#metadata!",ADDRESS(INDEX($AI$2:$AI$1001,MATCH(ROWS($AG$2:AG361),$AG$2:$AG$1001,0),0),1)),INDEX($AL$2:$AL$1001,MATCH(ROWS($AG$2:AG361),$AG$2:$AG$1001,0),0)))</f>
        <v>0</v>
      </c>
      <c r="B361" s="4">
        <f>IF(OR(INDEX($AH$2:$AH$1001,MATCH(ROWS($AG$2:AG361),$AG$2:$AG$1001,0),1)&gt;=100000,INDEX($AN$1005:$BO$1005,1,MATCH(COLUMNS($AN$1006:AN1006),$AN$1006:$BO$1006,0))&gt;=100000), " ",IF(INDEX($AN$2:$BO$1001,MATCH(ROWS($AG$2:AG361),$AG$2:$AG$1001,0),MATCH(COLUMNS($AN$1006:AN1006),$AN$1006:$BO$1006,0)), HYPERLINK("#",""), HYPERLINK(CONCATENATE("#Metadata!", ADDRESS(INDEX($AI$2:$AI$1001,MATCH(ROWS($AG$2:AG361),$AG$2:$AG$1001,0),0), INDEX($AN$1004:$BO$1004,1,MATCH(COLUMNS($AN$1006:AN1006),$AN$1006:$BO$1006,0)))),"Fix")))</f>
        <v>0</v>
      </c>
      <c r="C361" s="4">
        <f>IF(OR(INDEX($AH$2:$AH$1001,MATCH(ROWS($AG$2:AG361),$AG$2:$AG$1001,0),1)&gt;=100000,INDEX($AN$1005:$BO$1005,1,MATCH(COLUMNS($AN$1006:AO1006),$AN$1006:$BO$1006,0))&gt;=100000), " ",IF(INDEX($AN$2:$BO$1001,MATCH(ROWS($AG$2:AG361),$AG$2:$AG$1001,0),MATCH(COLUMNS($AN$1006:AO1006),$AN$1006:$BO$1006,0)), HYPERLINK("#",""), HYPERLINK(CONCATENATE("#Metadata!", ADDRESS(INDEX($AI$2:$AI$1001,MATCH(ROWS($AG$2:AG361),$AG$2:$AG$1001,0),0), INDEX($AN$1004:$BO$1004,1,MATCH(COLUMNS($AN$1006:AO1006),$AN$1006:$BO$1006,0)))),"Fix")))</f>
        <v>0</v>
      </c>
      <c r="D361" s="4">
        <f>IF(OR(INDEX($AH$2:$AH$1001,MATCH(ROWS($AG$2:AG361),$AG$2:$AG$1001,0),1)&gt;=100000,INDEX($AN$1005:$BO$1005,1,MATCH(COLUMNS($AN$1006:AP1006),$AN$1006:$BO$1006,0))&gt;=100000), " ",IF(INDEX($AN$2:$BO$1001,MATCH(ROWS($AG$2:AG361),$AG$2:$AG$1001,0),MATCH(COLUMNS($AN$1006:AP1006),$AN$1006:$BO$1006,0)), HYPERLINK("#",""), HYPERLINK(CONCATENATE("#Metadata!", ADDRESS(INDEX($AI$2:$AI$1001,MATCH(ROWS($AG$2:AG361),$AG$2:$AG$1001,0),0), INDEX($AN$1004:$BO$1004,1,MATCH(COLUMNS($AN$1006:AP1006),$AN$1006:$BO$1006,0)))),"Fix")))</f>
        <v>0</v>
      </c>
      <c r="E361" s="4">
        <f>IF(OR(INDEX($AH$2:$AH$1001,MATCH(ROWS($AG$2:AG361),$AG$2:$AG$1001,0),1)&gt;=100000,INDEX($AN$1005:$BO$1005,1,MATCH(COLUMNS($AN$1006:AQ1006),$AN$1006:$BO$1006,0))&gt;=100000), " ",IF(INDEX($AN$2:$BO$1001,MATCH(ROWS($AG$2:AG361),$AG$2:$AG$1001,0),MATCH(COLUMNS($AN$1006:AQ1006),$AN$1006:$BO$1006,0)), HYPERLINK("#",""), HYPERLINK(CONCATENATE("#Metadata!", ADDRESS(INDEX($AI$2:$AI$1001,MATCH(ROWS($AG$2:AG361),$AG$2:$AG$1001,0),0), INDEX($AN$1004:$BO$1004,1,MATCH(COLUMNS($AN$1006:AQ1006),$AN$1006:$BO$1006,0)))),"Fix")))</f>
        <v>0</v>
      </c>
      <c r="F361" s="4">
        <f>IF(OR(INDEX($AH$2:$AH$1001,MATCH(ROWS($AG$2:AG361),$AG$2:$AG$1001,0),1)&gt;=100000,INDEX($AN$1005:$BO$1005,1,MATCH(COLUMNS($AN$1006:AR1006),$AN$1006:$BO$1006,0))&gt;=100000), " ",IF(INDEX($AN$2:$BO$1001,MATCH(ROWS($AG$2:AG361),$AG$2:$AG$1001,0),MATCH(COLUMNS($AN$1006:AR1006),$AN$1006:$BO$1006,0)), HYPERLINK("#",""), HYPERLINK(CONCATENATE("#Metadata!", ADDRESS(INDEX($AI$2:$AI$1001,MATCH(ROWS($AG$2:AG361),$AG$2:$AG$1001,0),0), INDEX($AN$1004:$BO$1004,1,MATCH(COLUMNS($AN$1006:AR1006),$AN$1006:$BO$1006,0)))),"Fix")))</f>
        <v>0</v>
      </c>
      <c r="G361" s="4">
        <f>IF(OR(INDEX($AH$2:$AH$1001,MATCH(ROWS($AG$2:AG361),$AG$2:$AG$1001,0),1)&gt;=100000,INDEX($AN$1005:$BO$1005,1,MATCH(COLUMNS($AN$1006:AS1006),$AN$1006:$BO$1006,0))&gt;=100000), " ",IF(INDEX($AN$2:$BO$1001,MATCH(ROWS($AG$2:AG361),$AG$2:$AG$1001,0),MATCH(COLUMNS($AN$1006:AS1006),$AN$1006:$BO$1006,0)), HYPERLINK("#",""), HYPERLINK(CONCATENATE("#Metadata!", ADDRESS(INDEX($AI$2:$AI$1001,MATCH(ROWS($AG$2:AG361),$AG$2:$AG$1001,0),0), INDEX($AN$1004:$BO$1004,1,MATCH(COLUMNS($AN$1006:AS1006),$AN$1006:$BO$1006,0)))),"Fix")))</f>
        <v>0</v>
      </c>
      <c r="H361" s="4">
        <f>IF(OR(INDEX($AH$2:$AH$1001,MATCH(ROWS($AG$2:AG361),$AG$2:$AG$1001,0),1)&gt;=100000,INDEX($AN$1005:$BO$1005,1,MATCH(COLUMNS($AN$1006:AT1006),$AN$1006:$BO$1006,0))&gt;=100000), " ",IF(INDEX($AN$2:$BO$1001,MATCH(ROWS($AG$2:AG361),$AG$2:$AG$1001,0),MATCH(COLUMNS($AN$1006:AT1006),$AN$1006:$BO$1006,0)), HYPERLINK("#",""), HYPERLINK(CONCATENATE("#Metadata!", ADDRESS(INDEX($AI$2:$AI$1001,MATCH(ROWS($AG$2:AG361),$AG$2:$AG$1001,0),0), INDEX($AN$1004:$BO$1004,1,MATCH(COLUMNS($AN$1006:AT1006),$AN$1006:$BO$1006,0)))),"Fix")))</f>
        <v>0</v>
      </c>
      <c r="I361" s="4">
        <f>IF(OR(INDEX($AH$2:$AH$1001,MATCH(ROWS($AG$2:AG361),$AG$2:$AG$1001,0),1)&gt;=100000,INDEX($AN$1005:$BO$1005,1,MATCH(COLUMNS($AN$1006:AU1006),$AN$1006:$BO$1006,0))&gt;=100000), " ",IF(INDEX($AN$2:$BO$1001,MATCH(ROWS($AG$2:AG361),$AG$2:$AG$1001,0),MATCH(COLUMNS($AN$1006:AU1006),$AN$1006:$BO$1006,0)), HYPERLINK("#",""), HYPERLINK(CONCATENATE("#Metadata!", ADDRESS(INDEX($AI$2:$AI$1001,MATCH(ROWS($AG$2:AG361),$AG$2:$AG$1001,0),0), INDEX($AN$1004:$BO$1004,1,MATCH(COLUMNS($AN$1006:AU1006),$AN$1006:$BO$1006,0)))),"Fix")))</f>
        <v>0</v>
      </c>
      <c r="J361" s="4">
        <f>IF(OR(INDEX($AH$2:$AH$1001,MATCH(ROWS($AG$2:AG361),$AG$2:$AG$1001,0),1)&gt;=100000,INDEX($AN$1005:$BO$1005,1,MATCH(COLUMNS($AN$1006:AV1006),$AN$1006:$BO$1006,0))&gt;=100000), " ",IF(INDEX($AN$2:$BO$1001,MATCH(ROWS($AG$2:AG361),$AG$2:$AG$1001,0),MATCH(COLUMNS($AN$1006:AV1006),$AN$1006:$BO$1006,0)), HYPERLINK("#",""), HYPERLINK(CONCATENATE("#Metadata!", ADDRESS(INDEX($AI$2:$AI$1001,MATCH(ROWS($AG$2:AG361),$AG$2:$AG$1001,0),0), INDEX($AN$1004:$BO$1004,1,MATCH(COLUMNS($AN$1006:AV1006),$AN$1006:$BO$1006,0)))),"Fix")))</f>
        <v>0</v>
      </c>
      <c r="K361" s="4">
        <f>IF(OR(INDEX($AH$2:$AH$1001,MATCH(ROWS($AG$2:AG361),$AG$2:$AG$1001,0),1)&gt;=100000,INDEX($AN$1005:$BO$1005,1,MATCH(COLUMNS($AN$1006:AW1006),$AN$1006:$BO$1006,0))&gt;=100000), " ",IF(INDEX($AN$2:$BO$1001,MATCH(ROWS($AG$2:AG361),$AG$2:$AG$1001,0),MATCH(COLUMNS($AN$1006:AW1006),$AN$1006:$BO$1006,0)), HYPERLINK("#",""), HYPERLINK(CONCATENATE("#Metadata!", ADDRESS(INDEX($AI$2:$AI$1001,MATCH(ROWS($AG$2:AG361),$AG$2:$AG$1001,0),0), INDEX($AN$1004:$BO$1004,1,MATCH(COLUMNS($AN$1006:AW1006),$AN$1006:$BO$1006,0)))),"Fix")))</f>
        <v>0</v>
      </c>
      <c r="L361" s="4">
        <f>IF(OR(INDEX($AH$2:$AH$1001,MATCH(ROWS($AG$2:AG361),$AG$2:$AG$1001,0),1)&gt;=100000,INDEX($AN$1005:$BO$1005,1,MATCH(COLUMNS($AN$1006:AX1006),$AN$1006:$BO$1006,0))&gt;=100000), " ",IF(INDEX($AN$2:$BO$1001,MATCH(ROWS($AG$2:AG361),$AG$2:$AG$1001,0),MATCH(COLUMNS($AN$1006:AX1006),$AN$1006:$BO$1006,0)), HYPERLINK("#",""), HYPERLINK(CONCATENATE("#Metadata!", ADDRESS(INDEX($AI$2:$AI$1001,MATCH(ROWS($AG$2:AG361),$AG$2:$AG$1001,0),0), INDEX($AN$1004:$BO$1004,1,MATCH(COLUMNS($AN$1006:AX1006),$AN$1006:$BO$1006,0)))),"Fix")))</f>
        <v>0</v>
      </c>
      <c r="M361" s="4">
        <f>IF(OR(INDEX($AH$2:$AH$1001,MATCH(ROWS($AG$2:AG361),$AG$2:$AG$1001,0),1)&gt;=100000,INDEX($AN$1005:$BO$1005,1,MATCH(COLUMNS($AN$1006:AY1006),$AN$1006:$BO$1006,0))&gt;=100000), " ",IF(INDEX($AN$2:$BO$1001,MATCH(ROWS($AG$2:AG361),$AG$2:$AG$1001,0),MATCH(COLUMNS($AN$1006:AY1006),$AN$1006:$BO$1006,0)), HYPERLINK("#",""), HYPERLINK(CONCATENATE("#Metadata!", ADDRESS(INDEX($AI$2:$AI$1001,MATCH(ROWS($AG$2:AG361),$AG$2:$AG$1001,0),0), INDEX($AN$1004:$BO$1004,1,MATCH(COLUMNS($AN$1006:AY1006),$AN$1006:$BO$1006,0)))),"Fix")))</f>
        <v>0</v>
      </c>
      <c r="N361" s="4">
        <f>IF(OR(INDEX($AH$2:$AH$1001,MATCH(ROWS($AG$2:AG361),$AG$2:$AG$1001,0),1)&gt;=100000,INDEX($AN$1005:$BO$1005,1,MATCH(COLUMNS($AN$1006:AZ1006),$AN$1006:$BO$1006,0))&gt;=100000), " ",IF(INDEX($AN$2:$BO$1001,MATCH(ROWS($AG$2:AG361),$AG$2:$AG$1001,0),MATCH(COLUMNS($AN$1006:AZ1006),$AN$1006:$BO$1006,0)), HYPERLINK("#",""), HYPERLINK(CONCATENATE("#Metadata!", ADDRESS(INDEX($AI$2:$AI$1001,MATCH(ROWS($AG$2:AG361),$AG$2:$AG$1001,0),0), INDEX($AN$1004:$BO$1004,1,MATCH(COLUMNS($AN$1006:AZ1006),$AN$1006:$BO$1006,0)))),"Fix")))</f>
        <v>0</v>
      </c>
      <c r="O361" s="4">
        <f>IF(OR(INDEX($AH$2:$AH$1001,MATCH(ROWS($AG$2:AG361),$AG$2:$AG$1001,0),1)&gt;=100000,INDEX($AN$1005:$BO$1005,1,MATCH(COLUMNS($AN$1006:BA1006),$AN$1006:$BO$1006,0))&gt;=100000), " ",IF(INDEX($AN$2:$BO$1001,MATCH(ROWS($AG$2:AG361),$AG$2:$AG$1001,0),MATCH(COLUMNS($AN$1006:BA1006),$AN$1006:$BO$1006,0)), HYPERLINK("#",""), HYPERLINK(CONCATENATE("#Metadata!", ADDRESS(INDEX($AI$2:$AI$1001,MATCH(ROWS($AG$2:AG361),$AG$2:$AG$1001,0),0), INDEX($AN$1004:$BO$1004,1,MATCH(COLUMNS($AN$1006:BA1006),$AN$1006:$BO$1006,0)))),"Fix")))</f>
        <v>0</v>
      </c>
      <c r="P361" s="4">
        <f>IF(OR(INDEX($AH$2:$AH$1001,MATCH(ROWS($AG$2:AG361),$AG$2:$AG$1001,0),1)&gt;=100000,INDEX($AN$1005:$BO$1005,1,MATCH(COLUMNS($AN$1006:BB1006),$AN$1006:$BO$1006,0))&gt;=100000), " ",IF(INDEX($AN$2:$BO$1001,MATCH(ROWS($AG$2:AG361),$AG$2:$AG$1001,0),MATCH(COLUMNS($AN$1006:BB1006),$AN$1006:$BO$1006,0)), HYPERLINK("#",""), HYPERLINK(CONCATENATE("#Metadata!", ADDRESS(INDEX($AI$2:$AI$1001,MATCH(ROWS($AG$2:AG361),$AG$2:$AG$1001,0),0), INDEX($AN$1004:$BO$1004,1,MATCH(COLUMNS($AN$1006:BB1006),$AN$1006:$BO$1006,0)))),"Fix")))</f>
        <v>0</v>
      </c>
      <c r="Q361" s="4">
        <f>IF(OR(INDEX($AH$2:$AH$1001,MATCH(ROWS($AG$2:AG361),$AG$2:$AG$1001,0),1)&gt;=100000,INDEX($AN$1005:$BO$1005,1,MATCH(COLUMNS($AN$1006:BC1006),$AN$1006:$BO$1006,0))&gt;=100000), " ",IF(INDEX($AN$2:$BO$1001,MATCH(ROWS($AG$2:AG361),$AG$2:$AG$1001,0),MATCH(COLUMNS($AN$1006:BC1006),$AN$1006:$BO$1006,0)), HYPERLINK("#",""), HYPERLINK(CONCATENATE("#Metadata!", ADDRESS(INDEX($AI$2:$AI$1001,MATCH(ROWS($AG$2:AG361),$AG$2:$AG$1001,0),0), INDEX($AN$1004:$BO$1004,1,MATCH(COLUMNS($AN$1006:BC1006),$AN$1006:$BO$1006,0)))),"Fix")))</f>
        <v>0</v>
      </c>
      <c r="R361" s="4">
        <f>IF(OR(INDEX($AH$2:$AH$1001,MATCH(ROWS($AG$2:AG361),$AG$2:$AG$1001,0),1)&gt;=100000,INDEX($AN$1005:$BO$1005,1,MATCH(COLUMNS($AN$1006:BD1006),$AN$1006:$BO$1006,0))&gt;=100000), " ",IF(INDEX($AN$2:$BO$1001,MATCH(ROWS($AG$2:AG361),$AG$2:$AG$1001,0),MATCH(COLUMNS($AN$1006:BD1006),$AN$1006:$BO$1006,0)), HYPERLINK("#",""), HYPERLINK(CONCATENATE("#Metadata!", ADDRESS(INDEX($AI$2:$AI$1001,MATCH(ROWS($AG$2:AG361),$AG$2:$AG$1001,0),0), INDEX($AN$1004:$BO$1004,1,MATCH(COLUMNS($AN$1006:BD1006),$AN$1006:$BO$1006,0)))),"Fix")))</f>
        <v>0</v>
      </c>
      <c r="S361" s="4">
        <f>IF(OR(INDEX($AH$2:$AH$1001,MATCH(ROWS($AG$2:AG361),$AG$2:$AG$1001,0),1)&gt;=100000,INDEX($AN$1005:$BO$1005,1,MATCH(COLUMNS($AN$1006:BE1006),$AN$1006:$BO$1006,0))&gt;=100000), " ",IF(INDEX($AN$2:$BO$1001,MATCH(ROWS($AG$2:AG361),$AG$2:$AG$1001,0),MATCH(COLUMNS($AN$1006:BE1006),$AN$1006:$BO$1006,0)), HYPERLINK("#",""), HYPERLINK(CONCATENATE("#Metadata!", ADDRESS(INDEX($AI$2:$AI$1001,MATCH(ROWS($AG$2:AG361),$AG$2:$AG$1001,0),0), INDEX($AN$1004:$BO$1004,1,MATCH(COLUMNS($AN$1006:BE1006),$AN$1006:$BO$1006,0)))),"Fix")))</f>
        <v>0</v>
      </c>
      <c r="T361" s="4">
        <f>IF(OR(INDEX($AH$2:$AH$1001,MATCH(ROWS($AG$2:AG361),$AG$2:$AG$1001,0),1)&gt;=100000,INDEX($AN$1005:$BO$1005,1,MATCH(COLUMNS($AN$1006:BF1006),$AN$1006:$BO$1006,0))&gt;=100000), " ",IF(INDEX($AN$2:$BO$1001,MATCH(ROWS($AG$2:AG361),$AG$2:$AG$1001,0),MATCH(COLUMNS($AN$1006:BF1006),$AN$1006:$BO$1006,0)), HYPERLINK("#",""), HYPERLINK(CONCATENATE("#Metadata!", ADDRESS(INDEX($AI$2:$AI$1001,MATCH(ROWS($AG$2:AG361),$AG$2:$AG$1001,0),0), INDEX($AN$1004:$BO$1004,1,MATCH(COLUMNS($AN$1006:BF1006),$AN$1006:$BO$1006,0)))),"Fix")))</f>
        <v>0</v>
      </c>
      <c r="U361" s="4">
        <f>IF(OR(INDEX($AH$2:$AH$1001,MATCH(ROWS($AG$2:AG361),$AG$2:$AG$1001,0),1)&gt;=100000,INDEX($AN$1005:$BO$1005,1,MATCH(COLUMNS($AN$1006:BG1006),$AN$1006:$BO$1006,0))&gt;=100000), " ",IF(INDEX($AN$2:$BO$1001,MATCH(ROWS($AG$2:AG361),$AG$2:$AG$1001,0),MATCH(COLUMNS($AN$1006:BG1006),$AN$1006:$BO$1006,0)), HYPERLINK("#",""), HYPERLINK(CONCATENATE("#Metadata!", ADDRESS(INDEX($AI$2:$AI$1001,MATCH(ROWS($AG$2:AG361),$AG$2:$AG$1001,0),0), INDEX($AN$1004:$BO$1004,1,MATCH(COLUMNS($AN$1006:BG1006),$AN$1006:$BO$1006,0)))),"Fix")))</f>
        <v>0</v>
      </c>
      <c r="V361" s="4">
        <f>IF(OR(INDEX($AH$2:$AH$1001,MATCH(ROWS($AG$2:AG361),$AG$2:$AG$1001,0),1)&gt;=100000,INDEX($AN$1005:$BO$1005,1,MATCH(COLUMNS($AN$1006:BH1006),$AN$1006:$BO$1006,0))&gt;=100000), " ",IF(INDEX($AN$2:$BO$1001,MATCH(ROWS($AG$2:AG361),$AG$2:$AG$1001,0),MATCH(COLUMNS($AN$1006:BH1006),$AN$1006:$BO$1006,0)), HYPERLINK("#",""), HYPERLINK(CONCATENATE("#Metadata!", ADDRESS(INDEX($AI$2:$AI$1001,MATCH(ROWS($AG$2:AG361),$AG$2:$AG$1001,0),0), INDEX($AN$1004:$BO$1004,1,MATCH(COLUMNS($AN$1006:BH1006),$AN$1006:$BO$1006,0)))),"Fix")))</f>
        <v>0</v>
      </c>
      <c r="W361" s="4">
        <f>IF(OR(INDEX($AH$2:$AH$1001,MATCH(ROWS($AG$2:AG361),$AG$2:$AG$1001,0),1)&gt;=100000,INDEX($AN$1005:$BO$1005,1,MATCH(COLUMNS($AN$1006:BI1006),$AN$1006:$BO$1006,0))&gt;=100000), " ",IF(INDEX($AN$2:$BO$1001,MATCH(ROWS($AG$2:AG361),$AG$2:$AG$1001,0),MATCH(COLUMNS($AN$1006:BI1006),$AN$1006:$BO$1006,0)), HYPERLINK("#",""), HYPERLINK(CONCATENATE("#Metadata!", ADDRESS(INDEX($AI$2:$AI$1001,MATCH(ROWS($AG$2:AG361),$AG$2:$AG$1001,0),0), INDEX($AN$1004:$BO$1004,1,MATCH(COLUMNS($AN$1006:BI1006),$AN$1006:$BO$1006,0)))),"Fix")))</f>
        <v>0</v>
      </c>
      <c r="X361" s="4">
        <f>IF(OR(INDEX($AH$2:$AH$1001,MATCH(ROWS($AG$2:AG361),$AG$2:$AG$1001,0),1)&gt;=100000,INDEX($AN$1005:$BO$1005,1,MATCH(COLUMNS($AN$1006:BJ1006),$AN$1006:$BO$1006,0))&gt;=100000), " ",IF(INDEX($AN$2:$BO$1001,MATCH(ROWS($AG$2:AG361),$AG$2:$AG$1001,0),MATCH(COLUMNS($AN$1006:BJ1006),$AN$1006:$BO$1006,0)), HYPERLINK("#",""), HYPERLINK(CONCATENATE("#Metadata!", ADDRESS(INDEX($AI$2:$AI$1001,MATCH(ROWS($AG$2:AG361),$AG$2:$AG$1001,0),0), INDEX($AN$1004:$BO$1004,1,MATCH(COLUMNS($AN$1006:BJ1006),$AN$1006:$BO$1006,0)))),"Fix")))</f>
        <v>0</v>
      </c>
      <c r="Y361" s="4">
        <f>IF(OR(INDEX($AH$2:$AH$1001,MATCH(ROWS($AG$2:AG361),$AG$2:$AG$1001,0),1)&gt;=100000,INDEX($AN$1005:$BO$1005,1,MATCH(COLUMNS($AN$1006:BK1006),$AN$1006:$BO$1006,0))&gt;=100000), " ",IF(INDEX($AN$2:$BO$1001,MATCH(ROWS($AG$2:AG361),$AG$2:$AG$1001,0),MATCH(COLUMNS($AN$1006:BK1006),$AN$1006:$BO$1006,0)), HYPERLINK("#",""), HYPERLINK(CONCATENATE("#Metadata!", ADDRESS(INDEX($AI$2:$AI$1001,MATCH(ROWS($AG$2:AG361),$AG$2:$AG$1001,0),0), INDEX($AN$1004:$BO$1004,1,MATCH(COLUMNS($AN$1006:BK1006),$AN$1006:$BO$1006,0)))),"Fix")))</f>
        <v>0</v>
      </c>
      <c r="Z361" s="4">
        <f>IF(OR(INDEX($AH$2:$AH$1001,MATCH(ROWS($AG$2:AG361),$AG$2:$AG$1001,0),1)&gt;=100000,INDEX($AN$1005:$BO$1005,1,MATCH(COLUMNS($AN$1006:BL1006),$AN$1006:$BO$1006,0))&gt;=100000), " ",IF(INDEX($AN$2:$BO$1001,MATCH(ROWS($AG$2:AG361),$AG$2:$AG$1001,0),MATCH(COLUMNS($AN$1006:BL1006),$AN$1006:$BO$1006,0)), HYPERLINK("#",""), HYPERLINK(CONCATENATE("#Metadata!", ADDRESS(INDEX($AI$2:$AI$1001,MATCH(ROWS($AG$2:AG361),$AG$2:$AG$1001,0),0), INDEX($AN$1004:$BO$1004,1,MATCH(COLUMNS($AN$1006:BL1006),$AN$1006:$BO$1006,0)))),"Fix")))</f>
        <v>0</v>
      </c>
      <c r="AA361" s="4">
        <f>IF(OR(INDEX($AH$2:$AH$1001,MATCH(ROWS($AG$2:AG361),$AG$2:$AG$1001,0),1)&gt;=100000,INDEX($AN$1005:$BO$1005,1,MATCH(COLUMNS($AN$1006:BM1006),$AN$1006:$BO$1006,0))&gt;=100000), " ",IF(INDEX($AN$2:$BO$1001,MATCH(ROWS($AG$2:AG361),$AG$2:$AG$1001,0),MATCH(COLUMNS($AN$1006:BM1006),$AN$1006:$BO$1006,0)), HYPERLINK("#",""), HYPERLINK(CONCATENATE("#Metadata!", ADDRESS(INDEX($AI$2:$AI$1001,MATCH(ROWS($AG$2:AG361),$AG$2:$AG$1001,0),0), INDEX($AN$1004:$BO$1004,1,MATCH(COLUMNS($AN$1006:BM1006),$AN$1006:$BO$1006,0)))),"Fix")))</f>
        <v>0</v>
      </c>
      <c r="AB361" s="4">
        <f>IF(OR(INDEX($AH$2:$AH$1001,MATCH(ROWS($AG$2:AG361),$AG$2:$AG$1001,0),1)&gt;=100000,INDEX($AN$1005:$BO$1005,1,MATCH(COLUMNS($AN$1006:BN1006),$AN$1006:$BO$1006,0))&gt;=100000), " ",IF(INDEX($AN$2:$BO$1001,MATCH(ROWS($AG$2:AG361),$AG$2:$AG$1001,0),MATCH(COLUMNS($AN$1006:BN1006),$AN$1006:$BO$1006,0)), HYPERLINK("#",""), HYPERLINK(CONCATENATE("#Metadata!", ADDRESS(INDEX($AI$2:$AI$1001,MATCH(ROWS($AG$2:AG361),$AG$2:$AG$1001,0),0), INDEX($AN$1004:$BO$1004,1,MATCH(COLUMNS($AN$1006:BN1006),$AN$1006:$BO$1006,0)))),"Fix")))</f>
        <v>0</v>
      </c>
      <c r="AC361" s="4">
        <f>IF(OR(INDEX($AH$2:$AH$1001,MATCH(ROWS($AG$2:AG361),$AG$2:$AG$1001,0),1)&gt;=100000,INDEX($AN$1005:$BO$1005,1,MATCH(COLUMNS($AN$1006:BO1006),$AN$1006:$BO$1006,0))&gt;=100000), " ",IF(INDEX($AN$2:$BO$1001,MATCH(ROWS($AG$2:AG361),$AG$2:$AG$1001,0),MATCH(COLUMNS($AN$1006:BO1006),$AN$1006:$BO$1006,0)), HYPERLINK("#",""), HYPERLINK(CONCATENATE("#Metadata!", ADDRESS(INDEX($AI$2:$AI$1001,MATCH(ROWS($AG$2:AG361),$AG$2:$AG$1001,0),0), INDEX($AN$1004:$BO$1004,1,MATCH(COLUMNS($AN$1006:BO1006),$AN$1006:$BO$1006,0)))),"Fix")))</f>
        <v>0</v>
      </c>
      <c r="AG361">
        <v>0</v>
      </c>
      <c r="AH361">
        <v>0</v>
      </c>
      <c r="AI361">
        <v>0</v>
      </c>
      <c r="AJ361">
        <f>IF(AK361,TRUE,AND(AN361:BO361))</f>
        <v>0</v>
      </c>
      <c r="AK361">
        <f>COUNTBLANK(Metadata!B361:AC361)=COLUMNS(Metadata!B361:AC361)</f>
        <v>0</v>
      </c>
      <c r="AL361">
        <v>0</v>
      </c>
      <c r="AN361">
        <f>AND(IF(Metadata!B361="",FALSE,TRUE),COUNTIF(Metadata!B:B, Metadata!B361) = 1,NOT(ISERROR(SUMPRODUCT(SEARCH(MID(Metadata!B361,ROW(INDIRECT("1:"&amp;LEN(Metadata!B361))), 1),"0123456789abcdefghijklmnopqrstuvwxyzABCDEFGHIJKLMNOPQRSTUVWXYZ.")))))</f>
        <v>0</v>
      </c>
      <c r="AO361">
        <f>IF(Metadata!C361="",FALSE,TRUE)</f>
        <v>0</v>
      </c>
      <c r="AP361">
        <f>IF(Metadata!D361="",FALSE,TRUE)</f>
        <v>0</v>
      </c>
      <c r="AQ361">
        <f>OR(AND(IF(Metadata!E361="",FALSE,TRUE),OR(exact(Metadata!E361,"not collected"),exact(Metadata!E361,"not provided"),exact(Metadata!E361,"restricted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R361">
        <f>IF(Metadata!F361="",FALSE,TRUE)</f>
        <v>0</v>
      </c>
      <c r="AS361">
        <f>OR(AND(IF(Metadata!G361="",FALSE,TRUE),OR(exact(Metadata!G361,"not collected"),exact(Metadata!G361,"not provided"))),AND(IF(Metadata!G361="",FALSE,TRUE),OR(exact(Metadata!G361,"TRUE"),exact(Metadata!G361,"FALSE"))))</f>
        <v>0</v>
      </c>
      <c r="AT361">
        <f>OR(AND(IF(Metadata!H361="",FALSE,TRUE),OR(exact(Metadata!H361,"not collected"),exact(Metadata!H361,"not provided"),exact(Metadata!H361,"restricted access"))),AND(IF(Metadata!H361="",FALSE,ISNUMBER(VALUE(Metadata!H361))),Metadata!H361&gt;=-413.0))</f>
        <v>0</v>
      </c>
      <c r="AU361">
        <f>AND(IF(Metadata!I361="",FALSE,TRUE),exact(Metadata!I361,"meters"))</f>
        <v>0</v>
      </c>
      <c r="AV361">
        <f>AND(IF(Metadata!J361="",FALSE,TRUE),OR(exact(Metadata!J361,"Host-associated"),exact(Metadata!J361,"Free-living")))</f>
        <v>0</v>
      </c>
      <c r="AW361">
        <f>AND(IF(Metadata!K361="",FALSE,TRUE),OR(exact(Metadata!K361,"Animal"),exact(Metadata!K361,"Fungus"),exact(Metadata!K361,"Plant"),exact(Metadata!K361,"Saline"),exact(Metadata!K361,"Non-saline")))</f>
        <v>0</v>
      </c>
      <c r="AX361">
        <f>AND(IF(Metadata!L361="",FALSE,TRUE),OR(exact(Metadata!L361,"Plant secretion"),exact(Metadata!L361,"Plant rhizosphere"),exact(Metadata!L361,"Plant surface"),exact(Metadata!L361,"Plant corpus"),exact(Metadata!L361,"Fungus surface"),exact(Metadata!L361,"Fungus corpus"),exact(Metadata!L361,"Animal surface"),exact(Metadata!L361,"Animal proximal gut"),exact(Metadata!L361,"Animal corpus"),exact(Metadata!L361,"Animal distal gut"),exact(Metadata!L361,"Animal secretion"),exact(Metadata!L361,"Sub-surface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Y361">
        <f>IF(Metadata!M361="",FALSE,TRUE)</f>
        <v>0</v>
      </c>
      <c r="AZ361">
        <f>IF(Metadata!N361="",FALSE,TRUE)</f>
        <v>0</v>
      </c>
      <c r="BA361">
        <f>IF(Metadata!O361="",FALSE,TRUE)</f>
        <v>0</v>
      </c>
      <c r="BB361">
        <f>OR(AND(IF(Metadata!P361="",FALSE,TRUE),OR(exact(Metadata!P361,"not collected"),exact(Metadata!P361,"not provided"),exact(Metadata!P361,"restricted access"))),AND(IF(Metadata!P361="",FALSE,TRUE),OR(exact(Metadata!P361,"air"),exact(Metadata!P361,"built environment"),exact(Metadata!P361,"host-associated"),exact(Metadata!P361,"human-associated"),exact(Metadata!P361,"human-skin"),exact(Metadata!P361,"human-oral"),exact(Metadata!P361,"human-gut"),exact(Metadata!P361,"human-vaginal"),exact(Metadata!P361,"microbial mat/biofilm"),exact(Metadata!P361,"misc environment"),exact(Metadata!P361,"plant-associated"),exact(Metadata!P361,"sediment"),exact(Metadata!P361,"soil"),exact(Metadata!P361,"wastewater/sludge"),exact(Metadata!P361,"water"))))</f>
        <v>0</v>
      </c>
      <c r="BC361">
        <f>IF(Metadata!Q361="",FALSE,TRUE)</f>
        <v>0</v>
      </c>
      <c r="BD361">
        <f>IF(Metadata!R361="",FALSE,TRUE)</f>
        <v>0</v>
      </c>
      <c r="BE361">
        <f>OR(AND(IF(Metadata!S361="",FALSE,TRUE),OR(exact(Metadata!S361,"not collected"),exact(Metadata!S361,"not provided"),exact(Metadata!S361,"restricted access"))),AND(IF(Metadata!S361="",FALSE,ISNUMBER(VALUE(Metadata!S361))),Metadata!S361&gt;=-90.00,Metadata!S361&lt;=90.00))</f>
        <v>0</v>
      </c>
      <c r="BF361">
        <f>AND(IF(Metadata!T361="",FALSE,TRUE),exact(Metadata!T361,"Decimal degrees"))</f>
        <v>0</v>
      </c>
      <c r="BG361">
        <f>OR(AND(IF(Metadata!U361="",FALSE,TRUE),OR(exact(Metadata!U361,"not collected"),exact(Metadata!U361,"not provided"),exact(Metadata!U361,"restricted access"))),AND(IF(Metadata!U361="",FALSE,ISNUMBER(VALUE(Metadata!U361))),Metadata!U361&gt;=-180.00,Metadata!U361&lt;=180.00))</f>
        <v>0</v>
      </c>
      <c r="BH361">
        <f>AND(IF(Metadata!V361="",FALSE,TRUE),exact(Metadata!V361,"Decimal degrees"))</f>
        <v>0</v>
      </c>
      <c r="BI361">
        <f>IF(Metadata!W361="",FALSE,TRUE)</f>
        <v>0</v>
      </c>
      <c r="BJ361">
        <f>OR(AND(IF(Metadata!X361="",FALSE,TRUE),OR(exact(Metadata!X361,"not collected"),exact(Metadata!X361,"not provided"),exact(Metadata!X361,"restricted access"))),AND(IF(Metadata!X361="",FALSE,TRUE),OR(exact(Metadata!X361,"TRUE"),exact(Metadata!X361,"FALSE"))))</f>
        <v>0</v>
      </c>
      <c r="BK361">
        <f>AND(IF(Metadata!Y361="",FALSE,TRUE),exact(Metadata!Y361,"other"))</f>
        <v>0</v>
      </c>
      <c r="BL361">
        <f>IF(Metadata!Z361="",FALSE,TRUE)</f>
        <v>0</v>
      </c>
      <c r="BM361">
        <f>OR(AND(IF(Metadata!AA361="",FALSE,TRUE),OR(exact(Metadata!AA361,"not collected"),exact(Metadata!AA361,"not provided"))),AND(IF(Metadata!AA361="",FALSE,IF(ISERROR(INT(Metadata!AA361)),FALSE,INT(Metadata!AA361)=Metadata!AA361)),Metadata!AA361&gt;0))</f>
        <v>0</v>
      </c>
      <c r="BN361">
        <f>AND(IF(Metadata!AB361="",FALSE,TRUE),exact(Metadata!AB361,"Not applicable"))</f>
        <v>0</v>
      </c>
      <c r="BO361">
        <f>IF(Metadata!AC361="",FALSE,TRUE)</f>
        <v>0</v>
      </c>
    </row>
    <row r="362" spans="1:67">
      <c r="A362" s="5">
        <f>IF(B362=" "," ",HYPERLINK(CONCATENATE("#metadata!",ADDRESS(INDEX($AI$2:$AI$1001,MATCH(ROWS($AG$2:AG362),$AG$2:$AG$1001,0),0),1)),INDEX($AL$2:$AL$1001,MATCH(ROWS($AG$2:AG362),$AG$2:$AG$1001,0),0)))</f>
        <v>0</v>
      </c>
      <c r="B362" s="4">
        <f>IF(OR(INDEX($AH$2:$AH$1001,MATCH(ROWS($AG$2:AG362),$AG$2:$AG$1001,0),1)&gt;=100000,INDEX($AN$1005:$BO$1005,1,MATCH(COLUMNS($AN$1006:AN1006),$AN$1006:$BO$1006,0))&gt;=100000), " ",IF(INDEX($AN$2:$BO$1001,MATCH(ROWS($AG$2:AG362),$AG$2:$AG$1001,0),MATCH(COLUMNS($AN$1006:AN1006),$AN$1006:$BO$1006,0)), HYPERLINK("#",""), HYPERLINK(CONCATENATE("#Metadata!", ADDRESS(INDEX($AI$2:$AI$1001,MATCH(ROWS($AG$2:AG362),$AG$2:$AG$1001,0),0), INDEX($AN$1004:$BO$1004,1,MATCH(COLUMNS($AN$1006:AN1006),$AN$1006:$BO$1006,0)))),"Fix")))</f>
        <v>0</v>
      </c>
      <c r="C362" s="4">
        <f>IF(OR(INDEX($AH$2:$AH$1001,MATCH(ROWS($AG$2:AG362),$AG$2:$AG$1001,0),1)&gt;=100000,INDEX($AN$1005:$BO$1005,1,MATCH(COLUMNS($AN$1006:AO1006),$AN$1006:$BO$1006,0))&gt;=100000), " ",IF(INDEX($AN$2:$BO$1001,MATCH(ROWS($AG$2:AG362),$AG$2:$AG$1001,0),MATCH(COLUMNS($AN$1006:AO1006),$AN$1006:$BO$1006,0)), HYPERLINK("#",""), HYPERLINK(CONCATENATE("#Metadata!", ADDRESS(INDEX($AI$2:$AI$1001,MATCH(ROWS($AG$2:AG362),$AG$2:$AG$1001,0),0), INDEX($AN$1004:$BO$1004,1,MATCH(COLUMNS($AN$1006:AO1006),$AN$1006:$BO$1006,0)))),"Fix")))</f>
        <v>0</v>
      </c>
      <c r="D362" s="4">
        <f>IF(OR(INDEX($AH$2:$AH$1001,MATCH(ROWS($AG$2:AG362),$AG$2:$AG$1001,0),1)&gt;=100000,INDEX($AN$1005:$BO$1005,1,MATCH(COLUMNS($AN$1006:AP1006),$AN$1006:$BO$1006,0))&gt;=100000), " ",IF(INDEX($AN$2:$BO$1001,MATCH(ROWS($AG$2:AG362),$AG$2:$AG$1001,0),MATCH(COLUMNS($AN$1006:AP1006),$AN$1006:$BO$1006,0)), HYPERLINK("#",""), HYPERLINK(CONCATENATE("#Metadata!", ADDRESS(INDEX($AI$2:$AI$1001,MATCH(ROWS($AG$2:AG362),$AG$2:$AG$1001,0),0), INDEX($AN$1004:$BO$1004,1,MATCH(COLUMNS($AN$1006:AP1006),$AN$1006:$BO$1006,0)))),"Fix")))</f>
        <v>0</v>
      </c>
      <c r="E362" s="4">
        <f>IF(OR(INDEX($AH$2:$AH$1001,MATCH(ROWS($AG$2:AG362),$AG$2:$AG$1001,0),1)&gt;=100000,INDEX($AN$1005:$BO$1005,1,MATCH(COLUMNS($AN$1006:AQ1006),$AN$1006:$BO$1006,0))&gt;=100000), " ",IF(INDEX($AN$2:$BO$1001,MATCH(ROWS($AG$2:AG362),$AG$2:$AG$1001,0),MATCH(COLUMNS($AN$1006:AQ1006),$AN$1006:$BO$1006,0)), HYPERLINK("#",""), HYPERLINK(CONCATENATE("#Metadata!", ADDRESS(INDEX($AI$2:$AI$1001,MATCH(ROWS($AG$2:AG362),$AG$2:$AG$1001,0),0), INDEX($AN$1004:$BO$1004,1,MATCH(COLUMNS($AN$1006:AQ1006),$AN$1006:$BO$1006,0)))),"Fix")))</f>
        <v>0</v>
      </c>
      <c r="F362" s="4">
        <f>IF(OR(INDEX($AH$2:$AH$1001,MATCH(ROWS($AG$2:AG362),$AG$2:$AG$1001,0),1)&gt;=100000,INDEX($AN$1005:$BO$1005,1,MATCH(COLUMNS($AN$1006:AR1006),$AN$1006:$BO$1006,0))&gt;=100000), " ",IF(INDEX($AN$2:$BO$1001,MATCH(ROWS($AG$2:AG362),$AG$2:$AG$1001,0),MATCH(COLUMNS($AN$1006:AR1006),$AN$1006:$BO$1006,0)), HYPERLINK("#",""), HYPERLINK(CONCATENATE("#Metadata!", ADDRESS(INDEX($AI$2:$AI$1001,MATCH(ROWS($AG$2:AG362),$AG$2:$AG$1001,0),0), INDEX($AN$1004:$BO$1004,1,MATCH(COLUMNS($AN$1006:AR1006),$AN$1006:$BO$1006,0)))),"Fix")))</f>
        <v>0</v>
      </c>
      <c r="G362" s="4">
        <f>IF(OR(INDEX($AH$2:$AH$1001,MATCH(ROWS($AG$2:AG362),$AG$2:$AG$1001,0),1)&gt;=100000,INDEX($AN$1005:$BO$1005,1,MATCH(COLUMNS($AN$1006:AS1006),$AN$1006:$BO$1006,0))&gt;=100000), " ",IF(INDEX($AN$2:$BO$1001,MATCH(ROWS($AG$2:AG362),$AG$2:$AG$1001,0),MATCH(COLUMNS($AN$1006:AS1006),$AN$1006:$BO$1006,0)), HYPERLINK("#",""), HYPERLINK(CONCATENATE("#Metadata!", ADDRESS(INDEX($AI$2:$AI$1001,MATCH(ROWS($AG$2:AG362),$AG$2:$AG$1001,0),0), INDEX($AN$1004:$BO$1004,1,MATCH(COLUMNS($AN$1006:AS1006),$AN$1006:$BO$1006,0)))),"Fix")))</f>
        <v>0</v>
      </c>
      <c r="H362" s="4">
        <f>IF(OR(INDEX($AH$2:$AH$1001,MATCH(ROWS($AG$2:AG362),$AG$2:$AG$1001,0),1)&gt;=100000,INDEX($AN$1005:$BO$1005,1,MATCH(COLUMNS($AN$1006:AT1006),$AN$1006:$BO$1006,0))&gt;=100000), " ",IF(INDEX($AN$2:$BO$1001,MATCH(ROWS($AG$2:AG362),$AG$2:$AG$1001,0),MATCH(COLUMNS($AN$1006:AT1006),$AN$1006:$BO$1006,0)), HYPERLINK("#",""), HYPERLINK(CONCATENATE("#Metadata!", ADDRESS(INDEX($AI$2:$AI$1001,MATCH(ROWS($AG$2:AG362),$AG$2:$AG$1001,0),0), INDEX($AN$1004:$BO$1004,1,MATCH(COLUMNS($AN$1006:AT1006),$AN$1006:$BO$1006,0)))),"Fix")))</f>
        <v>0</v>
      </c>
      <c r="I362" s="4">
        <f>IF(OR(INDEX($AH$2:$AH$1001,MATCH(ROWS($AG$2:AG362),$AG$2:$AG$1001,0),1)&gt;=100000,INDEX($AN$1005:$BO$1005,1,MATCH(COLUMNS($AN$1006:AU1006),$AN$1006:$BO$1006,0))&gt;=100000), " ",IF(INDEX($AN$2:$BO$1001,MATCH(ROWS($AG$2:AG362),$AG$2:$AG$1001,0),MATCH(COLUMNS($AN$1006:AU1006),$AN$1006:$BO$1006,0)), HYPERLINK("#",""), HYPERLINK(CONCATENATE("#Metadata!", ADDRESS(INDEX($AI$2:$AI$1001,MATCH(ROWS($AG$2:AG362),$AG$2:$AG$1001,0),0), INDEX($AN$1004:$BO$1004,1,MATCH(COLUMNS($AN$1006:AU1006),$AN$1006:$BO$1006,0)))),"Fix")))</f>
        <v>0</v>
      </c>
      <c r="J362" s="4">
        <f>IF(OR(INDEX($AH$2:$AH$1001,MATCH(ROWS($AG$2:AG362),$AG$2:$AG$1001,0),1)&gt;=100000,INDEX($AN$1005:$BO$1005,1,MATCH(COLUMNS($AN$1006:AV1006),$AN$1006:$BO$1006,0))&gt;=100000), " ",IF(INDEX($AN$2:$BO$1001,MATCH(ROWS($AG$2:AG362),$AG$2:$AG$1001,0),MATCH(COLUMNS($AN$1006:AV1006),$AN$1006:$BO$1006,0)), HYPERLINK("#",""), HYPERLINK(CONCATENATE("#Metadata!", ADDRESS(INDEX($AI$2:$AI$1001,MATCH(ROWS($AG$2:AG362),$AG$2:$AG$1001,0),0), INDEX($AN$1004:$BO$1004,1,MATCH(COLUMNS($AN$1006:AV1006),$AN$1006:$BO$1006,0)))),"Fix")))</f>
        <v>0</v>
      </c>
      <c r="K362" s="4">
        <f>IF(OR(INDEX($AH$2:$AH$1001,MATCH(ROWS($AG$2:AG362),$AG$2:$AG$1001,0),1)&gt;=100000,INDEX($AN$1005:$BO$1005,1,MATCH(COLUMNS($AN$1006:AW1006),$AN$1006:$BO$1006,0))&gt;=100000), " ",IF(INDEX($AN$2:$BO$1001,MATCH(ROWS($AG$2:AG362),$AG$2:$AG$1001,0),MATCH(COLUMNS($AN$1006:AW1006),$AN$1006:$BO$1006,0)), HYPERLINK("#",""), HYPERLINK(CONCATENATE("#Metadata!", ADDRESS(INDEX($AI$2:$AI$1001,MATCH(ROWS($AG$2:AG362),$AG$2:$AG$1001,0),0), INDEX($AN$1004:$BO$1004,1,MATCH(COLUMNS($AN$1006:AW1006),$AN$1006:$BO$1006,0)))),"Fix")))</f>
        <v>0</v>
      </c>
      <c r="L362" s="4">
        <f>IF(OR(INDEX($AH$2:$AH$1001,MATCH(ROWS($AG$2:AG362),$AG$2:$AG$1001,0),1)&gt;=100000,INDEX($AN$1005:$BO$1005,1,MATCH(COLUMNS($AN$1006:AX1006),$AN$1006:$BO$1006,0))&gt;=100000), " ",IF(INDEX($AN$2:$BO$1001,MATCH(ROWS($AG$2:AG362),$AG$2:$AG$1001,0),MATCH(COLUMNS($AN$1006:AX1006),$AN$1006:$BO$1006,0)), HYPERLINK("#",""), HYPERLINK(CONCATENATE("#Metadata!", ADDRESS(INDEX($AI$2:$AI$1001,MATCH(ROWS($AG$2:AG362),$AG$2:$AG$1001,0),0), INDEX($AN$1004:$BO$1004,1,MATCH(COLUMNS($AN$1006:AX1006),$AN$1006:$BO$1006,0)))),"Fix")))</f>
        <v>0</v>
      </c>
      <c r="M362" s="4">
        <f>IF(OR(INDEX($AH$2:$AH$1001,MATCH(ROWS($AG$2:AG362),$AG$2:$AG$1001,0),1)&gt;=100000,INDEX($AN$1005:$BO$1005,1,MATCH(COLUMNS($AN$1006:AY1006),$AN$1006:$BO$1006,0))&gt;=100000), " ",IF(INDEX($AN$2:$BO$1001,MATCH(ROWS($AG$2:AG362),$AG$2:$AG$1001,0),MATCH(COLUMNS($AN$1006:AY1006),$AN$1006:$BO$1006,0)), HYPERLINK("#",""), HYPERLINK(CONCATENATE("#Metadata!", ADDRESS(INDEX($AI$2:$AI$1001,MATCH(ROWS($AG$2:AG362),$AG$2:$AG$1001,0),0), INDEX($AN$1004:$BO$1004,1,MATCH(COLUMNS($AN$1006:AY1006),$AN$1006:$BO$1006,0)))),"Fix")))</f>
        <v>0</v>
      </c>
      <c r="N362" s="4">
        <f>IF(OR(INDEX($AH$2:$AH$1001,MATCH(ROWS($AG$2:AG362),$AG$2:$AG$1001,0),1)&gt;=100000,INDEX($AN$1005:$BO$1005,1,MATCH(COLUMNS($AN$1006:AZ1006),$AN$1006:$BO$1006,0))&gt;=100000), " ",IF(INDEX($AN$2:$BO$1001,MATCH(ROWS($AG$2:AG362),$AG$2:$AG$1001,0),MATCH(COLUMNS($AN$1006:AZ1006),$AN$1006:$BO$1006,0)), HYPERLINK("#",""), HYPERLINK(CONCATENATE("#Metadata!", ADDRESS(INDEX($AI$2:$AI$1001,MATCH(ROWS($AG$2:AG362),$AG$2:$AG$1001,0),0), INDEX($AN$1004:$BO$1004,1,MATCH(COLUMNS($AN$1006:AZ1006),$AN$1006:$BO$1006,0)))),"Fix")))</f>
        <v>0</v>
      </c>
      <c r="O362" s="4">
        <f>IF(OR(INDEX($AH$2:$AH$1001,MATCH(ROWS($AG$2:AG362),$AG$2:$AG$1001,0),1)&gt;=100000,INDEX($AN$1005:$BO$1005,1,MATCH(COLUMNS($AN$1006:BA1006),$AN$1006:$BO$1006,0))&gt;=100000), " ",IF(INDEX($AN$2:$BO$1001,MATCH(ROWS($AG$2:AG362),$AG$2:$AG$1001,0),MATCH(COLUMNS($AN$1006:BA1006),$AN$1006:$BO$1006,0)), HYPERLINK("#",""), HYPERLINK(CONCATENATE("#Metadata!", ADDRESS(INDEX($AI$2:$AI$1001,MATCH(ROWS($AG$2:AG362),$AG$2:$AG$1001,0),0), INDEX($AN$1004:$BO$1004,1,MATCH(COLUMNS($AN$1006:BA1006),$AN$1006:$BO$1006,0)))),"Fix")))</f>
        <v>0</v>
      </c>
      <c r="P362" s="4">
        <f>IF(OR(INDEX($AH$2:$AH$1001,MATCH(ROWS($AG$2:AG362),$AG$2:$AG$1001,0),1)&gt;=100000,INDEX($AN$1005:$BO$1005,1,MATCH(COLUMNS($AN$1006:BB1006),$AN$1006:$BO$1006,0))&gt;=100000), " ",IF(INDEX($AN$2:$BO$1001,MATCH(ROWS($AG$2:AG362),$AG$2:$AG$1001,0),MATCH(COLUMNS($AN$1006:BB1006),$AN$1006:$BO$1006,0)), HYPERLINK("#",""), HYPERLINK(CONCATENATE("#Metadata!", ADDRESS(INDEX($AI$2:$AI$1001,MATCH(ROWS($AG$2:AG362),$AG$2:$AG$1001,0),0), INDEX($AN$1004:$BO$1004,1,MATCH(COLUMNS($AN$1006:BB1006),$AN$1006:$BO$1006,0)))),"Fix")))</f>
        <v>0</v>
      </c>
      <c r="Q362" s="4">
        <f>IF(OR(INDEX($AH$2:$AH$1001,MATCH(ROWS($AG$2:AG362),$AG$2:$AG$1001,0),1)&gt;=100000,INDEX($AN$1005:$BO$1005,1,MATCH(COLUMNS($AN$1006:BC1006),$AN$1006:$BO$1006,0))&gt;=100000), " ",IF(INDEX($AN$2:$BO$1001,MATCH(ROWS($AG$2:AG362),$AG$2:$AG$1001,0),MATCH(COLUMNS($AN$1006:BC1006),$AN$1006:$BO$1006,0)), HYPERLINK("#",""), HYPERLINK(CONCATENATE("#Metadata!", ADDRESS(INDEX($AI$2:$AI$1001,MATCH(ROWS($AG$2:AG362),$AG$2:$AG$1001,0),0), INDEX($AN$1004:$BO$1004,1,MATCH(COLUMNS($AN$1006:BC1006),$AN$1006:$BO$1006,0)))),"Fix")))</f>
        <v>0</v>
      </c>
      <c r="R362" s="4">
        <f>IF(OR(INDEX($AH$2:$AH$1001,MATCH(ROWS($AG$2:AG362),$AG$2:$AG$1001,0),1)&gt;=100000,INDEX($AN$1005:$BO$1005,1,MATCH(COLUMNS($AN$1006:BD1006),$AN$1006:$BO$1006,0))&gt;=100000), " ",IF(INDEX($AN$2:$BO$1001,MATCH(ROWS($AG$2:AG362),$AG$2:$AG$1001,0),MATCH(COLUMNS($AN$1006:BD1006),$AN$1006:$BO$1006,0)), HYPERLINK("#",""), HYPERLINK(CONCATENATE("#Metadata!", ADDRESS(INDEX($AI$2:$AI$1001,MATCH(ROWS($AG$2:AG362),$AG$2:$AG$1001,0),0), INDEX($AN$1004:$BO$1004,1,MATCH(COLUMNS($AN$1006:BD1006),$AN$1006:$BO$1006,0)))),"Fix")))</f>
        <v>0</v>
      </c>
      <c r="S362" s="4">
        <f>IF(OR(INDEX($AH$2:$AH$1001,MATCH(ROWS($AG$2:AG362),$AG$2:$AG$1001,0),1)&gt;=100000,INDEX($AN$1005:$BO$1005,1,MATCH(COLUMNS($AN$1006:BE1006),$AN$1006:$BO$1006,0))&gt;=100000), " ",IF(INDEX($AN$2:$BO$1001,MATCH(ROWS($AG$2:AG362),$AG$2:$AG$1001,0),MATCH(COLUMNS($AN$1006:BE1006),$AN$1006:$BO$1006,0)), HYPERLINK("#",""), HYPERLINK(CONCATENATE("#Metadata!", ADDRESS(INDEX($AI$2:$AI$1001,MATCH(ROWS($AG$2:AG362),$AG$2:$AG$1001,0),0), INDEX($AN$1004:$BO$1004,1,MATCH(COLUMNS($AN$1006:BE1006),$AN$1006:$BO$1006,0)))),"Fix")))</f>
        <v>0</v>
      </c>
      <c r="T362" s="4">
        <f>IF(OR(INDEX($AH$2:$AH$1001,MATCH(ROWS($AG$2:AG362),$AG$2:$AG$1001,0),1)&gt;=100000,INDEX($AN$1005:$BO$1005,1,MATCH(COLUMNS($AN$1006:BF1006),$AN$1006:$BO$1006,0))&gt;=100000), " ",IF(INDEX($AN$2:$BO$1001,MATCH(ROWS($AG$2:AG362),$AG$2:$AG$1001,0),MATCH(COLUMNS($AN$1006:BF1006),$AN$1006:$BO$1006,0)), HYPERLINK("#",""), HYPERLINK(CONCATENATE("#Metadata!", ADDRESS(INDEX($AI$2:$AI$1001,MATCH(ROWS($AG$2:AG362),$AG$2:$AG$1001,0),0), INDEX($AN$1004:$BO$1004,1,MATCH(COLUMNS($AN$1006:BF1006),$AN$1006:$BO$1006,0)))),"Fix")))</f>
        <v>0</v>
      </c>
      <c r="U362" s="4">
        <f>IF(OR(INDEX($AH$2:$AH$1001,MATCH(ROWS($AG$2:AG362),$AG$2:$AG$1001,0),1)&gt;=100000,INDEX($AN$1005:$BO$1005,1,MATCH(COLUMNS($AN$1006:BG1006),$AN$1006:$BO$1006,0))&gt;=100000), " ",IF(INDEX($AN$2:$BO$1001,MATCH(ROWS($AG$2:AG362),$AG$2:$AG$1001,0),MATCH(COLUMNS($AN$1006:BG1006),$AN$1006:$BO$1006,0)), HYPERLINK("#",""), HYPERLINK(CONCATENATE("#Metadata!", ADDRESS(INDEX($AI$2:$AI$1001,MATCH(ROWS($AG$2:AG362),$AG$2:$AG$1001,0),0), INDEX($AN$1004:$BO$1004,1,MATCH(COLUMNS($AN$1006:BG1006),$AN$1006:$BO$1006,0)))),"Fix")))</f>
        <v>0</v>
      </c>
      <c r="V362" s="4">
        <f>IF(OR(INDEX($AH$2:$AH$1001,MATCH(ROWS($AG$2:AG362),$AG$2:$AG$1001,0),1)&gt;=100000,INDEX($AN$1005:$BO$1005,1,MATCH(COLUMNS($AN$1006:BH1006),$AN$1006:$BO$1006,0))&gt;=100000), " ",IF(INDEX($AN$2:$BO$1001,MATCH(ROWS($AG$2:AG362),$AG$2:$AG$1001,0),MATCH(COLUMNS($AN$1006:BH1006),$AN$1006:$BO$1006,0)), HYPERLINK("#",""), HYPERLINK(CONCATENATE("#Metadata!", ADDRESS(INDEX($AI$2:$AI$1001,MATCH(ROWS($AG$2:AG362),$AG$2:$AG$1001,0),0), INDEX($AN$1004:$BO$1004,1,MATCH(COLUMNS($AN$1006:BH1006),$AN$1006:$BO$1006,0)))),"Fix")))</f>
        <v>0</v>
      </c>
      <c r="W362" s="4">
        <f>IF(OR(INDEX($AH$2:$AH$1001,MATCH(ROWS($AG$2:AG362),$AG$2:$AG$1001,0),1)&gt;=100000,INDEX($AN$1005:$BO$1005,1,MATCH(COLUMNS($AN$1006:BI1006),$AN$1006:$BO$1006,0))&gt;=100000), " ",IF(INDEX($AN$2:$BO$1001,MATCH(ROWS($AG$2:AG362),$AG$2:$AG$1001,0),MATCH(COLUMNS($AN$1006:BI1006),$AN$1006:$BO$1006,0)), HYPERLINK("#",""), HYPERLINK(CONCATENATE("#Metadata!", ADDRESS(INDEX($AI$2:$AI$1001,MATCH(ROWS($AG$2:AG362),$AG$2:$AG$1001,0),0), INDEX($AN$1004:$BO$1004,1,MATCH(COLUMNS($AN$1006:BI1006),$AN$1006:$BO$1006,0)))),"Fix")))</f>
        <v>0</v>
      </c>
      <c r="X362" s="4">
        <f>IF(OR(INDEX($AH$2:$AH$1001,MATCH(ROWS($AG$2:AG362),$AG$2:$AG$1001,0),1)&gt;=100000,INDEX($AN$1005:$BO$1005,1,MATCH(COLUMNS($AN$1006:BJ1006),$AN$1006:$BO$1006,0))&gt;=100000), " ",IF(INDEX($AN$2:$BO$1001,MATCH(ROWS($AG$2:AG362),$AG$2:$AG$1001,0),MATCH(COLUMNS($AN$1006:BJ1006),$AN$1006:$BO$1006,0)), HYPERLINK("#",""), HYPERLINK(CONCATENATE("#Metadata!", ADDRESS(INDEX($AI$2:$AI$1001,MATCH(ROWS($AG$2:AG362),$AG$2:$AG$1001,0),0), INDEX($AN$1004:$BO$1004,1,MATCH(COLUMNS($AN$1006:BJ1006),$AN$1006:$BO$1006,0)))),"Fix")))</f>
        <v>0</v>
      </c>
      <c r="Y362" s="4">
        <f>IF(OR(INDEX($AH$2:$AH$1001,MATCH(ROWS($AG$2:AG362),$AG$2:$AG$1001,0),1)&gt;=100000,INDEX($AN$1005:$BO$1005,1,MATCH(COLUMNS($AN$1006:BK1006),$AN$1006:$BO$1006,0))&gt;=100000), " ",IF(INDEX($AN$2:$BO$1001,MATCH(ROWS($AG$2:AG362),$AG$2:$AG$1001,0),MATCH(COLUMNS($AN$1006:BK1006),$AN$1006:$BO$1006,0)), HYPERLINK("#",""), HYPERLINK(CONCATENATE("#Metadata!", ADDRESS(INDEX($AI$2:$AI$1001,MATCH(ROWS($AG$2:AG362),$AG$2:$AG$1001,0),0), INDEX($AN$1004:$BO$1004,1,MATCH(COLUMNS($AN$1006:BK1006),$AN$1006:$BO$1006,0)))),"Fix")))</f>
        <v>0</v>
      </c>
      <c r="Z362" s="4">
        <f>IF(OR(INDEX($AH$2:$AH$1001,MATCH(ROWS($AG$2:AG362),$AG$2:$AG$1001,0),1)&gt;=100000,INDEX($AN$1005:$BO$1005,1,MATCH(COLUMNS($AN$1006:BL1006),$AN$1006:$BO$1006,0))&gt;=100000), " ",IF(INDEX($AN$2:$BO$1001,MATCH(ROWS($AG$2:AG362),$AG$2:$AG$1001,0),MATCH(COLUMNS($AN$1006:BL1006),$AN$1006:$BO$1006,0)), HYPERLINK("#",""), HYPERLINK(CONCATENATE("#Metadata!", ADDRESS(INDEX($AI$2:$AI$1001,MATCH(ROWS($AG$2:AG362),$AG$2:$AG$1001,0),0), INDEX($AN$1004:$BO$1004,1,MATCH(COLUMNS($AN$1006:BL1006),$AN$1006:$BO$1006,0)))),"Fix")))</f>
        <v>0</v>
      </c>
      <c r="AA362" s="4">
        <f>IF(OR(INDEX($AH$2:$AH$1001,MATCH(ROWS($AG$2:AG362),$AG$2:$AG$1001,0),1)&gt;=100000,INDEX($AN$1005:$BO$1005,1,MATCH(COLUMNS($AN$1006:BM1006),$AN$1006:$BO$1006,0))&gt;=100000), " ",IF(INDEX($AN$2:$BO$1001,MATCH(ROWS($AG$2:AG362),$AG$2:$AG$1001,0),MATCH(COLUMNS($AN$1006:BM1006),$AN$1006:$BO$1006,0)), HYPERLINK("#",""), HYPERLINK(CONCATENATE("#Metadata!", ADDRESS(INDEX($AI$2:$AI$1001,MATCH(ROWS($AG$2:AG362),$AG$2:$AG$1001,0),0), INDEX($AN$1004:$BO$1004,1,MATCH(COLUMNS($AN$1006:BM1006),$AN$1006:$BO$1006,0)))),"Fix")))</f>
        <v>0</v>
      </c>
      <c r="AB362" s="4">
        <f>IF(OR(INDEX($AH$2:$AH$1001,MATCH(ROWS($AG$2:AG362),$AG$2:$AG$1001,0),1)&gt;=100000,INDEX($AN$1005:$BO$1005,1,MATCH(COLUMNS($AN$1006:BN1006),$AN$1006:$BO$1006,0))&gt;=100000), " ",IF(INDEX($AN$2:$BO$1001,MATCH(ROWS($AG$2:AG362),$AG$2:$AG$1001,0),MATCH(COLUMNS($AN$1006:BN1006),$AN$1006:$BO$1006,0)), HYPERLINK("#",""), HYPERLINK(CONCATENATE("#Metadata!", ADDRESS(INDEX($AI$2:$AI$1001,MATCH(ROWS($AG$2:AG362),$AG$2:$AG$1001,0),0), INDEX($AN$1004:$BO$1004,1,MATCH(COLUMNS($AN$1006:BN1006),$AN$1006:$BO$1006,0)))),"Fix")))</f>
        <v>0</v>
      </c>
      <c r="AC362" s="4">
        <f>IF(OR(INDEX($AH$2:$AH$1001,MATCH(ROWS($AG$2:AG362),$AG$2:$AG$1001,0),1)&gt;=100000,INDEX($AN$1005:$BO$1005,1,MATCH(COLUMNS($AN$1006:BO1006),$AN$1006:$BO$1006,0))&gt;=100000), " ",IF(INDEX($AN$2:$BO$1001,MATCH(ROWS($AG$2:AG362),$AG$2:$AG$1001,0),MATCH(COLUMNS($AN$1006:BO1006),$AN$1006:$BO$1006,0)), HYPERLINK("#",""), HYPERLINK(CONCATENATE("#Metadata!", ADDRESS(INDEX($AI$2:$AI$1001,MATCH(ROWS($AG$2:AG362),$AG$2:$AG$1001,0),0), INDEX($AN$1004:$BO$1004,1,MATCH(COLUMNS($AN$1006:BO1006),$AN$1006:$BO$1006,0)))),"Fix")))</f>
        <v>0</v>
      </c>
      <c r="AG362">
        <v>0</v>
      </c>
      <c r="AH362">
        <v>0</v>
      </c>
      <c r="AI362">
        <v>0</v>
      </c>
      <c r="AJ362">
        <f>IF(AK362,TRUE,AND(AN362:BO362))</f>
        <v>0</v>
      </c>
      <c r="AK362">
        <f>COUNTBLANK(Metadata!B362:AC362)=COLUMNS(Metadata!B362:AC362)</f>
        <v>0</v>
      </c>
      <c r="AL362">
        <v>0</v>
      </c>
      <c r="AN362">
        <f>AND(IF(Metadata!B362="",FALSE,TRUE),COUNTIF(Metadata!B:B, Metadata!B362) = 1,NOT(ISERROR(SUMPRODUCT(SEARCH(MID(Metadata!B362,ROW(INDIRECT("1:"&amp;LEN(Metadata!B362))), 1),"0123456789abcdefghijklmnopqrstuvwxyzABCDEFGHIJKLMNOPQRSTUVWXYZ.")))))</f>
        <v>0</v>
      </c>
      <c r="AO362">
        <f>IF(Metadata!C362="",FALSE,TRUE)</f>
        <v>0</v>
      </c>
      <c r="AP362">
        <f>IF(Metadata!D362="",FALSE,TRUE)</f>
        <v>0</v>
      </c>
      <c r="AQ362">
        <f>OR(AND(IF(Metadata!E362="",FALSE,TRUE),OR(exact(Metadata!E362,"not collected"),exact(Metadata!E362,"not provided"),exact(Metadata!E362,"restricted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R362">
        <f>IF(Metadata!F362="",FALSE,TRUE)</f>
        <v>0</v>
      </c>
      <c r="AS362">
        <f>OR(AND(IF(Metadata!G362="",FALSE,TRUE),OR(exact(Metadata!G362,"not collected"),exact(Metadata!G362,"not provided"))),AND(IF(Metadata!G362="",FALSE,TRUE),OR(exact(Metadata!G362,"TRUE"),exact(Metadata!G362,"FALSE"))))</f>
        <v>0</v>
      </c>
      <c r="AT362">
        <f>OR(AND(IF(Metadata!H362="",FALSE,TRUE),OR(exact(Metadata!H362,"not collected"),exact(Metadata!H362,"not provided"),exact(Metadata!H362,"restricted access"))),AND(IF(Metadata!H362="",FALSE,ISNUMBER(VALUE(Metadata!H362))),Metadata!H362&gt;=-413.0))</f>
        <v>0</v>
      </c>
      <c r="AU362">
        <f>AND(IF(Metadata!I362="",FALSE,TRUE),exact(Metadata!I362,"meters"))</f>
        <v>0</v>
      </c>
      <c r="AV362">
        <f>AND(IF(Metadata!J362="",FALSE,TRUE),OR(exact(Metadata!J362,"Host-associated"),exact(Metadata!J362,"Free-living")))</f>
        <v>0</v>
      </c>
      <c r="AW362">
        <f>AND(IF(Metadata!K362="",FALSE,TRUE),OR(exact(Metadata!K362,"Animal"),exact(Metadata!K362,"Fungus"),exact(Metadata!K362,"Plant"),exact(Metadata!K362,"Saline"),exact(Metadata!K362,"Non-saline")))</f>
        <v>0</v>
      </c>
      <c r="AX362">
        <f>AND(IF(Metadata!L362="",FALSE,TRUE),OR(exact(Metadata!L362,"Plant secretion"),exact(Metadata!L362,"Plant rhizosphere"),exact(Metadata!L362,"Plant surface"),exact(Metadata!L362,"Plant corpus"),exact(Metadata!L362,"Fungus surface"),exact(Metadata!L362,"Fungus corpus"),exact(Metadata!L362,"Animal surface"),exact(Metadata!L362,"Animal proximal gut"),exact(Metadata!L362,"Animal corpus"),exact(Metadata!L362,"Animal distal gut"),exact(Metadata!L362,"Animal secretion"),exact(Metadata!L362,"Sub-surface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Y362">
        <f>IF(Metadata!M362="",FALSE,TRUE)</f>
        <v>0</v>
      </c>
      <c r="AZ362">
        <f>IF(Metadata!N362="",FALSE,TRUE)</f>
        <v>0</v>
      </c>
      <c r="BA362">
        <f>IF(Metadata!O362="",FALSE,TRUE)</f>
        <v>0</v>
      </c>
      <c r="BB362">
        <f>OR(AND(IF(Metadata!P362="",FALSE,TRUE),OR(exact(Metadata!P362,"not collected"),exact(Metadata!P362,"not provided"),exact(Metadata!P362,"restricted access"))),AND(IF(Metadata!P362="",FALSE,TRUE),OR(exact(Metadata!P362,"air"),exact(Metadata!P362,"built environment"),exact(Metadata!P362,"host-associated"),exact(Metadata!P362,"human-associated"),exact(Metadata!P362,"human-skin"),exact(Metadata!P362,"human-oral"),exact(Metadata!P362,"human-gut"),exact(Metadata!P362,"human-vaginal"),exact(Metadata!P362,"microbial mat/biofilm"),exact(Metadata!P362,"misc environment"),exact(Metadata!P362,"plant-associated"),exact(Metadata!P362,"sediment"),exact(Metadata!P362,"soil"),exact(Metadata!P362,"wastewater/sludge"),exact(Metadata!P362,"water"))))</f>
        <v>0</v>
      </c>
      <c r="BC362">
        <f>IF(Metadata!Q362="",FALSE,TRUE)</f>
        <v>0</v>
      </c>
      <c r="BD362">
        <f>IF(Metadata!R362="",FALSE,TRUE)</f>
        <v>0</v>
      </c>
      <c r="BE362">
        <f>OR(AND(IF(Metadata!S362="",FALSE,TRUE),OR(exact(Metadata!S362,"not collected"),exact(Metadata!S362,"not provided"),exact(Metadata!S362,"restricted access"))),AND(IF(Metadata!S362="",FALSE,ISNUMBER(VALUE(Metadata!S362))),Metadata!S362&gt;=-90.00,Metadata!S362&lt;=90.00))</f>
        <v>0</v>
      </c>
      <c r="BF362">
        <f>AND(IF(Metadata!T362="",FALSE,TRUE),exact(Metadata!T362,"Decimal degrees"))</f>
        <v>0</v>
      </c>
      <c r="BG362">
        <f>OR(AND(IF(Metadata!U362="",FALSE,TRUE),OR(exact(Metadata!U362,"not collected"),exact(Metadata!U362,"not provided"),exact(Metadata!U362,"restricted access"))),AND(IF(Metadata!U362="",FALSE,ISNUMBER(VALUE(Metadata!U362))),Metadata!U362&gt;=-180.00,Metadata!U362&lt;=180.00))</f>
        <v>0</v>
      </c>
      <c r="BH362">
        <f>AND(IF(Metadata!V362="",FALSE,TRUE),exact(Metadata!V362,"Decimal degrees"))</f>
        <v>0</v>
      </c>
      <c r="BI362">
        <f>IF(Metadata!W362="",FALSE,TRUE)</f>
        <v>0</v>
      </c>
      <c r="BJ362">
        <f>OR(AND(IF(Metadata!X362="",FALSE,TRUE),OR(exact(Metadata!X362,"not collected"),exact(Metadata!X362,"not provided"),exact(Metadata!X362,"restricted access"))),AND(IF(Metadata!X362="",FALSE,TRUE),OR(exact(Metadata!X362,"TRUE"),exact(Metadata!X362,"FALSE"))))</f>
        <v>0</v>
      </c>
      <c r="BK362">
        <f>AND(IF(Metadata!Y362="",FALSE,TRUE),exact(Metadata!Y362,"other"))</f>
        <v>0</v>
      </c>
      <c r="BL362">
        <f>IF(Metadata!Z362="",FALSE,TRUE)</f>
        <v>0</v>
      </c>
      <c r="BM362">
        <f>OR(AND(IF(Metadata!AA362="",FALSE,TRUE),OR(exact(Metadata!AA362,"not collected"),exact(Metadata!AA362,"not provided"))),AND(IF(Metadata!AA362="",FALSE,IF(ISERROR(INT(Metadata!AA362)),FALSE,INT(Metadata!AA362)=Metadata!AA362)),Metadata!AA362&gt;0))</f>
        <v>0</v>
      </c>
      <c r="BN362">
        <f>AND(IF(Metadata!AB362="",FALSE,TRUE),exact(Metadata!AB362,"Not applicable"))</f>
        <v>0</v>
      </c>
      <c r="BO362">
        <f>IF(Metadata!AC362="",FALSE,TRUE)</f>
        <v>0</v>
      </c>
    </row>
    <row r="363" spans="1:67">
      <c r="A363" s="5">
        <f>IF(B363=" "," ",HYPERLINK(CONCATENATE("#metadata!",ADDRESS(INDEX($AI$2:$AI$1001,MATCH(ROWS($AG$2:AG363),$AG$2:$AG$1001,0),0),1)),INDEX($AL$2:$AL$1001,MATCH(ROWS($AG$2:AG363),$AG$2:$AG$1001,0),0)))</f>
        <v>0</v>
      </c>
      <c r="B363" s="4">
        <f>IF(OR(INDEX($AH$2:$AH$1001,MATCH(ROWS($AG$2:AG363),$AG$2:$AG$1001,0),1)&gt;=100000,INDEX($AN$1005:$BO$1005,1,MATCH(COLUMNS($AN$1006:AN1006),$AN$1006:$BO$1006,0))&gt;=100000), " ",IF(INDEX($AN$2:$BO$1001,MATCH(ROWS($AG$2:AG363),$AG$2:$AG$1001,0),MATCH(COLUMNS($AN$1006:AN1006),$AN$1006:$BO$1006,0)), HYPERLINK("#",""), HYPERLINK(CONCATENATE("#Metadata!", ADDRESS(INDEX($AI$2:$AI$1001,MATCH(ROWS($AG$2:AG363),$AG$2:$AG$1001,0),0), INDEX($AN$1004:$BO$1004,1,MATCH(COLUMNS($AN$1006:AN1006),$AN$1006:$BO$1006,0)))),"Fix")))</f>
        <v>0</v>
      </c>
      <c r="C363" s="4">
        <f>IF(OR(INDEX($AH$2:$AH$1001,MATCH(ROWS($AG$2:AG363),$AG$2:$AG$1001,0),1)&gt;=100000,INDEX($AN$1005:$BO$1005,1,MATCH(COLUMNS($AN$1006:AO1006),$AN$1006:$BO$1006,0))&gt;=100000), " ",IF(INDEX($AN$2:$BO$1001,MATCH(ROWS($AG$2:AG363),$AG$2:$AG$1001,0),MATCH(COLUMNS($AN$1006:AO1006),$AN$1006:$BO$1006,0)), HYPERLINK("#",""), HYPERLINK(CONCATENATE("#Metadata!", ADDRESS(INDEX($AI$2:$AI$1001,MATCH(ROWS($AG$2:AG363),$AG$2:$AG$1001,0),0), INDEX($AN$1004:$BO$1004,1,MATCH(COLUMNS($AN$1006:AO1006),$AN$1006:$BO$1006,0)))),"Fix")))</f>
        <v>0</v>
      </c>
      <c r="D363" s="4">
        <f>IF(OR(INDEX($AH$2:$AH$1001,MATCH(ROWS($AG$2:AG363),$AG$2:$AG$1001,0),1)&gt;=100000,INDEX($AN$1005:$BO$1005,1,MATCH(COLUMNS($AN$1006:AP1006),$AN$1006:$BO$1006,0))&gt;=100000), " ",IF(INDEX($AN$2:$BO$1001,MATCH(ROWS($AG$2:AG363),$AG$2:$AG$1001,0),MATCH(COLUMNS($AN$1006:AP1006),$AN$1006:$BO$1006,0)), HYPERLINK("#",""), HYPERLINK(CONCATENATE("#Metadata!", ADDRESS(INDEX($AI$2:$AI$1001,MATCH(ROWS($AG$2:AG363),$AG$2:$AG$1001,0),0), INDEX($AN$1004:$BO$1004,1,MATCH(COLUMNS($AN$1006:AP1006),$AN$1006:$BO$1006,0)))),"Fix")))</f>
        <v>0</v>
      </c>
      <c r="E363" s="4">
        <f>IF(OR(INDEX($AH$2:$AH$1001,MATCH(ROWS($AG$2:AG363),$AG$2:$AG$1001,0),1)&gt;=100000,INDEX($AN$1005:$BO$1005,1,MATCH(COLUMNS($AN$1006:AQ1006),$AN$1006:$BO$1006,0))&gt;=100000), " ",IF(INDEX($AN$2:$BO$1001,MATCH(ROWS($AG$2:AG363),$AG$2:$AG$1001,0),MATCH(COLUMNS($AN$1006:AQ1006),$AN$1006:$BO$1006,0)), HYPERLINK("#",""), HYPERLINK(CONCATENATE("#Metadata!", ADDRESS(INDEX($AI$2:$AI$1001,MATCH(ROWS($AG$2:AG363),$AG$2:$AG$1001,0),0), INDEX($AN$1004:$BO$1004,1,MATCH(COLUMNS($AN$1006:AQ1006),$AN$1006:$BO$1006,0)))),"Fix")))</f>
        <v>0</v>
      </c>
      <c r="F363" s="4">
        <f>IF(OR(INDEX($AH$2:$AH$1001,MATCH(ROWS($AG$2:AG363),$AG$2:$AG$1001,0),1)&gt;=100000,INDEX($AN$1005:$BO$1005,1,MATCH(COLUMNS($AN$1006:AR1006),$AN$1006:$BO$1006,0))&gt;=100000), " ",IF(INDEX($AN$2:$BO$1001,MATCH(ROWS($AG$2:AG363),$AG$2:$AG$1001,0),MATCH(COLUMNS($AN$1006:AR1006),$AN$1006:$BO$1006,0)), HYPERLINK("#",""), HYPERLINK(CONCATENATE("#Metadata!", ADDRESS(INDEX($AI$2:$AI$1001,MATCH(ROWS($AG$2:AG363),$AG$2:$AG$1001,0),0), INDEX($AN$1004:$BO$1004,1,MATCH(COLUMNS($AN$1006:AR1006),$AN$1006:$BO$1006,0)))),"Fix")))</f>
        <v>0</v>
      </c>
      <c r="G363" s="4">
        <f>IF(OR(INDEX($AH$2:$AH$1001,MATCH(ROWS($AG$2:AG363),$AG$2:$AG$1001,0),1)&gt;=100000,INDEX($AN$1005:$BO$1005,1,MATCH(COLUMNS($AN$1006:AS1006),$AN$1006:$BO$1006,0))&gt;=100000), " ",IF(INDEX($AN$2:$BO$1001,MATCH(ROWS($AG$2:AG363),$AG$2:$AG$1001,0),MATCH(COLUMNS($AN$1006:AS1006),$AN$1006:$BO$1006,0)), HYPERLINK("#",""), HYPERLINK(CONCATENATE("#Metadata!", ADDRESS(INDEX($AI$2:$AI$1001,MATCH(ROWS($AG$2:AG363),$AG$2:$AG$1001,0),0), INDEX($AN$1004:$BO$1004,1,MATCH(COLUMNS($AN$1006:AS1006),$AN$1006:$BO$1006,0)))),"Fix")))</f>
        <v>0</v>
      </c>
      <c r="H363" s="4">
        <f>IF(OR(INDEX($AH$2:$AH$1001,MATCH(ROWS($AG$2:AG363),$AG$2:$AG$1001,0),1)&gt;=100000,INDEX($AN$1005:$BO$1005,1,MATCH(COLUMNS($AN$1006:AT1006),$AN$1006:$BO$1006,0))&gt;=100000), " ",IF(INDEX($AN$2:$BO$1001,MATCH(ROWS($AG$2:AG363),$AG$2:$AG$1001,0),MATCH(COLUMNS($AN$1006:AT1006),$AN$1006:$BO$1006,0)), HYPERLINK("#",""), HYPERLINK(CONCATENATE("#Metadata!", ADDRESS(INDEX($AI$2:$AI$1001,MATCH(ROWS($AG$2:AG363),$AG$2:$AG$1001,0),0), INDEX($AN$1004:$BO$1004,1,MATCH(COLUMNS($AN$1006:AT1006),$AN$1006:$BO$1006,0)))),"Fix")))</f>
        <v>0</v>
      </c>
      <c r="I363" s="4">
        <f>IF(OR(INDEX($AH$2:$AH$1001,MATCH(ROWS($AG$2:AG363),$AG$2:$AG$1001,0),1)&gt;=100000,INDEX($AN$1005:$BO$1005,1,MATCH(COLUMNS($AN$1006:AU1006),$AN$1006:$BO$1006,0))&gt;=100000), " ",IF(INDEX($AN$2:$BO$1001,MATCH(ROWS($AG$2:AG363),$AG$2:$AG$1001,0),MATCH(COLUMNS($AN$1006:AU1006),$AN$1006:$BO$1006,0)), HYPERLINK("#",""), HYPERLINK(CONCATENATE("#Metadata!", ADDRESS(INDEX($AI$2:$AI$1001,MATCH(ROWS($AG$2:AG363),$AG$2:$AG$1001,0),0), INDEX($AN$1004:$BO$1004,1,MATCH(COLUMNS($AN$1006:AU1006),$AN$1006:$BO$1006,0)))),"Fix")))</f>
        <v>0</v>
      </c>
      <c r="J363" s="4">
        <f>IF(OR(INDEX($AH$2:$AH$1001,MATCH(ROWS($AG$2:AG363),$AG$2:$AG$1001,0),1)&gt;=100000,INDEX($AN$1005:$BO$1005,1,MATCH(COLUMNS($AN$1006:AV1006),$AN$1006:$BO$1006,0))&gt;=100000), " ",IF(INDEX($AN$2:$BO$1001,MATCH(ROWS($AG$2:AG363),$AG$2:$AG$1001,0),MATCH(COLUMNS($AN$1006:AV1006),$AN$1006:$BO$1006,0)), HYPERLINK("#",""), HYPERLINK(CONCATENATE("#Metadata!", ADDRESS(INDEX($AI$2:$AI$1001,MATCH(ROWS($AG$2:AG363),$AG$2:$AG$1001,0),0), INDEX($AN$1004:$BO$1004,1,MATCH(COLUMNS($AN$1006:AV1006),$AN$1006:$BO$1006,0)))),"Fix")))</f>
        <v>0</v>
      </c>
      <c r="K363" s="4">
        <f>IF(OR(INDEX($AH$2:$AH$1001,MATCH(ROWS($AG$2:AG363),$AG$2:$AG$1001,0),1)&gt;=100000,INDEX($AN$1005:$BO$1005,1,MATCH(COLUMNS($AN$1006:AW1006),$AN$1006:$BO$1006,0))&gt;=100000), " ",IF(INDEX($AN$2:$BO$1001,MATCH(ROWS($AG$2:AG363),$AG$2:$AG$1001,0),MATCH(COLUMNS($AN$1006:AW1006),$AN$1006:$BO$1006,0)), HYPERLINK("#",""), HYPERLINK(CONCATENATE("#Metadata!", ADDRESS(INDEX($AI$2:$AI$1001,MATCH(ROWS($AG$2:AG363),$AG$2:$AG$1001,0),0), INDEX($AN$1004:$BO$1004,1,MATCH(COLUMNS($AN$1006:AW1006),$AN$1006:$BO$1006,0)))),"Fix")))</f>
        <v>0</v>
      </c>
      <c r="L363" s="4">
        <f>IF(OR(INDEX($AH$2:$AH$1001,MATCH(ROWS($AG$2:AG363),$AG$2:$AG$1001,0),1)&gt;=100000,INDEX($AN$1005:$BO$1005,1,MATCH(COLUMNS($AN$1006:AX1006),$AN$1006:$BO$1006,0))&gt;=100000), " ",IF(INDEX($AN$2:$BO$1001,MATCH(ROWS($AG$2:AG363),$AG$2:$AG$1001,0),MATCH(COLUMNS($AN$1006:AX1006),$AN$1006:$BO$1006,0)), HYPERLINK("#",""), HYPERLINK(CONCATENATE("#Metadata!", ADDRESS(INDEX($AI$2:$AI$1001,MATCH(ROWS($AG$2:AG363),$AG$2:$AG$1001,0),0), INDEX($AN$1004:$BO$1004,1,MATCH(COLUMNS($AN$1006:AX1006),$AN$1006:$BO$1006,0)))),"Fix")))</f>
        <v>0</v>
      </c>
      <c r="M363" s="4">
        <f>IF(OR(INDEX($AH$2:$AH$1001,MATCH(ROWS($AG$2:AG363),$AG$2:$AG$1001,0),1)&gt;=100000,INDEX($AN$1005:$BO$1005,1,MATCH(COLUMNS($AN$1006:AY1006),$AN$1006:$BO$1006,0))&gt;=100000), " ",IF(INDEX($AN$2:$BO$1001,MATCH(ROWS($AG$2:AG363),$AG$2:$AG$1001,0),MATCH(COLUMNS($AN$1006:AY1006),$AN$1006:$BO$1006,0)), HYPERLINK("#",""), HYPERLINK(CONCATENATE("#Metadata!", ADDRESS(INDEX($AI$2:$AI$1001,MATCH(ROWS($AG$2:AG363),$AG$2:$AG$1001,0),0), INDEX($AN$1004:$BO$1004,1,MATCH(COLUMNS($AN$1006:AY1006),$AN$1006:$BO$1006,0)))),"Fix")))</f>
        <v>0</v>
      </c>
      <c r="N363" s="4">
        <f>IF(OR(INDEX($AH$2:$AH$1001,MATCH(ROWS($AG$2:AG363),$AG$2:$AG$1001,0),1)&gt;=100000,INDEX($AN$1005:$BO$1005,1,MATCH(COLUMNS($AN$1006:AZ1006),$AN$1006:$BO$1006,0))&gt;=100000), " ",IF(INDEX($AN$2:$BO$1001,MATCH(ROWS($AG$2:AG363),$AG$2:$AG$1001,0),MATCH(COLUMNS($AN$1006:AZ1006),$AN$1006:$BO$1006,0)), HYPERLINK("#",""), HYPERLINK(CONCATENATE("#Metadata!", ADDRESS(INDEX($AI$2:$AI$1001,MATCH(ROWS($AG$2:AG363),$AG$2:$AG$1001,0),0), INDEX($AN$1004:$BO$1004,1,MATCH(COLUMNS($AN$1006:AZ1006),$AN$1006:$BO$1006,0)))),"Fix")))</f>
        <v>0</v>
      </c>
      <c r="O363" s="4">
        <f>IF(OR(INDEX($AH$2:$AH$1001,MATCH(ROWS($AG$2:AG363),$AG$2:$AG$1001,0),1)&gt;=100000,INDEX($AN$1005:$BO$1005,1,MATCH(COLUMNS($AN$1006:BA1006),$AN$1006:$BO$1006,0))&gt;=100000), " ",IF(INDEX($AN$2:$BO$1001,MATCH(ROWS($AG$2:AG363),$AG$2:$AG$1001,0),MATCH(COLUMNS($AN$1006:BA1006),$AN$1006:$BO$1006,0)), HYPERLINK("#",""), HYPERLINK(CONCATENATE("#Metadata!", ADDRESS(INDEX($AI$2:$AI$1001,MATCH(ROWS($AG$2:AG363),$AG$2:$AG$1001,0),0), INDEX($AN$1004:$BO$1004,1,MATCH(COLUMNS($AN$1006:BA1006),$AN$1006:$BO$1006,0)))),"Fix")))</f>
        <v>0</v>
      </c>
      <c r="P363" s="4">
        <f>IF(OR(INDEX($AH$2:$AH$1001,MATCH(ROWS($AG$2:AG363),$AG$2:$AG$1001,0),1)&gt;=100000,INDEX($AN$1005:$BO$1005,1,MATCH(COLUMNS($AN$1006:BB1006),$AN$1006:$BO$1006,0))&gt;=100000), " ",IF(INDEX($AN$2:$BO$1001,MATCH(ROWS($AG$2:AG363),$AG$2:$AG$1001,0),MATCH(COLUMNS($AN$1006:BB1006),$AN$1006:$BO$1006,0)), HYPERLINK("#",""), HYPERLINK(CONCATENATE("#Metadata!", ADDRESS(INDEX($AI$2:$AI$1001,MATCH(ROWS($AG$2:AG363),$AG$2:$AG$1001,0),0), INDEX($AN$1004:$BO$1004,1,MATCH(COLUMNS($AN$1006:BB1006),$AN$1006:$BO$1006,0)))),"Fix")))</f>
        <v>0</v>
      </c>
      <c r="Q363" s="4">
        <f>IF(OR(INDEX($AH$2:$AH$1001,MATCH(ROWS($AG$2:AG363),$AG$2:$AG$1001,0),1)&gt;=100000,INDEX($AN$1005:$BO$1005,1,MATCH(COLUMNS($AN$1006:BC1006),$AN$1006:$BO$1006,0))&gt;=100000), " ",IF(INDEX($AN$2:$BO$1001,MATCH(ROWS($AG$2:AG363),$AG$2:$AG$1001,0),MATCH(COLUMNS($AN$1006:BC1006),$AN$1006:$BO$1006,0)), HYPERLINK("#",""), HYPERLINK(CONCATENATE("#Metadata!", ADDRESS(INDEX($AI$2:$AI$1001,MATCH(ROWS($AG$2:AG363),$AG$2:$AG$1001,0),0), INDEX($AN$1004:$BO$1004,1,MATCH(COLUMNS($AN$1006:BC1006),$AN$1006:$BO$1006,0)))),"Fix")))</f>
        <v>0</v>
      </c>
      <c r="R363" s="4">
        <f>IF(OR(INDEX($AH$2:$AH$1001,MATCH(ROWS($AG$2:AG363),$AG$2:$AG$1001,0),1)&gt;=100000,INDEX($AN$1005:$BO$1005,1,MATCH(COLUMNS($AN$1006:BD1006),$AN$1006:$BO$1006,0))&gt;=100000), " ",IF(INDEX($AN$2:$BO$1001,MATCH(ROWS($AG$2:AG363),$AG$2:$AG$1001,0),MATCH(COLUMNS($AN$1006:BD1006),$AN$1006:$BO$1006,0)), HYPERLINK("#",""), HYPERLINK(CONCATENATE("#Metadata!", ADDRESS(INDEX($AI$2:$AI$1001,MATCH(ROWS($AG$2:AG363),$AG$2:$AG$1001,0),0), INDEX($AN$1004:$BO$1004,1,MATCH(COLUMNS($AN$1006:BD1006),$AN$1006:$BO$1006,0)))),"Fix")))</f>
        <v>0</v>
      </c>
      <c r="S363" s="4">
        <f>IF(OR(INDEX($AH$2:$AH$1001,MATCH(ROWS($AG$2:AG363),$AG$2:$AG$1001,0),1)&gt;=100000,INDEX($AN$1005:$BO$1005,1,MATCH(COLUMNS($AN$1006:BE1006),$AN$1006:$BO$1006,0))&gt;=100000), " ",IF(INDEX($AN$2:$BO$1001,MATCH(ROWS($AG$2:AG363),$AG$2:$AG$1001,0),MATCH(COLUMNS($AN$1006:BE1006),$AN$1006:$BO$1006,0)), HYPERLINK("#",""), HYPERLINK(CONCATENATE("#Metadata!", ADDRESS(INDEX($AI$2:$AI$1001,MATCH(ROWS($AG$2:AG363),$AG$2:$AG$1001,0),0), INDEX($AN$1004:$BO$1004,1,MATCH(COLUMNS($AN$1006:BE1006),$AN$1006:$BO$1006,0)))),"Fix")))</f>
        <v>0</v>
      </c>
      <c r="T363" s="4">
        <f>IF(OR(INDEX($AH$2:$AH$1001,MATCH(ROWS($AG$2:AG363),$AG$2:$AG$1001,0),1)&gt;=100000,INDEX($AN$1005:$BO$1005,1,MATCH(COLUMNS($AN$1006:BF1006),$AN$1006:$BO$1006,0))&gt;=100000), " ",IF(INDEX($AN$2:$BO$1001,MATCH(ROWS($AG$2:AG363),$AG$2:$AG$1001,0),MATCH(COLUMNS($AN$1006:BF1006),$AN$1006:$BO$1006,0)), HYPERLINK("#",""), HYPERLINK(CONCATENATE("#Metadata!", ADDRESS(INDEX($AI$2:$AI$1001,MATCH(ROWS($AG$2:AG363),$AG$2:$AG$1001,0),0), INDEX($AN$1004:$BO$1004,1,MATCH(COLUMNS($AN$1006:BF1006),$AN$1006:$BO$1006,0)))),"Fix")))</f>
        <v>0</v>
      </c>
      <c r="U363" s="4">
        <f>IF(OR(INDEX($AH$2:$AH$1001,MATCH(ROWS($AG$2:AG363),$AG$2:$AG$1001,0),1)&gt;=100000,INDEX($AN$1005:$BO$1005,1,MATCH(COLUMNS($AN$1006:BG1006),$AN$1006:$BO$1006,0))&gt;=100000), " ",IF(INDEX($AN$2:$BO$1001,MATCH(ROWS($AG$2:AG363),$AG$2:$AG$1001,0),MATCH(COLUMNS($AN$1006:BG1006),$AN$1006:$BO$1006,0)), HYPERLINK("#",""), HYPERLINK(CONCATENATE("#Metadata!", ADDRESS(INDEX($AI$2:$AI$1001,MATCH(ROWS($AG$2:AG363),$AG$2:$AG$1001,0),0), INDEX($AN$1004:$BO$1004,1,MATCH(COLUMNS($AN$1006:BG1006),$AN$1006:$BO$1006,0)))),"Fix")))</f>
        <v>0</v>
      </c>
      <c r="V363" s="4">
        <f>IF(OR(INDEX($AH$2:$AH$1001,MATCH(ROWS($AG$2:AG363),$AG$2:$AG$1001,0),1)&gt;=100000,INDEX($AN$1005:$BO$1005,1,MATCH(COLUMNS($AN$1006:BH1006),$AN$1006:$BO$1006,0))&gt;=100000), " ",IF(INDEX($AN$2:$BO$1001,MATCH(ROWS($AG$2:AG363),$AG$2:$AG$1001,0),MATCH(COLUMNS($AN$1006:BH1006),$AN$1006:$BO$1006,0)), HYPERLINK("#",""), HYPERLINK(CONCATENATE("#Metadata!", ADDRESS(INDEX($AI$2:$AI$1001,MATCH(ROWS($AG$2:AG363),$AG$2:$AG$1001,0),0), INDEX($AN$1004:$BO$1004,1,MATCH(COLUMNS($AN$1006:BH1006),$AN$1006:$BO$1006,0)))),"Fix")))</f>
        <v>0</v>
      </c>
      <c r="W363" s="4">
        <f>IF(OR(INDEX($AH$2:$AH$1001,MATCH(ROWS($AG$2:AG363),$AG$2:$AG$1001,0),1)&gt;=100000,INDEX($AN$1005:$BO$1005,1,MATCH(COLUMNS($AN$1006:BI1006),$AN$1006:$BO$1006,0))&gt;=100000), " ",IF(INDEX($AN$2:$BO$1001,MATCH(ROWS($AG$2:AG363),$AG$2:$AG$1001,0),MATCH(COLUMNS($AN$1006:BI1006),$AN$1006:$BO$1006,0)), HYPERLINK("#",""), HYPERLINK(CONCATENATE("#Metadata!", ADDRESS(INDEX($AI$2:$AI$1001,MATCH(ROWS($AG$2:AG363),$AG$2:$AG$1001,0),0), INDEX($AN$1004:$BO$1004,1,MATCH(COLUMNS($AN$1006:BI1006),$AN$1006:$BO$1006,0)))),"Fix")))</f>
        <v>0</v>
      </c>
      <c r="X363" s="4">
        <f>IF(OR(INDEX($AH$2:$AH$1001,MATCH(ROWS($AG$2:AG363),$AG$2:$AG$1001,0),1)&gt;=100000,INDEX($AN$1005:$BO$1005,1,MATCH(COLUMNS($AN$1006:BJ1006),$AN$1006:$BO$1006,0))&gt;=100000), " ",IF(INDEX($AN$2:$BO$1001,MATCH(ROWS($AG$2:AG363),$AG$2:$AG$1001,0),MATCH(COLUMNS($AN$1006:BJ1006),$AN$1006:$BO$1006,0)), HYPERLINK("#",""), HYPERLINK(CONCATENATE("#Metadata!", ADDRESS(INDEX($AI$2:$AI$1001,MATCH(ROWS($AG$2:AG363),$AG$2:$AG$1001,0),0), INDEX($AN$1004:$BO$1004,1,MATCH(COLUMNS($AN$1006:BJ1006),$AN$1006:$BO$1006,0)))),"Fix")))</f>
        <v>0</v>
      </c>
      <c r="Y363" s="4">
        <f>IF(OR(INDEX($AH$2:$AH$1001,MATCH(ROWS($AG$2:AG363),$AG$2:$AG$1001,0),1)&gt;=100000,INDEX($AN$1005:$BO$1005,1,MATCH(COLUMNS($AN$1006:BK1006),$AN$1006:$BO$1006,0))&gt;=100000), " ",IF(INDEX($AN$2:$BO$1001,MATCH(ROWS($AG$2:AG363),$AG$2:$AG$1001,0),MATCH(COLUMNS($AN$1006:BK1006),$AN$1006:$BO$1006,0)), HYPERLINK("#",""), HYPERLINK(CONCATENATE("#Metadata!", ADDRESS(INDEX($AI$2:$AI$1001,MATCH(ROWS($AG$2:AG363),$AG$2:$AG$1001,0),0), INDEX($AN$1004:$BO$1004,1,MATCH(COLUMNS($AN$1006:BK1006),$AN$1006:$BO$1006,0)))),"Fix")))</f>
        <v>0</v>
      </c>
      <c r="Z363" s="4">
        <f>IF(OR(INDEX($AH$2:$AH$1001,MATCH(ROWS($AG$2:AG363),$AG$2:$AG$1001,0),1)&gt;=100000,INDEX($AN$1005:$BO$1005,1,MATCH(COLUMNS($AN$1006:BL1006),$AN$1006:$BO$1006,0))&gt;=100000), " ",IF(INDEX($AN$2:$BO$1001,MATCH(ROWS($AG$2:AG363),$AG$2:$AG$1001,0),MATCH(COLUMNS($AN$1006:BL1006),$AN$1006:$BO$1006,0)), HYPERLINK("#",""), HYPERLINK(CONCATENATE("#Metadata!", ADDRESS(INDEX($AI$2:$AI$1001,MATCH(ROWS($AG$2:AG363),$AG$2:$AG$1001,0),0), INDEX($AN$1004:$BO$1004,1,MATCH(COLUMNS($AN$1006:BL1006),$AN$1006:$BO$1006,0)))),"Fix")))</f>
        <v>0</v>
      </c>
      <c r="AA363" s="4">
        <f>IF(OR(INDEX($AH$2:$AH$1001,MATCH(ROWS($AG$2:AG363),$AG$2:$AG$1001,0),1)&gt;=100000,INDEX($AN$1005:$BO$1005,1,MATCH(COLUMNS($AN$1006:BM1006),$AN$1006:$BO$1006,0))&gt;=100000), " ",IF(INDEX($AN$2:$BO$1001,MATCH(ROWS($AG$2:AG363),$AG$2:$AG$1001,0),MATCH(COLUMNS($AN$1006:BM1006),$AN$1006:$BO$1006,0)), HYPERLINK("#",""), HYPERLINK(CONCATENATE("#Metadata!", ADDRESS(INDEX($AI$2:$AI$1001,MATCH(ROWS($AG$2:AG363),$AG$2:$AG$1001,0),0), INDEX($AN$1004:$BO$1004,1,MATCH(COLUMNS($AN$1006:BM1006),$AN$1006:$BO$1006,0)))),"Fix")))</f>
        <v>0</v>
      </c>
      <c r="AB363" s="4">
        <f>IF(OR(INDEX($AH$2:$AH$1001,MATCH(ROWS($AG$2:AG363),$AG$2:$AG$1001,0),1)&gt;=100000,INDEX($AN$1005:$BO$1005,1,MATCH(COLUMNS($AN$1006:BN1006),$AN$1006:$BO$1006,0))&gt;=100000), " ",IF(INDEX($AN$2:$BO$1001,MATCH(ROWS($AG$2:AG363),$AG$2:$AG$1001,0),MATCH(COLUMNS($AN$1006:BN1006),$AN$1006:$BO$1006,0)), HYPERLINK("#",""), HYPERLINK(CONCATENATE("#Metadata!", ADDRESS(INDEX($AI$2:$AI$1001,MATCH(ROWS($AG$2:AG363),$AG$2:$AG$1001,0),0), INDEX($AN$1004:$BO$1004,1,MATCH(COLUMNS($AN$1006:BN1006),$AN$1006:$BO$1006,0)))),"Fix")))</f>
        <v>0</v>
      </c>
      <c r="AC363" s="4">
        <f>IF(OR(INDEX($AH$2:$AH$1001,MATCH(ROWS($AG$2:AG363),$AG$2:$AG$1001,0),1)&gt;=100000,INDEX($AN$1005:$BO$1005,1,MATCH(COLUMNS($AN$1006:BO1006),$AN$1006:$BO$1006,0))&gt;=100000), " ",IF(INDEX($AN$2:$BO$1001,MATCH(ROWS($AG$2:AG363),$AG$2:$AG$1001,0),MATCH(COLUMNS($AN$1006:BO1006),$AN$1006:$BO$1006,0)), HYPERLINK("#",""), HYPERLINK(CONCATENATE("#Metadata!", ADDRESS(INDEX($AI$2:$AI$1001,MATCH(ROWS($AG$2:AG363),$AG$2:$AG$1001,0),0), INDEX($AN$1004:$BO$1004,1,MATCH(COLUMNS($AN$1006:BO1006),$AN$1006:$BO$1006,0)))),"Fix")))</f>
        <v>0</v>
      </c>
      <c r="AG363">
        <v>0</v>
      </c>
      <c r="AH363">
        <v>0</v>
      </c>
      <c r="AI363">
        <v>0</v>
      </c>
      <c r="AJ363">
        <f>IF(AK363,TRUE,AND(AN363:BO363))</f>
        <v>0</v>
      </c>
      <c r="AK363">
        <f>COUNTBLANK(Metadata!B363:AC363)=COLUMNS(Metadata!B363:AC363)</f>
        <v>0</v>
      </c>
      <c r="AL363">
        <v>0</v>
      </c>
      <c r="AN363">
        <f>AND(IF(Metadata!B363="",FALSE,TRUE),COUNTIF(Metadata!B:B, Metadata!B363) = 1,NOT(ISERROR(SUMPRODUCT(SEARCH(MID(Metadata!B363,ROW(INDIRECT("1:"&amp;LEN(Metadata!B363))), 1),"0123456789abcdefghijklmnopqrstuvwxyzABCDEFGHIJKLMNOPQRSTUVWXYZ.")))))</f>
        <v>0</v>
      </c>
      <c r="AO363">
        <f>IF(Metadata!C363="",FALSE,TRUE)</f>
        <v>0</v>
      </c>
      <c r="AP363">
        <f>IF(Metadata!D363="",FALSE,TRUE)</f>
        <v>0</v>
      </c>
      <c r="AQ363">
        <f>OR(AND(IF(Metadata!E363="",FALSE,TRUE),OR(exact(Metadata!E363,"not collected"),exact(Metadata!E363,"not provided"),exact(Metadata!E363,"restricted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R363">
        <f>IF(Metadata!F363="",FALSE,TRUE)</f>
        <v>0</v>
      </c>
      <c r="AS363">
        <f>OR(AND(IF(Metadata!G363="",FALSE,TRUE),OR(exact(Metadata!G363,"not collected"),exact(Metadata!G363,"not provided"))),AND(IF(Metadata!G363="",FALSE,TRUE),OR(exact(Metadata!G363,"TRUE"),exact(Metadata!G363,"FALSE"))))</f>
        <v>0</v>
      </c>
      <c r="AT363">
        <f>OR(AND(IF(Metadata!H363="",FALSE,TRUE),OR(exact(Metadata!H363,"not collected"),exact(Metadata!H363,"not provided"),exact(Metadata!H363,"restricted access"))),AND(IF(Metadata!H363="",FALSE,ISNUMBER(VALUE(Metadata!H363))),Metadata!H363&gt;=-413.0))</f>
        <v>0</v>
      </c>
      <c r="AU363">
        <f>AND(IF(Metadata!I363="",FALSE,TRUE),exact(Metadata!I363,"meters"))</f>
        <v>0</v>
      </c>
      <c r="AV363">
        <f>AND(IF(Metadata!J363="",FALSE,TRUE),OR(exact(Metadata!J363,"Host-associated"),exact(Metadata!J363,"Free-living")))</f>
        <v>0</v>
      </c>
      <c r="AW363">
        <f>AND(IF(Metadata!K363="",FALSE,TRUE),OR(exact(Metadata!K363,"Animal"),exact(Metadata!K363,"Fungus"),exact(Metadata!K363,"Plant"),exact(Metadata!K363,"Saline"),exact(Metadata!K363,"Non-saline")))</f>
        <v>0</v>
      </c>
      <c r="AX363">
        <f>AND(IF(Metadata!L363="",FALSE,TRUE),OR(exact(Metadata!L363,"Plant secretion"),exact(Metadata!L363,"Plant rhizosphere"),exact(Metadata!L363,"Plant surface"),exact(Metadata!L363,"Plant corpus"),exact(Metadata!L363,"Fungus surface"),exact(Metadata!L363,"Fungus corpus"),exact(Metadata!L363,"Animal surface"),exact(Metadata!L363,"Animal proximal gut"),exact(Metadata!L363,"Animal corpus"),exact(Metadata!L363,"Animal distal gut"),exact(Metadata!L363,"Animal secretion"),exact(Metadata!L363,"Sub-surface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Y363">
        <f>IF(Metadata!M363="",FALSE,TRUE)</f>
        <v>0</v>
      </c>
      <c r="AZ363">
        <f>IF(Metadata!N363="",FALSE,TRUE)</f>
        <v>0</v>
      </c>
      <c r="BA363">
        <f>IF(Metadata!O363="",FALSE,TRUE)</f>
        <v>0</v>
      </c>
      <c r="BB363">
        <f>OR(AND(IF(Metadata!P363="",FALSE,TRUE),OR(exact(Metadata!P363,"not collected"),exact(Metadata!P363,"not provided"),exact(Metadata!P363,"restricted access"))),AND(IF(Metadata!P363="",FALSE,TRUE),OR(exact(Metadata!P363,"air"),exact(Metadata!P363,"built environment"),exact(Metadata!P363,"host-associated"),exact(Metadata!P363,"human-associated"),exact(Metadata!P363,"human-skin"),exact(Metadata!P363,"human-oral"),exact(Metadata!P363,"human-gut"),exact(Metadata!P363,"human-vaginal"),exact(Metadata!P363,"microbial mat/biofilm"),exact(Metadata!P363,"misc environment"),exact(Metadata!P363,"plant-associated"),exact(Metadata!P363,"sediment"),exact(Metadata!P363,"soil"),exact(Metadata!P363,"wastewater/sludge"),exact(Metadata!P363,"water"))))</f>
        <v>0</v>
      </c>
      <c r="BC363">
        <f>IF(Metadata!Q363="",FALSE,TRUE)</f>
        <v>0</v>
      </c>
      <c r="BD363">
        <f>IF(Metadata!R363="",FALSE,TRUE)</f>
        <v>0</v>
      </c>
      <c r="BE363">
        <f>OR(AND(IF(Metadata!S363="",FALSE,TRUE),OR(exact(Metadata!S363,"not collected"),exact(Metadata!S363,"not provided"),exact(Metadata!S363,"restricted access"))),AND(IF(Metadata!S363="",FALSE,ISNUMBER(VALUE(Metadata!S363))),Metadata!S363&gt;=-90.00,Metadata!S363&lt;=90.00))</f>
        <v>0</v>
      </c>
      <c r="BF363">
        <f>AND(IF(Metadata!T363="",FALSE,TRUE),exact(Metadata!T363,"Decimal degrees"))</f>
        <v>0</v>
      </c>
      <c r="BG363">
        <f>OR(AND(IF(Metadata!U363="",FALSE,TRUE),OR(exact(Metadata!U363,"not collected"),exact(Metadata!U363,"not provided"),exact(Metadata!U363,"restricted access"))),AND(IF(Metadata!U363="",FALSE,ISNUMBER(VALUE(Metadata!U363))),Metadata!U363&gt;=-180.00,Metadata!U363&lt;=180.00))</f>
        <v>0</v>
      </c>
      <c r="BH363">
        <f>AND(IF(Metadata!V363="",FALSE,TRUE),exact(Metadata!V363,"Decimal degrees"))</f>
        <v>0</v>
      </c>
      <c r="BI363">
        <f>IF(Metadata!W363="",FALSE,TRUE)</f>
        <v>0</v>
      </c>
      <c r="BJ363">
        <f>OR(AND(IF(Metadata!X363="",FALSE,TRUE),OR(exact(Metadata!X363,"not collected"),exact(Metadata!X363,"not provided"),exact(Metadata!X363,"restricted access"))),AND(IF(Metadata!X363="",FALSE,TRUE),OR(exact(Metadata!X363,"TRUE"),exact(Metadata!X363,"FALSE"))))</f>
        <v>0</v>
      </c>
      <c r="BK363">
        <f>AND(IF(Metadata!Y363="",FALSE,TRUE),exact(Metadata!Y363,"other"))</f>
        <v>0</v>
      </c>
      <c r="BL363">
        <f>IF(Metadata!Z363="",FALSE,TRUE)</f>
        <v>0</v>
      </c>
      <c r="BM363">
        <f>OR(AND(IF(Metadata!AA363="",FALSE,TRUE),OR(exact(Metadata!AA363,"not collected"),exact(Metadata!AA363,"not provided"))),AND(IF(Metadata!AA363="",FALSE,IF(ISERROR(INT(Metadata!AA363)),FALSE,INT(Metadata!AA363)=Metadata!AA363)),Metadata!AA363&gt;0))</f>
        <v>0</v>
      </c>
      <c r="BN363">
        <f>AND(IF(Metadata!AB363="",FALSE,TRUE),exact(Metadata!AB363,"Not applicable"))</f>
        <v>0</v>
      </c>
      <c r="BO363">
        <f>IF(Metadata!AC363="",FALSE,TRUE)</f>
        <v>0</v>
      </c>
    </row>
    <row r="364" spans="1:67">
      <c r="A364" s="5">
        <f>IF(B364=" "," ",HYPERLINK(CONCATENATE("#metadata!",ADDRESS(INDEX($AI$2:$AI$1001,MATCH(ROWS($AG$2:AG364),$AG$2:$AG$1001,0),0),1)),INDEX($AL$2:$AL$1001,MATCH(ROWS($AG$2:AG364),$AG$2:$AG$1001,0),0)))</f>
        <v>0</v>
      </c>
      <c r="B364" s="4">
        <f>IF(OR(INDEX($AH$2:$AH$1001,MATCH(ROWS($AG$2:AG364),$AG$2:$AG$1001,0),1)&gt;=100000,INDEX($AN$1005:$BO$1005,1,MATCH(COLUMNS($AN$1006:AN1006),$AN$1006:$BO$1006,0))&gt;=100000), " ",IF(INDEX($AN$2:$BO$1001,MATCH(ROWS($AG$2:AG364),$AG$2:$AG$1001,0),MATCH(COLUMNS($AN$1006:AN1006),$AN$1006:$BO$1006,0)), HYPERLINK("#",""), HYPERLINK(CONCATENATE("#Metadata!", ADDRESS(INDEX($AI$2:$AI$1001,MATCH(ROWS($AG$2:AG364),$AG$2:$AG$1001,0),0), INDEX($AN$1004:$BO$1004,1,MATCH(COLUMNS($AN$1006:AN1006),$AN$1006:$BO$1006,0)))),"Fix")))</f>
        <v>0</v>
      </c>
      <c r="C364" s="4">
        <f>IF(OR(INDEX($AH$2:$AH$1001,MATCH(ROWS($AG$2:AG364),$AG$2:$AG$1001,0),1)&gt;=100000,INDEX($AN$1005:$BO$1005,1,MATCH(COLUMNS($AN$1006:AO1006),$AN$1006:$BO$1006,0))&gt;=100000), " ",IF(INDEX($AN$2:$BO$1001,MATCH(ROWS($AG$2:AG364),$AG$2:$AG$1001,0),MATCH(COLUMNS($AN$1006:AO1006),$AN$1006:$BO$1006,0)), HYPERLINK("#",""), HYPERLINK(CONCATENATE("#Metadata!", ADDRESS(INDEX($AI$2:$AI$1001,MATCH(ROWS($AG$2:AG364),$AG$2:$AG$1001,0),0), INDEX($AN$1004:$BO$1004,1,MATCH(COLUMNS($AN$1006:AO1006),$AN$1006:$BO$1006,0)))),"Fix")))</f>
        <v>0</v>
      </c>
      <c r="D364" s="4">
        <f>IF(OR(INDEX($AH$2:$AH$1001,MATCH(ROWS($AG$2:AG364),$AG$2:$AG$1001,0),1)&gt;=100000,INDEX($AN$1005:$BO$1005,1,MATCH(COLUMNS($AN$1006:AP1006),$AN$1006:$BO$1006,0))&gt;=100000), " ",IF(INDEX($AN$2:$BO$1001,MATCH(ROWS($AG$2:AG364),$AG$2:$AG$1001,0),MATCH(COLUMNS($AN$1006:AP1006),$AN$1006:$BO$1006,0)), HYPERLINK("#",""), HYPERLINK(CONCATENATE("#Metadata!", ADDRESS(INDEX($AI$2:$AI$1001,MATCH(ROWS($AG$2:AG364),$AG$2:$AG$1001,0),0), INDEX($AN$1004:$BO$1004,1,MATCH(COLUMNS($AN$1006:AP1006),$AN$1006:$BO$1006,0)))),"Fix")))</f>
        <v>0</v>
      </c>
      <c r="E364" s="4">
        <f>IF(OR(INDEX($AH$2:$AH$1001,MATCH(ROWS($AG$2:AG364),$AG$2:$AG$1001,0),1)&gt;=100000,INDEX($AN$1005:$BO$1005,1,MATCH(COLUMNS($AN$1006:AQ1006),$AN$1006:$BO$1006,0))&gt;=100000), " ",IF(INDEX($AN$2:$BO$1001,MATCH(ROWS($AG$2:AG364),$AG$2:$AG$1001,0),MATCH(COLUMNS($AN$1006:AQ1006),$AN$1006:$BO$1006,0)), HYPERLINK("#",""), HYPERLINK(CONCATENATE("#Metadata!", ADDRESS(INDEX($AI$2:$AI$1001,MATCH(ROWS($AG$2:AG364),$AG$2:$AG$1001,0),0), INDEX($AN$1004:$BO$1004,1,MATCH(COLUMNS($AN$1006:AQ1006),$AN$1006:$BO$1006,0)))),"Fix")))</f>
        <v>0</v>
      </c>
      <c r="F364" s="4">
        <f>IF(OR(INDEX($AH$2:$AH$1001,MATCH(ROWS($AG$2:AG364),$AG$2:$AG$1001,0),1)&gt;=100000,INDEX($AN$1005:$BO$1005,1,MATCH(COLUMNS($AN$1006:AR1006),$AN$1006:$BO$1006,0))&gt;=100000), " ",IF(INDEX($AN$2:$BO$1001,MATCH(ROWS($AG$2:AG364),$AG$2:$AG$1001,0),MATCH(COLUMNS($AN$1006:AR1006),$AN$1006:$BO$1006,0)), HYPERLINK("#",""), HYPERLINK(CONCATENATE("#Metadata!", ADDRESS(INDEX($AI$2:$AI$1001,MATCH(ROWS($AG$2:AG364),$AG$2:$AG$1001,0),0), INDEX($AN$1004:$BO$1004,1,MATCH(COLUMNS($AN$1006:AR1006),$AN$1006:$BO$1006,0)))),"Fix")))</f>
        <v>0</v>
      </c>
      <c r="G364" s="4">
        <f>IF(OR(INDEX($AH$2:$AH$1001,MATCH(ROWS($AG$2:AG364),$AG$2:$AG$1001,0),1)&gt;=100000,INDEX($AN$1005:$BO$1005,1,MATCH(COLUMNS($AN$1006:AS1006),$AN$1006:$BO$1006,0))&gt;=100000), " ",IF(INDEX($AN$2:$BO$1001,MATCH(ROWS($AG$2:AG364),$AG$2:$AG$1001,0),MATCH(COLUMNS($AN$1006:AS1006),$AN$1006:$BO$1006,0)), HYPERLINK("#",""), HYPERLINK(CONCATENATE("#Metadata!", ADDRESS(INDEX($AI$2:$AI$1001,MATCH(ROWS($AG$2:AG364),$AG$2:$AG$1001,0),0), INDEX($AN$1004:$BO$1004,1,MATCH(COLUMNS($AN$1006:AS1006),$AN$1006:$BO$1006,0)))),"Fix")))</f>
        <v>0</v>
      </c>
      <c r="H364" s="4">
        <f>IF(OR(INDEX($AH$2:$AH$1001,MATCH(ROWS($AG$2:AG364),$AG$2:$AG$1001,0),1)&gt;=100000,INDEX($AN$1005:$BO$1005,1,MATCH(COLUMNS($AN$1006:AT1006),$AN$1006:$BO$1006,0))&gt;=100000), " ",IF(INDEX($AN$2:$BO$1001,MATCH(ROWS($AG$2:AG364),$AG$2:$AG$1001,0),MATCH(COLUMNS($AN$1006:AT1006),$AN$1006:$BO$1006,0)), HYPERLINK("#",""), HYPERLINK(CONCATENATE("#Metadata!", ADDRESS(INDEX($AI$2:$AI$1001,MATCH(ROWS($AG$2:AG364),$AG$2:$AG$1001,0),0), INDEX($AN$1004:$BO$1004,1,MATCH(COLUMNS($AN$1006:AT1006),$AN$1006:$BO$1006,0)))),"Fix")))</f>
        <v>0</v>
      </c>
      <c r="I364" s="4">
        <f>IF(OR(INDEX($AH$2:$AH$1001,MATCH(ROWS($AG$2:AG364),$AG$2:$AG$1001,0),1)&gt;=100000,INDEX($AN$1005:$BO$1005,1,MATCH(COLUMNS($AN$1006:AU1006),$AN$1006:$BO$1006,0))&gt;=100000), " ",IF(INDEX($AN$2:$BO$1001,MATCH(ROWS($AG$2:AG364),$AG$2:$AG$1001,0),MATCH(COLUMNS($AN$1006:AU1006),$AN$1006:$BO$1006,0)), HYPERLINK("#",""), HYPERLINK(CONCATENATE("#Metadata!", ADDRESS(INDEX($AI$2:$AI$1001,MATCH(ROWS($AG$2:AG364),$AG$2:$AG$1001,0),0), INDEX($AN$1004:$BO$1004,1,MATCH(COLUMNS($AN$1006:AU1006),$AN$1006:$BO$1006,0)))),"Fix")))</f>
        <v>0</v>
      </c>
      <c r="J364" s="4">
        <f>IF(OR(INDEX($AH$2:$AH$1001,MATCH(ROWS($AG$2:AG364),$AG$2:$AG$1001,0),1)&gt;=100000,INDEX($AN$1005:$BO$1005,1,MATCH(COLUMNS($AN$1006:AV1006),$AN$1006:$BO$1006,0))&gt;=100000), " ",IF(INDEX($AN$2:$BO$1001,MATCH(ROWS($AG$2:AG364),$AG$2:$AG$1001,0),MATCH(COLUMNS($AN$1006:AV1006),$AN$1006:$BO$1006,0)), HYPERLINK("#",""), HYPERLINK(CONCATENATE("#Metadata!", ADDRESS(INDEX($AI$2:$AI$1001,MATCH(ROWS($AG$2:AG364),$AG$2:$AG$1001,0),0), INDEX($AN$1004:$BO$1004,1,MATCH(COLUMNS($AN$1006:AV1006),$AN$1006:$BO$1006,0)))),"Fix")))</f>
        <v>0</v>
      </c>
      <c r="K364" s="4">
        <f>IF(OR(INDEX($AH$2:$AH$1001,MATCH(ROWS($AG$2:AG364),$AG$2:$AG$1001,0),1)&gt;=100000,INDEX($AN$1005:$BO$1005,1,MATCH(COLUMNS($AN$1006:AW1006),$AN$1006:$BO$1006,0))&gt;=100000), " ",IF(INDEX($AN$2:$BO$1001,MATCH(ROWS($AG$2:AG364),$AG$2:$AG$1001,0),MATCH(COLUMNS($AN$1006:AW1006),$AN$1006:$BO$1006,0)), HYPERLINK("#",""), HYPERLINK(CONCATENATE("#Metadata!", ADDRESS(INDEX($AI$2:$AI$1001,MATCH(ROWS($AG$2:AG364),$AG$2:$AG$1001,0),0), INDEX($AN$1004:$BO$1004,1,MATCH(COLUMNS($AN$1006:AW1006),$AN$1006:$BO$1006,0)))),"Fix")))</f>
        <v>0</v>
      </c>
      <c r="L364" s="4">
        <f>IF(OR(INDEX($AH$2:$AH$1001,MATCH(ROWS($AG$2:AG364),$AG$2:$AG$1001,0),1)&gt;=100000,INDEX($AN$1005:$BO$1005,1,MATCH(COLUMNS($AN$1006:AX1006),$AN$1006:$BO$1006,0))&gt;=100000), " ",IF(INDEX($AN$2:$BO$1001,MATCH(ROWS($AG$2:AG364),$AG$2:$AG$1001,0),MATCH(COLUMNS($AN$1006:AX1006),$AN$1006:$BO$1006,0)), HYPERLINK("#",""), HYPERLINK(CONCATENATE("#Metadata!", ADDRESS(INDEX($AI$2:$AI$1001,MATCH(ROWS($AG$2:AG364),$AG$2:$AG$1001,0),0), INDEX($AN$1004:$BO$1004,1,MATCH(COLUMNS($AN$1006:AX1006),$AN$1006:$BO$1006,0)))),"Fix")))</f>
        <v>0</v>
      </c>
      <c r="M364" s="4">
        <f>IF(OR(INDEX($AH$2:$AH$1001,MATCH(ROWS($AG$2:AG364),$AG$2:$AG$1001,0),1)&gt;=100000,INDEX($AN$1005:$BO$1005,1,MATCH(COLUMNS($AN$1006:AY1006),$AN$1006:$BO$1006,0))&gt;=100000), " ",IF(INDEX($AN$2:$BO$1001,MATCH(ROWS($AG$2:AG364),$AG$2:$AG$1001,0),MATCH(COLUMNS($AN$1006:AY1006),$AN$1006:$BO$1006,0)), HYPERLINK("#",""), HYPERLINK(CONCATENATE("#Metadata!", ADDRESS(INDEX($AI$2:$AI$1001,MATCH(ROWS($AG$2:AG364),$AG$2:$AG$1001,0),0), INDEX($AN$1004:$BO$1004,1,MATCH(COLUMNS($AN$1006:AY1006),$AN$1006:$BO$1006,0)))),"Fix")))</f>
        <v>0</v>
      </c>
      <c r="N364" s="4">
        <f>IF(OR(INDEX($AH$2:$AH$1001,MATCH(ROWS($AG$2:AG364),$AG$2:$AG$1001,0),1)&gt;=100000,INDEX($AN$1005:$BO$1005,1,MATCH(COLUMNS($AN$1006:AZ1006),$AN$1006:$BO$1006,0))&gt;=100000), " ",IF(INDEX($AN$2:$BO$1001,MATCH(ROWS($AG$2:AG364),$AG$2:$AG$1001,0),MATCH(COLUMNS($AN$1006:AZ1006),$AN$1006:$BO$1006,0)), HYPERLINK("#",""), HYPERLINK(CONCATENATE("#Metadata!", ADDRESS(INDEX($AI$2:$AI$1001,MATCH(ROWS($AG$2:AG364),$AG$2:$AG$1001,0),0), INDEX($AN$1004:$BO$1004,1,MATCH(COLUMNS($AN$1006:AZ1006),$AN$1006:$BO$1006,0)))),"Fix")))</f>
        <v>0</v>
      </c>
      <c r="O364" s="4">
        <f>IF(OR(INDEX($AH$2:$AH$1001,MATCH(ROWS($AG$2:AG364),$AG$2:$AG$1001,0),1)&gt;=100000,INDEX($AN$1005:$BO$1005,1,MATCH(COLUMNS($AN$1006:BA1006),$AN$1006:$BO$1006,0))&gt;=100000), " ",IF(INDEX($AN$2:$BO$1001,MATCH(ROWS($AG$2:AG364),$AG$2:$AG$1001,0),MATCH(COLUMNS($AN$1006:BA1006),$AN$1006:$BO$1006,0)), HYPERLINK("#",""), HYPERLINK(CONCATENATE("#Metadata!", ADDRESS(INDEX($AI$2:$AI$1001,MATCH(ROWS($AG$2:AG364),$AG$2:$AG$1001,0),0), INDEX($AN$1004:$BO$1004,1,MATCH(COLUMNS($AN$1006:BA1006),$AN$1006:$BO$1006,0)))),"Fix")))</f>
        <v>0</v>
      </c>
      <c r="P364" s="4">
        <f>IF(OR(INDEX($AH$2:$AH$1001,MATCH(ROWS($AG$2:AG364),$AG$2:$AG$1001,0),1)&gt;=100000,INDEX($AN$1005:$BO$1005,1,MATCH(COLUMNS($AN$1006:BB1006),$AN$1006:$BO$1006,0))&gt;=100000), " ",IF(INDEX($AN$2:$BO$1001,MATCH(ROWS($AG$2:AG364),$AG$2:$AG$1001,0),MATCH(COLUMNS($AN$1006:BB1006),$AN$1006:$BO$1006,0)), HYPERLINK("#",""), HYPERLINK(CONCATENATE("#Metadata!", ADDRESS(INDEX($AI$2:$AI$1001,MATCH(ROWS($AG$2:AG364),$AG$2:$AG$1001,0),0), INDEX($AN$1004:$BO$1004,1,MATCH(COLUMNS($AN$1006:BB1006),$AN$1006:$BO$1006,0)))),"Fix")))</f>
        <v>0</v>
      </c>
      <c r="Q364" s="4">
        <f>IF(OR(INDEX($AH$2:$AH$1001,MATCH(ROWS($AG$2:AG364),$AG$2:$AG$1001,0),1)&gt;=100000,INDEX($AN$1005:$BO$1005,1,MATCH(COLUMNS($AN$1006:BC1006),$AN$1006:$BO$1006,0))&gt;=100000), " ",IF(INDEX($AN$2:$BO$1001,MATCH(ROWS($AG$2:AG364),$AG$2:$AG$1001,0),MATCH(COLUMNS($AN$1006:BC1006),$AN$1006:$BO$1006,0)), HYPERLINK("#",""), HYPERLINK(CONCATENATE("#Metadata!", ADDRESS(INDEX($AI$2:$AI$1001,MATCH(ROWS($AG$2:AG364),$AG$2:$AG$1001,0),0), INDEX($AN$1004:$BO$1004,1,MATCH(COLUMNS($AN$1006:BC1006),$AN$1006:$BO$1006,0)))),"Fix")))</f>
        <v>0</v>
      </c>
      <c r="R364" s="4">
        <f>IF(OR(INDEX($AH$2:$AH$1001,MATCH(ROWS($AG$2:AG364),$AG$2:$AG$1001,0),1)&gt;=100000,INDEX($AN$1005:$BO$1005,1,MATCH(COLUMNS($AN$1006:BD1006),$AN$1006:$BO$1006,0))&gt;=100000), " ",IF(INDEX($AN$2:$BO$1001,MATCH(ROWS($AG$2:AG364),$AG$2:$AG$1001,0),MATCH(COLUMNS($AN$1006:BD1006),$AN$1006:$BO$1006,0)), HYPERLINK("#",""), HYPERLINK(CONCATENATE("#Metadata!", ADDRESS(INDEX($AI$2:$AI$1001,MATCH(ROWS($AG$2:AG364),$AG$2:$AG$1001,0),0), INDEX($AN$1004:$BO$1004,1,MATCH(COLUMNS($AN$1006:BD1006),$AN$1006:$BO$1006,0)))),"Fix")))</f>
        <v>0</v>
      </c>
      <c r="S364" s="4">
        <f>IF(OR(INDEX($AH$2:$AH$1001,MATCH(ROWS($AG$2:AG364),$AG$2:$AG$1001,0),1)&gt;=100000,INDEX($AN$1005:$BO$1005,1,MATCH(COLUMNS($AN$1006:BE1006),$AN$1006:$BO$1006,0))&gt;=100000), " ",IF(INDEX($AN$2:$BO$1001,MATCH(ROWS($AG$2:AG364),$AG$2:$AG$1001,0),MATCH(COLUMNS($AN$1006:BE1006),$AN$1006:$BO$1006,0)), HYPERLINK("#",""), HYPERLINK(CONCATENATE("#Metadata!", ADDRESS(INDEX($AI$2:$AI$1001,MATCH(ROWS($AG$2:AG364),$AG$2:$AG$1001,0),0), INDEX($AN$1004:$BO$1004,1,MATCH(COLUMNS($AN$1006:BE1006),$AN$1006:$BO$1006,0)))),"Fix")))</f>
        <v>0</v>
      </c>
      <c r="T364" s="4">
        <f>IF(OR(INDEX($AH$2:$AH$1001,MATCH(ROWS($AG$2:AG364),$AG$2:$AG$1001,0),1)&gt;=100000,INDEX($AN$1005:$BO$1005,1,MATCH(COLUMNS($AN$1006:BF1006),$AN$1006:$BO$1006,0))&gt;=100000), " ",IF(INDEX($AN$2:$BO$1001,MATCH(ROWS($AG$2:AG364),$AG$2:$AG$1001,0),MATCH(COLUMNS($AN$1006:BF1006),$AN$1006:$BO$1006,0)), HYPERLINK("#",""), HYPERLINK(CONCATENATE("#Metadata!", ADDRESS(INDEX($AI$2:$AI$1001,MATCH(ROWS($AG$2:AG364),$AG$2:$AG$1001,0),0), INDEX($AN$1004:$BO$1004,1,MATCH(COLUMNS($AN$1006:BF1006),$AN$1006:$BO$1006,0)))),"Fix")))</f>
        <v>0</v>
      </c>
      <c r="U364" s="4">
        <f>IF(OR(INDEX($AH$2:$AH$1001,MATCH(ROWS($AG$2:AG364),$AG$2:$AG$1001,0),1)&gt;=100000,INDEX($AN$1005:$BO$1005,1,MATCH(COLUMNS($AN$1006:BG1006),$AN$1006:$BO$1006,0))&gt;=100000), " ",IF(INDEX($AN$2:$BO$1001,MATCH(ROWS($AG$2:AG364),$AG$2:$AG$1001,0),MATCH(COLUMNS($AN$1006:BG1006),$AN$1006:$BO$1006,0)), HYPERLINK("#",""), HYPERLINK(CONCATENATE("#Metadata!", ADDRESS(INDEX($AI$2:$AI$1001,MATCH(ROWS($AG$2:AG364),$AG$2:$AG$1001,0),0), INDEX($AN$1004:$BO$1004,1,MATCH(COLUMNS($AN$1006:BG1006),$AN$1006:$BO$1006,0)))),"Fix")))</f>
        <v>0</v>
      </c>
      <c r="V364" s="4">
        <f>IF(OR(INDEX($AH$2:$AH$1001,MATCH(ROWS($AG$2:AG364),$AG$2:$AG$1001,0),1)&gt;=100000,INDEX($AN$1005:$BO$1005,1,MATCH(COLUMNS($AN$1006:BH1006),$AN$1006:$BO$1006,0))&gt;=100000), " ",IF(INDEX($AN$2:$BO$1001,MATCH(ROWS($AG$2:AG364),$AG$2:$AG$1001,0),MATCH(COLUMNS($AN$1006:BH1006),$AN$1006:$BO$1006,0)), HYPERLINK("#",""), HYPERLINK(CONCATENATE("#Metadata!", ADDRESS(INDEX($AI$2:$AI$1001,MATCH(ROWS($AG$2:AG364),$AG$2:$AG$1001,0),0), INDEX($AN$1004:$BO$1004,1,MATCH(COLUMNS($AN$1006:BH1006),$AN$1006:$BO$1006,0)))),"Fix")))</f>
        <v>0</v>
      </c>
      <c r="W364" s="4">
        <f>IF(OR(INDEX($AH$2:$AH$1001,MATCH(ROWS($AG$2:AG364),$AG$2:$AG$1001,0),1)&gt;=100000,INDEX($AN$1005:$BO$1005,1,MATCH(COLUMNS($AN$1006:BI1006),$AN$1006:$BO$1006,0))&gt;=100000), " ",IF(INDEX($AN$2:$BO$1001,MATCH(ROWS($AG$2:AG364),$AG$2:$AG$1001,0),MATCH(COLUMNS($AN$1006:BI1006),$AN$1006:$BO$1006,0)), HYPERLINK("#",""), HYPERLINK(CONCATENATE("#Metadata!", ADDRESS(INDEX($AI$2:$AI$1001,MATCH(ROWS($AG$2:AG364),$AG$2:$AG$1001,0),0), INDEX($AN$1004:$BO$1004,1,MATCH(COLUMNS($AN$1006:BI1006),$AN$1006:$BO$1006,0)))),"Fix")))</f>
        <v>0</v>
      </c>
      <c r="X364" s="4">
        <f>IF(OR(INDEX($AH$2:$AH$1001,MATCH(ROWS($AG$2:AG364),$AG$2:$AG$1001,0),1)&gt;=100000,INDEX($AN$1005:$BO$1005,1,MATCH(COLUMNS($AN$1006:BJ1006),$AN$1006:$BO$1006,0))&gt;=100000), " ",IF(INDEX($AN$2:$BO$1001,MATCH(ROWS($AG$2:AG364),$AG$2:$AG$1001,0),MATCH(COLUMNS($AN$1006:BJ1006),$AN$1006:$BO$1006,0)), HYPERLINK("#",""), HYPERLINK(CONCATENATE("#Metadata!", ADDRESS(INDEX($AI$2:$AI$1001,MATCH(ROWS($AG$2:AG364),$AG$2:$AG$1001,0),0), INDEX($AN$1004:$BO$1004,1,MATCH(COLUMNS($AN$1006:BJ1006),$AN$1006:$BO$1006,0)))),"Fix")))</f>
        <v>0</v>
      </c>
      <c r="Y364" s="4">
        <f>IF(OR(INDEX($AH$2:$AH$1001,MATCH(ROWS($AG$2:AG364),$AG$2:$AG$1001,0),1)&gt;=100000,INDEX($AN$1005:$BO$1005,1,MATCH(COLUMNS($AN$1006:BK1006),$AN$1006:$BO$1006,0))&gt;=100000), " ",IF(INDEX($AN$2:$BO$1001,MATCH(ROWS($AG$2:AG364),$AG$2:$AG$1001,0),MATCH(COLUMNS($AN$1006:BK1006),$AN$1006:$BO$1006,0)), HYPERLINK("#",""), HYPERLINK(CONCATENATE("#Metadata!", ADDRESS(INDEX($AI$2:$AI$1001,MATCH(ROWS($AG$2:AG364),$AG$2:$AG$1001,0),0), INDEX($AN$1004:$BO$1004,1,MATCH(COLUMNS($AN$1006:BK1006),$AN$1006:$BO$1006,0)))),"Fix")))</f>
        <v>0</v>
      </c>
      <c r="Z364" s="4">
        <f>IF(OR(INDEX($AH$2:$AH$1001,MATCH(ROWS($AG$2:AG364),$AG$2:$AG$1001,0),1)&gt;=100000,INDEX($AN$1005:$BO$1005,1,MATCH(COLUMNS($AN$1006:BL1006),$AN$1006:$BO$1006,0))&gt;=100000), " ",IF(INDEX($AN$2:$BO$1001,MATCH(ROWS($AG$2:AG364),$AG$2:$AG$1001,0),MATCH(COLUMNS($AN$1006:BL1006),$AN$1006:$BO$1006,0)), HYPERLINK("#",""), HYPERLINK(CONCATENATE("#Metadata!", ADDRESS(INDEX($AI$2:$AI$1001,MATCH(ROWS($AG$2:AG364),$AG$2:$AG$1001,0),0), INDEX($AN$1004:$BO$1004,1,MATCH(COLUMNS($AN$1006:BL1006),$AN$1006:$BO$1006,0)))),"Fix")))</f>
        <v>0</v>
      </c>
      <c r="AA364" s="4">
        <f>IF(OR(INDEX($AH$2:$AH$1001,MATCH(ROWS($AG$2:AG364),$AG$2:$AG$1001,0),1)&gt;=100000,INDEX($AN$1005:$BO$1005,1,MATCH(COLUMNS($AN$1006:BM1006),$AN$1006:$BO$1006,0))&gt;=100000), " ",IF(INDEX($AN$2:$BO$1001,MATCH(ROWS($AG$2:AG364),$AG$2:$AG$1001,0),MATCH(COLUMNS($AN$1006:BM1006),$AN$1006:$BO$1006,0)), HYPERLINK("#",""), HYPERLINK(CONCATENATE("#Metadata!", ADDRESS(INDEX($AI$2:$AI$1001,MATCH(ROWS($AG$2:AG364),$AG$2:$AG$1001,0),0), INDEX($AN$1004:$BO$1004,1,MATCH(COLUMNS($AN$1006:BM1006),$AN$1006:$BO$1006,0)))),"Fix")))</f>
        <v>0</v>
      </c>
      <c r="AB364" s="4">
        <f>IF(OR(INDEX($AH$2:$AH$1001,MATCH(ROWS($AG$2:AG364),$AG$2:$AG$1001,0),1)&gt;=100000,INDEX($AN$1005:$BO$1005,1,MATCH(COLUMNS($AN$1006:BN1006),$AN$1006:$BO$1006,0))&gt;=100000), " ",IF(INDEX($AN$2:$BO$1001,MATCH(ROWS($AG$2:AG364),$AG$2:$AG$1001,0),MATCH(COLUMNS($AN$1006:BN1006),$AN$1006:$BO$1006,0)), HYPERLINK("#",""), HYPERLINK(CONCATENATE("#Metadata!", ADDRESS(INDEX($AI$2:$AI$1001,MATCH(ROWS($AG$2:AG364),$AG$2:$AG$1001,0),0), INDEX($AN$1004:$BO$1004,1,MATCH(COLUMNS($AN$1006:BN1006),$AN$1006:$BO$1006,0)))),"Fix")))</f>
        <v>0</v>
      </c>
      <c r="AC364" s="4">
        <f>IF(OR(INDEX($AH$2:$AH$1001,MATCH(ROWS($AG$2:AG364),$AG$2:$AG$1001,0),1)&gt;=100000,INDEX($AN$1005:$BO$1005,1,MATCH(COLUMNS($AN$1006:BO1006),$AN$1006:$BO$1006,0))&gt;=100000), " ",IF(INDEX($AN$2:$BO$1001,MATCH(ROWS($AG$2:AG364),$AG$2:$AG$1001,0),MATCH(COLUMNS($AN$1006:BO1006),$AN$1006:$BO$1006,0)), HYPERLINK("#",""), HYPERLINK(CONCATENATE("#Metadata!", ADDRESS(INDEX($AI$2:$AI$1001,MATCH(ROWS($AG$2:AG364),$AG$2:$AG$1001,0),0), INDEX($AN$1004:$BO$1004,1,MATCH(COLUMNS($AN$1006:BO1006),$AN$1006:$BO$1006,0)))),"Fix")))</f>
        <v>0</v>
      </c>
      <c r="AG364">
        <v>0</v>
      </c>
      <c r="AH364">
        <v>0</v>
      </c>
      <c r="AI364">
        <v>0</v>
      </c>
      <c r="AJ364">
        <f>IF(AK364,TRUE,AND(AN364:BO364))</f>
        <v>0</v>
      </c>
      <c r="AK364">
        <f>COUNTBLANK(Metadata!B364:AC364)=COLUMNS(Metadata!B364:AC364)</f>
        <v>0</v>
      </c>
      <c r="AL364">
        <v>0</v>
      </c>
      <c r="AN364">
        <f>AND(IF(Metadata!B364="",FALSE,TRUE),COUNTIF(Metadata!B:B, Metadata!B364) = 1,NOT(ISERROR(SUMPRODUCT(SEARCH(MID(Metadata!B364,ROW(INDIRECT("1:"&amp;LEN(Metadata!B364))), 1),"0123456789abcdefghijklmnopqrstuvwxyzABCDEFGHIJKLMNOPQRSTUVWXYZ.")))))</f>
        <v>0</v>
      </c>
      <c r="AO364">
        <f>IF(Metadata!C364="",FALSE,TRUE)</f>
        <v>0</v>
      </c>
      <c r="AP364">
        <f>IF(Metadata!D364="",FALSE,TRUE)</f>
        <v>0</v>
      </c>
      <c r="AQ364">
        <f>OR(AND(IF(Metadata!E364="",FALSE,TRUE),OR(exact(Metadata!E364,"not collected"),exact(Metadata!E364,"not provided"),exact(Metadata!E364,"restricted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R364">
        <f>IF(Metadata!F364="",FALSE,TRUE)</f>
        <v>0</v>
      </c>
      <c r="AS364">
        <f>OR(AND(IF(Metadata!G364="",FALSE,TRUE),OR(exact(Metadata!G364,"not collected"),exact(Metadata!G364,"not provided"))),AND(IF(Metadata!G364="",FALSE,TRUE),OR(exact(Metadata!G364,"TRUE"),exact(Metadata!G364,"FALSE"))))</f>
        <v>0</v>
      </c>
      <c r="AT364">
        <f>OR(AND(IF(Metadata!H364="",FALSE,TRUE),OR(exact(Metadata!H364,"not collected"),exact(Metadata!H364,"not provided"),exact(Metadata!H364,"restricted access"))),AND(IF(Metadata!H364="",FALSE,ISNUMBER(VALUE(Metadata!H364))),Metadata!H364&gt;=-413.0))</f>
        <v>0</v>
      </c>
      <c r="AU364">
        <f>AND(IF(Metadata!I364="",FALSE,TRUE),exact(Metadata!I364,"meters"))</f>
        <v>0</v>
      </c>
      <c r="AV364">
        <f>AND(IF(Metadata!J364="",FALSE,TRUE),OR(exact(Metadata!J364,"Host-associated"),exact(Metadata!J364,"Free-living")))</f>
        <v>0</v>
      </c>
      <c r="AW364">
        <f>AND(IF(Metadata!K364="",FALSE,TRUE),OR(exact(Metadata!K364,"Animal"),exact(Metadata!K364,"Fungus"),exact(Metadata!K364,"Plant"),exact(Metadata!K364,"Saline"),exact(Metadata!K364,"Non-saline")))</f>
        <v>0</v>
      </c>
      <c r="AX364">
        <f>AND(IF(Metadata!L364="",FALSE,TRUE),OR(exact(Metadata!L364,"Plant secretion"),exact(Metadata!L364,"Plant rhizosphere"),exact(Metadata!L364,"Plant surface"),exact(Metadata!L364,"Plant corpus"),exact(Metadata!L364,"Fungus surface"),exact(Metadata!L364,"Fungus corpus"),exact(Metadata!L364,"Animal surface"),exact(Metadata!L364,"Animal proximal gut"),exact(Metadata!L364,"Animal corpus"),exact(Metadata!L364,"Animal distal gut"),exact(Metadata!L364,"Animal secretion"),exact(Metadata!L364,"Sub-surface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Y364">
        <f>IF(Metadata!M364="",FALSE,TRUE)</f>
        <v>0</v>
      </c>
      <c r="AZ364">
        <f>IF(Metadata!N364="",FALSE,TRUE)</f>
        <v>0</v>
      </c>
      <c r="BA364">
        <f>IF(Metadata!O364="",FALSE,TRUE)</f>
        <v>0</v>
      </c>
      <c r="BB364">
        <f>OR(AND(IF(Metadata!P364="",FALSE,TRUE),OR(exact(Metadata!P364,"not collected"),exact(Metadata!P364,"not provided"),exact(Metadata!P364,"restricted access"))),AND(IF(Metadata!P364="",FALSE,TRUE),OR(exact(Metadata!P364,"air"),exact(Metadata!P364,"built environment"),exact(Metadata!P364,"host-associated"),exact(Metadata!P364,"human-associated"),exact(Metadata!P364,"human-skin"),exact(Metadata!P364,"human-oral"),exact(Metadata!P364,"human-gut"),exact(Metadata!P364,"human-vaginal"),exact(Metadata!P364,"microbial mat/biofilm"),exact(Metadata!P364,"misc environment"),exact(Metadata!P364,"plant-associated"),exact(Metadata!P364,"sediment"),exact(Metadata!P364,"soil"),exact(Metadata!P364,"wastewater/sludge"),exact(Metadata!P364,"water"))))</f>
        <v>0</v>
      </c>
      <c r="BC364">
        <f>IF(Metadata!Q364="",FALSE,TRUE)</f>
        <v>0</v>
      </c>
      <c r="BD364">
        <f>IF(Metadata!R364="",FALSE,TRUE)</f>
        <v>0</v>
      </c>
      <c r="BE364">
        <f>OR(AND(IF(Metadata!S364="",FALSE,TRUE),OR(exact(Metadata!S364,"not collected"),exact(Metadata!S364,"not provided"),exact(Metadata!S364,"restricted access"))),AND(IF(Metadata!S364="",FALSE,ISNUMBER(VALUE(Metadata!S364))),Metadata!S364&gt;=-90.00,Metadata!S364&lt;=90.00))</f>
        <v>0</v>
      </c>
      <c r="BF364">
        <f>AND(IF(Metadata!T364="",FALSE,TRUE),exact(Metadata!T364,"Decimal degrees"))</f>
        <v>0</v>
      </c>
      <c r="BG364">
        <f>OR(AND(IF(Metadata!U364="",FALSE,TRUE),OR(exact(Metadata!U364,"not collected"),exact(Metadata!U364,"not provided"),exact(Metadata!U364,"restricted access"))),AND(IF(Metadata!U364="",FALSE,ISNUMBER(VALUE(Metadata!U364))),Metadata!U364&gt;=-180.00,Metadata!U364&lt;=180.00))</f>
        <v>0</v>
      </c>
      <c r="BH364">
        <f>AND(IF(Metadata!V364="",FALSE,TRUE),exact(Metadata!V364,"Decimal degrees"))</f>
        <v>0</v>
      </c>
      <c r="BI364">
        <f>IF(Metadata!W364="",FALSE,TRUE)</f>
        <v>0</v>
      </c>
      <c r="BJ364">
        <f>OR(AND(IF(Metadata!X364="",FALSE,TRUE),OR(exact(Metadata!X364,"not collected"),exact(Metadata!X364,"not provided"),exact(Metadata!X364,"restricted access"))),AND(IF(Metadata!X364="",FALSE,TRUE),OR(exact(Metadata!X364,"TRUE"),exact(Metadata!X364,"FALSE"))))</f>
        <v>0</v>
      </c>
      <c r="BK364">
        <f>AND(IF(Metadata!Y364="",FALSE,TRUE),exact(Metadata!Y364,"other"))</f>
        <v>0</v>
      </c>
      <c r="BL364">
        <f>IF(Metadata!Z364="",FALSE,TRUE)</f>
        <v>0</v>
      </c>
      <c r="BM364">
        <f>OR(AND(IF(Metadata!AA364="",FALSE,TRUE),OR(exact(Metadata!AA364,"not collected"),exact(Metadata!AA364,"not provided"))),AND(IF(Metadata!AA364="",FALSE,IF(ISERROR(INT(Metadata!AA364)),FALSE,INT(Metadata!AA364)=Metadata!AA364)),Metadata!AA364&gt;0))</f>
        <v>0</v>
      </c>
      <c r="BN364">
        <f>AND(IF(Metadata!AB364="",FALSE,TRUE),exact(Metadata!AB364,"Not applicable"))</f>
        <v>0</v>
      </c>
      <c r="BO364">
        <f>IF(Metadata!AC364="",FALSE,TRUE)</f>
        <v>0</v>
      </c>
    </row>
    <row r="365" spans="1:67">
      <c r="A365" s="5">
        <f>IF(B365=" "," ",HYPERLINK(CONCATENATE("#metadata!",ADDRESS(INDEX($AI$2:$AI$1001,MATCH(ROWS($AG$2:AG365),$AG$2:$AG$1001,0),0),1)),INDEX($AL$2:$AL$1001,MATCH(ROWS($AG$2:AG365),$AG$2:$AG$1001,0),0)))</f>
        <v>0</v>
      </c>
      <c r="B365" s="4">
        <f>IF(OR(INDEX($AH$2:$AH$1001,MATCH(ROWS($AG$2:AG365),$AG$2:$AG$1001,0),1)&gt;=100000,INDEX($AN$1005:$BO$1005,1,MATCH(COLUMNS($AN$1006:AN1006),$AN$1006:$BO$1006,0))&gt;=100000), " ",IF(INDEX($AN$2:$BO$1001,MATCH(ROWS($AG$2:AG365),$AG$2:$AG$1001,0),MATCH(COLUMNS($AN$1006:AN1006),$AN$1006:$BO$1006,0)), HYPERLINK("#",""), HYPERLINK(CONCATENATE("#Metadata!", ADDRESS(INDEX($AI$2:$AI$1001,MATCH(ROWS($AG$2:AG365),$AG$2:$AG$1001,0),0), INDEX($AN$1004:$BO$1004,1,MATCH(COLUMNS($AN$1006:AN1006),$AN$1006:$BO$1006,0)))),"Fix")))</f>
        <v>0</v>
      </c>
      <c r="C365" s="4">
        <f>IF(OR(INDEX($AH$2:$AH$1001,MATCH(ROWS($AG$2:AG365),$AG$2:$AG$1001,0),1)&gt;=100000,INDEX($AN$1005:$BO$1005,1,MATCH(COLUMNS($AN$1006:AO1006),$AN$1006:$BO$1006,0))&gt;=100000), " ",IF(INDEX($AN$2:$BO$1001,MATCH(ROWS($AG$2:AG365),$AG$2:$AG$1001,0),MATCH(COLUMNS($AN$1006:AO1006),$AN$1006:$BO$1006,0)), HYPERLINK("#",""), HYPERLINK(CONCATENATE("#Metadata!", ADDRESS(INDEX($AI$2:$AI$1001,MATCH(ROWS($AG$2:AG365),$AG$2:$AG$1001,0),0), INDEX($AN$1004:$BO$1004,1,MATCH(COLUMNS($AN$1006:AO1006),$AN$1006:$BO$1006,0)))),"Fix")))</f>
        <v>0</v>
      </c>
      <c r="D365" s="4">
        <f>IF(OR(INDEX($AH$2:$AH$1001,MATCH(ROWS($AG$2:AG365),$AG$2:$AG$1001,0),1)&gt;=100000,INDEX($AN$1005:$BO$1005,1,MATCH(COLUMNS($AN$1006:AP1006),$AN$1006:$BO$1006,0))&gt;=100000), " ",IF(INDEX($AN$2:$BO$1001,MATCH(ROWS($AG$2:AG365),$AG$2:$AG$1001,0),MATCH(COLUMNS($AN$1006:AP1006),$AN$1006:$BO$1006,0)), HYPERLINK("#",""), HYPERLINK(CONCATENATE("#Metadata!", ADDRESS(INDEX($AI$2:$AI$1001,MATCH(ROWS($AG$2:AG365),$AG$2:$AG$1001,0),0), INDEX($AN$1004:$BO$1004,1,MATCH(COLUMNS($AN$1006:AP1006),$AN$1006:$BO$1006,0)))),"Fix")))</f>
        <v>0</v>
      </c>
      <c r="E365" s="4">
        <f>IF(OR(INDEX($AH$2:$AH$1001,MATCH(ROWS($AG$2:AG365),$AG$2:$AG$1001,0),1)&gt;=100000,INDEX($AN$1005:$BO$1005,1,MATCH(COLUMNS($AN$1006:AQ1006),$AN$1006:$BO$1006,0))&gt;=100000), " ",IF(INDEX($AN$2:$BO$1001,MATCH(ROWS($AG$2:AG365),$AG$2:$AG$1001,0),MATCH(COLUMNS($AN$1006:AQ1006),$AN$1006:$BO$1006,0)), HYPERLINK("#",""), HYPERLINK(CONCATENATE("#Metadata!", ADDRESS(INDEX($AI$2:$AI$1001,MATCH(ROWS($AG$2:AG365),$AG$2:$AG$1001,0),0), INDEX($AN$1004:$BO$1004,1,MATCH(COLUMNS($AN$1006:AQ1006),$AN$1006:$BO$1006,0)))),"Fix")))</f>
        <v>0</v>
      </c>
      <c r="F365" s="4">
        <f>IF(OR(INDEX($AH$2:$AH$1001,MATCH(ROWS($AG$2:AG365),$AG$2:$AG$1001,0),1)&gt;=100000,INDEX($AN$1005:$BO$1005,1,MATCH(COLUMNS($AN$1006:AR1006),$AN$1006:$BO$1006,0))&gt;=100000), " ",IF(INDEX($AN$2:$BO$1001,MATCH(ROWS($AG$2:AG365),$AG$2:$AG$1001,0),MATCH(COLUMNS($AN$1006:AR1006),$AN$1006:$BO$1006,0)), HYPERLINK("#",""), HYPERLINK(CONCATENATE("#Metadata!", ADDRESS(INDEX($AI$2:$AI$1001,MATCH(ROWS($AG$2:AG365),$AG$2:$AG$1001,0),0), INDEX($AN$1004:$BO$1004,1,MATCH(COLUMNS($AN$1006:AR1006),$AN$1006:$BO$1006,0)))),"Fix")))</f>
        <v>0</v>
      </c>
      <c r="G365" s="4">
        <f>IF(OR(INDEX($AH$2:$AH$1001,MATCH(ROWS($AG$2:AG365),$AG$2:$AG$1001,0),1)&gt;=100000,INDEX($AN$1005:$BO$1005,1,MATCH(COLUMNS($AN$1006:AS1006),$AN$1006:$BO$1006,0))&gt;=100000), " ",IF(INDEX($AN$2:$BO$1001,MATCH(ROWS($AG$2:AG365),$AG$2:$AG$1001,0),MATCH(COLUMNS($AN$1006:AS1006),$AN$1006:$BO$1006,0)), HYPERLINK("#",""), HYPERLINK(CONCATENATE("#Metadata!", ADDRESS(INDEX($AI$2:$AI$1001,MATCH(ROWS($AG$2:AG365),$AG$2:$AG$1001,0),0), INDEX($AN$1004:$BO$1004,1,MATCH(COLUMNS($AN$1006:AS1006),$AN$1006:$BO$1006,0)))),"Fix")))</f>
        <v>0</v>
      </c>
      <c r="H365" s="4">
        <f>IF(OR(INDEX($AH$2:$AH$1001,MATCH(ROWS($AG$2:AG365),$AG$2:$AG$1001,0),1)&gt;=100000,INDEX($AN$1005:$BO$1005,1,MATCH(COLUMNS($AN$1006:AT1006),$AN$1006:$BO$1006,0))&gt;=100000), " ",IF(INDEX($AN$2:$BO$1001,MATCH(ROWS($AG$2:AG365),$AG$2:$AG$1001,0),MATCH(COLUMNS($AN$1006:AT1006),$AN$1006:$BO$1006,0)), HYPERLINK("#",""), HYPERLINK(CONCATENATE("#Metadata!", ADDRESS(INDEX($AI$2:$AI$1001,MATCH(ROWS($AG$2:AG365),$AG$2:$AG$1001,0),0), INDEX($AN$1004:$BO$1004,1,MATCH(COLUMNS($AN$1006:AT1006),$AN$1006:$BO$1006,0)))),"Fix")))</f>
        <v>0</v>
      </c>
      <c r="I365" s="4">
        <f>IF(OR(INDEX($AH$2:$AH$1001,MATCH(ROWS($AG$2:AG365),$AG$2:$AG$1001,0),1)&gt;=100000,INDEX($AN$1005:$BO$1005,1,MATCH(COLUMNS($AN$1006:AU1006),$AN$1006:$BO$1006,0))&gt;=100000), " ",IF(INDEX($AN$2:$BO$1001,MATCH(ROWS($AG$2:AG365),$AG$2:$AG$1001,0),MATCH(COLUMNS($AN$1006:AU1006),$AN$1006:$BO$1006,0)), HYPERLINK("#",""), HYPERLINK(CONCATENATE("#Metadata!", ADDRESS(INDEX($AI$2:$AI$1001,MATCH(ROWS($AG$2:AG365),$AG$2:$AG$1001,0),0), INDEX($AN$1004:$BO$1004,1,MATCH(COLUMNS($AN$1006:AU1006),$AN$1006:$BO$1006,0)))),"Fix")))</f>
        <v>0</v>
      </c>
      <c r="J365" s="4">
        <f>IF(OR(INDEX($AH$2:$AH$1001,MATCH(ROWS($AG$2:AG365),$AG$2:$AG$1001,0),1)&gt;=100000,INDEX($AN$1005:$BO$1005,1,MATCH(COLUMNS($AN$1006:AV1006),$AN$1006:$BO$1006,0))&gt;=100000), " ",IF(INDEX($AN$2:$BO$1001,MATCH(ROWS($AG$2:AG365),$AG$2:$AG$1001,0),MATCH(COLUMNS($AN$1006:AV1006),$AN$1006:$BO$1006,0)), HYPERLINK("#",""), HYPERLINK(CONCATENATE("#Metadata!", ADDRESS(INDEX($AI$2:$AI$1001,MATCH(ROWS($AG$2:AG365),$AG$2:$AG$1001,0),0), INDEX($AN$1004:$BO$1004,1,MATCH(COLUMNS($AN$1006:AV1006),$AN$1006:$BO$1006,0)))),"Fix")))</f>
        <v>0</v>
      </c>
      <c r="K365" s="4">
        <f>IF(OR(INDEX($AH$2:$AH$1001,MATCH(ROWS($AG$2:AG365),$AG$2:$AG$1001,0),1)&gt;=100000,INDEX($AN$1005:$BO$1005,1,MATCH(COLUMNS($AN$1006:AW1006),$AN$1006:$BO$1006,0))&gt;=100000), " ",IF(INDEX($AN$2:$BO$1001,MATCH(ROWS($AG$2:AG365),$AG$2:$AG$1001,0),MATCH(COLUMNS($AN$1006:AW1006),$AN$1006:$BO$1006,0)), HYPERLINK("#",""), HYPERLINK(CONCATENATE("#Metadata!", ADDRESS(INDEX($AI$2:$AI$1001,MATCH(ROWS($AG$2:AG365),$AG$2:$AG$1001,0),0), INDEX($AN$1004:$BO$1004,1,MATCH(COLUMNS($AN$1006:AW1006),$AN$1006:$BO$1006,0)))),"Fix")))</f>
        <v>0</v>
      </c>
      <c r="L365" s="4">
        <f>IF(OR(INDEX($AH$2:$AH$1001,MATCH(ROWS($AG$2:AG365),$AG$2:$AG$1001,0),1)&gt;=100000,INDEX($AN$1005:$BO$1005,1,MATCH(COLUMNS($AN$1006:AX1006),$AN$1006:$BO$1006,0))&gt;=100000), " ",IF(INDEX($AN$2:$BO$1001,MATCH(ROWS($AG$2:AG365),$AG$2:$AG$1001,0),MATCH(COLUMNS($AN$1006:AX1006),$AN$1006:$BO$1006,0)), HYPERLINK("#",""), HYPERLINK(CONCATENATE("#Metadata!", ADDRESS(INDEX($AI$2:$AI$1001,MATCH(ROWS($AG$2:AG365),$AG$2:$AG$1001,0),0), INDEX($AN$1004:$BO$1004,1,MATCH(COLUMNS($AN$1006:AX1006),$AN$1006:$BO$1006,0)))),"Fix")))</f>
        <v>0</v>
      </c>
      <c r="M365" s="4">
        <f>IF(OR(INDEX($AH$2:$AH$1001,MATCH(ROWS($AG$2:AG365),$AG$2:$AG$1001,0),1)&gt;=100000,INDEX($AN$1005:$BO$1005,1,MATCH(COLUMNS($AN$1006:AY1006),$AN$1006:$BO$1006,0))&gt;=100000), " ",IF(INDEX($AN$2:$BO$1001,MATCH(ROWS($AG$2:AG365),$AG$2:$AG$1001,0),MATCH(COLUMNS($AN$1006:AY1006),$AN$1006:$BO$1006,0)), HYPERLINK("#",""), HYPERLINK(CONCATENATE("#Metadata!", ADDRESS(INDEX($AI$2:$AI$1001,MATCH(ROWS($AG$2:AG365),$AG$2:$AG$1001,0),0), INDEX($AN$1004:$BO$1004,1,MATCH(COLUMNS($AN$1006:AY1006),$AN$1006:$BO$1006,0)))),"Fix")))</f>
        <v>0</v>
      </c>
      <c r="N365" s="4">
        <f>IF(OR(INDEX($AH$2:$AH$1001,MATCH(ROWS($AG$2:AG365),$AG$2:$AG$1001,0),1)&gt;=100000,INDEX($AN$1005:$BO$1005,1,MATCH(COLUMNS($AN$1006:AZ1006),$AN$1006:$BO$1006,0))&gt;=100000), " ",IF(INDEX($AN$2:$BO$1001,MATCH(ROWS($AG$2:AG365),$AG$2:$AG$1001,0),MATCH(COLUMNS($AN$1006:AZ1006),$AN$1006:$BO$1006,0)), HYPERLINK("#",""), HYPERLINK(CONCATENATE("#Metadata!", ADDRESS(INDEX($AI$2:$AI$1001,MATCH(ROWS($AG$2:AG365),$AG$2:$AG$1001,0),0), INDEX($AN$1004:$BO$1004,1,MATCH(COLUMNS($AN$1006:AZ1006),$AN$1006:$BO$1006,0)))),"Fix")))</f>
        <v>0</v>
      </c>
      <c r="O365" s="4">
        <f>IF(OR(INDEX($AH$2:$AH$1001,MATCH(ROWS($AG$2:AG365),$AG$2:$AG$1001,0),1)&gt;=100000,INDEX($AN$1005:$BO$1005,1,MATCH(COLUMNS($AN$1006:BA1006),$AN$1006:$BO$1006,0))&gt;=100000), " ",IF(INDEX($AN$2:$BO$1001,MATCH(ROWS($AG$2:AG365),$AG$2:$AG$1001,0),MATCH(COLUMNS($AN$1006:BA1006),$AN$1006:$BO$1006,0)), HYPERLINK("#",""), HYPERLINK(CONCATENATE("#Metadata!", ADDRESS(INDEX($AI$2:$AI$1001,MATCH(ROWS($AG$2:AG365),$AG$2:$AG$1001,0),0), INDEX($AN$1004:$BO$1004,1,MATCH(COLUMNS($AN$1006:BA1006),$AN$1006:$BO$1006,0)))),"Fix")))</f>
        <v>0</v>
      </c>
      <c r="P365" s="4">
        <f>IF(OR(INDEX($AH$2:$AH$1001,MATCH(ROWS($AG$2:AG365),$AG$2:$AG$1001,0),1)&gt;=100000,INDEX($AN$1005:$BO$1005,1,MATCH(COLUMNS($AN$1006:BB1006),$AN$1006:$BO$1006,0))&gt;=100000), " ",IF(INDEX($AN$2:$BO$1001,MATCH(ROWS($AG$2:AG365),$AG$2:$AG$1001,0),MATCH(COLUMNS($AN$1006:BB1006),$AN$1006:$BO$1006,0)), HYPERLINK("#",""), HYPERLINK(CONCATENATE("#Metadata!", ADDRESS(INDEX($AI$2:$AI$1001,MATCH(ROWS($AG$2:AG365),$AG$2:$AG$1001,0),0), INDEX($AN$1004:$BO$1004,1,MATCH(COLUMNS($AN$1006:BB1006),$AN$1006:$BO$1006,0)))),"Fix")))</f>
        <v>0</v>
      </c>
      <c r="Q365" s="4">
        <f>IF(OR(INDEX($AH$2:$AH$1001,MATCH(ROWS($AG$2:AG365),$AG$2:$AG$1001,0),1)&gt;=100000,INDEX($AN$1005:$BO$1005,1,MATCH(COLUMNS($AN$1006:BC1006),$AN$1006:$BO$1006,0))&gt;=100000), " ",IF(INDEX($AN$2:$BO$1001,MATCH(ROWS($AG$2:AG365),$AG$2:$AG$1001,0),MATCH(COLUMNS($AN$1006:BC1006),$AN$1006:$BO$1006,0)), HYPERLINK("#",""), HYPERLINK(CONCATENATE("#Metadata!", ADDRESS(INDEX($AI$2:$AI$1001,MATCH(ROWS($AG$2:AG365),$AG$2:$AG$1001,0),0), INDEX($AN$1004:$BO$1004,1,MATCH(COLUMNS($AN$1006:BC1006),$AN$1006:$BO$1006,0)))),"Fix")))</f>
        <v>0</v>
      </c>
      <c r="R365" s="4">
        <f>IF(OR(INDEX($AH$2:$AH$1001,MATCH(ROWS($AG$2:AG365),$AG$2:$AG$1001,0),1)&gt;=100000,INDEX($AN$1005:$BO$1005,1,MATCH(COLUMNS($AN$1006:BD1006),$AN$1006:$BO$1006,0))&gt;=100000), " ",IF(INDEX($AN$2:$BO$1001,MATCH(ROWS($AG$2:AG365),$AG$2:$AG$1001,0),MATCH(COLUMNS($AN$1006:BD1006),$AN$1006:$BO$1006,0)), HYPERLINK("#",""), HYPERLINK(CONCATENATE("#Metadata!", ADDRESS(INDEX($AI$2:$AI$1001,MATCH(ROWS($AG$2:AG365),$AG$2:$AG$1001,0),0), INDEX($AN$1004:$BO$1004,1,MATCH(COLUMNS($AN$1006:BD1006),$AN$1006:$BO$1006,0)))),"Fix")))</f>
        <v>0</v>
      </c>
      <c r="S365" s="4">
        <f>IF(OR(INDEX($AH$2:$AH$1001,MATCH(ROWS($AG$2:AG365),$AG$2:$AG$1001,0),1)&gt;=100000,INDEX($AN$1005:$BO$1005,1,MATCH(COLUMNS($AN$1006:BE1006),$AN$1006:$BO$1006,0))&gt;=100000), " ",IF(INDEX($AN$2:$BO$1001,MATCH(ROWS($AG$2:AG365),$AG$2:$AG$1001,0),MATCH(COLUMNS($AN$1006:BE1006),$AN$1006:$BO$1006,0)), HYPERLINK("#",""), HYPERLINK(CONCATENATE("#Metadata!", ADDRESS(INDEX($AI$2:$AI$1001,MATCH(ROWS($AG$2:AG365),$AG$2:$AG$1001,0),0), INDEX($AN$1004:$BO$1004,1,MATCH(COLUMNS($AN$1006:BE1006),$AN$1006:$BO$1006,0)))),"Fix")))</f>
        <v>0</v>
      </c>
      <c r="T365" s="4">
        <f>IF(OR(INDEX($AH$2:$AH$1001,MATCH(ROWS($AG$2:AG365),$AG$2:$AG$1001,0),1)&gt;=100000,INDEX($AN$1005:$BO$1005,1,MATCH(COLUMNS($AN$1006:BF1006),$AN$1006:$BO$1006,0))&gt;=100000), " ",IF(INDEX($AN$2:$BO$1001,MATCH(ROWS($AG$2:AG365),$AG$2:$AG$1001,0),MATCH(COLUMNS($AN$1006:BF1006),$AN$1006:$BO$1006,0)), HYPERLINK("#",""), HYPERLINK(CONCATENATE("#Metadata!", ADDRESS(INDEX($AI$2:$AI$1001,MATCH(ROWS($AG$2:AG365),$AG$2:$AG$1001,0),0), INDEX($AN$1004:$BO$1004,1,MATCH(COLUMNS($AN$1006:BF1006),$AN$1006:$BO$1006,0)))),"Fix")))</f>
        <v>0</v>
      </c>
      <c r="U365" s="4">
        <f>IF(OR(INDEX($AH$2:$AH$1001,MATCH(ROWS($AG$2:AG365),$AG$2:$AG$1001,0),1)&gt;=100000,INDEX($AN$1005:$BO$1005,1,MATCH(COLUMNS($AN$1006:BG1006),$AN$1006:$BO$1006,0))&gt;=100000), " ",IF(INDEX($AN$2:$BO$1001,MATCH(ROWS($AG$2:AG365),$AG$2:$AG$1001,0),MATCH(COLUMNS($AN$1006:BG1006),$AN$1006:$BO$1006,0)), HYPERLINK("#",""), HYPERLINK(CONCATENATE("#Metadata!", ADDRESS(INDEX($AI$2:$AI$1001,MATCH(ROWS($AG$2:AG365),$AG$2:$AG$1001,0),0), INDEX($AN$1004:$BO$1004,1,MATCH(COLUMNS($AN$1006:BG1006),$AN$1006:$BO$1006,0)))),"Fix")))</f>
        <v>0</v>
      </c>
      <c r="V365" s="4">
        <f>IF(OR(INDEX($AH$2:$AH$1001,MATCH(ROWS($AG$2:AG365),$AG$2:$AG$1001,0),1)&gt;=100000,INDEX($AN$1005:$BO$1005,1,MATCH(COLUMNS($AN$1006:BH1006),$AN$1006:$BO$1006,0))&gt;=100000), " ",IF(INDEX($AN$2:$BO$1001,MATCH(ROWS($AG$2:AG365),$AG$2:$AG$1001,0),MATCH(COLUMNS($AN$1006:BH1006),$AN$1006:$BO$1006,0)), HYPERLINK("#",""), HYPERLINK(CONCATENATE("#Metadata!", ADDRESS(INDEX($AI$2:$AI$1001,MATCH(ROWS($AG$2:AG365),$AG$2:$AG$1001,0),0), INDEX($AN$1004:$BO$1004,1,MATCH(COLUMNS($AN$1006:BH1006),$AN$1006:$BO$1006,0)))),"Fix")))</f>
        <v>0</v>
      </c>
      <c r="W365" s="4">
        <f>IF(OR(INDEX($AH$2:$AH$1001,MATCH(ROWS($AG$2:AG365),$AG$2:$AG$1001,0),1)&gt;=100000,INDEX($AN$1005:$BO$1005,1,MATCH(COLUMNS($AN$1006:BI1006),$AN$1006:$BO$1006,0))&gt;=100000), " ",IF(INDEX($AN$2:$BO$1001,MATCH(ROWS($AG$2:AG365),$AG$2:$AG$1001,0),MATCH(COLUMNS($AN$1006:BI1006),$AN$1006:$BO$1006,0)), HYPERLINK("#",""), HYPERLINK(CONCATENATE("#Metadata!", ADDRESS(INDEX($AI$2:$AI$1001,MATCH(ROWS($AG$2:AG365),$AG$2:$AG$1001,0),0), INDEX($AN$1004:$BO$1004,1,MATCH(COLUMNS($AN$1006:BI1006),$AN$1006:$BO$1006,0)))),"Fix")))</f>
        <v>0</v>
      </c>
      <c r="X365" s="4">
        <f>IF(OR(INDEX($AH$2:$AH$1001,MATCH(ROWS($AG$2:AG365),$AG$2:$AG$1001,0),1)&gt;=100000,INDEX($AN$1005:$BO$1005,1,MATCH(COLUMNS($AN$1006:BJ1006),$AN$1006:$BO$1006,0))&gt;=100000), " ",IF(INDEX($AN$2:$BO$1001,MATCH(ROWS($AG$2:AG365),$AG$2:$AG$1001,0),MATCH(COLUMNS($AN$1006:BJ1006),$AN$1006:$BO$1006,0)), HYPERLINK("#",""), HYPERLINK(CONCATENATE("#Metadata!", ADDRESS(INDEX($AI$2:$AI$1001,MATCH(ROWS($AG$2:AG365),$AG$2:$AG$1001,0),0), INDEX($AN$1004:$BO$1004,1,MATCH(COLUMNS($AN$1006:BJ1006),$AN$1006:$BO$1006,0)))),"Fix")))</f>
        <v>0</v>
      </c>
      <c r="Y365" s="4">
        <f>IF(OR(INDEX($AH$2:$AH$1001,MATCH(ROWS($AG$2:AG365),$AG$2:$AG$1001,0),1)&gt;=100000,INDEX($AN$1005:$BO$1005,1,MATCH(COLUMNS($AN$1006:BK1006),$AN$1006:$BO$1006,0))&gt;=100000), " ",IF(INDEX($AN$2:$BO$1001,MATCH(ROWS($AG$2:AG365),$AG$2:$AG$1001,0),MATCH(COLUMNS($AN$1006:BK1006),$AN$1006:$BO$1006,0)), HYPERLINK("#",""), HYPERLINK(CONCATENATE("#Metadata!", ADDRESS(INDEX($AI$2:$AI$1001,MATCH(ROWS($AG$2:AG365),$AG$2:$AG$1001,0),0), INDEX($AN$1004:$BO$1004,1,MATCH(COLUMNS($AN$1006:BK1006),$AN$1006:$BO$1006,0)))),"Fix")))</f>
        <v>0</v>
      </c>
      <c r="Z365" s="4">
        <f>IF(OR(INDEX($AH$2:$AH$1001,MATCH(ROWS($AG$2:AG365),$AG$2:$AG$1001,0),1)&gt;=100000,INDEX($AN$1005:$BO$1005,1,MATCH(COLUMNS($AN$1006:BL1006),$AN$1006:$BO$1006,0))&gt;=100000), " ",IF(INDEX($AN$2:$BO$1001,MATCH(ROWS($AG$2:AG365),$AG$2:$AG$1001,0),MATCH(COLUMNS($AN$1006:BL1006),$AN$1006:$BO$1006,0)), HYPERLINK("#",""), HYPERLINK(CONCATENATE("#Metadata!", ADDRESS(INDEX($AI$2:$AI$1001,MATCH(ROWS($AG$2:AG365),$AG$2:$AG$1001,0),0), INDEX($AN$1004:$BO$1004,1,MATCH(COLUMNS($AN$1006:BL1006),$AN$1006:$BO$1006,0)))),"Fix")))</f>
        <v>0</v>
      </c>
      <c r="AA365" s="4">
        <f>IF(OR(INDEX($AH$2:$AH$1001,MATCH(ROWS($AG$2:AG365),$AG$2:$AG$1001,0),1)&gt;=100000,INDEX($AN$1005:$BO$1005,1,MATCH(COLUMNS($AN$1006:BM1006),$AN$1006:$BO$1006,0))&gt;=100000), " ",IF(INDEX($AN$2:$BO$1001,MATCH(ROWS($AG$2:AG365),$AG$2:$AG$1001,0),MATCH(COLUMNS($AN$1006:BM1006),$AN$1006:$BO$1006,0)), HYPERLINK("#",""), HYPERLINK(CONCATENATE("#Metadata!", ADDRESS(INDEX($AI$2:$AI$1001,MATCH(ROWS($AG$2:AG365),$AG$2:$AG$1001,0),0), INDEX($AN$1004:$BO$1004,1,MATCH(COLUMNS($AN$1006:BM1006),$AN$1006:$BO$1006,0)))),"Fix")))</f>
        <v>0</v>
      </c>
      <c r="AB365" s="4">
        <f>IF(OR(INDEX($AH$2:$AH$1001,MATCH(ROWS($AG$2:AG365),$AG$2:$AG$1001,0),1)&gt;=100000,INDEX($AN$1005:$BO$1005,1,MATCH(COLUMNS($AN$1006:BN1006),$AN$1006:$BO$1006,0))&gt;=100000), " ",IF(INDEX($AN$2:$BO$1001,MATCH(ROWS($AG$2:AG365),$AG$2:$AG$1001,0),MATCH(COLUMNS($AN$1006:BN1006),$AN$1006:$BO$1006,0)), HYPERLINK("#",""), HYPERLINK(CONCATENATE("#Metadata!", ADDRESS(INDEX($AI$2:$AI$1001,MATCH(ROWS($AG$2:AG365),$AG$2:$AG$1001,0),0), INDEX($AN$1004:$BO$1004,1,MATCH(COLUMNS($AN$1006:BN1006),$AN$1006:$BO$1006,0)))),"Fix")))</f>
        <v>0</v>
      </c>
      <c r="AC365" s="4">
        <f>IF(OR(INDEX($AH$2:$AH$1001,MATCH(ROWS($AG$2:AG365),$AG$2:$AG$1001,0),1)&gt;=100000,INDEX($AN$1005:$BO$1005,1,MATCH(COLUMNS($AN$1006:BO1006),$AN$1006:$BO$1006,0))&gt;=100000), " ",IF(INDEX($AN$2:$BO$1001,MATCH(ROWS($AG$2:AG365),$AG$2:$AG$1001,0),MATCH(COLUMNS($AN$1006:BO1006),$AN$1006:$BO$1006,0)), HYPERLINK("#",""), HYPERLINK(CONCATENATE("#Metadata!", ADDRESS(INDEX($AI$2:$AI$1001,MATCH(ROWS($AG$2:AG365),$AG$2:$AG$1001,0),0), INDEX($AN$1004:$BO$1004,1,MATCH(COLUMNS($AN$1006:BO1006),$AN$1006:$BO$1006,0)))),"Fix")))</f>
        <v>0</v>
      </c>
      <c r="AG365">
        <v>0</v>
      </c>
      <c r="AH365">
        <v>0</v>
      </c>
      <c r="AI365">
        <v>0</v>
      </c>
      <c r="AJ365">
        <f>IF(AK365,TRUE,AND(AN365:BO365))</f>
        <v>0</v>
      </c>
      <c r="AK365">
        <f>COUNTBLANK(Metadata!B365:AC365)=COLUMNS(Metadata!B365:AC365)</f>
        <v>0</v>
      </c>
      <c r="AL365">
        <v>0</v>
      </c>
      <c r="AN365">
        <f>AND(IF(Metadata!B365="",FALSE,TRUE),COUNTIF(Metadata!B:B, Metadata!B365) = 1,NOT(ISERROR(SUMPRODUCT(SEARCH(MID(Metadata!B365,ROW(INDIRECT("1:"&amp;LEN(Metadata!B365))), 1),"0123456789abcdefghijklmnopqrstuvwxyzABCDEFGHIJKLMNOPQRSTUVWXYZ.")))))</f>
        <v>0</v>
      </c>
      <c r="AO365">
        <f>IF(Metadata!C365="",FALSE,TRUE)</f>
        <v>0</v>
      </c>
      <c r="AP365">
        <f>IF(Metadata!D365="",FALSE,TRUE)</f>
        <v>0</v>
      </c>
      <c r="AQ365">
        <f>OR(AND(IF(Metadata!E365="",FALSE,TRUE),OR(exact(Metadata!E365,"not collected"),exact(Metadata!E365,"not provided"),exact(Metadata!E365,"restricted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R365">
        <f>IF(Metadata!F365="",FALSE,TRUE)</f>
        <v>0</v>
      </c>
      <c r="AS365">
        <f>OR(AND(IF(Metadata!G365="",FALSE,TRUE),OR(exact(Metadata!G365,"not collected"),exact(Metadata!G365,"not provided"))),AND(IF(Metadata!G365="",FALSE,TRUE),OR(exact(Metadata!G365,"TRUE"),exact(Metadata!G365,"FALSE"))))</f>
        <v>0</v>
      </c>
      <c r="AT365">
        <f>OR(AND(IF(Metadata!H365="",FALSE,TRUE),OR(exact(Metadata!H365,"not collected"),exact(Metadata!H365,"not provided"),exact(Metadata!H365,"restricted access"))),AND(IF(Metadata!H365="",FALSE,ISNUMBER(VALUE(Metadata!H365))),Metadata!H365&gt;=-413.0))</f>
        <v>0</v>
      </c>
      <c r="AU365">
        <f>AND(IF(Metadata!I365="",FALSE,TRUE),exact(Metadata!I365,"meters"))</f>
        <v>0</v>
      </c>
      <c r="AV365">
        <f>AND(IF(Metadata!J365="",FALSE,TRUE),OR(exact(Metadata!J365,"Host-associated"),exact(Metadata!J365,"Free-living")))</f>
        <v>0</v>
      </c>
      <c r="AW365">
        <f>AND(IF(Metadata!K365="",FALSE,TRUE),OR(exact(Metadata!K365,"Animal"),exact(Metadata!K365,"Fungus"),exact(Metadata!K365,"Plant"),exact(Metadata!K365,"Saline"),exact(Metadata!K365,"Non-saline")))</f>
        <v>0</v>
      </c>
      <c r="AX365">
        <f>AND(IF(Metadata!L365="",FALSE,TRUE),OR(exact(Metadata!L365,"Plant secretion"),exact(Metadata!L365,"Plant rhizosphere"),exact(Metadata!L365,"Plant surface"),exact(Metadata!L365,"Plant corpus"),exact(Metadata!L365,"Fungus surface"),exact(Metadata!L365,"Fungus corpus"),exact(Metadata!L365,"Animal surface"),exact(Metadata!L365,"Animal proximal gut"),exact(Metadata!L365,"Animal corpus"),exact(Metadata!L365,"Animal distal gut"),exact(Metadata!L365,"Animal secretion"),exact(Metadata!L365,"Sub-surface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Y365">
        <f>IF(Metadata!M365="",FALSE,TRUE)</f>
        <v>0</v>
      </c>
      <c r="AZ365">
        <f>IF(Metadata!N365="",FALSE,TRUE)</f>
        <v>0</v>
      </c>
      <c r="BA365">
        <f>IF(Metadata!O365="",FALSE,TRUE)</f>
        <v>0</v>
      </c>
      <c r="BB365">
        <f>OR(AND(IF(Metadata!P365="",FALSE,TRUE),OR(exact(Metadata!P365,"not collected"),exact(Metadata!P365,"not provided"),exact(Metadata!P365,"restricted access"))),AND(IF(Metadata!P365="",FALSE,TRUE),OR(exact(Metadata!P365,"air"),exact(Metadata!P365,"built environment"),exact(Metadata!P365,"host-associated"),exact(Metadata!P365,"human-associated"),exact(Metadata!P365,"human-skin"),exact(Metadata!P365,"human-oral"),exact(Metadata!P365,"human-gut"),exact(Metadata!P365,"human-vaginal"),exact(Metadata!P365,"microbial mat/biofilm"),exact(Metadata!P365,"misc environment"),exact(Metadata!P365,"plant-associated"),exact(Metadata!P365,"sediment"),exact(Metadata!P365,"soil"),exact(Metadata!P365,"wastewater/sludge"),exact(Metadata!P365,"water"))))</f>
        <v>0</v>
      </c>
      <c r="BC365">
        <f>IF(Metadata!Q365="",FALSE,TRUE)</f>
        <v>0</v>
      </c>
      <c r="BD365">
        <f>IF(Metadata!R365="",FALSE,TRUE)</f>
        <v>0</v>
      </c>
      <c r="BE365">
        <f>OR(AND(IF(Metadata!S365="",FALSE,TRUE),OR(exact(Metadata!S365,"not collected"),exact(Metadata!S365,"not provided"),exact(Metadata!S365,"restricted access"))),AND(IF(Metadata!S365="",FALSE,ISNUMBER(VALUE(Metadata!S365))),Metadata!S365&gt;=-90.00,Metadata!S365&lt;=90.00))</f>
        <v>0</v>
      </c>
      <c r="BF365">
        <f>AND(IF(Metadata!T365="",FALSE,TRUE),exact(Metadata!T365,"Decimal degrees"))</f>
        <v>0</v>
      </c>
      <c r="BG365">
        <f>OR(AND(IF(Metadata!U365="",FALSE,TRUE),OR(exact(Metadata!U365,"not collected"),exact(Metadata!U365,"not provided"),exact(Metadata!U365,"restricted access"))),AND(IF(Metadata!U365="",FALSE,ISNUMBER(VALUE(Metadata!U365))),Metadata!U365&gt;=-180.00,Metadata!U365&lt;=180.00))</f>
        <v>0</v>
      </c>
      <c r="BH365">
        <f>AND(IF(Metadata!V365="",FALSE,TRUE),exact(Metadata!V365,"Decimal degrees"))</f>
        <v>0</v>
      </c>
      <c r="BI365">
        <f>IF(Metadata!W365="",FALSE,TRUE)</f>
        <v>0</v>
      </c>
      <c r="BJ365">
        <f>OR(AND(IF(Metadata!X365="",FALSE,TRUE),OR(exact(Metadata!X365,"not collected"),exact(Metadata!X365,"not provided"),exact(Metadata!X365,"restricted access"))),AND(IF(Metadata!X365="",FALSE,TRUE),OR(exact(Metadata!X365,"TRUE"),exact(Metadata!X365,"FALSE"))))</f>
        <v>0</v>
      </c>
      <c r="BK365">
        <f>AND(IF(Metadata!Y365="",FALSE,TRUE),exact(Metadata!Y365,"other"))</f>
        <v>0</v>
      </c>
      <c r="BL365">
        <f>IF(Metadata!Z365="",FALSE,TRUE)</f>
        <v>0</v>
      </c>
      <c r="BM365">
        <f>OR(AND(IF(Metadata!AA365="",FALSE,TRUE),OR(exact(Metadata!AA365,"not collected"),exact(Metadata!AA365,"not provided"))),AND(IF(Metadata!AA365="",FALSE,IF(ISERROR(INT(Metadata!AA365)),FALSE,INT(Metadata!AA365)=Metadata!AA365)),Metadata!AA365&gt;0))</f>
        <v>0</v>
      </c>
      <c r="BN365">
        <f>AND(IF(Metadata!AB365="",FALSE,TRUE),exact(Metadata!AB365,"Not applicable"))</f>
        <v>0</v>
      </c>
      <c r="BO365">
        <f>IF(Metadata!AC365="",FALSE,TRUE)</f>
        <v>0</v>
      </c>
    </row>
    <row r="366" spans="1:67">
      <c r="A366" s="5">
        <f>IF(B366=" "," ",HYPERLINK(CONCATENATE("#metadata!",ADDRESS(INDEX($AI$2:$AI$1001,MATCH(ROWS($AG$2:AG366),$AG$2:$AG$1001,0),0),1)),INDEX($AL$2:$AL$1001,MATCH(ROWS($AG$2:AG366),$AG$2:$AG$1001,0),0)))</f>
        <v>0</v>
      </c>
      <c r="B366" s="4">
        <f>IF(OR(INDEX($AH$2:$AH$1001,MATCH(ROWS($AG$2:AG366),$AG$2:$AG$1001,0),1)&gt;=100000,INDEX($AN$1005:$BO$1005,1,MATCH(COLUMNS($AN$1006:AN1006),$AN$1006:$BO$1006,0))&gt;=100000), " ",IF(INDEX($AN$2:$BO$1001,MATCH(ROWS($AG$2:AG366),$AG$2:$AG$1001,0),MATCH(COLUMNS($AN$1006:AN1006),$AN$1006:$BO$1006,0)), HYPERLINK("#",""), HYPERLINK(CONCATENATE("#Metadata!", ADDRESS(INDEX($AI$2:$AI$1001,MATCH(ROWS($AG$2:AG366),$AG$2:$AG$1001,0),0), INDEX($AN$1004:$BO$1004,1,MATCH(COLUMNS($AN$1006:AN1006),$AN$1006:$BO$1006,0)))),"Fix")))</f>
        <v>0</v>
      </c>
      <c r="C366" s="4">
        <f>IF(OR(INDEX($AH$2:$AH$1001,MATCH(ROWS($AG$2:AG366),$AG$2:$AG$1001,0),1)&gt;=100000,INDEX($AN$1005:$BO$1005,1,MATCH(COLUMNS($AN$1006:AO1006),$AN$1006:$BO$1006,0))&gt;=100000), " ",IF(INDEX($AN$2:$BO$1001,MATCH(ROWS($AG$2:AG366),$AG$2:$AG$1001,0),MATCH(COLUMNS($AN$1006:AO1006),$AN$1006:$BO$1006,0)), HYPERLINK("#",""), HYPERLINK(CONCATENATE("#Metadata!", ADDRESS(INDEX($AI$2:$AI$1001,MATCH(ROWS($AG$2:AG366),$AG$2:$AG$1001,0),0), INDEX($AN$1004:$BO$1004,1,MATCH(COLUMNS($AN$1006:AO1006),$AN$1006:$BO$1006,0)))),"Fix")))</f>
        <v>0</v>
      </c>
      <c r="D366" s="4">
        <f>IF(OR(INDEX($AH$2:$AH$1001,MATCH(ROWS($AG$2:AG366),$AG$2:$AG$1001,0),1)&gt;=100000,INDEX($AN$1005:$BO$1005,1,MATCH(COLUMNS($AN$1006:AP1006),$AN$1006:$BO$1006,0))&gt;=100000), " ",IF(INDEX($AN$2:$BO$1001,MATCH(ROWS($AG$2:AG366),$AG$2:$AG$1001,0),MATCH(COLUMNS($AN$1006:AP1006),$AN$1006:$BO$1006,0)), HYPERLINK("#",""), HYPERLINK(CONCATENATE("#Metadata!", ADDRESS(INDEX($AI$2:$AI$1001,MATCH(ROWS($AG$2:AG366),$AG$2:$AG$1001,0),0), INDEX($AN$1004:$BO$1004,1,MATCH(COLUMNS($AN$1006:AP1006),$AN$1006:$BO$1006,0)))),"Fix")))</f>
        <v>0</v>
      </c>
      <c r="E366" s="4">
        <f>IF(OR(INDEX($AH$2:$AH$1001,MATCH(ROWS($AG$2:AG366),$AG$2:$AG$1001,0),1)&gt;=100000,INDEX($AN$1005:$BO$1005,1,MATCH(COLUMNS($AN$1006:AQ1006),$AN$1006:$BO$1006,0))&gt;=100000), " ",IF(INDEX($AN$2:$BO$1001,MATCH(ROWS($AG$2:AG366),$AG$2:$AG$1001,0),MATCH(COLUMNS($AN$1006:AQ1006),$AN$1006:$BO$1006,0)), HYPERLINK("#",""), HYPERLINK(CONCATENATE("#Metadata!", ADDRESS(INDEX($AI$2:$AI$1001,MATCH(ROWS($AG$2:AG366),$AG$2:$AG$1001,0),0), INDEX($AN$1004:$BO$1004,1,MATCH(COLUMNS($AN$1006:AQ1006),$AN$1006:$BO$1006,0)))),"Fix")))</f>
        <v>0</v>
      </c>
      <c r="F366" s="4">
        <f>IF(OR(INDEX($AH$2:$AH$1001,MATCH(ROWS($AG$2:AG366),$AG$2:$AG$1001,0),1)&gt;=100000,INDEX($AN$1005:$BO$1005,1,MATCH(COLUMNS($AN$1006:AR1006),$AN$1006:$BO$1006,0))&gt;=100000), " ",IF(INDEX($AN$2:$BO$1001,MATCH(ROWS($AG$2:AG366),$AG$2:$AG$1001,0),MATCH(COLUMNS($AN$1006:AR1006),$AN$1006:$BO$1006,0)), HYPERLINK("#",""), HYPERLINK(CONCATENATE("#Metadata!", ADDRESS(INDEX($AI$2:$AI$1001,MATCH(ROWS($AG$2:AG366),$AG$2:$AG$1001,0),0), INDEX($AN$1004:$BO$1004,1,MATCH(COLUMNS($AN$1006:AR1006),$AN$1006:$BO$1006,0)))),"Fix")))</f>
        <v>0</v>
      </c>
      <c r="G366" s="4">
        <f>IF(OR(INDEX($AH$2:$AH$1001,MATCH(ROWS($AG$2:AG366),$AG$2:$AG$1001,0),1)&gt;=100000,INDEX($AN$1005:$BO$1005,1,MATCH(COLUMNS($AN$1006:AS1006),$AN$1006:$BO$1006,0))&gt;=100000), " ",IF(INDEX($AN$2:$BO$1001,MATCH(ROWS($AG$2:AG366),$AG$2:$AG$1001,0),MATCH(COLUMNS($AN$1006:AS1006),$AN$1006:$BO$1006,0)), HYPERLINK("#",""), HYPERLINK(CONCATENATE("#Metadata!", ADDRESS(INDEX($AI$2:$AI$1001,MATCH(ROWS($AG$2:AG366),$AG$2:$AG$1001,0),0), INDEX($AN$1004:$BO$1004,1,MATCH(COLUMNS($AN$1006:AS1006),$AN$1006:$BO$1006,0)))),"Fix")))</f>
        <v>0</v>
      </c>
      <c r="H366" s="4">
        <f>IF(OR(INDEX($AH$2:$AH$1001,MATCH(ROWS($AG$2:AG366),$AG$2:$AG$1001,0),1)&gt;=100000,INDEX($AN$1005:$BO$1005,1,MATCH(COLUMNS($AN$1006:AT1006),$AN$1006:$BO$1006,0))&gt;=100000), " ",IF(INDEX($AN$2:$BO$1001,MATCH(ROWS($AG$2:AG366),$AG$2:$AG$1001,0),MATCH(COLUMNS($AN$1006:AT1006),$AN$1006:$BO$1006,0)), HYPERLINK("#",""), HYPERLINK(CONCATENATE("#Metadata!", ADDRESS(INDEX($AI$2:$AI$1001,MATCH(ROWS($AG$2:AG366),$AG$2:$AG$1001,0),0), INDEX($AN$1004:$BO$1004,1,MATCH(COLUMNS($AN$1006:AT1006),$AN$1006:$BO$1006,0)))),"Fix")))</f>
        <v>0</v>
      </c>
      <c r="I366" s="4">
        <f>IF(OR(INDEX($AH$2:$AH$1001,MATCH(ROWS($AG$2:AG366),$AG$2:$AG$1001,0),1)&gt;=100000,INDEX($AN$1005:$BO$1005,1,MATCH(COLUMNS($AN$1006:AU1006),$AN$1006:$BO$1006,0))&gt;=100000), " ",IF(INDEX($AN$2:$BO$1001,MATCH(ROWS($AG$2:AG366),$AG$2:$AG$1001,0),MATCH(COLUMNS($AN$1006:AU1006),$AN$1006:$BO$1006,0)), HYPERLINK("#",""), HYPERLINK(CONCATENATE("#Metadata!", ADDRESS(INDEX($AI$2:$AI$1001,MATCH(ROWS($AG$2:AG366),$AG$2:$AG$1001,0),0), INDEX($AN$1004:$BO$1004,1,MATCH(COLUMNS($AN$1006:AU1006),$AN$1006:$BO$1006,0)))),"Fix")))</f>
        <v>0</v>
      </c>
      <c r="J366" s="4">
        <f>IF(OR(INDEX($AH$2:$AH$1001,MATCH(ROWS($AG$2:AG366),$AG$2:$AG$1001,0),1)&gt;=100000,INDEX($AN$1005:$BO$1005,1,MATCH(COLUMNS($AN$1006:AV1006),$AN$1006:$BO$1006,0))&gt;=100000), " ",IF(INDEX($AN$2:$BO$1001,MATCH(ROWS($AG$2:AG366),$AG$2:$AG$1001,0),MATCH(COLUMNS($AN$1006:AV1006),$AN$1006:$BO$1006,0)), HYPERLINK("#",""), HYPERLINK(CONCATENATE("#Metadata!", ADDRESS(INDEX($AI$2:$AI$1001,MATCH(ROWS($AG$2:AG366),$AG$2:$AG$1001,0),0), INDEX($AN$1004:$BO$1004,1,MATCH(COLUMNS($AN$1006:AV1006),$AN$1006:$BO$1006,0)))),"Fix")))</f>
        <v>0</v>
      </c>
      <c r="K366" s="4">
        <f>IF(OR(INDEX($AH$2:$AH$1001,MATCH(ROWS($AG$2:AG366),$AG$2:$AG$1001,0),1)&gt;=100000,INDEX($AN$1005:$BO$1005,1,MATCH(COLUMNS($AN$1006:AW1006),$AN$1006:$BO$1006,0))&gt;=100000), " ",IF(INDEX($AN$2:$BO$1001,MATCH(ROWS($AG$2:AG366),$AG$2:$AG$1001,0),MATCH(COLUMNS($AN$1006:AW1006),$AN$1006:$BO$1006,0)), HYPERLINK("#",""), HYPERLINK(CONCATENATE("#Metadata!", ADDRESS(INDEX($AI$2:$AI$1001,MATCH(ROWS($AG$2:AG366),$AG$2:$AG$1001,0),0), INDEX($AN$1004:$BO$1004,1,MATCH(COLUMNS($AN$1006:AW1006),$AN$1006:$BO$1006,0)))),"Fix")))</f>
        <v>0</v>
      </c>
      <c r="L366" s="4">
        <f>IF(OR(INDEX($AH$2:$AH$1001,MATCH(ROWS($AG$2:AG366),$AG$2:$AG$1001,0),1)&gt;=100000,INDEX($AN$1005:$BO$1005,1,MATCH(COLUMNS($AN$1006:AX1006),$AN$1006:$BO$1006,0))&gt;=100000), " ",IF(INDEX($AN$2:$BO$1001,MATCH(ROWS($AG$2:AG366),$AG$2:$AG$1001,0),MATCH(COLUMNS($AN$1006:AX1006),$AN$1006:$BO$1006,0)), HYPERLINK("#",""), HYPERLINK(CONCATENATE("#Metadata!", ADDRESS(INDEX($AI$2:$AI$1001,MATCH(ROWS($AG$2:AG366),$AG$2:$AG$1001,0),0), INDEX($AN$1004:$BO$1004,1,MATCH(COLUMNS($AN$1006:AX1006),$AN$1006:$BO$1006,0)))),"Fix")))</f>
        <v>0</v>
      </c>
      <c r="M366" s="4">
        <f>IF(OR(INDEX($AH$2:$AH$1001,MATCH(ROWS($AG$2:AG366),$AG$2:$AG$1001,0),1)&gt;=100000,INDEX($AN$1005:$BO$1005,1,MATCH(COLUMNS($AN$1006:AY1006),$AN$1006:$BO$1006,0))&gt;=100000), " ",IF(INDEX($AN$2:$BO$1001,MATCH(ROWS($AG$2:AG366),$AG$2:$AG$1001,0),MATCH(COLUMNS($AN$1006:AY1006),$AN$1006:$BO$1006,0)), HYPERLINK("#",""), HYPERLINK(CONCATENATE("#Metadata!", ADDRESS(INDEX($AI$2:$AI$1001,MATCH(ROWS($AG$2:AG366),$AG$2:$AG$1001,0),0), INDEX($AN$1004:$BO$1004,1,MATCH(COLUMNS($AN$1006:AY1006),$AN$1006:$BO$1006,0)))),"Fix")))</f>
        <v>0</v>
      </c>
      <c r="N366" s="4">
        <f>IF(OR(INDEX($AH$2:$AH$1001,MATCH(ROWS($AG$2:AG366),$AG$2:$AG$1001,0),1)&gt;=100000,INDEX($AN$1005:$BO$1005,1,MATCH(COLUMNS($AN$1006:AZ1006),$AN$1006:$BO$1006,0))&gt;=100000), " ",IF(INDEX($AN$2:$BO$1001,MATCH(ROWS($AG$2:AG366),$AG$2:$AG$1001,0),MATCH(COLUMNS($AN$1006:AZ1006),$AN$1006:$BO$1006,0)), HYPERLINK("#",""), HYPERLINK(CONCATENATE("#Metadata!", ADDRESS(INDEX($AI$2:$AI$1001,MATCH(ROWS($AG$2:AG366),$AG$2:$AG$1001,0),0), INDEX($AN$1004:$BO$1004,1,MATCH(COLUMNS($AN$1006:AZ1006),$AN$1006:$BO$1006,0)))),"Fix")))</f>
        <v>0</v>
      </c>
      <c r="O366" s="4">
        <f>IF(OR(INDEX($AH$2:$AH$1001,MATCH(ROWS($AG$2:AG366),$AG$2:$AG$1001,0),1)&gt;=100000,INDEX($AN$1005:$BO$1005,1,MATCH(COLUMNS($AN$1006:BA1006),$AN$1006:$BO$1006,0))&gt;=100000), " ",IF(INDEX($AN$2:$BO$1001,MATCH(ROWS($AG$2:AG366),$AG$2:$AG$1001,0),MATCH(COLUMNS($AN$1006:BA1006),$AN$1006:$BO$1006,0)), HYPERLINK("#",""), HYPERLINK(CONCATENATE("#Metadata!", ADDRESS(INDEX($AI$2:$AI$1001,MATCH(ROWS($AG$2:AG366),$AG$2:$AG$1001,0),0), INDEX($AN$1004:$BO$1004,1,MATCH(COLUMNS($AN$1006:BA1006),$AN$1006:$BO$1006,0)))),"Fix")))</f>
        <v>0</v>
      </c>
      <c r="P366" s="4">
        <f>IF(OR(INDEX($AH$2:$AH$1001,MATCH(ROWS($AG$2:AG366),$AG$2:$AG$1001,0),1)&gt;=100000,INDEX($AN$1005:$BO$1005,1,MATCH(COLUMNS($AN$1006:BB1006),$AN$1006:$BO$1006,0))&gt;=100000), " ",IF(INDEX($AN$2:$BO$1001,MATCH(ROWS($AG$2:AG366),$AG$2:$AG$1001,0),MATCH(COLUMNS($AN$1006:BB1006),$AN$1006:$BO$1006,0)), HYPERLINK("#",""), HYPERLINK(CONCATENATE("#Metadata!", ADDRESS(INDEX($AI$2:$AI$1001,MATCH(ROWS($AG$2:AG366),$AG$2:$AG$1001,0),0), INDEX($AN$1004:$BO$1004,1,MATCH(COLUMNS($AN$1006:BB1006),$AN$1006:$BO$1006,0)))),"Fix")))</f>
        <v>0</v>
      </c>
      <c r="Q366" s="4">
        <f>IF(OR(INDEX($AH$2:$AH$1001,MATCH(ROWS($AG$2:AG366),$AG$2:$AG$1001,0),1)&gt;=100000,INDEX($AN$1005:$BO$1005,1,MATCH(COLUMNS($AN$1006:BC1006),$AN$1006:$BO$1006,0))&gt;=100000), " ",IF(INDEX($AN$2:$BO$1001,MATCH(ROWS($AG$2:AG366),$AG$2:$AG$1001,0),MATCH(COLUMNS($AN$1006:BC1006),$AN$1006:$BO$1006,0)), HYPERLINK("#",""), HYPERLINK(CONCATENATE("#Metadata!", ADDRESS(INDEX($AI$2:$AI$1001,MATCH(ROWS($AG$2:AG366),$AG$2:$AG$1001,0),0), INDEX($AN$1004:$BO$1004,1,MATCH(COLUMNS($AN$1006:BC1006),$AN$1006:$BO$1006,0)))),"Fix")))</f>
        <v>0</v>
      </c>
      <c r="R366" s="4">
        <f>IF(OR(INDEX($AH$2:$AH$1001,MATCH(ROWS($AG$2:AG366),$AG$2:$AG$1001,0),1)&gt;=100000,INDEX($AN$1005:$BO$1005,1,MATCH(COLUMNS($AN$1006:BD1006),$AN$1006:$BO$1006,0))&gt;=100000), " ",IF(INDEX($AN$2:$BO$1001,MATCH(ROWS($AG$2:AG366),$AG$2:$AG$1001,0),MATCH(COLUMNS($AN$1006:BD1006),$AN$1006:$BO$1006,0)), HYPERLINK("#",""), HYPERLINK(CONCATENATE("#Metadata!", ADDRESS(INDEX($AI$2:$AI$1001,MATCH(ROWS($AG$2:AG366),$AG$2:$AG$1001,0),0), INDEX($AN$1004:$BO$1004,1,MATCH(COLUMNS($AN$1006:BD1006),$AN$1006:$BO$1006,0)))),"Fix")))</f>
        <v>0</v>
      </c>
      <c r="S366" s="4">
        <f>IF(OR(INDEX($AH$2:$AH$1001,MATCH(ROWS($AG$2:AG366),$AG$2:$AG$1001,0),1)&gt;=100000,INDEX($AN$1005:$BO$1005,1,MATCH(COLUMNS($AN$1006:BE1006),$AN$1006:$BO$1006,0))&gt;=100000), " ",IF(INDEX($AN$2:$BO$1001,MATCH(ROWS($AG$2:AG366),$AG$2:$AG$1001,0),MATCH(COLUMNS($AN$1006:BE1006),$AN$1006:$BO$1006,0)), HYPERLINK("#",""), HYPERLINK(CONCATENATE("#Metadata!", ADDRESS(INDEX($AI$2:$AI$1001,MATCH(ROWS($AG$2:AG366),$AG$2:$AG$1001,0),0), INDEX($AN$1004:$BO$1004,1,MATCH(COLUMNS($AN$1006:BE1006),$AN$1006:$BO$1006,0)))),"Fix")))</f>
        <v>0</v>
      </c>
      <c r="T366" s="4">
        <f>IF(OR(INDEX($AH$2:$AH$1001,MATCH(ROWS($AG$2:AG366),$AG$2:$AG$1001,0),1)&gt;=100000,INDEX($AN$1005:$BO$1005,1,MATCH(COLUMNS($AN$1006:BF1006),$AN$1006:$BO$1006,0))&gt;=100000), " ",IF(INDEX($AN$2:$BO$1001,MATCH(ROWS($AG$2:AG366),$AG$2:$AG$1001,0),MATCH(COLUMNS($AN$1006:BF1006),$AN$1006:$BO$1006,0)), HYPERLINK("#",""), HYPERLINK(CONCATENATE("#Metadata!", ADDRESS(INDEX($AI$2:$AI$1001,MATCH(ROWS($AG$2:AG366),$AG$2:$AG$1001,0),0), INDEX($AN$1004:$BO$1004,1,MATCH(COLUMNS($AN$1006:BF1006),$AN$1006:$BO$1006,0)))),"Fix")))</f>
        <v>0</v>
      </c>
      <c r="U366" s="4">
        <f>IF(OR(INDEX($AH$2:$AH$1001,MATCH(ROWS($AG$2:AG366),$AG$2:$AG$1001,0),1)&gt;=100000,INDEX($AN$1005:$BO$1005,1,MATCH(COLUMNS($AN$1006:BG1006),$AN$1006:$BO$1006,0))&gt;=100000), " ",IF(INDEX($AN$2:$BO$1001,MATCH(ROWS($AG$2:AG366),$AG$2:$AG$1001,0),MATCH(COLUMNS($AN$1006:BG1006),$AN$1006:$BO$1006,0)), HYPERLINK("#",""), HYPERLINK(CONCATENATE("#Metadata!", ADDRESS(INDEX($AI$2:$AI$1001,MATCH(ROWS($AG$2:AG366),$AG$2:$AG$1001,0),0), INDEX($AN$1004:$BO$1004,1,MATCH(COLUMNS($AN$1006:BG1006),$AN$1006:$BO$1006,0)))),"Fix")))</f>
        <v>0</v>
      </c>
      <c r="V366" s="4">
        <f>IF(OR(INDEX($AH$2:$AH$1001,MATCH(ROWS($AG$2:AG366),$AG$2:$AG$1001,0),1)&gt;=100000,INDEX($AN$1005:$BO$1005,1,MATCH(COLUMNS($AN$1006:BH1006),$AN$1006:$BO$1006,0))&gt;=100000), " ",IF(INDEX($AN$2:$BO$1001,MATCH(ROWS($AG$2:AG366),$AG$2:$AG$1001,0),MATCH(COLUMNS($AN$1006:BH1006),$AN$1006:$BO$1006,0)), HYPERLINK("#",""), HYPERLINK(CONCATENATE("#Metadata!", ADDRESS(INDEX($AI$2:$AI$1001,MATCH(ROWS($AG$2:AG366),$AG$2:$AG$1001,0),0), INDEX($AN$1004:$BO$1004,1,MATCH(COLUMNS($AN$1006:BH1006),$AN$1006:$BO$1006,0)))),"Fix")))</f>
        <v>0</v>
      </c>
      <c r="W366" s="4">
        <f>IF(OR(INDEX($AH$2:$AH$1001,MATCH(ROWS($AG$2:AG366),$AG$2:$AG$1001,0),1)&gt;=100000,INDEX($AN$1005:$BO$1005,1,MATCH(COLUMNS($AN$1006:BI1006),$AN$1006:$BO$1006,0))&gt;=100000), " ",IF(INDEX($AN$2:$BO$1001,MATCH(ROWS($AG$2:AG366),$AG$2:$AG$1001,0),MATCH(COLUMNS($AN$1006:BI1006),$AN$1006:$BO$1006,0)), HYPERLINK("#",""), HYPERLINK(CONCATENATE("#Metadata!", ADDRESS(INDEX($AI$2:$AI$1001,MATCH(ROWS($AG$2:AG366),$AG$2:$AG$1001,0),0), INDEX($AN$1004:$BO$1004,1,MATCH(COLUMNS($AN$1006:BI1006),$AN$1006:$BO$1006,0)))),"Fix")))</f>
        <v>0</v>
      </c>
      <c r="X366" s="4">
        <f>IF(OR(INDEX($AH$2:$AH$1001,MATCH(ROWS($AG$2:AG366),$AG$2:$AG$1001,0),1)&gt;=100000,INDEX($AN$1005:$BO$1005,1,MATCH(COLUMNS($AN$1006:BJ1006),$AN$1006:$BO$1006,0))&gt;=100000), " ",IF(INDEX($AN$2:$BO$1001,MATCH(ROWS($AG$2:AG366),$AG$2:$AG$1001,0),MATCH(COLUMNS($AN$1006:BJ1006),$AN$1006:$BO$1006,0)), HYPERLINK("#",""), HYPERLINK(CONCATENATE("#Metadata!", ADDRESS(INDEX($AI$2:$AI$1001,MATCH(ROWS($AG$2:AG366),$AG$2:$AG$1001,0),0), INDEX($AN$1004:$BO$1004,1,MATCH(COLUMNS($AN$1006:BJ1006),$AN$1006:$BO$1006,0)))),"Fix")))</f>
        <v>0</v>
      </c>
      <c r="Y366" s="4">
        <f>IF(OR(INDEX($AH$2:$AH$1001,MATCH(ROWS($AG$2:AG366),$AG$2:$AG$1001,0),1)&gt;=100000,INDEX($AN$1005:$BO$1005,1,MATCH(COLUMNS($AN$1006:BK1006),$AN$1006:$BO$1006,0))&gt;=100000), " ",IF(INDEX($AN$2:$BO$1001,MATCH(ROWS($AG$2:AG366),$AG$2:$AG$1001,0),MATCH(COLUMNS($AN$1006:BK1006),$AN$1006:$BO$1006,0)), HYPERLINK("#",""), HYPERLINK(CONCATENATE("#Metadata!", ADDRESS(INDEX($AI$2:$AI$1001,MATCH(ROWS($AG$2:AG366),$AG$2:$AG$1001,0),0), INDEX($AN$1004:$BO$1004,1,MATCH(COLUMNS($AN$1006:BK1006),$AN$1006:$BO$1006,0)))),"Fix")))</f>
        <v>0</v>
      </c>
      <c r="Z366" s="4">
        <f>IF(OR(INDEX($AH$2:$AH$1001,MATCH(ROWS($AG$2:AG366),$AG$2:$AG$1001,0),1)&gt;=100000,INDEX($AN$1005:$BO$1005,1,MATCH(COLUMNS($AN$1006:BL1006),$AN$1006:$BO$1006,0))&gt;=100000), " ",IF(INDEX($AN$2:$BO$1001,MATCH(ROWS($AG$2:AG366),$AG$2:$AG$1001,0),MATCH(COLUMNS($AN$1006:BL1006),$AN$1006:$BO$1006,0)), HYPERLINK("#",""), HYPERLINK(CONCATENATE("#Metadata!", ADDRESS(INDEX($AI$2:$AI$1001,MATCH(ROWS($AG$2:AG366),$AG$2:$AG$1001,0),0), INDEX($AN$1004:$BO$1004,1,MATCH(COLUMNS($AN$1006:BL1006),$AN$1006:$BO$1006,0)))),"Fix")))</f>
        <v>0</v>
      </c>
      <c r="AA366" s="4">
        <f>IF(OR(INDEX($AH$2:$AH$1001,MATCH(ROWS($AG$2:AG366),$AG$2:$AG$1001,0),1)&gt;=100000,INDEX($AN$1005:$BO$1005,1,MATCH(COLUMNS($AN$1006:BM1006),$AN$1006:$BO$1006,0))&gt;=100000), " ",IF(INDEX($AN$2:$BO$1001,MATCH(ROWS($AG$2:AG366),$AG$2:$AG$1001,0),MATCH(COLUMNS($AN$1006:BM1006),$AN$1006:$BO$1006,0)), HYPERLINK("#",""), HYPERLINK(CONCATENATE("#Metadata!", ADDRESS(INDEX($AI$2:$AI$1001,MATCH(ROWS($AG$2:AG366),$AG$2:$AG$1001,0),0), INDEX($AN$1004:$BO$1004,1,MATCH(COLUMNS($AN$1006:BM1006),$AN$1006:$BO$1006,0)))),"Fix")))</f>
        <v>0</v>
      </c>
      <c r="AB366" s="4">
        <f>IF(OR(INDEX($AH$2:$AH$1001,MATCH(ROWS($AG$2:AG366),$AG$2:$AG$1001,0),1)&gt;=100000,INDEX($AN$1005:$BO$1005,1,MATCH(COLUMNS($AN$1006:BN1006),$AN$1006:$BO$1006,0))&gt;=100000), " ",IF(INDEX($AN$2:$BO$1001,MATCH(ROWS($AG$2:AG366),$AG$2:$AG$1001,0),MATCH(COLUMNS($AN$1006:BN1006),$AN$1006:$BO$1006,0)), HYPERLINK("#",""), HYPERLINK(CONCATENATE("#Metadata!", ADDRESS(INDEX($AI$2:$AI$1001,MATCH(ROWS($AG$2:AG366),$AG$2:$AG$1001,0),0), INDEX($AN$1004:$BO$1004,1,MATCH(COLUMNS($AN$1006:BN1006),$AN$1006:$BO$1006,0)))),"Fix")))</f>
        <v>0</v>
      </c>
      <c r="AC366" s="4">
        <f>IF(OR(INDEX($AH$2:$AH$1001,MATCH(ROWS($AG$2:AG366),$AG$2:$AG$1001,0),1)&gt;=100000,INDEX($AN$1005:$BO$1005,1,MATCH(COLUMNS($AN$1006:BO1006),$AN$1006:$BO$1006,0))&gt;=100000), " ",IF(INDEX($AN$2:$BO$1001,MATCH(ROWS($AG$2:AG366),$AG$2:$AG$1001,0),MATCH(COLUMNS($AN$1006:BO1006),$AN$1006:$BO$1006,0)), HYPERLINK("#",""), HYPERLINK(CONCATENATE("#Metadata!", ADDRESS(INDEX($AI$2:$AI$1001,MATCH(ROWS($AG$2:AG366),$AG$2:$AG$1001,0),0), INDEX($AN$1004:$BO$1004,1,MATCH(COLUMNS($AN$1006:BO1006),$AN$1006:$BO$1006,0)))),"Fix")))</f>
        <v>0</v>
      </c>
      <c r="AG366">
        <v>0</v>
      </c>
      <c r="AH366">
        <v>0</v>
      </c>
      <c r="AI366">
        <v>0</v>
      </c>
      <c r="AJ366">
        <f>IF(AK366,TRUE,AND(AN366:BO366))</f>
        <v>0</v>
      </c>
      <c r="AK366">
        <f>COUNTBLANK(Metadata!B366:AC366)=COLUMNS(Metadata!B366:AC366)</f>
        <v>0</v>
      </c>
      <c r="AL366">
        <v>0</v>
      </c>
      <c r="AN366">
        <f>AND(IF(Metadata!B366="",FALSE,TRUE),COUNTIF(Metadata!B:B, Metadata!B366) = 1,NOT(ISERROR(SUMPRODUCT(SEARCH(MID(Metadata!B366,ROW(INDIRECT("1:"&amp;LEN(Metadata!B366))), 1),"0123456789abcdefghijklmnopqrstuvwxyzABCDEFGHIJKLMNOPQRSTUVWXYZ.")))))</f>
        <v>0</v>
      </c>
      <c r="AO366">
        <f>IF(Metadata!C366="",FALSE,TRUE)</f>
        <v>0</v>
      </c>
      <c r="AP366">
        <f>IF(Metadata!D366="",FALSE,TRUE)</f>
        <v>0</v>
      </c>
      <c r="AQ366">
        <f>OR(AND(IF(Metadata!E366="",FALSE,TRUE),OR(exact(Metadata!E366,"not collected"),exact(Metadata!E366,"not provided"),exact(Metadata!E366,"restricted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R366">
        <f>IF(Metadata!F366="",FALSE,TRUE)</f>
        <v>0</v>
      </c>
      <c r="AS366">
        <f>OR(AND(IF(Metadata!G366="",FALSE,TRUE),OR(exact(Metadata!G366,"not collected"),exact(Metadata!G366,"not provided"))),AND(IF(Metadata!G366="",FALSE,TRUE),OR(exact(Metadata!G366,"TRUE"),exact(Metadata!G366,"FALSE"))))</f>
        <v>0</v>
      </c>
      <c r="AT366">
        <f>OR(AND(IF(Metadata!H366="",FALSE,TRUE),OR(exact(Metadata!H366,"not collected"),exact(Metadata!H366,"not provided"),exact(Metadata!H366,"restricted access"))),AND(IF(Metadata!H366="",FALSE,ISNUMBER(VALUE(Metadata!H366))),Metadata!H366&gt;=-413.0))</f>
        <v>0</v>
      </c>
      <c r="AU366">
        <f>AND(IF(Metadata!I366="",FALSE,TRUE),exact(Metadata!I366,"meters"))</f>
        <v>0</v>
      </c>
      <c r="AV366">
        <f>AND(IF(Metadata!J366="",FALSE,TRUE),OR(exact(Metadata!J366,"Host-associated"),exact(Metadata!J366,"Free-living")))</f>
        <v>0</v>
      </c>
      <c r="AW366">
        <f>AND(IF(Metadata!K366="",FALSE,TRUE),OR(exact(Metadata!K366,"Animal"),exact(Metadata!K366,"Fungus"),exact(Metadata!K366,"Plant"),exact(Metadata!K366,"Saline"),exact(Metadata!K366,"Non-saline")))</f>
        <v>0</v>
      </c>
      <c r="AX366">
        <f>AND(IF(Metadata!L366="",FALSE,TRUE),OR(exact(Metadata!L366,"Plant secretion"),exact(Metadata!L366,"Plant rhizosphere"),exact(Metadata!L366,"Plant surface"),exact(Metadata!L366,"Plant corpus"),exact(Metadata!L366,"Fungus surface"),exact(Metadata!L366,"Fungus corpus"),exact(Metadata!L366,"Animal surface"),exact(Metadata!L366,"Animal proximal gut"),exact(Metadata!L366,"Animal corpus"),exact(Metadata!L366,"Animal distal gut"),exact(Metadata!L366,"Animal secretion"),exact(Metadata!L366,"Sub-surface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Y366">
        <f>IF(Metadata!M366="",FALSE,TRUE)</f>
        <v>0</v>
      </c>
      <c r="AZ366">
        <f>IF(Metadata!N366="",FALSE,TRUE)</f>
        <v>0</v>
      </c>
      <c r="BA366">
        <f>IF(Metadata!O366="",FALSE,TRUE)</f>
        <v>0</v>
      </c>
      <c r="BB366">
        <f>OR(AND(IF(Metadata!P366="",FALSE,TRUE),OR(exact(Metadata!P366,"not collected"),exact(Metadata!P366,"not provided"),exact(Metadata!P366,"restricted access"))),AND(IF(Metadata!P366="",FALSE,TRUE),OR(exact(Metadata!P366,"air"),exact(Metadata!P366,"built environment"),exact(Metadata!P366,"host-associated"),exact(Metadata!P366,"human-associated"),exact(Metadata!P366,"human-skin"),exact(Metadata!P366,"human-oral"),exact(Metadata!P366,"human-gut"),exact(Metadata!P366,"human-vaginal"),exact(Metadata!P366,"microbial mat/biofilm"),exact(Metadata!P366,"misc environment"),exact(Metadata!P366,"plant-associated"),exact(Metadata!P366,"sediment"),exact(Metadata!P366,"soil"),exact(Metadata!P366,"wastewater/sludge"),exact(Metadata!P366,"water"))))</f>
        <v>0</v>
      </c>
      <c r="BC366">
        <f>IF(Metadata!Q366="",FALSE,TRUE)</f>
        <v>0</v>
      </c>
      <c r="BD366">
        <f>IF(Metadata!R366="",FALSE,TRUE)</f>
        <v>0</v>
      </c>
      <c r="BE366">
        <f>OR(AND(IF(Metadata!S366="",FALSE,TRUE),OR(exact(Metadata!S366,"not collected"),exact(Metadata!S366,"not provided"),exact(Metadata!S366,"restricted access"))),AND(IF(Metadata!S366="",FALSE,ISNUMBER(VALUE(Metadata!S366))),Metadata!S366&gt;=-90.00,Metadata!S366&lt;=90.00))</f>
        <v>0</v>
      </c>
      <c r="BF366">
        <f>AND(IF(Metadata!T366="",FALSE,TRUE),exact(Metadata!T366,"Decimal degrees"))</f>
        <v>0</v>
      </c>
      <c r="BG366">
        <f>OR(AND(IF(Metadata!U366="",FALSE,TRUE),OR(exact(Metadata!U366,"not collected"),exact(Metadata!U366,"not provided"),exact(Metadata!U366,"restricted access"))),AND(IF(Metadata!U366="",FALSE,ISNUMBER(VALUE(Metadata!U366))),Metadata!U366&gt;=-180.00,Metadata!U366&lt;=180.00))</f>
        <v>0</v>
      </c>
      <c r="BH366">
        <f>AND(IF(Metadata!V366="",FALSE,TRUE),exact(Metadata!V366,"Decimal degrees"))</f>
        <v>0</v>
      </c>
      <c r="BI366">
        <f>IF(Metadata!W366="",FALSE,TRUE)</f>
        <v>0</v>
      </c>
      <c r="BJ366">
        <f>OR(AND(IF(Metadata!X366="",FALSE,TRUE),OR(exact(Metadata!X366,"not collected"),exact(Metadata!X366,"not provided"),exact(Metadata!X366,"restricted access"))),AND(IF(Metadata!X366="",FALSE,TRUE),OR(exact(Metadata!X366,"TRUE"),exact(Metadata!X366,"FALSE"))))</f>
        <v>0</v>
      </c>
      <c r="BK366">
        <f>AND(IF(Metadata!Y366="",FALSE,TRUE),exact(Metadata!Y366,"other"))</f>
        <v>0</v>
      </c>
      <c r="BL366">
        <f>IF(Metadata!Z366="",FALSE,TRUE)</f>
        <v>0</v>
      </c>
      <c r="BM366">
        <f>OR(AND(IF(Metadata!AA366="",FALSE,TRUE),OR(exact(Metadata!AA366,"not collected"),exact(Metadata!AA366,"not provided"))),AND(IF(Metadata!AA366="",FALSE,IF(ISERROR(INT(Metadata!AA366)),FALSE,INT(Metadata!AA366)=Metadata!AA366)),Metadata!AA366&gt;0))</f>
        <v>0</v>
      </c>
      <c r="BN366">
        <f>AND(IF(Metadata!AB366="",FALSE,TRUE),exact(Metadata!AB366,"Not applicable"))</f>
        <v>0</v>
      </c>
      <c r="BO366">
        <f>IF(Metadata!AC366="",FALSE,TRUE)</f>
        <v>0</v>
      </c>
    </row>
    <row r="367" spans="1:67">
      <c r="A367" s="5">
        <f>IF(B367=" "," ",HYPERLINK(CONCATENATE("#metadata!",ADDRESS(INDEX($AI$2:$AI$1001,MATCH(ROWS($AG$2:AG367),$AG$2:$AG$1001,0),0),1)),INDEX($AL$2:$AL$1001,MATCH(ROWS($AG$2:AG367),$AG$2:$AG$1001,0),0)))</f>
        <v>0</v>
      </c>
      <c r="B367" s="4">
        <f>IF(OR(INDEX($AH$2:$AH$1001,MATCH(ROWS($AG$2:AG367),$AG$2:$AG$1001,0),1)&gt;=100000,INDEX($AN$1005:$BO$1005,1,MATCH(COLUMNS($AN$1006:AN1006),$AN$1006:$BO$1006,0))&gt;=100000), " ",IF(INDEX($AN$2:$BO$1001,MATCH(ROWS($AG$2:AG367),$AG$2:$AG$1001,0),MATCH(COLUMNS($AN$1006:AN1006),$AN$1006:$BO$1006,0)), HYPERLINK("#",""), HYPERLINK(CONCATENATE("#Metadata!", ADDRESS(INDEX($AI$2:$AI$1001,MATCH(ROWS($AG$2:AG367),$AG$2:$AG$1001,0),0), INDEX($AN$1004:$BO$1004,1,MATCH(COLUMNS($AN$1006:AN1006),$AN$1006:$BO$1006,0)))),"Fix")))</f>
        <v>0</v>
      </c>
      <c r="C367" s="4">
        <f>IF(OR(INDEX($AH$2:$AH$1001,MATCH(ROWS($AG$2:AG367),$AG$2:$AG$1001,0),1)&gt;=100000,INDEX($AN$1005:$BO$1005,1,MATCH(COLUMNS($AN$1006:AO1006),$AN$1006:$BO$1006,0))&gt;=100000), " ",IF(INDEX($AN$2:$BO$1001,MATCH(ROWS($AG$2:AG367),$AG$2:$AG$1001,0),MATCH(COLUMNS($AN$1006:AO1006),$AN$1006:$BO$1006,0)), HYPERLINK("#",""), HYPERLINK(CONCATENATE("#Metadata!", ADDRESS(INDEX($AI$2:$AI$1001,MATCH(ROWS($AG$2:AG367),$AG$2:$AG$1001,0),0), INDEX($AN$1004:$BO$1004,1,MATCH(COLUMNS($AN$1006:AO1006),$AN$1006:$BO$1006,0)))),"Fix")))</f>
        <v>0</v>
      </c>
      <c r="D367" s="4">
        <f>IF(OR(INDEX($AH$2:$AH$1001,MATCH(ROWS($AG$2:AG367),$AG$2:$AG$1001,0),1)&gt;=100000,INDEX($AN$1005:$BO$1005,1,MATCH(COLUMNS($AN$1006:AP1006),$AN$1006:$BO$1006,0))&gt;=100000), " ",IF(INDEX($AN$2:$BO$1001,MATCH(ROWS($AG$2:AG367),$AG$2:$AG$1001,0),MATCH(COLUMNS($AN$1006:AP1006),$AN$1006:$BO$1006,0)), HYPERLINK("#",""), HYPERLINK(CONCATENATE("#Metadata!", ADDRESS(INDEX($AI$2:$AI$1001,MATCH(ROWS($AG$2:AG367),$AG$2:$AG$1001,0),0), INDEX($AN$1004:$BO$1004,1,MATCH(COLUMNS($AN$1006:AP1006),$AN$1006:$BO$1006,0)))),"Fix")))</f>
        <v>0</v>
      </c>
      <c r="E367" s="4">
        <f>IF(OR(INDEX($AH$2:$AH$1001,MATCH(ROWS($AG$2:AG367),$AG$2:$AG$1001,0),1)&gt;=100000,INDEX($AN$1005:$BO$1005,1,MATCH(COLUMNS($AN$1006:AQ1006),$AN$1006:$BO$1006,0))&gt;=100000), " ",IF(INDEX($AN$2:$BO$1001,MATCH(ROWS($AG$2:AG367),$AG$2:$AG$1001,0),MATCH(COLUMNS($AN$1006:AQ1006),$AN$1006:$BO$1006,0)), HYPERLINK("#",""), HYPERLINK(CONCATENATE("#Metadata!", ADDRESS(INDEX($AI$2:$AI$1001,MATCH(ROWS($AG$2:AG367),$AG$2:$AG$1001,0),0), INDEX($AN$1004:$BO$1004,1,MATCH(COLUMNS($AN$1006:AQ1006),$AN$1006:$BO$1006,0)))),"Fix")))</f>
        <v>0</v>
      </c>
      <c r="F367" s="4">
        <f>IF(OR(INDEX($AH$2:$AH$1001,MATCH(ROWS($AG$2:AG367),$AG$2:$AG$1001,0),1)&gt;=100000,INDEX($AN$1005:$BO$1005,1,MATCH(COLUMNS($AN$1006:AR1006),$AN$1006:$BO$1006,0))&gt;=100000), " ",IF(INDEX($AN$2:$BO$1001,MATCH(ROWS($AG$2:AG367),$AG$2:$AG$1001,0),MATCH(COLUMNS($AN$1006:AR1006),$AN$1006:$BO$1006,0)), HYPERLINK("#",""), HYPERLINK(CONCATENATE("#Metadata!", ADDRESS(INDEX($AI$2:$AI$1001,MATCH(ROWS($AG$2:AG367),$AG$2:$AG$1001,0),0), INDEX($AN$1004:$BO$1004,1,MATCH(COLUMNS($AN$1006:AR1006),$AN$1006:$BO$1006,0)))),"Fix")))</f>
        <v>0</v>
      </c>
      <c r="G367" s="4">
        <f>IF(OR(INDEX($AH$2:$AH$1001,MATCH(ROWS($AG$2:AG367),$AG$2:$AG$1001,0),1)&gt;=100000,INDEX($AN$1005:$BO$1005,1,MATCH(COLUMNS($AN$1006:AS1006),$AN$1006:$BO$1006,0))&gt;=100000), " ",IF(INDEX($AN$2:$BO$1001,MATCH(ROWS($AG$2:AG367),$AG$2:$AG$1001,0),MATCH(COLUMNS($AN$1006:AS1006),$AN$1006:$BO$1006,0)), HYPERLINK("#",""), HYPERLINK(CONCATENATE("#Metadata!", ADDRESS(INDEX($AI$2:$AI$1001,MATCH(ROWS($AG$2:AG367),$AG$2:$AG$1001,0),0), INDEX($AN$1004:$BO$1004,1,MATCH(COLUMNS($AN$1006:AS1006),$AN$1006:$BO$1006,0)))),"Fix")))</f>
        <v>0</v>
      </c>
      <c r="H367" s="4">
        <f>IF(OR(INDEX($AH$2:$AH$1001,MATCH(ROWS($AG$2:AG367),$AG$2:$AG$1001,0),1)&gt;=100000,INDEX($AN$1005:$BO$1005,1,MATCH(COLUMNS($AN$1006:AT1006),$AN$1006:$BO$1006,0))&gt;=100000), " ",IF(INDEX($AN$2:$BO$1001,MATCH(ROWS($AG$2:AG367),$AG$2:$AG$1001,0),MATCH(COLUMNS($AN$1006:AT1006),$AN$1006:$BO$1006,0)), HYPERLINK("#",""), HYPERLINK(CONCATENATE("#Metadata!", ADDRESS(INDEX($AI$2:$AI$1001,MATCH(ROWS($AG$2:AG367),$AG$2:$AG$1001,0),0), INDEX($AN$1004:$BO$1004,1,MATCH(COLUMNS($AN$1006:AT1006),$AN$1006:$BO$1006,0)))),"Fix")))</f>
        <v>0</v>
      </c>
      <c r="I367" s="4">
        <f>IF(OR(INDEX($AH$2:$AH$1001,MATCH(ROWS($AG$2:AG367),$AG$2:$AG$1001,0),1)&gt;=100000,INDEX($AN$1005:$BO$1005,1,MATCH(COLUMNS($AN$1006:AU1006),$AN$1006:$BO$1006,0))&gt;=100000), " ",IF(INDEX($AN$2:$BO$1001,MATCH(ROWS($AG$2:AG367),$AG$2:$AG$1001,0),MATCH(COLUMNS($AN$1006:AU1006),$AN$1006:$BO$1006,0)), HYPERLINK("#",""), HYPERLINK(CONCATENATE("#Metadata!", ADDRESS(INDEX($AI$2:$AI$1001,MATCH(ROWS($AG$2:AG367),$AG$2:$AG$1001,0),0), INDEX($AN$1004:$BO$1004,1,MATCH(COLUMNS($AN$1006:AU1006),$AN$1006:$BO$1006,0)))),"Fix")))</f>
        <v>0</v>
      </c>
      <c r="J367" s="4">
        <f>IF(OR(INDEX($AH$2:$AH$1001,MATCH(ROWS($AG$2:AG367),$AG$2:$AG$1001,0),1)&gt;=100000,INDEX($AN$1005:$BO$1005,1,MATCH(COLUMNS($AN$1006:AV1006),$AN$1006:$BO$1006,0))&gt;=100000), " ",IF(INDEX($AN$2:$BO$1001,MATCH(ROWS($AG$2:AG367),$AG$2:$AG$1001,0),MATCH(COLUMNS($AN$1006:AV1006),$AN$1006:$BO$1006,0)), HYPERLINK("#",""), HYPERLINK(CONCATENATE("#Metadata!", ADDRESS(INDEX($AI$2:$AI$1001,MATCH(ROWS($AG$2:AG367),$AG$2:$AG$1001,0),0), INDEX($AN$1004:$BO$1004,1,MATCH(COLUMNS($AN$1006:AV1006),$AN$1006:$BO$1006,0)))),"Fix")))</f>
        <v>0</v>
      </c>
      <c r="K367" s="4">
        <f>IF(OR(INDEX($AH$2:$AH$1001,MATCH(ROWS($AG$2:AG367),$AG$2:$AG$1001,0),1)&gt;=100000,INDEX($AN$1005:$BO$1005,1,MATCH(COLUMNS($AN$1006:AW1006),$AN$1006:$BO$1006,0))&gt;=100000), " ",IF(INDEX($AN$2:$BO$1001,MATCH(ROWS($AG$2:AG367),$AG$2:$AG$1001,0),MATCH(COLUMNS($AN$1006:AW1006),$AN$1006:$BO$1006,0)), HYPERLINK("#",""), HYPERLINK(CONCATENATE("#Metadata!", ADDRESS(INDEX($AI$2:$AI$1001,MATCH(ROWS($AG$2:AG367),$AG$2:$AG$1001,0),0), INDEX($AN$1004:$BO$1004,1,MATCH(COLUMNS($AN$1006:AW1006),$AN$1006:$BO$1006,0)))),"Fix")))</f>
        <v>0</v>
      </c>
      <c r="L367" s="4">
        <f>IF(OR(INDEX($AH$2:$AH$1001,MATCH(ROWS($AG$2:AG367),$AG$2:$AG$1001,0),1)&gt;=100000,INDEX($AN$1005:$BO$1005,1,MATCH(COLUMNS($AN$1006:AX1006),$AN$1006:$BO$1006,0))&gt;=100000), " ",IF(INDEX($AN$2:$BO$1001,MATCH(ROWS($AG$2:AG367),$AG$2:$AG$1001,0),MATCH(COLUMNS($AN$1006:AX1006),$AN$1006:$BO$1006,0)), HYPERLINK("#",""), HYPERLINK(CONCATENATE("#Metadata!", ADDRESS(INDEX($AI$2:$AI$1001,MATCH(ROWS($AG$2:AG367),$AG$2:$AG$1001,0),0), INDEX($AN$1004:$BO$1004,1,MATCH(COLUMNS($AN$1006:AX1006),$AN$1006:$BO$1006,0)))),"Fix")))</f>
        <v>0</v>
      </c>
      <c r="M367" s="4">
        <f>IF(OR(INDEX($AH$2:$AH$1001,MATCH(ROWS($AG$2:AG367),$AG$2:$AG$1001,0),1)&gt;=100000,INDEX($AN$1005:$BO$1005,1,MATCH(COLUMNS($AN$1006:AY1006),$AN$1006:$BO$1006,0))&gt;=100000), " ",IF(INDEX($AN$2:$BO$1001,MATCH(ROWS($AG$2:AG367),$AG$2:$AG$1001,0),MATCH(COLUMNS($AN$1006:AY1006),$AN$1006:$BO$1006,0)), HYPERLINK("#",""), HYPERLINK(CONCATENATE("#Metadata!", ADDRESS(INDEX($AI$2:$AI$1001,MATCH(ROWS($AG$2:AG367),$AG$2:$AG$1001,0),0), INDEX($AN$1004:$BO$1004,1,MATCH(COLUMNS($AN$1006:AY1006),$AN$1006:$BO$1006,0)))),"Fix")))</f>
        <v>0</v>
      </c>
      <c r="N367" s="4">
        <f>IF(OR(INDEX($AH$2:$AH$1001,MATCH(ROWS($AG$2:AG367),$AG$2:$AG$1001,0),1)&gt;=100000,INDEX($AN$1005:$BO$1005,1,MATCH(COLUMNS($AN$1006:AZ1006),$AN$1006:$BO$1006,0))&gt;=100000), " ",IF(INDEX($AN$2:$BO$1001,MATCH(ROWS($AG$2:AG367),$AG$2:$AG$1001,0),MATCH(COLUMNS($AN$1006:AZ1006),$AN$1006:$BO$1006,0)), HYPERLINK("#",""), HYPERLINK(CONCATENATE("#Metadata!", ADDRESS(INDEX($AI$2:$AI$1001,MATCH(ROWS($AG$2:AG367),$AG$2:$AG$1001,0),0), INDEX($AN$1004:$BO$1004,1,MATCH(COLUMNS($AN$1006:AZ1006),$AN$1006:$BO$1006,0)))),"Fix")))</f>
        <v>0</v>
      </c>
      <c r="O367" s="4">
        <f>IF(OR(INDEX($AH$2:$AH$1001,MATCH(ROWS($AG$2:AG367),$AG$2:$AG$1001,0),1)&gt;=100000,INDEX($AN$1005:$BO$1005,1,MATCH(COLUMNS($AN$1006:BA1006),$AN$1006:$BO$1006,0))&gt;=100000), " ",IF(INDEX($AN$2:$BO$1001,MATCH(ROWS($AG$2:AG367),$AG$2:$AG$1001,0),MATCH(COLUMNS($AN$1006:BA1006),$AN$1006:$BO$1006,0)), HYPERLINK("#",""), HYPERLINK(CONCATENATE("#Metadata!", ADDRESS(INDEX($AI$2:$AI$1001,MATCH(ROWS($AG$2:AG367),$AG$2:$AG$1001,0),0), INDEX($AN$1004:$BO$1004,1,MATCH(COLUMNS($AN$1006:BA1006),$AN$1006:$BO$1006,0)))),"Fix")))</f>
        <v>0</v>
      </c>
      <c r="P367" s="4">
        <f>IF(OR(INDEX($AH$2:$AH$1001,MATCH(ROWS($AG$2:AG367),$AG$2:$AG$1001,0),1)&gt;=100000,INDEX($AN$1005:$BO$1005,1,MATCH(COLUMNS($AN$1006:BB1006),$AN$1006:$BO$1006,0))&gt;=100000), " ",IF(INDEX($AN$2:$BO$1001,MATCH(ROWS($AG$2:AG367),$AG$2:$AG$1001,0),MATCH(COLUMNS($AN$1006:BB1006),$AN$1006:$BO$1006,0)), HYPERLINK("#",""), HYPERLINK(CONCATENATE("#Metadata!", ADDRESS(INDEX($AI$2:$AI$1001,MATCH(ROWS($AG$2:AG367),$AG$2:$AG$1001,0),0), INDEX($AN$1004:$BO$1004,1,MATCH(COLUMNS($AN$1006:BB1006),$AN$1006:$BO$1006,0)))),"Fix")))</f>
        <v>0</v>
      </c>
      <c r="Q367" s="4">
        <f>IF(OR(INDEX($AH$2:$AH$1001,MATCH(ROWS($AG$2:AG367),$AG$2:$AG$1001,0),1)&gt;=100000,INDEX($AN$1005:$BO$1005,1,MATCH(COLUMNS($AN$1006:BC1006),$AN$1006:$BO$1006,0))&gt;=100000), " ",IF(INDEX($AN$2:$BO$1001,MATCH(ROWS($AG$2:AG367),$AG$2:$AG$1001,0),MATCH(COLUMNS($AN$1006:BC1006),$AN$1006:$BO$1006,0)), HYPERLINK("#",""), HYPERLINK(CONCATENATE("#Metadata!", ADDRESS(INDEX($AI$2:$AI$1001,MATCH(ROWS($AG$2:AG367),$AG$2:$AG$1001,0),0), INDEX($AN$1004:$BO$1004,1,MATCH(COLUMNS($AN$1006:BC1006),$AN$1006:$BO$1006,0)))),"Fix")))</f>
        <v>0</v>
      </c>
      <c r="R367" s="4">
        <f>IF(OR(INDEX($AH$2:$AH$1001,MATCH(ROWS($AG$2:AG367),$AG$2:$AG$1001,0),1)&gt;=100000,INDEX($AN$1005:$BO$1005,1,MATCH(COLUMNS($AN$1006:BD1006),$AN$1006:$BO$1006,0))&gt;=100000), " ",IF(INDEX($AN$2:$BO$1001,MATCH(ROWS($AG$2:AG367),$AG$2:$AG$1001,0),MATCH(COLUMNS($AN$1006:BD1006),$AN$1006:$BO$1006,0)), HYPERLINK("#",""), HYPERLINK(CONCATENATE("#Metadata!", ADDRESS(INDEX($AI$2:$AI$1001,MATCH(ROWS($AG$2:AG367),$AG$2:$AG$1001,0),0), INDEX($AN$1004:$BO$1004,1,MATCH(COLUMNS($AN$1006:BD1006),$AN$1006:$BO$1006,0)))),"Fix")))</f>
        <v>0</v>
      </c>
      <c r="S367" s="4">
        <f>IF(OR(INDEX($AH$2:$AH$1001,MATCH(ROWS($AG$2:AG367),$AG$2:$AG$1001,0),1)&gt;=100000,INDEX($AN$1005:$BO$1005,1,MATCH(COLUMNS($AN$1006:BE1006),$AN$1006:$BO$1006,0))&gt;=100000), " ",IF(INDEX($AN$2:$BO$1001,MATCH(ROWS($AG$2:AG367),$AG$2:$AG$1001,0),MATCH(COLUMNS($AN$1006:BE1006),$AN$1006:$BO$1006,0)), HYPERLINK("#",""), HYPERLINK(CONCATENATE("#Metadata!", ADDRESS(INDEX($AI$2:$AI$1001,MATCH(ROWS($AG$2:AG367),$AG$2:$AG$1001,0),0), INDEX($AN$1004:$BO$1004,1,MATCH(COLUMNS($AN$1006:BE1006),$AN$1006:$BO$1006,0)))),"Fix")))</f>
        <v>0</v>
      </c>
      <c r="T367" s="4">
        <f>IF(OR(INDEX($AH$2:$AH$1001,MATCH(ROWS($AG$2:AG367),$AG$2:$AG$1001,0),1)&gt;=100000,INDEX($AN$1005:$BO$1005,1,MATCH(COLUMNS($AN$1006:BF1006),$AN$1006:$BO$1006,0))&gt;=100000), " ",IF(INDEX($AN$2:$BO$1001,MATCH(ROWS($AG$2:AG367),$AG$2:$AG$1001,0),MATCH(COLUMNS($AN$1006:BF1006),$AN$1006:$BO$1006,0)), HYPERLINK("#",""), HYPERLINK(CONCATENATE("#Metadata!", ADDRESS(INDEX($AI$2:$AI$1001,MATCH(ROWS($AG$2:AG367),$AG$2:$AG$1001,0),0), INDEX($AN$1004:$BO$1004,1,MATCH(COLUMNS($AN$1006:BF1006),$AN$1006:$BO$1006,0)))),"Fix")))</f>
        <v>0</v>
      </c>
      <c r="U367" s="4">
        <f>IF(OR(INDEX($AH$2:$AH$1001,MATCH(ROWS($AG$2:AG367),$AG$2:$AG$1001,0),1)&gt;=100000,INDEX($AN$1005:$BO$1005,1,MATCH(COLUMNS($AN$1006:BG1006),$AN$1006:$BO$1006,0))&gt;=100000), " ",IF(INDEX($AN$2:$BO$1001,MATCH(ROWS($AG$2:AG367),$AG$2:$AG$1001,0),MATCH(COLUMNS($AN$1006:BG1006),$AN$1006:$BO$1006,0)), HYPERLINK("#",""), HYPERLINK(CONCATENATE("#Metadata!", ADDRESS(INDEX($AI$2:$AI$1001,MATCH(ROWS($AG$2:AG367),$AG$2:$AG$1001,0),0), INDEX($AN$1004:$BO$1004,1,MATCH(COLUMNS($AN$1006:BG1006),$AN$1006:$BO$1006,0)))),"Fix")))</f>
        <v>0</v>
      </c>
      <c r="V367" s="4">
        <f>IF(OR(INDEX($AH$2:$AH$1001,MATCH(ROWS($AG$2:AG367),$AG$2:$AG$1001,0),1)&gt;=100000,INDEX($AN$1005:$BO$1005,1,MATCH(COLUMNS($AN$1006:BH1006),$AN$1006:$BO$1006,0))&gt;=100000), " ",IF(INDEX($AN$2:$BO$1001,MATCH(ROWS($AG$2:AG367),$AG$2:$AG$1001,0),MATCH(COLUMNS($AN$1006:BH1006),$AN$1006:$BO$1006,0)), HYPERLINK("#",""), HYPERLINK(CONCATENATE("#Metadata!", ADDRESS(INDEX($AI$2:$AI$1001,MATCH(ROWS($AG$2:AG367),$AG$2:$AG$1001,0),0), INDEX($AN$1004:$BO$1004,1,MATCH(COLUMNS($AN$1006:BH1006),$AN$1006:$BO$1006,0)))),"Fix")))</f>
        <v>0</v>
      </c>
      <c r="W367" s="4">
        <f>IF(OR(INDEX($AH$2:$AH$1001,MATCH(ROWS($AG$2:AG367),$AG$2:$AG$1001,0),1)&gt;=100000,INDEX($AN$1005:$BO$1005,1,MATCH(COLUMNS($AN$1006:BI1006),$AN$1006:$BO$1006,0))&gt;=100000), " ",IF(INDEX($AN$2:$BO$1001,MATCH(ROWS($AG$2:AG367),$AG$2:$AG$1001,0),MATCH(COLUMNS($AN$1006:BI1006),$AN$1006:$BO$1006,0)), HYPERLINK("#",""), HYPERLINK(CONCATENATE("#Metadata!", ADDRESS(INDEX($AI$2:$AI$1001,MATCH(ROWS($AG$2:AG367),$AG$2:$AG$1001,0),0), INDEX($AN$1004:$BO$1004,1,MATCH(COLUMNS($AN$1006:BI1006),$AN$1006:$BO$1006,0)))),"Fix")))</f>
        <v>0</v>
      </c>
      <c r="X367" s="4">
        <f>IF(OR(INDEX($AH$2:$AH$1001,MATCH(ROWS($AG$2:AG367),$AG$2:$AG$1001,0),1)&gt;=100000,INDEX($AN$1005:$BO$1005,1,MATCH(COLUMNS($AN$1006:BJ1006),$AN$1006:$BO$1006,0))&gt;=100000), " ",IF(INDEX($AN$2:$BO$1001,MATCH(ROWS($AG$2:AG367),$AG$2:$AG$1001,0),MATCH(COLUMNS($AN$1006:BJ1006),$AN$1006:$BO$1006,0)), HYPERLINK("#",""), HYPERLINK(CONCATENATE("#Metadata!", ADDRESS(INDEX($AI$2:$AI$1001,MATCH(ROWS($AG$2:AG367),$AG$2:$AG$1001,0),0), INDEX($AN$1004:$BO$1004,1,MATCH(COLUMNS($AN$1006:BJ1006),$AN$1006:$BO$1006,0)))),"Fix")))</f>
        <v>0</v>
      </c>
      <c r="Y367" s="4">
        <f>IF(OR(INDEX($AH$2:$AH$1001,MATCH(ROWS($AG$2:AG367),$AG$2:$AG$1001,0),1)&gt;=100000,INDEX($AN$1005:$BO$1005,1,MATCH(COLUMNS($AN$1006:BK1006),$AN$1006:$BO$1006,0))&gt;=100000), " ",IF(INDEX($AN$2:$BO$1001,MATCH(ROWS($AG$2:AG367),$AG$2:$AG$1001,0),MATCH(COLUMNS($AN$1006:BK1006),$AN$1006:$BO$1006,0)), HYPERLINK("#",""), HYPERLINK(CONCATENATE("#Metadata!", ADDRESS(INDEX($AI$2:$AI$1001,MATCH(ROWS($AG$2:AG367),$AG$2:$AG$1001,0),0), INDEX($AN$1004:$BO$1004,1,MATCH(COLUMNS($AN$1006:BK1006),$AN$1006:$BO$1006,0)))),"Fix")))</f>
        <v>0</v>
      </c>
      <c r="Z367" s="4">
        <f>IF(OR(INDEX($AH$2:$AH$1001,MATCH(ROWS($AG$2:AG367),$AG$2:$AG$1001,0),1)&gt;=100000,INDEX($AN$1005:$BO$1005,1,MATCH(COLUMNS($AN$1006:BL1006),$AN$1006:$BO$1006,0))&gt;=100000), " ",IF(INDEX($AN$2:$BO$1001,MATCH(ROWS($AG$2:AG367),$AG$2:$AG$1001,0),MATCH(COLUMNS($AN$1006:BL1006),$AN$1006:$BO$1006,0)), HYPERLINK("#",""), HYPERLINK(CONCATENATE("#Metadata!", ADDRESS(INDEX($AI$2:$AI$1001,MATCH(ROWS($AG$2:AG367),$AG$2:$AG$1001,0),0), INDEX($AN$1004:$BO$1004,1,MATCH(COLUMNS($AN$1006:BL1006),$AN$1006:$BO$1006,0)))),"Fix")))</f>
        <v>0</v>
      </c>
      <c r="AA367" s="4">
        <f>IF(OR(INDEX($AH$2:$AH$1001,MATCH(ROWS($AG$2:AG367),$AG$2:$AG$1001,0),1)&gt;=100000,INDEX($AN$1005:$BO$1005,1,MATCH(COLUMNS($AN$1006:BM1006),$AN$1006:$BO$1006,0))&gt;=100000), " ",IF(INDEX($AN$2:$BO$1001,MATCH(ROWS($AG$2:AG367),$AG$2:$AG$1001,0),MATCH(COLUMNS($AN$1006:BM1006),$AN$1006:$BO$1006,0)), HYPERLINK("#",""), HYPERLINK(CONCATENATE("#Metadata!", ADDRESS(INDEX($AI$2:$AI$1001,MATCH(ROWS($AG$2:AG367),$AG$2:$AG$1001,0),0), INDEX($AN$1004:$BO$1004,1,MATCH(COLUMNS($AN$1006:BM1006),$AN$1006:$BO$1006,0)))),"Fix")))</f>
        <v>0</v>
      </c>
      <c r="AB367" s="4">
        <f>IF(OR(INDEX($AH$2:$AH$1001,MATCH(ROWS($AG$2:AG367),$AG$2:$AG$1001,0),1)&gt;=100000,INDEX($AN$1005:$BO$1005,1,MATCH(COLUMNS($AN$1006:BN1006),$AN$1006:$BO$1006,0))&gt;=100000), " ",IF(INDEX($AN$2:$BO$1001,MATCH(ROWS($AG$2:AG367),$AG$2:$AG$1001,0),MATCH(COLUMNS($AN$1006:BN1006),$AN$1006:$BO$1006,0)), HYPERLINK("#",""), HYPERLINK(CONCATENATE("#Metadata!", ADDRESS(INDEX($AI$2:$AI$1001,MATCH(ROWS($AG$2:AG367),$AG$2:$AG$1001,0),0), INDEX($AN$1004:$BO$1004,1,MATCH(COLUMNS($AN$1006:BN1006),$AN$1006:$BO$1006,0)))),"Fix")))</f>
        <v>0</v>
      </c>
      <c r="AC367" s="4">
        <f>IF(OR(INDEX($AH$2:$AH$1001,MATCH(ROWS($AG$2:AG367),$AG$2:$AG$1001,0),1)&gt;=100000,INDEX($AN$1005:$BO$1005,1,MATCH(COLUMNS($AN$1006:BO1006),$AN$1006:$BO$1006,0))&gt;=100000), " ",IF(INDEX($AN$2:$BO$1001,MATCH(ROWS($AG$2:AG367),$AG$2:$AG$1001,0),MATCH(COLUMNS($AN$1006:BO1006),$AN$1006:$BO$1006,0)), HYPERLINK("#",""), HYPERLINK(CONCATENATE("#Metadata!", ADDRESS(INDEX($AI$2:$AI$1001,MATCH(ROWS($AG$2:AG367),$AG$2:$AG$1001,0),0), INDEX($AN$1004:$BO$1004,1,MATCH(COLUMNS($AN$1006:BO1006),$AN$1006:$BO$1006,0)))),"Fix")))</f>
        <v>0</v>
      </c>
      <c r="AG367">
        <v>0</v>
      </c>
      <c r="AH367">
        <v>0</v>
      </c>
      <c r="AI367">
        <v>0</v>
      </c>
      <c r="AJ367">
        <f>IF(AK367,TRUE,AND(AN367:BO367))</f>
        <v>0</v>
      </c>
      <c r="AK367">
        <f>COUNTBLANK(Metadata!B367:AC367)=COLUMNS(Metadata!B367:AC367)</f>
        <v>0</v>
      </c>
      <c r="AL367">
        <v>0</v>
      </c>
      <c r="AN367">
        <f>AND(IF(Metadata!B367="",FALSE,TRUE),COUNTIF(Metadata!B:B, Metadata!B367) = 1,NOT(ISERROR(SUMPRODUCT(SEARCH(MID(Metadata!B367,ROW(INDIRECT("1:"&amp;LEN(Metadata!B367))), 1),"0123456789abcdefghijklmnopqrstuvwxyzABCDEFGHIJKLMNOPQRSTUVWXYZ.")))))</f>
        <v>0</v>
      </c>
      <c r="AO367">
        <f>IF(Metadata!C367="",FALSE,TRUE)</f>
        <v>0</v>
      </c>
      <c r="AP367">
        <f>IF(Metadata!D367="",FALSE,TRUE)</f>
        <v>0</v>
      </c>
      <c r="AQ367">
        <f>OR(AND(IF(Metadata!E367="",FALSE,TRUE),OR(exact(Metadata!E367,"not collected"),exact(Metadata!E367,"not provided"),exact(Metadata!E367,"restricted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R367">
        <f>IF(Metadata!F367="",FALSE,TRUE)</f>
        <v>0</v>
      </c>
      <c r="AS367">
        <f>OR(AND(IF(Metadata!G367="",FALSE,TRUE),OR(exact(Metadata!G367,"not collected"),exact(Metadata!G367,"not provided"))),AND(IF(Metadata!G367="",FALSE,TRUE),OR(exact(Metadata!G367,"TRUE"),exact(Metadata!G367,"FALSE"))))</f>
        <v>0</v>
      </c>
      <c r="AT367">
        <f>OR(AND(IF(Metadata!H367="",FALSE,TRUE),OR(exact(Metadata!H367,"not collected"),exact(Metadata!H367,"not provided"),exact(Metadata!H367,"restricted access"))),AND(IF(Metadata!H367="",FALSE,ISNUMBER(VALUE(Metadata!H367))),Metadata!H367&gt;=-413.0))</f>
        <v>0</v>
      </c>
      <c r="AU367">
        <f>AND(IF(Metadata!I367="",FALSE,TRUE),exact(Metadata!I367,"meters"))</f>
        <v>0</v>
      </c>
      <c r="AV367">
        <f>AND(IF(Metadata!J367="",FALSE,TRUE),OR(exact(Metadata!J367,"Host-associated"),exact(Metadata!J367,"Free-living")))</f>
        <v>0</v>
      </c>
      <c r="AW367">
        <f>AND(IF(Metadata!K367="",FALSE,TRUE),OR(exact(Metadata!K367,"Animal"),exact(Metadata!K367,"Fungus"),exact(Metadata!K367,"Plant"),exact(Metadata!K367,"Saline"),exact(Metadata!K367,"Non-saline")))</f>
        <v>0</v>
      </c>
      <c r="AX367">
        <f>AND(IF(Metadata!L367="",FALSE,TRUE),OR(exact(Metadata!L367,"Plant secretion"),exact(Metadata!L367,"Plant rhizosphere"),exact(Metadata!L367,"Plant surface"),exact(Metadata!L367,"Plant corpus"),exact(Metadata!L367,"Fungus surface"),exact(Metadata!L367,"Fungus corpus"),exact(Metadata!L367,"Animal surface"),exact(Metadata!L367,"Animal proximal gut"),exact(Metadata!L367,"Animal corpus"),exact(Metadata!L367,"Animal distal gut"),exact(Metadata!L367,"Animal secretion"),exact(Metadata!L367,"Sub-surface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Y367">
        <f>IF(Metadata!M367="",FALSE,TRUE)</f>
        <v>0</v>
      </c>
      <c r="AZ367">
        <f>IF(Metadata!N367="",FALSE,TRUE)</f>
        <v>0</v>
      </c>
      <c r="BA367">
        <f>IF(Metadata!O367="",FALSE,TRUE)</f>
        <v>0</v>
      </c>
      <c r="BB367">
        <f>OR(AND(IF(Metadata!P367="",FALSE,TRUE),OR(exact(Metadata!P367,"not collected"),exact(Metadata!P367,"not provided"),exact(Metadata!P367,"restricted access"))),AND(IF(Metadata!P367="",FALSE,TRUE),OR(exact(Metadata!P367,"air"),exact(Metadata!P367,"built environment"),exact(Metadata!P367,"host-associated"),exact(Metadata!P367,"human-associated"),exact(Metadata!P367,"human-skin"),exact(Metadata!P367,"human-oral"),exact(Metadata!P367,"human-gut"),exact(Metadata!P367,"human-vaginal"),exact(Metadata!P367,"microbial mat/biofilm"),exact(Metadata!P367,"misc environment"),exact(Metadata!P367,"plant-associated"),exact(Metadata!P367,"sediment"),exact(Metadata!P367,"soil"),exact(Metadata!P367,"wastewater/sludge"),exact(Metadata!P367,"water"))))</f>
        <v>0</v>
      </c>
      <c r="BC367">
        <f>IF(Metadata!Q367="",FALSE,TRUE)</f>
        <v>0</v>
      </c>
      <c r="BD367">
        <f>IF(Metadata!R367="",FALSE,TRUE)</f>
        <v>0</v>
      </c>
      <c r="BE367">
        <f>OR(AND(IF(Metadata!S367="",FALSE,TRUE),OR(exact(Metadata!S367,"not collected"),exact(Metadata!S367,"not provided"),exact(Metadata!S367,"restricted access"))),AND(IF(Metadata!S367="",FALSE,ISNUMBER(VALUE(Metadata!S367))),Metadata!S367&gt;=-90.00,Metadata!S367&lt;=90.00))</f>
        <v>0</v>
      </c>
      <c r="BF367">
        <f>AND(IF(Metadata!T367="",FALSE,TRUE),exact(Metadata!T367,"Decimal degrees"))</f>
        <v>0</v>
      </c>
      <c r="BG367">
        <f>OR(AND(IF(Metadata!U367="",FALSE,TRUE),OR(exact(Metadata!U367,"not collected"),exact(Metadata!U367,"not provided"),exact(Metadata!U367,"restricted access"))),AND(IF(Metadata!U367="",FALSE,ISNUMBER(VALUE(Metadata!U367))),Metadata!U367&gt;=-180.00,Metadata!U367&lt;=180.00))</f>
        <v>0</v>
      </c>
      <c r="BH367">
        <f>AND(IF(Metadata!V367="",FALSE,TRUE),exact(Metadata!V367,"Decimal degrees"))</f>
        <v>0</v>
      </c>
      <c r="BI367">
        <f>IF(Metadata!W367="",FALSE,TRUE)</f>
        <v>0</v>
      </c>
      <c r="BJ367">
        <f>OR(AND(IF(Metadata!X367="",FALSE,TRUE),OR(exact(Metadata!X367,"not collected"),exact(Metadata!X367,"not provided"),exact(Metadata!X367,"restricted access"))),AND(IF(Metadata!X367="",FALSE,TRUE),OR(exact(Metadata!X367,"TRUE"),exact(Metadata!X367,"FALSE"))))</f>
        <v>0</v>
      </c>
      <c r="BK367">
        <f>AND(IF(Metadata!Y367="",FALSE,TRUE),exact(Metadata!Y367,"other"))</f>
        <v>0</v>
      </c>
      <c r="BL367">
        <f>IF(Metadata!Z367="",FALSE,TRUE)</f>
        <v>0</v>
      </c>
      <c r="BM367">
        <f>OR(AND(IF(Metadata!AA367="",FALSE,TRUE),OR(exact(Metadata!AA367,"not collected"),exact(Metadata!AA367,"not provided"))),AND(IF(Metadata!AA367="",FALSE,IF(ISERROR(INT(Metadata!AA367)),FALSE,INT(Metadata!AA367)=Metadata!AA367)),Metadata!AA367&gt;0))</f>
        <v>0</v>
      </c>
      <c r="BN367">
        <f>AND(IF(Metadata!AB367="",FALSE,TRUE),exact(Metadata!AB367,"Not applicable"))</f>
        <v>0</v>
      </c>
      <c r="BO367">
        <f>IF(Metadata!AC367="",FALSE,TRUE)</f>
        <v>0</v>
      </c>
    </row>
    <row r="368" spans="1:67">
      <c r="A368" s="5">
        <f>IF(B368=" "," ",HYPERLINK(CONCATENATE("#metadata!",ADDRESS(INDEX($AI$2:$AI$1001,MATCH(ROWS($AG$2:AG368),$AG$2:$AG$1001,0),0),1)),INDEX($AL$2:$AL$1001,MATCH(ROWS($AG$2:AG368),$AG$2:$AG$1001,0),0)))</f>
        <v>0</v>
      </c>
      <c r="B368" s="4">
        <f>IF(OR(INDEX($AH$2:$AH$1001,MATCH(ROWS($AG$2:AG368),$AG$2:$AG$1001,0),1)&gt;=100000,INDEX($AN$1005:$BO$1005,1,MATCH(COLUMNS($AN$1006:AN1006),$AN$1006:$BO$1006,0))&gt;=100000), " ",IF(INDEX($AN$2:$BO$1001,MATCH(ROWS($AG$2:AG368),$AG$2:$AG$1001,0),MATCH(COLUMNS($AN$1006:AN1006),$AN$1006:$BO$1006,0)), HYPERLINK("#",""), HYPERLINK(CONCATENATE("#Metadata!", ADDRESS(INDEX($AI$2:$AI$1001,MATCH(ROWS($AG$2:AG368),$AG$2:$AG$1001,0),0), INDEX($AN$1004:$BO$1004,1,MATCH(COLUMNS($AN$1006:AN1006),$AN$1006:$BO$1006,0)))),"Fix")))</f>
        <v>0</v>
      </c>
      <c r="C368" s="4">
        <f>IF(OR(INDEX($AH$2:$AH$1001,MATCH(ROWS($AG$2:AG368),$AG$2:$AG$1001,0),1)&gt;=100000,INDEX($AN$1005:$BO$1005,1,MATCH(COLUMNS($AN$1006:AO1006),$AN$1006:$BO$1006,0))&gt;=100000), " ",IF(INDEX($AN$2:$BO$1001,MATCH(ROWS($AG$2:AG368),$AG$2:$AG$1001,0),MATCH(COLUMNS($AN$1006:AO1006),$AN$1006:$BO$1006,0)), HYPERLINK("#",""), HYPERLINK(CONCATENATE("#Metadata!", ADDRESS(INDEX($AI$2:$AI$1001,MATCH(ROWS($AG$2:AG368),$AG$2:$AG$1001,0),0), INDEX($AN$1004:$BO$1004,1,MATCH(COLUMNS($AN$1006:AO1006),$AN$1006:$BO$1006,0)))),"Fix")))</f>
        <v>0</v>
      </c>
      <c r="D368" s="4">
        <f>IF(OR(INDEX($AH$2:$AH$1001,MATCH(ROWS($AG$2:AG368),$AG$2:$AG$1001,0),1)&gt;=100000,INDEX($AN$1005:$BO$1005,1,MATCH(COLUMNS($AN$1006:AP1006),$AN$1006:$BO$1006,0))&gt;=100000), " ",IF(INDEX($AN$2:$BO$1001,MATCH(ROWS($AG$2:AG368),$AG$2:$AG$1001,0),MATCH(COLUMNS($AN$1006:AP1006),$AN$1006:$BO$1006,0)), HYPERLINK("#",""), HYPERLINK(CONCATENATE("#Metadata!", ADDRESS(INDEX($AI$2:$AI$1001,MATCH(ROWS($AG$2:AG368),$AG$2:$AG$1001,0),0), INDEX($AN$1004:$BO$1004,1,MATCH(COLUMNS($AN$1006:AP1006),$AN$1006:$BO$1006,0)))),"Fix")))</f>
        <v>0</v>
      </c>
      <c r="E368" s="4">
        <f>IF(OR(INDEX($AH$2:$AH$1001,MATCH(ROWS($AG$2:AG368),$AG$2:$AG$1001,0),1)&gt;=100000,INDEX($AN$1005:$BO$1005,1,MATCH(COLUMNS($AN$1006:AQ1006),$AN$1006:$BO$1006,0))&gt;=100000), " ",IF(INDEX($AN$2:$BO$1001,MATCH(ROWS($AG$2:AG368),$AG$2:$AG$1001,0),MATCH(COLUMNS($AN$1006:AQ1006),$AN$1006:$BO$1006,0)), HYPERLINK("#",""), HYPERLINK(CONCATENATE("#Metadata!", ADDRESS(INDEX($AI$2:$AI$1001,MATCH(ROWS($AG$2:AG368),$AG$2:$AG$1001,0),0), INDEX($AN$1004:$BO$1004,1,MATCH(COLUMNS($AN$1006:AQ1006),$AN$1006:$BO$1006,0)))),"Fix")))</f>
        <v>0</v>
      </c>
      <c r="F368" s="4">
        <f>IF(OR(INDEX($AH$2:$AH$1001,MATCH(ROWS($AG$2:AG368),$AG$2:$AG$1001,0),1)&gt;=100000,INDEX($AN$1005:$BO$1005,1,MATCH(COLUMNS($AN$1006:AR1006),$AN$1006:$BO$1006,0))&gt;=100000), " ",IF(INDEX($AN$2:$BO$1001,MATCH(ROWS($AG$2:AG368),$AG$2:$AG$1001,0),MATCH(COLUMNS($AN$1006:AR1006),$AN$1006:$BO$1006,0)), HYPERLINK("#",""), HYPERLINK(CONCATENATE("#Metadata!", ADDRESS(INDEX($AI$2:$AI$1001,MATCH(ROWS($AG$2:AG368),$AG$2:$AG$1001,0),0), INDEX($AN$1004:$BO$1004,1,MATCH(COLUMNS($AN$1006:AR1006),$AN$1006:$BO$1006,0)))),"Fix")))</f>
        <v>0</v>
      </c>
      <c r="G368" s="4">
        <f>IF(OR(INDEX($AH$2:$AH$1001,MATCH(ROWS($AG$2:AG368),$AG$2:$AG$1001,0),1)&gt;=100000,INDEX($AN$1005:$BO$1005,1,MATCH(COLUMNS($AN$1006:AS1006),$AN$1006:$BO$1006,0))&gt;=100000), " ",IF(INDEX($AN$2:$BO$1001,MATCH(ROWS($AG$2:AG368),$AG$2:$AG$1001,0),MATCH(COLUMNS($AN$1006:AS1006),$AN$1006:$BO$1006,0)), HYPERLINK("#",""), HYPERLINK(CONCATENATE("#Metadata!", ADDRESS(INDEX($AI$2:$AI$1001,MATCH(ROWS($AG$2:AG368),$AG$2:$AG$1001,0),0), INDEX($AN$1004:$BO$1004,1,MATCH(COLUMNS($AN$1006:AS1006),$AN$1006:$BO$1006,0)))),"Fix")))</f>
        <v>0</v>
      </c>
      <c r="H368" s="4">
        <f>IF(OR(INDEX($AH$2:$AH$1001,MATCH(ROWS($AG$2:AG368),$AG$2:$AG$1001,0),1)&gt;=100000,INDEX($AN$1005:$BO$1005,1,MATCH(COLUMNS($AN$1006:AT1006),$AN$1006:$BO$1006,0))&gt;=100000), " ",IF(INDEX($AN$2:$BO$1001,MATCH(ROWS($AG$2:AG368),$AG$2:$AG$1001,0),MATCH(COLUMNS($AN$1006:AT1006),$AN$1006:$BO$1006,0)), HYPERLINK("#",""), HYPERLINK(CONCATENATE("#Metadata!", ADDRESS(INDEX($AI$2:$AI$1001,MATCH(ROWS($AG$2:AG368),$AG$2:$AG$1001,0),0), INDEX($AN$1004:$BO$1004,1,MATCH(COLUMNS($AN$1006:AT1006),$AN$1006:$BO$1006,0)))),"Fix")))</f>
        <v>0</v>
      </c>
      <c r="I368" s="4">
        <f>IF(OR(INDEX($AH$2:$AH$1001,MATCH(ROWS($AG$2:AG368),$AG$2:$AG$1001,0),1)&gt;=100000,INDEX($AN$1005:$BO$1005,1,MATCH(COLUMNS($AN$1006:AU1006),$AN$1006:$BO$1006,0))&gt;=100000), " ",IF(INDEX($AN$2:$BO$1001,MATCH(ROWS($AG$2:AG368),$AG$2:$AG$1001,0),MATCH(COLUMNS($AN$1006:AU1006),$AN$1006:$BO$1006,0)), HYPERLINK("#",""), HYPERLINK(CONCATENATE("#Metadata!", ADDRESS(INDEX($AI$2:$AI$1001,MATCH(ROWS($AG$2:AG368),$AG$2:$AG$1001,0),0), INDEX($AN$1004:$BO$1004,1,MATCH(COLUMNS($AN$1006:AU1006),$AN$1006:$BO$1006,0)))),"Fix")))</f>
        <v>0</v>
      </c>
      <c r="J368" s="4">
        <f>IF(OR(INDEX($AH$2:$AH$1001,MATCH(ROWS($AG$2:AG368),$AG$2:$AG$1001,0),1)&gt;=100000,INDEX($AN$1005:$BO$1005,1,MATCH(COLUMNS($AN$1006:AV1006),$AN$1006:$BO$1006,0))&gt;=100000), " ",IF(INDEX($AN$2:$BO$1001,MATCH(ROWS($AG$2:AG368),$AG$2:$AG$1001,0),MATCH(COLUMNS($AN$1006:AV1006),$AN$1006:$BO$1006,0)), HYPERLINK("#",""), HYPERLINK(CONCATENATE("#Metadata!", ADDRESS(INDEX($AI$2:$AI$1001,MATCH(ROWS($AG$2:AG368),$AG$2:$AG$1001,0),0), INDEX($AN$1004:$BO$1004,1,MATCH(COLUMNS($AN$1006:AV1006),$AN$1006:$BO$1006,0)))),"Fix")))</f>
        <v>0</v>
      </c>
      <c r="K368" s="4">
        <f>IF(OR(INDEX($AH$2:$AH$1001,MATCH(ROWS($AG$2:AG368),$AG$2:$AG$1001,0),1)&gt;=100000,INDEX($AN$1005:$BO$1005,1,MATCH(COLUMNS($AN$1006:AW1006),$AN$1006:$BO$1006,0))&gt;=100000), " ",IF(INDEX($AN$2:$BO$1001,MATCH(ROWS($AG$2:AG368),$AG$2:$AG$1001,0),MATCH(COLUMNS($AN$1006:AW1006),$AN$1006:$BO$1006,0)), HYPERLINK("#",""), HYPERLINK(CONCATENATE("#Metadata!", ADDRESS(INDEX($AI$2:$AI$1001,MATCH(ROWS($AG$2:AG368),$AG$2:$AG$1001,0),0), INDEX($AN$1004:$BO$1004,1,MATCH(COLUMNS($AN$1006:AW1006),$AN$1006:$BO$1006,0)))),"Fix")))</f>
        <v>0</v>
      </c>
      <c r="L368" s="4">
        <f>IF(OR(INDEX($AH$2:$AH$1001,MATCH(ROWS($AG$2:AG368),$AG$2:$AG$1001,0),1)&gt;=100000,INDEX($AN$1005:$BO$1005,1,MATCH(COLUMNS($AN$1006:AX1006),$AN$1006:$BO$1006,0))&gt;=100000), " ",IF(INDEX($AN$2:$BO$1001,MATCH(ROWS($AG$2:AG368),$AG$2:$AG$1001,0),MATCH(COLUMNS($AN$1006:AX1006),$AN$1006:$BO$1006,0)), HYPERLINK("#",""), HYPERLINK(CONCATENATE("#Metadata!", ADDRESS(INDEX($AI$2:$AI$1001,MATCH(ROWS($AG$2:AG368),$AG$2:$AG$1001,0),0), INDEX($AN$1004:$BO$1004,1,MATCH(COLUMNS($AN$1006:AX1006),$AN$1006:$BO$1006,0)))),"Fix")))</f>
        <v>0</v>
      </c>
      <c r="M368" s="4">
        <f>IF(OR(INDEX($AH$2:$AH$1001,MATCH(ROWS($AG$2:AG368),$AG$2:$AG$1001,0),1)&gt;=100000,INDEX($AN$1005:$BO$1005,1,MATCH(COLUMNS($AN$1006:AY1006),$AN$1006:$BO$1006,0))&gt;=100000), " ",IF(INDEX($AN$2:$BO$1001,MATCH(ROWS($AG$2:AG368),$AG$2:$AG$1001,0),MATCH(COLUMNS($AN$1006:AY1006),$AN$1006:$BO$1006,0)), HYPERLINK("#",""), HYPERLINK(CONCATENATE("#Metadata!", ADDRESS(INDEX($AI$2:$AI$1001,MATCH(ROWS($AG$2:AG368),$AG$2:$AG$1001,0),0), INDEX($AN$1004:$BO$1004,1,MATCH(COLUMNS($AN$1006:AY1006),$AN$1006:$BO$1006,0)))),"Fix")))</f>
        <v>0</v>
      </c>
      <c r="N368" s="4">
        <f>IF(OR(INDEX($AH$2:$AH$1001,MATCH(ROWS($AG$2:AG368),$AG$2:$AG$1001,0),1)&gt;=100000,INDEX($AN$1005:$BO$1005,1,MATCH(COLUMNS($AN$1006:AZ1006),$AN$1006:$BO$1006,0))&gt;=100000), " ",IF(INDEX($AN$2:$BO$1001,MATCH(ROWS($AG$2:AG368),$AG$2:$AG$1001,0),MATCH(COLUMNS($AN$1006:AZ1006),$AN$1006:$BO$1006,0)), HYPERLINK("#",""), HYPERLINK(CONCATENATE("#Metadata!", ADDRESS(INDEX($AI$2:$AI$1001,MATCH(ROWS($AG$2:AG368),$AG$2:$AG$1001,0),0), INDEX($AN$1004:$BO$1004,1,MATCH(COLUMNS($AN$1006:AZ1006),$AN$1006:$BO$1006,0)))),"Fix")))</f>
        <v>0</v>
      </c>
      <c r="O368" s="4">
        <f>IF(OR(INDEX($AH$2:$AH$1001,MATCH(ROWS($AG$2:AG368),$AG$2:$AG$1001,0),1)&gt;=100000,INDEX($AN$1005:$BO$1005,1,MATCH(COLUMNS($AN$1006:BA1006),$AN$1006:$BO$1006,0))&gt;=100000), " ",IF(INDEX($AN$2:$BO$1001,MATCH(ROWS($AG$2:AG368),$AG$2:$AG$1001,0),MATCH(COLUMNS($AN$1006:BA1006),$AN$1006:$BO$1006,0)), HYPERLINK("#",""), HYPERLINK(CONCATENATE("#Metadata!", ADDRESS(INDEX($AI$2:$AI$1001,MATCH(ROWS($AG$2:AG368),$AG$2:$AG$1001,0),0), INDEX($AN$1004:$BO$1004,1,MATCH(COLUMNS($AN$1006:BA1006),$AN$1006:$BO$1006,0)))),"Fix")))</f>
        <v>0</v>
      </c>
      <c r="P368" s="4">
        <f>IF(OR(INDEX($AH$2:$AH$1001,MATCH(ROWS($AG$2:AG368),$AG$2:$AG$1001,0),1)&gt;=100000,INDEX($AN$1005:$BO$1005,1,MATCH(COLUMNS($AN$1006:BB1006),$AN$1006:$BO$1006,0))&gt;=100000), " ",IF(INDEX($AN$2:$BO$1001,MATCH(ROWS($AG$2:AG368),$AG$2:$AG$1001,0),MATCH(COLUMNS($AN$1006:BB1006),$AN$1006:$BO$1006,0)), HYPERLINK("#",""), HYPERLINK(CONCATENATE("#Metadata!", ADDRESS(INDEX($AI$2:$AI$1001,MATCH(ROWS($AG$2:AG368),$AG$2:$AG$1001,0),0), INDEX($AN$1004:$BO$1004,1,MATCH(COLUMNS($AN$1006:BB1006),$AN$1006:$BO$1006,0)))),"Fix")))</f>
        <v>0</v>
      </c>
      <c r="Q368" s="4">
        <f>IF(OR(INDEX($AH$2:$AH$1001,MATCH(ROWS($AG$2:AG368),$AG$2:$AG$1001,0),1)&gt;=100000,INDEX($AN$1005:$BO$1005,1,MATCH(COLUMNS($AN$1006:BC1006),$AN$1006:$BO$1006,0))&gt;=100000), " ",IF(INDEX($AN$2:$BO$1001,MATCH(ROWS($AG$2:AG368),$AG$2:$AG$1001,0),MATCH(COLUMNS($AN$1006:BC1006),$AN$1006:$BO$1006,0)), HYPERLINK("#",""), HYPERLINK(CONCATENATE("#Metadata!", ADDRESS(INDEX($AI$2:$AI$1001,MATCH(ROWS($AG$2:AG368),$AG$2:$AG$1001,0),0), INDEX($AN$1004:$BO$1004,1,MATCH(COLUMNS($AN$1006:BC1006),$AN$1006:$BO$1006,0)))),"Fix")))</f>
        <v>0</v>
      </c>
      <c r="R368" s="4">
        <f>IF(OR(INDEX($AH$2:$AH$1001,MATCH(ROWS($AG$2:AG368),$AG$2:$AG$1001,0),1)&gt;=100000,INDEX($AN$1005:$BO$1005,1,MATCH(COLUMNS($AN$1006:BD1006),$AN$1006:$BO$1006,0))&gt;=100000), " ",IF(INDEX($AN$2:$BO$1001,MATCH(ROWS($AG$2:AG368),$AG$2:$AG$1001,0),MATCH(COLUMNS($AN$1006:BD1006),$AN$1006:$BO$1006,0)), HYPERLINK("#",""), HYPERLINK(CONCATENATE("#Metadata!", ADDRESS(INDEX($AI$2:$AI$1001,MATCH(ROWS($AG$2:AG368),$AG$2:$AG$1001,0),0), INDEX($AN$1004:$BO$1004,1,MATCH(COLUMNS($AN$1006:BD1006),$AN$1006:$BO$1006,0)))),"Fix")))</f>
        <v>0</v>
      </c>
      <c r="S368" s="4">
        <f>IF(OR(INDEX($AH$2:$AH$1001,MATCH(ROWS($AG$2:AG368),$AG$2:$AG$1001,0),1)&gt;=100000,INDEX($AN$1005:$BO$1005,1,MATCH(COLUMNS($AN$1006:BE1006),$AN$1006:$BO$1006,0))&gt;=100000), " ",IF(INDEX($AN$2:$BO$1001,MATCH(ROWS($AG$2:AG368),$AG$2:$AG$1001,0),MATCH(COLUMNS($AN$1006:BE1006),$AN$1006:$BO$1006,0)), HYPERLINK("#",""), HYPERLINK(CONCATENATE("#Metadata!", ADDRESS(INDEX($AI$2:$AI$1001,MATCH(ROWS($AG$2:AG368),$AG$2:$AG$1001,0),0), INDEX($AN$1004:$BO$1004,1,MATCH(COLUMNS($AN$1006:BE1006),$AN$1006:$BO$1006,0)))),"Fix")))</f>
        <v>0</v>
      </c>
      <c r="T368" s="4">
        <f>IF(OR(INDEX($AH$2:$AH$1001,MATCH(ROWS($AG$2:AG368),$AG$2:$AG$1001,0),1)&gt;=100000,INDEX($AN$1005:$BO$1005,1,MATCH(COLUMNS($AN$1006:BF1006),$AN$1006:$BO$1006,0))&gt;=100000), " ",IF(INDEX($AN$2:$BO$1001,MATCH(ROWS($AG$2:AG368),$AG$2:$AG$1001,0),MATCH(COLUMNS($AN$1006:BF1006),$AN$1006:$BO$1006,0)), HYPERLINK("#",""), HYPERLINK(CONCATENATE("#Metadata!", ADDRESS(INDEX($AI$2:$AI$1001,MATCH(ROWS($AG$2:AG368),$AG$2:$AG$1001,0),0), INDEX($AN$1004:$BO$1004,1,MATCH(COLUMNS($AN$1006:BF1006),$AN$1006:$BO$1006,0)))),"Fix")))</f>
        <v>0</v>
      </c>
      <c r="U368" s="4">
        <f>IF(OR(INDEX($AH$2:$AH$1001,MATCH(ROWS($AG$2:AG368),$AG$2:$AG$1001,0),1)&gt;=100000,INDEX($AN$1005:$BO$1005,1,MATCH(COLUMNS($AN$1006:BG1006),$AN$1006:$BO$1006,0))&gt;=100000), " ",IF(INDEX($AN$2:$BO$1001,MATCH(ROWS($AG$2:AG368),$AG$2:$AG$1001,0),MATCH(COLUMNS($AN$1006:BG1006),$AN$1006:$BO$1006,0)), HYPERLINK("#",""), HYPERLINK(CONCATENATE("#Metadata!", ADDRESS(INDEX($AI$2:$AI$1001,MATCH(ROWS($AG$2:AG368),$AG$2:$AG$1001,0),0), INDEX($AN$1004:$BO$1004,1,MATCH(COLUMNS($AN$1006:BG1006),$AN$1006:$BO$1006,0)))),"Fix")))</f>
        <v>0</v>
      </c>
      <c r="V368" s="4">
        <f>IF(OR(INDEX($AH$2:$AH$1001,MATCH(ROWS($AG$2:AG368),$AG$2:$AG$1001,0),1)&gt;=100000,INDEX($AN$1005:$BO$1005,1,MATCH(COLUMNS($AN$1006:BH1006),$AN$1006:$BO$1006,0))&gt;=100000), " ",IF(INDEX($AN$2:$BO$1001,MATCH(ROWS($AG$2:AG368),$AG$2:$AG$1001,0),MATCH(COLUMNS($AN$1006:BH1006),$AN$1006:$BO$1006,0)), HYPERLINK("#",""), HYPERLINK(CONCATENATE("#Metadata!", ADDRESS(INDEX($AI$2:$AI$1001,MATCH(ROWS($AG$2:AG368),$AG$2:$AG$1001,0),0), INDEX($AN$1004:$BO$1004,1,MATCH(COLUMNS($AN$1006:BH1006),$AN$1006:$BO$1006,0)))),"Fix")))</f>
        <v>0</v>
      </c>
      <c r="W368" s="4">
        <f>IF(OR(INDEX($AH$2:$AH$1001,MATCH(ROWS($AG$2:AG368),$AG$2:$AG$1001,0),1)&gt;=100000,INDEX($AN$1005:$BO$1005,1,MATCH(COLUMNS($AN$1006:BI1006),$AN$1006:$BO$1006,0))&gt;=100000), " ",IF(INDEX($AN$2:$BO$1001,MATCH(ROWS($AG$2:AG368),$AG$2:$AG$1001,0),MATCH(COLUMNS($AN$1006:BI1006),$AN$1006:$BO$1006,0)), HYPERLINK("#",""), HYPERLINK(CONCATENATE("#Metadata!", ADDRESS(INDEX($AI$2:$AI$1001,MATCH(ROWS($AG$2:AG368),$AG$2:$AG$1001,0),0), INDEX($AN$1004:$BO$1004,1,MATCH(COLUMNS($AN$1006:BI1006),$AN$1006:$BO$1006,0)))),"Fix")))</f>
        <v>0</v>
      </c>
      <c r="X368" s="4">
        <f>IF(OR(INDEX($AH$2:$AH$1001,MATCH(ROWS($AG$2:AG368),$AG$2:$AG$1001,0),1)&gt;=100000,INDEX($AN$1005:$BO$1005,1,MATCH(COLUMNS($AN$1006:BJ1006),$AN$1006:$BO$1006,0))&gt;=100000), " ",IF(INDEX($AN$2:$BO$1001,MATCH(ROWS($AG$2:AG368),$AG$2:$AG$1001,0),MATCH(COLUMNS($AN$1006:BJ1006),$AN$1006:$BO$1006,0)), HYPERLINK("#",""), HYPERLINK(CONCATENATE("#Metadata!", ADDRESS(INDEX($AI$2:$AI$1001,MATCH(ROWS($AG$2:AG368),$AG$2:$AG$1001,0),0), INDEX($AN$1004:$BO$1004,1,MATCH(COLUMNS($AN$1006:BJ1006),$AN$1006:$BO$1006,0)))),"Fix")))</f>
        <v>0</v>
      </c>
      <c r="Y368" s="4">
        <f>IF(OR(INDEX($AH$2:$AH$1001,MATCH(ROWS($AG$2:AG368),$AG$2:$AG$1001,0),1)&gt;=100000,INDEX($AN$1005:$BO$1005,1,MATCH(COLUMNS($AN$1006:BK1006),$AN$1006:$BO$1006,0))&gt;=100000), " ",IF(INDEX($AN$2:$BO$1001,MATCH(ROWS($AG$2:AG368),$AG$2:$AG$1001,0),MATCH(COLUMNS($AN$1006:BK1006),$AN$1006:$BO$1006,0)), HYPERLINK("#",""), HYPERLINK(CONCATENATE("#Metadata!", ADDRESS(INDEX($AI$2:$AI$1001,MATCH(ROWS($AG$2:AG368),$AG$2:$AG$1001,0),0), INDEX($AN$1004:$BO$1004,1,MATCH(COLUMNS($AN$1006:BK1006),$AN$1006:$BO$1006,0)))),"Fix")))</f>
        <v>0</v>
      </c>
      <c r="Z368" s="4">
        <f>IF(OR(INDEX($AH$2:$AH$1001,MATCH(ROWS($AG$2:AG368),$AG$2:$AG$1001,0),1)&gt;=100000,INDEX($AN$1005:$BO$1005,1,MATCH(COLUMNS($AN$1006:BL1006),$AN$1006:$BO$1006,0))&gt;=100000), " ",IF(INDEX($AN$2:$BO$1001,MATCH(ROWS($AG$2:AG368),$AG$2:$AG$1001,0),MATCH(COLUMNS($AN$1006:BL1006),$AN$1006:$BO$1006,0)), HYPERLINK("#",""), HYPERLINK(CONCATENATE("#Metadata!", ADDRESS(INDEX($AI$2:$AI$1001,MATCH(ROWS($AG$2:AG368),$AG$2:$AG$1001,0),0), INDEX($AN$1004:$BO$1004,1,MATCH(COLUMNS($AN$1006:BL1006),$AN$1006:$BO$1006,0)))),"Fix")))</f>
        <v>0</v>
      </c>
      <c r="AA368" s="4">
        <f>IF(OR(INDEX($AH$2:$AH$1001,MATCH(ROWS($AG$2:AG368),$AG$2:$AG$1001,0),1)&gt;=100000,INDEX($AN$1005:$BO$1005,1,MATCH(COLUMNS($AN$1006:BM1006),$AN$1006:$BO$1006,0))&gt;=100000), " ",IF(INDEX($AN$2:$BO$1001,MATCH(ROWS($AG$2:AG368),$AG$2:$AG$1001,0),MATCH(COLUMNS($AN$1006:BM1006),$AN$1006:$BO$1006,0)), HYPERLINK("#",""), HYPERLINK(CONCATENATE("#Metadata!", ADDRESS(INDEX($AI$2:$AI$1001,MATCH(ROWS($AG$2:AG368),$AG$2:$AG$1001,0),0), INDEX($AN$1004:$BO$1004,1,MATCH(COLUMNS($AN$1006:BM1006),$AN$1006:$BO$1006,0)))),"Fix")))</f>
        <v>0</v>
      </c>
      <c r="AB368" s="4">
        <f>IF(OR(INDEX($AH$2:$AH$1001,MATCH(ROWS($AG$2:AG368),$AG$2:$AG$1001,0),1)&gt;=100000,INDEX($AN$1005:$BO$1005,1,MATCH(COLUMNS($AN$1006:BN1006),$AN$1006:$BO$1006,0))&gt;=100000), " ",IF(INDEX($AN$2:$BO$1001,MATCH(ROWS($AG$2:AG368),$AG$2:$AG$1001,0),MATCH(COLUMNS($AN$1006:BN1006),$AN$1006:$BO$1006,0)), HYPERLINK("#",""), HYPERLINK(CONCATENATE("#Metadata!", ADDRESS(INDEX($AI$2:$AI$1001,MATCH(ROWS($AG$2:AG368),$AG$2:$AG$1001,0),0), INDEX($AN$1004:$BO$1004,1,MATCH(COLUMNS($AN$1006:BN1006),$AN$1006:$BO$1006,0)))),"Fix")))</f>
        <v>0</v>
      </c>
      <c r="AC368" s="4">
        <f>IF(OR(INDEX($AH$2:$AH$1001,MATCH(ROWS($AG$2:AG368),$AG$2:$AG$1001,0),1)&gt;=100000,INDEX($AN$1005:$BO$1005,1,MATCH(COLUMNS($AN$1006:BO1006),$AN$1006:$BO$1006,0))&gt;=100000), " ",IF(INDEX($AN$2:$BO$1001,MATCH(ROWS($AG$2:AG368),$AG$2:$AG$1001,0),MATCH(COLUMNS($AN$1006:BO1006),$AN$1006:$BO$1006,0)), HYPERLINK("#",""), HYPERLINK(CONCATENATE("#Metadata!", ADDRESS(INDEX($AI$2:$AI$1001,MATCH(ROWS($AG$2:AG368),$AG$2:$AG$1001,0),0), INDEX($AN$1004:$BO$1004,1,MATCH(COLUMNS($AN$1006:BO1006),$AN$1006:$BO$1006,0)))),"Fix")))</f>
        <v>0</v>
      </c>
      <c r="AG368">
        <v>0</v>
      </c>
      <c r="AH368">
        <v>0</v>
      </c>
      <c r="AI368">
        <v>0</v>
      </c>
      <c r="AJ368">
        <f>IF(AK368,TRUE,AND(AN368:BO368))</f>
        <v>0</v>
      </c>
      <c r="AK368">
        <f>COUNTBLANK(Metadata!B368:AC368)=COLUMNS(Metadata!B368:AC368)</f>
        <v>0</v>
      </c>
      <c r="AL368">
        <v>0</v>
      </c>
      <c r="AN368">
        <f>AND(IF(Metadata!B368="",FALSE,TRUE),COUNTIF(Metadata!B:B, Metadata!B368) = 1,NOT(ISERROR(SUMPRODUCT(SEARCH(MID(Metadata!B368,ROW(INDIRECT("1:"&amp;LEN(Metadata!B368))), 1),"0123456789abcdefghijklmnopqrstuvwxyzABCDEFGHIJKLMNOPQRSTUVWXYZ.")))))</f>
        <v>0</v>
      </c>
      <c r="AO368">
        <f>IF(Metadata!C368="",FALSE,TRUE)</f>
        <v>0</v>
      </c>
      <c r="AP368">
        <f>IF(Metadata!D368="",FALSE,TRUE)</f>
        <v>0</v>
      </c>
      <c r="AQ368">
        <f>OR(AND(IF(Metadata!E368="",FALSE,TRUE),OR(exact(Metadata!E368,"not collected"),exact(Metadata!E368,"not provided"),exact(Metadata!E368,"restricted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R368">
        <f>IF(Metadata!F368="",FALSE,TRUE)</f>
        <v>0</v>
      </c>
      <c r="AS368">
        <f>OR(AND(IF(Metadata!G368="",FALSE,TRUE),OR(exact(Metadata!G368,"not collected"),exact(Metadata!G368,"not provided"))),AND(IF(Metadata!G368="",FALSE,TRUE),OR(exact(Metadata!G368,"TRUE"),exact(Metadata!G368,"FALSE"))))</f>
        <v>0</v>
      </c>
      <c r="AT368">
        <f>OR(AND(IF(Metadata!H368="",FALSE,TRUE),OR(exact(Metadata!H368,"not collected"),exact(Metadata!H368,"not provided"),exact(Metadata!H368,"restricted access"))),AND(IF(Metadata!H368="",FALSE,ISNUMBER(VALUE(Metadata!H368))),Metadata!H368&gt;=-413.0))</f>
        <v>0</v>
      </c>
      <c r="AU368">
        <f>AND(IF(Metadata!I368="",FALSE,TRUE),exact(Metadata!I368,"meters"))</f>
        <v>0</v>
      </c>
      <c r="AV368">
        <f>AND(IF(Metadata!J368="",FALSE,TRUE),OR(exact(Metadata!J368,"Host-associated"),exact(Metadata!J368,"Free-living")))</f>
        <v>0</v>
      </c>
      <c r="AW368">
        <f>AND(IF(Metadata!K368="",FALSE,TRUE),OR(exact(Metadata!K368,"Animal"),exact(Metadata!K368,"Fungus"),exact(Metadata!K368,"Plant"),exact(Metadata!K368,"Saline"),exact(Metadata!K368,"Non-saline")))</f>
        <v>0</v>
      </c>
      <c r="AX368">
        <f>AND(IF(Metadata!L368="",FALSE,TRUE),OR(exact(Metadata!L368,"Plant secretion"),exact(Metadata!L368,"Plant rhizosphere"),exact(Metadata!L368,"Plant surface"),exact(Metadata!L368,"Plant corpus"),exact(Metadata!L368,"Fungus surface"),exact(Metadata!L368,"Fungus corpus"),exact(Metadata!L368,"Animal surface"),exact(Metadata!L368,"Animal proximal gut"),exact(Metadata!L368,"Animal corpus"),exact(Metadata!L368,"Animal distal gut"),exact(Metadata!L368,"Animal secretion"),exact(Metadata!L368,"Sub-surface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Y368">
        <f>IF(Metadata!M368="",FALSE,TRUE)</f>
        <v>0</v>
      </c>
      <c r="AZ368">
        <f>IF(Metadata!N368="",FALSE,TRUE)</f>
        <v>0</v>
      </c>
      <c r="BA368">
        <f>IF(Metadata!O368="",FALSE,TRUE)</f>
        <v>0</v>
      </c>
      <c r="BB368">
        <f>OR(AND(IF(Metadata!P368="",FALSE,TRUE),OR(exact(Metadata!P368,"not collected"),exact(Metadata!P368,"not provided"),exact(Metadata!P368,"restricted access"))),AND(IF(Metadata!P368="",FALSE,TRUE),OR(exact(Metadata!P368,"air"),exact(Metadata!P368,"built environment"),exact(Metadata!P368,"host-associated"),exact(Metadata!P368,"human-associated"),exact(Metadata!P368,"human-skin"),exact(Metadata!P368,"human-oral"),exact(Metadata!P368,"human-gut"),exact(Metadata!P368,"human-vaginal"),exact(Metadata!P368,"microbial mat/biofilm"),exact(Metadata!P368,"misc environment"),exact(Metadata!P368,"plant-associated"),exact(Metadata!P368,"sediment"),exact(Metadata!P368,"soil"),exact(Metadata!P368,"wastewater/sludge"),exact(Metadata!P368,"water"))))</f>
        <v>0</v>
      </c>
      <c r="BC368">
        <f>IF(Metadata!Q368="",FALSE,TRUE)</f>
        <v>0</v>
      </c>
      <c r="BD368">
        <f>IF(Metadata!R368="",FALSE,TRUE)</f>
        <v>0</v>
      </c>
      <c r="BE368">
        <f>OR(AND(IF(Metadata!S368="",FALSE,TRUE),OR(exact(Metadata!S368,"not collected"),exact(Metadata!S368,"not provided"),exact(Metadata!S368,"restricted access"))),AND(IF(Metadata!S368="",FALSE,ISNUMBER(VALUE(Metadata!S368))),Metadata!S368&gt;=-90.00,Metadata!S368&lt;=90.00))</f>
        <v>0</v>
      </c>
      <c r="BF368">
        <f>AND(IF(Metadata!T368="",FALSE,TRUE),exact(Metadata!T368,"Decimal degrees"))</f>
        <v>0</v>
      </c>
      <c r="BG368">
        <f>OR(AND(IF(Metadata!U368="",FALSE,TRUE),OR(exact(Metadata!U368,"not collected"),exact(Metadata!U368,"not provided"),exact(Metadata!U368,"restricted access"))),AND(IF(Metadata!U368="",FALSE,ISNUMBER(VALUE(Metadata!U368))),Metadata!U368&gt;=-180.00,Metadata!U368&lt;=180.00))</f>
        <v>0</v>
      </c>
      <c r="BH368">
        <f>AND(IF(Metadata!V368="",FALSE,TRUE),exact(Metadata!V368,"Decimal degrees"))</f>
        <v>0</v>
      </c>
      <c r="BI368">
        <f>IF(Metadata!W368="",FALSE,TRUE)</f>
        <v>0</v>
      </c>
      <c r="BJ368">
        <f>OR(AND(IF(Metadata!X368="",FALSE,TRUE),OR(exact(Metadata!X368,"not collected"),exact(Metadata!X368,"not provided"),exact(Metadata!X368,"restricted access"))),AND(IF(Metadata!X368="",FALSE,TRUE),OR(exact(Metadata!X368,"TRUE"),exact(Metadata!X368,"FALSE"))))</f>
        <v>0</v>
      </c>
      <c r="BK368">
        <f>AND(IF(Metadata!Y368="",FALSE,TRUE),exact(Metadata!Y368,"other"))</f>
        <v>0</v>
      </c>
      <c r="BL368">
        <f>IF(Metadata!Z368="",FALSE,TRUE)</f>
        <v>0</v>
      </c>
      <c r="BM368">
        <f>OR(AND(IF(Metadata!AA368="",FALSE,TRUE),OR(exact(Metadata!AA368,"not collected"),exact(Metadata!AA368,"not provided"))),AND(IF(Metadata!AA368="",FALSE,IF(ISERROR(INT(Metadata!AA368)),FALSE,INT(Metadata!AA368)=Metadata!AA368)),Metadata!AA368&gt;0))</f>
        <v>0</v>
      </c>
      <c r="BN368">
        <f>AND(IF(Metadata!AB368="",FALSE,TRUE),exact(Metadata!AB368,"Not applicable"))</f>
        <v>0</v>
      </c>
      <c r="BO368">
        <f>IF(Metadata!AC368="",FALSE,TRUE)</f>
        <v>0</v>
      </c>
    </row>
    <row r="369" spans="1:67">
      <c r="A369" s="5">
        <f>IF(B369=" "," ",HYPERLINK(CONCATENATE("#metadata!",ADDRESS(INDEX($AI$2:$AI$1001,MATCH(ROWS($AG$2:AG369),$AG$2:$AG$1001,0),0),1)),INDEX($AL$2:$AL$1001,MATCH(ROWS($AG$2:AG369),$AG$2:$AG$1001,0),0)))</f>
        <v>0</v>
      </c>
      <c r="B369" s="4">
        <f>IF(OR(INDEX($AH$2:$AH$1001,MATCH(ROWS($AG$2:AG369),$AG$2:$AG$1001,0),1)&gt;=100000,INDEX($AN$1005:$BO$1005,1,MATCH(COLUMNS($AN$1006:AN1006),$AN$1006:$BO$1006,0))&gt;=100000), " ",IF(INDEX($AN$2:$BO$1001,MATCH(ROWS($AG$2:AG369),$AG$2:$AG$1001,0),MATCH(COLUMNS($AN$1006:AN1006),$AN$1006:$BO$1006,0)), HYPERLINK("#",""), HYPERLINK(CONCATENATE("#Metadata!", ADDRESS(INDEX($AI$2:$AI$1001,MATCH(ROWS($AG$2:AG369),$AG$2:$AG$1001,0),0), INDEX($AN$1004:$BO$1004,1,MATCH(COLUMNS($AN$1006:AN1006),$AN$1006:$BO$1006,0)))),"Fix")))</f>
        <v>0</v>
      </c>
      <c r="C369" s="4">
        <f>IF(OR(INDEX($AH$2:$AH$1001,MATCH(ROWS($AG$2:AG369),$AG$2:$AG$1001,0),1)&gt;=100000,INDEX($AN$1005:$BO$1005,1,MATCH(COLUMNS($AN$1006:AO1006),$AN$1006:$BO$1006,0))&gt;=100000), " ",IF(INDEX($AN$2:$BO$1001,MATCH(ROWS($AG$2:AG369),$AG$2:$AG$1001,0),MATCH(COLUMNS($AN$1006:AO1006),$AN$1006:$BO$1006,0)), HYPERLINK("#",""), HYPERLINK(CONCATENATE("#Metadata!", ADDRESS(INDEX($AI$2:$AI$1001,MATCH(ROWS($AG$2:AG369),$AG$2:$AG$1001,0),0), INDEX($AN$1004:$BO$1004,1,MATCH(COLUMNS($AN$1006:AO1006),$AN$1006:$BO$1006,0)))),"Fix")))</f>
        <v>0</v>
      </c>
      <c r="D369" s="4">
        <f>IF(OR(INDEX($AH$2:$AH$1001,MATCH(ROWS($AG$2:AG369),$AG$2:$AG$1001,0),1)&gt;=100000,INDEX($AN$1005:$BO$1005,1,MATCH(COLUMNS($AN$1006:AP1006),$AN$1006:$BO$1006,0))&gt;=100000), " ",IF(INDEX($AN$2:$BO$1001,MATCH(ROWS($AG$2:AG369),$AG$2:$AG$1001,0),MATCH(COLUMNS($AN$1006:AP1006),$AN$1006:$BO$1006,0)), HYPERLINK("#",""), HYPERLINK(CONCATENATE("#Metadata!", ADDRESS(INDEX($AI$2:$AI$1001,MATCH(ROWS($AG$2:AG369),$AG$2:$AG$1001,0),0), INDEX($AN$1004:$BO$1004,1,MATCH(COLUMNS($AN$1006:AP1006),$AN$1006:$BO$1006,0)))),"Fix")))</f>
        <v>0</v>
      </c>
      <c r="E369" s="4">
        <f>IF(OR(INDEX($AH$2:$AH$1001,MATCH(ROWS($AG$2:AG369),$AG$2:$AG$1001,0),1)&gt;=100000,INDEX($AN$1005:$BO$1005,1,MATCH(COLUMNS($AN$1006:AQ1006),$AN$1006:$BO$1006,0))&gt;=100000), " ",IF(INDEX($AN$2:$BO$1001,MATCH(ROWS($AG$2:AG369),$AG$2:$AG$1001,0),MATCH(COLUMNS($AN$1006:AQ1006),$AN$1006:$BO$1006,0)), HYPERLINK("#",""), HYPERLINK(CONCATENATE("#Metadata!", ADDRESS(INDEX($AI$2:$AI$1001,MATCH(ROWS($AG$2:AG369),$AG$2:$AG$1001,0),0), INDEX($AN$1004:$BO$1004,1,MATCH(COLUMNS($AN$1006:AQ1006),$AN$1006:$BO$1006,0)))),"Fix")))</f>
        <v>0</v>
      </c>
      <c r="F369" s="4">
        <f>IF(OR(INDEX($AH$2:$AH$1001,MATCH(ROWS($AG$2:AG369),$AG$2:$AG$1001,0),1)&gt;=100000,INDEX($AN$1005:$BO$1005,1,MATCH(COLUMNS($AN$1006:AR1006),$AN$1006:$BO$1006,0))&gt;=100000), " ",IF(INDEX($AN$2:$BO$1001,MATCH(ROWS($AG$2:AG369),$AG$2:$AG$1001,0),MATCH(COLUMNS($AN$1006:AR1006),$AN$1006:$BO$1006,0)), HYPERLINK("#",""), HYPERLINK(CONCATENATE("#Metadata!", ADDRESS(INDEX($AI$2:$AI$1001,MATCH(ROWS($AG$2:AG369),$AG$2:$AG$1001,0),0), INDEX($AN$1004:$BO$1004,1,MATCH(COLUMNS($AN$1006:AR1006),$AN$1006:$BO$1006,0)))),"Fix")))</f>
        <v>0</v>
      </c>
      <c r="G369" s="4">
        <f>IF(OR(INDEX($AH$2:$AH$1001,MATCH(ROWS($AG$2:AG369),$AG$2:$AG$1001,0),1)&gt;=100000,INDEX($AN$1005:$BO$1005,1,MATCH(COLUMNS($AN$1006:AS1006),$AN$1006:$BO$1006,0))&gt;=100000), " ",IF(INDEX($AN$2:$BO$1001,MATCH(ROWS($AG$2:AG369),$AG$2:$AG$1001,0),MATCH(COLUMNS($AN$1006:AS1006),$AN$1006:$BO$1006,0)), HYPERLINK("#",""), HYPERLINK(CONCATENATE("#Metadata!", ADDRESS(INDEX($AI$2:$AI$1001,MATCH(ROWS($AG$2:AG369),$AG$2:$AG$1001,0),0), INDEX($AN$1004:$BO$1004,1,MATCH(COLUMNS($AN$1006:AS1006),$AN$1006:$BO$1006,0)))),"Fix")))</f>
        <v>0</v>
      </c>
      <c r="H369" s="4">
        <f>IF(OR(INDEX($AH$2:$AH$1001,MATCH(ROWS($AG$2:AG369),$AG$2:$AG$1001,0),1)&gt;=100000,INDEX($AN$1005:$BO$1005,1,MATCH(COLUMNS($AN$1006:AT1006),$AN$1006:$BO$1006,0))&gt;=100000), " ",IF(INDEX($AN$2:$BO$1001,MATCH(ROWS($AG$2:AG369),$AG$2:$AG$1001,0),MATCH(COLUMNS($AN$1006:AT1006),$AN$1006:$BO$1006,0)), HYPERLINK("#",""), HYPERLINK(CONCATENATE("#Metadata!", ADDRESS(INDEX($AI$2:$AI$1001,MATCH(ROWS($AG$2:AG369),$AG$2:$AG$1001,0),0), INDEX($AN$1004:$BO$1004,1,MATCH(COLUMNS($AN$1006:AT1006),$AN$1006:$BO$1006,0)))),"Fix")))</f>
        <v>0</v>
      </c>
      <c r="I369" s="4">
        <f>IF(OR(INDEX($AH$2:$AH$1001,MATCH(ROWS($AG$2:AG369),$AG$2:$AG$1001,0),1)&gt;=100000,INDEX($AN$1005:$BO$1005,1,MATCH(COLUMNS($AN$1006:AU1006),$AN$1006:$BO$1006,0))&gt;=100000), " ",IF(INDEX($AN$2:$BO$1001,MATCH(ROWS($AG$2:AG369),$AG$2:$AG$1001,0),MATCH(COLUMNS($AN$1006:AU1006),$AN$1006:$BO$1006,0)), HYPERLINK("#",""), HYPERLINK(CONCATENATE("#Metadata!", ADDRESS(INDEX($AI$2:$AI$1001,MATCH(ROWS($AG$2:AG369),$AG$2:$AG$1001,0),0), INDEX($AN$1004:$BO$1004,1,MATCH(COLUMNS($AN$1006:AU1006),$AN$1006:$BO$1006,0)))),"Fix")))</f>
        <v>0</v>
      </c>
      <c r="J369" s="4">
        <f>IF(OR(INDEX($AH$2:$AH$1001,MATCH(ROWS($AG$2:AG369),$AG$2:$AG$1001,0),1)&gt;=100000,INDEX($AN$1005:$BO$1005,1,MATCH(COLUMNS($AN$1006:AV1006),$AN$1006:$BO$1006,0))&gt;=100000), " ",IF(INDEX($AN$2:$BO$1001,MATCH(ROWS($AG$2:AG369),$AG$2:$AG$1001,0),MATCH(COLUMNS($AN$1006:AV1006),$AN$1006:$BO$1006,0)), HYPERLINK("#",""), HYPERLINK(CONCATENATE("#Metadata!", ADDRESS(INDEX($AI$2:$AI$1001,MATCH(ROWS($AG$2:AG369),$AG$2:$AG$1001,0),0), INDEX($AN$1004:$BO$1004,1,MATCH(COLUMNS($AN$1006:AV1006),$AN$1006:$BO$1006,0)))),"Fix")))</f>
        <v>0</v>
      </c>
      <c r="K369" s="4">
        <f>IF(OR(INDEX($AH$2:$AH$1001,MATCH(ROWS($AG$2:AG369),$AG$2:$AG$1001,0),1)&gt;=100000,INDEX($AN$1005:$BO$1005,1,MATCH(COLUMNS($AN$1006:AW1006),$AN$1006:$BO$1006,0))&gt;=100000), " ",IF(INDEX($AN$2:$BO$1001,MATCH(ROWS($AG$2:AG369),$AG$2:$AG$1001,0),MATCH(COLUMNS($AN$1006:AW1006),$AN$1006:$BO$1006,0)), HYPERLINK("#",""), HYPERLINK(CONCATENATE("#Metadata!", ADDRESS(INDEX($AI$2:$AI$1001,MATCH(ROWS($AG$2:AG369),$AG$2:$AG$1001,0),0), INDEX($AN$1004:$BO$1004,1,MATCH(COLUMNS($AN$1006:AW1006),$AN$1006:$BO$1006,0)))),"Fix")))</f>
        <v>0</v>
      </c>
      <c r="L369" s="4">
        <f>IF(OR(INDEX($AH$2:$AH$1001,MATCH(ROWS($AG$2:AG369),$AG$2:$AG$1001,0),1)&gt;=100000,INDEX($AN$1005:$BO$1005,1,MATCH(COLUMNS($AN$1006:AX1006),$AN$1006:$BO$1006,0))&gt;=100000), " ",IF(INDEX($AN$2:$BO$1001,MATCH(ROWS($AG$2:AG369),$AG$2:$AG$1001,0),MATCH(COLUMNS($AN$1006:AX1006),$AN$1006:$BO$1006,0)), HYPERLINK("#",""), HYPERLINK(CONCATENATE("#Metadata!", ADDRESS(INDEX($AI$2:$AI$1001,MATCH(ROWS($AG$2:AG369),$AG$2:$AG$1001,0),0), INDEX($AN$1004:$BO$1004,1,MATCH(COLUMNS($AN$1006:AX1006),$AN$1006:$BO$1006,0)))),"Fix")))</f>
        <v>0</v>
      </c>
      <c r="M369" s="4">
        <f>IF(OR(INDEX($AH$2:$AH$1001,MATCH(ROWS($AG$2:AG369),$AG$2:$AG$1001,0),1)&gt;=100000,INDEX($AN$1005:$BO$1005,1,MATCH(COLUMNS($AN$1006:AY1006),$AN$1006:$BO$1006,0))&gt;=100000), " ",IF(INDEX($AN$2:$BO$1001,MATCH(ROWS($AG$2:AG369),$AG$2:$AG$1001,0),MATCH(COLUMNS($AN$1006:AY1006),$AN$1006:$BO$1006,0)), HYPERLINK("#",""), HYPERLINK(CONCATENATE("#Metadata!", ADDRESS(INDEX($AI$2:$AI$1001,MATCH(ROWS($AG$2:AG369),$AG$2:$AG$1001,0),0), INDEX($AN$1004:$BO$1004,1,MATCH(COLUMNS($AN$1006:AY1006),$AN$1006:$BO$1006,0)))),"Fix")))</f>
        <v>0</v>
      </c>
      <c r="N369" s="4">
        <f>IF(OR(INDEX($AH$2:$AH$1001,MATCH(ROWS($AG$2:AG369),$AG$2:$AG$1001,0),1)&gt;=100000,INDEX($AN$1005:$BO$1005,1,MATCH(COLUMNS($AN$1006:AZ1006),$AN$1006:$BO$1006,0))&gt;=100000), " ",IF(INDEX($AN$2:$BO$1001,MATCH(ROWS($AG$2:AG369),$AG$2:$AG$1001,0),MATCH(COLUMNS($AN$1006:AZ1006),$AN$1006:$BO$1006,0)), HYPERLINK("#",""), HYPERLINK(CONCATENATE("#Metadata!", ADDRESS(INDEX($AI$2:$AI$1001,MATCH(ROWS($AG$2:AG369),$AG$2:$AG$1001,0),0), INDEX($AN$1004:$BO$1004,1,MATCH(COLUMNS($AN$1006:AZ1006),$AN$1006:$BO$1006,0)))),"Fix")))</f>
        <v>0</v>
      </c>
      <c r="O369" s="4">
        <f>IF(OR(INDEX($AH$2:$AH$1001,MATCH(ROWS($AG$2:AG369),$AG$2:$AG$1001,0),1)&gt;=100000,INDEX($AN$1005:$BO$1005,1,MATCH(COLUMNS($AN$1006:BA1006),$AN$1006:$BO$1006,0))&gt;=100000), " ",IF(INDEX($AN$2:$BO$1001,MATCH(ROWS($AG$2:AG369),$AG$2:$AG$1001,0),MATCH(COLUMNS($AN$1006:BA1006),$AN$1006:$BO$1006,0)), HYPERLINK("#",""), HYPERLINK(CONCATENATE("#Metadata!", ADDRESS(INDEX($AI$2:$AI$1001,MATCH(ROWS($AG$2:AG369),$AG$2:$AG$1001,0),0), INDEX($AN$1004:$BO$1004,1,MATCH(COLUMNS($AN$1006:BA1006),$AN$1006:$BO$1006,0)))),"Fix")))</f>
        <v>0</v>
      </c>
      <c r="P369" s="4">
        <f>IF(OR(INDEX($AH$2:$AH$1001,MATCH(ROWS($AG$2:AG369),$AG$2:$AG$1001,0),1)&gt;=100000,INDEX($AN$1005:$BO$1005,1,MATCH(COLUMNS($AN$1006:BB1006),$AN$1006:$BO$1006,0))&gt;=100000), " ",IF(INDEX($AN$2:$BO$1001,MATCH(ROWS($AG$2:AG369),$AG$2:$AG$1001,0),MATCH(COLUMNS($AN$1006:BB1006),$AN$1006:$BO$1006,0)), HYPERLINK("#",""), HYPERLINK(CONCATENATE("#Metadata!", ADDRESS(INDEX($AI$2:$AI$1001,MATCH(ROWS($AG$2:AG369),$AG$2:$AG$1001,0),0), INDEX($AN$1004:$BO$1004,1,MATCH(COLUMNS($AN$1006:BB1006),$AN$1006:$BO$1006,0)))),"Fix")))</f>
        <v>0</v>
      </c>
      <c r="Q369" s="4">
        <f>IF(OR(INDEX($AH$2:$AH$1001,MATCH(ROWS($AG$2:AG369),$AG$2:$AG$1001,0),1)&gt;=100000,INDEX($AN$1005:$BO$1005,1,MATCH(COLUMNS($AN$1006:BC1006),$AN$1006:$BO$1006,0))&gt;=100000), " ",IF(INDEX($AN$2:$BO$1001,MATCH(ROWS($AG$2:AG369),$AG$2:$AG$1001,0),MATCH(COLUMNS($AN$1006:BC1006),$AN$1006:$BO$1006,0)), HYPERLINK("#",""), HYPERLINK(CONCATENATE("#Metadata!", ADDRESS(INDEX($AI$2:$AI$1001,MATCH(ROWS($AG$2:AG369),$AG$2:$AG$1001,0),0), INDEX($AN$1004:$BO$1004,1,MATCH(COLUMNS($AN$1006:BC1006),$AN$1006:$BO$1006,0)))),"Fix")))</f>
        <v>0</v>
      </c>
      <c r="R369" s="4">
        <f>IF(OR(INDEX($AH$2:$AH$1001,MATCH(ROWS($AG$2:AG369),$AG$2:$AG$1001,0),1)&gt;=100000,INDEX($AN$1005:$BO$1005,1,MATCH(COLUMNS($AN$1006:BD1006),$AN$1006:$BO$1006,0))&gt;=100000), " ",IF(INDEX($AN$2:$BO$1001,MATCH(ROWS($AG$2:AG369),$AG$2:$AG$1001,0),MATCH(COLUMNS($AN$1006:BD1006),$AN$1006:$BO$1006,0)), HYPERLINK("#",""), HYPERLINK(CONCATENATE("#Metadata!", ADDRESS(INDEX($AI$2:$AI$1001,MATCH(ROWS($AG$2:AG369),$AG$2:$AG$1001,0),0), INDEX($AN$1004:$BO$1004,1,MATCH(COLUMNS($AN$1006:BD1006),$AN$1006:$BO$1006,0)))),"Fix")))</f>
        <v>0</v>
      </c>
      <c r="S369" s="4">
        <f>IF(OR(INDEX($AH$2:$AH$1001,MATCH(ROWS($AG$2:AG369),$AG$2:$AG$1001,0),1)&gt;=100000,INDEX($AN$1005:$BO$1005,1,MATCH(COLUMNS($AN$1006:BE1006),$AN$1006:$BO$1006,0))&gt;=100000), " ",IF(INDEX($AN$2:$BO$1001,MATCH(ROWS($AG$2:AG369),$AG$2:$AG$1001,0),MATCH(COLUMNS($AN$1006:BE1006),$AN$1006:$BO$1006,0)), HYPERLINK("#",""), HYPERLINK(CONCATENATE("#Metadata!", ADDRESS(INDEX($AI$2:$AI$1001,MATCH(ROWS($AG$2:AG369),$AG$2:$AG$1001,0),0), INDEX($AN$1004:$BO$1004,1,MATCH(COLUMNS($AN$1006:BE1006),$AN$1006:$BO$1006,0)))),"Fix")))</f>
        <v>0</v>
      </c>
      <c r="T369" s="4">
        <f>IF(OR(INDEX($AH$2:$AH$1001,MATCH(ROWS($AG$2:AG369),$AG$2:$AG$1001,0),1)&gt;=100000,INDEX($AN$1005:$BO$1005,1,MATCH(COLUMNS($AN$1006:BF1006),$AN$1006:$BO$1006,0))&gt;=100000), " ",IF(INDEX($AN$2:$BO$1001,MATCH(ROWS($AG$2:AG369),$AG$2:$AG$1001,0),MATCH(COLUMNS($AN$1006:BF1006),$AN$1006:$BO$1006,0)), HYPERLINK("#",""), HYPERLINK(CONCATENATE("#Metadata!", ADDRESS(INDEX($AI$2:$AI$1001,MATCH(ROWS($AG$2:AG369),$AG$2:$AG$1001,0),0), INDEX($AN$1004:$BO$1004,1,MATCH(COLUMNS($AN$1006:BF1006),$AN$1006:$BO$1006,0)))),"Fix")))</f>
        <v>0</v>
      </c>
      <c r="U369" s="4">
        <f>IF(OR(INDEX($AH$2:$AH$1001,MATCH(ROWS($AG$2:AG369),$AG$2:$AG$1001,0),1)&gt;=100000,INDEX($AN$1005:$BO$1005,1,MATCH(COLUMNS($AN$1006:BG1006),$AN$1006:$BO$1006,0))&gt;=100000), " ",IF(INDEX($AN$2:$BO$1001,MATCH(ROWS($AG$2:AG369),$AG$2:$AG$1001,0),MATCH(COLUMNS($AN$1006:BG1006),$AN$1006:$BO$1006,0)), HYPERLINK("#",""), HYPERLINK(CONCATENATE("#Metadata!", ADDRESS(INDEX($AI$2:$AI$1001,MATCH(ROWS($AG$2:AG369),$AG$2:$AG$1001,0),0), INDEX($AN$1004:$BO$1004,1,MATCH(COLUMNS($AN$1006:BG1006),$AN$1006:$BO$1006,0)))),"Fix")))</f>
        <v>0</v>
      </c>
      <c r="V369" s="4">
        <f>IF(OR(INDEX($AH$2:$AH$1001,MATCH(ROWS($AG$2:AG369),$AG$2:$AG$1001,0),1)&gt;=100000,INDEX($AN$1005:$BO$1005,1,MATCH(COLUMNS($AN$1006:BH1006),$AN$1006:$BO$1006,0))&gt;=100000), " ",IF(INDEX($AN$2:$BO$1001,MATCH(ROWS($AG$2:AG369),$AG$2:$AG$1001,0),MATCH(COLUMNS($AN$1006:BH1006),$AN$1006:$BO$1006,0)), HYPERLINK("#",""), HYPERLINK(CONCATENATE("#Metadata!", ADDRESS(INDEX($AI$2:$AI$1001,MATCH(ROWS($AG$2:AG369),$AG$2:$AG$1001,0),0), INDEX($AN$1004:$BO$1004,1,MATCH(COLUMNS($AN$1006:BH1006),$AN$1006:$BO$1006,0)))),"Fix")))</f>
        <v>0</v>
      </c>
      <c r="W369" s="4">
        <f>IF(OR(INDEX($AH$2:$AH$1001,MATCH(ROWS($AG$2:AG369),$AG$2:$AG$1001,0),1)&gt;=100000,INDEX($AN$1005:$BO$1005,1,MATCH(COLUMNS($AN$1006:BI1006),$AN$1006:$BO$1006,0))&gt;=100000), " ",IF(INDEX($AN$2:$BO$1001,MATCH(ROWS($AG$2:AG369),$AG$2:$AG$1001,0),MATCH(COLUMNS($AN$1006:BI1006),$AN$1006:$BO$1006,0)), HYPERLINK("#",""), HYPERLINK(CONCATENATE("#Metadata!", ADDRESS(INDEX($AI$2:$AI$1001,MATCH(ROWS($AG$2:AG369),$AG$2:$AG$1001,0),0), INDEX($AN$1004:$BO$1004,1,MATCH(COLUMNS($AN$1006:BI1006),$AN$1006:$BO$1006,0)))),"Fix")))</f>
        <v>0</v>
      </c>
      <c r="X369" s="4">
        <f>IF(OR(INDEX($AH$2:$AH$1001,MATCH(ROWS($AG$2:AG369),$AG$2:$AG$1001,0),1)&gt;=100000,INDEX($AN$1005:$BO$1005,1,MATCH(COLUMNS($AN$1006:BJ1006),$AN$1006:$BO$1006,0))&gt;=100000), " ",IF(INDEX($AN$2:$BO$1001,MATCH(ROWS($AG$2:AG369),$AG$2:$AG$1001,0),MATCH(COLUMNS($AN$1006:BJ1006),$AN$1006:$BO$1006,0)), HYPERLINK("#",""), HYPERLINK(CONCATENATE("#Metadata!", ADDRESS(INDEX($AI$2:$AI$1001,MATCH(ROWS($AG$2:AG369),$AG$2:$AG$1001,0),0), INDEX($AN$1004:$BO$1004,1,MATCH(COLUMNS($AN$1006:BJ1006),$AN$1006:$BO$1006,0)))),"Fix")))</f>
        <v>0</v>
      </c>
      <c r="Y369" s="4">
        <f>IF(OR(INDEX($AH$2:$AH$1001,MATCH(ROWS($AG$2:AG369),$AG$2:$AG$1001,0),1)&gt;=100000,INDEX($AN$1005:$BO$1005,1,MATCH(COLUMNS($AN$1006:BK1006),$AN$1006:$BO$1006,0))&gt;=100000), " ",IF(INDEX($AN$2:$BO$1001,MATCH(ROWS($AG$2:AG369),$AG$2:$AG$1001,0),MATCH(COLUMNS($AN$1006:BK1006),$AN$1006:$BO$1006,0)), HYPERLINK("#",""), HYPERLINK(CONCATENATE("#Metadata!", ADDRESS(INDEX($AI$2:$AI$1001,MATCH(ROWS($AG$2:AG369),$AG$2:$AG$1001,0),0), INDEX($AN$1004:$BO$1004,1,MATCH(COLUMNS($AN$1006:BK1006),$AN$1006:$BO$1006,0)))),"Fix")))</f>
        <v>0</v>
      </c>
      <c r="Z369" s="4">
        <f>IF(OR(INDEX($AH$2:$AH$1001,MATCH(ROWS($AG$2:AG369),$AG$2:$AG$1001,0),1)&gt;=100000,INDEX($AN$1005:$BO$1005,1,MATCH(COLUMNS($AN$1006:BL1006),$AN$1006:$BO$1006,0))&gt;=100000), " ",IF(INDEX($AN$2:$BO$1001,MATCH(ROWS($AG$2:AG369),$AG$2:$AG$1001,0),MATCH(COLUMNS($AN$1006:BL1006),$AN$1006:$BO$1006,0)), HYPERLINK("#",""), HYPERLINK(CONCATENATE("#Metadata!", ADDRESS(INDEX($AI$2:$AI$1001,MATCH(ROWS($AG$2:AG369),$AG$2:$AG$1001,0),0), INDEX($AN$1004:$BO$1004,1,MATCH(COLUMNS($AN$1006:BL1006),$AN$1006:$BO$1006,0)))),"Fix")))</f>
        <v>0</v>
      </c>
      <c r="AA369" s="4">
        <f>IF(OR(INDEX($AH$2:$AH$1001,MATCH(ROWS($AG$2:AG369),$AG$2:$AG$1001,0),1)&gt;=100000,INDEX($AN$1005:$BO$1005,1,MATCH(COLUMNS($AN$1006:BM1006),$AN$1006:$BO$1006,0))&gt;=100000), " ",IF(INDEX($AN$2:$BO$1001,MATCH(ROWS($AG$2:AG369),$AG$2:$AG$1001,0),MATCH(COLUMNS($AN$1006:BM1006),$AN$1006:$BO$1006,0)), HYPERLINK("#",""), HYPERLINK(CONCATENATE("#Metadata!", ADDRESS(INDEX($AI$2:$AI$1001,MATCH(ROWS($AG$2:AG369),$AG$2:$AG$1001,0),0), INDEX($AN$1004:$BO$1004,1,MATCH(COLUMNS($AN$1006:BM1006),$AN$1006:$BO$1006,0)))),"Fix")))</f>
        <v>0</v>
      </c>
      <c r="AB369" s="4">
        <f>IF(OR(INDEX($AH$2:$AH$1001,MATCH(ROWS($AG$2:AG369),$AG$2:$AG$1001,0),1)&gt;=100000,INDEX($AN$1005:$BO$1005,1,MATCH(COLUMNS($AN$1006:BN1006),$AN$1006:$BO$1006,0))&gt;=100000), " ",IF(INDEX($AN$2:$BO$1001,MATCH(ROWS($AG$2:AG369),$AG$2:$AG$1001,0),MATCH(COLUMNS($AN$1006:BN1006),$AN$1006:$BO$1006,0)), HYPERLINK("#",""), HYPERLINK(CONCATENATE("#Metadata!", ADDRESS(INDEX($AI$2:$AI$1001,MATCH(ROWS($AG$2:AG369),$AG$2:$AG$1001,0),0), INDEX($AN$1004:$BO$1004,1,MATCH(COLUMNS($AN$1006:BN1006),$AN$1006:$BO$1006,0)))),"Fix")))</f>
        <v>0</v>
      </c>
      <c r="AC369" s="4">
        <f>IF(OR(INDEX($AH$2:$AH$1001,MATCH(ROWS($AG$2:AG369),$AG$2:$AG$1001,0),1)&gt;=100000,INDEX($AN$1005:$BO$1005,1,MATCH(COLUMNS($AN$1006:BO1006),$AN$1006:$BO$1006,0))&gt;=100000), " ",IF(INDEX($AN$2:$BO$1001,MATCH(ROWS($AG$2:AG369),$AG$2:$AG$1001,0),MATCH(COLUMNS($AN$1006:BO1006),$AN$1006:$BO$1006,0)), HYPERLINK("#",""), HYPERLINK(CONCATENATE("#Metadata!", ADDRESS(INDEX($AI$2:$AI$1001,MATCH(ROWS($AG$2:AG369),$AG$2:$AG$1001,0),0), INDEX($AN$1004:$BO$1004,1,MATCH(COLUMNS($AN$1006:BO1006),$AN$1006:$BO$1006,0)))),"Fix")))</f>
        <v>0</v>
      </c>
      <c r="AG369">
        <v>0</v>
      </c>
      <c r="AH369">
        <v>0</v>
      </c>
      <c r="AI369">
        <v>0</v>
      </c>
      <c r="AJ369">
        <f>IF(AK369,TRUE,AND(AN369:BO369))</f>
        <v>0</v>
      </c>
      <c r="AK369">
        <f>COUNTBLANK(Metadata!B369:AC369)=COLUMNS(Metadata!B369:AC369)</f>
        <v>0</v>
      </c>
      <c r="AL369">
        <v>0</v>
      </c>
      <c r="AN369">
        <f>AND(IF(Metadata!B369="",FALSE,TRUE),COUNTIF(Metadata!B:B, Metadata!B369) = 1,NOT(ISERROR(SUMPRODUCT(SEARCH(MID(Metadata!B369,ROW(INDIRECT("1:"&amp;LEN(Metadata!B369))), 1),"0123456789abcdefghijklmnopqrstuvwxyzABCDEFGHIJKLMNOPQRSTUVWXYZ.")))))</f>
        <v>0</v>
      </c>
      <c r="AO369">
        <f>IF(Metadata!C369="",FALSE,TRUE)</f>
        <v>0</v>
      </c>
      <c r="AP369">
        <f>IF(Metadata!D369="",FALSE,TRUE)</f>
        <v>0</v>
      </c>
      <c r="AQ369">
        <f>OR(AND(IF(Metadata!E369="",FALSE,TRUE),OR(exact(Metadata!E369,"not collected"),exact(Metadata!E369,"not provided"),exact(Metadata!E369,"restricted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R369">
        <f>IF(Metadata!F369="",FALSE,TRUE)</f>
        <v>0</v>
      </c>
      <c r="AS369">
        <f>OR(AND(IF(Metadata!G369="",FALSE,TRUE),OR(exact(Metadata!G369,"not collected"),exact(Metadata!G369,"not provided"))),AND(IF(Metadata!G369="",FALSE,TRUE),OR(exact(Metadata!G369,"TRUE"),exact(Metadata!G369,"FALSE"))))</f>
        <v>0</v>
      </c>
      <c r="AT369">
        <f>OR(AND(IF(Metadata!H369="",FALSE,TRUE),OR(exact(Metadata!H369,"not collected"),exact(Metadata!H369,"not provided"),exact(Metadata!H369,"restricted access"))),AND(IF(Metadata!H369="",FALSE,ISNUMBER(VALUE(Metadata!H369))),Metadata!H369&gt;=-413.0))</f>
        <v>0</v>
      </c>
      <c r="AU369">
        <f>AND(IF(Metadata!I369="",FALSE,TRUE),exact(Metadata!I369,"meters"))</f>
        <v>0</v>
      </c>
      <c r="AV369">
        <f>AND(IF(Metadata!J369="",FALSE,TRUE),OR(exact(Metadata!J369,"Host-associated"),exact(Metadata!J369,"Free-living")))</f>
        <v>0</v>
      </c>
      <c r="AW369">
        <f>AND(IF(Metadata!K369="",FALSE,TRUE),OR(exact(Metadata!K369,"Animal"),exact(Metadata!K369,"Fungus"),exact(Metadata!K369,"Plant"),exact(Metadata!K369,"Saline"),exact(Metadata!K369,"Non-saline")))</f>
        <v>0</v>
      </c>
      <c r="AX369">
        <f>AND(IF(Metadata!L369="",FALSE,TRUE),OR(exact(Metadata!L369,"Plant secretion"),exact(Metadata!L369,"Plant rhizosphere"),exact(Metadata!L369,"Plant surface"),exact(Metadata!L369,"Plant corpus"),exact(Metadata!L369,"Fungus surface"),exact(Metadata!L369,"Fungus corpus"),exact(Metadata!L369,"Animal surface"),exact(Metadata!L369,"Animal proximal gut"),exact(Metadata!L369,"Animal corpus"),exact(Metadata!L369,"Animal distal gut"),exact(Metadata!L369,"Animal secretion"),exact(Metadata!L369,"Sub-surface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Y369">
        <f>IF(Metadata!M369="",FALSE,TRUE)</f>
        <v>0</v>
      </c>
      <c r="AZ369">
        <f>IF(Metadata!N369="",FALSE,TRUE)</f>
        <v>0</v>
      </c>
      <c r="BA369">
        <f>IF(Metadata!O369="",FALSE,TRUE)</f>
        <v>0</v>
      </c>
      <c r="BB369">
        <f>OR(AND(IF(Metadata!P369="",FALSE,TRUE),OR(exact(Metadata!P369,"not collected"),exact(Metadata!P369,"not provided"),exact(Metadata!P369,"restricted access"))),AND(IF(Metadata!P369="",FALSE,TRUE),OR(exact(Metadata!P369,"air"),exact(Metadata!P369,"built environment"),exact(Metadata!P369,"host-associated"),exact(Metadata!P369,"human-associated"),exact(Metadata!P369,"human-skin"),exact(Metadata!P369,"human-oral"),exact(Metadata!P369,"human-gut"),exact(Metadata!P369,"human-vaginal"),exact(Metadata!P369,"microbial mat/biofilm"),exact(Metadata!P369,"misc environment"),exact(Metadata!P369,"plant-associated"),exact(Metadata!P369,"sediment"),exact(Metadata!P369,"soil"),exact(Metadata!P369,"wastewater/sludge"),exact(Metadata!P369,"water"))))</f>
        <v>0</v>
      </c>
      <c r="BC369">
        <f>IF(Metadata!Q369="",FALSE,TRUE)</f>
        <v>0</v>
      </c>
      <c r="BD369">
        <f>IF(Metadata!R369="",FALSE,TRUE)</f>
        <v>0</v>
      </c>
      <c r="BE369">
        <f>OR(AND(IF(Metadata!S369="",FALSE,TRUE),OR(exact(Metadata!S369,"not collected"),exact(Metadata!S369,"not provided"),exact(Metadata!S369,"restricted access"))),AND(IF(Metadata!S369="",FALSE,ISNUMBER(VALUE(Metadata!S369))),Metadata!S369&gt;=-90.00,Metadata!S369&lt;=90.00))</f>
        <v>0</v>
      </c>
      <c r="BF369">
        <f>AND(IF(Metadata!T369="",FALSE,TRUE),exact(Metadata!T369,"Decimal degrees"))</f>
        <v>0</v>
      </c>
      <c r="BG369">
        <f>OR(AND(IF(Metadata!U369="",FALSE,TRUE),OR(exact(Metadata!U369,"not collected"),exact(Metadata!U369,"not provided"),exact(Metadata!U369,"restricted access"))),AND(IF(Metadata!U369="",FALSE,ISNUMBER(VALUE(Metadata!U369))),Metadata!U369&gt;=-180.00,Metadata!U369&lt;=180.00))</f>
        <v>0</v>
      </c>
      <c r="BH369">
        <f>AND(IF(Metadata!V369="",FALSE,TRUE),exact(Metadata!V369,"Decimal degrees"))</f>
        <v>0</v>
      </c>
      <c r="BI369">
        <f>IF(Metadata!W369="",FALSE,TRUE)</f>
        <v>0</v>
      </c>
      <c r="BJ369">
        <f>OR(AND(IF(Metadata!X369="",FALSE,TRUE),OR(exact(Metadata!X369,"not collected"),exact(Metadata!X369,"not provided"),exact(Metadata!X369,"restricted access"))),AND(IF(Metadata!X369="",FALSE,TRUE),OR(exact(Metadata!X369,"TRUE"),exact(Metadata!X369,"FALSE"))))</f>
        <v>0</v>
      </c>
      <c r="BK369">
        <f>AND(IF(Metadata!Y369="",FALSE,TRUE),exact(Metadata!Y369,"other"))</f>
        <v>0</v>
      </c>
      <c r="BL369">
        <f>IF(Metadata!Z369="",FALSE,TRUE)</f>
        <v>0</v>
      </c>
      <c r="BM369">
        <f>OR(AND(IF(Metadata!AA369="",FALSE,TRUE),OR(exact(Metadata!AA369,"not collected"),exact(Metadata!AA369,"not provided"))),AND(IF(Metadata!AA369="",FALSE,IF(ISERROR(INT(Metadata!AA369)),FALSE,INT(Metadata!AA369)=Metadata!AA369)),Metadata!AA369&gt;0))</f>
        <v>0</v>
      </c>
      <c r="BN369">
        <f>AND(IF(Metadata!AB369="",FALSE,TRUE),exact(Metadata!AB369,"Not applicable"))</f>
        <v>0</v>
      </c>
      <c r="BO369">
        <f>IF(Metadata!AC369="",FALSE,TRUE)</f>
        <v>0</v>
      </c>
    </row>
    <row r="370" spans="1:67">
      <c r="A370" s="5">
        <f>IF(B370=" "," ",HYPERLINK(CONCATENATE("#metadata!",ADDRESS(INDEX($AI$2:$AI$1001,MATCH(ROWS($AG$2:AG370),$AG$2:$AG$1001,0),0),1)),INDEX($AL$2:$AL$1001,MATCH(ROWS($AG$2:AG370),$AG$2:$AG$1001,0),0)))</f>
        <v>0</v>
      </c>
      <c r="B370" s="4">
        <f>IF(OR(INDEX($AH$2:$AH$1001,MATCH(ROWS($AG$2:AG370),$AG$2:$AG$1001,0),1)&gt;=100000,INDEX($AN$1005:$BO$1005,1,MATCH(COLUMNS($AN$1006:AN1006),$AN$1006:$BO$1006,0))&gt;=100000), " ",IF(INDEX($AN$2:$BO$1001,MATCH(ROWS($AG$2:AG370),$AG$2:$AG$1001,0),MATCH(COLUMNS($AN$1006:AN1006),$AN$1006:$BO$1006,0)), HYPERLINK("#",""), HYPERLINK(CONCATENATE("#Metadata!", ADDRESS(INDEX($AI$2:$AI$1001,MATCH(ROWS($AG$2:AG370),$AG$2:$AG$1001,0),0), INDEX($AN$1004:$BO$1004,1,MATCH(COLUMNS($AN$1006:AN1006),$AN$1006:$BO$1006,0)))),"Fix")))</f>
        <v>0</v>
      </c>
      <c r="C370" s="4">
        <f>IF(OR(INDEX($AH$2:$AH$1001,MATCH(ROWS($AG$2:AG370),$AG$2:$AG$1001,0),1)&gt;=100000,INDEX($AN$1005:$BO$1005,1,MATCH(COLUMNS($AN$1006:AO1006),$AN$1006:$BO$1006,0))&gt;=100000), " ",IF(INDEX($AN$2:$BO$1001,MATCH(ROWS($AG$2:AG370),$AG$2:$AG$1001,0),MATCH(COLUMNS($AN$1006:AO1006),$AN$1006:$BO$1006,0)), HYPERLINK("#",""), HYPERLINK(CONCATENATE("#Metadata!", ADDRESS(INDEX($AI$2:$AI$1001,MATCH(ROWS($AG$2:AG370),$AG$2:$AG$1001,0),0), INDEX($AN$1004:$BO$1004,1,MATCH(COLUMNS($AN$1006:AO1006),$AN$1006:$BO$1006,0)))),"Fix")))</f>
        <v>0</v>
      </c>
      <c r="D370" s="4">
        <f>IF(OR(INDEX($AH$2:$AH$1001,MATCH(ROWS($AG$2:AG370),$AG$2:$AG$1001,0),1)&gt;=100000,INDEX($AN$1005:$BO$1005,1,MATCH(COLUMNS($AN$1006:AP1006),$AN$1006:$BO$1006,0))&gt;=100000), " ",IF(INDEX($AN$2:$BO$1001,MATCH(ROWS($AG$2:AG370),$AG$2:$AG$1001,0),MATCH(COLUMNS($AN$1006:AP1006),$AN$1006:$BO$1006,0)), HYPERLINK("#",""), HYPERLINK(CONCATENATE("#Metadata!", ADDRESS(INDEX($AI$2:$AI$1001,MATCH(ROWS($AG$2:AG370),$AG$2:$AG$1001,0),0), INDEX($AN$1004:$BO$1004,1,MATCH(COLUMNS($AN$1006:AP1006),$AN$1006:$BO$1006,0)))),"Fix")))</f>
        <v>0</v>
      </c>
      <c r="E370" s="4">
        <f>IF(OR(INDEX($AH$2:$AH$1001,MATCH(ROWS($AG$2:AG370),$AG$2:$AG$1001,0),1)&gt;=100000,INDEX($AN$1005:$BO$1005,1,MATCH(COLUMNS($AN$1006:AQ1006),$AN$1006:$BO$1006,0))&gt;=100000), " ",IF(INDEX($AN$2:$BO$1001,MATCH(ROWS($AG$2:AG370),$AG$2:$AG$1001,0),MATCH(COLUMNS($AN$1006:AQ1006),$AN$1006:$BO$1006,0)), HYPERLINK("#",""), HYPERLINK(CONCATENATE("#Metadata!", ADDRESS(INDEX($AI$2:$AI$1001,MATCH(ROWS($AG$2:AG370),$AG$2:$AG$1001,0),0), INDEX($AN$1004:$BO$1004,1,MATCH(COLUMNS($AN$1006:AQ1006),$AN$1006:$BO$1006,0)))),"Fix")))</f>
        <v>0</v>
      </c>
      <c r="F370" s="4">
        <f>IF(OR(INDEX($AH$2:$AH$1001,MATCH(ROWS($AG$2:AG370),$AG$2:$AG$1001,0),1)&gt;=100000,INDEX($AN$1005:$BO$1005,1,MATCH(COLUMNS($AN$1006:AR1006),$AN$1006:$BO$1006,0))&gt;=100000), " ",IF(INDEX($AN$2:$BO$1001,MATCH(ROWS($AG$2:AG370),$AG$2:$AG$1001,0),MATCH(COLUMNS($AN$1006:AR1006),$AN$1006:$BO$1006,0)), HYPERLINK("#",""), HYPERLINK(CONCATENATE("#Metadata!", ADDRESS(INDEX($AI$2:$AI$1001,MATCH(ROWS($AG$2:AG370),$AG$2:$AG$1001,0),0), INDEX($AN$1004:$BO$1004,1,MATCH(COLUMNS($AN$1006:AR1006),$AN$1006:$BO$1006,0)))),"Fix")))</f>
        <v>0</v>
      </c>
      <c r="G370" s="4">
        <f>IF(OR(INDEX($AH$2:$AH$1001,MATCH(ROWS($AG$2:AG370),$AG$2:$AG$1001,0),1)&gt;=100000,INDEX($AN$1005:$BO$1005,1,MATCH(COLUMNS($AN$1006:AS1006),$AN$1006:$BO$1006,0))&gt;=100000), " ",IF(INDEX($AN$2:$BO$1001,MATCH(ROWS($AG$2:AG370),$AG$2:$AG$1001,0),MATCH(COLUMNS($AN$1006:AS1006),$AN$1006:$BO$1006,0)), HYPERLINK("#",""), HYPERLINK(CONCATENATE("#Metadata!", ADDRESS(INDEX($AI$2:$AI$1001,MATCH(ROWS($AG$2:AG370),$AG$2:$AG$1001,0),0), INDEX($AN$1004:$BO$1004,1,MATCH(COLUMNS($AN$1006:AS1006),$AN$1006:$BO$1006,0)))),"Fix")))</f>
        <v>0</v>
      </c>
      <c r="H370" s="4">
        <f>IF(OR(INDEX($AH$2:$AH$1001,MATCH(ROWS($AG$2:AG370),$AG$2:$AG$1001,0),1)&gt;=100000,INDEX($AN$1005:$BO$1005,1,MATCH(COLUMNS($AN$1006:AT1006),$AN$1006:$BO$1006,0))&gt;=100000), " ",IF(INDEX($AN$2:$BO$1001,MATCH(ROWS($AG$2:AG370),$AG$2:$AG$1001,0),MATCH(COLUMNS($AN$1006:AT1006),$AN$1006:$BO$1006,0)), HYPERLINK("#",""), HYPERLINK(CONCATENATE("#Metadata!", ADDRESS(INDEX($AI$2:$AI$1001,MATCH(ROWS($AG$2:AG370),$AG$2:$AG$1001,0),0), INDEX($AN$1004:$BO$1004,1,MATCH(COLUMNS($AN$1006:AT1006),$AN$1006:$BO$1006,0)))),"Fix")))</f>
        <v>0</v>
      </c>
      <c r="I370" s="4">
        <f>IF(OR(INDEX($AH$2:$AH$1001,MATCH(ROWS($AG$2:AG370),$AG$2:$AG$1001,0),1)&gt;=100000,INDEX($AN$1005:$BO$1005,1,MATCH(COLUMNS($AN$1006:AU1006),$AN$1006:$BO$1006,0))&gt;=100000), " ",IF(INDEX($AN$2:$BO$1001,MATCH(ROWS($AG$2:AG370),$AG$2:$AG$1001,0),MATCH(COLUMNS($AN$1006:AU1006),$AN$1006:$BO$1006,0)), HYPERLINK("#",""), HYPERLINK(CONCATENATE("#Metadata!", ADDRESS(INDEX($AI$2:$AI$1001,MATCH(ROWS($AG$2:AG370),$AG$2:$AG$1001,0),0), INDEX($AN$1004:$BO$1004,1,MATCH(COLUMNS($AN$1006:AU1006),$AN$1006:$BO$1006,0)))),"Fix")))</f>
        <v>0</v>
      </c>
      <c r="J370" s="4">
        <f>IF(OR(INDEX($AH$2:$AH$1001,MATCH(ROWS($AG$2:AG370),$AG$2:$AG$1001,0),1)&gt;=100000,INDEX($AN$1005:$BO$1005,1,MATCH(COLUMNS($AN$1006:AV1006),$AN$1006:$BO$1006,0))&gt;=100000), " ",IF(INDEX($AN$2:$BO$1001,MATCH(ROWS($AG$2:AG370),$AG$2:$AG$1001,0),MATCH(COLUMNS($AN$1006:AV1006),$AN$1006:$BO$1006,0)), HYPERLINK("#",""), HYPERLINK(CONCATENATE("#Metadata!", ADDRESS(INDEX($AI$2:$AI$1001,MATCH(ROWS($AG$2:AG370),$AG$2:$AG$1001,0),0), INDEX($AN$1004:$BO$1004,1,MATCH(COLUMNS($AN$1006:AV1006),$AN$1006:$BO$1006,0)))),"Fix")))</f>
        <v>0</v>
      </c>
      <c r="K370" s="4">
        <f>IF(OR(INDEX($AH$2:$AH$1001,MATCH(ROWS($AG$2:AG370),$AG$2:$AG$1001,0),1)&gt;=100000,INDEX($AN$1005:$BO$1005,1,MATCH(COLUMNS($AN$1006:AW1006),$AN$1006:$BO$1006,0))&gt;=100000), " ",IF(INDEX($AN$2:$BO$1001,MATCH(ROWS($AG$2:AG370),$AG$2:$AG$1001,0),MATCH(COLUMNS($AN$1006:AW1006),$AN$1006:$BO$1006,0)), HYPERLINK("#",""), HYPERLINK(CONCATENATE("#Metadata!", ADDRESS(INDEX($AI$2:$AI$1001,MATCH(ROWS($AG$2:AG370),$AG$2:$AG$1001,0),0), INDEX($AN$1004:$BO$1004,1,MATCH(COLUMNS($AN$1006:AW1006),$AN$1006:$BO$1006,0)))),"Fix")))</f>
        <v>0</v>
      </c>
      <c r="L370" s="4">
        <f>IF(OR(INDEX($AH$2:$AH$1001,MATCH(ROWS($AG$2:AG370),$AG$2:$AG$1001,0),1)&gt;=100000,INDEX($AN$1005:$BO$1005,1,MATCH(COLUMNS($AN$1006:AX1006),$AN$1006:$BO$1006,0))&gt;=100000), " ",IF(INDEX($AN$2:$BO$1001,MATCH(ROWS($AG$2:AG370),$AG$2:$AG$1001,0),MATCH(COLUMNS($AN$1006:AX1006),$AN$1006:$BO$1006,0)), HYPERLINK("#",""), HYPERLINK(CONCATENATE("#Metadata!", ADDRESS(INDEX($AI$2:$AI$1001,MATCH(ROWS($AG$2:AG370),$AG$2:$AG$1001,0),0), INDEX($AN$1004:$BO$1004,1,MATCH(COLUMNS($AN$1006:AX1006),$AN$1006:$BO$1006,0)))),"Fix")))</f>
        <v>0</v>
      </c>
      <c r="M370" s="4">
        <f>IF(OR(INDEX($AH$2:$AH$1001,MATCH(ROWS($AG$2:AG370),$AG$2:$AG$1001,0),1)&gt;=100000,INDEX($AN$1005:$BO$1005,1,MATCH(COLUMNS($AN$1006:AY1006),$AN$1006:$BO$1006,0))&gt;=100000), " ",IF(INDEX($AN$2:$BO$1001,MATCH(ROWS($AG$2:AG370),$AG$2:$AG$1001,0),MATCH(COLUMNS($AN$1006:AY1006),$AN$1006:$BO$1006,0)), HYPERLINK("#",""), HYPERLINK(CONCATENATE("#Metadata!", ADDRESS(INDEX($AI$2:$AI$1001,MATCH(ROWS($AG$2:AG370),$AG$2:$AG$1001,0),0), INDEX($AN$1004:$BO$1004,1,MATCH(COLUMNS($AN$1006:AY1006),$AN$1006:$BO$1006,0)))),"Fix")))</f>
        <v>0</v>
      </c>
      <c r="N370" s="4">
        <f>IF(OR(INDEX($AH$2:$AH$1001,MATCH(ROWS($AG$2:AG370),$AG$2:$AG$1001,0),1)&gt;=100000,INDEX($AN$1005:$BO$1005,1,MATCH(COLUMNS($AN$1006:AZ1006),$AN$1006:$BO$1006,0))&gt;=100000), " ",IF(INDEX($AN$2:$BO$1001,MATCH(ROWS($AG$2:AG370),$AG$2:$AG$1001,0),MATCH(COLUMNS($AN$1006:AZ1006),$AN$1006:$BO$1006,0)), HYPERLINK("#",""), HYPERLINK(CONCATENATE("#Metadata!", ADDRESS(INDEX($AI$2:$AI$1001,MATCH(ROWS($AG$2:AG370),$AG$2:$AG$1001,0),0), INDEX($AN$1004:$BO$1004,1,MATCH(COLUMNS($AN$1006:AZ1006),$AN$1006:$BO$1006,0)))),"Fix")))</f>
        <v>0</v>
      </c>
      <c r="O370" s="4">
        <f>IF(OR(INDEX($AH$2:$AH$1001,MATCH(ROWS($AG$2:AG370),$AG$2:$AG$1001,0),1)&gt;=100000,INDEX($AN$1005:$BO$1005,1,MATCH(COLUMNS($AN$1006:BA1006),$AN$1006:$BO$1006,0))&gt;=100000), " ",IF(INDEX($AN$2:$BO$1001,MATCH(ROWS($AG$2:AG370),$AG$2:$AG$1001,0),MATCH(COLUMNS($AN$1006:BA1006),$AN$1006:$BO$1006,0)), HYPERLINK("#",""), HYPERLINK(CONCATENATE("#Metadata!", ADDRESS(INDEX($AI$2:$AI$1001,MATCH(ROWS($AG$2:AG370),$AG$2:$AG$1001,0),0), INDEX($AN$1004:$BO$1004,1,MATCH(COLUMNS($AN$1006:BA1006),$AN$1006:$BO$1006,0)))),"Fix")))</f>
        <v>0</v>
      </c>
      <c r="P370" s="4">
        <f>IF(OR(INDEX($AH$2:$AH$1001,MATCH(ROWS($AG$2:AG370),$AG$2:$AG$1001,0),1)&gt;=100000,INDEX($AN$1005:$BO$1005,1,MATCH(COLUMNS($AN$1006:BB1006),$AN$1006:$BO$1006,0))&gt;=100000), " ",IF(INDEX($AN$2:$BO$1001,MATCH(ROWS($AG$2:AG370),$AG$2:$AG$1001,0),MATCH(COLUMNS($AN$1006:BB1006),$AN$1006:$BO$1006,0)), HYPERLINK("#",""), HYPERLINK(CONCATENATE("#Metadata!", ADDRESS(INDEX($AI$2:$AI$1001,MATCH(ROWS($AG$2:AG370),$AG$2:$AG$1001,0),0), INDEX($AN$1004:$BO$1004,1,MATCH(COLUMNS($AN$1006:BB1006),$AN$1006:$BO$1006,0)))),"Fix")))</f>
        <v>0</v>
      </c>
      <c r="Q370" s="4">
        <f>IF(OR(INDEX($AH$2:$AH$1001,MATCH(ROWS($AG$2:AG370),$AG$2:$AG$1001,0),1)&gt;=100000,INDEX($AN$1005:$BO$1005,1,MATCH(COLUMNS($AN$1006:BC1006),$AN$1006:$BO$1006,0))&gt;=100000), " ",IF(INDEX($AN$2:$BO$1001,MATCH(ROWS($AG$2:AG370),$AG$2:$AG$1001,0),MATCH(COLUMNS($AN$1006:BC1006),$AN$1006:$BO$1006,0)), HYPERLINK("#",""), HYPERLINK(CONCATENATE("#Metadata!", ADDRESS(INDEX($AI$2:$AI$1001,MATCH(ROWS($AG$2:AG370),$AG$2:$AG$1001,0),0), INDEX($AN$1004:$BO$1004,1,MATCH(COLUMNS($AN$1006:BC1006),$AN$1006:$BO$1006,0)))),"Fix")))</f>
        <v>0</v>
      </c>
      <c r="R370" s="4">
        <f>IF(OR(INDEX($AH$2:$AH$1001,MATCH(ROWS($AG$2:AG370),$AG$2:$AG$1001,0),1)&gt;=100000,INDEX($AN$1005:$BO$1005,1,MATCH(COLUMNS($AN$1006:BD1006),$AN$1006:$BO$1006,0))&gt;=100000), " ",IF(INDEX($AN$2:$BO$1001,MATCH(ROWS($AG$2:AG370),$AG$2:$AG$1001,0),MATCH(COLUMNS($AN$1006:BD1006),$AN$1006:$BO$1006,0)), HYPERLINK("#",""), HYPERLINK(CONCATENATE("#Metadata!", ADDRESS(INDEX($AI$2:$AI$1001,MATCH(ROWS($AG$2:AG370),$AG$2:$AG$1001,0),0), INDEX($AN$1004:$BO$1004,1,MATCH(COLUMNS($AN$1006:BD1006),$AN$1006:$BO$1006,0)))),"Fix")))</f>
        <v>0</v>
      </c>
      <c r="S370" s="4">
        <f>IF(OR(INDEX($AH$2:$AH$1001,MATCH(ROWS($AG$2:AG370),$AG$2:$AG$1001,0),1)&gt;=100000,INDEX($AN$1005:$BO$1005,1,MATCH(COLUMNS($AN$1006:BE1006),$AN$1006:$BO$1006,0))&gt;=100000), " ",IF(INDEX($AN$2:$BO$1001,MATCH(ROWS($AG$2:AG370),$AG$2:$AG$1001,0),MATCH(COLUMNS($AN$1006:BE1006),$AN$1006:$BO$1006,0)), HYPERLINK("#",""), HYPERLINK(CONCATENATE("#Metadata!", ADDRESS(INDEX($AI$2:$AI$1001,MATCH(ROWS($AG$2:AG370),$AG$2:$AG$1001,0),0), INDEX($AN$1004:$BO$1004,1,MATCH(COLUMNS($AN$1006:BE1006),$AN$1006:$BO$1006,0)))),"Fix")))</f>
        <v>0</v>
      </c>
      <c r="T370" s="4">
        <f>IF(OR(INDEX($AH$2:$AH$1001,MATCH(ROWS($AG$2:AG370),$AG$2:$AG$1001,0),1)&gt;=100000,INDEX($AN$1005:$BO$1005,1,MATCH(COLUMNS($AN$1006:BF1006),$AN$1006:$BO$1006,0))&gt;=100000), " ",IF(INDEX($AN$2:$BO$1001,MATCH(ROWS($AG$2:AG370),$AG$2:$AG$1001,0),MATCH(COLUMNS($AN$1006:BF1006),$AN$1006:$BO$1006,0)), HYPERLINK("#",""), HYPERLINK(CONCATENATE("#Metadata!", ADDRESS(INDEX($AI$2:$AI$1001,MATCH(ROWS($AG$2:AG370),$AG$2:$AG$1001,0),0), INDEX($AN$1004:$BO$1004,1,MATCH(COLUMNS($AN$1006:BF1006),$AN$1006:$BO$1006,0)))),"Fix")))</f>
        <v>0</v>
      </c>
      <c r="U370" s="4">
        <f>IF(OR(INDEX($AH$2:$AH$1001,MATCH(ROWS($AG$2:AG370),$AG$2:$AG$1001,0),1)&gt;=100000,INDEX($AN$1005:$BO$1005,1,MATCH(COLUMNS($AN$1006:BG1006),$AN$1006:$BO$1006,0))&gt;=100000), " ",IF(INDEX($AN$2:$BO$1001,MATCH(ROWS($AG$2:AG370),$AG$2:$AG$1001,0),MATCH(COLUMNS($AN$1006:BG1006),$AN$1006:$BO$1006,0)), HYPERLINK("#",""), HYPERLINK(CONCATENATE("#Metadata!", ADDRESS(INDEX($AI$2:$AI$1001,MATCH(ROWS($AG$2:AG370),$AG$2:$AG$1001,0),0), INDEX($AN$1004:$BO$1004,1,MATCH(COLUMNS($AN$1006:BG1006),$AN$1006:$BO$1006,0)))),"Fix")))</f>
        <v>0</v>
      </c>
      <c r="V370" s="4">
        <f>IF(OR(INDEX($AH$2:$AH$1001,MATCH(ROWS($AG$2:AG370),$AG$2:$AG$1001,0),1)&gt;=100000,INDEX($AN$1005:$BO$1005,1,MATCH(COLUMNS($AN$1006:BH1006),$AN$1006:$BO$1006,0))&gt;=100000), " ",IF(INDEX($AN$2:$BO$1001,MATCH(ROWS($AG$2:AG370),$AG$2:$AG$1001,0),MATCH(COLUMNS($AN$1006:BH1006),$AN$1006:$BO$1006,0)), HYPERLINK("#",""), HYPERLINK(CONCATENATE("#Metadata!", ADDRESS(INDEX($AI$2:$AI$1001,MATCH(ROWS($AG$2:AG370),$AG$2:$AG$1001,0),0), INDEX($AN$1004:$BO$1004,1,MATCH(COLUMNS($AN$1006:BH1006),$AN$1006:$BO$1006,0)))),"Fix")))</f>
        <v>0</v>
      </c>
      <c r="W370" s="4">
        <f>IF(OR(INDEX($AH$2:$AH$1001,MATCH(ROWS($AG$2:AG370),$AG$2:$AG$1001,0),1)&gt;=100000,INDEX($AN$1005:$BO$1005,1,MATCH(COLUMNS($AN$1006:BI1006),$AN$1006:$BO$1006,0))&gt;=100000), " ",IF(INDEX($AN$2:$BO$1001,MATCH(ROWS($AG$2:AG370),$AG$2:$AG$1001,0),MATCH(COLUMNS($AN$1006:BI1006),$AN$1006:$BO$1006,0)), HYPERLINK("#",""), HYPERLINK(CONCATENATE("#Metadata!", ADDRESS(INDEX($AI$2:$AI$1001,MATCH(ROWS($AG$2:AG370),$AG$2:$AG$1001,0),0), INDEX($AN$1004:$BO$1004,1,MATCH(COLUMNS($AN$1006:BI1006),$AN$1006:$BO$1006,0)))),"Fix")))</f>
        <v>0</v>
      </c>
      <c r="X370" s="4">
        <f>IF(OR(INDEX($AH$2:$AH$1001,MATCH(ROWS($AG$2:AG370),$AG$2:$AG$1001,0),1)&gt;=100000,INDEX($AN$1005:$BO$1005,1,MATCH(COLUMNS($AN$1006:BJ1006),$AN$1006:$BO$1006,0))&gt;=100000), " ",IF(INDEX($AN$2:$BO$1001,MATCH(ROWS($AG$2:AG370),$AG$2:$AG$1001,0),MATCH(COLUMNS($AN$1006:BJ1006),$AN$1006:$BO$1006,0)), HYPERLINK("#",""), HYPERLINK(CONCATENATE("#Metadata!", ADDRESS(INDEX($AI$2:$AI$1001,MATCH(ROWS($AG$2:AG370),$AG$2:$AG$1001,0),0), INDEX($AN$1004:$BO$1004,1,MATCH(COLUMNS($AN$1006:BJ1006),$AN$1006:$BO$1006,0)))),"Fix")))</f>
        <v>0</v>
      </c>
      <c r="Y370" s="4">
        <f>IF(OR(INDEX($AH$2:$AH$1001,MATCH(ROWS($AG$2:AG370),$AG$2:$AG$1001,0),1)&gt;=100000,INDEX($AN$1005:$BO$1005,1,MATCH(COLUMNS($AN$1006:BK1006),$AN$1006:$BO$1006,0))&gt;=100000), " ",IF(INDEX($AN$2:$BO$1001,MATCH(ROWS($AG$2:AG370),$AG$2:$AG$1001,0),MATCH(COLUMNS($AN$1006:BK1006),$AN$1006:$BO$1006,0)), HYPERLINK("#",""), HYPERLINK(CONCATENATE("#Metadata!", ADDRESS(INDEX($AI$2:$AI$1001,MATCH(ROWS($AG$2:AG370),$AG$2:$AG$1001,0),0), INDEX($AN$1004:$BO$1004,1,MATCH(COLUMNS($AN$1006:BK1006),$AN$1006:$BO$1006,0)))),"Fix")))</f>
        <v>0</v>
      </c>
      <c r="Z370" s="4">
        <f>IF(OR(INDEX($AH$2:$AH$1001,MATCH(ROWS($AG$2:AG370),$AG$2:$AG$1001,0),1)&gt;=100000,INDEX($AN$1005:$BO$1005,1,MATCH(COLUMNS($AN$1006:BL1006),$AN$1006:$BO$1006,0))&gt;=100000), " ",IF(INDEX($AN$2:$BO$1001,MATCH(ROWS($AG$2:AG370),$AG$2:$AG$1001,0),MATCH(COLUMNS($AN$1006:BL1006),$AN$1006:$BO$1006,0)), HYPERLINK("#",""), HYPERLINK(CONCATENATE("#Metadata!", ADDRESS(INDEX($AI$2:$AI$1001,MATCH(ROWS($AG$2:AG370),$AG$2:$AG$1001,0),0), INDEX($AN$1004:$BO$1004,1,MATCH(COLUMNS($AN$1006:BL1006),$AN$1006:$BO$1006,0)))),"Fix")))</f>
        <v>0</v>
      </c>
      <c r="AA370" s="4">
        <f>IF(OR(INDEX($AH$2:$AH$1001,MATCH(ROWS($AG$2:AG370),$AG$2:$AG$1001,0),1)&gt;=100000,INDEX($AN$1005:$BO$1005,1,MATCH(COLUMNS($AN$1006:BM1006),$AN$1006:$BO$1006,0))&gt;=100000), " ",IF(INDEX($AN$2:$BO$1001,MATCH(ROWS($AG$2:AG370),$AG$2:$AG$1001,0),MATCH(COLUMNS($AN$1006:BM1006),$AN$1006:$BO$1006,0)), HYPERLINK("#",""), HYPERLINK(CONCATENATE("#Metadata!", ADDRESS(INDEX($AI$2:$AI$1001,MATCH(ROWS($AG$2:AG370),$AG$2:$AG$1001,0),0), INDEX($AN$1004:$BO$1004,1,MATCH(COLUMNS($AN$1006:BM1006),$AN$1006:$BO$1006,0)))),"Fix")))</f>
        <v>0</v>
      </c>
      <c r="AB370" s="4">
        <f>IF(OR(INDEX($AH$2:$AH$1001,MATCH(ROWS($AG$2:AG370),$AG$2:$AG$1001,0),1)&gt;=100000,INDEX($AN$1005:$BO$1005,1,MATCH(COLUMNS($AN$1006:BN1006),$AN$1006:$BO$1006,0))&gt;=100000), " ",IF(INDEX($AN$2:$BO$1001,MATCH(ROWS($AG$2:AG370),$AG$2:$AG$1001,0),MATCH(COLUMNS($AN$1006:BN1006),$AN$1006:$BO$1006,0)), HYPERLINK("#",""), HYPERLINK(CONCATENATE("#Metadata!", ADDRESS(INDEX($AI$2:$AI$1001,MATCH(ROWS($AG$2:AG370),$AG$2:$AG$1001,0),0), INDEX($AN$1004:$BO$1004,1,MATCH(COLUMNS($AN$1006:BN1006),$AN$1006:$BO$1006,0)))),"Fix")))</f>
        <v>0</v>
      </c>
      <c r="AC370" s="4">
        <f>IF(OR(INDEX($AH$2:$AH$1001,MATCH(ROWS($AG$2:AG370),$AG$2:$AG$1001,0),1)&gt;=100000,INDEX($AN$1005:$BO$1005,1,MATCH(COLUMNS($AN$1006:BO1006),$AN$1006:$BO$1006,0))&gt;=100000), " ",IF(INDEX($AN$2:$BO$1001,MATCH(ROWS($AG$2:AG370),$AG$2:$AG$1001,0),MATCH(COLUMNS($AN$1006:BO1006),$AN$1006:$BO$1006,0)), HYPERLINK("#",""), HYPERLINK(CONCATENATE("#Metadata!", ADDRESS(INDEX($AI$2:$AI$1001,MATCH(ROWS($AG$2:AG370),$AG$2:$AG$1001,0),0), INDEX($AN$1004:$BO$1004,1,MATCH(COLUMNS($AN$1006:BO1006),$AN$1006:$BO$1006,0)))),"Fix")))</f>
        <v>0</v>
      </c>
      <c r="AG370">
        <v>0</v>
      </c>
      <c r="AH370">
        <v>0</v>
      </c>
      <c r="AI370">
        <v>0</v>
      </c>
      <c r="AJ370">
        <f>IF(AK370,TRUE,AND(AN370:BO370))</f>
        <v>0</v>
      </c>
      <c r="AK370">
        <f>COUNTBLANK(Metadata!B370:AC370)=COLUMNS(Metadata!B370:AC370)</f>
        <v>0</v>
      </c>
      <c r="AL370">
        <v>0</v>
      </c>
      <c r="AN370">
        <f>AND(IF(Metadata!B370="",FALSE,TRUE),COUNTIF(Metadata!B:B, Metadata!B370) = 1,NOT(ISERROR(SUMPRODUCT(SEARCH(MID(Metadata!B370,ROW(INDIRECT("1:"&amp;LEN(Metadata!B370))), 1),"0123456789abcdefghijklmnopqrstuvwxyzABCDEFGHIJKLMNOPQRSTUVWXYZ.")))))</f>
        <v>0</v>
      </c>
      <c r="AO370">
        <f>IF(Metadata!C370="",FALSE,TRUE)</f>
        <v>0</v>
      </c>
      <c r="AP370">
        <f>IF(Metadata!D370="",FALSE,TRUE)</f>
        <v>0</v>
      </c>
      <c r="AQ370">
        <f>OR(AND(IF(Metadata!E370="",FALSE,TRUE),OR(exact(Metadata!E370,"not collected"),exact(Metadata!E370,"not provided"),exact(Metadata!E370,"restricted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R370">
        <f>IF(Metadata!F370="",FALSE,TRUE)</f>
        <v>0</v>
      </c>
      <c r="AS370">
        <f>OR(AND(IF(Metadata!G370="",FALSE,TRUE),OR(exact(Metadata!G370,"not collected"),exact(Metadata!G370,"not provided"))),AND(IF(Metadata!G370="",FALSE,TRUE),OR(exact(Metadata!G370,"TRUE"),exact(Metadata!G370,"FALSE"))))</f>
        <v>0</v>
      </c>
      <c r="AT370">
        <f>OR(AND(IF(Metadata!H370="",FALSE,TRUE),OR(exact(Metadata!H370,"not collected"),exact(Metadata!H370,"not provided"),exact(Metadata!H370,"restricted access"))),AND(IF(Metadata!H370="",FALSE,ISNUMBER(VALUE(Metadata!H370))),Metadata!H370&gt;=-413.0))</f>
        <v>0</v>
      </c>
      <c r="AU370">
        <f>AND(IF(Metadata!I370="",FALSE,TRUE),exact(Metadata!I370,"meters"))</f>
        <v>0</v>
      </c>
      <c r="AV370">
        <f>AND(IF(Metadata!J370="",FALSE,TRUE),OR(exact(Metadata!J370,"Host-associated"),exact(Metadata!J370,"Free-living")))</f>
        <v>0</v>
      </c>
      <c r="AW370">
        <f>AND(IF(Metadata!K370="",FALSE,TRUE),OR(exact(Metadata!K370,"Animal"),exact(Metadata!K370,"Fungus"),exact(Metadata!K370,"Plant"),exact(Metadata!K370,"Saline"),exact(Metadata!K370,"Non-saline")))</f>
        <v>0</v>
      </c>
      <c r="AX370">
        <f>AND(IF(Metadata!L370="",FALSE,TRUE),OR(exact(Metadata!L370,"Plant secretion"),exact(Metadata!L370,"Plant rhizosphere"),exact(Metadata!L370,"Plant surface"),exact(Metadata!L370,"Plant corpus"),exact(Metadata!L370,"Fungus surface"),exact(Metadata!L370,"Fungus corpus"),exact(Metadata!L370,"Animal surface"),exact(Metadata!L370,"Animal proximal gut"),exact(Metadata!L370,"Animal corpus"),exact(Metadata!L370,"Animal distal gut"),exact(Metadata!L370,"Animal secretion"),exact(Metadata!L370,"Sub-surface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Y370">
        <f>IF(Metadata!M370="",FALSE,TRUE)</f>
        <v>0</v>
      </c>
      <c r="AZ370">
        <f>IF(Metadata!N370="",FALSE,TRUE)</f>
        <v>0</v>
      </c>
      <c r="BA370">
        <f>IF(Metadata!O370="",FALSE,TRUE)</f>
        <v>0</v>
      </c>
      <c r="BB370">
        <f>OR(AND(IF(Metadata!P370="",FALSE,TRUE),OR(exact(Metadata!P370,"not collected"),exact(Metadata!P370,"not provided"),exact(Metadata!P370,"restricted access"))),AND(IF(Metadata!P370="",FALSE,TRUE),OR(exact(Metadata!P370,"air"),exact(Metadata!P370,"built environment"),exact(Metadata!P370,"host-associated"),exact(Metadata!P370,"human-associated"),exact(Metadata!P370,"human-skin"),exact(Metadata!P370,"human-oral"),exact(Metadata!P370,"human-gut"),exact(Metadata!P370,"human-vaginal"),exact(Metadata!P370,"microbial mat/biofilm"),exact(Metadata!P370,"misc environment"),exact(Metadata!P370,"plant-associated"),exact(Metadata!P370,"sediment"),exact(Metadata!P370,"soil"),exact(Metadata!P370,"wastewater/sludge"),exact(Metadata!P370,"water"))))</f>
        <v>0</v>
      </c>
      <c r="BC370">
        <f>IF(Metadata!Q370="",FALSE,TRUE)</f>
        <v>0</v>
      </c>
      <c r="BD370">
        <f>IF(Metadata!R370="",FALSE,TRUE)</f>
        <v>0</v>
      </c>
      <c r="BE370">
        <f>OR(AND(IF(Metadata!S370="",FALSE,TRUE),OR(exact(Metadata!S370,"not collected"),exact(Metadata!S370,"not provided"),exact(Metadata!S370,"restricted access"))),AND(IF(Metadata!S370="",FALSE,ISNUMBER(VALUE(Metadata!S370))),Metadata!S370&gt;=-90.00,Metadata!S370&lt;=90.00))</f>
        <v>0</v>
      </c>
      <c r="BF370">
        <f>AND(IF(Metadata!T370="",FALSE,TRUE),exact(Metadata!T370,"Decimal degrees"))</f>
        <v>0</v>
      </c>
      <c r="BG370">
        <f>OR(AND(IF(Metadata!U370="",FALSE,TRUE),OR(exact(Metadata!U370,"not collected"),exact(Metadata!U370,"not provided"),exact(Metadata!U370,"restricted access"))),AND(IF(Metadata!U370="",FALSE,ISNUMBER(VALUE(Metadata!U370))),Metadata!U370&gt;=-180.00,Metadata!U370&lt;=180.00))</f>
        <v>0</v>
      </c>
      <c r="BH370">
        <f>AND(IF(Metadata!V370="",FALSE,TRUE),exact(Metadata!V370,"Decimal degrees"))</f>
        <v>0</v>
      </c>
      <c r="BI370">
        <f>IF(Metadata!W370="",FALSE,TRUE)</f>
        <v>0</v>
      </c>
      <c r="BJ370">
        <f>OR(AND(IF(Metadata!X370="",FALSE,TRUE),OR(exact(Metadata!X370,"not collected"),exact(Metadata!X370,"not provided"),exact(Metadata!X370,"restricted access"))),AND(IF(Metadata!X370="",FALSE,TRUE),OR(exact(Metadata!X370,"TRUE"),exact(Metadata!X370,"FALSE"))))</f>
        <v>0</v>
      </c>
      <c r="BK370">
        <f>AND(IF(Metadata!Y370="",FALSE,TRUE),exact(Metadata!Y370,"other"))</f>
        <v>0</v>
      </c>
      <c r="BL370">
        <f>IF(Metadata!Z370="",FALSE,TRUE)</f>
        <v>0</v>
      </c>
      <c r="BM370">
        <f>OR(AND(IF(Metadata!AA370="",FALSE,TRUE),OR(exact(Metadata!AA370,"not collected"),exact(Metadata!AA370,"not provided"))),AND(IF(Metadata!AA370="",FALSE,IF(ISERROR(INT(Metadata!AA370)),FALSE,INT(Metadata!AA370)=Metadata!AA370)),Metadata!AA370&gt;0))</f>
        <v>0</v>
      </c>
      <c r="BN370">
        <f>AND(IF(Metadata!AB370="",FALSE,TRUE),exact(Metadata!AB370,"Not applicable"))</f>
        <v>0</v>
      </c>
      <c r="BO370">
        <f>IF(Metadata!AC370="",FALSE,TRUE)</f>
        <v>0</v>
      </c>
    </row>
    <row r="371" spans="1:67">
      <c r="A371" s="5">
        <f>IF(B371=" "," ",HYPERLINK(CONCATENATE("#metadata!",ADDRESS(INDEX($AI$2:$AI$1001,MATCH(ROWS($AG$2:AG371),$AG$2:$AG$1001,0),0),1)),INDEX($AL$2:$AL$1001,MATCH(ROWS($AG$2:AG371),$AG$2:$AG$1001,0),0)))</f>
        <v>0</v>
      </c>
      <c r="B371" s="4">
        <f>IF(OR(INDEX($AH$2:$AH$1001,MATCH(ROWS($AG$2:AG371),$AG$2:$AG$1001,0),1)&gt;=100000,INDEX($AN$1005:$BO$1005,1,MATCH(COLUMNS($AN$1006:AN1006),$AN$1006:$BO$1006,0))&gt;=100000), " ",IF(INDEX($AN$2:$BO$1001,MATCH(ROWS($AG$2:AG371),$AG$2:$AG$1001,0),MATCH(COLUMNS($AN$1006:AN1006),$AN$1006:$BO$1006,0)), HYPERLINK("#",""), HYPERLINK(CONCATENATE("#Metadata!", ADDRESS(INDEX($AI$2:$AI$1001,MATCH(ROWS($AG$2:AG371),$AG$2:$AG$1001,0),0), INDEX($AN$1004:$BO$1004,1,MATCH(COLUMNS($AN$1006:AN1006),$AN$1006:$BO$1006,0)))),"Fix")))</f>
        <v>0</v>
      </c>
      <c r="C371" s="4">
        <f>IF(OR(INDEX($AH$2:$AH$1001,MATCH(ROWS($AG$2:AG371),$AG$2:$AG$1001,0),1)&gt;=100000,INDEX($AN$1005:$BO$1005,1,MATCH(COLUMNS($AN$1006:AO1006),$AN$1006:$BO$1006,0))&gt;=100000), " ",IF(INDEX($AN$2:$BO$1001,MATCH(ROWS($AG$2:AG371),$AG$2:$AG$1001,0),MATCH(COLUMNS($AN$1006:AO1006),$AN$1006:$BO$1006,0)), HYPERLINK("#",""), HYPERLINK(CONCATENATE("#Metadata!", ADDRESS(INDEX($AI$2:$AI$1001,MATCH(ROWS($AG$2:AG371),$AG$2:$AG$1001,0),0), INDEX($AN$1004:$BO$1004,1,MATCH(COLUMNS($AN$1006:AO1006),$AN$1006:$BO$1006,0)))),"Fix")))</f>
        <v>0</v>
      </c>
      <c r="D371" s="4">
        <f>IF(OR(INDEX($AH$2:$AH$1001,MATCH(ROWS($AG$2:AG371),$AG$2:$AG$1001,0),1)&gt;=100000,INDEX($AN$1005:$BO$1005,1,MATCH(COLUMNS($AN$1006:AP1006),$AN$1006:$BO$1006,0))&gt;=100000), " ",IF(INDEX($AN$2:$BO$1001,MATCH(ROWS($AG$2:AG371),$AG$2:$AG$1001,0),MATCH(COLUMNS($AN$1006:AP1006),$AN$1006:$BO$1006,0)), HYPERLINK("#",""), HYPERLINK(CONCATENATE("#Metadata!", ADDRESS(INDEX($AI$2:$AI$1001,MATCH(ROWS($AG$2:AG371),$AG$2:$AG$1001,0),0), INDEX($AN$1004:$BO$1004,1,MATCH(COLUMNS($AN$1006:AP1006),$AN$1006:$BO$1006,0)))),"Fix")))</f>
        <v>0</v>
      </c>
      <c r="E371" s="4">
        <f>IF(OR(INDEX($AH$2:$AH$1001,MATCH(ROWS($AG$2:AG371),$AG$2:$AG$1001,0),1)&gt;=100000,INDEX($AN$1005:$BO$1005,1,MATCH(COLUMNS($AN$1006:AQ1006),$AN$1006:$BO$1006,0))&gt;=100000), " ",IF(INDEX($AN$2:$BO$1001,MATCH(ROWS($AG$2:AG371),$AG$2:$AG$1001,0),MATCH(COLUMNS($AN$1006:AQ1006),$AN$1006:$BO$1006,0)), HYPERLINK("#",""), HYPERLINK(CONCATENATE("#Metadata!", ADDRESS(INDEX($AI$2:$AI$1001,MATCH(ROWS($AG$2:AG371),$AG$2:$AG$1001,0),0), INDEX($AN$1004:$BO$1004,1,MATCH(COLUMNS($AN$1006:AQ1006),$AN$1006:$BO$1006,0)))),"Fix")))</f>
        <v>0</v>
      </c>
      <c r="F371" s="4">
        <f>IF(OR(INDEX($AH$2:$AH$1001,MATCH(ROWS($AG$2:AG371),$AG$2:$AG$1001,0),1)&gt;=100000,INDEX($AN$1005:$BO$1005,1,MATCH(COLUMNS($AN$1006:AR1006),$AN$1006:$BO$1006,0))&gt;=100000), " ",IF(INDEX($AN$2:$BO$1001,MATCH(ROWS($AG$2:AG371),$AG$2:$AG$1001,0),MATCH(COLUMNS($AN$1006:AR1006),$AN$1006:$BO$1006,0)), HYPERLINK("#",""), HYPERLINK(CONCATENATE("#Metadata!", ADDRESS(INDEX($AI$2:$AI$1001,MATCH(ROWS($AG$2:AG371),$AG$2:$AG$1001,0),0), INDEX($AN$1004:$BO$1004,1,MATCH(COLUMNS($AN$1006:AR1006),$AN$1006:$BO$1006,0)))),"Fix")))</f>
        <v>0</v>
      </c>
      <c r="G371" s="4">
        <f>IF(OR(INDEX($AH$2:$AH$1001,MATCH(ROWS($AG$2:AG371),$AG$2:$AG$1001,0),1)&gt;=100000,INDEX($AN$1005:$BO$1005,1,MATCH(COLUMNS($AN$1006:AS1006),$AN$1006:$BO$1006,0))&gt;=100000), " ",IF(INDEX($AN$2:$BO$1001,MATCH(ROWS($AG$2:AG371),$AG$2:$AG$1001,0),MATCH(COLUMNS($AN$1006:AS1006),$AN$1006:$BO$1006,0)), HYPERLINK("#",""), HYPERLINK(CONCATENATE("#Metadata!", ADDRESS(INDEX($AI$2:$AI$1001,MATCH(ROWS($AG$2:AG371),$AG$2:$AG$1001,0),0), INDEX($AN$1004:$BO$1004,1,MATCH(COLUMNS($AN$1006:AS1006),$AN$1006:$BO$1006,0)))),"Fix")))</f>
        <v>0</v>
      </c>
      <c r="H371" s="4">
        <f>IF(OR(INDEX($AH$2:$AH$1001,MATCH(ROWS($AG$2:AG371),$AG$2:$AG$1001,0),1)&gt;=100000,INDEX($AN$1005:$BO$1005,1,MATCH(COLUMNS($AN$1006:AT1006),$AN$1006:$BO$1006,0))&gt;=100000), " ",IF(INDEX($AN$2:$BO$1001,MATCH(ROWS($AG$2:AG371),$AG$2:$AG$1001,0),MATCH(COLUMNS($AN$1006:AT1006),$AN$1006:$BO$1006,0)), HYPERLINK("#",""), HYPERLINK(CONCATENATE("#Metadata!", ADDRESS(INDEX($AI$2:$AI$1001,MATCH(ROWS($AG$2:AG371),$AG$2:$AG$1001,0),0), INDEX($AN$1004:$BO$1004,1,MATCH(COLUMNS($AN$1006:AT1006),$AN$1006:$BO$1006,0)))),"Fix")))</f>
        <v>0</v>
      </c>
      <c r="I371" s="4">
        <f>IF(OR(INDEX($AH$2:$AH$1001,MATCH(ROWS($AG$2:AG371),$AG$2:$AG$1001,0),1)&gt;=100000,INDEX($AN$1005:$BO$1005,1,MATCH(COLUMNS($AN$1006:AU1006),$AN$1006:$BO$1006,0))&gt;=100000), " ",IF(INDEX($AN$2:$BO$1001,MATCH(ROWS($AG$2:AG371),$AG$2:$AG$1001,0),MATCH(COLUMNS($AN$1006:AU1006),$AN$1006:$BO$1006,0)), HYPERLINK("#",""), HYPERLINK(CONCATENATE("#Metadata!", ADDRESS(INDEX($AI$2:$AI$1001,MATCH(ROWS($AG$2:AG371),$AG$2:$AG$1001,0),0), INDEX($AN$1004:$BO$1004,1,MATCH(COLUMNS($AN$1006:AU1006),$AN$1006:$BO$1006,0)))),"Fix")))</f>
        <v>0</v>
      </c>
      <c r="J371" s="4">
        <f>IF(OR(INDEX($AH$2:$AH$1001,MATCH(ROWS($AG$2:AG371),$AG$2:$AG$1001,0),1)&gt;=100000,INDEX($AN$1005:$BO$1005,1,MATCH(COLUMNS($AN$1006:AV1006),$AN$1006:$BO$1006,0))&gt;=100000), " ",IF(INDEX($AN$2:$BO$1001,MATCH(ROWS($AG$2:AG371),$AG$2:$AG$1001,0),MATCH(COLUMNS($AN$1006:AV1006),$AN$1006:$BO$1006,0)), HYPERLINK("#",""), HYPERLINK(CONCATENATE("#Metadata!", ADDRESS(INDEX($AI$2:$AI$1001,MATCH(ROWS($AG$2:AG371),$AG$2:$AG$1001,0),0), INDEX($AN$1004:$BO$1004,1,MATCH(COLUMNS($AN$1006:AV1006),$AN$1006:$BO$1006,0)))),"Fix")))</f>
        <v>0</v>
      </c>
      <c r="K371" s="4">
        <f>IF(OR(INDEX($AH$2:$AH$1001,MATCH(ROWS($AG$2:AG371),$AG$2:$AG$1001,0),1)&gt;=100000,INDEX($AN$1005:$BO$1005,1,MATCH(COLUMNS($AN$1006:AW1006),$AN$1006:$BO$1006,0))&gt;=100000), " ",IF(INDEX($AN$2:$BO$1001,MATCH(ROWS($AG$2:AG371),$AG$2:$AG$1001,0),MATCH(COLUMNS($AN$1006:AW1006),$AN$1006:$BO$1006,0)), HYPERLINK("#",""), HYPERLINK(CONCATENATE("#Metadata!", ADDRESS(INDEX($AI$2:$AI$1001,MATCH(ROWS($AG$2:AG371),$AG$2:$AG$1001,0),0), INDEX($AN$1004:$BO$1004,1,MATCH(COLUMNS($AN$1006:AW1006),$AN$1006:$BO$1006,0)))),"Fix")))</f>
        <v>0</v>
      </c>
      <c r="L371" s="4">
        <f>IF(OR(INDEX($AH$2:$AH$1001,MATCH(ROWS($AG$2:AG371),$AG$2:$AG$1001,0),1)&gt;=100000,INDEX($AN$1005:$BO$1005,1,MATCH(COLUMNS($AN$1006:AX1006),$AN$1006:$BO$1006,0))&gt;=100000), " ",IF(INDEX($AN$2:$BO$1001,MATCH(ROWS($AG$2:AG371),$AG$2:$AG$1001,0),MATCH(COLUMNS($AN$1006:AX1006),$AN$1006:$BO$1006,0)), HYPERLINK("#",""), HYPERLINK(CONCATENATE("#Metadata!", ADDRESS(INDEX($AI$2:$AI$1001,MATCH(ROWS($AG$2:AG371),$AG$2:$AG$1001,0),0), INDEX($AN$1004:$BO$1004,1,MATCH(COLUMNS($AN$1006:AX1006),$AN$1006:$BO$1006,0)))),"Fix")))</f>
        <v>0</v>
      </c>
      <c r="M371" s="4">
        <f>IF(OR(INDEX($AH$2:$AH$1001,MATCH(ROWS($AG$2:AG371),$AG$2:$AG$1001,0),1)&gt;=100000,INDEX($AN$1005:$BO$1005,1,MATCH(COLUMNS($AN$1006:AY1006),$AN$1006:$BO$1006,0))&gt;=100000), " ",IF(INDEX($AN$2:$BO$1001,MATCH(ROWS($AG$2:AG371),$AG$2:$AG$1001,0),MATCH(COLUMNS($AN$1006:AY1006),$AN$1006:$BO$1006,0)), HYPERLINK("#",""), HYPERLINK(CONCATENATE("#Metadata!", ADDRESS(INDEX($AI$2:$AI$1001,MATCH(ROWS($AG$2:AG371),$AG$2:$AG$1001,0),0), INDEX($AN$1004:$BO$1004,1,MATCH(COLUMNS($AN$1006:AY1006),$AN$1006:$BO$1006,0)))),"Fix")))</f>
        <v>0</v>
      </c>
      <c r="N371" s="4">
        <f>IF(OR(INDEX($AH$2:$AH$1001,MATCH(ROWS($AG$2:AG371),$AG$2:$AG$1001,0),1)&gt;=100000,INDEX($AN$1005:$BO$1005,1,MATCH(COLUMNS($AN$1006:AZ1006),$AN$1006:$BO$1006,0))&gt;=100000), " ",IF(INDEX($AN$2:$BO$1001,MATCH(ROWS($AG$2:AG371),$AG$2:$AG$1001,0),MATCH(COLUMNS($AN$1006:AZ1006),$AN$1006:$BO$1006,0)), HYPERLINK("#",""), HYPERLINK(CONCATENATE("#Metadata!", ADDRESS(INDEX($AI$2:$AI$1001,MATCH(ROWS($AG$2:AG371),$AG$2:$AG$1001,0),0), INDEX($AN$1004:$BO$1004,1,MATCH(COLUMNS($AN$1006:AZ1006),$AN$1006:$BO$1006,0)))),"Fix")))</f>
        <v>0</v>
      </c>
      <c r="O371" s="4">
        <f>IF(OR(INDEX($AH$2:$AH$1001,MATCH(ROWS($AG$2:AG371),$AG$2:$AG$1001,0),1)&gt;=100000,INDEX($AN$1005:$BO$1005,1,MATCH(COLUMNS($AN$1006:BA1006),$AN$1006:$BO$1006,0))&gt;=100000), " ",IF(INDEX($AN$2:$BO$1001,MATCH(ROWS($AG$2:AG371),$AG$2:$AG$1001,0),MATCH(COLUMNS($AN$1006:BA1006),$AN$1006:$BO$1006,0)), HYPERLINK("#",""), HYPERLINK(CONCATENATE("#Metadata!", ADDRESS(INDEX($AI$2:$AI$1001,MATCH(ROWS($AG$2:AG371),$AG$2:$AG$1001,0),0), INDEX($AN$1004:$BO$1004,1,MATCH(COLUMNS($AN$1006:BA1006),$AN$1006:$BO$1006,0)))),"Fix")))</f>
        <v>0</v>
      </c>
      <c r="P371" s="4">
        <f>IF(OR(INDEX($AH$2:$AH$1001,MATCH(ROWS($AG$2:AG371),$AG$2:$AG$1001,0),1)&gt;=100000,INDEX($AN$1005:$BO$1005,1,MATCH(COLUMNS($AN$1006:BB1006),$AN$1006:$BO$1006,0))&gt;=100000), " ",IF(INDEX($AN$2:$BO$1001,MATCH(ROWS($AG$2:AG371),$AG$2:$AG$1001,0),MATCH(COLUMNS($AN$1006:BB1006),$AN$1006:$BO$1006,0)), HYPERLINK("#",""), HYPERLINK(CONCATENATE("#Metadata!", ADDRESS(INDEX($AI$2:$AI$1001,MATCH(ROWS($AG$2:AG371),$AG$2:$AG$1001,0),0), INDEX($AN$1004:$BO$1004,1,MATCH(COLUMNS($AN$1006:BB1006),$AN$1006:$BO$1006,0)))),"Fix")))</f>
        <v>0</v>
      </c>
      <c r="Q371" s="4">
        <f>IF(OR(INDEX($AH$2:$AH$1001,MATCH(ROWS($AG$2:AG371),$AG$2:$AG$1001,0),1)&gt;=100000,INDEX($AN$1005:$BO$1005,1,MATCH(COLUMNS($AN$1006:BC1006),$AN$1006:$BO$1006,0))&gt;=100000), " ",IF(INDEX($AN$2:$BO$1001,MATCH(ROWS($AG$2:AG371),$AG$2:$AG$1001,0),MATCH(COLUMNS($AN$1006:BC1006),$AN$1006:$BO$1006,0)), HYPERLINK("#",""), HYPERLINK(CONCATENATE("#Metadata!", ADDRESS(INDEX($AI$2:$AI$1001,MATCH(ROWS($AG$2:AG371),$AG$2:$AG$1001,0),0), INDEX($AN$1004:$BO$1004,1,MATCH(COLUMNS($AN$1006:BC1006),$AN$1006:$BO$1006,0)))),"Fix")))</f>
        <v>0</v>
      </c>
      <c r="R371" s="4">
        <f>IF(OR(INDEX($AH$2:$AH$1001,MATCH(ROWS($AG$2:AG371),$AG$2:$AG$1001,0),1)&gt;=100000,INDEX($AN$1005:$BO$1005,1,MATCH(COLUMNS($AN$1006:BD1006),$AN$1006:$BO$1006,0))&gt;=100000), " ",IF(INDEX($AN$2:$BO$1001,MATCH(ROWS($AG$2:AG371),$AG$2:$AG$1001,0),MATCH(COLUMNS($AN$1006:BD1006),$AN$1006:$BO$1006,0)), HYPERLINK("#",""), HYPERLINK(CONCATENATE("#Metadata!", ADDRESS(INDEX($AI$2:$AI$1001,MATCH(ROWS($AG$2:AG371),$AG$2:$AG$1001,0),0), INDEX($AN$1004:$BO$1004,1,MATCH(COLUMNS($AN$1006:BD1006),$AN$1006:$BO$1006,0)))),"Fix")))</f>
        <v>0</v>
      </c>
      <c r="S371" s="4">
        <f>IF(OR(INDEX($AH$2:$AH$1001,MATCH(ROWS($AG$2:AG371),$AG$2:$AG$1001,0),1)&gt;=100000,INDEX($AN$1005:$BO$1005,1,MATCH(COLUMNS($AN$1006:BE1006),$AN$1006:$BO$1006,0))&gt;=100000), " ",IF(INDEX($AN$2:$BO$1001,MATCH(ROWS($AG$2:AG371),$AG$2:$AG$1001,0),MATCH(COLUMNS($AN$1006:BE1006),$AN$1006:$BO$1006,0)), HYPERLINK("#",""), HYPERLINK(CONCATENATE("#Metadata!", ADDRESS(INDEX($AI$2:$AI$1001,MATCH(ROWS($AG$2:AG371),$AG$2:$AG$1001,0),0), INDEX($AN$1004:$BO$1004,1,MATCH(COLUMNS($AN$1006:BE1006),$AN$1006:$BO$1006,0)))),"Fix")))</f>
        <v>0</v>
      </c>
      <c r="T371" s="4">
        <f>IF(OR(INDEX($AH$2:$AH$1001,MATCH(ROWS($AG$2:AG371),$AG$2:$AG$1001,0),1)&gt;=100000,INDEX($AN$1005:$BO$1005,1,MATCH(COLUMNS($AN$1006:BF1006),$AN$1006:$BO$1006,0))&gt;=100000), " ",IF(INDEX($AN$2:$BO$1001,MATCH(ROWS($AG$2:AG371),$AG$2:$AG$1001,0),MATCH(COLUMNS($AN$1006:BF1006),$AN$1006:$BO$1006,0)), HYPERLINK("#",""), HYPERLINK(CONCATENATE("#Metadata!", ADDRESS(INDEX($AI$2:$AI$1001,MATCH(ROWS($AG$2:AG371),$AG$2:$AG$1001,0),0), INDEX($AN$1004:$BO$1004,1,MATCH(COLUMNS($AN$1006:BF1006),$AN$1006:$BO$1006,0)))),"Fix")))</f>
        <v>0</v>
      </c>
      <c r="U371" s="4">
        <f>IF(OR(INDEX($AH$2:$AH$1001,MATCH(ROWS($AG$2:AG371),$AG$2:$AG$1001,0),1)&gt;=100000,INDEX($AN$1005:$BO$1005,1,MATCH(COLUMNS($AN$1006:BG1006),$AN$1006:$BO$1006,0))&gt;=100000), " ",IF(INDEX($AN$2:$BO$1001,MATCH(ROWS($AG$2:AG371),$AG$2:$AG$1001,0),MATCH(COLUMNS($AN$1006:BG1006),$AN$1006:$BO$1006,0)), HYPERLINK("#",""), HYPERLINK(CONCATENATE("#Metadata!", ADDRESS(INDEX($AI$2:$AI$1001,MATCH(ROWS($AG$2:AG371),$AG$2:$AG$1001,0),0), INDEX($AN$1004:$BO$1004,1,MATCH(COLUMNS($AN$1006:BG1006),$AN$1006:$BO$1006,0)))),"Fix")))</f>
        <v>0</v>
      </c>
      <c r="V371" s="4">
        <f>IF(OR(INDEX($AH$2:$AH$1001,MATCH(ROWS($AG$2:AG371),$AG$2:$AG$1001,0),1)&gt;=100000,INDEX($AN$1005:$BO$1005,1,MATCH(COLUMNS($AN$1006:BH1006),$AN$1006:$BO$1006,0))&gt;=100000), " ",IF(INDEX($AN$2:$BO$1001,MATCH(ROWS($AG$2:AG371),$AG$2:$AG$1001,0),MATCH(COLUMNS($AN$1006:BH1006),$AN$1006:$BO$1006,0)), HYPERLINK("#",""), HYPERLINK(CONCATENATE("#Metadata!", ADDRESS(INDEX($AI$2:$AI$1001,MATCH(ROWS($AG$2:AG371),$AG$2:$AG$1001,0),0), INDEX($AN$1004:$BO$1004,1,MATCH(COLUMNS($AN$1006:BH1006),$AN$1006:$BO$1006,0)))),"Fix")))</f>
        <v>0</v>
      </c>
      <c r="W371" s="4">
        <f>IF(OR(INDEX($AH$2:$AH$1001,MATCH(ROWS($AG$2:AG371),$AG$2:$AG$1001,0),1)&gt;=100000,INDEX($AN$1005:$BO$1005,1,MATCH(COLUMNS($AN$1006:BI1006),$AN$1006:$BO$1006,0))&gt;=100000), " ",IF(INDEX($AN$2:$BO$1001,MATCH(ROWS($AG$2:AG371),$AG$2:$AG$1001,0),MATCH(COLUMNS($AN$1006:BI1006),$AN$1006:$BO$1006,0)), HYPERLINK("#",""), HYPERLINK(CONCATENATE("#Metadata!", ADDRESS(INDEX($AI$2:$AI$1001,MATCH(ROWS($AG$2:AG371),$AG$2:$AG$1001,0),0), INDEX($AN$1004:$BO$1004,1,MATCH(COLUMNS($AN$1006:BI1006),$AN$1006:$BO$1006,0)))),"Fix")))</f>
        <v>0</v>
      </c>
      <c r="X371" s="4">
        <f>IF(OR(INDEX($AH$2:$AH$1001,MATCH(ROWS($AG$2:AG371),$AG$2:$AG$1001,0),1)&gt;=100000,INDEX($AN$1005:$BO$1005,1,MATCH(COLUMNS($AN$1006:BJ1006),$AN$1006:$BO$1006,0))&gt;=100000), " ",IF(INDEX($AN$2:$BO$1001,MATCH(ROWS($AG$2:AG371),$AG$2:$AG$1001,0),MATCH(COLUMNS($AN$1006:BJ1006),$AN$1006:$BO$1006,0)), HYPERLINK("#",""), HYPERLINK(CONCATENATE("#Metadata!", ADDRESS(INDEX($AI$2:$AI$1001,MATCH(ROWS($AG$2:AG371),$AG$2:$AG$1001,0),0), INDEX($AN$1004:$BO$1004,1,MATCH(COLUMNS($AN$1006:BJ1006),$AN$1006:$BO$1006,0)))),"Fix")))</f>
        <v>0</v>
      </c>
      <c r="Y371" s="4">
        <f>IF(OR(INDEX($AH$2:$AH$1001,MATCH(ROWS($AG$2:AG371),$AG$2:$AG$1001,0),1)&gt;=100000,INDEX($AN$1005:$BO$1005,1,MATCH(COLUMNS($AN$1006:BK1006),$AN$1006:$BO$1006,0))&gt;=100000), " ",IF(INDEX($AN$2:$BO$1001,MATCH(ROWS($AG$2:AG371),$AG$2:$AG$1001,0),MATCH(COLUMNS($AN$1006:BK1006),$AN$1006:$BO$1006,0)), HYPERLINK("#",""), HYPERLINK(CONCATENATE("#Metadata!", ADDRESS(INDEX($AI$2:$AI$1001,MATCH(ROWS($AG$2:AG371),$AG$2:$AG$1001,0),0), INDEX($AN$1004:$BO$1004,1,MATCH(COLUMNS($AN$1006:BK1006),$AN$1006:$BO$1006,0)))),"Fix")))</f>
        <v>0</v>
      </c>
      <c r="Z371" s="4">
        <f>IF(OR(INDEX($AH$2:$AH$1001,MATCH(ROWS($AG$2:AG371),$AG$2:$AG$1001,0),1)&gt;=100000,INDEX($AN$1005:$BO$1005,1,MATCH(COLUMNS($AN$1006:BL1006),$AN$1006:$BO$1006,0))&gt;=100000), " ",IF(INDEX($AN$2:$BO$1001,MATCH(ROWS($AG$2:AG371),$AG$2:$AG$1001,0),MATCH(COLUMNS($AN$1006:BL1006),$AN$1006:$BO$1006,0)), HYPERLINK("#",""), HYPERLINK(CONCATENATE("#Metadata!", ADDRESS(INDEX($AI$2:$AI$1001,MATCH(ROWS($AG$2:AG371),$AG$2:$AG$1001,0),0), INDEX($AN$1004:$BO$1004,1,MATCH(COLUMNS($AN$1006:BL1006),$AN$1006:$BO$1006,0)))),"Fix")))</f>
        <v>0</v>
      </c>
      <c r="AA371" s="4">
        <f>IF(OR(INDEX($AH$2:$AH$1001,MATCH(ROWS($AG$2:AG371),$AG$2:$AG$1001,0),1)&gt;=100000,INDEX($AN$1005:$BO$1005,1,MATCH(COLUMNS($AN$1006:BM1006),$AN$1006:$BO$1006,0))&gt;=100000), " ",IF(INDEX($AN$2:$BO$1001,MATCH(ROWS($AG$2:AG371),$AG$2:$AG$1001,0),MATCH(COLUMNS($AN$1006:BM1006),$AN$1006:$BO$1006,0)), HYPERLINK("#",""), HYPERLINK(CONCATENATE("#Metadata!", ADDRESS(INDEX($AI$2:$AI$1001,MATCH(ROWS($AG$2:AG371),$AG$2:$AG$1001,0),0), INDEX($AN$1004:$BO$1004,1,MATCH(COLUMNS($AN$1006:BM1006),$AN$1006:$BO$1006,0)))),"Fix")))</f>
        <v>0</v>
      </c>
      <c r="AB371" s="4">
        <f>IF(OR(INDEX($AH$2:$AH$1001,MATCH(ROWS($AG$2:AG371),$AG$2:$AG$1001,0),1)&gt;=100000,INDEX($AN$1005:$BO$1005,1,MATCH(COLUMNS($AN$1006:BN1006),$AN$1006:$BO$1006,0))&gt;=100000), " ",IF(INDEX($AN$2:$BO$1001,MATCH(ROWS($AG$2:AG371),$AG$2:$AG$1001,0),MATCH(COLUMNS($AN$1006:BN1006),$AN$1006:$BO$1006,0)), HYPERLINK("#",""), HYPERLINK(CONCATENATE("#Metadata!", ADDRESS(INDEX($AI$2:$AI$1001,MATCH(ROWS($AG$2:AG371),$AG$2:$AG$1001,0),0), INDEX($AN$1004:$BO$1004,1,MATCH(COLUMNS($AN$1006:BN1006),$AN$1006:$BO$1006,0)))),"Fix")))</f>
        <v>0</v>
      </c>
      <c r="AC371" s="4">
        <f>IF(OR(INDEX($AH$2:$AH$1001,MATCH(ROWS($AG$2:AG371),$AG$2:$AG$1001,0),1)&gt;=100000,INDEX($AN$1005:$BO$1005,1,MATCH(COLUMNS($AN$1006:BO1006),$AN$1006:$BO$1006,0))&gt;=100000), " ",IF(INDEX($AN$2:$BO$1001,MATCH(ROWS($AG$2:AG371),$AG$2:$AG$1001,0),MATCH(COLUMNS($AN$1006:BO1006),$AN$1006:$BO$1006,0)), HYPERLINK("#",""), HYPERLINK(CONCATENATE("#Metadata!", ADDRESS(INDEX($AI$2:$AI$1001,MATCH(ROWS($AG$2:AG371),$AG$2:$AG$1001,0),0), INDEX($AN$1004:$BO$1004,1,MATCH(COLUMNS($AN$1006:BO1006),$AN$1006:$BO$1006,0)))),"Fix")))</f>
        <v>0</v>
      </c>
      <c r="AG371">
        <v>0</v>
      </c>
      <c r="AH371">
        <v>0</v>
      </c>
      <c r="AI371">
        <v>0</v>
      </c>
      <c r="AJ371">
        <f>IF(AK371,TRUE,AND(AN371:BO371))</f>
        <v>0</v>
      </c>
      <c r="AK371">
        <f>COUNTBLANK(Metadata!B371:AC371)=COLUMNS(Metadata!B371:AC371)</f>
        <v>0</v>
      </c>
      <c r="AL371">
        <v>0</v>
      </c>
      <c r="AN371">
        <f>AND(IF(Metadata!B371="",FALSE,TRUE),COUNTIF(Metadata!B:B, Metadata!B371) = 1,NOT(ISERROR(SUMPRODUCT(SEARCH(MID(Metadata!B371,ROW(INDIRECT("1:"&amp;LEN(Metadata!B371))), 1),"0123456789abcdefghijklmnopqrstuvwxyzABCDEFGHIJKLMNOPQRSTUVWXYZ.")))))</f>
        <v>0</v>
      </c>
      <c r="AO371">
        <f>IF(Metadata!C371="",FALSE,TRUE)</f>
        <v>0</v>
      </c>
      <c r="AP371">
        <f>IF(Metadata!D371="",FALSE,TRUE)</f>
        <v>0</v>
      </c>
      <c r="AQ371">
        <f>OR(AND(IF(Metadata!E371="",FALSE,TRUE),OR(exact(Metadata!E371,"not collected"),exact(Metadata!E371,"not provided"),exact(Metadata!E371,"restricted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R371">
        <f>IF(Metadata!F371="",FALSE,TRUE)</f>
        <v>0</v>
      </c>
      <c r="AS371">
        <f>OR(AND(IF(Metadata!G371="",FALSE,TRUE),OR(exact(Metadata!G371,"not collected"),exact(Metadata!G371,"not provided"))),AND(IF(Metadata!G371="",FALSE,TRUE),OR(exact(Metadata!G371,"TRUE"),exact(Metadata!G371,"FALSE"))))</f>
        <v>0</v>
      </c>
      <c r="AT371">
        <f>OR(AND(IF(Metadata!H371="",FALSE,TRUE),OR(exact(Metadata!H371,"not collected"),exact(Metadata!H371,"not provided"),exact(Metadata!H371,"restricted access"))),AND(IF(Metadata!H371="",FALSE,ISNUMBER(VALUE(Metadata!H371))),Metadata!H371&gt;=-413.0))</f>
        <v>0</v>
      </c>
      <c r="AU371">
        <f>AND(IF(Metadata!I371="",FALSE,TRUE),exact(Metadata!I371,"meters"))</f>
        <v>0</v>
      </c>
      <c r="AV371">
        <f>AND(IF(Metadata!J371="",FALSE,TRUE),OR(exact(Metadata!J371,"Host-associated"),exact(Metadata!J371,"Free-living")))</f>
        <v>0</v>
      </c>
      <c r="AW371">
        <f>AND(IF(Metadata!K371="",FALSE,TRUE),OR(exact(Metadata!K371,"Animal"),exact(Metadata!K371,"Fungus"),exact(Metadata!K371,"Plant"),exact(Metadata!K371,"Saline"),exact(Metadata!K371,"Non-saline")))</f>
        <v>0</v>
      </c>
      <c r="AX371">
        <f>AND(IF(Metadata!L371="",FALSE,TRUE),OR(exact(Metadata!L371,"Plant secretion"),exact(Metadata!L371,"Plant rhizosphere"),exact(Metadata!L371,"Plant surface"),exact(Metadata!L371,"Plant corpus"),exact(Metadata!L371,"Fungus surface"),exact(Metadata!L371,"Fungus corpus"),exact(Metadata!L371,"Animal surface"),exact(Metadata!L371,"Animal proximal gut"),exact(Metadata!L371,"Animal corpus"),exact(Metadata!L371,"Animal distal gut"),exact(Metadata!L371,"Animal secretion"),exact(Metadata!L371,"Sub-surface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Y371">
        <f>IF(Metadata!M371="",FALSE,TRUE)</f>
        <v>0</v>
      </c>
      <c r="AZ371">
        <f>IF(Metadata!N371="",FALSE,TRUE)</f>
        <v>0</v>
      </c>
      <c r="BA371">
        <f>IF(Metadata!O371="",FALSE,TRUE)</f>
        <v>0</v>
      </c>
      <c r="BB371">
        <f>OR(AND(IF(Metadata!P371="",FALSE,TRUE),OR(exact(Metadata!P371,"not collected"),exact(Metadata!P371,"not provided"),exact(Metadata!P371,"restricted access"))),AND(IF(Metadata!P371="",FALSE,TRUE),OR(exact(Metadata!P371,"air"),exact(Metadata!P371,"built environment"),exact(Metadata!P371,"host-associated"),exact(Metadata!P371,"human-associated"),exact(Metadata!P371,"human-skin"),exact(Metadata!P371,"human-oral"),exact(Metadata!P371,"human-gut"),exact(Metadata!P371,"human-vaginal"),exact(Metadata!P371,"microbial mat/biofilm"),exact(Metadata!P371,"misc environment"),exact(Metadata!P371,"plant-associated"),exact(Metadata!P371,"sediment"),exact(Metadata!P371,"soil"),exact(Metadata!P371,"wastewater/sludge"),exact(Metadata!P371,"water"))))</f>
        <v>0</v>
      </c>
      <c r="BC371">
        <f>IF(Metadata!Q371="",FALSE,TRUE)</f>
        <v>0</v>
      </c>
      <c r="BD371">
        <f>IF(Metadata!R371="",FALSE,TRUE)</f>
        <v>0</v>
      </c>
      <c r="BE371">
        <f>OR(AND(IF(Metadata!S371="",FALSE,TRUE),OR(exact(Metadata!S371,"not collected"),exact(Metadata!S371,"not provided"),exact(Metadata!S371,"restricted access"))),AND(IF(Metadata!S371="",FALSE,ISNUMBER(VALUE(Metadata!S371))),Metadata!S371&gt;=-90.00,Metadata!S371&lt;=90.00))</f>
        <v>0</v>
      </c>
      <c r="BF371">
        <f>AND(IF(Metadata!T371="",FALSE,TRUE),exact(Metadata!T371,"Decimal degrees"))</f>
        <v>0</v>
      </c>
      <c r="BG371">
        <f>OR(AND(IF(Metadata!U371="",FALSE,TRUE),OR(exact(Metadata!U371,"not collected"),exact(Metadata!U371,"not provided"),exact(Metadata!U371,"restricted access"))),AND(IF(Metadata!U371="",FALSE,ISNUMBER(VALUE(Metadata!U371))),Metadata!U371&gt;=-180.00,Metadata!U371&lt;=180.00))</f>
        <v>0</v>
      </c>
      <c r="BH371">
        <f>AND(IF(Metadata!V371="",FALSE,TRUE),exact(Metadata!V371,"Decimal degrees"))</f>
        <v>0</v>
      </c>
      <c r="BI371">
        <f>IF(Metadata!W371="",FALSE,TRUE)</f>
        <v>0</v>
      </c>
      <c r="BJ371">
        <f>OR(AND(IF(Metadata!X371="",FALSE,TRUE),OR(exact(Metadata!X371,"not collected"),exact(Metadata!X371,"not provided"),exact(Metadata!X371,"restricted access"))),AND(IF(Metadata!X371="",FALSE,TRUE),OR(exact(Metadata!X371,"TRUE"),exact(Metadata!X371,"FALSE"))))</f>
        <v>0</v>
      </c>
      <c r="BK371">
        <f>AND(IF(Metadata!Y371="",FALSE,TRUE),exact(Metadata!Y371,"other"))</f>
        <v>0</v>
      </c>
      <c r="BL371">
        <f>IF(Metadata!Z371="",FALSE,TRUE)</f>
        <v>0</v>
      </c>
      <c r="BM371">
        <f>OR(AND(IF(Metadata!AA371="",FALSE,TRUE),OR(exact(Metadata!AA371,"not collected"),exact(Metadata!AA371,"not provided"))),AND(IF(Metadata!AA371="",FALSE,IF(ISERROR(INT(Metadata!AA371)),FALSE,INT(Metadata!AA371)=Metadata!AA371)),Metadata!AA371&gt;0))</f>
        <v>0</v>
      </c>
      <c r="BN371">
        <f>AND(IF(Metadata!AB371="",FALSE,TRUE),exact(Metadata!AB371,"Not applicable"))</f>
        <v>0</v>
      </c>
      <c r="BO371">
        <f>IF(Metadata!AC371="",FALSE,TRUE)</f>
        <v>0</v>
      </c>
    </row>
    <row r="372" spans="1:67">
      <c r="A372" s="5">
        <f>IF(B372=" "," ",HYPERLINK(CONCATENATE("#metadata!",ADDRESS(INDEX($AI$2:$AI$1001,MATCH(ROWS($AG$2:AG372),$AG$2:$AG$1001,0),0),1)),INDEX($AL$2:$AL$1001,MATCH(ROWS($AG$2:AG372),$AG$2:$AG$1001,0),0)))</f>
        <v>0</v>
      </c>
      <c r="B372" s="4">
        <f>IF(OR(INDEX($AH$2:$AH$1001,MATCH(ROWS($AG$2:AG372),$AG$2:$AG$1001,0),1)&gt;=100000,INDEX($AN$1005:$BO$1005,1,MATCH(COLUMNS($AN$1006:AN1006),$AN$1006:$BO$1006,0))&gt;=100000), " ",IF(INDEX($AN$2:$BO$1001,MATCH(ROWS($AG$2:AG372),$AG$2:$AG$1001,0),MATCH(COLUMNS($AN$1006:AN1006),$AN$1006:$BO$1006,0)), HYPERLINK("#",""), HYPERLINK(CONCATENATE("#Metadata!", ADDRESS(INDEX($AI$2:$AI$1001,MATCH(ROWS($AG$2:AG372),$AG$2:$AG$1001,0),0), INDEX($AN$1004:$BO$1004,1,MATCH(COLUMNS($AN$1006:AN1006),$AN$1006:$BO$1006,0)))),"Fix")))</f>
        <v>0</v>
      </c>
      <c r="C372" s="4">
        <f>IF(OR(INDEX($AH$2:$AH$1001,MATCH(ROWS($AG$2:AG372),$AG$2:$AG$1001,0),1)&gt;=100000,INDEX($AN$1005:$BO$1005,1,MATCH(COLUMNS($AN$1006:AO1006),$AN$1006:$BO$1006,0))&gt;=100000), " ",IF(INDEX($AN$2:$BO$1001,MATCH(ROWS($AG$2:AG372),$AG$2:$AG$1001,0),MATCH(COLUMNS($AN$1006:AO1006),$AN$1006:$BO$1006,0)), HYPERLINK("#",""), HYPERLINK(CONCATENATE("#Metadata!", ADDRESS(INDEX($AI$2:$AI$1001,MATCH(ROWS($AG$2:AG372),$AG$2:$AG$1001,0),0), INDEX($AN$1004:$BO$1004,1,MATCH(COLUMNS($AN$1006:AO1006),$AN$1006:$BO$1006,0)))),"Fix")))</f>
        <v>0</v>
      </c>
      <c r="D372" s="4">
        <f>IF(OR(INDEX($AH$2:$AH$1001,MATCH(ROWS($AG$2:AG372),$AG$2:$AG$1001,0),1)&gt;=100000,INDEX($AN$1005:$BO$1005,1,MATCH(COLUMNS($AN$1006:AP1006),$AN$1006:$BO$1006,0))&gt;=100000), " ",IF(INDEX($AN$2:$BO$1001,MATCH(ROWS($AG$2:AG372),$AG$2:$AG$1001,0),MATCH(COLUMNS($AN$1006:AP1006),$AN$1006:$BO$1006,0)), HYPERLINK("#",""), HYPERLINK(CONCATENATE("#Metadata!", ADDRESS(INDEX($AI$2:$AI$1001,MATCH(ROWS($AG$2:AG372),$AG$2:$AG$1001,0),0), INDEX($AN$1004:$BO$1004,1,MATCH(COLUMNS($AN$1006:AP1006),$AN$1006:$BO$1006,0)))),"Fix")))</f>
        <v>0</v>
      </c>
      <c r="E372" s="4">
        <f>IF(OR(INDEX($AH$2:$AH$1001,MATCH(ROWS($AG$2:AG372),$AG$2:$AG$1001,0),1)&gt;=100000,INDEX($AN$1005:$BO$1005,1,MATCH(COLUMNS($AN$1006:AQ1006),$AN$1006:$BO$1006,0))&gt;=100000), " ",IF(INDEX($AN$2:$BO$1001,MATCH(ROWS($AG$2:AG372),$AG$2:$AG$1001,0),MATCH(COLUMNS($AN$1006:AQ1006),$AN$1006:$BO$1006,0)), HYPERLINK("#",""), HYPERLINK(CONCATENATE("#Metadata!", ADDRESS(INDEX($AI$2:$AI$1001,MATCH(ROWS($AG$2:AG372),$AG$2:$AG$1001,0),0), INDEX($AN$1004:$BO$1004,1,MATCH(COLUMNS($AN$1006:AQ1006),$AN$1006:$BO$1006,0)))),"Fix")))</f>
        <v>0</v>
      </c>
      <c r="F372" s="4">
        <f>IF(OR(INDEX($AH$2:$AH$1001,MATCH(ROWS($AG$2:AG372),$AG$2:$AG$1001,0),1)&gt;=100000,INDEX($AN$1005:$BO$1005,1,MATCH(COLUMNS($AN$1006:AR1006),$AN$1006:$BO$1006,0))&gt;=100000), " ",IF(INDEX($AN$2:$BO$1001,MATCH(ROWS($AG$2:AG372),$AG$2:$AG$1001,0),MATCH(COLUMNS($AN$1006:AR1006),$AN$1006:$BO$1006,0)), HYPERLINK("#",""), HYPERLINK(CONCATENATE("#Metadata!", ADDRESS(INDEX($AI$2:$AI$1001,MATCH(ROWS($AG$2:AG372),$AG$2:$AG$1001,0),0), INDEX($AN$1004:$BO$1004,1,MATCH(COLUMNS($AN$1006:AR1006),$AN$1006:$BO$1006,0)))),"Fix")))</f>
        <v>0</v>
      </c>
      <c r="G372" s="4">
        <f>IF(OR(INDEX($AH$2:$AH$1001,MATCH(ROWS($AG$2:AG372),$AG$2:$AG$1001,0),1)&gt;=100000,INDEX($AN$1005:$BO$1005,1,MATCH(COLUMNS($AN$1006:AS1006),$AN$1006:$BO$1006,0))&gt;=100000), " ",IF(INDEX($AN$2:$BO$1001,MATCH(ROWS($AG$2:AG372),$AG$2:$AG$1001,0),MATCH(COLUMNS($AN$1006:AS1006),$AN$1006:$BO$1006,0)), HYPERLINK("#",""), HYPERLINK(CONCATENATE("#Metadata!", ADDRESS(INDEX($AI$2:$AI$1001,MATCH(ROWS($AG$2:AG372),$AG$2:$AG$1001,0),0), INDEX($AN$1004:$BO$1004,1,MATCH(COLUMNS($AN$1006:AS1006),$AN$1006:$BO$1006,0)))),"Fix")))</f>
        <v>0</v>
      </c>
      <c r="H372" s="4">
        <f>IF(OR(INDEX($AH$2:$AH$1001,MATCH(ROWS($AG$2:AG372),$AG$2:$AG$1001,0),1)&gt;=100000,INDEX($AN$1005:$BO$1005,1,MATCH(COLUMNS($AN$1006:AT1006),$AN$1006:$BO$1006,0))&gt;=100000), " ",IF(INDEX($AN$2:$BO$1001,MATCH(ROWS($AG$2:AG372),$AG$2:$AG$1001,0),MATCH(COLUMNS($AN$1006:AT1006),$AN$1006:$BO$1006,0)), HYPERLINK("#",""), HYPERLINK(CONCATENATE("#Metadata!", ADDRESS(INDEX($AI$2:$AI$1001,MATCH(ROWS($AG$2:AG372),$AG$2:$AG$1001,0),0), INDEX($AN$1004:$BO$1004,1,MATCH(COLUMNS($AN$1006:AT1006),$AN$1006:$BO$1006,0)))),"Fix")))</f>
        <v>0</v>
      </c>
      <c r="I372" s="4">
        <f>IF(OR(INDEX($AH$2:$AH$1001,MATCH(ROWS($AG$2:AG372),$AG$2:$AG$1001,0),1)&gt;=100000,INDEX($AN$1005:$BO$1005,1,MATCH(COLUMNS($AN$1006:AU1006),$AN$1006:$BO$1006,0))&gt;=100000), " ",IF(INDEX($AN$2:$BO$1001,MATCH(ROWS($AG$2:AG372),$AG$2:$AG$1001,0),MATCH(COLUMNS($AN$1006:AU1006),$AN$1006:$BO$1006,0)), HYPERLINK("#",""), HYPERLINK(CONCATENATE("#Metadata!", ADDRESS(INDEX($AI$2:$AI$1001,MATCH(ROWS($AG$2:AG372),$AG$2:$AG$1001,0),0), INDEX($AN$1004:$BO$1004,1,MATCH(COLUMNS($AN$1006:AU1006),$AN$1006:$BO$1006,0)))),"Fix")))</f>
        <v>0</v>
      </c>
      <c r="J372" s="4">
        <f>IF(OR(INDEX($AH$2:$AH$1001,MATCH(ROWS($AG$2:AG372),$AG$2:$AG$1001,0),1)&gt;=100000,INDEX($AN$1005:$BO$1005,1,MATCH(COLUMNS($AN$1006:AV1006),$AN$1006:$BO$1006,0))&gt;=100000), " ",IF(INDEX($AN$2:$BO$1001,MATCH(ROWS($AG$2:AG372),$AG$2:$AG$1001,0),MATCH(COLUMNS($AN$1006:AV1006),$AN$1006:$BO$1006,0)), HYPERLINK("#",""), HYPERLINK(CONCATENATE("#Metadata!", ADDRESS(INDEX($AI$2:$AI$1001,MATCH(ROWS($AG$2:AG372),$AG$2:$AG$1001,0),0), INDEX($AN$1004:$BO$1004,1,MATCH(COLUMNS($AN$1006:AV1006),$AN$1006:$BO$1006,0)))),"Fix")))</f>
        <v>0</v>
      </c>
      <c r="K372" s="4">
        <f>IF(OR(INDEX($AH$2:$AH$1001,MATCH(ROWS($AG$2:AG372),$AG$2:$AG$1001,0),1)&gt;=100000,INDEX($AN$1005:$BO$1005,1,MATCH(COLUMNS($AN$1006:AW1006),$AN$1006:$BO$1006,0))&gt;=100000), " ",IF(INDEX($AN$2:$BO$1001,MATCH(ROWS($AG$2:AG372),$AG$2:$AG$1001,0),MATCH(COLUMNS($AN$1006:AW1006),$AN$1006:$BO$1006,0)), HYPERLINK("#",""), HYPERLINK(CONCATENATE("#Metadata!", ADDRESS(INDEX($AI$2:$AI$1001,MATCH(ROWS($AG$2:AG372),$AG$2:$AG$1001,0),0), INDEX($AN$1004:$BO$1004,1,MATCH(COLUMNS($AN$1006:AW1006),$AN$1006:$BO$1006,0)))),"Fix")))</f>
        <v>0</v>
      </c>
      <c r="L372" s="4">
        <f>IF(OR(INDEX($AH$2:$AH$1001,MATCH(ROWS($AG$2:AG372),$AG$2:$AG$1001,0),1)&gt;=100000,INDEX($AN$1005:$BO$1005,1,MATCH(COLUMNS($AN$1006:AX1006),$AN$1006:$BO$1006,0))&gt;=100000), " ",IF(INDEX($AN$2:$BO$1001,MATCH(ROWS($AG$2:AG372),$AG$2:$AG$1001,0),MATCH(COLUMNS($AN$1006:AX1006),$AN$1006:$BO$1006,0)), HYPERLINK("#",""), HYPERLINK(CONCATENATE("#Metadata!", ADDRESS(INDEX($AI$2:$AI$1001,MATCH(ROWS($AG$2:AG372),$AG$2:$AG$1001,0),0), INDEX($AN$1004:$BO$1004,1,MATCH(COLUMNS($AN$1006:AX1006),$AN$1006:$BO$1006,0)))),"Fix")))</f>
        <v>0</v>
      </c>
      <c r="M372" s="4">
        <f>IF(OR(INDEX($AH$2:$AH$1001,MATCH(ROWS($AG$2:AG372),$AG$2:$AG$1001,0),1)&gt;=100000,INDEX($AN$1005:$BO$1005,1,MATCH(COLUMNS($AN$1006:AY1006),$AN$1006:$BO$1006,0))&gt;=100000), " ",IF(INDEX($AN$2:$BO$1001,MATCH(ROWS($AG$2:AG372),$AG$2:$AG$1001,0),MATCH(COLUMNS($AN$1006:AY1006),$AN$1006:$BO$1006,0)), HYPERLINK("#",""), HYPERLINK(CONCATENATE("#Metadata!", ADDRESS(INDEX($AI$2:$AI$1001,MATCH(ROWS($AG$2:AG372),$AG$2:$AG$1001,0),0), INDEX($AN$1004:$BO$1004,1,MATCH(COLUMNS($AN$1006:AY1006),$AN$1006:$BO$1006,0)))),"Fix")))</f>
        <v>0</v>
      </c>
      <c r="N372" s="4">
        <f>IF(OR(INDEX($AH$2:$AH$1001,MATCH(ROWS($AG$2:AG372),$AG$2:$AG$1001,0),1)&gt;=100000,INDEX($AN$1005:$BO$1005,1,MATCH(COLUMNS($AN$1006:AZ1006),$AN$1006:$BO$1006,0))&gt;=100000), " ",IF(INDEX($AN$2:$BO$1001,MATCH(ROWS($AG$2:AG372),$AG$2:$AG$1001,0),MATCH(COLUMNS($AN$1006:AZ1006),$AN$1006:$BO$1006,0)), HYPERLINK("#",""), HYPERLINK(CONCATENATE("#Metadata!", ADDRESS(INDEX($AI$2:$AI$1001,MATCH(ROWS($AG$2:AG372),$AG$2:$AG$1001,0),0), INDEX($AN$1004:$BO$1004,1,MATCH(COLUMNS($AN$1006:AZ1006),$AN$1006:$BO$1006,0)))),"Fix")))</f>
        <v>0</v>
      </c>
      <c r="O372" s="4">
        <f>IF(OR(INDEX($AH$2:$AH$1001,MATCH(ROWS($AG$2:AG372),$AG$2:$AG$1001,0),1)&gt;=100000,INDEX($AN$1005:$BO$1005,1,MATCH(COLUMNS($AN$1006:BA1006),$AN$1006:$BO$1006,0))&gt;=100000), " ",IF(INDEX($AN$2:$BO$1001,MATCH(ROWS($AG$2:AG372),$AG$2:$AG$1001,0),MATCH(COLUMNS($AN$1006:BA1006),$AN$1006:$BO$1006,0)), HYPERLINK("#",""), HYPERLINK(CONCATENATE("#Metadata!", ADDRESS(INDEX($AI$2:$AI$1001,MATCH(ROWS($AG$2:AG372),$AG$2:$AG$1001,0),0), INDEX($AN$1004:$BO$1004,1,MATCH(COLUMNS($AN$1006:BA1006),$AN$1006:$BO$1006,0)))),"Fix")))</f>
        <v>0</v>
      </c>
      <c r="P372" s="4">
        <f>IF(OR(INDEX($AH$2:$AH$1001,MATCH(ROWS($AG$2:AG372),$AG$2:$AG$1001,0),1)&gt;=100000,INDEX($AN$1005:$BO$1005,1,MATCH(COLUMNS($AN$1006:BB1006),$AN$1006:$BO$1006,0))&gt;=100000), " ",IF(INDEX($AN$2:$BO$1001,MATCH(ROWS($AG$2:AG372),$AG$2:$AG$1001,0),MATCH(COLUMNS($AN$1006:BB1006),$AN$1006:$BO$1006,0)), HYPERLINK("#",""), HYPERLINK(CONCATENATE("#Metadata!", ADDRESS(INDEX($AI$2:$AI$1001,MATCH(ROWS($AG$2:AG372),$AG$2:$AG$1001,0),0), INDEX($AN$1004:$BO$1004,1,MATCH(COLUMNS($AN$1006:BB1006),$AN$1006:$BO$1006,0)))),"Fix")))</f>
        <v>0</v>
      </c>
      <c r="Q372" s="4">
        <f>IF(OR(INDEX($AH$2:$AH$1001,MATCH(ROWS($AG$2:AG372),$AG$2:$AG$1001,0),1)&gt;=100000,INDEX($AN$1005:$BO$1005,1,MATCH(COLUMNS($AN$1006:BC1006),$AN$1006:$BO$1006,0))&gt;=100000), " ",IF(INDEX($AN$2:$BO$1001,MATCH(ROWS($AG$2:AG372),$AG$2:$AG$1001,0),MATCH(COLUMNS($AN$1006:BC1006),$AN$1006:$BO$1006,0)), HYPERLINK("#",""), HYPERLINK(CONCATENATE("#Metadata!", ADDRESS(INDEX($AI$2:$AI$1001,MATCH(ROWS($AG$2:AG372),$AG$2:$AG$1001,0),0), INDEX($AN$1004:$BO$1004,1,MATCH(COLUMNS($AN$1006:BC1006),$AN$1006:$BO$1006,0)))),"Fix")))</f>
        <v>0</v>
      </c>
      <c r="R372" s="4">
        <f>IF(OR(INDEX($AH$2:$AH$1001,MATCH(ROWS($AG$2:AG372),$AG$2:$AG$1001,0),1)&gt;=100000,INDEX($AN$1005:$BO$1005,1,MATCH(COLUMNS($AN$1006:BD1006),$AN$1006:$BO$1006,0))&gt;=100000), " ",IF(INDEX($AN$2:$BO$1001,MATCH(ROWS($AG$2:AG372),$AG$2:$AG$1001,0),MATCH(COLUMNS($AN$1006:BD1006),$AN$1006:$BO$1006,0)), HYPERLINK("#",""), HYPERLINK(CONCATENATE("#Metadata!", ADDRESS(INDEX($AI$2:$AI$1001,MATCH(ROWS($AG$2:AG372),$AG$2:$AG$1001,0),0), INDEX($AN$1004:$BO$1004,1,MATCH(COLUMNS($AN$1006:BD1006),$AN$1006:$BO$1006,0)))),"Fix")))</f>
        <v>0</v>
      </c>
      <c r="S372" s="4">
        <f>IF(OR(INDEX($AH$2:$AH$1001,MATCH(ROWS($AG$2:AG372),$AG$2:$AG$1001,0),1)&gt;=100000,INDEX($AN$1005:$BO$1005,1,MATCH(COLUMNS($AN$1006:BE1006),$AN$1006:$BO$1006,0))&gt;=100000), " ",IF(INDEX($AN$2:$BO$1001,MATCH(ROWS($AG$2:AG372),$AG$2:$AG$1001,0),MATCH(COLUMNS($AN$1006:BE1006),$AN$1006:$BO$1006,0)), HYPERLINK("#",""), HYPERLINK(CONCATENATE("#Metadata!", ADDRESS(INDEX($AI$2:$AI$1001,MATCH(ROWS($AG$2:AG372),$AG$2:$AG$1001,0),0), INDEX($AN$1004:$BO$1004,1,MATCH(COLUMNS($AN$1006:BE1006),$AN$1006:$BO$1006,0)))),"Fix")))</f>
        <v>0</v>
      </c>
      <c r="T372" s="4">
        <f>IF(OR(INDEX($AH$2:$AH$1001,MATCH(ROWS($AG$2:AG372),$AG$2:$AG$1001,0),1)&gt;=100000,INDEX($AN$1005:$BO$1005,1,MATCH(COLUMNS($AN$1006:BF1006),$AN$1006:$BO$1006,0))&gt;=100000), " ",IF(INDEX($AN$2:$BO$1001,MATCH(ROWS($AG$2:AG372),$AG$2:$AG$1001,0),MATCH(COLUMNS($AN$1006:BF1006),$AN$1006:$BO$1006,0)), HYPERLINK("#",""), HYPERLINK(CONCATENATE("#Metadata!", ADDRESS(INDEX($AI$2:$AI$1001,MATCH(ROWS($AG$2:AG372),$AG$2:$AG$1001,0),0), INDEX($AN$1004:$BO$1004,1,MATCH(COLUMNS($AN$1006:BF1006),$AN$1006:$BO$1006,0)))),"Fix")))</f>
        <v>0</v>
      </c>
      <c r="U372" s="4">
        <f>IF(OR(INDEX($AH$2:$AH$1001,MATCH(ROWS($AG$2:AG372),$AG$2:$AG$1001,0),1)&gt;=100000,INDEX($AN$1005:$BO$1005,1,MATCH(COLUMNS($AN$1006:BG1006),$AN$1006:$BO$1006,0))&gt;=100000), " ",IF(INDEX($AN$2:$BO$1001,MATCH(ROWS($AG$2:AG372),$AG$2:$AG$1001,0),MATCH(COLUMNS($AN$1006:BG1006),$AN$1006:$BO$1006,0)), HYPERLINK("#",""), HYPERLINK(CONCATENATE("#Metadata!", ADDRESS(INDEX($AI$2:$AI$1001,MATCH(ROWS($AG$2:AG372),$AG$2:$AG$1001,0),0), INDEX($AN$1004:$BO$1004,1,MATCH(COLUMNS($AN$1006:BG1006),$AN$1006:$BO$1006,0)))),"Fix")))</f>
        <v>0</v>
      </c>
      <c r="V372" s="4">
        <f>IF(OR(INDEX($AH$2:$AH$1001,MATCH(ROWS($AG$2:AG372),$AG$2:$AG$1001,0),1)&gt;=100000,INDEX($AN$1005:$BO$1005,1,MATCH(COLUMNS($AN$1006:BH1006),$AN$1006:$BO$1006,0))&gt;=100000), " ",IF(INDEX($AN$2:$BO$1001,MATCH(ROWS($AG$2:AG372),$AG$2:$AG$1001,0),MATCH(COLUMNS($AN$1006:BH1006),$AN$1006:$BO$1006,0)), HYPERLINK("#",""), HYPERLINK(CONCATENATE("#Metadata!", ADDRESS(INDEX($AI$2:$AI$1001,MATCH(ROWS($AG$2:AG372),$AG$2:$AG$1001,0),0), INDEX($AN$1004:$BO$1004,1,MATCH(COLUMNS($AN$1006:BH1006),$AN$1006:$BO$1006,0)))),"Fix")))</f>
        <v>0</v>
      </c>
      <c r="W372" s="4">
        <f>IF(OR(INDEX($AH$2:$AH$1001,MATCH(ROWS($AG$2:AG372),$AG$2:$AG$1001,0),1)&gt;=100000,INDEX($AN$1005:$BO$1005,1,MATCH(COLUMNS($AN$1006:BI1006),$AN$1006:$BO$1006,0))&gt;=100000), " ",IF(INDEX($AN$2:$BO$1001,MATCH(ROWS($AG$2:AG372),$AG$2:$AG$1001,0),MATCH(COLUMNS($AN$1006:BI1006),$AN$1006:$BO$1006,0)), HYPERLINK("#",""), HYPERLINK(CONCATENATE("#Metadata!", ADDRESS(INDEX($AI$2:$AI$1001,MATCH(ROWS($AG$2:AG372),$AG$2:$AG$1001,0),0), INDEX($AN$1004:$BO$1004,1,MATCH(COLUMNS($AN$1006:BI1006),$AN$1006:$BO$1006,0)))),"Fix")))</f>
        <v>0</v>
      </c>
      <c r="X372" s="4">
        <f>IF(OR(INDEX($AH$2:$AH$1001,MATCH(ROWS($AG$2:AG372),$AG$2:$AG$1001,0),1)&gt;=100000,INDEX($AN$1005:$BO$1005,1,MATCH(COLUMNS($AN$1006:BJ1006),$AN$1006:$BO$1006,0))&gt;=100000), " ",IF(INDEX($AN$2:$BO$1001,MATCH(ROWS($AG$2:AG372),$AG$2:$AG$1001,0),MATCH(COLUMNS($AN$1006:BJ1006),$AN$1006:$BO$1006,0)), HYPERLINK("#",""), HYPERLINK(CONCATENATE("#Metadata!", ADDRESS(INDEX($AI$2:$AI$1001,MATCH(ROWS($AG$2:AG372),$AG$2:$AG$1001,0),0), INDEX($AN$1004:$BO$1004,1,MATCH(COLUMNS($AN$1006:BJ1006),$AN$1006:$BO$1006,0)))),"Fix")))</f>
        <v>0</v>
      </c>
      <c r="Y372" s="4">
        <f>IF(OR(INDEX($AH$2:$AH$1001,MATCH(ROWS($AG$2:AG372),$AG$2:$AG$1001,0),1)&gt;=100000,INDEX($AN$1005:$BO$1005,1,MATCH(COLUMNS($AN$1006:BK1006),$AN$1006:$BO$1006,0))&gt;=100000), " ",IF(INDEX($AN$2:$BO$1001,MATCH(ROWS($AG$2:AG372),$AG$2:$AG$1001,0),MATCH(COLUMNS($AN$1006:BK1006),$AN$1006:$BO$1006,0)), HYPERLINK("#",""), HYPERLINK(CONCATENATE("#Metadata!", ADDRESS(INDEX($AI$2:$AI$1001,MATCH(ROWS($AG$2:AG372),$AG$2:$AG$1001,0),0), INDEX($AN$1004:$BO$1004,1,MATCH(COLUMNS($AN$1006:BK1006),$AN$1006:$BO$1006,0)))),"Fix")))</f>
        <v>0</v>
      </c>
      <c r="Z372" s="4">
        <f>IF(OR(INDEX($AH$2:$AH$1001,MATCH(ROWS($AG$2:AG372),$AG$2:$AG$1001,0),1)&gt;=100000,INDEX($AN$1005:$BO$1005,1,MATCH(COLUMNS($AN$1006:BL1006),$AN$1006:$BO$1006,0))&gt;=100000), " ",IF(INDEX($AN$2:$BO$1001,MATCH(ROWS($AG$2:AG372),$AG$2:$AG$1001,0),MATCH(COLUMNS($AN$1006:BL1006),$AN$1006:$BO$1006,0)), HYPERLINK("#",""), HYPERLINK(CONCATENATE("#Metadata!", ADDRESS(INDEX($AI$2:$AI$1001,MATCH(ROWS($AG$2:AG372),$AG$2:$AG$1001,0),0), INDEX($AN$1004:$BO$1004,1,MATCH(COLUMNS($AN$1006:BL1006),$AN$1006:$BO$1006,0)))),"Fix")))</f>
        <v>0</v>
      </c>
      <c r="AA372" s="4">
        <f>IF(OR(INDEX($AH$2:$AH$1001,MATCH(ROWS($AG$2:AG372),$AG$2:$AG$1001,0),1)&gt;=100000,INDEX($AN$1005:$BO$1005,1,MATCH(COLUMNS($AN$1006:BM1006),$AN$1006:$BO$1006,0))&gt;=100000), " ",IF(INDEX($AN$2:$BO$1001,MATCH(ROWS($AG$2:AG372),$AG$2:$AG$1001,0),MATCH(COLUMNS($AN$1006:BM1006),$AN$1006:$BO$1006,0)), HYPERLINK("#",""), HYPERLINK(CONCATENATE("#Metadata!", ADDRESS(INDEX($AI$2:$AI$1001,MATCH(ROWS($AG$2:AG372),$AG$2:$AG$1001,0),0), INDEX($AN$1004:$BO$1004,1,MATCH(COLUMNS($AN$1006:BM1006),$AN$1006:$BO$1006,0)))),"Fix")))</f>
        <v>0</v>
      </c>
      <c r="AB372" s="4">
        <f>IF(OR(INDEX($AH$2:$AH$1001,MATCH(ROWS($AG$2:AG372),$AG$2:$AG$1001,0),1)&gt;=100000,INDEX($AN$1005:$BO$1005,1,MATCH(COLUMNS($AN$1006:BN1006),$AN$1006:$BO$1006,0))&gt;=100000), " ",IF(INDEX($AN$2:$BO$1001,MATCH(ROWS($AG$2:AG372),$AG$2:$AG$1001,0),MATCH(COLUMNS($AN$1006:BN1006),$AN$1006:$BO$1006,0)), HYPERLINK("#",""), HYPERLINK(CONCATENATE("#Metadata!", ADDRESS(INDEX($AI$2:$AI$1001,MATCH(ROWS($AG$2:AG372),$AG$2:$AG$1001,0),0), INDEX($AN$1004:$BO$1004,1,MATCH(COLUMNS($AN$1006:BN1006),$AN$1006:$BO$1006,0)))),"Fix")))</f>
        <v>0</v>
      </c>
      <c r="AC372" s="4">
        <f>IF(OR(INDEX($AH$2:$AH$1001,MATCH(ROWS($AG$2:AG372),$AG$2:$AG$1001,0),1)&gt;=100000,INDEX($AN$1005:$BO$1005,1,MATCH(COLUMNS($AN$1006:BO1006),$AN$1006:$BO$1006,0))&gt;=100000), " ",IF(INDEX($AN$2:$BO$1001,MATCH(ROWS($AG$2:AG372),$AG$2:$AG$1001,0),MATCH(COLUMNS($AN$1006:BO1006),$AN$1006:$BO$1006,0)), HYPERLINK("#",""), HYPERLINK(CONCATENATE("#Metadata!", ADDRESS(INDEX($AI$2:$AI$1001,MATCH(ROWS($AG$2:AG372),$AG$2:$AG$1001,0),0), INDEX($AN$1004:$BO$1004,1,MATCH(COLUMNS($AN$1006:BO1006),$AN$1006:$BO$1006,0)))),"Fix")))</f>
        <v>0</v>
      </c>
      <c r="AG372">
        <v>0</v>
      </c>
      <c r="AH372">
        <v>0</v>
      </c>
      <c r="AI372">
        <v>0</v>
      </c>
      <c r="AJ372">
        <f>IF(AK372,TRUE,AND(AN372:BO372))</f>
        <v>0</v>
      </c>
      <c r="AK372">
        <f>COUNTBLANK(Metadata!B372:AC372)=COLUMNS(Metadata!B372:AC372)</f>
        <v>0</v>
      </c>
      <c r="AL372">
        <v>0</v>
      </c>
      <c r="AN372">
        <f>AND(IF(Metadata!B372="",FALSE,TRUE),COUNTIF(Metadata!B:B, Metadata!B372) = 1,NOT(ISERROR(SUMPRODUCT(SEARCH(MID(Metadata!B372,ROW(INDIRECT("1:"&amp;LEN(Metadata!B372))), 1),"0123456789abcdefghijklmnopqrstuvwxyzABCDEFGHIJKLMNOPQRSTUVWXYZ.")))))</f>
        <v>0</v>
      </c>
      <c r="AO372">
        <f>IF(Metadata!C372="",FALSE,TRUE)</f>
        <v>0</v>
      </c>
      <c r="AP372">
        <f>IF(Metadata!D372="",FALSE,TRUE)</f>
        <v>0</v>
      </c>
      <c r="AQ372">
        <f>OR(AND(IF(Metadata!E372="",FALSE,TRUE),OR(exact(Metadata!E372,"not collected"),exact(Metadata!E372,"not provided"),exact(Metadata!E372,"restricted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R372">
        <f>IF(Metadata!F372="",FALSE,TRUE)</f>
        <v>0</v>
      </c>
      <c r="AS372">
        <f>OR(AND(IF(Metadata!G372="",FALSE,TRUE),OR(exact(Metadata!G372,"not collected"),exact(Metadata!G372,"not provided"))),AND(IF(Metadata!G372="",FALSE,TRUE),OR(exact(Metadata!G372,"TRUE"),exact(Metadata!G372,"FALSE"))))</f>
        <v>0</v>
      </c>
      <c r="AT372">
        <f>OR(AND(IF(Metadata!H372="",FALSE,TRUE),OR(exact(Metadata!H372,"not collected"),exact(Metadata!H372,"not provided"),exact(Metadata!H372,"restricted access"))),AND(IF(Metadata!H372="",FALSE,ISNUMBER(VALUE(Metadata!H372))),Metadata!H372&gt;=-413.0))</f>
        <v>0</v>
      </c>
      <c r="AU372">
        <f>AND(IF(Metadata!I372="",FALSE,TRUE),exact(Metadata!I372,"meters"))</f>
        <v>0</v>
      </c>
      <c r="AV372">
        <f>AND(IF(Metadata!J372="",FALSE,TRUE),OR(exact(Metadata!J372,"Host-associated"),exact(Metadata!J372,"Free-living")))</f>
        <v>0</v>
      </c>
      <c r="AW372">
        <f>AND(IF(Metadata!K372="",FALSE,TRUE),OR(exact(Metadata!K372,"Animal"),exact(Metadata!K372,"Fungus"),exact(Metadata!K372,"Plant"),exact(Metadata!K372,"Saline"),exact(Metadata!K372,"Non-saline")))</f>
        <v>0</v>
      </c>
      <c r="AX372">
        <f>AND(IF(Metadata!L372="",FALSE,TRUE),OR(exact(Metadata!L372,"Plant secretion"),exact(Metadata!L372,"Plant rhizosphere"),exact(Metadata!L372,"Plant surface"),exact(Metadata!L372,"Plant corpus"),exact(Metadata!L372,"Fungus surface"),exact(Metadata!L372,"Fungus corpus"),exact(Metadata!L372,"Animal surface"),exact(Metadata!L372,"Animal proximal gut"),exact(Metadata!L372,"Animal corpus"),exact(Metadata!L372,"Animal distal gut"),exact(Metadata!L372,"Animal secretion"),exact(Metadata!L372,"Sub-surface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Y372">
        <f>IF(Metadata!M372="",FALSE,TRUE)</f>
        <v>0</v>
      </c>
      <c r="AZ372">
        <f>IF(Metadata!N372="",FALSE,TRUE)</f>
        <v>0</v>
      </c>
      <c r="BA372">
        <f>IF(Metadata!O372="",FALSE,TRUE)</f>
        <v>0</v>
      </c>
      <c r="BB372">
        <f>OR(AND(IF(Metadata!P372="",FALSE,TRUE),OR(exact(Metadata!P372,"not collected"),exact(Metadata!P372,"not provided"),exact(Metadata!P372,"restricted access"))),AND(IF(Metadata!P372="",FALSE,TRUE),OR(exact(Metadata!P372,"air"),exact(Metadata!P372,"built environment"),exact(Metadata!P372,"host-associated"),exact(Metadata!P372,"human-associated"),exact(Metadata!P372,"human-skin"),exact(Metadata!P372,"human-oral"),exact(Metadata!P372,"human-gut"),exact(Metadata!P372,"human-vaginal"),exact(Metadata!P372,"microbial mat/biofilm"),exact(Metadata!P372,"misc environment"),exact(Metadata!P372,"plant-associated"),exact(Metadata!P372,"sediment"),exact(Metadata!P372,"soil"),exact(Metadata!P372,"wastewater/sludge"),exact(Metadata!P372,"water"))))</f>
        <v>0</v>
      </c>
      <c r="BC372">
        <f>IF(Metadata!Q372="",FALSE,TRUE)</f>
        <v>0</v>
      </c>
      <c r="BD372">
        <f>IF(Metadata!R372="",FALSE,TRUE)</f>
        <v>0</v>
      </c>
      <c r="BE372">
        <f>OR(AND(IF(Metadata!S372="",FALSE,TRUE),OR(exact(Metadata!S372,"not collected"),exact(Metadata!S372,"not provided"),exact(Metadata!S372,"restricted access"))),AND(IF(Metadata!S372="",FALSE,ISNUMBER(VALUE(Metadata!S372))),Metadata!S372&gt;=-90.00,Metadata!S372&lt;=90.00))</f>
        <v>0</v>
      </c>
      <c r="BF372">
        <f>AND(IF(Metadata!T372="",FALSE,TRUE),exact(Metadata!T372,"Decimal degrees"))</f>
        <v>0</v>
      </c>
      <c r="BG372">
        <f>OR(AND(IF(Metadata!U372="",FALSE,TRUE),OR(exact(Metadata!U372,"not collected"),exact(Metadata!U372,"not provided"),exact(Metadata!U372,"restricted access"))),AND(IF(Metadata!U372="",FALSE,ISNUMBER(VALUE(Metadata!U372))),Metadata!U372&gt;=-180.00,Metadata!U372&lt;=180.00))</f>
        <v>0</v>
      </c>
      <c r="BH372">
        <f>AND(IF(Metadata!V372="",FALSE,TRUE),exact(Metadata!V372,"Decimal degrees"))</f>
        <v>0</v>
      </c>
      <c r="BI372">
        <f>IF(Metadata!W372="",FALSE,TRUE)</f>
        <v>0</v>
      </c>
      <c r="BJ372">
        <f>OR(AND(IF(Metadata!X372="",FALSE,TRUE),OR(exact(Metadata!X372,"not collected"),exact(Metadata!X372,"not provided"),exact(Metadata!X372,"restricted access"))),AND(IF(Metadata!X372="",FALSE,TRUE),OR(exact(Metadata!X372,"TRUE"),exact(Metadata!X372,"FALSE"))))</f>
        <v>0</v>
      </c>
      <c r="BK372">
        <f>AND(IF(Metadata!Y372="",FALSE,TRUE),exact(Metadata!Y372,"other"))</f>
        <v>0</v>
      </c>
      <c r="BL372">
        <f>IF(Metadata!Z372="",FALSE,TRUE)</f>
        <v>0</v>
      </c>
      <c r="BM372">
        <f>OR(AND(IF(Metadata!AA372="",FALSE,TRUE),OR(exact(Metadata!AA372,"not collected"),exact(Metadata!AA372,"not provided"))),AND(IF(Metadata!AA372="",FALSE,IF(ISERROR(INT(Metadata!AA372)),FALSE,INT(Metadata!AA372)=Metadata!AA372)),Metadata!AA372&gt;0))</f>
        <v>0</v>
      </c>
      <c r="BN372">
        <f>AND(IF(Metadata!AB372="",FALSE,TRUE),exact(Metadata!AB372,"Not applicable"))</f>
        <v>0</v>
      </c>
      <c r="BO372">
        <f>IF(Metadata!AC372="",FALSE,TRUE)</f>
        <v>0</v>
      </c>
    </row>
    <row r="373" spans="1:67">
      <c r="A373" s="5">
        <f>IF(B373=" "," ",HYPERLINK(CONCATENATE("#metadata!",ADDRESS(INDEX($AI$2:$AI$1001,MATCH(ROWS($AG$2:AG373),$AG$2:$AG$1001,0),0),1)),INDEX($AL$2:$AL$1001,MATCH(ROWS($AG$2:AG373),$AG$2:$AG$1001,0),0)))</f>
        <v>0</v>
      </c>
      <c r="B373" s="4">
        <f>IF(OR(INDEX($AH$2:$AH$1001,MATCH(ROWS($AG$2:AG373),$AG$2:$AG$1001,0),1)&gt;=100000,INDEX($AN$1005:$BO$1005,1,MATCH(COLUMNS($AN$1006:AN1006),$AN$1006:$BO$1006,0))&gt;=100000), " ",IF(INDEX($AN$2:$BO$1001,MATCH(ROWS($AG$2:AG373),$AG$2:$AG$1001,0),MATCH(COLUMNS($AN$1006:AN1006),$AN$1006:$BO$1006,0)), HYPERLINK("#",""), HYPERLINK(CONCATENATE("#Metadata!", ADDRESS(INDEX($AI$2:$AI$1001,MATCH(ROWS($AG$2:AG373),$AG$2:$AG$1001,0),0), INDEX($AN$1004:$BO$1004,1,MATCH(COLUMNS($AN$1006:AN1006),$AN$1006:$BO$1006,0)))),"Fix")))</f>
        <v>0</v>
      </c>
      <c r="C373" s="4">
        <f>IF(OR(INDEX($AH$2:$AH$1001,MATCH(ROWS($AG$2:AG373),$AG$2:$AG$1001,0),1)&gt;=100000,INDEX($AN$1005:$BO$1005,1,MATCH(COLUMNS($AN$1006:AO1006),$AN$1006:$BO$1006,0))&gt;=100000), " ",IF(INDEX($AN$2:$BO$1001,MATCH(ROWS($AG$2:AG373),$AG$2:$AG$1001,0),MATCH(COLUMNS($AN$1006:AO1006),$AN$1006:$BO$1006,0)), HYPERLINK("#",""), HYPERLINK(CONCATENATE("#Metadata!", ADDRESS(INDEX($AI$2:$AI$1001,MATCH(ROWS($AG$2:AG373),$AG$2:$AG$1001,0),0), INDEX($AN$1004:$BO$1004,1,MATCH(COLUMNS($AN$1006:AO1006),$AN$1006:$BO$1006,0)))),"Fix")))</f>
        <v>0</v>
      </c>
      <c r="D373" s="4">
        <f>IF(OR(INDEX($AH$2:$AH$1001,MATCH(ROWS($AG$2:AG373),$AG$2:$AG$1001,0),1)&gt;=100000,INDEX($AN$1005:$BO$1005,1,MATCH(COLUMNS($AN$1006:AP1006),$AN$1006:$BO$1006,0))&gt;=100000), " ",IF(INDEX($AN$2:$BO$1001,MATCH(ROWS($AG$2:AG373),$AG$2:$AG$1001,0),MATCH(COLUMNS($AN$1006:AP1006),$AN$1006:$BO$1006,0)), HYPERLINK("#",""), HYPERLINK(CONCATENATE("#Metadata!", ADDRESS(INDEX($AI$2:$AI$1001,MATCH(ROWS($AG$2:AG373),$AG$2:$AG$1001,0),0), INDEX($AN$1004:$BO$1004,1,MATCH(COLUMNS($AN$1006:AP1006),$AN$1006:$BO$1006,0)))),"Fix")))</f>
        <v>0</v>
      </c>
      <c r="E373" s="4">
        <f>IF(OR(INDEX($AH$2:$AH$1001,MATCH(ROWS($AG$2:AG373),$AG$2:$AG$1001,0),1)&gt;=100000,INDEX($AN$1005:$BO$1005,1,MATCH(COLUMNS($AN$1006:AQ1006),$AN$1006:$BO$1006,0))&gt;=100000), " ",IF(INDEX($AN$2:$BO$1001,MATCH(ROWS($AG$2:AG373),$AG$2:$AG$1001,0),MATCH(COLUMNS($AN$1006:AQ1006),$AN$1006:$BO$1006,0)), HYPERLINK("#",""), HYPERLINK(CONCATENATE("#Metadata!", ADDRESS(INDEX($AI$2:$AI$1001,MATCH(ROWS($AG$2:AG373),$AG$2:$AG$1001,0),0), INDEX($AN$1004:$BO$1004,1,MATCH(COLUMNS($AN$1006:AQ1006),$AN$1006:$BO$1006,0)))),"Fix")))</f>
        <v>0</v>
      </c>
      <c r="F373" s="4">
        <f>IF(OR(INDEX($AH$2:$AH$1001,MATCH(ROWS($AG$2:AG373),$AG$2:$AG$1001,0),1)&gt;=100000,INDEX($AN$1005:$BO$1005,1,MATCH(COLUMNS($AN$1006:AR1006),$AN$1006:$BO$1006,0))&gt;=100000), " ",IF(INDEX($AN$2:$BO$1001,MATCH(ROWS($AG$2:AG373),$AG$2:$AG$1001,0),MATCH(COLUMNS($AN$1006:AR1006),$AN$1006:$BO$1006,0)), HYPERLINK("#",""), HYPERLINK(CONCATENATE("#Metadata!", ADDRESS(INDEX($AI$2:$AI$1001,MATCH(ROWS($AG$2:AG373),$AG$2:$AG$1001,0),0), INDEX($AN$1004:$BO$1004,1,MATCH(COLUMNS($AN$1006:AR1006),$AN$1006:$BO$1006,0)))),"Fix")))</f>
        <v>0</v>
      </c>
      <c r="G373" s="4">
        <f>IF(OR(INDEX($AH$2:$AH$1001,MATCH(ROWS($AG$2:AG373),$AG$2:$AG$1001,0),1)&gt;=100000,INDEX($AN$1005:$BO$1005,1,MATCH(COLUMNS($AN$1006:AS1006),$AN$1006:$BO$1006,0))&gt;=100000), " ",IF(INDEX($AN$2:$BO$1001,MATCH(ROWS($AG$2:AG373),$AG$2:$AG$1001,0),MATCH(COLUMNS($AN$1006:AS1006),$AN$1006:$BO$1006,0)), HYPERLINK("#",""), HYPERLINK(CONCATENATE("#Metadata!", ADDRESS(INDEX($AI$2:$AI$1001,MATCH(ROWS($AG$2:AG373),$AG$2:$AG$1001,0),0), INDEX($AN$1004:$BO$1004,1,MATCH(COLUMNS($AN$1006:AS1006),$AN$1006:$BO$1006,0)))),"Fix")))</f>
        <v>0</v>
      </c>
      <c r="H373" s="4">
        <f>IF(OR(INDEX($AH$2:$AH$1001,MATCH(ROWS($AG$2:AG373),$AG$2:$AG$1001,0),1)&gt;=100000,INDEX($AN$1005:$BO$1005,1,MATCH(COLUMNS($AN$1006:AT1006),$AN$1006:$BO$1006,0))&gt;=100000), " ",IF(INDEX($AN$2:$BO$1001,MATCH(ROWS($AG$2:AG373),$AG$2:$AG$1001,0),MATCH(COLUMNS($AN$1006:AT1006),$AN$1006:$BO$1006,0)), HYPERLINK("#",""), HYPERLINK(CONCATENATE("#Metadata!", ADDRESS(INDEX($AI$2:$AI$1001,MATCH(ROWS($AG$2:AG373),$AG$2:$AG$1001,0),0), INDEX($AN$1004:$BO$1004,1,MATCH(COLUMNS($AN$1006:AT1006),$AN$1006:$BO$1006,0)))),"Fix")))</f>
        <v>0</v>
      </c>
      <c r="I373" s="4">
        <f>IF(OR(INDEX($AH$2:$AH$1001,MATCH(ROWS($AG$2:AG373),$AG$2:$AG$1001,0),1)&gt;=100000,INDEX($AN$1005:$BO$1005,1,MATCH(COLUMNS($AN$1006:AU1006),$AN$1006:$BO$1006,0))&gt;=100000), " ",IF(INDEX($AN$2:$BO$1001,MATCH(ROWS($AG$2:AG373),$AG$2:$AG$1001,0),MATCH(COLUMNS($AN$1006:AU1006),$AN$1006:$BO$1006,0)), HYPERLINK("#",""), HYPERLINK(CONCATENATE("#Metadata!", ADDRESS(INDEX($AI$2:$AI$1001,MATCH(ROWS($AG$2:AG373),$AG$2:$AG$1001,0),0), INDEX($AN$1004:$BO$1004,1,MATCH(COLUMNS($AN$1006:AU1006),$AN$1006:$BO$1006,0)))),"Fix")))</f>
        <v>0</v>
      </c>
      <c r="J373" s="4">
        <f>IF(OR(INDEX($AH$2:$AH$1001,MATCH(ROWS($AG$2:AG373),$AG$2:$AG$1001,0),1)&gt;=100000,INDEX($AN$1005:$BO$1005,1,MATCH(COLUMNS($AN$1006:AV1006),$AN$1006:$BO$1006,0))&gt;=100000), " ",IF(INDEX($AN$2:$BO$1001,MATCH(ROWS($AG$2:AG373),$AG$2:$AG$1001,0),MATCH(COLUMNS($AN$1006:AV1006),$AN$1006:$BO$1006,0)), HYPERLINK("#",""), HYPERLINK(CONCATENATE("#Metadata!", ADDRESS(INDEX($AI$2:$AI$1001,MATCH(ROWS($AG$2:AG373),$AG$2:$AG$1001,0),0), INDEX($AN$1004:$BO$1004,1,MATCH(COLUMNS($AN$1006:AV1006),$AN$1006:$BO$1006,0)))),"Fix")))</f>
        <v>0</v>
      </c>
      <c r="K373" s="4">
        <f>IF(OR(INDEX($AH$2:$AH$1001,MATCH(ROWS($AG$2:AG373),$AG$2:$AG$1001,0),1)&gt;=100000,INDEX($AN$1005:$BO$1005,1,MATCH(COLUMNS($AN$1006:AW1006),$AN$1006:$BO$1006,0))&gt;=100000), " ",IF(INDEX($AN$2:$BO$1001,MATCH(ROWS($AG$2:AG373),$AG$2:$AG$1001,0),MATCH(COLUMNS($AN$1006:AW1006),$AN$1006:$BO$1006,0)), HYPERLINK("#",""), HYPERLINK(CONCATENATE("#Metadata!", ADDRESS(INDEX($AI$2:$AI$1001,MATCH(ROWS($AG$2:AG373),$AG$2:$AG$1001,0),0), INDEX($AN$1004:$BO$1004,1,MATCH(COLUMNS($AN$1006:AW1006),$AN$1006:$BO$1006,0)))),"Fix")))</f>
        <v>0</v>
      </c>
      <c r="L373" s="4">
        <f>IF(OR(INDEX($AH$2:$AH$1001,MATCH(ROWS($AG$2:AG373),$AG$2:$AG$1001,0),1)&gt;=100000,INDEX($AN$1005:$BO$1005,1,MATCH(COLUMNS($AN$1006:AX1006),$AN$1006:$BO$1006,0))&gt;=100000), " ",IF(INDEX($AN$2:$BO$1001,MATCH(ROWS($AG$2:AG373),$AG$2:$AG$1001,0),MATCH(COLUMNS($AN$1006:AX1006),$AN$1006:$BO$1006,0)), HYPERLINK("#",""), HYPERLINK(CONCATENATE("#Metadata!", ADDRESS(INDEX($AI$2:$AI$1001,MATCH(ROWS($AG$2:AG373),$AG$2:$AG$1001,0),0), INDEX($AN$1004:$BO$1004,1,MATCH(COLUMNS($AN$1006:AX1006),$AN$1006:$BO$1006,0)))),"Fix")))</f>
        <v>0</v>
      </c>
      <c r="M373" s="4">
        <f>IF(OR(INDEX($AH$2:$AH$1001,MATCH(ROWS($AG$2:AG373),$AG$2:$AG$1001,0),1)&gt;=100000,INDEX($AN$1005:$BO$1005,1,MATCH(COLUMNS($AN$1006:AY1006),$AN$1006:$BO$1006,0))&gt;=100000), " ",IF(INDEX($AN$2:$BO$1001,MATCH(ROWS($AG$2:AG373),$AG$2:$AG$1001,0),MATCH(COLUMNS($AN$1006:AY1006),$AN$1006:$BO$1006,0)), HYPERLINK("#",""), HYPERLINK(CONCATENATE("#Metadata!", ADDRESS(INDEX($AI$2:$AI$1001,MATCH(ROWS($AG$2:AG373),$AG$2:$AG$1001,0),0), INDEX($AN$1004:$BO$1004,1,MATCH(COLUMNS($AN$1006:AY1006),$AN$1006:$BO$1006,0)))),"Fix")))</f>
        <v>0</v>
      </c>
      <c r="N373" s="4">
        <f>IF(OR(INDEX($AH$2:$AH$1001,MATCH(ROWS($AG$2:AG373),$AG$2:$AG$1001,0),1)&gt;=100000,INDEX($AN$1005:$BO$1005,1,MATCH(COLUMNS($AN$1006:AZ1006),$AN$1006:$BO$1006,0))&gt;=100000), " ",IF(INDEX($AN$2:$BO$1001,MATCH(ROWS($AG$2:AG373),$AG$2:$AG$1001,0),MATCH(COLUMNS($AN$1006:AZ1006),$AN$1006:$BO$1006,0)), HYPERLINK("#",""), HYPERLINK(CONCATENATE("#Metadata!", ADDRESS(INDEX($AI$2:$AI$1001,MATCH(ROWS($AG$2:AG373),$AG$2:$AG$1001,0),0), INDEX($AN$1004:$BO$1004,1,MATCH(COLUMNS($AN$1006:AZ1006),$AN$1006:$BO$1006,0)))),"Fix")))</f>
        <v>0</v>
      </c>
      <c r="O373" s="4">
        <f>IF(OR(INDEX($AH$2:$AH$1001,MATCH(ROWS($AG$2:AG373),$AG$2:$AG$1001,0),1)&gt;=100000,INDEX($AN$1005:$BO$1005,1,MATCH(COLUMNS($AN$1006:BA1006),$AN$1006:$BO$1006,0))&gt;=100000), " ",IF(INDEX($AN$2:$BO$1001,MATCH(ROWS($AG$2:AG373),$AG$2:$AG$1001,0),MATCH(COLUMNS($AN$1006:BA1006),$AN$1006:$BO$1006,0)), HYPERLINK("#",""), HYPERLINK(CONCATENATE("#Metadata!", ADDRESS(INDEX($AI$2:$AI$1001,MATCH(ROWS($AG$2:AG373),$AG$2:$AG$1001,0),0), INDEX($AN$1004:$BO$1004,1,MATCH(COLUMNS($AN$1006:BA1006),$AN$1006:$BO$1006,0)))),"Fix")))</f>
        <v>0</v>
      </c>
      <c r="P373" s="4">
        <f>IF(OR(INDEX($AH$2:$AH$1001,MATCH(ROWS($AG$2:AG373),$AG$2:$AG$1001,0),1)&gt;=100000,INDEX($AN$1005:$BO$1005,1,MATCH(COLUMNS($AN$1006:BB1006),$AN$1006:$BO$1006,0))&gt;=100000), " ",IF(INDEX($AN$2:$BO$1001,MATCH(ROWS($AG$2:AG373),$AG$2:$AG$1001,0),MATCH(COLUMNS($AN$1006:BB1006),$AN$1006:$BO$1006,0)), HYPERLINK("#",""), HYPERLINK(CONCATENATE("#Metadata!", ADDRESS(INDEX($AI$2:$AI$1001,MATCH(ROWS($AG$2:AG373),$AG$2:$AG$1001,0),0), INDEX($AN$1004:$BO$1004,1,MATCH(COLUMNS($AN$1006:BB1006),$AN$1006:$BO$1006,0)))),"Fix")))</f>
        <v>0</v>
      </c>
      <c r="Q373" s="4">
        <f>IF(OR(INDEX($AH$2:$AH$1001,MATCH(ROWS($AG$2:AG373),$AG$2:$AG$1001,0),1)&gt;=100000,INDEX($AN$1005:$BO$1005,1,MATCH(COLUMNS($AN$1006:BC1006),$AN$1006:$BO$1006,0))&gt;=100000), " ",IF(INDEX($AN$2:$BO$1001,MATCH(ROWS($AG$2:AG373),$AG$2:$AG$1001,0),MATCH(COLUMNS($AN$1006:BC1006),$AN$1006:$BO$1006,0)), HYPERLINK("#",""), HYPERLINK(CONCATENATE("#Metadata!", ADDRESS(INDEX($AI$2:$AI$1001,MATCH(ROWS($AG$2:AG373),$AG$2:$AG$1001,0),0), INDEX($AN$1004:$BO$1004,1,MATCH(COLUMNS($AN$1006:BC1006),$AN$1006:$BO$1006,0)))),"Fix")))</f>
        <v>0</v>
      </c>
      <c r="R373" s="4">
        <f>IF(OR(INDEX($AH$2:$AH$1001,MATCH(ROWS($AG$2:AG373),$AG$2:$AG$1001,0),1)&gt;=100000,INDEX($AN$1005:$BO$1005,1,MATCH(COLUMNS($AN$1006:BD1006),$AN$1006:$BO$1006,0))&gt;=100000), " ",IF(INDEX($AN$2:$BO$1001,MATCH(ROWS($AG$2:AG373),$AG$2:$AG$1001,0),MATCH(COLUMNS($AN$1006:BD1006),$AN$1006:$BO$1006,0)), HYPERLINK("#",""), HYPERLINK(CONCATENATE("#Metadata!", ADDRESS(INDEX($AI$2:$AI$1001,MATCH(ROWS($AG$2:AG373),$AG$2:$AG$1001,0),0), INDEX($AN$1004:$BO$1004,1,MATCH(COLUMNS($AN$1006:BD1006),$AN$1006:$BO$1006,0)))),"Fix")))</f>
        <v>0</v>
      </c>
      <c r="S373" s="4">
        <f>IF(OR(INDEX($AH$2:$AH$1001,MATCH(ROWS($AG$2:AG373),$AG$2:$AG$1001,0),1)&gt;=100000,INDEX($AN$1005:$BO$1005,1,MATCH(COLUMNS($AN$1006:BE1006),$AN$1006:$BO$1006,0))&gt;=100000), " ",IF(INDEX($AN$2:$BO$1001,MATCH(ROWS($AG$2:AG373),$AG$2:$AG$1001,0),MATCH(COLUMNS($AN$1006:BE1006),$AN$1006:$BO$1006,0)), HYPERLINK("#",""), HYPERLINK(CONCATENATE("#Metadata!", ADDRESS(INDEX($AI$2:$AI$1001,MATCH(ROWS($AG$2:AG373),$AG$2:$AG$1001,0),0), INDEX($AN$1004:$BO$1004,1,MATCH(COLUMNS($AN$1006:BE1006),$AN$1006:$BO$1006,0)))),"Fix")))</f>
        <v>0</v>
      </c>
      <c r="T373" s="4">
        <f>IF(OR(INDEX($AH$2:$AH$1001,MATCH(ROWS($AG$2:AG373),$AG$2:$AG$1001,0),1)&gt;=100000,INDEX($AN$1005:$BO$1005,1,MATCH(COLUMNS($AN$1006:BF1006),$AN$1006:$BO$1006,0))&gt;=100000), " ",IF(INDEX($AN$2:$BO$1001,MATCH(ROWS($AG$2:AG373),$AG$2:$AG$1001,0),MATCH(COLUMNS($AN$1006:BF1006),$AN$1006:$BO$1006,0)), HYPERLINK("#",""), HYPERLINK(CONCATENATE("#Metadata!", ADDRESS(INDEX($AI$2:$AI$1001,MATCH(ROWS($AG$2:AG373),$AG$2:$AG$1001,0),0), INDEX($AN$1004:$BO$1004,1,MATCH(COLUMNS($AN$1006:BF1006),$AN$1006:$BO$1006,0)))),"Fix")))</f>
        <v>0</v>
      </c>
      <c r="U373" s="4">
        <f>IF(OR(INDEX($AH$2:$AH$1001,MATCH(ROWS($AG$2:AG373),$AG$2:$AG$1001,0),1)&gt;=100000,INDEX($AN$1005:$BO$1005,1,MATCH(COLUMNS($AN$1006:BG1006),$AN$1006:$BO$1006,0))&gt;=100000), " ",IF(INDEX($AN$2:$BO$1001,MATCH(ROWS($AG$2:AG373),$AG$2:$AG$1001,0),MATCH(COLUMNS($AN$1006:BG1006),$AN$1006:$BO$1006,0)), HYPERLINK("#",""), HYPERLINK(CONCATENATE("#Metadata!", ADDRESS(INDEX($AI$2:$AI$1001,MATCH(ROWS($AG$2:AG373),$AG$2:$AG$1001,0),0), INDEX($AN$1004:$BO$1004,1,MATCH(COLUMNS($AN$1006:BG1006),$AN$1006:$BO$1006,0)))),"Fix")))</f>
        <v>0</v>
      </c>
      <c r="V373" s="4">
        <f>IF(OR(INDEX($AH$2:$AH$1001,MATCH(ROWS($AG$2:AG373),$AG$2:$AG$1001,0),1)&gt;=100000,INDEX($AN$1005:$BO$1005,1,MATCH(COLUMNS($AN$1006:BH1006),$AN$1006:$BO$1006,0))&gt;=100000), " ",IF(INDEX($AN$2:$BO$1001,MATCH(ROWS($AG$2:AG373),$AG$2:$AG$1001,0),MATCH(COLUMNS($AN$1006:BH1006),$AN$1006:$BO$1006,0)), HYPERLINK("#",""), HYPERLINK(CONCATENATE("#Metadata!", ADDRESS(INDEX($AI$2:$AI$1001,MATCH(ROWS($AG$2:AG373),$AG$2:$AG$1001,0),0), INDEX($AN$1004:$BO$1004,1,MATCH(COLUMNS($AN$1006:BH1006),$AN$1006:$BO$1006,0)))),"Fix")))</f>
        <v>0</v>
      </c>
      <c r="W373" s="4">
        <f>IF(OR(INDEX($AH$2:$AH$1001,MATCH(ROWS($AG$2:AG373),$AG$2:$AG$1001,0),1)&gt;=100000,INDEX($AN$1005:$BO$1005,1,MATCH(COLUMNS($AN$1006:BI1006),$AN$1006:$BO$1006,0))&gt;=100000), " ",IF(INDEX($AN$2:$BO$1001,MATCH(ROWS($AG$2:AG373),$AG$2:$AG$1001,0),MATCH(COLUMNS($AN$1006:BI1006),$AN$1006:$BO$1006,0)), HYPERLINK("#",""), HYPERLINK(CONCATENATE("#Metadata!", ADDRESS(INDEX($AI$2:$AI$1001,MATCH(ROWS($AG$2:AG373),$AG$2:$AG$1001,0),0), INDEX($AN$1004:$BO$1004,1,MATCH(COLUMNS($AN$1006:BI1006),$AN$1006:$BO$1006,0)))),"Fix")))</f>
        <v>0</v>
      </c>
      <c r="X373" s="4">
        <f>IF(OR(INDEX($AH$2:$AH$1001,MATCH(ROWS($AG$2:AG373),$AG$2:$AG$1001,0),1)&gt;=100000,INDEX($AN$1005:$BO$1005,1,MATCH(COLUMNS($AN$1006:BJ1006),$AN$1006:$BO$1006,0))&gt;=100000), " ",IF(INDEX($AN$2:$BO$1001,MATCH(ROWS($AG$2:AG373),$AG$2:$AG$1001,0),MATCH(COLUMNS($AN$1006:BJ1006),$AN$1006:$BO$1006,0)), HYPERLINK("#",""), HYPERLINK(CONCATENATE("#Metadata!", ADDRESS(INDEX($AI$2:$AI$1001,MATCH(ROWS($AG$2:AG373),$AG$2:$AG$1001,0),0), INDEX($AN$1004:$BO$1004,1,MATCH(COLUMNS($AN$1006:BJ1006),$AN$1006:$BO$1006,0)))),"Fix")))</f>
        <v>0</v>
      </c>
      <c r="Y373" s="4">
        <f>IF(OR(INDEX($AH$2:$AH$1001,MATCH(ROWS($AG$2:AG373),$AG$2:$AG$1001,0),1)&gt;=100000,INDEX($AN$1005:$BO$1005,1,MATCH(COLUMNS($AN$1006:BK1006),$AN$1006:$BO$1006,0))&gt;=100000), " ",IF(INDEX($AN$2:$BO$1001,MATCH(ROWS($AG$2:AG373),$AG$2:$AG$1001,0),MATCH(COLUMNS($AN$1006:BK1006),$AN$1006:$BO$1006,0)), HYPERLINK("#",""), HYPERLINK(CONCATENATE("#Metadata!", ADDRESS(INDEX($AI$2:$AI$1001,MATCH(ROWS($AG$2:AG373),$AG$2:$AG$1001,0),0), INDEX($AN$1004:$BO$1004,1,MATCH(COLUMNS($AN$1006:BK1006),$AN$1006:$BO$1006,0)))),"Fix")))</f>
        <v>0</v>
      </c>
      <c r="Z373" s="4">
        <f>IF(OR(INDEX($AH$2:$AH$1001,MATCH(ROWS($AG$2:AG373),$AG$2:$AG$1001,0),1)&gt;=100000,INDEX($AN$1005:$BO$1005,1,MATCH(COLUMNS($AN$1006:BL1006),$AN$1006:$BO$1006,0))&gt;=100000), " ",IF(INDEX($AN$2:$BO$1001,MATCH(ROWS($AG$2:AG373),$AG$2:$AG$1001,0),MATCH(COLUMNS($AN$1006:BL1006),$AN$1006:$BO$1006,0)), HYPERLINK("#",""), HYPERLINK(CONCATENATE("#Metadata!", ADDRESS(INDEX($AI$2:$AI$1001,MATCH(ROWS($AG$2:AG373),$AG$2:$AG$1001,0),0), INDEX($AN$1004:$BO$1004,1,MATCH(COLUMNS($AN$1006:BL1006),$AN$1006:$BO$1006,0)))),"Fix")))</f>
        <v>0</v>
      </c>
      <c r="AA373" s="4">
        <f>IF(OR(INDEX($AH$2:$AH$1001,MATCH(ROWS($AG$2:AG373),$AG$2:$AG$1001,0),1)&gt;=100000,INDEX($AN$1005:$BO$1005,1,MATCH(COLUMNS($AN$1006:BM1006),$AN$1006:$BO$1006,0))&gt;=100000), " ",IF(INDEX($AN$2:$BO$1001,MATCH(ROWS($AG$2:AG373),$AG$2:$AG$1001,0),MATCH(COLUMNS($AN$1006:BM1006),$AN$1006:$BO$1006,0)), HYPERLINK("#",""), HYPERLINK(CONCATENATE("#Metadata!", ADDRESS(INDEX($AI$2:$AI$1001,MATCH(ROWS($AG$2:AG373),$AG$2:$AG$1001,0),0), INDEX($AN$1004:$BO$1004,1,MATCH(COLUMNS($AN$1006:BM1006),$AN$1006:$BO$1006,0)))),"Fix")))</f>
        <v>0</v>
      </c>
      <c r="AB373" s="4">
        <f>IF(OR(INDEX($AH$2:$AH$1001,MATCH(ROWS($AG$2:AG373),$AG$2:$AG$1001,0),1)&gt;=100000,INDEX($AN$1005:$BO$1005,1,MATCH(COLUMNS($AN$1006:BN1006),$AN$1006:$BO$1006,0))&gt;=100000), " ",IF(INDEX($AN$2:$BO$1001,MATCH(ROWS($AG$2:AG373),$AG$2:$AG$1001,0),MATCH(COLUMNS($AN$1006:BN1006),$AN$1006:$BO$1006,0)), HYPERLINK("#",""), HYPERLINK(CONCATENATE("#Metadata!", ADDRESS(INDEX($AI$2:$AI$1001,MATCH(ROWS($AG$2:AG373),$AG$2:$AG$1001,0),0), INDEX($AN$1004:$BO$1004,1,MATCH(COLUMNS($AN$1006:BN1006),$AN$1006:$BO$1006,0)))),"Fix")))</f>
        <v>0</v>
      </c>
      <c r="AC373" s="4">
        <f>IF(OR(INDEX($AH$2:$AH$1001,MATCH(ROWS($AG$2:AG373),$AG$2:$AG$1001,0),1)&gt;=100000,INDEX($AN$1005:$BO$1005,1,MATCH(COLUMNS($AN$1006:BO1006),$AN$1006:$BO$1006,0))&gt;=100000), " ",IF(INDEX($AN$2:$BO$1001,MATCH(ROWS($AG$2:AG373),$AG$2:$AG$1001,0),MATCH(COLUMNS($AN$1006:BO1006),$AN$1006:$BO$1006,0)), HYPERLINK("#",""), HYPERLINK(CONCATENATE("#Metadata!", ADDRESS(INDEX($AI$2:$AI$1001,MATCH(ROWS($AG$2:AG373),$AG$2:$AG$1001,0),0), INDEX($AN$1004:$BO$1004,1,MATCH(COLUMNS($AN$1006:BO1006),$AN$1006:$BO$1006,0)))),"Fix")))</f>
        <v>0</v>
      </c>
      <c r="AG373">
        <v>0</v>
      </c>
      <c r="AH373">
        <v>0</v>
      </c>
      <c r="AI373">
        <v>0</v>
      </c>
      <c r="AJ373">
        <f>IF(AK373,TRUE,AND(AN373:BO373))</f>
        <v>0</v>
      </c>
      <c r="AK373">
        <f>COUNTBLANK(Metadata!B373:AC373)=COLUMNS(Metadata!B373:AC373)</f>
        <v>0</v>
      </c>
      <c r="AL373">
        <v>0</v>
      </c>
      <c r="AN373">
        <f>AND(IF(Metadata!B373="",FALSE,TRUE),COUNTIF(Metadata!B:B, Metadata!B373) = 1,NOT(ISERROR(SUMPRODUCT(SEARCH(MID(Metadata!B373,ROW(INDIRECT("1:"&amp;LEN(Metadata!B373))), 1),"0123456789abcdefghijklmnopqrstuvwxyzABCDEFGHIJKLMNOPQRSTUVWXYZ.")))))</f>
        <v>0</v>
      </c>
      <c r="AO373">
        <f>IF(Metadata!C373="",FALSE,TRUE)</f>
        <v>0</v>
      </c>
      <c r="AP373">
        <f>IF(Metadata!D373="",FALSE,TRUE)</f>
        <v>0</v>
      </c>
      <c r="AQ373">
        <f>OR(AND(IF(Metadata!E373="",FALSE,TRUE),OR(exact(Metadata!E373,"not collected"),exact(Metadata!E373,"not provided"),exact(Metadata!E373,"restricted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R373">
        <f>IF(Metadata!F373="",FALSE,TRUE)</f>
        <v>0</v>
      </c>
      <c r="AS373">
        <f>OR(AND(IF(Metadata!G373="",FALSE,TRUE),OR(exact(Metadata!G373,"not collected"),exact(Metadata!G373,"not provided"))),AND(IF(Metadata!G373="",FALSE,TRUE),OR(exact(Metadata!G373,"TRUE"),exact(Metadata!G373,"FALSE"))))</f>
        <v>0</v>
      </c>
      <c r="AT373">
        <f>OR(AND(IF(Metadata!H373="",FALSE,TRUE),OR(exact(Metadata!H373,"not collected"),exact(Metadata!H373,"not provided"),exact(Metadata!H373,"restricted access"))),AND(IF(Metadata!H373="",FALSE,ISNUMBER(VALUE(Metadata!H373))),Metadata!H373&gt;=-413.0))</f>
        <v>0</v>
      </c>
      <c r="AU373">
        <f>AND(IF(Metadata!I373="",FALSE,TRUE),exact(Metadata!I373,"meters"))</f>
        <v>0</v>
      </c>
      <c r="AV373">
        <f>AND(IF(Metadata!J373="",FALSE,TRUE),OR(exact(Metadata!J373,"Host-associated"),exact(Metadata!J373,"Free-living")))</f>
        <v>0</v>
      </c>
      <c r="AW373">
        <f>AND(IF(Metadata!K373="",FALSE,TRUE),OR(exact(Metadata!K373,"Animal"),exact(Metadata!K373,"Fungus"),exact(Metadata!K373,"Plant"),exact(Metadata!K373,"Saline"),exact(Metadata!K373,"Non-saline")))</f>
        <v>0</v>
      </c>
      <c r="AX373">
        <f>AND(IF(Metadata!L373="",FALSE,TRUE),OR(exact(Metadata!L373,"Plant secretion"),exact(Metadata!L373,"Plant rhizosphere"),exact(Metadata!L373,"Plant surface"),exact(Metadata!L373,"Plant corpus"),exact(Metadata!L373,"Fungus surface"),exact(Metadata!L373,"Fungus corpus"),exact(Metadata!L373,"Animal surface"),exact(Metadata!L373,"Animal proximal gut"),exact(Metadata!L373,"Animal corpus"),exact(Metadata!L373,"Animal distal gut"),exact(Metadata!L373,"Animal secretion"),exact(Metadata!L373,"Sub-surface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Y373">
        <f>IF(Metadata!M373="",FALSE,TRUE)</f>
        <v>0</v>
      </c>
      <c r="AZ373">
        <f>IF(Metadata!N373="",FALSE,TRUE)</f>
        <v>0</v>
      </c>
      <c r="BA373">
        <f>IF(Metadata!O373="",FALSE,TRUE)</f>
        <v>0</v>
      </c>
      <c r="BB373">
        <f>OR(AND(IF(Metadata!P373="",FALSE,TRUE),OR(exact(Metadata!P373,"not collected"),exact(Metadata!P373,"not provided"),exact(Metadata!P373,"restricted access"))),AND(IF(Metadata!P373="",FALSE,TRUE),OR(exact(Metadata!P373,"air"),exact(Metadata!P373,"built environment"),exact(Metadata!P373,"host-associated"),exact(Metadata!P373,"human-associated"),exact(Metadata!P373,"human-skin"),exact(Metadata!P373,"human-oral"),exact(Metadata!P373,"human-gut"),exact(Metadata!P373,"human-vaginal"),exact(Metadata!P373,"microbial mat/biofilm"),exact(Metadata!P373,"misc environment"),exact(Metadata!P373,"plant-associated"),exact(Metadata!P373,"sediment"),exact(Metadata!P373,"soil"),exact(Metadata!P373,"wastewater/sludge"),exact(Metadata!P373,"water"))))</f>
        <v>0</v>
      </c>
      <c r="BC373">
        <f>IF(Metadata!Q373="",FALSE,TRUE)</f>
        <v>0</v>
      </c>
      <c r="BD373">
        <f>IF(Metadata!R373="",FALSE,TRUE)</f>
        <v>0</v>
      </c>
      <c r="BE373">
        <f>OR(AND(IF(Metadata!S373="",FALSE,TRUE),OR(exact(Metadata!S373,"not collected"),exact(Metadata!S373,"not provided"),exact(Metadata!S373,"restricted access"))),AND(IF(Metadata!S373="",FALSE,ISNUMBER(VALUE(Metadata!S373))),Metadata!S373&gt;=-90.00,Metadata!S373&lt;=90.00))</f>
        <v>0</v>
      </c>
      <c r="BF373">
        <f>AND(IF(Metadata!T373="",FALSE,TRUE),exact(Metadata!T373,"Decimal degrees"))</f>
        <v>0</v>
      </c>
      <c r="BG373">
        <f>OR(AND(IF(Metadata!U373="",FALSE,TRUE),OR(exact(Metadata!U373,"not collected"),exact(Metadata!U373,"not provided"),exact(Metadata!U373,"restricted access"))),AND(IF(Metadata!U373="",FALSE,ISNUMBER(VALUE(Metadata!U373))),Metadata!U373&gt;=-180.00,Metadata!U373&lt;=180.00))</f>
        <v>0</v>
      </c>
      <c r="BH373">
        <f>AND(IF(Metadata!V373="",FALSE,TRUE),exact(Metadata!V373,"Decimal degrees"))</f>
        <v>0</v>
      </c>
      <c r="BI373">
        <f>IF(Metadata!W373="",FALSE,TRUE)</f>
        <v>0</v>
      </c>
      <c r="BJ373">
        <f>OR(AND(IF(Metadata!X373="",FALSE,TRUE),OR(exact(Metadata!X373,"not collected"),exact(Metadata!X373,"not provided"),exact(Metadata!X373,"restricted access"))),AND(IF(Metadata!X373="",FALSE,TRUE),OR(exact(Metadata!X373,"TRUE"),exact(Metadata!X373,"FALSE"))))</f>
        <v>0</v>
      </c>
      <c r="BK373">
        <f>AND(IF(Metadata!Y373="",FALSE,TRUE),exact(Metadata!Y373,"other"))</f>
        <v>0</v>
      </c>
      <c r="BL373">
        <f>IF(Metadata!Z373="",FALSE,TRUE)</f>
        <v>0</v>
      </c>
      <c r="BM373">
        <f>OR(AND(IF(Metadata!AA373="",FALSE,TRUE),OR(exact(Metadata!AA373,"not collected"),exact(Metadata!AA373,"not provided"))),AND(IF(Metadata!AA373="",FALSE,IF(ISERROR(INT(Metadata!AA373)),FALSE,INT(Metadata!AA373)=Metadata!AA373)),Metadata!AA373&gt;0))</f>
        <v>0</v>
      </c>
      <c r="BN373">
        <f>AND(IF(Metadata!AB373="",FALSE,TRUE),exact(Metadata!AB373,"Not applicable"))</f>
        <v>0</v>
      </c>
      <c r="BO373">
        <f>IF(Metadata!AC373="",FALSE,TRUE)</f>
        <v>0</v>
      </c>
    </row>
    <row r="374" spans="1:67">
      <c r="A374" s="5">
        <f>IF(B374=" "," ",HYPERLINK(CONCATENATE("#metadata!",ADDRESS(INDEX($AI$2:$AI$1001,MATCH(ROWS($AG$2:AG374),$AG$2:$AG$1001,0),0),1)),INDEX($AL$2:$AL$1001,MATCH(ROWS($AG$2:AG374),$AG$2:$AG$1001,0),0)))</f>
        <v>0</v>
      </c>
      <c r="B374" s="4">
        <f>IF(OR(INDEX($AH$2:$AH$1001,MATCH(ROWS($AG$2:AG374),$AG$2:$AG$1001,0),1)&gt;=100000,INDEX($AN$1005:$BO$1005,1,MATCH(COLUMNS($AN$1006:AN1006),$AN$1006:$BO$1006,0))&gt;=100000), " ",IF(INDEX($AN$2:$BO$1001,MATCH(ROWS($AG$2:AG374),$AG$2:$AG$1001,0),MATCH(COLUMNS($AN$1006:AN1006),$AN$1006:$BO$1006,0)), HYPERLINK("#",""), HYPERLINK(CONCATENATE("#Metadata!", ADDRESS(INDEX($AI$2:$AI$1001,MATCH(ROWS($AG$2:AG374),$AG$2:$AG$1001,0),0), INDEX($AN$1004:$BO$1004,1,MATCH(COLUMNS($AN$1006:AN1006),$AN$1006:$BO$1006,0)))),"Fix")))</f>
        <v>0</v>
      </c>
      <c r="C374" s="4">
        <f>IF(OR(INDEX($AH$2:$AH$1001,MATCH(ROWS($AG$2:AG374),$AG$2:$AG$1001,0),1)&gt;=100000,INDEX($AN$1005:$BO$1005,1,MATCH(COLUMNS($AN$1006:AO1006),$AN$1006:$BO$1006,0))&gt;=100000), " ",IF(INDEX($AN$2:$BO$1001,MATCH(ROWS($AG$2:AG374),$AG$2:$AG$1001,0),MATCH(COLUMNS($AN$1006:AO1006),$AN$1006:$BO$1006,0)), HYPERLINK("#",""), HYPERLINK(CONCATENATE("#Metadata!", ADDRESS(INDEX($AI$2:$AI$1001,MATCH(ROWS($AG$2:AG374),$AG$2:$AG$1001,0),0), INDEX($AN$1004:$BO$1004,1,MATCH(COLUMNS($AN$1006:AO1006),$AN$1006:$BO$1006,0)))),"Fix")))</f>
        <v>0</v>
      </c>
      <c r="D374" s="4">
        <f>IF(OR(INDEX($AH$2:$AH$1001,MATCH(ROWS($AG$2:AG374),$AG$2:$AG$1001,0),1)&gt;=100000,INDEX($AN$1005:$BO$1005,1,MATCH(COLUMNS($AN$1006:AP1006),$AN$1006:$BO$1006,0))&gt;=100000), " ",IF(INDEX($AN$2:$BO$1001,MATCH(ROWS($AG$2:AG374),$AG$2:$AG$1001,0),MATCH(COLUMNS($AN$1006:AP1006),$AN$1006:$BO$1006,0)), HYPERLINK("#",""), HYPERLINK(CONCATENATE("#Metadata!", ADDRESS(INDEX($AI$2:$AI$1001,MATCH(ROWS($AG$2:AG374),$AG$2:$AG$1001,0),0), INDEX($AN$1004:$BO$1004,1,MATCH(COLUMNS($AN$1006:AP1006),$AN$1006:$BO$1006,0)))),"Fix")))</f>
        <v>0</v>
      </c>
      <c r="E374" s="4">
        <f>IF(OR(INDEX($AH$2:$AH$1001,MATCH(ROWS($AG$2:AG374),$AG$2:$AG$1001,0),1)&gt;=100000,INDEX($AN$1005:$BO$1005,1,MATCH(COLUMNS($AN$1006:AQ1006),$AN$1006:$BO$1006,0))&gt;=100000), " ",IF(INDEX($AN$2:$BO$1001,MATCH(ROWS($AG$2:AG374),$AG$2:$AG$1001,0),MATCH(COLUMNS($AN$1006:AQ1006),$AN$1006:$BO$1006,0)), HYPERLINK("#",""), HYPERLINK(CONCATENATE("#Metadata!", ADDRESS(INDEX($AI$2:$AI$1001,MATCH(ROWS($AG$2:AG374),$AG$2:$AG$1001,0),0), INDEX($AN$1004:$BO$1004,1,MATCH(COLUMNS($AN$1006:AQ1006),$AN$1006:$BO$1006,0)))),"Fix")))</f>
        <v>0</v>
      </c>
      <c r="F374" s="4">
        <f>IF(OR(INDEX($AH$2:$AH$1001,MATCH(ROWS($AG$2:AG374),$AG$2:$AG$1001,0),1)&gt;=100000,INDEX($AN$1005:$BO$1005,1,MATCH(COLUMNS($AN$1006:AR1006),$AN$1006:$BO$1006,0))&gt;=100000), " ",IF(INDEX($AN$2:$BO$1001,MATCH(ROWS($AG$2:AG374),$AG$2:$AG$1001,0),MATCH(COLUMNS($AN$1006:AR1006),$AN$1006:$BO$1006,0)), HYPERLINK("#",""), HYPERLINK(CONCATENATE("#Metadata!", ADDRESS(INDEX($AI$2:$AI$1001,MATCH(ROWS($AG$2:AG374),$AG$2:$AG$1001,0),0), INDEX($AN$1004:$BO$1004,1,MATCH(COLUMNS($AN$1006:AR1006),$AN$1006:$BO$1006,0)))),"Fix")))</f>
        <v>0</v>
      </c>
      <c r="G374" s="4">
        <f>IF(OR(INDEX($AH$2:$AH$1001,MATCH(ROWS($AG$2:AG374),$AG$2:$AG$1001,0),1)&gt;=100000,INDEX($AN$1005:$BO$1005,1,MATCH(COLUMNS($AN$1006:AS1006),$AN$1006:$BO$1006,0))&gt;=100000), " ",IF(INDEX($AN$2:$BO$1001,MATCH(ROWS($AG$2:AG374),$AG$2:$AG$1001,0),MATCH(COLUMNS($AN$1006:AS1006),$AN$1006:$BO$1006,0)), HYPERLINK("#",""), HYPERLINK(CONCATENATE("#Metadata!", ADDRESS(INDEX($AI$2:$AI$1001,MATCH(ROWS($AG$2:AG374),$AG$2:$AG$1001,0),0), INDEX($AN$1004:$BO$1004,1,MATCH(COLUMNS($AN$1006:AS1006),$AN$1006:$BO$1006,0)))),"Fix")))</f>
        <v>0</v>
      </c>
      <c r="H374" s="4">
        <f>IF(OR(INDEX($AH$2:$AH$1001,MATCH(ROWS($AG$2:AG374),$AG$2:$AG$1001,0),1)&gt;=100000,INDEX($AN$1005:$BO$1005,1,MATCH(COLUMNS($AN$1006:AT1006),$AN$1006:$BO$1006,0))&gt;=100000), " ",IF(INDEX($AN$2:$BO$1001,MATCH(ROWS($AG$2:AG374),$AG$2:$AG$1001,0),MATCH(COLUMNS($AN$1006:AT1006),$AN$1006:$BO$1006,0)), HYPERLINK("#",""), HYPERLINK(CONCATENATE("#Metadata!", ADDRESS(INDEX($AI$2:$AI$1001,MATCH(ROWS($AG$2:AG374),$AG$2:$AG$1001,0),0), INDEX($AN$1004:$BO$1004,1,MATCH(COLUMNS($AN$1006:AT1006),$AN$1006:$BO$1006,0)))),"Fix")))</f>
        <v>0</v>
      </c>
      <c r="I374" s="4">
        <f>IF(OR(INDEX($AH$2:$AH$1001,MATCH(ROWS($AG$2:AG374),$AG$2:$AG$1001,0),1)&gt;=100000,INDEX($AN$1005:$BO$1005,1,MATCH(COLUMNS($AN$1006:AU1006),$AN$1006:$BO$1006,0))&gt;=100000), " ",IF(INDEX($AN$2:$BO$1001,MATCH(ROWS($AG$2:AG374),$AG$2:$AG$1001,0),MATCH(COLUMNS($AN$1006:AU1006),$AN$1006:$BO$1006,0)), HYPERLINK("#",""), HYPERLINK(CONCATENATE("#Metadata!", ADDRESS(INDEX($AI$2:$AI$1001,MATCH(ROWS($AG$2:AG374),$AG$2:$AG$1001,0),0), INDEX($AN$1004:$BO$1004,1,MATCH(COLUMNS($AN$1006:AU1006),$AN$1006:$BO$1006,0)))),"Fix")))</f>
        <v>0</v>
      </c>
      <c r="J374" s="4">
        <f>IF(OR(INDEX($AH$2:$AH$1001,MATCH(ROWS($AG$2:AG374),$AG$2:$AG$1001,0),1)&gt;=100000,INDEX($AN$1005:$BO$1005,1,MATCH(COLUMNS($AN$1006:AV1006),$AN$1006:$BO$1006,0))&gt;=100000), " ",IF(INDEX($AN$2:$BO$1001,MATCH(ROWS($AG$2:AG374),$AG$2:$AG$1001,0),MATCH(COLUMNS($AN$1006:AV1006),$AN$1006:$BO$1006,0)), HYPERLINK("#",""), HYPERLINK(CONCATENATE("#Metadata!", ADDRESS(INDEX($AI$2:$AI$1001,MATCH(ROWS($AG$2:AG374),$AG$2:$AG$1001,0),0), INDEX($AN$1004:$BO$1004,1,MATCH(COLUMNS($AN$1006:AV1006),$AN$1006:$BO$1006,0)))),"Fix")))</f>
        <v>0</v>
      </c>
      <c r="K374" s="4">
        <f>IF(OR(INDEX($AH$2:$AH$1001,MATCH(ROWS($AG$2:AG374),$AG$2:$AG$1001,0),1)&gt;=100000,INDEX($AN$1005:$BO$1005,1,MATCH(COLUMNS($AN$1006:AW1006),$AN$1006:$BO$1006,0))&gt;=100000), " ",IF(INDEX($AN$2:$BO$1001,MATCH(ROWS($AG$2:AG374),$AG$2:$AG$1001,0),MATCH(COLUMNS($AN$1006:AW1006),$AN$1006:$BO$1006,0)), HYPERLINK("#",""), HYPERLINK(CONCATENATE("#Metadata!", ADDRESS(INDEX($AI$2:$AI$1001,MATCH(ROWS($AG$2:AG374),$AG$2:$AG$1001,0),0), INDEX($AN$1004:$BO$1004,1,MATCH(COLUMNS($AN$1006:AW1006),$AN$1006:$BO$1006,0)))),"Fix")))</f>
        <v>0</v>
      </c>
      <c r="L374" s="4">
        <f>IF(OR(INDEX($AH$2:$AH$1001,MATCH(ROWS($AG$2:AG374),$AG$2:$AG$1001,0),1)&gt;=100000,INDEX($AN$1005:$BO$1005,1,MATCH(COLUMNS($AN$1006:AX1006),$AN$1006:$BO$1006,0))&gt;=100000), " ",IF(INDEX($AN$2:$BO$1001,MATCH(ROWS($AG$2:AG374),$AG$2:$AG$1001,0),MATCH(COLUMNS($AN$1006:AX1006),$AN$1006:$BO$1006,0)), HYPERLINK("#",""), HYPERLINK(CONCATENATE("#Metadata!", ADDRESS(INDEX($AI$2:$AI$1001,MATCH(ROWS($AG$2:AG374),$AG$2:$AG$1001,0),0), INDEX($AN$1004:$BO$1004,1,MATCH(COLUMNS($AN$1006:AX1006),$AN$1006:$BO$1006,0)))),"Fix")))</f>
        <v>0</v>
      </c>
      <c r="M374" s="4">
        <f>IF(OR(INDEX($AH$2:$AH$1001,MATCH(ROWS($AG$2:AG374),$AG$2:$AG$1001,0),1)&gt;=100000,INDEX($AN$1005:$BO$1005,1,MATCH(COLUMNS($AN$1006:AY1006),$AN$1006:$BO$1006,0))&gt;=100000), " ",IF(INDEX($AN$2:$BO$1001,MATCH(ROWS($AG$2:AG374),$AG$2:$AG$1001,0),MATCH(COLUMNS($AN$1006:AY1006),$AN$1006:$BO$1006,0)), HYPERLINK("#",""), HYPERLINK(CONCATENATE("#Metadata!", ADDRESS(INDEX($AI$2:$AI$1001,MATCH(ROWS($AG$2:AG374),$AG$2:$AG$1001,0),0), INDEX($AN$1004:$BO$1004,1,MATCH(COLUMNS($AN$1006:AY1006),$AN$1006:$BO$1006,0)))),"Fix")))</f>
        <v>0</v>
      </c>
      <c r="N374" s="4">
        <f>IF(OR(INDEX($AH$2:$AH$1001,MATCH(ROWS($AG$2:AG374),$AG$2:$AG$1001,0),1)&gt;=100000,INDEX($AN$1005:$BO$1005,1,MATCH(COLUMNS($AN$1006:AZ1006),$AN$1006:$BO$1006,0))&gt;=100000), " ",IF(INDEX($AN$2:$BO$1001,MATCH(ROWS($AG$2:AG374),$AG$2:$AG$1001,0),MATCH(COLUMNS($AN$1006:AZ1006),$AN$1006:$BO$1006,0)), HYPERLINK("#",""), HYPERLINK(CONCATENATE("#Metadata!", ADDRESS(INDEX($AI$2:$AI$1001,MATCH(ROWS($AG$2:AG374),$AG$2:$AG$1001,0),0), INDEX($AN$1004:$BO$1004,1,MATCH(COLUMNS($AN$1006:AZ1006),$AN$1006:$BO$1006,0)))),"Fix")))</f>
        <v>0</v>
      </c>
      <c r="O374" s="4">
        <f>IF(OR(INDEX($AH$2:$AH$1001,MATCH(ROWS($AG$2:AG374),$AG$2:$AG$1001,0),1)&gt;=100000,INDEX($AN$1005:$BO$1005,1,MATCH(COLUMNS($AN$1006:BA1006),$AN$1006:$BO$1006,0))&gt;=100000), " ",IF(INDEX($AN$2:$BO$1001,MATCH(ROWS($AG$2:AG374),$AG$2:$AG$1001,0),MATCH(COLUMNS($AN$1006:BA1006),$AN$1006:$BO$1006,0)), HYPERLINK("#",""), HYPERLINK(CONCATENATE("#Metadata!", ADDRESS(INDEX($AI$2:$AI$1001,MATCH(ROWS($AG$2:AG374),$AG$2:$AG$1001,0),0), INDEX($AN$1004:$BO$1004,1,MATCH(COLUMNS($AN$1006:BA1006),$AN$1006:$BO$1006,0)))),"Fix")))</f>
        <v>0</v>
      </c>
      <c r="P374" s="4">
        <f>IF(OR(INDEX($AH$2:$AH$1001,MATCH(ROWS($AG$2:AG374),$AG$2:$AG$1001,0),1)&gt;=100000,INDEX($AN$1005:$BO$1005,1,MATCH(COLUMNS($AN$1006:BB1006),$AN$1006:$BO$1006,0))&gt;=100000), " ",IF(INDEX($AN$2:$BO$1001,MATCH(ROWS($AG$2:AG374),$AG$2:$AG$1001,0),MATCH(COLUMNS($AN$1006:BB1006),$AN$1006:$BO$1006,0)), HYPERLINK("#",""), HYPERLINK(CONCATENATE("#Metadata!", ADDRESS(INDEX($AI$2:$AI$1001,MATCH(ROWS($AG$2:AG374),$AG$2:$AG$1001,0),0), INDEX($AN$1004:$BO$1004,1,MATCH(COLUMNS($AN$1006:BB1006),$AN$1006:$BO$1006,0)))),"Fix")))</f>
        <v>0</v>
      </c>
      <c r="Q374" s="4">
        <f>IF(OR(INDEX($AH$2:$AH$1001,MATCH(ROWS($AG$2:AG374),$AG$2:$AG$1001,0),1)&gt;=100000,INDEX($AN$1005:$BO$1005,1,MATCH(COLUMNS($AN$1006:BC1006),$AN$1006:$BO$1006,0))&gt;=100000), " ",IF(INDEX($AN$2:$BO$1001,MATCH(ROWS($AG$2:AG374),$AG$2:$AG$1001,0),MATCH(COLUMNS($AN$1006:BC1006),$AN$1006:$BO$1006,0)), HYPERLINK("#",""), HYPERLINK(CONCATENATE("#Metadata!", ADDRESS(INDEX($AI$2:$AI$1001,MATCH(ROWS($AG$2:AG374),$AG$2:$AG$1001,0),0), INDEX($AN$1004:$BO$1004,1,MATCH(COLUMNS($AN$1006:BC1006),$AN$1006:$BO$1006,0)))),"Fix")))</f>
        <v>0</v>
      </c>
      <c r="R374" s="4">
        <f>IF(OR(INDEX($AH$2:$AH$1001,MATCH(ROWS($AG$2:AG374),$AG$2:$AG$1001,0),1)&gt;=100000,INDEX($AN$1005:$BO$1005,1,MATCH(COLUMNS($AN$1006:BD1006),$AN$1006:$BO$1006,0))&gt;=100000), " ",IF(INDEX($AN$2:$BO$1001,MATCH(ROWS($AG$2:AG374),$AG$2:$AG$1001,0),MATCH(COLUMNS($AN$1006:BD1006),$AN$1006:$BO$1006,0)), HYPERLINK("#",""), HYPERLINK(CONCATENATE("#Metadata!", ADDRESS(INDEX($AI$2:$AI$1001,MATCH(ROWS($AG$2:AG374),$AG$2:$AG$1001,0),0), INDEX($AN$1004:$BO$1004,1,MATCH(COLUMNS($AN$1006:BD1006),$AN$1006:$BO$1006,0)))),"Fix")))</f>
        <v>0</v>
      </c>
      <c r="S374" s="4">
        <f>IF(OR(INDEX($AH$2:$AH$1001,MATCH(ROWS($AG$2:AG374),$AG$2:$AG$1001,0),1)&gt;=100000,INDEX($AN$1005:$BO$1005,1,MATCH(COLUMNS($AN$1006:BE1006),$AN$1006:$BO$1006,0))&gt;=100000), " ",IF(INDEX($AN$2:$BO$1001,MATCH(ROWS($AG$2:AG374),$AG$2:$AG$1001,0),MATCH(COLUMNS($AN$1006:BE1006),$AN$1006:$BO$1006,0)), HYPERLINK("#",""), HYPERLINK(CONCATENATE("#Metadata!", ADDRESS(INDEX($AI$2:$AI$1001,MATCH(ROWS($AG$2:AG374),$AG$2:$AG$1001,0),0), INDEX($AN$1004:$BO$1004,1,MATCH(COLUMNS($AN$1006:BE1006),$AN$1006:$BO$1006,0)))),"Fix")))</f>
        <v>0</v>
      </c>
      <c r="T374" s="4">
        <f>IF(OR(INDEX($AH$2:$AH$1001,MATCH(ROWS($AG$2:AG374),$AG$2:$AG$1001,0),1)&gt;=100000,INDEX($AN$1005:$BO$1005,1,MATCH(COLUMNS($AN$1006:BF1006),$AN$1006:$BO$1006,0))&gt;=100000), " ",IF(INDEX($AN$2:$BO$1001,MATCH(ROWS($AG$2:AG374),$AG$2:$AG$1001,0),MATCH(COLUMNS($AN$1006:BF1006),$AN$1006:$BO$1006,0)), HYPERLINK("#",""), HYPERLINK(CONCATENATE("#Metadata!", ADDRESS(INDEX($AI$2:$AI$1001,MATCH(ROWS($AG$2:AG374),$AG$2:$AG$1001,0),0), INDEX($AN$1004:$BO$1004,1,MATCH(COLUMNS($AN$1006:BF1006),$AN$1006:$BO$1006,0)))),"Fix")))</f>
        <v>0</v>
      </c>
      <c r="U374" s="4">
        <f>IF(OR(INDEX($AH$2:$AH$1001,MATCH(ROWS($AG$2:AG374),$AG$2:$AG$1001,0),1)&gt;=100000,INDEX($AN$1005:$BO$1005,1,MATCH(COLUMNS($AN$1006:BG1006),$AN$1006:$BO$1006,0))&gt;=100000), " ",IF(INDEX($AN$2:$BO$1001,MATCH(ROWS($AG$2:AG374),$AG$2:$AG$1001,0),MATCH(COLUMNS($AN$1006:BG1006),$AN$1006:$BO$1006,0)), HYPERLINK("#",""), HYPERLINK(CONCATENATE("#Metadata!", ADDRESS(INDEX($AI$2:$AI$1001,MATCH(ROWS($AG$2:AG374),$AG$2:$AG$1001,0),0), INDEX($AN$1004:$BO$1004,1,MATCH(COLUMNS($AN$1006:BG1006),$AN$1006:$BO$1006,0)))),"Fix")))</f>
        <v>0</v>
      </c>
      <c r="V374" s="4">
        <f>IF(OR(INDEX($AH$2:$AH$1001,MATCH(ROWS($AG$2:AG374),$AG$2:$AG$1001,0),1)&gt;=100000,INDEX($AN$1005:$BO$1005,1,MATCH(COLUMNS($AN$1006:BH1006),$AN$1006:$BO$1006,0))&gt;=100000), " ",IF(INDEX($AN$2:$BO$1001,MATCH(ROWS($AG$2:AG374),$AG$2:$AG$1001,0),MATCH(COLUMNS($AN$1006:BH1006),$AN$1006:$BO$1006,0)), HYPERLINK("#",""), HYPERLINK(CONCATENATE("#Metadata!", ADDRESS(INDEX($AI$2:$AI$1001,MATCH(ROWS($AG$2:AG374),$AG$2:$AG$1001,0),0), INDEX($AN$1004:$BO$1004,1,MATCH(COLUMNS($AN$1006:BH1006),$AN$1006:$BO$1006,0)))),"Fix")))</f>
        <v>0</v>
      </c>
      <c r="W374" s="4">
        <f>IF(OR(INDEX($AH$2:$AH$1001,MATCH(ROWS($AG$2:AG374),$AG$2:$AG$1001,0),1)&gt;=100000,INDEX($AN$1005:$BO$1005,1,MATCH(COLUMNS($AN$1006:BI1006),$AN$1006:$BO$1006,0))&gt;=100000), " ",IF(INDEX($AN$2:$BO$1001,MATCH(ROWS($AG$2:AG374),$AG$2:$AG$1001,0),MATCH(COLUMNS($AN$1006:BI1006),$AN$1006:$BO$1006,0)), HYPERLINK("#",""), HYPERLINK(CONCATENATE("#Metadata!", ADDRESS(INDEX($AI$2:$AI$1001,MATCH(ROWS($AG$2:AG374),$AG$2:$AG$1001,0),0), INDEX($AN$1004:$BO$1004,1,MATCH(COLUMNS($AN$1006:BI1006),$AN$1006:$BO$1006,0)))),"Fix")))</f>
        <v>0</v>
      </c>
      <c r="X374" s="4">
        <f>IF(OR(INDEX($AH$2:$AH$1001,MATCH(ROWS($AG$2:AG374),$AG$2:$AG$1001,0),1)&gt;=100000,INDEX($AN$1005:$BO$1005,1,MATCH(COLUMNS($AN$1006:BJ1006),$AN$1006:$BO$1006,0))&gt;=100000), " ",IF(INDEX($AN$2:$BO$1001,MATCH(ROWS($AG$2:AG374),$AG$2:$AG$1001,0),MATCH(COLUMNS($AN$1006:BJ1006),$AN$1006:$BO$1006,0)), HYPERLINK("#",""), HYPERLINK(CONCATENATE("#Metadata!", ADDRESS(INDEX($AI$2:$AI$1001,MATCH(ROWS($AG$2:AG374),$AG$2:$AG$1001,0),0), INDEX($AN$1004:$BO$1004,1,MATCH(COLUMNS($AN$1006:BJ1006),$AN$1006:$BO$1006,0)))),"Fix")))</f>
        <v>0</v>
      </c>
      <c r="Y374" s="4">
        <f>IF(OR(INDEX($AH$2:$AH$1001,MATCH(ROWS($AG$2:AG374),$AG$2:$AG$1001,0),1)&gt;=100000,INDEX($AN$1005:$BO$1005,1,MATCH(COLUMNS($AN$1006:BK1006),$AN$1006:$BO$1006,0))&gt;=100000), " ",IF(INDEX($AN$2:$BO$1001,MATCH(ROWS($AG$2:AG374),$AG$2:$AG$1001,0),MATCH(COLUMNS($AN$1006:BK1006),$AN$1006:$BO$1006,0)), HYPERLINK("#",""), HYPERLINK(CONCATENATE("#Metadata!", ADDRESS(INDEX($AI$2:$AI$1001,MATCH(ROWS($AG$2:AG374),$AG$2:$AG$1001,0),0), INDEX($AN$1004:$BO$1004,1,MATCH(COLUMNS($AN$1006:BK1006),$AN$1006:$BO$1006,0)))),"Fix")))</f>
        <v>0</v>
      </c>
      <c r="Z374" s="4">
        <f>IF(OR(INDEX($AH$2:$AH$1001,MATCH(ROWS($AG$2:AG374),$AG$2:$AG$1001,0),1)&gt;=100000,INDEX($AN$1005:$BO$1005,1,MATCH(COLUMNS($AN$1006:BL1006),$AN$1006:$BO$1006,0))&gt;=100000), " ",IF(INDEX($AN$2:$BO$1001,MATCH(ROWS($AG$2:AG374),$AG$2:$AG$1001,0),MATCH(COLUMNS($AN$1006:BL1006),$AN$1006:$BO$1006,0)), HYPERLINK("#",""), HYPERLINK(CONCATENATE("#Metadata!", ADDRESS(INDEX($AI$2:$AI$1001,MATCH(ROWS($AG$2:AG374),$AG$2:$AG$1001,0),0), INDEX($AN$1004:$BO$1004,1,MATCH(COLUMNS($AN$1006:BL1006),$AN$1006:$BO$1006,0)))),"Fix")))</f>
        <v>0</v>
      </c>
      <c r="AA374" s="4">
        <f>IF(OR(INDEX($AH$2:$AH$1001,MATCH(ROWS($AG$2:AG374),$AG$2:$AG$1001,0),1)&gt;=100000,INDEX($AN$1005:$BO$1005,1,MATCH(COLUMNS($AN$1006:BM1006),$AN$1006:$BO$1006,0))&gt;=100000), " ",IF(INDEX($AN$2:$BO$1001,MATCH(ROWS($AG$2:AG374),$AG$2:$AG$1001,0),MATCH(COLUMNS($AN$1006:BM1006),$AN$1006:$BO$1006,0)), HYPERLINK("#",""), HYPERLINK(CONCATENATE("#Metadata!", ADDRESS(INDEX($AI$2:$AI$1001,MATCH(ROWS($AG$2:AG374),$AG$2:$AG$1001,0),0), INDEX($AN$1004:$BO$1004,1,MATCH(COLUMNS($AN$1006:BM1006),$AN$1006:$BO$1006,0)))),"Fix")))</f>
        <v>0</v>
      </c>
      <c r="AB374" s="4">
        <f>IF(OR(INDEX($AH$2:$AH$1001,MATCH(ROWS($AG$2:AG374),$AG$2:$AG$1001,0),1)&gt;=100000,INDEX($AN$1005:$BO$1005,1,MATCH(COLUMNS($AN$1006:BN1006),$AN$1006:$BO$1006,0))&gt;=100000), " ",IF(INDEX($AN$2:$BO$1001,MATCH(ROWS($AG$2:AG374),$AG$2:$AG$1001,0),MATCH(COLUMNS($AN$1006:BN1006),$AN$1006:$BO$1006,0)), HYPERLINK("#",""), HYPERLINK(CONCATENATE("#Metadata!", ADDRESS(INDEX($AI$2:$AI$1001,MATCH(ROWS($AG$2:AG374),$AG$2:$AG$1001,0),0), INDEX($AN$1004:$BO$1004,1,MATCH(COLUMNS($AN$1006:BN1006),$AN$1006:$BO$1006,0)))),"Fix")))</f>
        <v>0</v>
      </c>
      <c r="AC374" s="4">
        <f>IF(OR(INDEX($AH$2:$AH$1001,MATCH(ROWS($AG$2:AG374),$AG$2:$AG$1001,0),1)&gt;=100000,INDEX($AN$1005:$BO$1005,1,MATCH(COLUMNS($AN$1006:BO1006),$AN$1006:$BO$1006,0))&gt;=100000), " ",IF(INDEX($AN$2:$BO$1001,MATCH(ROWS($AG$2:AG374),$AG$2:$AG$1001,0),MATCH(COLUMNS($AN$1006:BO1006),$AN$1006:$BO$1006,0)), HYPERLINK("#",""), HYPERLINK(CONCATENATE("#Metadata!", ADDRESS(INDEX($AI$2:$AI$1001,MATCH(ROWS($AG$2:AG374),$AG$2:$AG$1001,0),0), INDEX($AN$1004:$BO$1004,1,MATCH(COLUMNS($AN$1006:BO1006),$AN$1006:$BO$1006,0)))),"Fix")))</f>
        <v>0</v>
      </c>
      <c r="AG374">
        <v>0</v>
      </c>
      <c r="AH374">
        <v>0</v>
      </c>
      <c r="AI374">
        <v>0</v>
      </c>
      <c r="AJ374">
        <f>IF(AK374,TRUE,AND(AN374:BO374))</f>
        <v>0</v>
      </c>
      <c r="AK374">
        <f>COUNTBLANK(Metadata!B374:AC374)=COLUMNS(Metadata!B374:AC374)</f>
        <v>0</v>
      </c>
      <c r="AL374">
        <v>0</v>
      </c>
      <c r="AN374">
        <f>AND(IF(Metadata!B374="",FALSE,TRUE),COUNTIF(Metadata!B:B, Metadata!B374) = 1,NOT(ISERROR(SUMPRODUCT(SEARCH(MID(Metadata!B374,ROW(INDIRECT("1:"&amp;LEN(Metadata!B374))), 1),"0123456789abcdefghijklmnopqrstuvwxyzABCDEFGHIJKLMNOPQRSTUVWXYZ.")))))</f>
        <v>0</v>
      </c>
      <c r="AO374">
        <f>IF(Metadata!C374="",FALSE,TRUE)</f>
        <v>0</v>
      </c>
      <c r="AP374">
        <f>IF(Metadata!D374="",FALSE,TRUE)</f>
        <v>0</v>
      </c>
      <c r="AQ374">
        <f>OR(AND(IF(Metadata!E374="",FALSE,TRUE),OR(exact(Metadata!E374,"not collected"),exact(Metadata!E374,"not provided"),exact(Metadata!E374,"restricted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R374">
        <f>IF(Metadata!F374="",FALSE,TRUE)</f>
        <v>0</v>
      </c>
      <c r="AS374">
        <f>OR(AND(IF(Metadata!G374="",FALSE,TRUE),OR(exact(Metadata!G374,"not collected"),exact(Metadata!G374,"not provided"))),AND(IF(Metadata!G374="",FALSE,TRUE),OR(exact(Metadata!G374,"TRUE"),exact(Metadata!G374,"FALSE"))))</f>
        <v>0</v>
      </c>
      <c r="AT374">
        <f>OR(AND(IF(Metadata!H374="",FALSE,TRUE),OR(exact(Metadata!H374,"not collected"),exact(Metadata!H374,"not provided"),exact(Metadata!H374,"restricted access"))),AND(IF(Metadata!H374="",FALSE,ISNUMBER(VALUE(Metadata!H374))),Metadata!H374&gt;=-413.0))</f>
        <v>0</v>
      </c>
      <c r="AU374">
        <f>AND(IF(Metadata!I374="",FALSE,TRUE),exact(Metadata!I374,"meters"))</f>
        <v>0</v>
      </c>
      <c r="AV374">
        <f>AND(IF(Metadata!J374="",FALSE,TRUE),OR(exact(Metadata!J374,"Host-associated"),exact(Metadata!J374,"Free-living")))</f>
        <v>0</v>
      </c>
      <c r="AW374">
        <f>AND(IF(Metadata!K374="",FALSE,TRUE),OR(exact(Metadata!K374,"Animal"),exact(Metadata!K374,"Fungus"),exact(Metadata!K374,"Plant"),exact(Metadata!K374,"Saline"),exact(Metadata!K374,"Non-saline")))</f>
        <v>0</v>
      </c>
      <c r="AX374">
        <f>AND(IF(Metadata!L374="",FALSE,TRUE),OR(exact(Metadata!L374,"Plant secretion"),exact(Metadata!L374,"Plant rhizosphere"),exact(Metadata!L374,"Plant surface"),exact(Metadata!L374,"Plant corpus"),exact(Metadata!L374,"Fungus surface"),exact(Metadata!L374,"Fungus corpus"),exact(Metadata!L374,"Animal surface"),exact(Metadata!L374,"Animal proximal gut"),exact(Metadata!L374,"Animal corpus"),exact(Metadata!L374,"Animal distal gut"),exact(Metadata!L374,"Animal secretion"),exact(Metadata!L374,"Sub-surface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Y374">
        <f>IF(Metadata!M374="",FALSE,TRUE)</f>
        <v>0</v>
      </c>
      <c r="AZ374">
        <f>IF(Metadata!N374="",FALSE,TRUE)</f>
        <v>0</v>
      </c>
      <c r="BA374">
        <f>IF(Metadata!O374="",FALSE,TRUE)</f>
        <v>0</v>
      </c>
      <c r="BB374">
        <f>OR(AND(IF(Metadata!P374="",FALSE,TRUE),OR(exact(Metadata!P374,"not collected"),exact(Metadata!P374,"not provided"),exact(Metadata!P374,"restricted access"))),AND(IF(Metadata!P374="",FALSE,TRUE),OR(exact(Metadata!P374,"air"),exact(Metadata!P374,"built environment"),exact(Metadata!P374,"host-associated"),exact(Metadata!P374,"human-associated"),exact(Metadata!P374,"human-skin"),exact(Metadata!P374,"human-oral"),exact(Metadata!P374,"human-gut"),exact(Metadata!P374,"human-vaginal"),exact(Metadata!P374,"microbial mat/biofilm"),exact(Metadata!P374,"misc environment"),exact(Metadata!P374,"plant-associated"),exact(Metadata!P374,"sediment"),exact(Metadata!P374,"soil"),exact(Metadata!P374,"wastewater/sludge"),exact(Metadata!P374,"water"))))</f>
        <v>0</v>
      </c>
      <c r="BC374">
        <f>IF(Metadata!Q374="",FALSE,TRUE)</f>
        <v>0</v>
      </c>
      <c r="BD374">
        <f>IF(Metadata!R374="",FALSE,TRUE)</f>
        <v>0</v>
      </c>
      <c r="BE374">
        <f>OR(AND(IF(Metadata!S374="",FALSE,TRUE),OR(exact(Metadata!S374,"not collected"),exact(Metadata!S374,"not provided"),exact(Metadata!S374,"restricted access"))),AND(IF(Metadata!S374="",FALSE,ISNUMBER(VALUE(Metadata!S374))),Metadata!S374&gt;=-90.00,Metadata!S374&lt;=90.00))</f>
        <v>0</v>
      </c>
      <c r="BF374">
        <f>AND(IF(Metadata!T374="",FALSE,TRUE),exact(Metadata!T374,"Decimal degrees"))</f>
        <v>0</v>
      </c>
      <c r="BG374">
        <f>OR(AND(IF(Metadata!U374="",FALSE,TRUE),OR(exact(Metadata!U374,"not collected"),exact(Metadata!U374,"not provided"),exact(Metadata!U374,"restricted access"))),AND(IF(Metadata!U374="",FALSE,ISNUMBER(VALUE(Metadata!U374))),Metadata!U374&gt;=-180.00,Metadata!U374&lt;=180.00))</f>
        <v>0</v>
      </c>
      <c r="BH374">
        <f>AND(IF(Metadata!V374="",FALSE,TRUE),exact(Metadata!V374,"Decimal degrees"))</f>
        <v>0</v>
      </c>
      <c r="BI374">
        <f>IF(Metadata!W374="",FALSE,TRUE)</f>
        <v>0</v>
      </c>
      <c r="BJ374">
        <f>OR(AND(IF(Metadata!X374="",FALSE,TRUE),OR(exact(Metadata!X374,"not collected"),exact(Metadata!X374,"not provided"),exact(Metadata!X374,"restricted access"))),AND(IF(Metadata!X374="",FALSE,TRUE),OR(exact(Metadata!X374,"TRUE"),exact(Metadata!X374,"FALSE"))))</f>
        <v>0</v>
      </c>
      <c r="BK374">
        <f>AND(IF(Metadata!Y374="",FALSE,TRUE),exact(Metadata!Y374,"other"))</f>
        <v>0</v>
      </c>
      <c r="BL374">
        <f>IF(Metadata!Z374="",FALSE,TRUE)</f>
        <v>0</v>
      </c>
      <c r="BM374">
        <f>OR(AND(IF(Metadata!AA374="",FALSE,TRUE),OR(exact(Metadata!AA374,"not collected"),exact(Metadata!AA374,"not provided"))),AND(IF(Metadata!AA374="",FALSE,IF(ISERROR(INT(Metadata!AA374)),FALSE,INT(Metadata!AA374)=Metadata!AA374)),Metadata!AA374&gt;0))</f>
        <v>0</v>
      </c>
      <c r="BN374">
        <f>AND(IF(Metadata!AB374="",FALSE,TRUE),exact(Metadata!AB374,"Not applicable"))</f>
        <v>0</v>
      </c>
      <c r="BO374">
        <f>IF(Metadata!AC374="",FALSE,TRUE)</f>
        <v>0</v>
      </c>
    </row>
    <row r="375" spans="1:67">
      <c r="A375" s="5">
        <f>IF(B375=" "," ",HYPERLINK(CONCATENATE("#metadata!",ADDRESS(INDEX($AI$2:$AI$1001,MATCH(ROWS($AG$2:AG375),$AG$2:$AG$1001,0),0),1)),INDEX($AL$2:$AL$1001,MATCH(ROWS($AG$2:AG375),$AG$2:$AG$1001,0),0)))</f>
        <v>0</v>
      </c>
      <c r="B375" s="4">
        <f>IF(OR(INDEX($AH$2:$AH$1001,MATCH(ROWS($AG$2:AG375),$AG$2:$AG$1001,0),1)&gt;=100000,INDEX($AN$1005:$BO$1005,1,MATCH(COLUMNS($AN$1006:AN1006),$AN$1006:$BO$1006,0))&gt;=100000), " ",IF(INDEX($AN$2:$BO$1001,MATCH(ROWS($AG$2:AG375),$AG$2:$AG$1001,0),MATCH(COLUMNS($AN$1006:AN1006),$AN$1006:$BO$1006,0)), HYPERLINK("#",""), HYPERLINK(CONCATENATE("#Metadata!", ADDRESS(INDEX($AI$2:$AI$1001,MATCH(ROWS($AG$2:AG375),$AG$2:$AG$1001,0),0), INDEX($AN$1004:$BO$1004,1,MATCH(COLUMNS($AN$1006:AN1006),$AN$1006:$BO$1006,0)))),"Fix")))</f>
        <v>0</v>
      </c>
      <c r="C375" s="4">
        <f>IF(OR(INDEX($AH$2:$AH$1001,MATCH(ROWS($AG$2:AG375),$AG$2:$AG$1001,0),1)&gt;=100000,INDEX($AN$1005:$BO$1005,1,MATCH(COLUMNS($AN$1006:AO1006),$AN$1006:$BO$1006,0))&gt;=100000), " ",IF(INDEX($AN$2:$BO$1001,MATCH(ROWS($AG$2:AG375),$AG$2:$AG$1001,0),MATCH(COLUMNS($AN$1006:AO1006),$AN$1006:$BO$1006,0)), HYPERLINK("#",""), HYPERLINK(CONCATENATE("#Metadata!", ADDRESS(INDEX($AI$2:$AI$1001,MATCH(ROWS($AG$2:AG375),$AG$2:$AG$1001,0),0), INDEX($AN$1004:$BO$1004,1,MATCH(COLUMNS($AN$1006:AO1006),$AN$1006:$BO$1006,0)))),"Fix")))</f>
        <v>0</v>
      </c>
      <c r="D375" s="4">
        <f>IF(OR(INDEX($AH$2:$AH$1001,MATCH(ROWS($AG$2:AG375),$AG$2:$AG$1001,0),1)&gt;=100000,INDEX($AN$1005:$BO$1005,1,MATCH(COLUMNS($AN$1006:AP1006),$AN$1006:$BO$1006,0))&gt;=100000), " ",IF(INDEX($AN$2:$BO$1001,MATCH(ROWS($AG$2:AG375),$AG$2:$AG$1001,0),MATCH(COLUMNS($AN$1006:AP1006),$AN$1006:$BO$1006,0)), HYPERLINK("#",""), HYPERLINK(CONCATENATE("#Metadata!", ADDRESS(INDEX($AI$2:$AI$1001,MATCH(ROWS($AG$2:AG375),$AG$2:$AG$1001,0),0), INDEX($AN$1004:$BO$1004,1,MATCH(COLUMNS($AN$1006:AP1006),$AN$1006:$BO$1006,0)))),"Fix")))</f>
        <v>0</v>
      </c>
      <c r="E375" s="4">
        <f>IF(OR(INDEX($AH$2:$AH$1001,MATCH(ROWS($AG$2:AG375),$AG$2:$AG$1001,0),1)&gt;=100000,INDEX($AN$1005:$BO$1005,1,MATCH(COLUMNS($AN$1006:AQ1006),$AN$1006:$BO$1006,0))&gt;=100000), " ",IF(INDEX($AN$2:$BO$1001,MATCH(ROWS($AG$2:AG375),$AG$2:$AG$1001,0),MATCH(COLUMNS($AN$1006:AQ1006),$AN$1006:$BO$1006,0)), HYPERLINK("#",""), HYPERLINK(CONCATENATE("#Metadata!", ADDRESS(INDEX($AI$2:$AI$1001,MATCH(ROWS($AG$2:AG375),$AG$2:$AG$1001,0),0), INDEX($AN$1004:$BO$1004,1,MATCH(COLUMNS($AN$1006:AQ1006),$AN$1006:$BO$1006,0)))),"Fix")))</f>
        <v>0</v>
      </c>
      <c r="F375" s="4">
        <f>IF(OR(INDEX($AH$2:$AH$1001,MATCH(ROWS($AG$2:AG375),$AG$2:$AG$1001,0),1)&gt;=100000,INDEX($AN$1005:$BO$1005,1,MATCH(COLUMNS($AN$1006:AR1006),$AN$1006:$BO$1006,0))&gt;=100000), " ",IF(INDEX($AN$2:$BO$1001,MATCH(ROWS($AG$2:AG375),$AG$2:$AG$1001,0),MATCH(COLUMNS($AN$1006:AR1006),$AN$1006:$BO$1006,0)), HYPERLINK("#",""), HYPERLINK(CONCATENATE("#Metadata!", ADDRESS(INDEX($AI$2:$AI$1001,MATCH(ROWS($AG$2:AG375),$AG$2:$AG$1001,0),0), INDEX($AN$1004:$BO$1004,1,MATCH(COLUMNS($AN$1006:AR1006),$AN$1006:$BO$1006,0)))),"Fix")))</f>
        <v>0</v>
      </c>
      <c r="G375" s="4">
        <f>IF(OR(INDEX($AH$2:$AH$1001,MATCH(ROWS($AG$2:AG375),$AG$2:$AG$1001,0),1)&gt;=100000,INDEX($AN$1005:$BO$1005,1,MATCH(COLUMNS($AN$1006:AS1006),$AN$1006:$BO$1006,0))&gt;=100000), " ",IF(INDEX($AN$2:$BO$1001,MATCH(ROWS($AG$2:AG375),$AG$2:$AG$1001,0),MATCH(COLUMNS($AN$1006:AS1006),$AN$1006:$BO$1006,0)), HYPERLINK("#",""), HYPERLINK(CONCATENATE("#Metadata!", ADDRESS(INDEX($AI$2:$AI$1001,MATCH(ROWS($AG$2:AG375),$AG$2:$AG$1001,0),0), INDEX($AN$1004:$BO$1004,1,MATCH(COLUMNS($AN$1006:AS1006),$AN$1006:$BO$1006,0)))),"Fix")))</f>
        <v>0</v>
      </c>
      <c r="H375" s="4">
        <f>IF(OR(INDEX($AH$2:$AH$1001,MATCH(ROWS($AG$2:AG375),$AG$2:$AG$1001,0),1)&gt;=100000,INDEX($AN$1005:$BO$1005,1,MATCH(COLUMNS($AN$1006:AT1006),$AN$1006:$BO$1006,0))&gt;=100000), " ",IF(INDEX($AN$2:$BO$1001,MATCH(ROWS($AG$2:AG375),$AG$2:$AG$1001,0),MATCH(COLUMNS($AN$1006:AT1006),$AN$1006:$BO$1006,0)), HYPERLINK("#",""), HYPERLINK(CONCATENATE("#Metadata!", ADDRESS(INDEX($AI$2:$AI$1001,MATCH(ROWS($AG$2:AG375),$AG$2:$AG$1001,0),0), INDEX($AN$1004:$BO$1004,1,MATCH(COLUMNS($AN$1006:AT1006),$AN$1006:$BO$1006,0)))),"Fix")))</f>
        <v>0</v>
      </c>
      <c r="I375" s="4">
        <f>IF(OR(INDEX($AH$2:$AH$1001,MATCH(ROWS($AG$2:AG375),$AG$2:$AG$1001,0),1)&gt;=100000,INDEX($AN$1005:$BO$1005,1,MATCH(COLUMNS($AN$1006:AU1006),$AN$1006:$BO$1006,0))&gt;=100000), " ",IF(INDEX($AN$2:$BO$1001,MATCH(ROWS($AG$2:AG375),$AG$2:$AG$1001,0),MATCH(COLUMNS($AN$1006:AU1006),$AN$1006:$BO$1006,0)), HYPERLINK("#",""), HYPERLINK(CONCATENATE("#Metadata!", ADDRESS(INDEX($AI$2:$AI$1001,MATCH(ROWS($AG$2:AG375),$AG$2:$AG$1001,0),0), INDEX($AN$1004:$BO$1004,1,MATCH(COLUMNS($AN$1006:AU1006),$AN$1006:$BO$1006,0)))),"Fix")))</f>
        <v>0</v>
      </c>
      <c r="J375" s="4">
        <f>IF(OR(INDEX($AH$2:$AH$1001,MATCH(ROWS($AG$2:AG375),$AG$2:$AG$1001,0),1)&gt;=100000,INDEX($AN$1005:$BO$1005,1,MATCH(COLUMNS($AN$1006:AV1006),$AN$1006:$BO$1006,0))&gt;=100000), " ",IF(INDEX($AN$2:$BO$1001,MATCH(ROWS($AG$2:AG375),$AG$2:$AG$1001,0),MATCH(COLUMNS($AN$1006:AV1006),$AN$1006:$BO$1006,0)), HYPERLINK("#",""), HYPERLINK(CONCATENATE("#Metadata!", ADDRESS(INDEX($AI$2:$AI$1001,MATCH(ROWS($AG$2:AG375),$AG$2:$AG$1001,0),0), INDEX($AN$1004:$BO$1004,1,MATCH(COLUMNS($AN$1006:AV1006),$AN$1006:$BO$1006,0)))),"Fix")))</f>
        <v>0</v>
      </c>
      <c r="K375" s="4">
        <f>IF(OR(INDEX($AH$2:$AH$1001,MATCH(ROWS($AG$2:AG375),$AG$2:$AG$1001,0),1)&gt;=100000,INDEX($AN$1005:$BO$1005,1,MATCH(COLUMNS($AN$1006:AW1006),$AN$1006:$BO$1006,0))&gt;=100000), " ",IF(INDEX($AN$2:$BO$1001,MATCH(ROWS($AG$2:AG375),$AG$2:$AG$1001,0),MATCH(COLUMNS($AN$1006:AW1006),$AN$1006:$BO$1006,0)), HYPERLINK("#",""), HYPERLINK(CONCATENATE("#Metadata!", ADDRESS(INDEX($AI$2:$AI$1001,MATCH(ROWS($AG$2:AG375),$AG$2:$AG$1001,0),0), INDEX($AN$1004:$BO$1004,1,MATCH(COLUMNS($AN$1006:AW1006),$AN$1006:$BO$1006,0)))),"Fix")))</f>
        <v>0</v>
      </c>
      <c r="L375" s="4">
        <f>IF(OR(INDEX($AH$2:$AH$1001,MATCH(ROWS($AG$2:AG375),$AG$2:$AG$1001,0),1)&gt;=100000,INDEX($AN$1005:$BO$1005,1,MATCH(COLUMNS($AN$1006:AX1006),$AN$1006:$BO$1006,0))&gt;=100000), " ",IF(INDEX($AN$2:$BO$1001,MATCH(ROWS($AG$2:AG375),$AG$2:$AG$1001,0),MATCH(COLUMNS($AN$1006:AX1006),$AN$1006:$BO$1006,0)), HYPERLINK("#",""), HYPERLINK(CONCATENATE("#Metadata!", ADDRESS(INDEX($AI$2:$AI$1001,MATCH(ROWS($AG$2:AG375),$AG$2:$AG$1001,0),0), INDEX($AN$1004:$BO$1004,1,MATCH(COLUMNS($AN$1006:AX1006),$AN$1006:$BO$1006,0)))),"Fix")))</f>
        <v>0</v>
      </c>
      <c r="M375" s="4">
        <f>IF(OR(INDEX($AH$2:$AH$1001,MATCH(ROWS($AG$2:AG375),$AG$2:$AG$1001,0),1)&gt;=100000,INDEX($AN$1005:$BO$1005,1,MATCH(COLUMNS($AN$1006:AY1006),$AN$1006:$BO$1006,0))&gt;=100000), " ",IF(INDEX($AN$2:$BO$1001,MATCH(ROWS($AG$2:AG375),$AG$2:$AG$1001,0),MATCH(COLUMNS($AN$1006:AY1006),$AN$1006:$BO$1006,0)), HYPERLINK("#",""), HYPERLINK(CONCATENATE("#Metadata!", ADDRESS(INDEX($AI$2:$AI$1001,MATCH(ROWS($AG$2:AG375),$AG$2:$AG$1001,0),0), INDEX($AN$1004:$BO$1004,1,MATCH(COLUMNS($AN$1006:AY1006),$AN$1006:$BO$1006,0)))),"Fix")))</f>
        <v>0</v>
      </c>
      <c r="N375" s="4">
        <f>IF(OR(INDEX($AH$2:$AH$1001,MATCH(ROWS($AG$2:AG375),$AG$2:$AG$1001,0),1)&gt;=100000,INDEX($AN$1005:$BO$1005,1,MATCH(COLUMNS($AN$1006:AZ1006),$AN$1006:$BO$1006,0))&gt;=100000), " ",IF(INDEX($AN$2:$BO$1001,MATCH(ROWS($AG$2:AG375),$AG$2:$AG$1001,0),MATCH(COLUMNS($AN$1006:AZ1006),$AN$1006:$BO$1006,0)), HYPERLINK("#",""), HYPERLINK(CONCATENATE("#Metadata!", ADDRESS(INDEX($AI$2:$AI$1001,MATCH(ROWS($AG$2:AG375),$AG$2:$AG$1001,0),0), INDEX($AN$1004:$BO$1004,1,MATCH(COLUMNS($AN$1006:AZ1006),$AN$1006:$BO$1006,0)))),"Fix")))</f>
        <v>0</v>
      </c>
      <c r="O375" s="4">
        <f>IF(OR(INDEX($AH$2:$AH$1001,MATCH(ROWS($AG$2:AG375),$AG$2:$AG$1001,0),1)&gt;=100000,INDEX($AN$1005:$BO$1005,1,MATCH(COLUMNS($AN$1006:BA1006),$AN$1006:$BO$1006,0))&gt;=100000), " ",IF(INDEX($AN$2:$BO$1001,MATCH(ROWS($AG$2:AG375),$AG$2:$AG$1001,0),MATCH(COLUMNS($AN$1006:BA1006),$AN$1006:$BO$1006,0)), HYPERLINK("#",""), HYPERLINK(CONCATENATE("#Metadata!", ADDRESS(INDEX($AI$2:$AI$1001,MATCH(ROWS($AG$2:AG375),$AG$2:$AG$1001,0),0), INDEX($AN$1004:$BO$1004,1,MATCH(COLUMNS($AN$1006:BA1006),$AN$1006:$BO$1006,0)))),"Fix")))</f>
        <v>0</v>
      </c>
      <c r="P375" s="4">
        <f>IF(OR(INDEX($AH$2:$AH$1001,MATCH(ROWS($AG$2:AG375),$AG$2:$AG$1001,0),1)&gt;=100000,INDEX($AN$1005:$BO$1005,1,MATCH(COLUMNS($AN$1006:BB1006),$AN$1006:$BO$1006,0))&gt;=100000), " ",IF(INDEX($AN$2:$BO$1001,MATCH(ROWS($AG$2:AG375),$AG$2:$AG$1001,0),MATCH(COLUMNS($AN$1006:BB1006),$AN$1006:$BO$1006,0)), HYPERLINK("#",""), HYPERLINK(CONCATENATE("#Metadata!", ADDRESS(INDEX($AI$2:$AI$1001,MATCH(ROWS($AG$2:AG375),$AG$2:$AG$1001,0),0), INDEX($AN$1004:$BO$1004,1,MATCH(COLUMNS($AN$1006:BB1006),$AN$1006:$BO$1006,0)))),"Fix")))</f>
        <v>0</v>
      </c>
      <c r="Q375" s="4">
        <f>IF(OR(INDEX($AH$2:$AH$1001,MATCH(ROWS($AG$2:AG375),$AG$2:$AG$1001,0),1)&gt;=100000,INDEX($AN$1005:$BO$1005,1,MATCH(COLUMNS($AN$1006:BC1006),$AN$1006:$BO$1006,0))&gt;=100000), " ",IF(INDEX($AN$2:$BO$1001,MATCH(ROWS($AG$2:AG375),$AG$2:$AG$1001,0),MATCH(COLUMNS($AN$1006:BC1006),$AN$1006:$BO$1006,0)), HYPERLINK("#",""), HYPERLINK(CONCATENATE("#Metadata!", ADDRESS(INDEX($AI$2:$AI$1001,MATCH(ROWS($AG$2:AG375),$AG$2:$AG$1001,0),0), INDEX($AN$1004:$BO$1004,1,MATCH(COLUMNS($AN$1006:BC1006),$AN$1006:$BO$1006,0)))),"Fix")))</f>
        <v>0</v>
      </c>
      <c r="R375" s="4">
        <f>IF(OR(INDEX($AH$2:$AH$1001,MATCH(ROWS($AG$2:AG375),$AG$2:$AG$1001,0),1)&gt;=100000,INDEX($AN$1005:$BO$1005,1,MATCH(COLUMNS($AN$1006:BD1006),$AN$1006:$BO$1006,0))&gt;=100000), " ",IF(INDEX($AN$2:$BO$1001,MATCH(ROWS($AG$2:AG375),$AG$2:$AG$1001,0),MATCH(COLUMNS($AN$1006:BD1006),$AN$1006:$BO$1006,0)), HYPERLINK("#",""), HYPERLINK(CONCATENATE("#Metadata!", ADDRESS(INDEX($AI$2:$AI$1001,MATCH(ROWS($AG$2:AG375),$AG$2:$AG$1001,0),0), INDEX($AN$1004:$BO$1004,1,MATCH(COLUMNS($AN$1006:BD1006),$AN$1006:$BO$1006,0)))),"Fix")))</f>
        <v>0</v>
      </c>
      <c r="S375" s="4">
        <f>IF(OR(INDEX($AH$2:$AH$1001,MATCH(ROWS($AG$2:AG375),$AG$2:$AG$1001,0),1)&gt;=100000,INDEX($AN$1005:$BO$1005,1,MATCH(COLUMNS($AN$1006:BE1006),$AN$1006:$BO$1006,0))&gt;=100000), " ",IF(INDEX($AN$2:$BO$1001,MATCH(ROWS($AG$2:AG375),$AG$2:$AG$1001,0),MATCH(COLUMNS($AN$1006:BE1006),$AN$1006:$BO$1006,0)), HYPERLINK("#",""), HYPERLINK(CONCATENATE("#Metadata!", ADDRESS(INDEX($AI$2:$AI$1001,MATCH(ROWS($AG$2:AG375),$AG$2:$AG$1001,0),0), INDEX($AN$1004:$BO$1004,1,MATCH(COLUMNS($AN$1006:BE1006),$AN$1006:$BO$1006,0)))),"Fix")))</f>
        <v>0</v>
      </c>
      <c r="T375" s="4">
        <f>IF(OR(INDEX($AH$2:$AH$1001,MATCH(ROWS($AG$2:AG375),$AG$2:$AG$1001,0),1)&gt;=100000,INDEX($AN$1005:$BO$1005,1,MATCH(COLUMNS($AN$1006:BF1006),$AN$1006:$BO$1006,0))&gt;=100000), " ",IF(INDEX($AN$2:$BO$1001,MATCH(ROWS($AG$2:AG375),$AG$2:$AG$1001,0),MATCH(COLUMNS($AN$1006:BF1006),$AN$1006:$BO$1006,0)), HYPERLINK("#",""), HYPERLINK(CONCATENATE("#Metadata!", ADDRESS(INDEX($AI$2:$AI$1001,MATCH(ROWS($AG$2:AG375),$AG$2:$AG$1001,0),0), INDEX($AN$1004:$BO$1004,1,MATCH(COLUMNS($AN$1006:BF1006),$AN$1006:$BO$1006,0)))),"Fix")))</f>
        <v>0</v>
      </c>
      <c r="U375" s="4">
        <f>IF(OR(INDEX($AH$2:$AH$1001,MATCH(ROWS($AG$2:AG375),$AG$2:$AG$1001,0),1)&gt;=100000,INDEX($AN$1005:$BO$1005,1,MATCH(COLUMNS($AN$1006:BG1006),$AN$1006:$BO$1006,0))&gt;=100000), " ",IF(INDEX($AN$2:$BO$1001,MATCH(ROWS($AG$2:AG375),$AG$2:$AG$1001,0),MATCH(COLUMNS($AN$1006:BG1006),$AN$1006:$BO$1006,0)), HYPERLINK("#",""), HYPERLINK(CONCATENATE("#Metadata!", ADDRESS(INDEX($AI$2:$AI$1001,MATCH(ROWS($AG$2:AG375),$AG$2:$AG$1001,0),0), INDEX($AN$1004:$BO$1004,1,MATCH(COLUMNS($AN$1006:BG1006),$AN$1006:$BO$1006,0)))),"Fix")))</f>
        <v>0</v>
      </c>
      <c r="V375" s="4">
        <f>IF(OR(INDEX($AH$2:$AH$1001,MATCH(ROWS($AG$2:AG375),$AG$2:$AG$1001,0),1)&gt;=100000,INDEX($AN$1005:$BO$1005,1,MATCH(COLUMNS($AN$1006:BH1006),$AN$1006:$BO$1006,0))&gt;=100000), " ",IF(INDEX($AN$2:$BO$1001,MATCH(ROWS($AG$2:AG375),$AG$2:$AG$1001,0),MATCH(COLUMNS($AN$1006:BH1006),$AN$1006:$BO$1006,0)), HYPERLINK("#",""), HYPERLINK(CONCATENATE("#Metadata!", ADDRESS(INDEX($AI$2:$AI$1001,MATCH(ROWS($AG$2:AG375),$AG$2:$AG$1001,0),0), INDEX($AN$1004:$BO$1004,1,MATCH(COLUMNS($AN$1006:BH1006),$AN$1006:$BO$1006,0)))),"Fix")))</f>
        <v>0</v>
      </c>
      <c r="W375" s="4">
        <f>IF(OR(INDEX($AH$2:$AH$1001,MATCH(ROWS($AG$2:AG375),$AG$2:$AG$1001,0),1)&gt;=100000,INDEX($AN$1005:$BO$1005,1,MATCH(COLUMNS($AN$1006:BI1006),$AN$1006:$BO$1006,0))&gt;=100000), " ",IF(INDEX($AN$2:$BO$1001,MATCH(ROWS($AG$2:AG375),$AG$2:$AG$1001,0),MATCH(COLUMNS($AN$1006:BI1006),$AN$1006:$BO$1006,0)), HYPERLINK("#",""), HYPERLINK(CONCATENATE("#Metadata!", ADDRESS(INDEX($AI$2:$AI$1001,MATCH(ROWS($AG$2:AG375),$AG$2:$AG$1001,0),0), INDEX($AN$1004:$BO$1004,1,MATCH(COLUMNS($AN$1006:BI1006),$AN$1006:$BO$1006,0)))),"Fix")))</f>
        <v>0</v>
      </c>
      <c r="X375" s="4">
        <f>IF(OR(INDEX($AH$2:$AH$1001,MATCH(ROWS($AG$2:AG375),$AG$2:$AG$1001,0),1)&gt;=100000,INDEX($AN$1005:$BO$1005,1,MATCH(COLUMNS($AN$1006:BJ1006),$AN$1006:$BO$1006,0))&gt;=100000), " ",IF(INDEX($AN$2:$BO$1001,MATCH(ROWS($AG$2:AG375),$AG$2:$AG$1001,0),MATCH(COLUMNS($AN$1006:BJ1006),$AN$1006:$BO$1006,0)), HYPERLINK("#",""), HYPERLINK(CONCATENATE("#Metadata!", ADDRESS(INDEX($AI$2:$AI$1001,MATCH(ROWS($AG$2:AG375),$AG$2:$AG$1001,0),0), INDEX($AN$1004:$BO$1004,1,MATCH(COLUMNS($AN$1006:BJ1006),$AN$1006:$BO$1006,0)))),"Fix")))</f>
        <v>0</v>
      </c>
      <c r="Y375" s="4">
        <f>IF(OR(INDEX($AH$2:$AH$1001,MATCH(ROWS($AG$2:AG375),$AG$2:$AG$1001,0),1)&gt;=100000,INDEX($AN$1005:$BO$1005,1,MATCH(COLUMNS($AN$1006:BK1006),$AN$1006:$BO$1006,0))&gt;=100000), " ",IF(INDEX($AN$2:$BO$1001,MATCH(ROWS($AG$2:AG375),$AG$2:$AG$1001,0),MATCH(COLUMNS($AN$1006:BK1006),$AN$1006:$BO$1006,0)), HYPERLINK("#",""), HYPERLINK(CONCATENATE("#Metadata!", ADDRESS(INDEX($AI$2:$AI$1001,MATCH(ROWS($AG$2:AG375),$AG$2:$AG$1001,0),0), INDEX($AN$1004:$BO$1004,1,MATCH(COLUMNS($AN$1006:BK1006),$AN$1006:$BO$1006,0)))),"Fix")))</f>
        <v>0</v>
      </c>
      <c r="Z375" s="4">
        <f>IF(OR(INDEX($AH$2:$AH$1001,MATCH(ROWS($AG$2:AG375),$AG$2:$AG$1001,0),1)&gt;=100000,INDEX($AN$1005:$BO$1005,1,MATCH(COLUMNS($AN$1006:BL1006),$AN$1006:$BO$1006,0))&gt;=100000), " ",IF(INDEX($AN$2:$BO$1001,MATCH(ROWS($AG$2:AG375),$AG$2:$AG$1001,0),MATCH(COLUMNS($AN$1006:BL1006),$AN$1006:$BO$1006,0)), HYPERLINK("#",""), HYPERLINK(CONCATENATE("#Metadata!", ADDRESS(INDEX($AI$2:$AI$1001,MATCH(ROWS($AG$2:AG375),$AG$2:$AG$1001,0),0), INDEX($AN$1004:$BO$1004,1,MATCH(COLUMNS($AN$1006:BL1006),$AN$1006:$BO$1006,0)))),"Fix")))</f>
        <v>0</v>
      </c>
      <c r="AA375" s="4">
        <f>IF(OR(INDEX($AH$2:$AH$1001,MATCH(ROWS($AG$2:AG375),$AG$2:$AG$1001,0),1)&gt;=100000,INDEX($AN$1005:$BO$1005,1,MATCH(COLUMNS($AN$1006:BM1006),$AN$1006:$BO$1006,0))&gt;=100000), " ",IF(INDEX($AN$2:$BO$1001,MATCH(ROWS($AG$2:AG375),$AG$2:$AG$1001,0),MATCH(COLUMNS($AN$1006:BM1006),$AN$1006:$BO$1006,0)), HYPERLINK("#",""), HYPERLINK(CONCATENATE("#Metadata!", ADDRESS(INDEX($AI$2:$AI$1001,MATCH(ROWS($AG$2:AG375),$AG$2:$AG$1001,0),0), INDEX($AN$1004:$BO$1004,1,MATCH(COLUMNS($AN$1006:BM1006),$AN$1006:$BO$1006,0)))),"Fix")))</f>
        <v>0</v>
      </c>
      <c r="AB375" s="4">
        <f>IF(OR(INDEX($AH$2:$AH$1001,MATCH(ROWS($AG$2:AG375),$AG$2:$AG$1001,0),1)&gt;=100000,INDEX($AN$1005:$BO$1005,1,MATCH(COLUMNS($AN$1006:BN1006),$AN$1006:$BO$1006,0))&gt;=100000), " ",IF(INDEX($AN$2:$BO$1001,MATCH(ROWS($AG$2:AG375),$AG$2:$AG$1001,0),MATCH(COLUMNS($AN$1006:BN1006),$AN$1006:$BO$1006,0)), HYPERLINK("#",""), HYPERLINK(CONCATENATE("#Metadata!", ADDRESS(INDEX($AI$2:$AI$1001,MATCH(ROWS($AG$2:AG375),$AG$2:$AG$1001,0),0), INDEX($AN$1004:$BO$1004,1,MATCH(COLUMNS($AN$1006:BN1006),$AN$1006:$BO$1006,0)))),"Fix")))</f>
        <v>0</v>
      </c>
      <c r="AC375" s="4">
        <f>IF(OR(INDEX($AH$2:$AH$1001,MATCH(ROWS($AG$2:AG375),$AG$2:$AG$1001,0),1)&gt;=100000,INDEX($AN$1005:$BO$1005,1,MATCH(COLUMNS($AN$1006:BO1006),$AN$1006:$BO$1006,0))&gt;=100000), " ",IF(INDEX($AN$2:$BO$1001,MATCH(ROWS($AG$2:AG375),$AG$2:$AG$1001,0),MATCH(COLUMNS($AN$1006:BO1006),$AN$1006:$BO$1006,0)), HYPERLINK("#",""), HYPERLINK(CONCATENATE("#Metadata!", ADDRESS(INDEX($AI$2:$AI$1001,MATCH(ROWS($AG$2:AG375),$AG$2:$AG$1001,0),0), INDEX($AN$1004:$BO$1004,1,MATCH(COLUMNS($AN$1006:BO1006),$AN$1006:$BO$1006,0)))),"Fix")))</f>
        <v>0</v>
      </c>
      <c r="AG375">
        <v>0</v>
      </c>
      <c r="AH375">
        <v>0</v>
      </c>
      <c r="AI375">
        <v>0</v>
      </c>
      <c r="AJ375">
        <f>IF(AK375,TRUE,AND(AN375:BO375))</f>
        <v>0</v>
      </c>
      <c r="AK375">
        <f>COUNTBLANK(Metadata!B375:AC375)=COLUMNS(Metadata!B375:AC375)</f>
        <v>0</v>
      </c>
      <c r="AL375">
        <v>0</v>
      </c>
      <c r="AN375">
        <f>AND(IF(Metadata!B375="",FALSE,TRUE),COUNTIF(Metadata!B:B, Metadata!B375) = 1,NOT(ISERROR(SUMPRODUCT(SEARCH(MID(Metadata!B375,ROW(INDIRECT("1:"&amp;LEN(Metadata!B375))), 1),"0123456789abcdefghijklmnopqrstuvwxyzABCDEFGHIJKLMNOPQRSTUVWXYZ.")))))</f>
        <v>0</v>
      </c>
      <c r="AO375">
        <f>IF(Metadata!C375="",FALSE,TRUE)</f>
        <v>0</v>
      </c>
      <c r="AP375">
        <f>IF(Metadata!D375="",FALSE,TRUE)</f>
        <v>0</v>
      </c>
      <c r="AQ375">
        <f>OR(AND(IF(Metadata!E375="",FALSE,TRUE),OR(exact(Metadata!E375,"not collected"),exact(Metadata!E375,"not provided"),exact(Metadata!E375,"restricted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R375">
        <f>IF(Metadata!F375="",FALSE,TRUE)</f>
        <v>0</v>
      </c>
      <c r="AS375">
        <f>OR(AND(IF(Metadata!G375="",FALSE,TRUE),OR(exact(Metadata!G375,"not collected"),exact(Metadata!G375,"not provided"))),AND(IF(Metadata!G375="",FALSE,TRUE),OR(exact(Metadata!G375,"TRUE"),exact(Metadata!G375,"FALSE"))))</f>
        <v>0</v>
      </c>
      <c r="AT375">
        <f>OR(AND(IF(Metadata!H375="",FALSE,TRUE),OR(exact(Metadata!H375,"not collected"),exact(Metadata!H375,"not provided"),exact(Metadata!H375,"restricted access"))),AND(IF(Metadata!H375="",FALSE,ISNUMBER(VALUE(Metadata!H375))),Metadata!H375&gt;=-413.0))</f>
        <v>0</v>
      </c>
      <c r="AU375">
        <f>AND(IF(Metadata!I375="",FALSE,TRUE),exact(Metadata!I375,"meters"))</f>
        <v>0</v>
      </c>
      <c r="AV375">
        <f>AND(IF(Metadata!J375="",FALSE,TRUE),OR(exact(Metadata!J375,"Host-associated"),exact(Metadata!J375,"Free-living")))</f>
        <v>0</v>
      </c>
      <c r="AW375">
        <f>AND(IF(Metadata!K375="",FALSE,TRUE),OR(exact(Metadata!K375,"Animal"),exact(Metadata!K375,"Fungus"),exact(Metadata!K375,"Plant"),exact(Metadata!K375,"Saline"),exact(Metadata!K375,"Non-saline")))</f>
        <v>0</v>
      </c>
      <c r="AX375">
        <f>AND(IF(Metadata!L375="",FALSE,TRUE),OR(exact(Metadata!L375,"Plant secretion"),exact(Metadata!L375,"Plant rhizosphere"),exact(Metadata!L375,"Plant surface"),exact(Metadata!L375,"Plant corpus"),exact(Metadata!L375,"Fungus surface"),exact(Metadata!L375,"Fungus corpus"),exact(Metadata!L375,"Animal surface"),exact(Metadata!L375,"Animal proximal gut"),exact(Metadata!L375,"Animal corpus"),exact(Metadata!L375,"Animal distal gut"),exact(Metadata!L375,"Animal secretion"),exact(Metadata!L375,"Sub-surface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Y375">
        <f>IF(Metadata!M375="",FALSE,TRUE)</f>
        <v>0</v>
      </c>
      <c r="AZ375">
        <f>IF(Metadata!N375="",FALSE,TRUE)</f>
        <v>0</v>
      </c>
      <c r="BA375">
        <f>IF(Metadata!O375="",FALSE,TRUE)</f>
        <v>0</v>
      </c>
      <c r="BB375">
        <f>OR(AND(IF(Metadata!P375="",FALSE,TRUE),OR(exact(Metadata!P375,"not collected"),exact(Metadata!P375,"not provided"),exact(Metadata!P375,"restricted access"))),AND(IF(Metadata!P375="",FALSE,TRUE),OR(exact(Metadata!P375,"air"),exact(Metadata!P375,"built environment"),exact(Metadata!P375,"host-associated"),exact(Metadata!P375,"human-associated"),exact(Metadata!P375,"human-skin"),exact(Metadata!P375,"human-oral"),exact(Metadata!P375,"human-gut"),exact(Metadata!P375,"human-vaginal"),exact(Metadata!P375,"microbial mat/biofilm"),exact(Metadata!P375,"misc environment"),exact(Metadata!P375,"plant-associated"),exact(Metadata!P375,"sediment"),exact(Metadata!P375,"soil"),exact(Metadata!P375,"wastewater/sludge"),exact(Metadata!P375,"water"))))</f>
        <v>0</v>
      </c>
      <c r="BC375">
        <f>IF(Metadata!Q375="",FALSE,TRUE)</f>
        <v>0</v>
      </c>
      <c r="BD375">
        <f>IF(Metadata!R375="",FALSE,TRUE)</f>
        <v>0</v>
      </c>
      <c r="BE375">
        <f>OR(AND(IF(Metadata!S375="",FALSE,TRUE),OR(exact(Metadata!S375,"not collected"),exact(Metadata!S375,"not provided"),exact(Metadata!S375,"restricted access"))),AND(IF(Metadata!S375="",FALSE,ISNUMBER(VALUE(Metadata!S375))),Metadata!S375&gt;=-90.00,Metadata!S375&lt;=90.00))</f>
        <v>0</v>
      </c>
      <c r="BF375">
        <f>AND(IF(Metadata!T375="",FALSE,TRUE),exact(Metadata!T375,"Decimal degrees"))</f>
        <v>0</v>
      </c>
      <c r="BG375">
        <f>OR(AND(IF(Metadata!U375="",FALSE,TRUE),OR(exact(Metadata!U375,"not collected"),exact(Metadata!U375,"not provided"),exact(Metadata!U375,"restricted access"))),AND(IF(Metadata!U375="",FALSE,ISNUMBER(VALUE(Metadata!U375))),Metadata!U375&gt;=-180.00,Metadata!U375&lt;=180.00))</f>
        <v>0</v>
      </c>
      <c r="BH375">
        <f>AND(IF(Metadata!V375="",FALSE,TRUE),exact(Metadata!V375,"Decimal degrees"))</f>
        <v>0</v>
      </c>
      <c r="BI375">
        <f>IF(Metadata!W375="",FALSE,TRUE)</f>
        <v>0</v>
      </c>
      <c r="BJ375">
        <f>OR(AND(IF(Metadata!X375="",FALSE,TRUE),OR(exact(Metadata!X375,"not collected"),exact(Metadata!X375,"not provided"),exact(Metadata!X375,"restricted access"))),AND(IF(Metadata!X375="",FALSE,TRUE),OR(exact(Metadata!X375,"TRUE"),exact(Metadata!X375,"FALSE"))))</f>
        <v>0</v>
      </c>
      <c r="BK375">
        <f>AND(IF(Metadata!Y375="",FALSE,TRUE),exact(Metadata!Y375,"other"))</f>
        <v>0</v>
      </c>
      <c r="BL375">
        <f>IF(Metadata!Z375="",FALSE,TRUE)</f>
        <v>0</v>
      </c>
      <c r="BM375">
        <f>OR(AND(IF(Metadata!AA375="",FALSE,TRUE),OR(exact(Metadata!AA375,"not collected"),exact(Metadata!AA375,"not provided"))),AND(IF(Metadata!AA375="",FALSE,IF(ISERROR(INT(Metadata!AA375)),FALSE,INT(Metadata!AA375)=Metadata!AA375)),Metadata!AA375&gt;0))</f>
        <v>0</v>
      </c>
      <c r="BN375">
        <f>AND(IF(Metadata!AB375="",FALSE,TRUE),exact(Metadata!AB375,"Not applicable"))</f>
        <v>0</v>
      </c>
      <c r="BO375">
        <f>IF(Metadata!AC375="",FALSE,TRUE)</f>
        <v>0</v>
      </c>
    </row>
    <row r="376" spans="1:67">
      <c r="A376" s="5">
        <f>IF(B376=" "," ",HYPERLINK(CONCATENATE("#metadata!",ADDRESS(INDEX($AI$2:$AI$1001,MATCH(ROWS($AG$2:AG376),$AG$2:$AG$1001,0),0),1)),INDEX($AL$2:$AL$1001,MATCH(ROWS($AG$2:AG376),$AG$2:$AG$1001,0),0)))</f>
        <v>0</v>
      </c>
      <c r="B376" s="4">
        <f>IF(OR(INDEX($AH$2:$AH$1001,MATCH(ROWS($AG$2:AG376),$AG$2:$AG$1001,0),1)&gt;=100000,INDEX($AN$1005:$BO$1005,1,MATCH(COLUMNS($AN$1006:AN1006),$AN$1006:$BO$1006,0))&gt;=100000), " ",IF(INDEX($AN$2:$BO$1001,MATCH(ROWS($AG$2:AG376),$AG$2:$AG$1001,0),MATCH(COLUMNS($AN$1006:AN1006),$AN$1006:$BO$1006,0)), HYPERLINK("#",""), HYPERLINK(CONCATENATE("#Metadata!", ADDRESS(INDEX($AI$2:$AI$1001,MATCH(ROWS($AG$2:AG376),$AG$2:$AG$1001,0),0), INDEX($AN$1004:$BO$1004,1,MATCH(COLUMNS($AN$1006:AN1006),$AN$1006:$BO$1006,0)))),"Fix")))</f>
        <v>0</v>
      </c>
      <c r="C376" s="4">
        <f>IF(OR(INDEX($AH$2:$AH$1001,MATCH(ROWS($AG$2:AG376),$AG$2:$AG$1001,0),1)&gt;=100000,INDEX($AN$1005:$BO$1005,1,MATCH(COLUMNS($AN$1006:AO1006),$AN$1006:$BO$1006,0))&gt;=100000), " ",IF(INDEX($AN$2:$BO$1001,MATCH(ROWS($AG$2:AG376),$AG$2:$AG$1001,0),MATCH(COLUMNS($AN$1006:AO1006),$AN$1006:$BO$1006,0)), HYPERLINK("#",""), HYPERLINK(CONCATENATE("#Metadata!", ADDRESS(INDEX($AI$2:$AI$1001,MATCH(ROWS($AG$2:AG376),$AG$2:$AG$1001,0),0), INDEX($AN$1004:$BO$1004,1,MATCH(COLUMNS($AN$1006:AO1006),$AN$1006:$BO$1006,0)))),"Fix")))</f>
        <v>0</v>
      </c>
      <c r="D376" s="4">
        <f>IF(OR(INDEX($AH$2:$AH$1001,MATCH(ROWS($AG$2:AG376),$AG$2:$AG$1001,0),1)&gt;=100000,INDEX($AN$1005:$BO$1005,1,MATCH(COLUMNS($AN$1006:AP1006),$AN$1006:$BO$1006,0))&gt;=100000), " ",IF(INDEX($AN$2:$BO$1001,MATCH(ROWS($AG$2:AG376),$AG$2:$AG$1001,0),MATCH(COLUMNS($AN$1006:AP1006),$AN$1006:$BO$1006,0)), HYPERLINK("#",""), HYPERLINK(CONCATENATE("#Metadata!", ADDRESS(INDEX($AI$2:$AI$1001,MATCH(ROWS($AG$2:AG376),$AG$2:$AG$1001,0),0), INDEX($AN$1004:$BO$1004,1,MATCH(COLUMNS($AN$1006:AP1006),$AN$1006:$BO$1006,0)))),"Fix")))</f>
        <v>0</v>
      </c>
      <c r="E376" s="4">
        <f>IF(OR(INDEX($AH$2:$AH$1001,MATCH(ROWS($AG$2:AG376),$AG$2:$AG$1001,0),1)&gt;=100000,INDEX($AN$1005:$BO$1005,1,MATCH(COLUMNS($AN$1006:AQ1006),$AN$1006:$BO$1006,0))&gt;=100000), " ",IF(INDEX($AN$2:$BO$1001,MATCH(ROWS($AG$2:AG376),$AG$2:$AG$1001,0),MATCH(COLUMNS($AN$1006:AQ1006),$AN$1006:$BO$1006,0)), HYPERLINK("#",""), HYPERLINK(CONCATENATE("#Metadata!", ADDRESS(INDEX($AI$2:$AI$1001,MATCH(ROWS($AG$2:AG376),$AG$2:$AG$1001,0),0), INDEX($AN$1004:$BO$1004,1,MATCH(COLUMNS($AN$1006:AQ1006),$AN$1006:$BO$1006,0)))),"Fix")))</f>
        <v>0</v>
      </c>
      <c r="F376" s="4">
        <f>IF(OR(INDEX($AH$2:$AH$1001,MATCH(ROWS($AG$2:AG376),$AG$2:$AG$1001,0),1)&gt;=100000,INDEX($AN$1005:$BO$1005,1,MATCH(COLUMNS($AN$1006:AR1006),$AN$1006:$BO$1006,0))&gt;=100000), " ",IF(INDEX($AN$2:$BO$1001,MATCH(ROWS($AG$2:AG376),$AG$2:$AG$1001,0),MATCH(COLUMNS($AN$1006:AR1006),$AN$1006:$BO$1006,0)), HYPERLINK("#",""), HYPERLINK(CONCATENATE("#Metadata!", ADDRESS(INDEX($AI$2:$AI$1001,MATCH(ROWS($AG$2:AG376),$AG$2:$AG$1001,0),0), INDEX($AN$1004:$BO$1004,1,MATCH(COLUMNS($AN$1006:AR1006),$AN$1006:$BO$1006,0)))),"Fix")))</f>
        <v>0</v>
      </c>
      <c r="G376" s="4">
        <f>IF(OR(INDEX($AH$2:$AH$1001,MATCH(ROWS($AG$2:AG376),$AG$2:$AG$1001,0),1)&gt;=100000,INDEX($AN$1005:$BO$1005,1,MATCH(COLUMNS($AN$1006:AS1006),$AN$1006:$BO$1006,0))&gt;=100000), " ",IF(INDEX($AN$2:$BO$1001,MATCH(ROWS($AG$2:AG376),$AG$2:$AG$1001,0),MATCH(COLUMNS($AN$1006:AS1006),$AN$1006:$BO$1006,0)), HYPERLINK("#",""), HYPERLINK(CONCATENATE("#Metadata!", ADDRESS(INDEX($AI$2:$AI$1001,MATCH(ROWS($AG$2:AG376),$AG$2:$AG$1001,0),0), INDEX($AN$1004:$BO$1004,1,MATCH(COLUMNS($AN$1006:AS1006),$AN$1006:$BO$1006,0)))),"Fix")))</f>
        <v>0</v>
      </c>
      <c r="H376" s="4">
        <f>IF(OR(INDEX($AH$2:$AH$1001,MATCH(ROWS($AG$2:AG376),$AG$2:$AG$1001,0),1)&gt;=100000,INDEX($AN$1005:$BO$1005,1,MATCH(COLUMNS($AN$1006:AT1006),$AN$1006:$BO$1006,0))&gt;=100000), " ",IF(INDEX($AN$2:$BO$1001,MATCH(ROWS($AG$2:AG376),$AG$2:$AG$1001,0),MATCH(COLUMNS($AN$1006:AT1006),$AN$1006:$BO$1006,0)), HYPERLINK("#",""), HYPERLINK(CONCATENATE("#Metadata!", ADDRESS(INDEX($AI$2:$AI$1001,MATCH(ROWS($AG$2:AG376),$AG$2:$AG$1001,0),0), INDEX($AN$1004:$BO$1004,1,MATCH(COLUMNS($AN$1006:AT1006),$AN$1006:$BO$1006,0)))),"Fix")))</f>
        <v>0</v>
      </c>
      <c r="I376" s="4">
        <f>IF(OR(INDEX($AH$2:$AH$1001,MATCH(ROWS($AG$2:AG376),$AG$2:$AG$1001,0),1)&gt;=100000,INDEX($AN$1005:$BO$1005,1,MATCH(COLUMNS($AN$1006:AU1006),$AN$1006:$BO$1006,0))&gt;=100000), " ",IF(INDEX($AN$2:$BO$1001,MATCH(ROWS($AG$2:AG376),$AG$2:$AG$1001,0),MATCH(COLUMNS($AN$1006:AU1006),$AN$1006:$BO$1006,0)), HYPERLINK("#",""), HYPERLINK(CONCATENATE("#Metadata!", ADDRESS(INDEX($AI$2:$AI$1001,MATCH(ROWS($AG$2:AG376),$AG$2:$AG$1001,0),0), INDEX($AN$1004:$BO$1004,1,MATCH(COLUMNS($AN$1006:AU1006),$AN$1006:$BO$1006,0)))),"Fix")))</f>
        <v>0</v>
      </c>
      <c r="J376" s="4">
        <f>IF(OR(INDEX($AH$2:$AH$1001,MATCH(ROWS($AG$2:AG376),$AG$2:$AG$1001,0),1)&gt;=100000,INDEX($AN$1005:$BO$1005,1,MATCH(COLUMNS($AN$1006:AV1006),$AN$1006:$BO$1006,0))&gt;=100000), " ",IF(INDEX($AN$2:$BO$1001,MATCH(ROWS($AG$2:AG376),$AG$2:$AG$1001,0),MATCH(COLUMNS($AN$1006:AV1006),$AN$1006:$BO$1006,0)), HYPERLINK("#",""), HYPERLINK(CONCATENATE("#Metadata!", ADDRESS(INDEX($AI$2:$AI$1001,MATCH(ROWS($AG$2:AG376),$AG$2:$AG$1001,0),0), INDEX($AN$1004:$BO$1004,1,MATCH(COLUMNS($AN$1006:AV1006),$AN$1006:$BO$1006,0)))),"Fix")))</f>
        <v>0</v>
      </c>
      <c r="K376" s="4">
        <f>IF(OR(INDEX($AH$2:$AH$1001,MATCH(ROWS($AG$2:AG376),$AG$2:$AG$1001,0),1)&gt;=100000,INDEX($AN$1005:$BO$1005,1,MATCH(COLUMNS($AN$1006:AW1006),$AN$1006:$BO$1006,0))&gt;=100000), " ",IF(INDEX($AN$2:$BO$1001,MATCH(ROWS($AG$2:AG376),$AG$2:$AG$1001,0),MATCH(COLUMNS($AN$1006:AW1006),$AN$1006:$BO$1006,0)), HYPERLINK("#",""), HYPERLINK(CONCATENATE("#Metadata!", ADDRESS(INDEX($AI$2:$AI$1001,MATCH(ROWS($AG$2:AG376),$AG$2:$AG$1001,0),0), INDEX($AN$1004:$BO$1004,1,MATCH(COLUMNS($AN$1006:AW1006),$AN$1006:$BO$1006,0)))),"Fix")))</f>
        <v>0</v>
      </c>
      <c r="L376" s="4">
        <f>IF(OR(INDEX($AH$2:$AH$1001,MATCH(ROWS($AG$2:AG376),$AG$2:$AG$1001,0),1)&gt;=100000,INDEX($AN$1005:$BO$1005,1,MATCH(COLUMNS($AN$1006:AX1006),$AN$1006:$BO$1006,0))&gt;=100000), " ",IF(INDEX($AN$2:$BO$1001,MATCH(ROWS($AG$2:AG376),$AG$2:$AG$1001,0),MATCH(COLUMNS($AN$1006:AX1006),$AN$1006:$BO$1006,0)), HYPERLINK("#",""), HYPERLINK(CONCATENATE("#Metadata!", ADDRESS(INDEX($AI$2:$AI$1001,MATCH(ROWS($AG$2:AG376),$AG$2:$AG$1001,0),0), INDEX($AN$1004:$BO$1004,1,MATCH(COLUMNS($AN$1006:AX1006),$AN$1006:$BO$1006,0)))),"Fix")))</f>
        <v>0</v>
      </c>
      <c r="M376" s="4">
        <f>IF(OR(INDEX($AH$2:$AH$1001,MATCH(ROWS($AG$2:AG376),$AG$2:$AG$1001,0),1)&gt;=100000,INDEX($AN$1005:$BO$1005,1,MATCH(COLUMNS($AN$1006:AY1006),$AN$1006:$BO$1006,0))&gt;=100000), " ",IF(INDEX($AN$2:$BO$1001,MATCH(ROWS($AG$2:AG376),$AG$2:$AG$1001,0),MATCH(COLUMNS($AN$1006:AY1006),$AN$1006:$BO$1006,0)), HYPERLINK("#",""), HYPERLINK(CONCATENATE("#Metadata!", ADDRESS(INDEX($AI$2:$AI$1001,MATCH(ROWS($AG$2:AG376),$AG$2:$AG$1001,0),0), INDEX($AN$1004:$BO$1004,1,MATCH(COLUMNS($AN$1006:AY1006),$AN$1006:$BO$1006,0)))),"Fix")))</f>
        <v>0</v>
      </c>
      <c r="N376" s="4">
        <f>IF(OR(INDEX($AH$2:$AH$1001,MATCH(ROWS($AG$2:AG376),$AG$2:$AG$1001,0),1)&gt;=100000,INDEX($AN$1005:$BO$1005,1,MATCH(COLUMNS($AN$1006:AZ1006),$AN$1006:$BO$1006,0))&gt;=100000), " ",IF(INDEX($AN$2:$BO$1001,MATCH(ROWS($AG$2:AG376),$AG$2:$AG$1001,0),MATCH(COLUMNS($AN$1006:AZ1006),$AN$1006:$BO$1006,0)), HYPERLINK("#",""), HYPERLINK(CONCATENATE("#Metadata!", ADDRESS(INDEX($AI$2:$AI$1001,MATCH(ROWS($AG$2:AG376),$AG$2:$AG$1001,0),0), INDEX($AN$1004:$BO$1004,1,MATCH(COLUMNS($AN$1006:AZ1006),$AN$1006:$BO$1006,0)))),"Fix")))</f>
        <v>0</v>
      </c>
      <c r="O376" s="4">
        <f>IF(OR(INDEX($AH$2:$AH$1001,MATCH(ROWS($AG$2:AG376),$AG$2:$AG$1001,0),1)&gt;=100000,INDEX($AN$1005:$BO$1005,1,MATCH(COLUMNS($AN$1006:BA1006),$AN$1006:$BO$1006,0))&gt;=100000), " ",IF(INDEX($AN$2:$BO$1001,MATCH(ROWS($AG$2:AG376),$AG$2:$AG$1001,0),MATCH(COLUMNS($AN$1006:BA1006),$AN$1006:$BO$1006,0)), HYPERLINK("#",""), HYPERLINK(CONCATENATE("#Metadata!", ADDRESS(INDEX($AI$2:$AI$1001,MATCH(ROWS($AG$2:AG376),$AG$2:$AG$1001,0),0), INDEX($AN$1004:$BO$1004,1,MATCH(COLUMNS($AN$1006:BA1006),$AN$1006:$BO$1006,0)))),"Fix")))</f>
        <v>0</v>
      </c>
      <c r="P376" s="4">
        <f>IF(OR(INDEX($AH$2:$AH$1001,MATCH(ROWS($AG$2:AG376),$AG$2:$AG$1001,0),1)&gt;=100000,INDEX($AN$1005:$BO$1005,1,MATCH(COLUMNS($AN$1006:BB1006),$AN$1006:$BO$1006,0))&gt;=100000), " ",IF(INDEX($AN$2:$BO$1001,MATCH(ROWS($AG$2:AG376),$AG$2:$AG$1001,0),MATCH(COLUMNS($AN$1006:BB1006),$AN$1006:$BO$1006,0)), HYPERLINK("#",""), HYPERLINK(CONCATENATE("#Metadata!", ADDRESS(INDEX($AI$2:$AI$1001,MATCH(ROWS($AG$2:AG376),$AG$2:$AG$1001,0),0), INDEX($AN$1004:$BO$1004,1,MATCH(COLUMNS($AN$1006:BB1006),$AN$1006:$BO$1006,0)))),"Fix")))</f>
        <v>0</v>
      </c>
      <c r="Q376" s="4">
        <f>IF(OR(INDEX($AH$2:$AH$1001,MATCH(ROWS($AG$2:AG376),$AG$2:$AG$1001,0),1)&gt;=100000,INDEX($AN$1005:$BO$1005,1,MATCH(COLUMNS($AN$1006:BC1006),$AN$1006:$BO$1006,0))&gt;=100000), " ",IF(INDEX($AN$2:$BO$1001,MATCH(ROWS($AG$2:AG376),$AG$2:$AG$1001,0),MATCH(COLUMNS($AN$1006:BC1006),$AN$1006:$BO$1006,0)), HYPERLINK("#",""), HYPERLINK(CONCATENATE("#Metadata!", ADDRESS(INDEX($AI$2:$AI$1001,MATCH(ROWS($AG$2:AG376),$AG$2:$AG$1001,0),0), INDEX($AN$1004:$BO$1004,1,MATCH(COLUMNS($AN$1006:BC1006),$AN$1006:$BO$1006,0)))),"Fix")))</f>
        <v>0</v>
      </c>
      <c r="R376" s="4">
        <f>IF(OR(INDEX($AH$2:$AH$1001,MATCH(ROWS($AG$2:AG376),$AG$2:$AG$1001,0),1)&gt;=100000,INDEX($AN$1005:$BO$1005,1,MATCH(COLUMNS($AN$1006:BD1006),$AN$1006:$BO$1006,0))&gt;=100000), " ",IF(INDEX($AN$2:$BO$1001,MATCH(ROWS($AG$2:AG376),$AG$2:$AG$1001,0),MATCH(COLUMNS($AN$1006:BD1006),$AN$1006:$BO$1006,0)), HYPERLINK("#",""), HYPERLINK(CONCATENATE("#Metadata!", ADDRESS(INDEX($AI$2:$AI$1001,MATCH(ROWS($AG$2:AG376),$AG$2:$AG$1001,0),0), INDEX($AN$1004:$BO$1004,1,MATCH(COLUMNS($AN$1006:BD1006),$AN$1006:$BO$1006,0)))),"Fix")))</f>
        <v>0</v>
      </c>
      <c r="S376" s="4">
        <f>IF(OR(INDEX($AH$2:$AH$1001,MATCH(ROWS($AG$2:AG376),$AG$2:$AG$1001,0),1)&gt;=100000,INDEX($AN$1005:$BO$1005,1,MATCH(COLUMNS($AN$1006:BE1006),$AN$1006:$BO$1006,0))&gt;=100000), " ",IF(INDEX($AN$2:$BO$1001,MATCH(ROWS($AG$2:AG376),$AG$2:$AG$1001,0),MATCH(COLUMNS($AN$1006:BE1006),$AN$1006:$BO$1006,0)), HYPERLINK("#",""), HYPERLINK(CONCATENATE("#Metadata!", ADDRESS(INDEX($AI$2:$AI$1001,MATCH(ROWS($AG$2:AG376),$AG$2:$AG$1001,0),0), INDEX($AN$1004:$BO$1004,1,MATCH(COLUMNS($AN$1006:BE1006),$AN$1006:$BO$1006,0)))),"Fix")))</f>
        <v>0</v>
      </c>
      <c r="T376" s="4">
        <f>IF(OR(INDEX($AH$2:$AH$1001,MATCH(ROWS($AG$2:AG376),$AG$2:$AG$1001,0),1)&gt;=100000,INDEX($AN$1005:$BO$1005,1,MATCH(COLUMNS($AN$1006:BF1006),$AN$1006:$BO$1006,0))&gt;=100000), " ",IF(INDEX($AN$2:$BO$1001,MATCH(ROWS($AG$2:AG376),$AG$2:$AG$1001,0),MATCH(COLUMNS($AN$1006:BF1006),$AN$1006:$BO$1006,0)), HYPERLINK("#",""), HYPERLINK(CONCATENATE("#Metadata!", ADDRESS(INDEX($AI$2:$AI$1001,MATCH(ROWS($AG$2:AG376),$AG$2:$AG$1001,0),0), INDEX($AN$1004:$BO$1004,1,MATCH(COLUMNS($AN$1006:BF1006),$AN$1006:$BO$1006,0)))),"Fix")))</f>
        <v>0</v>
      </c>
      <c r="U376" s="4">
        <f>IF(OR(INDEX($AH$2:$AH$1001,MATCH(ROWS($AG$2:AG376),$AG$2:$AG$1001,0),1)&gt;=100000,INDEX($AN$1005:$BO$1005,1,MATCH(COLUMNS($AN$1006:BG1006),$AN$1006:$BO$1006,0))&gt;=100000), " ",IF(INDEX($AN$2:$BO$1001,MATCH(ROWS($AG$2:AG376),$AG$2:$AG$1001,0),MATCH(COLUMNS($AN$1006:BG1006),$AN$1006:$BO$1006,0)), HYPERLINK("#",""), HYPERLINK(CONCATENATE("#Metadata!", ADDRESS(INDEX($AI$2:$AI$1001,MATCH(ROWS($AG$2:AG376),$AG$2:$AG$1001,0),0), INDEX($AN$1004:$BO$1004,1,MATCH(COLUMNS($AN$1006:BG1006),$AN$1006:$BO$1006,0)))),"Fix")))</f>
        <v>0</v>
      </c>
      <c r="V376" s="4">
        <f>IF(OR(INDEX($AH$2:$AH$1001,MATCH(ROWS($AG$2:AG376),$AG$2:$AG$1001,0),1)&gt;=100000,INDEX($AN$1005:$BO$1005,1,MATCH(COLUMNS($AN$1006:BH1006),$AN$1006:$BO$1006,0))&gt;=100000), " ",IF(INDEX($AN$2:$BO$1001,MATCH(ROWS($AG$2:AG376),$AG$2:$AG$1001,0),MATCH(COLUMNS($AN$1006:BH1006),$AN$1006:$BO$1006,0)), HYPERLINK("#",""), HYPERLINK(CONCATENATE("#Metadata!", ADDRESS(INDEX($AI$2:$AI$1001,MATCH(ROWS($AG$2:AG376),$AG$2:$AG$1001,0),0), INDEX($AN$1004:$BO$1004,1,MATCH(COLUMNS($AN$1006:BH1006),$AN$1006:$BO$1006,0)))),"Fix")))</f>
        <v>0</v>
      </c>
      <c r="W376" s="4">
        <f>IF(OR(INDEX($AH$2:$AH$1001,MATCH(ROWS($AG$2:AG376),$AG$2:$AG$1001,0),1)&gt;=100000,INDEX($AN$1005:$BO$1005,1,MATCH(COLUMNS($AN$1006:BI1006),$AN$1006:$BO$1006,0))&gt;=100000), " ",IF(INDEX($AN$2:$BO$1001,MATCH(ROWS($AG$2:AG376),$AG$2:$AG$1001,0),MATCH(COLUMNS($AN$1006:BI1006),$AN$1006:$BO$1006,0)), HYPERLINK("#",""), HYPERLINK(CONCATENATE("#Metadata!", ADDRESS(INDEX($AI$2:$AI$1001,MATCH(ROWS($AG$2:AG376),$AG$2:$AG$1001,0),0), INDEX($AN$1004:$BO$1004,1,MATCH(COLUMNS($AN$1006:BI1006),$AN$1006:$BO$1006,0)))),"Fix")))</f>
        <v>0</v>
      </c>
      <c r="X376" s="4">
        <f>IF(OR(INDEX($AH$2:$AH$1001,MATCH(ROWS($AG$2:AG376),$AG$2:$AG$1001,0),1)&gt;=100000,INDEX($AN$1005:$BO$1005,1,MATCH(COLUMNS($AN$1006:BJ1006),$AN$1006:$BO$1006,0))&gt;=100000), " ",IF(INDEX($AN$2:$BO$1001,MATCH(ROWS($AG$2:AG376),$AG$2:$AG$1001,0),MATCH(COLUMNS($AN$1006:BJ1006),$AN$1006:$BO$1006,0)), HYPERLINK("#",""), HYPERLINK(CONCATENATE("#Metadata!", ADDRESS(INDEX($AI$2:$AI$1001,MATCH(ROWS($AG$2:AG376),$AG$2:$AG$1001,0),0), INDEX($AN$1004:$BO$1004,1,MATCH(COLUMNS($AN$1006:BJ1006),$AN$1006:$BO$1006,0)))),"Fix")))</f>
        <v>0</v>
      </c>
      <c r="Y376" s="4">
        <f>IF(OR(INDEX($AH$2:$AH$1001,MATCH(ROWS($AG$2:AG376),$AG$2:$AG$1001,0),1)&gt;=100000,INDEX($AN$1005:$BO$1005,1,MATCH(COLUMNS($AN$1006:BK1006),$AN$1006:$BO$1006,0))&gt;=100000), " ",IF(INDEX($AN$2:$BO$1001,MATCH(ROWS($AG$2:AG376),$AG$2:$AG$1001,0),MATCH(COLUMNS($AN$1006:BK1006),$AN$1006:$BO$1006,0)), HYPERLINK("#",""), HYPERLINK(CONCATENATE("#Metadata!", ADDRESS(INDEX($AI$2:$AI$1001,MATCH(ROWS($AG$2:AG376),$AG$2:$AG$1001,0),0), INDEX($AN$1004:$BO$1004,1,MATCH(COLUMNS($AN$1006:BK1006),$AN$1006:$BO$1006,0)))),"Fix")))</f>
        <v>0</v>
      </c>
      <c r="Z376" s="4">
        <f>IF(OR(INDEX($AH$2:$AH$1001,MATCH(ROWS($AG$2:AG376),$AG$2:$AG$1001,0),1)&gt;=100000,INDEX($AN$1005:$BO$1005,1,MATCH(COLUMNS($AN$1006:BL1006),$AN$1006:$BO$1006,0))&gt;=100000), " ",IF(INDEX($AN$2:$BO$1001,MATCH(ROWS($AG$2:AG376),$AG$2:$AG$1001,0),MATCH(COLUMNS($AN$1006:BL1006),$AN$1006:$BO$1006,0)), HYPERLINK("#",""), HYPERLINK(CONCATENATE("#Metadata!", ADDRESS(INDEX($AI$2:$AI$1001,MATCH(ROWS($AG$2:AG376),$AG$2:$AG$1001,0),0), INDEX($AN$1004:$BO$1004,1,MATCH(COLUMNS($AN$1006:BL1006),$AN$1006:$BO$1006,0)))),"Fix")))</f>
        <v>0</v>
      </c>
      <c r="AA376" s="4">
        <f>IF(OR(INDEX($AH$2:$AH$1001,MATCH(ROWS($AG$2:AG376),$AG$2:$AG$1001,0),1)&gt;=100000,INDEX($AN$1005:$BO$1005,1,MATCH(COLUMNS($AN$1006:BM1006),$AN$1006:$BO$1006,0))&gt;=100000), " ",IF(INDEX($AN$2:$BO$1001,MATCH(ROWS($AG$2:AG376),$AG$2:$AG$1001,0),MATCH(COLUMNS($AN$1006:BM1006),$AN$1006:$BO$1006,0)), HYPERLINK("#",""), HYPERLINK(CONCATENATE("#Metadata!", ADDRESS(INDEX($AI$2:$AI$1001,MATCH(ROWS($AG$2:AG376),$AG$2:$AG$1001,0),0), INDEX($AN$1004:$BO$1004,1,MATCH(COLUMNS($AN$1006:BM1006),$AN$1006:$BO$1006,0)))),"Fix")))</f>
        <v>0</v>
      </c>
      <c r="AB376" s="4">
        <f>IF(OR(INDEX($AH$2:$AH$1001,MATCH(ROWS($AG$2:AG376),$AG$2:$AG$1001,0),1)&gt;=100000,INDEX($AN$1005:$BO$1005,1,MATCH(COLUMNS($AN$1006:BN1006),$AN$1006:$BO$1006,0))&gt;=100000), " ",IF(INDEX($AN$2:$BO$1001,MATCH(ROWS($AG$2:AG376),$AG$2:$AG$1001,0),MATCH(COLUMNS($AN$1006:BN1006),$AN$1006:$BO$1006,0)), HYPERLINK("#",""), HYPERLINK(CONCATENATE("#Metadata!", ADDRESS(INDEX($AI$2:$AI$1001,MATCH(ROWS($AG$2:AG376),$AG$2:$AG$1001,0),0), INDEX($AN$1004:$BO$1004,1,MATCH(COLUMNS($AN$1006:BN1006),$AN$1006:$BO$1006,0)))),"Fix")))</f>
        <v>0</v>
      </c>
      <c r="AC376" s="4">
        <f>IF(OR(INDEX($AH$2:$AH$1001,MATCH(ROWS($AG$2:AG376),$AG$2:$AG$1001,0),1)&gt;=100000,INDEX($AN$1005:$BO$1005,1,MATCH(COLUMNS($AN$1006:BO1006),$AN$1006:$BO$1006,0))&gt;=100000), " ",IF(INDEX($AN$2:$BO$1001,MATCH(ROWS($AG$2:AG376),$AG$2:$AG$1001,0),MATCH(COLUMNS($AN$1006:BO1006),$AN$1006:$BO$1006,0)), HYPERLINK("#",""), HYPERLINK(CONCATENATE("#Metadata!", ADDRESS(INDEX($AI$2:$AI$1001,MATCH(ROWS($AG$2:AG376),$AG$2:$AG$1001,0),0), INDEX($AN$1004:$BO$1004,1,MATCH(COLUMNS($AN$1006:BO1006),$AN$1006:$BO$1006,0)))),"Fix")))</f>
        <v>0</v>
      </c>
      <c r="AG376">
        <v>0</v>
      </c>
      <c r="AH376">
        <v>0</v>
      </c>
      <c r="AI376">
        <v>0</v>
      </c>
      <c r="AJ376">
        <f>IF(AK376,TRUE,AND(AN376:BO376))</f>
        <v>0</v>
      </c>
      <c r="AK376">
        <f>COUNTBLANK(Metadata!B376:AC376)=COLUMNS(Metadata!B376:AC376)</f>
        <v>0</v>
      </c>
      <c r="AL376">
        <v>0</v>
      </c>
      <c r="AN376">
        <f>AND(IF(Metadata!B376="",FALSE,TRUE),COUNTIF(Metadata!B:B, Metadata!B376) = 1,NOT(ISERROR(SUMPRODUCT(SEARCH(MID(Metadata!B376,ROW(INDIRECT("1:"&amp;LEN(Metadata!B376))), 1),"0123456789abcdefghijklmnopqrstuvwxyzABCDEFGHIJKLMNOPQRSTUVWXYZ.")))))</f>
        <v>0</v>
      </c>
      <c r="AO376">
        <f>IF(Metadata!C376="",FALSE,TRUE)</f>
        <v>0</v>
      </c>
      <c r="AP376">
        <f>IF(Metadata!D376="",FALSE,TRUE)</f>
        <v>0</v>
      </c>
      <c r="AQ376">
        <f>OR(AND(IF(Metadata!E376="",FALSE,TRUE),OR(exact(Metadata!E376,"not collected"),exact(Metadata!E376,"not provided"),exact(Metadata!E376,"restricted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R376">
        <f>IF(Metadata!F376="",FALSE,TRUE)</f>
        <v>0</v>
      </c>
      <c r="AS376">
        <f>OR(AND(IF(Metadata!G376="",FALSE,TRUE),OR(exact(Metadata!G376,"not collected"),exact(Metadata!G376,"not provided"))),AND(IF(Metadata!G376="",FALSE,TRUE),OR(exact(Metadata!G376,"TRUE"),exact(Metadata!G376,"FALSE"))))</f>
        <v>0</v>
      </c>
      <c r="AT376">
        <f>OR(AND(IF(Metadata!H376="",FALSE,TRUE),OR(exact(Metadata!H376,"not collected"),exact(Metadata!H376,"not provided"),exact(Metadata!H376,"restricted access"))),AND(IF(Metadata!H376="",FALSE,ISNUMBER(VALUE(Metadata!H376))),Metadata!H376&gt;=-413.0))</f>
        <v>0</v>
      </c>
      <c r="AU376">
        <f>AND(IF(Metadata!I376="",FALSE,TRUE),exact(Metadata!I376,"meters"))</f>
        <v>0</v>
      </c>
      <c r="AV376">
        <f>AND(IF(Metadata!J376="",FALSE,TRUE),OR(exact(Metadata!J376,"Host-associated"),exact(Metadata!J376,"Free-living")))</f>
        <v>0</v>
      </c>
      <c r="AW376">
        <f>AND(IF(Metadata!K376="",FALSE,TRUE),OR(exact(Metadata!K376,"Animal"),exact(Metadata!K376,"Fungus"),exact(Metadata!K376,"Plant"),exact(Metadata!K376,"Saline"),exact(Metadata!K376,"Non-saline")))</f>
        <v>0</v>
      </c>
      <c r="AX376">
        <f>AND(IF(Metadata!L376="",FALSE,TRUE),OR(exact(Metadata!L376,"Plant secretion"),exact(Metadata!L376,"Plant rhizosphere"),exact(Metadata!L376,"Plant surface"),exact(Metadata!L376,"Plant corpus"),exact(Metadata!L376,"Fungus surface"),exact(Metadata!L376,"Fungus corpus"),exact(Metadata!L376,"Animal surface"),exact(Metadata!L376,"Animal proximal gut"),exact(Metadata!L376,"Animal corpus"),exact(Metadata!L376,"Animal distal gut"),exact(Metadata!L376,"Animal secretion"),exact(Metadata!L376,"Sub-surface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Y376">
        <f>IF(Metadata!M376="",FALSE,TRUE)</f>
        <v>0</v>
      </c>
      <c r="AZ376">
        <f>IF(Metadata!N376="",FALSE,TRUE)</f>
        <v>0</v>
      </c>
      <c r="BA376">
        <f>IF(Metadata!O376="",FALSE,TRUE)</f>
        <v>0</v>
      </c>
      <c r="BB376">
        <f>OR(AND(IF(Metadata!P376="",FALSE,TRUE),OR(exact(Metadata!P376,"not collected"),exact(Metadata!P376,"not provided"),exact(Metadata!P376,"restricted access"))),AND(IF(Metadata!P376="",FALSE,TRUE),OR(exact(Metadata!P376,"air"),exact(Metadata!P376,"built environment"),exact(Metadata!P376,"host-associated"),exact(Metadata!P376,"human-associated"),exact(Metadata!P376,"human-skin"),exact(Metadata!P376,"human-oral"),exact(Metadata!P376,"human-gut"),exact(Metadata!P376,"human-vaginal"),exact(Metadata!P376,"microbial mat/biofilm"),exact(Metadata!P376,"misc environment"),exact(Metadata!P376,"plant-associated"),exact(Metadata!P376,"sediment"),exact(Metadata!P376,"soil"),exact(Metadata!P376,"wastewater/sludge"),exact(Metadata!P376,"water"))))</f>
        <v>0</v>
      </c>
      <c r="BC376">
        <f>IF(Metadata!Q376="",FALSE,TRUE)</f>
        <v>0</v>
      </c>
      <c r="BD376">
        <f>IF(Metadata!R376="",FALSE,TRUE)</f>
        <v>0</v>
      </c>
      <c r="BE376">
        <f>OR(AND(IF(Metadata!S376="",FALSE,TRUE),OR(exact(Metadata!S376,"not collected"),exact(Metadata!S376,"not provided"),exact(Metadata!S376,"restricted access"))),AND(IF(Metadata!S376="",FALSE,ISNUMBER(VALUE(Metadata!S376))),Metadata!S376&gt;=-90.00,Metadata!S376&lt;=90.00))</f>
        <v>0</v>
      </c>
      <c r="BF376">
        <f>AND(IF(Metadata!T376="",FALSE,TRUE),exact(Metadata!T376,"Decimal degrees"))</f>
        <v>0</v>
      </c>
      <c r="BG376">
        <f>OR(AND(IF(Metadata!U376="",FALSE,TRUE),OR(exact(Metadata!U376,"not collected"),exact(Metadata!U376,"not provided"),exact(Metadata!U376,"restricted access"))),AND(IF(Metadata!U376="",FALSE,ISNUMBER(VALUE(Metadata!U376))),Metadata!U376&gt;=-180.00,Metadata!U376&lt;=180.00))</f>
        <v>0</v>
      </c>
      <c r="BH376">
        <f>AND(IF(Metadata!V376="",FALSE,TRUE),exact(Metadata!V376,"Decimal degrees"))</f>
        <v>0</v>
      </c>
      <c r="BI376">
        <f>IF(Metadata!W376="",FALSE,TRUE)</f>
        <v>0</v>
      </c>
      <c r="BJ376">
        <f>OR(AND(IF(Metadata!X376="",FALSE,TRUE),OR(exact(Metadata!X376,"not collected"),exact(Metadata!X376,"not provided"),exact(Metadata!X376,"restricted access"))),AND(IF(Metadata!X376="",FALSE,TRUE),OR(exact(Metadata!X376,"TRUE"),exact(Metadata!X376,"FALSE"))))</f>
        <v>0</v>
      </c>
      <c r="BK376">
        <f>AND(IF(Metadata!Y376="",FALSE,TRUE),exact(Metadata!Y376,"other"))</f>
        <v>0</v>
      </c>
      <c r="BL376">
        <f>IF(Metadata!Z376="",FALSE,TRUE)</f>
        <v>0</v>
      </c>
      <c r="BM376">
        <f>OR(AND(IF(Metadata!AA376="",FALSE,TRUE),OR(exact(Metadata!AA376,"not collected"),exact(Metadata!AA376,"not provided"))),AND(IF(Metadata!AA376="",FALSE,IF(ISERROR(INT(Metadata!AA376)),FALSE,INT(Metadata!AA376)=Metadata!AA376)),Metadata!AA376&gt;0))</f>
        <v>0</v>
      </c>
      <c r="BN376">
        <f>AND(IF(Metadata!AB376="",FALSE,TRUE),exact(Metadata!AB376,"Not applicable"))</f>
        <v>0</v>
      </c>
      <c r="BO376">
        <f>IF(Metadata!AC376="",FALSE,TRUE)</f>
        <v>0</v>
      </c>
    </row>
    <row r="377" spans="1:67">
      <c r="A377" s="5">
        <f>IF(B377=" "," ",HYPERLINK(CONCATENATE("#metadata!",ADDRESS(INDEX($AI$2:$AI$1001,MATCH(ROWS($AG$2:AG377),$AG$2:$AG$1001,0),0),1)),INDEX($AL$2:$AL$1001,MATCH(ROWS($AG$2:AG377),$AG$2:$AG$1001,0),0)))</f>
        <v>0</v>
      </c>
      <c r="B377" s="4">
        <f>IF(OR(INDEX($AH$2:$AH$1001,MATCH(ROWS($AG$2:AG377),$AG$2:$AG$1001,0),1)&gt;=100000,INDEX($AN$1005:$BO$1005,1,MATCH(COLUMNS($AN$1006:AN1006),$AN$1006:$BO$1006,0))&gt;=100000), " ",IF(INDEX($AN$2:$BO$1001,MATCH(ROWS($AG$2:AG377),$AG$2:$AG$1001,0),MATCH(COLUMNS($AN$1006:AN1006),$AN$1006:$BO$1006,0)), HYPERLINK("#",""), HYPERLINK(CONCATENATE("#Metadata!", ADDRESS(INDEX($AI$2:$AI$1001,MATCH(ROWS($AG$2:AG377),$AG$2:$AG$1001,0),0), INDEX($AN$1004:$BO$1004,1,MATCH(COLUMNS($AN$1006:AN1006),$AN$1006:$BO$1006,0)))),"Fix")))</f>
        <v>0</v>
      </c>
      <c r="C377" s="4">
        <f>IF(OR(INDEX($AH$2:$AH$1001,MATCH(ROWS($AG$2:AG377),$AG$2:$AG$1001,0),1)&gt;=100000,INDEX($AN$1005:$BO$1005,1,MATCH(COLUMNS($AN$1006:AO1006),$AN$1006:$BO$1006,0))&gt;=100000), " ",IF(INDEX($AN$2:$BO$1001,MATCH(ROWS($AG$2:AG377),$AG$2:$AG$1001,0),MATCH(COLUMNS($AN$1006:AO1006),$AN$1006:$BO$1006,0)), HYPERLINK("#",""), HYPERLINK(CONCATENATE("#Metadata!", ADDRESS(INDEX($AI$2:$AI$1001,MATCH(ROWS($AG$2:AG377),$AG$2:$AG$1001,0),0), INDEX($AN$1004:$BO$1004,1,MATCH(COLUMNS($AN$1006:AO1006),$AN$1006:$BO$1006,0)))),"Fix")))</f>
        <v>0</v>
      </c>
      <c r="D377" s="4">
        <f>IF(OR(INDEX($AH$2:$AH$1001,MATCH(ROWS($AG$2:AG377),$AG$2:$AG$1001,0),1)&gt;=100000,INDEX($AN$1005:$BO$1005,1,MATCH(COLUMNS($AN$1006:AP1006),$AN$1006:$BO$1006,0))&gt;=100000), " ",IF(INDEX($AN$2:$BO$1001,MATCH(ROWS($AG$2:AG377),$AG$2:$AG$1001,0),MATCH(COLUMNS($AN$1006:AP1006),$AN$1006:$BO$1006,0)), HYPERLINK("#",""), HYPERLINK(CONCATENATE("#Metadata!", ADDRESS(INDEX($AI$2:$AI$1001,MATCH(ROWS($AG$2:AG377),$AG$2:$AG$1001,0),0), INDEX($AN$1004:$BO$1004,1,MATCH(COLUMNS($AN$1006:AP1006),$AN$1006:$BO$1006,0)))),"Fix")))</f>
        <v>0</v>
      </c>
      <c r="E377" s="4">
        <f>IF(OR(INDEX($AH$2:$AH$1001,MATCH(ROWS($AG$2:AG377),$AG$2:$AG$1001,0),1)&gt;=100000,INDEX($AN$1005:$BO$1005,1,MATCH(COLUMNS($AN$1006:AQ1006),$AN$1006:$BO$1006,0))&gt;=100000), " ",IF(INDEX($AN$2:$BO$1001,MATCH(ROWS($AG$2:AG377),$AG$2:$AG$1001,0),MATCH(COLUMNS($AN$1006:AQ1006),$AN$1006:$BO$1006,0)), HYPERLINK("#",""), HYPERLINK(CONCATENATE("#Metadata!", ADDRESS(INDEX($AI$2:$AI$1001,MATCH(ROWS($AG$2:AG377),$AG$2:$AG$1001,0),0), INDEX($AN$1004:$BO$1004,1,MATCH(COLUMNS($AN$1006:AQ1006),$AN$1006:$BO$1006,0)))),"Fix")))</f>
        <v>0</v>
      </c>
      <c r="F377" s="4">
        <f>IF(OR(INDEX($AH$2:$AH$1001,MATCH(ROWS($AG$2:AG377),$AG$2:$AG$1001,0),1)&gt;=100000,INDEX($AN$1005:$BO$1005,1,MATCH(COLUMNS($AN$1006:AR1006),$AN$1006:$BO$1006,0))&gt;=100000), " ",IF(INDEX($AN$2:$BO$1001,MATCH(ROWS($AG$2:AG377),$AG$2:$AG$1001,0),MATCH(COLUMNS($AN$1006:AR1006),$AN$1006:$BO$1006,0)), HYPERLINK("#",""), HYPERLINK(CONCATENATE("#Metadata!", ADDRESS(INDEX($AI$2:$AI$1001,MATCH(ROWS($AG$2:AG377),$AG$2:$AG$1001,0),0), INDEX($AN$1004:$BO$1004,1,MATCH(COLUMNS($AN$1006:AR1006),$AN$1006:$BO$1006,0)))),"Fix")))</f>
        <v>0</v>
      </c>
      <c r="G377" s="4">
        <f>IF(OR(INDEX($AH$2:$AH$1001,MATCH(ROWS($AG$2:AG377),$AG$2:$AG$1001,0),1)&gt;=100000,INDEX($AN$1005:$BO$1005,1,MATCH(COLUMNS($AN$1006:AS1006),$AN$1006:$BO$1006,0))&gt;=100000), " ",IF(INDEX($AN$2:$BO$1001,MATCH(ROWS($AG$2:AG377),$AG$2:$AG$1001,0),MATCH(COLUMNS($AN$1006:AS1006),$AN$1006:$BO$1006,0)), HYPERLINK("#",""), HYPERLINK(CONCATENATE("#Metadata!", ADDRESS(INDEX($AI$2:$AI$1001,MATCH(ROWS($AG$2:AG377),$AG$2:$AG$1001,0),0), INDEX($AN$1004:$BO$1004,1,MATCH(COLUMNS($AN$1006:AS1006),$AN$1006:$BO$1006,0)))),"Fix")))</f>
        <v>0</v>
      </c>
      <c r="H377" s="4">
        <f>IF(OR(INDEX($AH$2:$AH$1001,MATCH(ROWS($AG$2:AG377),$AG$2:$AG$1001,0),1)&gt;=100000,INDEX($AN$1005:$BO$1005,1,MATCH(COLUMNS($AN$1006:AT1006),$AN$1006:$BO$1006,0))&gt;=100000), " ",IF(INDEX($AN$2:$BO$1001,MATCH(ROWS($AG$2:AG377),$AG$2:$AG$1001,0),MATCH(COLUMNS($AN$1006:AT1006),$AN$1006:$BO$1006,0)), HYPERLINK("#",""), HYPERLINK(CONCATENATE("#Metadata!", ADDRESS(INDEX($AI$2:$AI$1001,MATCH(ROWS($AG$2:AG377),$AG$2:$AG$1001,0),0), INDEX($AN$1004:$BO$1004,1,MATCH(COLUMNS($AN$1006:AT1006),$AN$1006:$BO$1006,0)))),"Fix")))</f>
        <v>0</v>
      </c>
      <c r="I377" s="4">
        <f>IF(OR(INDEX($AH$2:$AH$1001,MATCH(ROWS($AG$2:AG377),$AG$2:$AG$1001,0),1)&gt;=100000,INDEX($AN$1005:$BO$1005,1,MATCH(COLUMNS($AN$1006:AU1006),$AN$1006:$BO$1006,0))&gt;=100000), " ",IF(INDEX($AN$2:$BO$1001,MATCH(ROWS($AG$2:AG377),$AG$2:$AG$1001,0),MATCH(COLUMNS($AN$1006:AU1006),$AN$1006:$BO$1006,0)), HYPERLINK("#",""), HYPERLINK(CONCATENATE("#Metadata!", ADDRESS(INDEX($AI$2:$AI$1001,MATCH(ROWS($AG$2:AG377),$AG$2:$AG$1001,0),0), INDEX($AN$1004:$BO$1004,1,MATCH(COLUMNS($AN$1006:AU1006),$AN$1006:$BO$1006,0)))),"Fix")))</f>
        <v>0</v>
      </c>
      <c r="J377" s="4">
        <f>IF(OR(INDEX($AH$2:$AH$1001,MATCH(ROWS($AG$2:AG377),$AG$2:$AG$1001,0),1)&gt;=100000,INDEX($AN$1005:$BO$1005,1,MATCH(COLUMNS($AN$1006:AV1006),$AN$1006:$BO$1006,0))&gt;=100000), " ",IF(INDEX($AN$2:$BO$1001,MATCH(ROWS($AG$2:AG377),$AG$2:$AG$1001,0),MATCH(COLUMNS($AN$1006:AV1006),$AN$1006:$BO$1006,0)), HYPERLINK("#",""), HYPERLINK(CONCATENATE("#Metadata!", ADDRESS(INDEX($AI$2:$AI$1001,MATCH(ROWS($AG$2:AG377),$AG$2:$AG$1001,0),0), INDEX($AN$1004:$BO$1004,1,MATCH(COLUMNS($AN$1006:AV1006),$AN$1006:$BO$1006,0)))),"Fix")))</f>
        <v>0</v>
      </c>
      <c r="K377" s="4">
        <f>IF(OR(INDEX($AH$2:$AH$1001,MATCH(ROWS($AG$2:AG377),$AG$2:$AG$1001,0),1)&gt;=100000,INDEX($AN$1005:$BO$1005,1,MATCH(COLUMNS($AN$1006:AW1006),$AN$1006:$BO$1006,0))&gt;=100000), " ",IF(INDEX($AN$2:$BO$1001,MATCH(ROWS($AG$2:AG377),$AG$2:$AG$1001,0),MATCH(COLUMNS($AN$1006:AW1006),$AN$1006:$BO$1006,0)), HYPERLINK("#",""), HYPERLINK(CONCATENATE("#Metadata!", ADDRESS(INDEX($AI$2:$AI$1001,MATCH(ROWS($AG$2:AG377),$AG$2:$AG$1001,0),0), INDEX($AN$1004:$BO$1004,1,MATCH(COLUMNS($AN$1006:AW1006),$AN$1006:$BO$1006,0)))),"Fix")))</f>
        <v>0</v>
      </c>
      <c r="L377" s="4">
        <f>IF(OR(INDEX($AH$2:$AH$1001,MATCH(ROWS($AG$2:AG377),$AG$2:$AG$1001,0),1)&gt;=100000,INDEX($AN$1005:$BO$1005,1,MATCH(COLUMNS($AN$1006:AX1006),$AN$1006:$BO$1006,0))&gt;=100000), " ",IF(INDEX($AN$2:$BO$1001,MATCH(ROWS($AG$2:AG377),$AG$2:$AG$1001,0),MATCH(COLUMNS($AN$1006:AX1006),$AN$1006:$BO$1006,0)), HYPERLINK("#",""), HYPERLINK(CONCATENATE("#Metadata!", ADDRESS(INDEX($AI$2:$AI$1001,MATCH(ROWS($AG$2:AG377),$AG$2:$AG$1001,0),0), INDEX($AN$1004:$BO$1004,1,MATCH(COLUMNS($AN$1006:AX1006),$AN$1006:$BO$1006,0)))),"Fix")))</f>
        <v>0</v>
      </c>
      <c r="M377" s="4">
        <f>IF(OR(INDEX($AH$2:$AH$1001,MATCH(ROWS($AG$2:AG377),$AG$2:$AG$1001,0),1)&gt;=100000,INDEX($AN$1005:$BO$1005,1,MATCH(COLUMNS($AN$1006:AY1006),$AN$1006:$BO$1006,0))&gt;=100000), " ",IF(INDEX($AN$2:$BO$1001,MATCH(ROWS($AG$2:AG377),$AG$2:$AG$1001,0),MATCH(COLUMNS($AN$1006:AY1006),$AN$1006:$BO$1006,0)), HYPERLINK("#",""), HYPERLINK(CONCATENATE("#Metadata!", ADDRESS(INDEX($AI$2:$AI$1001,MATCH(ROWS($AG$2:AG377),$AG$2:$AG$1001,0),0), INDEX($AN$1004:$BO$1004,1,MATCH(COLUMNS($AN$1006:AY1006),$AN$1006:$BO$1006,0)))),"Fix")))</f>
        <v>0</v>
      </c>
      <c r="N377" s="4">
        <f>IF(OR(INDEX($AH$2:$AH$1001,MATCH(ROWS($AG$2:AG377),$AG$2:$AG$1001,0),1)&gt;=100000,INDEX($AN$1005:$BO$1005,1,MATCH(COLUMNS($AN$1006:AZ1006),$AN$1006:$BO$1006,0))&gt;=100000), " ",IF(INDEX($AN$2:$BO$1001,MATCH(ROWS($AG$2:AG377),$AG$2:$AG$1001,0),MATCH(COLUMNS($AN$1006:AZ1006),$AN$1006:$BO$1006,0)), HYPERLINK("#",""), HYPERLINK(CONCATENATE("#Metadata!", ADDRESS(INDEX($AI$2:$AI$1001,MATCH(ROWS($AG$2:AG377),$AG$2:$AG$1001,0),0), INDEX($AN$1004:$BO$1004,1,MATCH(COLUMNS($AN$1006:AZ1006),$AN$1006:$BO$1006,0)))),"Fix")))</f>
        <v>0</v>
      </c>
      <c r="O377" s="4">
        <f>IF(OR(INDEX($AH$2:$AH$1001,MATCH(ROWS($AG$2:AG377),$AG$2:$AG$1001,0),1)&gt;=100000,INDEX($AN$1005:$BO$1005,1,MATCH(COLUMNS($AN$1006:BA1006),$AN$1006:$BO$1006,0))&gt;=100000), " ",IF(INDEX($AN$2:$BO$1001,MATCH(ROWS($AG$2:AG377),$AG$2:$AG$1001,0),MATCH(COLUMNS($AN$1006:BA1006),$AN$1006:$BO$1006,0)), HYPERLINK("#",""), HYPERLINK(CONCATENATE("#Metadata!", ADDRESS(INDEX($AI$2:$AI$1001,MATCH(ROWS($AG$2:AG377),$AG$2:$AG$1001,0),0), INDEX($AN$1004:$BO$1004,1,MATCH(COLUMNS($AN$1006:BA1006),$AN$1006:$BO$1006,0)))),"Fix")))</f>
        <v>0</v>
      </c>
      <c r="P377" s="4">
        <f>IF(OR(INDEX($AH$2:$AH$1001,MATCH(ROWS($AG$2:AG377),$AG$2:$AG$1001,0),1)&gt;=100000,INDEX($AN$1005:$BO$1005,1,MATCH(COLUMNS($AN$1006:BB1006),$AN$1006:$BO$1006,0))&gt;=100000), " ",IF(INDEX($AN$2:$BO$1001,MATCH(ROWS($AG$2:AG377),$AG$2:$AG$1001,0),MATCH(COLUMNS($AN$1006:BB1006),$AN$1006:$BO$1006,0)), HYPERLINK("#",""), HYPERLINK(CONCATENATE("#Metadata!", ADDRESS(INDEX($AI$2:$AI$1001,MATCH(ROWS($AG$2:AG377),$AG$2:$AG$1001,0),0), INDEX($AN$1004:$BO$1004,1,MATCH(COLUMNS($AN$1006:BB1006),$AN$1006:$BO$1006,0)))),"Fix")))</f>
        <v>0</v>
      </c>
      <c r="Q377" s="4">
        <f>IF(OR(INDEX($AH$2:$AH$1001,MATCH(ROWS($AG$2:AG377),$AG$2:$AG$1001,0),1)&gt;=100000,INDEX($AN$1005:$BO$1005,1,MATCH(COLUMNS($AN$1006:BC1006),$AN$1006:$BO$1006,0))&gt;=100000), " ",IF(INDEX($AN$2:$BO$1001,MATCH(ROWS($AG$2:AG377),$AG$2:$AG$1001,0),MATCH(COLUMNS($AN$1006:BC1006),$AN$1006:$BO$1006,0)), HYPERLINK("#",""), HYPERLINK(CONCATENATE("#Metadata!", ADDRESS(INDEX($AI$2:$AI$1001,MATCH(ROWS($AG$2:AG377),$AG$2:$AG$1001,0),0), INDEX($AN$1004:$BO$1004,1,MATCH(COLUMNS($AN$1006:BC1006),$AN$1006:$BO$1006,0)))),"Fix")))</f>
        <v>0</v>
      </c>
      <c r="R377" s="4">
        <f>IF(OR(INDEX($AH$2:$AH$1001,MATCH(ROWS($AG$2:AG377),$AG$2:$AG$1001,0),1)&gt;=100000,INDEX($AN$1005:$BO$1005,1,MATCH(COLUMNS($AN$1006:BD1006),$AN$1006:$BO$1006,0))&gt;=100000), " ",IF(INDEX($AN$2:$BO$1001,MATCH(ROWS($AG$2:AG377),$AG$2:$AG$1001,0),MATCH(COLUMNS($AN$1006:BD1006),$AN$1006:$BO$1006,0)), HYPERLINK("#",""), HYPERLINK(CONCATENATE("#Metadata!", ADDRESS(INDEX($AI$2:$AI$1001,MATCH(ROWS($AG$2:AG377),$AG$2:$AG$1001,0),0), INDEX($AN$1004:$BO$1004,1,MATCH(COLUMNS($AN$1006:BD1006),$AN$1006:$BO$1006,0)))),"Fix")))</f>
        <v>0</v>
      </c>
      <c r="S377" s="4">
        <f>IF(OR(INDEX($AH$2:$AH$1001,MATCH(ROWS($AG$2:AG377),$AG$2:$AG$1001,0),1)&gt;=100000,INDEX($AN$1005:$BO$1005,1,MATCH(COLUMNS($AN$1006:BE1006),$AN$1006:$BO$1006,0))&gt;=100000), " ",IF(INDEX($AN$2:$BO$1001,MATCH(ROWS($AG$2:AG377),$AG$2:$AG$1001,0),MATCH(COLUMNS($AN$1006:BE1006),$AN$1006:$BO$1006,0)), HYPERLINK("#",""), HYPERLINK(CONCATENATE("#Metadata!", ADDRESS(INDEX($AI$2:$AI$1001,MATCH(ROWS($AG$2:AG377),$AG$2:$AG$1001,0),0), INDEX($AN$1004:$BO$1004,1,MATCH(COLUMNS($AN$1006:BE1006),$AN$1006:$BO$1006,0)))),"Fix")))</f>
        <v>0</v>
      </c>
      <c r="T377" s="4">
        <f>IF(OR(INDEX($AH$2:$AH$1001,MATCH(ROWS($AG$2:AG377),$AG$2:$AG$1001,0),1)&gt;=100000,INDEX($AN$1005:$BO$1005,1,MATCH(COLUMNS($AN$1006:BF1006),$AN$1006:$BO$1006,0))&gt;=100000), " ",IF(INDEX($AN$2:$BO$1001,MATCH(ROWS($AG$2:AG377),$AG$2:$AG$1001,0),MATCH(COLUMNS($AN$1006:BF1006),$AN$1006:$BO$1006,0)), HYPERLINK("#",""), HYPERLINK(CONCATENATE("#Metadata!", ADDRESS(INDEX($AI$2:$AI$1001,MATCH(ROWS($AG$2:AG377),$AG$2:$AG$1001,0),0), INDEX($AN$1004:$BO$1004,1,MATCH(COLUMNS($AN$1006:BF1006),$AN$1006:$BO$1006,0)))),"Fix")))</f>
        <v>0</v>
      </c>
      <c r="U377" s="4">
        <f>IF(OR(INDEX($AH$2:$AH$1001,MATCH(ROWS($AG$2:AG377),$AG$2:$AG$1001,0),1)&gt;=100000,INDEX($AN$1005:$BO$1005,1,MATCH(COLUMNS($AN$1006:BG1006),$AN$1006:$BO$1006,0))&gt;=100000), " ",IF(INDEX($AN$2:$BO$1001,MATCH(ROWS($AG$2:AG377),$AG$2:$AG$1001,0),MATCH(COLUMNS($AN$1006:BG1006),$AN$1006:$BO$1006,0)), HYPERLINK("#",""), HYPERLINK(CONCATENATE("#Metadata!", ADDRESS(INDEX($AI$2:$AI$1001,MATCH(ROWS($AG$2:AG377),$AG$2:$AG$1001,0),0), INDEX($AN$1004:$BO$1004,1,MATCH(COLUMNS($AN$1006:BG1006),$AN$1006:$BO$1006,0)))),"Fix")))</f>
        <v>0</v>
      </c>
      <c r="V377" s="4">
        <f>IF(OR(INDEX($AH$2:$AH$1001,MATCH(ROWS($AG$2:AG377),$AG$2:$AG$1001,0),1)&gt;=100000,INDEX($AN$1005:$BO$1005,1,MATCH(COLUMNS($AN$1006:BH1006),$AN$1006:$BO$1006,0))&gt;=100000), " ",IF(INDEX($AN$2:$BO$1001,MATCH(ROWS($AG$2:AG377),$AG$2:$AG$1001,0),MATCH(COLUMNS($AN$1006:BH1006),$AN$1006:$BO$1006,0)), HYPERLINK("#",""), HYPERLINK(CONCATENATE("#Metadata!", ADDRESS(INDEX($AI$2:$AI$1001,MATCH(ROWS($AG$2:AG377),$AG$2:$AG$1001,0),0), INDEX($AN$1004:$BO$1004,1,MATCH(COLUMNS($AN$1006:BH1006),$AN$1006:$BO$1006,0)))),"Fix")))</f>
        <v>0</v>
      </c>
      <c r="W377" s="4">
        <f>IF(OR(INDEX($AH$2:$AH$1001,MATCH(ROWS($AG$2:AG377),$AG$2:$AG$1001,0),1)&gt;=100000,INDEX($AN$1005:$BO$1005,1,MATCH(COLUMNS($AN$1006:BI1006),$AN$1006:$BO$1006,0))&gt;=100000), " ",IF(INDEX($AN$2:$BO$1001,MATCH(ROWS($AG$2:AG377),$AG$2:$AG$1001,0),MATCH(COLUMNS($AN$1006:BI1006),$AN$1006:$BO$1006,0)), HYPERLINK("#",""), HYPERLINK(CONCATENATE("#Metadata!", ADDRESS(INDEX($AI$2:$AI$1001,MATCH(ROWS($AG$2:AG377),$AG$2:$AG$1001,0),0), INDEX($AN$1004:$BO$1004,1,MATCH(COLUMNS($AN$1006:BI1006),$AN$1006:$BO$1006,0)))),"Fix")))</f>
        <v>0</v>
      </c>
      <c r="X377" s="4">
        <f>IF(OR(INDEX($AH$2:$AH$1001,MATCH(ROWS($AG$2:AG377),$AG$2:$AG$1001,0),1)&gt;=100000,INDEX($AN$1005:$BO$1005,1,MATCH(COLUMNS($AN$1006:BJ1006),$AN$1006:$BO$1006,0))&gt;=100000), " ",IF(INDEX($AN$2:$BO$1001,MATCH(ROWS($AG$2:AG377),$AG$2:$AG$1001,0),MATCH(COLUMNS($AN$1006:BJ1006),$AN$1006:$BO$1006,0)), HYPERLINK("#",""), HYPERLINK(CONCATENATE("#Metadata!", ADDRESS(INDEX($AI$2:$AI$1001,MATCH(ROWS($AG$2:AG377),$AG$2:$AG$1001,0),0), INDEX($AN$1004:$BO$1004,1,MATCH(COLUMNS($AN$1006:BJ1006),$AN$1006:$BO$1006,0)))),"Fix")))</f>
        <v>0</v>
      </c>
      <c r="Y377" s="4">
        <f>IF(OR(INDEX($AH$2:$AH$1001,MATCH(ROWS($AG$2:AG377),$AG$2:$AG$1001,0),1)&gt;=100000,INDEX($AN$1005:$BO$1005,1,MATCH(COLUMNS($AN$1006:BK1006),$AN$1006:$BO$1006,0))&gt;=100000), " ",IF(INDEX($AN$2:$BO$1001,MATCH(ROWS($AG$2:AG377),$AG$2:$AG$1001,0),MATCH(COLUMNS($AN$1006:BK1006),$AN$1006:$BO$1006,0)), HYPERLINK("#",""), HYPERLINK(CONCATENATE("#Metadata!", ADDRESS(INDEX($AI$2:$AI$1001,MATCH(ROWS($AG$2:AG377),$AG$2:$AG$1001,0),0), INDEX($AN$1004:$BO$1004,1,MATCH(COLUMNS($AN$1006:BK1006),$AN$1006:$BO$1006,0)))),"Fix")))</f>
        <v>0</v>
      </c>
      <c r="Z377" s="4">
        <f>IF(OR(INDEX($AH$2:$AH$1001,MATCH(ROWS($AG$2:AG377),$AG$2:$AG$1001,0),1)&gt;=100000,INDEX($AN$1005:$BO$1005,1,MATCH(COLUMNS($AN$1006:BL1006),$AN$1006:$BO$1006,0))&gt;=100000), " ",IF(INDEX($AN$2:$BO$1001,MATCH(ROWS($AG$2:AG377),$AG$2:$AG$1001,0),MATCH(COLUMNS($AN$1006:BL1006),$AN$1006:$BO$1006,0)), HYPERLINK("#",""), HYPERLINK(CONCATENATE("#Metadata!", ADDRESS(INDEX($AI$2:$AI$1001,MATCH(ROWS($AG$2:AG377),$AG$2:$AG$1001,0),0), INDEX($AN$1004:$BO$1004,1,MATCH(COLUMNS($AN$1006:BL1006),$AN$1006:$BO$1006,0)))),"Fix")))</f>
        <v>0</v>
      </c>
      <c r="AA377" s="4">
        <f>IF(OR(INDEX($AH$2:$AH$1001,MATCH(ROWS($AG$2:AG377),$AG$2:$AG$1001,0),1)&gt;=100000,INDEX($AN$1005:$BO$1005,1,MATCH(COLUMNS($AN$1006:BM1006),$AN$1006:$BO$1006,0))&gt;=100000), " ",IF(INDEX($AN$2:$BO$1001,MATCH(ROWS($AG$2:AG377),$AG$2:$AG$1001,0),MATCH(COLUMNS($AN$1006:BM1006),$AN$1006:$BO$1006,0)), HYPERLINK("#",""), HYPERLINK(CONCATENATE("#Metadata!", ADDRESS(INDEX($AI$2:$AI$1001,MATCH(ROWS($AG$2:AG377),$AG$2:$AG$1001,0),0), INDEX($AN$1004:$BO$1004,1,MATCH(COLUMNS($AN$1006:BM1006),$AN$1006:$BO$1006,0)))),"Fix")))</f>
        <v>0</v>
      </c>
      <c r="AB377" s="4">
        <f>IF(OR(INDEX($AH$2:$AH$1001,MATCH(ROWS($AG$2:AG377),$AG$2:$AG$1001,0),1)&gt;=100000,INDEX($AN$1005:$BO$1005,1,MATCH(COLUMNS($AN$1006:BN1006),$AN$1006:$BO$1006,0))&gt;=100000), " ",IF(INDEX($AN$2:$BO$1001,MATCH(ROWS($AG$2:AG377),$AG$2:$AG$1001,0),MATCH(COLUMNS($AN$1006:BN1006),$AN$1006:$BO$1006,0)), HYPERLINK("#",""), HYPERLINK(CONCATENATE("#Metadata!", ADDRESS(INDEX($AI$2:$AI$1001,MATCH(ROWS($AG$2:AG377),$AG$2:$AG$1001,0),0), INDEX($AN$1004:$BO$1004,1,MATCH(COLUMNS($AN$1006:BN1006),$AN$1006:$BO$1006,0)))),"Fix")))</f>
        <v>0</v>
      </c>
      <c r="AC377" s="4">
        <f>IF(OR(INDEX($AH$2:$AH$1001,MATCH(ROWS($AG$2:AG377),$AG$2:$AG$1001,0),1)&gt;=100000,INDEX($AN$1005:$BO$1005,1,MATCH(COLUMNS($AN$1006:BO1006),$AN$1006:$BO$1006,0))&gt;=100000), " ",IF(INDEX($AN$2:$BO$1001,MATCH(ROWS($AG$2:AG377),$AG$2:$AG$1001,0),MATCH(COLUMNS($AN$1006:BO1006),$AN$1006:$BO$1006,0)), HYPERLINK("#",""), HYPERLINK(CONCATENATE("#Metadata!", ADDRESS(INDEX($AI$2:$AI$1001,MATCH(ROWS($AG$2:AG377),$AG$2:$AG$1001,0),0), INDEX($AN$1004:$BO$1004,1,MATCH(COLUMNS($AN$1006:BO1006),$AN$1006:$BO$1006,0)))),"Fix")))</f>
        <v>0</v>
      </c>
      <c r="AG377">
        <v>0</v>
      </c>
      <c r="AH377">
        <v>0</v>
      </c>
      <c r="AI377">
        <v>0</v>
      </c>
      <c r="AJ377">
        <f>IF(AK377,TRUE,AND(AN377:BO377))</f>
        <v>0</v>
      </c>
      <c r="AK377">
        <f>COUNTBLANK(Metadata!B377:AC377)=COLUMNS(Metadata!B377:AC377)</f>
        <v>0</v>
      </c>
      <c r="AL377">
        <v>0</v>
      </c>
      <c r="AN377">
        <f>AND(IF(Metadata!B377="",FALSE,TRUE),COUNTIF(Metadata!B:B, Metadata!B377) = 1,NOT(ISERROR(SUMPRODUCT(SEARCH(MID(Metadata!B377,ROW(INDIRECT("1:"&amp;LEN(Metadata!B377))), 1),"0123456789abcdefghijklmnopqrstuvwxyzABCDEFGHIJKLMNOPQRSTUVWXYZ.")))))</f>
        <v>0</v>
      </c>
      <c r="AO377">
        <f>IF(Metadata!C377="",FALSE,TRUE)</f>
        <v>0</v>
      </c>
      <c r="AP377">
        <f>IF(Metadata!D377="",FALSE,TRUE)</f>
        <v>0</v>
      </c>
      <c r="AQ377">
        <f>OR(AND(IF(Metadata!E377="",FALSE,TRUE),OR(exact(Metadata!E377,"not collected"),exact(Metadata!E377,"not provided"),exact(Metadata!E377,"restricted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R377">
        <f>IF(Metadata!F377="",FALSE,TRUE)</f>
        <v>0</v>
      </c>
      <c r="AS377">
        <f>OR(AND(IF(Metadata!G377="",FALSE,TRUE),OR(exact(Metadata!G377,"not collected"),exact(Metadata!G377,"not provided"))),AND(IF(Metadata!G377="",FALSE,TRUE),OR(exact(Metadata!G377,"TRUE"),exact(Metadata!G377,"FALSE"))))</f>
        <v>0</v>
      </c>
      <c r="AT377">
        <f>OR(AND(IF(Metadata!H377="",FALSE,TRUE),OR(exact(Metadata!H377,"not collected"),exact(Metadata!H377,"not provided"),exact(Metadata!H377,"restricted access"))),AND(IF(Metadata!H377="",FALSE,ISNUMBER(VALUE(Metadata!H377))),Metadata!H377&gt;=-413.0))</f>
        <v>0</v>
      </c>
      <c r="AU377">
        <f>AND(IF(Metadata!I377="",FALSE,TRUE),exact(Metadata!I377,"meters"))</f>
        <v>0</v>
      </c>
      <c r="AV377">
        <f>AND(IF(Metadata!J377="",FALSE,TRUE),OR(exact(Metadata!J377,"Host-associated"),exact(Metadata!J377,"Free-living")))</f>
        <v>0</v>
      </c>
      <c r="AW377">
        <f>AND(IF(Metadata!K377="",FALSE,TRUE),OR(exact(Metadata!K377,"Animal"),exact(Metadata!K377,"Fungus"),exact(Metadata!K377,"Plant"),exact(Metadata!K377,"Saline"),exact(Metadata!K377,"Non-saline")))</f>
        <v>0</v>
      </c>
      <c r="AX377">
        <f>AND(IF(Metadata!L377="",FALSE,TRUE),OR(exact(Metadata!L377,"Plant secretion"),exact(Metadata!L377,"Plant rhizosphere"),exact(Metadata!L377,"Plant surface"),exact(Metadata!L377,"Plant corpus"),exact(Metadata!L377,"Fungus surface"),exact(Metadata!L377,"Fungus corpus"),exact(Metadata!L377,"Animal surface"),exact(Metadata!L377,"Animal proximal gut"),exact(Metadata!L377,"Animal corpus"),exact(Metadata!L377,"Animal distal gut"),exact(Metadata!L377,"Animal secretion"),exact(Metadata!L377,"Sub-surface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Y377">
        <f>IF(Metadata!M377="",FALSE,TRUE)</f>
        <v>0</v>
      </c>
      <c r="AZ377">
        <f>IF(Metadata!N377="",FALSE,TRUE)</f>
        <v>0</v>
      </c>
      <c r="BA377">
        <f>IF(Metadata!O377="",FALSE,TRUE)</f>
        <v>0</v>
      </c>
      <c r="BB377">
        <f>OR(AND(IF(Metadata!P377="",FALSE,TRUE),OR(exact(Metadata!P377,"not collected"),exact(Metadata!P377,"not provided"),exact(Metadata!P377,"restricted access"))),AND(IF(Metadata!P377="",FALSE,TRUE),OR(exact(Metadata!P377,"air"),exact(Metadata!P377,"built environment"),exact(Metadata!P377,"host-associated"),exact(Metadata!P377,"human-associated"),exact(Metadata!P377,"human-skin"),exact(Metadata!P377,"human-oral"),exact(Metadata!P377,"human-gut"),exact(Metadata!P377,"human-vaginal"),exact(Metadata!P377,"microbial mat/biofilm"),exact(Metadata!P377,"misc environment"),exact(Metadata!P377,"plant-associated"),exact(Metadata!P377,"sediment"),exact(Metadata!P377,"soil"),exact(Metadata!P377,"wastewater/sludge"),exact(Metadata!P377,"water"))))</f>
        <v>0</v>
      </c>
      <c r="BC377">
        <f>IF(Metadata!Q377="",FALSE,TRUE)</f>
        <v>0</v>
      </c>
      <c r="BD377">
        <f>IF(Metadata!R377="",FALSE,TRUE)</f>
        <v>0</v>
      </c>
      <c r="BE377">
        <f>OR(AND(IF(Metadata!S377="",FALSE,TRUE),OR(exact(Metadata!S377,"not collected"),exact(Metadata!S377,"not provided"),exact(Metadata!S377,"restricted access"))),AND(IF(Metadata!S377="",FALSE,ISNUMBER(VALUE(Metadata!S377))),Metadata!S377&gt;=-90.00,Metadata!S377&lt;=90.00))</f>
        <v>0</v>
      </c>
      <c r="BF377">
        <f>AND(IF(Metadata!T377="",FALSE,TRUE),exact(Metadata!T377,"Decimal degrees"))</f>
        <v>0</v>
      </c>
      <c r="BG377">
        <f>OR(AND(IF(Metadata!U377="",FALSE,TRUE),OR(exact(Metadata!U377,"not collected"),exact(Metadata!U377,"not provided"),exact(Metadata!U377,"restricted access"))),AND(IF(Metadata!U377="",FALSE,ISNUMBER(VALUE(Metadata!U377))),Metadata!U377&gt;=-180.00,Metadata!U377&lt;=180.00))</f>
        <v>0</v>
      </c>
      <c r="BH377">
        <f>AND(IF(Metadata!V377="",FALSE,TRUE),exact(Metadata!V377,"Decimal degrees"))</f>
        <v>0</v>
      </c>
      <c r="BI377">
        <f>IF(Metadata!W377="",FALSE,TRUE)</f>
        <v>0</v>
      </c>
      <c r="BJ377">
        <f>OR(AND(IF(Metadata!X377="",FALSE,TRUE),OR(exact(Metadata!X377,"not collected"),exact(Metadata!X377,"not provided"),exact(Metadata!X377,"restricted access"))),AND(IF(Metadata!X377="",FALSE,TRUE),OR(exact(Metadata!X377,"TRUE"),exact(Metadata!X377,"FALSE"))))</f>
        <v>0</v>
      </c>
      <c r="BK377">
        <f>AND(IF(Metadata!Y377="",FALSE,TRUE),exact(Metadata!Y377,"other"))</f>
        <v>0</v>
      </c>
      <c r="BL377">
        <f>IF(Metadata!Z377="",FALSE,TRUE)</f>
        <v>0</v>
      </c>
      <c r="BM377">
        <f>OR(AND(IF(Metadata!AA377="",FALSE,TRUE),OR(exact(Metadata!AA377,"not collected"),exact(Metadata!AA377,"not provided"))),AND(IF(Metadata!AA377="",FALSE,IF(ISERROR(INT(Metadata!AA377)),FALSE,INT(Metadata!AA377)=Metadata!AA377)),Metadata!AA377&gt;0))</f>
        <v>0</v>
      </c>
      <c r="BN377">
        <f>AND(IF(Metadata!AB377="",FALSE,TRUE),exact(Metadata!AB377,"Not applicable"))</f>
        <v>0</v>
      </c>
      <c r="BO377">
        <f>IF(Metadata!AC377="",FALSE,TRUE)</f>
        <v>0</v>
      </c>
    </row>
    <row r="378" spans="1:67">
      <c r="A378" s="5">
        <f>IF(B378=" "," ",HYPERLINK(CONCATENATE("#metadata!",ADDRESS(INDEX($AI$2:$AI$1001,MATCH(ROWS($AG$2:AG378),$AG$2:$AG$1001,0),0),1)),INDEX($AL$2:$AL$1001,MATCH(ROWS($AG$2:AG378),$AG$2:$AG$1001,0),0)))</f>
        <v>0</v>
      </c>
      <c r="B378" s="4">
        <f>IF(OR(INDEX($AH$2:$AH$1001,MATCH(ROWS($AG$2:AG378),$AG$2:$AG$1001,0),1)&gt;=100000,INDEX($AN$1005:$BO$1005,1,MATCH(COLUMNS($AN$1006:AN1006),$AN$1006:$BO$1006,0))&gt;=100000), " ",IF(INDEX($AN$2:$BO$1001,MATCH(ROWS($AG$2:AG378),$AG$2:$AG$1001,0),MATCH(COLUMNS($AN$1006:AN1006),$AN$1006:$BO$1006,0)), HYPERLINK("#",""), HYPERLINK(CONCATENATE("#Metadata!", ADDRESS(INDEX($AI$2:$AI$1001,MATCH(ROWS($AG$2:AG378),$AG$2:$AG$1001,0),0), INDEX($AN$1004:$BO$1004,1,MATCH(COLUMNS($AN$1006:AN1006),$AN$1006:$BO$1006,0)))),"Fix")))</f>
        <v>0</v>
      </c>
      <c r="C378" s="4">
        <f>IF(OR(INDEX($AH$2:$AH$1001,MATCH(ROWS($AG$2:AG378),$AG$2:$AG$1001,0),1)&gt;=100000,INDEX($AN$1005:$BO$1005,1,MATCH(COLUMNS($AN$1006:AO1006),$AN$1006:$BO$1006,0))&gt;=100000), " ",IF(INDEX($AN$2:$BO$1001,MATCH(ROWS($AG$2:AG378),$AG$2:$AG$1001,0),MATCH(COLUMNS($AN$1006:AO1006),$AN$1006:$BO$1006,0)), HYPERLINK("#",""), HYPERLINK(CONCATENATE("#Metadata!", ADDRESS(INDEX($AI$2:$AI$1001,MATCH(ROWS($AG$2:AG378),$AG$2:$AG$1001,0),0), INDEX($AN$1004:$BO$1004,1,MATCH(COLUMNS($AN$1006:AO1006),$AN$1006:$BO$1006,0)))),"Fix")))</f>
        <v>0</v>
      </c>
      <c r="D378" s="4">
        <f>IF(OR(INDEX($AH$2:$AH$1001,MATCH(ROWS($AG$2:AG378),$AG$2:$AG$1001,0),1)&gt;=100000,INDEX($AN$1005:$BO$1005,1,MATCH(COLUMNS($AN$1006:AP1006),$AN$1006:$BO$1006,0))&gt;=100000), " ",IF(INDEX($AN$2:$BO$1001,MATCH(ROWS($AG$2:AG378),$AG$2:$AG$1001,0),MATCH(COLUMNS($AN$1006:AP1006),$AN$1006:$BO$1006,0)), HYPERLINK("#",""), HYPERLINK(CONCATENATE("#Metadata!", ADDRESS(INDEX($AI$2:$AI$1001,MATCH(ROWS($AG$2:AG378),$AG$2:$AG$1001,0),0), INDEX($AN$1004:$BO$1004,1,MATCH(COLUMNS($AN$1006:AP1006),$AN$1006:$BO$1006,0)))),"Fix")))</f>
        <v>0</v>
      </c>
      <c r="E378" s="4">
        <f>IF(OR(INDEX($AH$2:$AH$1001,MATCH(ROWS($AG$2:AG378),$AG$2:$AG$1001,0),1)&gt;=100000,INDEX($AN$1005:$BO$1005,1,MATCH(COLUMNS($AN$1006:AQ1006),$AN$1006:$BO$1006,0))&gt;=100000), " ",IF(INDEX($AN$2:$BO$1001,MATCH(ROWS($AG$2:AG378),$AG$2:$AG$1001,0),MATCH(COLUMNS($AN$1006:AQ1006),$AN$1006:$BO$1006,0)), HYPERLINK("#",""), HYPERLINK(CONCATENATE("#Metadata!", ADDRESS(INDEX($AI$2:$AI$1001,MATCH(ROWS($AG$2:AG378),$AG$2:$AG$1001,0),0), INDEX($AN$1004:$BO$1004,1,MATCH(COLUMNS($AN$1006:AQ1006),$AN$1006:$BO$1006,0)))),"Fix")))</f>
        <v>0</v>
      </c>
      <c r="F378" s="4">
        <f>IF(OR(INDEX($AH$2:$AH$1001,MATCH(ROWS($AG$2:AG378),$AG$2:$AG$1001,0),1)&gt;=100000,INDEX($AN$1005:$BO$1005,1,MATCH(COLUMNS($AN$1006:AR1006),$AN$1006:$BO$1006,0))&gt;=100000), " ",IF(INDEX($AN$2:$BO$1001,MATCH(ROWS($AG$2:AG378),$AG$2:$AG$1001,0),MATCH(COLUMNS($AN$1006:AR1006),$AN$1006:$BO$1006,0)), HYPERLINK("#",""), HYPERLINK(CONCATENATE("#Metadata!", ADDRESS(INDEX($AI$2:$AI$1001,MATCH(ROWS($AG$2:AG378),$AG$2:$AG$1001,0),0), INDEX($AN$1004:$BO$1004,1,MATCH(COLUMNS($AN$1006:AR1006),$AN$1006:$BO$1006,0)))),"Fix")))</f>
        <v>0</v>
      </c>
      <c r="G378" s="4">
        <f>IF(OR(INDEX($AH$2:$AH$1001,MATCH(ROWS($AG$2:AG378),$AG$2:$AG$1001,0),1)&gt;=100000,INDEX($AN$1005:$BO$1005,1,MATCH(COLUMNS($AN$1006:AS1006),$AN$1006:$BO$1006,0))&gt;=100000), " ",IF(INDEX($AN$2:$BO$1001,MATCH(ROWS($AG$2:AG378),$AG$2:$AG$1001,0),MATCH(COLUMNS($AN$1006:AS1006),$AN$1006:$BO$1006,0)), HYPERLINK("#",""), HYPERLINK(CONCATENATE("#Metadata!", ADDRESS(INDEX($AI$2:$AI$1001,MATCH(ROWS($AG$2:AG378),$AG$2:$AG$1001,0),0), INDEX($AN$1004:$BO$1004,1,MATCH(COLUMNS($AN$1006:AS1006),$AN$1006:$BO$1006,0)))),"Fix")))</f>
        <v>0</v>
      </c>
      <c r="H378" s="4">
        <f>IF(OR(INDEX($AH$2:$AH$1001,MATCH(ROWS($AG$2:AG378),$AG$2:$AG$1001,0),1)&gt;=100000,INDEX($AN$1005:$BO$1005,1,MATCH(COLUMNS($AN$1006:AT1006),$AN$1006:$BO$1006,0))&gt;=100000), " ",IF(INDEX($AN$2:$BO$1001,MATCH(ROWS($AG$2:AG378),$AG$2:$AG$1001,0),MATCH(COLUMNS($AN$1006:AT1006),$AN$1006:$BO$1006,0)), HYPERLINK("#",""), HYPERLINK(CONCATENATE("#Metadata!", ADDRESS(INDEX($AI$2:$AI$1001,MATCH(ROWS($AG$2:AG378),$AG$2:$AG$1001,0),0), INDEX($AN$1004:$BO$1004,1,MATCH(COLUMNS($AN$1006:AT1006),$AN$1006:$BO$1006,0)))),"Fix")))</f>
        <v>0</v>
      </c>
      <c r="I378" s="4">
        <f>IF(OR(INDEX($AH$2:$AH$1001,MATCH(ROWS($AG$2:AG378),$AG$2:$AG$1001,0),1)&gt;=100000,INDEX($AN$1005:$BO$1005,1,MATCH(COLUMNS($AN$1006:AU1006),$AN$1006:$BO$1006,0))&gt;=100000), " ",IF(INDEX($AN$2:$BO$1001,MATCH(ROWS($AG$2:AG378),$AG$2:$AG$1001,0),MATCH(COLUMNS($AN$1006:AU1006),$AN$1006:$BO$1006,0)), HYPERLINK("#",""), HYPERLINK(CONCATENATE("#Metadata!", ADDRESS(INDEX($AI$2:$AI$1001,MATCH(ROWS($AG$2:AG378),$AG$2:$AG$1001,0),0), INDEX($AN$1004:$BO$1004,1,MATCH(COLUMNS($AN$1006:AU1006),$AN$1006:$BO$1006,0)))),"Fix")))</f>
        <v>0</v>
      </c>
      <c r="J378" s="4">
        <f>IF(OR(INDEX($AH$2:$AH$1001,MATCH(ROWS($AG$2:AG378),$AG$2:$AG$1001,0),1)&gt;=100000,INDEX($AN$1005:$BO$1005,1,MATCH(COLUMNS($AN$1006:AV1006),$AN$1006:$BO$1006,0))&gt;=100000), " ",IF(INDEX($AN$2:$BO$1001,MATCH(ROWS($AG$2:AG378),$AG$2:$AG$1001,0),MATCH(COLUMNS($AN$1006:AV1006),$AN$1006:$BO$1006,0)), HYPERLINK("#",""), HYPERLINK(CONCATENATE("#Metadata!", ADDRESS(INDEX($AI$2:$AI$1001,MATCH(ROWS($AG$2:AG378),$AG$2:$AG$1001,0),0), INDEX($AN$1004:$BO$1004,1,MATCH(COLUMNS($AN$1006:AV1006),$AN$1006:$BO$1006,0)))),"Fix")))</f>
        <v>0</v>
      </c>
      <c r="K378" s="4">
        <f>IF(OR(INDEX($AH$2:$AH$1001,MATCH(ROWS($AG$2:AG378),$AG$2:$AG$1001,0),1)&gt;=100000,INDEX($AN$1005:$BO$1005,1,MATCH(COLUMNS($AN$1006:AW1006),$AN$1006:$BO$1006,0))&gt;=100000), " ",IF(INDEX($AN$2:$BO$1001,MATCH(ROWS($AG$2:AG378),$AG$2:$AG$1001,0),MATCH(COLUMNS($AN$1006:AW1006),$AN$1006:$BO$1006,0)), HYPERLINK("#",""), HYPERLINK(CONCATENATE("#Metadata!", ADDRESS(INDEX($AI$2:$AI$1001,MATCH(ROWS($AG$2:AG378),$AG$2:$AG$1001,0),0), INDEX($AN$1004:$BO$1004,1,MATCH(COLUMNS($AN$1006:AW1006),$AN$1006:$BO$1006,0)))),"Fix")))</f>
        <v>0</v>
      </c>
      <c r="L378" s="4">
        <f>IF(OR(INDEX($AH$2:$AH$1001,MATCH(ROWS($AG$2:AG378),$AG$2:$AG$1001,0),1)&gt;=100000,INDEX($AN$1005:$BO$1005,1,MATCH(COLUMNS($AN$1006:AX1006),$AN$1006:$BO$1006,0))&gt;=100000), " ",IF(INDEX($AN$2:$BO$1001,MATCH(ROWS($AG$2:AG378),$AG$2:$AG$1001,0),MATCH(COLUMNS($AN$1006:AX1006),$AN$1006:$BO$1006,0)), HYPERLINK("#",""), HYPERLINK(CONCATENATE("#Metadata!", ADDRESS(INDEX($AI$2:$AI$1001,MATCH(ROWS($AG$2:AG378),$AG$2:$AG$1001,0),0), INDEX($AN$1004:$BO$1004,1,MATCH(COLUMNS($AN$1006:AX1006),$AN$1006:$BO$1006,0)))),"Fix")))</f>
        <v>0</v>
      </c>
      <c r="M378" s="4">
        <f>IF(OR(INDEX($AH$2:$AH$1001,MATCH(ROWS($AG$2:AG378),$AG$2:$AG$1001,0),1)&gt;=100000,INDEX($AN$1005:$BO$1005,1,MATCH(COLUMNS($AN$1006:AY1006),$AN$1006:$BO$1006,0))&gt;=100000), " ",IF(INDEX($AN$2:$BO$1001,MATCH(ROWS($AG$2:AG378),$AG$2:$AG$1001,0),MATCH(COLUMNS($AN$1006:AY1006),$AN$1006:$BO$1006,0)), HYPERLINK("#",""), HYPERLINK(CONCATENATE("#Metadata!", ADDRESS(INDEX($AI$2:$AI$1001,MATCH(ROWS($AG$2:AG378),$AG$2:$AG$1001,0),0), INDEX($AN$1004:$BO$1004,1,MATCH(COLUMNS($AN$1006:AY1006),$AN$1006:$BO$1006,0)))),"Fix")))</f>
        <v>0</v>
      </c>
      <c r="N378" s="4">
        <f>IF(OR(INDEX($AH$2:$AH$1001,MATCH(ROWS($AG$2:AG378),$AG$2:$AG$1001,0),1)&gt;=100000,INDEX($AN$1005:$BO$1005,1,MATCH(COLUMNS($AN$1006:AZ1006),$AN$1006:$BO$1006,0))&gt;=100000), " ",IF(INDEX($AN$2:$BO$1001,MATCH(ROWS($AG$2:AG378),$AG$2:$AG$1001,0),MATCH(COLUMNS($AN$1006:AZ1006),$AN$1006:$BO$1006,0)), HYPERLINK("#",""), HYPERLINK(CONCATENATE("#Metadata!", ADDRESS(INDEX($AI$2:$AI$1001,MATCH(ROWS($AG$2:AG378),$AG$2:$AG$1001,0),0), INDEX($AN$1004:$BO$1004,1,MATCH(COLUMNS($AN$1006:AZ1006),$AN$1006:$BO$1006,0)))),"Fix")))</f>
        <v>0</v>
      </c>
      <c r="O378" s="4">
        <f>IF(OR(INDEX($AH$2:$AH$1001,MATCH(ROWS($AG$2:AG378),$AG$2:$AG$1001,0),1)&gt;=100000,INDEX($AN$1005:$BO$1005,1,MATCH(COLUMNS($AN$1006:BA1006),$AN$1006:$BO$1006,0))&gt;=100000), " ",IF(INDEX($AN$2:$BO$1001,MATCH(ROWS($AG$2:AG378),$AG$2:$AG$1001,0),MATCH(COLUMNS($AN$1006:BA1006),$AN$1006:$BO$1006,0)), HYPERLINK("#",""), HYPERLINK(CONCATENATE("#Metadata!", ADDRESS(INDEX($AI$2:$AI$1001,MATCH(ROWS($AG$2:AG378),$AG$2:$AG$1001,0),0), INDEX($AN$1004:$BO$1004,1,MATCH(COLUMNS($AN$1006:BA1006),$AN$1006:$BO$1006,0)))),"Fix")))</f>
        <v>0</v>
      </c>
      <c r="P378" s="4">
        <f>IF(OR(INDEX($AH$2:$AH$1001,MATCH(ROWS($AG$2:AG378),$AG$2:$AG$1001,0),1)&gt;=100000,INDEX($AN$1005:$BO$1005,1,MATCH(COLUMNS($AN$1006:BB1006),$AN$1006:$BO$1006,0))&gt;=100000), " ",IF(INDEX($AN$2:$BO$1001,MATCH(ROWS($AG$2:AG378),$AG$2:$AG$1001,0),MATCH(COLUMNS($AN$1006:BB1006),$AN$1006:$BO$1006,0)), HYPERLINK("#",""), HYPERLINK(CONCATENATE("#Metadata!", ADDRESS(INDEX($AI$2:$AI$1001,MATCH(ROWS($AG$2:AG378),$AG$2:$AG$1001,0),0), INDEX($AN$1004:$BO$1004,1,MATCH(COLUMNS($AN$1006:BB1006),$AN$1006:$BO$1006,0)))),"Fix")))</f>
        <v>0</v>
      </c>
      <c r="Q378" s="4">
        <f>IF(OR(INDEX($AH$2:$AH$1001,MATCH(ROWS($AG$2:AG378),$AG$2:$AG$1001,0),1)&gt;=100000,INDEX($AN$1005:$BO$1005,1,MATCH(COLUMNS($AN$1006:BC1006),$AN$1006:$BO$1006,0))&gt;=100000), " ",IF(INDEX($AN$2:$BO$1001,MATCH(ROWS($AG$2:AG378),$AG$2:$AG$1001,0),MATCH(COLUMNS($AN$1006:BC1006),$AN$1006:$BO$1006,0)), HYPERLINK("#",""), HYPERLINK(CONCATENATE("#Metadata!", ADDRESS(INDEX($AI$2:$AI$1001,MATCH(ROWS($AG$2:AG378),$AG$2:$AG$1001,0),0), INDEX($AN$1004:$BO$1004,1,MATCH(COLUMNS($AN$1006:BC1006),$AN$1006:$BO$1006,0)))),"Fix")))</f>
        <v>0</v>
      </c>
      <c r="R378" s="4">
        <f>IF(OR(INDEX($AH$2:$AH$1001,MATCH(ROWS($AG$2:AG378),$AG$2:$AG$1001,0),1)&gt;=100000,INDEX($AN$1005:$BO$1005,1,MATCH(COLUMNS($AN$1006:BD1006),$AN$1006:$BO$1006,0))&gt;=100000), " ",IF(INDEX($AN$2:$BO$1001,MATCH(ROWS($AG$2:AG378),$AG$2:$AG$1001,0),MATCH(COLUMNS($AN$1006:BD1006),$AN$1006:$BO$1006,0)), HYPERLINK("#",""), HYPERLINK(CONCATENATE("#Metadata!", ADDRESS(INDEX($AI$2:$AI$1001,MATCH(ROWS($AG$2:AG378),$AG$2:$AG$1001,0),0), INDEX($AN$1004:$BO$1004,1,MATCH(COLUMNS($AN$1006:BD1006),$AN$1006:$BO$1006,0)))),"Fix")))</f>
        <v>0</v>
      </c>
      <c r="S378" s="4">
        <f>IF(OR(INDEX($AH$2:$AH$1001,MATCH(ROWS($AG$2:AG378),$AG$2:$AG$1001,0),1)&gt;=100000,INDEX($AN$1005:$BO$1005,1,MATCH(COLUMNS($AN$1006:BE1006),$AN$1006:$BO$1006,0))&gt;=100000), " ",IF(INDEX($AN$2:$BO$1001,MATCH(ROWS($AG$2:AG378),$AG$2:$AG$1001,0),MATCH(COLUMNS($AN$1006:BE1006),$AN$1006:$BO$1006,0)), HYPERLINK("#",""), HYPERLINK(CONCATENATE("#Metadata!", ADDRESS(INDEX($AI$2:$AI$1001,MATCH(ROWS($AG$2:AG378),$AG$2:$AG$1001,0),0), INDEX($AN$1004:$BO$1004,1,MATCH(COLUMNS($AN$1006:BE1006),$AN$1006:$BO$1006,0)))),"Fix")))</f>
        <v>0</v>
      </c>
      <c r="T378" s="4">
        <f>IF(OR(INDEX($AH$2:$AH$1001,MATCH(ROWS($AG$2:AG378),$AG$2:$AG$1001,0),1)&gt;=100000,INDEX($AN$1005:$BO$1005,1,MATCH(COLUMNS($AN$1006:BF1006),$AN$1006:$BO$1006,0))&gt;=100000), " ",IF(INDEX($AN$2:$BO$1001,MATCH(ROWS($AG$2:AG378),$AG$2:$AG$1001,0),MATCH(COLUMNS($AN$1006:BF1006),$AN$1006:$BO$1006,0)), HYPERLINK("#",""), HYPERLINK(CONCATENATE("#Metadata!", ADDRESS(INDEX($AI$2:$AI$1001,MATCH(ROWS($AG$2:AG378),$AG$2:$AG$1001,0),0), INDEX($AN$1004:$BO$1004,1,MATCH(COLUMNS($AN$1006:BF1006),$AN$1006:$BO$1006,0)))),"Fix")))</f>
        <v>0</v>
      </c>
      <c r="U378" s="4">
        <f>IF(OR(INDEX($AH$2:$AH$1001,MATCH(ROWS($AG$2:AG378),$AG$2:$AG$1001,0),1)&gt;=100000,INDEX($AN$1005:$BO$1005,1,MATCH(COLUMNS($AN$1006:BG1006),$AN$1006:$BO$1006,0))&gt;=100000), " ",IF(INDEX($AN$2:$BO$1001,MATCH(ROWS($AG$2:AG378),$AG$2:$AG$1001,0),MATCH(COLUMNS($AN$1006:BG1006),$AN$1006:$BO$1006,0)), HYPERLINK("#",""), HYPERLINK(CONCATENATE("#Metadata!", ADDRESS(INDEX($AI$2:$AI$1001,MATCH(ROWS($AG$2:AG378),$AG$2:$AG$1001,0),0), INDEX($AN$1004:$BO$1004,1,MATCH(COLUMNS($AN$1006:BG1006),$AN$1006:$BO$1006,0)))),"Fix")))</f>
        <v>0</v>
      </c>
      <c r="V378" s="4">
        <f>IF(OR(INDEX($AH$2:$AH$1001,MATCH(ROWS($AG$2:AG378),$AG$2:$AG$1001,0),1)&gt;=100000,INDEX($AN$1005:$BO$1005,1,MATCH(COLUMNS($AN$1006:BH1006),$AN$1006:$BO$1006,0))&gt;=100000), " ",IF(INDEX($AN$2:$BO$1001,MATCH(ROWS($AG$2:AG378),$AG$2:$AG$1001,0),MATCH(COLUMNS($AN$1006:BH1006),$AN$1006:$BO$1006,0)), HYPERLINK("#",""), HYPERLINK(CONCATENATE("#Metadata!", ADDRESS(INDEX($AI$2:$AI$1001,MATCH(ROWS($AG$2:AG378),$AG$2:$AG$1001,0),0), INDEX($AN$1004:$BO$1004,1,MATCH(COLUMNS($AN$1006:BH1006),$AN$1006:$BO$1006,0)))),"Fix")))</f>
        <v>0</v>
      </c>
      <c r="W378" s="4">
        <f>IF(OR(INDEX($AH$2:$AH$1001,MATCH(ROWS($AG$2:AG378),$AG$2:$AG$1001,0),1)&gt;=100000,INDEX($AN$1005:$BO$1005,1,MATCH(COLUMNS($AN$1006:BI1006),$AN$1006:$BO$1006,0))&gt;=100000), " ",IF(INDEX($AN$2:$BO$1001,MATCH(ROWS($AG$2:AG378),$AG$2:$AG$1001,0),MATCH(COLUMNS($AN$1006:BI1006),$AN$1006:$BO$1006,0)), HYPERLINK("#",""), HYPERLINK(CONCATENATE("#Metadata!", ADDRESS(INDEX($AI$2:$AI$1001,MATCH(ROWS($AG$2:AG378),$AG$2:$AG$1001,0),0), INDEX($AN$1004:$BO$1004,1,MATCH(COLUMNS($AN$1006:BI1006),$AN$1006:$BO$1006,0)))),"Fix")))</f>
        <v>0</v>
      </c>
      <c r="X378" s="4">
        <f>IF(OR(INDEX($AH$2:$AH$1001,MATCH(ROWS($AG$2:AG378),$AG$2:$AG$1001,0),1)&gt;=100000,INDEX($AN$1005:$BO$1005,1,MATCH(COLUMNS($AN$1006:BJ1006),$AN$1006:$BO$1006,0))&gt;=100000), " ",IF(INDEX($AN$2:$BO$1001,MATCH(ROWS($AG$2:AG378),$AG$2:$AG$1001,0),MATCH(COLUMNS($AN$1006:BJ1006),$AN$1006:$BO$1006,0)), HYPERLINK("#",""), HYPERLINK(CONCATENATE("#Metadata!", ADDRESS(INDEX($AI$2:$AI$1001,MATCH(ROWS($AG$2:AG378),$AG$2:$AG$1001,0),0), INDEX($AN$1004:$BO$1004,1,MATCH(COLUMNS($AN$1006:BJ1006),$AN$1006:$BO$1006,0)))),"Fix")))</f>
        <v>0</v>
      </c>
      <c r="Y378" s="4">
        <f>IF(OR(INDEX($AH$2:$AH$1001,MATCH(ROWS($AG$2:AG378),$AG$2:$AG$1001,0),1)&gt;=100000,INDEX($AN$1005:$BO$1005,1,MATCH(COLUMNS($AN$1006:BK1006),$AN$1006:$BO$1006,0))&gt;=100000), " ",IF(INDEX($AN$2:$BO$1001,MATCH(ROWS($AG$2:AG378),$AG$2:$AG$1001,0),MATCH(COLUMNS($AN$1006:BK1006),$AN$1006:$BO$1006,0)), HYPERLINK("#",""), HYPERLINK(CONCATENATE("#Metadata!", ADDRESS(INDEX($AI$2:$AI$1001,MATCH(ROWS($AG$2:AG378),$AG$2:$AG$1001,0),0), INDEX($AN$1004:$BO$1004,1,MATCH(COLUMNS($AN$1006:BK1006),$AN$1006:$BO$1006,0)))),"Fix")))</f>
        <v>0</v>
      </c>
      <c r="Z378" s="4">
        <f>IF(OR(INDEX($AH$2:$AH$1001,MATCH(ROWS($AG$2:AG378),$AG$2:$AG$1001,0),1)&gt;=100000,INDEX($AN$1005:$BO$1005,1,MATCH(COLUMNS($AN$1006:BL1006),$AN$1006:$BO$1006,0))&gt;=100000), " ",IF(INDEX($AN$2:$BO$1001,MATCH(ROWS($AG$2:AG378),$AG$2:$AG$1001,0),MATCH(COLUMNS($AN$1006:BL1006),$AN$1006:$BO$1006,0)), HYPERLINK("#",""), HYPERLINK(CONCATENATE("#Metadata!", ADDRESS(INDEX($AI$2:$AI$1001,MATCH(ROWS($AG$2:AG378),$AG$2:$AG$1001,0),0), INDEX($AN$1004:$BO$1004,1,MATCH(COLUMNS($AN$1006:BL1006),$AN$1006:$BO$1006,0)))),"Fix")))</f>
        <v>0</v>
      </c>
      <c r="AA378" s="4">
        <f>IF(OR(INDEX($AH$2:$AH$1001,MATCH(ROWS($AG$2:AG378),$AG$2:$AG$1001,0),1)&gt;=100000,INDEX($AN$1005:$BO$1005,1,MATCH(COLUMNS($AN$1006:BM1006),$AN$1006:$BO$1006,0))&gt;=100000), " ",IF(INDEX($AN$2:$BO$1001,MATCH(ROWS($AG$2:AG378),$AG$2:$AG$1001,0),MATCH(COLUMNS($AN$1006:BM1006),$AN$1006:$BO$1006,0)), HYPERLINK("#",""), HYPERLINK(CONCATENATE("#Metadata!", ADDRESS(INDEX($AI$2:$AI$1001,MATCH(ROWS($AG$2:AG378),$AG$2:$AG$1001,0),0), INDEX($AN$1004:$BO$1004,1,MATCH(COLUMNS($AN$1006:BM1006),$AN$1006:$BO$1006,0)))),"Fix")))</f>
        <v>0</v>
      </c>
      <c r="AB378" s="4">
        <f>IF(OR(INDEX($AH$2:$AH$1001,MATCH(ROWS($AG$2:AG378),$AG$2:$AG$1001,0),1)&gt;=100000,INDEX($AN$1005:$BO$1005,1,MATCH(COLUMNS($AN$1006:BN1006),$AN$1006:$BO$1006,0))&gt;=100000), " ",IF(INDEX($AN$2:$BO$1001,MATCH(ROWS($AG$2:AG378),$AG$2:$AG$1001,0),MATCH(COLUMNS($AN$1006:BN1006),$AN$1006:$BO$1006,0)), HYPERLINK("#",""), HYPERLINK(CONCATENATE("#Metadata!", ADDRESS(INDEX($AI$2:$AI$1001,MATCH(ROWS($AG$2:AG378),$AG$2:$AG$1001,0),0), INDEX($AN$1004:$BO$1004,1,MATCH(COLUMNS($AN$1006:BN1006),$AN$1006:$BO$1006,0)))),"Fix")))</f>
        <v>0</v>
      </c>
      <c r="AC378" s="4">
        <f>IF(OR(INDEX($AH$2:$AH$1001,MATCH(ROWS($AG$2:AG378),$AG$2:$AG$1001,0),1)&gt;=100000,INDEX($AN$1005:$BO$1005,1,MATCH(COLUMNS($AN$1006:BO1006),$AN$1006:$BO$1006,0))&gt;=100000), " ",IF(INDEX($AN$2:$BO$1001,MATCH(ROWS($AG$2:AG378),$AG$2:$AG$1001,0),MATCH(COLUMNS($AN$1006:BO1006),$AN$1006:$BO$1006,0)), HYPERLINK("#",""), HYPERLINK(CONCATENATE("#Metadata!", ADDRESS(INDEX($AI$2:$AI$1001,MATCH(ROWS($AG$2:AG378),$AG$2:$AG$1001,0),0), INDEX($AN$1004:$BO$1004,1,MATCH(COLUMNS($AN$1006:BO1006),$AN$1006:$BO$1006,0)))),"Fix")))</f>
        <v>0</v>
      </c>
      <c r="AG378">
        <v>0</v>
      </c>
      <c r="AH378">
        <v>0</v>
      </c>
      <c r="AI378">
        <v>0</v>
      </c>
      <c r="AJ378">
        <f>IF(AK378,TRUE,AND(AN378:BO378))</f>
        <v>0</v>
      </c>
      <c r="AK378">
        <f>COUNTBLANK(Metadata!B378:AC378)=COLUMNS(Metadata!B378:AC378)</f>
        <v>0</v>
      </c>
      <c r="AL378">
        <v>0</v>
      </c>
      <c r="AN378">
        <f>AND(IF(Metadata!B378="",FALSE,TRUE),COUNTIF(Metadata!B:B, Metadata!B378) = 1,NOT(ISERROR(SUMPRODUCT(SEARCH(MID(Metadata!B378,ROW(INDIRECT("1:"&amp;LEN(Metadata!B378))), 1),"0123456789abcdefghijklmnopqrstuvwxyzABCDEFGHIJKLMNOPQRSTUVWXYZ.")))))</f>
        <v>0</v>
      </c>
      <c r="AO378">
        <f>IF(Metadata!C378="",FALSE,TRUE)</f>
        <v>0</v>
      </c>
      <c r="AP378">
        <f>IF(Metadata!D378="",FALSE,TRUE)</f>
        <v>0</v>
      </c>
      <c r="AQ378">
        <f>OR(AND(IF(Metadata!E378="",FALSE,TRUE),OR(exact(Metadata!E378,"not collected"),exact(Metadata!E378,"not provided"),exact(Metadata!E378,"restricted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R378">
        <f>IF(Metadata!F378="",FALSE,TRUE)</f>
        <v>0</v>
      </c>
      <c r="AS378">
        <f>OR(AND(IF(Metadata!G378="",FALSE,TRUE),OR(exact(Metadata!G378,"not collected"),exact(Metadata!G378,"not provided"))),AND(IF(Metadata!G378="",FALSE,TRUE),OR(exact(Metadata!G378,"TRUE"),exact(Metadata!G378,"FALSE"))))</f>
        <v>0</v>
      </c>
      <c r="AT378">
        <f>OR(AND(IF(Metadata!H378="",FALSE,TRUE),OR(exact(Metadata!H378,"not collected"),exact(Metadata!H378,"not provided"),exact(Metadata!H378,"restricted access"))),AND(IF(Metadata!H378="",FALSE,ISNUMBER(VALUE(Metadata!H378))),Metadata!H378&gt;=-413.0))</f>
        <v>0</v>
      </c>
      <c r="AU378">
        <f>AND(IF(Metadata!I378="",FALSE,TRUE),exact(Metadata!I378,"meters"))</f>
        <v>0</v>
      </c>
      <c r="AV378">
        <f>AND(IF(Metadata!J378="",FALSE,TRUE),OR(exact(Metadata!J378,"Host-associated"),exact(Metadata!J378,"Free-living")))</f>
        <v>0</v>
      </c>
      <c r="AW378">
        <f>AND(IF(Metadata!K378="",FALSE,TRUE),OR(exact(Metadata!K378,"Animal"),exact(Metadata!K378,"Fungus"),exact(Metadata!K378,"Plant"),exact(Metadata!K378,"Saline"),exact(Metadata!K378,"Non-saline")))</f>
        <v>0</v>
      </c>
      <c r="AX378">
        <f>AND(IF(Metadata!L378="",FALSE,TRUE),OR(exact(Metadata!L378,"Plant secretion"),exact(Metadata!L378,"Plant rhizosphere"),exact(Metadata!L378,"Plant surface"),exact(Metadata!L378,"Plant corpus"),exact(Metadata!L378,"Fungus surface"),exact(Metadata!L378,"Fungus corpus"),exact(Metadata!L378,"Animal surface"),exact(Metadata!L378,"Animal proximal gut"),exact(Metadata!L378,"Animal corpus"),exact(Metadata!L378,"Animal distal gut"),exact(Metadata!L378,"Animal secretion"),exact(Metadata!L378,"Sub-surface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Y378">
        <f>IF(Metadata!M378="",FALSE,TRUE)</f>
        <v>0</v>
      </c>
      <c r="AZ378">
        <f>IF(Metadata!N378="",FALSE,TRUE)</f>
        <v>0</v>
      </c>
      <c r="BA378">
        <f>IF(Metadata!O378="",FALSE,TRUE)</f>
        <v>0</v>
      </c>
      <c r="BB378">
        <f>OR(AND(IF(Metadata!P378="",FALSE,TRUE),OR(exact(Metadata!P378,"not collected"),exact(Metadata!P378,"not provided"),exact(Metadata!P378,"restricted access"))),AND(IF(Metadata!P378="",FALSE,TRUE),OR(exact(Metadata!P378,"air"),exact(Metadata!P378,"built environment"),exact(Metadata!P378,"host-associated"),exact(Metadata!P378,"human-associated"),exact(Metadata!P378,"human-skin"),exact(Metadata!P378,"human-oral"),exact(Metadata!P378,"human-gut"),exact(Metadata!P378,"human-vaginal"),exact(Metadata!P378,"microbial mat/biofilm"),exact(Metadata!P378,"misc environment"),exact(Metadata!P378,"plant-associated"),exact(Metadata!P378,"sediment"),exact(Metadata!P378,"soil"),exact(Metadata!P378,"wastewater/sludge"),exact(Metadata!P378,"water"))))</f>
        <v>0</v>
      </c>
      <c r="BC378">
        <f>IF(Metadata!Q378="",FALSE,TRUE)</f>
        <v>0</v>
      </c>
      <c r="BD378">
        <f>IF(Metadata!R378="",FALSE,TRUE)</f>
        <v>0</v>
      </c>
      <c r="BE378">
        <f>OR(AND(IF(Metadata!S378="",FALSE,TRUE),OR(exact(Metadata!S378,"not collected"),exact(Metadata!S378,"not provided"),exact(Metadata!S378,"restricted access"))),AND(IF(Metadata!S378="",FALSE,ISNUMBER(VALUE(Metadata!S378))),Metadata!S378&gt;=-90.00,Metadata!S378&lt;=90.00))</f>
        <v>0</v>
      </c>
      <c r="BF378">
        <f>AND(IF(Metadata!T378="",FALSE,TRUE),exact(Metadata!T378,"Decimal degrees"))</f>
        <v>0</v>
      </c>
      <c r="BG378">
        <f>OR(AND(IF(Metadata!U378="",FALSE,TRUE),OR(exact(Metadata!U378,"not collected"),exact(Metadata!U378,"not provided"),exact(Metadata!U378,"restricted access"))),AND(IF(Metadata!U378="",FALSE,ISNUMBER(VALUE(Metadata!U378))),Metadata!U378&gt;=-180.00,Metadata!U378&lt;=180.00))</f>
        <v>0</v>
      </c>
      <c r="BH378">
        <f>AND(IF(Metadata!V378="",FALSE,TRUE),exact(Metadata!V378,"Decimal degrees"))</f>
        <v>0</v>
      </c>
      <c r="BI378">
        <f>IF(Metadata!W378="",FALSE,TRUE)</f>
        <v>0</v>
      </c>
      <c r="BJ378">
        <f>OR(AND(IF(Metadata!X378="",FALSE,TRUE),OR(exact(Metadata!X378,"not collected"),exact(Metadata!X378,"not provided"),exact(Metadata!X378,"restricted access"))),AND(IF(Metadata!X378="",FALSE,TRUE),OR(exact(Metadata!X378,"TRUE"),exact(Metadata!X378,"FALSE"))))</f>
        <v>0</v>
      </c>
      <c r="BK378">
        <f>AND(IF(Metadata!Y378="",FALSE,TRUE),exact(Metadata!Y378,"other"))</f>
        <v>0</v>
      </c>
      <c r="BL378">
        <f>IF(Metadata!Z378="",FALSE,TRUE)</f>
        <v>0</v>
      </c>
      <c r="BM378">
        <f>OR(AND(IF(Metadata!AA378="",FALSE,TRUE),OR(exact(Metadata!AA378,"not collected"),exact(Metadata!AA378,"not provided"))),AND(IF(Metadata!AA378="",FALSE,IF(ISERROR(INT(Metadata!AA378)),FALSE,INT(Metadata!AA378)=Metadata!AA378)),Metadata!AA378&gt;0))</f>
        <v>0</v>
      </c>
      <c r="BN378">
        <f>AND(IF(Metadata!AB378="",FALSE,TRUE),exact(Metadata!AB378,"Not applicable"))</f>
        <v>0</v>
      </c>
      <c r="BO378">
        <f>IF(Metadata!AC378="",FALSE,TRUE)</f>
        <v>0</v>
      </c>
    </row>
    <row r="379" spans="1:67">
      <c r="A379" s="5">
        <f>IF(B379=" "," ",HYPERLINK(CONCATENATE("#metadata!",ADDRESS(INDEX($AI$2:$AI$1001,MATCH(ROWS($AG$2:AG379),$AG$2:$AG$1001,0),0),1)),INDEX($AL$2:$AL$1001,MATCH(ROWS($AG$2:AG379),$AG$2:$AG$1001,0),0)))</f>
        <v>0</v>
      </c>
      <c r="B379" s="4">
        <f>IF(OR(INDEX($AH$2:$AH$1001,MATCH(ROWS($AG$2:AG379),$AG$2:$AG$1001,0),1)&gt;=100000,INDEX($AN$1005:$BO$1005,1,MATCH(COLUMNS($AN$1006:AN1006),$AN$1006:$BO$1006,0))&gt;=100000), " ",IF(INDEX($AN$2:$BO$1001,MATCH(ROWS($AG$2:AG379),$AG$2:$AG$1001,0),MATCH(COLUMNS($AN$1006:AN1006),$AN$1006:$BO$1006,0)), HYPERLINK("#",""), HYPERLINK(CONCATENATE("#Metadata!", ADDRESS(INDEX($AI$2:$AI$1001,MATCH(ROWS($AG$2:AG379),$AG$2:$AG$1001,0),0), INDEX($AN$1004:$BO$1004,1,MATCH(COLUMNS($AN$1006:AN1006),$AN$1006:$BO$1006,0)))),"Fix")))</f>
        <v>0</v>
      </c>
      <c r="C379" s="4">
        <f>IF(OR(INDEX($AH$2:$AH$1001,MATCH(ROWS($AG$2:AG379),$AG$2:$AG$1001,0),1)&gt;=100000,INDEX($AN$1005:$BO$1005,1,MATCH(COLUMNS($AN$1006:AO1006),$AN$1006:$BO$1006,0))&gt;=100000), " ",IF(INDEX($AN$2:$BO$1001,MATCH(ROWS($AG$2:AG379),$AG$2:$AG$1001,0),MATCH(COLUMNS($AN$1006:AO1006),$AN$1006:$BO$1006,0)), HYPERLINK("#",""), HYPERLINK(CONCATENATE("#Metadata!", ADDRESS(INDEX($AI$2:$AI$1001,MATCH(ROWS($AG$2:AG379),$AG$2:$AG$1001,0),0), INDEX($AN$1004:$BO$1004,1,MATCH(COLUMNS($AN$1006:AO1006),$AN$1006:$BO$1006,0)))),"Fix")))</f>
        <v>0</v>
      </c>
      <c r="D379" s="4">
        <f>IF(OR(INDEX($AH$2:$AH$1001,MATCH(ROWS($AG$2:AG379),$AG$2:$AG$1001,0),1)&gt;=100000,INDEX($AN$1005:$BO$1005,1,MATCH(COLUMNS($AN$1006:AP1006),$AN$1006:$BO$1006,0))&gt;=100000), " ",IF(INDEX($AN$2:$BO$1001,MATCH(ROWS($AG$2:AG379),$AG$2:$AG$1001,0),MATCH(COLUMNS($AN$1006:AP1006),$AN$1006:$BO$1006,0)), HYPERLINK("#",""), HYPERLINK(CONCATENATE("#Metadata!", ADDRESS(INDEX($AI$2:$AI$1001,MATCH(ROWS($AG$2:AG379),$AG$2:$AG$1001,0),0), INDEX($AN$1004:$BO$1004,1,MATCH(COLUMNS($AN$1006:AP1006),$AN$1006:$BO$1006,0)))),"Fix")))</f>
        <v>0</v>
      </c>
      <c r="E379" s="4">
        <f>IF(OR(INDEX($AH$2:$AH$1001,MATCH(ROWS($AG$2:AG379),$AG$2:$AG$1001,0),1)&gt;=100000,INDEX($AN$1005:$BO$1005,1,MATCH(COLUMNS($AN$1006:AQ1006),$AN$1006:$BO$1006,0))&gt;=100000), " ",IF(INDEX($AN$2:$BO$1001,MATCH(ROWS($AG$2:AG379),$AG$2:$AG$1001,0),MATCH(COLUMNS($AN$1006:AQ1006),$AN$1006:$BO$1006,0)), HYPERLINK("#",""), HYPERLINK(CONCATENATE("#Metadata!", ADDRESS(INDEX($AI$2:$AI$1001,MATCH(ROWS($AG$2:AG379),$AG$2:$AG$1001,0),0), INDEX($AN$1004:$BO$1004,1,MATCH(COLUMNS($AN$1006:AQ1006),$AN$1006:$BO$1006,0)))),"Fix")))</f>
        <v>0</v>
      </c>
      <c r="F379" s="4">
        <f>IF(OR(INDEX($AH$2:$AH$1001,MATCH(ROWS($AG$2:AG379),$AG$2:$AG$1001,0),1)&gt;=100000,INDEX($AN$1005:$BO$1005,1,MATCH(COLUMNS($AN$1006:AR1006),$AN$1006:$BO$1006,0))&gt;=100000), " ",IF(INDEX($AN$2:$BO$1001,MATCH(ROWS($AG$2:AG379),$AG$2:$AG$1001,0),MATCH(COLUMNS($AN$1006:AR1006),$AN$1006:$BO$1006,0)), HYPERLINK("#",""), HYPERLINK(CONCATENATE("#Metadata!", ADDRESS(INDEX($AI$2:$AI$1001,MATCH(ROWS($AG$2:AG379),$AG$2:$AG$1001,0),0), INDEX($AN$1004:$BO$1004,1,MATCH(COLUMNS($AN$1006:AR1006),$AN$1006:$BO$1006,0)))),"Fix")))</f>
        <v>0</v>
      </c>
      <c r="G379" s="4">
        <f>IF(OR(INDEX($AH$2:$AH$1001,MATCH(ROWS($AG$2:AG379),$AG$2:$AG$1001,0),1)&gt;=100000,INDEX($AN$1005:$BO$1005,1,MATCH(COLUMNS($AN$1006:AS1006),$AN$1006:$BO$1006,0))&gt;=100000), " ",IF(INDEX($AN$2:$BO$1001,MATCH(ROWS($AG$2:AG379),$AG$2:$AG$1001,0),MATCH(COLUMNS($AN$1006:AS1006),$AN$1006:$BO$1006,0)), HYPERLINK("#",""), HYPERLINK(CONCATENATE("#Metadata!", ADDRESS(INDEX($AI$2:$AI$1001,MATCH(ROWS($AG$2:AG379),$AG$2:$AG$1001,0),0), INDEX($AN$1004:$BO$1004,1,MATCH(COLUMNS($AN$1006:AS1006),$AN$1006:$BO$1006,0)))),"Fix")))</f>
        <v>0</v>
      </c>
      <c r="H379" s="4">
        <f>IF(OR(INDEX($AH$2:$AH$1001,MATCH(ROWS($AG$2:AG379),$AG$2:$AG$1001,0),1)&gt;=100000,INDEX($AN$1005:$BO$1005,1,MATCH(COLUMNS($AN$1006:AT1006),$AN$1006:$BO$1006,0))&gt;=100000), " ",IF(INDEX($AN$2:$BO$1001,MATCH(ROWS($AG$2:AG379),$AG$2:$AG$1001,0),MATCH(COLUMNS($AN$1006:AT1006),$AN$1006:$BO$1006,0)), HYPERLINK("#",""), HYPERLINK(CONCATENATE("#Metadata!", ADDRESS(INDEX($AI$2:$AI$1001,MATCH(ROWS($AG$2:AG379),$AG$2:$AG$1001,0),0), INDEX($AN$1004:$BO$1004,1,MATCH(COLUMNS($AN$1006:AT1006),$AN$1006:$BO$1006,0)))),"Fix")))</f>
        <v>0</v>
      </c>
      <c r="I379" s="4">
        <f>IF(OR(INDEX($AH$2:$AH$1001,MATCH(ROWS($AG$2:AG379),$AG$2:$AG$1001,0),1)&gt;=100000,INDEX($AN$1005:$BO$1005,1,MATCH(COLUMNS($AN$1006:AU1006),$AN$1006:$BO$1006,0))&gt;=100000), " ",IF(INDEX($AN$2:$BO$1001,MATCH(ROWS($AG$2:AG379),$AG$2:$AG$1001,0),MATCH(COLUMNS($AN$1006:AU1006),$AN$1006:$BO$1006,0)), HYPERLINK("#",""), HYPERLINK(CONCATENATE("#Metadata!", ADDRESS(INDEX($AI$2:$AI$1001,MATCH(ROWS($AG$2:AG379),$AG$2:$AG$1001,0),0), INDEX($AN$1004:$BO$1004,1,MATCH(COLUMNS($AN$1006:AU1006),$AN$1006:$BO$1006,0)))),"Fix")))</f>
        <v>0</v>
      </c>
      <c r="J379" s="4">
        <f>IF(OR(INDEX($AH$2:$AH$1001,MATCH(ROWS($AG$2:AG379),$AG$2:$AG$1001,0),1)&gt;=100000,INDEX($AN$1005:$BO$1005,1,MATCH(COLUMNS($AN$1006:AV1006),$AN$1006:$BO$1006,0))&gt;=100000), " ",IF(INDEX($AN$2:$BO$1001,MATCH(ROWS($AG$2:AG379),$AG$2:$AG$1001,0),MATCH(COLUMNS($AN$1006:AV1006),$AN$1006:$BO$1006,0)), HYPERLINK("#",""), HYPERLINK(CONCATENATE("#Metadata!", ADDRESS(INDEX($AI$2:$AI$1001,MATCH(ROWS($AG$2:AG379),$AG$2:$AG$1001,0),0), INDEX($AN$1004:$BO$1004,1,MATCH(COLUMNS($AN$1006:AV1006),$AN$1006:$BO$1006,0)))),"Fix")))</f>
        <v>0</v>
      </c>
      <c r="K379" s="4">
        <f>IF(OR(INDEX($AH$2:$AH$1001,MATCH(ROWS($AG$2:AG379),$AG$2:$AG$1001,0),1)&gt;=100000,INDEX($AN$1005:$BO$1005,1,MATCH(COLUMNS($AN$1006:AW1006),$AN$1006:$BO$1006,0))&gt;=100000), " ",IF(INDEX($AN$2:$BO$1001,MATCH(ROWS($AG$2:AG379),$AG$2:$AG$1001,0),MATCH(COLUMNS($AN$1006:AW1006),$AN$1006:$BO$1006,0)), HYPERLINK("#",""), HYPERLINK(CONCATENATE("#Metadata!", ADDRESS(INDEX($AI$2:$AI$1001,MATCH(ROWS($AG$2:AG379),$AG$2:$AG$1001,0),0), INDEX($AN$1004:$BO$1004,1,MATCH(COLUMNS($AN$1006:AW1006),$AN$1006:$BO$1006,0)))),"Fix")))</f>
        <v>0</v>
      </c>
      <c r="L379" s="4">
        <f>IF(OR(INDEX($AH$2:$AH$1001,MATCH(ROWS($AG$2:AG379),$AG$2:$AG$1001,0),1)&gt;=100000,INDEX($AN$1005:$BO$1005,1,MATCH(COLUMNS($AN$1006:AX1006),$AN$1006:$BO$1006,0))&gt;=100000), " ",IF(INDEX($AN$2:$BO$1001,MATCH(ROWS($AG$2:AG379),$AG$2:$AG$1001,0),MATCH(COLUMNS($AN$1006:AX1006),$AN$1006:$BO$1006,0)), HYPERLINK("#",""), HYPERLINK(CONCATENATE("#Metadata!", ADDRESS(INDEX($AI$2:$AI$1001,MATCH(ROWS($AG$2:AG379),$AG$2:$AG$1001,0),0), INDEX($AN$1004:$BO$1004,1,MATCH(COLUMNS($AN$1006:AX1006),$AN$1006:$BO$1006,0)))),"Fix")))</f>
        <v>0</v>
      </c>
      <c r="M379" s="4">
        <f>IF(OR(INDEX($AH$2:$AH$1001,MATCH(ROWS($AG$2:AG379),$AG$2:$AG$1001,0),1)&gt;=100000,INDEX($AN$1005:$BO$1005,1,MATCH(COLUMNS($AN$1006:AY1006),$AN$1006:$BO$1006,0))&gt;=100000), " ",IF(INDEX($AN$2:$BO$1001,MATCH(ROWS($AG$2:AG379),$AG$2:$AG$1001,0),MATCH(COLUMNS($AN$1006:AY1006),$AN$1006:$BO$1006,0)), HYPERLINK("#",""), HYPERLINK(CONCATENATE("#Metadata!", ADDRESS(INDEX($AI$2:$AI$1001,MATCH(ROWS($AG$2:AG379),$AG$2:$AG$1001,0),0), INDEX($AN$1004:$BO$1004,1,MATCH(COLUMNS($AN$1006:AY1006),$AN$1006:$BO$1006,0)))),"Fix")))</f>
        <v>0</v>
      </c>
      <c r="N379" s="4">
        <f>IF(OR(INDEX($AH$2:$AH$1001,MATCH(ROWS($AG$2:AG379),$AG$2:$AG$1001,0),1)&gt;=100000,INDEX($AN$1005:$BO$1005,1,MATCH(COLUMNS($AN$1006:AZ1006),$AN$1006:$BO$1006,0))&gt;=100000), " ",IF(INDEX($AN$2:$BO$1001,MATCH(ROWS($AG$2:AG379),$AG$2:$AG$1001,0),MATCH(COLUMNS($AN$1006:AZ1006),$AN$1006:$BO$1006,0)), HYPERLINK("#",""), HYPERLINK(CONCATENATE("#Metadata!", ADDRESS(INDEX($AI$2:$AI$1001,MATCH(ROWS($AG$2:AG379),$AG$2:$AG$1001,0),0), INDEX($AN$1004:$BO$1004,1,MATCH(COLUMNS($AN$1006:AZ1006),$AN$1006:$BO$1006,0)))),"Fix")))</f>
        <v>0</v>
      </c>
      <c r="O379" s="4">
        <f>IF(OR(INDEX($AH$2:$AH$1001,MATCH(ROWS($AG$2:AG379),$AG$2:$AG$1001,0),1)&gt;=100000,INDEX($AN$1005:$BO$1005,1,MATCH(COLUMNS($AN$1006:BA1006),$AN$1006:$BO$1006,0))&gt;=100000), " ",IF(INDEX($AN$2:$BO$1001,MATCH(ROWS($AG$2:AG379),$AG$2:$AG$1001,0),MATCH(COLUMNS($AN$1006:BA1006),$AN$1006:$BO$1006,0)), HYPERLINK("#",""), HYPERLINK(CONCATENATE("#Metadata!", ADDRESS(INDEX($AI$2:$AI$1001,MATCH(ROWS($AG$2:AG379),$AG$2:$AG$1001,0),0), INDEX($AN$1004:$BO$1004,1,MATCH(COLUMNS($AN$1006:BA1006),$AN$1006:$BO$1006,0)))),"Fix")))</f>
        <v>0</v>
      </c>
      <c r="P379" s="4">
        <f>IF(OR(INDEX($AH$2:$AH$1001,MATCH(ROWS($AG$2:AG379),$AG$2:$AG$1001,0),1)&gt;=100000,INDEX($AN$1005:$BO$1005,1,MATCH(COLUMNS($AN$1006:BB1006),$AN$1006:$BO$1006,0))&gt;=100000), " ",IF(INDEX($AN$2:$BO$1001,MATCH(ROWS($AG$2:AG379),$AG$2:$AG$1001,0),MATCH(COLUMNS($AN$1006:BB1006),$AN$1006:$BO$1006,0)), HYPERLINK("#",""), HYPERLINK(CONCATENATE("#Metadata!", ADDRESS(INDEX($AI$2:$AI$1001,MATCH(ROWS($AG$2:AG379),$AG$2:$AG$1001,0),0), INDEX($AN$1004:$BO$1004,1,MATCH(COLUMNS($AN$1006:BB1006),$AN$1006:$BO$1006,0)))),"Fix")))</f>
        <v>0</v>
      </c>
      <c r="Q379" s="4">
        <f>IF(OR(INDEX($AH$2:$AH$1001,MATCH(ROWS($AG$2:AG379),$AG$2:$AG$1001,0),1)&gt;=100000,INDEX($AN$1005:$BO$1005,1,MATCH(COLUMNS($AN$1006:BC1006),$AN$1006:$BO$1006,0))&gt;=100000), " ",IF(INDEX($AN$2:$BO$1001,MATCH(ROWS($AG$2:AG379),$AG$2:$AG$1001,0),MATCH(COLUMNS($AN$1006:BC1006),$AN$1006:$BO$1006,0)), HYPERLINK("#",""), HYPERLINK(CONCATENATE("#Metadata!", ADDRESS(INDEX($AI$2:$AI$1001,MATCH(ROWS($AG$2:AG379),$AG$2:$AG$1001,0),0), INDEX($AN$1004:$BO$1004,1,MATCH(COLUMNS($AN$1006:BC1006),$AN$1006:$BO$1006,0)))),"Fix")))</f>
        <v>0</v>
      </c>
      <c r="R379" s="4">
        <f>IF(OR(INDEX($AH$2:$AH$1001,MATCH(ROWS($AG$2:AG379),$AG$2:$AG$1001,0),1)&gt;=100000,INDEX($AN$1005:$BO$1005,1,MATCH(COLUMNS($AN$1006:BD1006),$AN$1006:$BO$1006,0))&gt;=100000), " ",IF(INDEX($AN$2:$BO$1001,MATCH(ROWS($AG$2:AG379),$AG$2:$AG$1001,0),MATCH(COLUMNS($AN$1006:BD1006),$AN$1006:$BO$1006,0)), HYPERLINK("#",""), HYPERLINK(CONCATENATE("#Metadata!", ADDRESS(INDEX($AI$2:$AI$1001,MATCH(ROWS($AG$2:AG379),$AG$2:$AG$1001,0),0), INDEX($AN$1004:$BO$1004,1,MATCH(COLUMNS($AN$1006:BD1006),$AN$1006:$BO$1006,0)))),"Fix")))</f>
        <v>0</v>
      </c>
      <c r="S379" s="4">
        <f>IF(OR(INDEX($AH$2:$AH$1001,MATCH(ROWS($AG$2:AG379),$AG$2:$AG$1001,0),1)&gt;=100000,INDEX($AN$1005:$BO$1005,1,MATCH(COLUMNS($AN$1006:BE1006),$AN$1006:$BO$1006,0))&gt;=100000), " ",IF(INDEX($AN$2:$BO$1001,MATCH(ROWS($AG$2:AG379),$AG$2:$AG$1001,0),MATCH(COLUMNS($AN$1006:BE1006),$AN$1006:$BO$1006,0)), HYPERLINK("#",""), HYPERLINK(CONCATENATE("#Metadata!", ADDRESS(INDEX($AI$2:$AI$1001,MATCH(ROWS($AG$2:AG379),$AG$2:$AG$1001,0),0), INDEX($AN$1004:$BO$1004,1,MATCH(COLUMNS($AN$1006:BE1006),$AN$1006:$BO$1006,0)))),"Fix")))</f>
        <v>0</v>
      </c>
      <c r="T379" s="4">
        <f>IF(OR(INDEX($AH$2:$AH$1001,MATCH(ROWS($AG$2:AG379),$AG$2:$AG$1001,0),1)&gt;=100000,INDEX($AN$1005:$BO$1005,1,MATCH(COLUMNS($AN$1006:BF1006),$AN$1006:$BO$1006,0))&gt;=100000), " ",IF(INDEX($AN$2:$BO$1001,MATCH(ROWS($AG$2:AG379),$AG$2:$AG$1001,0),MATCH(COLUMNS($AN$1006:BF1006),$AN$1006:$BO$1006,0)), HYPERLINK("#",""), HYPERLINK(CONCATENATE("#Metadata!", ADDRESS(INDEX($AI$2:$AI$1001,MATCH(ROWS($AG$2:AG379),$AG$2:$AG$1001,0),0), INDEX($AN$1004:$BO$1004,1,MATCH(COLUMNS($AN$1006:BF1006),$AN$1006:$BO$1006,0)))),"Fix")))</f>
        <v>0</v>
      </c>
      <c r="U379" s="4">
        <f>IF(OR(INDEX($AH$2:$AH$1001,MATCH(ROWS($AG$2:AG379),$AG$2:$AG$1001,0),1)&gt;=100000,INDEX($AN$1005:$BO$1005,1,MATCH(COLUMNS($AN$1006:BG1006),$AN$1006:$BO$1006,0))&gt;=100000), " ",IF(INDEX($AN$2:$BO$1001,MATCH(ROWS($AG$2:AG379),$AG$2:$AG$1001,0),MATCH(COLUMNS($AN$1006:BG1006),$AN$1006:$BO$1006,0)), HYPERLINK("#",""), HYPERLINK(CONCATENATE("#Metadata!", ADDRESS(INDEX($AI$2:$AI$1001,MATCH(ROWS($AG$2:AG379),$AG$2:$AG$1001,0),0), INDEX($AN$1004:$BO$1004,1,MATCH(COLUMNS($AN$1006:BG1006),$AN$1006:$BO$1006,0)))),"Fix")))</f>
        <v>0</v>
      </c>
      <c r="V379" s="4">
        <f>IF(OR(INDEX($AH$2:$AH$1001,MATCH(ROWS($AG$2:AG379),$AG$2:$AG$1001,0),1)&gt;=100000,INDEX($AN$1005:$BO$1005,1,MATCH(COLUMNS($AN$1006:BH1006),$AN$1006:$BO$1006,0))&gt;=100000), " ",IF(INDEX($AN$2:$BO$1001,MATCH(ROWS($AG$2:AG379),$AG$2:$AG$1001,0),MATCH(COLUMNS($AN$1006:BH1006),$AN$1006:$BO$1006,0)), HYPERLINK("#",""), HYPERLINK(CONCATENATE("#Metadata!", ADDRESS(INDEX($AI$2:$AI$1001,MATCH(ROWS($AG$2:AG379),$AG$2:$AG$1001,0),0), INDEX($AN$1004:$BO$1004,1,MATCH(COLUMNS($AN$1006:BH1006),$AN$1006:$BO$1006,0)))),"Fix")))</f>
        <v>0</v>
      </c>
      <c r="W379" s="4">
        <f>IF(OR(INDEX($AH$2:$AH$1001,MATCH(ROWS($AG$2:AG379),$AG$2:$AG$1001,0),1)&gt;=100000,INDEX($AN$1005:$BO$1005,1,MATCH(COLUMNS($AN$1006:BI1006),$AN$1006:$BO$1006,0))&gt;=100000), " ",IF(INDEX($AN$2:$BO$1001,MATCH(ROWS($AG$2:AG379),$AG$2:$AG$1001,0),MATCH(COLUMNS($AN$1006:BI1006),$AN$1006:$BO$1006,0)), HYPERLINK("#",""), HYPERLINK(CONCATENATE("#Metadata!", ADDRESS(INDEX($AI$2:$AI$1001,MATCH(ROWS($AG$2:AG379),$AG$2:$AG$1001,0),0), INDEX($AN$1004:$BO$1004,1,MATCH(COLUMNS($AN$1006:BI1006),$AN$1006:$BO$1006,0)))),"Fix")))</f>
        <v>0</v>
      </c>
      <c r="X379" s="4">
        <f>IF(OR(INDEX($AH$2:$AH$1001,MATCH(ROWS($AG$2:AG379),$AG$2:$AG$1001,0),1)&gt;=100000,INDEX($AN$1005:$BO$1005,1,MATCH(COLUMNS($AN$1006:BJ1006),$AN$1006:$BO$1006,0))&gt;=100000), " ",IF(INDEX($AN$2:$BO$1001,MATCH(ROWS($AG$2:AG379),$AG$2:$AG$1001,0),MATCH(COLUMNS($AN$1006:BJ1006),$AN$1006:$BO$1006,0)), HYPERLINK("#",""), HYPERLINK(CONCATENATE("#Metadata!", ADDRESS(INDEX($AI$2:$AI$1001,MATCH(ROWS($AG$2:AG379),$AG$2:$AG$1001,0),0), INDEX($AN$1004:$BO$1004,1,MATCH(COLUMNS($AN$1006:BJ1006),$AN$1006:$BO$1006,0)))),"Fix")))</f>
        <v>0</v>
      </c>
      <c r="Y379" s="4">
        <f>IF(OR(INDEX($AH$2:$AH$1001,MATCH(ROWS($AG$2:AG379),$AG$2:$AG$1001,0),1)&gt;=100000,INDEX($AN$1005:$BO$1005,1,MATCH(COLUMNS($AN$1006:BK1006),$AN$1006:$BO$1006,0))&gt;=100000), " ",IF(INDEX($AN$2:$BO$1001,MATCH(ROWS($AG$2:AG379),$AG$2:$AG$1001,0),MATCH(COLUMNS($AN$1006:BK1006),$AN$1006:$BO$1006,0)), HYPERLINK("#",""), HYPERLINK(CONCATENATE("#Metadata!", ADDRESS(INDEX($AI$2:$AI$1001,MATCH(ROWS($AG$2:AG379),$AG$2:$AG$1001,0),0), INDEX($AN$1004:$BO$1004,1,MATCH(COLUMNS($AN$1006:BK1006),$AN$1006:$BO$1006,0)))),"Fix")))</f>
        <v>0</v>
      </c>
      <c r="Z379" s="4">
        <f>IF(OR(INDEX($AH$2:$AH$1001,MATCH(ROWS($AG$2:AG379),$AG$2:$AG$1001,0),1)&gt;=100000,INDEX($AN$1005:$BO$1005,1,MATCH(COLUMNS($AN$1006:BL1006),$AN$1006:$BO$1006,0))&gt;=100000), " ",IF(INDEX($AN$2:$BO$1001,MATCH(ROWS($AG$2:AG379),$AG$2:$AG$1001,0),MATCH(COLUMNS($AN$1006:BL1006),$AN$1006:$BO$1006,0)), HYPERLINK("#",""), HYPERLINK(CONCATENATE("#Metadata!", ADDRESS(INDEX($AI$2:$AI$1001,MATCH(ROWS($AG$2:AG379),$AG$2:$AG$1001,0),0), INDEX($AN$1004:$BO$1004,1,MATCH(COLUMNS($AN$1006:BL1006),$AN$1006:$BO$1006,0)))),"Fix")))</f>
        <v>0</v>
      </c>
      <c r="AA379" s="4">
        <f>IF(OR(INDEX($AH$2:$AH$1001,MATCH(ROWS($AG$2:AG379),$AG$2:$AG$1001,0),1)&gt;=100000,INDEX($AN$1005:$BO$1005,1,MATCH(COLUMNS($AN$1006:BM1006),$AN$1006:$BO$1006,0))&gt;=100000), " ",IF(INDEX($AN$2:$BO$1001,MATCH(ROWS($AG$2:AG379),$AG$2:$AG$1001,0),MATCH(COLUMNS($AN$1006:BM1006),$AN$1006:$BO$1006,0)), HYPERLINK("#",""), HYPERLINK(CONCATENATE("#Metadata!", ADDRESS(INDEX($AI$2:$AI$1001,MATCH(ROWS($AG$2:AG379),$AG$2:$AG$1001,0),0), INDEX($AN$1004:$BO$1004,1,MATCH(COLUMNS($AN$1006:BM1006),$AN$1006:$BO$1006,0)))),"Fix")))</f>
        <v>0</v>
      </c>
      <c r="AB379" s="4">
        <f>IF(OR(INDEX($AH$2:$AH$1001,MATCH(ROWS($AG$2:AG379),$AG$2:$AG$1001,0),1)&gt;=100000,INDEX($AN$1005:$BO$1005,1,MATCH(COLUMNS($AN$1006:BN1006),$AN$1006:$BO$1006,0))&gt;=100000), " ",IF(INDEX($AN$2:$BO$1001,MATCH(ROWS($AG$2:AG379),$AG$2:$AG$1001,0),MATCH(COLUMNS($AN$1006:BN1006),$AN$1006:$BO$1006,0)), HYPERLINK("#",""), HYPERLINK(CONCATENATE("#Metadata!", ADDRESS(INDEX($AI$2:$AI$1001,MATCH(ROWS($AG$2:AG379),$AG$2:$AG$1001,0),0), INDEX($AN$1004:$BO$1004,1,MATCH(COLUMNS($AN$1006:BN1006),$AN$1006:$BO$1006,0)))),"Fix")))</f>
        <v>0</v>
      </c>
      <c r="AC379" s="4">
        <f>IF(OR(INDEX($AH$2:$AH$1001,MATCH(ROWS($AG$2:AG379),$AG$2:$AG$1001,0),1)&gt;=100000,INDEX($AN$1005:$BO$1005,1,MATCH(COLUMNS($AN$1006:BO1006),$AN$1006:$BO$1006,0))&gt;=100000), " ",IF(INDEX($AN$2:$BO$1001,MATCH(ROWS($AG$2:AG379),$AG$2:$AG$1001,0),MATCH(COLUMNS($AN$1006:BO1006),$AN$1006:$BO$1006,0)), HYPERLINK("#",""), HYPERLINK(CONCATENATE("#Metadata!", ADDRESS(INDEX($AI$2:$AI$1001,MATCH(ROWS($AG$2:AG379),$AG$2:$AG$1001,0),0), INDEX($AN$1004:$BO$1004,1,MATCH(COLUMNS($AN$1006:BO1006),$AN$1006:$BO$1006,0)))),"Fix")))</f>
        <v>0</v>
      </c>
      <c r="AG379">
        <v>0</v>
      </c>
      <c r="AH379">
        <v>0</v>
      </c>
      <c r="AI379">
        <v>0</v>
      </c>
      <c r="AJ379">
        <f>IF(AK379,TRUE,AND(AN379:BO379))</f>
        <v>0</v>
      </c>
      <c r="AK379">
        <f>COUNTBLANK(Metadata!B379:AC379)=COLUMNS(Metadata!B379:AC379)</f>
        <v>0</v>
      </c>
      <c r="AL379">
        <v>0</v>
      </c>
      <c r="AN379">
        <f>AND(IF(Metadata!B379="",FALSE,TRUE),COUNTIF(Metadata!B:B, Metadata!B379) = 1,NOT(ISERROR(SUMPRODUCT(SEARCH(MID(Metadata!B379,ROW(INDIRECT("1:"&amp;LEN(Metadata!B379))), 1),"0123456789abcdefghijklmnopqrstuvwxyzABCDEFGHIJKLMNOPQRSTUVWXYZ.")))))</f>
        <v>0</v>
      </c>
      <c r="AO379">
        <f>IF(Metadata!C379="",FALSE,TRUE)</f>
        <v>0</v>
      </c>
      <c r="AP379">
        <f>IF(Metadata!D379="",FALSE,TRUE)</f>
        <v>0</v>
      </c>
      <c r="AQ379">
        <f>OR(AND(IF(Metadata!E379="",FALSE,TRUE),OR(exact(Metadata!E379,"not collected"),exact(Metadata!E379,"not provided"),exact(Metadata!E379,"restricted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R379">
        <f>IF(Metadata!F379="",FALSE,TRUE)</f>
        <v>0</v>
      </c>
      <c r="AS379">
        <f>OR(AND(IF(Metadata!G379="",FALSE,TRUE),OR(exact(Metadata!G379,"not collected"),exact(Metadata!G379,"not provided"))),AND(IF(Metadata!G379="",FALSE,TRUE),OR(exact(Metadata!G379,"TRUE"),exact(Metadata!G379,"FALSE"))))</f>
        <v>0</v>
      </c>
      <c r="AT379">
        <f>OR(AND(IF(Metadata!H379="",FALSE,TRUE),OR(exact(Metadata!H379,"not collected"),exact(Metadata!H379,"not provided"),exact(Metadata!H379,"restricted access"))),AND(IF(Metadata!H379="",FALSE,ISNUMBER(VALUE(Metadata!H379))),Metadata!H379&gt;=-413.0))</f>
        <v>0</v>
      </c>
      <c r="AU379">
        <f>AND(IF(Metadata!I379="",FALSE,TRUE),exact(Metadata!I379,"meters"))</f>
        <v>0</v>
      </c>
      <c r="AV379">
        <f>AND(IF(Metadata!J379="",FALSE,TRUE),OR(exact(Metadata!J379,"Host-associated"),exact(Metadata!J379,"Free-living")))</f>
        <v>0</v>
      </c>
      <c r="AW379">
        <f>AND(IF(Metadata!K379="",FALSE,TRUE),OR(exact(Metadata!K379,"Animal"),exact(Metadata!K379,"Fungus"),exact(Metadata!K379,"Plant"),exact(Metadata!K379,"Saline"),exact(Metadata!K379,"Non-saline")))</f>
        <v>0</v>
      </c>
      <c r="AX379">
        <f>AND(IF(Metadata!L379="",FALSE,TRUE),OR(exact(Metadata!L379,"Plant secretion"),exact(Metadata!L379,"Plant rhizosphere"),exact(Metadata!L379,"Plant surface"),exact(Metadata!L379,"Plant corpus"),exact(Metadata!L379,"Fungus surface"),exact(Metadata!L379,"Fungus corpus"),exact(Metadata!L379,"Animal surface"),exact(Metadata!L379,"Animal proximal gut"),exact(Metadata!L379,"Animal corpus"),exact(Metadata!L379,"Animal distal gut"),exact(Metadata!L379,"Animal secretion"),exact(Metadata!L379,"Sub-surface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Y379">
        <f>IF(Metadata!M379="",FALSE,TRUE)</f>
        <v>0</v>
      </c>
      <c r="AZ379">
        <f>IF(Metadata!N379="",FALSE,TRUE)</f>
        <v>0</v>
      </c>
      <c r="BA379">
        <f>IF(Metadata!O379="",FALSE,TRUE)</f>
        <v>0</v>
      </c>
      <c r="BB379">
        <f>OR(AND(IF(Metadata!P379="",FALSE,TRUE),OR(exact(Metadata!P379,"not collected"),exact(Metadata!P379,"not provided"),exact(Metadata!P379,"restricted access"))),AND(IF(Metadata!P379="",FALSE,TRUE),OR(exact(Metadata!P379,"air"),exact(Metadata!P379,"built environment"),exact(Metadata!P379,"host-associated"),exact(Metadata!P379,"human-associated"),exact(Metadata!P379,"human-skin"),exact(Metadata!P379,"human-oral"),exact(Metadata!P379,"human-gut"),exact(Metadata!P379,"human-vaginal"),exact(Metadata!P379,"microbial mat/biofilm"),exact(Metadata!P379,"misc environment"),exact(Metadata!P379,"plant-associated"),exact(Metadata!P379,"sediment"),exact(Metadata!P379,"soil"),exact(Metadata!P379,"wastewater/sludge"),exact(Metadata!P379,"water"))))</f>
        <v>0</v>
      </c>
      <c r="BC379">
        <f>IF(Metadata!Q379="",FALSE,TRUE)</f>
        <v>0</v>
      </c>
      <c r="BD379">
        <f>IF(Metadata!R379="",FALSE,TRUE)</f>
        <v>0</v>
      </c>
      <c r="BE379">
        <f>OR(AND(IF(Metadata!S379="",FALSE,TRUE),OR(exact(Metadata!S379,"not collected"),exact(Metadata!S379,"not provided"),exact(Metadata!S379,"restricted access"))),AND(IF(Metadata!S379="",FALSE,ISNUMBER(VALUE(Metadata!S379))),Metadata!S379&gt;=-90.00,Metadata!S379&lt;=90.00))</f>
        <v>0</v>
      </c>
      <c r="BF379">
        <f>AND(IF(Metadata!T379="",FALSE,TRUE),exact(Metadata!T379,"Decimal degrees"))</f>
        <v>0</v>
      </c>
      <c r="BG379">
        <f>OR(AND(IF(Metadata!U379="",FALSE,TRUE),OR(exact(Metadata!U379,"not collected"),exact(Metadata!U379,"not provided"),exact(Metadata!U379,"restricted access"))),AND(IF(Metadata!U379="",FALSE,ISNUMBER(VALUE(Metadata!U379))),Metadata!U379&gt;=-180.00,Metadata!U379&lt;=180.00))</f>
        <v>0</v>
      </c>
      <c r="BH379">
        <f>AND(IF(Metadata!V379="",FALSE,TRUE),exact(Metadata!V379,"Decimal degrees"))</f>
        <v>0</v>
      </c>
      <c r="BI379">
        <f>IF(Metadata!W379="",FALSE,TRUE)</f>
        <v>0</v>
      </c>
      <c r="BJ379">
        <f>OR(AND(IF(Metadata!X379="",FALSE,TRUE),OR(exact(Metadata!X379,"not collected"),exact(Metadata!X379,"not provided"),exact(Metadata!X379,"restricted access"))),AND(IF(Metadata!X379="",FALSE,TRUE),OR(exact(Metadata!X379,"TRUE"),exact(Metadata!X379,"FALSE"))))</f>
        <v>0</v>
      </c>
      <c r="BK379">
        <f>AND(IF(Metadata!Y379="",FALSE,TRUE),exact(Metadata!Y379,"other"))</f>
        <v>0</v>
      </c>
      <c r="BL379">
        <f>IF(Metadata!Z379="",FALSE,TRUE)</f>
        <v>0</v>
      </c>
      <c r="BM379">
        <f>OR(AND(IF(Metadata!AA379="",FALSE,TRUE),OR(exact(Metadata!AA379,"not collected"),exact(Metadata!AA379,"not provided"))),AND(IF(Metadata!AA379="",FALSE,IF(ISERROR(INT(Metadata!AA379)),FALSE,INT(Metadata!AA379)=Metadata!AA379)),Metadata!AA379&gt;0))</f>
        <v>0</v>
      </c>
      <c r="BN379">
        <f>AND(IF(Metadata!AB379="",FALSE,TRUE),exact(Metadata!AB379,"Not applicable"))</f>
        <v>0</v>
      </c>
      <c r="BO379">
        <f>IF(Metadata!AC379="",FALSE,TRUE)</f>
        <v>0</v>
      </c>
    </row>
    <row r="380" spans="1:67">
      <c r="A380" s="5">
        <f>IF(B380=" "," ",HYPERLINK(CONCATENATE("#metadata!",ADDRESS(INDEX($AI$2:$AI$1001,MATCH(ROWS($AG$2:AG380),$AG$2:$AG$1001,0),0),1)),INDEX($AL$2:$AL$1001,MATCH(ROWS($AG$2:AG380),$AG$2:$AG$1001,0),0)))</f>
        <v>0</v>
      </c>
      <c r="B380" s="4">
        <f>IF(OR(INDEX($AH$2:$AH$1001,MATCH(ROWS($AG$2:AG380),$AG$2:$AG$1001,0),1)&gt;=100000,INDEX($AN$1005:$BO$1005,1,MATCH(COLUMNS($AN$1006:AN1006),$AN$1006:$BO$1006,0))&gt;=100000), " ",IF(INDEX($AN$2:$BO$1001,MATCH(ROWS($AG$2:AG380),$AG$2:$AG$1001,0),MATCH(COLUMNS($AN$1006:AN1006),$AN$1006:$BO$1006,0)), HYPERLINK("#",""), HYPERLINK(CONCATENATE("#Metadata!", ADDRESS(INDEX($AI$2:$AI$1001,MATCH(ROWS($AG$2:AG380),$AG$2:$AG$1001,0),0), INDEX($AN$1004:$BO$1004,1,MATCH(COLUMNS($AN$1006:AN1006),$AN$1006:$BO$1006,0)))),"Fix")))</f>
        <v>0</v>
      </c>
      <c r="C380" s="4">
        <f>IF(OR(INDEX($AH$2:$AH$1001,MATCH(ROWS($AG$2:AG380),$AG$2:$AG$1001,0),1)&gt;=100000,INDEX($AN$1005:$BO$1005,1,MATCH(COLUMNS($AN$1006:AO1006),$AN$1006:$BO$1006,0))&gt;=100000), " ",IF(INDEX($AN$2:$BO$1001,MATCH(ROWS($AG$2:AG380),$AG$2:$AG$1001,0),MATCH(COLUMNS($AN$1006:AO1006),$AN$1006:$BO$1006,0)), HYPERLINK("#",""), HYPERLINK(CONCATENATE("#Metadata!", ADDRESS(INDEX($AI$2:$AI$1001,MATCH(ROWS($AG$2:AG380),$AG$2:$AG$1001,0),0), INDEX($AN$1004:$BO$1004,1,MATCH(COLUMNS($AN$1006:AO1006),$AN$1006:$BO$1006,0)))),"Fix")))</f>
        <v>0</v>
      </c>
      <c r="D380" s="4">
        <f>IF(OR(INDEX($AH$2:$AH$1001,MATCH(ROWS($AG$2:AG380),$AG$2:$AG$1001,0),1)&gt;=100000,INDEX($AN$1005:$BO$1005,1,MATCH(COLUMNS($AN$1006:AP1006),$AN$1006:$BO$1006,0))&gt;=100000), " ",IF(INDEX($AN$2:$BO$1001,MATCH(ROWS($AG$2:AG380),$AG$2:$AG$1001,0),MATCH(COLUMNS($AN$1006:AP1006),$AN$1006:$BO$1006,0)), HYPERLINK("#",""), HYPERLINK(CONCATENATE("#Metadata!", ADDRESS(INDEX($AI$2:$AI$1001,MATCH(ROWS($AG$2:AG380),$AG$2:$AG$1001,0),0), INDEX($AN$1004:$BO$1004,1,MATCH(COLUMNS($AN$1006:AP1006),$AN$1006:$BO$1006,0)))),"Fix")))</f>
        <v>0</v>
      </c>
      <c r="E380" s="4">
        <f>IF(OR(INDEX($AH$2:$AH$1001,MATCH(ROWS($AG$2:AG380),$AG$2:$AG$1001,0),1)&gt;=100000,INDEX($AN$1005:$BO$1005,1,MATCH(COLUMNS($AN$1006:AQ1006),$AN$1006:$BO$1006,0))&gt;=100000), " ",IF(INDEX($AN$2:$BO$1001,MATCH(ROWS($AG$2:AG380),$AG$2:$AG$1001,0),MATCH(COLUMNS($AN$1006:AQ1006),$AN$1006:$BO$1006,0)), HYPERLINK("#",""), HYPERLINK(CONCATENATE("#Metadata!", ADDRESS(INDEX($AI$2:$AI$1001,MATCH(ROWS($AG$2:AG380),$AG$2:$AG$1001,0),0), INDEX($AN$1004:$BO$1004,1,MATCH(COLUMNS($AN$1006:AQ1006),$AN$1006:$BO$1006,0)))),"Fix")))</f>
        <v>0</v>
      </c>
      <c r="F380" s="4">
        <f>IF(OR(INDEX($AH$2:$AH$1001,MATCH(ROWS($AG$2:AG380),$AG$2:$AG$1001,0),1)&gt;=100000,INDEX($AN$1005:$BO$1005,1,MATCH(COLUMNS($AN$1006:AR1006),$AN$1006:$BO$1006,0))&gt;=100000), " ",IF(INDEX($AN$2:$BO$1001,MATCH(ROWS($AG$2:AG380),$AG$2:$AG$1001,0),MATCH(COLUMNS($AN$1006:AR1006),$AN$1006:$BO$1006,0)), HYPERLINK("#",""), HYPERLINK(CONCATENATE("#Metadata!", ADDRESS(INDEX($AI$2:$AI$1001,MATCH(ROWS($AG$2:AG380),$AG$2:$AG$1001,0),0), INDEX($AN$1004:$BO$1004,1,MATCH(COLUMNS($AN$1006:AR1006),$AN$1006:$BO$1006,0)))),"Fix")))</f>
        <v>0</v>
      </c>
      <c r="G380" s="4">
        <f>IF(OR(INDEX($AH$2:$AH$1001,MATCH(ROWS($AG$2:AG380),$AG$2:$AG$1001,0),1)&gt;=100000,INDEX($AN$1005:$BO$1005,1,MATCH(COLUMNS($AN$1006:AS1006),$AN$1006:$BO$1006,0))&gt;=100000), " ",IF(INDEX($AN$2:$BO$1001,MATCH(ROWS($AG$2:AG380),$AG$2:$AG$1001,0),MATCH(COLUMNS($AN$1006:AS1006),$AN$1006:$BO$1006,0)), HYPERLINK("#",""), HYPERLINK(CONCATENATE("#Metadata!", ADDRESS(INDEX($AI$2:$AI$1001,MATCH(ROWS($AG$2:AG380),$AG$2:$AG$1001,0),0), INDEX($AN$1004:$BO$1004,1,MATCH(COLUMNS($AN$1006:AS1006),$AN$1006:$BO$1006,0)))),"Fix")))</f>
        <v>0</v>
      </c>
      <c r="H380" s="4">
        <f>IF(OR(INDEX($AH$2:$AH$1001,MATCH(ROWS($AG$2:AG380),$AG$2:$AG$1001,0),1)&gt;=100000,INDEX($AN$1005:$BO$1005,1,MATCH(COLUMNS($AN$1006:AT1006),$AN$1006:$BO$1006,0))&gt;=100000), " ",IF(INDEX($AN$2:$BO$1001,MATCH(ROWS($AG$2:AG380),$AG$2:$AG$1001,0),MATCH(COLUMNS($AN$1006:AT1006),$AN$1006:$BO$1006,0)), HYPERLINK("#",""), HYPERLINK(CONCATENATE("#Metadata!", ADDRESS(INDEX($AI$2:$AI$1001,MATCH(ROWS($AG$2:AG380),$AG$2:$AG$1001,0),0), INDEX($AN$1004:$BO$1004,1,MATCH(COLUMNS($AN$1006:AT1006),$AN$1006:$BO$1006,0)))),"Fix")))</f>
        <v>0</v>
      </c>
      <c r="I380" s="4">
        <f>IF(OR(INDEX($AH$2:$AH$1001,MATCH(ROWS($AG$2:AG380),$AG$2:$AG$1001,0),1)&gt;=100000,INDEX($AN$1005:$BO$1005,1,MATCH(COLUMNS($AN$1006:AU1006),$AN$1006:$BO$1006,0))&gt;=100000), " ",IF(INDEX($AN$2:$BO$1001,MATCH(ROWS($AG$2:AG380),$AG$2:$AG$1001,0),MATCH(COLUMNS($AN$1006:AU1006),$AN$1006:$BO$1006,0)), HYPERLINK("#",""), HYPERLINK(CONCATENATE("#Metadata!", ADDRESS(INDEX($AI$2:$AI$1001,MATCH(ROWS($AG$2:AG380),$AG$2:$AG$1001,0),0), INDEX($AN$1004:$BO$1004,1,MATCH(COLUMNS($AN$1006:AU1006),$AN$1006:$BO$1006,0)))),"Fix")))</f>
        <v>0</v>
      </c>
      <c r="J380" s="4">
        <f>IF(OR(INDEX($AH$2:$AH$1001,MATCH(ROWS($AG$2:AG380),$AG$2:$AG$1001,0),1)&gt;=100000,INDEX($AN$1005:$BO$1005,1,MATCH(COLUMNS($AN$1006:AV1006),$AN$1006:$BO$1006,0))&gt;=100000), " ",IF(INDEX($AN$2:$BO$1001,MATCH(ROWS($AG$2:AG380),$AG$2:$AG$1001,0),MATCH(COLUMNS($AN$1006:AV1006),$AN$1006:$BO$1006,0)), HYPERLINK("#",""), HYPERLINK(CONCATENATE("#Metadata!", ADDRESS(INDEX($AI$2:$AI$1001,MATCH(ROWS($AG$2:AG380),$AG$2:$AG$1001,0),0), INDEX($AN$1004:$BO$1004,1,MATCH(COLUMNS($AN$1006:AV1006),$AN$1006:$BO$1006,0)))),"Fix")))</f>
        <v>0</v>
      </c>
      <c r="K380" s="4">
        <f>IF(OR(INDEX($AH$2:$AH$1001,MATCH(ROWS($AG$2:AG380),$AG$2:$AG$1001,0),1)&gt;=100000,INDEX($AN$1005:$BO$1005,1,MATCH(COLUMNS($AN$1006:AW1006),$AN$1006:$BO$1006,0))&gt;=100000), " ",IF(INDEX($AN$2:$BO$1001,MATCH(ROWS($AG$2:AG380),$AG$2:$AG$1001,0),MATCH(COLUMNS($AN$1006:AW1006),$AN$1006:$BO$1006,0)), HYPERLINK("#",""), HYPERLINK(CONCATENATE("#Metadata!", ADDRESS(INDEX($AI$2:$AI$1001,MATCH(ROWS($AG$2:AG380),$AG$2:$AG$1001,0),0), INDEX($AN$1004:$BO$1004,1,MATCH(COLUMNS($AN$1006:AW1006),$AN$1006:$BO$1006,0)))),"Fix")))</f>
        <v>0</v>
      </c>
      <c r="L380" s="4">
        <f>IF(OR(INDEX($AH$2:$AH$1001,MATCH(ROWS($AG$2:AG380),$AG$2:$AG$1001,0),1)&gt;=100000,INDEX($AN$1005:$BO$1005,1,MATCH(COLUMNS($AN$1006:AX1006),$AN$1006:$BO$1006,0))&gt;=100000), " ",IF(INDEX($AN$2:$BO$1001,MATCH(ROWS($AG$2:AG380),$AG$2:$AG$1001,0),MATCH(COLUMNS($AN$1006:AX1006),$AN$1006:$BO$1006,0)), HYPERLINK("#",""), HYPERLINK(CONCATENATE("#Metadata!", ADDRESS(INDEX($AI$2:$AI$1001,MATCH(ROWS($AG$2:AG380),$AG$2:$AG$1001,0),0), INDEX($AN$1004:$BO$1004,1,MATCH(COLUMNS($AN$1006:AX1006),$AN$1006:$BO$1006,0)))),"Fix")))</f>
        <v>0</v>
      </c>
      <c r="M380" s="4">
        <f>IF(OR(INDEX($AH$2:$AH$1001,MATCH(ROWS($AG$2:AG380),$AG$2:$AG$1001,0),1)&gt;=100000,INDEX($AN$1005:$BO$1005,1,MATCH(COLUMNS($AN$1006:AY1006),$AN$1006:$BO$1006,0))&gt;=100000), " ",IF(INDEX($AN$2:$BO$1001,MATCH(ROWS($AG$2:AG380),$AG$2:$AG$1001,0),MATCH(COLUMNS($AN$1006:AY1006),$AN$1006:$BO$1006,0)), HYPERLINK("#",""), HYPERLINK(CONCATENATE("#Metadata!", ADDRESS(INDEX($AI$2:$AI$1001,MATCH(ROWS($AG$2:AG380),$AG$2:$AG$1001,0),0), INDEX($AN$1004:$BO$1004,1,MATCH(COLUMNS($AN$1006:AY1006),$AN$1006:$BO$1006,0)))),"Fix")))</f>
        <v>0</v>
      </c>
      <c r="N380" s="4">
        <f>IF(OR(INDEX($AH$2:$AH$1001,MATCH(ROWS($AG$2:AG380),$AG$2:$AG$1001,0),1)&gt;=100000,INDEX($AN$1005:$BO$1005,1,MATCH(COLUMNS($AN$1006:AZ1006),$AN$1006:$BO$1006,0))&gt;=100000), " ",IF(INDEX($AN$2:$BO$1001,MATCH(ROWS($AG$2:AG380),$AG$2:$AG$1001,0),MATCH(COLUMNS($AN$1006:AZ1006),$AN$1006:$BO$1006,0)), HYPERLINK("#",""), HYPERLINK(CONCATENATE("#Metadata!", ADDRESS(INDEX($AI$2:$AI$1001,MATCH(ROWS($AG$2:AG380),$AG$2:$AG$1001,0),0), INDEX($AN$1004:$BO$1004,1,MATCH(COLUMNS($AN$1006:AZ1006),$AN$1006:$BO$1006,0)))),"Fix")))</f>
        <v>0</v>
      </c>
      <c r="O380" s="4">
        <f>IF(OR(INDEX($AH$2:$AH$1001,MATCH(ROWS($AG$2:AG380),$AG$2:$AG$1001,0),1)&gt;=100000,INDEX($AN$1005:$BO$1005,1,MATCH(COLUMNS($AN$1006:BA1006),$AN$1006:$BO$1006,0))&gt;=100000), " ",IF(INDEX($AN$2:$BO$1001,MATCH(ROWS($AG$2:AG380),$AG$2:$AG$1001,0),MATCH(COLUMNS($AN$1006:BA1006),$AN$1006:$BO$1006,0)), HYPERLINK("#",""), HYPERLINK(CONCATENATE("#Metadata!", ADDRESS(INDEX($AI$2:$AI$1001,MATCH(ROWS($AG$2:AG380),$AG$2:$AG$1001,0),0), INDEX($AN$1004:$BO$1004,1,MATCH(COLUMNS($AN$1006:BA1006),$AN$1006:$BO$1006,0)))),"Fix")))</f>
        <v>0</v>
      </c>
      <c r="P380" s="4">
        <f>IF(OR(INDEX($AH$2:$AH$1001,MATCH(ROWS($AG$2:AG380),$AG$2:$AG$1001,0),1)&gt;=100000,INDEX($AN$1005:$BO$1005,1,MATCH(COLUMNS($AN$1006:BB1006),$AN$1006:$BO$1006,0))&gt;=100000), " ",IF(INDEX($AN$2:$BO$1001,MATCH(ROWS($AG$2:AG380),$AG$2:$AG$1001,0),MATCH(COLUMNS($AN$1006:BB1006),$AN$1006:$BO$1006,0)), HYPERLINK("#",""), HYPERLINK(CONCATENATE("#Metadata!", ADDRESS(INDEX($AI$2:$AI$1001,MATCH(ROWS($AG$2:AG380),$AG$2:$AG$1001,0),0), INDEX($AN$1004:$BO$1004,1,MATCH(COLUMNS($AN$1006:BB1006),$AN$1006:$BO$1006,0)))),"Fix")))</f>
        <v>0</v>
      </c>
      <c r="Q380" s="4">
        <f>IF(OR(INDEX($AH$2:$AH$1001,MATCH(ROWS($AG$2:AG380),$AG$2:$AG$1001,0),1)&gt;=100000,INDEX($AN$1005:$BO$1005,1,MATCH(COLUMNS($AN$1006:BC1006),$AN$1006:$BO$1006,0))&gt;=100000), " ",IF(INDEX($AN$2:$BO$1001,MATCH(ROWS($AG$2:AG380),$AG$2:$AG$1001,0),MATCH(COLUMNS($AN$1006:BC1006),$AN$1006:$BO$1006,0)), HYPERLINK("#",""), HYPERLINK(CONCATENATE("#Metadata!", ADDRESS(INDEX($AI$2:$AI$1001,MATCH(ROWS($AG$2:AG380),$AG$2:$AG$1001,0),0), INDEX($AN$1004:$BO$1004,1,MATCH(COLUMNS($AN$1006:BC1006),$AN$1006:$BO$1006,0)))),"Fix")))</f>
        <v>0</v>
      </c>
      <c r="R380" s="4">
        <f>IF(OR(INDEX($AH$2:$AH$1001,MATCH(ROWS($AG$2:AG380),$AG$2:$AG$1001,0),1)&gt;=100000,INDEX($AN$1005:$BO$1005,1,MATCH(COLUMNS($AN$1006:BD1006),$AN$1006:$BO$1006,0))&gt;=100000), " ",IF(INDEX($AN$2:$BO$1001,MATCH(ROWS($AG$2:AG380),$AG$2:$AG$1001,0),MATCH(COLUMNS($AN$1006:BD1006),$AN$1006:$BO$1006,0)), HYPERLINK("#",""), HYPERLINK(CONCATENATE("#Metadata!", ADDRESS(INDEX($AI$2:$AI$1001,MATCH(ROWS($AG$2:AG380),$AG$2:$AG$1001,0),0), INDEX($AN$1004:$BO$1004,1,MATCH(COLUMNS($AN$1006:BD1006),$AN$1006:$BO$1006,0)))),"Fix")))</f>
        <v>0</v>
      </c>
      <c r="S380" s="4">
        <f>IF(OR(INDEX($AH$2:$AH$1001,MATCH(ROWS($AG$2:AG380),$AG$2:$AG$1001,0),1)&gt;=100000,INDEX($AN$1005:$BO$1005,1,MATCH(COLUMNS($AN$1006:BE1006),$AN$1006:$BO$1006,0))&gt;=100000), " ",IF(INDEX($AN$2:$BO$1001,MATCH(ROWS($AG$2:AG380),$AG$2:$AG$1001,0),MATCH(COLUMNS($AN$1006:BE1006),$AN$1006:$BO$1006,0)), HYPERLINK("#",""), HYPERLINK(CONCATENATE("#Metadata!", ADDRESS(INDEX($AI$2:$AI$1001,MATCH(ROWS($AG$2:AG380),$AG$2:$AG$1001,0),0), INDEX($AN$1004:$BO$1004,1,MATCH(COLUMNS($AN$1006:BE1006),$AN$1006:$BO$1006,0)))),"Fix")))</f>
        <v>0</v>
      </c>
      <c r="T380" s="4">
        <f>IF(OR(INDEX($AH$2:$AH$1001,MATCH(ROWS($AG$2:AG380),$AG$2:$AG$1001,0),1)&gt;=100000,INDEX($AN$1005:$BO$1005,1,MATCH(COLUMNS($AN$1006:BF1006),$AN$1006:$BO$1006,0))&gt;=100000), " ",IF(INDEX($AN$2:$BO$1001,MATCH(ROWS($AG$2:AG380),$AG$2:$AG$1001,0),MATCH(COLUMNS($AN$1006:BF1006),$AN$1006:$BO$1006,0)), HYPERLINK("#",""), HYPERLINK(CONCATENATE("#Metadata!", ADDRESS(INDEX($AI$2:$AI$1001,MATCH(ROWS($AG$2:AG380),$AG$2:$AG$1001,0),0), INDEX($AN$1004:$BO$1004,1,MATCH(COLUMNS($AN$1006:BF1006),$AN$1006:$BO$1006,0)))),"Fix")))</f>
        <v>0</v>
      </c>
      <c r="U380" s="4">
        <f>IF(OR(INDEX($AH$2:$AH$1001,MATCH(ROWS($AG$2:AG380),$AG$2:$AG$1001,0),1)&gt;=100000,INDEX($AN$1005:$BO$1005,1,MATCH(COLUMNS($AN$1006:BG1006),$AN$1006:$BO$1006,0))&gt;=100000), " ",IF(INDEX($AN$2:$BO$1001,MATCH(ROWS($AG$2:AG380),$AG$2:$AG$1001,0),MATCH(COLUMNS($AN$1006:BG1006),$AN$1006:$BO$1006,0)), HYPERLINK("#",""), HYPERLINK(CONCATENATE("#Metadata!", ADDRESS(INDEX($AI$2:$AI$1001,MATCH(ROWS($AG$2:AG380),$AG$2:$AG$1001,0),0), INDEX($AN$1004:$BO$1004,1,MATCH(COLUMNS($AN$1006:BG1006),$AN$1006:$BO$1006,0)))),"Fix")))</f>
        <v>0</v>
      </c>
      <c r="V380" s="4">
        <f>IF(OR(INDEX($AH$2:$AH$1001,MATCH(ROWS($AG$2:AG380),$AG$2:$AG$1001,0),1)&gt;=100000,INDEX($AN$1005:$BO$1005,1,MATCH(COLUMNS($AN$1006:BH1006),$AN$1006:$BO$1006,0))&gt;=100000), " ",IF(INDEX($AN$2:$BO$1001,MATCH(ROWS($AG$2:AG380),$AG$2:$AG$1001,0),MATCH(COLUMNS($AN$1006:BH1006),$AN$1006:$BO$1006,0)), HYPERLINK("#",""), HYPERLINK(CONCATENATE("#Metadata!", ADDRESS(INDEX($AI$2:$AI$1001,MATCH(ROWS($AG$2:AG380),$AG$2:$AG$1001,0),0), INDEX($AN$1004:$BO$1004,1,MATCH(COLUMNS($AN$1006:BH1006),$AN$1006:$BO$1006,0)))),"Fix")))</f>
        <v>0</v>
      </c>
      <c r="W380" s="4">
        <f>IF(OR(INDEX($AH$2:$AH$1001,MATCH(ROWS($AG$2:AG380),$AG$2:$AG$1001,0),1)&gt;=100000,INDEX($AN$1005:$BO$1005,1,MATCH(COLUMNS($AN$1006:BI1006),$AN$1006:$BO$1006,0))&gt;=100000), " ",IF(INDEX($AN$2:$BO$1001,MATCH(ROWS($AG$2:AG380),$AG$2:$AG$1001,0),MATCH(COLUMNS($AN$1006:BI1006),$AN$1006:$BO$1006,0)), HYPERLINK("#",""), HYPERLINK(CONCATENATE("#Metadata!", ADDRESS(INDEX($AI$2:$AI$1001,MATCH(ROWS($AG$2:AG380),$AG$2:$AG$1001,0),0), INDEX($AN$1004:$BO$1004,1,MATCH(COLUMNS($AN$1006:BI1006),$AN$1006:$BO$1006,0)))),"Fix")))</f>
        <v>0</v>
      </c>
      <c r="X380" s="4">
        <f>IF(OR(INDEX($AH$2:$AH$1001,MATCH(ROWS($AG$2:AG380),$AG$2:$AG$1001,0),1)&gt;=100000,INDEX($AN$1005:$BO$1005,1,MATCH(COLUMNS($AN$1006:BJ1006),$AN$1006:$BO$1006,0))&gt;=100000), " ",IF(INDEX($AN$2:$BO$1001,MATCH(ROWS($AG$2:AG380),$AG$2:$AG$1001,0),MATCH(COLUMNS($AN$1006:BJ1006),$AN$1006:$BO$1006,0)), HYPERLINK("#",""), HYPERLINK(CONCATENATE("#Metadata!", ADDRESS(INDEX($AI$2:$AI$1001,MATCH(ROWS($AG$2:AG380),$AG$2:$AG$1001,0),0), INDEX($AN$1004:$BO$1004,1,MATCH(COLUMNS($AN$1006:BJ1006),$AN$1006:$BO$1006,0)))),"Fix")))</f>
        <v>0</v>
      </c>
      <c r="Y380" s="4">
        <f>IF(OR(INDEX($AH$2:$AH$1001,MATCH(ROWS($AG$2:AG380),$AG$2:$AG$1001,0),1)&gt;=100000,INDEX($AN$1005:$BO$1005,1,MATCH(COLUMNS($AN$1006:BK1006),$AN$1006:$BO$1006,0))&gt;=100000), " ",IF(INDEX($AN$2:$BO$1001,MATCH(ROWS($AG$2:AG380),$AG$2:$AG$1001,0),MATCH(COLUMNS($AN$1006:BK1006),$AN$1006:$BO$1006,0)), HYPERLINK("#",""), HYPERLINK(CONCATENATE("#Metadata!", ADDRESS(INDEX($AI$2:$AI$1001,MATCH(ROWS($AG$2:AG380),$AG$2:$AG$1001,0),0), INDEX($AN$1004:$BO$1004,1,MATCH(COLUMNS($AN$1006:BK1006),$AN$1006:$BO$1006,0)))),"Fix")))</f>
        <v>0</v>
      </c>
      <c r="Z380" s="4">
        <f>IF(OR(INDEX($AH$2:$AH$1001,MATCH(ROWS($AG$2:AG380),$AG$2:$AG$1001,0),1)&gt;=100000,INDEX($AN$1005:$BO$1005,1,MATCH(COLUMNS($AN$1006:BL1006),$AN$1006:$BO$1006,0))&gt;=100000), " ",IF(INDEX($AN$2:$BO$1001,MATCH(ROWS($AG$2:AG380),$AG$2:$AG$1001,0),MATCH(COLUMNS($AN$1006:BL1006),$AN$1006:$BO$1006,0)), HYPERLINK("#",""), HYPERLINK(CONCATENATE("#Metadata!", ADDRESS(INDEX($AI$2:$AI$1001,MATCH(ROWS($AG$2:AG380),$AG$2:$AG$1001,0),0), INDEX($AN$1004:$BO$1004,1,MATCH(COLUMNS($AN$1006:BL1006),$AN$1006:$BO$1006,0)))),"Fix")))</f>
        <v>0</v>
      </c>
      <c r="AA380" s="4">
        <f>IF(OR(INDEX($AH$2:$AH$1001,MATCH(ROWS($AG$2:AG380),$AG$2:$AG$1001,0),1)&gt;=100000,INDEX($AN$1005:$BO$1005,1,MATCH(COLUMNS($AN$1006:BM1006),$AN$1006:$BO$1006,0))&gt;=100000), " ",IF(INDEX($AN$2:$BO$1001,MATCH(ROWS($AG$2:AG380),$AG$2:$AG$1001,0),MATCH(COLUMNS($AN$1006:BM1006),$AN$1006:$BO$1006,0)), HYPERLINK("#",""), HYPERLINK(CONCATENATE("#Metadata!", ADDRESS(INDEX($AI$2:$AI$1001,MATCH(ROWS($AG$2:AG380),$AG$2:$AG$1001,0),0), INDEX($AN$1004:$BO$1004,1,MATCH(COLUMNS($AN$1006:BM1006),$AN$1006:$BO$1006,0)))),"Fix")))</f>
        <v>0</v>
      </c>
      <c r="AB380" s="4">
        <f>IF(OR(INDEX($AH$2:$AH$1001,MATCH(ROWS($AG$2:AG380),$AG$2:$AG$1001,0),1)&gt;=100000,INDEX($AN$1005:$BO$1005,1,MATCH(COLUMNS($AN$1006:BN1006),$AN$1006:$BO$1006,0))&gt;=100000), " ",IF(INDEX($AN$2:$BO$1001,MATCH(ROWS($AG$2:AG380),$AG$2:$AG$1001,0),MATCH(COLUMNS($AN$1006:BN1006),$AN$1006:$BO$1006,0)), HYPERLINK("#",""), HYPERLINK(CONCATENATE("#Metadata!", ADDRESS(INDEX($AI$2:$AI$1001,MATCH(ROWS($AG$2:AG380),$AG$2:$AG$1001,0),0), INDEX($AN$1004:$BO$1004,1,MATCH(COLUMNS($AN$1006:BN1006),$AN$1006:$BO$1006,0)))),"Fix")))</f>
        <v>0</v>
      </c>
      <c r="AC380" s="4">
        <f>IF(OR(INDEX($AH$2:$AH$1001,MATCH(ROWS($AG$2:AG380),$AG$2:$AG$1001,0),1)&gt;=100000,INDEX($AN$1005:$BO$1005,1,MATCH(COLUMNS($AN$1006:BO1006),$AN$1006:$BO$1006,0))&gt;=100000), " ",IF(INDEX($AN$2:$BO$1001,MATCH(ROWS($AG$2:AG380),$AG$2:$AG$1001,0),MATCH(COLUMNS($AN$1006:BO1006),$AN$1006:$BO$1006,0)), HYPERLINK("#",""), HYPERLINK(CONCATENATE("#Metadata!", ADDRESS(INDEX($AI$2:$AI$1001,MATCH(ROWS($AG$2:AG380),$AG$2:$AG$1001,0),0), INDEX($AN$1004:$BO$1004,1,MATCH(COLUMNS($AN$1006:BO1006),$AN$1006:$BO$1006,0)))),"Fix")))</f>
        <v>0</v>
      </c>
      <c r="AG380">
        <v>0</v>
      </c>
      <c r="AH380">
        <v>0</v>
      </c>
      <c r="AI380">
        <v>0</v>
      </c>
      <c r="AJ380">
        <f>IF(AK380,TRUE,AND(AN380:BO380))</f>
        <v>0</v>
      </c>
      <c r="AK380">
        <f>COUNTBLANK(Metadata!B380:AC380)=COLUMNS(Metadata!B380:AC380)</f>
        <v>0</v>
      </c>
      <c r="AL380">
        <v>0</v>
      </c>
      <c r="AN380">
        <f>AND(IF(Metadata!B380="",FALSE,TRUE),COUNTIF(Metadata!B:B, Metadata!B380) = 1,NOT(ISERROR(SUMPRODUCT(SEARCH(MID(Metadata!B380,ROW(INDIRECT("1:"&amp;LEN(Metadata!B380))), 1),"0123456789abcdefghijklmnopqrstuvwxyzABCDEFGHIJKLMNOPQRSTUVWXYZ.")))))</f>
        <v>0</v>
      </c>
      <c r="AO380">
        <f>IF(Metadata!C380="",FALSE,TRUE)</f>
        <v>0</v>
      </c>
      <c r="AP380">
        <f>IF(Metadata!D380="",FALSE,TRUE)</f>
        <v>0</v>
      </c>
      <c r="AQ380">
        <f>OR(AND(IF(Metadata!E380="",FALSE,TRUE),OR(exact(Metadata!E380,"not collected"),exact(Metadata!E380,"not provided"),exact(Metadata!E380,"restricted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R380">
        <f>IF(Metadata!F380="",FALSE,TRUE)</f>
        <v>0</v>
      </c>
      <c r="AS380">
        <f>OR(AND(IF(Metadata!G380="",FALSE,TRUE),OR(exact(Metadata!G380,"not collected"),exact(Metadata!G380,"not provided"))),AND(IF(Metadata!G380="",FALSE,TRUE),OR(exact(Metadata!G380,"TRUE"),exact(Metadata!G380,"FALSE"))))</f>
        <v>0</v>
      </c>
      <c r="AT380">
        <f>OR(AND(IF(Metadata!H380="",FALSE,TRUE),OR(exact(Metadata!H380,"not collected"),exact(Metadata!H380,"not provided"),exact(Metadata!H380,"restricted access"))),AND(IF(Metadata!H380="",FALSE,ISNUMBER(VALUE(Metadata!H380))),Metadata!H380&gt;=-413.0))</f>
        <v>0</v>
      </c>
      <c r="AU380">
        <f>AND(IF(Metadata!I380="",FALSE,TRUE),exact(Metadata!I380,"meters"))</f>
        <v>0</v>
      </c>
      <c r="AV380">
        <f>AND(IF(Metadata!J380="",FALSE,TRUE),OR(exact(Metadata!J380,"Host-associated"),exact(Metadata!J380,"Free-living")))</f>
        <v>0</v>
      </c>
      <c r="AW380">
        <f>AND(IF(Metadata!K380="",FALSE,TRUE),OR(exact(Metadata!K380,"Animal"),exact(Metadata!K380,"Fungus"),exact(Metadata!K380,"Plant"),exact(Metadata!K380,"Saline"),exact(Metadata!K380,"Non-saline")))</f>
        <v>0</v>
      </c>
      <c r="AX380">
        <f>AND(IF(Metadata!L380="",FALSE,TRUE),OR(exact(Metadata!L380,"Plant secretion"),exact(Metadata!L380,"Plant rhizosphere"),exact(Metadata!L380,"Plant surface"),exact(Metadata!L380,"Plant corpus"),exact(Metadata!L380,"Fungus surface"),exact(Metadata!L380,"Fungus corpus"),exact(Metadata!L380,"Animal surface"),exact(Metadata!L380,"Animal proximal gut"),exact(Metadata!L380,"Animal corpus"),exact(Metadata!L380,"Animal distal gut"),exact(Metadata!L380,"Animal secretion"),exact(Metadata!L380,"Sub-surface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Y380">
        <f>IF(Metadata!M380="",FALSE,TRUE)</f>
        <v>0</v>
      </c>
      <c r="AZ380">
        <f>IF(Metadata!N380="",FALSE,TRUE)</f>
        <v>0</v>
      </c>
      <c r="BA380">
        <f>IF(Metadata!O380="",FALSE,TRUE)</f>
        <v>0</v>
      </c>
      <c r="BB380">
        <f>OR(AND(IF(Metadata!P380="",FALSE,TRUE),OR(exact(Metadata!P380,"not collected"),exact(Metadata!P380,"not provided"),exact(Metadata!P380,"restricted access"))),AND(IF(Metadata!P380="",FALSE,TRUE),OR(exact(Metadata!P380,"air"),exact(Metadata!P380,"built environment"),exact(Metadata!P380,"host-associated"),exact(Metadata!P380,"human-associated"),exact(Metadata!P380,"human-skin"),exact(Metadata!P380,"human-oral"),exact(Metadata!P380,"human-gut"),exact(Metadata!P380,"human-vaginal"),exact(Metadata!P380,"microbial mat/biofilm"),exact(Metadata!P380,"misc environment"),exact(Metadata!P380,"plant-associated"),exact(Metadata!P380,"sediment"),exact(Metadata!P380,"soil"),exact(Metadata!P380,"wastewater/sludge"),exact(Metadata!P380,"water"))))</f>
        <v>0</v>
      </c>
      <c r="BC380">
        <f>IF(Metadata!Q380="",FALSE,TRUE)</f>
        <v>0</v>
      </c>
      <c r="BD380">
        <f>IF(Metadata!R380="",FALSE,TRUE)</f>
        <v>0</v>
      </c>
      <c r="BE380">
        <f>OR(AND(IF(Metadata!S380="",FALSE,TRUE),OR(exact(Metadata!S380,"not collected"),exact(Metadata!S380,"not provided"),exact(Metadata!S380,"restricted access"))),AND(IF(Metadata!S380="",FALSE,ISNUMBER(VALUE(Metadata!S380))),Metadata!S380&gt;=-90.00,Metadata!S380&lt;=90.00))</f>
        <v>0</v>
      </c>
      <c r="BF380">
        <f>AND(IF(Metadata!T380="",FALSE,TRUE),exact(Metadata!T380,"Decimal degrees"))</f>
        <v>0</v>
      </c>
      <c r="BG380">
        <f>OR(AND(IF(Metadata!U380="",FALSE,TRUE),OR(exact(Metadata!U380,"not collected"),exact(Metadata!U380,"not provided"),exact(Metadata!U380,"restricted access"))),AND(IF(Metadata!U380="",FALSE,ISNUMBER(VALUE(Metadata!U380))),Metadata!U380&gt;=-180.00,Metadata!U380&lt;=180.00))</f>
        <v>0</v>
      </c>
      <c r="BH380">
        <f>AND(IF(Metadata!V380="",FALSE,TRUE),exact(Metadata!V380,"Decimal degrees"))</f>
        <v>0</v>
      </c>
      <c r="BI380">
        <f>IF(Metadata!W380="",FALSE,TRUE)</f>
        <v>0</v>
      </c>
      <c r="BJ380">
        <f>OR(AND(IF(Metadata!X380="",FALSE,TRUE),OR(exact(Metadata!X380,"not collected"),exact(Metadata!X380,"not provided"),exact(Metadata!X380,"restricted access"))),AND(IF(Metadata!X380="",FALSE,TRUE),OR(exact(Metadata!X380,"TRUE"),exact(Metadata!X380,"FALSE"))))</f>
        <v>0</v>
      </c>
      <c r="BK380">
        <f>AND(IF(Metadata!Y380="",FALSE,TRUE),exact(Metadata!Y380,"other"))</f>
        <v>0</v>
      </c>
      <c r="BL380">
        <f>IF(Metadata!Z380="",FALSE,TRUE)</f>
        <v>0</v>
      </c>
      <c r="BM380">
        <f>OR(AND(IF(Metadata!AA380="",FALSE,TRUE),OR(exact(Metadata!AA380,"not collected"),exact(Metadata!AA380,"not provided"))),AND(IF(Metadata!AA380="",FALSE,IF(ISERROR(INT(Metadata!AA380)),FALSE,INT(Metadata!AA380)=Metadata!AA380)),Metadata!AA380&gt;0))</f>
        <v>0</v>
      </c>
      <c r="BN380">
        <f>AND(IF(Metadata!AB380="",FALSE,TRUE),exact(Metadata!AB380,"Not applicable"))</f>
        <v>0</v>
      </c>
      <c r="BO380">
        <f>IF(Metadata!AC380="",FALSE,TRUE)</f>
        <v>0</v>
      </c>
    </row>
    <row r="381" spans="1:67">
      <c r="A381" s="5">
        <f>IF(B381=" "," ",HYPERLINK(CONCATENATE("#metadata!",ADDRESS(INDEX($AI$2:$AI$1001,MATCH(ROWS($AG$2:AG381),$AG$2:$AG$1001,0),0),1)),INDEX($AL$2:$AL$1001,MATCH(ROWS($AG$2:AG381),$AG$2:$AG$1001,0),0)))</f>
        <v>0</v>
      </c>
      <c r="B381" s="4">
        <f>IF(OR(INDEX($AH$2:$AH$1001,MATCH(ROWS($AG$2:AG381),$AG$2:$AG$1001,0),1)&gt;=100000,INDEX($AN$1005:$BO$1005,1,MATCH(COLUMNS($AN$1006:AN1006),$AN$1006:$BO$1006,0))&gt;=100000), " ",IF(INDEX($AN$2:$BO$1001,MATCH(ROWS($AG$2:AG381),$AG$2:$AG$1001,0),MATCH(COLUMNS($AN$1006:AN1006),$AN$1006:$BO$1006,0)), HYPERLINK("#",""), HYPERLINK(CONCATENATE("#Metadata!", ADDRESS(INDEX($AI$2:$AI$1001,MATCH(ROWS($AG$2:AG381),$AG$2:$AG$1001,0),0), INDEX($AN$1004:$BO$1004,1,MATCH(COLUMNS($AN$1006:AN1006),$AN$1006:$BO$1006,0)))),"Fix")))</f>
        <v>0</v>
      </c>
      <c r="C381" s="4">
        <f>IF(OR(INDEX($AH$2:$AH$1001,MATCH(ROWS($AG$2:AG381),$AG$2:$AG$1001,0),1)&gt;=100000,INDEX($AN$1005:$BO$1005,1,MATCH(COLUMNS($AN$1006:AO1006),$AN$1006:$BO$1006,0))&gt;=100000), " ",IF(INDEX($AN$2:$BO$1001,MATCH(ROWS($AG$2:AG381),$AG$2:$AG$1001,0),MATCH(COLUMNS($AN$1006:AO1006),$AN$1006:$BO$1006,0)), HYPERLINK("#",""), HYPERLINK(CONCATENATE("#Metadata!", ADDRESS(INDEX($AI$2:$AI$1001,MATCH(ROWS($AG$2:AG381),$AG$2:$AG$1001,0),0), INDEX($AN$1004:$BO$1004,1,MATCH(COLUMNS($AN$1006:AO1006),$AN$1006:$BO$1006,0)))),"Fix")))</f>
        <v>0</v>
      </c>
      <c r="D381" s="4">
        <f>IF(OR(INDEX($AH$2:$AH$1001,MATCH(ROWS($AG$2:AG381),$AG$2:$AG$1001,0),1)&gt;=100000,INDEX($AN$1005:$BO$1005,1,MATCH(COLUMNS($AN$1006:AP1006),$AN$1006:$BO$1006,0))&gt;=100000), " ",IF(INDEX($AN$2:$BO$1001,MATCH(ROWS($AG$2:AG381),$AG$2:$AG$1001,0),MATCH(COLUMNS($AN$1006:AP1006),$AN$1006:$BO$1006,0)), HYPERLINK("#",""), HYPERLINK(CONCATENATE("#Metadata!", ADDRESS(INDEX($AI$2:$AI$1001,MATCH(ROWS($AG$2:AG381),$AG$2:$AG$1001,0),0), INDEX($AN$1004:$BO$1004,1,MATCH(COLUMNS($AN$1006:AP1006),$AN$1006:$BO$1006,0)))),"Fix")))</f>
        <v>0</v>
      </c>
      <c r="E381" s="4">
        <f>IF(OR(INDEX($AH$2:$AH$1001,MATCH(ROWS($AG$2:AG381),$AG$2:$AG$1001,0),1)&gt;=100000,INDEX($AN$1005:$BO$1005,1,MATCH(COLUMNS($AN$1006:AQ1006),$AN$1006:$BO$1006,0))&gt;=100000), " ",IF(INDEX($AN$2:$BO$1001,MATCH(ROWS($AG$2:AG381),$AG$2:$AG$1001,0),MATCH(COLUMNS($AN$1006:AQ1006),$AN$1006:$BO$1006,0)), HYPERLINK("#",""), HYPERLINK(CONCATENATE("#Metadata!", ADDRESS(INDEX($AI$2:$AI$1001,MATCH(ROWS($AG$2:AG381),$AG$2:$AG$1001,0),0), INDEX($AN$1004:$BO$1004,1,MATCH(COLUMNS($AN$1006:AQ1006),$AN$1006:$BO$1006,0)))),"Fix")))</f>
        <v>0</v>
      </c>
      <c r="F381" s="4">
        <f>IF(OR(INDEX($AH$2:$AH$1001,MATCH(ROWS($AG$2:AG381),$AG$2:$AG$1001,0),1)&gt;=100000,INDEX($AN$1005:$BO$1005,1,MATCH(COLUMNS($AN$1006:AR1006),$AN$1006:$BO$1006,0))&gt;=100000), " ",IF(INDEX($AN$2:$BO$1001,MATCH(ROWS($AG$2:AG381),$AG$2:$AG$1001,0),MATCH(COLUMNS($AN$1006:AR1006),$AN$1006:$BO$1006,0)), HYPERLINK("#",""), HYPERLINK(CONCATENATE("#Metadata!", ADDRESS(INDEX($AI$2:$AI$1001,MATCH(ROWS($AG$2:AG381),$AG$2:$AG$1001,0),0), INDEX($AN$1004:$BO$1004,1,MATCH(COLUMNS($AN$1006:AR1006),$AN$1006:$BO$1006,0)))),"Fix")))</f>
        <v>0</v>
      </c>
      <c r="G381" s="4">
        <f>IF(OR(INDEX($AH$2:$AH$1001,MATCH(ROWS($AG$2:AG381),$AG$2:$AG$1001,0),1)&gt;=100000,INDEX($AN$1005:$BO$1005,1,MATCH(COLUMNS($AN$1006:AS1006),$AN$1006:$BO$1006,0))&gt;=100000), " ",IF(INDEX($AN$2:$BO$1001,MATCH(ROWS($AG$2:AG381),$AG$2:$AG$1001,0),MATCH(COLUMNS($AN$1006:AS1006),$AN$1006:$BO$1006,0)), HYPERLINK("#",""), HYPERLINK(CONCATENATE("#Metadata!", ADDRESS(INDEX($AI$2:$AI$1001,MATCH(ROWS($AG$2:AG381),$AG$2:$AG$1001,0),0), INDEX($AN$1004:$BO$1004,1,MATCH(COLUMNS($AN$1006:AS1006),$AN$1006:$BO$1006,0)))),"Fix")))</f>
        <v>0</v>
      </c>
      <c r="H381" s="4">
        <f>IF(OR(INDEX($AH$2:$AH$1001,MATCH(ROWS($AG$2:AG381),$AG$2:$AG$1001,0),1)&gt;=100000,INDEX($AN$1005:$BO$1005,1,MATCH(COLUMNS($AN$1006:AT1006),$AN$1006:$BO$1006,0))&gt;=100000), " ",IF(INDEX($AN$2:$BO$1001,MATCH(ROWS($AG$2:AG381),$AG$2:$AG$1001,0),MATCH(COLUMNS($AN$1006:AT1006),$AN$1006:$BO$1006,0)), HYPERLINK("#",""), HYPERLINK(CONCATENATE("#Metadata!", ADDRESS(INDEX($AI$2:$AI$1001,MATCH(ROWS($AG$2:AG381),$AG$2:$AG$1001,0),0), INDEX($AN$1004:$BO$1004,1,MATCH(COLUMNS($AN$1006:AT1006),$AN$1006:$BO$1006,0)))),"Fix")))</f>
        <v>0</v>
      </c>
      <c r="I381" s="4">
        <f>IF(OR(INDEX($AH$2:$AH$1001,MATCH(ROWS($AG$2:AG381),$AG$2:$AG$1001,0),1)&gt;=100000,INDEX($AN$1005:$BO$1005,1,MATCH(COLUMNS($AN$1006:AU1006),$AN$1006:$BO$1006,0))&gt;=100000), " ",IF(INDEX($AN$2:$BO$1001,MATCH(ROWS($AG$2:AG381),$AG$2:$AG$1001,0),MATCH(COLUMNS($AN$1006:AU1006),$AN$1006:$BO$1006,0)), HYPERLINK("#",""), HYPERLINK(CONCATENATE("#Metadata!", ADDRESS(INDEX($AI$2:$AI$1001,MATCH(ROWS($AG$2:AG381),$AG$2:$AG$1001,0),0), INDEX($AN$1004:$BO$1004,1,MATCH(COLUMNS($AN$1006:AU1006),$AN$1006:$BO$1006,0)))),"Fix")))</f>
        <v>0</v>
      </c>
      <c r="J381" s="4">
        <f>IF(OR(INDEX($AH$2:$AH$1001,MATCH(ROWS($AG$2:AG381),$AG$2:$AG$1001,0),1)&gt;=100000,INDEX($AN$1005:$BO$1005,1,MATCH(COLUMNS($AN$1006:AV1006),$AN$1006:$BO$1006,0))&gt;=100000), " ",IF(INDEX($AN$2:$BO$1001,MATCH(ROWS($AG$2:AG381),$AG$2:$AG$1001,0),MATCH(COLUMNS($AN$1006:AV1006),$AN$1006:$BO$1006,0)), HYPERLINK("#",""), HYPERLINK(CONCATENATE("#Metadata!", ADDRESS(INDEX($AI$2:$AI$1001,MATCH(ROWS($AG$2:AG381),$AG$2:$AG$1001,0),0), INDEX($AN$1004:$BO$1004,1,MATCH(COLUMNS($AN$1006:AV1006),$AN$1006:$BO$1006,0)))),"Fix")))</f>
        <v>0</v>
      </c>
      <c r="K381" s="4">
        <f>IF(OR(INDEX($AH$2:$AH$1001,MATCH(ROWS($AG$2:AG381),$AG$2:$AG$1001,0),1)&gt;=100000,INDEX($AN$1005:$BO$1005,1,MATCH(COLUMNS($AN$1006:AW1006),$AN$1006:$BO$1006,0))&gt;=100000), " ",IF(INDEX($AN$2:$BO$1001,MATCH(ROWS($AG$2:AG381),$AG$2:$AG$1001,0),MATCH(COLUMNS($AN$1006:AW1006),$AN$1006:$BO$1006,0)), HYPERLINK("#",""), HYPERLINK(CONCATENATE("#Metadata!", ADDRESS(INDEX($AI$2:$AI$1001,MATCH(ROWS($AG$2:AG381),$AG$2:$AG$1001,0),0), INDEX($AN$1004:$BO$1004,1,MATCH(COLUMNS($AN$1006:AW1006),$AN$1006:$BO$1006,0)))),"Fix")))</f>
        <v>0</v>
      </c>
      <c r="L381" s="4">
        <f>IF(OR(INDEX($AH$2:$AH$1001,MATCH(ROWS($AG$2:AG381),$AG$2:$AG$1001,0),1)&gt;=100000,INDEX($AN$1005:$BO$1005,1,MATCH(COLUMNS($AN$1006:AX1006),$AN$1006:$BO$1006,0))&gt;=100000), " ",IF(INDEX($AN$2:$BO$1001,MATCH(ROWS($AG$2:AG381),$AG$2:$AG$1001,0),MATCH(COLUMNS($AN$1006:AX1006),$AN$1006:$BO$1006,0)), HYPERLINK("#",""), HYPERLINK(CONCATENATE("#Metadata!", ADDRESS(INDEX($AI$2:$AI$1001,MATCH(ROWS($AG$2:AG381),$AG$2:$AG$1001,0),0), INDEX($AN$1004:$BO$1004,1,MATCH(COLUMNS($AN$1006:AX1006),$AN$1006:$BO$1006,0)))),"Fix")))</f>
        <v>0</v>
      </c>
      <c r="M381" s="4">
        <f>IF(OR(INDEX($AH$2:$AH$1001,MATCH(ROWS($AG$2:AG381),$AG$2:$AG$1001,0),1)&gt;=100000,INDEX($AN$1005:$BO$1005,1,MATCH(COLUMNS($AN$1006:AY1006),$AN$1006:$BO$1006,0))&gt;=100000), " ",IF(INDEX($AN$2:$BO$1001,MATCH(ROWS($AG$2:AG381),$AG$2:$AG$1001,0),MATCH(COLUMNS($AN$1006:AY1006),$AN$1006:$BO$1006,0)), HYPERLINK("#",""), HYPERLINK(CONCATENATE("#Metadata!", ADDRESS(INDEX($AI$2:$AI$1001,MATCH(ROWS($AG$2:AG381),$AG$2:$AG$1001,0),0), INDEX($AN$1004:$BO$1004,1,MATCH(COLUMNS($AN$1006:AY1006),$AN$1006:$BO$1006,0)))),"Fix")))</f>
        <v>0</v>
      </c>
      <c r="N381" s="4">
        <f>IF(OR(INDEX($AH$2:$AH$1001,MATCH(ROWS($AG$2:AG381),$AG$2:$AG$1001,0),1)&gt;=100000,INDEX($AN$1005:$BO$1005,1,MATCH(COLUMNS($AN$1006:AZ1006),$AN$1006:$BO$1006,0))&gt;=100000), " ",IF(INDEX($AN$2:$BO$1001,MATCH(ROWS($AG$2:AG381),$AG$2:$AG$1001,0),MATCH(COLUMNS($AN$1006:AZ1006),$AN$1006:$BO$1006,0)), HYPERLINK("#",""), HYPERLINK(CONCATENATE("#Metadata!", ADDRESS(INDEX($AI$2:$AI$1001,MATCH(ROWS($AG$2:AG381),$AG$2:$AG$1001,0),0), INDEX($AN$1004:$BO$1004,1,MATCH(COLUMNS($AN$1006:AZ1006),$AN$1006:$BO$1006,0)))),"Fix")))</f>
        <v>0</v>
      </c>
      <c r="O381" s="4">
        <f>IF(OR(INDEX($AH$2:$AH$1001,MATCH(ROWS($AG$2:AG381),$AG$2:$AG$1001,0),1)&gt;=100000,INDEX($AN$1005:$BO$1005,1,MATCH(COLUMNS($AN$1006:BA1006),$AN$1006:$BO$1006,0))&gt;=100000), " ",IF(INDEX($AN$2:$BO$1001,MATCH(ROWS($AG$2:AG381),$AG$2:$AG$1001,0),MATCH(COLUMNS($AN$1006:BA1006),$AN$1006:$BO$1006,0)), HYPERLINK("#",""), HYPERLINK(CONCATENATE("#Metadata!", ADDRESS(INDEX($AI$2:$AI$1001,MATCH(ROWS($AG$2:AG381),$AG$2:$AG$1001,0),0), INDEX($AN$1004:$BO$1004,1,MATCH(COLUMNS($AN$1006:BA1006),$AN$1006:$BO$1006,0)))),"Fix")))</f>
        <v>0</v>
      </c>
      <c r="P381" s="4">
        <f>IF(OR(INDEX($AH$2:$AH$1001,MATCH(ROWS($AG$2:AG381),$AG$2:$AG$1001,0),1)&gt;=100000,INDEX($AN$1005:$BO$1005,1,MATCH(COLUMNS($AN$1006:BB1006),$AN$1006:$BO$1006,0))&gt;=100000), " ",IF(INDEX($AN$2:$BO$1001,MATCH(ROWS($AG$2:AG381),$AG$2:$AG$1001,0),MATCH(COLUMNS($AN$1006:BB1006),$AN$1006:$BO$1006,0)), HYPERLINK("#",""), HYPERLINK(CONCATENATE("#Metadata!", ADDRESS(INDEX($AI$2:$AI$1001,MATCH(ROWS($AG$2:AG381),$AG$2:$AG$1001,0),0), INDEX($AN$1004:$BO$1004,1,MATCH(COLUMNS($AN$1006:BB1006),$AN$1006:$BO$1006,0)))),"Fix")))</f>
        <v>0</v>
      </c>
      <c r="Q381" s="4">
        <f>IF(OR(INDEX($AH$2:$AH$1001,MATCH(ROWS($AG$2:AG381),$AG$2:$AG$1001,0),1)&gt;=100000,INDEX($AN$1005:$BO$1005,1,MATCH(COLUMNS($AN$1006:BC1006),$AN$1006:$BO$1006,0))&gt;=100000), " ",IF(INDEX($AN$2:$BO$1001,MATCH(ROWS($AG$2:AG381),$AG$2:$AG$1001,0),MATCH(COLUMNS($AN$1006:BC1006),$AN$1006:$BO$1006,0)), HYPERLINK("#",""), HYPERLINK(CONCATENATE("#Metadata!", ADDRESS(INDEX($AI$2:$AI$1001,MATCH(ROWS($AG$2:AG381),$AG$2:$AG$1001,0),0), INDEX($AN$1004:$BO$1004,1,MATCH(COLUMNS($AN$1006:BC1006),$AN$1006:$BO$1006,0)))),"Fix")))</f>
        <v>0</v>
      </c>
      <c r="R381" s="4">
        <f>IF(OR(INDEX($AH$2:$AH$1001,MATCH(ROWS($AG$2:AG381),$AG$2:$AG$1001,0),1)&gt;=100000,INDEX($AN$1005:$BO$1005,1,MATCH(COLUMNS($AN$1006:BD1006),$AN$1006:$BO$1006,0))&gt;=100000), " ",IF(INDEX($AN$2:$BO$1001,MATCH(ROWS($AG$2:AG381),$AG$2:$AG$1001,0),MATCH(COLUMNS($AN$1006:BD1006),$AN$1006:$BO$1006,0)), HYPERLINK("#",""), HYPERLINK(CONCATENATE("#Metadata!", ADDRESS(INDEX($AI$2:$AI$1001,MATCH(ROWS($AG$2:AG381),$AG$2:$AG$1001,0),0), INDEX($AN$1004:$BO$1004,1,MATCH(COLUMNS($AN$1006:BD1006),$AN$1006:$BO$1006,0)))),"Fix")))</f>
        <v>0</v>
      </c>
      <c r="S381" s="4">
        <f>IF(OR(INDEX($AH$2:$AH$1001,MATCH(ROWS($AG$2:AG381),$AG$2:$AG$1001,0),1)&gt;=100000,INDEX($AN$1005:$BO$1005,1,MATCH(COLUMNS($AN$1006:BE1006),$AN$1006:$BO$1006,0))&gt;=100000), " ",IF(INDEX($AN$2:$BO$1001,MATCH(ROWS($AG$2:AG381),$AG$2:$AG$1001,0),MATCH(COLUMNS($AN$1006:BE1006),$AN$1006:$BO$1006,0)), HYPERLINK("#",""), HYPERLINK(CONCATENATE("#Metadata!", ADDRESS(INDEX($AI$2:$AI$1001,MATCH(ROWS($AG$2:AG381),$AG$2:$AG$1001,0),0), INDEX($AN$1004:$BO$1004,1,MATCH(COLUMNS($AN$1006:BE1006),$AN$1006:$BO$1006,0)))),"Fix")))</f>
        <v>0</v>
      </c>
      <c r="T381" s="4">
        <f>IF(OR(INDEX($AH$2:$AH$1001,MATCH(ROWS($AG$2:AG381),$AG$2:$AG$1001,0),1)&gt;=100000,INDEX($AN$1005:$BO$1005,1,MATCH(COLUMNS($AN$1006:BF1006),$AN$1006:$BO$1006,0))&gt;=100000), " ",IF(INDEX($AN$2:$BO$1001,MATCH(ROWS($AG$2:AG381),$AG$2:$AG$1001,0),MATCH(COLUMNS($AN$1006:BF1006),$AN$1006:$BO$1006,0)), HYPERLINK("#",""), HYPERLINK(CONCATENATE("#Metadata!", ADDRESS(INDEX($AI$2:$AI$1001,MATCH(ROWS($AG$2:AG381),$AG$2:$AG$1001,0),0), INDEX($AN$1004:$BO$1004,1,MATCH(COLUMNS($AN$1006:BF1006),$AN$1006:$BO$1006,0)))),"Fix")))</f>
        <v>0</v>
      </c>
      <c r="U381" s="4">
        <f>IF(OR(INDEX($AH$2:$AH$1001,MATCH(ROWS($AG$2:AG381),$AG$2:$AG$1001,0),1)&gt;=100000,INDEX($AN$1005:$BO$1005,1,MATCH(COLUMNS($AN$1006:BG1006),$AN$1006:$BO$1006,0))&gt;=100000), " ",IF(INDEX($AN$2:$BO$1001,MATCH(ROWS($AG$2:AG381),$AG$2:$AG$1001,0),MATCH(COLUMNS($AN$1006:BG1006),$AN$1006:$BO$1006,0)), HYPERLINK("#",""), HYPERLINK(CONCATENATE("#Metadata!", ADDRESS(INDEX($AI$2:$AI$1001,MATCH(ROWS($AG$2:AG381),$AG$2:$AG$1001,0),0), INDEX($AN$1004:$BO$1004,1,MATCH(COLUMNS($AN$1006:BG1006),$AN$1006:$BO$1006,0)))),"Fix")))</f>
        <v>0</v>
      </c>
      <c r="V381" s="4">
        <f>IF(OR(INDEX($AH$2:$AH$1001,MATCH(ROWS($AG$2:AG381),$AG$2:$AG$1001,0),1)&gt;=100000,INDEX($AN$1005:$BO$1005,1,MATCH(COLUMNS($AN$1006:BH1006),$AN$1006:$BO$1006,0))&gt;=100000), " ",IF(INDEX($AN$2:$BO$1001,MATCH(ROWS($AG$2:AG381),$AG$2:$AG$1001,0),MATCH(COLUMNS($AN$1006:BH1006),$AN$1006:$BO$1006,0)), HYPERLINK("#",""), HYPERLINK(CONCATENATE("#Metadata!", ADDRESS(INDEX($AI$2:$AI$1001,MATCH(ROWS($AG$2:AG381),$AG$2:$AG$1001,0),0), INDEX($AN$1004:$BO$1004,1,MATCH(COLUMNS($AN$1006:BH1006),$AN$1006:$BO$1006,0)))),"Fix")))</f>
        <v>0</v>
      </c>
      <c r="W381" s="4">
        <f>IF(OR(INDEX($AH$2:$AH$1001,MATCH(ROWS($AG$2:AG381),$AG$2:$AG$1001,0),1)&gt;=100000,INDEX($AN$1005:$BO$1005,1,MATCH(COLUMNS($AN$1006:BI1006),$AN$1006:$BO$1006,0))&gt;=100000), " ",IF(INDEX($AN$2:$BO$1001,MATCH(ROWS($AG$2:AG381),$AG$2:$AG$1001,0),MATCH(COLUMNS($AN$1006:BI1006),$AN$1006:$BO$1006,0)), HYPERLINK("#",""), HYPERLINK(CONCATENATE("#Metadata!", ADDRESS(INDEX($AI$2:$AI$1001,MATCH(ROWS($AG$2:AG381),$AG$2:$AG$1001,0),0), INDEX($AN$1004:$BO$1004,1,MATCH(COLUMNS($AN$1006:BI1006),$AN$1006:$BO$1006,0)))),"Fix")))</f>
        <v>0</v>
      </c>
      <c r="X381" s="4">
        <f>IF(OR(INDEX($AH$2:$AH$1001,MATCH(ROWS($AG$2:AG381),$AG$2:$AG$1001,0),1)&gt;=100000,INDEX($AN$1005:$BO$1005,1,MATCH(COLUMNS($AN$1006:BJ1006),$AN$1006:$BO$1006,0))&gt;=100000), " ",IF(INDEX($AN$2:$BO$1001,MATCH(ROWS($AG$2:AG381),$AG$2:$AG$1001,0),MATCH(COLUMNS($AN$1006:BJ1006),$AN$1006:$BO$1006,0)), HYPERLINK("#",""), HYPERLINK(CONCATENATE("#Metadata!", ADDRESS(INDEX($AI$2:$AI$1001,MATCH(ROWS($AG$2:AG381),$AG$2:$AG$1001,0),0), INDEX($AN$1004:$BO$1004,1,MATCH(COLUMNS($AN$1006:BJ1006),$AN$1006:$BO$1006,0)))),"Fix")))</f>
        <v>0</v>
      </c>
      <c r="Y381" s="4">
        <f>IF(OR(INDEX($AH$2:$AH$1001,MATCH(ROWS($AG$2:AG381),$AG$2:$AG$1001,0),1)&gt;=100000,INDEX($AN$1005:$BO$1005,1,MATCH(COLUMNS($AN$1006:BK1006),$AN$1006:$BO$1006,0))&gt;=100000), " ",IF(INDEX($AN$2:$BO$1001,MATCH(ROWS($AG$2:AG381),$AG$2:$AG$1001,0),MATCH(COLUMNS($AN$1006:BK1006),$AN$1006:$BO$1006,0)), HYPERLINK("#",""), HYPERLINK(CONCATENATE("#Metadata!", ADDRESS(INDEX($AI$2:$AI$1001,MATCH(ROWS($AG$2:AG381),$AG$2:$AG$1001,0),0), INDEX($AN$1004:$BO$1004,1,MATCH(COLUMNS($AN$1006:BK1006),$AN$1006:$BO$1006,0)))),"Fix")))</f>
        <v>0</v>
      </c>
      <c r="Z381" s="4">
        <f>IF(OR(INDEX($AH$2:$AH$1001,MATCH(ROWS($AG$2:AG381),$AG$2:$AG$1001,0),1)&gt;=100000,INDEX($AN$1005:$BO$1005,1,MATCH(COLUMNS($AN$1006:BL1006),$AN$1006:$BO$1006,0))&gt;=100000), " ",IF(INDEX($AN$2:$BO$1001,MATCH(ROWS($AG$2:AG381),$AG$2:$AG$1001,0),MATCH(COLUMNS($AN$1006:BL1006),$AN$1006:$BO$1006,0)), HYPERLINK("#",""), HYPERLINK(CONCATENATE("#Metadata!", ADDRESS(INDEX($AI$2:$AI$1001,MATCH(ROWS($AG$2:AG381),$AG$2:$AG$1001,0),0), INDEX($AN$1004:$BO$1004,1,MATCH(COLUMNS($AN$1006:BL1006),$AN$1006:$BO$1006,0)))),"Fix")))</f>
        <v>0</v>
      </c>
      <c r="AA381" s="4">
        <f>IF(OR(INDEX($AH$2:$AH$1001,MATCH(ROWS($AG$2:AG381),$AG$2:$AG$1001,0),1)&gt;=100000,INDEX($AN$1005:$BO$1005,1,MATCH(COLUMNS($AN$1006:BM1006),$AN$1006:$BO$1006,0))&gt;=100000), " ",IF(INDEX($AN$2:$BO$1001,MATCH(ROWS($AG$2:AG381),$AG$2:$AG$1001,0),MATCH(COLUMNS($AN$1006:BM1006),$AN$1006:$BO$1006,0)), HYPERLINK("#",""), HYPERLINK(CONCATENATE("#Metadata!", ADDRESS(INDEX($AI$2:$AI$1001,MATCH(ROWS($AG$2:AG381),$AG$2:$AG$1001,0),0), INDEX($AN$1004:$BO$1004,1,MATCH(COLUMNS($AN$1006:BM1006),$AN$1006:$BO$1006,0)))),"Fix")))</f>
        <v>0</v>
      </c>
      <c r="AB381" s="4">
        <f>IF(OR(INDEX($AH$2:$AH$1001,MATCH(ROWS($AG$2:AG381),$AG$2:$AG$1001,0),1)&gt;=100000,INDEX($AN$1005:$BO$1005,1,MATCH(COLUMNS($AN$1006:BN1006),$AN$1006:$BO$1006,0))&gt;=100000), " ",IF(INDEX($AN$2:$BO$1001,MATCH(ROWS($AG$2:AG381),$AG$2:$AG$1001,0),MATCH(COLUMNS($AN$1006:BN1006),$AN$1006:$BO$1006,0)), HYPERLINK("#",""), HYPERLINK(CONCATENATE("#Metadata!", ADDRESS(INDEX($AI$2:$AI$1001,MATCH(ROWS($AG$2:AG381),$AG$2:$AG$1001,0),0), INDEX($AN$1004:$BO$1004,1,MATCH(COLUMNS($AN$1006:BN1006),$AN$1006:$BO$1006,0)))),"Fix")))</f>
        <v>0</v>
      </c>
      <c r="AC381" s="4">
        <f>IF(OR(INDEX($AH$2:$AH$1001,MATCH(ROWS($AG$2:AG381),$AG$2:$AG$1001,0),1)&gt;=100000,INDEX($AN$1005:$BO$1005,1,MATCH(COLUMNS($AN$1006:BO1006),$AN$1006:$BO$1006,0))&gt;=100000), " ",IF(INDEX($AN$2:$BO$1001,MATCH(ROWS($AG$2:AG381),$AG$2:$AG$1001,0),MATCH(COLUMNS($AN$1006:BO1006),$AN$1006:$BO$1006,0)), HYPERLINK("#",""), HYPERLINK(CONCATENATE("#Metadata!", ADDRESS(INDEX($AI$2:$AI$1001,MATCH(ROWS($AG$2:AG381),$AG$2:$AG$1001,0),0), INDEX($AN$1004:$BO$1004,1,MATCH(COLUMNS($AN$1006:BO1006),$AN$1006:$BO$1006,0)))),"Fix")))</f>
        <v>0</v>
      </c>
      <c r="AG381">
        <v>0</v>
      </c>
      <c r="AH381">
        <v>0</v>
      </c>
      <c r="AI381">
        <v>0</v>
      </c>
      <c r="AJ381">
        <f>IF(AK381,TRUE,AND(AN381:BO381))</f>
        <v>0</v>
      </c>
      <c r="AK381">
        <f>COUNTBLANK(Metadata!B381:AC381)=COLUMNS(Metadata!B381:AC381)</f>
        <v>0</v>
      </c>
      <c r="AL381">
        <v>0</v>
      </c>
      <c r="AN381">
        <f>AND(IF(Metadata!B381="",FALSE,TRUE),COUNTIF(Metadata!B:B, Metadata!B381) = 1,NOT(ISERROR(SUMPRODUCT(SEARCH(MID(Metadata!B381,ROW(INDIRECT("1:"&amp;LEN(Metadata!B381))), 1),"0123456789abcdefghijklmnopqrstuvwxyzABCDEFGHIJKLMNOPQRSTUVWXYZ.")))))</f>
        <v>0</v>
      </c>
      <c r="AO381">
        <f>IF(Metadata!C381="",FALSE,TRUE)</f>
        <v>0</v>
      </c>
      <c r="AP381">
        <f>IF(Metadata!D381="",FALSE,TRUE)</f>
        <v>0</v>
      </c>
      <c r="AQ381">
        <f>OR(AND(IF(Metadata!E381="",FALSE,TRUE),OR(exact(Metadata!E381,"not collected"),exact(Metadata!E381,"not provided"),exact(Metadata!E381,"restricted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R381">
        <f>IF(Metadata!F381="",FALSE,TRUE)</f>
        <v>0</v>
      </c>
      <c r="AS381">
        <f>OR(AND(IF(Metadata!G381="",FALSE,TRUE),OR(exact(Metadata!G381,"not collected"),exact(Metadata!G381,"not provided"))),AND(IF(Metadata!G381="",FALSE,TRUE),OR(exact(Metadata!G381,"TRUE"),exact(Metadata!G381,"FALSE"))))</f>
        <v>0</v>
      </c>
      <c r="AT381">
        <f>OR(AND(IF(Metadata!H381="",FALSE,TRUE),OR(exact(Metadata!H381,"not collected"),exact(Metadata!H381,"not provided"),exact(Metadata!H381,"restricted access"))),AND(IF(Metadata!H381="",FALSE,ISNUMBER(VALUE(Metadata!H381))),Metadata!H381&gt;=-413.0))</f>
        <v>0</v>
      </c>
      <c r="AU381">
        <f>AND(IF(Metadata!I381="",FALSE,TRUE),exact(Metadata!I381,"meters"))</f>
        <v>0</v>
      </c>
      <c r="AV381">
        <f>AND(IF(Metadata!J381="",FALSE,TRUE),OR(exact(Metadata!J381,"Host-associated"),exact(Metadata!J381,"Free-living")))</f>
        <v>0</v>
      </c>
      <c r="AW381">
        <f>AND(IF(Metadata!K381="",FALSE,TRUE),OR(exact(Metadata!K381,"Animal"),exact(Metadata!K381,"Fungus"),exact(Metadata!K381,"Plant"),exact(Metadata!K381,"Saline"),exact(Metadata!K381,"Non-saline")))</f>
        <v>0</v>
      </c>
      <c r="AX381">
        <f>AND(IF(Metadata!L381="",FALSE,TRUE),OR(exact(Metadata!L381,"Plant secretion"),exact(Metadata!L381,"Plant rhizosphere"),exact(Metadata!L381,"Plant surface"),exact(Metadata!L381,"Plant corpus"),exact(Metadata!L381,"Fungus surface"),exact(Metadata!L381,"Fungus corpus"),exact(Metadata!L381,"Animal surface"),exact(Metadata!L381,"Animal proximal gut"),exact(Metadata!L381,"Animal corpus"),exact(Metadata!L381,"Animal distal gut"),exact(Metadata!L381,"Animal secretion"),exact(Metadata!L381,"Sub-surface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Y381">
        <f>IF(Metadata!M381="",FALSE,TRUE)</f>
        <v>0</v>
      </c>
      <c r="AZ381">
        <f>IF(Metadata!N381="",FALSE,TRUE)</f>
        <v>0</v>
      </c>
      <c r="BA381">
        <f>IF(Metadata!O381="",FALSE,TRUE)</f>
        <v>0</v>
      </c>
      <c r="BB381">
        <f>OR(AND(IF(Metadata!P381="",FALSE,TRUE),OR(exact(Metadata!P381,"not collected"),exact(Metadata!P381,"not provided"),exact(Metadata!P381,"restricted access"))),AND(IF(Metadata!P381="",FALSE,TRUE),OR(exact(Metadata!P381,"air"),exact(Metadata!P381,"built environment"),exact(Metadata!P381,"host-associated"),exact(Metadata!P381,"human-associated"),exact(Metadata!P381,"human-skin"),exact(Metadata!P381,"human-oral"),exact(Metadata!P381,"human-gut"),exact(Metadata!P381,"human-vaginal"),exact(Metadata!P381,"microbial mat/biofilm"),exact(Metadata!P381,"misc environment"),exact(Metadata!P381,"plant-associated"),exact(Metadata!P381,"sediment"),exact(Metadata!P381,"soil"),exact(Metadata!P381,"wastewater/sludge"),exact(Metadata!P381,"water"))))</f>
        <v>0</v>
      </c>
      <c r="BC381">
        <f>IF(Metadata!Q381="",FALSE,TRUE)</f>
        <v>0</v>
      </c>
      <c r="BD381">
        <f>IF(Metadata!R381="",FALSE,TRUE)</f>
        <v>0</v>
      </c>
      <c r="BE381">
        <f>OR(AND(IF(Metadata!S381="",FALSE,TRUE),OR(exact(Metadata!S381,"not collected"),exact(Metadata!S381,"not provided"),exact(Metadata!S381,"restricted access"))),AND(IF(Metadata!S381="",FALSE,ISNUMBER(VALUE(Metadata!S381))),Metadata!S381&gt;=-90.00,Metadata!S381&lt;=90.00))</f>
        <v>0</v>
      </c>
      <c r="BF381">
        <f>AND(IF(Metadata!T381="",FALSE,TRUE),exact(Metadata!T381,"Decimal degrees"))</f>
        <v>0</v>
      </c>
      <c r="BG381">
        <f>OR(AND(IF(Metadata!U381="",FALSE,TRUE),OR(exact(Metadata!U381,"not collected"),exact(Metadata!U381,"not provided"),exact(Metadata!U381,"restricted access"))),AND(IF(Metadata!U381="",FALSE,ISNUMBER(VALUE(Metadata!U381))),Metadata!U381&gt;=-180.00,Metadata!U381&lt;=180.00))</f>
        <v>0</v>
      </c>
      <c r="BH381">
        <f>AND(IF(Metadata!V381="",FALSE,TRUE),exact(Metadata!V381,"Decimal degrees"))</f>
        <v>0</v>
      </c>
      <c r="BI381">
        <f>IF(Metadata!W381="",FALSE,TRUE)</f>
        <v>0</v>
      </c>
      <c r="BJ381">
        <f>OR(AND(IF(Metadata!X381="",FALSE,TRUE),OR(exact(Metadata!X381,"not collected"),exact(Metadata!X381,"not provided"),exact(Metadata!X381,"restricted access"))),AND(IF(Metadata!X381="",FALSE,TRUE),OR(exact(Metadata!X381,"TRUE"),exact(Metadata!X381,"FALSE"))))</f>
        <v>0</v>
      </c>
      <c r="BK381">
        <f>AND(IF(Metadata!Y381="",FALSE,TRUE),exact(Metadata!Y381,"other"))</f>
        <v>0</v>
      </c>
      <c r="BL381">
        <f>IF(Metadata!Z381="",FALSE,TRUE)</f>
        <v>0</v>
      </c>
      <c r="BM381">
        <f>OR(AND(IF(Metadata!AA381="",FALSE,TRUE),OR(exact(Metadata!AA381,"not collected"),exact(Metadata!AA381,"not provided"))),AND(IF(Metadata!AA381="",FALSE,IF(ISERROR(INT(Metadata!AA381)),FALSE,INT(Metadata!AA381)=Metadata!AA381)),Metadata!AA381&gt;0))</f>
        <v>0</v>
      </c>
      <c r="BN381">
        <f>AND(IF(Metadata!AB381="",FALSE,TRUE),exact(Metadata!AB381,"Not applicable"))</f>
        <v>0</v>
      </c>
      <c r="BO381">
        <f>IF(Metadata!AC381="",FALSE,TRUE)</f>
        <v>0</v>
      </c>
    </row>
    <row r="382" spans="1:67">
      <c r="A382" s="5">
        <f>IF(B382=" "," ",HYPERLINK(CONCATENATE("#metadata!",ADDRESS(INDEX($AI$2:$AI$1001,MATCH(ROWS($AG$2:AG382),$AG$2:$AG$1001,0),0),1)),INDEX($AL$2:$AL$1001,MATCH(ROWS($AG$2:AG382),$AG$2:$AG$1001,0),0)))</f>
        <v>0</v>
      </c>
      <c r="B382" s="4">
        <f>IF(OR(INDEX($AH$2:$AH$1001,MATCH(ROWS($AG$2:AG382),$AG$2:$AG$1001,0),1)&gt;=100000,INDEX($AN$1005:$BO$1005,1,MATCH(COLUMNS($AN$1006:AN1006),$AN$1006:$BO$1006,0))&gt;=100000), " ",IF(INDEX($AN$2:$BO$1001,MATCH(ROWS($AG$2:AG382),$AG$2:$AG$1001,0),MATCH(COLUMNS($AN$1006:AN1006),$AN$1006:$BO$1006,0)), HYPERLINK("#",""), HYPERLINK(CONCATENATE("#Metadata!", ADDRESS(INDEX($AI$2:$AI$1001,MATCH(ROWS($AG$2:AG382),$AG$2:$AG$1001,0),0), INDEX($AN$1004:$BO$1004,1,MATCH(COLUMNS($AN$1006:AN1006),$AN$1006:$BO$1006,0)))),"Fix")))</f>
        <v>0</v>
      </c>
      <c r="C382" s="4">
        <f>IF(OR(INDEX($AH$2:$AH$1001,MATCH(ROWS($AG$2:AG382),$AG$2:$AG$1001,0),1)&gt;=100000,INDEX($AN$1005:$BO$1005,1,MATCH(COLUMNS($AN$1006:AO1006),$AN$1006:$BO$1006,0))&gt;=100000), " ",IF(INDEX($AN$2:$BO$1001,MATCH(ROWS($AG$2:AG382),$AG$2:$AG$1001,0),MATCH(COLUMNS($AN$1006:AO1006),$AN$1006:$BO$1006,0)), HYPERLINK("#",""), HYPERLINK(CONCATENATE("#Metadata!", ADDRESS(INDEX($AI$2:$AI$1001,MATCH(ROWS($AG$2:AG382),$AG$2:$AG$1001,0),0), INDEX($AN$1004:$BO$1004,1,MATCH(COLUMNS($AN$1006:AO1006),$AN$1006:$BO$1006,0)))),"Fix")))</f>
        <v>0</v>
      </c>
      <c r="D382" s="4">
        <f>IF(OR(INDEX($AH$2:$AH$1001,MATCH(ROWS($AG$2:AG382),$AG$2:$AG$1001,0),1)&gt;=100000,INDEX($AN$1005:$BO$1005,1,MATCH(COLUMNS($AN$1006:AP1006),$AN$1006:$BO$1006,0))&gt;=100000), " ",IF(INDEX($AN$2:$BO$1001,MATCH(ROWS($AG$2:AG382),$AG$2:$AG$1001,0),MATCH(COLUMNS($AN$1006:AP1006),$AN$1006:$BO$1006,0)), HYPERLINK("#",""), HYPERLINK(CONCATENATE("#Metadata!", ADDRESS(INDEX($AI$2:$AI$1001,MATCH(ROWS($AG$2:AG382),$AG$2:$AG$1001,0),0), INDEX($AN$1004:$BO$1004,1,MATCH(COLUMNS($AN$1006:AP1006),$AN$1006:$BO$1006,0)))),"Fix")))</f>
        <v>0</v>
      </c>
      <c r="E382" s="4">
        <f>IF(OR(INDEX($AH$2:$AH$1001,MATCH(ROWS($AG$2:AG382),$AG$2:$AG$1001,0),1)&gt;=100000,INDEX($AN$1005:$BO$1005,1,MATCH(COLUMNS($AN$1006:AQ1006),$AN$1006:$BO$1006,0))&gt;=100000), " ",IF(INDEX($AN$2:$BO$1001,MATCH(ROWS($AG$2:AG382),$AG$2:$AG$1001,0),MATCH(COLUMNS($AN$1006:AQ1006),$AN$1006:$BO$1006,0)), HYPERLINK("#",""), HYPERLINK(CONCATENATE("#Metadata!", ADDRESS(INDEX($AI$2:$AI$1001,MATCH(ROWS($AG$2:AG382),$AG$2:$AG$1001,0),0), INDEX($AN$1004:$BO$1004,1,MATCH(COLUMNS($AN$1006:AQ1006),$AN$1006:$BO$1006,0)))),"Fix")))</f>
        <v>0</v>
      </c>
      <c r="F382" s="4">
        <f>IF(OR(INDEX($AH$2:$AH$1001,MATCH(ROWS($AG$2:AG382),$AG$2:$AG$1001,0),1)&gt;=100000,INDEX($AN$1005:$BO$1005,1,MATCH(COLUMNS($AN$1006:AR1006),$AN$1006:$BO$1006,0))&gt;=100000), " ",IF(INDEX($AN$2:$BO$1001,MATCH(ROWS($AG$2:AG382),$AG$2:$AG$1001,0),MATCH(COLUMNS($AN$1006:AR1006),$AN$1006:$BO$1006,0)), HYPERLINK("#",""), HYPERLINK(CONCATENATE("#Metadata!", ADDRESS(INDEX($AI$2:$AI$1001,MATCH(ROWS($AG$2:AG382),$AG$2:$AG$1001,0),0), INDEX($AN$1004:$BO$1004,1,MATCH(COLUMNS($AN$1006:AR1006),$AN$1006:$BO$1006,0)))),"Fix")))</f>
        <v>0</v>
      </c>
      <c r="G382" s="4">
        <f>IF(OR(INDEX($AH$2:$AH$1001,MATCH(ROWS($AG$2:AG382),$AG$2:$AG$1001,0),1)&gt;=100000,INDEX($AN$1005:$BO$1005,1,MATCH(COLUMNS($AN$1006:AS1006),$AN$1006:$BO$1006,0))&gt;=100000), " ",IF(INDEX($AN$2:$BO$1001,MATCH(ROWS($AG$2:AG382),$AG$2:$AG$1001,0),MATCH(COLUMNS($AN$1006:AS1006),$AN$1006:$BO$1006,0)), HYPERLINK("#",""), HYPERLINK(CONCATENATE("#Metadata!", ADDRESS(INDEX($AI$2:$AI$1001,MATCH(ROWS($AG$2:AG382),$AG$2:$AG$1001,0),0), INDEX($AN$1004:$BO$1004,1,MATCH(COLUMNS($AN$1006:AS1006),$AN$1006:$BO$1006,0)))),"Fix")))</f>
        <v>0</v>
      </c>
      <c r="H382" s="4">
        <f>IF(OR(INDEX($AH$2:$AH$1001,MATCH(ROWS($AG$2:AG382),$AG$2:$AG$1001,0),1)&gt;=100000,INDEX($AN$1005:$BO$1005,1,MATCH(COLUMNS($AN$1006:AT1006),$AN$1006:$BO$1006,0))&gt;=100000), " ",IF(INDEX($AN$2:$BO$1001,MATCH(ROWS($AG$2:AG382),$AG$2:$AG$1001,0),MATCH(COLUMNS($AN$1006:AT1006),$AN$1006:$BO$1006,0)), HYPERLINK("#",""), HYPERLINK(CONCATENATE("#Metadata!", ADDRESS(INDEX($AI$2:$AI$1001,MATCH(ROWS($AG$2:AG382),$AG$2:$AG$1001,0),0), INDEX($AN$1004:$BO$1004,1,MATCH(COLUMNS($AN$1006:AT1006),$AN$1006:$BO$1006,0)))),"Fix")))</f>
        <v>0</v>
      </c>
      <c r="I382" s="4">
        <f>IF(OR(INDEX($AH$2:$AH$1001,MATCH(ROWS($AG$2:AG382),$AG$2:$AG$1001,0),1)&gt;=100000,INDEX($AN$1005:$BO$1005,1,MATCH(COLUMNS($AN$1006:AU1006),$AN$1006:$BO$1006,0))&gt;=100000), " ",IF(INDEX($AN$2:$BO$1001,MATCH(ROWS($AG$2:AG382),$AG$2:$AG$1001,0),MATCH(COLUMNS($AN$1006:AU1006),$AN$1006:$BO$1006,0)), HYPERLINK("#",""), HYPERLINK(CONCATENATE("#Metadata!", ADDRESS(INDEX($AI$2:$AI$1001,MATCH(ROWS($AG$2:AG382),$AG$2:$AG$1001,0),0), INDEX($AN$1004:$BO$1004,1,MATCH(COLUMNS($AN$1006:AU1006),$AN$1006:$BO$1006,0)))),"Fix")))</f>
        <v>0</v>
      </c>
      <c r="J382" s="4">
        <f>IF(OR(INDEX($AH$2:$AH$1001,MATCH(ROWS($AG$2:AG382),$AG$2:$AG$1001,0),1)&gt;=100000,INDEX($AN$1005:$BO$1005,1,MATCH(COLUMNS($AN$1006:AV1006),$AN$1006:$BO$1006,0))&gt;=100000), " ",IF(INDEX($AN$2:$BO$1001,MATCH(ROWS($AG$2:AG382),$AG$2:$AG$1001,0),MATCH(COLUMNS($AN$1006:AV1006),$AN$1006:$BO$1006,0)), HYPERLINK("#",""), HYPERLINK(CONCATENATE("#Metadata!", ADDRESS(INDEX($AI$2:$AI$1001,MATCH(ROWS($AG$2:AG382),$AG$2:$AG$1001,0),0), INDEX($AN$1004:$BO$1004,1,MATCH(COLUMNS($AN$1006:AV1006),$AN$1006:$BO$1006,0)))),"Fix")))</f>
        <v>0</v>
      </c>
      <c r="K382" s="4">
        <f>IF(OR(INDEX($AH$2:$AH$1001,MATCH(ROWS($AG$2:AG382),$AG$2:$AG$1001,0),1)&gt;=100000,INDEX($AN$1005:$BO$1005,1,MATCH(COLUMNS($AN$1006:AW1006),$AN$1006:$BO$1006,0))&gt;=100000), " ",IF(INDEX($AN$2:$BO$1001,MATCH(ROWS($AG$2:AG382),$AG$2:$AG$1001,0),MATCH(COLUMNS($AN$1006:AW1006),$AN$1006:$BO$1006,0)), HYPERLINK("#",""), HYPERLINK(CONCATENATE("#Metadata!", ADDRESS(INDEX($AI$2:$AI$1001,MATCH(ROWS($AG$2:AG382),$AG$2:$AG$1001,0),0), INDEX($AN$1004:$BO$1004,1,MATCH(COLUMNS($AN$1006:AW1006),$AN$1006:$BO$1006,0)))),"Fix")))</f>
        <v>0</v>
      </c>
      <c r="L382" s="4">
        <f>IF(OR(INDEX($AH$2:$AH$1001,MATCH(ROWS($AG$2:AG382),$AG$2:$AG$1001,0),1)&gt;=100000,INDEX($AN$1005:$BO$1005,1,MATCH(COLUMNS($AN$1006:AX1006),$AN$1006:$BO$1006,0))&gt;=100000), " ",IF(INDEX($AN$2:$BO$1001,MATCH(ROWS($AG$2:AG382),$AG$2:$AG$1001,0),MATCH(COLUMNS($AN$1006:AX1006),$AN$1006:$BO$1006,0)), HYPERLINK("#",""), HYPERLINK(CONCATENATE("#Metadata!", ADDRESS(INDEX($AI$2:$AI$1001,MATCH(ROWS($AG$2:AG382),$AG$2:$AG$1001,0),0), INDEX($AN$1004:$BO$1004,1,MATCH(COLUMNS($AN$1006:AX1006),$AN$1006:$BO$1006,0)))),"Fix")))</f>
        <v>0</v>
      </c>
      <c r="M382" s="4">
        <f>IF(OR(INDEX($AH$2:$AH$1001,MATCH(ROWS($AG$2:AG382),$AG$2:$AG$1001,0),1)&gt;=100000,INDEX($AN$1005:$BO$1005,1,MATCH(COLUMNS($AN$1006:AY1006),$AN$1006:$BO$1006,0))&gt;=100000), " ",IF(INDEX($AN$2:$BO$1001,MATCH(ROWS($AG$2:AG382),$AG$2:$AG$1001,0),MATCH(COLUMNS($AN$1006:AY1006),$AN$1006:$BO$1006,0)), HYPERLINK("#",""), HYPERLINK(CONCATENATE("#Metadata!", ADDRESS(INDEX($AI$2:$AI$1001,MATCH(ROWS($AG$2:AG382),$AG$2:$AG$1001,0),0), INDEX($AN$1004:$BO$1004,1,MATCH(COLUMNS($AN$1006:AY1006),$AN$1006:$BO$1006,0)))),"Fix")))</f>
        <v>0</v>
      </c>
      <c r="N382" s="4">
        <f>IF(OR(INDEX($AH$2:$AH$1001,MATCH(ROWS($AG$2:AG382),$AG$2:$AG$1001,0),1)&gt;=100000,INDEX($AN$1005:$BO$1005,1,MATCH(COLUMNS($AN$1006:AZ1006),$AN$1006:$BO$1006,0))&gt;=100000), " ",IF(INDEX($AN$2:$BO$1001,MATCH(ROWS($AG$2:AG382),$AG$2:$AG$1001,0),MATCH(COLUMNS($AN$1006:AZ1006),$AN$1006:$BO$1006,0)), HYPERLINK("#",""), HYPERLINK(CONCATENATE("#Metadata!", ADDRESS(INDEX($AI$2:$AI$1001,MATCH(ROWS($AG$2:AG382),$AG$2:$AG$1001,0),0), INDEX($AN$1004:$BO$1004,1,MATCH(COLUMNS($AN$1006:AZ1006),$AN$1006:$BO$1006,0)))),"Fix")))</f>
        <v>0</v>
      </c>
      <c r="O382" s="4">
        <f>IF(OR(INDEX($AH$2:$AH$1001,MATCH(ROWS($AG$2:AG382),$AG$2:$AG$1001,0),1)&gt;=100000,INDEX($AN$1005:$BO$1005,1,MATCH(COLUMNS($AN$1006:BA1006),$AN$1006:$BO$1006,0))&gt;=100000), " ",IF(INDEX($AN$2:$BO$1001,MATCH(ROWS($AG$2:AG382),$AG$2:$AG$1001,0),MATCH(COLUMNS($AN$1006:BA1006),$AN$1006:$BO$1006,0)), HYPERLINK("#",""), HYPERLINK(CONCATENATE("#Metadata!", ADDRESS(INDEX($AI$2:$AI$1001,MATCH(ROWS($AG$2:AG382),$AG$2:$AG$1001,0),0), INDEX($AN$1004:$BO$1004,1,MATCH(COLUMNS($AN$1006:BA1006),$AN$1006:$BO$1006,0)))),"Fix")))</f>
        <v>0</v>
      </c>
      <c r="P382" s="4">
        <f>IF(OR(INDEX($AH$2:$AH$1001,MATCH(ROWS($AG$2:AG382),$AG$2:$AG$1001,0),1)&gt;=100000,INDEX($AN$1005:$BO$1005,1,MATCH(COLUMNS($AN$1006:BB1006),$AN$1006:$BO$1006,0))&gt;=100000), " ",IF(INDEX($AN$2:$BO$1001,MATCH(ROWS($AG$2:AG382),$AG$2:$AG$1001,0),MATCH(COLUMNS($AN$1006:BB1006),$AN$1006:$BO$1006,0)), HYPERLINK("#",""), HYPERLINK(CONCATENATE("#Metadata!", ADDRESS(INDEX($AI$2:$AI$1001,MATCH(ROWS($AG$2:AG382),$AG$2:$AG$1001,0),0), INDEX($AN$1004:$BO$1004,1,MATCH(COLUMNS($AN$1006:BB1006),$AN$1006:$BO$1006,0)))),"Fix")))</f>
        <v>0</v>
      </c>
      <c r="Q382" s="4">
        <f>IF(OR(INDEX($AH$2:$AH$1001,MATCH(ROWS($AG$2:AG382),$AG$2:$AG$1001,0),1)&gt;=100000,INDEX($AN$1005:$BO$1005,1,MATCH(COLUMNS($AN$1006:BC1006),$AN$1006:$BO$1006,0))&gt;=100000), " ",IF(INDEX($AN$2:$BO$1001,MATCH(ROWS($AG$2:AG382),$AG$2:$AG$1001,0),MATCH(COLUMNS($AN$1006:BC1006),$AN$1006:$BO$1006,0)), HYPERLINK("#",""), HYPERLINK(CONCATENATE("#Metadata!", ADDRESS(INDEX($AI$2:$AI$1001,MATCH(ROWS($AG$2:AG382),$AG$2:$AG$1001,0),0), INDEX($AN$1004:$BO$1004,1,MATCH(COLUMNS($AN$1006:BC1006),$AN$1006:$BO$1006,0)))),"Fix")))</f>
        <v>0</v>
      </c>
      <c r="R382" s="4">
        <f>IF(OR(INDEX($AH$2:$AH$1001,MATCH(ROWS($AG$2:AG382),$AG$2:$AG$1001,0),1)&gt;=100000,INDEX($AN$1005:$BO$1005,1,MATCH(COLUMNS($AN$1006:BD1006),$AN$1006:$BO$1006,0))&gt;=100000), " ",IF(INDEX($AN$2:$BO$1001,MATCH(ROWS($AG$2:AG382),$AG$2:$AG$1001,0),MATCH(COLUMNS($AN$1006:BD1006),$AN$1006:$BO$1006,0)), HYPERLINK("#",""), HYPERLINK(CONCATENATE("#Metadata!", ADDRESS(INDEX($AI$2:$AI$1001,MATCH(ROWS($AG$2:AG382),$AG$2:$AG$1001,0),0), INDEX($AN$1004:$BO$1004,1,MATCH(COLUMNS($AN$1006:BD1006),$AN$1006:$BO$1006,0)))),"Fix")))</f>
        <v>0</v>
      </c>
      <c r="S382" s="4">
        <f>IF(OR(INDEX($AH$2:$AH$1001,MATCH(ROWS($AG$2:AG382),$AG$2:$AG$1001,0),1)&gt;=100000,INDEX($AN$1005:$BO$1005,1,MATCH(COLUMNS($AN$1006:BE1006),$AN$1006:$BO$1006,0))&gt;=100000), " ",IF(INDEX($AN$2:$BO$1001,MATCH(ROWS($AG$2:AG382),$AG$2:$AG$1001,0),MATCH(COLUMNS($AN$1006:BE1006),$AN$1006:$BO$1006,0)), HYPERLINK("#",""), HYPERLINK(CONCATENATE("#Metadata!", ADDRESS(INDEX($AI$2:$AI$1001,MATCH(ROWS($AG$2:AG382),$AG$2:$AG$1001,0),0), INDEX($AN$1004:$BO$1004,1,MATCH(COLUMNS($AN$1006:BE1006),$AN$1006:$BO$1006,0)))),"Fix")))</f>
        <v>0</v>
      </c>
      <c r="T382" s="4">
        <f>IF(OR(INDEX($AH$2:$AH$1001,MATCH(ROWS($AG$2:AG382),$AG$2:$AG$1001,0),1)&gt;=100000,INDEX($AN$1005:$BO$1005,1,MATCH(COLUMNS($AN$1006:BF1006),$AN$1006:$BO$1006,0))&gt;=100000), " ",IF(INDEX($AN$2:$BO$1001,MATCH(ROWS($AG$2:AG382),$AG$2:$AG$1001,0),MATCH(COLUMNS($AN$1006:BF1006),$AN$1006:$BO$1006,0)), HYPERLINK("#",""), HYPERLINK(CONCATENATE("#Metadata!", ADDRESS(INDEX($AI$2:$AI$1001,MATCH(ROWS($AG$2:AG382),$AG$2:$AG$1001,0),0), INDEX($AN$1004:$BO$1004,1,MATCH(COLUMNS($AN$1006:BF1006),$AN$1006:$BO$1006,0)))),"Fix")))</f>
        <v>0</v>
      </c>
      <c r="U382" s="4">
        <f>IF(OR(INDEX($AH$2:$AH$1001,MATCH(ROWS($AG$2:AG382),$AG$2:$AG$1001,0),1)&gt;=100000,INDEX($AN$1005:$BO$1005,1,MATCH(COLUMNS($AN$1006:BG1006),$AN$1006:$BO$1006,0))&gt;=100000), " ",IF(INDEX($AN$2:$BO$1001,MATCH(ROWS($AG$2:AG382),$AG$2:$AG$1001,0),MATCH(COLUMNS($AN$1006:BG1006),$AN$1006:$BO$1006,0)), HYPERLINK("#",""), HYPERLINK(CONCATENATE("#Metadata!", ADDRESS(INDEX($AI$2:$AI$1001,MATCH(ROWS($AG$2:AG382),$AG$2:$AG$1001,0),0), INDEX($AN$1004:$BO$1004,1,MATCH(COLUMNS($AN$1006:BG1006),$AN$1006:$BO$1006,0)))),"Fix")))</f>
        <v>0</v>
      </c>
      <c r="V382" s="4">
        <f>IF(OR(INDEX($AH$2:$AH$1001,MATCH(ROWS($AG$2:AG382),$AG$2:$AG$1001,0),1)&gt;=100000,INDEX($AN$1005:$BO$1005,1,MATCH(COLUMNS($AN$1006:BH1006),$AN$1006:$BO$1006,0))&gt;=100000), " ",IF(INDEX($AN$2:$BO$1001,MATCH(ROWS($AG$2:AG382),$AG$2:$AG$1001,0),MATCH(COLUMNS($AN$1006:BH1006),$AN$1006:$BO$1006,0)), HYPERLINK("#",""), HYPERLINK(CONCATENATE("#Metadata!", ADDRESS(INDEX($AI$2:$AI$1001,MATCH(ROWS($AG$2:AG382),$AG$2:$AG$1001,0),0), INDEX($AN$1004:$BO$1004,1,MATCH(COLUMNS($AN$1006:BH1006),$AN$1006:$BO$1006,0)))),"Fix")))</f>
        <v>0</v>
      </c>
      <c r="W382" s="4">
        <f>IF(OR(INDEX($AH$2:$AH$1001,MATCH(ROWS($AG$2:AG382),$AG$2:$AG$1001,0),1)&gt;=100000,INDEX($AN$1005:$BO$1005,1,MATCH(COLUMNS($AN$1006:BI1006),$AN$1006:$BO$1006,0))&gt;=100000), " ",IF(INDEX($AN$2:$BO$1001,MATCH(ROWS($AG$2:AG382),$AG$2:$AG$1001,0),MATCH(COLUMNS($AN$1006:BI1006),$AN$1006:$BO$1006,0)), HYPERLINK("#",""), HYPERLINK(CONCATENATE("#Metadata!", ADDRESS(INDEX($AI$2:$AI$1001,MATCH(ROWS($AG$2:AG382),$AG$2:$AG$1001,0),0), INDEX($AN$1004:$BO$1004,1,MATCH(COLUMNS($AN$1006:BI1006),$AN$1006:$BO$1006,0)))),"Fix")))</f>
        <v>0</v>
      </c>
      <c r="X382" s="4">
        <f>IF(OR(INDEX($AH$2:$AH$1001,MATCH(ROWS($AG$2:AG382),$AG$2:$AG$1001,0),1)&gt;=100000,INDEX($AN$1005:$BO$1005,1,MATCH(COLUMNS($AN$1006:BJ1006),$AN$1006:$BO$1006,0))&gt;=100000), " ",IF(INDEX($AN$2:$BO$1001,MATCH(ROWS($AG$2:AG382),$AG$2:$AG$1001,0),MATCH(COLUMNS($AN$1006:BJ1006),$AN$1006:$BO$1006,0)), HYPERLINK("#",""), HYPERLINK(CONCATENATE("#Metadata!", ADDRESS(INDEX($AI$2:$AI$1001,MATCH(ROWS($AG$2:AG382),$AG$2:$AG$1001,0),0), INDEX($AN$1004:$BO$1004,1,MATCH(COLUMNS($AN$1006:BJ1006),$AN$1006:$BO$1006,0)))),"Fix")))</f>
        <v>0</v>
      </c>
      <c r="Y382" s="4">
        <f>IF(OR(INDEX($AH$2:$AH$1001,MATCH(ROWS($AG$2:AG382),$AG$2:$AG$1001,0),1)&gt;=100000,INDEX($AN$1005:$BO$1005,1,MATCH(COLUMNS($AN$1006:BK1006),$AN$1006:$BO$1006,0))&gt;=100000), " ",IF(INDEX($AN$2:$BO$1001,MATCH(ROWS($AG$2:AG382),$AG$2:$AG$1001,0),MATCH(COLUMNS($AN$1006:BK1006),$AN$1006:$BO$1006,0)), HYPERLINK("#",""), HYPERLINK(CONCATENATE("#Metadata!", ADDRESS(INDEX($AI$2:$AI$1001,MATCH(ROWS($AG$2:AG382),$AG$2:$AG$1001,0),0), INDEX($AN$1004:$BO$1004,1,MATCH(COLUMNS($AN$1006:BK1006),$AN$1006:$BO$1006,0)))),"Fix")))</f>
        <v>0</v>
      </c>
      <c r="Z382" s="4">
        <f>IF(OR(INDEX($AH$2:$AH$1001,MATCH(ROWS($AG$2:AG382),$AG$2:$AG$1001,0),1)&gt;=100000,INDEX($AN$1005:$BO$1005,1,MATCH(COLUMNS($AN$1006:BL1006),$AN$1006:$BO$1006,0))&gt;=100000), " ",IF(INDEX($AN$2:$BO$1001,MATCH(ROWS($AG$2:AG382),$AG$2:$AG$1001,0),MATCH(COLUMNS($AN$1006:BL1006),$AN$1006:$BO$1006,0)), HYPERLINK("#",""), HYPERLINK(CONCATENATE("#Metadata!", ADDRESS(INDEX($AI$2:$AI$1001,MATCH(ROWS($AG$2:AG382),$AG$2:$AG$1001,0),0), INDEX($AN$1004:$BO$1004,1,MATCH(COLUMNS($AN$1006:BL1006),$AN$1006:$BO$1006,0)))),"Fix")))</f>
        <v>0</v>
      </c>
      <c r="AA382" s="4">
        <f>IF(OR(INDEX($AH$2:$AH$1001,MATCH(ROWS($AG$2:AG382),$AG$2:$AG$1001,0),1)&gt;=100000,INDEX($AN$1005:$BO$1005,1,MATCH(COLUMNS($AN$1006:BM1006),$AN$1006:$BO$1006,0))&gt;=100000), " ",IF(INDEX($AN$2:$BO$1001,MATCH(ROWS($AG$2:AG382),$AG$2:$AG$1001,0),MATCH(COLUMNS($AN$1006:BM1006),$AN$1006:$BO$1006,0)), HYPERLINK("#",""), HYPERLINK(CONCATENATE("#Metadata!", ADDRESS(INDEX($AI$2:$AI$1001,MATCH(ROWS($AG$2:AG382),$AG$2:$AG$1001,0),0), INDEX($AN$1004:$BO$1004,1,MATCH(COLUMNS($AN$1006:BM1006),$AN$1006:$BO$1006,0)))),"Fix")))</f>
        <v>0</v>
      </c>
      <c r="AB382" s="4">
        <f>IF(OR(INDEX($AH$2:$AH$1001,MATCH(ROWS($AG$2:AG382),$AG$2:$AG$1001,0),1)&gt;=100000,INDEX($AN$1005:$BO$1005,1,MATCH(COLUMNS($AN$1006:BN1006),$AN$1006:$BO$1006,0))&gt;=100000), " ",IF(INDEX($AN$2:$BO$1001,MATCH(ROWS($AG$2:AG382),$AG$2:$AG$1001,0),MATCH(COLUMNS($AN$1006:BN1006),$AN$1006:$BO$1006,0)), HYPERLINK("#",""), HYPERLINK(CONCATENATE("#Metadata!", ADDRESS(INDEX($AI$2:$AI$1001,MATCH(ROWS($AG$2:AG382),$AG$2:$AG$1001,0),0), INDEX($AN$1004:$BO$1004,1,MATCH(COLUMNS($AN$1006:BN1006),$AN$1006:$BO$1006,0)))),"Fix")))</f>
        <v>0</v>
      </c>
      <c r="AC382" s="4">
        <f>IF(OR(INDEX($AH$2:$AH$1001,MATCH(ROWS($AG$2:AG382),$AG$2:$AG$1001,0),1)&gt;=100000,INDEX($AN$1005:$BO$1005,1,MATCH(COLUMNS($AN$1006:BO1006),$AN$1006:$BO$1006,0))&gt;=100000), " ",IF(INDEX($AN$2:$BO$1001,MATCH(ROWS($AG$2:AG382),$AG$2:$AG$1001,0),MATCH(COLUMNS($AN$1006:BO1006),$AN$1006:$BO$1006,0)), HYPERLINK("#",""), HYPERLINK(CONCATENATE("#Metadata!", ADDRESS(INDEX($AI$2:$AI$1001,MATCH(ROWS($AG$2:AG382),$AG$2:$AG$1001,0),0), INDEX($AN$1004:$BO$1004,1,MATCH(COLUMNS($AN$1006:BO1006),$AN$1006:$BO$1006,0)))),"Fix")))</f>
        <v>0</v>
      </c>
      <c r="AG382">
        <v>0</v>
      </c>
      <c r="AH382">
        <v>0</v>
      </c>
      <c r="AI382">
        <v>0</v>
      </c>
      <c r="AJ382">
        <f>IF(AK382,TRUE,AND(AN382:BO382))</f>
        <v>0</v>
      </c>
      <c r="AK382">
        <f>COUNTBLANK(Metadata!B382:AC382)=COLUMNS(Metadata!B382:AC382)</f>
        <v>0</v>
      </c>
      <c r="AL382">
        <v>0</v>
      </c>
      <c r="AN382">
        <f>AND(IF(Metadata!B382="",FALSE,TRUE),COUNTIF(Metadata!B:B, Metadata!B382) = 1,NOT(ISERROR(SUMPRODUCT(SEARCH(MID(Metadata!B382,ROW(INDIRECT("1:"&amp;LEN(Metadata!B382))), 1),"0123456789abcdefghijklmnopqrstuvwxyzABCDEFGHIJKLMNOPQRSTUVWXYZ.")))))</f>
        <v>0</v>
      </c>
      <c r="AO382">
        <f>IF(Metadata!C382="",FALSE,TRUE)</f>
        <v>0</v>
      </c>
      <c r="AP382">
        <f>IF(Metadata!D382="",FALSE,TRUE)</f>
        <v>0</v>
      </c>
      <c r="AQ382">
        <f>OR(AND(IF(Metadata!E382="",FALSE,TRUE),OR(exact(Metadata!E382,"not collected"),exact(Metadata!E382,"not provided"),exact(Metadata!E382,"restricted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R382">
        <f>IF(Metadata!F382="",FALSE,TRUE)</f>
        <v>0</v>
      </c>
      <c r="AS382">
        <f>OR(AND(IF(Metadata!G382="",FALSE,TRUE),OR(exact(Metadata!G382,"not collected"),exact(Metadata!G382,"not provided"))),AND(IF(Metadata!G382="",FALSE,TRUE),OR(exact(Metadata!G382,"TRUE"),exact(Metadata!G382,"FALSE"))))</f>
        <v>0</v>
      </c>
      <c r="AT382">
        <f>OR(AND(IF(Metadata!H382="",FALSE,TRUE),OR(exact(Metadata!H382,"not collected"),exact(Metadata!H382,"not provided"),exact(Metadata!H382,"restricted access"))),AND(IF(Metadata!H382="",FALSE,ISNUMBER(VALUE(Metadata!H382))),Metadata!H382&gt;=-413.0))</f>
        <v>0</v>
      </c>
      <c r="AU382">
        <f>AND(IF(Metadata!I382="",FALSE,TRUE),exact(Metadata!I382,"meters"))</f>
        <v>0</v>
      </c>
      <c r="AV382">
        <f>AND(IF(Metadata!J382="",FALSE,TRUE),OR(exact(Metadata!J382,"Host-associated"),exact(Metadata!J382,"Free-living")))</f>
        <v>0</v>
      </c>
      <c r="AW382">
        <f>AND(IF(Metadata!K382="",FALSE,TRUE),OR(exact(Metadata!K382,"Animal"),exact(Metadata!K382,"Fungus"),exact(Metadata!K382,"Plant"),exact(Metadata!K382,"Saline"),exact(Metadata!K382,"Non-saline")))</f>
        <v>0</v>
      </c>
      <c r="AX382">
        <f>AND(IF(Metadata!L382="",FALSE,TRUE),OR(exact(Metadata!L382,"Plant secretion"),exact(Metadata!L382,"Plant rhizosphere"),exact(Metadata!L382,"Plant surface"),exact(Metadata!L382,"Plant corpus"),exact(Metadata!L382,"Fungus surface"),exact(Metadata!L382,"Fungus corpus"),exact(Metadata!L382,"Animal surface"),exact(Metadata!L382,"Animal proximal gut"),exact(Metadata!L382,"Animal corpus"),exact(Metadata!L382,"Animal distal gut"),exact(Metadata!L382,"Animal secretion"),exact(Metadata!L382,"Sub-surface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Y382">
        <f>IF(Metadata!M382="",FALSE,TRUE)</f>
        <v>0</v>
      </c>
      <c r="AZ382">
        <f>IF(Metadata!N382="",FALSE,TRUE)</f>
        <v>0</v>
      </c>
      <c r="BA382">
        <f>IF(Metadata!O382="",FALSE,TRUE)</f>
        <v>0</v>
      </c>
      <c r="BB382">
        <f>OR(AND(IF(Metadata!P382="",FALSE,TRUE),OR(exact(Metadata!P382,"not collected"),exact(Metadata!P382,"not provided"),exact(Metadata!P382,"restricted access"))),AND(IF(Metadata!P382="",FALSE,TRUE),OR(exact(Metadata!P382,"air"),exact(Metadata!P382,"built environment"),exact(Metadata!P382,"host-associated"),exact(Metadata!P382,"human-associated"),exact(Metadata!P382,"human-skin"),exact(Metadata!P382,"human-oral"),exact(Metadata!P382,"human-gut"),exact(Metadata!P382,"human-vaginal"),exact(Metadata!P382,"microbial mat/biofilm"),exact(Metadata!P382,"misc environment"),exact(Metadata!P382,"plant-associated"),exact(Metadata!P382,"sediment"),exact(Metadata!P382,"soil"),exact(Metadata!P382,"wastewater/sludge"),exact(Metadata!P382,"water"))))</f>
        <v>0</v>
      </c>
      <c r="BC382">
        <f>IF(Metadata!Q382="",FALSE,TRUE)</f>
        <v>0</v>
      </c>
      <c r="BD382">
        <f>IF(Metadata!R382="",FALSE,TRUE)</f>
        <v>0</v>
      </c>
      <c r="BE382">
        <f>OR(AND(IF(Metadata!S382="",FALSE,TRUE),OR(exact(Metadata!S382,"not collected"),exact(Metadata!S382,"not provided"),exact(Metadata!S382,"restricted access"))),AND(IF(Metadata!S382="",FALSE,ISNUMBER(VALUE(Metadata!S382))),Metadata!S382&gt;=-90.00,Metadata!S382&lt;=90.00))</f>
        <v>0</v>
      </c>
      <c r="BF382">
        <f>AND(IF(Metadata!T382="",FALSE,TRUE),exact(Metadata!T382,"Decimal degrees"))</f>
        <v>0</v>
      </c>
      <c r="BG382">
        <f>OR(AND(IF(Metadata!U382="",FALSE,TRUE),OR(exact(Metadata!U382,"not collected"),exact(Metadata!U382,"not provided"),exact(Metadata!U382,"restricted access"))),AND(IF(Metadata!U382="",FALSE,ISNUMBER(VALUE(Metadata!U382))),Metadata!U382&gt;=-180.00,Metadata!U382&lt;=180.00))</f>
        <v>0</v>
      </c>
      <c r="BH382">
        <f>AND(IF(Metadata!V382="",FALSE,TRUE),exact(Metadata!V382,"Decimal degrees"))</f>
        <v>0</v>
      </c>
      <c r="BI382">
        <f>IF(Metadata!W382="",FALSE,TRUE)</f>
        <v>0</v>
      </c>
      <c r="BJ382">
        <f>OR(AND(IF(Metadata!X382="",FALSE,TRUE),OR(exact(Metadata!X382,"not collected"),exact(Metadata!X382,"not provided"),exact(Metadata!X382,"restricted access"))),AND(IF(Metadata!X382="",FALSE,TRUE),OR(exact(Metadata!X382,"TRUE"),exact(Metadata!X382,"FALSE"))))</f>
        <v>0</v>
      </c>
      <c r="BK382">
        <f>AND(IF(Metadata!Y382="",FALSE,TRUE),exact(Metadata!Y382,"other"))</f>
        <v>0</v>
      </c>
      <c r="BL382">
        <f>IF(Metadata!Z382="",FALSE,TRUE)</f>
        <v>0</v>
      </c>
      <c r="BM382">
        <f>OR(AND(IF(Metadata!AA382="",FALSE,TRUE),OR(exact(Metadata!AA382,"not collected"),exact(Metadata!AA382,"not provided"))),AND(IF(Metadata!AA382="",FALSE,IF(ISERROR(INT(Metadata!AA382)),FALSE,INT(Metadata!AA382)=Metadata!AA382)),Metadata!AA382&gt;0))</f>
        <v>0</v>
      </c>
      <c r="BN382">
        <f>AND(IF(Metadata!AB382="",FALSE,TRUE),exact(Metadata!AB382,"Not applicable"))</f>
        <v>0</v>
      </c>
      <c r="BO382">
        <f>IF(Metadata!AC382="",FALSE,TRUE)</f>
        <v>0</v>
      </c>
    </row>
    <row r="383" spans="1:67">
      <c r="A383" s="5">
        <f>IF(B383=" "," ",HYPERLINK(CONCATENATE("#metadata!",ADDRESS(INDEX($AI$2:$AI$1001,MATCH(ROWS($AG$2:AG383),$AG$2:$AG$1001,0),0),1)),INDEX($AL$2:$AL$1001,MATCH(ROWS($AG$2:AG383),$AG$2:$AG$1001,0),0)))</f>
        <v>0</v>
      </c>
      <c r="B383" s="4">
        <f>IF(OR(INDEX($AH$2:$AH$1001,MATCH(ROWS($AG$2:AG383),$AG$2:$AG$1001,0),1)&gt;=100000,INDEX($AN$1005:$BO$1005,1,MATCH(COLUMNS($AN$1006:AN1006),$AN$1006:$BO$1006,0))&gt;=100000), " ",IF(INDEX($AN$2:$BO$1001,MATCH(ROWS($AG$2:AG383),$AG$2:$AG$1001,0),MATCH(COLUMNS($AN$1006:AN1006),$AN$1006:$BO$1006,0)), HYPERLINK("#",""), HYPERLINK(CONCATENATE("#Metadata!", ADDRESS(INDEX($AI$2:$AI$1001,MATCH(ROWS($AG$2:AG383),$AG$2:$AG$1001,0),0), INDEX($AN$1004:$BO$1004,1,MATCH(COLUMNS($AN$1006:AN1006),$AN$1006:$BO$1006,0)))),"Fix")))</f>
        <v>0</v>
      </c>
      <c r="C383" s="4">
        <f>IF(OR(INDEX($AH$2:$AH$1001,MATCH(ROWS($AG$2:AG383),$AG$2:$AG$1001,0),1)&gt;=100000,INDEX($AN$1005:$BO$1005,1,MATCH(COLUMNS($AN$1006:AO1006),$AN$1006:$BO$1006,0))&gt;=100000), " ",IF(INDEX($AN$2:$BO$1001,MATCH(ROWS($AG$2:AG383),$AG$2:$AG$1001,0),MATCH(COLUMNS($AN$1006:AO1006),$AN$1006:$BO$1006,0)), HYPERLINK("#",""), HYPERLINK(CONCATENATE("#Metadata!", ADDRESS(INDEX($AI$2:$AI$1001,MATCH(ROWS($AG$2:AG383),$AG$2:$AG$1001,0),0), INDEX($AN$1004:$BO$1004,1,MATCH(COLUMNS($AN$1006:AO1006),$AN$1006:$BO$1006,0)))),"Fix")))</f>
        <v>0</v>
      </c>
      <c r="D383" s="4">
        <f>IF(OR(INDEX($AH$2:$AH$1001,MATCH(ROWS($AG$2:AG383),$AG$2:$AG$1001,0),1)&gt;=100000,INDEX($AN$1005:$BO$1005,1,MATCH(COLUMNS($AN$1006:AP1006),$AN$1006:$BO$1006,0))&gt;=100000), " ",IF(INDEX($AN$2:$BO$1001,MATCH(ROWS($AG$2:AG383),$AG$2:$AG$1001,0),MATCH(COLUMNS($AN$1006:AP1006),$AN$1006:$BO$1006,0)), HYPERLINK("#",""), HYPERLINK(CONCATENATE("#Metadata!", ADDRESS(INDEX($AI$2:$AI$1001,MATCH(ROWS($AG$2:AG383),$AG$2:$AG$1001,0),0), INDEX($AN$1004:$BO$1004,1,MATCH(COLUMNS($AN$1006:AP1006),$AN$1006:$BO$1006,0)))),"Fix")))</f>
        <v>0</v>
      </c>
      <c r="E383" s="4">
        <f>IF(OR(INDEX($AH$2:$AH$1001,MATCH(ROWS($AG$2:AG383),$AG$2:$AG$1001,0),1)&gt;=100000,INDEX($AN$1005:$BO$1005,1,MATCH(COLUMNS($AN$1006:AQ1006),$AN$1006:$BO$1006,0))&gt;=100000), " ",IF(INDEX($AN$2:$BO$1001,MATCH(ROWS($AG$2:AG383),$AG$2:$AG$1001,0),MATCH(COLUMNS($AN$1006:AQ1006),$AN$1006:$BO$1006,0)), HYPERLINK("#",""), HYPERLINK(CONCATENATE("#Metadata!", ADDRESS(INDEX($AI$2:$AI$1001,MATCH(ROWS($AG$2:AG383),$AG$2:$AG$1001,0),0), INDEX($AN$1004:$BO$1004,1,MATCH(COLUMNS($AN$1006:AQ1006),$AN$1006:$BO$1006,0)))),"Fix")))</f>
        <v>0</v>
      </c>
      <c r="F383" s="4">
        <f>IF(OR(INDEX($AH$2:$AH$1001,MATCH(ROWS($AG$2:AG383),$AG$2:$AG$1001,0),1)&gt;=100000,INDEX($AN$1005:$BO$1005,1,MATCH(COLUMNS($AN$1006:AR1006),$AN$1006:$BO$1006,0))&gt;=100000), " ",IF(INDEX($AN$2:$BO$1001,MATCH(ROWS($AG$2:AG383),$AG$2:$AG$1001,0),MATCH(COLUMNS($AN$1006:AR1006),$AN$1006:$BO$1006,0)), HYPERLINK("#",""), HYPERLINK(CONCATENATE("#Metadata!", ADDRESS(INDEX($AI$2:$AI$1001,MATCH(ROWS($AG$2:AG383),$AG$2:$AG$1001,0),0), INDEX($AN$1004:$BO$1004,1,MATCH(COLUMNS($AN$1006:AR1006),$AN$1006:$BO$1006,0)))),"Fix")))</f>
        <v>0</v>
      </c>
      <c r="G383" s="4">
        <f>IF(OR(INDEX($AH$2:$AH$1001,MATCH(ROWS($AG$2:AG383),$AG$2:$AG$1001,0),1)&gt;=100000,INDEX($AN$1005:$BO$1005,1,MATCH(COLUMNS($AN$1006:AS1006),$AN$1006:$BO$1006,0))&gt;=100000), " ",IF(INDEX($AN$2:$BO$1001,MATCH(ROWS($AG$2:AG383),$AG$2:$AG$1001,0),MATCH(COLUMNS($AN$1006:AS1006),$AN$1006:$BO$1006,0)), HYPERLINK("#",""), HYPERLINK(CONCATENATE("#Metadata!", ADDRESS(INDEX($AI$2:$AI$1001,MATCH(ROWS($AG$2:AG383),$AG$2:$AG$1001,0),0), INDEX($AN$1004:$BO$1004,1,MATCH(COLUMNS($AN$1006:AS1006),$AN$1006:$BO$1006,0)))),"Fix")))</f>
        <v>0</v>
      </c>
      <c r="H383" s="4">
        <f>IF(OR(INDEX($AH$2:$AH$1001,MATCH(ROWS($AG$2:AG383),$AG$2:$AG$1001,0),1)&gt;=100000,INDEX($AN$1005:$BO$1005,1,MATCH(COLUMNS($AN$1006:AT1006),$AN$1006:$BO$1006,0))&gt;=100000), " ",IF(INDEX($AN$2:$BO$1001,MATCH(ROWS($AG$2:AG383),$AG$2:$AG$1001,0),MATCH(COLUMNS($AN$1006:AT1006),$AN$1006:$BO$1006,0)), HYPERLINK("#",""), HYPERLINK(CONCATENATE("#Metadata!", ADDRESS(INDEX($AI$2:$AI$1001,MATCH(ROWS($AG$2:AG383),$AG$2:$AG$1001,0),0), INDEX($AN$1004:$BO$1004,1,MATCH(COLUMNS($AN$1006:AT1006),$AN$1006:$BO$1006,0)))),"Fix")))</f>
        <v>0</v>
      </c>
      <c r="I383" s="4">
        <f>IF(OR(INDEX($AH$2:$AH$1001,MATCH(ROWS($AG$2:AG383),$AG$2:$AG$1001,0),1)&gt;=100000,INDEX($AN$1005:$BO$1005,1,MATCH(COLUMNS($AN$1006:AU1006),$AN$1006:$BO$1006,0))&gt;=100000), " ",IF(INDEX($AN$2:$BO$1001,MATCH(ROWS($AG$2:AG383),$AG$2:$AG$1001,0),MATCH(COLUMNS($AN$1006:AU1006),$AN$1006:$BO$1006,0)), HYPERLINK("#",""), HYPERLINK(CONCATENATE("#Metadata!", ADDRESS(INDEX($AI$2:$AI$1001,MATCH(ROWS($AG$2:AG383),$AG$2:$AG$1001,0),0), INDEX($AN$1004:$BO$1004,1,MATCH(COLUMNS($AN$1006:AU1006),$AN$1006:$BO$1006,0)))),"Fix")))</f>
        <v>0</v>
      </c>
      <c r="J383" s="4">
        <f>IF(OR(INDEX($AH$2:$AH$1001,MATCH(ROWS($AG$2:AG383),$AG$2:$AG$1001,0),1)&gt;=100000,INDEX($AN$1005:$BO$1005,1,MATCH(COLUMNS($AN$1006:AV1006),$AN$1006:$BO$1006,0))&gt;=100000), " ",IF(INDEX($AN$2:$BO$1001,MATCH(ROWS($AG$2:AG383),$AG$2:$AG$1001,0),MATCH(COLUMNS($AN$1006:AV1006),$AN$1006:$BO$1006,0)), HYPERLINK("#",""), HYPERLINK(CONCATENATE("#Metadata!", ADDRESS(INDEX($AI$2:$AI$1001,MATCH(ROWS($AG$2:AG383),$AG$2:$AG$1001,0),0), INDEX($AN$1004:$BO$1004,1,MATCH(COLUMNS($AN$1006:AV1006),$AN$1006:$BO$1006,0)))),"Fix")))</f>
        <v>0</v>
      </c>
      <c r="K383" s="4">
        <f>IF(OR(INDEX($AH$2:$AH$1001,MATCH(ROWS($AG$2:AG383),$AG$2:$AG$1001,0),1)&gt;=100000,INDEX($AN$1005:$BO$1005,1,MATCH(COLUMNS($AN$1006:AW1006),$AN$1006:$BO$1006,0))&gt;=100000), " ",IF(INDEX($AN$2:$BO$1001,MATCH(ROWS($AG$2:AG383),$AG$2:$AG$1001,0),MATCH(COLUMNS($AN$1006:AW1006),$AN$1006:$BO$1006,0)), HYPERLINK("#",""), HYPERLINK(CONCATENATE("#Metadata!", ADDRESS(INDEX($AI$2:$AI$1001,MATCH(ROWS($AG$2:AG383),$AG$2:$AG$1001,0),0), INDEX($AN$1004:$BO$1004,1,MATCH(COLUMNS($AN$1006:AW1006),$AN$1006:$BO$1006,0)))),"Fix")))</f>
        <v>0</v>
      </c>
      <c r="L383" s="4">
        <f>IF(OR(INDEX($AH$2:$AH$1001,MATCH(ROWS($AG$2:AG383),$AG$2:$AG$1001,0),1)&gt;=100000,INDEX($AN$1005:$BO$1005,1,MATCH(COLUMNS($AN$1006:AX1006),$AN$1006:$BO$1006,0))&gt;=100000), " ",IF(INDEX($AN$2:$BO$1001,MATCH(ROWS($AG$2:AG383),$AG$2:$AG$1001,0),MATCH(COLUMNS($AN$1006:AX1006),$AN$1006:$BO$1006,0)), HYPERLINK("#",""), HYPERLINK(CONCATENATE("#Metadata!", ADDRESS(INDEX($AI$2:$AI$1001,MATCH(ROWS($AG$2:AG383),$AG$2:$AG$1001,0),0), INDEX($AN$1004:$BO$1004,1,MATCH(COLUMNS($AN$1006:AX1006),$AN$1006:$BO$1006,0)))),"Fix")))</f>
        <v>0</v>
      </c>
      <c r="M383" s="4">
        <f>IF(OR(INDEX($AH$2:$AH$1001,MATCH(ROWS($AG$2:AG383),$AG$2:$AG$1001,0),1)&gt;=100000,INDEX($AN$1005:$BO$1005,1,MATCH(COLUMNS($AN$1006:AY1006),$AN$1006:$BO$1006,0))&gt;=100000), " ",IF(INDEX($AN$2:$BO$1001,MATCH(ROWS($AG$2:AG383),$AG$2:$AG$1001,0),MATCH(COLUMNS($AN$1006:AY1006),$AN$1006:$BO$1006,0)), HYPERLINK("#",""), HYPERLINK(CONCATENATE("#Metadata!", ADDRESS(INDEX($AI$2:$AI$1001,MATCH(ROWS($AG$2:AG383),$AG$2:$AG$1001,0),0), INDEX($AN$1004:$BO$1004,1,MATCH(COLUMNS($AN$1006:AY1006),$AN$1006:$BO$1006,0)))),"Fix")))</f>
        <v>0</v>
      </c>
      <c r="N383" s="4">
        <f>IF(OR(INDEX($AH$2:$AH$1001,MATCH(ROWS($AG$2:AG383),$AG$2:$AG$1001,0),1)&gt;=100000,INDEX($AN$1005:$BO$1005,1,MATCH(COLUMNS($AN$1006:AZ1006),$AN$1006:$BO$1006,0))&gt;=100000), " ",IF(INDEX($AN$2:$BO$1001,MATCH(ROWS($AG$2:AG383),$AG$2:$AG$1001,0),MATCH(COLUMNS($AN$1006:AZ1006),$AN$1006:$BO$1006,0)), HYPERLINK("#",""), HYPERLINK(CONCATENATE("#Metadata!", ADDRESS(INDEX($AI$2:$AI$1001,MATCH(ROWS($AG$2:AG383),$AG$2:$AG$1001,0),0), INDEX($AN$1004:$BO$1004,1,MATCH(COLUMNS($AN$1006:AZ1006),$AN$1006:$BO$1006,0)))),"Fix")))</f>
        <v>0</v>
      </c>
      <c r="O383" s="4">
        <f>IF(OR(INDEX($AH$2:$AH$1001,MATCH(ROWS($AG$2:AG383),$AG$2:$AG$1001,0),1)&gt;=100000,INDEX($AN$1005:$BO$1005,1,MATCH(COLUMNS($AN$1006:BA1006),$AN$1006:$BO$1006,0))&gt;=100000), " ",IF(INDEX($AN$2:$BO$1001,MATCH(ROWS($AG$2:AG383),$AG$2:$AG$1001,0),MATCH(COLUMNS($AN$1006:BA1006),$AN$1006:$BO$1006,0)), HYPERLINK("#",""), HYPERLINK(CONCATENATE("#Metadata!", ADDRESS(INDEX($AI$2:$AI$1001,MATCH(ROWS($AG$2:AG383),$AG$2:$AG$1001,0),0), INDEX($AN$1004:$BO$1004,1,MATCH(COLUMNS($AN$1006:BA1006),$AN$1006:$BO$1006,0)))),"Fix")))</f>
        <v>0</v>
      </c>
      <c r="P383" s="4">
        <f>IF(OR(INDEX($AH$2:$AH$1001,MATCH(ROWS($AG$2:AG383),$AG$2:$AG$1001,0),1)&gt;=100000,INDEX($AN$1005:$BO$1005,1,MATCH(COLUMNS($AN$1006:BB1006),$AN$1006:$BO$1006,0))&gt;=100000), " ",IF(INDEX($AN$2:$BO$1001,MATCH(ROWS($AG$2:AG383),$AG$2:$AG$1001,0),MATCH(COLUMNS($AN$1006:BB1006),$AN$1006:$BO$1006,0)), HYPERLINK("#",""), HYPERLINK(CONCATENATE("#Metadata!", ADDRESS(INDEX($AI$2:$AI$1001,MATCH(ROWS($AG$2:AG383),$AG$2:$AG$1001,0),0), INDEX($AN$1004:$BO$1004,1,MATCH(COLUMNS($AN$1006:BB1006),$AN$1006:$BO$1006,0)))),"Fix")))</f>
        <v>0</v>
      </c>
      <c r="Q383" s="4">
        <f>IF(OR(INDEX($AH$2:$AH$1001,MATCH(ROWS($AG$2:AG383),$AG$2:$AG$1001,0),1)&gt;=100000,INDEX($AN$1005:$BO$1005,1,MATCH(COLUMNS($AN$1006:BC1006),$AN$1006:$BO$1006,0))&gt;=100000), " ",IF(INDEX($AN$2:$BO$1001,MATCH(ROWS($AG$2:AG383),$AG$2:$AG$1001,0),MATCH(COLUMNS($AN$1006:BC1006),$AN$1006:$BO$1006,0)), HYPERLINK("#",""), HYPERLINK(CONCATENATE("#Metadata!", ADDRESS(INDEX($AI$2:$AI$1001,MATCH(ROWS($AG$2:AG383),$AG$2:$AG$1001,0),0), INDEX($AN$1004:$BO$1004,1,MATCH(COLUMNS($AN$1006:BC1006),$AN$1006:$BO$1006,0)))),"Fix")))</f>
        <v>0</v>
      </c>
      <c r="R383" s="4">
        <f>IF(OR(INDEX($AH$2:$AH$1001,MATCH(ROWS($AG$2:AG383),$AG$2:$AG$1001,0),1)&gt;=100000,INDEX($AN$1005:$BO$1005,1,MATCH(COLUMNS($AN$1006:BD1006),$AN$1006:$BO$1006,0))&gt;=100000), " ",IF(INDEX($AN$2:$BO$1001,MATCH(ROWS($AG$2:AG383),$AG$2:$AG$1001,0),MATCH(COLUMNS($AN$1006:BD1006),$AN$1006:$BO$1006,0)), HYPERLINK("#",""), HYPERLINK(CONCATENATE("#Metadata!", ADDRESS(INDEX($AI$2:$AI$1001,MATCH(ROWS($AG$2:AG383),$AG$2:$AG$1001,0),0), INDEX($AN$1004:$BO$1004,1,MATCH(COLUMNS($AN$1006:BD1006),$AN$1006:$BO$1006,0)))),"Fix")))</f>
        <v>0</v>
      </c>
      <c r="S383" s="4">
        <f>IF(OR(INDEX($AH$2:$AH$1001,MATCH(ROWS($AG$2:AG383),$AG$2:$AG$1001,0),1)&gt;=100000,INDEX($AN$1005:$BO$1005,1,MATCH(COLUMNS($AN$1006:BE1006),$AN$1006:$BO$1006,0))&gt;=100000), " ",IF(INDEX($AN$2:$BO$1001,MATCH(ROWS($AG$2:AG383),$AG$2:$AG$1001,0),MATCH(COLUMNS($AN$1006:BE1006),$AN$1006:$BO$1006,0)), HYPERLINK("#",""), HYPERLINK(CONCATENATE("#Metadata!", ADDRESS(INDEX($AI$2:$AI$1001,MATCH(ROWS($AG$2:AG383),$AG$2:$AG$1001,0),0), INDEX($AN$1004:$BO$1004,1,MATCH(COLUMNS($AN$1006:BE1006),$AN$1006:$BO$1006,0)))),"Fix")))</f>
        <v>0</v>
      </c>
      <c r="T383" s="4">
        <f>IF(OR(INDEX($AH$2:$AH$1001,MATCH(ROWS($AG$2:AG383),$AG$2:$AG$1001,0),1)&gt;=100000,INDEX($AN$1005:$BO$1005,1,MATCH(COLUMNS($AN$1006:BF1006),$AN$1006:$BO$1006,0))&gt;=100000), " ",IF(INDEX($AN$2:$BO$1001,MATCH(ROWS($AG$2:AG383),$AG$2:$AG$1001,0),MATCH(COLUMNS($AN$1006:BF1006),$AN$1006:$BO$1006,0)), HYPERLINK("#",""), HYPERLINK(CONCATENATE("#Metadata!", ADDRESS(INDEX($AI$2:$AI$1001,MATCH(ROWS($AG$2:AG383),$AG$2:$AG$1001,0),0), INDEX($AN$1004:$BO$1004,1,MATCH(COLUMNS($AN$1006:BF1006),$AN$1006:$BO$1006,0)))),"Fix")))</f>
        <v>0</v>
      </c>
      <c r="U383" s="4">
        <f>IF(OR(INDEX($AH$2:$AH$1001,MATCH(ROWS($AG$2:AG383),$AG$2:$AG$1001,0),1)&gt;=100000,INDEX($AN$1005:$BO$1005,1,MATCH(COLUMNS($AN$1006:BG1006),$AN$1006:$BO$1006,0))&gt;=100000), " ",IF(INDEX($AN$2:$BO$1001,MATCH(ROWS($AG$2:AG383),$AG$2:$AG$1001,0),MATCH(COLUMNS($AN$1006:BG1006),$AN$1006:$BO$1006,0)), HYPERLINK("#",""), HYPERLINK(CONCATENATE("#Metadata!", ADDRESS(INDEX($AI$2:$AI$1001,MATCH(ROWS($AG$2:AG383),$AG$2:$AG$1001,0),0), INDEX($AN$1004:$BO$1004,1,MATCH(COLUMNS($AN$1006:BG1006),$AN$1006:$BO$1006,0)))),"Fix")))</f>
        <v>0</v>
      </c>
      <c r="V383" s="4">
        <f>IF(OR(INDEX($AH$2:$AH$1001,MATCH(ROWS($AG$2:AG383),$AG$2:$AG$1001,0),1)&gt;=100000,INDEX($AN$1005:$BO$1005,1,MATCH(COLUMNS($AN$1006:BH1006),$AN$1006:$BO$1006,0))&gt;=100000), " ",IF(INDEX($AN$2:$BO$1001,MATCH(ROWS($AG$2:AG383),$AG$2:$AG$1001,0),MATCH(COLUMNS($AN$1006:BH1006),$AN$1006:$BO$1006,0)), HYPERLINK("#",""), HYPERLINK(CONCATENATE("#Metadata!", ADDRESS(INDEX($AI$2:$AI$1001,MATCH(ROWS($AG$2:AG383),$AG$2:$AG$1001,0),0), INDEX($AN$1004:$BO$1004,1,MATCH(COLUMNS($AN$1006:BH1006),$AN$1006:$BO$1006,0)))),"Fix")))</f>
        <v>0</v>
      </c>
      <c r="W383" s="4">
        <f>IF(OR(INDEX($AH$2:$AH$1001,MATCH(ROWS($AG$2:AG383),$AG$2:$AG$1001,0),1)&gt;=100000,INDEX($AN$1005:$BO$1005,1,MATCH(COLUMNS($AN$1006:BI1006),$AN$1006:$BO$1006,0))&gt;=100000), " ",IF(INDEX($AN$2:$BO$1001,MATCH(ROWS($AG$2:AG383),$AG$2:$AG$1001,0),MATCH(COLUMNS($AN$1006:BI1006),$AN$1006:$BO$1006,0)), HYPERLINK("#",""), HYPERLINK(CONCATENATE("#Metadata!", ADDRESS(INDEX($AI$2:$AI$1001,MATCH(ROWS($AG$2:AG383),$AG$2:$AG$1001,0),0), INDEX($AN$1004:$BO$1004,1,MATCH(COLUMNS($AN$1006:BI1006),$AN$1006:$BO$1006,0)))),"Fix")))</f>
        <v>0</v>
      </c>
      <c r="X383" s="4">
        <f>IF(OR(INDEX($AH$2:$AH$1001,MATCH(ROWS($AG$2:AG383),$AG$2:$AG$1001,0),1)&gt;=100000,INDEX($AN$1005:$BO$1005,1,MATCH(COLUMNS($AN$1006:BJ1006),$AN$1006:$BO$1006,0))&gt;=100000), " ",IF(INDEX($AN$2:$BO$1001,MATCH(ROWS($AG$2:AG383),$AG$2:$AG$1001,0),MATCH(COLUMNS($AN$1006:BJ1006),$AN$1006:$BO$1006,0)), HYPERLINK("#",""), HYPERLINK(CONCATENATE("#Metadata!", ADDRESS(INDEX($AI$2:$AI$1001,MATCH(ROWS($AG$2:AG383),$AG$2:$AG$1001,0),0), INDEX($AN$1004:$BO$1004,1,MATCH(COLUMNS($AN$1006:BJ1006),$AN$1006:$BO$1006,0)))),"Fix")))</f>
        <v>0</v>
      </c>
      <c r="Y383" s="4">
        <f>IF(OR(INDEX($AH$2:$AH$1001,MATCH(ROWS($AG$2:AG383),$AG$2:$AG$1001,0),1)&gt;=100000,INDEX($AN$1005:$BO$1005,1,MATCH(COLUMNS($AN$1006:BK1006),$AN$1006:$BO$1006,0))&gt;=100000), " ",IF(INDEX($AN$2:$BO$1001,MATCH(ROWS($AG$2:AG383),$AG$2:$AG$1001,0),MATCH(COLUMNS($AN$1006:BK1006),$AN$1006:$BO$1006,0)), HYPERLINK("#",""), HYPERLINK(CONCATENATE("#Metadata!", ADDRESS(INDEX($AI$2:$AI$1001,MATCH(ROWS($AG$2:AG383),$AG$2:$AG$1001,0),0), INDEX($AN$1004:$BO$1004,1,MATCH(COLUMNS($AN$1006:BK1006),$AN$1006:$BO$1006,0)))),"Fix")))</f>
        <v>0</v>
      </c>
      <c r="Z383" s="4">
        <f>IF(OR(INDEX($AH$2:$AH$1001,MATCH(ROWS($AG$2:AG383),$AG$2:$AG$1001,0),1)&gt;=100000,INDEX($AN$1005:$BO$1005,1,MATCH(COLUMNS($AN$1006:BL1006),$AN$1006:$BO$1006,0))&gt;=100000), " ",IF(INDEX($AN$2:$BO$1001,MATCH(ROWS($AG$2:AG383),$AG$2:$AG$1001,0),MATCH(COLUMNS($AN$1006:BL1006),$AN$1006:$BO$1006,0)), HYPERLINK("#",""), HYPERLINK(CONCATENATE("#Metadata!", ADDRESS(INDEX($AI$2:$AI$1001,MATCH(ROWS($AG$2:AG383),$AG$2:$AG$1001,0),0), INDEX($AN$1004:$BO$1004,1,MATCH(COLUMNS($AN$1006:BL1006),$AN$1006:$BO$1006,0)))),"Fix")))</f>
        <v>0</v>
      </c>
      <c r="AA383" s="4">
        <f>IF(OR(INDEX($AH$2:$AH$1001,MATCH(ROWS($AG$2:AG383),$AG$2:$AG$1001,0),1)&gt;=100000,INDEX($AN$1005:$BO$1005,1,MATCH(COLUMNS($AN$1006:BM1006),$AN$1006:$BO$1006,0))&gt;=100000), " ",IF(INDEX($AN$2:$BO$1001,MATCH(ROWS($AG$2:AG383),$AG$2:$AG$1001,0),MATCH(COLUMNS($AN$1006:BM1006),$AN$1006:$BO$1006,0)), HYPERLINK("#",""), HYPERLINK(CONCATENATE("#Metadata!", ADDRESS(INDEX($AI$2:$AI$1001,MATCH(ROWS($AG$2:AG383),$AG$2:$AG$1001,0),0), INDEX($AN$1004:$BO$1004,1,MATCH(COLUMNS($AN$1006:BM1006),$AN$1006:$BO$1006,0)))),"Fix")))</f>
        <v>0</v>
      </c>
      <c r="AB383" s="4">
        <f>IF(OR(INDEX($AH$2:$AH$1001,MATCH(ROWS($AG$2:AG383),$AG$2:$AG$1001,0),1)&gt;=100000,INDEX($AN$1005:$BO$1005,1,MATCH(COLUMNS($AN$1006:BN1006),$AN$1006:$BO$1006,0))&gt;=100000), " ",IF(INDEX($AN$2:$BO$1001,MATCH(ROWS($AG$2:AG383),$AG$2:$AG$1001,0),MATCH(COLUMNS($AN$1006:BN1006),$AN$1006:$BO$1006,0)), HYPERLINK("#",""), HYPERLINK(CONCATENATE("#Metadata!", ADDRESS(INDEX($AI$2:$AI$1001,MATCH(ROWS($AG$2:AG383),$AG$2:$AG$1001,0),0), INDEX($AN$1004:$BO$1004,1,MATCH(COLUMNS($AN$1006:BN1006),$AN$1006:$BO$1006,0)))),"Fix")))</f>
        <v>0</v>
      </c>
      <c r="AC383" s="4">
        <f>IF(OR(INDEX($AH$2:$AH$1001,MATCH(ROWS($AG$2:AG383),$AG$2:$AG$1001,0),1)&gt;=100000,INDEX($AN$1005:$BO$1005,1,MATCH(COLUMNS($AN$1006:BO1006),$AN$1006:$BO$1006,0))&gt;=100000), " ",IF(INDEX($AN$2:$BO$1001,MATCH(ROWS($AG$2:AG383),$AG$2:$AG$1001,0),MATCH(COLUMNS($AN$1006:BO1006),$AN$1006:$BO$1006,0)), HYPERLINK("#",""), HYPERLINK(CONCATENATE("#Metadata!", ADDRESS(INDEX($AI$2:$AI$1001,MATCH(ROWS($AG$2:AG383),$AG$2:$AG$1001,0),0), INDEX($AN$1004:$BO$1004,1,MATCH(COLUMNS($AN$1006:BO1006),$AN$1006:$BO$1006,0)))),"Fix")))</f>
        <v>0</v>
      </c>
      <c r="AG383">
        <v>0</v>
      </c>
      <c r="AH383">
        <v>0</v>
      </c>
      <c r="AI383">
        <v>0</v>
      </c>
      <c r="AJ383">
        <f>IF(AK383,TRUE,AND(AN383:BO383))</f>
        <v>0</v>
      </c>
      <c r="AK383">
        <f>COUNTBLANK(Metadata!B383:AC383)=COLUMNS(Metadata!B383:AC383)</f>
        <v>0</v>
      </c>
      <c r="AL383">
        <v>0</v>
      </c>
      <c r="AN383">
        <f>AND(IF(Metadata!B383="",FALSE,TRUE),COUNTIF(Metadata!B:B, Metadata!B383) = 1,NOT(ISERROR(SUMPRODUCT(SEARCH(MID(Metadata!B383,ROW(INDIRECT("1:"&amp;LEN(Metadata!B383))), 1),"0123456789abcdefghijklmnopqrstuvwxyzABCDEFGHIJKLMNOPQRSTUVWXYZ.")))))</f>
        <v>0</v>
      </c>
      <c r="AO383">
        <f>IF(Metadata!C383="",FALSE,TRUE)</f>
        <v>0</v>
      </c>
      <c r="AP383">
        <f>IF(Metadata!D383="",FALSE,TRUE)</f>
        <v>0</v>
      </c>
      <c r="AQ383">
        <f>OR(AND(IF(Metadata!E383="",FALSE,TRUE),OR(exact(Metadata!E383,"not collected"),exact(Metadata!E383,"not provided"),exact(Metadata!E383,"restricted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R383">
        <f>IF(Metadata!F383="",FALSE,TRUE)</f>
        <v>0</v>
      </c>
      <c r="AS383">
        <f>OR(AND(IF(Metadata!G383="",FALSE,TRUE),OR(exact(Metadata!G383,"not collected"),exact(Metadata!G383,"not provided"))),AND(IF(Metadata!G383="",FALSE,TRUE),OR(exact(Metadata!G383,"TRUE"),exact(Metadata!G383,"FALSE"))))</f>
        <v>0</v>
      </c>
      <c r="AT383">
        <f>OR(AND(IF(Metadata!H383="",FALSE,TRUE),OR(exact(Metadata!H383,"not collected"),exact(Metadata!H383,"not provided"),exact(Metadata!H383,"restricted access"))),AND(IF(Metadata!H383="",FALSE,ISNUMBER(VALUE(Metadata!H383))),Metadata!H383&gt;=-413.0))</f>
        <v>0</v>
      </c>
      <c r="AU383">
        <f>AND(IF(Metadata!I383="",FALSE,TRUE),exact(Metadata!I383,"meters"))</f>
        <v>0</v>
      </c>
      <c r="AV383">
        <f>AND(IF(Metadata!J383="",FALSE,TRUE),OR(exact(Metadata!J383,"Host-associated"),exact(Metadata!J383,"Free-living")))</f>
        <v>0</v>
      </c>
      <c r="AW383">
        <f>AND(IF(Metadata!K383="",FALSE,TRUE),OR(exact(Metadata!K383,"Animal"),exact(Metadata!K383,"Fungus"),exact(Metadata!K383,"Plant"),exact(Metadata!K383,"Saline"),exact(Metadata!K383,"Non-saline")))</f>
        <v>0</v>
      </c>
      <c r="AX383">
        <f>AND(IF(Metadata!L383="",FALSE,TRUE),OR(exact(Metadata!L383,"Plant secretion"),exact(Metadata!L383,"Plant rhizosphere"),exact(Metadata!L383,"Plant surface"),exact(Metadata!L383,"Plant corpus"),exact(Metadata!L383,"Fungus surface"),exact(Metadata!L383,"Fungus corpus"),exact(Metadata!L383,"Animal surface"),exact(Metadata!L383,"Animal proximal gut"),exact(Metadata!L383,"Animal corpus"),exact(Metadata!L383,"Animal distal gut"),exact(Metadata!L383,"Animal secretion"),exact(Metadata!L383,"Sub-surface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Y383">
        <f>IF(Metadata!M383="",FALSE,TRUE)</f>
        <v>0</v>
      </c>
      <c r="AZ383">
        <f>IF(Metadata!N383="",FALSE,TRUE)</f>
        <v>0</v>
      </c>
      <c r="BA383">
        <f>IF(Metadata!O383="",FALSE,TRUE)</f>
        <v>0</v>
      </c>
      <c r="BB383">
        <f>OR(AND(IF(Metadata!P383="",FALSE,TRUE),OR(exact(Metadata!P383,"not collected"),exact(Metadata!P383,"not provided"),exact(Metadata!P383,"restricted access"))),AND(IF(Metadata!P383="",FALSE,TRUE),OR(exact(Metadata!P383,"air"),exact(Metadata!P383,"built environment"),exact(Metadata!P383,"host-associated"),exact(Metadata!P383,"human-associated"),exact(Metadata!P383,"human-skin"),exact(Metadata!P383,"human-oral"),exact(Metadata!P383,"human-gut"),exact(Metadata!P383,"human-vaginal"),exact(Metadata!P383,"microbial mat/biofilm"),exact(Metadata!P383,"misc environment"),exact(Metadata!P383,"plant-associated"),exact(Metadata!P383,"sediment"),exact(Metadata!P383,"soil"),exact(Metadata!P383,"wastewater/sludge"),exact(Metadata!P383,"water"))))</f>
        <v>0</v>
      </c>
      <c r="BC383">
        <f>IF(Metadata!Q383="",FALSE,TRUE)</f>
        <v>0</v>
      </c>
      <c r="BD383">
        <f>IF(Metadata!R383="",FALSE,TRUE)</f>
        <v>0</v>
      </c>
      <c r="BE383">
        <f>OR(AND(IF(Metadata!S383="",FALSE,TRUE),OR(exact(Metadata!S383,"not collected"),exact(Metadata!S383,"not provided"),exact(Metadata!S383,"restricted access"))),AND(IF(Metadata!S383="",FALSE,ISNUMBER(VALUE(Metadata!S383))),Metadata!S383&gt;=-90.00,Metadata!S383&lt;=90.00))</f>
        <v>0</v>
      </c>
      <c r="BF383">
        <f>AND(IF(Metadata!T383="",FALSE,TRUE),exact(Metadata!T383,"Decimal degrees"))</f>
        <v>0</v>
      </c>
      <c r="BG383">
        <f>OR(AND(IF(Metadata!U383="",FALSE,TRUE),OR(exact(Metadata!U383,"not collected"),exact(Metadata!U383,"not provided"),exact(Metadata!U383,"restricted access"))),AND(IF(Metadata!U383="",FALSE,ISNUMBER(VALUE(Metadata!U383))),Metadata!U383&gt;=-180.00,Metadata!U383&lt;=180.00))</f>
        <v>0</v>
      </c>
      <c r="BH383">
        <f>AND(IF(Metadata!V383="",FALSE,TRUE),exact(Metadata!V383,"Decimal degrees"))</f>
        <v>0</v>
      </c>
      <c r="BI383">
        <f>IF(Metadata!W383="",FALSE,TRUE)</f>
        <v>0</v>
      </c>
      <c r="BJ383">
        <f>OR(AND(IF(Metadata!X383="",FALSE,TRUE),OR(exact(Metadata!X383,"not collected"),exact(Metadata!X383,"not provided"),exact(Metadata!X383,"restricted access"))),AND(IF(Metadata!X383="",FALSE,TRUE),OR(exact(Metadata!X383,"TRUE"),exact(Metadata!X383,"FALSE"))))</f>
        <v>0</v>
      </c>
      <c r="BK383">
        <f>AND(IF(Metadata!Y383="",FALSE,TRUE),exact(Metadata!Y383,"other"))</f>
        <v>0</v>
      </c>
      <c r="BL383">
        <f>IF(Metadata!Z383="",FALSE,TRUE)</f>
        <v>0</v>
      </c>
      <c r="BM383">
        <f>OR(AND(IF(Metadata!AA383="",FALSE,TRUE),OR(exact(Metadata!AA383,"not collected"),exact(Metadata!AA383,"not provided"))),AND(IF(Metadata!AA383="",FALSE,IF(ISERROR(INT(Metadata!AA383)),FALSE,INT(Metadata!AA383)=Metadata!AA383)),Metadata!AA383&gt;0))</f>
        <v>0</v>
      </c>
      <c r="BN383">
        <f>AND(IF(Metadata!AB383="",FALSE,TRUE),exact(Metadata!AB383,"Not applicable"))</f>
        <v>0</v>
      </c>
      <c r="BO383">
        <f>IF(Metadata!AC383="",FALSE,TRUE)</f>
        <v>0</v>
      </c>
    </row>
    <row r="384" spans="1:67">
      <c r="A384" s="5">
        <f>IF(B384=" "," ",HYPERLINK(CONCATENATE("#metadata!",ADDRESS(INDEX($AI$2:$AI$1001,MATCH(ROWS($AG$2:AG384),$AG$2:$AG$1001,0),0),1)),INDEX($AL$2:$AL$1001,MATCH(ROWS($AG$2:AG384),$AG$2:$AG$1001,0),0)))</f>
        <v>0</v>
      </c>
      <c r="B384" s="4">
        <f>IF(OR(INDEX($AH$2:$AH$1001,MATCH(ROWS($AG$2:AG384),$AG$2:$AG$1001,0),1)&gt;=100000,INDEX($AN$1005:$BO$1005,1,MATCH(COLUMNS($AN$1006:AN1006),$AN$1006:$BO$1006,0))&gt;=100000), " ",IF(INDEX($AN$2:$BO$1001,MATCH(ROWS($AG$2:AG384),$AG$2:$AG$1001,0),MATCH(COLUMNS($AN$1006:AN1006),$AN$1006:$BO$1006,0)), HYPERLINK("#",""), HYPERLINK(CONCATENATE("#Metadata!", ADDRESS(INDEX($AI$2:$AI$1001,MATCH(ROWS($AG$2:AG384),$AG$2:$AG$1001,0),0), INDEX($AN$1004:$BO$1004,1,MATCH(COLUMNS($AN$1006:AN1006),$AN$1006:$BO$1006,0)))),"Fix")))</f>
        <v>0</v>
      </c>
      <c r="C384" s="4">
        <f>IF(OR(INDEX($AH$2:$AH$1001,MATCH(ROWS($AG$2:AG384),$AG$2:$AG$1001,0),1)&gt;=100000,INDEX($AN$1005:$BO$1005,1,MATCH(COLUMNS($AN$1006:AO1006),$AN$1006:$BO$1006,0))&gt;=100000), " ",IF(INDEX($AN$2:$BO$1001,MATCH(ROWS($AG$2:AG384),$AG$2:$AG$1001,0),MATCH(COLUMNS($AN$1006:AO1006),$AN$1006:$BO$1006,0)), HYPERLINK("#",""), HYPERLINK(CONCATENATE("#Metadata!", ADDRESS(INDEX($AI$2:$AI$1001,MATCH(ROWS($AG$2:AG384),$AG$2:$AG$1001,0),0), INDEX($AN$1004:$BO$1004,1,MATCH(COLUMNS($AN$1006:AO1006),$AN$1006:$BO$1006,0)))),"Fix")))</f>
        <v>0</v>
      </c>
      <c r="D384" s="4">
        <f>IF(OR(INDEX($AH$2:$AH$1001,MATCH(ROWS($AG$2:AG384),$AG$2:$AG$1001,0),1)&gt;=100000,INDEX($AN$1005:$BO$1005,1,MATCH(COLUMNS($AN$1006:AP1006),$AN$1006:$BO$1006,0))&gt;=100000), " ",IF(INDEX($AN$2:$BO$1001,MATCH(ROWS($AG$2:AG384),$AG$2:$AG$1001,0),MATCH(COLUMNS($AN$1006:AP1006),$AN$1006:$BO$1006,0)), HYPERLINK("#",""), HYPERLINK(CONCATENATE("#Metadata!", ADDRESS(INDEX($AI$2:$AI$1001,MATCH(ROWS($AG$2:AG384),$AG$2:$AG$1001,0),0), INDEX($AN$1004:$BO$1004,1,MATCH(COLUMNS($AN$1006:AP1006),$AN$1006:$BO$1006,0)))),"Fix")))</f>
        <v>0</v>
      </c>
      <c r="E384" s="4">
        <f>IF(OR(INDEX($AH$2:$AH$1001,MATCH(ROWS($AG$2:AG384),$AG$2:$AG$1001,0),1)&gt;=100000,INDEX($AN$1005:$BO$1005,1,MATCH(COLUMNS($AN$1006:AQ1006),$AN$1006:$BO$1006,0))&gt;=100000), " ",IF(INDEX($AN$2:$BO$1001,MATCH(ROWS($AG$2:AG384),$AG$2:$AG$1001,0),MATCH(COLUMNS($AN$1006:AQ1006),$AN$1006:$BO$1006,0)), HYPERLINK("#",""), HYPERLINK(CONCATENATE("#Metadata!", ADDRESS(INDEX($AI$2:$AI$1001,MATCH(ROWS($AG$2:AG384),$AG$2:$AG$1001,0),0), INDEX($AN$1004:$BO$1004,1,MATCH(COLUMNS($AN$1006:AQ1006),$AN$1006:$BO$1006,0)))),"Fix")))</f>
        <v>0</v>
      </c>
      <c r="F384" s="4">
        <f>IF(OR(INDEX($AH$2:$AH$1001,MATCH(ROWS($AG$2:AG384),$AG$2:$AG$1001,0),1)&gt;=100000,INDEX($AN$1005:$BO$1005,1,MATCH(COLUMNS($AN$1006:AR1006),$AN$1006:$BO$1006,0))&gt;=100000), " ",IF(INDEX($AN$2:$BO$1001,MATCH(ROWS($AG$2:AG384),$AG$2:$AG$1001,0),MATCH(COLUMNS($AN$1006:AR1006),$AN$1006:$BO$1006,0)), HYPERLINK("#",""), HYPERLINK(CONCATENATE("#Metadata!", ADDRESS(INDEX($AI$2:$AI$1001,MATCH(ROWS($AG$2:AG384),$AG$2:$AG$1001,0),0), INDEX($AN$1004:$BO$1004,1,MATCH(COLUMNS($AN$1006:AR1006),$AN$1006:$BO$1006,0)))),"Fix")))</f>
        <v>0</v>
      </c>
      <c r="G384" s="4">
        <f>IF(OR(INDEX($AH$2:$AH$1001,MATCH(ROWS($AG$2:AG384),$AG$2:$AG$1001,0),1)&gt;=100000,INDEX($AN$1005:$BO$1005,1,MATCH(COLUMNS($AN$1006:AS1006),$AN$1006:$BO$1006,0))&gt;=100000), " ",IF(INDEX($AN$2:$BO$1001,MATCH(ROWS($AG$2:AG384),$AG$2:$AG$1001,0),MATCH(COLUMNS($AN$1006:AS1006),$AN$1006:$BO$1006,0)), HYPERLINK("#",""), HYPERLINK(CONCATENATE("#Metadata!", ADDRESS(INDEX($AI$2:$AI$1001,MATCH(ROWS($AG$2:AG384),$AG$2:$AG$1001,0),0), INDEX($AN$1004:$BO$1004,1,MATCH(COLUMNS($AN$1006:AS1006),$AN$1006:$BO$1006,0)))),"Fix")))</f>
        <v>0</v>
      </c>
      <c r="H384" s="4">
        <f>IF(OR(INDEX($AH$2:$AH$1001,MATCH(ROWS($AG$2:AG384),$AG$2:$AG$1001,0),1)&gt;=100000,INDEX($AN$1005:$BO$1005,1,MATCH(COLUMNS($AN$1006:AT1006),$AN$1006:$BO$1006,0))&gt;=100000), " ",IF(INDEX($AN$2:$BO$1001,MATCH(ROWS($AG$2:AG384),$AG$2:$AG$1001,0),MATCH(COLUMNS($AN$1006:AT1006),$AN$1006:$BO$1006,0)), HYPERLINK("#",""), HYPERLINK(CONCATENATE("#Metadata!", ADDRESS(INDEX($AI$2:$AI$1001,MATCH(ROWS($AG$2:AG384),$AG$2:$AG$1001,0),0), INDEX($AN$1004:$BO$1004,1,MATCH(COLUMNS($AN$1006:AT1006),$AN$1006:$BO$1006,0)))),"Fix")))</f>
        <v>0</v>
      </c>
      <c r="I384" s="4">
        <f>IF(OR(INDEX($AH$2:$AH$1001,MATCH(ROWS($AG$2:AG384),$AG$2:$AG$1001,0),1)&gt;=100000,INDEX($AN$1005:$BO$1005,1,MATCH(COLUMNS($AN$1006:AU1006),$AN$1006:$BO$1006,0))&gt;=100000), " ",IF(INDEX($AN$2:$BO$1001,MATCH(ROWS($AG$2:AG384),$AG$2:$AG$1001,0),MATCH(COLUMNS($AN$1006:AU1006),$AN$1006:$BO$1006,0)), HYPERLINK("#",""), HYPERLINK(CONCATENATE("#Metadata!", ADDRESS(INDEX($AI$2:$AI$1001,MATCH(ROWS($AG$2:AG384),$AG$2:$AG$1001,0),0), INDEX($AN$1004:$BO$1004,1,MATCH(COLUMNS($AN$1006:AU1006),$AN$1006:$BO$1006,0)))),"Fix")))</f>
        <v>0</v>
      </c>
      <c r="J384" s="4">
        <f>IF(OR(INDEX($AH$2:$AH$1001,MATCH(ROWS($AG$2:AG384),$AG$2:$AG$1001,0),1)&gt;=100000,INDEX($AN$1005:$BO$1005,1,MATCH(COLUMNS($AN$1006:AV1006),$AN$1006:$BO$1006,0))&gt;=100000), " ",IF(INDEX($AN$2:$BO$1001,MATCH(ROWS($AG$2:AG384),$AG$2:$AG$1001,0),MATCH(COLUMNS($AN$1006:AV1006),$AN$1006:$BO$1006,0)), HYPERLINK("#",""), HYPERLINK(CONCATENATE("#Metadata!", ADDRESS(INDEX($AI$2:$AI$1001,MATCH(ROWS($AG$2:AG384),$AG$2:$AG$1001,0),0), INDEX($AN$1004:$BO$1004,1,MATCH(COLUMNS($AN$1006:AV1006),$AN$1006:$BO$1006,0)))),"Fix")))</f>
        <v>0</v>
      </c>
      <c r="K384" s="4">
        <f>IF(OR(INDEX($AH$2:$AH$1001,MATCH(ROWS($AG$2:AG384),$AG$2:$AG$1001,0),1)&gt;=100000,INDEX($AN$1005:$BO$1005,1,MATCH(COLUMNS($AN$1006:AW1006),$AN$1006:$BO$1006,0))&gt;=100000), " ",IF(INDEX($AN$2:$BO$1001,MATCH(ROWS($AG$2:AG384),$AG$2:$AG$1001,0),MATCH(COLUMNS($AN$1006:AW1006),$AN$1006:$BO$1006,0)), HYPERLINK("#",""), HYPERLINK(CONCATENATE("#Metadata!", ADDRESS(INDEX($AI$2:$AI$1001,MATCH(ROWS($AG$2:AG384),$AG$2:$AG$1001,0),0), INDEX($AN$1004:$BO$1004,1,MATCH(COLUMNS($AN$1006:AW1006),$AN$1006:$BO$1006,0)))),"Fix")))</f>
        <v>0</v>
      </c>
      <c r="L384" s="4">
        <f>IF(OR(INDEX($AH$2:$AH$1001,MATCH(ROWS($AG$2:AG384),$AG$2:$AG$1001,0),1)&gt;=100000,INDEX($AN$1005:$BO$1005,1,MATCH(COLUMNS($AN$1006:AX1006),$AN$1006:$BO$1006,0))&gt;=100000), " ",IF(INDEX($AN$2:$BO$1001,MATCH(ROWS($AG$2:AG384),$AG$2:$AG$1001,0),MATCH(COLUMNS($AN$1006:AX1006),$AN$1006:$BO$1006,0)), HYPERLINK("#",""), HYPERLINK(CONCATENATE("#Metadata!", ADDRESS(INDEX($AI$2:$AI$1001,MATCH(ROWS($AG$2:AG384),$AG$2:$AG$1001,0),0), INDEX($AN$1004:$BO$1004,1,MATCH(COLUMNS($AN$1006:AX1006),$AN$1006:$BO$1006,0)))),"Fix")))</f>
        <v>0</v>
      </c>
      <c r="M384" s="4">
        <f>IF(OR(INDEX($AH$2:$AH$1001,MATCH(ROWS($AG$2:AG384),$AG$2:$AG$1001,0),1)&gt;=100000,INDEX($AN$1005:$BO$1005,1,MATCH(COLUMNS($AN$1006:AY1006),$AN$1006:$BO$1006,0))&gt;=100000), " ",IF(INDEX($AN$2:$BO$1001,MATCH(ROWS($AG$2:AG384),$AG$2:$AG$1001,0),MATCH(COLUMNS($AN$1006:AY1006),$AN$1006:$BO$1006,0)), HYPERLINK("#",""), HYPERLINK(CONCATENATE("#Metadata!", ADDRESS(INDEX($AI$2:$AI$1001,MATCH(ROWS($AG$2:AG384),$AG$2:$AG$1001,0),0), INDEX($AN$1004:$BO$1004,1,MATCH(COLUMNS($AN$1006:AY1006),$AN$1006:$BO$1006,0)))),"Fix")))</f>
        <v>0</v>
      </c>
      <c r="N384" s="4">
        <f>IF(OR(INDEX($AH$2:$AH$1001,MATCH(ROWS($AG$2:AG384),$AG$2:$AG$1001,0),1)&gt;=100000,INDEX($AN$1005:$BO$1005,1,MATCH(COLUMNS($AN$1006:AZ1006),$AN$1006:$BO$1006,0))&gt;=100000), " ",IF(INDEX($AN$2:$BO$1001,MATCH(ROWS($AG$2:AG384),$AG$2:$AG$1001,0),MATCH(COLUMNS($AN$1006:AZ1006),$AN$1006:$BO$1006,0)), HYPERLINK("#",""), HYPERLINK(CONCATENATE("#Metadata!", ADDRESS(INDEX($AI$2:$AI$1001,MATCH(ROWS($AG$2:AG384),$AG$2:$AG$1001,0),0), INDEX($AN$1004:$BO$1004,1,MATCH(COLUMNS($AN$1006:AZ1006),$AN$1006:$BO$1006,0)))),"Fix")))</f>
        <v>0</v>
      </c>
      <c r="O384" s="4">
        <f>IF(OR(INDEX($AH$2:$AH$1001,MATCH(ROWS($AG$2:AG384),$AG$2:$AG$1001,0),1)&gt;=100000,INDEX($AN$1005:$BO$1005,1,MATCH(COLUMNS($AN$1006:BA1006),$AN$1006:$BO$1006,0))&gt;=100000), " ",IF(INDEX($AN$2:$BO$1001,MATCH(ROWS($AG$2:AG384),$AG$2:$AG$1001,0),MATCH(COLUMNS($AN$1006:BA1006),$AN$1006:$BO$1006,0)), HYPERLINK("#",""), HYPERLINK(CONCATENATE("#Metadata!", ADDRESS(INDEX($AI$2:$AI$1001,MATCH(ROWS($AG$2:AG384),$AG$2:$AG$1001,0),0), INDEX($AN$1004:$BO$1004,1,MATCH(COLUMNS($AN$1006:BA1006),$AN$1006:$BO$1006,0)))),"Fix")))</f>
        <v>0</v>
      </c>
      <c r="P384" s="4">
        <f>IF(OR(INDEX($AH$2:$AH$1001,MATCH(ROWS($AG$2:AG384),$AG$2:$AG$1001,0),1)&gt;=100000,INDEX($AN$1005:$BO$1005,1,MATCH(COLUMNS($AN$1006:BB1006),$AN$1006:$BO$1006,0))&gt;=100000), " ",IF(INDEX($AN$2:$BO$1001,MATCH(ROWS($AG$2:AG384),$AG$2:$AG$1001,0),MATCH(COLUMNS($AN$1006:BB1006),$AN$1006:$BO$1006,0)), HYPERLINK("#",""), HYPERLINK(CONCATENATE("#Metadata!", ADDRESS(INDEX($AI$2:$AI$1001,MATCH(ROWS($AG$2:AG384),$AG$2:$AG$1001,0),0), INDEX($AN$1004:$BO$1004,1,MATCH(COLUMNS($AN$1006:BB1006),$AN$1006:$BO$1006,0)))),"Fix")))</f>
        <v>0</v>
      </c>
      <c r="Q384" s="4">
        <f>IF(OR(INDEX($AH$2:$AH$1001,MATCH(ROWS($AG$2:AG384),$AG$2:$AG$1001,0),1)&gt;=100000,INDEX($AN$1005:$BO$1005,1,MATCH(COLUMNS($AN$1006:BC1006),$AN$1006:$BO$1006,0))&gt;=100000), " ",IF(INDEX($AN$2:$BO$1001,MATCH(ROWS($AG$2:AG384),$AG$2:$AG$1001,0),MATCH(COLUMNS($AN$1006:BC1006),$AN$1006:$BO$1006,0)), HYPERLINK("#",""), HYPERLINK(CONCATENATE("#Metadata!", ADDRESS(INDEX($AI$2:$AI$1001,MATCH(ROWS($AG$2:AG384),$AG$2:$AG$1001,0),0), INDEX($AN$1004:$BO$1004,1,MATCH(COLUMNS($AN$1006:BC1006),$AN$1006:$BO$1006,0)))),"Fix")))</f>
        <v>0</v>
      </c>
      <c r="R384" s="4">
        <f>IF(OR(INDEX($AH$2:$AH$1001,MATCH(ROWS($AG$2:AG384),$AG$2:$AG$1001,0),1)&gt;=100000,INDEX($AN$1005:$BO$1005,1,MATCH(COLUMNS($AN$1006:BD1006),$AN$1006:$BO$1006,0))&gt;=100000), " ",IF(INDEX($AN$2:$BO$1001,MATCH(ROWS($AG$2:AG384),$AG$2:$AG$1001,0),MATCH(COLUMNS($AN$1006:BD1006),$AN$1006:$BO$1006,0)), HYPERLINK("#",""), HYPERLINK(CONCATENATE("#Metadata!", ADDRESS(INDEX($AI$2:$AI$1001,MATCH(ROWS($AG$2:AG384),$AG$2:$AG$1001,0),0), INDEX($AN$1004:$BO$1004,1,MATCH(COLUMNS($AN$1006:BD1006),$AN$1006:$BO$1006,0)))),"Fix")))</f>
        <v>0</v>
      </c>
      <c r="S384" s="4">
        <f>IF(OR(INDEX($AH$2:$AH$1001,MATCH(ROWS($AG$2:AG384),$AG$2:$AG$1001,0),1)&gt;=100000,INDEX($AN$1005:$BO$1005,1,MATCH(COLUMNS($AN$1006:BE1006),$AN$1006:$BO$1006,0))&gt;=100000), " ",IF(INDEX($AN$2:$BO$1001,MATCH(ROWS($AG$2:AG384),$AG$2:$AG$1001,0),MATCH(COLUMNS($AN$1006:BE1006),$AN$1006:$BO$1006,0)), HYPERLINK("#",""), HYPERLINK(CONCATENATE("#Metadata!", ADDRESS(INDEX($AI$2:$AI$1001,MATCH(ROWS($AG$2:AG384),$AG$2:$AG$1001,0),0), INDEX($AN$1004:$BO$1004,1,MATCH(COLUMNS($AN$1006:BE1006),$AN$1006:$BO$1006,0)))),"Fix")))</f>
        <v>0</v>
      </c>
      <c r="T384" s="4">
        <f>IF(OR(INDEX($AH$2:$AH$1001,MATCH(ROWS($AG$2:AG384),$AG$2:$AG$1001,0),1)&gt;=100000,INDEX($AN$1005:$BO$1005,1,MATCH(COLUMNS($AN$1006:BF1006),$AN$1006:$BO$1006,0))&gt;=100000), " ",IF(INDEX($AN$2:$BO$1001,MATCH(ROWS($AG$2:AG384),$AG$2:$AG$1001,0),MATCH(COLUMNS($AN$1006:BF1006),$AN$1006:$BO$1006,0)), HYPERLINK("#",""), HYPERLINK(CONCATENATE("#Metadata!", ADDRESS(INDEX($AI$2:$AI$1001,MATCH(ROWS($AG$2:AG384),$AG$2:$AG$1001,0),0), INDEX($AN$1004:$BO$1004,1,MATCH(COLUMNS($AN$1006:BF1006),$AN$1006:$BO$1006,0)))),"Fix")))</f>
        <v>0</v>
      </c>
      <c r="U384" s="4">
        <f>IF(OR(INDEX($AH$2:$AH$1001,MATCH(ROWS($AG$2:AG384),$AG$2:$AG$1001,0),1)&gt;=100000,INDEX($AN$1005:$BO$1005,1,MATCH(COLUMNS($AN$1006:BG1006),$AN$1006:$BO$1006,0))&gt;=100000), " ",IF(INDEX($AN$2:$BO$1001,MATCH(ROWS($AG$2:AG384),$AG$2:$AG$1001,0),MATCH(COLUMNS($AN$1006:BG1006),$AN$1006:$BO$1006,0)), HYPERLINK("#",""), HYPERLINK(CONCATENATE("#Metadata!", ADDRESS(INDEX($AI$2:$AI$1001,MATCH(ROWS($AG$2:AG384),$AG$2:$AG$1001,0),0), INDEX($AN$1004:$BO$1004,1,MATCH(COLUMNS($AN$1006:BG1006),$AN$1006:$BO$1006,0)))),"Fix")))</f>
        <v>0</v>
      </c>
      <c r="V384" s="4">
        <f>IF(OR(INDEX($AH$2:$AH$1001,MATCH(ROWS($AG$2:AG384),$AG$2:$AG$1001,0),1)&gt;=100000,INDEX($AN$1005:$BO$1005,1,MATCH(COLUMNS($AN$1006:BH1006),$AN$1006:$BO$1006,0))&gt;=100000), " ",IF(INDEX($AN$2:$BO$1001,MATCH(ROWS($AG$2:AG384),$AG$2:$AG$1001,0),MATCH(COLUMNS($AN$1006:BH1006),$AN$1006:$BO$1006,0)), HYPERLINK("#",""), HYPERLINK(CONCATENATE("#Metadata!", ADDRESS(INDEX($AI$2:$AI$1001,MATCH(ROWS($AG$2:AG384),$AG$2:$AG$1001,0),0), INDEX($AN$1004:$BO$1004,1,MATCH(COLUMNS($AN$1006:BH1006),$AN$1006:$BO$1006,0)))),"Fix")))</f>
        <v>0</v>
      </c>
      <c r="W384" s="4">
        <f>IF(OR(INDEX($AH$2:$AH$1001,MATCH(ROWS($AG$2:AG384),$AG$2:$AG$1001,0),1)&gt;=100000,INDEX($AN$1005:$BO$1005,1,MATCH(COLUMNS($AN$1006:BI1006),$AN$1006:$BO$1006,0))&gt;=100000), " ",IF(INDEX($AN$2:$BO$1001,MATCH(ROWS($AG$2:AG384),$AG$2:$AG$1001,0),MATCH(COLUMNS($AN$1006:BI1006),$AN$1006:$BO$1006,0)), HYPERLINK("#",""), HYPERLINK(CONCATENATE("#Metadata!", ADDRESS(INDEX($AI$2:$AI$1001,MATCH(ROWS($AG$2:AG384),$AG$2:$AG$1001,0),0), INDEX($AN$1004:$BO$1004,1,MATCH(COLUMNS($AN$1006:BI1006),$AN$1006:$BO$1006,0)))),"Fix")))</f>
        <v>0</v>
      </c>
      <c r="X384" s="4">
        <f>IF(OR(INDEX($AH$2:$AH$1001,MATCH(ROWS($AG$2:AG384),$AG$2:$AG$1001,0),1)&gt;=100000,INDEX($AN$1005:$BO$1005,1,MATCH(COLUMNS($AN$1006:BJ1006),$AN$1006:$BO$1006,0))&gt;=100000), " ",IF(INDEX($AN$2:$BO$1001,MATCH(ROWS($AG$2:AG384),$AG$2:$AG$1001,0),MATCH(COLUMNS($AN$1006:BJ1006),$AN$1006:$BO$1006,0)), HYPERLINK("#",""), HYPERLINK(CONCATENATE("#Metadata!", ADDRESS(INDEX($AI$2:$AI$1001,MATCH(ROWS($AG$2:AG384),$AG$2:$AG$1001,0),0), INDEX($AN$1004:$BO$1004,1,MATCH(COLUMNS($AN$1006:BJ1006),$AN$1006:$BO$1006,0)))),"Fix")))</f>
        <v>0</v>
      </c>
      <c r="Y384" s="4">
        <f>IF(OR(INDEX($AH$2:$AH$1001,MATCH(ROWS($AG$2:AG384),$AG$2:$AG$1001,0),1)&gt;=100000,INDEX($AN$1005:$BO$1005,1,MATCH(COLUMNS($AN$1006:BK1006),$AN$1006:$BO$1006,0))&gt;=100000), " ",IF(INDEX($AN$2:$BO$1001,MATCH(ROWS($AG$2:AG384),$AG$2:$AG$1001,0),MATCH(COLUMNS($AN$1006:BK1006),$AN$1006:$BO$1006,0)), HYPERLINK("#",""), HYPERLINK(CONCATENATE("#Metadata!", ADDRESS(INDEX($AI$2:$AI$1001,MATCH(ROWS($AG$2:AG384),$AG$2:$AG$1001,0),0), INDEX($AN$1004:$BO$1004,1,MATCH(COLUMNS($AN$1006:BK1006),$AN$1006:$BO$1006,0)))),"Fix")))</f>
        <v>0</v>
      </c>
      <c r="Z384" s="4">
        <f>IF(OR(INDEX($AH$2:$AH$1001,MATCH(ROWS($AG$2:AG384),$AG$2:$AG$1001,0),1)&gt;=100000,INDEX($AN$1005:$BO$1005,1,MATCH(COLUMNS($AN$1006:BL1006),$AN$1006:$BO$1006,0))&gt;=100000), " ",IF(INDEX($AN$2:$BO$1001,MATCH(ROWS($AG$2:AG384),$AG$2:$AG$1001,0),MATCH(COLUMNS($AN$1006:BL1006),$AN$1006:$BO$1006,0)), HYPERLINK("#",""), HYPERLINK(CONCATENATE("#Metadata!", ADDRESS(INDEX($AI$2:$AI$1001,MATCH(ROWS($AG$2:AG384),$AG$2:$AG$1001,0),0), INDEX($AN$1004:$BO$1004,1,MATCH(COLUMNS($AN$1006:BL1006),$AN$1006:$BO$1006,0)))),"Fix")))</f>
        <v>0</v>
      </c>
      <c r="AA384" s="4">
        <f>IF(OR(INDEX($AH$2:$AH$1001,MATCH(ROWS($AG$2:AG384),$AG$2:$AG$1001,0),1)&gt;=100000,INDEX($AN$1005:$BO$1005,1,MATCH(COLUMNS($AN$1006:BM1006),$AN$1006:$BO$1006,0))&gt;=100000), " ",IF(INDEX($AN$2:$BO$1001,MATCH(ROWS($AG$2:AG384),$AG$2:$AG$1001,0),MATCH(COLUMNS($AN$1006:BM1006),$AN$1006:$BO$1006,0)), HYPERLINK("#",""), HYPERLINK(CONCATENATE("#Metadata!", ADDRESS(INDEX($AI$2:$AI$1001,MATCH(ROWS($AG$2:AG384),$AG$2:$AG$1001,0),0), INDEX($AN$1004:$BO$1004,1,MATCH(COLUMNS($AN$1006:BM1006),$AN$1006:$BO$1006,0)))),"Fix")))</f>
        <v>0</v>
      </c>
      <c r="AB384" s="4">
        <f>IF(OR(INDEX($AH$2:$AH$1001,MATCH(ROWS($AG$2:AG384),$AG$2:$AG$1001,0),1)&gt;=100000,INDEX($AN$1005:$BO$1005,1,MATCH(COLUMNS($AN$1006:BN1006),$AN$1006:$BO$1006,0))&gt;=100000), " ",IF(INDEX($AN$2:$BO$1001,MATCH(ROWS($AG$2:AG384),$AG$2:$AG$1001,0),MATCH(COLUMNS($AN$1006:BN1006),$AN$1006:$BO$1006,0)), HYPERLINK("#",""), HYPERLINK(CONCATENATE("#Metadata!", ADDRESS(INDEX($AI$2:$AI$1001,MATCH(ROWS($AG$2:AG384),$AG$2:$AG$1001,0),0), INDEX($AN$1004:$BO$1004,1,MATCH(COLUMNS($AN$1006:BN1006),$AN$1006:$BO$1006,0)))),"Fix")))</f>
        <v>0</v>
      </c>
      <c r="AC384" s="4">
        <f>IF(OR(INDEX($AH$2:$AH$1001,MATCH(ROWS($AG$2:AG384),$AG$2:$AG$1001,0),1)&gt;=100000,INDEX($AN$1005:$BO$1005,1,MATCH(COLUMNS($AN$1006:BO1006),$AN$1006:$BO$1006,0))&gt;=100000), " ",IF(INDEX($AN$2:$BO$1001,MATCH(ROWS($AG$2:AG384),$AG$2:$AG$1001,0),MATCH(COLUMNS($AN$1006:BO1006),$AN$1006:$BO$1006,0)), HYPERLINK("#",""), HYPERLINK(CONCATENATE("#Metadata!", ADDRESS(INDEX($AI$2:$AI$1001,MATCH(ROWS($AG$2:AG384),$AG$2:$AG$1001,0),0), INDEX($AN$1004:$BO$1004,1,MATCH(COLUMNS($AN$1006:BO1006),$AN$1006:$BO$1006,0)))),"Fix")))</f>
        <v>0</v>
      </c>
      <c r="AG384">
        <v>0</v>
      </c>
      <c r="AH384">
        <v>0</v>
      </c>
      <c r="AI384">
        <v>0</v>
      </c>
      <c r="AJ384">
        <f>IF(AK384,TRUE,AND(AN384:BO384))</f>
        <v>0</v>
      </c>
      <c r="AK384">
        <f>COUNTBLANK(Metadata!B384:AC384)=COLUMNS(Metadata!B384:AC384)</f>
        <v>0</v>
      </c>
      <c r="AL384">
        <v>0</v>
      </c>
      <c r="AN384">
        <f>AND(IF(Metadata!B384="",FALSE,TRUE),COUNTIF(Metadata!B:B, Metadata!B384) = 1,NOT(ISERROR(SUMPRODUCT(SEARCH(MID(Metadata!B384,ROW(INDIRECT("1:"&amp;LEN(Metadata!B384))), 1),"0123456789abcdefghijklmnopqrstuvwxyzABCDEFGHIJKLMNOPQRSTUVWXYZ.")))))</f>
        <v>0</v>
      </c>
      <c r="AO384">
        <f>IF(Metadata!C384="",FALSE,TRUE)</f>
        <v>0</v>
      </c>
      <c r="AP384">
        <f>IF(Metadata!D384="",FALSE,TRUE)</f>
        <v>0</v>
      </c>
      <c r="AQ384">
        <f>OR(AND(IF(Metadata!E384="",FALSE,TRUE),OR(exact(Metadata!E384,"not collected"),exact(Metadata!E384,"not provided"),exact(Metadata!E384,"restricted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R384">
        <f>IF(Metadata!F384="",FALSE,TRUE)</f>
        <v>0</v>
      </c>
      <c r="AS384">
        <f>OR(AND(IF(Metadata!G384="",FALSE,TRUE),OR(exact(Metadata!G384,"not collected"),exact(Metadata!G384,"not provided"))),AND(IF(Metadata!G384="",FALSE,TRUE),OR(exact(Metadata!G384,"TRUE"),exact(Metadata!G384,"FALSE"))))</f>
        <v>0</v>
      </c>
      <c r="AT384">
        <f>OR(AND(IF(Metadata!H384="",FALSE,TRUE),OR(exact(Metadata!H384,"not collected"),exact(Metadata!H384,"not provided"),exact(Metadata!H384,"restricted access"))),AND(IF(Metadata!H384="",FALSE,ISNUMBER(VALUE(Metadata!H384))),Metadata!H384&gt;=-413.0))</f>
        <v>0</v>
      </c>
      <c r="AU384">
        <f>AND(IF(Metadata!I384="",FALSE,TRUE),exact(Metadata!I384,"meters"))</f>
        <v>0</v>
      </c>
      <c r="AV384">
        <f>AND(IF(Metadata!J384="",FALSE,TRUE),OR(exact(Metadata!J384,"Host-associated"),exact(Metadata!J384,"Free-living")))</f>
        <v>0</v>
      </c>
      <c r="AW384">
        <f>AND(IF(Metadata!K384="",FALSE,TRUE),OR(exact(Metadata!K384,"Animal"),exact(Metadata!K384,"Fungus"),exact(Metadata!K384,"Plant"),exact(Metadata!K384,"Saline"),exact(Metadata!K384,"Non-saline")))</f>
        <v>0</v>
      </c>
      <c r="AX384">
        <f>AND(IF(Metadata!L384="",FALSE,TRUE),OR(exact(Metadata!L384,"Plant secretion"),exact(Metadata!L384,"Plant rhizosphere"),exact(Metadata!L384,"Plant surface"),exact(Metadata!L384,"Plant corpus"),exact(Metadata!L384,"Fungus surface"),exact(Metadata!L384,"Fungus corpus"),exact(Metadata!L384,"Animal surface"),exact(Metadata!L384,"Animal proximal gut"),exact(Metadata!L384,"Animal corpus"),exact(Metadata!L384,"Animal distal gut"),exact(Metadata!L384,"Animal secretion"),exact(Metadata!L384,"Sub-surface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Y384">
        <f>IF(Metadata!M384="",FALSE,TRUE)</f>
        <v>0</v>
      </c>
      <c r="AZ384">
        <f>IF(Metadata!N384="",FALSE,TRUE)</f>
        <v>0</v>
      </c>
      <c r="BA384">
        <f>IF(Metadata!O384="",FALSE,TRUE)</f>
        <v>0</v>
      </c>
      <c r="BB384">
        <f>OR(AND(IF(Metadata!P384="",FALSE,TRUE),OR(exact(Metadata!P384,"not collected"),exact(Metadata!P384,"not provided"),exact(Metadata!P384,"restricted access"))),AND(IF(Metadata!P384="",FALSE,TRUE),OR(exact(Metadata!P384,"air"),exact(Metadata!P384,"built environment"),exact(Metadata!P384,"host-associated"),exact(Metadata!P384,"human-associated"),exact(Metadata!P384,"human-skin"),exact(Metadata!P384,"human-oral"),exact(Metadata!P384,"human-gut"),exact(Metadata!P384,"human-vaginal"),exact(Metadata!P384,"microbial mat/biofilm"),exact(Metadata!P384,"misc environment"),exact(Metadata!P384,"plant-associated"),exact(Metadata!P384,"sediment"),exact(Metadata!P384,"soil"),exact(Metadata!P384,"wastewater/sludge"),exact(Metadata!P384,"water"))))</f>
        <v>0</v>
      </c>
      <c r="BC384">
        <f>IF(Metadata!Q384="",FALSE,TRUE)</f>
        <v>0</v>
      </c>
      <c r="BD384">
        <f>IF(Metadata!R384="",FALSE,TRUE)</f>
        <v>0</v>
      </c>
      <c r="BE384">
        <f>OR(AND(IF(Metadata!S384="",FALSE,TRUE),OR(exact(Metadata!S384,"not collected"),exact(Metadata!S384,"not provided"),exact(Metadata!S384,"restricted access"))),AND(IF(Metadata!S384="",FALSE,ISNUMBER(VALUE(Metadata!S384))),Metadata!S384&gt;=-90.00,Metadata!S384&lt;=90.00))</f>
        <v>0</v>
      </c>
      <c r="BF384">
        <f>AND(IF(Metadata!T384="",FALSE,TRUE),exact(Metadata!T384,"Decimal degrees"))</f>
        <v>0</v>
      </c>
      <c r="BG384">
        <f>OR(AND(IF(Metadata!U384="",FALSE,TRUE),OR(exact(Metadata!U384,"not collected"),exact(Metadata!U384,"not provided"),exact(Metadata!U384,"restricted access"))),AND(IF(Metadata!U384="",FALSE,ISNUMBER(VALUE(Metadata!U384))),Metadata!U384&gt;=-180.00,Metadata!U384&lt;=180.00))</f>
        <v>0</v>
      </c>
      <c r="BH384">
        <f>AND(IF(Metadata!V384="",FALSE,TRUE),exact(Metadata!V384,"Decimal degrees"))</f>
        <v>0</v>
      </c>
      <c r="BI384">
        <f>IF(Metadata!W384="",FALSE,TRUE)</f>
        <v>0</v>
      </c>
      <c r="BJ384">
        <f>OR(AND(IF(Metadata!X384="",FALSE,TRUE),OR(exact(Metadata!X384,"not collected"),exact(Metadata!X384,"not provided"),exact(Metadata!X384,"restricted access"))),AND(IF(Metadata!X384="",FALSE,TRUE),OR(exact(Metadata!X384,"TRUE"),exact(Metadata!X384,"FALSE"))))</f>
        <v>0</v>
      </c>
      <c r="BK384">
        <f>AND(IF(Metadata!Y384="",FALSE,TRUE),exact(Metadata!Y384,"other"))</f>
        <v>0</v>
      </c>
      <c r="BL384">
        <f>IF(Metadata!Z384="",FALSE,TRUE)</f>
        <v>0</v>
      </c>
      <c r="BM384">
        <f>OR(AND(IF(Metadata!AA384="",FALSE,TRUE),OR(exact(Metadata!AA384,"not collected"),exact(Metadata!AA384,"not provided"))),AND(IF(Metadata!AA384="",FALSE,IF(ISERROR(INT(Metadata!AA384)),FALSE,INT(Metadata!AA384)=Metadata!AA384)),Metadata!AA384&gt;0))</f>
        <v>0</v>
      </c>
      <c r="BN384">
        <f>AND(IF(Metadata!AB384="",FALSE,TRUE),exact(Metadata!AB384,"Not applicable"))</f>
        <v>0</v>
      </c>
      <c r="BO384">
        <f>IF(Metadata!AC384="",FALSE,TRUE)</f>
        <v>0</v>
      </c>
    </row>
    <row r="385" spans="1:67">
      <c r="A385" s="5">
        <f>IF(B385=" "," ",HYPERLINK(CONCATENATE("#metadata!",ADDRESS(INDEX($AI$2:$AI$1001,MATCH(ROWS($AG$2:AG385),$AG$2:$AG$1001,0),0),1)),INDEX($AL$2:$AL$1001,MATCH(ROWS($AG$2:AG385),$AG$2:$AG$1001,0),0)))</f>
        <v>0</v>
      </c>
      <c r="B385" s="4">
        <f>IF(OR(INDEX($AH$2:$AH$1001,MATCH(ROWS($AG$2:AG385),$AG$2:$AG$1001,0),1)&gt;=100000,INDEX($AN$1005:$BO$1005,1,MATCH(COLUMNS($AN$1006:AN1006),$AN$1006:$BO$1006,0))&gt;=100000), " ",IF(INDEX($AN$2:$BO$1001,MATCH(ROWS($AG$2:AG385),$AG$2:$AG$1001,0),MATCH(COLUMNS($AN$1006:AN1006),$AN$1006:$BO$1006,0)), HYPERLINK("#",""), HYPERLINK(CONCATENATE("#Metadata!", ADDRESS(INDEX($AI$2:$AI$1001,MATCH(ROWS($AG$2:AG385),$AG$2:$AG$1001,0),0), INDEX($AN$1004:$BO$1004,1,MATCH(COLUMNS($AN$1006:AN1006),$AN$1006:$BO$1006,0)))),"Fix")))</f>
        <v>0</v>
      </c>
      <c r="C385" s="4">
        <f>IF(OR(INDEX($AH$2:$AH$1001,MATCH(ROWS($AG$2:AG385),$AG$2:$AG$1001,0),1)&gt;=100000,INDEX($AN$1005:$BO$1005,1,MATCH(COLUMNS($AN$1006:AO1006),$AN$1006:$BO$1006,0))&gt;=100000), " ",IF(INDEX($AN$2:$BO$1001,MATCH(ROWS($AG$2:AG385),$AG$2:$AG$1001,0),MATCH(COLUMNS($AN$1006:AO1006),$AN$1006:$BO$1006,0)), HYPERLINK("#",""), HYPERLINK(CONCATENATE("#Metadata!", ADDRESS(INDEX($AI$2:$AI$1001,MATCH(ROWS($AG$2:AG385),$AG$2:$AG$1001,0),0), INDEX($AN$1004:$BO$1004,1,MATCH(COLUMNS($AN$1006:AO1006),$AN$1006:$BO$1006,0)))),"Fix")))</f>
        <v>0</v>
      </c>
      <c r="D385" s="4">
        <f>IF(OR(INDEX($AH$2:$AH$1001,MATCH(ROWS($AG$2:AG385),$AG$2:$AG$1001,0),1)&gt;=100000,INDEX($AN$1005:$BO$1005,1,MATCH(COLUMNS($AN$1006:AP1006),$AN$1006:$BO$1006,0))&gt;=100000), " ",IF(INDEX($AN$2:$BO$1001,MATCH(ROWS($AG$2:AG385),$AG$2:$AG$1001,0),MATCH(COLUMNS($AN$1006:AP1006),$AN$1006:$BO$1006,0)), HYPERLINK("#",""), HYPERLINK(CONCATENATE("#Metadata!", ADDRESS(INDEX($AI$2:$AI$1001,MATCH(ROWS($AG$2:AG385),$AG$2:$AG$1001,0),0), INDEX($AN$1004:$BO$1004,1,MATCH(COLUMNS($AN$1006:AP1006),$AN$1006:$BO$1006,0)))),"Fix")))</f>
        <v>0</v>
      </c>
      <c r="E385" s="4">
        <f>IF(OR(INDEX($AH$2:$AH$1001,MATCH(ROWS($AG$2:AG385),$AG$2:$AG$1001,0),1)&gt;=100000,INDEX($AN$1005:$BO$1005,1,MATCH(COLUMNS($AN$1006:AQ1006),$AN$1006:$BO$1006,0))&gt;=100000), " ",IF(INDEX($AN$2:$BO$1001,MATCH(ROWS($AG$2:AG385),$AG$2:$AG$1001,0),MATCH(COLUMNS($AN$1006:AQ1006),$AN$1006:$BO$1006,0)), HYPERLINK("#",""), HYPERLINK(CONCATENATE("#Metadata!", ADDRESS(INDEX($AI$2:$AI$1001,MATCH(ROWS($AG$2:AG385),$AG$2:$AG$1001,0),0), INDEX($AN$1004:$BO$1004,1,MATCH(COLUMNS($AN$1006:AQ1006),$AN$1006:$BO$1006,0)))),"Fix")))</f>
        <v>0</v>
      </c>
      <c r="F385" s="4">
        <f>IF(OR(INDEX($AH$2:$AH$1001,MATCH(ROWS($AG$2:AG385),$AG$2:$AG$1001,0),1)&gt;=100000,INDEX($AN$1005:$BO$1005,1,MATCH(COLUMNS($AN$1006:AR1006),$AN$1006:$BO$1006,0))&gt;=100000), " ",IF(INDEX($AN$2:$BO$1001,MATCH(ROWS($AG$2:AG385),$AG$2:$AG$1001,0),MATCH(COLUMNS($AN$1006:AR1006),$AN$1006:$BO$1006,0)), HYPERLINK("#",""), HYPERLINK(CONCATENATE("#Metadata!", ADDRESS(INDEX($AI$2:$AI$1001,MATCH(ROWS($AG$2:AG385),$AG$2:$AG$1001,0),0), INDEX($AN$1004:$BO$1004,1,MATCH(COLUMNS($AN$1006:AR1006),$AN$1006:$BO$1006,0)))),"Fix")))</f>
        <v>0</v>
      </c>
      <c r="G385" s="4">
        <f>IF(OR(INDEX($AH$2:$AH$1001,MATCH(ROWS($AG$2:AG385),$AG$2:$AG$1001,0),1)&gt;=100000,INDEX($AN$1005:$BO$1005,1,MATCH(COLUMNS($AN$1006:AS1006),$AN$1006:$BO$1006,0))&gt;=100000), " ",IF(INDEX($AN$2:$BO$1001,MATCH(ROWS($AG$2:AG385),$AG$2:$AG$1001,0),MATCH(COLUMNS($AN$1006:AS1006),$AN$1006:$BO$1006,0)), HYPERLINK("#",""), HYPERLINK(CONCATENATE("#Metadata!", ADDRESS(INDEX($AI$2:$AI$1001,MATCH(ROWS($AG$2:AG385),$AG$2:$AG$1001,0),0), INDEX($AN$1004:$BO$1004,1,MATCH(COLUMNS($AN$1006:AS1006),$AN$1006:$BO$1006,0)))),"Fix")))</f>
        <v>0</v>
      </c>
      <c r="H385" s="4">
        <f>IF(OR(INDEX($AH$2:$AH$1001,MATCH(ROWS($AG$2:AG385),$AG$2:$AG$1001,0),1)&gt;=100000,INDEX($AN$1005:$BO$1005,1,MATCH(COLUMNS($AN$1006:AT1006),$AN$1006:$BO$1006,0))&gt;=100000), " ",IF(INDEX($AN$2:$BO$1001,MATCH(ROWS($AG$2:AG385),$AG$2:$AG$1001,0),MATCH(COLUMNS($AN$1006:AT1006),$AN$1006:$BO$1006,0)), HYPERLINK("#",""), HYPERLINK(CONCATENATE("#Metadata!", ADDRESS(INDEX($AI$2:$AI$1001,MATCH(ROWS($AG$2:AG385),$AG$2:$AG$1001,0),0), INDEX($AN$1004:$BO$1004,1,MATCH(COLUMNS($AN$1006:AT1006),$AN$1006:$BO$1006,0)))),"Fix")))</f>
        <v>0</v>
      </c>
      <c r="I385" s="4">
        <f>IF(OR(INDEX($AH$2:$AH$1001,MATCH(ROWS($AG$2:AG385),$AG$2:$AG$1001,0),1)&gt;=100000,INDEX($AN$1005:$BO$1005,1,MATCH(COLUMNS($AN$1006:AU1006),$AN$1006:$BO$1006,0))&gt;=100000), " ",IF(INDEX($AN$2:$BO$1001,MATCH(ROWS($AG$2:AG385),$AG$2:$AG$1001,0),MATCH(COLUMNS($AN$1006:AU1006),$AN$1006:$BO$1006,0)), HYPERLINK("#",""), HYPERLINK(CONCATENATE("#Metadata!", ADDRESS(INDEX($AI$2:$AI$1001,MATCH(ROWS($AG$2:AG385),$AG$2:$AG$1001,0),0), INDEX($AN$1004:$BO$1004,1,MATCH(COLUMNS($AN$1006:AU1006),$AN$1006:$BO$1006,0)))),"Fix")))</f>
        <v>0</v>
      </c>
      <c r="J385" s="4">
        <f>IF(OR(INDEX($AH$2:$AH$1001,MATCH(ROWS($AG$2:AG385),$AG$2:$AG$1001,0),1)&gt;=100000,INDEX($AN$1005:$BO$1005,1,MATCH(COLUMNS($AN$1006:AV1006),$AN$1006:$BO$1006,0))&gt;=100000), " ",IF(INDEX($AN$2:$BO$1001,MATCH(ROWS($AG$2:AG385),$AG$2:$AG$1001,0),MATCH(COLUMNS($AN$1006:AV1006),$AN$1006:$BO$1006,0)), HYPERLINK("#",""), HYPERLINK(CONCATENATE("#Metadata!", ADDRESS(INDEX($AI$2:$AI$1001,MATCH(ROWS($AG$2:AG385),$AG$2:$AG$1001,0),0), INDEX($AN$1004:$BO$1004,1,MATCH(COLUMNS($AN$1006:AV1006),$AN$1006:$BO$1006,0)))),"Fix")))</f>
        <v>0</v>
      </c>
      <c r="K385" s="4">
        <f>IF(OR(INDEX($AH$2:$AH$1001,MATCH(ROWS($AG$2:AG385),$AG$2:$AG$1001,0),1)&gt;=100000,INDEX($AN$1005:$BO$1005,1,MATCH(COLUMNS($AN$1006:AW1006),$AN$1006:$BO$1006,0))&gt;=100000), " ",IF(INDEX($AN$2:$BO$1001,MATCH(ROWS($AG$2:AG385),$AG$2:$AG$1001,0),MATCH(COLUMNS($AN$1006:AW1006),$AN$1006:$BO$1006,0)), HYPERLINK("#",""), HYPERLINK(CONCATENATE("#Metadata!", ADDRESS(INDEX($AI$2:$AI$1001,MATCH(ROWS($AG$2:AG385),$AG$2:$AG$1001,0),0), INDEX($AN$1004:$BO$1004,1,MATCH(COLUMNS($AN$1006:AW1006),$AN$1006:$BO$1006,0)))),"Fix")))</f>
        <v>0</v>
      </c>
      <c r="L385" s="4">
        <f>IF(OR(INDEX($AH$2:$AH$1001,MATCH(ROWS($AG$2:AG385),$AG$2:$AG$1001,0),1)&gt;=100000,INDEX($AN$1005:$BO$1005,1,MATCH(COLUMNS($AN$1006:AX1006),$AN$1006:$BO$1006,0))&gt;=100000), " ",IF(INDEX($AN$2:$BO$1001,MATCH(ROWS($AG$2:AG385),$AG$2:$AG$1001,0),MATCH(COLUMNS($AN$1006:AX1006),$AN$1006:$BO$1006,0)), HYPERLINK("#",""), HYPERLINK(CONCATENATE("#Metadata!", ADDRESS(INDEX($AI$2:$AI$1001,MATCH(ROWS($AG$2:AG385),$AG$2:$AG$1001,0),0), INDEX($AN$1004:$BO$1004,1,MATCH(COLUMNS($AN$1006:AX1006),$AN$1006:$BO$1006,0)))),"Fix")))</f>
        <v>0</v>
      </c>
      <c r="M385" s="4">
        <f>IF(OR(INDEX($AH$2:$AH$1001,MATCH(ROWS($AG$2:AG385),$AG$2:$AG$1001,0),1)&gt;=100000,INDEX($AN$1005:$BO$1005,1,MATCH(COLUMNS($AN$1006:AY1006),$AN$1006:$BO$1006,0))&gt;=100000), " ",IF(INDEX($AN$2:$BO$1001,MATCH(ROWS($AG$2:AG385),$AG$2:$AG$1001,0),MATCH(COLUMNS($AN$1006:AY1006),$AN$1006:$BO$1006,0)), HYPERLINK("#",""), HYPERLINK(CONCATENATE("#Metadata!", ADDRESS(INDEX($AI$2:$AI$1001,MATCH(ROWS($AG$2:AG385),$AG$2:$AG$1001,0),0), INDEX($AN$1004:$BO$1004,1,MATCH(COLUMNS($AN$1006:AY1006),$AN$1006:$BO$1006,0)))),"Fix")))</f>
        <v>0</v>
      </c>
      <c r="N385" s="4">
        <f>IF(OR(INDEX($AH$2:$AH$1001,MATCH(ROWS($AG$2:AG385),$AG$2:$AG$1001,0),1)&gt;=100000,INDEX($AN$1005:$BO$1005,1,MATCH(COLUMNS($AN$1006:AZ1006),$AN$1006:$BO$1006,0))&gt;=100000), " ",IF(INDEX($AN$2:$BO$1001,MATCH(ROWS($AG$2:AG385),$AG$2:$AG$1001,0),MATCH(COLUMNS($AN$1006:AZ1006),$AN$1006:$BO$1006,0)), HYPERLINK("#",""), HYPERLINK(CONCATENATE("#Metadata!", ADDRESS(INDEX($AI$2:$AI$1001,MATCH(ROWS($AG$2:AG385),$AG$2:$AG$1001,0),0), INDEX($AN$1004:$BO$1004,1,MATCH(COLUMNS($AN$1006:AZ1006),$AN$1006:$BO$1006,0)))),"Fix")))</f>
        <v>0</v>
      </c>
      <c r="O385" s="4">
        <f>IF(OR(INDEX($AH$2:$AH$1001,MATCH(ROWS($AG$2:AG385),$AG$2:$AG$1001,0),1)&gt;=100000,INDEX($AN$1005:$BO$1005,1,MATCH(COLUMNS($AN$1006:BA1006),$AN$1006:$BO$1006,0))&gt;=100000), " ",IF(INDEX($AN$2:$BO$1001,MATCH(ROWS($AG$2:AG385),$AG$2:$AG$1001,0),MATCH(COLUMNS($AN$1006:BA1006),$AN$1006:$BO$1006,0)), HYPERLINK("#",""), HYPERLINK(CONCATENATE("#Metadata!", ADDRESS(INDEX($AI$2:$AI$1001,MATCH(ROWS($AG$2:AG385),$AG$2:$AG$1001,0),0), INDEX($AN$1004:$BO$1004,1,MATCH(COLUMNS($AN$1006:BA1006),$AN$1006:$BO$1006,0)))),"Fix")))</f>
        <v>0</v>
      </c>
      <c r="P385" s="4">
        <f>IF(OR(INDEX($AH$2:$AH$1001,MATCH(ROWS($AG$2:AG385),$AG$2:$AG$1001,0),1)&gt;=100000,INDEX($AN$1005:$BO$1005,1,MATCH(COLUMNS($AN$1006:BB1006),$AN$1006:$BO$1006,0))&gt;=100000), " ",IF(INDEX($AN$2:$BO$1001,MATCH(ROWS($AG$2:AG385),$AG$2:$AG$1001,0),MATCH(COLUMNS($AN$1006:BB1006),$AN$1006:$BO$1006,0)), HYPERLINK("#",""), HYPERLINK(CONCATENATE("#Metadata!", ADDRESS(INDEX($AI$2:$AI$1001,MATCH(ROWS($AG$2:AG385),$AG$2:$AG$1001,0),0), INDEX($AN$1004:$BO$1004,1,MATCH(COLUMNS($AN$1006:BB1006),$AN$1006:$BO$1006,0)))),"Fix")))</f>
        <v>0</v>
      </c>
      <c r="Q385" s="4">
        <f>IF(OR(INDEX($AH$2:$AH$1001,MATCH(ROWS($AG$2:AG385),$AG$2:$AG$1001,0),1)&gt;=100000,INDEX($AN$1005:$BO$1005,1,MATCH(COLUMNS($AN$1006:BC1006),$AN$1006:$BO$1006,0))&gt;=100000), " ",IF(INDEX($AN$2:$BO$1001,MATCH(ROWS($AG$2:AG385),$AG$2:$AG$1001,0),MATCH(COLUMNS($AN$1006:BC1006),$AN$1006:$BO$1006,0)), HYPERLINK("#",""), HYPERLINK(CONCATENATE("#Metadata!", ADDRESS(INDEX($AI$2:$AI$1001,MATCH(ROWS($AG$2:AG385),$AG$2:$AG$1001,0),0), INDEX($AN$1004:$BO$1004,1,MATCH(COLUMNS($AN$1006:BC1006),$AN$1006:$BO$1006,0)))),"Fix")))</f>
        <v>0</v>
      </c>
      <c r="R385" s="4">
        <f>IF(OR(INDEX($AH$2:$AH$1001,MATCH(ROWS($AG$2:AG385),$AG$2:$AG$1001,0),1)&gt;=100000,INDEX($AN$1005:$BO$1005,1,MATCH(COLUMNS($AN$1006:BD1006),$AN$1006:$BO$1006,0))&gt;=100000), " ",IF(INDEX($AN$2:$BO$1001,MATCH(ROWS($AG$2:AG385),$AG$2:$AG$1001,0),MATCH(COLUMNS($AN$1006:BD1006),$AN$1006:$BO$1006,0)), HYPERLINK("#",""), HYPERLINK(CONCATENATE("#Metadata!", ADDRESS(INDEX($AI$2:$AI$1001,MATCH(ROWS($AG$2:AG385),$AG$2:$AG$1001,0),0), INDEX($AN$1004:$BO$1004,1,MATCH(COLUMNS($AN$1006:BD1006),$AN$1006:$BO$1006,0)))),"Fix")))</f>
        <v>0</v>
      </c>
      <c r="S385" s="4">
        <f>IF(OR(INDEX($AH$2:$AH$1001,MATCH(ROWS($AG$2:AG385),$AG$2:$AG$1001,0),1)&gt;=100000,INDEX($AN$1005:$BO$1005,1,MATCH(COLUMNS($AN$1006:BE1006),$AN$1006:$BO$1006,0))&gt;=100000), " ",IF(INDEX($AN$2:$BO$1001,MATCH(ROWS($AG$2:AG385),$AG$2:$AG$1001,0),MATCH(COLUMNS($AN$1006:BE1006),$AN$1006:$BO$1006,0)), HYPERLINK("#",""), HYPERLINK(CONCATENATE("#Metadata!", ADDRESS(INDEX($AI$2:$AI$1001,MATCH(ROWS($AG$2:AG385),$AG$2:$AG$1001,0),0), INDEX($AN$1004:$BO$1004,1,MATCH(COLUMNS($AN$1006:BE1006),$AN$1006:$BO$1006,0)))),"Fix")))</f>
        <v>0</v>
      </c>
      <c r="T385" s="4">
        <f>IF(OR(INDEX($AH$2:$AH$1001,MATCH(ROWS($AG$2:AG385),$AG$2:$AG$1001,0),1)&gt;=100000,INDEX($AN$1005:$BO$1005,1,MATCH(COLUMNS($AN$1006:BF1006),$AN$1006:$BO$1006,0))&gt;=100000), " ",IF(INDEX($AN$2:$BO$1001,MATCH(ROWS($AG$2:AG385),$AG$2:$AG$1001,0),MATCH(COLUMNS($AN$1006:BF1006),$AN$1006:$BO$1006,0)), HYPERLINK("#",""), HYPERLINK(CONCATENATE("#Metadata!", ADDRESS(INDEX($AI$2:$AI$1001,MATCH(ROWS($AG$2:AG385),$AG$2:$AG$1001,0),0), INDEX($AN$1004:$BO$1004,1,MATCH(COLUMNS($AN$1006:BF1006),$AN$1006:$BO$1006,0)))),"Fix")))</f>
        <v>0</v>
      </c>
      <c r="U385" s="4">
        <f>IF(OR(INDEX($AH$2:$AH$1001,MATCH(ROWS($AG$2:AG385),$AG$2:$AG$1001,0),1)&gt;=100000,INDEX($AN$1005:$BO$1005,1,MATCH(COLUMNS($AN$1006:BG1006),$AN$1006:$BO$1006,0))&gt;=100000), " ",IF(INDEX($AN$2:$BO$1001,MATCH(ROWS($AG$2:AG385),$AG$2:$AG$1001,0),MATCH(COLUMNS($AN$1006:BG1006),$AN$1006:$BO$1006,0)), HYPERLINK("#",""), HYPERLINK(CONCATENATE("#Metadata!", ADDRESS(INDEX($AI$2:$AI$1001,MATCH(ROWS($AG$2:AG385),$AG$2:$AG$1001,0),0), INDEX($AN$1004:$BO$1004,1,MATCH(COLUMNS($AN$1006:BG1006),$AN$1006:$BO$1006,0)))),"Fix")))</f>
        <v>0</v>
      </c>
      <c r="V385" s="4">
        <f>IF(OR(INDEX($AH$2:$AH$1001,MATCH(ROWS($AG$2:AG385),$AG$2:$AG$1001,0),1)&gt;=100000,INDEX($AN$1005:$BO$1005,1,MATCH(COLUMNS($AN$1006:BH1006),$AN$1006:$BO$1006,0))&gt;=100000), " ",IF(INDEX($AN$2:$BO$1001,MATCH(ROWS($AG$2:AG385),$AG$2:$AG$1001,0),MATCH(COLUMNS($AN$1006:BH1006),$AN$1006:$BO$1006,0)), HYPERLINK("#",""), HYPERLINK(CONCATENATE("#Metadata!", ADDRESS(INDEX($AI$2:$AI$1001,MATCH(ROWS($AG$2:AG385),$AG$2:$AG$1001,0),0), INDEX($AN$1004:$BO$1004,1,MATCH(COLUMNS($AN$1006:BH1006),$AN$1006:$BO$1006,0)))),"Fix")))</f>
        <v>0</v>
      </c>
      <c r="W385" s="4">
        <f>IF(OR(INDEX($AH$2:$AH$1001,MATCH(ROWS($AG$2:AG385),$AG$2:$AG$1001,0),1)&gt;=100000,INDEX($AN$1005:$BO$1005,1,MATCH(COLUMNS($AN$1006:BI1006),$AN$1006:$BO$1006,0))&gt;=100000), " ",IF(INDEX($AN$2:$BO$1001,MATCH(ROWS($AG$2:AG385),$AG$2:$AG$1001,0),MATCH(COLUMNS($AN$1006:BI1006),$AN$1006:$BO$1006,0)), HYPERLINK("#",""), HYPERLINK(CONCATENATE("#Metadata!", ADDRESS(INDEX($AI$2:$AI$1001,MATCH(ROWS($AG$2:AG385),$AG$2:$AG$1001,0),0), INDEX($AN$1004:$BO$1004,1,MATCH(COLUMNS($AN$1006:BI1006),$AN$1006:$BO$1006,0)))),"Fix")))</f>
        <v>0</v>
      </c>
      <c r="X385" s="4">
        <f>IF(OR(INDEX($AH$2:$AH$1001,MATCH(ROWS($AG$2:AG385),$AG$2:$AG$1001,0),1)&gt;=100000,INDEX($AN$1005:$BO$1005,1,MATCH(COLUMNS($AN$1006:BJ1006),$AN$1006:$BO$1006,0))&gt;=100000), " ",IF(INDEX($AN$2:$BO$1001,MATCH(ROWS($AG$2:AG385),$AG$2:$AG$1001,0),MATCH(COLUMNS($AN$1006:BJ1006),$AN$1006:$BO$1006,0)), HYPERLINK("#",""), HYPERLINK(CONCATENATE("#Metadata!", ADDRESS(INDEX($AI$2:$AI$1001,MATCH(ROWS($AG$2:AG385),$AG$2:$AG$1001,0),0), INDEX($AN$1004:$BO$1004,1,MATCH(COLUMNS($AN$1006:BJ1006),$AN$1006:$BO$1006,0)))),"Fix")))</f>
        <v>0</v>
      </c>
      <c r="Y385" s="4">
        <f>IF(OR(INDEX($AH$2:$AH$1001,MATCH(ROWS($AG$2:AG385),$AG$2:$AG$1001,0),1)&gt;=100000,INDEX($AN$1005:$BO$1005,1,MATCH(COLUMNS($AN$1006:BK1006),$AN$1006:$BO$1006,0))&gt;=100000), " ",IF(INDEX($AN$2:$BO$1001,MATCH(ROWS($AG$2:AG385),$AG$2:$AG$1001,0),MATCH(COLUMNS($AN$1006:BK1006),$AN$1006:$BO$1006,0)), HYPERLINK("#",""), HYPERLINK(CONCATENATE("#Metadata!", ADDRESS(INDEX($AI$2:$AI$1001,MATCH(ROWS($AG$2:AG385),$AG$2:$AG$1001,0),0), INDEX($AN$1004:$BO$1004,1,MATCH(COLUMNS($AN$1006:BK1006),$AN$1006:$BO$1006,0)))),"Fix")))</f>
        <v>0</v>
      </c>
      <c r="Z385" s="4">
        <f>IF(OR(INDEX($AH$2:$AH$1001,MATCH(ROWS($AG$2:AG385),$AG$2:$AG$1001,0),1)&gt;=100000,INDEX($AN$1005:$BO$1005,1,MATCH(COLUMNS($AN$1006:BL1006),$AN$1006:$BO$1006,0))&gt;=100000), " ",IF(INDEX($AN$2:$BO$1001,MATCH(ROWS($AG$2:AG385),$AG$2:$AG$1001,0),MATCH(COLUMNS($AN$1006:BL1006),$AN$1006:$BO$1006,0)), HYPERLINK("#",""), HYPERLINK(CONCATENATE("#Metadata!", ADDRESS(INDEX($AI$2:$AI$1001,MATCH(ROWS($AG$2:AG385),$AG$2:$AG$1001,0),0), INDEX($AN$1004:$BO$1004,1,MATCH(COLUMNS($AN$1006:BL1006),$AN$1006:$BO$1006,0)))),"Fix")))</f>
        <v>0</v>
      </c>
      <c r="AA385" s="4">
        <f>IF(OR(INDEX($AH$2:$AH$1001,MATCH(ROWS($AG$2:AG385),$AG$2:$AG$1001,0),1)&gt;=100000,INDEX($AN$1005:$BO$1005,1,MATCH(COLUMNS($AN$1006:BM1006),$AN$1006:$BO$1006,0))&gt;=100000), " ",IF(INDEX($AN$2:$BO$1001,MATCH(ROWS($AG$2:AG385),$AG$2:$AG$1001,0),MATCH(COLUMNS($AN$1006:BM1006),$AN$1006:$BO$1006,0)), HYPERLINK("#",""), HYPERLINK(CONCATENATE("#Metadata!", ADDRESS(INDEX($AI$2:$AI$1001,MATCH(ROWS($AG$2:AG385),$AG$2:$AG$1001,0),0), INDEX($AN$1004:$BO$1004,1,MATCH(COLUMNS($AN$1006:BM1006),$AN$1006:$BO$1006,0)))),"Fix")))</f>
        <v>0</v>
      </c>
      <c r="AB385" s="4">
        <f>IF(OR(INDEX($AH$2:$AH$1001,MATCH(ROWS($AG$2:AG385),$AG$2:$AG$1001,0),1)&gt;=100000,INDEX($AN$1005:$BO$1005,1,MATCH(COLUMNS($AN$1006:BN1006),$AN$1006:$BO$1006,0))&gt;=100000), " ",IF(INDEX($AN$2:$BO$1001,MATCH(ROWS($AG$2:AG385),$AG$2:$AG$1001,0),MATCH(COLUMNS($AN$1006:BN1006),$AN$1006:$BO$1006,0)), HYPERLINK("#",""), HYPERLINK(CONCATENATE("#Metadata!", ADDRESS(INDEX($AI$2:$AI$1001,MATCH(ROWS($AG$2:AG385),$AG$2:$AG$1001,0),0), INDEX($AN$1004:$BO$1004,1,MATCH(COLUMNS($AN$1006:BN1006),$AN$1006:$BO$1006,0)))),"Fix")))</f>
        <v>0</v>
      </c>
      <c r="AC385" s="4">
        <f>IF(OR(INDEX($AH$2:$AH$1001,MATCH(ROWS($AG$2:AG385),$AG$2:$AG$1001,0),1)&gt;=100000,INDEX($AN$1005:$BO$1005,1,MATCH(COLUMNS($AN$1006:BO1006),$AN$1006:$BO$1006,0))&gt;=100000), " ",IF(INDEX($AN$2:$BO$1001,MATCH(ROWS($AG$2:AG385),$AG$2:$AG$1001,0),MATCH(COLUMNS($AN$1006:BO1006),$AN$1006:$BO$1006,0)), HYPERLINK("#",""), HYPERLINK(CONCATENATE("#Metadata!", ADDRESS(INDEX($AI$2:$AI$1001,MATCH(ROWS($AG$2:AG385),$AG$2:$AG$1001,0),0), INDEX($AN$1004:$BO$1004,1,MATCH(COLUMNS($AN$1006:BO1006),$AN$1006:$BO$1006,0)))),"Fix")))</f>
        <v>0</v>
      </c>
      <c r="AG385">
        <v>0</v>
      </c>
      <c r="AH385">
        <v>0</v>
      </c>
      <c r="AI385">
        <v>0</v>
      </c>
      <c r="AJ385">
        <f>IF(AK385,TRUE,AND(AN385:BO385))</f>
        <v>0</v>
      </c>
      <c r="AK385">
        <f>COUNTBLANK(Metadata!B385:AC385)=COLUMNS(Metadata!B385:AC385)</f>
        <v>0</v>
      </c>
      <c r="AL385">
        <v>0</v>
      </c>
      <c r="AN385">
        <f>AND(IF(Metadata!B385="",FALSE,TRUE),COUNTIF(Metadata!B:B, Metadata!B385) = 1,NOT(ISERROR(SUMPRODUCT(SEARCH(MID(Metadata!B385,ROW(INDIRECT("1:"&amp;LEN(Metadata!B385))), 1),"0123456789abcdefghijklmnopqrstuvwxyzABCDEFGHIJKLMNOPQRSTUVWXYZ.")))))</f>
        <v>0</v>
      </c>
      <c r="AO385">
        <f>IF(Metadata!C385="",FALSE,TRUE)</f>
        <v>0</v>
      </c>
      <c r="AP385">
        <f>IF(Metadata!D385="",FALSE,TRUE)</f>
        <v>0</v>
      </c>
      <c r="AQ385">
        <f>OR(AND(IF(Metadata!E385="",FALSE,TRUE),OR(exact(Metadata!E385,"not collected"),exact(Metadata!E385,"not provided"),exact(Metadata!E385,"restricted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R385">
        <f>IF(Metadata!F385="",FALSE,TRUE)</f>
        <v>0</v>
      </c>
      <c r="AS385">
        <f>OR(AND(IF(Metadata!G385="",FALSE,TRUE),OR(exact(Metadata!G385,"not collected"),exact(Metadata!G385,"not provided"))),AND(IF(Metadata!G385="",FALSE,TRUE),OR(exact(Metadata!G385,"TRUE"),exact(Metadata!G385,"FALSE"))))</f>
        <v>0</v>
      </c>
      <c r="AT385">
        <f>OR(AND(IF(Metadata!H385="",FALSE,TRUE),OR(exact(Metadata!H385,"not collected"),exact(Metadata!H385,"not provided"),exact(Metadata!H385,"restricted access"))),AND(IF(Metadata!H385="",FALSE,ISNUMBER(VALUE(Metadata!H385))),Metadata!H385&gt;=-413.0))</f>
        <v>0</v>
      </c>
      <c r="AU385">
        <f>AND(IF(Metadata!I385="",FALSE,TRUE),exact(Metadata!I385,"meters"))</f>
        <v>0</v>
      </c>
      <c r="AV385">
        <f>AND(IF(Metadata!J385="",FALSE,TRUE),OR(exact(Metadata!J385,"Host-associated"),exact(Metadata!J385,"Free-living")))</f>
        <v>0</v>
      </c>
      <c r="AW385">
        <f>AND(IF(Metadata!K385="",FALSE,TRUE),OR(exact(Metadata!K385,"Animal"),exact(Metadata!K385,"Fungus"),exact(Metadata!K385,"Plant"),exact(Metadata!K385,"Saline"),exact(Metadata!K385,"Non-saline")))</f>
        <v>0</v>
      </c>
      <c r="AX385">
        <f>AND(IF(Metadata!L385="",FALSE,TRUE),OR(exact(Metadata!L385,"Plant secretion"),exact(Metadata!L385,"Plant rhizosphere"),exact(Metadata!L385,"Plant surface"),exact(Metadata!L385,"Plant corpus"),exact(Metadata!L385,"Fungus surface"),exact(Metadata!L385,"Fungus corpus"),exact(Metadata!L385,"Animal surface"),exact(Metadata!L385,"Animal proximal gut"),exact(Metadata!L385,"Animal corpus"),exact(Metadata!L385,"Animal distal gut"),exact(Metadata!L385,"Animal secretion"),exact(Metadata!L385,"Sub-surface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Y385">
        <f>IF(Metadata!M385="",FALSE,TRUE)</f>
        <v>0</v>
      </c>
      <c r="AZ385">
        <f>IF(Metadata!N385="",FALSE,TRUE)</f>
        <v>0</v>
      </c>
      <c r="BA385">
        <f>IF(Metadata!O385="",FALSE,TRUE)</f>
        <v>0</v>
      </c>
      <c r="BB385">
        <f>OR(AND(IF(Metadata!P385="",FALSE,TRUE),OR(exact(Metadata!P385,"not collected"),exact(Metadata!P385,"not provided"),exact(Metadata!P385,"restricted access"))),AND(IF(Metadata!P385="",FALSE,TRUE),OR(exact(Metadata!P385,"air"),exact(Metadata!P385,"built environment"),exact(Metadata!P385,"host-associated"),exact(Metadata!P385,"human-associated"),exact(Metadata!P385,"human-skin"),exact(Metadata!P385,"human-oral"),exact(Metadata!P385,"human-gut"),exact(Metadata!P385,"human-vaginal"),exact(Metadata!P385,"microbial mat/biofilm"),exact(Metadata!P385,"misc environment"),exact(Metadata!P385,"plant-associated"),exact(Metadata!P385,"sediment"),exact(Metadata!P385,"soil"),exact(Metadata!P385,"wastewater/sludge"),exact(Metadata!P385,"water"))))</f>
        <v>0</v>
      </c>
      <c r="BC385">
        <f>IF(Metadata!Q385="",FALSE,TRUE)</f>
        <v>0</v>
      </c>
      <c r="BD385">
        <f>IF(Metadata!R385="",FALSE,TRUE)</f>
        <v>0</v>
      </c>
      <c r="BE385">
        <f>OR(AND(IF(Metadata!S385="",FALSE,TRUE),OR(exact(Metadata!S385,"not collected"),exact(Metadata!S385,"not provided"),exact(Metadata!S385,"restricted access"))),AND(IF(Metadata!S385="",FALSE,ISNUMBER(VALUE(Metadata!S385))),Metadata!S385&gt;=-90.00,Metadata!S385&lt;=90.00))</f>
        <v>0</v>
      </c>
      <c r="BF385">
        <f>AND(IF(Metadata!T385="",FALSE,TRUE),exact(Metadata!T385,"Decimal degrees"))</f>
        <v>0</v>
      </c>
      <c r="BG385">
        <f>OR(AND(IF(Metadata!U385="",FALSE,TRUE),OR(exact(Metadata!U385,"not collected"),exact(Metadata!U385,"not provided"),exact(Metadata!U385,"restricted access"))),AND(IF(Metadata!U385="",FALSE,ISNUMBER(VALUE(Metadata!U385))),Metadata!U385&gt;=-180.00,Metadata!U385&lt;=180.00))</f>
        <v>0</v>
      </c>
      <c r="BH385">
        <f>AND(IF(Metadata!V385="",FALSE,TRUE),exact(Metadata!V385,"Decimal degrees"))</f>
        <v>0</v>
      </c>
      <c r="BI385">
        <f>IF(Metadata!W385="",FALSE,TRUE)</f>
        <v>0</v>
      </c>
      <c r="BJ385">
        <f>OR(AND(IF(Metadata!X385="",FALSE,TRUE),OR(exact(Metadata!X385,"not collected"),exact(Metadata!X385,"not provided"),exact(Metadata!X385,"restricted access"))),AND(IF(Metadata!X385="",FALSE,TRUE),OR(exact(Metadata!X385,"TRUE"),exact(Metadata!X385,"FALSE"))))</f>
        <v>0</v>
      </c>
      <c r="BK385">
        <f>AND(IF(Metadata!Y385="",FALSE,TRUE),exact(Metadata!Y385,"other"))</f>
        <v>0</v>
      </c>
      <c r="BL385">
        <f>IF(Metadata!Z385="",FALSE,TRUE)</f>
        <v>0</v>
      </c>
      <c r="BM385">
        <f>OR(AND(IF(Metadata!AA385="",FALSE,TRUE),OR(exact(Metadata!AA385,"not collected"),exact(Metadata!AA385,"not provided"))),AND(IF(Metadata!AA385="",FALSE,IF(ISERROR(INT(Metadata!AA385)),FALSE,INT(Metadata!AA385)=Metadata!AA385)),Metadata!AA385&gt;0))</f>
        <v>0</v>
      </c>
      <c r="BN385">
        <f>AND(IF(Metadata!AB385="",FALSE,TRUE),exact(Metadata!AB385,"Not applicable"))</f>
        <v>0</v>
      </c>
      <c r="BO385">
        <f>IF(Metadata!AC385="",FALSE,TRUE)</f>
        <v>0</v>
      </c>
    </row>
    <row r="386" spans="1:67">
      <c r="A386" s="5">
        <f>IF(B386=" "," ",HYPERLINK(CONCATENATE("#metadata!",ADDRESS(INDEX($AI$2:$AI$1001,MATCH(ROWS($AG$2:AG386),$AG$2:$AG$1001,0),0),1)),INDEX($AL$2:$AL$1001,MATCH(ROWS($AG$2:AG386),$AG$2:$AG$1001,0),0)))</f>
        <v>0</v>
      </c>
      <c r="B386" s="4">
        <f>IF(OR(INDEX($AH$2:$AH$1001,MATCH(ROWS($AG$2:AG386),$AG$2:$AG$1001,0),1)&gt;=100000,INDEX($AN$1005:$BO$1005,1,MATCH(COLUMNS($AN$1006:AN1006),$AN$1006:$BO$1006,0))&gt;=100000), " ",IF(INDEX($AN$2:$BO$1001,MATCH(ROWS($AG$2:AG386),$AG$2:$AG$1001,0),MATCH(COLUMNS($AN$1006:AN1006),$AN$1006:$BO$1006,0)), HYPERLINK("#",""), HYPERLINK(CONCATENATE("#Metadata!", ADDRESS(INDEX($AI$2:$AI$1001,MATCH(ROWS($AG$2:AG386),$AG$2:$AG$1001,0),0), INDEX($AN$1004:$BO$1004,1,MATCH(COLUMNS($AN$1006:AN1006),$AN$1006:$BO$1006,0)))),"Fix")))</f>
        <v>0</v>
      </c>
      <c r="C386" s="4">
        <f>IF(OR(INDEX($AH$2:$AH$1001,MATCH(ROWS($AG$2:AG386),$AG$2:$AG$1001,0),1)&gt;=100000,INDEX($AN$1005:$BO$1005,1,MATCH(COLUMNS($AN$1006:AO1006),$AN$1006:$BO$1006,0))&gt;=100000), " ",IF(INDEX($AN$2:$BO$1001,MATCH(ROWS($AG$2:AG386),$AG$2:$AG$1001,0),MATCH(COLUMNS($AN$1006:AO1006),$AN$1006:$BO$1006,0)), HYPERLINK("#",""), HYPERLINK(CONCATENATE("#Metadata!", ADDRESS(INDEX($AI$2:$AI$1001,MATCH(ROWS($AG$2:AG386),$AG$2:$AG$1001,0),0), INDEX($AN$1004:$BO$1004,1,MATCH(COLUMNS($AN$1006:AO1006),$AN$1006:$BO$1006,0)))),"Fix")))</f>
        <v>0</v>
      </c>
      <c r="D386" s="4">
        <f>IF(OR(INDEX($AH$2:$AH$1001,MATCH(ROWS($AG$2:AG386),$AG$2:$AG$1001,0),1)&gt;=100000,INDEX($AN$1005:$BO$1005,1,MATCH(COLUMNS($AN$1006:AP1006),$AN$1006:$BO$1006,0))&gt;=100000), " ",IF(INDEX($AN$2:$BO$1001,MATCH(ROWS($AG$2:AG386),$AG$2:$AG$1001,0),MATCH(COLUMNS($AN$1006:AP1006),$AN$1006:$BO$1006,0)), HYPERLINK("#",""), HYPERLINK(CONCATENATE("#Metadata!", ADDRESS(INDEX($AI$2:$AI$1001,MATCH(ROWS($AG$2:AG386),$AG$2:$AG$1001,0),0), INDEX($AN$1004:$BO$1004,1,MATCH(COLUMNS($AN$1006:AP1006),$AN$1006:$BO$1006,0)))),"Fix")))</f>
        <v>0</v>
      </c>
      <c r="E386" s="4">
        <f>IF(OR(INDEX($AH$2:$AH$1001,MATCH(ROWS($AG$2:AG386),$AG$2:$AG$1001,0),1)&gt;=100000,INDEX($AN$1005:$BO$1005,1,MATCH(COLUMNS($AN$1006:AQ1006),$AN$1006:$BO$1006,0))&gt;=100000), " ",IF(INDEX($AN$2:$BO$1001,MATCH(ROWS($AG$2:AG386),$AG$2:$AG$1001,0),MATCH(COLUMNS($AN$1006:AQ1006),$AN$1006:$BO$1006,0)), HYPERLINK("#",""), HYPERLINK(CONCATENATE("#Metadata!", ADDRESS(INDEX($AI$2:$AI$1001,MATCH(ROWS($AG$2:AG386),$AG$2:$AG$1001,0),0), INDEX($AN$1004:$BO$1004,1,MATCH(COLUMNS($AN$1006:AQ1006),$AN$1006:$BO$1006,0)))),"Fix")))</f>
        <v>0</v>
      </c>
      <c r="F386" s="4">
        <f>IF(OR(INDEX($AH$2:$AH$1001,MATCH(ROWS($AG$2:AG386),$AG$2:$AG$1001,0),1)&gt;=100000,INDEX($AN$1005:$BO$1005,1,MATCH(COLUMNS($AN$1006:AR1006),$AN$1006:$BO$1006,0))&gt;=100000), " ",IF(INDEX($AN$2:$BO$1001,MATCH(ROWS($AG$2:AG386),$AG$2:$AG$1001,0),MATCH(COLUMNS($AN$1006:AR1006),$AN$1006:$BO$1006,0)), HYPERLINK("#",""), HYPERLINK(CONCATENATE("#Metadata!", ADDRESS(INDEX($AI$2:$AI$1001,MATCH(ROWS($AG$2:AG386),$AG$2:$AG$1001,0),0), INDEX($AN$1004:$BO$1004,1,MATCH(COLUMNS($AN$1006:AR1006),$AN$1006:$BO$1006,0)))),"Fix")))</f>
        <v>0</v>
      </c>
      <c r="G386" s="4">
        <f>IF(OR(INDEX($AH$2:$AH$1001,MATCH(ROWS($AG$2:AG386),$AG$2:$AG$1001,0),1)&gt;=100000,INDEX($AN$1005:$BO$1005,1,MATCH(COLUMNS($AN$1006:AS1006),$AN$1006:$BO$1006,0))&gt;=100000), " ",IF(INDEX($AN$2:$BO$1001,MATCH(ROWS($AG$2:AG386),$AG$2:$AG$1001,0),MATCH(COLUMNS($AN$1006:AS1006),$AN$1006:$BO$1006,0)), HYPERLINK("#",""), HYPERLINK(CONCATENATE("#Metadata!", ADDRESS(INDEX($AI$2:$AI$1001,MATCH(ROWS($AG$2:AG386),$AG$2:$AG$1001,0),0), INDEX($AN$1004:$BO$1004,1,MATCH(COLUMNS($AN$1006:AS1006),$AN$1006:$BO$1006,0)))),"Fix")))</f>
        <v>0</v>
      </c>
      <c r="H386" s="4">
        <f>IF(OR(INDEX($AH$2:$AH$1001,MATCH(ROWS($AG$2:AG386),$AG$2:$AG$1001,0),1)&gt;=100000,INDEX($AN$1005:$BO$1005,1,MATCH(COLUMNS($AN$1006:AT1006),$AN$1006:$BO$1006,0))&gt;=100000), " ",IF(INDEX($AN$2:$BO$1001,MATCH(ROWS($AG$2:AG386),$AG$2:$AG$1001,0),MATCH(COLUMNS($AN$1006:AT1006),$AN$1006:$BO$1006,0)), HYPERLINK("#",""), HYPERLINK(CONCATENATE("#Metadata!", ADDRESS(INDEX($AI$2:$AI$1001,MATCH(ROWS($AG$2:AG386),$AG$2:$AG$1001,0),0), INDEX($AN$1004:$BO$1004,1,MATCH(COLUMNS($AN$1006:AT1006),$AN$1006:$BO$1006,0)))),"Fix")))</f>
        <v>0</v>
      </c>
      <c r="I386" s="4">
        <f>IF(OR(INDEX($AH$2:$AH$1001,MATCH(ROWS($AG$2:AG386),$AG$2:$AG$1001,0),1)&gt;=100000,INDEX($AN$1005:$BO$1005,1,MATCH(COLUMNS($AN$1006:AU1006),$AN$1006:$BO$1006,0))&gt;=100000), " ",IF(INDEX($AN$2:$BO$1001,MATCH(ROWS($AG$2:AG386),$AG$2:$AG$1001,0),MATCH(COLUMNS($AN$1006:AU1006),$AN$1006:$BO$1006,0)), HYPERLINK("#",""), HYPERLINK(CONCATENATE("#Metadata!", ADDRESS(INDEX($AI$2:$AI$1001,MATCH(ROWS($AG$2:AG386),$AG$2:$AG$1001,0),0), INDEX($AN$1004:$BO$1004,1,MATCH(COLUMNS($AN$1006:AU1006),$AN$1006:$BO$1006,0)))),"Fix")))</f>
        <v>0</v>
      </c>
      <c r="J386" s="4">
        <f>IF(OR(INDEX($AH$2:$AH$1001,MATCH(ROWS($AG$2:AG386),$AG$2:$AG$1001,0),1)&gt;=100000,INDEX($AN$1005:$BO$1005,1,MATCH(COLUMNS($AN$1006:AV1006),$AN$1006:$BO$1006,0))&gt;=100000), " ",IF(INDEX($AN$2:$BO$1001,MATCH(ROWS($AG$2:AG386),$AG$2:$AG$1001,0),MATCH(COLUMNS($AN$1006:AV1006),$AN$1006:$BO$1006,0)), HYPERLINK("#",""), HYPERLINK(CONCATENATE("#Metadata!", ADDRESS(INDEX($AI$2:$AI$1001,MATCH(ROWS($AG$2:AG386),$AG$2:$AG$1001,0),0), INDEX($AN$1004:$BO$1004,1,MATCH(COLUMNS($AN$1006:AV1006),$AN$1006:$BO$1006,0)))),"Fix")))</f>
        <v>0</v>
      </c>
      <c r="K386" s="4">
        <f>IF(OR(INDEX($AH$2:$AH$1001,MATCH(ROWS($AG$2:AG386),$AG$2:$AG$1001,0),1)&gt;=100000,INDEX($AN$1005:$BO$1005,1,MATCH(COLUMNS($AN$1006:AW1006),$AN$1006:$BO$1006,0))&gt;=100000), " ",IF(INDEX($AN$2:$BO$1001,MATCH(ROWS($AG$2:AG386),$AG$2:$AG$1001,0),MATCH(COLUMNS($AN$1006:AW1006),$AN$1006:$BO$1006,0)), HYPERLINK("#",""), HYPERLINK(CONCATENATE("#Metadata!", ADDRESS(INDEX($AI$2:$AI$1001,MATCH(ROWS($AG$2:AG386),$AG$2:$AG$1001,0),0), INDEX($AN$1004:$BO$1004,1,MATCH(COLUMNS($AN$1006:AW1006),$AN$1006:$BO$1006,0)))),"Fix")))</f>
        <v>0</v>
      </c>
      <c r="L386" s="4">
        <f>IF(OR(INDEX($AH$2:$AH$1001,MATCH(ROWS($AG$2:AG386),$AG$2:$AG$1001,0),1)&gt;=100000,INDEX($AN$1005:$BO$1005,1,MATCH(COLUMNS($AN$1006:AX1006),$AN$1006:$BO$1006,0))&gt;=100000), " ",IF(INDEX($AN$2:$BO$1001,MATCH(ROWS($AG$2:AG386),$AG$2:$AG$1001,0),MATCH(COLUMNS($AN$1006:AX1006),$AN$1006:$BO$1006,0)), HYPERLINK("#",""), HYPERLINK(CONCATENATE("#Metadata!", ADDRESS(INDEX($AI$2:$AI$1001,MATCH(ROWS($AG$2:AG386),$AG$2:$AG$1001,0),0), INDEX($AN$1004:$BO$1004,1,MATCH(COLUMNS($AN$1006:AX1006),$AN$1006:$BO$1006,0)))),"Fix")))</f>
        <v>0</v>
      </c>
      <c r="M386" s="4">
        <f>IF(OR(INDEX($AH$2:$AH$1001,MATCH(ROWS($AG$2:AG386),$AG$2:$AG$1001,0),1)&gt;=100000,INDEX($AN$1005:$BO$1005,1,MATCH(COLUMNS($AN$1006:AY1006),$AN$1006:$BO$1006,0))&gt;=100000), " ",IF(INDEX($AN$2:$BO$1001,MATCH(ROWS($AG$2:AG386),$AG$2:$AG$1001,0),MATCH(COLUMNS($AN$1006:AY1006),$AN$1006:$BO$1006,0)), HYPERLINK("#",""), HYPERLINK(CONCATENATE("#Metadata!", ADDRESS(INDEX($AI$2:$AI$1001,MATCH(ROWS($AG$2:AG386),$AG$2:$AG$1001,0),0), INDEX($AN$1004:$BO$1004,1,MATCH(COLUMNS($AN$1006:AY1006),$AN$1006:$BO$1006,0)))),"Fix")))</f>
        <v>0</v>
      </c>
      <c r="N386" s="4">
        <f>IF(OR(INDEX($AH$2:$AH$1001,MATCH(ROWS($AG$2:AG386),$AG$2:$AG$1001,0),1)&gt;=100000,INDEX($AN$1005:$BO$1005,1,MATCH(COLUMNS($AN$1006:AZ1006),$AN$1006:$BO$1006,0))&gt;=100000), " ",IF(INDEX($AN$2:$BO$1001,MATCH(ROWS($AG$2:AG386),$AG$2:$AG$1001,0),MATCH(COLUMNS($AN$1006:AZ1006),$AN$1006:$BO$1006,0)), HYPERLINK("#",""), HYPERLINK(CONCATENATE("#Metadata!", ADDRESS(INDEX($AI$2:$AI$1001,MATCH(ROWS($AG$2:AG386),$AG$2:$AG$1001,0),0), INDEX($AN$1004:$BO$1004,1,MATCH(COLUMNS($AN$1006:AZ1006),$AN$1006:$BO$1006,0)))),"Fix")))</f>
        <v>0</v>
      </c>
      <c r="O386" s="4">
        <f>IF(OR(INDEX($AH$2:$AH$1001,MATCH(ROWS($AG$2:AG386),$AG$2:$AG$1001,0),1)&gt;=100000,INDEX($AN$1005:$BO$1005,1,MATCH(COLUMNS($AN$1006:BA1006),$AN$1006:$BO$1006,0))&gt;=100000), " ",IF(INDEX($AN$2:$BO$1001,MATCH(ROWS($AG$2:AG386),$AG$2:$AG$1001,0),MATCH(COLUMNS($AN$1006:BA1006),$AN$1006:$BO$1006,0)), HYPERLINK("#",""), HYPERLINK(CONCATENATE("#Metadata!", ADDRESS(INDEX($AI$2:$AI$1001,MATCH(ROWS($AG$2:AG386),$AG$2:$AG$1001,0),0), INDEX($AN$1004:$BO$1004,1,MATCH(COLUMNS($AN$1006:BA1006),$AN$1006:$BO$1006,0)))),"Fix")))</f>
        <v>0</v>
      </c>
      <c r="P386" s="4">
        <f>IF(OR(INDEX($AH$2:$AH$1001,MATCH(ROWS($AG$2:AG386),$AG$2:$AG$1001,0),1)&gt;=100000,INDEX($AN$1005:$BO$1005,1,MATCH(COLUMNS($AN$1006:BB1006),$AN$1006:$BO$1006,0))&gt;=100000), " ",IF(INDEX($AN$2:$BO$1001,MATCH(ROWS($AG$2:AG386),$AG$2:$AG$1001,0),MATCH(COLUMNS($AN$1006:BB1006),$AN$1006:$BO$1006,0)), HYPERLINK("#",""), HYPERLINK(CONCATENATE("#Metadata!", ADDRESS(INDEX($AI$2:$AI$1001,MATCH(ROWS($AG$2:AG386),$AG$2:$AG$1001,0),0), INDEX($AN$1004:$BO$1004,1,MATCH(COLUMNS($AN$1006:BB1006),$AN$1006:$BO$1006,0)))),"Fix")))</f>
        <v>0</v>
      </c>
      <c r="Q386" s="4">
        <f>IF(OR(INDEX($AH$2:$AH$1001,MATCH(ROWS($AG$2:AG386),$AG$2:$AG$1001,0),1)&gt;=100000,INDEX($AN$1005:$BO$1005,1,MATCH(COLUMNS($AN$1006:BC1006),$AN$1006:$BO$1006,0))&gt;=100000), " ",IF(INDEX($AN$2:$BO$1001,MATCH(ROWS($AG$2:AG386),$AG$2:$AG$1001,0),MATCH(COLUMNS($AN$1006:BC1006),$AN$1006:$BO$1006,0)), HYPERLINK("#",""), HYPERLINK(CONCATENATE("#Metadata!", ADDRESS(INDEX($AI$2:$AI$1001,MATCH(ROWS($AG$2:AG386),$AG$2:$AG$1001,0),0), INDEX($AN$1004:$BO$1004,1,MATCH(COLUMNS($AN$1006:BC1006),$AN$1006:$BO$1006,0)))),"Fix")))</f>
        <v>0</v>
      </c>
      <c r="R386" s="4">
        <f>IF(OR(INDEX($AH$2:$AH$1001,MATCH(ROWS($AG$2:AG386),$AG$2:$AG$1001,0),1)&gt;=100000,INDEX($AN$1005:$BO$1005,1,MATCH(COLUMNS($AN$1006:BD1006),$AN$1006:$BO$1006,0))&gt;=100000), " ",IF(INDEX($AN$2:$BO$1001,MATCH(ROWS($AG$2:AG386),$AG$2:$AG$1001,0),MATCH(COLUMNS($AN$1006:BD1006),$AN$1006:$BO$1006,0)), HYPERLINK("#",""), HYPERLINK(CONCATENATE("#Metadata!", ADDRESS(INDEX($AI$2:$AI$1001,MATCH(ROWS($AG$2:AG386),$AG$2:$AG$1001,0),0), INDEX($AN$1004:$BO$1004,1,MATCH(COLUMNS($AN$1006:BD1006),$AN$1006:$BO$1006,0)))),"Fix")))</f>
        <v>0</v>
      </c>
      <c r="S386" s="4">
        <f>IF(OR(INDEX($AH$2:$AH$1001,MATCH(ROWS($AG$2:AG386),$AG$2:$AG$1001,0),1)&gt;=100000,INDEX($AN$1005:$BO$1005,1,MATCH(COLUMNS($AN$1006:BE1006),$AN$1006:$BO$1006,0))&gt;=100000), " ",IF(INDEX($AN$2:$BO$1001,MATCH(ROWS($AG$2:AG386),$AG$2:$AG$1001,0),MATCH(COLUMNS($AN$1006:BE1006),$AN$1006:$BO$1006,0)), HYPERLINK("#",""), HYPERLINK(CONCATENATE("#Metadata!", ADDRESS(INDEX($AI$2:$AI$1001,MATCH(ROWS($AG$2:AG386),$AG$2:$AG$1001,0),0), INDEX($AN$1004:$BO$1004,1,MATCH(COLUMNS($AN$1006:BE1006),$AN$1006:$BO$1006,0)))),"Fix")))</f>
        <v>0</v>
      </c>
      <c r="T386" s="4">
        <f>IF(OR(INDEX($AH$2:$AH$1001,MATCH(ROWS($AG$2:AG386),$AG$2:$AG$1001,0),1)&gt;=100000,INDEX($AN$1005:$BO$1005,1,MATCH(COLUMNS($AN$1006:BF1006),$AN$1006:$BO$1006,0))&gt;=100000), " ",IF(INDEX($AN$2:$BO$1001,MATCH(ROWS($AG$2:AG386),$AG$2:$AG$1001,0),MATCH(COLUMNS($AN$1006:BF1006),$AN$1006:$BO$1006,0)), HYPERLINK("#",""), HYPERLINK(CONCATENATE("#Metadata!", ADDRESS(INDEX($AI$2:$AI$1001,MATCH(ROWS($AG$2:AG386),$AG$2:$AG$1001,0),0), INDEX($AN$1004:$BO$1004,1,MATCH(COLUMNS($AN$1006:BF1006),$AN$1006:$BO$1006,0)))),"Fix")))</f>
        <v>0</v>
      </c>
      <c r="U386" s="4">
        <f>IF(OR(INDEX($AH$2:$AH$1001,MATCH(ROWS($AG$2:AG386),$AG$2:$AG$1001,0),1)&gt;=100000,INDEX($AN$1005:$BO$1005,1,MATCH(COLUMNS($AN$1006:BG1006),$AN$1006:$BO$1006,0))&gt;=100000), " ",IF(INDEX($AN$2:$BO$1001,MATCH(ROWS($AG$2:AG386),$AG$2:$AG$1001,0),MATCH(COLUMNS($AN$1006:BG1006),$AN$1006:$BO$1006,0)), HYPERLINK("#",""), HYPERLINK(CONCATENATE("#Metadata!", ADDRESS(INDEX($AI$2:$AI$1001,MATCH(ROWS($AG$2:AG386),$AG$2:$AG$1001,0),0), INDEX($AN$1004:$BO$1004,1,MATCH(COLUMNS($AN$1006:BG1006),$AN$1006:$BO$1006,0)))),"Fix")))</f>
        <v>0</v>
      </c>
      <c r="V386" s="4">
        <f>IF(OR(INDEX($AH$2:$AH$1001,MATCH(ROWS($AG$2:AG386),$AG$2:$AG$1001,0),1)&gt;=100000,INDEX($AN$1005:$BO$1005,1,MATCH(COLUMNS($AN$1006:BH1006),$AN$1006:$BO$1006,0))&gt;=100000), " ",IF(INDEX($AN$2:$BO$1001,MATCH(ROWS($AG$2:AG386),$AG$2:$AG$1001,0),MATCH(COLUMNS($AN$1006:BH1006),$AN$1006:$BO$1006,0)), HYPERLINK("#",""), HYPERLINK(CONCATENATE("#Metadata!", ADDRESS(INDEX($AI$2:$AI$1001,MATCH(ROWS($AG$2:AG386),$AG$2:$AG$1001,0),0), INDEX($AN$1004:$BO$1004,1,MATCH(COLUMNS($AN$1006:BH1006),$AN$1006:$BO$1006,0)))),"Fix")))</f>
        <v>0</v>
      </c>
      <c r="W386" s="4">
        <f>IF(OR(INDEX($AH$2:$AH$1001,MATCH(ROWS($AG$2:AG386),$AG$2:$AG$1001,0),1)&gt;=100000,INDEX($AN$1005:$BO$1005,1,MATCH(COLUMNS($AN$1006:BI1006),$AN$1006:$BO$1006,0))&gt;=100000), " ",IF(INDEX($AN$2:$BO$1001,MATCH(ROWS($AG$2:AG386),$AG$2:$AG$1001,0),MATCH(COLUMNS($AN$1006:BI1006),$AN$1006:$BO$1006,0)), HYPERLINK("#",""), HYPERLINK(CONCATENATE("#Metadata!", ADDRESS(INDEX($AI$2:$AI$1001,MATCH(ROWS($AG$2:AG386),$AG$2:$AG$1001,0),0), INDEX($AN$1004:$BO$1004,1,MATCH(COLUMNS($AN$1006:BI1006),$AN$1006:$BO$1006,0)))),"Fix")))</f>
        <v>0</v>
      </c>
      <c r="X386" s="4">
        <f>IF(OR(INDEX($AH$2:$AH$1001,MATCH(ROWS($AG$2:AG386),$AG$2:$AG$1001,0),1)&gt;=100000,INDEX($AN$1005:$BO$1005,1,MATCH(COLUMNS($AN$1006:BJ1006),$AN$1006:$BO$1006,0))&gt;=100000), " ",IF(INDEX($AN$2:$BO$1001,MATCH(ROWS($AG$2:AG386),$AG$2:$AG$1001,0),MATCH(COLUMNS($AN$1006:BJ1006),$AN$1006:$BO$1006,0)), HYPERLINK("#",""), HYPERLINK(CONCATENATE("#Metadata!", ADDRESS(INDEX($AI$2:$AI$1001,MATCH(ROWS($AG$2:AG386),$AG$2:$AG$1001,0),0), INDEX($AN$1004:$BO$1004,1,MATCH(COLUMNS($AN$1006:BJ1006),$AN$1006:$BO$1006,0)))),"Fix")))</f>
        <v>0</v>
      </c>
      <c r="Y386" s="4">
        <f>IF(OR(INDEX($AH$2:$AH$1001,MATCH(ROWS($AG$2:AG386),$AG$2:$AG$1001,0),1)&gt;=100000,INDEX($AN$1005:$BO$1005,1,MATCH(COLUMNS($AN$1006:BK1006),$AN$1006:$BO$1006,0))&gt;=100000), " ",IF(INDEX($AN$2:$BO$1001,MATCH(ROWS($AG$2:AG386),$AG$2:$AG$1001,0),MATCH(COLUMNS($AN$1006:BK1006),$AN$1006:$BO$1006,0)), HYPERLINK("#",""), HYPERLINK(CONCATENATE("#Metadata!", ADDRESS(INDEX($AI$2:$AI$1001,MATCH(ROWS($AG$2:AG386),$AG$2:$AG$1001,0),0), INDEX($AN$1004:$BO$1004,1,MATCH(COLUMNS($AN$1006:BK1006),$AN$1006:$BO$1006,0)))),"Fix")))</f>
        <v>0</v>
      </c>
      <c r="Z386" s="4">
        <f>IF(OR(INDEX($AH$2:$AH$1001,MATCH(ROWS($AG$2:AG386),$AG$2:$AG$1001,0),1)&gt;=100000,INDEX($AN$1005:$BO$1005,1,MATCH(COLUMNS($AN$1006:BL1006),$AN$1006:$BO$1006,0))&gt;=100000), " ",IF(INDEX($AN$2:$BO$1001,MATCH(ROWS($AG$2:AG386),$AG$2:$AG$1001,0),MATCH(COLUMNS($AN$1006:BL1006),$AN$1006:$BO$1006,0)), HYPERLINK("#",""), HYPERLINK(CONCATENATE("#Metadata!", ADDRESS(INDEX($AI$2:$AI$1001,MATCH(ROWS($AG$2:AG386),$AG$2:$AG$1001,0),0), INDEX($AN$1004:$BO$1004,1,MATCH(COLUMNS($AN$1006:BL1006),$AN$1006:$BO$1006,0)))),"Fix")))</f>
        <v>0</v>
      </c>
      <c r="AA386" s="4">
        <f>IF(OR(INDEX($AH$2:$AH$1001,MATCH(ROWS($AG$2:AG386),$AG$2:$AG$1001,0),1)&gt;=100000,INDEX($AN$1005:$BO$1005,1,MATCH(COLUMNS($AN$1006:BM1006),$AN$1006:$BO$1006,0))&gt;=100000), " ",IF(INDEX($AN$2:$BO$1001,MATCH(ROWS($AG$2:AG386),$AG$2:$AG$1001,0),MATCH(COLUMNS($AN$1006:BM1006),$AN$1006:$BO$1006,0)), HYPERLINK("#",""), HYPERLINK(CONCATENATE("#Metadata!", ADDRESS(INDEX($AI$2:$AI$1001,MATCH(ROWS($AG$2:AG386),$AG$2:$AG$1001,0),0), INDEX($AN$1004:$BO$1004,1,MATCH(COLUMNS($AN$1006:BM1006),$AN$1006:$BO$1006,0)))),"Fix")))</f>
        <v>0</v>
      </c>
      <c r="AB386" s="4">
        <f>IF(OR(INDEX($AH$2:$AH$1001,MATCH(ROWS($AG$2:AG386),$AG$2:$AG$1001,0),1)&gt;=100000,INDEX($AN$1005:$BO$1005,1,MATCH(COLUMNS($AN$1006:BN1006),$AN$1006:$BO$1006,0))&gt;=100000), " ",IF(INDEX($AN$2:$BO$1001,MATCH(ROWS($AG$2:AG386),$AG$2:$AG$1001,0),MATCH(COLUMNS($AN$1006:BN1006),$AN$1006:$BO$1006,0)), HYPERLINK("#",""), HYPERLINK(CONCATENATE("#Metadata!", ADDRESS(INDEX($AI$2:$AI$1001,MATCH(ROWS($AG$2:AG386),$AG$2:$AG$1001,0),0), INDEX($AN$1004:$BO$1004,1,MATCH(COLUMNS($AN$1006:BN1006),$AN$1006:$BO$1006,0)))),"Fix")))</f>
        <v>0</v>
      </c>
      <c r="AC386" s="4">
        <f>IF(OR(INDEX($AH$2:$AH$1001,MATCH(ROWS($AG$2:AG386),$AG$2:$AG$1001,0),1)&gt;=100000,INDEX($AN$1005:$BO$1005,1,MATCH(COLUMNS($AN$1006:BO1006),$AN$1006:$BO$1006,0))&gt;=100000), " ",IF(INDEX($AN$2:$BO$1001,MATCH(ROWS($AG$2:AG386),$AG$2:$AG$1001,0),MATCH(COLUMNS($AN$1006:BO1006),$AN$1006:$BO$1006,0)), HYPERLINK("#",""), HYPERLINK(CONCATENATE("#Metadata!", ADDRESS(INDEX($AI$2:$AI$1001,MATCH(ROWS($AG$2:AG386),$AG$2:$AG$1001,0),0), INDEX($AN$1004:$BO$1004,1,MATCH(COLUMNS($AN$1006:BO1006),$AN$1006:$BO$1006,0)))),"Fix")))</f>
        <v>0</v>
      </c>
      <c r="AG386">
        <v>0</v>
      </c>
      <c r="AH386">
        <v>0</v>
      </c>
      <c r="AI386">
        <v>0</v>
      </c>
      <c r="AJ386">
        <f>IF(AK386,TRUE,AND(AN386:BO386))</f>
        <v>0</v>
      </c>
      <c r="AK386">
        <f>COUNTBLANK(Metadata!B386:AC386)=COLUMNS(Metadata!B386:AC386)</f>
        <v>0</v>
      </c>
      <c r="AL386">
        <v>0</v>
      </c>
      <c r="AN386">
        <f>AND(IF(Metadata!B386="",FALSE,TRUE),COUNTIF(Metadata!B:B, Metadata!B386) = 1,NOT(ISERROR(SUMPRODUCT(SEARCH(MID(Metadata!B386,ROW(INDIRECT("1:"&amp;LEN(Metadata!B386))), 1),"0123456789abcdefghijklmnopqrstuvwxyzABCDEFGHIJKLMNOPQRSTUVWXYZ.")))))</f>
        <v>0</v>
      </c>
      <c r="AO386">
        <f>IF(Metadata!C386="",FALSE,TRUE)</f>
        <v>0</v>
      </c>
      <c r="AP386">
        <f>IF(Metadata!D386="",FALSE,TRUE)</f>
        <v>0</v>
      </c>
      <c r="AQ386">
        <f>OR(AND(IF(Metadata!E386="",FALSE,TRUE),OR(exact(Metadata!E386,"not collected"),exact(Metadata!E386,"not provided"),exact(Metadata!E386,"restricted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R386">
        <f>IF(Metadata!F386="",FALSE,TRUE)</f>
        <v>0</v>
      </c>
      <c r="AS386">
        <f>OR(AND(IF(Metadata!G386="",FALSE,TRUE),OR(exact(Metadata!G386,"not collected"),exact(Metadata!G386,"not provided"))),AND(IF(Metadata!G386="",FALSE,TRUE),OR(exact(Metadata!G386,"TRUE"),exact(Metadata!G386,"FALSE"))))</f>
        <v>0</v>
      </c>
      <c r="AT386">
        <f>OR(AND(IF(Metadata!H386="",FALSE,TRUE),OR(exact(Metadata!H386,"not collected"),exact(Metadata!H386,"not provided"),exact(Metadata!H386,"restricted access"))),AND(IF(Metadata!H386="",FALSE,ISNUMBER(VALUE(Metadata!H386))),Metadata!H386&gt;=-413.0))</f>
        <v>0</v>
      </c>
      <c r="AU386">
        <f>AND(IF(Metadata!I386="",FALSE,TRUE),exact(Metadata!I386,"meters"))</f>
        <v>0</v>
      </c>
      <c r="AV386">
        <f>AND(IF(Metadata!J386="",FALSE,TRUE),OR(exact(Metadata!J386,"Host-associated"),exact(Metadata!J386,"Free-living")))</f>
        <v>0</v>
      </c>
      <c r="AW386">
        <f>AND(IF(Metadata!K386="",FALSE,TRUE),OR(exact(Metadata!K386,"Animal"),exact(Metadata!K386,"Fungus"),exact(Metadata!K386,"Plant"),exact(Metadata!K386,"Saline"),exact(Metadata!K386,"Non-saline")))</f>
        <v>0</v>
      </c>
      <c r="AX386">
        <f>AND(IF(Metadata!L386="",FALSE,TRUE),OR(exact(Metadata!L386,"Plant secretion"),exact(Metadata!L386,"Plant rhizosphere"),exact(Metadata!L386,"Plant surface"),exact(Metadata!L386,"Plant corpus"),exact(Metadata!L386,"Fungus surface"),exact(Metadata!L386,"Fungus corpus"),exact(Metadata!L386,"Animal surface"),exact(Metadata!L386,"Animal proximal gut"),exact(Metadata!L386,"Animal corpus"),exact(Metadata!L386,"Animal distal gut"),exact(Metadata!L386,"Animal secretion"),exact(Metadata!L386,"Sub-surface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Y386">
        <f>IF(Metadata!M386="",FALSE,TRUE)</f>
        <v>0</v>
      </c>
      <c r="AZ386">
        <f>IF(Metadata!N386="",FALSE,TRUE)</f>
        <v>0</v>
      </c>
      <c r="BA386">
        <f>IF(Metadata!O386="",FALSE,TRUE)</f>
        <v>0</v>
      </c>
      <c r="BB386">
        <f>OR(AND(IF(Metadata!P386="",FALSE,TRUE),OR(exact(Metadata!P386,"not collected"),exact(Metadata!P386,"not provided"),exact(Metadata!P386,"restricted access"))),AND(IF(Metadata!P386="",FALSE,TRUE),OR(exact(Metadata!P386,"air"),exact(Metadata!P386,"built environment"),exact(Metadata!P386,"host-associated"),exact(Metadata!P386,"human-associated"),exact(Metadata!P386,"human-skin"),exact(Metadata!P386,"human-oral"),exact(Metadata!P386,"human-gut"),exact(Metadata!P386,"human-vaginal"),exact(Metadata!P386,"microbial mat/biofilm"),exact(Metadata!P386,"misc environment"),exact(Metadata!P386,"plant-associated"),exact(Metadata!P386,"sediment"),exact(Metadata!P386,"soil"),exact(Metadata!P386,"wastewater/sludge"),exact(Metadata!P386,"water"))))</f>
        <v>0</v>
      </c>
      <c r="BC386">
        <f>IF(Metadata!Q386="",FALSE,TRUE)</f>
        <v>0</v>
      </c>
      <c r="BD386">
        <f>IF(Metadata!R386="",FALSE,TRUE)</f>
        <v>0</v>
      </c>
      <c r="BE386">
        <f>OR(AND(IF(Metadata!S386="",FALSE,TRUE),OR(exact(Metadata!S386,"not collected"),exact(Metadata!S386,"not provided"),exact(Metadata!S386,"restricted access"))),AND(IF(Metadata!S386="",FALSE,ISNUMBER(VALUE(Metadata!S386))),Metadata!S386&gt;=-90.00,Metadata!S386&lt;=90.00))</f>
        <v>0</v>
      </c>
      <c r="BF386">
        <f>AND(IF(Metadata!T386="",FALSE,TRUE),exact(Metadata!T386,"Decimal degrees"))</f>
        <v>0</v>
      </c>
      <c r="BG386">
        <f>OR(AND(IF(Metadata!U386="",FALSE,TRUE),OR(exact(Metadata!U386,"not collected"),exact(Metadata!U386,"not provided"),exact(Metadata!U386,"restricted access"))),AND(IF(Metadata!U386="",FALSE,ISNUMBER(VALUE(Metadata!U386))),Metadata!U386&gt;=-180.00,Metadata!U386&lt;=180.00))</f>
        <v>0</v>
      </c>
      <c r="BH386">
        <f>AND(IF(Metadata!V386="",FALSE,TRUE),exact(Metadata!V386,"Decimal degrees"))</f>
        <v>0</v>
      </c>
      <c r="BI386">
        <f>IF(Metadata!W386="",FALSE,TRUE)</f>
        <v>0</v>
      </c>
      <c r="BJ386">
        <f>OR(AND(IF(Metadata!X386="",FALSE,TRUE),OR(exact(Metadata!X386,"not collected"),exact(Metadata!X386,"not provided"),exact(Metadata!X386,"restricted access"))),AND(IF(Metadata!X386="",FALSE,TRUE),OR(exact(Metadata!X386,"TRUE"),exact(Metadata!X386,"FALSE"))))</f>
        <v>0</v>
      </c>
      <c r="BK386">
        <f>AND(IF(Metadata!Y386="",FALSE,TRUE),exact(Metadata!Y386,"other"))</f>
        <v>0</v>
      </c>
      <c r="BL386">
        <f>IF(Metadata!Z386="",FALSE,TRUE)</f>
        <v>0</v>
      </c>
      <c r="BM386">
        <f>OR(AND(IF(Metadata!AA386="",FALSE,TRUE),OR(exact(Metadata!AA386,"not collected"),exact(Metadata!AA386,"not provided"))),AND(IF(Metadata!AA386="",FALSE,IF(ISERROR(INT(Metadata!AA386)),FALSE,INT(Metadata!AA386)=Metadata!AA386)),Metadata!AA386&gt;0))</f>
        <v>0</v>
      </c>
      <c r="BN386">
        <f>AND(IF(Metadata!AB386="",FALSE,TRUE),exact(Metadata!AB386,"Not applicable"))</f>
        <v>0</v>
      </c>
      <c r="BO386">
        <f>IF(Metadata!AC386="",FALSE,TRUE)</f>
        <v>0</v>
      </c>
    </row>
    <row r="387" spans="1:67">
      <c r="A387" s="5">
        <f>IF(B387=" "," ",HYPERLINK(CONCATENATE("#metadata!",ADDRESS(INDEX($AI$2:$AI$1001,MATCH(ROWS($AG$2:AG387),$AG$2:$AG$1001,0),0),1)),INDEX($AL$2:$AL$1001,MATCH(ROWS($AG$2:AG387),$AG$2:$AG$1001,0),0)))</f>
        <v>0</v>
      </c>
      <c r="B387" s="4">
        <f>IF(OR(INDEX($AH$2:$AH$1001,MATCH(ROWS($AG$2:AG387),$AG$2:$AG$1001,0),1)&gt;=100000,INDEX($AN$1005:$BO$1005,1,MATCH(COLUMNS($AN$1006:AN1006),$AN$1006:$BO$1006,0))&gt;=100000), " ",IF(INDEX($AN$2:$BO$1001,MATCH(ROWS($AG$2:AG387),$AG$2:$AG$1001,0),MATCH(COLUMNS($AN$1006:AN1006),$AN$1006:$BO$1006,0)), HYPERLINK("#",""), HYPERLINK(CONCATENATE("#Metadata!", ADDRESS(INDEX($AI$2:$AI$1001,MATCH(ROWS($AG$2:AG387),$AG$2:$AG$1001,0),0), INDEX($AN$1004:$BO$1004,1,MATCH(COLUMNS($AN$1006:AN1006),$AN$1006:$BO$1006,0)))),"Fix")))</f>
        <v>0</v>
      </c>
      <c r="C387" s="4">
        <f>IF(OR(INDEX($AH$2:$AH$1001,MATCH(ROWS($AG$2:AG387),$AG$2:$AG$1001,0),1)&gt;=100000,INDEX($AN$1005:$BO$1005,1,MATCH(COLUMNS($AN$1006:AO1006),$AN$1006:$BO$1006,0))&gt;=100000), " ",IF(INDEX($AN$2:$BO$1001,MATCH(ROWS($AG$2:AG387),$AG$2:$AG$1001,0),MATCH(COLUMNS($AN$1006:AO1006),$AN$1006:$BO$1006,0)), HYPERLINK("#",""), HYPERLINK(CONCATENATE("#Metadata!", ADDRESS(INDEX($AI$2:$AI$1001,MATCH(ROWS($AG$2:AG387),$AG$2:$AG$1001,0),0), INDEX($AN$1004:$BO$1004,1,MATCH(COLUMNS($AN$1006:AO1006),$AN$1006:$BO$1006,0)))),"Fix")))</f>
        <v>0</v>
      </c>
      <c r="D387" s="4">
        <f>IF(OR(INDEX($AH$2:$AH$1001,MATCH(ROWS($AG$2:AG387),$AG$2:$AG$1001,0),1)&gt;=100000,INDEX($AN$1005:$BO$1005,1,MATCH(COLUMNS($AN$1006:AP1006),$AN$1006:$BO$1006,0))&gt;=100000), " ",IF(INDEX($AN$2:$BO$1001,MATCH(ROWS($AG$2:AG387),$AG$2:$AG$1001,0),MATCH(COLUMNS($AN$1006:AP1006),$AN$1006:$BO$1006,0)), HYPERLINK("#",""), HYPERLINK(CONCATENATE("#Metadata!", ADDRESS(INDEX($AI$2:$AI$1001,MATCH(ROWS($AG$2:AG387),$AG$2:$AG$1001,0),0), INDEX($AN$1004:$BO$1004,1,MATCH(COLUMNS($AN$1006:AP1006),$AN$1006:$BO$1006,0)))),"Fix")))</f>
        <v>0</v>
      </c>
      <c r="E387" s="4">
        <f>IF(OR(INDEX($AH$2:$AH$1001,MATCH(ROWS($AG$2:AG387),$AG$2:$AG$1001,0),1)&gt;=100000,INDEX($AN$1005:$BO$1005,1,MATCH(COLUMNS($AN$1006:AQ1006),$AN$1006:$BO$1006,0))&gt;=100000), " ",IF(INDEX($AN$2:$BO$1001,MATCH(ROWS($AG$2:AG387),$AG$2:$AG$1001,0),MATCH(COLUMNS($AN$1006:AQ1006),$AN$1006:$BO$1006,0)), HYPERLINK("#",""), HYPERLINK(CONCATENATE("#Metadata!", ADDRESS(INDEX($AI$2:$AI$1001,MATCH(ROWS($AG$2:AG387),$AG$2:$AG$1001,0),0), INDEX($AN$1004:$BO$1004,1,MATCH(COLUMNS($AN$1006:AQ1006),$AN$1006:$BO$1006,0)))),"Fix")))</f>
        <v>0</v>
      </c>
      <c r="F387" s="4">
        <f>IF(OR(INDEX($AH$2:$AH$1001,MATCH(ROWS($AG$2:AG387),$AG$2:$AG$1001,0),1)&gt;=100000,INDEX($AN$1005:$BO$1005,1,MATCH(COLUMNS($AN$1006:AR1006),$AN$1006:$BO$1006,0))&gt;=100000), " ",IF(INDEX($AN$2:$BO$1001,MATCH(ROWS($AG$2:AG387),$AG$2:$AG$1001,0),MATCH(COLUMNS($AN$1006:AR1006),$AN$1006:$BO$1006,0)), HYPERLINK("#",""), HYPERLINK(CONCATENATE("#Metadata!", ADDRESS(INDEX($AI$2:$AI$1001,MATCH(ROWS($AG$2:AG387),$AG$2:$AG$1001,0),0), INDEX($AN$1004:$BO$1004,1,MATCH(COLUMNS($AN$1006:AR1006),$AN$1006:$BO$1006,0)))),"Fix")))</f>
        <v>0</v>
      </c>
      <c r="G387" s="4">
        <f>IF(OR(INDEX($AH$2:$AH$1001,MATCH(ROWS($AG$2:AG387),$AG$2:$AG$1001,0),1)&gt;=100000,INDEX($AN$1005:$BO$1005,1,MATCH(COLUMNS($AN$1006:AS1006),$AN$1006:$BO$1006,0))&gt;=100000), " ",IF(INDEX($AN$2:$BO$1001,MATCH(ROWS($AG$2:AG387),$AG$2:$AG$1001,0),MATCH(COLUMNS($AN$1006:AS1006),$AN$1006:$BO$1006,0)), HYPERLINK("#",""), HYPERLINK(CONCATENATE("#Metadata!", ADDRESS(INDEX($AI$2:$AI$1001,MATCH(ROWS($AG$2:AG387),$AG$2:$AG$1001,0),0), INDEX($AN$1004:$BO$1004,1,MATCH(COLUMNS($AN$1006:AS1006),$AN$1006:$BO$1006,0)))),"Fix")))</f>
        <v>0</v>
      </c>
      <c r="H387" s="4">
        <f>IF(OR(INDEX($AH$2:$AH$1001,MATCH(ROWS($AG$2:AG387),$AG$2:$AG$1001,0),1)&gt;=100000,INDEX($AN$1005:$BO$1005,1,MATCH(COLUMNS($AN$1006:AT1006),$AN$1006:$BO$1006,0))&gt;=100000), " ",IF(INDEX($AN$2:$BO$1001,MATCH(ROWS($AG$2:AG387),$AG$2:$AG$1001,0),MATCH(COLUMNS($AN$1006:AT1006),$AN$1006:$BO$1006,0)), HYPERLINK("#",""), HYPERLINK(CONCATENATE("#Metadata!", ADDRESS(INDEX($AI$2:$AI$1001,MATCH(ROWS($AG$2:AG387),$AG$2:$AG$1001,0),0), INDEX($AN$1004:$BO$1004,1,MATCH(COLUMNS($AN$1006:AT1006),$AN$1006:$BO$1006,0)))),"Fix")))</f>
        <v>0</v>
      </c>
      <c r="I387" s="4">
        <f>IF(OR(INDEX($AH$2:$AH$1001,MATCH(ROWS($AG$2:AG387),$AG$2:$AG$1001,0),1)&gt;=100000,INDEX($AN$1005:$BO$1005,1,MATCH(COLUMNS($AN$1006:AU1006),$AN$1006:$BO$1006,0))&gt;=100000), " ",IF(INDEX($AN$2:$BO$1001,MATCH(ROWS($AG$2:AG387),$AG$2:$AG$1001,0),MATCH(COLUMNS($AN$1006:AU1006),$AN$1006:$BO$1006,0)), HYPERLINK("#",""), HYPERLINK(CONCATENATE("#Metadata!", ADDRESS(INDEX($AI$2:$AI$1001,MATCH(ROWS($AG$2:AG387),$AG$2:$AG$1001,0),0), INDEX($AN$1004:$BO$1004,1,MATCH(COLUMNS($AN$1006:AU1006),$AN$1006:$BO$1006,0)))),"Fix")))</f>
        <v>0</v>
      </c>
      <c r="J387" s="4">
        <f>IF(OR(INDEX($AH$2:$AH$1001,MATCH(ROWS($AG$2:AG387),$AG$2:$AG$1001,0),1)&gt;=100000,INDEX($AN$1005:$BO$1005,1,MATCH(COLUMNS($AN$1006:AV1006),$AN$1006:$BO$1006,0))&gt;=100000), " ",IF(INDEX($AN$2:$BO$1001,MATCH(ROWS($AG$2:AG387),$AG$2:$AG$1001,0),MATCH(COLUMNS($AN$1006:AV1006),$AN$1006:$BO$1006,0)), HYPERLINK("#",""), HYPERLINK(CONCATENATE("#Metadata!", ADDRESS(INDEX($AI$2:$AI$1001,MATCH(ROWS($AG$2:AG387),$AG$2:$AG$1001,0),0), INDEX($AN$1004:$BO$1004,1,MATCH(COLUMNS($AN$1006:AV1006),$AN$1006:$BO$1006,0)))),"Fix")))</f>
        <v>0</v>
      </c>
      <c r="K387" s="4">
        <f>IF(OR(INDEX($AH$2:$AH$1001,MATCH(ROWS($AG$2:AG387),$AG$2:$AG$1001,0),1)&gt;=100000,INDEX($AN$1005:$BO$1005,1,MATCH(COLUMNS($AN$1006:AW1006),$AN$1006:$BO$1006,0))&gt;=100000), " ",IF(INDEX($AN$2:$BO$1001,MATCH(ROWS($AG$2:AG387),$AG$2:$AG$1001,0),MATCH(COLUMNS($AN$1006:AW1006),$AN$1006:$BO$1006,0)), HYPERLINK("#",""), HYPERLINK(CONCATENATE("#Metadata!", ADDRESS(INDEX($AI$2:$AI$1001,MATCH(ROWS($AG$2:AG387),$AG$2:$AG$1001,0),0), INDEX($AN$1004:$BO$1004,1,MATCH(COLUMNS($AN$1006:AW1006),$AN$1006:$BO$1006,0)))),"Fix")))</f>
        <v>0</v>
      </c>
      <c r="L387" s="4">
        <f>IF(OR(INDEX($AH$2:$AH$1001,MATCH(ROWS($AG$2:AG387),$AG$2:$AG$1001,0),1)&gt;=100000,INDEX($AN$1005:$BO$1005,1,MATCH(COLUMNS($AN$1006:AX1006),$AN$1006:$BO$1006,0))&gt;=100000), " ",IF(INDEX($AN$2:$BO$1001,MATCH(ROWS($AG$2:AG387),$AG$2:$AG$1001,0),MATCH(COLUMNS($AN$1006:AX1006),$AN$1006:$BO$1006,0)), HYPERLINK("#",""), HYPERLINK(CONCATENATE("#Metadata!", ADDRESS(INDEX($AI$2:$AI$1001,MATCH(ROWS($AG$2:AG387),$AG$2:$AG$1001,0),0), INDEX($AN$1004:$BO$1004,1,MATCH(COLUMNS($AN$1006:AX1006),$AN$1006:$BO$1006,0)))),"Fix")))</f>
        <v>0</v>
      </c>
      <c r="M387" s="4">
        <f>IF(OR(INDEX($AH$2:$AH$1001,MATCH(ROWS($AG$2:AG387),$AG$2:$AG$1001,0),1)&gt;=100000,INDEX($AN$1005:$BO$1005,1,MATCH(COLUMNS($AN$1006:AY1006),$AN$1006:$BO$1006,0))&gt;=100000), " ",IF(INDEX($AN$2:$BO$1001,MATCH(ROWS($AG$2:AG387),$AG$2:$AG$1001,0),MATCH(COLUMNS($AN$1006:AY1006),$AN$1006:$BO$1006,0)), HYPERLINK("#",""), HYPERLINK(CONCATENATE("#Metadata!", ADDRESS(INDEX($AI$2:$AI$1001,MATCH(ROWS($AG$2:AG387),$AG$2:$AG$1001,0),0), INDEX($AN$1004:$BO$1004,1,MATCH(COLUMNS($AN$1006:AY1006),$AN$1006:$BO$1006,0)))),"Fix")))</f>
        <v>0</v>
      </c>
      <c r="N387" s="4">
        <f>IF(OR(INDEX($AH$2:$AH$1001,MATCH(ROWS($AG$2:AG387),$AG$2:$AG$1001,0),1)&gt;=100000,INDEX($AN$1005:$BO$1005,1,MATCH(COLUMNS($AN$1006:AZ1006),$AN$1006:$BO$1006,0))&gt;=100000), " ",IF(INDEX($AN$2:$BO$1001,MATCH(ROWS($AG$2:AG387),$AG$2:$AG$1001,0),MATCH(COLUMNS($AN$1006:AZ1006),$AN$1006:$BO$1006,0)), HYPERLINK("#",""), HYPERLINK(CONCATENATE("#Metadata!", ADDRESS(INDEX($AI$2:$AI$1001,MATCH(ROWS($AG$2:AG387),$AG$2:$AG$1001,0),0), INDEX($AN$1004:$BO$1004,1,MATCH(COLUMNS($AN$1006:AZ1006),$AN$1006:$BO$1006,0)))),"Fix")))</f>
        <v>0</v>
      </c>
      <c r="O387" s="4">
        <f>IF(OR(INDEX($AH$2:$AH$1001,MATCH(ROWS($AG$2:AG387),$AG$2:$AG$1001,0),1)&gt;=100000,INDEX($AN$1005:$BO$1005,1,MATCH(COLUMNS($AN$1006:BA1006),$AN$1006:$BO$1006,0))&gt;=100000), " ",IF(INDEX($AN$2:$BO$1001,MATCH(ROWS($AG$2:AG387),$AG$2:$AG$1001,0),MATCH(COLUMNS($AN$1006:BA1006),$AN$1006:$BO$1006,0)), HYPERLINK("#",""), HYPERLINK(CONCATENATE("#Metadata!", ADDRESS(INDEX($AI$2:$AI$1001,MATCH(ROWS($AG$2:AG387),$AG$2:$AG$1001,0),0), INDEX($AN$1004:$BO$1004,1,MATCH(COLUMNS($AN$1006:BA1006),$AN$1006:$BO$1006,0)))),"Fix")))</f>
        <v>0</v>
      </c>
      <c r="P387" s="4">
        <f>IF(OR(INDEX($AH$2:$AH$1001,MATCH(ROWS($AG$2:AG387),$AG$2:$AG$1001,0),1)&gt;=100000,INDEX($AN$1005:$BO$1005,1,MATCH(COLUMNS($AN$1006:BB1006),$AN$1006:$BO$1006,0))&gt;=100000), " ",IF(INDEX($AN$2:$BO$1001,MATCH(ROWS($AG$2:AG387),$AG$2:$AG$1001,0),MATCH(COLUMNS($AN$1006:BB1006),$AN$1006:$BO$1006,0)), HYPERLINK("#",""), HYPERLINK(CONCATENATE("#Metadata!", ADDRESS(INDEX($AI$2:$AI$1001,MATCH(ROWS($AG$2:AG387),$AG$2:$AG$1001,0),0), INDEX($AN$1004:$BO$1004,1,MATCH(COLUMNS($AN$1006:BB1006),$AN$1006:$BO$1006,0)))),"Fix")))</f>
        <v>0</v>
      </c>
      <c r="Q387" s="4">
        <f>IF(OR(INDEX($AH$2:$AH$1001,MATCH(ROWS($AG$2:AG387),$AG$2:$AG$1001,0),1)&gt;=100000,INDEX($AN$1005:$BO$1005,1,MATCH(COLUMNS($AN$1006:BC1006),$AN$1006:$BO$1006,0))&gt;=100000), " ",IF(INDEX($AN$2:$BO$1001,MATCH(ROWS($AG$2:AG387),$AG$2:$AG$1001,0),MATCH(COLUMNS($AN$1006:BC1006),$AN$1006:$BO$1006,0)), HYPERLINK("#",""), HYPERLINK(CONCATENATE("#Metadata!", ADDRESS(INDEX($AI$2:$AI$1001,MATCH(ROWS($AG$2:AG387),$AG$2:$AG$1001,0),0), INDEX($AN$1004:$BO$1004,1,MATCH(COLUMNS($AN$1006:BC1006),$AN$1006:$BO$1006,0)))),"Fix")))</f>
        <v>0</v>
      </c>
      <c r="R387" s="4">
        <f>IF(OR(INDEX($AH$2:$AH$1001,MATCH(ROWS($AG$2:AG387),$AG$2:$AG$1001,0),1)&gt;=100000,INDEX($AN$1005:$BO$1005,1,MATCH(COLUMNS($AN$1006:BD1006),$AN$1006:$BO$1006,0))&gt;=100000), " ",IF(INDEX($AN$2:$BO$1001,MATCH(ROWS($AG$2:AG387),$AG$2:$AG$1001,0),MATCH(COLUMNS($AN$1006:BD1006),$AN$1006:$BO$1006,0)), HYPERLINK("#",""), HYPERLINK(CONCATENATE("#Metadata!", ADDRESS(INDEX($AI$2:$AI$1001,MATCH(ROWS($AG$2:AG387),$AG$2:$AG$1001,0),0), INDEX($AN$1004:$BO$1004,1,MATCH(COLUMNS($AN$1006:BD1006),$AN$1006:$BO$1006,0)))),"Fix")))</f>
        <v>0</v>
      </c>
      <c r="S387" s="4">
        <f>IF(OR(INDEX($AH$2:$AH$1001,MATCH(ROWS($AG$2:AG387),$AG$2:$AG$1001,0),1)&gt;=100000,INDEX($AN$1005:$BO$1005,1,MATCH(COLUMNS($AN$1006:BE1006),$AN$1006:$BO$1006,0))&gt;=100000), " ",IF(INDEX($AN$2:$BO$1001,MATCH(ROWS($AG$2:AG387),$AG$2:$AG$1001,0),MATCH(COLUMNS($AN$1006:BE1006),$AN$1006:$BO$1006,0)), HYPERLINK("#",""), HYPERLINK(CONCATENATE("#Metadata!", ADDRESS(INDEX($AI$2:$AI$1001,MATCH(ROWS($AG$2:AG387),$AG$2:$AG$1001,0),0), INDEX($AN$1004:$BO$1004,1,MATCH(COLUMNS($AN$1006:BE1006),$AN$1006:$BO$1006,0)))),"Fix")))</f>
        <v>0</v>
      </c>
      <c r="T387" s="4">
        <f>IF(OR(INDEX($AH$2:$AH$1001,MATCH(ROWS($AG$2:AG387),$AG$2:$AG$1001,0),1)&gt;=100000,INDEX($AN$1005:$BO$1005,1,MATCH(COLUMNS($AN$1006:BF1006),$AN$1006:$BO$1006,0))&gt;=100000), " ",IF(INDEX($AN$2:$BO$1001,MATCH(ROWS($AG$2:AG387),$AG$2:$AG$1001,0),MATCH(COLUMNS($AN$1006:BF1006),$AN$1006:$BO$1006,0)), HYPERLINK("#",""), HYPERLINK(CONCATENATE("#Metadata!", ADDRESS(INDEX($AI$2:$AI$1001,MATCH(ROWS($AG$2:AG387),$AG$2:$AG$1001,0),0), INDEX($AN$1004:$BO$1004,1,MATCH(COLUMNS($AN$1006:BF1006),$AN$1006:$BO$1006,0)))),"Fix")))</f>
        <v>0</v>
      </c>
      <c r="U387" s="4">
        <f>IF(OR(INDEX($AH$2:$AH$1001,MATCH(ROWS($AG$2:AG387),$AG$2:$AG$1001,0),1)&gt;=100000,INDEX($AN$1005:$BO$1005,1,MATCH(COLUMNS($AN$1006:BG1006),$AN$1006:$BO$1006,0))&gt;=100000), " ",IF(INDEX($AN$2:$BO$1001,MATCH(ROWS($AG$2:AG387),$AG$2:$AG$1001,0),MATCH(COLUMNS($AN$1006:BG1006),$AN$1006:$BO$1006,0)), HYPERLINK("#",""), HYPERLINK(CONCATENATE("#Metadata!", ADDRESS(INDEX($AI$2:$AI$1001,MATCH(ROWS($AG$2:AG387),$AG$2:$AG$1001,0),0), INDEX($AN$1004:$BO$1004,1,MATCH(COLUMNS($AN$1006:BG1006),$AN$1006:$BO$1006,0)))),"Fix")))</f>
        <v>0</v>
      </c>
      <c r="V387" s="4">
        <f>IF(OR(INDEX($AH$2:$AH$1001,MATCH(ROWS($AG$2:AG387),$AG$2:$AG$1001,0),1)&gt;=100000,INDEX($AN$1005:$BO$1005,1,MATCH(COLUMNS($AN$1006:BH1006),$AN$1006:$BO$1006,0))&gt;=100000), " ",IF(INDEX($AN$2:$BO$1001,MATCH(ROWS($AG$2:AG387),$AG$2:$AG$1001,0),MATCH(COLUMNS($AN$1006:BH1006),$AN$1006:$BO$1006,0)), HYPERLINK("#",""), HYPERLINK(CONCATENATE("#Metadata!", ADDRESS(INDEX($AI$2:$AI$1001,MATCH(ROWS($AG$2:AG387),$AG$2:$AG$1001,0),0), INDEX($AN$1004:$BO$1004,1,MATCH(COLUMNS($AN$1006:BH1006),$AN$1006:$BO$1006,0)))),"Fix")))</f>
        <v>0</v>
      </c>
      <c r="W387" s="4">
        <f>IF(OR(INDEX($AH$2:$AH$1001,MATCH(ROWS($AG$2:AG387),$AG$2:$AG$1001,0),1)&gt;=100000,INDEX($AN$1005:$BO$1005,1,MATCH(COLUMNS($AN$1006:BI1006),$AN$1006:$BO$1006,0))&gt;=100000), " ",IF(INDEX($AN$2:$BO$1001,MATCH(ROWS($AG$2:AG387),$AG$2:$AG$1001,0),MATCH(COLUMNS($AN$1006:BI1006),$AN$1006:$BO$1006,0)), HYPERLINK("#",""), HYPERLINK(CONCATENATE("#Metadata!", ADDRESS(INDEX($AI$2:$AI$1001,MATCH(ROWS($AG$2:AG387),$AG$2:$AG$1001,0),0), INDEX($AN$1004:$BO$1004,1,MATCH(COLUMNS($AN$1006:BI1006),$AN$1006:$BO$1006,0)))),"Fix")))</f>
        <v>0</v>
      </c>
      <c r="X387" s="4">
        <f>IF(OR(INDEX($AH$2:$AH$1001,MATCH(ROWS($AG$2:AG387),$AG$2:$AG$1001,0),1)&gt;=100000,INDEX($AN$1005:$BO$1005,1,MATCH(COLUMNS($AN$1006:BJ1006),$AN$1006:$BO$1006,0))&gt;=100000), " ",IF(INDEX($AN$2:$BO$1001,MATCH(ROWS($AG$2:AG387),$AG$2:$AG$1001,0),MATCH(COLUMNS($AN$1006:BJ1006),$AN$1006:$BO$1006,0)), HYPERLINK("#",""), HYPERLINK(CONCATENATE("#Metadata!", ADDRESS(INDEX($AI$2:$AI$1001,MATCH(ROWS($AG$2:AG387),$AG$2:$AG$1001,0),0), INDEX($AN$1004:$BO$1004,1,MATCH(COLUMNS($AN$1006:BJ1006),$AN$1006:$BO$1006,0)))),"Fix")))</f>
        <v>0</v>
      </c>
      <c r="Y387" s="4">
        <f>IF(OR(INDEX($AH$2:$AH$1001,MATCH(ROWS($AG$2:AG387),$AG$2:$AG$1001,0),1)&gt;=100000,INDEX($AN$1005:$BO$1005,1,MATCH(COLUMNS($AN$1006:BK1006),$AN$1006:$BO$1006,0))&gt;=100000), " ",IF(INDEX($AN$2:$BO$1001,MATCH(ROWS($AG$2:AG387),$AG$2:$AG$1001,0),MATCH(COLUMNS($AN$1006:BK1006),$AN$1006:$BO$1006,0)), HYPERLINK("#",""), HYPERLINK(CONCATENATE("#Metadata!", ADDRESS(INDEX($AI$2:$AI$1001,MATCH(ROWS($AG$2:AG387),$AG$2:$AG$1001,0),0), INDEX($AN$1004:$BO$1004,1,MATCH(COLUMNS($AN$1006:BK1006),$AN$1006:$BO$1006,0)))),"Fix")))</f>
        <v>0</v>
      </c>
      <c r="Z387" s="4">
        <f>IF(OR(INDEX($AH$2:$AH$1001,MATCH(ROWS($AG$2:AG387),$AG$2:$AG$1001,0),1)&gt;=100000,INDEX($AN$1005:$BO$1005,1,MATCH(COLUMNS($AN$1006:BL1006),$AN$1006:$BO$1006,0))&gt;=100000), " ",IF(INDEX($AN$2:$BO$1001,MATCH(ROWS($AG$2:AG387),$AG$2:$AG$1001,0),MATCH(COLUMNS($AN$1006:BL1006),$AN$1006:$BO$1006,0)), HYPERLINK("#",""), HYPERLINK(CONCATENATE("#Metadata!", ADDRESS(INDEX($AI$2:$AI$1001,MATCH(ROWS($AG$2:AG387),$AG$2:$AG$1001,0),0), INDEX($AN$1004:$BO$1004,1,MATCH(COLUMNS($AN$1006:BL1006),$AN$1006:$BO$1006,0)))),"Fix")))</f>
        <v>0</v>
      </c>
      <c r="AA387" s="4">
        <f>IF(OR(INDEX($AH$2:$AH$1001,MATCH(ROWS($AG$2:AG387),$AG$2:$AG$1001,0),1)&gt;=100000,INDEX($AN$1005:$BO$1005,1,MATCH(COLUMNS($AN$1006:BM1006),$AN$1006:$BO$1006,0))&gt;=100000), " ",IF(INDEX($AN$2:$BO$1001,MATCH(ROWS($AG$2:AG387),$AG$2:$AG$1001,0),MATCH(COLUMNS($AN$1006:BM1006),$AN$1006:$BO$1006,0)), HYPERLINK("#",""), HYPERLINK(CONCATENATE("#Metadata!", ADDRESS(INDEX($AI$2:$AI$1001,MATCH(ROWS($AG$2:AG387),$AG$2:$AG$1001,0),0), INDEX($AN$1004:$BO$1004,1,MATCH(COLUMNS($AN$1006:BM1006),$AN$1006:$BO$1006,0)))),"Fix")))</f>
        <v>0</v>
      </c>
      <c r="AB387" s="4">
        <f>IF(OR(INDEX($AH$2:$AH$1001,MATCH(ROWS($AG$2:AG387),$AG$2:$AG$1001,0),1)&gt;=100000,INDEX($AN$1005:$BO$1005,1,MATCH(COLUMNS($AN$1006:BN1006),$AN$1006:$BO$1006,0))&gt;=100000), " ",IF(INDEX($AN$2:$BO$1001,MATCH(ROWS($AG$2:AG387),$AG$2:$AG$1001,0),MATCH(COLUMNS($AN$1006:BN1006),$AN$1006:$BO$1006,0)), HYPERLINK("#",""), HYPERLINK(CONCATENATE("#Metadata!", ADDRESS(INDEX($AI$2:$AI$1001,MATCH(ROWS($AG$2:AG387),$AG$2:$AG$1001,0),0), INDEX($AN$1004:$BO$1004,1,MATCH(COLUMNS($AN$1006:BN1006),$AN$1006:$BO$1006,0)))),"Fix")))</f>
        <v>0</v>
      </c>
      <c r="AC387" s="4">
        <f>IF(OR(INDEX($AH$2:$AH$1001,MATCH(ROWS($AG$2:AG387),$AG$2:$AG$1001,0),1)&gt;=100000,INDEX($AN$1005:$BO$1005,1,MATCH(COLUMNS($AN$1006:BO1006),$AN$1006:$BO$1006,0))&gt;=100000), " ",IF(INDEX($AN$2:$BO$1001,MATCH(ROWS($AG$2:AG387),$AG$2:$AG$1001,0),MATCH(COLUMNS($AN$1006:BO1006),$AN$1006:$BO$1006,0)), HYPERLINK("#",""), HYPERLINK(CONCATENATE("#Metadata!", ADDRESS(INDEX($AI$2:$AI$1001,MATCH(ROWS($AG$2:AG387),$AG$2:$AG$1001,0),0), INDEX($AN$1004:$BO$1004,1,MATCH(COLUMNS($AN$1006:BO1006),$AN$1006:$BO$1006,0)))),"Fix")))</f>
        <v>0</v>
      </c>
      <c r="AG387">
        <v>0</v>
      </c>
      <c r="AH387">
        <v>0</v>
      </c>
      <c r="AI387">
        <v>0</v>
      </c>
      <c r="AJ387">
        <f>IF(AK387,TRUE,AND(AN387:BO387))</f>
        <v>0</v>
      </c>
      <c r="AK387">
        <f>COUNTBLANK(Metadata!B387:AC387)=COLUMNS(Metadata!B387:AC387)</f>
        <v>0</v>
      </c>
      <c r="AL387">
        <v>0</v>
      </c>
      <c r="AN387">
        <f>AND(IF(Metadata!B387="",FALSE,TRUE),COUNTIF(Metadata!B:B, Metadata!B387) = 1,NOT(ISERROR(SUMPRODUCT(SEARCH(MID(Metadata!B387,ROW(INDIRECT("1:"&amp;LEN(Metadata!B387))), 1),"0123456789abcdefghijklmnopqrstuvwxyzABCDEFGHIJKLMNOPQRSTUVWXYZ.")))))</f>
        <v>0</v>
      </c>
      <c r="AO387">
        <f>IF(Metadata!C387="",FALSE,TRUE)</f>
        <v>0</v>
      </c>
      <c r="AP387">
        <f>IF(Metadata!D387="",FALSE,TRUE)</f>
        <v>0</v>
      </c>
      <c r="AQ387">
        <f>OR(AND(IF(Metadata!E387="",FALSE,TRUE),OR(exact(Metadata!E387,"not collected"),exact(Metadata!E387,"not provided"),exact(Metadata!E387,"restricted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R387">
        <f>IF(Metadata!F387="",FALSE,TRUE)</f>
        <v>0</v>
      </c>
      <c r="AS387">
        <f>OR(AND(IF(Metadata!G387="",FALSE,TRUE),OR(exact(Metadata!G387,"not collected"),exact(Metadata!G387,"not provided"))),AND(IF(Metadata!G387="",FALSE,TRUE),OR(exact(Metadata!G387,"TRUE"),exact(Metadata!G387,"FALSE"))))</f>
        <v>0</v>
      </c>
      <c r="AT387">
        <f>OR(AND(IF(Metadata!H387="",FALSE,TRUE),OR(exact(Metadata!H387,"not collected"),exact(Metadata!H387,"not provided"),exact(Metadata!H387,"restricted access"))),AND(IF(Metadata!H387="",FALSE,ISNUMBER(VALUE(Metadata!H387))),Metadata!H387&gt;=-413.0))</f>
        <v>0</v>
      </c>
      <c r="AU387">
        <f>AND(IF(Metadata!I387="",FALSE,TRUE),exact(Metadata!I387,"meters"))</f>
        <v>0</v>
      </c>
      <c r="AV387">
        <f>AND(IF(Metadata!J387="",FALSE,TRUE),OR(exact(Metadata!J387,"Host-associated"),exact(Metadata!J387,"Free-living")))</f>
        <v>0</v>
      </c>
      <c r="AW387">
        <f>AND(IF(Metadata!K387="",FALSE,TRUE),OR(exact(Metadata!K387,"Animal"),exact(Metadata!K387,"Fungus"),exact(Metadata!K387,"Plant"),exact(Metadata!K387,"Saline"),exact(Metadata!K387,"Non-saline")))</f>
        <v>0</v>
      </c>
      <c r="AX387">
        <f>AND(IF(Metadata!L387="",FALSE,TRUE),OR(exact(Metadata!L387,"Plant secretion"),exact(Metadata!L387,"Plant rhizosphere"),exact(Metadata!L387,"Plant surface"),exact(Metadata!L387,"Plant corpus"),exact(Metadata!L387,"Fungus surface"),exact(Metadata!L387,"Fungus corpus"),exact(Metadata!L387,"Animal surface"),exact(Metadata!L387,"Animal proximal gut"),exact(Metadata!L387,"Animal corpus"),exact(Metadata!L387,"Animal distal gut"),exact(Metadata!L387,"Animal secretion"),exact(Metadata!L387,"Sub-surface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Y387">
        <f>IF(Metadata!M387="",FALSE,TRUE)</f>
        <v>0</v>
      </c>
      <c r="AZ387">
        <f>IF(Metadata!N387="",FALSE,TRUE)</f>
        <v>0</v>
      </c>
      <c r="BA387">
        <f>IF(Metadata!O387="",FALSE,TRUE)</f>
        <v>0</v>
      </c>
      <c r="BB387">
        <f>OR(AND(IF(Metadata!P387="",FALSE,TRUE),OR(exact(Metadata!P387,"not collected"),exact(Metadata!P387,"not provided"),exact(Metadata!P387,"restricted access"))),AND(IF(Metadata!P387="",FALSE,TRUE),OR(exact(Metadata!P387,"air"),exact(Metadata!P387,"built environment"),exact(Metadata!P387,"host-associated"),exact(Metadata!P387,"human-associated"),exact(Metadata!P387,"human-skin"),exact(Metadata!P387,"human-oral"),exact(Metadata!P387,"human-gut"),exact(Metadata!P387,"human-vaginal"),exact(Metadata!P387,"microbial mat/biofilm"),exact(Metadata!P387,"misc environment"),exact(Metadata!P387,"plant-associated"),exact(Metadata!P387,"sediment"),exact(Metadata!P387,"soil"),exact(Metadata!P387,"wastewater/sludge"),exact(Metadata!P387,"water"))))</f>
        <v>0</v>
      </c>
      <c r="BC387">
        <f>IF(Metadata!Q387="",FALSE,TRUE)</f>
        <v>0</v>
      </c>
      <c r="BD387">
        <f>IF(Metadata!R387="",FALSE,TRUE)</f>
        <v>0</v>
      </c>
      <c r="BE387">
        <f>OR(AND(IF(Metadata!S387="",FALSE,TRUE),OR(exact(Metadata!S387,"not collected"),exact(Metadata!S387,"not provided"),exact(Metadata!S387,"restricted access"))),AND(IF(Metadata!S387="",FALSE,ISNUMBER(VALUE(Metadata!S387))),Metadata!S387&gt;=-90.00,Metadata!S387&lt;=90.00))</f>
        <v>0</v>
      </c>
      <c r="BF387">
        <f>AND(IF(Metadata!T387="",FALSE,TRUE),exact(Metadata!T387,"Decimal degrees"))</f>
        <v>0</v>
      </c>
      <c r="BG387">
        <f>OR(AND(IF(Metadata!U387="",FALSE,TRUE),OR(exact(Metadata!U387,"not collected"),exact(Metadata!U387,"not provided"),exact(Metadata!U387,"restricted access"))),AND(IF(Metadata!U387="",FALSE,ISNUMBER(VALUE(Metadata!U387))),Metadata!U387&gt;=-180.00,Metadata!U387&lt;=180.00))</f>
        <v>0</v>
      </c>
      <c r="BH387">
        <f>AND(IF(Metadata!V387="",FALSE,TRUE),exact(Metadata!V387,"Decimal degrees"))</f>
        <v>0</v>
      </c>
      <c r="BI387">
        <f>IF(Metadata!W387="",FALSE,TRUE)</f>
        <v>0</v>
      </c>
      <c r="BJ387">
        <f>OR(AND(IF(Metadata!X387="",FALSE,TRUE),OR(exact(Metadata!X387,"not collected"),exact(Metadata!X387,"not provided"),exact(Metadata!X387,"restricted access"))),AND(IF(Metadata!X387="",FALSE,TRUE),OR(exact(Metadata!X387,"TRUE"),exact(Metadata!X387,"FALSE"))))</f>
        <v>0</v>
      </c>
      <c r="BK387">
        <f>AND(IF(Metadata!Y387="",FALSE,TRUE),exact(Metadata!Y387,"other"))</f>
        <v>0</v>
      </c>
      <c r="BL387">
        <f>IF(Metadata!Z387="",FALSE,TRUE)</f>
        <v>0</v>
      </c>
      <c r="BM387">
        <f>OR(AND(IF(Metadata!AA387="",FALSE,TRUE),OR(exact(Metadata!AA387,"not collected"),exact(Metadata!AA387,"not provided"))),AND(IF(Metadata!AA387="",FALSE,IF(ISERROR(INT(Metadata!AA387)),FALSE,INT(Metadata!AA387)=Metadata!AA387)),Metadata!AA387&gt;0))</f>
        <v>0</v>
      </c>
      <c r="BN387">
        <f>AND(IF(Metadata!AB387="",FALSE,TRUE),exact(Metadata!AB387,"Not applicable"))</f>
        <v>0</v>
      </c>
      <c r="BO387">
        <f>IF(Metadata!AC387="",FALSE,TRUE)</f>
        <v>0</v>
      </c>
    </row>
    <row r="388" spans="1:67">
      <c r="A388" s="5">
        <f>IF(B388=" "," ",HYPERLINK(CONCATENATE("#metadata!",ADDRESS(INDEX($AI$2:$AI$1001,MATCH(ROWS($AG$2:AG388),$AG$2:$AG$1001,0),0),1)),INDEX($AL$2:$AL$1001,MATCH(ROWS($AG$2:AG388),$AG$2:$AG$1001,0),0)))</f>
        <v>0</v>
      </c>
      <c r="B388" s="4">
        <f>IF(OR(INDEX($AH$2:$AH$1001,MATCH(ROWS($AG$2:AG388),$AG$2:$AG$1001,0),1)&gt;=100000,INDEX($AN$1005:$BO$1005,1,MATCH(COLUMNS($AN$1006:AN1006),$AN$1006:$BO$1006,0))&gt;=100000), " ",IF(INDEX($AN$2:$BO$1001,MATCH(ROWS($AG$2:AG388),$AG$2:$AG$1001,0),MATCH(COLUMNS($AN$1006:AN1006),$AN$1006:$BO$1006,0)), HYPERLINK("#",""), HYPERLINK(CONCATENATE("#Metadata!", ADDRESS(INDEX($AI$2:$AI$1001,MATCH(ROWS($AG$2:AG388),$AG$2:$AG$1001,0),0), INDEX($AN$1004:$BO$1004,1,MATCH(COLUMNS($AN$1006:AN1006),$AN$1006:$BO$1006,0)))),"Fix")))</f>
        <v>0</v>
      </c>
      <c r="C388" s="4">
        <f>IF(OR(INDEX($AH$2:$AH$1001,MATCH(ROWS($AG$2:AG388),$AG$2:$AG$1001,0),1)&gt;=100000,INDEX($AN$1005:$BO$1005,1,MATCH(COLUMNS($AN$1006:AO1006),$AN$1006:$BO$1006,0))&gt;=100000), " ",IF(INDEX($AN$2:$BO$1001,MATCH(ROWS($AG$2:AG388),$AG$2:$AG$1001,0),MATCH(COLUMNS($AN$1006:AO1006),$AN$1006:$BO$1006,0)), HYPERLINK("#",""), HYPERLINK(CONCATENATE("#Metadata!", ADDRESS(INDEX($AI$2:$AI$1001,MATCH(ROWS($AG$2:AG388),$AG$2:$AG$1001,0),0), INDEX($AN$1004:$BO$1004,1,MATCH(COLUMNS($AN$1006:AO1006),$AN$1006:$BO$1006,0)))),"Fix")))</f>
        <v>0</v>
      </c>
      <c r="D388" s="4">
        <f>IF(OR(INDEX($AH$2:$AH$1001,MATCH(ROWS($AG$2:AG388),$AG$2:$AG$1001,0),1)&gt;=100000,INDEX($AN$1005:$BO$1005,1,MATCH(COLUMNS($AN$1006:AP1006),$AN$1006:$BO$1006,0))&gt;=100000), " ",IF(INDEX($AN$2:$BO$1001,MATCH(ROWS($AG$2:AG388),$AG$2:$AG$1001,0),MATCH(COLUMNS($AN$1006:AP1006),$AN$1006:$BO$1006,0)), HYPERLINK("#",""), HYPERLINK(CONCATENATE("#Metadata!", ADDRESS(INDEX($AI$2:$AI$1001,MATCH(ROWS($AG$2:AG388),$AG$2:$AG$1001,0),0), INDEX($AN$1004:$BO$1004,1,MATCH(COLUMNS($AN$1006:AP1006),$AN$1006:$BO$1006,0)))),"Fix")))</f>
        <v>0</v>
      </c>
      <c r="E388" s="4">
        <f>IF(OR(INDEX($AH$2:$AH$1001,MATCH(ROWS($AG$2:AG388),$AG$2:$AG$1001,0),1)&gt;=100000,INDEX($AN$1005:$BO$1005,1,MATCH(COLUMNS($AN$1006:AQ1006),$AN$1006:$BO$1006,0))&gt;=100000), " ",IF(INDEX($AN$2:$BO$1001,MATCH(ROWS($AG$2:AG388),$AG$2:$AG$1001,0),MATCH(COLUMNS($AN$1006:AQ1006),$AN$1006:$BO$1006,0)), HYPERLINK("#",""), HYPERLINK(CONCATENATE("#Metadata!", ADDRESS(INDEX($AI$2:$AI$1001,MATCH(ROWS($AG$2:AG388),$AG$2:$AG$1001,0),0), INDEX($AN$1004:$BO$1004,1,MATCH(COLUMNS($AN$1006:AQ1006),$AN$1006:$BO$1006,0)))),"Fix")))</f>
        <v>0</v>
      </c>
      <c r="F388" s="4">
        <f>IF(OR(INDEX($AH$2:$AH$1001,MATCH(ROWS($AG$2:AG388),$AG$2:$AG$1001,0),1)&gt;=100000,INDEX($AN$1005:$BO$1005,1,MATCH(COLUMNS($AN$1006:AR1006),$AN$1006:$BO$1006,0))&gt;=100000), " ",IF(INDEX($AN$2:$BO$1001,MATCH(ROWS($AG$2:AG388),$AG$2:$AG$1001,0),MATCH(COLUMNS($AN$1006:AR1006),$AN$1006:$BO$1006,0)), HYPERLINK("#",""), HYPERLINK(CONCATENATE("#Metadata!", ADDRESS(INDEX($AI$2:$AI$1001,MATCH(ROWS($AG$2:AG388),$AG$2:$AG$1001,0),0), INDEX($AN$1004:$BO$1004,1,MATCH(COLUMNS($AN$1006:AR1006),$AN$1006:$BO$1006,0)))),"Fix")))</f>
        <v>0</v>
      </c>
      <c r="G388" s="4">
        <f>IF(OR(INDEX($AH$2:$AH$1001,MATCH(ROWS($AG$2:AG388),$AG$2:$AG$1001,0),1)&gt;=100000,INDEX($AN$1005:$BO$1005,1,MATCH(COLUMNS($AN$1006:AS1006),$AN$1006:$BO$1006,0))&gt;=100000), " ",IF(INDEX($AN$2:$BO$1001,MATCH(ROWS($AG$2:AG388),$AG$2:$AG$1001,0),MATCH(COLUMNS($AN$1006:AS1006),$AN$1006:$BO$1006,0)), HYPERLINK("#",""), HYPERLINK(CONCATENATE("#Metadata!", ADDRESS(INDEX($AI$2:$AI$1001,MATCH(ROWS($AG$2:AG388),$AG$2:$AG$1001,0),0), INDEX($AN$1004:$BO$1004,1,MATCH(COLUMNS($AN$1006:AS1006),$AN$1006:$BO$1006,0)))),"Fix")))</f>
        <v>0</v>
      </c>
      <c r="H388" s="4">
        <f>IF(OR(INDEX($AH$2:$AH$1001,MATCH(ROWS($AG$2:AG388),$AG$2:$AG$1001,0),1)&gt;=100000,INDEX($AN$1005:$BO$1005,1,MATCH(COLUMNS($AN$1006:AT1006),$AN$1006:$BO$1006,0))&gt;=100000), " ",IF(INDEX($AN$2:$BO$1001,MATCH(ROWS($AG$2:AG388),$AG$2:$AG$1001,0),MATCH(COLUMNS($AN$1006:AT1006),$AN$1006:$BO$1006,0)), HYPERLINK("#",""), HYPERLINK(CONCATENATE("#Metadata!", ADDRESS(INDEX($AI$2:$AI$1001,MATCH(ROWS($AG$2:AG388),$AG$2:$AG$1001,0),0), INDEX($AN$1004:$BO$1004,1,MATCH(COLUMNS($AN$1006:AT1006),$AN$1006:$BO$1006,0)))),"Fix")))</f>
        <v>0</v>
      </c>
      <c r="I388" s="4">
        <f>IF(OR(INDEX($AH$2:$AH$1001,MATCH(ROWS($AG$2:AG388),$AG$2:$AG$1001,0),1)&gt;=100000,INDEX($AN$1005:$BO$1005,1,MATCH(COLUMNS($AN$1006:AU1006),$AN$1006:$BO$1006,0))&gt;=100000), " ",IF(INDEX($AN$2:$BO$1001,MATCH(ROWS($AG$2:AG388),$AG$2:$AG$1001,0),MATCH(COLUMNS($AN$1006:AU1006),$AN$1006:$BO$1006,0)), HYPERLINK("#",""), HYPERLINK(CONCATENATE("#Metadata!", ADDRESS(INDEX($AI$2:$AI$1001,MATCH(ROWS($AG$2:AG388),$AG$2:$AG$1001,0),0), INDEX($AN$1004:$BO$1004,1,MATCH(COLUMNS($AN$1006:AU1006),$AN$1006:$BO$1006,0)))),"Fix")))</f>
        <v>0</v>
      </c>
      <c r="J388" s="4">
        <f>IF(OR(INDEX($AH$2:$AH$1001,MATCH(ROWS($AG$2:AG388),$AG$2:$AG$1001,0),1)&gt;=100000,INDEX($AN$1005:$BO$1005,1,MATCH(COLUMNS($AN$1006:AV1006),$AN$1006:$BO$1006,0))&gt;=100000), " ",IF(INDEX($AN$2:$BO$1001,MATCH(ROWS($AG$2:AG388),$AG$2:$AG$1001,0),MATCH(COLUMNS($AN$1006:AV1006),$AN$1006:$BO$1006,0)), HYPERLINK("#",""), HYPERLINK(CONCATENATE("#Metadata!", ADDRESS(INDEX($AI$2:$AI$1001,MATCH(ROWS($AG$2:AG388),$AG$2:$AG$1001,0),0), INDEX($AN$1004:$BO$1004,1,MATCH(COLUMNS($AN$1006:AV1006),$AN$1006:$BO$1006,0)))),"Fix")))</f>
        <v>0</v>
      </c>
      <c r="K388" s="4">
        <f>IF(OR(INDEX($AH$2:$AH$1001,MATCH(ROWS($AG$2:AG388),$AG$2:$AG$1001,0),1)&gt;=100000,INDEX($AN$1005:$BO$1005,1,MATCH(COLUMNS($AN$1006:AW1006),$AN$1006:$BO$1006,0))&gt;=100000), " ",IF(INDEX($AN$2:$BO$1001,MATCH(ROWS($AG$2:AG388),$AG$2:$AG$1001,0),MATCH(COLUMNS($AN$1006:AW1006),$AN$1006:$BO$1006,0)), HYPERLINK("#",""), HYPERLINK(CONCATENATE("#Metadata!", ADDRESS(INDEX($AI$2:$AI$1001,MATCH(ROWS($AG$2:AG388),$AG$2:$AG$1001,0),0), INDEX($AN$1004:$BO$1004,1,MATCH(COLUMNS($AN$1006:AW1006),$AN$1006:$BO$1006,0)))),"Fix")))</f>
        <v>0</v>
      </c>
      <c r="L388" s="4">
        <f>IF(OR(INDEX($AH$2:$AH$1001,MATCH(ROWS($AG$2:AG388),$AG$2:$AG$1001,0),1)&gt;=100000,INDEX($AN$1005:$BO$1005,1,MATCH(COLUMNS($AN$1006:AX1006),$AN$1006:$BO$1006,0))&gt;=100000), " ",IF(INDEX($AN$2:$BO$1001,MATCH(ROWS($AG$2:AG388),$AG$2:$AG$1001,0),MATCH(COLUMNS($AN$1006:AX1006),$AN$1006:$BO$1006,0)), HYPERLINK("#",""), HYPERLINK(CONCATENATE("#Metadata!", ADDRESS(INDEX($AI$2:$AI$1001,MATCH(ROWS($AG$2:AG388),$AG$2:$AG$1001,0),0), INDEX($AN$1004:$BO$1004,1,MATCH(COLUMNS($AN$1006:AX1006),$AN$1006:$BO$1006,0)))),"Fix")))</f>
        <v>0</v>
      </c>
      <c r="M388" s="4">
        <f>IF(OR(INDEX($AH$2:$AH$1001,MATCH(ROWS($AG$2:AG388),$AG$2:$AG$1001,0),1)&gt;=100000,INDEX($AN$1005:$BO$1005,1,MATCH(COLUMNS($AN$1006:AY1006),$AN$1006:$BO$1006,0))&gt;=100000), " ",IF(INDEX($AN$2:$BO$1001,MATCH(ROWS($AG$2:AG388),$AG$2:$AG$1001,0),MATCH(COLUMNS($AN$1006:AY1006),$AN$1006:$BO$1006,0)), HYPERLINK("#",""), HYPERLINK(CONCATENATE("#Metadata!", ADDRESS(INDEX($AI$2:$AI$1001,MATCH(ROWS($AG$2:AG388),$AG$2:$AG$1001,0),0), INDEX($AN$1004:$BO$1004,1,MATCH(COLUMNS($AN$1006:AY1006),$AN$1006:$BO$1006,0)))),"Fix")))</f>
        <v>0</v>
      </c>
      <c r="N388" s="4">
        <f>IF(OR(INDEX($AH$2:$AH$1001,MATCH(ROWS($AG$2:AG388),$AG$2:$AG$1001,0),1)&gt;=100000,INDEX($AN$1005:$BO$1005,1,MATCH(COLUMNS($AN$1006:AZ1006),$AN$1006:$BO$1006,0))&gt;=100000), " ",IF(INDEX($AN$2:$BO$1001,MATCH(ROWS($AG$2:AG388),$AG$2:$AG$1001,0),MATCH(COLUMNS($AN$1006:AZ1006),$AN$1006:$BO$1006,0)), HYPERLINK("#",""), HYPERLINK(CONCATENATE("#Metadata!", ADDRESS(INDEX($AI$2:$AI$1001,MATCH(ROWS($AG$2:AG388),$AG$2:$AG$1001,0),0), INDEX($AN$1004:$BO$1004,1,MATCH(COLUMNS($AN$1006:AZ1006),$AN$1006:$BO$1006,0)))),"Fix")))</f>
        <v>0</v>
      </c>
      <c r="O388" s="4">
        <f>IF(OR(INDEX($AH$2:$AH$1001,MATCH(ROWS($AG$2:AG388),$AG$2:$AG$1001,0),1)&gt;=100000,INDEX($AN$1005:$BO$1005,1,MATCH(COLUMNS($AN$1006:BA1006),$AN$1006:$BO$1006,0))&gt;=100000), " ",IF(INDEX($AN$2:$BO$1001,MATCH(ROWS($AG$2:AG388),$AG$2:$AG$1001,0),MATCH(COLUMNS($AN$1006:BA1006),$AN$1006:$BO$1006,0)), HYPERLINK("#",""), HYPERLINK(CONCATENATE("#Metadata!", ADDRESS(INDEX($AI$2:$AI$1001,MATCH(ROWS($AG$2:AG388),$AG$2:$AG$1001,0),0), INDEX($AN$1004:$BO$1004,1,MATCH(COLUMNS($AN$1006:BA1006),$AN$1006:$BO$1006,0)))),"Fix")))</f>
        <v>0</v>
      </c>
      <c r="P388" s="4">
        <f>IF(OR(INDEX($AH$2:$AH$1001,MATCH(ROWS($AG$2:AG388),$AG$2:$AG$1001,0),1)&gt;=100000,INDEX($AN$1005:$BO$1005,1,MATCH(COLUMNS($AN$1006:BB1006),$AN$1006:$BO$1006,0))&gt;=100000), " ",IF(INDEX($AN$2:$BO$1001,MATCH(ROWS($AG$2:AG388),$AG$2:$AG$1001,0),MATCH(COLUMNS($AN$1006:BB1006),$AN$1006:$BO$1006,0)), HYPERLINK("#",""), HYPERLINK(CONCATENATE("#Metadata!", ADDRESS(INDEX($AI$2:$AI$1001,MATCH(ROWS($AG$2:AG388),$AG$2:$AG$1001,0),0), INDEX($AN$1004:$BO$1004,1,MATCH(COLUMNS($AN$1006:BB1006),$AN$1006:$BO$1006,0)))),"Fix")))</f>
        <v>0</v>
      </c>
      <c r="Q388" s="4">
        <f>IF(OR(INDEX($AH$2:$AH$1001,MATCH(ROWS($AG$2:AG388),$AG$2:$AG$1001,0),1)&gt;=100000,INDEX($AN$1005:$BO$1005,1,MATCH(COLUMNS($AN$1006:BC1006),$AN$1006:$BO$1006,0))&gt;=100000), " ",IF(INDEX($AN$2:$BO$1001,MATCH(ROWS($AG$2:AG388),$AG$2:$AG$1001,0),MATCH(COLUMNS($AN$1006:BC1006),$AN$1006:$BO$1006,0)), HYPERLINK("#",""), HYPERLINK(CONCATENATE("#Metadata!", ADDRESS(INDEX($AI$2:$AI$1001,MATCH(ROWS($AG$2:AG388),$AG$2:$AG$1001,0),0), INDEX($AN$1004:$BO$1004,1,MATCH(COLUMNS($AN$1006:BC1006),$AN$1006:$BO$1006,0)))),"Fix")))</f>
        <v>0</v>
      </c>
      <c r="R388" s="4">
        <f>IF(OR(INDEX($AH$2:$AH$1001,MATCH(ROWS($AG$2:AG388),$AG$2:$AG$1001,0),1)&gt;=100000,INDEX($AN$1005:$BO$1005,1,MATCH(COLUMNS($AN$1006:BD1006),$AN$1006:$BO$1006,0))&gt;=100000), " ",IF(INDEX($AN$2:$BO$1001,MATCH(ROWS($AG$2:AG388),$AG$2:$AG$1001,0),MATCH(COLUMNS($AN$1006:BD1006),$AN$1006:$BO$1006,0)), HYPERLINK("#",""), HYPERLINK(CONCATENATE("#Metadata!", ADDRESS(INDEX($AI$2:$AI$1001,MATCH(ROWS($AG$2:AG388),$AG$2:$AG$1001,0),0), INDEX($AN$1004:$BO$1004,1,MATCH(COLUMNS($AN$1006:BD1006),$AN$1006:$BO$1006,0)))),"Fix")))</f>
        <v>0</v>
      </c>
      <c r="S388" s="4">
        <f>IF(OR(INDEX($AH$2:$AH$1001,MATCH(ROWS($AG$2:AG388),$AG$2:$AG$1001,0),1)&gt;=100000,INDEX($AN$1005:$BO$1005,1,MATCH(COLUMNS($AN$1006:BE1006),$AN$1006:$BO$1006,0))&gt;=100000), " ",IF(INDEX($AN$2:$BO$1001,MATCH(ROWS($AG$2:AG388),$AG$2:$AG$1001,0),MATCH(COLUMNS($AN$1006:BE1006),$AN$1006:$BO$1006,0)), HYPERLINK("#",""), HYPERLINK(CONCATENATE("#Metadata!", ADDRESS(INDEX($AI$2:$AI$1001,MATCH(ROWS($AG$2:AG388),$AG$2:$AG$1001,0),0), INDEX($AN$1004:$BO$1004,1,MATCH(COLUMNS($AN$1006:BE1006),$AN$1006:$BO$1006,0)))),"Fix")))</f>
        <v>0</v>
      </c>
      <c r="T388" s="4">
        <f>IF(OR(INDEX($AH$2:$AH$1001,MATCH(ROWS($AG$2:AG388),$AG$2:$AG$1001,0),1)&gt;=100000,INDEX($AN$1005:$BO$1005,1,MATCH(COLUMNS($AN$1006:BF1006),$AN$1006:$BO$1006,0))&gt;=100000), " ",IF(INDEX($AN$2:$BO$1001,MATCH(ROWS($AG$2:AG388),$AG$2:$AG$1001,0),MATCH(COLUMNS($AN$1006:BF1006),$AN$1006:$BO$1006,0)), HYPERLINK("#",""), HYPERLINK(CONCATENATE("#Metadata!", ADDRESS(INDEX($AI$2:$AI$1001,MATCH(ROWS($AG$2:AG388),$AG$2:$AG$1001,0),0), INDEX($AN$1004:$BO$1004,1,MATCH(COLUMNS($AN$1006:BF1006),$AN$1006:$BO$1006,0)))),"Fix")))</f>
        <v>0</v>
      </c>
      <c r="U388" s="4">
        <f>IF(OR(INDEX($AH$2:$AH$1001,MATCH(ROWS($AG$2:AG388),$AG$2:$AG$1001,0),1)&gt;=100000,INDEX($AN$1005:$BO$1005,1,MATCH(COLUMNS($AN$1006:BG1006),$AN$1006:$BO$1006,0))&gt;=100000), " ",IF(INDEX($AN$2:$BO$1001,MATCH(ROWS($AG$2:AG388),$AG$2:$AG$1001,0),MATCH(COLUMNS($AN$1006:BG1006),$AN$1006:$BO$1006,0)), HYPERLINK("#",""), HYPERLINK(CONCATENATE("#Metadata!", ADDRESS(INDEX($AI$2:$AI$1001,MATCH(ROWS($AG$2:AG388),$AG$2:$AG$1001,0),0), INDEX($AN$1004:$BO$1004,1,MATCH(COLUMNS($AN$1006:BG1006),$AN$1006:$BO$1006,0)))),"Fix")))</f>
        <v>0</v>
      </c>
      <c r="V388" s="4">
        <f>IF(OR(INDEX($AH$2:$AH$1001,MATCH(ROWS($AG$2:AG388),$AG$2:$AG$1001,0),1)&gt;=100000,INDEX($AN$1005:$BO$1005,1,MATCH(COLUMNS($AN$1006:BH1006),$AN$1006:$BO$1006,0))&gt;=100000), " ",IF(INDEX($AN$2:$BO$1001,MATCH(ROWS($AG$2:AG388),$AG$2:$AG$1001,0),MATCH(COLUMNS($AN$1006:BH1006),$AN$1006:$BO$1006,0)), HYPERLINK("#",""), HYPERLINK(CONCATENATE("#Metadata!", ADDRESS(INDEX($AI$2:$AI$1001,MATCH(ROWS($AG$2:AG388),$AG$2:$AG$1001,0),0), INDEX($AN$1004:$BO$1004,1,MATCH(COLUMNS($AN$1006:BH1006),$AN$1006:$BO$1006,0)))),"Fix")))</f>
        <v>0</v>
      </c>
      <c r="W388" s="4">
        <f>IF(OR(INDEX($AH$2:$AH$1001,MATCH(ROWS($AG$2:AG388),$AG$2:$AG$1001,0),1)&gt;=100000,INDEX($AN$1005:$BO$1005,1,MATCH(COLUMNS($AN$1006:BI1006),$AN$1006:$BO$1006,0))&gt;=100000), " ",IF(INDEX($AN$2:$BO$1001,MATCH(ROWS($AG$2:AG388),$AG$2:$AG$1001,0),MATCH(COLUMNS($AN$1006:BI1006),$AN$1006:$BO$1006,0)), HYPERLINK("#",""), HYPERLINK(CONCATENATE("#Metadata!", ADDRESS(INDEX($AI$2:$AI$1001,MATCH(ROWS($AG$2:AG388),$AG$2:$AG$1001,0),0), INDEX($AN$1004:$BO$1004,1,MATCH(COLUMNS($AN$1006:BI1006),$AN$1006:$BO$1006,0)))),"Fix")))</f>
        <v>0</v>
      </c>
      <c r="X388" s="4">
        <f>IF(OR(INDEX($AH$2:$AH$1001,MATCH(ROWS($AG$2:AG388),$AG$2:$AG$1001,0),1)&gt;=100000,INDEX($AN$1005:$BO$1005,1,MATCH(COLUMNS($AN$1006:BJ1006),$AN$1006:$BO$1006,0))&gt;=100000), " ",IF(INDEX($AN$2:$BO$1001,MATCH(ROWS($AG$2:AG388),$AG$2:$AG$1001,0),MATCH(COLUMNS($AN$1006:BJ1006),$AN$1006:$BO$1006,0)), HYPERLINK("#",""), HYPERLINK(CONCATENATE("#Metadata!", ADDRESS(INDEX($AI$2:$AI$1001,MATCH(ROWS($AG$2:AG388),$AG$2:$AG$1001,0),0), INDEX($AN$1004:$BO$1004,1,MATCH(COLUMNS($AN$1006:BJ1006),$AN$1006:$BO$1006,0)))),"Fix")))</f>
        <v>0</v>
      </c>
      <c r="Y388" s="4">
        <f>IF(OR(INDEX($AH$2:$AH$1001,MATCH(ROWS($AG$2:AG388),$AG$2:$AG$1001,0),1)&gt;=100000,INDEX($AN$1005:$BO$1005,1,MATCH(COLUMNS($AN$1006:BK1006),$AN$1006:$BO$1006,0))&gt;=100000), " ",IF(INDEX($AN$2:$BO$1001,MATCH(ROWS($AG$2:AG388),$AG$2:$AG$1001,0),MATCH(COLUMNS($AN$1006:BK1006),$AN$1006:$BO$1006,0)), HYPERLINK("#",""), HYPERLINK(CONCATENATE("#Metadata!", ADDRESS(INDEX($AI$2:$AI$1001,MATCH(ROWS($AG$2:AG388),$AG$2:$AG$1001,0),0), INDEX($AN$1004:$BO$1004,1,MATCH(COLUMNS($AN$1006:BK1006),$AN$1006:$BO$1006,0)))),"Fix")))</f>
        <v>0</v>
      </c>
      <c r="Z388" s="4">
        <f>IF(OR(INDEX($AH$2:$AH$1001,MATCH(ROWS($AG$2:AG388),$AG$2:$AG$1001,0),1)&gt;=100000,INDEX($AN$1005:$BO$1005,1,MATCH(COLUMNS($AN$1006:BL1006),$AN$1006:$BO$1006,0))&gt;=100000), " ",IF(INDEX($AN$2:$BO$1001,MATCH(ROWS($AG$2:AG388),$AG$2:$AG$1001,0),MATCH(COLUMNS($AN$1006:BL1006),$AN$1006:$BO$1006,0)), HYPERLINK("#",""), HYPERLINK(CONCATENATE("#Metadata!", ADDRESS(INDEX($AI$2:$AI$1001,MATCH(ROWS($AG$2:AG388),$AG$2:$AG$1001,0),0), INDEX($AN$1004:$BO$1004,1,MATCH(COLUMNS($AN$1006:BL1006),$AN$1006:$BO$1006,0)))),"Fix")))</f>
        <v>0</v>
      </c>
      <c r="AA388" s="4">
        <f>IF(OR(INDEX($AH$2:$AH$1001,MATCH(ROWS($AG$2:AG388),$AG$2:$AG$1001,0),1)&gt;=100000,INDEX($AN$1005:$BO$1005,1,MATCH(COLUMNS($AN$1006:BM1006),$AN$1006:$BO$1006,0))&gt;=100000), " ",IF(INDEX($AN$2:$BO$1001,MATCH(ROWS($AG$2:AG388),$AG$2:$AG$1001,0),MATCH(COLUMNS($AN$1006:BM1006),$AN$1006:$BO$1006,0)), HYPERLINK("#",""), HYPERLINK(CONCATENATE("#Metadata!", ADDRESS(INDEX($AI$2:$AI$1001,MATCH(ROWS($AG$2:AG388),$AG$2:$AG$1001,0),0), INDEX($AN$1004:$BO$1004,1,MATCH(COLUMNS($AN$1006:BM1006),$AN$1006:$BO$1006,0)))),"Fix")))</f>
        <v>0</v>
      </c>
      <c r="AB388" s="4">
        <f>IF(OR(INDEX($AH$2:$AH$1001,MATCH(ROWS($AG$2:AG388),$AG$2:$AG$1001,0),1)&gt;=100000,INDEX($AN$1005:$BO$1005,1,MATCH(COLUMNS($AN$1006:BN1006),$AN$1006:$BO$1006,0))&gt;=100000), " ",IF(INDEX($AN$2:$BO$1001,MATCH(ROWS($AG$2:AG388),$AG$2:$AG$1001,0),MATCH(COLUMNS($AN$1006:BN1006),$AN$1006:$BO$1006,0)), HYPERLINK("#",""), HYPERLINK(CONCATENATE("#Metadata!", ADDRESS(INDEX($AI$2:$AI$1001,MATCH(ROWS($AG$2:AG388),$AG$2:$AG$1001,0),0), INDEX($AN$1004:$BO$1004,1,MATCH(COLUMNS($AN$1006:BN1006),$AN$1006:$BO$1006,0)))),"Fix")))</f>
        <v>0</v>
      </c>
      <c r="AC388" s="4">
        <f>IF(OR(INDEX($AH$2:$AH$1001,MATCH(ROWS($AG$2:AG388),$AG$2:$AG$1001,0),1)&gt;=100000,INDEX($AN$1005:$BO$1005,1,MATCH(COLUMNS($AN$1006:BO1006),$AN$1006:$BO$1006,0))&gt;=100000), " ",IF(INDEX($AN$2:$BO$1001,MATCH(ROWS($AG$2:AG388),$AG$2:$AG$1001,0),MATCH(COLUMNS($AN$1006:BO1006),$AN$1006:$BO$1006,0)), HYPERLINK("#",""), HYPERLINK(CONCATENATE("#Metadata!", ADDRESS(INDEX($AI$2:$AI$1001,MATCH(ROWS($AG$2:AG388),$AG$2:$AG$1001,0),0), INDEX($AN$1004:$BO$1004,1,MATCH(COLUMNS($AN$1006:BO1006),$AN$1006:$BO$1006,0)))),"Fix")))</f>
        <v>0</v>
      </c>
      <c r="AG388">
        <v>0</v>
      </c>
      <c r="AH388">
        <v>0</v>
      </c>
      <c r="AI388">
        <v>0</v>
      </c>
      <c r="AJ388">
        <f>IF(AK388,TRUE,AND(AN388:BO388))</f>
        <v>0</v>
      </c>
      <c r="AK388">
        <f>COUNTBLANK(Metadata!B388:AC388)=COLUMNS(Metadata!B388:AC388)</f>
        <v>0</v>
      </c>
      <c r="AL388">
        <v>0</v>
      </c>
      <c r="AN388">
        <f>AND(IF(Metadata!B388="",FALSE,TRUE),COUNTIF(Metadata!B:B, Metadata!B388) = 1,NOT(ISERROR(SUMPRODUCT(SEARCH(MID(Metadata!B388,ROW(INDIRECT("1:"&amp;LEN(Metadata!B388))), 1),"0123456789abcdefghijklmnopqrstuvwxyzABCDEFGHIJKLMNOPQRSTUVWXYZ.")))))</f>
        <v>0</v>
      </c>
      <c r="AO388">
        <f>IF(Metadata!C388="",FALSE,TRUE)</f>
        <v>0</v>
      </c>
      <c r="AP388">
        <f>IF(Metadata!D388="",FALSE,TRUE)</f>
        <v>0</v>
      </c>
      <c r="AQ388">
        <f>OR(AND(IF(Metadata!E388="",FALSE,TRUE),OR(exact(Metadata!E388,"not collected"),exact(Metadata!E388,"not provided"),exact(Metadata!E388,"restricted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R388">
        <f>IF(Metadata!F388="",FALSE,TRUE)</f>
        <v>0</v>
      </c>
      <c r="AS388">
        <f>OR(AND(IF(Metadata!G388="",FALSE,TRUE),OR(exact(Metadata!G388,"not collected"),exact(Metadata!G388,"not provided"))),AND(IF(Metadata!G388="",FALSE,TRUE),OR(exact(Metadata!G388,"TRUE"),exact(Metadata!G388,"FALSE"))))</f>
        <v>0</v>
      </c>
      <c r="AT388">
        <f>OR(AND(IF(Metadata!H388="",FALSE,TRUE),OR(exact(Metadata!H388,"not collected"),exact(Metadata!H388,"not provided"),exact(Metadata!H388,"restricted access"))),AND(IF(Metadata!H388="",FALSE,ISNUMBER(VALUE(Metadata!H388))),Metadata!H388&gt;=-413.0))</f>
        <v>0</v>
      </c>
      <c r="AU388">
        <f>AND(IF(Metadata!I388="",FALSE,TRUE),exact(Metadata!I388,"meters"))</f>
        <v>0</v>
      </c>
      <c r="AV388">
        <f>AND(IF(Metadata!J388="",FALSE,TRUE),OR(exact(Metadata!J388,"Host-associated"),exact(Metadata!J388,"Free-living")))</f>
        <v>0</v>
      </c>
      <c r="AW388">
        <f>AND(IF(Metadata!K388="",FALSE,TRUE),OR(exact(Metadata!K388,"Animal"),exact(Metadata!K388,"Fungus"),exact(Metadata!K388,"Plant"),exact(Metadata!K388,"Saline"),exact(Metadata!K388,"Non-saline")))</f>
        <v>0</v>
      </c>
      <c r="AX388">
        <f>AND(IF(Metadata!L388="",FALSE,TRUE),OR(exact(Metadata!L388,"Plant secretion"),exact(Metadata!L388,"Plant rhizosphere"),exact(Metadata!L388,"Plant surface"),exact(Metadata!L388,"Plant corpus"),exact(Metadata!L388,"Fungus surface"),exact(Metadata!L388,"Fungus corpus"),exact(Metadata!L388,"Animal surface"),exact(Metadata!L388,"Animal proximal gut"),exact(Metadata!L388,"Animal corpus"),exact(Metadata!L388,"Animal distal gut"),exact(Metadata!L388,"Animal secretion"),exact(Metadata!L388,"Sub-surface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Y388">
        <f>IF(Metadata!M388="",FALSE,TRUE)</f>
        <v>0</v>
      </c>
      <c r="AZ388">
        <f>IF(Metadata!N388="",FALSE,TRUE)</f>
        <v>0</v>
      </c>
      <c r="BA388">
        <f>IF(Metadata!O388="",FALSE,TRUE)</f>
        <v>0</v>
      </c>
      <c r="BB388">
        <f>OR(AND(IF(Metadata!P388="",FALSE,TRUE),OR(exact(Metadata!P388,"not collected"),exact(Metadata!P388,"not provided"),exact(Metadata!P388,"restricted access"))),AND(IF(Metadata!P388="",FALSE,TRUE),OR(exact(Metadata!P388,"air"),exact(Metadata!P388,"built environment"),exact(Metadata!P388,"host-associated"),exact(Metadata!P388,"human-associated"),exact(Metadata!P388,"human-skin"),exact(Metadata!P388,"human-oral"),exact(Metadata!P388,"human-gut"),exact(Metadata!P388,"human-vaginal"),exact(Metadata!P388,"microbial mat/biofilm"),exact(Metadata!P388,"misc environment"),exact(Metadata!P388,"plant-associated"),exact(Metadata!P388,"sediment"),exact(Metadata!P388,"soil"),exact(Metadata!P388,"wastewater/sludge"),exact(Metadata!P388,"water"))))</f>
        <v>0</v>
      </c>
      <c r="BC388">
        <f>IF(Metadata!Q388="",FALSE,TRUE)</f>
        <v>0</v>
      </c>
      <c r="BD388">
        <f>IF(Metadata!R388="",FALSE,TRUE)</f>
        <v>0</v>
      </c>
      <c r="BE388">
        <f>OR(AND(IF(Metadata!S388="",FALSE,TRUE),OR(exact(Metadata!S388,"not collected"),exact(Metadata!S388,"not provided"),exact(Metadata!S388,"restricted access"))),AND(IF(Metadata!S388="",FALSE,ISNUMBER(VALUE(Metadata!S388))),Metadata!S388&gt;=-90.00,Metadata!S388&lt;=90.00))</f>
        <v>0</v>
      </c>
      <c r="BF388">
        <f>AND(IF(Metadata!T388="",FALSE,TRUE),exact(Metadata!T388,"Decimal degrees"))</f>
        <v>0</v>
      </c>
      <c r="BG388">
        <f>OR(AND(IF(Metadata!U388="",FALSE,TRUE),OR(exact(Metadata!U388,"not collected"),exact(Metadata!U388,"not provided"),exact(Metadata!U388,"restricted access"))),AND(IF(Metadata!U388="",FALSE,ISNUMBER(VALUE(Metadata!U388))),Metadata!U388&gt;=-180.00,Metadata!U388&lt;=180.00))</f>
        <v>0</v>
      </c>
      <c r="BH388">
        <f>AND(IF(Metadata!V388="",FALSE,TRUE),exact(Metadata!V388,"Decimal degrees"))</f>
        <v>0</v>
      </c>
      <c r="BI388">
        <f>IF(Metadata!W388="",FALSE,TRUE)</f>
        <v>0</v>
      </c>
      <c r="BJ388">
        <f>OR(AND(IF(Metadata!X388="",FALSE,TRUE),OR(exact(Metadata!X388,"not collected"),exact(Metadata!X388,"not provided"),exact(Metadata!X388,"restricted access"))),AND(IF(Metadata!X388="",FALSE,TRUE),OR(exact(Metadata!X388,"TRUE"),exact(Metadata!X388,"FALSE"))))</f>
        <v>0</v>
      </c>
      <c r="BK388">
        <f>AND(IF(Metadata!Y388="",FALSE,TRUE),exact(Metadata!Y388,"other"))</f>
        <v>0</v>
      </c>
      <c r="BL388">
        <f>IF(Metadata!Z388="",FALSE,TRUE)</f>
        <v>0</v>
      </c>
      <c r="BM388">
        <f>OR(AND(IF(Metadata!AA388="",FALSE,TRUE),OR(exact(Metadata!AA388,"not collected"),exact(Metadata!AA388,"not provided"))),AND(IF(Metadata!AA388="",FALSE,IF(ISERROR(INT(Metadata!AA388)),FALSE,INT(Metadata!AA388)=Metadata!AA388)),Metadata!AA388&gt;0))</f>
        <v>0</v>
      </c>
      <c r="BN388">
        <f>AND(IF(Metadata!AB388="",FALSE,TRUE),exact(Metadata!AB388,"Not applicable"))</f>
        <v>0</v>
      </c>
      <c r="BO388">
        <f>IF(Metadata!AC388="",FALSE,TRUE)</f>
        <v>0</v>
      </c>
    </row>
    <row r="389" spans="1:67">
      <c r="A389" s="5">
        <f>IF(B389=" "," ",HYPERLINK(CONCATENATE("#metadata!",ADDRESS(INDEX($AI$2:$AI$1001,MATCH(ROWS($AG$2:AG389),$AG$2:$AG$1001,0),0),1)),INDEX($AL$2:$AL$1001,MATCH(ROWS($AG$2:AG389),$AG$2:$AG$1001,0),0)))</f>
        <v>0</v>
      </c>
      <c r="B389" s="4">
        <f>IF(OR(INDEX($AH$2:$AH$1001,MATCH(ROWS($AG$2:AG389),$AG$2:$AG$1001,0),1)&gt;=100000,INDEX($AN$1005:$BO$1005,1,MATCH(COLUMNS($AN$1006:AN1006),$AN$1006:$BO$1006,0))&gt;=100000), " ",IF(INDEX($AN$2:$BO$1001,MATCH(ROWS($AG$2:AG389),$AG$2:$AG$1001,0),MATCH(COLUMNS($AN$1006:AN1006),$AN$1006:$BO$1006,0)), HYPERLINK("#",""), HYPERLINK(CONCATENATE("#Metadata!", ADDRESS(INDEX($AI$2:$AI$1001,MATCH(ROWS($AG$2:AG389),$AG$2:$AG$1001,0),0), INDEX($AN$1004:$BO$1004,1,MATCH(COLUMNS($AN$1006:AN1006),$AN$1006:$BO$1006,0)))),"Fix")))</f>
        <v>0</v>
      </c>
      <c r="C389" s="4">
        <f>IF(OR(INDEX($AH$2:$AH$1001,MATCH(ROWS($AG$2:AG389),$AG$2:$AG$1001,0),1)&gt;=100000,INDEX($AN$1005:$BO$1005,1,MATCH(COLUMNS($AN$1006:AO1006),$AN$1006:$BO$1006,0))&gt;=100000), " ",IF(INDEX($AN$2:$BO$1001,MATCH(ROWS($AG$2:AG389),$AG$2:$AG$1001,0),MATCH(COLUMNS($AN$1006:AO1006),$AN$1006:$BO$1006,0)), HYPERLINK("#",""), HYPERLINK(CONCATENATE("#Metadata!", ADDRESS(INDEX($AI$2:$AI$1001,MATCH(ROWS($AG$2:AG389),$AG$2:$AG$1001,0),0), INDEX($AN$1004:$BO$1004,1,MATCH(COLUMNS($AN$1006:AO1006),$AN$1006:$BO$1006,0)))),"Fix")))</f>
        <v>0</v>
      </c>
      <c r="D389" s="4">
        <f>IF(OR(INDEX($AH$2:$AH$1001,MATCH(ROWS($AG$2:AG389),$AG$2:$AG$1001,0),1)&gt;=100000,INDEX($AN$1005:$BO$1005,1,MATCH(COLUMNS($AN$1006:AP1006),$AN$1006:$BO$1006,0))&gt;=100000), " ",IF(INDEX($AN$2:$BO$1001,MATCH(ROWS($AG$2:AG389),$AG$2:$AG$1001,0),MATCH(COLUMNS($AN$1006:AP1006),$AN$1006:$BO$1006,0)), HYPERLINK("#",""), HYPERLINK(CONCATENATE("#Metadata!", ADDRESS(INDEX($AI$2:$AI$1001,MATCH(ROWS($AG$2:AG389),$AG$2:$AG$1001,0),0), INDEX($AN$1004:$BO$1004,1,MATCH(COLUMNS($AN$1006:AP1006),$AN$1006:$BO$1006,0)))),"Fix")))</f>
        <v>0</v>
      </c>
      <c r="E389" s="4">
        <f>IF(OR(INDEX($AH$2:$AH$1001,MATCH(ROWS($AG$2:AG389),$AG$2:$AG$1001,0),1)&gt;=100000,INDEX($AN$1005:$BO$1005,1,MATCH(COLUMNS($AN$1006:AQ1006),$AN$1006:$BO$1006,0))&gt;=100000), " ",IF(INDEX($AN$2:$BO$1001,MATCH(ROWS($AG$2:AG389),$AG$2:$AG$1001,0),MATCH(COLUMNS($AN$1006:AQ1006),$AN$1006:$BO$1006,0)), HYPERLINK("#",""), HYPERLINK(CONCATENATE("#Metadata!", ADDRESS(INDEX($AI$2:$AI$1001,MATCH(ROWS($AG$2:AG389),$AG$2:$AG$1001,0),0), INDEX($AN$1004:$BO$1004,1,MATCH(COLUMNS($AN$1006:AQ1006),$AN$1006:$BO$1006,0)))),"Fix")))</f>
        <v>0</v>
      </c>
      <c r="F389" s="4">
        <f>IF(OR(INDEX($AH$2:$AH$1001,MATCH(ROWS($AG$2:AG389),$AG$2:$AG$1001,0),1)&gt;=100000,INDEX($AN$1005:$BO$1005,1,MATCH(COLUMNS($AN$1006:AR1006),$AN$1006:$BO$1006,0))&gt;=100000), " ",IF(INDEX($AN$2:$BO$1001,MATCH(ROWS($AG$2:AG389),$AG$2:$AG$1001,0),MATCH(COLUMNS($AN$1006:AR1006),$AN$1006:$BO$1006,0)), HYPERLINK("#",""), HYPERLINK(CONCATENATE("#Metadata!", ADDRESS(INDEX($AI$2:$AI$1001,MATCH(ROWS($AG$2:AG389),$AG$2:$AG$1001,0),0), INDEX($AN$1004:$BO$1004,1,MATCH(COLUMNS($AN$1006:AR1006),$AN$1006:$BO$1006,0)))),"Fix")))</f>
        <v>0</v>
      </c>
      <c r="G389" s="4">
        <f>IF(OR(INDEX($AH$2:$AH$1001,MATCH(ROWS($AG$2:AG389),$AG$2:$AG$1001,0),1)&gt;=100000,INDEX($AN$1005:$BO$1005,1,MATCH(COLUMNS($AN$1006:AS1006),$AN$1006:$BO$1006,0))&gt;=100000), " ",IF(INDEX($AN$2:$BO$1001,MATCH(ROWS($AG$2:AG389),$AG$2:$AG$1001,0),MATCH(COLUMNS($AN$1006:AS1006),$AN$1006:$BO$1006,0)), HYPERLINK("#",""), HYPERLINK(CONCATENATE("#Metadata!", ADDRESS(INDEX($AI$2:$AI$1001,MATCH(ROWS($AG$2:AG389),$AG$2:$AG$1001,0),0), INDEX($AN$1004:$BO$1004,1,MATCH(COLUMNS($AN$1006:AS1006),$AN$1006:$BO$1006,0)))),"Fix")))</f>
        <v>0</v>
      </c>
      <c r="H389" s="4">
        <f>IF(OR(INDEX($AH$2:$AH$1001,MATCH(ROWS($AG$2:AG389),$AG$2:$AG$1001,0),1)&gt;=100000,INDEX($AN$1005:$BO$1005,1,MATCH(COLUMNS($AN$1006:AT1006),$AN$1006:$BO$1006,0))&gt;=100000), " ",IF(INDEX($AN$2:$BO$1001,MATCH(ROWS($AG$2:AG389),$AG$2:$AG$1001,0),MATCH(COLUMNS($AN$1006:AT1006),$AN$1006:$BO$1006,0)), HYPERLINK("#",""), HYPERLINK(CONCATENATE("#Metadata!", ADDRESS(INDEX($AI$2:$AI$1001,MATCH(ROWS($AG$2:AG389),$AG$2:$AG$1001,0),0), INDEX($AN$1004:$BO$1004,1,MATCH(COLUMNS($AN$1006:AT1006),$AN$1006:$BO$1006,0)))),"Fix")))</f>
        <v>0</v>
      </c>
      <c r="I389" s="4">
        <f>IF(OR(INDEX($AH$2:$AH$1001,MATCH(ROWS($AG$2:AG389),$AG$2:$AG$1001,0),1)&gt;=100000,INDEX($AN$1005:$BO$1005,1,MATCH(COLUMNS($AN$1006:AU1006),$AN$1006:$BO$1006,0))&gt;=100000), " ",IF(INDEX($AN$2:$BO$1001,MATCH(ROWS($AG$2:AG389),$AG$2:$AG$1001,0),MATCH(COLUMNS($AN$1006:AU1006),$AN$1006:$BO$1006,0)), HYPERLINK("#",""), HYPERLINK(CONCATENATE("#Metadata!", ADDRESS(INDEX($AI$2:$AI$1001,MATCH(ROWS($AG$2:AG389),$AG$2:$AG$1001,0),0), INDEX($AN$1004:$BO$1004,1,MATCH(COLUMNS($AN$1006:AU1006),$AN$1006:$BO$1006,0)))),"Fix")))</f>
        <v>0</v>
      </c>
      <c r="J389" s="4">
        <f>IF(OR(INDEX($AH$2:$AH$1001,MATCH(ROWS($AG$2:AG389),$AG$2:$AG$1001,0),1)&gt;=100000,INDEX($AN$1005:$BO$1005,1,MATCH(COLUMNS($AN$1006:AV1006),$AN$1006:$BO$1006,0))&gt;=100000), " ",IF(INDEX($AN$2:$BO$1001,MATCH(ROWS($AG$2:AG389),$AG$2:$AG$1001,0),MATCH(COLUMNS($AN$1006:AV1006),$AN$1006:$BO$1006,0)), HYPERLINK("#",""), HYPERLINK(CONCATENATE("#Metadata!", ADDRESS(INDEX($AI$2:$AI$1001,MATCH(ROWS($AG$2:AG389),$AG$2:$AG$1001,0),0), INDEX($AN$1004:$BO$1004,1,MATCH(COLUMNS($AN$1006:AV1006),$AN$1006:$BO$1006,0)))),"Fix")))</f>
        <v>0</v>
      </c>
      <c r="K389" s="4">
        <f>IF(OR(INDEX($AH$2:$AH$1001,MATCH(ROWS($AG$2:AG389),$AG$2:$AG$1001,0),1)&gt;=100000,INDEX($AN$1005:$BO$1005,1,MATCH(COLUMNS($AN$1006:AW1006),$AN$1006:$BO$1006,0))&gt;=100000), " ",IF(INDEX($AN$2:$BO$1001,MATCH(ROWS($AG$2:AG389),$AG$2:$AG$1001,0),MATCH(COLUMNS($AN$1006:AW1006),$AN$1006:$BO$1006,0)), HYPERLINK("#",""), HYPERLINK(CONCATENATE("#Metadata!", ADDRESS(INDEX($AI$2:$AI$1001,MATCH(ROWS($AG$2:AG389),$AG$2:$AG$1001,0),0), INDEX($AN$1004:$BO$1004,1,MATCH(COLUMNS($AN$1006:AW1006),$AN$1006:$BO$1006,0)))),"Fix")))</f>
        <v>0</v>
      </c>
      <c r="L389" s="4">
        <f>IF(OR(INDEX($AH$2:$AH$1001,MATCH(ROWS($AG$2:AG389),$AG$2:$AG$1001,0),1)&gt;=100000,INDEX($AN$1005:$BO$1005,1,MATCH(COLUMNS($AN$1006:AX1006),$AN$1006:$BO$1006,0))&gt;=100000), " ",IF(INDEX($AN$2:$BO$1001,MATCH(ROWS($AG$2:AG389),$AG$2:$AG$1001,0),MATCH(COLUMNS($AN$1006:AX1006),$AN$1006:$BO$1006,0)), HYPERLINK("#",""), HYPERLINK(CONCATENATE("#Metadata!", ADDRESS(INDEX($AI$2:$AI$1001,MATCH(ROWS($AG$2:AG389),$AG$2:$AG$1001,0),0), INDEX($AN$1004:$BO$1004,1,MATCH(COLUMNS($AN$1006:AX1006),$AN$1006:$BO$1006,0)))),"Fix")))</f>
        <v>0</v>
      </c>
      <c r="M389" s="4">
        <f>IF(OR(INDEX($AH$2:$AH$1001,MATCH(ROWS($AG$2:AG389),$AG$2:$AG$1001,0),1)&gt;=100000,INDEX($AN$1005:$BO$1005,1,MATCH(COLUMNS($AN$1006:AY1006),$AN$1006:$BO$1006,0))&gt;=100000), " ",IF(INDEX($AN$2:$BO$1001,MATCH(ROWS($AG$2:AG389),$AG$2:$AG$1001,0),MATCH(COLUMNS($AN$1006:AY1006),$AN$1006:$BO$1006,0)), HYPERLINK("#",""), HYPERLINK(CONCATENATE("#Metadata!", ADDRESS(INDEX($AI$2:$AI$1001,MATCH(ROWS($AG$2:AG389),$AG$2:$AG$1001,0),0), INDEX($AN$1004:$BO$1004,1,MATCH(COLUMNS($AN$1006:AY1006),$AN$1006:$BO$1006,0)))),"Fix")))</f>
        <v>0</v>
      </c>
      <c r="N389" s="4">
        <f>IF(OR(INDEX($AH$2:$AH$1001,MATCH(ROWS($AG$2:AG389),$AG$2:$AG$1001,0),1)&gt;=100000,INDEX($AN$1005:$BO$1005,1,MATCH(COLUMNS($AN$1006:AZ1006),$AN$1006:$BO$1006,0))&gt;=100000), " ",IF(INDEX($AN$2:$BO$1001,MATCH(ROWS($AG$2:AG389),$AG$2:$AG$1001,0),MATCH(COLUMNS($AN$1006:AZ1006),$AN$1006:$BO$1006,0)), HYPERLINK("#",""), HYPERLINK(CONCATENATE("#Metadata!", ADDRESS(INDEX($AI$2:$AI$1001,MATCH(ROWS($AG$2:AG389),$AG$2:$AG$1001,0),0), INDEX($AN$1004:$BO$1004,1,MATCH(COLUMNS($AN$1006:AZ1006),$AN$1006:$BO$1006,0)))),"Fix")))</f>
        <v>0</v>
      </c>
      <c r="O389" s="4">
        <f>IF(OR(INDEX($AH$2:$AH$1001,MATCH(ROWS($AG$2:AG389),$AG$2:$AG$1001,0),1)&gt;=100000,INDEX($AN$1005:$BO$1005,1,MATCH(COLUMNS($AN$1006:BA1006),$AN$1006:$BO$1006,0))&gt;=100000), " ",IF(INDEX($AN$2:$BO$1001,MATCH(ROWS($AG$2:AG389),$AG$2:$AG$1001,0),MATCH(COLUMNS($AN$1006:BA1006),$AN$1006:$BO$1006,0)), HYPERLINK("#",""), HYPERLINK(CONCATENATE("#Metadata!", ADDRESS(INDEX($AI$2:$AI$1001,MATCH(ROWS($AG$2:AG389),$AG$2:$AG$1001,0),0), INDEX($AN$1004:$BO$1004,1,MATCH(COLUMNS($AN$1006:BA1006),$AN$1006:$BO$1006,0)))),"Fix")))</f>
        <v>0</v>
      </c>
      <c r="P389" s="4">
        <f>IF(OR(INDEX($AH$2:$AH$1001,MATCH(ROWS($AG$2:AG389),$AG$2:$AG$1001,0),1)&gt;=100000,INDEX($AN$1005:$BO$1005,1,MATCH(COLUMNS($AN$1006:BB1006),$AN$1006:$BO$1006,0))&gt;=100000), " ",IF(INDEX($AN$2:$BO$1001,MATCH(ROWS($AG$2:AG389),$AG$2:$AG$1001,0),MATCH(COLUMNS($AN$1006:BB1006),$AN$1006:$BO$1006,0)), HYPERLINK("#",""), HYPERLINK(CONCATENATE("#Metadata!", ADDRESS(INDEX($AI$2:$AI$1001,MATCH(ROWS($AG$2:AG389),$AG$2:$AG$1001,0),0), INDEX($AN$1004:$BO$1004,1,MATCH(COLUMNS($AN$1006:BB1006),$AN$1006:$BO$1006,0)))),"Fix")))</f>
        <v>0</v>
      </c>
      <c r="Q389" s="4">
        <f>IF(OR(INDEX($AH$2:$AH$1001,MATCH(ROWS($AG$2:AG389),$AG$2:$AG$1001,0),1)&gt;=100000,INDEX($AN$1005:$BO$1005,1,MATCH(COLUMNS($AN$1006:BC1006),$AN$1006:$BO$1006,0))&gt;=100000), " ",IF(INDEX($AN$2:$BO$1001,MATCH(ROWS($AG$2:AG389),$AG$2:$AG$1001,0),MATCH(COLUMNS($AN$1006:BC1006),$AN$1006:$BO$1006,0)), HYPERLINK("#",""), HYPERLINK(CONCATENATE("#Metadata!", ADDRESS(INDEX($AI$2:$AI$1001,MATCH(ROWS($AG$2:AG389),$AG$2:$AG$1001,0),0), INDEX($AN$1004:$BO$1004,1,MATCH(COLUMNS($AN$1006:BC1006),$AN$1006:$BO$1006,0)))),"Fix")))</f>
        <v>0</v>
      </c>
      <c r="R389" s="4">
        <f>IF(OR(INDEX($AH$2:$AH$1001,MATCH(ROWS($AG$2:AG389),$AG$2:$AG$1001,0),1)&gt;=100000,INDEX($AN$1005:$BO$1005,1,MATCH(COLUMNS($AN$1006:BD1006),$AN$1006:$BO$1006,0))&gt;=100000), " ",IF(INDEX($AN$2:$BO$1001,MATCH(ROWS($AG$2:AG389),$AG$2:$AG$1001,0),MATCH(COLUMNS($AN$1006:BD1006),$AN$1006:$BO$1006,0)), HYPERLINK("#",""), HYPERLINK(CONCATENATE("#Metadata!", ADDRESS(INDEX($AI$2:$AI$1001,MATCH(ROWS($AG$2:AG389),$AG$2:$AG$1001,0),0), INDEX($AN$1004:$BO$1004,1,MATCH(COLUMNS($AN$1006:BD1006),$AN$1006:$BO$1006,0)))),"Fix")))</f>
        <v>0</v>
      </c>
      <c r="S389" s="4">
        <f>IF(OR(INDEX($AH$2:$AH$1001,MATCH(ROWS($AG$2:AG389),$AG$2:$AG$1001,0),1)&gt;=100000,INDEX($AN$1005:$BO$1005,1,MATCH(COLUMNS($AN$1006:BE1006),$AN$1006:$BO$1006,0))&gt;=100000), " ",IF(INDEX($AN$2:$BO$1001,MATCH(ROWS($AG$2:AG389),$AG$2:$AG$1001,0),MATCH(COLUMNS($AN$1006:BE1006),$AN$1006:$BO$1006,0)), HYPERLINK("#",""), HYPERLINK(CONCATENATE("#Metadata!", ADDRESS(INDEX($AI$2:$AI$1001,MATCH(ROWS($AG$2:AG389),$AG$2:$AG$1001,0),0), INDEX($AN$1004:$BO$1004,1,MATCH(COLUMNS($AN$1006:BE1006),$AN$1006:$BO$1006,0)))),"Fix")))</f>
        <v>0</v>
      </c>
      <c r="T389" s="4">
        <f>IF(OR(INDEX($AH$2:$AH$1001,MATCH(ROWS($AG$2:AG389),$AG$2:$AG$1001,0),1)&gt;=100000,INDEX($AN$1005:$BO$1005,1,MATCH(COLUMNS($AN$1006:BF1006),$AN$1006:$BO$1006,0))&gt;=100000), " ",IF(INDEX($AN$2:$BO$1001,MATCH(ROWS($AG$2:AG389),$AG$2:$AG$1001,0),MATCH(COLUMNS($AN$1006:BF1006),$AN$1006:$BO$1006,0)), HYPERLINK("#",""), HYPERLINK(CONCATENATE("#Metadata!", ADDRESS(INDEX($AI$2:$AI$1001,MATCH(ROWS($AG$2:AG389),$AG$2:$AG$1001,0),0), INDEX($AN$1004:$BO$1004,1,MATCH(COLUMNS($AN$1006:BF1006),$AN$1006:$BO$1006,0)))),"Fix")))</f>
        <v>0</v>
      </c>
      <c r="U389" s="4">
        <f>IF(OR(INDEX($AH$2:$AH$1001,MATCH(ROWS($AG$2:AG389),$AG$2:$AG$1001,0),1)&gt;=100000,INDEX($AN$1005:$BO$1005,1,MATCH(COLUMNS($AN$1006:BG1006),$AN$1006:$BO$1006,0))&gt;=100000), " ",IF(INDEX($AN$2:$BO$1001,MATCH(ROWS($AG$2:AG389),$AG$2:$AG$1001,0),MATCH(COLUMNS($AN$1006:BG1006),$AN$1006:$BO$1006,0)), HYPERLINK("#",""), HYPERLINK(CONCATENATE("#Metadata!", ADDRESS(INDEX($AI$2:$AI$1001,MATCH(ROWS($AG$2:AG389),$AG$2:$AG$1001,0),0), INDEX($AN$1004:$BO$1004,1,MATCH(COLUMNS($AN$1006:BG1006),$AN$1006:$BO$1006,0)))),"Fix")))</f>
        <v>0</v>
      </c>
      <c r="V389" s="4">
        <f>IF(OR(INDEX($AH$2:$AH$1001,MATCH(ROWS($AG$2:AG389),$AG$2:$AG$1001,0),1)&gt;=100000,INDEX($AN$1005:$BO$1005,1,MATCH(COLUMNS($AN$1006:BH1006),$AN$1006:$BO$1006,0))&gt;=100000), " ",IF(INDEX($AN$2:$BO$1001,MATCH(ROWS($AG$2:AG389),$AG$2:$AG$1001,0),MATCH(COLUMNS($AN$1006:BH1006),$AN$1006:$BO$1006,0)), HYPERLINK("#",""), HYPERLINK(CONCATENATE("#Metadata!", ADDRESS(INDEX($AI$2:$AI$1001,MATCH(ROWS($AG$2:AG389),$AG$2:$AG$1001,0),0), INDEX($AN$1004:$BO$1004,1,MATCH(COLUMNS($AN$1006:BH1006),$AN$1006:$BO$1006,0)))),"Fix")))</f>
        <v>0</v>
      </c>
      <c r="W389" s="4">
        <f>IF(OR(INDEX($AH$2:$AH$1001,MATCH(ROWS($AG$2:AG389),$AG$2:$AG$1001,0),1)&gt;=100000,INDEX($AN$1005:$BO$1005,1,MATCH(COLUMNS($AN$1006:BI1006),$AN$1006:$BO$1006,0))&gt;=100000), " ",IF(INDEX($AN$2:$BO$1001,MATCH(ROWS($AG$2:AG389),$AG$2:$AG$1001,0),MATCH(COLUMNS($AN$1006:BI1006),$AN$1006:$BO$1006,0)), HYPERLINK("#",""), HYPERLINK(CONCATENATE("#Metadata!", ADDRESS(INDEX($AI$2:$AI$1001,MATCH(ROWS($AG$2:AG389),$AG$2:$AG$1001,0),0), INDEX($AN$1004:$BO$1004,1,MATCH(COLUMNS($AN$1006:BI1006),$AN$1006:$BO$1006,0)))),"Fix")))</f>
        <v>0</v>
      </c>
      <c r="X389" s="4">
        <f>IF(OR(INDEX($AH$2:$AH$1001,MATCH(ROWS($AG$2:AG389),$AG$2:$AG$1001,0),1)&gt;=100000,INDEX($AN$1005:$BO$1005,1,MATCH(COLUMNS($AN$1006:BJ1006),$AN$1006:$BO$1006,0))&gt;=100000), " ",IF(INDEX($AN$2:$BO$1001,MATCH(ROWS($AG$2:AG389),$AG$2:$AG$1001,0),MATCH(COLUMNS($AN$1006:BJ1006),$AN$1006:$BO$1006,0)), HYPERLINK("#",""), HYPERLINK(CONCATENATE("#Metadata!", ADDRESS(INDEX($AI$2:$AI$1001,MATCH(ROWS($AG$2:AG389),$AG$2:$AG$1001,0),0), INDEX($AN$1004:$BO$1004,1,MATCH(COLUMNS($AN$1006:BJ1006),$AN$1006:$BO$1006,0)))),"Fix")))</f>
        <v>0</v>
      </c>
      <c r="Y389" s="4">
        <f>IF(OR(INDEX($AH$2:$AH$1001,MATCH(ROWS($AG$2:AG389),$AG$2:$AG$1001,0),1)&gt;=100000,INDEX($AN$1005:$BO$1005,1,MATCH(COLUMNS($AN$1006:BK1006),$AN$1006:$BO$1006,0))&gt;=100000), " ",IF(INDEX($AN$2:$BO$1001,MATCH(ROWS($AG$2:AG389),$AG$2:$AG$1001,0),MATCH(COLUMNS($AN$1006:BK1006),$AN$1006:$BO$1006,0)), HYPERLINK("#",""), HYPERLINK(CONCATENATE("#Metadata!", ADDRESS(INDEX($AI$2:$AI$1001,MATCH(ROWS($AG$2:AG389),$AG$2:$AG$1001,0),0), INDEX($AN$1004:$BO$1004,1,MATCH(COLUMNS($AN$1006:BK1006),$AN$1006:$BO$1006,0)))),"Fix")))</f>
        <v>0</v>
      </c>
      <c r="Z389" s="4">
        <f>IF(OR(INDEX($AH$2:$AH$1001,MATCH(ROWS($AG$2:AG389),$AG$2:$AG$1001,0),1)&gt;=100000,INDEX($AN$1005:$BO$1005,1,MATCH(COLUMNS($AN$1006:BL1006),$AN$1006:$BO$1006,0))&gt;=100000), " ",IF(INDEX($AN$2:$BO$1001,MATCH(ROWS($AG$2:AG389),$AG$2:$AG$1001,0),MATCH(COLUMNS($AN$1006:BL1006),$AN$1006:$BO$1006,0)), HYPERLINK("#",""), HYPERLINK(CONCATENATE("#Metadata!", ADDRESS(INDEX($AI$2:$AI$1001,MATCH(ROWS($AG$2:AG389),$AG$2:$AG$1001,0),0), INDEX($AN$1004:$BO$1004,1,MATCH(COLUMNS($AN$1006:BL1006),$AN$1006:$BO$1006,0)))),"Fix")))</f>
        <v>0</v>
      </c>
      <c r="AA389" s="4">
        <f>IF(OR(INDEX($AH$2:$AH$1001,MATCH(ROWS($AG$2:AG389),$AG$2:$AG$1001,0),1)&gt;=100000,INDEX($AN$1005:$BO$1005,1,MATCH(COLUMNS($AN$1006:BM1006),$AN$1006:$BO$1006,0))&gt;=100000), " ",IF(INDEX($AN$2:$BO$1001,MATCH(ROWS($AG$2:AG389),$AG$2:$AG$1001,0),MATCH(COLUMNS($AN$1006:BM1006),$AN$1006:$BO$1006,0)), HYPERLINK("#",""), HYPERLINK(CONCATENATE("#Metadata!", ADDRESS(INDEX($AI$2:$AI$1001,MATCH(ROWS($AG$2:AG389),$AG$2:$AG$1001,0),0), INDEX($AN$1004:$BO$1004,1,MATCH(COLUMNS($AN$1006:BM1006),$AN$1006:$BO$1006,0)))),"Fix")))</f>
        <v>0</v>
      </c>
      <c r="AB389" s="4">
        <f>IF(OR(INDEX($AH$2:$AH$1001,MATCH(ROWS($AG$2:AG389),$AG$2:$AG$1001,0),1)&gt;=100000,INDEX($AN$1005:$BO$1005,1,MATCH(COLUMNS($AN$1006:BN1006),$AN$1006:$BO$1006,0))&gt;=100000), " ",IF(INDEX($AN$2:$BO$1001,MATCH(ROWS($AG$2:AG389),$AG$2:$AG$1001,0),MATCH(COLUMNS($AN$1006:BN1006),$AN$1006:$BO$1006,0)), HYPERLINK("#",""), HYPERLINK(CONCATENATE("#Metadata!", ADDRESS(INDEX($AI$2:$AI$1001,MATCH(ROWS($AG$2:AG389),$AG$2:$AG$1001,0),0), INDEX($AN$1004:$BO$1004,1,MATCH(COLUMNS($AN$1006:BN1006),$AN$1006:$BO$1006,0)))),"Fix")))</f>
        <v>0</v>
      </c>
      <c r="AC389" s="4">
        <f>IF(OR(INDEX($AH$2:$AH$1001,MATCH(ROWS($AG$2:AG389),$AG$2:$AG$1001,0),1)&gt;=100000,INDEX($AN$1005:$BO$1005,1,MATCH(COLUMNS($AN$1006:BO1006),$AN$1006:$BO$1006,0))&gt;=100000), " ",IF(INDEX($AN$2:$BO$1001,MATCH(ROWS($AG$2:AG389),$AG$2:$AG$1001,0),MATCH(COLUMNS($AN$1006:BO1006),$AN$1006:$BO$1006,0)), HYPERLINK("#",""), HYPERLINK(CONCATENATE("#Metadata!", ADDRESS(INDEX($AI$2:$AI$1001,MATCH(ROWS($AG$2:AG389),$AG$2:$AG$1001,0),0), INDEX($AN$1004:$BO$1004,1,MATCH(COLUMNS($AN$1006:BO1006),$AN$1006:$BO$1006,0)))),"Fix")))</f>
        <v>0</v>
      </c>
      <c r="AG389">
        <v>0</v>
      </c>
      <c r="AH389">
        <v>0</v>
      </c>
      <c r="AI389">
        <v>0</v>
      </c>
      <c r="AJ389">
        <f>IF(AK389,TRUE,AND(AN389:BO389))</f>
        <v>0</v>
      </c>
      <c r="AK389">
        <f>COUNTBLANK(Metadata!B389:AC389)=COLUMNS(Metadata!B389:AC389)</f>
        <v>0</v>
      </c>
      <c r="AL389">
        <v>0</v>
      </c>
      <c r="AN389">
        <f>AND(IF(Metadata!B389="",FALSE,TRUE),COUNTIF(Metadata!B:B, Metadata!B389) = 1,NOT(ISERROR(SUMPRODUCT(SEARCH(MID(Metadata!B389,ROW(INDIRECT("1:"&amp;LEN(Metadata!B389))), 1),"0123456789abcdefghijklmnopqrstuvwxyzABCDEFGHIJKLMNOPQRSTUVWXYZ.")))))</f>
        <v>0</v>
      </c>
      <c r="AO389">
        <f>IF(Metadata!C389="",FALSE,TRUE)</f>
        <v>0</v>
      </c>
      <c r="AP389">
        <f>IF(Metadata!D389="",FALSE,TRUE)</f>
        <v>0</v>
      </c>
      <c r="AQ389">
        <f>OR(AND(IF(Metadata!E389="",FALSE,TRUE),OR(exact(Metadata!E389,"not collected"),exact(Metadata!E389,"not provided"),exact(Metadata!E389,"restricted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R389">
        <f>IF(Metadata!F389="",FALSE,TRUE)</f>
        <v>0</v>
      </c>
      <c r="AS389">
        <f>OR(AND(IF(Metadata!G389="",FALSE,TRUE),OR(exact(Metadata!G389,"not collected"),exact(Metadata!G389,"not provided"))),AND(IF(Metadata!G389="",FALSE,TRUE),OR(exact(Metadata!G389,"TRUE"),exact(Metadata!G389,"FALSE"))))</f>
        <v>0</v>
      </c>
      <c r="AT389">
        <f>OR(AND(IF(Metadata!H389="",FALSE,TRUE),OR(exact(Metadata!H389,"not collected"),exact(Metadata!H389,"not provided"),exact(Metadata!H389,"restricted access"))),AND(IF(Metadata!H389="",FALSE,ISNUMBER(VALUE(Metadata!H389))),Metadata!H389&gt;=-413.0))</f>
        <v>0</v>
      </c>
      <c r="AU389">
        <f>AND(IF(Metadata!I389="",FALSE,TRUE),exact(Metadata!I389,"meters"))</f>
        <v>0</v>
      </c>
      <c r="AV389">
        <f>AND(IF(Metadata!J389="",FALSE,TRUE),OR(exact(Metadata!J389,"Host-associated"),exact(Metadata!J389,"Free-living")))</f>
        <v>0</v>
      </c>
      <c r="AW389">
        <f>AND(IF(Metadata!K389="",FALSE,TRUE),OR(exact(Metadata!K389,"Animal"),exact(Metadata!K389,"Fungus"),exact(Metadata!K389,"Plant"),exact(Metadata!K389,"Saline"),exact(Metadata!K389,"Non-saline")))</f>
        <v>0</v>
      </c>
      <c r="AX389">
        <f>AND(IF(Metadata!L389="",FALSE,TRUE),OR(exact(Metadata!L389,"Plant secretion"),exact(Metadata!L389,"Plant rhizosphere"),exact(Metadata!L389,"Plant surface"),exact(Metadata!L389,"Plant corpus"),exact(Metadata!L389,"Fungus surface"),exact(Metadata!L389,"Fungus corpus"),exact(Metadata!L389,"Animal surface"),exact(Metadata!L389,"Animal proximal gut"),exact(Metadata!L389,"Animal corpus"),exact(Metadata!L389,"Animal distal gut"),exact(Metadata!L389,"Animal secretion"),exact(Metadata!L389,"Sub-surface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Y389">
        <f>IF(Metadata!M389="",FALSE,TRUE)</f>
        <v>0</v>
      </c>
      <c r="AZ389">
        <f>IF(Metadata!N389="",FALSE,TRUE)</f>
        <v>0</v>
      </c>
      <c r="BA389">
        <f>IF(Metadata!O389="",FALSE,TRUE)</f>
        <v>0</v>
      </c>
      <c r="BB389">
        <f>OR(AND(IF(Metadata!P389="",FALSE,TRUE),OR(exact(Metadata!P389,"not collected"),exact(Metadata!P389,"not provided"),exact(Metadata!P389,"restricted access"))),AND(IF(Metadata!P389="",FALSE,TRUE),OR(exact(Metadata!P389,"air"),exact(Metadata!P389,"built environment"),exact(Metadata!P389,"host-associated"),exact(Metadata!P389,"human-associated"),exact(Metadata!P389,"human-skin"),exact(Metadata!P389,"human-oral"),exact(Metadata!P389,"human-gut"),exact(Metadata!P389,"human-vaginal"),exact(Metadata!P389,"microbial mat/biofilm"),exact(Metadata!P389,"misc environment"),exact(Metadata!P389,"plant-associated"),exact(Metadata!P389,"sediment"),exact(Metadata!P389,"soil"),exact(Metadata!P389,"wastewater/sludge"),exact(Metadata!P389,"water"))))</f>
        <v>0</v>
      </c>
      <c r="BC389">
        <f>IF(Metadata!Q389="",FALSE,TRUE)</f>
        <v>0</v>
      </c>
      <c r="BD389">
        <f>IF(Metadata!R389="",FALSE,TRUE)</f>
        <v>0</v>
      </c>
      <c r="BE389">
        <f>OR(AND(IF(Metadata!S389="",FALSE,TRUE),OR(exact(Metadata!S389,"not collected"),exact(Metadata!S389,"not provided"),exact(Metadata!S389,"restricted access"))),AND(IF(Metadata!S389="",FALSE,ISNUMBER(VALUE(Metadata!S389))),Metadata!S389&gt;=-90.00,Metadata!S389&lt;=90.00))</f>
        <v>0</v>
      </c>
      <c r="BF389">
        <f>AND(IF(Metadata!T389="",FALSE,TRUE),exact(Metadata!T389,"Decimal degrees"))</f>
        <v>0</v>
      </c>
      <c r="BG389">
        <f>OR(AND(IF(Metadata!U389="",FALSE,TRUE),OR(exact(Metadata!U389,"not collected"),exact(Metadata!U389,"not provided"),exact(Metadata!U389,"restricted access"))),AND(IF(Metadata!U389="",FALSE,ISNUMBER(VALUE(Metadata!U389))),Metadata!U389&gt;=-180.00,Metadata!U389&lt;=180.00))</f>
        <v>0</v>
      </c>
      <c r="BH389">
        <f>AND(IF(Metadata!V389="",FALSE,TRUE),exact(Metadata!V389,"Decimal degrees"))</f>
        <v>0</v>
      </c>
      <c r="BI389">
        <f>IF(Metadata!W389="",FALSE,TRUE)</f>
        <v>0</v>
      </c>
      <c r="BJ389">
        <f>OR(AND(IF(Metadata!X389="",FALSE,TRUE),OR(exact(Metadata!X389,"not collected"),exact(Metadata!X389,"not provided"),exact(Metadata!X389,"restricted access"))),AND(IF(Metadata!X389="",FALSE,TRUE),OR(exact(Metadata!X389,"TRUE"),exact(Metadata!X389,"FALSE"))))</f>
        <v>0</v>
      </c>
      <c r="BK389">
        <f>AND(IF(Metadata!Y389="",FALSE,TRUE),exact(Metadata!Y389,"other"))</f>
        <v>0</v>
      </c>
      <c r="BL389">
        <f>IF(Metadata!Z389="",FALSE,TRUE)</f>
        <v>0</v>
      </c>
      <c r="BM389">
        <f>OR(AND(IF(Metadata!AA389="",FALSE,TRUE),OR(exact(Metadata!AA389,"not collected"),exact(Metadata!AA389,"not provided"))),AND(IF(Metadata!AA389="",FALSE,IF(ISERROR(INT(Metadata!AA389)),FALSE,INT(Metadata!AA389)=Metadata!AA389)),Metadata!AA389&gt;0))</f>
        <v>0</v>
      </c>
      <c r="BN389">
        <f>AND(IF(Metadata!AB389="",FALSE,TRUE),exact(Metadata!AB389,"Not applicable"))</f>
        <v>0</v>
      </c>
      <c r="BO389">
        <f>IF(Metadata!AC389="",FALSE,TRUE)</f>
        <v>0</v>
      </c>
    </row>
    <row r="390" spans="1:67">
      <c r="A390" s="5">
        <f>IF(B390=" "," ",HYPERLINK(CONCATENATE("#metadata!",ADDRESS(INDEX($AI$2:$AI$1001,MATCH(ROWS($AG$2:AG390),$AG$2:$AG$1001,0),0),1)),INDEX($AL$2:$AL$1001,MATCH(ROWS($AG$2:AG390),$AG$2:$AG$1001,0),0)))</f>
        <v>0</v>
      </c>
      <c r="B390" s="4">
        <f>IF(OR(INDEX($AH$2:$AH$1001,MATCH(ROWS($AG$2:AG390),$AG$2:$AG$1001,0),1)&gt;=100000,INDEX($AN$1005:$BO$1005,1,MATCH(COLUMNS($AN$1006:AN1006),$AN$1006:$BO$1006,0))&gt;=100000), " ",IF(INDEX($AN$2:$BO$1001,MATCH(ROWS($AG$2:AG390),$AG$2:$AG$1001,0),MATCH(COLUMNS($AN$1006:AN1006),$AN$1006:$BO$1006,0)), HYPERLINK("#",""), HYPERLINK(CONCATENATE("#Metadata!", ADDRESS(INDEX($AI$2:$AI$1001,MATCH(ROWS($AG$2:AG390),$AG$2:$AG$1001,0),0), INDEX($AN$1004:$BO$1004,1,MATCH(COLUMNS($AN$1006:AN1006),$AN$1006:$BO$1006,0)))),"Fix")))</f>
        <v>0</v>
      </c>
      <c r="C390" s="4">
        <f>IF(OR(INDEX($AH$2:$AH$1001,MATCH(ROWS($AG$2:AG390),$AG$2:$AG$1001,0),1)&gt;=100000,INDEX($AN$1005:$BO$1005,1,MATCH(COLUMNS($AN$1006:AO1006),$AN$1006:$BO$1006,0))&gt;=100000), " ",IF(INDEX($AN$2:$BO$1001,MATCH(ROWS($AG$2:AG390),$AG$2:$AG$1001,0),MATCH(COLUMNS($AN$1006:AO1006),$AN$1006:$BO$1006,0)), HYPERLINK("#",""), HYPERLINK(CONCATENATE("#Metadata!", ADDRESS(INDEX($AI$2:$AI$1001,MATCH(ROWS($AG$2:AG390),$AG$2:$AG$1001,0),0), INDEX($AN$1004:$BO$1004,1,MATCH(COLUMNS($AN$1006:AO1006),$AN$1006:$BO$1006,0)))),"Fix")))</f>
        <v>0</v>
      </c>
      <c r="D390" s="4">
        <f>IF(OR(INDEX($AH$2:$AH$1001,MATCH(ROWS($AG$2:AG390),$AG$2:$AG$1001,0),1)&gt;=100000,INDEX($AN$1005:$BO$1005,1,MATCH(COLUMNS($AN$1006:AP1006),$AN$1006:$BO$1006,0))&gt;=100000), " ",IF(INDEX($AN$2:$BO$1001,MATCH(ROWS($AG$2:AG390),$AG$2:$AG$1001,0),MATCH(COLUMNS($AN$1006:AP1006),$AN$1006:$BO$1006,0)), HYPERLINK("#",""), HYPERLINK(CONCATENATE("#Metadata!", ADDRESS(INDEX($AI$2:$AI$1001,MATCH(ROWS($AG$2:AG390),$AG$2:$AG$1001,0),0), INDEX($AN$1004:$BO$1004,1,MATCH(COLUMNS($AN$1006:AP1006),$AN$1006:$BO$1006,0)))),"Fix")))</f>
        <v>0</v>
      </c>
      <c r="E390" s="4">
        <f>IF(OR(INDEX($AH$2:$AH$1001,MATCH(ROWS($AG$2:AG390),$AG$2:$AG$1001,0),1)&gt;=100000,INDEX($AN$1005:$BO$1005,1,MATCH(COLUMNS($AN$1006:AQ1006),$AN$1006:$BO$1006,0))&gt;=100000), " ",IF(INDEX($AN$2:$BO$1001,MATCH(ROWS($AG$2:AG390),$AG$2:$AG$1001,0),MATCH(COLUMNS($AN$1006:AQ1006),$AN$1006:$BO$1006,0)), HYPERLINK("#",""), HYPERLINK(CONCATENATE("#Metadata!", ADDRESS(INDEX($AI$2:$AI$1001,MATCH(ROWS($AG$2:AG390),$AG$2:$AG$1001,0),0), INDEX($AN$1004:$BO$1004,1,MATCH(COLUMNS($AN$1006:AQ1006),$AN$1006:$BO$1006,0)))),"Fix")))</f>
        <v>0</v>
      </c>
      <c r="F390" s="4">
        <f>IF(OR(INDEX($AH$2:$AH$1001,MATCH(ROWS($AG$2:AG390),$AG$2:$AG$1001,0),1)&gt;=100000,INDEX($AN$1005:$BO$1005,1,MATCH(COLUMNS($AN$1006:AR1006),$AN$1006:$BO$1006,0))&gt;=100000), " ",IF(INDEX($AN$2:$BO$1001,MATCH(ROWS($AG$2:AG390),$AG$2:$AG$1001,0),MATCH(COLUMNS($AN$1006:AR1006),$AN$1006:$BO$1006,0)), HYPERLINK("#",""), HYPERLINK(CONCATENATE("#Metadata!", ADDRESS(INDEX($AI$2:$AI$1001,MATCH(ROWS($AG$2:AG390),$AG$2:$AG$1001,0),0), INDEX($AN$1004:$BO$1004,1,MATCH(COLUMNS($AN$1006:AR1006),$AN$1006:$BO$1006,0)))),"Fix")))</f>
        <v>0</v>
      </c>
      <c r="G390" s="4">
        <f>IF(OR(INDEX($AH$2:$AH$1001,MATCH(ROWS($AG$2:AG390),$AG$2:$AG$1001,0),1)&gt;=100000,INDEX($AN$1005:$BO$1005,1,MATCH(COLUMNS($AN$1006:AS1006),$AN$1006:$BO$1006,0))&gt;=100000), " ",IF(INDEX($AN$2:$BO$1001,MATCH(ROWS($AG$2:AG390),$AG$2:$AG$1001,0),MATCH(COLUMNS($AN$1006:AS1006),$AN$1006:$BO$1006,0)), HYPERLINK("#",""), HYPERLINK(CONCATENATE("#Metadata!", ADDRESS(INDEX($AI$2:$AI$1001,MATCH(ROWS($AG$2:AG390),$AG$2:$AG$1001,0),0), INDEX($AN$1004:$BO$1004,1,MATCH(COLUMNS($AN$1006:AS1006),$AN$1006:$BO$1006,0)))),"Fix")))</f>
        <v>0</v>
      </c>
      <c r="H390" s="4">
        <f>IF(OR(INDEX($AH$2:$AH$1001,MATCH(ROWS($AG$2:AG390),$AG$2:$AG$1001,0),1)&gt;=100000,INDEX($AN$1005:$BO$1005,1,MATCH(COLUMNS($AN$1006:AT1006),$AN$1006:$BO$1006,0))&gt;=100000), " ",IF(INDEX($AN$2:$BO$1001,MATCH(ROWS($AG$2:AG390),$AG$2:$AG$1001,0),MATCH(COLUMNS($AN$1006:AT1006),$AN$1006:$BO$1006,0)), HYPERLINK("#",""), HYPERLINK(CONCATENATE("#Metadata!", ADDRESS(INDEX($AI$2:$AI$1001,MATCH(ROWS($AG$2:AG390),$AG$2:$AG$1001,0),0), INDEX($AN$1004:$BO$1004,1,MATCH(COLUMNS($AN$1006:AT1006),$AN$1006:$BO$1006,0)))),"Fix")))</f>
        <v>0</v>
      </c>
      <c r="I390" s="4">
        <f>IF(OR(INDEX($AH$2:$AH$1001,MATCH(ROWS($AG$2:AG390),$AG$2:$AG$1001,0),1)&gt;=100000,INDEX($AN$1005:$BO$1005,1,MATCH(COLUMNS($AN$1006:AU1006),$AN$1006:$BO$1006,0))&gt;=100000), " ",IF(INDEX($AN$2:$BO$1001,MATCH(ROWS($AG$2:AG390),$AG$2:$AG$1001,0),MATCH(COLUMNS($AN$1006:AU1006),$AN$1006:$BO$1006,0)), HYPERLINK("#",""), HYPERLINK(CONCATENATE("#Metadata!", ADDRESS(INDEX($AI$2:$AI$1001,MATCH(ROWS($AG$2:AG390),$AG$2:$AG$1001,0),0), INDEX($AN$1004:$BO$1004,1,MATCH(COLUMNS($AN$1006:AU1006),$AN$1006:$BO$1006,0)))),"Fix")))</f>
        <v>0</v>
      </c>
      <c r="J390" s="4">
        <f>IF(OR(INDEX($AH$2:$AH$1001,MATCH(ROWS($AG$2:AG390),$AG$2:$AG$1001,0),1)&gt;=100000,INDEX($AN$1005:$BO$1005,1,MATCH(COLUMNS($AN$1006:AV1006),$AN$1006:$BO$1006,0))&gt;=100000), " ",IF(INDEX($AN$2:$BO$1001,MATCH(ROWS($AG$2:AG390),$AG$2:$AG$1001,0),MATCH(COLUMNS($AN$1006:AV1006),$AN$1006:$BO$1006,0)), HYPERLINK("#",""), HYPERLINK(CONCATENATE("#Metadata!", ADDRESS(INDEX($AI$2:$AI$1001,MATCH(ROWS($AG$2:AG390),$AG$2:$AG$1001,0),0), INDEX($AN$1004:$BO$1004,1,MATCH(COLUMNS($AN$1006:AV1006),$AN$1006:$BO$1006,0)))),"Fix")))</f>
        <v>0</v>
      </c>
      <c r="K390" s="4">
        <f>IF(OR(INDEX($AH$2:$AH$1001,MATCH(ROWS($AG$2:AG390),$AG$2:$AG$1001,0),1)&gt;=100000,INDEX($AN$1005:$BO$1005,1,MATCH(COLUMNS($AN$1006:AW1006),$AN$1006:$BO$1006,0))&gt;=100000), " ",IF(INDEX($AN$2:$BO$1001,MATCH(ROWS($AG$2:AG390),$AG$2:$AG$1001,0),MATCH(COLUMNS($AN$1006:AW1006),$AN$1006:$BO$1006,0)), HYPERLINK("#",""), HYPERLINK(CONCATENATE("#Metadata!", ADDRESS(INDEX($AI$2:$AI$1001,MATCH(ROWS($AG$2:AG390),$AG$2:$AG$1001,0),0), INDEX($AN$1004:$BO$1004,1,MATCH(COLUMNS($AN$1006:AW1006),$AN$1006:$BO$1006,0)))),"Fix")))</f>
        <v>0</v>
      </c>
      <c r="L390" s="4">
        <f>IF(OR(INDEX($AH$2:$AH$1001,MATCH(ROWS($AG$2:AG390),$AG$2:$AG$1001,0),1)&gt;=100000,INDEX($AN$1005:$BO$1005,1,MATCH(COLUMNS($AN$1006:AX1006),$AN$1006:$BO$1006,0))&gt;=100000), " ",IF(INDEX($AN$2:$BO$1001,MATCH(ROWS($AG$2:AG390),$AG$2:$AG$1001,0),MATCH(COLUMNS($AN$1006:AX1006),$AN$1006:$BO$1006,0)), HYPERLINK("#",""), HYPERLINK(CONCATENATE("#Metadata!", ADDRESS(INDEX($AI$2:$AI$1001,MATCH(ROWS($AG$2:AG390),$AG$2:$AG$1001,0),0), INDEX($AN$1004:$BO$1004,1,MATCH(COLUMNS($AN$1006:AX1006),$AN$1006:$BO$1006,0)))),"Fix")))</f>
        <v>0</v>
      </c>
      <c r="M390" s="4">
        <f>IF(OR(INDEX($AH$2:$AH$1001,MATCH(ROWS($AG$2:AG390),$AG$2:$AG$1001,0),1)&gt;=100000,INDEX($AN$1005:$BO$1005,1,MATCH(COLUMNS($AN$1006:AY1006),$AN$1006:$BO$1006,0))&gt;=100000), " ",IF(INDEX($AN$2:$BO$1001,MATCH(ROWS($AG$2:AG390),$AG$2:$AG$1001,0),MATCH(COLUMNS($AN$1006:AY1006),$AN$1006:$BO$1006,0)), HYPERLINK("#",""), HYPERLINK(CONCATENATE("#Metadata!", ADDRESS(INDEX($AI$2:$AI$1001,MATCH(ROWS($AG$2:AG390),$AG$2:$AG$1001,0),0), INDEX($AN$1004:$BO$1004,1,MATCH(COLUMNS($AN$1006:AY1006),$AN$1006:$BO$1006,0)))),"Fix")))</f>
        <v>0</v>
      </c>
      <c r="N390" s="4">
        <f>IF(OR(INDEX($AH$2:$AH$1001,MATCH(ROWS($AG$2:AG390),$AG$2:$AG$1001,0),1)&gt;=100000,INDEX($AN$1005:$BO$1005,1,MATCH(COLUMNS($AN$1006:AZ1006),$AN$1006:$BO$1006,0))&gt;=100000), " ",IF(INDEX($AN$2:$BO$1001,MATCH(ROWS($AG$2:AG390),$AG$2:$AG$1001,0),MATCH(COLUMNS($AN$1006:AZ1006),$AN$1006:$BO$1006,0)), HYPERLINK("#",""), HYPERLINK(CONCATENATE("#Metadata!", ADDRESS(INDEX($AI$2:$AI$1001,MATCH(ROWS($AG$2:AG390),$AG$2:$AG$1001,0),0), INDEX($AN$1004:$BO$1004,1,MATCH(COLUMNS($AN$1006:AZ1006),$AN$1006:$BO$1006,0)))),"Fix")))</f>
        <v>0</v>
      </c>
      <c r="O390" s="4">
        <f>IF(OR(INDEX($AH$2:$AH$1001,MATCH(ROWS($AG$2:AG390),$AG$2:$AG$1001,0),1)&gt;=100000,INDEX($AN$1005:$BO$1005,1,MATCH(COLUMNS($AN$1006:BA1006),$AN$1006:$BO$1006,0))&gt;=100000), " ",IF(INDEX($AN$2:$BO$1001,MATCH(ROWS($AG$2:AG390),$AG$2:$AG$1001,0),MATCH(COLUMNS($AN$1006:BA1006),$AN$1006:$BO$1006,0)), HYPERLINK("#",""), HYPERLINK(CONCATENATE("#Metadata!", ADDRESS(INDEX($AI$2:$AI$1001,MATCH(ROWS($AG$2:AG390),$AG$2:$AG$1001,0),0), INDEX($AN$1004:$BO$1004,1,MATCH(COLUMNS($AN$1006:BA1006),$AN$1006:$BO$1006,0)))),"Fix")))</f>
        <v>0</v>
      </c>
      <c r="P390" s="4">
        <f>IF(OR(INDEX($AH$2:$AH$1001,MATCH(ROWS($AG$2:AG390),$AG$2:$AG$1001,0),1)&gt;=100000,INDEX($AN$1005:$BO$1005,1,MATCH(COLUMNS($AN$1006:BB1006),$AN$1006:$BO$1006,0))&gt;=100000), " ",IF(INDEX($AN$2:$BO$1001,MATCH(ROWS($AG$2:AG390),$AG$2:$AG$1001,0),MATCH(COLUMNS($AN$1006:BB1006),$AN$1006:$BO$1006,0)), HYPERLINK("#",""), HYPERLINK(CONCATENATE("#Metadata!", ADDRESS(INDEX($AI$2:$AI$1001,MATCH(ROWS($AG$2:AG390),$AG$2:$AG$1001,0),0), INDEX($AN$1004:$BO$1004,1,MATCH(COLUMNS($AN$1006:BB1006),$AN$1006:$BO$1006,0)))),"Fix")))</f>
        <v>0</v>
      </c>
      <c r="Q390" s="4">
        <f>IF(OR(INDEX($AH$2:$AH$1001,MATCH(ROWS($AG$2:AG390),$AG$2:$AG$1001,0),1)&gt;=100000,INDEX($AN$1005:$BO$1005,1,MATCH(COLUMNS($AN$1006:BC1006),$AN$1006:$BO$1006,0))&gt;=100000), " ",IF(INDEX($AN$2:$BO$1001,MATCH(ROWS($AG$2:AG390),$AG$2:$AG$1001,0),MATCH(COLUMNS($AN$1006:BC1006),$AN$1006:$BO$1006,0)), HYPERLINK("#",""), HYPERLINK(CONCATENATE("#Metadata!", ADDRESS(INDEX($AI$2:$AI$1001,MATCH(ROWS($AG$2:AG390),$AG$2:$AG$1001,0),0), INDEX($AN$1004:$BO$1004,1,MATCH(COLUMNS($AN$1006:BC1006),$AN$1006:$BO$1006,0)))),"Fix")))</f>
        <v>0</v>
      </c>
      <c r="R390" s="4">
        <f>IF(OR(INDEX($AH$2:$AH$1001,MATCH(ROWS($AG$2:AG390),$AG$2:$AG$1001,0),1)&gt;=100000,INDEX($AN$1005:$BO$1005,1,MATCH(COLUMNS($AN$1006:BD1006),$AN$1006:$BO$1006,0))&gt;=100000), " ",IF(INDEX($AN$2:$BO$1001,MATCH(ROWS($AG$2:AG390),$AG$2:$AG$1001,0),MATCH(COLUMNS($AN$1006:BD1006),$AN$1006:$BO$1006,0)), HYPERLINK("#",""), HYPERLINK(CONCATENATE("#Metadata!", ADDRESS(INDEX($AI$2:$AI$1001,MATCH(ROWS($AG$2:AG390),$AG$2:$AG$1001,0),0), INDEX($AN$1004:$BO$1004,1,MATCH(COLUMNS($AN$1006:BD1006),$AN$1006:$BO$1006,0)))),"Fix")))</f>
        <v>0</v>
      </c>
      <c r="S390" s="4">
        <f>IF(OR(INDEX($AH$2:$AH$1001,MATCH(ROWS($AG$2:AG390),$AG$2:$AG$1001,0),1)&gt;=100000,INDEX($AN$1005:$BO$1005,1,MATCH(COLUMNS($AN$1006:BE1006),$AN$1006:$BO$1006,0))&gt;=100000), " ",IF(INDEX($AN$2:$BO$1001,MATCH(ROWS($AG$2:AG390),$AG$2:$AG$1001,0),MATCH(COLUMNS($AN$1006:BE1006),$AN$1006:$BO$1006,0)), HYPERLINK("#",""), HYPERLINK(CONCATENATE("#Metadata!", ADDRESS(INDEX($AI$2:$AI$1001,MATCH(ROWS($AG$2:AG390),$AG$2:$AG$1001,0),0), INDEX($AN$1004:$BO$1004,1,MATCH(COLUMNS($AN$1006:BE1006),$AN$1006:$BO$1006,0)))),"Fix")))</f>
        <v>0</v>
      </c>
      <c r="T390" s="4">
        <f>IF(OR(INDEX($AH$2:$AH$1001,MATCH(ROWS($AG$2:AG390),$AG$2:$AG$1001,0),1)&gt;=100000,INDEX($AN$1005:$BO$1005,1,MATCH(COLUMNS($AN$1006:BF1006),$AN$1006:$BO$1006,0))&gt;=100000), " ",IF(INDEX($AN$2:$BO$1001,MATCH(ROWS($AG$2:AG390),$AG$2:$AG$1001,0),MATCH(COLUMNS($AN$1006:BF1006),$AN$1006:$BO$1006,0)), HYPERLINK("#",""), HYPERLINK(CONCATENATE("#Metadata!", ADDRESS(INDEX($AI$2:$AI$1001,MATCH(ROWS($AG$2:AG390),$AG$2:$AG$1001,0),0), INDEX($AN$1004:$BO$1004,1,MATCH(COLUMNS($AN$1006:BF1006),$AN$1006:$BO$1006,0)))),"Fix")))</f>
        <v>0</v>
      </c>
      <c r="U390" s="4">
        <f>IF(OR(INDEX($AH$2:$AH$1001,MATCH(ROWS($AG$2:AG390),$AG$2:$AG$1001,0),1)&gt;=100000,INDEX($AN$1005:$BO$1005,1,MATCH(COLUMNS($AN$1006:BG1006),$AN$1006:$BO$1006,0))&gt;=100000), " ",IF(INDEX($AN$2:$BO$1001,MATCH(ROWS($AG$2:AG390),$AG$2:$AG$1001,0),MATCH(COLUMNS($AN$1006:BG1006),$AN$1006:$BO$1006,0)), HYPERLINK("#",""), HYPERLINK(CONCATENATE("#Metadata!", ADDRESS(INDEX($AI$2:$AI$1001,MATCH(ROWS($AG$2:AG390),$AG$2:$AG$1001,0),0), INDEX($AN$1004:$BO$1004,1,MATCH(COLUMNS($AN$1006:BG1006),$AN$1006:$BO$1006,0)))),"Fix")))</f>
        <v>0</v>
      </c>
      <c r="V390" s="4">
        <f>IF(OR(INDEX($AH$2:$AH$1001,MATCH(ROWS($AG$2:AG390),$AG$2:$AG$1001,0),1)&gt;=100000,INDEX($AN$1005:$BO$1005,1,MATCH(COLUMNS($AN$1006:BH1006),$AN$1006:$BO$1006,0))&gt;=100000), " ",IF(INDEX($AN$2:$BO$1001,MATCH(ROWS($AG$2:AG390),$AG$2:$AG$1001,0),MATCH(COLUMNS($AN$1006:BH1006),$AN$1006:$BO$1006,0)), HYPERLINK("#",""), HYPERLINK(CONCATENATE("#Metadata!", ADDRESS(INDEX($AI$2:$AI$1001,MATCH(ROWS($AG$2:AG390),$AG$2:$AG$1001,0),0), INDEX($AN$1004:$BO$1004,1,MATCH(COLUMNS($AN$1006:BH1006),$AN$1006:$BO$1006,0)))),"Fix")))</f>
        <v>0</v>
      </c>
      <c r="W390" s="4">
        <f>IF(OR(INDEX($AH$2:$AH$1001,MATCH(ROWS($AG$2:AG390),$AG$2:$AG$1001,0),1)&gt;=100000,INDEX($AN$1005:$BO$1005,1,MATCH(COLUMNS($AN$1006:BI1006),$AN$1006:$BO$1006,0))&gt;=100000), " ",IF(INDEX($AN$2:$BO$1001,MATCH(ROWS($AG$2:AG390),$AG$2:$AG$1001,0),MATCH(COLUMNS($AN$1006:BI1006),$AN$1006:$BO$1006,0)), HYPERLINK("#",""), HYPERLINK(CONCATENATE("#Metadata!", ADDRESS(INDEX($AI$2:$AI$1001,MATCH(ROWS($AG$2:AG390),$AG$2:$AG$1001,0),0), INDEX($AN$1004:$BO$1004,1,MATCH(COLUMNS($AN$1006:BI1006),$AN$1006:$BO$1006,0)))),"Fix")))</f>
        <v>0</v>
      </c>
      <c r="X390" s="4">
        <f>IF(OR(INDEX($AH$2:$AH$1001,MATCH(ROWS($AG$2:AG390),$AG$2:$AG$1001,0),1)&gt;=100000,INDEX($AN$1005:$BO$1005,1,MATCH(COLUMNS($AN$1006:BJ1006),$AN$1006:$BO$1006,0))&gt;=100000), " ",IF(INDEX($AN$2:$BO$1001,MATCH(ROWS($AG$2:AG390),$AG$2:$AG$1001,0),MATCH(COLUMNS($AN$1006:BJ1006),$AN$1006:$BO$1006,0)), HYPERLINK("#",""), HYPERLINK(CONCATENATE("#Metadata!", ADDRESS(INDEX($AI$2:$AI$1001,MATCH(ROWS($AG$2:AG390),$AG$2:$AG$1001,0),0), INDEX($AN$1004:$BO$1004,1,MATCH(COLUMNS($AN$1006:BJ1006),$AN$1006:$BO$1006,0)))),"Fix")))</f>
        <v>0</v>
      </c>
      <c r="Y390" s="4">
        <f>IF(OR(INDEX($AH$2:$AH$1001,MATCH(ROWS($AG$2:AG390),$AG$2:$AG$1001,0),1)&gt;=100000,INDEX($AN$1005:$BO$1005,1,MATCH(COLUMNS($AN$1006:BK1006),$AN$1006:$BO$1006,0))&gt;=100000), " ",IF(INDEX($AN$2:$BO$1001,MATCH(ROWS($AG$2:AG390),$AG$2:$AG$1001,0),MATCH(COLUMNS($AN$1006:BK1006),$AN$1006:$BO$1006,0)), HYPERLINK("#",""), HYPERLINK(CONCATENATE("#Metadata!", ADDRESS(INDEX($AI$2:$AI$1001,MATCH(ROWS($AG$2:AG390),$AG$2:$AG$1001,0),0), INDEX($AN$1004:$BO$1004,1,MATCH(COLUMNS($AN$1006:BK1006),$AN$1006:$BO$1006,0)))),"Fix")))</f>
        <v>0</v>
      </c>
      <c r="Z390" s="4">
        <f>IF(OR(INDEX($AH$2:$AH$1001,MATCH(ROWS($AG$2:AG390),$AG$2:$AG$1001,0),1)&gt;=100000,INDEX($AN$1005:$BO$1005,1,MATCH(COLUMNS($AN$1006:BL1006),$AN$1006:$BO$1006,0))&gt;=100000), " ",IF(INDEX($AN$2:$BO$1001,MATCH(ROWS($AG$2:AG390),$AG$2:$AG$1001,0),MATCH(COLUMNS($AN$1006:BL1006),$AN$1006:$BO$1006,0)), HYPERLINK("#",""), HYPERLINK(CONCATENATE("#Metadata!", ADDRESS(INDEX($AI$2:$AI$1001,MATCH(ROWS($AG$2:AG390),$AG$2:$AG$1001,0),0), INDEX($AN$1004:$BO$1004,1,MATCH(COLUMNS($AN$1006:BL1006),$AN$1006:$BO$1006,0)))),"Fix")))</f>
        <v>0</v>
      </c>
      <c r="AA390" s="4">
        <f>IF(OR(INDEX($AH$2:$AH$1001,MATCH(ROWS($AG$2:AG390),$AG$2:$AG$1001,0),1)&gt;=100000,INDEX($AN$1005:$BO$1005,1,MATCH(COLUMNS($AN$1006:BM1006),$AN$1006:$BO$1006,0))&gt;=100000), " ",IF(INDEX($AN$2:$BO$1001,MATCH(ROWS($AG$2:AG390),$AG$2:$AG$1001,0),MATCH(COLUMNS($AN$1006:BM1006),$AN$1006:$BO$1006,0)), HYPERLINK("#",""), HYPERLINK(CONCATENATE("#Metadata!", ADDRESS(INDEX($AI$2:$AI$1001,MATCH(ROWS($AG$2:AG390),$AG$2:$AG$1001,0),0), INDEX($AN$1004:$BO$1004,1,MATCH(COLUMNS($AN$1006:BM1006),$AN$1006:$BO$1006,0)))),"Fix")))</f>
        <v>0</v>
      </c>
      <c r="AB390" s="4">
        <f>IF(OR(INDEX($AH$2:$AH$1001,MATCH(ROWS($AG$2:AG390),$AG$2:$AG$1001,0),1)&gt;=100000,INDEX($AN$1005:$BO$1005,1,MATCH(COLUMNS($AN$1006:BN1006),$AN$1006:$BO$1006,0))&gt;=100000), " ",IF(INDEX($AN$2:$BO$1001,MATCH(ROWS($AG$2:AG390),$AG$2:$AG$1001,0),MATCH(COLUMNS($AN$1006:BN1006),$AN$1006:$BO$1006,0)), HYPERLINK("#",""), HYPERLINK(CONCATENATE("#Metadata!", ADDRESS(INDEX($AI$2:$AI$1001,MATCH(ROWS($AG$2:AG390),$AG$2:$AG$1001,0),0), INDEX($AN$1004:$BO$1004,1,MATCH(COLUMNS($AN$1006:BN1006),$AN$1006:$BO$1006,0)))),"Fix")))</f>
        <v>0</v>
      </c>
      <c r="AC390" s="4">
        <f>IF(OR(INDEX($AH$2:$AH$1001,MATCH(ROWS($AG$2:AG390),$AG$2:$AG$1001,0),1)&gt;=100000,INDEX($AN$1005:$BO$1005,1,MATCH(COLUMNS($AN$1006:BO1006),$AN$1006:$BO$1006,0))&gt;=100000), " ",IF(INDEX($AN$2:$BO$1001,MATCH(ROWS($AG$2:AG390),$AG$2:$AG$1001,0),MATCH(COLUMNS($AN$1006:BO1006),$AN$1006:$BO$1006,0)), HYPERLINK("#",""), HYPERLINK(CONCATENATE("#Metadata!", ADDRESS(INDEX($AI$2:$AI$1001,MATCH(ROWS($AG$2:AG390),$AG$2:$AG$1001,0),0), INDEX($AN$1004:$BO$1004,1,MATCH(COLUMNS($AN$1006:BO1006),$AN$1006:$BO$1006,0)))),"Fix")))</f>
        <v>0</v>
      </c>
      <c r="AG390">
        <v>0</v>
      </c>
      <c r="AH390">
        <v>0</v>
      </c>
      <c r="AI390">
        <v>0</v>
      </c>
      <c r="AJ390">
        <f>IF(AK390,TRUE,AND(AN390:BO390))</f>
        <v>0</v>
      </c>
      <c r="AK390">
        <f>COUNTBLANK(Metadata!B390:AC390)=COLUMNS(Metadata!B390:AC390)</f>
        <v>0</v>
      </c>
      <c r="AL390">
        <v>0</v>
      </c>
      <c r="AN390">
        <f>AND(IF(Metadata!B390="",FALSE,TRUE),COUNTIF(Metadata!B:B, Metadata!B390) = 1,NOT(ISERROR(SUMPRODUCT(SEARCH(MID(Metadata!B390,ROW(INDIRECT("1:"&amp;LEN(Metadata!B390))), 1),"0123456789abcdefghijklmnopqrstuvwxyzABCDEFGHIJKLMNOPQRSTUVWXYZ.")))))</f>
        <v>0</v>
      </c>
      <c r="AO390">
        <f>IF(Metadata!C390="",FALSE,TRUE)</f>
        <v>0</v>
      </c>
      <c r="AP390">
        <f>IF(Metadata!D390="",FALSE,TRUE)</f>
        <v>0</v>
      </c>
      <c r="AQ390">
        <f>OR(AND(IF(Metadata!E390="",FALSE,TRUE),OR(exact(Metadata!E390,"not collected"),exact(Metadata!E390,"not provided"),exact(Metadata!E390,"restricted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R390">
        <f>IF(Metadata!F390="",FALSE,TRUE)</f>
        <v>0</v>
      </c>
      <c r="AS390">
        <f>OR(AND(IF(Metadata!G390="",FALSE,TRUE),OR(exact(Metadata!G390,"not collected"),exact(Metadata!G390,"not provided"))),AND(IF(Metadata!G390="",FALSE,TRUE),OR(exact(Metadata!G390,"TRUE"),exact(Metadata!G390,"FALSE"))))</f>
        <v>0</v>
      </c>
      <c r="AT390">
        <f>OR(AND(IF(Metadata!H390="",FALSE,TRUE),OR(exact(Metadata!H390,"not collected"),exact(Metadata!H390,"not provided"),exact(Metadata!H390,"restricted access"))),AND(IF(Metadata!H390="",FALSE,ISNUMBER(VALUE(Metadata!H390))),Metadata!H390&gt;=-413.0))</f>
        <v>0</v>
      </c>
      <c r="AU390">
        <f>AND(IF(Metadata!I390="",FALSE,TRUE),exact(Metadata!I390,"meters"))</f>
        <v>0</v>
      </c>
      <c r="AV390">
        <f>AND(IF(Metadata!J390="",FALSE,TRUE),OR(exact(Metadata!J390,"Host-associated"),exact(Metadata!J390,"Free-living")))</f>
        <v>0</v>
      </c>
      <c r="AW390">
        <f>AND(IF(Metadata!K390="",FALSE,TRUE),OR(exact(Metadata!K390,"Animal"),exact(Metadata!K390,"Fungus"),exact(Metadata!K390,"Plant"),exact(Metadata!K390,"Saline"),exact(Metadata!K390,"Non-saline")))</f>
        <v>0</v>
      </c>
      <c r="AX390">
        <f>AND(IF(Metadata!L390="",FALSE,TRUE),OR(exact(Metadata!L390,"Plant secretion"),exact(Metadata!L390,"Plant rhizosphere"),exact(Metadata!L390,"Plant surface"),exact(Metadata!L390,"Plant corpus"),exact(Metadata!L390,"Fungus surface"),exact(Metadata!L390,"Fungus corpus"),exact(Metadata!L390,"Animal surface"),exact(Metadata!L390,"Animal proximal gut"),exact(Metadata!L390,"Animal corpus"),exact(Metadata!L390,"Animal distal gut"),exact(Metadata!L390,"Animal secretion"),exact(Metadata!L390,"Sub-surface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Y390">
        <f>IF(Metadata!M390="",FALSE,TRUE)</f>
        <v>0</v>
      </c>
      <c r="AZ390">
        <f>IF(Metadata!N390="",FALSE,TRUE)</f>
        <v>0</v>
      </c>
      <c r="BA390">
        <f>IF(Metadata!O390="",FALSE,TRUE)</f>
        <v>0</v>
      </c>
      <c r="BB390">
        <f>OR(AND(IF(Metadata!P390="",FALSE,TRUE),OR(exact(Metadata!P390,"not collected"),exact(Metadata!P390,"not provided"),exact(Metadata!P390,"restricted access"))),AND(IF(Metadata!P390="",FALSE,TRUE),OR(exact(Metadata!P390,"air"),exact(Metadata!P390,"built environment"),exact(Metadata!P390,"host-associated"),exact(Metadata!P390,"human-associated"),exact(Metadata!P390,"human-skin"),exact(Metadata!P390,"human-oral"),exact(Metadata!P390,"human-gut"),exact(Metadata!P390,"human-vaginal"),exact(Metadata!P390,"microbial mat/biofilm"),exact(Metadata!P390,"misc environment"),exact(Metadata!P390,"plant-associated"),exact(Metadata!P390,"sediment"),exact(Metadata!P390,"soil"),exact(Metadata!P390,"wastewater/sludge"),exact(Metadata!P390,"water"))))</f>
        <v>0</v>
      </c>
      <c r="BC390">
        <f>IF(Metadata!Q390="",FALSE,TRUE)</f>
        <v>0</v>
      </c>
      <c r="BD390">
        <f>IF(Metadata!R390="",FALSE,TRUE)</f>
        <v>0</v>
      </c>
      <c r="BE390">
        <f>OR(AND(IF(Metadata!S390="",FALSE,TRUE),OR(exact(Metadata!S390,"not collected"),exact(Metadata!S390,"not provided"),exact(Metadata!S390,"restricted access"))),AND(IF(Metadata!S390="",FALSE,ISNUMBER(VALUE(Metadata!S390))),Metadata!S390&gt;=-90.00,Metadata!S390&lt;=90.00))</f>
        <v>0</v>
      </c>
      <c r="BF390">
        <f>AND(IF(Metadata!T390="",FALSE,TRUE),exact(Metadata!T390,"Decimal degrees"))</f>
        <v>0</v>
      </c>
      <c r="BG390">
        <f>OR(AND(IF(Metadata!U390="",FALSE,TRUE),OR(exact(Metadata!U390,"not collected"),exact(Metadata!U390,"not provided"),exact(Metadata!U390,"restricted access"))),AND(IF(Metadata!U390="",FALSE,ISNUMBER(VALUE(Metadata!U390))),Metadata!U390&gt;=-180.00,Metadata!U390&lt;=180.00))</f>
        <v>0</v>
      </c>
      <c r="BH390">
        <f>AND(IF(Metadata!V390="",FALSE,TRUE),exact(Metadata!V390,"Decimal degrees"))</f>
        <v>0</v>
      </c>
      <c r="BI390">
        <f>IF(Metadata!W390="",FALSE,TRUE)</f>
        <v>0</v>
      </c>
      <c r="BJ390">
        <f>OR(AND(IF(Metadata!X390="",FALSE,TRUE),OR(exact(Metadata!X390,"not collected"),exact(Metadata!X390,"not provided"),exact(Metadata!X390,"restricted access"))),AND(IF(Metadata!X390="",FALSE,TRUE),OR(exact(Metadata!X390,"TRUE"),exact(Metadata!X390,"FALSE"))))</f>
        <v>0</v>
      </c>
      <c r="BK390">
        <f>AND(IF(Metadata!Y390="",FALSE,TRUE),exact(Metadata!Y390,"other"))</f>
        <v>0</v>
      </c>
      <c r="BL390">
        <f>IF(Metadata!Z390="",FALSE,TRUE)</f>
        <v>0</v>
      </c>
      <c r="BM390">
        <f>OR(AND(IF(Metadata!AA390="",FALSE,TRUE),OR(exact(Metadata!AA390,"not collected"),exact(Metadata!AA390,"not provided"))),AND(IF(Metadata!AA390="",FALSE,IF(ISERROR(INT(Metadata!AA390)),FALSE,INT(Metadata!AA390)=Metadata!AA390)),Metadata!AA390&gt;0))</f>
        <v>0</v>
      </c>
      <c r="BN390">
        <f>AND(IF(Metadata!AB390="",FALSE,TRUE),exact(Metadata!AB390,"Not applicable"))</f>
        <v>0</v>
      </c>
      <c r="BO390">
        <f>IF(Metadata!AC390="",FALSE,TRUE)</f>
        <v>0</v>
      </c>
    </row>
    <row r="391" spans="1:67">
      <c r="A391" s="5">
        <f>IF(B391=" "," ",HYPERLINK(CONCATENATE("#metadata!",ADDRESS(INDEX($AI$2:$AI$1001,MATCH(ROWS($AG$2:AG391),$AG$2:$AG$1001,0),0),1)),INDEX($AL$2:$AL$1001,MATCH(ROWS($AG$2:AG391),$AG$2:$AG$1001,0),0)))</f>
        <v>0</v>
      </c>
      <c r="B391" s="4">
        <f>IF(OR(INDEX($AH$2:$AH$1001,MATCH(ROWS($AG$2:AG391),$AG$2:$AG$1001,0),1)&gt;=100000,INDEX($AN$1005:$BO$1005,1,MATCH(COLUMNS($AN$1006:AN1006),$AN$1006:$BO$1006,0))&gt;=100000), " ",IF(INDEX($AN$2:$BO$1001,MATCH(ROWS($AG$2:AG391),$AG$2:$AG$1001,0),MATCH(COLUMNS($AN$1006:AN1006),$AN$1006:$BO$1006,0)), HYPERLINK("#",""), HYPERLINK(CONCATENATE("#Metadata!", ADDRESS(INDEX($AI$2:$AI$1001,MATCH(ROWS($AG$2:AG391),$AG$2:$AG$1001,0),0), INDEX($AN$1004:$BO$1004,1,MATCH(COLUMNS($AN$1006:AN1006),$AN$1006:$BO$1006,0)))),"Fix")))</f>
        <v>0</v>
      </c>
      <c r="C391" s="4">
        <f>IF(OR(INDEX($AH$2:$AH$1001,MATCH(ROWS($AG$2:AG391),$AG$2:$AG$1001,0),1)&gt;=100000,INDEX($AN$1005:$BO$1005,1,MATCH(COLUMNS($AN$1006:AO1006),$AN$1006:$BO$1006,0))&gt;=100000), " ",IF(INDEX($AN$2:$BO$1001,MATCH(ROWS($AG$2:AG391),$AG$2:$AG$1001,0),MATCH(COLUMNS($AN$1006:AO1006),$AN$1006:$BO$1006,0)), HYPERLINK("#",""), HYPERLINK(CONCATENATE("#Metadata!", ADDRESS(INDEX($AI$2:$AI$1001,MATCH(ROWS($AG$2:AG391),$AG$2:$AG$1001,0),0), INDEX($AN$1004:$BO$1004,1,MATCH(COLUMNS($AN$1006:AO1006),$AN$1006:$BO$1006,0)))),"Fix")))</f>
        <v>0</v>
      </c>
      <c r="D391" s="4">
        <f>IF(OR(INDEX($AH$2:$AH$1001,MATCH(ROWS($AG$2:AG391),$AG$2:$AG$1001,0),1)&gt;=100000,INDEX($AN$1005:$BO$1005,1,MATCH(COLUMNS($AN$1006:AP1006),$AN$1006:$BO$1006,0))&gt;=100000), " ",IF(INDEX($AN$2:$BO$1001,MATCH(ROWS($AG$2:AG391),$AG$2:$AG$1001,0),MATCH(COLUMNS($AN$1006:AP1006),$AN$1006:$BO$1006,0)), HYPERLINK("#",""), HYPERLINK(CONCATENATE("#Metadata!", ADDRESS(INDEX($AI$2:$AI$1001,MATCH(ROWS($AG$2:AG391),$AG$2:$AG$1001,0),0), INDEX($AN$1004:$BO$1004,1,MATCH(COLUMNS($AN$1006:AP1006),$AN$1006:$BO$1006,0)))),"Fix")))</f>
        <v>0</v>
      </c>
      <c r="E391" s="4">
        <f>IF(OR(INDEX($AH$2:$AH$1001,MATCH(ROWS($AG$2:AG391),$AG$2:$AG$1001,0),1)&gt;=100000,INDEX($AN$1005:$BO$1005,1,MATCH(COLUMNS($AN$1006:AQ1006),$AN$1006:$BO$1006,0))&gt;=100000), " ",IF(INDEX($AN$2:$BO$1001,MATCH(ROWS($AG$2:AG391),$AG$2:$AG$1001,0),MATCH(COLUMNS($AN$1006:AQ1006),$AN$1006:$BO$1006,0)), HYPERLINK("#",""), HYPERLINK(CONCATENATE("#Metadata!", ADDRESS(INDEX($AI$2:$AI$1001,MATCH(ROWS($AG$2:AG391),$AG$2:$AG$1001,0),0), INDEX($AN$1004:$BO$1004,1,MATCH(COLUMNS($AN$1006:AQ1006),$AN$1006:$BO$1006,0)))),"Fix")))</f>
        <v>0</v>
      </c>
      <c r="F391" s="4">
        <f>IF(OR(INDEX($AH$2:$AH$1001,MATCH(ROWS($AG$2:AG391),$AG$2:$AG$1001,0),1)&gt;=100000,INDEX($AN$1005:$BO$1005,1,MATCH(COLUMNS($AN$1006:AR1006),$AN$1006:$BO$1006,0))&gt;=100000), " ",IF(INDEX($AN$2:$BO$1001,MATCH(ROWS($AG$2:AG391),$AG$2:$AG$1001,0),MATCH(COLUMNS($AN$1006:AR1006),$AN$1006:$BO$1006,0)), HYPERLINK("#",""), HYPERLINK(CONCATENATE("#Metadata!", ADDRESS(INDEX($AI$2:$AI$1001,MATCH(ROWS($AG$2:AG391),$AG$2:$AG$1001,0),0), INDEX($AN$1004:$BO$1004,1,MATCH(COLUMNS($AN$1006:AR1006),$AN$1006:$BO$1006,0)))),"Fix")))</f>
        <v>0</v>
      </c>
      <c r="G391" s="4">
        <f>IF(OR(INDEX($AH$2:$AH$1001,MATCH(ROWS($AG$2:AG391),$AG$2:$AG$1001,0),1)&gt;=100000,INDEX($AN$1005:$BO$1005,1,MATCH(COLUMNS($AN$1006:AS1006),$AN$1006:$BO$1006,0))&gt;=100000), " ",IF(INDEX($AN$2:$BO$1001,MATCH(ROWS($AG$2:AG391),$AG$2:$AG$1001,0),MATCH(COLUMNS($AN$1006:AS1006),$AN$1006:$BO$1006,0)), HYPERLINK("#",""), HYPERLINK(CONCATENATE("#Metadata!", ADDRESS(INDEX($AI$2:$AI$1001,MATCH(ROWS($AG$2:AG391),$AG$2:$AG$1001,0),0), INDEX($AN$1004:$BO$1004,1,MATCH(COLUMNS($AN$1006:AS1006),$AN$1006:$BO$1006,0)))),"Fix")))</f>
        <v>0</v>
      </c>
      <c r="H391" s="4">
        <f>IF(OR(INDEX($AH$2:$AH$1001,MATCH(ROWS($AG$2:AG391),$AG$2:$AG$1001,0),1)&gt;=100000,INDEX($AN$1005:$BO$1005,1,MATCH(COLUMNS($AN$1006:AT1006),$AN$1006:$BO$1006,0))&gt;=100000), " ",IF(INDEX($AN$2:$BO$1001,MATCH(ROWS($AG$2:AG391),$AG$2:$AG$1001,0),MATCH(COLUMNS($AN$1006:AT1006),$AN$1006:$BO$1006,0)), HYPERLINK("#",""), HYPERLINK(CONCATENATE("#Metadata!", ADDRESS(INDEX($AI$2:$AI$1001,MATCH(ROWS($AG$2:AG391),$AG$2:$AG$1001,0),0), INDEX($AN$1004:$BO$1004,1,MATCH(COLUMNS($AN$1006:AT1006),$AN$1006:$BO$1006,0)))),"Fix")))</f>
        <v>0</v>
      </c>
      <c r="I391" s="4">
        <f>IF(OR(INDEX($AH$2:$AH$1001,MATCH(ROWS($AG$2:AG391),$AG$2:$AG$1001,0),1)&gt;=100000,INDEX($AN$1005:$BO$1005,1,MATCH(COLUMNS($AN$1006:AU1006),$AN$1006:$BO$1006,0))&gt;=100000), " ",IF(INDEX($AN$2:$BO$1001,MATCH(ROWS($AG$2:AG391),$AG$2:$AG$1001,0),MATCH(COLUMNS($AN$1006:AU1006),$AN$1006:$BO$1006,0)), HYPERLINK("#",""), HYPERLINK(CONCATENATE("#Metadata!", ADDRESS(INDEX($AI$2:$AI$1001,MATCH(ROWS($AG$2:AG391),$AG$2:$AG$1001,0),0), INDEX($AN$1004:$BO$1004,1,MATCH(COLUMNS($AN$1006:AU1006),$AN$1006:$BO$1006,0)))),"Fix")))</f>
        <v>0</v>
      </c>
      <c r="J391" s="4">
        <f>IF(OR(INDEX($AH$2:$AH$1001,MATCH(ROWS($AG$2:AG391),$AG$2:$AG$1001,0),1)&gt;=100000,INDEX($AN$1005:$BO$1005,1,MATCH(COLUMNS($AN$1006:AV1006),$AN$1006:$BO$1006,0))&gt;=100000), " ",IF(INDEX($AN$2:$BO$1001,MATCH(ROWS($AG$2:AG391),$AG$2:$AG$1001,0),MATCH(COLUMNS($AN$1006:AV1006),$AN$1006:$BO$1006,0)), HYPERLINK("#",""), HYPERLINK(CONCATENATE("#Metadata!", ADDRESS(INDEX($AI$2:$AI$1001,MATCH(ROWS($AG$2:AG391),$AG$2:$AG$1001,0),0), INDEX($AN$1004:$BO$1004,1,MATCH(COLUMNS($AN$1006:AV1006),$AN$1006:$BO$1006,0)))),"Fix")))</f>
        <v>0</v>
      </c>
      <c r="K391" s="4">
        <f>IF(OR(INDEX($AH$2:$AH$1001,MATCH(ROWS($AG$2:AG391),$AG$2:$AG$1001,0),1)&gt;=100000,INDEX($AN$1005:$BO$1005,1,MATCH(COLUMNS($AN$1006:AW1006),$AN$1006:$BO$1006,0))&gt;=100000), " ",IF(INDEX($AN$2:$BO$1001,MATCH(ROWS($AG$2:AG391),$AG$2:$AG$1001,0),MATCH(COLUMNS($AN$1006:AW1006),$AN$1006:$BO$1006,0)), HYPERLINK("#",""), HYPERLINK(CONCATENATE("#Metadata!", ADDRESS(INDEX($AI$2:$AI$1001,MATCH(ROWS($AG$2:AG391),$AG$2:$AG$1001,0),0), INDEX($AN$1004:$BO$1004,1,MATCH(COLUMNS($AN$1006:AW1006),$AN$1006:$BO$1006,0)))),"Fix")))</f>
        <v>0</v>
      </c>
      <c r="L391" s="4">
        <f>IF(OR(INDEX($AH$2:$AH$1001,MATCH(ROWS($AG$2:AG391),$AG$2:$AG$1001,0),1)&gt;=100000,INDEX($AN$1005:$BO$1005,1,MATCH(COLUMNS($AN$1006:AX1006),$AN$1006:$BO$1006,0))&gt;=100000), " ",IF(INDEX($AN$2:$BO$1001,MATCH(ROWS($AG$2:AG391),$AG$2:$AG$1001,0),MATCH(COLUMNS($AN$1006:AX1006),$AN$1006:$BO$1006,0)), HYPERLINK("#",""), HYPERLINK(CONCATENATE("#Metadata!", ADDRESS(INDEX($AI$2:$AI$1001,MATCH(ROWS($AG$2:AG391),$AG$2:$AG$1001,0),0), INDEX($AN$1004:$BO$1004,1,MATCH(COLUMNS($AN$1006:AX1006),$AN$1006:$BO$1006,0)))),"Fix")))</f>
        <v>0</v>
      </c>
      <c r="M391" s="4">
        <f>IF(OR(INDEX($AH$2:$AH$1001,MATCH(ROWS($AG$2:AG391),$AG$2:$AG$1001,0),1)&gt;=100000,INDEX($AN$1005:$BO$1005,1,MATCH(COLUMNS($AN$1006:AY1006),$AN$1006:$BO$1006,0))&gt;=100000), " ",IF(INDEX($AN$2:$BO$1001,MATCH(ROWS($AG$2:AG391),$AG$2:$AG$1001,0),MATCH(COLUMNS($AN$1006:AY1006),$AN$1006:$BO$1006,0)), HYPERLINK("#",""), HYPERLINK(CONCATENATE("#Metadata!", ADDRESS(INDEX($AI$2:$AI$1001,MATCH(ROWS($AG$2:AG391),$AG$2:$AG$1001,0),0), INDEX($AN$1004:$BO$1004,1,MATCH(COLUMNS($AN$1006:AY1006),$AN$1006:$BO$1006,0)))),"Fix")))</f>
        <v>0</v>
      </c>
      <c r="N391" s="4">
        <f>IF(OR(INDEX($AH$2:$AH$1001,MATCH(ROWS($AG$2:AG391),$AG$2:$AG$1001,0),1)&gt;=100000,INDEX($AN$1005:$BO$1005,1,MATCH(COLUMNS($AN$1006:AZ1006),$AN$1006:$BO$1006,0))&gt;=100000), " ",IF(INDEX($AN$2:$BO$1001,MATCH(ROWS($AG$2:AG391),$AG$2:$AG$1001,0),MATCH(COLUMNS($AN$1006:AZ1006),$AN$1006:$BO$1006,0)), HYPERLINK("#",""), HYPERLINK(CONCATENATE("#Metadata!", ADDRESS(INDEX($AI$2:$AI$1001,MATCH(ROWS($AG$2:AG391),$AG$2:$AG$1001,0),0), INDEX($AN$1004:$BO$1004,1,MATCH(COLUMNS($AN$1006:AZ1006),$AN$1006:$BO$1006,0)))),"Fix")))</f>
        <v>0</v>
      </c>
      <c r="O391" s="4">
        <f>IF(OR(INDEX($AH$2:$AH$1001,MATCH(ROWS($AG$2:AG391),$AG$2:$AG$1001,0),1)&gt;=100000,INDEX($AN$1005:$BO$1005,1,MATCH(COLUMNS($AN$1006:BA1006),$AN$1006:$BO$1006,0))&gt;=100000), " ",IF(INDEX($AN$2:$BO$1001,MATCH(ROWS($AG$2:AG391),$AG$2:$AG$1001,0),MATCH(COLUMNS($AN$1006:BA1006),$AN$1006:$BO$1006,0)), HYPERLINK("#",""), HYPERLINK(CONCATENATE("#Metadata!", ADDRESS(INDEX($AI$2:$AI$1001,MATCH(ROWS($AG$2:AG391),$AG$2:$AG$1001,0),0), INDEX($AN$1004:$BO$1004,1,MATCH(COLUMNS($AN$1006:BA1006),$AN$1006:$BO$1006,0)))),"Fix")))</f>
        <v>0</v>
      </c>
      <c r="P391" s="4">
        <f>IF(OR(INDEX($AH$2:$AH$1001,MATCH(ROWS($AG$2:AG391),$AG$2:$AG$1001,0),1)&gt;=100000,INDEX($AN$1005:$BO$1005,1,MATCH(COLUMNS($AN$1006:BB1006),$AN$1006:$BO$1006,0))&gt;=100000), " ",IF(INDEX($AN$2:$BO$1001,MATCH(ROWS($AG$2:AG391),$AG$2:$AG$1001,0),MATCH(COLUMNS($AN$1006:BB1006),$AN$1006:$BO$1006,0)), HYPERLINK("#",""), HYPERLINK(CONCATENATE("#Metadata!", ADDRESS(INDEX($AI$2:$AI$1001,MATCH(ROWS($AG$2:AG391),$AG$2:$AG$1001,0),0), INDEX($AN$1004:$BO$1004,1,MATCH(COLUMNS($AN$1006:BB1006),$AN$1006:$BO$1006,0)))),"Fix")))</f>
        <v>0</v>
      </c>
      <c r="Q391" s="4">
        <f>IF(OR(INDEX($AH$2:$AH$1001,MATCH(ROWS($AG$2:AG391),$AG$2:$AG$1001,0),1)&gt;=100000,INDEX($AN$1005:$BO$1005,1,MATCH(COLUMNS($AN$1006:BC1006),$AN$1006:$BO$1006,0))&gt;=100000), " ",IF(INDEX($AN$2:$BO$1001,MATCH(ROWS($AG$2:AG391),$AG$2:$AG$1001,0),MATCH(COLUMNS($AN$1006:BC1006),$AN$1006:$BO$1006,0)), HYPERLINK("#",""), HYPERLINK(CONCATENATE("#Metadata!", ADDRESS(INDEX($AI$2:$AI$1001,MATCH(ROWS($AG$2:AG391),$AG$2:$AG$1001,0),0), INDEX($AN$1004:$BO$1004,1,MATCH(COLUMNS($AN$1006:BC1006),$AN$1006:$BO$1006,0)))),"Fix")))</f>
        <v>0</v>
      </c>
      <c r="R391" s="4">
        <f>IF(OR(INDEX($AH$2:$AH$1001,MATCH(ROWS($AG$2:AG391),$AG$2:$AG$1001,0),1)&gt;=100000,INDEX($AN$1005:$BO$1005,1,MATCH(COLUMNS($AN$1006:BD1006),$AN$1006:$BO$1006,0))&gt;=100000), " ",IF(INDEX($AN$2:$BO$1001,MATCH(ROWS($AG$2:AG391),$AG$2:$AG$1001,0),MATCH(COLUMNS($AN$1006:BD1006),$AN$1006:$BO$1006,0)), HYPERLINK("#",""), HYPERLINK(CONCATENATE("#Metadata!", ADDRESS(INDEX($AI$2:$AI$1001,MATCH(ROWS($AG$2:AG391),$AG$2:$AG$1001,0),0), INDEX($AN$1004:$BO$1004,1,MATCH(COLUMNS($AN$1006:BD1006),$AN$1006:$BO$1006,0)))),"Fix")))</f>
        <v>0</v>
      </c>
      <c r="S391" s="4">
        <f>IF(OR(INDEX($AH$2:$AH$1001,MATCH(ROWS($AG$2:AG391),$AG$2:$AG$1001,0),1)&gt;=100000,INDEX($AN$1005:$BO$1005,1,MATCH(COLUMNS($AN$1006:BE1006),$AN$1006:$BO$1006,0))&gt;=100000), " ",IF(INDEX($AN$2:$BO$1001,MATCH(ROWS($AG$2:AG391),$AG$2:$AG$1001,0),MATCH(COLUMNS($AN$1006:BE1006),$AN$1006:$BO$1006,0)), HYPERLINK("#",""), HYPERLINK(CONCATENATE("#Metadata!", ADDRESS(INDEX($AI$2:$AI$1001,MATCH(ROWS($AG$2:AG391),$AG$2:$AG$1001,0),0), INDEX($AN$1004:$BO$1004,1,MATCH(COLUMNS($AN$1006:BE1006),$AN$1006:$BO$1006,0)))),"Fix")))</f>
        <v>0</v>
      </c>
      <c r="T391" s="4">
        <f>IF(OR(INDEX($AH$2:$AH$1001,MATCH(ROWS($AG$2:AG391),$AG$2:$AG$1001,0),1)&gt;=100000,INDEX($AN$1005:$BO$1005,1,MATCH(COLUMNS($AN$1006:BF1006),$AN$1006:$BO$1006,0))&gt;=100000), " ",IF(INDEX($AN$2:$BO$1001,MATCH(ROWS($AG$2:AG391),$AG$2:$AG$1001,0),MATCH(COLUMNS($AN$1006:BF1006),$AN$1006:$BO$1006,0)), HYPERLINK("#",""), HYPERLINK(CONCATENATE("#Metadata!", ADDRESS(INDEX($AI$2:$AI$1001,MATCH(ROWS($AG$2:AG391),$AG$2:$AG$1001,0),0), INDEX($AN$1004:$BO$1004,1,MATCH(COLUMNS($AN$1006:BF1006),$AN$1006:$BO$1006,0)))),"Fix")))</f>
        <v>0</v>
      </c>
      <c r="U391" s="4">
        <f>IF(OR(INDEX($AH$2:$AH$1001,MATCH(ROWS($AG$2:AG391),$AG$2:$AG$1001,0),1)&gt;=100000,INDEX($AN$1005:$BO$1005,1,MATCH(COLUMNS($AN$1006:BG1006),$AN$1006:$BO$1006,0))&gt;=100000), " ",IF(INDEX($AN$2:$BO$1001,MATCH(ROWS($AG$2:AG391),$AG$2:$AG$1001,0),MATCH(COLUMNS($AN$1006:BG1006),$AN$1006:$BO$1006,0)), HYPERLINK("#",""), HYPERLINK(CONCATENATE("#Metadata!", ADDRESS(INDEX($AI$2:$AI$1001,MATCH(ROWS($AG$2:AG391),$AG$2:$AG$1001,0),0), INDEX($AN$1004:$BO$1004,1,MATCH(COLUMNS($AN$1006:BG1006),$AN$1006:$BO$1006,0)))),"Fix")))</f>
        <v>0</v>
      </c>
      <c r="V391" s="4">
        <f>IF(OR(INDEX($AH$2:$AH$1001,MATCH(ROWS($AG$2:AG391),$AG$2:$AG$1001,0),1)&gt;=100000,INDEX($AN$1005:$BO$1005,1,MATCH(COLUMNS($AN$1006:BH1006),$AN$1006:$BO$1006,0))&gt;=100000), " ",IF(INDEX($AN$2:$BO$1001,MATCH(ROWS($AG$2:AG391),$AG$2:$AG$1001,0),MATCH(COLUMNS($AN$1006:BH1006),$AN$1006:$BO$1006,0)), HYPERLINK("#",""), HYPERLINK(CONCATENATE("#Metadata!", ADDRESS(INDEX($AI$2:$AI$1001,MATCH(ROWS($AG$2:AG391),$AG$2:$AG$1001,0),0), INDEX($AN$1004:$BO$1004,1,MATCH(COLUMNS($AN$1006:BH1006),$AN$1006:$BO$1006,0)))),"Fix")))</f>
        <v>0</v>
      </c>
      <c r="W391" s="4">
        <f>IF(OR(INDEX($AH$2:$AH$1001,MATCH(ROWS($AG$2:AG391),$AG$2:$AG$1001,0),1)&gt;=100000,INDEX($AN$1005:$BO$1005,1,MATCH(COLUMNS($AN$1006:BI1006),$AN$1006:$BO$1006,0))&gt;=100000), " ",IF(INDEX($AN$2:$BO$1001,MATCH(ROWS($AG$2:AG391),$AG$2:$AG$1001,0),MATCH(COLUMNS($AN$1006:BI1006),$AN$1006:$BO$1006,0)), HYPERLINK("#",""), HYPERLINK(CONCATENATE("#Metadata!", ADDRESS(INDEX($AI$2:$AI$1001,MATCH(ROWS($AG$2:AG391),$AG$2:$AG$1001,0),0), INDEX($AN$1004:$BO$1004,1,MATCH(COLUMNS($AN$1006:BI1006),$AN$1006:$BO$1006,0)))),"Fix")))</f>
        <v>0</v>
      </c>
      <c r="X391" s="4">
        <f>IF(OR(INDEX($AH$2:$AH$1001,MATCH(ROWS($AG$2:AG391),$AG$2:$AG$1001,0),1)&gt;=100000,INDEX($AN$1005:$BO$1005,1,MATCH(COLUMNS($AN$1006:BJ1006),$AN$1006:$BO$1006,0))&gt;=100000), " ",IF(INDEX($AN$2:$BO$1001,MATCH(ROWS($AG$2:AG391),$AG$2:$AG$1001,0),MATCH(COLUMNS($AN$1006:BJ1006),$AN$1006:$BO$1006,0)), HYPERLINK("#",""), HYPERLINK(CONCATENATE("#Metadata!", ADDRESS(INDEX($AI$2:$AI$1001,MATCH(ROWS($AG$2:AG391),$AG$2:$AG$1001,0),0), INDEX($AN$1004:$BO$1004,1,MATCH(COLUMNS($AN$1006:BJ1006),$AN$1006:$BO$1006,0)))),"Fix")))</f>
        <v>0</v>
      </c>
      <c r="Y391" s="4">
        <f>IF(OR(INDEX($AH$2:$AH$1001,MATCH(ROWS($AG$2:AG391),$AG$2:$AG$1001,0),1)&gt;=100000,INDEX($AN$1005:$BO$1005,1,MATCH(COLUMNS($AN$1006:BK1006),$AN$1006:$BO$1006,0))&gt;=100000), " ",IF(INDEX($AN$2:$BO$1001,MATCH(ROWS($AG$2:AG391),$AG$2:$AG$1001,0),MATCH(COLUMNS($AN$1006:BK1006),$AN$1006:$BO$1006,0)), HYPERLINK("#",""), HYPERLINK(CONCATENATE("#Metadata!", ADDRESS(INDEX($AI$2:$AI$1001,MATCH(ROWS($AG$2:AG391),$AG$2:$AG$1001,0),0), INDEX($AN$1004:$BO$1004,1,MATCH(COLUMNS($AN$1006:BK1006),$AN$1006:$BO$1006,0)))),"Fix")))</f>
        <v>0</v>
      </c>
      <c r="Z391" s="4">
        <f>IF(OR(INDEX($AH$2:$AH$1001,MATCH(ROWS($AG$2:AG391),$AG$2:$AG$1001,0),1)&gt;=100000,INDEX($AN$1005:$BO$1005,1,MATCH(COLUMNS($AN$1006:BL1006),$AN$1006:$BO$1006,0))&gt;=100000), " ",IF(INDEX($AN$2:$BO$1001,MATCH(ROWS($AG$2:AG391),$AG$2:$AG$1001,0),MATCH(COLUMNS($AN$1006:BL1006),$AN$1006:$BO$1006,0)), HYPERLINK("#",""), HYPERLINK(CONCATENATE("#Metadata!", ADDRESS(INDEX($AI$2:$AI$1001,MATCH(ROWS($AG$2:AG391),$AG$2:$AG$1001,0),0), INDEX($AN$1004:$BO$1004,1,MATCH(COLUMNS($AN$1006:BL1006),$AN$1006:$BO$1006,0)))),"Fix")))</f>
        <v>0</v>
      </c>
      <c r="AA391" s="4">
        <f>IF(OR(INDEX($AH$2:$AH$1001,MATCH(ROWS($AG$2:AG391),$AG$2:$AG$1001,0),1)&gt;=100000,INDEX($AN$1005:$BO$1005,1,MATCH(COLUMNS($AN$1006:BM1006),$AN$1006:$BO$1006,0))&gt;=100000), " ",IF(INDEX($AN$2:$BO$1001,MATCH(ROWS($AG$2:AG391),$AG$2:$AG$1001,0),MATCH(COLUMNS($AN$1006:BM1006),$AN$1006:$BO$1006,0)), HYPERLINK("#",""), HYPERLINK(CONCATENATE("#Metadata!", ADDRESS(INDEX($AI$2:$AI$1001,MATCH(ROWS($AG$2:AG391),$AG$2:$AG$1001,0),0), INDEX($AN$1004:$BO$1004,1,MATCH(COLUMNS($AN$1006:BM1006),$AN$1006:$BO$1006,0)))),"Fix")))</f>
        <v>0</v>
      </c>
      <c r="AB391" s="4">
        <f>IF(OR(INDEX($AH$2:$AH$1001,MATCH(ROWS($AG$2:AG391),$AG$2:$AG$1001,0),1)&gt;=100000,INDEX($AN$1005:$BO$1005,1,MATCH(COLUMNS($AN$1006:BN1006),$AN$1006:$BO$1006,0))&gt;=100000), " ",IF(INDEX($AN$2:$BO$1001,MATCH(ROWS($AG$2:AG391),$AG$2:$AG$1001,0),MATCH(COLUMNS($AN$1006:BN1006),$AN$1006:$BO$1006,0)), HYPERLINK("#",""), HYPERLINK(CONCATENATE("#Metadata!", ADDRESS(INDEX($AI$2:$AI$1001,MATCH(ROWS($AG$2:AG391),$AG$2:$AG$1001,0),0), INDEX($AN$1004:$BO$1004,1,MATCH(COLUMNS($AN$1006:BN1006),$AN$1006:$BO$1006,0)))),"Fix")))</f>
        <v>0</v>
      </c>
      <c r="AC391" s="4">
        <f>IF(OR(INDEX($AH$2:$AH$1001,MATCH(ROWS($AG$2:AG391),$AG$2:$AG$1001,0),1)&gt;=100000,INDEX($AN$1005:$BO$1005,1,MATCH(COLUMNS($AN$1006:BO1006),$AN$1006:$BO$1006,0))&gt;=100000), " ",IF(INDEX($AN$2:$BO$1001,MATCH(ROWS($AG$2:AG391),$AG$2:$AG$1001,0),MATCH(COLUMNS($AN$1006:BO1006),$AN$1006:$BO$1006,0)), HYPERLINK("#",""), HYPERLINK(CONCATENATE("#Metadata!", ADDRESS(INDEX($AI$2:$AI$1001,MATCH(ROWS($AG$2:AG391),$AG$2:$AG$1001,0),0), INDEX($AN$1004:$BO$1004,1,MATCH(COLUMNS($AN$1006:BO1006),$AN$1006:$BO$1006,0)))),"Fix")))</f>
        <v>0</v>
      </c>
      <c r="AG391">
        <v>0</v>
      </c>
      <c r="AH391">
        <v>0</v>
      </c>
      <c r="AI391">
        <v>0</v>
      </c>
      <c r="AJ391">
        <f>IF(AK391,TRUE,AND(AN391:BO391))</f>
        <v>0</v>
      </c>
      <c r="AK391">
        <f>COUNTBLANK(Metadata!B391:AC391)=COLUMNS(Metadata!B391:AC391)</f>
        <v>0</v>
      </c>
      <c r="AL391">
        <v>0</v>
      </c>
      <c r="AN391">
        <f>AND(IF(Metadata!B391="",FALSE,TRUE),COUNTIF(Metadata!B:B, Metadata!B391) = 1,NOT(ISERROR(SUMPRODUCT(SEARCH(MID(Metadata!B391,ROW(INDIRECT("1:"&amp;LEN(Metadata!B391))), 1),"0123456789abcdefghijklmnopqrstuvwxyzABCDEFGHIJKLMNOPQRSTUVWXYZ.")))))</f>
        <v>0</v>
      </c>
      <c r="AO391">
        <f>IF(Metadata!C391="",FALSE,TRUE)</f>
        <v>0</v>
      </c>
      <c r="AP391">
        <f>IF(Metadata!D391="",FALSE,TRUE)</f>
        <v>0</v>
      </c>
      <c r="AQ391">
        <f>OR(AND(IF(Metadata!E391="",FALSE,TRUE),OR(exact(Metadata!E391,"not collected"),exact(Metadata!E391,"not provided"),exact(Metadata!E391,"restricted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R391">
        <f>IF(Metadata!F391="",FALSE,TRUE)</f>
        <v>0</v>
      </c>
      <c r="AS391">
        <f>OR(AND(IF(Metadata!G391="",FALSE,TRUE),OR(exact(Metadata!G391,"not collected"),exact(Metadata!G391,"not provided"))),AND(IF(Metadata!G391="",FALSE,TRUE),OR(exact(Metadata!G391,"TRUE"),exact(Metadata!G391,"FALSE"))))</f>
        <v>0</v>
      </c>
      <c r="AT391">
        <f>OR(AND(IF(Metadata!H391="",FALSE,TRUE),OR(exact(Metadata!H391,"not collected"),exact(Metadata!H391,"not provided"),exact(Metadata!H391,"restricted access"))),AND(IF(Metadata!H391="",FALSE,ISNUMBER(VALUE(Metadata!H391))),Metadata!H391&gt;=-413.0))</f>
        <v>0</v>
      </c>
      <c r="AU391">
        <f>AND(IF(Metadata!I391="",FALSE,TRUE),exact(Metadata!I391,"meters"))</f>
        <v>0</v>
      </c>
      <c r="AV391">
        <f>AND(IF(Metadata!J391="",FALSE,TRUE),OR(exact(Metadata!J391,"Host-associated"),exact(Metadata!J391,"Free-living")))</f>
        <v>0</v>
      </c>
      <c r="AW391">
        <f>AND(IF(Metadata!K391="",FALSE,TRUE),OR(exact(Metadata!K391,"Animal"),exact(Metadata!K391,"Fungus"),exact(Metadata!K391,"Plant"),exact(Metadata!K391,"Saline"),exact(Metadata!K391,"Non-saline")))</f>
        <v>0</v>
      </c>
      <c r="AX391">
        <f>AND(IF(Metadata!L391="",FALSE,TRUE),OR(exact(Metadata!L391,"Plant secretion"),exact(Metadata!L391,"Plant rhizosphere"),exact(Metadata!L391,"Plant surface"),exact(Metadata!L391,"Plant corpus"),exact(Metadata!L391,"Fungus surface"),exact(Metadata!L391,"Fungus corpus"),exact(Metadata!L391,"Animal surface"),exact(Metadata!L391,"Animal proximal gut"),exact(Metadata!L391,"Animal corpus"),exact(Metadata!L391,"Animal distal gut"),exact(Metadata!L391,"Animal secretion"),exact(Metadata!L391,"Sub-surface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Y391">
        <f>IF(Metadata!M391="",FALSE,TRUE)</f>
        <v>0</v>
      </c>
      <c r="AZ391">
        <f>IF(Metadata!N391="",FALSE,TRUE)</f>
        <v>0</v>
      </c>
      <c r="BA391">
        <f>IF(Metadata!O391="",FALSE,TRUE)</f>
        <v>0</v>
      </c>
      <c r="BB391">
        <f>OR(AND(IF(Metadata!P391="",FALSE,TRUE),OR(exact(Metadata!P391,"not collected"),exact(Metadata!P391,"not provided"),exact(Metadata!P391,"restricted access"))),AND(IF(Metadata!P391="",FALSE,TRUE),OR(exact(Metadata!P391,"air"),exact(Metadata!P391,"built environment"),exact(Metadata!P391,"host-associated"),exact(Metadata!P391,"human-associated"),exact(Metadata!P391,"human-skin"),exact(Metadata!P391,"human-oral"),exact(Metadata!P391,"human-gut"),exact(Metadata!P391,"human-vaginal"),exact(Metadata!P391,"microbial mat/biofilm"),exact(Metadata!P391,"misc environment"),exact(Metadata!P391,"plant-associated"),exact(Metadata!P391,"sediment"),exact(Metadata!P391,"soil"),exact(Metadata!P391,"wastewater/sludge"),exact(Metadata!P391,"water"))))</f>
        <v>0</v>
      </c>
      <c r="BC391">
        <f>IF(Metadata!Q391="",FALSE,TRUE)</f>
        <v>0</v>
      </c>
      <c r="BD391">
        <f>IF(Metadata!R391="",FALSE,TRUE)</f>
        <v>0</v>
      </c>
      <c r="BE391">
        <f>OR(AND(IF(Metadata!S391="",FALSE,TRUE),OR(exact(Metadata!S391,"not collected"),exact(Metadata!S391,"not provided"),exact(Metadata!S391,"restricted access"))),AND(IF(Metadata!S391="",FALSE,ISNUMBER(VALUE(Metadata!S391))),Metadata!S391&gt;=-90.00,Metadata!S391&lt;=90.00))</f>
        <v>0</v>
      </c>
      <c r="BF391">
        <f>AND(IF(Metadata!T391="",FALSE,TRUE),exact(Metadata!T391,"Decimal degrees"))</f>
        <v>0</v>
      </c>
      <c r="BG391">
        <f>OR(AND(IF(Metadata!U391="",FALSE,TRUE),OR(exact(Metadata!U391,"not collected"),exact(Metadata!U391,"not provided"),exact(Metadata!U391,"restricted access"))),AND(IF(Metadata!U391="",FALSE,ISNUMBER(VALUE(Metadata!U391))),Metadata!U391&gt;=-180.00,Metadata!U391&lt;=180.00))</f>
        <v>0</v>
      </c>
      <c r="BH391">
        <f>AND(IF(Metadata!V391="",FALSE,TRUE),exact(Metadata!V391,"Decimal degrees"))</f>
        <v>0</v>
      </c>
      <c r="BI391">
        <f>IF(Metadata!W391="",FALSE,TRUE)</f>
        <v>0</v>
      </c>
      <c r="BJ391">
        <f>OR(AND(IF(Metadata!X391="",FALSE,TRUE),OR(exact(Metadata!X391,"not collected"),exact(Metadata!X391,"not provided"),exact(Metadata!X391,"restricted access"))),AND(IF(Metadata!X391="",FALSE,TRUE),OR(exact(Metadata!X391,"TRUE"),exact(Metadata!X391,"FALSE"))))</f>
        <v>0</v>
      </c>
      <c r="BK391">
        <f>AND(IF(Metadata!Y391="",FALSE,TRUE),exact(Metadata!Y391,"other"))</f>
        <v>0</v>
      </c>
      <c r="BL391">
        <f>IF(Metadata!Z391="",FALSE,TRUE)</f>
        <v>0</v>
      </c>
      <c r="BM391">
        <f>OR(AND(IF(Metadata!AA391="",FALSE,TRUE),OR(exact(Metadata!AA391,"not collected"),exact(Metadata!AA391,"not provided"))),AND(IF(Metadata!AA391="",FALSE,IF(ISERROR(INT(Metadata!AA391)),FALSE,INT(Metadata!AA391)=Metadata!AA391)),Metadata!AA391&gt;0))</f>
        <v>0</v>
      </c>
      <c r="BN391">
        <f>AND(IF(Metadata!AB391="",FALSE,TRUE),exact(Metadata!AB391,"Not applicable"))</f>
        <v>0</v>
      </c>
      <c r="BO391">
        <f>IF(Metadata!AC391="",FALSE,TRUE)</f>
        <v>0</v>
      </c>
    </row>
    <row r="392" spans="1:67">
      <c r="A392" s="5">
        <f>IF(B392=" "," ",HYPERLINK(CONCATENATE("#metadata!",ADDRESS(INDEX($AI$2:$AI$1001,MATCH(ROWS($AG$2:AG392),$AG$2:$AG$1001,0),0),1)),INDEX($AL$2:$AL$1001,MATCH(ROWS($AG$2:AG392),$AG$2:$AG$1001,0),0)))</f>
        <v>0</v>
      </c>
      <c r="B392" s="4">
        <f>IF(OR(INDEX($AH$2:$AH$1001,MATCH(ROWS($AG$2:AG392),$AG$2:$AG$1001,0),1)&gt;=100000,INDEX($AN$1005:$BO$1005,1,MATCH(COLUMNS($AN$1006:AN1006),$AN$1006:$BO$1006,0))&gt;=100000), " ",IF(INDEX($AN$2:$BO$1001,MATCH(ROWS($AG$2:AG392),$AG$2:$AG$1001,0),MATCH(COLUMNS($AN$1006:AN1006),$AN$1006:$BO$1006,0)), HYPERLINK("#",""), HYPERLINK(CONCATENATE("#Metadata!", ADDRESS(INDEX($AI$2:$AI$1001,MATCH(ROWS($AG$2:AG392),$AG$2:$AG$1001,0),0), INDEX($AN$1004:$BO$1004,1,MATCH(COLUMNS($AN$1006:AN1006),$AN$1006:$BO$1006,0)))),"Fix")))</f>
        <v>0</v>
      </c>
      <c r="C392" s="4">
        <f>IF(OR(INDEX($AH$2:$AH$1001,MATCH(ROWS($AG$2:AG392),$AG$2:$AG$1001,0),1)&gt;=100000,INDEX($AN$1005:$BO$1005,1,MATCH(COLUMNS($AN$1006:AO1006),$AN$1006:$BO$1006,0))&gt;=100000), " ",IF(INDEX($AN$2:$BO$1001,MATCH(ROWS($AG$2:AG392),$AG$2:$AG$1001,0),MATCH(COLUMNS($AN$1006:AO1006),$AN$1006:$BO$1006,0)), HYPERLINK("#",""), HYPERLINK(CONCATENATE("#Metadata!", ADDRESS(INDEX($AI$2:$AI$1001,MATCH(ROWS($AG$2:AG392),$AG$2:$AG$1001,0),0), INDEX($AN$1004:$BO$1004,1,MATCH(COLUMNS($AN$1006:AO1006),$AN$1006:$BO$1006,0)))),"Fix")))</f>
        <v>0</v>
      </c>
      <c r="D392" s="4">
        <f>IF(OR(INDEX($AH$2:$AH$1001,MATCH(ROWS($AG$2:AG392),$AG$2:$AG$1001,0),1)&gt;=100000,INDEX($AN$1005:$BO$1005,1,MATCH(COLUMNS($AN$1006:AP1006),$AN$1006:$BO$1006,0))&gt;=100000), " ",IF(INDEX($AN$2:$BO$1001,MATCH(ROWS($AG$2:AG392),$AG$2:$AG$1001,0),MATCH(COLUMNS($AN$1006:AP1006),$AN$1006:$BO$1006,0)), HYPERLINK("#",""), HYPERLINK(CONCATENATE("#Metadata!", ADDRESS(INDEX($AI$2:$AI$1001,MATCH(ROWS($AG$2:AG392),$AG$2:$AG$1001,0),0), INDEX($AN$1004:$BO$1004,1,MATCH(COLUMNS($AN$1006:AP1006),$AN$1006:$BO$1006,0)))),"Fix")))</f>
        <v>0</v>
      </c>
      <c r="E392" s="4">
        <f>IF(OR(INDEX($AH$2:$AH$1001,MATCH(ROWS($AG$2:AG392),$AG$2:$AG$1001,0),1)&gt;=100000,INDEX($AN$1005:$BO$1005,1,MATCH(COLUMNS($AN$1006:AQ1006),$AN$1006:$BO$1006,0))&gt;=100000), " ",IF(INDEX($AN$2:$BO$1001,MATCH(ROWS($AG$2:AG392),$AG$2:$AG$1001,0),MATCH(COLUMNS($AN$1006:AQ1006),$AN$1006:$BO$1006,0)), HYPERLINK("#",""), HYPERLINK(CONCATENATE("#Metadata!", ADDRESS(INDEX($AI$2:$AI$1001,MATCH(ROWS($AG$2:AG392),$AG$2:$AG$1001,0),0), INDEX($AN$1004:$BO$1004,1,MATCH(COLUMNS($AN$1006:AQ1006),$AN$1006:$BO$1006,0)))),"Fix")))</f>
        <v>0</v>
      </c>
      <c r="F392" s="4">
        <f>IF(OR(INDEX($AH$2:$AH$1001,MATCH(ROWS($AG$2:AG392),$AG$2:$AG$1001,0),1)&gt;=100000,INDEX($AN$1005:$BO$1005,1,MATCH(COLUMNS($AN$1006:AR1006),$AN$1006:$BO$1006,0))&gt;=100000), " ",IF(INDEX($AN$2:$BO$1001,MATCH(ROWS($AG$2:AG392),$AG$2:$AG$1001,0),MATCH(COLUMNS($AN$1006:AR1006),$AN$1006:$BO$1006,0)), HYPERLINK("#",""), HYPERLINK(CONCATENATE("#Metadata!", ADDRESS(INDEX($AI$2:$AI$1001,MATCH(ROWS($AG$2:AG392),$AG$2:$AG$1001,0),0), INDEX($AN$1004:$BO$1004,1,MATCH(COLUMNS($AN$1006:AR1006),$AN$1006:$BO$1006,0)))),"Fix")))</f>
        <v>0</v>
      </c>
      <c r="G392" s="4">
        <f>IF(OR(INDEX($AH$2:$AH$1001,MATCH(ROWS($AG$2:AG392),$AG$2:$AG$1001,0),1)&gt;=100000,INDEX($AN$1005:$BO$1005,1,MATCH(COLUMNS($AN$1006:AS1006),$AN$1006:$BO$1006,0))&gt;=100000), " ",IF(INDEX($AN$2:$BO$1001,MATCH(ROWS($AG$2:AG392),$AG$2:$AG$1001,0),MATCH(COLUMNS($AN$1006:AS1006),$AN$1006:$BO$1006,0)), HYPERLINK("#",""), HYPERLINK(CONCATENATE("#Metadata!", ADDRESS(INDEX($AI$2:$AI$1001,MATCH(ROWS($AG$2:AG392),$AG$2:$AG$1001,0),0), INDEX($AN$1004:$BO$1004,1,MATCH(COLUMNS($AN$1006:AS1006),$AN$1006:$BO$1006,0)))),"Fix")))</f>
        <v>0</v>
      </c>
      <c r="H392" s="4">
        <f>IF(OR(INDEX($AH$2:$AH$1001,MATCH(ROWS($AG$2:AG392),$AG$2:$AG$1001,0),1)&gt;=100000,INDEX($AN$1005:$BO$1005,1,MATCH(COLUMNS($AN$1006:AT1006),$AN$1006:$BO$1006,0))&gt;=100000), " ",IF(INDEX($AN$2:$BO$1001,MATCH(ROWS($AG$2:AG392),$AG$2:$AG$1001,0),MATCH(COLUMNS($AN$1006:AT1006),$AN$1006:$BO$1006,0)), HYPERLINK("#",""), HYPERLINK(CONCATENATE("#Metadata!", ADDRESS(INDEX($AI$2:$AI$1001,MATCH(ROWS($AG$2:AG392),$AG$2:$AG$1001,0),0), INDEX($AN$1004:$BO$1004,1,MATCH(COLUMNS($AN$1006:AT1006),$AN$1006:$BO$1006,0)))),"Fix")))</f>
        <v>0</v>
      </c>
      <c r="I392" s="4">
        <f>IF(OR(INDEX($AH$2:$AH$1001,MATCH(ROWS($AG$2:AG392),$AG$2:$AG$1001,0),1)&gt;=100000,INDEX($AN$1005:$BO$1005,1,MATCH(COLUMNS($AN$1006:AU1006),$AN$1006:$BO$1006,0))&gt;=100000), " ",IF(INDEX($AN$2:$BO$1001,MATCH(ROWS($AG$2:AG392),$AG$2:$AG$1001,0),MATCH(COLUMNS($AN$1006:AU1006),$AN$1006:$BO$1006,0)), HYPERLINK("#",""), HYPERLINK(CONCATENATE("#Metadata!", ADDRESS(INDEX($AI$2:$AI$1001,MATCH(ROWS($AG$2:AG392),$AG$2:$AG$1001,0),0), INDEX($AN$1004:$BO$1004,1,MATCH(COLUMNS($AN$1006:AU1006),$AN$1006:$BO$1006,0)))),"Fix")))</f>
        <v>0</v>
      </c>
      <c r="J392" s="4">
        <f>IF(OR(INDEX($AH$2:$AH$1001,MATCH(ROWS($AG$2:AG392),$AG$2:$AG$1001,0),1)&gt;=100000,INDEX($AN$1005:$BO$1005,1,MATCH(COLUMNS($AN$1006:AV1006),$AN$1006:$BO$1006,0))&gt;=100000), " ",IF(INDEX($AN$2:$BO$1001,MATCH(ROWS($AG$2:AG392),$AG$2:$AG$1001,0),MATCH(COLUMNS($AN$1006:AV1006),$AN$1006:$BO$1006,0)), HYPERLINK("#",""), HYPERLINK(CONCATENATE("#Metadata!", ADDRESS(INDEX($AI$2:$AI$1001,MATCH(ROWS($AG$2:AG392),$AG$2:$AG$1001,0),0), INDEX($AN$1004:$BO$1004,1,MATCH(COLUMNS($AN$1006:AV1006),$AN$1006:$BO$1006,0)))),"Fix")))</f>
        <v>0</v>
      </c>
      <c r="K392" s="4">
        <f>IF(OR(INDEX($AH$2:$AH$1001,MATCH(ROWS($AG$2:AG392),$AG$2:$AG$1001,0),1)&gt;=100000,INDEX($AN$1005:$BO$1005,1,MATCH(COLUMNS($AN$1006:AW1006),$AN$1006:$BO$1006,0))&gt;=100000), " ",IF(INDEX($AN$2:$BO$1001,MATCH(ROWS($AG$2:AG392),$AG$2:$AG$1001,0),MATCH(COLUMNS($AN$1006:AW1006),$AN$1006:$BO$1006,0)), HYPERLINK("#",""), HYPERLINK(CONCATENATE("#Metadata!", ADDRESS(INDEX($AI$2:$AI$1001,MATCH(ROWS($AG$2:AG392),$AG$2:$AG$1001,0),0), INDEX($AN$1004:$BO$1004,1,MATCH(COLUMNS($AN$1006:AW1006),$AN$1006:$BO$1006,0)))),"Fix")))</f>
        <v>0</v>
      </c>
      <c r="L392" s="4">
        <f>IF(OR(INDEX($AH$2:$AH$1001,MATCH(ROWS($AG$2:AG392),$AG$2:$AG$1001,0),1)&gt;=100000,INDEX($AN$1005:$BO$1005,1,MATCH(COLUMNS($AN$1006:AX1006),$AN$1006:$BO$1006,0))&gt;=100000), " ",IF(INDEX($AN$2:$BO$1001,MATCH(ROWS($AG$2:AG392),$AG$2:$AG$1001,0),MATCH(COLUMNS($AN$1006:AX1006),$AN$1006:$BO$1006,0)), HYPERLINK("#",""), HYPERLINK(CONCATENATE("#Metadata!", ADDRESS(INDEX($AI$2:$AI$1001,MATCH(ROWS($AG$2:AG392),$AG$2:$AG$1001,0),0), INDEX($AN$1004:$BO$1004,1,MATCH(COLUMNS($AN$1006:AX1006),$AN$1006:$BO$1006,0)))),"Fix")))</f>
        <v>0</v>
      </c>
      <c r="M392" s="4">
        <f>IF(OR(INDEX($AH$2:$AH$1001,MATCH(ROWS($AG$2:AG392),$AG$2:$AG$1001,0),1)&gt;=100000,INDEX($AN$1005:$BO$1005,1,MATCH(COLUMNS($AN$1006:AY1006),$AN$1006:$BO$1006,0))&gt;=100000), " ",IF(INDEX($AN$2:$BO$1001,MATCH(ROWS($AG$2:AG392),$AG$2:$AG$1001,0),MATCH(COLUMNS($AN$1006:AY1006),$AN$1006:$BO$1006,0)), HYPERLINK("#",""), HYPERLINK(CONCATENATE("#Metadata!", ADDRESS(INDEX($AI$2:$AI$1001,MATCH(ROWS($AG$2:AG392),$AG$2:$AG$1001,0),0), INDEX($AN$1004:$BO$1004,1,MATCH(COLUMNS($AN$1006:AY1006),$AN$1006:$BO$1006,0)))),"Fix")))</f>
        <v>0</v>
      </c>
      <c r="N392" s="4">
        <f>IF(OR(INDEX($AH$2:$AH$1001,MATCH(ROWS($AG$2:AG392),$AG$2:$AG$1001,0),1)&gt;=100000,INDEX($AN$1005:$BO$1005,1,MATCH(COLUMNS($AN$1006:AZ1006),$AN$1006:$BO$1006,0))&gt;=100000), " ",IF(INDEX($AN$2:$BO$1001,MATCH(ROWS($AG$2:AG392),$AG$2:$AG$1001,0),MATCH(COLUMNS($AN$1006:AZ1006),$AN$1006:$BO$1006,0)), HYPERLINK("#",""), HYPERLINK(CONCATENATE("#Metadata!", ADDRESS(INDEX($AI$2:$AI$1001,MATCH(ROWS($AG$2:AG392),$AG$2:$AG$1001,0),0), INDEX($AN$1004:$BO$1004,1,MATCH(COLUMNS($AN$1006:AZ1006),$AN$1006:$BO$1006,0)))),"Fix")))</f>
        <v>0</v>
      </c>
      <c r="O392" s="4">
        <f>IF(OR(INDEX($AH$2:$AH$1001,MATCH(ROWS($AG$2:AG392),$AG$2:$AG$1001,0),1)&gt;=100000,INDEX($AN$1005:$BO$1005,1,MATCH(COLUMNS($AN$1006:BA1006),$AN$1006:$BO$1006,0))&gt;=100000), " ",IF(INDEX($AN$2:$BO$1001,MATCH(ROWS($AG$2:AG392),$AG$2:$AG$1001,0),MATCH(COLUMNS($AN$1006:BA1006),$AN$1006:$BO$1006,0)), HYPERLINK("#",""), HYPERLINK(CONCATENATE("#Metadata!", ADDRESS(INDEX($AI$2:$AI$1001,MATCH(ROWS($AG$2:AG392),$AG$2:$AG$1001,0),0), INDEX($AN$1004:$BO$1004,1,MATCH(COLUMNS($AN$1006:BA1006),$AN$1006:$BO$1006,0)))),"Fix")))</f>
        <v>0</v>
      </c>
      <c r="P392" s="4">
        <f>IF(OR(INDEX($AH$2:$AH$1001,MATCH(ROWS($AG$2:AG392),$AG$2:$AG$1001,0),1)&gt;=100000,INDEX($AN$1005:$BO$1005,1,MATCH(COLUMNS($AN$1006:BB1006),$AN$1006:$BO$1006,0))&gt;=100000), " ",IF(INDEX($AN$2:$BO$1001,MATCH(ROWS($AG$2:AG392),$AG$2:$AG$1001,0),MATCH(COLUMNS($AN$1006:BB1006),$AN$1006:$BO$1006,0)), HYPERLINK("#",""), HYPERLINK(CONCATENATE("#Metadata!", ADDRESS(INDEX($AI$2:$AI$1001,MATCH(ROWS($AG$2:AG392),$AG$2:$AG$1001,0),0), INDEX($AN$1004:$BO$1004,1,MATCH(COLUMNS($AN$1006:BB1006),$AN$1006:$BO$1006,0)))),"Fix")))</f>
        <v>0</v>
      </c>
      <c r="Q392" s="4">
        <f>IF(OR(INDEX($AH$2:$AH$1001,MATCH(ROWS($AG$2:AG392),$AG$2:$AG$1001,0),1)&gt;=100000,INDEX($AN$1005:$BO$1005,1,MATCH(COLUMNS($AN$1006:BC1006),$AN$1006:$BO$1006,0))&gt;=100000), " ",IF(INDEX($AN$2:$BO$1001,MATCH(ROWS($AG$2:AG392),$AG$2:$AG$1001,0),MATCH(COLUMNS($AN$1006:BC1006),$AN$1006:$BO$1006,0)), HYPERLINK("#",""), HYPERLINK(CONCATENATE("#Metadata!", ADDRESS(INDEX($AI$2:$AI$1001,MATCH(ROWS($AG$2:AG392),$AG$2:$AG$1001,0),0), INDEX($AN$1004:$BO$1004,1,MATCH(COLUMNS($AN$1006:BC1006),$AN$1006:$BO$1006,0)))),"Fix")))</f>
        <v>0</v>
      </c>
      <c r="R392" s="4">
        <f>IF(OR(INDEX($AH$2:$AH$1001,MATCH(ROWS($AG$2:AG392),$AG$2:$AG$1001,0),1)&gt;=100000,INDEX($AN$1005:$BO$1005,1,MATCH(COLUMNS($AN$1006:BD1006),$AN$1006:$BO$1006,0))&gt;=100000), " ",IF(INDEX($AN$2:$BO$1001,MATCH(ROWS($AG$2:AG392),$AG$2:$AG$1001,0),MATCH(COLUMNS($AN$1006:BD1006),$AN$1006:$BO$1006,0)), HYPERLINK("#",""), HYPERLINK(CONCATENATE("#Metadata!", ADDRESS(INDEX($AI$2:$AI$1001,MATCH(ROWS($AG$2:AG392),$AG$2:$AG$1001,0),0), INDEX($AN$1004:$BO$1004,1,MATCH(COLUMNS($AN$1006:BD1006),$AN$1006:$BO$1006,0)))),"Fix")))</f>
        <v>0</v>
      </c>
      <c r="S392" s="4">
        <f>IF(OR(INDEX($AH$2:$AH$1001,MATCH(ROWS($AG$2:AG392),$AG$2:$AG$1001,0),1)&gt;=100000,INDEX($AN$1005:$BO$1005,1,MATCH(COLUMNS($AN$1006:BE1006),$AN$1006:$BO$1006,0))&gt;=100000), " ",IF(INDEX($AN$2:$BO$1001,MATCH(ROWS($AG$2:AG392),$AG$2:$AG$1001,0),MATCH(COLUMNS($AN$1006:BE1006),$AN$1006:$BO$1006,0)), HYPERLINK("#",""), HYPERLINK(CONCATENATE("#Metadata!", ADDRESS(INDEX($AI$2:$AI$1001,MATCH(ROWS($AG$2:AG392),$AG$2:$AG$1001,0),0), INDEX($AN$1004:$BO$1004,1,MATCH(COLUMNS($AN$1006:BE1006),$AN$1006:$BO$1006,0)))),"Fix")))</f>
        <v>0</v>
      </c>
      <c r="T392" s="4">
        <f>IF(OR(INDEX($AH$2:$AH$1001,MATCH(ROWS($AG$2:AG392),$AG$2:$AG$1001,0),1)&gt;=100000,INDEX($AN$1005:$BO$1005,1,MATCH(COLUMNS($AN$1006:BF1006),$AN$1006:$BO$1006,0))&gt;=100000), " ",IF(INDEX($AN$2:$BO$1001,MATCH(ROWS($AG$2:AG392),$AG$2:$AG$1001,0),MATCH(COLUMNS($AN$1006:BF1006),$AN$1006:$BO$1006,0)), HYPERLINK("#",""), HYPERLINK(CONCATENATE("#Metadata!", ADDRESS(INDEX($AI$2:$AI$1001,MATCH(ROWS($AG$2:AG392),$AG$2:$AG$1001,0),0), INDEX($AN$1004:$BO$1004,1,MATCH(COLUMNS($AN$1006:BF1006),$AN$1006:$BO$1006,0)))),"Fix")))</f>
        <v>0</v>
      </c>
      <c r="U392" s="4">
        <f>IF(OR(INDEX($AH$2:$AH$1001,MATCH(ROWS($AG$2:AG392),$AG$2:$AG$1001,0),1)&gt;=100000,INDEX($AN$1005:$BO$1005,1,MATCH(COLUMNS($AN$1006:BG1006),$AN$1006:$BO$1006,0))&gt;=100000), " ",IF(INDEX($AN$2:$BO$1001,MATCH(ROWS($AG$2:AG392),$AG$2:$AG$1001,0),MATCH(COLUMNS($AN$1006:BG1006),$AN$1006:$BO$1006,0)), HYPERLINK("#",""), HYPERLINK(CONCATENATE("#Metadata!", ADDRESS(INDEX($AI$2:$AI$1001,MATCH(ROWS($AG$2:AG392),$AG$2:$AG$1001,0),0), INDEX($AN$1004:$BO$1004,1,MATCH(COLUMNS($AN$1006:BG1006),$AN$1006:$BO$1006,0)))),"Fix")))</f>
        <v>0</v>
      </c>
      <c r="V392" s="4">
        <f>IF(OR(INDEX($AH$2:$AH$1001,MATCH(ROWS($AG$2:AG392),$AG$2:$AG$1001,0),1)&gt;=100000,INDEX($AN$1005:$BO$1005,1,MATCH(COLUMNS($AN$1006:BH1006),$AN$1006:$BO$1006,0))&gt;=100000), " ",IF(INDEX($AN$2:$BO$1001,MATCH(ROWS($AG$2:AG392),$AG$2:$AG$1001,0),MATCH(COLUMNS($AN$1006:BH1006),$AN$1006:$BO$1006,0)), HYPERLINK("#",""), HYPERLINK(CONCATENATE("#Metadata!", ADDRESS(INDEX($AI$2:$AI$1001,MATCH(ROWS($AG$2:AG392),$AG$2:$AG$1001,0),0), INDEX($AN$1004:$BO$1004,1,MATCH(COLUMNS($AN$1006:BH1006),$AN$1006:$BO$1006,0)))),"Fix")))</f>
        <v>0</v>
      </c>
      <c r="W392" s="4">
        <f>IF(OR(INDEX($AH$2:$AH$1001,MATCH(ROWS($AG$2:AG392),$AG$2:$AG$1001,0),1)&gt;=100000,INDEX($AN$1005:$BO$1005,1,MATCH(COLUMNS($AN$1006:BI1006),$AN$1006:$BO$1006,0))&gt;=100000), " ",IF(INDEX($AN$2:$BO$1001,MATCH(ROWS($AG$2:AG392),$AG$2:$AG$1001,0),MATCH(COLUMNS($AN$1006:BI1006),$AN$1006:$BO$1006,0)), HYPERLINK("#",""), HYPERLINK(CONCATENATE("#Metadata!", ADDRESS(INDEX($AI$2:$AI$1001,MATCH(ROWS($AG$2:AG392),$AG$2:$AG$1001,0),0), INDEX($AN$1004:$BO$1004,1,MATCH(COLUMNS($AN$1006:BI1006),$AN$1006:$BO$1006,0)))),"Fix")))</f>
        <v>0</v>
      </c>
      <c r="X392" s="4">
        <f>IF(OR(INDEX($AH$2:$AH$1001,MATCH(ROWS($AG$2:AG392),$AG$2:$AG$1001,0),1)&gt;=100000,INDEX($AN$1005:$BO$1005,1,MATCH(COLUMNS($AN$1006:BJ1006),$AN$1006:$BO$1006,0))&gt;=100000), " ",IF(INDEX($AN$2:$BO$1001,MATCH(ROWS($AG$2:AG392),$AG$2:$AG$1001,0),MATCH(COLUMNS($AN$1006:BJ1006),$AN$1006:$BO$1006,0)), HYPERLINK("#",""), HYPERLINK(CONCATENATE("#Metadata!", ADDRESS(INDEX($AI$2:$AI$1001,MATCH(ROWS($AG$2:AG392),$AG$2:$AG$1001,0),0), INDEX($AN$1004:$BO$1004,1,MATCH(COLUMNS($AN$1006:BJ1006),$AN$1006:$BO$1006,0)))),"Fix")))</f>
        <v>0</v>
      </c>
      <c r="Y392" s="4">
        <f>IF(OR(INDEX($AH$2:$AH$1001,MATCH(ROWS($AG$2:AG392),$AG$2:$AG$1001,0),1)&gt;=100000,INDEX($AN$1005:$BO$1005,1,MATCH(COLUMNS($AN$1006:BK1006),$AN$1006:$BO$1006,0))&gt;=100000), " ",IF(INDEX($AN$2:$BO$1001,MATCH(ROWS($AG$2:AG392),$AG$2:$AG$1001,0),MATCH(COLUMNS($AN$1006:BK1006),$AN$1006:$BO$1006,0)), HYPERLINK("#",""), HYPERLINK(CONCATENATE("#Metadata!", ADDRESS(INDEX($AI$2:$AI$1001,MATCH(ROWS($AG$2:AG392),$AG$2:$AG$1001,0),0), INDEX($AN$1004:$BO$1004,1,MATCH(COLUMNS($AN$1006:BK1006),$AN$1006:$BO$1006,0)))),"Fix")))</f>
        <v>0</v>
      </c>
      <c r="Z392" s="4">
        <f>IF(OR(INDEX($AH$2:$AH$1001,MATCH(ROWS($AG$2:AG392),$AG$2:$AG$1001,0),1)&gt;=100000,INDEX($AN$1005:$BO$1005,1,MATCH(COLUMNS($AN$1006:BL1006),$AN$1006:$BO$1006,0))&gt;=100000), " ",IF(INDEX($AN$2:$BO$1001,MATCH(ROWS($AG$2:AG392),$AG$2:$AG$1001,0),MATCH(COLUMNS($AN$1006:BL1006),$AN$1006:$BO$1006,0)), HYPERLINK("#",""), HYPERLINK(CONCATENATE("#Metadata!", ADDRESS(INDEX($AI$2:$AI$1001,MATCH(ROWS($AG$2:AG392),$AG$2:$AG$1001,0),0), INDEX($AN$1004:$BO$1004,1,MATCH(COLUMNS($AN$1006:BL1006),$AN$1006:$BO$1006,0)))),"Fix")))</f>
        <v>0</v>
      </c>
      <c r="AA392" s="4">
        <f>IF(OR(INDEX($AH$2:$AH$1001,MATCH(ROWS($AG$2:AG392),$AG$2:$AG$1001,0),1)&gt;=100000,INDEX($AN$1005:$BO$1005,1,MATCH(COLUMNS($AN$1006:BM1006),$AN$1006:$BO$1006,0))&gt;=100000), " ",IF(INDEX($AN$2:$BO$1001,MATCH(ROWS($AG$2:AG392),$AG$2:$AG$1001,0),MATCH(COLUMNS($AN$1006:BM1006),$AN$1006:$BO$1006,0)), HYPERLINK("#",""), HYPERLINK(CONCATENATE("#Metadata!", ADDRESS(INDEX($AI$2:$AI$1001,MATCH(ROWS($AG$2:AG392),$AG$2:$AG$1001,0),0), INDEX($AN$1004:$BO$1004,1,MATCH(COLUMNS($AN$1006:BM1006),$AN$1006:$BO$1006,0)))),"Fix")))</f>
        <v>0</v>
      </c>
      <c r="AB392" s="4">
        <f>IF(OR(INDEX($AH$2:$AH$1001,MATCH(ROWS($AG$2:AG392),$AG$2:$AG$1001,0),1)&gt;=100000,INDEX($AN$1005:$BO$1005,1,MATCH(COLUMNS($AN$1006:BN1006),$AN$1006:$BO$1006,0))&gt;=100000), " ",IF(INDEX($AN$2:$BO$1001,MATCH(ROWS($AG$2:AG392),$AG$2:$AG$1001,0),MATCH(COLUMNS($AN$1006:BN1006),$AN$1006:$BO$1006,0)), HYPERLINK("#",""), HYPERLINK(CONCATENATE("#Metadata!", ADDRESS(INDEX($AI$2:$AI$1001,MATCH(ROWS($AG$2:AG392),$AG$2:$AG$1001,0),0), INDEX($AN$1004:$BO$1004,1,MATCH(COLUMNS($AN$1006:BN1006),$AN$1006:$BO$1006,0)))),"Fix")))</f>
        <v>0</v>
      </c>
      <c r="AC392" s="4">
        <f>IF(OR(INDEX($AH$2:$AH$1001,MATCH(ROWS($AG$2:AG392),$AG$2:$AG$1001,0),1)&gt;=100000,INDEX($AN$1005:$BO$1005,1,MATCH(COLUMNS($AN$1006:BO1006),$AN$1006:$BO$1006,0))&gt;=100000), " ",IF(INDEX($AN$2:$BO$1001,MATCH(ROWS($AG$2:AG392),$AG$2:$AG$1001,0),MATCH(COLUMNS($AN$1006:BO1006),$AN$1006:$BO$1006,0)), HYPERLINK("#",""), HYPERLINK(CONCATENATE("#Metadata!", ADDRESS(INDEX($AI$2:$AI$1001,MATCH(ROWS($AG$2:AG392),$AG$2:$AG$1001,0),0), INDEX($AN$1004:$BO$1004,1,MATCH(COLUMNS($AN$1006:BO1006),$AN$1006:$BO$1006,0)))),"Fix")))</f>
        <v>0</v>
      </c>
      <c r="AG392">
        <v>0</v>
      </c>
      <c r="AH392">
        <v>0</v>
      </c>
      <c r="AI392">
        <v>0</v>
      </c>
      <c r="AJ392">
        <f>IF(AK392,TRUE,AND(AN392:BO392))</f>
        <v>0</v>
      </c>
      <c r="AK392">
        <f>COUNTBLANK(Metadata!B392:AC392)=COLUMNS(Metadata!B392:AC392)</f>
        <v>0</v>
      </c>
      <c r="AL392">
        <v>0</v>
      </c>
      <c r="AN392">
        <f>AND(IF(Metadata!B392="",FALSE,TRUE),COUNTIF(Metadata!B:B, Metadata!B392) = 1,NOT(ISERROR(SUMPRODUCT(SEARCH(MID(Metadata!B392,ROW(INDIRECT("1:"&amp;LEN(Metadata!B392))), 1),"0123456789abcdefghijklmnopqrstuvwxyzABCDEFGHIJKLMNOPQRSTUVWXYZ.")))))</f>
        <v>0</v>
      </c>
      <c r="AO392">
        <f>IF(Metadata!C392="",FALSE,TRUE)</f>
        <v>0</v>
      </c>
      <c r="AP392">
        <f>IF(Metadata!D392="",FALSE,TRUE)</f>
        <v>0</v>
      </c>
      <c r="AQ392">
        <f>OR(AND(IF(Metadata!E392="",FALSE,TRUE),OR(exact(Metadata!E392,"not collected"),exact(Metadata!E392,"not provided"),exact(Metadata!E392,"restricted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R392">
        <f>IF(Metadata!F392="",FALSE,TRUE)</f>
        <v>0</v>
      </c>
      <c r="AS392">
        <f>OR(AND(IF(Metadata!G392="",FALSE,TRUE),OR(exact(Metadata!G392,"not collected"),exact(Metadata!G392,"not provided"))),AND(IF(Metadata!G392="",FALSE,TRUE),OR(exact(Metadata!G392,"TRUE"),exact(Metadata!G392,"FALSE"))))</f>
        <v>0</v>
      </c>
      <c r="AT392">
        <f>OR(AND(IF(Metadata!H392="",FALSE,TRUE),OR(exact(Metadata!H392,"not collected"),exact(Metadata!H392,"not provided"),exact(Metadata!H392,"restricted access"))),AND(IF(Metadata!H392="",FALSE,ISNUMBER(VALUE(Metadata!H392))),Metadata!H392&gt;=-413.0))</f>
        <v>0</v>
      </c>
      <c r="AU392">
        <f>AND(IF(Metadata!I392="",FALSE,TRUE),exact(Metadata!I392,"meters"))</f>
        <v>0</v>
      </c>
      <c r="AV392">
        <f>AND(IF(Metadata!J392="",FALSE,TRUE),OR(exact(Metadata!J392,"Host-associated"),exact(Metadata!J392,"Free-living")))</f>
        <v>0</v>
      </c>
      <c r="AW392">
        <f>AND(IF(Metadata!K392="",FALSE,TRUE),OR(exact(Metadata!K392,"Animal"),exact(Metadata!K392,"Fungus"),exact(Metadata!K392,"Plant"),exact(Metadata!K392,"Saline"),exact(Metadata!K392,"Non-saline")))</f>
        <v>0</v>
      </c>
      <c r="AX392">
        <f>AND(IF(Metadata!L392="",FALSE,TRUE),OR(exact(Metadata!L392,"Plant secretion"),exact(Metadata!L392,"Plant rhizosphere"),exact(Metadata!L392,"Plant surface"),exact(Metadata!L392,"Plant corpus"),exact(Metadata!L392,"Fungus surface"),exact(Metadata!L392,"Fungus corpus"),exact(Metadata!L392,"Animal surface"),exact(Metadata!L392,"Animal proximal gut"),exact(Metadata!L392,"Animal corpus"),exact(Metadata!L392,"Animal distal gut"),exact(Metadata!L392,"Animal secretion"),exact(Metadata!L392,"Sub-surface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Y392">
        <f>IF(Metadata!M392="",FALSE,TRUE)</f>
        <v>0</v>
      </c>
      <c r="AZ392">
        <f>IF(Metadata!N392="",FALSE,TRUE)</f>
        <v>0</v>
      </c>
      <c r="BA392">
        <f>IF(Metadata!O392="",FALSE,TRUE)</f>
        <v>0</v>
      </c>
      <c r="BB392">
        <f>OR(AND(IF(Metadata!P392="",FALSE,TRUE),OR(exact(Metadata!P392,"not collected"),exact(Metadata!P392,"not provided"),exact(Metadata!P392,"restricted access"))),AND(IF(Metadata!P392="",FALSE,TRUE),OR(exact(Metadata!P392,"air"),exact(Metadata!P392,"built environment"),exact(Metadata!P392,"host-associated"),exact(Metadata!P392,"human-associated"),exact(Metadata!P392,"human-skin"),exact(Metadata!P392,"human-oral"),exact(Metadata!P392,"human-gut"),exact(Metadata!P392,"human-vaginal"),exact(Metadata!P392,"microbial mat/biofilm"),exact(Metadata!P392,"misc environment"),exact(Metadata!P392,"plant-associated"),exact(Metadata!P392,"sediment"),exact(Metadata!P392,"soil"),exact(Metadata!P392,"wastewater/sludge"),exact(Metadata!P392,"water"))))</f>
        <v>0</v>
      </c>
      <c r="BC392">
        <f>IF(Metadata!Q392="",FALSE,TRUE)</f>
        <v>0</v>
      </c>
      <c r="BD392">
        <f>IF(Metadata!R392="",FALSE,TRUE)</f>
        <v>0</v>
      </c>
      <c r="BE392">
        <f>OR(AND(IF(Metadata!S392="",FALSE,TRUE),OR(exact(Metadata!S392,"not collected"),exact(Metadata!S392,"not provided"),exact(Metadata!S392,"restricted access"))),AND(IF(Metadata!S392="",FALSE,ISNUMBER(VALUE(Metadata!S392))),Metadata!S392&gt;=-90.00,Metadata!S392&lt;=90.00))</f>
        <v>0</v>
      </c>
      <c r="BF392">
        <f>AND(IF(Metadata!T392="",FALSE,TRUE),exact(Metadata!T392,"Decimal degrees"))</f>
        <v>0</v>
      </c>
      <c r="BG392">
        <f>OR(AND(IF(Metadata!U392="",FALSE,TRUE),OR(exact(Metadata!U392,"not collected"),exact(Metadata!U392,"not provided"),exact(Metadata!U392,"restricted access"))),AND(IF(Metadata!U392="",FALSE,ISNUMBER(VALUE(Metadata!U392))),Metadata!U392&gt;=-180.00,Metadata!U392&lt;=180.00))</f>
        <v>0</v>
      </c>
      <c r="BH392">
        <f>AND(IF(Metadata!V392="",FALSE,TRUE),exact(Metadata!V392,"Decimal degrees"))</f>
        <v>0</v>
      </c>
      <c r="BI392">
        <f>IF(Metadata!W392="",FALSE,TRUE)</f>
        <v>0</v>
      </c>
      <c r="BJ392">
        <f>OR(AND(IF(Metadata!X392="",FALSE,TRUE),OR(exact(Metadata!X392,"not collected"),exact(Metadata!X392,"not provided"),exact(Metadata!X392,"restricted access"))),AND(IF(Metadata!X392="",FALSE,TRUE),OR(exact(Metadata!X392,"TRUE"),exact(Metadata!X392,"FALSE"))))</f>
        <v>0</v>
      </c>
      <c r="BK392">
        <f>AND(IF(Metadata!Y392="",FALSE,TRUE),exact(Metadata!Y392,"other"))</f>
        <v>0</v>
      </c>
      <c r="BL392">
        <f>IF(Metadata!Z392="",FALSE,TRUE)</f>
        <v>0</v>
      </c>
      <c r="BM392">
        <f>OR(AND(IF(Metadata!AA392="",FALSE,TRUE),OR(exact(Metadata!AA392,"not collected"),exact(Metadata!AA392,"not provided"))),AND(IF(Metadata!AA392="",FALSE,IF(ISERROR(INT(Metadata!AA392)),FALSE,INT(Metadata!AA392)=Metadata!AA392)),Metadata!AA392&gt;0))</f>
        <v>0</v>
      </c>
      <c r="BN392">
        <f>AND(IF(Metadata!AB392="",FALSE,TRUE),exact(Metadata!AB392,"Not applicable"))</f>
        <v>0</v>
      </c>
      <c r="BO392">
        <f>IF(Metadata!AC392="",FALSE,TRUE)</f>
        <v>0</v>
      </c>
    </row>
    <row r="393" spans="1:67">
      <c r="A393" s="5">
        <f>IF(B393=" "," ",HYPERLINK(CONCATENATE("#metadata!",ADDRESS(INDEX($AI$2:$AI$1001,MATCH(ROWS($AG$2:AG393),$AG$2:$AG$1001,0),0),1)),INDEX($AL$2:$AL$1001,MATCH(ROWS($AG$2:AG393),$AG$2:$AG$1001,0),0)))</f>
        <v>0</v>
      </c>
      <c r="B393" s="4">
        <f>IF(OR(INDEX($AH$2:$AH$1001,MATCH(ROWS($AG$2:AG393),$AG$2:$AG$1001,0),1)&gt;=100000,INDEX($AN$1005:$BO$1005,1,MATCH(COLUMNS($AN$1006:AN1006),$AN$1006:$BO$1006,0))&gt;=100000), " ",IF(INDEX($AN$2:$BO$1001,MATCH(ROWS($AG$2:AG393),$AG$2:$AG$1001,0),MATCH(COLUMNS($AN$1006:AN1006),$AN$1006:$BO$1006,0)), HYPERLINK("#",""), HYPERLINK(CONCATENATE("#Metadata!", ADDRESS(INDEX($AI$2:$AI$1001,MATCH(ROWS($AG$2:AG393),$AG$2:$AG$1001,0),0), INDEX($AN$1004:$BO$1004,1,MATCH(COLUMNS($AN$1006:AN1006),$AN$1006:$BO$1006,0)))),"Fix")))</f>
        <v>0</v>
      </c>
      <c r="C393" s="4">
        <f>IF(OR(INDEX($AH$2:$AH$1001,MATCH(ROWS($AG$2:AG393),$AG$2:$AG$1001,0),1)&gt;=100000,INDEX($AN$1005:$BO$1005,1,MATCH(COLUMNS($AN$1006:AO1006),$AN$1006:$BO$1006,0))&gt;=100000), " ",IF(INDEX($AN$2:$BO$1001,MATCH(ROWS($AG$2:AG393),$AG$2:$AG$1001,0),MATCH(COLUMNS($AN$1006:AO1006),$AN$1006:$BO$1006,0)), HYPERLINK("#",""), HYPERLINK(CONCATENATE("#Metadata!", ADDRESS(INDEX($AI$2:$AI$1001,MATCH(ROWS($AG$2:AG393),$AG$2:$AG$1001,0),0), INDEX($AN$1004:$BO$1004,1,MATCH(COLUMNS($AN$1006:AO1006),$AN$1006:$BO$1006,0)))),"Fix")))</f>
        <v>0</v>
      </c>
      <c r="D393" s="4">
        <f>IF(OR(INDEX($AH$2:$AH$1001,MATCH(ROWS($AG$2:AG393),$AG$2:$AG$1001,0),1)&gt;=100000,INDEX($AN$1005:$BO$1005,1,MATCH(COLUMNS($AN$1006:AP1006),$AN$1006:$BO$1006,0))&gt;=100000), " ",IF(INDEX($AN$2:$BO$1001,MATCH(ROWS($AG$2:AG393),$AG$2:$AG$1001,0),MATCH(COLUMNS($AN$1006:AP1006),$AN$1006:$BO$1006,0)), HYPERLINK("#",""), HYPERLINK(CONCATENATE("#Metadata!", ADDRESS(INDEX($AI$2:$AI$1001,MATCH(ROWS($AG$2:AG393),$AG$2:$AG$1001,0),0), INDEX($AN$1004:$BO$1004,1,MATCH(COLUMNS($AN$1006:AP1006),$AN$1006:$BO$1006,0)))),"Fix")))</f>
        <v>0</v>
      </c>
      <c r="E393" s="4">
        <f>IF(OR(INDEX($AH$2:$AH$1001,MATCH(ROWS($AG$2:AG393),$AG$2:$AG$1001,0),1)&gt;=100000,INDEX($AN$1005:$BO$1005,1,MATCH(COLUMNS($AN$1006:AQ1006),$AN$1006:$BO$1006,0))&gt;=100000), " ",IF(INDEX($AN$2:$BO$1001,MATCH(ROWS($AG$2:AG393),$AG$2:$AG$1001,0),MATCH(COLUMNS($AN$1006:AQ1006),$AN$1006:$BO$1006,0)), HYPERLINK("#",""), HYPERLINK(CONCATENATE("#Metadata!", ADDRESS(INDEX($AI$2:$AI$1001,MATCH(ROWS($AG$2:AG393),$AG$2:$AG$1001,0),0), INDEX($AN$1004:$BO$1004,1,MATCH(COLUMNS($AN$1006:AQ1006),$AN$1006:$BO$1006,0)))),"Fix")))</f>
        <v>0</v>
      </c>
      <c r="F393" s="4">
        <f>IF(OR(INDEX($AH$2:$AH$1001,MATCH(ROWS($AG$2:AG393),$AG$2:$AG$1001,0),1)&gt;=100000,INDEX($AN$1005:$BO$1005,1,MATCH(COLUMNS($AN$1006:AR1006),$AN$1006:$BO$1006,0))&gt;=100000), " ",IF(INDEX($AN$2:$BO$1001,MATCH(ROWS($AG$2:AG393),$AG$2:$AG$1001,0),MATCH(COLUMNS($AN$1006:AR1006),$AN$1006:$BO$1006,0)), HYPERLINK("#",""), HYPERLINK(CONCATENATE("#Metadata!", ADDRESS(INDEX($AI$2:$AI$1001,MATCH(ROWS($AG$2:AG393),$AG$2:$AG$1001,0),0), INDEX($AN$1004:$BO$1004,1,MATCH(COLUMNS($AN$1006:AR1006),$AN$1006:$BO$1006,0)))),"Fix")))</f>
        <v>0</v>
      </c>
      <c r="G393" s="4">
        <f>IF(OR(INDEX($AH$2:$AH$1001,MATCH(ROWS($AG$2:AG393),$AG$2:$AG$1001,0),1)&gt;=100000,INDEX($AN$1005:$BO$1005,1,MATCH(COLUMNS($AN$1006:AS1006),$AN$1006:$BO$1006,0))&gt;=100000), " ",IF(INDEX($AN$2:$BO$1001,MATCH(ROWS($AG$2:AG393),$AG$2:$AG$1001,0),MATCH(COLUMNS($AN$1006:AS1006),$AN$1006:$BO$1006,0)), HYPERLINK("#",""), HYPERLINK(CONCATENATE("#Metadata!", ADDRESS(INDEX($AI$2:$AI$1001,MATCH(ROWS($AG$2:AG393),$AG$2:$AG$1001,0),0), INDEX($AN$1004:$BO$1004,1,MATCH(COLUMNS($AN$1006:AS1006),$AN$1006:$BO$1006,0)))),"Fix")))</f>
        <v>0</v>
      </c>
      <c r="H393" s="4">
        <f>IF(OR(INDEX($AH$2:$AH$1001,MATCH(ROWS($AG$2:AG393),$AG$2:$AG$1001,0),1)&gt;=100000,INDEX($AN$1005:$BO$1005,1,MATCH(COLUMNS($AN$1006:AT1006),$AN$1006:$BO$1006,0))&gt;=100000), " ",IF(INDEX($AN$2:$BO$1001,MATCH(ROWS($AG$2:AG393),$AG$2:$AG$1001,0),MATCH(COLUMNS($AN$1006:AT1006),$AN$1006:$BO$1006,0)), HYPERLINK("#",""), HYPERLINK(CONCATENATE("#Metadata!", ADDRESS(INDEX($AI$2:$AI$1001,MATCH(ROWS($AG$2:AG393),$AG$2:$AG$1001,0),0), INDEX($AN$1004:$BO$1004,1,MATCH(COLUMNS($AN$1006:AT1006),$AN$1006:$BO$1006,0)))),"Fix")))</f>
        <v>0</v>
      </c>
      <c r="I393" s="4">
        <f>IF(OR(INDEX($AH$2:$AH$1001,MATCH(ROWS($AG$2:AG393),$AG$2:$AG$1001,0),1)&gt;=100000,INDEX($AN$1005:$BO$1005,1,MATCH(COLUMNS($AN$1006:AU1006),$AN$1006:$BO$1006,0))&gt;=100000), " ",IF(INDEX($AN$2:$BO$1001,MATCH(ROWS($AG$2:AG393),$AG$2:$AG$1001,0),MATCH(COLUMNS($AN$1006:AU1006),$AN$1006:$BO$1006,0)), HYPERLINK("#",""), HYPERLINK(CONCATENATE("#Metadata!", ADDRESS(INDEX($AI$2:$AI$1001,MATCH(ROWS($AG$2:AG393),$AG$2:$AG$1001,0),0), INDEX($AN$1004:$BO$1004,1,MATCH(COLUMNS($AN$1006:AU1006),$AN$1006:$BO$1006,0)))),"Fix")))</f>
        <v>0</v>
      </c>
      <c r="J393" s="4">
        <f>IF(OR(INDEX($AH$2:$AH$1001,MATCH(ROWS($AG$2:AG393),$AG$2:$AG$1001,0),1)&gt;=100000,INDEX($AN$1005:$BO$1005,1,MATCH(COLUMNS($AN$1006:AV1006),$AN$1006:$BO$1006,0))&gt;=100000), " ",IF(INDEX($AN$2:$BO$1001,MATCH(ROWS($AG$2:AG393),$AG$2:$AG$1001,0),MATCH(COLUMNS($AN$1006:AV1006),$AN$1006:$BO$1006,0)), HYPERLINK("#",""), HYPERLINK(CONCATENATE("#Metadata!", ADDRESS(INDEX($AI$2:$AI$1001,MATCH(ROWS($AG$2:AG393),$AG$2:$AG$1001,0),0), INDEX($AN$1004:$BO$1004,1,MATCH(COLUMNS($AN$1006:AV1006),$AN$1006:$BO$1006,0)))),"Fix")))</f>
        <v>0</v>
      </c>
      <c r="K393" s="4">
        <f>IF(OR(INDEX($AH$2:$AH$1001,MATCH(ROWS($AG$2:AG393),$AG$2:$AG$1001,0),1)&gt;=100000,INDEX($AN$1005:$BO$1005,1,MATCH(COLUMNS($AN$1006:AW1006),$AN$1006:$BO$1006,0))&gt;=100000), " ",IF(INDEX($AN$2:$BO$1001,MATCH(ROWS($AG$2:AG393),$AG$2:$AG$1001,0),MATCH(COLUMNS($AN$1006:AW1006),$AN$1006:$BO$1006,0)), HYPERLINK("#",""), HYPERLINK(CONCATENATE("#Metadata!", ADDRESS(INDEX($AI$2:$AI$1001,MATCH(ROWS($AG$2:AG393),$AG$2:$AG$1001,0),0), INDEX($AN$1004:$BO$1004,1,MATCH(COLUMNS($AN$1006:AW1006),$AN$1006:$BO$1006,0)))),"Fix")))</f>
        <v>0</v>
      </c>
      <c r="L393" s="4">
        <f>IF(OR(INDEX($AH$2:$AH$1001,MATCH(ROWS($AG$2:AG393),$AG$2:$AG$1001,0),1)&gt;=100000,INDEX($AN$1005:$BO$1005,1,MATCH(COLUMNS($AN$1006:AX1006),$AN$1006:$BO$1006,0))&gt;=100000), " ",IF(INDEX($AN$2:$BO$1001,MATCH(ROWS($AG$2:AG393),$AG$2:$AG$1001,0),MATCH(COLUMNS($AN$1006:AX1006),$AN$1006:$BO$1006,0)), HYPERLINK("#",""), HYPERLINK(CONCATENATE("#Metadata!", ADDRESS(INDEX($AI$2:$AI$1001,MATCH(ROWS($AG$2:AG393),$AG$2:$AG$1001,0),0), INDEX($AN$1004:$BO$1004,1,MATCH(COLUMNS($AN$1006:AX1006),$AN$1006:$BO$1006,0)))),"Fix")))</f>
        <v>0</v>
      </c>
      <c r="M393" s="4">
        <f>IF(OR(INDEX($AH$2:$AH$1001,MATCH(ROWS($AG$2:AG393),$AG$2:$AG$1001,0),1)&gt;=100000,INDEX($AN$1005:$BO$1005,1,MATCH(COLUMNS($AN$1006:AY1006),$AN$1006:$BO$1006,0))&gt;=100000), " ",IF(INDEX($AN$2:$BO$1001,MATCH(ROWS($AG$2:AG393),$AG$2:$AG$1001,0),MATCH(COLUMNS($AN$1006:AY1006),$AN$1006:$BO$1006,0)), HYPERLINK("#",""), HYPERLINK(CONCATENATE("#Metadata!", ADDRESS(INDEX($AI$2:$AI$1001,MATCH(ROWS($AG$2:AG393),$AG$2:$AG$1001,0),0), INDEX($AN$1004:$BO$1004,1,MATCH(COLUMNS($AN$1006:AY1006),$AN$1006:$BO$1006,0)))),"Fix")))</f>
        <v>0</v>
      </c>
      <c r="N393" s="4">
        <f>IF(OR(INDEX($AH$2:$AH$1001,MATCH(ROWS($AG$2:AG393),$AG$2:$AG$1001,0),1)&gt;=100000,INDEX($AN$1005:$BO$1005,1,MATCH(COLUMNS($AN$1006:AZ1006),$AN$1006:$BO$1006,0))&gt;=100000), " ",IF(INDEX($AN$2:$BO$1001,MATCH(ROWS($AG$2:AG393),$AG$2:$AG$1001,0),MATCH(COLUMNS($AN$1006:AZ1006),$AN$1006:$BO$1006,0)), HYPERLINK("#",""), HYPERLINK(CONCATENATE("#Metadata!", ADDRESS(INDEX($AI$2:$AI$1001,MATCH(ROWS($AG$2:AG393),$AG$2:$AG$1001,0),0), INDEX($AN$1004:$BO$1004,1,MATCH(COLUMNS($AN$1006:AZ1006),$AN$1006:$BO$1006,0)))),"Fix")))</f>
        <v>0</v>
      </c>
      <c r="O393" s="4">
        <f>IF(OR(INDEX($AH$2:$AH$1001,MATCH(ROWS($AG$2:AG393),$AG$2:$AG$1001,0),1)&gt;=100000,INDEX($AN$1005:$BO$1005,1,MATCH(COLUMNS($AN$1006:BA1006),$AN$1006:$BO$1006,0))&gt;=100000), " ",IF(INDEX($AN$2:$BO$1001,MATCH(ROWS($AG$2:AG393),$AG$2:$AG$1001,0),MATCH(COLUMNS($AN$1006:BA1006),$AN$1006:$BO$1006,0)), HYPERLINK("#",""), HYPERLINK(CONCATENATE("#Metadata!", ADDRESS(INDEX($AI$2:$AI$1001,MATCH(ROWS($AG$2:AG393),$AG$2:$AG$1001,0),0), INDEX($AN$1004:$BO$1004,1,MATCH(COLUMNS($AN$1006:BA1006),$AN$1006:$BO$1006,0)))),"Fix")))</f>
        <v>0</v>
      </c>
      <c r="P393" s="4">
        <f>IF(OR(INDEX($AH$2:$AH$1001,MATCH(ROWS($AG$2:AG393),$AG$2:$AG$1001,0),1)&gt;=100000,INDEX($AN$1005:$BO$1005,1,MATCH(COLUMNS($AN$1006:BB1006),$AN$1006:$BO$1006,0))&gt;=100000), " ",IF(INDEX($AN$2:$BO$1001,MATCH(ROWS($AG$2:AG393),$AG$2:$AG$1001,0),MATCH(COLUMNS($AN$1006:BB1006),$AN$1006:$BO$1006,0)), HYPERLINK("#",""), HYPERLINK(CONCATENATE("#Metadata!", ADDRESS(INDEX($AI$2:$AI$1001,MATCH(ROWS($AG$2:AG393),$AG$2:$AG$1001,0),0), INDEX($AN$1004:$BO$1004,1,MATCH(COLUMNS($AN$1006:BB1006),$AN$1006:$BO$1006,0)))),"Fix")))</f>
        <v>0</v>
      </c>
      <c r="Q393" s="4">
        <f>IF(OR(INDEX($AH$2:$AH$1001,MATCH(ROWS($AG$2:AG393),$AG$2:$AG$1001,0),1)&gt;=100000,INDEX($AN$1005:$BO$1005,1,MATCH(COLUMNS($AN$1006:BC1006),$AN$1006:$BO$1006,0))&gt;=100000), " ",IF(INDEX($AN$2:$BO$1001,MATCH(ROWS($AG$2:AG393),$AG$2:$AG$1001,0),MATCH(COLUMNS($AN$1006:BC1006),$AN$1006:$BO$1006,0)), HYPERLINK("#",""), HYPERLINK(CONCATENATE("#Metadata!", ADDRESS(INDEX($AI$2:$AI$1001,MATCH(ROWS($AG$2:AG393),$AG$2:$AG$1001,0),0), INDEX($AN$1004:$BO$1004,1,MATCH(COLUMNS($AN$1006:BC1006),$AN$1006:$BO$1006,0)))),"Fix")))</f>
        <v>0</v>
      </c>
      <c r="R393" s="4">
        <f>IF(OR(INDEX($AH$2:$AH$1001,MATCH(ROWS($AG$2:AG393),$AG$2:$AG$1001,0),1)&gt;=100000,INDEX($AN$1005:$BO$1005,1,MATCH(COLUMNS($AN$1006:BD1006),$AN$1006:$BO$1006,0))&gt;=100000), " ",IF(INDEX($AN$2:$BO$1001,MATCH(ROWS($AG$2:AG393),$AG$2:$AG$1001,0),MATCH(COLUMNS($AN$1006:BD1006),$AN$1006:$BO$1006,0)), HYPERLINK("#",""), HYPERLINK(CONCATENATE("#Metadata!", ADDRESS(INDEX($AI$2:$AI$1001,MATCH(ROWS($AG$2:AG393),$AG$2:$AG$1001,0),0), INDEX($AN$1004:$BO$1004,1,MATCH(COLUMNS($AN$1006:BD1006),$AN$1006:$BO$1006,0)))),"Fix")))</f>
        <v>0</v>
      </c>
      <c r="S393" s="4">
        <f>IF(OR(INDEX($AH$2:$AH$1001,MATCH(ROWS($AG$2:AG393),$AG$2:$AG$1001,0),1)&gt;=100000,INDEX($AN$1005:$BO$1005,1,MATCH(COLUMNS($AN$1006:BE1006),$AN$1006:$BO$1006,0))&gt;=100000), " ",IF(INDEX($AN$2:$BO$1001,MATCH(ROWS($AG$2:AG393),$AG$2:$AG$1001,0),MATCH(COLUMNS($AN$1006:BE1006),$AN$1006:$BO$1006,0)), HYPERLINK("#",""), HYPERLINK(CONCATENATE("#Metadata!", ADDRESS(INDEX($AI$2:$AI$1001,MATCH(ROWS($AG$2:AG393),$AG$2:$AG$1001,0),0), INDEX($AN$1004:$BO$1004,1,MATCH(COLUMNS($AN$1006:BE1006),$AN$1006:$BO$1006,0)))),"Fix")))</f>
        <v>0</v>
      </c>
      <c r="T393" s="4">
        <f>IF(OR(INDEX($AH$2:$AH$1001,MATCH(ROWS($AG$2:AG393),$AG$2:$AG$1001,0),1)&gt;=100000,INDEX($AN$1005:$BO$1005,1,MATCH(COLUMNS($AN$1006:BF1006),$AN$1006:$BO$1006,0))&gt;=100000), " ",IF(INDEX($AN$2:$BO$1001,MATCH(ROWS($AG$2:AG393),$AG$2:$AG$1001,0),MATCH(COLUMNS($AN$1006:BF1006),$AN$1006:$BO$1006,0)), HYPERLINK("#",""), HYPERLINK(CONCATENATE("#Metadata!", ADDRESS(INDEX($AI$2:$AI$1001,MATCH(ROWS($AG$2:AG393),$AG$2:$AG$1001,0),0), INDEX($AN$1004:$BO$1004,1,MATCH(COLUMNS($AN$1006:BF1006),$AN$1006:$BO$1006,0)))),"Fix")))</f>
        <v>0</v>
      </c>
      <c r="U393" s="4">
        <f>IF(OR(INDEX($AH$2:$AH$1001,MATCH(ROWS($AG$2:AG393),$AG$2:$AG$1001,0),1)&gt;=100000,INDEX($AN$1005:$BO$1005,1,MATCH(COLUMNS($AN$1006:BG1006),$AN$1006:$BO$1006,0))&gt;=100000), " ",IF(INDEX($AN$2:$BO$1001,MATCH(ROWS($AG$2:AG393),$AG$2:$AG$1001,0),MATCH(COLUMNS($AN$1006:BG1006),$AN$1006:$BO$1006,0)), HYPERLINK("#",""), HYPERLINK(CONCATENATE("#Metadata!", ADDRESS(INDEX($AI$2:$AI$1001,MATCH(ROWS($AG$2:AG393),$AG$2:$AG$1001,0),0), INDEX($AN$1004:$BO$1004,1,MATCH(COLUMNS($AN$1006:BG1006),$AN$1006:$BO$1006,0)))),"Fix")))</f>
        <v>0</v>
      </c>
      <c r="V393" s="4">
        <f>IF(OR(INDEX($AH$2:$AH$1001,MATCH(ROWS($AG$2:AG393),$AG$2:$AG$1001,0),1)&gt;=100000,INDEX($AN$1005:$BO$1005,1,MATCH(COLUMNS($AN$1006:BH1006),$AN$1006:$BO$1006,0))&gt;=100000), " ",IF(INDEX($AN$2:$BO$1001,MATCH(ROWS($AG$2:AG393),$AG$2:$AG$1001,0),MATCH(COLUMNS($AN$1006:BH1006),$AN$1006:$BO$1006,0)), HYPERLINK("#",""), HYPERLINK(CONCATENATE("#Metadata!", ADDRESS(INDEX($AI$2:$AI$1001,MATCH(ROWS($AG$2:AG393),$AG$2:$AG$1001,0),0), INDEX($AN$1004:$BO$1004,1,MATCH(COLUMNS($AN$1006:BH1006),$AN$1006:$BO$1006,0)))),"Fix")))</f>
        <v>0</v>
      </c>
      <c r="W393" s="4">
        <f>IF(OR(INDEX($AH$2:$AH$1001,MATCH(ROWS($AG$2:AG393),$AG$2:$AG$1001,0),1)&gt;=100000,INDEX($AN$1005:$BO$1005,1,MATCH(COLUMNS($AN$1006:BI1006),$AN$1006:$BO$1006,0))&gt;=100000), " ",IF(INDEX($AN$2:$BO$1001,MATCH(ROWS($AG$2:AG393),$AG$2:$AG$1001,0),MATCH(COLUMNS($AN$1006:BI1006),$AN$1006:$BO$1006,0)), HYPERLINK("#",""), HYPERLINK(CONCATENATE("#Metadata!", ADDRESS(INDEX($AI$2:$AI$1001,MATCH(ROWS($AG$2:AG393),$AG$2:$AG$1001,0),0), INDEX($AN$1004:$BO$1004,1,MATCH(COLUMNS($AN$1006:BI1006),$AN$1006:$BO$1006,0)))),"Fix")))</f>
        <v>0</v>
      </c>
      <c r="X393" s="4">
        <f>IF(OR(INDEX($AH$2:$AH$1001,MATCH(ROWS($AG$2:AG393),$AG$2:$AG$1001,0),1)&gt;=100000,INDEX($AN$1005:$BO$1005,1,MATCH(COLUMNS($AN$1006:BJ1006),$AN$1006:$BO$1006,0))&gt;=100000), " ",IF(INDEX($AN$2:$BO$1001,MATCH(ROWS($AG$2:AG393),$AG$2:$AG$1001,0),MATCH(COLUMNS($AN$1006:BJ1006),$AN$1006:$BO$1006,0)), HYPERLINK("#",""), HYPERLINK(CONCATENATE("#Metadata!", ADDRESS(INDEX($AI$2:$AI$1001,MATCH(ROWS($AG$2:AG393),$AG$2:$AG$1001,0),0), INDEX($AN$1004:$BO$1004,1,MATCH(COLUMNS($AN$1006:BJ1006),$AN$1006:$BO$1006,0)))),"Fix")))</f>
        <v>0</v>
      </c>
      <c r="Y393" s="4">
        <f>IF(OR(INDEX($AH$2:$AH$1001,MATCH(ROWS($AG$2:AG393),$AG$2:$AG$1001,0),1)&gt;=100000,INDEX($AN$1005:$BO$1005,1,MATCH(COLUMNS($AN$1006:BK1006),$AN$1006:$BO$1006,0))&gt;=100000), " ",IF(INDEX($AN$2:$BO$1001,MATCH(ROWS($AG$2:AG393),$AG$2:$AG$1001,0),MATCH(COLUMNS($AN$1006:BK1006),$AN$1006:$BO$1006,0)), HYPERLINK("#",""), HYPERLINK(CONCATENATE("#Metadata!", ADDRESS(INDEX($AI$2:$AI$1001,MATCH(ROWS($AG$2:AG393),$AG$2:$AG$1001,0),0), INDEX($AN$1004:$BO$1004,1,MATCH(COLUMNS($AN$1006:BK1006),$AN$1006:$BO$1006,0)))),"Fix")))</f>
        <v>0</v>
      </c>
      <c r="Z393" s="4">
        <f>IF(OR(INDEX($AH$2:$AH$1001,MATCH(ROWS($AG$2:AG393),$AG$2:$AG$1001,0),1)&gt;=100000,INDEX($AN$1005:$BO$1005,1,MATCH(COLUMNS($AN$1006:BL1006),$AN$1006:$BO$1006,0))&gt;=100000), " ",IF(INDEX($AN$2:$BO$1001,MATCH(ROWS($AG$2:AG393),$AG$2:$AG$1001,0),MATCH(COLUMNS($AN$1006:BL1006),$AN$1006:$BO$1006,0)), HYPERLINK("#",""), HYPERLINK(CONCATENATE("#Metadata!", ADDRESS(INDEX($AI$2:$AI$1001,MATCH(ROWS($AG$2:AG393),$AG$2:$AG$1001,0),0), INDEX($AN$1004:$BO$1004,1,MATCH(COLUMNS($AN$1006:BL1006),$AN$1006:$BO$1006,0)))),"Fix")))</f>
        <v>0</v>
      </c>
      <c r="AA393" s="4">
        <f>IF(OR(INDEX($AH$2:$AH$1001,MATCH(ROWS($AG$2:AG393),$AG$2:$AG$1001,0),1)&gt;=100000,INDEX($AN$1005:$BO$1005,1,MATCH(COLUMNS($AN$1006:BM1006),$AN$1006:$BO$1006,0))&gt;=100000), " ",IF(INDEX($AN$2:$BO$1001,MATCH(ROWS($AG$2:AG393),$AG$2:$AG$1001,0),MATCH(COLUMNS($AN$1006:BM1006),$AN$1006:$BO$1006,0)), HYPERLINK("#",""), HYPERLINK(CONCATENATE("#Metadata!", ADDRESS(INDEX($AI$2:$AI$1001,MATCH(ROWS($AG$2:AG393),$AG$2:$AG$1001,0),0), INDEX($AN$1004:$BO$1004,1,MATCH(COLUMNS($AN$1006:BM1006),$AN$1006:$BO$1006,0)))),"Fix")))</f>
        <v>0</v>
      </c>
      <c r="AB393" s="4">
        <f>IF(OR(INDEX($AH$2:$AH$1001,MATCH(ROWS($AG$2:AG393),$AG$2:$AG$1001,0),1)&gt;=100000,INDEX($AN$1005:$BO$1005,1,MATCH(COLUMNS($AN$1006:BN1006),$AN$1006:$BO$1006,0))&gt;=100000), " ",IF(INDEX($AN$2:$BO$1001,MATCH(ROWS($AG$2:AG393),$AG$2:$AG$1001,0),MATCH(COLUMNS($AN$1006:BN1006),$AN$1006:$BO$1006,0)), HYPERLINK("#",""), HYPERLINK(CONCATENATE("#Metadata!", ADDRESS(INDEX($AI$2:$AI$1001,MATCH(ROWS($AG$2:AG393),$AG$2:$AG$1001,0),0), INDEX($AN$1004:$BO$1004,1,MATCH(COLUMNS($AN$1006:BN1006),$AN$1006:$BO$1006,0)))),"Fix")))</f>
        <v>0</v>
      </c>
      <c r="AC393" s="4">
        <f>IF(OR(INDEX($AH$2:$AH$1001,MATCH(ROWS($AG$2:AG393),$AG$2:$AG$1001,0),1)&gt;=100000,INDEX($AN$1005:$BO$1005,1,MATCH(COLUMNS($AN$1006:BO1006),$AN$1006:$BO$1006,0))&gt;=100000), " ",IF(INDEX($AN$2:$BO$1001,MATCH(ROWS($AG$2:AG393),$AG$2:$AG$1001,0),MATCH(COLUMNS($AN$1006:BO1006),$AN$1006:$BO$1006,0)), HYPERLINK("#",""), HYPERLINK(CONCATENATE("#Metadata!", ADDRESS(INDEX($AI$2:$AI$1001,MATCH(ROWS($AG$2:AG393),$AG$2:$AG$1001,0),0), INDEX($AN$1004:$BO$1004,1,MATCH(COLUMNS($AN$1006:BO1006),$AN$1006:$BO$1006,0)))),"Fix")))</f>
        <v>0</v>
      </c>
      <c r="AG393">
        <v>0</v>
      </c>
      <c r="AH393">
        <v>0</v>
      </c>
      <c r="AI393">
        <v>0</v>
      </c>
      <c r="AJ393">
        <f>IF(AK393,TRUE,AND(AN393:BO393))</f>
        <v>0</v>
      </c>
      <c r="AK393">
        <f>COUNTBLANK(Metadata!B393:AC393)=COLUMNS(Metadata!B393:AC393)</f>
        <v>0</v>
      </c>
      <c r="AL393">
        <v>0</v>
      </c>
      <c r="AN393">
        <f>AND(IF(Metadata!B393="",FALSE,TRUE),COUNTIF(Metadata!B:B, Metadata!B393) = 1,NOT(ISERROR(SUMPRODUCT(SEARCH(MID(Metadata!B393,ROW(INDIRECT("1:"&amp;LEN(Metadata!B393))), 1),"0123456789abcdefghijklmnopqrstuvwxyzABCDEFGHIJKLMNOPQRSTUVWXYZ.")))))</f>
        <v>0</v>
      </c>
      <c r="AO393">
        <f>IF(Metadata!C393="",FALSE,TRUE)</f>
        <v>0</v>
      </c>
      <c r="AP393">
        <f>IF(Metadata!D393="",FALSE,TRUE)</f>
        <v>0</v>
      </c>
      <c r="AQ393">
        <f>OR(AND(IF(Metadata!E393="",FALSE,TRUE),OR(exact(Metadata!E393,"not collected"),exact(Metadata!E393,"not provided"),exact(Metadata!E393,"restricted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R393">
        <f>IF(Metadata!F393="",FALSE,TRUE)</f>
        <v>0</v>
      </c>
      <c r="AS393">
        <f>OR(AND(IF(Metadata!G393="",FALSE,TRUE),OR(exact(Metadata!G393,"not collected"),exact(Metadata!G393,"not provided"))),AND(IF(Metadata!G393="",FALSE,TRUE),OR(exact(Metadata!G393,"TRUE"),exact(Metadata!G393,"FALSE"))))</f>
        <v>0</v>
      </c>
      <c r="AT393">
        <f>OR(AND(IF(Metadata!H393="",FALSE,TRUE),OR(exact(Metadata!H393,"not collected"),exact(Metadata!H393,"not provided"),exact(Metadata!H393,"restricted access"))),AND(IF(Metadata!H393="",FALSE,ISNUMBER(VALUE(Metadata!H393))),Metadata!H393&gt;=-413.0))</f>
        <v>0</v>
      </c>
      <c r="AU393">
        <f>AND(IF(Metadata!I393="",FALSE,TRUE),exact(Metadata!I393,"meters"))</f>
        <v>0</v>
      </c>
      <c r="AV393">
        <f>AND(IF(Metadata!J393="",FALSE,TRUE),OR(exact(Metadata!J393,"Host-associated"),exact(Metadata!J393,"Free-living")))</f>
        <v>0</v>
      </c>
      <c r="AW393">
        <f>AND(IF(Metadata!K393="",FALSE,TRUE),OR(exact(Metadata!K393,"Animal"),exact(Metadata!K393,"Fungus"),exact(Metadata!K393,"Plant"),exact(Metadata!K393,"Saline"),exact(Metadata!K393,"Non-saline")))</f>
        <v>0</v>
      </c>
      <c r="AX393">
        <f>AND(IF(Metadata!L393="",FALSE,TRUE),OR(exact(Metadata!L393,"Plant secretion"),exact(Metadata!L393,"Plant rhizosphere"),exact(Metadata!L393,"Plant surface"),exact(Metadata!L393,"Plant corpus"),exact(Metadata!L393,"Fungus surface"),exact(Metadata!L393,"Fungus corpus"),exact(Metadata!L393,"Animal surface"),exact(Metadata!L393,"Animal proximal gut"),exact(Metadata!L393,"Animal corpus"),exact(Metadata!L393,"Animal distal gut"),exact(Metadata!L393,"Animal secretion"),exact(Metadata!L393,"Sub-surface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Y393">
        <f>IF(Metadata!M393="",FALSE,TRUE)</f>
        <v>0</v>
      </c>
      <c r="AZ393">
        <f>IF(Metadata!N393="",FALSE,TRUE)</f>
        <v>0</v>
      </c>
      <c r="BA393">
        <f>IF(Metadata!O393="",FALSE,TRUE)</f>
        <v>0</v>
      </c>
      <c r="BB393">
        <f>OR(AND(IF(Metadata!P393="",FALSE,TRUE),OR(exact(Metadata!P393,"not collected"),exact(Metadata!P393,"not provided"),exact(Metadata!P393,"restricted access"))),AND(IF(Metadata!P393="",FALSE,TRUE),OR(exact(Metadata!P393,"air"),exact(Metadata!P393,"built environment"),exact(Metadata!P393,"host-associated"),exact(Metadata!P393,"human-associated"),exact(Metadata!P393,"human-skin"),exact(Metadata!P393,"human-oral"),exact(Metadata!P393,"human-gut"),exact(Metadata!P393,"human-vaginal"),exact(Metadata!P393,"microbial mat/biofilm"),exact(Metadata!P393,"misc environment"),exact(Metadata!P393,"plant-associated"),exact(Metadata!P393,"sediment"),exact(Metadata!P393,"soil"),exact(Metadata!P393,"wastewater/sludge"),exact(Metadata!P393,"water"))))</f>
        <v>0</v>
      </c>
      <c r="BC393">
        <f>IF(Metadata!Q393="",FALSE,TRUE)</f>
        <v>0</v>
      </c>
      <c r="BD393">
        <f>IF(Metadata!R393="",FALSE,TRUE)</f>
        <v>0</v>
      </c>
      <c r="BE393">
        <f>OR(AND(IF(Metadata!S393="",FALSE,TRUE),OR(exact(Metadata!S393,"not collected"),exact(Metadata!S393,"not provided"),exact(Metadata!S393,"restricted access"))),AND(IF(Metadata!S393="",FALSE,ISNUMBER(VALUE(Metadata!S393))),Metadata!S393&gt;=-90.00,Metadata!S393&lt;=90.00))</f>
        <v>0</v>
      </c>
      <c r="BF393">
        <f>AND(IF(Metadata!T393="",FALSE,TRUE),exact(Metadata!T393,"Decimal degrees"))</f>
        <v>0</v>
      </c>
      <c r="BG393">
        <f>OR(AND(IF(Metadata!U393="",FALSE,TRUE),OR(exact(Metadata!U393,"not collected"),exact(Metadata!U393,"not provided"),exact(Metadata!U393,"restricted access"))),AND(IF(Metadata!U393="",FALSE,ISNUMBER(VALUE(Metadata!U393))),Metadata!U393&gt;=-180.00,Metadata!U393&lt;=180.00))</f>
        <v>0</v>
      </c>
      <c r="BH393">
        <f>AND(IF(Metadata!V393="",FALSE,TRUE),exact(Metadata!V393,"Decimal degrees"))</f>
        <v>0</v>
      </c>
      <c r="BI393">
        <f>IF(Metadata!W393="",FALSE,TRUE)</f>
        <v>0</v>
      </c>
      <c r="BJ393">
        <f>OR(AND(IF(Metadata!X393="",FALSE,TRUE),OR(exact(Metadata!X393,"not collected"),exact(Metadata!X393,"not provided"),exact(Metadata!X393,"restricted access"))),AND(IF(Metadata!X393="",FALSE,TRUE),OR(exact(Metadata!X393,"TRUE"),exact(Metadata!X393,"FALSE"))))</f>
        <v>0</v>
      </c>
      <c r="BK393">
        <f>AND(IF(Metadata!Y393="",FALSE,TRUE),exact(Metadata!Y393,"other"))</f>
        <v>0</v>
      </c>
      <c r="BL393">
        <f>IF(Metadata!Z393="",FALSE,TRUE)</f>
        <v>0</v>
      </c>
      <c r="BM393">
        <f>OR(AND(IF(Metadata!AA393="",FALSE,TRUE),OR(exact(Metadata!AA393,"not collected"),exact(Metadata!AA393,"not provided"))),AND(IF(Metadata!AA393="",FALSE,IF(ISERROR(INT(Metadata!AA393)),FALSE,INT(Metadata!AA393)=Metadata!AA393)),Metadata!AA393&gt;0))</f>
        <v>0</v>
      </c>
      <c r="BN393">
        <f>AND(IF(Metadata!AB393="",FALSE,TRUE),exact(Metadata!AB393,"Not applicable"))</f>
        <v>0</v>
      </c>
      <c r="BO393">
        <f>IF(Metadata!AC393="",FALSE,TRUE)</f>
        <v>0</v>
      </c>
    </row>
    <row r="394" spans="1:67">
      <c r="A394" s="5">
        <f>IF(B394=" "," ",HYPERLINK(CONCATENATE("#metadata!",ADDRESS(INDEX($AI$2:$AI$1001,MATCH(ROWS($AG$2:AG394),$AG$2:$AG$1001,0),0),1)),INDEX($AL$2:$AL$1001,MATCH(ROWS($AG$2:AG394),$AG$2:$AG$1001,0),0)))</f>
        <v>0</v>
      </c>
      <c r="B394" s="4">
        <f>IF(OR(INDEX($AH$2:$AH$1001,MATCH(ROWS($AG$2:AG394),$AG$2:$AG$1001,0),1)&gt;=100000,INDEX($AN$1005:$BO$1005,1,MATCH(COLUMNS($AN$1006:AN1006),$AN$1006:$BO$1006,0))&gt;=100000), " ",IF(INDEX($AN$2:$BO$1001,MATCH(ROWS($AG$2:AG394),$AG$2:$AG$1001,0),MATCH(COLUMNS($AN$1006:AN1006),$AN$1006:$BO$1006,0)), HYPERLINK("#",""), HYPERLINK(CONCATENATE("#Metadata!", ADDRESS(INDEX($AI$2:$AI$1001,MATCH(ROWS($AG$2:AG394),$AG$2:$AG$1001,0),0), INDEX($AN$1004:$BO$1004,1,MATCH(COLUMNS($AN$1006:AN1006),$AN$1006:$BO$1006,0)))),"Fix")))</f>
        <v>0</v>
      </c>
      <c r="C394" s="4">
        <f>IF(OR(INDEX($AH$2:$AH$1001,MATCH(ROWS($AG$2:AG394),$AG$2:$AG$1001,0),1)&gt;=100000,INDEX($AN$1005:$BO$1005,1,MATCH(COLUMNS($AN$1006:AO1006),$AN$1006:$BO$1006,0))&gt;=100000), " ",IF(INDEX($AN$2:$BO$1001,MATCH(ROWS($AG$2:AG394),$AG$2:$AG$1001,0),MATCH(COLUMNS($AN$1006:AO1006),$AN$1006:$BO$1006,0)), HYPERLINK("#",""), HYPERLINK(CONCATENATE("#Metadata!", ADDRESS(INDEX($AI$2:$AI$1001,MATCH(ROWS($AG$2:AG394),$AG$2:$AG$1001,0),0), INDEX($AN$1004:$BO$1004,1,MATCH(COLUMNS($AN$1006:AO1006),$AN$1006:$BO$1006,0)))),"Fix")))</f>
        <v>0</v>
      </c>
      <c r="D394" s="4">
        <f>IF(OR(INDEX($AH$2:$AH$1001,MATCH(ROWS($AG$2:AG394),$AG$2:$AG$1001,0),1)&gt;=100000,INDEX($AN$1005:$BO$1005,1,MATCH(COLUMNS($AN$1006:AP1006),$AN$1006:$BO$1006,0))&gt;=100000), " ",IF(INDEX($AN$2:$BO$1001,MATCH(ROWS($AG$2:AG394),$AG$2:$AG$1001,0),MATCH(COLUMNS($AN$1006:AP1006),$AN$1006:$BO$1006,0)), HYPERLINK("#",""), HYPERLINK(CONCATENATE("#Metadata!", ADDRESS(INDEX($AI$2:$AI$1001,MATCH(ROWS($AG$2:AG394),$AG$2:$AG$1001,0),0), INDEX($AN$1004:$BO$1004,1,MATCH(COLUMNS($AN$1006:AP1006),$AN$1006:$BO$1006,0)))),"Fix")))</f>
        <v>0</v>
      </c>
      <c r="E394" s="4">
        <f>IF(OR(INDEX($AH$2:$AH$1001,MATCH(ROWS($AG$2:AG394),$AG$2:$AG$1001,0),1)&gt;=100000,INDEX($AN$1005:$BO$1005,1,MATCH(COLUMNS($AN$1006:AQ1006),$AN$1006:$BO$1006,0))&gt;=100000), " ",IF(INDEX($AN$2:$BO$1001,MATCH(ROWS($AG$2:AG394),$AG$2:$AG$1001,0),MATCH(COLUMNS($AN$1006:AQ1006),$AN$1006:$BO$1006,0)), HYPERLINK("#",""), HYPERLINK(CONCATENATE("#Metadata!", ADDRESS(INDEX($AI$2:$AI$1001,MATCH(ROWS($AG$2:AG394),$AG$2:$AG$1001,0),0), INDEX($AN$1004:$BO$1004,1,MATCH(COLUMNS($AN$1006:AQ1006),$AN$1006:$BO$1006,0)))),"Fix")))</f>
        <v>0</v>
      </c>
      <c r="F394" s="4">
        <f>IF(OR(INDEX($AH$2:$AH$1001,MATCH(ROWS($AG$2:AG394),$AG$2:$AG$1001,0),1)&gt;=100000,INDEX($AN$1005:$BO$1005,1,MATCH(COLUMNS($AN$1006:AR1006),$AN$1006:$BO$1006,0))&gt;=100000), " ",IF(INDEX($AN$2:$BO$1001,MATCH(ROWS($AG$2:AG394),$AG$2:$AG$1001,0),MATCH(COLUMNS($AN$1006:AR1006),$AN$1006:$BO$1006,0)), HYPERLINK("#",""), HYPERLINK(CONCATENATE("#Metadata!", ADDRESS(INDEX($AI$2:$AI$1001,MATCH(ROWS($AG$2:AG394),$AG$2:$AG$1001,0),0), INDEX($AN$1004:$BO$1004,1,MATCH(COLUMNS($AN$1006:AR1006),$AN$1006:$BO$1006,0)))),"Fix")))</f>
        <v>0</v>
      </c>
      <c r="G394" s="4">
        <f>IF(OR(INDEX($AH$2:$AH$1001,MATCH(ROWS($AG$2:AG394),$AG$2:$AG$1001,0),1)&gt;=100000,INDEX($AN$1005:$BO$1005,1,MATCH(COLUMNS($AN$1006:AS1006),$AN$1006:$BO$1006,0))&gt;=100000), " ",IF(INDEX($AN$2:$BO$1001,MATCH(ROWS($AG$2:AG394),$AG$2:$AG$1001,0),MATCH(COLUMNS($AN$1006:AS1006),$AN$1006:$BO$1006,0)), HYPERLINK("#",""), HYPERLINK(CONCATENATE("#Metadata!", ADDRESS(INDEX($AI$2:$AI$1001,MATCH(ROWS($AG$2:AG394),$AG$2:$AG$1001,0),0), INDEX($AN$1004:$BO$1004,1,MATCH(COLUMNS($AN$1006:AS1006),$AN$1006:$BO$1006,0)))),"Fix")))</f>
        <v>0</v>
      </c>
      <c r="H394" s="4">
        <f>IF(OR(INDEX($AH$2:$AH$1001,MATCH(ROWS($AG$2:AG394),$AG$2:$AG$1001,0),1)&gt;=100000,INDEX($AN$1005:$BO$1005,1,MATCH(COLUMNS($AN$1006:AT1006),$AN$1006:$BO$1006,0))&gt;=100000), " ",IF(INDEX($AN$2:$BO$1001,MATCH(ROWS($AG$2:AG394),$AG$2:$AG$1001,0),MATCH(COLUMNS($AN$1006:AT1006),$AN$1006:$BO$1006,0)), HYPERLINK("#",""), HYPERLINK(CONCATENATE("#Metadata!", ADDRESS(INDEX($AI$2:$AI$1001,MATCH(ROWS($AG$2:AG394),$AG$2:$AG$1001,0),0), INDEX($AN$1004:$BO$1004,1,MATCH(COLUMNS($AN$1006:AT1006),$AN$1006:$BO$1006,0)))),"Fix")))</f>
        <v>0</v>
      </c>
      <c r="I394" s="4">
        <f>IF(OR(INDEX($AH$2:$AH$1001,MATCH(ROWS($AG$2:AG394),$AG$2:$AG$1001,0),1)&gt;=100000,INDEX($AN$1005:$BO$1005,1,MATCH(COLUMNS($AN$1006:AU1006),$AN$1006:$BO$1006,0))&gt;=100000), " ",IF(INDEX($AN$2:$BO$1001,MATCH(ROWS($AG$2:AG394),$AG$2:$AG$1001,0),MATCH(COLUMNS($AN$1006:AU1006),$AN$1006:$BO$1006,0)), HYPERLINK("#",""), HYPERLINK(CONCATENATE("#Metadata!", ADDRESS(INDEX($AI$2:$AI$1001,MATCH(ROWS($AG$2:AG394),$AG$2:$AG$1001,0),0), INDEX($AN$1004:$BO$1004,1,MATCH(COLUMNS($AN$1006:AU1006),$AN$1006:$BO$1006,0)))),"Fix")))</f>
        <v>0</v>
      </c>
      <c r="J394" s="4">
        <f>IF(OR(INDEX($AH$2:$AH$1001,MATCH(ROWS($AG$2:AG394),$AG$2:$AG$1001,0),1)&gt;=100000,INDEX($AN$1005:$BO$1005,1,MATCH(COLUMNS($AN$1006:AV1006),$AN$1006:$BO$1006,0))&gt;=100000), " ",IF(INDEX($AN$2:$BO$1001,MATCH(ROWS($AG$2:AG394),$AG$2:$AG$1001,0),MATCH(COLUMNS($AN$1006:AV1006),$AN$1006:$BO$1006,0)), HYPERLINK("#",""), HYPERLINK(CONCATENATE("#Metadata!", ADDRESS(INDEX($AI$2:$AI$1001,MATCH(ROWS($AG$2:AG394),$AG$2:$AG$1001,0),0), INDEX($AN$1004:$BO$1004,1,MATCH(COLUMNS($AN$1006:AV1006),$AN$1006:$BO$1006,0)))),"Fix")))</f>
        <v>0</v>
      </c>
      <c r="K394" s="4">
        <f>IF(OR(INDEX($AH$2:$AH$1001,MATCH(ROWS($AG$2:AG394),$AG$2:$AG$1001,0),1)&gt;=100000,INDEX($AN$1005:$BO$1005,1,MATCH(COLUMNS($AN$1006:AW1006),$AN$1006:$BO$1006,0))&gt;=100000), " ",IF(INDEX($AN$2:$BO$1001,MATCH(ROWS($AG$2:AG394),$AG$2:$AG$1001,0),MATCH(COLUMNS($AN$1006:AW1006),$AN$1006:$BO$1006,0)), HYPERLINK("#",""), HYPERLINK(CONCATENATE("#Metadata!", ADDRESS(INDEX($AI$2:$AI$1001,MATCH(ROWS($AG$2:AG394),$AG$2:$AG$1001,0),0), INDEX($AN$1004:$BO$1004,1,MATCH(COLUMNS($AN$1006:AW1006),$AN$1006:$BO$1006,0)))),"Fix")))</f>
        <v>0</v>
      </c>
      <c r="L394" s="4">
        <f>IF(OR(INDEX($AH$2:$AH$1001,MATCH(ROWS($AG$2:AG394),$AG$2:$AG$1001,0),1)&gt;=100000,INDEX($AN$1005:$BO$1005,1,MATCH(COLUMNS($AN$1006:AX1006),$AN$1006:$BO$1006,0))&gt;=100000), " ",IF(INDEX($AN$2:$BO$1001,MATCH(ROWS($AG$2:AG394),$AG$2:$AG$1001,0),MATCH(COLUMNS($AN$1006:AX1006),$AN$1006:$BO$1006,0)), HYPERLINK("#",""), HYPERLINK(CONCATENATE("#Metadata!", ADDRESS(INDEX($AI$2:$AI$1001,MATCH(ROWS($AG$2:AG394),$AG$2:$AG$1001,0),0), INDEX($AN$1004:$BO$1004,1,MATCH(COLUMNS($AN$1006:AX1006),$AN$1006:$BO$1006,0)))),"Fix")))</f>
        <v>0</v>
      </c>
      <c r="M394" s="4">
        <f>IF(OR(INDEX($AH$2:$AH$1001,MATCH(ROWS($AG$2:AG394),$AG$2:$AG$1001,0),1)&gt;=100000,INDEX($AN$1005:$BO$1005,1,MATCH(COLUMNS($AN$1006:AY1006),$AN$1006:$BO$1006,0))&gt;=100000), " ",IF(INDEX($AN$2:$BO$1001,MATCH(ROWS($AG$2:AG394),$AG$2:$AG$1001,0),MATCH(COLUMNS($AN$1006:AY1006),$AN$1006:$BO$1006,0)), HYPERLINK("#",""), HYPERLINK(CONCATENATE("#Metadata!", ADDRESS(INDEX($AI$2:$AI$1001,MATCH(ROWS($AG$2:AG394),$AG$2:$AG$1001,0),0), INDEX($AN$1004:$BO$1004,1,MATCH(COLUMNS($AN$1006:AY1006),$AN$1006:$BO$1006,0)))),"Fix")))</f>
        <v>0</v>
      </c>
      <c r="N394" s="4">
        <f>IF(OR(INDEX($AH$2:$AH$1001,MATCH(ROWS($AG$2:AG394),$AG$2:$AG$1001,0),1)&gt;=100000,INDEX($AN$1005:$BO$1005,1,MATCH(COLUMNS($AN$1006:AZ1006),$AN$1006:$BO$1006,0))&gt;=100000), " ",IF(INDEX($AN$2:$BO$1001,MATCH(ROWS($AG$2:AG394),$AG$2:$AG$1001,0),MATCH(COLUMNS($AN$1006:AZ1006),$AN$1006:$BO$1006,0)), HYPERLINK("#",""), HYPERLINK(CONCATENATE("#Metadata!", ADDRESS(INDEX($AI$2:$AI$1001,MATCH(ROWS($AG$2:AG394),$AG$2:$AG$1001,0),0), INDEX($AN$1004:$BO$1004,1,MATCH(COLUMNS($AN$1006:AZ1006),$AN$1006:$BO$1006,0)))),"Fix")))</f>
        <v>0</v>
      </c>
      <c r="O394" s="4">
        <f>IF(OR(INDEX($AH$2:$AH$1001,MATCH(ROWS($AG$2:AG394),$AG$2:$AG$1001,0),1)&gt;=100000,INDEX($AN$1005:$BO$1005,1,MATCH(COLUMNS($AN$1006:BA1006),$AN$1006:$BO$1006,0))&gt;=100000), " ",IF(INDEX($AN$2:$BO$1001,MATCH(ROWS($AG$2:AG394),$AG$2:$AG$1001,0),MATCH(COLUMNS($AN$1006:BA1006),$AN$1006:$BO$1006,0)), HYPERLINK("#",""), HYPERLINK(CONCATENATE("#Metadata!", ADDRESS(INDEX($AI$2:$AI$1001,MATCH(ROWS($AG$2:AG394),$AG$2:$AG$1001,0),0), INDEX($AN$1004:$BO$1004,1,MATCH(COLUMNS($AN$1006:BA1006),$AN$1006:$BO$1006,0)))),"Fix")))</f>
        <v>0</v>
      </c>
      <c r="P394" s="4">
        <f>IF(OR(INDEX($AH$2:$AH$1001,MATCH(ROWS($AG$2:AG394),$AG$2:$AG$1001,0),1)&gt;=100000,INDEX($AN$1005:$BO$1005,1,MATCH(COLUMNS($AN$1006:BB1006),$AN$1006:$BO$1006,0))&gt;=100000), " ",IF(INDEX($AN$2:$BO$1001,MATCH(ROWS($AG$2:AG394),$AG$2:$AG$1001,0),MATCH(COLUMNS($AN$1006:BB1006),$AN$1006:$BO$1006,0)), HYPERLINK("#",""), HYPERLINK(CONCATENATE("#Metadata!", ADDRESS(INDEX($AI$2:$AI$1001,MATCH(ROWS($AG$2:AG394),$AG$2:$AG$1001,0),0), INDEX($AN$1004:$BO$1004,1,MATCH(COLUMNS($AN$1006:BB1006),$AN$1006:$BO$1006,0)))),"Fix")))</f>
        <v>0</v>
      </c>
      <c r="Q394" s="4">
        <f>IF(OR(INDEX($AH$2:$AH$1001,MATCH(ROWS($AG$2:AG394),$AG$2:$AG$1001,0),1)&gt;=100000,INDEX($AN$1005:$BO$1005,1,MATCH(COLUMNS($AN$1006:BC1006),$AN$1006:$BO$1006,0))&gt;=100000), " ",IF(INDEX($AN$2:$BO$1001,MATCH(ROWS($AG$2:AG394),$AG$2:$AG$1001,0),MATCH(COLUMNS($AN$1006:BC1006),$AN$1006:$BO$1006,0)), HYPERLINK("#",""), HYPERLINK(CONCATENATE("#Metadata!", ADDRESS(INDEX($AI$2:$AI$1001,MATCH(ROWS($AG$2:AG394),$AG$2:$AG$1001,0),0), INDEX($AN$1004:$BO$1004,1,MATCH(COLUMNS($AN$1006:BC1006),$AN$1006:$BO$1006,0)))),"Fix")))</f>
        <v>0</v>
      </c>
      <c r="R394" s="4">
        <f>IF(OR(INDEX($AH$2:$AH$1001,MATCH(ROWS($AG$2:AG394),$AG$2:$AG$1001,0),1)&gt;=100000,INDEX($AN$1005:$BO$1005,1,MATCH(COLUMNS($AN$1006:BD1006),$AN$1006:$BO$1006,0))&gt;=100000), " ",IF(INDEX($AN$2:$BO$1001,MATCH(ROWS($AG$2:AG394),$AG$2:$AG$1001,0),MATCH(COLUMNS($AN$1006:BD1006),$AN$1006:$BO$1006,0)), HYPERLINK("#",""), HYPERLINK(CONCATENATE("#Metadata!", ADDRESS(INDEX($AI$2:$AI$1001,MATCH(ROWS($AG$2:AG394),$AG$2:$AG$1001,0),0), INDEX($AN$1004:$BO$1004,1,MATCH(COLUMNS($AN$1006:BD1006),$AN$1006:$BO$1006,0)))),"Fix")))</f>
        <v>0</v>
      </c>
      <c r="S394" s="4">
        <f>IF(OR(INDEX($AH$2:$AH$1001,MATCH(ROWS($AG$2:AG394),$AG$2:$AG$1001,0),1)&gt;=100000,INDEX($AN$1005:$BO$1005,1,MATCH(COLUMNS($AN$1006:BE1006),$AN$1006:$BO$1006,0))&gt;=100000), " ",IF(INDEX($AN$2:$BO$1001,MATCH(ROWS($AG$2:AG394),$AG$2:$AG$1001,0),MATCH(COLUMNS($AN$1006:BE1006),$AN$1006:$BO$1006,0)), HYPERLINK("#",""), HYPERLINK(CONCATENATE("#Metadata!", ADDRESS(INDEX($AI$2:$AI$1001,MATCH(ROWS($AG$2:AG394),$AG$2:$AG$1001,0),0), INDEX($AN$1004:$BO$1004,1,MATCH(COLUMNS($AN$1006:BE1006),$AN$1006:$BO$1006,0)))),"Fix")))</f>
        <v>0</v>
      </c>
      <c r="T394" s="4">
        <f>IF(OR(INDEX($AH$2:$AH$1001,MATCH(ROWS($AG$2:AG394),$AG$2:$AG$1001,0),1)&gt;=100000,INDEX($AN$1005:$BO$1005,1,MATCH(COLUMNS($AN$1006:BF1006),$AN$1006:$BO$1006,0))&gt;=100000), " ",IF(INDEX($AN$2:$BO$1001,MATCH(ROWS($AG$2:AG394),$AG$2:$AG$1001,0),MATCH(COLUMNS($AN$1006:BF1006),$AN$1006:$BO$1006,0)), HYPERLINK("#",""), HYPERLINK(CONCATENATE("#Metadata!", ADDRESS(INDEX($AI$2:$AI$1001,MATCH(ROWS($AG$2:AG394),$AG$2:$AG$1001,0),0), INDEX($AN$1004:$BO$1004,1,MATCH(COLUMNS($AN$1006:BF1006),$AN$1006:$BO$1006,0)))),"Fix")))</f>
        <v>0</v>
      </c>
      <c r="U394" s="4">
        <f>IF(OR(INDEX($AH$2:$AH$1001,MATCH(ROWS($AG$2:AG394),$AG$2:$AG$1001,0),1)&gt;=100000,INDEX($AN$1005:$BO$1005,1,MATCH(COLUMNS($AN$1006:BG1006),$AN$1006:$BO$1006,0))&gt;=100000), " ",IF(INDEX($AN$2:$BO$1001,MATCH(ROWS($AG$2:AG394),$AG$2:$AG$1001,0),MATCH(COLUMNS($AN$1006:BG1006),$AN$1006:$BO$1006,0)), HYPERLINK("#",""), HYPERLINK(CONCATENATE("#Metadata!", ADDRESS(INDEX($AI$2:$AI$1001,MATCH(ROWS($AG$2:AG394),$AG$2:$AG$1001,0),0), INDEX($AN$1004:$BO$1004,1,MATCH(COLUMNS($AN$1006:BG1006),$AN$1006:$BO$1006,0)))),"Fix")))</f>
        <v>0</v>
      </c>
      <c r="V394" s="4">
        <f>IF(OR(INDEX($AH$2:$AH$1001,MATCH(ROWS($AG$2:AG394),$AG$2:$AG$1001,0),1)&gt;=100000,INDEX($AN$1005:$BO$1005,1,MATCH(COLUMNS($AN$1006:BH1006),$AN$1006:$BO$1006,0))&gt;=100000), " ",IF(INDEX($AN$2:$BO$1001,MATCH(ROWS($AG$2:AG394),$AG$2:$AG$1001,0),MATCH(COLUMNS($AN$1006:BH1006),$AN$1006:$BO$1006,0)), HYPERLINK("#",""), HYPERLINK(CONCATENATE("#Metadata!", ADDRESS(INDEX($AI$2:$AI$1001,MATCH(ROWS($AG$2:AG394),$AG$2:$AG$1001,0),0), INDEX($AN$1004:$BO$1004,1,MATCH(COLUMNS($AN$1006:BH1006),$AN$1006:$BO$1006,0)))),"Fix")))</f>
        <v>0</v>
      </c>
      <c r="W394" s="4">
        <f>IF(OR(INDEX($AH$2:$AH$1001,MATCH(ROWS($AG$2:AG394),$AG$2:$AG$1001,0),1)&gt;=100000,INDEX($AN$1005:$BO$1005,1,MATCH(COLUMNS($AN$1006:BI1006),$AN$1006:$BO$1006,0))&gt;=100000), " ",IF(INDEX($AN$2:$BO$1001,MATCH(ROWS($AG$2:AG394),$AG$2:$AG$1001,0),MATCH(COLUMNS($AN$1006:BI1006),$AN$1006:$BO$1006,0)), HYPERLINK("#",""), HYPERLINK(CONCATENATE("#Metadata!", ADDRESS(INDEX($AI$2:$AI$1001,MATCH(ROWS($AG$2:AG394),$AG$2:$AG$1001,0),0), INDEX($AN$1004:$BO$1004,1,MATCH(COLUMNS($AN$1006:BI1006),$AN$1006:$BO$1006,0)))),"Fix")))</f>
        <v>0</v>
      </c>
      <c r="X394" s="4">
        <f>IF(OR(INDEX($AH$2:$AH$1001,MATCH(ROWS($AG$2:AG394),$AG$2:$AG$1001,0),1)&gt;=100000,INDEX($AN$1005:$BO$1005,1,MATCH(COLUMNS($AN$1006:BJ1006),$AN$1006:$BO$1006,0))&gt;=100000), " ",IF(INDEX($AN$2:$BO$1001,MATCH(ROWS($AG$2:AG394),$AG$2:$AG$1001,0),MATCH(COLUMNS($AN$1006:BJ1006),$AN$1006:$BO$1006,0)), HYPERLINK("#",""), HYPERLINK(CONCATENATE("#Metadata!", ADDRESS(INDEX($AI$2:$AI$1001,MATCH(ROWS($AG$2:AG394),$AG$2:$AG$1001,0),0), INDEX($AN$1004:$BO$1004,1,MATCH(COLUMNS($AN$1006:BJ1006),$AN$1006:$BO$1006,0)))),"Fix")))</f>
        <v>0</v>
      </c>
      <c r="Y394" s="4">
        <f>IF(OR(INDEX($AH$2:$AH$1001,MATCH(ROWS($AG$2:AG394),$AG$2:$AG$1001,0),1)&gt;=100000,INDEX($AN$1005:$BO$1005,1,MATCH(COLUMNS($AN$1006:BK1006),$AN$1006:$BO$1006,0))&gt;=100000), " ",IF(INDEX($AN$2:$BO$1001,MATCH(ROWS($AG$2:AG394),$AG$2:$AG$1001,0),MATCH(COLUMNS($AN$1006:BK1006),$AN$1006:$BO$1006,0)), HYPERLINK("#",""), HYPERLINK(CONCATENATE("#Metadata!", ADDRESS(INDEX($AI$2:$AI$1001,MATCH(ROWS($AG$2:AG394),$AG$2:$AG$1001,0),0), INDEX($AN$1004:$BO$1004,1,MATCH(COLUMNS($AN$1006:BK1006),$AN$1006:$BO$1006,0)))),"Fix")))</f>
        <v>0</v>
      </c>
      <c r="Z394" s="4">
        <f>IF(OR(INDEX($AH$2:$AH$1001,MATCH(ROWS($AG$2:AG394),$AG$2:$AG$1001,0),1)&gt;=100000,INDEX($AN$1005:$BO$1005,1,MATCH(COLUMNS($AN$1006:BL1006),$AN$1006:$BO$1006,0))&gt;=100000), " ",IF(INDEX($AN$2:$BO$1001,MATCH(ROWS($AG$2:AG394),$AG$2:$AG$1001,0),MATCH(COLUMNS($AN$1006:BL1006),$AN$1006:$BO$1006,0)), HYPERLINK("#",""), HYPERLINK(CONCATENATE("#Metadata!", ADDRESS(INDEX($AI$2:$AI$1001,MATCH(ROWS($AG$2:AG394),$AG$2:$AG$1001,0),0), INDEX($AN$1004:$BO$1004,1,MATCH(COLUMNS($AN$1006:BL1006),$AN$1006:$BO$1006,0)))),"Fix")))</f>
        <v>0</v>
      </c>
      <c r="AA394" s="4">
        <f>IF(OR(INDEX($AH$2:$AH$1001,MATCH(ROWS($AG$2:AG394),$AG$2:$AG$1001,0),1)&gt;=100000,INDEX($AN$1005:$BO$1005,1,MATCH(COLUMNS($AN$1006:BM1006),$AN$1006:$BO$1006,0))&gt;=100000), " ",IF(INDEX($AN$2:$BO$1001,MATCH(ROWS($AG$2:AG394),$AG$2:$AG$1001,0),MATCH(COLUMNS($AN$1006:BM1006),$AN$1006:$BO$1006,0)), HYPERLINK("#",""), HYPERLINK(CONCATENATE("#Metadata!", ADDRESS(INDEX($AI$2:$AI$1001,MATCH(ROWS($AG$2:AG394),$AG$2:$AG$1001,0),0), INDEX($AN$1004:$BO$1004,1,MATCH(COLUMNS($AN$1006:BM1006),$AN$1006:$BO$1006,0)))),"Fix")))</f>
        <v>0</v>
      </c>
      <c r="AB394" s="4">
        <f>IF(OR(INDEX($AH$2:$AH$1001,MATCH(ROWS($AG$2:AG394),$AG$2:$AG$1001,0),1)&gt;=100000,INDEX($AN$1005:$BO$1005,1,MATCH(COLUMNS($AN$1006:BN1006),$AN$1006:$BO$1006,0))&gt;=100000), " ",IF(INDEX($AN$2:$BO$1001,MATCH(ROWS($AG$2:AG394),$AG$2:$AG$1001,0),MATCH(COLUMNS($AN$1006:BN1006),$AN$1006:$BO$1006,0)), HYPERLINK("#",""), HYPERLINK(CONCATENATE("#Metadata!", ADDRESS(INDEX($AI$2:$AI$1001,MATCH(ROWS($AG$2:AG394),$AG$2:$AG$1001,0),0), INDEX($AN$1004:$BO$1004,1,MATCH(COLUMNS($AN$1006:BN1006),$AN$1006:$BO$1006,0)))),"Fix")))</f>
        <v>0</v>
      </c>
      <c r="AC394" s="4">
        <f>IF(OR(INDEX($AH$2:$AH$1001,MATCH(ROWS($AG$2:AG394),$AG$2:$AG$1001,0),1)&gt;=100000,INDEX($AN$1005:$BO$1005,1,MATCH(COLUMNS($AN$1006:BO1006),$AN$1006:$BO$1006,0))&gt;=100000), " ",IF(INDEX($AN$2:$BO$1001,MATCH(ROWS($AG$2:AG394),$AG$2:$AG$1001,0),MATCH(COLUMNS($AN$1006:BO1006),$AN$1006:$BO$1006,0)), HYPERLINK("#",""), HYPERLINK(CONCATENATE("#Metadata!", ADDRESS(INDEX($AI$2:$AI$1001,MATCH(ROWS($AG$2:AG394),$AG$2:$AG$1001,0),0), INDEX($AN$1004:$BO$1004,1,MATCH(COLUMNS($AN$1006:BO1006),$AN$1006:$BO$1006,0)))),"Fix")))</f>
        <v>0</v>
      </c>
      <c r="AG394">
        <v>0</v>
      </c>
      <c r="AH394">
        <v>0</v>
      </c>
      <c r="AI394">
        <v>0</v>
      </c>
      <c r="AJ394">
        <f>IF(AK394,TRUE,AND(AN394:BO394))</f>
        <v>0</v>
      </c>
      <c r="AK394">
        <f>COUNTBLANK(Metadata!B394:AC394)=COLUMNS(Metadata!B394:AC394)</f>
        <v>0</v>
      </c>
      <c r="AL394">
        <v>0</v>
      </c>
      <c r="AN394">
        <f>AND(IF(Metadata!B394="",FALSE,TRUE),COUNTIF(Metadata!B:B, Metadata!B394) = 1,NOT(ISERROR(SUMPRODUCT(SEARCH(MID(Metadata!B394,ROW(INDIRECT("1:"&amp;LEN(Metadata!B394))), 1),"0123456789abcdefghijklmnopqrstuvwxyzABCDEFGHIJKLMNOPQRSTUVWXYZ.")))))</f>
        <v>0</v>
      </c>
      <c r="AO394">
        <f>IF(Metadata!C394="",FALSE,TRUE)</f>
        <v>0</v>
      </c>
      <c r="AP394">
        <f>IF(Metadata!D394="",FALSE,TRUE)</f>
        <v>0</v>
      </c>
      <c r="AQ394">
        <f>OR(AND(IF(Metadata!E394="",FALSE,TRUE),OR(exact(Metadata!E394,"not collected"),exact(Metadata!E394,"not provided"),exact(Metadata!E394,"restricted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R394">
        <f>IF(Metadata!F394="",FALSE,TRUE)</f>
        <v>0</v>
      </c>
      <c r="AS394">
        <f>OR(AND(IF(Metadata!G394="",FALSE,TRUE),OR(exact(Metadata!G394,"not collected"),exact(Metadata!G394,"not provided"))),AND(IF(Metadata!G394="",FALSE,TRUE),OR(exact(Metadata!G394,"TRUE"),exact(Metadata!G394,"FALSE"))))</f>
        <v>0</v>
      </c>
      <c r="AT394">
        <f>OR(AND(IF(Metadata!H394="",FALSE,TRUE),OR(exact(Metadata!H394,"not collected"),exact(Metadata!H394,"not provided"),exact(Metadata!H394,"restricted access"))),AND(IF(Metadata!H394="",FALSE,ISNUMBER(VALUE(Metadata!H394))),Metadata!H394&gt;=-413.0))</f>
        <v>0</v>
      </c>
      <c r="AU394">
        <f>AND(IF(Metadata!I394="",FALSE,TRUE),exact(Metadata!I394,"meters"))</f>
        <v>0</v>
      </c>
      <c r="AV394">
        <f>AND(IF(Metadata!J394="",FALSE,TRUE),OR(exact(Metadata!J394,"Host-associated"),exact(Metadata!J394,"Free-living")))</f>
        <v>0</v>
      </c>
      <c r="AW394">
        <f>AND(IF(Metadata!K394="",FALSE,TRUE),OR(exact(Metadata!K394,"Animal"),exact(Metadata!K394,"Fungus"),exact(Metadata!K394,"Plant"),exact(Metadata!K394,"Saline"),exact(Metadata!K394,"Non-saline")))</f>
        <v>0</v>
      </c>
      <c r="AX394">
        <f>AND(IF(Metadata!L394="",FALSE,TRUE),OR(exact(Metadata!L394,"Plant secretion"),exact(Metadata!L394,"Plant rhizosphere"),exact(Metadata!L394,"Plant surface"),exact(Metadata!L394,"Plant corpus"),exact(Metadata!L394,"Fungus surface"),exact(Metadata!L394,"Fungus corpus"),exact(Metadata!L394,"Animal surface"),exact(Metadata!L394,"Animal proximal gut"),exact(Metadata!L394,"Animal corpus"),exact(Metadata!L394,"Animal distal gut"),exact(Metadata!L394,"Animal secretion"),exact(Metadata!L394,"Sub-surface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Y394">
        <f>IF(Metadata!M394="",FALSE,TRUE)</f>
        <v>0</v>
      </c>
      <c r="AZ394">
        <f>IF(Metadata!N394="",FALSE,TRUE)</f>
        <v>0</v>
      </c>
      <c r="BA394">
        <f>IF(Metadata!O394="",FALSE,TRUE)</f>
        <v>0</v>
      </c>
      <c r="BB394">
        <f>OR(AND(IF(Metadata!P394="",FALSE,TRUE),OR(exact(Metadata!P394,"not collected"),exact(Metadata!P394,"not provided"),exact(Metadata!P394,"restricted access"))),AND(IF(Metadata!P394="",FALSE,TRUE),OR(exact(Metadata!P394,"air"),exact(Metadata!P394,"built environment"),exact(Metadata!P394,"host-associated"),exact(Metadata!P394,"human-associated"),exact(Metadata!P394,"human-skin"),exact(Metadata!P394,"human-oral"),exact(Metadata!P394,"human-gut"),exact(Metadata!P394,"human-vaginal"),exact(Metadata!P394,"microbial mat/biofilm"),exact(Metadata!P394,"misc environment"),exact(Metadata!P394,"plant-associated"),exact(Metadata!P394,"sediment"),exact(Metadata!P394,"soil"),exact(Metadata!P394,"wastewater/sludge"),exact(Metadata!P394,"water"))))</f>
        <v>0</v>
      </c>
      <c r="BC394">
        <f>IF(Metadata!Q394="",FALSE,TRUE)</f>
        <v>0</v>
      </c>
      <c r="BD394">
        <f>IF(Metadata!R394="",FALSE,TRUE)</f>
        <v>0</v>
      </c>
      <c r="BE394">
        <f>OR(AND(IF(Metadata!S394="",FALSE,TRUE),OR(exact(Metadata!S394,"not collected"),exact(Metadata!S394,"not provided"),exact(Metadata!S394,"restricted access"))),AND(IF(Metadata!S394="",FALSE,ISNUMBER(VALUE(Metadata!S394))),Metadata!S394&gt;=-90.00,Metadata!S394&lt;=90.00))</f>
        <v>0</v>
      </c>
      <c r="BF394">
        <f>AND(IF(Metadata!T394="",FALSE,TRUE),exact(Metadata!T394,"Decimal degrees"))</f>
        <v>0</v>
      </c>
      <c r="BG394">
        <f>OR(AND(IF(Metadata!U394="",FALSE,TRUE),OR(exact(Metadata!U394,"not collected"),exact(Metadata!U394,"not provided"),exact(Metadata!U394,"restricted access"))),AND(IF(Metadata!U394="",FALSE,ISNUMBER(VALUE(Metadata!U394))),Metadata!U394&gt;=-180.00,Metadata!U394&lt;=180.00))</f>
        <v>0</v>
      </c>
      <c r="BH394">
        <f>AND(IF(Metadata!V394="",FALSE,TRUE),exact(Metadata!V394,"Decimal degrees"))</f>
        <v>0</v>
      </c>
      <c r="BI394">
        <f>IF(Metadata!W394="",FALSE,TRUE)</f>
        <v>0</v>
      </c>
      <c r="BJ394">
        <f>OR(AND(IF(Metadata!X394="",FALSE,TRUE),OR(exact(Metadata!X394,"not collected"),exact(Metadata!X394,"not provided"),exact(Metadata!X394,"restricted access"))),AND(IF(Metadata!X394="",FALSE,TRUE),OR(exact(Metadata!X394,"TRUE"),exact(Metadata!X394,"FALSE"))))</f>
        <v>0</v>
      </c>
      <c r="BK394">
        <f>AND(IF(Metadata!Y394="",FALSE,TRUE),exact(Metadata!Y394,"other"))</f>
        <v>0</v>
      </c>
      <c r="BL394">
        <f>IF(Metadata!Z394="",FALSE,TRUE)</f>
        <v>0</v>
      </c>
      <c r="BM394">
        <f>OR(AND(IF(Metadata!AA394="",FALSE,TRUE),OR(exact(Metadata!AA394,"not collected"),exact(Metadata!AA394,"not provided"))),AND(IF(Metadata!AA394="",FALSE,IF(ISERROR(INT(Metadata!AA394)),FALSE,INT(Metadata!AA394)=Metadata!AA394)),Metadata!AA394&gt;0))</f>
        <v>0</v>
      </c>
      <c r="BN394">
        <f>AND(IF(Metadata!AB394="",FALSE,TRUE),exact(Metadata!AB394,"Not applicable"))</f>
        <v>0</v>
      </c>
      <c r="BO394">
        <f>IF(Metadata!AC394="",FALSE,TRUE)</f>
        <v>0</v>
      </c>
    </row>
    <row r="395" spans="1:67">
      <c r="A395" s="5">
        <f>IF(B395=" "," ",HYPERLINK(CONCATENATE("#metadata!",ADDRESS(INDEX($AI$2:$AI$1001,MATCH(ROWS($AG$2:AG395),$AG$2:$AG$1001,0),0),1)),INDEX($AL$2:$AL$1001,MATCH(ROWS($AG$2:AG395),$AG$2:$AG$1001,0),0)))</f>
        <v>0</v>
      </c>
      <c r="B395" s="4">
        <f>IF(OR(INDEX($AH$2:$AH$1001,MATCH(ROWS($AG$2:AG395),$AG$2:$AG$1001,0),1)&gt;=100000,INDEX($AN$1005:$BO$1005,1,MATCH(COLUMNS($AN$1006:AN1006),$AN$1006:$BO$1006,0))&gt;=100000), " ",IF(INDEX($AN$2:$BO$1001,MATCH(ROWS($AG$2:AG395),$AG$2:$AG$1001,0),MATCH(COLUMNS($AN$1006:AN1006),$AN$1006:$BO$1006,0)), HYPERLINK("#",""), HYPERLINK(CONCATENATE("#Metadata!", ADDRESS(INDEX($AI$2:$AI$1001,MATCH(ROWS($AG$2:AG395),$AG$2:$AG$1001,0),0), INDEX($AN$1004:$BO$1004,1,MATCH(COLUMNS($AN$1006:AN1006),$AN$1006:$BO$1006,0)))),"Fix")))</f>
        <v>0</v>
      </c>
      <c r="C395" s="4">
        <f>IF(OR(INDEX($AH$2:$AH$1001,MATCH(ROWS($AG$2:AG395),$AG$2:$AG$1001,0),1)&gt;=100000,INDEX($AN$1005:$BO$1005,1,MATCH(COLUMNS($AN$1006:AO1006),$AN$1006:$BO$1006,0))&gt;=100000), " ",IF(INDEX($AN$2:$BO$1001,MATCH(ROWS($AG$2:AG395),$AG$2:$AG$1001,0),MATCH(COLUMNS($AN$1006:AO1006),$AN$1006:$BO$1006,0)), HYPERLINK("#",""), HYPERLINK(CONCATENATE("#Metadata!", ADDRESS(INDEX($AI$2:$AI$1001,MATCH(ROWS($AG$2:AG395),$AG$2:$AG$1001,0),0), INDEX($AN$1004:$BO$1004,1,MATCH(COLUMNS($AN$1006:AO1006),$AN$1006:$BO$1006,0)))),"Fix")))</f>
        <v>0</v>
      </c>
      <c r="D395" s="4">
        <f>IF(OR(INDEX($AH$2:$AH$1001,MATCH(ROWS($AG$2:AG395),$AG$2:$AG$1001,0),1)&gt;=100000,INDEX($AN$1005:$BO$1005,1,MATCH(COLUMNS($AN$1006:AP1006),$AN$1006:$BO$1006,0))&gt;=100000), " ",IF(INDEX($AN$2:$BO$1001,MATCH(ROWS($AG$2:AG395),$AG$2:$AG$1001,0),MATCH(COLUMNS($AN$1006:AP1006),$AN$1006:$BO$1006,0)), HYPERLINK("#",""), HYPERLINK(CONCATENATE("#Metadata!", ADDRESS(INDEX($AI$2:$AI$1001,MATCH(ROWS($AG$2:AG395),$AG$2:$AG$1001,0),0), INDEX($AN$1004:$BO$1004,1,MATCH(COLUMNS($AN$1006:AP1006),$AN$1006:$BO$1006,0)))),"Fix")))</f>
        <v>0</v>
      </c>
      <c r="E395" s="4">
        <f>IF(OR(INDEX($AH$2:$AH$1001,MATCH(ROWS($AG$2:AG395),$AG$2:$AG$1001,0),1)&gt;=100000,INDEX($AN$1005:$BO$1005,1,MATCH(COLUMNS($AN$1006:AQ1006),$AN$1006:$BO$1006,0))&gt;=100000), " ",IF(INDEX($AN$2:$BO$1001,MATCH(ROWS($AG$2:AG395),$AG$2:$AG$1001,0),MATCH(COLUMNS($AN$1006:AQ1006),$AN$1006:$BO$1006,0)), HYPERLINK("#",""), HYPERLINK(CONCATENATE("#Metadata!", ADDRESS(INDEX($AI$2:$AI$1001,MATCH(ROWS($AG$2:AG395),$AG$2:$AG$1001,0),0), INDEX($AN$1004:$BO$1004,1,MATCH(COLUMNS($AN$1006:AQ1006),$AN$1006:$BO$1006,0)))),"Fix")))</f>
        <v>0</v>
      </c>
      <c r="F395" s="4">
        <f>IF(OR(INDEX($AH$2:$AH$1001,MATCH(ROWS($AG$2:AG395),$AG$2:$AG$1001,0),1)&gt;=100000,INDEX($AN$1005:$BO$1005,1,MATCH(COLUMNS($AN$1006:AR1006),$AN$1006:$BO$1006,0))&gt;=100000), " ",IF(INDEX($AN$2:$BO$1001,MATCH(ROWS($AG$2:AG395),$AG$2:$AG$1001,0),MATCH(COLUMNS($AN$1006:AR1006),$AN$1006:$BO$1006,0)), HYPERLINK("#",""), HYPERLINK(CONCATENATE("#Metadata!", ADDRESS(INDEX($AI$2:$AI$1001,MATCH(ROWS($AG$2:AG395),$AG$2:$AG$1001,0),0), INDEX($AN$1004:$BO$1004,1,MATCH(COLUMNS($AN$1006:AR1006),$AN$1006:$BO$1006,0)))),"Fix")))</f>
        <v>0</v>
      </c>
      <c r="G395" s="4">
        <f>IF(OR(INDEX($AH$2:$AH$1001,MATCH(ROWS($AG$2:AG395),$AG$2:$AG$1001,0),1)&gt;=100000,INDEX($AN$1005:$BO$1005,1,MATCH(COLUMNS($AN$1006:AS1006),$AN$1006:$BO$1006,0))&gt;=100000), " ",IF(INDEX($AN$2:$BO$1001,MATCH(ROWS($AG$2:AG395),$AG$2:$AG$1001,0),MATCH(COLUMNS($AN$1006:AS1006),$AN$1006:$BO$1006,0)), HYPERLINK("#",""), HYPERLINK(CONCATENATE("#Metadata!", ADDRESS(INDEX($AI$2:$AI$1001,MATCH(ROWS($AG$2:AG395),$AG$2:$AG$1001,0),0), INDEX($AN$1004:$BO$1004,1,MATCH(COLUMNS($AN$1006:AS1006),$AN$1006:$BO$1006,0)))),"Fix")))</f>
        <v>0</v>
      </c>
      <c r="H395" s="4">
        <f>IF(OR(INDEX($AH$2:$AH$1001,MATCH(ROWS($AG$2:AG395),$AG$2:$AG$1001,0),1)&gt;=100000,INDEX($AN$1005:$BO$1005,1,MATCH(COLUMNS($AN$1006:AT1006),$AN$1006:$BO$1006,0))&gt;=100000), " ",IF(INDEX($AN$2:$BO$1001,MATCH(ROWS($AG$2:AG395),$AG$2:$AG$1001,0),MATCH(COLUMNS($AN$1006:AT1006),$AN$1006:$BO$1006,0)), HYPERLINK("#",""), HYPERLINK(CONCATENATE("#Metadata!", ADDRESS(INDEX($AI$2:$AI$1001,MATCH(ROWS($AG$2:AG395),$AG$2:$AG$1001,0),0), INDEX($AN$1004:$BO$1004,1,MATCH(COLUMNS($AN$1006:AT1006),$AN$1006:$BO$1006,0)))),"Fix")))</f>
        <v>0</v>
      </c>
      <c r="I395" s="4">
        <f>IF(OR(INDEX($AH$2:$AH$1001,MATCH(ROWS($AG$2:AG395),$AG$2:$AG$1001,0),1)&gt;=100000,INDEX($AN$1005:$BO$1005,1,MATCH(COLUMNS($AN$1006:AU1006),$AN$1006:$BO$1006,0))&gt;=100000), " ",IF(INDEX($AN$2:$BO$1001,MATCH(ROWS($AG$2:AG395),$AG$2:$AG$1001,0),MATCH(COLUMNS($AN$1006:AU1006),$AN$1006:$BO$1006,0)), HYPERLINK("#",""), HYPERLINK(CONCATENATE("#Metadata!", ADDRESS(INDEX($AI$2:$AI$1001,MATCH(ROWS($AG$2:AG395),$AG$2:$AG$1001,0),0), INDEX($AN$1004:$BO$1004,1,MATCH(COLUMNS($AN$1006:AU1006),$AN$1006:$BO$1006,0)))),"Fix")))</f>
        <v>0</v>
      </c>
      <c r="J395" s="4">
        <f>IF(OR(INDEX($AH$2:$AH$1001,MATCH(ROWS($AG$2:AG395),$AG$2:$AG$1001,0),1)&gt;=100000,INDEX($AN$1005:$BO$1005,1,MATCH(COLUMNS($AN$1006:AV1006),$AN$1006:$BO$1006,0))&gt;=100000), " ",IF(INDEX($AN$2:$BO$1001,MATCH(ROWS($AG$2:AG395),$AG$2:$AG$1001,0),MATCH(COLUMNS($AN$1006:AV1006),$AN$1006:$BO$1006,0)), HYPERLINK("#",""), HYPERLINK(CONCATENATE("#Metadata!", ADDRESS(INDEX($AI$2:$AI$1001,MATCH(ROWS($AG$2:AG395),$AG$2:$AG$1001,0),0), INDEX($AN$1004:$BO$1004,1,MATCH(COLUMNS($AN$1006:AV1006),$AN$1006:$BO$1006,0)))),"Fix")))</f>
        <v>0</v>
      </c>
      <c r="K395" s="4">
        <f>IF(OR(INDEX($AH$2:$AH$1001,MATCH(ROWS($AG$2:AG395),$AG$2:$AG$1001,0),1)&gt;=100000,INDEX($AN$1005:$BO$1005,1,MATCH(COLUMNS($AN$1006:AW1006),$AN$1006:$BO$1006,0))&gt;=100000), " ",IF(INDEX($AN$2:$BO$1001,MATCH(ROWS($AG$2:AG395),$AG$2:$AG$1001,0),MATCH(COLUMNS($AN$1006:AW1006),$AN$1006:$BO$1006,0)), HYPERLINK("#",""), HYPERLINK(CONCATENATE("#Metadata!", ADDRESS(INDEX($AI$2:$AI$1001,MATCH(ROWS($AG$2:AG395),$AG$2:$AG$1001,0),0), INDEX($AN$1004:$BO$1004,1,MATCH(COLUMNS($AN$1006:AW1006),$AN$1006:$BO$1006,0)))),"Fix")))</f>
        <v>0</v>
      </c>
      <c r="L395" s="4">
        <f>IF(OR(INDEX($AH$2:$AH$1001,MATCH(ROWS($AG$2:AG395),$AG$2:$AG$1001,0),1)&gt;=100000,INDEX($AN$1005:$BO$1005,1,MATCH(COLUMNS($AN$1006:AX1006),$AN$1006:$BO$1006,0))&gt;=100000), " ",IF(INDEX($AN$2:$BO$1001,MATCH(ROWS($AG$2:AG395),$AG$2:$AG$1001,0),MATCH(COLUMNS($AN$1006:AX1006),$AN$1006:$BO$1006,0)), HYPERLINK("#",""), HYPERLINK(CONCATENATE("#Metadata!", ADDRESS(INDEX($AI$2:$AI$1001,MATCH(ROWS($AG$2:AG395),$AG$2:$AG$1001,0),0), INDEX($AN$1004:$BO$1004,1,MATCH(COLUMNS($AN$1006:AX1006),$AN$1006:$BO$1006,0)))),"Fix")))</f>
        <v>0</v>
      </c>
      <c r="M395" s="4">
        <f>IF(OR(INDEX($AH$2:$AH$1001,MATCH(ROWS($AG$2:AG395),$AG$2:$AG$1001,0),1)&gt;=100000,INDEX($AN$1005:$BO$1005,1,MATCH(COLUMNS($AN$1006:AY1006),$AN$1006:$BO$1006,0))&gt;=100000), " ",IF(INDEX($AN$2:$BO$1001,MATCH(ROWS($AG$2:AG395),$AG$2:$AG$1001,0),MATCH(COLUMNS($AN$1006:AY1006),$AN$1006:$BO$1006,0)), HYPERLINK("#",""), HYPERLINK(CONCATENATE("#Metadata!", ADDRESS(INDEX($AI$2:$AI$1001,MATCH(ROWS($AG$2:AG395),$AG$2:$AG$1001,0),0), INDEX($AN$1004:$BO$1004,1,MATCH(COLUMNS($AN$1006:AY1006),$AN$1006:$BO$1006,0)))),"Fix")))</f>
        <v>0</v>
      </c>
      <c r="N395" s="4">
        <f>IF(OR(INDEX($AH$2:$AH$1001,MATCH(ROWS($AG$2:AG395),$AG$2:$AG$1001,0),1)&gt;=100000,INDEX($AN$1005:$BO$1005,1,MATCH(COLUMNS($AN$1006:AZ1006),$AN$1006:$BO$1006,0))&gt;=100000), " ",IF(INDEX($AN$2:$BO$1001,MATCH(ROWS($AG$2:AG395),$AG$2:$AG$1001,0),MATCH(COLUMNS($AN$1006:AZ1006),$AN$1006:$BO$1006,0)), HYPERLINK("#",""), HYPERLINK(CONCATENATE("#Metadata!", ADDRESS(INDEX($AI$2:$AI$1001,MATCH(ROWS($AG$2:AG395),$AG$2:$AG$1001,0),0), INDEX($AN$1004:$BO$1004,1,MATCH(COLUMNS($AN$1006:AZ1006),$AN$1006:$BO$1006,0)))),"Fix")))</f>
        <v>0</v>
      </c>
      <c r="O395" s="4">
        <f>IF(OR(INDEX($AH$2:$AH$1001,MATCH(ROWS($AG$2:AG395),$AG$2:$AG$1001,0),1)&gt;=100000,INDEX($AN$1005:$BO$1005,1,MATCH(COLUMNS($AN$1006:BA1006),$AN$1006:$BO$1006,0))&gt;=100000), " ",IF(INDEX($AN$2:$BO$1001,MATCH(ROWS($AG$2:AG395),$AG$2:$AG$1001,0),MATCH(COLUMNS($AN$1006:BA1006),$AN$1006:$BO$1006,0)), HYPERLINK("#",""), HYPERLINK(CONCATENATE("#Metadata!", ADDRESS(INDEX($AI$2:$AI$1001,MATCH(ROWS($AG$2:AG395),$AG$2:$AG$1001,0),0), INDEX($AN$1004:$BO$1004,1,MATCH(COLUMNS($AN$1006:BA1006),$AN$1006:$BO$1006,0)))),"Fix")))</f>
        <v>0</v>
      </c>
      <c r="P395" s="4">
        <f>IF(OR(INDEX($AH$2:$AH$1001,MATCH(ROWS($AG$2:AG395),$AG$2:$AG$1001,0),1)&gt;=100000,INDEX($AN$1005:$BO$1005,1,MATCH(COLUMNS($AN$1006:BB1006),$AN$1006:$BO$1006,0))&gt;=100000), " ",IF(INDEX($AN$2:$BO$1001,MATCH(ROWS($AG$2:AG395),$AG$2:$AG$1001,0),MATCH(COLUMNS($AN$1006:BB1006),$AN$1006:$BO$1006,0)), HYPERLINK("#",""), HYPERLINK(CONCATENATE("#Metadata!", ADDRESS(INDEX($AI$2:$AI$1001,MATCH(ROWS($AG$2:AG395),$AG$2:$AG$1001,0),0), INDEX($AN$1004:$BO$1004,1,MATCH(COLUMNS($AN$1006:BB1006),$AN$1006:$BO$1006,0)))),"Fix")))</f>
        <v>0</v>
      </c>
      <c r="Q395" s="4">
        <f>IF(OR(INDEX($AH$2:$AH$1001,MATCH(ROWS($AG$2:AG395),$AG$2:$AG$1001,0),1)&gt;=100000,INDEX($AN$1005:$BO$1005,1,MATCH(COLUMNS($AN$1006:BC1006),$AN$1006:$BO$1006,0))&gt;=100000), " ",IF(INDEX($AN$2:$BO$1001,MATCH(ROWS($AG$2:AG395),$AG$2:$AG$1001,0),MATCH(COLUMNS($AN$1006:BC1006),$AN$1006:$BO$1006,0)), HYPERLINK("#",""), HYPERLINK(CONCATENATE("#Metadata!", ADDRESS(INDEX($AI$2:$AI$1001,MATCH(ROWS($AG$2:AG395),$AG$2:$AG$1001,0),0), INDEX($AN$1004:$BO$1004,1,MATCH(COLUMNS($AN$1006:BC1006),$AN$1006:$BO$1006,0)))),"Fix")))</f>
        <v>0</v>
      </c>
      <c r="R395" s="4">
        <f>IF(OR(INDEX($AH$2:$AH$1001,MATCH(ROWS($AG$2:AG395),$AG$2:$AG$1001,0),1)&gt;=100000,INDEX($AN$1005:$BO$1005,1,MATCH(COLUMNS($AN$1006:BD1006),$AN$1006:$BO$1006,0))&gt;=100000), " ",IF(INDEX($AN$2:$BO$1001,MATCH(ROWS($AG$2:AG395),$AG$2:$AG$1001,0),MATCH(COLUMNS($AN$1006:BD1006),$AN$1006:$BO$1006,0)), HYPERLINK("#",""), HYPERLINK(CONCATENATE("#Metadata!", ADDRESS(INDEX($AI$2:$AI$1001,MATCH(ROWS($AG$2:AG395),$AG$2:$AG$1001,0),0), INDEX($AN$1004:$BO$1004,1,MATCH(COLUMNS($AN$1006:BD1006),$AN$1006:$BO$1006,0)))),"Fix")))</f>
        <v>0</v>
      </c>
      <c r="S395" s="4">
        <f>IF(OR(INDEX($AH$2:$AH$1001,MATCH(ROWS($AG$2:AG395),$AG$2:$AG$1001,0),1)&gt;=100000,INDEX($AN$1005:$BO$1005,1,MATCH(COLUMNS($AN$1006:BE1006),$AN$1006:$BO$1006,0))&gt;=100000), " ",IF(INDEX($AN$2:$BO$1001,MATCH(ROWS($AG$2:AG395),$AG$2:$AG$1001,0),MATCH(COLUMNS($AN$1006:BE1006),$AN$1006:$BO$1006,0)), HYPERLINK("#",""), HYPERLINK(CONCATENATE("#Metadata!", ADDRESS(INDEX($AI$2:$AI$1001,MATCH(ROWS($AG$2:AG395),$AG$2:$AG$1001,0),0), INDEX($AN$1004:$BO$1004,1,MATCH(COLUMNS($AN$1006:BE1006),$AN$1006:$BO$1006,0)))),"Fix")))</f>
        <v>0</v>
      </c>
      <c r="T395" s="4">
        <f>IF(OR(INDEX($AH$2:$AH$1001,MATCH(ROWS($AG$2:AG395),$AG$2:$AG$1001,0),1)&gt;=100000,INDEX($AN$1005:$BO$1005,1,MATCH(COLUMNS($AN$1006:BF1006),$AN$1006:$BO$1006,0))&gt;=100000), " ",IF(INDEX($AN$2:$BO$1001,MATCH(ROWS($AG$2:AG395),$AG$2:$AG$1001,0),MATCH(COLUMNS($AN$1006:BF1006),$AN$1006:$BO$1006,0)), HYPERLINK("#",""), HYPERLINK(CONCATENATE("#Metadata!", ADDRESS(INDEX($AI$2:$AI$1001,MATCH(ROWS($AG$2:AG395),$AG$2:$AG$1001,0),0), INDEX($AN$1004:$BO$1004,1,MATCH(COLUMNS($AN$1006:BF1006),$AN$1006:$BO$1006,0)))),"Fix")))</f>
        <v>0</v>
      </c>
      <c r="U395" s="4">
        <f>IF(OR(INDEX($AH$2:$AH$1001,MATCH(ROWS($AG$2:AG395),$AG$2:$AG$1001,0),1)&gt;=100000,INDEX($AN$1005:$BO$1005,1,MATCH(COLUMNS($AN$1006:BG1006),$AN$1006:$BO$1006,0))&gt;=100000), " ",IF(INDEX($AN$2:$BO$1001,MATCH(ROWS($AG$2:AG395),$AG$2:$AG$1001,0),MATCH(COLUMNS($AN$1006:BG1006),$AN$1006:$BO$1006,0)), HYPERLINK("#",""), HYPERLINK(CONCATENATE("#Metadata!", ADDRESS(INDEX($AI$2:$AI$1001,MATCH(ROWS($AG$2:AG395),$AG$2:$AG$1001,0),0), INDEX($AN$1004:$BO$1004,1,MATCH(COLUMNS($AN$1006:BG1006),$AN$1006:$BO$1006,0)))),"Fix")))</f>
        <v>0</v>
      </c>
      <c r="V395" s="4">
        <f>IF(OR(INDEX($AH$2:$AH$1001,MATCH(ROWS($AG$2:AG395),$AG$2:$AG$1001,0),1)&gt;=100000,INDEX($AN$1005:$BO$1005,1,MATCH(COLUMNS($AN$1006:BH1006),$AN$1006:$BO$1006,0))&gt;=100000), " ",IF(INDEX($AN$2:$BO$1001,MATCH(ROWS($AG$2:AG395),$AG$2:$AG$1001,0),MATCH(COLUMNS($AN$1006:BH1006),$AN$1006:$BO$1006,0)), HYPERLINK("#",""), HYPERLINK(CONCATENATE("#Metadata!", ADDRESS(INDEX($AI$2:$AI$1001,MATCH(ROWS($AG$2:AG395),$AG$2:$AG$1001,0),0), INDEX($AN$1004:$BO$1004,1,MATCH(COLUMNS($AN$1006:BH1006),$AN$1006:$BO$1006,0)))),"Fix")))</f>
        <v>0</v>
      </c>
      <c r="W395" s="4">
        <f>IF(OR(INDEX($AH$2:$AH$1001,MATCH(ROWS($AG$2:AG395),$AG$2:$AG$1001,0),1)&gt;=100000,INDEX($AN$1005:$BO$1005,1,MATCH(COLUMNS($AN$1006:BI1006),$AN$1006:$BO$1006,0))&gt;=100000), " ",IF(INDEX($AN$2:$BO$1001,MATCH(ROWS($AG$2:AG395),$AG$2:$AG$1001,0),MATCH(COLUMNS($AN$1006:BI1006),$AN$1006:$BO$1006,0)), HYPERLINK("#",""), HYPERLINK(CONCATENATE("#Metadata!", ADDRESS(INDEX($AI$2:$AI$1001,MATCH(ROWS($AG$2:AG395),$AG$2:$AG$1001,0),0), INDEX($AN$1004:$BO$1004,1,MATCH(COLUMNS($AN$1006:BI1006),$AN$1006:$BO$1006,0)))),"Fix")))</f>
        <v>0</v>
      </c>
      <c r="X395" s="4">
        <f>IF(OR(INDEX($AH$2:$AH$1001,MATCH(ROWS($AG$2:AG395),$AG$2:$AG$1001,0),1)&gt;=100000,INDEX($AN$1005:$BO$1005,1,MATCH(COLUMNS($AN$1006:BJ1006),$AN$1006:$BO$1006,0))&gt;=100000), " ",IF(INDEX($AN$2:$BO$1001,MATCH(ROWS($AG$2:AG395),$AG$2:$AG$1001,0),MATCH(COLUMNS($AN$1006:BJ1006),$AN$1006:$BO$1006,0)), HYPERLINK("#",""), HYPERLINK(CONCATENATE("#Metadata!", ADDRESS(INDEX($AI$2:$AI$1001,MATCH(ROWS($AG$2:AG395),$AG$2:$AG$1001,0),0), INDEX($AN$1004:$BO$1004,1,MATCH(COLUMNS($AN$1006:BJ1006),$AN$1006:$BO$1006,0)))),"Fix")))</f>
        <v>0</v>
      </c>
      <c r="Y395" s="4">
        <f>IF(OR(INDEX($AH$2:$AH$1001,MATCH(ROWS($AG$2:AG395),$AG$2:$AG$1001,0),1)&gt;=100000,INDEX($AN$1005:$BO$1005,1,MATCH(COLUMNS($AN$1006:BK1006),$AN$1006:$BO$1006,0))&gt;=100000), " ",IF(INDEX($AN$2:$BO$1001,MATCH(ROWS($AG$2:AG395),$AG$2:$AG$1001,0),MATCH(COLUMNS($AN$1006:BK1006),$AN$1006:$BO$1006,0)), HYPERLINK("#",""), HYPERLINK(CONCATENATE("#Metadata!", ADDRESS(INDEX($AI$2:$AI$1001,MATCH(ROWS($AG$2:AG395),$AG$2:$AG$1001,0),0), INDEX($AN$1004:$BO$1004,1,MATCH(COLUMNS($AN$1006:BK1006),$AN$1006:$BO$1006,0)))),"Fix")))</f>
        <v>0</v>
      </c>
      <c r="Z395" s="4">
        <f>IF(OR(INDEX($AH$2:$AH$1001,MATCH(ROWS($AG$2:AG395),$AG$2:$AG$1001,0),1)&gt;=100000,INDEX($AN$1005:$BO$1005,1,MATCH(COLUMNS($AN$1006:BL1006),$AN$1006:$BO$1006,0))&gt;=100000), " ",IF(INDEX($AN$2:$BO$1001,MATCH(ROWS($AG$2:AG395),$AG$2:$AG$1001,0),MATCH(COLUMNS($AN$1006:BL1006),$AN$1006:$BO$1006,0)), HYPERLINK("#",""), HYPERLINK(CONCATENATE("#Metadata!", ADDRESS(INDEX($AI$2:$AI$1001,MATCH(ROWS($AG$2:AG395),$AG$2:$AG$1001,0),0), INDEX($AN$1004:$BO$1004,1,MATCH(COLUMNS($AN$1006:BL1006),$AN$1006:$BO$1006,0)))),"Fix")))</f>
        <v>0</v>
      </c>
      <c r="AA395" s="4">
        <f>IF(OR(INDEX($AH$2:$AH$1001,MATCH(ROWS($AG$2:AG395),$AG$2:$AG$1001,0),1)&gt;=100000,INDEX($AN$1005:$BO$1005,1,MATCH(COLUMNS($AN$1006:BM1006),$AN$1006:$BO$1006,0))&gt;=100000), " ",IF(INDEX($AN$2:$BO$1001,MATCH(ROWS($AG$2:AG395),$AG$2:$AG$1001,0),MATCH(COLUMNS($AN$1006:BM1006),$AN$1006:$BO$1006,0)), HYPERLINK("#",""), HYPERLINK(CONCATENATE("#Metadata!", ADDRESS(INDEX($AI$2:$AI$1001,MATCH(ROWS($AG$2:AG395),$AG$2:$AG$1001,0),0), INDEX($AN$1004:$BO$1004,1,MATCH(COLUMNS($AN$1006:BM1006),$AN$1006:$BO$1006,0)))),"Fix")))</f>
        <v>0</v>
      </c>
      <c r="AB395" s="4">
        <f>IF(OR(INDEX($AH$2:$AH$1001,MATCH(ROWS($AG$2:AG395),$AG$2:$AG$1001,0),1)&gt;=100000,INDEX($AN$1005:$BO$1005,1,MATCH(COLUMNS($AN$1006:BN1006),$AN$1006:$BO$1006,0))&gt;=100000), " ",IF(INDEX($AN$2:$BO$1001,MATCH(ROWS($AG$2:AG395),$AG$2:$AG$1001,0),MATCH(COLUMNS($AN$1006:BN1006),$AN$1006:$BO$1006,0)), HYPERLINK("#",""), HYPERLINK(CONCATENATE("#Metadata!", ADDRESS(INDEX($AI$2:$AI$1001,MATCH(ROWS($AG$2:AG395),$AG$2:$AG$1001,0),0), INDEX($AN$1004:$BO$1004,1,MATCH(COLUMNS($AN$1006:BN1006),$AN$1006:$BO$1006,0)))),"Fix")))</f>
        <v>0</v>
      </c>
      <c r="AC395" s="4">
        <f>IF(OR(INDEX($AH$2:$AH$1001,MATCH(ROWS($AG$2:AG395),$AG$2:$AG$1001,0),1)&gt;=100000,INDEX($AN$1005:$BO$1005,1,MATCH(COLUMNS($AN$1006:BO1006),$AN$1006:$BO$1006,0))&gt;=100000), " ",IF(INDEX($AN$2:$BO$1001,MATCH(ROWS($AG$2:AG395),$AG$2:$AG$1001,0),MATCH(COLUMNS($AN$1006:BO1006),$AN$1006:$BO$1006,0)), HYPERLINK("#",""), HYPERLINK(CONCATENATE("#Metadata!", ADDRESS(INDEX($AI$2:$AI$1001,MATCH(ROWS($AG$2:AG395),$AG$2:$AG$1001,0),0), INDEX($AN$1004:$BO$1004,1,MATCH(COLUMNS($AN$1006:BO1006),$AN$1006:$BO$1006,0)))),"Fix")))</f>
        <v>0</v>
      </c>
      <c r="AG395">
        <v>0</v>
      </c>
      <c r="AH395">
        <v>0</v>
      </c>
      <c r="AI395">
        <v>0</v>
      </c>
      <c r="AJ395">
        <f>IF(AK395,TRUE,AND(AN395:BO395))</f>
        <v>0</v>
      </c>
      <c r="AK395">
        <f>COUNTBLANK(Metadata!B395:AC395)=COLUMNS(Metadata!B395:AC395)</f>
        <v>0</v>
      </c>
      <c r="AL395">
        <v>0</v>
      </c>
      <c r="AN395">
        <f>AND(IF(Metadata!B395="",FALSE,TRUE),COUNTIF(Metadata!B:B, Metadata!B395) = 1,NOT(ISERROR(SUMPRODUCT(SEARCH(MID(Metadata!B395,ROW(INDIRECT("1:"&amp;LEN(Metadata!B395))), 1),"0123456789abcdefghijklmnopqrstuvwxyzABCDEFGHIJKLMNOPQRSTUVWXYZ.")))))</f>
        <v>0</v>
      </c>
      <c r="AO395">
        <f>IF(Metadata!C395="",FALSE,TRUE)</f>
        <v>0</v>
      </c>
      <c r="AP395">
        <f>IF(Metadata!D395="",FALSE,TRUE)</f>
        <v>0</v>
      </c>
      <c r="AQ395">
        <f>OR(AND(IF(Metadata!E395="",FALSE,TRUE),OR(exact(Metadata!E395,"not collected"),exact(Metadata!E395,"not provided"),exact(Metadata!E395,"restricted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R395">
        <f>IF(Metadata!F395="",FALSE,TRUE)</f>
        <v>0</v>
      </c>
      <c r="AS395">
        <f>OR(AND(IF(Metadata!G395="",FALSE,TRUE),OR(exact(Metadata!G395,"not collected"),exact(Metadata!G395,"not provided"))),AND(IF(Metadata!G395="",FALSE,TRUE),OR(exact(Metadata!G395,"TRUE"),exact(Metadata!G395,"FALSE"))))</f>
        <v>0</v>
      </c>
      <c r="AT395">
        <f>OR(AND(IF(Metadata!H395="",FALSE,TRUE),OR(exact(Metadata!H395,"not collected"),exact(Metadata!H395,"not provided"),exact(Metadata!H395,"restricted access"))),AND(IF(Metadata!H395="",FALSE,ISNUMBER(VALUE(Metadata!H395))),Metadata!H395&gt;=-413.0))</f>
        <v>0</v>
      </c>
      <c r="AU395">
        <f>AND(IF(Metadata!I395="",FALSE,TRUE),exact(Metadata!I395,"meters"))</f>
        <v>0</v>
      </c>
      <c r="AV395">
        <f>AND(IF(Metadata!J395="",FALSE,TRUE),OR(exact(Metadata!J395,"Host-associated"),exact(Metadata!J395,"Free-living")))</f>
        <v>0</v>
      </c>
      <c r="AW395">
        <f>AND(IF(Metadata!K395="",FALSE,TRUE),OR(exact(Metadata!K395,"Animal"),exact(Metadata!K395,"Fungus"),exact(Metadata!K395,"Plant"),exact(Metadata!K395,"Saline"),exact(Metadata!K395,"Non-saline")))</f>
        <v>0</v>
      </c>
      <c r="AX395">
        <f>AND(IF(Metadata!L395="",FALSE,TRUE),OR(exact(Metadata!L395,"Plant secretion"),exact(Metadata!L395,"Plant rhizosphere"),exact(Metadata!L395,"Plant surface"),exact(Metadata!L395,"Plant corpus"),exact(Metadata!L395,"Fungus surface"),exact(Metadata!L395,"Fungus corpus"),exact(Metadata!L395,"Animal surface"),exact(Metadata!L395,"Animal proximal gut"),exact(Metadata!L395,"Animal corpus"),exact(Metadata!L395,"Animal distal gut"),exact(Metadata!L395,"Animal secretion"),exact(Metadata!L395,"Sub-surface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Y395">
        <f>IF(Metadata!M395="",FALSE,TRUE)</f>
        <v>0</v>
      </c>
      <c r="AZ395">
        <f>IF(Metadata!N395="",FALSE,TRUE)</f>
        <v>0</v>
      </c>
      <c r="BA395">
        <f>IF(Metadata!O395="",FALSE,TRUE)</f>
        <v>0</v>
      </c>
      <c r="BB395">
        <f>OR(AND(IF(Metadata!P395="",FALSE,TRUE),OR(exact(Metadata!P395,"not collected"),exact(Metadata!P395,"not provided"),exact(Metadata!P395,"restricted access"))),AND(IF(Metadata!P395="",FALSE,TRUE),OR(exact(Metadata!P395,"air"),exact(Metadata!P395,"built environment"),exact(Metadata!P395,"host-associated"),exact(Metadata!P395,"human-associated"),exact(Metadata!P395,"human-skin"),exact(Metadata!P395,"human-oral"),exact(Metadata!P395,"human-gut"),exact(Metadata!P395,"human-vaginal"),exact(Metadata!P395,"microbial mat/biofilm"),exact(Metadata!P395,"misc environment"),exact(Metadata!P395,"plant-associated"),exact(Metadata!P395,"sediment"),exact(Metadata!P395,"soil"),exact(Metadata!P395,"wastewater/sludge"),exact(Metadata!P395,"water"))))</f>
        <v>0</v>
      </c>
      <c r="BC395">
        <f>IF(Metadata!Q395="",FALSE,TRUE)</f>
        <v>0</v>
      </c>
      <c r="BD395">
        <f>IF(Metadata!R395="",FALSE,TRUE)</f>
        <v>0</v>
      </c>
      <c r="BE395">
        <f>OR(AND(IF(Metadata!S395="",FALSE,TRUE),OR(exact(Metadata!S395,"not collected"),exact(Metadata!S395,"not provided"),exact(Metadata!S395,"restricted access"))),AND(IF(Metadata!S395="",FALSE,ISNUMBER(VALUE(Metadata!S395))),Metadata!S395&gt;=-90.00,Metadata!S395&lt;=90.00))</f>
        <v>0</v>
      </c>
      <c r="BF395">
        <f>AND(IF(Metadata!T395="",FALSE,TRUE),exact(Metadata!T395,"Decimal degrees"))</f>
        <v>0</v>
      </c>
      <c r="BG395">
        <f>OR(AND(IF(Metadata!U395="",FALSE,TRUE),OR(exact(Metadata!U395,"not collected"),exact(Metadata!U395,"not provided"),exact(Metadata!U395,"restricted access"))),AND(IF(Metadata!U395="",FALSE,ISNUMBER(VALUE(Metadata!U395))),Metadata!U395&gt;=-180.00,Metadata!U395&lt;=180.00))</f>
        <v>0</v>
      </c>
      <c r="BH395">
        <f>AND(IF(Metadata!V395="",FALSE,TRUE),exact(Metadata!V395,"Decimal degrees"))</f>
        <v>0</v>
      </c>
      <c r="BI395">
        <f>IF(Metadata!W395="",FALSE,TRUE)</f>
        <v>0</v>
      </c>
      <c r="BJ395">
        <f>OR(AND(IF(Metadata!X395="",FALSE,TRUE),OR(exact(Metadata!X395,"not collected"),exact(Metadata!X395,"not provided"),exact(Metadata!X395,"restricted access"))),AND(IF(Metadata!X395="",FALSE,TRUE),OR(exact(Metadata!X395,"TRUE"),exact(Metadata!X395,"FALSE"))))</f>
        <v>0</v>
      </c>
      <c r="BK395">
        <f>AND(IF(Metadata!Y395="",FALSE,TRUE),exact(Metadata!Y395,"other"))</f>
        <v>0</v>
      </c>
      <c r="BL395">
        <f>IF(Metadata!Z395="",FALSE,TRUE)</f>
        <v>0</v>
      </c>
      <c r="BM395">
        <f>OR(AND(IF(Metadata!AA395="",FALSE,TRUE),OR(exact(Metadata!AA395,"not collected"),exact(Metadata!AA395,"not provided"))),AND(IF(Metadata!AA395="",FALSE,IF(ISERROR(INT(Metadata!AA395)),FALSE,INT(Metadata!AA395)=Metadata!AA395)),Metadata!AA395&gt;0))</f>
        <v>0</v>
      </c>
      <c r="BN395">
        <f>AND(IF(Metadata!AB395="",FALSE,TRUE),exact(Metadata!AB395,"Not applicable"))</f>
        <v>0</v>
      </c>
      <c r="BO395">
        <f>IF(Metadata!AC395="",FALSE,TRUE)</f>
        <v>0</v>
      </c>
    </row>
    <row r="396" spans="1:67">
      <c r="A396" s="5">
        <f>IF(B396=" "," ",HYPERLINK(CONCATENATE("#metadata!",ADDRESS(INDEX($AI$2:$AI$1001,MATCH(ROWS($AG$2:AG396),$AG$2:$AG$1001,0),0),1)),INDEX($AL$2:$AL$1001,MATCH(ROWS($AG$2:AG396),$AG$2:$AG$1001,0),0)))</f>
        <v>0</v>
      </c>
      <c r="B396" s="4">
        <f>IF(OR(INDEX($AH$2:$AH$1001,MATCH(ROWS($AG$2:AG396),$AG$2:$AG$1001,0),1)&gt;=100000,INDEX($AN$1005:$BO$1005,1,MATCH(COLUMNS($AN$1006:AN1006),$AN$1006:$BO$1006,0))&gt;=100000), " ",IF(INDEX($AN$2:$BO$1001,MATCH(ROWS($AG$2:AG396),$AG$2:$AG$1001,0),MATCH(COLUMNS($AN$1006:AN1006),$AN$1006:$BO$1006,0)), HYPERLINK("#",""), HYPERLINK(CONCATENATE("#Metadata!", ADDRESS(INDEX($AI$2:$AI$1001,MATCH(ROWS($AG$2:AG396),$AG$2:$AG$1001,0),0), INDEX($AN$1004:$BO$1004,1,MATCH(COLUMNS($AN$1006:AN1006),$AN$1006:$BO$1006,0)))),"Fix")))</f>
        <v>0</v>
      </c>
      <c r="C396" s="4">
        <f>IF(OR(INDEX($AH$2:$AH$1001,MATCH(ROWS($AG$2:AG396),$AG$2:$AG$1001,0),1)&gt;=100000,INDEX($AN$1005:$BO$1005,1,MATCH(COLUMNS($AN$1006:AO1006),$AN$1006:$BO$1006,0))&gt;=100000), " ",IF(INDEX($AN$2:$BO$1001,MATCH(ROWS($AG$2:AG396),$AG$2:$AG$1001,0),MATCH(COLUMNS($AN$1006:AO1006),$AN$1006:$BO$1006,0)), HYPERLINK("#",""), HYPERLINK(CONCATENATE("#Metadata!", ADDRESS(INDEX($AI$2:$AI$1001,MATCH(ROWS($AG$2:AG396),$AG$2:$AG$1001,0),0), INDEX($AN$1004:$BO$1004,1,MATCH(COLUMNS($AN$1006:AO1006),$AN$1006:$BO$1006,0)))),"Fix")))</f>
        <v>0</v>
      </c>
      <c r="D396" s="4">
        <f>IF(OR(INDEX($AH$2:$AH$1001,MATCH(ROWS($AG$2:AG396),$AG$2:$AG$1001,0),1)&gt;=100000,INDEX($AN$1005:$BO$1005,1,MATCH(COLUMNS($AN$1006:AP1006),$AN$1006:$BO$1006,0))&gt;=100000), " ",IF(INDEX($AN$2:$BO$1001,MATCH(ROWS($AG$2:AG396),$AG$2:$AG$1001,0),MATCH(COLUMNS($AN$1006:AP1006),$AN$1006:$BO$1006,0)), HYPERLINK("#",""), HYPERLINK(CONCATENATE("#Metadata!", ADDRESS(INDEX($AI$2:$AI$1001,MATCH(ROWS($AG$2:AG396),$AG$2:$AG$1001,0),0), INDEX($AN$1004:$BO$1004,1,MATCH(COLUMNS($AN$1006:AP1006),$AN$1006:$BO$1006,0)))),"Fix")))</f>
        <v>0</v>
      </c>
      <c r="E396" s="4">
        <f>IF(OR(INDEX($AH$2:$AH$1001,MATCH(ROWS($AG$2:AG396),$AG$2:$AG$1001,0),1)&gt;=100000,INDEX($AN$1005:$BO$1005,1,MATCH(COLUMNS($AN$1006:AQ1006),$AN$1006:$BO$1006,0))&gt;=100000), " ",IF(INDEX($AN$2:$BO$1001,MATCH(ROWS($AG$2:AG396),$AG$2:$AG$1001,0),MATCH(COLUMNS($AN$1006:AQ1006),$AN$1006:$BO$1006,0)), HYPERLINK("#",""), HYPERLINK(CONCATENATE("#Metadata!", ADDRESS(INDEX($AI$2:$AI$1001,MATCH(ROWS($AG$2:AG396),$AG$2:$AG$1001,0),0), INDEX($AN$1004:$BO$1004,1,MATCH(COLUMNS($AN$1006:AQ1006),$AN$1006:$BO$1006,0)))),"Fix")))</f>
        <v>0</v>
      </c>
      <c r="F396" s="4">
        <f>IF(OR(INDEX($AH$2:$AH$1001,MATCH(ROWS($AG$2:AG396),$AG$2:$AG$1001,0),1)&gt;=100000,INDEX($AN$1005:$BO$1005,1,MATCH(COLUMNS($AN$1006:AR1006),$AN$1006:$BO$1006,0))&gt;=100000), " ",IF(INDEX($AN$2:$BO$1001,MATCH(ROWS($AG$2:AG396),$AG$2:$AG$1001,0),MATCH(COLUMNS($AN$1006:AR1006),$AN$1006:$BO$1006,0)), HYPERLINK("#",""), HYPERLINK(CONCATENATE("#Metadata!", ADDRESS(INDEX($AI$2:$AI$1001,MATCH(ROWS($AG$2:AG396),$AG$2:$AG$1001,0),0), INDEX($AN$1004:$BO$1004,1,MATCH(COLUMNS($AN$1006:AR1006),$AN$1006:$BO$1006,0)))),"Fix")))</f>
        <v>0</v>
      </c>
      <c r="G396" s="4">
        <f>IF(OR(INDEX($AH$2:$AH$1001,MATCH(ROWS($AG$2:AG396),$AG$2:$AG$1001,0),1)&gt;=100000,INDEX($AN$1005:$BO$1005,1,MATCH(COLUMNS($AN$1006:AS1006),$AN$1006:$BO$1006,0))&gt;=100000), " ",IF(INDEX($AN$2:$BO$1001,MATCH(ROWS($AG$2:AG396),$AG$2:$AG$1001,0),MATCH(COLUMNS($AN$1006:AS1006),$AN$1006:$BO$1006,0)), HYPERLINK("#",""), HYPERLINK(CONCATENATE("#Metadata!", ADDRESS(INDEX($AI$2:$AI$1001,MATCH(ROWS($AG$2:AG396),$AG$2:$AG$1001,0),0), INDEX($AN$1004:$BO$1004,1,MATCH(COLUMNS($AN$1006:AS1006),$AN$1006:$BO$1006,0)))),"Fix")))</f>
        <v>0</v>
      </c>
      <c r="H396" s="4">
        <f>IF(OR(INDEX($AH$2:$AH$1001,MATCH(ROWS($AG$2:AG396),$AG$2:$AG$1001,0),1)&gt;=100000,INDEX($AN$1005:$BO$1005,1,MATCH(COLUMNS($AN$1006:AT1006),$AN$1006:$BO$1006,0))&gt;=100000), " ",IF(INDEX($AN$2:$BO$1001,MATCH(ROWS($AG$2:AG396),$AG$2:$AG$1001,0),MATCH(COLUMNS($AN$1006:AT1006),$AN$1006:$BO$1006,0)), HYPERLINK("#",""), HYPERLINK(CONCATENATE("#Metadata!", ADDRESS(INDEX($AI$2:$AI$1001,MATCH(ROWS($AG$2:AG396),$AG$2:$AG$1001,0),0), INDEX($AN$1004:$BO$1004,1,MATCH(COLUMNS($AN$1006:AT1006),$AN$1006:$BO$1006,0)))),"Fix")))</f>
        <v>0</v>
      </c>
      <c r="I396" s="4">
        <f>IF(OR(INDEX($AH$2:$AH$1001,MATCH(ROWS($AG$2:AG396),$AG$2:$AG$1001,0),1)&gt;=100000,INDEX($AN$1005:$BO$1005,1,MATCH(COLUMNS($AN$1006:AU1006),$AN$1006:$BO$1006,0))&gt;=100000), " ",IF(INDEX($AN$2:$BO$1001,MATCH(ROWS($AG$2:AG396),$AG$2:$AG$1001,0),MATCH(COLUMNS($AN$1006:AU1006),$AN$1006:$BO$1006,0)), HYPERLINK("#",""), HYPERLINK(CONCATENATE("#Metadata!", ADDRESS(INDEX($AI$2:$AI$1001,MATCH(ROWS($AG$2:AG396),$AG$2:$AG$1001,0),0), INDEX($AN$1004:$BO$1004,1,MATCH(COLUMNS($AN$1006:AU1006),$AN$1006:$BO$1006,0)))),"Fix")))</f>
        <v>0</v>
      </c>
      <c r="J396" s="4">
        <f>IF(OR(INDEX($AH$2:$AH$1001,MATCH(ROWS($AG$2:AG396),$AG$2:$AG$1001,0),1)&gt;=100000,INDEX($AN$1005:$BO$1005,1,MATCH(COLUMNS($AN$1006:AV1006),$AN$1006:$BO$1006,0))&gt;=100000), " ",IF(INDEX($AN$2:$BO$1001,MATCH(ROWS($AG$2:AG396),$AG$2:$AG$1001,0),MATCH(COLUMNS($AN$1006:AV1006),$AN$1006:$BO$1006,0)), HYPERLINK("#",""), HYPERLINK(CONCATENATE("#Metadata!", ADDRESS(INDEX($AI$2:$AI$1001,MATCH(ROWS($AG$2:AG396),$AG$2:$AG$1001,0),0), INDEX($AN$1004:$BO$1004,1,MATCH(COLUMNS($AN$1006:AV1006),$AN$1006:$BO$1006,0)))),"Fix")))</f>
        <v>0</v>
      </c>
      <c r="K396" s="4">
        <f>IF(OR(INDEX($AH$2:$AH$1001,MATCH(ROWS($AG$2:AG396),$AG$2:$AG$1001,0),1)&gt;=100000,INDEX($AN$1005:$BO$1005,1,MATCH(COLUMNS($AN$1006:AW1006),$AN$1006:$BO$1006,0))&gt;=100000), " ",IF(INDEX($AN$2:$BO$1001,MATCH(ROWS($AG$2:AG396),$AG$2:$AG$1001,0),MATCH(COLUMNS($AN$1006:AW1006),$AN$1006:$BO$1006,0)), HYPERLINK("#",""), HYPERLINK(CONCATENATE("#Metadata!", ADDRESS(INDEX($AI$2:$AI$1001,MATCH(ROWS($AG$2:AG396),$AG$2:$AG$1001,0),0), INDEX($AN$1004:$BO$1004,1,MATCH(COLUMNS($AN$1006:AW1006),$AN$1006:$BO$1006,0)))),"Fix")))</f>
        <v>0</v>
      </c>
      <c r="L396" s="4">
        <f>IF(OR(INDEX($AH$2:$AH$1001,MATCH(ROWS($AG$2:AG396),$AG$2:$AG$1001,0),1)&gt;=100000,INDEX($AN$1005:$BO$1005,1,MATCH(COLUMNS($AN$1006:AX1006),$AN$1006:$BO$1006,0))&gt;=100000), " ",IF(INDEX($AN$2:$BO$1001,MATCH(ROWS($AG$2:AG396),$AG$2:$AG$1001,0),MATCH(COLUMNS($AN$1006:AX1006),$AN$1006:$BO$1006,0)), HYPERLINK("#",""), HYPERLINK(CONCATENATE("#Metadata!", ADDRESS(INDEX($AI$2:$AI$1001,MATCH(ROWS($AG$2:AG396),$AG$2:$AG$1001,0),0), INDEX($AN$1004:$BO$1004,1,MATCH(COLUMNS($AN$1006:AX1006),$AN$1006:$BO$1006,0)))),"Fix")))</f>
        <v>0</v>
      </c>
      <c r="M396" s="4">
        <f>IF(OR(INDEX($AH$2:$AH$1001,MATCH(ROWS($AG$2:AG396),$AG$2:$AG$1001,0),1)&gt;=100000,INDEX($AN$1005:$BO$1005,1,MATCH(COLUMNS($AN$1006:AY1006),$AN$1006:$BO$1006,0))&gt;=100000), " ",IF(INDEX($AN$2:$BO$1001,MATCH(ROWS($AG$2:AG396),$AG$2:$AG$1001,0),MATCH(COLUMNS($AN$1006:AY1006),$AN$1006:$BO$1006,0)), HYPERLINK("#",""), HYPERLINK(CONCATENATE("#Metadata!", ADDRESS(INDEX($AI$2:$AI$1001,MATCH(ROWS($AG$2:AG396),$AG$2:$AG$1001,0),0), INDEX($AN$1004:$BO$1004,1,MATCH(COLUMNS($AN$1006:AY1006),$AN$1006:$BO$1006,0)))),"Fix")))</f>
        <v>0</v>
      </c>
      <c r="N396" s="4">
        <f>IF(OR(INDEX($AH$2:$AH$1001,MATCH(ROWS($AG$2:AG396),$AG$2:$AG$1001,0),1)&gt;=100000,INDEX($AN$1005:$BO$1005,1,MATCH(COLUMNS($AN$1006:AZ1006),$AN$1006:$BO$1006,0))&gt;=100000), " ",IF(INDEX($AN$2:$BO$1001,MATCH(ROWS($AG$2:AG396),$AG$2:$AG$1001,0),MATCH(COLUMNS($AN$1006:AZ1006),$AN$1006:$BO$1006,0)), HYPERLINK("#",""), HYPERLINK(CONCATENATE("#Metadata!", ADDRESS(INDEX($AI$2:$AI$1001,MATCH(ROWS($AG$2:AG396),$AG$2:$AG$1001,0),0), INDEX($AN$1004:$BO$1004,1,MATCH(COLUMNS($AN$1006:AZ1006),$AN$1006:$BO$1006,0)))),"Fix")))</f>
        <v>0</v>
      </c>
      <c r="O396" s="4">
        <f>IF(OR(INDEX($AH$2:$AH$1001,MATCH(ROWS($AG$2:AG396),$AG$2:$AG$1001,0),1)&gt;=100000,INDEX($AN$1005:$BO$1005,1,MATCH(COLUMNS($AN$1006:BA1006),$AN$1006:$BO$1006,0))&gt;=100000), " ",IF(INDEX($AN$2:$BO$1001,MATCH(ROWS($AG$2:AG396),$AG$2:$AG$1001,0),MATCH(COLUMNS($AN$1006:BA1006),$AN$1006:$BO$1006,0)), HYPERLINK("#",""), HYPERLINK(CONCATENATE("#Metadata!", ADDRESS(INDEX($AI$2:$AI$1001,MATCH(ROWS($AG$2:AG396),$AG$2:$AG$1001,0),0), INDEX($AN$1004:$BO$1004,1,MATCH(COLUMNS($AN$1006:BA1006),$AN$1006:$BO$1006,0)))),"Fix")))</f>
        <v>0</v>
      </c>
      <c r="P396" s="4">
        <f>IF(OR(INDEX($AH$2:$AH$1001,MATCH(ROWS($AG$2:AG396),$AG$2:$AG$1001,0),1)&gt;=100000,INDEX($AN$1005:$BO$1005,1,MATCH(COLUMNS($AN$1006:BB1006),$AN$1006:$BO$1006,0))&gt;=100000), " ",IF(INDEX($AN$2:$BO$1001,MATCH(ROWS($AG$2:AG396),$AG$2:$AG$1001,0),MATCH(COLUMNS($AN$1006:BB1006),$AN$1006:$BO$1006,0)), HYPERLINK("#",""), HYPERLINK(CONCATENATE("#Metadata!", ADDRESS(INDEX($AI$2:$AI$1001,MATCH(ROWS($AG$2:AG396),$AG$2:$AG$1001,0),0), INDEX($AN$1004:$BO$1004,1,MATCH(COLUMNS($AN$1006:BB1006),$AN$1006:$BO$1006,0)))),"Fix")))</f>
        <v>0</v>
      </c>
      <c r="Q396" s="4">
        <f>IF(OR(INDEX($AH$2:$AH$1001,MATCH(ROWS($AG$2:AG396),$AG$2:$AG$1001,0),1)&gt;=100000,INDEX($AN$1005:$BO$1005,1,MATCH(COLUMNS($AN$1006:BC1006),$AN$1006:$BO$1006,0))&gt;=100000), " ",IF(INDEX($AN$2:$BO$1001,MATCH(ROWS($AG$2:AG396),$AG$2:$AG$1001,0),MATCH(COLUMNS($AN$1006:BC1006),$AN$1006:$BO$1006,0)), HYPERLINK("#",""), HYPERLINK(CONCATENATE("#Metadata!", ADDRESS(INDEX($AI$2:$AI$1001,MATCH(ROWS($AG$2:AG396),$AG$2:$AG$1001,0),0), INDEX($AN$1004:$BO$1004,1,MATCH(COLUMNS($AN$1006:BC1006),$AN$1006:$BO$1006,0)))),"Fix")))</f>
        <v>0</v>
      </c>
      <c r="R396" s="4">
        <f>IF(OR(INDEX($AH$2:$AH$1001,MATCH(ROWS($AG$2:AG396),$AG$2:$AG$1001,0),1)&gt;=100000,INDEX($AN$1005:$BO$1005,1,MATCH(COLUMNS($AN$1006:BD1006),$AN$1006:$BO$1006,0))&gt;=100000), " ",IF(INDEX($AN$2:$BO$1001,MATCH(ROWS($AG$2:AG396),$AG$2:$AG$1001,0),MATCH(COLUMNS($AN$1006:BD1006),$AN$1006:$BO$1006,0)), HYPERLINK("#",""), HYPERLINK(CONCATENATE("#Metadata!", ADDRESS(INDEX($AI$2:$AI$1001,MATCH(ROWS($AG$2:AG396),$AG$2:$AG$1001,0),0), INDEX($AN$1004:$BO$1004,1,MATCH(COLUMNS($AN$1006:BD1006),$AN$1006:$BO$1006,0)))),"Fix")))</f>
        <v>0</v>
      </c>
      <c r="S396" s="4">
        <f>IF(OR(INDEX($AH$2:$AH$1001,MATCH(ROWS($AG$2:AG396),$AG$2:$AG$1001,0),1)&gt;=100000,INDEX($AN$1005:$BO$1005,1,MATCH(COLUMNS($AN$1006:BE1006),$AN$1006:$BO$1006,0))&gt;=100000), " ",IF(INDEX($AN$2:$BO$1001,MATCH(ROWS($AG$2:AG396),$AG$2:$AG$1001,0),MATCH(COLUMNS($AN$1006:BE1006),$AN$1006:$BO$1006,0)), HYPERLINK("#",""), HYPERLINK(CONCATENATE("#Metadata!", ADDRESS(INDEX($AI$2:$AI$1001,MATCH(ROWS($AG$2:AG396),$AG$2:$AG$1001,0),0), INDEX($AN$1004:$BO$1004,1,MATCH(COLUMNS($AN$1006:BE1006),$AN$1006:$BO$1006,0)))),"Fix")))</f>
        <v>0</v>
      </c>
      <c r="T396" s="4">
        <f>IF(OR(INDEX($AH$2:$AH$1001,MATCH(ROWS($AG$2:AG396),$AG$2:$AG$1001,0),1)&gt;=100000,INDEX($AN$1005:$BO$1005,1,MATCH(COLUMNS($AN$1006:BF1006),$AN$1006:$BO$1006,0))&gt;=100000), " ",IF(INDEX($AN$2:$BO$1001,MATCH(ROWS($AG$2:AG396),$AG$2:$AG$1001,0),MATCH(COLUMNS($AN$1006:BF1006),$AN$1006:$BO$1006,0)), HYPERLINK("#",""), HYPERLINK(CONCATENATE("#Metadata!", ADDRESS(INDEX($AI$2:$AI$1001,MATCH(ROWS($AG$2:AG396),$AG$2:$AG$1001,0),0), INDEX($AN$1004:$BO$1004,1,MATCH(COLUMNS($AN$1006:BF1006),$AN$1006:$BO$1006,0)))),"Fix")))</f>
        <v>0</v>
      </c>
      <c r="U396" s="4">
        <f>IF(OR(INDEX($AH$2:$AH$1001,MATCH(ROWS($AG$2:AG396),$AG$2:$AG$1001,0),1)&gt;=100000,INDEX($AN$1005:$BO$1005,1,MATCH(COLUMNS($AN$1006:BG1006),$AN$1006:$BO$1006,0))&gt;=100000), " ",IF(INDEX($AN$2:$BO$1001,MATCH(ROWS($AG$2:AG396),$AG$2:$AG$1001,0),MATCH(COLUMNS($AN$1006:BG1006),$AN$1006:$BO$1006,0)), HYPERLINK("#",""), HYPERLINK(CONCATENATE("#Metadata!", ADDRESS(INDEX($AI$2:$AI$1001,MATCH(ROWS($AG$2:AG396),$AG$2:$AG$1001,0),0), INDEX($AN$1004:$BO$1004,1,MATCH(COLUMNS($AN$1006:BG1006),$AN$1006:$BO$1006,0)))),"Fix")))</f>
        <v>0</v>
      </c>
      <c r="V396" s="4">
        <f>IF(OR(INDEX($AH$2:$AH$1001,MATCH(ROWS($AG$2:AG396),$AG$2:$AG$1001,0),1)&gt;=100000,INDEX($AN$1005:$BO$1005,1,MATCH(COLUMNS($AN$1006:BH1006),$AN$1006:$BO$1006,0))&gt;=100000), " ",IF(INDEX($AN$2:$BO$1001,MATCH(ROWS($AG$2:AG396),$AG$2:$AG$1001,0),MATCH(COLUMNS($AN$1006:BH1006),$AN$1006:$BO$1006,0)), HYPERLINK("#",""), HYPERLINK(CONCATENATE("#Metadata!", ADDRESS(INDEX($AI$2:$AI$1001,MATCH(ROWS($AG$2:AG396),$AG$2:$AG$1001,0),0), INDEX($AN$1004:$BO$1004,1,MATCH(COLUMNS($AN$1006:BH1006),$AN$1006:$BO$1006,0)))),"Fix")))</f>
        <v>0</v>
      </c>
      <c r="W396" s="4">
        <f>IF(OR(INDEX($AH$2:$AH$1001,MATCH(ROWS($AG$2:AG396),$AG$2:$AG$1001,0),1)&gt;=100000,INDEX($AN$1005:$BO$1005,1,MATCH(COLUMNS($AN$1006:BI1006),$AN$1006:$BO$1006,0))&gt;=100000), " ",IF(INDEX($AN$2:$BO$1001,MATCH(ROWS($AG$2:AG396),$AG$2:$AG$1001,0),MATCH(COLUMNS($AN$1006:BI1006),$AN$1006:$BO$1006,0)), HYPERLINK("#",""), HYPERLINK(CONCATENATE("#Metadata!", ADDRESS(INDEX($AI$2:$AI$1001,MATCH(ROWS($AG$2:AG396),$AG$2:$AG$1001,0),0), INDEX($AN$1004:$BO$1004,1,MATCH(COLUMNS($AN$1006:BI1006),$AN$1006:$BO$1006,0)))),"Fix")))</f>
        <v>0</v>
      </c>
      <c r="X396" s="4">
        <f>IF(OR(INDEX($AH$2:$AH$1001,MATCH(ROWS($AG$2:AG396),$AG$2:$AG$1001,0),1)&gt;=100000,INDEX($AN$1005:$BO$1005,1,MATCH(COLUMNS($AN$1006:BJ1006),$AN$1006:$BO$1006,0))&gt;=100000), " ",IF(INDEX($AN$2:$BO$1001,MATCH(ROWS($AG$2:AG396),$AG$2:$AG$1001,0),MATCH(COLUMNS($AN$1006:BJ1006),$AN$1006:$BO$1006,0)), HYPERLINK("#",""), HYPERLINK(CONCATENATE("#Metadata!", ADDRESS(INDEX($AI$2:$AI$1001,MATCH(ROWS($AG$2:AG396),$AG$2:$AG$1001,0),0), INDEX($AN$1004:$BO$1004,1,MATCH(COLUMNS($AN$1006:BJ1006),$AN$1006:$BO$1006,0)))),"Fix")))</f>
        <v>0</v>
      </c>
      <c r="Y396" s="4">
        <f>IF(OR(INDEX($AH$2:$AH$1001,MATCH(ROWS($AG$2:AG396),$AG$2:$AG$1001,0),1)&gt;=100000,INDEX($AN$1005:$BO$1005,1,MATCH(COLUMNS($AN$1006:BK1006),$AN$1006:$BO$1006,0))&gt;=100000), " ",IF(INDEX($AN$2:$BO$1001,MATCH(ROWS($AG$2:AG396),$AG$2:$AG$1001,0),MATCH(COLUMNS($AN$1006:BK1006),$AN$1006:$BO$1006,0)), HYPERLINK("#",""), HYPERLINK(CONCATENATE("#Metadata!", ADDRESS(INDEX($AI$2:$AI$1001,MATCH(ROWS($AG$2:AG396),$AG$2:$AG$1001,0),0), INDEX($AN$1004:$BO$1004,1,MATCH(COLUMNS($AN$1006:BK1006),$AN$1006:$BO$1006,0)))),"Fix")))</f>
        <v>0</v>
      </c>
      <c r="Z396" s="4">
        <f>IF(OR(INDEX($AH$2:$AH$1001,MATCH(ROWS($AG$2:AG396),$AG$2:$AG$1001,0),1)&gt;=100000,INDEX($AN$1005:$BO$1005,1,MATCH(COLUMNS($AN$1006:BL1006),$AN$1006:$BO$1006,0))&gt;=100000), " ",IF(INDEX($AN$2:$BO$1001,MATCH(ROWS($AG$2:AG396),$AG$2:$AG$1001,0),MATCH(COLUMNS($AN$1006:BL1006),$AN$1006:$BO$1006,0)), HYPERLINK("#",""), HYPERLINK(CONCATENATE("#Metadata!", ADDRESS(INDEX($AI$2:$AI$1001,MATCH(ROWS($AG$2:AG396),$AG$2:$AG$1001,0),0), INDEX($AN$1004:$BO$1004,1,MATCH(COLUMNS($AN$1006:BL1006),$AN$1006:$BO$1006,0)))),"Fix")))</f>
        <v>0</v>
      </c>
      <c r="AA396" s="4">
        <f>IF(OR(INDEX($AH$2:$AH$1001,MATCH(ROWS($AG$2:AG396),$AG$2:$AG$1001,0),1)&gt;=100000,INDEX($AN$1005:$BO$1005,1,MATCH(COLUMNS($AN$1006:BM1006),$AN$1006:$BO$1006,0))&gt;=100000), " ",IF(INDEX($AN$2:$BO$1001,MATCH(ROWS($AG$2:AG396),$AG$2:$AG$1001,0),MATCH(COLUMNS($AN$1006:BM1006),$AN$1006:$BO$1006,0)), HYPERLINK("#",""), HYPERLINK(CONCATENATE("#Metadata!", ADDRESS(INDEX($AI$2:$AI$1001,MATCH(ROWS($AG$2:AG396),$AG$2:$AG$1001,0),0), INDEX($AN$1004:$BO$1004,1,MATCH(COLUMNS($AN$1006:BM1006),$AN$1006:$BO$1006,0)))),"Fix")))</f>
        <v>0</v>
      </c>
      <c r="AB396" s="4">
        <f>IF(OR(INDEX($AH$2:$AH$1001,MATCH(ROWS($AG$2:AG396),$AG$2:$AG$1001,0),1)&gt;=100000,INDEX($AN$1005:$BO$1005,1,MATCH(COLUMNS($AN$1006:BN1006),$AN$1006:$BO$1006,0))&gt;=100000), " ",IF(INDEX($AN$2:$BO$1001,MATCH(ROWS($AG$2:AG396),$AG$2:$AG$1001,0),MATCH(COLUMNS($AN$1006:BN1006),$AN$1006:$BO$1006,0)), HYPERLINK("#",""), HYPERLINK(CONCATENATE("#Metadata!", ADDRESS(INDEX($AI$2:$AI$1001,MATCH(ROWS($AG$2:AG396),$AG$2:$AG$1001,0),0), INDEX($AN$1004:$BO$1004,1,MATCH(COLUMNS($AN$1006:BN1006),$AN$1006:$BO$1006,0)))),"Fix")))</f>
        <v>0</v>
      </c>
      <c r="AC396" s="4">
        <f>IF(OR(INDEX($AH$2:$AH$1001,MATCH(ROWS($AG$2:AG396),$AG$2:$AG$1001,0),1)&gt;=100000,INDEX($AN$1005:$BO$1005,1,MATCH(COLUMNS($AN$1006:BO1006),$AN$1006:$BO$1006,0))&gt;=100000), " ",IF(INDEX($AN$2:$BO$1001,MATCH(ROWS($AG$2:AG396),$AG$2:$AG$1001,0),MATCH(COLUMNS($AN$1006:BO1006),$AN$1006:$BO$1006,0)), HYPERLINK("#",""), HYPERLINK(CONCATENATE("#Metadata!", ADDRESS(INDEX($AI$2:$AI$1001,MATCH(ROWS($AG$2:AG396),$AG$2:$AG$1001,0),0), INDEX($AN$1004:$BO$1004,1,MATCH(COLUMNS($AN$1006:BO1006),$AN$1006:$BO$1006,0)))),"Fix")))</f>
        <v>0</v>
      </c>
      <c r="AG396">
        <v>0</v>
      </c>
      <c r="AH396">
        <v>0</v>
      </c>
      <c r="AI396">
        <v>0</v>
      </c>
      <c r="AJ396">
        <f>IF(AK396,TRUE,AND(AN396:BO396))</f>
        <v>0</v>
      </c>
      <c r="AK396">
        <f>COUNTBLANK(Metadata!B396:AC396)=COLUMNS(Metadata!B396:AC396)</f>
        <v>0</v>
      </c>
      <c r="AL396">
        <v>0</v>
      </c>
      <c r="AN396">
        <f>AND(IF(Metadata!B396="",FALSE,TRUE),COUNTIF(Metadata!B:B, Metadata!B396) = 1,NOT(ISERROR(SUMPRODUCT(SEARCH(MID(Metadata!B396,ROW(INDIRECT("1:"&amp;LEN(Metadata!B396))), 1),"0123456789abcdefghijklmnopqrstuvwxyzABCDEFGHIJKLMNOPQRSTUVWXYZ.")))))</f>
        <v>0</v>
      </c>
      <c r="AO396">
        <f>IF(Metadata!C396="",FALSE,TRUE)</f>
        <v>0</v>
      </c>
      <c r="AP396">
        <f>IF(Metadata!D396="",FALSE,TRUE)</f>
        <v>0</v>
      </c>
      <c r="AQ396">
        <f>OR(AND(IF(Metadata!E396="",FALSE,TRUE),OR(exact(Metadata!E396,"not collected"),exact(Metadata!E396,"not provided"),exact(Metadata!E396,"restricted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R396">
        <f>IF(Metadata!F396="",FALSE,TRUE)</f>
        <v>0</v>
      </c>
      <c r="AS396">
        <f>OR(AND(IF(Metadata!G396="",FALSE,TRUE),OR(exact(Metadata!G396,"not collected"),exact(Metadata!G396,"not provided"))),AND(IF(Metadata!G396="",FALSE,TRUE),OR(exact(Metadata!G396,"TRUE"),exact(Metadata!G396,"FALSE"))))</f>
        <v>0</v>
      </c>
      <c r="AT396">
        <f>OR(AND(IF(Metadata!H396="",FALSE,TRUE),OR(exact(Metadata!H396,"not collected"),exact(Metadata!H396,"not provided"),exact(Metadata!H396,"restricted access"))),AND(IF(Metadata!H396="",FALSE,ISNUMBER(VALUE(Metadata!H396))),Metadata!H396&gt;=-413.0))</f>
        <v>0</v>
      </c>
      <c r="AU396">
        <f>AND(IF(Metadata!I396="",FALSE,TRUE),exact(Metadata!I396,"meters"))</f>
        <v>0</v>
      </c>
      <c r="AV396">
        <f>AND(IF(Metadata!J396="",FALSE,TRUE),OR(exact(Metadata!J396,"Host-associated"),exact(Metadata!J396,"Free-living")))</f>
        <v>0</v>
      </c>
      <c r="AW396">
        <f>AND(IF(Metadata!K396="",FALSE,TRUE),OR(exact(Metadata!K396,"Animal"),exact(Metadata!K396,"Fungus"),exact(Metadata!K396,"Plant"),exact(Metadata!K396,"Saline"),exact(Metadata!K396,"Non-saline")))</f>
        <v>0</v>
      </c>
      <c r="AX396">
        <f>AND(IF(Metadata!L396="",FALSE,TRUE),OR(exact(Metadata!L396,"Plant secretion"),exact(Metadata!L396,"Plant rhizosphere"),exact(Metadata!L396,"Plant surface"),exact(Metadata!L396,"Plant corpus"),exact(Metadata!L396,"Fungus surface"),exact(Metadata!L396,"Fungus corpus"),exact(Metadata!L396,"Animal surface"),exact(Metadata!L396,"Animal proximal gut"),exact(Metadata!L396,"Animal corpus"),exact(Metadata!L396,"Animal distal gut"),exact(Metadata!L396,"Animal secretion"),exact(Metadata!L396,"Sub-surface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Y396">
        <f>IF(Metadata!M396="",FALSE,TRUE)</f>
        <v>0</v>
      </c>
      <c r="AZ396">
        <f>IF(Metadata!N396="",FALSE,TRUE)</f>
        <v>0</v>
      </c>
      <c r="BA396">
        <f>IF(Metadata!O396="",FALSE,TRUE)</f>
        <v>0</v>
      </c>
      <c r="BB396">
        <f>OR(AND(IF(Metadata!P396="",FALSE,TRUE),OR(exact(Metadata!P396,"not collected"),exact(Metadata!P396,"not provided"),exact(Metadata!P396,"restricted access"))),AND(IF(Metadata!P396="",FALSE,TRUE),OR(exact(Metadata!P396,"air"),exact(Metadata!P396,"built environment"),exact(Metadata!P396,"host-associated"),exact(Metadata!P396,"human-associated"),exact(Metadata!P396,"human-skin"),exact(Metadata!P396,"human-oral"),exact(Metadata!P396,"human-gut"),exact(Metadata!P396,"human-vaginal"),exact(Metadata!P396,"microbial mat/biofilm"),exact(Metadata!P396,"misc environment"),exact(Metadata!P396,"plant-associated"),exact(Metadata!P396,"sediment"),exact(Metadata!P396,"soil"),exact(Metadata!P396,"wastewater/sludge"),exact(Metadata!P396,"water"))))</f>
        <v>0</v>
      </c>
      <c r="BC396">
        <f>IF(Metadata!Q396="",FALSE,TRUE)</f>
        <v>0</v>
      </c>
      <c r="BD396">
        <f>IF(Metadata!R396="",FALSE,TRUE)</f>
        <v>0</v>
      </c>
      <c r="BE396">
        <f>OR(AND(IF(Metadata!S396="",FALSE,TRUE),OR(exact(Metadata!S396,"not collected"),exact(Metadata!S396,"not provided"),exact(Metadata!S396,"restricted access"))),AND(IF(Metadata!S396="",FALSE,ISNUMBER(VALUE(Metadata!S396))),Metadata!S396&gt;=-90.00,Metadata!S396&lt;=90.00))</f>
        <v>0</v>
      </c>
      <c r="BF396">
        <f>AND(IF(Metadata!T396="",FALSE,TRUE),exact(Metadata!T396,"Decimal degrees"))</f>
        <v>0</v>
      </c>
      <c r="BG396">
        <f>OR(AND(IF(Metadata!U396="",FALSE,TRUE),OR(exact(Metadata!U396,"not collected"),exact(Metadata!U396,"not provided"),exact(Metadata!U396,"restricted access"))),AND(IF(Metadata!U396="",FALSE,ISNUMBER(VALUE(Metadata!U396))),Metadata!U396&gt;=-180.00,Metadata!U396&lt;=180.00))</f>
        <v>0</v>
      </c>
      <c r="BH396">
        <f>AND(IF(Metadata!V396="",FALSE,TRUE),exact(Metadata!V396,"Decimal degrees"))</f>
        <v>0</v>
      </c>
      <c r="BI396">
        <f>IF(Metadata!W396="",FALSE,TRUE)</f>
        <v>0</v>
      </c>
      <c r="BJ396">
        <f>OR(AND(IF(Metadata!X396="",FALSE,TRUE),OR(exact(Metadata!X396,"not collected"),exact(Metadata!X396,"not provided"),exact(Metadata!X396,"restricted access"))),AND(IF(Metadata!X396="",FALSE,TRUE),OR(exact(Metadata!X396,"TRUE"),exact(Metadata!X396,"FALSE"))))</f>
        <v>0</v>
      </c>
      <c r="BK396">
        <f>AND(IF(Metadata!Y396="",FALSE,TRUE),exact(Metadata!Y396,"other"))</f>
        <v>0</v>
      </c>
      <c r="BL396">
        <f>IF(Metadata!Z396="",FALSE,TRUE)</f>
        <v>0</v>
      </c>
      <c r="BM396">
        <f>OR(AND(IF(Metadata!AA396="",FALSE,TRUE),OR(exact(Metadata!AA396,"not collected"),exact(Metadata!AA396,"not provided"))),AND(IF(Metadata!AA396="",FALSE,IF(ISERROR(INT(Metadata!AA396)),FALSE,INT(Metadata!AA396)=Metadata!AA396)),Metadata!AA396&gt;0))</f>
        <v>0</v>
      </c>
      <c r="BN396">
        <f>AND(IF(Metadata!AB396="",FALSE,TRUE),exact(Metadata!AB396,"Not applicable"))</f>
        <v>0</v>
      </c>
      <c r="BO396">
        <f>IF(Metadata!AC396="",FALSE,TRUE)</f>
        <v>0</v>
      </c>
    </row>
    <row r="397" spans="1:67">
      <c r="A397" s="5">
        <f>IF(B397=" "," ",HYPERLINK(CONCATENATE("#metadata!",ADDRESS(INDEX($AI$2:$AI$1001,MATCH(ROWS($AG$2:AG397),$AG$2:$AG$1001,0),0),1)),INDEX($AL$2:$AL$1001,MATCH(ROWS($AG$2:AG397),$AG$2:$AG$1001,0),0)))</f>
        <v>0</v>
      </c>
      <c r="B397" s="4">
        <f>IF(OR(INDEX($AH$2:$AH$1001,MATCH(ROWS($AG$2:AG397),$AG$2:$AG$1001,0),1)&gt;=100000,INDEX($AN$1005:$BO$1005,1,MATCH(COLUMNS($AN$1006:AN1006),$AN$1006:$BO$1006,0))&gt;=100000), " ",IF(INDEX($AN$2:$BO$1001,MATCH(ROWS($AG$2:AG397),$AG$2:$AG$1001,0),MATCH(COLUMNS($AN$1006:AN1006),$AN$1006:$BO$1006,0)), HYPERLINK("#",""), HYPERLINK(CONCATENATE("#Metadata!", ADDRESS(INDEX($AI$2:$AI$1001,MATCH(ROWS($AG$2:AG397),$AG$2:$AG$1001,0),0), INDEX($AN$1004:$BO$1004,1,MATCH(COLUMNS($AN$1006:AN1006),$AN$1006:$BO$1006,0)))),"Fix")))</f>
        <v>0</v>
      </c>
      <c r="C397" s="4">
        <f>IF(OR(INDEX($AH$2:$AH$1001,MATCH(ROWS($AG$2:AG397),$AG$2:$AG$1001,0),1)&gt;=100000,INDEX($AN$1005:$BO$1005,1,MATCH(COLUMNS($AN$1006:AO1006),$AN$1006:$BO$1006,0))&gt;=100000), " ",IF(INDEX($AN$2:$BO$1001,MATCH(ROWS($AG$2:AG397),$AG$2:$AG$1001,0),MATCH(COLUMNS($AN$1006:AO1006),$AN$1006:$BO$1006,0)), HYPERLINK("#",""), HYPERLINK(CONCATENATE("#Metadata!", ADDRESS(INDEX($AI$2:$AI$1001,MATCH(ROWS($AG$2:AG397),$AG$2:$AG$1001,0),0), INDEX($AN$1004:$BO$1004,1,MATCH(COLUMNS($AN$1006:AO1006),$AN$1006:$BO$1006,0)))),"Fix")))</f>
        <v>0</v>
      </c>
      <c r="D397" s="4">
        <f>IF(OR(INDEX($AH$2:$AH$1001,MATCH(ROWS($AG$2:AG397),$AG$2:$AG$1001,0),1)&gt;=100000,INDEX($AN$1005:$BO$1005,1,MATCH(COLUMNS($AN$1006:AP1006),$AN$1006:$BO$1006,0))&gt;=100000), " ",IF(INDEX($AN$2:$BO$1001,MATCH(ROWS($AG$2:AG397),$AG$2:$AG$1001,0),MATCH(COLUMNS($AN$1006:AP1006),$AN$1006:$BO$1006,0)), HYPERLINK("#",""), HYPERLINK(CONCATENATE("#Metadata!", ADDRESS(INDEX($AI$2:$AI$1001,MATCH(ROWS($AG$2:AG397),$AG$2:$AG$1001,0),0), INDEX($AN$1004:$BO$1004,1,MATCH(COLUMNS($AN$1006:AP1006),$AN$1006:$BO$1006,0)))),"Fix")))</f>
        <v>0</v>
      </c>
      <c r="E397" s="4">
        <f>IF(OR(INDEX($AH$2:$AH$1001,MATCH(ROWS($AG$2:AG397),$AG$2:$AG$1001,0),1)&gt;=100000,INDEX($AN$1005:$BO$1005,1,MATCH(COLUMNS($AN$1006:AQ1006),$AN$1006:$BO$1006,0))&gt;=100000), " ",IF(INDEX($AN$2:$BO$1001,MATCH(ROWS($AG$2:AG397),$AG$2:$AG$1001,0),MATCH(COLUMNS($AN$1006:AQ1006),$AN$1006:$BO$1006,0)), HYPERLINK("#",""), HYPERLINK(CONCATENATE("#Metadata!", ADDRESS(INDEX($AI$2:$AI$1001,MATCH(ROWS($AG$2:AG397),$AG$2:$AG$1001,0),0), INDEX($AN$1004:$BO$1004,1,MATCH(COLUMNS($AN$1006:AQ1006),$AN$1006:$BO$1006,0)))),"Fix")))</f>
        <v>0</v>
      </c>
      <c r="F397" s="4">
        <f>IF(OR(INDEX($AH$2:$AH$1001,MATCH(ROWS($AG$2:AG397),$AG$2:$AG$1001,0),1)&gt;=100000,INDEX($AN$1005:$BO$1005,1,MATCH(COLUMNS($AN$1006:AR1006),$AN$1006:$BO$1006,0))&gt;=100000), " ",IF(INDEX($AN$2:$BO$1001,MATCH(ROWS($AG$2:AG397),$AG$2:$AG$1001,0),MATCH(COLUMNS($AN$1006:AR1006),$AN$1006:$BO$1006,0)), HYPERLINK("#",""), HYPERLINK(CONCATENATE("#Metadata!", ADDRESS(INDEX($AI$2:$AI$1001,MATCH(ROWS($AG$2:AG397),$AG$2:$AG$1001,0),0), INDEX($AN$1004:$BO$1004,1,MATCH(COLUMNS($AN$1006:AR1006),$AN$1006:$BO$1006,0)))),"Fix")))</f>
        <v>0</v>
      </c>
      <c r="G397" s="4">
        <f>IF(OR(INDEX($AH$2:$AH$1001,MATCH(ROWS($AG$2:AG397),$AG$2:$AG$1001,0),1)&gt;=100000,INDEX($AN$1005:$BO$1005,1,MATCH(COLUMNS($AN$1006:AS1006),$AN$1006:$BO$1006,0))&gt;=100000), " ",IF(INDEX($AN$2:$BO$1001,MATCH(ROWS($AG$2:AG397),$AG$2:$AG$1001,0),MATCH(COLUMNS($AN$1006:AS1006),$AN$1006:$BO$1006,0)), HYPERLINK("#",""), HYPERLINK(CONCATENATE("#Metadata!", ADDRESS(INDEX($AI$2:$AI$1001,MATCH(ROWS($AG$2:AG397),$AG$2:$AG$1001,0),0), INDEX($AN$1004:$BO$1004,1,MATCH(COLUMNS($AN$1006:AS1006),$AN$1006:$BO$1006,0)))),"Fix")))</f>
        <v>0</v>
      </c>
      <c r="H397" s="4">
        <f>IF(OR(INDEX($AH$2:$AH$1001,MATCH(ROWS($AG$2:AG397),$AG$2:$AG$1001,0),1)&gt;=100000,INDEX($AN$1005:$BO$1005,1,MATCH(COLUMNS($AN$1006:AT1006),$AN$1006:$BO$1006,0))&gt;=100000), " ",IF(INDEX($AN$2:$BO$1001,MATCH(ROWS($AG$2:AG397),$AG$2:$AG$1001,0),MATCH(COLUMNS($AN$1006:AT1006),$AN$1006:$BO$1006,0)), HYPERLINK("#",""), HYPERLINK(CONCATENATE("#Metadata!", ADDRESS(INDEX($AI$2:$AI$1001,MATCH(ROWS($AG$2:AG397),$AG$2:$AG$1001,0),0), INDEX($AN$1004:$BO$1004,1,MATCH(COLUMNS($AN$1006:AT1006),$AN$1006:$BO$1006,0)))),"Fix")))</f>
        <v>0</v>
      </c>
      <c r="I397" s="4">
        <f>IF(OR(INDEX($AH$2:$AH$1001,MATCH(ROWS($AG$2:AG397),$AG$2:$AG$1001,0),1)&gt;=100000,INDEX($AN$1005:$BO$1005,1,MATCH(COLUMNS($AN$1006:AU1006),$AN$1006:$BO$1006,0))&gt;=100000), " ",IF(INDEX($AN$2:$BO$1001,MATCH(ROWS($AG$2:AG397),$AG$2:$AG$1001,0),MATCH(COLUMNS($AN$1006:AU1006),$AN$1006:$BO$1006,0)), HYPERLINK("#",""), HYPERLINK(CONCATENATE("#Metadata!", ADDRESS(INDEX($AI$2:$AI$1001,MATCH(ROWS($AG$2:AG397),$AG$2:$AG$1001,0),0), INDEX($AN$1004:$BO$1004,1,MATCH(COLUMNS($AN$1006:AU1006),$AN$1006:$BO$1006,0)))),"Fix")))</f>
        <v>0</v>
      </c>
      <c r="J397" s="4">
        <f>IF(OR(INDEX($AH$2:$AH$1001,MATCH(ROWS($AG$2:AG397),$AG$2:$AG$1001,0),1)&gt;=100000,INDEX($AN$1005:$BO$1005,1,MATCH(COLUMNS($AN$1006:AV1006),$AN$1006:$BO$1006,0))&gt;=100000), " ",IF(INDEX($AN$2:$BO$1001,MATCH(ROWS($AG$2:AG397),$AG$2:$AG$1001,0),MATCH(COLUMNS($AN$1006:AV1006),$AN$1006:$BO$1006,0)), HYPERLINK("#",""), HYPERLINK(CONCATENATE("#Metadata!", ADDRESS(INDEX($AI$2:$AI$1001,MATCH(ROWS($AG$2:AG397),$AG$2:$AG$1001,0),0), INDEX($AN$1004:$BO$1004,1,MATCH(COLUMNS($AN$1006:AV1006),$AN$1006:$BO$1006,0)))),"Fix")))</f>
        <v>0</v>
      </c>
      <c r="K397" s="4">
        <f>IF(OR(INDEX($AH$2:$AH$1001,MATCH(ROWS($AG$2:AG397),$AG$2:$AG$1001,0),1)&gt;=100000,INDEX($AN$1005:$BO$1005,1,MATCH(COLUMNS($AN$1006:AW1006),$AN$1006:$BO$1006,0))&gt;=100000), " ",IF(INDEX($AN$2:$BO$1001,MATCH(ROWS($AG$2:AG397),$AG$2:$AG$1001,0),MATCH(COLUMNS($AN$1006:AW1006),$AN$1006:$BO$1006,0)), HYPERLINK("#",""), HYPERLINK(CONCATENATE("#Metadata!", ADDRESS(INDEX($AI$2:$AI$1001,MATCH(ROWS($AG$2:AG397),$AG$2:$AG$1001,0),0), INDEX($AN$1004:$BO$1004,1,MATCH(COLUMNS($AN$1006:AW1006),$AN$1006:$BO$1006,0)))),"Fix")))</f>
        <v>0</v>
      </c>
      <c r="L397" s="4">
        <f>IF(OR(INDEX($AH$2:$AH$1001,MATCH(ROWS($AG$2:AG397),$AG$2:$AG$1001,0),1)&gt;=100000,INDEX($AN$1005:$BO$1005,1,MATCH(COLUMNS($AN$1006:AX1006),$AN$1006:$BO$1006,0))&gt;=100000), " ",IF(INDEX($AN$2:$BO$1001,MATCH(ROWS($AG$2:AG397),$AG$2:$AG$1001,0),MATCH(COLUMNS($AN$1006:AX1006),$AN$1006:$BO$1006,0)), HYPERLINK("#",""), HYPERLINK(CONCATENATE("#Metadata!", ADDRESS(INDEX($AI$2:$AI$1001,MATCH(ROWS($AG$2:AG397),$AG$2:$AG$1001,0),0), INDEX($AN$1004:$BO$1004,1,MATCH(COLUMNS($AN$1006:AX1006),$AN$1006:$BO$1006,0)))),"Fix")))</f>
        <v>0</v>
      </c>
      <c r="M397" s="4">
        <f>IF(OR(INDEX($AH$2:$AH$1001,MATCH(ROWS($AG$2:AG397),$AG$2:$AG$1001,0),1)&gt;=100000,INDEX($AN$1005:$BO$1005,1,MATCH(COLUMNS($AN$1006:AY1006),$AN$1006:$BO$1006,0))&gt;=100000), " ",IF(INDEX($AN$2:$BO$1001,MATCH(ROWS($AG$2:AG397),$AG$2:$AG$1001,0),MATCH(COLUMNS($AN$1006:AY1006),$AN$1006:$BO$1006,0)), HYPERLINK("#",""), HYPERLINK(CONCATENATE("#Metadata!", ADDRESS(INDEX($AI$2:$AI$1001,MATCH(ROWS($AG$2:AG397),$AG$2:$AG$1001,0),0), INDEX($AN$1004:$BO$1004,1,MATCH(COLUMNS($AN$1006:AY1006),$AN$1006:$BO$1006,0)))),"Fix")))</f>
        <v>0</v>
      </c>
      <c r="N397" s="4">
        <f>IF(OR(INDEX($AH$2:$AH$1001,MATCH(ROWS($AG$2:AG397),$AG$2:$AG$1001,0),1)&gt;=100000,INDEX($AN$1005:$BO$1005,1,MATCH(COLUMNS($AN$1006:AZ1006),$AN$1006:$BO$1006,0))&gt;=100000), " ",IF(INDEX($AN$2:$BO$1001,MATCH(ROWS($AG$2:AG397),$AG$2:$AG$1001,0),MATCH(COLUMNS($AN$1006:AZ1006),$AN$1006:$BO$1006,0)), HYPERLINK("#",""), HYPERLINK(CONCATENATE("#Metadata!", ADDRESS(INDEX($AI$2:$AI$1001,MATCH(ROWS($AG$2:AG397),$AG$2:$AG$1001,0),0), INDEX($AN$1004:$BO$1004,1,MATCH(COLUMNS($AN$1006:AZ1006),$AN$1006:$BO$1006,0)))),"Fix")))</f>
        <v>0</v>
      </c>
      <c r="O397" s="4">
        <f>IF(OR(INDEX($AH$2:$AH$1001,MATCH(ROWS($AG$2:AG397),$AG$2:$AG$1001,0),1)&gt;=100000,INDEX($AN$1005:$BO$1005,1,MATCH(COLUMNS($AN$1006:BA1006),$AN$1006:$BO$1006,0))&gt;=100000), " ",IF(INDEX($AN$2:$BO$1001,MATCH(ROWS($AG$2:AG397),$AG$2:$AG$1001,0),MATCH(COLUMNS($AN$1006:BA1006),$AN$1006:$BO$1006,0)), HYPERLINK("#",""), HYPERLINK(CONCATENATE("#Metadata!", ADDRESS(INDEX($AI$2:$AI$1001,MATCH(ROWS($AG$2:AG397),$AG$2:$AG$1001,0),0), INDEX($AN$1004:$BO$1004,1,MATCH(COLUMNS($AN$1006:BA1006),$AN$1006:$BO$1006,0)))),"Fix")))</f>
        <v>0</v>
      </c>
      <c r="P397" s="4">
        <f>IF(OR(INDEX($AH$2:$AH$1001,MATCH(ROWS($AG$2:AG397),$AG$2:$AG$1001,0),1)&gt;=100000,INDEX($AN$1005:$BO$1005,1,MATCH(COLUMNS($AN$1006:BB1006),$AN$1006:$BO$1006,0))&gt;=100000), " ",IF(INDEX($AN$2:$BO$1001,MATCH(ROWS($AG$2:AG397),$AG$2:$AG$1001,0),MATCH(COLUMNS($AN$1006:BB1006),$AN$1006:$BO$1006,0)), HYPERLINK("#",""), HYPERLINK(CONCATENATE("#Metadata!", ADDRESS(INDEX($AI$2:$AI$1001,MATCH(ROWS($AG$2:AG397),$AG$2:$AG$1001,0),0), INDEX($AN$1004:$BO$1004,1,MATCH(COLUMNS($AN$1006:BB1006),$AN$1006:$BO$1006,0)))),"Fix")))</f>
        <v>0</v>
      </c>
      <c r="Q397" s="4">
        <f>IF(OR(INDEX($AH$2:$AH$1001,MATCH(ROWS($AG$2:AG397),$AG$2:$AG$1001,0),1)&gt;=100000,INDEX($AN$1005:$BO$1005,1,MATCH(COLUMNS($AN$1006:BC1006),$AN$1006:$BO$1006,0))&gt;=100000), " ",IF(INDEX($AN$2:$BO$1001,MATCH(ROWS($AG$2:AG397),$AG$2:$AG$1001,0),MATCH(COLUMNS($AN$1006:BC1006),$AN$1006:$BO$1006,0)), HYPERLINK("#",""), HYPERLINK(CONCATENATE("#Metadata!", ADDRESS(INDEX($AI$2:$AI$1001,MATCH(ROWS($AG$2:AG397),$AG$2:$AG$1001,0),0), INDEX($AN$1004:$BO$1004,1,MATCH(COLUMNS($AN$1006:BC1006),$AN$1006:$BO$1006,0)))),"Fix")))</f>
        <v>0</v>
      </c>
      <c r="R397" s="4">
        <f>IF(OR(INDEX($AH$2:$AH$1001,MATCH(ROWS($AG$2:AG397),$AG$2:$AG$1001,0),1)&gt;=100000,INDEX($AN$1005:$BO$1005,1,MATCH(COLUMNS($AN$1006:BD1006),$AN$1006:$BO$1006,0))&gt;=100000), " ",IF(INDEX($AN$2:$BO$1001,MATCH(ROWS($AG$2:AG397),$AG$2:$AG$1001,0),MATCH(COLUMNS($AN$1006:BD1006),$AN$1006:$BO$1006,0)), HYPERLINK("#",""), HYPERLINK(CONCATENATE("#Metadata!", ADDRESS(INDEX($AI$2:$AI$1001,MATCH(ROWS($AG$2:AG397),$AG$2:$AG$1001,0),0), INDEX($AN$1004:$BO$1004,1,MATCH(COLUMNS($AN$1006:BD1006),$AN$1006:$BO$1006,0)))),"Fix")))</f>
        <v>0</v>
      </c>
      <c r="S397" s="4">
        <f>IF(OR(INDEX($AH$2:$AH$1001,MATCH(ROWS($AG$2:AG397),$AG$2:$AG$1001,0),1)&gt;=100000,INDEX($AN$1005:$BO$1005,1,MATCH(COLUMNS($AN$1006:BE1006),$AN$1006:$BO$1006,0))&gt;=100000), " ",IF(INDEX($AN$2:$BO$1001,MATCH(ROWS($AG$2:AG397),$AG$2:$AG$1001,0),MATCH(COLUMNS($AN$1006:BE1006),$AN$1006:$BO$1006,0)), HYPERLINK("#",""), HYPERLINK(CONCATENATE("#Metadata!", ADDRESS(INDEX($AI$2:$AI$1001,MATCH(ROWS($AG$2:AG397),$AG$2:$AG$1001,0),0), INDEX($AN$1004:$BO$1004,1,MATCH(COLUMNS($AN$1006:BE1006),$AN$1006:$BO$1006,0)))),"Fix")))</f>
        <v>0</v>
      </c>
      <c r="T397" s="4">
        <f>IF(OR(INDEX($AH$2:$AH$1001,MATCH(ROWS($AG$2:AG397),$AG$2:$AG$1001,0),1)&gt;=100000,INDEX($AN$1005:$BO$1005,1,MATCH(COLUMNS($AN$1006:BF1006),$AN$1006:$BO$1006,0))&gt;=100000), " ",IF(INDEX($AN$2:$BO$1001,MATCH(ROWS($AG$2:AG397),$AG$2:$AG$1001,0),MATCH(COLUMNS($AN$1006:BF1006),$AN$1006:$BO$1006,0)), HYPERLINK("#",""), HYPERLINK(CONCATENATE("#Metadata!", ADDRESS(INDEX($AI$2:$AI$1001,MATCH(ROWS($AG$2:AG397),$AG$2:$AG$1001,0),0), INDEX($AN$1004:$BO$1004,1,MATCH(COLUMNS($AN$1006:BF1006),$AN$1006:$BO$1006,0)))),"Fix")))</f>
        <v>0</v>
      </c>
      <c r="U397" s="4">
        <f>IF(OR(INDEX($AH$2:$AH$1001,MATCH(ROWS($AG$2:AG397),$AG$2:$AG$1001,0),1)&gt;=100000,INDEX($AN$1005:$BO$1005,1,MATCH(COLUMNS($AN$1006:BG1006),$AN$1006:$BO$1006,0))&gt;=100000), " ",IF(INDEX($AN$2:$BO$1001,MATCH(ROWS($AG$2:AG397),$AG$2:$AG$1001,0),MATCH(COLUMNS($AN$1006:BG1006),$AN$1006:$BO$1006,0)), HYPERLINK("#",""), HYPERLINK(CONCATENATE("#Metadata!", ADDRESS(INDEX($AI$2:$AI$1001,MATCH(ROWS($AG$2:AG397),$AG$2:$AG$1001,0),0), INDEX($AN$1004:$BO$1004,1,MATCH(COLUMNS($AN$1006:BG1006),$AN$1006:$BO$1006,0)))),"Fix")))</f>
        <v>0</v>
      </c>
      <c r="V397" s="4">
        <f>IF(OR(INDEX($AH$2:$AH$1001,MATCH(ROWS($AG$2:AG397),$AG$2:$AG$1001,0),1)&gt;=100000,INDEX($AN$1005:$BO$1005,1,MATCH(COLUMNS($AN$1006:BH1006),$AN$1006:$BO$1006,0))&gt;=100000), " ",IF(INDEX($AN$2:$BO$1001,MATCH(ROWS($AG$2:AG397),$AG$2:$AG$1001,0),MATCH(COLUMNS($AN$1006:BH1006),$AN$1006:$BO$1006,0)), HYPERLINK("#",""), HYPERLINK(CONCATENATE("#Metadata!", ADDRESS(INDEX($AI$2:$AI$1001,MATCH(ROWS($AG$2:AG397),$AG$2:$AG$1001,0),0), INDEX($AN$1004:$BO$1004,1,MATCH(COLUMNS($AN$1006:BH1006),$AN$1006:$BO$1006,0)))),"Fix")))</f>
        <v>0</v>
      </c>
      <c r="W397" s="4">
        <f>IF(OR(INDEX($AH$2:$AH$1001,MATCH(ROWS($AG$2:AG397),$AG$2:$AG$1001,0),1)&gt;=100000,INDEX($AN$1005:$BO$1005,1,MATCH(COLUMNS($AN$1006:BI1006),$AN$1006:$BO$1006,0))&gt;=100000), " ",IF(INDEX($AN$2:$BO$1001,MATCH(ROWS($AG$2:AG397),$AG$2:$AG$1001,0),MATCH(COLUMNS($AN$1006:BI1006),$AN$1006:$BO$1006,0)), HYPERLINK("#",""), HYPERLINK(CONCATENATE("#Metadata!", ADDRESS(INDEX($AI$2:$AI$1001,MATCH(ROWS($AG$2:AG397),$AG$2:$AG$1001,0),0), INDEX($AN$1004:$BO$1004,1,MATCH(COLUMNS($AN$1006:BI1006),$AN$1006:$BO$1006,0)))),"Fix")))</f>
        <v>0</v>
      </c>
      <c r="X397" s="4">
        <f>IF(OR(INDEX($AH$2:$AH$1001,MATCH(ROWS($AG$2:AG397),$AG$2:$AG$1001,0),1)&gt;=100000,INDEX($AN$1005:$BO$1005,1,MATCH(COLUMNS($AN$1006:BJ1006),$AN$1006:$BO$1006,0))&gt;=100000), " ",IF(INDEX($AN$2:$BO$1001,MATCH(ROWS($AG$2:AG397),$AG$2:$AG$1001,0),MATCH(COLUMNS($AN$1006:BJ1006),$AN$1006:$BO$1006,0)), HYPERLINK("#",""), HYPERLINK(CONCATENATE("#Metadata!", ADDRESS(INDEX($AI$2:$AI$1001,MATCH(ROWS($AG$2:AG397),$AG$2:$AG$1001,0),0), INDEX($AN$1004:$BO$1004,1,MATCH(COLUMNS($AN$1006:BJ1006),$AN$1006:$BO$1006,0)))),"Fix")))</f>
        <v>0</v>
      </c>
      <c r="Y397" s="4">
        <f>IF(OR(INDEX($AH$2:$AH$1001,MATCH(ROWS($AG$2:AG397),$AG$2:$AG$1001,0),1)&gt;=100000,INDEX($AN$1005:$BO$1005,1,MATCH(COLUMNS($AN$1006:BK1006),$AN$1006:$BO$1006,0))&gt;=100000), " ",IF(INDEX($AN$2:$BO$1001,MATCH(ROWS($AG$2:AG397),$AG$2:$AG$1001,0),MATCH(COLUMNS($AN$1006:BK1006),$AN$1006:$BO$1006,0)), HYPERLINK("#",""), HYPERLINK(CONCATENATE("#Metadata!", ADDRESS(INDEX($AI$2:$AI$1001,MATCH(ROWS($AG$2:AG397),$AG$2:$AG$1001,0),0), INDEX($AN$1004:$BO$1004,1,MATCH(COLUMNS($AN$1006:BK1006),$AN$1006:$BO$1006,0)))),"Fix")))</f>
        <v>0</v>
      </c>
      <c r="Z397" s="4">
        <f>IF(OR(INDEX($AH$2:$AH$1001,MATCH(ROWS($AG$2:AG397),$AG$2:$AG$1001,0),1)&gt;=100000,INDEX($AN$1005:$BO$1005,1,MATCH(COLUMNS($AN$1006:BL1006),$AN$1006:$BO$1006,0))&gt;=100000), " ",IF(INDEX($AN$2:$BO$1001,MATCH(ROWS($AG$2:AG397),$AG$2:$AG$1001,0),MATCH(COLUMNS($AN$1006:BL1006),$AN$1006:$BO$1006,0)), HYPERLINK("#",""), HYPERLINK(CONCATENATE("#Metadata!", ADDRESS(INDEX($AI$2:$AI$1001,MATCH(ROWS($AG$2:AG397),$AG$2:$AG$1001,0),0), INDEX($AN$1004:$BO$1004,1,MATCH(COLUMNS($AN$1006:BL1006),$AN$1006:$BO$1006,0)))),"Fix")))</f>
        <v>0</v>
      </c>
      <c r="AA397" s="4">
        <f>IF(OR(INDEX($AH$2:$AH$1001,MATCH(ROWS($AG$2:AG397),$AG$2:$AG$1001,0),1)&gt;=100000,INDEX($AN$1005:$BO$1005,1,MATCH(COLUMNS($AN$1006:BM1006),$AN$1006:$BO$1006,0))&gt;=100000), " ",IF(INDEX($AN$2:$BO$1001,MATCH(ROWS($AG$2:AG397),$AG$2:$AG$1001,0),MATCH(COLUMNS($AN$1006:BM1006),$AN$1006:$BO$1006,0)), HYPERLINK("#",""), HYPERLINK(CONCATENATE("#Metadata!", ADDRESS(INDEX($AI$2:$AI$1001,MATCH(ROWS($AG$2:AG397),$AG$2:$AG$1001,0),0), INDEX($AN$1004:$BO$1004,1,MATCH(COLUMNS($AN$1006:BM1006),$AN$1006:$BO$1006,0)))),"Fix")))</f>
        <v>0</v>
      </c>
      <c r="AB397" s="4">
        <f>IF(OR(INDEX($AH$2:$AH$1001,MATCH(ROWS($AG$2:AG397),$AG$2:$AG$1001,0),1)&gt;=100000,INDEX($AN$1005:$BO$1005,1,MATCH(COLUMNS($AN$1006:BN1006),$AN$1006:$BO$1006,0))&gt;=100000), " ",IF(INDEX($AN$2:$BO$1001,MATCH(ROWS($AG$2:AG397),$AG$2:$AG$1001,0),MATCH(COLUMNS($AN$1006:BN1006),$AN$1006:$BO$1006,0)), HYPERLINK("#",""), HYPERLINK(CONCATENATE("#Metadata!", ADDRESS(INDEX($AI$2:$AI$1001,MATCH(ROWS($AG$2:AG397),$AG$2:$AG$1001,0),0), INDEX($AN$1004:$BO$1004,1,MATCH(COLUMNS($AN$1006:BN1006),$AN$1006:$BO$1006,0)))),"Fix")))</f>
        <v>0</v>
      </c>
      <c r="AC397" s="4">
        <f>IF(OR(INDEX($AH$2:$AH$1001,MATCH(ROWS($AG$2:AG397),$AG$2:$AG$1001,0),1)&gt;=100000,INDEX($AN$1005:$BO$1005,1,MATCH(COLUMNS($AN$1006:BO1006),$AN$1006:$BO$1006,0))&gt;=100000), " ",IF(INDEX($AN$2:$BO$1001,MATCH(ROWS($AG$2:AG397),$AG$2:$AG$1001,0),MATCH(COLUMNS($AN$1006:BO1006),$AN$1006:$BO$1006,0)), HYPERLINK("#",""), HYPERLINK(CONCATENATE("#Metadata!", ADDRESS(INDEX($AI$2:$AI$1001,MATCH(ROWS($AG$2:AG397),$AG$2:$AG$1001,0),0), INDEX($AN$1004:$BO$1004,1,MATCH(COLUMNS($AN$1006:BO1006),$AN$1006:$BO$1006,0)))),"Fix")))</f>
        <v>0</v>
      </c>
      <c r="AG397">
        <v>0</v>
      </c>
      <c r="AH397">
        <v>0</v>
      </c>
      <c r="AI397">
        <v>0</v>
      </c>
      <c r="AJ397">
        <f>IF(AK397,TRUE,AND(AN397:BO397))</f>
        <v>0</v>
      </c>
      <c r="AK397">
        <f>COUNTBLANK(Metadata!B397:AC397)=COLUMNS(Metadata!B397:AC397)</f>
        <v>0</v>
      </c>
      <c r="AL397">
        <v>0</v>
      </c>
      <c r="AN397">
        <f>AND(IF(Metadata!B397="",FALSE,TRUE),COUNTIF(Metadata!B:B, Metadata!B397) = 1,NOT(ISERROR(SUMPRODUCT(SEARCH(MID(Metadata!B397,ROW(INDIRECT("1:"&amp;LEN(Metadata!B397))), 1),"0123456789abcdefghijklmnopqrstuvwxyzABCDEFGHIJKLMNOPQRSTUVWXYZ.")))))</f>
        <v>0</v>
      </c>
      <c r="AO397">
        <f>IF(Metadata!C397="",FALSE,TRUE)</f>
        <v>0</v>
      </c>
      <c r="AP397">
        <f>IF(Metadata!D397="",FALSE,TRUE)</f>
        <v>0</v>
      </c>
      <c r="AQ397">
        <f>OR(AND(IF(Metadata!E397="",FALSE,TRUE),OR(exact(Metadata!E397,"not collected"),exact(Metadata!E397,"not provided"),exact(Metadata!E397,"restricted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R397">
        <f>IF(Metadata!F397="",FALSE,TRUE)</f>
        <v>0</v>
      </c>
      <c r="AS397">
        <f>OR(AND(IF(Metadata!G397="",FALSE,TRUE),OR(exact(Metadata!G397,"not collected"),exact(Metadata!G397,"not provided"))),AND(IF(Metadata!G397="",FALSE,TRUE),OR(exact(Metadata!G397,"TRUE"),exact(Metadata!G397,"FALSE"))))</f>
        <v>0</v>
      </c>
      <c r="AT397">
        <f>OR(AND(IF(Metadata!H397="",FALSE,TRUE),OR(exact(Metadata!H397,"not collected"),exact(Metadata!H397,"not provided"),exact(Metadata!H397,"restricted access"))),AND(IF(Metadata!H397="",FALSE,ISNUMBER(VALUE(Metadata!H397))),Metadata!H397&gt;=-413.0))</f>
        <v>0</v>
      </c>
      <c r="AU397">
        <f>AND(IF(Metadata!I397="",FALSE,TRUE),exact(Metadata!I397,"meters"))</f>
        <v>0</v>
      </c>
      <c r="AV397">
        <f>AND(IF(Metadata!J397="",FALSE,TRUE),OR(exact(Metadata!J397,"Host-associated"),exact(Metadata!J397,"Free-living")))</f>
        <v>0</v>
      </c>
      <c r="AW397">
        <f>AND(IF(Metadata!K397="",FALSE,TRUE),OR(exact(Metadata!K397,"Animal"),exact(Metadata!K397,"Fungus"),exact(Metadata!K397,"Plant"),exact(Metadata!K397,"Saline"),exact(Metadata!K397,"Non-saline")))</f>
        <v>0</v>
      </c>
      <c r="AX397">
        <f>AND(IF(Metadata!L397="",FALSE,TRUE),OR(exact(Metadata!L397,"Plant secretion"),exact(Metadata!L397,"Plant rhizosphere"),exact(Metadata!L397,"Plant surface"),exact(Metadata!L397,"Plant corpus"),exact(Metadata!L397,"Fungus surface"),exact(Metadata!L397,"Fungus corpus"),exact(Metadata!L397,"Animal surface"),exact(Metadata!L397,"Animal proximal gut"),exact(Metadata!L397,"Animal corpus"),exact(Metadata!L397,"Animal distal gut"),exact(Metadata!L397,"Animal secretion"),exact(Metadata!L397,"Sub-surface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Y397">
        <f>IF(Metadata!M397="",FALSE,TRUE)</f>
        <v>0</v>
      </c>
      <c r="AZ397">
        <f>IF(Metadata!N397="",FALSE,TRUE)</f>
        <v>0</v>
      </c>
      <c r="BA397">
        <f>IF(Metadata!O397="",FALSE,TRUE)</f>
        <v>0</v>
      </c>
      <c r="BB397">
        <f>OR(AND(IF(Metadata!P397="",FALSE,TRUE),OR(exact(Metadata!P397,"not collected"),exact(Metadata!P397,"not provided"),exact(Metadata!P397,"restricted access"))),AND(IF(Metadata!P397="",FALSE,TRUE),OR(exact(Metadata!P397,"air"),exact(Metadata!P397,"built environment"),exact(Metadata!P397,"host-associated"),exact(Metadata!P397,"human-associated"),exact(Metadata!P397,"human-skin"),exact(Metadata!P397,"human-oral"),exact(Metadata!P397,"human-gut"),exact(Metadata!P397,"human-vaginal"),exact(Metadata!P397,"microbial mat/biofilm"),exact(Metadata!P397,"misc environment"),exact(Metadata!P397,"plant-associated"),exact(Metadata!P397,"sediment"),exact(Metadata!P397,"soil"),exact(Metadata!P397,"wastewater/sludge"),exact(Metadata!P397,"water"))))</f>
        <v>0</v>
      </c>
      <c r="BC397">
        <f>IF(Metadata!Q397="",FALSE,TRUE)</f>
        <v>0</v>
      </c>
      <c r="BD397">
        <f>IF(Metadata!R397="",FALSE,TRUE)</f>
        <v>0</v>
      </c>
      <c r="BE397">
        <f>OR(AND(IF(Metadata!S397="",FALSE,TRUE),OR(exact(Metadata!S397,"not collected"),exact(Metadata!S397,"not provided"),exact(Metadata!S397,"restricted access"))),AND(IF(Metadata!S397="",FALSE,ISNUMBER(VALUE(Metadata!S397))),Metadata!S397&gt;=-90.00,Metadata!S397&lt;=90.00))</f>
        <v>0</v>
      </c>
      <c r="BF397">
        <f>AND(IF(Metadata!T397="",FALSE,TRUE),exact(Metadata!T397,"Decimal degrees"))</f>
        <v>0</v>
      </c>
      <c r="BG397">
        <f>OR(AND(IF(Metadata!U397="",FALSE,TRUE),OR(exact(Metadata!U397,"not collected"),exact(Metadata!U397,"not provided"),exact(Metadata!U397,"restricted access"))),AND(IF(Metadata!U397="",FALSE,ISNUMBER(VALUE(Metadata!U397))),Metadata!U397&gt;=-180.00,Metadata!U397&lt;=180.00))</f>
        <v>0</v>
      </c>
      <c r="BH397">
        <f>AND(IF(Metadata!V397="",FALSE,TRUE),exact(Metadata!V397,"Decimal degrees"))</f>
        <v>0</v>
      </c>
      <c r="BI397">
        <f>IF(Metadata!W397="",FALSE,TRUE)</f>
        <v>0</v>
      </c>
      <c r="BJ397">
        <f>OR(AND(IF(Metadata!X397="",FALSE,TRUE),OR(exact(Metadata!X397,"not collected"),exact(Metadata!X397,"not provided"),exact(Metadata!X397,"restricted access"))),AND(IF(Metadata!X397="",FALSE,TRUE),OR(exact(Metadata!X397,"TRUE"),exact(Metadata!X397,"FALSE"))))</f>
        <v>0</v>
      </c>
      <c r="BK397">
        <f>AND(IF(Metadata!Y397="",FALSE,TRUE),exact(Metadata!Y397,"other"))</f>
        <v>0</v>
      </c>
      <c r="BL397">
        <f>IF(Metadata!Z397="",FALSE,TRUE)</f>
        <v>0</v>
      </c>
      <c r="BM397">
        <f>OR(AND(IF(Metadata!AA397="",FALSE,TRUE),OR(exact(Metadata!AA397,"not collected"),exact(Metadata!AA397,"not provided"))),AND(IF(Metadata!AA397="",FALSE,IF(ISERROR(INT(Metadata!AA397)),FALSE,INT(Metadata!AA397)=Metadata!AA397)),Metadata!AA397&gt;0))</f>
        <v>0</v>
      </c>
      <c r="BN397">
        <f>AND(IF(Metadata!AB397="",FALSE,TRUE),exact(Metadata!AB397,"Not applicable"))</f>
        <v>0</v>
      </c>
      <c r="BO397">
        <f>IF(Metadata!AC397="",FALSE,TRUE)</f>
        <v>0</v>
      </c>
    </row>
    <row r="398" spans="1:67">
      <c r="A398" s="5">
        <f>IF(B398=" "," ",HYPERLINK(CONCATENATE("#metadata!",ADDRESS(INDEX($AI$2:$AI$1001,MATCH(ROWS($AG$2:AG398),$AG$2:$AG$1001,0),0),1)),INDEX($AL$2:$AL$1001,MATCH(ROWS($AG$2:AG398),$AG$2:$AG$1001,0),0)))</f>
        <v>0</v>
      </c>
      <c r="B398" s="4">
        <f>IF(OR(INDEX($AH$2:$AH$1001,MATCH(ROWS($AG$2:AG398),$AG$2:$AG$1001,0),1)&gt;=100000,INDEX($AN$1005:$BO$1005,1,MATCH(COLUMNS($AN$1006:AN1006),$AN$1006:$BO$1006,0))&gt;=100000), " ",IF(INDEX($AN$2:$BO$1001,MATCH(ROWS($AG$2:AG398),$AG$2:$AG$1001,0),MATCH(COLUMNS($AN$1006:AN1006),$AN$1006:$BO$1006,0)), HYPERLINK("#",""), HYPERLINK(CONCATENATE("#Metadata!", ADDRESS(INDEX($AI$2:$AI$1001,MATCH(ROWS($AG$2:AG398),$AG$2:$AG$1001,0),0), INDEX($AN$1004:$BO$1004,1,MATCH(COLUMNS($AN$1006:AN1006),$AN$1006:$BO$1006,0)))),"Fix")))</f>
        <v>0</v>
      </c>
      <c r="C398" s="4">
        <f>IF(OR(INDEX($AH$2:$AH$1001,MATCH(ROWS($AG$2:AG398),$AG$2:$AG$1001,0),1)&gt;=100000,INDEX($AN$1005:$BO$1005,1,MATCH(COLUMNS($AN$1006:AO1006),$AN$1006:$BO$1006,0))&gt;=100000), " ",IF(INDEX($AN$2:$BO$1001,MATCH(ROWS($AG$2:AG398),$AG$2:$AG$1001,0),MATCH(COLUMNS($AN$1006:AO1006),$AN$1006:$BO$1006,0)), HYPERLINK("#",""), HYPERLINK(CONCATENATE("#Metadata!", ADDRESS(INDEX($AI$2:$AI$1001,MATCH(ROWS($AG$2:AG398),$AG$2:$AG$1001,0),0), INDEX($AN$1004:$BO$1004,1,MATCH(COLUMNS($AN$1006:AO1006),$AN$1006:$BO$1006,0)))),"Fix")))</f>
        <v>0</v>
      </c>
      <c r="D398" s="4">
        <f>IF(OR(INDEX($AH$2:$AH$1001,MATCH(ROWS($AG$2:AG398),$AG$2:$AG$1001,0),1)&gt;=100000,INDEX($AN$1005:$BO$1005,1,MATCH(COLUMNS($AN$1006:AP1006),$AN$1006:$BO$1006,0))&gt;=100000), " ",IF(INDEX($AN$2:$BO$1001,MATCH(ROWS($AG$2:AG398),$AG$2:$AG$1001,0),MATCH(COLUMNS($AN$1006:AP1006),$AN$1006:$BO$1006,0)), HYPERLINK("#",""), HYPERLINK(CONCATENATE("#Metadata!", ADDRESS(INDEX($AI$2:$AI$1001,MATCH(ROWS($AG$2:AG398),$AG$2:$AG$1001,0),0), INDEX($AN$1004:$BO$1004,1,MATCH(COLUMNS($AN$1006:AP1006),$AN$1006:$BO$1006,0)))),"Fix")))</f>
        <v>0</v>
      </c>
      <c r="E398" s="4">
        <f>IF(OR(INDEX($AH$2:$AH$1001,MATCH(ROWS($AG$2:AG398),$AG$2:$AG$1001,0),1)&gt;=100000,INDEX($AN$1005:$BO$1005,1,MATCH(COLUMNS($AN$1006:AQ1006),$AN$1006:$BO$1006,0))&gt;=100000), " ",IF(INDEX($AN$2:$BO$1001,MATCH(ROWS($AG$2:AG398),$AG$2:$AG$1001,0),MATCH(COLUMNS($AN$1006:AQ1006),$AN$1006:$BO$1006,0)), HYPERLINK("#",""), HYPERLINK(CONCATENATE("#Metadata!", ADDRESS(INDEX($AI$2:$AI$1001,MATCH(ROWS($AG$2:AG398),$AG$2:$AG$1001,0),0), INDEX($AN$1004:$BO$1004,1,MATCH(COLUMNS($AN$1006:AQ1006),$AN$1006:$BO$1006,0)))),"Fix")))</f>
        <v>0</v>
      </c>
      <c r="F398" s="4">
        <f>IF(OR(INDEX($AH$2:$AH$1001,MATCH(ROWS($AG$2:AG398),$AG$2:$AG$1001,0),1)&gt;=100000,INDEX($AN$1005:$BO$1005,1,MATCH(COLUMNS($AN$1006:AR1006),$AN$1006:$BO$1006,0))&gt;=100000), " ",IF(INDEX($AN$2:$BO$1001,MATCH(ROWS($AG$2:AG398),$AG$2:$AG$1001,0),MATCH(COLUMNS($AN$1006:AR1006),$AN$1006:$BO$1006,0)), HYPERLINK("#",""), HYPERLINK(CONCATENATE("#Metadata!", ADDRESS(INDEX($AI$2:$AI$1001,MATCH(ROWS($AG$2:AG398),$AG$2:$AG$1001,0),0), INDEX($AN$1004:$BO$1004,1,MATCH(COLUMNS($AN$1006:AR1006),$AN$1006:$BO$1006,0)))),"Fix")))</f>
        <v>0</v>
      </c>
      <c r="G398" s="4">
        <f>IF(OR(INDEX($AH$2:$AH$1001,MATCH(ROWS($AG$2:AG398),$AG$2:$AG$1001,0),1)&gt;=100000,INDEX($AN$1005:$BO$1005,1,MATCH(COLUMNS($AN$1006:AS1006),$AN$1006:$BO$1006,0))&gt;=100000), " ",IF(INDEX($AN$2:$BO$1001,MATCH(ROWS($AG$2:AG398),$AG$2:$AG$1001,0),MATCH(COLUMNS($AN$1006:AS1006),$AN$1006:$BO$1006,0)), HYPERLINK("#",""), HYPERLINK(CONCATENATE("#Metadata!", ADDRESS(INDEX($AI$2:$AI$1001,MATCH(ROWS($AG$2:AG398),$AG$2:$AG$1001,0),0), INDEX($AN$1004:$BO$1004,1,MATCH(COLUMNS($AN$1006:AS1006),$AN$1006:$BO$1006,0)))),"Fix")))</f>
        <v>0</v>
      </c>
      <c r="H398" s="4">
        <f>IF(OR(INDEX($AH$2:$AH$1001,MATCH(ROWS($AG$2:AG398),$AG$2:$AG$1001,0),1)&gt;=100000,INDEX($AN$1005:$BO$1005,1,MATCH(COLUMNS($AN$1006:AT1006),$AN$1006:$BO$1006,0))&gt;=100000), " ",IF(INDEX($AN$2:$BO$1001,MATCH(ROWS($AG$2:AG398),$AG$2:$AG$1001,0),MATCH(COLUMNS($AN$1006:AT1006),$AN$1006:$BO$1006,0)), HYPERLINK("#",""), HYPERLINK(CONCATENATE("#Metadata!", ADDRESS(INDEX($AI$2:$AI$1001,MATCH(ROWS($AG$2:AG398),$AG$2:$AG$1001,0),0), INDEX($AN$1004:$BO$1004,1,MATCH(COLUMNS($AN$1006:AT1006),$AN$1006:$BO$1006,0)))),"Fix")))</f>
        <v>0</v>
      </c>
      <c r="I398" s="4">
        <f>IF(OR(INDEX($AH$2:$AH$1001,MATCH(ROWS($AG$2:AG398),$AG$2:$AG$1001,0),1)&gt;=100000,INDEX($AN$1005:$BO$1005,1,MATCH(COLUMNS($AN$1006:AU1006),$AN$1006:$BO$1006,0))&gt;=100000), " ",IF(INDEX($AN$2:$BO$1001,MATCH(ROWS($AG$2:AG398),$AG$2:$AG$1001,0),MATCH(COLUMNS($AN$1006:AU1006),$AN$1006:$BO$1006,0)), HYPERLINK("#",""), HYPERLINK(CONCATENATE("#Metadata!", ADDRESS(INDEX($AI$2:$AI$1001,MATCH(ROWS($AG$2:AG398),$AG$2:$AG$1001,0),0), INDEX($AN$1004:$BO$1004,1,MATCH(COLUMNS($AN$1006:AU1006),$AN$1006:$BO$1006,0)))),"Fix")))</f>
        <v>0</v>
      </c>
      <c r="J398" s="4">
        <f>IF(OR(INDEX($AH$2:$AH$1001,MATCH(ROWS($AG$2:AG398),$AG$2:$AG$1001,0),1)&gt;=100000,INDEX($AN$1005:$BO$1005,1,MATCH(COLUMNS($AN$1006:AV1006),$AN$1006:$BO$1006,0))&gt;=100000), " ",IF(INDEX($AN$2:$BO$1001,MATCH(ROWS($AG$2:AG398),$AG$2:$AG$1001,0),MATCH(COLUMNS($AN$1006:AV1006),$AN$1006:$BO$1006,0)), HYPERLINK("#",""), HYPERLINK(CONCATENATE("#Metadata!", ADDRESS(INDEX($AI$2:$AI$1001,MATCH(ROWS($AG$2:AG398),$AG$2:$AG$1001,0),0), INDEX($AN$1004:$BO$1004,1,MATCH(COLUMNS($AN$1006:AV1006),$AN$1006:$BO$1006,0)))),"Fix")))</f>
        <v>0</v>
      </c>
      <c r="K398" s="4">
        <f>IF(OR(INDEX($AH$2:$AH$1001,MATCH(ROWS($AG$2:AG398),$AG$2:$AG$1001,0),1)&gt;=100000,INDEX($AN$1005:$BO$1005,1,MATCH(COLUMNS($AN$1006:AW1006),$AN$1006:$BO$1006,0))&gt;=100000), " ",IF(INDEX($AN$2:$BO$1001,MATCH(ROWS($AG$2:AG398),$AG$2:$AG$1001,0),MATCH(COLUMNS($AN$1006:AW1006),$AN$1006:$BO$1006,0)), HYPERLINK("#",""), HYPERLINK(CONCATENATE("#Metadata!", ADDRESS(INDEX($AI$2:$AI$1001,MATCH(ROWS($AG$2:AG398),$AG$2:$AG$1001,0),0), INDEX($AN$1004:$BO$1004,1,MATCH(COLUMNS($AN$1006:AW1006),$AN$1006:$BO$1006,0)))),"Fix")))</f>
        <v>0</v>
      </c>
      <c r="L398" s="4">
        <f>IF(OR(INDEX($AH$2:$AH$1001,MATCH(ROWS($AG$2:AG398),$AG$2:$AG$1001,0),1)&gt;=100000,INDEX($AN$1005:$BO$1005,1,MATCH(COLUMNS($AN$1006:AX1006),$AN$1006:$BO$1006,0))&gt;=100000), " ",IF(INDEX($AN$2:$BO$1001,MATCH(ROWS($AG$2:AG398),$AG$2:$AG$1001,0),MATCH(COLUMNS($AN$1006:AX1006),$AN$1006:$BO$1006,0)), HYPERLINK("#",""), HYPERLINK(CONCATENATE("#Metadata!", ADDRESS(INDEX($AI$2:$AI$1001,MATCH(ROWS($AG$2:AG398),$AG$2:$AG$1001,0),0), INDEX($AN$1004:$BO$1004,1,MATCH(COLUMNS($AN$1006:AX1006),$AN$1006:$BO$1006,0)))),"Fix")))</f>
        <v>0</v>
      </c>
      <c r="M398" s="4">
        <f>IF(OR(INDEX($AH$2:$AH$1001,MATCH(ROWS($AG$2:AG398),$AG$2:$AG$1001,0),1)&gt;=100000,INDEX($AN$1005:$BO$1005,1,MATCH(COLUMNS($AN$1006:AY1006),$AN$1006:$BO$1006,0))&gt;=100000), " ",IF(INDEX($AN$2:$BO$1001,MATCH(ROWS($AG$2:AG398),$AG$2:$AG$1001,0),MATCH(COLUMNS($AN$1006:AY1006),$AN$1006:$BO$1006,0)), HYPERLINK("#",""), HYPERLINK(CONCATENATE("#Metadata!", ADDRESS(INDEX($AI$2:$AI$1001,MATCH(ROWS($AG$2:AG398),$AG$2:$AG$1001,0),0), INDEX($AN$1004:$BO$1004,1,MATCH(COLUMNS($AN$1006:AY1006),$AN$1006:$BO$1006,0)))),"Fix")))</f>
        <v>0</v>
      </c>
      <c r="N398" s="4">
        <f>IF(OR(INDEX($AH$2:$AH$1001,MATCH(ROWS($AG$2:AG398),$AG$2:$AG$1001,0),1)&gt;=100000,INDEX($AN$1005:$BO$1005,1,MATCH(COLUMNS($AN$1006:AZ1006),$AN$1006:$BO$1006,0))&gt;=100000), " ",IF(INDEX($AN$2:$BO$1001,MATCH(ROWS($AG$2:AG398),$AG$2:$AG$1001,0),MATCH(COLUMNS($AN$1006:AZ1006),$AN$1006:$BO$1006,0)), HYPERLINK("#",""), HYPERLINK(CONCATENATE("#Metadata!", ADDRESS(INDEX($AI$2:$AI$1001,MATCH(ROWS($AG$2:AG398),$AG$2:$AG$1001,0),0), INDEX($AN$1004:$BO$1004,1,MATCH(COLUMNS($AN$1006:AZ1006),$AN$1006:$BO$1006,0)))),"Fix")))</f>
        <v>0</v>
      </c>
      <c r="O398" s="4">
        <f>IF(OR(INDEX($AH$2:$AH$1001,MATCH(ROWS($AG$2:AG398),$AG$2:$AG$1001,0),1)&gt;=100000,INDEX($AN$1005:$BO$1005,1,MATCH(COLUMNS($AN$1006:BA1006),$AN$1006:$BO$1006,0))&gt;=100000), " ",IF(INDEX($AN$2:$BO$1001,MATCH(ROWS($AG$2:AG398),$AG$2:$AG$1001,0),MATCH(COLUMNS($AN$1006:BA1006),$AN$1006:$BO$1006,0)), HYPERLINK("#",""), HYPERLINK(CONCATENATE("#Metadata!", ADDRESS(INDEX($AI$2:$AI$1001,MATCH(ROWS($AG$2:AG398),$AG$2:$AG$1001,0),0), INDEX($AN$1004:$BO$1004,1,MATCH(COLUMNS($AN$1006:BA1006),$AN$1006:$BO$1006,0)))),"Fix")))</f>
        <v>0</v>
      </c>
      <c r="P398" s="4">
        <f>IF(OR(INDEX($AH$2:$AH$1001,MATCH(ROWS($AG$2:AG398),$AG$2:$AG$1001,0),1)&gt;=100000,INDEX($AN$1005:$BO$1005,1,MATCH(COLUMNS($AN$1006:BB1006),$AN$1006:$BO$1006,0))&gt;=100000), " ",IF(INDEX($AN$2:$BO$1001,MATCH(ROWS($AG$2:AG398),$AG$2:$AG$1001,0),MATCH(COLUMNS($AN$1006:BB1006),$AN$1006:$BO$1006,0)), HYPERLINK("#",""), HYPERLINK(CONCATENATE("#Metadata!", ADDRESS(INDEX($AI$2:$AI$1001,MATCH(ROWS($AG$2:AG398),$AG$2:$AG$1001,0),0), INDEX($AN$1004:$BO$1004,1,MATCH(COLUMNS($AN$1006:BB1006),$AN$1006:$BO$1006,0)))),"Fix")))</f>
        <v>0</v>
      </c>
      <c r="Q398" s="4">
        <f>IF(OR(INDEX($AH$2:$AH$1001,MATCH(ROWS($AG$2:AG398),$AG$2:$AG$1001,0),1)&gt;=100000,INDEX($AN$1005:$BO$1005,1,MATCH(COLUMNS($AN$1006:BC1006),$AN$1006:$BO$1006,0))&gt;=100000), " ",IF(INDEX($AN$2:$BO$1001,MATCH(ROWS($AG$2:AG398),$AG$2:$AG$1001,0),MATCH(COLUMNS($AN$1006:BC1006),$AN$1006:$BO$1006,0)), HYPERLINK("#",""), HYPERLINK(CONCATENATE("#Metadata!", ADDRESS(INDEX($AI$2:$AI$1001,MATCH(ROWS($AG$2:AG398),$AG$2:$AG$1001,0),0), INDEX($AN$1004:$BO$1004,1,MATCH(COLUMNS($AN$1006:BC1006),$AN$1006:$BO$1006,0)))),"Fix")))</f>
        <v>0</v>
      </c>
      <c r="R398" s="4">
        <f>IF(OR(INDEX($AH$2:$AH$1001,MATCH(ROWS($AG$2:AG398),$AG$2:$AG$1001,0),1)&gt;=100000,INDEX($AN$1005:$BO$1005,1,MATCH(COLUMNS($AN$1006:BD1006),$AN$1006:$BO$1006,0))&gt;=100000), " ",IF(INDEX($AN$2:$BO$1001,MATCH(ROWS($AG$2:AG398),$AG$2:$AG$1001,0),MATCH(COLUMNS($AN$1006:BD1006),$AN$1006:$BO$1006,0)), HYPERLINK("#",""), HYPERLINK(CONCATENATE("#Metadata!", ADDRESS(INDEX($AI$2:$AI$1001,MATCH(ROWS($AG$2:AG398),$AG$2:$AG$1001,0),0), INDEX($AN$1004:$BO$1004,1,MATCH(COLUMNS($AN$1006:BD1006),$AN$1006:$BO$1006,0)))),"Fix")))</f>
        <v>0</v>
      </c>
      <c r="S398" s="4">
        <f>IF(OR(INDEX($AH$2:$AH$1001,MATCH(ROWS($AG$2:AG398),$AG$2:$AG$1001,0),1)&gt;=100000,INDEX($AN$1005:$BO$1005,1,MATCH(COLUMNS($AN$1006:BE1006),$AN$1006:$BO$1006,0))&gt;=100000), " ",IF(INDEX($AN$2:$BO$1001,MATCH(ROWS($AG$2:AG398),$AG$2:$AG$1001,0),MATCH(COLUMNS($AN$1006:BE1006),$AN$1006:$BO$1006,0)), HYPERLINK("#",""), HYPERLINK(CONCATENATE("#Metadata!", ADDRESS(INDEX($AI$2:$AI$1001,MATCH(ROWS($AG$2:AG398),$AG$2:$AG$1001,0),0), INDEX($AN$1004:$BO$1004,1,MATCH(COLUMNS($AN$1006:BE1006),$AN$1006:$BO$1006,0)))),"Fix")))</f>
        <v>0</v>
      </c>
      <c r="T398" s="4">
        <f>IF(OR(INDEX($AH$2:$AH$1001,MATCH(ROWS($AG$2:AG398),$AG$2:$AG$1001,0),1)&gt;=100000,INDEX($AN$1005:$BO$1005,1,MATCH(COLUMNS($AN$1006:BF1006),$AN$1006:$BO$1006,0))&gt;=100000), " ",IF(INDEX($AN$2:$BO$1001,MATCH(ROWS($AG$2:AG398),$AG$2:$AG$1001,0),MATCH(COLUMNS($AN$1006:BF1006),$AN$1006:$BO$1006,0)), HYPERLINK("#",""), HYPERLINK(CONCATENATE("#Metadata!", ADDRESS(INDEX($AI$2:$AI$1001,MATCH(ROWS($AG$2:AG398),$AG$2:$AG$1001,0),0), INDEX($AN$1004:$BO$1004,1,MATCH(COLUMNS($AN$1006:BF1006),$AN$1006:$BO$1006,0)))),"Fix")))</f>
        <v>0</v>
      </c>
      <c r="U398" s="4">
        <f>IF(OR(INDEX($AH$2:$AH$1001,MATCH(ROWS($AG$2:AG398),$AG$2:$AG$1001,0),1)&gt;=100000,INDEX($AN$1005:$BO$1005,1,MATCH(COLUMNS($AN$1006:BG1006),$AN$1006:$BO$1006,0))&gt;=100000), " ",IF(INDEX($AN$2:$BO$1001,MATCH(ROWS($AG$2:AG398),$AG$2:$AG$1001,0),MATCH(COLUMNS($AN$1006:BG1006),$AN$1006:$BO$1006,0)), HYPERLINK("#",""), HYPERLINK(CONCATENATE("#Metadata!", ADDRESS(INDEX($AI$2:$AI$1001,MATCH(ROWS($AG$2:AG398),$AG$2:$AG$1001,0),0), INDEX($AN$1004:$BO$1004,1,MATCH(COLUMNS($AN$1006:BG1006),$AN$1006:$BO$1006,0)))),"Fix")))</f>
        <v>0</v>
      </c>
      <c r="V398" s="4">
        <f>IF(OR(INDEX($AH$2:$AH$1001,MATCH(ROWS($AG$2:AG398),$AG$2:$AG$1001,0),1)&gt;=100000,INDEX($AN$1005:$BO$1005,1,MATCH(COLUMNS($AN$1006:BH1006),$AN$1006:$BO$1006,0))&gt;=100000), " ",IF(INDEX($AN$2:$BO$1001,MATCH(ROWS($AG$2:AG398),$AG$2:$AG$1001,0),MATCH(COLUMNS($AN$1006:BH1006),$AN$1006:$BO$1006,0)), HYPERLINK("#",""), HYPERLINK(CONCATENATE("#Metadata!", ADDRESS(INDEX($AI$2:$AI$1001,MATCH(ROWS($AG$2:AG398),$AG$2:$AG$1001,0),0), INDEX($AN$1004:$BO$1004,1,MATCH(COLUMNS($AN$1006:BH1006),$AN$1006:$BO$1006,0)))),"Fix")))</f>
        <v>0</v>
      </c>
      <c r="W398" s="4">
        <f>IF(OR(INDEX($AH$2:$AH$1001,MATCH(ROWS($AG$2:AG398),$AG$2:$AG$1001,0),1)&gt;=100000,INDEX($AN$1005:$BO$1005,1,MATCH(COLUMNS($AN$1006:BI1006),$AN$1006:$BO$1006,0))&gt;=100000), " ",IF(INDEX($AN$2:$BO$1001,MATCH(ROWS($AG$2:AG398),$AG$2:$AG$1001,0),MATCH(COLUMNS($AN$1006:BI1006),$AN$1006:$BO$1006,0)), HYPERLINK("#",""), HYPERLINK(CONCATENATE("#Metadata!", ADDRESS(INDEX($AI$2:$AI$1001,MATCH(ROWS($AG$2:AG398),$AG$2:$AG$1001,0),0), INDEX($AN$1004:$BO$1004,1,MATCH(COLUMNS($AN$1006:BI1006),$AN$1006:$BO$1006,0)))),"Fix")))</f>
        <v>0</v>
      </c>
      <c r="X398" s="4">
        <f>IF(OR(INDEX($AH$2:$AH$1001,MATCH(ROWS($AG$2:AG398),$AG$2:$AG$1001,0),1)&gt;=100000,INDEX($AN$1005:$BO$1005,1,MATCH(COLUMNS($AN$1006:BJ1006),$AN$1006:$BO$1006,0))&gt;=100000), " ",IF(INDEX($AN$2:$BO$1001,MATCH(ROWS($AG$2:AG398),$AG$2:$AG$1001,0),MATCH(COLUMNS($AN$1006:BJ1006),$AN$1006:$BO$1006,0)), HYPERLINK("#",""), HYPERLINK(CONCATENATE("#Metadata!", ADDRESS(INDEX($AI$2:$AI$1001,MATCH(ROWS($AG$2:AG398),$AG$2:$AG$1001,0),0), INDEX($AN$1004:$BO$1004,1,MATCH(COLUMNS($AN$1006:BJ1006),$AN$1006:$BO$1006,0)))),"Fix")))</f>
        <v>0</v>
      </c>
      <c r="Y398" s="4">
        <f>IF(OR(INDEX($AH$2:$AH$1001,MATCH(ROWS($AG$2:AG398),$AG$2:$AG$1001,0),1)&gt;=100000,INDEX($AN$1005:$BO$1005,1,MATCH(COLUMNS($AN$1006:BK1006),$AN$1006:$BO$1006,0))&gt;=100000), " ",IF(INDEX($AN$2:$BO$1001,MATCH(ROWS($AG$2:AG398),$AG$2:$AG$1001,0),MATCH(COLUMNS($AN$1006:BK1006),$AN$1006:$BO$1006,0)), HYPERLINK("#",""), HYPERLINK(CONCATENATE("#Metadata!", ADDRESS(INDEX($AI$2:$AI$1001,MATCH(ROWS($AG$2:AG398),$AG$2:$AG$1001,0),0), INDEX($AN$1004:$BO$1004,1,MATCH(COLUMNS($AN$1006:BK1006),$AN$1006:$BO$1006,0)))),"Fix")))</f>
        <v>0</v>
      </c>
      <c r="Z398" s="4">
        <f>IF(OR(INDEX($AH$2:$AH$1001,MATCH(ROWS($AG$2:AG398),$AG$2:$AG$1001,0),1)&gt;=100000,INDEX($AN$1005:$BO$1005,1,MATCH(COLUMNS($AN$1006:BL1006),$AN$1006:$BO$1006,0))&gt;=100000), " ",IF(INDEX($AN$2:$BO$1001,MATCH(ROWS($AG$2:AG398),$AG$2:$AG$1001,0),MATCH(COLUMNS($AN$1006:BL1006),$AN$1006:$BO$1006,0)), HYPERLINK("#",""), HYPERLINK(CONCATENATE("#Metadata!", ADDRESS(INDEX($AI$2:$AI$1001,MATCH(ROWS($AG$2:AG398),$AG$2:$AG$1001,0),0), INDEX($AN$1004:$BO$1004,1,MATCH(COLUMNS($AN$1006:BL1006),$AN$1006:$BO$1006,0)))),"Fix")))</f>
        <v>0</v>
      </c>
      <c r="AA398" s="4">
        <f>IF(OR(INDEX($AH$2:$AH$1001,MATCH(ROWS($AG$2:AG398),$AG$2:$AG$1001,0),1)&gt;=100000,INDEX($AN$1005:$BO$1005,1,MATCH(COLUMNS($AN$1006:BM1006),$AN$1006:$BO$1006,0))&gt;=100000), " ",IF(INDEX($AN$2:$BO$1001,MATCH(ROWS($AG$2:AG398),$AG$2:$AG$1001,0),MATCH(COLUMNS($AN$1006:BM1006),$AN$1006:$BO$1006,0)), HYPERLINK("#",""), HYPERLINK(CONCATENATE("#Metadata!", ADDRESS(INDEX($AI$2:$AI$1001,MATCH(ROWS($AG$2:AG398),$AG$2:$AG$1001,0),0), INDEX($AN$1004:$BO$1004,1,MATCH(COLUMNS($AN$1006:BM1006),$AN$1006:$BO$1006,0)))),"Fix")))</f>
        <v>0</v>
      </c>
      <c r="AB398" s="4">
        <f>IF(OR(INDEX($AH$2:$AH$1001,MATCH(ROWS($AG$2:AG398),$AG$2:$AG$1001,0),1)&gt;=100000,INDEX($AN$1005:$BO$1005,1,MATCH(COLUMNS($AN$1006:BN1006),$AN$1006:$BO$1006,0))&gt;=100000), " ",IF(INDEX($AN$2:$BO$1001,MATCH(ROWS($AG$2:AG398),$AG$2:$AG$1001,0),MATCH(COLUMNS($AN$1006:BN1006),$AN$1006:$BO$1006,0)), HYPERLINK("#",""), HYPERLINK(CONCATENATE("#Metadata!", ADDRESS(INDEX($AI$2:$AI$1001,MATCH(ROWS($AG$2:AG398),$AG$2:$AG$1001,0),0), INDEX($AN$1004:$BO$1004,1,MATCH(COLUMNS($AN$1006:BN1006),$AN$1006:$BO$1006,0)))),"Fix")))</f>
        <v>0</v>
      </c>
      <c r="AC398" s="4">
        <f>IF(OR(INDEX($AH$2:$AH$1001,MATCH(ROWS($AG$2:AG398),$AG$2:$AG$1001,0),1)&gt;=100000,INDEX($AN$1005:$BO$1005,1,MATCH(COLUMNS($AN$1006:BO1006),$AN$1006:$BO$1006,0))&gt;=100000), " ",IF(INDEX($AN$2:$BO$1001,MATCH(ROWS($AG$2:AG398),$AG$2:$AG$1001,0),MATCH(COLUMNS($AN$1006:BO1006),$AN$1006:$BO$1006,0)), HYPERLINK("#",""), HYPERLINK(CONCATENATE("#Metadata!", ADDRESS(INDEX($AI$2:$AI$1001,MATCH(ROWS($AG$2:AG398),$AG$2:$AG$1001,0),0), INDEX($AN$1004:$BO$1004,1,MATCH(COLUMNS($AN$1006:BO1006),$AN$1006:$BO$1006,0)))),"Fix")))</f>
        <v>0</v>
      </c>
      <c r="AG398">
        <v>0</v>
      </c>
      <c r="AH398">
        <v>0</v>
      </c>
      <c r="AI398">
        <v>0</v>
      </c>
      <c r="AJ398">
        <f>IF(AK398,TRUE,AND(AN398:BO398))</f>
        <v>0</v>
      </c>
      <c r="AK398">
        <f>COUNTBLANK(Metadata!B398:AC398)=COLUMNS(Metadata!B398:AC398)</f>
        <v>0</v>
      </c>
      <c r="AL398">
        <v>0</v>
      </c>
      <c r="AN398">
        <f>AND(IF(Metadata!B398="",FALSE,TRUE),COUNTIF(Metadata!B:B, Metadata!B398) = 1,NOT(ISERROR(SUMPRODUCT(SEARCH(MID(Metadata!B398,ROW(INDIRECT("1:"&amp;LEN(Metadata!B398))), 1),"0123456789abcdefghijklmnopqrstuvwxyzABCDEFGHIJKLMNOPQRSTUVWXYZ.")))))</f>
        <v>0</v>
      </c>
      <c r="AO398">
        <f>IF(Metadata!C398="",FALSE,TRUE)</f>
        <v>0</v>
      </c>
      <c r="AP398">
        <f>IF(Metadata!D398="",FALSE,TRUE)</f>
        <v>0</v>
      </c>
      <c r="AQ398">
        <f>OR(AND(IF(Metadata!E398="",FALSE,TRUE),OR(exact(Metadata!E398,"not collected"),exact(Metadata!E398,"not provided"),exact(Metadata!E398,"restricted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R398">
        <f>IF(Metadata!F398="",FALSE,TRUE)</f>
        <v>0</v>
      </c>
      <c r="AS398">
        <f>OR(AND(IF(Metadata!G398="",FALSE,TRUE),OR(exact(Metadata!G398,"not collected"),exact(Metadata!G398,"not provided"))),AND(IF(Metadata!G398="",FALSE,TRUE),OR(exact(Metadata!G398,"TRUE"),exact(Metadata!G398,"FALSE"))))</f>
        <v>0</v>
      </c>
      <c r="AT398">
        <f>OR(AND(IF(Metadata!H398="",FALSE,TRUE),OR(exact(Metadata!H398,"not collected"),exact(Metadata!H398,"not provided"),exact(Metadata!H398,"restricted access"))),AND(IF(Metadata!H398="",FALSE,ISNUMBER(VALUE(Metadata!H398))),Metadata!H398&gt;=-413.0))</f>
        <v>0</v>
      </c>
      <c r="AU398">
        <f>AND(IF(Metadata!I398="",FALSE,TRUE),exact(Metadata!I398,"meters"))</f>
        <v>0</v>
      </c>
      <c r="AV398">
        <f>AND(IF(Metadata!J398="",FALSE,TRUE),OR(exact(Metadata!J398,"Host-associated"),exact(Metadata!J398,"Free-living")))</f>
        <v>0</v>
      </c>
      <c r="AW398">
        <f>AND(IF(Metadata!K398="",FALSE,TRUE),OR(exact(Metadata!K398,"Animal"),exact(Metadata!K398,"Fungus"),exact(Metadata!K398,"Plant"),exact(Metadata!K398,"Saline"),exact(Metadata!K398,"Non-saline")))</f>
        <v>0</v>
      </c>
      <c r="AX398">
        <f>AND(IF(Metadata!L398="",FALSE,TRUE),OR(exact(Metadata!L398,"Plant secretion"),exact(Metadata!L398,"Plant rhizosphere"),exact(Metadata!L398,"Plant surface"),exact(Metadata!L398,"Plant corpus"),exact(Metadata!L398,"Fungus surface"),exact(Metadata!L398,"Fungus corpus"),exact(Metadata!L398,"Animal surface"),exact(Metadata!L398,"Animal proximal gut"),exact(Metadata!L398,"Animal corpus"),exact(Metadata!L398,"Animal distal gut"),exact(Metadata!L398,"Animal secretion"),exact(Metadata!L398,"Sub-surface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Y398">
        <f>IF(Metadata!M398="",FALSE,TRUE)</f>
        <v>0</v>
      </c>
      <c r="AZ398">
        <f>IF(Metadata!N398="",FALSE,TRUE)</f>
        <v>0</v>
      </c>
      <c r="BA398">
        <f>IF(Metadata!O398="",FALSE,TRUE)</f>
        <v>0</v>
      </c>
      <c r="BB398">
        <f>OR(AND(IF(Metadata!P398="",FALSE,TRUE),OR(exact(Metadata!P398,"not collected"),exact(Metadata!P398,"not provided"),exact(Metadata!P398,"restricted access"))),AND(IF(Metadata!P398="",FALSE,TRUE),OR(exact(Metadata!P398,"air"),exact(Metadata!P398,"built environment"),exact(Metadata!P398,"host-associated"),exact(Metadata!P398,"human-associated"),exact(Metadata!P398,"human-skin"),exact(Metadata!P398,"human-oral"),exact(Metadata!P398,"human-gut"),exact(Metadata!P398,"human-vaginal"),exact(Metadata!P398,"microbial mat/biofilm"),exact(Metadata!P398,"misc environment"),exact(Metadata!P398,"plant-associated"),exact(Metadata!P398,"sediment"),exact(Metadata!P398,"soil"),exact(Metadata!P398,"wastewater/sludge"),exact(Metadata!P398,"water"))))</f>
        <v>0</v>
      </c>
      <c r="BC398">
        <f>IF(Metadata!Q398="",FALSE,TRUE)</f>
        <v>0</v>
      </c>
      <c r="BD398">
        <f>IF(Metadata!R398="",FALSE,TRUE)</f>
        <v>0</v>
      </c>
      <c r="BE398">
        <f>OR(AND(IF(Metadata!S398="",FALSE,TRUE),OR(exact(Metadata!S398,"not collected"),exact(Metadata!S398,"not provided"),exact(Metadata!S398,"restricted access"))),AND(IF(Metadata!S398="",FALSE,ISNUMBER(VALUE(Metadata!S398))),Metadata!S398&gt;=-90.00,Metadata!S398&lt;=90.00))</f>
        <v>0</v>
      </c>
      <c r="BF398">
        <f>AND(IF(Metadata!T398="",FALSE,TRUE),exact(Metadata!T398,"Decimal degrees"))</f>
        <v>0</v>
      </c>
      <c r="BG398">
        <f>OR(AND(IF(Metadata!U398="",FALSE,TRUE),OR(exact(Metadata!U398,"not collected"),exact(Metadata!U398,"not provided"),exact(Metadata!U398,"restricted access"))),AND(IF(Metadata!U398="",FALSE,ISNUMBER(VALUE(Metadata!U398))),Metadata!U398&gt;=-180.00,Metadata!U398&lt;=180.00))</f>
        <v>0</v>
      </c>
      <c r="BH398">
        <f>AND(IF(Metadata!V398="",FALSE,TRUE),exact(Metadata!V398,"Decimal degrees"))</f>
        <v>0</v>
      </c>
      <c r="BI398">
        <f>IF(Metadata!W398="",FALSE,TRUE)</f>
        <v>0</v>
      </c>
      <c r="BJ398">
        <f>OR(AND(IF(Metadata!X398="",FALSE,TRUE),OR(exact(Metadata!X398,"not collected"),exact(Metadata!X398,"not provided"),exact(Metadata!X398,"restricted access"))),AND(IF(Metadata!X398="",FALSE,TRUE),OR(exact(Metadata!X398,"TRUE"),exact(Metadata!X398,"FALSE"))))</f>
        <v>0</v>
      </c>
      <c r="BK398">
        <f>AND(IF(Metadata!Y398="",FALSE,TRUE),exact(Metadata!Y398,"other"))</f>
        <v>0</v>
      </c>
      <c r="BL398">
        <f>IF(Metadata!Z398="",FALSE,TRUE)</f>
        <v>0</v>
      </c>
      <c r="BM398">
        <f>OR(AND(IF(Metadata!AA398="",FALSE,TRUE),OR(exact(Metadata!AA398,"not collected"),exact(Metadata!AA398,"not provided"))),AND(IF(Metadata!AA398="",FALSE,IF(ISERROR(INT(Metadata!AA398)),FALSE,INT(Metadata!AA398)=Metadata!AA398)),Metadata!AA398&gt;0))</f>
        <v>0</v>
      </c>
      <c r="BN398">
        <f>AND(IF(Metadata!AB398="",FALSE,TRUE),exact(Metadata!AB398,"Not applicable"))</f>
        <v>0</v>
      </c>
      <c r="BO398">
        <f>IF(Metadata!AC398="",FALSE,TRUE)</f>
        <v>0</v>
      </c>
    </row>
    <row r="399" spans="1:67">
      <c r="A399" s="5">
        <f>IF(B399=" "," ",HYPERLINK(CONCATENATE("#metadata!",ADDRESS(INDEX($AI$2:$AI$1001,MATCH(ROWS($AG$2:AG399),$AG$2:$AG$1001,0),0),1)),INDEX($AL$2:$AL$1001,MATCH(ROWS($AG$2:AG399),$AG$2:$AG$1001,0),0)))</f>
        <v>0</v>
      </c>
      <c r="B399" s="4">
        <f>IF(OR(INDEX($AH$2:$AH$1001,MATCH(ROWS($AG$2:AG399),$AG$2:$AG$1001,0),1)&gt;=100000,INDEX($AN$1005:$BO$1005,1,MATCH(COLUMNS($AN$1006:AN1006),$AN$1006:$BO$1006,0))&gt;=100000), " ",IF(INDEX($AN$2:$BO$1001,MATCH(ROWS($AG$2:AG399),$AG$2:$AG$1001,0),MATCH(COLUMNS($AN$1006:AN1006),$AN$1006:$BO$1006,0)), HYPERLINK("#",""), HYPERLINK(CONCATENATE("#Metadata!", ADDRESS(INDEX($AI$2:$AI$1001,MATCH(ROWS($AG$2:AG399),$AG$2:$AG$1001,0),0), INDEX($AN$1004:$BO$1004,1,MATCH(COLUMNS($AN$1006:AN1006),$AN$1006:$BO$1006,0)))),"Fix")))</f>
        <v>0</v>
      </c>
      <c r="C399" s="4">
        <f>IF(OR(INDEX($AH$2:$AH$1001,MATCH(ROWS($AG$2:AG399),$AG$2:$AG$1001,0),1)&gt;=100000,INDEX($AN$1005:$BO$1005,1,MATCH(COLUMNS($AN$1006:AO1006),$AN$1006:$BO$1006,0))&gt;=100000), " ",IF(INDEX($AN$2:$BO$1001,MATCH(ROWS($AG$2:AG399),$AG$2:$AG$1001,0),MATCH(COLUMNS($AN$1006:AO1006),$AN$1006:$BO$1006,0)), HYPERLINK("#",""), HYPERLINK(CONCATENATE("#Metadata!", ADDRESS(INDEX($AI$2:$AI$1001,MATCH(ROWS($AG$2:AG399),$AG$2:$AG$1001,0),0), INDEX($AN$1004:$BO$1004,1,MATCH(COLUMNS($AN$1006:AO1006),$AN$1006:$BO$1006,0)))),"Fix")))</f>
        <v>0</v>
      </c>
      <c r="D399" s="4">
        <f>IF(OR(INDEX($AH$2:$AH$1001,MATCH(ROWS($AG$2:AG399),$AG$2:$AG$1001,0),1)&gt;=100000,INDEX($AN$1005:$BO$1005,1,MATCH(COLUMNS($AN$1006:AP1006),$AN$1006:$BO$1006,0))&gt;=100000), " ",IF(INDEX($AN$2:$BO$1001,MATCH(ROWS($AG$2:AG399),$AG$2:$AG$1001,0),MATCH(COLUMNS($AN$1006:AP1006),$AN$1006:$BO$1006,0)), HYPERLINK("#",""), HYPERLINK(CONCATENATE("#Metadata!", ADDRESS(INDEX($AI$2:$AI$1001,MATCH(ROWS($AG$2:AG399),$AG$2:$AG$1001,0),0), INDEX($AN$1004:$BO$1004,1,MATCH(COLUMNS($AN$1006:AP1006),$AN$1006:$BO$1006,0)))),"Fix")))</f>
        <v>0</v>
      </c>
      <c r="E399" s="4">
        <f>IF(OR(INDEX($AH$2:$AH$1001,MATCH(ROWS($AG$2:AG399),$AG$2:$AG$1001,0),1)&gt;=100000,INDEX($AN$1005:$BO$1005,1,MATCH(COLUMNS($AN$1006:AQ1006),$AN$1006:$BO$1006,0))&gt;=100000), " ",IF(INDEX($AN$2:$BO$1001,MATCH(ROWS($AG$2:AG399),$AG$2:$AG$1001,0),MATCH(COLUMNS($AN$1006:AQ1006),$AN$1006:$BO$1006,0)), HYPERLINK("#",""), HYPERLINK(CONCATENATE("#Metadata!", ADDRESS(INDEX($AI$2:$AI$1001,MATCH(ROWS($AG$2:AG399),$AG$2:$AG$1001,0),0), INDEX($AN$1004:$BO$1004,1,MATCH(COLUMNS($AN$1006:AQ1006),$AN$1006:$BO$1006,0)))),"Fix")))</f>
        <v>0</v>
      </c>
      <c r="F399" s="4">
        <f>IF(OR(INDEX($AH$2:$AH$1001,MATCH(ROWS($AG$2:AG399),$AG$2:$AG$1001,0),1)&gt;=100000,INDEX($AN$1005:$BO$1005,1,MATCH(COLUMNS($AN$1006:AR1006),$AN$1006:$BO$1006,0))&gt;=100000), " ",IF(INDEX($AN$2:$BO$1001,MATCH(ROWS($AG$2:AG399),$AG$2:$AG$1001,0),MATCH(COLUMNS($AN$1006:AR1006),$AN$1006:$BO$1006,0)), HYPERLINK("#",""), HYPERLINK(CONCATENATE("#Metadata!", ADDRESS(INDEX($AI$2:$AI$1001,MATCH(ROWS($AG$2:AG399),$AG$2:$AG$1001,0),0), INDEX($AN$1004:$BO$1004,1,MATCH(COLUMNS($AN$1006:AR1006),$AN$1006:$BO$1006,0)))),"Fix")))</f>
        <v>0</v>
      </c>
      <c r="G399" s="4">
        <f>IF(OR(INDEX($AH$2:$AH$1001,MATCH(ROWS($AG$2:AG399),$AG$2:$AG$1001,0),1)&gt;=100000,INDEX($AN$1005:$BO$1005,1,MATCH(COLUMNS($AN$1006:AS1006),$AN$1006:$BO$1006,0))&gt;=100000), " ",IF(INDEX($AN$2:$BO$1001,MATCH(ROWS($AG$2:AG399),$AG$2:$AG$1001,0),MATCH(COLUMNS($AN$1006:AS1006),$AN$1006:$BO$1006,0)), HYPERLINK("#",""), HYPERLINK(CONCATENATE("#Metadata!", ADDRESS(INDEX($AI$2:$AI$1001,MATCH(ROWS($AG$2:AG399),$AG$2:$AG$1001,0),0), INDEX($AN$1004:$BO$1004,1,MATCH(COLUMNS($AN$1006:AS1006),$AN$1006:$BO$1006,0)))),"Fix")))</f>
        <v>0</v>
      </c>
      <c r="H399" s="4">
        <f>IF(OR(INDEX($AH$2:$AH$1001,MATCH(ROWS($AG$2:AG399),$AG$2:$AG$1001,0),1)&gt;=100000,INDEX($AN$1005:$BO$1005,1,MATCH(COLUMNS($AN$1006:AT1006),$AN$1006:$BO$1006,0))&gt;=100000), " ",IF(INDEX($AN$2:$BO$1001,MATCH(ROWS($AG$2:AG399),$AG$2:$AG$1001,0),MATCH(COLUMNS($AN$1006:AT1006),$AN$1006:$BO$1006,0)), HYPERLINK("#",""), HYPERLINK(CONCATENATE("#Metadata!", ADDRESS(INDEX($AI$2:$AI$1001,MATCH(ROWS($AG$2:AG399),$AG$2:$AG$1001,0),0), INDEX($AN$1004:$BO$1004,1,MATCH(COLUMNS($AN$1006:AT1006),$AN$1006:$BO$1006,0)))),"Fix")))</f>
        <v>0</v>
      </c>
      <c r="I399" s="4">
        <f>IF(OR(INDEX($AH$2:$AH$1001,MATCH(ROWS($AG$2:AG399),$AG$2:$AG$1001,0),1)&gt;=100000,INDEX($AN$1005:$BO$1005,1,MATCH(COLUMNS($AN$1006:AU1006),$AN$1006:$BO$1006,0))&gt;=100000), " ",IF(INDEX($AN$2:$BO$1001,MATCH(ROWS($AG$2:AG399),$AG$2:$AG$1001,0),MATCH(COLUMNS($AN$1006:AU1006),$AN$1006:$BO$1006,0)), HYPERLINK("#",""), HYPERLINK(CONCATENATE("#Metadata!", ADDRESS(INDEX($AI$2:$AI$1001,MATCH(ROWS($AG$2:AG399),$AG$2:$AG$1001,0),0), INDEX($AN$1004:$BO$1004,1,MATCH(COLUMNS($AN$1006:AU1006),$AN$1006:$BO$1006,0)))),"Fix")))</f>
        <v>0</v>
      </c>
      <c r="J399" s="4">
        <f>IF(OR(INDEX($AH$2:$AH$1001,MATCH(ROWS($AG$2:AG399),$AG$2:$AG$1001,0),1)&gt;=100000,INDEX($AN$1005:$BO$1005,1,MATCH(COLUMNS($AN$1006:AV1006),$AN$1006:$BO$1006,0))&gt;=100000), " ",IF(INDEX($AN$2:$BO$1001,MATCH(ROWS($AG$2:AG399),$AG$2:$AG$1001,0),MATCH(COLUMNS($AN$1006:AV1006),$AN$1006:$BO$1006,0)), HYPERLINK("#",""), HYPERLINK(CONCATENATE("#Metadata!", ADDRESS(INDEX($AI$2:$AI$1001,MATCH(ROWS($AG$2:AG399),$AG$2:$AG$1001,0),0), INDEX($AN$1004:$BO$1004,1,MATCH(COLUMNS($AN$1006:AV1006),$AN$1006:$BO$1006,0)))),"Fix")))</f>
        <v>0</v>
      </c>
      <c r="K399" s="4">
        <f>IF(OR(INDEX($AH$2:$AH$1001,MATCH(ROWS($AG$2:AG399),$AG$2:$AG$1001,0),1)&gt;=100000,INDEX($AN$1005:$BO$1005,1,MATCH(COLUMNS($AN$1006:AW1006),$AN$1006:$BO$1006,0))&gt;=100000), " ",IF(INDEX($AN$2:$BO$1001,MATCH(ROWS($AG$2:AG399),$AG$2:$AG$1001,0),MATCH(COLUMNS($AN$1006:AW1006),$AN$1006:$BO$1006,0)), HYPERLINK("#",""), HYPERLINK(CONCATENATE("#Metadata!", ADDRESS(INDEX($AI$2:$AI$1001,MATCH(ROWS($AG$2:AG399),$AG$2:$AG$1001,0),0), INDEX($AN$1004:$BO$1004,1,MATCH(COLUMNS($AN$1006:AW1006),$AN$1006:$BO$1006,0)))),"Fix")))</f>
        <v>0</v>
      </c>
      <c r="L399" s="4">
        <f>IF(OR(INDEX($AH$2:$AH$1001,MATCH(ROWS($AG$2:AG399),$AG$2:$AG$1001,0),1)&gt;=100000,INDEX($AN$1005:$BO$1005,1,MATCH(COLUMNS($AN$1006:AX1006),$AN$1006:$BO$1006,0))&gt;=100000), " ",IF(INDEX($AN$2:$BO$1001,MATCH(ROWS($AG$2:AG399),$AG$2:$AG$1001,0),MATCH(COLUMNS($AN$1006:AX1006),$AN$1006:$BO$1006,0)), HYPERLINK("#",""), HYPERLINK(CONCATENATE("#Metadata!", ADDRESS(INDEX($AI$2:$AI$1001,MATCH(ROWS($AG$2:AG399),$AG$2:$AG$1001,0),0), INDEX($AN$1004:$BO$1004,1,MATCH(COLUMNS($AN$1006:AX1006),$AN$1006:$BO$1006,0)))),"Fix")))</f>
        <v>0</v>
      </c>
      <c r="M399" s="4">
        <f>IF(OR(INDEX($AH$2:$AH$1001,MATCH(ROWS($AG$2:AG399),$AG$2:$AG$1001,0),1)&gt;=100000,INDEX($AN$1005:$BO$1005,1,MATCH(COLUMNS($AN$1006:AY1006),$AN$1006:$BO$1006,0))&gt;=100000), " ",IF(INDEX($AN$2:$BO$1001,MATCH(ROWS($AG$2:AG399),$AG$2:$AG$1001,0),MATCH(COLUMNS($AN$1006:AY1006),$AN$1006:$BO$1006,0)), HYPERLINK("#",""), HYPERLINK(CONCATENATE("#Metadata!", ADDRESS(INDEX($AI$2:$AI$1001,MATCH(ROWS($AG$2:AG399),$AG$2:$AG$1001,0),0), INDEX($AN$1004:$BO$1004,1,MATCH(COLUMNS($AN$1006:AY1006),$AN$1006:$BO$1006,0)))),"Fix")))</f>
        <v>0</v>
      </c>
      <c r="N399" s="4">
        <f>IF(OR(INDEX($AH$2:$AH$1001,MATCH(ROWS($AG$2:AG399),$AG$2:$AG$1001,0),1)&gt;=100000,INDEX($AN$1005:$BO$1005,1,MATCH(COLUMNS($AN$1006:AZ1006),$AN$1006:$BO$1006,0))&gt;=100000), " ",IF(INDEX($AN$2:$BO$1001,MATCH(ROWS($AG$2:AG399),$AG$2:$AG$1001,0),MATCH(COLUMNS($AN$1006:AZ1006),$AN$1006:$BO$1006,0)), HYPERLINK("#",""), HYPERLINK(CONCATENATE("#Metadata!", ADDRESS(INDEX($AI$2:$AI$1001,MATCH(ROWS($AG$2:AG399),$AG$2:$AG$1001,0),0), INDEX($AN$1004:$BO$1004,1,MATCH(COLUMNS($AN$1006:AZ1006),$AN$1006:$BO$1006,0)))),"Fix")))</f>
        <v>0</v>
      </c>
      <c r="O399" s="4">
        <f>IF(OR(INDEX($AH$2:$AH$1001,MATCH(ROWS($AG$2:AG399),$AG$2:$AG$1001,0),1)&gt;=100000,INDEX($AN$1005:$BO$1005,1,MATCH(COLUMNS($AN$1006:BA1006),$AN$1006:$BO$1006,0))&gt;=100000), " ",IF(INDEX($AN$2:$BO$1001,MATCH(ROWS($AG$2:AG399),$AG$2:$AG$1001,0),MATCH(COLUMNS($AN$1006:BA1006),$AN$1006:$BO$1006,0)), HYPERLINK("#",""), HYPERLINK(CONCATENATE("#Metadata!", ADDRESS(INDEX($AI$2:$AI$1001,MATCH(ROWS($AG$2:AG399),$AG$2:$AG$1001,0),0), INDEX($AN$1004:$BO$1004,1,MATCH(COLUMNS($AN$1006:BA1006),$AN$1006:$BO$1006,0)))),"Fix")))</f>
        <v>0</v>
      </c>
      <c r="P399" s="4">
        <f>IF(OR(INDEX($AH$2:$AH$1001,MATCH(ROWS($AG$2:AG399),$AG$2:$AG$1001,0),1)&gt;=100000,INDEX($AN$1005:$BO$1005,1,MATCH(COLUMNS($AN$1006:BB1006),$AN$1006:$BO$1006,0))&gt;=100000), " ",IF(INDEX($AN$2:$BO$1001,MATCH(ROWS($AG$2:AG399),$AG$2:$AG$1001,0),MATCH(COLUMNS($AN$1006:BB1006),$AN$1006:$BO$1006,0)), HYPERLINK("#",""), HYPERLINK(CONCATENATE("#Metadata!", ADDRESS(INDEX($AI$2:$AI$1001,MATCH(ROWS($AG$2:AG399),$AG$2:$AG$1001,0),0), INDEX($AN$1004:$BO$1004,1,MATCH(COLUMNS($AN$1006:BB1006),$AN$1006:$BO$1006,0)))),"Fix")))</f>
        <v>0</v>
      </c>
      <c r="Q399" s="4">
        <f>IF(OR(INDEX($AH$2:$AH$1001,MATCH(ROWS($AG$2:AG399),$AG$2:$AG$1001,0),1)&gt;=100000,INDEX($AN$1005:$BO$1005,1,MATCH(COLUMNS($AN$1006:BC1006),$AN$1006:$BO$1006,0))&gt;=100000), " ",IF(INDEX($AN$2:$BO$1001,MATCH(ROWS($AG$2:AG399),$AG$2:$AG$1001,0),MATCH(COLUMNS($AN$1006:BC1006),$AN$1006:$BO$1006,0)), HYPERLINK("#",""), HYPERLINK(CONCATENATE("#Metadata!", ADDRESS(INDEX($AI$2:$AI$1001,MATCH(ROWS($AG$2:AG399),$AG$2:$AG$1001,0),0), INDEX($AN$1004:$BO$1004,1,MATCH(COLUMNS($AN$1006:BC1006),$AN$1006:$BO$1006,0)))),"Fix")))</f>
        <v>0</v>
      </c>
      <c r="R399" s="4">
        <f>IF(OR(INDEX($AH$2:$AH$1001,MATCH(ROWS($AG$2:AG399),$AG$2:$AG$1001,0),1)&gt;=100000,INDEX($AN$1005:$BO$1005,1,MATCH(COLUMNS($AN$1006:BD1006),$AN$1006:$BO$1006,0))&gt;=100000), " ",IF(INDEX($AN$2:$BO$1001,MATCH(ROWS($AG$2:AG399),$AG$2:$AG$1001,0),MATCH(COLUMNS($AN$1006:BD1006),$AN$1006:$BO$1006,0)), HYPERLINK("#",""), HYPERLINK(CONCATENATE("#Metadata!", ADDRESS(INDEX($AI$2:$AI$1001,MATCH(ROWS($AG$2:AG399),$AG$2:$AG$1001,0),0), INDEX($AN$1004:$BO$1004,1,MATCH(COLUMNS($AN$1006:BD1006),$AN$1006:$BO$1006,0)))),"Fix")))</f>
        <v>0</v>
      </c>
      <c r="S399" s="4">
        <f>IF(OR(INDEX($AH$2:$AH$1001,MATCH(ROWS($AG$2:AG399),$AG$2:$AG$1001,0),1)&gt;=100000,INDEX($AN$1005:$BO$1005,1,MATCH(COLUMNS($AN$1006:BE1006),$AN$1006:$BO$1006,0))&gt;=100000), " ",IF(INDEX($AN$2:$BO$1001,MATCH(ROWS($AG$2:AG399),$AG$2:$AG$1001,0),MATCH(COLUMNS($AN$1006:BE1006),$AN$1006:$BO$1006,0)), HYPERLINK("#",""), HYPERLINK(CONCATENATE("#Metadata!", ADDRESS(INDEX($AI$2:$AI$1001,MATCH(ROWS($AG$2:AG399),$AG$2:$AG$1001,0),0), INDEX($AN$1004:$BO$1004,1,MATCH(COLUMNS($AN$1006:BE1006),$AN$1006:$BO$1006,0)))),"Fix")))</f>
        <v>0</v>
      </c>
      <c r="T399" s="4">
        <f>IF(OR(INDEX($AH$2:$AH$1001,MATCH(ROWS($AG$2:AG399),$AG$2:$AG$1001,0),1)&gt;=100000,INDEX($AN$1005:$BO$1005,1,MATCH(COLUMNS($AN$1006:BF1006),$AN$1006:$BO$1006,0))&gt;=100000), " ",IF(INDEX($AN$2:$BO$1001,MATCH(ROWS($AG$2:AG399),$AG$2:$AG$1001,0),MATCH(COLUMNS($AN$1006:BF1006),$AN$1006:$BO$1006,0)), HYPERLINK("#",""), HYPERLINK(CONCATENATE("#Metadata!", ADDRESS(INDEX($AI$2:$AI$1001,MATCH(ROWS($AG$2:AG399),$AG$2:$AG$1001,0),0), INDEX($AN$1004:$BO$1004,1,MATCH(COLUMNS($AN$1006:BF1006),$AN$1006:$BO$1006,0)))),"Fix")))</f>
        <v>0</v>
      </c>
      <c r="U399" s="4">
        <f>IF(OR(INDEX($AH$2:$AH$1001,MATCH(ROWS($AG$2:AG399),$AG$2:$AG$1001,0),1)&gt;=100000,INDEX($AN$1005:$BO$1005,1,MATCH(COLUMNS($AN$1006:BG1006),$AN$1006:$BO$1006,0))&gt;=100000), " ",IF(INDEX($AN$2:$BO$1001,MATCH(ROWS($AG$2:AG399),$AG$2:$AG$1001,0),MATCH(COLUMNS($AN$1006:BG1006),$AN$1006:$BO$1006,0)), HYPERLINK("#",""), HYPERLINK(CONCATENATE("#Metadata!", ADDRESS(INDEX($AI$2:$AI$1001,MATCH(ROWS($AG$2:AG399),$AG$2:$AG$1001,0),0), INDEX($AN$1004:$BO$1004,1,MATCH(COLUMNS($AN$1006:BG1006),$AN$1006:$BO$1006,0)))),"Fix")))</f>
        <v>0</v>
      </c>
      <c r="V399" s="4">
        <f>IF(OR(INDEX($AH$2:$AH$1001,MATCH(ROWS($AG$2:AG399),$AG$2:$AG$1001,0),1)&gt;=100000,INDEX($AN$1005:$BO$1005,1,MATCH(COLUMNS($AN$1006:BH1006),$AN$1006:$BO$1006,0))&gt;=100000), " ",IF(INDEX($AN$2:$BO$1001,MATCH(ROWS($AG$2:AG399),$AG$2:$AG$1001,0),MATCH(COLUMNS($AN$1006:BH1006),$AN$1006:$BO$1006,0)), HYPERLINK("#",""), HYPERLINK(CONCATENATE("#Metadata!", ADDRESS(INDEX($AI$2:$AI$1001,MATCH(ROWS($AG$2:AG399),$AG$2:$AG$1001,0),0), INDEX($AN$1004:$BO$1004,1,MATCH(COLUMNS($AN$1006:BH1006),$AN$1006:$BO$1006,0)))),"Fix")))</f>
        <v>0</v>
      </c>
      <c r="W399" s="4">
        <f>IF(OR(INDEX($AH$2:$AH$1001,MATCH(ROWS($AG$2:AG399),$AG$2:$AG$1001,0),1)&gt;=100000,INDEX($AN$1005:$BO$1005,1,MATCH(COLUMNS($AN$1006:BI1006),$AN$1006:$BO$1006,0))&gt;=100000), " ",IF(INDEX($AN$2:$BO$1001,MATCH(ROWS($AG$2:AG399),$AG$2:$AG$1001,0),MATCH(COLUMNS($AN$1006:BI1006),$AN$1006:$BO$1006,0)), HYPERLINK("#",""), HYPERLINK(CONCATENATE("#Metadata!", ADDRESS(INDEX($AI$2:$AI$1001,MATCH(ROWS($AG$2:AG399),$AG$2:$AG$1001,0),0), INDEX($AN$1004:$BO$1004,1,MATCH(COLUMNS($AN$1006:BI1006),$AN$1006:$BO$1006,0)))),"Fix")))</f>
        <v>0</v>
      </c>
      <c r="X399" s="4">
        <f>IF(OR(INDEX($AH$2:$AH$1001,MATCH(ROWS($AG$2:AG399),$AG$2:$AG$1001,0),1)&gt;=100000,INDEX($AN$1005:$BO$1005,1,MATCH(COLUMNS($AN$1006:BJ1006),$AN$1006:$BO$1006,0))&gt;=100000), " ",IF(INDEX($AN$2:$BO$1001,MATCH(ROWS($AG$2:AG399),$AG$2:$AG$1001,0),MATCH(COLUMNS($AN$1006:BJ1006),$AN$1006:$BO$1006,0)), HYPERLINK("#",""), HYPERLINK(CONCATENATE("#Metadata!", ADDRESS(INDEX($AI$2:$AI$1001,MATCH(ROWS($AG$2:AG399),$AG$2:$AG$1001,0),0), INDEX($AN$1004:$BO$1004,1,MATCH(COLUMNS($AN$1006:BJ1006),$AN$1006:$BO$1006,0)))),"Fix")))</f>
        <v>0</v>
      </c>
      <c r="Y399" s="4">
        <f>IF(OR(INDEX($AH$2:$AH$1001,MATCH(ROWS($AG$2:AG399),$AG$2:$AG$1001,0),1)&gt;=100000,INDEX($AN$1005:$BO$1005,1,MATCH(COLUMNS($AN$1006:BK1006),$AN$1006:$BO$1006,0))&gt;=100000), " ",IF(INDEX($AN$2:$BO$1001,MATCH(ROWS($AG$2:AG399),$AG$2:$AG$1001,0),MATCH(COLUMNS($AN$1006:BK1006),$AN$1006:$BO$1006,0)), HYPERLINK("#",""), HYPERLINK(CONCATENATE("#Metadata!", ADDRESS(INDEX($AI$2:$AI$1001,MATCH(ROWS($AG$2:AG399),$AG$2:$AG$1001,0),0), INDEX($AN$1004:$BO$1004,1,MATCH(COLUMNS($AN$1006:BK1006),$AN$1006:$BO$1006,0)))),"Fix")))</f>
        <v>0</v>
      </c>
      <c r="Z399" s="4">
        <f>IF(OR(INDEX($AH$2:$AH$1001,MATCH(ROWS($AG$2:AG399),$AG$2:$AG$1001,0),1)&gt;=100000,INDEX($AN$1005:$BO$1005,1,MATCH(COLUMNS($AN$1006:BL1006),$AN$1006:$BO$1006,0))&gt;=100000), " ",IF(INDEX($AN$2:$BO$1001,MATCH(ROWS($AG$2:AG399),$AG$2:$AG$1001,0),MATCH(COLUMNS($AN$1006:BL1006),$AN$1006:$BO$1006,0)), HYPERLINK("#",""), HYPERLINK(CONCATENATE("#Metadata!", ADDRESS(INDEX($AI$2:$AI$1001,MATCH(ROWS($AG$2:AG399),$AG$2:$AG$1001,0),0), INDEX($AN$1004:$BO$1004,1,MATCH(COLUMNS($AN$1006:BL1006),$AN$1006:$BO$1006,0)))),"Fix")))</f>
        <v>0</v>
      </c>
      <c r="AA399" s="4">
        <f>IF(OR(INDEX($AH$2:$AH$1001,MATCH(ROWS($AG$2:AG399),$AG$2:$AG$1001,0),1)&gt;=100000,INDEX($AN$1005:$BO$1005,1,MATCH(COLUMNS($AN$1006:BM1006),$AN$1006:$BO$1006,0))&gt;=100000), " ",IF(INDEX($AN$2:$BO$1001,MATCH(ROWS($AG$2:AG399),$AG$2:$AG$1001,0),MATCH(COLUMNS($AN$1006:BM1006),$AN$1006:$BO$1006,0)), HYPERLINK("#",""), HYPERLINK(CONCATENATE("#Metadata!", ADDRESS(INDEX($AI$2:$AI$1001,MATCH(ROWS($AG$2:AG399),$AG$2:$AG$1001,0),0), INDEX($AN$1004:$BO$1004,1,MATCH(COLUMNS($AN$1006:BM1006),$AN$1006:$BO$1006,0)))),"Fix")))</f>
        <v>0</v>
      </c>
      <c r="AB399" s="4">
        <f>IF(OR(INDEX($AH$2:$AH$1001,MATCH(ROWS($AG$2:AG399),$AG$2:$AG$1001,0),1)&gt;=100000,INDEX($AN$1005:$BO$1005,1,MATCH(COLUMNS($AN$1006:BN1006),$AN$1006:$BO$1006,0))&gt;=100000), " ",IF(INDEX($AN$2:$BO$1001,MATCH(ROWS($AG$2:AG399),$AG$2:$AG$1001,0),MATCH(COLUMNS($AN$1006:BN1006),$AN$1006:$BO$1006,0)), HYPERLINK("#",""), HYPERLINK(CONCATENATE("#Metadata!", ADDRESS(INDEX($AI$2:$AI$1001,MATCH(ROWS($AG$2:AG399),$AG$2:$AG$1001,0),0), INDEX($AN$1004:$BO$1004,1,MATCH(COLUMNS($AN$1006:BN1006),$AN$1006:$BO$1006,0)))),"Fix")))</f>
        <v>0</v>
      </c>
      <c r="AC399" s="4">
        <f>IF(OR(INDEX($AH$2:$AH$1001,MATCH(ROWS($AG$2:AG399),$AG$2:$AG$1001,0),1)&gt;=100000,INDEX($AN$1005:$BO$1005,1,MATCH(COLUMNS($AN$1006:BO1006),$AN$1006:$BO$1006,0))&gt;=100000), " ",IF(INDEX($AN$2:$BO$1001,MATCH(ROWS($AG$2:AG399),$AG$2:$AG$1001,0),MATCH(COLUMNS($AN$1006:BO1006),$AN$1006:$BO$1006,0)), HYPERLINK("#",""), HYPERLINK(CONCATENATE("#Metadata!", ADDRESS(INDEX($AI$2:$AI$1001,MATCH(ROWS($AG$2:AG399),$AG$2:$AG$1001,0),0), INDEX($AN$1004:$BO$1004,1,MATCH(COLUMNS($AN$1006:BO1006),$AN$1006:$BO$1006,0)))),"Fix")))</f>
        <v>0</v>
      </c>
      <c r="AG399">
        <v>0</v>
      </c>
      <c r="AH399">
        <v>0</v>
      </c>
      <c r="AI399">
        <v>0</v>
      </c>
      <c r="AJ399">
        <f>IF(AK399,TRUE,AND(AN399:BO399))</f>
        <v>0</v>
      </c>
      <c r="AK399">
        <f>COUNTBLANK(Metadata!B399:AC399)=COLUMNS(Metadata!B399:AC399)</f>
        <v>0</v>
      </c>
      <c r="AL399">
        <v>0</v>
      </c>
      <c r="AN399">
        <f>AND(IF(Metadata!B399="",FALSE,TRUE),COUNTIF(Metadata!B:B, Metadata!B399) = 1,NOT(ISERROR(SUMPRODUCT(SEARCH(MID(Metadata!B399,ROW(INDIRECT("1:"&amp;LEN(Metadata!B399))), 1),"0123456789abcdefghijklmnopqrstuvwxyzABCDEFGHIJKLMNOPQRSTUVWXYZ.")))))</f>
        <v>0</v>
      </c>
      <c r="AO399">
        <f>IF(Metadata!C399="",FALSE,TRUE)</f>
        <v>0</v>
      </c>
      <c r="AP399">
        <f>IF(Metadata!D399="",FALSE,TRUE)</f>
        <v>0</v>
      </c>
      <c r="AQ399">
        <f>OR(AND(IF(Metadata!E399="",FALSE,TRUE),OR(exact(Metadata!E399,"not collected"),exact(Metadata!E399,"not provided"),exact(Metadata!E399,"restricted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R399">
        <f>IF(Metadata!F399="",FALSE,TRUE)</f>
        <v>0</v>
      </c>
      <c r="AS399">
        <f>OR(AND(IF(Metadata!G399="",FALSE,TRUE),OR(exact(Metadata!G399,"not collected"),exact(Metadata!G399,"not provided"))),AND(IF(Metadata!G399="",FALSE,TRUE),OR(exact(Metadata!G399,"TRUE"),exact(Metadata!G399,"FALSE"))))</f>
        <v>0</v>
      </c>
      <c r="AT399">
        <f>OR(AND(IF(Metadata!H399="",FALSE,TRUE),OR(exact(Metadata!H399,"not collected"),exact(Metadata!H399,"not provided"),exact(Metadata!H399,"restricted access"))),AND(IF(Metadata!H399="",FALSE,ISNUMBER(VALUE(Metadata!H399))),Metadata!H399&gt;=-413.0))</f>
        <v>0</v>
      </c>
      <c r="AU399">
        <f>AND(IF(Metadata!I399="",FALSE,TRUE),exact(Metadata!I399,"meters"))</f>
        <v>0</v>
      </c>
      <c r="AV399">
        <f>AND(IF(Metadata!J399="",FALSE,TRUE),OR(exact(Metadata!J399,"Host-associated"),exact(Metadata!J399,"Free-living")))</f>
        <v>0</v>
      </c>
      <c r="AW399">
        <f>AND(IF(Metadata!K399="",FALSE,TRUE),OR(exact(Metadata!K399,"Animal"),exact(Metadata!K399,"Fungus"),exact(Metadata!K399,"Plant"),exact(Metadata!K399,"Saline"),exact(Metadata!K399,"Non-saline")))</f>
        <v>0</v>
      </c>
      <c r="AX399">
        <f>AND(IF(Metadata!L399="",FALSE,TRUE),OR(exact(Metadata!L399,"Plant secretion"),exact(Metadata!L399,"Plant rhizosphere"),exact(Metadata!L399,"Plant surface"),exact(Metadata!L399,"Plant corpus"),exact(Metadata!L399,"Fungus surface"),exact(Metadata!L399,"Fungus corpus"),exact(Metadata!L399,"Animal surface"),exact(Metadata!L399,"Animal proximal gut"),exact(Metadata!L399,"Animal corpus"),exact(Metadata!L399,"Animal distal gut"),exact(Metadata!L399,"Animal secretion"),exact(Metadata!L399,"Sub-surface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Y399">
        <f>IF(Metadata!M399="",FALSE,TRUE)</f>
        <v>0</v>
      </c>
      <c r="AZ399">
        <f>IF(Metadata!N399="",FALSE,TRUE)</f>
        <v>0</v>
      </c>
      <c r="BA399">
        <f>IF(Metadata!O399="",FALSE,TRUE)</f>
        <v>0</v>
      </c>
      <c r="BB399">
        <f>OR(AND(IF(Metadata!P399="",FALSE,TRUE),OR(exact(Metadata!P399,"not collected"),exact(Metadata!P399,"not provided"),exact(Metadata!P399,"restricted access"))),AND(IF(Metadata!P399="",FALSE,TRUE),OR(exact(Metadata!P399,"air"),exact(Metadata!P399,"built environment"),exact(Metadata!P399,"host-associated"),exact(Metadata!P399,"human-associated"),exact(Metadata!P399,"human-skin"),exact(Metadata!P399,"human-oral"),exact(Metadata!P399,"human-gut"),exact(Metadata!P399,"human-vaginal"),exact(Metadata!P399,"microbial mat/biofilm"),exact(Metadata!P399,"misc environment"),exact(Metadata!P399,"plant-associated"),exact(Metadata!P399,"sediment"),exact(Metadata!P399,"soil"),exact(Metadata!P399,"wastewater/sludge"),exact(Metadata!P399,"water"))))</f>
        <v>0</v>
      </c>
      <c r="BC399">
        <f>IF(Metadata!Q399="",FALSE,TRUE)</f>
        <v>0</v>
      </c>
      <c r="BD399">
        <f>IF(Metadata!R399="",FALSE,TRUE)</f>
        <v>0</v>
      </c>
      <c r="BE399">
        <f>OR(AND(IF(Metadata!S399="",FALSE,TRUE),OR(exact(Metadata!S399,"not collected"),exact(Metadata!S399,"not provided"),exact(Metadata!S399,"restricted access"))),AND(IF(Metadata!S399="",FALSE,ISNUMBER(VALUE(Metadata!S399))),Metadata!S399&gt;=-90.00,Metadata!S399&lt;=90.00))</f>
        <v>0</v>
      </c>
      <c r="BF399">
        <f>AND(IF(Metadata!T399="",FALSE,TRUE),exact(Metadata!T399,"Decimal degrees"))</f>
        <v>0</v>
      </c>
      <c r="BG399">
        <f>OR(AND(IF(Metadata!U399="",FALSE,TRUE),OR(exact(Metadata!U399,"not collected"),exact(Metadata!U399,"not provided"),exact(Metadata!U399,"restricted access"))),AND(IF(Metadata!U399="",FALSE,ISNUMBER(VALUE(Metadata!U399))),Metadata!U399&gt;=-180.00,Metadata!U399&lt;=180.00))</f>
        <v>0</v>
      </c>
      <c r="BH399">
        <f>AND(IF(Metadata!V399="",FALSE,TRUE),exact(Metadata!V399,"Decimal degrees"))</f>
        <v>0</v>
      </c>
      <c r="BI399">
        <f>IF(Metadata!W399="",FALSE,TRUE)</f>
        <v>0</v>
      </c>
      <c r="BJ399">
        <f>OR(AND(IF(Metadata!X399="",FALSE,TRUE),OR(exact(Metadata!X399,"not collected"),exact(Metadata!X399,"not provided"),exact(Metadata!X399,"restricted access"))),AND(IF(Metadata!X399="",FALSE,TRUE),OR(exact(Metadata!X399,"TRUE"),exact(Metadata!X399,"FALSE"))))</f>
        <v>0</v>
      </c>
      <c r="BK399">
        <f>AND(IF(Metadata!Y399="",FALSE,TRUE),exact(Metadata!Y399,"other"))</f>
        <v>0</v>
      </c>
      <c r="BL399">
        <f>IF(Metadata!Z399="",FALSE,TRUE)</f>
        <v>0</v>
      </c>
      <c r="BM399">
        <f>OR(AND(IF(Metadata!AA399="",FALSE,TRUE),OR(exact(Metadata!AA399,"not collected"),exact(Metadata!AA399,"not provided"))),AND(IF(Metadata!AA399="",FALSE,IF(ISERROR(INT(Metadata!AA399)),FALSE,INT(Metadata!AA399)=Metadata!AA399)),Metadata!AA399&gt;0))</f>
        <v>0</v>
      </c>
      <c r="BN399">
        <f>AND(IF(Metadata!AB399="",FALSE,TRUE),exact(Metadata!AB399,"Not applicable"))</f>
        <v>0</v>
      </c>
      <c r="BO399">
        <f>IF(Metadata!AC399="",FALSE,TRUE)</f>
        <v>0</v>
      </c>
    </row>
    <row r="400" spans="1:67">
      <c r="A400" s="5">
        <f>IF(B400=" "," ",HYPERLINK(CONCATENATE("#metadata!",ADDRESS(INDEX($AI$2:$AI$1001,MATCH(ROWS($AG$2:AG400),$AG$2:$AG$1001,0),0),1)),INDEX($AL$2:$AL$1001,MATCH(ROWS($AG$2:AG400),$AG$2:$AG$1001,0),0)))</f>
        <v>0</v>
      </c>
      <c r="B400" s="4">
        <f>IF(OR(INDEX($AH$2:$AH$1001,MATCH(ROWS($AG$2:AG400),$AG$2:$AG$1001,0),1)&gt;=100000,INDEX($AN$1005:$BO$1005,1,MATCH(COLUMNS($AN$1006:AN1006),$AN$1006:$BO$1006,0))&gt;=100000), " ",IF(INDEX($AN$2:$BO$1001,MATCH(ROWS($AG$2:AG400),$AG$2:$AG$1001,0),MATCH(COLUMNS($AN$1006:AN1006),$AN$1006:$BO$1006,0)), HYPERLINK("#",""), HYPERLINK(CONCATENATE("#Metadata!", ADDRESS(INDEX($AI$2:$AI$1001,MATCH(ROWS($AG$2:AG400),$AG$2:$AG$1001,0),0), INDEX($AN$1004:$BO$1004,1,MATCH(COLUMNS($AN$1006:AN1006),$AN$1006:$BO$1006,0)))),"Fix")))</f>
        <v>0</v>
      </c>
      <c r="C400" s="4">
        <f>IF(OR(INDEX($AH$2:$AH$1001,MATCH(ROWS($AG$2:AG400),$AG$2:$AG$1001,0),1)&gt;=100000,INDEX($AN$1005:$BO$1005,1,MATCH(COLUMNS($AN$1006:AO1006),$AN$1006:$BO$1006,0))&gt;=100000), " ",IF(INDEX($AN$2:$BO$1001,MATCH(ROWS($AG$2:AG400),$AG$2:$AG$1001,0),MATCH(COLUMNS($AN$1006:AO1006),$AN$1006:$BO$1006,0)), HYPERLINK("#",""), HYPERLINK(CONCATENATE("#Metadata!", ADDRESS(INDEX($AI$2:$AI$1001,MATCH(ROWS($AG$2:AG400),$AG$2:$AG$1001,0),0), INDEX($AN$1004:$BO$1004,1,MATCH(COLUMNS($AN$1006:AO1006),$AN$1006:$BO$1006,0)))),"Fix")))</f>
        <v>0</v>
      </c>
      <c r="D400" s="4">
        <f>IF(OR(INDEX($AH$2:$AH$1001,MATCH(ROWS($AG$2:AG400),$AG$2:$AG$1001,0),1)&gt;=100000,INDEX($AN$1005:$BO$1005,1,MATCH(COLUMNS($AN$1006:AP1006),$AN$1006:$BO$1006,0))&gt;=100000), " ",IF(INDEX($AN$2:$BO$1001,MATCH(ROWS($AG$2:AG400),$AG$2:$AG$1001,0),MATCH(COLUMNS($AN$1006:AP1006),$AN$1006:$BO$1006,0)), HYPERLINK("#",""), HYPERLINK(CONCATENATE("#Metadata!", ADDRESS(INDEX($AI$2:$AI$1001,MATCH(ROWS($AG$2:AG400),$AG$2:$AG$1001,0),0), INDEX($AN$1004:$BO$1004,1,MATCH(COLUMNS($AN$1006:AP1006),$AN$1006:$BO$1006,0)))),"Fix")))</f>
        <v>0</v>
      </c>
      <c r="E400" s="4">
        <f>IF(OR(INDEX($AH$2:$AH$1001,MATCH(ROWS($AG$2:AG400),$AG$2:$AG$1001,0),1)&gt;=100000,INDEX($AN$1005:$BO$1005,1,MATCH(COLUMNS($AN$1006:AQ1006),$AN$1006:$BO$1006,0))&gt;=100000), " ",IF(INDEX($AN$2:$BO$1001,MATCH(ROWS($AG$2:AG400),$AG$2:$AG$1001,0),MATCH(COLUMNS($AN$1006:AQ1006),$AN$1006:$BO$1006,0)), HYPERLINK("#",""), HYPERLINK(CONCATENATE("#Metadata!", ADDRESS(INDEX($AI$2:$AI$1001,MATCH(ROWS($AG$2:AG400),$AG$2:$AG$1001,0),0), INDEX($AN$1004:$BO$1004,1,MATCH(COLUMNS($AN$1006:AQ1006),$AN$1006:$BO$1006,0)))),"Fix")))</f>
        <v>0</v>
      </c>
      <c r="F400" s="4">
        <f>IF(OR(INDEX($AH$2:$AH$1001,MATCH(ROWS($AG$2:AG400),$AG$2:$AG$1001,0),1)&gt;=100000,INDEX($AN$1005:$BO$1005,1,MATCH(COLUMNS($AN$1006:AR1006),$AN$1006:$BO$1006,0))&gt;=100000), " ",IF(INDEX($AN$2:$BO$1001,MATCH(ROWS($AG$2:AG400),$AG$2:$AG$1001,0),MATCH(COLUMNS($AN$1006:AR1006),$AN$1006:$BO$1006,0)), HYPERLINK("#",""), HYPERLINK(CONCATENATE("#Metadata!", ADDRESS(INDEX($AI$2:$AI$1001,MATCH(ROWS($AG$2:AG400),$AG$2:$AG$1001,0),0), INDEX($AN$1004:$BO$1004,1,MATCH(COLUMNS($AN$1006:AR1006),$AN$1006:$BO$1006,0)))),"Fix")))</f>
        <v>0</v>
      </c>
      <c r="G400" s="4">
        <f>IF(OR(INDEX($AH$2:$AH$1001,MATCH(ROWS($AG$2:AG400),$AG$2:$AG$1001,0),1)&gt;=100000,INDEX($AN$1005:$BO$1005,1,MATCH(COLUMNS($AN$1006:AS1006),$AN$1006:$BO$1006,0))&gt;=100000), " ",IF(INDEX($AN$2:$BO$1001,MATCH(ROWS($AG$2:AG400),$AG$2:$AG$1001,0),MATCH(COLUMNS($AN$1006:AS1006),$AN$1006:$BO$1006,0)), HYPERLINK("#",""), HYPERLINK(CONCATENATE("#Metadata!", ADDRESS(INDEX($AI$2:$AI$1001,MATCH(ROWS($AG$2:AG400),$AG$2:$AG$1001,0),0), INDEX($AN$1004:$BO$1004,1,MATCH(COLUMNS($AN$1006:AS1006),$AN$1006:$BO$1006,0)))),"Fix")))</f>
        <v>0</v>
      </c>
      <c r="H400" s="4">
        <f>IF(OR(INDEX($AH$2:$AH$1001,MATCH(ROWS($AG$2:AG400),$AG$2:$AG$1001,0),1)&gt;=100000,INDEX($AN$1005:$BO$1005,1,MATCH(COLUMNS($AN$1006:AT1006),$AN$1006:$BO$1006,0))&gt;=100000), " ",IF(INDEX($AN$2:$BO$1001,MATCH(ROWS($AG$2:AG400),$AG$2:$AG$1001,0),MATCH(COLUMNS($AN$1006:AT1006),$AN$1006:$BO$1006,0)), HYPERLINK("#",""), HYPERLINK(CONCATENATE("#Metadata!", ADDRESS(INDEX($AI$2:$AI$1001,MATCH(ROWS($AG$2:AG400),$AG$2:$AG$1001,0),0), INDEX($AN$1004:$BO$1004,1,MATCH(COLUMNS($AN$1006:AT1006),$AN$1006:$BO$1006,0)))),"Fix")))</f>
        <v>0</v>
      </c>
      <c r="I400" s="4">
        <f>IF(OR(INDEX($AH$2:$AH$1001,MATCH(ROWS($AG$2:AG400),$AG$2:$AG$1001,0),1)&gt;=100000,INDEX($AN$1005:$BO$1005,1,MATCH(COLUMNS($AN$1006:AU1006),$AN$1006:$BO$1006,0))&gt;=100000), " ",IF(INDEX($AN$2:$BO$1001,MATCH(ROWS($AG$2:AG400),$AG$2:$AG$1001,0),MATCH(COLUMNS($AN$1006:AU1006),$AN$1006:$BO$1006,0)), HYPERLINK("#",""), HYPERLINK(CONCATENATE("#Metadata!", ADDRESS(INDEX($AI$2:$AI$1001,MATCH(ROWS($AG$2:AG400),$AG$2:$AG$1001,0),0), INDEX($AN$1004:$BO$1004,1,MATCH(COLUMNS($AN$1006:AU1006),$AN$1006:$BO$1006,0)))),"Fix")))</f>
        <v>0</v>
      </c>
      <c r="J400" s="4">
        <f>IF(OR(INDEX($AH$2:$AH$1001,MATCH(ROWS($AG$2:AG400),$AG$2:$AG$1001,0),1)&gt;=100000,INDEX($AN$1005:$BO$1005,1,MATCH(COLUMNS($AN$1006:AV1006),$AN$1006:$BO$1006,0))&gt;=100000), " ",IF(INDEX($AN$2:$BO$1001,MATCH(ROWS($AG$2:AG400),$AG$2:$AG$1001,0),MATCH(COLUMNS($AN$1006:AV1006),$AN$1006:$BO$1006,0)), HYPERLINK("#",""), HYPERLINK(CONCATENATE("#Metadata!", ADDRESS(INDEX($AI$2:$AI$1001,MATCH(ROWS($AG$2:AG400),$AG$2:$AG$1001,0),0), INDEX($AN$1004:$BO$1004,1,MATCH(COLUMNS($AN$1006:AV1006),$AN$1006:$BO$1006,0)))),"Fix")))</f>
        <v>0</v>
      </c>
      <c r="K400" s="4">
        <f>IF(OR(INDEX($AH$2:$AH$1001,MATCH(ROWS($AG$2:AG400),$AG$2:$AG$1001,0),1)&gt;=100000,INDEX($AN$1005:$BO$1005,1,MATCH(COLUMNS($AN$1006:AW1006),$AN$1006:$BO$1006,0))&gt;=100000), " ",IF(INDEX($AN$2:$BO$1001,MATCH(ROWS($AG$2:AG400),$AG$2:$AG$1001,0),MATCH(COLUMNS($AN$1006:AW1006),$AN$1006:$BO$1006,0)), HYPERLINK("#",""), HYPERLINK(CONCATENATE("#Metadata!", ADDRESS(INDEX($AI$2:$AI$1001,MATCH(ROWS($AG$2:AG400),$AG$2:$AG$1001,0),0), INDEX($AN$1004:$BO$1004,1,MATCH(COLUMNS($AN$1006:AW1006),$AN$1006:$BO$1006,0)))),"Fix")))</f>
        <v>0</v>
      </c>
      <c r="L400" s="4">
        <f>IF(OR(INDEX($AH$2:$AH$1001,MATCH(ROWS($AG$2:AG400),$AG$2:$AG$1001,0),1)&gt;=100000,INDEX($AN$1005:$BO$1005,1,MATCH(COLUMNS($AN$1006:AX1006),$AN$1006:$BO$1006,0))&gt;=100000), " ",IF(INDEX($AN$2:$BO$1001,MATCH(ROWS($AG$2:AG400),$AG$2:$AG$1001,0),MATCH(COLUMNS($AN$1006:AX1006),$AN$1006:$BO$1006,0)), HYPERLINK("#",""), HYPERLINK(CONCATENATE("#Metadata!", ADDRESS(INDEX($AI$2:$AI$1001,MATCH(ROWS($AG$2:AG400),$AG$2:$AG$1001,0),0), INDEX($AN$1004:$BO$1004,1,MATCH(COLUMNS($AN$1006:AX1006),$AN$1006:$BO$1006,0)))),"Fix")))</f>
        <v>0</v>
      </c>
      <c r="M400" s="4">
        <f>IF(OR(INDEX($AH$2:$AH$1001,MATCH(ROWS($AG$2:AG400),$AG$2:$AG$1001,0),1)&gt;=100000,INDEX($AN$1005:$BO$1005,1,MATCH(COLUMNS($AN$1006:AY1006),$AN$1006:$BO$1006,0))&gt;=100000), " ",IF(INDEX($AN$2:$BO$1001,MATCH(ROWS($AG$2:AG400),$AG$2:$AG$1001,0),MATCH(COLUMNS($AN$1006:AY1006),$AN$1006:$BO$1006,0)), HYPERLINK("#",""), HYPERLINK(CONCATENATE("#Metadata!", ADDRESS(INDEX($AI$2:$AI$1001,MATCH(ROWS($AG$2:AG400),$AG$2:$AG$1001,0),0), INDEX($AN$1004:$BO$1004,1,MATCH(COLUMNS($AN$1006:AY1006),$AN$1006:$BO$1006,0)))),"Fix")))</f>
        <v>0</v>
      </c>
      <c r="N400" s="4">
        <f>IF(OR(INDEX($AH$2:$AH$1001,MATCH(ROWS($AG$2:AG400),$AG$2:$AG$1001,0),1)&gt;=100000,INDEX($AN$1005:$BO$1005,1,MATCH(COLUMNS($AN$1006:AZ1006),$AN$1006:$BO$1006,0))&gt;=100000), " ",IF(INDEX($AN$2:$BO$1001,MATCH(ROWS($AG$2:AG400),$AG$2:$AG$1001,0),MATCH(COLUMNS($AN$1006:AZ1006),$AN$1006:$BO$1006,0)), HYPERLINK("#",""), HYPERLINK(CONCATENATE("#Metadata!", ADDRESS(INDEX($AI$2:$AI$1001,MATCH(ROWS($AG$2:AG400),$AG$2:$AG$1001,0),0), INDEX($AN$1004:$BO$1004,1,MATCH(COLUMNS($AN$1006:AZ1006),$AN$1006:$BO$1006,0)))),"Fix")))</f>
        <v>0</v>
      </c>
      <c r="O400" s="4">
        <f>IF(OR(INDEX($AH$2:$AH$1001,MATCH(ROWS($AG$2:AG400),$AG$2:$AG$1001,0),1)&gt;=100000,INDEX($AN$1005:$BO$1005,1,MATCH(COLUMNS($AN$1006:BA1006),$AN$1006:$BO$1006,0))&gt;=100000), " ",IF(INDEX($AN$2:$BO$1001,MATCH(ROWS($AG$2:AG400),$AG$2:$AG$1001,0),MATCH(COLUMNS($AN$1006:BA1006),$AN$1006:$BO$1006,0)), HYPERLINK("#",""), HYPERLINK(CONCATENATE("#Metadata!", ADDRESS(INDEX($AI$2:$AI$1001,MATCH(ROWS($AG$2:AG400),$AG$2:$AG$1001,0),0), INDEX($AN$1004:$BO$1004,1,MATCH(COLUMNS($AN$1006:BA1006),$AN$1006:$BO$1006,0)))),"Fix")))</f>
        <v>0</v>
      </c>
      <c r="P400" s="4">
        <f>IF(OR(INDEX($AH$2:$AH$1001,MATCH(ROWS($AG$2:AG400),$AG$2:$AG$1001,0),1)&gt;=100000,INDEX($AN$1005:$BO$1005,1,MATCH(COLUMNS($AN$1006:BB1006),$AN$1006:$BO$1006,0))&gt;=100000), " ",IF(INDEX($AN$2:$BO$1001,MATCH(ROWS($AG$2:AG400),$AG$2:$AG$1001,0),MATCH(COLUMNS($AN$1006:BB1006),$AN$1006:$BO$1006,0)), HYPERLINK("#",""), HYPERLINK(CONCATENATE("#Metadata!", ADDRESS(INDEX($AI$2:$AI$1001,MATCH(ROWS($AG$2:AG400),$AG$2:$AG$1001,0),0), INDEX($AN$1004:$BO$1004,1,MATCH(COLUMNS($AN$1006:BB1006),$AN$1006:$BO$1006,0)))),"Fix")))</f>
        <v>0</v>
      </c>
      <c r="Q400" s="4">
        <f>IF(OR(INDEX($AH$2:$AH$1001,MATCH(ROWS($AG$2:AG400),$AG$2:$AG$1001,0),1)&gt;=100000,INDEX($AN$1005:$BO$1005,1,MATCH(COLUMNS($AN$1006:BC1006),$AN$1006:$BO$1006,0))&gt;=100000), " ",IF(INDEX($AN$2:$BO$1001,MATCH(ROWS($AG$2:AG400),$AG$2:$AG$1001,0),MATCH(COLUMNS($AN$1006:BC1006),$AN$1006:$BO$1006,0)), HYPERLINK("#",""), HYPERLINK(CONCATENATE("#Metadata!", ADDRESS(INDEX($AI$2:$AI$1001,MATCH(ROWS($AG$2:AG400),$AG$2:$AG$1001,0),0), INDEX($AN$1004:$BO$1004,1,MATCH(COLUMNS($AN$1006:BC1006),$AN$1006:$BO$1006,0)))),"Fix")))</f>
        <v>0</v>
      </c>
      <c r="R400" s="4">
        <f>IF(OR(INDEX($AH$2:$AH$1001,MATCH(ROWS($AG$2:AG400),$AG$2:$AG$1001,0),1)&gt;=100000,INDEX($AN$1005:$BO$1005,1,MATCH(COLUMNS($AN$1006:BD1006),$AN$1006:$BO$1006,0))&gt;=100000), " ",IF(INDEX($AN$2:$BO$1001,MATCH(ROWS($AG$2:AG400),$AG$2:$AG$1001,0),MATCH(COLUMNS($AN$1006:BD1006),$AN$1006:$BO$1006,0)), HYPERLINK("#",""), HYPERLINK(CONCATENATE("#Metadata!", ADDRESS(INDEX($AI$2:$AI$1001,MATCH(ROWS($AG$2:AG400),$AG$2:$AG$1001,0),0), INDEX($AN$1004:$BO$1004,1,MATCH(COLUMNS($AN$1006:BD1006),$AN$1006:$BO$1006,0)))),"Fix")))</f>
        <v>0</v>
      </c>
      <c r="S400" s="4">
        <f>IF(OR(INDEX($AH$2:$AH$1001,MATCH(ROWS($AG$2:AG400),$AG$2:$AG$1001,0),1)&gt;=100000,INDEX($AN$1005:$BO$1005,1,MATCH(COLUMNS($AN$1006:BE1006),$AN$1006:$BO$1006,0))&gt;=100000), " ",IF(INDEX($AN$2:$BO$1001,MATCH(ROWS($AG$2:AG400),$AG$2:$AG$1001,0),MATCH(COLUMNS($AN$1006:BE1006),$AN$1006:$BO$1006,0)), HYPERLINK("#",""), HYPERLINK(CONCATENATE("#Metadata!", ADDRESS(INDEX($AI$2:$AI$1001,MATCH(ROWS($AG$2:AG400),$AG$2:$AG$1001,0),0), INDEX($AN$1004:$BO$1004,1,MATCH(COLUMNS($AN$1006:BE1006),$AN$1006:$BO$1006,0)))),"Fix")))</f>
        <v>0</v>
      </c>
      <c r="T400" s="4">
        <f>IF(OR(INDEX($AH$2:$AH$1001,MATCH(ROWS($AG$2:AG400),$AG$2:$AG$1001,0),1)&gt;=100000,INDEX($AN$1005:$BO$1005,1,MATCH(COLUMNS($AN$1006:BF1006),$AN$1006:$BO$1006,0))&gt;=100000), " ",IF(INDEX($AN$2:$BO$1001,MATCH(ROWS($AG$2:AG400),$AG$2:$AG$1001,0),MATCH(COLUMNS($AN$1006:BF1006),$AN$1006:$BO$1006,0)), HYPERLINK("#",""), HYPERLINK(CONCATENATE("#Metadata!", ADDRESS(INDEX($AI$2:$AI$1001,MATCH(ROWS($AG$2:AG400),$AG$2:$AG$1001,0),0), INDEX($AN$1004:$BO$1004,1,MATCH(COLUMNS($AN$1006:BF1006),$AN$1006:$BO$1006,0)))),"Fix")))</f>
        <v>0</v>
      </c>
      <c r="U400" s="4">
        <f>IF(OR(INDEX($AH$2:$AH$1001,MATCH(ROWS($AG$2:AG400),$AG$2:$AG$1001,0),1)&gt;=100000,INDEX($AN$1005:$BO$1005,1,MATCH(COLUMNS($AN$1006:BG1006),$AN$1006:$BO$1006,0))&gt;=100000), " ",IF(INDEX($AN$2:$BO$1001,MATCH(ROWS($AG$2:AG400),$AG$2:$AG$1001,0),MATCH(COLUMNS($AN$1006:BG1006),$AN$1006:$BO$1006,0)), HYPERLINK("#",""), HYPERLINK(CONCATENATE("#Metadata!", ADDRESS(INDEX($AI$2:$AI$1001,MATCH(ROWS($AG$2:AG400),$AG$2:$AG$1001,0),0), INDEX($AN$1004:$BO$1004,1,MATCH(COLUMNS($AN$1006:BG1006),$AN$1006:$BO$1006,0)))),"Fix")))</f>
        <v>0</v>
      </c>
      <c r="V400" s="4">
        <f>IF(OR(INDEX($AH$2:$AH$1001,MATCH(ROWS($AG$2:AG400),$AG$2:$AG$1001,0),1)&gt;=100000,INDEX($AN$1005:$BO$1005,1,MATCH(COLUMNS($AN$1006:BH1006),$AN$1006:$BO$1006,0))&gt;=100000), " ",IF(INDEX($AN$2:$BO$1001,MATCH(ROWS($AG$2:AG400),$AG$2:$AG$1001,0),MATCH(COLUMNS($AN$1006:BH1006),$AN$1006:$BO$1006,0)), HYPERLINK("#",""), HYPERLINK(CONCATENATE("#Metadata!", ADDRESS(INDEX($AI$2:$AI$1001,MATCH(ROWS($AG$2:AG400),$AG$2:$AG$1001,0),0), INDEX($AN$1004:$BO$1004,1,MATCH(COLUMNS($AN$1006:BH1006),$AN$1006:$BO$1006,0)))),"Fix")))</f>
        <v>0</v>
      </c>
      <c r="W400" s="4">
        <f>IF(OR(INDEX($AH$2:$AH$1001,MATCH(ROWS($AG$2:AG400),$AG$2:$AG$1001,0),1)&gt;=100000,INDEX($AN$1005:$BO$1005,1,MATCH(COLUMNS($AN$1006:BI1006),$AN$1006:$BO$1006,0))&gt;=100000), " ",IF(INDEX($AN$2:$BO$1001,MATCH(ROWS($AG$2:AG400),$AG$2:$AG$1001,0),MATCH(COLUMNS($AN$1006:BI1006),$AN$1006:$BO$1006,0)), HYPERLINK("#",""), HYPERLINK(CONCATENATE("#Metadata!", ADDRESS(INDEX($AI$2:$AI$1001,MATCH(ROWS($AG$2:AG400),$AG$2:$AG$1001,0),0), INDEX($AN$1004:$BO$1004,1,MATCH(COLUMNS($AN$1006:BI1006),$AN$1006:$BO$1006,0)))),"Fix")))</f>
        <v>0</v>
      </c>
      <c r="X400" s="4">
        <f>IF(OR(INDEX($AH$2:$AH$1001,MATCH(ROWS($AG$2:AG400),$AG$2:$AG$1001,0),1)&gt;=100000,INDEX($AN$1005:$BO$1005,1,MATCH(COLUMNS($AN$1006:BJ1006),$AN$1006:$BO$1006,0))&gt;=100000), " ",IF(INDEX($AN$2:$BO$1001,MATCH(ROWS($AG$2:AG400),$AG$2:$AG$1001,0),MATCH(COLUMNS($AN$1006:BJ1006),$AN$1006:$BO$1006,0)), HYPERLINK("#",""), HYPERLINK(CONCATENATE("#Metadata!", ADDRESS(INDEX($AI$2:$AI$1001,MATCH(ROWS($AG$2:AG400),$AG$2:$AG$1001,0),0), INDEX($AN$1004:$BO$1004,1,MATCH(COLUMNS($AN$1006:BJ1006),$AN$1006:$BO$1006,0)))),"Fix")))</f>
        <v>0</v>
      </c>
      <c r="Y400" s="4">
        <f>IF(OR(INDEX($AH$2:$AH$1001,MATCH(ROWS($AG$2:AG400),$AG$2:$AG$1001,0),1)&gt;=100000,INDEX($AN$1005:$BO$1005,1,MATCH(COLUMNS($AN$1006:BK1006),$AN$1006:$BO$1006,0))&gt;=100000), " ",IF(INDEX($AN$2:$BO$1001,MATCH(ROWS($AG$2:AG400),$AG$2:$AG$1001,0),MATCH(COLUMNS($AN$1006:BK1006),$AN$1006:$BO$1006,0)), HYPERLINK("#",""), HYPERLINK(CONCATENATE("#Metadata!", ADDRESS(INDEX($AI$2:$AI$1001,MATCH(ROWS($AG$2:AG400),$AG$2:$AG$1001,0),0), INDEX($AN$1004:$BO$1004,1,MATCH(COLUMNS($AN$1006:BK1006),$AN$1006:$BO$1006,0)))),"Fix")))</f>
        <v>0</v>
      </c>
      <c r="Z400" s="4">
        <f>IF(OR(INDEX($AH$2:$AH$1001,MATCH(ROWS($AG$2:AG400),$AG$2:$AG$1001,0),1)&gt;=100000,INDEX($AN$1005:$BO$1005,1,MATCH(COLUMNS($AN$1006:BL1006),$AN$1006:$BO$1006,0))&gt;=100000), " ",IF(INDEX($AN$2:$BO$1001,MATCH(ROWS($AG$2:AG400),$AG$2:$AG$1001,0),MATCH(COLUMNS($AN$1006:BL1006),$AN$1006:$BO$1006,0)), HYPERLINK("#",""), HYPERLINK(CONCATENATE("#Metadata!", ADDRESS(INDEX($AI$2:$AI$1001,MATCH(ROWS($AG$2:AG400),$AG$2:$AG$1001,0),0), INDEX($AN$1004:$BO$1004,1,MATCH(COLUMNS($AN$1006:BL1006),$AN$1006:$BO$1006,0)))),"Fix")))</f>
        <v>0</v>
      </c>
      <c r="AA400" s="4">
        <f>IF(OR(INDEX($AH$2:$AH$1001,MATCH(ROWS($AG$2:AG400),$AG$2:$AG$1001,0),1)&gt;=100000,INDEX($AN$1005:$BO$1005,1,MATCH(COLUMNS($AN$1006:BM1006),$AN$1006:$BO$1006,0))&gt;=100000), " ",IF(INDEX($AN$2:$BO$1001,MATCH(ROWS($AG$2:AG400),$AG$2:$AG$1001,0),MATCH(COLUMNS($AN$1006:BM1006),$AN$1006:$BO$1006,0)), HYPERLINK("#",""), HYPERLINK(CONCATENATE("#Metadata!", ADDRESS(INDEX($AI$2:$AI$1001,MATCH(ROWS($AG$2:AG400),$AG$2:$AG$1001,0),0), INDEX($AN$1004:$BO$1004,1,MATCH(COLUMNS($AN$1006:BM1006),$AN$1006:$BO$1006,0)))),"Fix")))</f>
        <v>0</v>
      </c>
      <c r="AB400" s="4">
        <f>IF(OR(INDEX($AH$2:$AH$1001,MATCH(ROWS($AG$2:AG400),$AG$2:$AG$1001,0),1)&gt;=100000,INDEX($AN$1005:$BO$1005,1,MATCH(COLUMNS($AN$1006:BN1006),$AN$1006:$BO$1006,0))&gt;=100000), " ",IF(INDEX($AN$2:$BO$1001,MATCH(ROWS($AG$2:AG400),$AG$2:$AG$1001,0),MATCH(COLUMNS($AN$1006:BN1006),$AN$1006:$BO$1006,0)), HYPERLINK("#",""), HYPERLINK(CONCATENATE("#Metadata!", ADDRESS(INDEX($AI$2:$AI$1001,MATCH(ROWS($AG$2:AG400),$AG$2:$AG$1001,0),0), INDEX($AN$1004:$BO$1004,1,MATCH(COLUMNS($AN$1006:BN1006),$AN$1006:$BO$1006,0)))),"Fix")))</f>
        <v>0</v>
      </c>
      <c r="AC400" s="4">
        <f>IF(OR(INDEX($AH$2:$AH$1001,MATCH(ROWS($AG$2:AG400),$AG$2:$AG$1001,0),1)&gt;=100000,INDEX($AN$1005:$BO$1005,1,MATCH(COLUMNS($AN$1006:BO1006),$AN$1006:$BO$1006,0))&gt;=100000), " ",IF(INDEX($AN$2:$BO$1001,MATCH(ROWS($AG$2:AG400),$AG$2:$AG$1001,0),MATCH(COLUMNS($AN$1006:BO1006),$AN$1006:$BO$1006,0)), HYPERLINK("#",""), HYPERLINK(CONCATENATE("#Metadata!", ADDRESS(INDEX($AI$2:$AI$1001,MATCH(ROWS($AG$2:AG400),$AG$2:$AG$1001,0),0), INDEX($AN$1004:$BO$1004,1,MATCH(COLUMNS($AN$1006:BO1006),$AN$1006:$BO$1006,0)))),"Fix")))</f>
        <v>0</v>
      </c>
      <c r="AG400">
        <v>0</v>
      </c>
      <c r="AH400">
        <v>0</v>
      </c>
      <c r="AI400">
        <v>0</v>
      </c>
      <c r="AJ400">
        <f>IF(AK400,TRUE,AND(AN400:BO400))</f>
        <v>0</v>
      </c>
      <c r="AK400">
        <f>COUNTBLANK(Metadata!B400:AC400)=COLUMNS(Metadata!B400:AC400)</f>
        <v>0</v>
      </c>
      <c r="AL400">
        <v>0</v>
      </c>
      <c r="AN400">
        <f>AND(IF(Metadata!B400="",FALSE,TRUE),COUNTIF(Metadata!B:B, Metadata!B400) = 1,NOT(ISERROR(SUMPRODUCT(SEARCH(MID(Metadata!B400,ROW(INDIRECT("1:"&amp;LEN(Metadata!B400))), 1),"0123456789abcdefghijklmnopqrstuvwxyzABCDEFGHIJKLMNOPQRSTUVWXYZ.")))))</f>
        <v>0</v>
      </c>
      <c r="AO400">
        <f>IF(Metadata!C400="",FALSE,TRUE)</f>
        <v>0</v>
      </c>
      <c r="AP400">
        <f>IF(Metadata!D400="",FALSE,TRUE)</f>
        <v>0</v>
      </c>
      <c r="AQ400">
        <f>OR(AND(IF(Metadata!E400="",FALSE,TRUE),OR(exact(Metadata!E400,"not collected"),exact(Metadata!E400,"not provided"),exact(Metadata!E400,"restricted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R400">
        <f>IF(Metadata!F400="",FALSE,TRUE)</f>
        <v>0</v>
      </c>
      <c r="AS400">
        <f>OR(AND(IF(Metadata!G400="",FALSE,TRUE),OR(exact(Metadata!G400,"not collected"),exact(Metadata!G400,"not provided"))),AND(IF(Metadata!G400="",FALSE,TRUE),OR(exact(Metadata!G400,"TRUE"),exact(Metadata!G400,"FALSE"))))</f>
        <v>0</v>
      </c>
      <c r="AT400">
        <f>OR(AND(IF(Metadata!H400="",FALSE,TRUE),OR(exact(Metadata!H400,"not collected"),exact(Metadata!H400,"not provided"),exact(Metadata!H400,"restricted access"))),AND(IF(Metadata!H400="",FALSE,ISNUMBER(VALUE(Metadata!H400))),Metadata!H400&gt;=-413.0))</f>
        <v>0</v>
      </c>
      <c r="AU400">
        <f>AND(IF(Metadata!I400="",FALSE,TRUE),exact(Metadata!I400,"meters"))</f>
        <v>0</v>
      </c>
      <c r="AV400">
        <f>AND(IF(Metadata!J400="",FALSE,TRUE),OR(exact(Metadata!J400,"Host-associated"),exact(Metadata!J400,"Free-living")))</f>
        <v>0</v>
      </c>
      <c r="AW400">
        <f>AND(IF(Metadata!K400="",FALSE,TRUE),OR(exact(Metadata!K400,"Animal"),exact(Metadata!K400,"Fungus"),exact(Metadata!K400,"Plant"),exact(Metadata!K400,"Saline"),exact(Metadata!K400,"Non-saline")))</f>
        <v>0</v>
      </c>
      <c r="AX400">
        <f>AND(IF(Metadata!L400="",FALSE,TRUE),OR(exact(Metadata!L400,"Plant secretion"),exact(Metadata!L400,"Plant rhizosphere"),exact(Metadata!L400,"Plant surface"),exact(Metadata!L400,"Plant corpus"),exact(Metadata!L400,"Fungus surface"),exact(Metadata!L400,"Fungus corpus"),exact(Metadata!L400,"Animal surface"),exact(Metadata!L400,"Animal proximal gut"),exact(Metadata!L400,"Animal corpus"),exact(Metadata!L400,"Animal distal gut"),exact(Metadata!L400,"Animal secretion"),exact(Metadata!L400,"Sub-surface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Y400">
        <f>IF(Metadata!M400="",FALSE,TRUE)</f>
        <v>0</v>
      </c>
      <c r="AZ400">
        <f>IF(Metadata!N400="",FALSE,TRUE)</f>
        <v>0</v>
      </c>
      <c r="BA400">
        <f>IF(Metadata!O400="",FALSE,TRUE)</f>
        <v>0</v>
      </c>
      <c r="BB400">
        <f>OR(AND(IF(Metadata!P400="",FALSE,TRUE),OR(exact(Metadata!P400,"not collected"),exact(Metadata!P400,"not provided"),exact(Metadata!P400,"restricted access"))),AND(IF(Metadata!P400="",FALSE,TRUE),OR(exact(Metadata!P400,"air"),exact(Metadata!P400,"built environment"),exact(Metadata!P400,"host-associated"),exact(Metadata!P400,"human-associated"),exact(Metadata!P400,"human-skin"),exact(Metadata!P400,"human-oral"),exact(Metadata!P400,"human-gut"),exact(Metadata!P400,"human-vaginal"),exact(Metadata!P400,"microbial mat/biofilm"),exact(Metadata!P400,"misc environment"),exact(Metadata!P400,"plant-associated"),exact(Metadata!P400,"sediment"),exact(Metadata!P400,"soil"),exact(Metadata!P400,"wastewater/sludge"),exact(Metadata!P400,"water"))))</f>
        <v>0</v>
      </c>
      <c r="BC400">
        <f>IF(Metadata!Q400="",FALSE,TRUE)</f>
        <v>0</v>
      </c>
      <c r="BD400">
        <f>IF(Metadata!R400="",FALSE,TRUE)</f>
        <v>0</v>
      </c>
      <c r="BE400">
        <f>OR(AND(IF(Metadata!S400="",FALSE,TRUE),OR(exact(Metadata!S400,"not collected"),exact(Metadata!S400,"not provided"),exact(Metadata!S400,"restricted access"))),AND(IF(Metadata!S400="",FALSE,ISNUMBER(VALUE(Metadata!S400))),Metadata!S400&gt;=-90.00,Metadata!S400&lt;=90.00))</f>
        <v>0</v>
      </c>
      <c r="BF400">
        <f>AND(IF(Metadata!T400="",FALSE,TRUE),exact(Metadata!T400,"Decimal degrees"))</f>
        <v>0</v>
      </c>
      <c r="BG400">
        <f>OR(AND(IF(Metadata!U400="",FALSE,TRUE),OR(exact(Metadata!U400,"not collected"),exact(Metadata!U400,"not provided"),exact(Metadata!U400,"restricted access"))),AND(IF(Metadata!U400="",FALSE,ISNUMBER(VALUE(Metadata!U400))),Metadata!U400&gt;=-180.00,Metadata!U400&lt;=180.00))</f>
        <v>0</v>
      </c>
      <c r="BH400">
        <f>AND(IF(Metadata!V400="",FALSE,TRUE),exact(Metadata!V400,"Decimal degrees"))</f>
        <v>0</v>
      </c>
      <c r="BI400">
        <f>IF(Metadata!W400="",FALSE,TRUE)</f>
        <v>0</v>
      </c>
      <c r="BJ400">
        <f>OR(AND(IF(Metadata!X400="",FALSE,TRUE),OR(exact(Metadata!X400,"not collected"),exact(Metadata!X400,"not provided"),exact(Metadata!X400,"restricted access"))),AND(IF(Metadata!X400="",FALSE,TRUE),OR(exact(Metadata!X400,"TRUE"),exact(Metadata!X400,"FALSE"))))</f>
        <v>0</v>
      </c>
      <c r="BK400">
        <f>AND(IF(Metadata!Y400="",FALSE,TRUE),exact(Metadata!Y400,"other"))</f>
        <v>0</v>
      </c>
      <c r="BL400">
        <f>IF(Metadata!Z400="",FALSE,TRUE)</f>
        <v>0</v>
      </c>
      <c r="BM400">
        <f>OR(AND(IF(Metadata!AA400="",FALSE,TRUE),OR(exact(Metadata!AA400,"not collected"),exact(Metadata!AA400,"not provided"))),AND(IF(Metadata!AA400="",FALSE,IF(ISERROR(INT(Metadata!AA400)),FALSE,INT(Metadata!AA400)=Metadata!AA400)),Metadata!AA400&gt;0))</f>
        <v>0</v>
      </c>
      <c r="BN400">
        <f>AND(IF(Metadata!AB400="",FALSE,TRUE),exact(Metadata!AB400,"Not applicable"))</f>
        <v>0</v>
      </c>
      <c r="BO400">
        <f>IF(Metadata!AC400="",FALSE,TRUE)</f>
        <v>0</v>
      </c>
    </row>
    <row r="401" spans="1:67">
      <c r="A401" s="5">
        <f>IF(B401=" "," ",HYPERLINK(CONCATENATE("#metadata!",ADDRESS(INDEX($AI$2:$AI$1001,MATCH(ROWS($AG$2:AG401),$AG$2:$AG$1001,0),0),1)),INDEX($AL$2:$AL$1001,MATCH(ROWS($AG$2:AG401),$AG$2:$AG$1001,0),0)))</f>
        <v>0</v>
      </c>
      <c r="B401" s="4">
        <f>IF(OR(INDEX($AH$2:$AH$1001,MATCH(ROWS($AG$2:AG401),$AG$2:$AG$1001,0),1)&gt;=100000,INDEX($AN$1005:$BO$1005,1,MATCH(COLUMNS($AN$1006:AN1006),$AN$1006:$BO$1006,0))&gt;=100000), " ",IF(INDEX($AN$2:$BO$1001,MATCH(ROWS($AG$2:AG401),$AG$2:$AG$1001,0),MATCH(COLUMNS($AN$1006:AN1006),$AN$1006:$BO$1006,0)), HYPERLINK("#",""), HYPERLINK(CONCATENATE("#Metadata!", ADDRESS(INDEX($AI$2:$AI$1001,MATCH(ROWS($AG$2:AG401),$AG$2:$AG$1001,0),0), INDEX($AN$1004:$BO$1004,1,MATCH(COLUMNS($AN$1006:AN1006),$AN$1006:$BO$1006,0)))),"Fix")))</f>
        <v>0</v>
      </c>
      <c r="C401" s="4">
        <f>IF(OR(INDEX($AH$2:$AH$1001,MATCH(ROWS($AG$2:AG401),$AG$2:$AG$1001,0),1)&gt;=100000,INDEX($AN$1005:$BO$1005,1,MATCH(COLUMNS($AN$1006:AO1006),$AN$1006:$BO$1006,0))&gt;=100000), " ",IF(INDEX($AN$2:$BO$1001,MATCH(ROWS($AG$2:AG401),$AG$2:$AG$1001,0),MATCH(COLUMNS($AN$1006:AO1006),$AN$1006:$BO$1006,0)), HYPERLINK("#",""), HYPERLINK(CONCATENATE("#Metadata!", ADDRESS(INDEX($AI$2:$AI$1001,MATCH(ROWS($AG$2:AG401),$AG$2:$AG$1001,0),0), INDEX($AN$1004:$BO$1004,1,MATCH(COLUMNS($AN$1006:AO1006),$AN$1006:$BO$1006,0)))),"Fix")))</f>
        <v>0</v>
      </c>
      <c r="D401" s="4">
        <f>IF(OR(INDEX($AH$2:$AH$1001,MATCH(ROWS($AG$2:AG401),$AG$2:$AG$1001,0),1)&gt;=100000,INDEX($AN$1005:$BO$1005,1,MATCH(COLUMNS($AN$1006:AP1006),$AN$1006:$BO$1006,0))&gt;=100000), " ",IF(INDEX($AN$2:$BO$1001,MATCH(ROWS($AG$2:AG401),$AG$2:$AG$1001,0),MATCH(COLUMNS($AN$1006:AP1006),$AN$1006:$BO$1006,0)), HYPERLINK("#",""), HYPERLINK(CONCATENATE("#Metadata!", ADDRESS(INDEX($AI$2:$AI$1001,MATCH(ROWS($AG$2:AG401),$AG$2:$AG$1001,0),0), INDEX($AN$1004:$BO$1004,1,MATCH(COLUMNS($AN$1006:AP1006),$AN$1006:$BO$1006,0)))),"Fix")))</f>
        <v>0</v>
      </c>
      <c r="E401" s="4">
        <f>IF(OR(INDEX($AH$2:$AH$1001,MATCH(ROWS($AG$2:AG401),$AG$2:$AG$1001,0),1)&gt;=100000,INDEX($AN$1005:$BO$1005,1,MATCH(COLUMNS($AN$1006:AQ1006),$AN$1006:$BO$1006,0))&gt;=100000), " ",IF(INDEX($AN$2:$BO$1001,MATCH(ROWS($AG$2:AG401),$AG$2:$AG$1001,0),MATCH(COLUMNS($AN$1006:AQ1006),$AN$1006:$BO$1006,0)), HYPERLINK("#",""), HYPERLINK(CONCATENATE("#Metadata!", ADDRESS(INDEX($AI$2:$AI$1001,MATCH(ROWS($AG$2:AG401),$AG$2:$AG$1001,0),0), INDEX($AN$1004:$BO$1004,1,MATCH(COLUMNS($AN$1006:AQ1006),$AN$1006:$BO$1006,0)))),"Fix")))</f>
        <v>0</v>
      </c>
      <c r="F401" s="4">
        <f>IF(OR(INDEX($AH$2:$AH$1001,MATCH(ROWS($AG$2:AG401),$AG$2:$AG$1001,0),1)&gt;=100000,INDEX($AN$1005:$BO$1005,1,MATCH(COLUMNS($AN$1006:AR1006),$AN$1006:$BO$1006,0))&gt;=100000), " ",IF(INDEX($AN$2:$BO$1001,MATCH(ROWS($AG$2:AG401),$AG$2:$AG$1001,0),MATCH(COLUMNS($AN$1006:AR1006),$AN$1006:$BO$1006,0)), HYPERLINK("#",""), HYPERLINK(CONCATENATE("#Metadata!", ADDRESS(INDEX($AI$2:$AI$1001,MATCH(ROWS($AG$2:AG401),$AG$2:$AG$1001,0),0), INDEX($AN$1004:$BO$1004,1,MATCH(COLUMNS($AN$1006:AR1006),$AN$1006:$BO$1006,0)))),"Fix")))</f>
        <v>0</v>
      </c>
      <c r="G401" s="4">
        <f>IF(OR(INDEX($AH$2:$AH$1001,MATCH(ROWS($AG$2:AG401),$AG$2:$AG$1001,0),1)&gt;=100000,INDEX($AN$1005:$BO$1005,1,MATCH(COLUMNS($AN$1006:AS1006),$AN$1006:$BO$1006,0))&gt;=100000), " ",IF(INDEX($AN$2:$BO$1001,MATCH(ROWS($AG$2:AG401),$AG$2:$AG$1001,0),MATCH(COLUMNS($AN$1006:AS1006),$AN$1006:$BO$1006,0)), HYPERLINK("#",""), HYPERLINK(CONCATENATE("#Metadata!", ADDRESS(INDEX($AI$2:$AI$1001,MATCH(ROWS($AG$2:AG401),$AG$2:$AG$1001,0),0), INDEX($AN$1004:$BO$1004,1,MATCH(COLUMNS($AN$1006:AS1006),$AN$1006:$BO$1006,0)))),"Fix")))</f>
        <v>0</v>
      </c>
      <c r="H401" s="4">
        <f>IF(OR(INDEX($AH$2:$AH$1001,MATCH(ROWS($AG$2:AG401),$AG$2:$AG$1001,0),1)&gt;=100000,INDEX($AN$1005:$BO$1005,1,MATCH(COLUMNS($AN$1006:AT1006),$AN$1006:$BO$1006,0))&gt;=100000), " ",IF(INDEX($AN$2:$BO$1001,MATCH(ROWS($AG$2:AG401),$AG$2:$AG$1001,0),MATCH(COLUMNS($AN$1006:AT1006),$AN$1006:$BO$1006,0)), HYPERLINK("#",""), HYPERLINK(CONCATENATE("#Metadata!", ADDRESS(INDEX($AI$2:$AI$1001,MATCH(ROWS($AG$2:AG401),$AG$2:$AG$1001,0),0), INDEX($AN$1004:$BO$1004,1,MATCH(COLUMNS($AN$1006:AT1006),$AN$1006:$BO$1006,0)))),"Fix")))</f>
        <v>0</v>
      </c>
      <c r="I401" s="4">
        <f>IF(OR(INDEX($AH$2:$AH$1001,MATCH(ROWS($AG$2:AG401),$AG$2:$AG$1001,0),1)&gt;=100000,INDEX($AN$1005:$BO$1005,1,MATCH(COLUMNS($AN$1006:AU1006),$AN$1006:$BO$1006,0))&gt;=100000), " ",IF(INDEX($AN$2:$BO$1001,MATCH(ROWS($AG$2:AG401),$AG$2:$AG$1001,0),MATCH(COLUMNS($AN$1006:AU1006),$AN$1006:$BO$1006,0)), HYPERLINK("#",""), HYPERLINK(CONCATENATE("#Metadata!", ADDRESS(INDEX($AI$2:$AI$1001,MATCH(ROWS($AG$2:AG401),$AG$2:$AG$1001,0),0), INDEX($AN$1004:$BO$1004,1,MATCH(COLUMNS($AN$1006:AU1006),$AN$1006:$BO$1006,0)))),"Fix")))</f>
        <v>0</v>
      </c>
      <c r="J401" s="4">
        <f>IF(OR(INDEX($AH$2:$AH$1001,MATCH(ROWS($AG$2:AG401),$AG$2:$AG$1001,0),1)&gt;=100000,INDEX($AN$1005:$BO$1005,1,MATCH(COLUMNS($AN$1006:AV1006),$AN$1006:$BO$1006,0))&gt;=100000), " ",IF(INDEX($AN$2:$BO$1001,MATCH(ROWS($AG$2:AG401),$AG$2:$AG$1001,0),MATCH(COLUMNS($AN$1006:AV1006),$AN$1006:$BO$1006,0)), HYPERLINK("#",""), HYPERLINK(CONCATENATE("#Metadata!", ADDRESS(INDEX($AI$2:$AI$1001,MATCH(ROWS($AG$2:AG401),$AG$2:$AG$1001,0),0), INDEX($AN$1004:$BO$1004,1,MATCH(COLUMNS($AN$1006:AV1006),$AN$1006:$BO$1006,0)))),"Fix")))</f>
        <v>0</v>
      </c>
      <c r="K401" s="4">
        <f>IF(OR(INDEX($AH$2:$AH$1001,MATCH(ROWS($AG$2:AG401),$AG$2:$AG$1001,0),1)&gt;=100000,INDEX($AN$1005:$BO$1005,1,MATCH(COLUMNS($AN$1006:AW1006),$AN$1006:$BO$1006,0))&gt;=100000), " ",IF(INDEX($AN$2:$BO$1001,MATCH(ROWS($AG$2:AG401),$AG$2:$AG$1001,0),MATCH(COLUMNS($AN$1006:AW1006),$AN$1006:$BO$1006,0)), HYPERLINK("#",""), HYPERLINK(CONCATENATE("#Metadata!", ADDRESS(INDEX($AI$2:$AI$1001,MATCH(ROWS($AG$2:AG401),$AG$2:$AG$1001,0),0), INDEX($AN$1004:$BO$1004,1,MATCH(COLUMNS($AN$1006:AW1006),$AN$1006:$BO$1006,0)))),"Fix")))</f>
        <v>0</v>
      </c>
      <c r="L401" s="4">
        <f>IF(OR(INDEX($AH$2:$AH$1001,MATCH(ROWS($AG$2:AG401),$AG$2:$AG$1001,0),1)&gt;=100000,INDEX($AN$1005:$BO$1005,1,MATCH(COLUMNS($AN$1006:AX1006),$AN$1006:$BO$1006,0))&gt;=100000), " ",IF(INDEX($AN$2:$BO$1001,MATCH(ROWS($AG$2:AG401),$AG$2:$AG$1001,0),MATCH(COLUMNS($AN$1006:AX1006),$AN$1006:$BO$1006,0)), HYPERLINK("#",""), HYPERLINK(CONCATENATE("#Metadata!", ADDRESS(INDEX($AI$2:$AI$1001,MATCH(ROWS($AG$2:AG401),$AG$2:$AG$1001,0),0), INDEX($AN$1004:$BO$1004,1,MATCH(COLUMNS($AN$1006:AX1006),$AN$1006:$BO$1006,0)))),"Fix")))</f>
        <v>0</v>
      </c>
      <c r="M401" s="4">
        <f>IF(OR(INDEX($AH$2:$AH$1001,MATCH(ROWS($AG$2:AG401),$AG$2:$AG$1001,0),1)&gt;=100000,INDEX($AN$1005:$BO$1005,1,MATCH(COLUMNS($AN$1006:AY1006),$AN$1006:$BO$1006,0))&gt;=100000), " ",IF(INDEX($AN$2:$BO$1001,MATCH(ROWS($AG$2:AG401),$AG$2:$AG$1001,0),MATCH(COLUMNS($AN$1006:AY1006),$AN$1006:$BO$1006,0)), HYPERLINK("#",""), HYPERLINK(CONCATENATE("#Metadata!", ADDRESS(INDEX($AI$2:$AI$1001,MATCH(ROWS($AG$2:AG401),$AG$2:$AG$1001,0),0), INDEX($AN$1004:$BO$1004,1,MATCH(COLUMNS($AN$1006:AY1006),$AN$1006:$BO$1006,0)))),"Fix")))</f>
        <v>0</v>
      </c>
      <c r="N401" s="4">
        <f>IF(OR(INDEX($AH$2:$AH$1001,MATCH(ROWS($AG$2:AG401),$AG$2:$AG$1001,0),1)&gt;=100000,INDEX($AN$1005:$BO$1005,1,MATCH(COLUMNS($AN$1006:AZ1006),$AN$1006:$BO$1006,0))&gt;=100000), " ",IF(INDEX($AN$2:$BO$1001,MATCH(ROWS($AG$2:AG401),$AG$2:$AG$1001,0),MATCH(COLUMNS($AN$1006:AZ1006),$AN$1006:$BO$1006,0)), HYPERLINK("#",""), HYPERLINK(CONCATENATE("#Metadata!", ADDRESS(INDEX($AI$2:$AI$1001,MATCH(ROWS($AG$2:AG401),$AG$2:$AG$1001,0),0), INDEX($AN$1004:$BO$1004,1,MATCH(COLUMNS($AN$1006:AZ1006),$AN$1006:$BO$1006,0)))),"Fix")))</f>
        <v>0</v>
      </c>
      <c r="O401" s="4">
        <f>IF(OR(INDEX($AH$2:$AH$1001,MATCH(ROWS($AG$2:AG401),$AG$2:$AG$1001,0),1)&gt;=100000,INDEX($AN$1005:$BO$1005,1,MATCH(COLUMNS($AN$1006:BA1006),$AN$1006:$BO$1006,0))&gt;=100000), " ",IF(INDEX($AN$2:$BO$1001,MATCH(ROWS($AG$2:AG401),$AG$2:$AG$1001,0),MATCH(COLUMNS($AN$1006:BA1006),$AN$1006:$BO$1006,0)), HYPERLINK("#",""), HYPERLINK(CONCATENATE("#Metadata!", ADDRESS(INDEX($AI$2:$AI$1001,MATCH(ROWS($AG$2:AG401),$AG$2:$AG$1001,0),0), INDEX($AN$1004:$BO$1004,1,MATCH(COLUMNS($AN$1006:BA1006),$AN$1006:$BO$1006,0)))),"Fix")))</f>
        <v>0</v>
      </c>
      <c r="P401" s="4">
        <f>IF(OR(INDEX($AH$2:$AH$1001,MATCH(ROWS($AG$2:AG401),$AG$2:$AG$1001,0),1)&gt;=100000,INDEX($AN$1005:$BO$1005,1,MATCH(COLUMNS($AN$1006:BB1006),$AN$1006:$BO$1006,0))&gt;=100000), " ",IF(INDEX($AN$2:$BO$1001,MATCH(ROWS($AG$2:AG401),$AG$2:$AG$1001,0),MATCH(COLUMNS($AN$1006:BB1006),$AN$1006:$BO$1006,0)), HYPERLINK("#",""), HYPERLINK(CONCATENATE("#Metadata!", ADDRESS(INDEX($AI$2:$AI$1001,MATCH(ROWS($AG$2:AG401),$AG$2:$AG$1001,0),0), INDEX($AN$1004:$BO$1004,1,MATCH(COLUMNS($AN$1006:BB1006),$AN$1006:$BO$1006,0)))),"Fix")))</f>
        <v>0</v>
      </c>
      <c r="Q401" s="4">
        <f>IF(OR(INDEX($AH$2:$AH$1001,MATCH(ROWS($AG$2:AG401),$AG$2:$AG$1001,0),1)&gt;=100000,INDEX($AN$1005:$BO$1005,1,MATCH(COLUMNS($AN$1006:BC1006),$AN$1006:$BO$1006,0))&gt;=100000), " ",IF(INDEX($AN$2:$BO$1001,MATCH(ROWS($AG$2:AG401),$AG$2:$AG$1001,0),MATCH(COLUMNS($AN$1006:BC1006),$AN$1006:$BO$1006,0)), HYPERLINK("#",""), HYPERLINK(CONCATENATE("#Metadata!", ADDRESS(INDEX($AI$2:$AI$1001,MATCH(ROWS($AG$2:AG401),$AG$2:$AG$1001,0),0), INDEX($AN$1004:$BO$1004,1,MATCH(COLUMNS($AN$1006:BC1006),$AN$1006:$BO$1006,0)))),"Fix")))</f>
        <v>0</v>
      </c>
      <c r="R401" s="4">
        <f>IF(OR(INDEX($AH$2:$AH$1001,MATCH(ROWS($AG$2:AG401),$AG$2:$AG$1001,0),1)&gt;=100000,INDEX($AN$1005:$BO$1005,1,MATCH(COLUMNS($AN$1006:BD1006),$AN$1006:$BO$1006,0))&gt;=100000), " ",IF(INDEX($AN$2:$BO$1001,MATCH(ROWS($AG$2:AG401),$AG$2:$AG$1001,0),MATCH(COLUMNS($AN$1006:BD1006),$AN$1006:$BO$1006,0)), HYPERLINK("#",""), HYPERLINK(CONCATENATE("#Metadata!", ADDRESS(INDEX($AI$2:$AI$1001,MATCH(ROWS($AG$2:AG401),$AG$2:$AG$1001,0),0), INDEX($AN$1004:$BO$1004,1,MATCH(COLUMNS($AN$1006:BD1006),$AN$1006:$BO$1006,0)))),"Fix")))</f>
        <v>0</v>
      </c>
      <c r="S401" s="4">
        <f>IF(OR(INDEX($AH$2:$AH$1001,MATCH(ROWS($AG$2:AG401),$AG$2:$AG$1001,0),1)&gt;=100000,INDEX($AN$1005:$BO$1005,1,MATCH(COLUMNS($AN$1006:BE1006),$AN$1006:$BO$1006,0))&gt;=100000), " ",IF(INDEX($AN$2:$BO$1001,MATCH(ROWS($AG$2:AG401),$AG$2:$AG$1001,0),MATCH(COLUMNS($AN$1006:BE1006),$AN$1006:$BO$1006,0)), HYPERLINK("#",""), HYPERLINK(CONCATENATE("#Metadata!", ADDRESS(INDEX($AI$2:$AI$1001,MATCH(ROWS($AG$2:AG401),$AG$2:$AG$1001,0),0), INDEX($AN$1004:$BO$1004,1,MATCH(COLUMNS($AN$1006:BE1006),$AN$1006:$BO$1006,0)))),"Fix")))</f>
        <v>0</v>
      </c>
      <c r="T401" s="4">
        <f>IF(OR(INDEX($AH$2:$AH$1001,MATCH(ROWS($AG$2:AG401),$AG$2:$AG$1001,0),1)&gt;=100000,INDEX($AN$1005:$BO$1005,1,MATCH(COLUMNS($AN$1006:BF1006),$AN$1006:$BO$1006,0))&gt;=100000), " ",IF(INDEX($AN$2:$BO$1001,MATCH(ROWS($AG$2:AG401),$AG$2:$AG$1001,0),MATCH(COLUMNS($AN$1006:BF1006),$AN$1006:$BO$1006,0)), HYPERLINK("#",""), HYPERLINK(CONCATENATE("#Metadata!", ADDRESS(INDEX($AI$2:$AI$1001,MATCH(ROWS($AG$2:AG401),$AG$2:$AG$1001,0),0), INDEX($AN$1004:$BO$1004,1,MATCH(COLUMNS($AN$1006:BF1006),$AN$1006:$BO$1006,0)))),"Fix")))</f>
        <v>0</v>
      </c>
      <c r="U401" s="4">
        <f>IF(OR(INDEX($AH$2:$AH$1001,MATCH(ROWS($AG$2:AG401),$AG$2:$AG$1001,0),1)&gt;=100000,INDEX($AN$1005:$BO$1005,1,MATCH(COLUMNS($AN$1006:BG1006),$AN$1006:$BO$1006,0))&gt;=100000), " ",IF(INDEX($AN$2:$BO$1001,MATCH(ROWS($AG$2:AG401),$AG$2:$AG$1001,0),MATCH(COLUMNS($AN$1006:BG1006),$AN$1006:$BO$1006,0)), HYPERLINK("#",""), HYPERLINK(CONCATENATE("#Metadata!", ADDRESS(INDEX($AI$2:$AI$1001,MATCH(ROWS($AG$2:AG401),$AG$2:$AG$1001,0),0), INDEX($AN$1004:$BO$1004,1,MATCH(COLUMNS($AN$1006:BG1006),$AN$1006:$BO$1006,0)))),"Fix")))</f>
        <v>0</v>
      </c>
      <c r="V401" s="4">
        <f>IF(OR(INDEX($AH$2:$AH$1001,MATCH(ROWS($AG$2:AG401),$AG$2:$AG$1001,0),1)&gt;=100000,INDEX($AN$1005:$BO$1005,1,MATCH(COLUMNS($AN$1006:BH1006),$AN$1006:$BO$1006,0))&gt;=100000), " ",IF(INDEX($AN$2:$BO$1001,MATCH(ROWS($AG$2:AG401),$AG$2:$AG$1001,0),MATCH(COLUMNS($AN$1006:BH1006),$AN$1006:$BO$1006,0)), HYPERLINK("#",""), HYPERLINK(CONCATENATE("#Metadata!", ADDRESS(INDEX($AI$2:$AI$1001,MATCH(ROWS($AG$2:AG401),$AG$2:$AG$1001,0),0), INDEX($AN$1004:$BO$1004,1,MATCH(COLUMNS($AN$1006:BH1006),$AN$1006:$BO$1006,0)))),"Fix")))</f>
        <v>0</v>
      </c>
      <c r="W401" s="4">
        <f>IF(OR(INDEX($AH$2:$AH$1001,MATCH(ROWS($AG$2:AG401),$AG$2:$AG$1001,0),1)&gt;=100000,INDEX($AN$1005:$BO$1005,1,MATCH(COLUMNS($AN$1006:BI1006),$AN$1006:$BO$1006,0))&gt;=100000), " ",IF(INDEX($AN$2:$BO$1001,MATCH(ROWS($AG$2:AG401),$AG$2:$AG$1001,0),MATCH(COLUMNS($AN$1006:BI1006),$AN$1006:$BO$1006,0)), HYPERLINK("#",""), HYPERLINK(CONCATENATE("#Metadata!", ADDRESS(INDEX($AI$2:$AI$1001,MATCH(ROWS($AG$2:AG401),$AG$2:$AG$1001,0),0), INDEX($AN$1004:$BO$1004,1,MATCH(COLUMNS($AN$1006:BI1006),$AN$1006:$BO$1006,0)))),"Fix")))</f>
        <v>0</v>
      </c>
      <c r="X401" s="4">
        <f>IF(OR(INDEX($AH$2:$AH$1001,MATCH(ROWS($AG$2:AG401),$AG$2:$AG$1001,0),1)&gt;=100000,INDEX($AN$1005:$BO$1005,1,MATCH(COLUMNS($AN$1006:BJ1006),$AN$1006:$BO$1006,0))&gt;=100000), " ",IF(INDEX($AN$2:$BO$1001,MATCH(ROWS($AG$2:AG401),$AG$2:$AG$1001,0),MATCH(COLUMNS($AN$1006:BJ1006),$AN$1006:$BO$1006,0)), HYPERLINK("#",""), HYPERLINK(CONCATENATE("#Metadata!", ADDRESS(INDEX($AI$2:$AI$1001,MATCH(ROWS($AG$2:AG401),$AG$2:$AG$1001,0),0), INDEX($AN$1004:$BO$1004,1,MATCH(COLUMNS($AN$1006:BJ1006),$AN$1006:$BO$1006,0)))),"Fix")))</f>
        <v>0</v>
      </c>
      <c r="Y401" s="4">
        <f>IF(OR(INDEX($AH$2:$AH$1001,MATCH(ROWS($AG$2:AG401),$AG$2:$AG$1001,0),1)&gt;=100000,INDEX($AN$1005:$BO$1005,1,MATCH(COLUMNS($AN$1006:BK1006),$AN$1006:$BO$1006,0))&gt;=100000), " ",IF(INDEX($AN$2:$BO$1001,MATCH(ROWS($AG$2:AG401),$AG$2:$AG$1001,0),MATCH(COLUMNS($AN$1006:BK1006),$AN$1006:$BO$1006,0)), HYPERLINK("#",""), HYPERLINK(CONCATENATE("#Metadata!", ADDRESS(INDEX($AI$2:$AI$1001,MATCH(ROWS($AG$2:AG401),$AG$2:$AG$1001,0),0), INDEX($AN$1004:$BO$1004,1,MATCH(COLUMNS($AN$1006:BK1006),$AN$1006:$BO$1006,0)))),"Fix")))</f>
        <v>0</v>
      </c>
      <c r="Z401" s="4">
        <f>IF(OR(INDEX($AH$2:$AH$1001,MATCH(ROWS($AG$2:AG401),$AG$2:$AG$1001,0),1)&gt;=100000,INDEX($AN$1005:$BO$1005,1,MATCH(COLUMNS($AN$1006:BL1006),$AN$1006:$BO$1006,0))&gt;=100000), " ",IF(INDEX($AN$2:$BO$1001,MATCH(ROWS($AG$2:AG401),$AG$2:$AG$1001,0),MATCH(COLUMNS($AN$1006:BL1006),$AN$1006:$BO$1006,0)), HYPERLINK("#",""), HYPERLINK(CONCATENATE("#Metadata!", ADDRESS(INDEX($AI$2:$AI$1001,MATCH(ROWS($AG$2:AG401),$AG$2:$AG$1001,0),0), INDEX($AN$1004:$BO$1004,1,MATCH(COLUMNS($AN$1006:BL1006),$AN$1006:$BO$1006,0)))),"Fix")))</f>
        <v>0</v>
      </c>
      <c r="AA401" s="4">
        <f>IF(OR(INDEX($AH$2:$AH$1001,MATCH(ROWS($AG$2:AG401),$AG$2:$AG$1001,0),1)&gt;=100000,INDEX($AN$1005:$BO$1005,1,MATCH(COLUMNS($AN$1006:BM1006),$AN$1006:$BO$1006,0))&gt;=100000), " ",IF(INDEX($AN$2:$BO$1001,MATCH(ROWS($AG$2:AG401),$AG$2:$AG$1001,0),MATCH(COLUMNS($AN$1006:BM1006),$AN$1006:$BO$1006,0)), HYPERLINK("#",""), HYPERLINK(CONCATENATE("#Metadata!", ADDRESS(INDEX($AI$2:$AI$1001,MATCH(ROWS($AG$2:AG401),$AG$2:$AG$1001,0),0), INDEX($AN$1004:$BO$1004,1,MATCH(COLUMNS($AN$1006:BM1006),$AN$1006:$BO$1006,0)))),"Fix")))</f>
        <v>0</v>
      </c>
      <c r="AB401" s="4">
        <f>IF(OR(INDEX($AH$2:$AH$1001,MATCH(ROWS($AG$2:AG401),$AG$2:$AG$1001,0),1)&gt;=100000,INDEX($AN$1005:$BO$1005,1,MATCH(COLUMNS($AN$1006:BN1006),$AN$1006:$BO$1006,0))&gt;=100000), " ",IF(INDEX($AN$2:$BO$1001,MATCH(ROWS($AG$2:AG401),$AG$2:$AG$1001,0),MATCH(COLUMNS($AN$1006:BN1006),$AN$1006:$BO$1006,0)), HYPERLINK("#",""), HYPERLINK(CONCATENATE("#Metadata!", ADDRESS(INDEX($AI$2:$AI$1001,MATCH(ROWS($AG$2:AG401),$AG$2:$AG$1001,0),0), INDEX($AN$1004:$BO$1004,1,MATCH(COLUMNS($AN$1006:BN1006),$AN$1006:$BO$1006,0)))),"Fix")))</f>
        <v>0</v>
      </c>
      <c r="AC401" s="4">
        <f>IF(OR(INDEX($AH$2:$AH$1001,MATCH(ROWS($AG$2:AG401),$AG$2:$AG$1001,0),1)&gt;=100000,INDEX($AN$1005:$BO$1005,1,MATCH(COLUMNS($AN$1006:BO1006),$AN$1006:$BO$1006,0))&gt;=100000), " ",IF(INDEX($AN$2:$BO$1001,MATCH(ROWS($AG$2:AG401),$AG$2:$AG$1001,0),MATCH(COLUMNS($AN$1006:BO1006),$AN$1006:$BO$1006,0)), HYPERLINK("#",""), HYPERLINK(CONCATENATE("#Metadata!", ADDRESS(INDEX($AI$2:$AI$1001,MATCH(ROWS($AG$2:AG401),$AG$2:$AG$1001,0),0), INDEX($AN$1004:$BO$1004,1,MATCH(COLUMNS($AN$1006:BO1006),$AN$1006:$BO$1006,0)))),"Fix")))</f>
        <v>0</v>
      </c>
      <c r="AG401">
        <v>0</v>
      </c>
      <c r="AH401">
        <v>0</v>
      </c>
      <c r="AI401">
        <v>0</v>
      </c>
      <c r="AJ401">
        <f>IF(AK401,TRUE,AND(AN401:BO401))</f>
        <v>0</v>
      </c>
      <c r="AK401">
        <f>COUNTBLANK(Metadata!B401:AC401)=COLUMNS(Metadata!B401:AC401)</f>
        <v>0</v>
      </c>
      <c r="AL401">
        <v>0</v>
      </c>
      <c r="AN401">
        <f>AND(IF(Metadata!B401="",FALSE,TRUE),COUNTIF(Metadata!B:B, Metadata!B401) = 1,NOT(ISERROR(SUMPRODUCT(SEARCH(MID(Metadata!B401,ROW(INDIRECT("1:"&amp;LEN(Metadata!B401))), 1),"0123456789abcdefghijklmnopqrstuvwxyzABCDEFGHIJKLMNOPQRSTUVWXYZ.")))))</f>
        <v>0</v>
      </c>
      <c r="AO401">
        <f>IF(Metadata!C401="",FALSE,TRUE)</f>
        <v>0</v>
      </c>
      <c r="AP401">
        <f>IF(Metadata!D401="",FALSE,TRUE)</f>
        <v>0</v>
      </c>
      <c r="AQ401">
        <f>OR(AND(IF(Metadata!E401="",FALSE,TRUE),OR(exact(Metadata!E401,"not collected"),exact(Metadata!E401,"not provided"),exact(Metadata!E401,"restricted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R401">
        <f>IF(Metadata!F401="",FALSE,TRUE)</f>
        <v>0</v>
      </c>
      <c r="AS401">
        <f>OR(AND(IF(Metadata!G401="",FALSE,TRUE),OR(exact(Metadata!G401,"not collected"),exact(Metadata!G401,"not provided"))),AND(IF(Metadata!G401="",FALSE,TRUE),OR(exact(Metadata!G401,"TRUE"),exact(Metadata!G401,"FALSE"))))</f>
        <v>0</v>
      </c>
      <c r="AT401">
        <f>OR(AND(IF(Metadata!H401="",FALSE,TRUE),OR(exact(Metadata!H401,"not collected"),exact(Metadata!H401,"not provided"),exact(Metadata!H401,"restricted access"))),AND(IF(Metadata!H401="",FALSE,ISNUMBER(VALUE(Metadata!H401))),Metadata!H401&gt;=-413.0))</f>
        <v>0</v>
      </c>
      <c r="AU401">
        <f>AND(IF(Metadata!I401="",FALSE,TRUE),exact(Metadata!I401,"meters"))</f>
        <v>0</v>
      </c>
      <c r="AV401">
        <f>AND(IF(Metadata!J401="",FALSE,TRUE),OR(exact(Metadata!J401,"Host-associated"),exact(Metadata!J401,"Free-living")))</f>
        <v>0</v>
      </c>
      <c r="AW401">
        <f>AND(IF(Metadata!K401="",FALSE,TRUE),OR(exact(Metadata!K401,"Animal"),exact(Metadata!K401,"Fungus"),exact(Metadata!K401,"Plant"),exact(Metadata!K401,"Saline"),exact(Metadata!K401,"Non-saline")))</f>
        <v>0</v>
      </c>
      <c r="AX401">
        <f>AND(IF(Metadata!L401="",FALSE,TRUE),OR(exact(Metadata!L401,"Plant secretion"),exact(Metadata!L401,"Plant rhizosphere"),exact(Metadata!L401,"Plant surface"),exact(Metadata!L401,"Plant corpus"),exact(Metadata!L401,"Fungus surface"),exact(Metadata!L401,"Fungus corpus"),exact(Metadata!L401,"Animal surface"),exact(Metadata!L401,"Animal proximal gut"),exact(Metadata!L401,"Animal corpus"),exact(Metadata!L401,"Animal distal gut"),exact(Metadata!L401,"Animal secretion"),exact(Metadata!L401,"Sub-surface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Y401">
        <f>IF(Metadata!M401="",FALSE,TRUE)</f>
        <v>0</v>
      </c>
      <c r="AZ401">
        <f>IF(Metadata!N401="",FALSE,TRUE)</f>
        <v>0</v>
      </c>
      <c r="BA401">
        <f>IF(Metadata!O401="",FALSE,TRUE)</f>
        <v>0</v>
      </c>
      <c r="BB401">
        <f>OR(AND(IF(Metadata!P401="",FALSE,TRUE),OR(exact(Metadata!P401,"not collected"),exact(Metadata!P401,"not provided"),exact(Metadata!P401,"restricted access"))),AND(IF(Metadata!P401="",FALSE,TRUE),OR(exact(Metadata!P401,"air"),exact(Metadata!P401,"built environment"),exact(Metadata!P401,"host-associated"),exact(Metadata!P401,"human-associated"),exact(Metadata!P401,"human-skin"),exact(Metadata!P401,"human-oral"),exact(Metadata!P401,"human-gut"),exact(Metadata!P401,"human-vaginal"),exact(Metadata!P401,"microbial mat/biofilm"),exact(Metadata!P401,"misc environment"),exact(Metadata!P401,"plant-associated"),exact(Metadata!P401,"sediment"),exact(Metadata!P401,"soil"),exact(Metadata!P401,"wastewater/sludge"),exact(Metadata!P401,"water"))))</f>
        <v>0</v>
      </c>
      <c r="BC401">
        <f>IF(Metadata!Q401="",FALSE,TRUE)</f>
        <v>0</v>
      </c>
      <c r="BD401">
        <f>IF(Metadata!R401="",FALSE,TRUE)</f>
        <v>0</v>
      </c>
      <c r="BE401">
        <f>OR(AND(IF(Metadata!S401="",FALSE,TRUE),OR(exact(Metadata!S401,"not collected"),exact(Metadata!S401,"not provided"),exact(Metadata!S401,"restricted access"))),AND(IF(Metadata!S401="",FALSE,ISNUMBER(VALUE(Metadata!S401))),Metadata!S401&gt;=-90.00,Metadata!S401&lt;=90.00))</f>
        <v>0</v>
      </c>
      <c r="BF401">
        <f>AND(IF(Metadata!T401="",FALSE,TRUE),exact(Metadata!T401,"Decimal degrees"))</f>
        <v>0</v>
      </c>
      <c r="BG401">
        <f>OR(AND(IF(Metadata!U401="",FALSE,TRUE),OR(exact(Metadata!U401,"not collected"),exact(Metadata!U401,"not provided"),exact(Metadata!U401,"restricted access"))),AND(IF(Metadata!U401="",FALSE,ISNUMBER(VALUE(Metadata!U401))),Metadata!U401&gt;=-180.00,Metadata!U401&lt;=180.00))</f>
        <v>0</v>
      </c>
      <c r="BH401">
        <f>AND(IF(Metadata!V401="",FALSE,TRUE),exact(Metadata!V401,"Decimal degrees"))</f>
        <v>0</v>
      </c>
      <c r="BI401">
        <f>IF(Metadata!W401="",FALSE,TRUE)</f>
        <v>0</v>
      </c>
      <c r="BJ401">
        <f>OR(AND(IF(Metadata!X401="",FALSE,TRUE),OR(exact(Metadata!X401,"not collected"),exact(Metadata!X401,"not provided"),exact(Metadata!X401,"restricted access"))),AND(IF(Metadata!X401="",FALSE,TRUE),OR(exact(Metadata!X401,"TRUE"),exact(Metadata!X401,"FALSE"))))</f>
        <v>0</v>
      </c>
      <c r="BK401">
        <f>AND(IF(Metadata!Y401="",FALSE,TRUE),exact(Metadata!Y401,"other"))</f>
        <v>0</v>
      </c>
      <c r="BL401">
        <f>IF(Metadata!Z401="",FALSE,TRUE)</f>
        <v>0</v>
      </c>
      <c r="BM401">
        <f>OR(AND(IF(Metadata!AA401="",FALSE,TRUE),OR(exact(Metadata!AA401,"not collected"),exact(Metadata!AA401,"not provided"))),AND(IF(Metadata!AA401="",FALSE,IF(ISERROR(INT(Metadata!AA401)),FALSE,INT(Metadata!AA401)=Metadata!AA401)),Metadata!AA401&gt;0))</f>
        <v>0</v>
      </c>
      <c r="BN401">
        <f>AND(IF(Metadata!AB401="",FALSE,TRUE),exact(Metadata!AB401,"Not applicable"))</f>
        <v>0</v>
      </c>
      <c r="BO401">
        <f>IF(Metadata!AC401="",FALSE,TRUE)</f>
        <v>0</v>
      </c>
    </row>
    <row r="402" spans="1:67">
      <c r="A402" s="5">
        <f>IF(B402=" "," ",HYPERLINK(CONCATENATE("#metadata!",ADDRESS(INDEX($AI$2:$AI$1001,MATCH(ROWS($AG$2:AG402),$AG$2:$AG$1001,0),0),1)),INDEX($AL$2:$AL$1001,MATCH(ROWS($AG$2:AG402),$AG$2:$AG$1001,0),0)))</f>
        <v>0</v>
      </c>
      <c r="B402" s="4">
        <f>IF(OR(INDEX($AH$2:$AH$1001,MATCH(ROWS($AG$2:AG402),$AG$2:$AG$1001,0),1)&gt;=100000,INDEX($AN$1005:$BO$1005,1,MATCH(COLUMNS($AN$1006:AN1006),$AN$1006:$BO$1006,0))&gt;=100000), " ",IF(INDEX($AN$2:$BO$1001,MATCH(ROWS($AG$2:AG402),$AG$2:$AG$1001,0),MATCH(COLUMNS($AN$1006:AN1006),$AN$1006:$BO$1006,0)), HYPERLINK("#",""), HYPERLINK(CONCATENATE("#Metadata!", ADDRESS(INDEX($AI$2:$AI$1001,MATCH(ROWS($AG$2:AG402),$AG$2:$AG$1001,0),0), INDEX($AN$1004:$BO$1004,1,MATCH(COLUMNS($AN$1006:AN1006),$AN$1006:$BO$1006,0)))),"Fix")))</f>
        <v>0</v>
      </c>
      <c r="C402" s="4">
        <f>IF(OR(INDEX($AH$2:$AH$1001,MATCH(ROWS($AG$2:AG402),$AG$2:$AG$1001,0),1)&gt;=100000,INDEX($AN$1005:$BO$1005,1,MATCH(COLUMNS($AN$1006:AO1006),$AN$1006:$BO$1006,0))&gt;=100000), " ",IF(INDEX($AN$2:$BO$1001,MATCH(ROWS($AG$2:AG402),$AG$2:$AG$1001,0),MATCH(COLUMNS($AN$1006:AO1006),$AN$1006:$BO$1006,0)), HYPERLINK("#",""), HYPERLINK(CONCATENATE("#Metadata!", ADDRESS(INDEX($AI$2:$AI$1001,MATCH(ROWS($AG$2:AG402),$AG$2:$AG$1001,0),0), INDEX($AN$1004:$BO$1004,1,MATCH(COLUMNS($AN$1006:AO1006),$AN$1006:$BO$1006,0)))),"Fix")))</f>
        <v>0</v>
      </c>
      <c r="D402" s="4">
        <f>IF(OR(INDEX($AH$2:$AH$1001,MATCH(ROWS($AG$2:AG402),$AG$2:$AG$1001,0),1)&gt;=100000,INDEX($AN$1005:$BO$1005,1,MATCH(COLUMNS($AN$1006:AP1006),$AN$1006:$BO$1006,0))&gt;=100000), " ",IF(INDEX($AN$2:$BO$1001,MATCH(ROWS($AG$2:AG402),$AG$2:$AG$1001,0),MATCH(COLUMNS($AN$1006:AP1006),$AN$1006:$BO$1006,0)), HYPERLINK("#",""), HYPERLINK(CONCATENATE("#Metadata!", ADDRESS(INDEX($AI$2:$AI$1001,MATCH(ROWS($AG$2:AG402),$AG$2:$AG$1001,0),0), INDEX($AN$1004:$BO$1004,1,MATCH(COLUMNS($AN$1006:AP1006),$AN$1006:$BO$1006,0)))),"Fix")))</f>
        <v>0</v>
      </c>
      <c r="E402" s="4">
        <f>IF(OR(INDEX($AH$2:$AH$1001,MATCH(ROWS($AG$2:AG402),$AG$2:$AG$1001,0),1)&gt;=100000,INDEX($AN$1005:$BO$1005,1,MATCH(COLUMNS($AN$1006:AQ1006),$AN$1006:$BO$1006,0))&gt;=100000), " ",IF(INDEX($AN$2:$BO$1001,MATCH(ROWS($AG$2:AG402),$AG$2:$AG$1001,0),MATCH(COLUMNS($AN$1006:AQ1006),$AN$1006:$BO$1006,0)), HYPERLINK("#",""), HYPERLINK(CONCATENATE("#Metadata!", ADDRESS(INDEX($AI$2:$AI$1001,MATCH(ROWS($AG$2:AG402),$AG$2:$AG$1001,0),0), INDEX($AN$1004:$BO$1004,1,MATCH(COLUMNS($AN$1006:AQ1006),$AN$1006:$BO$1006,0)))),"Fix")))</f>
        <v>0</v>
      </c>
      <c r="F402" s="4">
        <f>IF(OR(INDEX($AH$2:$AH$1001,MATCH(ROWS($AG$2:AG402),$AG$2:$AG$1001,0),1)&gt;=100000,INDEX($AN$1005:$BO$1005,1,MATCH(COLUMNS($AN$1006:AR1006),$AN$1006:$BO$1006,0))&gt;=100000), " ",IF(INDEX($AN$2:$BO$1001,MATCH(ROWS($AG$2:AG402),$AG$2:$AG$1001,0),MATCH(COLUMNS($AN$1006:AR1006),$AN$1006:$BO$1006,0)), HYPERLINK("#",""), HYPERLINK(CONCATENATE("#Metadata!", ADDRESS(INDEX($AI$2:$AI$1001,MATCH(ROWS($AG$2:AG402),$AG$2:$AG$1001,0),0), INDEX($AN$1004:$BO$1004,1,MATCH(COLUMNS($AN$1006:AR1006),$AN$1006:$BO$1006,0)))),"Fix")))</f>
        <v>0</v>
      </c>
      <c r="G402" s="4">
        <f>IF(OR(INDEX($AH$2:$AH$1001,MATCH(ROWS($AG$2:AG402),$AG$2:$AG$1001,0),1)&gt;=100000,INDEX($AN$1005:$BO$1005,1,MATCH(COLUMNS($AN$1006:AS1006),$AN$1006:$BO$1006,0))&gt;=100000), " ",IF(INDEX($AN$2:$BO$1001,MATCH(ROWS($AG$2:AG402),$AG$2:$AG$1001,0),MATCH(COLUMNS($AN$1006:AS1006),$AN$1006:$BO$1006,0)), HYPERLINK("#",""), HYPERLINK(CONCATENATE("#Metadata!", ADDRESS(INDEX($AI$2:$AI$1001,MATCH(ROWS($AG$2:AG402),$AG$2:$AG$1001,0),0), INDEX($AN$1004:$BO$1004,1,MATCH(COLUMNS($AN$1006:AS1006),$AN$1006:$BO$1006,0)))),"Fix")))</f>
        <v>0</v>
      </c>
      <c r="H402" s="4">
        <f>IF(OR(INDEX($AH$2:$AH$1001,MATCH(ROWS($AG$2:AG402),$AG$2:$AG$1001,0),1)&gt;=100000,INDEX($AN$1005:$BO$1005,1,MATCH(COLUMNS($AN$1006:AT1006),$AN$1006:$BO$1006,0))&gt;=100000), " ",IF(INDEX($AN$2:$BO$1001,MATCH(ROWS($AG$2:AG402),$AG$2:$AG$1001,0),MATCH(COLUMNS($AN$1006:AT1006),$AN$1006:$BO$1006,0)), HYPERLINK("#",""), HYPERLINK(CONCATENATE("#Metadata!", ADDRESS(INDEX($AI$2:$AI$1001,MATCH(ROWS($AG$2:AG402),$AG$2:$AG$1001,0),0), INDEX($AN$1004:$BO$1004,1,MATCH(COLUMNS($AN$1006:AT1006),$AN$1006:$BO$1006,0)))),"Fix")))</f>
        <v>0</v>
      </c>
      <c r="I402" s="4">
        <f>IF(OR(INDEX($AH$2:$AH$1001,MATCH(ROWS($AG$2:AG402),$AG$2:$AG$1001,0),1)&gt;=100000,INDEX($AN$1005:$BO$1005,1,MATCH(COLUMNS($AN$1006:AU1006),$AN$1006:$BO$1006,0))&gt;=100000), " ",IF(INDEX($AN$2:$BO$1001,MATCH(ROWS($AG$2:AG402),$AG$2:$AG$1001,0),MATCH(COLUMNS($AN$1006:AU1006),$AN$1006:$BO$1006,0)), HYPERLINK("#",""), HYPERLINK(CONCATENATE("#Metadata!", ADDRESS(INDEX($AI$2:$AI$1001,MATCH(ROWS($AG$2:AG402),$AG$2:$AG$1001,0),0), INDEX($AN$1004:$BO$1004,1,MATCH(COLUMNS($AN$1006:AU1006),$AN$1006:$BO$1006,0)))),"Fix")))</f>
        <v>0</v>
      </c>
      <c r="J402" s="4">
        <f>IF(OR(INDEX($AH$2:$AH$1001,MATCH(ROWS($AG$2:AG402),$AG$2:$AG$1001,0),1)&gt;=100000,INDEX($AN$1005:$BO$1005,1,MATCH(COLUMNS($AN$1006:AV1006),$AN$1006:$BO$1006,0))&gt;=100000), " ",IF(INDEX($AN$2:$BO$1001,MATCH(ROWS($AG$2:AG402),$AG$2:$AG$1001,0),MATCH(COLUMNS($AN$1006:AV1006),$AN$1006:$BO$1006,0)), HYPERLINK("#",""), HYPERLINK(CONCATENATE("#Metadata!", ADDRESS(INDEX($AI$2:$AI$1001,MATCH(ROWS($AG$2:AG402),$AG$2:$AG$1001,0),0), INDEX($AN$1004:$BO$1004,1,MATCH(COLUMNS($AN$1006:AV1006),$AN$1006:$BO$1006,0)))),"Fix")))</f>
        <v>0</v>
      </c>
      <c r="K402" s="4">
        <f>IF(OR(INDEX($AH$2:$AH$1001,MATCH(ROWS($AG$2:AG402),$AG$2:$AG$1001,0),1)&gt;=100000,INDEX($AN$1005:$BO$1005,1,MATCH(COLUMNS($AN$1006:AW1006),$AN$1006:$BO$1006,0))&gt;=100000), " ",IF(INDEX($AN$2:$BO$1001,MATCH(ROWS($AG$2:AG402),$AG$2:$AG$1001,0),MATCH(COLUMNS($AN$1006:AW1006),$AN$1006:$BO$1006,0)), HYPERLINK("#",""), HYPERLINK(CONCATENATE("#Metadata!", ADDRESS(INDEX($AI$2:$AI$1001,MATCH(ROWS($AG$2:AG402),$AG$2:$AG$1001,0),0), INDEX($AN$1004:$BO$1004,1,MATCH(COLUMNS($AN$1006:AW1006),$AN$1006:$BO$1006,0)))),"Fix")))</f>
        <v>0</v>
      </c>
      <c r="L402" s="4">
        <f>IF(OR(INDEX($AH$2:$AH$1001,MATCH(ROWS($AG$2:AG402),$AG$2:$AG$1001,0),1)&gt;=100000,INDEX($AN$1005:$BO$1005,1,MATCH(COLUMNS($AN$1006:AX1006),$AN$1006:$BO$1006,0))&gt;=100000), " ",IF(INDEX($AN$2:$BO$1001,MATCH(ROWS($AG$2:AG402),$AG$2:$AG$1001,0),MATCH(COLUMNS($AN$1006:AX1006),$AN$1006:$BO$1006,0)), HYPERLINK("#",""), HYPERLINK(CONCATENATE("#Metadata!", ADDRESS(INDEX($AI$2:$AI$1001,MATCH(ROWS($AG$2:AG402),$AG$2:$AG$1001,0),0), INDEX($AN$1004:$BO$1004,1,MATCH(COLUMNS($AN$1006:AX1006),$AN$1006:$BO$1006,0)))),"Fix")))</f>
        <v>0</v>
      </c>
      <c r="M402" s="4">
        <f>IF(OR(INDEX($AH$2:$AH$1001,MATCH(ROWS($AG$2:AG402),$AG$2:$AG$1001,0),1)&gt;=100000,INDEX($AN$1005:$BO$1005,1,MATCH(COLUMNS($AN$1006:AY1006),$AN$1006:$BO$1006,0))&gt;=100000), " ",IF(INDEX($AN$2:$BO$1001,MATCH(ROWS($AG$2:AG402),$AG$2:$AG$1001,0),MATCH(COLUMNS($AN$1006:AY1006),$AN$1006:$BO$1006,0)), HYPERLINK("#",""), HYPERLINK(CONCATENATE("#Metadata!", ADDRESS(INDEX($AI$2:$AI$1001,MATCH(ROWS($AG$2:AG402),$AG$2:$AG$1001,0),0), INDEX($AN$1004:$BO$1004,1,MATCH(COLUMNS($AN$1006:AY1006),$AN$1006:$BO$1006,0)))),"Fix")))</f>
        <v>0</v>
      </c>
      <c r="N402" s="4">
        <f>IF(OR(INDEX($AH$2:$AH$1001,MATCH(ROWS($AG$2:AG402),$AG$2:$AG$1001,0),1)&gt;=100000,INDEX($AN$1005:$BO$1005,1,MATCH(COLUMNS($AN$1006:AZ1006),$AN$1006:$BO$1006,0))&gt;=100000), " ",IF(INDEX($AN$2:$BO$1001,MATCH(ROWS($AG$2:AG402),$AG$2:$AG$1001,0),MATCH(COLUMNS($AN$1006:AZ1006),$AN$1006:$BO$1006,0)), HYPERLINK("#",""), HYPERLINK(CONCATENATE("#Metadata!", ADDRESS(INDEX($AI$2:$AI$1001,MATCH(ROWS($AG$2:AG402),$AG$2:$AG$1001,0),0), INDEX($AN$1004:$BO$1004,1,MATCH(COLUMNS($AN$1006:AZ1006),$AN$1006:$BO$1006,0)))),"Fix")))</f>
        <v>0</v>
      </c>
      <c r="O402" s="4">
        <f>IF(OR(INDEX($AH$2:$AH$1001,MATCH(ROWS($AG$2:AG402),$AG$2:$AG$1001,0),1)&gt;=100000,INDEX($AN$1005:$BO$1005,1,MATCH(COLUMNS($AN$1006:BA1006),$AN$1006:$BO$1006,0))&gt;=100000), " ",IF(INDEX($AN$2:$BO$1001,MATCH(ROWS($AG$2:AG402),$AG$2:$AG$1001,0),MATCH(COLUMNS($AN$1006:BA1006),$AN$1006:$BO$1006,0)), HYPERLINK("#",""), HYPERLINK(CONCATENATE("#Metadata!", ADDRESS(INDEX($AI$2:$AI$1001,MATCH(ROWS($AG$2:AG402),$AG$2:$AG$1001,0),0), INDEX($AN$1004:$BO$1004,1,MATCH(COLUMNS($AN$1006:BA1006),$AN$1006:$BO$1006,0)))),"Fix")))</f>
        <v>0</v>
      </c>
      <c r="P402" s="4">
        <f>IF(OR(INDEX($AH$2:$AH$1001,MATCH(ROWS($AG$2:AG402),$AG$2:$AG$1001,0),1)&gt;=100000,INDEX($AN$1005:$BO$1005,1,MATCH(COLUMNS($AN$1006:BB1006),$AN$1006:$BO$1006,0))&gt;=100000), " ",IF(INDEX($AN$2:$BO$1001,MATCH(ROWS($AG$2:AG402),$AG$2:$AG$1001,0),MATCH(COLUMNS($AN$1006:BB1006),$AN$1006:$BO$1006,0)), HYPERLINK("#",""), HYPERLINK(CONCATENATE("#Metadata!", ADDRESS(INDEX($AI$2:$AI$1001,MATCH(ROWS($AG$2:AG402),$AG$2:$AG$1001,0),0), INDEX($AN$1004:$BO$1004,1,MATCH(COLUMNS($AN$1006:BB1006),$AN$1006:$BO$1006,0)))),"Fix")))</f>
        <v>0</v>
      </c>
      <c r="Q402" s="4">
        <f>IF(OR(INDEX($AH$2:$AH$1001,MATCH(ROWS($AG$2:AG402),$AG$2:$AG$1001,0),1)&gt;=100000,INDEX($AN$1005:$BO$1005,1,MATCH(COLUMNS($AN$1006:BC1006),$AN$1006:$BO$1006,0))&gt;=100000), " ",IF(INDEX($AN$2:$BO$1001,MATCH(ROWS($AG$2:AG402),$AG$2:$AG$1001,0),MATCH(COLUMNS($AN$1006:BC1006),$AN$1006:$BO$1006,0)), HYPERLINK("#",""), HYPERLINK(CONCATENATE("#Metadata!", ADDRESS(INDEX($AI$2:$AI$1001,MATCH(ROWS($AG$2:AG402),$AG$2:$AG$1001,0),0), INDEX($AN$1004:$BO$1004,1,MATCH(COLUMNS($AN$1006:BC1006),$AN$1006:$BO$1006,0)))),"Fix")))</f>
        <v>0</v>
      </c>
      <c r="R402" s="4">
        <f>IF(OR(INDEX($AH$2:$AH$1001,MATCH(ROWS($AG$2:AG402),$AG$2:$AG$1001,0),1)&gt;=100000,INDEX($AN$1005:$BO$1005,1,MATCH(COLUMNS($AN$1006:BD1006),$AN$1006:$BO$1006,0))&gt;=100000), " ",IF(INDEX($AN$2:$BO$1001,MATCH(ROWS($AG$2:AG402),$AG$2:$AG$1001,0),MATCH(COLUMNS($AN$1006:BD1006),$AN$1006:$BO$1006,0)), HYPERLINK("#",""), HYPERLINK(CONCATENATE("#Metadata!", ADDRESS(INDEX($AI$2:$AI$1001,MATCH(ROWS($AG$2:AG402),$AG$2:$AG$1001,0),0), INDEX($AN$1004:$BO$1004,1,MATCH(COLUMNS($AN$1006:BD1006),$AN$1006:$BO$1006,0)))),"Fix")))</f>
        <v>0</v>
      </c>
      <c r="S402" s="4">
        <f>IF(OR(INDEX($AH$2:$AH$1001,MATCH(ROWS($AG$2:AG402),$AG$2:$AG$1001,0),1)&gt;=100000,INDEX($AN$1005:$BO$1005,1,MATCH(COLUMNS($AN$1006:BE1006),$AN$1006:$BO$1006,0))&gt;=100000), " ",IF(INDEX($AN$2:$BO$1001,MATCH(ROWS($AG$2:AG402),$AG$2:$AG$1001,0),MATCH(COLUMNS($AN$1006:BE1006),$AN$1006:$BO$1006,0)), HYPERLINK("#",""), HYPERLINK(CONCATENATE("#Metadata!", ADDRESS(INDEX($AI$2:$AI$1001,MATCH(ROWS($AG$2:AG402),$AG$2:$AG$1001,0),0), INDEX($AN$1004:$BO$1004,1,MATCH(COLUMNS($AN$1006:BE1006),$AN$1006:$BO$1006,0)))),"Fix")))</f>
        <v>0</v>
      </c>
      <c r="T402" s="4">
        <f>IF(OR(INDEX($AH$2:$AH$1001,MATCH(ROWS($AG$2:AG402),$AG$2:$AG$1001,0),1)&gt;=100000,INDEX($AN$1005:$BO$1005,1,MATCH(COLUMNS($AN$1006:BF1006),$AN$1006:$BO$1006,0))&gt;=100000), " ",IF(INDEX($AN$2:$BO$1001,MATCH(ROWS($AG$2:AG402),$AG$2:$AG$1001,0),MATCH(COLUMNS($AN$1006:BF1006),$AN$1006:$BO$1006,0)), HYPERLINK("#",""), HYPERLINK(CONCATENATE("#Metadata!", ADDRESS(INDEX($AI$2:$AI$1001,MATCH(ROWS($AG$2:AG402),$AG$2:$AG$1001,0),0), INDEX($AN$1004:$BO$1004,1,MATCH(COLUMNS($AN$1006:BF1006),$AN$1006:$BO$1006,0)))),"Fix")))</f>
        <v>0</v>
      </c>
      <c r="U402" s="4">
        <f>IF(OR(INDEX($AH$2:$AH$1001,MATCH(ROWS($AG$2:AG402),$AG$2:$AG$1001,0),1)&gt;=100000,INDEX($AN$1005:$BO$1005,1,MATCH(COLUMNS($AN$1006:BG1006),$AN$1006:$BO$1006,0))&gt;=100000), " ",IF(INDEX($AN$2:$BO$1001,MATCH(ROWS($AG$2:AG402),$AG$2:$AG$1001,0),MATCH(COLUMNS($AN$1006:BG1006),$AN$1006:$BO$1006,0)), HYPERLINK("#",""), HYPERLINK(CONCATENATE("#Metadata!", ADDRESS(INDEX($AI$2:$AI$1001,MATCH(ROWS($AG$2:AG402),$AG$2:$AG$1001,0),0), INDEX($AN$1004:$BO$1004,1,MATCH(COLUMNS($AN$1006:BG1006),$AN$1006:$BO$1006,0)))),"Fix")))</f>
        <v>0</v>
      </c>
      <c r="V402" s="4">
        <f>IF(OR(INDEX($AH$2:$AH$1001,MATCH(ROWS($AG$2:AG402),$AG$2:$AG$1001,0),1)&gt;=100000,INDEX($AN$1005:$BO$1005,1,MATCH(COLUMNS($AN$1006:BH1006),$AN$1006:$BO$1006,0))&gt;=100000), " ",IF(INDEX($AN$2:$BO$1001,MATCH(ROWS($AG$2:AG402),$AG$2:$AG$1001,0),MATCH(COLUMNS($AN$1006:BH1006),$AN$1006:$BO$1006,0)), HYPERLINK("#",""), HYPERLINK(CONCATENATE("#Metadata!", ADDRESS(INDEX($AI$2:$AI$1001,MATCH(ROWS($AG$2:AG402),$AG$2:$AG$1001,0),0), INDEX($AN$1004:$BO$1004,1,MATCH(COLUMNS($AN$1006:BH1006),$AN$1006:$BO$1006,0)))),"Fix")))</f>
        <v>0</v>
      </c>
      <c r="W402" s="4">
        <f>IF(OR(INDEX($AH$2:$AH$1001,MATCH(ROWS($AG$2:AG402),$AG$2:$AG$1001,0),1)&gt;=100000,INDEX($AN$1005:$BO$1005,1,MATCH(COLUMNS($AN$1006:BI1006),$AN$1006:$BO$1006,0))&gt;=100000), " ",IF(INDEX($AN$2:$BO$1001,MATCH(ROWS($AG$2:AG402),$AG$2:$AG$1001,0),MATCH(COLUMNS($AN$1006:BI1006),$AN$1006:$BO$1006,0)), HYPERLINK("#",""), HYPERLINK(CONCATENATE("#Metadata!", ADDRESS(INDEX($AI$2:$AI$1001,MATCH(ROWS($AG$2:AG402),$AG$2:$AG$1001,0),0), INDEX($AN$1004:$BO$1004,1,MATCH(COLUMNS($AN$1006:BI1006),$AN$1006:$BO$1006,0)))),"Fix")))</f>
        <v>0</v>
      </c>
      <c r="X402" s="4">
        <f>IF(OR(INDEX($AH$2:$AH$1001,MATCH(ROWS($AG$2:AG402),$AG$2:$AG$1001,0),1)&gt;=100000,INDEX($AN$1005:$BO$1005,1,MATCH(COLUMNS($AN$1006:BJ1006),$AN$1006:$BO$1006,0))&gt;=100000), " ",IF(INDEX($AN$2:$BO$1001,MATCH(ROWS($AG$2:AG402),$AG$2:$AG$1001,0),MATCH(COLUMNS($AN$1006:BJ1006),$AN$1006:$BO$1006,0)), HYPERLINK("#",""), HYPERLINK(CONCATENATE("#Metadata!", ADDRESS(INDEX($AI$2:$AI$1001,MATCH(ROWS($AG$2:AG402),$AG$2:$AG$1001,0),0), INDEX($AN$1004:$BO$1004,1,MATCH(COLUMNS($AN$1006:BJ1006),$AN$1006:$BO$1006,0)))),"Fix")))</f>
        <v>0</v>
      </c>
      <c r="Y402" s="4">
        <f>IF(OR(INDEX($AH$2:$AH$1001,MATCH(ROWS($AG$2:AG402),$AG$2:$AG$1001,0),1)&gt;=100000,INDEX($AN$1005:$BO$1005,1,MATCH(COLUMNS($AN$1006:BK1006),$AN$1006:$BO$1006,0))&gt;=100000), " ",IF(INDEX($AN$2:$BO$1001,MATCH(ROWS($AG$2:AG402),$AG$2:$AG$1001,0),MATCH(COLUMNS($AN$1006:BK1006),$AN$1006:$BO$1006,0)), HYPERLINK("#",""), HYPERLINK(CONCATENATE("#Metadata!", ADDRESS(INDEX($AI$2:$AI$1001,MATCH(ROWS($AG$2:AG402),$AG$2:$AG$1001,0),0), INDEX($AN$1004:$BO$1004,1,MATCH(COLUMNS($AN$1006:BK1006),$AN$1006:$BO$1006,0)))),"Fix")))</f>
        <v>0</v>
      </c>
      <c r="Z402" s="4">
        <f>IF(OR(INDEX($AH$2:$AH$1001,MATCH(ROWS($AG$2:AG402),$AG$2:$AG$1001,0),1)&gt;=100000,INDEX($AN$1005:$BO$1005,1,MATCH(COLUMNS($AN$1006:BL1006),$AN$1006:$BO$1006,0))&gt;=100000), " ",IF(INDEX($AN$2:$BO$1001,MATCH(ROWS($AG$2:AG402),$AG$2:$AG$1001,0),MATCH(COLUMNS($AN$1006:BL1006),$AN$1006:$BO$1006,0)), HYPERLINK("#",""), HYPERLINK(CONCATENATE("#Metadata!", ADDRESS(INDEX($AI$2:$AI$1001,MATCH(ROWS($AG$2:AG402),$AG$2:$AG$1001,0),0), INDEX($AN$1004:$BO$1004,1,MATCH(COLUMNS($AN$1006:BL1006),$AN$1006:$BO$1006,0)))),"Fix")))</f>
        <v>0</v>
      </c>
      <c r="AA402" s="4">
        <f>IF(OR(INDEX($AH$2:$AH$1001,MATCH(ROWS($AG$2:AG402),$AG$2:$AG$1001,0),1)&gt;=100000,INDEX($AN$1005:$BO$1005,1,MATCH(COLUMNS($AN$1006:BM1006),$AN$1006:$BO$1006,0))&gt;=100000), " ",IF(INDEX($AN$2:$BO$1001,MATCH(ROWS($AG$2:AG402),$AG$2:$AG$1001,0),MATCH(COLUMNS($AN$1006:BM1006),$AN$1006:$BO$1006,0)), HYPERLINK("#",""), HYPERLINK(CONCATENATE("#Metadata!", ADDRESS(INDEX($AI$2:$AI$1001,MATCH(ROWS($AG$2:AG402),$AG$2:$AG$1001,0),0), INDEX($AN$1004:$BO$1004,1,MATCH(COLUMNS($AN$1006:BM1006),$AN$1006:$BO$1006,0)))),"Fix")))</f>
        <v>0</v>
      </c>
      <c r="AB402" s="4">
        <f>IF(OR(INDEX($AH$2:$AH$1001,MATCH(ROWS($AG$2:AG402),$AG$2:$AG$1001,0),1)&gt;=100000,INDEX($AN$1005:$BO$1005,1,MATCH(COLUMNS($AN$1006:BN1006),$AN$1006:$BO$1006,0))&gt;=100000), " ",IF(INDEX($AN$2:$BO$1001,MATCH(ROWS($AG$2:AG402),$AG$2:$AG$1001,0),MATCH(COLUMNS($AN$1006:BN1006),$AN$1006:$BO$1006,0)), HYPERLINK("#",""), HYPERLINK(CONCATENATE("#Metadata!", ADDRESS(INDEX($AI$2:$AI$1001,MATCH(ROWS($AG$2:AG402),$AG$2:$AG$1001,0),0), INDEX($AN$1004:$BO$1004,1,MATCH(COLUMNS($AN$1006:BN1006),$AN$1006:$BO$1006,0)))),"Fix")))</f>
        <v>0</v>
      </c>
      <c r="AC402" s="4">
        <f>IF(OR(INDEX($AH$2:$AH$1001,MATCH(ROWS($AG$2:AG402),$AG$2:$AG$1001,0),1)&gt;=100000,INDEX($AN$1005:$BO$1005,1,MATCH(COLUMNS($AN$1006:BO1006),$AN$1006:$BO$1006,0))&gt;=100000), " ",IF(INDEX($AN$2:$BO$1001,MATCH(ROWS($AG$2:AG402),$AG$2:$AG$1001,0),MATCH(COLUMNS($AN$1006:BO1006),$AN$1006:$BO$1006,0)), HYPERLINK("#",""), HYPERLINK(CONCATENATE("#Metadata!", ADDRESS(INDEX($AI$2:$AI$1001,MATCH(ROWS($AG$2:AG402),$AG$2:$AG$1001,0),0), INDEX($AN$1004:$BO$1004,1,MATCH(COLUMNS($AN$1006:BO1006),$AN$1006:$BO$1006,0)))),"Fix")))</f>
        <v>0</v>
      </c>
      <c r="AG402">
        <v>0</v>
      </c>
      <c r="AH402">
        <v>0</v>
      </c>
      <c r="AI402">
        <v>0</v>
      </c>
      <c r="AJ402">
        <f>IF(AK402,TRUE,AND(AN402:BO402))</f>
        <v>0</v>
      </c>
      <c r="AK402">
        <f>COUNTBLANK(Metadata!B402:AC402)=COLUMNS(Metadata!B402:AC402)</f>
        <v>0</v>
      </c>
      <c r="AL402">
        <v>0</v>
      </c>
      <c r="AN402">
        <f>AND(IF(Metadata!B402="",FALSE,TRUE),COUNTIF(Metadata!B:B, Metadata!B402) = 1,NOT(ISERROR(SUMPRODUCT(SEARCH(MID(Metadata!B402,ROW(INDIRECT("1:"&amp;LEN(Metadata!B402))), 1),"0123456789abcdefghijklmnopqrstuvwxyzABCDEFGHIJKLMNOPQRSTUVWXYZ.")))))</f>
        <v>0</v>
      </c>
      <c r="AO402">
        <f>IF(Metadata!C402="",FALSE,TRUE)</f>
        <v>0</v>
      </c>
      <c r="AP402">
        <f>IF(Metadata!D402="",FALSE,TRUE)</f>
        <v>0</v>
      </c>
      <c r="AQ402">
        <f>OR(AND(IF(Metadata!E402="",FALSE,TRUE),OR(exact(Metadata!E402,"not collected"),exact(Metadata!E402,"not provided"),exact(Metadata!E402,"restricted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R402">
        <f>IF(Metadata!F402="",FALSE,TRUE)</f>
        <v>0</v>
      </c>
      <c r="AS402">
        <f>OR(AND(IF(Metadata!G402="",FALSE,TRUE),OR(exact(Metadata!G402,"not collected"),exact(Metadata!G402,"not provided"))),AND(IF(Metadata!G402="",FALSE,TRUE),OR(exact(Metadata!G402,"TRUE"),exact(Metadata!G402,"FALSE"))))</f>
        <v>0</v>
      </c>
      <c r="AT402">
        <f>OR(AND(IF(Metadata!H402="",FALSE,TRUE),OR(exact(Metadata!H402,"not collected"),exact(Metadata!H402,"not provided"),exact(Metadata!H402,"restricted access"))),AND(IF(Metadata!H402="",FALSE,ISNUMBER(VALUE(Metadata!H402))),Metadata!H402&gt;=-413.0))</f>
        <v>0</v>
      </c>
      <c r="AU402">
        <f>AND(IF(Metadata!I402="",FALSE,TRUE),exact(Metadata!I402,"meters"))</f>
        <v>0</v>
      </c>
      <c r="AV402">
        <f>AND(IF(Metadata!J402="",FALSE,TRUE),OR(exact(Metadata!J402,"Host-associated"),exact(Metadata!J402,"Free-living")))</f>
        <v>0</v>
      </c>
      <c r="AW402">
        <f>AND(IF(Metadata!K402="",FALSE,TRUE),OR(exact(Metadata!K402,"Animal"),exact(Metadata!K402,"Fungus"),exact(Metadata!K402,"Plant"),exact(Metadata!K402,"Saline"),exact(Metadata!K402,"Non-saline")))</f>
        <v>0</v>
      </c>
      <c r="AX402">
        <f>AND(IF(Metadata!L402="",FALSE,TRUE),OR(exact(Metadata!L402,"Plant secretion"),exact(Metadata!L402,"Plant rhizosphere"),exact(Metadata!L402,"Plant surface"),exact(Metadata!L402,"Plant corpus"),exact(Metadata!L402,"Fungus surface"),exact(Metadata!L402,"Fungus corpus"),exact(Metadata!L402,"Animal surface"),exact(Metadata!L402,"Animal proximal gut"),exact(Metadata!L402,"Animal corpus"),exact(Metadata!L402,"Animal distal gut"),exact(Metadata!L402,"Animal secretion"),exact(Metadata!L402,"Sub-surface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Y402">
        <f>IF(Metadata!M402="",FALSE,TRUE)</f>
        <v>0</v>
      </c>
      <c r="AZ402">
        <f>IF(Metadata!N402="",FALSE,TRUE)</f>
        <v>0</v>
      </c>
      <c r="BA402">
        <f>IF(Metadata!O402="",FALSE,TRUE)</f>
        <v>0</v>
      </c>
      <c r="BB402">
        <f>OR(AND(IF(Metadata!P402="",FALSE,TRUE),OR(exact(Metadata!P402,"not collected"),exact(Metadata!P402,"not provided"),exact(Metadata!P402,"restricted access"))),AND(IF(Metadata!P402="",FALSE,TRUE),OR(exact(Metadata!P402,"air"),exact(Metadata!P402,"built environment"),exact(Metadata!P402,"host-associated"),exact(Metadata!P402,"human-associated"),exact(Metadata!P402,"human-skin"),exact(Metadata!P402,"human-oral"),exact(Metadata!P402,"human-gut"),exact(Metadata!P402,"human-vaginal"),exact(Metadata!P402,"microbial mat/biofilm"),exact(Metadata!P402,"misc environment"),exact(Metadata!P402,"plant-associated"),exact(Metadata!P402,"sediment"),exact(Metadata!P402,"soil"),exact(Metadata!P402,"wastewater/sludge"),exact(Metadata!P402,"water"))))</f>
        <v>0</v>
      </c>
      <c r="BC402">
        <f>IF(Metadata!Q402="",FALSE,TRUE)</f>
        <v>0</v>
      </c>
      <c r="BD402">
        <f>IF(Metadata!R402="",FALSE,TRUE)</f>
        <v>0</v>
      </c>
      <c r="BE402">
        <f>OR(AND(IF(Metadata!S402="",FALSE,TRUE),OR(exact(Metadata!S402,"not collected"),exact(Metadata!S402,"not provided"),exact(Metadata!S402,"restricted access"))),AND(IF(Metadata!S402="",FALSE,ISNUMBER(VALUE(Metadata!S402))),Metadata!S402&gt;=-90.00,Metadata!S402&lt;=90.00))</f>
        <v>0</v>
      </c>
      <c r="BF402">
        <f>AND(IF(Metadata!T402="",FALSE,TRUE),exact(Metadata!T402,"Decimal degrees"))</f>
        <v>0</v>
      </c>
      <c r="BG402">
        <f>OR(AND(IF(Metadata!U402="",FALSE,TRUE),OR(exact(Metadata!U402,"not collected"),exact(Metadata!U402,"not provided"),exact(Metadata!U402,"restricted access"))),AND(IF(Metadata!U402="",FALSE,ISNUMBER(VALUE(Metadata!U402))),Metadata!U402&gt;=-180.00,Metadata!U402&lt;=180.00))</f>
        <v>0</v>
      </c>
      <c r="BH402">
        <f>AND(IF(Metadata!V402="",FALSE,TRUE),exact(Metadata!V402,"Decimal degrees"))</f>
        <v>0</v>
      </c>
      <c r="BI402">
        <f>IF(Metadata!W402="",FALSE,TRUE)</f>
        <v>0</v>
      </c>
      <c r="BJ402">
        <f>OR(AND(IF(Metadata!X402="",FALSE,TRUE),OR(exact(Metadata!X402,"not collected"),exact(Metadata!X402,"not provided"),exact(Metadata!X402,"restricted access"))),AND(IF(Metadata!X402="",FALSE,TRUE),OR(exact(Metadata!X402,"TRUE"),exact(Metadata!X402,"FALSE"))))</f>
        <v>0</v>
      </c>
      <c r="BK402">
        <f>AND(IF(Metadata!Y402="",FALSE,TRUE),exact(Metadata!Y402,"other"))</f>
        <v>0</v>
      </c>
      <c r="BL402">
        <f>IF(Metadata!Z402="",FALSE,TRUE)</f>
        <v>0</v>
      </c>
      <c r="BM402">
        <f>OR(AND(IF(Metadata!AA402="",FALSE,TRUE),OR(exact(Metadata!AA402,"not collected"),exact(Metadata!AA402,"not provided"))),AND(IF(Metadata!AA402="",FALSE,IF(ISERROR(INT(Metadata!AA402)),FALSE,INT(Metadata!AA402)=Metadata!AA402)),Metadata!AA402&gt;0))</f>
        <v>0</v>
      </c>
      <c r="BN402">
        <f>AND(IF(Metadata!AB402="",FALSE,TRUE),exact(Metadata!AB402,"Not applicable"))</f>
        <v>0</v>
      </c>
      <c r="BO402">
        <f>IF(Metadata!AC402="",FALSE,TRUE)</f>
        <v>0</v>
      </c>
    </row>
    <row r="403" spans="1:67">
      <c r="A403" s="5">
        <f>IF(B403=" "," ",HYPERLINK(CONCATENATE("#metadata!",ADDRESS(INDEX($AI$2:$AI$1001,MATCH(ROWS($AG$2:AG403),$AG$2:$AG$1001,0),0),1)),INDEX($AL$2:$AL$1001,MATCH(ROWS($AG$2:AG403),$AG$2:$AG$1001,0),0)))</f>
        <v>0</v>
      </c>
      <c r="B403" s="4">
        <f>IF(OR(INDEX($AH$2:$AH$1001,MATCH(ROWS($AG$2:AG403),$AG$2:$AG$1001,0),1)&gt;=100000,INDEX($AN$1005:$BO$1005,1,MATCH(COLUMNS($AN$1006:AN1006),$AN$1006:$BO$1006,0))&gt;=100000), " ",IF(INDEX($AN$2:$BO$1001,MATCH(ROWS($AG$2:AG403),$AG$2:$AG$1001,0),MATCH(COLUMNS($AN$1006:AN1006),$AN$1006:$BO$1006,0)), HYPERLINK("#",""), HYPERLINK(CONCATENATE("#Metadata!", ADDRESS(INDEX($AI$2:$AI$1001,MATCH(ROWS($AG$2:AG403),$AG$2:$AG$1001,0),0), INDEX($AN$1004:$BO$1004,1,MATCH(COLUMNS($AN$1006:AN1006),$AN$1006:$BO$1006,0)))),"Fix")))</f>
        <v>0</v>
      </c>
      <c r="C403" s="4">
        <f>IF(OR(INDEX($AH$2:$AH$1001,MATCH(ROWS($AG$2:AG403),$AG$2:$AG$1001,0),1)&gt;=100000,INDEX($AN$1005:$BO$1005,1,MATCH(COLUMNS($AN$1006:AO1006),$AN$1006:$BO$1006,0))&gt;=100000), " ",IF(INDEX($AN$2:$BO$1001,MATCH(ROWS($AG$2:AG403),$AG$2:$AG$1001,0),MATCH(COLUMNS($AN$1006:AO1006),$AN$1006:$BO$1006,0)), HYPERLINK("#",""), HYPERLINK(CONCATENATE("#Metadata!", ADDRESS(INDEX($AI$2:$AI$1001,MATCH(ROWS($AG$2:AG403),$AG$2:$AG$1001,0),0), INDEX($AN$1004:$BO$1004,1,MATCH(COLUMNS($AN$1006:AO1006),$AN$1006:$BO$1006,0)))),"Fix")))</f>
        <v>0</v>
      </c>
      <c r="D403" s="4">
        <f>IF(OR(INDEX($AH$2:$AH$1001,MATCH(ROWS($AG$2:AG403),$AG$2:$AG$1001,0),1)&gt;=100000,INDEX($AN$1005:$BO$1005,1,MATCH(COLUMNS($AN$1006:AP1006),$AN$1006:$BO$1006,0))&gt;=100000), " ",IF(INDEX($AN$2:$BO$1001,MATCH(ROWS($AG$2:AG403),$AG$2:$AG$1001,0),MATCH(COLUMNS($AN$1006:AP1006),$AN$1006:$BO$1006,0)), HYPERLINK("#",""), HYPERLINK(CONCATENATE("#Metadata!", ADDRESS(INDEX($AI$2:$AI$1001,MATCH(ROWS($AG$2:AG403),$AG$2:$AG$1001,0),0), INDEX($AN$1004:$BO$1004,1,MATCH(COLUMNS($AN$1006:AP1006),$AN$1006:$BO$1006,0)))),"Fix")))</f>
        <v>0</v>
      </c>
      <c r="E403" s="4">
        <f>IF(OR(INDEX($AH$2:$AH$1001,MATCH(ROWS($AG$2:AG403),$AG$2:$AG$1001,0),1)&gt;=100000,INDEX($AN$1005:$BO$1005,1,MATCH(COLUMNS($AN$1006:AQ1006),$AN$1006:$BO$1006,0))&gt;=100000), " ",IF(INDEX($AN$2:$BO$1001,MATCH(ROWS($AG$2:AG403),$AG$2:$AG$1001,0),MATCH(COLUMNS($AN$1006:AQ1006),$AN$1006:$BO$1006,0)), HYPERLINK("#",""), HYPERLINK(CONCATENATE("#Metadata!", ADDRESS(INDEX($AI$2:$AI$1001,MATCH(ROWS($AG$2:AG403),$AG$2:$AG$1001,0),0), INDEX($AN$1004:$BO$1004,1,MATCH(COLUMNS($AN$1006:AQ1006),$AN$1006:$BO$1006,0)))),"Fix")))</f>
        <v>0</v>
      </c>
      <c r="F403" s="4">
        <f>IF(OR(INDEX($AH$2:$AH$1001,MATCH(ROWS($AG$2:AG403),$AG$2:$AG$1001,0),1)&gt;=100000,INDEX($AN$1005:$BO$1005,1,MATCH(COLUMNS($AN$1006:AR1006),$AN$1006:$BO$1006,0))&gt;=100000), " ",IF(INDEX($AN$2:$BO$1001,MATCH(ROWS($AG$2:AG403),$AG$2:$AG$1001,0),MATCH(COLUMNS($AN$1006:AR1006),$AN$1006:$BO$1006,0)), HYPERLINK("#",""), HYPERLINK(CONCATENATE("#Metadata!", ADDRESS(INDEX($AI$2:$AI$1001,MATCH(ROWS($AG$2:AG403),$AG$2:$AG$1001,0),0), INDEX($AN$1004:$BO$1004,1,MATCH(COLUMNS($AN$1006:AR1006),$AN$1006:$BO$1006,0)))),"Fix")))</f>
        <v>0</v>
      </c>
      <c r="G403" s="4">
        <f>IF(OR(INDEX($AH$2:$AH$1001,MATCH(ROWS($AG$2:AG403),$AG$2:$AG$1001,0),1)&gt;=100000,INDEX($AN$1005:$BO$1005,1,MATCH(COLUMNS($AN$1006:AS1006),$AN$1006:$BO$1006,0))&gt;=100000), " ",IF(INDEX($AN$2:$BO$1001,MATCH(ROWS($AG$2:AG403),$AG$2:$AG$1001,0),MATCH(COLUMNS($AN$1006:AS1006),$AN$1006:$BO$1006,0)), HYPERLINK("#",""), HYPERLINK(CONCATENATE("#Metadata!", ADDRESS(INDEX($AI$2:$AI$1001,MATCH(ROWS($AG$2:AG403),$AG$2:$AG$1001,0),0), INDEX($AN$1004:$BO$1004,1,MATCH(COLUMNS($AN$1006:AS1006),$AN$1006:$BO$1006,0)))),"Fix")))</f>
        <v>0</v>
      </c>
      <c r="H403" s="4">
        <f>IF(OR(INDEX($AH$2:$AH$1001,MATCH(ROWS($AG$2:AG403),$AG$2:$AG$1001,0),1)&gt;=100000,INDEX($AN$1005:$BO$1005,1,MATCH(COLUMNS($AN$1006:AT1006),$AN$1006:$BO$1006,0))&gt;=100000), " ",IF(INDEX($AN$2:$BO$1001,MATCH(ROWS($AG$2:AG403),$AG$2:$AG$1001,0),MATCH(COLUMNS($AN$1006:AT1006),$AN$1006:$BO$1006,0)), HYPERLINK("#",""), HYPERLINK(CONCATENATE("#Metadata!", ADDRESS(INDEX($AI$2:$AI$1001,MATCH(ROWS($AG$2:AG403),$AG$2:$AG$1001,0),0), INDEX($AN$1004:$BO$1004,1,MATCH(COLUMNS($AN$1006:AT1006),$AN$1006:$BO$1006,0)))),"Fix")))</f>
        <v>0</v>
      </c>
      <c r="I403" s="4">
        <f>IF(OR(INDEX($AH$2:$AH$1001,MATCH(ROWS($AG$2:AG403),$AG$2:$AG$1001,0),1)&gt;=100000,INDEX($AN$1005:$BO$1005,1,MATCH(COLUMNS($AN$1006:AU1006),$AN$1006:$BO$1006,0))&gt;=100000), " ",IF(INDEX($AN$2:$BO$1001,MATCH(ROWS($AG$2:AG403),$AG$2:$AG$1001,0),MATCH(COLUMNS($AN$1006:AU1006),$AN$1006:$BO$1006,0)), HYPERLINK("#",""), HYPERLINK(CONCATENATE("#Metadata!", ADDRESS(INDEX($AI$2:$AI$1001,MATCH(ROWS($AG$2:AG403),$AG$2:$AG$1001,0),0), INDEX($AN$1004:$BO$1004,1,MATCH(COLUMNS($AN$1006:AU1006),$AN$1006:$BO$1006,0)))),"Fix")))</f>
        <v>0</v>
      </c>
      <c r="J403" s="4">
        <f>IF(OR(INDEX($AH$2:$AH$1001,MATCH(ROWS($AG$2:AG403),$AG$2:$AG$1001,0),1)&gt;=100000,INDEX($AN$1005:$BO$1005,1,MATCH(COLUMNS($AN$1006:AV1006),$AN$1006:$BO$1006,0))&gt;=100000), " ",IF(INDEX($AN$2:$BO$1001,MATCH(ROWS($AG$2:AG403),$AG$2:$AG$1001,0),MATCH(COLUMNS($AN$1006:AV1006),$AN$1006:$BO$1006,0)), HYPERLINK("#",""), HYPERLINK(CONCATENATE("#Metadata!", ADDRESS(INDEX($AI$2:$AI$1001,MATCH(ROWS($AG$2:AG403),$AG$2:$AG$1001,0),0), INDEX($AN$1004:$BO$1004,1,MATCH(COLUMNS($AN$1006:AV1006),$AN$1006:$BO$1006,0)))),"Fix")))</f>
        <v>0</v>
      </c>
      <c r="K403" s="4">
        <f>IF(OR(INDEX($AH$2:$AH$1001,MATCH(ROWS($AG$2:AG403),$AG$2:$AG$1001,0),1)&gt;=100000,INDEX($AN$1005:$BO$1005,1,MATCH(COLUMNS($AN$1006:AW1006),$AN$1006:$BO$1006,0))&gt;=100000), " ",IF(INDEX($AN$2:$BO$1001,MATCH(ROWS($AG$2:AG403),$AG$2:$AG$1001,0),MATCH(COLUMNS($AN$1006:AW1006),$AN$1006:$BO$1006,0)), HYPERLINK("#",""), HYPERLINK(CONCATENATE("#Metadata!", ADDRESS(INDEX($AI$2:$AI$1001,MATCH(ROWS($AG$2:AG403),$AG$2:$AG$1001,0),0), INDEX($AN$1004:$BO$1004,1,MATCH(COLUMNS($AN$1006:AW1006),$AN$1006:$BO$1006,0)))),"Fix")))</f>
        <v>0</v>
      </c>
      <c r="L403" s="4">
        <f>IF(OR(INDEX($AH$2:$AH$1001,MATCH(ROWS($AG$2:AG403),$AG$2:$AG$1001,0),1)&gt;=100000,INDEX($AN$1005:$BO$1005,1,MATCH(COLUMNS($AN$1006:AX1006),$AN$1006:$BO$1006,0))&gt;=100000), " ",IF(INDEX($AN$2:$BO$1001,MATCH(ROWS($AG$2:AG403),$AG$2:$AG$1001,0),MATCH(COLUMNS($AN$1006:AX1006),$AN$1006:$BO$1006,0)), HYPERLINK("#",""), HYPERLINK(CONCATENATE("#Metadata!", ADDRESS(INDEX($AI$2:$AI$1001,MATCH(ROWS($AG$2:AG403),$AG$2:$AG$1001,0),0), INDEX($AN$1004:$BO$1004,1,MATCH(COLUMNS($AN$1006:AX1006),$AN$1006:$BO$1006,0)))),"Fix")))</f>
        <v>0</v>
      </c>
      <c r="M403" s="4">
        <f>IF(OR(INDEX($AH$2:$AH$1001,MATCH(ROWS($AG$2:AG403),$AG$2:$AG$1001,0),1)&gt;=100000,INDEX($AN$1005:$BO$1005,1,MATCH(COLUMNS($AN$1006:AY1006),$AN$1006:$BO$1006,0))&gt;=100000), " ",IF(INDEX($AN$2:$BO$1001,MATCH(ROWS($AG$2:AG403),$AG$2:$AG$1001,0),MATCH(COLUMNS($AN$1006:AY1006),$AN$1006:$BO$1006,0)), HYPERLINK("#",""), HYPERLINK(CONCATENATE("#Metadata!", ADDRESS(INDEX($AI$2:$AI$1001,MATCH(ROWS($AG$2:AG403),$AG$2:$AG$1001,0),0), INDEX($AN$1004:$BO$1004,1,MATCH(COLUMNS($AN$1006:AY1006),$AN$1006:$BO$1006,0)))),"Fix")))</f>
        <v>0</v>
      </c>
      <c r="N403" s="4">
        <f>IF(OR(INDEX($AH$2:$AH$1001,MATCH(ROWS($AG$2:AG403),$AG$2:$AG$1001,0),1)&gt;=100000,INDEX($AN$1005:$BO$1005,1,MATCH(COLUMNS($AN$1006:AZ1006),$AN$1006:$BO$1006,0))&gt;=100000), " ",IF(INDEX($AN$2:$BO$1001,MATCH(ROWS($AG$2:AG403),$AG$2:$AG$1001,0),MATCH(COLUMNS($AN$1006:AZ1006),$AN$1006:$BO$1006,0)), HYPERLINK("#",""), HYPERLINK(CONCATENATE("#Metadata!", ADDRESS(INDEX($AI$2:$AI$1001,MATCH(ROWS($AG$2:AG403),$AG$2:$AG$1001,0),0), INDEX($AN$1004:$BO$1004,1,MATCH(COLUMNS($AN$1006:AZ1006),$AN$1006:$BO$1006,0)))),"Fix")))</f>
        <v>0</v>
      </c>
      <c r="O403" s="4">
        <f>IF(OR(INDEX($AH$2:$AH$1001,MATCH(ROWS($AG$2:AG403),$AG$2:$AG$1001,0),1)&gt;=100000,INDEX($AN$1005:$BO$1005,1,MATCH(COLUMNS($AN$1006:BA1006),$AN$1006:$BO$1006,0))&gt;=100000), " ",IF(INDEX($AN$2:$BO$1001,MATCH(ROWS($AG$2:AG403),$AG$2:$AG$1001,0),MATCH(COLUMNS($AN$1006:BA1006),$AN$1006:$BO$1006,0)), HYPERLINK("#",""), HYPERLINK(CONCATENATE("#Metadata!", ADDRESS(INDEX($AI$2:$AI$1001,MATCH(ROWS($AG$2:AG403),$AG$2:$AG$1001,0),0), INDEX($AN$1004:$BO$1004,1,MATCH(COLUMNS($AN$1006:BA1006),$AN$1006:$BO$1006,0)))),"Fix")))</f>
        <v>0</v>
      </c>
      <c r="P403" s="4">
        <f>IF(OR(INDEX($AH$2:$AH$1001,MATCH(ROWS($AG$2:AG403),$AG$2:$AG$1001,0),1)&gt;=100000,INDEX($AN$1005:$BO$1005,1,MATCH(COLUMNS($AN$1006:BB1006),$AN$1006:$BO$1006,0))&gt;=100000), " ",IF(INDEX($AN$2:$BO$1001,MATCH(ROWS($AG$2:AG403),$AG$2:$AG$1001,0),MATCH(COLUMNS($AN$1006:BB1006),$AN$1006:$BO$1006,0)), HYPERLINK("#",""), HYPERLINK(CONCATENATE("#Metadata!", ADDRESS(INDEX($AI$2:$AI$1001,MATCH(ROWS($AG$2:AG403),$AG$2:$AG$1001,0),0), INDEX($AN$1004:$BO$1004,1,MATCH(COLUMNS($AN$1006:BB1006),$AN$1006:$BO$1006,0)))),"Fix")))</f>
        <v>0</v>
      </c>
      <c r="Q403" s="4">
        <f>IF(OR(INDEX($AH$2:$AH$1001,MATCH(ROWS($AG$2:AG403),$AG$2:$AG$1001,0),1)&gt;=100000,INDEX($AN$1005:$BO$1005,1,MATCH(COLUMNS($AN$1006:BC1006),$AN$1006:$BO$1006,0))&gt;=100000), " ",IF(INDEX($AN$2:$BO$1001,MATCH(ROWS($AG$2:AG403),$AG$2:$AG$1001,0),MATCH(COLUMNS($AN$1006:BC1006),$AN$1006:$BO$1006,0)), HYPERLINK("#",""), HYPERLINK(CONCATENATE("#Metadata!", ADDRESS(INDEX($AI$2:$AI$1001,MATCH(ROWS($AG$2:AG403),$AG$2:$AG$1001,0),0), INDEX($AN$1004:$BO$1004,1,MATCH(COLUMNS($AN$1006:BC1006),$AN$1006:$BO$1006,0)))),"Fix")))</f>
        <v>0</v>
      </c>
      <c r="R403" s="4">
        <f>IF(OR(INDEX($AH$2:$AH$1001,MATCH(ROWS($AG$2:AG403),$AG$2:$AG$1001,0),1)&gt;=100000,INDEX($AN$1005:$BO$1005,1,MATCH(COLUMNS($AN$1006:BD1006),$AN$1006:$BO$1006,0))&gt;=100000), " ",IF(INDEX($AN$2:$BO$1001,MATCH(ROWS($AG$2:AG403),$AG$2:$AG$1001,0),MATCH(COLUMNS($AN$1006:BD1006),$AN$1006:$BO$1006,0)), HYPERLINK("#",""), HYPERLINK(CONCATENATE("#Metadata!", ADDRESS(INDEX($AI$2:$AI$1001,MATCH(ROWS($AG$2:AG403),$AG$2:$AG$1001,0),0), INDEX($AN$1004:$BO$1004,1,MATCH(COLUMNS($AN$1006:BD1006),$AN$1006:$BO$1006,0)))),"Fix")))</f>
        <v>0</v>
      </c>
      <c r="S403" s="4">
        <f>IF(OR(INDEX($AH$2:$AH$1001,MATCH(ROWS($AG$2:AG403),$AG$2:$AG$1001,0),1)&gt;=100000,INDEX($AN$1005:$BO$1005,1,MATCH(COLUMNS($AN$1006:BE1006),$AN$1006:$BO$1006,0))&gt;=100000), " ",IF(INDEX($AN$2:$BO$1001,MATCH(ROWS($AG$2:AG403),$AG$2:$AG$1001,0),MATCH(COLUMNS($AN$1006:BE1006),$AN$1006:$BO$1006,0)), HYPERLINK("#",""), HYPERLINK(CONCATENATE("#Metadata!", ADDRESS(INDEX($AI$2:$AI$1001,MATCH(ROWS($AG$2:AG403),$AG$2:$AG$1001,0),0), INDEX($AN$1004:$BO$1004,1,MATCH(COLUMNS($AN$1006:BE1006),$AN$1006:$BO$1006,0)))),"Fix")))</f>
        <v>0</v>
      </c>
      <c r="T403" s="4">
        <f>IF(OR(INDEX($AH$2:$AH$1001,MATCH(ROWS($AG$2:AG403),$AG$2:$AG$1001,0),1)&gt;=100000,INDEX($AN$1005:$BO$1005,1,MATCH(COLUMNS($AN$1006:BF1006),$AN$1006:$BO$1006,0))&gt;=100000), " ",IF(INDEX($AN$2:$BO$1001,MATCH(ROWS($AG$2:AG403),$AG$2:$AG$1001,0),MATCH(COLUMNS($AN$1006:BF1006),$AN$1006:$BO$1006,0)), HYPERLINK("#",""), HYPERLINK(CONCATENATE("#Metadata!", ADDRESS(INDEX($AI$2:$AI$1001,MATCH(ROWS($AG$2:AG403),$AG$2:$AG$1001,0),0), INDEX($AN$1004:$BO$1004,1,MATCH(COLUMNS($AN$1006:BF1006),$AN$1006:$BO$1006,0)))),"Fix")))</f>
        <v>0</v>
      </c>
      <c r="U403" s="4">
        <f>IF(OR(INDEX($AH$2:$AH$1001,MATCH(ROWS($AG$2:AG403),$AG$2:$AG$1001,0),1)&gt;=100000,INDEX($AN$1005:$BO$1005,1,MATCH(COLUMNS($AN$1006:BG1006),$AN$1006:$BO$1006,0))&gt;=100000), " ",IF(INDEX($AN$2:$BO$1001,MATCH(ROWS($AG$2:AG403),$AG$2:$AG$1001,0),MATCH(COLUMNS($AN$1006:BG1006),$AN$1006:$BO$1006,0)), HYPERLINK("#",""), HYPERLINK(CONCATENATE("#Metadata!", ADDRESS(INDEX($AI$2:$AI$1001,MATCH(ROWS($AG$2:AG403),$AG$2:$AG$1001,0),0), INDEX($AN$1004:$BO$1004,1,MATCH(COLUMNS($AN$1006:BG1006),$AN$1006:$BO$1006,0)))),"Fix")))</f>
        <v>0</v>
      </c>
      <c r="V403" s="4">
        <f>IF(OR(INDEX($AH$2:$AH$1001,MATCH(ROWS($AG$2:AG403),$AG$2:$AG$1001,0),1)&gt;=100000,INDEX($AN$1005:$BO$1005,1,MATCH(COLUMNS($AN$1006:BH1006),$AN$1006:$BO$1006,0))&gt;=100000), " ",IF(INDEX($AN$2:$BO$1001,MATCH(ROWS($AG$2:AG403),$AG$2:$AG$1001,0),MATCH(COLUMNS($AN$1006:BH1006),$AN$1006:$BO$1006,0)), HYPERLINK("#",""), HYPERLINK(CONCATENATE("#Metadata!", ADDRESS(INDEX($AI$2:$AI$1001,MATCH(ROWS($AG$2:AG403),$AG$2:$AG$1001,0),0), INDEX($AN$1004:$BO$1004,1,MATCH(COLUMNS($AN$1006:BH1006),$AN$1006:$BO$1006,0)))),"Fix")))</f>
        <v>0</v>
      </c>
      <c r="W403" s="4">
        <f>IF(OR(INDEX($AH$2:$AH$1001,MATCH(ROWS($AG$2:AG403),$AG$2:$AG$1001,0),1)&gt;=100000,INDEX($AN$1005:$BO$1005,1,MATCH(COLUMNS($AN$1006:BI1006),$AN$1006:$BO$1006,0))&gt;=100000), " ",IF(INDEX($AN$2:$BO$1001,MATCH(ROWS($AG$2:AG403),$AG$2:$AG$1001,0),MATCH(COLUMNS($AN$1006:BI1006),$AN$1006:$BO$1006,0)), HYPERLINK("#",""), HYPERLINK(CONCATENATE("#Metadata!", ADDRESS(INDEX($AI$2:$AI$1001,MATCH(ROWS($AG$2:AG403),$AG$2:$AG$1001,0),0), INDEX($AN$1004:$BO$1004,1,MATCH(COLUMNS($AN$1006:BI1006),$AN$1006:$BO$1006,0)))),"Fix")))</f>
        <v>0</v>
      </c>
      <c r="X403" s="4">
        <f>IF(OR(INDEX($AH$2:$AH$1001,MATCH(ROWS($AG$2:AG403),$AG$2:$AG$1001,0),1)&gt;=100000,INDEX($AN$1005:$BO$1005,1,MATCH(COLUMNS($AN$1006:BJ1006),$AN$1006:$BO$1006,0))&gt;=100000), " ",IF(INDEX($AN$2:$BO$1001,MATCH(ROWS($AG$2:AG403),$AG$2:$AG$1001,0),MATCH(COLUMNS($AN$1006:BJ1006),$AN$1006:$BO$1006,0)), HYPERLINK("#",""), HYPERLINK(CONCATENATE("#Metadata!", ADDRESS(INDEX($AI$2:$AI$1001,MATCH(ROWS($AG$2:AG403),$AG$2:$AG$1001,0),0), INDEX($AN$1004:$BO$1004,1,MATCH(COLUMNS($AN$1006:BJ1006),$AN$1006:$BO$1006,0)))),"Fix")))</f>
        <v>0</v>
      </c>
      <c r="Y403" s="4">
        <f>IF(OR(INDEX($AH$2:$AH$1001,MATCH(ROWS($AG$2:AG403),$AG$2:$AG$1001,0),1)&gt;=100000,INDEX($AN$1005:$BO$1005,1,MATCH(COLUMNS($AN$1006:BK1006),$AN$1006:$BO$1006,0))&gt;=100000), " ",IF(INDEX($AN$2:$BO$1001,MATCH(ROWS($AG$2:AG403),$AG$2:$AG$1001,0),MATCH(COLUMNS($AN$1006:BK1006),$AN$1006:$BO$1006,0)), HYPERLINK("#",""), HYPERLINK(CONCATENATE("#Metadata!", ADDRESS(INDEX($AI$2:$AI$1001,MATCH(ROWS($AG$2:AG403),$AG$2:$AG$1001,0),0), INDEX($AN$1004:$BO$1004,1,MATCH(COLUMNS($AN$1006:BK1006),$AN$1006:$BO$1006,0)))),"Fix")))</f>
        <v>0</v>
      </c>
      <c r="Z403" s="4">
        <f>IF(OR(INDEX($AH$2:$AH$1001,MATCH(ROWS($AG$2:AG403),$AG$2:$AG$1001,0),1)&gt;=100000,INDEX($AN$1005:$BO$1005,1,MATCH(COLUMNS($AN$1006:BL1006),$AN$1006:$BO$1006,0))&gt;=100000), " ",IF(INDEX($AN$2:$BO$1001,MATCH(ROWS($AG$2:AG403),$AG$2:$AG$1001,0),MATCH(COLUMNS($AN$1006:BL1006),$AN$1006:$BO$1006,0)), HYPERLINK("#",""), HYPERLINK(CONCATENATE("#Metadata!", ADDRESS(INDEX($AI$2:$AI$1001,MATCH(ROWS($AG$2:AG403),$AG$2:$AG$1001,0),0), INDEX($AN$1004:$BO$1004,1,MATCH(COLUMNS($AN$1006:BL1006),$AN$1006:$BO$1006,0)))),"Fix")))</f>
        <v>0</v>
      </c>
      <c r="AA403" s="4">
        <f>IF(OR(INDEX($AH$2:$AH$1001,MATCH(ROWS($AG$2:AG403),$AG$2:$AG$1001,0),1)&gt;=100000,INDEX($AN$1005:$BO$1005,1,MATCH(COLUMNS($AN$1006:BM1006),$AN$1006:$BO$1006,0))&gt;=100000), " ",IF(INDEX($AN$2:$BO$1001,MATCH(ROWS($AG$2:AG403),$AG$2:$AG$1001,0),MATCH(COLUMNS($AN$1006:BM1006),$AN$1006:$BO$1006,0)), HYPERLINK("#",""), HYPERLINK(CONCATENATE("#Metadata!", ADDRESS(INDEX($AI$2:$AI$1001,MATCH(ROWS($AG$2:AG403),$AG$2:$AG$1001,0),0), INDEX($AN$1004:$BO$1004,1,MATCH(COLUMNS($AN$1006:BM1006),$AN$1006:$BO$1006,0)))),"Fix")))</f>
        <v>0</v>
      </c>
      <c r="AB403" s="4">
        <f>IF(OR(INDEX($AH$2:$AH$1001,MATCH(ROWS($AG$2:AG403),$AG$2:$AG$1001,0),1)&gt;=100000,INDEX($AN$1005:$BO$1005,1,MATCH(COLUMNS($AN$1006:BN1006),$AN$1006:$BO$1006,0))&gt;=100000), " ",IF(INDEX($AN$2:$BO$1001,MATCH(ROWS($AG$2:AG403),$AG$2:$AG$1001,0),MATCH(COLUMNS($AN$1006:BN1006),$AN$1006:$BO$1006,0)), HYPERLINK("#",""), HYPERLINK(CONCATENATE("#Metadata!", ADDRESS(INDEX($AI$2:$AI$1001,MATCH(ROWS($AG$2:AG403),$AG$2:$AG$1001,0),0), INDEX($AN$1004:$BO$1004,1,MATCH(COLUMNS($AN$1006:BN1006),$AN$1006:$BO$1006,0)))),"Fix")))</f>
        <v>0</v>
      </c>
      <c r="AC403" s="4">
        <f>IF(OR(INDEX($AH$2:$AH$1001,MATCH(ROWS($AG$2:AG403),$AG$2:$AG$1001,0),1)&gt;=100000,INDEX($AN$1005:$BO$1005,1,MATCH(COLUMNS($AN$1006:BO1006),$AN$1006:$BO$1006,0))&gt;=100000), " ",IF(INDEX($AN$2:$BO$1001,MATCH(ROWS($AG$2:AG403),$AG$2:$AG$1001,0),MATCH(COLUMNS($AN$1006:BO1006),$AN$1006:$BO$1006,0)), HYPERLINK("#",""), HYPERLINK(CONCATENATE("#Metadata!", ADDRESS(INDEX($AI$2:$AI$1001,MATCH(ROWS($AG$2:AG403),$AG$2:$AG$1001,0),0), INDEX($AN$1004:$BO$1004,1,MATCH(COLUMNS($AN$1006:BO1006),$AN$1006:$BO$1006,0)))),"Fix")))</f>
        <v>0</v>
      </c>
      <c r="AG403">
        <v>0</v>
      </c>
      <c r="AH403">
        <v>0</v>
      </c>
      <c r="AI403">
        <v>0</v>
      </c>
      <c r="AJ403">
        <f>IF(AK403,TRUE,AND(AN403:BO403))</f>
        <v>0</v>
      </c>
      <c r="AK403">
        <f>COUNTBLANK(Metadata!B403:AC403)=COLUMNS(Metadata!B403:AC403)</f>
        <v>0</v>
      </c>
      <c r="AL403">
        <v>0</v>
      </c>
      <c r="AN403">
        <f>AND(IF(Metadata!B403="",FALSE,TRUE),COUNTIF(Metadata!B:B, Metadata!B403) = 1,NOT(ISERROR(SUMPRODUCT(SEARCH(MID(Metadata!B403,ROW(INDIRECT("1:"&amp;LEN(Metadata!B403))), 1),"0123456789abcdefghijklmnopqrstuvwxyzABCDEFGHIJKLMNOPQRSTUVWXYZ.")))))</f>
        <v>0</v>
      </c>
      <c r="AO403">
        <f>IF(Metadata!C403="",FALSE,TRUE)</f>
        <v>0</v>
      </c>
      <c r="AP403">
        <f>IF(Metadata!D403="",FALSE,TRUE)</f>
        <v>0</v>
      </c>
      <c r="AQ403">
        <f>OR(AND(IF(Metadata!E403="",FALSE,TRUE),OR(exact(Metadata!E403,"not collected"),exact(Metadata!E403,"not provided"),exact(Metadata!E403,"restricted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R403">
        <f>IF(Metadata!F403="",FALSE,TRUE)</f>
        <v>0</v>
      </c>
      <c r="AS403">
        <f>OR(AND(IF(Metadata!G403="",FALSE,TRUE),OR(exact(Metadata!G403,"not collected"),exact(Metadata!G403,"not provided"))),AND(IF(Metadata!G403="",FALSE,TRUE),OR(exact(Metadata!G403,"TRUE"),exact(Metadata!G403,"FALSE"))))</f>
        <v>0</v>
      </c>
      <c r="AT403">
        <f>OR(AND(IF(Metadata!H403="",FALSE,TRUE),OR(exact(Metadata!H403,"not collected"),exact(Metadata!H403,"not provided"),exact(Metadata!H403,"restricted access"))),AND(IF(Metadata!H403="",FALSE,ISNUMBER(VALUE(Metadata!H403))),Metadata!H403&gt;=-413.0))</f>
        <v>0</v>
      </c>
      <c r="AU403">
        <f>AND(IF(Metadata!I403="",FALSE,TRUE),exact(Metadata!I403,"meters"))</f>
        <v>0</v>
      </c>
      <c r="AV403">
        <f>AND(IF(Metadata!J403="",FALSE,TRUE),OR(exact(Metadata!J403,"Host-associated"),exact(Metadata!J403,"Free-living")))</f>
        <v>0</v>
      </c>
      <c r="AW403">
        <f>AND(IF(Metadata!K403="",FALSE,TRUE),OR(exact(Metadata!K403,"Animal"),exact(Metadata!K403,"Fungus"),exact(Metadata!K403,"Plant"),exact(Metadata!K403,"Saline"),exact(Metadata!K403,"Non-saline")))</f>
        <v>0</v>
      </c>
      <c r="AX403">
        <f>AND(IF(Metadata!L403="",FALSE,TRUE),OR(exact(Metadata!L403,"Plant secretion"),exact(Metadata!L403,"Plant rhizosphere"),exact(Metadata!L403,"Plant surface"),exact(Metadata!L403,"Plant corpus"),exact(Metadata!L403,"Fungus surface"),exact(Metadata!L403,"Fungus corpus"),exact(Metadata!L403,"Animal surface"),exact(Metadata!L403,"Animal proximal gut"),exact(Metadata!L403,"Animal corpus"),exact(Metadata!L403,"Animal distal gut"),exact(Metadata!L403,"Animal secretion"),exact(Metadata!L403,"Sub-surface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Y403">
        <f>IF(Metadata!M403="",FALSE,TRUE)</f>
        <v>0</v>
      </c>
      <c r="AZ403">
        <f>IF(Metadata!N403="",FALSE,TRUE)</f>
        <v>0</v>
      </c>
      <c r="BA403">
        <f>IF(Metadata!O403="",FALSE,TRUE)</f>
        <v>0</v>
      </c>
      <c r="BB403">
        <f>OR(AND(IF(Metadata!P403="",FALSE,TRUE),OR(exact(Metadata!P403,"not collected"),exact(Metadata!P403,"not provided"),exact(Metadata!P403,"restricted access"))),AND(IF(Metadata!P403="",FALSE,TRUE),OR(exact(Metadata!P403,"air"),exact(Metadata!P403,"built environment"),exact(Metadata!P403,"host-associated"),exact(Metadata!P403,"human-associated"),exact(Metadata!P403,"human-skin"),exact(Metadata!P403,"human-oral"),exact(Metadata!P403,"human-gut"),exact(Metadata!P403,"human-vaginal"),exact(Metadata!P403,"microbial mat/biofilm"),exact(Metadata!P403,"misc environment"),exact(Metadata!P403,"plant-associated"),exact(Metadata!P403,"sediment"),exact(Metadata!P403,"soil"),exact(Metadata!P403,"wastewater/sludge"),exact(Metadata!P403,"water"))))</f>
        <v>0</v>
      </c>
      <c r="BC403">
        <f>IF(Metadata!Q403="",FALSE,TRUE)</f>
        <v>0</v>
      </c>
      <c r="BD403">
        <f>IF(Metadata!R403="",FALSE,TRUE)</f>
        <v>0</v>
      </c>
      <c r="BE403">
        <f>OR(AND(IF(Metadata!S403="",FALSE,TRUE),OR(exact(Metadata!S403,"not collected"),exact(Metadata!S403,"not provided"),exact(Metadata!S403,"restricted access"))),AND(IF(Metadata!S403="",FALSE,ISNUMBER(VALUE(Metadata!S403))),Metadata!S403&gt;=-90.00,Metadata!S403&lt;=90.00))</f>
        <v>0</v>
      </c>
      <c r="BF403">
        <f>AND(IF(Metadata!T403="",FALSE,TRUE),exact(Metadata!T403,"Decimal degrees"))</f>
        <v>0</v>
      </c>
      <c r="BG403">
        <f>OR(AND(IF(Metadata!U403="",FALSE,TRUE),OR(exact(Metadata!U403,"not collected"),exact(Metadata!U403,"not provided"),exact(Metadata!U403,"restricted access"))),AND(IF(Metadata!U403="",FALSE,ISNUMBER(VALUE(Metadata!U403))),Metadata!U403&gt;=-180.00,Metadata!U403&lt;=180.00))</f>
        <v>0</v>
      </c>
      <c r="BH403">
        <f>AND(IF(Metadata!V403="",FALSE,TRUE),exact(Metadata!V403,"Decimal degrees"))</f>
        <v>0</v>
      </c>
      <c r="BI403">
        <f>IF(Metadata!W403="",FALSE,TRUE)</f>
        <v>0</v>
      </c>
      <c r="BJ403">
        <f>OR(AND(IF(Metadata!X403="",FALSE,TRUE),OR(exact(Metadata!X403,"not collected"),exact(Metadata!X403,"not provided"),exact(Metadata!X403,"restricted access"))),AND(IF(Metadata!X403="",FALSE,TRUE),OR(exact(Metadata!X403,"TRUE"),exact(Metadata!X403,"FALSE"))))</f>
        <v>0</v>
      </c>
      <c r="BK403">
        <f>AND(IF(Metadata!Y403="",FALSE,TRUE),exact(Metadata!Y403,"other"))</f>
        <v>0</v>
      </c>
      <c r="BL403">
        <f>IF(Metadata!Z403="",FALSE,TRUE)</f>
        <v>0</v>
      </c>
      <c r="BM403">
        <f>OR(AND(IF(Metadata!AA403="",FALSE,TRUE),OR(exact(Metadata!AA403,"not collected"),exact(Metadata!AA403,"not provided"))),AND(IF(Metadata!AA403="",FALSE,IF(ISERROR(INT(Metadata!AA403)),FALSE,INT(Metadata!AA403)=Metadata!AA403)),Metadata!AA403&gt;0))</f>
        <v>0</v>
      </c>
      <c r="BN403">
        <f>AND(IF(Metadata!AB403="",FALSE,TRUE),exact(Metadata!AB403,"Not applicable"))</f>
        <v>0</v>
      </c>
      <c r="BO403">
        <f>IF(Metadata!AC403="",FALSE,TRUE)</f>
        <v>0</v>
      </c>
    </row>
    <row r="404" spans="1:67">
      <c r="A404" s="5">
        <f>IF(B404=" "," ",HYPERLINK(CONCATENATE("#metadata!",ADDRESS(INDEX($AI$2:$AI$1001,MATCH(ROWS($AG$2:AG404),$AG$2:$AG$1001,0),0),1)),INDEX($AL$2:$AL$1001,MATCH(ROWS($AG$2:AG404),$AG$2:$AG$1001,0),0)))</f>
        <v>0</v>
      </c>
      <c r="B404" s="4">
        <f>IF(OR(INDEX($AH$2:$AH$1001,MATCH(ROWS($AG$2:AG404),$AG$2:$AG$1001,0),1)&gt;=100000,INDEX($AN$1005:$BO$1005,1,MATCH(COLUMNS($AN$1006:AN1006),$AN$1006:$BO$1006,0))&gt;=100000), " ",IF(INDEX($AN$2:$BO$1001,MATCH(ROWS($AG$2:AG404),$AG$2:$AG$1001,0),MATCH(COLUMNS($AN$1006:AN1006),$AN$1006:$BO$1006,0)), HYPERLINK("#",""), HYPERLINK(CONCATENATE("#Metadata!", ADDRESS(INDEX($AI$2:$AI$1001,MATCH(ROWS($AG$2:AG404),$AG$2:$AG$1001,0),0), INDEX($AN$1004:$BO$1004,1,MATCH(COLUMNS($AN$1006:AN1006),$AN$1006:$BO$1006,0)))),"Fix")))</f>
        <v>0</v>
      </c>
      <c r="C404" s="4">
        <f>IF(OR(INDEX($AH$2:$AH$1001,MATCH(ROWS($AG$2:AG404),$AG$2:$AG$1001,0),1)&gt;=100000,INDEX($AN$1005:$BO$1005,1,MATCH(COLUMNS($AN$1006:AO1006),$AN$1006:$BO$1006,0))&gt;=100000), " ",IF(INDEX($AN$2:$BO$1001,MATCH(ROWS($AG$2:AG404),$AG$2:$AG$1001,0),MATCH(COLUMNS($AN$1006:AO1006),$AN$1006:$BO$1006,0)), HYPERLINK("#",""), HYPERLINK(CONCATENATE("#Metadata!", ADDRESS(INDEX($AI$2:$AI$1001,MATCH(ROWS($AG$2:AG404),$AG$2:$AG$1001,0),0), INDEX($AN$1004:$BO$1004,1,MATCH(COLUMNS($AN$1006:AO1006),$AN$1006:$BO$1006,0)))),"Fix")))</f>
        <v>0</v>
      </c>
      <c r="D404" s="4">
        <f>IF(OR(INDEX($AH$2:$AH$1001,MATCH(ROWS($AG$2:AG404),$AG$2:$AG$1001,0),1)&gt;=100000,INDEX($AN$1005:$BO$1005,1,MATCH(COLUMNS($AN$1006:AP1006),$AN$1006:$BO$1006,0))&gt;=100000), " ",IF(INDEX($AN$2:$BO$1001,MATCH(ROWS($AG$2:AG404),$AG$2:$AG$1001,0),MATCH(COLUMNS($AN$1006:AP1006),$AN$1006:$BO$1006,0)), HYPERLINK("#",""), HYPERLINK(CONCATENATE("#Metadata!", ADDRESS(INDEX($AI$2:$AI$1001,MATCH(ROWS($AG$2:AG404),$AG$2:$AG$1001,0),0), INDEX($AN$1004:$BO$1004,1,MATCH(COLUMNS($AN$1006:AP1006),$AN$1006:$BO$1006,0)))),"Fix")))</f>
        <v>0</v>
      </c>
      <c r="E404" s="4">
        <f>IF(OR(INDEX($AH$2:$AH$1001,MATCH(ROWS($AG$2:AG404),$AG$2:$AG$1001,0),1)&gt;=100000,INDEX($AN$1005:$BO$1005,1,MATCH(COLUMNS($AN$1006:AQ1006),$AN$1006:$BO$1006,0))&gt;=100000), " ",IF(INDEX($AN$2:$BO$1001,MATCH(ROWS($AG$2:AG404),$AG$2:$AG$1001,0),MATCH(COLUMNS($AN$1006:AQ1006),$AN$1006:$BO$1006,0)), HYPERLINK("#",""), HYPERLINK(CONCATENATE("#Metadata!", ADDRESS(INDEX($AI$2:$AI$1001,MATCH(ROWS($AG$2:AG404),$AG$2:$AG$1001,0),0), INDEX($AN$1004:$BO$1004,1,MATCH(COLUMNS($AN$1006:AQ1006),$AN$1006:$BO$1006,0)))),"Fix")))</f>
        <v>0</v>
      </c>
      <c r="F404" s="4">
        <f>IF(OR(INDEX($AH$2:$AH$1001,MATCH(ROWS($AG$2:AG404),$AG$2:$AG$1001,0),1)&gt;=100000,INDEX($AN$1005:$BO$1005,1,MATCH(COLUMNS($AN$1006:AR1006),$AN$1006:$BO$1006,0))&gt;=100000), " ",IF(INDEX($AN$2:$BO$1001,MATCH(ROWS($AG$2:AG404),$AG$2:$AG$1001,0),MATCH(COLUMNS($AN$1006:AR1006),$AN$1006:$BO$1006,0)), HYPERLINK("#",""), HYPERLINK(CONCATENATE("#Metadata!", ADDRESS(INDEX($AI$2:$AI$1001,MATCH(ROWS($AG$2:AG404),$AG$2:$AG$1001,0),0), INDEX($AN$1004:$BO$1004,1,MATCH(COLUMNS($AN$1006:AR1006),$AN$1006:$BO$1006,0)))),"Fix")))</f>
        <v>0</v>
      </c>
      <c r="G404" s="4">
        <f>IF(OR(INDEX($AH$2:$AH$1001,MATCH(ROWS($AG$2:AG404),$AG$2:$AG$1001,0),1)&gt;=100000,INDEX($AN$1005:$BO$1005,1,MATCH(COLUMNS($AN$1006:AS1006),$AN$1006:$BO$1006,0))&gt;=100000), " ",IF(INDEX($AN$2:$BO$1001,MATCH(ROWS($AG$2:AG404),$AG$2:$AG$1001,0),MATCH(COLUMNS($AN$1006:AS1006),$AN$1006:$BO$1006,0)), HYPERLINK("#",""), HYPERLINK(CONCATENATE("#Metadata!", ADDRESS(INDEX($AI$2:$AI$1001,MATCH(ROWS($AG$2:AG404),$AG$2:$AG$1001,0),0), INDEX($AN$1004:$BO$1004,1,MATCH(COLUMNS($AN$1006:AS1006),$AN$1006:$BO$1006,0)))),"Fix")))</f>
        <v>0</v>
      </c>
      <c r="H404" s="4">
        <f>IF(OR(INDEX($AH$2:$AH$1001,MATCH(ROWS($AG$2:AG404),$AG$2:$AG$1001,0),1)&gt;=100000,INDEX($AN$1005:$BO$1005,1,MATCH(COLUMNS($AN$1006:AT1006),$AN$1006:$BO$1006,0))&gt;=100000), " ",IF(INDEX($AN$2:$BO$1001,MATCH(ROWS($AG$2:AG404),$AG$2:$AG$1001,0),MATCH(COLUMNS($AN$1006:AT1006),$AN$1006:$BO$1006,0)), HYPERLINK("#",""), HYPERLINK(CONCATENATE("#Metadata!", ADDRESS(INDEX($AI$2:$AI$1001,MATCH(ROWS($AG$2:AG404),$AG$2:$AG$1001,0),0), INDEX($AN$1004:$BO$1004,1,MATCH(COLUMNS($AN$1006:AT1006),$AN$1006:$BO$1006,0)))),"Fix")))</f>
        <v>0</v>
      </c>
      <c r="I404" s="4">
        <f>IF(OR(INDEX($AH$2:$AH$1001,MATCH(ROWS($AG$2:AG404),$AG$2:$AG$1001,0),1)&gt;=100000,INDEX($AN$1005:$BO$1005,1,MATCH(COLUMNS($AN$1006:AU1006),$AN$1006:$BO$1006,0))&gt;=100000), " ",IF(INDEX($AN$2:$BO$1001,MATCH(ROWS($AG$2:AG404),$AG$2:$AG$1001,0),MATCH(COLUMNS($AN$1006:AU1006),$AN$1006:$BO$1006,0)), HYPERLINK("#",""), HYPERLINK(CONCATENATE("#Metadata!", ADDRESS(INDEX($AI$2:$AI$1001,MATCH(ROWS($AG$2:AG404),$AG$2:$AG$1001,0),0), INDEX($AN$1004:$BO$1004,1,MATCH(COLUMNS($AN$1006:AU1006),$AN$1006:$BO$1006,0)))),"Fix")))</f>
        <v>0</v>
      </c>
      <c r="J404" s="4">
        <f>IF(OR(INDEX($AH$2:$AH$1001,MATCH(ROWS($AG$2:AG404),$AG$2:$AG$1001,0),1)&gt;=100000,INDEX($AN$1005:$BO$1005,1,MATCH(COLUMNS($AN$1006:AV1006),$AN$1006:$BO$1006,0))&gt;=100000), " ",IF(INDEX($AN$2:$BO$1001,MATCH(ROWS($AG$2:AG404),$AG$2:$AG$1001,0),MATCH(COLUMNS($AN$1006:AV1006),$AN$1006:$BO$1006,0)), HYPERLINK("#",""), HYPERLINK(CONCATENATE("#Metadata!", ADDRESS(INDEX($AI$2:$AI$1001,MATCH(ROWS($AG$2:AG404),$AG$2:$AG$1001,0),0), INDEX($AN$1004:$BO$1004,1,MATCH(COLUMNS($AN$1006:AV1006),$AN$1006:$BO$1006,0)))),"Fix")))</f>
        <v>0</v>
      </c>
      <c r="K404" s="4">
        <f>IF(OR(INDEX($AH$2:$AH$1001,MATCH(ROWS($AG$2:AG404),$AG$2:$AG$1001,0),1)&gt;=100000,INDEX($AN$1005:$BO$1005,1,MATCH(COLUMNS($AN$1006:AW1006),$AN$1006:$BO$1006,0))&gt;=100000), " ",IF(INDEX($AN$2:$BO$1001,MATCH(ROWS($AG$2:AG404),$AG$2:$AG$1001,0),MATCH(COLUMNS($AN$1006:AW1006),$AN$1006:$BO$1006,0)), HYPERLINK("#",""), HYPERLINK(CONCATENATE("#Metadata!", ADDRESS(INDEX($AI$2:$AI$1001,MATCH(ROWS($AG$2:AG404),$AG$2:$AG$1001,0),0), INDEX($AN$1004:$BO$1004,1,MATCH(COLUMNS($AN$1006:AW1006),$AN$1006:$BO$1006,0)))),"Fix")))</f>
        <v>0</v>
      </c>
      <c r="L404" s="4">
        <f>IF(OR(INDEX($AH$2:$AH$1001,MATCH(ROWS($AG$2:AG404),$AG$2:$AG$1001,0),1)&gt;=100000,INDEX($AN$1005:$BO$1005,1,MATCH(COLUMNS($AN$1006:AX1006),$AN$1006:$BO$1006,0))&gt;=100000), " ",IF(INDEX($AN$2:$BO$1001,MATCH(ROWS($AG$2:AG404),$AG$2:$AG$1001,0),MATCH(COLUMNS($AN$1006:AX1006),$AN$1006:$BO$1006,0)), HYPERLINK("#",""), HYPERLINK(CONCATENATE("#Metadata!", ADDRESS(INDEX($AI$2:$AI$1001,MATCH(ROWS($AG$2:AG404),$AG$2:$AG$1001,0),0), INDEX($AN$1004:$BO$1004,1,MATCH(COLUMNS($AN$1006:AX1006),$AN$1006:$BO$1006,0)))),"Fix")))</f>
        <v>0</v>
      </c>
      <c r="M404" s="4">
        <f>IF(OR(INDEX($AH$2:$AH$1001,MATCH(ROWS($AG$2:AG404),$AG$2:$AG$1001,0),1)&gt;=100000,INDEX($AN$1005:$BO$1005,1,MATCH(COLUMNS($AN$1006:AY1006),$AN$1006:$BO$1006,0))&gt;=100000), " ",IF(INDEX($AN$2:$BO$1001,MATCH(ROWS($AG$2:AG404),$AG$2:$AG$1001,0),MATCH(COLUMNS($AN$1006:AY1006),$AN$1006:$BO$1006,0)), HYPERLINK("#",""), HYPERLINK(CONCATENATE("#Metadata!", ADDRESS(INDEX($AI$2:$AI$1001,MATCH(ROWS($AG$2:AG404),$AG$2:$AG$1001,0),0), INDEX($AN$1004:$BO$1004,1,MATCH(COLUMNS($AN$1006:AY1006),$AN$1006:$BO$1006,0)))),"Fix")))</f>
        <v>0</v>
      </c>
      <c r="N404" s="4">
        <f>IF(OR(INDEX($AH$2:$AH$1001,MATCH(ROWS($AG$2:AG404),$AG$2:$AG$1001,0),1)&gt;=100000,INDEX($AN$1005:$BO$1005,1,MATCH(COLUMNS($AN$1006:AZ1006),$AN$1006:$BO$1006,0))&gt;=100000), " ",IF(INDEX($AN$2:$BO$1001,MATCH(ROWS($AG$2:AG404),$AG$2:$AG$1001,0),MATCH(COLUMNS($AN$1006:AZ1006),$AN$1006:$BO$1006,0)), HYPERLINK("#",""), HYPERLINK(CONCATENATE("#Metadata!", ADDRESS(INDEX($AI$2:$AI$1001,MATCH(ROWS($AG$2:AG404),$AG$2:$AG$1001,0),0), INDEX($AN$1004:$BO$1004,1,MATCH(COLUMNS($AN$1006:AZ1006),$AN$1006:$BO$1006,0)))),"Fix")))</f>
        <v>0</v>
      </c>
      <c r="O404" s="4">
        <f>IF(OR(INDEX($AH$2:$AH$1001,MATCH(ROWS($AG$2:AG404),$AG$2:$AG$1001,0),1)&gt;=100000,INDEX($AN$1005:$BO$1005,1,MATCH(COLUMNS($AN$1006:BA1006),$AN$1006:$BO$1006,0))&gt;=100000), " ",IF(INDEX($AN$2:$BO$1001,MATCH(ROWS($AG$2:AG404),$AG$2:$AG$1001,0),MATCH(COLUMNS($AN$1006:BA1006),$AN$1006:$BO$1006,0)), HYPERLINK("#",""), HYPERLINK(CONCATENATE("#Metadata!", ADDRESS(INDEX($AI$2:$AI$1001,MATCH(ROWS($AG$2:AG404),$AG$2:$AG$1001,0),0), INDEX($AN$1004:$BO$1004,1,MATCH(COLUMNS($AN$1006:BA1006),$AN$1006:$BO$1006,0)))),"Fix")))</f>
        <v>0</v>
      </c>
      <c r="P404" s="4">
        <f>IF(OR(INDEX($AH$2:$AH$1001,MATCH(ROWS($AG$2:AG404),$AG$2:$AG$1001,0),1)&gt;=100000,INDEX($AN$1005:$BO$1005,1,MATCH(COLUMNS($AN$1006:BB1006),$AN$1006:$BO$1006,0))&gt;=100000), " ",IF(INDEX($AN$2:$BO$1001,MATCH(ROWS($AG$2:AG404),$AG$2:$AG$1001,0),MATCH(COLUMNS($AN$1006:BB1006),$AN$1006:$BO$1006,0)), HYPERLINK("#",""), HYPERLINK(CONCATENATE("#Metadata!", ADDRESS(INDEX($AI$2:$AI$1001,MATCH(ROWS($AG$2:AG404),$AG$2:$AG$1001,0),0), INDEX($AN$1004:$BO$1004,1,MATCH(COLUMNS($AN$1006:BB1006),$AN$1006:$BO$1006,0)))),"Fix")))</f>
        <v>0</v>
      </c>
      <c r="Q404" s="4">
        <f>IF(OR(INDEX($AH$2:$AH$1001,MATCH(ROWS($AG$2:AG404),$AG$2:$AG$1001,0),1)&gt;=100000,INDEX($AN$1005:$BO$1005,1,MATCH(COLUMNS($AN$1006:BC1006),$AN$1006:$BO$1006,0))&gt;=100000), " ",IF(INDEX($AN$2:$BO$1001,MATCH(ROWS($AG$2:AG404),$AG$2:$AG$1001,0),MATCH(COLUMNS($AN$1006:BC1006),$AN$1006:$BO$1006,0)), HYPERLINK("#",""), HYPERLINK(CONCATENATE("#Metadata!", ADDRESS(INDEX($AI$2:$AI$1001,MATCH(ROWS($AG$2:AG404),$AG$2:$AG$1001,0),0), INDEX($AN$1004:$BO$1004,1,MATCH(COLUMNS($AN$1006:BC1006),$AN$1006:$BO$1006,0)))),"Fix")))</f>
        <v>0</v>
      </c>
      <c r="R404" s="4">
        <f>IF(OR(INDEX($AH$2:$AH$1001,MATCH(ROWS($AG$2:AG404),$AG$2:$AG$1001,0),1)&gt;=100000,INDEX($AN$1005:$BO$1005,1,MATCH(COLUMNS($AN$1006:BD1006),$AN$1006:$BO$1006,0))&gt;=100000), " ",IF(INDEX($AN$2:$BO$1001,MATCH(ROWS($AG$2:AG404),$AG$2:$AG$1001,0),MATCH(COLUMNS($AN$1006:BD1006),$AN$1006:$BO$1006,0)), HYPERLINK("#",""), HYPERLINK(CONCATENATE("#Metadata!", ADDRESS(INDEX($AI$2:$AI$1001,MATCH(ROWS($AG$2:AG404),$AG$2:$AG$1001,0),0), INDEX($AN$1004:$BO$1004,1,MATCH(COLUMNS($AN$1006:BD1006),$AN$1006:$BO$1006,0)))),"Fix")))</f>
        <v>0</v>
      </c>
      <c r="S404" s="4">
        <f>IF(OR(INDEX($AH$2:$AH$1001,MATCH(ROWS($AG$2:AG404),$AG$2:$AG$1001,0),1)&gt;=100000,INDEX($AN$1005:$BO$1005,1,MATCH(COLUMNS($AN$1006:BE1006),$AN$1006:$BO$1006,0))&gt;=100000), " ",IF(INDEX($AN$2:$BO$1001,MATCH(ROWS($AG$2:AG404),$AG$2:$AG$1001,0),MATCH(COLUMNS($AN$1006:BE1006),$AN$1006:$BO$1006,0)), HYPERLINK("#",""), HYPERLINK(CONCATENATE("#Metadata!", ADDRESS(INDEX($AI$2:$AI$1001,MATCH(ROWS($AG$2:AG404),$AG$2:$AG$1001,0),0), INDEX($AN$1004:$BO$1004,1,MATCH(COLUMNS($AN$1006:BE1006),$AN$1006:$BO$1006,0)))),"Fix")))</f>
        <v>0</v>
      </c>
      <c r="T404" s="4">
        <f>IF(OR(INDEX($AH$2:$AH$1001,MATCH(ROWS($AG$2:AG404),$AG$2:$AG$1001,0),1)&gt;=100000,INDEX($AN$1005:$BO$1005,1,MATCH(COLUMNS($AN$1006:BF1006),$AN$1006:$BO$1006,0))&gt;=100000), " ",IF(INDEX($AN$2:$BO$1001,MATCH(ROWS($AG$2:AG404),$AG$2:$AG$1001,0),MATCH(COLUMNS($AN$1006:BF1006),$AN$1006:$BO$1006,0)), HYPERLINK("#",""), HYPERLINK(CONCATENATE("#Metadata!", ADDRESS(INDEX($AI$2:$AI$1001,MATCH(ROWS($AG$2:AG404),$AG$2:$AG$1001,0),0), INDEX($AN$1004:$BO$1004,1,MATCH(COLUMNS($AN$1006:BF1006),$AN$1006:$BO$1006,0)))),"Fix")))</f>
        <v>0</v>
      </c>
      <c r="U404" s="4">
        <f>IF(OR(INDEX($AH$2:$AH$1001,MATCH(ROWS($AG$2:AG404),$AG$2:$AG$1001,0),1)&gt;=100000,INDEX($AN$1005:$BO$1005,1,MATCH(COLUMNS($AN$1006:BG1006),$AN$1006:$BO$1006,0))&gt;=100000), " ",IF(INDEX($AN$2:$BO$1001,MATCH(ROWS($AG$2:AG404),$AG$2:$AG$1001,0),MATCH(COLUMNS($AN$1006:BG1006),$AN$1006:$BO$1006,0)), HYPERLINK("#",""), HYPERLINK(CONCATENATE("#Metadata!", ADDRESS(INDEX($AI$2:$AI$1001,MATCH(ROWS($AG$2:AG404),$AG$2:$AG$1001,0),0), INDEX($AN$1004:$BO$1004,1,MATCH(COLUMNS($AN$1006:BG1006),$AN$1006:$BO$1006,0)))),"Fix")))</f>
        <v>0</v>
      </c>
      <c r="V404" s="4">
        <f>IF(OR(INDEX($AH$2:$AH$1001,MATCH(ROWS($AG$2:AG404),$AG$2:$AG$1001,0),1)&gt;=100000,INDEX($AN$1005:$BO$1005,1,MATCH(COLUMNS($AN$1006:BH1006),$AN$1006:$BO$1006,0))&gt;=100000), " ",IF(INDEX($AN$2:$BO$1001,MATCH(ROWS($AG$2:AG404),$AG$2:$AG$1001,0),MATCH(COLUMNS($AN$1006:BH1006),$AN$1006:$BO$1006,0)), HYPERLINK("#",""), HYPERLINK(CONCATENATE("#Metadata!", ADDRESS(INDEX($AI$2:$AI$1001,MATCH(ROWS($AG$2:AG404),$AG$2:$AG$1001,0),0), INDEX($AN$1004:$BO$1004,1,MATCH(COLUMNS($AN$1006:BH1006),$AN$1006:$BO$1006,0)))),"Fix")))</f>
        <v>0</v>
      </c>
      <c r="W404" s="4">
        <f>IF(OR(INDEX($AH$2:$AH$1001,MATCH(ROWS($AG$2:AG404),$AG$2:$AG$1001,0),1)&gt;=100000,INDEX($AN$1005:$BO$1005,1,MATCH(COLUMNS($AN$1006:BI1006),$AN$1006:$BO$1006,0))&gt;=100000), " ",IF(INDEX($AN$2:$BO$1001,MATCH(ROWS($AG$2:AG404),$AG$2:$AG$1001,0),MATCH(COLUMNS($AN$1006:BI1006),$AN$1006:$BO$1006,0)), HYPERLINK("#",""), HYPERLINK(CONCATENATE("#Metadata!", ADDRESS(INDEX($AI$2:$AI$1001,MATCH(ROWS($AG$2:AG404),$AG$2:$AG$1001,0),0), INDEX($AN$1004:$BO$1004,1,MATCH(COLUMNS($AN$1006:BI1006),$AN$1006:$BO$1006,0)))),"Fix")))</f>
        <v>0</v>
      </c>
      <c r="X404" s="4">
        <f>IF(OR(INDEX($AH$2:$AH$1001,MATCH(ROWS($AG$2:AG404),$AG$2:$AG$1001,0),1)&gt;=100000,INDEX($AN$1005:$BO$1005,1,MATCH(COLUMNS($AN$1006:BJ1006),$AN$1006:$BO$1006,0))&gt;=100000), " ",IF(INDEX($AN$2:$BO$1001,MATCH(ROWS($AG$2:AG404),$AG$2:$AG$1001,0),MATCH(COLUMNS($AN$1006:BJ1006),$AN$1006:$BO$1006,0)), HYPERLINK("#",""), HYPERLINK(CONCATENATE("#Metadata!", ADDRESS(INDEX($AI$2:$AI$1001,MATCH(ROWS($AG$2:AG404),$AG$2:$AG$1001,0),0), INDEX($AN$1004:$BO$1004,1,MATCH(COLUMNS($AN$1006:BJ1006),$AN$1006:$BO$1006,0)))),"Fix")))</f>
        <v>0</v>
      </c>
      <c r="Y404" s="4">
        <f>IF(OR(INDEX($AH$2:$AH$1001,MATCH(ROWS($AG$2:AG404),$AG$2:$AG$1001,0),1)&gt;=100000,INDEX($AN$1005:$BO$1005,1,MATCH(COLUMNS($AN$1006:BK1006),$AN$1006:$BO$1006,0))&gt;=100000), " ",IF(INDEX($AN$2:$BO$1001,MATCH(ROWS($AG$2:AG404),$AG$2:$AG$1001,0),MATCH(COLUMNS($AN$1006:BK1006),$AN$1006:$BO$1006,0)), HYPERLINK("#",""), HYPERLINK(CONCATENATE("#Metadata!", ADDRESS(INDEX($AI$2:$AI$1001,MATCH(ROWS($AG$2:AG404),$AG$2:$AG$1001,0),0), INDEX($AN$1004:$BO$1004,1,MATCH(COLUMNS($AN$1006:BK1006),$AN$1006:$BO$1006,0)))),"Fix")))</f>
        <v>0</v>
      </c>
      <c r="Z404" s="4">
        <f>IF(OR(INDEX($AH$2:$AH$1001,MATCH(ROWS($AG$2:AG404),$AG$2:$AG$1001,0),1)&gt;=100000,INDEX($AN$1005:$BO$1005,1,MATCH(COLUMNS($AN$1006:BL1006),$AN$1006:$BO$1006,0))&gt;=100000), " ",IF(INDEX($AN$2:$BO$1001,MATCH(ROWS($AG$2:AG404),$AG$2:$AG$1001,0),MATCH(COLUMNS($AN$1006:BL1006),$AN$1006:$BO$1006,0)), HYPERLINK("#",""), HYPERLINK(CONCATENATE("#Metadata!", ADDRESS(INDEX($AI$2:$AI$1001,MATCH(ROWS($AG$2:AG404),$AG$2:$AG$1001,0),0), INDEX($AN$1004:$BO$1004,1,MATCH(COLUMNS($AN$1006:BL1006),$AN$1006:$BO$1006,0)))),"Fix")))</f>
        <v>0</v>
      </c>
      <c r="AA404" s="4">
        <f>IF(OR(INDEX($AH$2:$AH$1001,MATCH(ROWS($AG$2:AG404),$AG$2:$AG$1001,0),1)&gt;=100000,INDEX($AN$1005:$BO$1005,1,MATCH(COLUMNS($AN$1006:BM1006),$AN$1006:$BO$1006,0))&gt;=100000), " ",IF(INDEX($AN$2:$BO$1001,MATCH(ROWS($AG$2:AG404),$AG$2:$AG$1001,0),MATCH(COLUMNS($AN$1006:BM1006),$AN$1006:$BO$1006,0)), HYPERLINK("#",""), HYPERLINK(CONCATENATE("#Metadata!", ADDRESS(INDEX($AI$2:$AI$1001,MATCH(ROWS($AG$2:AG404),$AG$2:$AG$1001,0),0), INDEX($AN$1004:$BO$1004,1,MATCH(COLUMNS($AN$1006:BM1006),$AN$1006:$BO$1006,0)))),"Fix")))</f>
        <v>0</v>
      </c>
      <c r="AB404" s="4">
        <f>IF(OR(INDEX($AH$2:$AH$1001,MATCH(ROWS($AG$2:AG404),$AG$2:$AG$1001,0),1)&gt;=100000,INDEX($AN$1005:$BO$1005,1,MATCH(COLUMNS($AN$1006:BN1006),$AN$1006:$BO$1006,0))&gt;=100000), " ",IF(INDEX($AN$2:$BO$1001,MATCH(ROWS($AG$2:AG404),$AG$2:$AG$1001,0),MATCH(COLUMNS($AN$1006:BN1006),$AN$1006:$BO$1006,0)), HYPERLINK("#",""), HYPERLINK(CONCATENATE("#Metadata!", ADDRESS(INDEX($AI$2:$AI$1001,MATCH(ROWS($AG$2:AG404),$AG$2:$AG$1001,0),0), INDEX($AN$1004:$BO$1004,1,MATCH(COLUMNS($AN$1006:BN1006),$AN$1006:$BO$1006,0)))),"Fix")))</f>
        <v>0</v>
      </c>
      <c r="AC404" s="4">
        <f>IF(OR(INDEX($AH$2:$AH$1001,MATCH(ROWS($AG$2:AG404),$AG$2:$AG$1001,0),1)&gt;=100000,INDEX($AN$1005:$BO$1005,1,MATCH(COLUMNS($AN$1006:BO1006),$AN$1006:$BO$1006,0))&gt;=100000), " ",IF(INDEX($AN$2:$BO$1001,MATCH(ROWS($AG$2:AG404),$AG$2:$AG$1001,0),MATCH(COLUMNS($AN$1006:BO1006),$AN$1006:$BO$1006,0)), HYPERLINK("#",""), HYPERLINK(CONCATENATE("#Metadata!", ADDRESS(INDEX($AI$2:$AI$1001,MATCH(ROWS($AG$2:AG404),$AG$2:$AG$1001,0),0), INDEX($AN$1004:$BO$1004,1,MATCH(COLUMNS($AN$1006:BO1006),$AN$1006:$BO$1006,0)))),"Fix")))</f>
        <v>0</v>
      </c>
      <c r="AG404">
        <v>0</v>
      </c>
      <c r="AH404">
        <v>0</v>
      </c>
      <c r="AI404">
        <v>0</v>
      </c>
      <c r="AJ404">
        <f>IF(AK404,TRUE,AND(AN404:BO404))</f>
        <v>0</v>
      </c>
      <c r="AK404">
        <f>COUNTBLANK(Metadata!B404:AC404)=COLUMNS(Metadata!B404:AC404)</f>
        <v>0</v>
      </c>
      <c r="AL404">
        <v>0</v>
      </c>
      <c r="AN404">
        <f>AND(IF(Metadata!B404="",FALSE,TRUE),COUNTIF(Metadata!B:B, Metadata!B404) = 1,NOT(ISERROR(SUMPRODUCT(SEARCH(MID(Metadata!B404,ROW(INDIRECT("1:"&amp;LEN(Metadata!B404))), 1),"0123456789abcdefghijklmnopqrstuvwxyzABCDEFGHIJKLMNOPQRSTUVWXYZ.")))))</f>
        <v>0</v>
      </c>
      <c r="AO404">
        <f>IF(Metadata!C404="",FALSE,TRUE)</f>
        <v>0</v>
      </c>
      <c r="AP404">
        <f>IF(Metadata!D404="",FALSE,TRUE)</f>
        <v>0</v>
      </c>
      <c r="AQ404">
        <f>OR(AND(IF(Metadata!E404="",FALSE,TRUE),OR(exact(Metadata!E404,"not collected"),exact(Metadata!E404,"not provided"),exact(Metadata!E404,"restricted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R404">
        <f>IF(Metadata!F404="",FALSE,TRUE)</f>
        <v>0</v>
      </c>
      <c r="AS404">
        <f>OR(AND(IF(Metadata!G404="",FALSE,TRUE),OR(exact(Metadata!G404,"not collected"),exact(Metadata!G404,"not provided"))),AND(IF(Metadata!G404="",FALSE,TRUE),OR(exact(Metadata!G404,"TRUE"),exact(Metadata!G404,"FALSE"))))</f>
        <v>0</v>
      </c>
      <c r="AT404">
        <f>OR(AND(IF(Metadata!H404="",FALSE,TRUE),OR(exact(Metadata!H404,"not collected"),exact(Metadata!H404,"not provided"),exact(Metadata!H404,"restricted access"))),AND(IF(Metadata!H404="",FALSE,ISNUMBER(VALUE(Metadata!H404))),Metadata!H404&gt;=-413.0))</f>
        <v>0</v>
      </c>
      <c r="AU404">
        <f>AND(IF(Metadata!I404="",FALSE,TRUE),exact(Metadata!I404,"meters"))</f>
        <v>0</v>
      </c>
      <c r="AV404">
        <f>AND(IF(Metadata!J404="",FALSE,TRUE),OR(exact(Metadata!J404,"Host-associated"),exact(Metadata!J404,"Free-living")))</f>
        <v>0</v>
      </c>
      <c r="AW404">
        <f>AND(IF(Metadata!K404="",FALSE,TRUE),OR(exact(Metadata!K404,"Animal"),exact(Metadata!K404,"Fungus"),exact(Metadata!K404,"Plant"),exact(Metadata!K404,"Saline"),exact(Metadata!K404,"Non-saline")))</f>
        <v>0</v>
      </c>
      <c r="AX404">
        <f>AND(IF(Metadata!L404="",FALSE,TRUE),OR(exact(Metadata!L404,"Plant secretion"),exact(Metadata!L404,"Plant rhizosphere"),exact(Metadata!L404,"Plant surface"),exact(Metadata!L404,"Plant corpus"),exact(Metadata!L404,"Fungus surface"),exact(Metadata!L404,"Fungus corpus"),exact(Metadata!L404,"Animal surface"),exact(Metadata!L404,"Animal proximal gut"),exact(Metadata!L404,"Animal corpus"),exact(Metadata!L404,"Animal distal gut"),exact(Metadata!L404,"Animal secretion"),exact(Metadata!L404,"Sub-surface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Y404">
        <f>IF(Metadata!M404="",FALSE,TRUE)</f>
        <v>0</v>
      </c>
      <c r="AZ404">
        <f>IF(Metadata!N404="",FALSE,TRUE)</f>
        <v>0</v>
      </c>
      <c r="BA404">
        <f>IF(Metadata!O404="",FALSE,TRUE)</f>
        <v>0</v>
      </c>
      <c r="BB404">
        <f>OR(AND(IF(Metadata!P404="",FALSE,TRUE),OR(exact(Metadata!P404,"not collected"),exact(Metadata!P404,"not provided"),exact(Metadata!P404,"restricted access"))),AND(IF(Metadata!P404="",FALSE,TRUE),OR(exact(Metadata!P404,"air"),exact(Metadata!P404,"built environment"),exact(Metadata!P404,"host-associated"),exact(Metadata!P404,"human-associated"),exact(Metadata!P404,"human-skin"),exact(Metadata!P404,"human-oral"),exact(Metadata!P404,"human-gut"),exact(Metadata!P404,"human-vaginal"),exact(Metadata!P404,"microbial mat/biofilm"),exact(Metadata!P404,"misc environment"),exact(Metadata!P404,"plant-associated"),exact(Metadata!P404,"sediment"),exact(Metadata!P404,"soil"),exact(Metadata!P404,"wastewater/sludge"),exact(Metadata!P404,"water"))))</f>
        <v>0</v>
      </c>
      <c r="BC404">
        <f>IF(Metadata!Q404="",FALSE,TRUE)</f>
        <v>0</v>
      </c>
      <c r="BD404">
        <f>IF(Metadata!R404="",FALSE,TRUE)</f>
        <v>0</v>
      </c>
      <c r="BE404">
        <f>OR(AND(IF(Metadata!S404="",FALSE,TRUE),OR(exact(Metadata!S404,"not collected"),exact(Metadata!S404,"not provided"),exact(Metadata!S404,"restricted access"))),AND(IF(Metadata!S404="",FALSE,ISNUMBER(VALUE(Metadata!S404))),Metadata!S404&gt;=-90.00,Metadata!S404&lt;=90.00))</f>
        <v>0</v>
      </c>
      <c r="BF404">
        <f>AND(IF(Metadata!T404="",FALSE,TRUE),exact(Metadata!T404,"Decimal degrees"))</f>
        <v>0</v>
      </c>
      <c r="BG404">
        <f>OR(AND(IF(Metadata!U404="",FALSE,TRUE),OR(exact(Metadata!U404,"not collected"),exact(Metadata!U404,"not provided"),exact(Metadata!U404,"restricted access"))),AND(IF(Metadata!U404="",FALSE,ISNUMBER(VALUE(Metadata!U404))),Metadata!U404&gt;=-180.00,Metadata!U404&lt;=180.00))</f>
        <v>0</v>
      </c>
      <c r="BH404">
        <f>AND(IF(Metadata!V404="",FALSE,TRUE),exact(Metadata!V404,"Decimal degrees"))</f>
        <v>0</v>
      </c>
      <c r="BI404">
        <f>IF(Metadata!W404="",FALSE,TRUE)</f>
        <v>0</v>
      </c>
      <c r="BJ404">
        <f>OR(AND(IF(Metadata!X404="",FALSE,TRUE),OR(exact(Metadata!X404,"not collected"),exact(Metadata!X404,"not provided"),exact(Metadata!X404,"restricted access"))),AND(IF(Metadata!X404="",FALSE,TRUE),OR(exact(Metadata!X404,"TRUE"),exact(Metadata!X404,"FALSE"))))</f>
        <v>0</v>
      </c>
      <c r="BK404">
        <f>AND(IF(Metadata!Y404="",FALSE,TRUE),exact(Metadata!Y404,"other"))</f>
        <v>0</v>
      </c>
      <c r="BL404">
        <f>IF(Metadata!Z404="",FALSE,TRUE)</f>
        <v>0</v>
      </c>
      <c r="BM404">
        <f>OR(AND(IF(Metadata!AA404="",FALSE,TRUE),OR(exact(Metadata!AA404,"not collected"),exact(Metadata!AA404,"not provided"))),AND(IF(Metadata!AA404="",FALSE,IF(ISERROR(INT(Metadata!AA404)),FALSE,INT(Metadata!AA404)=Metadata!AA404)),Metadata!AA404&gt;0))</f>
        <v>0</v>
      </c>
      <c r="BN404">
        <f>AND(IF(Metadata!AB404="",FALSE,TRUE),exact(Metadata!AB404,"Not applicable"))</f>
        <v>0</v>
      </c>
      <c r="BO404">
        <f>IF(Metadata!AC404="",FALSE,TRUE)</f>
        <v>0</v>
      </c>
    </row>
    <row r="405" spans="1:67">
      <c r="A405" s="5">
        <f>IF(B405=" "," ",HYPERLINK(CONCATENATE("#metadata!",ADDRESS(INDEX($AI$2:$AI$1001,MATCH(ROWS($AG$2:AG405),$AG$2:$AG$1001,0),0),1)),INDEX($AL$2:$AL$1001,MATCH(ROWS($AG$2:AG405),$AG$2:$AG$1001,0),0)))</f>
        <v>0</v>
      </c>
      <c r="B405" s="4">
        <f>IF(OR(INDEX($AH$2:$AH$1001,MATCH(ROWS($AG$2:AG405),$AG$2:$AG$1001,0),1)&gt;=100000,INDEX($AN$1005:$BO$1005,1,MATCH(COLUMNS($AN$1006:AN1006),$AN$1006:$BO$1006,0))&gt;=100000), " ",IF(INDEX($AN$2:$BO$1001,MATCH(ROWS($AG$2:AG405),$AG$2:$AG$1001,0),MATCH(COLUMNS($AN$1006:AN1006),$AN$1006:$BO$1006,0)), HYPERLINK("#",""), HYPERLINK(CONCATENATE("#Metadata!", ADDRESS(INDEX($AI$2:$AI$1001,MATCH(ROWS($AG$2:AG405),$AG$2:$AG$1001,0),0), INDEX($AN$1004:$BO$1004,1,MATCH(COLUMNS($AN$1006:AN1006),$AN$1006:$BO$1006,0)))),"Fix")))</f>
        <v>0</v>
      </c>
      <c r="C405" s="4">
        <f>IF(OR(INDEX($AH$2:$AH$1001,MATCH(ROWS($AG$2:AG405),$AG$2:$AG$1001,0),1)&gt;=100000,INDEX($AN$1005:$BO$1005,1,MATCH(COLUMNS($AN$1006:AO1006),$AN$1006:$BO$1006,0))&gt;=100000), " ",IF(INDEX($AN$2:$BO$1001,MATCH(ROWS($AG$2:AG405),$AG$2:$AG$1001,0),MATCH(COLUMNS($AN$1006:AO1006),$AN$1006:$BO$1006,0)), HYPERLINK("#",""), HYPERLINK(CONCATENATE("#Metadata!", ADDRESS(INDEX($AI$2:$AI$1001,MATCH(ROWS($AG$2:AG405),$AG$2:$AG$1001,0),0), INDEX($AN$1004:$BO$1004,1,MATCH(COLUMNS($AN$1006:AO1006),$AN$1006:$BO$1006,0)))),"Fix")))</f>
        <v>0</v>
      </c>
      <c r="D405" s="4">
        <f>IF(OR(INDEX($AH$2:$AH$1001,MATCH(ROWS($AG$2:AG405),$AG$2:$AG$1001,0),1)&gt;=100000,INDEX($AN$1005:$BO$1005,1,MATCH(COLUMNS($AN$1006:AP1006),$AN$1006:$BO$1006,0))&gt;=100000), " ",IF(INDEX($AN$2:$BO$1001,MATCH(ROWS($AG$2:AG405),$AG$2:$AG$1001,0),MATCH(COLUMNS($AN$1006:AP1006),$AN$1006:$BO$1006,0)), HYPERLINK("#",""), HYPERLINK(CONCATENATE("#Metadata!", ADDRESS(INDEX($AI$2:$AI$1001,MATCH(ROWS($AG$2:AG405),$AG$2:$AG$1001,0),0), INDEX($AN$1004:$BO$1004,1,MATCH(COLUMNS($AN$1006:AP1006),$AN$1006:$BO$1006,0)))),"Fix")))</f>
        <v>0</v>
      </c>
      <c r="E405" s="4">
        <f>IF(OR(INDEX($AH$2:$AH$1001,MATCH(ROWS($AG$2:AG405),$AG$2:$AG$1001,0),1)&gt;=100000,INDEX($AN$1005:$BO$1005,1,MATCH(COLUMNS($AN$1006:AQ1006),$AN$1006:$BO$1006,0))&gt;=100000), " ",IF(INDEX($AN$2:$BO$1001,MATCH(ROWS($AG$2:AG405),$AG$2:$AG$1001,0),MATCH(COLUMNS($AN$1006:AQ1006),$AN$1006:$BO$1006,0)), HYPERLINK("#",""), HYPERLINK(CONCATENATE("#Metadata!", ADDRESS(INDEX($AI$2:$AI$1001,MATCH(ROWS($AG$2:AG405),$AG$2:$AG$1001,0),0), INDEX($AN$1004:$BO$1004,1,MATCH(COLUMNS($AN$1006:AQ1006),$AN$1006:$BO$1006,0)))),"Fix")))</f>
        <v>0</v>
      </c>
      <c r="F405" s="4">
        <f>IF(OR(INDEX($AH$2:$AH$1001,MATCH(ROWS($AG$2:AG405),$AG$2:$AG$1001,0),1)&gt;=100000,INDEX($AN$1005:$BO$1005,1,MATCH(COLUMNS($AN$1006:AR1006),$AN$1006:$BO$1006,0))&gt;=100000), " ",IF(INDEX($AN$2:$BO$1001,MATCH(ROWS($AG$2:AG405),$AG$2:$AG$1001,0),MATCH(COLUMNS($AN$1006:AR1006),$AN$1006:$BO$1006,0)), HYPERLINK("#",""), HYPERLINK(CONCATENATE("#Metadata!", ADDRESS(INDEX($AI$2:$AI$1001,MATCH(ROWS($AG$2:AG405),$AG$2:$AG$1001,0),0), INDEX($AN$1004:$BO$1004,1,MATCH(COLUMNS($AN$1006:AR1006),$AN$1006:$BO$1006,0)))),"Fix")))</f>
        <v>0</v>
      </c>
      <c r="G405" s="4">
        <f>IF(OR(INDEX($AH$2:$AH$1001,MATCH(ROWS($AG$2:AG405),$AG$2:$AG$1001,0),1)&gt;=100000,INDEX($AN$1005:$BO$1005,1,MATCH(COLUMNS($AN$1006:AS1006),$AN$1006:$BO$1006,0))&gt;=100000), " ",IF(INDEX($AN$2:$BO$1001,MATCH(ROWS($AG$2:AG405),$AG$2:$AG$1001,0),MATCH(COLUMNS($AN$1006:AS1006),$AN$1006:$BO$1006,0)), HYPERLINK("#",""), HYPERLINK(CONCATENATE("#Metadata!", ADDRESS(INDEX($AI$2:$AI$1001,MATCH(ROWS($AG$2:AG405),$AG$2:$AG$1001,0),0), INDEX($AN$1004:$BO$1004,1,MATCH(COLUMNS($AN$1006:AS1006),$AN$1006:$BO$1006,0)))),"Fix")))</f>
        <v>0</v>
      </c>
      <c r="H405" s="4">
        <f>IF(OR(INDEX($AH$2:$AH$1001,MATCH(ROWS($AG$2:AG405),$AG$2:$AG$1001,0),1)&gt;=100000,INDEX($AN$1005:$BO$1005,1,MATCH(COLUMNS($AN$1006:AT1006),$AN$1006:$BO$1006,0))&gt;=100000), " ",IF(INDEX($AN$2:$BO$1001,MATCH(ROWS($AG$2:AG405),$AG$2:$AG$1001,0),MATCH(COLUMNS($AN$1006:AT1006),$AN$1006:$BO$1006,0)), HYPERLINK("#",""), HYPERLINK(CONCATENATE("#Metadata!", ADDRESS(INDEX($AI$2:$AI$1001,MATCH(ROWS($AG$2:AG405),$AG$2:$AG$1001,0),0), INDEX($AN$1004:$BO$1004,1,MATCH(COLUMNS($AN$1006:AT1006),$AN$1006:$BO$1006,0)))),"Fix")))</f>
        <v>0</v>
      </c>
      <c r="I405" s="4">
        <f>IF(OR(INDEX($AH$2:$AH$1001,MATCH(ROWS($AG$2:AG405),$AG$2:$AG$1001,0),1)&gt;=100000,INDEX($AN$1005:$BO$1005,1,MATCH(COLUMNS($AN$1006:AU1006),$AN$1006:$BO$1006,0))&gt;=100000), " ",IF(INDEX($AN$2:$BO$1001,MATCH(ROWS($AG$2:AG405),$AG$2:$AG$1001,0),MATCH(COLUMNS($AN$1006:AU1006),$AN$1006:$BO$1006,0)), HYPERLINK("#",""), HYPERLINK(CONCATENATE("#Metadata!", ADDRESS(INDEX($AI$2:$AI$1001,MATCH(ROWS($AG$2:AG405),$AG$2:$AG$1001,0),0), INDEX($AN$1004:$BO$1004,1,MATCH(COLUMNS($AN$1006:AU1006),$AN$1006:$BO$1006,0)))),"Fix")))</f>
        <v>0</v>
      </c>
      <c r="J405" s="4">
        <f>IF(OR(INDEX($AH$2:$AH$1001,MATCH(ROWS($AG$2:AG405),$AG$2:$AG$1001,0),1)&gt;=100000,INDEX($AN$1005:$BO$1005,1,MATCH(COLUMNS($AN$1006:AV1006),$AN$1006:$BO$1006,0))&gt;=100000), " ",IF(INDEX($AN$2:$BO$1001,MATCH(ROWS($AG$2:AG405),$AG$2:$AG$1001,0),MATCH(COLUMNS($AN$1006:AV1006),$AN$1006:$BO$1006,0)), HYPERLINK("#",""), HYPERLINK(CONCATENATE("#Metadata!", ADDRESS(INDEX($AI$2:$AI$1001,MATCH(ROWS($AG$2:AG405),$AG$2:$AG$1001,0),0), INDEX($AN$1004:$BO$1004,1,MATCH(COLUMNS($AN$1006:AV1006),$AN$1006:$BO$1006,0)))),"Fix")))</f>
        <v>0</v>
      </c>
      <c r="K405" s="4">
        <f>IF(OR(INDEX($AH$2:$AH$1001,MATCH(ROWS($AG$2:AG405),$AG$2:$AG$1001,0),1)&gt;=100000,INDEX($AN$1005:$BO$1005,1,MATCH(COLUMNS($AN$1006:AW1006),$AN$1006:$BO$1006,0))&gt;=100000), " ",IF(INDEX($AN$2:$BO$1001,MATCH(ROWS($AG$2:AG405),$AG$2:$AG$1001,0),MATCH(COLUMNS($AN$1006:AW1006),$AN$1006:$BO$1006,0)), HYPERLINK("#",""), HYPERLINK(CONCATENATE("#Metadata!", ADDRESS(INDEX($AI$2:$AI$1001,MATCH(ROWS($AG$2:AG405),$AG$2:$AG$1001,0),0), INDEX($AN$1004:$BO$1004,1,MATCH(COLUMNS($AN$1006:AW1006),$AN$1006:$BO$1006,0)))),"Fix")))</f>
        <v>0</v>
      </c>
      <c r="L405" s="4">
        <f>IF(OR(INDEX($AH$2:$AH$1001,MATCH(ROWS($AG$2:AG405),$AG$2:$AG$1001,0),1)&gt;=100000,INDEX($AN$1005:$BO$1005,1,MATCH(COLUMNS($AN$1006:AX1006),$AN$1006:$BO$1006,0))&gt;=100000), " ",IF(INDEX($AN$2:$BO$1001,MATCH(ROWS($AG$2:AG405),$AG$2:$AG$1001,0),MATCH(COLUMNS($AN$1006:AX1006),$AN$1006:$BO$1006,0)), HYPERLINK("#",""), HYPERLINK(CONCATENATE("#Metadata!", ADDRESS(INDEX($AI$2:$AI$1001,MATCH(ROWS($AG$2:AG405),$AG$2:$AG$1001,0),0), INDEX($AN$1004:$BO$1004,1,MATCH(COLUMNS($AN$1006:AX1006),$AN$1006:$BO$1006,0)))),"Fix")))</f>
        <v>0</v>
      </c>
      <c r="M405" s="4">
        <f>IF(OR(INDEX($AH$2:$AH$1001,MATCH(ROWS($AG$2:AG405),$AG$2:$AG$1001,0),1)&gt;=100000,INDEX($AN$1005:$BO$1005,1,MATCH(COLUMNS($AN$1006:AY1006),$AN$1006:$BO$1006,0))&gt;=100000), " ",IF(INDEX($AN$2:$BO$1001,MATCH(ROWS($AG$2:AG405),$AG$2:$AG$1001,0),MATCH(COLUMNS($AN$1006:AY1006),$AN$1006:$BO$1006,0)), HYPERLINK("#",""), HYPERLINK(CONCATENATE("#Metadata!", ADDRESS(INDEX($AI$2:$AI$1001,MATCH(ROWS($AG$2:AG405),$AG$2:$AG$1001,0),0), INDEX($AN$1004:$BO$1004,1,MATCH(COLUMNS($AN$1006:AY1006),$AN$1006:$BO$1006,0)))),"Fix")))</f>
        <v>0</v>
      </c>
      <c r="N405" s="4">
        <f>IF(OR(INDEX($AH$2:$AH$1001,MATCH(ROWS($AG$2:AG405),$AG$2:$AG$1001,0),1)&gt;=100000,INDEX($AN$1005:$BO$1005,1,MATCH(COLUMNS($AN$1006:AZ1006),$AN$1006:$BO$1006,0))&gt;=100000), " ",IF(INDEX($AN$2:$BO$1001,MATCH(ROWS($AG$2:AG405),$AG$2:$AG$1001,0),MATCH(COLUMNS($AN$1006:AZ1006),$AN$1006:$BO$1006,0)), HYPERLINK("#",""), HYPERLINK(CONCATENATE("#Metadata!", ADDRESS(INDEX($AI$2:$AI$1001,MATCH(ROWS($AG$2:AG405),$AG$2:$AG$1001,0),0), INDEX($AN$1004:$BO$1004,1,MATCH(COLUMNS($AN$1006:AZ1006),$AN$1006:$BO$1006,0)))),"Fix")))</f>
        <v>0</v>
      </c>
      <c r="O405" s="4">
        <f>IF(OR(INDEX($AH$2:$AH$1001,MATCH(ROWS($AG$2:AG405),$AG$2:$AG$1001,0),1)&gt;=100000,INDEX($AN$1005:$BO$1005,1,MATCH(COLUMNS($AN$1006:BA1006),$AN$1006:$BO$1006,0))&gt;=100000), " ",IF(INDEX($AN$2:$BO$1001,MATCH(ROWS($AG$2:AG405),$AG$2:$AG$1001,0),MATCH(COLUMNS($AN$1006:BA1006),$AN$1006:$BO$1006,0)), HYPERLINK("#",""), HYPERLINK(CONCATENATE("#Metadata!", ADDRESS(INDEX($AI$2:$AI$1001,MATCH(ROWS($AG$2:AG405),$AG$2:$AG$1001,0),0), INDEX($AN$1004:$BO$1004,1,MATCH(COLUMNS($AN$1006:BA1006),$AN$1006:$BO$1006,0)))),"Fix")))</f>
        <v>0</v>
      </c>
      <c r="P405" s="4">
        <f>IF(OR(INDEX($AH$2:$AH$1001,MATCH(ROWS($AG$2:AG405),$AG$2:$AG$1001,0),1)&gt;=100000,INDEX($AN$1005:$BO$1005,1,MATCH(COLUMNS($AN$1006:BB1006),$AN$1006:$BO$1006,0))&gt;=100000), " ",IF(INDEX($AN$2:$BO$1001,MATCH(ROWS($AG$2:AG405),$AG$2:$AG$1001,0),MATCH(COLUMNS($AN$1006:BB1006),$AN$1006:$BO$1006,0)), HYPERLINK("#",""), HYPERLINK(CONCATENATE("#Metadata!", ADDRESS(INDEX($AI$2:$AI$1001,MATCH(ROWS($AG$2:AG405),$AG$2:$AG$1001,0),0), INDEX($AN$1004:$BO$1004,1,MATCH(COLUMNS($AN$1006:BB1006),$AN$1006:$BO$1006,0)))),"Fix")))</f>
        <v>0</v>
      </c>
      <c r="Q405" s="4">
        <f>IF(OR(INDEX($AH$2:$AH$1001,MATCH(ROWS($AG$2:AG405),$AG$2:$AG$1001,0),1)&gt;=100000,INDEX($AN$1005:$BO$1005,1,MATCH(COLUMNS($AN$1006:BC1006),$AN$1006:$BO$1006,0))&gt;=100000), " ",IF(INDEX($AN$2:$BO$1001,MATCH(ROWS($AG$2:AG405),$AG$2:$AG$1001,0),MATCH(COLUMNS($AN$1006:BC1006),$AN$1006:$BO$1006,0)), HYPERLINK("#",""), HYPERLINK(CONCATENATE("#Metadata!", ADDRESS(INDEX($AI$2:$AI$1001,MATCH(ROWS($AG$2:AG405),$AG$2:$AG$1001,0),0), INDEX($AN$1004:$BO$1004,1,MATCH(COLUMNS($AN$1006:BC1006),$AN$1006:$BO$1006,0)))),"Fix")))</f>
        <v>0</v>
      </c>
      <c r="R405" s="4">
        <f>IF(OR(INDEX($AH$2:$AH$1001,MATCH(ROWS($AG$2:AG405),$AG$2:$AG$1001,0),1)&gt;=100000,INDEX($AN$1005:$BO$1005,1,MATCH(COLUMNS($AN$1006:BD1006),$AN$1006:$BO$1006,0))&gt;=100000), " ",IF(INDEX($AN$2:$BO$1001,MATCH(ROWS($AG$2:AG405),$AG$2:$AG$1001,0),MATCH(COLUMNS($AN$1006:BD1006),$AN$1006:$BO$1006,0)), HYPERLINK("#",""), HYPERLINK(CONCATENATE("#Metadata!", ADDRESS(INDEX($AI$2:$AI$1001,MATCH(ROWS($AG$2:AG405),$AG$2:$AG$1001,0),0), INDEX($AN$1004:$BO$1004,1,MATCH(COLUMNS($AN$1006:BD1006),$AN$1006:$BO$1006,0)))),"Fix")))</f>
        <v>0</v>
      </c>
      <c r="S405" s="4">
        <f>IF(OR(INDEX($AH$2:$AH$1001,MATCH(ROWS($AG$2:AG405),$AG$2:$AG$1001,0),1)&gt;=100000,INDEX($AN$1005:$BO$1005,1,MATCH(COLUMNS($AN$1006:BE1006),$AN$1006:$BO$1006,0))&gt;=100000), " ",IF(INDEX($AN$2:$BO$1001,MATCH(ROWS($AG$2:AG405),$AG$2:$AG$1001,0),MATCH(COLUMNS($AN$1006:BE1006),$AN$1006:$BO$1006,0)), HYPERLINK("#",""), HYPERLINK(CONCATENATE("#Metadata!", ADDRESS(INDEX($AI$2:$AI$1001,MATCH(ROWS($AG$2:AG405),$AG$2:$AG$1001,0),0), INDEX($AN$1004:$BO$1004,1,MATCH(COLUMNS($AN$1006:BE1006),$AN$1006:$BO$1006,0)))),"Fix")))</f>
        <v>0</v>
      </c>
      <c r="T405" s="4">
        <f>IF(OR(INDEX($AH$2:$AH$1001,MATCH(ROWS($AG$2:AG405),$AG$2:$AG$1001,0),1)&gt;=100000,INDEX($AN$1005:$BO$1005,1,MATCH(COLUMNS($AN$1006:BF1006),$AN$1006:$BO$1006,0))&gt;=100000), " ",IF(INDEX($AN$2:$BO$1001,MATCH(ROWS($AG$2:AG405),$AG$2:$AG$1001,0),MATCH(COLUMNS($AN$1006:BF1006),$AN$1006:$BO$1006,0)), HYPERLINK("#",""), HYPERLINK(CONCATENATE("#Metadata!", ADDRESS(INDEX($AI$2:$AI$1001,MATCH(ROWS($AG$2:AG405),$AG$2:$AG$1001,0),0), INDEX($AN$1004:$BO$1004,1,MATCH(COLUMNS($AN$1006:BF1006),$AN$1006:$BO$1006,0)))),"Fix")))</f>
        <v>0</v>
      </c>
      <c r="U405" s="4">
        <f>IF(OR(INDEX($AH$2:$AH$1001,MATCH(ROWS($AG$2:AG405),$AG$2:$AG$1001,0),1)&gt;=100000,INDEX($AN$1005:$BO$1005,1,MATCH(COLUMNS($AN$1006:BG1006),$AN$1006:$BO$1006,0))&gt;=100000), " ",IF(INDEX($AN$2:$BO$1001,MATCH(ROWS($AG$2:AG405),$AG$2:$AG$1001,0),MATCH(COLUMNS($AN$1006:BG1006),$AN$1006:$BO$1006,0)), HYPERLINK("#",""), HYPERLINK(CONCATENATE("#Metadata!", ADDRESS(INDEX($AI$2:$AI$1001,MATCH(ROWS($AG$2:AG405),$AG$2:$AG$1001,0),0), INDEX($AN$1004:$BO$1004,1,MATCH(COLUMNS($AN$1006:BG1006),$AN$1006:$BO$1006,0)))),"Fix")))</f>
        <v>0</v>
      </c>
      <c r="V405" s="4">
        <f>IF(OR(INDEX($AH$2:$AH$1001,MATCH(ROWS($AG$2:AG405),$AG$2:$AG$1001,0),1)&gt;=100000,INDEX($AN$1005:$BO$1005,1,MATCH(COLUMNS($AN$1006:BH1006),$AN$1006:$BO$1006,0))&gt;=100000), " ",IF(INDEX($AN$2:$BO$1001,MATCH(ROWS($AG$2:AG405),$AG$2:$AG$1001,0),MATCH(COLUMNS($AN$1006:BH1006),$AN$1006:$BO$1006,0)), HYPERLINK("#",""), HYPERLINK(CONCATENATE("#Metadata!", ADDRESS(INDEX($AI$2:$AI$1001,MATCH(ROWS($AG$2:AG405),$AG$2:$AG$1001,0),0), INDEX($AN$1004:$BO$1004,1,MATCH(COLUMNS($AN$1006:BH1006),$AN$1006:$BO$1006,0)))),"Fix")))</f>
        <v>0</v>
      </c>
      <c r="W405" s="4">
        <f>IF(OR(INDEX($AH$2:$AH$1001,MATCH(ROWS($AG$2:AG405),$AG$2:$AG$1001,0),1)&gt;=100000,INDEX($AN$1005:$BO$1005,1,MATCH(COLUMNS($AN$1006:BI1006),$AN$1006:$BO$1006,0))&gt;=100000), " ",IF(INDEX($AN$2:$BO$1001,MATCH(ROWS($AG$2:AG405),$AG$2:$AG$1001,0),MATCH(COLUMNS($AN$1006:BI1006),$AN$1006:$BO$1006,0)), HYPERLINK("#",""), HYPERLINK(CONCATENATE("#Metadata!", ADDRESS(INDEX($AI$2:$AI$1001,MATCH(ROWS($AG$2:AG405),$AG$2:$AG$1001,0),0), INDEX($AN$1004:$BO$1004,1,MATCH(COLUMNS($AN$1006:BI1006),$AN$1006:$BO$1006,0)))),"Fix")))</f>
        <v>0</v>
      </c>
      <c r="X405" s="4">
        <f>IF(OR(INDEX($AH$2:$AH$1001,MATCH(ROWS($AG$2:AG405),$AG$2:$AG$1001,0),1)&gt;=100000,INDEX($AN$1005:$BO$1005,1,MATCH(COLUMNS($AN$1006:BJ1006),$AN$1006:$BO$1006,0))&gt;=100000), " ",IF(INDEX($AN$2:$BO$1001,MATCH(ROWS($AG$2:AG405),$AG$2:$AG$1001,0),MATCH(COLUMNS($AN$1006:BJ1006),$AN$1006:$BO$1006,0)), HYPERLINK("#",""), HYPERLINK(CONCATENATE("#Metadata!", ADDRESS(INDEX($AI$2:$AI$1001,MATCH(ROWS($AG$2:AG405),$AG$2:$AG$1001,0),0), INDEX($AN$1004:$BO$1004,1,MATCH(COLUMNS($AN$1006:BJ1006),$AN$1006:$BO$1006,0)))),"Fix")))</f>
        <v>0</v>
      </c>
      <c r="Y405" s="4">
        <f>IF(OR(INDEX($AH$2:$AH$1001,MATCH(ROWS($AG$2:AG405),$AG$2:$AG$1001,0),1)&gt;=100000,INDEX($AN$1005:$BO$1005,1,MATCH(COLUMNS($AN$1006:BK1006),$AN$1006:$BO$1006,0))&gt;=100000), " ",IF(INDEX($AN$2:$BO$1001,MATCH(ROWS($AG$2:AG405),$AG$2:$AG$1001,0),MATCH(COLUMNS($AN$1006:BK1006),$AN$1006:$BO$1006,0)), HYPERLINK("#",""), HYPERLINK(CONCATENATE("#Metadata!", ADDRESS(INDEX($AI$2:$AI$1001,MATCH(ROWS($AG$2:AG405),$AG$2:$AG$1001,0),0), INDEX($AN$1004:$BO$1004,1,MATCH(COLUMNS($AN$1006:BK1006),$AN$1006:$BO$1006,0)))),"Fix")))</f>
        <v>0</v>
      </c>
      <c r="Z405" s="4">
        <f>IF(OR(INDEX($AH$2:$AH$1001,MATCH(ROWS($AG$2:AG405),$AG$2:$AG$1001,0),1)&gt;=100000,INDEX($AN$1005:$BO$1005,1,MATCH(COLUMNS($AN$1006:BL1006),$AN$1006:$BO$1006,0))&gt;=100000), " ",IF(INDEX($AN$2:$BO$1001,MATCH(ROWS($AG$2:AG405),$AG$2:$AG$1001,0),MATCH(COLUMNS($AN$1006:BL1006),$AN$1006:$BO$1006,0)), HYPERLINK("#",""), HYPERLINK(CONCATENATE("#Metadata!", ADDRESS(INDEX($AI$2:$AI$1001,MATCH(ROWS($AG$2:AG405),$AG$2:$AG$1001,0),0), INDEX($AN$1004:$BO$1004,1,MATCH(COLUMNS($AN$1006:BL1006),$AN$1006:$BO$1006,0)))),"Fix")))</f>
        <v>0</v>
      </c>
      <c r="AA405" s="4">
        <f>IF(OR(INDEX($AH$2:$AH$1001,MATCH(ROWS($AG$2:AG405),$AG$2:$AG$1001,0),1)&gt;=100000,INDEX($AN$1005:$BO$1005,1,MATCH(COLUMNS($AN$1006:BM1006),$AN$1006:$BO$1006,0))&gt;=100000), " ",IF(INDEX($AN$2:$BO$1001,MATCH(ROWS($AG$2:AG405),$AG$2:$AG$1001,0),MATCH(COLUMNS($AN$1006:BM1006),$AN$1006:$BO$1006,0)), HYPERLINK("#",""), HYPERLINK(CONCATENATE("#Metadata!", ADDRESS(INDEX($AI$2:$AI$1001,MATCH(ROWS($AG$2:AG405),$AG$2:$AG$1001,0),0), INDEX($AN$1004:$BO$1004,1,MATCH(COLUMNS($AN$1006:BM1006),$AN$1006:$BO$1006,0)))),"Fix")))</f>
        <v>0</v>
      </c>
      <c r="AB405" s="4">
        <f>IF(OR(INDEX($AH$2:$AH$1001,MATCH(ROWS($AG$2:AG405),$AG$2:$AG$1001,0),1)&gt;=100000,INDEX($AN$1005:$BO$1005,1,MATCH(COLUMNS($AN$1006:BN1006),$AN$1006:$BO$1006,0))&gt;=100000), " ",IF(INDEX($AN$2:$BO$1001,MATCH(ROWS($AG$2:AG405),$AG$2:$AG$1001,0),MATCH(COLUMNS($AN$1006:BN1006),$AN$1006:$BO$1006,0)), HYPERLINK("#",""), HYPERLINK(CONCATENATE("#Metadata!", ADDRESS(INDEX($AI$2:$AI$1001,MATCH(ROWS($AG$2:AG405),$AG$2:$AG$1001,0),0), INDEX($AN$1004:$BO$1004,1,MATCH(COLUMNS($AN$1006:BN1006),$AN$1006:$BO$1006,0)))),"Fix")))</f>
        <v>0</v>
      </c>
      <c r="AC405" s="4">
        <f>IF(OR(INDEX($AH$2:$AH$1001,MATCH(ROWS($AG$2:AG405),$AG$2:$AG$1001,0),1)&gt;=100000,INDEX($AN$1005:$BO$1005,1,MATCH(COLUMNS($AN$1006:BO1006),$AN$1006:$BO$1006,0))&gt;=100000), " ",IF(INDEX($AN$2:$BO$1001,MATCH(ROWS($AG$2:AG405),$AG$2:$AG$1001,0),MATCH(COLUMNS($AN$1006:BO1006),$AN$1006:$BO$1006,0)), HYPERLINK("#",""), HYPERLINK(CONCATENATE("#Metadata!", ADDRESS(INDEX($AI$2:$AI$1001,MATCH(ROWS($AG$2:AG405),$AG$2:$AG$1001,0),0), INDEX($AN$1004:$BO$1004,1,MATCH(COLUMNS($AN$1006:BO1006),$AN$1006:$BO$1006,0)))),"Fix")))</f>
        <v>0</v>
      </c>
      <c r="AG405">
        <v>0</v>
      </c>
      <c r="AH405">
        <v>0</v>
      </c>
      <c r="AI405">
        <v>0</v>
      </c>
      <c r="AJ405">
        <f>IF(AK405,TRUE,AND(AN405:BO405))</f>
        <v>0</v>
      </c>
      <c r="AK405">
        <f>COUNTBLANK(Metadata!B405:AC405)=COLUMNS(Metadata!B405:AC405)</f>
        <v>0</v>
      </c>
      <c r="AL405">
        <v>0</v>
      </c>
      <c r="AN405">
        <f>AND(IF(Metadata!B405="",FALSE,TRUE),COUNTIF(Metadata!B:B, Metadata!B405) = 1,NOT(ISERROR(SUMPRODUCT(SEARCH(MID(Metadata!B405,ROW(INDIRECT("1:"&amp;LEN(Metadata!B405))), 1),"0123456789abcdefghijklmnopqrstuvwxyzABCDEFGHIJKLMNOPQRSTUVWXYZ.")))))</f>
        <v>0</v>
      </c>
      <c r="AO405">
        <f>IF(Metadata!C405="",FALSE,TRUE)</f>
        <v>0</v>
      </c>
      <c r="AP405">
        <f>IF(Metadata!D405="",FALSE,TRUE)</f>
        <v>0</v>
      </c>
      <c r="AQ405">
        <f>OR(AND(IF(Metadata!E405="",FALSE,TRUE),OR(exact(Metadata!E405,"not collected"),exact(Metadata!E405,"not provided"),exact(Metadata!E405,"restricted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R405">
        <f>IF(Metadata!F405="",FALSE,TRUE)</f>
        <v>0</v>
      </c>
      <c r="AS405">
        <f>OR(AND(IF(Metadata!G405="",FALSE,TRUE),OR(exact(Metadata!G405,"not collected"),exact(Metadata!G405,"not provided"))),AND(IF(Metadata!G405="",FALSE,TRUE),OR(exact(Metadata!G405,"TRUE"),exact(Metadata!G405,"FALSE"))))</f>
        <v>0</v>
      </c>
      <c r="AT405">
        <f>OR(AND(IF(Metadata!H405="",FALSE,TRUE),OR(exact(Metadata!H405,"not collected"),exact(Metadata!H405,"not provided"),exact(Metadata!H405,"restricted access"))),AND(IF(Metadata!H405="",FALSE,ISNUMBER(VALUE(Metadata!H405))),Metadata!H405&gt;=-413.0))</f>
        <v>0</v>
      </c>
      <c r="AU405">
        <f>AND(IF(Metadata!I405="",FALSE,TRUE),exact(Metadata!I405,"meters"))</f>
        <v>0</v>
      </c>
      <c r="AV405">
        <f>AND(IF(Metadata!J405="",FALSE,TRUE),OR(exact(Metadata!J405,"Host-associated"),exact(Metadata!J405,"Free-living")))</f>
        <v>0</v>
      </c>
      <c r="AW405">
        <f>AND(IF(Metadata!K405="",FALSE,TRUE),OR(exact(Metadata!K405,"Animal"),exact(Metadata!K405,"Fungus"),exact(Metadata!K405,"Plant"),exact(Metadata!K405,"Saline"),exact(Metadata!K405,"Non-saline")))</f>
        <v>0</v>
      </c>
      <c r="AX405">
        <f>AND(IF(Metadata!L405="",FALSE,TRUE),OR(exact(Metadata!L405,"Plant secretion"),exact(Metadata!L405,"Plant rhizosphere"),exact(Metadata!L405,"Plant surface"),exact(Metadata!L405,"Plant corpus"),exact(Metadata!L405,"Fungus surface"),exact(Metadata!L405,"Fungus corpus"),exact(Metadata!L405,"Animal surface"),exact(Metadata!L405,"Animal proximal gut"),exact(Metadata!L405,"Animal corpus"),exact(Metadata!L405,"Animal distal gut"),exact(Metadata!L405,"Animal secretion"),exact(Metadata!L405,"Sub-surface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Y405">
        <f>IF(Metadata!M405="",FALSE,TRUE)</f>
        <v>0</v>
      </c>
      <c r="AZ405">
        <f>IF(Metadata!N405="",FALSE,TRUE)</f>
        <v>0</v>
      </c>
      <c r="BA405">
        <f>IF(Metadata!O405="",FALSE,TRUE)</f>
        <v>0</v>
      </c>
      <c r="BB405">
        <f>OR(AND(IF(Metadata!P405="",FALSE,TRUE),OR(exact(Metadata!P405,"not collected"),exact(Metadata!P405,"not provided"),exact(Metadata!P405,"restricted access"))),AND(IF(Metadata!P405="",FALSE,TRUE),OR(exact(Metadata!P405,"air"),exact(Metadata!P405,"built environment"),exact(Metadata!P405,"host-associated"),exact(Metadata!P405,"human-associated"),exact(Metadata!P405,"human-skin"),exact(Metadata!P405,"human-oral"),exact(Metadata!P405,"human-gut"),exact(Metadata!P405,"human-vaginal"),exact(Metadata!P405,"microbial mat/biofilm"),exact(Metadata!P405,"misc environment"),exact(Metadata!P405,"plant-associated"),exact(Metadata!P405,"sediment"),exact(Metadata!P405,"soil"),exact(Metadata!P405,"wastewater/sludge"),exact(Metadata!P405,"water"))))</f>
        <v>0</v>
      </c>
      <c r="BC405">
        <f>IF(Metadata!Q405="",FALSE,TRUE)</f>
        <v>0</v>
      </c>
      <c r="BD405">
        <f>IF(Metadata!R405="",FALSE,TRUE)</f>
        <v>0</v>
      </c>
      <c r="BE405">
        <f>OR(AND(IF(Metadata!S405="",FALSE,TRUE),OR(exact(Metadata!S405,"not collected"),exact(Metadata!S405,"not provided"),exact(Metadata!S405,"restricted access"))),AND(IF(Metadata!S405="",FALSE,ISNUMBER(VALUE(Metadata!S405))),Metadata!S405&gt;=-90.00,Metadata!S405&lt;=90.00))</f>
        <v>0</v>
      </c>
      <c r="BF405">
        <f>AND(IF(Metadata!T405="",FALSE,TRUE),exact(Metadata!T405,"Decimal degrees"))</f>
        <v>0</v>
      </c>
      <c r="BG405">
        <f>OR(AND(IF(Metadata!U405="",FALSE,TRUE),OR(exact(Metadata!U405,"not collected"),exact(Metadata!U405,"not provided"),exact(Metadata!U405,"restricted access"))),AND(IF(Metadata!U405="",FALSE,ISNUMBER(VALUE(Metadata!U405))),Metadata!U405&gt;=-180.00,Metadata!U405&lt;=180.00))</f>
        <v>0</v>
      </c>
      <c r="BH405">
        <f>AND(IF(Metadata!V405="",FALSE,TRUE),exact(Metadata!V405,"Decimal degrees"))</f>
        <v>0</v>
      </c>
      <c r="BI405">
        <f>IF(Metadata!W405="",FALSE,TRUE)</f>
        <v>0</v>
      </c>
      <c r="BJ405">
        <f>OR(AND(IF(Metadata!X405="",FALSE,TRUE),OR(exact(Metadata!X405,"not collected"),exact(Metadata!X405,"not provided"),exact(Metadata!X405,"restricted access"))),AND(IF(Metadata!X405="",FALSE,TRUE),OR(exact(Metadata!X405,"TRUE"),exact(Metadata!X405,"FALSE"))))</f>
        <v>0</v>
      </c>
      <c r="BK405">
        <f>AND(IF(Metadata!Y405="",FALSE,TRUE),exact(Metadata!Y405,"other"))</f>
        <v>0</v>
      </c>
      <c r="BL405">
        <f>IF(Metadata!Z405="",FALSE,TRUE)</f>
        <v>0</v>
      </c>
      <c r="BM405">
        <f>OR(AND(IF(Metadata!AA405="",FALSE,TRUE),OR(exact(Metadata!AA405,"not collected"),exact(Metadata!AA405,"not provided"))),AND(IF(Metadata!AA405="",FALSE,IF(ISERROR(INT(Metadata!AA405)),FALSE,INT(Metadata!AA405)=Metadata!AA405)),Metadata!AA405&gt;0))</f>
        <v>0</v>
      </c>
      <c r="BN405">
        <f>AND(IF(Metadata!AB405="",FALSE,TRUE),exact(Metadata!AB405,"Not applicable"))</f>
        <v>0</v>
      </c>
      <c r="BO405">
        <f>IF(Metadata!AC405="",FALSE,TRUE)</f>
        <v>0</v>
      </c>
    </row>
    <row r="406" spans="1:67">
      <c r="A406" s="5">
        <f>IF(B406=" "," ",HYPERLINK(CONCATENATE("#metadata!",ADDRESS(INDEX($AI$2:$AI$1001,MATCH(ROWS($AG$2:AG406),$AG$2:$AG$1001,0),0),1)),INDEX($AL$2:$AL$1001,MATCH(ROWS($AG$2:AG406),$AG$2:$AG$1001,0),0)))</f>
        <v>0</v>
      </c>
      <c r="B406" s="4">
        <f>IF(OR(INDEX($AH$2:$AH$1001,MATCH(ROWS($AG$2:AG406),$AG$2:$AG$1001,0),1)&gt;=100000,INDEX($AN$1005:$BO$1005,1,MATCH(COLUMNS($AN$1006:AN1006),$AN$1006:$BO$1006,0))&gt;=100000), " ",IF(INDEX($AN$2:$BO$1001,MATCH(ROWS($AG$2:AG406),$AG$2:$AG$1001,0),MATCH(COLUMNS($AN$1006:AN1006),$AN$1006:$BO$1006,0)), HYPERLINK("#",""), HYPERLINK(CONCATENATE("#Metadata!", ADDRESS(INDEX($AI$2:$AI$1001,MATCH(ROWS($AG$2:AG406),$AG$2:$AG$1001,0),0), INDEX($AN$1004:$BO$1004,1,MATCH(COLUMNS($AN$1006:AN1006),$AN$1006:$BO$1006,0)))),"Fix")))</f>
        <v>0</v>
      </c>
      <c r="C406" s="4">
        <f>IF(OR(INDEX($AH$2:$AH$1001,MATCH(ROWS($AG$2:AG406),$AG$2:$AG$1001,0),1)&gt;=100000,INDEX($AN$1005:$BO$1005,1,MATCH(COLUMNS($AN$1006:AO1006),$AN$1006:$BO$1006,0))&gt;=100000), " ",IF(INDEX($AN$2:$BO$1001,MATCH(ROWS($AG$2:AG406),$AG$2:$AG$1001,0),MATCH(COLUMNS($AN$1006:AO1006),$AN$1006:$BO$1006,0)), HYPERLINK("#",""), HYPERLINK(CONCATENATE("#Metadata!", ADDRESS(INDEX($AI$2:$AI$1001,MATCH(ROWS($AG$2:AG406),$AG$2:$AG$1001,0),0), INDEX($AN$1004:$BO$1004,1,MATCH(COLUMNS($AN$1006:AO1006),$AN$1006:$BO$1006,0)))),"Fix")))</f>
        <v>0</v>
      </c>
      <c r="D406" s="4">
        <f>IF(OR(INDEX($AH$2:$AH$1001,MATCH(ROWS($AG$2:AG406),$AG$2:$AG$1001,0),1)&gt;=100000,INDEX($AN$1005:$BO$1005,1,MATCH(COLUMNS($AN$1006:AP1006),$AN$1006:$BO$1006,0))&gt;=100000), " ",IF(INDEX($AN$2:$BO$1001,MATCH(ROWS($AG$2:AG406),$AG$2:$AG$1001,0),MATCH(COLUMNS($AN$1006:AP1006),$AN$1006:$BO$1006,0)), HYPERLINK("#",""), HYPERLINK(CONCATENATE("#Metadata!", ADDRESS(INDEX($AI$2:$AI$1001,MATCH(ROWS($AG$2:AG406),$AG$2:$AG$1001,0),0), INDEX($AN$1004:$BO$1004,1,MATCH(COLUMNS($AN$1006:AP1006),$AN$1006:$BO$1006,0)))),"Fix")))</f>
        <v>0</v>
      </c>
      <c r="E406" s="4">
        <f>IF(OR(INDEX($AH$2:$AH$1001,MATCH(ROWS($AG$2:AG406),$AG$2:$AG$1001,0),1)&gt;=100000,INDEX($AN$1005:$BO$1005,1,MATCH(COLUMNS($AN$1006:AQ1006),$AN$1006:$BO$1006,0))&gt;=100000), " ",IF(INDEX($AN$2:$BO$1001,MATCH(ROWS($AG$2:AG406),$AG$2:$AG$1001,0),MATCH(COLUMNS($AN$1006:AQ1006),$AN$1006:$BO$1006,0)), HYPERLINK("#",""), HYPERLINK(CONCATENATE("#Metadata!", ADDRESS(INDEX($AI$2:$AI$1001,MATCH(ROWS($AG$2:AG406),$AG$2:$AG$1001,0),0), INDEX($AN$1004:$BO$1004,1,MATCH(COLUMNS($AN$1006:AQ1006),$AN$1006:$BO$1006,0)))),"Fix")))</f>
        <v>0</v>
      </c>
      <c r="F406" s="4">
        <f>IF(OR(INDEX($AH$2:$AH$1001,MATCH(ROWS($AG$2:AG406),$AG$2:$AG$1001,0),1)&gt;=100000,INDEX($AN$1005:$BO$1005,1,MATCH(COLUMNS($AN$1006:AR1006),$AN$1006:$BO$1006,0))&gt;=100000), " ",IF(INDEX($AN$2:$BO$1001,MATCH(ROWS($AG$2:AG406),$AG$2:$AG$1001,0),MATCH(COLUMNS($AN$1006:AR1006),$AN$1006:$BO$1006,0)), HYPERLINK("#",""), HYPERLINK(CONCATENATE("#Metadata!", ADDRESS(INDEX($AI$2:$AI$1001,MATCH(ROWS($AG$2:AG406),$AG$2:$AG$1001,0),0), INDEX($AN$1004:$BO$1004,1,MATCH(COLUMNS($AN$1006:AR1006),$AN$1006:$BO$1006,0)))),"Fix")))</f>
        <v>0</v>
      </c>
      <c r="G406" s="4">
        <f>IF(OR(INDEX($AH$2:$AH$1001,MATCH(ROWS($AG$2:AG406),$AG$2:$AG$1001,0),1)&gt;=100000,INDEX($AN$1005:$BO$1005,1,MATCH(COLUMNS($AN$1006:AS1006),$AN$1006:$BO$1006,0))&gt;=100000), " ",IF(INDEX($AN$2:$BO$1001,MATCH(ROWS($AG$2:AG406),$AG$2:$AG$1001,0),MATCH(COLUMNS($AN$1006:AS1006),$AN$1006:$BO$1006,0)), HYPERLINK("#",""), HYPERLINK(CONCATENATE("#Metadata!", ADDRESS(INDEX($AI$2:$AI$1001,MATCH(ROWS($AG$2:AG406),$AG$2:$AG$1001,0),0), INDEX($AN$1004:$BO$1004,1,MATCH(COLUMNS($AN$1006:AS1006),$AN$1006:$BO$1006,0)))),"Fix")))</f>
        <v>0</v>
      </c>
      <c r="H406" s="4">
        <f>IF(OR(INDEX($AH$2:$AH$1001,MATCH(ROWS($AG$2:AG406),$AG$2:$AG$1001,0),1)&gt;=100000,INDEX($AN$1005:$BO$1005,1,MATCH(COLUMNS($AN$1006:AT1006),$AN$1006:$BO$1006,0))&gt;=100000), " ",IF(INDEX($AN$2:$BO$1001,MATCH(ROWS($AG$2:AG406),$AG$2:$AG$1001,0),MATCH(COLUMNS($AN$1006:AT1006),$AN$1006:$BO$1006,0)), HYPERLINK("#",""), HYPERLINK(CONCATENATE("#Metadata!", ADDRESS(INDEX($AI$2:$AI$1001,MATCH(ROWS($AG$2:AG406),$AG$2:$AG$1001,0),0), INDEX($AN$1004:$BO$1004,1,MATCH(COLUMNS($AN$1006:AT1006),$AN$1006:$BO$1006,0)))),"Fix")))</f>
        <v>0</v>
      </c>
      <c r="I406" s="4">
        <f>IF(OR(INDEX($AH$2:$AH$1001,MATCH(ROWS($AG$2:AG406),$AG$2:$AG$1001,0),1)&gt;=100000,INDEX($AN$1005:$BO$1005,1,MATCH(COLUMNS($AN$1006:AU1006),$AN$1006:$BO$1006,0))&gt;=100000), " ",IF(INDEX($AN$2:$BO$1001,MATCH(ROWS($AG$2:AG406),$AG$2:$AG$1001,0),MATCH(COLUMNS($AN$1006:AU1006),$AN$1006:$BO$1006,0)), HYPERLINK("#",""), HYPERLINK(CONCATENATE("#Metadata!", ADDRESS(INDEX($AI$2:$AI$1001,MATCH(ROWS($AG$2:AG406),$AG$2:$AG$1001,0),0), INDEX($AN$1004:$BO$1004,1,MATCH(COLUMNS($AN$1006:AU1006),$AN$1006:$BO$1006,0)))),"Fix")))</f>
        <v>0</v>
      </c>
      <c r="J406" s="4">
        <f>IF(OR(INDEX($AH$2:$AH$1001,MATCH(ROWS($AG$2:AG406),$AG$2:$AG$1001,0),1)&gt;=100000,INDEX($AN$1005:$BO$1005,1,MATCH(COLUMNS($AN$1006:AV1006),$AN$1006:$BO$1006,0))&gt;=100000), " ",IF(INDEX($AN$2:$BO$1001,MATCH(ROWS($AG$2:AG406),$AG$2:$AG$1001,0),MATCH(COLUMNS($AN$1006:AV1006),$AN$1006:$BO$1006,0)), HYPERLINK("#",""), HYPERLINK(CONCATENATE("#Metadata!", ADDRESS(INDEX($AI$2:$AI$1001,MATCH(ROWS($AG$2:AG406),$AG$2:$AG$1001,0),0), INDEX($AN$1004:$BO$1004,1,MATCH(COLUMNS($AN$1006:AV1006),$AN$1006:$BO$1006,0)))),"Fix")))</f>
        <v>0</v>
      </c>
      <c r="K406" s="4">
        <f>IF(OR(INDEX($AH$2:$AH$1001,MATCH(ROWS($AG$2:AG406),$AG$2:$AG$1001,0),1)&gt;=100000,INDEX($AN$1005:$BO$1005,1,MATCH(COLUMNS($AN$1006:AW1006),$AN$1006:$BO$1006,0))&gt;=100000), " ",IF(INDEX($AN$2:$BO$1001,MATCH(ROWS($AG$2:AG406),$AG$2:$AG$1001,0),MATCH(COLUMNS($AN$1006:AW1006),$AN$1006:$BO$1006,0)), HYPERLINK("#",""), HYPERLINK(CONCATENATE("#Metadata!", ADDRESS(INDEX($AI$2:$AI$1001,MATCH(ROWS($AG$2:AG406),$AG$2:$AG$1001,0),0), INDEX($AN$1004:$BO$1004,1,MATCH(COLUMNS($AN$1006:AW1006),$AN$1006:$BO$1006,0)))),"Fix")))</f>
        <v>0</v>
      </c>
      <c r="L406" s="4">
        <f>IF(OR(INDEX($AH$2:$AH$1001,MATCH(ROWS($AG$2:AG406),$AG$2:$AG$1001,0),1)&gt;=100000,INDEX($AN$1005:$BO$1005,1,MATCH(COLUMNS($AN$1006:AX1006),$AN$1006:$BO$1006,0))&gt;=100000), " ",IF(INDEX($AN$2:$BO$1001,MATCH(ROWS($AG$2:AG406),$AG$2:$AG$1001,0),MATCH(COLUMNS($AN$1006:AX1006),$AN$1006:$BO$1006,0)), HYPERLINK("#",""), HYPERLINK(CONCATENATE("#Metadata!", ADDRESS(INDEX($AI$2:$AI$1001,MATCH(ROWS($AG$2:AG406),$AG$2:$AG$1001,0),0), INDEX($AN$1004:$BO$1004,1,MATCH(COLUMNS($AN$1006:AX1006),$AN$1006:$BO$1006,0)))),"Fix")))</f>
        <v>0</v>
      </c>
      <c r="M406" s="4">
        <f>IF(OR(INDEX($AH$2:$AH$1001,MATCH(ROWS($AG$2:AG406),$AG$2:$AG$1001,0),1)&gt;=100000,INDEX($AN$1005:$BO$1005,1,MATCH(COLUMNS($AN$1006:AY1006),$AN$1006:$BO$1006,0))&gt;=100000), " ",IF(INDEX($AN$2:$BO$1001,MATCH(ROWS($AG$2:AG406),$AG$2:$AG$1001,0),MATCH(COLUMNS($AN$1006:AY1006),$AN$1006:$BO$1006,0)), HYPERLINK("#",""), HYPERLINK(CONCATENATE("#Metadata!", ADDRESS(INDEX($AI$2:$AI$1001,MATCH(ROWS($AG$2:AG406),$AG$2:$AG$1001,0),0), INDEX($AN$1004:$BO$1004,1,MATCH(COLUMNS($AN$1006:AY1006),$AN$1006:$BO$1006,0)))),"Fix")))</f>
        <v>0</v>
      </c>
      <c r="N406" s="4">
        <f>IF(OR(INDEX($AH$2:$AH$1001,MATCH(ROWS($AG$2:AG406),$AG$2:$AG$1001,0),1)&gt;=100000,INDEX($AN$1005:$BO$1005,1,MATCH(COLUMNS($AN$1006:AZ1006),$AN$1006:$BO$1006,0))&gt;=100000), " ",IF(INDEX($AN$2:$BO$1001,MATCH(ROWS($AG$2:AG406),$AG$2:$AG$1001,0),MATCH(COLUMNS($AN$1006:AZ1006),$AN$1006:$BO$1006,0)), HYPERLINK("#",""), HYPERLINK(CONCATENATE("#Metadata!", ADDRESS(INDEX($AI$2:$AI$1001,MATCH(ROWS($AG$2:AG406),$AG$2:$AG$1001,0),0), INDEX($AN$1004:$BO$1004,1,MATCH(COLUMNS($AN$1006:AZ1006),$AN$1006:$BO$1006,0)))),"Fix")))</f>
        <v>0</v>
      </c>
      <c r="O406" s="4">
        <f>IF(OR(INDEX($AH$2:$AH$1001,MATCH(ROWS($AG$2:AG406),$AG$2:$AG$1001,0),1)&gt;=100000,INDEX($AN$1005:$BO$1005,1,MATCH(COLUMNS($AN$1006:BA1006),$AN$1006:$BO$1006,0))&gt;=100000), " ",IF(INDEX($AN$2:$BO$1001,MATCH(ROWS($AG$2:AG406),$AG$2:$AG$1001,0),MATCH(COLUMNS($AN$1006:BA1006),$AN$1006:$BO$1006,0)), HYPERLINK("#",""), HYPERLINK(CONCATENATE("#Metadata!", ADDRESS(INDEX($AI$2:$AI$1001,MATCH(ROWS($AG$2:AG406),$AG$2:$AG$1001,0),0), INDEX($AN$1004:$BO$1004,1,MATCH(COLUMNS($AN$1006:BA1006),$AN$1006:$BO$1006,0)))),"Fix")))</f>
        <v>0</v>
      </c>
      <c r="P406" s="4">
        <f>IF(OR(INDEX($AH$2:$AH$1001,MATCH(ROWS($AG$2:AG406),$AG$2:$AG$1001,0),1)&gt;=100000,INDEX($AN$1005:$BO$1005,1,MATCH(COLUMNS($AN$1006:BB1006),$AN$1006:$BO$1006,0))&gt;=100000), " ",IF(INDEX($AN$2:$BO$1001,MATCH(ROWS($AG$2:AG406),$AG$2:$AG$1001,0),MATCH(COLUMNS($AN$1006:BB1006),$AN$1006:$BO$1006,0)), HYPERLINK("#",""), HYPERLINK(CONCATENATE("#Metadata!", ADDRESS(INDEX($AI$2:$AI$1001,MATCH(ROWS($AG$2:AG406),$AG$2:$AG$1001,0),0), INDEX($AN$1004:$BO$1004,1,MATCH(COLUMNS($AN$1006:BB1006),$AN$1006:$BO$1006,0)))),"Fix")))</f>
        <v>0</v>
      </c>
      <c r="Q406" s="4">
        <f>IF(OR(INDEX($AH$2:$AH$1001,MATCH(ROWS($AG$2:AG406),$AG$2:$AG$1001,0),1)&gt;=100000,INDEX($AN$1005:$BO$1005,1,MATCH(COLUMNS($AN$1006:BC1006),$AN$1006:$BO$1006,0))&gt;=100000), " ",IF(INDEX($AN$2:$BO$1001,MATCH(ROWS($AG$2:AG406),$AG$2:$AG$1001,0),MATCH(COLUMNS($AN$1006:BC1006),$AN$1006:$BO$1006,0)), HYPERLINK("#",""), HYPERLINK(CONCATENATE("#Metadata!", ADDRESS(INDEX($AI$2:$AI$1001,MATCH(ROWS($AG$2:AG406),$AG$2:$AG$1001,0),0), INDEX($AN$1004:$BO$1004,1,MATCH(COLUMNS($AN$1006:BC1006),$AN$1006:$BO$1006,0)))),"Fix")))</f>
        <v>0</v>
      </c>
      <c r="R406" s="4">
        <f>IF(OR(INDEX($AH$2:$AH$1001,MATCH(ROWS($AG$2:AG406),$AG$2:$AG$1001,0),1)&gt;=100000,INDEX($AN$1005:$BO$1005,1,MATCH(COLUMNS($AN$1006:BD1006),$AN$1006:$BO$1006,0))&gt;=100000), " ",IF(INDEX($AN$2:$BO$1001,MATCH(ROWS($AG$2:AG406),$AG$2:$AG$1001,0),MATCH(COLUMNS($AN$1006:BD1006),$AN$1006:$BO$1006,0)), HYPERLINK("#",""), HYPERLINK(CONCATENATE("#Metadata!", ADDRESS(INDEX($AI$2:$AI$1001,MATCH(ROWS($AG$2:AG406),$AG$2:$AG$1001,0),0), INDEX($AN$1004:$BO$1004,1,MATCH(COLUMNS($AN$1006:BD1006),$AN$1006:$BO$1006,0)))),"Fix")))</f>
        <v>0</v>
      </c>
      <c r="S406" s="4">
        <f>IF(OR(INDEX($AH$2:$AH$1001,MATCH(ROWS($AG$2:AG406),$AG$2:$AG$1001,0),1)&gt;=100000,INDEX($AN$1005:$BO$1005,1,MATCH(COLUMNS($AN$1006:BE1006),$AN$1006:$BO$1006,0))&gt;=100000), " ",IF(INDEX($AN$2:$BO$1001,MATCH(ROWS($AG$2:AG406),$AG$2:$AG$1001,0),MATCH(COLUMNS($AN$1006:BE1006),$AN$1006:$BO$1006,0)), HYPERLINK("#",""), HYPERLINK(CONCATENATE("#Metadata!", ADDRESS(INDEX($AI$2:$AI$1001,MATCH(ROWS($AG$2:AG406),$AG$2:$AG$1001,0),0), INDEX($AN$1004:$BO$1004,1,MATCH(COLUMNS($AN$1006:BE1006),$AN$1006:$BO$1006,0)))),"Fix")))</f>
        <v>0</v>
      </c>
      <c r="T406" s="4">
        <f>IF(OR(INDEX($AH$2:$AH$1001,MATCH(ROWS($AG$2:AG406),$AG$2:$AG$1001,0),1)&gt;=100000,INDEX($AN$1005:$BO$1005,1,MATCH(COLUMNS($AN$1006:BF1006),$AN$1006:$BO$1006,0))&gt;=100000), " ",IF(INDEX($AN$2:$BO$1001,MATCH(ROWS($AG$2:AG406),$AG$2:$AG$1001,0),MATCH(COLUMNS($AN$1006:BF1006),$AN$1006:$BO$1006,0)), HYPERLINK("#",""), HYPERLINK(CONCATENATE("#Metadata!", ADDRESS(INDEX($AI$2:$AI$1001,MATCH(ROWS($AG$2:AG406),$AG$2:$AG$1001,0),0), INDEX($AN$1004:$BO$1004,1,MATCH(COLUMNS($AN$1006:BF1006),$AN$1006:$BO$1006,0)))),"Fix")))</f>
        <v>0</v>
      </c>
      <c r="U406" s="4">
        <f>IF(OR(INDEX($AH$2:$AH$1001,MATCH(ROWS($AG$2:AG406),$AG$2:$AG$1001,0),1)&gt;=100000,INDEX($AN$1005:$BO$1005,1,MATCH(COLUMNS($AN$1006:BG1006),$AN$1006:$BO$1006,0))&gt;=100000), " ",IF(INDEX($AN$2:$BO$1001,MATCH(ROWS($AG$2:AG406),$AG$2:$AG$1001,0),MATCH(COLUMNS($AN$1006:BG1006),$AN$1006:$BO$1006,0)), HYPERLINK("#",""), HYPERLINK(CONCATENATE("#Metadata!", ADDRESS(INDEX($AI$2:$AI$1001,MATCH(ROWS($AG$2:AG406),$AG$2:$AG$1001,0),0), INDEX($AN$1004:$BO$1004,1,MATCH(COLUMNS($AN$1006:BG1006),$AN$1006:$BO$1006,0)))),"Fix")))</f>
        <v>0</v>
      </c>
      <c r="V406" s="4">
        <f>IF(OR(INDEX($AH$2:$AH$1001,MATCH(ROWS($AG$2:AG406),$AG$2:$AG$1001,0),1)&gt;=100000,INDEX($AN$1005:$BO$1005,1,MATCH(COLUMNS($AN$1006:BH1006),$AN$1006:$BO$1006,0))&gt;=100000), " ",IF(INDEX($AN$2:$BO$1001,MATCH(ROWS($AG$2:AG406),$AG$2:$AG$1001,0),MATCH(COLUMNS($AN$1006:BH1006),$AN$1006:$BO$1006,0)), HYPERLINK("#",""), HYPERLINK(CONCATENATE("#Metadata!", ADDRESS(INDEX($AI$2:$AI$1001,MATCH(ROWS($AG$2:AG406),$AG$2:$AG$1001,0),0), INDEX($AN$1004:$BO$1004,1,MATCH(COLUMNS($AN$1006:BH1006),$AN$1006:$BO$1006,0)))),"Fix")))</f>
        <v>0</v>
      </c>
      <c r="W406" s="4">
        <f>IF(OR(INDEX($AH$2:$AH$1001,MATCH(ROWS($AG$2:AG406),$AG$2:$AG$1001,0),1)&gt;=100000,INDEX($AN$1005:$BO$1005,1,MATCH(COLUMNS($AN$1006:BI1006),$AN$1006:$BO$1006,0))&gt;=100000), " ",IF(INDEX($AN$2:$BO$1001,MATCH(ROWS($AG$2:AG406),$AG$2:$AG$1001,0),MATCH(COLUMNS($AN$1006:BI1006),$AN$1006:$BO$1006,0)), HYPERLINK("#",""), HYPERLINK(CONCATENATE("#Metadata!", ADDRESS(INDEX($AI$2:$AI$1001,MATCH(ROWS($AG$2:AG406),$AG$2:$AG$1001,0),0), INDEX($AN$1004:$BO$1004,1,MATCH(COLUMNS($AN$1006:BI1006),$AN$1006:$BO$1006,0)))),"Fix")))</f>
        <v>0</v>
      </c>
      <c r="X406" s="4">
        <f>IF(OR(INDEX($AH$2:$AH$1001,MATCH(ROWS($AG$2:AG406),$AG$2:$AG$1001,0),1)&gt;=100000,INDEX($AN$1005:$BO$1005,1,MATCH(COLUMNS($AN$1006:BJ1006),$AN$1006:$BO$1006,0))&gt;=100000), " ",IF(INDEX($AN$2:$BO$1001,MATCH(ROWS($AG$2:AG406),$AG$2:$AG$1001,0),MATCH(COLUMNS($AN$1006:BJ1006),$AN$1006:$BO$1006,0)), HYPERLINK("#",""), HYPERLINK(CONCATENATE("#Metadata!", ADDRESS(INDEX($AI$2:$AI$1001,MATCH(ROWS($AG$2:AG406),$AG$2:$AG$1001,0),0), INDEX($AN$1004:$BO$1004,1,MATCH(COLUMNS($AN$1006:BJ1006),$AN$1006:$BO$1006,0)))),"Fix")))</f>
        <v>0</v>
      </c>
      <c r="Y406" s="4">
        <f>IF(OR(INDEX($AH$2:$AH$1001,MATCH(ROWS($AG$2:AG406),$AG$2:$AG$1001,0),1)&gt;=100000,INDEX($AN$1005:$BO$1005,1,MATCH(COLUMNS($AN$1006:BK1006),$AN$1006:$BO$1006,0))&gt;=100000), " ",IF(INDEX($AN$2:$BO$1001,MATCH(ROWS($AG$2:AG406),$AG$2:$AG$1001,0),MATCH(COLUMNS($AN$1006:BK1006),$AN$1006:$BO$1006,0)), HYPERLINK("#",""), HYPERLINK(CONCATENATE("#Metadata!", ADDRESS(INDEX($AI$2:$AI$1001,MATCH(ROWS($AG$2:AG406),$AG$2:$AG$1001,0),0), INDEX($AN$1004:$BO$1004,1,MATCH(COLUMNS($AN$1006:BK1006),$AN$1006:$BO$1006,0)))),"Fix")))</f>
        <v>0</v>
      </c>
      <c r="Z406" s="4">
        <f>IF(OR(INDEX($AH$2:$AH$1001,MATCH(ROWS($AG$2:AG406),$AG$2:$AG$1001,0),1)&gt;=100000,INDEX($AN$1005:$BO$1005,1,MATCH(COLUMNS($AN$1006:BL1006),$AN$1006:$BO$1006,0))&gt;=100000), " ",IF(INDEX($AN$2:$BO$1001,MATCH(ROWS($AG$2:AG406),$AG$2:$AG$1001,0),MATCH(COLUMNS($AN$1006:BL1006),$AN$1006:$BO$1006,0)), HYPERLINK("#",""), HYPERLINK(CONCATENATE("#Metadata!", ADDRESS(INDEX($AI$2:$AI$1001,MATCH(ROWS($AG$2:AG406),$AG$2:$AG$1001,0),0), INDEX($AN$1004:$BO$1004,1,MATCH(COLUMNS($AN$1006:BL1006),$AN$1006:$BO$1006,0)))),"Fix")))</f>
        <v>0</v>
      </c>
      <c r="AA406" s="4">
        <f>IF(OR(INDEX($AH$2:$AH$1001,MATCH(ROWS($AG$2:AG406),$AG$2:$AG$1001,0),1)&gt;=100000,INDEX($AN$1005:$BO$1005,1,MATCH(COLUMNS($AN$1006:BM1006),$AN$1006:$BO$1006,0))&gt;=100000), " ",IF(INDEX($AN$2:$BO$1001,MATCH(ROWS($AG$2:AG406),$AG$2:$AG$1001,0),MATCH(COLUMNS($AN$1006:BM1006),$AN$1006:$BO$1006,0)), HYPERLINK("#",""), HYPERLINK(CONCATENATE("#Metadata!", ADDRESS(INDEX($AI$2:$AI$1001,MATCH(ROWS($AG$2:AG406),$AG$2:$AG$1001,0),0), INDEX($AN$1004:$BO$1004,1,MATCH(COLUMNS($AN$1006:BM1006),$AN$1006:$BO$1006,0)))),"Fix")))</f>
        <v>0</v>
      </c>
      <c r="AB406" s="4">
        <f>IF(OR(INDEX($AH$2:$AH$1001,MATCH(ROWS($AG$2:AG406),$AG$2:$AG$1001,0),1)&gt;=100000,INDEX($AN$1005:$BO$1005,1,MATCH(COLUMNS($AN$1006:BN1006),$AN$1006:$BO$1006,0))&gt;=100000), " ",IF(INDEX($AN$2:$BO$1001,MATCH(ROWS($AG$2:AG406),$AG$2:$AG$1001,0),MATCH(COLUMNS($AN$1006:BN1006),$AN$1006:$BO$1006,0)), HYPERLINK("#",""), HYPERLINK(CONCATENATE("#Metadata!", ADDRESS(INDEX($AI$2:$AI$1001,MATCH(ROWS($AG$2:AG406),$AG$2:$AG$1001,0),0), INDEX($AN$1004:$BO$1004,1,MATCH(COLUMNS($AN$1006:BN1006),$AN$1006:$BO$1006,0)))),"Fix")))</f>
        <v>0</v>
      </c>
      <c r="AC406" s="4">
        <f>IF(OR(INDEX($AH$2:$AH$1001,MATCH(ROWS($AG$2:AG406),$AG$2:$AG$1001,0),1)&gt;=100000,INDEX($AN$1005:$BO$1005,1,MATCH(COLUMNS($AN$1006:BO1006),$AN$1006:$BO$1006,0))&gt;=100000), " ",IF(INDEX($AN$2:$BO$1001,MATCH(ROWS($AG$2:AG406),$AG$2:$AG$1001,0),MATCH(COLUMNS($AN$1006:BO1006),$AN$1006:$BO$1006,0)), HYPERLINK("#",""), HYPERLINK(CONCATENATE("#Metadata!", ADDRESS(INDEX($AI$2:$AI$1001,MATCH(ROWS($AG$2:AG406),$AG$2:$AG$1001,0),0), INDEX($AN$1004:$BO$1004,1,MATCH(COLUMNS($AN$1006:BO1006),$AN$1006:$BO$1006,0)))),"Fix")))</f>
        <v>0</v>
      </c>
      <c r="AG406">
        <v>0</v>
      </c>
      <c r="AH406">
        <v>0</v>
      </c>
      <c r="AI406">
        <v>0</v>
      </c>
      <c r="AJ406">
        <f>IF(AK406,TRUE,AND(AN406:BO406))</f>
        <v>0</v>
      </c>
      <c r="AK406">
        <f>COUNTBLANK(Metadata!B406:AC406)=COLUMNS(Metadata!B406:AC406)</f>
        <v>0</v>
      </c>
      <c r="AL406">
        <v>0</v>
      </c>
      <c r="AN406">
        <f>AND(IF(Metadata!B406="",FALSE,TRUE),COUNTIF(Metadata!B:B, Metadata!B406) = 1,NOT(ISERROR(SUMPRODUCT(SEARCH(MID(Metadata!B406,ROW(INDIRECT("1:"&amp;LEN(Metadata!B406))), 1),"0123456789abcdefghijklmnopqrstuvwxyzABCDEFGHIJKLMNOPQRSTUVWXYZ.")))))</f>
        <v>0</v>
      </c>
      <c r="AO406">
        <f>IF(Metadata!C406="",FALSE,TRUE)</f>
        <v>0</v>
      </c>
      <c r="AP406">
        <f>IF(Metadata!D406="",FALSE,TRUE)</f>
        <v>0</v>
      </c>
      <c r="AQ406">
        <f>OR(AND(IF(Metadata!E406="",FALSE,TRUE),OR(exact(Metadata!E406,"not collected"),exact(Metadata!E406,"not provided"),exact(Metadata!E406,"restricted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R406">
        <f>IF(Metadata!F406="",FALSE,TRUE)</f>
        <v>0</v>
      </c>
      <c r="AS406">
        <f>OR(AND(IF(Metadata!G406="",FALSE,TRUE),OR(exact(Metadata!G406,"not collected"),exact(Metadata!G406,"not provided"))),AND(IF(Metadata!G406="",FALSE,TRUE),OR(exact(Metadata!G406,"TRUE"),exact(Metadata!G406,"FALSE"))))</f>
        <v>0</v>
      </c>
      <c r="AT406">
        <f>OR(AND(IF(Metadata!H406="",FALSE,TRUE),OR(exact(Metadata!H406,"not collected"),exact(Metadata!H406,"not provided"),exact(Metadata!H406,"restricted access"))),AND(IF(Metadata!H406="",FALSE,ISNUMBER(VALUE(Metadata!H406))),Metadata!H406&gt;=-413.0))</f>
        <v>0</v>
      </c>
      <c r="AU406">
        <f>AND(IF(Metadata!I406="",FALSE,TRUE),exact(Metadata!I406,"meters"))</f>
        <v>0</v>
      </c>
      <c r="AV406">
        <f>AND(IF(Metadata!J406="",FALSE,TRUE),OR(exact(Metadata!J406,"Host-associated"),exact(Metadata!J406,"Free-living")))</f>
        <v>0</v>
      </c>
      <c r="AW406">
        <f>AND(IF(Metadata!K406="",FALSE,TRUE),OR(exact(Metadata!K406,"Animal"),exact(Metadata!K406,"Fungus"),exact(Metadata!K406,"Plant"),exact(Metadata!K406,"Saline"),exact(Metadata!K406,"Non-saline")))</f>
        <v>0</v>
      </c>
      <c r="AX406">
        <f>AND(IF(Metadata!L406="",FALSE,TRUE),OR(exact(Metadata!L406,"Plant secretion"),exact(Metadata!L406,"Plant rhizosphere"),exact(Metadata!L406,"Plant surface"),exact(Metadata!L406,"Plant corpus"),exact(Metadata!L406,"Fungus surface"),exact(Metadata!L406,"Fungus corpus"),exact(Metadata!L406,"Animal surface"),exact(Metadata!L406,"Animal proximal gut"),exact(Metadata!L406,"Animal corpus"),exact(Metadata!L406,"Animal distal gut"),exact(Metadata!L406,"Animal secretion"),exact(Metadata!L406,"Sub-surface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Y406">
        <f>IF(Metadata!M406="",FALSE,TRUE)</f>
        <v>0</v>
      </c>
      <c r="AZ406">
        <f>IF(Metadata!N406="",FALSE,TRUE)</f>
        <v>0</v>
      </c>
      <c r="BA406">
        <f>IF(Metadata!O406="",FALSE,TRUE)</f>
        <v>0</v>
      </c>
      <c r="BB406">
        <f>OR(AND(IF(Metadata!P406="",FALSE,TRUE),OR(exact(Metadata!P406,"not collected"),exact(Metadata!P406,"not provided"),exact(Metadata!P406,"restricted access"))),AND(IF(Metadata!P406="",FALSE,TRUE),OR(exact(Metadata!P406,"air"),exact(Metadata!P406,"built environment"),exact(Metadata!P406,"host-associated"),exact(Metadata!P406,"human-associated"),exact(Metadata!P406,"human-skin"),exact(Metadata!P406,"human-oral"),exact(Metadata!P406,"human-gut"),exact(Metadata!P406,"human-vaginal"),exact(Metadata!P406,"microbial mat/biofilm"),exact(Metadata!P406,"misc environment"),exact(Metadata!P406,"plant-associated"),exact(Metadata!P406,"sediment"),exact(Metadata!P406,"soil"),exact(Metadata!P406,"wastewater/sludge"),exact(Metadata!P406,"water"))))</f>
        <v>0</v>
      </c>
      <c r="BC406">
        <f>IF(Metadata!Q406="",FALSE,TRUE)</f>
        <v>0</v>
      </c>
      <c r="BD406">
        <f>IF(Metadata!R406="",FALSE,TRUE)</f>
        <v>0</v>
      </c>
      <c r="BE406">
        <f>OR(AND(IF(Metadata!S406="",FALSE,TRUE),OR(exact(Metadata!S406,"not collected"),exact(Metadata!S406,"not provided"),exact(Metadata!S406,"restricted access"))),AND(IF(Metadata!S406="",FALSE,ISNUMBER(VALUE(Metadata!S406))),Metadata!S406&gt;=-90.00,Metadata!S406&lt;=90.00))</f>
        <v>0</v>
      </c>
      <c r="BF406">
        <f>AND(IF(Metadata!T406="",FALSE,TRUE),exact(Metadata!T406,"Decimal degrees"))</f>
        <v>0</v>
      </c>
      <c r="BG406">
        <f>OR(AND(IF(Metadata!U406="",FALSE,TRUE),OR(exact(Metadata!U406,"not collected"),exact(Metadata!U406,"not provided"),exact(Metadata!U406,"restricted access"))),AND(IF(Metadata!U406="",FALSE,ISNUMBER(VALUE(Metadata!U406))),Metadata!U406&gt;=-180.00,Metadata!U406&lt;=180.00))</f>
        <v>0</v>
      </c>
      <c r="BH406">
        <f>AND(IF(Metadata!V406="",FALSE,TRUE),exact(Metadata!V406,"Decimal degrees"))</f>
        <v>0</v>
      </c>
      <c r="BI406">
        <f>IF(Metadata!W406="",FALSE,TRUE)</f>
        <v>0</v>
      </c>
      <c r="BJ406">
        <f>OR(AND(IF(Metadata!X406="",FALSE,TRUE),OR(exact(Metadata!X406,"not collected"),exact(Metadata!X406,"not provided"),exact(Metadata!X406,"restricted access"))),AND(IF(Metadata!X406="",FALSE,TRUE),OR(exact(Metadata!X406,"TRUE"),exact(Metadata!X406,"FALSE"))))</f>
        <v>0</v>
      </c>
      <c r="BK406">
        <f>AND(IF(Metadata!Y406="",FALSE,TRUE),exact(Metadata!Y406,"other"))</f>
        <v>0</v>
      </c>
      <c r="BL406">
        <f>IF(Metadata!Z406="",FALSE,TRUE)</f>
        <v>0</v>
      </c>
      <c r="BM406">
        <f>OR(AND(IF(Metadata!AA406="",FALSE,TRUE),OR(exact(Metadata!AA406,"not collected"),exact(Metadata!AA406,"not provided"))),AND(IF(Metadata!AA406="",FALSE,IF(ISERROR(INT(Metadata!AA406)),FALSE,INT(Metadata!AA406)=Metadata!AA406)),Metadata!AA406&gt;0))</f>
        <v>0</v>
      </c>
      <c r="BN406">
        <f>AND(IF(Metadata!AB406="",FALSE,TRUE),exact(Metadata!AB406,"Not applicable"))</f>
        <v>0</v>
      </c>
      <c r="BO406">
        <f>IF(Metadata!AC406="",FALSE,TRUE)</f>
        <v>0</v>
      </c>
    </row>
    <row r="407" spans="1:67">
      <c r="A407" s="5">
        <f>IF(B407=" "," ",HYPERLINK(CONCATENATE("#metadata!",ADDRESS(INDEX($AI$2:$AI$1001,MATCH(ROWS($AG$2:AG407),$AG$2:$AG$1001,0),0),1)),INDEX($AL$2:$AL$1001,MATCH(ROWS($AG$2:AG407),$AG$2:$AG$1001,0),0)))</f>
        <v>0</v>
      </c>
      <c r="B407" s="4">
        <f>IF(OR(INDEX($AH$2:$AH$1001,MATCH(ROWS($AG$2:AG407),$AG$2:$AG$1001,0),1)&gt;=100000,INDEX($AN$1005:$BO$1005,1,MATCH(COLUMNS($AN$1006:AN1006),$AN$1006:$BO$1006,0))&gt;=100000), " ",IF(INDEX($AN$2:$BO$1001,MATCH(ROWS($AG$2:AG407),$AG$2:$AG$1001,0),MATCH(COLUMNS($AN$1006:AN1006),$AN$1006:$BO$1006,0)), HYPERLINK("#",""), HYPERLINK(CONCATENATE("#Metadata!", ADDRESS(INDEX($AI$2:$AI$1001,MATCH(ROWS($AG$2:AG407),$AG$2:$AG$1001,0),0), INDEX($AN$1004:$BO$1004,1,MATCH(COLUMNS($AN$1006:AN1006),$AN$1006:$BO$1006,0)))),"Fix")))</f>
        <v>0</v>
      </c>
      <c r="C407" s="4">
        <f>IF(OR(INDEX($AH$2:$AH$1001,MATCH(ROWS($AG$2:AG407),$AG$2:$AG$1001,0),1)&gt;=100000,INDEX($AN$1005:$BO$1005,1,MATCH(COLUMNS($AN$1006:AO1006),$AN$1006:$BO$1006,0))&gt;=100000), " ",IF(INDEX($AN$2:$BO$1001,MATCH(ROWS($AG$2:AG407),$AG$2:$AG$1001,0),MATCH(COLUMNS($AN$1006:AO1006),$AN$1006:$BO$1006,0)), HYPERLINK("#",""), HYPERLINK(CONCATENATE("#Metadata!", ADDRESS(INDEX($AI$2:$AI$1001,MATCH(ROWS($AG$2:AG407),$AG$2:$AG$1001,0),0), INDEX($AN$1004:$BO$1004,1,MATCH(COLUMNS($AN$1006:AO1006),$AN$1006:$BO$1006,0)))),"Fix")))</f>
        <v>0</v>
      </c>
      <c r="D407" s="4">
        <f>IF(OR(INDEX($AH$2:$AH$1001,MATCH(ROWS($AG$2:AG407),$AG$2:$AG$1001,0),1)&gt;=100000,INDEX($AN$1005:$BO$1005,1,MATCH(COLUMNS($AN$1006:AP1006),$AN$1006:$BO$1006,0))&gt;=100000), " ",IF(INDEX($AN$2:$BO$1001,MATCH(ROWS($AG$2:AG407),$AG$2:$AG$1001,0),MATCH(COLUMNS($AN$1006:AP1006),$AN$1006:$BO$1006,0)), HYPERLINK("#",""), HYPERLINK(CONCATENATE("#Metadata!", ADDRESS(INDEX($AI$2:$AI$1001,MATCH(ROWS($AG$2:AG407),$AG$2:$AG$1001,0),0), INDEX($AN$1004:$BO$1004,1,MATCH(COLUMNS($AN$1006:AP1006),$AN$1006:$BO$1006,0)))),"Fix")))</f>
        <v>0</v>
      </c>
      <c r="E407" s="4">
        <f>IF(OR(INDEX($AH$2:$AH$1001,MATCH(ROWS($AG$2:AG407),$AG$2:$AG$1001,0),1)&gt;=100000,INDEX($AN$1005:$BO$1005,1,MATCH(COLUMNS($AN$1006:AQ1006),$AN$1006:$BO$1006,0))&gt;=100000), " ",IF(INDEX($AN$2:$BO$1001,MATCH(ROWS($AG$2:AG407),$AG$2:$AG$1001,0),MATCH(COLUMNS($AN$1006:AQ1006),$AN$1006:$BO$1006,0)), HYPERLINK("#",""), HYPERLINK(CONCATENATE("#Metadata!", ADDRESS(INDEX($AI$2:$AI$1001,MATCH(ROWS($AG$2:AG407),$AG$2:$AG$1001,0),0), INDEX($AN$1004:$BO$1004,1,MATCH(COLUMNS($AN$1006:AQ1006),$AN$1006:$BO$1006,0)))),"Fix")))</f>
        <v>0</v>
      </c>
      <c r="F407" s="4">
        <f>IF(OR(INDEX($AH$2:$AH$1001,MATCH(ROWS($AG$2:AG407),$AG$2:$AG$1001,0),1)&gt;=100000,INDEX($AN$1005:$BO$1005,1,MATCH(COLUMNS($AN$1006:AR1006),$AN$1006:$BO$1006,0))&gt;=100000), " ",IF(INDEX($AN$2:$BO$1001,MATCH(ROWS($AG$2:AG407),$AG$2:$AG$1001,0),MATCH(COLUMNS($AN$1006:AR1006),$AN$1006:$BO$1006,0)), HYPERLINK("#",""), HYPERLINK(CONCATENATE("#Metadata!", ADDRESS(INDEX($AI$2:$AI$1001,MATCH(ROWS($AG$2:AG407),$AG$2:$AG$1001,0),0), INDEX($AN$1004:$BO$1004,1,MATCH(COLUMNS($AN$1006:AR1006),$AN$1006:$BO$1006,0)))),"Fix")))</f>
        <v>0</v>
      </c>
      <c r="G407" s="4">
        <f>IF(OR(INDEX($AH$2:$AH$1001,MATCH(ROWS($AG$2:AG407),$AG$2:$AG$1001,0),1)&gt;=100000,INDEX($AN$1005:$BO$1005,1,MATCH(COLUMNS($AN$1006:AS1006),$AN$1006:$BO$1006,0))&gt;=100000), " ",IF(INDEX($AN$2:$BO$1001,MATCH(ROWS($AG$2:AG407),$AG$2:$AG$1001,0),MATCH(COLUMNS($AN$1006:AS1006),$AN$1006:$BO$1006,0)), HYPERLINK("#",""), HYPERLINK(CONCATENATE("#Metadata!", ADDRESS(INDEX($AI$2:$AI$1001,MATCH(ROWS($AG$2:AG407),$AG$2:$AG$1001,0),0), INDEX($AN$1004:$BO$1004,1,MATCH(COLUMNS($AN$1006:AS1006),$AN$1006:$BO$1006,0)))),"Fix")))</f>
        <v>0</v>
      </c>
      <c r="H407" s="4">
        <f>IF(OR(INDEX($AH$2:$AH$1001,MATCH(ROWS($AG$2:AG407),$AG$2:$AG$1001,0),1)&gt;=100000,INDEX($AN$1005:$BO$1005,1,MATCH(COLUMNS($AN$1006:AT1006),$AN$1006:$BO$1006,0))&gt;=100000), " ",IF(INDEX($AN$2:$BO$1001,MATCH(ROWS($AG$2:AG407),$AG$2:$AG$1001,0),MATCH(COLUMNS($AN$1006:AT1006),$AN$1006:$BO$1006,0)), HYPERLINK("#",""), HYPERLINK(CONCATENATE("#Metadata!", ADDRESS(INDEX($AI$2:$AI$1001,MATCH(ROWS($AG$2:AG407),$AG$2:$AG$1001,0),0), INDEX($AN$1004:$BO$1004,1,MATCH(COLUMNS($AN$1006:AT1006),$AN$1006:$BO$1006,0)))),"Fix")))</f>
        <v>0</v>
      </c>
      <c r="I407" s="4">
        <f>IF(OR(INDEX($AH$2:$AH$1001,MATCH(ROWS($AG$2:AG407),$AG$2:$AG$1001,0),1)&gt;=100000,INDEX($AN$1005:$BO$1005,1,MATCH(COLUMNS($AN$1006:AU1006),$AN$1006:$BO$1006,0))&gt;=100000), " ",IF(INDEX($AN$2:$BO$1001,MATCH(ROWS($AG$2:AG407),$AG$2:$AG$1001,0),MATCH(COLUMNS($AN$1006:AU1006),$AN$1006:$BO$1006,0)), HYPERLINK("#",""), HYPERLINK(CONCATENATE("#Metadata!", ADDRESS(INDEX($AI$2:$AI$1001,MATCH(ROWS($AG$2:AG407),$AG$2:$AG$1001,0),0), INDEX($AN$1004:$BO$1004,1,MATCH(COLUMNS($AN$1006:AU1006),$AN$1006:$BO$1006,0)))),"Fix")))</f>
        <v>0</v>
      </c>
      <c r="J407" s="4">
        <f>IF(OR(INDEX($AH$2:$AH$1001,MATCH(ROWS($AG$2:AG407),$AG$2:$AG$1001,0),1)&gt;=100000,INDEX($AN$1005:$BO$1005,1,MATCH(COLUMNS($AN$1006:AV1006),$AN$1006:$BO$1006,0))&gt;=100000), " ",IF(INDEX($AN$2:$BO$1001,MATCH(ROWS($AG$2:AG407),$AG$2:$AG$1001,0),MATCH(COLUMNS($AN$1006:AV1006),$AN$1006:$BO$1006,0)), HYPERLINK("#",""), HYPERLINK(CONCATENATE("#Metadata!", ADDRESS(INDEX($AI$2:$AI$1001,MATCH(ROWS($AG$2:AG407),$AG$2:$AG$1001,0),0), INDEX($AN$1004:$BO$1004,1,MATCH(COLUMNS($AN$1006:AV1006),$AN$1006:$BO$1006,0)))),"Fix")))</f>
        <v>0</v>
      </c>
      <c r="K407" s="4">
        <f>IF(OR(INDEX($AH$2:$AH$1001,MATCH(ROWS($AG$2:AG407),$AG$2:$AG$1001,0),1)&gt;=100000,INDEX($AN$1005:$BO$1005,1,MATCH(COLUMNS($AN$1006:AW1006),$AN$1006:$BO$1006,0))&gt;=100000), " ",IF(INDEX($AN$2:$BO$1001,MATCH(ROWS($AG$2:AG407),$AG$2:$AG$1001,0),MATCH(COLUMNS($AN$1006:AW1006),$AN$1006:$BO$1006,0)), HYPERLINK("#",""), HYPERLINK(CONCATENATE("#Metadata!", ADDRESS(INDEX($AI$2:$AI$1001,MATCH(ROWS($AG$2:AG407),$AG$2:$AG$1001,0),0), INDEX($AN$1004:$BO$1004,1,MATCH(COLUMNS($AN$1006:AW1006),$AN$1006:$BO$1006,0)))),"Fix")))</f>
        <v>0</v>
      </c>
      <c r="L407" s="4">
        <f>IF(OR(INDEX($AH$2:$AH$1001,MATCH(ROWS($AG$2:AG407),$AG$2:$AG$1001,0),1)&gt;=100000,INDEX($AN$1005:$BO$1005,1,MATCH(COLUMNS($AN$1006:AX1006),$AN$1006:$BO$1006,0))&gt;=100000), " ",IF(INDEX($AN$2:$BO$1001,MATCH(ROWS($AG$2:AG407),$AG$2:$AG$1001,0),MATCH(COLUMNS($AN$1006:AX1006),$AN$1006:$BO$1006,0)), HYPERLINK("#",""), HYPERLINK(CONCATENATE("#Metadata!", ADDRESS(INDEX($AI$2:$AI$1001,MATCH(ROWS($AG$2:AG407),$AG$2:$AG$1001,0),0), INDEX($AN$1004:$BO$1004,1,MATCH(COLUMNS($AN$1006:AX1006),$AN$1006:$BO$1006,0)))),"Fix")))</f>
        <v>0</v>
      </c>
      <c r="M407" s="4">
        <f>IF(OR(INDEX($AH$2:$AH$1001,MATCH(ROWS($AG$2:AG407),$AG$2:$AG$1001,0),1)&gt;=100000,INDEX($AN$1005:$BO$1005,1,MATCH(COLUMNS($AN$1006:AY1006),$AN$1006:$BO$1006,0))&gt;=100000), " ",IF(INDEX($AN$2:$BO$1001,MATCH(ROWS($AG$2:AG407),$AG$2:$AG$1001,0),MATCH(COLUMNS($AN$1006:AY1006),$AN$1006:$BO$1006,0)), HYPERLINK("#",""), HYPERLINK(CONCATENATE("#Metadata!", ADDRESS(INDEX($AI$2:$AI$1001,MATCH(ROWS($AG$2:AG407),$AG$2:$AG$1001,0),0), INDEX($AN$1004:$BO$1004,1,MATCH(COLUMNS($AN$1006:AY1006),$AN$1006:$BO$1006,0)))),"Fix")))</f>
        <v>0</v>
      </c>
      <c r="N407" s="4">
        <f>IF(OR(INDEX($AH$2:$AH$1001,MATCH(ROWS($AG$2:AG407),$AG$2:$AG$1001,0),1)&gt;=100000,INDEX($AN$1005:$BO$1005,1,MATCH(COLUMNS($AN$1006:AZ1006),$AN$1006:$BO$1006,0))&gt;=100000), " ",IF(INDEX($AN$2:$BO$1001,MATCH(ROWS($AG$2:AG407),$AG$2:$AG$1001,0),MATCH(COLUMNS($AN$1006:AZ1006),$AN$1006:$BO$1006,0)), HYPERLINK("#",""), HYPERLINK(CONCATENATE("#Metadata!", ADDRESS(INDEX($AI$2:$AI$1001,MATCH(ROWS($AG$2:AG407),$AG$2:$AG$1001,0),0), INDEX($AN$1004:$BO$1004,1,MATCH(COLUMNS($AN$1006:AZ1006),$AN$1006:$BO$1006,0)))),"Fix")))</f>
        <v>0</v>
      </c>
      <c r="O407" s="4">
        <f>IF(OR(INDEX($AH$2:$AH$1001,MATCH(ROWS($AG$2:AG407),$AG$2:$AG$1001,0),1)&gt;=100000,INDEX($AN$1005:$BO$1005,1,MATCH(COLUMNS($AN$1006:BA1006),$AN$1006:$BO$1006,0))&gt;=100000), " ",IF(INDEX($AN$2:$BO$1001,MATCH(ROWS($AG$2:AG407),$AG$2:$AG$1001,0),MATCH(COLUMNS($AN$1006:BA1006),$AN$1006:$BO$1006,0)), HYPERLINK("#",""), HYPERLINK(CONCATENATE("#Metadata!", ADDRESS(INDEX($AI$2:$AI$1001,MATCH(ROWS($AG$2:AG407),$AG$2:$AG$1001,0),0), INDEX($AN$1004:$BO$1004,1,MATCH(COLUMNS($AN$1006:BA1006),$AN$1006:$BO$1006,0)))),"Fix")))</f>
        <v>0</v>
      </c>
      <c r="P407" s="4">
        <f>IF(OR(INDEX($AH$2:$AH$1001,MATCH(ROWS($AG$2:AG407),$AG$2:$AG$1001,0),1)&gt;=100000,INDEX($AN$1005:$BO$1005,1,MATCH(COLUMNS($AN$1006:BB1006),$AN$1006:$BO$1006,0))&gt;=100000), " ",IF(INDEX($AN$2:$BO$1001,MATCH(ROWS($AG$2:AG407),$AG$2:$AG$1001,0),MATCH(COLUMNS($AN$1006:BB1006),$AN$1006:$BO$1006,0)), HYPERLINK("#",""), HYPERLINK(CONCATENATE("#Metadata!", ADDRESS(INDEX($AI$2:$AI$1001,MATCH(ROWS($AG$2:AG407),$AG$2:$AG$1001,0),0), INDEX($AN$1004:$BO$1004,1,MATCH(COLUMNS($AN$1006:BB1006),$AN$1006:$BO$1006,0)))),"Fix")))</f>
        <v>0</v>
      </c>
      <c r="Q407" s="4">
        <f>IF(OR(INDEX($AH$2:$AH$1001,MATCH(ROWS($AG$2:AG407),$AG$2:$AG$1001,0),1)&gt;=100000,INDEX($AN$1005:$BO$1005,1,MATCH(COLUMNS($AN$1006:BC1006),$AN$1006:$BO$1006,0))&gt;=100000), " ",IF(INDEX($AN$2:$BO$1001,MATCH(ROWS($AG$2:AG407),$AG$2:$AG$1001,0),MATCH(COLUMNS($AN$1006:BC1006),$AN$1006:$BO$1006,0)), HYPERLINK("#",""), HYPERLINK(CONCATENATE("#Metadata!", ADDRESS(INDEX($AI$2:$AI$1001,MATCH(ROWS($AG$2:AG407),$AG$2:$AG$1001,0),0), INDEX($AN$1004:$BO$1004,1,MATCH(COLUMNS($AN$1006:BC1006),$AN$1006:$BO$1006,0)))),"Fix")))</f>
        <v>0</v>
      </c>
      <c r="R407" s="4">
        <f>IF(OR(INDEX($AH$2:$AH$1001,MATCH(ROWS($AG$2:AG407),$AG$2:$AG$1001,0),1)&gt;=100000,INDEX($AN$1005:$BO$1005,1,MATCH(COLUMNS($AN$1006:BD1006),$AN$1006:$BO$1006,0))&gt;=100000), " ",IF(INDEX($AN$2:$BO$1001,MATCH(ROWS($AG$2:AG407),$AG$2:$AG$1001,0),MATCH(COLUMNS($AN$1006:BD1006),$AN$1006:$BO$1006,0)), HYPERLINK("#",""), HYPERLINK(CONCATENATE("#Metadata!", ADDRESS(INDEX($AI$2:$AI$1001,MATCH(ROWS($AG$2:AG407),$AG$2:$AG$1001,0),0), INDEX($AN$1004:$BO$1004,1,MATCH(COLUMNS($AN$1006:BD1006),$AN$1006:$BO$1006,0)))),"Fix")))</f>
        <v>0</v>
      </c>
      <c r="S407" s="4">
        <f>IF(OR(INDEX($AH$2:$AH$1001,MATCH(ROWS($AG$2:AG407),$AG$2:$AG$1001,0),1)&gt;=100000,INDEX($AN$1005:$BO$1005,1,MATCH(COLUMNS($AN$1006:BE1006),$AN$1006:$BO$1006,0))&gt;=100000), " ",IF(INDEX($AN$2:$BO$1001,MATCH(ROWS($AG$2:AG407),$AG$2:$AG$1001,0),MATCH(COLUMNS($AN$1006:BE1006),$AN$1006:$BO$1006,0)), HYPERLINK("#",""), HYPERLINK(CONCATENATE("#Metadata!", ADDRESS(INDEX($AI$2:$AI$1001,MATCH(ROWS($AG$2:AG407),$AG$2:$AG$1001,0),0), INDEX($AN$1004:$BO$1004,1,MATCH(COLUMNS($AN$1006:BE1006),$AN$1006:$BO$1006,0)))),"Fix")))</f>
        <v>0</v>
      </c>
      <c r="T407" s="4">
        <f>IF(OR(INDEX($AH$2:$AH$1001,MATCH(ROWS($AG$2:AG407),$AG$2:$AG$1001,0),1)&gt;=100000,INDEX($AN$1005:$BO$1005,1,MATCH(COLUMNS($AN$1006:BF1006),$AN$1006:$BO$1006,0))&gt;=100000), " ",IF(INDEX($AN$2:$BO$1001,MATCH(ROWS($AG$2:AG407),$AG$2:$AG$1001,0),MATCH(COLUMNS($AN$1006:BF1006),$AN$1006:$BO$1006,0)), HYPERLINK("#",""), HYPERLINK(CONCATENATE("#Metadata!", ADDRESS(INDEX($AI$2:$AI$1001,MATCH(ROWS($AG$2:AG407),$AG$2:$AG$1001,0),0), INDEX($AN$1004:$BO$1004,1,MATCH(COLUMNS($AN$1006:BF1006),$AN$1006:$BO$1006,0)))),"Fix")))</f>
        <v>0</v>
      </c>
      <c r="U407" s="4">
        <f>IF(OR(INDEX($AH$2:$AH$1001,MATCH(ROWS($AG$2:AG407),$AG$2:$AG$1001,0),1)&gt;=100000,INDEX($AN$1005:$BO$1005,1,MATCH(COLUMNS($AN$1006:BG1006),$AN$1006:$BO$1006,0))&gt;=100000), " ",IF(INDEX($AN$2:$BO$1001,MATCH(ROWS($AG$2:AG407),$AG$2:$AG$1001,0),MATCH(COLUMNS($AN$1006:BG1006),$AN$1006:$BO$1006,0)), HYPERLINK("#",""), HYPERLINK(CONCATENATE("#Metadata!", ADDRESS(INDEX($AI$2:$AI$1001,MATCH(ROWS($AG$2:AG407),$AG$2:$AG$1001,0),0), INDEX($AN$1004:$BO$1004,1,MATCH(COLUMNS($AN$1006:BG1006),$AN$1006:$BO$1006,0)))),"Fix")))</f>
        <v>0</v>
      </c>
      <c r="V407" s="4">
        <f>IF(OR(INDEX($AH$2:$AH$1001,MATCH(ROWS($AG$2:AG407),$AG$2:$AG$1001,0),1)&gt;=100000,INDEX($AN$1005:$BO$1005,1,MATCH(COLUMNS($AN$1006:BH1006),$AN$1006:$BO$1006,0))&gt;=100000), " ",IF(INDEX($AN$2:$BO$1001,MATCH(ROWS($AG$2:AG407),$AG$2:$AG$1001,0),MATCH(COLUMNS($AN$1006:BH1006),$AN$1006:$BO$1006,0)), HYPERLINK("#",""), HYPERLINK(CONCATENATE("#Metadata!", ADDRESS(INDEX($AI$2:$AI$1001,MATCH(ROWS($AG$2:AG407),$AG$2:$AG$1001,0),0), INDEX($AN$1004:$BO$1004,1,MATCH(COLUMNS($AN$1006:BH1006),$AN$1006:$BO$1006,0)))),"Fix")))</f>
        <v>0</v>
      </c>
      <c r="W407" s="4">
        <f>IF(OR(INDEX($AH$2:$AH$1001,MATCH(ROWS($AG$2:AG407),$AG$2:$AG$1001,0),1)&gt;=100000,INDEX($AN$1005:$BO$1005,1,MATCH(COLUMNS($AN$1006:BI1006),$AN$1006:$BO$1006,0))&gt;=100000), " ",IF(INDEX($AN$2:$BO$1001,MATCH(ROWS($AG$2:AG407),$AG$2:$AG$1001,0),MATCH(COLUMNS($AN$1006:BI1006),$AN$1006:$BO$1006,0)), HYPERLINK("#",""), HYPERLINK(CONCATENATE("#Metadata!", ADDRESS(INDEX($AI$2:$AI$1001,MATCH(ROWS($AG$2:AG407),$AG$2:$AG$1001,0),0), INDEX($AN$1004:$BO$1004,1,MATCH(COLUMNS($AN$1006:BI1006),$AN$1006:$BO$1006,0)))),"Fix")))</f>
        <v>0</v>
      </c>
      <c r="X407" s="4">
        <f>IF(OR(INDEX($AH$2:$AH$1001,MATCH(ROWS($AG$2:AG407),$AG$2:$AG$1001,0),1)&gt;=100000,INDEX($AN$1005:$BO$1005,1,MATCH(COLUMNS($AN$1006:BJ1006),$AN$1006:$BO$1006,0))&gt;=100000), " ",IF(INDEX($AN$2:$BO$1001,MATCH(ROWS($AG$2:AG407),$AG$2:$AG$1001,0),MATCH(COLUMNS($AN$1006:BJ1006),$AN$1006:$BO$1006,0)), HYPERLINK("#",""), HYPERLINK(CONCATENATE("#Metadata!", ADDRESS(INDEX($AI$2:$AI$1001,MATCH(ROWS($AG$2:AG407),$AG$2:$AG$1001,0),0), INDEX($AN$1004:$BO$1004,1,MATCH(COLUMNS($AN$1006:BJ1006),$AN$1006:$BO$1006,0)))),"Fix")))</f>
        <v>0</v>
      </c>
      <c r="Y407" s="4">
        <f>IF(OR(INDEX($AH$2:$AH$1001,MATCH(ROWS($AG$2:AG407),$AG$2:$AG$1001,0),1)&gt;=100000,INDEX($AN$1005:$BO$1005,1,MATCH(COLUMNS($AN$1006:BK1006),$AN$1006:$BO$1006,0))&gt;=100000), " ",IF(INDEX($AN$2:$BO$1001,MATCH(ROWS($AG$2:AG407),$AG$2:$AG$1001,0),MATCH(COLUMNS($AN$1006:BK1006),$AN$1006:$BO$1006,0)), HYPERLINK("#",""), HYPERLINK(CONCATENATE("#Metadata!", ADDRESS(INDEX($AI$2:$AI$1001,MATCH(ROWS($AG$2:AG407),$AG$2:$AG$1001,0),0), INDEX($AN$1004:$BO$1004,1,MATCH(COLUMNS($AN$1006:BK1006),$AN$1006:$BO$1006,0)))),"Fix")))</f>
        <v>0</v>
      </c>
      <c r="Z407" s="4">
        <f>IF(OR(INDEX($AH$2:$AH$1001,MATCH(ROWS($AG$2:AG407),$AG$2:$AG$1001,0),1)&gt;=100000,INDEX($AN$1005:$BO$1005,1,MATCH(COLUMNS($AN$1006:BL1006),$AN$1006:$BO$1006,0))&gt;=100000), " ",IF(INDEX($AN$2:$BO$1001,MATCH(ROWS($AG$2:AG407),$AG$2:$AG$1001,0),MATCH(COLUMNS($AN$1006:BL1006),$AN$1006:$BO$1006,0)), HYPERLINK("#",""), HYPERLINK(CONCATENATE("#Metadata!", ADDRESS(INDEX($AI$2:$AI$1001,MATCH(ROWS($AG$2:AG407),$AG$2:$AG$1001,0),0), INDEX($AN$1004:$BO$1004,1,MATCH(COLUMNS($AN$1006:BL1006),$AN$1006:$BO$1006,0)))),"Fix")))</f>
        <v>0</v>
      </c>
      <c r="AA407" s="4">
        <f>IF(OR(INDEX($AH$2:$AH$1001,MATCH(ROWS($AG$2:AG407),$AG$2:$AG$1001,0),1)&gt;=100000,INDEX($AN$1005:$BO$1005,1,MATCH(COLUMNS($AN$1006:BM1006),$AN$1006:$BO$1006,0))&gt;=100000), " ",IF(INDEX($AN$2:$BO$1001,MATCH(ROWS($AG$2:AG407),$AG$2:$AG$1001,0),MATCH(COLUMNS($AN$1006:BM1006),$AN$1006:$BO$1006,0)), HYPERLINK("#",""), HYPERLINK(CONCATENATE("#Metadata!", ADDRESS(INDEX($AI$2:$AI$1001,MATCH(ROWS($AG$2:AG407),$AG$2:$AG$1001,0),0), INDEX($AN$1004:$BO$1004,1,MATCH(COLUMNS($AN$1006:BM1006),$AN$1006:$BO$1006,0)))),"Fix")))</f>
        <v>0</v>
      </c>
      <c r="AB407" s="4">
        <f>IF(OR(INDEX($AH$2:$AH$1001,MATCH(ROWS($AG$2:AG407),$AG$2:$AG$1001,0),1)&gt;=100000,INDEX($AN$1005:$BO$1005,1,MATCH(COLUMNS($AN$1006:BN1006),$AN$1006:$BO$1006,0))&gt;=100000), " ",IF(INDEX($AN$2:$BO$1001,MATCH(ROWS($AG$2:AG407),$AG$2:$AG$1001,0),MATCH(COLUMNS($AN$1006:BN1006),$AN$1006:$BO$1006,0)), HYPERLINK("#",""), HYPERLINK(CONCATENATE("#Metadata!", ADDRESS(INDEX($AI$2:$AI$1001,MATCH(ROWS($AG$2:AG407),$AG$2:$AG$1001,0),0), INDEX($AN$1004:$BO$1004,1,MATCH(COLUMNS($AN$1006:BN1006),$AN$1006:$BO$1006,0)))),"Fix")))</f>
        <v>0</v>
      </c>
      <c r="AC407" s="4">
        <f>IF(OR(INDEX($AH$2:$AH$1001,MATCH(ROWS($AG$2:AG407),$AG$2:$AG$1001,0),1)&gt;=100000,INDEX($AN$1005:$BO$1005,1,MATCH(COLUMNS($AN$1006:BO1006),$AN$1006:$BO$1006,0))&gt;=100000), " ",IF(INDEX($AN$2:$BO$1001,MATCH(ROWS($AG$2:AG407),$AG$2:$AG$1001,0),MATCH(COLUMNS($AN$1006:BO1006),$AN$1006:$BO$1006,0)), HYPERLINK("#",""), HYPERLINK(CONCATENATE("#Metadata!", ADDRESS(INDEX($AI$2:$AI$1001,MATCH(ROWS($AG$2:AG407),$AG$2:$AG$1001,0),0), INDEX($AN$1004:$BO$1004,1,MATCH(COLUMNS($AN$1006:BO1006),$AN$1006:$BO$1006,0)))),"Fix")))</f>
        <v>0</v>
      </c>
      <c r="AG407">
        <v>0</v>
      </c>
      <c r="AH407">
        <v>0</v>
      </c>
      <c r="AI407">
        <v>0</v>
      </c>
      <c r="AJ407">
        <f>IF(AK407,TRUE,AND(AN407:BO407))</f>
        <v>0</v>
      </c>
      <c r="AK407">
        <f>COUNTBLANK(Metadata!B407:AC407)=COLUMNS(Metadata!B407:AC407)</f>
        <v>0</v>
      </c>
      <c r="AL407">
        <v>0</v>
      </c>
      <c r="AN407">
        <f>AND(IF(Metadata!B407="",FALSE,TRUE),COUNTIF(Metadata!B:B, Metadata!B407) = 1,NOT(ISERROR(SUMPRODUCT(SEARCH(MID(Metadata!B407,ROW(INDIRECT("1:"&amp;LEN(Metadata!B407))), 1),"0123456789abcdefghijklmnopqrstuvwxyzABCDEFGHIJKLMNOPQRSTUVWXYZ.")))))</f>
        <v>0</v>
      </c>
      <c r="AO407">
        <f>IF(Metadata!C407="",FALSE,TRUE)</f>
        <v>0</v>
      </c>
      <c r="AP407">
        <f>IF(Metadata!D407="",FALSE,TRUE)</f>
        <v>0</v>
      </c>
      <c r="AQ407">
        <f>OR(AND(IF(Metadata!E407="",FALSE,TRUE),OR(exact(Metadata!E407,"not collected"),exact(Metadata!E407,"not provided"),exact(Metadata!E407,"restricted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R407">
        <f>IF(Metadata!F407="",FALSE,TRUE)</f>
        <v>0</v>
      </c>
      <c r="AS407">
        <f>OR(AND(IF(Metadata!G407="",FALSE,TRUE),OR(exact(Metadata!G407,"not collected"),exact(Metadata!G407,"not provided"))),AND(IF(Metadata!G407="",FALSE,TRUE),OR(exact(Metadata!G407,"TRUE"),exact(Metadata!G407,"FALSE"))))</f>
        <v>0</v>
      </c>
      <c r="AT407">
        <f>OR(AND(IF(Metadata!H407="",FALSE,TRUE),OR(exact(Metadata!H407,"not collected"),exact(Metadata!H407,"not provided"),exact(Metadata!H407,"restricted access"))),AND(IF(Metadata!H407="",FALSE,ISNUMBER(VALUE(Metadata!H407))),Metadata!H407&gt;=-413.0))</f>
        <v>0</v>
      </c>
      <c r="AU407">
        <f>AND(IF(Metadata!I407="",FALSE,TRUE),exact(Metadata!I407,"meters"))</f>
        <v>0</v>
      </c>
      <c r="AV407">
        <f>AND(IF(Metadata!J407="",FALSE,TRUE),OR(exact(Metadata!J407,"Host-associated"),exact(Metadata!J407,"Free-living")))</f>
        <v>0</v>
      </c>
      <c r="AW407">
        <f>AND(IF(Metadata!K407="",FALSE,TRUE),OR(exact(Metadata!K407,"Animal"),exact(Metadata!K407,"Fungus"),exact(Metadata!K407,"Plant"),exact(Metadata!K407,"Saline"),exact(Metadata!K407,"Non-saline")))</f>
        <v>0</v>
      </c>
      <c r="AX407">
        <f>AND(IF(Metadata!L407="",FALSE,TRUE),OR(exact(Metadata!L407,"Plant secretion"),exact(Metadata!L407,"Plant rhizosphere"),exact(Metadata!L407,"Plant surface"),exact(Metadata!L407,"Plant corpus"),exact(Metadata!L407,"Fungus surface"),exact(Metadata!L407,"Fungus corpus"),exact(Metadata!L407,"Animal surface"),exact(Metadata!L407,"Animal proximal gut"),exact(Metadata!L407,"Animal corpus"),exact(Metadata!L407,"Animal distal gut"),exact(Metadata!L407,"Animal secretion"),exact(Metadata!L407,"Sub-surface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Y407">
        <f>IF(Metadata!M407="",FALSE,TRUE)</f>
        <v>0</v>
      </c>
      <c r="AZ407">
        <f>IF(Metadata!N407="",FALSE,TRUE)</f>
        <v>0</v>
      </c>
      <c r="BA407">
        <f>IF(Metadata!O407="",FALSE,TRUE)</f>
        <v>0</v>
      </c>
      <c r="BB407">
        <f>OR(AND(IF(Metadata!P407="",FALSE,TRUE),OR(exact(Metadata!P407,"not collected"),exact(Metadata!P407,"not provided"),exact(Metadata!P407,"restricted access"))),AND(IF(Metadata!P407="",FALSE,TRUE),OR(exact(Metadata!P407,"air"),exact(Metadata!P407,"built environment"),exact(Metadata!P407,"host-associated"),exact(Metadata!P407,"human-associated"),exact(Metadata!P407,"human-skin"),exact(Metadata!P407,"human-oral"),exact(Metadata!P407,"human-gut"),exact(Metadata!P407,"human-vaginal"),exact(Metadata!P407,"microbial mat/biofilm"),exact(Metadata!P407,"misc environment"),exact(Metadata!P407,"plant-associated"),exact(Metadata!P407,"sediment"),exact(Metadata!P407,"soil"),exact(Metadata!P407,"wastewater/sludge"),exact(Metadata!P407,"water"))))</f>
        <v>0</v>
      </c>
      <c r="BC407">
        <f>IF(Metadata!Q407="",FALSE,TRUE)</f>
        <v>0</v>
      </c>
      <c r="BD407">
        <f>IF(Metadata!R407="",FALSE,TRUE)</f>
        <v>0</v>
      </c>
      <c r="BE407">
        <f>OR(AND(IF(Metadata!S407="",FALSE,TRUE),OR(exact(Metadata!S407,"not collected"),exact(Metadata!S407,"not provided"),exact(Metadata!S407,"restricted access"))),AND(IF(Metadata!S407="",FALSE,ISNUMBER(VALUE(Metadata!S407))),Metadata!S407&gt;=-90.00,Metadata!S407&lt;=90.00))</f>
        <v>0</v>
      </c>
      <c r="BF407">
        <f>AND(IF(Metadata!T407="",FALSE,TRUE),exact(Metadata!T407,"Decimal degrees"))</f>
        <v>0</v>
      </c>
      <c r="BG407">
        <f>OR(AND(IF(Metadata!U407="",FALSE,TRUE),OR(exact(Metadata!U407,"not collected"),exact(Metadata!U407,"not provided"),exact(Metadata!U407,"restricted access"))),AND(IF(Metadata!U407="",FALSE,ISNUMBER(VALUE(Metadata!U407))),Metadata!U407&gt;=-180.00,Metadata!U407&lt;=180.00))</f>
        <v>0</v>
      </c>
      <c r="BH407">
        <f>AND(IF(Metadata!V407="",FALSE,TRUE),exact(Metadata!V407,"Decimal degrees"))</f>
        <v>0</v>
      </c>
      <c r="BI407">
        <f>IF(Metadata!W407="",FALSE,TRUE)</f>
        <v>0</v>
      </c>
      <c r="BJ407">
        <f>OR(AND(IF(Metadata!X407="",FALSE,TRUE),OR(exact(Metadata!X407,"not collected"),exact(Metadata!X407,"not provided"),exact(Metadata!X407,"restricted access"))),AND(IF(Metadata!X407="",FALSE,TRUE),OR(exact(Metadata!X407,"TRUE"),exact(Metadata!X407,"FALSE"))))</f>
        <v>0</v>
      </c>
      <c r="BK407">
        <f>AND(IF(Metadata!Y407="",FALSE,TRUE),exact(Metadata!Y407,"other"))</f>
        <v>0</v>
      </c>
      <c r="BL407">
        <f>IF(Metadata!Z407="",FALSE,TRUE)</f>
        <v>0</v>
      </c>
      <c r="BM407">
        <f>OR(AND(IF(Metadata!AA407="",FALSE,TRUE),OR(exact(Metadata!AA407,"not collected"),exact(Metadata!AA407,"not provided"))),AND(IF(Metadata!AA407="",FALSE,IF(ISERROR(INT(Metadata!AA407)),FALSE,INT(Metadata!AA407)=Metadata!AA407)),Metadata!AA407&gt;0))</f>
        <v>0</v>
      </c>
      <c r="BN407">
        <f>AND(IF(Metadata!AB407="",FALSE,TRUE),exact(Metadata!AB407,"Not applicable"))</f>
        <v>0</v>
      </c>
      <c r="BO407">
        <f>IF(Metadata!AC407="",FALSE,TRUE)</f>
        <v>0</v>
      </c>
    </row>
    <row r="408" spans="1:67">
      <c r="A408" s="5">
        <f>IF(B408=" "," ",HYPERLINK(CONCATENATE("#metadata!",ADDRESS(INDEX($AI$2:$AI$1001,MATCH(ROWS($AG$2:AG408),$AG$2:$AG$1001,0),0),1)),INDEX($AL$2:$AL$1001,MATCH(ROWS($AG$2:AG408),$AG$2:$AG$1001,0),0)))</f>
        <v>0</v>
      </c>
      <c r="B408" s="4">
        <f>IF(OR(INDEX($AH$2:$AH$1001,MATCH(ROWS($AG$2:AG408),$AG$2:$AG$1001,0),1)&gt;=100000,INDEX($AN$1005:$BO$1005,1,MATCH(COLUMNS($AN$1006:AN1006),$AN$1006:$BO$1006,0))&gt;=100000), " ",IF(INDEX($AN$2:$BO$1001,MATCH(ROWS($AG$2:AG408),$AG$2:$AG$1001,0),MATCH(COLUMNS($AN$1006:AN1006),$AN$1006:$BO$1006,0)), HYPERLINK("#",""), HYPERLINK(CONCATENATE("#Metadata!", ADDRESS(INDEX($AI$2:$AI$1001,MATCH(ROWS($AG$2:AG408),$AG$2:$AG$1001,0),0), INDEX($AN$1004:$BO$1004,1,MATCH(COLUMNS($AN$1006:AN1006),$AN$1006:$BO$1006,0)))),"Fix")))</f>
        <v>0</v>
      </c>
      <c r="C408" s="4">
        <f>IF(OR(INDEX($AH$2:$AH$1001,MATCH(ROWS($AG$2:AG408),$AG$2:$AG$1001,0),1)&gt;=100000,INDEX($AN$1005:$BO$1005,1,MATCH(COLUMNS($AN$1006:AO1006),$AN$1006:$BO$1006,0))&gt;=100000), " ",IF(INDEX($AN$2:$BO$1001,MATCH(ROWS($AG$2:AG408),$AG$2:$AG$1001,0),MATCH(COLUMNS($AN$1006:AO1006),$AN$1006:$BO$1006,0)), HYPERLINK("#",""), HYPERLINK(CONCATENATE("#Metadata!", ADDRESS(INDEX($AI$2:$AI$1001,MATCH(ROWS($AG$2:AG408),$AG$2:$AG$1001,0),0), INDEX($AN$1004:$BO$1004,1,MATCH(COLUMNS($AN$1006:AO1006),$AN$1006:$BO$1006,0)))),"Fix")))</f>
        <v>0</v>
      </c>
      <c r="D408" s="4">
        <f>IF(OR(INDEX($AH$2:$AH$1001,MATCH(ROWS($AG$2:AG408),$AG$2:$AG$1001,0),1)&gt;=100000,INDEX($AN$1005:$BO$1005,1,MATCH(COLUMNS($AN$1006:AP1006),$AN$1006:$BO$1006,0))&gt;=100000), " ",IF(INDEX($AN$2:$BO$1001,MATCH(ROWS($AG$2:AG408),$AG$2:$AG$1001,0),MATCH(COLUMNS($AN$1006:AP1006),$AN$1006:$BO$1006,0)), HYPERLINK("#",""), HYPERLINK(CONCATENATE("#Metadata!", ADDRESS(INDEX($AI$2:$AI$1001,MATCH(ROWS($AG$2:AG408),$AG$2:$AG$1001,0),0), INDEX($AN$1004:$BO$1004,1,MATCH(COLUMNS($AN$1006:AP1006),$AN$1006:$BO$1006,0)))),"Fix")))</f>
        <v>0</v>
      </c>
      <c r="E408" s="4">
        <f>IF(OR(INDEX($AH$2:$AH$1001,MATCH(ROWS($AG$2:AG408),$AG$2:$AG$1001,0),1)&gt;=100000,INDEX($AN$1005:$BO$1005,1,MATCH(COLUMNS($AN$1006:AQ1006),$AN$1006:$BO$1006,0))&gt;=100000), " ",IF(INDEX($AN$2:$BO$1001,MATCH(ROWS($AG$2:AG408),$AG$2:$AG$1001,0),MATCH(COLUMNS($AN$1006:AQ1006),$AN$1006:$BO$1006,0)), HYPERLINK("#",""), HYPERLINK(CONCATENATE("#Metadata!", ADDRESS(INDEX($AI$2:$AI$1001,MATCH(ROWS($AG$2:AG408),$AG$2:$AG$1001,0),0), INDEX($AN$1004:$BO$1004,1,MATCH(COLUMNS($AN$1006:AQ1006),$AN$1006:$BO$1006,0)))),"Fix")))</f>
        <v>0</v>
      </c>
      <c r="F408" s="4">
        <f>IF(OR(INDEX($AH$2:$AH$1001,MATCH(ROWS($AG$2:AG408),$AG$2:$AG$1001,0),1)&gt;=100000,INDEX($AN$1005:$BO$1005,1,MATCH(COLUMNS($AN$1006:AR1006),$AN$1006:$BO$1006,0))&gt;=100000), " ",IF(INDEX($AN$2:$BO$1001,MATCH(ROWS($AG$2:AG408),$AG$2:$AG$1001,0),MATCH(COLUMNS($AN$1006:AR1006),$AN$1006:$BO$1006,0)), HYPERLINK("#",""), HYPERLINK(CONCATENATE("#Metadata!", ADDRESS(INDEX($AI$2:$AI$1001,MATCH(ROWS($AG$2:AG408),$AG$2:$AG$1001,0),0), INDEX($AN$1004:$BO$1004,1,MATCH(COLUMNS($AN$1006:AR1006),$AN$1006:$BO$1006,0)))),"Fix")))</f>
        <v>0</v>
      </c>
      <c r="G408" s="4">
        <f>IF(OR(INDEX($AH$2:$AH$1001,MATCH(ROWS($AG$2:AG408),$AG$2:$AG$1001,0),1)&gt;=100000,INDEX($AN$1005:$BO$1005,1,MATCH(COLUMNS($AN$1006:AS1006),$AN$1006:$BO$1006,0))&gt;=100000), " ",IF(INDEX($AN$2:$BO$1001,MATCH(ROWS($AG$2:AG408),$AG$2:$AG$1001,0),MATCH(COLUMNS($AN$1006:AS1006),$AN$1006:$BO$1006,0)), HYPERLINK("#",""), HYPERLINK(CONCATENATE("#Metadata!", ADDRESS(INDEX($AI$2:$AI$1001,MATCH(ROWS($AG$2:AG408),$AG$2:$AG$1001,0),0), INDEX($AN$1004:$BO$1004,1,MATCH(COLUMNS($AN$1006:AS1006),$AN$1006:$BO$1006,0)))),"Fix")))</f>
        <v>0</v>
      </c>
      <c r="H408" s="4">
        <f>IF(OR(INDEX($AH$2:$AH$1001,MATCH(ROWS($AG$2:AG408),$AG$2:$AG$1001,0),1)&gt;=100000,INDEX($AN$1005:$BO$1005,1,MATCH(COLUMNS($AN$1006:AT1006),$AN$1006:$BO$1006,0))&gt;=100000), " ",IF(INDEX($AN$2:$BO$1001,MATCH(ROWS($AG$2:AG408),$AG$2:$AG$1001,0),MATCH(COLUMNS($AN$1006:AT1006),$AN$1006:$BO$1006,0)), HYPERLINK("#",""), HYPERLINK(CONCATENATE("#Metadata!", ADDRESS(INDEX($AI$2:$AI$1001,MATCH(ROWS($AG$2:AG408),$AG$2:$AG$1001,0),0), INDEX($AN$1004:$BO$1004,1,MATCH(COLUMNS($AN$1006:AT1006),$AN$1006:$BO$1006,0)))),"Fix")))</f>
        <v>0</v>
      </c>
      <c r="I408" s="4">
        <f>IF(OR(INDEX($AH$2:$AH$1001,MATCH(ROWS($AG$2:AG408),$AG$2:$AG$1001,0),1)&gt;=100000,INDEX($AN$1005:$BO$1005,1,MATCH(COLUMNS($AN$1006:AU1006),$AN$1006:$BO$1006,0))&gt;=100000), " ",IF(INDEX($AN$2:$BO$1001,MATCH(ROWS($AG$2:AG408),$AG$2:$AG$1001,0),MATCH(COLUMNS($AN$1006:AU1006),$AN$1006:$BO$1006,0)), HYPERLINK("#",""), HYPERLINK(CONCATENATE("#Metadata!", ADDRESS(INDEX($AI$2:$AI$1001,MATCH(ROWS($AG$2:AG408),$AG$2:$AG$1001,0),0), INDEX($AN$1004:$BO$1004,1,MATCH(COLUMNS($AN$1006:AU1006),$AN$1006:$BO$1006,0)))),"Fix")))</f>
        <v>0</v>
      </c>
      <c r="J408" s="4">
        <f>IF(OR(INDEX($AH$2:$AH$1001,MATCH(ROWS($AG$2:AG408),$AG$2:$AG$1001,0),1)&gt;=100000,INDEX($AN$1005:$BO$1005,1,MATCH(COLUMNS($AN$1006:AV1006),$AN$1006:$BO$1006,0))&gt;=100000), " ",IF(INDEX($AN$2:$BO$1001,MATCH(ROWS($AG$2:AG408),$AG$2:$AG$1001,0),MATCH(COLUMNS($AN$1006:AV1006),$AN$1006:$BO$1006,0)), HYPERLINK("#",""), HYPERLINK(CONCATENATE("#Metadata!", ADDRESS(INDEX($AI$2:$AI$1001,MATCH(ROWS($AG$2:AG408),$AG$2:$AG$1001,0),0), INDEX($AN$1004:$BO$1004,1,MATCH(COLUMNS($AN$1006:AV1006),$AN$1006:$BO$1006,0)))),"Fix")))</f>
        <v>0</v>
      </c>
      <c r="K408" s="4">
        <f>IF(OR(INDEX($AH$2:$AH$1001,MATCH(ROWS($AG$2:AG408),$AG$2:$AG$1001,0),1)&gt;=100000,INDEX($AN$1005:$BO$1005,1,MATCH(COLUMNS($AN$1006:AW1006),$AN$1006:$BO$1006,0))&gt;=100000), " ",IF(INDEX($AN$2:$BO$1001,MATCH(ROWS($AG$2:AG408),$AG$2:$AG$1001,0),MATCH(COLUMNS($AN$1006:AW1006),$AN$1006:$BO$1006,0)), HYPERLINK("#",""), HYPERLINK(CONCATENATE("#Metadata!", ADDRESS(INDEX($AI$2:$AI$1001,MATCH(ROWS($AG$2:AG408),$AG$2:$AG$1001,0),0), INDEX($AN$1004:$BO$1004,1,MATCH(COLUMNS($AN$1006:AW1006),$AN$1006:$BO$1006,0)))),"Fix")))</f>
        <v>0</v>
      </c>
      <c r="L408" s="4">
        <f>IF(OR(INDEX($AH$2:$AH$1001,MATCH(ROWS($AG$2:AG408),$AG$2:$AG$1001,0),1)&gt;=100000,INDEX($AN$1005:$BO$1005,1,MATCH(COLUMNS($AN$1006:AX1006),$AN$1006:$BO$1006,0))&gt;=100000), " ",IF(INDEX($AN$2:$BO$1001,MATCH(ROWS($AG$2:AG408),$AG$2:$AG$1001,0),MATCH(COLUMNS($AN$1006:AX1006),$AN$1006:$BO$1006,0)), HYPERLINK("#",""), HYPERLINK(CONCATENATE("#Metadata!", ADDRESS(INDEX($AI$2:$AI$1001,MATCH(ROWS($AG$2:AG408),$AG$2:$AG$1001,0),0), INDEX($AN$1004:$BO$1004,1,MATCH(COLUMNS($AN$1006:AX1006),$AN$1006:$BO$1006,0)))),"Fix")))</f>
        <v>0</v>
      </c>
      <c r="M408" s="4">
        <f>IF(OR(INDEX($AH$2:$AH$1001,MATCH(ROWS($AG$2:AG408),$AG$2:$AG$1001,0),1)&gt;=100000,INDEX($AN$1005:$BO$1005,1,MATCH(COLUMNS($AN$1006:AY1006),$AN$1006:$BO$1006,0))&gt;=100000), " ",IF(INDEX($AN$2:$BO$1001,MATCH(ROWS($AG$2:AG408),$AG$2:$AG$1001,0),MATCH(COLUMNS($AN$1006:AY1006),$AN$1006:$BO$1006,0)), HYPERLINK("#",""), HYPERLINK(CONCATENATE("#Metadata!", ADDRESS(INDEX($AI$2:$AI$1001,MATCH(ROWS($AG$2:AG408),$AG$2:$AG$1001,0),0), INDEX($AN$1004:$BO$1004,1,MATCH(COLUMNS($AN$1006:AY1006),$AN$1006:$BO$1006,0)))),"Fix")))</f>
        <v>0</v>
      </c>
      <c r="N408" s="4">
        <f>IF(OR(INDEX($AH$2:$AH$1001,MATCH(ROWS($AG$2:AG408),$AG$2:$AG$1001,0),1)&gt;=100000,INDEX($AN$1005:$BO$1005,1,MATCH(COLUMNS($AN$1006:AZ1006),$AN$1006:$BO$1006,0))&gt;=100000), " ",IF(INDEX($AN$2:$BO$1001,MATCH(ROWS($AG$2:AG408),$AG$2:$AG$1001,0),MATCH(COLUMNS($AN$1006:AZ1006),$AN$1006:$BO$1006,0)), HYPERLINK("#",""), HYPERLINK(CONCATENATE("#Metadata!", ADDRESS(INDEX($AI$2:$AI$1001,MATCH(ROWS($AG$2:AG408),$AG$2:$AG$1001,0),0), INDEX($AN$1004:$BO$1004,1,MATCH(COLUMNS($AN$1006:AZ1006),$AN$1006:$BO$1006,0)))),"Fix")))</f>
        <v>0</v>
      </c>
      <c r="O408" s="4">
        <f>IF(OR(INDEX($AH$2:$AH$1001,MATCH(ROWS($AG$2:AG408),$AG$2:$AG$1001,0),1)&gt;=100000,INDEX($AN$1005:$BO$1005,1,MATCH(COLUMNS($AN$1006:BA1006),$AN$1006:$BO$1006,0))&gt;=100000), " ",IF(INDEX($AN$2:$BO$1001,MATCH(ROWS($AG$2:AG408),$AG$2:$AG$1001,0),MATCH(COLUMNS($AN$1006:BA1006),$AN$1006:$BO$1006,0)), HYPERLINK("#",""), HYPERLINK(CONCATENATE("#Metadata!", ADDRESS(INDEX($AI$2:$AI$1001,MATCH(ROWS($AG$2:AG408),$AG$2:$AG$1001,0),0), INDEX($AN$1004:$BO$1004,1,MATCH(COLUMNS($AN$1006:BA1006),$AN$1006:$BO$1006,0)))),"Fix")))</f>
        <v>0</v>
      </c>
      <c r="P408" s="4">
        <f>IF(OR(INDEX($AH$2:$AH$1001,MATCH(ROWS($AG$2:AG408),$AG$2:$AG$1001,0),1)&gt;=100000,INDEX($AN$1005:$BO$1005,1,MATCH(COLUMNS($AN$1006:BB1006),$AN$1006:$BO$1006,0))&gt;=100000), " ",IF(INDEX($AN$2:$BO$1001,MATCH(ROWS($AG$2:AG408),$AG$2:$AG$1001,0),MATCH(COLUMNS($AN$1006:BB1006),$AN$1006:$BO$1006,0)), HYPERLINK("#",""), HYPERLINK(CONCATENATE("#Metadata!", ADDRESS(INDEX($AI$2:$AI$1001,MATCH(ROWS($AG$2:AG408),$AG$2:$AG$1001,0),0), INDEX($AN$1004:$BO$1004,1,MATCH(COLUMNS($AN$1006:BB1006),$AN$1006:$BO$1006,0)))),"Fix")))</f>
        <v>0</v>
      </c>
      <c r="Q408" s="4">
        <f>IF(OR(INDEX($AH$2:$AH$1001,MATCH(ROWS($AG$2:AG408),$AG$2:$AG$1001,0),1)&gt;=100000,INDEX($AN$1005:$BO$1005,1,MATCH(COLUMNS($AN$1006:BC1006),$AN$1006:$BO$1006,0))&gt;=100000), " ",IF(INDEX($AN$2:$BO$1001,MATCH(ROWS($AG$2:AG408),$AG$2:$AG$1001,0),MATCH(COLUMNS($AN$1006:BC1006),$AN$1006:$BO$1006,0)), HYPERLINK("#",""), HYPERLINK(CONCATENATE("#Metadata!", ADDRESS(INDEX($AI$2:$AI$1001,MATCH(ROWS($AG$2:AG408),$AG$2:$AG$1001,0),0), INDEX($AN$1004:$BO$1004,1,MATCH(COLUMNS($AN$1006:BC1006),$AN$1006:$BO$1006,0)))),"Fix")))</f>
        <v>0</v>
      </c>
      <c r="R408" s="4">
        <f>IF(OR(INDEX($AH$2:$AH$1001,MATCH(ROWS($AG$2:AG408),$AG$2:$AG$1001,0),1)&gt;=100000,INDEX($AN$1005:$BO$1005,1,MATCH(COLUMNS($AN$1006:BD1006),$AN$1006:$BO$1006,0))&gt;=100000), " ",IF(INDEX($AN$2:$BO$1001,MATCH(ROWS($AG$2:AG408),$AG$2:$AG$1001,0),MATCH(COLUMNS($AN$1006:BD1006),$AN$1006:$BO$1006,0)), HYPERLINK("#",""), HYPERLINK(CONCATENATE("#Metadata!", ADDRESS(INDEX($AI$2:$AI$1001,MATCH(ROWS($AG$2:AG408),$AG$2:$AG$1001,0),0), INDEX($AN$1004:$BO$1004,1,MATCH(COLUMNS($AN$1006:BD1006),$AN$1006:$BO$1006,0)))),"Fix")))</f>
        <v>0</v>
      </c>
      <c r="S408" s="4">
        <f>IF(OR(INDEX($AH$2:$AH$1001,MATCH(ROWS($AG$2:AG408),$AG$2:$AG$1001,0),1)&gt;=100000,INDEX($AN$1005:$BO$1005,1,MATCH(COLUMNS($AN$1006:BE1006),$AN$1006:$BO$1006,0))&gt;=100000), " ",IF(INDEX($AN$2:$BO$1001,MATCH(ROWS($AG$2:AG408),$AG$2:$AG$1001,0),MATCH(COLUMNS($AN$1006:BE1006),$AN$1006:$BO$1006,0)), HYPERLINK("#",""), HYPERLINK(CONCATENATE("#Metadata!", ADDRESS(INDEX($AI$2:$AI$1001,MATCH(ROWS($AG$2:AG408),$AG$2:$AG$1001,0),0), INDEX($AN$1004:$BO$1004,1,MATCH(COLUMNS($AN$1006:BE1006),$AN$1006:$BO$1006,0)))),"Fix")))</f>
        <v>0</v>
      </c>
      <c r="T408" s="4">
        <f>IF(OR(INDEX($AH$2:$AH$1001,MATCH(ROWS($AG$2:AG408),$AG$2:$AG$1001,0),1)&gt;=100000,INDEX($AN$1005:$BO$1005,1,MATCH(COLUMNS($AN$1006:BF1006),$AN$1006:$BO$1006,0))&gt;=100000), " ",IF(INDEX($AN$2:$BO$1001,MATCH(ROWS($AG$2:AG408),$AG$2:$AG$1001,0),MATCH(COLUMNS($AN$1006:BF1006),$AN$1006:$BO$1006,0)), HYPERLINK("#",""), HYPERLINK(CONCATENATE("#Metadata!", ADDRESS(INDEX($AI$2:$AI$1001,MATCH(ROWS($AG$2:AG408),$AG$2:$AG$1001,0),0), INDEX($AN$1004:$BO$1004,1,MATCH(COLUMNS($AN$1006:BF1006),$AN$1006:$BO$1006,0)))),"Fix")))</f>
        <v>0</v>
      </c>
      <c r="U408" s="4">
        <f>IF(OR(INDEX($AH$2:$AH$1001,MATCH(ROWS($AG$2:AG408),$AG$2:$AG$1001,0),1)&gt;=100000,INDEX($AN$1005:$BO$1005,1,MATCH(COLUMNS($AN$1006:BG1006),$AN$1006:$BO$1006,0))&gt;=100000), " ",IF(INDEX($AN$2:$BO$1001,MATCH(ROWS($AG$2:AG408),$AG$2:$AG$1001,0),MATCH(COLUMNS($AN$1006:BG1006),$AN$1006:$BO$1006,0)), HYPERLINK("#",""), HYPERLINK(CONCATENATE("#Metadata!", ADDRESS(INDEX($AI$2:$AI$1001,MATCH(ROWS($AG$2:AG408),$AG$2:$AG$1001,0),0), INDEX($AN$1004:$BO$1004,1,MATCH(COLUMNS($AN$1006:BG1006),$AN$1006:$BO$1006,0)))),"Fix")))</f>
        <v>0</v>
      </c>
      <c r="V408" s="4">
        <f>IF(OR(INDEX($AH$2:$AH$1001,MATCH(ROWS($AG$2:AG408),$AG$2:$AG$1001,0),1)&gt;=100000,INDEX($AN$1005:$BO$1005,1,MATCH(COLUMNS($AN$1006:BH1006),$AN$1006:$BO$1006,0))&gt;=100000), " ",IF(INDEX($AN$2:$BO$1001,MATCH(ROWS($AG$2:AG408),$AG$2:$AG$1001,0),MATCH(COLUMNS($AN$1006:BH1006),$AN$1006:$BO$1006,0)), HYPERLINK("#",""), HYPERLINK(CONCATENATE("#Metadata!", ADDRESS(INDEX($AI$2:$AI$1001,MATCH(ROWS($AG$2:AG408),$AG$2:$AG$1001,0),0), INDEX($AN$1004:$BO$1004,1,MATCH(COLUMNS($AN$1006:BH1006),$AN$1006:$BO$1006,0)))),"Fix")))</f>
        <v>0</v>
      </c>
      <c r="W408" s="4">
        <f>IF(OR(INDEX($AH$2:$AH$1001,MATCH(ROWS($AG$2:AG408),$AG$2:$AG$1001,0),1)&gt;=100000,INDEX($AN$1005:$BO$1005,1,MATCH(COLUMNS($AN$1006:BI1006),$AN$1006:$BO$1006,0))&gt;=100000), " ",IF(INDEX($AN$2:$BO$1001,MATCH(ROWS($AG$2:AG408),$AG$2:$AG$1001,0),MATCH(COLUMNS($AN$1006:BI1006),$AN$1006:$BO$1006,0)), HYPERLINK("#",""), HYPERLINK(CONCATENATE("#Metadata!", ADDRESS(INDEX($AI$2:$AI$1001,MATCH(ROWS($AG$2:AG408),$AG$2:$AG$1001,0),0), INDEX($AN$1004:$BO$1004,1,MATCH(COLUMNS($AN$1006:BI1006),$AN$1006:$BO$1006,0)))),"Fix")))</f>
        <v>0</v>
      </c>
      <c r="X408" s="4">
        <f>IF(OR(INDEX($AH$2:$AH$1001,MATCH(ROWS($AG$2:AG408),$AG$2:$AG$1001,0),1)&gt;=100000,INDEX($AN$1005:$BO$1005,1,MATCH(COLUMNS($AN$1006:BJ1006),$AN$1006:$BO$1006,0))&gt;=100000), " ",IF(INDEX($AN$2:$BO$1001,MATCH(ROWS($AG$2:AG408),$AG$2:$AG$1001,0),MATCH(COLUMNS($AN$1006:BJ1006),$AN$1006:$BO$1006,0)), HYPERLINK("#",""), HYPERLINK(CONCATENATE("#Metadata!", ADDRESS(INDEX($AI$2:$AI$1001,MATCH(ROWS($AG$2:AG408),$AG$2:$AG$1001,0),0), INDEX($AN$1004:$BO$1004,1,MATCH(COLUMNS($AN$1006:BJ1006),$AN$1006:$BO$1006,0)))),"Fix")))</f>
        <v>0</v>
      </c>
      <c r="Y408" s="4">
        <f>IF(OR(INDEX($AH$2:$AH$1001,MATCH(ROWS($AG$2:AG408),$AG$2:$AG$1001,0),1)&gt;=100000,INDEX($AN$1005:$BO$1005,1,MATCH(COLUMNS($AN$1006:BK1006),$AN$1006:$BO$1006,0))&gt;=100000), " ",IF(INDEX($AN$2:$BO$1001,MATCH(ROWS($AG$2:AG408),$AG$2:$AG$1001,0),MATCH(COLUMNS($AN$1006:BK1006),$AN$1006:$BO$1006,0)), HYPERLINK("#",""), HYPERLINK(CONCATENATE("#Metadata!", ADDRESS(INDEX($AI$2:$AI$1001,MATCH(ROWS($AG$2:AG408),$AG$2:$AG$1001,0),0), INDEX($AN$1004:$BO$1004,1,MATCH(COLUMNS($AN$1006:BK1006),$AN$1006:$BO$1006,0)))),"Fix")))</f>
        <v>0</v>
      </c>
      <c r="Z408" s="4">
        <f>IF(OR(INDEX($AH$2:$AH$1001,MATCH(ROWS($AG$2:AG408),$AG$2:$AG$1001,0),1)&gt;=100000,INDEX($AN$1005:$BO$1005,1,MATCH(COLUMNS($AN$1006:BL1006),$AN$1006:$BO$1006,0))&gt;=100000), " ",IF(INDEX($AN$2:$BO$1001,MATCH(ROWS($AG$2:AG408),$AG$2:$AG$1001,0),MATCH(COLUMNS($AN$1006:BL1006),$AN$1006:$BO$1006,0)), HYPERLINK("#",""), HYPERLINK(CONCATENATE("#Metadata!", ADDRESS(INDEX($AI$2:$AI$1001,MATCH(ROWS($AG$2:AG408),$AG$2:$AG$1001,0),0), INDEX($AN$1004:$BO$1004,1,MATCH(COLUMNS($AN$1006:BL1006),$AN$1006:$BO$1006,0)))),"Fix")))</f>
        <v>0</v>
      </c>
      <c r="AA408" s="4">
        <f>IF(OR(INDEX($AH$2:$AH$1001,MATCH(ROWS($AG$2:AG408),$AG$2:$AG$1001,0),1)&gt;=100000,INDEX($AN$1005:$BO$1005,1,MATCH(COLUMNS($AN$1006:BM1006),$AN$1006:$BO$1006,0))&gt;=100000), " ",IF(INDEX($AN$2:$BO$1001,MATCH(ROWS($AG$2:AG408),$AG$2:$AG$1001,0),MATCH(COLUMNS($AN$1006:BM1006),$AN$1006:$BO$1006,0)), HYPERLINK("#",""), HYPERLINK(CONCATENATE("#Metadata!", ADDRESS(INDEX($AI$2:$AI$1001,MATCH(ROWS($AG$2:AG408),$AG$2:$AG$1001,0),0), INDEX($AN$1004:$BO$1004,1,MATCH(COLUMNS($AN$1006:BM1006),$AN$1006:$BO$1006,0)))),"Fix")))</f>
        <v>0</v>
      </c>
      <c r="AB408" s="4">
        <f>IF(OR(INDEX($AH$2:$AH$1001,MATCH(ROWS($AG$2:AG408),$AG$2:$AG$1001,0),1)&gt;=100000,INDEX($AN$1005:$BO$1005,1,MATCH(COLUMNS($AN$1006:BN1006),$AN$1006:$BO$1006,0))&gt;=100000), " ",IF(INDEX($AN$2:$BO$1001,MATCH(ROWS($AG$2:AG408),$AG$2:$AG$1001,0),MATCH(COLUMNS($AN$1006:BN1006),$AN$1006:$BO$1006,0)), HYPERLINK("#",""), HYPERLINK(CONCATENATE("#Metadata!", ADDRESS(INDEX($AI$2:$AI$1001,MATCH(ROWS($AG$2:AG408),$AG$2:$AG$1001,0),0), INDEX($AN$1004:$BO$1004,1,MATCH(COLUMNS($AN$1006:BN1006),$AN$1006:$BO$1006,0)))),"Fix")))</f>
        <v>0</v>
      </c>
      <c r="AC408" s="4">
        <f>IF(OR(INDEX($AH$2:$AH$1001,MATCH(ROWS($AG$2:AG408),$AG$2:$AG$1001,0),1)&gt;=100000,INDEX($AN$1005:$BO$1005,1,MATCH(COLUMNS($AN$1006:BO1006),$AN$1006:$BO$1006,0))&gt;=100000), " ",IF(INDEX($AN$2:$BO$1001,MATCH(ROWS($AG$2:AG408),$AG$2:$AG$1001,0),MATCH(COLUMNS($AN$1006:BO1006),$AN$1006:$BO$1006,0)), HYPERLINK("#",""), HYPERLINK(CONCATENATE("#Metadata!", ADDRESS(INDEX($AI$2:$AI$1001,MATCH(ROWS($AG$2:AG408),$AG$2:$AG$1001,0),0), INDEX($AN$1004:$BO$1004,1,MATCH(COLUMNS($AN$1006:BO1006),$AN$1006:$BO$1006,0)))),"Fix")))</f>
        <v>0</v>
      </c>
      <c r="AG408">
        <v>0</v>
      </c>
      <c r="AH408">
        <v>0</v>
      </c>
      <c r="AI408">
        <v>0</v>
      </c>
      <c r="AJ408">
        <f>IF(AK408,TRUE,AND(AN408:BO408))</f>
        <v>0</v>
      </c>
      <c r="AK408">
        <f>COUNTBLANK(Metadata!B408:AC408)=COLUMNS(Metadata!B408:AC408)</f>
        <v>0</v>
      </c>
      <c r="AL408">
        <v>0</v>
      </c>
      <c r="AN408">
        <f>AND(IF(Metadata!B408="",FALSE,TRUE),COUNTIF(Metadata!B:B, Metadata!B408) = 1,NOT(ISERROR(SUMPRODUCT(SEARCH(MID(Metadata!B408,ROW(INDIRECT("1:"&amp;LEN(Metadata!B408))), 1),"0123456789abcdefghijklmnopqrstuvwxyzABCDEFGHIJKLMNOPQRSTUVWXYZ.")))))</f>
        <v>0</v>
      </c>
      <c r="AO408">
        <f>IF(Metadata!C408="",FALSE,TRUE)</f>
        <v>0</v>
      </c>
      <c r="AP408">
        <f>IF(Metadata!D408="",FALSE,TRUE)</f>
        <v>0</v>
      </c>
      <c r="AQ408">
        <f>OR(AND(IF(Metadata!E408="",FALSE,TRUE),OR(exact(Metadata!E408,"not collected"),exact(Metadata!E408,"not provided"),exact(Metadata!E408,"restricted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R408">
        <f>IF(Metadata!F408="",FALSE,TRUE)</f>
        <v>0</v>
      </c>
      <c r="AS408">
        <f>OR(AND(IF(Metadata!G408="",FALSE,TRUE),OR(exact(Metadata!G408,"not collected"),exact(Metadata!G408,"not provided"))),AND(IF(Metadata!G408="",FALSE,TRUE),OR(exact(Metadata!G408,"TRUE"),exact(Metadata!G408,"FALSE"))))</f>
        <v>0</v>
      </c>
      <c r="AT408">
        <f>OR(AND(IF(Metadata!H408="",FALSE,TRUE),OR(exact(Metadata!H408,"not collected"),exact(Metadata!H408,"not provided"),exact(Metadata!H408,"restricted access"))),AND(IF(Metadata!H408="",FALSE,ISNUMBER(VALUE(Metadata!H408))),Metadata!H408&gt;=-413.0))</f>
        <v>0</v>
      </c>
      <c r="AU408">
        <f>AND(IF(Metadata!I408="",FALSE,TRUE),exact(Metadata!I408,"meters"))</f>
        <v>0</v>
      </c>
      <c r="AV408">
        <f>AND(IF(Metadata!J408="",FALSE,TRUE),OR(exact(Metadata!J408,"Host-associated"),exact(Metadata!J408,"Free-living")))</f>
        <v>0</v>
      </c>
      <c r="AW408">
        <f>AND(IF(Metadata!K408="",FALSE,TRUE),OR(exact(Metadata!K408,"Animal"),exact(Metadata!K408,"Fungus"),exact(Metadata!K408,"Plant"),exact(Metadata!K408,"Saline"),exact(Metadata!K408,"Non-saline")))</f>
        <v>0</v>
      </c>
      <c r="AX408">
        <f>AND(IF(Metadata!L408="",FALSE,TRUE),OR(exact(Metadata!L408,"Plant secretion"),exact(Metadata!L408,"Plant rhizosphere"),exact(Metadata!L408,"Plant surface"),exact(Metadata!L408,"Plant corpus"),exact(Metadata!L408,"Fungus surface"),exact(Metadata!L408,"Fungus corpus"),exact(Metadata!L408,"Animal surface"),exact(Metadata!L408,"Animal proximal gut"),exact(Metadata!L408,"Animal corpus"),exact(Metadata!L408,"Animal distal gut"),exact(Metadata!L408,"Animal secretion"),exact(Metadata!L408,"Sub-surface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Y408">
        <f>IF(Metadata!M408="",FALSE,TRUE)</f>
        <v>0</v>
      </c>
      <c r="AZ408">
        <f>IF(Metadata!N408="",FALSE,TRUE)</f>
        <v>0</v>
      </c>
      <c r="BA408">
        <f>IF(Metadata!O408="",FALSE,TRUE)</f>
        <v>0</v>
      </c>
      <c r="BB408">
        <f>OR(AND(IF(Metadata!P408="",FALSE,TRUE),OR(exact(Metadata!P408,"not collected"),exact(Metadata!P408,"not provided"),exact(Metadata!P408,"restricted access"))),AND(IF(Metadata!P408="",FALSE,TRUE),OR(exact(Metadata!P408,"air"),exact(Metadata!P408,"built environment"),exact(Metadata!P408,"host-associated"),exact(Metadata!P408,"human-associated"),exact(Metadata!P408,"human-skin"),exact(Metadata!P408,"human-oral"),exact(Metadata!P408,"human-gut"),exact(Metadata!P408,"human-vaginal"),exact(Metadata!P408,"microbial mat/biofilm"),exact(Metadata!P408,"misc environment"),exact(Metadata!P408,"plant-associated"),exact(Metadata!P408,"sediment"),exact(Metadata!P408,"soil"),exact(Metadata!P408,"wastewater/sludge"),exact(Metadata!P408,"water"))))</f>
        <v>0</v>
      </c>
      <c r="BC408">
        <f>IF(Metadata!Q408="",FALSE,TRUE)</f>
        <v>0</v>
      </c>
      <c r="BD408">
        <f>IF(Metadata!R408="",FALSE,TRUE)</f>
        <v>0</v>
      </c>
      <c r="BE408">
        <f>OR(AND(IF(Metadata!S408="",FALSE,TRUE),OR(exact(Metadata!S408,"not collected"),exact(Metadata!S408,"not provided"),exact(Metadata!S408,"restricted access"))),AND(IF(Metadata!S408="",FALSE,ISNUMBER(VALUE(Metadata!S408))),Metadata!S408&gt;=-90.00,Metadata!S408&lt;=90.00))</f>
        <v>0</v>
      </c>
      <c r="BF408">
        <f>AND(IF(Metadata!T408="",FALSE,TRUE),exact(Metadata!T408,"Decimal degrees"))</f>
        <v>0</v>
      </c>
      <c r="BG408">
        <f>OR(AND(IF(Metadata!U408="",FALSE,TRUE),OR(exact(Metadata!U408,"not collected"),exact(Metadata!U408,"not provided"),exact(Metadata!U408,"restricted access"))),AND(IF(Metadata!U408="",FALSE,ISNUMBER(VALUE(Metadata!U408))),Metadata!U408&gt;=-180.00,Metadata!U408&lt;=180.00))</f>
        <v>0</v>
      </c>
      <c r="BH408">
        <f>AND(IF(Metadata!V408="",FALSE,TRUE),exact(Metadata!V408,"Decimal degrees"))</f>
        <v>0</v>
      </c>
      <c r="BI408">
        <f>IF(Metadata!W408="",FALSE,TRUE)</f>
        <v>0</v>
      </c>
      <c r="BJ408">
        <f>OR(AND(IF(Metadata!X408="",FALSE,TRUE),OR(exact(Metadata!X408,"not collected"),exact(Metadata!X408,"not provided"),exact(Metadata!X408,"restricted access"))),AND(IF(Metadata!X408="",FALSE,TRUE),OR(exact(Metadata!X408,"TRUE"),exact(Metadata!X408,"FALSE"))))</f>
        <v>0</v>
      </c>
      <c r="BK408">
        <f>AND(IF(Metadata!Y408="",FALSE,TRUE),exact(Metadata!Y408,"other"))</f>
        <v>0</v>
      </c>
      <c r="BL408">
        <f>IF(Metadata!Z408="",FALSE,TRUE)</f>
        <v>0</v>
      </c>
      <c r="BM408">
        <f>OR(AND(IF(Metadata!AA408="",FALSE,TRUE),OR(exact(Metadata!AA408,"not collected"),exact(Metadata!AA408,"not provided"))),AND(IF(Metadata!AA408="",FALSE,IF(ISERROR(INT(Metadata!AA408)),FALSE,INT(Metadata!AA408)=Metadata!AA408)),Metadata!AA408&gt;0))</f>
        <v>0</v>
      </c>
      <c r="BN408">
        <f>AND(IF(Metadata!AB408="",FALSE,TRUE),exact(Metadata!AB408,"Not applicable"))</f>
        <v>0</v>
      </c>
      <c r="BO408">
        <f>IF(Metadata!AC408="",FALSE,TRUE)</f>
        <v>0</v>
      </c>
    </row>
    <row r="409" spans="1:67">
      <c r="A409" s="5">
        <f>IF(B409=" "," ",HYPERLINK(CONCATENATE("#metadata!",ADDRESS(INDEX($AI$2:$AI$1001,MATCH(ROWS($AG$2:AG409),$AG$2:$AG$1001,0),0),1)),INDEX($AL$2:$AL$1001,MATCH(ROWS($AG$2:AG409),$AG$2:$AG$1001,0),0)))</f>
        <v>0</v>
      </c>
      <c r="B409" s="4">
        <f>IF(OR(INDEX($AH$2:$AH$1001,MATCH(ROWS($AG$2:AG409),$AG$2:$AG$1001,0),1)&gt;=100000,INDEX($AN$1005:$BO$1005,1,MATCH(COLUMNS($AN$1006:AN1006),$AN$1006:$BO$1006,0))&gt;=100000), " ",IF(INDEX($AN$2:$BO$1001,MATCH(ROWS($AG$2:AG409),$AG$2:$AG$1001,0),MATCH(COLUMNS($AN$1006:AN1006),$AN$1006:$BO$1006,0)), HYPERLINK("#",""), HYPERLINK(CONCATENATE("#Metadata!", ADDRESS(INDEX($AI$2:$AI$1001,MATCH(ROWS($AG$2:AG409),$AG$2:$AG$1001,0),0), INDEX($AN$1004:$BO$1004,1,MATCH(COLUMNS($AN$1006:AN1006),$AN$1006:$BO$1006,0)))),"Fix")))</f>
        <v>0</v>
      </c>
      <c r="C409" s="4">
        <f>IF(OR(INDEX($AH$2:$AH$1001,MATCH(ROWS($AG$2:AG409),$AG$2:$AG$1001,0),1)&gt;=100000,INDEX($AN$1005:$BO$1005,1,MATCH(COLUMNS($AN$1006:AO1006),$AN$1006:$BO$1006,0))&gt;=100000), " ",IF(INDEX($AN$2:$BO$1001,MATCH(ROWS($AG$2:AG409),$AG$2:$AG$1001,0),MATCH(COLUMNS($AN$1006:AO1006),$AN$1006:$BO$1006,0)), HYPERLINK("#",""), HYPERLINK(CONCATENATE("#Metadata!", ADDRESS(INDEX($AI$2:$AI$1001,MATCH(ROWS($AG$2:AG409),$AG$2:$AG$1001,0),0), INDEX($AN$1004:$BO$1004,1,MATCH(COLUMNS($AN$1006:AO1006),$AN$1006:$BO$1006,0)))),"Fix")))</f>
        <v>0</v>
      </c>
      <c r="D409" s="4">
        <f>IF(OR(INDEX($AH$2:$AH$1001,MATCH(ROWS($AG$2:AG409),$AG$2:$AG$1001,0),1)&gt;=100000,INDEX($AN$1005:$BO$1005,1,MATCH(COLUMNS($AN$1006:AP1006),$AN$1006:$BO$1006,0))&gt;=100000), " ",IF(INDEX($AN$2:$BO$1001,MATCH(ROWS($AG$2:AG409),$AG$2:$AG$1001,0),MATCH(COLUMNS($AN$1006:AP1006),$AN$1006:$BO$1006,0)), HYPERLINK("#",""), HYPERLINK(CONCATENATE("#Metadata!", ADDRESS(INDEX($AI$2:$AI$1001,MATCH(ROWS($AG$2:AG409),$AG$2:$AG$1001,0),0), INDEX($AN$1004:$BO$1004,1,MATCH(COLUMNS($AN$1006:AP1006),$AN$1006:$BO$1006,0)))),"Fix")))</f>
        <v>0</v>
      </c>
      <c r="E409" s="4">
        <f>IF(OR(INDEX($AH$2:$AH$1001,MATCH(ROWS($AG$2:AG409),$AG$2:$AG$1001,0),1)&gt;=100000,INDEX($AN$1005:$BO$1005,1,MATCH(COLUMNS($AN$1006:AQ1006),$AN$1006:$BO$1006,0))&gt;=100000), " ",IF(INDEX($AN$2:$BO$1001,MATCH(ROWS($AG$2:AG409),$AG$2:$AG$1001,0),MATCH(COLUMNS($AN$1006:AQ1006),$AN$1006:$BO$1006,0)), HYPERLINK("#",""), HYPERLINK(CONCATENATE("#Metadata!", ADDRESS(INDEX($AI$2:$AI$1001,MATCH(ROWS($AG$2:AG409),$AG$2:$AG$1001,0),0), INDEX($AN$1004:$BO$1004,1,MATCH(COLUMNS($AN$1006:AQ1006),$AN$1006:$BO$1006,0)))),"Fix")))</f>
        <v>0</v>
      </c>
      <c r="F409" s="4">
        <f>IF(OR(INDEX($AH$2:$AH$1001,MATCH(ROWS($AG$2:AG409),$AG$2:$AG$1001,0),1)&gt;=100000,INDEX($AN$1005:$BO$1005,1,MATCH(COLUMNS($AN$1006:AR1006),$AN$1006:$BO$1006,0))&gt;=100000), " ",IF(INDEX($AN$2:$BO$1001,MATCH(ROWS($AG$2:AG409),$AG$2:$AG$1001,0),MATCH(COLUMNS($AN$1006:AR1006),$AN$1006:$BO$1006,0)), HYPERLINK("#",""), HYPERLINK(CONCATENATE("#Metadata!", ADDRESS(INDEX($AI$2:$AI$1001,MATCH(ROWS($AG$2:AG409),$AG$2:$AG$1001,0),0), INDEX($AN$1004:$BO$1004,1,MATCH(COLUMNS($AN$1006:AR1006),$AN$1006:$BO$1006,0)))),"Fix")))</f>
        <v>0</v>
      </c>
      <c r="G409" s="4">
        <f>IF(OR(INDEX($AH$2:$AH$1001,MATCH(ROWS($AG$2:AG409),$AG$2:$AG$1001,0),1)&gt;=100000,INDEX($AN$1005:$BO$1005,1,MATCH(COLUMNS($AN$1006:AS1006),$AN$1006:$BO$1006,0))&gt;=100000), " ",IF(INDEX($AN$2:$BO$1001,MATCH(ROWS($AG$2:AG409),$AG$2:$AG$1001,0),MATCH(COLUMNS($AN$1006:AS1006),$AN$1006:$BO$1006,0)), HYPERLINK("#",""), HYPERLINK(CONCATENATE("#Metadata!", ADDRESS(INDEX($AI$2:$AI$1001,MATCH(ROWS($AG$2:AG409),$AG$2:$AG$1001,0),0), INDEX($AN$1004:$BO$1004,1,MATCH(COLUMNS($AN$1006:AS1006),$AN$1006:$BO$1006,0)))),"Fix")))</f>
        <v>0</v>
      </c>
      <c r="H409" s="4">
        <f>IF(OR(INDEX($AH$2:$AH$1001,MATCH(ROWS($AG$2:AG409),$AG$2:$AG$1001,0),1)&gt;=100000,INDEX($AN$1005:$BO$1005,1,MATCH(COLUMNS($AN$1006:AT1006),$AN$1006:$BO$1006,0))&gt;=100000), " ",IF(INDEX($AN$2:$BO$1001,MATCH(ROWS($AG$2:AG409),$AG$2:$AG$1001,0),MATCH(COLUMNS($AN$1006:AT1006),$AN$1006:$BO$1006,0)), HYPERLINK("#",""), HYPERLINK(CONCATENATE("#Metadata!", ADDRESS(INDEX($AI$2:$AI$1001,MATCH(ROWS($AG$2:AG409),$AG$2:$AG$1001,0),0), INDEX($AN$1004:$BO$1004,1,MATCH(COLUMNS($AN$1006:AT1006),$AN$1006:$BO$1006,0)))),"Fix")))</f>
        <v>0</v>
      </c>
      <c r="I409" s="4">
        <f>IF(OR(INDEX($AH$2:$AH$1001,MATCH(ROWS($AG$2:AG409),$AG$2:$AG$1001,0),1)&gt;=100000,INDEX($AN$1005:$BO$1005,1,MATCH(COLUMNS($AN$1006:AU1006),$AN$1006:$BO$1006,0))&gt;=100000), " ",IF(INDEX($AN$2:$BO$1001,MATCH(ROWS($AG$2:AG409),$AG$2:$AG$1001,0),MATCH(COLUMNS($AN$1006:AU1006),$AN$1006:$BO$1006,0)), HYPERLINK("#",""), HYPERLINK(CONCATENATE("#Metadata!", ADDRESS(INDEX($AI$2:$AI$1001,MATCH(ROWS($AG$2:AG409),$AG$2:$AG$1001,0),0), INDEX($AN$1004:$BO$1004,1,MATCH(COLUMNS($AN$1006:AU1006),$AN$1006:$BO$1006,0)))),"Fix")))</f>
        <v>0</v>
      </c>
      <c r="J409" s="4">
        <f>IF(OR(INDEX($AH$2:$AH$1001,MATCH(ROWS($AG$2:AG409),$AG$2:$AG$1001,0),1)&gt;=100000,INDEX($AN$1005:$BO$1005,1,MATCH(COLUMNS($AN$1006:AV1006),$AN$1006:$BO$1006,0))&gt;=100000), " ",IF(INDEX($AN$2:$BO$1001,MATCH(ROWS($AG$2:AG409),$AG$2:$AG$1001,0),MATCH(COLUMNS($AN$1006:AV1006),$AN$1006:$BO$1006,0)), HYPERLINK("#",""), HYPERLINK(CONCATENATE("#Metadata!", ADDRESS(INDEX($AI$2:$AI$1001,MATCH(ROWS($AG$2:AG409),$AG$2:$AG$1001,0),0), INDEX($AN$1004:$BO$1004,1,MATCH(COLUMNS($AN$1006:AV1006),$AN$1006:$BO$1006,0)))),"Fix")))</f>
        <v>0</v>
      </c>
      <c r="K409" s="4">
        <f>IF(OR(INDEX($AH$2:$AH$1001,MATCH(ROWS($AG$2:AG409),$AG$2:$AG$1001,0),1)&gt;=100000,INDEX($AN$1005:$BO$1005,1,MATCH(COLUMNS($AN$1006:AW1006),$AN$1006:$BO$1006,0))&gt;=100000), " ",IF(INDEX($AN$2:$BO$1001,MATCH(ROWS($AG$2:AG409),$AG$2:$AG$1001,0),MATCH(COLUMNS($AN$1006:AW1006),$AN$1006:$BO$1006,0)), HYPERLINK("#",""), HYPERLINK(CONCATENATE("#Metadata!", ADDRESS(INDEX($AI$2:$AI$1001,MATCH(ROWS($AG$2:AG409),$AG$2:$AG$1001,0),0), INDEX($AN$1004:$BO$1004,1,MATCH(COLUMNS($AN$1006:AW1006),$AN$1006:$BO$1006,0)))),"Fix")))</f>
        <v>0</v>
      </c>
      <c r="L409" s="4">
        <f>IF(OR(INDEX($AH$2:$AH$1001,MATCH(ROWS($AG$2:AG409),$AG$2:$AG$1001,0),1)&gt;=100000,INDEX($AN$1005:$BO$1005,1,MATCH(COLUMNS($AN$1006:AX1006),$AN$1006:$BO$1006,0))&gt;=100000), " ",IF(INDEX($AN$2:$BO$1001,MATCH(ROWS($AG$2:AG409),$AG$2:$AG$1001,0),MATCH(COLUMNS($AN$1006:AX1006),$AN$1006:$BO$1006,0)), HYPERLINK("#",""), HYPERLINK(CONCATENATE("#Metadata!", ADDRESS(INDEX($AI$2:$AI$1001,MATCH(ROWS($AG$2:AG409),$AG$2:$AG$1001,0),0), INDEX($AN$1004:$BO$1004,1,MATCH(COLUMNS($AN$1006:AX1006),$AN$1006:$BO$1006,0)))),"Fix")))</f>
        <v>0</v>
      </c>
      <c r="M409" s="4">
        <f>IF(OR(INDEX($AH$2:$AH$1001,MATCH(ROWS($AG$2:AG409),$AG$2:$AG$1001,0),1)&gt;=100000,INDEX($AN$1005:$BO$1005,1,MATCH(COLUMNS($AN$1006:AY1006),$AN$1006:$BO$1006,0))&gt;=100000), " ",IF(INDEX($AN$2:$BO$1001,MATCH(ROWS($AG$2:AG409),$AG$2:$AG$1001,0),MATCH(COLUMNS($AN$1006:AY1006),$AN$1006:$BO$1006,0)), HYPERLINK("#",""), HYPERLINK(CONCATENATE("#Metadata!", ADDRESS(INDEX($AI$2:$AI$1001,MATCH(ROWS($AG$2:AG409),$AG$2:$AG$1001,0),0), INDEX($AN$1004:$BO$1004,1,MATCH(COLUMNS($AN$1006:AY1006),$AN$1006:$BO$1006,0)))),"Fix")))</f>
        <v>0</v>
      </c>
      <c r="N409" s="4">
        <f>IF(OR(INDEX($AH$2:$AH$1001,MATCH(ROWS($AG$2:AG409),$AG$2:$AG$1001,0),1)&gt;=100000,INDEX($AN$1005:$BO$1005,1,MATCH(COLUMNS($AN$1006:AZ1006),$AN$1006:$BO$1006,0))&gt;=100000), " ",IF(INDEX($AN$2:$BO$1001,MATCH(ROWS($AG$2:AG409),$AG$2:$AG$1001,0),MATCH(COLUMNS($AN$1006:AZ1006),$AN$1006:$BO$1006,0)), HYPERLINK("#",""), HYPERLINK(CONCATENATE("#Metadata!", ADDRESS(INDEX($AI$2:$AI$1001,MATCH(ROWS($AG$2:AG409),$AG$2:$AG$1001,0),0), INDEX($AN$1004:$BO$1004,1,MATCH(COLUMNS($AN$1006:AZ1006),$AN$1006:$BO$1006,0)))),"Fix")))</f>
        <v>0</v>
      </c>
      <c r="O409" s="4">
        <f>IF(OR(INDEX($AH$2:$AH$1001,MATCH(ROWS($AG$2:AG409),$AG$2:$AG$1001,0),1)&gt;=100000,INDEX($AN$1005:$BO$1005,1,MATCH(COLUMNS($AN$1006:BA1006),$AN$1006:$BO$1006,0))&gt;=100000), " ",IF(INDEX($AN$2:$BO$1001,MATCH(ROWS($AG$2:AG409),$AG$2:$AG$1001,0),MATCH(COLUMNS($AN$1006:BA1006),$AN$1006:$BO$1006,0)), HYPERLINK("#",""), HYPERLINK(CONCATENATE("#Metadata!", ADDRESS(INDEX($AI$2:$AI$1001,MATCH(ROWS($AG$2:AG409),$AG$2:$AG$1001,0),0), INDEX($AN$1004:$BO$1004,1,MATCH(COLUMNS($AN$1006:BA1006),$AN$1006:$BO$1006,0)))),"Fix")))</f>
        <v>0</v>
      </c>
      <c r="P409" s="4">
        <f>IF(OR(INDEX($AH$2:$AH$1001,MATCH(ROWS($AG$2:AG409),$AG$2:$AG$1001,0),1)&gt;=100000,INDEX($AN$1005:$BO$1005,1,MATCH(COLUMNS($AN$1006:BB1006),$AN$1006:$BO$1006,0))&gt;=100000), " ",IF(INDEX($AN$2:$BO$1001,MATCH(ROWS($AG$2:AG409),$AG$2:$AG$1001,0),MATCH(COLUMNS($AN$1006:BB1006),$AN$1006:$BO$1006,0)), HYPERLINK("#",""), HYPERLINK(CONCATENATE("#Metadata!", ADDRESS(INDEX($AI$2:$AI$1001,MATCH(ROWS($AG$2:AG409),$AG$2:$AG$1001,0),0), INDEX($AN$1004:$BO$1004,1,MATCH(COLUMNS($AN$1006:BB1006),$AN$1006:$BO$1006,0)))),"Fix")))</f>
        <v>0</v>
      </c>
      <c r="Q409" s="4">
        <f>IF(OR(INDEX($AH$2:$AH$1001,MATCH(ROWS($AG$2:AG409),$AG$2:$AG$1001,0),1)&gt;=100000,INDEX($AN$1005:$BO$1005,1,MATCH(COLUMNS($AN$1006:BC1006),$AN$1006:$BO$1006,0))&gt;=100000), " ",IF(INDEX($AN$2:$BO$1001,MATCH(ROWS($AG$2:AG409),$AG$2:$AG$1001,0),MATCH(COLUMNS($AN$1006:BC1006),$AN$1006:$BO$1006,0)), HYPERLINK("#",""), HYPERLINK(CONCATENATE("#Metadata!", ADDRESS(INDEX($AI$2:$AI$1001,MATCH(ROWS($AG$2:AG409),$AG$2:$AG$1001,0),0), INDEX($AN$1004:$BO$1004,1,MATCH(COLUMNS($AN$1006:BC1006),$AN$1006:$BO$1006,0)))),"Fix")))</f>
        <v>0</v>
      </c>
      <c r="R409" s="4">
        <f>IF(OR(INDEX($AH$2:$AH$1001,MATCH(ROWS($AG$2:AG409),$AG$2:$AG$1001,0),1)&gt;=100000,INDEX($AN$1005:$BO$1005,1,MATCH(COLUMNS($AN$1006:BD1006),$AN$1006:$BO$1006,0))&gt;=100000), " ",IF(INDEX($AN$2:$BO$1001,MATCH(ROWS($AG$2:AG409),$AG$2:$AG$1001,0),MATCH(COLUMNS($AN$1006:BD1006),$AN$1006:$BO$1006,0)), HYPERLINK("#",""), HYPERLINK(CONCATENATE("#Metadata!", ADDRESS(INDEX($AI$2:$AI$1001,MATCH(ROWS($AG$2:AG409),$AG$2:$AG$1001,0),0), INDEX($AN$1004:$BO$1004,1,MATCH(COLUMNS($AN$1006:BD1006),$AN$1006:$BO$1006,0)))),"Fix")))</f>
        <v>0</v>
      </c>
      <c r="S409" s="4">
        <f>IF(OR(INDEX($AH$2:$AH$1001,MATCH(ROWS($AG$2:AG409),$AG$2:$AG$1001,0),1)&gt;=100000,INDEX($AN$1005:$BO$1005,1,MATCH(COLUMNS($AN$1006:BE1006),$AN$1006:$BO$1006,0))&gt;=100000), " ",IF(INDEX($AN$2:$BO$1001,MATCH(ROWS($AG$2:AG409),$AG$2:$AG$1001,0),MATCH(COLUMNS($AN$1006:BE1006),$AN$1006:$BO$1006,0)), HYPERLINK("#",""), HYPERLINK(CONCATENATE("#Metadata!", ADDRESS(INDEX($AI$2:$AI$1001,MATCH(ROWS($AG$2:AG409),$AG$2:$AG$1001,0),0), INDEX($AN$1004:$BO$1004,1,MATCH(COLUMNS($AN$1006:BE1006),$AN$1006:$BO$1006,0)))),"Fix")))</f>
        <v>0</v>
      </c>
      <c r="T409" s="4">
        <f>IF(OR(INDEX($AH$2:$AH$1001,MATCH(ROWS($AG$2:AG409),$AG$2:$AG$1001,0),1)&gt;=100000,INDEX($AN$1005:$BO$1005,1,MATCH(COLUMNS($AN$1006:BF1006),$AN$1006:$BO$1006,0))&gt;=100000), " ",IF(INDEX($AN$2:$BO$1001,MATCH(ROWS($AG$2:AG409),$AG$2:$AG$1001,0),MATCH(COLUMNS($AN$1006:BF1006),$AN$1006:$BO$1006,0)), HYPERLINK("#",""), HYPERLINK(CONCATENATE("#Metadata!", ADDRESS(INDEX($AI$2:$AI$1001,MATCH(ROWS($AG$2:AG409),$AG$2:$AG$1001,0),0), INDEX($AN$1004:$BO$1004,1,MATCH(COLUMNS($AN$1006:BF1006),$AN$1006:$BO$1006,0)))),"Fix")))</f>
        <v>0</v>
      </c>
      <c r="U409" s="4">
        <f>IF(OR(INDEX($AH$2:$AH$1001,MATCH(ROWS($AG$2:AG409),$AG$2:$AG$1001,0),1)&gt;=100000,INDEX($AN$1005:$BO$1005,1,MATCH(COLUMNS($AN$1006:BG1006),$AN$1006:$BO$1006,0))&gt;=100000), " ",IF(INDEX($AN$2:$BO$1001,MATCH(ROWS($AG$2:AG409),$AG$2:$AG$1001,0),MATCH(COLUMNS($AN$1006:BG1006),$AN$1006:$BO$1006,0)), HYPERLINK("#",""), HYPERLINK(CONCATENATE("#Metadata!", ADDRESS(INDEX($AI$2:$AI$1001,MATCH(ROWS($AG$2:AG409),$AG$2:$AG$1001,0),0), INDEX($AN$1004:$BO$1004,1,MATCH(COLUMNS($AN$1006:BG1006),$AN$1006:$BO$1006,0)))),"Fix")))</f>
        <v>0</v>
      </c>
      <c r="V409" s="4">
        <f>IF(OR(INDEX($AH$2:$AH$1001,MATCH(ROWS($AG$2:AG409),$AG$2:$AG$1001,0),1)&gt;=100000,INDEX($AN$1005:$BO$1005,1,MATCH(COLUMNS($AN$1006:BH1006),$AN$1006:$BO$1006,0))&gt;=100000), " ",IF(INDEX($AN$2:$BO$1001,MATCH(ROWS($AG$2:AG409),$AG$2:$AG$1001,0),MATCH(COLUMNS($AN$1006:BH1006),$AN$1006:$BO$1006,0)), HYPERLINK("#",""), HYPERLINK(CONCATENATE("#Metadata!", ADDRESS(INDEX($AI$2:$AI$1001,MATCH(ROWS($AG$2:AG409),$AG$2:$AG$1001,0),0), INDEX($AN$1004:$BO$1004,1,MATCH(COLUMNS($AN$1006:BH1006),$AN$1006:$BO$1006,0)))),"Fix")))</f>
        <v>0</v>
      </c>
      <c r="W409" s="4">
        <f>IF(OR(INDEX($AH$2:$AH$1001,MATCH(ROWS($AG$2:AG409),$AG$2:$AG$1001,0),1)&gt;=100000,INDEX($AN$1005:$BO$1005,1,MATCH(COLUMNS($AN$1006:BI1006),$AN$1006:$BO$1006,0))&gt;=100000), " ",IF(INDEX($AN$2:$BO$1001,MATCH(ROWS($AG$2:AG409),$AG$2:$AG$1001,0),MATCH(COLUMNS($AN$1006:BI1006),$AN$1006:$BO$1006,0)), HYPERLINK("#",""), HYPERLINK(CONCATENATE("#Metadata!", ADDRESS(INDEX($AI$2:$AI$1001,MATCH(ROWS($AG$2:AG409),$AG$2:$AG$1001,0),0), INDEX($AN$1004:$BO$1004,1,MATCH(COLUMNS($AN$1006:BI1006),$AN$1006:$BO$1006,0)))),"Fix")))</f>
        <v>0</v>
      </c>
      <c r="X409" s="4">
        <f>IF(OR(INDEX($AH$2:$AH$1001,MATCH(ROWS($AG$2:AG409),$AG$2:$AG$1001,0),1)&gt;=100000,INDEX($AN$1005:$BO$1005,1,MATCH(COLUMNS($AN$1006:BJ1006),$AN$1006:$BO$1006,0))&gt;=100000), " ",IF(INDEX($AN$2:$BO$1001,MATCH(ROWS($AG$2:AG409),$AG$2:$AG$1001,0),MATCH(COLUMNS($AN$1006:BJ1006),$AN$1006:$BO$1006,0)), HYPERLINK("#",""), HYPERLINK(CONCATENATE("#Metadata!", ADDRESS(INDEX($AI$2:$AI$1001,MATCH(ROWS($AG$2:AG409),$AG$2:$AG$1001,0),0), INDEX($AN$1004:$BO$1004,1,MATCH(COLUMNS($AN$1006:BJ1006),$AN$1006:$BO$1006,0)))),"Fix")))</f>
        <v>0</v>
      </c>
      <c r="Y409" s="4">
        <f>IF(OR(INDEX($AH$2:$AH$1001,MATCH(ROWS($AG$2:AG409),$AG$2:$AG$1001,0),1)&gt;=100000,INDEX($AN$1005:$BO$1005,1,MATCH(COLUMNS($AN$1006:BK1006),$AN$1006:$BO$1006,0))&gt;=100000), " ",IF(INDEX($AN$2:$BO$1001,MATCH(ROWS($AG$2:AG409),$AG$2:$AG$1001,0),MATCH(COLUMNS($AN$1006:BK1006),$AN$1006:$BO$1006,0)), HYPERLINK("#",""), HYPERLINK(CONCATENATE("#Metadata!", ADDRESS(INDEX($AI$2:$AI$1001,MATCH(ROWS($AG$2:AG409),$AG$2:$AG$1001,0),0), INDEX($AN$1004:$BO$1004,1,MATCH(COLUMNS($AN$1006:BK1006),$AN$1006:$BO$1006,0)))),"Fix")))</f>
        <v>0</v>
      </c>
      <c r="Z409" s="4">
        <f>IF(OR(INDEX($AH$2:$AH$1001,MATCH(ROWS($AG$2:AG409),$AG$2:$AG$1001,0),1)&gt;=100000,INDEX($AN$1005:$BO$1005,1,MATCH(COLUMNS($AN$1006:BL1006),$AN$1006:$BO$1006,0))&gt;=100000), " ",IF(INDEX($AN$2:$BO$1001,MATCH(ROWS($AG$2:AG409),$AG$2:$AG$1001,0),MATCH(COLUMNS($AN$1006:BL1006),$AN$1006:$BO$1006,0)), HYPERLINK("#",""), HYPERLINK(CONCATENATE("#Metadata!", ADDRESS(INDEX($AI$2:$AI$1001,MATCH(ROWS($AG$2:AG409),$AG$2:$AG$1001,0),0), INDEX($AN$1004:$BO$1004,1,MATCH(COLUMNS($AN$1006:BL1006),$AN$1006:$BO$1006,0)))),"Fix")))</f>
        <v>0</v>
      </c>
      <c r="AA409" s="4">
        <f>IF(OR(INDEX($AH$2:$AH$1001,MATCH(ROWS($AG$2:AG409),$AG$2:$AG$1001,0),1)&gt;=100000,INDEX($AN$1005:$BO$1005,1,MATCH(COLUMNS($AN$1006:BM1006),$AN$1006:$BO$1006,0))&gt;=100000), " ",IF(INDEX($AN$2:$BO$1001,MATCH(ROWS($AG$2:AG409),$AG$2:$AG$1001,0),MATCH(COLUMNS($AN$1006:BM1006),$AN$1006:$BO$1006,0)), HYPERLINK("#",""), HYPERLINK(CONCATENATE("#Metadata!", ADDRESS(INDEX($AI$2:$AI$1001,MATCH(ROWS($AG$2:AG409),$AG$2:$AG$1001,0),0), INDEX($AN$1004:$BO$1004,1,MATCH(COLUMNS($AN$1006:BM1006),$AN$1006:$BO$1006,0)))),"Fix")))</f>
        <v>0</v>
      </c>
      <c r="AB409" s="4">
        <f>IF(OR(INDEX($AH$2:$AH$1001,MATCH(ROWS($AG$2:AG409),$AG$2:$AG$1001,0),1)&gt;=100000,INDEX($AN$1005:$BO$1005,1,MATCH(COLUMNS($AN$1006:BN1006),$AN$1006:$BO$1006,0))&gt;=100000), " ",IF(INDEX($AN$2:$BO$1001,MATCH(ROWS($AG$2:AG409),$AG$2:$AG$1001,0),MATCH(COLUMNS($AN$1006:BN1006),$AN$1006:$BO$1006,0)), HYPERLINK("#",""), HYPERLINK(CONCATENATE("#Metadata!", ADDRESS(INDEX($AI$2:$AI$1001,MATCH(ROWS($AG$2:AG409),$AG$2:$AG$1001,0),0), INDEX($AN$1004:$BO$1004,1,MATCH(COLUMNS($AN$1006:BN1006),$AN$1006:$BO$1006,0)))),"Fix")))</f>
        <v>0</v>
      </c>
      <c r="AC409" s="4">
        <f>IF(OR(INDEX($AH$2:$AH$1001,MATCH(ROWS($AG$2:AG409),$AG$2:$AG$1001,0),1)&gt;=100000,INDEX($AN$1005:$BO$1005,1,MATCH(COLUMNS($AN$1006:BO1006),$AN$1006:$BO$1006,0))&gt;=100000), " ",IF(INDEX($AN$2:$BO$1001,MATCH(ROWS($AG$2:AG409),$AG$2:$AG$1001,0),MATCH(COLUMNS($AN$1006:BO1006),$AN$1006:$BO$1006,0)), HYPERLINK("#",""), HYPERLINK(CONCATENATE("#Metadata!", ADDRESS(INDEX($AI$2:$AI$1001,MATCH(ROWS($AG$2:AG409),$AG$2:$AG$1001,0),0), INDEX($AN$1004:$BO$1004,1,MATCH(COLUMNS($AN$1006:BO1006),$AN$1006:$BO$1006,0)))),"Fix")))</f>
        <v>0</v>
      </c>
      <c r="AG409">
        <v>0</v>
      </c>
      <c r="AH409">
        <v>0</v>
      </c>
      <c r="AI409">
        <v>0</v>
      </c>
      <c r="AJ409">
        <f>IF(AK409,TRUE,AND(AN409:BO409))</f>
        <v>0</v>
      </c>
      <c r="AK409">
        <f>COUNTBLANK(Metadata!B409:AC409)=COLUMNS(Metadata!B409:AC409)</f>
        <v>0</v>
      </c>
      <c r="AL409">
        <v>0</v>
      </c>
      <c r="AN409">
        <f>AND(IF(Metadata!B409="",FALSE,TRUE),COUNTIF(Metadata!B:B, Metadata!B409) = 1,NOT(ISERROR(SUMPRODUCT(SEARCH(MID(Metadata!B409,ROW(INDIRECT("1:"&amp;LEN(Metadata!B409))), 1),"0123456789abcdefghijklmnopqrstuvwxyzABCDEFGHIJKLMNOPQRSTUVWXYZ.")))))</f>
        <v>0</v>
      </c>
      <c r="AO409">
        <f>IF(Metadata!C409="",FALSE,TRUE)</f>
        <v>0</v>
      </c>
      <c r="AP409">
        <f>IF(Metadata!D409="",FALSE,TRUE)</f>
        <v>0</v>
      </c>
      <c r="AQ409">
        <f>OR(AND(IF(Metadata!E409="",FALSE,TRUE),OR(exact(Metadata!E409,"not collected"),exact(Metadata!E409,"not provided"),exact(Metadata!E409,"restricted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R409">
        <f>IF(Metadata!F409="",FALSE,TRUE)</f>
        <v>0</v>
      </c>
      <c r="AS409">
        <f>OR(AND(IF(Metadata!G409="",FALSE,TRUE),OR(exact(Metadata!G409,"not collected"),exact(Metadata!G409,"not provided"))),AND(IF(Metadata!G409="",FALSE,TRUE),OR(exact(Metadata!G409,"TRUE"),exact(Metadata!G409,"FALSE"))))</f>
        <v>0</v>
      </c>
      <c r="AT409">
        <f>OR(AND(IF(Metadata!H409="",FALSE,TRUE),OR(exact(Metadata!H409,"not collected"),exact(Metadata!H409,"not provided"),exact(Metadata!H409,"restricted access"))),AND(IF(Metadata!H409="",FALSE,ISNUMBER(VALUE(Metadata!H409))),Metadata!H409&gt;=-413.0))</f>
        <v>0</v>
      </c>
      <c r="AU409">
        <f>AND(IF(Metadata!I409="",FALSE,TRUE),exact(Metadata!I409,"meters"))</f>
        <v>0</v>
      </c>
      <c r="AV409">
        <f>AND(IF(Metadata!J409="",FALSE,TRUE),OR(exact(Metadata!J409,"Host-associated"),exact(Metadata!J409,"Free-living")))</f>
        <v>0</v>
      </c>
      <c r="AW409">
        <f>AND(IF(Metadata!K409="",FALSE,TRUE),OR(exact(Metadata!K409,"Animal"),exact(Metadata!K409,"Fungus"),exact(Metadata!K409,"Plant"),exact(Metadata!K409,"Saline"),exact(Metadata!K409,"Non-saline")))</f>
        <v>0</v>
      </c>
      <c r="AX409">
        <f>AND(IF(Metadata!L409="",FALSE,TRUE),OR(exact(Metadata!L409,"Plant secretion"),exact(Metadata!L409,"Plant rhizosphere"),exact(Metadata!L409,"Plant surface"),exact(Metadata!L409,"Plant corpus"),exact(Metadata!L409,"Fungus surface"),exact(Metadata!L409,"Fungus corpus"),exact(Metadata!L409,"Animal surface"),exact(Metadata!L409,"Animal proximal gut"),exact(Metadata!L409,"Animal corpus"),exact(Metadata!L409,"Animal distal gut"),exact(Metadata!L409,"Animal secretion"),exact(Metadata!L409,"Sub-surface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Y409">
        <f>IF(Metadata!M409="",FALSE,TRUE)</f>
        <v>0</v>
      </c>
      <c r="AZ409">
        <f>IF(Metadata!N409="",FALSE,TRUE)</f>
        <v>0</v>
      </c>
      <c r="BA409">
        <f>IF(Metadata!O409="",FALSE,TRUE)</f>
        <v>0</v>
      </c>
      <c r="BB409">
        <f>OR(AND(IF(Metadata!P409="",FALSE,TRUE),OR(exact(Metadata!P409,"not collected"),exact(Metadata!P409,"not provided"),exact(Metadata!P409,"restricted access"))),AND(IF(Metadata!P409="",FALSE,TRUE),OR(exact(Metadata!P409,"air"),exact(Metadata!P409,"built environment"),exact(Metadata!P409,"host-associated"),exact(Metadata!P409,"human-associated"),exact(Metadata!P409,"human-skin"),exact(Metadata!P409,"human-oral"),exact(Metadata!P409,"human-gut"),exact(Metadata!P409,"human-vaginal"),exact(Metadata!P409,"microbial mat/biofilm"),exact(Metadata!P409,"misc environment"),exact(Metadata!P409,"plant-associated"),exact(Metadata!P409,"sediment"),exact(Metadata!P409,"soil"),exact(Metadata!P409,"wastewater/sludge"),exact(Metadata!P409,"water"))))</f>
        <v>0</v>
      </c>
      <c r="BC409">
        <f>IF(Metadata!Q409="",FALSE,TRUE)</f>
        <v>0</v>
      </c>
      <c r="BD409">
        <f>IF(Metadata!R409="",FALSE,TRUE)</f>
        <v>0</v>
      </c>
      <c r="BE409">
        <f>OR(AND(IF(Metadata!S409="",FALSE,TRUE),OR(exact(Metadata!S409,"not collected"),exact(Metadata!S409,"not provided"),exact(Metadata!S409,"restricted access"))),AND(IF(Metadata!S409="",FALSE,ISNUMBER(VALUE(Metadata!S409))),Metadata!S409&gt;=-90.00,Metadata!S409&lt;=90.00))</f>
        <v>0</v>
      </c>
      <c r="BF409">
        <f>AND(IF(Metadata!T409="",FALSE,TRUE),exact(Metadata!T409,"Decimal degrees"))</f>
        <v>0</v>
      </c>
      <c r="BG409">
        <f>OR(AND(IF(Metadata!U409="",FALSE,TRUE),OR(exact(Metadata!U409,"not collected"),exact(Metadata!U409,"not provided"),exact(Metadata!U409,"restricted access"))),AND(IF(Metadata!U409="",FALSE,ISNUMBER(VALUE(Metadata!U409))),Metadata!U409&gt;=-180.00,Metadata!U409&lt;=180.00))</f>
        <v>0</v>
      </c>
      <c r="BH409">
        <f>AND(IF(Metadata!V409="",FALSE,TRUE),exact(Metadata!V409,"Decimal degrees"))</f>
        <v>0</v>
      </c>
      <c r="BI409">
        <f>IF(Metadata!W409="",FALSE,TRUE)</f>
        <v>0</v>
      </c>
      <c r="BJ409">
        <f>OR(AND(IF(Metadata!X409="",FALSE,TRUE),OR(exact(Metadata!X409,"not collected"),exact(Metadata!X409,"not provided"),exact(Metadata!X409,"restricted access"))),AND(IF(Metadata!X409="",FALSE,TRUE),OR(exact(Metadata!X409,"TRUE"),exact(Metadata!X409,"FALSE"))))</f>
        <v>0</v>
      </c>
      <c r="BK409">
        <f>AND(IF(Metadata!Y409="",FALSE,TRUE),exact(Metadata!Y409,"other"))</f>
        <v>0</v>
      </c>
      <c r="BL409">
        <f>IF(Metadata!Z409="",FALSE,TRUE)</f>
        <v>0</v>
      </c>
      <c r="BM409">
        <f>OR(AND(IF(Metadata!AA409="",FALSE,TRUE),OR(exact(Metadata!AA409,"not collected"),exact(Metadata!AA409,"not provided"))),AND(IF(Metadata!AA409="",FALSE,IF(ISERROR(INT(Metadata!AA409)),FALSE,INT(Metadata!AA409)=Metadata!AA409)),Metadata!AA409&gt;0))</f>
        <v>0</v>
      </c>
      <c r="BN409">
        <f>AND(IF(Metadata!AB409="",FALSE,TRUE),exact(Metadata!AB409,"Not applicable"))</f>
        <v>0</v>
      </c>
      <c r="BO409">
        <f>IF(Metadata!AC409="",FALSE,TRUE)</f>
        <v>0</v>
      </c>
    </row>
    <row r="410" spans="1:67">
      <c r="A410" s="5">
        <f>IF(B410=" "," ",HYPERLINK(CONCATENATE("#metadata!",ADDRESS(INDEX($AI$2:$AI$1001,MATCH(ROWS($AG$2:AG410),$AG$2:$AG$1001,0),0),1)),INDEX($AL$2:$AL$1001,MATCH(ROWS($AG$2:AG410),$AG$2:$AG$1001,0),0)))</f>
        <v>0</v>
      </c>
      <c r="B410" s="4">
        <f>IF(OR(INDEX($AH$2:$AH$1001,MATCH(ROWS($AG$2:AG410),$AG$2:$AG$1001,0),1)&gt;=100000,INDEX($AN$1005:$BO$1005,1,MATCH(COLUMNS($AN$1006:AN1006),$AN$1006:$BO$1006,0))&gt;=100000), " ",IF(INDEX($AN$2:$BO$1001,MATCH(ROWS($AG$2:AG410),$AG$2:$AG$1001,0),MATCH(COLUMNS($AN$1006:AN1006),$AN$1006:$BO$1006,0)), HYPERLINK("#",""), HYPERLINK(CONCATENATE("#Metadata!", ADDRESS(INDEX($AI$2:$AI$1001,MATCH(ROWS($AG$2:AG410),$AG$2:$AG$1001,0),0), INDEX($AN$1004:$BO$1004,1,MATCH(COLUMNS($AN$1006:AN1006),$AN$1006:$BO$1006,0)))),"Fix")))</f>
        <v>0</v>
      </c>
      <c r="C410" s="4">
        <f>IF(OR(INDEX($AH$2:$AH$1001,MATCH(ROWS($AG$2:AG410),$AG$2:$AG$1001,0),1)&gt;=100000,INDEX($AN$1005:$BO$1005,1,MATCH(COLUMNS($AN$1006:AO1006),$AN$1006:$BO$1006,0))&gt;=100000), " ",IF(INDEX($AN$2:$BO$1001,MATCH(ROWS($AG$2:AG410),$AG$2:$AG$1001,0),MATCH(COLUMNS($AN$1006:AO1006),$AN$1006:$BO$1006,0)), HYPERLINK("#",""), HYPERLINK(CONCATENATE("#Metadata!", ADDRESS(INDEX($AI$2:$AI$1001,MATCH(ROWS($AG$2:AG410),$AG$2:$AG$1001,0),0), INDEX($AN$1004:$BO$1004,1,MATCH(COLUMNS($AN$1006:AO1006),$AN$1006:$BO$1006,0)))),"Fix")))</f>
        <v>0</v>
      </c>
      <c r="D410" s="4">
        <f>IF(OR(INDEX($AH$2:$AH$1001,MATCH(ROWS($AG$2:AG410),$AG$2:$AG$1001,0),1)&gt;=100000,INDEX($AN$1005:$BO$1005,1,MATCH(COLUMNS($AN$1006:AP1006),$AN$1006:$BO$1006,0))&gt;=100000), " ",IF(INDEX($AN$2:$BO$1001,MATCH(ROWS($AG$2:AG410),$AG$2:$AG$1001,0),MATCH(COLUMNS($AN$1006:AP1006),$AN$1006:$BO$1006,0)), HYPERLINK("#",""), HYPERLINK(CONCATENATE("#Metadata!", ADDRESS(INDEX($AI$2:$AI$1001,MATCH(ROWS($AG$2:AG410),$AG$2:$AG$1001,0),0), INDEX($AN$1004:$BO$1004,1,MATCH(COLUMNS($AN$1006:AP1006),$AN$1006:$BO$1006,0)))),"Fix")))</f>
        <v>0</v>
      </c>
      <c r="E410" s="4">
        <f>IF(OR(INDEX($AH$2:$AH$1001,MATCH(ROWS($AG$2:AG410),$AG$2:$AG$1001,0),1)&gt;=100000,INDEX($AN$1005:$BO$1005,1,MATCH(COLUMNS($AN$1006:AQ1006),$AN$1006:$BO$1006,0))&gt;=100000), " ",IF(INDEX($AN$2:$BO$1001,MATCH(ROWS($AG$2:AG410),$AG$2:$AG$1001,0),MATCH(COLUMNS($AN$1006:AQ1006),$AN$1006:$BO$1006,0)), HYPERLINK("#",""), HYPERLINK(CONCATENATE("#Metadata!", ADDRESS(INDEX($AI$2:$AI$1001,MATCH(ROWS($AG$2:AG410),$AG$2:$AG$1001,0),0), INDEX($AN$1004:$BO$1004,1,MATCH(COLUMNS($AN$1006:AQ1006),$AN$1006:$BO$1006,0)))),"Fix")))</f>
        <v>0</v>
      </c>
      <c r="F410" s="4">
        <f>IF(OR(INDEX($AH$2:$AH$1001,MATCH(ROWS($AG$2:AG410),$AG$2:$AG$1001,0),1)&gt;=100000,INDEX($AN$1005:$BO$1005,1,MATCH(COLUMNS($AN$1006:AR1006),$AN$1006:$BO$1006,0))&gt;=100000), " ",IF(INDEX($AN$2:$BO$1001,MATCH(ROWS($AG$2:AG410),$AG$2:$AG$1001,0),MATCH(COLUMNS($AN$1006:AR1006),$AN$1006:$BO$1006,0)), HYPERLINK("#",""), HYPERLINK(CONCATENATE("#Metadata!", ADDRESS(INDEX($AI$2:$AI$1001,MATCH(ROWS($AG$2:AG410),$AG$2:$AG$1001,0),0), INDEX($AN$1004:$BO$1004,1,MATCH(COLUMNS($AN$1006:AR1006),$AN$1006:$BO$1006,0)))),"Fix")))</f>
        <v>0</v>
      </c>
      <c r="G410" s="4">
        <f>IF(OR(INDEX($AH$2:$AH$1001,MATCH(ROWS($AG$2:AG410),$AG$2:$AG$1001,0),1)&gt;=100000,INDEX($AN$1005:$BO$1005,1,MATCH(COLUMNS($AN$1006:AS1006),$AN$1006:$BO$1006,0))&gt;=100000), " ",IF(INDEX($AN$2:$BO$1001,MATCH(ROWS($AG$2:AG410),$AG$2:$AG$1001,0),MATCH(COLUMNS($AN$1006:AS1006),$AN$1006:$BO$1006,0)), HYPERLINK("#",""), HYPERLINK(CONCATENATE("#Metadata!", ADDRESS(INDEX($AI$2:$AI$1001,MATCH(ROWS($AG$2:AG410),$AG$2:$AG$1001,0),0), INDEX($AN$1004:$BO$1004,1,MATCH(COLUMNS($AN$1006:AS1006),$AN$1006:$BO$1006,0)))),"Fix")))</f>
        <v>0</v>
      </c>
      <c r="H410" s="4">
        <f>IF(OR(INDEX($AH$2:$AH$1001,MATCH(ROWS($AG$2:AG410),$AG$2:$AG$1001,0),1)&gt;=100000,INDEX($AN$1005:$BO$1005,1,MATCH(COLUMNS($AN$1006:AT1006),$AN$1006:$BO$1006,0))&gt;=100000), " ",IF(INDEX($AN$2:$BO$1001,MATCH(ROWS($AG$2:AG410),$AG$2:$AG$1001,0),MATCH(COLUMNS($AN$1006:AT1006),$AN$1006:$BO$1006,0)), HYPERLINK("#",""), HYPERLINK(CONCATENATE("#Metadata!", ADDRESS(INDEX($AI$2:$AI$1001,MATCH(ROWS($AG$2:AG410),$AG$2:$AG$1001,0),0), INDEX($AN$1004:$BO$1004,1,MATCH(COLUMNS($AN$1006:AT1006),$AN$1006:$BO$1006,0)))),"Fix")))</f>
        <v>0</v>
      </c>
      <c r="I410" s="4">
        <f>IF(OR(INDEX($AH$2:$AH$1001,MATCH(ROWS($AG$2:AG410),$AG$2:$AG$1001,0),1)&gt;=100000,INDEX($AN$1005:$BO$1005,1,MATCH(COLUMNS($AN$1006:AU1006),$AN$1006:$BO$1006,0))&gt;=100000), " ",IF(INDEX($AN$2:$BO$1001,MATCH(ROWS($AG$2:AG410),$AG$2:$AG$1001,0),MATCH(COLUMNS($AN$1006:AU1006),$AN$1006:$BO$1006,0)), HYPERLINK("#",""), HYPERLINK(CONCATENATE("#Metadata!", ADDRESS(INDEX($AI$2:$AI$1001,MATCH(ROWS($AG$2:AG410),$AG$2:$AG$1001,0),0), INDEX($AN$1004:$BO$1004,1,MATCH(COLUMNS($AN$1006:AU1006),$AN$1006:$BO$1006,0)))),"Fix")))</f>
        <v>0</v>
      </c>
      <c r="J410" s="4">
        <f>IF(OR(INDEX($AH$2:$AH$1001,MATCH(ROWS($AG$2:AG410),$AG$2:$AG$1001,0),1)&gt;=100000,INDEX($AN$1005:$BO$1005,1,MATCH(COLUMNS($AN$1006:AV1006),$AN$1006:$BO$1006,0))&gt;=100000), " ",IF(INDEX($AN$2:$BO$1001,MATCH(ROWS($AG$2:AG410),$AG$2:$AG$1001,0),MATCH(COLUMNS($AN$1006:AV1006),$AN$1006:$BO$1006,0)), HYPERLINK("#",""), HYPERLINK(CONCATENATE("#Metadata!", ADDRESS(INDEX($AI$2:$AI$1001,MATCH(ROWS($AG$2:AG410),$AG$2:$AG$1001,0),0), INDEX($AN$1004:$BO$1004,1,MATCH(COLUMNS($AN$1006:AV1006),$AN$1006:$BO$1006,0)))),"Fix")))</f>
        <v>0</v>
      </c>
      <c r="K410" s="4">
        <f>IF(OR(INDEX($AH$2:$AH$1001,MATCH(ROWS($AG$2:AG410),$AG$2:$AG$1001,0),1)&gt;=100000,INDEX($AN$1005:$BO$1005,1,MATCH(COLUMNS($AN$1006:AW1006),$AN$1006:$BO$1006,0))&gt;=100000), " ",IF(INDEX($AN$2:$BO$1001,MATCH(ROWS($AG$2:AG410),$AG$2:$AG$1001,0),MATCH(COLUMNS($AN$1006:AW1006),$AN$1006:$BO$1006,0)), HYPERLINK("#",""), HYPERLINK(CONCATENATE("#Metadata!", ADDRESS(INDEX($AI$2:$AI$1001,MATCH(ROWS($AG$2:AG410),$AG$2:$AG$1001,0),0), INDEX($AN$1004:$BO$1004,1,MATCH(COLUMNS($AN$1006:AW1006),$AN$1006:$BO$1006,0)))),"Fix")))</f>
        <v>0</v>
      </c>
      <c r="L410" s="4">
        <f>IF(OR(INDEX($AH$2:$AH$1001,MATCH(ROWS($AG$2:AG410),$AG$2:$AG$1001,0),1)&gt;=100000,INDEX($AN$1005:$BO$1005,1,MATCH(COLUMNS($AN$1006:AX1006),$AN$1006:$BO$1006,0))&gt;=100000), " ",IF(INDEX($AN$2:$BO$1001,MATCH(ROWS($AG$2:AG410),$AG$2:$AG$1001,0),MATCH(COLUMNS($AN$1006:AX1006),$AN$1006:$BO$1006,0)), HYPERLINK("#",""), HYPERLINK(CONCATENATE("#Metadata!", ADDRESS(INDEX($AI$2:$AI$1001,MATCH(ROWS($AG$2:AG410),$AG$2:$AG$1001,0),0), INDEX($AN$1004:$BO$1004,1,MATCH(COLUMNS($AN$1006:AX1006),$AN$1006:$BO$1006,0)))),"Fix")))</f>
        <v>0</v>
      </c>
      <c r="M410" s="4">
        <f>IF(OR(INDEX($AH$2:$AH$1001,MATCH(ROWS($AG$2:AG410),$AG$2:$AG$1001,0),1)&gt;=100000,INDEX($AN$1005:$BO$1005,1,MATCH(COLUMNS($AN$1006:AY1006),$AN$1006:$BO$1006,0))&gt;=100000), " ",IF(INDEX($AN$2:$BO$1001,MATCH(ROWS($AG$2:AG410),$AG$2:$AG$1001,0),MATCH(COLUMNS($AN$1006:AY1006),$AN$1006:$BO$1006,0)), HYPERLINK("#",""), HYPERLINK(CONCATENATE("#Metadata!", ADDRESS(INDEX($AI$2:$AI$1001,MATCH(ROWS($AG$2:AG410),$AG$2:$AG$1001,0),0), INDEX($AN$1004:$BO$1004,1,MATCH(COLUMNS($AN$1006:AY1006),$AN$1006:$BO$1006,0)))),"Fix")))</f>
        <v>0</v>
      </c>
      <c r="N410" s="4">
        <f>IF(OR(INDEX($AH$2:$AH$1001,MATCH(ROWS($AG$2:AG410),$AG$2:$AG$1001,0),1)&gt;=100000,INDEX($AN$1005:$BO$1005,1,MATCH(COLUMNS($AN$1006:AZ1006),$AN$1006:$BO$1006,0))&gt;=100000), " ",IF(INDEX($AN$2:$BO$1001,MATCH(ROWS($AG$2:AG410),$AG$2:$AG$1001,0),MATCH(COLUMNS($AN$1006:AZ1006),$AN$1006:$BO$1006,0)), HYPERLINK("#",""), HYPERLINK(CONCATENATE("#Metadata!", ADDRESS(INDEX($AI$2:$AI$1001,MATCH(ROWS($AG$2:AG410),$AG$2:$AG$1001,0),0), INDEX($AN$1004:$BO$1004,1,MATCH(COLUMNS($AN$1006:AZ1006),$AN$1006:$BO$1006,0)))),"Fix")))</f>
        <v>0</v>
      </c>
      <c r="O410" s="4">
        <f>IF(OR(INDEX($AH$2:$AH$1001,MATCH(ROWS($AG$2:AG410),$AG$2:$AG$1001,0),1)&gt;=100000,INDEX($AN$1005:$BO$1005,1,MATCH(COLUMNS($AN$1006:BA1006),$AN$1006:$BO$1006,0))&gt;=100000), " ",IF(INDEX($AN$2:$BO$1001,MATCH(ROWS($AG$2:AG410),$AG$2:$AG$1001,0),MATCH(COLUMNS($AN$1006:BA1006),$AN$1006:$BO$1006,0)), HYPERLINK("#",""), HYPERLINK(CONCATENATE("#Metadata!", ADDRESS(INDEX($AI$2:$AI$1001,MATCH(ROWS($AG$2:AG410),$AG$2:$AG$1001,0),0), INDEX($AN$1004:$BO$1004,1,MATCH(COLUMNS($AN$1006:BA1006),$AN$1006:$BO$1006,0)))),"Fix")))</f>
        <v>0</v>
      </c>
      <c r="P410" s="4">
        <f>IF(OR(INDEX($AH$2:$AH$1001,MATCH(ROWS($AG$2:AG410),$AG$2:$AG$1001,0),1)&gt;=100000,INDEX($AN$1005:$BO$1005,1,MATCH(COLUMNS($AN$1006:BB1006),$AN$1006:$BO$1006,0))&gt;=100000), " ",IF(INDEX($AN$2:$BO$1001,MATCH(ROWS($AG$2:AG410),$AG$2:$AG$1001,0),MATCH(COLUMNS($AN$1006:BB1006),$AN$1006:$BO$1006,0)), HYPERLINK("#",""), HYPERLINK(CONCATENATE("#Metadata!", ADDRESS(INDEX($AI$2:$AI$1001,MATCH(ROWS($AG$2:AG410),$AG$2:$AG$1001,0),0), INDEX($AN$1004:$BO$1004,1,MATCH(COLUMNS($AN$1006:BB1006),$AN$1006:$BO$1006,0)))),"Fix")))</f>
        <v>0</v>
      </c>
      <c r="Q410" s="4">
        <f>IF(OR(INDEX($AH$2:$AH$1001,MATCH(ROWS($AG$2:AG410),$AG$2:$AG$1001,0),1)&gt;=100000,INDEX($AN$1005:$BO$1005,1,MATCH(COLUMNS($AN$1006:BC1006),$AN$1006:$BO$1006,0))&gt;=100000), " ",IF(INDEX($AN$2:$BO$1001,MATCH(ROWS($AG$2:AG410),$AG$2:$AG$1001,0),MATCH(COLUMNS($AN$1006:BC1006),$AN$1006:$BO$1006,0)), HYPERLINK("#",""), HYPERLINK(CONCATENATE("#Metadata!", ADDRESS(INDEX($AI$2:$AI$1001,MATCH(ROWS($AG$2:AG410),$AG$2:$AG$1001,0),0), INDEX($AN$1004:$BO$1004,1,MATCH(COLUMNS($AN$1006:BC1006),$AN$1006:$BO$1006,0)))),"Fix")))</f>
        <v>0</v>
      </c>
      <c r="R410" s="4">
        <f>IF(OR(INDEX($AH$2:$AH$1001,MATCH(ROWS($AG$2:AG410),$AG$2:$AG$1001,0),1)&gt;=100000,INDEX($AN$1005:$BO$1005,1,MATCH(COLUMNS($AN$1006:BD1006),$AN$1006:$BO$1006,0))&gt;=100000), " ",IF(INDEX($AN$2:$BO$1001,MATCH(ROWS($AG$2:AG410),$AG$2:$AG$1001,0),MATCH(COLUMNS($AN$1006:BD1006),$AN$1006:$BO$1006,0)), HYPERLINK("#",""), HYPERLINK(CONCATENATE("#Metadata!", ADDRESS(INDEX($AI$2:$AI$1001,MATCH(ROWS($AG$2:AG410),$AG$2:$AG$1001,0),0), INDEX($AN$1004:$BO$1004,1,MATCH(COLUMNS($AN$1006:BD1006),$AN$1006:$BO$1006,0)))),"Fix")))</f>
        <v>0</v>
      </c>
      <c r="S410" s="4">
        <f>IF(OR(INDEX($AH$2:$AH$1001,MATCH(ROWS($AG$2:AG410),$AG$2:$AG$1001,0),1)&gt;=100000,INDEX($AN$1005:$BO$1005,1,MATCH(COLUMNS($AN$1006:BE1006),$AN$1006:$BO$1006,0))&gt;=100000), " ",IF(INDEX($AN$2:$BO$1001,MATCH(ROWS($AG$2:AG410),$AG$2:$AG$1001,0),MATCH(COLUMNS($AN$1006:BE1006),$AN$1006:$BO$1006,0)), HYPERLINK("#",""), HYPERLINK(CONCATENATE("#Metadata!", ADDRESS(INDEX($AI$2:$AI$1001,MATCH(ROWS($AG$2:AG410),$AG$2:$AG$1001,0),0), INDEX($AN$1004:$BO$1004,1,MATCH(COLUMNS($AN$1006:BE1006),$AN$1006:$BO$1006,0)))),"Fix")))</f>
        <v>0</v>
      </c>
      <c r="T410" s="4">
        <f>IF(OR(INDEX($AH$2:$AH$1001,MATCH(ROWS($AG$2:AG410),$AG$2:$AG$1001,0),1)&gt;=100000,INDEX($AN$1005:$BO$1005,1,MATCH(COLUMNS($AN$1006:BF1006),$AN$1006:$BO$1006,0))&gt;=100000), " ",IF(INDEX($AN$2:$BO$1001,MATCH(ROWS($AG$2:AG410),$AG$2:$AG$1001,0),MATCH(COLUMNS($AN$1006:BF1006),$AN$1006:$BO$1006,0)), HYPERLINK("#",""), HYPERLINK(CONCATENATE("#Metadata!", ADDRESS(INDEX($AI$2:$AI$1001,MATCH(ROWS($AG$2:AG410),$AG$2:$AG$1001,0),0), INDEX($AN$1004:$BO$1004,1,MATCH(COLUMNS($AN$1006:BF1006),$AN$1006:$BO$1006,0)))),"Fix")))</f>
        <v>0</v>
      </c>
      <c r="U410" s="4">
        <f>IF(OR(INDEX($AH$2:$AH$1001,MATCH(ROWS($AG$2:AG410),$AG$2:$AG$1001,0),1)&gt;=100000,INDEX($AN$1005:$BO$1005,1,MATCH(COLUMNS($AN$1006:BG1006),$AN$1006:$BO$1006,0))&gt;=100000), " ",IF(INDEX($AN$2:$BO$1001,MATCH(ROWS($AG$2:AG410),$AG$2:$AG$1001,0),MATCH(COLUMNS($AN$1006:BG1006),$AN$1006:$BO$1006,0)), HYPERLINK("#",""), HYPERLINK(CONCATENATE("#Metadata!", ADDRESS(INDEX($AI$2:$AI$1001,MATCH(ROWS($AG$2:AG410),$AG$2:$AG$1001,0),0), INDEX($AN$1004:$BO$1004,1,MATCH(COLUMNS($AN$1006:BG1006),$AN$1006:$BO$1006,0)))),"Fix")))</f>
        <v>0</v>
      </c>
      <c r="V410" s="4">
        <f>IF(OR(INDEX($AH$2:$AH$1001,MATCH(ROWS($AG$2:AG410),$AG$2:$AG$1001,0),1)&gt;=100000,INDEX($AN$1005:$BO$1005,1,MATCH(COLUMNS($AN$1006:BH1006),$AN$1006:$BO$1006,0))&gt;=100000), " ",IF(INDEX($AN$2:$BO$1001,MATCH(ROWS($AG$2:AG410),$AG$2:$AG$1001,0),MATCH(COLUMNS($AN$1006:BH1006),$AN$1006:$BO$1006,0)), HYPERLINK("#",""), HYPERLINK(CONCATENATE("#Metadata!", ADDRESS(INDEX($AI$2:$AI$1001,MATCH(ROWS($AG$2:AG410),$AG$2:$AG$1001,0),0), INDEX($AN$1004:$BO$1004,1,MATCH(COLUMNS($AN$1006:BH1006),$AN$1006:$BO$1006,0)))),"Fix")))</f>
        <v>0</v>
      </c>
      <c r="W410" s="4">
        <f>IF(OR(INDEX($AH$2:$AH$1001,MATCH(ROWS($AG$2:AG410),$AG$2:$AG$1001,0),1)&gt;=100000,INDEX($AN$1005:$BO$1005,1,MATCH(COLUMNS($AN$1006:BI1006),$AN$1006:$BO$1006,0))&gt;=100000), " ",IF(INDEX($AN$2:$BO$1001,MATCH(ROWS($AG$2:AG410),$AG$2:$AG$1001,0),MATCH(COLUMNS($AN$1006:BI1006),$AN$1006:$BO$1006,0)), HYPERLINK("#",""), HYPERLINK(CONCATENATE("#Metadata!", ADDRESS(INDEX($AI$2:$AI$1001,MATCH(ROWS($AG$2:AG410),$AG$2:$AG$1001,0),0), INDEX($AN$1004:$BO$1004,1,MATCH(COLUMNS($AN$1006:BI1006),$AN$1006:$BO$1006,0)))),"Fix")))</f>
        <v>0</v>
      </c>
      <c r="X410" s="4">
        <f>IF(OR(INDEX($AH$2:$AH$1001,MATCH(ROWS($AG$2:AG410),$AG$2:$AG$1001,0),1)&gt;=100000,INDEX($AN$1005:$BO$1005,1,MATCH(COLUMNS($AN$1006:BJ1006),$AN$1006:$BO$1006,0))&gt;=100000), " ",IF(INDEX($AN$2:$BO$1001,MATCH(ROWS($AG$2:AG410),$AG$2:$AG$1001,0),MATCH(COLUMNS($AN$1006:BJ1006),$AN$1006:$BO$1006,0)), HYPERLINK("#",""), HYPERLINK(CONCATENATE("#Metadata!", ADDRESS(INDEX($AI$2:$AI$1001,MATCH(ROWS($AG$2:AG410),$AG$2:$AG$1001,0),0), INDEX($AN$1004:$BO$1004,1,MATCH(COLUMNS($AN$1006:BJ1006),$AN$1006:$BO$1006,0)))),"Fix")))</f>
        <v>0</v>
      </c>
      <c r="Y410" s="4">
        <f>IF(OR(INDEX($AH$2:$AH$1001,MATCH(ROWS($AG$2:AG410),$AG$2:$AG$1001,0),1)&gt;=100000,INDEX($AN$1005:$BO$1005,1,MATCH(COLUMNS($AN$1006:BK1006),$AN$1006:$BO$1006,0))&gt;=100000), " ",IF(INDEX($AN$2:$BO$1001,MATCH(ROWS($AG$2:AG410),$AG$2:$AG$1001,0),MATCH(COLUMNS($AN$1006:BK1006),$AN$1006:$BO$1006,0)), HYPERLINK("#",""), HYPERLINK(CONCATENATE("#Metadata!", ADDRESS(INDEX($AI$2:$AI$1001,MATCH(ROWS($AG$2:AG410),$AG$2:$AG$1001,0),0), INDEX($AN$1004:$BO$1004,1,MATCH(COLUMNS($AN$1006:BK1006),$AN$1006:$BO$1006,0)))),"Fix")))</f>
        <v>0</v>
      </c>
      <c r="Z410" s="4">
        <f>IF(OR(INDEX($AH$2:$AH$1001,MATCH(ROWS($AG$2:AG410),$AG$2:$AG$1001,0),1)&gt;=100000,INDEX($AN$1005:$BO$1005,1,MATCH(COLUMNS($AN$1006:BL1006),$AN$1006:$BO$1006,0))&gt;=100000), " ",IF(INDEX($AN$2:$BO$1001,MATCH(ROWS($AG$2:AG410),$AG$2:$AG$1001,0),MATCH(COLUMNS($AN$1006:BL1006),$AN$1006:$BO$1006,0)), HYPERLINK("#",""), HYPERLINK(CONCATENATE("#Metadata!", ADDRESS(INDEX($AI$2:$AI$1001,MATCH(ROWS($AG$2:AG410),$AG$2:$AG$1001,0),0), INDEX($AN$1004:$BO$1004,1,MATCH(COLUMNS($AN$1006:BL1006),$AN$1006:$BO$1006,0)))),"Fix")))</f>
        <v>0</v>
      </c>
      <c r="AA410" s="4">
        <f>IF(OR(INDEX($AH$2:$AH$1001,MATCH(ROWS($AG$2:AG410),$AG$2:$AG$1001,0),1)&gt;=100000,INDEX($AN$1005:$BO$1005,1,MATCH(COLUMNS($AN$1006:BM1006),$AN$1006:$BO$1006,0))&gt;=100000), " ",IF(INDEX($AN$2:$BO$1001,MATCH(ROWS($AG$2:AG410),$AG$2:$AG$1001,0),MATCH(COLUMNS($AN$1006:BM1006),$AN$1006:$BO$1006,0)), HYPERLINK("#",""), HYPERLINK(CONCATENATE("#Metadata!", ADDRESS(INDEX($AI$2:$AI$1001,MATCH(ROWS($AG$2:AG410),$AG$2:$AG$1001,0),0), INDEX($AN$1004:$BO$1004,1,MATCH(COLUMNS($AN$1006:BM1006),$AN$1006:$BO$1006,0)))),"Fix")))</f>
        <v>0</v>
      </c>
      <c r="AB410" s="4">
        <f>IF(OR(INDEX($AH$2:$AH$1001,MATCH(ROWS($AG$2:AG410),$AG$2:$AG$1001,0),1)&gt;=100000,INDEX($AN$1005:$BO$1005,1,MATCH(COLUMNS($AN$1006:BN1006),$AN$1006:$BO$1006,0))&gt;=100000), " ",IF(INDEX($AN$2:$BO$1001,MATCH(ROWS($AG$2:AG410),$AG$2:$AG$1001,0),MATCH(COLUMNS($AN$1006:BN1006),$AN$1006:$BO$1006,0)), HYPERLINK("#",""), HYPERLINK(CONCATENATE("#Metadata!", ADDRESS(INDEX($AI$2:$AI$1001,MATCH(ROWS($AG$2:AG410),$AG$2:$AG$1001,0),0), INDEX($AN$1004:$BO$1004,1,MATCH(COLUMNS($AN$1006:BN1006),$AN$1006:$BO$1006,0)))),"Fix")))</f>
        <v>0</v>
      </c>
      <c r="AC410" s="4">
        <f>IF(OR(INDEX($AH$2:$AH$1001,MATCH(ROWS($AG$2:AG410),$AG$2:$AG$1001,0),1)&gt;=100000,INDEX($AN$1005:$BO$1005,1,MATCH(COLUMNS($AN$1006:BO1006),$AN$1006:$BO$1006,0))&gt;=100000), " ",IF(INDEX($AN$2:$BO$1001,MATCH(ROWS($AG$2:AG410),$AG$2:$AG$1001,0),MATCH(COLUMNS($AN$1006:BO1006),$AN$1006:$BO$1006,0)), HYPERLINK("#",""), HYPERLINK(CONCATENATE("#Metadata!", ADDRESS(INDEX($AI$2:$AI$1001,MATCH(ROWS($AG$2:AG410),$AG$2:$AG$1001,0),0), INDEX($AN$1004:$BO$1004,1,MATCH(COLUMNS($AN$1006:BO1006),$AN$1006:$BO$1006,0)))),"Fix")))</f>
        <v>0</v>
      </c>
      <c r="AG410">
        <v>0</v>
      </c>
      <c r="AH410">
        <v>0</v>
      </c>
      <c r="AI410">
        <v>0</v>
      </c>
      <c r="AJ410">
        <f>IF(AK410,TRUE,AND(AN410:BO410))</f>
        <v>0</v>
      </c>
      <c r="AK410">
        <f>COUNTBLANK(Metadata!B410:AC410)=COLUMNS(Metadata!B410:AC410)</f>
        <v>0</v>
      </c>
      <c r="AL410">
        <v>0</v>
      </c>
      <c r="AN410">
        <f>AND(IF(Metadata!B410="",FALSE,TRUE),COUNTIF(Metadata!B:B, Metadata!B410) = 1,NOT(ISERROR(SUMPRODUCT(SEARCH(MID(Metadata!B410,ROW(INDIRECT("1:"&amp;LEN(Metadata!B410))), 1),"0123456789abcdefghijklmnopqrstuvwxyzABCDEFGHIJKLMNOPQRSTUVWXYZ.")))))</f>
        <v>0</v>
      </c>
      <c r="AO410">
        <f>IF(Metadata!C410="",FALSE,TRUE)</f>
        <v>0</v>
      </c>
      <c r="AP410">
        <f>IF(Metadata!D410="",FALSE,TRUE)</f>
        <v>0</v>
      </c>
      <c r="AQ410">
        <f>OR(AND(IF(Metadata!E410="",FALSE,TRUE),OR(exact(Metadata!E410,"not collected"),exact(Metadata!E410,"not provided"),exact(Metadata!E410,"restricted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R410">
        <f>IF(Metadata!F410="",FALSE,TRUE)</f>
        <v>0</v>
      </c>
      <c r="AS410">
        <f>OR(AND(IF(Metadata!G410="",FALSE,TRUE),OR(exact(Metadata!G410,"not collected"),exact(Metadata!G410,"not provided"))),AND(IF(Metadata!G410="",FALSE,TRUE),OR(exact(Metadata!G410,"TRUE"),exact(Metadata!G410,"FALSE"))))</f>
        <v>0</v>
      </c>
      <c r="AT410">
        <f>OR(AND(IF(Metadata!H410="",FALSE,TRUE),OR(exact(Metadata!H410,"not collected"),exact(Metadata!H410,"not provided"),exact(Metadata!H410,"restricted access"))),AND(IF(Metadata!H410="",FALSE,ISNUMBER(VALUE(Metadata!H410))),Metadata!H410&gt;=-413.0))</f>
        <v>0</v>
      </c>
      <c r="AU410">
        <f>AND(IF(Metadata!I410="",FALSE,TRUE),exact(Metadata!I410,"meters"))</f>
        <v>0</v>
      </c>
      <c r="AV410">
        <f>AND(IF(Metadata!J410="",FALSE,TRUE),OR(exact(Metadata!J410,"Host-associated"),exact(Metadata!J410,"Free-living")))</f>
        <v>0</v>
      </c>
      <c r="AW410">
        <f>AND(IF(Metadata!K410="",FALSE,TRUE),OR(exact(Metadata!K410,"Animal"),exact(Metadata!K410,"Fungus"),exact(Metadata!K410,"Plant"),exact(Metadata!K410,"Saline"),exact(Metadata!K410,"Non-saline")))</f>
        <v>0</v>
      </c>
      <c r="AX410">
        <f>AND(IF(Metadata!L410="",FALSE,TRUE),OR(exact(Metadata!L410,"Plant secretion"),exact(Metadata!L410,"Plant rhizosphere"),exact(Metadata!L410,"Plant surface"),exact(Metadata!L410,"Plant corpus"),exact(Metadata!L410,"Fungus surface"),exact(Metadata!L410,"Fungus corpus"),exact(Metadata!L410,"Animal surface"),exact(Metadata!L410,"Animal proximal gut"),exact(Metadata!L410,"Animal corpus"),exact(Metadata!L410,"Animal distal gut"),exact(Metadata!L410,"Animal secretion"),exact(Metadata!L410,"Sub-surface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Y410">
        <f>IF(Metadata!M410="",FALSE,TRUE)</f>
        <v>0</v>
      </c>
      <c r="AZ410">
        <f>IF(Metadata!N410="",FALSE,TRUE)</f>
        <v>0</v>
      </c>
      <c r="BA410">
        <f>IF(Metadata!O410="",FALSE,TRUE)</f>
        <v>0</v>
      </c>
      <c r="BB410">
        <f>OR(AND(IF(Metadata!P410="",FALSE,TRUE),OR(exact(Metadata!P410,"not collected"),exact(Metadata!P410,"not provided"),exact(Metadata!P410,"restricted access"))),AND(IF(Metadata!P410="",FALSE,TRUE),OR(exact(Metadata!P410,"air"),exact(Metadata!P410,"built environment"),exact(Metadata!P410,"host-associated"),exact(Metadata!P410,"human-associated"),exact(Metadata!P410,"human-skin"),exact(Metadata!P410,"human-oral"),exact(Metadata!P410,"human-gut"),exact(Metadata!P410,"human-vaginal"),exact(Metadata!P410,"microbial mat/biofilm"),exact(Metadata!P410,"misc environment"),exact(Metadata!P410,"plant-associated"),exact(Metadata!P410,"sediment"),exact(Metadata!P410,"soil"),exact(Metadata!P410,"wastewater/sludge"),exact(Metadata!P410,"water"))))</f>
        <v>0</v>
      </c>
      <c r="BC410">
        <f>IF(Metadata!Q410="",FALSE,TRUE)</f>
        <v>0</v>
      </c>
      <c r="BD410">
        <f>IF(Metadata!R410="",FALSE,TRUE)</f>
        <v>0</v>
      </c>
      <c r="BE410">
        <f>OR(AND(IF(Metadata!S410="",FALSE,TRUE),OR(exact(Metadata!S410,"not collected"),exact(Metadata!S410,"not provided"),exact(Metadata!S410,"restricted access"))),AND(IF(Metadata!S410="",FALSE,ISNUMBER(VALUE(Metadata!S410))),Metadata!S410&gt;=-90.00,Metadata!S410&lt;=90.00))</f>
        <v>0</v>
      </c>
      <c r="BF410">
        <f>AND(IF(Metadata!T410="",FALSE,TRUE),exact(Metadata!T410,"Decimal degrees"))</f>
        <v>0</v>
      </c>
      <c r="BG410">
        <f>OR(AND(IF(Metadata!U410="",FALSE,TRUE),OR(exact(Metadata!U410,"not collected"),exact(Metadata!U410,"not provided"),exact(Metadata!U410,"restricted access"))),AND(IF(Metadata!U410="",FALSE,ISNUMBER(VALUE(Metadata!U410))),Metadata!U410&gt;=-180.00,Metadata!U410&lt;=180.00))</f>
        <v>0</v>
      </c>
      <c r="BH410">
        <f>AND(IF(Metadata!V410="",FALSE,TRUE),exact(Metadata!V410,"Decimal degrees"))</f>
        <v>0</v>
      </c>
      <c r="BI410">
        <f>IF(Metadata!W410="",FALSE,TRUE)</f>
        <v>0</v>
      </c>
      <c r="BJ410">
        <f>OR(AND(IF(Metadata!X410="",FALSE,TRUE),OR(exact(Metadata!X410,"not collected"),exact(Metadata!X410,"not provided"),exact(Metadata!X410,"restricted access"))),AND(IF(Metadata!X410="",FALSE,TRUE),OR(exact(Metadata!X410,"TRUE"),exact(Metadata!X410,"FALSE"))))</f>
        <v>0</v>
      </c>
      <c r="BK410">
        <f>AND(IF(Metadata!Y410="",FALSE,TRUE),exact(Metadata!Y410,"other"))</f>
        <v>0</v>
      </c>
      <c r="BL410">
        <f>IF(Metadata!Z410="",FALSE,TRUE)</f>
        <v>0</v>
      </c>
      <c r="BM410">
        <f>OR(AND(IF(Metadata!AA410="",FALSE,TRUE),OR(exact(Metadata!AA410,"not collected"),exact(Metadata!AA410,"not provided"))),AND(IF(Metadata!AA410="",FALSE,IF(ISERROR(INT(Metadata!AA410)),FALSE,INT(Metadata!AA410)=Metadata!AA410)),Metadata!AA410&gt;0))</f>
        <v>0</v>
      </c>
      <c r="BN410">
        <f>AND(IF(Metadata!AB410="",FALSE,TRUE),exact(Metadata!AB410,"Not applicable"))</f>
        <v>0</v>
      </c>
      <c r="BO410">
        <f>IF(Metadata!AC410="",FALSE,TRUE)</f>
        <v>0</v>
      </c>
    </row>
    <row r="411" spans="1:67">
      <c r="A411" s="5">
        <f>IF(B411=" "," ",HYPERLINK(CONCATENATE("#metadata!",ADDRESS(INDEX($AI$2:$AI$1001,MATCH(ROWS($AG$2:AG411),$AG$2:$AG$1001,0),0),1)),INDEX($AL$2:$AL$1001,MATCH(ROWS($AG$2:AG411),$AG$2:$AG$1001,0),0)))</f>
        <v>0</v>
      </c>
      <c r="B411" s="4">
        <f>IF(OR(INDEX($AH$2:$AH$1001,MATCH(ROWS($AG$2:AG411),$AG$2:$AG$1001,0),1)&gt;=100000,INDEX($AN$1005:$BO$1005,1,MATCH(COLUMNS($AN$1006:AN1006),$AN$1006:$BO$1006,0))&gt;=100000), " ",IF(INDEX($AN$2:$BO$1001,MATCH(ROWS($AG$2:AG411),$AG$2:$AG$1001,0),MATCH(COLUMNS($AN$1006:AN1006),$AN$1006:$BO$1006,0)), HYPERLINK("#",""), HYPERLINK(CONCATENATE("#Metadata!", ADDRESS(INDEX($AI$2:$AI$1001,MATCH(ROWS($AG$2:AG411),$AG$2:$AG$1001,0),0), INDEX($AN$1004:$BO$1004,1,MATCH(COLUMNS($AN$1006:AN1006),$AN$1006:$BO$1006,0)))),"Fix")))</f>
        <v>0</v>
      </c>
      <c r="C411" s="4">
        <f>IF(OR(INDEX($AH$2:$AH$1001,MATCH(ROWS($AG$2:AG411),$AG$2:$AG$1001,0),1)&gt;=100000,INDEX($AN$1005:$BO$1005,1,MATCH(COLUMNS($AN$1006:AO1006),$AN$1006:$BO$1006,0))&gt;=100000), " ",IF(INDEX($AN$2:$BO$1001,MATCH(ROWS($AG$2:AG411),$AG$2:$AG$1001,0),MATCH(COLUMNS($AN$1006:AO1006),$AN$1006:$BO$1006,0)), HYPERLINK("#",""), HYPERLINK(CONCATENATE("#Metadata!", ADDRESS(INDEX($AI$2:$AI$1001,MATCH(ROWS($AG$2:AG411),$AG$2:$AG$1001,0),0), INDEX($AN$1004:$BO$1004,1,MATCH(COLUMNS($AN$1006:AO1006),$AN$1006:$BO$1006,0)))),"Fix")))</f>
        <v>0</v>
      </c>
      <c r="D411" s="4">
        <f>IF(OR(INDEX($AH$2:$AH$1001,MATCH(ROWS($AG$2:AG411),$AG$2:$AG$1001,0),1)&gt;=100000,INDEX($AN$1005:$BO$1005,1,MATCH(COLUMNS($AN$1006:AP1006),$AN$1006:$BO$1006,0))&gt;=100000), " ",IF(INDEX($AN$2:$BO$1001,MATCH(ROWS($AG$2:AG411),$AG$2:$AG$1001,0),MATCH(COLUMNS($AN$1006:AP1006),$AN$1006:$BO$1006,0)), HYPERLINK("#",""), HYPERLINK(CONCATENATE("#Metadata!", ADDRESS(INDEX($AI$2:$AI$1001,MATCH(ROWS($AG$2:AG411),$AG$2:$AG$1001,0),0), INDEX($AN$1004:$BO$1004,1,MATCH(COLUMNS($AN$1006:AP1006),$AN$1006:$BO$1006,0)))),"Fix")))</f>
        <v>0</v>
      </c>
      <c r="E411" s="4">
        <f>IF(OR(INDEX($AH$2:$AH$1001,MATCH(ROWS($AG$2:AG411),$AG$2:$AG$1001,0),1)&gt;=100000,INDEX($AN$1005:$BO$1005,1,MATCH(COLUMNS($AN$1006:AQ1006),$AN$1006:$BO$1006,0))&gt;=100000), " ",IF(INDEX($AN$2:$BO$1001,MATCH(ROWS($AG$2:AG411),$AG$2:$AG$1001,0),MATCH(COLUMNS($AN$1006:AQ1006),$AN$1006:$BO$1006,0)), HYPERLINK("#",""), HYPERLINK(CONCATENATE("#Metadata!", ADDRESS(INDEX($AI$2:$AI$1001,MATCH(ROWS($AG$2:AG411),$AG$2:$AG$1001,0),0), INDEX($AN$1004:$BO$1004,1,MATCH(COLUMNS($AN$1006:AQ1006),$AN$1006:$BO$1006,0)))),"Fix")))</f>
        <v>0</v>
      </c>
      <c r="F411" s="4">
        <f>IF(OR(INDEX($AH$2:$AH$1001,MATCH(ROWS($AG$2:AG411),$AG$2:$AG$1001,0),1)&gt;=100000,INDEX($AN$1005:$BO$1005,1,MATCH(COLUMNS($AN$1006:AR1006),$AN$1006:$BO$1006,0))&gt;=100000), " ",IF(INDEX($AN$2:$BO$1001,MATCH(ROWS($AG$2:AG411),$AG$2:$AG$1001,0),MATCH(COLUMNS($AN$1006:AR1006),$AN$1006:$BO$1006,0)), HYPERLINK("#",""), HYPERLINK(CONCATENATE("#Metadata!", ADDRESS(INDEX($AI$2:$AI$1001,MATCH(ROWS($AG$2:AG411),$AG$2:$AG$1001,0),0), INDEX($AN$1004:$BO$1004,1,MATCH(COLUMNS($AN$1006:AR1006),$AN$1006:$BO$1006,0)))),"Fix")))</f>
        <v>0</v>
      </c>
      <c r="G411" s="4">
        <f>IF(OR(INDEX($AH$2:$AH$1001,MATCH(ROWS($AG$2:AG411),$AG$2:$AG$1001,0),1)&gt;=100000,INDEX($AN$1005:$BO$1005,1,MATCH(COLUMNS($AN$1006:AS1006),$AN$1006:$BO$1006,0))&gt;=100000), " ",IF(INDEX($AN$2:$BO$1001,MATCH(ROWS($AG$2:AG411),$AG$2:$AG$1001,0),MATCH(COLUMNS($AN$1006:AS1006),$AN$1006:$BO$1006,0)), HYPERLINK("#",""), HYPERLINK(CONCATENATE("#Metadata!", ADDRESS(INDEX($AI$2:$AI$1001,MATCH(ROWS($AG$2:AG411),$AG$2:$AG$1001,0),0), INDEX($AN$1004:$BO$1004,1,MATCH(COLUMNS($AN$1006:AS1006),$AN$1006:$BO$1006,0)))),"Fix")))</f>
        <v>0</v>
      </c>
      <c r="H411" s="4">
        <f>IF(OR(INDEX($AH$2:$AH$1001,MATCH(ROWS($AG$2:AG411),$AG$2:$AG$1001,0),1)&gt;=100000,INDEX($AN$1005:$BO$1005,1,MATCH(COLUMNS($AN$1006:AT1006),$AN$1006:$BO$1006,0))&gt;=100000), " ",IF(INDEX($AN$2:$BO$1001,MATCH(ROWS($AG$2:AG411),$AG$2:$AG$1001,0),MATCH(COLUMNS($AN$1006:AT1006),$AN$1006:$BO$1006,0)), HYPERLINK("#",""), HYPERLINK(CONCATENATE("#Metadata!", ADDRESS(INDEX($AI$2:$AI$1001,MATCH(ROWS($AG$2:AG411),$AG$2:$AG$1001,0),0), INDEX($AN$1004:$BO$1004,1,MATCH(COLUMNS($AN$1006:AT1006),$AN$1006:$BO$1006,0)))),"Fix")))</f>
        <v>0</v>
      </c>
      <c r="I411" s="4">
        <f>IF(OR(INDEX($AH$2:$AH$1001,MATCH(ROWS($AG$2:AG411),$AG$2:$AG$1001,0),1)&gt;=100000,INDEX($AN$1005:$BO$1005,1,MATCH(COLUMNS($AN$1006:AU1006),$AN$1006:$BO$1006,0))&gt;=100000), " ",IF(INDEX($AN$2:$BO$1001,MATCH(ROWS($AG$2:AG411),$AG$2:$AG$1001,0),MATCH(COLUMNS($AN$1006:AU1006),$AN$1006:$BO$1006,0)), HYPERLINK("#",""), HYPERLINK(CONCATENATE("#Metadata!", ADDRESS(INDEX($AI$2:$AI$1001,MATCH(ROWS($AG$2:AG411),$AG$2:$AG$1001,0),0), INDEX($AN$1004:$BO$1004,1,MATCH(COLUMNS($AN$1006:AU1006),$AN$1006:$BO$1006,0)))),"Fix")))</f>
        <v>0</v>
      </c>
      <c r="J411" s="4">
        <f>IF(OR(INDEX($AH$2:$AH$1001,MATCH(ROWS($AG$2:AG411),$AG$2:$AG$1001,0),1)&gt;=100000,INDEX($AN$1005:$BO$1005,1,MATCH(COLUMNS($AN$1006:AV1006),$AN$1006:$BO$1006,0))&gt;=100000), " ",IF(INDEX($AN$2:$BO$1001,MATCH(ROWS($AG$2:AG411),$AG$2:$AG$1001,0),MATCH(COLUMNS($AN$1006:AV1006),$AN$1006:$BO$1006,0)), HYPERLINK("#",""), HYPERLINK(CONCATENATE("#Metadata!", ADDRESS(INDEX($AI$2:$AI$1001,MATCH(ROWS($AG$2:AG411),$AG$2:$AG$1001,0),0), INDEX($AN$1004:$BO$1004,1,MATCH(COLUMNS($AN$1006:AV1006),$AN$1006:$BO$1006,0)))),"Fix")))</f>
        <v>0</v>
      </c>
      <c r="K411" s="4">
        <f>IF(OR(INDEX($AH$2:$AH$1001,MATCH(ROWS($AG$2:AG411),$AG$2:$AG$1001,0),1)&gt;=100000,INDEX($AN$1005:$BO$1005,1,MATCH(COLUMNS($AN$1006:AW1006),$AN$1006:$BO$1006,0))&gt;=100000), " ",IF(INDEX($AN$2:$BO$1001,MATCH(ROWS($AG$2:AG411),$AG$2:$AG$1001,0),MATCH(COLUMNS($AN$1006:AW1006),$AN$1006:$BO$1006,0)), HYPERLINK("#",""), HYPERLINK(CONCATENATE("#Metadata!", ADDRESS(INDEX($AI$2:$AI$1001,MATCH(ROWS($AG$2:AG411),$AG$2:$AG$1001,0),0), INDEX($AN$1004:$BO$1004,1,MATCH(COLUMNS($AN$1006:AW1006),$AN$1006:$BO$1006,0)))),"Fix")))</f>
        <v>0</v>
      </c>
      <c r="L411" s="4">
        <f>IF(OR(INDEX($AH$2:$AH$1001,MATCH(ROWS($AG$2:AG411),$AG$2:$AG$1001,0),1)&gt;=100000,INDEX($AN$1005:$BO$1005,1,MATCH(COLUMNS($AN$1006:AX1006),$AN$1006:$BO$1006,0))&gt;=100000), " ",IF(INDEX($AN$2:$BO$1001,MATCH(ROWS($AG$2:AG411),$AG$2:$AG$1001,0),MATCH(COLUMNS($AN$1006:AX1006),$AN$1006:$BO$1006,0)), HYPERLINK("#",""), HYPERLINK(CONCATENATE("#Metadata!", ADDRESS(INDEX($AI$2:$AI$1001,MATCH(ROWS($AG$2:AG411),$AG$2:$AG$1001,0),0), INDEX($AN$1004:$BO$1004,1,MATCH(COLUMNS($AN$1006:AX1006),$AN$1006:$BO$1006,0)))),"Fix")))</f>
        <v>0</v>
      </c>
      <c r="M411" s="4">
        <f>IF(OR(INDEX($AH$2:$AH$1001,MATCH(ROWS($AG$2:AG411),$AG$2:$AG$1001,0),1)&gt;=100000,INDEX($AN$1005:$BO$1005,1,MATCH(COLUMNS($AN$1006:AY1006),$AN$1006:$BO$1006,0))&gt;=100000), " ",IF(INDEX($AN$2:$BO$1001,MATCH(ROWS($AG$2:AG411),$AG$2:$AG$1001,0),MATCH(COLUMNS($AN$1006:AY1006),$AN$1006:$BO$1006,0)), HYPERLINK("#",""), HYPERLINK(CONCATENATE("#Metadata!", ADDRESS(INDEX($AI$2:$AI$1001,MATCH(ROWS($AG$2:AG411),$AG$2:$AG$1001,0),0), INDEX($AN$1004:$BO$1004,1,MATCH(COLUMNS($AN$1006:AY1006),$AN$1006:$BO$1006,0)))),"Fix")))</f>
        <v>0</v>
      </c>
      <c r="N411" s="4">
        <f>IF(OR(INDEX($AH$2:$AH$1001,MATCH(ROWS($AG$2:AG411),$AG$2:$AG$1001,0),1)&gt;=100000,INDEX($AN$1005:$BO$1005,1,MATCH(COLUMNS($AN$1006:AZ1006),$AN$1006:$BO$1006,0))&gt;=100000), " ",IF(INDEX($AN$2:$BO$1001,MATCH(ROWS($AG$2:AG411),$AG$2:$AG$1001,0),MATCH(COLUMNS($AN$1006:AZ1006),$AN$1006:$BO$1006,0)), HYPERLINK("#",""), HYPERLINK(CONCATENATE("#Metadata!", ADDRESS(INDEX($AI$2:$AI$1001,MATCH(ROWS($AG$2:AG411),$AG$2:$AG$1001,0),0), INDEX($AN$1004:$BO$1004,1,MATCH(COLUMNS($AN$1006:AZ1006),$AN$1006:$BO$1006,0)))),"Fix")))</f>
        <v>0</v>
      </c>
      <c r="O411" s="4">
        <f>IF(OR(INDEX($AH$2:$AH$1001,MATCH(ROWS($AG$2:AG411),$AG$2:$AG$1001,0),1)&gt;=100000,INDEX($AN$1005:$BO$1005,1,MATCH(COLUMNS($AN$1006:BA1006),$AN$1006:$BO$1006,0))&gt;=100000), " ",IF(INDEX($AN$2:$BO$1001,MATCH(ROWS($AG$2:AG411),$AG$2:$AG$1001,0),MATCH(COLUMNS($AN$1006:BA1006),$AN$1006:$BO$1006,0)), HYPERLINK("#",""), HYPERLINK(CONCATENATE("#Metadata!", ADDRESS(INDEX($AI$2:$AI$1001,MATCH(ROWS($AG$2:AG411),$AG$2:$AG$1001,0),0), INDEX($AN$1004:$BO$1004,1,MATCH(COLUMNS($AN$1006:BA1006),$AN$1006:$BO$1006,0)))),"Fix")))</f>
        <v>0</v>
      </c>
      <c r="P411" s="4">
        <f>IF(OR(INDEX($AH$2:$AH$1001,MATCH(ROWS($AG$2:AG411),$AG$2:$AG$1001,0),1)&gt;=100000,INDEX($AN$1005:$BO$1005,1,MATCH(COLUMNS($AN$1006:BB1006),$AN$1006:$BO$1006,0))&gt;=100000), " ",IF(INDEX($AN$2:$BO$1001,MATCH(ROWS($AG$2:AG411),$AG$2:$AG$1001,0),MATCH(COLUMNS($AN$1006:BB1006),$AN$1006:$BO$1006,0)), HYPERLINK("#",""), HYPERLINK(CONCATENATE("#Metadata!", ADDRESS(INDEX($AI$2:$AI$1001,MATCH(ROWS($AG$2:AG411),$AG$2:$AG$1001,0),0), INDEX($AN$1004:$BO$1004,1,MATCH(COLUMNS($AN$1006:BB1006),$AN$1006:$BO$1006,0)))),"Fix")))</f>
        <v>0</v>
      </c>
      <c r="Q411" s="4">
        <f>IF(OR(INDEX($AH$2:$AH$1001,MATCH(ROWS($AG$2:AG411),$AG$2:$AG$1001,0),1)&gt;=100000,INDEX($AN$1005:$BO$1005,1,MATCH(COLUMNS($AN$1006:BC1006),$AN$1006:$BO$1006,0))&gt;=100000), " ",IF(INDEX($AN$2:$BO$1001,MATCH(ROWS($AG$2:AG411),$AG$2:$AG$1001,0),MATCH(COLUMNS($AN$1006:BC1006),$AN$1006:$BO$1006,0)), HYPERLINK("#",""), HYPERLINK(CONCATENATE("#Metadata!", ADDRESS(INDEX($AI$2:$AI$1001,MATCH(ROWS($AG$2:AG411),$AG$2:$AG$1001,0),0), INDEX($AN$1004:$BO$1004,1,MATCH(COLUMNS($AN$1006:BC1006),$AN$1006:$BO$1006,0)))),"Fix")))</f>
        <v>0</v>
      </c>
      <c r="R411" s="4">
        <f>IF(OR(INDEX($AH$2:$AH$1001,MATCH(ROWS($AG$2:AG411),$AG$2:$AG$1001,0),1)&gt;=100000,INDEX($AN$1005:$BO$1005,1,MATCH(COLUMNS($AN$1006:BD1006),$AN$1006:$BO$1006,0))&gt;=100000), " ",IF(INDEX($AN$2:$BO$1001,MATCH(ROWS($AG$2:AG411),$AG$2:$AG$1001,0),MATCH(COLUMNS($AN$1006:BD1006),$AN$1006:$BO$1006,0)), HYPERLINK("#",""), HYPERLINK(CONCATENATE("#Metadata!", ADDRESS(INDEX($AI$2:$AI$1001,MATCH(ROWS($AG$2:AG411),$AG$2:$AG$1001,0),0), INDEX($AN$1004:$BO$1004,1,MATCH(COLUMNS($AN$1006:BD1006),$AN$1006:$BO$1006,0)))),"Fix")))</f>
        <v>0</v>
      </c>
      <c r="S411" s="4">
        <f>IF(OR(INDEX($AH$2:$AH$1001,MATCH(ROWS($AG$2:AG411),$AG$2:$AG$1001,0),1)&gt;=100000,INDEX($AN$1005:$BO$1005,1,MATCH(COLUMNS($AN$1006:BE1006),$AN$1006:$BO$1006,0))&gt;=100000), " ",IF(INDEX($AN$2:$BO$1001,MATCH(ROWS($AG$2:AG411),$AG$2:$AG$1001,0),MATCH(COLUMNS($AN$1006:BE1006),$AN$1006:$BO$1006,0)), HYPERLINK("#",""), HYPERLINK(CONCATENATE("#Metadata!", ADDRESS(INDEX($AI$2:$AI$1001,MATCH(ROWS($AG$2:AG411),$AG$2:$AG$1001,0),0), INDEX($AN$1004:$BO$1004,1,MATCH(COLUMNS($AN$1006:BE1006),$AN$1006:$BO$1006,0)))),"Fix")))</f>
        <v>0</v>
      </c>
      <c r="T411" s="4">
        <f>IF(OR(INDEX($AH$2:$AH$1001,MATCH(ROWS($AG$2:AG411),$AG$2:$AG$1001,0),1)&gt;=100000,INDEX($AN$1005:$BO$1005,1,MATCH(COLUMNS($AN$1006:BF1006),$AN$1006:$BO$1006,0))&gt;=100000), " ",IF(INDEX($AN$2:$BO$1001,MATCH(ROWS($AG$2:AG411),$AG$2:$AG$1001,0),MATCH(COLUMNS($AN$1006:BF1006),$AN$1006:$BO$1006,0)), HYPERLINK("#",""), HYPERLINK(CONCATENATE("#Metadata!", ADDRESS(INDEX($AI$2:$AI$1001,MATCH(ROWS($AG$2:AG411),$AG$2:$AG$1001,0),0), INDEX($AN$1004:$BO$1004,1,MATCH(COLUMNS($AN$1006:BF1006),$AN$1006:$BO$1006,0)))),"Fix")))</f>
        <v>0</v>
      </c>
      <c r="U411" s="4">
        <f>IF(OR(INDEX($AH$2:$AH$1001,MATCH(ROWS($AG$2:AG411),$AG$2:$AG$1001,0),1)&gt;=100000,INDEX($AN$1005:$BO$1005,1,MATCH(COLUMNS($AN$1006:BG1006),$AN$1006:$BO$1006,0))&gt;=100000), " ",IF(INDEX($AN$2:$BO$1001,MATCH(ROWS($AG$2:AG411),$AG$2:$AG$1001,0),MATCH(COLUMNS($AN$1006:BG1006),$AN$1006:$BO$1006,0)), HYPERLINK("#",""), HYPERLINK(CONCATENATE("#Metadata!", ADDRESS(INDEX($AI$2:$AI$1001,MATCH(ROWS($AG$2:AG411),$AG$2:$AG$1001,0),0), INDEX($AN$1004:$BO$1004,1,MATCH(COLUMNS($AN$1006:BG1006),$AN$1006:$BO$1006,0)))),"Fix")))</f>
        <v>0</v>
      </c>
      <c r="V411" s="4">
        <f>IF(OR(INDEX($AH$2:$AH$1001,MATCH(ROWS($AG$2:AG411),$AG$2:$AG$1001,0),1)&gt;=100000,INDEX($AN$1005:$BO$1005,1,MATCH(COLUMNS($AN$1006:BH1006),$AN$1006:$BO$1006,0))&gt;=100000), " ",IF(INDEX($AN$2:$BO$1001,MATCH(ROWS($AG$2:AG411),$AG$2:$AG$1001,0),MATCH(COLUMNS($AN$1006:BH1006),$AN$1006:$BO$1006,0)), HYPERLINK("#",""), HYPERLINK(CONCATENATE("#Metadata!", ADDRESS(INDEX($AI$2:$AI$1001,MATCH(ROWS($AG$2:AG411),$AG$2:$AG$1001,0),0), INDEX($AN$1004:$BO$1004,1,MATCH(COLUMNS($AN$1006:BH1006),$AN$1006:$BO$1006,0)))),"Fix")))</f>
        <v>0</v>
      </c>
      <c r="W411" s="4">
        <f>IF(OR(INDEX($AH$2:$AH$1001,MATCH(ROWS($AG$2:AG411),$AG$2:$AG$1001,0),1)&gt;=100000,INDEX($AN$1005:$BO$1005,1,MATCH(COLUMNS($AN$1006:BI1006),$AN$1006:$BO$1006,0))&gt;=100000), " ",IF(INDEX($AN$2:$BO$1001,MATCH(ROWS($AG$2:AG411),$AG$2:$AG$1001,0),MATCH(COLUMNS($AN$1006:BI1006),$AN$1006:$BO$1006,0)), HYPERLINK("#",""), HYPERLINK(CONCATENATE("#Metadata!", ADDRESS(INDEX($AI$2:$AI$1001,MATCH(ROWS($AG$2:AG411),$AG$2:$AG$1001,0),0), INDEX($AN$1004:$BO$1004,1,MATCH(COLUMNS($AN$1006:BI1006),$AN$1006:$BO$1006,0)))),"Fix")))</f>
        <v>0</v>
      </c>
      <c r="X411" s="4">
        <f>IF(OR(INDEX($AH$2:$AH$1001,MATCH(ROWS($AG$2:AG411),$AG$2:$AG$1001,0),1)&gt;=100000,INDEX($AN$1005:$BO$1005,1,MATCH(COLUMNS($AN$1006:BJ1006),$AN$1006:$BO$1006,0))&gt;=100000), " ",IF(INDEX($AN$2:$BO$1001,MATCH(ROWS($AG$2:AG411),$AG$2:$AG$1001,0),MATCH(COLUMNS($AN$1006:BJ1006),$AN$1006:$BO$1006,0)), HYPERLINK("#",""), HYPERLINK(CONCATENATE("#Metadata!", ADDRESS(INDEX($AI$2:$AI$1001,MATCH(ROWS($AG$2:AG411),$AG$2:$AG$1001,0),0), INDEX($AN$1004:$BO$1004,1,MATCH(COLUMNS($AN$1006:BJ1006),$AN$1006:$BO$1006,0)))),"Fix")))</f>
        <v>0</v>
      </c>
      <c r="Y411" s="4">
        <f>IF(OR(INDEX($AH$2:$AH$1001,MATCH(ROWS($AG$2:AG411),$AG$2:$AG$1001,0),1)&gt;=100000,INDEX($AN$1005:$BO$1005,1,MATCH(COLUMNS($AN$1006:BK1006),$AN$1006:$BO$1006,0))&gt;=100000), " ",IF(INDEX($AN$2:$BO$1001,MATCH(ROWS($AG$2:AG411),$AG$2:$AG$1001,0),MATCH(COLUMNS($AN$1006:BK1006),$AN$1006:$BO$1006,0)), HYPERLINK("#",""), HYPERLINK(CONCATENATE("#Metadata!", ADDRESS(INDEX($AI$2:$AI$1001,MATCH(ROWS($AG$2:AG411),$AG$2:$AG$1001,0),0), INDEX($AN$1004:$BO$1004,1,MATCH(COLUMNS($AN$1006:BK1006),$AN$1006:$BO$1006,0)))),"Fix")))</f>
        <v>0</v>
      </c>
      <c r="Z411" s="4">
        <f>IF(OR(INDEX($AH$2:$AH$1001,MATCH(ROWS($AG$2:AG411),$AG$2:$AG$1001,0),1)&gt;=100000,INDEX($AN$1005:$BO$1005,1,MATCH(COLUMNS($AN$1006:BL1006),$AN$1006:$BO$1006,0))&gt;=100000), " ",IF(INDEX($AN$2:$BO$1001,MATCH(ROWS($AG$2:AG411),$AG$2:$AG$1001,0),MATCH(COLUMNS($AN$1006:BL1006),$AN$1006:$BO$1006,0)), HYPERLINK("#",""), HYPERLINK(CONCATENATE("#Metadata!", ADDRESS(INDEX($AI$2:$AI$1001,MATCH(ROWS($AG$2:AG411),$AG$2:$AG$1001,0),0), INDEX($AN$1004:$BO$1004,1,MATCH(COLUMNS($AN$1006:BL1006),$AN$1006:$BO$1006,0)))),"Fix")))</f>
        <v>0</v>
      </c>
      <c r="AA411" s="4">
        <f>IF(OR(INDEX($AH$2:$AH$1001,MATCH(ROWS($AG$2:AG411),$AG$2:$AG$1001,0),1)&gt;=100000,INDEX($AN$1005:$BO$1005,1,MATCH(COLUMNS($AN$1006:BM1006),$AN$1006:$BO$1006,0))&gt;=100000), " ",IF(INDEX($AN$2:$BO$1001,MATCH(ROWS($AG$2:AG411),$AG$2:$AG$1001,0),MATCH(COLUMNS($AN$1006:BM1006),$AN$1006:$BO$1006,0)), HYPERLINK("#",""), HYPERLINK(CONCATENATE("#Metadata!", ADDRESS(INDEX($AI$2:$AI$1001,MATCH(ROWS($AG$2:AG411),$AG$2:$AG$1001,0),0), INDEX($AN$1004:$BO$1004,1,MATCH(COLUMNS($AN$1006:BM1006),$AN$1006:$BO$1006,0)))),"Fix")))</f>
        <v>0</v>
      </c>
      <c r="AB411" s="4">
        <f>IF(OR(INDEX($AH$2:$AH$1001,MATCH(ROWS($AG$2:AG411),$AG$2:$AG$1001,0),1)&gt;=100000,INDEX($AN$1005:$BO$1005,1,MATCH(COLUMNS($AN$1006:BN1006),$AN$1006:$BO$1006,0))&gt;=100000), " ",IF(INDEX($AN$2:$BO$1001,MATCH(ROWS($AG$2:AG411),$AG$2:$AG$1001,0),MATCH(COLUMNS($AN$1006:BN1006),$AN$1006:$BO$1006,0)), HYPERLINK("#",""), HYPERLINK(CONCATENATE("#Metadata!", ADDRESS(INDEX($AI$2:$AI$1001,MATCH(ROWS($AG$2:AG411),$AG$2:$AG$1001,0),0), INDEX($AN$1004:$BO$1004,1,MATCH(COLUMNS($AN$1006:BN1006),$AN$1006:$BO$1006,0)))),"Fix")))</f>
        <v>0</v>
      </c>
      <c r="AC411" s="4">
        <f>IF(OR(INDEX($AH$2:$AH$1001,MATCH(ROWS($AG$2:AG411),$AG$2:$AG$1001,0),1)&gt;=100000,INDEX($AN$1005:$BO$1005,1,MATCH(COLUMNS($AN$1006:BO1006),$AN$1006:$BO$1006,0))&gt;=100000), " ",IF(INDEX($AN$2:$BO$1001,MATCH(ROWS($AG$2:AG411),$AG$2:$AG$1001,0),MATCH(COLUMNS($AN$1006:BO1006),$AN$1006:$BO$1006,0)), HYPERLINK("#",""), HYPERLINK(CONCATENATE("#Metadata!", ADDRESS(INDEX($AI$2:$AI$1001,MATCH(ROWS($AG$2:AG411),$AG$2:$AG$1001,0),0), INDEX($AN$1004:$BO$1004,1,MATCH(COLUMNS($AN$1006:BO1006),$AN$1006:$BO$1006,0)))),"Fix")))</f>
        <v>0</v>
      </c>
      <c r="AG411">
        <v>0</v>
      </c>
      <c r="AH411">
        <v>0</v>
      </c>
      <c r="AI411">
        <v>0</v>
      </c>
      <c r="AJ411">
        <f>IF(AK411,TRUE,AND(AN411:BO411))</f>
        <v>0</v>
      </c>
      <c r="AK411">
        <f>COUNTBLANK(Metadata!B411:AC411)=COLUMNS(Metadata!B411:AC411)</f>
        <v>0</v>
      </c>
      <c r="AL411">
        <v>0</v>
      </c>
      <c r="AN411">
        <f>AND(IF(Metadata!B411="",FALSE,TRUE),COUNTIF(Metadata!B:B, Metadata!B411) = 1,NOT(ISERROR(SUMPRODUCT(SEARCH(MID(Metadata!B411,ROW(INDIRECT("1:"&amp;LEN(Metadata!B411))), 1),"0123456789abcdefghijklmnopqrstuvwxyzABCDEFGHIJKLMNOPQRSTUVWXYZ.")))))</f>
        <v>0</v>
      </c>
      <c r="AO411">
        <f>IF(Metadata!C411="",FALSE,TRUE)</f>
        <v>0</v>
      </c>
      <c r="AP411">
        <f>IF(Metadata!D411="",FALSE,TRUE)</f>
        <v>0</v>
      </c>
      <c r="AQ411">
        <f>OR(AND(IF(Metadata!E411="",FALSE,TRUE),OR(exact(Metadata!E411,"not collected"),exact(Metadata!E411,"not provided"),exact(Metadata!E411,"restricted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R411">
        <f>IF(Metadata!F411="",FALSE,TRUE)</f>
        <v>0</v>
      </c>
      <c r="AS411">
        <f>OR(AND(IF(Metadata!G411="",FALSE,TRUE),OR(exact(Metadata!G411,"not collected"),exact(Metadata!G411,"not provided"))),AND(IF(Metadata!G411="",FALSE,TRUE),OR(exact(Metadata!G411,"TRUE"),exact(Metadata!G411,"FALSE"))))</f>
        <v>0</v>
      </c>
      <c r="AT411">
        <f>OR(AND(IF(Metadata!H411="",FALSE,TRUE),OR(exact(Metadata!H411,"not collected"),exact(Metadata!H411,"not provided"),exact(Metadata!H411,"restricted access"))),AND(IF(Metadata!H411="",FALSE,ISNUMBER(VALUE(Metadata!H411))),Metadata!H411&gt;=-413.0))</f>
        <v>0</v>
      </c>
      <c r="AU411">
        <f>AND(IF(Metadata!I411="",FALSE,TRUE),exact(Metadata!I411,"meters"))</f>
        <v>0</v>
      </c>
      <c r="AV411">
        <f>AND(IF(Metadata!J411="",FALSE,TRUE),OR(exact(Metadata!J411,"Host-associated"),exact(Metadata!J411,"Free-living")))</f>
        <v>0</v>
      </c>
      <c r="AW411">
        <f>AND(IF(Metadata!K411="",FALSE,TRUE),OR(exact(Metadata!K411,"Animal"),exact(Metadata!K411,"Fungus"),exact(Metadata!K411,"Plant"),exact(Metadata!K411,"Saline"),exact(Metadata!K411,"Non-saline")))</f>
        <v>0</v>
      </c>
      <c r="AX411">
        <f>AND(IF(Metadata!L411="",FALSE,TRUE),OR(exact(Metadata!L411,"Plant secretion"),exact(Metadata!L411,"Plant rhizosphere"),exact(Metadata!L411,"Plant surface"),exact(Metadata!L411,"Plant corpus"),exact(Metadata!L411,"Fungus surface"),exact(Metadata!L411,"Fungus corpus"),exact(Metadata!L411,"Animal surface"),exact(Metadata!L411,"Animal proximal gut"),exact(Metadata!L411,"Animal corpus"),exact(Metadata!L411,"Animal distal gut"),exact(Metadata!L411,"Animal secretion"),exact(Metadata!L411,"Sub-surface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Y411">
        <f>IF(Metadata!M411="",FALSE,TRUE)</f>
        <v>0</v>
      </c>
      <c r="AZ411">
        <f>IF(Metadata!N411="",FALSE,TRUE)</f>
        <v>0</v>
      </c>
      <c r="BA411">
        <f>IF(Metadata!O411="",FALSE,TRUE)</f>
        <v>0</v>
      </c>
      <c r="BB411">
        <f>OR(AND(IF(Metadata!P411="",FALSE,TRUE),OR(exact(Metadata!P411,"not collected"),exact(Metadata!P411,"not provided"),exact(Metadata!P411,"restricted access"))),AND(IF(Metadata!P411="",FALSE,TRUE),OR(exact(Metadata!P411,"air"),exact(Metadata!P411,"built environment"),exact(Metadata!P411,"host-associated"),exact(Metadata!P411,"human-associated"),exact(Metadata!P411,"human-skin"),exact(Metadata!P411,"human-oral"),exact(Metadata!P411,"human-gut"),exact(Metadata!P411,"human-vaginal"),exact(Metadata!P411,"microbial mat/biofilm"),exact(Metadata!P411,"misc environment"),exact(Metadata!P411,"plant-associated"),exact(Metadata!P411,"sediment"),exact(Metadata!P411,"soil"),exact(Metadata!P411,"wastewater/sludge"),exact(Metadata!P411,"water"))))</f>
        <v>0</v>
      </c>
      <c r="BC411">
        <f>IF(Metadata!Q411="",FALSE,TRUE)</f>
        <v>0</v>
      </c>
      <c r="BD411">
        <f>IF(Metadata!R411="",FALSE,TRUE)</f>
        <v>0</v>
      </c>
      <c r="BE411">
        <f>OR(AND(IF(Metadata!S411="",FALSE,TRUE),OR(exact(Metadata!S411,"not collected"),exact(Metadata!S411,"not provided"),exact(Metadata!S411,"restricted access"))),AND(IF(Metadata!S411="",FALSE,ISNUMBER(VALUE(Metadata!S411))),Metadata!S411&gt;=-90.00,Metadata!S411&lt;=90.00))</f>
        <v>0</v>
      </c>
      <c r="BF411">
        <f>AND(IF(Metadata!T411="",FALSE,TRUE),exact(Metadata!T411,"Decimal degrees"))</f>
        <v>0</v>
      </c>
      <c r="BG411">
        <f>OR(AND(IF(Metadata!U411="",FALSE,TRUE),OR(exact(Metadata!U411,"not collected"),exact(Metadata!U411,"not provided"),exact(Metadata!U411,"restricted access"))),AND(IF(Metadata!U411="",FALSE,ISNUMBER(VALUE(Metadata!U411))),Metadata!U411&gt;=-180.00,Metadata!U411&lt;=180.00))</f>
        <v>0</v>
      </c>
      <c r="BH411">
        <f>AND(IF(Metadata!V411="",FALSE,TRUE),exact(Metadata!V411,"Decimal degrees"))</f>
        <v>0</v>
      </c>
      <c r="BI411">
        <f>IF(Metadata!W411="",FALSE,TRUE)</f>
        <v>0</v>
      </c>
      <c r="BJ411">
        <f>OR(AND(IF(Metadata!X411="",FALSE,TRUE),OR(exact(Metadata!X411,"not collected"),exact(Metadata!X411,"not provided"),exact(Metadata!X411,"restricted access"))),AND(IF(Metadata!X411="",FALSE,TRUE),OR(exact(Metadata!X411,"TRUE"),exact(Metadata!X411,"FALSE"))))</f>
        <v>0</v>
      </c>
      <c r="BK411">
        <f>AND(IF(Metadata!Y411="",FALSE,TRUE),exact(Metadata!Y411,"other"))</f>
        <v>0</v>
      </c>
      <c r="BL411">
        <f>IF(Metadata!Z411="",FALSE,TRUE)</f>
        <v>0</v>
      </c>
      <c r="BM411">
        <f>OR(AND(IF(Metadata!AA411="",FALSE,TRUE),OR(exact(Metadata!AA411,"not collected"),exact(Metadata!AA411,"not provided"))),AND(IF(Metadata!AA411="",FALSE,IF(ISERROR(INT(Metadata!AA411)),FALSE,INT(Metadata!AA411)=Metadata!AA411)),Metadata!AA411&gt;0))</f>
        <v>0</v>
      </c>
      <c r="BN411">
        <f>AND(IF(Metadata!AB411="",FALSE,TRUE),exact(Metadata!AB411,"Not applicable"))</f>
        <v>0</v>
      </c>
      <c r="BO411">
        <f>IF(Metadata!AC411="",FALSE,TRUE)</f>
        <v>0</v>
      </c>
    </row>
    <row r="412" spans="1:67">
      <c r="A412" s="5">
        <f>IF(B412=" "," ",HYPERLINK(CONCATENATE("#metadata!",ADDRESS(INDEX($AI$2:$AI$1001,MATCH(ROWS($AG$2:AG412),$AG$2:$AG$1001,0),0),1)),INDEX($AL$2:$AL$1001,MATCH(ROWS($AG$2:AG412),$AG$2:$AG$1001,0),0)))</f>
        <v>0</v>
      </c>
      <c r="B412" s="4">
        <f>IF(OR(INDEX($AH$2:$AH$1001,MATCH(ROWS($AG$2:AG412),$AG$2:$AG$1001,0),1)&gt;=100000,INDEX($AN$1005:$BO$1005,1,MATCH(COLUMNS($AN$1006:AN1006),$AN$1006:$BO$1006,0))&gt;=100000), " ",IF(INDEX($AN$2:$BO$1001,MATCH(ROWS($AG$2:AG412),$AG$2:$AG$1001,0),MATCH(COLUMNS($AN$1006:AN1006),$AN$1006:$BO$1006,0)), HYPERLINK("#",""), HYPERLINK(CONCATENATE("#Metadata!", ADDRESS(INDEX($AI$2:$AI$1001,MATCH(ROWS($AG$2:AG412),$AG$2:$AG$1001,0),0), INDEX($AN$1004:$BO$1004,1,MATCH(COLUMNS($AN$1006:AN1006),$AN$1006:$BO$1006,0)))),"Fix")))</f>
        <v>0</v>
      </c>
      <c r="C412" s="4">
        <f>IF(OR(INDEX($AH$2:$AH$1001,MATCH(ROWS($AG$2:AG412),$AG$2:$AG$1001,0),1)&gt;=100000,INDEX($AN$1005:$BO$1005,1,MATCH(COLUMNS($AN$1006:AO1006),$AN$1006:$BO$1006,0))&gt;=100000), " ",IF(INDEX($AN$2:$BO$1001,MATCH(ROWS($AG$2:AG412),$AG$2:$AG$1001,0),MATCH(COLUMNS($AN$1006:AO1006),$AN$1006:$BO$1006,0)), HYPERLINK("#",""), HYPERLINK(CONCATENATE("#Metadata!", ADDRESS(INDEX($AI$2:$AI$1001,MATCH(ROWS($AG$2:AG412),$AG$2:$AG$1001,0),0), INDEX($AN$1004:$BO$1004,1,MATCH(COLUMNS($AN$1006:AO1006),$AN$1006:$BO$1006,0)))),"Fix")))</f>
        <v>0</v>
      </c>
      <c r="D412" s="4">
        <f>IF(OR(INDEX($AH$2:$AH$1001,MATCH(ROWS($AG$2:AG412),$AG$2:$AG$1001,0),1)&gt;=100000,INDEX($AN$1005:$BO$1005,1,MATCH(COLUMNS($AN$1006:AP1006),$AN$1006:$BO$1006,0))&gt;=100000), " ",IF(INDEX($AN$2:$BO$1001,MATCH(ROWS($AG$2:AG412),$AG$2:$AG$1001,0),MATCH(COLUMNS($AN$1006:AP1006),$AN$1006:$BO$1006,0)), HYPERLINK("#",""), HYPERLINK(CONCATENATE("#Metadata!", ADDRESS(INDEX($AI$2:$AI$1001,MATCH(ROWS($AG$2:AG412),$AG$2:$AG$1001,0),0), INDEX($AN$1004:$BO$1004,1,MATCH(COLUMNS($AN$1006:AP1006),$AN$1006:$BO$1006,0)))),"Fix")))</f>
        <v>0</v>
      </c>
      <c r="E412" s="4">
        <f>IF(OR(INDEX($AH$2:$AH$1001,MATCH(ROWS($AG$2:AG412),$AG$2:$AG$1001,0),1)&gt;=100000,INDEX($AN$1005:$BO$1005,1,MATCH(COLUMNS($AN$1006:AQ1006),$AN$1006:$BO$1006,0))&gt;=100000), " ",IF(INDEX($AN$2:$BO$1001,MATCH(ROWS($AG$2:AG412),$AG$2:$AG$1001,0),MATCH(COLUMNS($AN$1006:AQ1006),$AN$1006:$BO$1006,0)), HYPERLINK("#",""), HYPERLINK(CONCATENATE("#Metadata!", ADDRESS(INDEX($AI$2:$AI$1001,MATCH(ROWS($AG$2:AG412),$AG$2:$AG$1001,0),0), INDEX($AN$1004:$BO$1004,1,MATCH(COLUMNS($AN$1006:AQ1006),$AN$1006:$BO$1006,0)))),"Fix")))</f>
        <v>0</v>
      </c>
      <c r="F412" s="4">
        <f>IF(OR(INDEX($AH$2:$AH$1001,MATCH(ROWS($AG$2:AG412),$AG$2:$AG$1001,0),1)&gt;=100000,INDEX($AN$1005:$BO$1005,1,MATCH(COLUMNS($AN$1006:AR1006),$AN$1006:$BO$1006,0))&gt;=100000), " ",IF(INDEX($AN$2:$BO$1001,MATCH(ROWS($AG$2:AG412),$AG$2:$AG$1001,0),MATCH(COLUMNS($AN$1006:AR1006),$AN$1006:$BO$1006,0)), HYPERLINK("#",""), HYPERLINK(CONCATENATE("#Metadata!", ADDRESS(INDEX($AI$2:$AI$1001,MATCH(ROWS($AG$2:AG412),$AG$2:$AG$1001,0),0), INDEX($AN$1004:$BO$1004,1,MATCH(COLUMNS($AN$1006:AR1006),$AN$1006:$BO$1006,0)))),"Fix")))</f>
        <v>0</v>
      </c>
      <c r="G412" s="4">
        <f>IF(OR(INDEX($AH$2:$AH$1001,MATCH(ROWS($AG$2:AG412),$AG$2:$AG$1001,0),1)&gt;=100000,INDEX($AN$1005:$BO$1005,1,MATCH(COLUMNS($AN$1006:AS1006),$AN$1006:$BO$1006,0))&gt;=100000), " ",IF(INDEX($AN$2:$BO$1001,MATCH(ROWS($AG$2:AG412),$AG$2:$AG$1001,0),MATCH(COLUMNS($AN$1006:AS1006),$AN$1006:$BO$1006,0)), HYPERLINK("#",""), HYPERLINK(CONCATENATE("#Metadata!", ADDRESS(INDEX($AI$2:$AI$1001,MATCH(ROWS($AG$2:AG412),$AG$2:$AG$1001,0),0), INDEX($AN$1004:$BO$1004,1,MATCH(COLUMNS($AN$1006:AS1006),$AN$1006:$BO$1006,0)))),"Fix")))</f>
        <v>0</v>
      </c>
      <c r="H412" s="4">
        <f>IF(OR(INDEX($AH$2:$AH$1001,MATCH(ROWS($AG$2:AG412),$AG$2:$AG$1001,0),1)&gt;=100000,INDEX($AN$1005:$BO$1005,1,MATCH(COLUMNS($AN$1006:AT1006),$AN$1006:$BO$1006,0))&gt;=100000), " ",IF(INDEX($AN$2:$BO$1001,MATCH(ROWS($AG$2:AG412),$AG$2:$AG$1001,0),MATCH(COLUMNS($AN$1006:AT1006),$AN$1006:$BO$1006,0)), HYPERLINK("#",""), HYPERLINK(CONCATENATE("#Metadata!", ADDRESS(INDEX($AI$2:$AI$1001,MATCH(ROWS($AG$2:AG412),$AG$2:$AG$1001,0),0), INDEX($AN$1004:$BO$1004,1,MATCH(COLUMNS($AN$1006:AT1006),$AN$1006:$BO$1006,0)))),"Fix")))</f>
        <v>0</v>
      </c>
      <c r="I412" s="4">
        <f>IF(OR(INDEX($AH$2:$AH$1001,MATCH(ROWS($AG$2:AG412),$AG$2:$AG$1001,0),1)&gt;=100000,INDEX($AN$1005:$BO$1005,1,MATCH(COLUMNS($AN$1006:AU1006),$AN$1006:$BO$1006,0))&gt;=100000), " ",IF(INDEX($AN$2:$BO$1001,MATCH(ROWS($AG$2:AG412),$AG$2:$AG$1001,0),MATCH(COLUMNS($AN$1006:AU1006),$AN$1006:$BO$1006,0)), HYPERLINK("#",""), HYPERLINK(CONCATENATE("#Metadata!", ADDRESS(INDEX($AI$2:$AI$1001,MATCH(ROWS($AG$2:AG412),$AG$2:$AG$1001,0),0), INDEX($AN$1004:$BO$1004,1,MATCH(COLUMNS($AN$1006:AU1006),$AN$1006:$BO$1006,0)))),"Fix")))</f>
        <v>0</v>
      </c>
      <c r="J412" s="4">
        <f>IF(OR(INDEX($AH$2:$AH$1001,MATCH(ROWS($AG$2:AG412),$AG$2:$AG$1001,0),1)&gt;=100000,INDEX($AN$1005:$BO$1005,1,MATCH(COLUMNS($AN$1006:AV1006),$AN$1006:$BO$1006,0))&gt;=100000), " ",IF(INDEX($AN$2:$BO$1001,MATCH(ROWS($AG$2:AG412),$AG$2:$AG$1001,0),MATCH(COLUMNS($AN$1006:AV1006),$AN$1006:$BO$1006,0)), HYPERLINK("#",""), HYPERLINK(CONCATENATE("#Metadata!", ADDRESS(INDEX($AI$2:$AI$1001,MATCH(ROWS($AG$2:AG412),$AG$2:$AG$1001,0),0), INDEX($AN$1004:$BO$1004,1,MATCH(COLUMNS($AN$1006:AV1006),$AN$1006:$BO$1006,0)))),"Fix")))</f>
        <v>0</v>
      </c>
      <c r="K412" s="4">
        <f>IF(OR(INDEX($AH$2:$AH$1001,MATCH(ROWS($AG$2:AG412),$AG$2:$AG$1001,0),1)&gt;=100000,INDEX($AN$1005:$BO$1005,1,MATCH(COLUMNS($AN$1006:AW1006),$AN$1006:$BO$1006,0))&gt;=100000), " ",IF(INDEX($AN$2:$BO$1001,MATCH(ROWS($AG$2:AG412),$AG$2:$AG$1001,0),MATCH(COLUMNS($AN$1006:AW1006),$AN$1006:$BO$1006,0)), HYPERLINK("#",""), HYPERLINK(CONCATENATE("#Metadata!", ADDRESS(INDEX($AI$2:$AI$1001,MATCH(ROWS($AG$2:AG412),$AG$2:$AG$1001,0),0), INDEX($AN$1004:$BO$1004,1,MATCH(COLUMNS($AN$1006:AW1006),$AN$1006:$BO$1006,0)))),"Fix")))</f>
        <v>0</v>
      </c>
      <c r="L412" s="4">
        <f>IF(OR(INDEX($AH$2:$AH$1001,MATCH(ROWS($AG$2:AG412),$AG$2:$AG$1001,0),1)&gt;=100000,INDEX($AN$1005:$BO$1005,1,MATCH(COLUMNS($AN$1006:AX1006),$AN$1006:$BO$1006,0))&gt;=100000), " ",IF(INDEX($AN$2:$BO$1001,MATCH(ROWS($AG$2:AG412),$AG$2:$AG$1001,0),MATCH(COLUMNS($AN$1006:AX1006),$AN$1006:$BO$1006,0)), HYPERLINK("#",""), HYPERLINK(CONCATENATE("#Metadata!", ADDRESS(INDEX($AI$2:$AI$1001,MATCH(ROWS($AG$2:AG412),$AG$2:$AG$1001,0),0), INDEX($AN$1004:$BO$1004,1,MATCH(COLUMNS($AN$1006:AX1006),$AN$1006:$BO$1006,0)))),"Fix")))</f>
        <v>0</v>
      </c>
      <c r="M412" s="4">
        <f>IF(OR(INDEX($AH$2:$AH$1001,MATCH(ROWS($AG$2:AG412),$AG$2:$AG$1001,0),1)&gt;=100000,INDEX($AN$1005:$BO$1005,1,MATCH(COLUMNS($AN$1006:AY1006),$AN$1006:$BO$1006,0))&gt;=100000), " ",IF(INDEX($AN$2:$BO$1001,MATCH(ROWS($AG$2:AG412),$AG$2:$AG$1001,0),MATCH(COLUMNS($AN$1006:AY1006),$AN$1006:$BO$1006,0)), HYPERLINK("#",""), HYPERLINK(CONCATENATE("#Metadata!", ADDRESS(INDEX($AI$2:$AI$1001,MATCH(ROWS($AG$2:AG412),$AG$2:$AG$1001,0),0), INDEX($AN$1004:$BO$1004,1,MATCH(COLUMNS($AN$1006:AY1006),$AN$1006:$BO$1006,0)))),"Fix")))</f>
        <v>0</v>
      </c>
      <c r="N412" s="4">
        <f>IF(OR(INDEX($AH$2:$AH$1001,MATCH(ROWS($AG$2:AG412),$AG$2:$AG$1001,0),1)&gt;=100000,INDEX($AN$1005:$BO$1005,1,MATCH(COLUMNS($AN$1006:AZ1006),$AN$1006:$BO$1006,0))&gt;=100000), " ",IF(INDEX($AN$2:$BO$1001,MATCH(ROWS($AG$2:AG412),$AG$2:$AG$1001,0),MATCH(COLUMNS($AN$1006:AZ1006),$AN$1006:$BO$1006,0)), HYPERLINK("#",""), HYPERLINK(CONCATENATE("#Metadata!", ADDRESS(INDEX($AI$2:$AI$1001,MATCH(ROWS($AG$2:AG412),$AG$2:$AG$1001,0),0), INDEX($AN$1004:$BO$1004,1,MATCH(COLUMNS($AN$1006:AZ1006),$AN$1006:$BO$1006,0)))),"Fix")))</f>
        <v>0</v>
      </c>
      <c r="O412" s="4">
        <f>IF(OR(INDEX($AH$2:$AH$1001,MATCH(ROWS($AG$2:AG412),$AG$2:$AG$1001,0),1)&gt;=100000,INDEX($AN$1005:$BO$1005,1,MATCH(COLUMNS($AN$1006:BA1006),$AN$1006:$BO$1006,0))&gt;=100000), " ",IF(INDEX($AN$2:$BO$1001,MATCH(ROWS($AG$2:AG412),$AG$2:$AG$1001,0),MATCH(COLUMNS($AN$1006:BA1006),$AN$1006:$BO$1006,0)), HYPERLINK("#",""), HYPERLINK(CONCATENATE("#Metadata!", ADDRESS(INDEX($AI$2:$AI$1001,MATCH(ROWS($AG$2:AG412),$AG$2:$AG$1001,0),0), INDEX($AN$1004:$BO$1004,1,MATCH(COLUMNS($AN$1006:BA1006),$AN$1006:$BO$1006,0)))),"Fix")))</f>
        <v>0</v>
      </c>
      <c r="P412" s="4">
        <f>IF(OR(INDEX($AH$2:$AH$1001,MATCH(ROWS($AG$2:AG412),$AG$2:$AG$1001,0),1)&gt;=100000,INDEX($AN$1005:$BO$1005,1,MATCH(COLUMNS($AN$1006:BB1006),$AN$1006:$BO$1006,0))&gt;=100000), " ",IF(INDEX($AN$2:$BO$1001,MATCH(ROWS($AG$2:AG412),$AG$2:$AG$1001,0),MATCH(COLUMNS($AN$1006:BB1006),$AN$1006:$BO$1006,0)), HYPERLINK("#",""), HYPERLINK(CONCATENATE("#Metadata!", ADDRESS(INDEX($AI$2:$AI$1001,MATCH(ROWS($AG$2:AG412),$AG$2:$AG$1001,0),0), INDEX($AN$1004:$BO$1004,1,MATCH(COLUMNS($AN$1006:BB1006),$AN$1006:$BO$1006,0)))),"Fix")))</f>
        <v>0</v>
      </c>
      <c r="Q412" s="4">
        <f>IF(OR(INDEX($AH$2:$AH$1001,MATCH(ROWS($AG$2:AG412),$AG$2:$AG$1001,0),1)&gt;=100000,INDEX($AN$1005:$BO$1005,1,MATCH(COLUMNS($AN$1006:BC1006),$AN$1006:$BO$1006,0))&gt;=100000), " ",IF(INDEX($AN$2:$BO$1001,MATCH(ROWS($AG$2:AG412),$AG$2:$AG$1001,0),MATCH(COLUMNS($AN$1006:BC1006),$AN$1006:$BO$1006,0)), HYPERLINK("#",""), HYPERLINK(CONCATENATE("#Metadata!", ADDRESS(INDEX($AI$2:$AI$1001,MATCH(ROWS($AG$2:AG412),$AG$2:$AG$1001,0),0), INDEX($AN$1004:$BO$1004,1,MATCH(COLUMNS($AN$1006:BC1006),$AN$1006:$BO$1006,0)))),"Fix")))</f>
        <v>0</v>
      </c>
      <c r="R412" s="4">
        <f>IF(OR(INDEX($AH$2:$AH$1001,MATCH(ROWS($AG$2:AG412),$AG$2:$AG$1001,0),1)&gt;=100000,INDEX($AN$1005:$BO$1005,1,MATCH(COLUMNS($AN$1006:BD1006),$AN$1006:$BO$1006,0))&gt;=100000), " ",IF(INDEX($AN$2:$BO$1001,MATCH(ROWS($AG$2:AG412),$AG$2:$AG$1001,0),MATCH(COLUMNS($AN$1006:BD1006),$AN$1006:$BO$1006,0)), HYPERLINK("#",""), HYPERLINK(CONCATENATE("#Metadata!", ADDRESS(INDEX($AI$2:$AI$1001,MATCH(ROWS($AG$2:AG412),$AG$2:$AG$1001,0),0), INDEX($AN$1004:$BO$1004,1,MATCH(COLUMNS($AN$1006:BD1006),$AN$1006:$BO$1006,0)))),"Fix")))</f>
        <v>0</v>
      </c>
      <c r="S412" s="4">
        <f>IF(OR(INDEX($AH$2:$AH$1001,MATCH(ROWS($AG$2:AG412),$AG$2:$AG$1001,0),1)&gt;=100000,INDEX($AN$1005:$BO$1005,1,MATCH(COLUMNS($AN$1006:BE1006),$AN$1006:$BO$1006,0))&gt;=100000), " ",IF(INDEX($AN$2:$BO$1001,MATCH(ROWS($AG$2:AG412),$AG$2:$AG$1001,0),MATCH(COLUMNS($AN$1006:BE1006),$AN$1006:$BO$1006,0)), HYPERLINK("#",""), HYPERLINK(CONCATENATE("#Metadata!", ADDRESS(INDEX($AI$2:$AI$1001,MATCH(ROWS($AG$2:AG412),$AG$2:$AG$1001,0),0), INDEX($AN$1004:$BO$1004,1,MATCH(COLUMNS($AN$1006:BE1006),$AN$1006:$BO$1006,0)))),"Fix")))</f>
        <v>0</v>
      </c>
      <c r="T412" s="4">
        <f>IF(OR(INDEX($AH$2:$AH$1001,MATCH(ROWS($AG$2:AG412),$AG$2:$AG$1001,0),1)&gt;=100000,INDEX($AN$1005:$BO$1005,1,MATCH(COLUMNS($AN$1006:BF1006),$AN$1006:$BO$1006,0))&gt;=100000), " ",IF(INDEX($AN$2:$BO$1001,MATCH(ROWS($AG$2:AG412),$AG$2:$AG$1001,0),MATCH(COLUMNS($AN$1006:BF1006),$AN$1006:$BO$1006,0)), HYPERLINK("#",""), HYPERLINK(CONCATENATE("#Metadata!", ADDRESS(INDEX($AI$2:$AI$1001,MATCH(ROWS($AG$2:AG412),$AG$2:$AG$1001,0),0), INDEX($AN$1004:$BO$1004,1,MATCH(COLUMNS($AN$1006:BF1006),$AN$1006:$BO$1006,0)))),"Fix")))</f>
        <v>0</v>
      </c>
      <c r="U412" s="4">
        <f>IF(OR(INDEX($AH$2:$AH$1001,MATCH(ROWS($AG$2:AG412),$AG$2:$AG$1001,0),1)&gt;=100000,INDEX($AN$1005:$BO$1005,1,MATCH(COLUMNS($AN$1006:BG1006),$AN$1006:$BO$1006,0))&gt;=100000), " ",IF(INDEX($AN$2:$BO$1001,MATCH(ROWS($AG$2:AG412),$AG$2:$AG$1001,0),MATCH(COLUMNS($AN$1006:BG1006),$AN$1006:$BO$1006,0)), HYPERLINK("#",""), HYPERLINK(CONCATENATE("#Metadata!", ADDRESS(INDEX($AI$2:$AI$1001,MATCH(ROWS($AG$2:AG412),$AG$2:$AG$1001,0),0), INDEX($AN$1004:$BO$1004,1,MATCH(COLUMNS($AN$1006:BG1006),$AN$1006:$BO$1006,0)))),"Fix")))</f>
        <v>0</v>
      </c>
      <c r="V412" s="4">
        <f>IF(OR(INDEX($AH$2:$AH$1001,MATCH(ROWS($AG$2:AG412),$AG$2:$AG$1001,0),1)&gt;=100000,INDEX($AN$1005:$BO$1005,1,MATCH(COLUMNS($AN$1006:BH1006),$AN$1006:$BO$1006,0))&gt;=100000), " ",IF(INDEX($AN$2:$BO$1001,MATCH(ROWS($AG$2:AG412),$AG$2:$AG$1001,0),MATCH(COLUMNS($AN$1006:BH1006),$AN$1006:$BO$1006,0)), HYPERLINK("#",""), HYPERLINK(CONCATENATE("#Metadata!", ADDRESS(INDEX($AI$2:$AI$1001,MATCH(ROWS($AG$2:AG412),$AG$2:$AG$1001,0),0), INDEX($AN$1004:$BO$1004,1,MATCH(COLUMNS($AN$1006:BH1006),$AN$1006:$BO$1006,0)))),"Fix")))</f>
        <v>0</v>
      </c>
      <c r="W412" s="4">
        <f>IF(OR(INDEX($AH$2:$AH$1001,MATCH(ROWS($AG$2:AG412),$AG$2:$AG$1001,0),1)&gt;=100000,INDEX($AN$1005:$BO$1005,1,MATCH(COLUMNS($AN$1006:BI1006),$AN$1006:$BO$1006,0))&gt;=100000), " ",IF(INDEX($AN$2:$BO$1001,MATCH(ROWS($AG$2:AG412),$AG$2:$AG$1001,0),MATCH(COLUMNS($AN$1006:BI1006),$AN$1006:$BO$1006,0)), HYPERLINK("#",""), HYPERLINK(CONCATENATE("#Metadata!", ADDRESS(INDEX($AI$2:$AI$1001,MATCH(ROWS($AG$2:AG412),$AG$2:$AG$1001,0),0), INDEX($AN$1004:$BO$1004,1,MATCH(COLUMNS($AN$1006:BI1006),$AN$1006:$BO$1006,0)))),"Fix")))</f>
        <v>0</v>
      </c>
      <c r="X412" s="4">
        <f>IF(OR(INDEX($AH$2:$AH$1001,MATCH(ROWS($AG$2:AG412),$AG$2:$AG$1001,0),1)&gt;=100000,INDEX($AN$1005:$BO$1005,1,MATCH(COLUMNS($AN$1006:BJ1006),$AN$1006:$BO$1006,0))&gt;=100000), " ",IF(INDEX($AN$2:$BO$1001,MATCH(ROWS($AG$2:AG412),$AG$2:$AG$1001,0),MATCH(COLUMNS($AN$1006:BJ1006),$AN$1006:$BO$1006,0)), HYPERLINK("#",""), HYPERLINK(CONCATENATE("#Metadata!", ADDRESS(INDEX($AI$2:$AI$1001,MATCH(ROWS($AG$2:AG412),$AG$2:$AG$1001,0),0), INDEX($AN$1004:$BO$1004,1,MATCH(COLUMNS($AN$1006:BJ1006),$AN$1006:$BO$1006,0)))),"Fix")))</f>
        <v>0</v>
      </c>
      <c r="Y412" s="4">
        <f>IF(OR(INDEX($AH$2:$AH$1001,MATCH(ROWS($AG$2:AG412),$AG$2:$AG$1001,0),1)&gt;=100000,INDEX($AN$1005:$BO$1005,1,MATCH(COLUMNS($AN$1006:BK1006),$AN$1006:$BO$1006,0))&gt;=100000), " ",IF(INDEX($AN$2:$BO$1001,MATCH(ROWS($AG$2:AG412),$AG$2:$AG$1001,0),MATCH(COLUMNS($AN$1006:BK1006),$AN$1006:$BO$1006,0)), HYPERLINK("#",""), HYPERLINK(CONCATENATE("#Metadata!", ADDRESS(INDEX($AI$2:$AI$1001,MATCH(ROWS($AG$2:AG412),$AG$2:$AG$1001,0),0), INDEX($AN$1004:$BO$1004,1,MATCH(COLUMNS($AN$1006:BK1006),$AN$1006:$BO$1006,0)))),"Fix")))</f>
        <v>0</v>
      </c>
      <c r="Z412" s="4">
        <f>IF(OR(INDEX($AH$2:$AH$1001,MATCH(ROWS($AG$2:AG412),$AG$2:$AG$1001,0),1)&gt;=100000,INDEX($AN$1005:$BO$1005,1,MATCH(COLUMNS($AN$1006:BL1006),$AN$1006:$BO$1006,0))&gt;=100000), " ",IF(INDEX($AN$2:$BO$1001,MATCH(ROWS($AG$2:AG412),$AG$2:$AG$1001,0),MATCH(COLUMNS($AN$1006:BL1006),$AN$1006:$BO$1006,0)), HYPERLINK("#",""), HYPERLINK(CONCATENATE("#Metadata!", ADDRESS(INDEX($AI$2:$AI$1001,MATCH(ROWS($AG$2:AG412),$AG$2:$AG$1001,0),0), INDEX($AN$1004:$BO$1004,1,MATCH(COLUMNS($AN$1006:BL1006),$AN$1006:$BO$1006,0)))),"Fix")))</f>
        <v>0</v>
      </c>
      <c r="AA412" s="4">
        <f>IF(OR(INDEX($AH$2:$AH$1001,MATCH(ROWS($AG$2:AG412),$AG$2:$AG$1001,0),1)&gt;=100000,INDEX($AN$1005:$BO$1005,1,MATCH(COLUMNS($AN$1006:BM1006),$AN$1006:$BO$1006,0))&gt;=100000), " ",IF(INDEX($AN$2:$BO$1001,MATCH(ROWS($AG$2:AG412),$AG$2:$AG$1001,0),MATCH(COLUMNS($AN$1006:BM1006),$AN$1006:$BO$1006,0)), HYPERLINK("#",""), HYPERLINK(CONCATENATE("#Metadata!", ADDRESS(INDEX($AI$2:$AI$1001,MATCH(ROWS($AG$2:AG412),$AG$2:$AG$1001,0),0), INDEX($AN$1004:$BO$1004,1,MATCH(COLUMNS($AN$1006:BM1006),$AN$1006:$BO$1006,0)))),"Fix")))</f>
        <v>0</v>
      </c>
      <c r="AB412" s="4">
        <f>IF(OR(INDEX($AH$2:$AH$1001,MATCH(ROWS($AG$2:AG412),$AG$2:$AG$1001,0),1)&gt;=100000,INDEX($AN$1005:$BO$1005,1,MATCH(COLUMNS($AN$1006:BN1006),$AN$1006:$BO$1006,0))&gt;=100000), " ",IF(INDEX($AN$2:$BO$1001,MATCH(ROWS($AG$2:AG412),$AG$2:$AG$1001,0),MATCH(COLUMNS($AN$1006:BN1006),$AN$1006:$BO$1006,0)), HYPERLINK("#",""), HYPERLINK(CONCATENATE("#Metadata!", ADDRESS(INDEX($AI$2:$AI$1001,MATCH(ROWS($AG$2:AG412),$AG$2:$AG$1001,0),0), INDEX($AN$1004:$BO$1004,1,MATCH(COLUMNS($AN$1006:BN1006),$AN$1006:$BO$1006,0)))),"Fix")))</f>
        <v>0</v>
      </c>
      <c r="AC412" s="4">
        <f>IF(OR(INDEX($AH$2:$AH$1001,MATCH(ROWS($AG$2:AG412),$AG$2:$AG$1001,0),1)&gt;=100000,INDEX($AN$1005:$BO$1005,1,MATCH(COLUMNS($AN$1006:BO1006),$AN$1006:$BO$1006,0))&gt;=100000), " ",IF(INDEX($AN$2:$BO$1001,MATCH(ROWS($AG$2:AG412),$AG$2:$AG$1001,0),MATCH(COLUMNS($AN$1006:BO1006),$AN$1006:$BO$1006,0)), HYPERLINK("#",""), HYPERLINK(CONCATENATE("#Metadata!", ADDRESS(INDEX($AI$2:$AI$1001,MATCH(ROWS($AG$2:AG412),$AG$2:$AG$1001,0),0), INDEX($AN$1004:$BO$1004,1,MATCH(COLUMNS($AN$1006:BO1006),$AN$1006:$BO$1006,0)))),"Fix")))</f>
        <v>0</v>
      </c>
      <c r="AG412">
        <v>0</v>
      </c>
      <c r="AH412">
        <v>0</v>
      </c>
      <c r="AI412">
        <v>0</v>
      </c>
      <c r="AJ412">
        <f>IF(AK412,TRUE,AND(AN412:BO412))</f>
        <v>0</v>
      </c>
      <c r="AK412">
        <f>COUNTBLANK(Metadata!B412:AC412)=COLUMNS(Metadata!B412:AC412)</f>
        <v>0</v>
      </c>
      <c r="AL412">
        <v>0</v>
      </c>
      <c r="AN412">
        <f>AND(IF(Metadata!B412="",FALSE,TRUE),COUNTIF(Metadata!B:B, Metadata!B412) = 1,NOT(ISERROR(SUMPRODUCT(SEARCH(MID(Metadata!B412,ROW(INDIRECT("1:"&amp;LEN(Metadata!B412))), 1),"0123456789abcdefghijklmnopqrstuvwxyzABCDEFGHIJKLMNOPQRSTUVWXYZ.")))))</f>
        <v>0</v>
      </c>
      <c r="AO412">
        <f>IF(Metadata!C412="",FALSE,TRUE)</f>
        <v>0</v>
      </c>
      <c r="AP412">
        <f>IF(Metadata!D412="",FALSE,TRUE)</f>
        <v>0</v>
      </c>
      <c r="AQ412">
        <f>OR(AND(IF(Metadata!E412="",FALSE,TRUE),OR(exact(Metadata!E412,"not collected"),exact(Metadata!E412,"not provided"),exact(Metadata!E412,"restricted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R412">
        <f>IF(Metadata!F412="",FALSE,TRUE)</f>
        <v>0</v>
      </c>
      <c r="AS412">
        <f>OR(AND(IF(Metadata!G412="",FALSE,TRUE),OR(exact(Metadata!G412,"not collected"),exact(Metadata!G412,"not provided"))),AND(IF(Metadata!G412="",FALSE,TRUE),OR(exact(Metadata!G412,"TRUE"),exact(Metadata!G412,"FALSE"))))</f>
        <v>0</v>
      </c>
      <c r="AT412">
        <f>OR(AND(IF(Metadata!H412="",FALSE,TRUE),OR(exact(Metadata!H412,"not collected"),exact(Metadata!H412,"not provided"),exact(Metadata!H412,"restricted access"))),AND(IF(Metadata!H412="",FALSE,ISNUMBER(VALUE(Metadata!H412))),Metadata!H412&gt;=-413.0))</f>
        <v>0</v>
      </c>
      <c r="AU412">
        <f>AND(IF(Metadata!I412="",FALSE,TRUE),exact(Metadata!I412,"meters"))</f>
        <v>0</v>
      </c>
      <c r="AV412">
        <f>AND(IF(Metadata!J412="",FALSE,TRUE),OR(exact(Metadata!J412,"Host-associated"),exact(Metadata!J412,"Free-living")))</f>
        <v>0</v>
      </c>
      <c r="AW412">
        <f>AND(IF(Metadata!K412="",FALSE,TRUE),OR(exact(Metadata!K412,"Animal"),exact(Metadata!K412,"Fungus"),exact(Metadata!K412,"Plant"),exact(Metadata!K412,"Saline"),exact(Metadata!K412,"Non-saline")))</f>
        <v>0</v>
      </c>
      <c r="AX412">
        <f>AND(IF(Metadata!L412="",FALSE,TRUE),OR(exact(Metadata!L412,"Plant secretion"),exact(Metadata!L412,"Plant rhizosphere"),exact(Metadata!L412,"Plant surface"),exact(Metadata!L412,"Plant corpus"),exact(Metadata!L412,"Fungus surface"),exact(Metadata!L412,"Fungus corpus"),exact(Metadata!L412,"Animal surface"),exact(Metadata!L412,"Animal proximal gut"),exact(Metadata!L412,"Animal corpus"),exact(Metadata!L412,"Animal distal gut"),exact(Metadata!L412,"Animal secretion"),exact(Metadata!L412,"Sub-surface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Y412">
        <f>IF(Metadata!M412="",FALSE,TRUE)</f>
        <v>0</v>
      </c>
      <c r="AZ412">
        <f>IF(Metadata!N412="",FALSE,TRUE)</f>
        <v>0</v>
      </c>
      <c r="BA412">
        <f>IF(Metadata!O412="",FALSE,TRUE)</f>
        <v>0</v>
      </c>
      <c r="BB412">
        <f>OR(AND(IF(Metadata!P412="",FALSE,TRUE),OR(exact(Metadata!P412,"not collected"),exact(Metadata!P412,"not provided"),exact(Metadata!P412,"restricted access"))),AND(IF(Metadata!P412="",FALSE,TRUE),OR(exact(Metadata!P412,"air"),exact(Metadata!P412,"built environment"),exact(Metadata!P412,"host-associated"),exact(Metadata!P412,"human-associated"),exact(Metadata!P412,"human-skin"),exact(Metadata!P412,"human-oral"),exact(Metadata!P412,"human-gut"),exact(Metadata!P412,"human-vaginal"),exact(Metadata!P412,"microbial mat/biofilm"),exact(Metadata!P412,"misc environment"),exact(Metadata!P412,"plant-associated"),exact(Metadata!P412,"sediment"),exact(Metadata!P412,"soil"),exact(Metadata!P412,"wastewater/sludge"),exact(Metadata!P412,"water"))))</f>
        <v>0</v>
      </c>
      <c r="BC412">
        <f>IF(Metadata!Q412="",FALSE,TRUE)</f>
        <v>0</v>
      </c>
      <c r="BD412">
        <f>IF(Metadata!R412="",FALSE,TRUE)</f>
        <v>0</v>
      </c>
      <c r="BE412">
        <f>OR(AND(IF(Metadata!S412="",FALSE,TRUE),OR(exact(Metadata!S412,"not collected"),exact(Metadata!S412,"not provided"),exact(Metadata!S412,"restricted access"))),AND(IF(Metadata!S412="",FALSE,ISNUMBER(VALUE(Metadata!S412))),Metadata!S412&gt;=-90.00,Metadata!S412&lt;=90.00))</f>
        <v>0</v>
      </c>
      <c r="BF412">
        <f>AND(IF(Metadata!T412="",FALSE,TRUE),exact(Metadata!T412,"Decimal degrees"))</f>
        <v>0</v>
      </c>
      <c r="BG412">
        <f>OR(AND(IF(Metadata!U412="",FALSE,TRUE),OR(exact(Metadata!U412,"not collected"),exact(Metadata!U412,"not provided"),exact(Metadata!U412,"restricted access"))),AND(IF(Metadata!U412="",FALSE,ISNUMBER(VALUE(Metadata!U412))),Metadata!U412&gt;=-180.00,Metadata!U412&lt;=180.00))</f>
        <v>0</v>
      </c>
      <c r="BH412">
        <f>AND(IF(Metadata!V412="",FALSE,TRUE),exact(Metadata!V412,"Decimal degrees"))</f>
        <v>0</v>
      </c>
      <c r="BI412">
        <f>IF(Metadata!W412="",FALSE,TRUE)</f>
        <v>0</v>
      </c>
      <c r="BJ412">
        <f>OR(AND(IF(Metadata!X412="",FALSE,TRUE),OR(exact(Metadata!X412,"not collected"),exact(Metadata!X412,"not provided"),exact(Metadata!X412,"restricted access"))),AND(IF(Metadata!X412="",FALSE,TRUE),OR(exact(Metadata!X412,"TRUE"),exact(Metadata!X412,"FALSE"))))</f>
        <v>0</v>
      </c>
      <c r="BK412">
        <f>AND(IF(Metadata!Y412="",FALSE,TRUE),exact(Metadata!Y412,"other"))</f>
        <v>0</v>
      </c>
      <c r="BL412">
        <f>IF(Metadata!Z412="",FALSE,TRUE)</f>
        <v>0</v>
      </c>
      <c r="BM412">
        <f>OR(AND(IF(Metadata!AA412="",FALSE,TRUE),OR(exact(Metadata!AA412,"not collected"),exact(Metadata!AA412,"not provided"))),AND(IF(Metadata!AA412="",FALSE,IF(ISERROR(INT(Metadata!AA412)),FALSE,INT(Metadata!AA412)=Metadata!AA412)),Metadata!AA412&gt;0))</f>
        <v>0</v>
      </c>
      <c r="BN412">
        <f>AND(IF(Metadata!AB412="",FALSE,TRUE),exact(Metadata!AB412,"Not applicable"))</f>
        <v>0</v>
      </c>
      <c r="BO412">
        <f>IF(Metadata!AC412="",FALSE,TRUE)</f>
        <v>0</v>
      </c>
    </row>
    <row r="413" spans="1:67">
      <c r="A413" s="5">
        <f>IF(B413=" "," ",HYPERLINK(CONCATENATE("#metadata!",ADDRESS(INDEX($AI$2:$AI$1001,MATCH(ROWS($AG$2:AG413),$AG$2:$AG$1001,0),0),1)),INDEX($AL$2:$AL$1001,MATCH(ROWS($AG$2:AG413),$AG$2:$AG$1001,0),0)))</f>
        <v>0</v>
      </c>
      <c r="B413" s="4">
        <f>IF(OR(INDEX($AH$2:$AH$1001,MATCH(ROWS($AG$2:AG413),$AG$2:$AG$1001,0),1)&gt;=100000,INDEX($AN$1005:$BO$1005,1,MATCH(COLUMNS($AN$1006:AN1006),$AN$1006:$BO$1006,0))&gt;=100000), " ",IF(INDEX($AN$2:$BO$1001,MATCH(ROWS($AG$2:AG413),$AG$2:$AG$1001,0),MATCH(COLUMNS($AN$1006:AN1006),$AN$1006:$BO$1006,0)), HYPERLINK("#",""), HYPERLINK(CONCATENATE("#Metadata!", ADDRESS(INDEX($AI$2:$AI$1001,MATCH(ROWS($AG$2:AG413),$AG$2:$AG$1001,0),0), INDEX($AN$1004:$BO$1004,1,MATCH(COLUMNS($AN$1006:AN1006),$AN$1006:$BO$1006,0)))),"Fix")))</f>
        <v>0</v>
      </c>
      <c r="C413" s="4">
        <f>IF(OR(INDEX($AH$2:$AH$1001,MATCH(ROWS($AG$2:AG413),$AG$2:$AG$1001,0),1)&gt;=100000,INDEX($AN$1005:$BO$1005,1,MATCH(COLUMNS($AN$1006:AO1006),$AN$1006:$BO$1006,0))&gt;=100000), " ",IF(INDEX($AN$2:$BO$1001,MATCH(ROWS($AG$2:AG413),$AG$2:$AG$1001,0),MATCH(COLUMNS($AN$1006:AO1006),$AN$1006:$BO$1006,0)), HYPERLINK("#",""), HYPERLINK(CONCATENATE("#Metadata!", ADDRESS(INDEX($AI$2:$AI$1001,MATCH(ROWS($AG$2:AG413),$AG$2:$AG$1001,0),0), INDEX($AN$1004:$BO$1004,1,MATCH(COLUMNS($AN$1006:AO1006),$AN$1006:$BO$1006,0)))),"Fix")))</f>
        <v>0</v>
      </c>
      <c r="D413" s="4">
        <f>IF(OR(INDEX($AH$2:$AH$1001,MATCH(ROWS($AG$2:AG413),$AG$2:$AG$1001,0),1)&gt;=100000,INDEX($AN$1005:$BO$1005,1,MATCH(COLUMNS($AN$1006:AP1006),$AN$1006:$BO$1006,0))&gt;=100000), " ",IF(INDEX($AN$2:$BO$1001,MATCH(ROWS($AG$2:AG413),$AG$2:$AG$1001,0),MATCH(COLUMNS($AN$1006:AP1006),$AN$1006:$BO$1006,0)), HYPERLINK("#",""), HYPERLINK(CONCATENATE("#Metadata!", ADDRESS(INDEX($AI$2:$AI$1001,MATCH(ROWS($AG$2:AG413),$AG$2:$AG$1001,0),0), INDEX($AN$1004:$BO$1004,1,MATCH(COLUMNS($AN$1006:AP1006),$AN$1006:$BO$1006,0)))),"Fix")))</f>
        <v>0</v>
      </c>
      <c r="E413" s="4">
        <f>IF(OR(INDEX($AH$2:$AH$1001,MATCH(ROWS($AG$2:AG413),$AG$2:$AG$1001,0),1)&gt;=100000,INDEX($AN$1005:$BO$1005,1,MATCH(COLUMNS($AN$1006:AQ1006),$AN$1006:$BO$1006,0))&gt;=100000), " ",IF(INDEX($AN$2:$BO$1001,MATCH(ROWS($AG$2:AG413),$AG$2:$AG$1001,0),MATCH(COLUMNS($AN$1006:AQ1006),$AN$1006:$BO$1006,0)), HYPERLINK("#",""), HYPERLINK(CONCATENATE("#Metadata!", ADDRESS(INDEX($AI$2:$AI$1001,MATCH(ROWS($AG$2:AG413),$AG$2:$AG$1001,0),0), INDEX($AN$1004:$BO$1004,1,MATCH(COLUMNS($AN$1006:AQ1006),$AN$1006:$BO$1006,0)))),"Fix")))</f>
        <v>0</v>
      </c>
      <c r="F413" s="4">
        <f>IF(OR(INDEX($AH$2:$AH$1001,MATCH(ROWS($AG$2:AG413),$AG$2:$AG$1001,0),1)&gt;=100000,INDEX($AN$1005:$BO$1005,1,MATCH(COLUMNS($AN$1006:AR1006),$AN$1006:$BO$1006,0))&gt;=100000), " ",IF(INDEX($AN$2:$BO$1001,MATCH(ROWS($AG$2:AG413),$AG$2:$AG$1001,0),MATCH(COLUMNS($AN$1006:AR1006),$AN$1006:$BO$1006,0)), HYPERLINK("#",""), HYPERLINK(CONCATENATE("#Metadata!", ADDRESS(INDEX($AI$2:$AI$1001,MATCH(ROWS($AG$2:AG413),$AG$2:$AG$1001,0),0), INDEX($AN$1004:$BO$1004,1,MATCH(COLUMNS($AN$1006:AR1006),$AN$1006:$BO$1006,0)))),"Fix")))</f>
        <v>0</v>
      </c>
      <c r="G413" s="4">
        <f>IF(OR(INDEX($AH$2:$AH$1001,MATCH(ROWS($AG$2:AG413),$AG$2:$AG$1001,0),1)&gt;=100000,INDEX($AN$1005:$BO$1005,1,MATCH(COLUMNS($AN$1006:AS1006),$AN$1006:$BO$1006,0))&gt;=100000), " ",IF(INDEX($AN$2:$BO$1001,MATCH(ROWS($AG$2:AG413),$AG$2:$AG$1001,0),MATCH(COLUMNS($AN$1006:AS1006),$AN$1006:$BO$1006,0)), HYPERLINK("#",""), HYPERLINK(CONCATENATE("#Metadata!", ADDRESS(INDEX($AI$2:$AI$1001,MATCH(ROWS($AG$2:AG413),$AG$2:$AG$1001,0),0), INDEX($AN$1004:$BO$1004,1,MATCH(COLUMNS($AN$1006:AS1006),$AN$1006:$BO$1006,0)))),"Fix")))</f>
        <v>0</v>
      </c>
      <c r="H413" s="4">
        <f>IF(OR(INDEX($AH$2:$AH$1001,MATCH(ROWS($AG$2:AG413),$AG$2:$AG$1001,0),1)&gt;=100000,INDEX($AN$1005:$BO$1005,1,MATCH(COLUMNS($AN$1006:AT1006),$AN$1006:$BO$1006,0))&gt;=100000), " ",IF(INDEX($AN$2:$BO$1001,MATCH(ROWS($AG$2:AG413),$AG$2:$AG$1001,0),MATCH(COLUMNS($AN$1006:AT1006),$AN$1006:$BO$1006,0)), HYPERLINK("#",""), HYPERLINK(CONCATENATE("#Metadata!", ADDRESS(INDEX($AI$2:$AI$1001,MATCH(ROWS($AG$2:AG413),$AG$2:$AG$1001,0),0), INDEX($AN$1004:$BO$1004,1,MATCH(COLUMNS($AN$1006:AT1006),$AN$1006:$BO$1006,0)))),"Fix")))</f>
        <v>0</v>
      </c>
      <c r="I413" s="4">
        <f>IF(OR(INDEX($AH$2:$AH$1001,MATCH(ROWS($AG$2:AG413),$AG$2:$AG$1001,0),1)&gt;=100000,INDEX($AN$1005:$BO$1005,1,MATCH(COLUMNS($AN$1006:AU1006),$AN$1006:$BO$1006,0))&gt;=100000), " ",IF(INDEX($AN$2:$BO$1001,MATCH(ROWS($AG$2:AG413),$AG$2:$AG$1001,0),MATCH(COLUMNS($AN$1006:AU1006),$AN$1006:$BO$1006,0)), HYPERLINK("#",""), HYPERLINK(CONCATENATE("#Metadata!", ADDRESS(INDEX($AI$2:$AI$1001,MATCH(ROWS($AG$2:AG413),$AG$2:$AG$1001,0),0), INDEX($AN$1004:$BO$1004,1,MATCH(COLUMNS($AN$1006:AU1006),$AN$1006:$BO$1006,0)))),"Fix")))</f>
        <v>0</v>
      </c>
      <c r="J413" s="4">
        <f>IF(OR(INDEX($AH$2:$AH$1001,MATCH(ROWS($AG$2:AG413),$AG$2:$AG$1001,0),1)&gt;=100000,INDEX($AN$1005:$BO$1005,1,MATCH(COLUMNS($AN$1006:AV1006),$AN$1006:$BO$1006,0))&gt;=100000), " ",IF(INDEX($AN$2:$BO$1001,MATCH(ROWS($AG$2:AG413),$AG$2:$AG$1001,0),MATCH(COLUMNS($AN$1006:AV1006),$AN$1006:$BO$1006,0)), HYPERLINK("#",""), HYPERLINK(CONCATENATE("#Metadata!", ADDRESS(INDEX($AI$2:$AI$1001,MATCH(ROWS($AG$2:AG413),$AG$2:$AG$1001,0),0), INDEX($AN$1004:$BO$1004,1,MATCH(COLUMNS($AN$1006:AV1006),$AN$1006:$BO$1006,0)))),"Fix")))</f>
        <v>0</v>
      </c>
      <c r="K413" s="4">
        <f>IF(OR(INDEX($AH$2:$AH$1001,MATCH(ROWS($AG$2:AG413),$AG$2:$AG$1001,0),1)&gt;=100000,INDEX($AN$1005:$BO$1005,1,MATCH(COLUMNS($AN$1006:AW1006),$AN$1006:$BO$1006,0))&gt;=100000), " ",IF(INDEX($AN$2:$BO$1001,MATCH(ROWS($AG$2:AG413),$AG$2:$AG$1001,0),MATCH(COLUMNS($AN$1006:AW1006),$AN$1006:$BO$1006,0)), HYPERLINK("#",""), HYPERLINK(CONCATENATE("#Metadata!", ADDRESS(INDEX($AI$2:$AI$1001,MATCH(ROWS($AG$2:AG413),$AG$2:$AG$1001,0),0), INDEX($AN$1004:$BO$1004,1,MATCH(COLUMNS($AN$1006:AW1006),$AN$1006:$BO$1006,0)))),"Fix")))</f>
        <v>0</v>
      </c>
      <c r="L413" s="4">
        <f>IF(OR(INDEX($AH$2:$AH$1001,MATCH(ROWS($AG$2:AG413),$AG$2:$AG$1001,0),1)&gt;=100000,INDEX($AN$1005:$BO$1005,1,MATCH(COLUMNS($AN$1006:AX1006),$AN$1006:$BO$1006,0))&gt;=100000), " ",IF(INDEX($AN$2:$BO$1001,MATCH(ROWS($AG$2:AG413),$AG$2:$AG$1001,0),MATCH(COLUMNS($AN$1006:AX1006),$AN$1006:$BO$1006,0)), HYPERLINK("#",""), HYPERLINK(CONCATENATE("#Metadata!", ADDRESS(INDEX($AI$2:$AI$1001,MATCH(ROWS($AG$2:AG413),$AG$2:$AG$1001,0),0), INDEX($AN$1004:$BO$1004,1,MATCH(COLUMNS($AN$1006:AX1006),$AN$1006:$BO$1006,0)))),"Fix")))</f>
        <v>0</v>
      </c>
      <c r="M413" s="4">
        <f>IF(OR(INDEX($AH$2:$AH$1001,MATCH(ROWS($AG$2:AG413),$AG$2:$AG$1001,0),1)&gt;=100000,INDEX($AN$1005:$BO$1005,1,MATCH(COLUMNS($AN$1006:AY1006),$AN$1006:$BO$1006,0))&gt;=100000), " ",IF(INDEX($AN$2:$BO$1001,MATCH(ROWS($AG$2:AG413),$AG$2:$AG$1001,0),MATCH(COLUMNS($AN$1006:AY1006),$AN$1006:$BO$1006,0)), HYPERLINK("#",""), HYPERLINK(CONCATENATE("#Metadata!", ADDRESS(INDEX($AI$2:$AI$1001,MATCH(ROWS($AG$2:AG413),$AG$2:$AG$1001,0),0), INDEX($AN$1004:$BO$1004,1,MATCH(COLUMNS($AN$1006:AY1006),$AN$1006:$BO$1006,0)))),"Fix")))</f>
        <v>0</v>
      </c>
      <c r="N413" s="4">
        <f>IF(OR(INDEX($AH$2:$AH$1001,MATCH(ROWS($AG$2:AG413),$AG$2:$AG$1001,0),1)&gt;=100000,INDEX($AN$1005:$BO$1005,1,MATCH(COLUMNS($AN$1006:AZ1006),$AN$1006:$BO$1006,0))&gt;=100000), " ",IF(INDEX($AN$2:$BO$1001,MATCH(ROWS($AG$2:AG413),$AG$2:$AG$1001,0),MATCH(COLUMNS($AN$1006:AZ1006),$AN$1006:$BO$1006,0)), HYPERLINK("#",""), HYPERLINK(CONCATENATE("#Metadata!", ADDRESS(INDEX($AI$2:$AI$1001,MATCH(ROWS($AG$2:AG413),$AG$2:$AG$1001,0),0), INDEX($AN$1004:$BO$1004,1,MATCH(COLUMNS($AN$1006:AZ1006),$AN$1006:$BO$1006,0)))),"Fix")))</f>
        <v>0</v>
      </c>
      <c r="O413" s="4">
        <f>IF(OR(INDEX($AH$2:$AH$1001,MATCH(ROWS($AG$2:AG413),$AG$2:$AG$1001,0),1)&gt;=100000,INDEX($AN$1005:$BO$1005,1,MATCH(COLUMNS($AN$1006:BA1006),$AN$1006:$BO$1006,0))&gt;=100000), " ",IF(INDEX($AN$2:$BO$1001,MATCH(ROWS($AG$2:AG413),$AG$2:$AG$1001,0),MATCH(COLUMNS($AN$1006:BA1006),$AN$1006:$BO$1006,0)), HYPERLINK("#",""), HYPERLINK(CONCATENATE("#Metadata!", ADDRESS(INDEX($AI$2:$AI$1001,MATCH(ROWS($AG$2:AG413),$AG$2:$AG$1001,0),0), INDEX($AN$1004:$BO$1004,1,MATCH(COLUMNS($AN$1006:BA1006),$AN$1006:$BO$1006,0)))),"Fix")))</f>
        <v>0</v>
      </c>
      <c r="P413" s="4">
        <f>IF(OR(INDEX($AH$2:$AH$1001,MATCH(ROWS($AG$2:AG413),$AG$2:$AG$1001,0),1)&gt;=100000,INDEX($AN$1005:$BO$1005,1,MATCH(COLUMNS($AN$1006:BB1006),$AN$1006:$BO$1006,0))&gt;=100000), " ",IF(INDEX($AN$2:$BO$1001,MATCH(ROWS($AG$2:AG413),$AG$2:$AG$1001,0),MATCH(COLUMNS($AN$1006:BB1006),$AN$1006:$BO$1006,0)), HYPERLINK("#",""), HYPERLINK(CONCATENATE("#Metadata!", ADDRESS(INDEX($AI$2:$AI$1001,MATCH(ROWS($AG$2:AG413),$AG$2:$AG$1001,0),0), INDEX($AN$1004:$BO$1004,1,MATCH(COLUMNS($AN$1006:BB1006),$AN$1006:$BO$1006,0)))),"Fix")))</f>
        <v>0</v>
      </c>
      <c r="Q413" s="4">
        <f>IF(OR(INDEX($AH$2:$AH$1001,MATCH(ROWS($AG$2:AG413),$AG$2:$AG$1001,0),1)&gt;=100000,INDEX($AN$1005:$BO$1005,1,MATCH(COLUMNS($AN$1006:BC1006),$AN$1006:$BO$1006,0))&gt;=100000), " ",IF(INDEX($AN$2:$BO$1001,MATCH(ROWS($AG$2:AG413),$AG$2:$AG$1001,0),MATCH(COLUMNS($AN$1006:BC1006),$AN$1006:$BO$1006,0)), HYPERLINK("#",""), HYPERLINK(CONCATENATE("#Metadata!", ADDRESS(INDEX($AI$2:$AI$1001,MATCH(ROWS($AG$2:AG413),$AG$2:$AG$1001,0),0), INDEX($AN$1004:$BO$1004,1,MATCH(COLUMNS($AN$1006:BC1006),$AN$1006:$BO$1006,0)))),"Fix")))</f>
        <v>0</v>
      </c>
      <c r="R413" s="4">
        <f>IF(OR(INDEX($AH$2:$AH$1001,MATCH(ROWS($AG$2:AG413),$AG$2:$AG$1001,0),1)&gt;=100000,INDEX($AN$1005:$BO$1005,1,MATCH(COLUMNS($AN$1006:BD1006),$AN$1006:$BO$1006,0))&gt;=100000), " ",IF(INDEX($AN$2:$BO$1001,MATCH(ROWS($AG$2:AG413),$AG$2:$AG$1001,0),MATCH(COLUMNS($AN$1006:BD1006),$AN$1006:$BO$1006,0)), HYPERLINK("#",""), HYPERLINK(CONCATENATE("#Metadata!", ADDRESS(INDEX($AI$2:$AI$1001,MATCH(ROWS($AG$2:AG413),$AG$2:$AG$1001,0),0), INDEX($AN$1004:$BO$1004,1,MATCH(COLUMNS($AN$1006:BD1006),$AN$1006:$BO$1006,0)))),"Fix")))</f>
        <v>0</v>
      </c>
      <c r="S413" s="4">
        <f>IF(OR(INDEX($AH$2:$AH$1001,MATCH(ROWS($AG$2:AG413),$AG$2:$AG$1001,0),1)&gt;=100000,INDEX($AN$1005:$BO$1005,1,MATCH(COLUMNS($AN$1006:BE1006),$AN$1006:$BO$1006,0))&gt;=100000), " ",IF(INDEX($AN$2:$BO$1001,MATCH(ROWS($AG$2:AG413),$AG$2:$AG$1001,0),MATCH(COLUMNS($AN$1006:BE1006),$AN$1006:$BO$1006,0)), HYPERLINK("#",""), HYPERLINK(CONCATENATE("#Metadata!", ADDRESS(INDEX($AI$2:$AI$1001,MATCH(ROWS($AG$2:AG413),$AG$2:$AG$1001,0),0), INDEX($AN$1004:$BO$1004,1,MATCH(COLUMNS($AN$1006:BE1006),$AN$1006:$BO$1006,0)))),"Fix")))</f>
        <v>0</v>
      </c>
      <c r="T413" s="4">
        <f>IF(OR(INDEX($AH$2:$AH$1001,MATCH(ROWS($AG$2:AG413),$AG$2:$AG$1001,0),1)&gt;=100000,INDEX($AN$1005:$BO$1005,1,MATCH(COLUMNS($AN$1006:BF1006),$AN$1006:$BO$1006,0))&gt;=100000), " ",IF(INDEX($AN$2:$BO$1001,MATCH(ROWS($AG$2:AG413),$AG$2:$AG$1001,0),MATCH(COLUMNS($AN$1006:BF1006),$AN$1006:$BO$1006,0)), HYPERLINK("#",""), HYPERLINK(CONCATENATE("#Metadata!", ADDRESS(INDEX($AI$2:$AI$1001,MATCH(ROWS($AG$2:AG413),$AG$2:$AG$1001,0),0), INDEX($AN$1004:$BO$1004,1,MATCH(COLUMNS($AN$1006:BF1006),$AN$1006:$BO$1006,0)))),"Fix")))</f>
        <v>0</v>
      </c>
      <c r="U413" s="4">
        <f>IF(OR(INDEX($AH$2:$AH$1001,MATCH(ROWS($AG$2:AG413),$AG$2:$AG$1001,0),1)&gt;=100000,INDEX($AN$1005:$BO$1005,1,MATCH(COLUMNS($AN$1006:BG1006),$AN$1006:$BO$1006,0))&gt;=100000), " ",IF(INDEX($AN$2:$BO$1001,MATCH(ROWS($AG$2:AG413),$AG$2:$AG$1001,0),MATCH(COLUMNS($AN$1006:BG1006),$AN$1006:$BO$1006,0)), HYPERLINK("#",""), HYPERLINK(CONCATENATE("#Metadata!", ADDRESS(INDEX($AI$2:$AI$1001,MATCH(ROWS($AG$2:AG413),$AG$2:$AG$1001,0),0), INDEX($AN$1004:$BO$1004,1,MATCH(COLUMNS($AN$1006:BG1006),$AN$1006:$BO$1006,0)))),"Fix")))</f>
        <v>0</v>
      </c>
      <c r="V413" s="4">
        <f>IF(OR(INDEX($AH$2:$AH$1001,MATCH(ROWS($AG$2:AG413),$AG$2:$AG$1001,0),1)&gt;=100000,INDEX($AN$1005:$BO$1005,1,MATCH(COLUMNS($AN$1006:BH1006),$AN$1006:$BO$1006,0))&gt;=100000), " ",IF(INDEX($AN$2:$BO$1001,MATCH(ROWS($AG$2:AG413),$AG$2:$AG$1001,0),MATCH(COLUMNS($AN$1006:BH1006),$AN$1006:$BO$1006,0)), HYPERLINK("#",""), HYPERLINK(CONCATENATE("#Metadata!", ADDRESS(INDEX($AI$2:$AI$1001,MATCH(ROWS($AG$2:AG413),$AG$2:$AG$1001,0),0), INDEX($AN$1004:$BO$1004,1,MATCH(COLUMNS($AN$1006:BH1006),$AN$1006:$BO$1006,0)))),"Fix")))</f>
        <v>0</v>
      </c>
      <c r="W413" s="4">
        <f>IF(OR(INDEX($AH$2:$AH$1001,MATCH(ROWS($AG$2:AG413),$AG$2:$AG$1001,0),1)&gt;=100000,INDEX($AN$1005:$BO$1005,1,MATCH(COLUMNS($AN$1006:BI1006),$AN$1006:$BO$1006,0))&gt;=100000), " ",IF(INDEX($AN$2:$BO$1001,MATCH(ROWS($AG$2:AG413),$AG$2:$AG$1001,0),MATCH(COLUMNS($AN$1006:BI1006),$AN$1006:$BO$1006,0)), HYPERLINK("#",""), HYPERLINK(CONCATENATE("#Metadata!", ADDRESS(INDEX($AI$2:$AI$1001,MATCH(ROWS($AG$2:AG413),$AG$2:$AG$1001,0),0), INDEX($AN$1004:$BO$1004,1,MATCH(COLUMNS($AN$1006:BI1006),$AN$1006:$BO$1006,0)))),"Fix")))</f>
        <v>0</v>
      </c>
      <c r="X413" s="4">
        <f>IF(OR(INDEX($AH$2:$AH$1001,MATCH(ROWS($AG$2:AG413),$AG$2:$AG$1001,0),1)&gt;=100000,INDEX($AN$1005:$BO$1005,1,MATCH(COLUMNS($AN$1006:BJ1006),$AN$1006:$BO$1006,0))&gt;=100000), " ",IF(INDEX($AN$2:$BO$1001,MATCH(ROWS($AG$2:AG413),$AG$2:$AG$1001,0),MATCH(COLUMNS($AN$1006:BJ1006),$AN$1006:$BO$1006,0)), HYPERLINK("#",""), HYPERLINK(CONCATENATE("#Metadata!", ADDRESS(INDEX($AI$2:$AI$1001,MATCH(ROWS($AG$2:AG413),$AG$2:$AG$1001,0),0), INDEX($AN$1004:$BO$1004,1,MATCH(COLUMNS($AN$1006:BJ1006),$AN$1006:$BO$1006,0)))),"Fix")))</f>
        <v>0</v>
      </c>
      <c r="Y413" s="4">
        <f>IF(OR(INDEX($AH$2:$AH$1001,MATCH(ROWS($AG$2:AG413),$AG$2:$AG$1001,0),1)&gt;=100000,INDEX($AN$1005:$BO$1005,1,MATCH(COLUMNS($AN$1006:BK1006),$AN$1006:$BO$1006,0))&gt;=100000), " ",IF(INDEX($AN$2:$BO$1001,MATCH(ROWS($AG$2:AG413),$AG$2:$AG$1001,0),MATCH(COLUMNS($AN$1006:BK1006),$AN$1006:$BO$1006,0)), HYPERLINK("#",""), HYPERLINK(CONCATENATE("#Metadata!", ADDRESS(INDEX($AI$2:$AI$1001,MATCH(ROWS($AG$2:AG413),$AG$2:$AG$1001,0),0), INDEX($AN$1004:$BO$1004,1,MATCH(COLUMNS($AN$1006:BK1006),$AN$1006:$BO$1006,0)))),"Fix")))</f>
        <v>0</v>
      </c>
      <c r="Z413" s="4">
        <f>IF(OR(INDEX($AH$2:$AH$1001,MATCH(ROWS($AG$2:AG413),$AG$2:$AG$1001,0),1)&gt;=100000,INDEX($AN$1005:$BO$1005,1,MATCH(COLUMNS($AN$1006:BL1006),$AN$1006:$BO$1006,0))&gt;=100000), " ",IF(INDEX($AN$2:$BO$1001,MATCH(ROWS($AG$2:AG413),$AG$2:$AG$1001,0),MATCH(COLUMNS($AN$1006:BL1006),$AN$1006:$BO$1006,0)), HYPERLINK("#",""), HYPERLINK(CONCATENATE("#Metadata!", ADDRESS(INDEX($AI$2:$AI$1001,MATCH(ROWS($AG$2:AG413),$AG$2:$AG$1001,0),0), INDEX($AN$1004:$BO$1004,1,MATCH(COLUMNS($AN$1006:BL1006),$AN$1006:$BO$1006,0)))),"Fix")))</f>
        <v>0</v>
      </c>
      <c r="AA413" s="4">
        <f>IF(OR(INDEX($AH$2:$AH$1001,MATCH(ROWS($AG$2:AG413),$AG$2:$AG$1001,0),1)&gt;=100000,INDEX($AN$1005:$BO$1005,1,MATCH(COLUMNS($AN$1006:BM1006),$AN$1006:$BO$1006,0))&gt;=100000), " ",IF(INDEX($AN$2:$BO$1001,MATCH(ROWS($AG$2:AG413),$AG$2:$AG$1001,0),MATCH(COLUMNS($AN$1006:BM1006),$AN$1006:$BO$1006,0)), HYPERLINK("#",""), HYPERLINK(CONCATENATE("#Metadata!", ADDRESS(INDEX($AI$2:$AI$1001,MATCH(ROWS($AG$2:AG413),$AG$2:$AG$1001,0),0), INDEX($AN$1004:$BO$1004,1,MATCH(COLUMNS($AN$1006:BM1006),$AN$1006:$BO$1006,0)))),"Fix")))</f>
        <v>0</v>
      </c>
      <c r="AB413" s="4">
        <f>IF(OR(INDEX($AH$2:$AH$1001,MATCH(ROWS($AG$2:AG413),$AG$2:$AG$1001,0),1)&gt;=100000,INDEX($AN$1005:$BO$1005,1,MATCH(COLUMNS($AN$1006:BN1006),$AN$1006:$BO$1006,0))&gt;=100000), " ",IF(INDEX($AN$2:$BO$1001,MATCH(ROWS($AG$2:AG413),$AG$2:$AG$1001,0),MATCH(COLUMNS($AN$1006:BN1006),$AN$1006:$BO$1006,0)), HYPERLINK("#",""), HYPERLINK(CONCATENATE("#Metadata!", ADDRESS(INDEX($AI$2:$AI$1001,MATCH(ROWS($AG$2:AG413),$AG$2:$AG$1001,0),0), INDEX($AN$1004:$BO$1004,1,MATCH(COLUMNS($AN$1006:BN1006),$AN$1006:$BO$1006,0)))),"Fix")))</f>
        <v>0</v>
      </c>
      <c r="AC413" s="4">
        <f>IF(OR(INDEX($AH$2:$AH$1001,MATCH(ROWS($AG$2:AG413),$AG$2:$AG$1001,0),1)&gt;=100000,INDEX($AN$1005:$BO$1005,1,MATCH(COLUMNS($AN$1006:BO1006),$AN$1006:$BO$1006,0))&gt;=100000), " ",IF(INDEX($AN$2:$BO$1001,MATCH(ROWS($AG$2:AG413),$AG$2:$AG$1001,0),MATCH(COLUMNS($AN$1006:BO1006),$AN$1006:$BO$1006,0)), HYPERLINK("#",""), HYPERLINK(CONCATENATE("#Metadata!", ADDRESS(INDEX($AI$2:$AI$1001,MATCH(ROWS($AG$2:AG413),$AG$2:$AG$1001,0),0), INDEX($AN$1004:$BO$1004,1,MATCH(COLUMNS($AN$1006:BO1006),$AN$1006:$BO$1006,0)))),"Fix")))</f>
        <v>0</v>
      </c>
      <c r="AG413">
        <v>0</v>
      </c>
      <c r="AH413">
        <v>0</v>
      </c>
      <c r="AI413">
        <v>0</v>
      </c>
      <c r="AJ413">
        <f>IF(AK413,TRUE,AND(AN413:BO413))</f>
        <v>0</v>
      </c>
      <c r="AK413">
        <f>COUNTBLANK(Metadata!B413:AC413)=COLUMNS(Metadata!B413:AC413)</f>
        <v>0</v>
      </c>
      <c r="AL413">
        <v>0</v>
      </c>
      <c r="AN413">
        <f>AND(IF(Metadata!B413="",FALSE,TRUE),COUNTIF(Metadata!B:B, Metadata!B413) = 1,NOT(ISERROR(SUMPRODUCT(SEARCH(MID(Metadata!B413,ROW(INDIRECT("1:"&amp;LEN(Metadata!B413))), 1),"0123456789abcdefghijklmnopqrstuvwxyzABCDEFGHIJKLMNOPQRSTUVWXYZ.")))))</f>
        <v>0</v>
      </c>
      <c r="AO413">
        <f>IF(Metadata!C413="",FALSE,TRUE)</f>
        <v>0</v>
      </c>
      <c r="AP413">
        <f>IF(Metadata!D413="",FALSE,TRUE)</f>
        <v>0</v>
      </c>
      <c r="AQ413">
        <f>OR(AND(IF(Metadata!E413="",FALSE,TRUE),OR(exact(Metadata!E413,"not collected"),exact(Metadata!E413,"not provided"),exact(Metadata!E413,"restricted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R413">
        <f>IF(Metadata!F413="",FALSE,TRUE)</f>
        <v>0</v>
      </c>
      <c r="AS413">
        <f>OR(AND(IF(Metadata!G413="",FALSE,TRUE),OR(exact(Metadata!G413,"not collected"),exact(Metadata!G413,"not provided"))),AND(IF(Metadata!G413="",FALSE,TRUE),OR(exact(Metadata!G413,"TRUE"),exact(Metadata!G413,"FALSE"))))</f>
        <v>0</v>
      </c>
      <c r="AT413">
        <f>OR(AND(IF(Metadata!H413="",FALSE,TRUE),OR(exact(Metadata!H413,"not collected"),exact(Metadata!H413,"not provided"),exact(Metadata!H413,"restricted access"))),AND(IF(Metadata!H413="",FALSE,ISNUMBER(VALUE(Metadata!H413))),Metadata!H413&gt;=-413.0))</f>
        <v>0</v>
      </c>
      <c r="AU413">
        <f>AND(IF(Metadata!I413="",FALSE,TRUE),exact(Metadata!I413,"meters"))</f>
        <v>0</v>
      </c>
      <c r="AV413">
        <f>AND(IF(Metadata!J413="",FALSE,TRUE),OR(exact(Metadata!J413,"Host-associated"),exact(Metadata!J413,"Free-living")))</f>
        <v>0</v>
      </c>
      <c r="AW413">
        <f>AND(IF(Metadata!K413="",FALSE,TRUE),OR(exact(Metadata!K413,"Animal"),exact(Metadata!K413,"Fungus"),exact(Metadata!K413,"Plant"),exact(Metadata!K413,"Saline"),exact(Metadata!K413,"Non-saline")))</f>
        <v>0</v>
      </c>
      <c r="AX413">
        <f>AND(IF(Metadata!L413="",FALSE,TRUE),OR(exact(Metadata!L413,"Plant secretion"),exact(Metadata!L413,"Plant rhizosphere"),exact(Metadata!L413,"Plant surface"),exact(Metadata!L413,"Plant corpus"),exact(Metadata!L413,"Fungus surface"),exact(Metadata!L413,"Fungus corpus"),exact(Metadata!L413,"Animal surface"),exact(Metadata!L413,"Animal proximal gut"),exact(Metadata!L413,"Animal corpus"),exact(Metadata!L413,"Animal distal gut"),exact(Metadata!L413,"Animal secretion"),exact(Metadata!L413,"Sub-surface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Y413">
        <f>IF(Metadata!M413="",FALSE,TRUE)</f>
        <v>0</v>
      </c>
      <c r="AZ413">
        <f>IF(Metadata!N413="",FALSE,TRUE)</f>
        <v>0</v>
      </c>
      <c r="BA413">
        <f>IF(Metadata!O413="",FALSE,TRUE)</f>
        <v>0</v>
      </c>
      <c r="BB413">
        <f>OR(AND(IF(Metadata!P413="",FALSE,TRUE),OR(exact(Metadata!P413,"not collected"),exact(Metadata!P413,"not provided"),exact(Metadata!P413,"restricted access"))),AND(IF(Metadata!P413="",FALSE,TRUE),OR(exact(Metadata!P413,"air"),exact(Metadata!P413,"built environment"),exact(Metadata!P413,"host-associated"),exact(Metadata!P413,"human-associated"),exact(Metadata!P413,"human-skin"),exact(Metadata!P413,"human-oral"),exact(Metadata!P413,"human-gut"),exact(Metadata!P413,"human-vaginal"),exact(Metadata!P413,"microbial mat/biofilm"),exact(Metadata!P413,"misc environment"),exact(Metadata!P413,"plant-associated"),exact(Metadata!P413,"sediment"),exact(Metadata!P413,"soil"),exact(Metadata!P413,"wastewater/sludge"),exact(Metadata!P413,"water"))))</f>
        <v>0</v>
      </c>
      <c r="BC413">
        <f>IF(Metadata!Q413="",FALSE,TRUE)</f>
        <v>0</v>
      </c>
      <c r="BD413">
        <f>IF(Metadata!R413="",FALSE,TRUE)</f>
        <v>0</v>
      </c>
      <c r="BE413">
        <f>OR(AND(IF(Metadata!S413="",FALSE,TRUE),OR(exact(Metadata!S413,"not collected"),exact(Metadata!S413,"not provided"),exact(Metadata!S413,"restricted access"))),AND(IF(Metadata!S413="",FALSE,ISNUMBER(VALUE(Metadata!S413))),Metadata!S413&gt;=-90.00,Metadata!S413&lt;=90.00))</f>
        <v>0</v>
      </c>
      <c r="BF413">
        <f>AND(IF(Metadata!T413="",FALSE,TRUE),exact(Metadata!T413,"Decimal degrees"))</f>
        <v>0</v>
      </c>
      <c r="BG413">
        <f>OR(AND(IF(Metadata!U413="",FALSE,TRUE),OR(exact(Metadata!U413,"not collected"),exact(Metadata!U413,"not provided"),exact(Metadata!U413,"restricted access"))),AND(IF(Metadata!U413="",FALSE,ISNUMBER(VALUE(Metadata!U413))),Metadata!U413&gt;=-180.00,Metadata!U413&lt;=180.00))</f>
        <v>0</v>
      </c>
      <c r="BH413">
        <f>AND(IF(Metadata!V413="",FALSE,TRUE),exact(Metadata!V413,"Decimal degrees"))</f>
        <v>0</v>
      </c>
      <c r="BI413">
        <f>IF(Metadata!W413="",FALSE,TRUE)</f>
        <v>0</v>
      </c>
      <c r="BJ413">
        <f>OR(AND(IF(Metadata!X413="",FALSE,TRUE),OR(exact(Metadata!X413,"not collected"),exact(Metadata!X413,"not provided"),exact(Metadata!X413,"restricted access"))),AND(IF(Metadata!X413="",FALSE,TRUE),OR(exact(Metadata!X413,"TRUE"),exact(Metadata!X413,"FALSE"))))</f>
        <v>0</v>
      </c>
      <c r="BK413">
        <f>AND(IF(Metadata!Y413="",FALSE,TRUE),exact(Metadata!Y413,"other"))</f>
        <v>0</v>
      </c>
      <c r="BL413">
        <f>IF(Metadata!Z413="",FALSE,TRUE)</f>
        <v>0</v>
      </c>
      <c r="BM413">
        <f>OR(AND(IF(Metadata!AA413="",FALSE,TRUE),OR(exact(Metadata!AA413,"not collected"),exact(Metadata!AA413,"not provided"))),AND(IF(Metadata!AA413="",FALSE,IF(ISERROR(INT(Metadata!AA413)),FALSE,INT(Metadata!AA413)=Metadata!AA413)),Metadata!AA413&gt;0))</f>
        <v>0</v>
      </c>
      <c r="BN413">
        <f>AND(IF(Metadata!AB413="",FALSE,TRUE),exact(Metadata!AB413,"Not applicable"))</f>
        <v>0</v>
      </c>
      <c r="BO413">
        <f>IF(Metadata!AC413="",FALSE,TRUE)</f>
        <v>0</v>
      </c>
    </row>
    <row r="414" spans="1:67">
      <c r="A414" s="5">
        <f>IF(B414=" "," ",HYPERLINK(CONCATENATE("#metadata!",ADDRESS(INDEX($AI$2:$AI$1001,MATCH(ROWS($AG$2:AG414),$AG$2:$AG$1001,0),0),1)),INDEX($AL$2:$AL$1001,MATCH(ROWS($AG$2:AG414),$AG$2:$AG$1001,0),0)))</f>
        <v>0</v>
      </c>
      <c r="B414" s="4">
        <f>IF(OR(INDEX($AH$2:$AH$1001,MATCH(ROWS($AG$2:AG414),$AG$2:$AG$1001,0),1)&gt;=100000,INDEX($AN$1005:$BO$1005,1,MATCH(COLUMNS($AN$1006:AN1006),$AN$1006:$BO$1006,0))&gt;=100000), " ",IF(INDEX($AN$2:$BO$1001,MATCH(ROWS($AG$2:AG414),$AG$2:$AG$1001,0),MATCH(COLUMNS($AN$1006:AN1006),$AN$1006:$BO$1006,0)), HYPERLINK("#",""), HYPERLINK(CONCATENATE("#Metadata!", ADDRESS(INDEX($AI$2:$AI$1001,MATCH(ROWS($AG$2:AG414),$AG$2:$AG$1001,0),0), INDEX($AN$1004:$BO$1004,1,MATCH(COLUMNS($AN$1006:AN1006),$AN$1006:$BO$1006,0)))),"Fix")))</f>
        <v>0</v>
      </c>
      <c r="C414" s="4">
        <f>IF(OR(INDEX($AH$2:$AH$1001,MATCH(ROWS($AG$2:AG414),$AG$2:$AG$1001,0),1)&gt;=100000,INDEX($AN$1005:$BO$1005,1,MATCH(COLUMNS($AN$1006:AO1006),$AN$1006:$BO$1006,0))&gt;=100000), " ",IF(INDEX($AN$2:$BO$1001,MATCH(ROWS($AG$2:AG414),$AG$2:$AG$1001,0),MATCH(COLUMNS($AN$1006:AO1006),$AN$1006:$BO$1006,0)), HYPERLINK("#",""), HYPERLINK(CONCATENATE("#Metadata!", ADDRESS(INDEX($AI$2:$AI$1001,MATCH(ROWS($AG$2:AG414),$AG$2:$AG$1001,0),0), INDEX($AN$1004:$BO$1004,1,MATCH(COLUMNS($AN$1006:AO1006),$AN$1006:$BO$1006,0)))),"Fix")))</f>
        <v>0</v>
      </c>
      <c r="D414" s="4">
        <f>IF(OR(INDEX($AH$2:$AH$1001,MATCH(ROWS($AG$2:AG414),$AG$2:$AG$1001,0),1)&gt;=100000,INDEX($AN$1005:$BO$1005,1,MATCH(COLUMNS($AN$1006:AP1006),$AN$1006:$BO$1006,0))&gt;=100000), " ",IF(INDEX($AN$2:$BO$1001,MATCH(ROWS($AG$2:AG414),$AG$2:$AG$1001,0),MATCH(COLUMNS($AN$1006:AP1006),$AN$1006:$BO$1006,0)), HYPERLINK("#",""), HYPERLINK(CONCATENATE("#Metadata!", ADDRESS(INDEX($AI$2:$AI$1001,MATCH(ROWS($AG$2:AG414),$AG$2:$AG$1001,0),0), INDEX($AN$1004:$BO$1004,1,MATCH(COLUMNS($AN$1006:AP1006),$AN$1006:$BO$1006,0)))),"Fix")))</f>
        <v>0</v>
      </c>
      <c r="E414" s="4">
        <f>IF(OR(INDEX($AH$2:$AH$1001,MATCH(ROWS($AG$2:AG414),$AG$2:$AG$1001,0),1)&gt;=100000,INDEX($AN$1005:$BO$1005,1,MATCH(COLUMNS($AN$1006:AQ1006),$AN$1006:$BO$1006,0))&gt;=100000), " ",IF(INDEX($AN$2:$BO$1001,MATCH(ROWS($AG$2:AG414),$AG$2:$AG$1001,0),MATCH(COLUMNS($AN$1006:AQ1006),$AN$1006:$BO$1006,0)), HYPERLINK("#",""), HYPERLINK(CONCATENATE("#Metadata!", ADDRESS(INDEX($AI$2:$AI$1001,MATCH(ROWS($AG$2:AG414),$AG$2:$AG$1001,0),0), INDEX($AN$1004:$BO$1004,1,MATCH(COLUMNS($AN$1006:AQ1006),$AN$1006:$BO$1006,0)))),"Fix")))</f>
        <v>0</v>
      </c>
      <c r="F414" s="4">
        <f>IF(OR(INDEX($AH$2:$AH$1001,MATCH(ROWS($AG$2:AG414),$AG$2:$AG$1001,0),1)&gt;=100000,INDEX($AN$1005:$BO$1005,1,MATCH(COLUMNS($AN$1006:AR1006),$AN$1006:$BO$1006,0))&gt;=100000), " ",IF(INDEX($AN$2:$BO$1001,MATCH(ROWS($AG$2:AG414),$AG$2:$AG$1001,0),MATCH(COLUMNS($AN$1006:AR1006),$AN$1006:$BO$1006,0)), HYPERLINK("#",""), HYPERLINK(CONCATENATE("#Metadata!", ADDRESS(INDEX($AI$2:$AI$1001,MATCH(ROWS($AG$2:AG414),$AG$2:$AG$1001,0),0), INDEX($AN$1004:$BO$1004,1,MATCH(COLUMNS($AN$1006:AR1006),$AN$1006:$BO$1006,0)))),"Fix")))</f>
        <v>0</v>
      </c>
      <c r="G414" s="4">
        <f>IF(OR(INDEX($AH$2:$AH$1001,MATCH(ROWS($AG$2:AG414),$AG$2:$AG$1001,0),1)&gt;=100000,INDEX($AN$1005:$BO$1005,1,MATCH(COLUMNS($AN$1006:AS1006),$AN$1006:$BO$1006,0))&gt;=100000), " ",IF(INDEX($AN$2:$BO$1001,MATCH(ROWS($AG$2:AG414),$AG$2:$AG$1001,0),MATCH(COLUMNS($AN$1006:AS1006),$AN$1006:$BO$1006,0)), HYPERLINK("#",""), HYPERLINK(CONCATENATE("#Metadata!", ADDRESS(INDEX($AI$2:$AI$1001,MATCH(ROWS($AG$2:AG414),$AG$2:$AG$1001,0),0), INDEX($AN$1004:$BO$1004,1,MATCH(COLUMNS($AN$1006:AS1006),$AN$1006:$BO$1006,0)))),"Fix")))</f>
        <v>0</v>
      </c>
      <c r="H414" s="4">
        <f>IF(OR(INDEX($AH$2:$AH$1001,MATCH(ROWS($AG$2:AG414),$AG$2:$AG$1001,0),1)&gt;=100000,INDEX($AN$1005:$BO$1005,1,MATCH(COLUMNS($AN$1006:AT1006),$AN$1006:$BO$1006,0))&gt;=100000), " ",IF(INDEX($AN$2:$BO$1001,MATCH(ROWS($AG$2:AG414),$AG$2:$AG$1001,0),MATCH(COLUMNS($AN$1006:AT1006),$AN$1006:$BO$1006,0)), HYPERLINK("#",""), HYPERLINK(CONCATENATE("#Metadata!", ADDRESS(INDEX($AI$2:$AI$1001,MATCH(ROWS($AG$2:AG414),$AG$2:$AG$1001,0),0), INDEX($AN$1004:$BO$1004,1,MATCH(COLUMNS($AN$1006:AT1006),$AN$1006:$BO$1006,0)))),"Fix")))</f>
        <v>0</v>
      </c>
      <c r="I414" s="4">
        <f>IF(OR(INDEX($AH$2:$AH$1001,MATCH(ROWS($AG$2:AG414),$AG$2:$AG$1001,0),1)&gt;=100000,INDEX($AN$1005:$BO$1005,1,MATCH(COLUMNS($AN$1006:AU1006),$AN$1006:$BO$1006,0))&gt;=100000), " ",IF(INDEX($AN$2:$BO$1001,MATCH(ROWS($AG$2:AG414),$AG$2:$AG$1001,0),MATCH(COLUMNS($AN$1006:AU1006),$AN$1006:$BO$1006,0)), HYPERLINK("#",""), HYPERLINK(CONCATENATE("#Metadata!", ADDRESS(INDEX($AI$2:$AI$1001,MATCH(ROWS($AG$2:AG414),$AG$2:$AG$1001,0),0), INDEX($AN$1004:$BO$1004,1,MATCH(COLUMNS($AN$1006:AU1006),$AN$1006:$BO$1006,0)))),"Fix")))</f>
        <v>0</v>
      </c>
      <c r="J414" s="4">
        <f>IF(OR(INDEX($AH$2:$AH$1001,MATCH(ROWS($AG$2:AG414),$AG$2:$AG$1001,0),1)&gt;=100000,INDEX($AN$1005:$BO$1005,1,MATCH(COLUMNS($AN$1006:AV1006),$AN$1006:$BO$1006,0))&gt;=100000), " ",IF(INDEX($AN$2:$BO$1001,MATCH(ROWS($AG$2:AG414),$AG$2:$AG$1001,0),MATCH(COLUMNS($AN$1006:AV1006),$AN$1006:$BO$1006,0)), HYPERLINK("#",""), HYPERLINK(CONCATENATE("#Metadata!", ADDRESS(INDEX($AI$2:$AI$1001,MATCH(ROWS($AG$2:AG414),$AG$2:$AG$1001,0),0), INDEX($AN$1004:$BO$1004,1,MATCH(COLUMNS($AN$1006:AV1006),$AN$1006:$BO$1006,0)))),"Fix")))</f>
        <v>0</v>
      </c>
      <c r="K414" s="4">
        <f>IF(OR(INDEX($AH$2:$AH$1001,MATCH(ROWS($AG$2:AG414),$AG$2:$AG$1001,0),1)&gt;=100000,INDEX($AN$1005:$BO$1005,1,MATCH(COLUMNS($AN$1006:AW1006),$AN$1006:$BO$1006,0))&gt;=100000), " ",IF(INDEX($AN$2:$BO$1001,MATCH(ROWS($AG$2:AG414),$AG$2:$AG$1001,0),MATCH(COLUMNS($AN$1006:AW1006),$AN$1006:$BO$1006,0)), HYPERLINK("#",""), HYPERLINK(CONCATENATE("#Metadata!", ADDRESS(INDEX($AI$2:$AI$1001,MATCH(ROWS($AG$2:AG414),$AG$2:$AG$1001,0),0), INDEX($AN$1004:$BO$1004,1,MATCH(COLUMNS($AN$1006:AW1006),$AN$1006:$BO$1006,0)))),"Fix")))</f>
        <v>0</v>
      </c>
      <c r="L414" s="4">
        <f>IF(OR(INDEX($AH$2:$AH$1001,MATCH(ROWS($AG$2:AG414),$AG$2:$AG$1001,0),1)&gt;=100000,INDEX($AN$1005:$BO$1005,1,MATCH(COLUMNS($AN$1006:AX1006),$AN$1006:$BO$1006,0))&gt;=100000), " ",IF(INDEX($AN$2:$BO$1001,MATCH(ROWS($AG$2:AG414),$AG$2:$AG$1001,0),MATCH(COLUMNS($AN$1006:AX1006),$AN$1006:$BO$1006,0)), HYPERLINK("#",""), HYPERLINK(CONCATENATE("#Metadata!", ADDRESS(INDEX($AI$2:$AI$1001,MATCH(ROWS($AG$2:AG414),$AG$2:$AG$1001,0),0), INDEX($AN$1004:$BO$1004,1,MATCH(COLUMNS($AN$1006:AX1006),$AN$1006:$BO$1006,0)))),"Fix")))</f>
        <v>0</v>
      </c>
      <c r="M414" s="4">
        <f>IF(OR(INDEX($AH$2:$AH$1001,MATCH(ROWS($AG$2:AG414),$AG$2:$AG$1001,0),1)&gt;=100000,INDEX($AN$1005:$BO$1005,1,MATCH(COLUMNS($AN$1006:AY1006),$AN$1006:$BO$1006,0))&gt;=100000), " ",IF(INDEX($AN$2:$BO$1001,MATCH(ROWS($AG$2:AG414),$AG$2:$AG$1001,0),MATCH(COLUMNS($AN$1006:AY1006),$AN$1006:$BO$1006,0)), HYPERLINK("#",""), HYPERLINK(CONCATENATE("#Metadata!", ADDRESS(INDEX($AI$2:$AI$1001,MATCH(ROWS($AG$2:AG414),$AG$2:$AG$1001,0),0), INDEX($AN$1004:$BO$1004,1,MATCH(COLUMNS($AN$1006:AY1006),$AN$1006:$BO$1006,0)))),"Fix")))</f>
        <v>0</v>
      </c>
      <c r="N414" s="4">
        <f>IF(OR(INDEX($AH$2:$AH$1001,MATCH(ROWS($AG$2:AG414),$AG$2:$AG$1001,0),1)&gt;=100000,INDEX($AN$1005:$BO$1005,1,MATCH(COLUMNS($AN$1006:AZ1006),$AN$1006:$BO$1006,0))&gt;=100000), " ",IF(INDEX($AN$2:$BO$1001,MATCH(ROWS($AG$2:AG414),$AG$2:$AG$1001,0),MATCH(COLUMNS($AN$1006:AZ1006),$AN$1006:$BO$1006,0)), HYPERLINK("#",""), HYPERLINK(CONCATENATE("#Metadata!", ADDRESS(INDEX($AI$2:$AI$1001,MATCH(ROWS($AG$2:AG414),$AG$2:$AG$1001,0),0), INDEX($AN$1004:$BO$1004,1,MATCH(COLUMNS($AN$1006:AZ1006),$AN$1006:$BO$1006,0)))),"Fix")))</f>
        <v>0</v>
      </c>
      <c r="O414" s="4">
        <f>IF(OR(INDEX($AH$2:$AH$1001,MATCH(ROWS($AG$2:AG414),$AG$2:$AG$1001,0),1)&gt;=100000,INDEX($AN$1005:$BO$1005,1,MATCH(COLUMNS($AN$1006:BA1006),$AN$1006:$BO$1006,0))&gt;=100000), " ",IF(INDEX($AN$2:$BO$1001,MATCH(ROWS($AG$2:AG414),$AG$2:$AG$1001,0),MATCH(COLUMNS($AN$1006:BA1006),$AN$1006:$BO$1006,0)), HYPERLINK("#",""), HYPERLINK(CONCATENATE("#Metadata!", ADDRESS(INDEX($AI$2:$AI$1001,MATCH(ROWS($AG$2:AG414),$AG$2:$AG$1001,0),0), INDEX($AN$1004:$BO$1004,1,MATCH(COLUMNS($AN$1006:BA1006),$AN$1006:$BO$1006,0)))),"Fix")))</f>
        <v>0</v>
      </c>
      <c r="P414" s="4">
        <f>IF(OR(INDEX($AH$2:$AH$1001,MATCH(ROWS($AG$2:AG414),$AG$2:$AG$1001,0),1)&gt;=100000,INDEX($AN$1005:$BO$1005,1,MATCH(COLUMNS($AN$1006:BB1006),$AN$1006:$BO$1006,0))&gt;=100000), " ",IF(INDEX($AN$2:$BO$1001,MATCH(ROWS($AG$2:AG414),$AG$2:$AG$1001,0),MATCH(COLUMNS($AN$1006:BB1006),$AN$1006:$BO$1006,0)), HYPERLINK("#",""), HYPERLINK(CONCATENATE("#Metadata!", ADDRESS(INDEX($AI$2:$AI$1001,MATCH(ROWS($AG$2:AG414),$AG$2:$AG$1001,0),0), INDEX($AN$1004:$BO$1004,1,MATCH(COLUMNS($AN$1006:BB1006),$AN$1006:$BO$1006,0)))),"Fix")))</f>
        <v>0</v>
      </c>
      <c r="Q414" s="4">
        <f>IF(OR(INDEX($AH$2:$AH$1001,MATCH(ROWS($AG$2:AG414),$AG$2:$AG$1001,0),1)&gt;=100000,INDEX($AN$1005:$BO$1005,1,MATCH(COLUMNS($AN$1006:BC1006),$AN$1006:$BO$1006,0))&gt;=100000), " ",IF(INDEX($AN$2:$BO$1001,MATCH(ROWS($AG$2:AG414),$AG$2:$AG$1001,0),MATCH(COLUMNS($AN$1006:BC1006),$AN$1006:$BO$1006,0)), HYPERLINK("#",""), HYPERLINK(CONCATENATE("#Metadata!", ADDRESS(INDEX($AI$2:$AI$1001,MATCH(ROWS($AG$2:AG414),$AG$2:$AG$1001,0),0), INDEX($AN$1004:$BO$1004,1,MATCH(COLUMNS($AN$1006:BC1006),$AN$1006:$BO$1006,0)))),"Fix")))</f>
        <v>0</v>
      </c>
      <c r="R414" s="4">
        <f>IF(OR(INDEX($AH$2:$AH$1001,MATCH(ROWS($AG$2:AG414),$AG$2:$AG$1001,0),1)&gt;=100000,INDEX($AN$1005:$BO$1005,1,MATCH(COLUMNS($AN$1006:BD1006),$AN$1006:$BO$1006,0))&gt;=100000), " ",IF(INDEX($AN$2:$BO$1001,MATCH(ROWS($AG$2:AG414),$AG$2:$AG$1001,0),MATCH(COLUMNS($AN$1006:BD1006),$AN$1006:$BO$1006,0)), HYPERLINK("#",""), HYPERLINK(CONCATENATE("#Metadata!", ADDRESS(INDEX($AI$2:$AI$1001,MATCH(ROWS($AG$2:AG414),$AG$2:$AG$1001,0),0), INDEX($AN$1004:$BO$1004,1,MATCH(COLUMNS($AN$1006:BD1006),$AN$1006:$BO$1006,0)))),"Fix")))</f>
        <v>0</v>
      </c>
      <c r="S414" s="4">
        <f>IF(OR(INDEX($AH$2:$AH$1001,MATCH(ROWS($AG$2:AG414),$AG$2:$AG$1001,0),1)&gt;=100000,INDEX($AN$1005:$BO$1005,1,MATCH(COLUMNS($AN$1006:BE1006),$AN$1006:$BO$1006,0))&gt;=100000), " ",IF(INDEX($AN$2:$BO$1001,MATCH(ROWS($AG$2:AG414),$AG$2:$AG$1001,0),MATCH(COLUMNS($AN$1006:BE1006),$AN$1006:$BO$1006,0)), HYPERLINK("#",""), HYPERLINK(CONCATENATE("#Metadata!", ADDRESS(INDEX($AI$2:$AI$1001,MATCH(ROWS($AG$2:AG414),$AG$2:$AG$1001,0),0), INDEX($AN$1004:$BO$1004,1,MATCH(COLUMNS($AN$1006:BE1006),$AN$1006:$BO$1006,0)))),"Fix")))</f>
        <v>0</v>
      </c>
      <c r="T414" s="4">
        <f>IF(OR(INDEX($AH$2:$AH$1001,MATCH(ROWS($AG$2:AG414),$AG$2:$AG$1001,0),1)&gt;=100000,INDEX($AN$1005:$BO$1005,1,MATCH(COLUMNS($AN$1006:BF1006),$AN$1006:$BO$1006,0))&gt;=100000), " ",IF(INDEX($AN$2:$BO$1001,MATCH(ROWS($AG$2:AG414),$AG$2:$AG$1001,0),MATCH(COLUMNS($AN$1006:BF1006),$AN$1006:$BO$1006,0)), HYPERLINK("#",""), HYPERLINK(CONCATENATE("#Metadata!", ADDRESS(INDEX($AI$2:$AI$1001,MATCH(ROWS($AG$2:AG414),$AG$2:$AG$1001,0),0), INDEX($AN$1004:$BO$1004,1,MATCH(COLUMNS($AN$1006:BF1006),$AN$1006:$BO$1006,0)))),"Fix")))</f>
        <v>0</v>
      </c>
      <c r="U414" s="4">
        <f>IF(OR(INDEX($AH$2:$AH$1001,MATCH(ROWS($AG$2:AG414),$AG$2:$AG$1001,0),1)&gt;=100000,INDEX($AN$1005:$BO$1005,1,MATCH(COLUMNS($AN$1006:BG1006),$AN$1006:$BO$1006,0))&gt;=100000), " ",IF(INDEX($AN$2:$BO$1001,MATCH(ROWS($AG$2:AG414),$AG$2:$AG$1001,0),MATCH(COLUMNS($AN$1006:BG1006),$AN$1006:$BO$1006,0)), HYPERLINK("#",""), HYPERLINK(CONCATENATE("#Metadata!", ADDRESS(INDEX($AI$2:$AI$1001,MATCH(ROWS($AG$2:AG414),$AG$2:$AG$1001,0),0), INDEX($AN$1004:$BO$1004,1,MATCH(COLUMNS($AN$1006:BG1006),$AN$1006:$BO$1006,0)))),"Fix")))</f>
        <v>0</v>
      </c>
      <c r="V414" s="4">
        <f>IF(OR(INDEX($AH$2:$AH$1001,MATCH(ROWS($AG$2:AG414),$AG$2:$AG$1001,0),1)&gt;=100000,INDEX($AN$1005:$BO$1005,1,MATCH(COLUMNS($AN$1006:BH1006),$AN$1006:$BO$1006,0))&gt;=100000), " ",IF(INDEX($AN$2:$BO$1001,MATCH(ROWS($AG$2:AG414),$AG$2:$AG$1001,0),MATCH(COLUMNS($AN$1006:BH1006),$AN$1006:$BO$1006,0)), HYPERLINK("#",""), HYPERLINK(CONCATENATE("#Metadata!", ADDRESS(INDEX($AI$2:$AI$1001,MATCH(ROWS($AG$2:AG414),$AG$2:$AG$1001,0),0), INDEX($AN$1004:$BO$1004,1,MATCH(COLUMNS($AN$1006:BH1006),$AN$1006:$BO$1006,0)))),"Fix")))</f>
        <v>0</v>
      </c>
      <c r="W414" s="4">
        <f>IF(OR(INDEX($AH$2:$AH$1001,MATCH(ROWS($AG$2:AG414),$AG$2:$AG$1001,0),1)&gt;=100000,INDEX($AN$1005:$BO$1005,1,MATCH(COLUMNS($AN$1006:BI1006),$AN$1006:$BO$1006,0))&gt;=100000), " ",IF(INDEX($AN$2:$BO$1001,MATCH(ROWS($AG$2:AG414),$AG$2:$AG$1001,0),MATCH(COLUMNS($AN$1006:BI1006),$AN$1006:$BO$1006,0)), HYPERLINK("#",""), HYPERLINK(CONCATENATE("#Metadata!", ADDRESS(INDEX($AI$2:$AI$1001,MATCH(ROWS($AG$2:AG414),$AG$2:$AG$1001,0),0), INDEX($AN$1004:$BO$1004,1,MATCH(COLUMNS($AN$1006:BI1006),$AN$1006:$BO$1006,0)))),"Fix")))</f>
        <v>0</v>
      </c>
      <c r="X414" s="4">
        <f>IF(OR(INDEX($AH$2:$AH$1001,MATCH(ROWS($AG$2:AG414),$AG$2:$AG$1001,0),1)&gt;=100000,INDEX($AN$1005:$BO$1005,1,MATCH(COLUMNS($AN$1006:BJ1006),$AN$1006:$BO$1006,0))&gt;=100000), " ",IF(INDEX($AN$2:$BO$1001,MATCH(ROWS($AG$2:AG414),$AG$2:$AG$1001,0),MATCH(COLUMNS($AN$1006:BJ1006),$AN$1006:$BO$1006,0)), HYPERLINK("#",""), HYPERLINK(CONCATENATE("#Metadata!", ADDRESS(INDEX($AI$2:$AI$1001,MATCH(ROWS($AG$2:AG414),$AG$2:$AG$1001,0),0), INDEX($AN$1004:$BO$1004,1,MATCH(COLUMNS($AN$1006:BJ1006),$AN$1006:$BO$1006,0)))),"Fix")))</f>
        <v>0</v>
      </c>
      <c r="Y414" s="4">
        <f>IF(OR(INDEX($AH$2:$AH$1001,MATCH(ROWS($AG$2:AG414),$AG$2:$AG$1001,0),1)&gt;=100000,INDEX($AN$1005:$BO$1005,1,MATCH(COLUMNS($AN$1006:BK1006),$AN$1006:$BO$1006,0))&gt;=100000), " ",IF(INDEX($AN$2:$BO$1001,MATCH(ROWS($AG$2:AG414),$AG$2:$AG$1001,0),MATCH(COLUMNS($AN$1006:BK1006),$AN$1006:$BO$1006,0)), HYPERLINK("#",""), HYPERLINK(CONCATENATE("#Metadata!", ADDRESS(INDEX($AI$2:$AI$1001,MATCH(ROWS($AG$2:AG414),$AG$2:$AG$1001,0),0), INDEX($AN$1004:$BO$1004,1,MATCH(COLUMNS($AN$1006:BK1006),$AN$1006:$BO$1006,0)))),"Fix")))</f>
        <v>0</v>
      </c>
      <c r="Z414" s="4">
        <f>IF(OR(INDEX($AH$2:$AH$1001,MATCH(ROWS($AG$2:AG414),$AG$2:$AG$1001,0),1)&gt;=100000,INDEX($AN$1005:$BO$1005,1,MATCH(COLUMNS($AN$1006:BL1006),$AN$1006:$BO$1006,0))&gt;=100000), " ",IF(INDEX($AN$2:$BO$1001,MATCH(ROWS($AG$2:AG414),$AG$2:$AG$1001,0),MATCH(COLUMNS($AN$1006:BL1006),$AN$1006:$BO$1006,0)), HYPERLINK("#",""), HYPERLINK(CONCATENATE("#Metadata!", ADDRESS(INDEX($AI$2:$AI$1001,MATCH(ROWS($AG$2:AG414),$AG$2:$AG$1001,0),0), INDEX($AN$1004:$BO$1004,1,MATCH(COLUMNS($AN$1006:BL1006),$AN$1006:$BO$1006,0)))),"Fix")))</f>
        <v>0</v>
      </c>
      <c r="AA414" s="4">
        <f>IF(OR(INDEX($AH$2:$AH$1001,MATCH(ROWS($AG$2:AG414),$AG$2:$AG$1001,0),1)&gt;=100000,INDEX($AN$1005:$BO$1005,1,MATCH(COLUMNS($AN$1006:BM1006),$AN$1006:$BO$1006,0))&gt;=100000), " ",IF(INDEX($AN$2:$BO$1001,MATCH(ROWS($AG$2:AG414),$AG$2:$AG$1001,0),MATCH(COLUMNS($AN$1006:BM1006),$AN$1006:$BO$1006,0)), HYPERLINK("#",""), HYPERLINK(CONCATENATE("#Metadata!", ADDRESS(INDEX($AI$2:$AI$1001,MATCH(ROWS($AG$2:AG414),$AG$2:$AG$1001,0),0), INDEX($AN$1004:$BO$1004,1,MATCH(COLUMNS($AN$1006:BM1006),$AN$1006:$BO$1006,0)))),"Fix")))</f>
        <v>0</v>
      </c>
      <c r="AB414" s="4">
        <f>IF(OR(INDEX($AH$2:$AH$1001,MATCH(ROWS($AG$2:AG414),$AG$2:$AG$1001,0),1)&gt;=100000,INDEX($AN$1005:$BO$1005,1,MATCH(COLUMNS($AN$1006:BN1006),$AN$1006:$BO$1006,0))&gt;=100000), " ",IF(INDEX($AN$2:$BO$1001,MATCH(ROWS($AG$2:AG414),$AG$2:$AG$1001,0),MATCH(COLUMNS($AN$1006:BN1006),$AN$1006:$BO$1006,0)), HYPERLINK("#",""), HYPERLINK(CONCATENATE("#Metadata!", ADDRESS(INDEX($AI$2:$AI$1001,MATCH(ROWS($AG$2:AG414),$AG$2:$AG$1001,0),0), INDEX($AN$1004:$BO$1004,1,MATCH(COLUMNS($AN$1006:BN1006),$AN$1006:$BO$1006,0)))),"Fix")))</f>
        <v>0</v>
      </c>
      <c r="AC414" s="4">
        <f>IF(OR(INDEX($AH$2:$AH$1001,MATCH(ROWS($AG$2:AG414),$AG$2:$AG$1001,0),1)&gt;=100000,INDEX($AN$1005:$BO$1005,1,MATCH(COLUMNS($AN$1006:BO1006),$AN$1006:$BO$1006,0))&gt;=100000), " ",IF(INDEX($AN$2:$BO$1001,MATCH(ROWS($AG$2:AG414),$AG$2:$AG$1001,0),MATCH(COLUMNS($AN$1006:BO1006),$AN$1006:$BO$1006,0)), HYPERLINK("#",""), HYPERLINK(CONCATENATE("#Metadata!", ADDRESS(INDEX($AI$2:$AI$1001,MATCH(ROWS($AG$2:AG414),$AG$2:$AG$1001,0),0), INDEX($AN$1004:$BO$1004,1,MATCH(COLUMNS($AN$1006:BO1006),$AN$1006:$BO$1006,0)))),"Fix")))</f>
        <v>0</v>
      </c>
      <c r="AG414">
        <v>0</v>
      </c>
      <c r="AH414">
        <v>0</v>
      </c>
      <c r="AI414">
        <v>0</v>
      </c>
      <c r="AJ414">
        <f>IF(AK414,TRUE,AND(AN414:BO414))</f>
        <v>0</v>
      </c>
      <c r="AK414">
        <f>COUNTBLANK(Metadata!B414:AC414)=COLUMNS(Metadata!B414:AC414)</f>
        <v>0</v>
      </c>
      <c r="AL414">
        <v>0</v>
      </c>
      <c r="AN414">
        <f>AND(IF(Metadata!B414="",FALSE,TRUE),COUNTIF(Metadata!B:B, Metadata!B414) = 1,NOT(ISERROR(SUMPRODUCT(SEARCH(MID(Metadata!B414,ROW(INDIRECT("1:"&amp;LEN(Metadata!B414))), 1),"0123456789abcdefghijklmnopqrstuvwxyzABCDEFGHIJKLMNOPQRSTUVWXYZ.")))))</f>
        <v>0</v>
      </c>
      <c r="AO414">
        <f>IF(Metadata!C414="",FALSE,TRUE)</f>
        <v>0</v>
      </c>
      <c r="AP414">
        <f>IF(Metadata!D414="",FALSE,TRUE)</f>
        <v>0</v>
      </c>
      <c r="AQ414">
        <f>OR(AND(IF(Metadata!E414="",FALSE,TRUE),OR(exact(Metadata!E414,"not collected"),exact(Metadata!E414,"not provided"),exact(Metadata!E414,"restricted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R414">
        <f>IF(Metadata!F414="",FALSE,TRUE)</f>
        <v>0</v>
      </c>
      <c r="AS414">
        <f>OR(AND(IF(Metadata!G414="",FALSE,TRUE),OR(exact(Metadata!G414,"not collected"),exact(Metadata!G414,"not provided"))),AND(IF(Metadata!G414="",FALSE,TRUE),OR(exact(Metadata!G414,"TRUE"),exact(Metadata!G414,"FALSE"))))</f>
        <v>0</v>
      </c>
      <c r="AT414">
        <f>OR(AND(IF(Metadata!H414="",FALSE,TRUE),OR(exact(Metadata!H414,"not collected"),exact(Metadata!H414,"not provided"),exact(Metadata!H414,"restricted access"))),AND(IF(Metadata!H414="",FALSE,ISNUMBER(VALUE(Metadata!H414))),Metadata!H414&gt;=-413.0))</f>
        <v>0</v>
      </c>
      <c r="AU414">
        <f>AND(IF(Metadata!I414="",FALSE,TRUE),exact(Metadata!I414,"meters"))</f>
        <v>0</v>
      </c>
      <c r="AV414">
        <f>AND(IF(Metadata!J414="",FALSE,TRUE),OR(exact(Metadata!J414,"Host-associated"),exact(Metadata!J414,"Free-living")))</f>
        <v>0</v>
      </c>
      <c r="AW414">
        <f>AND(IF(Metadata!K414="",FALSE,TRUE),OR(exact(Metadata!K414,"Animal"),exact(Metadata!K414,"Fungus"),exact(Metadata!K414,"Plant"),exact(Metadata!K414,"Saline"),exact(Metadata!K414,"Non-saline")))</f>
        <v>0</v>
      </c>
      <c r="AX414">
        <f>AND(IF(Metadata!L414="",FALSE,TRUE),OR(exact(Metadata!L414,"Plant secretion"),exact(Metadata!L414,"Plant rhizosphere"),exact(Metadata!L414,"Plant surface"),exact(Metadata!L414,"Plant corpus"),exact(Metadata!L414,"Fungus surface"),exact(Metadata!L414,"Fungus corpus"),exact(Metadata!L414,"Animal surface"),exact(Metadata!L414,"Animal proximal gut"),exact(Metadata!L414,"Animal corpus"),exact(Metadata!L414,"Animal distal gut"),exact(Metadata!L414,"Animal secretion"),exact(Metadata!L414,"Sub-surface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Y414">
        <f>IF(Metadata!M414="",FALSE,TRUE)</f>
        <v>0</v>
      </c>
      <c r="AZ414">
        <f>IF(Metadata!N414="",FALSE,TRUE)</f>
        <v>0</v>
      </c>
      <c r="BA414">
        <f>IF(Metadata!O414="",FALSE,TRUE)</f>
        <v>0</v>
      </c>
      <c r="BB414">
        <f>OR(AND(IF(Metadata!P414="",FALSE,TRUE),OR(exact(Metadata!P414,"not collected"),exact(Metadata!P414,"not provided"),exact(Metadata!P414,"restricted access"))),AND(IF(Metadata!P414="",FALSE,TRUE),OR(exact(Metadata!P414,"air"),exact(Metadata!P414,"built environment"),exact(Metadata!P414,"host-associated"),exact(Metadata!P414,"human-associated"),exact(Metadata!P414,"human-skin"),exact(Metadata!P414,"human-oral"),exact(Metadata!P414,"human-gut"),exact(Metadata!P414,"human-vaginal"),exact(Metadata!P414,"microbial mat/biofilm"),exact(Metadata!P414,"misc environment"),exact(Metadata!P414,"plant-associated"),exact(Metadata!P414,"sediment"),exact(Metadata!P414,"soil"),exact(Metadata!P414,"wastewater/sludge"),exact(Metadata!P414,"water"))))</f>
        <v>0</v>
      </c>
      <c r="BC414">
        <f>IF(Metadata!Q414="",FALSE,TRUE)</f>
        <v>0</v>
      </c>
      <c r="BD414">
        <f>IF(Metadata!R414="",FALSE,TRUE)</f>
        <v>0</v>
      </c>
      <c r="BE414">
        <f>OR(AND(IF(Metadata!S414="",FALSE,TRUE),OR(exact(Metadata!S414,"not collected"),exact(Metadata!S414,"not provided"),exact(Metadata!S414,"restricted access"))),AND(IF(Metadata!S414="",FALSE,ISNUMBER(VALUE(Metadata!S414))),Metadata!S414&gt;=-90.00,Metadata!S414&lt;=90.00))</f>
        <v>0</v>
      </c>
      <c r="BF414">
        <f>AND(IF(Metadata!T414="",FALSE,TRUE),exact(Metadata!T414,"Decimal degrees"))</f>
        <v>0</v>
      </c>
      <c r="BG414">
        <f>OR(AND(IF(Metadata!U414="",FALSE,TRUE),OR(exact(Metadata!U414,"not collected"),exact(Metadata!U414,"not provided"),exact(Metadata!U414,"restricted access"))),AND(IF(Metadata!U414="",FALSE,ISNUMBER(VALUE(Metadata!U414))),Metadata!U414&gt;=-180.00,Metadata!U414&lt;=180.00))</f>
        <v>0</v>
      </c>
      <c r="BH414">
        <f>AND(IF(Metadata!V414="",FALSE,TRUE),exact(Metadata!V414,"Decimal degrees"))</f>
        <v>0</v>
      </c>
      <c r="BI414">
        <f>IF(Metadata!W414="",FALSE,TRUE)</f>
        <v>0</v>
      </c>
      <c r="BJ414">
        <f>OR(AND(IF(Metadata!X414="",FALSE,TRUE),OR(exact(Metadata!X414,"not collected"),exact(Metadata!X414,"not provided"),exact(Metadata!X414,"restricted access"))),AND(IF(Metadata!X414="",FALSE,TRUE),OR(exact(Metadata!X414,"TRUE"),exact(Metadata!X414,"FALSE"))))</f>
        <v>0</v>
      </c>
      <c r="BK414">
        <f>AND(IF(Metadata!Y414="",FALSE,TRUE),exact(Metadata!Y414,"other"))</f>
        <v>0</v>
      </c>
      <c r="BL414">
        <f>IF(Metadata!Z414="",FALSE,TRUE)</f>
        <v>0</v>
      </c>
      <c r="BM414">
        <f>OR(AND(IF(Metadata!AA414="",FALSE,TRUE),OR(exact(Metadata!AA414,"not collected"),exact(Metadata!AA414,"not provided"))),AND(IF(Metadata!AA414="",FALSE,IF(ISERROR(INT(Metadata!AA414)),FALSE,INT(Metadata!AA414)=Metadata!AA414)),Metadata!AA414&gt;0))</f>
        <v>0</v>
      </c>
      <c r="BN414">
        <f>AND(IF(Metadata!AB414="",FALSE,TRUE),exact(Metadata!AB414,"Not applicable"))</f>
        <v>0</v>
      </c>
      <c r="BO414">
        <f>IF(Metadata!AC414="",FALSE,TRUE)</f>
        <v>0</v>
      </c>
    </row>
    <row r="415" spans="1:67">
      <c r="A415" s="5">
        <f>IF(B415=" "," ",HYPERLINK(CONCATENATE("#metadata!",ADDRESS(INDEX($AI$2:$AI$1001,MATCH(ROWS($AG$2:AG415),$AG$2:$AG$1001,0),0),1)),INDEX($AL$2:$AL$1001,MATCH(ROWS($AG$2:AG415),$AG$2:$AG$1001,0),0)))</f>
        <v>0</v>
      </c>
      <c r="B415" s="4">
        <f>IF(OR(INDEX($AH$2:$AH$1001,MATCH(ROWS($AG$2:AG415),$AG$2:$AG$1001,0),1)&gt;=100000,INDEX($AN$1005:$BO$1005,1,MATCH(COLUMNS($AN$1006:AN1006),$AN$1006:$BO$1006,0))&gt;=100000), " ",IF(INDEX($AN$2:$BO$1001,MATCH(ROWS($AG$2:AG415),$AG$2:$AG$1001,0),MATCH(COLUMNS($AN$1006:AN1006),$AN$1006:$BO$1006,0)), HYPERLINK("#",""), HYPERLINK(CONCATENATE("#Metadata!", ADDRESS(INDEX($AI$2:$AI$1001,MATCH(ROWS($AG$2:AG415),$AG$2:$AG$1001,0),0), INDEX($AN$1004:$BO$1004,1,MATCH(COLUMNS($AN$1006:AN1006),$AN$1006:$BO$1006,0)))),"Fix")))</f>
        <v>0</v>
      </c>
      <c r="C415" s="4">
        <f>IF(OR(INDEX($AH$2:$AH$1001,MATCH(ROWS($AG$2:AG415),$AG$2:$AG$1001,0),1)&gt;=100000,INDEX($AN$1005:$BO$1005,1,MATCH(COLUMNS($AN$1006:AO1006),$AN$1006:$BO$1006,0))&gt;=100000), " ",IF(INDEX($AN$2:$BO$1001,MATCH(ROWS($AG$2:AG415),$AG$2:$AG$1001,0),MATCH(COLUMNS($AN$1006:AO1006),$AN$1006:$BO$1006,0)), HYPERLINK("#",""), HYPERLINK(CONCATENATE("#Metadata!", ADDRESS(INDEX($AI$2:$AI$1001,MATCH(ROWS($AG$2:AG415),$AG$2:$AG$1001,0),0), INDEX($AN$1004:$BO$1004,1,MATCH(COLUMNS($AN$1006:AO1006),$AN$1006:$BO$1006,0)))),"Fix")))</f>
        <v>0</v>
      </c>
      <c r="D415" s="4">
        <f>IF(OR(INDEX($AH$2:$AH$1001,MATCH(ROWS($AG$2:AG415),$AG$2:$AG$1001,0),1)&gt;=100000,INDEX($AN$1005:$BO$1005,1,MATCH(COLUMNS($AN$1006:AP1006),$AN$1006:$BO$1006,0))&gt;=100000), " ",IF(INDEX($AN$2:$BO$1001,MATCH(ROWS($AG$2:AG415),$AG$2:$AG$1001,0),MATCH(COLUMNS($AN$1006:AP1006),$AN$1006:$BO$1006,0)), HYPERLINK("#",""), HYPERLINK(CONCATENATE("#Metadata!", ADDRESS(INDEX($AI$2:$AI$1001,MATCH(ROWS($AG$2:AG415),$AG$2:$AG$1001,0),0), INDEX($AN$1004:$BO$1004,1,MATCH(COLUMNS($AN$1006:AP1006),$AN$1006:$BO$1006,0)))),"Fix")))</f>
        <v>0</v>
      </c>
      <c r="E415" s="4">
        <f>IF(OR(INDEX($AH$2:$AH$1001,MATCH(ROWS($AG$2:AG415),$AG$2:$AG$1001,0),1)&gt;=100000,INDEX($AN$1005:$BO$1005,1,MATCH(COLUMNS($AN$1006:AQ1006),$AN$1006:$BO$1006,0))&gt;=100000), " ",IF(INDEX($AN$2:$BO$1001,MATCH(ROWS($AG$2:AG415),$AG$2:$AG$1001,0),MATCH(COLUMNS($AN$1006:AQ1006),$AN$1006:$BO$1006,0)), HYPERLINK("#",""), HYPERLINK(CONCATENATE("#Metadata!", ADDRESS(INDEX($AI$2:$AI$1001,MATCH(ROWS($AG$2:AG415),$AG$2:$AG$1001,0),0), INDEX($AN$1004:$BO$1004,1,MATCH(COLUMNS($AN$1006:AQ1006),$AN$1006:$BO$1006,0)))),"Fix")))</f>
        <v>0</v>
      </c>
      <c r="F415" s="4">
        <f>IF(OR(INDEX($AH$2:$AH$1001,MATCH(ROWS($AG$2:AG415),$AG$2:$AG$1001,0),1)&gt;=100000,INDEX($AN$1005:$BO$1005,1,MATCH(COLUMNS($AN$1006:AR1006),$AN$1006:$BO$1006,0))&gt;=100000), " ",IF(INDEX($AN$2:$BO$1001,MATCH(ROWS($AG$2:AG415),$AG$2:$AG$1001,0),MATCH(COLUMNS($AN$1006:AR1006),$AN$1006:$BO$1006,0)), HYPERLINK("#",""), HYPERLINK(CONCATENATE("#Metadata!", ADDRESS(INDEX($AI$2:$AI$1001,MATCH(ROWS($AG$2:AG415),$AG$2:$AG$1001,0),0), INDEX($AN$1004:$BO$1004,1,MATCH(COLUMNS($AN$1006:AR1006),$AN$1006:$BO$1006,0)))),"Fix")))</f>
        <v>0</v>
      </c>
      <c r="G415" s="4">
        <f>IF(OR(INDEX($AH$2:$AH$1001,MATCH(ROWS($AG$2:AG415),$AG$2:$AG$1001,0),1)&gt;=100000,INDEX($AN$1005:$BO$1005,1,MATCH(COLUMNS($AN$1006:AS1006),$AN$1006:$BO$1006,0))&gt;=100000), " ",IF(INDEX($AN$2:$BO$1001,MATCH(ROWS($AG$2:AG415),$AG$2:$AG$1001,0),MATCH(COLUMNS($AN$1006:AS1006),$AN$1006:$BO$1006,0)), HYPERLINK("#",""), HYPERLINK(CONCATENATE("#Metadata!", ADDRESS(INDEX($AI$2:$AI$1001,MATCH(ROWS($AG$2:AG415),$AG$2:$AG$1001,0),0), INDEX($AN$1004:$BO$1004,1,MATCH(COLUMNS($AN$1006:AS1006),$AN$1006:$BO$1006,0)))),"Fix")))</f>
        <v>0</v>
      </c>
      <c r="H415" s="4">
        <f>IF(OR(INDEX($AH$2:$AH$1001,MATCH(ROWS($AG$2:AG415),$AG$2:$AG$1001,0),1)&gt;=100000,INDEX($AN$1005:$BO$1005,1,MATCH(COLUMNS($AN$1006:AT1006),$AN$1006:$BO$1006,0))&gt;=100000), " ",IF(INDEX($AN$2:$BO$1001,MATCH(ROWS($AG$2:AG415),$AG$2:$AG$1001,0),MATCH(COLUMNS($AN$1006:AT1006),$AN$1006:$BO$1006,0)), HYPERLINK("#",""), HYPERLINK(CONCATENATE("#Metadata!", ADDRESS(INDEX($AI$2:$AI$1001,MATCH(ROWS($AG$2:AG415),$AG$2:$AG$1001,0),0), INDEX($AN$1004:$BO$1004,1,MATCH(COLUMNS($AN$1006:AT1006),$AN$1006:$BO$1006,0)))),"Fix")))</f>
        <v>0</v>
      </c>
      <c r="I415" s="4">
        <f>IF(OR(INDEX($AH$2:$AH$1001,MATCH(ROWS($AG$2:AG415),$AG$2:$AG$1001,0),1)&gt;=100000,INDEX($AN$1005:$BO$1005,1,MATCH(COLUMNS($AN$1006:AU1006),$AN$1006:$BO$1006,0))&gt;=100000), " ",IF(INDEX($AN$2:$BO$1001,MATCH(ROWS($AG$2:AG415),$AG$2:$AG$1001,0),MATCH(COLUMNS($AN$1006:AU1006),$AN$1006:$BO$1006,0)), HYPERLINK("#",""), HYPERLINK(CONCATENATE("#Metadata!", ADDRESS(INDEX($AI$2:$AI$1001,MATCH(ROWS($AG$2:AG415),$AG$2:$AG$1001,0),0), INDEX($AN$1004:$BO$1004,1,MATCH(COLUMNS($AN$1006:AU1006),$AN$1006:$BO$1006,0)))),"Fix")))</f>
        <v>0</v>
      </c>
      <c r="J415" s="4">
        <f>IF(OR(INDEX($AH$2:$AH$1001,MATCH(ROWS($AG$2:AG415),$AG$2:$AG$1001,0),1)&gt;=100000,INDEX($AN$1005:$BO$1005,1,MATCH(COLUMNS($AN$1006:AV1006),$AN$1006:$BO$1006,0))&gt;=100000), " ",IF(INDEX($AN$2:$BO$1001,MATCH(ROWS($AG$2:AG415),$AG$2:$AG$1001,0),MATCH(COLUMNS($AN$1006:AV1006),$AN$1006:$BO$1006,0)), HYPERLINK("#",""), HYPERLINK(CONCATENATE("#Metadata!", ADDRESS(INDEX($AI$2:$AI$1001,MATCH(ROWS($AG$2:AG415),$AG$2:$AG$1001,0),0), INDEX($AN$1004:$BO$1004,1,MATCH(COLUMNS($AN$1006:AV1006),$AN$1006:$BO$1006,0)))),"Fix")))</f>
        <v>0</v>
      </c>
      <c r="K415" s="4">
        <f>IF(OR(INDEX($AH$2:$AH$1001,MATCH(ROWS($AG$2:AG415),$AG$2:$AG$1001,0),1)&gt;=100000,INDEX($AN$1005:$BO$1005,1,MATCH(COLUMNS($AN$1006:AW1006),$AN$1006:$BO$1006,0))&gt;=100000), " ",IF(INDEX($AN$2:$BO$1001,MATCH(ROWS($AG$2:AG415),$AG$2:$AG$1001,0),MATCH(COLUMNS($AN$1006:AW1006),$AN$1006:$BO$1006,0)), HYPERLINK("#",""), HYPERLINK(CONCATENATE("#Metadata!", ADDRESS(INDEX($AI$2:$AI$1001,MATCH(ROWS($AG$2:AG415),$AG$2:$AG$1001,0),0), INDEX($AN$1004:$BO$1004,1,MATCH(COLUMNS($AN$1006:AW1006),$AN$1006:$BO$1006,0)))),"Fix")))</f>
        <v>0</v>
      </c>
      <c r="L415" s="4">
        <f>IF(OR(INDEX($AH$2:$AH$1001,MATCH(ROWS($AG$2:AG415),$AG$2:$AG$1001,0),1)&gt;=100000,INDEX($AN$1005:$BO$1005,1,MATCH(COLUMNS($AN$1006:AX1006),$AN$1006:$BO$1006,0))&gt;=100000), " ",IF(INDEX($AN$2:$BO$1001,MATCH(ROWS($AG$2:AG415),$AG$2:$AG$1001,0),MATCH(COLUMNS($AN$1006:AX1006),$AN$1006:$BO$1006,0)), HYPERLINK("#",""), HYPERLINK(CONCATENATE("#Metadata!", ADDRESS(INDEX($AI$2:$AI$1001,MATCH(ROWS($AG$2:AG415),$AG$2:$AG$1001,0),0), INDEX($AN$1004:$BO$1004,1,MATCH(COLUMNS($AN$1006:AX1006),$AN$1006:$BO$1006,0)))),"Fix")))</f>
        <v>0</v>
      </c>
      <c r="M415" s="4">
        <f>IF(OR(INDEX($AH$2:$AH$1001,MATCH(ROWS($AG$2:AG415),$AG$2:$AG$1001,0),1)&gt;=100000,INDEX($AN$1005:$BO$1005,1,MATCH(COLUMNS($AN$1006:AY1006),$AN$1006:$BO$1006,0))&gt;=100000), " ",IF(INDEX($AN$2:$BO$1001,MATCH(ROWS($AG$2:AG415),$AG$2:$AG$1001,0),MATCH(COLUMNS($AN$1006:AY1006),$AN$1006:$BO$1006,0)), HYPERLINK("#",""), HYPERLINK(CONCATENATE("#Metadata!", ADDRESS(INDEX($AI$2:$AI$1001,MATCH(ROWS($AG$2:AG415),$AG$2:$AG$1001,0),0), INDEX($AN$1004:$BO$1004,1,MATCH(COLUMNS($AN$1006:AY1006),$AN$1006:$BO$1006,0)))),"Fix")))</f>
        <v>0</v>
      </c>
      <c r="N415" s="4">
        <f>IF(OR(INDEX($AH$2:$AH$1001,MATCH(ROWS($AG$2:AG415),$AG$2:$AG$1001,0),1)&gt;=100000,INDEX($AN$1005:$BO$1005,1,MATCH(COLUMNS($AN$1006:AZ1006),$AN$1006:$BO$1006,0))&gt;=100000), " ",IF(INDEX($AN$2:$BO$1001,MATCH(ROWS($AG$2:AG415),$AG$2:$AG$1001,0),MATCH(COLUMNS($AN$1006:AZ1006),$AN$1006:$BO$1006,0)), HYPERLINK("#",""), HYPERLINK(CONCATENATE("#Metadata!", ADDRESS(INDEX($AI$2:$AI$1001,MATCH(ROWS($AG$2:AG415),$AG$2:$AG$1001,0),0), INDEX($AN$1004:$BO$1004,1,MATCH(COLUMNS($AN$1006:AZ1006),$AN$1006:$BO$1006,0)))),"Fix")))</f>
        <v>0</v>
      </c>
      <c r="O415" s="4">
        <f>IF(OR(INDEX($AH$2:$AH$1001,MATCH(ROWS($AG$2:AG415),$AG$2:$AG$1001,0),1)&gt;=100000,INDEX($AN$1005:$BO$1005,1,MATCH(COLUMNS($AN$1006:BA1006),$AN$1006:$BO$1006,0))&gt;=100000), " ",IF(INDEX($AN$2:$BO$1001,MATCH(ROWS($AG$2:AG415),$AG$2:$AG$1001,0),MATCH(COLUMNS($AN$1006:BA1006),$AN$1006:$BO$1006,0)), HYPERLINK("#",""), HYPERLINK(CONCATENATE("#Metadata!", ADDRESS(INDEX($AI$2:$AI$1001,MATCH(ROWS($AG$2:AG415),$AG$2:$AG$1001,0),0), INDEX($AN$1004:$BO$1004,1,MATCH(COLUMNS($AN$1006:BA1006),$AN$1006:$BO$1006,0)))),"Fix")))</f>
        <v>0</v>
      </c>
      <c r="P415" s="4">
        <f>IF(OR(INDEX($AH$2:$AH$1001,MATCH(ROWS($AG$2:AG415),$AG$2:$AG$1001,0),1)&gt;=100000,INDEX($AN$1005:$BO$1005,1,MATCH(COLUMNS($AN$1006:BB1006),$AN$1006:$BO$1006,0))&gt;=100000), " ",IF(INDEX($AN$2:$BO$1001,MATCH(ROWS($AG$2:AG415),$AG$2:$AG$1001,0),MATCH(COLUMNS($AN$1006:BB1006),$AN$1006:$BO$1006,0)), HYPERLINK("#",""), HYPERLINK(CONCATENATE("#Metadata!", ADDRESS(INDEX($AI$2:$AI$1001,MATCH(ROWS($AG$2:AG415),$AG$2:$AG$1001,0),0), INDEX($AN$1004:$BO$1004,1,MATCH(COLUMNS($AN$1006:BB1006),$AN$1006:$BO$1006,0)))),"Fix")))</f>
        <v>0</v>
      </c>
      <c r="Q415" s="4">
        <f>IF(OR(INDEX($AH$2:$AH$1001,MATCH(ROWS($AG$2:AG415),$AG$2:$AG$1001,0),1)&gt;=100000,INDEX($AN$1005:$BO$1005,1,MATCH(COLUMNS($AN$1006:BC1006),$AN$1006:$BO$1006,0))&gt;=100000), " ",IF(INDEX($AN$2:$BO$1001,MATCH(ROWS($AG$2:AG415),$AG$2:$AG$1001,0),MATCH(COLUMNS($AN$1006:BC1006),$AN$1006:$BO$1006,0)), HYPERLINK("#",""), HYPERLINK(CONCATENATE("#Metadata!", ADDRESS(INDEX($AI$2:$AI$1001,MATCH(ROWS($AG$2:AG415),$AG$2:$AG$1001,0),0), INDEX($AN$1004:$BO$1004,1,MATCH(COLUMNS($AN$1006:BC1006),$AN$1006:$BO$1006,0)))),"Fix")))</f>
        <v>0</v>
      </c>
      <c r="R415" s="4">
        <f>IF(OR(INDEX($AH$2:$AH$1001,MATCH(ROWS($AG$2:AG415),$AG$2:$AG$1001,0),1)&gt;=100000,INDEX($AN$1005:$BO$1005,1,MATCH(COLUMNS($AN$1006:BD1006),$AN$1006:$BO$1006,0))&gt;=100000), " ",IF(INDEX($AN$2:$BO$1001,MATCH(ROWS($AG$2:AG415),$AG$2:$AG$1001,0),MATCH(COLUMNS($AN$1006:BD1006),$AN$1006:$BO$1006,0)), HYPERLINK("#",""), HYPERLINK(CONCATENATE("#Metadata!", ADDRESS(INDEX($AI$2:$AI$1001,MATCH(ROWS($AG$2:AG415),$AG$2:$AG$1001,0),0), INDEX($AN$1004:$BO$1004,1,MATCH(COLUMNS($AN$1006:BD1006),$AN$1006:$BO$1006,0)))),"Fix")))</f>
        <v>0</v>
      </c>
      <c r="S415" s="4">
        <f>IF(OR(INDEX($AH$2:$AH$1001,MATCH(ROWS($AG$2:AG415),$AG$2:$AG$1001,0),1)&gt;=100000,INDEX($AN$1005:$BO$1005,1,MATCH(COLUMNS($AN$1006:BE1006),$AN$1006:$BO$1006,0))&gt;=100000), " ",IF(INDEX($AN$2:$BO$1001,MATCH(ROWS($AG$2:AG415),$AG$2:$AG$1001,0),MATCH(COLUMNS($AN$1006:BE1006),$AN$1006:$BO$1006,0)), HYPERLINK("#",""), HYPERLINK(CONCATENATE("#Metadata!", ADDRESS(INDEX($AI$2:$AI$1001,MATCH(ROWS($AG$2:AG415),$AG$2:$AG$1001,0),0), INDEX($AN$1004:$BO$1004,1,MATCH(COLUMNS($AN$1006:BE1006),$AN$1006:$BO$1006,0)))),"Fix")))</f>
        <v>0</v>
      </c>
      <c r="T415" s="4">
        <f>IF(OR(INDEX($AH$2:$AH$1001,MATCH(ROWS($AG$2:AG415),$AG$2:$AG$1001,0),1)&gt;=100000,INDEX($AN$1005:$BO$1005,1,MATCH(COLUMNS($AN$1006:BF1006),$AN$1006:$BO$1006,0))&gt;=100000), " ",IF(INDEX($AN$2:$BO$1001,MATCH(ROWS($AG$2:AG415),$AG$2:$AG$1001,0),MATCH(COLUMNS($AN$1006:BF1006),$AN$1006:$BO$1006,0)), HYPERLINK("#",""), HYPERLINK(CONCATENATE("#Metadata!", ADDRESS(INDEX($AI$2:$AI$1001,MATCH(ROWS($AG$2:AG415),$AG$2:$AG$1001,0),0), INDEX($AN$1004:$BO$1004,1,MATCH(COLUMNS($AN$1006:BF1006),$AN$1006:$BO$1006,0)))),"Fix")))</f>
        <v>0</v>
      </c>
      <c r="U415" s="4">
        <f>IF(OR(INDEX($AH$2:$AH$1001,MATCH(ROWS($AG$2:AG415),$AG$2:$AG$1001,0),1)&gt;=100000,INDEX($AN$1005:$BO$1005,1,MATCH(COLUMNS($AN$1006:BG1006),$AN$1006:$BO$1006,0))&gt;=100000), " ",IF(INDEX($AN$2:$BO$1001,MATCH(ROWS($AG$2:AG415),$AG$2:$AG$1001,0),MATCH(COLUMNS($AN$1006:BG1006),$AN$1006:$BO$1006,0)), HYPERLINK("#",""), HYPERLINK(CONCATENATE("#Metadata!", ADDRESS(INDEX($AI$2:$AI$1001,MATCH(ROWS($AG$2:AG415),$AG$2:$AG$1001,0),0), INDEX($AN$1004:$BO$1004,1,MATCH(COLUMNS($AN$1006:BG1006),$AN$1006:$BO$1006,0)))),"Fix")))</f>
        <v>0</v>
      </c>
      <c r="V415" s="4">
        <f>IF(OR(INDEX($AH$2:$AH$1001,MATCH(ROWS($AG$2:AG415),$AG$2:$AG$1001,0),1)&gt;=100000,INDEX($AN$1005:$BO$1005,1,MATCH(COLUMNS($AN$1006:BH1006),$AN$1006:$BO$1006,0))&gt;=100000), " ",IF(INDEX($AN$2:$BO$1001,MATCH(ROWS($AG$2:AG415),$AG$2:$AG$1001,0),MATCH(COLUMNS($AN$1006:BH1006),$AN$1006:$BO$1006,0)), HYPERLINK("#",""), HYPERLINK(CONCATENATE("#Metadata!", ADDRESS(INDEX($AI$2:$AI$1001,MATCH(ROWS($AG$2:AG415),$AG$2:$AG$1001,0),0), INDEX($AN$1004:$BO$1004,1,MATCH(COLUMNS($AN$1006:BH1006),$AN$1006:$BO$1006,0)))),"Fix")))</f>
        <v>0</v>
      </c>
      <c r="W415" s="4">
        <f>IF(OR(INDEX($AH$2:$AH$1001,MATCH(ROWS($AG$2:AG415),$AG$2:$AG$1001,0),1)&gt;=100000,INDEX($AN$1005:$BO$1005,1,MATCH(COLUMNS($AN$1006:BI1006),$AN$1006:$BO$1006,0))&gt;=100000), " ",IF(INDEX($AN$2:$BO$1001,MATCH(ROWS($AG$2:AG415),$AG$2:$AG$1001,0),MATCH(COLUMNS($AN$1006:BI1006),$AN$1006:$BO$1006,0)), HYPERLINK("#",""), HYPERLINK(CONCATENATE("#Metadata!", ADDRESS(INDEX($AI$2:$AI$1001,MATCH(ROWS($AG$2:AG415),$AG$2:$AG$1001,0),0), INDEX($AN$1004:$BO$1004,1,MATCH(COLUMNS($AN$1006:BI1006),$AN$1006:$BO$1006,0)))),"Fix")))</f>
        <v>0</v>
      </c>
      <c r="X415" s="4">
        <f>IF(OR(INDEX($AH$2:$AH$1001,MATCH(ROWS($AG$2:AG415),$AG$2:$AG$1001,0),1)&gt;=100000,INDEX($AN$1005:$BO$1005,1,MATCH(COLUMNS($AN$1006:BJ1006),$AN$1006:$BO$1006,0))&gt;=100000), " ",IF(INDEX($AN$2:$BO$1001,MATCH(ROWS($AG$2:AG415),$AG$2:$AG$1001,0),MATCH(COLUMNS($AN$1006:BJ1006),$AN$1006:$BO$1006,0)), HYPERLINK("#",""), HYPERLINK(CONCATENATE("#Metadata!", ADDRESS(INDEX($AI$2:$AI$1001,MATCH(ROWS($AG$2:AG415),$AG$2:$AG$1001,0),0), INDEX($AN$1004:$BO$1004,1,MATCH(COLUMNS($AN$1006:BJ1006),$AN$1006:$BO$1006,0)))),"Fix")))</f>
        <v>0</v>
      </c>
      <c r="Y415" s="4">
        <f>IF(OR(INDEX($AH$2:$AH$1001,MATCH(ROWS($AG$2:AG415),$AG$2:$AG$1001,0),1)&gt;=100000,INDEX($AN$1005:$BO$1005,1,MATCH(COLUMNS($AN$1006:BK1006),$AN$1006:$BO$1006,0))&gt;=100000), " ",IF(INDEX($AN$2:$BO$1001,MATCH(ROWS($AG$2:AG415),$AG$2:$AG$1001,0),MATCH(COLUMNS($AN$1006:BK1006),$AN$1006:$BO$1006,0)), HYPERLINK("#",""), HYPERLINK(CONCATENATE("#Metadata!", ADDRESS(INDEX($AI$2:$AI$1001,MATCH(ROWS($AG$2:AG415),$AG$2:$AG$1001,0),0), INDEX($AN$1004:$BO$1004,1,MATCH(COLUMNS($AN$1006:BK1006),$AN$1006:$BO$1006,0)))),"Fix")))</f>
        <v>0</v>
      </c>
      <c r="Z415" s="4">
        <f>IF(OR(INDEX($AH$2:$AH$1001,MATCH(ROWS($AG$2:AG415),$AG$2:$AG$1001,0),1)&gt;=100000,INDEX($AN$1005:$BO$1005,1,MATCH(COLUMNS($AN$1006:BL1006),$AN$1006:$BO$1006,0))&gt;=100000), " ",IF(INDEX($AN$2:$BO$1001,MATCH(ROWS($AG$2:AG415),$AG$2:$AG$1001,0),MATCH(COLUMNS($AN$1006:BL1006),$AN$1006:$BO$1006,0)), HYPERLINK("#",""), HYPERLINK(CONCATENATE("#Metadata!", ADDRESS(INDEX($AI$2:$AI$1001,MATCH(ROWS($AG$2:AG415),$AG$2:$AG$1001,0),0), INDEX($AN$1004:$BO$1004,1,MATCH(COLUMNS($AN$1006:BL1006),$AN$1006:$BO$1006,0)))),"Fix")))</f>
        <v>0</v>
      </c>
      <c r="AA415" s="4">
        <f>IF(OR(INDEX($AH$2:$AH$1001,MATCH(ROWS($AG$2:AG415),$AG$2:$AG$1001,0),1)&gt;=100000,INDEX($AN$1005:$BO$1005,1,MATCH(COLUMNS($AN$1006:BM1006),$AN$1006:$BO$1006,0))&gt;=100000), " ",IF(INDEX($AN$2:$BO$1001,MATCH(ROWS($AG$2:AG415),$AG$2:$AG$1001,0),MATCH(COLUMNS($AN$1006:BM1006),$AN$1006:$BO$1006,0)), HYPERLINK("#",""), HYPERLINK(CONCATENATE("#Metadata!", ADDRESS(INDEX($AI$2:$AI$1001,MATCH(ROWS($AG$2:AG415),$AG$2:$AG$1001,0),0), INDEX($AN$1004:$BO$1004,1,MATCH(COLUMNS($AN$1006:BM1006),$AN$1006:$BO$1006,0)))),"Fix")))</f>
        <v>0</v>
      </c>
      <c r="AB415" s="4">
        <f>IF(OR(INDEX($AH$2:$AH$1001,MATCH(ROWS($AG$2:AG415),$AG$2:$AG$1001,0),1)&gt;=100000,INDEX($AN$1005:$BO$1005,1,MATCH(COLUMNS($AN$1006:BN1006),$AN$1006:$BO$1006,0))&gt;=100000), " ",IF(INDEX($AN$2:$BO$1001,MATCH(ROWS($AG$2:AG415),$AG$2:$AG$1001,0),MATCH(COLUMNS($AN$1006:BN1006),$AN$1006:$BO$1006,0)), HYPERLINK("#",""), HYPERLINK(CONCATENATE("#Metadata!", ADDRESS(INDEX($AI$2:$AI$1001,MATCH(ROWS($AG$2:AG415),$AG$2:$AG$1001,0),0), INDEX($AN$1004:$BO$1004,1,MATCH(COLUMNS($AN$1006:BN1006),$AN$1006:$BO$1006,0)))),"Fix")))</f>
        <v>0</v>
      </c>
      <c r="AC415" s="4">
        <f>IF(OR(INDEX($AH$2:$AH$1001,MATCH(ROWS($AG$2:AG415),$AG$2:$AG$1001,0),1)&gt;=100000,INDEX($AN$1005:$BO$1005,1,MATCH(COLUMNS($AN$1006:BO1006),$AN$1006:$BO$1006,0))&gt;=100000), " ",IF(INDEX($AN$2:$BO$1001,MATCH(ROWS($AG$2:AG415),$AG$2:$AG$1001,0),MATCH(COLUMNS($AN$1006:BO1006),$AN$1006:$BO$1006,0)), HYPERLINK("#",""), HYPERLINK(CONCATENATE("#Metadata!", ADDRESS(INDEX($AI$2:$AI$1001,MATCH(ROWS($AG$2:AG415),$AG$2:$AG$1001,0),0), INDEX($AN$1004:$BO$1004,1,MATCH(COLUMNS($AN$1006:BO1006),$AN$1006:$BO$1006,0)))),"Fix")))</f>
        <v>0</v>
      </c>
      <c r="AG415">
        <v>0</v>
      </c>
      <c r="AH415">
        <v>0</v>
      </c>
      <c r="AI415">
        <v>0</v>
      </c>
      <c r="AJ415">
        <f>IF(AK415,TRUE,AND(AN415:BO415))</f>
        <v>0</v>
      </c>
      <c r="AK415">
        <f>COUNTBLANK(Metadata!B415:AC415)=COLUMNS(Metadata!B415:AC415)</f>
        <v>0</v>
      </c>
      <c r="AL415">
        <v>0</v>
      </c>
      <c r="AN415">
        <f>AND(IF(Metadata!B415="",FALSE,TRUE),COUNTIF(Metadata!B:B, Metadata!B415) = 1,NOT(ISERROR(SUMPRODUCT(SEARCH(MID(Metadata!B415,ROW(INDIRECT("1:"&amp;LEN(Metadata!B415))), 1),"0123456789abcdefghijklmnopqrstuvwxyzABCDEFGHIJKLMNOPQRSTUVWXYZ.")))))</f>
        <v>0</v>
      </c>
      <c r="AO415">
        <f>IF(Metadata!C415="",FALSE,TRUE)</f>
        <v>0</v>
      </c>
      <c r="AP415">
        <f>IF(Metadata!D415="",FALSE,TRUE)</f>
        <v>0</v>
      </c>
      <c r="AQ415">
        <f>OR(AND(IF(Metadata!E415="",FALSE,TRUE),OR(exact(Metadata!E415,"not collected"),exact(Metadata!E415,"not provided"),exact(Metadata!E415,"restricted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R415">
        <f>IF(Metadata!F415="",FALSE,TRUE)</f>
        <v>0</v>
      </c>
      <c r="AS415">
        <f>OR(AND(IF(Metadata!G415="",FALSE,TRUE),OR(exact(Metadata!G415,"not collected"),exact(Metadata!G415,"not provided"))),AND(IF(Metadata!G415="",FALSE,TRUE),OR(exact(Metadata!G415,"TRUE"),exact(Metadata!G415,"FALSE"))))</f>
        <v>0</v>
      </c>
      <c r="AT415">
        <f>OR(AND(IF(Metadata!H415="",FALSE,TRUE),OR(exact(Metadata!H415,"not collected"),exact(Metadata!H415,"not provided"),exact(Metadata!H415,"restricted access"))),AND(IF(Metadata!H415="",FALSE,ISNUMBER(VALUE(Metadata!H415))),Metadata!H415&gt;=-413.0))</f>
        <v>0</v>
      </c>
      <c r="AU415">
        <f>AND(IF(Metadata!I415="",FALSE,TRUE),exact(Metadata!I415,"meters"))</f>
        <v>0</v>
      </c>
      <c r="AV415">
        <f>AND(IF(Metadata!J415="",FALSE,TRUE),OR(exact(Metadata!J415,"Host-associated"),exact(Metadata!J415,"Free-living")))</f>
        <v>0</v>
      </c>
      <c r="AW415">
        <f>AND(IF(Metadata!K415="",FALSE,TRUE),OR(exact(Metadata!K415,"Animal"),exact(Metadata!K415,"Fungus"),exact(Metadata!K415,"Plant"),exact(Metadata!K415,"Saline"),exact(Metadata!K415,"Non-saline")))</f>
        <v>0</v>
      </c>
      <c r="AX415">
        <f>AND(IF(Metadata!L415="",FALSE,TRUE),OR(exact(Metadata!L415,"Plant secretion"),exact(Metadata!L415,"Plant rhizosphere"),exact(Metadata!L415,"Plant surface"),exact(Metadata!L415,"Plant corpus"),exact(Metadata!L415,"Fungus surface"),exact(Metadata!L415,"Fungus corpus"),exact(Metadata!L415,"Animal surface"),exact(Metadata!L415,"Animal proximal gut"),exact(Metadata!L415,"Animal corpus"),exact(Metadata!L415,"Animal distal gut"),exact(Metadata!L415,"Animal secretion"),exact(Metadata!L415,"Sub-surface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Y415">
        <f>IF(Metadata!M415="",FALSE,TRUE)</f>
        <v>0</v>
      </c>
      <c r="AZ415">
        <f>IF(Metadata!N415="",FALSE,TRUE)</f>
        <v>0</v>
      </c>
      <c r="BA415">
        <f>IF(Metadata!O415="",FALSE,TRUE)</f>
        <v>0</v>
      </c>
      <c r="BB415">
        <f>OR(AND(IF(Metadata!P415="",FALSE,TRUE),OR(exact(Metadata!P415,"not collected"),exact(Metadata!P415,"not provided"),exact(Metadata!P415,"restricted access"))),AND(IF(Metadata!P415="",FALSE,TRUE),OR(exact(Metadata!P415,"air"),exact(Metadata!P415,"built environment"),exact(Metadata!P415,"host-associated"),exact(Metadata!P415,"human-associated"),exact(Metadata!P415,"human-skin"),exact(Metadata!P415,"human-oral"),exact(Metadata!P415,"human-gut"),exact(Metadata!P415,"human-vaginal"),exact(Metadata!P415,"microbial mat/biofilm"),exact(Metadata!P415,"misc environment"),exact(Metadata!P415,"plant-associated"),exact(Metadata!P415,"sediment"),exact(Metadata!P415,"soil"),exact(Metadata!P415,"wastewater/sludge"),exact(Metadata!P415,"water"))))</f>
        <v>0</v>
      </c>
      <c r="BC415">
        <f>IF(Metadata!Q415="",FALSE,TRUE)</f>
        <v>0</v>
      </c>
      <c r="BD415">
        <f>IF(Metadata!R415="",FALSE,TRUE)</f>
        <v>0</v>
      </c>
      <c r="BE415">
        <f>OR(AND(IF(Metadata!S415="",FALSE,TRUE),OR(exact(Metadata!S415,"not collected"),exact(Metadata!S415,"not provided"),exact(Metadata!S415,"restricted access"))),AND(IF(Metadata!S415="",FALSE,ISNUMBER(VALUE(Metadata!S415))),Metadata!S415&gt;=-90.00,Metadata!S415&lt;=90.00))</f>
        <v>0</v>
      </c>
      <c r="BF415">
        <f>AND(IF(Metadata!T415="",FALSE,TRUE),exact(Metadata!T415,"Decimal degrees"))</f>
        <v>0</v>
      </c>
      <c r="BG415">
        <f>OR(AND(IF(Metadata!U415="",FALSE,TRUE),OR(exact(Metadata!U415,"not collected"),exact(Metadata!U415,"not provided"),exact(Metadata!U415,"restricted access"))),AND(IF(Metadata!U415="",FALSE,ISNUMBER(VALUE(Metadata!U415))),Metadata!U415&gt;=-180.00,Metadata!U415&lt;=180.00))</f>
        <v>0</v>
      </c>
      <c r="BH415">
        <f>AND(IF(Metadata!V415="",FALSE,TRUE),exact(Metadata!V415,"Decimal degrees"))</f>
        <v>0</v>
      </c>
      <c r="BI415">
        <f>IF(Metadata!W415="",FALSE,TRUE)</f>
        <v>0</v>
      </c>
      <c r="BJ415">
        <f>OR(AND(IF(Metadata!X415="",FALSE,TRUE),OR(exact(Metadata!X415,"not collected"),exact(Metadata!X415,"not provided"),exact(Metadata!X415,"restricted access"))),AND(IF(Metadata!X415="",FALSE,TRUE),OR(exact(Metadata!X415,"TRUE"),exact(Metadata!X415,"FALSE"))))</f>
        <v>0</v>
      </c>
      <c r="BK415">
        <f>AND(IF(Metadata!Y415="",FALSE,TRUE),exact(Metadata!Y415,"other"))</f>
        <v>0</v>
      </c>
      <c r="BL415">
        <f>IF(Metadata!Z415="",FALSE,TRUE)</f>
        <v>0</v>
      </c>
      <c r="BM415">
        <f>OR(AND(IF(Metadata!AA415="",FALSE,TRUE),OR(exact(Metadata!AA415,"not collected"),exact(Metadata!AA415,"not provided"))),AND(IF(Metadata!AA415="",FALSE,IF(ISERROR(INT(Metadata!AA415)),FALSE,INT(Metadata!AA415)=Metadata!AA415)),Metadata!AA415&gt;0))</f>
        <v>0</v>
      </c>
      <c r="BN415">
        <f>AND(IF(Metadata!AB415="",FALSE,TRUE),exact(Metadata!AB415,"Not applicable"))</f>
        <v>0</v>
      </c>
      <c r="BO415">
        <f>IF(Metadata!AC415="",FALSE,TRUE)</f>
        <v>0</v>
      </c>
    </row>
    <row r="416" spans="1:67">
      <c r="A416" s="5">
        <f>IF(B416=" "," ",HYPERLINK(CONCATENATE("#metadata!",ADDRESS(INDEX($AI$2:$AI$1001,MATCH(ROWS($AG$2:AG416),$AG$2:$AG$1001,0),0),1)),INDEX($AL$2:$AL$1001,MATCH(ROWS($AG$2:AG416),$AG$2:$AG$1001,0),0)))</f>
        <v>0</v>
      </c>
      <c r="B416" s="4">
        <f>IF(OR(INDEX($AH$2:$AH$1001,MATCH(ROWS($AG$2:AG416),$AG$2:$AG$1001,0),1)&gt;=100000,INDEX($AN$1005:$BO$1005,1,MATCH(COLUMNS($AN$1006:AN1006),$AN$1006:$BO$1006,0))&gt;=100000), " ",IF(INDEX($AN$2:$BO$1001,MATCH(ROWS($AG$2:AG416),$AG$2:$AG$1001,0),MATCH(COLUMNS($AN$1006:AN1006),$AN$1006:$BO$1006,0)), HYPERLINK("#",""), HYPERLINK(CONCATENATE("#Metadata!", ADDRESS(INDEX($AI$2:$AI$1001,MATCH(ROWS($AG$2:AG416),$AG$2:$AG$1001,0),0), INDEX($AN$1004:$BO$1004,1,MATCH(COLUMNS($AN$1006:AN1006),$AN$1006:$BO$1006,0)))),"Fix")))</f>
        <v>0</v>
      </c>
      <c r="C416" s="4">
        <f>IF(OR(INDEX($AH$2:$AH$1001,MATCH(ROWS($AG$2:AG416),$AG$2:$AG$1001,0),1)&gt;=100000,INDEX($AN$1005:$BO$1005,1,MATCH(COLUMNS($AN$1006:AO1006),$AN$1006:$BO$1006,0))&gt;=100000), " ",IF(INDEX($AN$2:$BO$1001,MATCH(ROWS($AG$2:AG416),$AG$2:$AG$1001,0),MATCH(COLUMNS($AN$1006:AO1006),$AN$1006:$BO$1006,0)), HYPERLINK("#",""), HYPERLINK(CONCATENATE("#Metadata!", ADDRESS(INDEX($AI$2:$AI$1001,MATCH(ROWS($AG$2:AG416),$AG$2:$AG$1001,0),0), INDEX($AN$1004:$BO$1004,1,MATCH(COLUMNS($AN$1006:AO1006),$AN$1006:$BO$1006,0)))),"Fix")))</f>
        <v>0</v>
      </c>
      <c r="D416" s="4">
        <f>IF(OR(INDEX($AH$2:$AH$1001,MATCH(ROWS($AG$2:AG416),$AG$2:$AG$1001,0),1)&gt;=100000,INDEX($AN$1005:$BO$1005,1,MATCH(COLUMNS($AN$1006:AP1006),$AN$1006:$BO$1006,0))&gt;=100000), " ",IF(INDEX($AN$2:$BO$1001,MATCH(ROWS($AG$2:AG416),$AG$2:$AG$1001,0),MATCH(COLUMNS($AN$1006:AP1006),$AN$1006:$BO$1006,0)), HYPERLINK("#",""), HYPERLINK(CONCATENATE("#Metadata!", ADDRESS(INDEX($AI$2:$AI$1001,MATCH(ROWS($AG$2:AG416),$AG$2:$AG$1001,0),0), INDEX($AN$1004:$BO$1004,1,MATCH(COLUMNS($AN$1006:AP1006),$AN$1006:$BO$1006,0)))),"Fix")))</f>
        <v>0</v>
      </c>
      <c r="E416" s="4">
        <f>IF(OR(INDEX($AH$2:$AH$1001,MATCH(ROWS($AG$2:AG416),$AG$2:$AG$1001,0),1)&gt;=100000,INDEX($AN$1005:$BO$1005,1,MATCH(COLUMNS($AN$1006:AQ1006),$AN$1006:$BO$1006,0))&gt;=100000), " ",IF(INDEX($AN$2:$BO$1001,MATCH(ROWS($AG$2:AG416),$AG$2:$AG$1001,0),MATCH(COLUMNS($AN$1006:AQ1006),$AN$1006:$BO$1006,0)), HYPERLINK("#",""), HYPERLINK(CONCATENATE("#Metadata!", ADDRESS(INDEX($AI$2:$AI$1001,MATCH(ROWS($AG$2:AG416),$AG$2:$AG$1001,0),0), INDEX($AN$1004:$BO$1004,1,MATCH(COLUMNS($AN$1006:AQ1006),$AN$1006:$BO$1006,0)))),"Fix")))</f>
        <v>0</v>
      </c>
      <c r="F416" s="4">
        <f>IF(OR(INDEX($AH$2:$AH$1001,MATCH(ROWS($AG$2:AG416),$AG$2:$AG$1001,0),1)&gt;=100000,INDEX($AN$1005:$BO$1005,1,MATCH(COLUMNS($AN$1006:AR1006),$AN$1006:$BO$1006,0))&gt;=100000), " ",IF(INDEX($AN$2:$BO$1001,MATCH(ROWS($AG$2:AG416),$AG$2:$AG$1001,0),MATCH(COLUMNS($AN$1006:AR1006),$AN$1006:$BO$1006,0)), HYPERLINK("#",""), HYPERLINK(CONCATENATE("#Metadata!", ADDRESS(INDEX($AI$2:$AI$1001,MATCH(ROWS($AG$2:AG416),$AG$2:$AG$1001,0),0), INDEX($AN$1004:$BO$1004,1,MATCH(COLUMNS($AN$1006:AR1006),$AN$1006:$BO$1006,0)))),"Fix")))</f>
        <v>0</v>
      </c>
      <c r="G416" s="4">
        <f>IF(OR(INDEX($AH$2:$AH$1001,MATCH(ROWS($AG$2:AG416),$AG$2:$AG$1001,0),1)&gt;=100000,INDEX($AN$1005:$BO$1005,1,MATCH(COLUMNS($AN$1006:AS1006),$AN$1006:$BO$1006,0))&gt;=100000), " ",IF(INDEX($AN$2:$BO$1001,MATCH(ROWS($AG$2:AG416),$AG$2:$AG$1001,0),MATCH(COLUMNS($AN$1006:AS1006),$AN$1006:$BO$1006,0)), HYPERLINK("#",""), HYPERLINK(CONCATENATE("#Metadata!", ADDRESS(INDEX($AI$2:$AI$1001,MATCH(ROWS($AG$2:AG416),$AG$2:$AG$1001,0),0), INDEX($AN$1004:$BO$1004,1,MATCH(COLUMNS($AN$1006:AS1006),$AN$1006:$BO$1006,0)))),"Fix")))</f>
        <v>0</v>
      </c>
      <c r="H416" s="4">
        <f>IF(OR(INDEX($AH$2:$AH$1001,MATCH(ROWS($AG$2:AG416),$AG$2:$AG$1001,0),1)&gt;=100000,INDEX($AN$1005:$BO$1005,1,MATCH(COLUMNS($AN$1006:AT1006),$AN$1006:$BO$1006,0))&gt;=100000), " ",IF(INDEX($AN$2:$BO$1001,MATCH(ROWS($AG$2:AG416),$AG$2:$AG$1001,0),MATCH(COLUMNS($AN$1006:AT1006),$AN$1006:$BO$1006,0)), HYPERLINK("#",""), HYPERLINK(CONCATENATE("#Metadata!", ADDRESS(INDEX($AI$2:$AI$1001,MATCH(ROWS($AG$2:AG416),$AG$2:$AG$1001,0),0), INDEX($AN$1004:$BO$1004,1,MATCH(COLUMNS($AN$1006:AT1006),$AN$1006:$BO$1006,0)))),"Fix")))</f>
        <v>0</v>
      </c>
      <c r="I416" s="4">
        <f>IF(OR(INDEX($AH$2:$AH$1001,MATCH(ROWS($AG$2:AG416),$AG$2:$AG$1001,0),1)&gt;=100000,INDEX($AN$1005:$BO$1005,1,MATCH(COLUMNS($AN$1006:AU1006),$AN$1006:$BO$1006,0))&gt;=100000), " ",IF(INDEX($AN$2:$BO$1001,MATCH(ROWS($AG$2:AG416),$AG$2:$AG$1001,0),MATCH(COLUMNS($AN$1006:AU1006),$AN$1006:$BO$1006,0)), HYPERLINK("#",""), HYPERLINK(CONCATENATE("#Metadata!", ADDRESS(INDEX($AI$2:$AI$1001,MATCH(ROWS($AG$2:AG416),$AG$2:$AG$1001,0),0), INDEX($AN$1004:$BO$1004,1,MATCH(COLUMNS($AN$1006:AU1006),$AN$1006:$BO$1006,0)))),"Fix")))</f>
        <v>0</v>
      </c>
      <c r="J416" s="4">
        <f>IF(OR(INDEX($AH$2:$AH$1001,MATCH(ROWS($AG$2:AG416),$AG$2:$AG$1001,0),1)&gt;=100000,INDEX($AN$1005:$BO$1005,1,MATCH(COLUMNS($AN$1006:AV1006),$AN$1006:$BO$1006,0))&gt;=100000), " ",IF(INDEX($AN$2:$BO$1001,MATCH(ROWS($AG$2:AG416),$AG$2:$AG$1001,0),MATCH(COLUMNS($AN$1006:AV1006),$AN$1006:$BO$1006,0)), HYPERLINK("#",""), HYPERLINK(CONCATENATE("#Metadata!", ADDRESS(INDEX($AI$2:$AI$1001,MATCH(ROWS($AG$2:AG416),$AG$2:$AG$1001,0),0), INDEX($AN$1004:$BO$1004,1,MATCH(COLUMNS($AN$1006:AV1006),$AN$1006:$BO$1006,0)))),"Fix")))</f>
        <v>0</v>
      </c>
      <c r="K416" s="4">
        <f>IF(OR(INDEX($AH$2:$AH$1001,MATCH(ROWS($AG$2:AG416),$AG$2:$AG$1001,0),1)&gt;=100000,INDEX($AN$1005:$BO$1005,1,MATCH(COLUMNS($AN$1006:AW1006),$AN$1006:$BO$1006,0))&gt;=100000), " ",IF(INDEX($AN$2:$BO$1001,MATCH(ROWS($AG$2:AG416),$AG$2:$AG$1001,0),MATCH(COLUMNS($AN$1006:AW1006),$AN$1006:$BO$1006,0)), HYPERLINK("#",""), HYPERLINK(CONCATENATE("#Metadata!", ADDRESS(INDEX($AI$2:$AI$1001,MATCH(ROWS($AG$2:AG416),$AG$2:$AG$1001,0),0), INDEX($AN$1004:$BO$1004,1,MATCH(COLUMNS($AN$1006:AW1006),$AN$1006:$BO$1006,0)))),"Fix")))</f>
        <v>0</v>
      </c>
      <c r="L416" s="4">
        <f>IF(OR(INDEX($AH$2:$AH$1001,MATCH(ROWS($AG$2:AG416),$AG$2:$AG$1001,0),1)&gt;=100000,INDEX($AN$1005:$BO$1005,1,MATCH(COLUMNS($AN$1006:AX1006),$AN$1006:$BO$1006,0))&gt;=100000), " ",IF(INDEX($AN$2:$BO$1001,MATCH(ROWS($AG$2:AG416),$AG$2:$AG$1001,0),MATCH(COLUMNS($AN$1006:AX1006),$AN$1006:$BO$1006,0)), HYPERLINK("#",""), HYPERLINK(CONCATENATE("#Metadata!", ADDRESS(INDEX($AI$2:$AI$1001,MATCH(ROWS($AG$2:AG416),$AG$2:$AG$1001,0),0), INDEX($AN$1004:$BO$1004,1,MATCH(COLUMNS($AN$1006:AX1006),$AN$1006:$BO$1006,0)))),"Fix")))</f>
        <v>0</v>
      </c>
      <c r="M416" s="4">
        <f>IF(OR(INDEX($AH$2:$AH$1001,MATCH(ROWS($AG$2:AG416),$AG$2:$AG$1001,0),1)&gt;=100000,INDEX($AN$1005:$BO$1005,1,MATCH(COLUMNS($AN$1006:AY1006),$AN$1006:$BO$1006,0))&gt;=100000), " ",IF(INDEX($AN$2:$BO$1001,MATCH(ROWS($AG$2:AG416),$AG$2:$AG$1001,0),MATCH(COLUMNS($AN$1006:AY1006),$AN$1006:$BO$1006,0)), HYPERLINK("#",""), HYPERLINK(CONCATENATE("#Metadata!", ADDRESS(INDEX($AI$2:$AI$1001,MATCH(ROWS($AG$2:AG416),$AG$2:$AG$1001,0),0), INDEX($AN$1004:$BO$1004,1,MATCH(COLUMNS($AN$1006:AY1006),$AN$1006:$BO$1006,0)))),"Fix")))</f>
        <v>0</v>
      </c>
      <c r="N416" s="4">
        <f>IF(OR(INDEX($AH$2:$AH$1001,MATCH(ROWS($AG$2:AG416),$AG$2:$AG$1001,0),1)&gt;=100000,INDEX($AN$1005:$BO$1005,1,MATCH(COLUMNS($AN$1006:AZ1006),$AN$1006:$BO$1006,0))&gt;=100000), " ",IF(INDEX($AN$2:$BO$1001,MATCH(ROWS($AG$2:AG416),$AG$2:$AG$1001,0),MATCH(COLUMNS($AN$1006:AZ1006),$AN$1006:$BO$1006,0)), HYPERLINK("#",""), HYPERLINK(CONCATENATE("#Metadata!", ADDRESS(INDEX($AI$2:$AI$1001,MATCH(ROWS($AG$2:AG416),$AG$2:$AG$1001,0),0), INDEX($AN$1004:$BO$1004,1,MATCH(COLUMNS($AN$1006:AZ1006),$AN$1006:$BO$1006,0)))),"Fix")))</f>
        <v>0</v>
      </c>
      <c r="O416" s="4">
        <f>IF(OR(INDEX($AH$2:$AH$1001,MATCH(ROWS($AG$2:AG416),$AG$2:$AG$1001,0),1)&gt;=100000,INDEX($AN$1005:$BO$1005,1,MATCH(COLUMNS($AN$1006:BA1006),$AN$1006:$BO$1006,0))&gt;=100000), " ",IF(INDEX($AN$2:$BO$1001,MATCH(ROWS($AG$2:AG416),$AG$2:$AG$1001,0),MATCH(COLUMNS($AN$1006:BA1006),$AN$1006:$BO$1006,0)), HYPERLINK("#",""), HYPERLINK(CONCATENATE("#Metadata!", ADDRESS(INDEX($AI$2:$AI$1001,MATCH(ROWS($AG$2:AG416),$AG$2:$AG$1001,0),0), INDEX($AN$1004:$BO$1004,1,MATCH(COLUMNS($AN$1006:BA1006),$AN$1006:$BO$1006,0)))),"Fix")))</f>
        <v>0</v>
      </c>
      <c r="P416" s="4">
        <f>IF(OR(INDEX($AH$2:$AH$1001,MATCH(ROWS($AG$2:AG416),$AG$2:$AG$1001,0),1)&gt;=100000,INDEX($AN$1005:$BO$1005,1,MATCH(COLUMNS($AN$1006:BB1006),$AN$1006:$BO$1006,0))&gt;=100000), " ",IF(INDEX($AN$2:$BO$1001,MATCH(ROWS($AG$2:AG416),$AG$2:$AG$1001,0),MATCH(COLUMNS($AN$1006:BB1006),$AN$1006:$BO$1006,0)), HYPERLINK("#",""), HYPERLINK(CONCATENATE("#Metadata!", ADDRESS(INDEX($AI$2:$AI$1001,MATCH(ROWS($AG$2:AG416),$AG$2:$AG$1001,0),0), INDEX($AN$1004:$BO$1004,1,MATCH(COLUMNS($AN$1006:BB1006),$AN$1006:$BO$1006,0)))),"Fix")))</f>
        <v>0</v>
      </c>
      <c r="Q416" s="4">
        <f>IF(OR(INDEX($AH$2:$AH$1001,MATCH(ROWS($AG$2:AG416),$AG$2:$AG$1001,0),1)&gt;=100000,INDEX($AN$1005:$BO$1005,1,MATCH(COLUMNS($AN$1006:BC1006),$AN$1006:$BO$1006,0))&gt;=100000), " ",IF(INDEX($AN$2:$BO$1001,MATCH(ROWS($AG$2:AG416),$AG$2:$AG$1001,0),MATCH(COLUMNS($AN$1006:BC1006),$AN$1006:$BO$1006,0)), HYPERLINK("#",""), HYPERLINK(CONCATENATE("#Metadata!", ADDRESS(INDEX($AI$2:$AI$1001,MATCH(ROWS($AG$2:AG416),$AG$2:$AG$1001,0),0), INDEX($AN$1004:$BO$1004,1,MATCH(COLUMNS($AN$1006:BC1006),$AN$1006:$BO$1006,0)))),"Fix")))</f>
        <v>0</v>
      </c>
      <c r="R416" s="4">
        <f>IF(OR(INDEX($AH$2:$AH$1001,MATCH(ROWS($AG$2:AG416),$AG$2:$AG$1001,0),1)&gt;=100000,INDEX($AN$1005:$BO$1005,1,MATCH(COLUMNS($AN$1006:BD1006),$AN$1006:$BO$1006,0))&gt;=100000), " ",IF(INDEX($AN$2:$BO$1001,MATCH(ROWS($AG$2:AG416),$AG$2:$AG$1001,0),MATCH(COLUMNS($AN$1006:BD1006),$AN$1006:$BO$1006,0)), HYPERLINK("#",""), HYPERLINK(CONCATENATE("#Metadata!", ADDRESS(INDEX($AI$2:$AI$1001,MATCH(ROWS($AG$2:AG416),$AG$2:$AG$1001,0),0), INDEX($AN$1004:$BO$1004,1,MATCH(COLUMNS($AN$1006:BD1006),$AN$1006:$BO$1006,0)))),"Fix")))</f>
        <v>0</v>
      </c>
      <c r="S416" s="4">
        <f>IF(OR(INDEX($AH$2:$AH$1001,MATCH(ROWS($AG$2:AG416),$AG$2:$AG$1001,0),1)&gt;=100000,INDEX($AN$1005:$BO$1005,1,MATCH(COLUMNS($AN$1006:BE1006),$AN$1006:$BO$1006,0))&gt;=100000), " ",IF(INDEX($AN$2:$BO$1001,MATCH(ROWS($AG$2:AG416),$AG$2:$AG$1001,0),MATCH(COLUMNS($AN$1006:BE1006),$AN$1006:$BO$1006,0)), HYPERLINK("#",""), HYPERLINK(CONCATENATE("#Metadata!", ADDRESS(INDEX($AI$2:$AI$1001,MATCH(ROWS($AG$2:AG416),$AG$2:$AG$1001,0),0), INDEX($AN$1004:$BO$1004,1,MATCH(COLUMNS($AN$1006:BE1006),$AN$1006:$BO$1006,0)))),"Fix")))</f>
        <v>0</v>
      </c>
      <c r="T416" s="4">
        <f>IF(OR(INDEX($AH$2:$AH$1001,MATCH(ROWS($AG$2:AG416),$AG$2:$AG$1001,0),1)&gt;=100000,INDEX($AN$1005:$BO$1005,1,MATCH(COLUMNS($AN$1006:BF1006),$AN$1006:$BO$1006,0))&gt;=100000), " ",IF(INDEX($AN$2:$BO$1001,MATCH(ROWS($AG$2:AG416),$AG$2:$AG$1001,0),MATCH(COLUMNS($AN$1006:BF1006),$AN$1006:$BO$1006,0)), HYPERLINK("#",""), HYPERLINK(CONCATENATE("#Metadata!", ADDRESS(INDEX($AI$2:$AI$1001,MATCH(ROWS($AG$2:AG416),$AG$2:$AG$1001,0),0), INDEX($AN$1004:$BO$1004,1,MATCH(COLUMNS($AN$1006:BF1006),$AN$1006:$BO$1006,0)))),"Fix")))</f>
        <v>0</v>
      </c>
      <c r="U416" s="4">
        <f>IF(OR(INDEX($AH$2:$AH$1001,MATCH(ROWS($AG$2:AG416),$AG$2:$AG$1001,0),1)&gt;=100000,INDEX($AN$1005:$BO$1005,1,MATCH(COLUMNS($AN$1006:BG1006),$AN$1006:$BO$1006,0))&gt;=100000), " ",IF(INDEX($AN$2:$BO$1001,MATCH(ROWS($AG$2:AG416),$AG$2:$AG$1001,0),MATCH(COLUMNS($AN$1006:BG1006),$AN$1006:$BO$1006,0)), HYPERLINK("#",""), HYPERLINK(CONCATENATE("#Metadata!", ADDRESS(INDEX($AI$2:$AI$1001,MATCH(ROWS($AG$2:AG416),$AG$2:$AG$1001,0),0), INDEX($AN$1004:$BO$1004,1,MATCH(COLUMNS($AN$1006:BG1006),$AN$1006:$BO$1006,0)))),"Fix")))</f>
        <v>0</v>
      </c>
      <c r="V416" s="4">
        <f>IF(OR(INDEX($AH$2:$AH$1001,MATCH(ROWS($AG$2:AG416),$AG$2:$AG$1001,0),1)&gt;=100000,INDEX($AN$1005:$BO$1005,1,MATCH(COLUMNS($AN$1006:BH1006),$AN$1006:$BO$1006,0))&gt;=100000), " ",IF(INDEX($AN$2:$BO$1001,MATCH(ROWS($AG$2:AG416),$AG$2:$AG$1001,0),MATCH(COLUMNS($AN$1006:BH1006),$AN$1006:$BO$1006,0)), HYPERLINK("#",""), HYPERLINK(CONCATENATE("#Metadata!", ADDRESS(INDEX($AI$2:$AI$1001,MATCH(ROWS($AG$2:AG416),$AG$2:$AG$1001,0),0), INDEX($AN$1004:$BO$1004,1,MATCH(COLUMNS($AN$1006:BH1006),$AN$1006:$BO$1006,0)))),"Fix")))</f>
        <v>0</v>
      </c>
      <c r="W416" s="4">
        <f>IF(OR(INDEX($AH$2:$AH$1001,MATCH(ROWS($AG$2:AG416),$AG$2:$AG$1001,0),1)&gt;=100000,INDEX($AN$1005:$BO$1005,1,MATCH(COLUMNS($AN$1006:BI1006),$AN$1006:$BO$1006,0))&gt;=100000), " ",IF(INDEX($AN$2:$BO$1001,MATCH(ROWS($AG$2:AG416),$AG$2:$AG$1001,0),MATCH(COLUMNS($AN$1006:BI1006),$AN$1006:$BO$1006,0)), HYPERLINK("#",""), HYPERLINK(CONCATENATE("#Metadata!", ADDRESS(INDEX($AI$2:$AI$1001,MATCH(ROWS($AG$2:AG416),$AG$2:$AG$1001,0),0), INDEX($AN$1004:$BO$1004,1,MATCH(COLUMNS($AN$1006:BI1006),$AN$1006:$BO$1006,0)))),"Fix")))</f>
        <v>0</v>
      </c>
      <c r="X416" s="4">
        <f>IF(OR(INDEX($AH$2:$AH$1001,MATCH(ROWS($AG$2:AG416),$AG$2:$AG$1001,0),1)&gt;=100000,INDEX($AN$1005:$BO$1005,1,MATCH(COLUMNS($AN$1006:BJ1006),$AN$1006:$BO$1006,0))&gt;=100000), " ",IF(INDEX($AN$2:$BO$1001,MATCH(ROWS($AG$2:AG416),$AG$2:$AG$1001,0),MATCH(COLUMNS($AN$1006:BJ1006),$AN$1006:$BO$1006,0)), HYPERLINK("#",""), HYPERLINK(CONCATENATE("#Metadata!", ADDRESS(INDEX($AI$2:$AI$1001,MATCH(ROWS($AG$2:AG416),$AG$2:$AG$1001,0),0), INDEX($AN$1004:$BO$1004,1,MATCH(COLUMNS($AN$1006:BJ1006),$AN$1006:$BO$1006,0)))),"Fix")))</f>
        <v>0</v>
      </c>
      <c r="Y416" s="4">
        <f>IF(OR(INDEX($AH$2:$AH$1001,MATCH(ROWS($AG$2:AG416),$AG$2:$AG$1001,0),1)&gt;=100000,INDEX($AN$1005:$BO$1005,1,MATCH(COLUMNS($AN$1006:BK1006),$AN$1006:$BO$1006,0))&gt;=100000), " ",IF(INDEX($AN$2:$BO$1001,MATCH(ROWS($AG$2:AG416),$AG$2:$AG$1001,0),MATCH(COLUMNS($AN$1006:BK1006),$AN$1006:$BO$1006,0)), HYPERLINK("#",""), HYPERLINK(CONCATENATE("#Metadata!", ADDRESS(INDEX($AI$2:$AI$1001,MATCH(ROWS($AG$2:AG416),$AG$2:$AG$1001,0),0), INDEX($AN$1004:$BO$1004,1,MATCH(COLUMNS($AN$1006:BK1006),$AN$1006:$BO$1006,0)))),"Fix")))</f>
        <v>0</v>
      </c>
      <c r="Z416" s="4">
        <f>IF(OR(INDEX($AH$2:$AH$1001,MATCH(ROWS($AG$2:AG416),$AG$2:$AG$1001,0),1)&gt;=100000,INDEX($AN$1005:$BO$1005,1,MATCH(COLUMNS($AN$1006:BL1006),$AN$1006:$BO$1006,0))&gt;=100000), " ",IF(INDEX($AN$2:$BO$1001,MATCH(ROWS($AG$2:AG416),$AG$2:$AG$1001,0),MATCH(COLUMNS($AN$1006:BL1006),$AN$1006:$BO$1006,0)), HYPERLINK("#",""), HYPERLINK(CONCATENATE("#Metadata!", ADDRESS(INDEX($AI$2:$AI$1001,MATCH(ROWS($AG$2:AG416),$AG$2:$AG$1001,0),0), INDEX($AN$1004:$BO$1004,1,MATCH(COLUMNS($AN$1006:BL1006),$AN$1006:$BO$1006,0)))),"Fix")))</f>
        <v>0</v>
      </c>
      <c r="AA416" s="4">
        <f>IF(OR(INDEX($AH$2:$AH$1001,MATCH(ROWS($AG$2:AG416),$AG$2:$AG$1001,0),1)&gt;=100000,INDEX($AN$1005:$BO$1005,1,MATCH(COLUMNS($AN$1006:BM1006),$AN$1006:$BO$1006,0))&gt;=100000), " ",IF(INDEX($AN$2:$BO$1001,MATCH(ROWS($AG$2:AG416),$AG$2:$AG$1001,0),MATCH(COLUMNS($AN$1006:BM1006),$AN$1006:$BO$1006,0)), HYPERLINK("#",""), HYPERLINK(CONCATENATE("#Metadata!", ADDRESS(INDEX($AI$2:$AI$1001,MATCH(ROWS($AG$2:AG416),$AG$2:$AG$1001,0),0), INDEX($AN$1004:$BO$1004,1,MATCH(COLUMNS($AN$1006:BM1006),$AN$1006:$BO$1006,0)))),"Fix")))</f>
        <v>0</v>
      </c>
      <c r="AB416" s="4">
        <f>IF(OR(INDEX($AH$2:$AH$1001,MATCH(ROWS($AG$2:AG416),$AG$2:$AG$1001,0),1)&gt;=100000,INDEX($AN$1005:$BO$1005,1,MATCH(COLUMNS($AN$1006:BN1006),$AN$1006:$BO$1006,0))&gt;=100000), " ",IF(INDEX($AN$2:$BO$1001,MATCH(ROWS($AG$2:AG416),$AG$2:$AG$1001,0),MATCH(COLUMNS($AN$1006:BN1006),$AN$1006:$BO$1006,0)), HYPERLINK("#",""), HYPERLINK(CONCATENATE("#Metadata!", ADDRESS(INDEX($AI$2:$AI$1001,MATCH(ROWS($AG$2:AG416),$AG$2:$AG$1001,0),0), INDEX($AN$1004:$BO$1004,1,MATCH(COLUMNS($AN$1006:BN1006),$AN$1006:$BO$1006,0)))),"Fix")))</f>
        <v>0</v>
      </c>
      <c r="AC416" s="4">
        <f>IF(OR(INDEX($AH$2:$AH$1001,MATCH(ROWS($AG$2:AG416),$AG$2:$AG$1001,0),1)&gt;=100000,INDEX($AN$1005:$BO$1005,1,MATCH(COLUMNS($AN$1006:BO1006),$AN$1006:$BO$1006,0))&gt;=100000), " ",IF(INDEX($AN$2:$BO$1001,MATCH(ROWS($AG$2:AG416),$AG$2:$AG$1001,0),MATCH(COLUMNS($AN$1006:BO1006),$AN$1006:$BO$1006,0)), HYPERLINK("#",""), HYPERLINK(CONCATENATE("#Metadata!", ADDRESS(INDEX($AI$2:$AI$1001,MATCH(ROWS($AG$2:AG416),$AG$2:$AG$1001,0),0), INDEX($AN$1004:$BO$1004,1,MATCH(COLUMNS($AN$1006:BO1006),$AN$1006:$BO$1006,0)))),"Fix")))</f>
        <v>0</v>
      </c>
      <c r="AG416">
        <v>0</v>
      </c>
      <c r="AH416">
        <v>0</v>
      </c>
      <c r="AI416">
        <v>0</v>
      </c>
      <c r="AJ416">
        <f>IF(AK416,TRUE,AND(AN416:BO416))</f>
        <v>0</v>
      </c>
      <c r="AK416">
        <f>COUNTBLANK(Metadata!B416:AC416)=COLUMNS(Metadata!B416:AC416)</f>
        <v>0</v>
      </c>
      <c r="AL416">
        <v>0</v>
      </c>
      <c r="AN416">
        <f>AND(IF(Metadata!B416="",FALSE,TRUE),COUNTIF(Metadata!B:B, Metadata!B416) = 1,NOT(ISERROR(SUMPRODUCT(SEARCH(MID(Metadata!B416,ROW(INDIRECT("1:"&amp;LEN(Metadata!B416))), 1),"0123456789abcdefghijklmnopqrstuvwxyzABCDEFGHIJKLMNOPQRSTUVWXYZ.")))))</f>
        <v>0</v>
      </c>
      <c r="AO416">
        <f>IF(Metadata!C416="",FALSE,TRUE)</f>
        <v>0</v>
      </c>
      <c r="AP416">
        <f>IF(Metadata!D416="",FALSE,TRUE)</f>
        <v>0</v>
      </c>
      <c r="AQ416">
        <f>OR(AND(IF(Metadata!E416="",FALSE,TRUE),OR(exact(Metadata!E416,"not collected"),exact(Metadata!E416,"not provided"),exact(Metadata!E416,"restricted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R416">
        <f>IF(Metadata!F416="",FALSE,TRUE)</f>
        <v>0</v>
      </c>
      <c r="AS416">
        <f>OR(AND(IF(Metadata!G416="",FALSE,TRUE),OR(exact(Metadata!G416,"not collected"),exact(Metadata!G416,"not provided"))),AND(IF(Metadata!G416="",FALSE,TRUE),OR(exact(Metadata!G416,"TRUE"),exact(Metadata!G416,"FALSE"))))</f>
        <v>0</v>
      </c>
      <c r="AT416">
        <f>OR(AND(IF(Metadata!H416="",FALSE,TRUE),OR(exact(Metadata!H416,"not collected"),exact(Metadata!H416,"not provided"),exact(Metadata!H416,"restricted access"))),AND(IF(Metadata!H416="",FALSE,ISNUMBER(VALUE(Metadata!H416))),Metadata!H416&gt;=-413.0))</f>
        <v>0</v>
      </c>
      <c r="AU416">
        <f>AND(IF(Metadata!I416="",FALSE,TRUE),exact(Metadata!I416,"meters"))</f>
        <v>0</v>
      </c>
      <c r="AV416">
        <f>AND(IF(Metadata!J416="",FALSE,TRUE),OR(exact(Metadata!J416,"Host-associated"),exact(Metadata!J416,"Free-living")))</f>
        <v>0</v>
      </c>
      <c r="AW416">
        <f>AND(IF(Metadata!K416="",FALSE,TRUE),OR(exact(Metadata!K416,"Animal"),exact(Metadata!K416,"Fungus"),exact(Metadata!K416,"Plant"),exact(Metadata!K416,"Saline"),exact(Metadata!K416,"Non-saline")))</f>
        <v>0</v>
      </c>
      <c r="AX416">
        <f>AND(IF(Metadata!L416="",FALSE,TRUE),OR(exact(Metadata!L416,"Plant secretion"),exact(Metadata!L416,"Plant rhizosphere"),exact(Metadata!L416,"Plant surface"),exact(Metadata!L416,"Plant corpus"),exact(Metadata!L416,"Fungus surface"),exact(Metadata!L416,"Fungus corpus"),exact(Metadata!L416,"Animal surface"),exact(Metadata!L416,"Animal proximal gut"),exact(Metadata!L416,"Animal corpus"),exact(Metadata!L416,"Animal distal gut"),exact(Metadata!L416,"Animal secretion"),exact(Metadata!L416,"Sub-surface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Y416">
        <f>IF(Metadata!M416="",FALSE,TRUE)</f>
        <v>0</v>
      </c>
      <c r="AZ416">
        <f>IF(Metadata!N416="",FALSE,TRUE)</f>
        <v>0</v>
      </c>
      <c r="BA416">
        <f>IF(Metadata!O416="",FALSE,TRUE)</f>
        <v>0</v>
      </c>
      <c r="BB416">
        <f>OR(AND(IF(Metadata!P416="",FALSE,TRUE),OR(exact(Metadata!P416,"not collected"),exact(Metadata!P416,"not provided"),exact(Metadata!P416,"restricted access"))),AND(IF(Metadata!P416="",FALSE,TRUE),OR(exact(Metadata!P416,"air"),exact(Metadata!P416,"built environment"),exact(Metadata!P416,"host-associated"),exact(Metadata!P416,"human-associated"),exact(Metadata!P416,"human-skin"),exact(Metadata!P416,"human-oral"),exact(Metadata!P416,"human-gut"),exact(Metadata!P416,"human-vaginal"),exact(Metadata!P416,"microbial mat/biofilm"),exact(Metadata!P416,"misc environment"),exact(Metadata!P416,"plant-associated"),exact(Metadata!P416,"sediment"),exact(Metadata!P416,"soil"),exact(Metadata!P416,"wastewater/sludge"),exact(Metadata!P416,"water"))))</f>
        <v>0</v>
      </c>
      <c r="BC416">
        <f>IF(Metadata!Q416="",FALSE,TRUE)</f>
        <v>0</v>
      </c>
      <c r="BD416">
        <f>IF(Metadata!R416="",FALSE,TRUE)</f>
        <v>0</v>
      </c>
      <c r="BE416">
        <f>OR(AND(IF(Metadata!S416="",FALSE,TRUE),OR(exact(Metadata!S416,"not collected"),exact(Metadata!S416,"not provided"),exact(Metadata!S416,"restricted access"))),AND(IF(Metadata!S416="",FALSE,ISNUMBER(VALUE(Metadata!S416))),Metadata!S416&gt;=-90.00,Metadata!S416&lt;=90.00))</f>
        <v>0</v>
      </c>
      <c r="BF416">
        <f>AND(IF(Metadata!T416="",FALSE,TRUE),exact(Metadata!T416,"Decimal degrees"))</f>
        <v>0</v>
      </c>
      <c r="BG416">
        <f>OR(AND(IF(Metadata!U416="",FALSE,TRUE),OR(exact(Metadata!U416,"not collected"),exact(Metadata!U416,"not provided"),exact(Metadata!U416,"restricted access"))),AND(IF(Metadata!U416="",FALSE,ISNUMBER(VALUE(Metadata!U416))),Metadata!U416&gt;=-180.00,Metadata!U416&lt;=180.00))</f>
        <v>0</v>
      </c>
      <c r="BH416">
        <f>AND(IF(Metadata!V416="",FALSE,TRUE),exact(Metadata!V416,"Decimal degrees"))</f>
        <v>0</v>
      </c>
      <c r="BI416">
        <f>IF(Metadata!W416="",FALSE,TRUE)</f>
        <v>0</v>
      </c>
      <c r="BJ416">
        <f>OR(AND(IF(Metadata!X416="",FALSE,TRUE),OR(exact(Metadata!X416,"not collected"),exact(Metadata!X416,"not provided"),exact(Metadata!X416,"restricted access"))),AND(IF(Metadata!X416="",FALSE,TRUE),OR(exact(Metadata!X416,"TRUE"),exact(Metadata!X416,"FALSE"))))</f>
        <v>0</v>
      </c>
      <c r="BK416">
        <f>AND(IF(Metadata!Y416="",FALSE,TRUE),exact(Metadata!Y416,"other"))</f>
        <v>0</v>
      </c>
      <c r="BL416">
        <f>IF(Metadata!Z416="",FALSE,TRUE)</f>
        <v>0</v>
      </c>
      <c r="BM416">
        <f>OR(AND(IF(Metadata!AA416="",FALSE,TRUE),OR(exact(Metadata!AA416,"not collected"),exact(Metadata!AA416,"not provided"))),AND(IF(Metadata!AA416="",FALSE,IF(ISERROR(INT(Metadata!AA416)),FALSE,INT(Metadata!AA416)=Metadata!AA416)),Metadata!AA416&gt;0))</f>
        <v>0</v>
      </c>
      <c r="BN416">
        <f>AND(IF(Metadata!AB416="",FALSE,TRUE),exact(Metadata!AB416,"Not applicable"))</f>
        <v>0</v>
      </c>
      <c r="BO416">
        <f>IF(Metadata!AC416="",FALSE,TRUE)</f>
        <v>0</v>
      </c>
    </row>
    <row r="417" spans="1:67">
      <c r="A417" s="5">
        <f>IF(B417=" "," ",HYPERLINK(CONCATENATE("#metadata!",ADDRESS(INDEX($AI$2:$AI$1001,MATCH(ROWS($AG$2:AG417),$AG$2:$AG$1001,0),0),1)),INDEX($AL$2:$AL$1001,MATCH(ROWS($AG$2:AG417),$AG$2:$AG$1001,0),0)))</f>
        <v>0</v>
      </c>
      <c r="B417" s="4">
        <f>IF(OR(INDEX($AH$2:$AH$1001,MATCH(ROWS($AG$2:AG417),$AG$2:$AG$1001,0),1)&gt;=100000,INDEX($AN$1005:$BO$1005,1,MATCH(COLUMNS($AN$1006:AN1006),$AN$1006:$BO$1006,0))&gt;=100000), " ",IF(INDEX($AN$2:$BO$1001,MATCH(ROWS($AG$2:AG417),$AG$2:$AG$1001,0),MATCH(COLUMNS($AN$1006:AN1006),$AN$1006:$BO$1006,0)), HYPERLINK("#",""), HYPERLINK(CONCATENATE("#Metadata!", ADDRESS(INDEX($AI$2:$AI$1001,MATCH(ROWS($AG$2:AG417),$AG$2:$AG$1001,0),0), INDEX($AN$1004:$BO$1004,1,MATCH(COLUMNS($AN$1006:AN1006),$AN$1006:$BO$1006,0)))),"Fix")))</f>
        <v>0</v>
      </c>
      <c r="C417" s="4">
        <f>IF(OR(INDEX($AH$2:$AH$1001,MATCH(ROWS($AG$2:AG417),$AG$2:$AG$1001,0),1)&gt;=100000,INDEX($AN$1005:$BO$1005,1,MATCH(COLUMNS($AN$1006:AO1006),$AN$1006:$BO$1006,0))&gt;=100000), " ",IF(INDEX($AN$2:$BO$1001,MATCH(ROWS($AG$2:AG417),$AG$2:$AG$1001,0),MATCH(COLUMNS($AN$1006:AO1006),$AN$1006:$BO$1006,0)), HYPERLINK("#",""), HYPERLINK(CONCATENATE("#Metadata!", ADDRESS(INDEX($AI$2:$AI$1001,MATCH(ROWS($AG$2:AG417),$AG$2:$AG$1001,0),0), INDEX($AN$1004:$BO$1004,1,MATCH(COLUMNS($AN$1006:AO1006),$AN$1006:$BO$1006,0)))),"Fix")))</f>
        <v>0</v>
      </c>
      <c r="D417" s="4">
        <f>IF(OR(INDEX($AH$2:$AH$1001,MATCH(ROWS($AG$2:AG417),$AG$2:$AG$1001,0),1)&gt;=100000,INDEX($AN$1005:$BO$1005,1,MATCH(COLUMNS($AN$1006:AP1006),$AN$1006:$BO$1006,0))&gt;=100000), " ",IF(INDEX($AN$2:$BO$1001,MATCH(ROWS($AG$2:AG417),$AG$2:$AG$1001,0),MATCH(COLUMNS($AN$1006:AP1006),$AN$1006:$BO$1006,0)), HYPERLINK("#",""), HYPERLINK(CONCATENATE("#Metadata!", ADDRESS(INDEX($AI$2:$AI$1001,MATCH(ROWS($AG$2:AG417),$AG$2:$AG$1001,0),0), INDEX($AN$1004:$BO$1004,1,MATCH(COLUMNS($AN$1006:AP1006),$AN$1006:$BO$1006,0)))),"Fix")))</f>
        <v>0</v>
      </c>
      <c r="E417" s="4">
        <f>IF(OR(INDEX($AH$2:$AH$1001,MATCH(ROWS($AG$2:AG417),$AG$2:$AG$1001,0),1)&gt;=100000,INDEX($AN$1005:$BO$1005,1,MATCH(COLUMNS($AN$1006:AQ1006),$AN$1006:$BO$1006,0))&gt;=100000), " ",IF(INDEX($AN$2:$BO$1001,MATCH(ROWS($AG$2:AG417),$AG$2:$AG$1001,0),MATCH(COLUMNS($AN$1006:AQ1006),$AN$1006:$BO$1006,0)), HYPERLINK("#",""), HYPERLINK(CONCATENATE("#Metadata!", ADDRESS(INDEX($AI$2:$AI$1001,MATCH(ROWS($AG$2:AG417),$AG$2:$AG$1001,0),0), INDEX($AN$1004:$BO$1004,1,MATCH(COLUMNS($AN$1006:AQ1006),$AN$1006:$BO$1006,0)))),"Fix")))</f>
        <v>0</v>
      </c>
      <c r="F417" s="4">
        <f>IF(OR(INDEX($AH$2:$AH$1001,MATCH(ROWS($AG$2:AG417),$AG$2:$AG$1001,0),1)&gt;=100000,INDEX($AN$1005:$BO$1005,1,MATCH(COLUMNS($AN$1006:AR1006),$AN$1006:$BO$1006,0))&gt;=100000), " ",IF(INDEX($AN$2:$BO$1001,MATCH(ROWS($AG$2:AG417),$AG$2:$AG$1001,0),MATCH(COLUMNS($AN$1006:AR1006),$AN$1006:$BO$1006,0)), HYPERLINK("#",""), HYPERLINK(CONCATENATE("#Metadata!", ADDRESS(INDEX($AI$2:$AI$1001,MATCH(ROWS($AG$2:AG417),$AG$2:$AG$1001,0),0), INDEX($AN$1004:$BO$1004,1,MATCH(COLUMNS($AN$1006:AR1006),$AN$1006:$BO$1006,0)))),"Fix")))</f>
        <v>0</v>
      </c>
      <c r="G417" s="4">
        <f>IF(OR(INDEX($AH$2:$AH$1001,MATCH(ROWS($AG$2:AG417),$AG$2:$AG$1001,0),1)&gt;=100000,INDEX($AN$1005:$BO$1005,1,MATCH(COLUMNS($AN$1006:AS1006),$AN$1006:$BO$1006,0))&gt;=100000), " ",IF(INDEX($AN$2:$BO$1001,MATCH(ROWS($AG$2:AG417),$AG$2:$AG$1001,0),MATCH(COLUMNS($AN$1006:AS1006),$AN$1006:$BO$1006,0)), HYPERLINK("#",""), HYPERLINK(CONCATENATE("#Metadata!", ADDRESS(INDEX($AI$2:$AI$1001,MATCH(ROWS($AG$2:AG417),$AG$2:$AG$1001,0),0), INDEX($AN$1004:$BO$1004,1,MATCH(COLUMNS($AN$1006:AS1006),$AN$1006:$BO$1006,0)))),"Fix")))</f>
        <v>0</v>
      </c>
      <c r="H417" s="4">
        <f>IF(OR(INDEX($AH$2:$AH$1001,MATCH(ROWS($AG$2:AG417),$AG$2:$AG$1001,0),1)&gt;=100000,INDEX($AN$1005:$BO$1005,1,MATCH(COLUMNS($AN$1006:AT1006),$AN$1006:$BO$1006,0))&gt;=100000), " ",IF(INDEX($AN$2:$BO$1001,MATCH(ROWS($AG$2:AG417),$AG$2:$AG$1001,0),MATCH(COLUMNS($AN$1006:AT1006),$AN$1006:$BO$1006,0)), HYPERLINK("#",""), HYPERLINK(CONCATENATE("#Metadata!", ADDRESS(INDEX($AI$2:$AI$1001,MATCH(ROWS($AG$2:AG417),$AG$2:$AG$1001,0),0), INDEX($AN$1004:$BO$1004,1,MATCH(COLUMNS($AN$1006:AT1006),$AN$1006:$BO$1006,0)))),"Fix")))</f>
        <v>0</v>
      </c>
      <c r="I417" s="4">
        <f>IF(OR(INDEX($AH$2:$AH$1001,MATCH(ROWS($AG$2:AG417),$AG$2:$AG$1001,0),1)&gt;=100000,INDEX($AN$1005:$BO$1005,1,MATCH(COLUMNS($AN$1006:AU1006),$AN$1006:$BO$1006,0))&gt;=100000), " ",IF(INDEX($AN$2:$BO$1001,MATCH(ROWS($AG$2:AG417),$AG$2:$AG$1001,0),MATCH(COLUMNS($AN$1006:AU1006),$AN$1006:$BO$1006,0)), HYPERLINK("#",""), HYPERLINK(CONCATENATE("#Metadata!", ADDRESS(INDEX($AI$2:$AI$1001,MATCH(ROWS($AG$2:AG417),$AG$2:$AG$1001,0),0), INDEX($AN$1004:$BO$1004,1,MATCH(COLUMNS($AN$1006:AU1006),$AN$1006:$BO$1006,0)))),"Fix")))</f>
        <v>0</v>
      </c>
      <c r="J417" s="4">
        <f>IF(OR(INDEX($AH$2:$AH$1001,MATCH(ROWS($AG$2:AG417),$AG$2:$AG$1001,0),1)&gt;=100000,INDEX($AN$1005:$BO$1005,1,MATCH(COLUMNS($AN$1006:AV1006),$AN$1006:$BO$1006,0))&gt;=100000), " ",IF(INDEX($AN$2:$BO$1001,MATCH(ROWS($AG$2:AG417),$AG$2:$AG$1001,0),MATCH(COLUMNS($AN$1006:AV1006),$AN$1006:$BO$1006,0)), HYPERLINK("#",""), HYPERLINK(CONCATENATE("#Metadata!", ADDRESS(INDEX($AI$2:$AI$1001,MATCH(ROWS($AG$2:AG417),$AG$2:$AG$1001,0),0), INDEX($AN$1004:$BO$1004,1,MATCH(COLUMNS($AN$1006:AV1006),$AN$1006:$BO$1006,0)))),"Fix")))</f>
        <v>0</v>
      </c>
      <c r="K417" s="4">
        <f>IF(OR(INDEX($AH$2:$AH$1001,MATCH(ROWS($AG$2:AG417),$AG$2:$AG$1001,0),1)&gt;=100000,INDEX($AN$1005:$BO$1005,1,MATCH(COLUMNS($AN$1006:AW1006),$AN$1006:$BO$1006,0))&gt;=100000), " ",IF(INDEX($AN$2:$BO$1001,MATCH(ROWS($AG$2:AG417),$AG$2:$AG$1001,0),MATCH(COLUMNS($AN$1006:AW1006),$AN$1006:$BO$1006,0)), HYPERLINK("#",""), HYPERLINK(CONCATENATE("#Metadata!", ADDRESS(INDEX($AI$2:$AI$1001,MATCH(ROWS($AG$2:AG417),$AG$2:$AG$1001,0),0), INDEX($AN$1004:$BO$1004,1,MATCH(COLUMNS($AN$1006:AW1006),$AN$1006:$BO$1006,0)))),"Fix")))</f>
        <v>0</v>
      </c>
      <c r="L417" s="4">
        <f>IF(OR(INDEX($AH$2:$AH$1001,MATCH(ROWS($AG$2:AG417),$AG$2:$AG$1001,0),1)&gt;=100000,INDEX($AN$1005:$BO$1005,1,MATCH(COLUMNS($AN$1006:AX1006),$AN$1006:$BO$1006,0))&gt;=100000), " ",IF(INDEX($AN$2:$BO$1001,MATCH(ROWS($AG$2:AG417),$AG$2:$AG$1001,0),MATCH(COLUMNS($AN$1006:AX1006),$AN$1006:$BO$1006,0)), HYPERLINK("#",""), HYPERLINK(CONCATENATE("#Metadata!", ADDRESS(INDEX($AI$2:$AI$1001,MATCH(ROWS($AG$2:AG417),$AG$2:$AG$1001,0),0), INDEX($AN$1004:$BO$1004,1,MATCH(COLUMNS($AN$1006:AX1006),$AN$1006:$BO$1006,0)))),"Fix")))</f>
        <v>0</v>
      </c>
      <c r="M417" s="4">
        <f>IF(OR(INDEX($AH$2:$AH$1001,MATCH(ROWS($AG$2:AG417),$AG$2:$AG$1001,0),1)&gt;=100000,INDEX($AN$1005:$BO$1005,1,MATCH(COLUMNS($AN$1006:AY1006),$AN$1006:$BO$1006,0))&gt;=100000), " ",IF(INDEX($AN$2:$BO$1001,MATCH(ROWS($AG$2:AG417),$AG$2:$AG$1001,0),MATCH(COLUMNS($AN$1006:AY1006),$AN$1006:$BO$1006,0)), HYPERLINK("#",""), HYPERLINK(CONCATENATE("#Metadata!", ADDRESS(INDEX($AI$2:$AI$1001,MATCH(ROWS($AG$2:AG417),$AG$2:$AG$1001,0),0), INDEX($AN$1004:$BO$1004,1,MATCH(COLUMNS($AN$1006:AY1006),$AN$1006:$BO$1006,0)))),"Fix")))</f>
        <v>0</v>
      </c>
      <c r="N417" s="4">
        <f>IF(OR(INDEX($AH$2:$AH$1001,MATCH(ROWS($AG$2:AG417),$AG$2:$AG$1001,0),1)&gt;=100000,INDEX($AN$1005:$BO$1005,1,MATCH(COLUMNS($AN$1006:AZ1006),$AN$1006:$BO$1006,0))&gt;=100000), " ",IF(INDEX($AN$2:$BO$1001,MATCH(ROWS($AG$2:AG417),$AG$2:$AG$1001,0),MATCH(COLUMNS($AN$1006:AZ1006),$AN$1006:$BO$1006,0)), HYPERLINK("#",""), HYPERLINK(CONCATENATE("#Metadata!", ADDRESS(INDEX($AI$2:$AI$1001,MATCH(ROWS($AG$2:AG417),$AG$2:$AG$1001,0),0), INDEX($AN$1004:$BO$1004,1,MATCH(COLUMNS($AN$1006:AZ1006),$AN$1006:$BO$1006,0)))),"Fix")))</f>
        <v>0</v>
      </c>
      <c r="O417" s="4">
        <f>IF(OR(INDEX($AH$2:$AH$1001,MATCH(ROWS($AG$2:AG417),$AG$2:$AG$1001,0),1)&gt;=100000,INDEX($AN$1005:$BO$1005,1,MATCH(COLUMNS($AN$1006:BA1006),$AN$1006:$BO$1006,0))&gt;=100000), " ",IF(INDEX($AN$2:$BO$1001,MATCH(ROWS($AG$2:AG417),$AG$2:$AG$1001,0),MATCH(COLUMNS($AN$1006:BA1006),$AN$1006:$BO$1006,0)), HYPERLINK("#",""), HYPERLINK(CONCATENATE("#Metadata!", ADDRESS(INDEX($AI$2:$AI$1001,MATCH(ROWS($AG$2:AG417),$AG$2:$AG$1001,0),0), INDEX($AN$1004:$BO$1004,1,MATCH(COLUMNS($AN$1006:BA1006),$AN$1006:$BO$1006,0)))),"Fix")))</f>
        <v>0</v>
      </c>
      <c r="P417" s="4">
        <f>IF(OR(INDEX($AH$2:$AH$1001,MATCH(ROWS($AG$2:AG417),$AG$2:$AG$1001,0),1)&gt;=100000,INDEX($AN$1005:$BO$1005,1,MATCH(COLUMNS($AN$1006:BB1006),$AN$1006:$BO$1006,0))&gt;=100000), " ",IF(INDEX($AN$2:$BO$1001,MATCH(ROWS($AG$2:AG417),$AG$2:$AG$1001,0),MATCH(COLUMNS($AN$1006:BB1006),$AN$1006:$BO$1006,0)), HYPERLINK("#",""), HYPERLINK(CONCATENATE("#Metadata!", ADDRESS(INDEX($AI$2:$AI$1001,MATCH(ROWS($AG$2:AG417),$AG$2:$AG$1001,0),0), INDEX($AN$1004:$BO$1004,1,MATCH(COLUMNS($AN$1006:BB1006),$AN$1006:$BO$1006,0)))),"Fix")))</f>
        <v>0</v>
      </c>
      <c r="Q417" s="4">
        <f>IF(OR(INDEX($AH$2:$AH$1001,MATCH(ROWS($AG$2:AG417),$AG$2:$AG$1001,0),1)&gt;=100000,INDEX($AN$1005:$BO$1005,1,MATCH(COLUMNS($AN$1006:BC1006),$AN$1006:$BO$1006,0))&gt;=100000), " ",IF(INDEX($AN$2:$BO$1001,MATCH(ROWS($AG$2:AG417),$AG$2:$AG$1001,0),MATCH(COLUMNS($AN$1006:BC1006),$AN$1006:$BO$1006,0)), HYPERLINK("#",""), HYPERLINK(CONCATENATE("#Metadata!", ADDRESS(INDEX($AI$2:$AI$1001,MATCH(ROWS($AG$2:AG417),$AG$2:$AG$1001,0),0), INDEX($AN$1004:$BO$1004,1,MATCH(COLUMNS($AN$1006:BC1006),$AN$1006:$BO$1006,0)))),"Fix")))</f>
        <v>0</v>
      </c>
      <c r="R417" s="4">
        <f>IF(OR(INDEX($AH$2:$AH$1001,MATCH(ROWS($AG$2:AG417),$AG$2:$AG$1001,0),1)&gt;=100000,INDEX($AN$1005:$BO$1005,1,MATCH(COLUMNS($AN$1006:BD1006),$AN$1006:$BO$1006,0))&gt;=100000), " ",IF(INDEX($AN$2:$BO$1001,MATCH(ROWS($AG$2:AG417),$AG$2:$AG$1001,0),MATCH(COLUMNS($AN$1006:BD1006),$AN$1006:$BO$1006,0)), HYPERLINK("#",""), HYPERLINK(CONCATENATE("#Metadata!", ADDRESS(INDEX($AI$2:$AI$1001,MATCH(ROWS($AG$2:AG417),$AG$2:$AG$1001,0),0), INDEX($AN$1004:$BO$1004,1,MATCH(COLUMNS($AN$1006:BD1006),$AN$1006:$BO$1006,0)))),"Fix")))</f>
        <v>0</v>
      </c>
      <c r="S417" s="4">
        <f>IF(OR(INDEX($AH$2:$AH$1001,MATCH(ROWS($AG$2:AG417),$AG$2:$AG$1001,0),1)&gt;=100000,INDEX($AN$1005:$BO$1005,1,MATCH(COLUMNS($AN$1006:BE1006),$AN$1006:$BO$1006,0))&gt;=100000), " ",IF(INDEX($AN$2:$BO$1001,MATCH(ROWS($AG$2:AG417),$AG$2:$AG$1001,0),MATCH(COLUMNS($AN$1006:BE1006),$AN$1006:$BO$1006,0)), HYPERLINK("#",""), HYPERLINK(CONCATENATE("#Metadata!", ADDRESS(INDEX($AI$2:$AI$1001,MATCH(ROWS($AG$2:AG417),$AG$2:$AG$1001,0),0), INDEX($AN$1004:$BO$1004,1,MATCH(COLUMNS($AN$1006:BE1006),$AN$1006:$BO$1006,0)))),"Fix")))</f>
        <v>0</v>
      </c>
      <c r="T417" s="4">
        <f>IF(OR(INDEX($AH$2:$AH$1001,MATCH(ROWS($AG$2:AG417),$AG$2:$AG$1001,0),1)&gt;=100000,INDEX($AN$1005:$BO$1005,1,MATCH(COLUMNS($AN$1006:BF1006),$AN$1006:$BO$1006,0))&gt;=100000), " ",IF(INDEX($AN$2:$BO$1001,MATCH(ROWS($AG$2:AG417),$AG$2:$AG$1001,0),MATCH(COLUMNS($AN$1006:BF1006),$AN$1006:$BO$1006,0)), HYPERLINK("#",""), HYPERLINK(CONCATENATE("#Metadata!", ADDRESS(INDEX($AI$2:$AI$1001,MATCH(ROWS($AG$2:AG417),$AG$2:$AG$1001,0),0), INDEX($AN$1004:$BO$1004,1,MATCH(COLUMNS($AN$1006:BF1006),$AN$1006:$BO$1006,0)))),"Fix")))</f>
        <v>0</v>
      </c>
      <c r="U417" s="4">
        <f>IF(OR(INDEX($AH$2:$AH$1001,MATCH(ROWS($AG$2:AG417),$AG$2:$AG$1001,0),1)&gt;=100000,INDEX($AN$1005:$BO$1005,1,MATCH(COLUMNS($AN$1006:BG1006),$AN$1006:$BO$1006,0))&gt;=100000), " ",IF(INDEX($AN$2:$BO$1001,MATCH(ROWS($AG$2:AG417),$AG$2:$AG$1001,0),MATCH(COLUMNS($AN$1006:BG1006),$AN$1006:$BO$1006,0)), HYPERLINK("#",""), HYPERLINK(CONCATENATE("#Metadata!", ADDRESS(INDEX($AI$2:$AI$1001,MATCH(ROWS($AG$2:AG417),$AG$2:$AG$1001,0),0), INDEX($AN$1004:$BO$1004,1,MATCH(COLUMNS($AN$1006:BG1006),$AN$1006:$BO$1006,0)))),"Fix")))</f>
        <v>0</v>
      </c>
      <c r="V417" s="4">
        <f>IF(OR(INDEX($AH$2:$AH$1001,MATCH(ROWS($AG$2:AG417),$AG$2:$AG$1001,0),1)&gt;=100000,INDEX($AN$1005:$BO$1005,1,MATCH(COLUMNS($AN$1006:BH1006),$AN$1006:$BO$1006,0))&gt;=100000), " ",IF(INDEX($AN$2:$BO$1001,MATCH(ROWS($AG$2:AG417),$AG$2:$AG$1001,0),MATCH(COLUMNS($AN$1006:BH1006),$AN$1006:$BO$1006,0)), HYPERLINK("#",""), HYPERLINK(CONCATENATE("#Metadata!", ADDRESS(INDEX($AI$2:$AI$1001,MATCH(ROWS($AG$2:AG417),$AG$2:$AG$1001,0),0), INDEX($AN$1004:$BO$1004,1,MATCH(COLUMNS($AN$1006:BH1006),$AN$1006:$BO$1006,0)))),"Fix")))</f>
        <v>0</v>
      </c>
      <c r="W417" s="4">
        <f>IF(OR(INDEX($AH$2:$AH$1001,MATCH(ROWS($AG$2:AG417),$AG$2:$AG$1001,0),1)&gt;=100000,INDEX($AN$1005:$BO$1005,1,MATCH(COLUMNS($AN$1006:BI1006),$AN$1006:$BO$1006,0))&gt;=100000), " ",IF(INDEX($AN$2:$BO$1001,MATCH(ROWS($AG$2:AG417),$AG$2:$AG$1001,0),MATCH(COLUMNS($AN$1006:BI1006),$AN$1006:$BO$1006,0)), HYPERLINK("#",""), HYPERLINK(CONCATENATE("#Metadata!", ADDRESS(INDEX($AI$2:$AI$1001,MATCH(ROWS($AG$2:AG417),$AG$2:$AG$1001,0),0), INDEX($AN$1004:$BO$1004,1,MATCH(COLUMNS($AN$1006:BI1006),$AN$1006:$BO$1006,0)))),"Fix")))</f>
        <v>0</v>
      </c>
      <c r="X417" s="4">
        <f>IF(OR(INDEX($AH$2:$AH$1001,MATCH(ROWS($AG$2:AG417),$AG$2:$AG$1001,0),1)&gt;=100000,INDEX($AN$1005:$BO$1005,1,MATCH(COLUMNS($AN$1006:BJ1006),$AN$1006:$BO$1006,0))&gt;=100000), " ",IF(INDEX($AN$2:$BO$1001,MATCH(ROWS($AG$2:AG417),$AG$2:$AG$1001,0),MATCH(COLUMNS($AN$1006:BJ1006),$AN$1006:$BO$1006,0)), HYPERLINK("#",""), HYPERLINK(CONCATENATE("#Metadata!", ADDRESS(INDEX($AI$2:$AI$1001,MATCH(ROWS($AG$2:AG417),$AG$2:$AG$1001,0),0), INDEX($AN$1004:$BO$1004,1,MATCH(COLUMNS($AN$1006:BJ1006),$AN$1006:$BO$1006,0)))),"Fix")))</f>
        <v>0</v>
      </c>
      <c r="Y417" s="4">
        <f>IF(OR(INDEX($AH$2:$AH$1001,MATCH(ROWS($AG$2:AG417),$AG$2:$AG$1001,0),1)&gt;=100000,INDEX($AN$1005:$BO$1005,1,MATCH(COLUMNS($AN$1006:BK1006),$AN$1006:$BO$1006,0))&gt;=100000), " ",IF(INDEX($AN$2:$BO$1001,MATCH(ROWS($AG$2:AG417),$AG$2:$AG$1001,0),MATCH(COLUMNS($AN$1006:BK1006),$AN$1006:$BO$1006,0)), HYPERLINK("#",""), HYPERLINK(CONCATENATE("#Metadata!", ADDRESS(INDEX($AI$2:$AI$1001,MATCH(ROWS($AG$2:AG417),$AG$2:$AG$1001,0),0), INDEX($AN$1004:$BO$1004,1,MATCH(COLUMNS($AN$1006:BK1006),$AN$1006:$BO$1006,0)))),"Fix")))</f>
        <v>0</v>
      </c>
      <c r="Z417" s="4">
        <f>IF(OR(INDEX($AH$2:$AH$1001,MATCH(ROWS($AG$2:AG417),$AG$2:$AG$1001,0),1)&gt;=100000,INDEX($AN$1005:$BO$1005,1,MATCH(COLUMNS($AN$1006:BL1006),$AN$1006:$BO$1006,0))&gt;=100000), " ",IF(INDEX($AN$2:$BO$1001,MATCH(ROWS($AG$2:AG417),$AG$2:$AG$1001,0),MATCH(COLUMNS($AN$1006:BL1006),$AN$1006:$BO$1006,0)), HYPERLINK("#",""), HYPERLINK(CONCATENATE("#Metadata!", ADDRESS(INDEX($AI$2:$AI$1001,MATCH(ROWS($AG$2:AG417),$AG$2:$AG$1001,0),0), INDEX($AN$1004:$BO$1004,1,MATCH(COLUMNS($AN$1006:BL1006),$AN$1006:$BO$1006,0)))),"Fix")))</f>
        <v>0</v>
      </c>
      <c r="AA417" s="4">
        <f>IF(OR(INDEX($AH$2:$AH$1001,MATCH(ROWS($AG$2:AG417),$AG$2:$AG$1001,0),1)&gt;=100000,INDEX($AN$1005:$BO$1005,1,MATCH(COLUMNS($AN$1006:BM1006),$AN$1006:$BO$1006,0))&gt;=100000), " ",IF(INDEX($AN$2:$BO$1001,MATCH(ROWS($AG$2:AG417),$AG$2:$AG$1001,0),MATCH(COLUMNS($AN$1006:BM1006),$AN$1006:$BO$1006,0)), HYPERLINK("#",""), HYPERLINK(CONCATENATE("#Metadata!", ADDRESS(INDEX($AI$2:$AI$1001,MATCH(ROWS($AG$2:AG417),$AG$2:$AG$1001,0),0), INDEX($AN$1004:$BO$1004,1,MATCH(COLUMNS($AN$1006:BM1006),$AN$1006:$BO$1006,0)))),"Fix")))</f>
        <v>0</v>
      </c>
      <c r="AB417" s="4">
        <f>IF(OR(INDEX($AH$2:$AH$1001,MATCH(ROWS($AG$2:AG417),$AG$2:$AG$1001,0),1)&gt;=100000,INDEX($AN$1005:$BO$1005,1,MATCH(COLUMNS($AN$1006:BN1006),$AN$1006:$BO$1006,0))&gt;=100000), " ",IF(INDEX($AN$2:$BO$1001,MATCH(ROWS($AG$2:AG417),$AG$2:$AG$1001,0),MATCH(COLUMNS($AN$1006:BN1006),$AN$1006:$BO$1006,0)), HYPERLINK("#",""), HYPERLINK(CONCATENATE("#Metadata!", ADDRESS(INDEX($AI$2:$AI$1001,MATCH(ROWS($AG$2:AG417),$AG$2:$AG$1001,0),0), INDEX($AN$1004:$BO$1004,1,MATCH(COLUMNS($AN$1006:BN1006),$AN$1006:$BO$1006,0)))),"Fix")))</f>
        <v>0</v>
      </c>
      <c r="AC417" s="4">
        <f>IF(OR(INDEX($AH$2:$AH$1001,MATCH(ROWS($AG$2:AG417),$AG$2:$AG$1001,0),1)&gt;=100000,INDEX($AN$1005:$BO$1005,1,MATCH(COLUMNS($AN$1006:BO1006),$AN$1006:$BO$1006,0))&gt;=100000), " ",IF(INDEX($AN$2:$BO$1001,MATCH(ROWS($AG$2:AG417),$AG$2:$AG$1001,0),MATCH(COLUMNS($AN$1006:BO1006),$AN$1006:$BO$1006,0)), HYPERLINK("#",""), HYPERLINK(CONCATENATE("#Metadata!", ADDRESS(INDEX($AI$2:$AI$1001,MATCH(ROWS($AG$2:AG417),$AG$2:$AG$1001,0),0), INDEX($AN$1004:$BO$1004,1,MATCH(COLUMNS($AN$1006:BO1006),$AN$1006:$BO$1006,0)))),"Fix")))</f>
        <v>0</v>
      </c>
      <c r="AG417">
        <v>0</v>
      </c>
      <c r="AH417">
        <v>0</v>
      </c>
      <c r="AI417">
        <v>0</v>
      </c>
      <c r="AJ417">
        <f>IF(AK417,TRUE,AND(AN417:BO417))</f>
        <v>0</v>
      </c>
      <c r="AK417">
        <f>COUNTBLANK(Metadata!B417:AC417)=COLUMNS(Metadata!B417:AC417)</f>
        <v>0</v>
      </c>
      <c r="AL417">
        <v>0</v>
      </c>
      <c r="AN417">
        <f>AND(IF(Metadata!B417="",FALSE,TRUE),COUNTIF(Metadata!B:B, Metadata!B417) = 1,NOT(ISERROR(SUMPRODUCT(SEARCH(MID(Metadata!B417,ROW(INDIRECT("1:"&amp;LEN(Metadata!B417))), 1),"0123456789abcdefghijklmnopqrstuvwxyzABCDEFGHIJKLMNOPQRSTUVWXYZ.")))))</f>
        <v>0</v>
      </c>
      <c r="AO417">
        <f>IF(Metadata!C417="",FALSE,TRUE)</f>
        <v>0</v>
      </c>
      <c r="AP417">
        <f>IF(Metadata!D417="",FALSE,TRUE)</f>
        <v>0</v>
      </c>
      <c r="AQ417">
        <f>OR(AND(IF(Metadata!E417="",FALSE,TRUE),OR(exact(Metadata!E417,"not collected"),exact(Metadata!E417,"not provided"),exact(Metadata!E417,"restricted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R417">
        <f>IF(Metadata!F417="",FALSE,TRUE)</f>
        <v>0</v>
      </c>
      <c r="AS417">
        <f>OR(AND(IF(Metadata!G417="",FALSE,TRUE),OR(exact(Metadata!G417,"not collected"),exact(Metadata!G417,"not provided"))),AND(IF(Metadata!G417="",FALSE,TRUE),OR(exact(Metadata!G417,"TRUE"),exact(Metadata!G417,"FALSE"))))</f>
        <v>0</v>
      </c>
      <c r="AT417">
        <f>OR(AND(IF(Metadata!H417="",FALSE,TRUE),OR(exact(Metadata!H417,"not collected"),exact(Metadata!H417,"not provided"),exact(Metadata!H417,"restricted access"))),AND(IF(Metadata!H417="",FALSE,ISNUMBER(VALUE(Metadata!H417))),Metadata!H417&gt;=-413.0))</f>
        <v>0</v>
      </c>
      <c r="AU417">
        <f>AND(IF(Metadata!I417="",FALSE,TRUE),exact(Metadata!I417,"meters"))</f>
        <v>0</v>
      </c>
      <c r="AV417">
        <f>AND(IF(Metadata!J417="",FALSE,TRUE),OR(exact(Metadata!J417,"Host-associated"),exact(Metadata!J417,"Free-living")))</f>
        <v>0</v>
      </c>
      <c r="AW417">
        <f>AND(IF(Metadata!K417="",FALSE,TRUE),OR(exact(Metadata!K417,"Animal"),exact(Metadata!K417,"Fungus"),exact(Metadata!K417,"Plant"),exact(Metadata!K417,"Saline"),exact(Metadata!K417,"Non-saline")))</f>
        <v>0</v>
      </c>
      <c r="AX417">
        <f>AND(IF(Metadata!L417="",FALSE,TRUE),OR(exact(Metadata!L417,"Plant secretion"),exact(Metadata!L417,"Plant rhizosphere"),exact(Metadata!L417,"Plant surface"),exact(Metadata!L417,"Plant corpus"),exact(Metadata!L417,"Fungus surface"),exact(Metadata!L417,"Fungus corpus"),exact(Metadata!L417,"Animal surface"),exact(Metadata!L417,"Animal proximal gut"),exact(Metadata!L417,"Animal corpus"),exact(Metadata!L417,"Animal distal gut"),exact(Metadata!L417,"Animal secretion"),exact(Metadata!L417,"Sub-surface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Y417">
        <f>IF(Metadata!M417="",FALSE,TRUE)</f>
        <v>0</v>
      </c>
      <c r="AZ417">
        <f>IF(Metadata!N417="",FALSE,TRUE)</f>
        <v>0</v>
      </c>
      <c r="BA417">
        <f>IF(Metadata!O417="",FALSE,TRUE)</f>
        <v>0</v>
      </c>
      <c r="BB417">
        <f>OR(AND(IF(Metadata!P417="",FALSE,TRUE),OR(exact(Metadata!P417,"not collected"),exact(Metadata!P417,"not provided"),exact(Metadata!P417,"restricted access"))),AND(IF(Metadata!P417="",FALSE,TRUE),OR(exact(Metadata!P417,"air"),exact(Metadata!P417,"built environment"),exact(Metadata!P417,"host-associated"),exact(Metadata!P417,"human-associated"),exact(Metadata!P417,"human-skin"),exact(Metadata!P417,"human-oral"),exact(Metadata!P417,"human-gut"),exact(Metadata!P417,"human-vaginal"),exact(Metadata!P417,"microbial mat/biofilm"),exact(Metadata!P417,"misc environment"),exact(Metadata!P417,"plant-associated"),exact(Metadata!P417,"sediment"),exact(Metadata!P417,"soil"),exact(Metadata!P417,"wastewater/sludge"),exact(Metadata!P417,"water"))))</f>
        <v>0</v>
      </c>
      <c r="BC417">
        <f>IF(Metadata!Q417="",FALSE,TRUE)</f>
        <v>0</v>
      </c>
      <c r="BD417">
        <f>IF(Metadata!R417="",FALSE,TRUE)</f>
        <v>0</v>
      </c>
      <c r="BE417">
        <f>OR(AND(IF(Metadata!S417="",FALSE,TRUE),OR(exact(Metadata!S417,"not collected"),exact(Metadata!S417,"not provided"),exact(Metadata!S417,"restricted access"))),AND(IF(Metadata!S417="",FALSE,ISNUMBER(VALUE(Metadata!S417))),Metadata!S417&gt;=-90.00,Metadata!S417&lt;=90.00))</f>
        <v>0</v>
      </c>
      <c r="BF417">
        <f>AND(IF(Metadata!T417="",FALSE,TRUE),exact(Metadata!T417,"Decimal degrees"))</f>
        <v>0</v>
      </c>
      <c r="BG417">
        <f>OR(AND(IF(Metadata!U417="",FALSE,TRUE),OR(exact(Metadata!U417,"not collected"),exact(Metadata!U417,"not provided"),exact(Metadata!U417,"restricted access"))),AND(IF(Metadata!U417="",FALSE,ISNUMBER(VALUE(Metadata!U417))),Metadata!U417&gt;=-180.00,Metadata!U417&lt;=180.00))</f>
        <v>0</v>
      </c>
      <c r="BH417">
        <f>AND(IF(Metadata!V417="",FALSE,TRUE),exact(Metadata!V417,"Decimal degrees"))</f>
        <v>0</v>
      </c>
      <c r="BI417">
        <f>IF(Metadata!W417="",FALSE,TRUE)</f>
        <v>0</v>
      </c>
      <c r="BJ417">
        <f>OR(AND(IF(Metadata!X417="",FALSE,TRUE),OR(exact(Metadata!X417,"not collected"),exact(Metadata!X417,"not provided"),exact(Metadata!X417,"restricted access"))),AND(IF(Metadata!X417="",FALSE,TRUE),OR(exact(Metadata!X417,"TRUE"),exact(Metadata!X417,"FALSE"))))</f>
        <v>0</v>
      </c>
      <c r="BK417">
        <f>AND(IF(Metadata!Y417="",FALSE,TRUE),exact(Metadata!Y417,"other"))</f>
        <v>0</v>
      </c>
      <c r="BL417">
        <f>IF(Metadata!Z417="",FALSE,TRUE)</f>
        <v>0</v>
      </c>
      <c r="BM417">
        <f>OR(AND(IF(Metadata!AA417="",FALSE,TRUE),OR(exact(Metadata!AA417,"not collected"),exact(Metadata!AA417,"not provided"))),AND(IF(Metadata!AA417="",FALSE,IF(ISERROR(INT(Metadata!AA417)),FALSE,INT(Metadata!AA417)=Metadata!AA417)),Metadata!AA417&gt;0))</f>
        <v>0</v>
      </c>
      <c r="BN417">
        <f>AND(IF(Metadata!AB417="",FALSE,TRUE),exact(Metadata!AB417,"Not applicable"))</f>
        <v>0</v>
      </c>
      <c r="BO417">
        <f>IF(Metadata!AC417="",FALSE,TRUE)</f>
        <v>0</v>
      </c>
    </row>
    <row r="418" spans="1:67">
      <c r="A418" s="5">
        <f>IF(B418=" "," ",HYPERLINK(CONCATENATE("#metadata!",ADDRESS(INDEX($AI$2:$AI$1001,MATCH(ROWS($AG$2:AG418),$AG$2:$AG$1001,0),0),1)),INDEX($AL$2:$AL$1001,MATCH(ROWS($AG$2:AG418),$AG$2:$AG$1001,0),0)))</f>
        <v>0</v>
      </c>
      <c r="B418" s="4">
        <f>IF(OR(INDEX($AH$2:$AH$1001,MATCH(ROWS($AG$2:AG418),$AG$2:$AG$1001,0),1)&gt;=100000,INDEX($AN$1005:$BO$1005,1,MATCH(COLUMNS($AN$1006:AN1006),$AN$1006:$BO$1006,0))&gt;=100000), " ",IF(INDEX($AN$2:$BO$1001,MATCH(ROWS($AG$2:AG418),$AG$2:$AG$1001,0),MATCH(COLUMNS($AN$1006:AN1006),$AN$1006:$BO$1006,0)), HYPERLINK("#",""), HYPERLINK(CONCATENATE("#Metadata!", ADDRESS(INDEX($AI$2:$AI$1001,MATCH(ROWS($AG$2:AG418),$AG$2:$AG$1001,0),0), INDEX($AN$1004:$BO$1004,1,MATCH(COLUMNS($AN$1006:AN1006),$AN$1006:$BO$1006,0)))),"Fix")))</f>
        <v>0</v>
      </c>
      <c r="C418" s="4">
        <f>IF(OR(INDEX($AH$2:$AH$1001,MATCH(ROWS($AG$2:AG418),$AG$2:$AG$1001,0),1)&gt;=100000,INDEX($AN$1005:$BO$1005,1,MATCH(COLUMNS($AN$1006:AO1006),$AN$1006:$BO$1006,0))&gt;=100000), " ",IF(INDEX($AN$2:$BO$1001,MATCH(ROWS($AG$2:AG418),$AG$2:$AG$1001,0),MATCH(COLUMNS($AN$1006:AO1006),$AN$1006:$BO$1006,0)), HYPERLINK("#",""), HYPERLINK(CONCATENATE("#Metadata!", ADDRESS(INDEX($AI$2:$AI$1001,MATCH(ROWS($AG$2:AG418),$AG$2:$AG$1001,0),0), INDEX($AN$1004:$BO$1004,1,MATCH(COLUMNS($AN$1006:AO1006),$AN$1006:$BO$1006,0)))),"Fix")))</f>
        <v>0</v>
      </c>
      <c r="D418" s="4">
        <f>IF(OR(INDEX($AH$2:$AH$1001,MATCH(ROWS($AG$2:AG418),$AG$2:$AG$1001,0),1)&gt;=100000,INDEX($AN$1005:$BO$1005,1,MATCH(COLUMNS($AN$1006:AP1006),$AN$1006:$BO$1006,0))&gt;=100000), " ",IF(INDEX($AN$2:$BO$1001,MATCH(ROWS($AG$2:AG418),$AG$2:$AG$1001,0),MATCH(COLUMNS($AN$1006:AP1006),$AN$1006:$BO$1006,0)), HYPERLINK("#",""), HYPERLINK(CONCATENATE("#Metadata!", ADDRESS(INDEX($AI$2:$AI$1001,MATCH(ROWS($AG$2:AG418),$AG$2:$AG$1001,0),0), INDEX($AN$1004:$BO$1004,1,MATCH(COLUMNS($AN$1006:AP1006),$AN$1006:$BO$1006,0)))),"Fix")))</f>
        <v>0</v>
      </c>
      <c r="E418" s="4">
        <f>IF(OR(INDEX($AH$2:$AH$1001,MATCH(ROWS($AG$2:AG418),$AG$2:$AG$1001,0),1)&gt;=100000,INDEX($AN$1005:$BO$1005,1,MATCH(COLUMNS($AN$1006:AQ1006),$AN$1006:$BO$1006,0))&gt;=100000), " ",IF(INDEX($AN$2:$BO$1001,MATCH(ROWS($AG$2:AG418),$AG$2:$AG$1001,0),MATCH(COLUMNS($AN$1006:AQ1006),$AN$1006:$BO$1006,0)), HYPERLINK("#",""), HYPERLINK(CONCATENATE("#Metadata!", ADDRESS(INDEX($AI$2:$AI$1001,MATCH(ROWS($AG$2:AG418),$AG$2:$AG$1001,0),0), INDEX($AN$1004:$BO$1004,1,MATCH(COLUMNS($AN$1006:AQ1006),$AN$1006:$BO$1006,0)))),"Fix")))</f>
        <v>0</v>
      </c>
      <c r="F418" s="4">
        <f>IF(OR(INDEX($AH$2:$AH$1001,MATCH(ROWS($AG$2:AG418),$AG$2:$AG$1001,0),1)&gt;=100000,INDEX($AN$1005:$BO$1005,1,MATCH(COLUMNS($AN$1006:AR1006),$AN$1006:$BO$1006,0))&gt;=100000), " ",IF(INDEX($AN$2:$BO$1001,MATCH(ROWS($AG$2:AG418),$AG$2:$AG$1001,0),MATCH(COLUMNS($AN$1006:AR1006),$AN$1006:$BO$1006,0)), HYPERLINK("#",""), HYPERLINK(CONCATENATE("#Metadata!", ADDRESS(INDEX($AI$2:$AI$1001,MATCH(ROWS($AG$2:AG418),$AG$2:$AG$1001,0),0), INDEX($AN$1004:$BO$1004,1,MATCH(COLUMNS($AN$1006:AR1006),$AN$1006:$BO$1006,0)))),"Fix")))</f>
        <v>0</v>
      </c>
      <c r="G418" s="4">
        <f>IF(OR(INDEX($AH$2:$AH$1001,MATCH(ROWS($AG$2:AG418),$AG$2:$AG$1001,0),1)&gt;=100000,INDEX($AN$1005:$BO$1005,1,MATCH(COLUMNS($AN$1006:AS1006),$AN$1006:$BO$1006,0))&gt;=100000), " ",IF(INDEX($AN$2:$BO$1001,MATCH(ROWS($AG$2:AG418),$AG$2:$AG$1001,0),MATCH(COLUMNS($AN$1006:AS1006),$AN$1006:$BO$1006,0)), HYPERLINK("#",""), HYPERLINK(CONCATENATE("#Metadata!", ADDRESS(INDEX($AI$2:$AI$1001,MATCH(ROWS($AG$2:AG418),$AG$2:$AG$1001,0),0), INDEX($AN$1004:$BO$1004,1,MATCH(COLUMNS($AN$1006:AS1006),$AN$1006:$BO$1006,0)))),"Fix")))</f>
        <v>0</v>
      </c>
      <c r="H418" s="4">
        <f>IF(OR(INDEX($AH$2:$AH$1001,MATCH(ROWS($AG$2:AG418),$AG$2:$AG$1001,0),1)&gt;=100000,INDEX($AN$1005:$BO$1005,1,MATCH(COLUMNS($AN$1006:AT1006),$AN$1006:$BO$1006,0))&gt;=100000), " ",IF(INDEX($AN$2:$BO$1001,MATCH(ROWS($AG$2:AG418),$AG$2:$AG$1001,0),MATCH(COLUMNS($AN$1006:AT1006),$AN$1006:$BO$1006,0)), HYPERLINK("#",""), HYPERLINK(CONCATENATE("#Metadata!", ADDRESS(INDEX($AI$2:$AI$1001,MATCH(ROWS($AG$2:AG418),$AG$2:$AG$1001,0),0), INDEX($AN$1004:$BO$1004,1,MATCH(COLUMNS($AN$1006:AT1006),$AN$1006:$BO$1006,0)))),"Fix")))</f>
        <v>0</v>
      </c>
      <c r="I418" s="4">
        <f>IF(OR(INDEX($AH$2:$AH$1001,MATCH(ROWS($AG$2:AG418),$AG$2:$AG$1001,0),1)&gt;=100000,INDEX($AN$1005:$BO$1005,1,MATCH(COLUMNS($AN$1006:AU1006),$AN$1006:$BO$1006,0))&gt;=100000), " ",IF(INDEX($AN$2:$BO$1001,MATCH(ROWS($AG$2:AG418),$AG$2:$AG$1001,0),MATCH(COLUMNS($AN$1006:AU1006),$AN$1006:$BO$1006,0)), HYPERLINK("#",""), HYPERLINK(CONCATENATE("#Metadata!", ADDRESS(INDEX($AI$2:$AI$1001,MATCH(ROWS($AG$2:AG418),$AG$2:$AG$1001,0),0), INDEX($AN$1004:$BO$1004,1,MATCH(COLUMNS($AN$1006:AU1006),$AN$1006:$BO$1006,0)))),"Fix")))</f>
        <v>0</v>
      </c>
      <c r="J418" s="4">
        <f>IF(OR(INDEX($AH$2:$AH$1001,MATCH(ROWS($AG$2:AG418),$AG$2:$AG$1001,0),1)&gt;=100000,INDEX($AN$1005:$BO$1005,1,MATCH(COLUMNS($AN$1006:AV1006),$AN$1006:$BO$1006,0))&gt;=100000), " ",IF(INDEX($AN$2:$BO$1001,MATCH(ROWS($AG$2:AG418),$AG$2:$AG$1001,0),MATCH(COLUMNS($AN$1006:AV1006),$AN$1006:$BO$1006,0)), HYPERLINK("#",""), HYPERLINK(CONCATENATE("#Metadata!", ADDRESS(INDEX($AI$2:$AI$1001,MATCH(ROWS($AG$2:AG418),$AG$2:$AG$1001,0),0), INDEX($AN$1004:$BO$1004,1,MATCH(COLUMNS($AN$1006:AV1006),$AN$1006:$BO$1006,0)))),"Fix")))</f>
        <v>0</v>
      </c>
      <c r="K418" s="4">
        <f>IF(OR(INDEX($AH$2:$AH$1001,MATCH(ROWS($AG$2:AG418),$AG$2:$AG$1001,0),1)&gt;=100000,INDEX($AN$1005:$BO$1005,1,MATCH(COLUMNS($AN$1006:AW1006),$AN$1006:$BO$1006,0))&gt;=100000), " ",IF(INDEX($AN$2:$BO$1001,MATCH(ROWS($AG$2:AG418),$AG$2:$AG$1001,0),MATCH(COLUMNS($AN$1006:AW1006),$AN$1006:$BO$1006,0)), HYPERLINK("#",""), HYPERLINK(CONCATENATE("#Metadata!", ADDRESS(INDEX($AI$2:$AI$1001,MATCH(ROWS($AG$2:AG418),$AG$2:$AG$1001,0),0), INDEX($AN$1004:$BO$1004,1,MATCH(COLUMNS($AN$1006:AW1006),$AN$1006:$BO$1006,0)))),"Fix")))</f>
        <v>0</v>
      </c>
      <c r="L418" s="4">
        <f>IF(OR(INDEX($AH$2:$AH$1001,MATCH(ROWS($AG$2:AG418),$AG$2:$AG$1001,0),1)&gt;=100000,INDEX($AN$1005:$BO$1005,1,MATCH(COLUMNS($AN$1006:AX1006),$AN$1006:$BO$1006,0))&gt;=100000), " ",IF(INDEX($AN$2:$BO$1001,MATCH(ROWS($AG$2:AG418),$AG$2:$AG$1001,0),MATCH(COLUMNS($AN$1006:AX1006),$AN$1006:$BO$1006,0)), HYPERLINK("#",""), HYPERLINK(CONCATENATE("#Metadata!", ADDRESS(INDEX($AI$2:$AI$1001,MATCH(ROWS($AG$2:AG418),$AG$2:$AG$1001,0),0), INDEX($AN$1004:$BO$1004,1,MATCH(COLUMNS($AN$1006:AX1006),$AN$1006:$BO$1006,0)))),"Fix")))</f>
        <v>0</v>
      </c>
      <c r="M418" s="4">
        <f>IF(OR(INDEX($AH$2:$AH$1001,MATCH(ROWS($AG$2:AG418),$AG$2:$AG$1001,0),1)&gt;=100000,INDEX($AN$1005:$BO$1005,1,MATCH(COLUMNS($AN$1006:AY1006),$AN$1006:$BO$1006,0))&gt;=100000), " ",IF(INDEX($AN$2:$BO$1001,MATCH(ROWS($AG$2:AG418),$AG$2:$AG$1001,0),MATCH(COLUMNS($AN$1006:AY1006),$AN$1006:$BO$1006,0)), HYPERLINK("#",""), HYPERLINK(CONCATENATE("#Metadata!", ADDRESS(INDEX($AI$2:$AI$1001,MATCH(ROWS($AG$2:AG418),$AG$2:$AG$1001,0),0), INDEX($AN$1004:$BO$1004,1,MATCH(COLUMNS($AN$1006:AY1006),$AN$1006:$BO$1006,0)))),"Fix")))</f>
        <v>0</v>
      </c>
      <c r="N418" s="4">
        <f>IF(OR(INDEX($AH$2:$AH$1001,MATCH(ROWS($AG$2:AG418),$AG$2:$AG$1001,0),1)&gt;=100000,INDEX($AN$1005:$BO$1005,1,MATCH(COLUMNS($AN$1006:AZ1006),$AN$1006:$BO$1006,0))&gt;=100000), " ",IF(INDEX($AN$2:$BO$1001,MATCH(ROWS($AG$2:AG418),$AG$2:$AG$1001,0),MATCH(COLUMNS($AN$1006:AZ1006),$AN$1006:$BO$1006,0)), HYPERLINK("#",""), HYPERLINK(CONCATENATE("#Metadata!", ADDRESS(INDEX($AI$2:$AI$1001,MATCH(ROWS($AG$2:AG418),$AG$2:$AG$1001,0),0), INDEX($AN$1004:$BO$1004,1,MATCH(COLUMNS($AN$1006:AZ1006),$AN$1006:$BO$1006,0)))),"Fix")))</f>
        <v>0</v>
      </c>
      <c r="O418" s="4">
        <f>IF(OR(INDEX($AH$2:$AH$1001,MATCH(ROWS($AG$2:AG418),$AG$2:$AG$1001,0),1)&gt;=100000,INDEX($AN$1005:$BO$1005,1,MATCH(COLUMNS($AN$1006:BA1006),$AN$1006:$BO$1006,0))&gt;=100000), " ",IF(INDEX($AN$2:$BO$1001,MATCH(ROWS($AG$2:AG418),$AG$2:$AG$1001,0),MATCH(COLUMNS($AN$1006:BA1006),$AN$1006:$BO$1006,0)), HYPERLINK("#",""), HYPERLINK(CONCATENATE("#Metadata!", ADDRESS(INDEX($AI$2:$AI$1001,MATCH(ROWS($AG$2:AG418),$AG$2:$AG$1001,0),0), INDEX($AN$1004:$BO$1004,1,MATCH(COLUMNS($AN$1006:BA1006),$AN$1006:$BO$1006,0)))),"Fix")))</f>
        <v>0</v>
      </c>
      <c r="P418" s="4">
        <f>IF(OR(INDEX($AH$2:$AH$1001,MATCH(ROWS($AG$2:AG418),$AG$2:$AG$1001,0),1)&gt;=100000,INDEX($AN$1005:$BO$1005,1,MATCH(COLUMNS($AN$1006:BB1006),$AN$1006:$BO$1006,0))&gt;=100000), " ",IF(INDEX($AN$2:$BO$1001,MATCH(ROWS($AG$2:AG418),$AG$2:$AG$1001,0),MATCH(COLUMNS($AN$1006:BB1006),$AN$1006:$BO$1006,0)), HYPERLINK("#",""), HYPERLINK(CONCATENATE("#Metadata!", ADDRESS(INDEX($AI$2:$AI$1001,MATCH(ROWS($AG$2:AG418),$AG$2:$AG$1001,0),0), INDEX($AN$1004:$BO$1004,1,MATCH(COLUMNS($AN$1006:BB1006),$AN$1006:$BO$1006,0)))),"Fix")))</f>
        <v>0</v>
      </c>
      <c r="Q418" s="4">
        <f>IF(OR(INDEX($AH$2:$AH$1001,MATCH(ROWS($AG$2:AG418),$AG$2:$AG$1001,0),1)&gt;=100000,INDEX($AN$1005:$BO$1005,1,MATCH(COLUMNS($AN$1006:BC1006),$AN$1006:$BO$1006,0))&gt;=100000), " ",IF(INDEX($AN$2:$BO$1001,MATCH(ROWS($AG$2:AG418),$AG$2:$AG$1001,0),MATCH(COLUMNS($AN$1006:BC1006),$AN$1006:$BO$1006,0)), HYPERLINK("#",""), HYPERLINK(CONCATENATE("#Metadata!", ADDRESS(INDEX($AI$2:$AI$1001,MATCH(ROWS($AG$2:AG418),$AG$2:$AG$1001,0),0), INDEX($AN$1004:$BO$1004,1,MATCH(COLUMNS($AN$1006:BC1006),$AN$1006:$BO$1006,0)))),"Fix")))</f>
        <v>0</v>
      </c>
      <c r="R418" s="4">
        <f>IF(OR(INDEX($AH$2:$AH$1001,MATCH(ROWS($AG$2:AG418),$AG$2:$AG$1001,0),1)&gt;=100000,INDEX($AN$1005:$BO$1005,1,MATCH(COLUMNS($AN$1006:BD1006),$AN$1006:$BO$1006,0))&gt;=100000), " ",IF(INDEX($AN$2:$BO$1001,MATCH(ROWS($AG$2:AG418),$AG$2:$AG$1001,0),MATCH(COLUMNS($AN$1006:BD1006),$AN$1006:$BO$1006,0)), HYPERLINK("#",""), HYPERLINK(CONCATENATE("#Metadata!", ADDRESS(INDEX($AI$2:$AI$1001,MATCH(ROWS($AG$2:AG418),$AG$2:$AG$1001,0),0), INDEX($AN$1004:$BO$1004,1,MATCH(COLUMNS($AN$1006:BD1006),$AN$1006:$BO$1006,0)))),"Fix")))</f>
        <v>0</v>
      </c>
      <c r="S418" s="4">
        <f>IF(OR(INDEX($AH$2:$AH$1001,MATCH(ROWS($AG$2:AG418),$AG$2:$AG$1001,0),1)&gt;=100000,INDEX($AN$1005:$BO$1005,1,MATCH(COLUMNS($AN$1006:BE1006),$AN$1006:$BO$1006,0))&gt;=100000), " ",IF(INDEX($AN$2:$BO$1001,MATCH(ROWS($AG$2:AG418),$AG$2:$AG$1001,0),MATCH(COLUMNS($AN$1006:BE1006),$AN$1006:$BO$1006,0)), HYPERLINK("#",""), HYPERLINK(CONCATENATE("#Metadata!", ADDRESS(INDEX($AI$2:$AI$1001,MATCH(ROWS($AG$2:AG418),$AG$2:$AG$1001,0),0), INDEX($AN$1004:$BO$1004,1,MATCH(COLUMNS($AN$1006:BE1006),$AN$1006:$BO$1006,0)))),"Fix")))</f>
        <v>0</v>
      </c>
      <c r="T418" s="4">
        <f>IF(OR(INDEX($AH$2:$AH$1001,MATCH(ROWS($AG$2:AG418),$AG$2:$AG$1001,0),1)&gt;=100000,INDEX($AN$1005:$BO$1005,1,MATCH(COLUMNS($AN$1006:BF1006),$AN$1006:$BO$1006,0))&gt;=100000), " ",IF(INDEX($AN$2:$BO$1001,MATCH(ROWS($AG$2:AG418),$AG$2:$AG$1001,0),MATCH(COLUMNS($AN$1006:BF1006),$AN$1006:$BO$1006,0)), HYPERLINK("#",""), HYPERLINK(CONCATENATE("#Metadata!", ADDRESS(INDEX($AI$2:$AI$1001,MATCH(ROWS($AG$2:AG418),$AG$2:$AG$1001,0),0), INDEX($AN$1004:$BO$1004,1,MATCH(COLUMNS($AN$1006:BF1006),$AN$1006:$BO$1006,0)))),"Fix")))</f>
        <v>0</v>
      </c>
      <c r="U418" s="4">
        <f>IF(OR(INDEX($AH$2:$AH$1001,MATCH(ROWS($AG$2:AG418),$AG$2:$AG$1001,0),1)&gt;=100000,INDEX($AN$1005:$BO$1005,1,MATCH(COLUMNS($AN$1006:BG1006),$AN$1006:$BO$1006,0))&gt;=100000), " ",IF(INDEX($AN$2:$BO$1001,MATCH(ROWS($AG$2:AG418),$AG$2:$AG$1001,0),MATCH(COLUMNS($AN$1006:BG1006),$AN$1006:$BO$1006,0)), HYPERLINK("#",""), HYPERLINK(CONCATENATE("#Metadata!", ADDRESS(INDEX($AI$2:$AI$1001,MATCH(ROWS($AG$2:AG418),$AG$2:$AG$1001,0),0), INDEX($AN$1004:$BO$1004,1,MATCH(COLUMNS($AN$1006:BG1006),$AN$1006:$BO$1006,0)))),"Fix")))</f>
        <v>0</v>
      </c>
      <c r="V418" s="4">
        <f>IF(OR(INDEX($AH$2:$AH$1001,MATCH(ROWS($AG$2:AG418),$AG$2:$AG$1001,0),1)&gt;=100000,INDEX($AN$1005:$BO$1005,1,MATCH(COLUMNS($AN$1006:BH1006),$AN$1006:$BO$1006,0))&gt;=100000), " ",IF(INDEX($AN$2:$BO$1001,MATCH(ROWS($AG$2:AG418),$AG$2:$AG$1001,0),MATCH(COLUMNS($AN$1006:BH1006),$AN$1006:$BO$1006,0)), HYPERLINK("#",""), HYPERLINK(CONCATENATE("#Metadata!", ADDRESS(INDEX($AI$2:$AI$1001,MATCH(ROWS($AG$2:AG418),$AG$2:$AG$1001,0),0), INDEX($AN$1004:$BO$1004,1,MATCH(COLUMNS($AN$1006:BH1006),$AN$1006:$BO$1006,0)))),"Fix")))</f>
        <v>0</v>
      </c>
      <c r="W418" s="4">
        <f>IF(OR(INDEX($AH$2:$AH$1001,MATCH(ROWS($AG$2:AG418),$AG$2:$AG$1001,0),1)&gt;=100000,INDEX($AN$1005:$BO$1005,1,MATCH(COLUMNS($AN$1006:BI1006),$AN$1006:$BO$1006,0))&gt;=100000), " ",IF(INDEX($AN$2:$BO$1001,MATCH(ROWS($AG$2:AG418),$AG$2:$AG$1001,0),MATCH(COLUMNS($AN$1006:BI1006),$AN$1006:$BO$1006,0)), HYPERLINK("#",""), HYPERLINK(CONCATENATE("#Metadata!", ADDRESS(INDEX($AI$2:$AI$1001,MATCH(ROWS($AG$2:AG418),$AG$2:$AG$1001,0),0), INDEX($AN$1004:$BO$1004,1,MATCH(COLUMNS($AN$1006:BI1006),$AN$1006:$BO$1006,0)))),"Fix")))</f>
        <v>0</v>
      </c>
      <c r="X418" s="4">
        <f>IF(OR(INDEX($AH$2:$AH$1001,MATCH(ROWS($AG$2:AG418),$AG$2:$AG$1001,0),1)&gt;=100000,INDEX($AN$1005:$BO$1005,1,MATCH(COLUMNS($AN$1006:BJ1006),$AN$1006:$BO$1006,0))&gt;=100000), " ",IF(INDEX($AN$2:$BO$1001,MATCH(ROWS($AG$2:AG418),$AG$2:$AG$1001,0),MATCH(COLUMNS($AN$1006:BJ1006),$AN$1006:$BO$1006,0)), HYPERLINK("#",""), HYPERLINK(CONCATENATE("#Metadata!", ADDRESS(INDEX($AI$2:$AI$1001,MATCH(ROWS($AG$2:AG418),$AG$2:$AG$1001,0),0), INDEX($AN$1004:$BO$1004,1,MATCH(COLUMNS($AN$1006:BJ1006),$AN$1006:$BO$1006,0)))),"Fix")))</f>
        <v>0</v>
      </c>
      <c r="Y418" s="4">
        <f>IF(OR(INDEX($AH$2:$AH$1001,MATCH(ROWS($AG$2:AG418),$AG$2:$AG$1001,0),1)&gt;=100000,INDEX($AN$1005:$BO$1005,1,MATCH(COLUMNS($AN$1006:BK1006),$AN$1006:$BO$1006,0))&gt;=100000), " ",IF(INDEX($AN$2:$BO$1001,MATCH(ROWS($AG$2:AG418),$AG$2:$AG$1001,0),MATCH(COLUMNS($AN$1006:BK1006),$AN$1006:$BO$1006,0)), HYPERLINK("#",""), HYPERLINK(CONCATENATE("#Metadata!", ADDRESS(INDEX($AI$2:$AI$1001,MATCH(ROWS($AG$2:AG418),$AG$2:$AG$1001,0),0), INDEX($AN$1004:$BO$1004,1,MATCH(COLUMNS($AN$1006:BK1006),$AN$1006:$BO$1006,0)))),"Fix")))</f>
        <v>0</v>
      </c>
      <c r="Z418" s="4">
        <f>IF(OR(INDEX($AH$2:$AH$1001,MATCH(ROWS($AG$2:AG418),$AG$2:$AG$1001,0),1)&gt;=100000,INDEX($AN$1005:$BO$1005,1,MATCH(COLUMNS($AN$1006:BL1006),$AN$1006:$BO$1006,0))&gt;=100000), " ",IF(INDEX($AN$2:$BO$1001,MATCH(ROWS($AG$2:AG418),$AG$2:$AG$1001,0),MATCH(COLUMNS($AN$1006:BL1006),$AN$1006:$BO$1006,0)), HYPERLINK("#",""), HYPERLINK(CONCATENATE("#Metadata!", ADDRESS(INDEX($AI$2:$AI$1001,MATCH(ROWS($AG$2:AG418),$AG$2:$AG$1001,0),0), INDEX($AN$1004:$BO$1004,1,MATCH(COLUMNS($AN$1006:BL1006),$AN$1006:$BO$1006,0)))),"Fix")))</f>
        <v>0</v>
      </c>
      <c r="AA418" s="4">
        <f>IF(OR(INDEX($AH$2:$AH$1001,MATCH(ROWS($AG$2:AG418),$AG$2:$AG$1001,0),1)&gt;=100000,INDEX($AN$1005:$BO$1005,1,MATCH(COLUMNS($AN$1006:BM1006),$AN$1006:$BO$1006,0))&gt;=100000), " ",IF(INDEX($AN$2:$BO$1001,MATCH(ROWS($AG$2:AG418),$AG$2:$AG$1001,0),MATCH(COLUMNS($AN$1006:BM1006),$AN$1006:$BO$1006,0)), HYPERLINK("#",""), HYPERLINK(CONCATENATE("#Metadata!", ADDRESS(INDEX($AI$2:$AI$1001,MATCH(ROWS($AG$2:AG418),$AG$2:$AG$1001,0),0), INDEX($AN$1004:$BO$1004,1,MATCH(COLUMNS($AN$1006:BM1006),$AN$1006:$BO$1006,0)))),"Fix")))</f>
        <v>0</v>
      </c>
      <c r="AB418" s="4">
        <f>IF(OR(INDEX($AH$2:$AH$1001,MATCH(ROWS($AG$2:AG418),$AG$2:$AG$1001,0),1)&gt;=100000,INDEX($AN$1005:$BO$1005,1,MATCH(COLUMNS($AN$1006:BN1006),$AN$1006:$BO$1006,0))&gt;=100000), " ",IF(INDEX($AN$2:$BO$1001,MATCH(ROWS($AG$2:AG418),$AG$2:$AG$1001,0),MATCH(COLUMNS($AN$1006:BN1006),$AN$1006:$BO$1006,0)), HYPERLINK("#",""), HYPERLINK(CONCATENATE("#Metadata!", ADDRESS(INDEX($AI$2:$AI$1001,MATCH(ROWS($AG$2:AG418),$AG$2:$AG$1001,0),0), INDEX($AN$1004:$BO$1004,1,MATCH(COLUMNS($AN$1006:BN1006),$AN$1006:$BO$1006,0)))),"Fix")))</f>
        <v>0</v>
      </c>
      <c r="AC418" s="4">
        <f>IF(OR(INDEX($AH$2:$AH$1001,MATCH(ROWS($AG$2:AG418),$AG$2:$AG$1001,0),1)&gt;=100000,INDEX($AN$1005:$BO$1005,1,MATCH(COLUMNS($AN$1006:BO1006),$AN$1006:$BO$1006,0))&gt;=100000), " ",IF(INDEX($AN$2:$BO$1001,MATCH(ROWS($AG$2:AG418),$AG$2:$AG$1001,0),MATCH(COLUMNS($AN$1006:BO1006),$AN$1006:$BO$1006,0)), HYPERLINK("#",""), HYPERLINK(CONCATENATE("#Metadata!", ADDRESS(INDEX($AI$2:$AI$1001,MATCH(ROWS($AG$2:AG418),$AG$2:$AG$1001,0),0), INDEX($AN$1004:$BO$1004,1,MATCH(COLUMNS($AN$1006:BO1006),$AN$1006:$BO$1006,0)))),"Fix")))</f>
        <v>0</v>
      </c>
      <c r="AG418">
        <v>0</v>
      </c>
      <c r="AH418">
        <v>0</v>
      </c>
      <c r="AI418">
        <v>0</v>
      </c>
      <c r="AJ418">
        <f>IF(AK418,TRUE,AND(AN418:BO418))</f>
        <v>0</v>
      </c>
      <c r="AK418">
        <f>COUNTBLANK(Metadata!B418:AC418)=COLUMNS(Metadata!B418:AC418)</f>
        <v>0</v>
      </c>
      <c r="AL418">
        <v>0</v>
      </c>
      <c r="AN418">
        <f>AND(IF(Metadata!B418="",FALSE,TRUE),COUNTIF(Metadata!B:B, Metadata!B418) = 1,NOT(ISERROR(SUMPRODUCT(SEARCH(MID(Metadata!B418,ROW(INDIRECT("1:"&amp;LEN(Metadata!B418))), 1),"0123456789abcdefghijklmnopqrstuvwxyzABCDEFGHIJKLMNOPQRSTUVWXYZ.")))))</f>
        <v>0</v>
      </c>
      <c r="AO418">
        <f>IF(Metadata!C418="",FALSE,TRUE)</f>
        <v>0</v>
      </c>
      <c r="AP418">
        <f>IF(Metadata!D418="",FALSE,TRUE)</f>
        <v>0</v>
      </c>
      <c r="AQ418">
        <f>OR(AND(IF(Metadata!E418="",FALSE,TRUE),OR(exact(Metadata!E418,"not collected"),exact(Metadata!E418,"not provided"),exact(Metadata!E418,"restricted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R418">
        <f>IF(Metadata!F418="",FALSE,TRUE)</f>
        <v>0</v>
      </c>
      <c r="AS418">
        <f>OR(AND(IF(Metadata!G418="",FALSE,TRUE),OR(exact(Metadata!G418,"not collected"),exact(Metadata!G418,"not provided"))),AND(IF(Metadata!G418="",FALSE,TRUE),OR(exact(Metadata!G418,"TRUE"),exact(Metadata!G418,"FALSE"))))</f>
        <v>0</v>
      </c>
      <c r="AT418">
        <f>OR(AND(IF(Metadata!H418="",FALSE,TRUE),OR(exact(Metadata!H418,"not collected"),exact(Metadata!H418,"not provided"),exact(Metadata!H418,"restricted access"))),AND(IF(Metadata!H418="",FALSE,ISNUMBER(VALUE(Metadata!H418))),Metadata!H418&gt;=-413.0))</f>
        <v>0</v>
      </c>
      <c r="AU418">
        <f>AND(IF(Metadata!I418="",FALSE,TRUE),exact(Metadata!I418,"meters"))</f>
        <v>0</v>
      </c>
      <c r="AV418">
        <f>AND(IF(Metadata!J418="",FALSE,TRUE),OR(exact(Metadata!J418,"Host-associated"),exact(Metadata!J418,"Free-living")))</f>
        <v>0</v>
      </c>
      <c r="AW418">
        <f>AND(IF(Metadata!K418="",FALSE,TRUE),OR(exact(Metadata!K418,"Animal"),exact(Metadata!K418,"Fungus"),exact(Metadata!K418,"Plant"),exact(Metadata!K418,"Saline"),exact(Metadata!K418,"Non-saline")))</f>
        <v>0</v>
      </c>
      <c r="AX418">
        <f>AND(IF(Metadata!L418="",FALSE,TRUE),OR(exact(Metadata!L418,"Plant secretion"),exact(Metadata!L418,"Plant rhizosphere"),exact(Metadata!L418,"Plant surface"),exact(Metadata!L418,"Plant corpus"),exact(Metadata!L418,"Fungus surface"),exact(Metadata!L418,"Fungus corpus"),exact(Metadata!L418,"Animal surface"),exact(Metadata!L418,"Animal proximal gut"),exact(Metadata!L418,"Animal corpus"),exact(Metadata!L418,"Animal distal gut"),exact(Metadata!L418,"Animal secretion"),exact(Metadata!L418,"Sub-surface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Y418">
        <f>IF(Metadata!M418="",FALSE,TRUE)</f>
        <v>0</v>
      </c>
      <c r="AZ418">
        <f>IF(Metadata!N418="",FALSE,TRUE)</f>
        <v>0</v>
      </c>
      <c r="BA418">
        <f>IF(Metadata!O418="",FALSE,TRUE)</f>
        <v>0</v>
      </c>
      <c r="BB418">
        <f>OR(AND(IF(Metadata!P418="",FALSE,TRUE),OR(exact(Metadata!P418,"not collected"),exact(Metadata!P418,"not provided"),exact(Metadata!P418,"restricted access"))),AND(IF(Metadata!P418="",FALSE,TRUE),OR(exact(Metadata!P418,"air"),exact(Metadata!P418,"built environment"),exact(Metadata!P418,"host-associated"),exact(Metadata!P418,"human-associated"),exact(Metadata!P418,"human-skin"),exact(Metadata!P418,"human-oral"),exact(Metadata!P418,"human-gut"),exact(Metadata!P418,"human-vaginal"),exact(Metadata!P418,"microbial mat/biofilm"),exact(Metadata!P418,"misc environment"),exact(Metadata!P418,"plant-associated"),exact(Metadata!P418,"sediment"),exact(Metadata!P418,"soil"),exact(Metadata!P418,"wastewater/sludge"),exact(Metadata!P418,"water"))))</f>
        <v>0</v>
      </c>
      <c r="BC418">
        <f>IF(Metadata!Q418="",FALSE,TRUE)</f>
        <v>0</v>
      </c>
      <c r="BD418">
        <f>IF(Metadata!R418="",FALSE,TRUE)</f>
        <v>0</v>
      </c>
      <c r="BE418">
        <f>OR(AND(IF(Metadata!S418="",FALSE,TRUE),OR(exact(Metadata!S418,"not collected"),exact(Metadata!S418,"not provided"),exact(Metadata!S418,"restricted access"))),AND(IF(Metadata!S418="",FALSE,ISNUMBER(VALUE(Metadata!S418))),Metadata!S418&gt;=-90.00,Metadata!S418&lt;=90.00))</f>
        <v>0</v>
      </c>
      <c r="BF418">
        <f>AND(IF(Metadata!T418="",FALSE,TRUE),exact(Metadata!T418,"Decimal degrees"))</f>
        <v>0</v>
      </c>
      <c r="BG418">
        <f>OR(AND(IF(Metadata!U418="",FALSE,TRUE),OR(exact(Metadata!U418,"not collected"),exact(Metadata!U418,"not provided"),exact(Metadata!U418,"restricted access"))),AND(IF(Metadata!U418="",FALSE,ISNUMBER(VALUE(Metadata!U418))),Metadata!U418&gt;=-180.00,Metadata!U418&lt;=180.00))</f>
        <v>0</v>
      </c>
      <c r="BH418">
        <f>AND(IF(Metadata!V418="",FALSE,TRUE),exact(Metadata!V418,"Decimal degrees"))</f>
        <v>0</v>
      </c>
      <c r="BI418">
        <f>IF(Metadata!W418="",FALSE,TRUE)</f>
        <v>0</v>
      </c>
      <c r="BJ418">
        <f>OR(AND(IF(Metadata!X418="",FALSE,TRUE),OR(exact(Metadata!X418,"not collected"),exact(Metadata!X418,"not provided"),exact(Metadata!X418,"restricted access"))),AND(IF(Metadata!X418="",FALSE,TRUE),OR(exact(Metadata!X418,"TRUE"),exact(Metadata!X418,"FALSE"))))</f>
        <v>0</v>
      </c>
      <c r="BK418">
        <f>AND(IF(Metadata!Y418="",FALSE,TRUE),exact(Metadata!Y418,"other"))</f>
        <v>0</v>
      </c>
      <c r="BL418">
        <f>IF(Metadata!Z418="",FALSE,TRUE)</f>
        <v>0</v>
      </c>
      <c r="BM418">
        <f>OR(AND(IF(Metadata!AA418="",FALSE,TRUE),OR(exact(Metadata!AA418,"not collected"),exact(Metadata!AA418,"not provided"))),AND(IF(Metadata!AA418="",FALSE,IF(ISERROR(INT(Metadata!AA418)),FALSE,INT(Metadata!AA418)=Metadata!AA418)),Metadata!AA418&gt;0))</f>
        <v>0</v>
      </c>
      <c r="BN418">
        <f>AND(IF(Metadata!AB418="",FALSE,TRUE),exact(Metadata!AB418,"Not applicable"))</f>
        <v>0</v>
      </c>
      <c r="BO418">
        <f>IF(Metadata!AC418="",FALSE,TRUE)</f>
        <v>0</v>
      </c>
    </row>
    <row r="419" spans="1:67">
      <c r="A419" s="5">
        <f>IF(B419=" "," ",HYPERLINK(CONCATENATE("#metadata!",ADDRESS(INDEX($AI$2:$AI$1001,MATCH(ROWS($AG$2:AG419),$AG$2:$AG$1001,0),0),1)),INDEX($AL$2:$AL$1001,MATCH(ROWS($AG$2:AG419),$AG$2:$AG$1001,0),0)))</f>
        <v>0</v>
      </c>
      <c r="B419" s="4">
        <f>IF(OR(INDEX($AH$2:$AH$1001,MATCH(ROWS($AG$2:AG419),$AG$2:$AG$1001,0),1)&gt;=100000,INDEX($AN$1005:$BO$1005,1,MATCH(COLUMNS($AN$1006:AN1006),$AN$1006:$BO$1006,0))&gt;=100000), " ",IF(INDEX($AN$2:$BO$1001,MATCH(ROWS($AG$2:AG419),$AG$2:$AG$1001,0),MATCH(COLUMNS($AN$1006:AN1006),$AN$1006:$BO$1006,0)), HYPERLINK("#",""), HYPERLINK(CONCATENATE("#Metadata!", ADDRESS(INDEX($AI$2:$AI$1001,MATCH(ROWS($AG$2:AG419),$AG$2:$AG$1001,0),0), INDEX($AN$1004:$BO$1004,1,MATCH(COLUMNS($AN$1006:AN1006),$AN$1006:$BO$1006,0)))),"Fix")))</f>
        <v>0</v>
      </c>
      <c r="C419" s="4">
        <f>IF(OR(INDEX($AH$2:$AH$1001,MATCH(ROWS($AG$2:AG419),$AG$2:$AG$1001,0),1)&gt;=100000,INDEX($AN$1005:$BO$1005,1,MATCH(COLUMNS($AN$1006:AO1006),$AN$1006:$BO$1006,0))&gt;=100000), " ",IF(INDEX($AN$2:$BO$1001,MATCH(ROWS($AG$2:AG419),$AG$2:$AG$1001,0),MATCH(COLUMNS($AN$1006:AO1006),$AN$1006:$BO$1006,0)), HYPERLINK("#",""), HYPERLINK(CONCATENATE("#Metadata!", ADDRESS(INDEX($AI$2:$AI$1001,MATCH(ROWS($AG$2:AG419),$AG$2:$AG$1001,0),0), INDEX($AN$1004:$BO$1004,1,MATCH(COLUMNS($AN$1006:AO1006),$AN$1006:$BO$1006,0)))),"Fix")))</f>
        <v>0</v>
      </c>
      <c r="D419" s="4">
        <f>IF(OR(INDEX($AH$2:$AH$1001,MATCH(ROWS($AG$2:AG419),$AG$2:$AG$1001,0),1)&gt;=100000,INDEX($AN$1005:$BO$1005,1,MATCH(COLUMNS($AN$1006:AP1006),$AN$1006:$BO$1006,0))&gt;=100000), " ",IF(INDEX($AN$2:$BO$1001,MATCH(ROWS($AG$2:AG419),$AG$2:$AG$1001,0),MATCH(COLUMNS($AN$1006:AP1006),$AN$1006:$BO$1006,0)), HYPERLINK("#",""), HYPERLINK(CONCATENATE("#Metadata!", ADDRESS(INDEX($AI$2:$AI$1001,MATCH(ROWS($AG$2:AG419),$AG$2:$AG$1001,0),0), INDEX($AN$1004:$BO$1004,1,MATCH(COLUMNS($AN$1006:AP1006),$AN$1006:$BO$1006,0)))),"Fix")))</f>
        <v>0</v>
      </c>
      <c r="E419" s="4">
        <f>IF(OR(INDEX($AH$2:$AH$1001,MATCH(ROWS($AG$2:AG419),$AG$2:$AG$1001,0),1)&gt;=100000,INDEX($AN$1005:$BO$1005,1,MATCH(COLUMNS($AN$1006:AQ1006),$AN$1006:$BO$1006,0))&gt;=100000), " ",IF(INDEX($AN$2:$BO$1001,MATCH(ROWS($AG$2:AG419),$AG$2:$AG$1001,0),MATCH(COLUMNS($AN$1006:AQ1006),$AN$1006:$BO$1006,0)), HYPERLINK("#",""), HYPERLINK(CONCATENATE("#Metadata!", ADDRESS(INDEX($AI$2:$AI$1001,MATCH(ROWS($AG$2:AG419),$AG$2:$AG$1001,0),0), INDEX($AN$1004:$BO$1004,1,MATCH(COLUMNS($AN$1006:AQ1006),$AN$1006:$BO$1006,0)))),"Fix")))</f>
        <v>0</v>
      </c>
      <c r="F419" s="4">
        <f>IF(OR(INDEX($AH$2:$AH$1001,MATCH(ROWS($AG$2:AG419),$AG$2:$AG$1001,0),1)&gt;=100000,INDEX($AN$1005:$BO$1005,1,MATCH(COLUMNS($AN$1006:AR1006),$AN$1006:$BO$1006,0))&gt;=100000), " ",IF(INDEX($AN$2:$BO$1001,MATCH(ROWS($AG$2:AG419),$AG$2:$AG$1001,0),MATCH(COLUMNS($AN$1006:AR1006),$AN$1006:$BO$1006,0)), HYPERLINK("#",""), HYPERLINK(CONCATENATE("#Metadata!", ADDRESS(INDEX($AI$2:$AI$1001,MATCH(ROWS($AG$2:AG419),$AG$2:$AG$1001,0),0), INDEX($AN$1004:$BO$1004,1,MATCH(COLUMNS($AN$1006:AR1006),$AN$1006:$BO$1006,0)))),"Fix")))</f>
        <v>0</v>
      </c>
      <c r="G419" s="4">
        <f>IF(OR(INDEX($AH$2:$AH$1001,MATCH(ROWS($AG$2:AG419),$AG$2:$AG$1001,0),1)&gt;=100000,INDEX($AN$1005:$BO$1005,1,MATCH(COLUMNS($AN$1006:AS1006),$AN$1006:$BO$1006,0))&gt;=100000), " ",IF(INDEX($AN$2:$BO$1001,MATCH(ROWS($AG$2:AG419),$AG$2:$AG$1001,0),MATCH(COLUMNS($AN$1006:AS1006),$AN$1006:$BO$1006,0)), HYPERLINK("#",""), HYPERLINK(CONCATENATE("#Metadata!", ADDRESS(INDEX($AI$2:$AI$1001,MATCH(ROWS($AG$2:AG419),$AG$2:$AG$1001,0),0), INDEX($AN$1004:$BO$1004,1,MATCH(COLUMNS($AN$1006:AS1006),$AN$1006:$BO$1006,0)))),"Fix")))</f>
        <v>0</v>
      </c>
      <c r="H419" s="4">
        <f>IF(OR(INDEX($AH$2:$AH$1001,MATCH(ROWS($AG$2:AG419),$AG$2:$AG$1001,0),1)&gt;=100000,INDEX($AN$1005:$BO$1005,1,MATCH(COLUMNS($AN$1006:AT1006),$AN$1006:$BO$1006,0))&gt;=100000), " ",IF(INDEX($AN$2:$BO$1001,MATCH(ROWS($AG$2:AG419),$AG$2:$AG$1001,0),MATCH(COLUMNS($AN$1006:AT1006),$AN$1006:$BO$1006,0)), HYPERLINK("#",""), HYPERLINK(CONCATENATE("#Metadata!", ADDRESS(INDEX($AI$2:$AI$1001,MATCH(ROWS($AG$2:AG419),$AG$2:$AG$1001,0),0), INDEX($AN$1004:$BO$1004,1,MATCH(COLUMNS($AN$1006:AT1006),$AN$1006:$BO$1006,0)))),"Fix")))</f>
        <v>0</v>
      </c>
      <c r="I419" s="4">
        <f>IF(OR(INDEX($AH$2:$AH$1001,MATCH(ROWS($AG$2:AG419),$AG$2:$AG$1001,0),1)&gt;=100000,INDEX($AN$1005:$BO$1005,1,MATCH(COLUMNS($AN$1006:AU1006),$AN$1006:$BO$1006,0))&gt;=100000), " ",IF(INDEX($AN$2:$BO$1001,MATCH(ROWS($AG$2:AG419),$AG$2:$AG$1001,0),MATCH(COLUMNS($AN$1006:AU1006),$AN$1006:$BO$1006,0)), HYPERLINK("#",""), HYPERLINK(CONCATENATE("#Metadata!", ADDRESS(INDEX($AI$2:$AI$1001,MATCH(ROWS($AG$2:AG419),$AG$2:$AG$1001,0),0), INDEX($AN$1004:$BO$1004,1,MATCH(COLUMNS($AN$1006:AU1006),$AN$1006:$BO$1006,0)))),"Fix")))</f>
        <v>0</v>
      </c>
      <c r="J419" s="4">
        <f>IF(OR(INDEX($AH$2:$AH$1001,MATCH(ROWS($AG$2:AG419),$AG$2:$AG$1001,0),1)&gt;=100000,INDEX($AN$1005:$BO$1005,1,MATCH(COLUMNS($AN$1006:AV1006),$AN$1006:$BO$1006,0))&gt;=100000), " ",IF(INDEX($AN$2:$BO$1001,MATCH(ROWS($AG$2:AG419),$AG$2:$AG$1001,0),MATCH(COLUMNS($AN$1006:AV1006),$AN$1006:$BO$1006,0)), HYPERLINK("#",""), HYPERLINK(CONCATENATE("#Metadata!", ADDRESS(INDEX($AI$2:$AI$1001,MATCH(ROWS($AG$2:AG419),$AG$2:$AG$1001,0),0), INDEX($AN$1004:$BO$1004,1,MATCH(COLUMNS($AN$1006:AV1006),$AN$1006:$BO$1006,0)))),"Fix")))</f>
        <v>0</v>
      </c>
      <c r="K419" s="4">
        <f>IF(OR(INDEX($AH$2:$AH$1001,MATCH(ROWS($AG$2:AG419),$AG$2:$AG$1001,0),1)&gt;=100000,INDEX($AN$1005:$BO$1005,1,MATCH(COLUMNS($AN$1006:AW1006),$AN$1006:$BO$1006,0))&gt;=100000), " ",IF(INDEX($AN$2:$BO$1001,MATCH(ROWS($AG$2:AG419),$AG$2:$AG$1001,0),MATCH(COLUMNS($AN$1006:AW1006),$AN$1006:$BO$1006,0)), HYPERLINK("#",""), HYPERLINK(CONCATENATE("#Metadata!", ADDRESS(INDEX($AI$2:$AI$1001,MATCH(ROWS($AG$2:AG419),$AG$2:$AG$1001,0),0), INDEX($AN$1004:$BO$1004,1,MATCH(COLUMNS($AN$1006:AW1006),$AN$1006:$BO$1006,0)))),"Fix")))</f>
        <v>0</v>
      </c>
      <c r="L419" s="4">
        <f>IF(OR(INDEX($AH$2:$AH$1001,MATCH(ROWS($AG$2:AG419),$AG$2:$AG$1001,0),1)&gt;=100000,INDEX($AN$1005:$BO$1005,1,MATCH(COLUMNS($AN$1006:AX1006),$AN$1006:$BO$1006,0))&gt;=100000), " ",IF(INDEX($AN$2:$BO$1001,MATCH(ROWS($AG$2:AG419),$AG$2:$AG$1001,0),MATCH(COLUMNS($AN$1006:AX1006),$AN$1006:$BO$1006,0)), HYPERLINK("#",""), HYPERLINK(CONCATENATE("#Metadata!", ADDRESS(INDEX($AI$2:$AI$1001,MATCH(ROWS($AG$2:AG419),$AG$2:$AG$1001,0),0), INDEX($AN$1004:$BO$1004,1,MATCH(COLUMNS($AN$1006:AX1006),$AN$1006:$BO$1006,0)))),"Fix")))</f>
        <v>0</v>
      </c>
      <c r="M419" s="4">
        <f>IF(OR(INDEX($AH$2:$AH$1001,MATCH(ROWS($AG$2:AG419),$AG$2:$AG$1001,0),1)&gt;=100000,INDEX($AN$1005:$BO$1005,1,MATCH(COLUMNS($AN$1006:AY1006),$AN$1006:$BO$1006,0))&gt;=100000), " ",IF(INDEX($AN$2:$BO$1001,MATCH(ROWS($AG$2:AG419),$AG$2:$AG$1001,0),MATCH(COLUMNS($AN$1006:AY1006),$AN$1006:$BO$1006,0)), HYPERLINK("#",""), HYPERLINK(CONCATENATE("#Metadata!", ADDRESS(INDEX($AI$2:$AI$1001,MATCH(ROWS($AG$2:AG419),$AG$2:$AG$1001,0),0), INDEX($AN$1004:$BO$1004,1,MATCH(COLUMNS($AN$1006:AY1006),$AN$1006:$BO$1006,0)))),"Fix")))</f>
        <v>0</v>
      </c>
      <c r="N419" s="4">
        <f>IF(OR(INDEX($AH$2:$AH$1001,MATCH(ROWS($AG$2:AG419),$AG$2:$AG$1001,0),1)&gt;=100000,INDEX($AN$1005:$BO$1005,1,MATCH(COLUMNS($AN$1006:AZ1006),$AN$1006:$BO$1006,0))&gt;=100000), " ",IF(INDEX($AN$2:$BO$1001,MATCH(ROWS($AG$2:AG419),$AG$2:$AG$1001,0),MATCH(COLUMNS($AN$1006:AZ1006),$AN$1006:$BO$1006,0)), HYPERLINK("#",""), HYPERLINK(CONCATENATE("#Metadata!", ADDRESS(INDEX($AI$2:$AI$1001,MATCH(ROWS($AG$2:AG419),$AG$2:$AG$1001,0),0), INDEX($AN$1004:$BO$1004,1,MATCH(COLUMNS($AN$1006:AZ1006),$AN$1006:$BO$1006,0)))),"Fix")))</f>
        <v>0</v>
      </c>
      <c r="O419" s="4">
        <f>IF(OR(INDEX($AH$2:$AH$1001,MATCH(ROWS($AG$2:AG419),$AG$2:$AG$1001,0),1)&gt;=100000,INDEX($AN$1005:$BO$1005,1,MATCH(COLUMNS($AN$1006:BA1006),$AN$1006:$BO$1006,0))&gt;=100000), " ",IF(INDEX($AN$2:$BO$1001,MATCH(ROWS($AG$2:AG419),$AG$2:$AG$1001,0),MATCH(COLUMNS($AN$1006:BA1006),$AN$1006:$BO$1006,0)), HYPERLINK("#",""), HYPERLINK(CONCATENATE("#Metadata!", ADDRESS(INDEX($AI$2:$AI$1001,MATCH(ROWS($AG$2:AG419),$AG$2:$AG$1001,0),0), INDEX($AN$1004:$BO$1004,1,MATCH(COLUMNS($AN$1006:BA1006),$AN$1006:$BO$1006,0)))),"Fix")))</f>
        <v>0</v>
      </c>
      <c r="P419" s="4">
        <f>IF(OR(INDEX($AH$2:$AH$1001,MATCH(ROWS($AG$2:AG419),$AG$2:$AG$1001,0),1)&gt;=100000,INDEX($AN$1005:$BO$1005,1,MATCH(COLUMNS($AN$1006:BB1006),$AN$1006:$BO$1006,0))&gt;=100000), " ",IF(INDEX($AN$2:$BO$1001,MATCH(ROWS($AG$2:AG419),$AG$2:$AG$1001,0),MATCH(COLUMNS($AN$1006:BB1006),$AN$1006:$BO$1006,0)), HYPERLINK("#",""), HYPERLINK(CONCATENATE("#Metadata!", ADDRESS(INDEX($AI$2:$AI$1001,MATCH(ROWS($AG$2:AG419),$AG$2:$AG$1001,0),0), INDEX($AN$1004:$BO$1004,1,MATCH(COLUMNS($AN$1006:BB1006),$AN$1006:$BO$1006,0)))),"Fix")))</f>
        <v>0</v>
      </c>
      <c r="Q419" s="4">
        <f>IF(OR(INDEX($AH$2:$AH$1001,MATCH(ROWS($AG$2:AG419),$AG$2:$AG$1001,0),1)&gt;=100000,INDEX($AN$1005:$BO$1005,1,MATCH(COLUMNS($AN$1006:BC1006),$AN$1006:$BO$1006,0))&gt;=100000), " ",IF(INDEX($AN$2:$BO$1001,MATCH(ROWS($AG$2:AG419),$AG$2:$AG$1001,0),MATCH(COLUMNS($AN$1006:BC1006),$AN$1006:$BO$1006,0)), HYPERLINK("#",""), HYPERLINK(CONCATENATE("#Metadata!", ADDRESS(INDEX($AI$2:$AI$1001,MATCH(ROWS($AG$2:AG419),$AG$2:$AG$1001,0),0), INDEX($AN$1004:$BO$1004,1,MATCH(COLUMNS($AN$1006:BC1006),$AN$1006:$BO$1006,0)))),"Fix")))</f>
        <v>0</v>
      </c>
      <c r="R419" s="4">
        <f>IF(OR(INDEX($AH$2:$AH$1001,MATCH(ROWS($AG$2:AG419),$AG$2:$AG$1001,0),1)&gt;=100000,INDEX($AN$1005:$BO$1005,1,MATCH(COLUMNS($AN$1006:BD1006),$AN$1006:$BO$1006,0))&gt;=100000), " ",IF(INDEX($AN$2:$BO$1001,MATCH(ROWS($AG$2:AG419),$AG$2:$AG$1001,0),MATCH(COLUMNS($AN$1006:BD1006),$AN$1006:$BO$1006,0)), HYPERLINK("#",""), HYPERLINK(CONCATENATE("#Metadata!", ADDRESS(INDEX($AI$2:$AI$1001,MATCH(ROWS($AG$2:AG419),$AG$2:$AG$1001,0),0), INDEX($AN$1004:$BO$1004,1,MATCH(COLUMNS($AN$1006:BD1006),$AN$1006:$BO$1006,0)))),"Fix")))</f>
        <v>0</v>
      </c>
      <c r="S419" s="4">
        <f>IF(OR(INDEX($AH$2:$AH$1001,MATCH(ROWS($AG$2:AG419),$AG$2:$AG$1001,0),1)&gt;=100000,INDEX($AN$1005:$BO$1005,1,MATCH(COLUMNS($AN$1006:BE1006),$AN$1006:$BO$1006,0))&gt;=100000), " ",IF(INDEX($AN$2:$BO$1001,MATCH(ROWS($AG$2:AG419),$AG$2:$AG$1001,0),MATCH(COLUMNS($AN$1006:BE1006),$AN$1006:$BO$1006,0)), HYPERLINK("#",""), HYPERLINK(CONCATENATE("#Metadata!", ADDRESS(INDEX($AI$2:$AI$1001,MATCH(ROWS($AG$2:AG419),$AG$2:$AG$1001,0),0), INDEX($AN$1004:$BO$1004,1,MATCH(COLUMNS($AN$1006:BE1006),$AN$1006:$BO$1006,0)))),"Fix")))</f>
        <v>0</v>
      </c>
      <c r="T419" s="4">
        <f>IF(OR(INDEX($AH$2:$AH$1001,MATCH(ROWS($AG$2:AG419),$AG$2:$AG$1001,0),1)&gt;=100000,INDEX($AN$1005:$BO$1005,1,MATCH(COLUMNS($AN$1006:BF1006),$AN$1006:$BO$1006,0))&gt;=100000), " ",IF(INDEX($AN$2:$BO$1001,MATCH(ROWS($AG$2:AG419),$AG$2:$AG$1001,0),MATCH(COLUMNS($AN$1006:BF1006),$AN$1006:$BO$1006,0)), HYPERLINK("#",""), HYPERLINK(CONCATENATE("#Metadata!", ADDRESS(INDEX($AI$2:$AI$1001,MATCH(ROWS($AG$2:AG419),$AG$2:$AG$1001,0),0), INDEX($AN$1004:$BO$1004,1,MATCH(COLUMNS($AN$1006:BF1006),$AN$1006:$BO$1006,0)))),"Fix")))</f>
        <v>0</v>
      </c>
      <c r="U419" s="4">
        <f>IF(OR(INDEX($AH$2:$AH$1001,MATCH(ROWS($AG$2:AG419),$AG$2:$AG$1001,0),1)&gt;=100000,INDEX($AN$1005:$BO$1005,1,MATCH(COLUMNS($AN$1006:BG1006),$AN$1006:$BO$1006,0))&gt;=100000), " ",IF(INDEX($AN$2:$BO$1001,MATCH(ROWS($AG$2:AG419),$AG$2:$AG$1001,0),MATCH(COLUMNS($AN$1006:BG1006),$AN$1006:$BO$1006,0)), HYPERLINK("#",""), HYPERLINK(CONCATENATE("#Metadata!", ADDRESS(INDEX($AI$2:$AI$1001,MATCH(ROWS($AG$2:AG419),$AG$2:$AG$1001,0),0), INDEX($AN$1004:$BO$1004,1,MATCH(COLUMNS($AN$1006:BG1006),$AN$1006:$BO$1006,0)))),"Fix")))</f>
        <v>0</v>
      </c>
      <c r="V419" s="4">
        <f>IF(OR(INDEX($AH$2:$AH$1001,MATCH(ROWS($AG$2:AG419),$AG$2:$AG$1001,0),1)&gt;=100000,INDEX($AN$1005:$BO$1005,1,MATCH(COLUMNS($AN$1006:BH1006),$AN$1006:$BO$1006,0))&gt;=100000), " ",IF(INDEX($AN$2:$BO$1001,MATCH(ROWS($AG$2:AG419),$AG$2:$AG$1001,0),MATCH(COLUMNS($AN$1006:BH1006),$AN$1006:$BO$1006,0)), HYPERLINK("#",""), HYPERLINK(CONCATENATE("#Metadata!", ADDRESS(INDEX($AI$2:$AI$1001,MATCH(ROWS($AG$2:AG419),$AG$2:$AG$1001,0),0), INDEX($AN$1004:$BO$1004,1,MATCH(COLUMNS($AN$1006:BH1006),$AN$1006:$BO$1006,0)))),"Fix")))</f>
        <v>0</v>
      </c>
      <c r="W419" s="4">
        <f>IF(OR(INDEX($AH$2:$AH$1001,MATCH(ROWS($AG$2:AG419),$AG$2:$AG$1001,0),1)&gt;=100000,INDEX($AN$1005:$BO$1005,1,MATCH(COLUMNS($AN$1006:BI1006),$AN$1006:$BO$1006,0))&gt;=100000), " ",IF(INDEX($AN$2:$BO$1001,MATCH(ROWS($AG$2:AG419),$AG$2:$AG$1001,0),MATCH(COLUMNS($AN$1006:BI1006),$AN$1006:$BO$1006,0)), HYPERLINK("#",""), HYPERLINK(CONCATENATE("#Metadata!", ADDRESS(INDEX($AI$2:$AI$1001,MATCH(ROWS($AG$2:AG419),$AG$2:$AG$1001,0),0), INDEX($AN$1004:$BO$1004,1,MATCH(COLUMNS($AN$1006:BI1006),$AN$1006:$BO$1006,0)))),"Fix")))</f>
        <v>0</v>
      </c>
      <c r="X419" s="4">
        <f>IF(OR(INDEX($AH$2:$AH$1001,MATCH(ROWS($AG$2:AG419),$AG$2:$AG$1001,0),1)&gt;=100000,INDEX($AN$1005:$BO$1005,1,MATCH(COLUMNS($AN$1006:BJ1006),$AN$1006:$BO$1006,0))&gt;=100000), " ",IF(INDEX($AN$2:$BO$1001,MATCH(ROWS($AG$2:AG419),$AG$2:$AG$1001,0),MATCH(COLUMNS($AN$1006:BJ1006),$AN$1006:$BO$1006,0)), HYPERLINK("#",""), HYPERLINK(CONCATENATE("#Metadata!", ADDRESS(INDEX($AI$2:$AI$1001,MATCH(ROWS($AG$2:AG419),$AG$2:$AG$1001,0),0), INDEX($AN$1004:$BO$1004,1,MATCH(COLUMNS($AN$1006:BJ1006),$AN$1006:$BO$1006,0)))),"Fix")))</f>
        <v>0</v>
      </c>
      <c r="Y419" s="4">
        <f>IF(OR(INDEX($AH$2:$AH$1001,MATCH(ROWS($AG$2:AG419),$AG$2:$AG$1001,0),1)&gt;=100000,INDEX($AN$1005:$BO$1005,1,MATCH(COLUMNS($AN$1006:BK1006),$AN$1006:$BO$1006,0))&gt;=100000), " ",IF(INDEX($AN$2:$BO$1001,MATCH(ROWS($AG$2:AG419),$AG$2:$AG$1001,0),MATCH(COLUMNS($AN$1006:BK1006),$AN$1006:$BO$1006,0)), HYPERLINK("#",""), HYPERLINK(CONCATENATE("#Metadata!", ADDRESS(INDEX($AI$2:$AI$1001,MATCH(ROWS($AG$2:AG419),$AG$2:$AG$1001,0),0), INDEX($AN$1004:$BO$1004,1,MATCH(COLUMNS($AN$1006:BK1006),$AN$1006:$BO$1006,0)))),"Fix")))</f>
        <v>0</v>
      </c>
      <c r="Z419" s="4">
        <f>IF(OR(INDEX($AH$2:$AH$1001,MATCH(ROWS($AG$2:AG419),$AG$2:$AG$1001,0),1)&gt;=100000,INDEX($AN$1005:$BO$1005,1,MATCH(COLUMNS($AN$1006:BL1006),$AN$1006:$BO$1006,0))&gt;=100000), " ",IF(INDEX($AN$2:$BO$1001,MATCH(ROWS($AG$2:AG419),$AG$2:$AG$1001,0),MATCH(COLUMNS($AN$1006:BL1006),$AN$1006:$BO$1006,0)), HYPERLINK("#",""), HYPERLINK(CONCATENATE("#Metadata!", ADDRESS(INDEX($AI$2:$AI$1001,MATCH(ROWS($AG$2:AG419),$AG$2:$AG$1001,0),0), INDEX($AN$1004:$BO$1004,1,MATCH(COLUMNS($AN$1006:BL1006),$AN$1006:$BO$1006,0)))),"Fix")))</f>
        <v>0</v>
      </c>
      <c r="AA419" s="4">
        <f>IF(OR(INDEX($AH$2:$AH$1001,MATCH(ROWS($AG$2:AG419),$AG$2:$AG$1001,0),1)&gt;=100000,INDEX($AN$1005:$BO$1005,1,MATCH(COLUMNS($AN$1006:BM1006),$AN$1006:$BO$1006,0))&gt;=100000), " ",IF(INDEX($AN$2:$BO$1001,MATCH(ROWS($AG$2:AG419),$AG$2:$AG$1001,0),MATCH(COLUMNS($AN$1006:BM1006),$AN$1006:$BO$1006,0)), HYPERLINK("#",""), HYPERLINK(CONCATENATE("#Metadata!", ADDRESS(INDEX($AI$2:$AI$1001,MATCH(ROWS($AG$2:AG419),$AG$2:$AG$1001,0),0), INDEX($AN$1004:$BO$1004,1,MATCH(COLUMNS($AN$1006:BM1006),$AN$1006:$BO$1006,0)))),"Fix")))</f>
        <v>0</v>
      </c>
      <c r="AB419" s="4">
        <f>IF(OR(INDEX($AH$2:$AH$1001,MATCH(ROWS($AG$2:AG419),$AG$2:$AG$1001,0),1)&gt;=100000,INDEX($AN$1005:$BO$1005,1,MATCH(COLUMNS($AN$1006:BN1006),$AN$1006:$BO$1006,0))&gt;=100000), " ",IF(INDEX($AN$2:$BO$1001,MATCH(ROWS($AG$2:AG419),$AG$2:$AG$1001,0),MATCH(COLUMNS($AN$1006:BN1006),$AN$1006:$BO$1006,0)), HYPERLINK("#",""), HYPERLINK(CONCATENATE("#Metadata!", ADDRESS(INDEX($AI$2:$AI$1001,MATCH(ROWS($AG$2:AG419),$AG$2:$AG$1001,0),0), INDEX($AN$1004:$BO$1004,1,MATCH(COLUMNS($AN$1006:BN1006),$AN$1006:$BO$1006,0)))),"Fix")))</f>
        <v>0</v>
      </c>
      <c r="AC419" s="4">
        <f>IF(OR(INDEX($AH$2:$AH$1001,MATCH(ROWS($AG$2:AG419),$AG$2:$AG$1001,0),1)&gt;=100000,INDEX($AN$1005:$BO$1005,1,MATCH(COLUMNS($AN$1006:BO1006),$AN$1006:$BO$1006,0))&gt;=100000), " ",IF(INDEX($AN$2:$BO$1001,MATCH(ROWS($AG$2:AG419),$AG$2:$AG$1001,0),MATCH(COLUMNS($AN$1006:BO1006),$AN$1006:$BO$1006,0)), HYPERLINK("#",""), HYPERLINK(CONCATENATE("#Metadata!", ADDRESS(INDEX($AI$2:$AI$1001,MATCH(ROWS($AG$2:AG419),$AG$2:$AG$1001,0),0), INDEX($AN$1004:$BO$1004,1,MATCH(COLUMNS($AN$1006:BO1006),$AN$1006:$BO$1006,0)))),"Fix")))</f>
        <v>0</v>
      </c>
      <c r="AG419">
        <v>0</v>
      </c>
      <c r="AH419">
        <v>0</v>
      </c>
      <c r="AI419">
        <v>0</v>
      </c>
      <c r="AJ419">
        <f>IF(AK419,TRUE,AND(AN419:BO419))</f>
        <v>0</v>
      </c>
      <c r="AK419">
        <f>COUNTBLANK(Metadata!B419:AC419)=COLUMNS(Metadata!B419:AC419)</f>
        <v>0</v>
      </c>
      <c r="AL419">
        <v>0</v>
      </c>
      <c r="AN419">
        <f>AND(IF(Metadata!B419="",FALSE,TRUE),COUNTIF(Metadata!B:B, Metadata!B419) = 1,NOT(ISERROR(SUMPRODUCT(SEARCH(MID(Metadata!B419,ROW(INDIRECT("1:"&amp;LEN(Metadata!B419))), 1),"0123456789abcdefghijklmnopqrstuvwxyzABCDEFGHIJKLMNOPQRSTUVWXYZ.")))))</f>
        <v>0</v>
      </c>
      <c r="AO419">
        <f>IF(Metadata!C419="",FALSE,TRUE)</f>
        <v>0</v>
      </c>
      <c r="AP419">
        <f>IF(Metadata!D419="",FALSE,TRUE)</f>
        <v>0</v>
      </c>
      <c r="AQ419">
        <f>OR(AND(IF(Metadata!E419="",FALSE,TRUE),OR(exact(Metadata!E419,"not collected"),exact(Metadata!E419,"not provided"),exact(Metadata!E419,"restricted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R419">
        <f>IF(Metadata!F419="",FALSE,TRUE)</f>
        <v>0</v>
      </c>
      <c r="AS419">
        <f>OR(AND(IF(Metadata!G419="",FALSE,TRUE),OR(exact(Metadata!G419,"not collected"),exact(Metadata!G419,"not provided"))),AND(IF(Metadata!G419="",FALSE,TRUE),OR(exact(Metadata!G419,"TRUE"),exact(Metadata!G419,"FALSE"))))</f>
        <v>0</v>
      </c>
      <c r="AT419">
        <f>OR(AND(IF(Metadata!H419="",FALSE,TRUE),OR(exact(Metadata!H419,"not collected"),exact(Metadata!H419,"not provided"),exact(Metadata!H419,"restricted access"))),AND(IF(Metadata!H419="",FALSE,ISNUMBER(VALUE(Metadata!H419))),Metadata!H419&gt;=-413.0))</f>
        <v>0</v>
      </c>
      <c r="AU419">
        <f>AND(IF(Metadata!I419="",FALSE,TRUE),exact(Metadata!I419,"meters"))</f>
        <v>0</v>
      </c>
      <c r="AV419">
        <f>AND(IF(Metadata!J419="",FALSE,TRUE),OR(exact(Metadata!J419,"Host-associated"),exact(Metadata!J419,"Free-living")))</f>
        <v>0</v>
      </c>
      <c r="AW419">
        <f>AND(IF(Metadata!K419="",FALSE,TRUE),OR(exact(Metadata!K419,"Animal"),exact(Metadata!K419,"Fungus"),exact(Metadata!K419,"Plant"),exact(Metadata!K419,"Saline"),exact(Metadata!K419,"Non-saline")))</f>
        <v>0</v>
      </c>
      <c r="AX419">
        <f>AND(IF(Metadata!L419="",FALSE,TRUE),OR(exact(Metadata!L419,"Plant secretion"),exact(Metadata!L419,"Plant rhizosphere"),exact(Metadata!L419,"Plant surface"),exact(Metadata!L419,"Plant corpus"),exact(Metadata!L419,"Fungus surface"),exact(Metadata!L419,"Fungus corpus"),exact(Metadata!L419,"Animal surface"),exact(Metadata!L419,"Animal proximal gut"),exact(Metadata!L419,"Animal corpus"),exact(Metadata!L419,"Animal distal gut"),exact(Metadata!L419,"Animal secretion"),exact(Metadata!L419,"Sub-surface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Y419">
        <f>IF(Metadata!M419="",FALSE,TRUE)</f>
        <v>0</v>
      </c>
      <c r="AZ419">
        <f>IF(Metadata!N419="",FALSE,TRUE)</f>
        <v>0</v>
      </c>
      <c r="BA419">
        <f>IF(Metadata!O419="",FALSE,TRUE)</f>
        <v>0</v>
      </c>
      <c r="BB419">
        <f>OR(AND(IF(Metadata!P419="",FALSE,TRUE),OR(exact(Metadata!P419,"not collected"),exact(Metadata!P419,"not provided"),exact(Metadata!P419,"restricted access"))),AND(IF(Metadata!P419="",FALSE,TRUE),OR(exact(Metadata!P419,"air"),exact(Metadata!P419,"built environment"),exact(Metadata!P419,"host-associated"),exact(Metadata!P419,"human-associated"),exact(Metadata!P419,"human-skin"),exact(Metadata!P419,"human-oral"),exact(Metadata!P419,"human-gut"),exact(Metadata!P419,"human-vaginal"),exact(Metadata!P419,"microbial mat/biofilm"),exact(Metadata!P419,"misc environment"),exact(Metadata!P419,"plant-associated"),exact(Metadata!P419,"sediment"),exact(Metadata!P419,"soil"),exact(Metadata!P419,"wastewater/sludge"),exact(Metadata!P419,"water"))))</f>
        <v>0</v>
      </c>
      <c r="BC419">
        <f>IF(Metadata!Q419="",FALSE,TRUE)</f>
        <v>0</v>
      </c>
      <c r="BD419">
        <f>IF(Metadata!R419="",FALSE,TRUE)</f>
        <v>0</v>
      </c>
      <c r="BE419">
        <f>OR(AND(IF(Metadata!S419="",FALSE,TRUE),OR(exact(Metadata!S419,"not collected"),exact(Metadata!S419,"not provided"),exact(Metadata!S419,"restricted access"))),AND(IF(Metadata!S419="",FALSE,ISNUMBER(VALUE(Metadata!S419))),Metadata!S419&gt;=-90.00,Metadata!S419&lt;=90.00))</f>
        <v>0</v>
      </c>
      <c r="BF419">
        <f>AND(IF(Metadata!T419="",FALSE,TRUE),exact(Metadata!T419,"Decimal degrees"))</f>
        <v>0</v>
      </c>
      <c r="BG419">
        <f>OR(AND(IF(Metadata!U419="",FALSE,TRUE),OR(exact(Metadata!U419,"not collected"),exact(Metadata!U419,"not provided"),exact(Metadata!U419,"restricted access"))),AND(IF(Metadata!U419="",FALSE,ISNUMBER(VALUE(Metadata!U419))),Metadata!U419&gt;=-180.00,Metadata!U419&lt;=180.00))</f>
        <v>0</v>
      </c>
      <c r="BH419">
        <f>AND(IF(Metadata!V419="",FALSE,TRUE),exact(Metadata!V419,"Decimal degrees"))</f>
        <v>0</v>
      </c>
      <c r="BI419">
        <f>IF(Metadata!W419="",FALSE,TRUE)</f>
        <v>0</v>
      </c>
      <c r="BJ419">
        <f>OR(AND(IF(Metadata!X419="",FALSE,TRUE),OR(exact(Metadata!X419,"not collected"),exact(Metadata!X419,"not provided"),exact(Metadata!X419,"restricted access"))),AND(IF(Metadata!X419="",FALSE,TRUE),OR(exact(Metadata!X419,"TRUE"),exact(Metadata!X419,"FALSE"))))</f>
        <v>0</v>
      </c>
      <c r="BK419">
        <f>AND(IF(Metadata!Y419="",FALSE,TRUE),exact(Metadata!Y419,"other"))</f>
        <v>0</v>
      </c>
      <c r="BL419">
        <f>IF(Metadata!Z419="",FALSE,TRUE)</f>
        <v>0</v>
      </c>
      <c r="BM419">
        <f>OR(AND(IF(Metadata!AA419="",FALSE,TRUE),OR(exact(Metadata!AA419,"not collected"),exact(Metadata!AA419,"not provided"))),AND(IF(Metadata!AA419="",FALSE,IF(ISERROR(INT(Metadata!AA419)),FALSE,INT(Metadata!AA419)=Metadata!AA419)),Metadata!AA419&gt;0))</f>
        <v>0</v>
      </c>
      <c r="BN419">
        <f>AND(IF(Metadata!AB419="",FALSE,TRUE),exact(Metadata!AB419,"Not applicable"))</f>
        <v>0</v>
      </c>
      <c r="BO419">
        <f>IF(Metadata!AC419="",FALSE,TRUE)</f>
        <v>0</v>
      </c>
    </row>
    <row r="420" spans="1:67">
      <c r="A420" s="5">
        <f>IF(B420=" "," ",HYPERLINK(CONCATENATE("#metadata!",ADDRESS(INDEX($AI$2:$AI$1001,MATCH(ROWS($AG$2:AG420),$AG$2:$AG$1001,0),0),1)),INDEX($AL$2:$AL$1001,MATCH(ROWS($AG$2:AG420),$AG$2:$AG$1001,0),0)))</f>
        <v>0</v>
      </c>
      <c r="B420" s="4">
        <f>IF(OR(INDEX($AH$2:$AH$1001,MATCH(ROWS($AG$2:AG420),$AG$2:$AG$1001,0),1)&gt;=100000,INDEX($AN$1005:$BO$1005,1,MATCH(COLUMNS($AN$1006:AN1006),$AN$1006:$BO$1006,0))&gt;=100000), " ",IF(INDEX($AN$2:$BO$1001,MATCH(ROWS($AG$2:AG420),$AG$2:$AG$1001,0),MATCH(COLUMNS($AN$1006:AN1006),$AN$1006:$BO$1006,0)), HYPERLINK("#",""), HYPERLINK(CONCATENATE("#Metadata!", ADDRESS(INDEX($AI$2:$AI$1001,MATCH(ROWS($AG$2:AG420),$AG$2:$AG$1001,0),0), INDEX($AN$1004:$BO$1004,1,MATCH(COLUMNS($AN$1006:AN1006),$AN$1006:$BO$1006,0)))),"Fix")))</f>
        <v>0</v>
      </c>
      <c r="C420" s="4">
        <f>IF(OR(INDEX($AH$2:$AH$1001,MATCH(ROWS($AG$2:AG420),$AG$2:$AG$1001,0),1)&gt;=100000,INDEX($AN$1005:$BO$1005,1,MATCH(COLUMNS($AN$1006:AO1006),$AN$1006:$BO$1006,0))&gt;=100000), " ",IF(INDEX($AN$2:$BO$1001,MATCH(ROWS($AG$2:AG420),$AG$2:$AG$1001,0),MATCH(COLUMNS($AN$1006:AO1006),$AN$1006:$BO$1006,0)), HYPERLINK("#",""), HYPERLINK(CONCATENATE("#Metadata!", ADDRESS(INDEX($AI$2:$AI$1001,MATCH(ROWS($AG$2:AG420),$AG$2:$AG$1001,0),0), INDEX($AN$1004:$BO$1004,1,MATCH(COLUMNS($AN$1006:AO1006),$AN$1006:$BO$1006,0)))),"Fix")))</f>
        <v>0</v>
      </c>
      <c r="D420" s="4">
        <f>IF(OR(INDEX($AH$2:$AH$1001,MATCH(ROWS($AG$2:AG420),$AG$2:$AG$1001,0),1)&gt;=100000,INDEX($AN$1005:$BO$1005,1,MATCH(COLUMNS($AN$1006:AP1006),$AN$1006:$BO$1006,0))&gt;=100000), " ",IF(INDEX($AN$2:$BO$1001,MATCH(ROWS($AG$2:AG420),$AG$2:$AG$1001,0),MATCH(COLUMNS($AN$1006:AP1006),$AN$1006:$BO$1006,0)), HYPERLINK("#",""), HYPERLINK(CONCATENATE("#Metadata!", ADDRESS(INDEX($AI$2:$AI$1001,MATCH(ROWS($AG$2:AG420),$AG$2:$AG$1001,0),0), INDEX($AN$1004:$BO$1004,1,MATCH(COLUMNS($AN$1006:AP1006),$AN$1006:$BO$1006,0)))),"Fix")))</f>
        <v>0</v>
      </c>
      <c r="E420" s="4">
        <f>IF(OR(INDEX($AH$2:$AH$1001,MATCH(ROWS($AG$2:AG420),$AG$2:$AG$1001,0),1)&gt;=100000,INDEX($AN$1005:$BO$1005,1,MATCH(COLUMNS($AN$1006:AQ1006),$AN$1006:$BO$1006,0))&gt;=100000), " ",IF(INDEX($AN$2:$BO$1001,MATCH(ROWS($AG$2:AG420),$AG$2:$AG$1001,0),MATCH(COLUMNS($AN$1006:AQ1006),$AN$1006:$BO$1006,0)), HYPERLINK("#",""), HYPERLINK(CONCATENATE("#Metadata!", ADDRESS(INDEX($AI$2:$AI$1001,MATCH(ROWS($AG$2:AG420),$AG$2:$AG$1001,0),0), INDEX($AN$1004:$BO$1004,1,MATCH(COLUMNS($AN$1006:AQ1006),$AN$1006:$BO$1006,0)))),"Fix")))</f>
        <v>0</v>
      </c>
      <c r="F420" s="4">
        <f>IF(OR(INDEX($AH$2:$AH$1001,MATCH(ROWS($AG$2:AG420),$AG$2:$AG$1001,0),1)&gt;=100000,INDEX($AN$1005:$BO$1005,1,MATCH(COLUMNS($AN$1006:AR1006),$AN$1006:$BO$1006,0))&gt;=100000), " ",IF(INDEX($AN$2:$BO$1001,MATCH(ROWS($AG$2:AG420),$AG$2:$AG$1001,0),MATCH(COLUMNS($AN$1006:AR1006),$AN$1006:$BO$1006,0)), HYPERLINK("#",""), HYPERLINK(CONCATENATE("#Metadata!", ADDRESS(INDEX($AI$2:$AI$1001,MATCH(ROWS($AG$2:AG420),$AG$2:$AG$1001,0),0), INDEX($AN$1004:$BO$1004,1,MATCH(COLUMNS($AN$1006:AR1006),$AN$1006:$BO$1006,0)))),"Fix")))</f>
        <v>0</v>
      </c>
      <c r="G420" s="4">
        <f>IF(OR(INDEX($AH$2:$AH$1001,MATCH(ROWS($AG$2:AG420),$AG$2:$AG$1001,0),1)&gt;=100000,INDEX($AN$1005:$BO$1005,1,MATCH(COLUMNS($AN$1006:AS1006),$AN$1006:$BO$1006,0))&gt;=100000), " ",IF(INDEX($AN$2:$BO$1001,MATCH(ROWS($AG$2:AG420),$AG$2:$AG$1001,0),MATCH(COLUMNS($AN$1006:AS1006),$AN$1006:$BO$1006,0)), HYPERLINK("#",""), HYPERLINK(CONCATENATE("#Metadata!", ADDRESS(INDEX($AI$2:$AI$1001,MATCH(ROWS($AG$2:AG420),$AG$2:$AG$1001,0),0), INDEX($AN$1004:$BO$1004,1,MATCH(COLUMNS($AN$1006:AS1006),$AN$1006:$BO$1006,0)))),"Fix")))</f>
        <v>0</v>
      </c>
      <c r="H420" s="4">
        <f>IF(OR(INDEX($AH$2:$AH$1001,MATCH(ROWS($AG$2:AG420),$AG$2:$AG$1001,0),1)&gt;=100000,INDEX($AN$1005:$BO$1005,1,MATCH(COLUMNS($AN$1006:AT1006),$AN$1006:$BO$1006,0))&gt;=100000), " ",IF(INDEX($AN$2:$BO$1001,MATCH(ROWS($AG$2:AG420),$AG$2:$AG$1001,0),MATCH(COLUMNS($AN$1006:AT1006),$AN$1006:$BO$1006,0)), HYPERLINK("#",""), HYPERLINK(CONCATENATE("#Metadata!", ADDRESS(INDEX($AI$2:$AI$1001,MATCH(ROWS($AG$2:AG420),$AG$2:$AG$1001,0),0), INDEX($AN$1004:$BO$1004,1,MATCH(COLUMNS($AN$1006:AT1006),$AN$1006:$BO$1006,0)))),"Fix")))</f>
        <v>0</v>
      </c>
      <c r="I420" s="4">
        <f>IF(OR(INDEX($AH$2:$AH$1001,MATCH(ROWS($AG$2:AG420),$AG$2:$AG$1001,0),1)&gt;=100000,INDEX($AN$1005:$BO$1005,1,MATCH(COLUMNS($AN$1006:AU1006),$AN$1006:$BO$1006,0))&gt;=100000), " ",IF(INDEX($AN$2:$BO$1001,MATCH(ROWS($AG$2:AG420),$AG$2:$AG$1001,0),MATCH(COLUMNS($AN$1006:AU1006),$AN$1006:$BO$1006,0)), HYPERLINK("#",""), HYPERLINK(CONCATENATE("#Metadata!", ADDRESS(INDEX($AI$2:$AI$1001,MATCH(ROWS($AG$2:AG420),$AG$2:$AG$1001,0),0), INDEX($AN$1004:$BO$1004,1,MATCH(COLUMNS($AN$1006:AU1006),$AN$1006:$BO$1006,0)))),"Fix")))</f>
        <v>0</v>
      </c>
      <c r="J420" s="4">
        <f>IF(OR(INDEX($AH$2:$AH$1001,MATCH(ROWS($AG$2:AG420),$AG$2:$AG$1001,0),1)&gt;=100000,INDEX($AN$1005:$BO$1005,1,MATCH(COLUMNS($AN$1006:AV1006),$AN$1006:$BO$1006,0))&gt;=100000), " ",IF(INDEX($AN$2:$BO$1001,MATCH(ROWS($AG$2:AG420),$AG$2:$AG$1001,0),MATCH(COLUMNS($AN$1006:AV1006),$AN$1006:$BO$1006,0)), HYPERLINK("#",""), HYPERLINK(CONCATENATE("#Metadata!", ADDRESS(INDEX($AI$2:$AI$1001,MATCH(ROWS($AG$2:AG420),$AG$2:$AG$1001,0),0), INDEX($AN$1004:$BO$1004,1,MATCH(COLUMNS($AN$1006:AV1006),$AN$1006:$BO$1006,0)))),"Fix")))</f>
        <v>0</v>
      </c>
      <c r="K420" s="4">
        <f>IF(OR(INDEX($AH$2:$AH$1001,MATCH(ROWS($AG$2:AG420),$AG$2:$AG$1001,0),1)&gt;=100000,INDEX($AN$1005:$BO$1005,1,MATCH(COLUMNS($AN$1006:AW1006),$AN$1006:$BO$1006,0))&gt;=100000), " ",IF(INDEX($AN$2:$BO$1001,MATCH(ROWS($AG$2:AG420),$AG$2:$AG$1001,0),MATCH(COLUMNS($AN$1006:AW1006),$AN$1006:$BO$1006,0)), HYPERLINK("#",""), HYPERLINK(CONCATENATE("#Metadata!", ADDRESS(INDEX($AI$2:$AI$1001,MATCH(ROWS($AG$2:AG420),$AG$2:$AG$1001,0),0), INDEX($AN$1004:$BO$1004,1,MATCH(COLUMNS($AN$1006:AW1006),$AN$1006:$BO$1006,0)))),"Fix")))</f>
        <v>0</v>
      </c>
      <c r="L420" s="4">
        <f>IF(OR(INDEX($AH$2:$AH$1001,MATCH(ROWS($AG$2:AG420),$AG$2:$AG$1001,0),1)&gt;=100000,INDEX($AN$1005:$BO$1005,1,MATCH(COLUMNS($AN$1006:AX1006),$AN$1006:$BO$1006,0))&gt;=100000), " ",IF(INDEX($AN$2:$BO$1001,MATCH(ROWS($AG$2:AG420),$AG$2:$AG$1001,0),MATCH(COLUMNS($AN$1006:AX1006),$AN$1006:$BO$1006,0)), HYPERLINK("#",""), HYPERLINK(CONCATENATE("#Metadata!", ADDRESS(INDEX($AI$2:$AI$1001,MATCH(ROWS($AG$2:AG420),$AG$2:$AG$1001,0),0), INDEX($AN$1004:$BO$1004,1,MATCH(COLUMNS($AN$1006:AX1006),$AN$1006:$BO$1006,0)))),"Fix")))</f>
        <v>0</v>
      </c>
      <c r="M420" s="4">
        <f>IF(OR(INDEX($AH$2:$AH$1001,MATCH(ROWS($AG$2:AG420),$AG$2:$AG$1001,0),1)&gt;=100000,INDEX($AN$1005:$BO$1005,1,MATCH(COLUMNS($AN$1006:AY1006),$AN$1006:$BO$1006,0))&gt;=100000), " ",IF(INDEX($AN$2:$BO$1001,MATCH(ROWS($AG$2:AG420),$AG$2:$AG$1001,0),MATCH(COLUMNS($AN$1006:AY1006),$AN$1006:$BO$1006,0)), HYPERLINK("#",""), HYPERLINK(CONCATENATE("#Metadata!", ADDRESS(INDEX($AI$2:$AI$1001,MATCH(ROWS($AG$2:AG420),$AG$2:$AG$1001,0),0), INDEX($AN$1004:$BO$1004,1,MATCH(COLUMNS($AN$1006:AY1006),$AN$1006:$BO$1006,0)))),"Fix")))</f>
        <v>0</v>
      </c>
      <c r="N420" s="4">
        <f>IF(OR(INDEX($AH$2:$AH$1001,MATCH(ROWS($AG$2:AG420),$AG$2:$AG$1001,0),1)&gt;=100000,INDEX($AN$1005:$BO$1005,1,MATCH(COLUMNS($AN$1006:AZ1006),$AN$1006:$BO$1006,0))&gt;=100000), " ",IF(INDEX($AN$2:$BO$1001,MATCH(ROWS($AG$2:AG420),$AG$2:$AG$1001,0),MATCH(COLUMNS($AN$1006:AZ1006),$AN$1006:$BO$1006,0)), HYPERLINK("#",""), HYPERLINK(CONCATENATE("#Metadata!", ADDRESS(INDEX($AI$2:$AI$1001,MATCH(ROWS($AG$2:AG420),$AG$2:$AG$1001,0),0), INDEX($AN$1004:$BO$1004,1,MATCH(COLUMNS($AN$1006:AZ1006),$AN$1006:$BO$1006,0)))),"Fix")))</f>
        <v>0</v>
      </c>
      <c r="O420" s="4">
        <f>IF(OR(INDEX($AH$2:$AH$1001,MATCH(ROWS($AG$2:AG420),$AG$2:$AG$1001,0),1)&gt;=100000,INDEX($AN$1005:$BO$1005,1,MATCH(COLUMNS($AN$1006:BA1006),$AN$1006:$BO$1006,0))&gt;=100000), " ",IF(INDEX($AN$2:$BO$1001,MATCH(ROWS($AG$2:AG420),$AG$2:$AG$1001,0),MATCH(COLUMNS($AN$1006:BA1006),$AN$1006:$BO$1006,0)), HYPERLINK("#",""), HYPERLINK(CONCATENATE("#Metadata!", ADDRESS(INDEX($AI$2:$AI$1001,MATCH(ROWS($AG$2:AG420),$AG$2:$AG$1001,0),0), INDEX($AN$1004:$BO$1004,1,MATCH(COLUMNS($AN$1006:BA1006),$AN$1006:$BO$1006,0)))),"Fix")))</f>
        <v>0</v>
      </c>
      <c r="P420" s="4">
        <f>IF(OR(INDEX($AH$2:$AH$1001,MATCH(ROWS($AG$2:AG420),$AG$2:$AG$1001,0),1)&gt;=100000,INDEX($AN$1005:$BO$1005,1,MATCH(COLUMNS($AN$1006:BB1006),$AN$1006:$BO$1006,0))&gt;=100000), " ",IF(INDEX($AN$2:$BO$1001,MATCH(ROWS($AG$2:AG420),$AG$2:$AG$1001,0),MATCH(COLUMNS($AN$1006:BB1006),$AN$1006:$BO$1006,0)), HYPERLINK("#",""), HYPERLINK(CONCATENATE("#Metadata!", ADDRESS(INDEX($AI$2:$AI$1001,MATCH(ROWS($AG$2:AG420),$AG$2:$AG$1001,0),0), INDEX($AN$1004:$BO$1004,1,MATCH(COLUMNS($AN$1006:BB1006),$AN$1006:$BO$1006,0)))),"Fix")))</f>
        <v>0</v>
      </c>
      <c r="Q420" s="4">
        <f>IF(OR(INDEX($AH$2:$AH$1001,MATCH(ROWS($AG$2:AG420),$AG$2:$AG$1001,0),1)&gt;=100000,INDEX($AN$1005:$BO$1005,1,MATCH(COLUMNS($AN$1006:BC1006),$AN$1006:$BO$1006,0))&gt;=100000), " ",IF(INDEX($AN$2:$BO$1001,MATCH(ROWS($AG$2:AG420),$AG$2:$AG$1001,0),MATCH(COLUMNS($AN$1006:BC1006),$AN$1006:$BO$1006,0)), HYPERLINK("#",""), HYPERLINK(CONCATENATE("#Metadata!", ADDRESS(INDEX($AI$2:$AI$1001,MATCH(ROWS($AG$2:AG420),$AG$2:$AG$1001,0),0), INDEX($AN$1004:$BO$1004,1,MATCH(COLUMNS($AN$1006:BC1006),$AN$1006:$BO$1006,0)))),"Fix")))</f>
        <v>0</v>
      </c>
      <c r="R420" s="4">
        <f>IF(OR(INDEX($AH$2:$AH$1001,MATCH(ROWS($AG$2:AG420),$AG$2:$AG$1001,0),1)&gt;=100000,INDEX($AN$1005:$BO$1005,1,MATCH(COLUMNS($AN$1006:BD1006),$AN$1006:$BO$1006,0))&gt;=100000), " ",IF(INDEX($AN$2:$BO$1001,MATCH(ROWS($AG$2:AG420),$AG$2:$AG$1001,0),MATCH(COLUMNS($AN$1006:BD1006),$AN$1006:$BO$1006,0)), HYPERLINK("#",""), HYPERLINK(CONCATENATE("#Metadata!", ADDRESS(INDEX($AI$2:$AI$1001,MATCH(ROWS($AG$2:AG420),$AG$2:$AG$1001,0),0), INDEX($AN$1004:$BO$1004,1,MATCH(COLUMNS($AN$1006:BD1006),$AN$1006:$BO$1006,0)))),"Fix")))</f>
        <v>0</v>
      </c>
      <c r="S420" s="4">
        <f>IF(OR(INDEX($AH$2:$AH$1001,MATCH(ROWS($AG$2:AG420),$AG$2:$AG$1001,0),1)&gt;=100000,INDEX($AN$1005:$BO$1005,1,MATCH(COLUMNS($AN$1006:BE1006),$AN$1006:$BO$1006,0))&gt;=100000), " ",IF(INDEX($AN$2:$BO$1001,MATCH(ROWS($AG$2:AG420),$AG$2:$AG$1001,0),MATCH(COLUMNS($AN$1006:BE1006),$AN$1006:$BO$1006,0)), HYPERLINK("#",""), HYPERLINK(CONCATENATE("#Metadata!", ADDRESS(INDEX($AI$2:$AI$1001,MATCH(ROWS($AG$2:AG420),$AG$2:$AG$1001,0),0), INDEX($AN$1004:$BO$1004,1,MATCH(COLUMNS($AN$1006:BE1006),$AN$1006:$BO$1006,0)))),"Fix")))</f>
        <v>0</v>
      </c>
      <c r="T420" s="4">
        <f>IF(OR(INDEX($AH$2:$AH$1001,MATCH(ROWS($AG$2:AG420),$AG$2:$AG$1001,0),1)&gt;=100000,INDEX($AN$1005:$BO$1005,1,MATCH(COLUMNS($AN$1006:BF1006),$AN$1006:$BO$1006,0))&gt;=100000), " ",IF(INDEX($AN$2:$BO$1001,MATCH(ROWS($AG$2:AG420),$AG$2:$AG$1001,0),MATCH(COLUMNS($AN$1006:BF1006),$AN$1006:$BO$1006,0)), HYPERLINK("#",""), HYPERLINK(CONCATENATE("#Metadata!", ADDRESS(INDEX($AI$2:$AI$1001,MATCH(ROWS($AG$2:AG420),$AG$2:$AG$1001,0),0), INDEX($AN$1004:$BO$1004,1,MATCH(COLUMNS($AN$1006:BF1006),$AN$1006:$BO$1006,0)))),"Fix")))</f>
        <v>0</v>
      </c>
      <c r="U420" s="4">
        <f>IF(OR(INDEX($AH$2:$AH$1001,MATCH(ROWS($AG$2:AG420),$AG$2:$AG$1001,0),1)&gt;=100000,INDEX($AN$1005:$BO$1005,1,MATCH(COLUMNS($AN$1006:BG1006),$AN$1006:$BO$1006,0))&gt;=100000), " ",IF(INDEX($AN$2:$BO$1001,MATCH(ROWS($AG$2:AG420),$AG$2:$AG$1001,0),MATCH(COLUMNS($AN$1006:BG1006),$AN$1006:$BO$1006,0)), HYPERLINK("#",""), HYPERLINK(CONCATENATE("#Metadata!", ADDRESS(INDEX($AI$2:$AI$1001,MATCH(ROWS($AG$2:AG420),$AG$2:$AG$1001,0),0), INDEX($AN$1004:$BO$1004,1,MATCH(COLUMNS($AN$1006:BG1006),$AN$1006:$BO$1006,0)))),"Fix")))</f>
        <v>0</v>
      </c>
      <c r="V420" s="4">
        <f>IF(OR(INDEX($AH$2:$AH$1001,MATCH(ROWS($AG$2:AG420),$AG$2:$AG$1001,0),1)&gt;=100000,INDEX($AN$1005:$BO$1005,1,MATCH(COLUMNS($AN$1006:BH1006),$AN$1006:$BO$1006,0))&gt;=100000), " ",IF(INDEX($AN$2:$BO$1001,MATCH(ROWS($AG$2:AG420),$AG$2:$AG$1001,0),MATCH(COLUMNS($AN$1006:BH1006),$AN$1006:$BO$1006,0)), HYPERLINK("#",""), HYPERLINK(CONCATENATE("#Metadata!", ADDRESS(INDEX($AI$2:$AI$1001,MATCH(ROWS($AG$2:AG420),$AG$2:$AG$1001,0),0), INDEX($AN$1004:$BO$1004,1,MATCH(COLUMNS($AN$1006:BH1006),$AN$1006:$BO$1006,0)))),"Fix")))</f>
        <v>0</v>
      </c>
      <c r="W420" s="4">
        <f>IF(OR(INDEX($AH$2:$AH$1001,MATCH(ROWS($AG$2:AG420),$AG$2:$AG$1001,0),1)&gt;=100000,INDEX($AN$1005:$BO$1005,1,MATCH(COLUMNS($AN$1006:BI1006),$AN$1006:$BO$1006,0))&gt;=100000), " ",IF(INDEX($AN$2:$BO$1001,MATCH(ROWS($AG$2:AG420),$AG$2:$AG$1001,0),MATCH(COLUMNS($AN$1006:BI1006),$AN$1006:$BO$1006,0)), HYPERLINK("#",""), HYPERLINK(CONCATENATE("#Metadata!", ADDRESS(INDEX($AI$2:$AI$1001,MATCH(ROWS($AG$2:AG420),$AG$2:$AG$1001,0),0), INDEX($AN$1004:$BO$1004,1,MATCH(COLUMNS($AN$1006:BI1006),$AN$1006:$BO$1006,0)))),"Fix")))</f>
        <v>0</v>
      </c>
      <c r="X420" s="4">
        <f>IF(OR(INDEX($AH$2:$AH$1001,MATCH(ROWS($AG$2:AG420),$AG$2:$AG$1001,0),1)&gt;=100000,INDEX($AN$1005:$BO$1005,1,MATCH(COLUMNS($AN$1006:BJ1006),$AN$1006:$BO$1006,0))&gt;=100000), " ",IF(INDEX($AN$2:$BO$1001,MATCH(ROWS($AG$2:AG420),$AG$2:$AG$1001,0),MATCH(COLUMNS($AN$1006:BJ1006),$AN$1006:$BO$1006,0)), HYPERLINK("#",""), HYPERLINK(CONCATENATE("#Metadata!", ADDRESS(INDEX($AI$2:$AI$1001,MATCH(ROWS($AG$2:AG420),$AG$2:$AG$1001,0),0), INDEX($AN$1004:$BO$1004,1,MATCH(COLUMNS($AN$1006:BJ1006),$AN$1006:$BO$1006,0)))),"Fix")))</f>
        <v>0</v>
      </c>
      <c r="Y420" s="4">
        <f>IF(OR(INDEX($AH$2:$AH$1001,MATCH(ROWS($AG$2:AG420),$AG$2:$AG$1001,0),1)&gt;=100000,INDEX($AN$1005:$BO$1005,1,MATCH(COLUMNS($AN$1006:BK1006),$AN$1006:$BO$1006,0))&gt;=100000), " ",IF(INDEX($AN$2:$BO$1001,MATCH(ROWS($AG$2:AG420),$AG$2:$AG$1001,0),MATCH(COLUMNS($AN$1006:BK1006),$AN$1006:$BO$1006,0)), HYPERLINK("#",""), HYPERLINK(CONCATENATE("#Metadata!", ADDRESS(INDEX($AI$2:$AI$1001,MATCH(ROWS($AG$2:AG420),$AG$2:$AG$1001,0),0), INDEX($AN$1004:$BO$1004,1,MATCH(COLUMNS($AN$1006:BK1006),$AN$1006:$BO$1006,0)))),"Fix")))</f>
        <v>0</v>
      </c>
      <c r="Z420" s="4">
        <f>IF(OR(INDEX($AH$2:$AH$1001,MATCH(ROWS($AG$2:AG420),$AG$2:$AG$1001,0),1)&gt;=100000,INDEX($AN$1005:$BO$1005,1,MATCH(COLUMNS($AN$1006:BL1006),$AN$1006:$BO$1006,0))&gt;=100000), " ",IF(INDEX($AN$2:$BO$1001,MATCH(ROWS($AG$2:AG420),$AG$2:$AG$1001,0),MATCH(COLUMNS($AN$1006:BL1006),$AN$1006:$BO$1006,0)), HYPERLINK("#",""), HYPERLINK(CONCATENATE("#Metadata!", ADDRESS(INDEX($AI$2:$AI$1001,MATCH(ROWS($AG$2:AG420),$AG$2:$AG$1001,0),0), INDEX($AN$1004:$BO$1004,1,MATCH(COLUMNS($AN$1006:BL1006),$AN$1006:$BO$1006,0)))),"Fix")))</f>
        <v>0</v>
      </c>
      <c r="AA420" s="4">
        <f>IF(OR(INDEX($AH$2:$AH$1001,MATCH(ROWS($AG$2:AG420),$AG$2:$AG$1001,0),1)&gt;=100000,INDEX($AN$1005:$BO$1005,1,MATCH(COLUMNS($AN$1006:BM1006),$AN$1006:$BO$1006,0))&gt;=100000), " ",IF(INDEX($AN$2:$BO$1001,MATCH(ROWS($AG$2:AG420),$AG$2:$AG$1001,0),MATCH(COLUMNS($AN$1006:BM1006),$AN$1006:$BO$1006,0)), HYPERLINK("#",""), HYPERLINK(CONCATENATE("#Metadata!", ADDRESS(INDEX($AI$2:$AI$1001,MATCH(ROWS($AG$2:AG420),$AG$2:$AG$1001,0),0), INDEX($AN$1004:$BO$1004,1,MATCH(COLUMNS($AN$1006:BM1006),$AN$1006:$BO$1006,0)))),"Fix")))</f>
        <v>0</v>
      </c>
      <c r="AB420" s="4">
        <f>IF(OR(INDEX($AH$2:$AH$1001,MATCH(ROWS($AG$2:AG420),$AG$2:$AG$1001,0),1)&gt;=100000,INDEX($AN$1005:$BO$1005,1,MATCH(COLUMNS($AN$1006:BN1006),$AN$1006:$BO$1006,0))&gt;=100000), " ",IF(INDEX($AN$2:$BO$1001,MATCH(ROWS($AG$2:AG420),$AG$2:$AG$1001,0),MATCH(COLUMNS($AN$1006:BN1006),$AN$1006:$BO$1006,0)), HYPERLINK("#",""), HYPERLINK(CONCATENATE("#Metadata!", ADDRESS(INDEX($AI$2:$AI$1001,MATCH(ROWS($AG$2:AG420),$AG$2:$AG$1001,0),0), INDEX($AN$1004:$BO$1004,1,MATCH(COLUMNS($AN$1006:BN1006),$AN$1006:$BO$1006,0)))),"Fix")))</f>
        <v>0</v>
      </c>
      <c r="AC420" s="4">
        <f>IF(OR(INDEX($AH$2:$AH$1001,MATCH(ROWS($AG$2:AG420),$AG$2:$AG$1001,0),1)&gt;=100000,INDEX($AN$1005:$BO$1005,1,MATCH(COLUMNS($AN$1006:BO1006),$AN$1006:$BO$1006,0))&gt;=100000), " ",IF(INDEX($AN$2:$BO$1001,MATCH(ROWS($AG$2:AG420),$AG$2:$AG$1001,0),MATCH(COLUMNS($AN$1006:BO1006),$AN$1006:$BO$1006,0)), HYPERLINK("#",""), HYPERLINK(CONCATENATE("#Metadata!", ADDRESS(INDEX($AI$2:$AI$1001,MATCH(ROWS($AG$2:AG420),$AG$2:$AG$1001,0),0), INDEX($AN$1004:$BO$1004,1,MATCH(COLUMNS($AN$1006:BO1006),$AN$1006:$BO$1006,0)))),"Fix")))</f>
        <v>0</v>
      </c>
      <c r="AG420">
        <v>0</v>
      </c>
      <c r="AH420">
        <v>0</v>
      </c>
      <c r="AI420">
        <v>0</v>
      </c>
      <c r="AJ420">
        <f>IF(AK420,TRUE,AND(AN420:BO420))</f>
        <v>0</v>
      </c>
      <c r="AK420">
        <f>COUNTBLANK(Metadata!B420:AC420)=COLUMNS(Metadata!B420:AC420)</f>
        <v>0</v>
      </c>
      <c r="AL420">
        <v>0</v>
      </c>
      <c r="AN420">
        <f>AND(IF(Metadata!B420="",FALSE,TRUE),COUNTIF(Metadata!B:B, Metadata!B420) = 1,NOT(ISERROR(SUMPRODUCT(SEARCH(MID(Metadata!B420,ROW(INDIRECT("1:"&amp;LEN(Metadata!B420))), 1),"0123456789abcdefghijklmnopqrstuvwxyzABCDEFGHIJKLMNOPQRSTUVWXYZ.")))))</f>
        <v>0</v>
      </c>
      <c r="AO420">
        <f>IF(Metadata!C420="",FALSE,TRUE)</f>
        <v>0</v>
      </c>
      <c r="AP420">
        <f>IF(Metadata!D420="",FALSE,TRUE)</f>
        <v>0</v>
      </c>
      <c r="AQ420">
        <f>OR(AND(IF(Metadata!E420="",FALSE,TRUE),OR(exact(Metadata!E420,"not collected"),exact(Metadata!E420,"not provided"),exact(Metadata!E420,"restricted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R420">
        <f>IF(Metadata!F420="",FALSE,TRUE)</f>
        <v>0</v>
      </c>
      <c r="AS420">
        <f>OR(AND(IF(Metadata!G420="",FALSE,TRUE),OR(exact(Metadata!G420,"not collected"),exact(Metadata!G420,"not provided"))),AND(IF(Metadata!G420="",FALSE,TRUE),OR(exact(Metadata!G420,"TRUE"),exact(Metadata!G420,"FALSE"))))</f>
        <v>0</v>
      </c>
      <c r="AT420">
        <f>OR(AND(IF(Metadata!H420="",FALSE,TRUE),OR(exact(Metadata!H420,"not collected"),exact(Metadata!H420,"not provided"),exact(Metadata!H420,"restricted access"))),AND(IF(Metadata!H420="",FALSE,ISNUMBER(VALUE(Metadata!H420))),Metadata!H420&gt;=-413.0))</f>
        <v>0</v>
      </c>
      <c r="AU420">
        <f>AND(IF(Metadata!I420="",FALSE,TRUE),exact(Metadata!I420,"meters"))</f>
        <v>0</v>
      </c>
      <c r="AV420">
        <f>AND(IF(Metadata!J420="",FALSE,TRUE),OR(exact(Metadata!J420,"Host-associated"),exact(Metadata!J420,"Free-living")))</f>
        <v>0</v>
      </c>
      <c r="AW420">
        <f>AND(IF(Metadata!K420="",FALSE,TRUE),OR(exact(Metadata!K420,"Animal"),exact(Metadata!K420,"Fungus"),exact(Metadata!K420,"Plant"),exact(Metadata!K420,"Saline"),exact(Metadata!K420,"Non-saline")))</f>
        <v>0</v>
      </c>
      <c r="AX420">
        <f>AND(IF(Metadata!L420="",FALSE,TRUE),OR(exact(Metadata!L420,"Plant secretion"),exact(Metadata!L420,"Plant rhizosphere"),exact(Metadata!L420,"Plant surface"),exact(Metadata!L420,"Plant corpus"),exact(Metadata!L420,"Fungus surface"),exact(Metadata!L420,"Fungus corpus"),exact(Metadata!L420,"Animal surface"),exact(Metadata!L420,"Animal proximal gut"),exact(Metadata!L420,"Animal corpus"),exact(Metadata!L420,"Animal distal gut"),exact(Metadata!L420,"Animal secretion"),exact(Metadata!L420,"Sub-surface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Y420">
        <f>IF(Metadata!M420="",FALSE,TRUE)</f>
        <v>0</v>
      </c>
      <c r="AZ420">
        <f>IF(Metadata!N420="",FALSE,TRUE)</f>
        <v>0</v>
      </c>
      <c r="BA420">
        <f>IF(Metadata!O420="",FALSE,TRUE)</f>
        <v>0</v>
      </c>
      <c r="BB420">
        <f>OR(AND(IF(Metadata!P420="",FALSE,TRUE),OR(exact(Metadata!P420,"not collected"),exact(Metadata!P420,"not provided"),exact(Metadata!P420,"restricted access"))),AND(IF(Metadata!P420="",FALSE,TRUE),OR(exact(Metadata!P420,"air"),exact(Metadata!P420,"built environment"),exact(Metadata!P420,"host-associated"),exact(Metadata!P420,"human-associated"),exact(Metadata!P420,"human-skin"),exact(Metadata!P420,"human-oral"),exact(Metadata!P420,"human-gut"),exact(Metadata!P420,"human-vaginal"),exact(Metadata!P420,"microbial mat/biofilm"),exact(Metadata!P420,"misc environment"),exact(Metadata!P420,"plant-associated"),exact(Metadata!P420,"sediment"),exact(Metadata!P420,"soil"),exact(Metadata!P420,"wastewater/sludge"),exact(Metadata!P420,"water"))))</f>
        <v>0</v>
      </c>
      <c r="BC420">
        <f>IF(Metadata!Q420="",FALSE,TRUE)</f>
        <v>0</v>
      </c>
      <c r="BD420">
        <f>IF(Metadata!R420="",FALSE,TRUE)</f>
        <v>0</v>
      </c>
      <c r="BE420">
        <f>OR(AND(IF(Metadata!S420="",FALSE,TRUE),OR(exact(Metadata!S420,"not collected"),exact(Metadata!S420,"not provided"),exact(Metadata!S420,"restricted access"))),AND(IF(Metadata!S420="",FALSE,ISNUMBER(VALUE(Metadata!S420))),Metadata!S420&gt;=-90.00,Metadata!S420&lt;=90.00))</f>
        <v>0</v>
      </c>
      <c r="BF420">
        <f>AND(IF(Metadata!T420="",FALSE,TRUE),exact(Metadata!T420,"Decimal degrees"))</f>
        <v>0</v>
      </c>
      <c r="BG420">
        <f>OR(AND(IF(Metadata!U420="",FALSE,TRUE),OR(exact(Metadata!U420,"not collected"),exact(Metadata!U420,"not provided"),exact(Metadata!U420,"restricted access"))),AND(IF(Metadata!U420="",FALSE,ISNUMBER(VALUE(Metadata!U420))),Metadata!U420&gt;=-180.00,Metadata!U420&lt;=180.00))</f>
        <v>0</v>
      </c>
      <c r="BH420">
        <f>AND(IF(Metadata!V420="",FALSE,TRUE),exact(Metadata!V420,"Decimal degrees"))</f>
        <v>0</v>
      </c>
      <c r="BI420">
        <f>IF(Metadata!W420="",FALSE,TRUE)</f>
        <v>0</v>
      </c>
      <c r="BJ420">
        <f>OR(AND(IF(Metadata!X420="",FALSE,TRUE),OR(exact(Metadata!X420,"not collected"),exact(Metadata!X420,"not provided"),exact(Metadata!X420,"restricted access"))),AND(IF(Metadata!X420="",FALSE,TRUE),OR(exact(Metadata!X420,"TRUE"),exact(Metadata!X420,"FALSE"))))</f>
        <v>0</v>
      </c>
      <c r="BK420">
        <f>AND(IF(Metadata!Y420="",FALSE,TRUE),exact(Metadata!Y420,"other"))</f>
        <v>0</v>
      </c>
      <c r="BL420">
        <f>IF(Metadata!Z420="",FALSE,TRUE)</f>
        <v>0</v>
      </c>
      <c r="BM420">
        <f>OR(AND(IF(Metadata!AA420="",FALSE,TRUE),OR(exact(Metadata!AA420,"not collected"),exact(Metadata!AA420,"not provided"))),AND(IF(Metadata!AA420="",FALSE,IF(ISERROR(INT(Metadata!AA420)),FALSE,INT(Metadata!AA420)=Metadata!AA420)),Metadata!AA420&gt;0))</f>
        <v>0</v>
      </c>
      <c r="BN420">
        <f>AND(IF(Metadata!AB420="",FALSE,TRUE),exact(Metadata!AB420,"Not applicable"))</f>
        <v>0</v>
      </c>
      <c r="BO420">
        <f>IF(Metadata!AC420="",FALSE,TRUE)</f>
        <v>0</v>
      </c>
    </row>
    <row r="421" spans="1:67">
      <c r="A421" s="5">
        <f>IF(B421=" "," ",HYPERLINK(CONCATENATE("#metadata!",ADDRESS(INDEX($AI$2:$AI$1001,MATCH(ROWS($AG$2:AG421),$AG$2:$AG$1001,0),0),1)),INDEX($AL$2:$AL$1001,MATCH(ROWS($AG$2:AG421),$AG$2:$AG$1001,0),0)))</f>
        <v>0</v>
      </c>
      <c r="B421" s="4">
        <f>IF(OR(INDEX($AH$2:$AH$1001,MATCH(ROWS($AG$2:AG421),$AG$2:$AG$1001,0),1)&gt;=100000,INDEX($AN$1005:$BO$1005,1,MATCH(COLUMNS($AN$1006:AN1006),$AN$1006:$BO$1006,0))&gt;=100000), " ",IF(INDEX($AN$2:$BO$1001,MATCH(ROWS($AG$2:AG421),$AG$2:$AG$1001,0),MATCH(COLUMNS($AN$1006:AN1006),$AN$1006:$BO$1006,0)), HYPERLINK("#",""), HYPERLINK(CONCATENATE("#Metadata!", ADDRESS(INDEX($AI$2:$AI$1001,MATCH(ROWS($AG$2:AG421),$AG$2:$AG$1001,0),0), INDEX($AN$1004:$BO$1004,1,MATCH(COLUMNS($AN$1006:AN1006),$AN$1006:$BO$1006,0)))),"Fix")))</f>
        <v>0</v>
      </c>
      <c r="C421" s="4">
        <f>IF(OR(INDEX($AH$2:$AH$1001,MATCH(ROWS($AG$2:AG421),$AG$2:$AG$1001,0),1)&gt;=100000,INDEX($AN$1005:$BO$1005,1,MATCH(COLUMNS($AN$1006:AO1006),$AN$1006:$BO$1006,0))&gt;=100000), " ",IF(INDEX($AN$2:$BO$1001,MATCH(ROWS($AG$2:AG421),$AG$2:$AG$1001,0),MATCH(COLUMNS($AN$1006:AO1006),$AN$1006:$BO$1006,0)), HYPERLINK("#",""), HYPERLINK(CONCATENATE("#Metadata!", ADDRESS(INDEX($AI$2:$AI$1001,MATCH(ROWS($AG$2:AG421),$AG$2:$AG$1001,0),0), INDEX($AN$1004:$BO$1004,1,MATCH(COLUMNS($AN$1006:AO1006),$AN$1006:$BO$1006,0)))),"Fix")))</f>
        <v>0</v>
      </c>
      <c r="D421" s="4">
        <f>IF(OR(INDEX($AH$2:$AH$1001,MATCH(ROWS($AG$2:AG421),$AG$2:$AG$1001,0),1)&gt;=100000,INDEX($AN$1005:$BO$1005,1,MATCH(COLUMNS($AN$1006:AP1006),$AN$1006:$BO$1006,0))&gt;=100000), " ",IF(INDEX($AN$2:$BO$1001,MATCH(ROWS($AG$2:AG421),$AG$2:$AG$1001,0),MATCH(COLUMNS($AN$1006:AP1006),$AN$1006:$BO$1006,0)), HYPERLINK("#",""), HYPERLINK(CONCATENATE("#Metadata!", ADDRESS(INDEX($AI$2:$AI$1001,MATCH(ROWS($AG$2:AG421),$AG$2:$AG$1001,0),0), INDEX($AN$1004:$BO$1004,1,MATCH(COLUMNS($AN$1006:AP1006),$AN$1006:$BO$1006,0)))),"Fix")))</f>
        <v>0</v>
      </c>
      <c r="E421" s="4">
        <f>IF(OR(INDEX($AH$2:$AH$1001,MATCH(ROWS($AG$2:AG421),$AG$2:$AG$1001,0),1)&gt;=100000,INDEX($AN$1005:$BO$1005,1,MATCH(COLUMNS($AN$1006:AQ1006),$AN$1006:$BO$1006,0))&gt;=100000), " ",IF(INDEX($AN$2:$BO$1001,MATCH(ROWS($AG$2:AG421),$AG$2:$AG$1001,0),MATCH(COLUMNS($AN$1006:AQ1006),$AN$1006:$BO$1006,0)), HYPERLINK("#",""), HYPERLINK(CONCATENATE("#Metadata!", ADDRESS(INDEX($AI$2:$AI$1001,MATCH(ROWS($AG$2:AG421),$AG$2:$AG$1001,0),0), INDEX($AN$1004:$BO$1004,1,MATCH(COLUMNS($AN$1006:AQ1006),$AN$1006:$BO$1006,0)))),"Fix")))</f>
        <v>0</v>
      </c>
      <c r="F421" s="4">
        <f>IF(OR(INDEX($AH$2:$AH$1001,MATCH(ROWS($AG$2:AG421),$AG$2:$AG$1001,0),1)&gt;=100000,INDEX($AN$1005:$BO$1005,1,MATCH(COLUMNS($AN$1006:AR1006),$AN$1006:$BO$1006,0))&gt;=100000), " ",IF(INDEX($AN$2:$BO$1001,MATCH(ROWS($AG$2:AG421),$AG$2:$AG$1001,0),MATCH(COLUMNS($AN$1006:AR1006),$AN$1006:$BO$1006,0)), HYPERLINK("#",""), HYPERLINK(CONCATENATE("#Metadata!", ADDRESS(INDEX($AI$2:$AI$1001,MATCH(ROWS($AG$2:AG421),$AG$2:$AG$1001,0),0), INDEX($AN$1004:$BO$1004,1,MATCH(COLUMNS($AN$1006:AR1006),$AN$1006:$BO$1006,0)))),"Fix")))</f>
        <v>0</v>
      </c>
      <c r="G421" s="4">
        <f>IF(OR(INDEX($AH$2:$AH$1001,MATCH(ROWS($AG$2:AG421),$AG$2:$AG$1001,0),1)&gt;=100000,INDEX($AN$1005:$BO$1005,1,MATCH(COLUMNS($AN$1006:AS1006),$AN$1006:$BO$1006,0))&gt;=100000), " ",IF(INDEX($AN$2:$BO$1001,MATCH(ROWS($AG$2:AG421),$AG$2:$AG$1001,0),MATCH(COLUMNS($AN$1006:AS1006),$AN$1006:$BO$1006,0)), HYPERLINK("#",""), HYPERLINK(CONCATENATE("#Metadata!", ADDRESS(INDEX($AI$2:$AI$1001,MATCH(ROWS($AG$2:AG421),$AG$2:$AG$1001,0),0), INDEX($AN$1004:$BO$1004,1,MATCH(COLUMNS($AN$1006:AS1006),$AN$1006:$BO$1006,0)))),"Fix")))</f>
        <v>0</v>
      </c>
      <c r="H421" s="4">
        <f>IF(OR(INDEX($AH$2:$AH$1001,MATCH(ROWS($AG$2:AG421),$AG$2:$AG$1001,0),1)&gt;=100000,INDEX($AN$1005:$BO$1005,1,MATCH(COLUMNS($AN$1006:AT1006),$AN$1006:$BO$1006,0))&gt;=100000), " ",IF(INDEX($AN$2:$BO$1001,MATCH(ROWS($AG$2:AG421),$AG$2:$AG$1001,0),MATCH(COLUMNS($AN$1006:AT1006),$AN$1006:$BO$1006,0)), HYPERLINK("#",""), HYPERLINK(CONCATENATE("#Metadata!", ADDRESS(INDEX($AI$2:$AI$1001,MATCH(ROWS($AG$2:AG421),$AG$2:$AG$1001,0),0), INDEX($AN$1004:$BO$1004,1,MATCH(COLUMNS($AN$1006:AT1006),$AN$1006:$BO$1006,0)))),"Fix")))</f>
        <v>0</v>
      </c>
      <c r="I421" s="4">
        <f>IF(OR(INDEX($AH$2:$AH$1001,MATCH(ROWS($AG$2:AG421),$AG$2:$AG$1001,0),1)&gt;=100000,INDEX($AN$1005:$BO$1005,1,MATCH(COLUMNS($AN$1006:AU1006),$AN$1006:$BO$1006,0))&gt;=100000), " ",IF(INDEX($AN$2:$BO$1001,MATCH(ROWS($AG$2:AG421),$AG$2:$AG$1001,0),MATCH(COLUMNS($AN$1006:AU1006),$AN$1006:$BO$1006,0)), HYPERLINK("#",""), HYPERLINK(CONCATENATE("#Metadata!", ADDRESS(INDEX($AI$2:$AI$1001,MATCH(ROWS($AG$2:AG421),$AG$2:$AG$1001,0),0), INDEX($AN$1004:$BO$1004,1,MATCH(COLUMNS($AN$1006:AU1006),$AN$1006:$BO$1006,0)))),"Fix")))</f>
        <v>0</v>
      </c>
      <c r="J421" s="4">
        <f>IF(OR(INDEX($AH$2:$AH$1001,MATCH(ROWS($AG$2:AG421),$AG$2:$AG$1001,0),1)&gt;=100000,INDEX($AN$1005:$BO$1005,1,MATCH(COLUMNS($AN$1006:AV1006),$AN$1006:$BO$1006,0))&gt;=100000), " ",IF(INDEX($AN$2:$BO$1001,MATCH(ROWS($AG$2:AG421),$AG$2:$AG$1001,0),MATCH(COLUMNS($AN$1006:AV1006),$AN$1006:$BO$1006,0)), HYPERLINK("#",""), HYPERLINK(CONCATENATE("#Metadata!", ADDRESS(INDEX($AI$2:$AI$1001,MATCH(ROWS($AG$2:AG421),$AG$2:$AG$1001,0),0), INDEX($AN$1004:$BO$1004,1,MATCH(COLUMNS($AN$1006:AV1006),$AN$1006:$BO$1006,0)))),"Fix")))</f>
        <v>0</v>
      </c>
      <c r="K421" s="4">
        <f>IF(OR(INDEX($AH$2:$AH$1001,MATCH(ROWS($AG$2:AG421),$AG$2:$AG$1001,0),1)&gt;=100000,INDEX($AN$1005:$BO$1005,1,MATCH(COLUMNS($AN$1006:AW1006),$AN$1006:$BO$1006,0))&gt;=100000), " ",IF(INDEX($AN$2:$BO$1001,MATCH(ROWS($AG$2:AG421),$AG$2:$AG$1001,0),MATCH(COLUMNS($AN$1006:AW1006),$AN$1006:$BO$1006,0)), HYPERLINK("#",""), HYPERLINK(CONCATENATE("#Metadata!", ADDRESS(INDEX($AI$2:$AI$1001,MATCH(ROWS($AG$2:AG421),$AG$2:$AG$1001,0),0), INDEX($AN$1004:$BO$1004,1,MATCH(COLUMNS($AN$1006:AW1006),$AN$1006:$BO$1006,0)))),"Fix")))</f>
        <v>0</v>
      </c>
      <c r="L421" s="4">
        <f>IF(OR(INDEX($AH$2:$AH$1001,MATCH(ROWS($AG$2:AG421),$AG$2:$AG$1001,0),1)&gt;=100000,INDEX($AN$1005:$BO$1005,1,MATCH(COLUMNS($AN$1006:AX1006),$AN$1006:$BO$1006,0))&gt;=100000), " ",IF(INDEX($AN$2:$BO$1001,MATCH(ROWS($AG$2:AG421),$AG$2:$AG$1001,0),MATCH(COLUMNS($AN$1006:AX1006),$AN$1006:$BO$1006,0)), HYPERLINK("#",""), HYPERLINK(CONCATENATE("#Metadata!", ADDRESS(INDEX($AI$2:$AI$1001,MATCH(ROWS($AG$2:AG421),$AG$2:$AG$1001,0),0), INDEX($AN$1004:$BO$1004,1,MATCH(COLUMNS($AN$1006:AX1006),$AN$1006:$BO$1006,0)))),"Fix")))</f>
        <v>0</v>
      </c>
      <c r="M421" s="4">
        <f>IF(OR(INDEX($AH$2:$AH$1001,MATCH(ROWS($AG$2:AG421),$AG$2:$AG$1001,0),1)&gt;=100000,INDEX($AN$1005:$BO$1005,1,MATCH(COLUMNS($AN$1006:AY1006),$AN$1006:$BO$1006,0))&gt;=100000), " ",IF(INDEX($AN$2:$BO$1001,MATCH(ROWS($AG$2:AG421),$AG$2:$AG$1001,0),MATCH(COLUMNS($AN$1006:AY1006),$AN$1006:$BO$1006,0)), HYPERLINK("#",""), HYPERLINK(CONCATENATE("#Metadata!", ADDRESS(INDEX($AI$2:$AI$1001,MATCH(ROWS($AG$2:AG421),$AG$2:$AG$1001,0),0), INDEX($AN$1004:$BO$1004,1,MATCH(COLUMNS($AN$1006:AY1006),$AN$1006:$BO$1006,0)))),"Fix")))</f>
        <v>0</v>
      </c>
      <c r="N421" s="4">
        <f>IF(OR(INDEX($AH$2:$AH$1001,MATCH(ROWS($AG$2:AG421),$AG$2:$AG$1001,0),1)&gt;=100000,INDEX($AN$1005:$BO$1005,1,MATCH(COLUMNS($AN$1006:AZ1006),$AN$1006:$BO$1006,0))&gt;=100000), " ",IF(INDEX($AN$2:$BO$1001,MATCH(ROWS($AG$2:AG421),$AG$2:$AG$1001,0),MATCH(COLUMNS($AN$1006:AZ1006),$AN$1006:$BO$1006,0)), HYPERLINK("#",""), HYPERLINK(CONCATENATE("#Metadata!", ADDRESS(INDEX($AI$2:$AI$1001,MATCH(ROWS($AG$2:AG421),$AG$2:$AG$1001,0),0), INDEX($AN$1004:$BO$1004,1,MATCH(COLUMNS($AN$1006:AZ1006),$AN$1006:$BO$1006,0)))),"Fix")))</f>
        <v>0</v>
      </c>
      <c r="O421" s="4">
        <f>IF(OR(INDEX($AH$2:$AH$1001,MATCH(ROWS($AG$2:AG421),$AG$2:$AG$1001,0),1)&gt;=100000,INDEX($AN$1005:$BO$1005,1,MATCH(COLUMNS($AN$1006:BA1006),$AN$1006:$BO$1006,0))&gt;=100000), " ",IF(INDEX($AN$2:$BO$1001,MATCH(ROWS($AG$2:AG421),$AG$2:$AG$1001,0),MATCH(COLUMNS($AN$1006:BA1006),$AN$1006:$BO$1006,0)), HYPERLINK("#",""), HYPERLINK(CONCATENATE("#Metadata!", ADDRESS(INDEX($AI$2:$AI$1001,MATCH(ROWS($AG$2:AG421),$AG$2:$AG$1001,0),0), INDEX($AN$1004:$BO$1004,1,MATCH(COLUMNS($AN$1006:BA1006),$AN$1006:$BO$1006,0)))),"Fix")))</f>
        <v>0</v>
      </c>
      <c r="P421" s="4">
        <f>IF(OR(INDEX($AH$2:$AH$1001,MATCH(ROWS($AG$2:AG421),$AG$2:$AG$1001,0),1)&gt;=100000,INDEX($AN$1005:$BO$1005,1,MATCH(COLUMNS($AN$1006:BB1006),$AN$1006:$BO$1006,0))&gt;=100000), " ",IF(INDEX($AN$2:$BO$1001,MATCH(ROWS($AG$2:AG421),$AG$2:$AG$1001,0),MATCH(COLUMNS($AN$1006:BB1006),$AN$1006:$BO$1006,0)), HYPERLINK("#",""), HYPERLINK(CONCATENATE("#Metadata!", ADDRESS(INDEX($AI$2:$AI$1001,MATCH(ROWS($AG$2:AG421),$AG$2:$AG$1001,0),0), INDEX($AN$1004:$BO$1004,1,MATCH(COLUMNS($AN$1006:BB1006),$AN$1006:$BO$1006,0)))),"Fix")))</f>
        <v>0</v>
      </c>
      <c r="Q421" s="4">
        <f>IF(OR(INDEX($AH$2:$AH$1001,MATCH(ROWS($AG$2:AG421),$AG$2:$AG$1001,0),1)&gt;=100000,INDEX($AN$1005:$BO$1005,1,MATCH(COLUMNS($AN$1006:BC1006),$AN$1006:$BO$1006,0))&gt;=100000), " ",IF(INDEX($AN$2:$BO$1001,MATCH(ROWS($AG$2:AG421),$AG$2:$AG$1001,0),MATCH(COLUMNS($AN$1006:BC1006),$AN$1006:$BO$1006,0)), HYPERLINK("#",""), HYPERLINK(CONCATENATE("#Metadata!", ADDRESS(INDEX($AI$2:$AI$1001,MATCH(ROWS($AG$2:AG421),$AG$2:$AG$1001,0),0), INDEX($AN$1004:$BO$1004,1,MATCH(COLUMNS($AN$1006:BC1006),$AN$1006:$BO$1006,0)))),"Fix")))</f>
        <v>0</v>
      </c>
      <c r="R421" s="4">
        <f>IF(OR(INDEX($AH$2:$AH$1001,MATCH(ROWS($AG$2:AG421),$AG$2:$AG$1001,0),1)&gt;=100000,INDEX($AN$1005:$BO$1005,1,MATCH(COLUMNS($AN$1006:BD1006),$AN$1006:$BO$1006,0))&gt;=100000), " ",IF(INDEX($AN$2:$BO$1001,MATCH(ROWS($AG$2:AG421),$AG$2:$AG$1001,0),MATCH(COLUMNS($AN$1006:BD1006),$AN$1006:$BO$1006,0)), HYPERLINK("#",""), HYPERLINK(CONCATENATE("#Metadata!", ADDRESS(INDEX($AI$2:$AI$1001,MATCH(ROWS($AG$2:AG421),$AG$2:$AG$1001,0),0), INDEX($AN$1004:$BO$1004,1,MATCH(COLUMNS($AN$1006:BD1006),$AN$1006:$BO$1006,0)))),"Fix")))</f>
        <v>0</v>
      </c>
      <c r="S421" s="4">
        <f>IF(OR(INDEX($AH$2:$AH$1001,MATCH(ROWS($AG$2:AG421),$AG$2:$AG$1001,0),1)&gt;=100000,INDEX($AN$1005:$BO$1005,1,MATCH(COLUMNS($AN$1006:BE1006),$AN$1006:$BO$1006,0))&gt;=100000), " ",IF(INDEX($AN$2:$BO$1001,MATCH(ROWS($AG$2:AG421),$AG$2:$AG$1001,0),MATCH(COLUMNS($AN$1006:BE1006),$AN$1006:$BO$1006,0)), HYPERLINK("#",""), HYPERLINK(CONCATENATE("#Metadata!", ADDRESS(INDEX($AI$2:$AI$1001,MATCH(ROWS($AG$2:AG421),$AG$2:$AG$1001,0),0), INDEX($AN$1004:$BO$1004,1,MATCH(COLUMNS($AN$1006:BE1006),$AN$1006:$BO$1006,0)))),"Fix")))</f>
        <v>0</v>
      </c>
      <c r="T421" s="4">
        <f>IF(OR(INDEX($AH$2:$AH$1001,MATCH(ROWS($AG$2:AG421),$AG$2:$AG$1001,0),1)&gt;=100000,INDEX($AN$1005:$BO$1005,1,MATCH(COLUMNS($AN$1006:BF1006),$AN$1006:$BO$1006,0))&gt;=100000), " ",IF(INDEX($AN$2:$BO$1001,MATCH(ROWS($AG$2:AG421),$AG$2:$AG$1001,0),MATCH(COLUMNS($AN$1006:BF1006),$AN$1006:$BO$1006,0)), HYPERLINK("#",""), HYPERLINK(CONCATENATE("#Metadata!", ADDRESS(INDEX($AI$2:$AI$1001,MATCH(ROWS($AG$2:AG421),$AG$2:$AG$1001,0),0), INDEX($AN$1004:$BO$1004,1,MATCH(COLUMNS($AN$1006:BF1006),$AN$1006:$BO$1006,0)))),"Fix")))</f>
        <v>0</v>
      </c>
      <c r="U421" s="4">
        <f>IF(OR(INDEX($AH$2:$AH$1001,MATCH(ROWS($AG$2:AG421),$AG$2:$AG$1001,0),1)&gt;=100000,INDEX($AN$1005:$BO$1005,1,MATCH(COLUMNS($AN$1006:BG1006),$AN$1006:$BO$1006,0))&gt;=100000), " ",IF(INDEX($AN$2:$BO$1001,MATCH(ROWS($AG$2:AG421),$AG$2:$AG$1001,0),MATCH(COLUMNS($AN$1006:BG1006),$AN$1006:$BO$1006,0)), HYPERLINK("#",""), HYPERLINK(CONCATENATE("#Metadata!", ADDRESS(INDEX($AI$2:$AI$1001,MATCH(ROWS($AG$2:AG421),$AG$2:$AG$1001,0),0), INDEX($AN$1004:$BO$1004,1,MATCH(COLUMNS($AN$1006:BG1006),$AN$1006:$BO$1006,0)))),"Fix")))</f>
        <v>0</v>
      </c>
      <c r="V421" s="4">
        <f>IF(OR(INDEX($AH$2:$AH$1001,MATCH(ROWS($AG$2:AG421),$AG$2:$AG$1001,0),1)&gt;=100000,INDEX($AN$1005:$BO$1005,1,MATCH(COLUMNS($AN$1006:BH1006),$AN$1006:$BO$1006,0))&gt;=100000), " ",IF(INDEX($AN$2:$BO$1001,MATCH(ROWS($AG$2:AG421),$AG$2:$AG$1001,0),MATCH(COLUMNS($AN$1006:BH1006),$AN$1006:$BO$1006,0)), HYPERLINK("#",""), HYPERLINK(CONCATENATE("#Metadata!", ADDRESS(INDEX($AI$2:$AI$1001,MATCH(ROWS($AG$2:AG421),$AG$2:$AG$1001,0),0), INDEX($AN$1004:$BO$1004,1,MATCH(COLUMNS($AN$1006:BH1006),$AN$1006:$BO$1006,0)))),"Fix")))</f>
        <v>0</v>
      </c>
      <c r="W421" s="4">
        <f>IF(OR(INDEX($AH$2:$AH$1001,MATCH(ROWS($AG$2:AG421),$AG$2:$AG$1001,0),1)&gt;=100000,INDEX($AN$1005:$BO$1005,1,MATCH(COLUMNS($AN$1006:BI1006),$AN$1006:$BO$1006,0))&gt;=100000), " ",IF(INDEX($AN$2:$BO$1001,MATCH(ROWS($AG$2:AG421),$AG$2:$AG$1001,0),MATCH(COLUMNS($AN$1006:BI1006),$AN$1006:$BO$1006,0)), HYPERLINK("#",""), HYPERLINK(CONCATENATE("#Metadata!", ADDRESS(INDEX($AI$2:$AI$1001,MATCH(ROWS($AG$2:AG421),$AG$2:$AG$1001,0),0), INDEX($AN$1004:$BO$1004,1,MATCH(COLUMNS($AN$1006:BI1006),$AN$1006:$BO$1006,0)))),"Fix")))</f>
        <v>0</v>
      </c>
      <c r="X421" s="4">
        <f>IF(OR(INDEX($AH$2:$AH$1001,MATCH(ROWS($AG$2:AG421),$AG$2:$AG$1001,0),1)&gt;=100000,INDEX($AN$1005:$BO$1005,1,MATCH(COLUMNS($AN$1006:BJ1006),$AN$1006:$BO$1006,0))&gt;=100000), " ",IF(INDEX($AN$2:$BO$1001,MATCH(ROWS($AG$2:AG421),$AG$2:$AG$1001,0),MATCH(COLUMNS($AN$1006:BJ1006),$AN$1006:$BO$1006,0)), HYPERLINK("#",""), HYPERLINK(CONCATENATE("#Metadata!", ADDRESS(INDEX($AI$2:$AI$1001,MATCH(ROWS($AG$2:AG421),$AG$2:$AG$1001,0),0), INDEX($AN$1004:$BO$1004,1,MATCH(COLUMNS($AN$1006:BJ1006),$AN$1006:$BO$1006,0)))),"Fix")))</f>
        <v>0</v>
      </c>
      <c r="Y421" s="4">
        <f>IF(OR(INDEX($AH$2:$AH$1001,MATCH(ROWS($AG$2:AG421),$AG$2:$AG$1001,0),1)&gt;=100000,INDEX($AN$1005:$BO$1005,1,MATCH(COLUMNS($AN$1006:BK1006),$AN$1006:$BO$1006,0))&gt;=100000), " ",IF(INDEX($AN$2:$BO$1001,MATCH(ROWS($AG$2:AG421),$AG$2:$AG$1001,0),MATCH(COLUMNS($AN$1006:BK1006),$AN$1006:$BO$1006,0)), HYPERLINK("#",""), HYPERLINK(CONCATENATE("#Metadata!", ADDRESS(INDEX($AI$2:$AI$1001,MATCH(ROWS($AG$2:AG421),$AG$2:$AG$1001,0),0), INDEX($AN$1004:$BO$1004,1,MATCH(COLUMNS($AN$1006:BK1006),$AN$1006:$BO$1006,0)))),"Fix")))</f>
        <v>0</v>
      </c>
      <c r="Z421" s="4">
        <f>IF(OR(INDEX($AH$2:$AH$1001,MATCH(ROWS($AG$2:AG421),$AG$2:$AG$1001,0),1)&gt;=100000,INDEX($AN$1005:$BO$1005,1,MATCH(COLUMNS($AN$1006:BL1006),$AN$1006:$BO$1006,0))&gt;=100000), " ",IF(INDEX($AN$2:$BO$1001,MATCH(ROWS($AG$2:AG421),$AG$2:$AG$1001,0),MATCH(COLUMNS($AN$1006:BL1006),$AN$1006:$BO$1006,0)), HYPERLINK("#",""), HYPERLINK(CONCATENATE("#Metadata!", ADDRESS(INDEX($AI$2:$AI$1001,MATCH(ROWS($AG$2:AG421),$AG$2:$AG$1001,0),0), INDEX($AN$1004:$BO$1004,1,MATCH(COLUMNS($AN$1006:BL1006),$AN$1006:$BO$1006,0)))),"Fix")))</f>
        <v>0</v>
      </c>
      <c r="AA421" s="4">
        <f>IF(OR(INDEX($AH$2:$AH$1001,MATCH(ROWS($AG$2:AG421),$AG$2:$AG$1001,0),1)&gt;=100000,INDEX($AN$1005:$BO$1005,1,MATCH(COLUMNS($AN$1006:BM1006),$AN$1006:$BO$1006,0))&gt;=100000), " ",IF(INDEX($AN$2:$BO$1001,MATCH(ROWS($AG$2:AG421),$AG$2:$AG$1001,0),MATCH(COLUMNS($AN$1006:BM1006),$AN$1006:$BO$1006,0)), HYPERLINK("#",""), HYPERLINK(CONCATENATE("#Metadata!", ADDRESS(INDEX($AI$2:$AI$1001,MATCH(ROWS($AG$2:AG421),$AG$2:$AG$1001,0),0), INDEX($AN$1004:$BO$1004,1,MATCH(COLUMNS($AN$1006:BM1006),$AN$1006:$BO$1006,0)))),"Fix")))</f>
        <v>0</v>
      </c>
      <c r="AB421" s="4">
        <f>IF(OR(INDEX($AH$2:$AH$1001,MATCH(ROWS($AG$2:AG421),$AG$2:$AG$1001,0),1)&gt;=100000,INDEX($AN$1005:$BO$1005,1,MATCH(COLUMNS($AN$1006:BN1006),$AN$1006:$BO$1006,0))&gt;=100000), " ",IF(INDEX($AN$2:$BO$1001,MATCH(ROWS($AG$2:AG421),$AG$2:$AG$1001,0),MATCH(COLUMNS($AN$1006:BN1006),$AN$1006:$BO$1006,0)), HYPERLINK("#",""), HYPERLINK(CONCATENATE("#Metadata!", ADDRESS(INDEX($AI$2:$AI$1001,MATCH(ROWS($AG$2:AG421),$AG$2:$AG$1001,0),0), INDEX($AN$1004:$BO$1004,1,MATCH(COLUMNS($AN$1006:BN1006),$AN$1006:$BO$1006,0)))),"Fix")))</f>
        <v>0</v>
      </c>
      <c r="AC421" s="4">
        <f>IF(OR(INDEX($AH$2:$AH$1001,MATCH(ROWS($AG$2:AG421),$AG$2:$AG$1001,0),1)&gt;=100000,INDEX($AN$1005:$BO$1005,1,MATCH(COLUMNS($AN$1006:BO1006),$AN$1006:$BO$1006,0))&gt;=100000), " ",IF(INDEX($AN$2:$BO$1001,MATCH(ROWS($AG$2:AG421),$AG$2:$AG$1001,0),MATCH(COLUMNS($AN$1006:BO1006),$AN$1006:$BO$1006,0)), HYPERLINK("#",""), HYPERLINK(CONCATENATE("#Metadata!", ADDRESS(INDEX($AI$2:$AI$1001,MATCH(ROWS($AG$2:AG421),$AG$2:$AG$1001,0),0), INDEX($AN$1004:$BO$1004,1,MATCH(COLUMNS($AN$1006:BO1006),$AN$1006:$BO$1006,0)))),"Fix")))</f>
        <v>0</v>
      </c>
      <c r="AG421">
        <v>0</v>
      </c>
      <c r="AH421">
        <v>0</v>
      </c>
      <c r="AI421">
        <v>0</v>
      </c>
      <c r="AJ421">
        <f>IF(AK421,TRUE,AND(AN421:BO421))</f>
        <v>0</v>
      </c>
      <c r="AK421">
        <f>COUNTBLANK(Metadata!B421:AC421)=COLUMNS(Metadata!B421:AC421)</f>
        <v>0</v>
      </c>
      <c r="AL421">
        <v>0</v>
      </c>
      <c r="AN421">
        <f>AND(IF(Metadata!B421="",FALSE,TRUE),COUNTIF(Metadata!B:B, Metadata!B421) = 1,NOT(ISERROR(SUMPRODUCT(SEARCH(MID(Metadata!B421,ROW(INDIRECT("1:"&amp;LEN(Metadata!B421))), 1),"0123456789abcdefghijklmnopqrstuvwxyzABCDEFGHIJKLMNOPQRSTUVWXYZ.")))))</f>
        <v>0</v>
      </c>
      <c r="AO421">
        <f>IF(Metadata!C421="",FALSE,TRUE)</f>
        <v>0</v>
      </c>
      <c r="AP421">
        <f>IF(Metadata!D421="",FALSE,TRUE)</f>
        <v>0</v>
      </c>
      <c r="AQ421">
        <f>OR(AND(IF(Metadata!E421="",FALSE,TRUE),OR(exact(Metadata!E421,"not collected"),exact(Metadata!E421,"not provided"),exact(Metadata!E421,"restricted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R421">
        <f>IF(Metadata!F421="",FALSE,TRUE)</f>
        <v>0</v>
      </c>
      <c r="AS421">
        <f>OR(AND(IF(Metadata!G421="",FALSE,TRUE),OR(exact(Metadata!G421,"not collected"),exact(Metadata!G421,"not provided"))),AND(IF(Metadata!G421="",FALSE,TRUE),OR(exact(Metadata!G421,"TRUE"),exact(Metadata!G421,"FALSE"))))</f>
        <v>0</v>
      </c>
      <c r="AT421">
        <f>OR(AND(IF(Metadata!H421="",FALSE,TRUE),OR(exact(Metadata!H421,"not collected"),exact(Metadata!H421,"not provided"),exact(Metadata!H421,"restricted access"))),AND(IF(Metadata!H421="",FALSE,ISNUMBER(VALUE(Metadata!H421))),Metadata!H421&gt;=-413.0))</f>
        <v>0</v>
      </c>
      <c r="AU421">
        <f>AND(IF(Metadata!I421="",FALSE,TRUE),exact(Metadata!I421,"meters"))</f>
        <v>0</v>
      </c>
      <c r="AV421">
        <f>AND(IF(Metadata!J421="",FALSE,TRUE),OR(exact(Metadata!J421,"Host-associated"),exact(Metadata!J421,"Free-living")))</f>
        <v>0</v>
      </c>
      <c r="AW421">
        <f>AND(IF(Metadata!K421="",FALSE,TRUE),OR(exact(Metadata!K421,"Animal"),exact(Metadata!K421,"Fungus"),exact(Metadata!K421,"Plant"),exact(Metadata!K421,"Saline"),exact(Metadata!K421,"Non-saline")))</f>
        <v>0</v>
      </c>
      <c r="AX421">
        <f>AND(IF(Metadata!L421="",FALSE,TRUE),OR(exact(Metadata!L421,"Plant secretion"),exact(Metadata!L421,"Plant rhizosphere"),exact(Metadata!L421,"Plant surface"),exact(Metadata!L421,"Plant corpus"),exact(Metadata!L421,"Fungus surface"),exact(Metadata!L421,"Fungus corpus"),exact(Metadata!L421,"Animal surface"),exact(Metadata!L421,"Animal proximal gut"),exact(Metadata!L421,"Animal corpus"),exact(Metadata!L421,"Animal distal gut"),exact(Metadata!L421,"Animal secretion"),exact(Metadata!L421,"Sub-surface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Y421">
        <f>IF(Metadata!M421="",FALSE,TRUE)</f>
        <v>0</v>
      </c>
      <c r="AZ421">
        <f>IF(Metadata!N421="",FALSE,TRUE)</f>
        <v>0</v>
      </c>
      <c r="BA421">
        <f>IF(Metadata!O421="",FALSE,TRUE)</f>
        <v>0</v>
      </c>
      <c r="BB421">
        <f>OR(AND(IF(Metadata!P421="",FALSE,TRUE),OR(exact(Metadata!P421,"not collected"),exact(Metadata!P421,"not provided"),exact(Metadata!P421,"restricted access"))),AND(IF(Metadata!P421="",FALSE,TRUE),OR(exact(Metadata!P421,"air"),exact(Metadata!P421,"built environment"),exact(Metadata!P421,"host-associated"),exact(Metadata!P421,"human-associated"),exact(Metadata!P421,"human-skin"),exact(Metadata!P421,"human-oral"),exact(Metadata!P421,"human-gut"),exact(Metadata!P421,"human-vaginal"),exact(Metadata!P421,"microbial mat/biofilm"),exact(Metadata!P421,"misc environment"),exact(Metadata!P421,"plant-associated"),exact(Metadata!P421,"sediment"),exact(Metadata!P421,"soil"),exact(Metadata!P421,"wastewater/sludge"),exact(Metadata!P421,"water"))))</f>
        <v>0</v>
      </c>
      <c r="BC421">
        <f>IF(Metadata!Q421="",FALSE,TRUE)</f>
        <v>0</v>
      </c>
      <c r="BD421">
        <f>IF(Metadata!R421="",FALSE,TRUE)</f>
        <v>0</v>
      </c>
      <c r="BE421">
        <f>OR(AND(IF(Metadata!S421="",FALSE,TRUE),OR(exact(Metadata!S421,"not collected"),exact(Metadata!S421,"not provided"),exact(Metadata!S421,"restricted access"))),AND(IF(Metadata!S421="",FALSE,ISNUMBER(VALUE(Metadata!S421))),Metadata!S421&gt;=-90.00,Metadata!S421&lt;=90.00))</f>
        <v>0</v>
      </c>
      <c r="BF421">
        <f>AND(IF(Metadata!T421="",FALSE,TRUE),exact(Metadata!T421,"Decimal degrees"))</f>
        <v>0</v>
      </c>
      <c r="BG421">
        <f>OR(AND(IF(Metadata!U421="",FALSE,TRUE),OR(exact(Metadata!U421,"not collected"),exact(Metadata!U421,"not provided"),exact(Metadata!U421,"restricted access"))),AND(IF(Metadata!U421="",FALSE,ISNUMBER(VALUE(Metadata!U421))),Metadata!U421&gt;=-180.00,Metadata!U421&lt;=180.00))</f>
        <v>0</v>
      </c>
      <c r="BH421">
        <f>AND(IF(Metadata!V421="",FALSE,TRUE),exact(Metadata!V421,"Decimal degrees"))</f>
        <v>0</v>
      </c>
      <c r="BI421">
        <f>IF(Metadata!W421="",FALSE,TRUE)</f>
        <v>0</v>
      </c>
      <c r="BJ421">
        <f>OR(AND(IF(Metadata!X421="",FALSE,TRUE),OR(exact(Metadata!X421,"not collected"),exact(Metadata!X421,"not provided"),exact(Metadata!X421,"restricted access"))),AND(IF(Metadata!X421="",FALSE,TRUE),OR(exact(Metadata!X421,"TRUE"),exact(Metadata!X421,"FALSE"))))</f>
        <v>0</v>
      </c>
      <c r="BK421">
        <f>AND(IF(Metadata!Y421="",FALSE,TRUE),exact(Metadata!Y421,"other"))</f>
        <v>0</v>
      </c>
      <c r="BL421">
        <f>IF(Metadata!Z421="",FALSE,TRUE)</f>
        <v>0</v>
      </c>
      <c r="BM421">
        <f>OR(AND(IF(Metadata!AA421="",FALSE,TRUE),OR(exact(Metadata!AA421,"not collected"),exact(Metadata!AA421,"not provided"))),AND(IF(Metadata!AA421="",FALSE,IF(ISERROR(INT(Metadata!AA421)),FALSE,INT(Metadata!AA421)=Metadata!AA421)),Metadata!AA421&gt;0))</f>
        <v>0</v>
      </c>
      <c r="BN421">
        <f>AND(IF(Metadata!AB421="",FALSE,TRUE),exact(Metadata!AB421,"Not applicable"))</f>
        <v>0</v>
      </c>
      <c r="BO421">
        <f>IF(Metadata!AC421="",FALSE,TRUE)</f>
        <v>0</v>
      </c>
    </row>
    <row r="422" spans="1:67">
      <c r="A422" s="5">
        <f>IF(B422=" "," ",HYPERLINK(CONCATENATE("#metadata!",ADDRESS(INDEX($AI$2:$AI$1001,MATCH(ROWS($AG$2:AG422),$AG$2:$AG$1001,0),0),1)),INDEX($AL$2:$AL$1001,MATCH(ROWS($AG$2:AG422),$AG$2:$AG$1001,0),0)))</f>
        <v>0</v>
      </c>
      <c r="B422" s="4">
        <f>IF(OR(INDEX($AH$2:$AH$1001,MATCH(ROWS($AG$2:AG422),$AG$2:$AG$1001,0),1)&gt;=100000,INDEX($AN$1005:$BO$1005,1,MATCH(COLUMNS($AN$1006:AN1006),$AN$1006:$BO$1006,0))&gt;=100000), " ",IF(INDEX($AN$2:$BO$1001,MATCH(ROWS($AG$2:AG422),$AG$2:$AG$1001,0),MATCH(COLUMNS($AN$1006:AN1006),$AN$1006:$BO$1006,0)), HYPERLINK("#",""), HYPERLINK(CONCATENATE("#Metadata!", ADDRESS(INDEX($AI$2:$AI$1001,MATCH(ROWS($AG$2:AG422),$AG$2:$AG$1001,0),0), INDEX($AN$1004:$BO$1004,1,MATCH(COLUMNS($AN$1006:AN1006),$AN$1006:$BO$1006,0)))),"Fix")))</f>
        <v>0</v>
      </c>
      <c r="C422" s="4">
        <f>IF(OR(INDEX($AH$2:$AH$1001,MATCH(ROWS($AG$2:AG422),$AG$2:$AG$1001,0),1)&gt;=100000,INDEX($AN$1005:$BO$1005,1,MATCH(COLUMNS($AN$1006:AO1006),$AN$1006:$BO$1006,0))&gt;=100000), " ",IF(INDEX($AN$2:$BO$1001,MATCH(ROWS($AG$2:AG422),$AG$2:$AG$1001,0),MATCH(COLUMNS($AN$1006:AO1006),$AN$1006:$BO$1006,0)), HYPERLINK("#",""), HYPERLINK(CONCATENATE("#Metadata!", ADDRESS(INDEX($AI$2:$AI$1001,MATCH(ROWS($AG$2:AG422),$AG$2:$AG$1001,0),0), INDEX($AN$1004:$BO$1004,1,MATCH(COLUMNS($AN$1006:AO1006),$AN$1006:$BO$1006,0)))),"Fix")))</f>
        <v>0</v>
      </c>
      <c r="D422" s="4">
        <f>IF(OR(INDEX($AH$2:$AH$1001,MATCH(ROWS($AG$2:AG422),$AG$2:$AG$1001,0),1)&gt;=100000,INDEX($AN$1005:$BO$1005,1,MATCH(COLUMNS($AN$1006:AP1006),$AN$1006:$BO$1006,0))&gt;=100000), " ",IF(INDEX($AN$2:$BO$1001,MATCH(ROWS($AG$2:AG422),$AG$2:$AG$1001,0),MATCH(COLUMNS($AN$1006:AP1006),$AN$1006:$BO$1006,0)), HYPERLINK("#",""), HYPERLINK(CONCATENATE("#Metadata!", ADDRESS(INDEX($AI$2:$AI$1001,MATCH(ROWS($AG$2:AG422),$AG$2:$AG$1001,0),0), INDEX($AN$1004:$BO$1004,1,MATCH(COLUMNS($AN$1006:AP1006),$AN$1006:$BO$1006,0)))),"Fix")))</f>
        <v>0</v>
      </c>
      <c r="E422" s="4">
        <f>IF(OR(INDEX($AH$2:$AH$1001,MATCH(ROWS($AG$2:AG422),$AG$2:$AG$1001,0),1)&gt;=100000,INDEX($AN$1005:$BO$1005,1,MATCH(COLUMNS($AN$1006:AQ1006),$AN$1006:$BO$1006,0))&gt;=100000), " ",IF(INDEX($AN$2:$BO$1001,MATCH(ROWS($AG$2:AG422),$AG$2:$AG$1001,0),MATCH(COLUMNS($AN$1006:AQ1006),$AN$1006:$BO$1006,0)), HYPERLINK("#",""), HYPERLINK(CONCATENATE("#Metadata!", ADDRESS(INDEX($AI$2:$AI$1001,MATCH(ROWS($AG$2:AG422),$AG$2:$AG$1001,0),0), INDEX($AN$1004:$BO$1004,1,MATCH(COLUMNS($AN$1006:AQ1006),$AN$1006:$BO$1006,0)))),"Fix")))</f>
        <v>0</v>
      </c>
      <c r="F422" s="4">
        <f>IF(OR(INDEX($AH$2:$AH$1001,MATCH(ROWS($AG$2:AG422),$AG$2:$AG$1001,0),1)&gt;=100000,INDEX($AN$1005:$BO$1005,1,MATCH(COLUMNS($AN$1006:AR1006),$AN$1006:$BO$1006,0))&gt;=100000), " ",IF(INDEX($AN$2:$BO$1001,MATCH(ROWS($AG$2:AG422),$AG$2:$AG$1001,0),MATCH(COLUMNS($AN$1006:AR1006),$AN$1006:$BO$1006,0)), HYPERLINK("#",""), HYPERLINK(CONCATENATE("#Metadata!", ADDRESS(INDEX($AI$2:$AI$1001,MATCH(ROWS($AG$2:AG422),$AG$2:$AG$1001,0),0), INDEX($AN$1004:$BO$1004,1,MATCH(COLUMNS($AN$1006:AR1006),$AN$1006:$BO$1006,0)))),"Fix")))</f>
        <v>0</v>
      </c>
      <c r="G422" s="4">
        <f>IF(OR(INDEX($AH$2:$AH$1001,MATCH(ROWS($AG$2:AG422),$AG$2:$AG$1001,0),1)&gt;=100000,INDEX($AN$1005:$BO$1005,1,MATCH(COLUMNS($AN$1006:AS1006),$AN$1006:$BO$1006,0))&gt;=100000), " ",IF(INDEX($AN$2:$BO$1001,MATCH(ROWS($AG$2:AG422),$AG$2:$AG$1001,0),MATCH(COLUMNS($AN$1006:AS1006),$AN$1006:$BO$1006,0)), HYPERLINK("#",""), HYPERLINK(CONCATENATE("#Metadata!", ADDRESS(INDEX($AI$2:$AI$1001,MATCH(ROWS($AG$2:AG422),$AG$2:$AG$1001,0),0), INDEX($AN$1004:$BO$1004,1,MATCH(COLUMNS($AN$1006:AS1006),$AN$1006:$BO$1006,0)))),"Fix")))</f>
        <v>0</v>
      </c>
      <c r="H422" s="4">
        <f>IF(OR(INDEX($AH$2:$AH$1001,MATCH(ROWS($AG$2:AG422),$AG$2:$AG$1001,0),1)&gt;=100000,INDEX($AN$1005:$BO$1005,1,MATCH(COLUMNS($AN$1006:AT1006),$AN$1006:$BO$1006,0))&gt;=100000), " ",IF(INDEX($AN$2:$BO$1001,MATCH(ROWS($AG$2:AG422),$AG$2:$AG$1001,0),MATCH(COLUMNS($AN$1006:AT1006),$AN$1006:$BO$1006,0)), HYPERLINK("#",""), HYPERLINK(CONCATENATE("#Metadata!", ADDRESS(INDEX($AI$2:$AI$1001,MATCH(ROWS($AG$2:AG422),$AG$2:$AG$1001,0),0), INDEX($AN$1004:$BO$1004,1,MATCH(COLUMNS($AN$1006:AT1006),$AN$1006:$BO$1006,0)))),"Fix")))</f>
        <v>0</v>
      </c>
      <c r="I422" s="4">
        <f>IF(OR(INDEX($AH$2:$AH$1001,MATCH(ROWS($AG$2:AG422),$AG$2:$AG$1001,0),1)&gt;=100000,INDEX($AN$1005:$BO$1005,1,MATCH(COLUMNS($AN$1006:AU1006),$AN$1006:$BO$1006,0))&gt;=100000), " ",IF(INDEX($AN$2:$BO$1001,MATCH(ROWS($AG$2:AG422),$AG$2:$AG$1001,0),MATCH(COLUMNS($AN$1006:AU1006),$AN$1006:$BO$1006,0)), HYPERLINK("#",""), HYPERLINK(CONCATENATE("#Metadata!", ADDRESS(INDEX($AI$2:$AI$1001,MATCH(ROWS($AG$2:AG422),$AG$2:$AG$1001,0),0), INDEX($AN$1004:$BO$1004,1,MATCH(COLUMNS($AN$1006:AU1006),$AN$1006:$BO$1006,0)))),"Fix")))</f>
        <v>0</v>
      </c>
      <c r="J422" s="4">
        <f>IF(OR(INDEX($AH$2:$AH$1001,MATCH(ROWS($AG$2:AG422),$AG$2:$AG$1001,0),1)&gt;=100000,INDEX($AN$1005:$BO$1005,1,MATCH(COLUMNS($AN$1006:AV1006),$AN$1006:$BO$1006,0))&gt;=100000), " ",IF(INDEX($AN$2:$BO$1001,MATCH(ROWS($AG$2:AG422),$AG$2:$AG$1001,0),MATCH(COLUMNS($AN$1006:AV1006),$AN$1006:$BO$1006,0)), HYPERLINK("#",""), HYPERLINK(CONCATENATE("#Metadata!", ADDRESS(INDEX($AI$2:$AI$1001,MATCH(ROWS($AG$2:AG422),$AG$2:$AG$1001,0),0), INDEX($AN$1004:$BO$1004,1,MATCH(COLUMNS($AN$1006:AV1006),$AN$1006:$BO$1006,0)))),"Fix")))</f>
        <v>0</v>
      </c>
      <c r="K422" s="4">
        <f>IF(OR(INDEX($AH$2:$AH$1001,MATCH(ROWS($AG$2:AG422),$AG$2:$AG$1001,0),1)&gt;=100000,INDEX($AN$1005:$BO$1005,1,MATCH(COLUMNS($AN$1006:AW1006),$AN$1006:$BO$1006,0))&gt;=100000), " ",IF(INDEX($AN$2:$BO$1001,MATCH(ROWS($AG$2:AG422),$AG$2:$AG$1001,0),MATCH(COLUMNS($AN$1006:AW1006),$AN$1006:$BO$1006,0)), HYPERLINK("#",""), HYPERLINK(CONCATENATE("#Metadata!", ADDRESS(INDEX($AI$2:$AI$1001,MATCH(ROWS($AG$2:AG422),$AG$2:$AG$1001,0),0), INDEX($AN$1004:$BO$1004,1,MATCH(COLUMNS($AN$1006:AW1006),$AN$1006:$BO$1006,0)))),"Fix")))</f>
        <v>0</v>
      </c>
      <c r="L422" s="4">
        <f>IF(OR(INDEX($AH$2:$AH$1001,MATCH(ROWS($AG$2:AG422),$AG$2:$AG$1001,0),1)&gt;=100000,INDEX($AN$1005:$BO$1005,1,MATCH(COLUMNS($AN$1006:AX1006),$AN$1006:$BO$1006,0))&gt;=100000), " ",IF(INDEX($AN$2:$BO$1001,MATCH(ROWS($AG$2:AG422),$AG$2:$AG$1001,0),MATCH(COLUMNS($AN$1006:AX1006),$AN$1006:$BO$1006,0)), HYPERLINK("#",""), HYPERLINK(CONCATENATE("#Metadata!", ADDRESS(INDEX($AI$2:$AI$1001,MATCH(ROWS($AG$2:AG422),$AG$2:$AG$1001,0),0), INDEX($AN$1004:$BO$1004,1,MATCH(COLUMNS($AN$1006:AX1006),$AN$1006:$BO$1006,0)))),"Fix")))</f>
        <v>0</v>
      </c>
      <c r="M422" s="4">
        <f>IF(OR(INDEX($AH$2:$AH$1001,MATCH(ROWS($AG$2:AG422),$AG$2:$AG$1001,0),1)&gt;=100000,INDEX($AN$1005:$BO$1005,1,MATCH(COLUMNS($AN$1006:AY1006),$AN$1006:$BO$1006,0))&gt;=100000), " ",IF(INDEX($AN$2:$BO$1001,MATCH(ROWS($AG$2:AG422),$AG$2:$AG$1001,0),MATCH(COLUMNS($AN$1006:AY1006),$AN$1006:$BO$1006,0)), HYPERLINK("#",""), HYPERLINK(CONCATENATE("#Metadata!", ADDRESS(INDEX($AI$2:$AI$1001,MATCH(ROWS($AG$2:AG422),$AG$2:$AG$1001,0),0), INDEX($AN$1004:$BO$1004,1,MATCH(COLUMNS($AN$1006:AY1006),$AN$1006:$BO$1006,0)))),"Fix")))</f>
        <v>0</v>
      </c>
      <c r="N422" s="4">
        <f>IF(OR(INDEX($AH$2:$AH$1001,MATCH(ROWS($AG$2:AG422),$AG$2:$AG$1001,0),1)&gt;=100000,INDEX($AN$1005:$BO$1005,1,MATCH(COLUMNS($AN$1006:AZ1006),$AN$1006:$BO$1006,0))&gt;=100000), " ",IF(INDEX($AN$2:$BO$1001,MATCH(ROWS($AG$2:AG422),$AG$2:$AG$1001,0),MATCH(COLUMNS($AN$1006:AZ1006),$AN$1006:$BO$1006,0)), HYPERLINK("#",""), HYPERLINK(CONCATENATE("#Metadata!", ADDRESS(INDEX($AI$2:$AI$1001,MATCH(ROWS($AG$2:AG422),$AG$2:$AG$1001,0),0), INDEX($AN$1004:$BO$1004,1,MATCH(COLUMNS($AN$1006:AZ1006),$AN$1006:$BO$1006,0)))),"Fix")))</f>
        <v>0</v>
      </c>
      <c r="O422" s="4">
        <f>IF(OR(INDEX($AH$2:$AH$1001,MATCH(ROWS($AG$2:AG422),$AG$2:$AG$1001,0),1)&gt;=100000,INDEX($AN$1005:$BO$1005,1,MATCH(COLUMNS($AN$1006:BA1006),$AN$1006:$BO$1006,0))&gt;=100000), " ",IF(INDEX($AN$2:$BO$1001,MATCH(ROWS($AG$2:AG422),$AG$2:$AG$1001,0),MATCH(COLUMNS($AN$1006:BA1006),$AN$1006:$BO$1006,0)), HYPERLINK("#",""), HYPERLINK(CONCATENATE("#Metadata!", ADDRESS(INDEX($AI$2:$AI$1001,MATCH(ROWS($AG$2:AG422),$AG$2:$AG$1001,0),0), INDEX($AN$1004:$BO$1004,1,MATCH(COLUMNS($AN$1006:BA1006),$AN$1006:$BO$1006,0)))),"Fix")))</f>
        <v>0</v>
      </c>
      <c r="P422" s="4">
        <f>IF(OR(INDEX($AH$2:$AH$1001,MATCH(ROWS($AG$2:AG422),$AG$2:$AG$1001,0),1)&gt;=100000,INDEX($AN$1005:$BO$1005,1,MATCH(COLUMNS($AN$1006:BB1006),$AN$1006:$BO$1006,0))&gt;=100000), " ",IF(INDEX($AN$2:$BO$1001,MATCH(ROWS($AG$2:AG422),$AG$2:$AG$1001,0),MATCH(COLUMNS($AN$1006:BB1006),$AN$1006:$BO$1006,0)), HYPERLINK("#",""), HYPERLINK(CONCATENATE("#Metadata!", ADDRESS(INDEX($AI$2:$AI$1001,MATCH(ROWS($AG$2:AG422),$AG$2:$AG$1001,0),0), INDEX($AN$1004:$BO$1004,1,MATCH(COLUMNS($AN$1006:BB1006),$AN$1006:$BO$1006,0)))),"Fix")))</f>
        <v>0</v>
      </c>
      <c r="Q422" s="4">
        <f>IF(OR(INDEX($AH$2:$AH$1001,MATCH(ROWS($AG$2:AG422),$AG$2:$AG$1001,0),1)&gt;=100000,INDEX($AN$1005:$BO$1005,1,MATCH(COLUMNS($AN$1006:BC1006),$AN$1006:$BO$1006,0))&gt;=100000), " ",IF(INDEX($AN$2:$BO$1001,MATCH(ROWS($AG$2:AG422),$AG$2:$AG$1001,0),MATCH(COLUMNS($AN$1006:BC1006),$AN$1006:$BO$1006,0)), HYPERLINK("#",""), HYPERLINK(CONCATENATE("#Metadata!", ADDRESS(INDEX($AI$2:$AI$1001,MATCH(ROWS($AG$2:AG422),$AG$2:$AG$1001,0),0), INDEX($AN$1004:$BO$1004,1,MATCH(COLUMNS($AN$1006:BC1006),$AN$1006:$BO$1006,0)))),"Fix")))</f>
        <v>0</v>
      </c>
      <c r="R422" s="4">
        <f>IF(OR(INDEX($AH$2:$AH$1001,MATCH(ROWS($AG$2:AG422),$AG$2:$AG$1001,0),1)&gt;=100000,INDEX($AN$1005:$BO$1005,1,MATCH(COLUMNS($AN$1006:BD1006),$AN$1006:$BO$1006,0))&gt;=100000), " ",IF(INDEX($AN$2:$BO$1001,MATCH(ROWS($AG$2:AG422),$AG$2:$AG$1001,0),MATCH(COLUMNS($AN$1006:BD1006),$AN$1006:$BO$1006,0)), HYPERLINK("#",""), HYPERLINK(CONCATENATE("#Metadata!", ADDRESS(INDEX($AI$2:$AI$1001,MATCH(ROWS($AG$2:AG422),$AG$2:$AG$1001,0),0), INDEX($AN$1004:$BO$1004,1,MATCH(COLUMNS($AN$1006:BD1006),$AN$1006:$BO$1006,0)))),"Fix")))</f>
        <v>0</v>
      </c>
      <c r="S422" s="4">
        <f>IF(OR(INDEX($AH$2:$AH$1001,MATCH(ROWS($AG$2:AG422),$AG$2:$AG$1001,0),1)&gt;=100000,INDEX($AN$1005:$BO$1005,1,MATCH(COLUMNS($AN$1006:BE1006),$AN$1006:$BO$1006,0))&gt;=100000), " ",IF(INDEX($AN$2:$BO$1001,MATCH(ROWS($AG$2:AG422),$AG$2:$AG$1001,0),MATCH(COLUMNS($AN$1006:BE1006),$AN$1006:$BO$1006,0)), HYPERLINK("#",""), HYPERLINK(CONCATENATE("#Metadata!", ADDRESS(INDEX($AI$2:$AI$1001,MATCH(ROWS($AG$2:AG422),$AG$2:$AG$1001,0),0), INDEX($AN$1004:$BO$1004,1,MATCH(COLUMNS($AN$1006:BE1006),$AN$1006:$BO$1006,0)))),"Fix")))</f>
        <v>0</v>
      </c>
      <c r="T422" s="4">
        <f>IF(OR(INDEX($AH$2:$AH$1001,MATCH(ROWS($AG$2:AG422),$AG$2:$AG$1001,0),1)&gt;=100000,INDEX($AN$1005:$BO$1005,1,MATCH(COLUMNS($AN$1006:BF1006),$AN$1006:$BO$1006,0))&gt;=100000), " ",IF(INDEX($AN$2:$BO$1001,MATCH(ROWS($AG$2:AG422),$AG$2:$AG$1001,0),MATCH(COLUMNS($AN$1006:BF1006),$AN$1006:$BO$1006,0)), HYPERLINK("#",""), HYPERLINK(CONCATENATE("#Metadata!", ADDRESS(INDEX($AI$2:$AI$1001,MATCH(ROWS($AG$2:AG422),$AG$2:$AG$1001,0),0), INDEX($AN$1004:$BO$1004,1,MATCH(COLUMNS($AN$1006:BF1006),$AN$1006:$BO$1006,0)))),"Fix")))</f>
        <v>0</v>
      </c>
      <c r="U422" s="4">
        <f>IF(OR(INDEX($AH$2:$AH$1001,MATCH(ROWS($AG$2:AG422),$AG$2:$AG$1001,0),1)&gt;=100000,INDEX($AN$1005:$BO$1005,1,MATCH(COLUMNS($AN$1006:BG1006),$AN$1006:$BO$1006,0))&gt;=100000), " ",IF(INDEX($AN$2:$BO$1001,MATCH(ROWS($AG$2:AG422),$AG$2:$AG$1001,0),MATCH(COLUMNS($AN$1006:BG1006),$AN$1006:$BO$1006,0)), HYPERLINK("#",""), HYPERLINK(CONCATENATE("#Metadata!", ADDRESS(INDEX($AI$2:$AI$1001,MATCH(ROWS($AG$2:AG422),$AG$2:$AG$1001,0),0), INDEX($AN$1004:$BO$1004,1,MATCH(COLUMNS($AN$1006:BG1006),$AN$1006:$BO$1006,0)))),"Fix")))</f>
        <v>0</v>
      </c>
      <c r="V422" s="4">
        <f>IF(OR(INDEX($AH$2:$AH$1001,MATCH(ROWS($AG$2:AG422),$AG$2:$AG$1001,0),1)&gt;=100000,INDEX($AN$1005:$BO$1005,1,MATCH(COLUMNS($AN$1006:BH1006),$AN$1006:$BO$1006,0))&gt;=100000), " ",IF(INDEX($AN$2:$BO$1001,MATCH(ROWS($AG$2:AG422),$AG$2:$AG$1001,0),MATCH(COLUMNS($AN$1006:BH1006),$AN$1006:$BO$1006,0)), HYPERLINK("#",""), HYPERLINK(CONCATENATE("#Metadata!", ADDRESS(INDEX($AI$2:$AI$1001,MATCH(ROWS($AG$2:AG422),$AG$2:$AG$1001,0),0), INDEX($AN$1004:$BO$1004,1,MATCH(COLUMNS($AN$1006:BH1006),$AN$1006:$BO$1006,0)))),"Fix")))</f>
        <v>0</v>
      </c>
      <c r="W422" s="4">
        <f>IF(OR(INDEX($AH$2:$AH$1001,MATCH(ROWS($AG$2:AG422),$AG$2:$AG$1001,0),1)&gt;=100000,INDEX($AN$1005:$BO$1005,1,MATCH(COLUMNS($AN$1006:BI1006),$AN$1006:$BO$1006,0))&gt;=100000), " ",IF(INDEX($AN$2:$BO$1001,MATCH(ROWS($AG$2:AG422),$AG$2:$AG$1001,0),MATCH(COLUMNS($AN$1006:BI1006),$AN$1006:$BO$1006,0)), HYPERLINK("#",""), HYPERLINK(CONCATENATE("#Metadata!", ADDRESS(INDEX($AI$2:$AI$1001,MATCH(ROWS($AG$2:AG422),$AG$2:$AG$1001,0),0), INDEX($AN$1004:$BO$1004,1,MATCH(COLUMNS($AN$1006:BI1006),$AN$1006:$BO$1006,0)))),"Fix")))</f>
        <v>0</v>
      </c>
      <c r="X422" s="4">
        <f>IF(OR(INDEX($AH$2:$AH$1001,MATCH(ROWS($AG$2:AG422),$AG$2:$AG$1001,0),1)&gt;=100000,INDEX($AN$1005:$BO$1005,1,MATCH(COLUMNS($AN$1006:BJ1006),$AN$1006:$BO$1006,0))&gt;=100000), " ",IF(INDEX($AN$2:$BO$1001,MATCH(ROWS($AG$2:AG422),$AG$2:$AG$1001,0),MATCH(COLUMNS($AN$1006:BJ1006),$AN$1006:$BO$1006,0)), HYPERLINK("#",""), HYPERLINK(CONCATENATE("#Metadata!", ADDRESS(INDEX($AI$2:$AI$1001,MATCH(ROWS($AG$2:AG422),$AG$2:$AG$1001,0),0), INDEX($AN$1004:$BO$1004,1,MATCH(COLUMNS($AN$1006:BJ1006),$AN$1006:$BO$1006,0)))),"Fix")))</f>
        <v>0</v>
      </c>
      <c r="Y422" s="4">
        <f>IF(OR(INDEX($AH$2:$AH$1001,MATCH(ROWS($AG$2:AG422),$AG$2:$AG$1001,0),1)&gt;=100000,INDEX($AN$1005:$BO$1005,1,MATCH(COLUMNS($AN$1006:BK1006),$AN$1006:$BO$1006,0))&gt;=100000), " ",IF(INDEX($AN$2:$BO$1001,MATCH(ROWS($AG$2:AG422),$AG$2:$AG$1001,0),MATCH(COLUMNS($AN$1006:BK1006),$AN$1006:$BO$1006,0)), HYPERLINK("#",""), HYPERLINK(CONCATENATE("#Metadata!", ADDRESS(INDEX($AI$2:$AI$1001,MATCH(ROWS($AG$2:AG422),$AG$2:$AG$1001,0),0), INDEX($AN$1004:$BO$1004,1,MATCH(COLUMNS($AN$1006:BK1006),$AN$1006:$BO$1006,0)))),"Fix")))</f>
        <v>0</v>
      </c>
      <c r="Z422" s="4">
        <f>IF(OR(INDEX($AH$2:$AH$1001,MATCH(ROWS($AG$2:AG422),$AG$2:$AG$1001,0),1)&gt;=100000,INDEX($AN$1005:$BO$1005,1,MATCH(COLUMNS($AN$1006:BL1006),$AN$1006:$BO$1006,0))&gt;=100000), " ",IF(INDEX($AN$2:$BO$1001,MATCH(ROWS($AG$2:AG422),$AG$2:$AG$1001,0),MATCH(COLUMNS($AN$1006:BL1006),$AN$1006:$BO$1006,0)), HYPERLINK("#",""), HYPERLINK(CONCATENATE("#Metadata!", ADDRESS(INDEX($AI$2:$AI$1001,MATCH(ROWS($AG$2:AG422),$AG$2:$AG$1001,0),0), INDEX($AN$1004:$BO$1004,1,MATCH(COLUMNS($AN$1006:BL1006),$AN$1006:$BO$1006,0)))),"Fix")))</f>
        <v>0</v>
      </c>
      <c r="AA422" s="4">
        <f>IF(OR(INDEX($AH$2:$AH$1001,MATCH(ROWS($AG$2:AG422),$AG$2:$AG$1001,0),1)&gt;=100000,INDEX($AN$1005:$BO$1005,1,MATCH(COLUMNS($AN$1006:BM1006),$AN$1006:$BO$1006,0))&gt;=100000), " ",IF(INDEX($AN$2:$BO$1001,MATCH(ROWS($AG$2:AG422),$AG$2:$AG$1001,0),MATCH(COLUMNS($AN$1006:BM1006),$AN$1006:$BO$1006,0)), HYPERLINK("#",""), HYPERLINK(CONCATENATE("#Metadata!", ADDRESS(INDEX($AI$2:$AI$1001,MATCH(ROWS($AG$2:AG422),$AG$2:$AG$1001,0),0), INDEX($AN$1004:$BO$1004,1,MATCH(COLUMNS($AN$1006:BM1006),$AN$1006:$BO$1006,0)))),"Fix")))</f>
        <v>0</v>
      </c>
      <c r="AB422" s="4">
        <f>IF(OR(INDEX($AH$2:$AH$1001,MATCH(ROWS($AG$2:AG422),$AG$2:$AG$1001,0),1)&gt;=100000,INDEX($AN$1005:$BO$1005,1,MATCH(COLUMNS($AN$1006:BN1006),$AN$1006:$BO$1006,0))&gt;=100000), " ",IF(INDEX($AN$2:$BO$1001,MATCH(ROWS($AG$2:AG422),$AG$2:$AG$1001,0),MATCH(COLUMNS($AN$1006:BN1006),$AN$1006:$BO$1006,0)), HYPERLINK("#",""), HYPERLINK(CONCATENATE("#Metadata!", ADDRESS(INDEX($AI$2:$AI$1001,MATCH(ROWS($AG$2:AG422),$AG$2:$AG$1001,0),0), INDEX($AN$1004:$BO$1004,1,MATCH(COLUMNS($AN$1006:BN1006),$AN$1006:$BO$1006,0)))),"Fix")))</f>
        <v>0</v>
      </c>
      <c r="AC422" s="4">
        <f>IF(OR(INDEX($AH$2:$AH$1001,MATCH(ROWS($AG$2:AG422),$AG$2:$AG$1001,0),1)&gt;=100000,INDEX($AN$1005:$BO$1005,1,MATCH(COLUMNS($AN$1006:BO1006),$AN$1006:$BO$1006,0))&gt;=100000), " ",IF(INDEX($AN$2:$BO$1001,MATCH(ROWS($AG$2:AG422),$AG$2:$AG$1001,0),MATCH(COLUMNS($AN$1006:BO1006),$AN$1006:$BO$1006,0)), HYPERLINK("#",""), HYPERLINK(CONCATENATE("#Metadata!", ADDRESS(INDEX($AI$2:$AI$1001,MATCH(ROWS($AG$2:AG422),$AG$2:$AG$1001,0),0), INDEX($AN$1004:$BO$1004,1,MATCH(COLUMNS($AN$1006:BO1006),$AN$1006:$BO$1006,0)))),"Fix")))</f>
        <v>0</v>
      </c>
      <c r="AG422">
        <v>0</v>
      </c>
      <c r="AH422">
        <v>0</v>
      </c>
      <c r="AI422">
        <v>0</v>
      </c>
      <c r="AJ422">
        <f>IF(AK422,TRUE,AND(AN422:BO422))</f>
        <v>0</v>
      </c>
      <c r="AK422">
        <f>COUNTBLANK(Metadata!B422:AC422)=COLUMNS(Metadata!B422:AC422)</f>
        <v>0</v>
      </c>
      <c r="AL422">
        <v>0</v>
      </c>
      <c r="AN422">
        <f>AND(IF(Metadata!B422="",FALSE,TRUE),COUNTIF(Metadata!B:B, Metadata!B422) = 1,NOT(ISERROR(SUMPRODUCT(SEARCH(MID(Metadata!B422,ROW(INDIRECT("1:"&amp;LEN(Metadata!B422))), 1),"0123456789abcdefghijklmnopqrstuvwxyzABCDEFGHIJKLMNOPQRSTUVWXYZ.")))))</f>
        <v>0</v>
      </c>
      <c r="AO422">
        <f>IF(Metadata!C422="",FALSE,TRUE)</f>
        <v>0</v>
      </c>
      <c r="AP422">
        <f>IF(Metadata!D422="",FALSE,TRUE)</f>
        <v>0</v>
      </c>
      <c r="AQ422">
        <f>OR(AND(IF(Metadata!E422="",FALSE,TRUE),OR(exact(Metadata!E422,"not collected"),exact(Metadata!E422,"not provided"),exact(Metadata!E422,"restricted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R422">
        <f>IF(Metadata!F422="",FALSE,TRUE)</f>
        <v>0</v>
      </c>
      <c r="AS422">
        <f>OR(AND(IF(Metadata!G422="",FALSE,TRUE),OR(exact(Metadata!G422,"not collected"),exact(Metadata!G422,"not provided"))),AND(IF(Metadata!G422="",FALSE,TRUE),OR(exact(Metadata!G422,"TRUE"),exact(Metadata!G422,"FALSE"))))</f>
        <v>0</v>
      </c>
      <c r="AT422">
        <f>OR(AND(IF(Metadata!H422="",FALSE,TRUE),OR(exact(Metadata!H422,"not collected"),exact(Metadata!H422,"not provided"),exact(Metadata!H422,"restricted access"))),AND(IF(Metadata!H422="",FALSE,ISNUMBER(VALUE(Metadata!H422))),Metadata!H422&gt;=-413.0))</f>
        <v>0</v>
      </c>
      <c r="AU422">
        <f>AND(IF(Metadata!I422="",FALSE,TRUE),exact(Metadata!I422,"meters"))</f>
        <v>0</v>
      </c>
      <c r="AV422">
        <f>AND(IF(Metadata!J422="",FALSE,TRUE),OR(exact(Metadata!J422,"Host-associated"),exact(Metadata!J422,"Free-living")))</f>
        <v>0</v>
      </c>
      <c r="AW422">
        <f>AND(IF(Metadata!K422="",FALSE,TRUE),OR(exact(Metadata!K422,"Animal"),exact(Metadata!K422,"Fungus"),exact(Metadata!K422,"Plant"),exact(Metadata!K422,"Saline"),exact(Metadata!K422,"Non-saline")))</f>
        <v>0</v>
      </c>
      <c r="AX422">
        <f>AND(IF(Metadata!L422="",FALSE,TRUE),OR(exact(Metadata!L422,"Plant secretion"),exact(Metadata!L422,"Plant rhizosphere"),exact(Metadata!L422,"Plant surface"),exact(Metadata!L422,"Plant corpus"),exact(Metadata!L422,"Fungus surface"),exact(Metadata!L422,"Fungus corpus"),exact(Metadata!L422,"Animal surface"),exact(Metadata!L422,"Animal proximal gut"),exact(Metadata!L422,"Animal corpus"),exact(Metadata!L422,"Animal distal gut"),exact(Metadata!L422,"Animal secretion"),exact(Metadata!L422,"Sub-surface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Y422">
        <f>IF(Metadata!M422="",FALSE,TRUE)</f>
        <v>0</v>
      </c>
      <c r="AZ422">
        <f>IF(Metadata!N422="",FALSE,TRUE)</f>
        <v>0</v>
      </c>
      <c r="BA422">
        <f>IF(Metadata!O422="",FALSE,TRUE)</f>
        <v>0</v>
      </c>
      <c r="BB422">
        <f>OR(AND(IF(Metadata!P422="",FALSE,TRUE),OR(exact(Metadata!P422,"not collected"),exact(Metadata!P422,"not provided"),exact(Metadata!P422,"restricted access"))),AND(IF(Metadata!P422="",FALSE,TRUE),OR(exact(Metadata!P422,"air"),exact(Metadata!P422,"built environment"),exact(Metadata!P422,"host-associated"),exact(Metadata!P422,"human-associated"),exact(Metadata!P422,"human-skin"),exact(Metadata!P422,"human-oral"),exact(Metadata!P422,"human-gut"),exact(Metadata!P422,"human-vaginal"),exact(Metadata!P422,"microbial mat/biofilm"),exact(Metadata!P422,"misc environment"),exact(Metadata!P422,"plant-associated"),exact(Metadata!P422,"sediment"),exact(Metadata!P422,"soil"),exact(Metadata!P422,"wastewater/sludge"),exact(Metadata!P422,"water"))))</f>
        <v>0</v>
      </c>
      <c r="BC422">
        <f>IF(Metadata!Q422="",FALSE,TRUE)</f>
        <v>0</v>
      </c>
      <c r="BD422">
        <f>IF(Metadata!R422="",FALSE,TRUE)</f>
        <v>0</v>
      </c>
      <c r="BE422">
        <f>OR(AND(IF(Metadata!S422="",FALSE,TRUE),OR(exact(Metadata!S422,"not collected"),exact(Metadata!S422,"not provided"),exact(Metadata!S422,"restricted access"))),AND(IF(Metadata!S422="",FALSE,ISNUMBER(VALUE(Metadata!S422))),Metadata!S422&gt;=-90.00,Metadata!S422&lt;=90.00))</f>
        <v>0</v>
      </c>
      <c r="BF422">
        <f>AND(IF(Metadata!T422="",FALSE,TRUE),exact(Metadata!T422,"Decimal degrees"))</f>
        <v>0</v>
      </c>
      <c r="BG422">
        <f>OR(AND(IF(Metadata!U422="",FALSE,TRUE),OR(exact(Metadata!U422,"not collected"),exact(Metadata!U422,"not provided"),exact(Metadata!U422,"restricted access"))),AND(IF(Metadata!U422="",FALSE,ISNUMBER(VALUE(Metadata!U422))),Metadata!U422&gt;=-180.00,Metadata!U422&lt;=180.00))</f>
        <v>0</v>
      </c>
      <c r="BH422">
        <f>AND(IF(Metadata!V422="",FALSE,TRUE),exact(Metadata!V422,"Decimal degrees"))</f>
        <v>0</v>
      </c>
      <c r="BI422">
        <f>IF(Metadata!W422="",FALSE,TRUE)</f>
        <v>0</v>
      </c>
      <c r="BJ422">
        <f>OR(AND(IF(Metadata!X422="",FALSE,TRUE),OR(exact(Metadata!X422,"not collected"),exact(Metadata!X422,"not provided"),exact(Metadata!X422,"restricted access"))),AND(IF(Metadata!X422="",FALSE,TRUE),OR(exact(Metadata!X422,"TRUE"),exact(Metadata!X422,"FALSE"))))</f>
        <v>0</v>
      </c>
      <c r="BK422">
        <f>AND(IF(Metadata!Y422="",FALSE,TRUE),exact(Metadata!Y422,"other"))</f>
        <v>0</v>
      </c>
      <c r="BL422">
        <f>IF(Metadata!Z422="",FALSE,TRUE)</f>
        <v>0</v>
      </c>
      <c r="BM422">
        <f>OR(AND(IF(Metadata!AA422="",FALSE,TRUE),OR(exact(Metadata!AA422,"not collected"),exact(Metadata!AA422,"not provided"))),AND(IF(Metadata!AA422="",FALSE,IF(ISERROR(INT(Metadata!AA422)),FALSE,INT(Metadata!AA422)=Metadata!AA422)),Metadata!AA422&gt;0))</f>
        <v>0</v>
      </c>
      <c r="BN422">
        <f>AND(IF(Metadata!AB422="",FALSE,TRUE),exact(Metadata!AB422,"Not applicable"))</f>
        <v>0</v>
      </c>
      <c r="BO422">
        <f>IF(Metadata!AC422="",FALSE,TRUE)</f>
        <v>0</v>
      </c>
    </row>
    <row r="423" spans="1:67">
      <c r="A423" s="5">
        <f>IF(B423=" "," ",HYPERLINK(CONCATENATE("#metadata!",ADDRESS(INDEX($AI$2:$AI$1001,MATCH(ROWS($AG$2:AG423),$AG$2:$AG$1001,0),0),1)),INDEX($AL$2:$AL$1001,MATCH(ROWS($AG$2:AG423),$AG$2:$AG$1001,0),0)))</f>
        <v>0</v>
      </c>
      <c r="B423" s="4">
        <f>IF(OR(INDEX($AH$2:$AH$1001,MATCH(ROWS($AG$2:AG423),$AG$2:$AG$1001,0),1)&gt;=100000,INDEX($AN$1005:$BO$1005,1,MATCH(COLUMNS($AN$1006:AN1006),$AN$1006:$BO$1006,0))&gt;=100000), " ",IF(INDEX($AN$2:$BO$1001,MATCH(ROWS($AG$2:AG423),$AG$2:$AG$1001,0),MATCH(COLUMNS($AN$1006:AN1006),$AN$1006:$BO$1006,0)), HYPERLINK("#",""), HYPERLINK(CONCATENATE("#Metadata!", ADDRESS(INDEX($AI$2:$AI$1001,MATCH(ROWS($AG$2:AG423),$AG$2:$AG$1001,0),0), INDEX($AN$1004:$BO$1004,1,MATCH(COLUMNS($AN$1006:AN1006),$AN$1006:$BO$1006,0)))),"Fix")))</f>
        <v>0</v>
      </c>
      <c r="C423" s="4">
        <f>IF(OR(INDEX($AH$2:$AH$1001,MATCH(ROWS($AG$2:AG423),$AG$2:$AG$1001,0),1)&gt;=100000,INDEX($AN$1005:$BO$1005,1,MATCH(COLUMNS($AN$1006:AO1006),$AN$1006:$BO$1006,0))&gt;=100000), " ",IF(INDEX($AN$2:$BO$1001,MATCH(ROWS($AG$2:AG423),$AG$2:$AG$1001,0),MATCH(COLUMNS($AN$1006:AO1006),$AN$1006:$BO$1006,0)), HYPERLINK("#",""), HYPERLINK(CONCATENATE("#Metadata!", ADDRESS(INDEX($AI$2:$AI$1001,MATCH(ROWS($AG$2:AG423),$AG$2:$AG$1001,0),0), INDEX($AN$1004:$BO$1004,1,MATCH(COLUMNS($AN$1006:AO1006),$AN$1006:$BO$1006,0)))),"Fix")))</f>
        <v>0</v>
      </c>
      <c r="D423" s="4">
        <f>IF(OR(INDEX($AH$2:$AH$1001,MATCH(ROWS($AG$2:AG423),$AG$2:$AG$1001,0),1)&gt;=100000,INDEX($AN$1005:$BO$1005,1,MATCH(COLUMNS($AN$1006:AP1006),$AN$1006:$BO$1006,0))&gt;=100000), " ",IF(INDEX($AN$2:$BO$1001,MATCH(ROWS($AG$2:AG423),$AG$2:$AG$1001,0),MATCH(COLUMNS($AN$1006:AP1006),$AN$1006:$BO$1006,0)), HYPERLINK("#",""), HYPERLINK(CONCATENATE("#Metadata!", ADDRESS(INDEX($AI$2:$AI$1001,MATCH(ROWS($AG$2:AG423),$AG$2:$AG$1001,0),0), INDEX($AN$1004:$BO$1004,1,MATCH(COLUMNS($AN$1006:AP1006),$AN$1006:$BO$1006,0)))),"Fix")))</f>
        <v>0</v>
      </c>
      <c r="E423" s="4">
        <f>IF(OR(INDEX($AH$2:$AH$1001,MATCH(ROWS($AG$2:AG423),$AG$2:$AG$1001,0),1)&gt;=100000,INDEX($AN$1005:$BO$1005,1,MATCH(COLUMNS($AN$1006:AQ1006),$AN$1006:$BO$1006,0))&gt;=100000), " ",IF(INDEX($AN$2:$BO$1001,MATCH(ROWS($AG$2:AG423),$AG$2:$AG$1001,0),MATCH(COLUMNS($AN$1006:AQ1006),$AN$1006:$BO$1006,0)), HYPERLINK("#",""), HYPERLINK(CONCATENATE("#Metadata!", ADDRESS(INDEX($AI$2:$AI$1001,MATCH(ROWS($AG$2:AG423),$AG$2:$AG$1001,0),0), INDEX($AN$1004:$BO$1004,1,MATCH(COLUMNS($AN$1006:AQ1006),$AN$1006:$BO$1006,0)))),"Fix")))</f>
        <v>0</v>
      </c>
      <c r="F423" s="4">
        <f>IF(OR(INDEX($AH$2:$AH$1001,MATCH(ROWS($AG$2:AG423),$AG$2:$AG$1001,0),1)&gt;=100000,INDEX($AN$1005:$BO$1005,1,MATCH(COLUMNS($AN$1006:AR1006),$AN$1006:$BO$1006,0))&gt;=100000), " ",IF(INDEX($AN$2:$BO$1001,MATCH(ROWS($AG$2:AG423),$AG$2:$AG$1001,0),MATCH(COLUMNS($AN$1006:AR1006),$AN$1006:$BO$1006,0)), HYPERLINK("#",""), HYPERLINK(CONCATENATE("#Metadata!", ADDRESS(INDEX($AI$2:$AI$1001,MATCH(ROWS($AG$2:AG423),$AG$2:$AG$1001,0),0), INDEX($AN$1004:$BO$1004,1,MATCH(COLUMNS($AN$1006:AR1006),$AN$1006:$BO$1006,0)))),"Fix")))</f>
        <v>0</v>
      </c>
      <c r="G423" s="4">
        <f>IF(OR(INDEX($AH$2:$AH$1001,MATCH(ROWS($AG$2:AG423),$AG$2:$AG$1001,0),1)&gt;=100000,INDEX($AN$1005:$BO$1005,1,MATCH(COLUMNS($AN$1006:AS1006),$AN$1006:$BO$1006,0))&gt;=100000), " ",IF(INDEX($AN$2:$BO$1001,MATCH(ROWS($AG$2:AG423),$AG$2:$AG$1001,0),MATCH(COLUMNS($AN$1006:AS1006),$AN$1006:$BO$1006,0)), HYPERLINK("#",""), HYPERLINK(CONCATENATE("#Metadata!", ADDRESS(INDEX($AI$2:$AI$1001,MATCH(ROWS($AG$2:AG423),$AG$2:$AG$1001,0),0), INDEX($AN$1004:$BO$1004,1,MATCH(COLUMNS($AN$1006:AS1006),$AN$1006:$BO$1006,0)))),"Fix")))</f>
        <v>0</v>
      </c>
      <c r="H423" s="4">
        <f>IF(OR(INDEX($AH$2:$AH$1001,MATCH(ROWS($AG$2:AG423),$AG$2:$AG$1001,0),1)&gt;=100000,INDEX($AN$1005:$BO$1005,1,MATCH(COLUMNS($AN$1006:AT1006),$AN$1006:$BO$1006,0))&gt;=100000), " ",IF(INDEX($AN$2:$BO$1001,MATCH(ROWS($AG$2:AG423),$AG$2:$AG$1001,0),MATCH(COLUMNS($AN$1006:AT1006),$AN$1006:$BO$1006,0)), HYPERLINK("#",""), HYPERLINK(CONCATENATE("#Metadata!", ADDRESS(INDEX($AI$2:$AI$1001,MATCH(ROWS($AG$2:AG423),$AG$2:$AG$1001,0),0), INDEX($AN$1004:$BO$1004,1,MATCH(COLUMNS($AN$1006:AT1006),$AN$1006:$BO$1006,0)))),"Fix")))</f>
        <v>0</v>
      </c>
      <c r="I423" s="4">
        <f>IF(OR(INDEX($AH$2:$AH$1001,MATCH(ROWS($AG$2:AG423),$AG$2:$AG$1001,0),1)&gt;=100000,INDEX($AN$1005:$BO$1005,1,MATCH(COLUMNS($AN$1006:AU1006),$AN$1006:$BO$1006,0))&gt;=100000), " ",IF(INDEX($AN$2:$BO$1001,MATCH(ROWS($AG$2:AG423),$AG$2:$AG$1001,0),MATCH(COLUMNS($AN$1006:AU1006),$AN$1006:$BO$1006,0)), HYPERLINK("#",""), HYPERLINK(CONCATENATE("#Metadata!", ADDRESS(INDEX($AI$2:$AI$1001,MATCH(ROWS($AG$2:AG423),$AG$2:$AG$1001,0),0), INDEX($AN$1004:$BO$1004,1,MATCH(COLUMNS($AN$1006:AU1006),$AN$1006:$BO$1006,0)))),"Fix")))</f>
        <v>0</v>
      </c>
      <c r="J423" s="4">
        <f>IF(OR(INDEX($AH$2:$AH$1001,MATCH(ROWS($AG$2:AG423),$AG$2:$AG$1001,0),1)&gt;=100000,INDEX($AN$1005:$BO$1005,1,MATCH(COLUMNS($AN$1006:AV1006),$AN$1006:$BO$1006,0))&gt;=100000), " ",IF(INDEX($AN$2:$BO$1001,MATCH(ROWS($AG$2:AG423),$AG$2:$AG$1001,0),MATCH(COLUMNS($AN$1006:AV1006),$AN$1006:$BO$1006,0)), HYPERLINK("#",""), HYPERLINK(CONCATENATE("#Metadata!", ADDRESS(INDEX($AI$2:$AI$1001,MATCH(ROWS($AG$2:AG423),$AG$2:$AG$1001,0),0), INDEX($AN$1004:$BO$1004,1,MATCH(COLUMNS($AN$1006:AV1006),$AN$1006:$BO$1006,0)))),"Fix")))</f>
        <v>0</v>
      </c>
      <c r="K423" s="4">
        <f>IF(OR(INDEX($AH$2:$AH$1001,MATCH(ROWS($AG$2:AG423),$AG$2:$AG$1001,0),1)&gt;=100000,INDEX($AN$1005:$BO$1005,1,MATCH(COLUMNS($AN$1006:AW1006),$AN$1006:$BO$1006,0))&gt;=100000), " ",IF(INDEX($AN$2:$BO$1001,MATCH(ROWS($AG$2:AG423),$AG$2:$AG$1001,0),MATCH(COLUMNS($AN$1006:AW1006),$AN$1006:$BO$1006,0)), HYPERLINK("#",""), HYPERLINK(CONCATENATE("#Metadata!", ADDRESS(INDEX($AI$2:$AI$1001,MATCH(ROWS($AG$2:AG423),$AG$2:$AG$1001,0),0), INDEX($AN$1004:$BO$1004,1,MATCH(COLUMNS($AN$1006:AW1006),$AN$1006:$BO$1006,0)))),"Fix")))</f>
        <v>0</v>
      </c>
      <c r="L423" s="4">
        <f>IF(OR(INDEX($AH$2:$AH$1001,MATCH(ROWS($AG$2:AG423),$AG$2:$AG$1001,0),1)&gt;=100000,INDEX($AN$1005:$BO$1005,1,MATCH(COLUMNS($AN$1006:AX1006),$AN$1006:$BO$1006,0))&gt;=100000), " ",IF(INDEX($AN$2:$BO$1001,MATCH(ROWS($AG$2:AG423),$AG$2:$AG$1001,0),MATCH(COLUMNS($AN$1006:AX1006),$AN$1006:$BO$1006,0)), HYPERLINK("#",""), HYPERLINK(CONCATENATE("#Metadata!", ADDRESS(INDEX($AI$2:$AI$1001,MATCH(ROWS($AG$2:AG423),$AG$2:$AG$1001,0),0), INDEX($AN$1004:$BO$1004,1,MATCH(COLUMNS($AN$1006:AX1006),$AN$1006:$BO$1006,0)))),"Fix")))</f>
        <v>0</v>
      </c>
      <c r="M423" s="4">
        <f>IF(OR(INDEX($AH$2:$AH$1001,MATCH(ROWS($AG$2:AG423),$AG$2:$AG$1001,0),1)&gt;=100000,INDEX($AN$1005:$BO$1005,1,MATCH(COLUMNS($AN$1006:AY1006),$AN$1006:$BO$1006,0))&gt;=100000), " ",IF(INDEX($AN$2:$BO$1001,MATCH(ROWS($AG$2:AG423),$AG$2:$AG$1001,0),MATCH(COLUMNS($AN$1006:AY1006),$AN$1006:$BO$1006,0)), HYPERLINK("#",""), HYPERLINK(CONCATENATE("#Metadata!", ADDRESS(INDEX($AI$2:$AI$1001,MATCH(ROWS($AG$2:AG423),$AG$2:$AG$1001,0),0), INDEX($AN$1004:$BO$1004,1,MATCH(COLUMNS($AN$1006:AY1006),$AN$1006:$BO$1006,0)))),"Fix")))</f>
        <v>0</v>
      </c>
      <c r="N423" s="4">
        <f>IF(OR(INDEX($AH$2:$AH$1001,MATCH(ROWS($AG$2:AG423),$AG$2:$AG$1001,0),1)&gt;=100000,INDEX($AN$1005:$BO$1005,1,MATCH(COLUMNS($AN$1006:AZ1006),$AN$1006:$BO$1006,0))&gt;=100000), " ",IF(INDEX($AN$2:$BO$1001,MATCH(ROWS($AG$2:AG423),$AG$2:$AG$1001,0),MATCH(COLUMNS($AN$1006:AZ1006),$AN$1006:$BO$1006,0)), HYPERLINK("#",""), HYPERLINK(CONCATENATE("#Metadata!", ADDRESS(INDEX($AI$2:$AI$1001,MATCH(ROWS($AG$2:AG423),$AG$2:$AG$1001,0),0), INDEX($AN$1004:$BO$1004,1,MATCH(COLUMNS($AN$1006:AZ1006),$AN$1006:$BO$1006,0)))),"Fix")))</f>
        <v>0</v>
      </c>
      <c r="O423" s="4">
        <f>IF(OR(INDEX($AH$2:$AH$1001,MATCH(ROWS($AG$2:AG423),$AG$2:$AG$1001,0),1)&gt;=100000,INDEX($AN$1005:$BO$1005,1,MATCH(COLUMNS($AN$1006:BA1006),$AN$1006:$BO$1006,0))&gt;=100000), " ",IF(INDEX($AN$2:$BO$1001,MATCH(ROWS($AG$2:AG423),$AG$2:$AG$1001,0),MATCH(COLUMNS($AN$1006:BA1006),$AN$1006:$BO$1006,0)), HYPERLINK("#",""), HYPERLINK(CONCATENATE("#Metadata!", ADDRESS(INDEX($AI$2:$AI$1001,MATCH(ROWS($AG$2:AG423),$AG$2:$AG$1001,0),0), INDEX($AN$1004:$BO$1004,1,MATCH(COLUMNS($AN$1006:BA1006),$AN$1006:$BO$1006,0)))),"Fix")))</f>
        <v>0</v>
      </c>
      <c r="P423" s="4">
        <f>IF(OR(INDEX($AH$2:$AH$1001,MATCH(ROWS($AG$2:AG423),$AG$2:$AG$1001,0),1)&gt;=100000,INDEX($AN$1005:$BO$1005,1,MATCH(COLUMNS($AN$1006:BB1006),$AN$1006:$BO$1006,0))&gt;=100000), " ",IF(INDEX($AN$2:$BO$1001,MATCH(ROWS($AG$2:AG423),$AG$2:$AG$1001,0),MATCH(COLUMNS($AN$1006:BB1006),$AN$1006:$BO$1006,0)), HYPERLINK("#",""), HYPERLINK(CONCATENATE("#Metadata!", ADDRESS(INDEX($AI$2:$AI$1001,MATCH(ROWS($AG$2:AG423),$AG$2:$AG$1001,0),0), INDEX($AN$1004:$BO$1004,1,MATCH(COLUMNS($AN$1006:BB1006),$AN$1006:$BO$1006,0)))),"Fix")))</f>
        <v>0</v>
      </c>
      <c r="Q423" s="4">
        <f>IF(OR(INDEX($AH$2:$AH$1001,MATCH(ROWS($AG$2:AG423),$AG$2:$AG$1001,0),1)&gt;=100000,INDEX($AN$1005:$BO$1005,1,MATCH(COLUMNS($AN$1006:BC1006),$AN$1006:$BO$1006,0))&gt;=100000), " ",IF(INDEX($AN$2:$BO$1001,MATCH(ROWS($AG$2:AG423),$AG$2:$AG$1001,0),MATCH(COLUMNS($AN$1006:BC1006),$AN$1006:$BO$1006,0)), HYPERLINK("#",""), HYPERLINK(CONCATENATE("#Metadata!", ADDRESS(INDEX($AI$2:$AI$1001,MATCH(ROWS($AG$2:AG423),$AG$2:$AG$1001,0),0), INDEX($AN$1004:$BO$1004,1,MATCH(COLUMNS($AN$1006:BC1006),$AN$1006:$BO$1006,0)))),"Fix")))</f>
        <v>0</v>
      </c>
      <c r="R423" s="4">
        <f>IF(OR(INDEX($AH$2:$AH$1001,MATCH(ROWS($AG$2:AG423),$AG$2:$AG$1001,0),1)&gt;=100000,INDEX($AN$1005:$BO$1005,1,MATCH(COLUMNS($AN$1006:BD1006),$AN$1006:$BO$1006,0))&gt;=100000), " ",IF(INDEX($AN$2:$BO$1001,MATCH(ROWS($AG$2:AG423),$AG$2:$AG$1001,0),MATCH(COLUMNS($AN$1006:BD1006),$AN$1006:$BO$1006,0)), HYPERLINK("#",""), HYPERLINK(CONCATENATE("#Metadata!", ADDRESS(INDEX($AI$2:$AI$1001,MATCH(ROWS($AG$2:AG423),$AG$2:$AG$1001,0),0), INDEX($AN$1004:$BO$1004,1,MATCH(COLUMNS($AN$1006:BD1006),$AN$1006:$BO$1006,0)))),"Fix")))</f>
        <v>0</v>
      </c>
      <c r="S423" s="4">
        <f>IF(OR(INDEX($AH$2:$AH$1001,MATCH(ROWS($AG$2:AG423),$AG$2:$AG$1001,0),1)&gt;=100000,INDEX($AN$1005:$BO$1005,1,MATCH(COLUMNS($AN$1006:BE1006),$AN$1006:$BO$1006,0))&gt;=100000), " ",IF(INDEX($AN$2:$BO$1001,MATCH(ROWS($AG$2:AG423),$AG$2:$AG$1001,0),MATCH(COLUMNS($AN$1006:BE1006),$AN$1006:$BO$1006,0)), HYPERLINK("#",""), HYPERLINK(CONCATENATE("#Metadata!", ADDRESS(INDEX($AI$2:$AI$1001,MATCH(ROWS($AG$2:AG423),$AG$2:$AG$1001,0),0), INDEX($AN$1004:$BO$1004,1,MATCH(COLUMNS($AN$1006:BE1006),$AN$1006:$BO$1006,0)))),"Fix")))</f>
        <v>0</v>
      </c>
      <c r="T423" s="4">
        <f>IF(OR(INDEX($AH$2:$AH$1001,MATCH(ROWS($AG$2:AG423),$AG$2:$AG$1001,0),1)&gt;=100000,INDEX($AN$1005:$BO$1005,1,MATCH(COLUMNS($AN$1006:BF1006),$AN$1006:$BO$1006,0))&gt;=100000), " ",IF(INDEX($AN$2:$BO$1001,MATCH(ROWS($AG$2:AG423),$AG$2:$AG$1001,0),MATCH(COLUMNS($AN$1006:BF1006),$AN$1006:$BO$1006,0)), HYPERLINK("#",""), HYPERLINK(CONCATENATE("#Metadata!", ADDRESS(INDEX($AI$2:$AI$1001,MATCH(ROWS($AG$2:AG423),$AG$2:$AG$1001,0),0), INDEX($AN$1004:$BO$1004,1,MATCH(COLUMNS($AN$1006:BF1006),$AN$1006:$BO$1006,0)))),"Fix")))</f>
        <v>0</v>
      </c>
      <c r="U423" s="4">
        <f>IF(OR(INDEX($AH$2:$AH$1001,MATCH(ROWS($AG$2:AG423),$AG$2:$AG$1001,0),1)&gt;=100000,INDEX($AN$1005:$BO$1005,1,MATCH(COLUMNS($AN$1006:BG1006),$AN$1006:$BO$1006,0))&gt;=100000), " ",IF(INDEX($AN$2:$BO$1001,MATCH(ROWS($AG$2:AG423),$AG$2:$AG$1001,0),MATCH(COLUMNS($AN$1006:BG1006),$AN$1006:$BO$1006,0)), HYPERLINK("#",""), HYPERLINK(CONCATENATE("#Metadata!", ADDRESS(INDEX($AI$2:$AI$1001,MATCH(ROWS($AG$2:AG423),$AG$2:$AG$1001,0),0), INDEX($AN$1004:$BO$1004,1,MATCH(COLUMNS($AN$1006:BG1006),$AN$1006:$BO$1006,0)))),"Fix")))</f>
        <v>0</v>
      </c>
      <c r="V423" s="4">
        <f>IF(OR(INDEX($AH$2:$AH$1001,MATCH(ROWS($AG$2:AG423),$AG$2:$AG$1001,0),1)&gt;=100000,INDEX($AN$1005:$BO$1005,1,MATCH(COLUMNS($AN$1006:BH1006),$AN$1006:$BO$1006,0))&gt;=100000), " ",IF(INDEX($AN$2:$BO$1001,MATCH(ROWS($AG$2:AG423),$AG$2:$AG$1001,0),MATCH(COLUMNS($AN$1006:BH1006),$AN$1006:$BO$1006,0)), HYPERLINK("#",""), HYPERLINK(CONCATENATE("#Metadata!", ADDRESS(INDEX($AI$2:$AI$1001,MATCH(ROWS($AG$2:AG423),$AG$2:$AG$1001,0),0), INDEX($AN$1004:$BO$1004,1,MATCH(COLUMNS($AN$1006:BH1006),$AN$1006:$BO$1006,0)))),"Fix")))</f>
        <v>0</v>
      </c>
      <c r="W423" s="4">
        <f>IF(OR(INDEX($AH$2:$AH$1001,MATCH(ROWS($AG$2:AG423),$AG$2:$AG$1001,0),1)&gt;=100000,INDEX($AN$1005:$BO$1005,1,MATCH(COLUMNS($AN$1006:BI1006),$AN$1006:$BO$1006,0))&gt;=100000), " ",IF(INDEX($AN$2:$BO$1001,MATCH(ROWS($AG$2:AG423),$AG$2:$AG$1001,0),MATCH(COLUMNS($AN$1006:BI1006),$AN$1006:$BO$1006,0)), HYPERLINK("#",""), HYPERLINK(CONCATENATE("#Metadata!", ADDRESS(INDEX($AI$2:$AI$1001,MATCH(ROWS($AG$2:AG423),$AG$2:$AG$1001,0),0), INDEX($AN$1004:$BO$1004,1,MATCH(COLUMNS($AN$1006:BI1006),$AN$1006:$BO$1006,0)))),"Fix")))</f>
        <v>0</v>
      </c>
      <c r="X423" s="4">
        <f>IF(OR(INDEX($AH$2:$AH$1001,MATCH(ROWS($AG$2:AG423),$AG$2:$AG$1001,0),1)&gt;=100000,INDEX($AN$1005:$BO$1005,1,MATCH(COLUMNS($AN$1006:BJ1006),$AN$1006:$BO$1006,0))&gt;=100000), " ",IF(INDEX($AN$2:$BO$1001,MATCH(ROWS($AG$2:AG423),$AG$2:$AG$1001,0),MATCH(COLUMNS($AN$1006:BJ1006),$AN$1006:$BO$1006,0)), HYPERLINK("#",""), HYPERLINK(CONCATENATE("#Metadata!", ADDRESS(INDEX($AI$2:$AI$1001,MATCH(ROWS($AG$2:AG423),$AG$2:$AG$1001,0),0), INDEX($AN$1004:$BO$1004,1,MATCH(COLUMNS($AN$1006:BJ1006),$AN$1006:$BO$1006,0)))),"Fix")))</f>
        <v>0</v>
      </c>
      <c r="Y423" s="4">
        <f>IF(OR(INDEX($AH$2:$AH$1001,MATCH(ROWS($AG$2:AG423),$AG$2:$AG$1001,0),1)&gt;=100000,INDEX($AN$1005:$BO$1005,1,MATCH(COLUMNS($AN$1006:BK1006),$AN$1006:$BO$1006,0))&gt;=100000), " ",IF(INDEX($AN$2:$BO$1001,MATCH(ROWS($AG$2:AG423),$AG$2:$AG$1001,0),MATCH(COLUMNS($AN$1006:BK1006),$AN$1006:$BO$1006,0)), HYPERLINK("#",""), HYPERLINK(CONCATENATE("#Metadata!", ADDRESS(INDEX($AI$2:$AI$1001,MATCH(ROWS($AG$2:AG423),$AG$2:$AG$1001,0),0), INDEX($AN$1004:$BO$1004,1,MATCH(COLUMNS($AN$1006:BK1006),$AN$1006:$BO$1006,0)))),"Fix")))</f>
        <v>0</v>
      </c>
      <c r="Z423" s="4">
        <f>IF(OR(INDEX($AH$2:$AH$1001,MATCH(ROWS($AG$2:AG423),$AG$2:$AG$1001,0),1)&gt;=100000,INDEX($AN$1005:$BO$1005,1,MATCH(COLUMNS($AN$1006:BL1006),$AN$1006:$BO$1006,0))&gt;=100000), " ",IF(INDEX($AN$2:$BO$1001,MATCH(ROWS($AG$2:AG423),$AG$2:$AG$1001,0),MATCH(COLUMNS($AN$1006:BL1006),$AN$1006:$BO$1006,0)), HYPERLINK("#",""), HYPERLINK(CONCATENATE("#Metadata!", ADDRESS(INDEX($AI$2:$AI$1001,MATCH(ROWS($AG$2:AG423),$AG$2:$AG$1001,0),0), INDEX($AN$1004:$BO$1004,1,MATCH(COLUMNS($AN$1006:BL1006),$AN$1006:$BO$1006,0)))),"Fix")))</f>
        <v>0</v>
      </c>
      <c r="AA423" s="4">
        <f>IF(OR(INDEX($AH$2:$AH$1001,MATCH(ROWS($AG$2:AG423),$AG$2:$AG$1001,0),1)&gt;=100000,INDEX($AN$1005:$BO$1005,1,MATCH(COLUMNS($AN$1006:BM1006),$AN$1006:$BO$1006,0))&gt;=100000), " ",IF(INDEX($AN$2:$BO$1001,MATCH(ROWS($AG$2:AG423),$AG$2:$AG$1001,0),MATCH(COLUMNS($AN$1006:BM1006),$AN$1006:$BO$1006,0)), HYPERLINK("#",""), HYPERLINK(CONCATENATE("#Metadata!", ADDRESS(INDEX($AI$2:$AI$1001,MATCH(ROWS($AG$2:AG423),$AG$2:$AG$1001,0),0), INDEX($AN$1004:$BO$1004,1,MATCH(COLUMNS($AN$1006:BM1006),$AN$1006:$BO$1006,0)))),"Fix")))</f>
        <v>0</v>
      </c>
      <c r="AB423" s="4">
        <f>IF(OR(INDEX($AH$2:$AH$1001,MATCH(ROWS($AG$2:AG423),$AG$2:$AG$1001,0),1)&gt;=100000,INDEX($AN$1005:$BO$1005,1,MATCH(COLUMNS($AN$1006:BN1006),$AN$1006:$BO$1006,0))&gt;=100000), " ",IF(INDEX($AN$2:$BO$1001,MATCH(ROWS($AG$2:AG423),$AG$2:$AG$1001,0),MATCH(COLUMNS($AN$1006:BN1006),$AN$1006:$BO$1006,0)), HYPERLINK("#",""), HYPERLINK(CONCATENATE("#Metadata!", ADDRESS(INDEX($AI$2:$AI$1001,MATCH(ROWS($AG$2:AG423),$AG$2:$AG$1001,0),0), INDEX($AN$1004:$BO$1004,1,MATCH(COLUMNS($AN$1006:BN1006),$AN$1006:$BO$1006,0)))),"Fix")))</f>
        <v>0</v>
      </c>
      <c r="AC423" s="4">
        <f>IF(OR(INDEX($AH$2:$AH$1001,MATCH(ROWS($AG$2:AG423),$AG$2:$AG$1001,0),1)&gt;=100000,INDEX($AN$1005:$BO$1005,1,MATCH(COLUMNS($AN$1006:BO1006),$AN$1006:$BO$1006,0))&gt;=100000), " ",IF(INDEX($AN$2:$BO$1001,MATCH(ROWS($AG$2:AG423),$AG$2:$AG$1001,0),MATCH(COLUMNS($AN$1006:BO1006),$AN$1006:$BO$1006,0)), HYPERLINK("#",""), HYPERLINK(CONCATENATE("#Metadata!", ADDRESS(INDEX($AI$2:$AI$1001,MATCH(ROWS($AG$2:AG423),$AG$2:$AG$1001,0),0), INDEX($AN$1004:$BO$1004,1,MATCH(COLUMNS($AN$1006:BO1006),$AN$1006:$BO$1006,0)))),"Fix")))</f>
        <v>0</v>
      </c>
      <c r="AG423">
        <v>0</v>
      </c>
      <c r="AH423">
        <v>0</v>
      </c>
      <c r="AI423">
        <v>0</v>
      </c>
      <c r="AJ423">
        <f>IF(AK423,TRUE,AND(AN423:BO423))</f>
        <v>0</v>
      </c>
      <c r="AK423">
        <f>COUNTBLANK(Metadata!B423:AC423)=COLUMNS(Metadata!B423:AC423)</f>
        <v>0</v>
      </c>
      <c r="AL423">
        <v>0</v>
      </c>
      <c r="AN423">
        <f>AND(IF(Metadata!B423="",FALSE,TRUE),COUNTIF(Metadata!B:B, Metadata!B423) = 1,NOT(ISERROR(SUMPRODUCT(SEARCH(MID(Metadata!B423,ROW(INDIRECT("1:"&amp;LEN(Metadata!B423))), 1),"0123456789abcdefghijklmnopqrstuvwxyzABCDEFGHIJKLMNOPQRSTUVWXYZ.")))))</f>
        <v>0</v>
      </c>
      <c r="AO423">
        <f>IF(Metadata!C423="",FALSE,TRUE)</f>
        <v>0</v>
      </c>
      <c r="AP423">
        <f>IF(Metadata!D423="",FALSE,TRUE)</f>
        <v>0</v>
      </c>
      <c r="AQ423">
        <f>OR(AND(IF(Metadata!E423="",FALSE,TRUE),OR(exact(Metadata!E423,"not collected"),exact(Metadata!E423,"not provided"),exact(Metadata!E423,"restricted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R423">
        <f>IF(Metadata!F423="",FALSE,TRUE)</f>
        <v>0</v>
      </c>
      <c r="AS423">
        <f>OR(AND(IF(Metadata!G423="",FALSE,TRUE),OR(exact(Metadata!G423,"not collected"),exact(Metadata!G423,"not provided"))),AND(IF(Metadata!G423="",FALSE,TRUE),OR(exact(Metadata!G423,"TRUE"),exact(Metadata!G423,"FALSE"))))</f>
        <v>0</v>
      </c>
      <c r="AT423">
        <f>OR(AND(IF(Metadata!H423="",FALSE,TRUE),OR(exact(Metadata!H423,"not collected"),exact(Metadata!H423,"not provided"),exact(Metadata!H423,"restricted access"))),AND(IF(Metadata!H423="",FALSE,ISNUMBER(VALUE(Metadata!H423))),Metadata!H423&gt;=-413.0))</f>
        <v>0</v>
      </c>
      <c r="AU423">
        <f>AND(IF(Metadata!I423="",FALSE,TRUE),exact(Metadata!I423,"meters"))</f>
        <v>0</v>
      </c>
      <c r="AV423">
        <f>AND(IF(Metadata!J423="",FALSE,TRUE),OR(exact(Metadata!J423,"Host-associated"),exact(Metadata!J423,"Free-living")))</f>
        <v>0</v>
      </c>
      <c r="AW423">
        <f>AND(IF(Metadata!K423="",FALSE,TRUE),OR(exact(Metadata!K423,"Animal"),exact(Metadata!K423,"Fungus"),exact(Metadata!K423,"Plant"),exact(Metadata!K423,"Saline"),exact(Metadata!K423,"Non-saline")))</f>
        <v>0</v>
      </c>
      <c r="AX423">
        <f>AND(IF(Metadata!L423="",FALSE,TRUE),OR(exact(Metadata!L423,"Plant secretion"),exact(Metadata!L423,"Plant rhizosphere"),exact(Metadata!L423,"Plant surface"),exact(Metadata!L423,"Plant corpus"),exact(Metadata!L423,"Fungus surface"),exact(Metadata!L423,"Fungus corpus"),exact(Metadata!L423,"Animal surface"),exact(Metadata!L423,"Animal proximal gut"),exact(Metadata!L423,"Animal corpus"),exact(Metadata!L423,"Animal distal gut"),exact(Metadata!L423,"Animal secretion"),exact(Metadata!L423,"Sub-surface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Y423">
        <f>IF(Metadata!M423="",FALSE,TRUE)</f>
        <v>0</v>
      </c>
      <c r="AZ423">
        <f>IF(Metadata!N423="",FALSE,TRUE)</f>
        <v>0</v>
      </c>
      <c r="BA423">
        <f>IF(Metadata!O423="",FALSE,TRUE)</f>
        <v>0</v>
      </c>
      <c r="BB423">
        <f>OR(AND(IF(Metadata!P423="",FALSE,TRUE),OR(exact(Metadata!P423,"not collected"),exact(Metadata!P423,"not provided"),exact(Metadata!P423,"restricted access"))),AND(IF(Metadata!P423="",FALSE,TRUE),OR(exact(Metadata!P423,"air"),exact(Metadata!P423,"built environment"),exact(Metadata!P423,"host-associated"),exact(Metadata!P423,"human-associated"),exact(Metadata!P423,"human-skin"),exact(Metadata!P423,"human-oral"),exact(Metadata!P423,"human-gut"),exact(Metadata!P423,"human-vaginal"),exact(Metadata!P423,"microbial mat/biofilm"),exact(Metadata!P423,"misc environment"),exact(Metadata!P423,"plant-associated"),exact(Metadata!P423,"sediment"),exact(Metadata!P423,"soil"),exact(Metadata!P423,"wastewater/sludge"),exact(Metadata!P423,"water"))))</f>
        <v>0</v>
      </c>
      <c r="BC423">
        <f>IF(Metadata!Q423="",FALSE,TRUE)</f>
        <v>0</v>
      </c>
      <c r="BD423">
        <f>IF(Metadata!R423="",FALSE,TRUE)</f>
        <v>0</v>
      </c>
      <c r="BE423">
        <f>OR(AND(IF(Metadata!S423="",FALSE,TRUE),OR(exact(Metadata!S423,"not collected"),exact(Metadata!S423,"not provided"),exact(Metadata!S423,"restricted access"))),AND(IF(Metadata!S423="",FALSE,ISNUMBER(VALUE(Metadata!S423))),Metadata!S423&gt;=-90.00,Metadata!S423&lt;=90.00))</f>
        <v>0</v>
      </c>
      <c r="BF423">
        <f>AND(IF(Metadata!T423="",FALSE,TRUE),exact(Metadata!T423,"Decimal degrees"))</f>
        <v>0</v>
      </c>
      <c r="BG423">
        <f>OR(AND(IF(Metadata!U423="",FALSE,TRUE),OR(exact(Metadata!U423,"not collected"),exact(Metadata!U423,"not provided"),exact(Metadata!U423,"restricted access"))),AND(IF(Metadata!U423="",FALSE,ISNUMBER(VALUE(Metadata!U423))),Metadata!U423&gt;=-180.00,Metadata!U423&lt;=180.00))</f>
        <v>0</v>
      </c>
      <c r="BH423">
        <f>AND(IF(Metadata!V423="",FALSE,TRUE),exact(Metadata!V423,"Decimal degrees"))</f>
        <v>0</v>
      </c>
      <c r="BI423">
        <f>IF(Metadata!W423="",FALSE,TRUE)</f>
        <v>0</v>
      </c>
      <c r="BJ423">
        <f>OR(AND(IF(Metadata!X423="",FALSE,TRUE),OR(exact(Metadata!X423,"not collected"),exact(Metadata!X423,"not provided"),exact(Metadata!X423,"restricted access"))),AND(IF(Metadata!X423="",FALSE,TRUE),OR(exact(Metadata!X423,"TRUE"),exact(Metadata!X423,"FALSE"))))</f>
        <v>0</v>
      </c>
      <c r="BK423">
        <f>AND(IF(Metadata!Y423="",FALSE,TRUE),exact(Metadata!Y423,"other"))</f>
        <v>0</v>
      </c>
      <c r="BL423">
        <f>IF(Metadata!Z423="",FALSE,TRUE)</f>
        <v>0</v>
      </c>
      <c r="BM423">
        <f>OR(AND(IF(Metadata!AA423="",FALSE,TRUE),OR(exact(Metadata!AA423,"not collected"),exact(Metadata!AA423,"not provided"))),AND(IF(Metadata!AA423="",FALSE,IF(ISERROR(INT(Metadata!AA423)),FALSE,INT(Metadata!AA423)=Metadata!AA423)),Metadata!AA423&gt;0))</f>
        <v>0</v>
      </c>
      <c r="BN423">
        <f>AND(IF(Metadata!AB423="",FALSE,TRUE),exact(Metadata!AB423,"Not applicable"))</f>
        <v>0</v>
      </c>
      <c r="BO423">
        <f>IF(Metadata!AC423="",FALSE,TRUE)</f>
        <v>0</v>
      </c>
    </row>
    <row r="424" spans="1:67">
      <c r="A424" s="5">
        <f>IF(B424=" "," ",HYPERLINK(CONCATENATE("#metadata!",ADDRESS(INDEX($AI$2:$AI$1001,MATCH(ROWS($AG$2:AG424),$AG$2:$AG$1001,0),0),1)),INDEX($AL$2:$AL$1001,MATCH(ROWS($AG$2:AG424),$AG$2:$AG$1001,0),0)))</f>
        <v>0</v>
      </c>
      <c r="B424" s="4">
        <f>IF(OR(INDEX($AH$2:$AH$1001,MATCH(ROWS($AG$2:AG424),$AG$2:$AG$1001,0),1)&gt;=100000,INDEX($AN$1005:$BO$1005,1,MATCH(COLUMNS($AN$1006:AN1006),$AN$1006:$BO$1006,0))&gt;=100000), " ",IF(INDEX($AN$2:$BO$1001,MATCH(ROWS($AG$2:AG424),$AG$2:$AG$1001,0),MATCH(COLUMNS($AN$1006:AN1006),$AN$1006:$BO$1006,0)), HYPERLINK("#",""), HYPERLINK(CONCATENATE("#Metadata!", ADDRESS(INDEX($AI$2:$AI$1001,MATCH(ROWS($AG$2:AG424),$AG$2:$AG$1001,0),0), INDEX($AN$1004:$BO$1004,1,MATCH(COLUMNS($AN$1006:AN1006),$AN$1006:$BO$1006,0)))),"Fix")))</f>
        <v>0</v>
      </c>
      <c r="C424" s="4">
        <f>IF(OR(INDEX($AH$2:$AH$1001,MATCH(ROWS($AG$2:AG424),$AG$2:$AG$1001,0),1)&gt;=100000,INDEX($AN$1005:$BO$1005,1,MATCH(COLUMNS($AN$1006:AO1006),$AN$1006:$BO$1006,0))&gt;=100000), " ",IF(INDEX($AN$2:$BO$1001,MATCH(ROWS($AG$2:AG424),$AG$2:$AG$1001,0),MATCH(COLUMNS($AN$1006:AO1006),$AN$1006:$BO$1006,0)), HYPERLINK("#",""), HYPERLINK(CONCATENATE("#Metadata!", ADDRESS(INDEX($AI$2:$AI$1001,MATCH(ROWS($AG$2:AG424),$AG$2:$AG$1001,0),0), INDEX($AN$1004:$BO$1004,1,MATCH(COLUMNS($AN$1006:AO1006),$AN$1006:$BO$1006,0)))),"Fix")))</f>
        <v>0</v>
      </c>
      <c r="D424" s="4">
        <f>IF(OR(INDEX($AH$2:$AH$1001,MATCH(ROWS($AG$2:AG424),$AG$2:$AG$1001,0),1)&gt;=100000,INDEX($AN$1005:$BO$1005,1,MATCH(COLUMNS($AN$1006:AP1006),$AN$1006:$BO$1006,0))&gt;=100000), " ",IF(INDEX($AN$2:$BO$1001,MATCH(ROWS($AG$2:AG424),$AG$2:$AG$1001,0),MATCH(COLUMNS($AN$1006:AP1006),$AN$1006:$BO$1006,0)), HYPERLINK("#",""), HYPERLINK(CONCATENATE("#Metadata!", ADDRESS(INDEX($AI$2:$AI$1001,MATCH(ROWS($AG$2:AG424),$AG$2:$AG$1001,0),0), INDEX($AN$1004:$BO$1004,1,MATCH(COLUMNS($AN$1006:AP1006),$AN$1006:$BO$1006,0)))),"Fix")))</f>
        <v>0</v>
      </c>
      <c r="E424" s="4">
        <f>IF(OR(INDEX($AH$2:$AH$1001,MATCH(ROWS($AG$2:AG424),$AG$2:$AG$1001,0),1)&gt;=100000,INDEX($AN$1005:$BO$1005,1,MATCH(COLUMNS($AN$1006:AQ1006),$AN$1006:$BO$1006,0))&gt;=100000), " ",IF(INDEX($AN$2:$BO$1001,MATCH(ROWS($AG$2:AG424),$AG$2:$AG$1001,0),MATCH(COLUMNS($AN$1006:AQ1006),$AN$1006:$BO$1006,0)), HYPERLINK("#",""), HYPERLINK(CONCATENATE("#Metadata!", ADDRESS(INDEX($AI$2:$AI$1001,MATCH(ROWS($AG$2:AG424),$AG$2:$AG$1001,0),0), INDEX($AN$1004:$BO$1004,1,MATCH(COLUMNS($AN$1006:AQ1006),$AN$1006:$BO$1006,0)))),"Fix")))</f>
        <v>0</v>
      </c>
      <c r="F424" s="4">
        <f>IF(OR(INDEX($AH$2:$AH$1001,MATCH(ROWS($AG$2:AG424),$AG$2:$AG$1001,0),1)&gt;=100000,INDEX($AN$1005:$BO$1005,1,MATCH(COLUMNS($AN$1006:AR1006),$AN$1006:$BO$1006,0))&gt;=100000), " ",IF(INDEX($AN$2:$BO$1001,MATCH(ROWS($AG$2:AG424),$AG$2:$AG$1001,0),MATCH(COLUMNS($AN$1006:AR1006),$AN$1006:$BO$1006,0)), HYPERLINK("#",""), HYPERLINK(CONCATENATE("#Metadata!", ADDRESS(INDEX($AI$2:$AI$1001,MATCH(ROWS($AG$2:AG424),$AG$2:$AG$1001,0),0), INDEX($AN$1004:$BO$1004,1,MATCH(COLUMNS($AN$1006:AR1006),$AN$1006:$BO$1006,0)))),"Fix")))</f>
        <v>0</v>
      </c>
      <c r="G424" s="4">
        <f>IF(OR(INDEX($AH$2:$AH$1001,MATCH(ROWS($AG$2:AG424),$AG$2:$AG$1001,0),1)&gt;=100000,INDEX($AN$1005:$BO$1005,1,MATCH(COLUMNS($AN$1006:AS1006),$AN$1006:$BO$1006,0))&gt;=100000), " ",IF(INDEX($AN$2:$BO$1001,MATCH(ROWS($AG$2:AG424),$AG$2:$AG$1001,0),MATCH(COLUMNS($AN$1006:AS1006),$AN$1006:$BO$1006,0)), HYPERLINK("#",""), HYPERLINK(CONCATENATE("#Metadata!", ADDRESS(INDEX($AI$2:$AI$1001,MATCH(ROWS($AG$2:AG424),$AG$2:$AG$1001,0),0), INDEX($AN$1004:$BO$1004,1,MATCH(COLUMNS($AN$1006:AS1006),$AN$1006:$BO$1006,0)))),"Fix")))</f>
        <v>0</v>
      </c>
      <c r="H424" s="4">
        <f>IF(OR(INDEX($AH$2:$AH$1001,MATCH(ROWS($AG$2:AG424),$AG$2:$AG$1001,0),1)&gt;=100000,INDEX($AN$1005:$BO$1005,1,MATCH(COLUMNS($AN$1006:AT1006),$AN$1006:$BO$1006,0))&gt;=100000), " ",IF(INDEX($AN$2:$BO$1001,MATCH(ROWS($AG$2:AG424),$AG$2:$AG$1001,0),MATCH(COLUMNS($AN$1006:AT1006),$AN$1006:$BO$1006,0)), HYPERLINK("#",""), HYPERLINK(CONCATENATE("#Metadata!", ADDRESS(INDEX($AI$2:$AI$1001,MATCH(ROWS($AG$2:AG424),$AG$2:$AG$1001,0),0), INDEX($AN$1004:$BO$1004,1,MATCH(COLUMNS($AN$1006:AT1006),$AN$1006:$BO$1006,0)))),"Fix")))</f>
        <v>0</v>
      </c>
      <c r="I424" s="4">
        <f>IF(OR(INDEX($AH$2:$AH$1001,MATCH(ROWS($AG$2:AG424),$AG$2:$AG$1001,0),1)&gt;=100000,INDEX($AN$1005:$BO$1005,1,MATCH(COLUMNS($AN$1006:AU1006),$AN$1006:$BO$1006,0))&gt;=100000), " ",IF(INDEX($AN$2:$BO$1001,MATCH(ROWS($AG$2:AG424),$AG$2:$AG$1001,0),MATCH(COLUMNS($AN$1006:AU1006),$AN$1006:$BO$1006,0)), HYPERLINK("#",""), HYPERLINK(CONCATENATE("#Metadata!", ADDRESS(INDEX($AI$2:$AI$1001,MATCH(ROWS($AG$2:AG424),$AG$2:$AG$1001,0),0), INDEX($AN$1004:$BO$1004,1,MATCH(COLUMNS($AN$1006:AU1006),$AN$1006:$BO$1006,0)))),"Fix")))</f>
        <v>0</v>
      </c>
      <c r="J424" s="4">
        <f>IF(OR(INDEX($AH$2:$AH$1001,MATCH(ROWS($AG$2:AG424),$AG$2:$AG$1001,0),1)&gt;=100000,INDEX($AN$1005:$BO$1005,1,MATCH(COLUMNS($AN$1006:AV1006),$AN$1006:$BO$1006,0))&gt;=100000), " ",IF(INDEX($AN$2:$BO$1001,MATCH(ROWS($AG$2:AG424),$AG$2:$AG$1001,0),MATCH(COLUMNS($AN$1006:AV1006),$AN$1006:$BO$1006,0)), HYPERLINK("#",""), HYPERLINK(CONCATENATE("#Metadata!", ADDRESS(INDEX($AI$2:$AI$1001,MATCH(ROWS($AG$2:AG424),$AG$2:$AG$1001,0),0), INDEX($AN$1004:$BO$1004,1,MATCH(COLUMNS($AN$1006:AV1006),$AN$1006:$BO$1006,0)))),"Fix")))</f>
        <v>0</v>
      </c>
      <c r="K424" s="4">
        <f>IF(OR(INDEX($AH$2:$AH$1001,MATCH(ROWS($AG$2:AG424),$AG$2:$AG$1001,0),1)&gt;=100000,INDEX($AN$1005:$BO$1005,1,MATCH(COLUMNS($AN$1006:AW1006),$AN$1006:$BO$1006,0))&gt;=100000), " ",IF(INDEX($AN$2:$BO$1001,MATCH(ROWS($AG$2:AG424),$AG$2:$AG$1001,0),MATCH(COLUMNS($AN$1006:AW1006),$AN$1006:$BO$1006,0)), HYPERLINK("#",""), HYPERLINK(CONCATENATE("#Metadata!", ADDRESS(INDEX($AI$2:$AI$1001,MATCH(ROWS($AG$2:AG424),$AG$2:$AG$1001,0),0), INDEX($AN$1004:$BO$1004,1,MATCH(COLUMNS($AN$1006:AW1006),$AN$1006:$BO$1006,0)))),"Fix")))</f>
        <v>0</v>
      </c>
      <c r="L424" s="4">
        <f>IF(OR(INDEX($AH$2:$AH$1001,MATCH(ROWS($AG$2:AG424),$AG$2:$AG$1001,0),1)&gt;=100000,INDEX($AN$1005:$BO$1005,1,MATCH(COLUMNS($AN$1006:AX1006),$AN$1006:$BO$1006,0))&gt;=100000), " ",IF(INDEX($AN$2:$BO$1001,MATCH(ROWS($AG$2:AG424),$AG$2:$AG$1001,0),MATCH(COLUMNS($AN$1006:AX1006),$AN$1006:$BO$1006,0)), HYPERLINK("#",""), HYPERLINK(CONCATENATE("#Metadata!", ADDRESS(INDEX($AI$2:$AI$1001,MATCH(ROWS($AG$2:AG424),$AG$2:$AG$1001,0),0), INDEX($AN$1004:$BO$1004,1,MATCH(COLUMNS($AN$1006:AX1006),$AN$1006:$BO$1006,0)))),"Fix")))</f>
        <v>0</v>
      </c>
      <c r="M424" s="4">
        <f>IF(OR(INDEX($AH$2:$AH$1001,MATCH(ROWS($AG$2:AG424),$AG$2:$AG$1001,0),1)&gt;=100000,INDEX($AN$1005:$BO$1005,1,MATCH(COLUMNS($AN$1006:AY1006),$AN$1006:$BO$1006,0))&gt;=100000), " ",IF(INDEX($AN$2:$BO$1001,MATCH(ROWS($AG$2:AG424),$AG$2:$AG$1001,0),MATCH(COLUMNS($AN$1006:AY1006),$AN$1006:$BO$1006,0)), HYPERLINK("#",""), HYPERLINK(CONCATENATE("#Metadata!", ADDRESS(INDEX($AI$2:$AI$1001,MATCH(ROWS($AG$2:AG424),$AG$2:$AG$1001,0),0), INDEX($AN$1004:$BO$1004,1,MATCH(COLUMNS($AN$1006:AY1006),$AN$1006:$BO$1006,0)))),"Fix")))</f>
        <v>0</v>
      </c>
      <c r="N424" s="4">
        <f>IF(OR(INDEX($AH$2:$AH$1001,MATCH(ROWS($AG$2:AG424),$AG$2:$AG$1001,0),1)&gt;=100000,INDEX($AN$1005:$BO$1005,1,MATCH(COLUMNS($AN$1006:AZ1006),$AN$1006:$BO$1006,0))&gt;=100000), " ",IF(INDEX($AN$2:$BO$1001,MATCH(ROWS($AG$2:AG424),$AG$2:$AG$1001,0),MATCH(COLUMNS($AN$1006:AZ1006),$AN$1006:$BO$1006,0)), HYPERLINK("#",""), HYPERLINK(CONCATENATE("#Metadata!", ADDRESS(INDEX($AI$2:$AI$1001,MATCH(ROWS($AG$2:AG424),$AG$2:$AG$1001,0),0), INDEX($AN$1004:$BO$1004,1,MATCH(COLUMNS($AN$1006:AZ1006),$AN$1006:$BO$1006,0)))),"Fix")))</f>
        <v>0</v>
      </c>
      <c r="O424" s="4">
        <f>IF(OR(INDEX($AH$2:$AH$1001,MATCH(ROWS($AG$2:AG424),$AG$2:$AG$1001,0),1)&gt;=100000,INDEX($AN$1005:$BO$1005,1,MATCH(COLUMNS($AN$1006:BA1006),$AN$1006:$BO$1006,0))&gt;=100000), " ",IF(INDEX($AN$2:$BO$1001,MATCH(ROWS($AG$2:AG424),$AG$2:$AG$1001,0),MATCH(COLUMNS($AN$1006:BA1006),$AN$1006:$BO$1006,0)), HYPERLINK("#",""), HYPERLINK(CONCATENATE("#Metadata!", ADDRESS(INDEX($AI$2:$AI$1001,MATCH(ROWS($AG$2:AG424),$AG$2:$AG$1001,0),0), INDEX($AN$1004:$BO$1004,1,MATCH(COLUMNS($AN$1006:BA1006),$AN$1006:$BO$1006,0)))),"Fix")))</f>
        <v>0</v>
      </c>
      <c r="P424" s="4">
        <f>IF(OR(INDEX($AH$2:$AH$1001,MATCH(ROWS($AG$2:AG424),$AG$2:$AG$1001,0),1)&gt;=100000,INDEX($AN$1005:$BO$1005,1,MATCH(COLUMNS($AN$1006:BB1006),$AN$1006:$BO$1006,0))&gt;=100000), " ",IF(INDEX($AN$2:$BO$1001,MATCH(ROWS($AG$2:AG424),$AG$2:$AG$1001,0),MATCH(COLUMNS($AN$1006:BB1006),$AN$1006:$BO$1006,0)), HYPERLINK("#",""), HYPERLINK(CONCATENATE("#Metadata!", ADDRESS(INDEX($AI$2:$AI$1001,MATCH(ROWS($AG$2:AG424),$AG$2:$AG$1001,0),0), INDEX($AN$1004:$BO$1004,1,MATCH(COLUMNS($AN$1006:BB1006),$AN$1006:$BO$1006,0)))),"Fix")))</f>
        <v>0</v>
      </c>
      <c r="Q424" s="4">
        <f>IF(OR(INDEX($AH$2:$AH$1001,MATCH(ROWS($AG$2:AG424),$AG$2:$AG$1001,0),1)&gt;=100000,INDEX($AN$1005:$BO$1005,1,MATCH(COLUMNS($AN$1006:BC1006),$AN$1006:$BO$1006,0))&gt;=100000), " ",IF(INDEX($AN$2:$BO$1001,MATCH(ROWS($AG$2:AG424),$AG$2:$AG$1001,0),MATCH(COLUMNS($AN$1006:BC1006),$AN$1006:$BO$1006,0)), HYPERLINK("#",""), HYPERLINK(CONCATENATE("#Metadata!", ADDRESS(INDEX($AI$2:$AI$1001,MATCH(ROWS($AG$2:AG424),$AG$2:$AG$1001,0),0), INDEX($AN$1004:$BO$1004,1,MATCH(COLUMNS($AN$1006:BC1006),$AN$1006:$BO$1006,0)))),"Fix")))</f>
        <v>0</v>
      </c>
      <c r="R424" s="4">
        <f>IF(OR(INDEX($AH$2:$AH$1001,MATCH(ROWS($AG$2:AG424),$AG$2:$AG$1001,0),1)&gt;=100000,INDEX($AN$1005:$BO$1005,1,MATCH(COLUMNS($AN$1006:BD1006),$AN$1006:$BO$1006,0))&gt;=100000), " ",IF(INDEX($AN$2:$BO$1001,MATCH(ROWS($AG$2:AG424),$AG$2:$AG$1001,0),MATCH(COLUMNS($AN$1006:BD1006),$AN$1006:$BO$1006,0)), HYPERLINK("#",""), HYPERLINK(CONCATENATE("#Metadata!", ADDRESS(INDEX($AI$2:$AI$1001,MATCH(ROWS($AG$2:AG424),$AG$2:$AG$1001,0),0), INDEX($AN$1004:$BO$1004,1,MATCH(COLUMNS($AN$1006:BD1006),$AN$1006:$BO$1006,0)))),"Fix")))</f>
        <v>0</v>
      </c>
      <c r="S424" s="4">
        <f>IF(OR(INDEX($AH$2:$AH$1001,MATCH(ROWS($AG$2:AG424),$AG$2:$AG$1001,0),1)&gt;=100000,INDEX($AN$1005:$BO$1005,1,MATCH(COLUMNS($AN$1006:BE1006),$AN$1006:$BO$1006,0))&gt;=100000), " ",IF(INDEX($AN$2:$BO$1001,MATCH(ROWS($AG$2:AG424),$AG$2:$AG$1001,0),MATCH(COLUMNS($AN$1006:BE1006),$AN$1006:$BO$1006,0)), HYPERLINK("#",""), HYPERLINK(CONCATENATE("#Metadata!", ADDRESS(INDEX($AI$2:$AI$1001,MATCH(ROWS($AG$2:AG424),$AG$2:$AG$1001,0),0), INDEX($AN$1004:$BO$1004,1,MATCH(COLUMNS($AN$1006:BE1006),$AN$1006:$BO$1006,0)))),"Fix")))</f>
        <v>0</v>
      </c>
      <c r="T424" s="4">
        <f>IF(OR(INDEX($AH$2:$AH$1001,MATCH(ROWS($AG$2:AG424),$AG$2:$AG$1001,0),1)&gt;=100000,INDEX($AN$1005:$BO$1005,1,MATCH(COLUMNS($AN$1006:BF1006),$AN$1006:$BO$1006,0))&gt;=100000), " ",IF(INDEX($AN$2:$BO$1001,MATCH(ROWS($AG$2:AG424),$AG$2:$AG$1001,0),MATCH(COLUMNS($AN$1006:BF1006),$AN$1006:$BO$1006,0)), HYPERLINK("#",""), HYPERLINK(CONCATENATE("#Metadata!", ADDRESS(INDEX($AI$2:$AI$1001,MATCH(ROWS($AG$2:AG424),$AG$2:$AG$1001,0),0), INDEX($AN$1004:$BO$1004,1,MATCH(COLUMNS($AN$1006:BF1006),$AN$1006:$BO$1006,0)))),"Fix")))</f>
        <v>0</v>
      </c>
      <c r="U424" s="4">
        <f>IF(OR(INDEX($AH$2:$AH$1001,MATCH(ROWS($AG$2:AG424),$AG$2:$AG$1001,0),1)&gt;=100000,INDEX($AN$1005:$BO$1005,1,MATCH(COLUMNS($AN$1006:BG1006),$AN$1006:$BO$1006,0))&gt;=100000), " ",IF(INDEX($AN$2:$BO$1001,MATCH(ROWS($AG$2:AG424),$AG$2:$AG$1001,0),MATCH(COLUMNS($AN$1006:BG1006),$AN$1006:$BO$1006,0)), HYPERLINK("#",""), HYPERLINK(CONCATENATE("#Metadata!", ADDRESS(INDEX($AI$2:$AI$1001,MATCH(ROWS($AG$2:AG424),$AG$2:$AG$1001,0),0), INDEX($AN$1004:$BO$1004,1,MATCH(COLUMNS($AN$1006:BG1006),$AN$1006:$BO$1006,0)))),"Fix")))</f>
        <v>0</v>
      </c>
      <c r="V424" s="4">
        <f>IF(OR(INDEX($AH$2:$AH$1001,MATCH(ROWS($AG$2:AG424),$AG$2:$AG$1001,0),1)&gt;=100000,INDEX($AN$1005:$BO$1005,1,MATCH(COLUMNS($AN$1006:BH1006),$AN$1006:$BO$1006,0))&gt;=100000), " ",IF(INDEX($AN$2:$BO$1001,MATCH(ROWS($AG$2:AG424),$AG$2:$AG$1001,0),MATCH(COLUMNS($AN$1006:BH1006),$AN$1006:$BO$1006,0)), HYPERLINK("#",""), HYPERLINK(CONCATENATE("#Metadata!", ADDRESS(INDEX($AI$2:$AI$1001,MATCH(ROWS($AG$2:AG424),$AG$2:$AG$1001,0),0), INDEX($AN$1004:$BO$1004,1,MATCH(COLUMNS($AN$1006:BH1006),$AN$1006:$BO$1006,0)))),"Fix")))</f>
        <v>0</v>
      </c>
      <c r="W424" s="4">
        <f>IF(OR(INDEX($AH$2:$AH$1001,MATCH(ROWS($AG$2:AG424),$AG$2:$AG$1001,0),1)&gt;=100000,INDEX($AN$1005:$BO$1005,1,MATCH(COLUMNS($AN$1006:BI1006),$AN$1006:$BO$1006,0))&gt;=100000), " ",IF(INDEX($AN$2:$BO$1001,MATCH(ROWS($AG$2:AG424),$AG$2:$AG$1001,0),MATCH(COLUMNS($AN$1006:BI1006),$AN$1006:$BO$1006,0)), HYPERLINK("#",""), HYPERLINK(CONCATENATE("#Metadata!", ADDRESS(INDEX($AI$2:$AI$1001,MATCH(ROWS($AG$2:AG424),$AG$2:$AG$1001,0),0), INDEX($AN$1004:$BO$1004,1,MATCH(COLUMNS($AN$1006:BI1006),$AN$1006:$BO$1006,0)))),"Fix")))</f>
        <v>0</v>
      </c>
      <c r="X424" s="4">
        <f>IF(OR(INDEX($AH$2:$AH$1001,MATCH(ROWS($AG$2:AG424),$AG$2:$AG$1001,0),1)&gt;=100000,INDEX($AN$1005:$BO$1005,1,MATCH(COLUMNS($AN$1006:BJ1006),$AN$1006:$BO$1006,0))&gt;=100000), " ",IF(INDEX($AN$2:$BO$1001,MATCH(ROWS($AG$2:AG424),$AG$2:$AG$1001,0),MATCH(COLUMNS($AN$1006:BJ1006),$AN$1006:$BO$1006,0)), HYPERLINK("#",""), HYPERLINK(CONCATENATE("#Metadata!", ADDRESS(INDEX($AI$2:$AI$1001,MATCH(ROWS($AG$2:AG424),$AG$2:$AG$1001,0),0), INDEX($AN$1004:$BO$1004,1,MATCH(COLUMNS($AN$1006:BJ1006),$AN$1006:$BO$1006,0)))),"Fix")))</f>
        <v>0</v>
      </c>
      <c r="Y424" s="4">
        <f>IF(OR(INDEX($AH$2:$AH$1001,MATCH(ROWS($AG$2:AG424),$AG$2:$AG$1001,0),1)&gt;=100000,INDEX($AN$1005:$BO$1005,1,MATCH(COLUMNS($AN$1006:BK1006),$AN$1006:$BO$1006,0))&gt;=100000), " ",IF(INDEX($AN$2:$BO$1001,MATCH(ROWS($AG$2:AG424),$AG$2:$AG$1001,0),MATCH(COLUMNS($AN$1006:BK1006),$AN$1006:$BO$1006,0)), HYPERLINK("#",""), HYPERLINK(CONCATENATE("#Metadata!", ADDRESS(INDEX($AI$2:$AI$1001,MATCH(ROWS($AG$2:AG424),$AG$2:$AG$1001,0),0), INDEX($AN$1004:$BO$1004,1,MATCH(COLUMNS($AN$1006:BK1006),$AN$1006:$BO$1006,0)))),"Fix")))</f>
        <v>0</v>
      </c>
      <c r="Z424" s="4">
        <f>IF(OR(INDEX($AH$2:$AH$1001,MATCH(ROWS($AG$2:AG424),$AG$2:$AG$1001,0),1)&gt;=100000,INDEX($AN$1005:$BO$1005,1,MATCH(COLUMNS($AN$1006:BL1006),$AN$1006:$BO$1006,0))&gt;=100000), " ",IF(INDEX($AN$2:$BO$1001,MATCH(ROWS($AG$2:AG424),$AG$2:$AG$1001,0),MATCH(COLUMNS($AN$1006:BL1006),$AN$1006:$BO$1006,0)), HYPERLINK("#",""), HYPERLINK(CONCATENATE("#Metadata!", ADDRESS(INDEX($AI$2:$AI$1001,MATCH(ROWS($AG$2:AG424),$AG$2:$AG$1001,0),0), INDEX($AN$1004:$BO$1004,1,MATCH(COLUMNS($AN$1006:BL1006),$AN$1006:$BO$1006,0)))),"Fix")))</f>
        <v>0</v>
      </c>
      <c r="AA424" s="4">
        <f>IF(OR(INDEX($AH$2:$AH$1001,MATCH(ROWS($AG$2:AG424),$AG$2:$AG$1001,0),1)&gt;=100000,INDEX($AN$1005:$BO$1005,1,MATCH(COLUMNS($AN$1006:BM1006),$AN$1006:$BO$1006,0))&gt;=100000), " ",IF(INDEX($AN$2:$BO$1001,MATCH(ROWS($AG$2:AG424),$AG$2:$AG$1001,0),MATCH(COLUMNS($AN$1006:BM1006),$AN$1006:$BO$1006,0)), HYPERLINK("#",""), HYPERLINK(CONCATENATE("#Metadata!", ADDRESS(INDEX($AI$2:$AI$1001,MATCH(ROWS($AG$2:AG424),$AG$2:$AG$1001,0),0), INDEX($AN$1004:$BO$1004,1,MATCH(COLUMNS($AN$1006:BM1006),$AN$1006:$BO$1006,0)))),"Fix")))</f>
        <v>0</v>
      </c>
      <c r="AB424" s="4">
        <f>IF(OR(INDEX($AH$2:$AH$1001,MATCH(ROWS($AG$2:AG424),$AG$2:$AG$1001,0),1)&gt;=100000,INDEX($AN$1005:$BO$1005,1,MATCH(COLUMNS($AN$1006:BN1006),$AN$1006:$BO$1006,0))&gt;=100000), " ",IF(INDEX($AN$2:$BO$1001,MATCH(ROWS($AG$2:AG424),$AG$2:$AG$1001,0),MATCH(COLUMNS($AN$1006:BN1006),$AN$1006:$BO$1006,0)), HYPERLINK("#",""), HYPERLINK(CONCATENATE("#Metadata!", ADDRESS(INDEX($AI$2:$AI$1001,MATCH(ROWS($AG$2:AG424),$AG$2:$AG$1001,0),0), INDEX($AN$1004:$BO$1004,1,MATCH(COLUMNS($AN$1006:BN1006),$AN$1006:$BO$1006,0)))),"Fix")))</f>
        <v>0</v>
      </c>
      <c r="AC424" s="4">
        <f>IF(OR(INDEX($AH$2:$AH$1001,MATCH(ROWS($AG$2:AG424),$AG$2:$AG$1001,0),1)&gt;=100000,INDEX($AN$1005:$BO$1005,1,MATCH(COLUMNS($AN$1006:BO1006),$AN$1006:$BO$1006,0))&gt;=100000), " ",IF(INDEX($AN$2:$BO$1001,MATCH(ROWS($AG$2:AG424),$AG$2:$AG$1001,0),MATCH(COLUMNS($AN$1006:BO1006),$AN$1006:$BO$1006,0)), HYPERLINK("#",""), HYPERLINK(CONCATENATE("#Metadata!", ADDRESS(INDEX($AI$2:$AI$1001,MATCH(ROWS($AG$2:AG424),$AG$2:$AG$1001,0),0), INDEX($AN$1004:$BO$1004,1,MATCH(COLUMNS($AN$1006:BO1006),$AN$1006:$BO$1006,0)))),"Fix")))</f>
        <v>0</v>
      </c>
      <c r="AG424">
        <v>0</v>
      </c>
      <c r="AH424">
        <v>0</v>
      </c>
      <c r="AI424">
        <v>0</v>
      </c>
      <c r="AJ424">
        <f>IF(AK424,TRUE,AND(AN424:BO424))</f>
        <v>0</v>
      </c>
      <c r="AK424">
        <f>COUNTBLANK(Metadata!B424:AC424)=COLUMNS(Metadata!B424:AC424)</f>
        <v>0</v>
      </c>
      <c r="AL424">
        <v>0</v>
      </c>
      <c r="AN424">
        <f>AND(IF(Metadata!B424="",FALSE,TRUE),COUNTIF(Metadata!B:B, Metadata!B424) = 1,NOT(ISERROR(SUMPRODUCT(SEARCH(MID(Metadata!B424,ROW(INDIRECT("1:"&amp;LEN(Metadata!B424))), 1),"0123456789abcdefghijklmnopqrstuvwxyzABCDEFGHIJKLMNOPQRSTUVWXYZ.")))))</f>
        <v>0</v>
      </c>
      <c r="AO424">
        <f>IF(Metadata!C424="",FALSE,TRUE)</f>
        <v>0</v>
      </c>
      <c r="AP424">
        <f>IF(Metadata!D424="",FALSE,TRUE)</f>
        <v>0</v>
      </c>
      <c r="AQ424">
        <f>OR(AND(IF(Metadata!E424="",FALSE,TRUE),OR(exact(Metadata!E424,"not collected"),exact(Metadata!E424,"not provided"),exact(Metadata!E424,"restricted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R424">
        <f>IF(Metadata!F424="",FALSE,TRUE)</f>
        <v>0</v>
      </c>
      <c r="AS424">
        <f>OR(AND(IF(Metadata!G424="",FALSE,TRUE),OR(exact(Metadata!G424,"not collected"),exact(Metadata!G424,"not provided"))),AND(IF(Metadata!G424="",FALSE,TRUE),OR(exact(Metadata!G424,"TRUE"),exact(Metadata!G424,"FALSE"))))</f>
        <v>0</v>
      </c>
      <c r="AT424">
        <f>OR(AND(IF(Metadata!H424="",FALSE,TRUE),OR(exact(Metadata!H424,"not collected"),exact(Metadata!H424,"not provided"),exact(Metadata!H424,"restricted access"))),AND(IF(Metadata!H424="",FALSE,ISNUMBER(VALUE(Metadata!H424))),Metadata!H424&gt;=-413.0))</f>
        <v>0</v>
      </c>
      <c r="AU424">
        <f>AND(IF(Metadata!I424="",FALSE,TRUE),exact(Metadata!I424,"meters"))</f>
        <v>0</v>
      </c>
      <c r="AV424">
        <f>AND(IF(Metadata!J424="",FALSE,TRUE),OR(exact(Metadata!J424,"Host-associated"),exact(Metadata!J424,"Free-living")))</f>
        <v>0</v>
      </c>
      <c r="AW424">
        <f>AND(IF(Metadata!K424="",FALSE,TRUE),OR(exact(Metadata!K424,"Animal"),exact(Metadata!K424,"Fungus"),exact(Metadata!K424,"Plant"),exact(Metadata!K424,"Saline"),exact(Metadata!K424,"Non-saline")))</f>
        <v>0</v>
      </c>
      <c r="AX424">
        <f>AND(IF(Metadata!L424="",FALSE,TRUE),OR(exact(Metadata!L424,"Plant secretion"),exact(Metadata!L424,"Plant rhizosphere"),exact(Metadata!L424,"Plant surface"),exact(Metadata!L424,"Plant corpus"),exact(Metadata!L424,"Fungus surface"),exact(Metadata!L424,"Fungus corpus"),exact(Metadata!L424,"Animal surface"),exact(Metadata!L424,"Animal proximal gut"),exact(Metadata!L424,"Animal corpus"),exact(Metadata!L424,"Animal distal gut"),exact(Metadata!L424,"Animal secretion"),exact(Metadata!L424,"Sub-surface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Y424">
        <f>IF(Metadata!M424="",FALSE,TRUE)</f>
        <v>0</v>
      </c>
      <c r="AZ424">
        <f>IF(Metadata!N424="",FALSE,TRUE)</f>
        <v>0</v>
      </c>
      <c r="BA424">
        <f>IF(Metadata!O424="",FALSE,TRUE)</f>
        <v>0</v>
      </c>
      <c r="BB424">
        <f>OR(AND(IF(Metadata!P424="",FALSE,TRUE),OR(exact(Metadata!P424,"not collected"),exact(Metadata!P424,"not provided"),exact(Metadata!P424,"restricted access"))),AND(IF(Metadata!P424="",FALSE,TRUE),OR(exact(Metadata!P424,"air"),exact(Metadata!P424,"built environment"),exact(Metadata!P424,"host-associated"),exact(Metadata!P424,"human-associated"),exact(Metadata!P424,"human-skin"),exact(Metadata!P424,"human-oral"),exact(Metadata!P424,"human-gut"),exact(Metadata!P424,"human-vaginal"),exact(Metadata!P424,"microbial mat/biofilm"),exact(Metadata!P424,"misc environment"),exact(Metadata!P424,"plant-associated"),exact(Metadata!P424,"sediment"),exact(Metadata!P424,"soil"),exact(Metadata!P424,"wastewater/sludge"),exact(Metadata!P424,"water"))))</f>
        <v>0</v>
      </c>
      <c r="BC424">
        <f>IF(Metadata!Q424="",FALSE,TRUE)</f>
        <v>0</v>
      </c>
      <c r="BD424">
        <f>IF(Metadata!R424="",FALSE,TRUE)</f>
        <v>0</v>
      </c>
      <c r="BE424">
        <f>OR(AND(IF(Metadata!S424="",FALSE,TRUE),OR(exact(Metadata!S424,"not collected"),exact(Metadata!S424,"not provided"),exact(Metadata!S424,"restricted access"))),AND(IF(Metadata!S424="",FALSE,ISNUMBER(VALUE(Metadata!S424))),Metadata!S424&gt;=-90.00,Metadata!S424&lt;=90.00))</f>
        <v>0</v>
      </c>
      <c r="BF424">
        <f>AND(IF(Metadata!T424="",FALSE,TRUE),exact(Metadata!T424,"Decimal degrees"))</f>
        <v>0</v>
      </c>
      <c r="BG424">
        <f>OR(AND(IF(Metadata!U424="",FALSE,TRUE),OR(exact(Metadata!U424,"not collected"),exact(Metadata!U424,"not provided"),exact(Metadata!U424,"restricted access"))),AND(IF(Metadata!U424="",FALSE,ISNUMBER(VALUE(Metadata!U424))),Metadata!U424&gt;=-180.00,Metadata!U424&lt;=180.00))</f>
        <v>0</v>
      </c>
      <c r="BH424">
        <f>AND(IF(Metadata!V424="",FALSE,TRUE),exact(Metadata!V424,"Decimal degrees"))</f>
        <v>0</v>
      </c>
      <c r="BI424">
        <f>IF(Metadata!W424="",FALSE,TRUE)</f>
        <v>0</v>
      </c>
      <c r="BJ424">
        <f>OR(AND(IF(Metadata!X424="",FALSE,TRUE),OR(exact(Metadata!X424,"not collected"),exact(Metadata!X424,"not provided"),exact(Metadata!X424,"restricted access"))),AND(IF(Metadata!X424="",FALSE,TRUE),OR(exact(Metadata!X424,"TRUE"),exact(Metadata!X424,"FALSE"))))</f>
        <v>0</v>
      </c>
      <c r="BK424">
        <f>AND(IF(Metadata!Y424="",FALSE,TRUE),exact(Metadata!Y424,"other"))</f>
        <v>0</v>
      </c>
      <c r="BL424">
        <f>IF(Metadata!Z424="",FALSE,TRUE)</f>
        <v>0</v>
      </c>
      <c r="BM424">
        <f>OR(AND(IF(Metadata!AA424="",FALSE,TRUE),OR(exact(Metadata!AA424,"not collected"),exact(Metadata!AA424,"not provided"))),AND(IF(Metadata!AA424="",FALSE,IF(ISERROR(INT(Metadata!AA424)),FALSE,INT(Metadata!AA424)=Metadata!AA424)),Metadata!AA424&gt;0))</f>
        <v>0</v>
      </c>
      <c r="BN424">
        <f>AND(IF(Metadata!AB424="",FALSE,TRUE),exact(Metadata!AB424,"Not applicable"))</f>
        <v>0</v>
      </c>
      <c r="BO424">
        <f>IF(Metadata!AC424="",FALSE,TRUE)</f>
        <v>0</v>
      </c>
    </row>
    <row r="425" spans="1:67">
      <c r="A425" s="5">
        <f>IF(B425=" "," ",HYPERLINK(CONCATENATE("#metadata!",ADDRESS(INDEX($AI$2:$AI$1001,MATCH(ROWS($AG$2:AG425),$AG$2:$AG$1001,0),0),1)),INDEX($AL$2:$AL$1001,MATCH(ROWS($AG$2:AG425),$AG$2:$AG$1001,0),0)))</f>
        <v>0</v>
      </c>
      <c r="B425" s="4">
        <f>IF(OR(INDEX($AH$2:$AH$1001,MATCH(ROWS($AG$2:AG425),$AG$2:$AG$1001,0),1)&gt;=100000,INDEX($AN$1005:$BO$1005,1,MATCH(COLUMNS($AN$1006:AN1006),$AN$1006:$BO$1006,0))&gt;=100000), " ",IF(INDEX($AN$2:$BO$1001,MATCH(ROWS($AG$2:AG425),$AG$2:$AG$1001,0),MATCH(COLUMNS($AN$1006:AN1006),$AN$1006:$BO$1006,0)), HYPERLINK("#",""), HYPERLINK(CONCATENATE("#Metadata!", ADDRESS(INDEX($AI$2:$AI$1001,MATCH(ROWS($AG$2:AG425),$AG$2:$AG$1001,0),0), INDEX($AN$1004:$BO$1004,1,MATCH(COLUMNS($AN$1006:AN1006),$AN$1006:$BO$1006,0)))),"Fix")))</f>
        <v>0</v>
      </c>
      <c r="C425" s="4">
        <f>IF(OR(INDEX($AH$2:$AH$1001,MATCH(ROWS($AG$2:AG425),$AG$2:$AG$1001,0),1)&gt;=100000,INDEX($AN$1005:$BO$1005,1,MATCH(COLUMNS($AN$1006:AO1006),$AN$1006:$BO$1006,0))&gt;=100000), " ",IF(INDEX($AN$2:$BO$1001,MATCH(ROWS($AG$2:AG425),$AG$2:$AG$1001,0),MATCH(COLUMNS($AN$1006:AO1006),$AN$1006:$BO$1006,0)), HYPERLINK("#",""), HYPERLINK(CONCATENATE("#Metadata!", ADDRESS(INDEX($AI$2:$AI$1001,MATCH(ROWS($AG$2:AG425),$AG$2:$AG$1001,0),0), INDEX($AN$1004:$BO$1004,1,MATCH(COLUMNS($AN$1006:AO1006),$AN$1006:$BO$1006,0)))),"Fix")))</f>
        <v>0</v>
      </c>
      <c r="D425" s="4">
        <f>IF(OR(INDEX($AH$2:$AH$1001,MATCH(ROWS($AG$2:AG425),$AG$2:$AG$1001,0),1)&gt;=100000,INDEX($AN$1005:$BO$1005,1,MATCH(COLUMNS($AN$1006:AP1006),$AN$1006:$BO$1006,0))&gt;=100000), " ",IF(INDEX($AN$2:$BO$1001,MATCH(ROWS($AG$2:AG425),$AG$2:$AG$1001,0),MATCH(COLUMNS($AN$1006:AP1006),$AN$1006:$BO$1006,0)), HYPERLINK("#",""), HYPERLINK(CONCATENATE("#Metadata!", ADDRESS(INDEX($AI$2:$AI$1001,MATCH(ROWS($AG$2:AG425),$AG$2:$AG$1001,0),0), INDEX($AN$1004:$BO$1004,1,MATCH(COLUMNS($AN$1006:AP1006),$AN$1006:$BO$1006,0)))),"Fix")))</f>
        <v>0</v>
      </c>
      <c r="E425" s="4">
        <f>IF(OR(INDEX($AH$2:$AH$1001,MATCH(ROWS($AG$2:AG425),$AG$2:$AG$1001,0),1)&gt;=100000,INDEX($AN$1005:$BO$1005,1,MATCH(COLUMNS($AN$1006:AQ1006),$AN$1006:$BO$1006,0))&gt;=100000), " ",IF(INDEX($AN$2:$BO$1001,MATCH(ROWS($AG$2:AG425),$AG$2:$AG$1001,0),MATCH(COLUMNS($AN$1006:AQ1006),$AN$1006:$BO$1006,0)), HYPERLINK("#",""), HYPERLINK(CONCATENATE("#Metadata!", ADDRESS(INDEX($AI$2:$AI$1001,MATCH(ROWS($AG$2:AG425),$AG$2:$AG$1001,0),0), INDEX($AN$1004:$BO$1004,1,MATCH(COLUMNS($AN$1006:AQ1006),$AN$1006:$BO$1006,0)))),"Fix")))</f>
        <v>0</v>
      </c>
      <c r="F425" s="4">
        <f>IF(OR(INDEX($AH$2:$AH$1001,MATCH(ROWS($AG$2:AG425),$AG$2:$AG$1001,0),1)&gt;=100000,INDEX($AN$1005:$BO$1005,1,MATCH(COLUMNS($AN$1006:AR1006),$AN$1006:$BO$1006,0))&gt;=100000), " ",IF(INDEX($AN$2:$BO$1001,MATCH(ROWS($AG$2:AG425),$AG$2:$AG$1001,0),MATCH(COLUMNS($AN$1006:AR1006),$AN$1006:$BO$1006,0)), HYPERLINK("#",""), HYPERLINK(CONCATENATE("#Metadata!", ADDRESS(INDEX($AI$2:$AI$1001,MATCH(ROWS($AG$2:AG425),$AG$2:$AG$1001,0),0), INDEX($AN$1004:$BO$1004,1,MATCH(COLUMNS($AN$1006:AR1006),$AN$1006:$BO$1006,0)))),"Fix")))</f>
        <v>0</v>
      </c>
      <c r="G425" s="4">
        <f>IF(OR(INDEX($AH$2:$AH$1001,MATCH(ROWS($AG$2:AG425),$AG$2:$AG$1001,0),1)&gt;=100000,INDEX($AN$1005:$BO$1005,1,MATCH(COLUMNS($AN$1006:AS1006),$AN$1006:$BO$1006,0))&gt;=100000), " ",IF(INDEX($AN$2:$BO$1001,MATCH(ROWS($AG$2:AG425),$AG$2:$AG$1001,0),MATCH(COLUMNS($AN$1006:AS1006),$AN$1006:$BO$1006,0)), HYPERLINK("#",""), HYPERLINK(CONCATENATE("#Metadata!", ADDRESS(INDEX($AI$2:$AI$1001,MATCH(ROWS($AG$2:AG425),$AG$2:$AG$1001,0),0), INDEX($AN$1004:$BO$1004,1,MATCH(COLUMNS($AN$1006:AS1006),$AN$1006:$BO$1006,0)))),"Fix")))</f>
        <v>0</v>
      </c>
      <c r="H425" s="4">
        <f>IF(OR(INDEX($AH$2:$AH$1001,MATCH(ROWS($AG$2:AG425),$AG$2:$AG$1001,0),1)&gt;=100000,INDEX($AN$1005:$BO$1005,1,MATCH(COLUMNS($AN$1006:AT1006),$AN$1006:$BO$1006,0))&gt;=100000), " ",IF(INDEX($AN$2:$BO$1001,MATCH(ROWS($AG$2:AG425),$AG$2:$AG$1001,0),MATCH(COLUMNS($AN$1006:AT1006),$AN$1006:$BO$1006,0)), HYPERLINK("#",""), HYPERLINK(CONCATENATE("#Metadata!", ADDRESS(INDEX($AI$2:$AI$1001,MATCH(ROWS($AG$2:AG425),$AG$2:$AG$1001,0),0), INDEX($AN$1004:$BO$1004,1,MATCH(COLUMNS($AN$1006:AT1006),$AN$1006:$BO$1006,0)))),"Fix")))</f>
        <v>0</v>
      </c>
      <c r="I425" s="4">
        <f>IF(OR(INDEX($AH$2:$AH$1001,MATCH(ROWS($AG$2:AG425),$AG$2:$AG$1001,0),1)&gt;=100000,INDEX($AN$1005:$BO$1005,1,MATCH(COLUMNS($AN$1006:AU1006),$AN$1006:$BO$1006,0))&gt;=100000), " ",IF(INDEX($AN$2:$BO$1001,MATCH(ROWS($AG$2:AG425),$AG$2:$AG$1001,0),MATCH(COLUMNS($AN$1006:AU1006),$AN$1006:$BO$1006,0)), HYPERLINK("#",""), HYPERLINK(CONCATENATE("#Metadata!", ADDRESS(INDEX($AI$2:$AI$1001,MATCH(ROWS($AG$2:AG425),$AG$2:$AG$1001,0),0), INDEX($AN$1004:$BO$1004,1,MATCH(COLUMNS($AN$1006:AU1006),$AN$1006:$BO$1006,0)))),"Fix")))</f>
        <v>0</v>
      </c>
      <c r="J425" s="4">
        <f>IF(OR(INDEX($AH$2:$AH$1001,MATCH(ROWS($AG$2:AG425),$AG$2:$AG$1001,0),1)&gt;=100000,INDEX($AN$1005:$BO$1005,1,MATCH(COLUMNS($AN$1006:AV1006),$AN$1006:$BO$1006,0))&gt;=100000), " ",IF(INDEX($AN$2:$BO$1001,MATCH(ROWS($AG$2:AG425),$AG$2:$AG$1001,0),MATCH(COLUMNS($AN$1006:AV1006),$AN$1006:$BO$1006,0)), HYPERLINK("#",""), HYPERLINK(CONCATENATE("#Metadata!", ADDRESS(INDEX($AI$2:$AI$1001,MATCH(ROWS($AG$2:AG425),$AG$2:$AG$1001,0),0), INDEX($AN$1004:$BO$1004,1,MATCH(COLUMNS($AN$1006:AV1006),$AN$1006:$BO$1006,0)))),"Fix")))</f>
        <v>0</v>
      </c>
      <c r="K425" s="4">
        <f>IF(OR(INDEX($AH$2:$AH$1001,MATCH(ROWS($AG$2:AG425),$AG$2:$AG$1001,0),1)&gt;=100000,INDEX($AN$1005:$BO$1005,1,MATCH(COLUMNS($AN$1006:AW1006),$AN$1006:$BO$1006,0))&gt;=100000), " ",IF(INDEX($AN$2:$BO$1001,MATCH(ROWS($AG$2:AG425),$AG$2:$AG$1001,0),MATCH(COLUMNS($AN$1006:AW1006),$AN$1006:$BO$1006,0)), HYPERLINK("#",""), HYPERLINK(CONCATENATE("#Metadata!", ADDRESS(INDEX($AI$2:$AI$1001,MATCH(ROWS($AG$2:AG425),$AG$2:$AG$1001,0),0), INDEX($AN$1004:$BO$1004,1,MATCH(COLUMNS($AN$1006:AW1006),$AN$1006:$BO$1006,0)))),"Fix")))</f>
        <v>0</v>
      </c>
      <c r="L425" s="4">
        <f>IF(OR(INDEX($AH$2:$AH$1001,MATCH(ROWS($AG$2:AG425),$AG$2:$AG$1001,0),1)&gt;=100000,INDEX($AN$1005:$BO$1005,1,MATCH(COLUMNS($AN$1006:AX1006),$AN$1006:$BO$1006,0))&gt;=100000), " ",IF(INDEX($AN$2:$BO$1001,MATCH(ROWS($AG$2:AG425),$AG$2:$AG$1001,0),MATCH(COLUMNS($AN$1006:AX1006),$AN$1006:$BO$1006,0)), HYPERLINK("#",""), HYPERLINK(CONCATENATE("#Metadata!", ADDRESS(INDEX($AI$2:$AI$1001,MATCH(ROWS($AG$2:AG425),$AG$2:$AG$1001,0),0), INDEX($AN$1004:$BO$1004,1,MATCH(COLUMNS($AN$1006:AX1006),$AN$1006:$BO$1006,0)))),"Fix")))</f>
        <v>0</v>
      </c>
      <c r="M425" s="4">
        <f>IF(OR(INDEX($AH$2:$AH$1001,MATCH(ROWS($AG$2:AG425),$AG$2:$AG$1001,0),1)&gt;=100000,INDEX($AN$1005:$BO$1005,1,MATCH(COLUMNS($AN$1006:AY1006),$AN$1006:$BO$1006,0))&gt;=100000), " ",IF(INDEX($AN$2:$BO$1001,MATCH(ROWS($AG$2:AG425),$AG$2:$AG$1001,0),MATCH(COLUMNS($AN$1006:AY1006),$AN$1006:$BO$1006,0)), HYPERLINK("#",""), HYPERLINK(CONCATENATE("#Metadata!", ADDRESS(INDEX($AI$2:$AI$1001,MATCH(ROWS($AG$2:AG425),$AG$2:$AG$1001,0),0), INDEX($AN$1004:$BO$1004,1,MATCH(COLUMNS($AN$1006:AY1006),$AN$1006:$BO$1006,0)))),"Fix")))</f>
        <v>0</v>
      </c>
      <c r="N425" s="4">
        <f>IF(OR(INDEX($AH$2:$AH$1001,MATCH(ROWS($AG$2:AG425),$AG$2:$AG$1001,0),1)&gt;=100000,INDEX($AN$1005:$BO$1005,1,MATCH(COLUMNS($AN$1006:AZ1006),$AN$1006:$BO$1006,0))&gt;=100000), " ",IF(INDEX($AN$2:$BO$1001,MATCH(ROWS($AG$2:AG425),$AG$2:$AG$1001,0),MATCH(COLUMNS($AN$1006:AZ1006),$AN$1006:$BO$1006,0)), HYPERLINK("#",""), HYPERLINK(CONCATENATE("#Metadata!", ADDRESS(INDEX($AI$2:$AI$1001,MATCH(ROWS($AG$2:AG425),$AG$2:$AG$1001,0),0), INDEX($AN$1004:$BO$1004,1,MATCH(COLUMNS($AN$1006:AZ1006),$AN$1006:$BO$1006,0)))),"Fix")))</f>
        <v>0</v>
      </c>
      <c r="O425" s="4">
        <f>IF(OR(INDEX($AH$2:$AH$1001,MATCH(ROWS($AG$2:AG425),$AG$2:$AG$1001,0),1)&gt;=100000,INDEX($AN$1005:$BO$1005,1,MATCH(COLUMNS($AN$1006:BA1006),$AN$1006:$BO$1006,0))&gt;=100000), " ",IF(INDEX($AN$2:$BO$1001,MATCH(ROWS($AG$2:AG425),$AG$2:$AG$1001,0),MATCH(COLUMNS($AN$1006:BA1006),$AN$1006:$BO$1006,0)), HYPERLINK("#",""), HYPERLINK(CONCATENATE("#Metadata!", ADDRESS(INDEX($AI$2:$AI$1001,MATCH(ROWS($AG$2:AG425),$AG$2:$AG$1001,0),0), INDEX($AN$1004:$BO$1004,1,MATCH(COLUMNS($AN$1006:BA1006),$AN$1006:$BO$1006,0)))),"Fix")))</f>
        <v>0</v>
      </c>
      <c r="P425" s="4">
        <f>IF(OR(INDEX($AH$2:$AH$1001,MATCH(ROWS($AG$2:AG425),$AG$2:$AG$1001,0),1)&gt;=100000,INDEX($AN$1005:$BO$1005,1,MATCH(COLUMNS($AN$1006:BB1006),$AN$1006:$BO$1006,0))&gt;=100000), " ",IF(INDEX($AN$2:$BO$1001,MATCH(ROWS($AG$2:AG425),$AG$2:$AG$1001,0),MATCH(COLUMNS($AN$1006:BB1006),$AN$1006:$BO$1006,0)), HYPERLINK("#",""), HYPERLINK(CONCATENATE("#Metadata!", ADDRESS(INDEX($AI$2:$AI$1001,MATCH(ROWS($AG$2:AG425),$AG$2:$AG$1001,0),0), INDEX($AN$1004:$BO$1004,1,MATCH(COLUMNS($AN$1006:BB1006),$AN$1006:$BO$1006,0)))),"Fix")))</f>
        <v>0</v>
      </c>
      <c r="Q425" s="4">
        <f>IF(OR(INDEX($AH$2:$AH$1001,MATCH(ROWS($AG$2:AG425),$AG$2:$AG$1001,0),1)&gt;=100000,INDEX($AN$1005:$BO$1005,1,MATCH(COLUMNS($AN$1006:BC1006),$AN$1006:$BO$1006,0))&gt;=100000), " ",IF(INDEX($AN$2:$BO$1001,MATCH(ROWS($AG$2:AG425),$AG$2:$AG$1001,0),MATCH(COLUMNS($AN$1006:BC1006),$AN$1006:$BO$1006,0)), HYPERLINK("#",""), HYPERLINK(CONCATENATE("#Metadata!", ADDRESS(INDEX($AI$2:$AI$1001,MATCH(ROWS($AG$2:AG425),$AG$2:$AG$1001,0),0), INDEX($AN$1004:$BO$1004,1,MATCH(COLUMNS($AN$1006:BC1006),$AN$1006:$BO$1006,0)))),"Fix")))</f>
        <v>0</v>
      </c>
      <c r="R425" s="4">
        <f>IF(OR(INDEX($AH$2:$AH$1001,MATCH(ROWS($AG$2:AG425),$AG$2:$AG$1001,0),1)&gt;=100000,INDEX($AN$1005:$BO$1005,1,MATCH(COLUMNS($AN$1006:BD1006),$AN$1006:$BO$1006,0))&gt;=100000), " ",IF(INDEX($AN$2:$BO$1001,MATCH(ROWS($AG$2:AG425),$AG$2:$AG$1001,0),MATCH(COLUMNS($AN$1006:BD1006),$AN$1006:$BO$1006,0)), HYPERLINK("#",""), HYPERLINK(CONCATENATE("#Metadata!", ADDRESS(INDEX($AI$2:$AI$1001,MATCH(ROWS($AG$2:AG425),$AG$2:$AG$1001,0),0), INDEX($AN$1004:$BO$1004,1,MATCH(COLUMNS($AN$1006:BD1006),$AN$1006:$BO$1006,0)))),"Fix")))</f>
        <v>0</v>
      </c>
      <c r="S425" s="4">
        <f>IF(OR(INDEX($AH$2:$AH$1001,MATCH(ROWS($AG$2:AG425),$AG$2:$AG$1001,0),1)&gt;=100000,INDEX($AN$1005:$BO$1005,1,MATCH(COLUMNS($AN$1006:BE1006),$AN$1006:$BO$1006,0))&gt;=100000), " ",IF(INDEX($AN$2:$BO$1001,MATCH(ROWS($AG$2:AG425),$AG$2:$AG$1001,0),MATCH(COLUMNS($AN$1006:BE1006),$AN$1006:$BO$1006,0)), HYPERLINK("#",""), HYPERLINK(CONCATENATE("#Metadata!", ADDRESS(INDEX($AI$2:$AI$1001,MATCH(ROWS($AG$2:AG425),$AG$2:$AG$1001,0),0), INDEX($AN$1004:$BO$1004,1,MATCH(COLUMNS($AN$1006:BE1006),$AN$1006:$BO$1006,0)))),"Fix")))</f>
        <v>0</v>
      </c>
      <c r="T425" s="4">
        <f>IF(OR(INDEX($AH$2:$AH$1001,MATCH(ROWS($AG$2:AG425),$AG$2:$AG$1001,0),1)&gt;=100000,INDEX($AN$1005:$BO$1005,1,MATCH(COLUMNS($AN$1006:BF1006),$AN$1006:$BO$1006,0))&gt;=100000), " ",IF(INDEX($AN$2:$BO$1001,MATCH(ROWS($AG$2:AG425),$AG$2:$AG$1001,0),MATCH(COLUMNS($AN$1006:BF1006),$AN$1006:$BO$1006,0)), HYPERLINK("#",""), HYPERLINK(CONCATENATE("#Metadata!", ADDRESS(INDEX($AI$2:$AI$1001,MATCH(ROWS($AG$2:AG425),$AG$2:$AG$1001,0),0), INDEX($AN$1004:$BO$1004,1,MATCH(COLUMNS($AN$1006:BF1006),$AN$1006:$BO$1006,0)))),"Fix")))</f>
        <v>0</v>
      </c>
      <c r="U425" s="4">
        <f>IF(OR(INDEX($AH$2:$AH$1001,MATCH(ROWS($AG$2:AG425),$AG$2:$AG$1001,0),1)&gt;=100000,INDEX($AN$1005:$BO$1005,1,MATCH(COLUMNS($AN$1006:BG1006),$AN$1006:$BO$1006,0))&gt;=100000), " ",IF(INDEX($AN$2:$BO$1001,MATCH(ROWS($AG$2:AG425),$AG$2:$AG$1001,0),MATCH(COLUMNS($AN$1006:BG1006),$AN$1006:$BO$1006,0)), HYPERLINK("#",""), HYPERLINK(CONCATENATE("#Metadata!", ADDRESS(INDEX($AI$2:$AI$1001,MATCH(ROWS($AG$2:AG425),$AG$2:$AG$1001,0),0), INDEX($AN$1004:$BO$1004,1,MATCH(COLUMNS($AN$1006:BG1006),$AN$1006:$BO$1006,0)))),"Fix")))</f>
        <v>0</v>
      </c>
      <c r="V425" s="4">
        <f>IF(OR(INDEX($AH$2:$AH$1001,MATCH(ROWS($AG$2:AG425),$AG$2:$AG$1001,0),1)&gt;=100000,INDEX($AN$1005:$BO$1005,1,MATCH(COLUMNS($AN$1006:BH1006),$AN$1006:$BO$1006,0))&gt;=100000), " ",IF(INDEX($AN$2:$BO$1001,MATCH(ROWS($AG$2:AG425),$AG$2:$AG$1001,0),MATCH(COLUMNS($AN$1006:BH1006),$AN$1006:$BO$1006,0)), HYPERLINK("#",""), HYPERLINK(CONCATENATE("#Metadata!", ADDRESS(INDEX($AI$2:$AI$1001,MATCH(ROWS($AG$2:AG425),$AG$2:$AG$1001,0),0), INDEX($AN$1004:$BO$1004,1,MATCH(COLUMNS($AN$1006:BH1006),$AN$1006:$BO$1006,0)))),"Fix")))</f>
        <v>0</v>
      </c>
      <c r="W425" s="4">
        <f>IF(OR(INDEX($AH$2:$AH$1001,MATCH(ROWS($AG$2:AG425),$AG$2:$AG$1001,0),1)&gt;=100000,INDEX($AN$1005:$BO$1005,1,MATCH(COLUMNS($AN$1006:BI1006),$AN$1006:$BO$1006,0))&gt;=100000), " ",IF(INDEX($AN$2:$BO$1001,MATCH(ROWS($AG$2:AG425),$AG$2:$AG$1001,0),MATCH(COLUMNS($AN$1006:BI1006),$AN$1006:$BO$1006,0)), HYPERLINK("#",""), HYPERLINK(CONCATENATE("#Metadata!", ADDRESS(INDEX($AI$2:$AI$1001,MATCH(ROWS($AG$2:AG425),$AG$2:$AG$1001,0),0), INDEX($AN$1004:$BO$1004,1,MATCH(COLUMNS($AN$1006:BI1006),$AN$1006:$BO$1006,0)))),"Fix")))</f>
        <v>0</v>
      </c>
      <c r="X425" s="4">
        <f>IF(OR(INDEX($AH$2:$AH$1001,MATCH(ROWS($AG$2:AG425),$AG$2:$AG$1001,0),1)&gt;=100000,INDEX($AN$1005:$BO$1005,1,MATCH(COLUMNS($AN$1006:BJ1006),$AN$1006:$BO$1006,0))&gt;=100000), " ",IF(INDEX($AN$2:$BO$1001,MATCH(ROWS($AG$2:AG425),$AG$2:$AG$1001,0),MATCH(COLUMNS($AN$1006:BJ1006),$AN$1006:$BO$1006,0)), HYPERLINK("#",""), HYPERLINK(CONCATENATE("#Metadata!", ADDRESS(INDEX($AI$2:$AI$1001,MATCH(ROWS($AG$2:AG425),$AG$2:$AG$1001,0),0), INDEX($AN$1004:$BO$1004,1,MATCH(COLUMNS($AN$1006:BJ1006),$AN$1006:$BO$1006,0)))),"Fix")))</f>
        <v>0</v>
      </c>
      <c r="Y425" s="4">
        <f>IF(OR(INDEX($AH$2:$AH$1001,MATCH(ROWS($AG$2:AG425),$AG$2:$AG$1001,0),1)&gt;=100000,INDEX($AN$1005:$BO$1005,1,MATCH(COLUMNS($AN$1006:BK1006),$AN$1006:$BO$1006,0))&gt;=100000), " ",IF(INDEX($AN$2:$BO$1001,MATCH(ROWS($AG$2:AG425),$AG$2:$AG$1001,0),MATCH(COLUMNS($AN$1006:BK1006),$AN$1006:$BO$1006,0)), HYPERLINK("#",""), HYPERLINK(CONCATENATE("#Metadata!", ADDRESS(INDEX($AI$2:$AI$1001,MATCH(ROWS($AG$2:AG425),$AG$2:$AG$1001,0),0), INDEX($AN$1004:$BO$1004,1,MATCH(COLUMNS($AN$1006:BK1006),$AN$1006:$BO$1006,0)))),"Fix")))</f>
        <v>0</v>
      </c>
      <c r="Z425" s="4">
        <f>IF(OR(INDEX($AH$2:$AH$1001,MATCH(ROWS($AG$2:AG425),$AG$2:$AG$1001,0),1)&gt;=100000,INDEX($AN$1005:$BO$1005,1,MATCH(COLUMNS($AN$1006:BL1006),$AN$1006:$BO$1006,0))&gt;=100000), " ",IF(INDEX($AN$2:$BO$1001,MATCH(ROWS($AG$2:AG425),$AG$2:$AG$1001,0),MATCH(COLUMNS($AN$1006:BL1006),$AN$1006:$BO$1006,0)), HYPERLINK("#",""), HYPERLINK(CONCATENATE("#Metadata!", ADDRESS(INDEX($AI$2:$AI$1001,MATCH(ROWS($AG$2:AG425),$AG$2:$AG$1001,0),0), INDEX($AN$1004:$BO$1004,1,MATCH(COLUMNS($AN$1006:BL1006),$AN$1006:$BO$1006,0)))),"Fix")))</f>
        <v>0</v>
      </c>
      <c r="AA425" s="4">
        <f>IF(OR(INDEX($AH$2:$AH$1001,MATCH(ROWS($AG$2:AG425),$AG$2:$AG$1001,0),1)&gt;=100000,INDEX($AN$1005:$BO$1005,1,MATCH(COLUMNS($AN$1006:BM1006),$AN$1006:$BO$1006,0))&gt;=100000), " ",IF(INDEX($AN$2:$BO$1001,MATCH(ROWS($AG$2:AG425),$AG$2:$AG$1001,0),MATCH(COLUMNS($AN$1006:BM1006),$AN$1006:$BO$1006,0)), HYPERLINK("#",""), HYPERLINK(CONCATENATE("#Metadata!", ADDRESS(INDEX($AI$2:$AI$1001,MATCH(ROWS($AG$2:AG425),$AG$2:$AG$1001,0),0), INDEX($AN$1004:$BO$1004,1,MATCH(COLUMNS($AN$1006:BM1006),$AN$1006:$BO$1006,0)))),"Fix")))</f>
        <v>0</v>
      </c>
      <c r="AB425" s="4">
        <f>IF(OR(INDEX($AH$2:$AH$1001,MATCH(ROWS($AG$2:AG425),$AG$2:$AG$1001,0),1)&gt;=100000,INDEX($AN$1005:$BO$1005,1,MATCH(COLUMNS($AN$1006:BN1006),$AN$1006:$BO$1006,0))&gt;=100000), " ",IF(INDEX($AN$2:$BO$1001,MATCH(ROWS($AG$2:AG425),$AG$2:$AG$1001,0),MATCH(COLUMNS($AN$1006:BN1006),$AN$1006:$BO$1006,0)), HYPERLINK("#",""), HYPERLINK(CONCATENATE("#Metadata!", ADDRESS(INDEX($AI$2:$AI$1001,MATCH(ROWS($AG$2:AG425),$AG$2:$AG$1001,0),0), INDEX($AN$1004:$BO$1004,1,MATCH(COLUMNS($AN$1006:BN1006),$AN$1006:$BO$1006,0)))),"Fix")))</f>
        <v>0</v>
      </c>
      <c r="AC425" s="4">
        <f>IF(OR(INDEX($AH$2:$AH$1001,MATCH(ROWS($AG$2:AG425),$AG$2:$AG$1001,0),1)&gt;=100000,INDEX($AN$1005:$BO$1005,1,MATCH(COLUMNS($AN$1006:BO1006),$AN$1006:$BO$1006,0))&gt;=100000), " ",IF(INDEX($AN$2:$BO$1001,MATCH(ROWS($AG$2:AG425),$AG$2:$AG$1001,0),MATCH(COLUMNS($AN$1006:BO1006),$AN$1006:$BO$1006,0)), HYPERLINK("#",""), HYPERLINK(CONCATENATE("#Metadata!", ADDRESS(INDEX($AI$2:$AI$1001,MATCH(ROWS($AG$2:AG425),$AG$2:$AG$1001,0),0), INDEX($AN$1004:$BO$1004,1,MATCH(COLUMNS($AN$1006:BO1006),$AN$1006:$BO$1006,0)))),"Fix")))</f>
        <v>0</v>
      </c>
      <c r="AG425">
        <v>0</v>
      </c>
      <c r="AH425">
        <v>0</v>
      </c>
      <c r="AI425">
        <v>0</v>
      </c>
      <c r="AJ425">
        <f>IF(AK425,TRUE,AND(AN425:BO425))</f>
        <v>0</v>
      </c>
      <c r="AK425">
        <f>COUNTBLANK(Metadata!B425:AC425)=COLUMNS(Metadata!B425:AC425)</f>
        <v>0</v>
      </c>
      <c r="AL425">
        <v>0</v>
      </c>
      <c r="AN425">
        <f>AND(IF(Metadata!B425="",FALSE,TRUE),COUNTIF(Metadata!B:B, Metadata!B425) = 1,NOT(ISERROR(SUMPRODUCT(SEARCH(MID(Metadata!B425,ROW(INDIRECT("1:"&amp;LEN(Metadata!B425))), 1),"0123456789abcdefghijklmnopqrstuvwxyzABCDEFGHIJKLMNOPQRSTUVWXYZ.")))))</f>
        <v>0</v>
      </c>
      <c r="AO425">
        <f>IF(Metadata!C425="",FALSE,TRUE)</f>
        <v>0</v>
      </c>
      <c r="AP425">
        <f>IF(Metadata!D425="",FALSE,TRUE)</f>
        <v>0</v>
      </c>
      <c r="AQ425">
        <f>OR(AND(IF(Metadata!E425="",FALSE,TRUE),OR(exact(Metadata!E425,"not collected"),exact(Metadata!E425,"not provided"),exact(Metadata!E425,"restricted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R425">
        <f>IF(Metadata!F425="",FALSE,TRUE)</f>
        <v>0</v>
      </c>
      <c r="AS425">
        <f>OR(AND(IF(Metadata!G425="",FALSE,TRUE),OR(exact(Metadata!G425,"not collected"),exact(Metadata!G425,"not provided"))),AND(IF(Metadata!G425="",FALSE,TRUE),OR(exact(Metadata!G425,"TRUE"),exact(Metadata!G425,"FALSE"))))</f>
        <v>0</v>
      </c>
      <c r="AT425">
        <f>OR(AND(IF(Metadata!H425="",FALSE,TRUE),OR(exact(Metadata!H425,"not collected"),exact(Metadata!H425,"not provided"),exact(Metadata!H425,"restricted access"))),AND(IF(Metadata!H425="",FALSE,ISNUMBER(VALUE(Metadata!H425))),Metadata!H425&gt;=-413.0))</f>
        <v>0</v>
      </c>
      <c r="AU425">
        <f>AND(IF(Metadata!I425="",FALSE,TRUE),exact(Metadata!I425,"meters"))</f>
        <v>0</v>
      </c>
      <c r="AV425">
        <f>AND(IF(Metadata!J425="",FALSE,TRUE),OR(exact(Metadata!J425,"Host-associated"),exact(Metadata!J425,"Free-living")))</f>
        <v>0</v>
      </c>
      <c r="AW425">
        <f>AND(IF(Metadata!K425="",FALSE,TRUE),OR(exact(Metadata!K425,"Animal"),exact(Metadata!K425,"Fungus"),exact(Metadata!K425,"Plant"),exact(Metadata!K425,"Saline"),exact(Metadata!K425,"Non-saline")))</f>
        <v>0</v>
      </c>
      <c r="AX425">
        <f>AND(IF(Metadata!L425="",FALSE,TRUE),OR(exact(Metadata!L425,"Plant secretion"),exact(Metadata!L425,"Plant rhizosphere"),exact(Metadata!L425,"Plant surface"),exact(Metadata!L425,"Plant corpus"),exact(Metadata!L425,"Fungus surface"),exact(Metadata!L425,"Fungus corpus"),exact(Metadata!L425,"Animal surface"),exact(Metadata!L425,"Animal proximal gut"),exact(Metadata!L425,"Animal corpus"),exact(Metadata!L425,"Animal distal gut"),exact(Metadata!L425,"Animal secretion"),exact(Metadata!L425,"Sub-surface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Y425">
        <f>IF(Metadata!M425="",FALSE,TRUE)</f>
        <v>0</v>
      </c>
      <c r="AZ425">
        <f>IF(Metadata!N425="",FALSE,TRUE)</f>
        <v>0</v>
      </c>
      <c r="BA425">
        <f>IF(Metadata!O425="",FALSE,TRUE)</f>
        <v>0</v>
      </c>
      <c r="BB425">
        <f>OR(AND(IF(Metadata!P425="",FALSE,TRUE),OR(exact(Metadata!P425,"not collected"),exact(Metadata!P425,"not provided"),exact(Metadata!P425,"restricted access"))),AND(IF(Metadata!P425="",FALSE,TRUE),OR(exact(Metadata!P425,"air"),exact(Metadata!P425,"built environment"),exact(Metadata!P425,"host-associated"),exact(Metadata!P425,"human-associated"),exact(Metadata!P425,"human-skin"),exact(Metadata!P425,"human-oral"),exact(Metadata!P425,"human-gut"),exact(Metadata!P425,"human-vaginal"),exact(Metadata!P425,"microbial mat/biofilm"),exact(Metadata!P425,"misc environment"),exact(Metadata!P425,"plant-associated"),exact(Metadata!P425,"sediment"),exact(Metadata!P425,"soil"),exact(Metadata!P425,"wastewater/sludge"),exact(Metadata!P425,"water"))))</f>
        <v>0</v>
      </c>
      <c r="BC425">
        <f>IF(Metadata!Q425="",FALSE,TRUE)</f>
        <v>0</v>
      </c>
      <c r="BD425">
        <f>IF(Metadata!R425="",FALSE,TRUE)</f>
        <v>0</v>
      </c>
      <c r="BE425">
        <f>OR(AND(IF(Metadata!S425="",FALSE,TRUE),OR(exact(Metadata!S425,"not collected"),exact(Metadata!S425,"not provided"),exact(Metadata!S425,"restricted access"))),AND(IF(Metadata!S425="",FALSE,ISNUMBER(VALUE(Metadata!S425))),Metadata!S425&gt;=-90.00,Metadata!S425&lt;=90.00))</f>
        <v>0</v>
      </c>
      <c r="BF425">
        <f>AND(IF(Metadata!T425="",FALSE,TRUE),exact(Metadata!T425,"Decimal degrees"))</f>
        <v>0</v>
      </c>
      <c r="BG425">
        <f>OR(AND(IF(Metadata!U425="",FALSE,TRUE),OR(exact(Metadata!U425,"not collected"),exact(Metadata!U425,"not provided"),exact(Metadata!U425,"restricted access"))),AND(IF(Metadata!U425="",FALSE,ISNUMBER(VALUE(Metadata!U425))),Metadata!U425&gt;=-180.00,Metadata!U425&lt;=180.00))</f>
        <v>0</v>
      </c>
      <c r="BH425">
        <f>AND(IF(Metadata!V425="",FALSE,TRUE),exact(Metadata!V425,"Decimal degrees"))</f>
        <v>0</v>
      </c>
      <c r="BI425">
        <f>IF(Metadata!W425="",FALSE,TRUE)</f>
        <v>0</v>
      </c>
      <c r="BJ425">
        <f>OR(AND(IF(Metadata!X425="",FALSE,TRUE),OR(exact(Metadata!X425,"not collected"),exact(Metadata!X425,"not provided"),exact(Metadata!X425,"restricted access"))),AND(IF(Metadata!X425="",FALSE,TRUE),OR(exact(Metadata!X425,"TRUE"),exact(Metadata!X425,"FALSE"))))</f>
        <v>0</v>
      </c>
      <c r="BK425">
        <f>AND(IF(Metadata!Y425="",FALSE,TRUE),exact(Metadata!Y425,"other"))</f>
        <v>0</v>
      </c>
      <c r="BL425">
        <f>IF(Metadata!Z425="",FALSE,TRUE)</f>
        <v>0</v>
      </c>
      <c r="BM425">
        <f>OR(AND(IF(Metadata!AA425="",FALSE,TRUE),OR(exact(Metadata!AA425,"not collected"),exact(Metadata!AA425,"not provided"))),AND(IF(Metadata!AA425="",FALSE,IF(ISERROR(INT(Metadata!AA425)),FALSE,INT(Metadata!AA425)=Metadata!AA425)),Metadata!AA425&gt;0))</f>
        <v>0</v>
      </c>
      <c r="BN425">
        <f>AND(IF(Metadata!AB425="",FALSE,TRUE),exact(Metadata!AB425,"Not applicable"))</f>
        <v>0</v>
      </c>
      <c r="BO425">
        <f>IF(Metadata!AC425="",FALSE,TRUE)</f>
        <v>0</v>
      </c>
    </row>
    <row r="426" spans="1:67">
      <c r="A426" s="5">
        <f>IF(B426=" "," ",HYPERLINK(CONCATENATE("#metadata!",ADDRESS(INDEX($AI$2:$AI$1001,MATCH(ROWS($AG$2:AG426),$AG$2:$AG$1001,0),0),1)),INDEX($AL$2:$AL$1001,MATCH(ROWS($AG$2:AG426),$AG$2:$AG$1001,0),0)))</f>
        <v>0</v>
      </c>
      <c r="B426" s="4">
        <f>IF(OR(INDEX($AH$2:$AH$1001,MATCH(ROWS($AG$2:AG426),$AG$2:$AG$1001,0),1)&gt;=100000,INDEX($AN$1005:$BO$1005,1,MATCH(COLUMNS($AN$1006:AN1006),$AN$1006:$BO$1006,0))&gt;=100000), " ",IF(INDEX($AN$2:$BO$1001,MATCH(ROWS($AG$2:AG426),$AG$2:$AG$1001,0),MATCH(COLUMNS($AN$1006:AN1006),$AN$1006:$BO$1006,0)), HYPERLINK("#",""), HYPERLINK(CONCATENATE("#Metadata!", ADDRESS(INDEX($AI$2:$AI$1001,MATCH(ROWS($AG$2:AG426),$AG$2:$AG$1001,0),0), INDEX($AN$1004:$BO$1004,1,MATCH(COLUMNS($AN$1006:AN1006),$AN$1006:$BO$1006,0)))),"Fix")))</f>
        <v>0</v>
      </c>
      <c r="C426" s="4">
        <f>IF(OR(INDEX($AH$2:$AH$1001,MATCH(ROWS($AG$2:AG426),$AG$2:$AG$1001,0),1)&gt;=100000,INDEX($AN$1005:$BO$1005,1,MATCH(COLUMNS($AN$1006:AO1006),$AN$1006:$BO$1006,0))&gt;=100000), " ",IF(INDEX($AN$2:$BO$1001,MATCH(ROWS($AG$2:AG426),$AG$2:$AG$1001,0),MATCH(COLUMNS($AN$1006:AO1006),$AN$1006:$BO$1006,0)), HYPERLINK("#",""), HYPERLINK(CONCATENATE("#Metadata!", ADDRESS(INDEX($AI$2:$AI$1001,MATCH(ROWS($AG$2:AG426),$AG$2:$AG$1001,0),0), INDEX($AN$1004:$BO$1004,1,MATCH(COLUMNS($AN$1006:AO1006),$AN$1006:$BO$1006,0)))),"Fix")))</f>
        <v>0</v>
      </c>
      <c r="D426" s="4">
        <f>IF(OR(INDEX($AH$2:$AH$1001,MATCH(ROWS($AG$2:AG426),$AG$2:$AG$1001,0),1)&gt;=100000,INDEX($AN$1005:$BO$1005,1,MATCH(COLUMNS($AN$1006:AP1006),$AN$1006:$BO$1006,0))&gt;=100000), " ",IF(INDEX($AN$2:$BO$1001,MATCH(ROWS($AG$2:AG426),$AG$2:$AG$1001,0),MATCH(COLUMNS($AN$1006:AP1006),$AN$1006:$BO$1006,0)), HYPERLINK("#",""), HYPERLINK(CONCATENATE("#Metadata!", ADDRESS(INDEX($AI$2:$AI$1001,MATCH(ROWS($AG$2:AG426),$AG$2:$AG$1001,0),0), INDEX($AN$1004:$BO$1004,1,MATCH(COLUMNS($AN$1006:AP1006),$AN$1006:$BO$1006,0)))),"Fix")))</f>
        <v>0</v>
      </c>
      <c r="E426" s="4">
        <f>IF(OR(INDEX($AH$2:$AH$1001,MATCH(ROWS($AG$2:AG426),$AG$2:$AG$1001,0),1)&gt;=100000,INDEX($AN$1005:$BO$1005,1,MATCH(COLUMNS($AN$1006:AQ1006),$AN$1006:$BO$1006,0))&gt;=100000), " ",IF(INDEX($AN$2:$BO$1001,MATCH(ROWS($AG$2:AG426),$AG$2:$AG$1001,0),MATCH(COLUMNS($AN$1006:AQ1006),$AN$1006:$BO$1006,0)), HYPERLINK("#",""), HYPERLINK(CONCATENATE("#Metadata!", ADDRESS(INDEX($AI$2:$AI$1001,MATCH(ROWS($AG$2:AG426),$AG$2:$AG$1001,0),0), INDEX($AN$1004:$BO$1004,1,MATCH(COLUMNS($AN$1006:AQ1006),$AN$1006:$BO$1006,0)))),"Fix")))</f>
        <v>0</v>
      </c>
      <c r="F426" s="4">
        <f>IF(OR(INDEX($AH$2:$AH$1001,MATCH(ROWS($AG$2:AG426),$AG$2:$AG$1001,0),1)&gt;=100000,INDEX($AN$1005:$BO$1005,1,MATCH(COLUMNS($AN$1006:AR1006),$AN$1006:$BO$1006,0))&gt;=100000), " ",IF(INDEX($AN$2:$BO$1001,MATCH(ROWS($AG$2:AG426),$AG$2:$AG$1001,0),MATCH(COLUMNS($AN$1006:AR1006),$AN$1006:$BO$1006,0)), HYPERLINK("#",""), HYPERLINK(CONCATENATE("#Metadata!", ADDRESS(INDEX($AI$2:$AI$1001,MATCH(ROWS($AG$2:AG426),$AG$2:$AG$1001,0),0), INDEX($AN$1004:$BO$1004,1,MATCH(COLUMNS($AN$1006:AR1006),$AN$1006:$BO$1006,0)))),"Fix")))</f>
        <v>0</v>
      </c>
      <c r="G426" s="4">
        <f>IF(OR(INDEX($AH$2:$AH$1001,MATCH(ROWS($AG$2:AG426),$AG$2:$AG$1001,0),1)&gt;=100000,INDEX($AN$1005:$BO$1005,1,MATCH(COLUMNS($AN$1006:AS1006),$AN$1006:$BO$1006,0))&gt;=100000), " ",IF(INDEX($AN$2:$BO$1001,MATCH(ROWS($AG$2:AG426),$AG$2:$AG$1001,0),MATCH(COLUMNS($AN$1006:AS1006),$AN$1006:$BO$1006,0)), HYPERLINK("#",""), HYPERLINK(CONCATENATE("#Metadata!", ADDRESS(INDEX($AI$2:$AI$1001,MATCH(ROWS($AG$2:AG426),$AG$2:$AG$1001,0),0), INDEX($AN$1004:$BO$1004,1,MATCH(COLUMNS($AN$1006:AS1006),$AN$1006:$BO$1006,0)))),"Fix")))</f>
        <v>0</v>
      </c>
      <c r="H426" s="4">
        <f>IF(OR(INDEX($AH$2:$AH$1001,MATCH(ROWS($AG$2:AG426),$AG$2:$AG$1001,0),1)&gt;=100000,INDEX($AN$1005:$BO$1005,1,MATCH(COLUMNS($AN$1006:AT1006),$AN$1006:$BO$1006,0))&gt;=100000), " ",IF(INDEX($AN$2:$BO$1001,MATCH(ROWS($AG$2:AG426),$AG$2:$AG$1001,0),MATCH(COLUMNS($AN$1006:AT1006),$AN$1006:$BO$1006,0)), HYPERLINK("#",""), HYPERLINK(CONCATENATE("#Metadata!", ADDRESS(INDEX($AI$2:$AI$1001,MATCH(ROWS($AG$2:AG426),$AG$2:$AG$1001,0),0), INDEX($AN$1004:$BO$1004,1,MATCH(COLUMNS($AN$1006:AT1006),$AN$1006:$BO$1006,0)))),"Fix")))</f>
        <v>0</v>
      </c>
      <c r="I426" s="4">
        <f>IF(OR(INDEX($AH$2:$AH$1001,MATCH(ROWS($AG$2:AG426),$AG$2:$AG$1001,0),1)&gt;=100000,INDEX($AN$1005:$BO$1005,1,MATCH(COLUMNS($AN$1006:AU1006),$AN$1006:$BO$1006,0))&gt;=100000), " ",IF(INDEX($AN$2:$BO$1001,MATCH(ROWS($AG$2:AG426),$AG$2:$AG$1001,0),MATCH(COLUMNS($AN$1006:AU1006),$AN$1006:$BO$1006,0)), HYPERLINK("#",""), HYPERLINK(CONCATENATE("#Metadata!", ADDRESS(INDEX($AI$2:$AI$1001,MATCH(ROWS($AG$2:AG426),$AG$2:$AG$1001,0),0), INDEX($AN$1004:$BO$1004,1,MATCH(COLUMNS($AN$1006:AU1006),$AN$1006:$BO$1006,0)))),"Fix")))</f>
        <v>0</v>
      </c>
      <c r="J426" s="4">
        <f>IF(OR(INDEX($AH$2:$AH$1001,MATCH(ROWS($AG$2:AG426),$AG$2:$AG$1001,0),1)&gt;=100000,INDEX($AN$1005:$BO$1005,1,MATCH(COLUMNS($AN$1006:AV1006),$AN$1006:$BO$1006,0))&gt;=100000), " ",IF(INDEX($AN$2:$BO$1001,MATCH(ROWS($AG$2:AG426),$AG$2:$AG$1001,0),MATCH(COLUMNS($AN$1006:AV1006),$AN$1006:$BO$1006,0)), HYPERLINK("#",""), HYPERLINK(CONCATENATE("#Metadata!", ADDRESS(INDEX($AI$2:$AI$1001,MATCH(ROWS($AG$2:AG426),$AG$2:$AG$1001,0),0), INDEX($AN$1004:$BO$1004,1,MATCH(COLUMNS($AN$1006:AV1006),$AN$1006:$BO$1006,0)))),"Fix")))</f>
        <v>0</v>
      </c>
      <c r="K426" s="4">
        <f>IF(OR(INDEX($AH$2:$AH$1001,MATCH(ROWS($AG$2:AG426),$AG$2:$AG$1001,0),1)&gt;=100000,INDEX($AN$1005:$BO$1005,1,MATCH(COLUMNS($AN$1006:AW1006),$AN$1006:$BO$1006,0))&gt;=100000), " ",IF(INDEX($AN$2:$BO$1001,MATCH(ROWS($AG$2:AG426),$AG$2:$AG$1001,0),MATCH(COLUMNS($AN$1006:AW1006),$AN$1006:$BO$1006,0)), HYPERLINK("#",""), HYPERLINK(CONCATENATE("#Metadata!", ADDRESS(INDEX($AI$2:$AI$1001,MATCH(ROWS($AG$2:AG426),$AG$2:$AG$1001,0),0), INDEX($AN$1004:$BO$1004,1,MATCH(COLUMNS($AN$1006:AW1006),$AN$1006:$BO$1006,0)))),"Fix")))</f>
        <v>0</v>
      </c>
      <c r="L426" s="4">
        <f>IF(OR(INDEX($AH$2:$AH$1001,MATCH(ROWS($AG$2:AG426),$AG$2:$AG$1001,0),1)&gt;=100000,INDEX($AN$1005:$BO$1005,1,MATCH(COLUMNS($AN$1006:AX1006),$AN$1006:$BO$1006,0))&gt;=100000), " ",IF(INDEX($AN$2:$BO$1001,MATCH(ROWS($AG$2:AG426),$AG$2:$AG$1001,0),MATCH(COLUMNS($AN$1006:AX1006),$AN$1006:$BO$1006,0)), HYPERLINK("#",""), HYPERLINK(CONCATENATE("#Metadata!", ADDRESS(INDEX($AI$2:$AI$1001,MATCH(ROWS($AG$2:AG426),$AG$2:$AG$1001,0),0), INDEX($AN$1004:$BO$1004,1,MATCH(COLUMNS($AN$1006:AX1006),$AN$1006:$BO$1006,0)))),"Fix")))</f>
        <v>0</v>
      </c>
      <c r="M426" s="4">
        <f>IF(OR(INDEX($AH$2:$AH$1001,MATCH(ROWS($AG$2:AG426),$AG$2:$AG$1001,0),1)&gt;=100000,INDEX($AN$1005:$BO$1005,1,MATCH(COLUMNS($AN$1006:AY1006),$AN$1006:$BO$1006,0))&gt;=100000), " ",IF(INDEX($AN$2:$BO$1001,MATCH(ROWS($AG$2:AG426),$AG$2:$AG$1001,0),MATCH(COLUMNS($AN$1006:AY1006),$AN$1006:$BO$1006,0)), HYPERLINK("#",""), HYPERLINK(CONCATENATE("#Metadata!", ADDRESS(INDEX($AI$2:$AI$1001,MATCH(ROWS($AG$2:AG426),$AG$2:$AG$1001,0),0), INDEX($AN$1004:$BO$1004,1,MATCH(COLUMNS($AN$1006:AY1006),$AN$1006:$BO$1006,0)))),"Fix")))</f>
        <v>0</v>
      </c>
      <c r="N426" s="4">
        <f>IF(OR(INDEX($AH$2:$AH$1001,MATCH(ROWS($AG$2:AG426),$AG$2:$AG$1001,0),1)&gt;=100000,INDEX($AN$1005:$BO$1005,1,MATCH(COLUMNS($AN$1006:AZ1006),$AN$1006:$BO$1006,0))&gt;=100000), " ",IF(INDEX($AN$2:$BO$1001,MATCH(ROWS($AG$2:AG426),$AG$2:$AG$1001,0),MATCH(COLUMNS($AN$1006:AZ1006),$AN$1006:$BO$1006,0)), HYPERLINK("#",""), HYPERLINK(CONCATENATE("#Metadata!", ADDRESS(INDEX($AI$2:$AI$1001,MATCH(ROWS($AG$2:AG426),$AG$2:$AG$1001,0),0), INDEX($AN$1004:$BO$1004,1,MATCH(COLUMNS($AN$1006:AZ1006),$AN$1006:$BO$1006,0)))),"Fix")))</f>
        <v>0</v>
      </c>
      <c r="O426" s="4">
        <f>IF(OR(INDEX($AH$2:$AH$1001,MATCH(ROWS($AG$2:AG426),$AG$2:$AG$1001,0),1)&gt;=100000,INDEX($AN$1005:$BO$1005,1,MATCH(COLUMNS($AN$1006:BA1006),$AN$1006:$BO$1006,0))&gt;=100000), " ",IF(INDEX($AN$2:$BO$1001,MATCH(ROWS($AG$2:AG426),$AG$2:$AG$1001,0),MATCH(COLUMNS($AN$1006:BA1006),$AN$1006:$BO$1006,0)), HYPERLINK("#",""), HYPERLINK(CONCATENATE("#Metadata!", ADDRESS(INDEX($AI$2:$AI$1001,MATCH(ROWS($AG$2:AG426),$AG$2:$AG$1001,0),0), INDEX($AN$1004:$BO$1004,1,MATCH(COLUMNS($AN$1006:BA1006),$AN$1006:$BO$1006,0)))),"Fix")))</f>
        <v>0</v>
      </c>
      <c r="P426" s="4">
        <f>IF(OR(INDEX($AH$2:$AH$1001,MATCH(ROWS($AG$2:AG426),$AG$2:$AG$1001,0),1)&gt;=100000,INDEX($AN$1005:$BO$1005,1,MATCH(COLUMNS($AN$1006:BB1006),$AN$1006:$BO$1006,0))&gt;=100000), " ",IF(INDEX($AN$2:$BO$1001,MATCH(ROWS($AG$2:AG426),$AG$2:$AG$1001,0),MATCH(COLUMNS($AN$1006:BB1006),$AN$1006:$BO$1006,0)), HYPERLINK("#",""), HYPERLINK(CONCATENATE("#Metadata!", ADDRESS(INDEX($AI$2:$AI$1001,MATCH(ROWS($AG$2:AG426),$AG$2:$AG$1001,0),0), INDEX($AN$1004:$BO$1004,1,MATCH(COLUMNS($AN$1006:BB1006),$AN$1006:$BO$1006,0)))),"Fix")))</f>
        <v>0</v>
      </c>
      <c r="Q426" s="4">
        <f>IF(OR(INDEX($AH$2:$AH$1001,MATCH(ROWS($AG$2:AG426),$AG$2:$AG$1001,0),1)&gt;=100000,INDEX($AN$1005:$BO$1005,1,MATCH(COLUMNS($AN$1006:BC1006),$AN$1006:$BO$1006,0))&gt;=100000), " ",IF(INDEX($AN$2:$BO$1001,MATCH(ROWS($AG$2:AG426),$AG$2:$AG$1001,0),MATCH(COLUMNS($AN$1006:BC1006),$AN$1006:$BO$1006,0)), HYPERLINK("#",""), HYPERLINK(CONCATENATE("#Metadata!", ADDRESS(INDEX($AI$2:$AI$1001,MATCH(ROWS($AG$2:AG426),$AG$2:$AG$1001,0),0), INDEX($AN$1004:$BO$1004,1,MATCH(COLUMNS($AN$1006:BC1006),$AN$1006:$BO$1006,0)))),"Fix")))</f>
        <v>0</v>
      </c>
      <c r="R426" s="4">
        <f>IF(OR(INDEX($AH$2:$AH$1001,MATCH(ROWS($AG$2:AG426),$AG$2:$AG$1001,0),1)&gt;=100000,INDEX($AN$1005:$BO$1005,1,MATCH(COLUMNS($AN$1006:BD1006),$AN$1006:$BO$1006,0))&gt;=100000), " ",IF(INDEX($AN$2:$BO$1001,MATCH(ROWS($AG$2:AG426),$AG$2:$AG$1001,0),MATCH(COLUMNS($AN$1006:BD1006),$AN$1006:$BO$1006,0)), HYPERLINK("#",""), HYPERLINK(CONCATENATE("#Metadata!", ADDRESS(INDEX($AI$2:$AI$1001,MATCH(ROWS($AG$2:AG426),$AG$2:$AG$1001,0),0), INDEX($AN$1004:$BO$1004,1,MATCH(COLUMNS($AN$1006:BD1006),$AN$1006:$BO$1006,0)))),"Fix")))</f>
        <v>0</v>
      </c>
      <c r="S426" s="4">
        <f>IF(OR(INDEX($AH$2:$AH$1001,MATCH(ROWS($AG$2:AG426),$AG$2:$AG$1001,0),1)&gt;=100000,INDEX($AN$1005:$BO$1005,1,MATCH(COLUMNS($AN$1006:BE1006),$AN$1006:$BO$1006,0))&gt;=100000), " ",IF(INDEX($AN$2:$BO$1001,MATCH(ROWS($AG$2:AG426),$AG$2:$AG$1001,0),MATCH(COLUMNS($AN$1006:BE1006),$AN$1006:$BO$1006,0)), HYPERLINK("#",""), HYPERLINK(CONCATENATE("#Metadata!", ADDRESS(INDEX($AI$2:$AI$1001,MATCH(ROWS($AG$2:AG426),$AG$2:$AG$1001,0),0), INDEX($AN$1004:$BO$1004,1,MATCH(COLUMNS($AN$1006:BE1006),$AN$1006:$BO$1006,0)))),"Fix")))</f>
        <v>0</v>
      </c>
      <c r="T426" s="4">
        <f>IF(OR(INDEX($AH$2:$AH$1001,MATCH(ROWS($AG$2:AG426),$AG$2:$AG$1001,0),1)&gt;=100000,INDEX($AN$1005:$BO$1005,1,MATCH(COLUMNS($AN$1006:BF1006),$AN$1006:$BO$1006,0))&gt;=100000), " ",IF(INDEX($AN$2:$BO$1001,MATCH(ROWS($AG$2:AG426),$AG$2:$AG$1001,0),MATCH(COLUMNS($AN$1006:BF1006),$AN$1006:$BO$1006,0)), HYPERLINK("#",""), HYPERLINK(CONCATENATE("#Metadata!", ADDRESS(INDEX($AI$2:$AI$1001,MATCH(ROWS($AG$2:AG426),$AG$2:$AG$1001,0),0), INDEX($AN$1004:$BO$1004,1,MATCH(COLUMNS($AN$1006:BF1006),$AN$1006:$BO$1006,0)))),"Fix")))</f>
        <v>0</v>
      </c>
      <c r="U426" s="4">
        <f>IF(OR(INDEX($AH$2:$AH$1001,MATCH(ROWS($AG$2:AG426),$AG$2:$AG$1001,0),1)&gt;=100000,INDEX($AN$1005:$BO$1005,1,MATCH(COLUMNS($AN$1006:BG1006),$AN$1006:$BO$1006,0))&gt;=100000), " ",IF(INDEX($AN$2:$BO$1001,MATCH(ROWS($AG$2:AG426),$AG$2:$AG$1001,0),MATCH(COLUMNS($AN$1006:BG1006),$AN$1006:$BO$1006,0)), HYPERLINK("#",""), HYPERLINK(CONCATENATE("#Metadata!", ADDRESS(INDEX($AI$2:$AI$1001,MATCH(ROWS($AG$2:AG426),$AG$2:$AG$1001,0),0), INDEX($AN$1004:$BO$1004,1,MATCH(COLUMNS($AN$1006:BG1006),$AN$1006:$BO$1006,0)))),"Fix")))</f>
        <v>0</v>
      </c>
      <c r="V426" s="4">
        <f>IF(OR(INDEX($AH$2:$AH$1001,MATCH(ROWS($AG$2:AG426),$AG$2:$AG$1001,0),1)&gt;=100000,INDEX($AN$1005:$BO$1005,1,MATCH(COLUMNS($AN$1006:BH1006),$AN$1006:$BO$1006,0))&gt;=100000), " ",IF(INDEX($AN$2:$BO$1001,MATCH(ROWS($AG$2:AG426),$AG$2:$AG$1001,0),MATCH(COLUMNS($AN$1006:BH1006),$AN$1006:$BO$1006,0)), HYPERLINK("#",""), HYPERLINK(CONCATENATE("#Metadata!", ADDRESS(INDEX($AI$2:$AI$1001,MATCH(ROWS($AG$2:AG426),$AG$2:$AG$1001,0),0), INDEX($AN$1004:$BO$1004,1,MATCH(COLUMNS($AN$1006:BH1006),$AN$1006:$BO$1006,0)))),"Fix")))</f>
        <v>0</v>
      </c>
      <c r="W426" s="4">
        <f>IF(OR(INDEX($AH$2:$AH$1001,MATCH(ROWS($AG$2:AG426),$AG$2:$AG$1001,0),1)&gt;=100000,INDEX($AN$1005:$BO$1005,1,MATCH(COLUMNS($AN$1006:BI1006),$AN$1006:$BO$1006,0))&gt;=100000), " ",IF(INDEX($AN$2:$BO$1001,MATCH(ROWS($AG$2:AG426),$AG$2:$AG$1001,0),MATCH(COLUMNS($AN$1006:BI1006),$AN$1006:$BO$1006,0)), HYPERLINK("#",""), HYPERLINK(CONCATENATE("#Metadata!", ADDRESS(INDEX($AI$2:$AI$1001,MATCH(ROWS($AG$2:AG426),$AG$2:$AG$1001,0),0), INDEX($AN$1004:$BO$1004,1,MATCH(COLUMNS($AN$1006:BI1006),$AN$1006:$BO$1006,0)))),"Fix")))</f>
        <v>0</v>
      </c>
      <c r="X426" s="4">
        <f>IF(OR(INDEX($AH$2:$AH$1001,MATCH(ROWS($AG$2:AG426),$AG$2:$AG$1001,0),1)&gt;=100000,INDEX($AN$1005:$BO$1005,1,MATCH(COLUMNS($AN$1006:BJ1006),$AN$1006:$BO$1006,0))&gt;=100000), " ",IF(INDEX($AN$2:$BO$1001,MATCH(ROWS($AG$2:AG426),$AG$2:$AG$1001,0),MATCH(COLUMNS($AN$1006:BJ1006),$AN$1006:$BO$1006,0)), HYPERLINK("#",""), HYPERLINK(CONCATENATE("#Metadata!", ADDRESS(INDEX($AI$2:$AI$1001,MATCH(ROWS($AG$2:AG426),$AG$2:$AG$1001,0),0), INDEX($AN$1004:$BO$1004,1,MATCH(COLUMNS($AN$1006:BJ1006),$AN$1006:$BO$1006,0)))),"Fix")))</f>
        <v>0</v>
      </c>
      <c r="Y426" s="4">
        <f>IF(OR(INDEX($AH$2:$AH$1001,MATCH(ROWS($AG$2:AG426),$AG$2:$AG$1001,0),1)&gt;=100000,INDEX($AN$1005:$BO$1005,1,MATCH(COLUMNS($AN$1006:BK1006),$AN$1006:$BO$1006,0))&gt;=100000), " ",IF(INDEX($AN$2:$BO$1001,MATCH(ROWS($AG$2:AG426),$AG$2:$AG$1001,0),MATCH(COLUMNS($AN$1006:BK1006),$AN$1006:$BO$1006,0)), HYPERLINK("#",""), HYPERLINK(CONCATENATE("#Metadata!", ADDRESS(INDEX($AI$2:$AI$1001,MATCH(ROWS($AG$2:AG426),$AG$2:$AG$1001,0),0), INDEX($AN$1004:$BO$1004,1,MATCH(COLUMNS($AN$1006:BK1006),$AN$1006:$BO$1006,0)))),"Fix")))</f>
        <v>0</v>
      </c>
      <c r="Z426" s="4">
        <f>IF(OR(INDEX($AH$2:$AH$1001,MATCH(ROWS($AG$2:AG426),$AG$2:$AG$1001,0),1)&gt;=100000,INDEX($AN$1005:$BO$1005,1,MATCH(COLUMNS($AN$1006:BL1006),$AN$1006:$BO$1006,0))&gt;=100000), " ",IF(INDEX($AN$2:$BO$1001,MATCH(ROWS($AG$2:AG426),$AG$2:$AG$1001,0),MATCH(COLUMNS($AN$1006:BL1006),$AN$1006:$BO$1006,0)), HYPERLINK("#",""), HYPERLINK(CONCATENATE("#Metadata!", ADDRESS(INDEX($AI$2:$AI$1001,MATCH(ROWS($AG$2:AG426),$AG$2:$AG$1001,0),0), INDEX($AN$1004:$BO$1004,1,MATCH(COLUMNS($AN$1006:BL1006),$AN$1006:$BO$1006,0)))),"Fix")))</f>
        <v>0</v>
      </c>
      <c r="AA426" s="4">
        <f>IF(OR(INDEX($AH$2:$AH$1001,MATCH(ROWS($AG$2:AG426),$AG$2:$AG$1001,0),1)&gt;=100000,INDEX($AN$1005:$BO$1005,1,MATCH(COLUMNS($AN$1006:BM1006),$AN$1006:$BO$1006,0))&gt;=100000), " ",IF(INDEX($AN$2:$BO$1001,MATCH(ROWS($AG$2:AG426),$AG$2:$AG$1001,0),MATCH(COLUMNS($AN$1006:BM1006),$AN$1006:$BO$1006,0)), HYPERLINK("#",""), HYPERLINK(CONCATENATE("#Metadata!", ADDRESS(INDEX($AI$2:$AI$1001,MATCH(ROWS($AG$2:AG426),$AG$2:$AG$1001,0),0), INDEX($AN$1004:$BO$1004,1,MATCH(COLUMNS($AN$1006:BM1006),$AN$1006:$BO$1006,0)))),"Fix")))</f>
        <v>0</v>
      </c>
      <c r="AB426" s="4">
        <f>IF(OR(INDEX($AH$2:$AH$1001,MATCH(ROWS($AG$2:AG426),$AG$2:$AG$1001,0),1)&gt;=100000,INDEX($AN$1005:$BO$1005,1,MATCH(COLUMNS($AN$1006:BN1006),$AN$1006:$BO$1006,0))&gt;=100000), " ",IF(INDEX($AN$2:$BO$1001,MATCH(ROWS($AG$2:AG426),$AG$2:$AG$1001,0),MATCH(COLUMNS($AN$1006:BN1006),$AN$1006:$BO$1006,0)), HYPERLINK("#",""), HYPERLINK(CONCATENATE("#Metadata!", ADDRESS(INDEX($AI$2:$AI$1001,MATCH(ROWS($AG$2:AG426),$AG$2:$AG$1001,0),0), INDEX($AN$1004:$BO$1004,1,MATCH(COLUMNS($AN$1006:BN1006),$AN$1006:$BO$1006,0)))),"Fix")))</f>
        <v>0</v>
      </c>
      <c r="AC426" s="4">
        <f>IF(OR(INDEX($AH$2:$AH$1001,MATCH(ROWS($AG$2:AG426),$AG$2:$AG$1001,0),1)&gt;=100000,INDEX($AN$1005:$BO$1005,1,MATCH(COLUMNS($AN$1006:BO1006),$AN$1006:$BO$1006,0))&gt;=100000), " ",IF(INDEX($AN$2:$BO$1001,MATCH(ROWS($AG$2:AG426),$AG$2:$AG$1001,0),MATCH(COLUMNS($AN$1006:BO1006),$AN$1006:$BO$1006,0)), HYPERLINK("#",""), HYPERLINK(CONCATENATE("#Metadata!", ADDRESS(INDEX($AI$2:$AI$1001,MATCH(ROWS($AG$2:AG426),$AG$2:$AG$1001,0),0), INDEX($AN$1004:$BO$1004,1,MATCH(COLUMNS($AN$1006:BO1006),$AN$1006:$BO$1006,0)))),"Fix")))</f>
        <v>0</v>
      </c>
      <c r="AG426">
        <v>0</v>
      </c>
      <c r="AH426">
        <v>0</v>
      </c>
      <c r="AI426">
        <v>0</v>
      </c>
      <c r="AJ426">
        <f>IF(AK426,TRUE,AND(AN426:BO426))</f>
        <v>0</v>
      </c>
      <c r="AK426">
        <f>COUNTBLANK(Metadata!B426:AC426)=COLUMNS(Metadata!B426:AC426)</f>
        <v>0</v>
      </c>
      <c r="AL426">
        <v>0</v>
      </c>
      <c r="AN426">
        <f>AND(IF(Metadata!B426="",FALSE,TRUE),COUNTIF(Metadata!B:B, Metadata!B426) = 1,NOT(ISERROR(SUMPRODUCT(SEARCH(MID(Metadata!B426,ROW(INDIRECT("1:"&amp;LEN(Metadata!B426))), 1),"0123456789abcdefghijklmnopqrstuvwxyzABCDEFGHIJKLMNOPQRSTUVWXYZ.")))))</f>
        <v>0</v>
      </c>
      <c r="AO426">
        <f>IF(Metadata!C426="",FALSE,TRUE)</f>
        <v>0</v>
      </c>
      <c r="AP426">
        <f>IF(Metadata!D426="",FALSE,TRUE)</f>
        <v>0</v>
      </c>
      <c r="AQ426">
        <f>OR(AND(IF(Metadata!E426="",FALSE,TRUE),OR(exact(Metadata!E426,"not collected"),exact(Metadata!E426,"not provided"),exact(Metadata!E426,"restricted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R426">
        <f>IF(Metadata!F426="",FALSE,TRUE)</f>
        <v>0</v>
      </c>
      <c r="AS426">
        <f>OR(AND(IF(Metadata!G426="",FALSE,TRUE),OR(exact(Metadata!G426,"not collected"),exact(Metadata!G426,"not provided"))),AND(IF(Metadata!G426="",FALSE,TRUE),OR(exact(Metadata!G426,"TRUE"),exact(Metadata!G426,"FALSE"))))</f>
        <v>0</v>
      </c>
      <c r="AT426">
        <f>OR(AND(IF(Metadata!H426="",FALSE,TRUE),OR(exact(Metadata!H426,"not collected"),exact(Metadata!H426,"not provided"),exact(Metadata!H426,"restricted access"))),AND(IF(Metadata!H426="",FALSE,ISNUMBER(VALUE(Metadata!H426))),Metadata!H426&gt;=-413.0))</f>
        <v>0</v>
      </c>
      <c r="AU426">
        <f>AND(IF(Metadata!I426="",FALSE,TRUE),exact(Metadata!I426,"meters"))</f>
        <v>0</v>
      </c>
      <c r="AV426">
        <f>AND(IF(Metadata!J426="",FALSE,TRUE),OR(exact(Metadata!J426,"Host-associated"),exact(Metadata!J426,"Free-living")))</f>
        <v>0</v>
      </c>
      <c r="AW426">
        <f>AND(IF(Metadata!K426="",FALSE,TRUE),OR(exact(Metadata!K426,"Animal"),exact(Metadata!K426,"Fungus"),exact(Metadata!K426,"Plant"),exact(Metadata!K426,"Saline"),exact(Metadata!K426,"Non-saline")))</f>
        <v>0</v>
      </c>
      <c r="AX426">
        <f>AND(IF(Metadata!L426="",FALSE,TRUE),OR(exact(Metadata!L426,"Plant secretion"),exact(Metadata!L426,"Plant rhizosphere"),exact(Metadata!L426,"Plant surface"),exact(Metadata!L426,"Plant corpus"),exact(Metadata!L426,"Fungus surface"),exact(Metadata!L426,"Fungus corpus"),exact(Metadata!L426,"Animal surface"),exact(Metadata!L426,"Animal proximal gut"),exact(Metadata!L426,"Animal corpus"),exact(Metadata!L426,"Animal distal gut"),exact(Metadata!L426,"Animal secretion"),exact(Metadata!L426,"Sub-surface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Y426">
        <f>IF(Metadata!M426="",FALSE,TRUE)</f>
        <v>0</v>
      </c>
      <c r="AZ426">
        <f>IF(Metadata!N426="",FALSE,TRUE)</f>
        <v>0</v>
      </c>
      <c r="BA426">
        <f>IF(Metadata!O426="",FALSE,TRUE)</f>
        <v>0</v>
      </c>
      <c r="BB426">
        <f>OR(AND(IF(Metadata!P426="",FALSE,TRUE),OR(exact(Metadata!P426,"not collected"),exact(Metadata!P426,"not provided"),exact(Metadata!P426,"restricted access"))),AND(IF(Metadata!P426="",FALSE,TRUE),OR(exact(Metadata!P426,"air"),exact(Metadata!P426,"built environment"),exact(Metadata!P426,"host-associated"),exact(Metadata!P426,"human-associated"),exact(Metadata!P426,"human-skin"),exact(Metadata!P426,"human-oral"),exact(Metadata!P426,"human-gut"),exact(Metadata!P426,"human-vaginal"),exact(Metadata!P426,"microbial mat/biofilm"),exact(Metadata!P426,"misc environment"),exact(Metadata!P426,"plant-associated"),exact(Metadata!P426,"sediment"),exact(Metadata!P426,"soil"),exact(Metadata!P426,"wastewater/sludge"),exact(Metadata!P426,"water"))))</f>
        <v>0</v>
      </c>
      <c r="BC426">
        <f>IF(Metadata!Q426="",FALSE,TRUE)</f>
        <v>0</v>
      </c>
      <c r="BD426">
        <f>IF(Metadata!R426="",FALSE,TRUE)</f>
        <v>0</v>
      </c>
      <c r="BE426">
        <f>OR(AND(IF(Metadata!S426="",FALSE,TRUE),OR(exact(Metadata!S426,"not collected"),exact(Metadata!S426,"not provided"),exact(Metadata!S426,"restricted access"))),AND(IF(Metadata!S426="",FALSE,ISNUMBER(VALUE(Metadata!S426))),Metadata!S426&gt;=-90.00,Metadata!S426&lt;=90.00))</f>
        <v>0</v>
      </c>
      <c r="BF426">
        <f>AND(IF(Metadata!T426="",FALSE,TRUE),exact(Metadata!T426,"Decimal degrees"))</f>
        <v>0</v>
      </c>
      <c r="BG426">
        <f>OR(AND(IF(Metadata!U426="",FALSE,TRUE),OR(exact(Metadata!U426,"not collected"),exact(Metadata!U426,"not provided"),exact(Metadata!U426,"restricted access"))),AND(IF(Metadata!U426="",FALSE,ISNUMBER(VALUE(Metadata!U426))),Metadata!U426&gt;=-180.00,Metadata!U426&lt;=180.00))</f>
        <v>0</v>
      </c>
      <c r="BH426">
        <f>AND(IF(Metadata!V426="",FALSE,TRUE),exact(Metadata!V426,"Decimal degrees"))</f>
        <v>0</v>
      </c>
      <c r="BI426">
        <f>IF(Metadata!W426="",FALSE,TRUE)</f>
        <v>0</v>
      </c>
      <c r="BJ426">
        <f>OR(AND(IF(Metadata!X426="",FALSE,TRUE),OR(exact(Metadata!X426,"not collected"),exact(Metadata!X426,"not provided"),exact(Metadata!X426,"restricted access"))),AND(IF(Metadata!X426="",FALSE,TRUE),OR(exact(Metadata!X426,"TRUE"),exact(Metadata!X426,"FALSE"))))</f>
        <v>0</v>
      </c>
      <c r="BK426">
        <f>AND(IF(Metadata!Y426="",FALSE,TRUE),exact(Metadata!Y426,"other"))</f>
        <v>0</v>
      </c>
      <c r="BL426">
        <f>IF(Metadata!Z426="",FALSE,TRUE)</f>
        <v>0</v>
      </c>
      <c r="BM426">
        <f>OR(AND(IF(Metadata!AA426="",FALSE,TRUE),OR(exact(Metadata!AA426,"not collected"),exact(Metadata!AA426,"not provided"))),AND(IF(Metadata!AA426="",FALSE,IF(ISERROR(INT(Metadata!AA426)),FALSE,INT(Metadata!AA426)=Metadata!AA426)),Metadata!AA426&gt;0))</f>
        <v>0</v>
      </c>
      <c r="BN426">
        <f>AND(IF(Metadata!AB426="",FALSE,TRUE),exact(Metadata!AB426,"Not applicable"))</f>
        <v>0</v>
      </c>
      <c r="BO426">
        <f>IF(Metadata!AC426="",FALSE,TRUE)</f>
        <v>0</v>
      </c>
    </row>
    <row r="427" spans="1:67">
      <c r="A427" s="5">
        <f>IF(B427=" "," ",HYPERLINK(CONCATENATE("#metadata!",ADDRESS(INDEX($AI$2:$AI$1001,MATCH(ROWS($AG$2:AG427),$AG$2:$AG$1001,0),0),1)),INDEX($AL$2:$AL$1001,MATCH(ROWS($AG$2:AG427),$AG$2:$AG$1001,0),0)))</f>
        <v>0</v>
      </c>
      <c r="B427" s="4">
        <f>IF(OR(INDEX($AH$2:$AH$1001,MATCH(ROWS($AG$2:AG427),$AG$2:$AG$1001,0),1)&gt;=100000,INDEX($AN$1005:$BO$1005,1,MATCH(COLUMNS($AN$1006:AN1006),$AN$1006:$BO$1006,0))&gt;=100000), " ",IF(INDEX($AN$2:$BO$1001,MATCH(ROWS($AG$2:AG427),$AG$2:$AG$1001,0),MATCH(COLUMNS($AN$1006:AN1006),$AN$1006:$BO$1006,0)), HYPERLINK("#",""), HYPERLINK(CONCATENATE("#Metadata!", ADDRESS(INDEX($AI$2:$AI$1001,MATCH(ROWS($AG$2:AG427),$AG$2:$AG$1001,0),0), INDEX($AN$1004:$BO$1004,1,MATCH(COLUMNS($AN$1006:AN1006),$AN$1006:$BO$1006,0)))),"Fix")))</f>
        <v>0</v>
      </c>
      <c r="C427" s="4">
        <f>IF(OR(INDEX($AH$2:$AH$1001,MATCH(ROWS($AG$2:AG427),$AG$2:$AG$1001,0),1)&gt;=100000,INDEX($AN$1005:$BO$1005,1,MATCH(COLUMNS($AN$1006:AO1006),$AN$1006:$BO$1006,0))&gt;=100000), " ",IF(INDEX($AN$2:$BO$1001,MATCH(ROWS($AG$2:AG427),$AG$2:$AG$1001,0),MATCH(COLUMNS($AN$1006:AO1006),$AN$1006:$BO$1006,0)), HYPERLINK("#",""), HYPERLINK(CONCATENATE("#Metadata!", ADDRESS(INDEX($AI$2:$AI$1001,MATCH(ROWS($AG$2:AG427),$AG$2:$AG$1001,0),0), INDEX($AN$1004:$BO$1004,1,MATCH(COLUMNS($AN$1006:AO1006),$AN$1006:$BO$1006,0)))),"Fix")))</f>
        <v>0</v>
      </c>
      <c r="D427" s="4">
        <f>IF(OR(INDEX($AH$2:$AH$1001,MATCH(ROWS($AG$2:AG427),$AG$2:$AG$1001,0),1)&gt;=100000,INDEX($AN$1005:$BO$1005,1,MATCH(COLUMNS($AN$1006:AP1006),$AN$1006:$BO$1006,0))&gt;=100000), " ",IF(INDEX($AN$2:$BO$1001,MATCH(ROWS($AG$2:AG427),$AG$2:$AG$1001,0),MATCH(COLUMNS($AN$1006:AP1006),$AN$1006:$BO$1006,0)), HYPERLINK("#",""), HYPERLINK(CONCATENATE("#Metadata!", ADDRESS(INDEX($AI$2:$AI$1001,MATCH(ROWS($AG$2:AG427),$AG$2:$AG$1001,0),0), INDEX($AN$1004:$BO$1004,1,MATCH(COLUMNS($AN$1006:AP1006),$AN$1006:$BO$1006,0)))),"Fix")))</f>
        <v>0</v>
      </c>
      <c r="E427" s="4">
        <f>IF(OR(INDEX($AH$2:$AH$1001,MATCH(ROWS($AG$2:AG427),$AG$2:$AG$1001,0),1)&gt;=100000,INDEX($AN$1005:$BO$1005,1,MATCH(COLUMNS($AN$1006:AQ1006),$AN$1006:$BO$1006,0))&gt;=100000), " ",IF(INDEX($AN$2:$BO$1001,MATCH(ROWS($AG$2:AG427),$AG$2:$AG$1001,0),MATCH(COLUMNS($AN$1006:AQ1006),$AN$1006:$BO$1006,0)), HYPERLINK("#",""), HYPERLINK(CONCATENATE("#Metadata!", ADDRESS(INDEX($AI$2:$AI$1001,MATCH(ROWS($AG$2:AG427),$AG$2:$AG$1001,0),0), INDEX($AN$1004:$BO$1004,1,MATCH(COLUMNS($AN$1006:AQ1006),$AN$1006:$BO$1006,0)))),"Fix")))</f>
        <v>0</v>
      </c>
      <c r="F427" s="4">
        <f>IF(OR(INDEX($AH$2:$AH$1001,MATCH(ROWS($AG$2:AG427),$AG$2:$AG$1001,0),1)&gt;=100000,INDEX($AN$1005:$BO$1005,1,MATCH(COLUMNS($AN$1006:AR1006),$AN$1006:$BO$1006,0))&gt;=100000), " ",IF(INDEX($AN$2:$BO$1001,MATCH(ROWS($AG$2:AG427),$AG$2:$AG$1001,0),MATCH(COLUMNS($AN$1006:AR1006),$AN$1006:$BO$1006,0)), HYPERLINK("#",""), HYPERLINK(CONCATENATE("#Metadata!", ADDRESS(INDEX($AI$2:$AI$1001,MATCH(ROWS($AG$2:AG427),$AG$2:$AG$1001,0),0), INDEX($AN$1004:$BO$1004,1,MATCH(COLUMNS($AN$1006:AR1006),$AN$1006:$BO$1006,0)))),"Fix")))</f>
        <v>0</v>
      </c>
      <c r="G427" s="4">
        <f>IF(OR(INDEX($AH$2:$AH$1001,MATCH(ROWS($AG$2:AG427),$AG$2:$AG$1001,0),1)&gt;=100000,INDEX($AN$1005:$BO$1005,1,MATCH(COLUMNS($AN$1006:AS1006),$AN$1006:$BO$1006,0))&gt;=100000), " ",IF(INDEX($AN$2:$BO$1001,MATCH(ROWS($AG$2:AG427),$AG$2:$AG$1001,0),MATCH(COLUMNS($AN$1006:AS1006),$AN$1006:$BO$1006,0)), HYPERLINK("#",""), HYPERLINK(CONCATENATE("#Metadata!", ADDRESS(INDEX($AI$2:$AI$1001,MATCH(ROWS($AG$2:AG427),$AG$2:$AG$1001,0),0), INDEX($AN$1004:$BO$1004,1,MATCH(COLUMNS($AN$1006:AS1006),$AN$1006:$BO$1006,0)))),"Fix")))</f>
        <v>0</v>
      </c>
      <c r="H427" s="4">
        <f>IF(OR(INDEX($AH$2:$AH$1001,MATCH(ROWS($AG$2:AG427),$AG$2:$AG$1001,0),1)&gt;=100000,INDEX($AN$1005:$BO$1005,1,MATCH(COLUMNS($AN$1006:AT1006),$AN$1006:$BO$1006,0))&gt;=100000), " ",IF(INDEX($AN$2:$BO$1001,MATCH(ROWS($AG$2:AG427),$AG$2:$AG$1001,0),MATCH(COLUMNS($AN$1006:AT1006),$AN$1006:$BO$1006,0)), HYPERLINK("#",""), HYPERLINK(CONCATENATE("#Metadata!", ADDRESS(INDEX($AI$2:$AI$1001,MATCH(ROWS($AG$2:AG427),$AG$2:$AG$1001,0),0), INDEX($AN$1004:$BO$1004,1,MATCH(COLUMNS($AN$1006:AT1006),$AN$1006:$BO$1006,0)))),"Fix")))</f>
        <v>0</v>
      </c>
      <c r="I427" s="4">
        <f>IF(OR(INDEX($AH$2:$AH$1001,MATCH(ROWS($AG$2:AG427),$AG$2:$AG$1001,0),1)&gt;=100000,INDEX($AN$1005:$BO$1005,1,MATCH(COLUMNS($AN$1006:AU1006),$AN$1006:$BO$1006,0))&gt;=100000), " ",IF(INDEX($AN$2:$BO$1001,MATCH(ROWS($AG$2:AG427),$AG$2:$AG$1001,0),MATCH(COLUMNS($AN$1006:AU1006),$AN$1006:$BO$1006,0)), HYPERLINK("#",""), HYPERLINK(CONCATENATE("#Metadata!", ADDRESS(INDEX($AI$2:$AI$1001,MATCH(ROWS($AG$2:AG427),$AG$2:$AG$1001,0),0), INDEX($AN$1004:$BO$1004,1,MATCH(COLUMNS($AN$1006:AU1006),$AN$1006:$BO$1006,0)))),"Fix")))</f>
        <v>0</v>
      </c>
      <c r="J427" s="4">
        <f>IF(OR(INDEX($AH$2:$AH$1001,MATCH(ROWS($AG$2:AG427),$AG$2:$AG$1001,0),1)&gt;=100000,INDEX($AN$1005:$BO$1005,1,MATCH(COLUMNS($AN$1006:AV1006),$AN$1006:$BO$1006,0))&gt;=100000), " ",IF(INDEX($AN$2:$BO$1001,MATCH(ROWS($AG$2:AG427),$AG$2:$AG$1001,0),MATCH(COLUMNS($AN$1006:AV1006),$AN$1006:$BO$1006,0)), HYPERLINK("#",""), HYPERLINK(CONCATENATE("#Metadata!", ADDRESS(INDEX($AI$2:$AI$1001,MATCH(ROWS($AG$2:AG427),$AG$2:$AG$1001,0),0), INDEX($AN$1004:$BO$1004,1,MATCH(COLUMNS($AN$1006:AV1006),$AN$1006:$BO$1006,0)))),"Fix")))</f>
        <v>0</v>
      </c>
      <c r="K427" s="4">
        <f>IF(OR(INDEX($AH$2:$AH$1001,MATCH(ROWS($AG$2:AG427),$AG$2:$AG$1001,0),1)&gt;=100000,INDEX($AN$1005:$BO$1005,1,MATCH(COLUMNS($AN$1006:AW1006),$AN$1006:$BO$1006,0))&gt;=100000), " ",IF(INDEX($AN$2:$BO$1001,MATCH(ROWS($AG$2:AG427),$AG$2:$AG$1001,0),MATCH(COLUMNS($AN$1006:AW1006),$AN$1006:$BO$1006,0)), HYPERLINK("#",""), HYPERLINK(CONCATENATE("#Metadata!", ADDRESS(INDEX($AI$2:$AI$1001,MATCH(ROWS($AG$2:AG427),$AG$2:$AG$1001,0),0), INDEX($AN$1004:$BO$1004,1,MATCH(COLUMNS($AN$1006:AW1006),$AN$1006:$BO$1006,0)))),"Fix")))</f>
        <v>0</v>
      </c>
      <c r="L427" s="4">
        <f>IF(OR(INDEX($AH$2:$AH$1001,MATCH(ROWS($AG$2:AG427),$AG$2:$AG$1001,0),1)&gt;=100000,INDEX($AN$1005:$BO$1005,1,MATCH(COLUMNS($AN$1006:AX1006),$AN$1006:$BO$1006,0))&gt;=100000), " ",IF(INDEX($AN$2:$BO$1001,MATCH(ROWS($AG$2:AG427),$AG$2:$AG$1001,0),MATCH(COLUMNS($AN$1006:AX1006),$AN$1006:$BO$1006,0)), HYPERLINK("#",""), HYPERLINK(CONCATENATE("#Metadata!", ADDRESS(INDEX($AI$2:$AI$1001,MATCH(ROWS($AG$2:AG427),$AG$2:$AG$1001,0),0), INDEX($AN$1004:$BO$1004,1,MATCH(COLUMNS($AN$1006:AX1006),$AN$1006:$BO$1006,0)))),"Fix")))</f>
        <v>0</v>
      </c>
      <c r="M427" s="4">
        <f>IF(OR(INDEX($AH$2:$AH$1001,MATCH(ROWS($AG$2:AG427),$AG$2:$AG$1001,0),1)&gt;=100000,INDEX($AN$1005:$BO$1005,1,MATCH(COLUMNS($AN$1006:AY1006),$AN$1006:$BO$1006,0))&gt;=100000), " ",IF(INDEX($AN$2:$BO$1001,MATCH(ROWS($AG$2:AG427),$AG$2:$AG$1001,0),MATCH(COLUMNS($AN$1006:AY1006),$AN$1006:$BO$1006,0)), HYPERLINK("#",""), HYPERLINK(CONCATENATE("#Metadata!", ADDRESS(INDEX($AI$2:$AI$1001,MATCH(ROWS($AG$2:AG427),$AG$2:$AG$1001,0),0), INDEX($AN$1004:$BO$1004,1,MATCH(COLUMNS($AN$1006:AY1006),$AN$1006:$BO$1006,0)))),"Fix")))</f>
        <v>0</v>
      </c>
      <c r="N427" s="4">
        <f>IF(OR(INDEX($AH$2:$AH$1001,MATCH(ROWS($AG$2:AG427),$AG$2:$AG$1001,0),1)&gt;=100000,INDEX($AN$1005:$BO$1005,1,MATCH(COLUMNS($AN$1006:AZ1006),$AN$1006:$BO$1006,0))&gt;=100000), " ",IF(INDEX($AN$2:$BO$1001,MATCH(ROWS($AG$2:AG427),$AG$2:$AG$1001,0),MATCH(COLUMNS($AN$1006:AZ1006),$AN$1006:$BO$1006,0)), HYPERLINK("#",""), HYPERLINK(CONCATENATE("#Metadata!", ADDRESS(INDEX($AI$2:$AI$1001,MATCH(ROWS($AG$2:AG427),$AG$2:$AG$1001,0),0), INDEX($AN$1004:$BO$1004,1,MATCH(COLUMNS($AN$1006:AZ1006),$AN$1006:$BO$1006,0)))),"Fix")))</f>
        <v>0</v>
      </c>
      <c r="O427" s="4">
        <f>IF(OR(INDEX($AH$2:$AH$1001,MATCH(ROWS($AG$2:AG427),$AG$2:$AG$1001,0),1)&gt;=100000,INDEX($AN$1005:$BO$1005,1,MATCH(COLUMNS($AN$1006:BA1006),$AN$1006:$BO$1006,0))&gt;=100000), " ",IF(INDEX($AN$2:$BO$1001,MATCH(ROWS($AG$2:AG427),$AG$2:$AG$1001,0),MATCH(COLUMNS($AN$1006:BA1006),$AN$1006:$BO$1006,0)), HYPERLINK("#",""), HYPERLINK(CONCATENATE("#Metadata!", ADDRESS(INDEX($AI$2:$AI$1001,MATCH(ROWS($AG$2:AG427),$AG$2:$AG$1001,0),0), INDEX($AN$1004:$BO$1004,1,MATCH(COLUMNS($AN$1006:BA1006),$AN$1006:$BO$1006,0)))),"Fix")))</f>
        <v>0</v>
      </c>
      <c r="P427" s="4">
        <f>IF(OR(INDEX($AH$2:$AH$1001,MATCH(ROWS($AG$2:AG427),$AG$2:$AG$1001,0),1)&gt;=100000,INDEX($AN$1005:$BO$1005,1,MATCH(COLUMNS($AN$1006:BB1006),$AN$1006:$BO$1006,0))&gt;=100000), " ",IF(INDEX($AN$2:$BO$1001,MATCH(ROWS($AG$2:AG427),$AG$2:$AG$1001,0),MATCH(COLUMNS($AN$1006:BB1006),$AN$1006:$BO$1006,0)), HYPERLINK("#",""), HYPERLINK(CONCATENATE("#Metadata!", ADDRESS(INDEX($AI$2:$AI$1001,MATCH(ROWS($AG$2:AG427),$AG$2:$AG$1001,0),0), INDEX($AN$1004:$BO$1004,1,MATCH(COLUMNS($AN$1006:BB1006),$AN$1006:$BO$1006,0)))),"Fix")))</f>
        <v>0</v>
      </c>
      <c r="Q427" s="4">
        <f>IF(OR(INDEX($AH$2:$AH$1001,MATCH(ROWS($AG$2:AG427),$AG$2:$AG$1001,0),1)&gt;=100000,INDEX($AN$1005:$BO$1005,1,MATCH(COLUMNS($AN$1006:BC1006),$AN$1006:$BO$1006,0))&gt;=100000), " ",IF(INDEX($AN$2:$BO$1001,MATCH(ROWS($AG$2:AG427),$AG$2:$AG$1001,0),MATCH(COLUMNS($AN$1006:BC1006),$AN$1006:$BO$1006,0)), HYPERLINK("#",""), HYPERLINK(CONCATENATE("#Metadata!", ADDRESS(INDEX($AI$2:$AI$1001,MATCH(ROWS($AG$2:AG427),$AG$2:$AG$1001,0),0), INDEX($AN$1004:$BO$1004,1,MATCH(COLUMNS($AN$1006:BC1006),$AN$1006:$BO$1006,0)))),"Fix")))</f>
        <v>0</v>
      </c>
      <c r="R427" s="4">
        <f>IF(OR(INDEX($AH$2:$AH$1001,MATCH(ROWS($AG$2:AG427),$AG$2:$AG$1001,0),1)&gt;=100000,INDEX($AN$1005:$BO$1005,1,MATCH(COLUMNS($AN$1006:BD1006),$AN$1006:$BO$1006,0))&gt;=100000), " ",IF(INDEX($AN$2:$BO$1001,MATCH(ROWS($AG$2:AG427),$AG$2:$AG$1001,0),MATCH(COLUMNS($AN$1006:BD1006),$AN$1006:$BO$1006,0)), HYPERLINK("#",""), HYPERLINK(CONCATENATE("#Metadata!", ADDRESS(INDEX($AI$2:$AI$1001,MATCH(ROWS($AG$2:AG427),$AG$2:$AG$1001,0),0), INDEX($AN$1004:$BO$1004,1,MATCH(COLUMNS($AN$1006:BD1006),$AN$1006:$BO$1006,0)))),"Fix")))</f>
        <v>0</v>
      </c>
      <c r="S427" s="4">
        <f>IF(OR(INDEX($AH$2:$AH$1001,MATCH(ROWS($AG$2:AG427),$AG$2:$AG$1001,0),1)&gt;=100000,INDEX($AN$1005:$BO$1005,1,MATCH(COLUMNS($AN$1006:BE1006),$AN$1006:$BO$1006,0))&gt;=100000), " ",IF(INDEX($AN$2:$BO$1001,MATCH(ROWS($AG$2:AG427),$AG$2:$AG$1001,0),MATCH(COLUMNS($AN$1006:BE1006),$AN$1006:$BO$1006,0)), HYPERLINK("#",""), HYPERLINK(CONCATENATE("#Metadata!", ADDRESS(INDEX($AI$2:$AI$1001,MATCH(ROWS($AG$2:AG427),$AG$2:$AG$1001,0),0), INDEX($AN$1004:$BO$1004,1,MATCH(COLUMNS($AN$1006:BE1006),$AN$1006:$BO$1006,0)))),"Fix")))</f>
        <v>0</v>
      </c>
      <c r="T427" s="4">
        <f>IF(OR(INDEX($AH$2:$AH$1001,MATCH(ROWS($AG$2:AG427),$AG$2:$AG$1001,0),1)&gt;=100000,INDEX($AN$1005:$BO$1005,1,MATCH(COLUMNS($AN$1006:BF1006),$AN$1006:$BO$1006,0))&gt;=100000), " ",IF(INDEX($AN$2:$BO$1001,MATCH(ROWS($AG$2:AG427),$AG$2:$AG$1001,0),MATCH(COLUMNS($AN$1006:BF1006),$AN$1006:$BO$1006,0)), HYPERLINK("#",""), HYPERLINK(CONCATENATE("#Metadata!", ADDRESS(INDEX($AI$2:$AI$1001,MATCH(ROWS($AG$2:AG427),$AG$2:$AG$1001,0),0), INDEX($AN$1004:$BO$1004,1,MATCH(COLUMNS($AN$1006:BF1006),$AN$1006:$BO$1006,0)))),"Fix")))</f>
        <v>0</v>
      </c>
      <c r="U427" s="4">
        <f>IF(OR(INDEX($AH$2:$AH$1001,MATCH(ROWS($AG$2:AG427),$AG$2:$AG$1001,0),1)&gt;=100000,INDEX($AN$1005:$BO$1005,1,MATCH(COLUMNS($AN$1006:BG1006),$AN$1006:$BO$1006,0))&gt;=100000), " ",IF(INDEX($AN$2:$BO$1001,MATCH(ROWS($AG$2:AG427),$AG$2:$AG$1001,0),MATCH(COLUMNS($AN$1006:BG1006),$AN$1006:$BO$1006,0)), HYPERLINK("#",""), HYPERLINK(CONCATENATE("#Metadata!", ADDRESS(INDEX($AI$2:$AI$1001,MATCH(ROWS($AG$2:AG427),$AG$2:$AG$1001,0),0), INDEX($AN$1004:$BO$1004,1,MATCH(COLUMNS($AN$1006:BG1006),$AN$1006:$BO$1006,0)))),"Fix")))</f>
        <v>0</v>
      </c>
      <c r="V427" s="4">
        <f>IF(OR(INDEX($AH$2:$AH$1001,MATCH(ROWS($AG$2:AG427),$AG$2:$AG$1001,0),1)&gt;=100000,INDEX($AN$1005:$BO$1005,1,MATCH(COLUMNS($AN$1006:BH1006),$AN$1006:$BO$1006,0))&gt;=100000), " ",IF(INDEX($AN$2:$BO$1001,MATCH(ROWS($AG$2:AG427),$AG$2:$AG$1001,0),MATCH(COLUMNS($AN$1006:BH1006),$AN$1006:$BO$1006,0)), HYPERLINK("#",""), HYPERLINK(CONCATENATE("#Metadata!", ADDRESS(INDEX($AI$2:$AI$1001,MATCH(ROWS($AG$2:AG427),$AG$2:$AG$1001,0),0), INDEX($AN$1004:$BO$1004,1,MATCH(COLUMNS($AN$1006:BH1006),$AN$1006:$BO$1006,0)))),"Fix")))</f>
        <v>0</v>
      </c>
      <c r="W427" s="4">
        <f>IF(OR(INDEX($AH$2:$AH$1001,MATCH(ROWS($AG$2:AG427),$AG$2:$AG$1001,0),1)&gt;=100000,INDEX($AN$1005:$BO$1005,1,MATCH(COLUMNS($AN$1006:BI1006),$AN$1006:$BO$1006,0))&gt;=100000), " ",IF(INDEX($AN$2:$BO$1001,MATCH(ROWS($AG$2:AG427),$AG$2:$AG$1001,0),MATCH(COLUMNS($AN$1006:BI1006),$AN$1006:$BO$1006,0)), HYPERLINK("#",""), HYPERLINK(CONCATENATE("#Metadata!", ADDRESS(INDEX($AI$2:$AI$1001,MATCH(ROWS($AG$2:AG427),$AG$2:$AG$1001,0),0), INDEX($AN$1004:$BO$1004,1,MATCH(COLUMNS($AN$1006:BI1006),$AN$1006:$BO$1006,0)))),"Fix")))</f>
        <v>0</v>
      </c>
      <c r="X427" s="4">
        <f>IF(OR(INDEX($AH$2:$AH$1001,MATCH(ROWS($AG$2:AG427),$AG$2:$AG$1001,0),1)&gt;=100000,INDEX($AN$1005:$BO$1005,1,MATCH(COLUMNS($AN$1006:BJ1006),$AN$1006:$BO$1006,0))&gt;=100000), " ",IF(INDEX($AN$2:$BO$1001,MATCH(ROWS($AG$2:AG427),$AG$2:$AG$1001,0),MATCH(COLUMNS($AN$1006:BJ1006),$AN$1006:$BO$1006,0)), HYPERLINK("#",""), HYPERLINK(CONCATENATE("#Metadata!", ADDRESS(INDEX($AI$2:$AI$1001,MATCH(ROWS($AG$2:AG427),$AG$2:$AG$1001,0),0), INDEX($AN$1004:$BO$1004,1,MATCH(COLUMNS($AN$1006:BJ1006),$AN$1006:$BO$1006,0)))),"Fix")))</f>
        <v>0</v>
      </c>
      <c r="Y427" s="4">
        <f>IF(OR(INDEX($AH$2:$AH$1001,MATCH(ROWS($AG$2:AG427),$AG$2:$AG$1001,0),1)&gt;=100000,INDEX($AN$1005:$BO$1005,1,MATCH(COLUMNS($AN$1006:BK1006),$AN$1006:$BO$1006,0))&gt;=100000), " ",IF(INDEX($AN$2:$BO$1001,MATCH(ROWS($AG$2:AG427),$AG$2:$AG$1001,0),MATCH(COLUMNS($AN$1006:BK1006),$AN$1006:$BO$1006,0)), HYPERLINK("#",""), HYPERLINK(CONCATENATE("#Metadata!", ADDRESS(INDEX($AI$2:$AI$1001,MATCH(ROWS($AG$2:AG427),$AG$2:$AG$1001,0),0), INDEX($AN$1004:$BO$1004,1,MATCH(COLUMNS($AN$1006:BK1006),$AN$1006:$BO$1006,0)))),"Fix")))</f>
        <v>0</v>
      </c>
      <c r="Z427" s="4">
        <f>IF(OR(INDEX($AH$2:$AH$1001,MATCH(ROWS($AG$2:AG427),$AG$2:$AG$1001,0),1)&gt;=100000,INDEX($AN$1005:$BO$1005,1,MATCH(COLUMNS($AN$1006:BL1006),$AN$1006:$BO$1006,0))&gt;=100000), " ",IF(INDEX($AN$2:$BO$1001,MATCH(ROWS($AG$2:AG427),$AG$2:$AG$1001,0),MATCH(COLUMNS($AN$1006:BL1006),$AN$1006:$BO$1006,0)), HYPERLINK("#",""), HYPERLINK(CONCATENATE("#Metadata!", ADDRESS(INDEX($AI$2:$AI$1001,MATCH(ROWS($AG$2:AG427),$AG$2:$AG$1001,0),0), INDEX($AN$1004:$BO$1004,1,MATCH(COLUMNS($AN$1006:BL1006),$AN$1006:$BO$1006,0)))),"Fix")))</f>
        <v>0</v>
      </c>
      <c r="AA427" s="4">
        <f>IF(OR(INDEX($AH$2:$AH$1001,MATCH(ROWS($AG$2:AG427),$AG$2:$AG$1001,0),1)&gt;=100000,INDEX($AN$1005:$BO$1005,1,MATCH(COLUMNS($AN$1006:BM1006),$AN$1006:$BO$1006,0))&gt;=100000), " ",IF(INDEX($AN$2:$BO$1001,MATCH(ROWS($AG$2:AG427),$AG$2:$AG$1001,0),MATCH(COLUMNS($AN$1006:BM1006),$AN$1006:$BO$1006,0)), HYPERLINK("#",""), HYPERLINK(CONCATENATE("#Metadata!", ADDRESS(INDEX($AI$2:$AI$1001,MATCH(ROWS($AG$2:AG427),$AG$2:$AG$1001,0),0), INDEX($AN$1004:$BO$1004,1,MATCH(COLUMNS($AN$1006:BM1006),$AN$1006:$BO$1006,0)))),"Fix")))</f>
        <v>0</v>
      </c>
      <c r="AB427" s="4">
        <f>IF(OR(INDEX($AH$2:$AH$1001,MATCH(ROWS($AG$2:AG427),$AG$2:$AG$1001,0),1)&gt;=100000,INDEX($AN$1005:$BO$1005,1,MATCH(COLUMNS($AN$1006:BN1006),$AN$1006:$BO$1006,0))&gt;=100000), " ",IF(INDEX($AN$2:$BO$1001,MATCH(ROWS($AG$2:AG427),$AG$2:$AG$1001,0),MATCH(COLUMNS($AN$1006:BN1006),$AN$1006:$BO$1006,0)), HYPERLINK("#",""), HYPERLINK(CONCATENATE("#Metadata!", ADDRESS(INDEX($AI$2:$AI$1001,MATCH(ROWS($AG$2:AG427),$AG$2:$AG$1001,0),0), INDEX($AN$1004:$BO$1004,1,MATCH(COLUMNS($AN$1006:BN1006),$AN$1006:$BO$1006,0)))),"Fix")))</f>
        <v>0</v>
      </c>
      <c r="AC427" s="4">
        <f>IF(OR(INDEX($AH$2:$AH$1001,MATCH(ROWS($AG$2:AG427),$AG$2:$AG$1001,0),1)&gt;=100000,INDEX($AN$1005:$BO$1005,1,MATCH(COLUMNS($AN$1006:BO1006),$AN$1006:$BO$1006,0))&gt;=100000), " ",IF(INDEX($AN$2:$BO$1001,MATCH(ROWS($AG$2:AG427),$AG$2:$AG$1001,0),MATCH(COLUMNS($AN$1006:BO1006),$AN$1006:$BO$1006,0)), HYPERLINK("#",""), HYPERLINK(CONCATENATE("#Metadata!", ADDRESS(INDEX($AI$2:$AI$1001,MATCH(ROWS($AG$2:AG427),$AG$2:$AG$1001,0),0), INDEX($AN$1004:$BO$1004,1,MATCH(COLUMNS($AN$1006:BO1006),$AN$1006:$BO$1006,0)))),"Fix")))</f>
        <v>0</v>
      </c>
      <c r="AG427">
        <v>0</v>
      </c>
      <c r="AH427">
        <v>0</v>
      </c>
      <c r="AI427">
        <v>0</v>
      </c>
      <c r="AJ427">
        <f>IF(AK427,TRUE,AND(AN427:BO427))</f>
        <v>0</v>
      </c>
      <c r="AK427">
        <f>COUNTBLANK(Metadata!B427:AC427)=COLUMNS(Metadata!B427:AC427)</f>
        <v>0</v>
      </c>
      <c r="AL427">
        <v>0</v>
      </c>
      <c r="AN427">
        <f>AND(IF(Metadata!B427="",FALSE,TRUE),COUNTIF(Metadata!B:B, Metadata!B427) = 1,NOT(ISERROR(SUMPRODUCT(SEARCH(MID(Metadata!B427,ROW(INDIRECT("1:"&amp;LEN(Metadata!B427))), 1),"0123456789abcdefghijklmnopqrstuvwxyzABCDEFGHIJKLMNOPQRSTUVWXYZ.")))))</f>
        <v>0</v>
      </c>
      <c r="AO427">
        <f>IF(Metadata!C427="",FALSE,TRUE)</f>
        <v>0</v>
      </c>
      <c r="AP427">
        <f>IF(Metadata!D427="",FALSE,TRUE)</f>
        <v>0</v>
      </c>
      <c r="AQ427">
        <f>OR(AND(IF(Metadata!E427="",FALSE,TRUE),OR(exact(Metadata!E427,"not collected"),exact(Metadata!E427,"not provided"),exact(Metadata!E427,"restricted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R427">
        <f>IF(Metadata!F427="",FALSE,TRUE)</f>
        <v>0</v>
      </c>
      <c r="AS427">
        <f>OR(AND(IF(Metadata!G427="",FALSE,TRUE),OR(exact(Metadata!G427,"not collected"),exact(Metadata!G427,"not provided"))),AND(IF(Metadata!G427="",FALSE,TRUE),OR(exact(Metadata!G427,"TRUE"),exact(Metadata!G427,"FALSE"))))</f>
        <v>0</v>
      </c>
      <c r="AT427">
        <f>OR(AND(IF(Metadata!H427="",FALSE,TRUE),OR(exact(Metadata!H427,"not collected"),exact(Metadata!H427,"not provided"),exact(Metadata!H427,"restricted access"))),AND(IF(Metadata!H427="",FALSE,ISNUMBER(VALUE(Metadata!H427))),Metadata!H427&gt;=-413.0))</f>
        <v>0</v>
      </c>
      <c r="AU427">
        <f>AND(IF(Metadata!I427="",FALSE,TRUE),exact(Metadata!I427,"meters"))</f>
        <v>0</v>
      </c>
      <c r="AV427">
        <f>AND(IF(Metadata!J427="",FALSE,TRUE),OR(exact(Metadata!J427,"Host-associated"),exact(Metadata!J427,"Free-living")))</f>
        <v>0</v>
      </c>
      <c r="AW427">
        <f>AND(IF(Metadata!K427="",FALSE,TRUE),OR(exact(Metadata!K427,"Animal"),exact(Metadata!K427,"Fungus"),exact(Metadata!K427,"Plant"),exact(Metadata!K427,"Saline"),exact(Metadata!K427,"Non-saline")))</f>
        <v>0</v>
      </c>
      <c r="AX427">
        <f>AND(IF(Metadata!L427="",FALSE,TRUE),OR(exact(Metadata!L427,"Plant secretion"),exact(Metadata!L427,"Plant rhizosphere"),exact(Metadata!L427,"Plant surface"),exact(Metadata!L427,"Plant corpus"),exact(Metadata!L427,"Fungus surface"),exact(Metadata!L427,"Fungus corpus"),exact(Metadata!L427,"Animal surface"),exact(Metadata!L427,"Animal proximal gut"),exact(Metadata!L427,"Animal corpus"),exact(Metadata!L427,"Animal distal gut"),exact(Metadata!L427,"Animal secretion"),exact(Metadata!L427,"Sub-surface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Y427">
        <f>IF(Metadata!M427="",FALSE,TRUE)</f>
        <v>0</v>
      </c>
      <c r="AZ427">
        <f>IF(Metadata!N427="",FALSE,TRUE)</f>
        <v>0</v>
      </c>
      <c r="BA427">
        <f>IF(Metadata!O427="",FALSE,TRUE)</f>
        <v>0</v>
      </c>
      <c r="BB427">
        <f>OR(AND(IF(Metadata!P427="",FALSE,TRUE),OR(exact(Metadata!P427,"not collected"),exact(Metadata!P427,"not provided"),exact(Metadata!P427,"restricted access"))),AND(IF(Metadata!P427="",FALSE,TRUE),OR(exact(Metadata!P427,"air"),exact(Metadata!P427,"built environment"),exact(Metadata!P427,"host-associated"),exact(Metadata!P427,"human-associated"),exact(Metadata!P427,"human-skin"),exact(Metadata!P427,"human-oral"),exact(Metadata!P427,"human-gut"),exact(Metadata!P427,"human-vaginal"),exact(Metadata!P427,"microbial mat/biofilm"),exact(Metadata!P427,"misc environment"),exact(Metadata!P427,"plant-associated"),exact(Metadata!P427,"sediment"),exact(Metadata!P427,"soil"),exact(Metadata!P427,"wastewater/sludge"),exact(Metadata!P427,"water"))))</f>
        <v>0</v>
      </c>
      <c r="BC427">
        <f>IF(Metadata!Q427="",FALSE,TRUE)</f>
        <v>0</v>
      </c>
      <c r="BD427">
        <f>IF(Metadata!R427="",FALSE,TRUE)</f>
        <v>0</v>
      </c>
      <c r="BE427">
        <f>OR(AND(IF(Metadata!S427="",FALSE,TRUE),OR(exact(Metadata!S427,"not collected"),exact(Metadata!S427,"not provided"),exact(Metadata!S427,"restricted access"))),AND(IF(Metadata!S427="",FALSE,ISNUMBER(VALUE(Metadata!S427))),Metadata!S427&gt;=-90.00,Metadata!S427&lt;=90.00))</f>
        <v>0</v>
      </c>
      <c r="BF427">
        <f>AND(IF(Metadata!T427="",FALSE,TRUE),exact(Metadata!T427,"Decimal degrees"))</f>
        <v>0</v>
      </c>
      <c r="BG427">
        <f>OR(AND(IF(Metadata!U427="",FALSE,TRUE),OR(exact(Metadata!U427,"not collected"),exact(Metadata!U427,"not provided"),exact(Metadata!U427,"restricted access"))),AND(IF(Metadata!U427="",FALSE,ISNUMBER(VALUE(Metadata!U427))),Metadata!U427&gt;=-180.00,Metadata!U427&lt;=180.00))</f>
        <v>0</v>
      </c>
      <c r="BH427">
        <f>AND(IF(Metadata!V427="",FALSE,TRUE),exact(Metadata!V427,"Decimal degrees"))</f>
        <v>0</v>
      </c>
      <c r="BI427">
        <f>IF(Metadata!W427="",FALSE,TRUE)</f>
        <v>0</v>
      </c>
      <c r="BJ427">
        <f>OR(AND(IF(Metadata!X427="",FALSE,TRUE),OR(exact(Metadata!X427,"not collected"),exact(Metadata!X427,"not provided"),exact(Metadata!X427,"restricted access"))),AND(IF(Metadata!X427="",FALSE,TRUE),OR(exact(Metadata!X427,"TRUE"),exact(Metadata!X427,"FALSE"))))</f>
        <v>0</v>
      </c>
      <c r="BK427">
        <f>AND(IF(Metadata!Y427="",FALSE,TRUE),exact(Metadata!Y427,"other"))</f>
        <v>0</v>
      </c>
      <c r="BL427">
        <f>IF(Metadata!Z427="",FALSE,TRUE)</f>
        <v>0</v>
      </c>
      <c r="BM427">
        <f>OR(AND(IF(Metadata!AA427="",FALSE,TRUE),OR(exact(Metadata!AA427,"not collected"),exact(Metadata!AA427,"not provided"))),AND(IF(Metadata!AA427="",FALSE,IF(ISERROR(INT(Metadata!AA427)),FALSE,INT(Metadata!AA427)=Metadata!AA427)),Metadata!AA427&gt;0))</f>
        <v>0</v>
      </c>
      <c r="BN427">
        <f>AND(IF(Metadata!AB427="",FALSE,TRUE),exact(Metadata!AB427,"Not applicable"))</f>
        <v>0</v>
      </c>
      <c r="BO427">
        <f>IF(Metadata!AC427="",FALSE,TRUE)</f>
        <v>0</v>
      </c>
    </row>
    <row r="428" spans="1:67">
      <c r="A428" s="5">
        <f>IF(B428=" "," ",HYPERLINK(CONCATENATE("#metadata!",ADDRESS(INDEX($AI$2:$AI$1001,MATCH(ROWS($AG$2:AG428),$AG$2:$AG$1001,0),0),1)),INDEX($AL$2:$AL$1001,MATCH(ROWS($AG$2:AG428),$AG$2:$AG$1001,0),0)))</f>
        <v>0</v>
      </c>
      <c r="B428" s="4">
        <f>IF(OR(INDEX($AH$2:$AH$1001,MATCH(ROWS($AG$2:AG428),$AG$2:$AG$1001,0),1)&gt;=100000,INDEX($AN$1005:$BO$1005,1,MATCH(COLUMNS($AN$1006:AN1006),$AN$1006:$BO$1006,0))&gt;=100000), " ",IF(INDEX($AN$2:$BO$1001,MATCH(ROWS($AG$2:AG428),$AG$2:$AG$1001,0),MATCH(COLUMNS($AN$1006:AN1006),$AN$1006:$BO$1006,0)), HYPERLINK("#",""), HYPERLINK(CONCATENATE("#Metadata!", ADDRESS(INDEX($AI$2:$AI$1001,MATCH(ROWS($AG$2:AG428),$AG$2:$AG$1001,0),0), INDEX($AN$1004:$BO$1004,1,MATCH(COLUMNS($AN$1006:AN1006),$AN$1006:$BO$1006,0)))),"Fix")))</f>
        <v>0</v>
      </c>
      <c r="C428" s="4">
        <f>IF(OR(INDEX($AH$2:$AH$1001,MATCH(ROWS($AG$2:AG428),$AG$2:$AG$1001,0),1)&gt;=100000,INDEX($AN$1005:$BO$1005,1,MATCH(COLUMNS($AN$1006:AO1006),$AN$1006:$BO$1006,0))&gt;=100000), " ",IF(INDEX($AN$2:$BO$1001,MATCH(ROWS($AG$2:AG428),$AG$2:$AG$1001,0),MATCH(COLUMNS($AN$1006:AO1006),$AN$1006:$BO$1006,0)), HYPERLINK("#",""), HYPERLINK(CONCATENATE("#Metadata!", ADDRESS(INDEX($AI$2:$AI$1001,MATCH(ROWS($AG$2:AG428),$AG$2:$AG$1001,0),0), INDEX($AN$1004:$BO$1004,1,MATCH(COLUMNS($AN$1006:AO1006),$AN$1006:$BO$1006,0)))),"Fix")))</f>
        <v>0</v>
      </c>
      <c r="D428" s="4">
        <f>IF(OR(INDEX($AH$2:$AH$1001,MATCH(ROWS($AG$2:AG428),$AG$2:$AG$1001,0),1)&gt;=100000,INDEX($AN$1005:$BO$1005,1,MATCH(COLUMNS($AN$1006:AP1006),$AN$1006:$BO$1006,0))&gt;=100000), " ",IF(INDEX($AN$2:$BO$1001,MATCH(ROWS($AG$2:AG428),$AG$2:$AG$1001,0),MATCH(COLUMNS($AN$1006:AP1006),$AN$1006:$BO$1006,0)), HYPERLINK("#",""), HYPERLINK(CONCATENATE("#Metadata!", ADDRESS(INDEX($AI$2:$AI$1001,MATCH(ROWS($AG$2:AG428),$AG$2:$AG$1001,0),0), INDEX($AN$1004:$BO$1004,1,MATCH(COLUMNS($AN$1006:AP1006),$AN$1006:$BO$1006,0)))),"Fix")))</f>
        <v>0</v>
      </c>
      <c r="E428" s="4">
        <f>IF(OR(INDEX($AH$2:$AH$1001,MATCH(ROWS($AG$2:AG428),$AG$2:$AG$1001,0),1)&gt;=100000,INDEX($AN$1005:$BO$1005,1,MATCH(COLUMNS($AN$1006:AQ1006),$AN$1006:$BO$1006,0))&gt;=100000), " ",IF(INDEX($AN$2:$BO$1001,MATCH(ROWS($AG$2:AG428),$AG$2:$AG$1001,0),MATCH(COLUMNS($AN$1006:AQ1006),$AN$1006:$BO$1006,0)), HYPERLINK("#",""), HYPERLINK(CONCATENATE("#Metadata!", ADDRESS(INDEX($AI$2:$AI$1001,MATCH(ROWS($AG$2:AG428),$AG$2:$AG$1001,0),0), INDEX($AN$1004:$BO$1004,1,MATCH(COLUMNS($AN$1006:AQ1006),$AN$1006:$BO$1006,0)))),"Fix")))</f>
        <v>0</v>
      </c>
      <c r="F428" s="4">
        <f>IF(OR(INDEX($AH$2:$AH$1001,MATCH(ROWS($AG$2:AG428),$AG$2:$AG$1001,0),1)&gt;=100000,INDEX($AN$1005:$BO$1005,1,MATCH(COLUMNS($AN$1006:AR1006),$AN$1006:$BO$1006,0))&gt;=100000), " ",IF(INDEX($AN$2:$BO$1001,MATCH(ROWS($AG$2:AG428),$AG$2:$AG$1001,0),MATCH(COLUMNS($AN$1006:AR1006),$AN$1006:$BO$1006,0)), HYPERLINK("#",""), HYPERLINK(CONCATENATE("#Metadata!", ADDRESS(INDEX($AI$2:$AI$1001,MATCH(ROWS($AG$2:AG428),$AG$2:$AG$1001,0),0), INDEX($AN$1004:$BO$1004,1,MATCH(COLUMNS($AN$1006:AR1006),$AN$1006:$BO$1006,0)))),"Fix")))</f>
        <v>0</v>
      </c>
      <c r="G428" s="4">
        <f>IF(OR(INDEX($AH$2:$AH$1001,MATCH(ROWS($AG$2:AG428),$AG$2:$AG$1001,0),1)&gt;=100000,INDEX($AN$1005:$BO$1005,1,MATCH(COLUMNS($AN$1006:AS1006),$AN$1006:$BO$1006,0))&gt;=100000), " ",IF(INDEX($AN$2:$BO$1001,MATCH(ROWS($AG$2:AG428),$AG$2:$AG$1001,0),MATCH(COLUMNS($AN$1006:AS1006),$AN$1006:$BO$1006,0)), HYPERLINK("#",""), HYPERLINK(CONCATENATE("#Metadata!", ADDRESS(INDEX($AI$2:$AI$1001,MATCH(ROWS($AG$2:AG428),$AG$2:$AG$1001,0),0), INDEX($AN$1004:$BO$1004,1,MATCH(COLUMNS($AN$1006:AS1006),$AN$1006:$BO$1006,0)))),"Fix")))</f>
        <v>0</v>
      </c>
      <c r="H428" s="4">
        <f>IF(OR(INDEX($AH$2:$AH$1001,MATCH(ROWS($AG$2:AG428),$AG$2:$AG$1001,0),1)&gt;=100000,INDEX($AN$1005:$BO$1005,1,MATCH(COLUMNS($AN$1006:AT1006),$AN$1006:$BO$1006,0))&gt;=100000), " ",IF(INDEX($AN$2:$BO$1001,MATCH(ROWS($AG$2:AG428),$AG$2:$AG$1001,0),MATCH(COLUMNS($AN$1006:AT1006),$AN$1006:$BO$1006,0)), HYPERLINK("#",""), HYPERLINK(CONCATENATE("#Metadata!", ADDRESS(INDEX($AI$2:$AI$1001,MATCH(ROWS($AG$2:AG428),$AG$2:$AG$1001,0),0), INDEX($AN$1004:$BO$1004,1,MATCH(COLUMNS($AN$1006:AT1006),$AN$1006:$BO$1006,0)))),"Fix")))</f>
        <v>0</v>
      </c>
      <c r="I428" s="4">
        <f>IF(OR(INDEX($AH$2:$AH$1001,MATCH(ROWS($AG$2:AG428),$AG$2:$AG$1001,0),1)&gt;=100000,INDEX($AN$1005:$BO$1005,1,MATCH(COLUMNS($AN$1006:AU1006),$AN$1006:$BO$1006,0))&gt;=100000), " ",IF(INDEX($AN$2:$BO$1001,MATCH(ROWS($AG$2:AG428),$AG$2:$AG$1001,0),MATCH(COLUMNS($AN$1006:AU1006),$AN$1006:$BO$1006,0)), HYPERLINK("#",""), HYPERLINK(CONCATENATE("#Metadata!", ADDRESS(INDEX($AI$2:$AI$1001,MATCH(ROWS($AG$2:AG428),$AG$2:$AG$1001,0),0), INDEX($AN$1004:$BO$1004,1,MATCH(COLUMNS($AN$1006:AU1006),$AN$1006:$BO$1006,0)))),"Fix")))</f>
        <v>0</v>
      </c>
      <c r="J428" s="4">
        <f>IF(OR(INDEX($AH$2:$AH$1001,MATCH(ROWS($AG$2:AG428),$AG$2:$AG$1001,0),1)&gt;=100000,INDEX($AN$1005:$BO$1005,1,MATCH(COLUMNS($AN$1006:AV1006),$AN$1006:$BO$1006,0))&gt;=100000), " ",IF(INDEX($AN$2:$BO$1001,MATCH(ROWS($AG$2:AG428),$AG$2:$AG$1001,0),MATCH(COLUMNS($AN$1006:AV1006),$AN$1006:$BO$1006,0)), HYPERLINK("#",""), HYPERLINK(CONCATENATE("#Metadata!", ADDRESS(INDEX($AI$2:$AI$1001,MATCH(ROWS($AG$2:AG428),$AG$2:$AG$1001,0),0), INDEX($AN$1004:$BO$1004,1,MATCH(COLUMNS($AN$1006:AV1006),$AN$1006:$BO$1006,0)))),"Fix")))</f>
        <v>0</v>
      </c>
      <c r="K428" s="4">
        <f>IF(OR(INDEX($AH$2:$AH$1001,MATCH(ROWS($AG$2:AG428),$AG$2:$AG$1001,0),1)&gt;=100000,INDEX($AN$1005:$BO$1005,1,MATCH(COLUMNS($AN$1006:AW1006),$AN$1006:$BO$1006,0))&gt;=100000), " ",IF(INDEX($AN$2:$BO$1001,MATCH(ROWS($AG$2:AG428),$AG$2:$AG$1001,0),MATCH(COLUMNS($AN$1006:AW1006),$AN$1006:$BO$1006,0)), HYPERLINK("#",""), HYPERLINK(CONCATENATE("#Metadata!", ADDRESS(INDEX($AI$2:$AI$1001,MATCH(ROWS($AG$2:AG428),$AG$2:$AG$1001,0),0), INDEX($AN$1004:$BO$1004,1,MATCH(COLUMNS($AN$1006:AW1006),$AN$1006:$BO$1006,0)))),"Fix")))</f>
        <v>0</v>
      </c>
      <c r="L428" s="4">
        <f>IF(OR(INDEX($AH$2:$AH$1001,MATCH(ROWS($AG$2:AG428),$AG$2:$AG$1001,0),1)&gt;=100000,INDEX($AN$1005:$BO$1005,1,MATCH(COLUMNS($AN$1006:AX1006),$AN$1006:$BO$1006,0))&gt;=100000), " ",IF(INDEX($AN$2:$BO$1001,MATCH(ROWS($AG$2:AG428),$AG$2:$AG$1001,0),MATCH(COLUMNS($AN$1006:AX1006),$AN$1006:$BO$1006,0)), HYPERLINK("#",""), HYPERLINK(CONCATENATE("#Metadata!", ADDRESS(INDEX($AI$2:$AI$1001,MATCH(ROWS($AG$2:AG428),$AG$2:$AG$1001,0),0), INDEX($AN$1004:$BO$1004,1,MATCH(COLUMNS($AN$1006:AX1006),$AN$1006:$BO$1006,0)))),"Fix")))</f>
        <v>0</v>
      </c>
      <c r="M428" s="4">
        <f>IF(OR(INDEX($AH$2:$AH$1001,MATCH(ROWS($AG$2:AG428),$AG$2:$AG$1001,0),1)&gt;=100000,INDEX($AN$1005:$BO$1005,1,MATCH(COLUMNS($AN$1006:AY1006),$AN$1006:$BO$1006,0))&gt;=100000), " ",IF(INDEX($AN$2:$BO$1001,MATCH(ROWS($AG$2:AG428),$AG$2:$AG$1001,0),MATCH(COLUMNS($AN$1006:AY1006),$AN$1006:$BO$1006,0)), HYPERLINK("#",""), HYPERLINK(CONCATENATE("#Metadata!", ADDRESS(INDEX($AI$2:$AI$1001,MATCH(ROWS($AG$2:AG428),$AG$2:$AG$1001,0),0), INDEX($AN$1004:$BO$1004,1,MATCH(COLUMNS($AN$1006:AY1006),$AN$1006:$BO$1006,0)))),"Fix")))</f>
        <v>0</v>
      </c>
      <c r="N428" s="4">
        <f>IF(OR(INDEX($AH$2:$AH$1001,MATCH(ROWS($AG$2:AG428),$AG$2:$AG$1001,0),1)&gt;=100000,INDEX($AN$1005:$BO$1005,1,MATCH(COLUMNS($AN$1006:AZ1006),$AN$1006:$BO$1006,0))&gt;=100000), " ",IF(INDEX($AN$2:$BO$1001,MATCH(ROWS($AG$2:AG428),$AG$2:$AG$1001,0),MATCH(COLUMNS($AN$1006:AZ1006),$AN$1006:$BO$1006,0)), HYPERLINK("#",""), HYPERLINK(CONCATENATE("#Metadata!", ADDRESS(INDEX($AI$2:$AI$1001,MATCH(ROWS($AG$2:AG428),$AG$2:$AG$1001,0),0), INDEX($AN$1004:$BO$1004,1,MATCH(COLUMNS($AN$1006:AZ1006),$AN$1006:$BO$1006,0)))),"Fix")))</f>
        <v>0</v>
      </c>
      <c r="O428" s="4">
        <f>IF(OR(INDEX($AH$2:$AH$1001,MATCH(ROWS($AG$2:AG428),$AG$2:$AG$1001,0),1)&gt;=100000,INDEX($AN$1005:$BO$1005,1,MATCH(COLUMNS($AN$1006:BA1006),$AN$1006:$BO$1006,0))&gt;=100000), " ",IF(INDEX($AN$2:$BO$1001,MATCH(ROWS($AG$2:AG428),$AG$2:$AG$1001,0),MATCH(COLUMNS($AN$1006:BA1006),$AN$1006:$BO$1006,0)), HYPERLINK("#",""), HYPERLINK(CONCATENATE("#Metadata!", ADDRESS(INDEX($AI$2:$AI$1001,MATCH(ROWS($AG$2:AG428),$AG$2:$AG$1001,0),0), INDEX($AN$1004:$BO$1004,1,MATCH(COLUMNS($AN$1006:BA1006),$AN$1006:$BO$1006,0)))),"Fix")))</f>
        <v>0</v>
      </c>
      <c r="P428" s="4">
        <f>IF(OR(INDEX($AH$2:$AH$1001,MATCH(ROWS($AG$2:AG428),$AG$2:$AG$1001,0),1)&gt;=100000,INDEX($AN$1005:$BO$1005,1,MATCH(COLUMNS($AN$1006:BB1006),$AN$1006:$BO$1006,0))&gt;=100000), " ",IF(INDEX($AN$2:$BO$1001,MATCH(ROWS($AG$2:AG428),$AG$2:$AG$1001,0),MATCH(COLUMNS($AN$1006:BB1006),$AN$1006:$BO$1006,0)), HYPERLINK("#",""), HYPERLINK(CONCATENATE("#Metadata!", ADDRESS(INDEX($AI$2:$AI$1001,MATCH(ROWS($AG$2:AG428),$AG$2:$AG$1001,0),0), INDEX($AN$1004:$BO$1004,1,MATCH(COLUMNS($AN$1006:BB1006),$AN$1006:$BO$1006,0)))),"Fix")))</f>
        <v>0</v>
      </c>
      <c r="Q428" s="4">
        <f>IF(OR(INDEX($AH$2:$AH$1001,MATCH(ROWS($AG$2:AG428),$AG$2:$AG$1001,0),1)&gt;=100000,INDEX($AN$1005:$BO$1005,1,MATCH(COLUMNS($AN$1006:BC1006),$AN$1006:$BO$1006,0))&gt;=100000), " ",IF(INDEX($AN$2:$BO$1001,MATCH(ROWS($AG$2:AG428),$AG$2:$AG$1001,0),MATCH(COLUMNS($AN$1006:BC1006),$AN$1006:$BO$1006,0)), HYPERLINK("#",""), HYPERLINK(CONCATENATE("#Metadata!", ADDRESS(INDEX($AI$2:$AI$1001,MATCH(ROWS($AG$2:AG428),$AG$2:$AG$1001,0),0), INDEX($AN$1004:$BO$1004,1,MATCH(COLUMNS($AN$1006:BC1006),$AN$1006:$BO$1006,0)))),"Fix")))</f>
        <v>0</v>
      </c>
      <c r="R428" s="4">
        <f>IF(OR(INDEX($AH$2:$AH$1001,MATCH(ROWS($AG$2:AG428),$AG$2:$AG$1001,0),1)&gt;=100000,INDEX($AN$1005:$BO$1005,1,MATCH(COLUMNS($AN$1006:BD1006),$AN$1006:$BO$1006,0))&gt;=100000), " ",IF(INDEX($AN$2:$BO$1001,MATCH(ROWS($AG$2:AG428),$AG$2:$AG$1001,0),MATCH(COLUMNS($AN$1006:BD1006),$AN$1006:$BO$1006,0)), HYPERLINK("#",""), HYPERLINK(CONCATENATE("#Metadata!", ADDRESS(INDEX($AI$2:$AI$1001,MATCH(ROWS($AG$2:AG428),$AG$2:$AG$1001,0),0), INDEX($AN$1004:$BO$1004,1,MATCH(COLUMNS($AN$1006:BD1006),$AN$1006:$BO$1006,0)))),"Fix")))</f>
        <v>0</v>
      </c>
      <c r="S428" s="4">
        <f>IF(OR(INDEX($AH$2:$AH$1001,MATCH(ROWS($AG$2:AG428),$AG$2:$AG$1001,0),1)&gt;=100000,INDEX($AN$1005:$BO$1005,1,MATCH(COLUMNS($AN$1006:BE1006),$AN$1006:$BO$1006,0))&gt;=100000), " ",IF(INDEX($AN$2:$BO$1001,MATCH(ROWS($AG$2:AG428),$AG$2:$AG$1001,0),MATCH(COLUMNS($AN$1006:BE1006),$AN$1006:$BO$1006,0)), HYPERLINK("#",""), HYPERLINK(CONCATENATE("#Metadata!", ADDRESS(INDEX($AI$2:$AI$1001,MATCH(ROWS($AG$2:AG428),$AG$2:$AG$1001,0),0), INDEX($AN$1004:$BO$1004,1,MATCH(COLUMNS($AN$1006:BE1006),$AN$1006:$BO$1006,0)))),"Fix")))</f>
        <v>0</v>
      </c>
      <c r="T428" s="4">
        <f>IF(OR(INDEX($AH$2:$AH$1001,MATCH(ROWS($AG$2:AG428),$AG$2:$AG$1001,0),1)&gt;=100000,INDEX($AN$1005:$BO$1005,1,MATCH(COLUMNS($AN$1006:BF1006),$AN$1006:$BO$1006,0))&gt;=100000), " ",IF(INDEX($AN$2:$BO$1001,MATCH(ROWS($AG$2:AG428),$AG$2:$AG$1001,0),MATCH(COLUMNS($AN$1006:BF1006),$AN$1006:$BO$1006,0)), HYPERLINK("#",""), HYPERLINK(CONCATENATE("#Metadata!", ADDRESS(INDEX($AI$2:$AI$1001,MATCH(ROWS($AG$2:AG428),$AG$2:$AG$1001,0),0), INDEX($AN$1004:$BO$1004,1,MATCH(COLUMNS($AN$1006:BF1006),$AN$1006:$BO$1006,0)))),"Fix")))</f>
        <v>0</v>
      </c>
      <c r="U428" s="4">
        <f>IF(OR(INDEX($AH$2:$AH$1001,MATCH(ROWS($AG$2:AG428),$AG$2:$AG$1001,0),1)&gt;=100000,INDEX($AN$1005:$BO$1005,1,MATCH(COLUMNS($AN$1006:BG1006),$AN$1006:$BO$1006,0))&gt;=100000), " ",IF(INDEX($AN$2:$BO$1001,MATCH(ROWS($AG$2:AG428),$AG$2:$AG$1001,0),MATCH(COLUMNS($AN$1006:BG1006),$AN$1006:$BO$1006,0)), HYPERLINK("#",""), HYPERLINK(CONCATENATE("#Metadata!", ADDRESS(INDEX($AI$2:$AI$1001,MATCH(ROWS($AG$2:AG428),$AG$2:$AG$1001,0),0), INDEX($AN$1004:$BO$1004,1,MATCH(COLUMNS($AN$1006:BG1006),$AN$1006:$BO$1006,0)))),"Fix")))</f>
        <v>0</v>
      </c>
      <c r="V428" s="4">
        <f>IF(OR(INDEX($AH$2:$AH$1001,MATCH(ROWS($AG$2:AG428),$AG$2:$AG$1001,0),1)&gt;=100000,INDEX($AN$1005:$BO$1005,1,MATCH(COLUMNS($AN$1006:BH1006),$AN$1006:$BO$1006,0))&gt;=100000), " ",IF(INDEX($AN$2:$BO$1001,MATCH(ROWS($AG$2:AG428),$AG$2:$AG$1001,0),MATCH(COLUMNS($AN$1006:BH1006),$AN$1006:$BO$1006,0)), HYPERLINK("#",""), HYPERLINK(CONCATENATE("#Metadata!", ADDRESS(INDEX($AI$2:$AI$1001,MATCH(ROWS($AG$2:AG428),$AG$2:$AG$1001,0),0), INDEX($AN$1004:$BO$1004,1,MATCH(COLUMNS($AN$1006:BH1006),$AN$1006:$BO$1006,0)))),"Fix")))</f>
        <v>0</v>
      </c>
      <c r="W428" s="4">
        <f>IF(OR(INDEX($AH$2:$AH$1001,MATCH(ROWS($AG$2:AG428),$AG$2:$AG$1001,0),1)&gt;=100000,INDEX($AN$1005:$BO$1005,1,MATCH(COLUMNS($AN$1006:BI1006),$AN$1006:$BO$1006,0))&gt;=100000), " ",IF(INDEX($AN$2:$BO$1001,MATCH(ROWS($AG$2:AG428),$AG$2:$AG$1001,0),MATCH(COLUMNS($AN$1006:BI1006),$AN$1006:$BO$1006,0)), HYPERLINK("#",""), HYPERLINK(CONCATENATE("#Metadata!", ADDRESS(INDEX($AI$2:$AI$1001,MATCH(ROWS($AG$2:AG428),$AG$2:$AG$1001,0),0), INDEX($AN$1004:$BO$1004,1,MATCH(COLUMNS($AN$1006:BI1006),$AN$1006:$BO$1006,0)))),"Fix")))</f>
        <v>0</v>
      </c>
      <c r="X428" s="4">
        <f>IF(OR(INDEX($AH$2:$AH$1001,MATCH(ROWS($AG$2:AG428),$AG$2:$AG$1001,0),1)&gt;=100000,INDEX($AN$1005:$BO$1005,1,MATCH(COLUMNS($AN$1006:BJ1006),$AN$1006:$BO$1006,0))&gt;=100000), " ",IF(INDEX($AN$2:$BO$1001,MATCH(ROWS($AG$2:AG428),$AG$2:$AG$1001,0),MATCH(COLUMNS($AN$1006:BJ1006),$AN$1006:$BO$1006,0)), HYPERLINK("#",""), HYPERLINK(CONCATENATE("#Metadata!", ADDRESS(INDEX($AI$2:$AI$1001,MATCH(ROWS($AG$2:AG428),$AG$2:$AG$1001,0),0), INDEX($AN$1004:$BO$1004,1,MATCH(COLUMNS($AN$1006:BJ1006),$AN$1006:$BO$1006,0)))),"Fix")))</f>
        <v>0</v>
      </c>
      <c r="Y428" s="4">
        <f>IF(OR(INDEX($AH$2:$AH$1001,MATCH(ROWS($AG$2:AG428),$AG$2:$AG$1001,0),1)&gt;=100000,INDEX($AN$1005:$BO$1005,1,MATCH(COLUMNS($AN$1006:BK1006),$AN$1006:$BO$1006,0))&gt;=100000), " ",IF(INDEX($AN$2:$BO$1001,MATCH(ROWS($AG$2:AG428),$AG$2:$AG$1001,0),MATCH(COLUMNS($AN$1006:BK1006),$AN$1006:$BO$1006,0)), HYPERLINK("#",""), HYPERLINK(CONCATENATE("#Metadata!", ADDRESS(INDEX($AI$2:$AI$1001,MATCH(ROWS($AG$2:AG428),$AG$2:$AG$1001,0),0), INDEX($AN$1004:$BO$1004,1,MATCH(COLUMNS($AN$1006:BK1006),$AN$1006:$BO$1006,0)))),"Fix")))</f>
        <v>0</v>
      </c>
      <c r="Z428" s="4">
        <f>IF(OR(INDEX($AH$2:$AH$1001,MATCH(ROWS($AG$2:AG428),$AG$2:$AG$1001,0),1)&gt;=100000,INDEX($AN$1005:$BO$1005,1,MATCH(COLUMNS($AN$1006:BL1006),$AN$1006:$BO$1006,0))&gt;=100000), " ",IF(INDEX($AN$2:$BO$1001,MATCH(ROWS($AG$2:AG428),$AG$2:$AG$1001,0),MATCH(COLUMNS($AN$1006:BL1006),$AN$1006:$BO$1006,0)), HYPERLINK("#",""), HYPERLINK(CONCATENATE("#Metadata!", ADDRESS(INDEX($AI$2:$AI$1001,MATCH(ROWS($AG$2:AG428),$AG$2:$AG$1001,0),0), INDEX($AN$1004:$BO$1004,1,MATCH(COLUMNS($AN$1006:BL1006),$AN$1006:$BO$1006,0)))),"Fix")))</f>
        <v>0</v>
      </c>
      <c r="AA428" s="4">
        <f>IF(OR(INDEX($AH$2:$AH$1001,MATCH(ROWS($AG$2:AG428),$AG$2:$AG$1001,0),1)&gt;=100000,INDEX($AN$1005:$BO$1005,1,MATCH(COLUMNS($AN$1006:BM1006),$AN$1006:$BO$1006,0))&gt;=100000), " ",IF(INDEX($AN$2:$BO$1001,MATCH(ROWS($AG$2:AG428),$AG$2:$AG$1001,0),MATCH(COLUMNS($AN$1006:BM1006),$AN$1006:$BO$1006,0)), HYPERLINK("#",""), HYPERLINK(CONCATENATE("#Metadata!", ADDRESS(INDEX($AI$2:$AI$1001,MATCH(ROWS($AG$2:AG428),$AG$2:$AG$1001,0),0), INDEX($AN$1004:$BO$1004,1,MATCH(COLUMNS($AN$1006:BM1006),$AN$1006:$BO$1006,0)))),"Fix")))</f>
        <v>0</v>
      </c>
      <c r="AB428" s="4">
        <f>IF(OR(INDEX($AH$2:$AH$1001,MATCH(ROWS($AG$2:AG428),$AG$2:$AG$1001,0),1)&gt;=100000,INDEX($AN$1005:$BO$1005,1,MATCH(COLUMNS($AN$1006:BN1006),$AN$1006:$BO$1006,0))&gt;=100000), " ",IF(INDEX($AN$2:$BO$1001,MATCH(ROWS($AG$2:AG428),$AG$2:$AG$1001,0),MATCH(COLUMNS($AN$1006:BN1006),$AN$1006:$BO$1006,0)), HYPERLINK("#",""), HYPERLINK(CONCATENATE("#Metadata!", ADDRESS(INDEX($AI$2:$AI$1001,MATCH(ROWS($AG$2:AG428),$AG$2:$AG$1001,0),0), INDEX($AN$1004:$BO$1004,1,MATCH(COLUMNS($AN$1006:BN1006),$AN$1006:$BO$1006,0)))),"Fix")))</f>
        <v>0</v>
      </c>
      <c r="AC428" s="4">
        <f>IF(OR(INDEX($AH$2:$AH$1001,MATCH(ROWS($AG$2:AG428),$AG$2:$AG$1001,0),1)&gt;=100000,INDEX($AN$1005:$BO$1005,1,MATCH(COLUMNS($AN$1006:BO1006),$AN$1006:$BO$1006,0))&gt;=100000), " ",IF(INDEX($AN$2:$BO$1001,MATCH(ROWS($AG$2:AG428),$AG$2:$AG$1001,0),MATCH(COLUMNS($AN$1006:BO1006),$AN$1006:$BO$1006,0)), HYPERLINK("#",""), HYPERLINK(CONCATENATE("#Metadata!", ADDRESS(INDEX($AI$2:$AI$1001,MATCH(ROWS($AG$2:AG428),$AG$2:$AG$1001,0),0), INDEX($AN$1004:$BO$1004,1,MATCH(COLUMNS($AN$1006:BO1006),$AN$1006:$BO$1006,0)))),"Fix")))</f>
        <v>0</v>
      </c>
      <c r="AG428">
        <v>0</v>
      </c>
      <c r="AH428">
        <v>0</v>
      </c>
      <c r="AI428">
        <v>0</v>
      </c>
      <c r="AJ428">
        <f>IF(AK428,TRUE,AND(AN428:BO428))</f>
        <v>0</v>
      </c>
      <c r="AK428">
        <f>COUNTBLANK(Metadata!B428:AC428)=COLUMNS(Metadata!B428:AC428)</f>
        <v>0</v>
      </c>
      <c r="AL428">
        <v>0</v>
      </c>
      <c r="AN428">
        <f>AND(IF(Metadata!B428="",FALSE,TRUE),COUNTIF(Metadata!B:B, Metadata!B428) = 1,NOT(ISERROR(SUMPRODUCT(SEARCH(MID(Metadata!B428,ROW(INDIRECT("1:"&amp;LEN(Metadata!B428))), 1),"0123456789abcdefghijklmnopqrstuvwxyzABCDEFGHIJKLMNOPQRSTUVWXYZ.")))))</f>
        <v>0</v>
      </c>
      <c r="AO428">
        <f>IF(Metadata!C428="",FALSE,TRUE)</f>
        <v>0</v>
      </c>
      <c r="AP428">
        <f>IF(Metadata!D428="",FALSE,TRUE)</f>
        <v>0</v>
      </c>
      <c r="AQ428">
        <f>OR(AND(IF(Metadata!E428="",FALSE,TRUE),OR(exact(Metadata!E428,"not collected"),exact(Metadata!E428,"not provided"),exact(Metadata!E428,"restricted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R428">
        <f>IF(Metadata!F428="",FALSE,TRUE)</f>
        <v>0</v>
      </c>
      <c r="AS428">
        <f>OR(AND(IF(Metadata!G428="",FALSE,TRUE),OR(exact(Metadata!G428,"not collected"),exact(Metadata!G428,"not provided"))),AND(IF(Metadata!G428="",FALSE,TRUE),OR(exact(Metadata!G428,"TRUE"),exact(Metadata!G428,"FALSE"))))</f>
        <v>0</v>
      </c>
      <c r="AT428">
        <f>OR(AND(IF(Metadata!H428="",FALSE,TRUE),OR(exact(Metadata!H428,"not collected"),exact(Metadata!H428,"not provided"),exact(Metadata!H428,"restricted access"))),AND(IF(Metadata!H428="",FALSE,ISNUMBER(VALUE(Metadata!H428))),Metadata!H428&gt;=-413.0))</f>
        <v>0</v>
      </c>
      <c r="AU428">
        <f>AND(IF(Metadata!I428="",FALSE,TRUE),exact(Metadata!I428,"meters"))</f>
        <v>0</v>
      </c>
      <c r="AV428">
        <f>AND(IF(Metadata!J428="",FALSE,TRUE),OR(exact(Metadata!J428,"Host-associated"),exact(Metadata!J428,"Free-living")))</f>
        <v>0</v>
      </c>
      <c r="AW428">
        <f>AND(IF(Metadata!K428="",FALSE,TRUE),OR(exact(Metadata!K428,"Animal"),exact(Metadata!K428,"Fungus"),exact(Metadata!K428,"Plant"),exact(Metadata!K428,"Saline"),exact(Metadata!K428,"Non-saline")))</f>
        <v>0</v>
      </c>
      <c r="AX428">
        <f>AND(IF(Metadata!L428="",FALSE,TRUE),OR(exact(Metadata!L428,"Plant secretion"),exact(Metadata!L428,"Plant rhizosphere"),exact(Metadata!L428,"Plant surface"),exact(Metadata!L428,"Plant corpus"),exact(Metadata!L428,"Fungus surface"),exact(Metadata!L428,"Fungus corpus"),exact(Metadata!L428,"Animal surface"),exact(Metadata!L428,"Animal proximal gut"),exact(Metadata!L428,"Animal corpus"),exact(Metadata!L428,"Animal distal gut"),exact(Metadata!L428,"Animal secretion"),exact(Metadata!L428,"Sub-surface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Y428">
        <f>IF(Metadata!M428="",FALSE,TRUE)</f>
        <v>0</v>
      </c>
      <c r="AZ428">
        <f>IF(Metadata!N428="",FALSE,TRUE)</f>
        <v>0</v>
      </c>
      <c r="BA428">
        <f>IF(Metadata!O428="",FALSE,TRUE)</f>
        <v>0</v>
      </c>
      <c r="BB428">
        <f>OR(AND(IF(Metadata!P428="",FALSE,TRUE),OR(exact(Metadata!P428,"not collected"),exact(Metadata!P428,"not provided"),exact(Metadata!P428,"restricted access"))),AND(IF(Metadata!P428="",FALSE,TRUE),OR(exact(Metadata!P428,"air"),exact(Metadata!P428,"built environment"),exact(Metadata!P428,"host-associated"),exact(Metadata!P428,"human-associated"),exact(Metadata!P428,"human-skin"),exact(Metadata!P428,"human-oral"),exact(Metadata!P428,"human-gut"),exact(Metadata!P428,"human-vaginal"),exact(Metadata!P428,"microbial mat/biofilm"),exact(Metadata!P428,"misc environment"),exact(Metadata!P428,"plant-associated"),exact(Metadata!P428,"sediment"),exact(Metadata!P428,"soil"),exact(Metadata!P428,"wastewater/sludge"),exact(Metadata!P428,"water"))))</f>
        <v>0</v>
      </c>
      <c r="BC428">
        <f>IF(Metadata!Q428="",FALSE,TRUE)</f>
        <v>0</v>
      </c>
      <c r="BD428">
        <f>IF(Metadata!R428="",FALSE,TRUE)</f>
        <v>0</v>
      </c>
      <c r="BE428">
        <f>OR(AND(IF(Metadata!S428="",FALSE,TRUE),OR(exact(Metadata!S428,"not collected"),exact(Metadata!S428,"not provided"),exact(Metadata!S428,"restricted access"))),AND(IF(Metadata!S428="",FALSE,ISNUMBER(VALUE(Metadata!S428))),Metadata!S428&gt;=-90.00,Metadata!S428&lt;=90.00))</f>
        <v>0</v>
      </c>
      <c r="BF428">
        <f>AND(IF(Metadata!T428="",FALSE,TRUE),exact(Metadata!T428,"Decimal degrees"))</f>
        <v>0</v>
      </c>
      <c r="BG428">
        <f>OR(AND(IF(Metadata!U428="",FALSE,TRUE),OR(exact(Metadata!U428,"not collected"),exact(Metadata!U428,"not provided"),exact(Metadata!U428,"restricted access"))),AND(IF(Metadata!U428="",FALSE,ISNUMBER(VALUE(Metadata!U428))),Metadata!U428&gt;=-180.00,Metadata!U428&lt;=180.00))</f>
        <v>0</v>
      </c>
      <c r="BH428">
        <f>AND(IF(Metadata!V428="",FALSE,TRUE),exact(Metadata!V428,"Decimal degrees"))</f>
        <v>0</v>
      </c>
      <c r="BI428">
        <f>IF(Metadata!W428="",FALSE,TRUE)</f>
        <v>0</v>
      </c>
      <c r="BJ428">
        <f>OR(AND(IF(Metadata!X428="",FALSE,TRUE),OR(exact(Metadata!X428,"not collected"),exact(Metadata!X428,"not provided"),exact(Metadata!X428,"restricted access"))),AND(IF(Metadata!X428="",FALSE,TRUE),OR(exact(Metadata!X428,"TRUE"),exact(Metadata!X428,"FALSE"))))</f>
        <v>0</v>
      </c>
      <c r="BK428">
        <f>AND(IF(Metadata!Y428="",FALSE,TRUE),exact(Metadata!Y428,"other"))</f>
        <v>0</v>
      </c>
      <c r="BL428">
        <f>IF(Metadata!Z428="",FALSE,TRUE)</f>
        <v>0</v>
      </c>
      <c r="BM428">
        <f>OR(AND(IF(Metadata!AA428="",FALSE,TRUE),OR(exact(Metadata!AA428,"not collected"),exact(Metadata!AA428,"not provided"))),AND(IF(Metadata!AA428="",FALSE,IF(ISERROR(INT(Metadata!AA428)),FALSE,INT(Metadata!AA428)=Metadata!AA428)),Metadata!AA428&gt;0))</f>
        <v>0</v>
      </c>
      <c r="BN428">
        <f>AND(IF(Metadata!AB428="",FALSE,TRUE),exact(Metadata!AB428,"Not applicable"))</f>
        <v>0</v>
      </c>
      <c r="BO428">
        <f>IF(Metadata!AC428="",FALSE,TRUE)</f>
        <v>0</v>
      </c>
    </row>
    <row r="429" spans="1:67">
      <c r="A429" s="5">
        <f>IF(B429=" "," ",HYPERLINK(CONCATENATE("#metadata!",ADDRESS(INDEX($AI$2:$AI$1001,MATCH(ROWS($AG$2:AG429),$AG$2:$AG$1001,0),0),1)),INDEX($AL$2:$AL$1001,MATCH(ROWS($AG$2:AG429),$AG$2:$AG$1001,0),0)))</f>
        <v>0</v>
      </c>
      <c r="B429" s="4">
        <f>IF(OR(INDEX($AH$2:$AH$1001,MATCH(ROWS($AG$2:AG429),$AG$2:$AG$1001,0),1)&gt;=100000,INDEX($AN$1005:$BO$1005,1,MATCH(COLUMNS($AN$1006:AN1006),$AN$1006:$BO$1006,0))&gt;=100000), " ",IF(INDEX($AN$2:$BO$1001,MATCH(ROWS($AG$2:AG429),$AG$2:$AG$1001,0),MATCH(COLUMNS($AN$1006:AN1006),$AN$1006:$BO$1006,0)), HYPERLINK("#",""), HYPERLINK(CONCATENATE("#Metadata!", ADDRESS(INDEX($AI$2:$AI$1001,MATCH(ROWS($AG$2:AG429),$AG$2:$AG$1001,0),0), INDEX($AN$1004:$BO$1004,1,MATCH(COLUMNS($AN$1006:AN1006),$AN$1006:$BO$1006,0)))),"Fix")))</f>
        <v>0</v>
      </c>
      <c r="C429" s="4">
        <f>IF(OR(INDEX($AH$2:$AH$1001,MATCH(ROWS($AG$2:AG429),$AG$2:$AG$1001,0),1)&gt;=100000,INDEX($AN$1005:$BO$1005,1,MATCH(COLUMNS($AN$1006:AO1006),$AN$1006:$BO$1006,0))&gt;=100000), " ",IF(INDEX($AN$2:$BO$1001,MATCH(ROWS($AG$2:AG429),$AG$2:$AG$1001,0),MATCH(COLUMNS($AN$1006:AO1006),$AN$1006:$BO$1006,0)), HYPERLINK("#",""), HYPERLINK(CONCATENATE("#Metadata!", ADDRESS(INDEX($AI$2:$AI$1001,MATCH(ROWS($AG$2:AG429),$AG$2:$AG$1001,0),0), INDEX($AN$1004:$BO$1004,1,MATCH(COLUMNS($AN$1006:AO1006),$AN$1006:$BO$1006,0)))),"Fix")))</f>
        <v>0</v>
      </c>
      <c r="D429" s="4">
        <f>IF(OR(INDEX($AH$2:$AH$1001,MATCH(ROWS($AG$2:AG429),$AG$2:$AG$1001,0),1)&gt;=100000,INDEX($AN$1005:$BO$1005,1,MATCH(COLUMNS($AN$1006:AP1006),$AN$1006:$BO$1006,0))&gt;=100000), " ",IF(INDEX($AN$2:$BO$1001,MATCH(ROWS($AG$2:AG429),$AG$2:$AG$1001,0),MATCH(COLUMNS($AN$1006:AP1006),$AN$1006:$BO$1006,0)), HYPERLINK("#",""), HYPERLINK(CONCATENATE("#Metadata!", ADDRESS(INDEX($AI$2:$AI$1001,MATCH(ROWS($AG$2:AG429),$AG$2:$AG$1001,0),0), INDEX($AN$1004:$BO$1004,1,MATCH(COLUMNS($AN$1006:AP1006),$AN$1006:$BO$1006,0)))),"Fix")))</f>
        <v>0</v>
      </c>
      <c r="E429" s="4">
        <f>IF(OR(INDEX($AH$2:$AH$1001,MATCH(ROWS($AG$2:AG429),$AG$2:$AG$1001,0),1)&gt;=100000,INDEX($AN$1005:$BO$1005,1,MATCH(COLUMNS($AN$1006:AQ1006),$AN$1006:$BO$1006,0))&gt;=100000), " ",IF(INDEX($AN$2:$BO$1001,MATCH(ROWS($AG$2:AG429),$AG$2:$AG$1001,0),MATCH(COLUMNS($AN$1006:AQ1006),$AN$1006:$BO$1006,0)), HYPERLINK("#",""), HYPERLINK(CONCATENATE("#Metadata!", ADDRESS(INDEX($AI$2:$AI$1001,MATCH(ROWS($AG$2:AG429),$AG$2:$AG$1001,0),0), INDEX($AN$1004:$BO$1004,1,MATCH(COLUMNS($AN$1006:AQ1006),$AN$1006:$BO$1006,0)))),"Fix")))</f>
        <v>0</v>
      </c>
      <c r="F429" s="4">
        <f>IF(OR(INDEX($AH$2:$AH$1001,MATCH(ROWS($AG$2:AG429),$AG$2:$AG$1001,0),1)&gt;=100000,INDEX($AN$1005:$BO$1005,1,MATCH(COLUMNS($AN$1006:AR1006),$AN$1006:$BO$1006,0))&gt;=100000), " ",IF(INDEX($AN$2:$BO$1001,MATCH(ROWS($AG$2:AG429),$AG$2:$AG$1001,0),MATCH(COLUMNS($AN$1006:AR1006),$AN$1006:$BO$1006,0)), HYPERLINK("#",""), HYPERLINK(CONCATENATE("#Metadata!", ADDRESS(INDEX($AI$2:$AI$1001,MATCH(ROWS($AG$2:AG429),$AG$2:$AG$1001,0),0), INDEX($AN$1004:$BO$1004,1,MATCH(COLUMNS($AN$1006:AR1006),$AN$1006:$BO$1006,0)))),"Fix")))</f>
        <v>0</v>
      </c>
      <c r="G429" s="4">
        <f>IF(OR(INDEX($AH$2:$AH$1001,MATCH(ROWS($AG$2:AG429),$AG$2:$AG$1001,0),1)&gt;=100000,INDEX($AN$1005:$BO$1005,1,MATCH(COLUMNS($AN$1006:AS1006),$AN$1006:$BO$1006,0))&gt;=100000), " ",IF(INDEX($AN$2:$BO$1001,MATCH(ROWS($AG$2:AG429),$AG$2:$AG$1001,0),MATCH(COLUMNS($AN$1006:AS1006),$AN$1006:$BO$1006,0)), HYPERLINK("#",""), HYPERLINK(CONCATENATE("#Metadata!", ADDRESS(INDEX($AI$2:$AI$1001,MATCH(ROWS($AG$2:AG429),$AG$2:$AG$1001,0),0), INDEX($AN$1004:$BO$1004,1,MATCH(COLUMNS($AN$1006:AS1006),$AN$1006:$BO$1006,0)))),"Fix")))</f>
        <v>0</v>
      </c>
      <c r="H429" s="4">
        <f>IF(OR(INDEX($AH$2:$AH$1001,MATCH(ROWS($AG$2:AG429),$AG$2:$AG$1001,0),1)&gt;=100000,INDEX($AN$1005:$BO$1005,1,MATCH(COLUMNS($AN$1006:AT1006),$AN$1006:$BO$1006,0))&gt;=100000), " ",IF(INDEX($AN$2:$BO$1001,MATCH(ROWS($AG$2:AG429),$AG$2:$AG$1001,0),MATCH(COLUMNS($AN$1006:AT1006),$AN$1006:$BO$1006,0)), HYPERLINK("#",""), HYPERLINK(CONCATENATE("#Metadata!", ADDRESS(INDEX($AI$2:$AI$1001,MATCH(ROWS($AG$2:AG429),$AG$2:$AG$1001,0),0), INDEX($AN$1004:$BO$1004,1,MATCH(COLUMNS($AN$1006:AT1006),$AN$1006:$BO$1006,0)))),"Fix")))</f>
        <v>0</v>
      </c>
      <c r="I429" s="4">
        <f>IF(OR(INDEX($AH$2:$AH$1001,MATCH(ROWS($AG$2:AG429),$AG$2:$AG$1001,0),1)&gt;=100000,INDEX($AN$1005:$BO$1005,1,MATCH(COLUMNS($AN$1006:AU1006),$AN$1006:$BO$1006,0))&gt;=100000), " ",IF(INDEX($AN$2:$BO$1001,MATCH(ROWS($AG$2:AG429),$AG$2:$AG$1001,0),MATCH(COLUMNS($AN$1006:AU1006),$AN$1006:$BO$1006,0)), HYPERLINK("#",""), HYPERLINK(CONCATENATE("#Metadata!", ADDRESS(INDEX($AI$2:$AI$1001,MATCH(ROWS($AG$2:AG429),$AG$2:$AG$1001,0),0), INDEX($AN$1004:$BO$1004,1,MATCH(COLUMNS($AN$1006:AU1006),$AN$1006:$BO$1006,0)))),"Fix")))</f>
        <v>0</v>
      </c>
      <c r="J429" s="4">
        <f>IF(OR(INDEX($AH$2:$AH$1001,MATCH(ROWS($AG$2:AG429),$AG$2:$AG$1001,0),1)&gt;=100000,INDEX($AN$1005:$BO$1005,1,MATCH(COLUMNS($AN$1006:AV1006),$AN$1006:$BO$1006,0))&gt;=100000), " ",IF(INDEX($AN$2:$BO$1001,MATCH(ROWS($AG$2:AG429),$AG$2:$AG$1001,0),MATCH(COLUMNS($AN$1006:AV1006),$AN$1006:$BO$1006,0)), HYPERLINK("#",""), HYPERLINK(CONCATENATE("#Metadata!", ADDRESS(INDEX($AI$2:$AI$1001,MATCH(ROWS($AG$2:AG429),$AG$2:$AG$1001,0),0), INDEX($AN$1004:$BO$1004,1,MATCH(COLUMNS($AN$1006:AV1006),$AN$1006:$BO$1006,0)))),"Fix")))</f>
        <v>0</v>
      </c>
      <c r="K429" s="4">
        <f>IF(OR(INDEX($AH$2:$AH$1001,MATCH(ROWS($AG$2:AG429),$AG$2:$AG$1001,0),1)&gt;=100000,INDEX($AN$1005:$BO$1005,1,MATCH(COLUMNS($AN$1006:AW1006),$AN$1006:$BO$1006,0))&gt;=100000), " ",IF(INDEX($AN$2:$BO$1001,MATCH(ROWS($AG$2:AG429),$AG$2:$AG$1001,0),MATCH(COLUMNS($AN$1006:AW1006),$AN$1006:$BO$1006,0)), HYPERLINK("#",""), HYPERLINK(CONCATENATE("#Metadata!", ADDRESS(INDEX($AI$2:$AI$1001,MATCH(ROWS($AG$2:AG429),$AG$2:$AG$1001,0),0), INDEX($AN$1004:$BO$1004,1,MATCH(COLUMNS($AN$1006:AW1006),$AN$1006:$BO$1006,0)))),"Fix")))</f>
        <v>0</v>
      </c>
      <c r="L429" s="4">
        <f>IF(OR(INDEX($AH$2:$AH$1001,MATCH(ROWS($AG$2:AG429),$AG$2:$AG$1001,0),1)&gt;=100000,INDEX($AN$1005:$BO$1005,1,MATCH(COLUMNS($AN$1006:AX1006),$AN$1006:$BO$1006,0))&gt;=100000), " ",IF(INDEX($AN$2:$BO$1001,MATCH(ROWS($AG$2:AG429),$AG$2:$AG$1001,0),MATCH(COLUMNS($AN$1006:AX1006),$AN$1006:$BO$1006,0)), HYPERLINK("#",""), HYPERLINK(CONCATENATE("#Metadata!", ADDRESS(INDEX($AI$2:$AI$1001,MATCH(ROWS($AG$2:AG429),$AG$2:$AG$1001,0),0), INDEX($AN$1004:$BO$1004,1,MATCH(COLUMNS($AN$1006:AX1006),$AN$1006:$BO$1006,0)))),"Fix")))</f>
        <v>0</v>
      </c>
      <c r="M429" s="4">
        <f>IF(OR(INDEX($AH$2:$AH$1001,MATCH(ROWS($AG$2:AG429),$AG$2:$AG$1001,0),1)&gt;=100000,INDEX($AN$1005:$BO$1005,1,MATCH(COLUMNS($AN$1006:AY1006),$AN$1006:$BO$1006,0))&gt;=100000), " ",IF(INDEX($AN$2:$BO$1001,MATCH(ROWS($AG$2:AG429),$AG$2:$AG$1001,0),MATCH(COLUMNS($AN$1006:AY1006),$AN$1006:$BO$1006,0)), HYPERLINK("#",""), HYPERLINK(CONCATENATE("#Metadata!", ADDRESS(INDEX($AI$2:$AI$1001,MATCH(ROWS($AG$2:AG429),$AG$2:$AG$1001,0),0), INDEX($AN$1004:$BO$1004,1,MATCH(COLUMNS($AN$1006:AY1006),$AN$1006:$BO$1006,0)))),"Fix")))</f>
        <v>0</v>
      </c>
      <c r="N429" s="4">
        <f>IF(OR(INDEX($AH$2:$AH$1001,MATCH(ROWS($AG$2:AG429),$AG$2:$AG$1001,0),1)&gt;=100000,INDEX($AN$1005:$BO$1005,1,MATCH(COLUMNS($AN$1006:AZ1006),$AN$1006:$BO$1006,0))&gt;=100000), " ",IF(INDEX($AN$2:$BO$1001,MATCH(ROWS($AG$2:AG429),$AG$2:$AG$1001,0),MATCH(COLUMNS($AN$1006:AZ1006),$AN$1006:$BO$1006,0)), HYPERLINK("#",""), HYPERLINK(CONCATENATE("#Metadata!", ADDRESS(INDEX($AI$2:$AI$1001,MATCH(ROWS($AG$2:AG429),$AG$2:$AG$1001,0),0), INDEX($AN$1004:$BO$1004,1,MATCH(COLUMNS($AN$1006:AZ1006),$AN$1006:$BO$1006,0)))),"Fix")))</f>
        <v>0</v>
      </c>
      <c r="O429" s="4">
        <f>IF(OR(INDEX($AH$2:$AH$1001,MATCH(ROWS($AG$2:AG429),$AG$2:$AG$1001,0),1)&gt;=100000,INDEX($AN$1005:$BO$1005,1,MATCH(COLUMNS($AN$1006:BA1006),$AN$1006:$BO$1006,0))&gt;=100000), " ",IF(INDEX($AN$2:$BO$1001,MATCH(ROWS($AG$2:AG429),$AG$2:$AG$1001,0),MATCH(COLUMNS($AN$1006:BA1006),$AN$1006:$BO$1006,0)), HYPERLINK("#",""), HYPERLINK(CONCATENATE("#Metadata!", ADDRESS(INDEX($AI$2:$AI$1001,MATCH(ROWS($AG$2:AG429),$AG$2:$AG$1001,0),0), INDEX($AN$1004:$BO$1004,1,MATCH(COLUMNS($AN$1006:BA1006),$AN$1006:$BO$1006,0)))),"Fix")))</f>
        <v>0</v>
      </c>
      <c r="P429" s="4">
        <f>IF(OR(INDEX($AH$2:$AH$1001,MATCH(ROWS($AG$2:AG429),$AG$2:$AG$1001,0),1)&gt;=100000,INDEX($AN$1005:$BO$1005,1,MATCH(COLUMNS($AN$1006:BB1006),$AN$1006:$BO$1006,0))&gt;=100000), " ",IF(INDEX($AN$2:$BO$1001,MATCH(ROWS($AG$2:AG429),$AG$2:$AG$1001,0),MATCH(COLUMNS($AN$1006:BB1006),$AN$1006:$BO$1006,0)), HYPERLINK("#",""), HYPERLINK(CONCATENATE("#Metadata!", ADDRESS(INDEX($AI$2:$AI$1001,MATCH(ROWS($AG$2:AG429),$AG$2:$AG$1001,0),0), INDEX($AN$1004:$BO$1004,1,MATCH(COLUMNS($AN$1006:BB1006),$AN$1006:$BO$1006,0)))),"Fix")))</f>
        <v>0</v>
      </c>
      <c r="Q429" s="4">
        <f>IF(OR(INDEX($AH$2:$AH$1001,MATCH(ROWS($AG$2:AG429),$AG$2:$AG$1001,0),1)&gt;=100000,INDEX($AN$1005:$BO$1005,1,MATCH(COLUMNS($AN$1006:BC1006),$AN$1006:$BO$1006,0))&gt;=100000), " ",IF(INDEX($AN$2:$BO$1001,MATCH(ROWS($AG$2:AG429),$AG$2:$AG$1001,0),MATCH(COLUMNS($AN$1006:BC1006),$AN$1006:$BO$1006,0)), HYPERLINK("#",""), HYPERLINK(CONCATENATE("#Metadata!", ADDRESS(INDEX($AI$2:$AI$1001,MATCH(ROWS($AG$2:AG429),$AG$2:$AG$1001,0),0), INDEX($AN$1004:$BO$1004,1,MATCH(COLUMNS($AN$1006:BC1006),$AN$1006:$BO$1006,0)))),"Fix")))</f>
        <v>0</v>
      </c>
      <c r="R429" s="4">
        <f>IF(OR(INDEX($AH$2:$AH$1001,MATCH(ROWS($AG$2:AG429),$AG$2:$AG$1001,0),1)&gt;=100000,INDEX($AN$1005:$BO$1005,1,MATCH(COLUMNS($AN$1006:BD1006),$AN$1006:$BO$1006,0))&gt;=100000), " ",IF(INDEX($AN$2:$BO$1001,MATCH(ROWS($AG$2:AG429),$AG$2:$AG$1001,0),MATCH(COLUMNS($AN$1006:BD1006),$AN$1006:$BO$1006,0)), HYPERLINK("#",""), HYPERLINK(CONCATENATE("#Metadata!", ADDRESS(INDEX($AI$2:$AI$1001,MATCH(ROWS($AG$2:AG429),$AG$2:$AG$1001,0),0), INDEX($AN$1004:$BO$1004,1,MATCH(COLUMNS($AN$1006:BD1006),$AN$1006:$BO$1006,0)))),"Fix")))</f>
        <v>0</v>
      </c>
      <c r="S429" s="4">
        <f>IF(OR(INDEX($AH$2:$AH$1001,MATCH(ROWS($AG$2:AG429),$AG$2:$AG$1001,0),1)&gt;=100000,INDEX($AN$1005:$BO$1005,1,MATCH(COLUMNS($AN$1006:BE1006),$AN$1006:$BO$1006,0))&gt;=100000), " ",IF(INDEX($AN$2:$BO$1001,MATCH(ROWS($AG$2:AG429),$AG$2:$AG$1001,0),MATCH(COLUMNS($AN$1006:BE1006),$AN$1006:$BO$1006,0)), HYPERLINK("#",""), HYPERLINK(CONCATENATE("#Metadata!", ADDRESS(INDEX($AI$2:$AI$1001,MATCH(ROWS($AG$2:AG429),$AG$2:$AG$1001,0),0), INDEX($AN$1004:$BO$1004,1,MATCH(COLUMNS($AN$1006:BE1006),$AN$1006:$BO$1006,0)))),"Fix")))</f>
        <v>0</v>
      </c>
      <c r="T429" s="4">
        <f>IF(OR(INDEX($AH$2:$AH$1001,MATCH(ROWS($AG$2:AG429),$AG$2:$AG$1001,0),1)&gt;=100000,INDEX($AN$1005:$BO$1005,1,MATCH(COLUMNS($AN$1006:BF1006),$AN$1006:$BO$1006,0))&gt;=100000), " ",IF(INDEX($AN$2:$BO$1001,MATCH(ROWS($AG$2:AG429),$AG$2:$AG$1001,0),MATCH(COLUMNS($AN$1006:BF1006),$AN$1006:$BO$1006,0)), HYPERLINK("#",""), HYPERLINK(CONCATENATE("#Metadata!", ADDRESS(INDEX($AI$2:$AI$1001,MATCH(ROWS($AG$2:AG429),$AG$2:$AG$1001,0),0), INDEX($AN$1004:$BO$1004,1,MATCH(COLUMNS($AN$1006:BF1006),$AN$1006:$BO$1006,0)))),"Fix")))</f>
        <v>0</v>
      </c>
      <c r="U429" s="4">
        <f>IF(OR(INDEX($AH$2:$AH$1001,MATCH(ROWS($AG$2:AG429),$AG$2:$AG$1001,0),1)&gt;=100000,INDEX($AN$1005:$BO$1005,1,MATCH(COLUMNS($AN$1006:BG1006),$AN$1006:$BO$1006,0))&gt;=100000), " ",IF(INDEX($AN$2:$BO$1001,MATCH(ROWS($AG$2:AG429),$AG$2:$AG$1001,0),MATCH(COLUMNS($AN$1006:BG1006),$AN$1006:$BO$1006,0)), HYPERLINK("#",""), HYPERLINK(CONCATENATE("#Metadata!", ADDRESS(INDEX($AI$2:$AI$1001,MATCH(ROWS($AG$2:AG429),$AG$2:$AG$1001,0),0), INDEX($AN$1004:$BO$1004,1,MATCH(COLUMNS($AN$1006:BG1006),$AN$1006:$BO$1006,0)))),"Fix")))</f>
        <v>0</v>
      </c>
      <c r="V429" s="4">
        <f>IF(OR(INDEX($AH$2:$AH$1001,MATCH(ROWS($AG$2:AG429),$AG$2:$AG$1001,0),1)&gt;=100000,INDEX($AN$1005:$BO$1005,1,MATCH(COLUMNS($AN$1006:BH1006),$AN$1006:$BO$1006,0))&gt;=100000), " ",IF(INDEX($AN$2:$BO$1001,MATCH(ROWS($AG$2:AG429),$AG$2:$AG$1001,0),MATCH(COLUMNS($AN$1006:BH1006),$AN$1006:$BO$1006,0)), HYPERLINK("#",""), HYPERLINK(CONCATENATE("#Metadata!", ADDRESS(INDEX($AI$2:$AI$1001,MATCH(ROWS($AG$2:AG429),$AG$2:$AG$1001,0),0), INDEX($AN$1004:$BO$1004,1,MATCH(COLUMNS($AN$1006:BH1006),$AN$1006:$BO$1006,0)))),"Fix")))</f>
        <v>0</v>
      </c>
      <c r="W429" s="4">
        <f>IF(OR(INDEX($AH$2:$AH$1001,MATCH(ROWS($AG$2:AG429),$AG$2:$AG$1001,0),1)&gt;=100000,INDEX($AN$1005:$BO$1005,1,MATCH(COLUMNS($AN$1006:BI1006),$AN$1006:$BO$1006,0))&gt;=100000), " ",IF(INDEX($AN$2:$BO$1001,MATCH(ROWS($AG$2:AG429),$AG$2:$AG$1001,0),MATCH(COLUMNS($AN$1006:BI1006),$AN$1006:$BO$1006,0)), HYPERLINK("#",""), HYPERLINK(CONCATENATE("#Metadata!", ADDRESS(INDEX($AI$2:$AI$1001,MATCH(ROWS($AG$2:AG429),$AG$2:$AG$1001,0),0), INDEX($AN$1004:$BO$1004,1,MATCH(COLUMNS($AN$1006:BI1006),$AN$1006:$BO$1006,0)))),"Fix")))</f>
        <v>0</v>
      </c>
      <c r="X429" s="4">
        <f>IF(OR(INDEX($AH$2:$AH$1001,MATCH(ROWS($AG$2:AG429),$AG$2:$AG$1001,0),1)&gt;=100000,INDEX($AN$1005:$BO$1005,1,MATCH(COLUMNS($AN$1006:BJ1006),$AN$1006:$BO$1006,0))&gt;=100000), " ",IF(INDEX($AN$2:$BO$1001,MATCH(ROWS($AG$2:AG429),$AG$2:$AG$1001,0),MATCH(COLUMNS($AN$1006:BJ1006),$AN$1006:$BO$1006,0)), HYPERLINK("#",""), HYPERLINK(CONCATENATE("#Metadata!", ADDRESS(INDEX($AI$2:$AI$1001,MATCH(ROWS($AG$2:AG429),$AG$2:$AG$1001,0),0), INDEX($AN$1004:$BO$1004,1,MATCH(COLUMNS($AN$1006:BJ1006),$AN$1006:$BO$1006,0)))),"Fix")))</f>
        <v>0</v>
      </c>
      <c r="Y429" s="4">
        <f>IF(OR(INDEX($AH$2:$AH$1001,MATCH(ROWS($AG$2:AG429),$AG$2:$AG$1001,0),1)&gt;=100000,INDEX($AN$1005:$BO$1005,1,MATCH(COLUMNS($AN$1006:BK1006),$AN$1006:$BO$1006,0))&gt;=100000), " ",IF(INDEX($AN$2:$BO$1001,MATCH(ROWS($AG$2:AG429),$AG$2:$AG$1001,0),MATCH(COLUMNS($AN$1006:BK1006),$AN$1006:$BO$1006,0)), HYPERLINK("#",""), HYPERLINK(CONCATENATE("#Metadata!", ADDRESS(INDEX($AI$2:$AI$1001,MATCH(ROWS($AG$2:AG429),$AG$2:$AG$1001,0),0), INDEX($AN$1004:$BO$1004,1,MATCH(COLUMNS($AN$1006:BK1006),$AN$1006:$BO$1006,0)))),"Fix")))</f>
        <v>0</v>
      </c>
      <c r="Z429" s="4">
        <f>IF(OR(INDEX($AH$2:$AH$1001,MATCH(ROWS($AG$2:AG429),$AG$2:$AG$1001,0),1)&gt;=100000,INDEX($AN$1005:$BO$1005,1,MATCH(COLUMNS($AN$1006:BL1006),$AN$1006:$BO$1006,0))&gt;=100000), " ",IF(INDEX($AN$2:$BO$1001,MATCH(ROWS($AG$2:AG429),$AG$2:$AG$1001,0),MATCH(COLUMNS($AN$1006:BL1006),$AN$1006:$BO$1006,0)), HYPERLINK("#",""), HYPERLINK(CONCATENATE("#Metadata!", ADDRESS(INDEX($AI$2:$AI$1001,MATCH(ROWS($AG$2:AG429),$AG$2:$AG$1001,0),0), INDEX($AN$1004:$BO$1004,1,MATCH(COLUMNS($AN$1006:BL1006),$AN$1006:$BO$1006,0)))),"Fix")))</f>
        <v>0</v>
      </c>
      <c r="AA429" s="4">
        <f>IF(OR(INDEX($AH$2:$AH$1001,MATCH(ROWS($AG$2:AG429),$AG$2:$AG$1001,0),1)&gt;=100000,INDEX($AN$1005:$BO$1005,1,MATCH(COLUMNS($AN$1006:BM1006),$AN$1006:$BO$1006,0))&gt;=100000), " ",IF(INDEX($AN$2:$BO$1001,MATCH(ROWS($AG$2:AG429),$AG$2:$AG$1001,0),MATCH(COLUMNS($AN$1006:BM1006),$AN$1006:$BO$1006,0)), HYPERLINK("#",""), HYPERLINK(CONCATENATE("#Metadata!", ADDRESS(INDEX($AI$2:$AI$1001,MATCH(ROWS($AG$2:AG429),$AG$2:$AG$1001,0),0), INDEX($AN$1004:$BO$1004,1,MATCH(COLUMNS($AN$1006:BM1006),$AN$1006:$BO$1006,0)))),"Fix")))</f>
        <v>0</v>
      </c>
      <c r="AB429" s="4">
        <f>IF(OR(INDEX($AH$2:$AH$1001,MATCH(ROWS($AG$2:AG429),$AG$2:$AG$1001,0),1)&gt;=100000,INDEX($AN$1005:$BO$1005,1,MATCH(COLUMNS($AN$1006:BN1006),$AN$1006:$BO$1006,0))&gt;=100000), " ",IF(INDEX($AN$2:$BO$1001,MATCH(ROWS($AG$2:AG429),$AG$2:$AG$1001,0),MATCH(COLUMNS($AN$1006:BN1006),$AN$1006:$BO$1006,0)), HYPERLINK("#",""), HYPERLINK(CONCATENATE("#Metadata!", ADDRESS(INDEX($AI$2:$AI$1001,MATCH(ROWS($AG$2:AG429),$AG$2:$AG$1001,0),0), INDEX($AN$1004:$BO$1004,1,MATCH(COLUMNS($AN$1006:BN1006),$AN$1006:$BO$1006,0)))),"Fix")))</f>
        <v>0</v>
      </c>
      <c r="AC429" s="4">
        <f>IF(OR(INDEX($AH$2:$AH$1001,MATCH(ROWS($AG$2:AG429),$AG$2:$AG$1001,0),1)&gt;=100000,INDEX($AN$1005:$BO$1005,1,MATCH(COLUMNS($AN$1006:BO1006),$AN$1006:$BO$1006,0))&gt;=100000), " ",IF(INDEX($AN$2:$BO$1001,MATCH(ROWS($AG$2:AG429),$AG$2:$AG$1001,0),MATCH(COLUMNS($AN$1006:BO1006),$AN$1006:$BO$1006,0)), HYPERLINK("#",""), HYPERLINK(CONCATENATE("#Metadata!", ADDRESS(INDEX($AI$2:$AI$1001,MATCH(ROWS($AG$2:AG429),$AG$2:$AG$1001,0),0), INDEX($AN$1004:$BO$1004,1,MATCH(COLUMNS($AN$1006:BO1006),$AN$1006:$BO$1006,0)))),"Fix")))</f>
        <v>0</v>
      </c>
      <c r="AG429">
        <v>0</v>
      </c>
      <c r="AH429">
        <v>0</v>
      </c>
      <c r="AI429">
        <v>0</v>
      </c>
      <c r="AJ429">
        <f>IF(AK429,TRUE,AND(AN429:BO429))</f>
        <v>0</v>
      </c>
      <c r="AK429">
        <f>COUNTBLANK(Metadata!B429:AC429)=COLUMNS(Metadata!B429:AC429)</f>
        <v>0</v>
      </c>
      <c r="AL429">
        <v>0</v>
      </c>
      <c r="AN429">
        <f>AND(IF(Metadata!B429="",FALSE,TRUE),COUNTIF(Metadata!B:B, Metadata!B429) = 1,NOT(ISERROR(SUMPRODUCT(SEARCH(MID(Metadata!B429,ROW(INDIRECT("1:"&amp;LEN(Metadata!B429))), 1),"0123456789abcdefghijklmnopqrstuvwxyzABCDEFGHIJKLMNOPQRSTUVWXYZ.")))))</f>
        <v>0</v>
      </c>
      <c r="AO429">
        <f>IF(Metadata!C429="",FALSE,TRUE)</f>
        <v>0</v>
      </c>
      <c r="AP429">
        <f>IF(Metadata!D429="",FALSE,TRUE)</f>
        <v>0</v>
      </c>
      <c r="AQ429">
        <f>OR(AND(IF(Metadata!E429="",FALSE,TRUE),OR(exact(Metadata!E429,"not collected"),exact(Metadata!E429,"not provided"),exact(Metadata!E429,"restricted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R429">
        <f>IF(Metadata!F429="",FALSE,TRUE)</f>
        <v>0</v>
      </c>
      <c r="AS429">
        <f>OR(AND(IF(Metadata!G429="",FALSE,TRUE),OR(exact(Metadata!G429,"not collected"),exact(Metadata!G429,"not provided"))),AND(IF(Metadata!G429="",FALSE,TRUE),OR(exact(Metadata!G429,"TRUE"),exact(Metadata!G429,"FALSE"))))</f>
        <v>0</v>
      </c>
      <c r="AT429">
        <f>OR(AND(IF(Metadata!H429="",FALSE,TRUE),OR(exact(Metadata!H429,"not collected"),exact(Metadata!H429,"not provided"),exact(Metadata!H429,"restricted access"))),AND(IF(Metadata!H429="",FALSE,ISNUMBER(VALUE(Metadata!H429))),Metadata!H429&gt;=-413.0))</f>
        <v>0</v>
      </c>
      <c r="AU429">
        <f>AND(IF(Metadata!I429="",FALSE,TRUE),exact(Metadata!I429,"meters"))</f>
        <v>0</v>
      </c>
      <c r="AV429">
        <f>AND(IF(Metadata!J429="",FALSE,TRUE),OR(exact(Metadata!J429,"Host-associated"),exact(Metadata!J429,"Free-living")))</f>
        <v>0</v>
      </c>
      <c r="AW429">
        <f>AND(IF(Metadata!K429="",FALSE,TRUE),OR(exact(Metadata!K429,"Animal"),exact(Metadata!K429,"Fungus"),exact(Metadata!K429,"Plant"),exact(Metadata!K429,"Saline"),exact(Metadata!K429,"Non-saline")))</f>
        <v>0</v>
      </c>
      <c r="AX429">
        <f>AND(IF(Metadata!L429="",FALSE,TRUE),OR(exact(Metadata!L429,"Plant secretion"),exact(Metadata!L429,"Plant rhizosphere"),exact(Metadata!L429,"Plant surface"),exact(Metadata!L429,"Plant corpus"),exact(Metadata!L429,"Fungus surface"),exact(Metadata!L429,"Fungus corpus"),exact(Metadata!L429,"Animal surface"),exact(Metadata!L429,"Animal proximal gut"),exact(Metadata!L429,"Animal corpus"),exact(Metadata!L429,"Animal distal gut"),exact(Metadata!L429,"Animal secretion"),exact(Metadata!L429,"Sub-surface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Y429">
        <f>IF(Metadata!M429="",FALSE,TRUE)</f>
        <v>0</v>
      </c>
      <c r="AZ429">
        <f>IF(Metadata!N429="",FALSE,TRUE)</f>
        <v>0</v>
      </c>
      <c r="BA429">
        <f>IF(Metadata!O429="",FALSE,TRUE)</f>
        <v>0</v>
      </c>
      <c r="BB429">
        <f>OR(AND(IF(Metadata!P429="",FALSE,TRUE),OR(exact(Metadata!P429,"not collected"),exact(Metadata!P429,"not provided"),exact(Metadata!P429,"restricted access"))),AND(IF(Metadata!P429="",FALSE,TRUE),OR(exact(Metadata!P429,"air"),exact(Metadata!P429,"built environment"),exact(Metadata!P429,"host-associated"),exact(Metadata!P429,"human-associated"),exact(Metadata!P429,"human-skin"),exact(Metadata!P429,"human-oral"),exact(Metadata!P429,"human-gut"),exact(Metadata!P429,"human-vaginal"),exact(Metadata!P429,"microbial mat/biofilm"),exact(Metadata!P429,"misc environment"),exact(Metadata!P429,"plant-associated"),exact(Metadata!P429,"sediment"),exact(Metadata!P429,"soil"),exact(Metadata!P429,"wastewater/sludge"),exact(Metadata!P429,"water"))))</f>
        <v>0</v>
      </c>
      <c r="BC429">
        <f>IF(Metadata!Q429="",FALSE,TRUE)</f>
        <v>0</v>
      </c>
      <c r="BD429">
        <f>IF(Metadata!R429="",FALSE,TRUE)</f>
        <v>0</v>
      </c>
      <c r="BE429">
        <f>OR(AND(IF(Metadata!S429="",FALSE,TRUE),OR(exact(Metadata!S429,"not collected"),exact(Metadata!S429,"not provided"),exact(Metadata!S429,"restricted access"))),AND(IF(Metadata!S429="",FALSE,ISNUMBER(VALUE(Metadata!S429))),Metadata!S429&gt;=-90.00,Metadata!S429&lt;=90.00))</f>
        <v>0</v>
      </c>
      <c r="BF429">
        <f>AND(IF(Metadata!T429="",FALSE,TRUE),exact(Metadata!T429,"Decimal degrees"))</f>
        <v>0</v>
      </c>
      <c r="BG429">
        <f>OR(AND(IF(Metadata!U429="",FALSE,TRUE),OR(exact(Metadata!U429,"not collected"),exact(Metadata!U429,"not provided"),exact(Metadata!U429,"restricted access"))),AND(IF(Metadata!U429="",FALSE,ISNUMBER(VALUE(Metadata!U429))),Metadata!U429&gt;=-180.00,Metadata!U429&lt;=180.00))</f>
        <v>0</v>
      </c>
      <c r="BH429">
        <f>AND(IF(Metadata!V429="",FALSE,TRUE),exact(Metadata!V429,"Decimal degrees"))</f>
        <v>0</v>
      </c>
      <c r="BI429">
        <f>IF(Metadata!W429="",FALSE,TRUE)</f>
        <v>0</v>
      </c>
      <c r="BJ429">
        <f>OR(AND(IF(Metadata!X429="",FALSE,TRUE),OR(exact(Metadata!X429,"not collected"),exact(Metadata!X429,"not provided"),exact(Metadata!X429,"restricted access"))),AND(IF(Metadata!X429="",FALSE,TRUE),OR(exact(Metadata!X429,"TRUE"),exact(Metadata!X429,"FALSE"))))</f>
        <v>0</v>
      </c>
      <c r="BK429">
        <f>AND(IF(Metadata!Y429="",FALSE,TRUE),exact(Metadata!Y429,"other"))</f>
        <v>0</v>
      </c>
      <c r="BL429">
        <f>IF(Metadata!Z429="",FALSE,TRUE)</f>
        <v>0</v>
      </c>
      <c r="BM429">
        <f>OR(AND(IF(Metadata!AA429="",FALSE,TRUE),OR(exact(Metadata!AA429,"not collected"),exact(Metadata!AA429,"not provided"))),AND(IF(Metadata!AA429="",FALSE,IF(ISERROR(INT(Metadata!AA429)),FALSE,INT(Metadata!AA429)=Metadata!AA429)),Metadata!AA429&gt;0))</f>
        <v>0</v>
      </c>
      <c r="BN429">
        <f>AND(IF(Metadata!AB429="",FALSE,TRUE),exact(Metadata!AB429,"Not applicable"))</f>
        <v>0</v>
      </c>
      <c r="BO429">
        <f>IF(Metadata!AC429="",FALSE,TRUE)</f>
        <v>0</v>
      </c>
    </row>
    <row r="430" spans="1:67">
      <c r="A430" s="5">
        <f>IF(B430=" "," ",HYPERLINK(CONCATENATE("#metadata!",ADDRESS(INDEX($AI$2:$AI$1001,MATCH(ROWS($AG$2:AG430),$AG$2:$AG$1001,0),0),1)),INDEX($AL$2:$AL$1001,MATCH(ROWS($AG$2:AG430),$AG$2:$AG$1001,0),0)))</f>
        <v>0</v>
      </c>
      <c r="B430" s="4">
        <f>IF(OR(INDEX($AH$2:$AH$1001,MATCH(ROWS($AG$2:AG430),$AG$2:$AG$1001,0),1)&gt;=100000,INDEX($AN$1005:$BO$1005,1,MATCH(COLUMNS($AN$1006:AN1006),$AN$1006:$BO$1006,0))&gt;=100000), " ",IF(INDEX($AN$2:$BO$1001,MATCH(ROWS($AG$2:AG430),$AG$2:$AG$1001,0),MATCH(COLUMNS($AN$1006:AN1006),$AN$1006:$BO$1006,0)), HYPERLINK("#",""), HYPERLINK(CONCATENATE("#Metadata!", ADDRESS(INDEX($AI$2:$AI$1001,MATCH(ROWS($AG$2:AG430),$AG$2:$AG$1001,0),0), INDEX($AN$1004:$BO$1004,1,MATCH(COLUMNS($AN$1006:AN1006),$AN$1006:$BO$1006,0)))),"Fix")))</f>
        <v>0</v>
      </c>
      <c r="C430" s="4">
        <f>IF(OR(INDEX($AH$2:$AH$1001,MATCH(ROWS($AG$2:AG430),$AG$2:$AG$1001,0),1)&gt;=100000,INDEX($AN$1005:$BO$1005,1,MATCH(COLUMNS($AN$1006:AO1006),$AN$1006:$BO$1006,0))&gt;=100000), " ",IF(INDEX($AN$2:$BO$1001,MATCH(ROWS($AG$2:AG430),$AG$2:$AG$1001,0),MATCH(COLUMNS($AN$1006:AO1006),$AN$1006:$BO$1006,0)), HYPERLINK("#",""), HYPERLINK(CONCATENATE("#Metadata!", ADDRESS(INDEX($AI$2:$AI$1001,MATCH(ROWS($AG$2:AG430),$AG$2:$AG$1001,0),0), INDEX($AN$1004:$BO$1004,1,MATCH(COLUMNS($AN$1006:AO1006),$AN$1006:$BO$1006,0)))),"Fix")))</f>
        <v>0</v>
      </c>
      <c r="D430" s="4">
        <f>IF(OR(INDEX($AH$2:$AH$1001,MATCH(ROWS($AG$2:AG430),$AG$2:$AG$1001,0),1)&gt;=100000,INDEX($AN$1005:$BO$1005,1,MATCH(COLUMNS($AN$1006:AP1006),$AN$1006:$BO$1006,0))&gt;=100000), " ",IF(INDEX($AN$2:$BO$1001,MATCH(ROWS($AG$2:AG430),$AG$2:$AG$1001,0),MATCH(COLUMNS($AN$1006:AP1006),$AN$1006:$BO$1006,0)), HYPERLINK("#",""), HYPERLINK(CONCATENATE("#Metadata!", ADDRESS(INDEX($AI$2:$AI$1001,MATCH(ROWS($AG$2:AG430),$AG$2:$AG$1001,0),0), INDEX($AN$1004:$BO$1004,1,MATCH(COLUMNS($AN$1006:AP1006),$AN$1006:$BO$1006,0)))),"Fix")))</f>
        <v>0</v>
      </c>
      <c r="E430" s="4">
        <f>IF(OR(INDEX($AH$2:$AH$1001,MATCH(ROWS($AG$2:AG430),$AG$2:$AG$1001,0),1)&gt;=100000,INDEX($AN$1005:$BO$1005,1,MATCH(COLUMNS($AN$1006:AQ1006),$AN$1006:$BO$1006,0))&gt;=100000), " ",IF(INDEX($AN$2:$BO$1001,MATCH(ROWS($AG$2:AG430),$AG$2:$AG$1001,0),MATCH(COLUMNS($AN$1006:AQ1006),$AN$1006:$BO$1006,0)), HYPERLINK("#",""), HYPERLINK(CONCATENATE("#Metadata!", ADDRESS(INDEX($AI$2:$AI$1001,MATCH(ROWS($AG$2:AG430),$AG$2:$AG$1001,0),0), INDEX($AN$1004:$BO$1004,1,MATCH(COLUMNS($AN$1006:AQ1006),$AN$1006:$BO$1006,0)))),"Fix")))</f>
        <v>0</v>
      </c>
      <c r="F430" s="4">
        <f>IF(OR(INDEX($AH$2:$AH$1001,MATCH(ROWS($AG$2:AG430),$AG$2:$AG$1001,0),1)&gt;=100000,INDEX($AN$1005:$BO$1005,1,MATCH(COLUMNS($AN$1006:AR1006),$AN$1006:$BO$1006,0))&gt;=100000), " ",IF(INDEX($AN$2:$BO$1001,MATCH(ROWS($AG$2:AG430),$AG$2:$AG$1001,0),MATCH(COLUMNS($AN$1006:AR1006),$AN$1006:$BO$1006,0)), HYPERLINK("#",""), HYPERLINK(CONCATENATE("#Metadata!", ADDRESS(INDEX($AI$2:$AI$1001,MATCH(ROWS($AG$2:AG430),$AG$2:$AG$1001,0),0), INDEX($AN$1004:$BO$1004,1,MATCH(COLUMNS($AN$1006:AR1006),$AN$1006:$BO$1006,0)))),"Fix")))</f>
        <v>0</v>
      </c>
      <c r="G430" s="4">
        <f>IF(OR(INDEX($AH$2:$AH$1001,MATCH(ROWS($AG$2:AG430),$AG$2:$AG$1001,0),1)&gt;=100000,INDEX($AN$1005:$BO$1005,1,MATCH(COLUMNS($AN$1006:AS1006),$AN$1006:$BO$1006,0))&gt;=100000), " ",IF(INDEX($AN$2:$BO$1001,MATCH(ROWS($AG$2:AG430),$AG$2:$AG$1001,0),MATCH(COLUMNS($AN$1006:AS1006),$AN$1006:$BO$1006,0)), HYPERLINK("#",""), HYPERLINK(CONCATENATE("#Metadata!", ADDRESS(INDEX($AI$2:$AI$1001,MATCH(ROWS($AG$2:AG430),$AG$2:$AG$1001,0),0), INDEX($AN$1004:$BO$1004,1,MATCH(COLUMNS($AN$1006:AS1006),$AN$1006:$BO$1006,0)))),"Fix")))</f>
        <v>0</v>
      </c>
      <c r="H430" s="4">
        <f>IF(OR(INDEX($AH$2:$AH$1001,MATCH(ROWS($AG$2:AG430),$AG$2:$AG$1001,0),1)&gt;=100000,INDEX($AN$1005:$BO$1005,1,MATCH(COLUMNS($AN$1006:AT1006),$AN$1006:$BO$1006,0))&gt;=100000), " ",IF(INDEX($AN$2:$BO$1001,MATCH(ROWS($AG$2:AG430),$AG$2:$AG$1001,0),MATCH(COLUMNS($AN$1006:AT1006),$AN$1006:$BO$1006,0)), HYPERLINK("#",""), HYPERLINK(CONCATENATE("#Metadata!", ADDRESS(INDEX($AI$2:$AI$1001,MATCH(ROWS($AG$2:AG430),$AG$2:$AG$1001,0),0), INDEX($AN$1004:$BO$1004,1,MATCH(COLUMNS($AN$1006:AT1006),$AN$1006:$BO$1006,0)))),"Fix")))</f>
        <v>0</v>
      </c>
      <c r="I430" s="4">
        <f>IF(OR(INDEX($AH$2:$AH$1001,MATCH(ROWS($AG$2:AG430),$AG$2:$AG$1001,0),1)&gt;=100000,INDEX($AN$1005:$BO$1005,1,MATCH(COLUMNS($AN$1006:AU1006),$AN$1006:$BO$1006,0))&gt;=100000), " ",IF(INDEX($AN$2:$BO$1001,MATCH(ROWS($AG$2:AG430),$AG$2:$AG$1001,0),MATCH(COLUMNS($AN$1006:AU1006),$AN$1006:$BO$1006,0)), HYPERLINK("#",""), HYPERLINK(CONCATENATE("#Metadata!", ADDRESS(INDEX($AI$2:$AI$1001,MATCH(ROWS($AG$2:AG430),$AG$2:$AG$1001,0),0), INDEX($AN$1004:$BO$1004,1,MATCH(COLUMNS($AN$1006:AU1006),$AN$1006:$BO$1006,0)))),"Fix")))</f>
        <v>0</v>
      </c>
      <c r="J430" s="4">
        <f>IF(OR(INDEX($AH$2:$AH$1001,MATCH(ROWS($AG$2:AG430),$AG$2:$AG$1001,0),1)&gt;=100000,INDEX($AN$1005:$BO$1005,1,MATCH(COLUMNS($AN$1006:AV1006),$AN$1006:$BO$1006,0))&gt;=100000), " ",IF(INDEX($AN$2:$BO$1001,MATCH(ROWS($AG$2:AG430),$AG$2:$AG$1001,0),MATCH(COLUMNS($AN$1006:AV1006),$AN$1006:$BO$1006,0)), HYPERLINK("#",""), HYPERLINK(CONCATENATE("#Metadata!", ADDRESS(INDEX($AI$2:$AI$1001,MATCH(ROWS($AG$2:AG430),$AG$2:$AG$1001,0),0), INDEX($AN$1004:$BO$1004,1,MATCH(COLUMNS($AN$1006:AV1006),$AN$1006:$BO$1006,0)))),"Fix")))</f>
        <v>0</v>
      </c>
      <c r="K430" s="4">
        <f>IF(OR(INDEX($AH$2:$AH$1001,MATCH(ROWS($AG$2:AG430),$AG$2:$AG$1001,0),1)&gt;=100000,INDEX($AN$1005:$BO$1005,1,MATCH(COLUMNS($AN$1006:AW1006),$AN$1006:$BO$1006,0))&gt;=100000), " ",IF(INDEX($AN$2:$BO$1001,MATCH(ROWS($AG$2:AG430),$AG$2:$AG$1001,0),MATCH(COLUMNS($AN$1006:AW1006),$AN$1006:$BO$1006,0)), HYPERLINK("#",""), HYPERLINK(CONCATENATE("#Metadata!", ADDRESS(INDEX($AI$2:$AI$1001,MATCH(ROWS($AG$2:AG430),$AG$2:$AG$1001,0),0), INDEX($AN$1004:$BO$1004,1,MATCH(COLUMNS($AN$1006:AW1006),$AN$1006:$BO$1006,0)))),"Fix")))</f>
        <v>0</v>
      </c>
      <c r="L430" s="4">
        <f>IF(OR(INDEX($AH$2:$AH$1001,MATCH(ROWS($AG$2:AG430),$AG$2:$AG$1001,0),1)&gt;=100000,INDEX($AN$1005:$BO$1005,1,MATCH(COLUMNS($AN$1006:AX1006),$AN$1006:$BO$1006,0))&gt;=100000), " ",IF(INDEX($AN$2:$BO$1001,MATCH(ROWS($AG$2:AG430),$AG$2:$AG$1001,0),MATCH(COLUMNS($AN$1006:AX1006),$AN$1006:$BO$1006,0)), HYPERLINK("#",""), HYPERLINK(CONCATENATE("#Metadata!", ADDRESS(INDEX($AI$2:$AI$1001,MATCH(ROWS($AG$2:AG430),$AG$2:$AG$1001,0),0), INDEX($AN$1004:$BO$1004,1,MATCH(COLUMNS($AN$1006:AX1006),$AN$1006:$BO$1006,0)))),"Fix")))</f>
        <v>0</v>
      </c>
      <c r="M430" s="4">
        <f>IF(OR(INDEX($AH$2:$AH$1001,MATCH(ROWS($AG$2:AG430),$AG$2:$AG$1001,0),1)&gt;=100000,INDEX($AN$1005:$BO$1005,1,MATCH(COLUMNS($AN$1006:AY1006),$AN$1006:$BO$1006,0))&gt;=100000), " ",IF(INDEX($AN$2:$BO$1001,MATCH(ROWS($AG$2:AG430),$AG$2:$AG$1001,0),MATCH(COLUMNS($AN$1006:AY1006),$AN$1006:$BO$1006,0)), HYPERLINK("#",""), HYPERLINK(CONCATENATE("#Metadata!", ADDRESS(INDEX($AI$2:$AI$1001,MATCH(ROWS($AG$2:AG430),$AG$2:$AG$1001,0),0), INDEX($AN$1004:$BO$1004,1,MATCH(COLUMNS($AN$1006:AY1006),$AN$1006:$BO$1006,0)))),"Fix")))</f>
        <v>0</v>
      </c>
      <c r="N430" s="4">
        <f>IF(OR(INDEX($AH$2:$AH$1001,MATCH(ROWS($AG$2:AG430),$AG$2:$AG$1001,0),1)&gt;=100000,INDEX($AN$1005:$BO$1005,1,MATCH(COLUMNS($AN$1006:AZ1006),$AN$1006:$BO$1006,0))&gt;=100000), " ",IF(INDEX($AN$2:$BO$1001,MATCH(ROWS($AG$2:AG430),$AG$2:$AG$1001,0),MATCH(COLUMNS($AN$1006:AZ1006),$AN$1006:$BO$1006,0)), HYPERLINK("#",""), HYPERLINK(CONCATENATE("#Metadata!", ADDRESS(INDEX($AI$2:$AI$1001,MATCH(ROWS($AG$2:AG430),$AG$2:$AG$1001,0),0), INDEX($AN$1004:$BO$1004,1,MATCH(COLUMNS($AN$1006:AZ1006),$AN$1006:$BO$1006,0)))),"Fix")))</f>
        <v>0</v>
      </c>
      <c r="O430" s="4">
        <f>IF(OR(INDEX($AH$2:$AH$1001,MATCH(ROWS($AG$2:AG430),$AG$2:$AG$1001,0),1)&gt;=100000,INDEX($AN$1005:$BO$1005,1,MATCH(COLUMNS($AN$1006:BA1006),$AN$1006:$BO$1006,0))&gt;=100000), " ",IF(INDEX($AN$2:$BO$1001,MATCH(ROWS($AG$2:AG430),$AG$2:$AG$1001,0),MATCH(COLUMNS($AN$1006:BA1006),$AN$1006:$BO$1006,0)), HYPERLINK("#",""), HYPERLINK(CONCATENATE("#Metadata!", ADDRESS(INDEX($AI$2:$AI$1001,MATCH(ROWS($AG$2:AG430),$AG$2:$AG$1001,0),0), INDEX($AN$1004:$BO$1004,1,MATCH(COLUMNS($AN$1006:BA1006),$AN$1006:$BO$1006,0)))),"Fix")))</f>
        <v>0</v>
      </c>
      <c r="P430" s="4">
        <f>IF(OR(INDEX($AH$2:$AH$1001,MATCH(ROWS($AG$2:AG430),$AG$2:$AG$1001,0),1)&gt;=100000,INDEX($AN$1005:$BO$1005,1,MATCH(COLUMNS($AN$1006:BB1006),$AN$1006:$BO$1006,0))&gt;=100000), " ",IF(INDEX($AN$2:$BO$1001,MATCH(ROWS($AG$2:AG430),$AG$2:$AG$1001,0),MATCH(COLUMNS($AN$1006:BB1006),$AN$1006:$BO$1006,0)), HYPERLINK("#",""), HYPERLINK(CONCATENATE("#Metadata!", ADDRESS(INDEX($AI$2:$AI$1001,MATCH(ROWS($AG$2:AG430),$AG$2:$AG$1001,0),0), INDEX($AN$1004:$BO$1004,1,MATCH(COLUMNS($AN$1006:BB1006),$AN$1006:$BO$1006,0)))),"Fix")))</f>
        <v>0</v>
      </c>
      <c r="Q430" s="4">
        <f>IF(OR(INDEX($AH$2:$AH$1001,MATCH(ROWS($AG$2:AG430),$AG$2:$AG$1001,0),1)&gt;=100000,INDEX($AN$1005:$BO$1005,1,MATCH(COLUMNS($AN$1006:BC1006),$AN$1006:$BO$1006,0))&gt;=100000), " ",IF(INDEX($AN$2:$BO$1001,MATCH(ROWS($AG$2:AG430),$AG$2:$AG$1001,0),MATCH(COLUMNS($AN$1006:BC1006),$AN$1006:$BO$1006,0)), HYPERLINK("#",""), HYPERLINK(CONCATENATE("#Metadata!", ADDRESS(INDEX($AI$2:$AI$1001,MATCH(ROWS($AG$2:AG430),$AG$2:$AG$1001,0),0), INDEX($AN$1004:$BO$1004,1,MATCH(COLUMNS($AN$1006:BC1006),$AN$1006:$BO$1006,0)))),"Fix")))</f>
        <v>0</v>
      </c>
      <c r="R430" s="4">
        <f>IF(OR(INDEX($AH$2:$AH$1001,MATCH(ROWS($AG$2:AG430),$AG$2:$AG$1001,0),1)&gt;=100000,INDEX($AN$1005:$BO$1005,1,MATCH(COLUMNS($AN$1006:BD1006),$AN$1006:$BO$1006,0))&gt;=100000), " ",IF(INDEX($AN$2:$BO$1001,MATCH(ROWS($AG$2:AG430),$AG$2:$AG$1001,0),MATCH(COLUMNS($AN$1006:BD1006),$AN$1006:$BO$1006,0)), HYPERLINK("#",""), HYPERLINK(CONCATENATE("#Metadata!", ADDRESS(INDEX($AI$2:$AI$1001,MATCH(ROWS($AG$2:AG430),$AG$2:$AG$1001,0),0), INDEX($AN$1004:$BO$1004,1,MATCH(COLUMNS($AN$1006:BD1006),$AN$1006:$BO$1006,0)))),"Fix")))</f>
        <v>0</v>
      </c>
      <c r="S430" s="4">
        <f>IF(OR(INDEX($AH$2:$AH$1001,MATCH(ROWS($AG$2:AG430),$AG$2:$AG$1001,0),1)&gt;=100000,INDEX($AN$1005:$BO$1005,1,MATCH(COLUMNS($AN$1006:BE1006),$AN$1006:$BO$1006,0))&gt;=100000), " ",IF(INDEX($AN$2:$BO$1001,MATCH(ROWS($AG$2:AG430),$AG$2:$AG$1001,0),MATCH(COLUMNS($AN$1006:BE1006),$AN$1006:$BO$1006,0)), HYPERLINK("#",""), HYPERLINK(CONCATENATE("#Metadata!", ADDRESS(INDEX($AI$2:$AI$1001,MATCH(ROWS($AG$2:AG430),$AG$2:$AG$1001,0),0), INDEX($AN$1004:$BO$1004,1,MATCH(COLUMNS($AN$1006:BE1006),$AN$1006:$BO$1006,0)))),"Fix")))</f>
        <v>0</v>
      </c>
      <c r="T430" s="4">
        <f>IF(OR(INDEX($AH$2:$AH$1001,MATCH(ROWS($AG$2:AG430),$AG$2:$AG$1001,0),1)&gt;=100000,INDEX($AN$1005:$BO$1005,1,MATCH(COLUMNS($AN$1006:BF1006),$AN$1006:$BO$1006,0))&gt;=100000), " ",IF(INDEX($AN$2:$BO$1001,MATCH(ROWS($AG$2:AG430),$AG$2:$AG$1001,0),MATCH(COLUMNS($AN$1006:BF1006),$AN$1006:$BO$1006,0)), HYPERLINK("#",""), HYPERLINK(CONCATENATE("#Metadata!", ADDRESS(INDEX($AI$2:$AI$1001,MATCH(ROWS($AG$2:AG430),$AG$2:$AG$1001,0),0), INDEX($AN$1004:$BO$1004,1,MATCH(COLUMNS($AN$1006:BF1006),$AN$1006:$BO$1006,0)))),"Fix")))</f>
        <v>0</v>
      </c>
      <c r="U430" s="4">
        <f>IF(OR(INDEX($AH$2:$AH$1001,MATCH(ROWS($AG$2:AG430),$AG$2:$AG$1001,0),1)&gt;=100000,INDEX($AN$1005:$BO$1005,1,MATCH(COLUMNS($AN$1006:BG1006),$AN$1006:$BO$1006,0))&gt;=100000), " ",IF(INDEX($AN$2:$BO$1001,MATCH(ROWS($AG$2:AG430),$AG$2:$AG$1001,0),MATCH(COLUMNS($AN$1006:BG1006),$AN$1006:$BO$1006,0)), HYPERLINK("#",""), HYPERLINK(CONCATENATE("#Metadata!", ADDRESS(INDEX($AI$2:$AI$1001,MATCH(ROWS($AG$2:AG430),$AG$2:$AG$1001,0),0), INDEX($AN$1004:$BO$1004,1,MATCH(COLUMNS($AN$1006:BG1006),$AN$1006:$BO$1006,0)))),"Fix")))</f>
        <v>0</v>
      </c>
      <c r="V430" s="4">
        <f>IF(OR(INDEX($AH$2:$AH$1001,MATCH(ROWS($AG$2:AG430),$AG$2:$AG$1001,0),1)&gt;=100000,INDEX($AN$1005:$BO$1005,1,MATCH(COLUMNS($AN$1006:BH1006),$AN$1006:$BO$1006,0))&gt;=100000), " ",IF(INDEX($AN$2:$BO$1001,MATCH(ROWS($AG$2:AG430),$AG$2:$AG$1001,0),MATCH(COLUMNS($AN$1006:BH1006),$AN$1006:$BO$1006,0)), HYPERLINK("#",""), HYPERLINK(CONCATENATE("#Metadata!", ADDRESS(INDEX($AI$2:$AI$1001,MATCH(ROWS($AG$2:AG430),$AG$2:$AG$1001,0),0), INDEX($AN$1004:$BO$1004,1,MATCH(COLUMNS($AN$1006:BH1006),$AN$1006:$BO$1006,0)))),"Fix")))</f>
        <v>0</v>
      </c>
      <c r="W430" s="4">
        <f>IF(OR(INDEX($AH$2:$AH$1001,MATCH(ROWS($AG$2:AG430),$AG$2:$AG$1001,0),1)&gt;=100000,INDEX($AN$1005:$BO$1005,1,MATCH(COLUMNS($AN$1006:BI1006),$AN$1006:$BO$1006,0))&gt;=100000), " ",IF(INDEX($AN$2:$BO$1001,MATCH(ROWS($AG$2:AG430),$AG$2:$AG$1001,0),MATCH(COLUMNS($AN$1006:BI1006),$AN$1006:$BO$1006,0)), HYPERLINK("#",""), HYPERLINK(CONCATENATE("#Metadata!", ADDRESS(INDEX($AI$2:$AI$1001,MATCH(ROWS($AG$2:AG430),$AG$2:$AG$1001,0),0), INDEX($AN$1004:$BO$1004,1,MATCH(COLUMNS($AN$1006:BI1006),$AN$1006:$BO$1006,0)))),"Fix")))</f>
        <v>0</v>
      </c>
      <c r="X430" s="4">
        <f>IF(OR(INDEX($AH$2:$AH$1001,MATCH(ROWS($AG$2:AG430),$AG$2:$AG$1001,0),1)&gt;=100000,INDEX($AN$1005:$BO$1005,1,MATCH(COLUMNS($AN$1006:BJ1006),$AN$1006:$BO$1006,0))&gt;=100000), " ",IF(INDEX($AN$2:$BO$1001,MATCH(ROWS($AG$2:AG430),$AG$2:$AG$1001,0),MATCH(COLUMNS($AN$1006:BJ1006),$AN$1006:$BO$1006,0)), HYPERLINK("#",""), HYPERLINK(CONCATENATE("#Metadata!", ADDRESS(INDEX($AI$2:$AI$1001,MATCH(ROWS($AG$2:AG430),$AG$2:$AG$1001,0),0), INDEX($AN$1004:$BO$1004,1,MATCH(COLUMNS($AN$1006:BJ1006),$AN$1006:$BO$1006,0)))),"Fix")))</f>
        <v>0</v>
      </c>
      <c r="Y430" s="4">
        <f>IF(OR(INDEX($AH$2:$AH$1001,MATCH(ROWS($AG$2:AG430),$AG$2:$AG$1001,0),1)&gt;=100000,INDEX($AN$1005:$BO$1005,1,MATCH(COLUMNS($AN$1006:BK1006),$AN$1006:$BO$1006,0))&gt;=100000), " ",IF(INDEX($AN$2:$BO$1001,MATCH(ROWS($AG$2:AG430),$AG$2:$AG$1001,0),MATCH(COLUMNS($AN$1006:BK1006),$AN$1006:$BO$1006,0)), HYPERLINK("#",""), HYPERLINK(CONCATENATE("#Metadata!", ADDRESS(INDEX($AI$2:$AI$1001,MATCH(ROWS($AG$2:AG430),$AG$2:$AG$1001,0),0), INDEX($AN$1004:$BO$1004,1,MATCH(COLUMNS($AN$1006:BK1006),$AN$1006:$BO$1006,0)))),"Fix")))</f>
        <v>0</v>
      </c>
      <c r="Z430" s="4">
        <f>IF(OR(INDEX($AH$2:$AH$1001,MATCH(ROWS($AG$2:AG430),$AG$2:$AG$1001,0),1)&gt;=100000,INDEX($AN$1005:$BO$1005,1,MATCH(COLUMNS($AN$1006:BL1006),$AN$1006:$BO$1006,0))&gt;=100000), " ",IF(INDEX($AN$2:$BO$1001,MATCH(ROWS($AG$2:AG430),$AG$2:$AG$1001,0),MATCH(COLUMNS($AN$1006:BL1006),$AN$1006:$BO$1006,0)), HYPERLINK("#",""), HYPERLINK(CONCATENATE("#Metadata!", ADDRESS(INDEX($AI$2:$AI$1001,MATCH(ROWS($AG$2:AG430),$AG$2:$AG$1001,0),0), INDEX($AN$1004:$BO$1004,1,MATCH(COLUMNS($AN$1006:BL1006),$AN$1006:$BO$1006,0)))),"Fix")))</f>
        <v>0</v>
      </c>
      <c r="AA430" s="4">
        <f>IF(OR(INDEX($AH$2:$AH$1001,MATCH(ROWS($AG$2:AG430),$AG$2:$AG$1001,0),1)&gt;=100000,INDEX($AN$1005:$BO$1005,1,MATCH(COLUMNS($AN$1006:BM1006),$AN$1006:$BO$1006,0))&gt;=100000), " ",IF(INDEX($AN$2:$BO$1001,MATCH(ROWS($AG$2:AG430),$AG$2:$AG$1001,0),MATCH(COLUMNS($AN$1006:BM1006),$AN$1006:$BO$1006,0)), HYPERLINK("#",""), HYPERLINK(CONCATENATE("#Metadata!", ADDRESS(INDEX($AI$2:$AI$1001,MATCH(ROWS($AG$2:AG430),$AG$2:$AG$1001,0),0), INDEX($AN$1004:$BO$1004,1,MATCH(COLUMNS($AN$1006:BM1006),$AN$1006:$BO$1006,0)))),"Fix")))</f>
        <v>0</v>
      </c>
      <c r="AB430" s="4">
        <f>IF(OR(INDEX($AH$2:$AH$1001,MATCH(ROWS($AG$2:AG430),$AG$2:$AG$1001,0),1)&gt;=100000,INDEX($AN$1005:$BO$1005,1,MATCH(COLUMNS($AN$1006:BN1006),$AN$1006:$BO$1006,0))&gt;=100000), " ",IF(INDEX($AN$2:$BO$1001,MATCH(ROWS($AG$2:AG430),$AG$2:$AG$1001,0),MATCH(COLUMNS($AN$1006:BN1006),$AN$1006:$BO$1006,0)), HYPERLINK("#",""), HYPERLINK(CONCATENATE("#Metadata!", ADDRESS(INDEX($AI$2:$AI$1001,MATCH(ROWS($AG$2:AG430),$AG$2:$AG$1001,0),0), INDEX($AN$1004:$BO$1004,1,MATCH(COLUMNS($AN$1006:BN1006),$AN$1006:$BO$1006,0)))),"Fix")))</f>
        <v>0</v>
      </c>
      <c r="AC430" s="4">
        <f>IF(OR(INDEX($AH$2:$AH$1001,MATCH(ROWS($AG$2:AG430),$AG$2:$AG$1001,0),1)&gt;=100000,INDEX($AN$1005:$BO$1005,1,MATCH(COLUMNS($AN$1006:BO1006),$AN$1006:$BO$1006,0))&gt;=100000), " ",IF(INDEX($AN$2:$BO$1001,MATCH(ROWS($AG$2:AG430),$AG$2:$AG$1001,0),MATCH(COLUMNS($AN$1006:BO1006),$AN$1006:$BO$1006,0)), HYPERLINK("#",""), HYPERLINK(CONCATENATE("#Metadata!", ADDRESS(INDEX($AI$2:$AI$1001,MATCH(ROWS($AG$2:AG430),$AG$2:$AG$1001,0),0), INDEX($AN$1004:$BO$1004,1,MATCH(COLUMNS($AN$1006:BO1006),$AN$1006:$BO$1006,0)))),"Fix")))</f>
        <v>0</v>
      </c>
      <c r="AG430">
        <v>0</v>
      </c>
      <c r="AH430">
        <v>0</v>
      </c>
      <c r="AI430">
        <v>0</v>
      </c>
      <c r="AJ430">
        <f>IF(AK430,TRUE,AND(AN430:BO430))</f>
        <v>0</v>
      </c>
      <c r="AK430">
        <f>COUNTBLANK(Metadata!B430:AC430)=COLUMNS(Metadata!B430:AC430)</f>
        <v>0</v>
      </c>
      <c r="AL430">
        <v>0</v>
      </c>
      <c r="AN430">
        <f>AND(IF(Metadata!B430="",FALSE,TRUE),COUNTIF(Metadata!B:B, Metadata!B430) = 1,NOT(ISERROR(SUMPRODUCT(SEARCH(MID(Metadata!B430,ROW(INDIRECT("1:"&amp;LEN(Metadata!B430))), 1),"0123456789abcdefghijklmnopqrstuvwxyzABCDEFGHIJKLMNOPQRSTUVWXYZ.")))))</f>
        <v>0</v>
      </c>
      <c r="AO430">
        <f>IF(Metadata!C430="",FALSE,TRUE)</f>
        <v>0</v>
      </c>
      <c r="AP430">
        <f>IF(Metadata!D430="",FALSE,TRUE)</f>
        <v>0</v>
      </c>
      <c r="AQ430">
        <f>OR(AND(IF(Metadata!E430="",FALSE,TRUE),OR(exact(Metadata!E430,"not collected"),exact(Metadata!E430,"not provided"),exact(Metadata!E430,"restricted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R430">
        <f>IF(Metadata!F430="",FALSE,TRUE)</f>
        <v>0</v>
      </c>
      <c r="AS430">
        <f>OR(AND(IF(Metadata!G430="",FALSE,TRUE),OR(exact(Metadata!G430,"not collected"),exact(Metadata!G430,"not provided"))),AND(IF(Metadata!G430="",FALSE,TRUE),OR(exact(Metadata!G430,"TRUE"),exact(Metadata!G430,"FALSE"))))</f>
        <v>0</v>
      </c>
      <c r="AT430">
        <f>OR(AND(IF(Metadata!H430="",FALSE,TRUE),OR(exact(Metadata!H430,"not collected"),exact(Metadata!H430,"not provided"),exact(Metadata!H430,"restricted access"))),AND(IF(Metadata!H430="",FALSE,ISNUMBER(VALUE(Metadata!H430))),Metadata!H430&gt;=-413.0))</f>
        <v>0</v>
      </c>
      <c r="AU430">
        <f>AND(IF(Metadata!I430="",FALSE,TRUE),exact(Metadata!I430,"meters"))</f>
        <v>0</v>
      </c>
      <c r="AV430">
        <f>AND(IF(Metadata!J430="",FALSE,TRUE),OR(exact(Metadata!J430,"Host-associated"),exact(Metadata!J430,"Free-living")))</f>
        <v>0</v>
      </c>
      <c r="AW430">
        <f>AND(IF(Metadata!K430="",FALSE,TRUE),OR(exact(Metadata!K430,"Animal"),exact(Metadata!K430,"Fungus"),exact(Metadata!K430,"Plant"),exact(Metadata!K430,"Saline"),exact(Metadata!K430,"Non-saline")))</f>
        <v>0</v>
      </c>
      <c r="AX430">
        <f>AND(IF(Metadata!L430="",FALSE,TRUE),OR(exact(Metadata!L430,"Plant secretion"),exact(Metadata!L430,"Plant rhizosphere"),exact(Metadata!L430,"Plant surface"),exact(Metadata!L430,"Plant corpus"),exact(Metadata!L430,"Fungus surface"),exact(Metadata!L430,"Fungus corpus"),exact(Metadata!L430,"Animal surface"),exact(Metadata!L430,"Animal proximal gut"),exact(Metadata!L430,"Animal corpus"),exact(Metadata!L430,"Animal distal gut"),exact(Metadata!L430,"Animal secretion"),exact(Metadata!L430,"Sub-surface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Y430">
        <f>IF(Metadata!M430="",FALSE,TRUE)</f>
        <v>0</v>
      </c>
      <c r="AZ430">
        <f>IF(Metadata!N430="",FALSE,TRUE)</f>
        <v>0</v>
      </c>
      <c r="BA430">
        <f>IF(Metadata!O430="",FALSE,TRUE)</f>
        <v>0</v>
      </c>
      <c r="BB430">
        <f>OR(AND(IF(Metadata!P430="",FALSE,TRUE),OR(exact(Metadata!P430,"not collected"),exact(Metadata!P430,"not provided"),exact(Metadata!P430,"restricted access"))),AND(IF(Metadata!P430="",FALSE,TRUE),OR(exact(Metadata!P430,"air"),exact(Metadata!P430,"built environment"),exact(Metadata!P430,"host-associated"),exact(Metadata!P430,"human-associated"),exact(Metadata!P430,"human-skin"),exact(Metadata!P430,"human-oral"),exact(Metadata!P430,"human-gut"),exact(Metadata!P430,"human-vaginal"),exact(Metadata!P430,"microbial mat/biofilm"),exact(Metadata!P430,"misc environment"),exact(Metadata!P430,"plant-associated"),exact(Metadata!P430,"sediment"),exact(Metadata!P430,"soil"),exact(Metadata!P430,"wastewater/sludge"),exact(Metadata!P430,"water"))))</f>
        <v>0</v>
      </c>
      <c r="BC430">
        <f>IF(Metadata!Q430="",FALSE,TRUE)</f>
        <v>0</v>
      </c>
      <c r="BD430">
        <f>IF(Metadata!R430="",FALSE,TRUE)</f>
        <v>0</v>
      </c>
      <c r="BE430">
        <f>OR(AND(IF(Metadata!S430="",FALSE,TRUE),OR(exact(Metadata!S430,"not collected"),exact(Metadata!S430,"not provided"),exact(Metadata!S430,"restricted access"))),AND(IF(Metadata!S430="",FALSE,ISNUMBER(VALUE(Metadata!S430))),Metadata!S430&gt;=-90.00,Metadata!S430&lt;=90.00))</f>
        <v>0</v>
      </c>
      <c r="BF430">
        <f>AND(IF(Metadata!T430="",FALSE,TRUE),exact(Metadata!T430,"Decimal degrees"))</f>
        <v>0</v>
      </c>
      <c r="BG430">
        <f>OR(AND(IF(Metadata!U430="",FALSE,TRUE),OR(exact(Metadata!U430,"not collected"),exact(Metadata!U430,"not provided"),exact(Metadata!U430,"restricted access"))),AND(IF(Metadata!U430="",FALSE,ISNUMBER(VALUE(Metadata!U430))),Metadata!U430&gt;=-180.00,Metadata!U430&lt;=180.00))</f>
        <v>0</v>
      </c>
      <c r="BH430">
        <f>AND(IF(Metadata!V430="",FALSE,TRUE),exact(Metadata!V430,"Decimal degrees"))</f>
        <v>0</v>
      </c>
      <c r="BI430">
        <f>IF(Metadata!W430="",FALSE,TRUE)</f>
        <v>0</v>
      </c>
      <c r="BJ430">
        <f>OR(AND(IF(Metadata!X430="",FALSE,TRUE),OR(exact(Metadata!X430,"not collected"),exact(Metadata!X430,"not provided"),exact(Metadata!X430,"restricted access"))),AND(IF(Metadata!X430="",FALSE,TRUE),OR(exact(Metadata!X430,"TRUE"),exact(Metadata!X430,"FALSE"))))</f>
        <v>0</v>
      </c>
      <c r="BK430">
        <f>AND(IF(Metadata!Y430="",FALSE,TRUE),exact(Metadata!Y430,"other"))</f>
        <v>0</v>
      </c>
      <c r="BL430">
        <f>IF(Metadata!Z430="",FALSE,TRUE)</f>
        <v>0</v>
      </c>
      <c r="BM430">
        <f>OR(AND(IF(Metadata!AA430="",FALSE,TRUE),OR(exact(Metadata!AA430,"not collected"),exact(Metadata!AA430,"not provided"))),AND(IF(Metadata!AA430="",FALSE,IF(ISERROR(INT(Metadata!AA430)),FALSE,INT(Metadata!AA430)=Metadata!AA430)),Metadata!AA430&gt;0))</f>
        <v>0</v>
      </c>
      <c r="BN430">
        <f>AND(IF(Metadata!AB430="",FALSE,TRUE),exact(Metadata!AB430,"Not applicable"))</f>
        <v>0</v>
      </c>
      <c r="BO430">
        <f>IF(Metadata!AC430="",FALSE,TRUE)</f>
        <v>0</v>
      </c>
    </row>
    <row r="431" spans="1:67">
      <c r="A431" s="5">
        <f>IF(B431=" "," ",HYPERLINK(CONCATENATE("#metadata!",ADDRESS(INDEX($AI$2:$AI$1001,MATCH(ROWS($AG$2:AG431),$AG$2:$AG$1001,0),0),1)),INDEX($AL$2:$AL$1001,MATCH(ROWS($AG$2:AG431),$AG$2:$AG$1001,0),0)))</f>
        <v>0</v>
      </c>
      <c r="B431" s="4">
        <f>IF(OR(INDEX($AH$2:$AH$1001,MATCH(ROWS($AG$2:AG431),$AG$2:$AG$1001,0),1)&gt;=100000,INDEX($AN$1005:$BO$1005,1,MATCH(COLUMNS($AN$1006:AN1006),$AN$1006:$BO$1006,0))&gt;=100000), " ",IF(INDEX($AN$2:$BO$1001,MATCH(ROWS($AG$2:AG431),$AG$2:$AG$1001,0),MATCH(COLUMNS($AN$1006:AN1006),$AN$1006:$BO$1006,0)), HYPERLINK("#",""), HYPERLINK(CONCATENATE("#Metadata!", ADDRESS(INDEX($AI$2:$AI$1001,MATCH(ROWS($AG$2:AG431),$AG$2:$AG$1001,0),0), INDEX($AN$1004:$BO$1004,1,MATCH(COLUMNS($AN$1006:AN1006),$AN$1006:$BO$1006,0)))),"Fix")))</f>
        <v>0</v>
      </c>
      <c r="C431" s="4">
        <f>IF(OR(INDEX($AH$2:$AH$1001,MATCH(ROWS($AG$2:AG431),$AG$2:$AG$1001,0),1)&gt;=100000,INDEX($AN$1005:$BO$1005,1,MATCH(COLUMNS($AN$1006:AO1006),$AN$1006:$BO$1006,0))&gt;=100000), " ",IF(INDEX($AN$2:$BO$1001,MATCH(ROWS($AG$2:AG431),$AG$2:$AG$1001,0),MATCH(COLUMNS($AN$1006:AO1006),$AN$1006:$BO$1006,0)), HYPERLINK("#",""), HYPERLINK(CONCATENATE("#Metadata!", ADDRESS(INDEX($AI$2:$AI$1001,MATCH(ROWS($AG$2:AG431),$AG$2:$AG$1001,0),0), INDEX($AN$1004:$BO$1004,1,MATCH(COLUMNS($AN$1006:AO1006),$AN$1006:$BO$1006,0)))),"Fix")))</f>
        <v>0</v>
      </c>
      <c r="D431" s="4">
        <f>IF(OR(INDEX($AH$2:$AH$1001,MATCH(ROWS($AG$2:AG431),$AG$2:$AG$1001,0),1)&gt;=100000,INDEX($AN$1005:$BO$1005,1,MATCH(COLUMNS($AN$1006:AP1006),$AN$1006:$BO$1006,0))&gt;=100000), " ",IF(INDEX($AN$2:$BO$1001,MATCH(ROWS($AG$2:AG431),$AG$2:$AG$1001,0),MATCH(COLUMNS($AN$1006:AP1006),$AN$1006:$BO$1006,0)), HYPERLINK("#",""), HYPERLINK(CONCATENATE("#Metadata!", ADDRESS(INDEX($AI$2:$AI$1001,MATCH(ROWS($AG$2:AG431),$AG$2:$AG$1001,0),0), INDEX($AN$1004:$BO$1004,1,MATCH(COLUMNS($AN$1006:AP1006),$AN$1006:$BO$1006,0)))),"Fix")))</f>
        <v>0</v>
      </c>
      <c r="E431" s="4">
        <f>IF(OR(INDEX($AH$2:$AH$1001,MATCH(ROWS($AG$2:AG431),$AG$2:$AG$1001,0),1)&gt;=100000,INDEX($AN$1005:$BO$1005,1,MATCH(COLUMNS($AN$1006:AQ1006),$AN$1006:$BO$1006,0))&gt;=100000), " ",IF(INDEX($AN$2:$BO$1001,MATCH(ROWS($AG$2:AG431),$AG$2:$AG$1001,0),MATCH(COLUMNS($AN$1006:AQ1006),$AN$1006:$BO$1006,0)), HYPERLINK("#",""), HYPERLINK(CONCATENATE("#Metadata!", ADDRESS(INDEX($AI$2:$AI$1001,MATCH(ROWS($AG$2:AG431),$AG$2:$AG$1001,0),0), INDEX($AN$1004:$BO$1004,1,MATCH(COLUMNS($AN$1006:AQ1006),$AN$1006:$BO$1006,0)))),"Fix")))</f>
        <v>0</v>
      </c>
      <c r="F431" s="4">
        <f>IF(OR(INDEX($AH$2:$AH$1001,MATCH(ROWS($AG$2:AG431),$AG$2:$AG$1001,0),1)&gt;=100000,INDEX($AN$1005:$BO$1005,1,MATCH(COLUMNS($AN$1006:AR1006),$AN$1006:$BO$1006,0))&gt;=100000), " ",IF(INDEX($AN$2:$BO$1001,MATCH(ROWS($AG$2:AG431),$AG$2:$AG$1001,0),MATCH(COLUMNS($AN$1006:AR1006),$AN$1006:$BO$1006,0)), HYPERLINK("#",""), HYPERLINK(CONCATENATE("#Metadata!", ADDRESS(INDEX($AI$2:$AI$1001,MATCH(ROWS($AG$2:AG431),$AG$2:$AG$1001,0),0), INDEX($AN$1004:$BO$1004,1,MATCH(COLUMNS($AN$1006:AR1006),$AN$1006:$BO$1006,0)))),"Fix")))</f>
        <v>0</v>
      </c>
      <c r="G431" s="4">
        <f>IF(OR(INDEX($AH$2:$AH$1001,MATCH(ROWS($AG$2:AG431),$AG$2:$AG$1001,0),1)&gt;=100000,INDEX($AN$1005:$BO$1005,1,MATCH(COLUMNS($AN$1006:AS1006),$AN$1006:$BO$1006,0))&gt;=100000), " ",IF(INDEX($AN$2:$BO$1001,MATCH(ROWS($AG$2:AG431),$AG$2:$AG$1001,0),MATCH(COLUMNS($AN$1006:AS1006),$AN$1006:$BO$1006,0)), HYPERLINK("#",""), HYPERLINK(CONCATENATE("#Metadata!", ADDRESS(INDEX($AI$2:$AI$1001,MATCH(ROWS($AG$2:AG431),$AG$2:$AG$1001,0),0), INDEX($AN$1004:$BO$1004,1,MATCH(COLUMNS($AN$1006:AS1006),$AN$1006:$BO$1006,0)))),"Fix")))</f>
        <v>0</v>
      </c>
      <c r="H431" s="4">
        <f>IF(OR(INDEX($AH$2:$AH$1001,MATCH(ROWS($AG$2:AG431),$AG$2:$AG$1001,0),1)&gt;=100000,INDEX($AN$1005:$BO$1005,1,MATCH(COLUMNS($AN$1006:AT1006),$AN$1006:$BO$1006,0))&gt;=100000), " ",IF(INDEX($AN$2:$BO$1001,MATCH(ROWS($AG$2:AG431),$AG$2:$AG$1001,0),MATCH(COLUMNS($AN$1006:AT1006),$AN$1006:$BO$1006,0)), HYPERLINK("#",""), HYPERLINK(CONCATENATE("#Metadata!", ADDRESS(INDEX($AI$2:$AI$1001,MATCH(ROWS($AG$2:AG431),$AG$2:$AG$1001,0),0), INDEX($AN$1004:$BO$1004,1,MATCH(COLUMNS($AN$1006:AT1006),$AN$1006:$BO$1006,0)))),"Fix")))</f>
        <v>0</v>
      </c>
      <c r="I431" s="4">
        <f>IF(OR(INDEX($AH$2:$AH$1001,MATCH(ROWS($AG$2:AG431),$AG$2:$AG$1001,0),1)&gt;=100000,INDEX($AN$1005:$BO$1005,1,MATCH(COLUMNS($AN$1006:AU1006),$AN$1006:$BO$1006,0))&gt;=100000), " ",IF(INDEX($AN$2:$BO$1001,MATCH(ROWS($AG$2:AG431),$AG$2:$AG$1001,0),MATCH(COLUMNS($AN$1006:AU1006),$AN$1006:$BO$1006,0)), HYPERLINK("#",""), HYPERLINK(CONCATENATE("#Metadata!", ADDRESS(INDEX($AI$2:$AI$1001,MATCH(ROWS($AG$2:AG431),$AG$2:$AG$1001,0),0), INDEX($AN$1004:$BO$1004,1,MATCH(COLUMNS($AN$1006:AU1006),$AN$1006:$BO$1006,0)))),"Fix")))</f>
        <v>0</v>
      </c>
      <c r="J431" s="4">
        <f>IF(OR(INDEX($AH$2:$AH$1001,MATCH(ROWS($AG$2:AG431),$AG$2:$AG$1001,0),1)&gt;=100000,INDEX($AN$1005:$BO$1005,1,MATCH(COLUMNS($AN$1006:AV1006),$AN$1006:$BO$1006,0))&gt;=100000), " ",IF(INDEX($AN$2:$BO$1001,MATCH(ROWS($AG$2:AG431),$AG$2:$AG$1001,0),MATCH(COLUMNS($AN$1006:AV1006),$AN$1006:$BO$1006,0)), HYPERLINK("#",""), HYPERLINK(CONCATENATE("#Metadata!", ADDRESS(INDEX($AI$2:$AI$1001,MATCH(ROWS($AG$2:AG431),$AG$2:$AG$1001,0),0), INDEX($AN$1004:$BO$1004,1,MATCH(COLUMNS($AN$1006:AV1006),$AN$1006:$BO$1006,0)))),"Fix")))</f>
        <v>0</v>
      </c>
      <c r="K431" s="4">
        <f>IF(OR(INDEX($AH$2:$AH$1001,MATCH(ROWS($AG$2:AG431),$AG$2:$AG$1001,0),1)&gt;=100000,INDEX($AN$1005:$BO$1005,1,MATCH(COLUMNS($AN$1006:AW1006),$AN$1006:$BO$1006,0))&gt;=100000), " ",IF(INDEX($AN$2:$BO$1001,MATCH(ROWS($AG$2:AG431),$AG$2:$AG$1001,0),MATCH(COLUMNS($AN$1006:AW1006),$AN$1006:$BO$1006,0)), HYPERLINK("#",""), HYPERLINK(CONCATENATE("#Metadata!", ADDRESS(INDEX($AI$2:$AI$1001,MATCH(ROWS($AG$2:AG431),$AG$2:$AG$1001,0),0), INDEX($AN$1004:$BO$1004,1,MATCH(COLUMNS($AN$1006:AW1006),$AN$1006:$BO$1006,0)))),"Fix")))</f>
        <v>0</v>
      </c>
      <c r="L431" s="4">
        <f>IF(OR(INDEX($AH$2:$AH$1001,MATCH(ROWS($AG$2:AG431),$AG$2:$AG$1001,0),1)&gt;=100000,INDEX($AN$1005:$BO$1005,1,MATCH(COLUMNS($AN$1006:AX1006),$AN$1006:$BO$1006,0))&gt;=100000), " ",IF(INDEX($AN$2:$BO$1001,MATCH(ROWS($AG$2:AG431),$AG$2:$AG$1001,0),MATCH(COLUMNS($AN$1006:AX1006),$AN$1006:$BO$1006,0)), HYPERLINK("#",""), HYPERLINK(CONCATENATE("#Metadata!", ADDRESS(INDEX($AI$2:$AI$1001,MATCH(ROWS($AG$2:AG431),$AG$2:$AG$1001,0),0), INDEX($AN$1004:$BO$1004,1,MATCH(COLUMNS($AN$1006:AX1006),$AN$1006:$BO$1006,0)))),"Fix")))</f>
        <v>0</v>
      </c>
      <c r="M431" s="4">
        <f>IF(OR(INDEX($AH$2:$AH$1001,MATCH(ROWS($AG$2:AG431),$AG$2:$AG$1001,0),1)&gt;=100000,INDEX($AN$1005:$BO$1005,1,MATCH(COLUMNS($AN$1006:AY1006),$AN$1006:$BO$1006,0))&gt;=100000), " ",IF(INDEX($AN$2:$BO$1001,MATCH(ROWS($AG$2:AG431),$AG$2:$AG$1001,0),MATCH(COLUMNS($AN$1006:AY1006),$AN$1006:$BO$1006,0)), HYPERLINK("#",""), HYPERLINK(CONCATENATE("#Metadata!", ADDRESS(INDEX($AI$2:$AI$1001,MATCH(ROWS($AG$2:AG431),$AG$2:$AG$1001,0),0), INDEX($AN$1004:$BO$1004,1,MATCH(COLUMNS($AN$1006:AY1006),$AN$1006:$BO$1006,0)))),"Fix")))</f>
        <v>0</v>
      </c>
      <c r="N431" s="4">
        <f>IF(OR(INDEX($AH$2:$AH$1001,MATCH(ROWS($AG$2:AG431),$AG$2:$AG$1001,0),1)&gt;=100000,INDEX($AN$1005:$BO$1005,1,MATCH(COLUMNS($AN$1006:AZ1006),$AN$1006:$BO$1006,0))&gt;=100000), " ",IF(INDEX($AN$2:$BO$1001,MATCH(ROWS($AG$2:AG431),$AG$2:$AG$1001,0),MATCH(COLUMNS($AN$1006:AZ1006),$AN$1006:$BO$1006,0)), HYPERLINK("#",""), HYPERLINK(CONCATENATE("#Metadata!", ADDRESS(INDEX($AI$2:$AI$1001,MATCH(ROWS($AG$2:AG431),$AG$2:$AG$1001,0),0), INDEX($AN$1004:$BO$1004,1,MATCH(COLUMNS($AN$1006:AZ1006),$AN$1006:$BO$1006,0)))),"Fix")))</f>
        <v>0</v>
      </c>
      <c r="O431" s="4">
        <f>IF(OR(INDEX($AH$2:$AH$1001,MATCH(ROWS($AG$2:AG431),$AG$2:$AG$1001,0),1)&gt;=100000,INDEX($AN$1005:$BO$1005,1,MATCH(COLUMNS($AN$1006:BA1006),$AN$1006:$BO$1006,0))&gt;=100000), " ",IF(INDEX($AN$2:$BO$1001,MATCH(ROWS($AG$2:AG431),$AG$2:$AG$1001,0),MATCH(COLUMNS($AN$1006:BA1006),$AN$1006:$BO$1006,0)), HYPERLINK("#",""), HYPERLINK(CONCATENATE("#Metadata!", ADDRESS(INDEX($AI$2:$AI$1001,MATCH(ROWS($AG$2:AG431),$AG$2:$AG$1001,0),0), INDEX($AN$1004:$BO$1004,1,MATCH(COLUMNS($AN$1006:BA1006),$AN$1006:$BO$1006,0)))),"Fix")))</f>
        <v>0</v>
      </c>
      <c r="P431" s="4">
        <f>IF(OR(INDEX($AH$2:$AH$1001,MATCH(ROWS($AG$2:AG431),$AG$2:$AG$1001,0),1)&gt;=100000,INDEX($AN$1005:$BO$1005,1,MATCH(COLUMNS($AN$1006:BB1006),$AN$1006:$BO$1006,0))&gt;=100000), " ",IF(INDEX($AN$2:$BO$1001,MATCH(ROWS($AG$2:AG431),$AG$2:$AG$1001,0),MATCH(COLUMNS($AN$1006:BB1006),$AN$1006:$BO$1006,0)), HYPERLINK("#",""), HYPERLINK(CONCATENATE("#Metadata!", ADDRESS(INDEX($AI$2:$AI$1001,MATCH(ROWS($AG$2:AG431),$AG$2:$AG$1001,0),0), INDEX($AN$1004:$BO$1004,1,MATCH(COLUMNS($AN$1006:BB1006),$AN$1006:$BO$1006,0)))),"Fix")))</f>
        <v>0</v>
      </c>
      <c r="Q431" s="4">
        <f>IF(OR(INDEX($AH$2:$AH$1001,MATCH(ROWS($AG$2:AG431),$AG$2:$AG$1001,0),1)&gt;=100000,INDEX($AN$1005:$BO$1005,1,MATCH(COLUMNS($AN$1006:BC1006),$AN$1006:$BO$1006,0))&gt;=100000), " ",IF(INDEX($AN$2:$BO$1001,MATCH(ROWS($AG$2:AG431),$AG$2:$AG$1001,0),MATCH(COLUMNS($AN$1006:BC1006),$AN$1006:$BO$1006,0)), HYPERLINK("#",""), HYPERLINK(CONCATENATE("#Metadata!", ADDRESS(INDEX($AI$2:$AI$1001,MATCH(ROWS($AG$2:AG431),$AG$2:$AG$1001,0),0), INDEX($AN$1004:$BO$1004,1,MATCH(COLUMNS($AN$1006:BC1006),$AN$1006:$BO$1006,0)))),"Fix")))</f>
        <v>0</v>
      </c>
      <c r="R431" s="4">
        <f>IF(OR(INDEX($AH$2:$AH$1001,MATCH(ROWS($AG$2:AG431),$AG$2:$AG$1001,0),1)&gt;=100000,INDEX($AN$1005:$BO$1005,1,MATCH(COLUMNS($AN$1006:BD1006),$AN$1006:$BO$1006,0))&gt;=100000), " ",IF(INDEX($AN$2:$BO$1001,MATCH(ROWS($AG$2:AG431),$AG$2:$AG$1001,0),MATCH(COLUMNS($AN$1006:BD1006),$AN$1006:$BO$1006,0)), HYPERLINK("#",""), HYPERLINK(CONCATENATE("#Metadata!", ADDRESS(INDEX($AI$2:$AI$1001,MATCH(ROWS($AG$2:AG431),$AG$2:$AG$1001,0),0), INDEX($AN$1004:$BO$1004,1,MATCH(COLUMNS($AN$1006:BD1006),$AN$1006:$BO$1006,0)))),"Fix")))</f>
        <v>0</v>
      </c>
      <c r="S431" s="4">
        <f>IF(OR(INDEX($AH$2:$AH$1001,MATCH(ROWS($AG$2:AG431),$AG$2:$AG$1001,0),1)&gt;=100000,INDEX($AN$1005:$BO$1005,1,MATCH(COLUMNS($AN$1006:BE1006),$AN$1006:$BO$1006,0))&gt;=100000), " ",IF(INDEX($AN$2:$BO$1001,MATCH(ROWS($AG$2:AG431),$AG$2:$AG$1001,0),MATCH(COLUMNS($AN$1006:BE1006),$AN$1006:$BO$1006,0)), HYPERLINK("#",""), HYPERLINK(CONCATENATE("#Metadata!", ADDRESS(INDEX($AI$2:$AI$1001,MATCH(ROWS($AG$2:AG431),$AG$2:$AG$1001,0),0), INDEX($AN$1004:$BO$1004,1,MATCH(COLUMNS($AN$1006:BE1006),$AN$1006:$BO$1006,0)))),"Fix")))</f>
        <v>0</v>
      </c>
      <c r="T431" s="4">
        <f>IF(OR(INDEX($AH$2:$AH$1001,MATCH(ROWS($AG$2:AG431),$AG$2:$AG$1001,0),1)&gt;=100000,INDEX($AN$1005:$BO$1005,1,MATCH(COLUMNS($AN$1006:BF1006),$AN$1006:$BO$1006,0))&gt;=100000), " ",IF(INDEX($AN$2:$BO$1001,MATCH(ROWS($AG$2:AG431),$AG$2:$AG$1001,0),MATCH(COLUMNS($AN$1006:BF1006),$AN$1006:$BO$1006,0)), HYPERLINK("#",""), HYPERLINK(CONCATENATE("#Metadata!", ADDRESS(INDEX($AI$2:$AI$1001,MATCH(ROWS($AG$2:AG431),$AG$2:$AG$1001,0),0), INDEX($AN$1004:$BO$1004,1,MATCH(COLUMNS($AN$1006:BF1006),$AN$1006:$BO$1006,0)))),"Fix")))</f>
        <v>0</v>
      </c>
      <c r="U431" s="4">
        <f>IF(OR(INDEX($AH$2:$AH$1001,MATCH(ROWS($AG$2:AG431),$AG$2:$AG$1001,0),1)&gt;=100000,INDEX($AN$1005:$BO$1005,1,MATCH(COLUMNS($AN$1006:BG1006),$AN$1006:$BO$1006,0))&gt;=100000), " ",IF(INDEX($AN$2:$BO$1001,MATCH(ROWS($AG$2:AG431),$AG$2:$AG$1001,0),MATCH(COLUMNS($AN$1006:BG1006),$AN$1006:$BO$1006,0)), HYPERLINK("#",""), HYPERLINK(CONCATENATE("#Metadata!", ADDRESS(INDEX($AI$2:$AI$1001,MATCH(ROWS($AG$2:AG431),$AG$2:$AG$1001,0),0), INDEX($AN$1004:$BO$1004,1,MATCH(COLUMNS($AN$1006:BG1006),$AN$1006:$BO$1006,0)))),"Fix")))</f>
        <v>0</v>
      </c>
      <c r="V431" s="4">
        <f>IF(OR(INDEX($AH$2:$AH$1001,MATCH(ROWS($AG$2:AG431),$AG$2:$AG$1001,0),1)&gt;=100000,INDEX($AN$1005:$BO$1005,1,MATCH(COLUMNS($AN$1006:BH1006),$AN$1006:$BO$1006,0))&gt;=100000), " ",IF(INDEX($AN$2:$BO$1001,MATCH(ROWS($AG$2:AG431),$AG$2:$AG$1001,0),MATCH(COLUMNS($AN$1006:BH1006),$AN$1006:$BO$1006,0)), HYPERLINK("#",""), HYPERLINK(CONCATENATE("#Metadata!", ADDRESS(INDEX($AI$2:$AI$1001,MATCH(ROWS($AG$2:AG431),$AG$2:$AG$1001,0),0), INDEX($AN$1004:$BO$1004,1,MATCH(COLUMNS($AN$1006:BH1006),$AN$1006:$BO$1006,0)))),"Fix")))</f>
        <v>0</v>
      </c>
      <c r="W431" s="4">
        <f>IF(OR(INDEX($AH$2:$AH$1001,MATCH(ROWS($AG$2:AG431),$AG$2:$AG$1001,0),1)&gt;=100000,INDEX($AN$1005:$BO$1005,1,MATCH(COLUMNS($AN$1006:BI1006),$AN$1006:$BO$1006,0))&gt;=100000), " ",IF(INDEX($AN$2:$BO$1001,MATCH(ROWS($AG$2:AG431),$AG$2:$AG$1001,0),MATCH(COLUMNS($AN$1006:BI1006),$AN$1006:$BO$1006,0)), HYPERLINK("#",""), HYPERLINK(CONCATENATE("#Metadata!", ADDRESS(INDEX($AI$2:$AI$1001,MATCH(ROWS($AG$2:AG431),$AG$2:$AG$1001,0),0), INDEX($AN$1004:$BO$1004,1,MATCH(COLUMNS($AN$1006:BI1006),$AN$1006:$BO$1006,0)))),"Fix")))</f>
        <v>0</v>
      </c>
      <c r="X431" s="4">
        <f>IF(OR(INDEX($AH$2:$AH$1001,MATCH(ROWS($AG$2:AG431),$AG$2:$AG$1001,0),1)&gt;=100000,INDEX($AN$1005:$BO$1005,1,MATCH(COLUMNS($AN$1006:BJ1006),$AN$1006:$BO$1006,0))&gt;=100000), " ",IF(INDEX($AN$2:$BO$1001,MATCH(ROWS($AG$2:AG431),$AG$2:$AG$1001,0),MATCH(COLUMNS($AN$1006:BJ1006),$AN$1006:$BO$1006,0)), HYPERLINK("#",""), HYPERLINK(CONCATENATE("#Metadata!", ADDRESS(INDEX($AI$2:$AI$1001,MATCH(ROWS($AG$2:AG431),$AG$2:$AG$1001,0),0), INDEX($AN$1004:$BO$1004,1,MATCH(COLUMNS($AN$1006:BJ1006),$AN$1006:$BO$1006,0)))),"Fix")))</f>
        <v>0</v>
      </c>
      <c r="Y431" s="4">
        <f>IF(OR(INDEX($AH$2:$AH$1001,MATCH(ROWS($AG$2:AG431),$AG$2:$AG$1001,0),1)&gt;=100000,INDEX($AN$1005:$BO$1005,1,MATCH(COLUMNS($AN$1006:BK1006),$AN$1006:$BO$1006,0))&gt;=100000), " ",IF(INDEX($AN$2:$BO$1001,MATCH(ROWS($AG$2:AG431),$AG$2:$AG$1001,0),MATCH(COLUMNS($AN$1006:BK1006),$AN$1006:$BO$1006,0)), HYPERLINK("#",""), HYPERLINK(CONCATENATE("#Metadata!", ADDRESS(INDEX($AI$2:$AI$1001,MATCH(ROWS($AG$2:AG431),$AG$2:$AG$1001,0),0), INDEX($AN$1004:$BO$1004,1,MATCH(COLUMNS($AN$1006:BK1006),$AN$1006:$BO$1006,0)))),"Fix")))</f>
        <v>0</v>
      </c>
      <c r="Z431" s="4">
        <f>IF(OR(INDEX($AH$2:$AH$1001,MATCH(ROWS($AG$2:AG431),$AG$2:$AG$1001,0),1)&gt;=100000,INDEX($AN$1005:$BO$1005,1,MATCH(COLUMNS($AN$1006:BL1006),$AN$1006:$BO$1006,0))&gt;=100000), " ",IF(INDEX($AN$2:$BO$1001,MATCH(ROWS($AG$2:AG431),$AG$2:$AG$1001,0),MATCH(COLUMNS($AN$1006:BL1006),$AN$1006:$BO$1006,0)), HYPERLINK("#",""), HYPERLINK(CONCATENATE("#Metadata!", ADDRESS(INDEX($AI$2:$AI$1001,MATCH(ROWS($AG$2:AG431),$AG$2:$AG$1001,0),0), INDEX($AN$1004:$BO$1004,1,MATCH(COLUMNS($AN$1006:BL1006),$AN$1006:$BO$1006,0)))),"Fix")))</f>
        <v>0</v>
      </c>
      <c r="AA431" s="4">
        <f>IF(OR(INDEX($AH$2:$AH$1001,MATCH(ROWS($AG$2:AG431),$AG$2:$AG$1001,0),1)&gt;=100000,INDEX($AN$1005:$BO$1005,1,MATCH(COLUMNS($AN$1006:BM1006),$AN$1006:$BO$1006,0))&gt;=100000), " ",IF(INDEX($AN$2:$BO$1001,MATCH(ROWS($AG$2:AG431),$AG$2:$AG$1001,0),MATCH(COLUMNS($AN$1006:BM1006),$AN$1006:$BO$1006,0)), HYPERLINK("#",""), HYPERLINK(CONCATENATE("#Metadata!", ADDRESS(INDEX($AI$2:$AI$1001,MATCH(ROWS($AG$2:AG431),$AG$2:$AG$1001,0),0), INDEX($AN$1004:$BO$1004,1,MATCH(COLUMNS($AN$1006:BM1006),$AN$1006:$BO$1006,0)))),"Fix")))</f>
        <v>0</v>
      </c>
      <c r="AB431" s="4">
        <f>IF(OR(INDEX($AH$2:$AH$1001,MATCH(ROWS($AG$2:AG431),$AG$2:$AG$1001,0),1)&gt;=100000,INDEX($AN$1005:$BO$1005,1,MATCH(COLUMNS($AN$1006:BN1006),$AN$1006:$BO$1006,0))&gt;=100000), " ",IF(INDEX($AN$2:$BO$1001,MATCH(ROWS($AG$2:AG431),$AG$2:$AG$1001,0),MATCH(COLUMNS($AN$1006:BN1006),$AN$1006:$BO$1006,0)), HYPERLINK("#",""), HYPERLINK(CONCATENATE("#Metadata!", ADDRESS(INDEX($AI$2:$AI$1001,MATCH(ROWS($AG$2:AG431),$AG$2:$AG$1001,0),0), INDEX($AN$1004:$BO$1004,1,MATCH(COLUMNS($AN$1006:BN1006),$AN$1006:$BO$1006,0)))),"Fix")))</f>
        <v>0</v>
      </c>
      <c r="AC431" s="4">
        <f>IF(OR(INDEX($AH$2:$AH$1001,MATCH(ROWS($AG$2:AG431),$AG$2:$AG$1001,0),1)&gt;=100000,INDEX($AN$1005:$BO$1005,1,MATCH(COLUMNS($AN$1006:BO1006),$AN$1006:$BO$1006,0))&gt;=100000), " ",IF(INDEX($AN$2:$BO$1001,MATCH(ROWS($AG$2:AG431),$AG$2:$AG$1001,0),MATCH(COLUMNS($AN$1006:BO1006),$AN$1006:$BO$1006,0)), HYPERLINK("#",""), HYPERLINK(CONCATENATE("#Metadata!", ADDRESS(INDEX($AI$2:$AI$1001,MATCH(ROWS($AG$2:AG431),$AG$2:$AG$1001,0),0), INDEX($AN$1004:$BO$1004,1,MATCH(COLUMNS($AN$1006:BO1006),$AN$1006:$BO$1006,0)))),"Fix")))</f>
        <v>0</v>
      </c>
      <c r="AG431">
        <v>0</v>
      </c>
      <c r="AH431">
        <v>0</v>
      </c>
      <c r="AI431">
        <v>0</v>
      </c>
      <c r="AJ431">
        <f>IF(AK431,TRUE,AND(AN431:BO431))</f>
        <v>0</v>
      </c>
      <c r="AK431">
        <f>COUNTBLANK(Metadata!B431:AC431)=COLUMNS(Metadata!B431:AC431)</f>
        <v>0</v>
      </c>
      <c r="AL431">
        <v>0</v>
      </c>
      <c r="AN431">
        <f>AND(IF(Metadata!B431="",FALSE,TRUE),COUNTIF(Metadata!B:B, Metadata!B431) = 1,NOT(ISERROR(SUMPRODUCT(SEARCH(MID(Metadata!B431,ROW(INDIRECT("1:"&amp;LEN(Metadata!B431))), 1),"0123456789abcdefghijklmnopqrstuvwxyzABCDEFGHIJKLMNOPQRSTUVWXYZ.")))))</f>
        <v>0</v>
      </c>
      <c r="AO431">
        <f>IF(Metadata!C431="",FALSE,TRUE)</f>
        <v>0</v>
      </c>
      <c r="AP431">
        <f>IF(Metadata!D431="",FALSE,TRUE)</f>
        <v>0</v>
      </c>
      <c r="AQ431">
        <f>OR(AND(IF(Metadata!E431="",FALSE,TRUE),OR(exact(Metadata!E431,"not collected"),exact(Metadata!E431,"not provided"),exact(Metadata!E431,"restricted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R431">
        <f>IF(Metadata!F431="",FALSE,TRUE)</f>
        <v>0</v>
      </c>
      <c r="AS431">
        <f>OR(AND(IF(Metadata!G431="",FALSE,TRUE),OR(exact(Metadata!G431,"not collected"),exact(Metadata!G431,"not provided"))),AND(IF(Metadata!G431="",FALSE,TRUE),OR(exact(Metadata!G431,"TRUE"),exact(Metadata!G431,"FALSE"))))</f>
        <v>0</v>
      </c>
      <c r="AT431">
        <f>OR(AND(IF(Metadata!H431="",FALSE,TRUE),OR(exact(Metadata!H431,"not collected"),exact(Metadata!H431,"not provided"),exact(Metadata!H431,"restricted access"))),AND(IF(Metadata!H431="",FALSE,ISNUMBER(VALUE(Metadata!H431))),Metadata!H431&gt;=-413.0))</f>
        <v>0</v>
      </c>
      <c r="AU431">
        <f>AND(IF(Metadata!I431="",FALSE,TRUE),exact(Metadata!I431,"meters"))</f>
        <v>0</v>
      </c>
      <c r="AV431">
        <f>AND(IF(Metadata!J431="",FALSE,TRUE),OR(exact(Metadata!J431,"Host-associated"),exact(Metadata!J431,"Free-living")))</f>
        <v>0</v>
      </c>
      <c r="AW431">
        <f>AND(IF(Metadata!K431="",FALSE,TRUE),OR(exact(Metadata!K431,"Animal"),exact(Metadata!K431,"Fungus"),exact(Metadata!K431,"Plant"),exact(Metadata!K431,"Saline"),exact(Metadata!K431,"Non-saline")))</f>
        <v>0</v>
      </c>
      <c r="AX431">
        <f>AND(IF(Metadata!L431="",FALSE,TRUE),OR(exact(Metadata!L431,"Plant secretion"),exact(Metadata!L431,"Plant rhizosphere"),exact(Metadata!L431,"Plant surface"),exact(Metadata!L431,"Plant corpus"),exact(Metadata!L431,"Fungus surface"),exact(Metadata!L431,"Fungus corpus"),exact(Metadata!L431,"Animal surface"),exact(Metadata!L431,"Animal proximal gut"),exact(Metadata!L431,"Animal corpus"),exact(Metadata!L431,"Animal distal gut"),exact(Metadata!L431,"Animal secretion"),exact(Metadata!L431,"Sub-surface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Y431">
        <f>IF(Metadata!M431="",FALSE,TRUE)</f>
        <v>0</v>
      </c>
      <c r="AZ431">
        <f>IF(Metadata!N431="",FALSE,TRUE)</f>
        <v>0</v>
      </c>
      <c r="BA431">
        <f>IF(Metadata!O431="",FALSE,TRUE)</f>
        <v>0</v>
      </c>
      <c r="BB431">
        <f>OR(AND(IF(Metadata!P431="",FALSE,TRUE),OR(exact(Metadata!P431,"not collected"),exact(Metadata!P431,"not provided"),exact(Metadata!P431,"restricted access"))),AND(IF(Metadata!P431="",FALSE,TRUE),OR(exact(Metadata!P431,"air"),exact(Metadata!P431,"built environment"),exact(Metadata!P431,"host-associated"),exact(Metadata!P431,"human-associated"),exact(Metadata!P431,"human-skin"),exact(Metadata!P431,"human-oral"),exact(Metadata!P431,"human-gut"),exact(Metadata!P431,"human-vaginal"),exact(Metadata!P431,"microbial mat/biofilm"),exact(Metadata!P431,"misc environment"),exact(Metadata!P431,"plant-associated"),exact(Metadata!P431,"sediment"),exact(Metadata!P431,"soil"),exact(Metadata!P431,"wastewater/sludge"),exact(Metadata!P431,"water"))))</f>
        <v>0</v>
      </c>
      <c r="BC431">
        <f>IF(Metadata!Q431="",FALSE,TRUE)</f>
        <v>0</v>
      </c>
      <c r="BD431">
        <f>IF(Metadata!R431="",FALSE,TRUE)</f>
        <v>0</v>
      </c>
      <c r="BE431">
        <f>OR(AND(IF(Metadata!S431="",FALSE,TRUE),OR(exact(Metadata!S431,"not collected"),exact(Metadata!S431,"not provided"),exact(Metadata!S431,"restricted access"))),AND(IF(Metadata!S431="",FALSE,ISNUMBER(VALUE(Metadata!S431))),Metadata!S431&gt;=-90.00,Metadata!S431&lt;=90.00))</f>
        <v>0</v>
      </c>
      <c r="BF431">
        <f>AND(IF(Metadata!T431="",FALSE,TRUE),exact(Metadata!T431,"Decimal degrees"))</f>
        <v>0</v>
      </c>
      <c r="BG431">
        <f>OR(AND(IF(Metadata!U431="",FALSE,TRUE),OR(exact(Metadata!U431,"not collected"),exact(Metadata!U431,"not provided"),exact(Metadata!U431,"restricted access"))),AND(IF(Metadata!U431="",FALSE,ISNUMBER(VALUE(Metadata!U431))),Metadata!U431&gt;=-180.00,Metadata!U431&lt;=180.00))</f>
        <v>0</v>
      </c>
      <c r="BH431">
        <f>AND(IF(Metadata!V431="",FALSE,TRUE),exact(Metadata!V431,"Decimal degrees"))</f>
        <v>0</v>
      </c>
      <c r="BI431">
        <f>IF(Metadata!W431="",FALSE,TRUE)</f>
        <v>0</v>
      </c>
      <c r="BJ431">
        <f>OR(AND(IF(Metadata!X431="",FALSE,TRUE),OR(exact(Metadata!X431,"not collected"),exact(Metadata!X431,"not provided"),exact(Metadata!X431,"restricted access"))),AND(IF(Metadata!X431="",FALSE,TRUE),OR(exact(Metadata!X431,"TRUE"),exact(Metadata!X431,"FALSE"))))</f>
        <v>0</v>
      </c>
      <c r="BK431">
        <f>AND(IF(Metadata!Y431="",FALSE,TRUE),exact(Metadata!Y431,"other"))</f>
        <v>0</v>
      </c>
      <c r="BL431">
        <f>IF(Metadata!Z431="",FALSE,TRUE)</f>
        <v>0</v>
      </c>
      <c r="BM431">
        <f>OR(AND(IF(Metadata!AA431="",FALSE,TRUE),OR(exact(Metadata!AA431,"not collected"),exact(Metadata!AA431,"not provided"))),AND(IF(Metadata!AA431="",FALSE,IF(ISERROR(INT(Metadata!AA431)),FALSE,INT(Metadata!AA431)=Metadata!AA431)),Metadata!AA431&gt;0))</f>
        <v>0</v>
      </c>
      <c r="BN431">
        <f>AND(IF(Metadata!AB431="",FALSE,TRUE),exact(Metadata!AB431,"Not applicable"))</f>
        <v>0</v>
      </c>
      <c r="BO431">
        <f>IF(Metadata!AC431="",FALSE,TRUE)</f>
        <v>0</v>
      </c>
    </row>
    <row r="432" spans="1:67">
      <c r="A432" s="5">
        <f>IF(B432=" "," ",HYPERLINK(CONCATENATE("#metadata!",ADDRESS(INDEX($AI$2:$AI$1001,MATCH(ROWS($AG$2:AG432),$AG$2:$AG$1001,0),0),1)),INDEX($AL$2:$AL$1001,MATCH(ROWS($AG$2:AG432),$AG$2:$AG$1001,0),0)))</f>
        <v>0</v>
      </c>
      <c r="B432" s="4">
        <f>IF(OR(INDEX($AH$2:$AH$1001,MATCH(ROWS($AG$2:AG432),$AG$2:$AG$1001,0),1)&gt;=100000,INDEX($AN$1005:$BO$1005,1,MATCH(COLUMNS($AN$1006:AN1006),$AN$1006:$BO$1006,0))&gt;=100000), " ",IF(INDEX($AN$2:$BO$1001,MATCH(ROWS($AG$2:AG432),$AG$2:$AG$1001,0),MATCH(COLUMNS($AN$1006:AN1006),$AN$1006:$BO$1006,0)), HYPERLINK("#",""), HYPERLINK(CONCATENATE("#Metadata!", ADDRESS(INDEX($AI$2:$AI$1001,MATCH(ROWS($AG$2:AG432),$AG$2:$AG$1001,0),0), INDEX($AN$1004:$BO$1004,1,MATCH(COLUMNS($AN$1006:AN1006),$AN$1006:$BO$1006,0)))),"Fix")))</f>
        <v>0</v>
      </c>
      <c r="C432" s="4">
        <f>IF(OR(INDEX($AH$2:$AH$1001,MATCH(ROWS($AG$2:AG432),$AG$2:$AG$1001,0),1)&gt;=100000,INDEX($AN$1005:$BO$1005,1,MATCH(COLUMNS($AN$1006:AO1006),$AN$1006:$BO$1006,0))&gt;=100000), " ",IF(INDEX($AN$2:$BO$1001,MATCH(ROWS($AG$2:AG432),$AG$2:$AG$1001,0),MATCH(COLUMNS($AN$1006:AO1006),$AN$1006:$BO$1006,0)), HYPERLINK("#",""), HYPERLINK(CONCATENATE("#Metadata!", ADDRESS(INDEX($AI$2:$AI$1001,MATCH(ROWS($AG$2:AG432),$AG$2:$AG$1001,0),0), INDEX($AN$1004:$BO$1004,1,MATCH(COLUMNS($AN$1006:AO1006),$AN$1006:$BO$1006,0)))),"Fix")))</f>
        <v>0</v>
      </c>
      <c r="D432" s="4">
        <f>IF(OR(INDEX($AH$2:$AH$1001,MATCH(ROWS($AG$2:AG432),$AG$2:$AG$1001,0),1)&gt;=100000,INDEX($AN$1005:$BO$1005,1,MATCH(COLUMNS($AN$1006:AP1006),$AN$1006:$BO$1006,0))&gt;=100000), " ",IF(INDEX($AN$2:$BO$1001,MATCH(ROWS($AG$2:AG432),$AG$2:$AG$1001,0),MATCH(COLUMNS($AN$1006:AP1006),$AN$1006:$BO$1006,0)), HYPERLINK("#",""), HYPERLINK(CONCATENATE("#Metadata!", ADDRESS(INDEX($AI$2:$AI$1001,MATCH(ROWS($AG$2:AG432),$AG$2:$AG$1001,0),0), INDEX($AN$1004:$BO$1004,1,MATCH(COLUMNS($AN$1006:AP1006),$AN$1006:$BO$1006,0)))),"Fix")))</f>
        <v>0</v>
      </c>
      <c r="E432" s="4">
        <f>IF(OR(INDEX($AH$2:$AH$1001,MATCH(ROWS($AG$2:AG432),$AG$2:$AG$1001,0),1)&gt;=100000,INDEX($AN$1005:$BO$1005,1,MATCH(COLUMNS($AN$1006:AQ1006),$AN$1006:$BO$1006,0))&gt;=100000), " ",IF(INDEX($AN$2:$BO$1001,MATCH(ROWS($AG$2:AG432),$AG$2:$AG$1001,0),MATCH(COLUMNS($AN$1006:AQ1006),$AN$1006:$BO$1006,0)), HYPERLINK("#",""), HYPERLINK(CONCATENATE("#Metadata!", ADDRESS(INDEX($AI$2:$AI$1001,MATCH(ROWS($AG$2:AG432),$AG$2:$AG$1001,0),0), INDEX($AN$1004:$BO$1004,1,MATCH(COLUMNS($AN$1006:AQ1006),$AN$1006:$BO$1006,0)))),"Fix")))</f>
        <v>0</v>
      </c>
      <c r="F432" s="4">
        <f>IF(OR(INDEX($AH$2:$AH$1001,MATCH(ROWS($AG$2:AG432),$AG$2:$AG$1001,0),1)&gt;=100000,INDEX($AN$1005:$BO$1005,1,MATCH(COLUMNS($AN$1006:AR1006),$AN$1006:$BO$1006,0))&gt;=100000), " ",IF(INDEX($AN$2:$BO$1001,MATCH(ROWS($AG$2:AG432),$AG$2:$AG$1001,0),MATCH(COLUMNS($AN$1006:AR1006),$AN$1006:$BO$1006,0)), HYPERLINK("#",""), HYPERLINK(CONCATENATE("#Metadata!", ADDRESS(INDEX($AI$2:$AI$1001,MATCH(ROWS($AG$2:AG432),$AG$2:$AG$1001,0),0), INDEX($AN$1004:$BO$1004,1,MATCH(COLUMNS($AN$1006:AR1006),$AN$1006:$BO$1006,0)))),"Fix")))</f>
        <v>0</v>
      </c>
      <c r="G432" s="4">
        <f>IF(OR(INDEX($AH$2:$AH$1001,MATCH(ROWS($AG$2:AG432),$AG$2:$AG$1001,0),1)&gt;=100000,INDEX($AN$1005:$BO$1005,1,MATCH(COLUMNS($AN$1006:AS1006),$AN$1006:$BO$1006,0))&gt;=100000), " ",IF(INDEX($AN$2:$BO$1001,MATCH(ROWS($AG$2:AG432),$AG$2:$AG$1001,0),MATCH(COLUMNS($AN$1006:AS1006),$AN$1006:$BO$1006,0)), HYPERLINK("#",""), HYPERLINK(CONCATENATE("#Metadata!", ADDRESS(INDEX($AI$2:$AI$1001,MATCH(ROWS($AG$2:AG432),$AG$2:$AG$1001,0),0), INDEX($AN$1004:$BO$1004,1,MATCH(COLUMNS($AN$1006:AS1006),$AN$1006:$BO$1006,0)))),"Fix")))</f>
        <v>0</v>
      </c>
      <c r="H432" s="4">
        <f>IF(OR(INDEX($AH$2:$AH$1001,MATCH(ROWS($AG$2:AG432),$AG$2:$AG$1001,0),1)&gt;=100000,INDEX($AN$1005:$BO$1005,1,MATCH(COLUMNS($AN$1006:AT1006),$AN$1006:$BO$1006,0))&gt;=100000), " ",IF(INDEX($AN$2:$BO$1001,MATCH(ROWS($AG$2:AG432),$AG$2:$AG$1001,0),MATCH(COLUMNS($AN$1006:AT1006),$AN$1006:$BO$1006,0)), HYPERLINK("#",""), HYPERLINK(CONCATENATE("#Metadata!", ADDRESS(INDEX($AI$2:$AI$1001,MATCH(ROWS($AG$2:AG432),$AG$2:$AG$1001,0),0), INDEX($AN$1004:$BO$1004,1,MATCH(COLUMNS($AN$1006:AT1006),$AN$1006:$BO$1006,0)))),"Fix")))</f>
        <v>0</v>
      </c>
      <c r="I432" s="4">
        <f>IF(OR(INDEX($AH$2:$AH$1001,MATCH(ROWS($AG$2:AG432),$AG$2:$AG$1001,0),1)&gt;=100000,INDEX($AN$1005:$BO$1005,1,MATCH(COLUMNS($AN$1006:AU1006),$AN$1006:$BO$1006,0))&gt;=100000), " ",IF(INDEX($AN$2:$BO$1001,MATCH(ROWS($AG$2:AG432),$AG$2:$AG$1001,0),MATCH(COLUMNS($AN$1006:AU1006),$AN$1006:$BO$1006,0)), HYPERLINK("#",""), HYPERLINK(CONCATENATE("#Metadata!", ADDRESS(INDEX($AI$2:$AI$1001,MATCH(ROWS($AG$2:AG432),$AG$2:$AG$1001,0),0), INDEX($AN$1004:$BO$1004,1,MATCH(COLUMNS($AN$1006:AU1006),$AN$1006:$BO$1006,0)))),"Fix")))</f>
        <v>0</v>
      </c>
      <c r="J432" s="4">
        <f>IF(OR(INDEX($AH$2:$AH$1001,MATCH(ROWS($AG$2:AG432),$AG$2:$AG$1001,0),1)&gt;=100000,INDEX($AN$1005:$BO$1005,1,MATCH(COLUMNS($AN$1006:AV1006),$AN$1006:$BO$1006,0))&gt;=100000), " ",IF(INDEX($AN$2:$BO$1001,MATCH(ROWS($AG$2:AG432),$AG$2:$AG$1001,0),MATCH(COLUMNS($AN$1006:AV1006),$AN$1006:$BO$1006,0)), HYPERLINK("#",""), HYPERLINK(CONCATENATE("#Metadata!", ADDRESS(INDEX($AI$2:$AI$1001,MATCH(ROWS($AG$2:AG432),$AG$2:$AG$1001,0),0), INDEX($AN$1004:$BO$1004,1,MATCH(COLUMNS($AN$1006:AV1006),$AN$1006:$BO$1006,0)))),"Fix")))</f>
        <v>0</v>
      </c>
      <c r="K432" s="4">
        <f>IF(OR(INDEX($AH$2:$AH$1001,MATCH(ROWS($AG$2:AG432),$AG$2:$AG$1001,0),1)&gt;=100000,INDEX($AN$1005:$BO$1005,1,MATCH(COLUMNS($AN$1006:AW1006),$AN$1006:$BO$1006,0))&gt;=100000), " ",IF(INDEX($AN$2:$BO$1001,MATCH(ROWS($AG$2:AG432),$AG$2:$AG$1001,0),MATCH(COLUMNS($AN$1006:AW1006),$AN$1006:$BO$1006,0)), HYPERLINK("#",""), HYPERLINK(CONCATENATE("#Metadata!", ADDRESS(INDEX($AI$2:$AI$1001,MATCH(ROWS($AG$2:AG432),$AG$2:$AG$1001,0),0), INDEX($AN$1004:$BO$1004,1,MATCH(COLUMNS($AN$1006:AW1006),$AN$1006:$BO$1006,0)))),"Fix")))</f>
        <v>0</v>
      </c>
      <c r="L432" s="4">
        <f>IF(OR(INDEX($AH$2:$AH$1001,MATCH(ROWS($AG$2:AG432),$AG$2:$AG$1001,0),1)&gt;=100000,INDEX($AN$1005:$BO$1005,1,MATCH(COLUMNS($AN$1006:AX1006),$AN$1006:$BO$1006,0))&gt;=100000), " ",IF(INDEX($AN$2:$BO$1001,MATCH(ROWS($AG$2:AG432),$AG$2:$AG$1001,0),MATCH(COLUMNS($AN$1006:AX1006),$AN$1006:$BO$1006,0)), HYPERLINK("#",""), HYPERLINK(CONCATENATE("#Metadata!", ADDRESS(INDEX($AI$2:$AI$1001,MATCH(ROWS($AG$2:AG432),$AG$2:$AG$1001,0),0), INDEX($AN$1004:$BO$1004,1,MATCH(COLUMNS($AN$1006:AX1006),$AN$1006:$BO$1006,0)))),"Fix")))</f>
        <v>0</v>
      </c>
      <c r="M432" s="4">
        <f>IF(OR(INDEX($AH$2:$AH$1001,MATCH(ROWS($AG$2:AG432),$AG$2:$AG$1001,0),1)&gt;=100000,INDEX($AN$1005:$BO$1005,1,MATCH(COLUMNS($AN$1006:AY1006),$AN$1006:$BO$1006,0))&gt;=100000), " ",IF(INDEX($AN$2:$BO$1001,MATCH(ROWS($AG$2:AG432),$AG$2:$AG$1001,0),MATCH(COLUMNS($AN$1006:AY1006),$AN$1006:$BO$1006,0)), HYPERLINK("#",""), HYPERLINK(CONCATENATE("#Metadata!", ADDRESS(INDEX($AI$2:$AI$1001,MATCH(ROWS($AG$2:AG432),$AG$2:$AG$1001,0),0), INDEX($AN$1004:$BO$1004,1,MATCH(COLUMNS($AN$1006:AY1006),$AN$1006:$BO$1006,0)))),"Fix")))</f>
        <v>0</v>
      </c>
      <c r="N432" s="4">
        <f>IF(OR(INDEX($AH$2:$AH$1001,MATCH(ROWS($AG$2:AG432),$AG$2:$AG$1001,0),1)&gt;=100000,INDEX($AN$1005:$BO$1005,1,MATCH(COLUMNS($AN$1006:AZ1006),$AN$1006:$BO$1006,0))&gt;=100000), " ",IF(INDEX($AN$2:$BO$1001,MATCH(ROWS($AG$2:AG432),$AG$2:$AG$1001,0),MATCH(COLUMNS($AN$1006:AZ1006),$AN$1006:$BO$1006,0)), HYPERLINK("#",""), HYPERLINK(CONCATENATE("#Metadata!", ADDRESS(INDEX($AI$2:$AI$1001,MATCH(ROWS($AG$2:AG432),$AG$2:$AG$1001,0),0), INDEX($AN$1004:$BO$1004,1,MATCH(COLUMNS($AN$1006:AZ1006),$AN$1006:$BO$1006,0)))),"Fix")))</f>
        <v>0</v>
      </c>
      <c r="O432" s="4">
        <f>IF(OR(INDEX($AH$2:$AH$1001,MATCH(ROWS($AG$2:AG432),$AG$2:$AG$1001,0),1)&gt;=100000,INDEX($AN$1005:$BO$1005,1,MATCH(COLUMNS($AN$1006:BA1006),$AN$1006:$BO$1006,0))&gt;=100000), " ",IF(INDEX($AN$2:$BO$1001,MATCH(ROWS($AG$2:AG432),$AG$2:$AG$1001,0),MATCH(COLUMNS($AN$1006:BA1006),$AN$1006:$BO$1006,0)), HYPERLINK("#",""), HYPERLINK(CONCATENATE("#Metadata!", ADDRESS(INDEX($AI$2:$AI$1001,MATCH(ROWS($AG$2:AG432),$AG$2:$AG$1001,0),0), INDEX($AN$1004:$BO$1004,1,MATCH(COLUMNS($AN$1006:BA1006),$AN$1006:$BO$1006,0)))),"Fix")))</f>
        <v>0</v>
      </c>
      <c r="P432" s="4">
        <f>IF(OR(INDEX($AH$2:$AH$1001,MATCH(ROWS($AG$2:AG432),$AG$2:$AG$1001,0),1)&gt;=100000,INDEX($AN$1005:$BO$1005,1,MATCH(COLUMNS($AN$1006:BB1006),$AN$1006:$BO$1006,0))&gt;=100000), " ",IF(INDEX($AN$2:$BO$1001,MATCH(ROWS($AG$2:AG432),$AG$2:$AG$1001,0),MATCH(COLUMNS($AN$1006:BB1006),$AN$1006:$BO$1006,0)), HYPERLINK("#",""), HYPERLINK(CONCATENATE("#Metadata!", ADDRESS(INDEX($AI$2:$AI$1001,MATCH(ROWS($AG$2:AG432),$AG$2:$AG$1001,0),0), INDEX($AN$1004:$BO$1004,1,MATCH(COLUMNS($AN$1006:BB1006),$AN$1006:$BO$1006,0)))),"Fix")))</f>
        <v>0</v>
      </c>
      <c r="Q432" s="4">
        <f>IF(OR(INDEX($AH$2:$AH$1001,MATCH(ROWS($AG$2:AG432),$AG$2:$AG$1001,0),1)&gt;=100000,INDEX($AN$1005:$BO$1005,1,MATCH(COLUMNS($AN$1006:BC1006),$AN$1006:$BO$1006,0))&gt;=100000), " ",IF(INDEX($AN$2:$BO$1001,MATCH(ROWS($AG$2:AG432),$AG$2:$AG$1001,0),MATCH(COLUMNS($AN$1006:BC1006),$AN$1006:$BO$1006,0)), HYPERLINK("#",""), HYPERLINK(CONCATENATE("#Metadata!", ADDRESS(INDEX($AI$2:$AI$1001,MATCH(ROWS($AG$2:AG432),$AG$2:$AG$1001,0),0), INDEX($AN$1004:$BO$1004,1,MATCH(COLUMNS($AN$1006:BC1006),$AN$1006:$BO$1006,0)))),"Fix")))</f>
        <v>0</v>
      </c>
      <c r="R432" s="4">
        <f>IF(OR(INDEX($AH$2:$AH$1001,MATCH(ROWS($AG$2:AG432),$AG$2:$AG$1001,0),1)&gt;=100000,INDEX($AN$1005:$BO$1005,1,MATCH(COLUMNS($AN$1006:BD1006),$AN$1006:$BO$1006,0))&gt;=100000), " ",IF(INDEX($AN$2:$BO$1001,MATCH(ROWS($AG$2:AG432),$AG$2:$AG$1001,0),MATCH(COLUMNS($AN$1006:BD1006),$AN$1006:$BO$1006,0)), HYPERLINK("#",""), HYPERLINK(CONCATENATE("#Metadata!", ADDRESS(INDEX($AI$2:$AI$1001,MATCH(ROWS($AG$2:AG432),$AG$2:$AG$1001,0),0), INDEX($AN$1004:$BO$1004,1,MATCH(COLUMNS($AN$1006:BD1006),$AN$1006:$BO$1006,0)))),"Fix")))</f>
        <v>0</v>
      </c>
      <c r="S432" s="4">
        <f>IF(OR(INDEX($AH$2:$AH$1001,MATCH(ROWS($AG$2:AG432),$AG$2:$AG$1001,0),1)&gt;=100000,INDEX($AN$1005:$BO$1005,1,MATCH(COLUMNS($AN$1006:BE1006),$AN$1006:$BO$1006,0))&gt;=100000), " ",IF(INDEX($AN$2:$BO$1001,MATCH(ROWS($AG$2:AG432),$AG$2:$AG$1001,0),MATCH(COLUMNS($AN$1006:BE1006),$AN$1006:$BO$1006,0)), HYPERLINK("#",""), HYPERLINK(CONCATENATE("#Metadata!", ADDRESS(INDEX($AI$2:$AI$1001,MATCH(ROWS($AG$2:AG432),$AG$2:$AG$1001,0),0), INDEX($AN$1004:$BO$1004,1,MATCH(COLUMNS($AN$1006:BE1006),$AN$1006:$BO$1006,0)))),"Fix")))</f>
        <v>0</v>
      </c>
      <c r="T432" s="4">
        <f>IF(OR(INDEX($AH$2:$AH$1001,MATCH(ROWS($AG$2:AG432),$AG$2:$AG$1001,0),1)&gt;=100000,INDEX($AN$1005:$BO$1005,1,MATCH(COLUMNS($AN$1006:BF1006),$AN$1006:$BO$1006,0))&gt;=100000), " ",IF(INDEX($AN$2:$BO$1001,MATCH(ROWS($AG$2:AG432),$AG$2:$AG$1001,0),MATCH(COLUMNS($AN$1006:BF1006),$AN$1006:$BO$1006,0)), HYPERLINK("#",""), HYPERLINK(CONCATENATE("#Metadata!", ADDRESS(INDEX($AI$2:$AI$1001,MATCH(ROWS($AG$2:AG432),$AG$2:$AG$1001,0),0), INDEX($AN$1004:$BO$1004,1,MATCH(COLUMNS($AN$1006:BF1006),$AN$1006:$BO$1006,0)))),"Fix")))</f>
        <v>0</v>
      </c>
      <c r="U432" s="4">
        <f>IF(OR(INDEX($AH$2:$AH$1001,MATCH(ROWS($AG$2:AG432),$AG$2:$AG$1001,0),1)&gt;=100000,INDEX($AN$1005:$BO$1005,1,MATCH(COLUMNS($AN$1006:BG1006),$AN$1006:$BO$1006,0))&gt;=100000), " ",IF(INDEX($AN$2:$BO$1001,MATCH(ROWS($AG$2:AG432),$AG$2:$AG$1001,0),MATCH(COLUMNS($AN$1006:BG1006),$AN$1006:$BO$1006,0)), HYPERLINK("#",""), HYPERLINK(CONCATENATE("#Metadata!", ADDRESS(INDEX($AI$2:$AI$1001,MATCH(ROWS($AG$2:AG432),$AG$2:$AG$1001,0),0), INDEX($AN$1004:$BO$1004,1,MATCH(COLUMNS($AN$1006:BG1006),$AN$1006:$BO$1006,0)))),"Fix")))</f>
        <v>0</v>
      </c>
      <c r="V432" s="4">
        <f>IF(OR(INDEX($AH$2:$AH$1001,MATCH(ROWS($AG$2:AG432),$AG$2:$AG$1001,0),1)&gt;=100000,INDEX($AN$1005:$BO$1005,1,MATCH(COLUMNS($AN$1006:BH1006),$AN$1006:$BO$1006,0))&gt;=100000), " ",IF(INDEX($AN$2:$BO$1001,MATCH(ROWS($AG$2:AG432),$AG$2:$AG$1001,0),MATCH(COLUMNS($AN$1006:BH1006),$AN$1006:$BO$1006,0)), HYPERLINK("#",""), HYPERLINK(CONCATENATE("#Metadata!", ADDRESS(INDEX($AI$2:$AI$1001,MATCH(ROWS($AG$2:AG432),$AG$2:$AG$1001,0),0), INDEX($AN$1004:$BO$1004,1,MATCH(COLUMNS($AN$1006:BH1006),$AN$1006:$BO$1006,0)))),"Fix")))</f>
        <v>0</v>
      </c>
      <c r="W432" s="4">
        <f>IF(OR(INDEX($AH$2:$AH$1001,MATCH(ROWS($AG$2:AG432),$AG$2:$AG$1001,0),1)&gt;=100000,INDEX($AN$1005:$BO$1005,1,MATCH(COLUMNS($AN$1006:BI1006),$AN$1006:$BO$1006,0))&gt;=100000), " ",IF(INDEX($AN$2:$BO$1001,MATCH(ROWS($AG$2:AG432),$AG$2:$AG$1001,0),MATCH(COLUMNS($AN$1006:BI1006),$AN$1006:$BO$1006,0)), HYPERLINK("#",""), HYPERLINK(CONCATENATE("#Metadata!", ADDRESS(INDEX($AI$2:$AI$1001,MATCH(ROWS($AG$2:AG432),$AG$2:$AG$1001,0),0), INDEX($AN$1004:$BO$1004,1,MATCH(COLUMNS($AN$1006:BI1006),$AN$1006:$BO$1006,0)))),"Fix")))</f>
        <v>0</v>
      </c>
      <c r="X432" s="4">
        <f>IF(OR(INDEX($AH$2:$AH$1001,MATCH(ROWS($AG$2:AG432),$AG$2:$AG$1001,0),1)&gt;=100000,INDEX($AN$1005:$BO$1005,1,MATCH(COLUMNS($AN$1006:BJ1006),$AN$1006:$BO$1006,0))&gt;=100000), " ",IF(INDEX($AN$2:$BO$1001,MATCH(ROWS($AG$2:AG432),$AG$2:$AG$1001,0),MATCH(COLUMNS($AN$1006:BJ1006),$AN$1006:$BO$1006,0)), HYPERLINK("#",""), HYPERLINK(CONCATENATE("#Metadata!", ADDRESS(INDEX($AI$2:$AI$1001,MATCH(ROWS($AG$2:AG432),$AG$2:$AG$1001,0),0), INDEX($AN$1004:$BO$1004,1,MATCH(COLUMNS($AN$1006:BJ1006),$AN$1006:$BO$1006,0)))),"Fix")))</f>
        <v>0</v>
      </c>
      <c r="Y432" s="4">
        <f>IF(OR(INDEX($AH$2:$AH$1001,MATCH(ROWS($AG$2:AG432),$AG$2:$AG$1001,0),1)&gt;=100000,INDEX($AN$1005:$BO$1005,1,MATCH(COLUMNS($AN$1006:BK1006),$AN$1006:$BO$1006,0))&gt;=100000), " ",IF(INDEX($AN$2:$BO$1001,MATCH(ROWS($AG$2:AG432),$AG$2:$AG$1001,0),MATCH(COLUMNS($AN$1006:BK1006),$AN$1006:$BO$1006,0)), HYPERLINK("#",""), HYPERLINK(CONCATENATE("#Metadata!", ADDRESS(INDEX($AI$2:$AI$1001,MATCH(ROWS($AG$2:AG432),$AG$2:$AG$1001,0),0), INDEX($AN$1004:$BO$1004,1,MATCH(COLUMNS($AN$1006:BK1006),$AN$1006:$BO$1006,0)))),"Fix")))</f>
        <v>0</v>
      </c>
      <c r="Z432" s="4">
        <f>IF(OR(INDEX($AH$2:$AH$1001,MATCH(ROWS($AG$2:AG432),$AG$2:$AG$1001,0),1)&gt;=100000,INDEX($AN$1005:$BO$1005,1,MATCH(COLUMNS($AN$1006:BL1006),$AN$1006:$BO$1006,0))&gt;=100000), " ",IF(INDEX($AN$2:$BO$1001,MATCH(ROWS($AG$2:AG432),$AG$2:$AG$1001,0),MATCH(COLUMNS($AN$1006:BL1006),$AN$1006:$BO$1006,0)), HYPERLINK("#",""), HYPERLINK(CONCATENATE("#Metadata!", ADDRESS(INDEX($AI$2:$AI$1001,MATCH(ROWS($AG$2:AG432),$AG$2:$AG$1001,0),0), INDEX($AN$1004:$BO$1004,1,MATCH(COLUMNS($AN$1006:BL1006),$AN$1006:$BO$1006,0)))),"Fix")))</f>
        <v>0</v>
      </c>
      <c r="AA432" s="4">
        <f>IF(OR(INDEX($AH$2:$AH$1001,MATCH(ROWS($AG$2:AG432),$AG$2:$AG$1001,0),1)&gt;=100000,INDEX($AN$1005:$BO$1005,1,MATCH(COLUMNS($AN$1006:BM1006),$AN$1006:$BO$1006,0))&gt;=100000), " ",IF(INDEX($AN$2:$BO$1001,MATCH(ROWS($AG$2:AG432),$AG$2:$AG$1001,0),MATCH(COLUMNS($AN$1006:BM1006),$AN$1006:$BO$1006,0)), HYPERLINK("#",""), HYPERLINK(CONCATENATE("#Metadata!", ADDRESS(INDEX($AI$2:$AI$1001,MATCH(ROWS($AG$2:AG432),$AG$2:$AG$1001,0),0), INDEX($AN$1004:$BO$1004,1,MATCH(COLUMNS($AN$1006:BM1006),$AN$1006:$BO$1006,0)))),"Fix")))</f>
        <v>0</v>
      </c>
      <c r="AB432" s="4">
        <f>IF(OR(INDEX($AH$2:$AH$1001,MATCH(ROWS($AG$2:AG432),$AG$2:$AG$1001,0),1)&gt;=100000,INDEX($AN$1005:$BO$1005,1,MATCH(COLUMNS($AN$1006:BN1006),$AN$1006:$BO$1006,0))&gt;=100000), " ",IF(INDEX($AN$2:$BO$1001,MATCH(ROWS($AG$2:AG432),$AG$2:$AG$1001,0),MATCH(COLUMNS($AN$1006:BN1006),$AN$1006:$BO$1006,0)), HYPERLINK("#",""), HYPERLINK(CONCATENATE("#Metadata!", ADDRESS(INDEX($AI$2:$AI$1001,MATCH(ROWS($AG$2:AG432),$AG$2:$AG$1001,0),0), INDEX($AN$1004:$BO$1004,1,MATCH(COLUMNS($AN$1006:BN1006),$AN$1006:$BO$1006,0)))),"Fix")))</f>
        <v>0</v>
      </c>
      <c r="AC432" s="4">
        <f>IF(OR(INDEX($AH$2:$AH$1001,MATCH(ROWS($AG$2:AG432),$AG$2:$AG$1001,0),1)&gt;=100000,INDEX($AN$1005:$BO$1005,1,MATCH(COLUMNS($AN$1006:BO1006),$AN$1006:$BO$1006,0))&gt;=100000), " ",IF(INDEX($AN$2:$BO$1001,MATCH(ROWS($AG$2:AG432),$AG$2:$AG$1001,0),MATCH(COLUMNS($AN$1006:BO1006),$AN$1006:$BO$1006,0)), HYPERLINK("#",""), HYPERLINK(CONCATENATE("#Metadata!", ADDRESS(INDEX($AI$2:$AI$1001,MATCH(ROWS($AG$2:AG432),$AG$2:$AG$1001,0),0), INDEX($AN$1004:$BO$1004,1,MATCH(COLUMNS($AN$1006:BO1006),$AN$1006:$BO$1006,0)))),"Fix")))</f>
        <v>0</v>
      </c>
      <c r="AG432">
        <v>0</v>
      </c>
      <c r="AH432">
        <v>0</v>
      </c>
      <c r="AI432">
        <v>0</v>
      </c>
      <c r="AJ432">
        <f>IF(AK432,TRUE,AND(AN432:BO432))</f>
        <v>0</v>
      </c>
      <c r="AK432">
        <f>COUNTBLANK(Metadata!B432:AC432)=COLUMNS(Metadata!B432:AC432)</f>
        <v>0</v>
      </c>
      <c r="AL432">
        <v>0</v>
      </c>
      <c r="AN432">
        <f>AND(IF(Metadata!B432="",FALSE,TRUE),COUNTIF(Metadata!B:B, Metadata!B432) = 1,NOT(ISERROR(SUMPRODUCT(SEARCH(MID(Metadata!B432,ROW(INDIRECT("1:"&amp;LEN(Metadata!B432))), 1),"0123456789abcdefghijklmnopqrstuvwxyzABCDEFGHIJKLMNOPQRSTUVWXYZ.")))))</f>
        <v>0</v>
      </c>
      <c r="AO432">
        <f>IF(Metadata!C432="",FALSE,TRUE)</f>
        <v>0</v>
      </c>
      <c r="AP432">
        <f>IF(Metadata!D432="",FALSE,TRUE)</f>
        <v>0</v>
      </c>
      <c r="AQ432">
        <f>OR(AND(IF(Metadata!E432="",FALSE,TRUE),OR(exact(Metadata!E432,"not collected"),exact(Metadata!E432,"not provided"),exact(Metadata!E432,"restricted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R432">
        <f>IF(Metadata!F432="",FALSE,TRUE)</f>
        <v>0</v>
      </c>
      <c r="AS432">
        <f>OR(AND(IF(Metadata!G432="",FALSE,TRUE),OR(exact(Metadata!G432,"not collected"),exact(Metadata!G432,"not provided"))),AND(IF(Metadata!G432="",FALSE,TRUE),OR(exact(Metadata!G432,"TRUE"),exact(Metadata!G432,"FALSE"))))</f>
        <v>0</v>
      </c>
      <c r="AT432">
        <f>OR(AND(IF(Metadata!H432="",FALSE,TRUE),OR(exact(Metadata!H432,"not collected"),exact(Metadata!H432,"not provided"),exact(Metadata!H432,"restricted access"))),AND(IF(Metadata!H432="",FALSE,ISNUMBER(VALUE(Metadata!H432))),Metadata!H432&gt;=-413.0))</f>
        <v>0</v>
      </c>
      <c r="AU432">
        <f>AND(IF(Metadata!I432="",FALSE,TRUE),exact(Metadata!I432,"meters"))</f>
        <v>0</v>
      </c>
      <c r="AV432">
        <f>AND(IF(Metadata!J432="",FALSE,TRUE),OR(exact(Metadata!J432,"Host-associated"),exact(Metadata!J432,"Free-living")))</f>
        <v>0</v>
      </c>
      <c r="AW432">
        <f>AND(IF(Metadata!K432="",FALSE,TRUE),OR(exact(Metadata!K432,"Animal"),exact(Metadata!K432,"Fungus"),exact(Metadata!K432,"Plant"),exact(Metadata!K432,"Saline"),exact(Metadata!K432,"Non-saline")))</f>
        <v>0</v>
      </c>
      <c r="AX432">
        <f>AND(IF(Metadata!L432="",FALSE,TRUE),OR(exact(Metadata!L432,"Plant secretion"),exact(Metadata!L432,"Plant rhizosphere"),exact(Metadata!L432,"Plant surface"),exact(Metadata!L432,"Plant corpus"),exact(Metadata!L432,"Fungus surface"),exact(Metadata!L432,"Fungus corpus"),exact(Metadata!L432,"Animal surface"),exact(Metadata!L432,"Animal proximal gut"),exact(Metadata!L432,"Animal corpus"),exact(Metadata!L432,"Animal distal gut"),exact(Metadata!L432,"Animal secretion"),exact(Metadata!L432,"Sub-surface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Y432">
        <f>IF(Metadata!M432="",FALSE,TRUE)</f>
        <v>0</v>
      </c>
      <c r="AZ432">
        <f>IF(Metadata!N432="",FALSE,TRUE)</f>
        <v>0</v>
      </c>
      <c r="BA432">
        <f>IF(Metadata!O432="",FALSE,TRUE)</f>
        <v>0</v>
      </c>
      <c r="BB432">
        <f>OR(AND(IF(Metadata!P432="",FALSE,TRUE),OR(exact(Metadata!P432,"not collected"),exact(Metadata!P432,"not provided"),exact(Metadata!P432,"restricted access"))),AND(IF(Metadata!P432="",FALSE,TRUE),OR(exact(Metadata!P432,"air"),exact(Metadata!P432,"built environment"),exact(Metadata!P432,"host-associated"),exact(Metadata!P432,"human-associated"),exact(Metadata!P432,"human-skin"),exact(Metadata!P432,"human-oral"),exact(Metadata!P432,"human-gut"),exact(Metadata!P432,"human-vaginal"),exact(Metadata!P432,"microbial mat/biofilm"),exact(Metadata!P432,"misc environment"),exact(Metadata!P432,"plant-associated"),exact(Metadata!P432,"sediment"),exact(Metadata!P432,"soil"),exact(Metadata!P432,"wastewater/sludge"),exact(Metadata!P432,"water"))))</f>
        <v>0</v>
      </c>
      <c r="BC432">
        <f>IF(Metadata!Q432="",FALSE,TRUE)</f>
        <v>0</v>
      </c>
      <c r="BD432">
        <f>IF(Metadata!R432="",FALSE,TRUE)</f>
        <v>0</v>
      </c>
      <c r="BE432">
        <f>OR(AND(IF(Metadata!S432="",FALSE,TRUE),OR(exact(Metadata!S432,"not collected"),exact(Metadata!S432,"not provided"),exact(Metadata!S432,"restricted access"))),AND(IF(Metadata!S432="",FALSE,ISNUMBER(VALUE(Metadata!S432))),Metadata!S432&gt;=-90.00,Metadata!S432&lt;=90.00))</f>
        <v>0</v>
      </c>
      <c r="BF432">
        <f>AND(IF(Metadata!T432="",FALSE,TRUE),exact(Metadata!T432,"Decimal degrees"))</f>
        <v>0</v>
      </c>
      <c r="BG432">
        <f>OR(AND(IF(Metadata!U432="",FALSE,TRUE),OR(exact(Metadata!U432,"not collected"),exact(Metadata!U432,"not provided"),exact(Metadata!U432,"restricted access"))),AND(IF(Metadata!U432="",FALSE,ISNUMBER(VALUE(Metadata!U432))),Metadata!U432&gt;=-180.00,Metadata!U432&lt;=180.00))</f>
        <v>0</v>
      </c>
      <c r="BH432">
        <f>AND(IF(Metadata!V432="",FALSE,TRUE),exact(Metadata!V432,"Decimal degrees"))</f>
        <v>0</v>
      </c>
      <c r="BI432">
        <f>IF(Metadata!W432="",FALSE,TRUE)</f>
        <v>0</v>
      </c>
      <c r="BJ432">
        <f>OR(AND(IF(Metadata!X432="",FALSE,TRUE),OR(exact(Metadata!X432,"not collected"),exact(Metadata!X432,"not provided"),exact(Metadata!X432,"restricted access"))),AND(IF(Metadata!X432="",FALSE,TRUE),OR(exact(Metadata!X432,"TRUE"),exact(Metadata!X432,"FALSE"))))</f>
        <v>0</v>
      </c>
      <c r="BK432">
        <f>AND(IF(Metadata!Y432="",FALSE,TRUE),exact(Metadata!Y432,"other"))</f>
        <v>0</v>
      </c>
      <c r="BL432">
        <f>IF(Metadata!Z432="",FALSE,TRUE)</f>
        <v>0</v>
      </c>
      <c r="BM432">
        <f>OR(AND(IF(Metadata!AA432="",FALSE,TRUE),OR(exact(Metadata!AA432,"not collected"),exact(Metadata!AA432,"not provided"))),AND(IF(Metadata!AA432="",FALSE,IF(ISERROR(INT(Metadata!AA432)),FALSE,INT(Metadata!AA432)=Metadata!AA432)),Metadata!AA432&gt;0))</f>
        <v>0</v>
      </c>
      <c r="BN432">
        <f>AND(IF(Metadata!AB432="",FALSE,TRUE),exact(Metadata!AB432,"Not applicable"))</f>
        <v>0</v>
      </c>
      <c r="BO432">
        <f>IF(Metadata!AC432="",FALSE,TRUE)</f>
        <v>0</v>
      </c>
    </row>
    <row r="433" spans="1:67">
      <c r="A433" s="5">
        <f>IF(B433=" "," ",HYPERLINK(CONCATENATE("#metadata!",ADDRESS(INDEX($AI$2:$AI$1001,MATCH(ROWS($AG$2:AG433),$AG$2:$AG$1001,0),0),1)),INDEX($AL$2:$AL$1001,MATCH(ROWS($AG$2:AG433),$AG$2:$AG$1001,0),0)))</f>
        <v>0</v>
      </c>
      <c r="B433" s="4">
        <f>IF(OR(INDEX($AH$2:$AH$1001,MATCH(ROWS($AG$2:AG433),$AG$2:$AG$1001,0),1)&gt;=100000,INDEX($AN$1005:$BO$1005,1,MATCH(COLUMNS($AN$1006:AN1006),$AN$1006:$BO$1006,0))&gt;=100000), " ",IF(INDEX($AN$2:$BO$1001,MATCH(ROWS($AG$2:AG433),$AG$2:$AG$1001,0),MATCH(COLUMNS($AN$1006:AN1006),$AN$1006:$BO$1006,0)), HYPERLINK("#",""), HYPERLINK(CONCATENATE("#Metadata!", ADDRESS(INDEX($AI$2:$AI$1001,MATCH(ROWS($AG$2:AG433),$AG$2:$AG$1001,0),0), INDEX($AN$1004:$BO$1004,1,MATCH(COLUMNS($AN$1006:AN1006),$AN$1006:$BO$1006,0)))),"Fix")))</f>
        <v>0</v>
      </c>
      <c r="C433" s="4">
        <f>IF(OR(INDEX($AH$2:$AH$1001,MATCH(ROWS($AG$2:AG433),$AG$2:$AG$1001,0),1)&gt;=100000,INDEX($AN$1005:$BO$1005,1,MATCH(COLUMNS($AN$1006:AO1006),$AN$1006:$BO$1006,0))&gt;=100000), " ",IF(INDEX($AN$2:$BO$1001,MATCH(ROWS($AG$2:AG433),$AG$2:$AG$1001,0),MATCH(COLUMNS($AN$1006:AO1006),$AN$1006:$BO$1006,0)), HYPERLINK("#",""), HYPERLINK(CONCATENATE("#Metadata!", ADDRESS(INDEX($AI$2:$AI$1001,MATCH(ROWS($AG$2:AG433),$AG$2:$AG$1001,0),0), INDEX($AN$1004:$BO$1004,1,MATCH(COLUMNS($AN$1006:AO1006),$AN$1006:$BO$1006,0)))),"Fix")))</f>
        <v>0</v>
      </c>
      <c r="D433" s="4">
        <f>IF(OR(INDEX($AH$2:$AH$1001,MATCH(ROWS($AG$2:AG433),$AG$2:$AG$1001,0),1)&gt;=100000,INDEX($AN$1005:$BO$1005,1,MATCH(COLUMNS($AN$1006:AP1006),$AN$1006:$BO$1006,0))&gt;=100000), " ",IF(INDEX($AN$2:$BO$1001,MATCH(ROWS($AG$2:AG433),$AG$2:$AG$1001,0),MATCH(COLUMNS($AN$1006:AP1006),$AN$1006:$BO$1006,0)), HYPERLINK("#",""), HYPERLINK(CONCATENATE("#Metadata!", ADDRESS(INDEX($AI$2:$AI$1001,MATCH(ROWS($AG$2:AG433),$AG$2:$AG$1001,0),0), INDEX($AN$1004:$BO$1004,1,MATCH(COLUMNS($AN$1006:AP1006),$AN$1006:$BO$1006,0)))),"Fix")))</f>
        <v>0</v>
      </c>
      <c r="E433" s="4">
        <f>IF(OR(INDEX($AH$2:$AH$1001,MATCH(ROWS($AG$2:AG433),$AG$2:$AG$1001,0),1)&gt;=100000,INDEX($AN$1005:$BO$1005,1,MATCH(COLUMNS($AN$1006:AQ1006),$AN$1006:$BO$1006,0))&gt;=100000), " ",IF(INDEX($AN$2:$BO$1001,MATCH(ROWS($AG$2:AG433),$AG$2:$AG$1001,0),MATCH(COLUMNS($AN$1006:AQ1006),$AN$1006:$BO$1006,0)), HYPERLINK("#",""), HYPERLINK(CONCATENATE("#Metadata!", ADDRESS(INDEX($AI$2:$AI$1001,MATCH(ROWS($AG$2:AG433),$AG$2:$AG$1001,0),0), INDEX($AN$1004:$BO$1004,1,MATCH(COLUMNS($AN$1006:AQ1006),$AN$1006:$BO$1006,0)))),"Fix")))</f>
        <v>0</v>
      </c>
      <c r="F433" s="4">
        <f>IF(OR(INDEX($AH$2:$AH$1001,MATCH(ROWS($AG$2:AG433),$AG$2:$AG$1001,0),1)&gt;=100000,INDEX($AN$1005:$BO$1005,1,MATCH(COLUMNS($AN$1006:AR1006),$AN$1006:$BO$1006,0))&gt;=100000), " ",IF(INDEX($AN$2:$BO$1001,MATCH(ROWS($AG$2:AG433),$AG$2:$AG$1001,0),MATCH(COLUMNS($AN$1006:AR1006),$AN$1006:$BO$1006,0)), HYPERLINK("#",""), HYPERLINK(CONCATENATE("#Metadata!", ADDRESS(INDEX($AI$2:$AI$1001,MATCH(ROWS($AG$2:AG433),$AG$2:$AG$1001,0),0), INDEX($AN$1004:$BO$1004,1,MATCH(COLUMNS($AN$1006:AR1006),$AN$1006:$BO$1006,0)))),"Fix")))</f>
        <v>0</v>
      </c>
      <c r="G433" s="4">
        <f>IF(OR(INDEX($AH$2:$AH$1001,MATCH(ROWS($AG$2:AG433),$AG$2:$AG$1001,0),1)&gt;=100000,INDEX($AN$1005:$BO$1005,1,MATCH(COLUMNS($AN$1006:AS1006),$AN$1006:$BO$1006,0))&gt;=100000), " ",IF(INDEX($AN$2:$BO$1001,MATCH(ROWS($AG$2:AG433),$AG$2:$AG$1001,0),MATCH(COLUMNS($AN$1006:AS1006),$AN$1006:$BO$1006,0)), HYPERLINK("#",""), HYPERLINK(CONCATENATE("#Metadata!", ADDRESS(INDEX($AI$2:$AI$1001,MATCH(ROWS($AG$2:AG433),$AG$2:$AG$1001,0),0), INDEX($AN$1004:$BO$1004,1,MATCH(COLUMNS($AN$1006:AS1006),$AN$1006:$BO$1006,0)))),"Fix")))</f>
        <v>0</v>
      </c>
      <c r="H433" s="4">
        <f>IF(OR(INDEX($AH$2:$AH$1001,MATCH(ROWS($AG$2:AG433),$AG$2:$AG$1001,0),1)&gt;=100000,INDEX($AN$1005:$BO$1005,1,MATCH(COLUMNS($AN$1006:AT1006),$AN$1006:$BO$1006,0))&gt;=100000), " ",IF(INDEX($AN$2:$BO$1001,MATCH(ROWS($AG$2:AG433),$AG$2:$AG$1001,0),MATCH(COLUMNS($AN$1006:AT1006),$AN$1006:$BO$1006,0)), HYPERLINK("#",""), HYPERLINK(CONCATENATE("#Metadata!", ADDRESS(INDEX($AI$2:$AI$1001,MATCH(ROWS($AG$2:AG433),$AG$2:$AG$1001,0),0), INDEX($AN$1004:$BO$1004,1,MATCH(COLUMNS($AN$1006:AT1006),$AN$1006:$BO$1006,0)))),"Fix")))</f>
        <v>0</v>
      </c>
      <c r="I433" s="4">
        <f>IF(OR(INDEX($AH$2:$AH$1001,MATCH(ROWS($AG$2:AG433),$AG$2:$AG$1001,0),1)&gt;=100000,INDEX($AN$1005:$BO$1005,1,MATCH(COLUMNS($AN$1006:AU1006),$AN$1006:$BO$1006,0))&gt;=100000), " ",IF(INDEX($AN$2:$BO$1001,MATCH(ROWS($AG$2:AG433),$AG$2:$AG$1001,0),MATCH(COLUMNS($AN$1006:AU1006),$AN$1006:$BO$1006,0)), HYPERLINK("#",""), HYPERLINK(CONCATENATE("#Metadata!", ADDRESS(INDEX($AI$2:$AI$1001,MATCH(ROWS($AG$2:AG433),$AG$2:$AG$1001,0),0), INDEX($AN$1004:$BO$1004,1,MATCH(COLUMNS($AN$1006:AU1006),$AN$1006:$BO$1006,0)))),"Fix")))</f>
        <v>0</v>
      </c>
      <c r="J433" s="4">
        <f>IF(OR(INDEX($AH$2:$AH$1001,MATCH(ROWS($AG$2:AG433),$AG$2:$AG$1001,0),1)&gt;=100000,INDEX($AN$1005:$BO$1005,1,MATCH(COLUMNS($AN$1006:AV1006),$AN$1006:$BO$1006,0))&gt;=100000), " ",IF(INDEX($AN$2:$BO$1001,MATCH(ROWS($AG$2:AG433),$AG$2:$AG$1001,0),MATCH(COLUMNS($AN$1006:AV1006),$AN$1006:$BO$1006,0)), HYPERLINK("#",""), HYPERLINK(CONCATENATE("#Metadata!", ADDRESS(INDEX($AI$2:$AI$1001,MATCH(ROWS($AG$2:AG433),$AG$2:$AG$1001,0),0), INDEX($AN$1004:$BO$1004,1,MATCH(COLUMNS($AN$1006:AV1006),$AN$1006:$BO$1006,0)))),"Fix")))</f>
        <v>0</v>
      </c>
      <c r="K433" s="4">
        <f>IF(OR(INDEX($AH$2:$AH$1001,MATCH(ROWS($AG$2:AG433),$AG$2:$AG$1001,0),1)&gt;=100000,INDEX($AN$1005:$BO$1005,1,MATCH(COLUMNS($AN$1006:AW1006),$AN$1006:$BO$1006,0))&gt;=100000), " ",IF(INDEX($AN$2:$BO$1001,MATCH(ROWS($AG$2:AG433),$AG$2:$AG$1001,0),MATCH(COLUMNS($AN$1006:AW1006),$AN$1006:$BO$1006,0)), HYPERLINK("#",""), HYPERLINK(CONCATENATE("#Metadata!", ADDRESS(INDEX($AI$2:$AI$1001,MATCH(ROWS($AG$2:AG433),$AG$2:$AG$1001,0),0), INDEX($AN$1004:$BO$1004,1,MATCH(COLUMNS($AN$1006:AW1006),$AN$1006:$BO$1006,0)))),"Fix")))</f>
        <v>0</v>
      </c>
      <c r="L433" s="4">
        <f>IF(OR(INDEX($AH$2:$AH$1001,MATCH(ROWS($AG$2:AG433),$AG$2:$AG$1001,0),1)&gt;=100000,INDEX($AN$1005:$BO$1005,1,MATCH(COLUMNS($AN$1006:AX1006),$AN$1006:$BO$1006,0))&gt;=100000), " ",IF(INDEX($AN$2:$BO$1001,MATCH(ROWS($AG$2:AG433),$AG$2:$AG$1001,0),MATCH(COLUMNS($AN$1006:AX1006),$AN$1006:$BO$1006,0)), HYPERLINK("#",""), HYPERLINK(CONCATENATE("#Metadata!", ADDRESS(INDEX($AI$2:$AI$1001,MATCH(ROWS($AG$2:AG433),$AG$2:$AG$1001,0),0), INDEX($AN$1004:$BO$1004,1,MATCH(COLUMNS($AN$1006:AX1006),$AN$1006:$BO$1006,0)))),"Fix")))</f>
        <v>0</v>
      </c>
      <c r="M433" s="4">
        <f>IF(OR(INDEX($AH$2:$AH$1001,MATCH(ROWS($AG$2:AG433),$AG$2:$AG$1001,0),1)&gt;=100000,INDEX($AN$1005:$BO$1005,1,MATCH(COLUMNS($AN$1006:AY1006),$AN$1006:$BO$1006,0))&gt;=100000), " ",IF(INDEX($AN$2:$BO$1001,MATCH(ROWS($AG$2:AG433),$AG$2:$AG$1001,0),MATCH(COLUMNS($AN$1006:AY1006),$AN$1006:$BO$1006,0)), HYPERLINK("#",""), HYPERLINK(CONCATENATE("#Metadata!", ADDRESS(INDEX($AI$2:$AI$1001,MATCH(ROWS($AG$2:AG433),$AG$2:$AG$1001,0),0), INDEX($AN$1004:$BO$1004,1,MATCH(COLUMNS($AN$1006:AY1006),$AN$1006:$BO$1006,0)))),"Fix")))</f>
        <v>0</v>
      </c>
      <c r="N433" s="4">
        <f>IF(OR(INDEX($AH$2:$AH$1001,MATCH(ROWS($AG$2:AG433),$AG$2:$AG$1001,0),1)&gt;=100000,INDEX($AN$1005:$BO$1005,1,MATCH(COLUMNS($AN$1006:AZ1006),$AN$1006:$BO$1006,0))&gt;=100000), " ",IF(INDEX($AN$2:$BO$1001,MATCH(ROWS($AG$2:AG433),$AG$2:$AG$1001,0),MATCH(COLUMNS($AN$1006:AZ1006),$AN$1006:$BO$1006,0)), HYPERLINK("#",""), HYPERLINK(CONCATENATE("#Metadata!", ADDRESS(INDEX($AI$2:$AI$1001,MATCH(ROWS($AG$2:AG433),$AG$2:$AG$1001,0),0), INDEX($AN$1004:$BO$1004,1,MATCH(COLUMNS($AN$1006:AZ1006),$AN$1006:$BO$1006,0)))),"Fix")))</f>
        <v>0</v>
      </c>
      <c r="O433" s="4">
        <f>IF(OR(INDEX($AH$2:$AH$1001,MATCH(ROWS($AG$2:AG433),$AG$2:$AG$1001,0),1)&gt;=100000,INDEX($AN$1005:$BO$1005,1,MATCH(COLUMNS($AN$1006:BA1006),$AN$1006:$BO$1006,0))&gt;=100000), " ",IF(INDEX($AN$2:$BO$1001,MATCH(ROWS($AG$2:AG433),$AG$2:$AG$1001,0),MATCH(COLUMNS($AN$1006:BA1006),$AN$1006:$BO$1006,0)), HYPERLINK("#",""), HYPERLINK(CONCATENATE("#Metadata!", ADDRESS(INDEX($AI$2:$AI$1001,MATCH(ROWS($AG$2:AG433),$AG$2:$AG$1001,0),0), INDEX($AN$1004:$BO$1004,1,MATCH(COLUMNS($AN$1006:BA1006),$AN$1006:$BO$1006,0)))),"Fix")))</f>
        <v>0</v>
      </c>
      <c r="P433" s="4">
        <f>IF(OR(INDEX($AH$2:$AH$1001,MATCH(ROWS($AG$2:AG433),$AG$2:$AG$1001,0),1)&gt;=100000,INDEX($AN$1005:$BO$1005,1,MATCH(COLUMNS($AN$1006:BB1006),$AN$1006:$BO$1006,0))&gt;=100000), " ",IF(INDEX($AN$2:$BO$1001,MATCH(ROWS($AG$2:AG433),$AG$2:$AG$1001,0),MATCH(COLUMNS($AN$1006:BB1006),$AN$1006:$BO$1006,0)), HYPERLINK("#",""), HYPERLINK(CONCATENATE("#Metadata!", ADDRESS(INDEX($AI$2:$AI$1001,MATCH(ROWS($AG$2:AG433),$AG$2:$AG$1001,0),0), INDEX($AN$1004:$BO$1004,1,MATCH(COLUMNS($AN$1006:BB1006),$AN$1006:$BO$1006,0)))),"Fix")))</f>
        <v>0</v>
      </c>
      <c r="Q433" s="4">
        <f>IF(OR(INDEX($AH$2:$AH$1001,MATCH(ROWS($AG$2:AG433),$AG$2:$AG$1001,0),1)&gt;=100000,INDEX($AN$1005:$BO$1005,1,MATCH(COLUMNS($AN$1006:BC1006),$AN$1006:$BO$1006,0))&gt;=100000), " ",IF(INDEX($AN$2:$BO$1001,MATCH(ROWS($AG$2:AG433),$AG$2:$AG$1001,0),MATCH(COLUMNS($AN$1006:BC1006),$AN$1006:$BO$1006,0)), HYPERLINK("#",""), HYPERLINK(CONCATENATE("#Metadata!", ADDRESS(INDEX($AI$2:$AI$1001,MATCH(ROWS($AG$2:AG433),$AG$2:$AG$1001,0),0), INDEX($AN$1004:$BO$1004,1,MATCH(COLUMNS($AN$1006:BC1006),$AN$1006:$BO$1006,0)))),"Fix")))</f>
        <v>0</v>
      </c>
      <c r="R433" s="4">
        <f>IF(OR(INDEX($AH$2:$AH$1001,MATCH(ROWS($AG$2:AG433),$AG$2:$AG$1001,0),1)&gt;=100000,INDEX($AN$1005:$BO$1005,1,MATCH(COLUMNS($AN$1006:BD1006),$AN$1006:$BO$1006,0))&gt;=100000), " ",IF(INDEX($AN$2:$BO$1001,MATCH(ROWS($AG$2:AG433),$AG$2:$AG$1001,0),MATCH(COLUMNS($AN$1006:BD1006),$AN$1006:$BO$1006,0)), HYPERLINK("#",""), HYPERLINK(CONCATENATE("#Metadata!", ADDRESS(INDEX($AI$2:$AI$1001,MATCH(ROWS($AG$2:AG433),$AG$2:$AG$1001,0),0), INDEX($AN$1004:$BO$1004,1,MATCH(COLUMNS($AN$1006:BD1006),$AN$1006:$BO$1006,0)))),"Fix")))</f>
        <v>0</v>
      </c>
      <c r="S433" s="4">
        <f>IF(OR(INDEX($AH$2:$AH$1001,MATCH(ROWS($AG$2:AG433),$AG$2:$AG$1001,0),1)&gt;=100000,INDEX($AN$1005:$BO$1005,1,MATCH(COLUMNS($AN$1006:BE1006),$AN$1006:$BO$1006,0))&gt;=100000), " ",IF(INDEX($AN$2:$BO$1001,MATCH(ROWS($AG$2:AG433),$AG$2:$AG$1001,0),MATCH(COLUMNS($AN$1006:BE1006),$AN$1006:$BO$1006,0)), HYPERLINK("#",""), HYPERLINK(CONCATENATE("#Metadata!", ADDRESS(INDEX($AI$2:$AI$1001,MATCH(ROWS($AG$2:AG433),$AG$2:$AG$1001,0),0), INDEX($AN$1004:$BO$1004,1,MATCH(COLUMNS($AN$1006:BE1006),$AN$1006:$BO$1006,0)))),"Fix")))</f>
        <v>0</v>
      </c>
      <c r="T433" s="4">
        <f>IF(OR(INDEX($AH$2:$AH$1001,MATCH(ROWS($AG$2:AG433),$AG$2:$AG$1001,0),1)&gt;=100000,INDEX($AN$1005:$BO$1005,1,MATCH(COLUMNS($AN$1006:BF1006),$AN$1006:$BO$1006,0))&gt;=100000), " ",IF(INDEX($AN$2:$BO$1001,MATCH(ROWS($AG$2:AG433),$AG$2:$AG$1001,0),MATCH(COLUMNS($AN$1006:BF1006),$AN$1006:$BO$1006,0)), HYPERLINK("#",""), HYPERLINK(CONCATENATE("#Metadata!", ADDRESS(INDEX($AI$2:$AI$1001,MATCH(ROWS($AG$2:AG433),$AG$2:$AG$1001,0),0), INDEX($AN$1004:$BO$1004,1,MATCH(COLUMNS($AN$1006:BF1006),$AN$1006:$BO$1006,0)))),"Fix")))</f>
        <v>0</v>
      </c>
      <c r="U433" s="4">
        <f>IF(OR(INDEX($AH$2:$AH$1001,MATCH(ROWS($AG$2:AG433),$AG$2:$AG$1001,0),1)&gt;=100000,INDEX($AN$1005:$BO$1005,1,MATCH(COLUMNS($AN$1006:BG1006),$AN$1006:$BO$1006,0))&gt;=100000), " ",IF(INDEX($AN$2:$BO$1001,MATCH(ROWS($AG$2:AG433),$AG$2:$AG$1001,0),MATCH(COLUMNS($AN$1006:BG1006),$AN$1006:$BO$1006,0)), HYPERLINK("#",""), HYPERLINK(CONCATENATE("#Metadata!", ADDRESS(INDEX($AI$2:$AI$1001,MATCH(ROWS($AG$2:AG433),$AG$2:$AG$1001,0),0), INDEX($AN$1004:$BO$1004,1,MATCH(COLUMNS($AN$1006:BG1006),$AN$1006:$BO$1006,0)))),"Fix")))</f>
        <v>0</v>
      </c>
      <c r="V433" s="4">
        <f>IF(OR(INDEX($AH$2:$AH$1001,MATCH(ROWS($AG$2:AG433),$AG$2:$AG$1001,0),1)&gt;=100000,INDEX($AN$1005:$BO$1005,1,MATCH(COLUMNS($AN$1006:BH1006),$AN$1006:$BO$1006,0))&gt;=100000), " ",IF(INDEX($AN$2:$BO$1001,MATCH(ROWS($AG$2:AG433),$AG$2:$AG$1001,0),MATCH(COLUMNS($AN$1006:BH1006),$AN$1006:$BO$1006,0)), HYPERLINK("#",""), HYPERLINK(CONCATENATE("#Metadata!", ADDRESS(INDEX($AI$2:$AI$1001,MATCH(ROWS($AG$2:AG433),$AG$2:$AG$1001,0),0), INDEX($AN$1004:$BO$1004,1,MATCH(COLUMNS($AN$1006:BH1006),$AN$1006:$BO$1006,0)))),"Fix")))</f>
        <v>0</v>
      </c>
      <c r="W433" s="4">
        <f>IF(OR(INDEX($AH$2:$AH$1001,MATCH(ROWS($AG$2:AG433),$AG$2:$AG$1001,0),1)&gt;=100000,INDEX($AN$1005:$BO$1005,1,MATCH(COLUMNS($AN$1006:BI1006),$AN$1006:$BO$1006,0))&gt;=100000), " ",IF(INDEX($AN$2:$BO$1001,MATCH(ROWS($AG$2:AG433),$AG$2:$AG$1001,0),MATCH(COLUMNS($AN$1006:BI1006),$AN$1006:$BO$1006,0)), HYPERLINK("#",""), HYPERLINK(CONCATENATE("#Metadata!", ADDRESS(INDEX($AI$2:$AI$1001,MATCH(ROWS($AG$2:AG433),$AG$2:$AG$1001,0),0), INDEX($AN$1004:$BO$1004,1,MATCH(COLUMNS($AN$1006:BI1006),$AN$1006:$BO$1006,0)))),"Fix")))</f>
        <v>0</v>
      </c>
      <c r="X433" s="4">
        <f>IF(OR(INDEX($AH$2:$AH$1001,MATCH(ROWS($AG$2:AG433),$AG$2:$AG$1001,0),1)&gt;=100000,INDEX($AN$1005:$BO$1005,1,MATCH(COLUMNS($AN$1006:BJ1006),$AN$1006:$BO$1006,0))&gt;=100000), " ",IF(INDEX($AN$2:$BO$1001,MATCH(ROWS($AG$2:AG433),$AG$2:$AG$1001,0),MATCH(COLUMNS($AN$1006:BJ1006),$AN$1006:$BO$1006,0)), HYPERLINK("#",""), HYPERLINK(CONCATENATE("#Metadata!", ADDRESS(INDEX($AI$2:$AI$1001,MATCH(ROWS($AG$2:AG433),$AG$2:$AG$1001,0),0), INDEX($AN$1004:$BO$1004,1,MATCH(COLUMNS($AN$1006:BJ1006),$AN$1006:$BO$1006,0)))),"Fix")))</f>
        <v>0</v>
      </c>
      <c r="Y433" s="4">
        <f>IF(OR(INDEX($AH$2:$AH$1001,MATCH(ROWS($AG$2:AG433),$AG$2:$AG$1001,0),1)&gt;=100000,INDEX($AN$1005:$BO$1005,1,MATCH(COLUMNS($AN$1006:BK1006),$AN$1006:$BO$1006,0))&gt;=100000), " ",IF(INDEX($AN$2:$BO$1001,MATCH(ROWS($AG$2:AG433),$AG$2:$AG$1001,0),MATCH(COLUMNS($AN$1006:BK1006),$AN$1006:$BO$1006,0)), HYPERLINK("#",""), HYPERLINK(CONCATENATE("#Metadata!", ADDRESS(INDEX($AI$2:$AI$1001,MATCH(ROWS($AG$2:AG433),$AG$2:$AG$1001,0),0), INDEX($AN$1004:$BO$1004,1,MATCH(COLUMNS($AN$1006:BK1006),$AN$1006:$BO$1006,0)))),"Fix")))</f>
        <v>0</v>
      </c>
      <c r="Z433" s="4">
        <f>IF(OR(INDEX($AH$2:$AH$1001,MATCH(ROWS($AG$2:AG433),$AG$2:$AG$1001,0),1)&gt;=100000,INDEX($AN$1005:$BO$1005,1,MATCH(COLUMNS($AN$1006:BL1006),$AN$1006:$BO$1006,0))&gt;=100000), " ",IF(INDEX($AN$2:$BO$1001,MATCH(ROWS($AG$2:AG433),$AG$2:$AG$1001,0),MATCH(COLUMNS($AN$1006:BL1006),$AN$1006:$BO$1006,0)), HYPERLINK("#",""), HYPERLINK(CONCATENATE("#Metadata!", ADDRESS(INDEX($AI$2:$AI$1001,MATCH(ROWS($AG$2:AG433),$AG$2:$AG$1001,0),0), INDEX($AN$1004:$BO$1004,1,MATCH(COLUMNS($AN$1006:BL1006),$AN$1006:$BO$1006,0)))),"Fix")))</f>
        <v>0</v>
      </c>
      <c r="AA433" s="4">
        <f>IF(OR(INDEX($AH$2:$AH$1001,MATCH(ROWS($AG$2:AG433),$AG$2:$AG$1001,0),1)&gt;=100000,INDEX($AN$1005:$BO$1005,1,MATCH(COLUMNS($AN$1006:BM1006),$AN$1006:$BO$1006,0))&gt;=100000), " ",IF(INDEX($AN$2:$BO$1001,MATCH(ROWS($AG$2:AG433),$AG$2:$AG$1001,0),MATCH(COLUMNS($AN$1006:BM1006),$AN$1006:$BO$1006,0)), HYPERLINK("#",""), HYPERLINK(CONCATENATE("#Metadata!", ADDRESS(INDEX($AI$2:$AI$1001,MATCH(ROWS($AG$2:AG433),$AG$2:$AG$1001,0),0), INDEX($AN$1004:$BO$1004,1,MATCH(COLUMNS($AN$1006:BM1006),$AN$1006:$BO$1006,0)))),"Fix")))</f>
        <v>0</v>
      </c>
      <c r="AB433" s="4">
        <f>IF(OR(INDEX($AH$2:$AH$1001,MATCH(ROWS($AG$2:AG433),$AG$2:$AG$1001,0),1)&gt;=100000,INDEX($AN$1005:$BO$1005,1,MATCH(COLUMNS($AN$1006:BN1006),$AN$1006:$BO$1006,0))&gt;=100000), " ",IF(INDEX($AN$2:$BO$1001,MATCH(ROWS($AG$2:AG433),$AG$2:$AG$1001,0),MATCH(COLUMNS($AN$1006:BN1006),$AN$1006:$BO$1006,0)), HYPERLINK("#",""), HYPERLINK(CONCATENATE("#Metadata!", ADDRESS(INDEX($AI$2:$AI$1001,MATCH(ROWS($AG$2:AG433),$AG$2:$AG$1001,0),0), INDEX($AN$1004:$BO$1004,1,MATCH(COLUMNS($AN$1006:BN1006),$AN$1006:$BO$1006,0)))),"Fix")))</f>
        <v>0</v>
      </c>
      <c r="AC433" s="4">
        <f>IF(OR(INDEX($AH$2:$AH$1001,MATCH(ROWS($AG$2:AG433),$AG$2:$AG$1001,0),1)&gt;=100000,INDEX($AN$1005:$BO$1005,1,MATCH(COLUMNS($AN$1006:BO1006),$AN$1006:$BO$1006,0))&gt;=100000), " ",IF(INDEX($AN$2:$BO$1001,MATCH(ROWS($AG$2:AG433),$AG$2:$AG$1001,0),MATCH(COLUMNS($AN$1006:BO1006),$AN$1006:$BO$1006,0)), HYPERLINK("#",""), HYPERLINK(CONCATENATE("#Metadata!", ADDRESS(INDEX($AI$2:$AI$1001,MATCH(ROWS($AG$2:AG433),$AG$2:$AG$1001,0),0), INDEX($AN$1004:$BO$1004,1,MATCH(COLUMNS($AN$1006:BO1006),$AN$1006:$BO$1006,0)))),"Fix")))</f>
        <v>0</v>
      </c>
      <c r="AG433">
        <v>0</v>
      </c>
      <c r="AH433">
        <v>0</v>
      </c>
      <c r="AI433">
        <v>0</v>
      </c>
      <c r="AJ433">
        <f>IF(AK433,TRUE,AND(AN433:BO433))</f>
        <v>0</v>
      </c>
      <c r="AK433">
        <f>COUNTBLANK(Metadata!B433:AC433)=COLUMNS(Metadata!B433:AC433)</f>
        <v>0</v>
      </c>
      <c r="AL433">
        <v>0</v>
      </c>
      <c r="AN433">
        <f>AND(IF(Metadata!B433="",FALSE,TRUE),COUNTIF(Metadata!B:B, Metadata!B433) = 1,NOT(ISERROR(SUMPRODUCT(SEARCH(MID(Metadata!B433,ROW(INDIRECT("1:"&amp;LEN(Metadata!B433))), 1),"0123456789abcdefghijklmnopqrstuvwxyzABCDEFGHIJKLMNOPQRSTUVWXYZ.")))))</f>
        <v>0</v>
      </c>
      <c r="AO433">
        <f>IF(Metadata!C433="",FALSE,TRUE)</f>
        <v>0</v>
      </c>
      <c r="AP433">
        <f>IF(Metadata!D433="",FALSE,TRUE)</f>
        <v>0</v>
      </c>
      <c r="AQ433">
        <f>OR(AND(IF(Metadata!E433="",FALSE,TRUE),OR(exact(Metadata!E433,"not collected"),exact(Metadata!E433,"not provided"),exact(Metadata!E433,"restricted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R433">
        <f>IF(Metadata!F433="",FALSE,TRUE)</f>
        <v>0</v>
      </c>
      <c r="AS433">
        <f>OR(AND(IF(Metadata!G433="",FALSE,TRUE),OR(exact(Metadata!G433,"not collected"),exact(Metadata!G433,"not provided"))),AND(IF(Metadata!G433="",FALSE,TRUE),OR(exact(Metadata!G433,"TRUE"),exact(Metadata!G433,"FALSE"))))</f>
        <v>0</v>
      </c>
      <c r="AT433">
        <f>OR(AND(IF(Metadata!H433="",FALSE,TRUE),OR(exact(Metadata!H433,"not collected"),exact(Metadata!H433,"not provided"),exact(Metadata!H433,"restricted access"))),AND(IF(Metadata!H433="",FALSE,ISNUMBER(VALUE(Metadata!H433))),Metadata!H433&gt;=-413.0))</f>
        <v>0</v>
      </c>
      <c r="AU433">
        <f>AND(IF(Metadata!I433="",FALSE,TRUE),exact(Metadata!I433,"meters"))</f>
        <v>0</v>
      </c>
      <c r="AV433">
        <f>AND(IF(Metadata!J433="",FALSE,TRUE),OR(exact(Metadata!J433,"Host-associated"),exact(Metadata!J433,"Free-living")))</f>
        <v>0</v>
      </c>
      <c r="AW433">
        <f>AND(IF(Metadata!K433="",FALSE,TRUE),OR(exact(Metadata!K433,"Animal"),exact(Metadata!K433,"Fungus"),exact(Metadata!K433,"Plant"),exact(Metadata!K433,"Saline"),exact(Metadata!K433,"Non-saline")))</f>
        <v>0</v>
      </c>
      <c r="AX433">
        <f>AND(IF(Metadata!L433="",FALSE,TRUE),OR(exact(Metadata!L433,"Plant secretion"),exact(Metadata!L433,"Plant rhizosphere"),exact(Metadata!L433,"Plant surface"),exact(Metadata!L433,"Plant corpus"),exact(Metadata!L433,"Fungus surface"),exact(Metadata!L433,"Fungus corpus"),exact(Metadata!L433,"Animal surface"),exact(Metadata!L433,"Animal proximal gut"),exact(Metadata!L433,"Animal corpus"),exact(Metadata!L433,"Animal distal gut"),exact(Metadata!L433,"Animal secretion"),exact(Metadata!L433,"Sub-surface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Y433">
        <f>IF(Metadata!M433="",FALSE,TRUE)</f>
        <v>0</v>
      </c>
      <c r="AZ433">
        <f>IF(Metadata!N433="",FALSE,TRUE)</f>
        <v>0</v>
      </c>
      <c r="BA433">
        <f>IF(Metadata!O433="",FALSE,TRUE)</f>
        <v>0</v>
      </c>
      <c r="BB433">
        <f>OR(AND(IF(Metadata!P433="",FALSE,TRUE),OR(exact(Metadata!P433,"not collected"),exact(Metadata!P433,"not provided"),exact(Metadata!P433,"restricted access"))),AND(IF(Metadata!P433="",FALSE,TRUE),OR(exact(Metadata!P433,"air"),exact(Metadata!P433,"built environment"),exact(Metadata!P433,"host-associated"),exact(Metadata!P433,"human-associated"),exact(Metadata!P433,"human-skin"),exact(Metadata!P433,"human-oral"),exact(Metadata!P433,"human-gut"),exact(Metadata!P433,"human-vaginal"),exact(Metadata!P433,"microbial mat/biofilm"),exact(Metadata!P433,"misc environment"),exact(Metadata!P433,"plant-associated"),exact(Metadata!P433,"sediment"),exact(Metadata!P433,"soil"),exact(Metadata!P433,"wastewater/sludge"),exact(Metadata!P433,"water"))))</f>
        <v>0</v>
      </c>
      <c r="BC433">
        <f>IF(Metadata!Q433="",FALSE,TRUE)</f>
        <v>0</v>
      </c>
      <c r="BD433">
        <f>IF(Metadata!R433="",FALSE,TRUE)</f>
        <v>0</v>
      </c>
      <c r="BE433">
        <f>OR(AND(IF(Metadata!S433="",FALSE,TRUE),OR(exact(Metadata!S433,"not collected"),exact(Metadata!S433,"not provided"),exact(Metadata!S433,"restricted access"))),AND(IF(Metadata!S433="",FALSE,ISNUMBER(VALUE(Metadata!S433))),Metadata!S433&gt;=-90.00,Metadata!S433&lt;=90.00))</f>
        <v>0</v>
      </c>
      <c r="BF433">
        <f>AND(IF(Metadata!T433="",FALSE,TRUE),exact(Metadata!T433,"Decimal degrees"))</f>
        <v>0</v>
      </c>
      <c r="BG433">
        <f>OR(AND(IF(Metadata!U433="",FALSE,TRUE),OR(exact(Metadata!U433,"not collected"),exact(Metadata!U433,"not provided"),exact(Metadata!U433,"restricted access"))),AND(IF(Metadata!U433="",FALSE,ISNUMBER(VALUE(Metadata!U433))),Metadata!U433&gt;=-180.00,Metadata!U433&lt;=180.00))</f>
        <v>0</v>
      </c>
      <c r="BH433">
        <f>AND(IF(Metadata!V433="",FALSE,TRUE),exact(Metadata!V433,"Decimal degrees"))</f>
        <v>0</v>
      </c>
      <c r="BI433">
        <f>IF(Metadata!W433="",FALSE,TRUE)</f>
        <v>0</v>
      </c>
      <c r="BJ433">
        <f>OR(AND(IF(Metadata!X433="",FALSE,TRUE),OR(exact(Metadata!X433,"not collected"),exact(Metadata!X433,"not provided"),exact(Metadata!X433,"restricted access"))),AND(IF(Metadata!X433="",FALSE,TRUE),OR(exact(Metadata!X433,"TRUE"),exact(Metadata!X433,"FALSE"))))</f>
        <v>0</v>
      </c>
      <c r="BK433">
        <f>AND(IF(Metadata!Y433="",FALSE,TRUE),exact(Metadata!Y433,"other"))</f>
        <v>0</v>
      </c>
      <c r="BL433">
        <f>IF(Metadata!Z433="",FALSE,TRUE)</f>
        <v>0</v>
      </c>
      <c r="BM433">
        <f>OR(AND(IF(Metadata!AA433="",FALSE,TRUE),OR(exact(Metadata!AA433,"not collected"),exact(Metadata!AA433,"not provided"))),AND(IF(Metadata!AA433="",FALSE,IF(ISERROR(INT(Metadata!AA433)),FALSE,INT(Metadata!AA433)=Metadata!AA433)),Metadata!AA433&gt;0))</f>
        <v>0</v>
      </c>
      <c r="BN433">
        <f>AND(IF(Metadata!AB433="",FALSE,TRUE),exact(Metadata!AB433,"Not applicable"))</f>
        <v>0</v>
      </c>
      <c r="BO433">
        <f>IF(Metadata!AC433="",FALSE,TRUE)</f>
        <v>0</v>
      </c>
    </row>
    <row r="434" spans="1:67">
      <c r="A434" s="5">
        <f>IF(B434=" "," ",HYPERLINK(CONCATENATE("#metadata!",ADDRESS(INDEX($AI$2:$AI$1001,MATCH(ROWS($AG$2:AG434),$AG$2:$AG$1001,0),0),1)),INDEX($AL$2:$AL$1001,MATCH(ROWS($AG$2:AG434),$AG$2:$AG$1001,0),0)))</f>
        <v>0</v>
      </c>
      <c r="B434" s="4">
        <f>IF(OR(INDEX($AH$2:$AH$1001,MATCH(ROWS($AG$2:AG434),$AG$2:$AG$1001,0),1)&gt;=100000,INDEX($AN$1005:$BO$1005,1,MATCH(COLUMNS($AN$1006:AN1006),$AN$1006:$BO$1006,0))&gt;=100000), " ",IF(INDEX($AN$2:$BO$1001,MATCH(ROWS($AG$2:AG434),$AG$2:$AG$1001,0),MATCH(COLUMNS($AN$1006:AN1006),$AN$1006:$BO$1006,0)), HYPERLINK("#",""), HYPERLINK(CONCATENATE("#Metadata!", ADDRESS(INDEX($AI$2:$AI$1001,MATCH(ROWS($AG$2:AG434),$AG$2:$AG$1001,0),0), INDEX($AN$1004:$BO$1004,1,MATCH(COLUMNS($AN$1006:AN1006),$AN$1006:$BO$1006,0)))),"Fix")))</f>
        <v>0</v>
      </c>
      <c r="C434" s="4">
        <f>IF(OR(INDEX($AH$2:$AH$1001,MATCH(ROWS($AG$2:AG434),$AG$2:$AG$1001,0),1)&gt;=100000,INDEX($AN$1005:$BO$1005,1,MATCH(COLUMNS($AN$1006:AO1006),$AN$1006:$BO$1006,0))&gt;=100000), " ",IF(INDEX($AN$2:$BO$1001,MATCH(ROWS($AG$2:AG434),$AG$2:$AG$1001,0),MATCH(COLUMNS($AN$1006:AO1006),$AN$1006:$BO$1006,0)), HYPERLINK("#",""), HYPERLINK(CONCATENATE("#Metadata!", ADDRESS(INDEX($AI$2:$AI$1001,MATCH(ROWS($AG$2:AG434),$AG$2:$AG$1001,0),0), INDEX($AN$1004:$BO$1004,1,MATCH(COLUMNS($AN$1006:AO1006),$AN$1006:$BO$1006,0)))),"Fix")))</f>
        <v>0</v>
      </c>
      <c r="D434" s="4">
        <f>IF(OR(INDEX($AH$2:$AH$1001,MATCH(ROWS($AG$2:AG434),$AG$2:$AG$1001,0),1)&gt;=100000,INDEX($AN$1005:$BO$1005,1,MATCH(COLUMNS($AN$1006:AP1006),$AN$1006:$BO$1006,0))&gt;=100000), " ",IF(INDEX($AN$2:$BO$1001,MATCH(ROWS($AG$2:AG434),$AG$2:$AG$1001,0),MATCH(COLUMNS($AN$1006:AP1006),$AN$1006:$BO$1006,0)), HYPERLINK("#",""), HYPERLINK(CONCATENATE("#Metadata!", ADDRESS(INDEX($AI$2:$AI$1001,MATCH(ROWS($AG$2:AG434),$AG$2:$AG$1001,0),0), INDEX($AN$1004:$BO$1004,1,MATCH(COLUMNS($AN$1006:AP1006),$AN$1006:$BO$1006,0)))),"Fix")))</f>
        <v>0</v>
      </c>
      <c r="E434" s="4">
        <f>IF(OR(INDEX($AH$2:$AH$1001,MATCH(ROWS($AG$2:AG434),$AG$2:$AG$1001,0),1)&gt;=100000,INDEX($AN$1005:$BO$1005,1,MATCH(COLUMNS($AN$1006:AQ1006),$AN$1006:$BO$1006,0))&gt;=100000), " ",IF(INDEX($AN$2:$BO$1001,MATCH(ROWS($AG$2:AG434),$AG$2:$AG$1001,0),MATCH(COLUMNS($AN$1006:AQ1006),$AN$1006:$BO$1006,0)), HYPERLINK("#",""), HYPERLINK(CONCATENATE("#Metadata!", ADDRESS(INDEX($AI$2:$AI$1001,MATCH(ROWS($AG$2:AG434),$AG$2:$AG$1001,0),0), INDEX($AN$1004:$BO$1004,1,MATCH(COLUMNS($AN$1006:AQ1006),$AN$1006:$BO$1006,0)))),"Fix")))</f>
        <v>0</v>
      </c>
      <c r="F434" s="4">
        <f>IF(OR(INDEX($AH$2:$AH$1001,MATCH(ROWS($AG$2:AG434),$AG$2:$AG$1001,0),1)&gt;=100000,INDEX($AN$1005:$BO$1005,1,MATCH(COLUMNS($AN$1006:AR1006),$AN$1006:$BO$1006,0))&gt;=100000), " ",IF(INDEX($AN$2:$BO$1001,MATCH(ROWS($AG$2:AG434),$AG$2:$AG$1001,0),MATCH(COLUMNS($AN$1006:AR1006),$AN$1006:$BO$1006,0)), HYPERLINK("#",""), HYPERLINK(CONCATENATE("#Metadata!", ADDRESS(INDEX($AI$2:$AI$1001,MATCH(ROWS($AG$2:AG434),$AG$2:$AG$1001,0),0), INDEX($AN$1004:$BO$1004,1,MATCH(COLUMNS($AN$1006:AR1006),$AN$1006:$BO$1006,0)))),"Fix")))</f>
        <v>0</v>
      </c>
      <c r="G434" s="4">
        <f>IF(OR(INDEX($AH$2:$AH$1001,MATCH(ROWS($AG$2:AG434),$AG$2:$AG$1001,0),1)&gt;=100000,INDEX($AN$1005:$BO$1005,1,MATCH(COLUMNS($AN$1006:AS1006),$AN$1006:$BO$1006,0))&gt;=100000), " ",IF(INDEX($AN$2:$BO$1001,MATCH(ROWS($AG$2:AG434),$AG$2:$AG$1001,0),MATCH(COLUMNS($AN$1006:AS1006),$AN$1006:$BO$1006,0)), HYPERLINK("#",""), HYPERLINK(CONCATENATE("#Metadata!", ADDRESS(INDEX($AI$2:$AI$1001,MATCH(ROWS($AG$2:AG434),$AG$2:$AG$1001,0),0), INDEX($AN$1004:$BO$1004,1,MATCH(COLUMNS($AN$1006:AS1006),$AN$1006:$BO$1006,0)))),"Fix")))</f>
        <v>0</v>
      </c>
      <c r="H434" s="4">
        <f>IF(OR(INDEX($AH$2:$AH$1001,MATCH(ROWS($AG$2:AG434),$AG$2:$AG$1001,0),1)&gt;=100000,INDEX($AN$1005:$BO$1005,1,MATCH(COLUMNS($AN$1006:AT1006),$AN$1006:$BO$1006,0))&gt;=100000), " ",IF(INDEX($AN$2:$BO$1001,MATCH(ROWS($AG$2:AG434),$AG$2:$AG$1001,0),MATCH(COLUMNS($AN$1006:AT1006),$AN$1006:$BO$1006,0)), HYPERLINK("#",""), HYPERLINK(CONCATENATE("#Metadata!", ADDRESS(INDEX($AI$2:$AI$1001,MATCH(ROWS($AG$2:AG434),$AG$2:$AG$1001,0),0), INDEX($AN$1004:$BO$1004,1,MATCH(COLUMNS($AN$1006:AT1006),$AN$1006:$BO$1006,0)))),"Fix")))</f>
        <v>0</v>
      </c>
      <c r="I434" s="4">
        <f>IF(OR(INDEX($AH$2:$AH$1001,MATCH(ROWS($AG$2:AG434),$AG$2:$AG$1001,0),1)&gt;=100000,INDEX($AN$1005:$BO$1005,1,MATCH(COLUMNS($AN$1006:AU1006),$AN$1006:$BO$1006,0))&gt;=100000), " ",IF(INDEX($AN$2:$BO$1001,MATCH(ROWS($AG$2:AG434),$AG$2:$AG$1001,0),MATCH(COLUMNS($AN$1006:AU1006),$AN$1006:$BO$1006,0)), HYPERLINK("#",""), HYPERLINK(CONCATENATE("#Metadata!", ADDRESS(INDEX($AI$2:$AI$1001,MATCH(ROWS($AG$2:AG434),$AG$2:$AG$1001,0),0), INDEX($AN$1004:$BO$1004,1,MATCH(COLUMNS($AN$1006:AU1006),$AN$1006:$BO$1006,0)))),"Fix")))</f>
        <v>0</v>
      </c>
      <c r="J434" s="4">
        <f>IF(OR(INDEX($AH$2:$AH$1001,MATCH(ROWS($AG$2:AG434),$AG$2:$AG$1001,0),1)&gt;=100000,INDEX($AN$1005:$BO$1005,1,MATCH(COLUMNS($AN$1006:AV1006),$AN$1006:$BO$1006,0))&gt;=100000), " ",IF(INDEX($AN$2:$BO$1001,MATCH(ROWS($AG$2:AG434),$AG$2:$AG$1001,0),MATCH(COLUMNS($AN$1006:AV1006),$AN$1006:$BO$1006,0)), HYPERLINK("#",""), HYPERLINK(CONCATENATE("#Metadata!", ADDRESS(INDEX($AI$2:$AI$1001,MATCH(ROWS($AG$2:AG434),$AG$2:$AG$1001,0),0), INDEX($AN$1004:$BO$1004,1,MATCH(COLUMNS($AN$1006:AV1006),$AN$1006:$BO$1006,0)))),"Fix")))</f>
        <v>0</v>
      </c>
      <c r="K434" s="4">
        <f>IF(OR(INDEX($AH$2:$AH$1001,MATCH(ROWS($AG$2:AG434),$AG$2:$AG$1001,0),1)&gt;=100000,INDEX($AN$1005:$BO$1005,1,MATCH(COLUMNS($AN$1006:AW1006),$AN$1006:$BO$1006,0))&gt;=100000), " ",IF(INDEX($AN$2:$BO$1001,MATCH(ROWS($AG$2:AG434),$AG$2:$AG$1001,0),MATCH(COLUMNS($AN$1006:AW1006),$AN$1006:$BO$1006,0)), HYPERLINK("#",""), HYPERLINK(CONCATENATE("#Metadata!", ADDRESS(INDEX($AI$2:$AI$1001,MATCH(ROWS($AG$2:AG434),$AG$2:$AG$1001,0),0), INDEX($AN$1004:$BO$1004,1,MATCH(COLUMNS($AN$1006:AW1006),$AN$1006:$BO$1006,0)))),"Fix")))</f>
        <v>0</v>
      </c>
      <c r="L434" s="4">
        <f>IF(OR(INDEX($AH$2:$AH$1001,MATCH(ROWS($AG$2:AG434),$AG$2:$AG$1001,0),1)&gt;=100000,INDEX($AN$1005:$BO$1005,1,MATCH(COLUMNS($AN$1006:AX1006),$AN$1006:$BO$1006,0))&gt;=100000), " ",IF(INDEX($AN$2:$BO$1001,MATCH(ROWS($AG$2:AG434),$AG$2:$AG$1001,0),MATCH(COLUMNS($AN$1006:AX1006),$AN$1006:$BO$1006,0)), HYPERLINK("#",""), HYPERLINK(CONCATENATE("#Metadata!", ADDRESS(INDEX($AI$2:$AI$1001,MATCH(ROWS($AG$2:AG434),$AG$2:$AG$1001,0),0), INDEX($AN$1004:$BO$1004,1,MATCH(COLUMNS($AN$1006:AX1006),$AN$1006:$BO$1006,0)))),"Fix")))</f>
        <v>0</v>
      </c>
      <c r="M434" s="4">
        <f>IF(OR(INDEX($AH$2:$AH$1001,MATCH(ROWS($AG$2:AG434),$AG$2:$AG$1001,0),1)&gt;=100000,INDEX($AN$1005:$BO$1005,1,MATCH(COLUMNS($AN$1006:AY1006),$AN$1006:$BO$1006,0))&gt;=100000), " ",IF(INDEX($AN$2:$BO$1001,MATCH(ROWS($AG$2:AG434),$AG$2:$AG$1001,0),MATCH(COLUMNS($AN$1006:AY1006),$AN$1006:$BO$1006,0)), HYPERLINK("#",""), HYPERLINK(CONCATENATE("#Metadata!", ADDRESS(INDEX($AI$2:$AI$1001,MATCH(ROWS($AG$2:AG434),$AG$2:$AG$1001,0),0), INDEX($AN$1004:$BO$1004,1,MATCH(COLUMNS($AN$1006:AY1006),$AN$1006:$BO$1006,0)))),"Fix")))</f>
        <v>0</v>
      </c>
      <c r="N434" s="4">
        <f>IF(OR(INDEX($AH$2:$AH$1001,MATCH(ROWS($AG$2:AG434),$AG$2:$AG$1001,0),1)&gt;=100000,INDEX($AN$1005:$BO$1005,1,MATCH(COLUMNS($AN$1006:AZ1006),$AN$1006:$BO$1006,0))&gt;=100000), " ",IF(INDEX($AN$2:$BO$1001,MATCH(ROWS($AG$2:AG434),$AG$2:$AG$1001,0),MATCH(COLUMNS($AN$1006:AZ1006),$AN$1006:$BO$1006,0)), HYPERLINK("#",""), HYPERLINK(CONCATENATE("#Metadata!", ADDRESS(INDEX($AI$2:$AI$1001,MATCH(ROWS($AG$2:AG434),$AG$2:$AG$1001,0),0), INDEX($AN$1004:$BO$1004,1,MATCH(COLUMNS($AN$1006:AZ1006),$AN$1006:$BO$1006,0)))),"Fix")))</f>
        <v>0</v>
      </c>
      <c r="O434" s="4">
        <f>IF(OR(INDEX($AH$2:$AH$1001,MATCH(ROWS($AG$2:AG434),$AG$2:$AG$1001,0),1)&gt;=100000,INDEX($AN$1005:$BO$1005,1,MATCH(COLUMNS($AN$1006:BA1006),$AN$1006:$BO$1006,0))&gt;=100000), " ",IF(INDEX($AN$2:$BO$1001,MATCH(ROWS($AG$2:AG434),$AG$2:$AG$1001,0),MATCH(COLUMNS($AN$1006:BA1006),$AN$1006:$BO$1006,0)), HYPERLINK("#",""), HYPERLINK(CONCATENATE("#Metadata!", ADDRESS(INDEX($AI$2:$AI$1001,MATCH(ROWS($AG$2:AG434),$AG$2:$AG$1001,0),0), INDEX($AN$1004:$BO$1004,1,MATCH(COLUMNS($AN$1006:BA1006),$AN$1006:$BO$1006,0)))),"Fix")))</f>
        <v>0</v>
      </c>
      <c r="P434" s="4">
        <f>IF(OR(INDEX($AH$2:$AH$1001,MATCH(ROWS($AG$2:AG434),$AG$2:$AG$1001,0),1)&gt;=100000,INDEX($AN$1005:$BO$1005,1,MATCH(COLUMNS($AN$1006:BB1006),$AN$1006:$BO$1006,0))&gt;=100000), " ",IF(INDEX($AN$2:$BO$1001,MATCH(ROWS($AG$2:AG434),$AG$2:$AG$1001,0),MATCH(COLUMNS($AN$1006:BB1006),$AN$1006:$BO$1006,0)), HYPERLINK("#",""), HYPERLINK(CONCATENATE("#Metadata!", ADDRESS(INDEX($AI$2:$AI$1001,MATCH(ROWS($AG$2:AG434),$AG$2:$AG$1001,0),0), INDEX($AN$1004:$BO$1004,1,MATCH(COLUMNS($AN$1006:BB1006),$AN$1006:$BO$1006,0)))),"Fix")))</f>
        <v>0</v>
      </c>
      <c r="Q434" s="4">
        <f>IF(OR(INDEX($AH$2:$AH$1001,MATCH(ROWS($AG$2:AG434),$AG$2:$AG$1001,0),1)&gt;=100000,INDEX($AN$1005:$BO$1005,1,MATCH(COLUMNS($AN$1006:BC1006),$AN$1006:$BO$1006,0))&gt;=100000), " ",IF(INDEX($AN$2:$BO$1001,MATCH(ROWS($AG$2:AG434),$AG$2:$AG$1001,0),MATCH(COLUMNS($AN$1006:BC1006),$AN$1006:$BO$1006,0)), HYPERLINK("#",""), HYPERLINK(CONCATENATE("#Metadata!", ADDRESS(INDEX($AI$2:$AI$1001,MATCH(ROWS($AG$2:AG434),$AG$2:$AG$1001,0),0), INDEX($AN$1004:$BO$1004,1,MATCH(COLUMNS($AN$1006:BC1006),$AN$1006:$BO$1006,0)))),"Fix")))</f>
        <v>0</v>
      </c>
      <c r="R434" s="4">
        <f>IF(OR(INDEX($AH$2:$AH$1001,MATCH(ROWS($AG$2:AG434),$AG$2:$AG$1001,0),1)&gt;=100000,INDEX($AN$1005:$BO$1005,1,MATCH(COLUMNS($AN$1006:BD1006),$AN$1006:$BO$1006,0))&gt;=100000), " ",IF(INDEX($AN$2:$BO$1001,MATCH(ROWS($AG$2:AG434),$AG$2:$AG$1001,0),MATCH(COLUMNS($AN$1006:BD1006),$AN$1006:$BO$1006,0)), HYPERLINK("#",""), HYPERLINK(CONCATENATE("#Metadata!", ADDRESS(INDEX($AI$2:$AI$1001,MATCH(ROWS($AG$2:AG434),$AG$2:$AG$1001,0),0), INDEX($AN$1004:$BO$1004,1,MATCH(COLUMNS($AN$1006:BD1006),$AN$1006:$BO$1006,0)))),"Fix")))</f>
        <v>0</v>
      </c>
      <c r="S434" s="4">
        <f>IF(OR(INDEX($AH$2:$AH$1001,MATCH(ROWS($AG$2:AG434),$AG$2:$AG$1001,0),1)&gt;=100000,INDEX($AN$1005:$BO$1005,1,MATCH(COLUMNS($AN$1006:BE1006),$AN$1006:$BO$1006,0))&gt;=100000), " ",IF(INDEX($AN$2:$BO$1001,MATCH(ROWS($AG$2:AG434),$AG$2:$AG$1001,0),MATCH(COLUMNS($AN$1006:BE1006),$AN$1006:$BO$1006,0)), HYPERLINK("#",""), HYPERLINK(CONCATENATE("#Metadata!", ADDRESS(INDEX($AI$2:$AI$1001,MATCH(ROWS($AG$2:AG434),$AG$2:$AG$1001,0),0), INDEX($AN$1004:$BO$1004,1,MATCH(COLUMNS($AN$1006:BE1006),$AN$1006:$BO$1006,0)))),"Fix")))</f>
        <v>0</v>
      </c>
      <c r="T434" s="4">
        <f>IF(OR(INDEX($AH$2:$AH$1001,MATCH(ROWS($AG$2:AG434),$AG$2:$AG$1001,0),1)&gt;=100000,INDEX($AN$1005:$BO$1005,1,MATCH(COLUMNS($AN$1006:BF1006),$AN$1006:$BO$1006,0))&gt;=100000), " ",IF(INDEX($AN$2:$BO$1001,MATCH(ROWS($AG$2:AG434),$AG$2:$AG$1001,0),MATCH(COLUMNS($AN$1006:BF1006),$AN$1006:$BO$1006,0)), HYPERLINK("#",""), HYPERLINK(CONCATENATE("#Metadata!", ADDRESS(INDEX($AI$2:$AI$1001,MATCH(ROWS($AG$2:AG434),$AG$2:$AG$1001,0),0), INDEX($AN$1004:$BO$1004,1,MATCH(COLUMNS($AN$1006:BF1006),$AN$1006:$BO$1006,0)))),"Fix")))</f>
        <v>0</v>
      </c>
      <c r="U434" s="4">
        <f>IF(OR(INDEX($AH$2:$AH$1001,MATCH(ROWS($AG$2:AG434),$AG$2:$AG$1001,0),1)&gt;=100000,INDEX($AN$1005:$BO$1005,1,MATCH(COLUMNS($AN$1006:BG1006),$AN$1006:$BO$1006,0))&gt;=100000), " ",IF(INDEX($AN$2:$BO$1001,MATCH(ROWS($AG$2:AG434),$AG$2:$AG$1001,0),MATCH(COLUMNS($AN$1006:BG1006),$AN$1006:$BO$1006,0)), HYPERLINK("#",""), HYPERLINK(CONCATENATE("#Metadata!", ADDRESS(INDEX($AI$2:$AI$1001,MATCH(ROWS($AG$2:AG434),$AG$2:$AG$1001,0),0), INDEX($AN$1004:$BO$1004,1,MATCH(COLUMNS($AN$1006:BG1006),$AN$1006:$BO$1006,0)))),"Fix")))</f>
        <v>0</v>
      </c>
      <c r="V434" s="4">
        <f>IF(OR(INDEX($AH$2:$AH$1001,MATCH(ROWS($AG$2:AG434),$AG$2:$AG$1001,0),1)&gt;=100000,INDEX($AN$1005:$BO$1005,1,MATCH(COLUMNS($AN$1006:BH1006),$AN$1006:$BO$1006,0))&gt;=100000), " ",IF(INDEX($AN$2:$BO$1001,MATCH(ROWS($AG$2:AG434),$AG$2:$AG$1001,0),MATCH(COLUMNS($AN$1006:BH1006),$AN$1006:$BO$1006,0)), HYPERLINK("#",""), HYPERLINK(CONCATENATE("#Metadata!", ADDRESS(INDEX($AI$2:$AI$1001,MATCH(ROWS($AG$2:AG434),$AG$2:$AG$1001,0),0), INDEX($AN$1004:$BO$1004,1,MATCH(COLUMNS($AN$1006:BH1006),$AN$1006:$BO$1006,0)))),"Fix")))</f>
        <v>0</v>
      </c>
      <c r="W434" s="4">
        <f>IF(OR(INDEX($AH$2:$AH$1001,MATCH(ROWS($AG$2:AG434),$AG$2:$AG$1001,0),1)&gt;=100000,INDEX($AN$1005:$BO$1005,1,MATCH(COLUMNS($AN$1006:BI1006),$AN$1006:$BO$1006,0))&gt;=100000), " ",IF(INDEX($AN$2:$BO$1001,MATCH(ROWS($AG$2:AG434),$AG$2:$AG$1001,0),MATCH(COLUMNS($AN$1006:BI1006),$AN$1006:$BO$1006,0)), HYPERLINK("#",""), HYPERLINK(CONCATENATE("#Metadata!", ADDRESS(INDEX($AI$2:$AI$1001,MATCH(ROWS($AG$2:AG434),$AG$2:$AG$1001,0),0), INDEX($AN$1004:$BO$1004,1,MATCH(COLUMNS($AN$1006:BI1006),$AN$1006:$BO$1006,0)))),"Fix")))</f>
        <v>0</v>
      </c>
      <c r="X434" s="4">
        <f>IF(OR(INDEX($AH$2:$AH$1001,MATCH(ROWS($AG$2:AG434),$AG$2:$AG$1001,0),1)&gt;=100000,INDEX($AN$1005:$BO$1005,1,MATCH(COLUMNS($AN$1006:BJ1006),$AN$1006:$BO$1006,0))&gt;=100000), " ",IF(INDEX($AN$2:$BO$1001,MATCH(ROWS($AG$2:AG434),$AG$2:$AG$1001,0),MATCH(COLUMNS($AN$1006:BJ1006),$AN$1006:$BO$1006,0)), HYPERLINK("#",""), HYPERLINK(CONCATENATE("#Metadata!", ADDRESS(INDEX($AI$2:$AI$1001,MATCH(ROWS($AG$2:AG434),$AG$2:$AG$1001,0),0), INDEX($AN$1004:$BO$1004,1,MATCH(COLUMNS($AN$1006:BJ1006),$AN$1006:$BO$1006,0)))),"Fix")))</f>
        <v>0</v>
      </c>
      <c r="Y434" s="4">
        <f>IF(OR(INDEX($AH$2:$AH$1001,MATCH(ROWS($AG$2:AG434),$AG$2:$AG$1001,0),1)&gt;=100000,INDEX($AN$1005:$BO$1005,1,MATCH(COLUMNS($AN$1006:BK1006),$AN$1006:$BO$1006,0))&gt;=100000), " ",IF(INDEX($AN$2:$BO$1001,MATCH(ROWS($AG$2:AG434),$AG$2:$AG$1001,0),MATCH(COLUMNS($AN$1006:BK1006),$AN$1006:$BO$1006,0)), HYPERLINK("#",""), HYPERLINK(CONCATENATE("#Metadata!", ADDRESS(INDEX($AI$2:$AI$1001,MATCH(ROWS($AG$2:AG434),$AG$2:$AG$1001,0),0), INDEX($AN$1004:$BO$1004,1,MATCH(COLUMNS($AN$1006:BK1006),$AN$1006:$BO$1006,0)))),"Fix")))</f>
        <v>0</v>
      </c>
      <c r="Z434" s="4">
        <f>IF(OR(INDEX($AH$2:$AH$1001,MATCH(ROWS($AG$2:AG434),$AG$2:$AG$1001,0),1)&gt;=100000,INDEX($AN$1005:$BO$1005,1,MATCH(COLUMNS($AN$1006:BL1006),$AN$1006:$BO$1006,0))&gt;=100000), " ",IF(INDEX($AN$2:$BO$1001,MATCH(ROWS($AG$2:AG434),$AG$2:$AG$1001,0),MATCH(COLUMNS($AN$1006:BL1006),$AN$1006:$BO$1006,0)), HYPERLINK("#",""), HYPERLINK(CONCATENATE("#Metadata!", ADDRESS(INDEX($AI$2:$AI$1001,MATCH(ROWS($AG$2:AG434),$AG$2:$AG$1001,0),0), INDEX($AN$1004:$BO$1004,1,MATCH(COLUMNS($AN$1006:BL1006),$AN$1006:$BO$1006,0)))),"Fix")))</f>
        <v>0</v>
      </c>
      <c r="AA434" s="4">
        <f>IF(OR(INDEX($AH$2:$AH$1001,MATCH(ROWS($AG$2:AG434),$AG$2:$AG$1001,0),1)&gt;=100000,INDEX($AN$1005:$BO$1005,1,MATCH(COLUMNS($AN$1006:BM1006),$AN$1006:$BO$1006,0))&gt;=100000), " ",IF(INDEX($AN$2:$BO$1001,MATCH(ROWS($AG$2:AG434),$AG$2:$AG$1001,0),MATCH(COLUMNS($AN$1006:BM1006),$AN$1006:$BO$1006,0)), HYPERLINK("#",""), HYPERLINK(CONCATENATE("#Metadata!", ADDRESS(INDEX($AI$2:$AI$1001,MATCH(ROWS($AG$2:AG434),$AG$2:$AG$1001,0),0), INDEX($AN$1004:$BO$1004,1,MATCH(COLUMNS($AN$1006:BM1006),$AN$1006:$BO$1006,0)))),"Fix")))</f>
        <v>0</v>
      </c>
      <c r="AB434" s="4">
        <f>IF(OR(INDEX($AH$2:$AH$1001,MATCH(ROWS($AG$2:AG434),$AG$2:$AG$1001,0),1)&gt;=100000,INDEX($AN$1005:$BO$1005,1,MATCH(COLUMNS($AN$1006:BN1006),$AN$1006:$BO$1006,0))&gt;=100000), " ",IF(INDEX($AN$2:$BO$1001,MATCH(ROWS($AG$2:AG434),$AG$2:$AG$1001,0),MATCH(COLUMNS($AN$1006:BN1006),$AN$1006:$BO$1006,0)), HYPERLINK("#",""), HYPERLINK(CONCATENATE("#Metadata!", ADDRESS(INDEX($AI$2:$AI$1001,MATCH(ROWS($AG$2:AG434),$AG$2:$AG$1001,0),0), INDEX($AN$1004:$BO$1004,1,MATCH(COLUMNS($AN$1006:BN1006),$AN$1006:$BO$1006,0)))),"Fix")))</f>
        <v>0</v>
      </c>
      <c r="AC434" s="4">
        <f>IF(OR(INDEX($AH$2:$AH$1001,MATCH(ROWS($AG$2:AG434),$AG$2:$AG$1001,0),1)&gt;=100000,INDEX($AN$1005:$BO$1005,1,MATCH(COLUMNS($AN$1006:BO1006),$AN$1006:$BO$1006,0))&gt;=100000), " ",IF(INDEX($AN$2:$BO$1001,MATCH(ROWS($AG$2:AG434),$AG$2:$AG$1001,0),MATCH(COLUMNS($AN$1006:BO1006),$AN$1006:$BO$1006,0)), HYPERLINK("#",""), HYPERLINK(CONCATENATE("#Metadata!", ADDRESS(INDEX($AI$2:$AI$1001,MATCH(ROWS($AG$2:AG434),$AG$2:$AG$1001,0),0), INDEX($AN$1004:$BO$1004,1,MATCH(COLUMNS($AN$1006:BO1006),$AN$1006:$BO$1006,0)))),"Fix")))</f>
        <v>0</v>
      </c>
      <c r="AG434">
        <v>0</v>
      </c>
      <c r="AH434">
        <v>0</v>
      </c>
      <c r="AI434">
        <v>0</v>
      </c>
      <c r="AJ434">
        <f>IF(AK434,TRUE,AND(AN434:BO434))</f>
        <v>0</v>
      </c>
      <c r="AK434">
        <f>COUNTBLANK(Metadata!B434:AC434)=COLUMNS(Metadata!B434:AC434)</f>
        <v>0</v>
      </c>
      <c r="AL434">
        <v>0</v>
      </c>
      <c r="AN434">
        <f>AND(IF(Metadata!B434="",FALSE,TRUE),COUNTIF(Metadata!B:B, Metadata!B434) = 1,NOT(ISERROR(SUMPRODUCT(SEARCH(MID(Metadata!B434,ROW(INDIRECT("1:"&amp;LEN(Metadata!B434))), 1),"0123456789abcdefghijklmnopqrstuvwxyzABCDEFGHIJKLMNOPQRSTUVWXYZ.")))))</f>
        <v>0</v>
      </c>
      <c r="AO434">
        <f>IF(Metadata!C434="",FALSE,TRUE)</f>
        <v>0</v>
      </c>
      <c r="AP434">
        <f>IF(Metadata!D434="",FALSE,TRUE)</f>
        <v>0</v>
      </c>
      <c r="AQ434">
        <f>OR(AND(IF(Metadata!E434="",FALSE,TRUE),OR(exact(Metadata!E434,"not collected"),exact(Metadata!E434,"not provided"),exact(Metadata!E434,"restricted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R434">
        <f>IF(Metadata!F434="",FALSE,TRUE)</f>
        <v>0</v>
      </c>
      <c r="AS434">
        <f>OR(AND(IF(Metadata!G434="",FALSE,TRUE),OR(exact(Metadata!G434,"not collected"),exact(Metadata!G434,"not provided"))),AND(IF(Metadata!G434="",FALSE,TRUE),OR(exact(Metadata!G434,"TRUE"),exact(Metadata!G434,"FALSE"))))</f>
        <v>0</v>
      </c>
      <c r="AT434">
        <f>OR(AND(IF(Metadata!H434="",FALSE,TRUE),OR(exact(Metadata!H434,"not collected"),exact(Metadata!H434,"not provided"),exact(Metadata!H434,"restricted access"))),AND(IF(Metadata!H434="",FALSE,ISNUMBER(VALUE(Metadata!H434))),Metadata!H434&gt;=-413.0))</f>
        <v>0</v>
      </c>
      <c r="AU434">
        <f>AND(IF(Metadata!I434="",FALSE,TRUE),exact(Metadata!I434,"meters"))</f>
        <v>0</v>
      </c>
      <c r="AV434">
        <f>AND(IF(Metadata!J434="",FALSE,TRUE),OR(exact(Metadata!J434,"Host-associated"),exact(Metadata!J434,"Free-living")))</f>
        <v>0</v>
      </c>
      <c r="AW434">
        <f>AND(IF(Metadata!K434="",FALSE,TRUE),OR(exact(Metadata!K434,"Animal"),exact(Metadata!K434,"Fungus"),exact(Metadata!K434,"Plant"),exact(Metadata!K434,"Saline"),exact(Metadata!K434,"Non-saline")))</f>
        <v>0</v>
      </c>
      <c r="AX434">
        <f>AND(IF(Metadata!L434="",FALSE,TRUE),OR(exact(Metadata!L434,"Plant secretion"),exact(Metadata!L434,"Plant rhizosphere"),exact(Metadata!L434,"Plant surface"),exact(Metadata!L434,"Plant corpus"),exact(Metadata!L434,"Fungus surface"),exact(Metadata!L434,"Fungus corpus"),exact(Metadata!L434,"Animal surface"),exact(Metadata!L434,"Animal proximal gut"),exact(Metadata!L434,"Animal corpus"),exact(Metadata!L434,"Animal distal gut"),exact(Metadata!L434,"Animal secretion"),exact(Metadata!L434,"Sub-surface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Y434">
        <f>IF(Metadata!M434="",FALSE,TRUE)</f>
        <v>0</v>
      </c>
      <c r="AZ434">
        <f>IF(Metadata!N434="",FALSE,TRUE)</f>
        <v>0</v>
      </c>
      <c r="BA434">
        <f>IF(Metadata!O434="",FALSE,TRUE)</f>
        <v>0</v>
      </c>
      <c r="BB434">
        <f>OR(AND(IF(Metadata!P434="",FALSE,TRUE),OR(exact(Metadata!P434,"not collected"),exact(Metadata!P434,"not provided"),exact(Metadata!P434,"restricted access"))),AND(IF(Metadata!P434="",FALSE,TRUE),OR(exact(Metadata!P434,"air"),exact(Metadata!P434,"built environment"),exact(Metadata!P434,"host-associated"),exact(Metadata!P434,"human-associated"),exact(Metadata!P434,"human-skin"),exact(Metadata!P434,"human-oral"),exact(Metadata!P434,"human-gut"),exact(Metadata!P434,"human-vaginal"),exact(Metadata!P434,"microbial mat/biofilm"),exact(Metadata!P434,"misc environment"),exact(Metadata!P434,"plant-associated"),exact(Metadata!P434,"sediment"),exact(Metadata!P434,"soil"),exact(Metadata!P434,"wastewater/sludge"),exact(Metadata!P434,"water"))))</f>
        <v>0</v>
      </c>
      <c r="BC434">
        <f>IF(Metadata!Q434="",FALSE,TRUE)</f>
        <v>0</v>
      </c>
      <c r="BD434">
        <f>IF(Metadata!R434="",FALSE,TRUE)</f>
        <v>0</v>
      </c>
      <c r="BE434">
        <f>OR(AND(IF(Metadata!S434="",FALSE,TRUE),OR(exact(Metadata!S434,"not collected"),exact(Metadata!S434,"not provided"),exact(Metadata!S434,"restricted access"))),AND(IF(Metadata!S434="",FALSE,ISNUMBER(VALUE(Metadata!S434))),Metadata!S434&gt;=-90.00,Metadata!S434&lt;=90.00))</f>
        <v>0</v>
      </c>
      <c r="BF434">
        <f>AND(IF(Metadata!T434="",FALSE,TRUE),exact(Metadata!T434,"Decimal degrees"))</f>
        <v>0</v>
      </c>
      <c r="BG434">
        <f>OR(AND(IF(Metadata!U434="",FALSE,TRUE),OR(exact(Metadata!U434,"not collected"),exact(Metadata!U434,"not provided"),exact(Metadata!U434,"restricted access"))),AND(IF(Metadata!U434="",FALSE,ISNUMBER(VALUE(Metadata!U434))),Metadata!U434&gt;=-180.00,Metadata!U434&lt;=180.00))</f>
        <v>0</v>
      </c>
      <c r="BH434">
        <f>AND(IF(Metadata!V434="",FALSE,TRUE),exact(Metadata!V434,"Decimal degrees"))</f>
        <v>0</v>
      </c>
      <c r="BI434">
        <f>IF(Metadata!W434="",FALSE,TRUE)</f>
        <v>0</v>
      </c>
      <c r="BJ434">
        <f>OR(AND(IF(Metadata!X434="",FALSE,TRUE),OR(exact(Metadata!X434,"not collected"),exact(Metadata!X434,"not provided"),exact(Metadata!X434,"restricted access"))),AND(IF(Metadata!X434="",FALSE,TRUE),OR(exact(Metadata!X434,"TRUE"),exact(Metadata!X434,"FALSE"))))</f>
        <v>0</v>
      </c>
      <c r="BK434">
        <f>AND(IF(Metadata!Y434="",FALSE,TRUE),exact(Metadata!Y434,"other"))</f>
        <v>0</v>
      </c>
      <c r="BL434">
        <f>IF(Metadata!Z434="",FALSE,TRUE)</f>
        <v>0</v>
      </c>
      <c r="BM434">
        <f>OR(AND(IF(Metadata!AA434="",FALSE,TRUE),OR(exact(Metadata!AA434,"not collected"),exact(Metadata!AA434,"not provided"))),AND(IF(Metadata!AA434="",FALSE,IF(ISERROR(INT(Metadata!AA434)),FALSE,INT(Metadata!AA434)=Metadata!AA434)),Metadata!AA434&gt;0))</f>
        <v>0</v>
      </c>
      <c r="BN434">
        <f>AND(IF(Metadata!AB434="",FALSE,TRUE),exact(Metadata!AB434,"Not applicable"))</f>
        <v>0</v>
      </c>
      <c r="BO434">
        <f>IF(Metadata!AC434="",FALSE,TRUE)</f>
        <v>0</v>
      </c>
    </row>
    <row r="435" spans="1:67">
      <c r="A435" s="5">
        <f>IF(B435=" "," ",HYPERLINK(CONCATENATE("#metadata!",ADDRESS(INDEX($AI$2:$AI$1001,MATCH(ROWS($AG$2:AG435),$AG$2:$AG$1001,0),0),1)),INDEX($AL$2:$AL$1001,MATCH(ROWS($AG$2:AG435),$AG$2:$AG$1001,0),0)))</f>
        <v>0</v>
      </c>
      <c r="B435" s="4">
        <f>IF(OR(INDEX($AH$2:$AH$1001,MATCH(ROWS($AG$2:AG435),$AG$2:$AG$1001,0),1)&gt;=100000,INDEX($AN$1005:$BO$1005,1,MATCH(COLUMNS($AN$1006:AN1006),$AN$1006:$BO$1006,0))&gt;=100000), " ",IF(INDEX($AN$2:$BO$1001,MATCH(ROWS($AG$2:AG435),$AG$2:$AG$1001,0),MATCH(COLUMNS($AN$1006:AN1006),$AN$1006:$BO$1006,0)), HYPERLINK("#",""), HYPERLINK(CONCATENATE("#Metadata!", ADDRESS(INDEX($AI$2:$AI$1001,MATCH(ROWS($AG$2:AG435),$AG$2:$AG$1001,0),0), INDEX($AN$1004:$BO$1004,1,MATCH(COLUMNS($AN$1006:AN1006),$AN$1006:$BO$1006,0)))),"Fix")))</f>
        <v>0</v>
      </c>
      <c r="C435" s="4">
        <f>IF(OR(INDEX($AH$2:$AH$1001,MATCH(ROWS($AG$2:AG435),$AG$2:$AG$1001,0),1)&gt;=100000,INDEX($AN$1005:$BO$1005,1,MATCH(COLUMNS($AN$1006:AO1006),$AN$1006:$BO$1006,0))&gt;=100000), " ",IF(INDEX($AN$2:$BO$1001,MATCH(ROWS($AG$2:AG435),$AG$2:$AG$1001,0),MATCH(COLUMNS($AN$1006:AO1006),$AN$1006:$BO$1006,0)), HYPERLINK("#",""), HYPERLINK(CONCATENATE("#Metadata!", ADDRESS(INDEX($AI$2:$AI$1001,MATCH(ROWS($AG$2:AG435),$AG$2:$AG$1001,0),0), INDEX($AN$1004:$BO$1004,1,MATCH(COLUMNS($AN$1006:AO1006),$AN$1006:$BO$1006,0)))),"Fix")))</f>
        <v>0</v>
      </c>
      <c r="D435" s="4">
        <f>IF(OR(INDEX($AH$2:$AH$1001,MATCH(ROWS($AG$2:AG435),$AG$2:$AG$1001,0),1)&gt;=100000,INDEX($AN$1005:$BO$1005,1,MATCH(COLUMNS($AN$1006:AP1006),$AN$1006:$BO$1006,0))&gt;=100000), " ",IF(INDEX($AN$2:$BO$1001,MATCH(ROWS($AG$2:AG435),$AG$2:$AG$1001,0),MATCH(COLUMNS($AN$1006:AP1006),$AN$1006:$BO$1006,0)), HYPERLINK("#",""), HYPERLINK(CONCATENATE("#Metadata!", ADDRESS(INDEX($AI$2:$AI$1001,MATCH(ROWS($AG$2:AG435),$AG$2:$AG$1001,0),0), INDEX($AN$1004:$BO$1004,1,MATCH(COLUMNS($AN$1006:AP1006),$AN$1006:$BO$1006,0)))),"Fix")))</f>
        <v>0</v>
      </c>
      <c r="E435" s="4">
        <f>IF(OR(INDEX($AH$2:$AH$1001,MATCH(ROWS($AG$2:AG435),$AG$2:$AG$1001,0),1)&gt;=100000,INDEX($AN$1005:$BO$1005,1,MATCH(COLUMNS($AN$1006:AQ1006),$AN$1006:$BO$1006,0))&gt;=100000), " ",IF(INDEX($AN$2:$BO$1001,MATCH(ROWS($AG$2:AG435),$AG$2:$AG$1001,0),MATCH(COLUMNS($AN$1006:AQ1006),$AN$1006:$BO$1006,0)), HYPERLINK("#",""), HYPERLINK(CONCATENATE("#Metadata!", ADDRESS(INDEX($AI$2:$AI$1001,MATCH(ROWS($AG$2:AG435),$AG$2:$AG$1001,0),0), INDEX($AN$1004:$BO$1004,1,MATCH(COLUMNS($AN$1006:AQ1006),$AN$1006:$BO$1006,0)))),"Fix")))</f>
        <v>0</v>
      </c>
      <c r="F435" s="4">
        <f>IF(OR(INDEX($AH$2:$AH$1001,MATCH(ROWS($AG$2:AG435),$AG$2:$AG$1001,0),1)&gt;=100000,INDEX($AN$1005:$BO$1005,1,MATCH(COLUMNS($AN$1006:AR1006),$AN$1006:$BO$1006,0))&gt;=100000), " ",IF(INDEX($AN$2:$BO$1001,MATCH(ROWS($AG$2:AG435),$AG$2:$AG$1001,0),MATCH(COLUMNS($AN$1006:AR1006),$AN$1006:$BO$1006,0)), HYPERLINK("#",""), HYPERLINK(CONCATENATE("#Metadata!", ADDRESS(INDEX($AI$2:$AI$1001,MATCH(ROWS($AG$2:AG435),$AG$2:$AG$1001,0),0), INDEX($AN$1004:$BO$1004,1,MATCH(COLUMNS($AN$1006:AR1006),$AN$1006:$BO$1006,0)))),"Fix")))</f>
        <v>0</v>
      </c>
      <c r="G435" s="4">
        <f>IF(OR(INDEX($AH$2:$AH$1001,MATCH(ROWS($AG$2:AG435),$AG$2:$AG$1001,0),1)&gt;=100000,INDEX($AN$1005:$BO$1005,1,MATCH(COLUMNS($AN$1006:AS1006),$AN$1006:$BO$1006,0))&gt;=100000), " ",IF(INDEX($AN$2:$BO$1001,MATCH(ROWS($AG$2:AG435),$AG$2:$AG$1001,0),MATCH(COLUMNS($AN$1006:AS1006),$AN$1006:$BO$1006,0)), HYPERLINK("#",""), HYPERLINK(CONCATENATE("#Metadata!", ADDRESS(INDEX($AI$2:$AI$1001,MATCH(ROWS($AG$2:AG435),$AG$2:$AG$1001,0),0), INDEX($AN$1004:$BO$1004,1,MATCH(COLUMNS($AN$1006:AS1006),$AN$1006:$BO$1006,0)))),"Fix")))</f>
        <v>0</v>
      </c>
      <c r="H435" s="4">
        <f>IF(OR(INDEX($AH$2:$AH$1001,MATCH(ROWS($AG$2:AG435),$AG$2:$AG$1001,0),1)&gt;=100000,INDEX($AN$1005:$BO$1005,1,MATCH(COLUMNS($AN$1006:AT1006),$AN$1006:$BO$1006,0))&gt;=100000), " ",IF(INDEX($AN$2:$BO$1001,MATCH(ROWS($AG$2:AG435),$AG$2:$AG$1001,0),MATCH(COLUMNS($AN$1006:AT1006),$AN$1006:$BO$1006,0)), HYPERLINK("#",""), HYPERLINK(CONCATENATE("#Metadata!", ADDRESS(INDEX($AI$2:$AI$1001,MATCH(ROWS($AG$2:AG435),$AG$2:$AG$1001,0),0), INDEX($AN$1004:$BO$1004,1,MATCH(COLUMNS($AN$1006:AT1006),$AN$1006:$BO$1006,0)))),"Fix")))</f>
        <v>0</v>
      </c>
      <c r="I435" s="4">
        <f>IF(OR(INDEX($AH$2:$AH$1001,MATCH(ROWS($AG$2:AG435),$AG$2:$AG$1001,0),1)&gt;=100000,INDEX($AN$1005:$BO$1005,1,MATCH(COLUMNS($AN$1006:AU1006),$AN$1006:$BO$1006,0))&gt;=100000), " ",IF(INDEX($AN$2:$BO$1001,MATCH(ROWS($AG$2:AG435),$AG$2:$AG$1001,0),MATCH(COLUMNS($AN$1006:AU1006),$AN$1006:$BO$1006,0)), HYPERLINK("#",""), HYPERLINK(CONCATENATE("#Metadata!", ADDRESS(INDEX($AI$2:$AI$1001,MATCH(ROWS($AG$2:AG435),$AG$2:$AG$1001,0),0), INDEX($AN$1004:$BO$1004,1,MATCH(COLUMNS($AN$1006:AU1006),$AN$1006:$BO$1006,0)))),"Fix")))</f>
        <v>0</v>
      </c>
      <c r="J435" s="4">
        <f>IF(OR(INDEX($AH$2:$AH$1001,MATCH(ROWS($AG$2:AG435),$AG$2:$AG$1001,0),1)&gt;=100000,INDEX($AN$1005:$BO$1005,1,MATCH(COLUMNS($AN$1006:AV1006),$AN$1006:$BO$1006,0))&gt;=100000), " ",IF(INDEX($AN$2:$BO$1001,MATCH(ROWS($AG$2:AG435),$AG$2:$AG$1001,0),MATCH(COLUMNS($AN$1006:AV1006),$AN$1006:$BO$1006,0)), HYPERLINK("#",""), HYPERLINK(CONCATENATE("#Metadata!", ADDRESS(INDEX($AI$2:$AI$1001,MATCH(ROWS($AG$2:AG435),$AG$2:$AG$1001,0),0), INDEX($AN$1004:$BO$1004,1,MATCH(COLUMNS($AN$1006:AV1006),$AN$1006:$BO$1006,0)))),"Fix")))</f>
        <v>0</v>
      </c>
      <c r="K435" s="4">
        <f>IF(OR(INDEX($AH$2:$AH$1001,MATCH(ROWS($AG$2:AG435),$AG$2:$AG$1001,0),1)&gt;=100000,INDEX($AN$1005:$BO$1005,1,MATCH(COLUMNS($AN$1006:AW1006),$AN$1006:$BO$1006,0))&gt;=100000), " ",IF(INDEX($AN$2:$BO$1001,MATCH(ROWS($AG$2:AG435),$AG$2:$AG$1001,0),MATCH(COLUMNS($AN$1006:AW1006),$AN$1006:$BO$1006,0)), HYPERLINK("#",""), HYPERLINK(CONCATENATE("#Metadata!", ADDRESS(INDEX($AI$2:$AI$1001,MATCH(ROWS($AG$2:AG435),$AG$2:$AG$1001,0),0), INDEX($AN$1004:$BO$1004,1,MATCH(COLUMNS($AN$1006:AW1006),$AN$1006:$BO$1006,0)))),"Fix")))</f>
        <v>0</v>
      </c>
      <c r="L435" s="4">
        <f>IF(OR(INDEX($AH$2:$AH$1001,MATCH(ROWS($AG$2:AG435),$AG$2:$AG$1001,0),1)&gt;=100000,INDEX($AN$1005:$BO$1005,1,MATCH(COLUMNS($AN$1006:AX1006),$AN$1006:$BO$1006,0))&gt;=100000), " ",IF(INDEX($AN$2:$BO$1001,MATCH(ROWS($AG$2:AG435),$AG$2:$AG$1001,0),MATCH(COLUMNS($AN$1006:AX1006),$AN$1006:$BO$1006,0)), HYPERLINK("#",""), HYPERLINK(CONCATENATE("#Metadata!", ADDRESS(INDEX($AI$2:$AI$1001,MATCH(ROWS($AG$2:AG435),$AG$2:$AG$1001,0),0), INDEX($AN$1004:$BO$1004,1,MATCH(COLUMNS($AN$1006:AX1006),$AN$1006:$BO$1006,0)))),"Fix")))</f>
        <v>0</v>
      </c>
      <c r="M435" s="4">
        <f>IF(OR(INDEX($AH$2:$AH$1001,MATCH(ROWS($AG$2:AG435),$AG$2:$AG$1001,0),1)&gt;=100000,INDEX($AN$1005:$BO$1005,1,MATCH(COLUMNS($AN$1006:AY1006),$AN$1006:$BO$1006,0))&gt;=100000), " ",IF(INDEX($AN$2:$BO$1001,MATCH(ROWS($AG$2:AG435),$AG$2:$AG$1001,0),MATCH(COLUMNS($AN$1006:AY1006),$AN$1006:$BO$1006,0)), HYPERLINK("#",""), HYPERLINK(CONCATENATE("#Metadata!", ADDRESS(INDEX($AI$2:$AI$1001,MATCH(ROWS($AG$2:AG435),$AG$2:$AG$1001,0),0), INDEX($AN$1004:$BO$1004,1,MATCH(COLUMNS($AN$1006:AY1006),$AN$1006:$BO$1006,0)))),"Fix")))</f>
        <v>0</v>
      </c>
      <c r="N435" s="4">
        <f>IF(OR(INDEX($AH$2:$AH$1001,MATCH(ROWS($AG$2:AG435),$AG$2:$AG$1001,0),1)&gt;=100000,INDEX($AN$1005:$BO$1005,1,MATCH(COLUMNS($AN$1006:AZ1006),$AN$1006:$BO$1006,0))&gt;=100000), " ",IF(INDEX($AN$2:$BO$1001,MATCH(ROWS($AG$2:AG435),$AG$2:$AG$1001,0),MATCH(COLUMNS($AN$1006:AZ1006),$AN$1006:$BO$1006,0)), HYPERLINK("#",""), HYPERLINK(CONCATENATE("#Metadata!", ADDRESS(INDEX($AI$2:$AI$1001,MATCH(ROWS($AG$2:AG435),$AG$2:$AG$1001,0),0), INDEX($AN$1004:$BO$1004,1,MATCH(COLUMNS($AN$1006:AZ1006),$AN$1006:$BO$1006,0)))),"Fix")))</f>
        <v>0</v>
      </c>
      <c r="O435" s="4">
        <f>IF(OR(INDEX($AH$2:$AH$1001,MATCH(ROWS($AG$2:AG435),$AG$2:$AG$1001,0),1)&gt;=100000,INDEX($AN$1005:$BO$1005,1,MATCH(COLUMNS($AN$1006:BA1006),$AN$1006:$BO$1006,0))&gt;=100000), " ",IF(INDEX($AN$2:$BO$1001,MATCH(ROWS($AG$2:AG435),$AG$2:$AG$1001,0),MATCH(COLUMNS($AN$1006:BA1006),$AN$1006:$BO$1006,0)), HYPERLINK("#",""), HYPERLINK(CONCATENATE("#Metadata!", ADDRESS(INDEX($AI$2:$AI$1001,MATCH(ROWS($AG$2:AG435),$AG$2:$AG$1001,0),0), INDEX($AN$1004:$BO$1004,1,MATCH(COLUMNS($AN$1006:BA1006),$AN$1006:$BO$1006,0)))),"Fix")))</f>
        <v>0</v>
      </c>
      <c r="P435" s="4">
        <f>IF(OR(INDEX($AH$2:$AH$1001,MATCH(ROWS($AG$2:AG435),$AG$2:$AG$1001,0),1)&gt;=100000,INDEX($AN$1005:$BO$1005,1,MATCH(COLUMNS($AN$1006:BB1006),$AN$1006:$BO$1006,0))&gt;=100000), " ",IF(INDEX($AN$2:$BO$1001,MATCH(ROWS($AG$2:AG435),$AG$2:$AG$1001,0),MATCH(COLUMNS($AN$1006:BB1006),$AN$1006:$BO$1006,0)), HYPERLINK("#",""), HYPERLINK(CONCATENATE("#Metadata!", ADDRESS(INDEX($AI$2:$AI$1001,MATCH(ROWS($AG$2:AG435),$AG$2:$AG$1001,0),0), INDEX($AN$1004:$BO$1004,1,MATCH(COLUMNS($AN$1006:BB1006),$AN$1006:$BO$1006,0)))),"Fix")))</f>
        <v>0</v>
      </c>
      <c r="Q435" s="4">
        <f>IF(OR(INDEX($AH$2:$AH$1001,MATCH(ROWS($AG$2:AG435),$AG$2:$AG$1001,0),1)&gt;=100000,INDEX($AN$1005:$BO$1005,1,MATCH(COLUMNS($AN$1006:BC1006),$AN$1006:$BO$1006,0))&gt;=100000), " ",IF(INDEX($AN$2:$BO$1001,MATCH(ROWS($AG$2:AG435),$AG$2:$AG$1001,0),MATCH(COLUMNS($AN$1006:BC1006),$AN$1006:$BO$1006,0)), HYPERLINK("#",""), HYPERLINK(CONCATENATE("#Metadata!", ADDRESS(INDEX($AI$2:$AI$1001,MATCH(ROWS($AG$2:AG435),$AG$2:$AG$1001,0),0), INDEX($AN$1004:$BO$1004,1,MATCH(COLUMNS($AN$1006:BC1006),$AN$1006:$BO$1006,0)))),"Fix")))</f>
        <v>0</v>
      </c>
      <c r="R435" s="4">
        <f>IF(OR(INDEX($AH$2:$AH$1001,MATCH(ROWS($AG$2:AG435),$AG$2:$AG$1001,0),1)&gt;=100000,INDEX($AN$1005:$BO$1005,1,MATCH(COLUMNS($AN$1006:BD1006),$AN$1006:$BO$1006,0))&gt;=100000), " ",IF(INDEX($AN$2:$BO$1001,MATCH(ROWS($AG$2:AG435),$AG$2:$AG$1001,0),MATCH(COLUMNS($AN$1006:BD1006),$AN$1006:$BO$1006,0)), HYPERLINK("#",""), HYPERLINK(CONCATENATE("#Metadata!", ADDRESS(INDEX($AI$2:$AI$1001,MATCH(ROWS($AG$2:AG435),$AG$2:$AG$1001,0),0), INDEX($AN$1004:$BO$1004,1,MATCH(COLUMNS($AN$1006:BD1006),$AN$1006:$BO$1006,0)))),"Fix")))</f>
        <v>0</v>
      </c>
      <c r="S435" s="4">
        <f>IF(OR(INDEX($AH$2:$AH$1001,MATCH(ROWS($AG$2:AG435),$AG$2:$AG$1001,0),1)&gt;=100000,INDEX($AN$1005:$BO$1005,1,MATCH(COLUMNS($AN$1006:BE1006),$AN$1006:$BO$1006,0))&gt;=100000), " ",IF(INDEX($AN$2:$BO$1001,MATCH(ROWS($AG$2:AG435),$AG$2:$AG$1001,0),MATCH(COLUMNS($AN$1006:BE1006),$AN$1006:$BO$1006,0)), HYPERLINK("#",""), HYPERLINK(CONCATENATE("#Metadata!", ADDRESS(INDEX($AI$2:$AI$1001,MATCH(ROWS($AG$2:AG435),$AG$2:$AG$1001,0),0), INDEX($AN$1004:$BO$1004,1,MATCH(COLUMNS($AN$1006:BE1006),$AN$1006:$BO$1006,0)))),"Fix")))</f>
        <v>0</v>
      </c>
      <c r="T435" s="4">
        <f>IF(OR(INDEX($AH$2:$AH$1001,MATCH(ROWS($AG$2:AG435),$AG$2:$AG$1001,0),1)&gt;=100000,INDEX($AN$1005:$BO$1005,1,MATCH(COLUMNS($AN$1006:BF1006),$AN$1006:$BO$1006,0))&gt;=100000), " ",IF(INDEX($AN$2:$BO$1001,MATCH(ROWS($AG$2:AG435),$AG$2:$AG$1001,0),MATCH(COLUMNS($AN$1006:BF1006),$AN$1006:$BO$1006,0)), HYPERLINK("#",""), HYPERLINK(CONCATENATE("#Metadata!", ADDRESS(INDEX($AI$2:$AI$1001,MATCH(ROWS($AG$2:AG435),$AG$2:$AG$1001,0),0), INDEX($AN$1004:$BO$1004,1,MATCH(COLUMNS($AN$1006:BF1006),$AN$1006:$BO$1006,0)))),"Fix")))</f>
        <v>0</v>
      </c>
      <c r="U435" s="4">
        <f>IF(OR(INDEX($AH$2:$AH$1001,MATCH(ROWS($AG$2:AG435),$AG$2:$AG$1001,0),1)&gt;=100000,INDEX($AN$1005:$BO$1005,1,MATCH(COLUMNS($AN$1006:BG1006),$AN$1006:$BO$1006,0))&gt;=100000), " ",IF(INDEX($AN$2:$BO$1001,MATCH(ROWS($AG$2:AG435),$AG$2:$AG$1001,0),MATCH(COLUMNS($AN$1006:BG1006),$AN$1006:$BO$1006,0)), HYPERLINK("#",""), HYPERLINK(CONCATENATE("#Metadata!", ADDRESS(INDEX($AI$2:$AI$1001,MATCH(ROWS($AG$2:AG435),$AG$2:$AG$1001,0),0), INDEX($AN$1004:$BO$1004,1,MATCH(COLUMNS($AN$1006:BG1006),$AN$1006:$BO$1006,0)))),"Fix")))</f>
        <v>0</v>
      </c>
      <c r="V435" s="4">
        <f>IF(OR(INDEX($AH$2:$AH$1001,MATCH(ROWS($AG$2:AG435),$AG$2:$AG$1001,0),1)&gt;=100000,INDEX($AN$1005:$BO$1005,1,MATCH(COLUMNS($AN$1006:BH1006),$AN$1006:$BO$1006,0))&gt;=100000), " ",IF(INDEX($AN$2:$BO$1001,MATCH(ROWS($AG$2:AG435),$AG$2:$AG$1001,0),MATCH(COLUMNS($AN$1006:BH1006),$AN$1006:$BO$1006,0)), HYPERLINK("#",""), HYPERLINK(CONCATENATE("#Metadata!", ADDRESS(INDEX($AI$2:$AI$1001,MATCH(ROWS($AG$2:AG435),$AG$2:$AG$1001,0),0), INDEX($AN$1004:$BO$1004,1,MATCH(COLUMNS($AN$1006:BH1006),$AN$1006:$BO$1006,0)))),"Fix")))</f>
        <v>0</v>
      </c>
      <c r="W435" s="4">
        <f>IF(OR(INDEX($AH$2:$AH$1001,MATCH(ROWS($AG$2:AG435),$AG$2:$AG$1001,0),1)&gt;=100000,INDEX($AN$1005:$BO$1005,1,MATCH(COLUMNS($AN$1006:BI1006),$AN$1006:$BO$1006,0))&gt;=100000), " ",IF(INDEX($AN$2:$BO$1001,MATCH(ROWS($AG$2:AG435),$AG$2:$AG$1001,0),MATCH(COLUMNS($AN$1006:BI1006),$AN$1006:$BO$1006,0)), HYPERLINK("#",""), HYPERLINK(CONCATENATE("#Metadata!", ADDRESS(INDEX($AI$2:$AI$1001,MATCH(ROWS($AG$2:AG435),$AG$2:$AG$1001,0),0), INDEX($AN$1004:$BO$1004,1,MATCH(COLUMNS($AN$1006:BI1006),$AN$1006:$BO$1006,0)))),"Fix")))</f>
        <v>0</v>
      </c>
      <c r="X435" s="4">
        <f>IF(OR(INDEX($AH$2:$AH$1001,MATCH(ROWS($AG$2:AG435),$AG$2:$AG$1001,0),1)&gt;=100000,INDEX($AN$1005:$BO$1005,1,MATCH(COLUMNS($AN$1006:BJ1006),$AN$1006:$BO$1006,0))&gt;=100000), " ",IF(INDEX($AN$2:$BO$1001,MATCH(ROWS($AG$2:AG435),$AG$2:$AG$1001,0),MATCH(COLUMNS($AN$1006:BJ1006),$AN$1006:$BO$1006,0)), HYPERLINK("#",""), HYPERLINK(CONCATENATE("#Metadata!", ADDRESS(INDEX($AI$2:$AI$1001,MATCH(ROWS($AG$2:AG435),$AG$2:$AG$1001,0),0), INDEX($AN$1004:$BO$1004,1,MATCH(COLUMNS($AN$1006:BJ1006),$AN$1006:$BO$1006,0)))),"Fix")))</f>
        <v>0</v>
      </c>
      <c r="Y435" s="4">
        <f>IF(OR(INDEX($AH$2:$AH$1001,MATCH(ROWS($AG$2:AG435),$AG$2:$AG$1001,0),1)&gt;=100000,INDEX($AN$1005:$BO$1005,1,MATCH(COLUMNS($AN$1006:BK1006),$AN$1006:$BO$1006,0))&gt;=100000), " ",IF(INDEX($AN$2:$BO$1001,MATCH(ROWS($AG$2:AG435),$AG$2:$AG$1001,0),MATCH(COLUMNS($AN$1006:BK1006),$AN$1006:$BO$1006,0)), HYPERLINK("#",""), HYPERLINK(CONCATENATE("#Metadata!", ADDRESS(INDEX($AI$2:$AI$1001,MATCH(ROWS($AG$2:AG435),$AG$2:$AG$1001,0),0), INDEX($AN$1004:$BO$1004,1,MATCH(COLUMNS($AN$1006:BK1006),$AN$1006:$BO$1006,0)))),"Fix")))</f>
        <v>0</v>
      </c>
      <c r="Z435" s="4">
        <f>IF(OR(INDEX($AH$2:$AH$1001,MATCH(ROWS($AG$2:AG435),$AG$2:$AG$1001,0),1)&gt;=100000,INDEX($AN$1005:$BO$1005,1,MATCH(COLUMNS($AN$1006:BL1006),$AN$1006:$BO$1006,0))&gt;=100000), " ",IF(INDEX($AN$2:$BO$1001,MATCH(ROWS($AG$2:AG435),$AG$2:$AG$1001,0),MATCH(COLUMNS($AN$1006:BL1006),$AN$1006:$BO$1006,0)), HYPERLINK("#",""), HYPERLINK(CONCATENATE("#Metadata!", ADDRESS(INDEX($AI$2:$AI$1001,MATCH(ROWS($AG$2:AG435),$AG$2:$AG$1001,0),0), INDEX($AN$1004:$BO$1004,1,MATCH(COLUMNS($AN$1006:BL1006),$AN$1006:$BO$1006,0)))),"Fix")))</f>
        <v>0</v>
      </c>
      <c r="AA435" s="4">
        <f>IF(OR(INDEX($AH$2:$AH$1001,MATCH(ROWS($AG$2:AG435),$AG$2:$AG$1001,0),1)&gt;=100000,INDEX($AN$1005:$BO$1005,1,MATCH(COLUMNS($AN$1006:BM1006),$AN$1006:$BO$1006,0))&gt;=100000), " ",IF(INDEX($AN$2:$BO$1001,MATCH(ROWS($AG$2:AG435),$AG$2:$AG$1001,0),MATCH(COLUMNS($AN$1006:BM1006),$AN$1006:$BO$1006,0)), HYPERLINK("#",""), HYPERLINK(CONCATENATE("#Metadata!", ADDRESS(INDEX($AI$2:$AI$1001,MATCH(ROWS($AG$2:AG435),$AG$2:$AG$1001,0),0), INDEX($AN$1004:$BO$1004,1,MATCH(COLUMNS($AN$1006:BM1006),$AN$1006:$BO$1006,0)))),"Fix")))</f>
        <v>0</v>
      </c>
      <c r="AB435" s="4">
        <f>IF(OR(INDEX($AH$2:$AH$1001,MATCH(ROWS($AG$2:AG435),$AG$2:$AG$1001,0),1)&gt;=100000,INDEX($AN$1005:$BO$1005,1,MATCH(COLUMNS($AN$1006:BN1006),$AN$1006:$BO$1006,0))&gt;=100000), " ",IF(INDEX($AN$2:$BO$1001,MATCH(ROWS($AG$2:AG435),$AG$2:$AG$1001,0),MATCH(COLUMNS($AN$1006:BN1006),$AN$1006:$BO$1006,0)), HYPERLINK("#",""), HYPERLINK(CONCATENATE("#Metadata!", ADDRESS(INDEX($AI$2:$AI$1001,MATCH(ROWS($AG$2:AG435),$AG$2:$AG$1001,0),0), INDEX($AN$1004:$BO$1004,1,MATCH(COLUMNS($AN$1006:BN1006),$AN$1006:$BO$1006,0)))),"Fix")))</f>
        <v>0</v>
      </c>
      <c r="AC435" s="4">
        <f>IF(OR(INDEX($AH$2:$AH$1001,MATCH(ROWS($AG$2:AG435),$AG$2:$AG$1001,0),1)&gt;=100000,INDEX($AN$1005:$BO$1005,1,MATCH(COLUMNS($AN$1006:BO1006),$AN$1006:$BO$1006,0))&gt;=100000), " ",IF(INDEX($AN$2:$BO$1001,MATCH(ROWS($AG$2:AG435),$AG$2:$AG$1001,0),MATCH(COLUMNS($AN$1006:BO1006),$AN$1006:$BO$1006,0)), HYPERLINK("#",""), HYPERLINK(CONCATENATE("#Metadata!", ADDRESS(INDEX($AI$2:$AI$1001,MATCH(ROWS($AG$2:AG435),$AG$2:$AG$1001,0),0), INDEX($AN$1004:$BO$1004,1,MATCH(COLUMNS($AN$1006:BO1006),$AN$1006:$BO$1006,0)))),"Fix")))</f>
        <v>0</v>
      </c>
      <c r="AG435">
        <v>0</v>
      </c>
      <c r="AH435">
        <v>0</v>
      </c>
      <c r="AI435">
        <v>0</v>
      </c>
      <c r="AJ435">
        <f>IF(AK435,TRUE,AND(AN435:BO435))</f>
        <v>0</v>
      </c>
      <c r="AK435">
        <f>COUNTBLANK(Metadata!B435:AC435)=COLUMNS(Metadata!B435:AC435)</f>
        <v>0</v>
      </c>
      <c r="AL435">
        <v>0</v>
      </c>
      <c r="AN435">
        <f>AND(IF(Metadata!B435="",FALSE,TRUE),COUNTIF(Metadata!B:B, Metadata!B435) = 1,NOT(ISERROR(SUMPRODUCT(SEARCH(MID(Metadata!B435,ROW(INDIRECT("1:"&amp;LEN(Metadata!B435))), 1),"0123456789abcdefghijklmnopqrstuvwxyzABCDEFGHIJKLMNOPQRSTUVWXYZ.")))))</f>
        <v>0</v>
      </c>
      <c r="AO435">
        <f>IF(Metadata!C435="",FALSE,TRUE)</f>
        <v>0</v>
      </c>
      <c r="AP435">
        <f>IF(Metadata!D435="",FALSE,TRUE)</f>
        <v>0</v>
      </c>
      <c r="AQ435">
        <f>OR(AND(IF(Metadata!E435="",FALSE,TRUE),OR(exact(Metadata!E435,"not collected"),exact(Metadata!E435,"not provided"),exact(Metadata!E435,"restricted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R435">
        <f>IF(Metadata!F435="",FALSE,TRUE)</f>
        <v>0</v>
      </c>
      <c r="AS435">
        <f>OR(AND(IF(Metadata!G435="",FALSE,TRUE),OR(exact(Metadata!G435,"not collected"),exact(Metadata!G435,"not provided"))),AND(IF(Metadata!G435="",FALSE,TRUE),OR(exact(Metadata!G435,"TRUE"),exact(Metadata!G435,"FALSE"))))</f>
        <v>0</v>
      </c>
      <c r="AT435">
        <f>OR(AND(IF(Metadata!H435="",FALSE,TRUE),OR(exact(Metadata!H435,"not collected"),exact(Metadata!H435,"not provided"),exact(Metadata!H435,"restricted access"))),AND(IF(Metadata!H435="",FALSE,ISNUMBER(VALUE(Metadata!H435))),Metadata!H435&gt;=-413.0))</f>
        <v>0</v>
      </c>
      <c r="AU435">
        <f>AND(IF(Metadata!I435="",FALSE,TRUE),exact(Metadata!I435,"meters"))</f>
        <v>0</v>
      </c>
      <c r="AV435">
        <f>AND(IF(Metadata!J435="",FALSE,TRUE),OR(exact(Metadata!J435,"Host-associated"),exact(Metadata!J435,"Free-living")))</f>
        <v>0</v>
      </c>
      <c r="AW435">
        <f>AND(IF(Metadata!K435="",FALSE,TRUE),OR(exact(Metadata!K435,"Animal"),exact(Metadata!K435,"Fungus"),exact(Metadata!K435,"Plant"),exact(Metadata!K435,"Saline"),exact(Metadata!K435,"Non-saline")))</f>
        <v>0</v>
      </c>
      <c r="AX435">
        <f>AND(IF(Metadata!L435="",FALSE,TRUE),OR(exact(Metadata!L435,"Plant secretion"),exact(Metadata!L435,"Plant rhizosphere"),exact(Metadata!L435,"Plant surface"),exact(Metadata!L435,"Plant corpus"),exact(Metadata!L435,"Fungus surface"),exact(Metadata!L435,"Fungus corpus"),exact(Metadata!L435,"Animal surface"),exact(Metadata!L435,"Animal proximal gut"),exact(Metadata!L435,"Animal corpus"),exact(Metadata!L435,"Animal distal gut"),exact(Metadata!L435,"Animal secretion"),exact(Metadata!L435,"Sub-surface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Y435">
        <f>IF(Metadata!M435="",FALSE,TRUE)</f>
        <v>0</v>
      </c>
      <c r="AZ435">
        <f>IF(Metadata!N435="",FALSE,TRUE)</f>
        <v>0</v>
      </c>
      <c r="BA435">
        <f>IF(Metadata!O435="",FALSE,TRUE)</f>
        <v>0</v>
      </c>
      <c r="BB435">
        <f>OR(AND(IF(Metadata!P435="",FALSE,TRUE),OR(exact(Metadata!P435,"not collected"),exact(Metadata!P435,"not provided"),exact(Metadata!P435,"restricted access"))),AND(IF(Metadata!P435="",FALSE,TRUE),OR(exact(Metadata!P435,"air"),exact(Metadata!P435,"built environment"),exact(Metadata!P435,"host-associated"),exact(Metadata!P435,"human-associated"),exact(Metadata!P435,"human-skin"),exact(Metadata!P435,"human-oral"),exact(Metadata!P435,"human-gut"),exact(Metadata!P435,"human-vaginal"),exact(Metadata!P435,"microbial mat/biofilm"),exact(Metadata!P435,"misc environment"),exact(Metadata!P435,"plant-associated"),exact(Metadata!P435,"sediment"),exact(Metadata!P435,"soil"),exact(Metadata!P435,"wastewater/sludge"),exact(Metadata!P435,"water"))))</f>
        <v>0</v>
      </c>
      <c r="BC435">
        <f>IF(Metadata!Q435="",FALSE,TRUE)</f>
        <v>0</v>
      </c>
      <c r="BD435">
        <f>IF(Metadata!R435="",FALSE,TRUE)</f>
        <v>0</v>
      </c>
      <c r="BE435">
        <f>OR(AND(IF(Metadata!S435="",FALSE,TRUE),OR(exact(Metadata!S435,"not collected"),exact(Metadata!S435,"not provided"),exact(Metadata!S435,"restricted access"))),AND(IF(Metadata!S435="",FALSE,ISNUMBER(VALUE(Metadata!S435))),Metadata!S435&gt;=-90.00,Metadata!S435&lt;=90.00))</f>
        <v>0</v>
      </c>
      <c r="BF435">
        <f>AND(IF(Metadata!T435="",FALSE,TRUE),exact(Metadata!T435,"Decimal degrees"))</f>
        <v>0</v>
      </c>
      <c r="BG435">
        <f>OR(AND(IF(Metadata!U435="",FALSE,TRUE),OR(exact(Metadata!U435,"not collected"),exact(Metadata!U435,"not provided"),exact(Metadata!U435,"restricted access"))),AND(IF(Metadata!U435="",FALSE,ISNUMBER(VALUE(Metadata!U435))),Metadata!U435&gt;=-180.00,Metadata!U435&lt;=180.00))</f>
        <v>0</v>
      </c>
      <c r="BH435">
        <f>AND(IF(Metadata!V435="",FALSE,TRUE),exact(Metadata!V435,"Decimal degrees"))</f>
        <v>0</v>
      </c>
      <c r="BI435">
        <f>IF(Metadata!W435="",FALSE,TRUE)</f>
        <v>0</v>
      </c>
      <c r="BJ435">
        <f>OR(AND(IF(Metadata!X435="",FALSE,TRUE),OR(exact(Metadata!X435,"not collected"),exact(Metadata!X435,"not provided"),exact(Metadata!X435,"restricted access"))),AND(IF(Metadata!X435="",FALSE,TRUE),OR(exact(Metadata!X435,"TRUE"),exact(Metadata!X435,"FALSE"))))</f>
        <v>0</v>
      </c>
      <c r="BK435">
        <f>AND(IF(Metadata!Y435="",FALSE,TRUE),exact(Metadata!Y435,"other"))</f>
        <v>0</v>
      </c>
      <c r="BL435">
        <f>IF(Metadata!Z435="",FALSE,TRUE)</f>
        <v>0</v>
      </c>
      <c r="BM435">
        <f>OR(AND(IF(Metadata!AA435="",FALSE,TRUE),OR(exact(Metadata!AA435,"not collected"),exact(Metadata!AA435,"not provided"))),AND(IF(Metadata!AA435="",FALSE,IF(ISERROR(INT(Metadata!AA435)),FALSE,INT(Metadata!AA435)=Metadata!AA435)),Metadata!AA435&gt;0))</f>
        <v>0</v>
      </c>
      <c r="BN435">
        <f>AND(IF(Metadata!AB435="",FALSE,TRUE),exact(Metadata!AB435,"Not applicable"))</f>
        <v>0</v>
      </c>
      <c r="BO435">
        <f>IF(Metadata!AC435="",FALSE,TRUE)</f>
        <v>0</v>
      </c>
    </row>
    <row r="436" spans="1:67">
      <c r="A436" s="5">
        <f>IF(B436=" "," ",HYPERLINK(CONCATENATE("#metadata!",ADDRESS(INDEX($AI$2:$AI$1001,MATCH(ROWS($AG$2:AG436),$AG$2:$AG$1001,0),0),1)),INDEX($AL$2:$AL$1001,MATCH(ROWS($AG$2:AG436),$AG$2:$AG$1001,0),0)))</f>
        <v>0</v>
      </c>
      <c r="B436" s="4">
        <f>IF(OR(INDEX($AH$2:$AH$1001,MATCH(ROWS($AG$2:AG436),$AG$2:$AG$1001,0),1)&gt;=100000,INDEX($AN$1005:$BO$1005,1,MATCH(COLUMNS($AN$1006:AN1006),$AN$1006:$BO$1006,0))&gt;=100000), " ",IF(INDEX($AN$2:$BO$1001,MATCH(ROWS($AG$2:AG436),$AG$2:$AG$1001,0),MATCH(COLUMNS($AN$1006:AN1006),$AN$1006:$BO$1006,0)), HYPERLINK("#",""), HYPERLINK(CONCATENATE("#Metadata!", ADDRESS(INDEX($AI$2:$AI$1001,MATCH(ROWS($AG$2:AG436),$AG$2:$AG$1001,0),0), INDEX($AN$1004:$BO$1004,1,MATCH(COLUMNS($AN$1006:AN1006),$AN$1006:$BO$1006,0)))),"Fix")))</f>
        <v>0</v>
      </c>
      <c r="C436" s="4">
        <f>IF(OR(INDEX($AH$2:$AH$1001,MATCH(ROWS($AG$2:AG436),$AG$2:$AG$1001,0),1)&gt;=100000,INDEX($AN$1005:$BO$1005,1,MATCH(COLUMNS($AN$1006:AO1006),$AN$1006:$BO$1006,0))&gt;=100000), " ",IF(INDEX($AN$2:$BO$1001,MATCH(ROWS($AG$2:AG436),$AG$2:$AG$1001,0),MATCH(COLUMNS($AN$1006:AO1006),$AN$1006:$BO$1006,0)), HYPERLINK("#",""), HYPERLINK(CONCATENATE("#Metadata!", ADDRESS(INDEX($AI$2:$AI$1001,MATCH(ROWS($AG$2:AG436),$AG$2:$AG$1001,0),0), INDEX($AN$1004:$BO$1004,1,MATCH(COLUMNS($AN$1006:AO1006),$AN$1006:$BO$1006,0)))),"Fix")))</f>
        <v>0</v>
      </c>
      <c r="D436" s="4">
        <f>IF(OR(INDEX($AH$2:$AH$1001,MATCH(ROWS($AG$2:AG436),$AG$2:$AG$1001,0),1)&gt;=100000,INDEX($AN$1005:$BO$1005,1,MATCH(COLUMNS($AN$1006:AP1006),$AN$1006:$BO$1006,0))&gt;=100000), " ",IF(INDEX($AN$2:$BO$1001,MATCH(ROWS($AG$2:AG436),$AG$2:$AG$1001,0),MATCH(COLUMNS($AN$1006:AP1006),$AN$1006:$BO$1006,0)), HYPERLINK("#",""), HYPERLINK(CONCATENATE("#Metadata!", ADDRESS(INDEX($AI$2:$AI$1001,MATCH(ROWS($AG$2:AG436),$AG$2:$AG$1001,0),0), INDEX($AN$1004:$BO$1004,1,MATCH(COLUMNS($AN$1006:AP1006),$AN$1006:$BO$1006,0)))),"Fix")))</f>
        <v>0</v>
      </c>
      <c r="E436" s="4">
        <f>IF(OR(INDEX($AH$2:$AH$1001,MATCH(ROWS($AG$2:AG436),$AG$2:$AG$1001,0),1)&gt;=100000,INDEX($AN$1005:$BO$1005,1,MATCH(COLUMNS($AN$1006:AQ1006),$AN$1006:$BO$1006,0))&gt;=100000), " ",IF(INDEX($AN$2:$BO$1001,MATCH(ROWS($AG$2:AG436),$AG$2:$AG$1001,0),MATCH(COLUMNS($AN$1006:AQ1006),$AN$1006:$BO$1006,0)), HYPERLINK("#",""), HYPERLINK(CONCATENATE("#Metadata!", ADDRESS(INDEX($AI$2:$AI$1001,MATCH(ROWS($AG$2:AG436),$AG$2:$AG$1001,0),0), INDEX($AN$1004:$BO$1004,1,MATCH(COLUMNS($AN$1006:AQ1006),$AN$1006:$BO$1006,0)))),"Fix")))</f>
        <v>0</v>
      </c>
      <c r="F436" s="4">
        <f>IF(OR(INDEX($AH$2:$AH$1001,MATCH(ROWS($AG$2:AG436),$AG$2:$AG$1001,0),1)&gt;=100000,INDEX($AN$1005:$BO$1005,1,MATCH(COLUMNS($AN$1006:AR1006),$AN$1006:$BO$1006,0))&gt;=100000), " ",IF(INDEX($AN$2:$BO$1001,MATCH(ROWS($AG$2:AG436),$AG$2:$AG$1001,0),MATCH(COLUMNS($AN$1006:AR1006),$AN$1006:$BO$1006,0)), HYPERLINK("#",""), HYPERLINK(CONCATENATE("#Metadata!", ADDRESS(INDEX($AI$2:$AI$1001,MATCH(ROWS($AG$2:AG436),$AG$2:$AG$1001,0),0), INDEX($AN$1004:$BO$1004,1,MATCH(COLUMNS($AN$1006:AR1006),$AN$1006:$BO$1006,0)))),"Fix")))</f>
        <v>0</v>
      </c>
      <c r="G436" s="4">
        <f>IF(OR(INDEX($AH$2:$AH$1001,MATCH(ROWS($AG$2:AG436),$AG$2:$AG$1001,0),1)&gt;=100000,INDEX($AN$1005:$BO$1005,1,MATCH(COLUMNS($AN$1006:AS1006),$AN$1006:$BO$1006,0))&gt;=100000), " ",IF(INDEX($AN$2:$BO$1001,MATCH(ROWS($AG$2:AG436),$AG$2:$AG$1001,0),MATCH(COLUMNS($AN$1006:AS1006),$AN$1006:$BO$1006,0)), HYPERLINK("#",""), HYPERLINK(CONCATENATE("#Metadata!", ADDRESS(INDEX($AI$2:$AI$1001,MATCH(ROWS($AG$2:AG436),$AG$2:$AG$1001,0),0), INDEX($AN$1004:$BO$1004,1,MATCH(COLUMNS($AN$1006:AS1006),$AN$1006:$BO$1006,0)))),"Fix")))</f>
        <v>0</v>
      </c>
      <c r="H436" s="4">
        <f>IF(OR(INDEX($AH$2:$AH$1001,MATCH(ROWS($AG$2:AG436),$AG$2:$AG$1001,0),1)&gt;=100000,INDEX($AN$1005:$BO$1005,1,MATCH(COLUMNS($AN$1006:AT1006),$AN$1006:$BO$1006,0))&gt;=100000), " ",IF(INDEX($AN$2:$BO$1001,MATCH(ROWS($AG$2:AG436),$AG$2:$AG$1001,0),MATCH(COLUMNS($AN$1006:AT1006),$AN$1006:$BO$1006,0)), HYPERLINK("#",""), HYPERLINK(CONCATENATE("#Metadata!", ADDRESS(INDEX($AI$2:$AI$1001,MATCH(ROWS($AG$2:AG436),$AG$2:$AG$1001,0),0), INDEX($AN$1004:$BO$1004,1,MATCH(COLUMNS($AN$1006:AT1006),$AN$1006:$BO$1006,0)))),"Fix")))</f>
        <v>0</v>
      </c>
      <c r="I436" s="4">
        <f>IF(OR(INDEX($AH$2:$AH$1001,MATCH(ROWS($AG$2:AG436),$AG$2:$AG$1001,0),1)&gt;=100000,INDEX($AN$1005:$BO$1005,1,MATCH(COLUMNS($AN$1006:AU1006),$AN$1006:$BO$1006,0))&gt;=100000), " ",IF(INDEX($AN$2:$BO$1001,MATCH(ROWS($AG$2:AG436),$AG$2:$AG$1001,0),MATCH(COLUMNS($AN$1006:AU1006),$AN$1006:$BO$1006,0)), HYPERLINK("#",""), HYPERLINK(CONCATENATE("#Metadata!", ADDRESS(INDEX($AI$2:$AI$1001,MATCH(ROWS($AG$2:AG436),$AG$2:$AG$1001,0),0), INDEX($AN$1004:$BO$1004,1,MATCH(COLUMNS($AN$1006:AU1006),$AN$1006:$BO$1006,0)))),"Fix")))</f>
        <v>0</v>
      </c>
      <c r="J436" s="4">
        <f>IF(OR(INDEX($AH$2:$AH$1001,MATCH(ROWS($AG$2:AG436),$AG$2:$AG$1001,0),1)&gt;=100000,INDEX($AN$1005:$BO$1005,1,MATCH(COLUMNS($AN$1006:AV1006),$AN$1006:$BO$1006,0))&gt;=100000), " ",IF(INDEX($AN$2:$BO$1001,MATCH(ROWS($AG$2:AG436),$AG$2:$AG$1001,0),MATCH(COLUMNS($AN$1006:AV1006),$AN$1006:$BO$1006,0)), HYPERLINK("#",""), HYPERLINK(CONCATENATE("#Metadata!", ADDRESS(INDEX($AI$2:$AI$1001,MATCH(ROWS($AG$2:AG436),$AG$2:$AG$1001,0),0), INDEX($AN$1004:$BO$1004,1,MATCH(COLUMNS($AN$1006:AV1006),$AN$1006:$BO$1006,0)))),"Fix")))</f>
        <v>0</v>
      </c>
      <c r="K436" s="4">
        <f>IF(OR(INDEX($AH$2:$AH$1001,MATCH(ROWS($AG$2:AG436),$AG$2:$AG$1001,0),1)&gt;=100000,INDEX($AN$1005:$BO$1005,1,MATCH(COLUMNS($AN$1006:AW1006),$AN$1006:$BO$1006,0))&gt;=100000), " ",IF(INDEX($AN$2:$BO$1001,MATCH(ROWS($AG$2:AG436),$AG$2:$AG$1001,0),MATCH(COLUMNS($AN$1006:AW1006),$AN$1006:$BO$1006,0)), HYPERLINK("#",""), HYPERLINK(CONCATENATE("#Metadata!", ADDRESS(INDEX($AI$2:$AI$1001,MATCH(ROWS($AG$2:AG436),$AG$2:$AG$1001,0),0), INDEX($AN$1004:$BO$1004,1,MATCH(COLUMNS($AN$1006:AW1006),$AN$1006:$BO$1006,0)))),"Fix")))</f>
        <v>0</v>
      </c>
      <c r="L436" s="4">
        <f>IF(OR(INDEX($AH$2:$AH$1001,MATCH(ROWS($AG$2:AG436),$AG$2:$AG$1001,0),1)&gt;=100000,INDEX($AN$1005:$BO$1005,1,MATCH(COLUMNS($AN$1006:AX1006),$AN$1006:$BO$1006,0))&gt;=100000), " ",IF(INDEX($AN$2:$BO$1001,MATCH(ROWS($AG$2:AG436),$AG$2:$AG$1001,0),MATCH(COLUMNS($AN$1006:AX1006),$AN$1006:$BO$1006,0)), HYPERLINK("#",""), HYPERLINK(CONCATENATE("#Metadata!", ADDRESS(INDEX($AI$2:$AI$1001,MATCH(ROWS($AG$2:AG436),$AG$2:$AG$1001,0),0), INDEX($AN$1004:$BO$1004,1,MATCH(COLUMNS($AN$1006:AX1006),$AN$1006:$BO$1006,0)))),"Fix")))</f>
        <v>0</v>
      </c>
      <c r="M436" s="4">
        <f>IF(OR(INDEX($AH$2:$AH$1001,MATCH(ROWS($AG$2:AG436),$AG$2:$AG$1001,0),1)&gt;=100000,INDEX($AN$1005:$BO$1005,1,MATCH(COLUMNS($AN$1006:AY1006),$AN$1006:$BO$1006,0))&gt;=100000), " ",IF(INDEX($AN$2:$BO$1001,MATCH(ROWS($AG$2:AG436),$AG$2:$AG$1001,0),MATCH(COLUMNS($AN$1006:AY1006),$AN$1006:$BO$1006,0)), HYPERLINK("#",""), HYPERLINK(CONCATENATE("#Metadata!", ADDRESS(INDEX($AI$2:$AI$1001,MATCH(ROWS($AG$2:AG436),$AG$2:$AG$1001,0),0), INDEX($AN$1004:$BO$1004,1,MATCH(COLUMNS($AN$1006:AY1006),$AN$1006:$BO$1006,0)))),"Fix")))</f>
        <v>0</v>
      </c>
      <c r="N436" s="4">
        <f>IF(OR(INDEX($AH$2:$AH$1001,MATCH(ROWS($AG$2:AG436),$AG$2:$AG$1001,0),1)&gt;=100000,INDEX($AN$1005:$BO$1005,1,MATCH(COLUMNS($AN$1006:AZ1006),$AN$1006:$BO$1006,0))&gt;=100000), " ",IF(INDEX($AN$2:$BO$1001,MATCH(ROWS($AG$2:AG436),$AG$2:$AG$1001,0),MATCH(COLUMNS($AN$1006:AZ1006),$AN$1006:$BO$1006,0)), HYPERLINK("#",""), HYPERLINK(CONCATENATE("#Metadata!", ADDRESS(INDEX($AI$2:$AI$1001,MATCH(ROWS($AG$2:AG436),$AG$2:$AG$1001,0),0), INDEX($AN$1004:$BO$1004,1,MATCH(COLUMNS($AN$1006:AZ1006),$AN$1006:$BO$1006,0)))),"Fix")))</f>
        <v>0</v>
      </c>
      <c r="O436" s="4">
        <f>IF(OR(INDEX($AH$2:$AH$1001,MATCH(ROWS($AG$2:AG436),$AG$2:$AG$1001,0),1)&gt;=100000,INDEX($AN$1005:$BO$1005,1,MATCH(COLUMNS($AN$1006:BA1006),$AN$1006:$BO$1006,0))&gt;=100000), " ",IF(INDEX($AN$2:$BO$1001,MATCH(ROWS($AG$2:AG436),$AG$2:$AG$1001,0),MATCH(COLUMNS($AN$1006:BA1006),$AN$1006:$BO$1006,0)), HYPERLINK("#",""), HYPERLINK(CONCATENATE("#Metadata!", ADDRESS(INDEX($AI$2:$AI$1001,MATCH(ROWS($AG$2:AG436),$AG$2:$AG$1001,0),0), INDEX($AN$1004:$BO$1004,1,MATCH(COLUMNS($AN$1006:BA1006),$AN$1006:$BO$1006,0)))),"Fix")))</f>
        <v>0</v>
      </c>
      <c r="P436" s="4">
        <f>IF(OR(INDEX($AH$2:$AH$1001,MATCH(ROWS($AG$2:AG436),$AG$2:$AG$1001,0),1)&gt;=100000,INDEX($AN$1005:$BO$1005,1,MATCH(COLUMNS($AN$1006:BB1006),$AN$1006:$BO$1006,0))&gt;=100000), " ",IF(INDEX($AN$2:$BO$1001,MATCH(ROWS($AG$2:AG436),$AG$2:$AG$1001,0),MATCH(COLUMNS($AN$1006:BB1006),$AN$1006:$BO$1006,0)), HYPERLINK("#",""), HYPERLINK(CONCATENATE("#Metadata!", ADDRESS(INDEX($AI$2:$AI$1001,MATCH(ROWS($AG$2:AG436),$AG$2:$AG$1001,0),0), INDEX($AN$1004:$BO$1004,1,MATCH(COLUMNS($AN$1006:BB1006),$AN$1006:$BO$1006,0)))),"Fix")))</f>
        <v>0</v>
      </c>
      <c r="Q436" s="4">
        <f>IF(OR(INDEX($AH$2:$AH$1001,MATCH(ROWS($AG$2:AG436),$AG$2:$AG$1001,0),1)&gt;=100000,INDEX($AN$1005:$BO$1005,1,MATCH(COLUMNS($AN$1006:BC1006),$AN$1006:$BO$1006,0))&gt;=100000), " ",IF(INDEX($AN$2:$BO$1001,MATCH(ROWS($AG$2:AG436),$AG$2:$AG$1001,0),MATCH(COLUMNS($AN$1006:BC1006),$AN$1006:$BO$1006,0)), HYPERLINK("#",""), HYPERLINK(CONCATENATE("#Metadata!", ADDRESS(INDEX($AI$2:$AI$1001,MATCH(ROWS($AG$2:AG436),$AG$2:$AG$1001,0),0), INDEX($AN$1004:$BO$1004,1,MATCH(COLUMNS($AN$1006:BC1006),$AN$1006:$BO$1006,0)))),"Fix")))</f>
        <v>0</v>
      </c>
      <c r="R436" s="4">
        <f>IF(OR(INDEX($AH$2:$AH$1001,MATCH(ROWS($AG$2:AG436),$AG$2:$AG$1001,0),1)&gt;=100000,INDEX($AN$1005:$BO$1005,1,MATCH(COLUMNS($AN$1006:BD1006),$AN$1006:$BO$1006,0))&gt;=100000), " ",IF(INDEX($AN$2:$BO$1001,MATCH(ROWS($AG$2:AG436),$AG$2:$AG$1001,0),MATCH(COLUMNS($AN$1006:BD1006),$AN$1006:$BO$1006,0)), HYPERLINK("#",""), HYPERLINK(CONCATENATE("#Metadata!", ADDRESS(INDEX($AI$2:$AI$1001,MATCH(ROWS($AG$2:AG436),$AG$2:$AG$1001,0),0), INDEX($AN$1004:$BO$1004,1,MATCH(COLUMNS($AN$1006:BD1006),$AN$1006:$BO$1006,0)))),"Fix")))</f>
        <v>0</v>
      </c>
      <c r="S436" s="4">
        <f>IF(OR(INDEX($AH$2:$AH$1001,MATCH(ROWS($AG$2:AG436),$AG$2:$AG$1001,0),1)&gt;=100000,INDEX($AN$1005:$BO$1005,1,MATCH(COLUMNS($AN$1006:BE1006),$AN$1006:$BO$1006,0))&gt;=100000), " ",IF(INDEX($AN$2:$BO$1001,MATCH(ROWS($AG$2:AG436),$AG$2:$AG$1001,0),MATCH(COLUMNS($AN$1006:BE1006),$AN$1006:$BO$1006,0)), HYPERLINK("#",""), HYPERLINK(CONCATENATE("#Metadata!", ADDRESS(INDEX($AI$2:$AI$1001,MATCH(ROWS($AG$2:AG436),$AG$2:$AG$1001,0),0), INDEX($AN$1004:$BO$1004,1,MATCH(COLUMNS($AN$1006:BE1006),$AN$1006:$BO$1006,0)))),"Fix")))</f>
        <v>0</v>
      </c>
      <c r="T436" s="4">
        <f>IF(OR(INDEX($AH$2:$AH$1001,MATCH(ROWS($AG$2:AG436),$AG$2:$AG$1001,0),1)&gt;=100000,INDEX($AN$1005:$BO$1005,1,MATCH(COLUMNS($AN$1006:BF1006),$AN$1006:$BO$1006,0))&gt;=100000), " ",IF(INDEX($AN$2:$BO$1001,MATCH(ROWS($AG$2:AG436),$AG$2:$AG$1001,0),MATCH(COLUMNS($AN$1006:BF1006),$AN$1006:$BO$1006,0)), HYPERLINK("#",""), HYPERLINK(CONCATENATE("#Metadata!", ADDRESS(INDEX($AI$2:$AI$1001,MATCH(ROWS($AG$2:AG436),$AG$2:$AG$1001,0),0), INDEX($AN$1004:$BO$1004,1,MATCH(COLUMNS($AN$1006:BF1006),$AN$1006:$BO$1006,0)))),"Fix")))</f>
        <v>0</v>
      </c>
      <c r="U436" s="4">
        <f>IF(OR(INDEX($AH$2:$AH$1001,MATCH(ROWS($AG$2:AG436),$AG$2:$AG$1001,0),1)&gt;=100000,INDEX($AN$1005:$BO$1005,1,MATCH(COLUMNS($AN$1006:BG1006),$AN$1006:$BO$1006,0))&gt;=100000), " ",IF(INDEX($AN$2:$BO$1001,MATCH(ROWS($AG$2:AG436),$AG$2:$AG$1001,0),MATCH(COLUMNS($AN$1006:BG1006),$AN$1006:$BO$1006,0)), HYPERLINK("#",""), HYPERLINK(CONCATENATE("#Metadata!", ADDRESS(INDEX($AI$2:$AI$1001,MATCH(ROWS($AG$2:AG436),$AG$2:$AG$1001,0),0), INDEX($AN$1004:$BO$1004,1,MATCH(COLUMNS($AN$1006:BG1006),$AN$1006:$BO$1006,0)))),"Fix")))</f>
        <v>0</v>
      </c>
      <c r="V436" s="4">
        <f>IF(OR(INDEX($AH$2:$AH$1001,MATCH(ROWS($AG$2:AG436),$AG$2:$AG$1001,0),1)&gt;=100000,INDEX($AN$1005:$BO$1005,1,MATCH(COLUMNS($AN$1006:BH1006),$AN$1006:$BO$1006,0))&gt;=100000), " ",IF(INDEX($AN$2:$BO$1001,MATCH(ROWS($AG$2:AG436),$AG$2:$AG$1001,0),MATCH(COLUMNS($AN$1006:BH1006),$AN$1006:$BO$1006,0)), HYPERLINK("#",""), HYPERLINK(CONCATENATE("#Metadata!", ADDRESS(INDEX($AI$2:$AI$1001,MATCH(ROWS($AG$2:AG436),$AG$2:$AG$1001,0),0), INDEX($AN$1004:$BO$1004,1,MATCH(COLUMNS($AN$1006:BH1006),$AN$1006:$BO$1006,0)))),"Fix")))</f>
        <v>0</v>
      </c>
      <c r="W436" s="4">
        <f>IF(OR(INDEX($AH$2:$AH$1001,MATCH(ROWS($AG$2:AG436),$AG$2:$AG$1001,0),1)&gt;=100000,INDEX($AN$1005:$BO$1005,1,MATCH(COLUMNS($AN$1006:BI1006),$AN$1006:$BO$1006,0))&gt;=100000), " ",IF(INDEX($AN$2:$BO$1001,MATCH(ROWS($AG$2:AG436),$AG$2:$AG$1001,0),MATCH(COLUMNS($AN$1006:BI1006),$AN$1006:$BO$1006,0)), HYPERLINK("#",""), HYPERLINK(CONCATENATE("#Metadata!", ADDRESS(INDEX($AI$2:$AI$1001,MATCH(ROWS($AG$2:AG436),$AG$2:$AG$1001,0),0), INDEX($AN$1004:$BO$1004,1,MATCH(COLUMNS($AN$1006:BI1006),$AN$1006:$BO$1006,0)))),"Fix")))</f>
        <v>0</v>
      </c>
      <c r="X436" s="4">
        <f>IF(OR(INDEX($AH$2:$AH$1001,MATCH(ROWS($AG$2:AG436),$AG$2:$AG$1001,0),1)&gt;=100000,INDEX($AN$1005:$BO$1005,1,MATCH(COLUMNS($AN$1006:BJ1006),$AN$1006:$BO$1006,0))&gt;=100000), " ",IF(INDEX($AN$2:$BO$1001,MATCH(ROWS($AG$2:AG436),$AG$2:$AG$1001,0),MATCH(COLUMNS($AN$1006:BJ1006),$AN$1006:$BO$1006,0)), HYPERLINK("#",""), HYPERLINK(CONCATENATE("#Metadata!", ADDRESS(INDEX($AI$2:$AI$1001,MATCH(ROWS($AG$2:AG436),$AG$2:$AG$1001,0),0), INDEX($AN$1004:$BO$1004,1,MATCH(COLUMNS($AN$1006:BJ1006),$AN$1006:$BO$1006,0)))),"Fix")))</f>
        <v>0</v>
      </c>
      <c r="Y436" s="4">
        <f>IF(OR(INDEX($AH$2:$AH$1001,MATCH(ROWS($AG$2:AG436),$AG$2:$AG$1001,0),1)&gt;=100000,INDEX($AN$1005:$BO$1005,1,MATCH(COLUMNS($AN$1006:BK1006),$AN$1006:$BO$1006,0))&gt;=100000), " ",IF(INDEX($AN$2:$BO$1001,MATCH(ROWS($AG$2:AG436),$AG$2:$AG$1001,0),MATCH(COLUMNS($AN$1006:BK1006),$AN$1006:$BO$1006,0)), HYPERLINK("#",""), HYPERLINK(CONCATENATE("#Metadata!", ADDRESS(INDEX($AI$2:$AI$1001,MATCH(ROWS($AG$2:AG436),$AG$2:$AG$1001,0),0), INDEX($AN$1004:$BO$1004,1,MATCH(COLUMNS($AN$1006:BK1006),$AN$1006:$BO$1006,0)))),"Fix")))</f>
        <v>0</v>
      </c>
      <c r="Z436" s="4">
        <f>IF(OR(INDEX($AH$2:$AH$1001,MATCH(ROWS($AG$2:AG436),$AG$2:$AG$1001,0),1)&gt;=100000,INDEX($AN$1005:$BO$1005,1,MATCH(COLUMNS($AN$1006:BL1006),$AN$1006:$BO$1006,0))&gt;=100000), " ",IF(INDEX($AN$2:$BO$1001,MATCH(ROWS($AG$2:AG436),$AG$2:$AG$1001,0),MATCH(COLUMNS($AN$1006:BL1006),$AN$1006:$BO$1006,0)), HYPERLINK("#",""), HYPERLINK(CONCATENATE("#Metadata!", ADDRESS(INDEX($AI$2:$AI$1001,MATCH(ROWS($AG$2:AG436),$AG$2:$AG$1001,0),0), INDEX($AN$1004:$BO$1004,1,MATCH(COLUMNS($AN$1006:BL1006),$AN$1006:$BO$1006,0)))),"Fix")))</f>
        <v>0</v>
      </c>
      <c r="AA436" s="4">
        <f>IF(OR(INDEX($AH$2:$AH$1001,MATCH(ROWS($AG$2:AG436),$AG$2:$AG$1001,0),1)&gt;=100000,INDEX($AN$1005:$BO$1005,1,MATCH(COLUMNS($AN$1006:BM1006),$AN$1006:$BO$1006,0))&gt;=100000), " ",IF(INDEX($AN$2:$BO$1001,MATCH(ROWS($AG$2:AG436),$AG$2:$AG$1001,0),MATCH(COLUMNS($AN$1006:BM1006),$AN$1006:$BO$1006,0)), HYPERLINK("#",""), HYPERLINK(CONCATENATE("#Metadata!", ADDRESS(INDEX($AI$2:$AI$1001,MATCH(ROWS($AG$2:AG436),$AG$2:$AG$1001,0),0), INDEX($AN$1004:$BO$1004,1,MATCH(COLUMNS($AN$1006:BM1006),$AN$1006:$BO$1006,0)))),"Fix")))</f>
        <v>0</v>
      </c>
      <c r="AB436" s="4">
        <f>IF(OR(INDEX($AH$2:$AH$1001,MATCH(ROWS($AG$2:AG436),$AG$2:$AG$1001,0),1)&gt;=100000,INDEX($AN$1005:$BO$1005,1,MATCH(COLUMNS($AN$1006:BN1006),$AN$1006:$BO$1006,0))&gt;=100000), " ",IF(INDEX($AN$2:$BO$1001,MATCH(ROWS($AG$2:AG436),$AG$2:$AG$1001,0),MATCH(COLUMNS($AN$1006:BN1006),$AN$1006:$BO$1006,0)), HYPERLINK("#",""), HYPERLINK(CONCATENATE("#Metadata!", ADDRESS(INDEX($AI$2:$AI$1001,MATCH(ROWS($AG$2:AG436),$AG$2:$AG$1001,0),0), INDEX($AN$1004:$BO$1004,1,MATCH(COLUMNS($AN$1006:BN1006),$AN$1006:$BO$1006,0)))),"Fix")))</f>
        <v>0</v>
      </c>
      <c r="AC436" s="4">
        <f>IF(OR(INDEX($AH$2:$AH$1001,MATCH(ROWS($AG$2:AG436),$AG$2:$AG$1001,0),1)&gt;=100000,INDEX($AN$1005:$BO$1005,1,MATCH(COLUMNS($AN$1006:BO1006),$AN$1006:$BO$1006,0))&gt;=100000), " ",IF(INDEX($AN$2:$BO$1001,MATCH(ROWS($AG$2:AG436),$AG$2:$AG$1001,0),MATCH(COLUMNS($AN$1006:BO1006),$AN$1006:$BO$1006,0)), HYPERLINK("#",""), HYPERLINK(CONCATENATE("#Metadata!", ADDRESS(INDEX($AI$2:$AI$1001,MATCH(ROWS($AG$2:AG436),$AG$2:$AG$1001,0),0), INDEX($AN$1004:$BO$1004,1,MATCH(COLUMNS($AN$1006:BO1006),$AN$1006:$BO$1006,0)))),"Fix")))</f>
        <v>0</v>
      </c>
      <c r="AG436">
        <v>0</v>
      </c>
      <c r="AH436">
        <v>0</v>
      </c>
      <c r="AI436">
        <v>0</v>
      </c>
      <c r="AJ436">
        <f>IF(AK436,TRUE,AND(AN436:BO436))</f>
        <v>0</v>
      </c>
      <c r="AK436">
        <f>COUNTBLANK(Metadata!B436:AC436)=COLUMNS(Metadata!B436:AC436)</f>
        <v>0</v>
      </c>
      <c r="AL436">
        <v>0</v>
      </c>
      <c r="AN436">
        <f>AND(IF(Metadata!B436="",FALSE,TRUE),COUNTIF(Metadata!B:B, Metadata!B436) = 1,NOT(ISERROR(SUMPRODUCT(SEARCH(MID(Metadata!B436,ROW(INDIRECT("1:"&amp;LEN(Metadata!B436))), 1),"0123456789abcdefghijklmnopqrstuvwxyzABCDEFGHIJKLMNOPQRSTUVWXYZ.")))))</f>
        <v>0</v>
      </c>
      <c r="AO436">
        <f>IF(Metadata!C436="",FALSE,TRUE)</f>
        <v>0</v>
      </c>
      <c r="AP436">
        <f>IF(Metadata!D436="",FALSE,TRUE)</f>
        <v>0</v>
      </c>
      <c r="AQ436">
        <f>OR(AND(IF(Metadata!E436="",FALSE,TRUE),OR(exact(Metadata!E436,"not collected"),exact(Metadata!E436,"not provided"),exact(Metadata!E436,"restricted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R436">
        <f>IF(Metadata!F436="",FALSE,TRUE)</f>
        <v>0</v>
      </c>
      <c r="AS436">
        <f>OR(AND(IF(Metadata!G436="",FALSE,TRUE),OR(exact(Metadata!G436,"not collected"),exact(Metadata!G436,"not provided"))),AND(IF(Metadata!G436="",FALSE,TRUE),OR(exact(Metadata!G436,"TRUE"),exact(Metadata!G436,"FALSE"))))</f>
        <v>0</v>
      </c>
      <c r="AT436">
        <f>OR(AND(IF(Metadata!H436="",FALSE,TRUE),OR(exact(Metadata!H436,"not collected"),exact(Metadata!H436,"not provided"),exact(Metadata!H436,"restricted access"))),AND(IF(Metadata!H436="",FALSE,ISNUMBER(VALUE(Metadata!H436))),Metadata!H436&gt;=-413.0))</f>
        <v>0</v>
      </c>
      <c r="AU436">
        <f>AND(IF(Metadata!I436="",FALSE,TRUE),exact(Metadata!I436,"meters"))</f>
        <v>0</v>
      </c>
      <c r="AV436">
        <f>AND(IF(Metadata!J436="",FALSE,TRUE),OR(exact(Metadata!J436,"Host-associated"),exact(Metadata!J436,"Free-living")))</f>
        <v>0</v>
      </c>
      <c r="AW436">
        <f>AND(IF(Metadata!K436="",FALSE,TRUE),OR(exact(Metadata!K436,"Animal"),exact(Metadata!K436,"Fungus"),exact(Metadata!K436,"Plant"),exact(Metadata!K436,"Saline"),exact(Metadata!K436,"Non-saline")))</f>
        <v>0</v>
      </c>
      <c r="AX436">
        <f>AND(IF(Metadata!L436="",FALSE,TRUE),OR(exact(Metadata!L436,"Plant secretion"),exact(Metadata!L436,"Plant rhizosphere"),exact(Metadata!L436,"Plant surface"),exact(Metadata!L436,"Plant corpus"),exact(Metadata!L436,"Fungus surface"),exact(Metadata!L436,"Fungus corpus"),exact(Metadata!L436,"Animal surface"),exact(Metadata!L436,"Animal proximal gut"),exact(Metadata!L436,"Animal corpus"),exact(Metadata!L436,"Animal distal gut"),exact(Metadata!L436,"Animal secretion"),exact(Metadata!L436,"Sub-surface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Y436">
        <f>IF(Metadata!M436="",FALSE,TRUE)</f>
        <v>0</v>
      </c>
      <c r="AZ436">
        <f>IF(Metadata!N436="",FALSE,TRUE)</f>
        <v>0</v>
      </c>
      <c r="BA436">
        <f>IF(Metadata!O436="",FALSE,TRUE)</f>
        <v>0</v>
      </c>
      <c r="BB436">
        <f>OR(AND(IF(Metadata!P436="",FALSE,TRUE),OR(exact(Metadata!P436,"not collected"),exact(Metadata!P436,"not provided"),exact(Metadata!P436,"restricted access"))),AND(IF(Metadata!P436="",FALSE,TRUE),OR(exact(Metadata!P436,"air"),exact(Metadata!P436,"built environment"),exact(Metadata!P436,"host-associated"),exact(Metadata!P436,"human-associated"),exact(Metadata!P436,"human-skin"),exact(Metadata!P436,"human-oral"),exact(Metadata!P436,"human-gut"),exact(Metadata!P436,"human-vaginal"),exact(Metadata!P436,"microbial mat/biofilm"),exact(Metadata!P436,"misc environment"),exact(Metadata!P436,"plant-associated"),exact(Metadata!P436,"sediment"),exact(Metadata!P436,"soil"),exact(Metadata!P436,"wastewater/sludge"),exact(Metadata!P436,"water"))))</f>
        <v>0</v>
      </c>
      <c r="BC436">
        <f>IF(Metadata!Q436="",FALSE,TRUE)</f>
        <v>0</v>
      </c>
      <c r="BD436">
        <f>IF(Metadata!R436="",FALSE,TRUE)</f>
        <v>0</v>
      </c>
      <c r="BE436">
        <f>OR(AND(IF(Metadata!S436="",FALSE,TRUE),OR(exact(Metadata!S436,"not collected"),exact(Metadata!S436,"not provided"),exact(Metadata!S436,"restricted access"))),AND(IF(Metadata!S436="",FALSE,ISNUMBER(VALUE(Metadata!S436))),Metadata!S436&gt;=-90.00,Metadata!S436&lt;=90.00))</f>
        <v>0</v>
      </c>
      <c r="BF436">
        <f>AND(IF(Metadata!T436="",FALSE,TRUE),exact(Metadata!T436,"Decimal degrees"))</f>
        <v>0</v>
      </c>
      <c r="BG436">
        <f>OR(AND(IF(Metadata!U436="",FALSE,TRUE),OR(exact(Metadata!U436,"not collected"),exact(Metadata!U436,"not provided"),exact(Metadata!U436,"restricted access"))),AND(IF(Metadata!U436="",FALSE,ISNUMBER(VALUE(Metadata!U436))),Metadata!U436&gt;=-180.00,Metadata!U436&lt;=180.00))</f>
        <v>0</v>
      </c>
      <c r="BH436">
        <f>AND(IF(Metadata!V436="",FALSE,TRUE),exact(Metadata!V436,"Decimal degrees"))</f>
        <v>0</v>
      </c>
      <c r="BI436">
        <f>IF(Metadata!W436="",FALSE,TRUE)</f>
        <v>0</v>
      </c>
      <c r="BJ436">
        <f>OR(AND(IF(Metadata!X436="",FALSE,TRUE),OR(exact(Metadata!X436,"not collected"),exact(Metadata!X436,"not provided"),exact(Metadata!X436,"restricted access"))),AND(IF(Metadata!X436="",FALSE,TRUE),OR(exact(Metadata!X436,"TRUE"),exact(Metadata!X436,"FALSE"))))</f>
        <v>0</v>
      </c>
      <c r="BK436">
        <f>AND(IF(Metadata!Y436="",FALSE,TRUE),exact(Metadata!Y436,"other"))</f>
        <v>0</v>
      </c>
      <c r="BL436">
        <f>IF(Metadata!Z436="",FALSE,TRUE)</f>
        <v>0</v>
      </c>
      <c r="BM436">
        <f>OR(AND(IF(Metadata!AA436="",FALSE,TRUE),OR(exact(Metadata!AA436,"not collected"),exact(Metadata!AA436,"not provided"))),AND(IF(Metadata!AA436="",FALSE,IF(ISERROR(INT(Metadata!AA436)),FALSE,INT(Metadata!AA436)=Metadata!AA436)),Metadata!AA436&gt;0))</f>
        <v>0</v>
      </c>
      <c r="BN436">
        <f>AND(IF(Metadata!AB436="",FALSE,TRUE),exact(Metadata!AB436,"Not applicable"))</f>
        <v>0</v>
      </c>
      <c r="BO436">
        <f>IF(Metadata!AC436="",FALSE,TRUE)</f>
        <v>0</v>
      </c>
    </row>
    <row r="437" spans="1:67">
      <c r="A437" s="5">
        <f>IF(B437=" "," ",HYPERLINK(CONCATENATE("#metadata!",ADDRESS(INDEX($AI$2:$AI$1001,MATCH(ROWS($AG$2:AG437),$AG$2:$AG$1001,0),0),1)),INDEX($AL$2:$AL$1001,MATCH(ROWS($AG$2:AG437),$AG$2:$AG$1001,0),0)))</f>
        <v>0</v>
      </c>
      <c r="B437" s="4">
        <f>IF(OR(INDEX($AH$2:$AH$1001,MATCH(ROWS($AG$2:AG437),$AG$2:$AG$1001,0),1)&gt;=100000,INDEX($AN$1005:$BO$1005,1,MATCH(COLUMNS($AN$1006:AN1006),$AN$1006:$BO$1006,0))&gt;=100000), " ",IF(INDEX($AN$2:$BO$1001,MATCH(ROWS($AG$2:AG437),$AG$2:$AG$1001,0),MATCH(COLUMNS($AN$1006:AN1006),$AN$1006:$BO$1006,0)), HYPERLINK("#",""), HYPERLINK(CONCATENATE("#Metadata!", ADDRESS(INDEX($AI$2:$AI$1001,MATCH(ROWS($AG$2:AG437),$AG$2:$AG$1001,0),0), INDEX($AN$1004:$BO$1004,1,MATCH(COLUMNS($AN$1006:AN1006),$AN$1006:$BO$1006,0)))),"Fix")))</f>
        <v>0</v>
      </c>
      <c r="C437" s="4">
        <f>IF(OR(INDEX($AH$2:$AH$1001,MATCH(ROWS($AG$2:AG437),$AG$2:$AG$1001,0),1)&gt;=100000,INDEX($AN$1005:$BO$1005,1,MATCH(COLUMNS($AN$1006:AO1006),$AN$1006:$BO$1006,0))&gt;=100000), " ",IF(INDEX($AN$2:$BO$1001,MATCH(ROWS($AG$2:AG437),$AG$2:$AG$1001,0),MATCH(COLUMNS($AN$1006:AO1006),$AN$1006:$BO$1006,0)), HYPERLINK("#",""), HYPERLINK(CONCATENATE("#Metadata!", ADDRESS(INDEX($AI$2:$AI$1001,MATCH(ROWS($AG$2:AG437),$AG$2:$AG$1001,0),0), INDEX($AN$1004:$BO$1004,1,MATCH(COLUMNS($AN$1006:AO1006),$AN$1006:$BO$1006,0)))),"Fix")))</f>
        <v>0</v>
      </c>
      <c r="D437" s="4">
        <f>IF(OR(INDEX($AH$2:$AH$1001,MATCH(ROWS($AG$2:AG437),$AG$2:$AG$1001,0),1)&gt;=100000,INDEX($AN$1005:$BO$1005,1,MATCH(COLUMNS($AN$1006:AP1006),$AN$1006:$BO$1006,0))&gt;=100000), " ",IF(INDEX($AN$2:$BO$1001,MATCH(ROWS($AG$2:AG437),$AG$2:$AG$1001,0),MATCH(COLUMNS($AN$1006:AP1006),$AN$1006:$BO$1006,0)), HYPERLINK("#",""), HYPERLINK(CONCATENATE("#Metadata!", ADDRESS(INDEX($AI$2:$AI$1001,MATCH(ROWS($AG$2:AG437),$AG$2:$AG$1001,0),0), INDEX($AN$1004:$BO$1004,1,MATCH(COLUMNS($AN$1006:AP1006),$AN$1006:$BO$1006,0)))),"Fix")))</f>
        <v>0</v>
      </c>
      <c r="E437" s="4">
        <f>IF(OR(INDEX($AH$2:$AH$1001,MATCH(ROWS($AG$2:AG437),$AG$2:$AG$1001,0),1)&gt;=100000,INDEX($AN$1005:$BO$1005,1,MATCH(COLUMNS($AN$1006:AQ1006),$AN$1006:$BO$1006,0))&gt;=100000), " ",IF(INDEX($AN$2:$BO$1001,MATCH(ROWS($AG$2:AG437),$AG$2:$AG$1001,0),MATCH(COLUMNS($AN$1006:AQ1006),$AN$1006:$BO$1006,0)), HYPERLINK("#",""), HYPERLINK(CONCATENATE("#Metadata!", ADDRESS(INDEX($AI$2:$AI$1001,MATCH(ROWS($AG$2:AG437),$AG$2:$AG$1001,0),0), INDEX($AN$1004:$BO$1004,1,MATCH(COLUMNS($AN$1006:AQ1006),$AN$1006:$BO$1006,0)))),"Fix")))</f>
        <v>0</v>
      </c>
      <c r="F437" s="4">
        <f>IF(OR(INDEX($AH$2:$AH$1001,MATCH(ROWS($AG$2:AG437),$AG$2:$AG$1001,0),1)&gt;=100000,INDEX($AN$1005:$BO$1005,1,MATCH(COLUMNS($AN$1006:AR1006),$AN$1006:$BO$1006,0))&gt;=100000), " ",IF(INDEX($AN$2:$BO$1001,MATCH(ROWS($AG$2:AG437),$AG$2:$AG$1001,0),MATCH(COLUMNS($AN$1006:AR1006),$AN$1006:$BO$1006,0)), HYPERLINK("#",""), HYPERLINK(CONCATENATE("#Metadata!", ADDRESS(INDEX($AI$2:$AI$1001,MATCH(ROWS($AG$2:AG437),$AG$2:$AG$1001,0),0), INDEX($AN$1004:$BO$1004,1,MATCH(COLUMNS($AN$1006:AR1006),$AN$1006:$BO$1006,0)))),"Fix")))</f>
        <v>0</v>
      </c>
      <c r="G437" s="4">
        <f>IF(OR(INDEX($AH$2:$AH$1001,MATCH(ROWS($AG$2:AG437),$AG$2:$AG$1001,0),1)&gt;=100000,INDEX($AN$1005:$BO$1005,1,MATCH(COLUMNS($AN$1006:AS1006),$AN$1006:$BO$1006,0))&gt;=100000), " ",IF(INDEX($AN$2:$BO$1001,MATCH(ROWS($AG$2:AG437),$AG$2:$AG$1001,0),MATCH(COLUMNS($AN$1006:AS1006),$AN$1006:$BO$1006,0)), HYPERLINK("#",""), HYPERLINK(CONCATENATE("#Metadata!", ADDRESS(INDEX($AI$2:$AI$1001,MATCH(ROWS($AG$2:AG437),$AG$2:$AG$1001,0),0), INDEX($AN$1004:$BO$1004,1,MATCH(COLUMNS($AN$1006:AS1006),$AN$1006:$BO$1006,0)))),"Fix")))</f>
        <v>0</v>
      </c>
      <c r="H437" s="4">
        <f>IF(OR(INDEX($AH$2:$AH$1001,MATCH(ROWS($AG$2:AG437),$AG$2:$AG$1001,0),1)&gt;=100000,INDEX($AN$1005:$BO$1005,1,MATCH(COLUMNS($AN$1006:AT1006),$AN$1006:$BO$1006,0))&gt;=100000), " ",IF(INDEX($AN$2:$BO$1001,MATCH(ROWS($AG$2:AG437),$AG$2:$AG$1001,0),MATCH(COLUMNS($AN$1006:AT1006),$AN$1006:$BO$1006,0)), HYPERLINK("#",""), HYPERLINK(CONCATENATE("#Metadata!", ADDRESS(INDEX($AI$2:$AI$1001,MATCH(ROWS($AG$2:AG437),$AG$2:$AG$1001,0),0), INDEX($AN$1004:$BO$1004,1,MATCH(COLUMNS($AN$1006:AT1006),$AN$1006:$BO$1006,0)))),"Fix")))</f>
        <v>0</v>
      </c>
      <c r="I437" s="4">
        <f>IF(OR(INDEX($AH$2:$AH$1001,MATCH(ROWS($AG$2:AG437),$AG$2:$AG$1001,0),1)&gt;=100000,INDEX($AN$1005:$BO$1005,1,MATCH(COLUMNS($AN$1006:AU1006),$AN$1006:$BO$1006,0))&gt;=100000), " ",IF(INDEX($AN$2:$BO$1001,MATCH(ROWS($AG$2:AG437),$AG$2:$AG$1001,0),MATCH(COLUMNS($AN$1006:AU1006),$AN$1006:$BO$1006,0)), HYPERLINK("#",""), HYPERLINK(CONCATENATE("#Metadata!", ADDRESS(INDEX($AI$2:$AI$1001,MATCH(ROWS($AG$2:AG437),$AG$2:$AG$1001,0),0), INDEX($AN$1004:$BO$1004,1,MATCH(COLUMNS($AN$1006:AU1006),$AN$1006:$BO$1006,0)))),"Fix")))</f>
        <v>0</v>
      </c>
      <c r="J437" s="4">
        <f>IF(OR(INDEX($AH$2:$AH$1001,MATCH(ROWS($AG$2:AG437),$AG$2:$AG$1001,0),1)&gt;=100000,INDEX($AN$1005:$BO$1005,1,MATCH(COLUMNS($AN$1006:AV1006),$AN$1006:$BO$1006,0))&gt;=100000), " ",IF(INDEX($AN$2:$BO$1001,MATCH(ROWS($AG$2:AG437),$AG$2:$AG$1001,0),MATCH(COLUMNS($AN$1006:AV1006),$AN$1006:$BO$1006,0)), HYPERLINK("#",""), HYPERLINK(CONCATENATE("#Metadata!", ADDRESS(INDEX($AI$2:$AI$1001,MATCH(ROWS($AG$2:AG437),$AG$2:$AG$1001,0),0), INDEX($AN$1004:$BO$1004,1,MATCH(COLUMNS($AN$1006:AV1006),$AN$1006:$BO$1006,0)))),"Fix")))</f>
        <v>0</v>
      </c>
      <c r="K437" s="4">
        <f>IF(OR(INDEX($AH$2:$AH$1001,MATCH(ROWS($AG$2:AG437),$AG$2:$AG$1001,0),1)&gt;=100000,INDEX($AN$1005:$BO$1005,1,MATCH(COLUMNS($AN$1006:AW1006),$AN$1006:$BO$1006,0))&gt;=100000), " ",IF(INDEX($AN$2:$BO$1001,MATCH(ROWS($AG$2:AG437),$AG$2:$AG$1001,0),MATCH(COLUMNS($AN$1006:AW1006),$AN$1006:$BO$1006,0)), HYPERLINK("#",""), HYPERLINK(CONCATENATE("#Metadata!", ADDRESS(INDEX($AI$2:$AI$1001,MATCH(ROWS($AG$2:AG437),$AG$2:$AG$1001,0),0), INDEX($AN$1004:$BO$1004,1,MATCH(COLUMNS($AN$1006:AW1006),$AN$1006:$BO$1006,0)))),"Fix")))</f>
        <v>0</v>
      </c>
      <c r="L437" s="4">
        <f>IF(OR(INDEX($AH$2:$AH$1001,MATCH(ROWS($AG$2:AG437),$AG$2:$AG$1001,0),1)&gt;=100000,INDEX($AN$1005:$BO$1005,1,MATCH(COLUMNS($AN$1006:AX1006),$AN$1006:$BO$1006,0))&gt;=100000), " ",IF(INDEX($AN$2:$BO$1001,MATCH(ROWS($AG$2:AG437),$AG$2:$AG$1001,0),MATCH(COLUMNS($AN$1006:AX1006),$AN$1006:$BO$1006,0)), HYPERLINK("#",""), HYPERLINK(CONCATENATE("#Metadata!", ADDRESS(INDEX($AI$2:$AI$1001,MATCH(ROWS($AG$2:AG437),$AG$2:$AG$1001,0),0), INDEX($AN$1004:$BO$1004,1,MATCH(COLUMNS($AN$1006:AX1006),$AN$1006:$BO$1006,0)))),"Fix")))</f>
        <v>0</v>
      </c>
      <c r="M437" s="4">
        <f>IF(OR(INDEX($AH$2:$AH$1001,MATCH(ROWS($AG$2:AG437),$AG$2:$AG$1001,0),1)&gt;=100000,INDEX($AN$1005:$BO$1005,1,MATCH(COLUMNS($AN$1006:AY1006),$AN$1006:$BO$1006,0))&gt;=100000), " ",IF(INDEX($AN$2:$BO$1001,MATCH(ROWS($AG$2:AG437),$AG$2:$AG$1001,0),MATCH(COLUMNS($AN$1006:AY1006),$AN$1006:$BO$1006,0)), HYPERLINK("#",""), HYPERLINK(CONCATENATE("#Metadata!", ADDRESS(INDEX($AI$2:$AI$1001,MATCH(ROWS($AG$2:AG437),$AG$2:$AG$1001,0),0), INDEX($AN$1004:$BO$1004,1,MATCH(COLUMNS($AN$1006:AY1006),$AN$1006:$BO$1006,0)))),"Fix")))</f>
        <v>0</v>
      </c>
      <c r="N437" s="4">
        <f>IF(OR(INDEX($AH$2:$AH$1001,MATCH(ROWS($AG$2:AG437),$AG$2:$AG$1001,0),1)&gt;=100000,INDEX($AN$1005:$BO$1005,1,MATCH(COLUMNS($AN$1006:AZ1006),$AN$1006:$BO$1006,0))&gt;=100000), " ",IF(INDEX($AN$2:$BO$1001,MATCH(ROWS($AG$2:AG437),$AG$2:$AG$1001,0),MATCH(COLUMNS($AN$1006:AZ1006),$AN$1006:$BO$1006,0)), HYPERLINK("#",""), HYPERLINK(CONCATENATE("#Metadata!", ADDRESS(INDEX($AI$2:$AI$1001,MATCH(ROWS($AG$2:AG437),$AG$2:$AG$1001,0),0), INDEX($AN$1004:$BO$1004,1,MATCH(COLUMNS($AN$1006:AZ1006),$AN$1006:$BO$1006,0)))),"Fix")))</f>
        <v>0</v>
      </c>
      <c r="O437" s="4">
        <f>IF(OR(INDEX($AH$2:$AH$1001,MATCH(ROWS($AG$2:AG437),$AG$2:$AG$1001,0),1)&gt;=100000,INDEX($AN$1005:$BO$1005,1,MATCH(COLUMNS($AN$1006:BA1006),$AN$1006:$BO$1006,0))&gt;=100000), " ",IF(INDEX($AN$2:$BO$1001,MATCH(ROWS($AG$2:AG437),$AG$2:$AG$1001,0),MATCH(COLUMNS($AN$1006:BA1006),$AN$1006:$BO$1006,0)), HYPERLINK("#",""), HYPERLINK(CONCATENATE("#Metadata!", ADDRESS(INDEX($AI$2:$AI$1001,MATCH(ROWS($AG$2:AG437),$AG$2:$AG$1001,0),0), INDEX($AN$1004:$BO$1004,1,MATCH(COLUMNS($AN$1006:BA1006),$AN$1006:$BO$1006,0)))),"Fix")))</f>
        <v>0</v>
      </c>
      <c r="P437" s="4">
        <f>IF(OR(INDEX($AH$2:$AH$1001,MATCH(ROWS($AG$2:AG437),$AG$2:$AG$1001,0),1)&gt;=100000,INDEX($AN$1005:$BO$1005,1,MATCH(COLUMNS($AN$1006:BB1006),$AN$1006:$BO$1006,0))&gt;=100000), " ",IF(INDEX($AN$2:$BO$1001,MATCH(ROWS($AG$2:AG437),$AG$2:$AG$1001,0),MATCH(COLUMNS($AN$1006:BB1006),$AN$1006:$BO$1006,0)), HYPERLINK("#",""), HYPERLINK(CONCATENATE("#Metadata!", ADDRESS(INDEX($AI$2:$AI$1001,MATCH(ROWS($AG$2:AG437),$AG$2:$AG$1001,0),0), INDEX($AN$1004:$BO$1004,1,MATCH(COLUMNS($AN$1006:BB1006),$AN$1006:$BO$1006,0)))),"Fix")))</f>
        <v>0</v>
      </c>
      <c r="Q437" s="4">
        <f>IF(OR(INDEX($AH$2:$AH$1001,MATCH(ROWS($AG$2:AG437),$AG$2:$AG$1001,0),1)&gt;=100000,INDEX($AN$1005:$BO$1005,1,MATCH(COLUMNS($AN$1006:BC1006),$AN$1006:$BO$1006,0))&gt;=100000), " ",IF(INDEX($AN$2:$BO$1001,MATCH(ROWS($AG$2:AG437),$AG$2:$AG$1001,0),MATCH(COLUMNS($AN$1006:BC1006),$AN$1006:$BO$1006,0)), HYPERLINK("#",""), HYPERLINK(CONCATENATE("#Metadata!", ADDRESS(INDEX($AI$2:$AI$1001,MATCH(ROWS($AG$2:AG437),$AG$2:$AG$1001,0),0), INDEX($AN$1004:$BO$1004,1,MATCH(COLUMNS($AN$1006:BC1006),$AN$1006:$BO$1006,0)))),"Fix")))</f>
        <v>0</v>
      </c>
      <c r="R437" s="4">
        <f>IF(OR(INDEX($AH$2:$AH$1001,MATCH(ROWS($AG$2:AG437),$AG$2:$AG$1001,0),1)&gt;=100000,INDEX($AN$1005:$BO$1005,1,MATCH(COLUMNS($AN$1006:BD1006),$AN$1006:$BO$1006,0))&gt;=100000), " ",IF(INDEX($AN$2:$BO$1001,MATCH(ROWS($AG$2:AG437),$AG$2:$AG$1001,0),MATCH(COLUMNS($AN$1006:BD1006),$AN$1006:$BO$1006,0)), HYPERLINK("#",""), HYPERLINK(CONCATENATE("#Metadata!", ADDRESS(INDEX($AI$2:$AI$1001,MATCH(ROWS($AG$2:AG437),$AG$2:$AG$1001,0),0), INDEX($AN$1004:$BO$1004,1,MATCH(COLUMNS($AN$1006:BD1006),$AN$1006:$BO$1006,0)))),"Fix")))</f>
        <v>0</v>
      </c>
      <c r="S437" s="4">
        <f>IF(OR(INDEX($AH$2:$AH$1001,MATCH(ROWS($AG$2:AG437),$AG$2:$AG$1001,0),1)&gt;=100000,INDEX($AN$1005:$BO$1005,1,MATCH(COLUMNS($AN$1006:BE1006),$AN$1006:$BO$1006,0))&gt;=100000), " ",IF(INDEX($AN$2:$BO$1001,MATCH(ROWS($AG$2:AG437),$AG$2:$AG$1001,0),MATCH(COLUMNS($AN$1006:BE1006),$AN$1006:$BO$1006,0)), HYPERLINK("#",""), HYPERLINK(CONCATENATE("#Metadata!", ADDRESS(INDEX($AI$2:$AI$1001,MATCH(ROWS($AG$2:AG437),$AG$2:$AG$1001,0),0), INDEX($AN$1004:$BO$1004,1,MATCH(COLUMNS($AN$1006:BE1006),$AN$1006:$BO$1006,0)))),"Fix")))</f>
        <v>0</v>
      </c>
      <c r="T437" s="4">
        <f>IF(OR(INDEX($AH$2:$AH$1001,MATCH(ROWS($AG$2:AG437),$AG$2:$AG$1001,0),1)&gt;=100000,INDEX($AN$1005:$BO$1005,1,MATCH(COLUMNS($AN$1006:BF1006),$AN$1006:$BO$1006,0))&gt;=100000), " ",IF(INDEX($AN$2:$BO$1001,MATCH(ROWS($AG$2:AG437),$AG$2:$AG$1001,0),MATCH(COLUMNS($AN$1006:BF1006),$AN$1006:$BO$1006,0)), HYPERLINK("#",""), HYPERLINK(CONCATENATE("#Metadata!", ADDRESS(INDEX($AI$2:$AI$1001,MATCH(ROWS($AG$2:AG437),$AG$2:$AG$1001,0),0), INDEX($AN$1004:$BO$1004,1,MATCH(COLUMNS($AN$1006:BF1006),$AN$1006:$BO$1006,0)))),"Fix")))</f>
        <v>0</v>
      </c>
      <c r="U437" s="4">
        <f>IF(OR(INDEX($AH$2:$AH$1001,MATCH(ROWS($AG$2:AG437),$AG$2:$AG$1001,0),1)&gt;=100000,INDEX($AN$1005:$BO$1005,1,MATCH(COLUMNS($AN$1006:BG1006),$AN$1006:$BO$1006,0))&gt;=100000), " ",IF(INDEX($AN$2:$BO$1001,MATCH(ROWS($AG$2:AG437),$AG$2:$AG$1001,0),MATCH(COLUMNS($AN$1006:BG1006),$AN$1006:$BO$1006,0)), HYPERLINK("#",""), HYPERLINK(CONCATENATE("#Metadata!", ADDRESS(INDEX($AI$2:$AI$1001,MATCH(ROWS($AG$2:AG437),$AG$2:$AG$1001,0),0), INDEX($AN$1004:$BO$1004,1,MATCH(COLUMNS($AN$1006:BG1006),$AN$1006:$BO$1006,0)))),"Fix")))</f>
        <v>0</v>
      </c>
      <c r="V437" s="4">
        <f>IF(OR(INDEX($AH$2:$AH$1001,MATCH(ROWS($AG$2:AG437),$AG$2:$AG$1001,0),1)&gt;=100000,INDEX($AN$1005:$BO$1005,1,MATCH(COLUMNS($AN$1006:BH1006),$AN$1006:$BO$1006,0))&gt;=100000), " ",IF(INDEX($AN$2:$BO$1001,MATCH(ROWS($AG$2:AG437),$AG$2:$AG$1001,0),MATCH(COLUMNS($AN$1006:BH1006),$AN$1006:$BO$1006,0)), HYPERLINK("#",""), HYPERLINK(CONCATENATE("#Metadata!", ADDRESS(INDEX($AI$2:$AI$1001,MATCH(ROWS($AG$2:AG437),$AG$2:$AG$1001,0),0), INDEX($AN$1004:$BO$1004,1,MATCH(COLUMNS($AN$1006:BH1006),$AN$1006:$BO$1006,0)))),"Fix")))</f>
        <v>0</v>
      </c>
      <c r="W437" s="4">
        <f>IF(OR(INDEX($AH$2:$AH$1001,MATCH(ROWS($AG$2:AG437),$AG$2:$AG$1001,0),1)&gt;=100000,INDEX($AN$1005:$BO$1005,1,MATCH(COLUMNS($AN$1006:BI1006),$AN$1006:$BO$1006,0))&gt;=100000), " ",IF(INDEX($AN$2:$BO$1001,MATCH(ROWS($AG$2:AG437),$AG$2:$AG$1001,0),MATCH(COLUMNS($AN$1006:BI1006),$AN$1006:$BO$1006,0)), HYPERLINK("#",""), HYPERLINK(CONCATENATE("#Metadata!", ADDRESS(INDEX($AI$2:$AI$1001,MATCH(ROWS($AG$2:AG437),$AG$2:$AG$1001,0),0), INDEX($AN$1004:$BO$1004,1,MATCH(COLUMNS($AN$1006:BI1006),$AN$1006:$BO$1006,0)))),"Fix")))</f>
        <v>0</v>
      </c>
      <c r="X437" s="4">
        <f>IF(OR(INDEX($AH$2:$AH$1001,MATCH(ROWS($AG$2:AG437),$AG$2:$AG$1001,0),1)&gt;=100000,INDEX($AN$1005:$BO$1005,1,MATCH(COLUMNS($AN$1006:BJ1006),$AN$1006:$BO$1006,0))&gt;=100000), " ",IF(INDEX($AN$2:$BO$1001,MATCH(ROWS($AG$2:AG437),$AG$2:$AG$1001,0),MATCH(COLUMNS($AN$1006:BJ1006),$AN$1006:$BO$1006,0)), HYPERLINK("#",""), HYPERLINK(CONCATENATE("#Metadata!", ADDRESS(INDEX($AI$2:$AI$1001,MATCH(ROWS($AG$2:AG437),$AG$2:$AG$1001,0),0), INDEX($AN$1004:$BO$1004,1,MATCH(COLUMNS($AN$1006:BJ1006),$AN$1006:$BO$1006,0)))),"Fix")))</f>
        <v>0</v>
      </c>
      <c r="Y437" s="4">
        <f>IF(OR(INDEX($AH$2:$AH$1001,MATCH(ROWS($AG$2:AG437),$AG$2:$AG$1001,0),1)&gt;=100000,INDEX($AN$1005:$BO$1005,1,MATCH(COLUMNS($AN$1006:BK1006),$AN$1006:$BO$1006,0))&gt;=100000), " ",IF(INDEX($AN$2:$BO$1001,MATCH(ROWS($AG$2:AG437),$AG$2:$AG$1001,0),MATCH(COLUMNS($AN$1006:BK1006),$AN$1006:$BO$1006,0)), HYPERLINK("#",""), HYPERLINK(CONCATENATE("#Metadata!", ADDRESS(INDEX($AI$2:$AI$1001,MATCH(ROWS($AG$2:AG437),$AG$2:$AG$1001,0),0), INDEX($AN$1004:$BO$1004,1,MATCH(COLUMNS($AN$1006:BK1006),$AN$1006:$BO$1006,0)))),"Fix")))</f>
        <v>0</v>
      </c>
      <c r="Z437" s="4">
        <f>IF(OR(INDEX($AH$2:$AH$1001,MATCH(ROWS($AG$2:AG437),$AG$2:$AG$1001,0),1)&gt;=100000,INDEX($AN$1005:$BO$1005,1,MATCH(COLUMNS($AN$1006:BL1006),$AN$1006:$BO$1006,0))&gt;=100000), " ",IF(INDEX($AN$2:$BO$1001,MATCH(ROWS($AG$2:AG437),$AG$2:$AG$1001,0),MATCH(COLUMNS($AN$1006:BL1006),$AN$1006:$BO$1006,0)), HYPERLINK("#",""), HYPERLINK(CONCATENATE("#Metadata!", ADDRESS(INDEX($AI$2:$AI$1001,MATCH(ROWS($AG$2:AG437),$AG$2:$AG$1001,0),0), INDEX($AN$1004:$BO$1004,1,MATCH(COLUMNS($AN$1006:BL1006),$AN$1006:$BO$1006,0)))),"Fix")))</f>
        <v>0</v>
      </c>
      <c r="AA437" s="4">
        <f>IF(OR(INDEX($AH$2:$AH$1001,MATCH(ROWS($AG$2:AG437),$AG$2:$AG$1001,0),1)&gt;=100000,INDEX($AN$1005:$BO$1005,1,MATCH(COLUMNS($AN$1006:BM1006),$AN$1006:$BO$1006,0))&gt;=100000), " ",IF(INDEX($AN$2:$BO$1001,MATCH(ROWS($AG$2:AG437),$AG$2:$AG$1001,0),MATCH(COLUMNS($AN$1006:BM1006),$AN$1006:$BO$1006,0)), HYPERLINK("#",""), HYPERLINK(CONCATENATE("#Metadata!", ADDRESS(INDEX($AI$2:$AI$1001,MATCH(ROWS($AG$2:AG437),$AG$2:$AG$1001,0),0), INDEX($AN$1004:$BO$1004,1,MATCH(COLUMNS($AN$1006:BM1006),$AN$1006:$BO$1006,0)))),"Fix")))</f>
        <v>0</v>
      </c>
      <c r="AB437" s="4">
        <f>IF(OR(INDEX($AH$2:$AH$1001,MATCH(ROWS($AG$2:AG437),$AG$2:$AG$1001,0),1)&gt;=100000,INDEX($AN$1005:$BO$1005,1,MATCH(COLUMNS($AN$1006:BN1006),$AN$1006:$BO$1006,0))&gt;=100000), " ",IF(INDEX($AN$2:$BO$1001,MATCH(ROWS($AG$2:AG437),$AG$2:$AG$1001,0),MATCH(COLUMNS($AN$1006:BN1006),$AN$1006:$BO$1006,0)), HYPERLINK("#",""), HYPERLINK(CONCATENATE("#Metadata!", ADDRESS(INDEX($AI$2:$AI$1001,MATCH(ROWS($AG$2:AG437),$AG$2:$AG$1001,0),0), INDEX($AN$1004:$BO$1004,1,MATCH(COLUMNS($AN$1006:BN1006),$AN$1006:$BO$1006,0)))),"Fix")))</f>
        <v>0</v>
      </c>
      <c r="AC437" s="4">
        <f>IF(OR(INDEX($AH$2:$AH$1001,MATCH(ROWS($AG$2:AG437),$AG$2:$AG$1001,0),1)&gt;=100000,INDEX($AN$1005:$BO$1005,1,MATCH(COLUMNS($AN$1006:BO1006),$AN$1006:$BO$1006,0))&gt;=100000), " ",IF(INDEX($AN$2:$BO$1001,MATCH(ROWS($AG$2:AG437),$AG$2:$AG$1001,0),MATCH(COLUMNS($AN$1006:BO1006),$AN$1006:$BO$1006,0)), HYPERLINK("#",""), HYPERLINK(CONCATENATE("#Metadata!", ADDRESS(INDEX($AI$2:$AI$1001,MATCH(ROWS($AG$2:AG437),$AG$2:$AG$1001,0),0), INDEX($AN$1004:$BO$1004,1,MATCH(COLUMNS($AN$1006:BO1006),$AN$1006:$BO$1006,0)))),"Fix")))</f>
        <v>0</v>
      </c>
      <c r="AG437">
        <v>0</v>
      </c>
      <c r="AH437">
        <v>0</v>
      </c>
      <c r="AI437">
        <v>0</v>
      </c>
      <c r="AJ437">
        <f>IF(AK437,TRUE,AND(AN437:BO437))</f>
        <v>0</v>
      </c>
      <c r="AK437">
        <f>COUNTBLANK(Metadata!B437:AC437)=COLUMNS(Metadata!B437:AC437)</f>
        <v>0</v>
      </c>
      <c r="AL437">
        <v>0</v>
      </c>
      <c r="AN437">
        <f>AND(IF(Metadata!B437="",FALSE,TRUE),COUNTIF(Metadata!B:B, Metadata!B437) = 1,NOT(ISERROR(SUMPRODUCT(SEARCH(MID(Metadata!B437,ROW(INDIRECT("1:"&amp;LEN(Metadata!B437))), 1),"0123456789abcdefghijklmnopqrstuvwxyzABCDEFGHIJKLMNOPQRSTUVWXYZ.")))))</f>
        <v>0</v>
      </c>
      <c r="AO437">
        <f>IF(Metadata!C437="",FALSE,TRUE)</f>
        <v>0</v>
      </c>
      <c r="AP437">
        <f>IF(Metadata!D437="",FALSE,TRUE)</f>
        <v>0</v>
      </c>
      <c r="AQ437">
        <f>OR(AND(IF(Metadata!E437="",FALSE,TRUE),OR(exact(Metadata!E437,"not collected"),exact(Metadata!E437,"not provided"),exact(Metadata!E437,"restricted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R437">
        <f>IF(Metadata!F437="",FALSE,TRUE)</f>
        <v>0</v>
      </c>
      <c r="AS437">
        <f>OR(AND(IF(Metadata!G437="",FALSE,TRUE),OR(exact(Metadata!G437,"not collected"),exact(Metadata!G437,"not provided"))),AND(IF(Metadata!G437="",FALSE,TRUE),OR(exact(Metadata!G437,"TRUE"),exact(Metadata!G437,"FALSE"))))</f>
        <v>0</v>
      </c>
      <c r="AT437">
        <f>OR(AND(IF(Metadata!H437="",FALSE,TRUE),OR(exact(Metadata!H437,"not collected"),exact(Metadata!H437,"not provided"),exact(Metadata!H437,"restricted access"))),AND(IF(Metadata!H437="",FALSE,ISNUMBER(VALUE(Metadata!H437))),Metadata!H437&gt;=-413.0))</f>
        <v>0</v>
      </c>
      <c r="AU437">
        <f>AND(IF(Metadata!I437="",FALSE,TRUE),exact(Metadata!I437,"meters"))</f>
        <v>0</v>
      </c>
      <c r="AV437">
        <f>AND(IF(Metadata!J437="",FALSE,TRUE),OR(exact(Metadata!J437,"Host-associated"),exact(Metadata!J437,"Free-living")))</f>
        <v>0</v>
      </c>
      <c r="AW437">
        <f>AND(IF(Metadata!K437="",FALSE,TRUE),OR(exact(Metadata!K437,"Animal"),exact(Metadata!K437,"Fungus"),exact(Metadata!K437,"Plant"),exact(Metadata!K437,"Saline"),exact(Metadata!K437,"Non-saline")))</f>
        <v>0</v>
      </c>
      <c r="AX437">
        <f>AND(IF(Metadata!L437="",FALSE,TRUE),OR(exact(Metadata!L437,"Plant secretion"),exact(Metadata!L437,"Plant rhizosphere"),exact(Metadata!L437,"Plant surface"),exact(Metadata!L437,"Plant corpus"),exact(Metadata!L437,"Fungus surface"),exact(Metadata!L437,"Fungus corpus"),exact(Metadata!L437,"Animal surface"),exact(Metadata!L437,"Animal proximal gut"),exact(Metadata!L437,"Animal corpus"),exact(Metadata!L437,"Animal distal gut"),exact(Metadata!L437,"Animal secretion"),exact(Metadata!L437,"Sub-surface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Y437">
        <f>IF(Metadata!M437="",FALSE,TRUE)</f>
        <v>0</v>
      </c>
      <c r="AZ437">
        <f>IF(Metadata!N437="",FALSE,TRUE)</f>
        <v>0</v>
      </c>
      <c r="BA437">
        <f>IF(Metadata!O437="",FALSE,TRUE)</f>
        <v>0</v>
      </c>
      <c r="BB437">
        <f>OR(AND(IF(Metadata!P437="",FALSE,TRUE),OR(exact(Metadata!P437,"not collected"),exact(Metadata!P437,"not provided"),exact(Metadata!P437,"restricted access"))),AND(IF(Metadata!P437="",FALSE,TRUE),OR(exact(Metadata!P437,"air"),exact(Metadata!P437,"built environment"),exact(Metadata!P437,"host-associated"),exact(Metadata!P437,"human-associated"),exact(Metadata!P437,"human-skin"),exact(Metadata!P437,"human-oral"),exact(Metadata!P437,"human-gut"),exact(Metadata!P437,"human-vaginal"),exact(Metadata!P437,"microbial mat/biofilm"),exact(Metadata!P437,"misc environment"),exact(Metadata!P437,"plant-associated"),exact(Metadata!P437,"sediment"),exact(Metadata!P437,"soil"),exact(Metadata!P437,"wastewater/sludge"),exact(Metadata!P437,"water"))))</f>
        <v>0</v>
      </c>
      <c r="BC437">
        <f>IF(Metadata!Q437="",FALSE,TRUE)</f>
        <v>0</v>
      </c>
      <c r="BD437">
        <f>IF(Metadata!R437="",FALSE,TRUE)</f>
        <v>0</v>
      </c>
      <c r="BE437">
        <f>OR(AND(IF(Metadata!S437="",FALSE,TRUE),OR(exact(Metadata!S437,"not collected"),exact(Metadata!S437,"not provided"),exact(Metadata!S437,"restricted access"))),AND(IF(Metadata!S437="",FALSE,ISNUMBER(VALUE(Metadata!S437))),Metadata!S437&gt;=-90.00,Metadata!S437&lt;=90.00))</f>
        <v>0</v>
      </c>
      <c r="BF437">
        <f>AND(IF(Metadata!T437="",FALSE,TRUE),exact(Metadata!T437,"Decimal degrees"))</f>
        <v>0</v>
      </c>
      <c r="BG437">
        <f>OR(AND(IF(Metadata!U437="",FALSE,TRUE),OR(exact(Metadata!U437,"not collected"),exact(Metadata!U437,"not provided"),exact(Metadata!U437,"restricted access"))),AND(IF(Metadata!U437="",FALSE,ISNUMBER(VALUE(Metadata!U437))),Metadata!U437&gt;=-180.00,Metadata!U437&lt;=180.00))</f>
        <v>0</v>
      </c>
      <c r="BH437">
        <f>AND(IF(Metadata!V437="",FALSE,TRUE),exact(Metadata!V437,"Decimal degrees"))</f>
        <v>0</v>
      </c>
      <c r="BI437">
        <f>IF(Metadata!W437="",FALSE,TRUE)</f>
        <v>0</v>
      </c>
      <c r="BJ437">
        <f>OR(AND(IF(Metadata!X437="",FALSE,TRUE),OR(exact(Metadata!X437,"not collected"),exact(Metadata!X437,"not provided"),exact(Metadata!X437,"restricted access"))),AND(IF(Metadata!X437="",FALSE,TRUE),OR(exact(Metadata!X437,"TRUE"),exact(Metadata!X437,"FALSE"))))</f>
        <v>0</v>
      </c>
      <c r="BK437">
        <f>AND(IF(Metadata!Y437="",FALSE,TRUE),exact(Metadata!Y437,"other"))</f>
        <v>0</v>
      </c>
      <c r="BL437">
        <f>IF(Metadata!Z437="",FALSE,TRUE)</f>
        <v>0</v>
      </c>
      <c r="BM437">
        <f>OR(AND(IF(Metadata!AA437="",FALSE,TRUE),OR(exact(Metadata!AA437,"not collected"),exact(Metadata!AA437,"not provided"))),AND(IF(Metadata!AA437="",FALSE,IF(ISERROR(INT(Metadata!AA437)),FALSE,INT(Metadata!AA437)=Metadata!AA437)),Metadata!AA437&gt;0))</f>
        <v>0</v>
      </c>
      <c r="BN437">
        <f>AND(IF(Metadata!AB437="",FALSE,TRUE),exact(Metadata!AB437,"Not applicable"))</f>
        <v>0</v>
      </c>
      <c r="BO437">
        <f>IF(Metadata!AC437="",FALSE,TRUE)</f>
        <v>0</v>
      </c>
    </row>
    <row r="438" spans="1:67">
      <c r="A438" s="5">
        <f>IF(B438=" "," ",HYPERLINK(CONCATENATE("#metadata!",ADDRESS(INDEX($AI$2:$AI$1001,MATCH(ROWS($AG$2:AG438),$AG$2:$AG$1001,0),0),1)),INDEX($AL$2:$AL$1001,MATCH(ROWS($AG$2:AG438),$AG$2:$AG$1001,0),0)))</f>
        <v>0</v>
      </c>
      <c r="B438" s="4">
        <f>IF(OR(INDEX($AH$2:$AH$1001,MATCH(ROWS($AG$2:AG438),$AG$2:$AG$1001,0),1)&gt;=100000,INDEX($AN$1005:$BO$1005,1,MATCH(COLUMNS($AN$1006:AN1006),$AN$1006:$BO$1006,0))&gt;=100000), " ",IF(INDEX($AN$2:$BO$1001,MATCH(ROWS($AG$2:AG438),$AG$2:$AG$1001,0),MATCH(COLUMNS($AN$1006:AN1006),$AN$1006:$BO$1006,0)), HYPERLINK("#",""), HYPERLINK(CONCATENATE("#Metadata!", ADDRESS(INDEX($AI$2:$AI$1001,MATCH(ROWS($AG$2:AG438),$AG$2:$AG$1001,0),0), INDEX($AN$1004:$BO$1004,1,MATCH(COLUMNS($AN$1006:AN1006),$AN$1006:$BO$1006,0)))),"Fix")))</f>
        <v>0</v>
      </c>
      <c r="C438" s="4">
        <f>IF(OR(INDEX($AH$2:$AH$1001,MATCH(ROWS($AG$2:AG438),$AG$2:$AG$1001,0),1)&gt;=100000,INDEX($AN$1005:$BO$1005,1,MATCH(COLUMNS($AN$1006:AO1006),$AN$1006:$BO$1006,0))&gt;=100000), " ",IF(INDEX($AN$2:$BO$1001,MATCH(ROWS($AG$2:AG438),$AG$2:$AG$1001,0),MATCH(COLUMNS($AN$1006:AO1006),$AN$1006:$BO$1006,0)), HYPERLINK("#",""), HYPERLINK(CONCATENATE("#Metadata!", ADDRESS(INDEX($AI$2:$AI$1001,MATCH(ROWS($AG$2:AG438),$AG$2:$AG$1001,0),0), INDEX($AN$1004:$BO$1004,1,MATCH(COLUMNS($AN$1006:AO1006),$AN$1006:$BO$1006,0)))),"Fix")))</f>
        <v>0</v>
      </c>
      <c r="D438" s="4">
        <f>IF(OR(INDEX($AH$2:$AH$1001,MATCH(ROWS($AG$2:AG438),$AG$2:$AG$1001,0),1)&gt;=100000,INDEX($AN$1005:$BO$1005,1,MATCH(COLUMNS($AN$1006:AP1006),$AN$1006:$BO$1006,0))&gt;=100000), " ",IF(INDEX($AN$2:$BO$1001,MATCH(ROWS($AG$2:AG438),$AG$2:$AG$1001,0),MATCH(COLUMNS($AN$1006:AP1006),$AN$1006:$BO$1006,0)), HYPERLINK("#",""), HYPERLINK(CONCATENATE("#Metadata!", ADDRESS(INDEX($AI$2:$AI$1001,MATCH(ROWS($AG$2:AG438),$AG$2:$AG$1001,0),0), INDEX($AN$1004:$BO$1004,1,MATCH(COLUMNS($AN$1006:AP1006),$AN$1006:$BO$1006,0)))),"Fix")))</f>
        <v>0</v>
      </c>
      <c r="E438" s="4">
        <f>IF(OR(INDEX($AH$2:$AH$1001,MATCH(ROWS($AG$2:AG438),$AG$2:$AG$1001,0),1)&gt;=100000,INDEX($AN$1005:$BO$1005,1,MATCH(COLUMNS($AN$1006:AQ1006),$AN$1006:$BO$1006,0))&gt;=100000), " ",IF(INDEX($AN$2:$BO$1001,MATCH(ROWS($AG$2:AG438),$AG$2:$AG$1001,0),MATCH(COLUMNS($AN$1006:AQ1006),$AN$1006:$BO$1006,0)), HYPERLINK("#",""), HYPERLINK(CONCATENATE("#Metadata!", ADDRESS(INDEX($AI$2:$AI$1001,MATCH(ROWS($AG$2:AG438),$AG$2:$AG$1001,0),0), INDEX($AN$1004:$BO$1004,1,MATCH(COLUMNS($AN$1006:AQ1006),$AN$1006:$BO$1006,0)))),"Fix")))</f>
        <v>0</v>
      </c>
      <c r="F438" s="4">
        <f>IF(OR(INDEX($AH$2:$AH$1001,MATCH(ROWS($AG$2:AG438),$AG$2:$AG$1001,0),1)&gt;=100000,INDEX($AN$1005:$BO$1005,1,MATCH(COLUMNS($AN$1006:AR1006),$AN$1006:$BO$1006,0))&gt;=100000), " ",IF(INDEX($AN$2:$BO$1001,MATCH(ROWS($AG$2:AG438),$AG$2:$AG$1001,0),MATCH(COLUMNS($AN$1006:AR1006),$AN$1006:$BO$1006,0)), HYPERLINK("#",""), HYPERLINK(CONCATENATE("#Metadata!", ADDRESS(INDEX($AI$2:$AI$1001,MATCH(ROWS($AG$2:AG438),$AG$2:$AG$1001,0),0), INDEX($AN$1004:$BO$1004,1,MATCH(COLUMNS($AN$1006:AR1006),$AN$1006:$BO$1006,0)))),"Fix")))</f>
        <v>0</v>
      </c>
      <c r="G438" s="4">
        <f>IF(OR(INDEX($AH$2:$AH$1001,MATCH(ROWS($AG$2:AG438),$AG$2:$AG$1001,0),1)&gt;=100000,INDEX($AN$1005:$BO$1005,1,MATCH(COLUMNS($AN$1006:AS1006),$AN$1006:$BO$1006,0))&gt;=100000), " ",IF(INDEX($AN$2:$BO$1001,MATCH(ROWS($AG$2:AG438),$AG$2:$AG$1001,0),MATCH(COLUMNS($AN$1006:AS1006),$AN$1006:$BO$1006,0)), HYPERLINK("#",""), HYPERLINK(CONCATENATE("#Metadata!", ADDRESS(INDEX($AI$2:$AI$1001,MATCH(ROWS($AG$2:AG438),$AG$2:$AG$1001,0),0), INDEX($AN$1004:$BO$1004,1,MATCH(COLUMNS($AN$1006:AS1006),$AN$1006:$BO$1006,0)))),"Fix")))</f>
        <v>0</v>
      </c>
      <c r="H438" s="4">
        <f>IF(OR(INDEX($AH$2:$AH$1001,MATCH(ROWS($AG$2:AG438),$AG$2:$AG$1001,0),1)&gt;=100000,INDEX($AN$1005:$BO$1005,1,MATCH(COLUMNS($AN$1006:AT1006),$AN$1006:$BO$1006,0))&gt;=100000), " ",IF(INDEX($AN$2:$BO$1001,MATCH(ROWS($AG$2:AG438),$AG$2:$AG$1001,0),MATCH(COLUMNS($AN$1006:AT1006),$AN$1006:$BO$1006,0)), HYPERLINK("#",""), HYPERLINK(CONCATENATE("#Metadata!", ADDRESS(INDEX($AI$2:$AI$1001,MATCH(ROWS($AG$2:AG438),$AG$2:$AG$1001,0),0), INDEX($AN$1004:$BO$1004,1,MATCH(COLUMNS($AN$1006:AT1006),$AN$1006:$BO$1006,0)))),"Fix")))</f>
        <v>0</v>
      </c>
      <c r="I438" s="4">
        <f>IF(OR(INDEX($AH$2:$AH$1001,MATCH(ROWS($AG$2:AG438),$AG$2:$AG$1001,0),1)&gt;=100000,INDEX($AN$1005:$BO$1005,1,MATCH(COLUMNS($AN$1006:AU1006),$AN$1006:$BO$1006,0))&gt;=100000), " ",IF(INDEX($AN$2:$BO$1001,MATCH(ROWS($AG$2:AG438),$AG$2:$AG$1001,0),MATCH(COLUMNS($AN$1006:AU1006),$AN$1006:$BO$1006,0)), HYPERLINK("#",""), HYPERLINK(CONCATENATE("#Metadata!", ADDRESS(INDEX($AI$2:$AI$1001,MATCH(ROWS($AG$2:AG438),$AG$2:$AG$1001,0),0), INDEX($AN$1004:$BO$1004,1,MATCH(COLUMNS($AN$1006:AU1006),$AN$1006:$BO$1006,0)))),"Fix")))</f>
        <v>0</v>
      </c>
      <c r="J438" s="4">
        <f>IF(OR(INDEX($AH$2:$AH$1001,MATCH(ROWS($AG$2:AG438),$AG$2:$AG$1001,0),1)&gt;=100000,INDEX($AN$1005:$BO$1005,1,MATCH(COLUMNS($AN$1006:AV1006),$AN$1006:$BO$1006,0))&gt;=100000), " ",IF(INDEX($AN$2:$BO$1001,MATCH(ROWS($AG$2:AG438),$AG$2:$AG$1001,0),MATCH(COLUMNS($AN$1006:AV1006),$AN$1006:$BO$1006,0)), HYPERLINK("#",""), HYPERLINK(CONCATENATE("#Metadata!", ADDRESS(INDEX($AI$2:$AI$1001,MATCH(ROWS($AG$2:AG438),$AG$2:$AG$1001,0),0), INDEX($AN$1004:$BO$1004,1,MATCH(COLUMNS($AN$1006:AV1006),$AN$1006:$BO$1006,0)))),"Fix")))</f>
        <v>0</v>
      </c>
      <c r="K438" s="4">
        <f>IF(OR(INDEX($AH$2:$AH$1001,MATCH(ROWS($AG$2:AG438),$AG$2:$AG$1001,0),1)&gt;=100000,INDEX($AN$1005:$BO$1005,1,MATCH(COLUMNS($AN$1006:AW1006),$AN$1006:$BO$1006,0))&gt;=100000), " ",IF(INDEX($AN$2:$BO$1001,MATCH(ROWS($AG$2:AG438),$AG$2:$AG$1001,0),MATCH(COLUMNS($AN$1006:AW1006),$AN$1006:$BO$1006,0)), HYPERLINK("#",""), HYPERLINK(CONCATENATE("#Metadata!", ADDRESS(INDEX($AI$2:$AI$1001,MATCH(ROWS($AG$2:AG438),$AG$2:$AG$1001,0),0), INDEX($AN$1004:$BO$1004,1,MATCH(COLUMNS($AN$1006:AW1006),$AN$1006:$BO$1006,0)))),"Fix")))</f>
        <v>0</v>
      </c>
      <c r="L438" s="4">
        <f>IF(OR(INDEX($AH$2:$AH$1001,MATCH(ROWS($AG$2:AG438),$AG$2:$AG$1001,0),1)&gt;=100000,INDEX($AN$1005:$BO$1005,1,MATCH(COLUMNS($AN$1006:AX1006),$AN$1006:$BO$1006,0))&gt;=100000), " ",IF(INDEX($AN$2:$BO$1001,MATCH(ROWS($AG$2:AG438),$AG$2:$AG$1001,0),MATCH(COLUMNS($AN$1006:AX1006),$AN$1006:$BO$1006,0)), HYPERLINK("#",""), HYPERLINK(CONCATENATE("#Metadata!", ADDRESS(INDEX($AI$2:$AI$1001,MATCH(ROWS($AG$2:AG438),$AG$2:$AG$1001,0),0), INDEX($AN$1004:$BO$1004,1,MATCH(COLUMNS($AN$1006:AX1006),$AN$1006:$BO$1006,0)))),"Fix")))</f>
        <v>0</v>
      </c>
      <c r="M438" s="4">
        <f>IF(OR(INDEX($AH$2:$AH$1001,MATCH(ROWS($AG$2:AG438),$AG$2:$AG$1001,0),1)&gt;=100000,INDEX($AN$1005:$BO$1005,1,MATCH(COLUMNS($AN$1006:AY1006),$AN$1006:$BO$1006,0))&gt;=100000), " ",IF(INDEX($AN$2:$BO$1001,MATCH(ROWS($AG$2:AG438),$AG$2:$AG$1001,0),MATCH(COLUMNS($AN$1006:AY1006),$AN$1006:$BO$1006,0)), HYPERLINK("#",""), HYPERLINK(CONCATENATE("#Metadata!", ADDRESS(INDEX($AI$2:$AI$1001,MATCH(ROWS($AG$2:AG438),$AG$2:$AG$1001,0),0), INDEX($AN$1004:$BO$1004,1,MATCH(COLUMNS($AN$1006:AY1006),$AN$1006:$BO$1006,0)))),"Fix")))</f>
        <v>0</v>
      </c>
      <c r="N438" s="4">
        <f>IF(OR(INDEX($AH$2:$AH$1001,MATCH(ROWS($AG$2:AG438),$AG$2:$AG$1001,0),1)&gt;=100000,INDEX($AN$1005:$BO$1005,1,MATCH(COLUMNS($AN$1006:AZ1006),$AN$1006:$BO$1006,0))&gt;=100000), " ",IF(INDEX($AN$2:$BO$1001,MATCH(ROWS($AG$2:AG438),$AG$2:$AG$1001,0),MATCH(COLUMNS($AN$1006:AZ1006),$AN$1006:$BO$1006,0)), HYPERLINK("#",""), HYPERLINK(CONCATENATE("#Metadata!", ADDRESS(INDEX($AI$2:$AI$1001,MATCH(ROWS($AG$2:AG438),$AG$2:$AG$1001,0),0), INDEX($AN$1004:$BO$1004,1,MATCH(COLUMNS($AN$1006:AZ1006),$AN$1006:$BO$1006,0)))),"Fix")))</f>
        <v>0</v>
      </c>
      <c r="O438" s="4">
        <f>IF(OR(INDEX($AH$2:$AH$1001,MATCH(ROWS($AG$2:AG438),$AG$2:$AG$1001,0),1)&gt;=100000,INDEX($AN$1005:$BO$1005,1,MATCH(COLUMNS($AN$1006:BA1006),$AN$1006:$BO$1006,0))&gt;=100000), " ",IF(INDEX($AN$2:$BO$1001,MATCH(ROWS($AG$2:AG438),$AG$2:$AG$1001,0),MATCH(COLUMNS($AN$1006:BA1006),$AN$1006:$BO$1006,0)), HYPERLINK("#",""), HYPERLINK(CONCATENATE("#Metadata!", ADDRESS(INDEX($AI$2:$AI$1001,MATCH(ROWS($AG$2:AG438),$AG$2:$AG$1001,0),0), INDEX($AN$1004:$BO$1004,1,MATCH(COLUMNS($AN$1006:BA1006),$AN$1006:$BO$1006,0)))),"Fix")))</f>
        <v>0</v>
      </c>
      <c r="P438" s="4">
        <f>IF(OR(INDEX($AH$2:$AH$1001,MATCH(ROWS($AG$2:AG438),$AG$2:$AG$1001,0),1)&gt;=100000,INDEX($AN$1005:$BO$1005,1,MATCH(COLUMNS($AN$1006:BB1006),$AN$1006:$BO$1006,0))&gt;=100000), " ",IF(INDEX($AN$2:$BO$1001,MATCH(ROWS($AG$2:AG438),$AG$2:$AG$1001,0),MATCH(COLUMNS($AN$1006:BB1006),$AN$1006:$BO$1006,0)), HYPERLINK("#",""), HYPERLINK(CONCATENATE("#Metadata!", ADDRESS(INDEX($AI$2:$AI$1001,MATCH(ROWS($AG$2:AG438),$AG$2:$AG$1001,0),0), INDEX($AN$1004:$BO$1004,1,MATCH(COLUMNS($AN$1006:BB1006),$AN$1006:$BO$1006,0)))),"Fix")))</f>
        <v>0</v>
      </c>
      <c r="Q438" s="4">
        <f>IF(OR(INDEX($AH$2:$AH$1001,MATCH(ROWS($AG$2:AG438),$AG$2:$AG$1001,0),1)&gt;=100000,INDEX($AN$1005:$BO$1005,1,MATCH(COLUMNS($AN$1006:BC1006),$AN$1006:$BO$1006,0))&gt;=100000), " ",IF(INDEX($AN$2:$BO$1001,MATCH(ROWS($AG$2:AG438),$AG$2:$AG$1001,0),MATCH(COLUMNS($AN$1006:BC1006),$AN$1006:$BO$1006,0)), HYPERLINK("#",""), HYPERLINK(CONCATENATE("#Metadata!", ADDRESS(INDEX($AI$2:$AI$1001,MATCH(ROWS($AG$2:AG438),$AG$2:$AG$1001,0),0), INDEX($AN$1004:$BO$1004,1,MATCH(COLUMNS($AN$1006:BC1006),$AN$1006:$BO$1006,0)))),"Fix")))</f>
        <v>0</v>
      </c>
      <c r="R438" s="4">
        <f>IF(OR(INDEX($AH$2:$AH$1001,MATCH(ROWS($AG$2:AG438),$AG$2:$AG$1001,0),1)&gt;=100000,INDEX($AN$1005:$BO$1005,1,MATCH(COLUMNS($AN$1006:BD1006),$AN$1006:$BO$1006,0))&gt;=100000), " ",IF(INDEX($AN$2:$BO$1001,MATCH(ROWS($AG$2:AG438),$AG$2:$AG$1001,0),MATCH(COLUMNS($AN$1006:BD1006),$AN$1006:$BO$1006,0)), HYPERLINK("#",""), HYPERLINK(CONCATENATE("#Metadata!", ADDRESS(INDEX($AI$2:$AI$1001,MATCH(ROWS($AG$2:AG438),$AG$2:$AG$1001,0),0), INDEX($AN$1004:$BO$1004,1,MATCH(COLUMNS($AN$1006:BD1006),$AN$1006:$BO$1006,0)))),"Fix")))</f>
        <v>0</v>
      </c>
      <c r="S438" s="4">
        <f>IF(OR(INDEX($AH$2:$AH$1001,MATCH(ROWS($AG$2:AG438),$AG$2:$AG$1001,0),1)&gt;=100000,INDEX($AN$1005:$BO$1005,1,MATCH(COLUMNS($AN$1006:BE1006),$AN$1006:$BO$1006,0))&gt;=100000), " ",IF(INDEX($AN$2:$BO$1001,MATCH(ROWS($AG$2:AG438),$AG$2:$AG$1001,0),MATCH(COLUMNS($AN$1006:BE1006),$AN$1006:$BO$1006,0)), HYPERLINK("#",""), HYPERLINK(CONCATENATE("#Metadata!", ADDRESS(INDEX($AI$2:$AI$1001,MATCH(ROWS($AG$2:AG438),$AG$2:$AG$1001,0),0), INDEX($AN$1004:$BO$1004,1,MATCH(COLUMNS($AN$1006:BE1006),$AN$1006:$BO$1006,0)))),"Fix")))</f>
        <v>0</v>
      </c>
      <c r="T438" s="4">
        <f>IF(OR(INDEX($AH$2:$AH$1001,MATCH(ROWS($AG$2:AG438),$AG$2:$AG$1001,0),1)&gt;=100000,INDEX($AN$1005:$BO$1005,1,MATCH(COLUMNS($AN$1006:BF1006),$AN$1006:$BO$1006,0))&gt;=100000), " ",IF(INDEX($AN$2:$BO$1001,MATCH(ROWS($AG$2:AG438),$AG$2:$AG$1001,0),MATCH(COLUMNS($AN$1006:BF1006),$AN$1006:$BO$1006,0)), HYPERLINK("#",""), HYPERLINK(CONCATENATE("#Metadata!", ADDRESS(INDEX($AI$2:$AI$1001,MATCH(ROWS($AG$2:AG438),$AG$2:$AG$1001,0),0), INDEX($AN$1004:$BO$1004,1,MATCH(COLUMNS($AN$1006:BF1006),$AN$1006:$BO$1006,0)))),"Fix")))</f>
        <v>0</v>
      </c>
      <c r="U438" s="4">
        <f>IF(OR(INDEX($AH$2:$AH$1001,MATCH(ROWS($AG$2:AG438),$AG$2:$AG$1001,0),1)&gt;=100000,INDEX($AN$1005:$BO$1005,1,MATCH(COLUMNS($AN$1006:BG1006),$AN$1006:$BO$1006,0))&gt;=100000), " ",IF(INDEX($AN$2:$BO$1001,MATCH(ROWS($AG$2:AG438),$AG$2:$AG$1001,0),MATCH(COLUMNS($AN$1006:BG1006),$AN$1006:$BO$1006,0)), HYPERLINK("#",""), HYPERLINK(CONCATENATE("#Metadata!", ADDRESS(INDEX($AI$2:$AI$1001,MATCH(ROWS($AG$2:AG438),$AG$2:$AG$1001,0),0), INDEX($AN$1004:$BO$1004,1,MATCH(COLUMNS($AN$1006:BG1006),$AN$1006:$BO$1006,0)))),"Fix")))</f>
        <v>0</v>
      </c>
      <c r="V438" s="4">
        <f>IF(OR(INDEX($AH$2:$AH$1001,MATCH(ROWS($AG$2:AG438),$AG$2:$AG$1001,0),1)&gt;=100000,INDEX($AN$1005:$BO$1005,1,MATCH(COLUMNS($AN$1006:BH1006),$AN$1006:$BO$1006,0))&gt;=100000), " ",IF(INDEX($AN$2:$BO$1001,MATCH(ROWS($AG$2:AG438),$AG$2:$AG$1001,0),MATCH(COLUMNS($AN$1006:BH1006),$AN$1006:$BO$1006,0)), HYPERLINK("#",""), HYPERLINK(CONCATENATE("#Metadata!", ADDRESS(INDEX($AI$2:$AI$1001,MATCH(ROWS($AG$2:AG438),$AG$2:$AG$1001,0),0), INDEX($AN$1004:$BO$1004,1,MATCH(COLUMNS($AN$1006:BH1006),$AN$1006:$BO$1006,0)))),"Fix")))</f>
        <v>0</v>
      </c>
      <c r="W438" s="4">
        <f>IF(OR(INDEX($AH$2:$AH$1001,MATCH(ROWS($AG$2:AG438),$AG$2:$AG$1001,0),1)&gt;=100000,INDEX($AN$1005:$BO$1005,1,MATCH(COLUMNS($AN$1006:BI1006),$AN$1006:$BO$1006,0))&gt;=100000), " ",IF(INDEX($AN$2:$BO$1001,MATCH(ROWS($AG$2:AG438),$AG$2:$AG$1001,0),MATCH(COLUMNS($AN$1006:BI1006),$AN$1006:$BO$1006,0)), HYPERLINK("#",""), HYPERLINK(CONCATENATE("#Metadata!", ADDRESS(INDEX($AI$2:$AI$1001,MATCH(ROWS($AG$2:AG438),$AG$2:$AG$1001,0),0), INDEX($AN$1004:$BO$1004,1,MATCH(COLUMNS($AN$1006:BI1006),$AN$1006:$BO$1006,0)))),"Fix")))</f>
        <v>0</v>
      </c>
      <c r="X438" s="4">
        <f>IF(OR(INDEX($AH$2:$AH$1001,MATCH(ROWS($AG$2:AG438),$AG$2:$AG$1001,0),1)&gt;=100000,INDEX($AN$1005:$BO$1005,1,MATCH(COLUMNS($AN$1006:BJ1006),$AN$1006:$BO$1006,0))&gt;=100000), " ",IF(INDEX($AN$2:$BO$1001,MATCH(ROWS($AG$2:AG438),$AG$2:$AG$1001,0),MATCH(COLUMNS($AN$1006:BJ1006),$AN$1006:$BO$1006,0)), HYPERLINK("#",""), HYPERLINK(CONCATENATE("#Metadata!", ADDRESS(INDEX($AI$2:$AI$1001,MATCH(ROWS($AG$2:AG438),$AG$2:$AG$1001,0),0), INDEX($AN$1004:$BO$1004,1,MATCH(COLUMNS($AN$1006:BJ1006),$AN$1006:$BO$1006,0)))),"Fix")))</f>
        <v>0</v>
      </c>
      <c r="Y438" s="4">
        <f>IF(OR(INDEX($AH$2:$AH$1001,MATCH(ROWS($AG$2:AG438),$AG$2:$AG$1001,0),1)&gt;=100000,INDEX($AN$1005:$BO$1005,1,MATCH(COLUMNS($AN$1006:BK1006),$AN$1006:$BO$1006,0))&gt;=100000), " ",IF(INDEX($AN$2:$BO$1001,MATCH(ROWS($AG$2:AG438),$AG$2:$AG$1001,0),MATCH(COLUMNS($AN$1006:BK1006),$AN$1006:$BO$1006,0)), HYPERLINK("#",""), HYPERLINK(CONCATENATE("#Metadata!", ADDRESS(INDEX($AI$2:$AI$1001,MATCH(ROWS($AG$2:AG438),$AG$2:$AG$1001,0),0), INDEX($AN$1004:$BO$1004,1,MATCH(COLUMNS($AN$1006:BK1006),$AN$1006:$BO$1006,0)))),"Fix")))</f>
        <v>0</v>
      </c>
      <c r="Z438" s="4">
        <f>IF(OR(INDEX($AH$2:$AH$1001,MATCH(ROWS($AG$2:AG438),$AG$2:$AG$1001,0),1)&gt;=100000,INDEX($AN$1005:$BO$1005,1,MATCH(COLUMNS($AN$1006:BL1006),$AN$1006:$BO$1006,0))&gt;=100000), " ",IF(INDEX($AN$2:$BO$1001,MATCH(ROWS($AG$2:AG438),$AG$2:$AG$1001,0),MATCH(COLUMNS($AN$1006:BL1006),$AN$1006:$BO$1006,0)), HYPERLINK("#",""), HYPERLINK(CONCATENATE("#Metadata!", ADDRESS(INDEX($AI$2:$AI$1001,MATCH(ROWS($AG$2:AG438),$AG$2:$AG$1001,0),0), INDEX($AN$1004:$BO$1004,1,MATCH(COLUMNS($AN$1006:BL1006),$AN$1006:$BO$1006,0)))),"Fix")))</f>
        <v>0</v>
      </c>
      <c r="AA438" s="4">
        <f>IF(OR(INDEX($AH$2:$AH$1001,MATCH(ROWS($AG$2:AG438),$AG$2:$AG$1001,0),1)&gt;=100000,INDEX($AN$1005:$BO$1005,1,MATCH(COLUMNS($AN$1006:BM1006),$AN$1006:$BO$1006,0))&gt;=100000), " ",IF(INDEX($AN$2:$BO$1001,MATCH(ROWS($AG$2:AG438),$AG$2:$AG$1001,0),MATCH(COLUMNS($AN$1006:BM1006),$AN$1006:$BO$1006,0)), HYPERLINK("#",""), HYPERLINK(CONCATENATE("#Metadata!", ADDRESS(INDEX($AI$2:$AI$1001,MATCH(ROWS($AG$2:AG438),$AG$2:$AG$1001,0),0), INDEX($AN$1004:$BO$1004,1,MATCH(COLUMNS($AN$1006:BM1006),$AN$1006:$BO$1006,0)))),"Fix")))</f>
        <v>0</v>
      </c>
      <c r="AB438" s="4">
        <f>IF(OR(INDEX($AH$2:$AH$1001,MATCH(ROWS($AG$2:AG438),$AG$2:$AG$1001,0),1)&gt;=100000,INDEX($AN$1005:$BO$1005,1,MATCH(COLUMNS($AN$1006:BN1006),$AN$1006:$BO$1006,0))&gt;=100000), " ",IF(INDEX($AN$2:$BO$1001,MATCH(ROWS($AG$2:AG438),$AG$2:$AG$1001,0),MATCH(COLUMNS($AN$1006:BN1006),$AN$1006:$BO$1006,0)), HYPERLINK("#",""), HYPERLINK(CONCATENATE("#Metadata!", ADDRESS(INDEX($AI$2:$AI$1001,MATCH(ROWS($AG$2:AG438),$AG$2:$AG$1001,0),0), INDEX($AN$1004:$BO$1004,1,MATCH(COLUMNS($AN$1006:BN1006),$AN$1006:$BO$1006,0)))),"Fix")))</f>
        <v>0</v>
      </c>
      <c r="AC438" s="4">
        <f>IF(OR(INDEX($AH$2:$AH$1001,MATCH(ROWS($AG$2:AG438),$AG$2:$AG$1001,0),1)&gt;=100000,INDEX($AN$1005:$BO$1005,1,MATCH(COLUMNS($AN$1006:BO1006),$AN$1006:$BO$1006,0))&gt;=100000), " ",IF(INDEX($AN$2:$BO$1001,MATCH(ROWS($AG$2:AG438),$AG$2:$AG$1001,0),MATCH(COLUMNS($AN$1006:BO1006),$AN$1006:$BO$1006,0)), HYPERLINK("#",""), HYPERLINK(CONCATENATE("#Metadata!", ADDRESS(INDEX($AI$2:$AI$1001,MATCH(ROWS($AG$2:AG438),$AG$2:$AG$1001,0),0), INDEX($AN$1004:$BO$1004,1,MATCH(COLUMNS($AN$1006:BO1006),$AN$1006:$BO$1006,0)))),"Fix")))</f>
        <v>0</v>
      </c>
      <c r="AG438">
        <v>0</v>
      </c>
      <c r="AH438">
        <v>0</v>
      </c>
      <c r="AI438">
        <v>0</v>
      </c>
      <c r="AJ438">
        <f>IF(AK438,TRUE,AND(AN438:BO438))</f>
        <v>0</v>
      </c>
      <c r="AK438">
        <f>COUNTBLANK(Metadata!B438:AC438)=COLUMNS(Metadata!B438:AC438)</f>
        <v>0</v>
      </c>
      <c r="AL438">
        <v>0</v>
      </c>
      <c r="AN438">
        <f>AND(IF(Metadata!B438="",FALSE,TRUE),COUNTIF(Metadata!B:B, Metadata!B438) = 1,NOT(ISERROR(SUMPRODUCT(SEARCH(MID(Metadata!B438,ROW(INDIRECT("1:"&amp;LEN(Metadata!B438))), 1),"0123456789abcdefghijklmnopqrstuvwxyzABCDEFGHIJKLMNOPQRSTUVWXYZ.")))))</f>
        <v>0</v>
      </c>
      <c r="AO438">
        <f>IF(Metadata!C438="",FALSE,TRUE)</f>
        <v>0</v>
      </c>
      <c r="AP438">
        <f>IF(Metadata!D438="",FALSE,TRUE)</f>
        <v>0</v>
      </c>
      <c r="AQ438">
        <f>OR(AND(IF(Metadata!E438="",FALSE,TRUE),OR(exact(Metadata!E438,"not collected"),exact(Metadata!E438,"not provided"),exact(Metadata!E438,"restricted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R438">
        <f>IF(Metadata!F438="",FALSE,TRUE)</f>
        <v>0</v>
      </c>
      <c r="AS438">
        <f>OR(AND(IF(Metadata!G438="",FALSE,TRUE),OR(exact(Metadata!G438,"not collected"),exact(Metadata!G438,"not provided"))),AND(IF(Metadata!G438="",FALSE,TRUE),OR(exact(Metadata!G438,"TRUE"),exact(Metadata!G438,"FALSE"))))</f>
        <v>0</v>
      </c>
      <c r="AT438">
        <f>OR(AND(IF(Metadata!H438="",FALSE,TRUE),OR(exact(Metadata!H438,"not collected"),exact(Metadata!H438,"not provided"),exact(Metadata!H438,"restricted access"))),AND(IF(Metadata!H438="",FALSE,ISNUMBER(VALUE(Metadata!H438))),Metadata!H438&gt;=-413.0))</f>
        <v>0</v>
      </c>
      <c r="AU438">
        <f>AND(IF(Metadata!I438="",FALSE,TRUE),exact(Metadata!I438,"meters"))</f>
        <v>0</v>
      </c>
      <c r="AV438">
        <f>AND(IF(Metadata!J438="",FALSE,TRUE),OR(exact(Metadata!J438,"Host-associated"),exact(Metadata!J438,"Free-living")))</f>
        <v>0</v>
      </c>
      <c r="AW438">
        <f>AND(IF(Metadata!K438="",FALSE,TRUE),OR(exact(Metadata!K438,"Animal"),exact(Metadata!K438,"Fungus"),exact(Metadata!K438,"Plant"),exact(Metadata!K438,"Saline"),exact(Metadata!K438,"Non-saline")))</f>
        <v>0</v>
      </c>
      <c r="AX438">
        <f>AND(IF(Metadata!L438="",FALSE,TRUE),OR(exact(Metadata!L438,"Plant secretion"),exact(Metadata!L438,"Plant rhizosphere"),exact(Metadata!L438,"Plant surface"),exact(Metadata!L438,"Plant corpus"),exact(Metadata!L438,"Fungus surface"),exact(Metadata!L438,"Fungus corpus"),exact(Metadata!L438,"Animal surface"),exact(Metadata!L438,"Animal proximal gut"),exact(Metadata!L438,"Animal corpus"),exact(Metadata!L438,"Animal distal gut"),exact(Metadata!L438,"Animal secretion"),exact(Metadata!L438,"Sub-surface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Y438">
        <f>IF(Metadata!M438="",FALSE,TRUE)</f>
        <v>0</v>
      </c>
      <c r="AZ438">
        <f>IF(Metadata!N438="",FALSE,TRUE)</f>
        <v>0</v>
      </c>
      <c r="BA438">
        <f>IF(Metadata!O438="",FALSE,TRUE)</f>
        <v>0</v>
      </c>
      <c r="BB438">
        <f>OR(AND(IF(Metadata!P438="",FALSE,TRUE),OR(exact(Metadata!P438,"not collected"),exact(Metadata!P438,"not provided"),exact(Metadata!P438,"restricted access"))),AND(IF(Metadata!P438="",FALSE,TRUE),OR(exact(Metadata!P438,"air"),exact(Metadata!P438,"built environment"),exact(Metadata!P438,"host-associated"),exact(Metadata!P438,"human-associated"),exact(Metadata!P438,"human-skin"),exact(Metadata!P438,"human-oral"),exact(Metadata!P438,"human-gut"),exact(Metadata!P438,"human-vaginal"),exact(Metadata!P438,"microbial mat/biofilm"),exact(Metadata!P438,"misc environment"),exact(Metadata!P438,"plant-associated"),exact(Metadata!P438,"sediment"),exact(Metadata!P438,"soil"),exact(Metadata!P438,"wastewater/sludge"),exact(Metadata!P438,"water"))))</f>
        <v>0</v>
      </c>
      <c r="BC438">
        <f>IF(Metadata!Q438="",FALSE,TRUE)</f>
        <v>0</v>
      </c>
      <c r="BD438">
        <f>IF(Metadata!R438="",FALSE,TRUE)</f>
        <v>0</v>
      </c>
      <c r="BE438">
        <f>OR(AND(IF(Metadata!S438="",FALSE,TRUE),OR(exact(Metadata!S438,"not collected"),exact(Metadata!S438,"not provided"),exact(Metadata!S438,"restricted access"))),AND(IF(Metadata!S438="",FALSE,ISNUMBER(VALUE(Metadata!S438))),Metadata!S438&gt;=-90.00,Metadata!S438&lt;=90.00))</f>
        <v>0</v>
      </c>
      <c r="BF438">
        <f>AND(IF(Metadata!T438="",FALSE,TRUE),exact(Metadata!T438,"Decimal degrees"))</f>
        <v>0</v>
      </c>
      <c r="BG438">
        <f>OR(AND(IF(Metadata!U438="",FALSE,TRUE),OR(exact(Metadata!U438,"not collected"),exact(Metadata!U438,"not provided"),exact(Metadata!U438,"restricted access"))),AND(IF(Metadata!U438="",FALSE,ISNUMBER(VALUE(Metadata!U438))),Metadata!U438&gt;=-180.00,Metadata!U438&lt;=180.00))</f>
        <v>0</v>
      </c>
      <c r="BH438">
        <f>AND(IF(Metadata!V438="",FALSE,TRUE),exact(Metadata!V438,"Decimal degrees"))</f>
        <v>0</v>
      </c>
      <c r="BI438">
        <f>IF(Metadata!W438="",FALSE,TRUE)</f>
        <v>0</v>
      </c>
      <c r="BJ438">
        <f>OR(AND(IF(Metadata!X438="",FALSE,TRUE),OR(exact(Metadata!X438,"not collected"),exact(Metadata!X438,"not provided"),exact(Metadata!X438,"restricted access"))),AND(IF(Metadata!X438="",FALSE,TRUE),OR(exact(Metadata!X438,"TRUE"),exact(Metadata!X438,"FALSE"))))</f>
        <v>0</v>
      </c>
      <c r="BK438">
        <f>AND(IF(Metadata!Y438="",FALSE,TRUE),exact(Metadata!Y438,"other"))</f>
        <v>0</v>
      </c>
      <c r="BL438">
        <f>IF(Metadata!Z438="",FALSE,TRUE)</f>
        <v>0</v>
      </c>
      <c r="BM438">
        <f>OR(AND(IF(Metadata!AA438="",FALSE,TRUE),OR(exact(Metadata!AA438,"not collected"),exact(Metadata!AA438,"not provided"))),AND(IF(Metadata!AA438="",FALSE,IF(ISERROR(INT(Metadata!AA438)),FALSE,INT(Metadata!AA438)=Metadata!AA438)),Metadata!AA438&gt;0))</f>
        <v>0</v>
      </c>
      <c r="BN438">
        <f>AND(IF(Metadata!AB438="",FALSE,TRUE),exact(Metadata!AB438,"Not applicable"))</f>
        <v>0</v>
      </c>
      <c r="BO438">
        <f>IF(Metadata!AC438="",FALSE,TRUE)</f>
        <v>0</v>
      </c>
    </row>
    <row r="439" spans="1:67">
      <c r="A439" s="5">
        <f>IF(B439=" "," ",HYPERLINK(CONCATENATE("#metadata!",ADDRESS(INDEX($AI$2:$AI$1001,MATCH(ROWS($AG$2:AG439),$AG$2:$AG$1001,0),0),1)),INDEX($AL$2:$AL$1001,MATCH(ROWS($AG$2:AG439),$AG$2:$AG$1001,0),0)))</f>
        <v>0</v>
      </c>
      <c r="B439" s="4">
        <f>IF(OR(INDEX($AH$2:$AH$1001,MATCH(ROWS($AG$2:AG439),$AG$2:$AG$1001,0),1)&gt;=100000,INDEX($AN$1005:$BO$1005,1,MATCH(COLUMNS($AN$1006:AN1006),$AN$1006:$BO$1006,0))&gt;=100000), " ",IF(INDEX($AN$2:$BO$1001,MATCH(ROWS($AG$2:AG439),$AG$2:$AG$1001,0),MATCH(COLUMNS($AN$1006:AN1006),$AN$1006:$BO$1006,0)), HYPERLINK("#",""), HYPERLINK(CONCATENATE("#Metadata!", ADDRESS(INDEX($AI$2:$AI$1001,MATCH(ROWS($AG$2:AG439),$AG$2:$AG$1001,0),0), INDEX($AN$1004:$BO$1004,1,MATCH(COLUMNS($AN$1006:AN1006),$AN$1006:$BO$1006,0)))),"Fix")))</f>
        <v>0</v>
      </c>
      <c r="C439" s="4">
        <f>IF(OR(INDEX($AH$2:$AH$1001,MATCH(ROWS($AG$2:AG439),$AG$2:$AG$1001,0),1)&gt;=100000,INDEX($AN$1005:$BO$1005,1,MATCH(COLUMNS($AN$1006:AO1006),$AN$1006:$BO$1006,0))&gt;=100000), " ",IF(INDEX($AN$2:$BO$1001,MATCH(ROWS($AG$2:AG439),$AG$2:$AG$1001,0),MATCH(COLUMNS($AN$1006:AO1006),$AN$1006:$BO$1006,0)), HYPERLINK("#",""), HYPERLINK(CONCATENATE("#Metadata!", ADDRESS(INDEX($AI$2:$AI$1001,MATCH(ROWS($AG$2:AG439),$AG$2:$AG$1001,0),0), INDEX($AN$1004:$BO$1004,1,MATCH(COLUMNS($AN$1006:AO1006),$AN$1006:$BO$1006,0)))),"Fix")))</f>
        <v>0</v>
      </c>
      <c r="D439" s="4">
        <f>IF(OR(INDEX($AH$2:$AH$1001,MATCH(ROWS($AG$2:AG439),$AG$2:$AG$1001,0),1)&gt;=100000,INDEX($AN$1005:$BO$1005,1,MATCH(COLUMNS($AN$1006:AP1006),$AN$1006:$BO$1006,0))&gt;=100000), " ",IF(INDEX($AN$2:$BO$1001,MATCH(ROWS($AG$2:AG439),$AG$2:$AG$1001,0),MATCH(COLUMNS($AN$1006:AP1006),$AN$1006:$BO$1006,0)), HYPERLINK("#",""), HYPERLINK(CONCATENATE("#Metadata!", ADDRESS(INDEX($AI$2:$AI$1001,MATCH(ROWS($AG$2:AG439),$AG$2:$AG$1001,0),0), INDEX($AN$1004:$BO$1004,1,MATCH(COLUMNS($AN$1006:AP1006),$AN$1006:$BO$1006,0)))),"Fix")))</f>
        <v>0</v>
      </c>
      <c r="E439" s="4">
        <f>IF(OR(INDEX($AH$2:$AH$1001,MATCH(ROWS($AG$2:AG439),$AG$2:$AG$1001,0),1)&gt;=100000,INDEX($AN$1005:$BO$1005,1,MATCH(COLUMNS($AN$1006:AQ1006),$AN$1006:$BO$1006,0))&gt;=100000), " ",IF(INDEX($AN$2:$BO$1001,MATCH(ROWS($AG$2:AG439),$AG$2:$AG$1001,0),MATCH(COLUMNS($AN$1006:AQ1006),$AN$1006:$BO$1006,0)), HYPERLINK("#",""), HYPERLINK(CONCATENATE("#Metadata!", ADDRESS(INDEX($AI$2:$AI$1001,MATCH(ROWS($AG$2:AG439),$AG$2:$AG$1001,0),0), INDEX($AN$1004:$BO$1004,1,MATCH(COLUMNS($AN$1006:AQ1006),$AN$1006:$BO$1006,0)))),"Fix")))</f>
        <v>0</v>
      </c>
      <c r="F439" s="4">
        <f>IF(OR(INDEX($AH$2:$AH$1001,MATCH(ROWS($AG$2:AG439),$AG$2:$AG$1001,0),1)&gt;=100000,INDEX($AN$1005:$BO$1005,1,MATCH(COLUMNS($AN$1006:AR1006),$AN$1006:$BO$1006,0))&gt;=100000), " ",IF(INDEX($AN$2:$BO$1001,MATCH(ROWS($AG$2:AG439),$AG$2:$AG$1001,0),MATCH(COLUMNS($AN$1006:AR1006),$AN$1006:$BO$1006,0)), HYPERLINK("#",""), HYPERLINK(CONCATENATE("#Metadata!", ADDRESS(INDEX($AI$2:$AI$1001,MATCH(ROWS($AG$2:AG439),$AG$2:$AG$1001,0),0), INDEX($AN$1004:$BO$1004,1,MATCH(COLUMNS($AN$1006:AR1006),$AN$1006:$BO$1006,0)))),"Fix")))</f>
        <v>0</v>
      </c>
      <c r="G439" s="4">
        <f>IF(OR(INDEX($AH$2:$AH$1001,MATCH(ROWS($AG$2:AG439),$AG$2:$AG$1001,0),1)&gt;=100000,INDEX($AN$1005:$BO$1005,1,MATCH(COLUMNS($AN$1006:AS1006),$AN$1006:$BO$1006,0))&gt;=100000), " ",IF(INDEX($AN$2:$BO$1001,MATCH(ROWS($AG$2:AG439),$AG$2:$AG$1001,0),MATCH(COLUMNS($AN$1006:AS1006),$AN$1006:$BO$1006,0)), HYPERLINK("#",""), HYPERLINK(CONCATENATE("#Metadata!", ADDRESS(INDEX($AI$2:$AI$1001,MATCH(ROWS($AG$2:AG439),$AG$2:$AG$1001,0),0), INDEX($AN$1004:$BO$1004,1,MATCH(COLUMNS($AN$1006:AS1006),$AN$1006:$BO$1006,0)))),"Fix")))</f>
        <v>0</v>
      </c>
      <c r="H439" s="4">
        <f>IF(OR(INDEX($AH$2:$AH$1001,MATCH(ROWS($AG$2:AG439),$AG$2:$AG$1001,0),1)&gt;=100000,INDEX($AN$1005:$BO$1005,1,MATCH(COLUMNS($AN$1006:AT1006),$AN$1006:$BO$1006,0))&gt;=100000), " ",IF(INDEX($AN$2:$BO$1001,MATCH(ROWS($AG$2:AG439),$AG$2:$AG$1001,0),MATCH(COLUMNS($AN$1006:AT1006),$AN$1006:$BO$1006,0)), HYPERLINK("#",""), HYPERLINK(CONCATENATE("#Metadata!", ADDRESS(INDEX($AI$2:$AI$1001,MATCH(ROWS($AG$2:AG439),$AG$2:$AG$1001,0),0), INDEX($AN$1004:$BO$1004,1,MATCH(COLUMNS($AN$1006:AT1006),$AN$1006:$BO$1006,0)))),"Fix")))</f>
        <v>0</v>
      </c>
      <c r="I439" s="4">
        <f>IF(OR(INDEX($AH$2:$AH$1001,MATCH(ROWS($AG$2:AG439),$AG$2:$AG$1001,0),1)&gt;=100000,INDEX($AN$1005:$BO$1005,1,MATCH(COLUMNS($AN$1006:AU1006),$AN$1006:$BO$1006,0))&gt;=100000), " ",IF(INDEX($AN$2:$BO$1001,MATCH(ROWS($AG$2:AG439),$AG$2:$AG$1001,0),MATCH(COLUMNS($AN$1006:AU1006),$AN$1006:$BO$1006,0)), HYPERLINK("#",""), HYPERLINK(CONCATENATE("#Metadata!", ADDRESS(INDEX($AI$2:$AI$1001,MATCH(ROWS($AG$2:AG439),$AG$2:$AG$1001,0),0), INDEX($AN$1004:$BO$1004,1,MATCH(COLUMNS($AN$1006:AU1006),$AN$1006:$BO$1006,0)))),"Fix")))</f>
        <v>0</v>
      </c>
      <c r="J439" s="4">
        <f>IF(OR(INDEX($AH$2:$AH$1001,MATCH(ROWS($AG$2:AG439),$AG$2:$AG$1001,0),1)&gt;=100000,INDEX($AN$1005:$BO$1005,1,MATCH(COLUMNS($AN$1006:AV1006),$AN$1006:$BO$1006,0))&gt;=100000), " ",IF(INDEX($AN$2:$BO$1001,MATCH(ROWS($AG$2:AG439),$AG$2:$AG$1001,0),MATCH(COLUMNS($AN$1006:AV1006),$AN$1006:$BO$1006,0)), HYPERLINK("#",""), HYPERLINK(CONCATENATE("#Metadata!", ADDRESS(INDEX($AI$2:$AI$1001,MATCH(ROWS($AG$2:AG439),$AG$2:$AG$1001,0),0), INDEX($AN$1004:$BO$1004,1,MATCH(COLUMNS($AN$1006:AV1006),$AN$1006:$BO$1006,0)))),"Fix")))</f>
        <v>0</v>
      </c>
      <c r="K439" s="4">
        <f>IF(OR(INDEX($AH$2:$AH$1001,MATCH(ROWS($AG$2:AG439),$AG$2:$AG$1001,0),1)&gt;=100000,INDEX($AN$1005:$BO$1005,1,MATCH(COLUMNS($AN$1006:AW1006),$AN$1006:$BO$1006,0))&gt;=100000), " ",IF(INDEX($AN$2:$BO$1001,MATCH(ROWS($AG$2:AG439),$AG$2:$AG$1001,0),MATCH(COLUMNS($AN$1006:AW1006),$AN$1006:$BO$1006,0)), HYPERLINK("#",""), HYPERLINK(CONCATENATE("#Metadata!", ADDRESS(INDEX($AI$2:$AI$1001,MATCH(ROWS($AG$2:AG439),$AG$2:$AG$1001,0),0), INDEX($AN$1004:$BO$1004,1,MATCH(COLUMNS($AN$1006:AW1006),$AN$1006:$BO$1006,0)))),"Fix")))</f>
        <v>0</v>
      </c>
      <c r="L439" s="4">
        <f>IF(OR(INDEX($AH$2:$AH$1001,MATCH(ROWS($AG$2:AG439),$AG$2:$AG$1001,0),1)&gt;=100000,INDEX($AN$1005:$BO$1005,1,MATCH(COLUMNS($AN$1006:AX1006),$AN$1006:$BO$1006,0))&gt;=100000), " ",IF(INDEX($AN$2:$BO$1001,MATCH(ROWS($AG$2:AG439),$AG$2:$AG$1001,0),MATCH(COLUMNS($AN$1006:AX1006),$AN$1006:$BO$1006,0)), HYPERLINK("#",""), HYPERLINK(CONCATENATE("#Metadata!", ADDRESS(INDEX($AI$2:$AI$1001,MATCH(ROWS($AG$2:AG439),$AG$2:$AG$1001,0),0), INDEX($AN$1004:$BO$1004,1,MATCH(COLUMNS($AN$1006:AX1006),$AN$1006:$BO$1006,0)))),"Fix")))</f>
        <v>0</v>
      </c>
      <c r="M439" s="4">
        <f>IF(OR(INDEX($AH$2:$AH$1001,MATCH(ROWS($AG$2:AG439),$AG$2:$AG$1001,0),1)&gt;=100000,INDEX($AN$1005:$BO$1005,1,MATCH(COLUMNS($AN$1006:AY1006),$AN$1006:$BO$1006,0))&gt;=100000), " ",IF(INDEX($AN$2:$BO$1001,MATCH(ROWS($AG$2:AG439),$AG$2:$AG$1001,0),MATCH(COLUMNS($AN$1006:AY1006),$AN$1006:$BO$1006,0)), HYPERLINK("#",""), HYPERLINK(CONCATENATE("#Metadata!", ADDRESS(INDEX($AI$2:$AI$1001,MATCH(ROWS($AG$2:AG439),$AG$2:$AG$1001,0),0), INDEX($AN$1004:$BO$1004,1,MATCH(COLUMNS($AN$1006:AY1006),$AN$1006:$BO$1006,0)))),"Fix")))</f>
        <v>0</v>
      </c>
      <c r="N439" s="4">
        <f>IF(OR(INDEX($AH$2:$AH$1001,MATCH(ROWS($AG$2:AG439),$AG$2:$AG$1001,0),1)&gt;=100000,INDEX($AN$1005:$BO$1005,1,MATCH(COLUMNS($AN$1006:AZ1006),$AN$1006:$BO$1006,0))&gt;=100000), " ",IF(INDEX($AN$2:$BO$1001,MATCH(ROWS($AG$2:AG439),$AG$2:$AG$1001,0),MATCH(COLUMNS($AN$1006:AZ1006),$AN$1006:$BO$1006,0)), HYPERLINK("#",""), HYPERLINK(CONCATENATE("#Metadata!", ADDRESS(INDEX($AI$2:$AI$1001,MATCH(ROWS($AG$2:AG439),$AG$2:$AG$1001,0),0), INDEX($AN$1004:$BO$1004,1,MATCH(COLUMNS($AN$1006:AZ1006),$AN$1006:$BO$1006,0)))),"Fix")))</f>
        <v>0</v>
      </c>
      <c r="O439" s="4">
        <f>IF(OR(INDEX($AH$2:$AH$1001,MATCH(ROWS($AG$2:AG439),$AG$2:$AG$1001,0),1)&gt;=100000,INDEX($AN$1005:$BO$1005,1,MATCH(COLUMNS($AN$1006:BA1006),$AN$1006:$BO$1006,0))&gt;=100000), " ",IF(INDEX($AN$2:$BO$1001,MATCH(ROWS($AG$2:AG439),$AG$2:$AG$1001,0),MATCH(COLUMNS($AN$1006:BA1006),$AN$1006:$BO$1006,0)), HYPERLINK("#",""), HYPERLINK(CONCATENATE("#Metadata!", ADDRESS(INDEX($AI$2:$AI$1001,MATCH(ROWS($AG$2:AG439),$AG$2:$AG$1001,0),0), INDEX($AN$1004:$BO$1004,1,MATCH(COLUMNS($AN$1006:BA1006),$AN$1006:$BO$1006,0)))),"Fix")))</f>
        <v>0</v>
      </c>
      <c r="P439" s="4">
        <f>IF(OR(INDEX($AH$2:$AH$1001,MATCH(ROWS($AG$2:AG439),$AG$2:$AG$1001,0),1)&gt;=100000,INDEX($AN$1005:$BO$1005,1,MATCH(COLUMNS($AN$1006:BB1006),$AN$1006:$BO$1006,0))&gt;=100000), " ",IF(INDEX($AN$2:$BO$1001,MATCH(ROWS($AG$2:AG439),$AG$2:$AG$1001,0),MATCH(COLUMNS($AN$1006:BB1006),$AN$1006:$BO$1006,0)), HYPERLINK("#",""), HYPERLINK(CONCATENATE("#Metadata!", ADDRESS(INDEX($AI$2:$AI$1001,MATCH(ROWS($AG$2:AG439),$AG$2:$AG$1001,0),0), INDEX($AN$1004:$BO$1004,1,MATCH(COLUMNS($AN$1006:BB1006),$AN$1006:$BO$1006,0)))),"Fix")))</f>
        <v>0</v>
      </c>
      <c r="Q439" s="4">
        <f>IF(OR(INDEX($AH$2:$AH$1001,MATCH(ROWS($AG$2:AG439),$AG$2:$AG$1001,0),1)&gt;=100000,INDEX($AN$1005:$BO$1005,1,MATCH(COLUMNS($AN$1006:BC1006),$AN$1006:$BO$1006,0))&gt;=100000), " ",IF(INDEX($AN$2:$BO$1001,MATCH(ROWS($AG$2:AG439),$AG$2:$AG$1001,0),MATCH(COLUMNS($AN$1006:BC1006),$AN$1006:$BO$1006,0)), HYPERLINK("#",""), HYPERLINK(CONCATENATE("#Metadata!", ADDRESS(INDEX($AI$2:$AI$1001,MATCH(ROWS($AG$2:AG439),$AG$2:$AG$1001,0),0), INDEX($AN$1004:$BO$1004,1,MATCH(COLUMNS($AN$1006:BC1006),$AN$1006:$BO$1006,0)))),"Fix")))</f>
        <v>0</v>
      </c>
      <c r="R439" s="4">
        <f>IF(OR(INDEX($AH$2:$AH$1001,MATCH(ROWS($AG$2:AG439),$AG$2:$AG$1001,0),1)&gt;=100000,INDEX($AN$1005:$BO$1005,1,MATCH(COLUMNS($AN$1006:BD1006),$AN$1006:$BO$1006,0))&gt;=100000), " ",IF(INDEX($AN$2:$BO$1001,MATCH(ROWS($AG$2:AG439),$AG$2:$AG$1001,0),MATCH(COLUMNS($AN$1006:BD1006),$AN$1006:$BO$1006,0)), HYPERLINK("#",""), HYPERLINK(CONCATENATE("#Metadata!", ADDRESS(INDEX($AI$2:$AI$1001,MATCH(ROWS($AG$2:AG439),$AG$2:$AG$1001,0),0), INDEX($AN$1004:$BO$1004,1,MATCH(COLUMNS($AN$1006:BD1006),$AN$1006:$BO$1006,0)))),"Fix")))</f>
        <v>0</v>
      </c>
      <c r="S439" s="4">
        <f>IF(OR(INDEX($AH$2:$AH$1001,MATCH(ROWS($AG$2:AG439),$AG$2:$AG$1001,0),1)&gt;=100000,INDEX($AN$1005:$BO$1005,1,MATCH(COLUMNS($AN$1006:BE1006),$AN$1006:$BO$1006,0))&gt;=100000), " ",IF(INDEX($AN$2:$BO$1001,MATCH(ROWS($AG$2:AG439),$AG$2:$AG$1001,0),MATCH(COLUMNS($AN$1006:BE1006),$AN$1006:$BO$1006,0)), HYPERLINK("#",""), HYPERLINK(CONCATENATE("#Metadata!", ADDRESS(INDEX($AI$2:$AI$1001,MATCH(ROWS($AG$2:AG439),$AG$2:$AG$1001,0),0), INDEX($AN$1004:$BO$1004,1,MATCH(COLUMNS($AN$1006:BE1006),$AN$1006:$BO$1006,0)))),"Fix")))</f>
        <v>0</v>
      </c>
      <c r="T439" s="4">
        <f>IF(OR(INDEX($AH$2:$AH$1001,MATCH(ROWS($AG$2:AG439),$AG$2:$AG$1001,0),1)&gt;=100000,INDEX($AN$1005:$BO$1005,1,MATCH(COLUMNS($AN$1006:BF1006),$AN$1006:$BO$1006,0))&gt;=100000), " ",IF(INDEX($AN$2:$BO$1001,MATCH(ROWS($AG$2:AG439),$AG$2:$AG$1001,0),MATCH(COLUMNS($AN$1006:BF1006),$AN$1006:$BO$1006,0)), HYPERLINK("#",""), HYPERLINK(CONCATENATE("#Metadata!", ADDRESS(INDEX($AI$2:$AI$1001,MATCH(ROWS($AG$2:AG439),$AG$2:$AG$1001,0),0), INDEX($AN$1004:$BO$1004,1,MATCH(COLUMNS($AN$1006:BF1006),$AN$1006:$BO$1006,0)))),"Fix")))</f>
        <v>0</v>
      </c>
      <c r="U439" s="4">
        <f>IF(OR(INDEX($AH$2:$AH$1001,MATCH(ROWS($AG$2:AG439),$AG$2:$AG$1001,0),1)&gt;=100000,INDEX($AN$1005:$BO$1005,1,MATCH(COLUMNS($AN$1006:BG1006),$AN$1006:$BO$1006,0))&gt;=100000), " ",IF(INDEX($AN$2:$BO$1001,MATCH(ROWS($AG$2:AG439),$AG$2:$AG$1001,0),MATCH(COLUMNS($AN$1006:BG1006),$AN$1006:$BO$1006,0)), HYPERLINK("#",""), HYPERLINK(CONCATENATE("#Metadata!", ADDRESS(INDEX($AI$2:$AI$1001,MATCH(ROWS($AG$2:AG439),$AG$2:$AG$1001,0),0), INDEX($AN$1004:$BO$1004,1,MATCH(COLUMNS($AN$1006:BG1006),$AN$1006:$BO$1006,0)))),"Fix")))</f>
        <v>0</v>
      </c>
      <c r="V439" s="4">
        <f>IF(OR(INDEX($AH$2:$AH$1001,MATCH(ROWS($AG$2:AG439),$AG$2:$AG$1001,0),1)&gt;=100000,INDEX($AN$1005:$BO$1005,1,MATCH(COLUMNS($AN$1006:BH1006),$AN$1006:$BO$1006,0))&gt;=100000), " ",IF(INDEX($AN$2:$BO$1001,MATCH(ROWS($AG$2:AG439),$AG$2:$AG$1001,0),MATCH(COLUMNS($AN$1006:BH1006),$AN$1006:$BO$1006,0)), HYPERLINK("#",""), HYPERLINK(CONCATENATE("#Metadata!", ADDRESS(INDEX($AI$2:$AI$1001,MATCH(ROWS($AG$2:AG439),$AG$2:$AG$1001,0),0), INDEX($AN$1004:$BO$1004,1,MATCH(COLUMNS($AN$1006:BH1006),$AN$1006:$BO$1006,0)))),"Fix")))</f>
        <v>0</v>
      </c>
      <c r="W439" s="4">
        <f>IF(OR(INDEX($AH$2:$AH$1001,MATCH(ROWS($AG$2:AG439),$AG$2:$AG$1001,0),1)&gt;=100000,INDEX($AN$1005:$BO$1005,1,MATCH(COLUMNS($AN$1006:BI1006),$AN$1006:$BO$1006,0))&gt;=100000), " ",IF(INDEX($AN$2:$BO$1001,MATCH(ROWS($AG$2:AG439),$AG$2:$AG$1001,0),MATCH(COLUMNS($AN$1006:BI1006),$AN$1006:$BO$1006,0)), HYPERLINK("#",""), HYPERLINK(CONCATENATE("#Metadata!", ADDRESS(INDEX($AI$2:$AI$1001,MATCH(ROWS($AG$2:AG439),$AG$2:$AG$1001,0),0), INDEX($AN$1004:$BO$1004,1,MATCH(COLUMNS($AN$1006:BI1006),$AN$1006:$BO$1006,0)))),"Fix")))</f>
        <v>0</v>
      </c>
      <c r="X439" s="4">
        <f>IF(OR(INDEX($AH$2:$AH$1001,MATCH(ROWS($AG$2:AG439),$AG$2:$AG$1001,0),1)&gt;=100000,INDEX($AN$1005:$BO$1005,1,MATCH(COLUMNS($AN$1006:BJ1006),$AN$1006:$BO$1006,0))&gt;=100000), " ",IF(INDEX($AN$2:$BO$1001,MATCH(ROWS($AG$2:AG439),$AG$2:$AG$1001,0),MATCH(COLUMNS($AN$1006:BJ1006),$AN$1006:$BO$1006,0)), HYPERLINK("#",""), HYPERLINK(CONCATENATE("#Metadata!", ADDRESS(INDEX($AI$2:$AI$1001,MATCH(ROWS($AG$2:AG439),$AG$2:$AG$1001,0),0), INDEX($AN$1004:$BO$1004,1,MATCH(COLUMNS($AN$1006:BJ1006),$AN$1006:$BO$1006,0)))),"Fix")))</f>
        <v>0</v>
      </c>
      <c r="Y439" s="4">
        <f>IF(OR(INDEX($AH$2:$AH$1001,MATCH(ROWS($AG$2:AG439),$AG$2:$AG$1001,0),1)&gt;=100000,INDEX($AN$1005:$BO$1005,1,MATCH(COLUMNS($AN$1006:BK1006),$AN$1006:$BO$1006,0))&gt;=100000), " ",IF(INDEX($AN$2:$BO$1001,MATCH(ROWS($AG$2:AG439),$AG$2:$AG$1001,0),MATCH(COLUMNS($AN$1006:BK1006),$AN$1006:$BO$1006,0)), HYPERLINK("#",""), HYPERLINK(CONCATENATE("#Metadata!", ADDRESS(INDEX($AI$2:$AI$1001,MATCH(ROWS($AG$2:AG439),$AG$2:$AG$1001,0),0), INDEX($AN$1004:$BO$1004,1,MATCH(COLUMNS($AN$1006:BK1006),$AN$1006:$BO$1006,0)))),"Fix")))</f>
        <v>0</v>
      </c>
      <c r="Z439" s="4">
        <f>IF(OR(INDEX($AH$2:$AH$1001,MATCH(ROWS($AG$2:AG439),$AG$2:$AG$1001,0),1)&gt;=100000,INDEX($AN$1005:$BO$1005,1,MATCH(COLUMNS($AN$1006:BL1006),$AN$1006:$BO$1006,0))&gt;=100000), " ",IF(INDEX($AN$2:$BO$1001,MATCH(ROWS($AG$2:AG439),$AG$2:$AG$1001,0),MATCH(COLUMNS($AN$1006:BL1006),$AN$1006:$BO$1006,0)), HYPERLINK("#",""), HYPERLINK(CONCATENATE("#Metadata!", ADDRESS(INDEX($AI$2:$AI$1001,MATCH(ROWS($AG$2:AG439),$AG$2:$AG$1001,0),0), INDEX($AN$1004:$BO$1004,1,MATCH(COLUMNS($AN$1006:BL1006),$AN$1006:$BO$1006,0)))),"Fix")))</f>
        <v>0</v>
      </c>
      <c r="AA439" s="4">
        <f>IF(OR(INDEX($AH$2:$AH$1001,MATCH(ROWS($AG$2:AG439),$AG$2:$AG$1001,0),1)&gt;=100000,INDEX($AN$1005:$BO$1005,1,MATCH(COLUMNS($AN$1006:BM1006),$AN$1006:$BO$1006,0))&gt;=100000), " ",IF(INDEX($AN$2:$BO$1001,MATCH(ROWS($AG$2:AG439),$AG$2:$AG$1001,0),MATCH(COLUMNS($AN$1006:BM1006),$AN$1006:$BO$1006,0)), HYPERLINK("#",""), HYPERLINK(CONCATENATE("#Metadata!", ADDRESS(INDEX($AI$2:$AI$1001,MATCH(ROWS($AG$2:AG439),$AG$2:$AG$1001,0),0), INDEX($AN$1004:$BO$1004,1,MATCH(COLUMNS($AN$1006:BM1006),$AN$1006:$BO$1006,0)))),"Fix")))</f>
        <v>0</v>
      </c>
      <c r="AB439" s="4">
        <f>IF(OR(INDEX($AH$2:$AH$1001,MATCH(ROWS($AG$2:AG439),$AG$2:$AG$1001,0),1)&gt;=100000,INDEX($AN$1005:$BO$1005,1,MATCH(COLUMNS($AN$1006:BN1006),$AN$1006:$BO$1006,0))&gt;=100000), " ",IF(INDEX($AN$2:$BO$1001,MATCH(ROWS($AG$2:AG439),$AG$2:$AG$1001,0),MATCH(COLUMNS($AN$1006:BN1006),$AN$1006:$BO$1006,0)), HYPERLINK("#",""), HYPERLINK(CONCATENATE("#Metadata!", ADDRESS(INDEX($AI$2:$AI$1001,MATCH(ROWS($AG$2:AG439),$AG$2:$AG$1001,0),0), INDEX($AN$1004:$BO$1004,1,MATCH(COLUMNS($AN$1006:BN1006),$AN$1006:$BO$1006,0)))),"Fix")))</f>
        <v>0</v>
      </c>
      <c r="AC439" s="4">
        <f>IF(OR(INDEX($AH$2:$AH$1001,MATCH(ROWS($AG$2:AG439),$AG$2:$AG$1001,0),1)&gt;=100000,INDEX($AN$1005:$BO$1005,1,MATCH(COLUMNS($AN$1006:BO1006),$AN$1006:$BO$1006,0))&gt;=100000), " ",IF(INDEX($AN$2:$BO$1001,MATCH(ROWS($AG$2:AG439),$AG$2:$AG$1001,0),MATCH(COLUMNS($AN$1006:BO1006),$AN$1006:$BO$1006,0)), HYPERLINK("#",""), HYPERLINK(CONCATENATE("#Metadata!", ADDRESS(INDEX($AI$2:$AI$1001,MATCH(ROWS($AG$2:AG439),$AG$2:$AG$1001,0),0), INDEX($AN$1004:$BO$1004,1,MATCH(COLUMNS($AN$1006:BO1006),$AN$1006:$BO$1006,0)))),"Fix")))</f>
        <v>0</v>
      </c>
      <c r="AG439">
        <v>0</v>
      </c>
      <c r="AH439">
        <v>0</v>
      </c>
      <c r="AI439">
        <v>0</v>
      </c>
      <c r="AJ439">
        <f>IF(AK439,TRUE,AND(AN439:BO439))</f>
        <v>0</v>
      </c>
      <c r="AK439">
        <f>COUNTBLANK(Metadata!B439:AC439)=COLUMNS(Metadata!B439:AC439)</f>
        <v>0</v>
      </c>
      <c r="AL439">
        <v>0</v>
      </c>
      <c r="AN439">
        <f>AND(IF(Metadata!B439="",FALSE,TRUE),COUNTIF(Metadata!B:B, Metadata!B439) = 1,NOT(ISERROR(SUMPRODUCT(SEARCH(MID(Metadata!B439,ROW(INDIRECT("1:"&amp;LEN(Metadata!B439))), 1),"0123456789abcdefghijklmnopqrstuvwxyzABCDEFGHIJKLMNOPQRSTUVWXYZ.")))))</f>
        <v>0</v>
      </c>
      <c r="AO439">
        <f>IF(Metadata!C439="",FALSE,TRUE)</f>
        <v>0</v>
      </c>
      <c r="AP439">
        <f>IF(Metadata!D439="",FALSE,TRUE)</f>
        <v>0</v>
      </c>
      <c r="AQ439">
        <f>OR(AND(IF(Metadata!E439="",FALSE,TRUE),OR(exact(Metadata!E439,"not collected"),exact(Metadata!E439,"not provided"),exact(Metadata!E439,"restricted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R439">
        <f>IF(Metadata!F439="",FALSE,TRUE)</f>
        <v>0</v>
      </c>
      <c r="AS439">
        <f>OR(AND(IF(Metadata!G439="",FALSE,TRUE),OR(exact(Metadata!G439,"not collected"),exact(Metadata!G439,"not provided"))),AND(IF(Metadata!G439="",FALSE,TRUE),OR(exact(Metadata!G439,"TRUE"),exact(Metadata!G439,"FALSE"))))</f>
        <v>0</v>
      </c>
      <c r="AT439">
        <f>OR(AND(IF(Metadata!H439="",FALSE,TRUE),OR(exact(Metadata!H439,"not collected"),exact(Metadata!H439,"not provided"),exact(Metadata!H439,"restricted access"))),AND(IF(Metadata!H439="",FALSE,ISNUMBER(VALUE(Metadata!H439))),Metadata!H439&gt;=-413.0))</f>
        <v>0</v>
      </c>
      <c r="AU439">
        <f>AND(IF(Metadata!I439="",FALSE,TRUE),exact(Metadata!I439,"meters"))</f>
        <v>0</v>
      </c>
      <c r="AV439">
        <f>AND(IF(Metadata!J439="",FALSE,TRUE),OR(exact(Metadata!J439,"Host-associated"),exact(Metadata!J439,"Free-living")))</f>
        <v>0</v>
      </c>
      <c r="AW439">
        <f>AND(IF(Metadata!K439="",FALSE,TRUE),OR(exact(Metadata!K439,"Animal"),exact(Metadata!K439,"Fungus"),exact(Metadata!K439,"Plant"),exact(Metadata!K439,"Saline"),exact(Metadata!K439,"Non-saline")))</f>
        <v>0</v>
      </c>
      <c r="AX439">
        <f>AND(IF(Metadata!L439="",FALSE,TRUE),OR(exact(Metadata!L439,"Plant secretion"),exact(Metadata!L439,"Plant rhizosphere"),exact(Metadata!L439,"Plant surface"),exact(Metadata!L439,"Plant corpus"),exact(Metadata!L439,"Fungus surface"),exact(Metadata!L439,"Fungus corpus"),exact(Metadata!L439,"Animal surface"),exact(Metadata!L439,"Animal proximal gut"),exact(Metadata!L439,"Animal corpus"),exact(Metadata!L439,"Animal distal gut"),exact(Metadata!L439,"Animal secretion"),exact(Metadata!L439,"Sub-surface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Y439">
        <f>IF(Metadata!M439="",FALSE,TRUE)</f>
        <v>0</v>
      </c>
      <c r="AZ439">
        <f>IF(Metadata!N439="",FALSE,TRUE)</f>
        <v>0</v>
      </c>
      <c r="BA439">
        <f>IF(Metadata!O439="",FALSE,TRUE)</f>
        <v>0</v>
      </c>
      <c r="BB439">
        <f>OR(AND(IF(Metadata!P439="",FALSE,TRUE),OR(exact(Metadata!P439,"not collected"),exact(Metadata!P439,"not provided"),exact(Metadata!P439,"restricted access"))),AND(IF(Metadata!P439="",FALSE,TRUE),OR(exact(Metadata!P439,"air"),exact(Metadata!P439,"built environment"),exact(Metadata!P439,"host-associated"),exact(Metadata!P439,"human-associated"),exact(Metadata!P439,"human-skin"),exact(Metadata!P439,"human-oral"),exact(Metadata!P439,"human-gut"),exact(Metadata!P439,"human-vaginal"),exact(Metadata!P439,"microbial mat/biofilm"),exact(Metadata!P439,"misc environment"),exact(Metadata!P439,"plant-associated"),exact(Metadata!P439,"sediment"),exact(Metadata!P439,"soil"),exact(Metadata!P439,"wastewater/sludge"),exact(Metadata!P439,"water"))))</f>
        <v>0</v>
      </c>
      <c r="BC439">
        <f>IF(Metadata!Q439="",FALSE,TRUE)</f>
        <v>0</v>
      </c>
      <c r="BD439">
        <f>IF(Metadata!R439="",FALSE,TRUE)</f>
        <v>0</v>
      </c>
      <c r="BE439">
        <f>OR(AND(IF(Metadata!S439="",FALSE,TRUE),OR(exact(Metadata!S439,"not collected"),exact(Metadata!S439,"not provided"),exact(Metadata!S439,"restricted access"))),AND(IF(Metadata!S439="",FALSE,ISNUMBER(VALUE(Metadata!S439))),Metadata!S439&gt;=-90.00,Metadata!S439&lt;=90.00))</f>
        <v>0</v>
      </c>
      <c r="BF439">
        <f>AND(IF(Metadata!T439="",FALSE,TRUE),exact(Metadata!T439,"Decimal degrees"))</f>
        <v>0</v>
      </c>
      <c r="BG439">
        <f>OR(AND(IF(Metadata!U439="",FALSE,TRUE),OR(exact(Metadata!U439,"not collected"),exact(Metadata!U439,"not provided"),exact(Metadata!U439,"restricted access"))),AND(IF(Metadata!U439="",FALSE,ISNUMBER(VALUE(Metadata!U439))),Metadata!U439&gt;=-180.00,Metadata!U439&lt;=180.00))</f>
        <v>0</v>
      </c>
      <c r="BH439">
        <f>AND(IF(Metadata!V439="",FALSE,TRUE),exact(Metadata!V439,"Decimal degrees"))</f>
        <v>0</v>
      </c>
      <c r="BI439">
        <f>IF(Metadata!W439="",FALSE,TRUE)</f>
        <v>0</v>
      </c>
      <c r="BJ439">
        <f>OR(AND(IF(Metadata!X439="",FALSE,TRUE),OR(exact(Metadata!X439,"not collected"),exact(Metadata!X439,"not provided"),exact(Metadata!X439,"restricted access"))),AND(IF(Metadata!X439="",FALSE,TRUE),OR(exact(Metadata!X439,"TRUE"),exact(Metadata!X439,"FALSE"))))</f>
        <v>0</v>
      </c>
      <c r="BK439">
        <f>AND(IF(Metadata!Y439="",FALSE,TRUE),exact(Metadata!Y439,"other"))</f>
        <v>0</v>
      </c>
      <c r="BL439">
        <f>IF(Metadata!Z439="",FALSE,TRUE)</f>
        <v>0</v>
      </c>
      <c r="BM439">
        <f>OR(AND(IF(Metadata!AA439="",FALSE,TRUE),OR(exact(Metadata!AA439,"not collected"),exact(Metadata!AA439,"not provided"))),AND(IF(Metadata!AA439="",FALSE,IF(ISERROR(INT(Metadata!AA439)),FALSE,INT(Metadata!AA439)=Metadata!AA439)),Metadata!AA439&gt;0))</f>
        <v>0</v>
      </c>
      <c r="BN439">
        <f>AND(IF(Metadata!AB439="",FALSE,TRUE),exact(Metadata!AB439,"Not applicable"))</f>
        <v>0</v>
      </c>
      <c r="BO439">
        <f>IF(Metadata!AC439="",FALSE,TRUE)</f>
        <v>0</v>
      </c>
    </row>
    <row r="440" spans="1:67">
      <c r="A440" s="5">
        <f>IF(B440=" "," ",HYPERLINK(CONCATENATE("#metadata!",ADDRESS(INDEX($AI$2:$AI$1001,MATCH(ROWS($AG$2:AG440),$AG$2:$AG$1001,0),0),1)),INDEX($AL$2:$AL$1001,MATCH(ROWS($AG$2:AG440),$AG$2:$AG$1001,0),0)))</f>
        <v>0</v>
      </c>
      <c r="B440" s="4">
        <f>IF(OR(INDEX($AH$2:$AH$1001,MATCH(ROWS($AG$2:AG440),$AG$2:$AG$1001,0),1)&gt;=100000,INDEX($AN$1005:$BO$1005,1,MATCH(COLUMNS($AN$1006:AN1006),$AN$1006:$BO$1006,0))&gt;=100000), " ",IF(INDEX($AN$2:$BO$1001,MATCH(ROWS($AG$2:AG440),$AG$2:$AG$1001,0),MATCH(COLUMNS($AN$1006:AN1006),$AN$1006:$BO$1006,0)), HYPERLINK("#",""), HYPERLINK(CONCATENATE("#Metadata!", ADDRESS(INDEX($AI$2:$AI$1001,MATCH(ROWS($AG$2:AG440),$AG$2:$AG$1001,0),0), INDEX($AN$1004:$BO$1004,1,MATCH(COLUMNS($AN$1006:AN1006),$AN$1006:$BO$1006,0)))),"Fix")))</f>
        <v>0</v>
      </c>
      <c r="C440" s="4">
        <f>IF(OR(INDEX($AH$2:$AH$1001,MATCH(ROWS($AG$2:AG440),$AG$2:$AG$1001,0),1)&gt;=100000,INDEX($AN$1005:$BO$1005,1,MATCH(COLUMNS($AN$1006:AO1006),$AN$1006:$BO$1006,0))&gt;=100000), " ",IF(INDEX($AN$2:$BO$1001,MATCH(ROWS($AG$2:AG440),$AG$2:$AG$1001,0),MATCH(COLUMNS($AN$1006:AO1006),$AN$1006:$BO$1006,0)), HYPERLINK("#",""), HYPERLINK(CONCATENATE("#Metadata!", ADDRESS(INDEX($AI$2:$AI$1001,MATCH(ROWS($AG$2:AG440),$AG$2:$AG$1001,0),0), INDEX($AN$1004:$BO$1004,1,MATCH(COLUMNS($AN$1006:AO1006),$AN$1006:$BO$1006,0)))),"Fix")))</f>
        <v>0</v>
      </c>
      <c r="D440" s="4">
        <f>IF(OR(INDEX($AH$2:$AH$1001,MATCH(ROWS($AG$2:AG440),$AG$2:$AG$1001,0),1)&gt;=100000,INDEX($AN$1005:$BO$1005,1,MATCH(COLUMNS($AN$1006:AP1006),$AN$1006:$BO$1006,0))&gt;=100000), " ",IF(INDEX($AN$2:$BO$1001,MATCH(ROWS($AG$2:AG440),$AG$2:$AG$1001,0),MATCH(COLUMNS($AN$1006:AP1006),$AN$1006:$BO$1006,0)), HYPERLINK("#",""), HYPERLINK(CONCATENATE("#Metadata!", ADDRESS(INDEX($AI$2:$AI$1001,MATCH(ROWS($AG$2:AG440),$AG$2:$AG$1001,0),0), INDEX($AN$1004:$BO$1004,1,MATCH(COLUMNS($AN$1006:AP1006),$AN$1006:$BO$1006,0)))),"Fix")))</f>
        <v>0</v>
      </c>
      <c r="E440" s="4">
        <f>IF(OR(INDEX($AH$2:$AH$1001,MATCH(ROWS($AG$2:AG440),$AG$2:$AG$1001,0),1)&gt;=100000,INDEX($AN$1005:$BO$1005,1,MATCH(COLUMNS($AN$1006:AQ1006),$AN$1006:$BO$1006,0))&gt;=100000), " ",IF(INDEX($AN$2:$BO$1001,MATCH(ROWS($AG$2:AG440),$AG$2:$AG$1001,0),MATCH(COLUMNS($AN$1006:AQ1006),$AN$1006:$BO$1006,0)), HYPERLINK("#",""), HYPERLINK(CONCATENATE("#Metadata!", ADDRESS(INDEX($AI$2:$AI$1001,MATCH(ROWS($AG$2:AG440),$AG$2:$AG$1001,0),0), INDEX($AN$1004:$BO$1004,1,MATCH(COLUMNS($AN$1006:AQ1006),$AN$1006:$BO$1006,0)))),"Fix")))</f>
        <v>0</v>
      </c>
      <c r="F440" s="4">
        <f>IF(OR(INDEX($AH$2:$AH$1001,MATCH(ROWS($AG$2:AG440),$AG$2:$AG$1001,0),1)&gt;=100000,INDEX($AN$1005:$BO$1005,1,MATCH(COLUMNS($AN$1006:AR1006),$AN$1006:$BO$1006,0))&gt;=100000), " ",IF(INDEX($AN$2:$BO$1001,MATCH(ROWS($AG$2:AG440),$AG$2:$AG$1001,0),MATCH(COLUMNS($AN$1006:AR1006),$AN$1006:$BO$1006,0)), HYPERLINK("#",""), HYPERLINK(CONCATENATE("#Metadata!", ADDRESS(INDEX($AI$2:$AI$1001,MATCH(ROWS($AG$2:AG440),$AG$2:$AG$1001,0),0), INDEX($AN$1004:$BO$1004,1,MATCH(COLUMNS($AN$1006:AR1006),$AN$1006:$BO$1006,0)))),"Fix")))</f>
        <v>0</v>
      </c>
      <c r="G440" s="4">
        <f>IF(OR(INDEX($AH$2:$AH$1001,MATCH(ROWS($AG$2:AG440),$AG$2:$AG$1001,0),1)&gt;=100000,INDEX($AN$1005:$BO$1005,1,MATCH(COLUMNS($AN$1006:AS1006),$AN$1006:$BO$1006,0))&gt;=100000), " ",IF(INDEX($AN$2:$BO$1001,MATCH(ROWS($AG$2:AG440),$AG$2:$AG$1001,0),MATCH(COLUMNS($AN$1006:AS1006),$AN$1006:$BO$1006,0)), HYPERLINK("#",""), HYPERLINK(CONCATENATE("#Metadata!", ADDRESS(INDEX($AI$2:$AI$1001,MATCH(ROWS($AG$2:AG440),$AG$2:$AG$1001,0),0), INDEX($AN$1004:$BO$1004,1,MATCH(COLUMNS($AN$1006:AS1006),$AN$1006:$BO$1006,0)))),"Fix")))</f>
        <v>0</v>
      </c>
      <c r="H440" s="4">
        <f>IF(OR(INDEX($AH$2:$AH$1001,MATCH(ROWS($AG$2:AG440),$AG$2:$AG$1001,0),1)&gt;=100000,INDEX($AN$1005:$BO$1005,1,MATCH(COLUMNS($AN$1006:AT1006),$AN$1006:$BO$1006,0))&gt;=100000), " ",IF(INDEX($AN$2:$BO$1001,MATCH(ROWS($AG$2:AG440),$AG$2:$AG$1001,0),MATCH(COLUMNS($AN$1006:AT1006),$AN$1006:$BO$1006,0)), HYPERLINK("#",""), HYPERLINK(CONCATENATE("#Metadata!", ADDRESS(INDEX($AI$2:$AI$1001,MATCH(ROWS($AG$2:AG440),$AG$2:$AG$1001,0),0), INDEX($AN$1004:$BO$1004,1,MATCH(COLUMNS($AN$1006:AT1006),$AN$1006:$BO$1006,0)))),"Fix")))</f>
        <v>0</v>
      </c>
      <c r="I440" s="4">
        <f>IF(OR(INDEX($AH$2:$AH$1001,MATCH(ROWS($AG$2:AG440),$AG$2:$AG$1001,0),1)&gt;=100000,INDEX($AN$1005:$BO$1005,1,MATCH(COLUMNS($AN$1006:AU1006),$AN$1006:$BO$1006,0))&gt;=100000), " ",IF(INDEX($AN$2:$BO$1001,MATCH(ROWS($AG$2:AG440),$AG$2:$AG$1001,0),MATCH(COLUMNS($AN$1006:AU1006),$AN$1006:$BO$1006,0)), HYPERLINK("#",""), HYPERLINK(CONCATENATE("#Metadata!", ADDRESS(INDEX($AI$2:$AI$1001,MATCH(ROWS($AG$2:AG440),$AG$2:$AG$1001,0),0), INDEX($AN$1004:$BO$1004,1,MATCH(COLUMNS($AN$1006:AU1006),$AN$1006:$BO$1006,0)))),"Fix")))</f>
        <v>0</v>
      </c>
      <c r="J440" s="4">
        <f>IF(OR(INDEX($AH$2:$AH$1001,MATCH(ROWS($AG$2:AG440),$AG$2:$AG$1001,0),1)&gt;=100000,INDEX($AN$1005:$BO$1005,1,MATCH(COLUMNS($AN$1006:AV1006),$AN$1006:$BO$1006,0))&gt;=100000), " ",IF(INDEX($AN$2:$BO$1001,MATCH(ROWS($AG$2:AG440),$AG$2:$AG$1001,0),MATCH(COLUMNS($AN$1006:AV1006),$AN$1006:$BO$1006,0)), HYPERLINK("#",""), HYPERLINK(CONCATENATE("#Metadata!", ADDRESS(INDEX($AI$2:$AI$1001,MATCH(ROWS($AG$2:AG440),$AG$2:$AG$1001,0),0), INDEX($AN$1004:$BO$1004,1,MATCH(COLUMNS($AN$1006:AV1006),$AN$1006:$BO$1006,0)))),"Fix")))</f>
        <v>0</v>
      </c>
      <c r="K440" s="4">
        <f>IF(OR(INDEX($AH$2:$AH$1001,MATCH(ROWS($AG$2:AG440),$AG$2:$AG$1001,0),1)&gt;=100000,INDEX($AN$1005:$BO$1005,1,MATCH(COLUMNS($AN$1006:AW1006),$AN$1006:$BO$1006,0))&gt;=100000), " ",IF(INDEX($AN$2:$BO$1001,MATCH(ROWS($AG$2:AG440),$AG$2:$AG$1001,0),MATCH(COLUMNS($AN$1006:AW1006),$AN$1006:$BO$1006,0)), HYPERLINK("#",""), HYPERLINK(CONCATENATE("#Metadata!", ADDRESS(INDEX($AI$2:$AI$1001,MATCH(ROWS($AG$2:AG440),$AG$2:$AG$1001,0),0), INDEX($AN$1004:$BO$1004,1,MATCH(COLUMNS($AN$1006:AW1006),$AN$1006:$BO$1006,0)))),"Fix")))</f>
        <v>0</v>
      </c>
      <c r="L440" s="4">
        <f>IF(OR(INDEX($AH$2:$AH$1001,MATCH(ROWS($AG$2:AG440),$AG$2:$AG$1001,0),1)&gt;=100000,INDEX($AN$1005:$BO$1005,1,MATCH(COLUMNS($AN$1006:AX1006),$AN$1006:$BO$1006,0))&gt;=100000), " ",IF(INDEX($AN$2:$BO$1001,MATCH(ROWS($AG$2:AG440),$AG$2:$AG$1001,0),MATCH(COLUMNS($AN$1006:AX1006),$AN$1006:$BO$1006,0)), HYPERLINK("#",""), HYPERLINK(CONCATENATE("#Metadata!", ADDRESS(INDEX($AI$2:$AI$1001,MATCH(ROWS($AG$2:AG440),$AG$2:$AG$1001,0),0), INDEX($AN$1004:$BO$1004,1,MATCH(COLUMNS($AN$1006:AX1006),$AN$1006:$BO$1006,0)))),"Fix")))</f>
        <v>0</v>
      </c>
      <c r="M440" s="4">
        <f>IF(OR(INDEX($AH$2:$AH$1001,MATCH(ROWS($AG$2:AG440),$AG$2:$AG$1001,0),1)&gt;=100000,INDEX($AN$1005:$BO$1005,1,MATCH(COLUMNS($AN$1006:AY1006),$AN$1006:$BO$1006,0))&gt;=100000), " ",IF(INDEX($AN$2:$BO$1001,MATCH(ROWS($AG$2:AG440),$AG$2:$AG$1001,0),MATCH(COLUMNS($AN$1006:AY1006),$AN$1006:$BO$1006,0)), HYPERLINK("#",""), HYPERLINK(CONCATENATE("#Metadata!", ADDRESS(INDEX($AI$2:$AI$1001,MATCH(ROWS($AG$2:AG440),$AG$2:$AG$1001,0),0), INDEX($AN$1004:$BO$1004,1,MATCH(COLUMNS($AN$1006:AY1006),$AN$1006:$BO$1006,0)))),"Fix")))</f>
        <v>0</v>
      </c>
      <c r="N440" s="4">
        <f>IF(OR(INDEX($AH$2:$AH$1001,MATCH(ROWS($AG$2:AG440),$AG$2:$AG$1001,0),1)&gt;=100000,INDEX($AN$1005:$BO$1005,1,MATCH(COLUMNS($AN$1006:AZ1006),$AN$1006:$BO$1006,0))&gt;=100000), " ",IF(INDEX($AN$2:$BO$1001,MATCH(ROWS($AG$2:AG440),$AG$2:$AG$1001,0),MATCH(COLUMNS($AN$1006:AZ1006),$AN$1006:$BO$1006,0)), HYPERLINK("#",""), HYPERLINK(CONCATENATE("#Metadata!", ADDRESS(INDEX($AI$2:$AI$1001,MATCH(ROWS($AG$2:AG440),$AG$2:$AG$1001,0),0), INDEX($AN$1004:$BO$1004,1,MATCH(COLUMNS($AN$1006:AZ1006),$AN$1006:$BO$1006,0)))),"Fix")))</f>
        <v>0</v>
      </c>
      <c r="O440" s="4">
        <f>IF(OR(INDEX($AH$2:$AH$1001,MATCH(ROWS($AG$2:AG440),$AG$2:$AG$1001,0),1)&gt;=100000,INDEX($AN$1005:$BO$1005,1,MATCH(COLUMNS($AN$1006:BA1006),$AN$1006:$BO$1006,0))&gt;=100000), " ",IF(INDEX($AN$2:$BO$1001,MATCH(ROWS($AG$2:AG440),$AG$2:$AG$1001,0),MATCH(COLUMNS($AN$1006:BA1006),$AN$1006:$BO$1006,0)), HYPERLINK("#",""), HYPERLINK(CONCATENATE("#Metadata!", ADDRESS(INDEX($AI$2:$AI$1001,MATCH(ROWS($AG$2:AG440),$AG$2:$AG$1001,0),0), INDEX($AN$1004:$BO$1004,1,MATCH(COLUMNS($AN$1006:BA1006),$AN$1006:$BO$1006,0)))),"Fix")))</f>
        <v>0</v>
      </c>
      <c r="P440" s="4">
        <f>IF(OR(INDEX($AH$2:$AH$1001,MATCH(ROWS($AG$2:AG440),$AG$2:$AG$1001,0),1)&gt;=100000,INDEX($AN$1005:$BO$1005,1,MATCH(COLUMNS($AN$1006:BB1006),$AN$1006:$BO$1006,0))&gt;=100000), " ",IF(INDEX($AN$2:$BO$1001,MATCH(ROWS($AG$2:AG440),$AG$2:$AG$1001,0),MATCH(COLUMNS($AN$1006:BB1006),$AN$1006:$BO$1006,0)), HYPERLINK("#",""), HYPERLINK(CONCATENATE("#Metadata!", ADDRESS(INDEX($AI$2:$AI$1001,MATCH(ROWS($AG$2:AG440),$AG$2:$AG$1001,0),0), INDEX($AN$1004:$BO$1004,1,MATCH(COLUMNS($AN$1006:BB1006),$AN$1006:$BO$1006,0)))),"Fix")))</f>
        <v>0</v>
      </c>
      <c r="Q440" s="4">
        <f>IF(OR(INDEX($AH$2:$AH$1001,MATCH(ROWS($AG$2:AG440),$AG$2:$AG$1001,0),1)&gt;=100000,INDEX($AN$1005:$BO$1005,1,MATCH(COLUMNS($AN$1006:BC1006),$AN$1006:$BO$1006,0))&gt;=100000), " ",IF(INDEX($AN$2:$BO$1001,MATCH(ROWS($AG$2:AG440),$AG$2:$AG$1001,0),MATCH(COLUMNS($AN$1006:BC1006),$AN$1006:$BO$1006,0)), HYPERLINK("#",""), HYPERLINK(CONCATENATE("#Metadata!", ADDRESS(INDEX($AI$2:$AI$1001,MATCH(ROWS($AG$2:AG440),$AG$2:$AG$1001,0),0), INDEX($AN$1004:$BO$1004,1,MATCH(COLUMNS($AN$1006:BC1006),$AN$1006:$BO$1006,0)))),"Fix")))</f>
        <v>0</v>
      </c>
      <c r="R440" s="4">
        <f>IF(OR(INDEX($AH$2:$AH$1001,MATCH(ROWS($AG$2:AG440),$AG$2:$AG$1001,0),1)&gt;=100000,INDEX($AN$1005:$BO$1005,1,MATCH(COLUMNS($AN$1006:BD1006),$AN$1006:$BO$1006,0))&gt;=100000), " ",IF(INDEX($AN$2:$BO$1001,MATCH(ROWS($AG$2:AG440),$AG$2:$AG$1001,0),MATCH(COLUMNS($AN$1006:BD1006),$AN$1006:$BO$1006,0)), HYPERLINK("#",""), HYPERLINK(CONCATENATE("#Metadata!", ADDRESS(INDEX($AI$2:$AI$1001,MATCH(ROWS($AG$2:AG440),$AG$2:$AG$1001,0),0), INDEX($AN$1004:$BO$1004,1,MATCH(COLUMNS($AN$1006:BD1006),$AN$1006:$BO$1006,0)))),"Fix")))</f>
        <v>0</v>
      </c>
      <c r="S440" s="4">
        <f>IF(OR(INDEX($AH$2:$AH$1001,MATCH(ROWS($AG$2:AG440),$AG$2:$AG$1001,0),1)&gt;=100000,INDEX($AN$1005:$BO$1005,1,MATCH(COLUMNS($AN$1006:BE1006),$AN$1006:$BO$1006,0))&gt;=100000), " ",IF(INDEX($AN$2:$BO$1001,MATCH(ROWS($AG$2:AG440),$AG$2:$AG$1001,0),MATCH(COLUMNS($AN$1006:BE1006),$AN$1006:$BO$1006,0)), HYPERLINK("#",""), HYPERLINK(CONCATENATE("#Metadata!", ADDRESS(INDEX($AI$2:$AI$1001,MATCH(ROWS($AG$2:AG440),$AG$2:$AG$1001,0),0), INDEX($AN$1004:$BO$1004,1,MATCH(COLUMNS($AN$1006:BE1006),$AN$1006:$BO$1006,0)))),"Fix")))</f>
        <v>0</v>
      </c>
      <c r="T440" s="4">
        <f>IF(OR(INDEX($AH$2:$AH$1001,MATCH(ROWS($AG$2:AG440),$AG$2:$AG$1001,0),1)&gt;=100000,INDEX($AN$1005:$BO$1005,1,MATCH(COLUMNS($AN$1006:BF1006),$AN$1006:$BO$1006,0))&gt;=100000), " ",IF(INDEX($AN$2:$BO$1001,MATCH(ROWS($AG$2:AG440),$AG$2:$AG$1001,0),MATCH(COLUMNS($AN$1006:BF1006),$AN$1006:$BO$1006,0)), HYPERLINK("#",""), HYPERLINK(CONCATENATE("#Metadata!", ADDRESS(INDEX($AI$2:$AI$1001,MATCH(ROWS($AG$2:AG440),$AG$2:$AG$1001,0),0), INDEX($AN$1004:$BO$1004,1,MATCH(COLUMNS($AN$1006:BF1006),$AN$1006:$BO$1006,0)))),"Fix")))</f>
        <v>0</v>
      </c>
      <c r="U440" s="4">
        <f>IF(OR(INDEX($AH$2:$AH$1001,MATCH(ROWS($AG$2:AG440),$AG$2:$AG$1001,0),1)&gt;=100000,INDEX($AN$1005:$BO$1005,1,MATCH(COLUMNS($AN$1006:BG1006),$AN$1006:$BO$1006,0))&gt;=100000), " ",IF(INDEX($AN$2:$BO$1001,MATCH(ROWS($AG$2:AG440),$AG$2:$AG$1001,0),MATCH(COLUMNS($AN$1006:BG1006),$AN$1006:$BO$1006,0)), HYPERLINK("#",""), HYPERLINK(CONCATENATE("#Metadata!", ADDRESS(INDEX($AI$2:$AI$1001,MATCH(ROWS($AG$2:AG440),$AG$2:$AG$1001,0),0), INDEX($AN$1004:$BO$1004,1,MATCH(COLUMNS($AN$1006:BG1006),$AN$1006:$BO$1006,0)))),"Fix")))</f>
        <v>0</v>
      </c>
      <c r="V440" s="4">
        <f>IF(OR(INDEX($AH$2:$AH$1001,MATCH(ROWS($AG$2:AG440),$AG$2:$AG$1001,0),1)&gt;=100000,INDEX($AN$1005:$BO$1005,1,MATCH(COLUMNS($AN$1006:BH1006),$AN$1006:$BO$1006,0))&gt;=100000), " ",IF(INDEX($AN$2:$BO$1001,MATCH(ROWS($AG$2:AG440),$AG$2:$AG$1001,0),MATCH(COLUMNS($AN$1006:BH1006),$AN$1006:$BO$1006,0)), HYPERLINK("#",""), HYPERLINK(CONCATENATE("#Metadata!", ADDRESS(INDEX($AI$2:$AI$1001,MATCH(ROWS($AG$2:AG440),$AG$2:$AG$1001,0),0), INDEX($AN$1004:$BO$1004,1,MATCH(COLUMNS($AN$1006:BH1006),$AN$1006:$BO$1006,0)))),"Fix")))</f>
        <v>0</v>
      </c>
      <c r="W440" s="4">
        <f>IF(OR(INDEX($AH$2:$AH$1001,MATCH(ROWS($AG$2:AG440),$AG$2:$AG$1001,0),1)&gt;=100000,INDEX($AN$1005:$BO$1005,1,MATCH(COLUMNS($AN$1006:BI1006),$AN$1006:$BO$1006,0))&gt;=100000), " ",IF(INDEX($AN$2:$BO$1001,MATCH(ROWS($AG$2:AG440),$AG$2:$AG$1001,0),MATCH(COLUMNS($AN$1006:BI1006),$AN$1006:$BO$1006,0)), HYPERLINK("#",""), HYPERLINK(CONCATENATE("#Metadata!", ADDRESS(INDEX($AI$2:$AI$1001,MATCH(ROWS($AG$2:AG440),$AG$2:$AG$1001,0),0), INDEX($AN$1004:$BO$1004,1,MATCH(COLUMNS($AN$1006:BI1006),$AN$1006:$BO$1006,0)))),"Fix")))</f>
        <v>0</v>
      </c>
      <c r="X440" s="4">
        <f>IF(OR(INDEX($AH$2:$AH$1001,MATCH(ROWS($AG$2:AG440),$AG$2:$AG$1001,0),1)&gt;=100000,INDEX($AN$1005:$BO$1005,1,MATCH(COLUMNS($AN$1006:BJ1006),$AN$1006:$BO$1006,0))&gt;=100000), " ",IF(INDEX($AN$2:$BO$1001,MATCH(ROWS($AG$2:AG440),$AG$2:$AG$1001,0),MATCH(COLUMNS($AN$1006:BJ1006),$AN$1006:$BO$1006,0)), HYPERLINK("#",""), HYPERLINK(CONCATENATE("#Metadata!", ADDRESS(INDEX($AI$2:$AI$1001,MATCH(ROWS($AG$2:AG440),$AG$2:$AG$1001,0),0), INDEX($AN$1004:$BO$1004,1,MATCH(COLUMNS($AN$1006:BJ1006),$AN$1006:$BO$1006,0)))),"Fix")))</f>
        <v>0</v>
      </c>
      <c r="Y440" s="4">
        <f>IF(OR(INDEX($AH$2:$AH$1001,MATCH(ROWS($AG$2:AG440),$AG$2:$AG$1001,0),1)&gt;=100000,INDEX($AN$1005:$BO$1005,1,MATCH(COLUMNS($AN$1006:BK1006),$AN$1006:$BO$1006,0))&gt;=100000), " ",IF(INDEX($AN$2:$BO$1001,MATCH(ROWS($AG$2:AG440),$AG$2:$AG$1001,0),MATCH(COLUMNS($AN$1006:BK1006),$AN$1006:$BO$1006,0)), HYPERLINK("#",""), HYPERLINK(CONCATENATE("#Metadata!", ADDRESS(INDEX($AI$2:$AI$1001,MATCH(ROWS($AG$2:AG440),$AG$2:$AG$1001,0),0), INDEX($AN$1004:$BO$1004,1,MATCH(COLUMNS($AN$1006:BK1006),$AN$1006:$BO$1006,0)))),"Fix")))</f>
        <v>0</v>
      </c>
      <c r="Z440" s="4">
        <f>IF(OR(INDEX($AH$2:$AH$1001,MATCH(ROWS($AG$2:AG440),$AG$2:$AG$1001,0),1)&gt;=100000,INDEX($AN$1005:$BO$1005,1,MATCH(COLUMNS($AN$1006:BL1006),$AN$1006:$BO$1006,0))&gt;=100000), " ",IF(INDEX($AN$2:$BO$1001,MATCH(ROWS($AG$2:AG440),$AG$2:$AG$1001,0),MATCH(COLUMNS($AN$1006:BL1006),$AN$1006:$BO$1006,0)), HYPERLINK("#",""), HYPERLINK(CONCATENATE("#Metadata!", ADDRESS(INDEX($AI$2:$AI$1001,MATCH(ROWS($AG$2:AG440),$AG$2:$AG$1001,0),0), INDEX($AN$1004:$BO$1004,1,MATCH(COLUMNS($AN$1006:BL1006),$AN$1006:$BO$1006,0)))),"Fix")))</f>
        <v>0</v>
      </c>
      <c r="AA440" s="4">
        <f>IF(OR(INDEX($AH$2:$AH$1001,MATCH(ROWS($AG$2:AG440),$AG$2:$AG$1001,0),1)&gt;=100000,INDEX($AN$1005:$BO$1005,1,MATCH(COLUMNS($AN$1006:BM1006),$AN$1006:$BO$1006,0))&gt;=100000), " ",IF(INDEX($AN$2:$BO$1001,MATCH(ROWS($AG$2:AG440),$AG$2:$AG$1001,0),MATCH(COLUMNS($AN$1006:BM1006),$AN$1006:$BO$1006,0)), HYPERLINK("#",""), HYPERLINK(CONCATENATE("#Metadata!", ADDRESS(INDEX($AI$2:$AI$1001,MATCH(ROWS($AG$2:AG440),$AG$2:$AG$1001,0),0), INDEX($AN$1004:$BO$1004,1,MATCH(COLUMNS($AN$1006:BM1006),$AN$1006:$BO$1006,0)))),"Fix")))</f>
        <v>0</v>
      </c>
      <c r="AB440" s="4">
        <f>IF(OR(INDEX($AH$2:$AH$1001,MATCH(ROWS($AG$2:AG440),$AG$2:$AG$1001,0),1)&gt;=100000,INDEX($AN$1005:$BO$1005,1,MATCH(COLUMNS($AN$1006:BN1006),$AN$1006:$BO$1006,0))&gt;=100000), " ",IF(INDEX($AN$2:$BO$1001,MATCH(ROWS($AG$2:AG440),$AG$2:$AG$1001,0),MATCH(COLUMNS($AN$1006:BN1006),$AN$1006:$BO$1006,0)), HYPERLINK("#",""), HYPERLINK(CONCATENATE("#Metadata!", ADDRESS(INDEX($AI$2:$AI$1001,MATCH(ROWS($AG$2:AG440),$AG$2:$AG$1001,0),0), INDEX($AN$1004:$BO$1004,1,MATCH(COLUMNS($AN$1006:BN1006),$AN$1006:$BO$1006,0)))),"Fix")))</f>
        <v>0</v>
      </c>
      <c r="AC440" s="4">
        <f>IF(OR(INDEX($AH$2:$AH$1001,MATCH(ROWS($AG$2:AG440),$AG$2:$AG$1001,0),1)&gt;=100000,INDEX($AN$1005:$BO$1005,1,MATCH(COLUMNS($AN$1006:BO1006),$AN$1006:$BO$1006,0))&gt;=100000), " ",IF(INDEX($AN$2:$BO$1001,MATCH(ROWS($AG$2:AG440),$AG$2:$AG$1001,0),MATCH(COLUMNS($AN$1006:BO1006),$AN$1006:$BO$1006,0)), HYPERLINK("#",""), HYPERLINK(CONCATENATE("#Metadata!", ADDRESS(INDEX($AI$2:$AI$1001,MATCH(ROWS($AG$2:AG440),$AG$2:$AG$1001,0),0), INDEX($AN$1004:$BO$1004,1,MATCH(COLUMNS($AN$1006:BO1006),$AN$1006:$BO$1006,0)))),"Fix")))</f>
        <v>0</v>
      </c>
      <c r="AG440">
        <v>0</v>
      </c>
      <c r="AH440">
        <v>0</v>
      </c>
      <c r="AI440">
        <v>0</v>
      </c>
      <c r="AJ440">
        <f>IF(AK440,TRUE,AND(AN440:BO440))</f>
        <v>0</v>
      </c>
      <c r="AK440">
        <f>COUNTBLANK(Metadata!B440:AC440)=COLUMNS(Metadata!B440:AC440)</f>
        <v>0</v>
      </c>
      <c r="AL440">
        <v>0</v>
      </c>
      <c r="AN440">
        <f>AND(IF(Metadata!B440="",FALSE,TRUE),COUNTIF(Metadata!B:B, Metadata!B440) = 1,NOT(ISERROR(SUMPRODUCT(SEARCH(MID(Metadata!B440,ROW(INDIRECT("1:"&amp;LEN(Metadata!B440))), 1),"0123456789abcdefghijklmnopqrstuvwxyzABCDEFGHIJKLMNOPQRSTUVWXYZ.")))))</f>
        <v>0</v>
      </c>
      <c r="AO440">
        <f>IF(Metadata!C440="",FALSE,TRUE)</f>
        <v>0</v>
      </c>
      <c r="AP440">
        <f>IF(Metadata!D440="",FALSE,TRUE)</f>
        <v>0</v>
      </c>
      <c r="AQ440">
        <f>OR(AND(IF(Metadata!E440="",FALSE,TRUE),OR(exact(Metadata!E440,"not collected"),exact(Metadata!E440,"not provided"),exact(Metadata!E440,"restricted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R440">
        <f>IF(Metadata!F440="",FALSE,TRUE)</f>
        <v>0</v>
      </c>
      <c r="AS440">
        <f>OR(AND(IF(Metadata!G440="",FALSE,TRUE),OR(exact(Metadata!G440,"not collected"),exact(Metadata!G440,"not provided"))),AND(IF(Metadata!G440="",FALSE,TRUE),OR(exact(Metadata!G440,"TRUE"),exact(Metadata!G440,"FALSE"))))</f>
        <v>0</v>
      </c>
      <c r="AT440">
        <f>OR(AND(IF(Metadata!H440="",FALSE,TRUE),OR(exact(Metadata!H440,"not collected"),exact(Metadata!H440,"not provided"),exact(Metadata!H440,"restricted access"))),AND(IF(Metadata!H440="",FALSE,ISNUMBER(VALUE(Metadata!H440))),Metadata!H440&gt;=-413.0))</f>
        <v>0</v>
      </c>
      <c r="AU440">
        <f>AND(IF(Metadata!I440="",FALSE,TRUE),exact(Metadata!I440,"meters"))</f>
        <v>0</v>
      </c>
      <c r="AV440">
        <f>AND(IF(Metadata!J440="",FALSE,TRUE),OR(exact(Metadata!J440,"Host-associated"),exact(Metadata!J440,"Free-living")))</f>
        <v>0</v>
      </c>
      <c r="AW440">
        <f>AND(IF(Metadata!K440="",FALSE,TRUE),OR(exact(Metadata!K440,"Animal"),exact(Metadata!K440,"Fungus"),exact(Metadata!K440,"Plant"),exact(Metadata!K440,"Saline"),exact(Metadata!K440,"Non-saline")))</f>
        <v>0</v>
      </c>
      <c r="AX440">
        <f>AND(IF(Metadata!L440="",FALSE,TRUE),OR(exact(Metadata!L440,"Plant secretion"),exact(Metadata!L440,"Plant rhizosphere"),exact(Metadata!L440,"Plant surface"),exact(Metadata!L440,"Plant corpus"),exact(Metadata!L440,"Fungus surface"),exact(Metadata!L440,"Fungus corpus"),exact(Metadata!L440,"Animal surface"),exact(Metadata!L440,"Animal proximal gut"),exact(Metadata!L440,"Animal corpus"),exact(Metadata!L440,"Animal distal gut"),exact(Metadata!L440,"Animal secretion"),exact(Metadata!L440,"Sub-surface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Y440">
        <f>IF(Metadata!M440="",FALSE,TRUE)</f>
        <v>0</v>
      </c>
      <c r="AZ440">
        <f>IF(Metadata!N440="",FALSE,TRUE)</f>
        <v>0</v>
      </c>
      <c r="BA440">
        <f>IF(Metadata!O440="",FALSE,TRUE)</f>
        <v>0</v>
      </c>
      <c r="BB440">
        <f>OR(AND(IF(Metadata!P440="",FALSE,TRUE),OR(exact(Metadata!P440,"not collected"),exact(Metadata!P440,"not provided"),exact(Metadata!P440,"restricted access"))),AND(IF(Metadata!P440="",FALSE,TRUE),OR(exact(Metadata!P440,"air"),exact(Metadata!P440,"built environment"),exact(Metadata!P440,"host-associated"),exact(Metadata!P440,"human-associated"),exact(Metadata!P440,"human-skin"),exact(Metadata!P440,"human-oral"),exact(Metadata!P440,"human-gut"),exact(Metadata!P440,"human-vaginal"),exact(Metadata!P440,"microbial mat/biofilm"),exact(Metadata!P440,"misc environment"),exact(Metadata!P440,"plant-associated"),exact(Metadata!P440,"sediment"),exact(Metadata!P440,"soil"),exact(Metadata!P440,"wastewater/sludge"),exact(Metadata!P440,"water"))))</f>
        <v>0</v>
      </c>
      <c r="BC440">
        <f>IF(Metadata!Q440="",FALSE,TRUE)</f>
        <v>0</v>
      </c>
      <c r="BD440">
        <f>IF(Metadata!R440="",FALSE,TRUE)</f>
        <v>0</v>
      </c>
      <c r="BE440">
        <f>OR(AND(IF(Metadata!S440="",FALSE,TRUE),OR(exact(Metadata!S440,"not collected"),exact(Metadata!S440,"not provided"),exact(Metadata!S440,"restricted access"))),AND(IF(Metadata!S440="",FALSE,ISNUMBER(VALUE(Metadata!S440))),Metadata!S440&gt;=-90.00,Metadata!S440&lt;=90.00))</f>
        <v>0</v>
      </c>
      <c r="BF440">
        <f>AND(IF(Metadata!T440="",FALSE,TRUE),exact(Metadata!T440,"Decimal degrees"))</f>
        <v>0</v>
      </c>
      <c r="BG440">
        <f>OR(AND(IF(Metadata!U440="",FALSE,TRUE),OR(exact(Metadata!U440,"not collected"),exact(Metadata!U440,"not provided"),exact(Metadata!U440,"restricted access"))),AND(IF(Metadata!U440="",FALSE,ISNUMBER(VALUE(Metadata!U440))),Metadata!U440&gt;=-180.00,Metadata!U440&lt;=180.00))</f>
        <v>0</v>
      </c>
      <c r="BH440">
        <f>AND(IF(Metadata!V440="",FALSE,TRUE),exact(Metadata!V440,"Decimal degrees"))</f>
        <v>0</v>
      </c>
      <c r="BI440">
        <f>IF(Metadata!W440="",FALSE,TRUE)</f>
        <v>0</v>
      </c>
      <c r="BJ440">
        <f>OR(AND(IF(Metadata!X440="",FALSE,TRUE),OR(exact(Metadata!X440,"not collected"),exact(Metadata!X440,"not provided"),exact(Metadata!X440,"restricted access"))),AND(IF(Metadata!X440="",FALSE,TRUE),OR(exact(Metadata!X440,"TRUE"),exact(Metadata!X440,"FALSE"))))</f>
        <v>0</v>
      </c>
      <c r="BK440">
        <f>AND(IF(Metadata!Y440="",FALSE,TRUE),exact(Metadata!Y440,"other"))</f>
        <v>0</v>
      </c>
      <c r="BL440">
        <f>IF(Metadata!Z440="",FALSE,TRUE)</f>
        <v>0</v>
      </c>
      <c r="BM440">
        <f>OR(AND(IF(Metadata!AA440="",FALSE,TRUE),OR(exact(Metadata!AA440,"not collected"),exact(Metadata!AA440,"not provided"))),AND(IF(Metadata!AA440="",FALSE,IF(ISERROR(INT(Metadata!AA440)),FALSE,INT(Metadata!AA440)=Metadata!AA440)),Metadata!AA440&gt;0))</f>
        <v>0</v>
      </c>
      <c r="BN440">
        <f>AND(IF(Metadata!AB440="",FALSE,TRUE),exact(Metadata!AB440,"Not applicable"))</f>
        <v>0</v>
      </c>
      <c r="BO440">
        <f>IF(Metadata!AC440="",FALSE,TRUE)</f>
        <v>0</v>
      </c>
    </row>
    <row r="441" spans="1:67">
      <c r="A441" s="5">
        <f>IF(B441=" "," ",HYPERLINK(CONCATENATE("#metadata!",ADDRESS(INDEX($AI$2:$AI$1001,MATCH(ROWS($AG$2:AG441),$AG$2:$AG$1001,0),0),1)),INDEX($AL$2:$AL$1001,MATCH(ROWS($AG$2:AG441),$AG$2:$AG$1001,0),0)))</f>
        <v>0</v>
      </c>
      <c r="B441" s="4">
        <f>IF(OR(INDEX($AH$2:$AH$1001,MATCH(ROWS($AG$2:AG441),$AG$2:$AG$1001,0),1)&gt;=100000,INDEX($AN$1005:$BO$1005,1,MATCH(COLUMNS($AN$1006:AN1006),$AN$1006:$BO$1006,0))&gt;=100000), " ",IF(INDEX($AN$2:$BO$1001,MATCH(ROWS($AG$2:AG441),$AG$2:$AG$1001,0),MATCH(COLUMNS($AN$1006:AN1006),$AN$1006:$BO$1006,0)), HYPERLINK("#",""), HYPERLINK(CONCATENATE("#Metadata!", ADDRESS(INDEX($AI$2:$AI$1001,MATCH(ROWS($AG$2:AG441),$AG$2:$AG$1001,0),0), INDEX($AN$1004:$BO$1004,1,MATCH(COLUMNS($AN$1006:AN1006),$AN$1006:$BO$1006,0)))),"Fix")))</f>
        <v>0</v>
      </c>
      <c r="C441" s="4">
        <f>IF(OR(INDEX($AH$2:$AH$1001,MATCH(ROWS($AG$2:AG441),$AG$2:$AG$1001,0),1)&gt;=100000,INDEX($AN$1005:$BO$1005,1,MATCH(COLUMNS($AN$1006:AO1006),$AN$1006:$BO$1006,0))&gt;=100000), " ",IF(INDEX($AN$2:$BO$1001,MATCH(ROWS($AG$2:AG441),$AG$2:$AG$1001,0),MATCH(COLUMNS($AN$1006:AO1006),$AN$1006:$BO$1006,0)), HYPERLINK("#",""), HYPERLINK(CONCATENATE("#Metadata!", ADDRESS(INDEX($AI$2:$AI$1001,MATCH(ROWS($AG$2:AG441),$AG$2:$AG$1001,0),0), INDEX($AN$1004:$BO$1004,1,MATCH(COLUMNS($AN$1006:AO1006),$AN$1006:$BO$1006,0)))),"Fix")))</f>
        <v>0</v>
      </c>
      <c r="D441" s="4">
        <f>IF(OR(INDEX($AH$2:$AH$1001,MATCH(ROWS($AG$2:AG441),$AG$2:$AG$1001,0),1)&gt;=100000,INDEX($AN$1005:$BO$1005,1,MATCH(COLUMNS($AN$1006:AP1006),$AN$1006:$BO$1006,0))&gt;=100000), " ",IF(INDEX($AN$2:$BO$1001,MATCH(ROWS($AG$2:AG441),$AG$2:$AG$1001,0),MATCH(COLUMNS($AN$1006:AP1006),$AN$1006:$BO$1006,0)), HYPERLINK("#",""), HYPERLINK(CONCATENATE("#Metadata!", ADDRESS(INDEX($AI$2:$AI$1001,MATCH(ROWS($AG$2:AG441),$AG$2:$AG$1001,0),0), INDEX($AN$1004:$BO$1004,1,MATCH(COLUMNS($AN$1006:AP1006),$AN$1006:$BO$1006,0)))),"Fix")))</f>
        <v>0</v>
      </c>
      <c r="E441" s="4">
        <f>IF(OR(INDEX($AH$2:$AH$1001,MATCH(ROWS($AG$2:AG441),$AG$2:$AG$1001,0),1)&gt;=100000,INDEX($AN$1005:$BO$1005,1,MATCH(COLUMNS($AN$1006:AQ1006),$AN$1006:$BO$1006,0))&gt;=100000), " ",IF(INDEX($AN$2:$BO$1001,MATCH(ROWS($AG$2:AG441),$AG$2:$AG$1001,0),MATCH(COLUMNS($AN$1006:AQ1006),$AN$1006:$BO$1006,0)), HYPERLINK("#",""), HYPERLINK(CONCATENATE("#Metadata!", ADDRESS(INDEX($AI$2:$AI$1001,MATCH(ROWS($AG$2:AG441),$AG$2:$AG$1001,0),0), INDEX($AN$1004:$BO$1004,1,MATCH(COLUMNS($AN$1006:AQ1006),$AN$1006:$BO$1006,0)))),"Fix")))</f>
        <v>0</v>
      </c>
      <c r="F441" s="4">
        <f>IF(OR(INDEX($AH$2:$AH$1001,MATCH(ROWS($AG$2:AG441),$AG$2:$AG$1001,0),1)&gt;=100000,INDEX($AN$1005:$BO$1005,1,MATCH(COLUMNS($AN$1006:AR1006),$AN$1006:$BO$1006,0))&gt;=100000), " ",IF(INDEX($AN$2:$BO$1001,MATCH(ROWS($AG$2:AG441),$AG$2:$AG$1001,0),MATCH(COLUMNS($AN$1006:AR1006),$AN$1006:$BO$1006,0)), HYPERLINK("#",""), HYPERLINK(CONCATENATE("#Metadata!", ADDRESS(INDEX($AI$2:$AI$1001,MATCH(ROWS($AG$2:AG441),$AG$2:$AG$1001,0),0), INDEX($AN$1004:$BO$1004,1,MATCH(COLUMNS($AN$1006:AR1006),$AN$1006:$BO$1006,0)))),"Fix")))</f>
        <v>0</v>
      </c>
      <c r="G441" s="4">
        <f>IF(OR(INDEX($AH$2:$AH$1001,MATCH(ROWS($AG$2:AG441),$AG$2:$AG$1001,0),1)&gt;=100000,INDEX($AN$1005:$BO$1005,1,MATCH(COLUMNS($AN$1006:AS1006),$AN$1006:$BO$1006,0))&gt;=100000), " ",IF(INDEX($AN$2:$BO$1001,MATCH(ROWS($AG$2:AG441),$AG$2:$AG$1001,0),MATCH(COLUMNS($AN$1006:AS1006),$AN$1006:$BO$1006,0)), HYPERLINK("#",""), HYPERLINK(CONCATENATE("#Metadata!", ADDRESS(INDEX($AI$2:$AI$1001,MATCH(ROWS($AG$2:AG441),$AG$2:$AG$1001,0),0), INDEX($AN$1004:$BO$1004,1,MATCH(COLUMNS($AN$1006:AS1006),$AN$1006:$BO$1006,0)))),"Fix")))</f>
        <v>0</v>
      </c>
      <c r="H441" s="4">
        <f>IF(OR(INDEX($AH$2:$AH$1001,MATCH(ROWS($AG$2:AG441),$AG$2:$AG$1001,0),1)&gt;=100000,INDEX($AN$1005:$BO$1005,1,MATCH(COLUMNS($AN$1006:AT1006),$AN$1006:$BO$1006,0))&gt;=100000), " ",IF(INDEX($AN$2:$BO$1001,MATCH(ROWS($AG$2:AG441),$AG$2:$AG$1001,0),MATCH(COLUMNS($AN$1006:AT1006),$AN$1006:$BO$1006,0)), HYPERLINK("#",""), HYPERLINK(CONCATENATE("#Metadata!", ADDRESS(INDEX($AI$2:$AI$1001,MATCH(ROWS($AG$2:AG441),$AG$2:$AG$1001,0),0), INDEX($AN$1004:$BO$1004,1,MATCH(COLUMNS($AN$1006:AT1006),$AN$1006:$BO$1006,0)))),"Fix")))</f>
        <v>0</v>
      </c>
      <c r="I441" s="4">
        <f>IF(OR(INDEX($AH$2:$AH$1001,MATCH(ROWS($AG$2:AG441),$AG$2:$AG$1001,0),1)&gt;=100000,INDEX($AN$1005:$BO$1005,1,MATCH(COLUMNS($AN$1006:AU1006),$AN$1006:$BO$1006,0))&gt;=100000), " ",IF(INDEX($AN$2:$BO$1001,MATCH(ROWS($AG$2:AG441),$AG$2:$AG$1001,0),MATCH(COLUMNS($AN$1006:AU1006),$AN$1006:$BO$1006,0)), HYPERLINK("#",""), HYPERLINK(CONCATENATE("#Metadata!", ADDRESS(INDEX($AI$2:$AI$1001,MATCH(ROWS($AG$2:AG441),$AG$2:$AG$1001,0),0), INDEX($AN$1004:$BO$1004,1,MATCH(COLUMNS($AN$1006:AU1006),$AN$1006:$BO$1006,0)))),"Fix")))</f>
        <v>0</v>
      </c>
      <c r="J441" s="4">
        <f>IF(OR(INDEX($AH$2:$AH$1001,MATCH(ROWS($AG$2:AG441),$AG$2:$AG$1001,0),1)&gt;=100000,INDEX($AN$1005:$BO$1005,1,MATCH(COLUMNS($AN$1006:AV1006),$AN$1006:$BO$1006,0))&gt;=100000), " ",IF(INDEX($AN$2:$BO$1001,MATCH(ROWS($AG$2:AG441),$AG$2:$AG$1001,0),MATCH(COLUMNS($AN$1006:AV1006),$AN$1006:$BO$1006,0)), HYPERLINK("#",""), HYPERLINK(CONCATENATE("#Metadata!", ADDRESS(INDEX($AI$2:$AI$1001,MATCH(ROWS($AG$2:AG441),$AG$2:$AG$1001,0),0), INDEX($AN$1004:$BO$1004,1,MATCH(COLUMNS($AN$1006:AV1006),$AN$1006:$BO$1006,0)))),"Fix")))</f>
        <v>0</v>
      </c>
      <c r="K441" s="4">
        <f>IF(OR(INDEX($AH$2:$AH$1001,MATCH(ROWS($AG$2:AG441),$AG$2:$AG$1001,0),1)&gt;=100000,INDEX($AN$1005:$BO$1005,1,MATCH(COLUMNS($AN$1006:AW1006),$AN$1006:$BO$1006,0))&gt;=100000), " ",IF(INDEX($AN$2:$BO$1001,MATCH(ROWS($AG$2:AG441),$AG$2:$AG$1001,0),MATCH(COLUMNS($AN$1006:AW1006),$AN$1006:$BO$1006,0)), HYPERLINK("#",""), HYPERLINK(CONCATENATE("#Metadata!", ADDRESS(INDEX($AI$2:$AI$1001,MATCH(ROWS($AG$2:AG441),$AG$2:$AG$1001,0),0), INDEX($AN$1004:$BO$1004,1,MATCH(COLUMNS($AN$1006:AW1006),$AN$1006:$BO$1006,0)))),"Fix")))</f>
        <v>0</v>
      </c>
      <c r="L441" s="4">
        <f>IF(OR(INDEX($AH$2:$AH$1001,MATCH(ROWS($AG$2:AG441),$AG$2:$AG$1001,0),1)&gt;=100000,INDEX($AN$1005:$BO$1005,1,MATCH(COLUMNS($AN$1006:AX1006),$AN$1006:$BO$1006,0))&gt;=100000), " ",IF(INDEX($AN$2:$BO$1001,MATCH(ROWS($AG$2:AG441),$AG$2:$AG$1001,0),MATCH(COLUMNS($AN$1006:AX1006),$AN$1006:$BO$1006,0)), HYPERLINK("#",""), HYPERLINK(CONCATENATE("#Metadata!", ADDRESS(INDEX($AI$2:$AI$1001,MATCH(ROWS($AG$2:AG441),$AG$2:$AG$1001,0),0), INDEX($AN$1004:$BO$1004,1,MATCH(COLUMNS($AN$1006:AX1006),$AN$1006:$BO$1006,0)))),"Fix")))</f>
        <v>0</v>
      </c>
      <c r="M441" s="4">
        <f>IF(OR(INDEX($AH$2:$AH$1001,MATCH(ROWS($AG$2:AG441),$AG$2:$AG$1001,0),1)&gt;=100000,INDEX($AN$1005:$BO$1005,1,MATCH(COLUMNS($AN$1006:AY1006),$AN$1006:$BO$1006,0))&gt;=100000), " ",IF(INDEX($AN$2:$BO$1001,MATCH(ROWS($AG$2:AG441),$AG$2:$AG$1001,0),MATCH(COLUMNS($AN$1006:AY1006),$AN$1006:$BO$1006,0)), HYPERLINK("#",""), HYPERLINK(CONCATENATE("#Metadata!", ADDRESS(INDEX($AI$2:$AI$1001,MATCH(ROWS($AG$2:AG441),$AG$2:$AG$1001,0),0), INDEX($AN$1004:$BO$1004,1,MATCH(COLUMNS($AN$1006:AY1006),$AN$1006:$BO$1006,0)))),"Fix")))</f>
        <v>0</v>
      </c>
      <c r="N441" s="4">
        <f>IF(OR(INDEX($AH$2:$AH$1001,MATCH(ROWS($AG$2:AG441),$AG$2:$AG$1001,0),1)&gt;=100000,INDEX($AN$1005:$BO$1005,1,MATCH(COLUMNS($AN$1006:AZ1006),$AN$1006:$BO$1006,0))&gt;=100000), " ",IF(INDEX($AN$2:$BO$1001,MATCH(ROWS($AG$2:AG441),$AG$2:$AG$1001,0),MATCH(COLUMNS($AN$1006:AZ1006),$AN$1006:$BO$1006,0)), HYPERLINK("#",""), HYPERLINK(CONCATENATE("#Metadata!", ADDRESS(INDEX($AI$2:$AI$1001,MATCH(ROWS($AG$2:AG441),$AG$2:$AG$1001,0),0), INDEX($AN$1004:$BO$1004,1,MATCH(COLUMNS($AN$1006:AZ1006),$AN$1006:$BO$1006,0)))),"Fix")))</f>
        <v>0</v>
      </c>
      <c r="O441" s="4">
        <f>IF(OR(INDEX($AH$2:$AH$1001,MATCH(ROWS($AG$2:AG441),$AG$2:$AG$1001,0),1)&gt;=100000,INDEX($AN$1005:$BO$1005,1,MATCH(COLUMNS($AN$1006:BA1006),$AN$1006:$BO$1006,0))&gt;=100000), " ",IF(INDEX($AN$2:$BO$1001,MATCH(ROWS($AG$2:AG441),$AG$2:$AG$1001,0),MATCH(COLUMNS($AN$1006:BA1006),$AN$1006:$BO$1006,0)), HYPERLINK("#",""), HYPERLINK(CONCATENATE("#Metadata!", ADDRESS(INDEX($AI$2:$AI$1001,MATCH(ROWS($AG$2:AG441),$AG$2:$AG$1001,0),0), INDEX($AN$1004:$BO$1004,1,MATCH(COLUMNS($AN$1006:BA1006),$AN$1006:$BO$1006,0)))),"Fix")))</f>
        <v>0</v>
      </c>
      <c r="P441" s="4">
        <f>IF(OR(INDEX($AH$2:$AH$1001,MATCH(ROWS($AG$2:AG441),$AG$2:$AG$1001,0),1)&gt;=100000,INDEX($AN$1005:$BO$1005,1,MATCH(COLUMNS($AN$1006:BB1006),$AN$1006:$BO$1006,0))&gt;=100000), " ",IF(INDEX($AN$2:$BO$1001,MATCH(ROWS($AG$2:AG441),$AG$2:$AG$1001,0),MATCH(COLUMNS($AN$1006:BB1006),$AN$1006:$BO$1006,0)), HYPERLINK("#",""), HYPERLINK(CONCATENATE("#Metadata!", ADDRESS(INDEX($AI$2:$AI$1001,MATCH(ROWS($AG$2:AG441),$AG$2:$AG$1001,0),0), INDEX($AN$1004:$BO$1004,1,MATCH(COLUMNS($AN$1006:BB1006),$AN$1006:$BO$1006,0)))),"Fix")))</f>
        <v>0</v>
      </c>
      <c r="Q441" s="4">
        <f>IF(OR(INDEX($AH$2:$AH$1001,MATCH(ROWS($AG$2:AG441),$AG$2:$AG$1001,0),1)&gt;=100000,INDEX($AN$1005:$BO$1005,1,MATCH(COLUMNS($AN$1006:BC1006),$AN$1006:$BO$1006,0))&gt;=100000), " ",IF(INDEX($AN$2:$BO$1001,MATCH(ROWS($AG$2:AG441),$AG$2:$AG$1001,0),MATCH(COLUMNS($AN$1006:BC1006),$AN$1006:$BO$1006,0)), HYPERLINK("#",""), HYPERLINK(CONCATENATE("#Metadata!", ADDRESS(INDEX($AI$2:$AI$1001,MATCH(ROWS($AG$2:AG441),$AG$2:$AG$1001,0),0), INDEX($AN$1004:$BO$1004,1,MATCH(COLUMNS($AN$1006:BC1006),$AN$1006:$BO$1006,0)))),"Fix")))</f>
        <v>0</v>
      </c>
      <c r="R441" s="4">
        <f>IF(OR(INDEX($AH$2:$AH$1001,MATCH(ROWS($AG$2:AG441),$AG$2:$AG$1001,0),1)&gt;=100000,INDEX($AN$1005:$BO$1005,1,MATCH(COLUMNS($AN$1006:BD1006),$AN$1006:$BO$1006,0))&gt;=100000), " ",IF(INDEX($AN$2:$BO$1001,MATCH(ROWS($AG$2:AG441),$AG$2:$AG$1001,0),MATCH(COLUMNS($AN$1006:BD1006),$AN$1006:$BO$1006,0)), HYPERLINK("#",""), HYPERLINK(CONCATENATE("#Metadata!", ADDRESS(INDEX($AI$2:$AI$1001,MATCH(ROWS($AG$2:AG441),$AG$2:$AG$1001,0),0), INDEX($AN$1004:$BO$1004,1,MATCH(COLUMNS($AN$1006:BD1006),$AN$1006:$BO$1006,0)))),"Fix")))</f>
        <v>0</v>
      </c>
      <c r="S441" s="4">
        <f>IF(OR(INDEX($AH$2:$AH$1001,MATCH(ROWS($AG$2:AG441),$AG$2:$AG$1001,0),1)&gt;=100000,INDEX($AN$1005:$BO$1005,1,MATCH(COLUMNS($AN$1006:BE1006),$AN$1006:$BO$1006,0))&gt;=100000), " ",IF(INDEX($AN$2:$BO$1001,MATCH(ROWS($AG$2:AG441),$AG$2:$AG$1001,0),MATCH(COLUMNS($AN$1006:BE1006),$AN$1006:$BO$1006,0)), HYPERLINK("#",""), HYPERLINK(CONCATENATE("#Metadata!", ADDRESS(INDEX($AI$2:$AI$1001,MATCH(ROWS($AG$2:AG441),$AG$2:$AG$1001,0),0), INDEX($AN$1004:$BO$1004,1,MATCH(COLUMNS($AN$1006:BE1006),$AN$1006:$BO$1006,0)))),"Fix")))</f>
        <v>0</v>
      </c>
      <c r="T441" s="4">
        <f>IF(OR(INDEX($AH$2:$AH$1001,MATCH(ROWS($AG$2:AG441),$AG$2:$AG$1001,0),1)&gt;=100000,INDEX($AN$1005:$BO$1005,1,MATCH(COLUMNS($AN$1006:BF1006),$AN$1006:$BO$1006,0))&gt;=100000), " ",IF(INDEX($AN$2:$BO$1001,MATCH(ROWS($AG$2:AG441),$AG$2:$AG$1001,0),MATCH(COLUMNS($AN$1006:BF1006),$AN$1006:$BO$1006,0)), HYPERLINK("#",""), HYPERLINK(CONCATENATE("#Metadata!", ADDRESS(INDEX($AI$2:$AI$1001,MATCH(ROWS($AG$2:AG441),$AG$2:$AG$1001,0),0), INDEX($AN$1004:$BO$1004,1,MATCH(COLUMNS($AN$1006:BF1006),$AN$1006:$BO$1006,0)))),"Fix")))</f>
        <v>0</v>
      </c>
      <c r="U441" s="4">
        <f>IF(OR(INDEX($AH$2:$AH$1001,MATCH(ROWS($AG$2:AG441),$AG$2:$AG$1001,0),1)&gt;=100000,INDEX($AN$1005:$BO$1005,1,MATCH(COLUMNS($AN$1006:BG1006),$AN$1006:$BO$1006,0))&gt;=100000), " ",IF(INDEX($AN$2:$BO$1001,MATCH(ROWS($AG$2:AG441),$AG$2:$AG$1001,0),MATCH(COLUMNS($AN$1006:BG1006),$AN$1006:$BO$1006,0)), HYPERLINK("#",""), HYPERLINK(CONCATENATE("#Metadata!", ADDRESS(INDEX($AI$2:$AI$1001,MATCH(ROWS($AG$2:AG441),$AG$2:$AG$1001,0),0), INDEX($AN$1004:$BO$1004,1,MATCH(COLUMNS($AN$1006:BG1006),$AN$1006:$BO$1006,0)))),"Fix")))</f>
        <v>0</v>
      </c>
      <c r="V441" s="4">
        <f>IF(OR(INDEX($AH$2:$AH$1001,MATCH(ROWS($AG$2:AG441),$AG$2:$AG$1001,0),1)&gt;=100000,INDEX($AN$1005:$BO$1005,1,MATCH(COLUMNS($AN$1006:BH1006),$AN$1006:$BO$1006,0))&gt;=100000), " ",IF(INDEX($AN$2:$BO$1001,MATCH(ROWS($AG$2:AG441),$AG$2:$AG$1001,0),MATCH(COLUMNS($AN$1006:BH1006),$AN$1006:$BO$1006,0)), HYPERLINK("#",""), HYPERLINK(CONCATENATE("#Metadata!", ADDRESS(INDEX($AI$2:$AI$1001,MATCH(ROWS($AG$2:AG441),$AG$2:$AG$1001,0),0), INDEX($AN$1004:$BO$1004,1,MATCH(COLUMNS($AN$1006:BH1006),$AN$1006:$BO$1006,0)))),"Fix")))</f>
        <v>0</v>
      </c>
      <c r="W441" s="4">
        <f>IF(OR(INDEX($AH$2:$AH$1001,MATCH(ROWS($AG$2:AG441),$AG$2:$AG$1001,0),1)&gt;=100000,INDEX($AN$1005:$BO$1005,1,MATCH(COLUMNS($AN$1006:BI1006),$AN$1006:$BO$1006,0))&gt;=100000), " ",IF(INDEX($AN$2:$BO$1001,MATCH(ROWS($AG$2:AG441),$AG$2:$AG$1001,0),MATCH(COLUMNS($AN$1006:BI1006),$AN$1006:$BO$1006,0)), HYPERLINK("#",""), HYPERLINK(CONCATENATE("#Metadata!", ADDRESS(INDEX($AI$2:$AI$1001,MATCH(ROWS($AG$2:AG441),$AG$2:$AG$1001,0),0), INDEX($AN$1004:$BO$1004,1,MATCH(COLUMNS($AN$1006:BI1006),$AN$1006:$BO$1006,0)))),"Fix")))</f>
        <v>0</v>
      </c>
      <c r="X441" s="4">
        <f>IF(OR(INDEX($AH$2:$AH$1001,MATCH(ROWS($AG$2:AG441),$AG$2:$AG$1001,0),1)&gt;=100000,INDEX($AN$1005:$BO$1005,1,MATCH(COLUMNS($AN$1006:BJ1006),$AN$1006:$BO$1006,0))&gt;=100000), " ",IF(INDEX($AN$2:$BO$1001,MATCH(ROWS($AG$2:AG441),$AG$2:$AG$1001,0),MATCH(COLUMNS($AN$1006:BJ1006),$AN$1006:$BO$1006,0)), HYPERLINK("#",""), HYPERLINK(CONCATENATE("#Metadata!", ADDRESS(INDEX($AI$2:$AI$1001,MATCH(ROWS($AG$2:AG441),$AG$2:$AG$1001,0),0), INDEX($AN$1004:$BO$1004,1,MATCH(COLUMNS($AN$1006:BJ1006),$AN$1006:$BO$1006,0)))),"Fix")))</f>
        <v>0</v>
      </c>
      <c r="Y441" s="4">
        <f>IF(OR(INDEX($AH$2:$AH$1001,MATCH(ROWS($AG$2:AG441),$AG$2:$AG$1001,0),1)&gt;=100000,INDEX($AN$1005:$BO$1005,1,MATCH(COLUMNS($AN$1006:BK1006),$AN$1006:$BO$1006,0))&gt;=100000), " ",IF(INDEX($AN$2:$BO$1001,MATCH(ROWS($AG$2:AG441),$AG$2:$AG$1001,0),MATCH(COLUMNS($AN$1006:BK1006),$AN$1006:$BO$1006,0)), HYPERLINK("#",""), HYPERLINK(CONCATENATE("#Metadata!", ADDRESS(INDEX($AI$2:$AI$1001,MATCH(ROWS($AG$2:AG441),$AG$2:$AG$1001,0),0), INDEX($AN$1004:$BO$1004,1,MATCH(COLUMNS($AN$1006:BK1006),$AN$1006:$BO$1006,0)))),"Fix")))</f>
        <v>0</v>
      </c>
      <c r="Z441" s="4">
        <f>IF(OR(INDEX($AH$2:$AH$1001,MATCH(ROWS($AG$2:AG441),$AG$2:$AG$1001,0),1)&gt;=100000,INDEX($AN$1005:$BO$1005,1,MATCH(COLUMNS($AN$1006:BL1006),$AN$1006:$BO$1006,0))&gt;=100000), " ",IF(INDEX($AN$2:$BO$1001,MATCH(ROWS($AG$2:AG441),$AG$2:$AG$1001,0),MATCH(COLUMNS($AN$1006:BL1006),$AN$1006:$BO$1006,0)), HYPERLINK("#",""), HYPERLINK(CONCATENATE("#Metadata!", ADDRESS(INDEX($AI$2:$AI$1001,MATCH(ROWS($AG$2:AG441),$AG$2:$AG$1001,0),0), INDEX($AN$1004:$BO$1004,1,MATCH(COLUMNS($AN$1006:BL1006),$AN$1006:$BO$1006,0)))),"Fix")))</f>
        <v>0</v>
      </c>
      <c r="AA441" s="4">
        <f>IF(OR(INDEX($AH$2:$AH$1001,MATCH(ROWS($AG$2:AG441),$AG$2:$AG$1001,0),1)&gt;=100000,INDEX($AN$1005:$BO$1005,1,MATCH(COLUMNS($AN$1006:BM1006),$AN$1006:$BO$1006,0))&gt;=100000), " ",IF(INDEX($AN$2:$BO$1001,MATCH(ROWS($AG$2:AG441),$AG$2:$AG$1001,0),MATCH(COLUMNS($AN$1006:BM1006),$AN$1006:$BO$1006,0)), HYPERLINK("#",""), HYPERLINK(CONCATENATE("#Metadata!", ADDRESS(INDEX($AI$2:$AI$1001,MATCH(ROWS($AG$2:AG441),$AG$2:$AG$1001,0),0), INDEX($AN$1004:$BO$1004,1,MATCH(COLUMNS($AN$1006:BM1006),$AN$1006:$BO$1006,0)))),"Fix")))</f>
        <v>0</v>
      </c>
      <c r="AB441" s="4">
        <f>IF(OR(INDEX($AH$2:$AH$1001,MATCH(ROWS($AG$2:AG441),$AG$2:$AG$1001,0),1)&gt;=100000,INDEX($AN$1005:$BO$1005,1,MATCH(COLUMNS($AN$1006:BN1006),$AN$1006:$BO$1006,0))&gt;=100000), " ",IF(INDEX($AN$2:$BO$1001,MATCH(ROWS($AG$2:AG441),$AG$2:$AG$1001,0),MATCH(COLUMNS($AN$1006:BN1006),$AN$1006:$BO$1006,0)), HYPERLINK("#",""), HYPERLINK(CONCATENATE("#Metadata!", ADDRESS(INDEX($AI$2:$AI$1001,MATCH(ROWS($AG$2:AG441),$AG$2:$AG$1001,0),0), INDEX($AN$1004:$BO$1004,1,MATCH(COLUMNS($AN$1006:BN1006),$AN$1006:$BO$1006,0)))),"Fix")))</f>
        <v>0</v>
      </c>
      <c r="AC441" s="4">
        <f>IF(OR(INDEX($AH$2:$AH$1001,MATCH(ROWS($AG$2:AG441),$AG$2:$AG$1001,0),1)&gt;=100000,INDEX($AN$1005:$BO$1005,1,MATCH(COLUMNS($AN$1006:BO1006),$AN$1006:$BO$1006,0))&gt;=100000), " ",IF(INDEX($AN$2:$BO$1001,MATCH(ROWS($AG$2:AG441),$AG$2:$AG$1001,0),MATCH(COLUMNS($AN$1006:BO1006),$AN$1006:$BO$1006,0)), HYPERLINK("#",""), HYPERLINK(CONCATENATE("#Metadata!", ADDRESS(INDEX($AI$2:$AI$1001,MATCH(ROWS($AG$2:AG441),$AG$2:$AG$1001,0),0), INDEX($AN$1004:$BO$1004,1,MATCH(COLUMNS($AN$1006:BO1006),$AN$1006:$BO$1006,0)))),"Fix")))</f>
        <v>0</v>
      </c>
      <c r="AG441">
        <v>0</v>
      </c>
      <c r="AH441">
        <v>0</v>
      </c>
      <c r="AI441">
        <v>0</v>
      </c>
      <c r="AJ441">
        <f>IF(AK441,TRUE,AND(AN441:BO441))</f>
        <v>0</v>
      </c>
      <c r="AK441">
        <f>COUNTBLANK(Metadata!B441:AC441)=COLUMNS(Metadata!B441:AC441)</f>
        <v>0</v>
      </c>
      <c r="AL441">
        <v>0</v>
      </c>
      <c r="AN441">
        <f>AND(IF(Metadata!B441="",FALSE,TRUE),COUNTIF(Metadata!B:B, Metadata!B441) = 1,NOT(ISERROR(SUMPRODUCT(SEARCH(MID(Metadata!B441,ROW(INDIRECT("1:"&amp;LEN(Metadata!B441))), 1),"0123456789abcdefghijklmnopqrstuvwxyzABCDEFGHIJKLMNOPQRSTUVWXYZ.")))))</f>
        <v>0</v>
      </c>
      <c r="AO441">
        <f>IF(Metadata!C441="",FALSE,TRUE)</f>
        <v>0</v>
      </c>
      <c r="AP441">
        <f>IF(Metadata!D441="",FALSE,TRUE)</f>
        <v>0</v>
      </c>
      <c r="AQ441">
        <f>OR(AND(IF(Metadata!E441="",FALSE,TRUE),OR(exact(Metadata!E441,"not collected"),exact(Metadata!E441,"not provided"),exact(Metadata!E441,"restricted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R441">
        <f>IF(Metadata!F441="",FALSE,TRUE)</f>
        <v>0</v>
      </c>
      <c r="AS441">
        <f>OR(AND(IF(Metadata!G441="",FALSE,TRUE),OR(exact(Metadata!G441,"not collected"),exact(Metadata!G441,"not provided"))),AND(IF(Metadata!G441="",FALSE,TRUE),OR(exact(Metadata!G441,"TRUE"),exact(Metadata!G441,"FALSE"))))</f>
        <v>0</v>
      </c>
      <c r="AT441">
        <f>OR(AND(IF(Metadata!H441="",FALSE,TRUE),OR(exact(Metadata!H441,"not collected"),exact(Metadata!H441,"not provided"),exact(Metadata!H441,"restricted access"))),AND(IF(Metadata!H441="",FALSE,ISNUMBER(VALUE(Metadata!H441))),Metadata!H441&gt;=-413.0))</f>
        <v>0</v>
      </c>
      <c r="AU441">
        <f>AND(IF(Metadata!I441="",FALSE,TRUE),exact(Metadata!I441,"meters"))</f>
        <v>0</v>
      </c>
      <c r="AV441">
        <f>AND(IF(Metadata!J441="",FALSE,TRUE),OR(exact(Metadata!J441,"Host-associated"),exact(Metadata!J441,"Free-living")))</f>
        <v>0</v>
      </c>
      <c r="AW441">
        <f>AND(IF(Metadata!K441="",FALSE,TRUE),OR(exact(Metadata!K441,"Animal"),exact(Metadata!K441,"Fungus"),exact(Metadata!K441,"Plant"),exact(Metadata!K441,"Saline"),exact(Metadata!K441,"Non-saline")))</f>
        <v>0</v>
      </c>
      <c r="AX441">
        <f>AND(IF(Metadata!L441="",FALSE,TRUE),OR(exact(Metadata!L441,"Plant secretion"),exact(Metadata!L441,"Plant rhizosphere"),exact(Metadata!L441,"Plant surface"),exact(Metadata!L441,"Plant corpus"),exact(Metadata!L441,"Fungus surface"),exact(Metadata!L441,"Fungus corpus"),exact(Metadata!L441,"Animal surface"),exact(Metadata!L441,"Animal proximal gut"),exact(Metadata!L441,"Animal corpus"),exact(Metadata!L441,"Animal distal gut"),exact(Metadata!L441,"Animal secretion"),exact(Metadata!L441,"Sub-surface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Y441">
        <f>IF(Metadata!M441="",FALSE,TRUE)</f>
        <v>0</v>
      </c>
      <c r="AZ441">
        <f>IF(Metadata!N441="",FALSE,TRUE)</f>
        <v>0</v>
      </c>
      <c r="BA441">
        <f>IF(Metadata!O441="",FALSE,TRUE)</f>
        <v>0</v>
      </c>
      <c r="BB441">
        <f>OR(AND(IF(Metadata!P441="",FALSE,TRUE),OR(exact(Metadata!P441,"not collected"),exact(Metadata!P441,"not provided"),exact(Metadata!P441,"restricted access"))),AND(IF(Metadata!P441="",FALSE,TRUE),OR(exact(Metadata!P441,"air"),exact(Metadata!P441,"built environment"),exact(Metadata!P441,"host-associated"),exact(Metadata!P441,"human-associated"),exact(Metadata!P441,"human-skin"),exact(Metadata!P441,"human-oral"),exact(Metadata!P441,"human-gut"),exact(Metadata!P441,"human-vaginal"),exact(Metadata!P441,"microbial mat/biofilm"),exact(Metadata!P441,"misc environment"),exact(Metadata!P441,"plant-associated"),exact(Metadata!P441,"sediment"),exact(Metadata!P441,"soil"),exact(Metadata!P441,"wastewater/sludge"),exact(Metadata!P441,"water"))))</f>
        <v>0</v>
      </c>
      <c r="BC441">
        <f>IF(Metadata!Q441="",FALSE,TRUE)</f>
        <v>0</v>
      </c>
      <c r="BD441">
        <f>IF(Metadata!R441="",FALSE,TRUE)</f>
        <v>0</v>
      </c>
      <c r="BE441">
        <f>OR(AND(IF(Metadata!S441="",FALSE,TRUE),OR(exact(Metadata!S441,"not collected"),exact(Metadata!S441,"not provided"),exact(Metadata!S441,"restricted access"))),AND(IF(Metadata!S441="",FALSE,ISNUMBER(VALUE(Metadata!S441))),Metadata!S441&gt;=-90.00,Metadata!S441&lt;=90.00))</f>
        <v>0</v>
      </c>
      <c r="BF441">
        <f>AND(IF(Metadata!T441="",FALSE,TRUE),exact(Metadata!T441,"Decimal degrees"))</f>
        <v>0</v>
      </c>
      <c r="BG441">
        <f>OR(AND(IF(Metadata!U441="",FALSE,TRUE),OR(exact(Metadata!U441,"not collected"),exact(Metadata!U441,"not provided"),exact(Metadata!U441,"restricted access"))),AND(IF(Metadata!U441="",FALSE,ISNUMBER(VALUE(Metadata!U441))),Metadata!U441&gt;=-180.00,Metadata!U441&lt;=180.00))</f>
        <v>0</v>
      </c>
      <c r="BH441">
        <f>AND(IF(Metadata!V441="",FALSE,TRUE),exact(Metadata!V441,"Decimal degrees"))</f>
        <v>0</v>
      </c>
      <c r="BI441">
        <f>IF(Metadata!W441="",FALSE,TRUE)</f>
        <v>0</v>
      </c>
      <c r="BJ441">
        <f>OR(AND(IF(Metadata!X441="",FALSE,TRUE),OR(exact(Metadata!X441,"not collected"),exact(Metadata!X441,"not provided"),exact(Metadata!X441,"restricted access"))),AND(IF(Metadata!X441="",FALSE,TRUE),OR(exact(Metadata!X441,"TRUE"),exact(Metadata!X441,"FALSE"))))</f>
        <v>0</v>
      </c>
      <c r="BK441">
        <f>AND(IF(Metadata!Y441="",FALSE,TRUE),exact(Metadata!Y441,"other"))</f>
        <v>0</v>
      </c>
      <c r="BL441">
        <f>IF(Metadata!Z441="",FALSE,TRUE)</f>
        <v>0</v>
      </c>
      <c r="BM441">
        <f>OR(AND(IF(Metadata!AA441="",FALSE,TRUE),OR(exact(Metadata!AA441,"not collected"),exact(Metadata!AA441,"not provided"))),AND(IF(Metadata!AA441="",FALSE,IF(ISERROR(INT(Metadata!AA441)),FALSE,INT(Metadata!AA441)=Metadata!AA441)),Metadata!AA441&gt;0))</f>
        <v>0</v>
      </c>
      <c r="BN441">
        <f>AND(IF(Metadata!AB441="",FALSE,TRUE),exact(Metadata!AB441,"Not applicable"))</f>
        <v>0</v>
      </c>
      <c r="BO441">
        <f>IF(Metadata!AC441="",FALSE,TRUE)</f>
        <v>0</v>
      </c>
    </row>
    <row r="442" spans="1:67">
      <c r="A442" s="5">
        <f>IF(B442=" "," ",HYPERLINK(CONCATENATE("#metadata!",ADDRESS(INDEX($AI$2:$AI$1001,MATCH(ROWS($AG$2:AG442),$AG$2:$AG$1001,0),0),1)),INDEX($AL$2:$AL$1001,MATCH(ROWS($AG$2:AG442),$AG$2:$AG$1001,0),0)))</f>
        <v>0</v>
      </c>
      <c r="B442" s="4">
        <f>IF(OR(INDEX($AH$2:$AH$1001,MATCH(ROWS($AG$2:AG442),$AG$2:$AG$1001,0),1)&gt;=100000,INDEX($AN$1005:$BO$1005,1,MATCH(COLUMNS($AN$1006:AN1006),$AN$1006:$BO$1006,0))&gt;=100000), " ",IF(INDEX($AN$2:$BO$1001,MATCH(ROWS($AG$2:AG442),$AG$2:$AG$1001,0),MATCH(COLUMNS($AN$1006:AN1006),$AN$1006:$BO$1006,0)), HYPERLINK("#",""), HYPERLINK(CONCATENATE("#Metadata!", ADDRESS(INDEX($AI$2:$AI$1001,MATCH(ROWS($AG$2:AG442),$AG$2:$AG$1001,0),0), INDEX($AN$1004:$BO$1004,1,MATCH(COLUMNS($AN$1006:AN1006),$AN$1006:$BO$1006,0)))),"Fix")))</f>
        <v>0</v>
      </c>
      <c r="C442" s="4">
        <f>IF(OR(INDEX($AH$2:$AH$1001,MATCH(ROWS($AG$2:AG442),$AG$2:$AG$1001,0),1)&gt;=100000,INDEX($AN$1005:$BO$1005,1,MATCH(COLUMNS($AN$1006:AO1006),$AN$1006:$BO$1006,0))&gt;=100000), " ",IF(INDEX($AN$2:$BO$1001,MATCH(ROWS($AG$2:AG442),$AG$2:$AG$1001,0),MATCH(COLUMNS($AN$1006:AO1006),$AN$1006:$BO$1006,0)), HYPERLINK("#",""), HYPERLINK(CONCATENATE("#Metadata!", ADDRESS(INDEX($AI$2:$AI$1001,MATCH(ROWS($AG$2:AG442),$AG$2:$AG$1001,0),0), INDEX($AN$1004:$BO$1004,1,MATCH(COLUMNS($AN$1006:AO1006),$AN$1006:$BO$1006,0)))),"Fix")))</f>
        <v>0</v>
      </c>
      <c r="D442" s="4">
        <f>IF(OR(INDEX($AH$2:$AH$1001,MATCH(ROWS($AG$2:AG442),$AG$2:$AG$1001,0),1)&gt;=100000,INDEX($AN$1005:$BO$1005,1,MATCH(COLUMNS($AN$1006:AP1006),$AN$1006:$BO$1006,0))&gt;=100000), " ",IF(INDEX($AN$2:$BO$1001,MATCH(ROWS($AG$2:AG442),$AG$2:$AG$1001,0),MATCH(COLUMNS($AN$1006:AP1006),$AN$1006:$BO$1006,0)), HYPERLINK("#",""), HYPERLINK(CONCATENATE("#Metadata!", ADDRESS(INDEX($AI$2:$AI$1001,MATCH(ROWS($AG$2:AG442),$AG$2:$AG$1001,0),0), INDEX($AN$1004:$BO$1004,1,MATCH(COLUMNS($AN$1006:AP1006),$AN$1006:$BO$1006,0)))),"Fix")))</f>
        <v>0</v>
      </c>
      <c r="E442" s="4">
        <f>IF(OR(INDEX($AH$2:$AH$1001,MATCH(ROWS($AG$2:AG442),$AG$2:$AG$1001,0),1)&gt;=100000,INDEX($AN$1005:$BO$1005,1,MATCH(COLUMNS($AN$1006:AQ1006),$AN$1006:$BO$1006,0))&gt;=100000), " ",IF(INDEX($AN$2:$BO$1001,MATCH(ROWS($AG$2:AG442),$AG$2:$AG$1001,0),MATCH(COLUMNS($AN$1006:AQ1006),$AN$1006:$BO$1006,0)), HYPERLINK("#",""), HYPERLINK(CONCATENATE("#Metadata!", ADDRESS(INDEX($AI$2:$AI$1001,MATCH(ROWS($AG$2:AG442),$AG$2:$AG$1001,0),0), INDEX($AN$1004:$BO$1004,1,MATCH(COLUMNS($AN$1006:AQ1006),$AN$1006:$BO$1006,0)))),"Fix")))</f>
        <v>0</v>
      </c>
      <c r="F442" s="4">
        <f>IF(OR(INDEX($AH$2:$AH$1001,MATCH(ROWS($AG$2:AG442),$AG$2:$AG$1001,0),1)&gt;=100000,INDEX($AN$1005:$BO$1005,1,MATCH(COLUMNS($AN$1006:AR1006),$AN$1006:$BO$1006,0))&gt;=100000), " ",IF(INDEX($AN$2:$BO$1001,MATCH(ROWS($AG$2:AG442),$AG$2:$AG$1001,0),MATCH(COLUMNS($AN$1006:AR1006),$AN$1006:$BO$1006,0)), HYPERLINK("#",""), HYPERLINK(CONCATENATE("#Metadata!", ADDRESS(INDEX($AI$2:$AI$1001,MATCH(ROWS($AG$2:AG442),$AG$2:$AG$1001,0),0), INDEX($AN$1004:$BO$1004,1,MATCH(COLUMNS($AN$1006:AR1006),$AN$1006:$BO$1006,0)))),"Fix")))</f>
        <v>0</v>
      </c>
      <c r="G442" s="4">
        <f>IF(OR(INDEX($AH$2:$AH$1001,MATCH(ROWS($AG$2:AG442),$AG$2:$AG$1001,0),1)&gt;=100000,INDEX($AN$1005:$BO$1005,1,MATCH(COLUMNS($AN$1006:AS1006),$AN$1006:$BO$1006,0))&gt;=100000), " ",IF(INDEX($AN$2:$BO$1001,MATCH(ROWS($AG$2:AG442),$AG$2:$AG$1001,0),MATCH(COLUMNS($AN$1006:AS1006),$AN$1006:$BO$1006,0)), HYPERLINK("#",""), HYPERLINK(CONCATENATE("#Metadata!", ADDRESS(INDEX($AI$2:$AI$1001,MATCH(ROWS($AG$2:AG442),$AG$2:$AG$1001,0),0), INDEX($AN$1004:$BO$1004,1,MATCH(COLUMNS($AN$1006:AS1006),$AN$1006:$BO$1006,0)))),"Fix")))</f>
        <v>0</v>
      </c>
      <c r="H442" s="4">
        <f>IF(OR(INDEX($AH$2:$AH$1001,MATCH(ROWS($AG$2:AG442),$AG$2:$AG$1001,0),1)&gt;=100000,INDEX($AN$1005:$BO$1005,1,MATCH(COLUMNS($AN$1006:AT1006),$AN$1006:$BO$1006,0))&gt;=100000), " ",IF(INDEX($AN$2:$BO$1001,MATCH(ROWS($AG$2:AG442),$AG$2:$AG$1001,0),MATCH(COLUMNS($AN$1006:AT1006),$AN$1006:$BO$1006,0)), HYPERLINK("#",""), HYPERLINK(CONCATENATE("#Metadata!", ADDRESS(INDEX($AI$2:$AI$1001,MATCH(ROWS($AG$2:AG442),$AG$2:$AG$1001,0),0), INDEX($AN$1004:$BO$1004,1,MATCH(COLUMNS($AN$1006:AT1006),$AN$1006:$BO$1006,0)))),"Fix")))</f>
        <v>0</v>
      </c>
      <c r="I442" s="4">
        <f>IF(OR(INDEX($AH$2:$AH$1001,MATCH(ROWS($AG$2:AG442),$AG$2:$AG$1001,0),1)&gt;=100000,INDEX($AN$1005:$BO$1005,1,MATCH(COLUMNS($AN$1006:AU1006),$AN$1006:$BO$1006,0))&gt;=100000), " ",IF(INDEX($AN$2:$BO$1001,MATCH(ROWS($AG$2:AG442),$AG$2:$AG$1001,0),MATCH(COLUMNS($AN$1006:AU1006),$AN$1006:$BO$1006,0)), HYPERLINK("#",""), HYPERLINK(CONCATENATE("#Metadata!", ADDRESS(INDEX($AI$2:$AI$1001,MATCH(ROWS($AG$2:AG442),$AG$2:$AG$1001,0),0), INDEX($AN$1004:$BO$1004,1,MATCH(COLUMNS($AN$1006:AU1006),$AN$1006:$BO$1006,0)))),"Fix")))</f>
        <v>0</v>
      </c>
      <c r="J442" s="4">
        <f>IF(OR(INDEX($AH$2:$AH$1001,MATCH(ROWS($AG$2:AG442),$AG$2:$AG$1001,0),1)&gt;=100000,INDEX($AN$1005:$BO$1005,1,MATCH(COLUMNS($AN$1006:AV1006),$AN$1006:$BO$1006,0))&gt;=100000), " ",IF(INDEX($AN$2:$BO$1001,MATCH(ROWS($AG$2:AG442),$AG$2:$AG$1001,0),MATCH(COLUMNS($AN$1006:AV1006),$AN$1006:$BO$1006,0)), HYPERLINK("#",""), HYPERLINK(CONCATENATE("#Metadata!", ADDRESS(INDEX($AI$2:$AI$1001,MATCH(ROWS($AG$2:AG442),$AG$2:$AG$1001,0),0), INDEX($AN$1004:$BO$1004,1,MATCH(COLUMNS($AN$1006:AV1006),$AN$1006:$BO$1006,0)))),"Fix")))</f>
        <v>0</v>
      </c>
      <c r="K442" s="4">
        <f>IF(OR(INDEX($AH$2:$AH$1001,MATCH(ROWS($AG$2:AG442),$AG$2:$AG$1001,0),1)&gt;=100000,INDEX($AN$1005:$BO$1005,1,MATCH(COLUMNS($AN$1006:AW1006),$AN$1006:$BO$1006,0))&gt;=100000), " ",IF(INDEX($AN$2:$BO$1001,MATCH(ROWS($AG$2:AG442),$AG$2:$AG$1001,0),MATCH(COLUMNS($AN$1006:AW1006),$AN$1006:$BO$1006,0)), HYPERLINK("#",""), HYPERLINK(CONCATENATE("#Metadata!", ADDRESS(INDEX($AI$2:$AI$1001,MATCH(ROWS($AG$2:AG442),$AG$2:$AG$1001,0),0), INDEX($AN$1004:$BO$1004,1,MATCH(COLUMNS($AN$1006:AW1006),$AN$1006:$BO$1006,0)))),"Fix")))</f>
        <v>0</v>
      </c>
      <c r="L442" s="4">
        <f>IF(OR(INDEX($AH$2:$AH$1001,MATCH(ROWS($AG$2:AG442),$AG$2:$AG$1001,0),1)&gt;=100000,INDEX($AN$1005:$BO$1005,1,MATCH(COLUMNS($AN$1006:AX1006),$AN$1006:$BO$1006,0))&gt;=100000), " ",IF(INDEX($AN$2:$BO$1001,MATCH(ROWS($AG$2:AG442),$AG$2:$AG$1001,0),MATCH(COLUMNS($AN$1006:AX1006),$AN$1006:$BO$1006,0)), HYPERLINK("#",""), HYPERLINK(CONCATENATE("#Metadata!", ADDRESS(INDEX($AI$2:$AI$1001,MATCH(ROWS($AG$2:AG442),$AG$2:$AG$1001,0),0), INDEX($AN$1004:$BO$1004,1,MATCH(COLUMNS($AN$1006:AX1006),$AN$1006:$BO$1006,0)))),"Fix")))</f>
        <v>0</v>
      </c>
      <c r="M442" s="4">
        <f>IF(OR(INDEX($AH$2:$AH$1001,MATCH(ROWS($AG$2:AG442),$AG$2:$AG$1001,0),1)&gt;=100000,INDEX($AN$1005:$BO$1005,1,MATCH(COLUMNS($AN$1006:AY1006),$AN$1006:$BO$1006,0))&gt;=100000), " ",IF(INDEX($AN$2:$BO$1001,MATCH(ROWS($AG$2:AG442),$AG$2:$AG$1001,0),MATCH(COLUMNS($AN$1006:AY1006),$AN$1006:$BO$1006,0)), HYPERLINK("#",""), HYPERLINK(CONCATENATE("#Metadata!", ADDRESS(INDEX($AI$2:$AI$1001,MATCH(ROWS($AG$2:AG442),$AG$2:$AG$1001,0),0), INDEX($AN$1004:$BO$1004,1,MATCH(COLUMNS($AN$1006:AY1006),$AN$1006:$BO$1006,0)))),"Fix")))</f>
        <v>0</v>
      </c>
      <c r="N442" s="4">
        <f>IF(OR(INDEX($AH$2:$AH$1001,MATCH(ROWS($AG$2:AG442),$AG$2:$AG$1001,0),1)&gt;=100000,INDEX($AN$1005:$BO$1005,1,MATCH(COLUMNS($AN$1006:AZ1006),$AN$1006:$BO$1006,0))&gt;=100000), " ",IF(INDEX($AN$2:$BO$1001,MATCH(ROWS($AG$2:AG442),$AG$2:$AG$1001,0),MATCH(COLUMNS($AN$1006:AZ1006),$AN$1006:$BO$1006,0)), HYPERLINK("#",""), HYPERLINK(CONCATENATE("#Metadata!", ADDRESS(INDEX($AI$2:$AI$1001,MATCH(ROWS($AG$2:AG442),$AG$2:$AG$1001,0),0), INDEX($AN$1004:$BO$1004,1,MATCH(COLUMNS($AN$1006:AZ1006),$AN$1006:$BO$1006,0)))),"Fix")))</f>
        <v>0</v>
      </c>
      <c r="O442" s="4">
        <f>IF(OR(INDEX($AH$2:$AH$1001,MATCH(ROWS($AG$2:AG442),$AG$2:$AG$1001,0),1)&gt;=100000,INDEX($AN$1005:$BO$1005,1,MATCH(COLUMNS($AN$1006:BA1006),$AN$1006:$BO$1006,0))&gt;=100000), " ",IF(INDEX($AN$2:$BO$1001,MATCH(ROWS($AG$2:AG442),$AG$2:$AG$1001,0),MATCH(COLUMNS($AN$1006:BA1006),$AN$1006:$BO$1006,0)), HYPERLINK("#",""), HYPERLINK(CONCATENATE("#Metadata!", ADDRESS(INDEX($AI$2:$AI$1001,MATCH(ROWS($AG$2:AG442),$AG$2:$AG$1001,0),0), INDEX($AN$1004:$BO$1004,1,MATCH(COLUMNS($AN$1006:BA1006),$AN$1006:$BO$1006,0)))),"Fix")))</f>
        <v>0</v>
      </c>
      <c r="P442" s="4">
        <f>IF(OR(INDEX($AH$2:$AH$1001,MATCH(ROWS($AG$2:AG442),$AG$2:$AG$1001,0),1)&gt;=100000,INDEX($AN$1005:$BO$1005,1,MATCH(COLUMNS($AN$1006:BB1006),$AN$1006:$BO$1006,0))&gt;=100000), " ",IF(INDEX($AN$2:$BO$1001,MATCH(ROWS($AG$2:AG442),$AG$2:$AG$1001,0),MATCH(COLUMNS($AN$1006:BB1006),$AN$1006:$BO$1006,0)), HYPERLINK("#",""), HYPERLINK(CONCATENATE("#Metadata!", ADDRESS(INDEX($AI$2:$AI$1001,MATCH(ROWS($AG$2:AG442),$AG$2:$AG$1001,0),0), INDEX($AN$1004:$BO$1004,1,MATCH(COLUMNS($AN$1006:BB1006),$AN$1006:$BO$1006,0)))),"Fix")))</f>
        <v>0</v>
      </c>
      <c r="Q442" s="4">
        <f>IF(OR(INDEX($AH$2:$AH$1001,MATCH(ROWS($AG$2:AG442),$AG$2:$AG$1001,0),1)&gt;=100000,INDEX($AN$1005:$BO$1005,1,MATCH(COLUMNS($AN$1006:BC1006),$AN$1006:$BO$1006,0))&gt;=100000), " ",IF(INDEX($AN$2:$BO$1001,MATCH(ROWS($AG$2:AG442),$AG$2:$AG$1001,0),MATCH(COLUMNS($AN$1006:BC1006),$AN$1006:$BO$1006,0)), HYPERLINK("#",""), HYPERLINK(CONCATENATE("#Metadata!", ADDRESS(INDEX($AI$2:$AI$1001,MATCH(ROWS($AG$2:AG442),$AG$2:$AG$1001,0),0), INDEX($AN$1004:$BO$1004,1,MATCH(COLUMNS($AN$1006:BC1006),$AN$1006:$BO$1006,0)))),"Fix")))</f>
        <v>0</v>
      </c>
      <c r="R442" s="4">
        <f>IF(OR(INDEX($AH$2:$AH$1001,MATCH(ROWS($AG$2:AG442),$AG$2:$AG$1001,0),1)&gt;=100000,INDEX($AN$1005:$BO$1005,1,MATCH(COLUMNS($AN$1006:BD1006),$AN$1006:$BO$1006,0))&gt;=100000), " ",IF(INDEX($AN$2:$BO$1001,MATCH(ROWS($AG$2:AG442),$AG$2:$AG$1001,0),MATCH(COLUMNS($AN$1006:BD1006),$AN$1006:$BO$1006,0)), HYPERLINK("#",""), HYPERLINK(CONCATENATE("#Metadata!", ADDRESS(INDEX($AI$2:$AI$1001,MATCH(ROWS($AG$2:AG442),$AG$2:$AG$1001,0),0), INDEX($AN$1004:$BO$1004,1,MATCH(COLUMNS($AN$1006:BD1006),$AN$1006:$BO$1006,0)))),"Fix")))</f>
        <v>0</v>
      </c>
      <c r="S442" s="4">
        <f>IF(OR(INDEX($AH$2:$AH$1001,MATCH(ROWS($AG$2:AG442),$AG$2:$AG$1001,0),1)&gt;=100000,INDEX($AN$1005:$BO$1005,1,MATCH(COLUMNS($AN$1006:BE1006),$AN$1006:$BO$1006,0))&gt;=100000), " ",IF(INDEX($AN$2:$BO$1001,MATCH(ROWS($AG$2:AG442),$AG$2:$AG$1001,0),MATCH(COLUMNS($AN$1006:BE1006),$AN$1006:$BO$1006,0)), HYPERLINK("#",""), HYPERLINK(CONCATENATE("#Metadata!", ADDRESS(INDEX($AI$2:$AI$1001,MATCH(ROWS($AG$2:AG442),$AG$2:$AG$1001,0),0), INDEX($AN$1004:$BO$1004,1,MATCH(COLUMNS($AN$1006:BE1006),$AN$1006:$BO$1006,0)))),"Fix")))</f>
        <v>0</v>
      </c>
      <c r="T442" s="4">
        <f>IF(OR(INDEX($AH$2:$AH$1001,MATCH(ROWS($AG$2:AG442),$AG$2:$AG$1001,0),1)&gt;=100000,INDEX($AN$1005:$BO$1005,1,MATCH(COLUMNS($AN$1006:BF1006),$AN$1006:$BO$1006,0))&gt;=100000), " ",IF(INDEX($AN$2:$BO$1001,MATCH(ROWS($AG$2:AG442),$AG$2:$AG$1001,0),MATCH(COLUMNS($AN$1006:BF1006),$AN$1006:$BO$1006,0)), HYPERLINK("#",""), HYPERLINK(CONCATENATE("#Metadata!", ADDRESS(INDEX($AI$2:$AI$1001,MATCH(ROWS($AG$2:AG442),$AG$2:$AG$1001,0),0), INDEX($AN$1004:$BO$1004,1,MATCH(COLUMNS($AN$1006:BF1006),$AN$1006:$BO$1006,0)))),"Fix")))</f>
        <v>0</v>
      </c>
      <c r="U442" s="4">
        <f>IF(OR(INDEX($AH$2:$AH$1001,MATCH(ROWS($AG$2:AG442),$AG$2:$AG$1001,0),1)&gt;=100000,INDEX($AN$1005:$BO$1005,1,MATCH(COLUMNS($AN$1006:BG1006),$AN$1006:$BO$1006,0))&gt;=100000), " ",IF(INDEX($AN$2:$BO$1001,MATCH(ROWS($AG$2:AG442),$AG$2:$AG$1001,0),MATCH(COLUMNS($AN$1006:BG1006),$AN$1006:$BO$1006,0)), HYPERLINK("#",""), HYPERLINK(CONCATENATE("#Metadata!", ADDRESS(INDEX($AI$2:$AI$1001,MATCH(ROWS($AG$2:AG442),$AG$2:$AG$1001,0),0), INDEX($AN$1004:$BO$1004,1,MATCH(COLUMNS($AN$1006:BG1006),$AN$1006:$BO$1006,0)))),"Fix")))</f>
        <v>0</v>
      </c>
      <c r="V442" s="4">
        <f>IF(OR(INDEX($AH$2:$AH$1001,MATCH(ROWS($AG$2:AG442),$AG$2:$AG$1001,0),1)&gt;=100000,INDEX($AN$1005:$BO$1005,1,MATCH(COLUMNS($AN$1006:BH1006),$AN$1006:$BO$1006,0))&gt;=100000), " ",IF(INDEX($AN$2:$BO$1001,MATCH(ROWS($AG$2:AG442),$AG$2:$AG$1001,0),MATCH(COLUMNS($AN$1006:BH1006),$AN$1006:$BO$1006,0)), HYPERLINK("#",""), HYPERLINK(CONCATENATE("#Metadata!", ADDRESS(INDEX($AI$2:$AI$1001,MATCH(ROWS($AG$2:AG442),$AG$2:$AG$1001,0),0), INDEX($AN$1004:$BO$1004,1,MATCH(COLUMNS($AN$1006:BH1006),$AN$1006:$BO$1006,0)))),"Fix")))</f>
        <v>0</v>
      </c>
      <c r="W442" s="4">
        <f>IF(OR(INDEX($AH$2:$AH$1001,MATCH(ROWS($AG$2:AG442),$AG$2:$AG$1001,0),1)&gt;=100000,INDEX($AN$1005:$BO$1005,1,MATCH(COLUMNS($AN$1006:BI1006),$AN$1006:$BO$1006,0))&gt;=100000), " ",IF(INDEX($AN$2:$BO$1001,MATCH(ROWS($AG$2:AG442),$AG$2:$AG$1001,0),MATCH(COLUMNS($AN$1006:BI1006),$AN$1006:$BO$1006,0)), HYPERLINK("#",""), HYPERLINK(CONCATENATE("#Metadata!", ADDRESS(INDEX($AI$2:$AI$1001,MATCH(ROWS($AG$2:AG442),$AG$2:$AG$1001,0),0), INDEX($AN$1004:$BO$1004,1,MATCH(COLUMNS($AN$1006:BI1006),$AN$1006:$BO$1006,0)))),"Fix")))</f>
        <v>0</v>
      </c>
      <c r="X442" s="4">
        <f>IF(OR(INDEX($AH$2:$AH$1001,MATCH(ROWS($AG$2:AG442),$AG$2:$AG$1001,0),1)&gt;=100000,INDEX($AN$1005:$BO$1005,1,MATCH(COLUMNS($AN$1006:BJ1006),$AN$1006:$BO$1006,0))&gt;=100000), " ",IF(INDEX($AN$2:$BO$1001,MATCH(ROWS($AG$2:AG442),$AG$2:$AG$1001,0),MATCH(COLUMNS($AN$1006:BJ1006),$AN$1006:$BO$1006,0)), HYPERLINK("#",""), HYPERLINK(CONCATENATE("#Metadata!", ADDRESS(INDEX($AI$2:$AI$1001,MATCH(ROWS($AG$2:AG442),$AG$2:$AG$1001,0),0), INDEX($AN$1004:$BO$1004,1,MATCH(COLUMNS($AN$1006:BJ1006),$AN$1006:$BO$1006,0)))),"Fix")))</f>
        <v>0</v>
      </c>
      <c r="Y442" s="4">
        <f>IF(OR(INDEX($AH$2:$AH$1001,MATCH(ROWS($AG$2:AG442),$AG$2:$AG$1001,0),1)&gt;=100000,INDEX($AN$1005:$BO$1005,1,MATCH(COLUMNS($AN$1006:BK1006),$AN$1006:$BO$1006,0))&gt;=100000), " ",IF(INDEX($AN$2:$BO$1001,MATCH(ROWS($AG$2:AG442),$AG$2:$AG$1001,0),MATCH(COLUMNS($AN$1006:BK1006),$AN$1006:$BO$1006,0)), HYPERLINK("#",""), HYPERLINK(CONCATENATE("#Metadata!", ADDRESS(INDEX($AI$2:$AI$1001,MATCH(ROWS($AG$2:AG442),$AG$2:$AG$1001,0),0), INDEX($AN$1004:$BO$1004,1,MATCH(COLUMNS($AN$1006:BK1006),$AN$1006:$BO$1006,0)))),"Fix")))</f>
        <v>0</v>
      </c>
      <c r="Z442" s="4">
        <f>IF(OR(INDEX($AH$2:$AH$1001,MATCH(ROWS($AG$2:AG442),$AG$2:$AG$1001,0),1)&gt;=100000,INDEX($AN$1005:$BO$1005,1,MATCH(COLUMNS($AN$1006:BL1006),$AN$1006:$BO$1006,0))&gt;=100000), " ",IF(INDEX($AN$2:$BO$1001,MATCH(ROWS($AG$2:AG442),$AG$2:$AG$1001,0),MATCH(COLUMNS($AN$1006:BL1006),$AN$1006:$BO$1006,0)), HYPERLINK("#",""), HYPERLINK(CONCATENATE("#Metadata!", ADDRESS(INDEX($AI$2:$AI$1001,MATCH(ROWS($AG$2:AG442),$AG$2:$AG$1001,0),0), INDEX($AN$1004:$BO$1004,1,MATCH(COLUMNS($AN$1006:BL1006),$AN$1006:$BO$1006,0)))),"Fix")))</f>
        <v>0</v>
      </c>
      <c r="AA442" s="4">
        <f>IF(OR(INDEX($AH$2:$AH$1001,MATCH(ROWS($AG$2:AG442),$AG$2:$AG$1001,0),1)&gt;=100000,INDEX($AN$1005:$BO$1005,1,MATCH(COLUMNS($AN$1006:BM1006),$AN$1006:$BO$1006,0))&gt;=100000), " ",IF(INDEX($AN$2:$BO$1001,MATCH(ROWS($AG$2:AG442),$AG$2:$AG$1001,0),MATCH(COLUMNS($AN$1006:BM1006),$AN$1006:$BO$1006,0)), HYPERLINK("#",""), HYPERLINK(CONCATENATE("#Metadata!", ADDRESS(INDEX($AI$2:$AI$1001,MATCH(ROWS($AG$2:AG442),$AG$2:$AG$1001,0),0), INDEX($AN$1004:$BO$1004,1,MATCH(COLUMNS($AN$1006:BM1006),$AN$1006:$BO$1006,0)))),"Fix")))</f>
        <v>0</v>
      </c>
      <c r="AB442" s="4">
        <f>IF(OR(INDEX($AH$2:$AH$1001,MATCH(ROWS($AG$2:AG442),$AG$2:$AG$1001,0),1)&gt;=100000,INDEX($AN$1005:$BO$1005,1,MATCH(COLUMNS($AN$1006:BN1006),$AN$1006:$BO$1006,0))&gt;=100000), " ",IF(INDEX($AN$2:$BO$1001,MATCH(ROWS($AG$2:AG442),$AG$2:$AG$1001,0),MATCH(COLUMNS($AN$1006:BN1006),$AN$1006:$BO$1006,0)), HYPERLINK("#",""), HYPERLINK(CONCATENATE("#Metadata!", ADDRESS(INDEX($AI$2:$AI$1001,MATCH(ROWS($AG$2:AG442),$AG$2:$AG$1001,0),0), INDEX($AN$1004:$BO$1004,1,MATCH(COLUMNS($AN$1006:BN1006),$AN$1006:$BO$1006,0)))),"Fix")))</f>
        <v>0</v>
      </c>
      <c r="AC442" s="4">
        <f>IF(OR(INDEX($AH$2:$AH$1001,MATCH(ROWS($AG$2:AG442),$AG$2:$AG$1001,0),1)&gt;=100000,INDEX($AN$1005:$BO$1005,1,MATCH(COLUMNS($AN$1006:BO1006),$AN$1006:$BO$1006,0))&gt;=100000), " ",IF(INDEX($AN$2:$BO$1001,MATCH(ROWS($AG$2:AG442),$AG$2:$AG$1001,0),MATCH(COLUMNS($AN$1006:BO1006),$AN$1006:$BO$1006,0)), HYPERLINK("#",""), HYPERLINK(CONCATENATE("#Metadata!", ADDRESS(INDEX($AI$2:$AI$1001,MATCH(ROWS($AG$2:AG442),$AG$2:$AG$1001,0),0), INDEX($AN$1004:$BO$1004,1,MATCH(COLUMNS($AN$1006:BO1006),$AN$1006:$BO$1006,0)))),"Fix")))</f>
        <v>0</v>
      </c>
      <c r="AG442">
        <v>0</v>
      </c>
      <c r="AH442">
        <v>0</v>
      </c>
      <c r="AI442">
        <v>0</v>
      </c>
      <c r="AJ442">
        <f>IF(AK442,TRUE,AND(AN442:BO442))</f>
        <v>0</v>
      </c>
      <c r="AK442">
        <f>COUNTBLANK(Metadata!B442:AC442)=COLUMNS(Metadata!B442:AC442)</f>
        <v>0</v>
      </c>
      <c r="AL442">
        <v>0</v>
      </c>
      <c r="AN442">
        <f>AND(IF(Metadata!B442="",FALSE,TRUE),COUNTIF(Metadata!B:B, Metadata!B442) = 1,NOT(ISERROR(SUMPRODUCT(SEARCH(MID(Metadata!B442,ROW(INDIRECT("1:"&amp;LEN(Metadata!B442))), 1),"0123456789abcdefghijklmnopqrstuvwxyzABCDEFGHIJKLMNOPQRSTUVWXYZ.")))))</f>
        <v>0</v>
      </c>
      <c r="AO442">
        <f>IF(Metadata!C442="",FALSE,TRUE)</f>
        <v>0</v>
      </c>
      <c r="AP442">
        <f>IF(Metadata!D442="",FALSE,TRUE)</f>
        <v>0</v>
      </c>
      <c r="AQ442">
        <f>OR(AND(IF(Metadata!E442="",FALSE,TRUE),OR(exact(Metadata!E442,"not collected"),exact(Metadata!E442,"not provided"),exact(Metadata!E442,"restricted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R442">
        <f>IF(Metadata!F442="",FALSE,TRUE)</f>
        <v>0</v>
      </c>
      <c r="AS442">
        <f>OR(AND(IF(Metadata!G442="",FALSE,TRUE),OR(exact(Metadata!G442,"not collected"),exact(Metadata!G442,"not provided"))),AND(IF(Metadata!G442="",FALSE,TRUE),OR(exact(Metadata!G442,"TRUE"),exact(Metadata!G442,"FALSE"))))</f>
        <v>0</v>
      </c>
      <c r="AT442">
        <f>OR(AND(IF(Metadata!H442="",FALSE,TRUE),OR(exact(Metadata!H442,"not collected"),exact(Metadata!H442,"not provided"),exact(Metadata!H442,"restricted access"))),AND(IF(Metadata!H442="",FALSE,ISNUMBER(VALUE(Metadata!H442))),Metadata!H442&gt;=-413.0))</f>
        <v>0</v>
      </c>
      <c r="AU442">
        <f>AND(IF(Metadata!I442="",FALSE,TRUE),exact(Metadata!I442,"meters"))</f>
        <v>0</v>
      </c>
      <c r="AV442">
        <f>AND(IF(Metadata!J442="",FALSE,TRUE),OR(exact(Metadata!J442,"Host-associated"),exact(Metadata!J442,"Free-living")))</f>
        <v>0</v>
      </c>
      <c r="AW442">
        <f>AND(IF(Metadata!K442="",FALSE,TRUE),OR(exact(Metadata!K442,"Animal"),exact(Metadata!K442,"Fungus"),exact(Metadata!K442,"Plant"),exact(Metadata!K442,"Saline"),exact(Metadata!K442,"Non-saline")))</f>
        <v>0</v>
      </c>
      <c r="AX442">
        <f>AND(IF(Metadata!L442="",FALSE,TRUE),OR(exact(Metadata!L442,"Plant secretion"),exact(Metadata!L442,"Plant rhizosphere"),exact(Metadata!L442,"Plant surface"),exact(Metadata!L442,"Plant corpus"),exact(Metadata!L442,"Fungus surface"),exact(Metadata!L442,"Fungus corpus"),exact(Metadata!L442,"Animal surface"),exact(Metadata!L442,"Animal proximal gut"),exact(Metadata!L442,"Animal corpus"),exact(Metadata!L442,"Animal distal gut"),exact(Metadata!L442,"Animal secretion"),exact(Metadata!L442,"Sub-surface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Y442">
        <f>IF(Metadata!M442="",FALSE,TRUE)</f>
        <v>0</v>
      </c>
      <c r="AZ442">
        <f>IF(Metadata!N442="",FALSE,TRUE)</f>
        <v>0</v>
      </c>
      <c r="BA442">
        <f>IF(Metadata!O442="",FALSE,TRUE)</f>
        <v>0</v>
      </c>
      <c r="BB442">
        <f>OR(AND(IF(Metadata!P442="",FALSE,TRUE),OR(exact(Metadata!P442,"not collected"),exact(Metadata!P442,"not provided"),exact(Metadata!P442,"restricted access"))),AND(IF(Metadata!P442="",FALSE,TRUE),OR(exact(Metadata!P442,"air"),exact(Metadata!P442,"built environment"),exact(Metadata!P442,"host-associated"),exact(Metadata!P442,"human-associated"),exact(Metadata!P442,"human-skin"),exact(Metadata!P442,"human-oral"),exact(Metadata!P442,"human-gut"),exact(Metadata!P442,"human-vaginal"),exact(Metadata!P442,"microbial mat/biofilm"),exact(Metadata!P442,"misc environment"),exact(Metadata!P442,"plant-associated"),exact(Metadata!P442,"sediment"),exact(Metadata!P442,"soil"),exact(Metadata!P442,"wastewater/sludge"),exact(Metadata!P442,"water"))))</f>
        <v>0</v>
      </c>
      <c r="BC442">
        <f>IF(Metadata!Q442="",FALSE,TRUE)</f>
        <v>0</v>
      </c>
      <c r="BD442">
        <f>IF(Metadata!R442="",FALSE,TRUE)</f>
        <v>0</v>
      </c>
      <c r="BE442">
        <f>OR(AND(IF(Metadata!S442="",FALSE,TRUE),OR(exact(Metadata!S442,"not collected"),exact(Metadata!S442,"not provided"),exact(Metadata!S442,"restricted access"))),AND(IF(Metadata!S442="",FALSE,ISNUMBER(VALUE(Metadata!S442))),Metadata!S442&gt;=-90.00,Metadata!S442&lt;=90.00))</f>
        <v>0</v>
      </c>
      <c r="BF442">
        <f>AND(IF(Metadata!T442="",FALSE,TRUE),exact(Metadata!T442,"Decimal degrees"))</f>
        <v>0</v>
      </c>
      <c r="BG442">
        <f>OR(AND(IF(Metadata!U442="",FALSE,TRUE),OR(exact(Metadata!U442,"not collected"),exact(Metadata!U442,"not provided"),exact(Metadata!U442,"restricted access"))),AND(IF(Metadata!U442="",FALSE,ISNUMBER(VALUE(Metadata!U442))),Metadata!U442&gt;=-180.00,Metadata!U442&lt;=180.00))</f>
        <v>0</v>
      </c>
      <c r="BH442">
        <f>AND(IF(Metadata!V442="",FALSE,TRUE),exact(Metadata!V442,"Decimal degrees"))</f>
        <v>0</v>
      </c>
      <c r="BI442">
        <f>IF(Metadata!W442="",FALSE,TRUE)</f>
        <v>0</v>
      </c>
      <c r="BJ442">
        <f>OR(AND(IF(Metadata!X442="",FALSE,TRUE),OR(exact(Metadata!X442,"not collected"),exact(Metadata!X442,"not provided"),exact(Metadata!X442,"restricted access"))),AND(IF(Metadata!X442="",FALSE,TRUE),OR(exact(Metadata!X442,"TRUE"),exact(Metadata!X442,"FALSE"))))</f>
        <v>0</v>
      </c>
      <c r="BK442">
        <f>AND(IF(Metadata!Y442="",FALSE,TRUE),exact(Metadata!Y442,"other"))</f>
        <v>0</v>
      </c>
      <c r="BL442">
        <f>IF(Metadata!Z442="",FALSE,TRUE)</f>
        <v>0</v>
      </c>
      <c r="BM442">
        <f>OR(AND(IF(Metadata!AA442="",FALSE,TRUE),OR(exact(Metadata!AA442,"not collected"),exact(Metadata!AA442,"not provided"))),AND(IF(Metadata!AA442="",FALSE,IF(ISERROR(INT(Metadata!AA442)),FALSE,INT(Metadata!AA442)=Metadata!AA442)),Metadata!AA442&gt;0))</f>
        <v>0</v>
      </c>
      <c r="BN442">
        <f>AND(IF(Metadata!AB442="",FALSE,TRUE),exact(Metadata!AB442,"Not applicable"))</f>
        <v>0</v>
      </c>
      <c r="BO442">
        <f>IF(Metadata!AC442="",FALSE,TRUE)</f>
        <v>0</v>
      </c>
    </row>
    <row r="443" spans="1:67">
      <c r="A443" s="5">
        <f>IF(B443=" "," ",HYPERLINK(CONCATENATE("#metadata!",ADDRESS(INDEX($AI$2:$AI$1001,MATCH(ROWS($AG$2:AG443),$AG$2:$AG$1001,0),0),1)),INDEX($AL$2:$AL$1001,MATCH(ROWS($AG$2:AG443),$AG$2:$AG$1001,0),0)))</f>
        <v>0</v>
      </c>
      <c r="B443" s="4">
        <f>IF(OR(INDEX($AH$2:$AH$1001,MATCH(ROWS($AG$2:AG443),$AG$2:$AG$1001,0),1)&gt;=100000,INDEX($AN$1005:$BO$1005,1,MATCH(COLUMNS($AN$1006:AN1006),$AN$1006:$BO$1006,0))&gt;=100000), " ",IF(INDEX($AN$2:$BO$1001,MATCH(ROWS($AG$2:AG443),$AG$2:$AG$1001,0),MATCH(COLUMNS($AN$1006:AN1006),$AN$1006:$BO$1006,0)), HYPERLINK("#",""), HYPERLINK(CONCATENATE("#Metadata!", ADDRESS(INDEX($AI$2:$AI$1001,MATCH(ROWS($AG$2:AG443),$AG$2:$AG$1001,0),0), INDEX($AN$1004:$BO$1004,1,MATCH(COLUMNS($AN$1006:AN1006),$AN$1006:$BO$1006,0)))),"Fix")))</f>
        <v>0</v>
      </c>
      <c r="C443" s="4">
        <f>IF(OR(INDEX($AH$2:$AH$1001,MATCH(ROWS($AG$2:AG443),$AG$2:$AG$1001,0),1)&gt;=100000,INDEX($AN$1005:$BO$1005,1,MATCH(COLUMNS($AN$1006:AO1006),$AN$1006:$BO$1006,0))&gt;=100000), " ",IF(INDEX($AN$2:$BO$1001,MATCH(ROWS($AG$2:AG443),$AG$2:$AG$1001,0),MATCH(COLUMNS($AN$1006:AO1006),$AN$1006:$BO$1006,0)), HYPERLINK("#",""), HYPERLINK(CONCATENATE("#Metadata!", ADDRESS(INDEX($AI$2:$AI$1001,MATCH(ROWS($AG$2:AG443),$AG$2:$AG$1001,0),0), INDEX($AN$1004:$BO$1004,1,MATCH(COLUMNS($AN$1006:AO1006),$AN$1006:$BO$1006,0)))),"Fix")))</f>
        <v>0</v>
      </c>
      <c r="D443" s="4">
        <f>IF(OR(INDEX($AH$2:$AH$1001,MATCH(ROWS($AG$2:AG443),$AG$2:$AG$1001,0),1)&gt;=100000,INDEX($AN$1005:$BO$1005,1,MATCH(COLUMNS($AN$1006:AP1006),$AN$1006:$BO$1006,0))&gt;=100000), " ",IF(INDEX($AN$2:$BO$1001,MATCH(ROWS($AG$2:AG443),$AG$2:$AG$1001,0),MATCH(COLUMNS($AN$1006:AP1006),$AN$1006:$BO$1006,0)), HYPERLINK("#",""), HYPERLINK(CONCATENATE("#Metadata!", ADDRESS(INDEX($AI$2:$AI$1001,MATCH(ROWS($AG$2:AG443),$AG$2:$AG$1001,0),0), INDEX($AN$1004:$BO$1004,1,MATCH(COLUMNS($AN$1006:AP1006),$AN$1006:$BO$1006,0)))),"Fix")))</f>
        <v>0</v>
      </c>
      <c r="E443" s="4">
        <f>IF(OR(INDEX($AH$2:$AH$1001,MATCH(ROWS($AG$2:AG443),$AG$2:$AG$1001,0),1)&gt;=100000,INDEX($AN$1005:$BO$1005,1,MATCH(COLUMNS($AN$1006:AQ1006),$AN$1006:$BO$1006,0))&gt;=100000), " ",IF(INDEX($AN$2:$BO$1001,MATCH(ROWS($AG$2:AG443),$AG$2:$AG$1001,0),MATCH(COLUMNS($AN$1006:AQ1006),$AN$1006:$BO$1006,0)), HYPERLINK("#",""), HYPERLINK(CONCATENATE("#Metadata!", ADDRESS(INDEX($AI$2:$AI$1001,MATCH(ROWS($AG$2:AG443),$AG$2:$AG$1001,0),0), INDEX($AN$1004:$BO$1004,1,MATCH(COLUMNS($AN$1006:AQ1006),$AN$1006:$BO$1006,0)))),"Fix")))</f>
        <v>0</v>
      </c>
      <c r="F443" s="4">
        <f>IF(OR(INDEX($AH$2:$AH$1001,MATCH(ROWS($AG$2:AG443),$AG$2:$AG$1001,0),1)&gt;=100000,INDEX($AN$1005:$BO$1005,1,MATCH(COLUMNS($AN$1006:AR1006),$AN$1006:$BO$1006,0))&gt;=100000), " ",IF(INDEX($AN$2:$BO$1001,MATCH(ROWS($AG$2:AG443),$AG$2:$AG$1001,0),MATCH(COLUMNS($AN$1006:AR1006),$AN$1006:$BO$1006,0)), HYPERLINK("#",""), HYPERLINK(CONCATENATE("#Metadata!", ADDRESS(INDEX($AI$2:$AI$1001,MATCH(ROWS($AG$2:AG443),$AG$2:$AG$1001,0),0), INDEX($AN$1004:$BO$1004,1,MATCH(COLUMNS($AN$1006:AR1006),$AN$1006:$BO$1006,0)))),"Fix")))</f>
        <v>0</v>
      </c>
      <c r="G443" s="4">
        <f>IF(OR(INDEX($AH$2:$AH$1001,MATCH(ROWS($AG$2:AG443),$AG$2:$AG$1001,0),1)&gt;=100000,INDEX($AN$1005:$BO$1005,1,MATCH(COLUMNS($AN$1006:AS1006),$AN$1006:$BO$1006,0))&gt;=100000), " ",IF(INDEX($AN$2:$BO$1001,MATCH(ROWS($AG$2:AG443),$AG$2:$AG$1001,0),MATCH(COLUMNS($AN$1006:AS1006),$AN$1006:$BO$1006,0)), HYPERLINK("#",""), HYPERLINK(CONCATENATE("#Metadata!", ADDRESS(INDEX($AI$2:$AI$1001,MATCH(ROWS($AG$2:AG443),$AG$2:$AG$1001,0),0), INDEX($AN$1004:$BO$1004,1,MATCH(COLUMNS($AN$1006:AS1006),$AN$1006:$BO$1006,0)))),"Fix")))</f>
        <v>0</v>
      </c>
      <c r="H443" s="4">
        <f>IF(OR(INDEX($AH$2:$AH$1001,MATCH(ROWS($AG$2:AG443),$AG$2:$AG$1001,0),1)&gt;=100000,INDEX($AN$1005:$BO$1005,1,MATCH(COLUMNS($AN$1006:AT1006),$AN$1006:$BO$1006,0))&gt;=100000), " ",IF(INDEX($AN$2:$BO$1001,MATCH(ROWS($AG$2:AG443),$AG$2:$AG$1001,0),MATCH(COLUMNS($AN$1006:AT1006),$AN$1006:$BO$1006,0)), HYPERLINK("#",""), HYPERLINK(CONCATENATE("#Metadata!", ADDRESS(INDEX($AI$2:$AI$1001,MATCH(ROWS($AG$2:AG443),$AG$2:$AG$1001,0),0), INDEX($AN$1004:$BO$1004,1,MATCH(COLUMNS($AN$1006:AT1006),$AN$1006:$BO$1006,0)))),"Fix")))</f>
        <v>0</v>
      </c>
      <c r="I443" s="4">
        <f>IF(OR(INDEX($AH$2:$AH$1001,MATCH(ROWS($AG$2:AG443),$AG$2:$AG$1001,0),1)&gt;=100000,INDEX($AN$1005:$BO$1005,1,MATCH(COLUMNS($AN$1006:AU1006),$AN$1006:$BO$1006,0))&gt;=100000), " ",IF(INDEX($AN$2:$BO$1001,MATCH(ROWS($AG$2:AG443),$AG$2:$AG$1001,0),MATCH(COLUMNS($AN$1006:AU1006),$AN$1006:$BO$1006,0)), HYPERLINK("#",""), HYPERLINK(CONCATENATE("#Metadata!", ADDRESS(INDEX($AI$2:$AI$1001,MATCH(ROWS($AG$2:AG443),$AG$2:$AG$1001,0),0), INDEX($AN$1004:$BO$1004,1,MATCH(COLUMNS($AN$1006:AU1006),$AN$1006:$BO$1006,0)))),"Fix")))</f>
        <v>0</v>
      </c>
      <c r="J443" s="4">
        <f>IF(OR(INDEX($AH$2:$AH$1001,MATCH(ROWS($AG$2:AG443),$AG$2:$AG$1001,0),1)&gt;=100000,INDEX($AN$1005:$BO$1005,1,MATCH(COLUMNS($AN$1006:AV1006),$AN$1006:$BO$1006,0))&gt;=100000), " ",IF(INDEX($AN$2:$BO$1001,MATCH(ROWS($AG$2:AG443),$AG$2:$AG$1001,0),MATCH(COLUMNS($AN$1006:AV1006),$AN$1006:$BO$1006,0)), HYPERLINK("#",""), HYPERLINK(CONCATENATE("#Metadata!", ADDRESS(INDEX($AI$2:$AI$1001,MATCH(ROWS($AG$2:AG443),$AG$2:$AG$1001,0),0), INDEX($AN$1004:$BO$1004,1,MATCH(COLUMNS($AN$1006:AV1006),$AN$1006:$BO$1006,0)))),"Fix")))</f>
        <v>0</v>
      </c>
      <c r="K443" s="4">
        <f>IF(OR(INDEX($AH$2:$AH$1001,MATCH(ROWS($AG$2:AG443),$AG$2:$AG$1001,0),1)&gt;=100000,INDEX($AN$1005:$BO$1005,1,MATCH(COLUMNS($AN$1006:AW1006),$AN$1006:$BO$1006,0))&gt;=100000), " ",IF(INDEX($AN$2:$BO$1001,MATCH(ROWS($AG$2:AG443),$AG$2:$AG$1001,0),MATCH(COLUMNS($AN$1006:AW1006),$AN$1006:$BO$1006,0)), HYPERLINK("#",""), HYPERLINK(CONCATENATE("#Metadata!", ADDRESS(INDEX($AI$2:$AI$1001,MATCH(ROWS($AG$2:AG443),$AG$2:$AG$1001,0),0), INDEX($AN$1004:$BO$1004,1,MATCH(COLUMNS($AN$1006:AW1006),$AN$1006:$BO$1006,0)))),"Fix")))</f>
        <v>0</v>
      </c>
      <c r="L443" s="4">
        <f>IF(OR(INDEX($AH$2:$AH$1001,MATCH(ROWS($AG$2:AG443),$AG$2:$AG$1001,0),1)&gt;=100000,INDEX($AN$1005:$BO$1005,1,MATCH(COLUMNS($AN$1006:AX1006),$AN$1006:$BO$1006,0))&gt;=100000), " ",IF(INDEX($AN$2:$BO$1001,MATCH(ROWS($AG$2:AG443),$AG$2:$AG$1001,0),MATCH(COLUMNS($AN$1006:AX1006),$AN$1006:$BO$1006,0)), HYPERLINK("#",""), HYPERLINK(CONCATENATE("#Metadata!", ADDRESS(INDEX($AI$2:$AI$1001,MATCH(ROWS($AG$2:AG443),$AG$2:$AG$1001,0),0), INDEX($AN$1004:$BO$1004,1,MATCH(COLUMNS($AN$1006:AX1006),$AN$1006:$BO$1006,0)))),"Fix")))</f>
        <v>0</v>
      </c>
      <c r="M443" s="4">
        <f>IF(OR(INDEX($AH$2:$AH$1001,MATCH(ROWS($AG$2:AG443),$AG$2:$AG$1001,0),1)&gt;=100000,INDEX($AN$1005:$BO$1005,1,MATCH(COLUMNS($AN$1006:AY1006),$AN$1006:$BO$1006,0))&gt;=100000), " ",IF(INDEX($AN$2:$BO$1001,MATCH(ROWS($AG$2:AG443),$AG$2:$AG$1001,0),MATCH(COLUMNS($AN$1006:AY1006),$AN$1006:$BO$1006,0)), HYPERLINK("#",""), HYPERLINK(CONCATENATE("#Metadata!", ADDRESS(INDEX($AI$2:$AI$1001,MATCH(ROWS($AG$2:AG443),$AG$2:$AG$1001,0),0), INDEX($AN$1004:$BO$1004,1,MATCH(COLUMNS($AN$1006:AY1006),$AN$1006:$BO$1006,0)))),"Fix")))</f>
        <v>0</v>
      </c>
      <c r="N443" s="4">
        <f>IF(OR(INDEX($AH$2:$AH$1001,MATCH(ROWS($AG$2:AG443),$AG$2:$AG$1001,0),1)&gt;=100000,INDEX($AN$1005:$BO$1005,1,MATCH(COLUMNS($AN$1006:AZ1006),$AN$1006:$BO$1006,0))&gt;=100000), " ",IF(INDEX($AN$2:$BO$1001,MATCH(ROWS($AG$2:AG443),$AG$2:$AG$1001,0),MATCH(COLUMNS($AN$1006:AZ1006),$AN$1006:$BO$1006,0)), HYPERLINK("#",""), HYPERLINK(CONCATENATE("#Metadata!", ADDRESS(INDEX($AI$2:$AI$1001,MATCH(ROWS($AG$2:AG443),$AG$2:$AG$1001,0),0), INDEX($AN$1004:$BO$1004,1,MATCH(COLUMNS($AN$1006:AZ1006),$AN$1006:$BO$1006,0)))),"Fix")))</f>
        <v>0</v>
      </c>
      <c r="O443" s="4">
        <f>IF(OR(INDEX($AH$2:$AH$1001,MATCH(ROWS($AG$2:AG443),$AG$2:$AG$1001,0),1)&gt;=100000,INDEX($AN$1005:$BO$1005,1,MATCH(COLUMNS($AN$1006:BA1006),$AN$1006:$BO$1006,0))&gt;=100000), " ",IF(INDEX($AN$2:$BO$1001,MATCH(ROWS($AG$2:AG443),$AG$2:$AG$1001,0),MATCH(COLUMNS($AN$1006:BA1006),$AN$1006:$BO$1006,0)), HYPERLINK("#",""), HYPERLINK(CONCATENATE("#Metadata!", ADDRESS(INDEX($AI$2:$AI$1001,MATCH(ROWS($AG$2:AG443),$AG$2:$AG$1001,0),0), INDEX($AN$1004:$BO$1004,1,MATCH(COLUMNS($AN$1006:BA1006),$AN$1006:$BO$1006,0)))),"Fix")))</f>
        <v>0</v>
      </c>
      <c r="P443" s="4">
        <f>IF(OR(INDEX($AH$2:$AH$1001,MATCH(ROWS($AG$2:AG443),$AG$2:$AG$1001,0),1)&gt;=100000,INDEX($AN$1005:$BO$1005,1,MATCH(COLUMNS($AN$1006:BB1006),$AN$1006:$BO$1006,0))&gt;=100000), " ",IF(INDEX($AN$2:$BO$1001,MATCH(ROWS($AG$2:AG443),$AG$2:$AG$1001,0),MATCH(COLUMNS($AN$1006:BB1006),$AN$1006:$BO$1006,0)), HYPERLINK("#",""), HYPERLINK(CONCATENATE("#Metadata!", ADDRESS(INDEX($AI$2:$AI$1001,MATCH(ROWS($AG$2:AG443),$AG$2:$AG$1001,0),0), INDEX($AN$1004:$BO$1004,1,MATCH(COLUMNS($AN$1006:BB1006),$AN$1006:$BO$1006,0)))),"Fix")))</f>
        <v>0</v>
      </c>
      <c r="Q443" s="4">
        <f>IF(OR(INDEX($AH$2:$AH$1001,MATCH(ROWS($AG$2:AG443),$AG$2:$AG$1001,0),1)&gt;=100000,INDEX($AN$1005:$BO$1005,1,MATCH(COLUMNS($AN$1006:BC1006),$AN$1006:$BO$1006,0))&gt;=100000), " ",IF(INDEX($AN$2:$BO$1001,MATCH(ROWS($AG$2:AG443),$AG$2:$AG$1001,0),MATCH(COLUMNS($AN$1006:BC1006),$AN$1006:$BO$1006,0)), HYPERLINK("#",""), HYPERLINK(CONCATENATE("#Metadata!", ADDRESS(INDEX($AI$2:$AI$1001,MATCH(ROWS($AG$2:AG443),$AG$2:$AG$1001,0),0), INDEX($AN$1004:$BO$1004,1,MATCH(COLUMNS($AN$1006:BC1006),$AN$1006:$BO$1006,0)))),"Fix")))</f>
        <v>0</v>
      </c>
      <c r="R443" s="4">
        <f>IF(OR(INDEX($AH$2:$AH$1001,MATCH(ROWS($AG$2:AG443),$AG$2:$AG$1001,0),1)&gt;=100000,INDEX($AN$1005:$BO$1005,1,MATCH(COLUMNS($AN$1006:BD1006),$AN$1006:$BO$1006,0))&gt;=100000), " ",IF(INDEX($AN$2:$BO$1001,MATCH(ROWS($AG$2:AG443),$AG$2:$AG$1001,0),MATCH(COLUMNS($AN$1006:BD1006),$AN$1006:$BO$1006,0)), HYPERLINK("#",""), HYPERLINK(CONCATENATE("#Metadata!", ADDRESS(INDEX($AI$2:$AI$1001,MATCH(ROWS($AG$2:AG443),$AG$2:$AG$1001,0),0), INDEX($AN$1004:$BO$1004,1,MATCH(COLUMNS($AN$1006:BD1006),$AN$1006:$BO$1006,0)))),"Fix")))</f>
        <v>0</v>
      </c>
      <c r="S443" s="4">
        <f>IF(OR(INDEX($AH$2:$AH$1001,MATCH(ROWS($AG$2:AG443),$AG$2:$AG$1001,0),1)&gt;=100000,INDEX($AN$1005:$BO$1005,1,MATCH(COLUMNS($AN$1006:BE1006),$AN$1006:$BO$1006,0))&gt;=100000), " ",IF(INDEX($AN$2:$BO$1001,MATCH(ROWS($AG$2:AG443),$AG$2:$AG$1001,0),MATCH(COLUMNS($AN$1006:BE1006),$AN$1006:$BO$1006,0)), HYPERLINK("#",""), HYPERLINK(CONCATENATE("#Metadata!", ADDRESS(INDEX($AI$2:$AI$1001,MATCH(ROWS($AG$2:AG443),$AG$2:$AG$1001,0),0), INDEX($AN$1004:$BO$1004,1,MATCH(COLUMNS($AN$1006:BE1006),$AN$1006:$BO$1006,0)))),"Fix")))</f>
        <v>0</v>
      </c>
      <c r="T443" s="4">
        <f>IF(OR(INDEX($AH$2:$AH$1001,MATCH(ROWS($AG$2:AG443),$AG$2:$AG$1001,0),1)&gt;=100000,INDEX($AN$1005:$BO$1005,1,MATCH(COLUMNS($AN$1006:BF1006),$AN$1006:$BO$1006,0))&gt;=100000), " ",IF(INDEX($AN$2:$BO$1001,MATCH(ROWS($AG$2:AG443),$AG$2:$AG$1001,0),MATCH(COLUMNS($AN$1006:BF1006),$AN$1006:$BO$1006,0)), HYPERLINK("#",""), HYPERLINK(CONCATENATE("#Metadata!", ADDRESS(INDEX($AI$2:$AI$1001,MATCH(ROWS($AG$2:AG443),$AG$2:$AG$1001,0),0), INDEX($AN$1004:$BO$1004,1,MATCH(COLUMNS($AN$1006:BF1006),$AN$1006:$BO$1006,0)))),"Fix")))</f>
        <v>0</v>
      </c>
      <c r="U443" s="4">
        <f>IF(OR(INDEX($AH$2:$AH$1001,MATCH(ROWS($AG$2:AG443),$AG$2:$AG$1001,0),1)&gt;=100000,INDEX($AN$1005:$BO$1005,1,MATCH(COLUMNS($AN$1006:BG1006),$AN$1006:$BO$1006,0))&gt;=100000), " ",IF(INDEX($AN$2:$BO$1001,MATCH(ROWS($AG$2:AG443),$AG$2:$AG$1001,0),MATCH(COLUMNS($AN$1006:BG1006),$AN$1006:$BO$1006,0)), HYPERLINK("#",""), HYPERLINK(CONCATENATE("#Metadata!", ADDRESS(INDEX($AI$2:$AI$1001,MATCH(ROWS($AG$2:AG443),$AG$2:$AG$1001,0),0), INDEX($AN$1004:$BO$1004,1,MATCH(COLUMNS($AN$1006:BG1006),$AN$1006:$BO$1006,0)))),"Fix")))</f>
        <v>0</v>
      </c>
      <c r="V443" s="4">
        <f>IF(OR(INDEX($AH$2:$AH$1001,MATCH(ROWS($AG$2:AG443),$AG$2:$AG$1001,0),1)&gt;=100000,INDEX($AN$1005:$BO$1005,1,MATCH(COLUMNS($AN$1006:BH1006),$AN$1006:$BO$1006,0))&gt;=100000), " ",IF(INDEX($AN$2:$BO$1001,MATCH(ROWS($AG$2:AG443),$AG$2:$AG$1001,0),MATCH(COLUMNS($AN$1006:BH1006),$AN$1006:$BO$1006,0)), HYPERLINK("#",""), HYPERLINK(CONCATENATE("#Metadata!", ADDRESS(INDEX($AI$2:$AI$1001,MATCH(ROWS($AG$2:AG443),$AG$2:$AG$1001,0),0), INDEX($AN$1004:$BO$1004,1,MATCH(COLUMNS($AN$1006:BH1006),$AN$1006:$BO$1006,0)))),"Fix")))</f>
        <v>0</v>
      </c>
      <c r="W443" s="4">
        <f>IF(OR(INDEX($AH$2:$AH$1001,MATCH(ROWS($AG$2:AG443),$AG$2:$AG$1001,0),1)&gt;=100000,INDEX($AN$1005:$BO$1005,1,MATCH(COLUMNS($AN$1006:BI1006),$AN$1006:$BO$1006,0))&gt;=100000), " ",IF(INDEX($AN$2:$BO$1001,MATCH(ROWS($AG$2:AG443),$AG$2:$AG$1001,0),MATCH(COLUMNS($AN$1006:BI1006),$AN$1006:$BO$1006,0)), HYPERLINK("#",""), HYPERLINK(CONCATENATE("#Metadata!", ADDRESS(INDEX($AI$2:$AI$1001,MATCH(ROWS($AG$2:AG443),$AG$2:$AG$1001,0),0), INDEX($AN$1004:$BO$1004,1,MATCH(COLUMNS($AN$1006:BI1006),$AN$1006:$BO$1006,0)))),"Fix")))</f>
        <v>0</v>
      </c>
      <c r="X443" s="4">
        <f>IF(OR(INDEX($AH$2:$AH$1001,MATCH(ROWS($AG$2:AG443),$AG$2:$AG$1001,0),1)&gt;=100000,INDEX($AN$1005:$BO$1005,1,MATCH(COLUMNS($AN$1006:BJ1006),$AN$1006:$BO$1006,0))&gt;=100000), " ",IF(INDEX($AN$2:$BO$1001,MATCH(ROWS($AG$2:AG443),$AG$2:$AG$1001,0),MATCH(COLUMNS($AN$1006:BJ1006),$AN$1006:$BO$1006,0)), HYPERLINK("#",""), HYPERLINK(CONCATENATE("#Metadata!", ADDRESS(INDEX($AI$2:$AI$1001,MATCH(ROWS($AG$2:AG443),$AG$2:$AG$1001,0),0), INDEX($AN$1004:$BO$1004,1,MATCH(COLUMNS($AN$1006:BJ1006),$AN$1006:$BO$1006,0)))),"Fix")))</f>
        <v>0</v>
      </c>
      <c r="Y443" s="4">
        <f>IF(OR(INDEX($AH$2:$AH$1001,MATCH(ROWS($AG$2:AG443),$AG$2:$AG$1001,0),1)&gt;=100000,INDEX($AN$1005:$BO$1005,1,MATCH(COLUMNS($AN$1006:BK1006),$AN$1006:$BO$1006,0))&gt;=100000), " ",IF(INDEX($AN$2:$BO$1001,MATCH(ROWS($AG$2:AG443),$AG$2:$AG$1001,0),MATCH(COLUMNS($AN$1006:BK1006),$AN$1006:$BO$1006,0)), HYPERLINK("#",""), HYPERLINK(CONCATENATE("#Metadata!", ADDRESS(INDEX($AI$2:$AI$1001,MATCH(ROWS($AG$2:AG443),$AG$2:$AG$1001,0),0), INDEX($AN$1004:$BO$1004,1,MATCH(COLUMNS($AN$1006:BK1006),$AN$1006:$BO$1006,0)))),"Fix")))</f>
        <v>0</v>
      </c>
      <c r="Z443" s="4">
        <f>IF(OR(INDEX($AH$2:$AH$1001,MATCH(ROWS($AG$2:AG443),$AG$2:$AG$1001,0),1)&gt;=100000,INDEX($AN$1005:$BO$1005,1,MATCH(COLUMNS($AN$1006:BL1006),$AN$1006:$BO$1006,0))&gt;=100000), " ",IF(INDEX($AN$2:$BO$1001,MATCH(ROWS($AG$2:AG443),$AG$2:$AG$1001,0),MATCH(COLUMNS($AN$1006:BL1006),$AN$1006:$BO$1006,0)), HYPERLINK("#",""), HYPERLINK(CONCATENATE("#Metadata!", ADDRESS(INDEX($AI$2:$AI$1001,MATCH(ROWS($AG$2:AG443),$AG$2:$AG$1001,0),0), INDEX($AN$1004:$BO$1004,1,MATCH(COLUMNS($AN$1006:BL1006),$AN$1006:$BO$1006,0)))),"Fix")))</f>
        <v>0</v>
      </c>
      <c r="AA443" s="4">
        <f>IF(OR(INDEX($AH$2:$AH$1001,MATCH(ROWS($AG$2:AG443),$AG$2:$AG$1001,0),1)&gt;=100000,INDEX($AN$1005:$BO$1005,1,MATCH(COLUMNS($AN$1006:BM1006),$AN$1006:$BO$1006,0))&gt;=100000), " ",IF(INDEX($AN$2:$BO$1001,MATCH(ROWS($AG$2:AG443),$AG$2:$AG$1001,0),MATCH(COLUMNS($AN$1006:BM1006),$AN$1006:$BO$1006,0)), HYPERLINK("#",""), HYPERLINK(CONCATENATE("#Metadata!", ADDRESS(INDEX($AI$2:$AI$1001,MATCH(ROWS($AG$2:AG443),$AG$2:$AG$1001,0),0), INDEX($AN$1004:$BO$1004,1,MATCH(COLUMNS($AN$1006:BM1006),$AN$1006:$BO$1006,0)))),"Fix")))</f>
        <v>0</v>
      </c>
      <c r="AB443" s="4">
        <f>IF(OR(INDEX($AH$2:$AH$1001,MATCH(ROWS($AG$2:AG443),$AG$2:$AG$1001,0),1)&gt;=100000,INDEX($AN$1005:$BO$1005,1,MATCH(COLUMNS($AN$1006:BN1006),$AN$1006:$BO$1006,0))&gt;=100000), " ",IF(INDEX($AN$2:$BO$1001,MATCH(ROWS($AG$2:AG443),$AG$2:$AG$1001,0),MATCH(COLUMNS($AN$1006:BN1006),$AN$1006:$BO$1006,0)), HYPERLINK("#",""), HYPERLINK(CONCATENATE("#Metadata!", ADDRESS(INDEX($AI$2:$AI$1001,MATCH(ROWS($AG$2:AG443),$AG$2:$AG$1001,0),0), INDEX($AN$1004:$BO$1004,1,MATCH(COLUMNS($AN$1006:BN1006),$AN$1006:$BO$1006,0)))),"Fix")))</f>
        <v>0</v>
      </c>
      <c r="AC443" s="4">
        <f>IF(OR(INDEX($AH$2:$AH$1001,MATCH(ROWS($AG$2:AG443),$AG$2:$AG$1001,0),1)&gt;=100000,INDEX($AN$1005:$BO$1005,1,MATCH(COLUMNS($AN$1006:BO1006),$AN$1006:$BO$1006,0))&gt;=100000), " ",IF(INDEX($AN$2:$BO$1001,MATCH(ROWS($AG$2:AG443),$AG$2:$AG$1001,0),MATCH(COLUMNS($AN$1006:BO1006),$AN$1006:$BO$1006,0)), HYPERLINK("#",""), HYPERLINK(CONCATENATE("#Metadata!", ADDRESS(INDEX($AI$2:$AI$1001,MATCH(ROWS($AG$2:AG443),$AG$2:$AG$1001,0),0), INDEX($AN$1004:$BO$1004,1,MATCH(COLUMNS($AN$1006:BO1006),$AN$1006:$BO$1006,0)))),"Fix")))</f>
        <v>0</v>
      </c>
      <c r="AG443">
        <v>0</v>
      </c>
      <c r="AH443">
        <v>0</v>
      </c>
      <c r="AI443">
        <v>0</v>
      </c>
      <c r="AJ443">
        <f>IF(AK443,TRUE,AND(AN443:BO443))</f>
        <v>0</v>
      </c>
      <c r="AK443">
        <f>COUNTBLANK(Metadata!B443:AC443)=COLUMNS(Metadata!B443:AC443)</f>
        <v>0</v>
      </c>
      <c r="AL443">
        <v>0</v>
      </c>
      <c r="AN443">
        <f>AND(IF(Metadata!B443="",FALSE,TRUE),COUNTIF(Metadata!B:B, Metadata!B443) = 1,NOT(ISERROR(SUMPRODUCT(SEARCH(MID(Metadata!B443,ROW(INDIRECT("1:"&amp;LEN(Metadata!B443))), 1),"0123456789abcdefghijklmnopqrstuvwxyzABCDEFGHIJKLMNOPQRSTUVWXYZ.")))))</f>
        <v>0</v>
      </c>
      <c r="AO443">
        <f>IF(Metadata!C443="",FALSE,TRUE)</f>
        <v>0</v>
      </c>
      <c r="AP443">
        <f>IF(Metadata!D443="",FALSE,TRUE)</f>
        <v>0</v>
      </c>
      <c r="AQ443">
        <f>OR(AND(IF(Metadata!E443="",FALSE,TRUE),OR(exact(Metadata!E443,"not collected"),exact(Metadata!E443,"not provided"),exact(Metadata!E443,"restricted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R443">
        <f>IF(Metadata!F443="",FALSE,TRUE)</f>
        <v>0</v>
      </c>
      <c r="AS443">
        <f>OR(AND(IF(Metadata!G443="",FALSE,TRUE),OR(exact(Metadata!G443,"not collected"),exact(Metadata!G443,"not provided"))),AND(IF(Metadata!G443="",FALSE,TRUE),OR(exact(Metadata!G443,"TRUE"),exact(Metadata!G443,"FALSE"))))</f>
        <v>0</v>
      </c>
      <c r="AT443">
        <f>OR(AND(IF(Metadata!H443="",FALSE,TRUE),OR(exact(Metadata!H443,"not collected"),exact(Metadata!H443,"not provided"),exact(Metadata!H443,"restricted access"))),AND(IF(Metadata!H443="",FALSE,ISNUMBER(VALUE(Metadata!H443))),Metadata!H443&gt;=-413.0))</f>
        <v>0</v>
      </c>
      <c r="AU443">
        <f>AND(IF(Metadata!I443="",FALSE,TRUE),exact(Metadata!I443,"meters"))</f>
        <v>0</v>
      </c>
      <c r="AV443">
        <f>AND(IF(Metadata!J443="",FALSE,TRUE),OR(exact(Metadata!J443,"Host-associated"),exact(Metadata!J443,"Free-living")))</f>
        <v>0</v>
      </c>
      <c r="AW443">
        <f>AND(IF(Metadata!K443="",FALSE,TRUE),OR(exact(Metadata!K443,"Animal"),exact(Metadata!K443,"Fungus"),exact(Metadata!K443,"Plant"),exact(Metadata!K443,"Saline"),exact(Metadata!K443,"Non-saline")))</f>
        <v>0</v>
      </c>
      <c r="AX443">
        <f>AND(IF(Metadata!L443="",FALSE,TRUE),OR(exact(Metadata!L443,"Plant secretion"),exact(Metadata!L443,"Plant rhizosphere"),exact(Metadata!L443,"Plant surface"),exact(Metadata!L443,"Plant corpus"),exact(Metadata!L443,"Fungus surface"),exact(Metadata!L443,"Fungus corpus"),exact(Metadata!L443,"Animal surface"),exact(Metadata!L443,"Animal proximal gut"),exact(Metadata!L443,"Animal corpus"),exact(Metadata!L443,"Animal distal gut"),exact(Metadata!L443,"Animal secretion"),exact(Metadata!L443,"Sub-surface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Y443">
        <f>IF(Metadata!M443="",FALSE,TRUE)</f>
        <v>0</v>
      </c>
      <c r="AZ443">
        <f>IF(Metadata!N443="",FALSE,TRUE)</f>
        <v>0</v>
      </c>
      <c r="BA443">
        <f>IF(Metadata!O443="",FALSE,TRUE)</f>
        <v>0</v>
      </c>
      <c r="BB443">
        <f>OR(AND(IF(Metadata!P443="",FALSE,TRUE),OR(exact(Metadata!P443,"not collected"),exact(Metadata!P443,"not provided"),exact(Metadata!P443,"restricted access"))),AND(IF(Metadata!P443="",FALSE,TRUE),OR(exact(Metadata!P443,"air"),exact(Metadata!P443,"built environment"),exact(Metadata!P443,"host-associated"),exact(Metadata!P443,"human-associated"),exact(Metadata!P443,"human-skin"),exact(Metadata!P443,"human-oral"),exact(Metadata!P443,"human-gut"),exact(Metadata!P443,"human-vaginal"),exact(Metadata!P443,"microbial mat/biofilm"),exact(Metadata!P443,"misc environment"),exact(Metadata!P443,"plant-associated"),exact(Metadata!P443,"sediment"),exact(Metadata!P443,"soil"),exact(Metadata!P443,"wastewater/sludge"),exact(Metadata!P443,"water"))))</f>
        <v>0</v>
      </c>
      <c r="BC443">
        <f>IF(Metadata!Q443="",FALSE,TRUE)</f>
        <v>0</v>
      </c>
      <c r="BD443">
        <f>IF(Metadata!R443="",FALSE,TRUE)</f>
        <v>0</v>
      </c>
      <c r="BE443">
        <f>OR(AND(IF(Metadata!S443="",FALSE,TRUE),OR(exact(Metadata!S443,"not collected"),exact(Metadata!S443,"not provided"),exact(Metadata!S443,"restricted access"))),AND(IF(Metadata!S443="",FALSE,ISNUMBER(VALUE(Metadata!S443))),Metadata!S443&gt;=-90.00,Metadata!S443&lt;=90.00))</f>
        <v>0</v>
      </c>
      <c r="BF443">
        <f>AND(IF(Metadata!T443="",FALSE,TRUE),exact(Metadata!T443,"Decimal degrees"))</f>
        <v>0</v>
      </c>
      <c r="BG443">
        <f>OR(AND(IF(Metadata!U443="",FALSE,TRUE),OR(exact(Metadata!U443,"not collected"),exact(Metadata!U443,"not provided"),exact(Metadata!U443,"restricted access"))),AND(IF(Metadata!U443="",FALSE,ISNUMBER(VALUE(Metadata!U443))),Metadata!U443&gt;=-180.00,Metadata!U443&lt;=180.00))</f>
        <v>0</v>
      </c>
      <c r="BH443">
        <f>AND(IF(Metadata!V443="",FALSE,TRUE),exact(Metadata!V443,"Decimal degrees"))</f>
        <v>0</v>
      </c>
      <c r="BI443">
        <f>IF(Metadata!W443="",FALSE,TRUE)</f>
        <v>0</v>
      </c>
      <c r="BJ443">
        <f>OR(AND(IF(Metadata!X443="",FALSE,TRUE),OR(exact(Metadata!X443,"not collected"),exact(Metadata!X443,"not provided"),exact(Metadata!X443,"restricted access"))),AND(IF(Metadata!X443="",FALSE,TRUE),OR(exact(Metadata!X443,"TRUE"),exact(Metadata!X443,"FALSE"))))</f>
        <v>0</v>
      </c>
      <c r="BK443">
        <f>AND(IF(Metadata!Y443="",FALSE,TRUE),exact(Metadata!Y443,"other"))</f>
        <v>0</v>
      </c>
      <c r="BL443">
        <f>IF(Metadata!Z443="",FALSE,TRUE)</f>
        <v>0</v>
      </c>
      <c r="BM443">
        <f>OR(AND(IF(Metadata!AA443="",FALSE,TRUE),OR(exact(Metadata!AA443,"not collected"),exact(Metadata!AA443,"not provided"))),AND(IF(Metadata!AA443="",FALSE,IF(ISERROR(INT(Metadata!AA443)),FALSE,INT(Metadata!AA443)=Metadata!AA443)),Metadata!AA443&gt;0))</f>
        <v>0</v>
      </c>
      <c r="BN443">
        <f>AND(IF(Metadata!AB443="",FALSE,TRUE),exact(Metadata!AB443,"Not applicable"))</f>
        <v>0</v>
      </c>
      <c r="BO443">
        <f>IF(Metadata!AC443="",FALSE,TRUE)</f>
        <v>0</v>
      </c>
    </row>
    <row r="444" spans="1:67">
      <c r="A444" s="5">
        <f>IF(B444=" "," ",HYPERLINK(CONCATENATE("#metadata!",ADDRESS(INDEX($AI$2:$AI$1001,MATCH(ROWS($AG$2:AG444),$AG$2:$AG$1001,0),0),1)),INDEX($AL$2:$AL$1001,MATCH(ROWS($AG$2:AG444),$AG$2:$AG$1001,0),0)))</f>
        <v>0</v>
      </c>
      <c r="B444" s="4">
        <f>IF(OR(INDEX($AH$2:$AH$1001,MATCH(ROWS($AG$2:AG444),$AG$2:$AG$1001,0),1)&gt;=100000,INDEX($AN$1005:$BO$1005,1,MATCH(COLUMNS($AN$1006:AN1006),$AN$1006:$BO$1006,0))&gt;=100000), " ",IF(INDEX($AN$2:$BO$1001,MATCH(ROWS($AG$2:AG444),$AG$2:$AG$1001,0),MATCH(COLUMNS($AN$1006:AN1006),$AN$1006:$BO$1006,0)), HYPERLINK("#",""), HYPERLINK(CONCATENATE("#Metadata!", ADDRESS(INDEX($AI$2:$AI$1001,MATCH(ROWS($AG$2:AG444),$AG$2:$AG$1001,0),0), INDEX($AN$1004:$BO$1004,1,MATCH(COLUMNS($AN$1006:AN1006),$AN$1006:$BO$1006,0)))),"Fix")))</f>
        <v>0</v>
      </c>
      <c r="C444" s="4">
        <f>IF(OR(INDEX($AH$2:$AH$1001,MATCH(ROWS($AG$2:AG444),$AG$2:$AG$1001,0),1)&gt;=100000,INDEX($AN$1005:$BO$1005,1,MATCH(COLUMNS($AN$1006:AO1006),$AN$1006:$BO$1006,0))&gt;=100000), " ",IF(INDEX($AN$2:$BO$1001,MATCH(ROWS($AG$2:AG444),$AG$2:$AG$1001,0),MATCH(COLUMNS($AN$1006:AO1006),$AN$1006:$BO$1006,0)), HYPERLINK("#",""), HYPERLINK(CONCATENATE("#Metadata!", ADDRESS(INDEX($AI$2:$AI$1001,MATCH(ROWS($AG$2:AG444),$AG$2:$AG$1001,0),0), INDEX($AN$1004:$BO$1004,1,MATCH(COLUMNS($AN$1006:AO1006),$AN$1006:$BO$1006,0)))),"Fix")))</f>
        <v>0</v>
      </c>
      <c r="D444" s="4">
        <f>IF(OR(INDEX($AH$2:$AH$1001,MATCH(ROWS($AG$2:AG444),$AG$2:$AG$1001,0),1)&gt;=100000,INDEX($AN$1005:$BO$1005,1,MATCH(COLUMNS($AN$1006:AP1006),$AN$1006:$BO$1006,0))&gt;=100000), " ",IF(INDEX($AN$2:$BO$1001,MATCH(ROWS($AG$2:AG444),$AG$2:$AG$1001,0),MATCH(COLUMNS($AN$1006:AP1006),$AN$1006:$BO$1006,0)), HYPERLINK("#",""), HYPERLINK(CONCATENATE("#Metadata!", ADDRESS(INDEX($AI$2:$AI$1001,MATCH(ROWS($AG$2:AG444),$AG$2:$AG$1001,0),0), INDEX($AN$1004:$BO$1004,1,MATCH(COLUMNS($AN$1006:AP1006),$AN$1006:$BO$1006,0)))),"Fix")))</f>
        <v>0</v>
      </c>
      <c r="E444" s="4">
        <f>IF(OR(INDEX($AH$2:$AH$1001,MATCH(ROWS($AG$2:AG444),$AG$2:$AG$1001,0),1)&gt;=100000,INDEX($AN$1005:$BO$1005,1,MATCH(COLUMNS($AN$1006:AQ1006),$AN$1006:$BO$1006,0))&gt;=100000), " ",IF(INDEX($AN$2:$BO$1001,MATCH(ROWS($AG$2:AG444),$AG$2:$AG$1001,0),MATCH(COLUMNS($AN$1006:AQ1006),$AN$1006:$BO$1006,0)), HYPERLINK("#",""), HYPERLINK(CONCATENATE("#Metadata!", ADDRESS(INDEX($AI$2:$AI$1001,MATCH(ROWS($AG$2:AG444),$AG$2:$AG$1001,0),0), INDEX($AN$1004:$BO$1004,1,MATCH(COLUMNS($AN$1006:AQ1006),$AN$1006:$BO$1006,0)))),"Fix")))</f>
        <v>0</v>
      </c>
      <c r="F444" s="4">
        <f>IF(OR(INDEX($AH$2:$AH$1001,MATCH(ROWS($AG$2:AG444),$AG$2:$AG$1001,0),1)&gt;=100000,INDEX($AN$1005:$BO$1005,1,MATCH(COLUMNS($AN$1006:AR1006),$AN$1006:$BO$1006,0))&gt;=100000), " ",IF(INDEX($AN$2:$BO$1001,MATCH(ROWS($AG$2:AG444),$AG$2:$AG$1001,0),MATCH(COLUMNS($AN$1006:AR1006),$AN$1006:$BO$1006,0)), HYPERLINK("#",""), HYPERLINK(CONCATENATE("#Metadata!", ADDRESS(INDEX($AI$2:$AI$1001,MATCH(ROWS($AG$2:AG444),$AG$2:$AG$1001,0),0), INDEX($AN$1004:$BO$1004,1,MATCH(COLUMNS($AN$1006:AR1006),$AN$1006:$BO$1006,0)))),"Fix")))</f>
        <v>0</v>
      </c>
      <c r="G444" s="4">
        <f>IF(OR(INDEX($AH$2:$AH$1001,MATCH(ROWS($AG$2:AG444),$AG$2:$AG$1001,0),1)&gt;=100000,INDEX($AN$1005:$BO$1005,1,MATCH(COLUMNS($AN$1006:AS1006),$AN$1006:$BO$1006,0))&gt;=100000), " ",IF(INDEX($AN$2:$BO$1001,MATCH(ROWS($AG$2:AG444),$AG$2:$AG$1001,0),MATCH(COLUMNS($AN$1006:AS1006),$AN$1006:$BO$1006,0)), HYPERLINK("#",""), HYPERLINK(CONCATENATE("#Metadata!", ADDRESS(INDEX($AI$2:$AI$1001,MATCH(ROWS($AG$2:AG444),$AG$2:$AG$1001,0),0), INDEX($AN$1004:$BO$1004,1,MATCH(COLUMNS($AN$1006:AS1006),$AN$1006:$BO$1006,0)))),"Fix")))</f>
        <v>0</v>
      </c>
      <c r="H444" s="4">
        <f>IF(OR(INDEX($AH$2:$AH$1001,MATCH(ROWS($AG$2:AG444),$AG$2:$AG$1001,0),1)&gt;=100000,INDEX($AN$1005:$BO$1005,1,MATCH(COLUMNS($AN$1006:AT1006),$AN$1006:$BO$1006,0))&gt;=100000), " ",IF(INDEX($AN$2:$BO$1001,MATCH(ROWS($AG$2:AG444),$AG$2:$AG$1001,0),MATCH(COLUMNS($AN$1006:AT1006),$AN$1006:$BO$1006,0)), HYPERLINK("#",""), HYPERLINK(CONCATENATE("#Metadata!", ADDRESS(INDEX($AI$2:$AI$1001,MATCH(ROWS($AG$2:AG444),$AG$2:$AG$1001,0),0), INDEX($AN$1004:$BO$1004,1,MATCH(COLUMNS($AN$1006:AT1006),$AN$1006:$BO$1006,0)))),"Fix")))</f>
        <v>0</v>
      </c>
      <c r="I444" s="4">
        <f>IF(OR(INDEX($AH$2:$AH$1001,MATCH(ROWS($AG$2:AG444),$AG$2:$AG$1001,0),1)&gt;=100000,INDEX($AN$1005:$BO$1005,1,MATCH(COLUMNS($AN$1006:AU1006),$AN$1006:$BO$1006,0))&gt;=100000), " ",IF(INDEX($AN$2:$BO$1001,MATCH(ROWS($AG$2:AG444),$AG$2:$AG$1001,0),MATCH(COLUMNS($AN$1006:AU1006),$AN$1006:$BO$1006,0)), HYPERLINK("#",""), HYPERLINK(CONCATENATE("#Metadata!", ADDRESS(INDEX($AI$2:$AI$1001,MATCH(ROWS($AG$2:AG444),$AG$2:$AG$1001,0),0), INDEX($AN$1004:$BO$1004,1,MATCH(COLUMNS($AN$1006:AU1006),$AN$1006:$BO$1006,0)))),"Fix")))</f>
        <v>0</v>
      </c>
      <c r="J444" s="4">
        <f>IF(OR(INDEX($AH$2:$AH$1001,MATCH(ROWS($AG$2:AG444),$AG$2:$AG$1001,0),1)&gt;=100000,INDEX($AN$1005:$BO$1005,1,MATCH(COLUMNS($AN$1006:AV1006),$AN$1006:$BO$1006,0))&gt;=100000), " ",IF(INDEX($AN$2:$BO$1001,MATCH(ROWS($AG$2:AG444),$AG$2:$AG$1001,0),MATCH(COLUMNS($AN$1006:AV1006),$AN$1006:$BO$1006,0)), HYPERLINK("#",""), HYPERLINK(CONCATENATE("#Metadata!", ADDRESS(INDEX($AI$2:$AI$1001,MATCH(ROWS($AG$2:AG444),$AG$2:$AG$1001,0),0), INDEX($AN$1004:$BO$1004,1,MATCH(COLUMNS($AN$1006:AV1006),$AN$1006:$BO$1006,0)))),"Fix")))</f>
        <v>0</v>
      </c>
      <c r="K444" s="4">
        <f>IF(OR(INDEX($AH$2:$AH$1001,MATCH(ROWS($AG$2:AG444),$AG$2:$AG$1001,0),1)&gt;=100000,INDEX($AN$1005:$BO$1005,1,MATCH(COLUMNS($AN$1006:AW1006),$AN$1006:$BO$1006,0))&gt;=100000), " ",IF(INDEX($AN$2:$BO$1001,MATCH(ROWS($AG$2:AG444),$AG$2:$AG$1001,0),MATCH(COLUMNS($AN$1006:AW1006),$AN$1006:$BO$1006,0)), HYPERLINK("#",""), HYPERLINK(CONCATENATE("#Metadata!", ADDRESS(INDEX($AI$2:$AI$1001,MATCH(ROWS($AG$2:AG444),$AG$2:$AG$1001,0),0), INDEX($AN$1004:$BO$1004,1,MATCH(COLUMNS($AN$1006:AW1006),$AN$1006:$BO$1006,0)))),"Fix")))</f>
        <v>0</v>
      </c>
      <c r="L444" s="4">
        <f>IF(OR(INDEX($AH$2:$AH$1001,MATCH(ROWS($AG$2:AG444),$AG$2:$AG$1001,0),1)&gt;=100000,INDEX($AN$1005:$BO$1005,1,MATCH(COLUMNS($AN$1006:AX1006),$AN$1006:$BO$1006,0))&gt;=100000), " ",IF(INDEX($AN$2:$BO$1001,MATCH(ROWS($AG$2:AG444),$AG$2:$AG$1001,0),MATCH(COLUMNS($AN$1006:AX1006),$AN$1006:$BO$1006,0)), HYPERLINK("#",""), HYPERLINK(CONCATENATE("#Metadata!", ADDRESS(INDEX($AI$2:$AI$1001,MATCH(ROWS($AG$2:AG444),$AG$2:$AG$1001,0),0), INDEX($AN$1004:$BO$1004,1,MATCH(COLUMNS($AN$1006:AX1006),$AN$1006:$BO$1006,0)))),"Fix")))</f>
        <v>0</v>
      </c>
      <c r="M444" s="4">
        <f>IF(OR(INDEX($AH$2:$AH$1001,MATCH(ROWS($AG$2:AG444),$AG$2:$AG$1001,0),1)&gt;=100000,INDEX($AN$1005:$BO$1005,1,MATCH(COLUMNS($AN$1006:AY1006),$AN$1006:$BO$1006,0))&gt;=100000), " ",IF(INDEX($AN$2:$BO$1001,MATCH(ROWS($AG$2:AG444),$AG$2:$AG$1001,0),MATCH(COLUMNS($AN$1006:AY1006),$AN$1006:$BO$1006,0)), HYPERLINK("#",""), HYPERLINK(CONCATENATE("#Metadata!", ADDRESS(INDEX($AI$2:$AI$1001,MATCH(ROWS($AG$2:AG444),$AG$2:$AG$1001,0),0), INDEX($AN$1004:$BO$1004,1,MATCH(COLUMNS($AN$1006:AY1006),$AN$1006:$BO$1006,0)))),"Fix")))</f>
        <v>0</v>
      </c>
      <c r="N444" s="4">
        <f>IF(OR(INDEX($AH$2:$AH$1001,MATCH(ROWS($AG$2:AG444),$AG$2:$AG$1001,0),1)&gt;=100000,INDEX($AN$1005:$BO$1005,1,MATCH(COLUMNS($AN$1006:AZ1006),$AN$1006:$BO$1006,0))&gt;=100000), " ",IF(INDEX($AN$2:$BO$1001,MATCH(ROWS($AG$2:AG444),$AG$2:$AG$1001,0),MATCH(COLUMNS($AN$1006:AZ1006),$AN$1006:$BO$1006,0)), HYPERLINK("#",""), HYPERLINK(CONCATENATE("#Metadata!", ADDRESS(INDEX($AI$2:$AI$1001,MATCH(ROWS($AG$2:AG444),$AG$2:$AG$1001,0),0), INDEX($AN$1004:$BO$1004,1,MATCH(COLUMNS($AN$1006:AZ1006),$AN$1006:$BO$1006,0)))),"Fix")))</f>
        <v>0</v>
      </c>
      <c r="O444" s="4">
        <f>IF(OR(INDEX($AH$2:$AH$1001,MATCH(ROWS($AG$2:AG444),$AG$2:$AG$1001,0),1)&gt;=100000,INDEX($AN$1005:$BO$1005,1,MATCH(COLUMNS($AN$1006:BA1006),$AN$1006:$BO$1006,0))&gt;=100000), " ",IF(INDEX($AN$2:$BO$1001,MATCH(ROWS($AG$2:AG444),$AG$2:$AG$1001,0),MATCH(COLUMNS($AN$1006:BA1006),$AN$1006:$BO$1006,0)), HYPERLINK("#",""), HYPERLINK(CONCATENATE("#Metadata!", ADDRESS(INDEX($AI$2:$AI$1001,MATCH(ROWS($AG$2:AG444),$AG$2:$AG$1001,0),0), INDEX($AN$1004:$BO$1004,1,MATCH(COLUMNS($AN$1006:BA1006),$AN$1006:$BO$1006,0)))),"Fix")))</f>
        <v>0</v>
      </c>
      <c r="P444" s="4">
        <f>IF(OR(INDEX($AH$2:$AH$1001,MATCH(ROWS($AG$2:AG444),$AG$2:$AG$1001,0),1)&gt;=100000,INDEX($AN$1005:$BO$1005,1,MATCH(COLUMNS($AN$1006:BB1006),$AN$1006:$BO$1006,0))&gt;=100000), " ",IF(INDEX($AN$2:$BO$1001,MATCH(ROWS($AG$2:AG444),$AG$2:$AG$1001,0),MATCH(COLUMNS($AN$1006:BB1006),$AN$1006:$BO$1006,0)), HYPERLINK("#",""), HYPERLINK(CONCATENATE("#Metadata!", ADDRESS(INDEX($AI$2:$AI$1001,MATCH(ROWS($AG$2:AG444),$AG$2:$AG$1001,0),0), INDEX($AN$1004:$BO$1004,1,MATCH(COLUMNS($AN$1006:BB1006),$AN$1006:$BO$1006,0)))),"Fix")))</f>
        <v>0</v>
      </c>
      <c r="Q444" s="4">
        <f>IF(OR(INDEX($AH$2:$AH$1001,MATCH(ROWS($AG$2:AG444),$AG$2:$AG$1001,0),1)&gt;=100000,INDEX($AN$1005:$BO$1005,1,MATCH(COLUMNS($AN$1006:BC1006),$AN$1006:$BO$1006,0))&gt;=100000), " ",IF(INDEX($AN$2:$BO$1001,MATCH(ROWS($AG$2:AG444),$AG$2:$AG$1001,0),MATCH(COLUMNS($AN$1006:BC1006),$AN$1006:$BO$1006,0)), HYPERLINK("#",""), HYPERLINK(CONCATENATE("#Metadata!", ADDRESS(INDEX($AI$2:$AI$1001,MATCH(ROWS($AG$2:AG444),$AG$2:$AG$1001,0),0), INDEX($AN$1004:$BO$1004,1,MATCH(COLUMNS($AN$1006:BC1006),$AN$1006:$BO$1006,0)))),"Fix")))</f>
        <v>0</v>
      </c>
      <c r="R444" s="4">
        <f>IF(OR(INDEX($AH$2:$AH$1001,MATCH(ROWS($AG$2:AG444),$AG$2:$AG$1001,0),1)&gt;=100000,INDEX($AN$1005:$BO$1005,1,MATCH(COLUMNS($AN$1006:BD1006),$AN$1006:$BO$1006,0))&gt;=100000), " ",IF(INDEX($AN$2:$BO$1001,MATCH(ROWS($AG$2:AG444),$AG$2:$AG$1001,0),MATCH(COLUMNS($AN$1006:BD1006),$AN$1006:$BO$1006,0)), HYPERLINK("#",""), HYPERLINK(CONCATENATE("#Metadata!", ADDRESS(INDEX($AI$2:$AI$1001,MATCH(ROWS($AG$2:AG444),$AG$2:$AG$1001,0),0), INDEX($AN$1004:$BO$1004,1,MATCH(COLUMNS($AN$1006:BD1006),$AN$1006:$BO$1006,0)))),"Fix")))</f>
        <v>0</v>
      </c>
      <c r="S444" s="4">
        <f>IF(OR(INDEX($AH$2:$AH$1001,MATCH(ROWS($AG$2:AG444),$AG$2:$AG$1001,0),1)&gt;=100000,INDEX($AN$1005:$BO$1005,1,MATCH(COLUMNS($AN$1006:BE1006),$AN$1006:$BO$1006,0))&gt;=100000), " ",IF(INDEX($AN$2:$BO$1001,MATCH(ROWS($AG$2:AG444),$AG$2:$AG$1001,0),MATCH(COLUMNS($AN$1006:BE1006),$AN$1006:$BO$1006,0)), HYPERLINK("#",""), HYPERLINK(CONCATENATE("#Metadata!", ADDRESS(INDEX($AI$2:$AI$1001,MATCH(ROWS($AG$2:AG444),$AG$2:$AG$1001,0),0), INDEX($AN$1004:$BO$1004,1,MATCH(COLUMNS($AN$1006:BE1006),$AN$1006:$BO$1006,0)))),"Fix")))</f>
        <v>0</v>
      </c>
      <c r="T444" s="4">
        <f>IF(OR(INDEX($AH$2:$AH$1001,MATCH(ROWS($AG$2:AG444),$AG$2:$AG$1001,0),1)&gt;=100000,INDEX($AN$1005:$BO$1005,1,MATCH(COLUMNS($AN$1006:BF1006),$AN$1006:$BO$1006,0))&gt;=100000), " ",IF(INDEX($AN$2:$BO$1001,MATCH(ROWS($AG$2:AG444),$AG$2:$AG$1001,0),MATCH(COLUMNS($AN$1006:BF1006),$AN$1006:$BO$1006,0)), HYPERLINK("#",""), HYPERLINK(CONCATENATE("#Metadata!", ADDRESS(INDEX($AI$2:$AI$1001,MATCH(ROWS($AG$2:AG444),$AG$2:$AG$1001,0),0), INDEX($AN$1004:$BO$1004,1,MATCH(COLUMNS($AN$1006:BF1006),$AN$1006:$BO$1006,0)))),"Fix")))</f>
        <v>0</v>
      </c>
      <c r="U444" s="4">
        <f>IF(OR(INDEX($AH$2:$AH$1001,MATCH(ROWS($AG$2:AG444),$AG$2:$AG$1001,0),1)&gt;=100000,INDEX($AN$1005:$BO$1005,1,MATCH(COLUMNS($AN$1006:BG1006),$AN$1006:$BO$1006,0))&gt;=100000), " ",IF(INDEX($AN$2:$BO$1001,MATCH(ROWS($AG$2:AG444),$AG$2:$AG$1001,0),MATCH(COLUMNS($AN$1006:BG1006),$AN$1006:$BO$1006,0)), HYPERLINK("#",""), HYPERLINK(CONCATENATE("#Metadata!", ADDRESS(INDEX($AI$2:$AI$1001,MATCH(ROWS($AG$2:AG444),$AG$2:$AG$1001,0),0), INDEX($AN$1004:$BO$1004,1,MATCH(COLUMNS($AN$1006:BG1006),$AN$1006:$BO$1006,0)))),"Fix")))</f>
        <v>0</v>
      </c>
      <c r="V444" s="4">
        <f>IF(OR(INDEX($AH$2:$AH$1001,MATCH(ROWS($AG$2:AG444),$AG$2:$AG$1001,0),1)&gt;=100000,INDEX($AN$1005:$BO$1005,1,MATCH(COLUMNS($AN$1006:BH1006),$AN$1006:$BO$1006,0))&gt;=100000), " ",IF(INDEX($AN$2:$BO$1001,MATCH(ROWS($AG$2:AG444),$AG$2:$AG$1001,0),MATCH(COLUMNS($AN$1006:BH1006),$AN$1006:$BO$1006,0)), HYPERLINK("#",""), HYPERLINK(CONCATENATE("#Metadata!", ADDRESS(INDEX($AI$2:$AI$1001,MATCH(ROWS($AG$2:AG444),$AG$2:$AG$1001,0),0), INDEX($AN$1004:$BO$1004,1,MATCH(COLUMNS($AN$1006:BH1006),$AN$1006:$BO$1006,0)))),"Fix")))</f>
        <v>0</v>
      </c>
      <c r="W444" s="4">
        <f>IF(OR(INDEX($AH$2:$AH$1001,MATCH(ROWS($AG$2:AG444),$AG$2:$AG$1001,0),1)&gt;=100000,INDEX($AN$1005:$BO$1005,1,MATCH(COLUMNS($AN$1006:BI1006),$AN$1006:$BO$1006,0))&gt;=100000), " ",IF(INDEX($AN$2:$BO$1001,MATCH(ROWS($AG$2:AG444),$AG$2:$AG$1001,0),MATCH(COLUMNS($AN$1006:BI1006),$AN$1006:$BO$1006,0)), HYPERLINK("#",""), HYPERLINK(CONCATENATE("#Metadata!", ADDRESS(INDEX($AI$2:$AI$1001,MATCH(ROWS($AG$2:AG444),$AG$2:$AG$1001,0),0), INDEX($AN$1004:$BO$1004,1,MATCH(COLUMNS($AN$1006:BI1006),$AN$1006:$BO$1006,0)))),"Fix")))</f>
        <v>0</v>
      </c>
      <c r="X444" s="4">
        <f>IF(OR(INDEX($AH$2:$AH$1001,MATCH(ROWS($AG$2:AG444),$AG$2:$AG$1001,0),1)&gt;=100000,INDEX($AN$1005:$BO$1005,1,MATCH(COLUMNS($AN$1006:BJ1006),$AN$1006:$BO$1006,0))&gt;=100000), " ",IF(INDEX($AN$2:$BO$1001,MATCH(ROWS($AG$2:AG444),$AG$2:$AG$1001,0),MATCH(COLUMNS($AN$1006:BJ1006),$AN$1006:$BO$1006,0)), HYPERLINK("#",""), HYPERLINK(CONCATENATE("#Metadata!", ADDRESS(INDEX($AI$2:$AI$1001,MATCH(ROWS($AG$2:AG444),$AG$2:$AG$1001,0),0), INDEX($AN$1004:$BO$1004,1,MATCH(COLUMNS($AN$1006:BJ1006),$AN$1006:$BO$1006,0)))),"Fix")))</f>
        <v>0</v>
      </c>
      <c r="Y444" s="4">
        <f>IF(OR(INDEX($AH$2:$AH$1001,MATCH(ROWS($AG$2:AG444),$AG$2:$AG$1001,0),1)&gt;=100000,INDEX($AN$1005:$BO$1005,1,MATCH(COLUMNS($AN$1006:BK1006),$AN$1006:$BO$1006,0))&gt;=100000), " ",IF(INDEX($AN$2:$BO$1001,MATCH(ROWS($AG$2:AG444),$AG$2:$AG$1001,0),MATCH(COLUMNS($AN$1006:BK1006),$AN$1006:$BO$1006,0)), HYPERLINK("#",""), HYPERLINK(CONCATENATE("#Metadata!", ADDRESS(INDEX($AI$2:$AI$1001,MATCH(ROWS($AG$2:AG444),$AG$2:$AG$1001,0),0), INDEX($AN$1004:$BO$1004,1,MATCH(COLUMNS($AN$1006:BK1006),$AN$1006:$BO$1006,0)))),"Fix")))</f>
        <v>0</v>
      </c>
      <c r="Z444" s="4">
        <f>IF(OR(INDEX($AH$2:$AH$1001,MATCH(ROWS($AG$2:AG444),$AG$2:$AG$1001,0),1)&gt;=100000,INDEX($AN$1005:$BO$1005,1,MATCH(COLUMNS($AN$1006:BL1006),$AN$1006:$BO$1006,0))&gt;=100000), " ",IF(INDEX($AN$2:$BO$1001,MATCH(ROWS($AG$2:AG444),$AG$2:$AG$1001,0),MATCH(COLUMNS($AN$1006:BL1006),$AN$1006:$BO$1006,0)), HYPERLINK("#",""), HYPERLINK(CONCATENATE("#Metadata!", ADDRESS(INDEX($AI$2:$AI$1001,MATCH(ROWS($AG$2:AG444),$AG$2:$AG$1001,0),0), INDEX($AN$1004:$BO$1004,1,MATCH(COLUMNS($AN$1006:BL1006),$AN$1006:$BO$1006,0)))),"Fix")))</f>
        <v>0</v>
      </c>
      <c r="AA444" s="4">
        <f>IF(OR(INDEX($AH$2:$AH$1001,MATCH(ROWS($AG$2:AG444),$AG$2:$AG$1001,0),1)&gt;=100000,INDEX($AN$1005:$BO$1005,1,MATCH(COLUMNS($AN$1006:BM1006),$AN$1006:$BO$1006,0))&gt;=100000), " ",IF(INDEX($AN$2:$BO$1001,MATCH(ROWS($AG$2:AG444),$AG$2:$AG$1001,0),MATCH(COLUMNS($AN$1006:BM1006),$AN$1006:$BO$1006,0)), HYPERLINK("#",""), HYPERLINK(CONCATENATE("#Metadata!", ADDRESS(INDEX($AI$2:$AI$1001,MATCH(ROWS($AG$2:AG444),$AG$2:$AG$1001,0),0), INDEX($AN$1004:$BO$1004,1,MATCH(COLUMNS($AN$1006:BM1006),$AN$1006:$BO$1006,0)))),"Fix")))</f>
        <v>0</v>
      </c>
      <c r="AB444" s="4">
        <f>IF(OR(INDEX($AH$2:$AH$1001,MATCH(ROWS($AG$2:AG444),$AG$2:$AG$1001,0),1)&gt;=100000,INDEX($AN$1005:$BO$1005,1,MATCH(COLUMNS($AN$1006:BN1006),$AN$1006:$BO$1006,0))&gt;=100000), " ",IF(INDEX($AN$2:$BO$1001,MATCH(ROWS($AG$2:AG444),$AG$2:$AG$1001,0),MATCH(COLUMNS($AN$1006:BN1006),$AN$1006:$BO$1006,0)), HYPERLINK("#",""), HYPERLINK(CONCATENATE("#Metadata!", ADDRESS(INDEX($AI$2:$AI$1001,MATCH(ROWS($AG$2:AG444),$AG$2:$AG$1001,0),0), INDEX($AN$1004:$BO$1004,1,MATCH(COLUMNS($AN$1006:BN1006),$AN$1006:$BO$1006,0)))),"Fix")))</f>
        <v>0</v>
      </c>
      <c r="AC444" s="4">
        <f>IF(OR(INDEX($AH$2:$AH$1001,MATCH(ROWS($AG$2:AG444),$AG$2:$AG$1001,0),1)&gt;=100000,INDEX($AN$1005:$BO$1005,1,MATCH(COLUMNS($AN$1006:BO1006),$AN$1006:$BO$1006,0))&gt;=100000), " ",IF(INDEX($AN$2:$BO$1001,MATCH(ROWS($AG$2:AG444),$AG$2:$AG$1001,0),MATCH(COLUMNS($AN$1006:BO1006),$AN$1006:$BO$1006,0)), HYPERLINK("#",""), HYPERLINK(CONCATENATE("#Metadata!", ADDRESS(INDEX($AI$2:$AI$1001,MATCH(ROWS($AG$2:AG444),$AG$2:$AG$1001,0),0), INDEX($AN$1004:$BO$1004,1,MATCH(COLUMNS($AN$1006:BO1006),$AN$1006:$BO$1006,0)))),"Fix")))</f>
        <v>0</v>
      </c>
      <c r="AG444">
        <v>0</v>
      </c>
      <c r="AH444">
        <v>0</v>
      </c>
      <c r="AI444">
        <v>0</v>
      </c>
      <c r="AJ444">
        <f>IF(AK444,TRUE,AND(AN444:BO444))</f>
        <v>0</v>
      </c>
      <c r="AK444">
        <f>COUNTBLANK(Metadata!B444:AC444)=COLUMNS(Metadata!B444:AC444)</f>
        <v>0</v>
      </c>
      <c r="AL444">
        <v>0</v>
      </c>
      <c r="AN444">
        <f>AND(IF(Metadata!B444="",FALSE,TRUE),COUNTIF(Metadata!B:B, Metadata!B444) = 1,NOT(ISERROR(SUMPRODUCT(SEARCH(MID(Metadata!B444,ROW(INDIRECT("1:"&amp;LEN(Metadata!B444))), 1),"0123456789abcdefghijklmnopqrstuvwxyzABCDEFGHIJKLMNOPQRSTUVWXYZ.")))))</f>
        <v>0</v>
      </c>
      <c r="AO444">
        <f>IF(Metadata!C444="",FALSE,TRUE)</f>
        <v>0</v>
      </c>
      <c r="AP444">
        <f>IF(Metadata!D444="",FALSE,TRUE)</f>
        <v>0</v>
      </c>
      <c r="AQ444">
        <f>OR(AND(IF(Metadata!E444="",FALSE,TRUE),OR(exact(Metadata!E444,"not collected"),exact(Metadata!E444,"not provided"),exact(Metadata!E444,"restricted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R444">
        <f>IF(Metadata!F444="",FALSE,TRUE)</f>
        <v>0</v>
      </c>
      <c r="AS444">
        <f>OR(AND(IF(Metadata!G444="",FALSE,TRUE),OR(exact(Metadata!G444,"not collected"),exact(Metadata!G444,"not provided"))),AND(IF(Metadata!G444="",FALSE,TRUE),OR(exact(Metadata!G444,"TRUE"),exact(Metadata!G444,"FALSE"))))</f>
        <v>0</v>
      </c>
      <c r="AT444">
        <f>OR(AND(IF(Metadata!H444="",FALSE,TRUE),OR(exact(Metadata!H444,"not collected"),exact(Metadata!H444,"not provided"),exact(Metadata!H444,"restricted access"))),AND(IF(Metadata!H444="",FALSE,ISNUMBER(VALUE(Metadata!H444))),Metadata!H444&gt;=-413.0))</f>
        <v>0</v>
      </c>
      <c r="AU444">
        <f>AND(IF(Metadata!I444="",FALSE,TRUE),exact(Metadata!I444,"meters"))</f>
        <v>0</v>
      </c>
      <c r="AV444">
        <f>AND(IF(Metadata!J444="",FALSE,TRUE),OR(exact(Metadata!J444,"Host-associated"),exact(Metadata!J444,"Free-living")))</f>
        <v>0</v>
      </c>
      <c r="AW444">
        <f>AND(IF(Metadata!K444="",FALSE,TRUE),OR(exact(Metadata!K444,"Animal"),exact(Metadata!K444,"Fungus"),exact(Metadata!K444,"Plant"),exact(Metadata!K444,"Saline"),exact(Metadata!K444,"Non-saline")))</f>
        <v>0</v>
      </c>
      <c r="AX444">
        <f>AND(IF(Metadata!L444="",FALSE,TRUE),OR(exact(Metadata!L444,"Plant secretion"),exact(Metadata!L444,"Plant rhizosphere"),exact(Metadata!L444,"Plant surface"),exact(Metadata!L444,"Plant corpus"),exact(Metadata!L444,"Fungus surface"),exact(Metadata!L444,"Fungus corpus"),exact(Metadata!L444,"Animal surface"),exact(Metadata!L444,"Animal proximal gut"),exact(Metadata!L444,"Animal corpus"),exact(Metadata!L444,"Animal distal gut"),exact(Metadata!L444,"Animal secretion"),exact(Metadata!L444,"Sub-surface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Y444">
        <f>IF(Metadata!M444="",FALSE,TRUE)</f>
        <v>0</v>
      </c>
      <c r="AZ444">
        <f>IF(Metadata!N444="",FALSE,TRUE)</f>
        <v>0</v>
      </c>
      <c r="BA444">
        <f>IF(Metadata!O444="",FALSE,TRUE)</f>
        <v>0</v>
      </c>
      <c r="BB444">
        <f>OR(AND(IF(Metadata!P444="",FALSE,TRUE),OR(exact(Metadata!P444,"not collected"),exact(Metadata!P444,"not provided"),exact(Metadata!P444,"restricted access"))),AND(IF(Metadata!P444="",FALSE,TRUE),OR(exact(Metadata!P444,"air"),exact(Metadata!P444,"built environment"),exact(Metadata!P444,"host-associated"),exact(Metadata!P444,"human-associated"),exact(Metadata!P444,"human-skin"),exact(Metadata!P444,"human-oral"),exact(Metadata!P444,"human-gut"),exact(Metadata!P444,"human-vaginal"),exact(Metadata!P444,"microbial mat/biofilm"),exact(Metadata!P444,"misc environment"),exact(Metadata!P444,"plant-associated"),exact(Metadata!P444,"sediment"),exact(Metadata!P444,"soil"),exact(Metadata!P444,"wastewater/sludge"),exact(Metadata!P444,"water"))))</f>
        <v>0</v>
      </c>
      <c r="BC444">
        <f>IF(Metadata!Q444="",FALSE,TRUE)</f>
        <v>0</v>
      </c>
      <c r="BD444">
        <f>IF(Metadata!R444="",FALSE,TRUE)</f>
        <v>0</v>
      </c>
      <c r="BE444">
        <f>OR(AND(IF(Metadata!S444="",FALSE,TRUE),OR(exact(Metadata!S444,"not collected"),exact(Metadata!S444,"not provided"),exact(Metadata!S444,"restricted access"))),AND(IF(Metadata!S444="",FALSE,ISNUMBER(VALUE(Metadata!S444))),Metadata!S444&gt;=-90.00,Metadata!S444&lt;=90.00))</f>
        <v>0</v>
      </c>
      <c r="BF444">
        <f>AND(IF(Metadata!T444="",FALSE,TRUE),exact(Metadata!T444,"Decimal degrees"))</f>
        <v>0</v>
      </c>
      <c r="BG444">
        <f>OR(AND(IF(Metadata!U444="",FALSE,TRUE),OR(exact(Metadata!U444,"not collected"),exact(Metadata!U444,"not provided"),exact(Metadata!U444,"restricted access"))),AND(IF(Metadata!U444="",FALSE,ISNUMBER(VALUE(Metadata!U444))),Metadata!U444&gt;=-180.00,Metadata!U444&lt;=180.00))</f>
        <v>0</v>
      </c>
      <c r="BH444">
        <f>AND(IF(Metadata!V444="",FALSE,TRUE),exact(Metadata!V444,"Decimal degrees"))</f>
        <v>0</v>
      </c>
      <c r="BI444">
        <f>IF(Metadata!W444="",FALSE,TRUE)</f>
        <v>0</v>
      </c>
      <c r="BJ444">
        <f>OR(AND(IF(Metadata!X444="",FALSE,TRUE),OR(exact(Metadata!X444,"not collected"),exact(Metadata!X444,"not provided"),exact(Metadata!X444,"restricted access"))),AND(IF(Metadata!X444="",FALSE,TRUE),OR(exact(Metadata!X444,"TRUE"),exact(Metadata!X444,"FALSE"))))</f>
        <v>0</v>
      </c>
      <c r="BK444">
        <f>AND(IF(Metadata!Y444="",FALSE,TRUE),exact(Metadata!Y444,"other"))</f>
        <v>0</v>
      </c>
      <c r="BL444">
        <f>IF(Metadata!Z444="",FALSE,TRUE)</f>
        <v>0</v>
      </c>
      <c r="BM444">
        <f>OR(AND(IF(Metadata!AA444="",FALSE,TRUE),OR(exact(Metadata!AA444,"not collected"),exact(Metadata!AA444,"not provided"))),AND(IF(Metadata!AA444="",FALSE,IF(ISERROR(INT(Metadata!AA444)),FALSE,INT(Metadata!AA444)=Metadata!AA444)),Metadata!AA444&gt;0))</f>
        <v>0</v>
      </c>
      <c r="BN444">
        <f>AND(IF(Metadata!AB444="",FALSE,TRUE),exact(Metadata!AB444,"Not applicable"))</f>
        <v>0</v>
      </c>
      <c r="BO444">
        <f>IF(Metadata!AC444="",FALSE,TRUE)</f>
        <v>0</v>
      </c>
    </row>
    <row r="445" spans="1:67">
      <c r="A445" s="5">
        <f>IF(B445=" "," ",HYPERLINK(CONCATENATE("#metadata!",ADDRESS(INDEX($AI$2:$AI$1001,MATCH(ROWS($AG$2:AG445),$AG$2:$AG$1001,0),0),1)),INDEX($AL$2:$AL$1001,MATCH(ROWS($AG$2:AG445),$AG$2:$AG$1001,0),0)))</f>
        <v>0</v>
      </c>
      <c r="B445" s="4">
        <f>IF(OR(INDEX($AH$2:$AH$1001,MATCH(ROWS($AG$2:AG445),$AG$2:$AG$1001,0),1)&gt;=100000,INDEX($AN$1005:$BO$1005,1,MATCH(COLUMNS($AN$1006:AN1006),$AN$1006:$BO$1006,0))&gt;=100000), " ",IF(INDEX($AN$2:$BO$1001,MATCH(ROWS($AG$2:AG445),$AG$2:$AG$1001,0),MATCH(COLUMNS($AN$1006:AN1006),$AN$1006:$BO$1006,0)), HYPERLINK("#",""), HYPERLINK(CONCATENATE("#Metadata!", ADDRESS(INDEX($AI$2:$AI$1001,MATCH(ROWS($AG$2:AG445),$AG$2:$AG$1001,0),0), INDEX($AN$1004:$BO$1004,1,MATCH(COLUMNS($AN$1006:AN1006),$AN$1006:$BO$1006,0)))),"Fix")))</f>
        <v>0</v>
      </c>
      <c r="C445" s="4">
        <f>IF(OR(INDEX($AH$2:$AH$1001,MATCH(ROWS($AG$2:AG445),$AG$2:$AG$1001,0),1)&gt;=100000,INDEX($AN$1005:$BO$1005,1,MATCH(COLUMNS($AN$1006:AO1006),$AN$1006:$BO$1006,0))&gt;=100000), " ",IF(INDEX($AN$2:$BO$1001,MATCH(ROWS($AG$2:AG445),$AG$2:$AG$1001,0),MATCH(COLUMNS($AN$1006:AO1006),$AN$1006:$BO$1006,0)), HYPERLINK("#",""), HYPERLINK(CONCATENATE("#Metadata!", ADDRESS(INDEX($AI$2:$AI$1001,MATCH(ROWS($AG$2:AG445),$AG$2:$AG$1001,0),0), INDEX($AN$1004:$BO$1004,1,MATCH(COLUMNS($AN$1006:AO1006),$AN$1006:$BO$1006,0)))),"Fix")))</f>
        <v>0</v>
      </c>
      <c r="D445" s="4">
        <f>IF(OR(INDEX($AH$2:$AH$1001,MATCH(ROWS($AG$2:AG445),$AG$2:$AG$1001,0),1)&gt;=100000,INDEX($AN$1005:$BO$1005,1,MATCH(COLUMNS($AN$1006:AP1006),$AN$1006:$BO$1006,0))&gt;=100000), " ",IF(INDEX($AN$2:$BO$1001,MATCH(ROWS($AG$2:AG445),$AG$2:$AG$1001,0),MATCH(COLUMNS($AN$1006:AP1006),$AN$1006:$BO$1006,0)), HYPERLINK("#",""), HYPERLINK(CONCATENATE("#Metadata!", ADDRESS(INDEX($AI$2:$AI$1001,MATCH(ROWS($AG$2:AG445),$AG$2:$AG$1001,0),0), INDEX($AN$1004:$BO$1004,1,MATCH(COLUMNS($AN$1006:AP1006),$AN$1006:$BO$1006,0)))),"Fix")))</f>
        <v>0</v>
      </c>
      <c r="E445" s="4">
        <f>IF(OR(INDEX($AH$2:$AH$1001,MATCH(ROWS($AG$2:AG445),$AG$2:$AG$1001,0),1)&gt;=100000,INDEX($AN$1005:$BO$1005,1,MATCH(COLUMNS($AN$1006:AQ1006),$AN$1006:$BO$1006,0))&gt;=100000), " ",IF(INDEX($AN$2:$BO$1001,MATCH(ROWS($AG$2:AG445),$AG$2:$AG$1001,0),MATCH(COLUMNS($AN$1006:AQ1006),$AN$1006:$BO$1006,0)), HYPERLINK("#",""), HYPERLINK(CONCATENATE("#Metadata!", ADDRESS(INDEX($AI$2:$AI$1001,MATCH(ROWS($AG$2:AG445),$AG$2:$AG$1001,0),0), INDEX($AN$1004:$BO$1004,1,MATCH(COLUMNS($AN$1006:AQ1006),$AN$1006:$BO$1006,0)))),"Fix")))</f>
        <v>0</v>
      </c>
      <c r="F445" s="4">
        <f>IF(OR(INDEX($AH$2:$AH$1001,MATCH(ROWS($AG$2:AG445),$AG$2:$AG$1001,0),1)&gt;=100000,INDEX($AN$1005:$BO$1005,1,MATCH(COLUMNS($AN$1006:AR1006),$AN$1006:$BO$1006,0))&gt;=100000), " ",IF(INDEX($AN$2:$BO$1001,MATCH(ROWS($AG$2:AG445),$AG$2:$AG$1001,0),MATCH(COLUMNS($AN$1006:AR1006),$AN$1006:$BO$1006,0)), HYPERLINK("#",""), HYPERLINK(CONCATENATE("#Metadata!", ADDRESS(INDEX($AI$2:$AI$1001,MATCH(ROWS($AG$2:AG445),$AG$2:$AG$1001,0),0), INDEX($AN$1004:$BO$1004,1,MATCH(COLUMNS($AN$1006:AR1006),$AN$1006:$BO$1006,0)))),"Fix")))</f>
        <v>0</v>
      </c>
      <c r="G445" s="4">
        <f>IF(OR(INDEX($AH$2:$AH$1001,MATCH(ROWS($AG$2:AG445),$AG$2:$AG$1001,0),1)&gt;=100000,INDEX($AN$1005:$BO$1005,1,MATCH(COLUMNS($AN$1006:AS1006),$AN$1006:$BO$1006,0))&gt;=100000), " ",IF(INDEX($AN$2:$BO$1001,MATCH(ROWS($AG$2:AG445),$AG$2:$AG$1001,0),MATCH(COLUMNS($AN$1006:AS1006),$AN$1006:$BO$1006,0)), HYPERLINK("#",""), HYPERLINK(CONCATENATE("#Metadata!", ADDRESS(INDEX($AI$2:$AI$1001,MATCH(ROWS($AG$2:AG445),$AG$2:$AG$1001,0),0), INDEX($AN$1004:$BO$1004,1,MATCH(COLUMNS($AN$1006:AS1006),$AN$1006:$BO$1006,0)))),"Fix")))</f>
        <v>0</v>
      </c>
      <c r="H445" s="4">
        <f>IF(OR(INDEX($AH$2:$AH$1001,MATCH(ROWS($AG$2:AG445),$AG$2:$AG$1001,0),1)&gt;=100000,INDEX($AN$1005:$BO$1005,1,MATCH(COLUMNS($AN$1006:AT1006),$AN$1006:$BO$1006,0))&gt;=100000), " ",IF(INDEX($AN$2:$BO$1001,MATCH(ROWS($AG$2:AG445),$AG$2:$AG$1001,0),MATCH(COLUMNS($AN$1006:AT1006),$AN$1006:$BO$1006,0)), HYPERLINK("#",""), HYPERLINK(CONCATENATE("#Metadata!", ADDRESS(INDEX($AI$2:$AI$1001,MATCH(ROWS($AG$2:AG445),$AG$2:$AG$1001,0),0), INDEX($AN$1004:$BO$1004,1,MATCH(COLUMNS($AN$1006:AT1006),$AN$1006:$BO$1006,0)))),"Fix")))</f>
        <v>0</v>
      </c>
      <c r="I445" s="4">
        <f>IF(OR(INDEX($AH$2:$AH$1001,MATCH(ROWS($AG$2:AG445),$AG$2:$AG$1001,0),1)&gt;=100000,INDEX($AN$1005:$BO$1005,1,MATCH(COLUMNS($AN$1006:AU1006),$AN$1006:$BO$1006,0))&gt;=100000), " ",IF(INDEX($AN$2:$BO$1001,MATCH(ROWS($AG$2:AG445),$AG$2:$AG$1001,0),MATCH(COLUMNS($AN$1006:AU1006),$AN$1006:$BO$1006,0)), HYPERLINK("#",""), HYPERLINK(CONCATENATE("#Metadata!", ADDRESS(INDEX($AI$2:$AI$1001,MATCH(ROWS($AG$2:AG445),$AG$2:$AG$1001,0),0), INDEX($AN$1004:$BO$1004,1,MATCH(COLUMNS($AN$1006:AU1006),$AN$1006:$BO$1006,0)))),"Fix")))</f>
        <v>0</v>
      </c>
      <c r="J445" s="4">
        <f>IF(OR(INDEX($AH$2:$AH$1001,MATCH(ROWS($AG$2:AG445),$AG$2:$AG$1001,0),1)&gt;=100000,INDEX($AN$1005:$BO$1005,1,MATCH(COLUMNS($AN$1006:AV1006),$AN$1006:$BO$1006,0))&gt;=100000), " ",IF(INDEX($AN$2:$BO$1001,MATCH(ROWS($AG$2:AG445),$AG$2:$AG$1001,0),MATCH(COLUMNS($AN$1006:AV1006),$AN$1006:$BO$1006,0)), HYPERLINK("#",""), HYPERLINK(CONCATENATE("#Metadata!", ADDRESS(INDEX($AI$2:$AI$1001,MATCH(ROWS($AG$2:AG445),$AG$2:$AG$1001,0),0), INDEX($AN$1004:$BO$1004,1,MATCH(COLUMNS($AN$1006:AV1006),$AN$1006:$BO$1006,0)))),"Fix")))</f>
        <v>0</v>
      </c>
      <c r="K445" s="4">
        <f>IF(OR(INDEX($AH$2:$AH$1001,MATCH(ROWS($AG$2:AG445),$AG$2:$AG$1001,0),1)&gt;=100000,INDEX($AN$1005:$BO$1005,1,MATCH(COLUMNS($AN$1006:AW1006),$AN$1006:$BO$1006,0))&gt;=100000), " ",IF(INDEX($AN$2:$BO$1001,MATCH(ROWS($AG$2:AG445),$AG$2:$AG$1001,0),MATCH(COLUMNS($AN$1006:AW1006),$AN$1006:$BO$1006,0)), HYPERLINK("#",""), HYPERLINK(CONCATENATE("#Metadata!", ADDRESS(INDEX($AI$2:$AI$1001,MATCH(ROWS($AG$2:AG445),$AG$2:$AG$1001,0),0), INDEX($AN$1004:$BO$1004,1,MATCH(COLUMNS($AN$1006:AW1006),$AN$1006:$BO$1006,0)))),"Fix")))</f>
        <v>0</v>
      </c>
      <c r="L445" s="4">
        <f>IF(OR(INDEX($AH$2:$AH$1001,MATCH(ROWS($AG$2:AG445),$AG$2:$AG$1001,0),1)&gt;=100000,INDEX($AN$1005:$BO$1005,1,MATCH(COLUMNS($AN$1006:AX1006),$AN$1006:$BO$1006,0))&gt;=100000), " ",IF(INDEX($AN$2:$BO$1001,MATCH(ROWS($AG$2:AG445),$AG$2:$AG$1001,0),MATCH(COLUMNS($AN$1006:AX1006),$AN$1006:$BO$1006,0)), HYPERLINK("#",""), HYPERLINK(CONCATENATE("#Metadata!", ADDRESS(INDEX($AI$2:$AI$1001,MATCH(ROWS($AG$2:AG445),$AG$2:$AG$1001,0),0), INDEX($AN$1004:$BO$1004,1,MATCH(COLUMNS($AN$1006:AX1006),$AN$1006:$BO$1006,0)))),"Fix")))</f>
        <v>0</v>
      </c>
      <c r="M445" s="4">
        <f>IF(OR(INDEX($AH$2:$AH$1001,MATCH(ROWS($AG$2:AG445),$AG$2:$AG$1001,0),1)&gt;=100000,INDEX($AN$1005:$BO$1005,1,MATCH(COLUMNS($AN$1006:AY1006),$AN$1006:$BO$1006,0))&gt;=100000), " ",IF(INDEX($AN$2:$BO$1001,MATCH(ROWS($AG$2:AG445),$AG$2:$AG$1001,0),MATCH(COLUMNS($AN$1006:AY1006),$AN$1006:$BO$1006,0)), HYPERLINK("#",""), HYPERLINK(CONCATENATE("#Metadata!", ADDRESS(INDEX($AI$2:$AI$1001,MATCH(ROWS($AG$2:AG445),$AG$2:$AG$1001,0),0), INDEX($AN$1004:$BO$1004,1,MATCH(COLUMNS($AN$1006:AY1006),$AN$1006:$BO$1006,0)))),"Fix")))</f>
        <v>0</v>
      </c>
      <c r="N445" s="4">
        <f>IF(OR(INDEX($AH$2:$AH$1001,MATCH(ROWS($AG$2:AG445),$AG$2:$AG$1001,0),1)&gt;=100000,INDEX($AN$1005:$BO$1005,1,MATCH(COLUMNS($AN$1006:AZ1006),$AN$1006:$BO$1006,0))&gt;=100000), " ",IF(INDEX($AN$2:$BO$1001,MATCH(ROWS($AG$2:AG445),$AG$2:$AG$1001,0),MATCH(COLUMNS($AN$1006:AZ1006),$AN$1006:$BO$1006,0)), HYPERLINK("#",""), HYPERLINK(CONCATENATE("#Metadata!", ADDRESS(INDEX($AI$2:$AI$1001,MATCH(ROWS($AG$2:AG445),$AG$2:$AG$1001,0),0), INDEX($AN$1004:$BO$1004,1,MATCH(COLUMNS($AN$1006:AZ1006),$AN$1006:$BO$1006,0)))),"Fix")))</f>
        <v>0</v>
      </c>
      <c r="O445" s="4">
        <f>IF(OR(INDEX($AH$2:$AH$1001,MATCH(ROWS($AG$2:AG445),$AG$2:$AG$1001,0),1)&gt;=100000,INDEX($AN$1005:$BO$1005,1,MATCH(COLUMNS($AN$1006:BA1006),$AN$1006:$BO$1006,0))&gt;=100000), " ",IF(INDEX($AN$2:$BO$1001,MATCH(ROWS($AG$2:AG445),$AG$2:$AG$1001,0),MATCH(COLUMNS($AN$1006:BA1006),$AN$1006:$BO$1006,0)), HYPERLINK("#",""), HYPERLINK(CONCATENATE("#Metadata!", ADDRESS(INDEX($AI$2:$AI$1001,MATCH(ROWS($AG$2:AG445),$AG$2:$AG$1001,0),0), INDEX($AN$1004:$BO$1004,1,MATCH(COLUMNS($AN$1006:BA1006),$AN$1006:$BO$1006,0)))),"Fix")))</f>
        <v>0</v>
      </c>
      <c r="P445" s="4">
        <f>IF(OR(INDEX($AH$2:$AH$1001,MATCH(ROWS($AG$2:AG445),$AG$2:$AG$1001,0),1)&gt;=100000,INDEX($AN$1005:$BO$1005,1,MATCH(COLUMNS($AN$1006:BB1006),$AN$1006:$BO$1006,0))&gt;=100000), " ",IF(INDEX($AN$2:$BO$1001,MATCH(ROWS($AG$2:AG445),$AG$2:$AG$1001,0),MATCH(COLUMNS($AN$1006:BB1006),$AN$1006:$BO$1006,0)), HYPERLINK("#",""), HYPERLINK(CONCATENATE("#Metadata!", ADDRESS(INDEX($AI$2:$AI$1001,MATCH(ROWS($AG$2:AG445),$AG$2:$AG$1001,0),0), INDEX($AN$1004:$BO$1004,1,MATCH(COLUMNS($AN$1006:BB1006),$AN$1006:$BO$1006,0)))),"Fix")))</f>
        <v>0</v>
      </c>
      <c r="Q445" s="4">
        <f>IF(OR(INDEX($AH$2:$AH$1001,MATCH(ROWS($AG$2:AG445),$AG$2:$AG$1001,0),1)&gt;=100000,INDEX($AN$1005:$BO$1005,1,MATCH(COLUMNS($AN$1006:BC1006),$AN$1006:$BO$1006,0))&gt;=100000), " ",IF(INDEX($AN$2:$BO$1001,MATCH(ROWS($AG$2:AG445),$AG$2:$AG$1001,0),MATCH(COLUMNS($AN$1006:BC1006),$AN$1006:$BO$1006,0)), HYPERLINK("#",""), HYPERLINK(CONCATENATE("#Metadata!", ADDRESS(INDEX($AI$2:$AI$1001,MATCH(ROWS($AG$2:AG445),$AG$2:$AG$1001,0),0), INDEX($AN$1004:$BO$1004,1,MATCH(COLUMNS($AN$1006:BC1006),$AN$1006:$BO$1006,0)))),"Fix")))</f>
        <v>0</v>
      </c>
      <c r="R445" s="4">
        <f>IF(OR(INDEX($AH$2:$AH$1001,MATCH(ROWS($AG$2:AG445),$AG$2:$AG$1001,0),1)&gt;=100000,INDEX($AN$1005:$BO$1005,1,MATCH(COLUMNS($AN$1006:BD1006),$AN$1006:$BO$1006,0))&gt;=100000), " ",IF(INDEX($AN$2:$BO$1001,MATCH(ROWS($AG$2:AG445),$AG$2:$AG$1001,0),MATCH(COLUMNS($AN$1006:BD1006),$AN$1006:$BO$1006,0)), HYPERLINK("#",""), HYPERLINK(CONCATENATE("#Metadata!", ADDRESS(INDEX($AI$2:$AI$1001,MATCH(ROWS($AG$2:AG445),$AG$2:$AG$1001,0),0), INDEX($AN$1004:$BO$1004,1,MATCH(COLUMNS($AN$1006:BD1006),$AN$1006:$BO$1006,0)))),"Fix")))</f>
        <v>0</v>
      </c>
      <c r="S445" s="4">
        <f>IF(OR(INDEX($AH$2:$AH$1001,MATCH(ROWS($AG$2:AG445),$AG$2:$AG$1001,0),1)&gt;=100000,INDEX($AN$1005:$BO$1005,1,MATCH(COLUMNS($AN$1006:BE1006),$AN$1006:$BO$1006,0))&gt;=100000), " ",IF(INDEX($AN$2:$BO$1001,MATCH(ROWS($AG$2:AG445),$AG$2:$AG$1001,0),MATCH(COLUMNS($AN$1006:BE1006),$AN$1006:$BO$1006,0)), HYPERLINK("#",""), HYPERLINK(CONCATENATE("#Metadata!", ADDRESS(INDEX($AI$2:$AI$1001,MATCH(ROWS($AG$2:AG445),$AG$2:$AG$1001,0),0), INDEX($AN$1004:$BO$1004,1,MATCH(COLUMNS($AN$1006:BE1006),$AN$1006:$BO$1006,0)))),"Fix")))</f>
        <v>0</v>
      </c>
      <c r="T445" s="4">
        <f>IF(OR(INDEX($AH$2:$AH$1001,MATCH(ROWS($AG$2:AG445),$AG$2:$AG$1001,0),1)&gt;=100000,INDEX($AN$1005:$BO$1005,1,MATCH(COLUMNS($AN$1006:BF1006),$AN$1006:$BO$1006,0))&gt;=100000), " ",IF(INDEX($AN$2:$BO$1001,MATCH(ROWS($AG$2:AG445),$AG$2:$AG$1001,0),MATCH(COLUMNS($AN$1006:BF1006),$AN$1006:$BO$1006,0)), HYPERLINK("#",""), HYPERLINK(CONCATENATE("#Metadata!", ADDRESS(INDEX($AI$2:$AI$1001,MATCH(ROWS($AG$2:AG445),$AG$2:$AG$1001,0),0), INDEX($AN$1004:$BO$1004,1,MATCH(COLUMNS($AN$1006:BF1006),$AN$1006:$BO$1006,0)))),"Fix")))</f>
        <v>0</v>
      </c>
      <c r="U445" s="4">
        <f>IF(OR(INDEX($AH$2:$AH$1001,MATCH(ROWS($AG$2:AG445),$AG$2:$AG$1001,0),1)&gt;=100000,INDEX($AN$1005:$BO$1005,1,MATCH(COLUMNS($AN$1006:BG1006),$AN$1006:$BO$1006,0))&gt;=100000), " ",IF(INDEX($AN$2:$BO$1001,MATCH(ROWS($AG$2:AG445),$AG$2:$AG$1001,0),MATCH(COLUMNS($AN$1006:BG1006),$AN$1006:$BO$1006,0)), HYPERLINK("#",""), HYPERLINK(CONCATENATE("#Metadata!", ADDRESS(INDEX($AI$2:$AI$1001,MATCH(ROWS($AG$2:AG445),$AG$2:$AG$1001,0),0), INDEX($AN$1004:$BO$1004,1,MATCH(COLUMNS($AN$1006:BG1006),$AN$1006:$BO$1006,0)))),"Fix")))</f>
        <v>0</v>
      </c>
      <c r="V445" s="4">
        <f>IF(OR(INDEX($AH$2:$AH$1001,MATCH(ROWS($AG$2:AG445),$AG$2:$AG$1001,0),1)&gt;=100000,INDEX($AN$1005:$BO$1005,1,MATCH(COLUMNS($AN$1006:BH1006),$AN$1006:$BO$1006,0))&gt;=100000), " ",IF(INDEX($AN$2:$BO$1001,MATCH(ROWS($AG$2:AG445),$AG$2:$AG$1001,0),MATCH(COLUMNS($AN$1006:BH1006),$AN$1006:$BO$1006,0)), HYPERLINK("#",""), HYPERLINK(CONCATENATE("#Metadata!", ADDRESS(INDEX($AI$2:$AI$1001,MATCH(ROWS($AG$2:AG445),$AG$2:$AG$1001,0),0), INDEX($AN$1004:$BO$1004,1,MATCH(COLUMNS($AN$1006:BH1006),$AN$1006:$BO$1006,0)))),"Fix")))</f>
        <v>0</v>
      </c>
      <c r="W445" s="4">
        <f>IF(OR(INDEX($AH$2:$AH$1001,MATCH(ROWS($AG$2:AG445),$AG$2:$AG$1001,0),1)&gt;=100000,INDEX($AN$1005:$BO$1005,1,MATCH(COLUMNS($AN$1006:BI1006),$AN$1006:$BO$1006,0))&gt;=100000), " ",IF(INDEX($AN$2:$BO$1001,MATCH(ROWS($AG$2:AG445),$AG$2:$AG$1001,0),MATCH(COLUMNS($AN$1006:BI1006),$AN$1006:$BO$1006,0)), HYPERLINK("#",""), HYPERLINK(CONCATENATE("#Metadata!", ADDRESS(INDEX($AI$2:$AI$1001,MATCH(ROWS($AG$2:AG445),$AG$2:$AG$1001,0),0), INDEX($AN$1004:$BO$1004,1,MATCH(COLUMNS($AN$1006:BI1006),$AN$1006:$BO$1006,0)))),"Fix")))</f>
        <v>0</v>
      </c>
      <c r="X445" s="4">
        <f>IF(OR(INDEX($AH$2:$AH$1001,MATCH(ROWS($AG$2:AG445),$AG$2:$AG$1001,0),1)&gt;=100000,INDEX($AN$1005:$BO$1005,1,MATCH(COLUMNS($AN$1006:BJ1006),$AN$1006:$BO$1006,0))&gt;=100000), " ",IF(INDEX($AN$2:$BO$1001,MATCH(ROWS($AG$2:AG445),$AG$2:$AG$1001,0),MATCH(COLUMNS($AN$1006:BJ1006),$AN$1006:$BO$1006,0)), HYPERLINK("#",""), HYPERLINK(CONCATENATE("#Metadata!", ADDRESS(INDEX($AI$2:$AI$1001,MATCH(ROWS($AG$2:AG445),$AG$2:$AG$1001,0),0), INDEX($AN$1004:$BO$1004,1,MATCH(COLUMNS($AN$1006:BJ1006),$AN$1006:$BO$1006,0)))),"Fix")))</f>
        <v>0</v>
      </c>
      <c r="Y445" s="4">
        <f>IF(OR(INDEX($AH$2:$AH$1001,MATCH(ROWS($AG$2:AG445),$AG$2:$AG$1001,0),1)&gt;=100000,INDEX($AN$1005:$BO$1005,1,MATCH(COLUMNS($AN$1006:BK1006),$AN$1006:$BO$1006,0))&gt;=100000), " ",IF(INDEX($AN$2:$BO$1001,MATCH(ROWS($AG$2:AG445),$AG$2:$AG$1001,0),MATCH(COLUMNS($AN$1006:BK1006),$AN$1006:$BO$1006,0)), HYPERLINK("#",""), HYPERLINK(CONCATENATE("#Metadata!", ADDRESS(INDEX($AI$2:$AI$1001,MATCH(ROWS($AG$2:AG445),$AG$2:$AG$1001,0),0), INDEX($AN$1004:$BO$1004,1,MATCH(COLUMNS($AN$1006:BK1006),$AN$1006:$BO$1006,0)))),"Fix")))</f>
        <v>0</v>
      </c>
      <c r="Z445" s="4">
        <f>IF(OR(INDEX($AH$2:$AH$1001,MATCH(ROWS($AG$2:AG445),$AG$2:$AG$1001,0),1)&gt;=100000,INDEX($AN$1005:$BO$1005,1,MATCH(COLUMNS($AN$1006:BL1006),$AN$1006:$BO$1006,0))&gt;=100000), " ",IF(INDEX($AN$2:$BO$1001,MATCH(ROWS($AG$2:AG445),$AG$2:$AG$1001,0),MATCH(COLUMNS($AN$1006:BL1006),$AN$1006:$BO$1006,0)), HYPERLINK("#",""), HYPERLINK(CONCATENATE("#Metadata!", ADDRESS(INDEX($AI$2:$AI$1001,MATCH(ROWS($AG$2:AG445),$AG$2:$AG$1001,0),0), INDEX($AN$1004:$BO$1004,1,MATCH(COLUMNS($AN$1006:BL1006),$AN$1006:$BO$1006,0)))),"Fix")))</f>
        <v>0</v>
      </c>
      <c r="AA445" s="4">
        <f>IF(OR(INDEX($AH$2:$AH$1001,MATCH(ROWS($AG$2:AG445),$AG$2:$AG$1001,0),1)&gt;=100000,INDEX($AN$1005:$BO$1005,1,MATCH(COLUMNS($AN$1006:BM1006),$AN$1006:$BO$1006,0))&gt;=100000), " ",IF(INDEX($AN$2:$BO$1001,MATCH(ROWS($AG$2:AG445),$AG$2:$AG$1001,0),MATCH(COLUMNS($AN$1006:BM1006),$AN$1006:$BO$1006,0)), HYPERLINK("#",""), HYPERLINK(CONCATENATE("#Metadata!", ADDRESS(INDEX($AI$2:$AI$1001,MATCH(ROWS($AG$2:AG445),$AG$2:$AG$1001,0),0), INDEX($AN$1004:$BO$1004,1,MATCH(COLUMNS($AN$1006:BM1006),$AN$1006:$BO$1006,0)))),"Fix")))</f>
        <v>0</v>
      </c>
      <c r="AB445" s="4">
        <f>IF(OR(INDEX($AH$2:$AH$1001,MATCH(ROWS($AG$2:AG445),$AG$2:$AG$1001,0),1)&gt;=100000,INDEX($AN$1005:$BO$1005,1,MATCH(COLUMNS($AN$1006:BN1006),$AN$1006:$BO$1006,0))&gt;=100000), " ",IF(INDEX($AN$2:$BO$1001,MATCH(ROWS($AG$2:AG445),$AG$2:$AG$1001,0),MATCH(COLUMNS($AN$1006:BN1006),$AN$1006:$BO$1006,0)), HYPERLINK("#",""), HYPERLINK(CONCATENATE("#Metadata!", ADDRESS(INDEX($AI$2:$AI$1001,MATCH(ROWS($AG$2:AG445),$AG$2:$AG$1001,0),0), INDEX($AN$1004:$BO$1004,1,MATCH(COLUMNS($AN$1006:BN1006),$AN$1006:$BO$1006,0)))),"Fix")))</f>
        <v>0</v>
      </c>
      <c r="AC445" s="4">
        <f>IF(OR(INDEX($AH$2:$AH$1001,MATCH(ROWS($AG$2:AG445),$AG$2:$AG$1001,0),1)&gt;=100000,INDEX($AN$1005:$BO$1005,1,MATCH(COLUMNS($AN$1006:BO1006),$AN$1006:$BO$1006,0))&gt;=100000), " ",IF(INDEX($AN$2:$BO$1001,MATCH(ROWS($AG$2:AG445),$AG$2:$AG$1001,0),MATCH(COLUMNS($AN$1006:BO1006),$AN$1006:$BO$1006,0)), HYPERLINK("#",""), HYPERLINK(CONCATENATE("#Metadata!", ADDRESS(INDEX($AI$2:$AI$1001,MATCH(ROWS($AG$2:AG445),$AG$2:$AG$1001,0),0), INDEX($AN$1004:$BO$1004,1,MATCH(COLUMNS($AN$1006:BO1006),$AN$1006:$BO$1006,0)))),"Fix")))</f>
        <v>0</v>
      </c>
      <c r="AG445">
        <v>0</v>
      </c>
      <c r="AH445">
        <v>0</v>
      </c>
      <c r="AI445">
        <v>0</v>
      </c>
      <c r="AJ445">
        <f>IF(AK445,TRUE,AND(AN445:BO445))</f>
        <v>0</v>
      </c>
      <c r="AK445">
        <f>COUNTBLANK(Metadata!B445:AC445)=COLUMNS(Metadata!B445:AC445)</f>
        <v>0</v>
      </c>
      <c r="AL445">
        <v>0</v>
      </c>
      <c r="AN445">
        <f>AND(IF(Metadata!B445="",FALSE,TRUE),COUNTIF(Metadata!B:B, Metadata!B445) = 1,NOT(ISERROR(SUMPRODUCT(SEARCH(MID(Metadata!B445,ROW(INDIRECT("1:"&amp;LEN(Metadata!B445))), 1),"0123456789abcdefghijklmnopqrstuvwxyzABCDEFGHIJKLMNOPQRSTUVWXYZ.")))))</f>
        <v>0</v>
      </c>
      <c r="AO445">
        <f>IF(Metadata!C445="",FALSE,TRUE)</f>
        <v>0</v>
      </c>
      <c r="AP445">
        <f>IF(Metadata!D445="",FALSE,TRUE)</f>
        <v>0</v>
      </c>
      <c r="AQ445">
        <f>OR(AND(IF(Metadata!E445="",FALSE,TRUE),OR(exact(Metadata!E445,"not collected"),exact(Metadata!E445,"not provided"),exact(Metadata!E445,"restricted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R445">
        <f>IF(Metadata!F445="",FALSE,TRUE)</f>
        <v>0</v>
      </c>
      <c r="AS445">
        <f>OR(AND(IF(Metadata!G445="",FALSE,TRUE),OR(exact(Metadata!G445,"not collected"),exact(Metadata!G445,"not provided"))),AND(IF(Metadata!G445="",FALSE,TRUE),OR(exact(Metadata!G445,"TRUE"),exact(Metadata!G445,"FALSE"))))</f>
        <v>0</v>
      </c>
      <c r="AT445">
        <f>OR(AND(IF(Metadata!H445="",FALSE,TRUE),OR(exact(Metadata!H445,"not collected"),exact(Metadata!H445,"not provided"),exact(Metadata!H445,"restricted access"))),AND(IF(Metadata!H445="",FALSE,ISNUMBER(VALUE(Metadata!H445))),Metadata!H445&gt;=-413.0))</f>
        <v>0</v>
      </c>
      <c r="AU445">
        <f>AND(IF(Metadata!I445="",FALSE,TRUE),exact(Metadata!I445,"meters"))</f>
        <v>0</v>
      </c>
      <c r="AV445">
        <f>AND(IF(Metadata!J445="",FALSE,TRUE),OR(exact(Metadata!J445,"Host-associated"),exact(Metadata!J445,"Free-living")))</f>
        <v>0</v>
      </c>
      <c r="AW445">
        <f>AND(IF(Metadata!K445="",FALSE,TRUE),OR(exact(Metadata!K445,"Animal"),exact(Metadata!K445,"Fungus"),exact(Metadata!K445,"Plant"),exact(Metadata!K445,"Saline"),exact(Metadata!K445,"Non-saline")))</f>
        <v>0</v>
      </c>
      <c r="AX445">
        <f>AND(IF(Metadata!L445="",FALSE,TRUE),OR(exact(Metadata!L445,"Plant secretion"),exact(Metadata!L445,"Plant rhizosphere"),exact(Metadata!L445,"Plant surface"),exact(Metadata!L445,"Plant corpus"),exact(Metadata!L445,"Fungus surface"),exact(Metadata!L445,"Fungus corpus"),exact(Metadata!L445,"Animal surface"),exact(Metadata!L445,"Animal proximal gut"),exact(Metadata!L445,"Animal corpus"),exact(Metadata!L445,"Animal distal gut"),exact(Metadata!L445,"Animal secretion"),exact(Metadata!L445,"Sub-surface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Y445">
        <f>IF(Metadata!M445="",FALSE,TRUE)</f>
        <v>0</v>
      </c>
      <c r="AZ445">
        <f>IF(Metadata!N445="",FALSE,TRUE)</f>
        <v>0</v>
      </c>
      <c r="BA445">
        <f>IF(Metadata!O445="",FALSE,TRUE)</f>
        <v>0</v>
      </c>
      <c r="BB445">
        <f>OR(AND(IF(Metadata!P445="",FALSE,TRUE),OR(exact(Metadata!P445,"not collected"),exact(Metadata!P445,"not provided"),exact(Metadata!P445,"restricted access"))),AND(IF(Metadata!P445="",FALSE,TRUE),OR(exact(Metadata!P445,"air"),exact(Metadata!P445,"built environment"),exact(Metadata!P445,"host-associated"),exact(Metadata!P445,"human-associated"),exact(Metadata!P445,"human-skin"),exact(Metadata!P445,"human-oral"),exact(Metadata!P445,"human-gut"),exact(Metadata!P445,"human-vaginal"),exact(Metadata!P445,"microbial mat/biofilm"),exact(Metadata!P445,"misc environment"),exact(Metadata!P445,"plant-associated"),exact(Metadata!P445,"sediment"),exact(Metadata!P445,"soil"),exact(Metadata!P445,"wastewater/sludge"),exact(Metadata!P445,"water"))))</f>
        <v>0</v>
      </c>
      <c r="BC445">
        <f>IF(Metadata!Q445="",FALSE,TRUE)</f>
        <v>0</v>
      </c>
      <c r="BD445">
        <f>IF(Metadata!R445="",FALSE,TRUE)</f>
        <v>0</v>
      </c>
      <c r="BE445">
        <f>OR(AND(IF(Metadata!S445="",FALSE,TRUE),OR(exact(Metadata!S445,"not collected"),exact(Metadata!S445,"not provided"),exact(Metadata!S445,"restricted access"))),AND(IF(Metadata!S445="",FALSE,ISNUMBER(VALUE(Metadata!S445))),Metadata!S445&gt;=-90.00,Metadata!S445&lt;=90.00))</f>
        <v>0</v>
      </c>
      <c r="BF445">
        <f>AND(IF(Metadata!T445="",FALSE,TRUE),exact(Metadata!T445,"Decimal degrees"))</f>
        <v>0</v>
      </c>
      <c r="BG445">
        <f>OR(AND(IF(Metadata!U445="",FALSE,TRUE),OR(exact(Metadata!U445,"not collected"),exact(Metadata!U445,"not provided"),exact(Metadata!U445,"restricted access"))),AND(IF(Metadata!U445="",FALSE,ISNUMBER(VALUE(Metadata!U445))),Metadata!U445&gt;=-180.00,Metadata!U445&lt;=180.00))</f>
        <v>0</v>
      </c>
      <c r="BH445">
        <f>AND(IF(Metadata!V445="",FALSE,TRUE),exact(Metadata!V445,"Decimal degrees"))</f>
        <v>0</v>
      </c>
      <c r="BI445">
        <f>IF(Metadata!W445="",FALSE,TRUE)</f>
        <v>0</v>
      </c>
      <c r="BJ445">
        <f>OR(AND(IF(Metadata!X445="",FALSE,TRUE),OR(exact(Metadata!X445,"not collected"),exact(Metadata!X445,"not provided"),exact(Metadata!X445,"restricted access"))),AND(IF(Metadata!X445="",FALSE,TRUE),OR(exact(Metadata!X445,"TRUE"),exact(Metadata!X445,"FALSE"))))</f>
        <v>0</v>
      </c>
      <c r="BK445">
        <f>AND(IF(Metadata!Y445="",FALSE,TRUE),exact(Metadata!Y445,"other"))</f>
        <v>0</v>
      </c>
      <c r="BL445">
        <f>IF(Metadata!Z445="",FALSE,TRUE)</f>
        <v>0</v>
      </c>
      <c r="BM445">
        <f>OR(AND(IF(Metadata!AA445="",FALSE,TRUE),OR(exact(Metadata!AA445,"not collected"),exact(Metadata!AA445,"not provided"))),AND(IF(Metadata!AA445="",FALSE,IF(ISERROR(INT(Metadata!AA445)),FALSE,INT(Metadata!AA445)=Metadata!AA445)),Metadata!AA445&gt;0))</f>
        <v>0</v>
      </c>
      <c r="BN445">
        <f>AND(IF(Metadata!AB445="",FALSE,TRUE),exact(Metadata!AB445,"Not applicable"))</f>
        <v>0</v>
      </c>
      <c r="BO445">
        <f>IF(Metadata!AC445="",FALSE,TRUE)</f>
        <v>0</v>
      </c>
    </row>
    <row r="446" spans="1:67">
      <c r="A446" s="5">
        <f>IF(B446=" "," ",HYPERLINK(CONCATENATE("#metadata!",ADDRESS(INDEX($AI$2:$AI$1001,MATCH(ROWS($AG$2:AG446),$AG$2:$AG$1001,0),0),1)),INDEX($AL$2:$AL$1001,MATCH(ROWS($AG$2:AG446),$AG$2:$AG$1001,0),0)))</f>
        <v>0</v>
      </c>
      <c r="B446" s="4">
        <f>IF(OR(INDEX($AH$2:$AH$1001,MATCH(ROWS($AG$2:AG446),$AG$2:$AG$1001,0),1)&gt;=100000,INDEX($AN$1005:$BO$1005,1,MATCH(COLUMNS($AN$1006:AN1006),$AN$1006:$BO$1006,0))&gt;=100000), " ",IF(INDEX($AN$2:$BO$1001,MATCH(ROWS($AG$2:AG446),$AG$2:$AG$1001,0),MATCH(COLUMNS($AN$1006:AN1006),$AN$1006:$BO$1006,0)), HYPERLINK("#",""), HYPERLINK(CONCATENATE("#Metadata!", ADDRESS(INDEX($AI$2:$AI$1001,MATCH(ROWS($AG$2:AG446),$AG$2:$AG$1001,0),0), INDEX($AN$1004:$BO$1004,1,MATCH(COLUMNS($AN$1006:AN1006),$AN$1006:$BO$1006,0)))),"Fix")))</f>
        <v>0</v>
      </c>
      <c r="C446" s="4">
        <f>IF(OR(INDEX($AH$2:$AH$1001,MATCH(ROWS($AG$2:AG446),$AG$2:$AG$1001,0),1)&gt;=100000,INDEX($AN$1005:$BO$1005,1,MATCH(COLUMNS($AN$1006:AO1006),$AN$1006:$BO$1006,0))&gt;=100000), " ",IF(INDEX($AN$2:$BO$1001,MATCH(ROWS($AG$2:AG446),$AG$2:$AG$1001,0),MATCH(COLUMNS($AN$1006:AO1006),$AN$1006:$BO$1006,0)), HYPERLINK("#",""), HYPERLINK(CONCATENATE("#Metadata!", ADDRESS(INDEX($AI$2:$AI$1001,MATCH(ROWS($AG$2:AG446),$AG$2:$AG$1001,0),0), INDEX($AN$1004:$BO$1004,1,MATCH(COLUMNS($AN$1006:AO1006),$AN$1006:$BO$1006,0)))),"Fix")))</f>
        <v>0</v>
      </c>
      <c r="D446" s="4">
        <f>IF(OR(INDEX($AH$2:$AH$1001,MATCH(ROWS($AG$2:AG446),$AG$2:$AG$1001,0),1)&gt;=100000,INDEX($AN$1005:$BO$1005,1,MATCH(COLUMNS($AN$1006:AP1006),$AN$1006:$BO$1006,0))&gt;=100000), " ",IF(INDEX($AN$2:$BO$1001,MATCH(ROWS($AG$2:AG446),$AG$2:$AG$1001,0),MATCH(COLUMNS($AN$1006:AP1006),$AN$1006:$BO$1006,0)), HYPERLINK("#",""), HYPERLINK(CONCATENATE("#Metadata!", ADDRESS(INDEX($AI$2:$AI$1001,MATCH(ROWS($AG$2:AG446),$AG$2:$AG$1001,0),0), INDEX($AN$1004:$BO$1004,1,MATCH(COLUMNS($AN$1006:AP1006),$AN$1006:$BO$1006,0)))),"Fix")))</f>
        <v>0</v>
      </c>
      <c r="E446" s="4">
        <f>IF(OR(INDEX($AH$2:$AH$1001,MATCH(ROWS($AG$2:AG446),$AG$2:$AG$1001,0),1)&gt;=100000,INDEX($AN$1005:$BO$1005,1,MATCH(COLUMNS($AN$1006:AQ1006),$AN$1006:$BO$1006,0))&gt;=100000), " ",IF(INDEX($AN$2:$BO$1001,MATCH(ROWS($AG$2:AG446),$AG$2:$AG$1001,0),MATCH(COLUMNS($AN$1006:AQ1006),$AN$1006:$BO$1006,0)), HYPERLINK("#",""), HYPERLINK(CONCATENATE("#Metadata!", ADDRESS(INDEX($AI$2:$AI$1001,MATCH(ROWS($AG$2:AG446),$AG$2:$AG$1001,0),0), INDEX($AN$1004:$BO$1004,1,MATCH(COLUMNS($AN$1006:AQ1006),$AN$1006:$BO$1006,0)))),"Fix")))</f>
        <v>0</v>
      </c>
      <c r="F446" s="4">
        <f>IF(OR(INDEX($AH$2:$AH$1001,MATCH(ROWS($AG$2:AG446),$AG$2:$AG$1001,0),1)&gt;=100000,INDEX($AN$1005:$BO$1005,1,MATCH(COLUMNS($AN$1006:AR1006),$AN$1006:$BO$1006,0))&gt;=100000), " ",IF(INDEX($AN$2:$BO$1001,MATCH(ROWS($AG$2:AG446),$AG$2:$AG$1001,0),MATCH(COLUMNS($AN$1006:AR1006),$AN$1006:$BO$1006,0)), HYPERLINK("#",""), HYPERLINK(CONCATENATE("#Metadata!", ADDRESS(INDEX($AI$2:$AI$1001,MATCH(ROWS($AG$2:AG446),$AG$2:$AG$1001,0),0), INDEX($AN$1004:$BO$1004,1,MATCH(COLUMNS($AN$1006:AR1006),$AN$1006:$BO$1006,0)))),"Fix")))</f>
        <v>0</v>
      </c>
      <c r="G446" s="4">
        <f>IF(OR(INDEX($AH$2:$AH$1001,MATCH(ROWS($AG$2:AG446),$AG$2:$AG$1001,0),1)&gt;=100000,INDEX($AN$1005:$BO$1005,1,MATCH(COLUMNS($AN$1006:AS1006),$AN$1006:$BO$1006,0))&gt;=100000), " ",IF(INDEX($AN$2:$BO$1001,MATCH(ROWS($AG$2:AG446),$AG$2:$AG$1001,0),MATCH(COLUMNS($AN$1006:AS1006),$AN$1006:$BO$1006,0)), HYPERLINK("#",""), HYPERLINK(CONCATENATE("#Metadata!", ADDRESS(INDEX($AI$2:$AI$1001,MATCH(ROWS($AG$2:AG446),$AG$2:$AG$1001,0),0), INDEX($AN$1004:$BO$1004,1,MATCH(COLUMNS($AN$1006:AS1006),$AN$1006:$BO$1006,0)))),"Fix")))</f>
        <v>0</v>
      </c>
      <c r="H446" s="4">
        <f>IF(OR(INDEX($AH$2:$AH$1001,MATCH(ROWS($AG$2:AG446),$AG$2:$AG$1001,0),1)&gt;=100000,INDEX($AN$1005:$BO$1005,1,MATCH(COLUMNS($AN$1006:AT1006),$AN$1006:$BO$1006,0))&gt;=100000), " ",IF(INDEX($AN$2:$BO$1001,MATCH(ROWS($AG$2:AG446),$AG$2:$AG$1001,0),MATCH(COLUMNS($AN$1006:AT1006),$AN$1006:$BO$1006,0)), HYPERLINK("#",""), HYPERLINK(CONCATENATE("#Metadata!", ADDRESS(INDEX($AI$2:$AI$1001,MATCH(ROWS($AG$2:AG446),$AG$2:$AG$1001,0),0), INDEX($AN$1004:$BO$1004,1,MATCH(COLUMNS($AN$1006:AT1006),$AN$1006:$BO$1006,0)))),"Fix")))</f>
        <v>0</v>
      </c>
      <c r="I446" s="4">
        <f>IF(OR(INDEX($AH$2:$AH$1001,MATCH(ROWS($AG$2:AG446),$AG$2:$AG$1001,0),1)&gt;=100000,INDEX($AN$1005:$BO$1005,1,MATCH(COLUMNS($AN$1006:AU1006),$AN$1006:$BO$1006,0))&gt;=100000), " ",IF(INDEX($AN$2:$BO$1001,MATCH(ROWS($AG$2:AG446),$AG$2:$AG$1001,0),MATCH(COLUMNS($AN$1006:AU1006),$AN$1006:$BO$1006,0)), HYPERLINK("#",""), HYPERLINK(CONCATENATE("#Metadata!", ADDRESS(INDEX($AI$2:$AI$1001,MATCH(ROWS($AG$2:AG446),$AG$2:$AG$1001,0),0), INDEX($AN$1004:$BO$1004,1,MATCH(COLUMNS($AN$1006:AU1006),$AN$1006:$BO$1006,0)))),"Fix")))</f>
        <v>0</v>
      </c>
      <c r="J446" s="4">
        <f>IF(OR(INDEX($AH$2:$AH$1001,MATCH(ROWS($AG$2:AG446),$AG$2:$AG$1001,0),1)&gt;=100000,INDEX($AN$1005:$BO$1005,1,MATCH(COLUMNS($AN$1006:AV1006),$AN$1006:$BO$1006,0))&gt;=100000), " ",IF(INDEX($AN$2:$BO$1001,MATCH(ROWS($AG$2:AG446),$AG$2:$AG$1001,0),MATCH(COLUMNS($AN$1006:AV1006),$AN$1006:$BO$1006,0)), HYPERLINK("#",""), HYPERLINK(CONCATENATE("#Metadata!", ADDRESS(INDEX($AI$2:$AI$1001,MATCH(ROWS($AG$2:AG446),$AG$2:$AG$1001,0),0), INDEX($AN$1004:$BO$1004,1,MATCH(COLUMNS($AN$1006:AV1006),$AN$1006:$BO$1006,0)))),"Fix")))</f>
        <v>0</v>
      </c>
      <c r="K446" s="4">
        <f>IF(OR(INDEX($AH$2:$AH$1001,MATCH(ROWS($AG$2:AG446),$AG$2:$AG$1001,0),1)&gt;=100000,INDEX($AN$1005:$BO$1005,1,MATCH(COLUMNS($AN$1006:AW1006),$AN$1006:$BO$1006,0))&gt;=100000), " ",IF(INDEX($AN$2:$BO$1001,MATCH(ROWS($AG$2:AG446),$AG$2:$AG$1001,0),MATCH(COLUMNS($AN$1006:AW1006),$AN$1006:$BO$1006,0)), HYPERLINK("#",""), HYPERLINK(CONCATENATE("#Metadata!", ADDRESS(INDEX($AI$2:$AI$1001,MATCH(ROWS($AG$2:AG446),$AG$2:$AG$1001,0),0), INDEX($AN$1004:$BO$1004,1,MATCH(COLUMNS($AN$1006:AW1006),$AN$1006:$BO$1006,0)))),"Fix")))</f>
        <v>0</v>
      </c>
      <c r="L446" s="4">
        <f>IF(OR(INDEX($AH$2:$AH$1001,MATCH(ROWS($AG$2:AG446),$AG$2:$AG$1001,0),1)&gt;=100000,INDEX($AN$1005:$BO$1005,1,MATCH(COLUMNS($AN$1006:AX1006),$AN$1006:$BO$1006,0))&gt;=100000), " ",IF(INDEX($AN$2:$BO$1001,MATCH(ROWS($AG$2:AG446),$AG$2:$AG$1001,0),MATCH(COLUMNS($AN$1006:AX1006),$AN$1006:$BO$1006,0)), HYPERLINK("#",""), HYPERLINK(CONCATENATE("#Metadata!", ADDRESS(INDEX($AI$2:$AI$1001,MATCH(ROWS($AG$2:AG446),$AG$2:$AG$1001,0),0), INDEX($AN$1004:$BO$1004,1,MATCH(COLUMNS($AN$1006:AX1006),$AN$1006:$BO$1006,0)))),"Fix")))</f>
        <v>0</v>
      </c>
      <c r="M446" s="4">
        <f>IF(OR(INDEX($AH$2:$AH$1001,MATCH(ROWS($AG$2:AG446),$AG$2:$AG$1001,0),1)&gt;=100000,INDEX($AN$1005:$BO$1005,1,MATCH(COLUMNS($AN$1006:AY1006),$AN$1006:$BO$1006,0))&gt;=100000), " ",IF(INDEX($AN$2:$BO$1001,MATCH(ROWS($AG$2:AG446),$AG$2:$AG$1001,0),MATCH(COLUMNS($AN$1006:AY1006),$AN$1006:$BO$1006,0)), HYPERLINK("#",""), HYPERLINK(CONCATENATE("#Metadata!", ADDRESS(INDEX($AI$2:$AI$1001,MATCH(ROWS($AG$2:AG446),$AG$2:$AG$1001,0),0), INDEX($AN$1004:$BO$1004,1,MATCH(COLUMNS($AN$1006:AY1006),$AN$1006:$BO$1006,0)))),"Fix")))</f>
        <v>0</v>
      </c>
      <c r="N446" s="4">
        <f>IF(OR(INDEX($AH$2:$AH$1001,MATCH(ROWS($AG$2:AG446),$AG$2:$AG$1001,0),1)&gt;=100000,INDEX($AN$1005:$BO$1005,1,MATCH(COLUMNS($AN$1006:AZ1006),$AN$1006:$BO$1006,0))&gt;=100000), " ",IF(INDEX($AN$2:$BO$1001,MATCH(ROWS($AG$2:AG446),$AG$2:$AG$1001,0),MATCH(COLUMNS($AN$1006:AZ1006),$AN$1006:$BO$1006,0)), HYPERLINK("#",""), HYPERLINK(CONCATENATE("#Metadata!", ADDRESS(INDEX($AI$2:$AI$1001,MATCH(ROWS($AG$2:AG446),$AG$2:$AG$1001,0),0), INDEX($AN$1004:$BO$1004,1,MATCH(COLUMNS($AN$1006:AZ1006),$AN$1006:$BO$1006,0)))),"Fix")))</f>
        <v>0</v>
      </c>
      <c r="O446" s="4">
        <f>IF(OR(INDEX($AH$2:$AH$1001,MATCH(ROWS($AG$2:AG446),$AG$2:$AG$1001,0),1)&gt;=100000,INDEX($AN$1005:$BO$1005,1,MATCH(COLUMNS($AN$1006:BA1006),$AN$1006:$BO$1006,0))&gt;=100000), " ",IF(INDEX($AN$2:$BO$1001,MATCH(ROWS($AG$2:AG446),$AG$2:$AG$1001,0),MATCH(COLUMNS($AN$1006:BA1006),$AN$1006:$BO$1006,0)), HYPERLINK("#",""), HYPERLINK(CONCATENATE("#Metadata!", ADDRESS(INDEX($AI$2:$AI$1001,MATCH(ROWS($AG$2:AG446),$AG$2:$AG$1001,0),0), INDEX($AN$1004:$BO$1004,1,MATCH(COLUMNS($AN$1006:BA1006),$AN$1006:$BO$1006,0)))),"Fix")))</f>
        <v>0</v>
      </c>
      <c r="P446" s="4">
        <f>IF(OR(INDEX($AH$2:$AH$1001,MATCH(ROWS($AG$2:AG446),$AG$2:$AG$1001,0),1)&gt;=100000,INDEX($AN$1005:$BO$1005,1,MATCH(COLUMNS($AN$1006:BB1006),$AN$1006:$BO$1006,0))&gt;=100000), " ",IF(INDEX($AN$2:$BO$1001,MATCH(ROWS($AG$2:AG446),$AG$2:$AG$1001,0),MATCH(COLUMNS($AN$1006:BB1006),$AN$1006:$BO$1006,0)), HYPERLINK("#",""), HYPERLINK(CONCATENATE("#Metadata!", ADDRESS(INDEX($AI$2:$AI$1001,MATCH(ROWS($AG$2:AG446),$AG$2:$AG$1001,0),0), INDEX($AN$1004:$BO$1004,1,MATCH(COLUMNS($AN$1006:BB1006),$AN$1006:$BO$1006,0)))),"Fix")))</f>
        <v>0</v>
      </c>
      <c r="Q446" s="4">
        <f>IF(OR(INDEX($AH$2:$AH$1001,MATCH(ROWS($AG$2:AG446),$AG$2:$AG$1001,0),1)&gt;=100000,INDEX($AN$1005:$BO$1005,1,MATCH(COLUMNS($AN$1006:BC1006),$AN$1006:$BO$1006,0))&gt;=100000), " ",IF(INDEX($AN$2:$BO$1001,MATCH(ROWS($AG$2:AG446),$AG$2:$AG$1001,0),MATCH(COLUMNS($AN$1006:BC1006),$AN$1006:$BO$1006,0)), HYPERLINK("#",""), HYPERLINK(CONCATENATE("#Metadata!", ADDRESS(INDEX($AI$2:$AI$1001,MATCH(ROWS($AG$2:AG446),$AG$2:$AG$1001,0),0), INDEX($AN$1004:$BO$1004,1,MATCH(COLUMNS($AN$1006:BC1006),$AN$1006:$BO$1006,0)))),"Fix")))</f>
        <v>0</v>
      </c>
      <c r="R446" s="4">
        <f>IF(OR(INDEX($AH$2:$AH$1001,MATCH(ROWS($AG$2:AG446),$AG$2:$AG$1001,0),1)&gt;=100000,INDEX($AN$1005:$BO$1005,1,MATCH(COLUMNS($AN$1006:BD1006),$AN$1006:$BO$1006,0))&gt;=100000), " ",IF(INDEX($AN$2:$BO$1001,MATCH(ROWS($AG$2:AG446),$AG$2:$AG$1001,0),MATCH(COLUMNS($AN$1006:BD1006),$AN$1006:$BO$1006,0)), HYPERLINK("#",""), HYPERLINK(CONCATENATE("#Metadata!", ADDRESS(INDEX($AI$2:$AI$1001,MATCH(ROWS($AG$2:AG446),$AG$2:$AG$1001,0),0), INDEX($AN$1004:$BO$1004,1,MATCH(COLUMNS($AN$1006:BD1006),$AN$1006:$BO$1006,0)))),"Fix")))</f>
        <v>0</v>
      </c>
      <c r="S446" s="4">
        <f>IF(OR(INDEX($AH$2:$AH$1001,MATCH(ROWS($AG$2:AG446),$AG$2:$AG$1001,0),1)&gt;=100000,INDEX($AN$1005:$BO$1005,1,MATCH(COLUMNS($AN$1006:BE1006),$AN$1006:$BO$1006,0))&gt;=100000), " ",IF(INDEX($AN$2:$BO$1001,MATCH(ROWS($AG$2:AG446),$AG$2:$AG$1001,0),MATCH(COLUMNS($AN$1006:BE1006),$AN$1006:$BO$1006,0)), HYPERLINK("#",""), HYPERLINK(CONCATENATE("#Metadata!", ADDRESS(INDEX($AI$2:$AI$1001,MATCH(ROWS($AG$2:AG446),$AG$2:$AG$1001,0),0), INDEX($AN$1004:$BO$1004,1,MATCH(COLUMNS($AN$1006:BE1006),$AN$1006:$BO$1006,0)))),"Fix")))</f>
        <v>0</v>
      </c>
      <c r="T446" s="4">
        <f>IF(OR(INDEX($AH$2:$AH$1001,MATCH(ROWS($AG$2:AG446),$AG$2:$AG$1001,0),1)&gt;=100000,INDEX($AN$1005:$BO$1005,1,MATCH(COLUMNS($AN$1006:BF1006),$AN$1006:$BO$1006,0))&gt;=100000), " ",IF(INDEX($AN$2:$BO$1001,MATCH(ROWS($AG$2:AG446),$AG$2:$AG$1001,0),MATCH(COLUMNS($AN$1006:BF1006),$AN$1006:$BO$1006,0)), HYPERLINK("#",""), HYPERLINK(CONCATENATE("#Metadata!", ADDRESS(INDEX($AI$2:$AI$1001,MATCH(ROWS($AG$2:AG446),$AG$2:$AG$1001,0),0), INDEX($AN$1004:$BO$1004,1,MATCH(COLUMNS($AN$1006:BF1006),$AN$1006:$BO$1006,0)))),"Fix")))</f>
        <v>0</v>
      </c>
      <c r="U446" s="4">
        <f>IF(OR(INDEX($AH$2:$AH$1001,MATCH(ROWS($AG$2:AG446),$AG$2:$AG$1001,0),1)&gt;=100000,INDEX($AN$1005:$BO$1005,1,MATCH(COLUMNS($AN$1006:BG1006),$AN$1006:$BO$1006,0))&gt;=100000), " ",IF(INDEX($AN$2:$BO$1001,MATCH(ROWS($AG$2:AG446),$AG$2:$AG$1001,0),MATCH(COLUMNS($AN$1006:BG1006),$AN$1006:$BO$1006,0)), HYPERLINK("#",""), HYPERLINK(CONCATENATE("#Metadata!", ADDRESS(INDEX($AI$2:$AI$1001,MATCH(ROWS($AG$2:AG446),$AG$2:$AG$1001,0),0), INDEX($AN$1004:$BO$1004,1,MATCH(COLUMNS($AN$1006:BG1006),$AN$1006:$BO$1006,0)))),"Fix")))</f>
        <v>0</v>
      </c>
      <c r="V446" s="4">
        <f>IF(OR(INDEX($AH$2:$AH$1001,MATCH(ROWS($AG$2:AG446),$AG$2:$AG$1001,0),1)&gt;=100000,INDEX($AN$1005:$BO$1005,1,MATCH(COLUMNS($AN$1006:BH1006),$AN$1006:$BO$1006,0))&gt;=100000), " ",IF(INDEX($AN$2:$BO$1001,MATCH(ROWS($AG$2:AG446),$AG$2:$AG$1001,0),MATCH(COLUMNS($AN$1006:BH1006),$AN$1006:$BO$1006,0)), HYPERLINK("#",""), HYPERLINK(CONCATENATE("#Metadata!", ADDRESS(INDEX($AI$2:$AI$1001,MATCH(ROWS($AG$2:AG446),$AG$2:$AG$1001,0),0), INDEX($AN$1004:$BO$1004,1,MATCH(COLUMNS($AN$1006:BH1006),$AN$1006:$BO$1006,0)))),"Fix")))</f>
        <v>0</v>
      </c>
      <c r="W446" s="4">
        <f>IF(OR(INDEX($AH$2:$AH$1001,MATCH(ROWS($AG$2:AG446),$AG$2:$AG$1001,0),1)&gt;=100000,INDEX($AN$1005:$BO$1005,1,MATCH(COLUMNS($AN$1006:BI1006),$AN$1006:$BO$1006,0))&gt;=100000), " ",IF(INDEX($AN$2:$BO$1001,MATCH(ROWS($AG$2:AG446),$AG$2:$AG$1001,0),MATCH(COLUMNS($AN$1006:BI1006),$AN$1006:$BO$1006,0)), HYPERLINK("#",""), HYPERLINK(CONCATENATE("#Metadata!", ADDRESS(INDEX($AI$2:$AI$1001,MATCH(ROWS($AG$2:AG446),$AG$2:$AG$1001,0),0), INDEX($AN$1004:$BO$1004,1,MATCH(COLUMNS($AN$1006:BI1006),$AN$1006:$BO$1006,0)))),"Fix")))</f>
        <v>0</v>
      </c>
      <c r="X446" s="4">
        <f>IF(OR(INDEX($AH$2:$AH$1001,MATCH(ROWS($AG$2:AG446),$AG$2:$AG$1001,0),1)&gt;=100000,INDEX($AN$1005:$BO$1005,1,MATCH(COLUMNS($AN$1006:BJ1006),$AN$1006:$BO$1006,0))&gt;=100000), " ",IF(INDEX($AN$2:$BO$1001,MATCH(ROWS($AG$2:AG446),$AG$2:$AG$1001,0),MATCH(COLUMNS($AN$1006:BJ1006),$AN$1006:$BO$1006,0)), HYPERLINK("#",""), HYPERLINK(CONCATENATE("#Metadata!", ADDRESS(INDEX($AI$2:$AI$1001,MATCH(ROWS($AG$2:AG446),$AG$2:$AG$1001,0),0), INDEX($AN$1004:$BO$1004,1,MATCH(COLUMNS($AN$1006:BJ1006),$AN$1006:$BO$1006,0)))),"Fix")))</f>
        <v>0</v>
      </c>
      <c r="Y446" s="4">
        <f>IF(OR(INDEX($AH$2:$AH$1001,MATCH(ROWS($AG$2:AG446),$AG$2:$AG$1001,0),1)&gt;=100000,INDEX($AN$1005:$BO$1005,1,MATCH(COLUMNS($AN$1006:BK1006),$AN$1006:$BO$1006,0))&gt;=100000), " ",IF(INDEX($AN$2:$BO$1001,MATCH(ROWS($AG$2:AG446),$AG$2:$AG$1001,0),MATCH(COLUMNS($AN$1006:BK1006),$AN$1006:$BO$1006,0)), HYPERLINK("#",""), HYPERLINK(CONCATENATE("#Metadata!", ADDRESS(INDEX($AI$2:$AI$1001,MATCH(ROWS($AG$2:AG446),$AG$2:$AG$1001,0),0), INDEX($AN$1004:$BO$1004,1,MATCH(COLUMNS($AN$1006:BK1006),$AN$1006:$BO$1006,0)))),"Fix")))</f>
        <v>0</v>
      </c>
      <c r="Z446" s="4">
        <f>IF(OR(INDEX($AH$2:$AH$1001,MATCH(ROWS($AG$2:AG446),$AG$2:$AG$1001,0),1)&gt;=100000,INDEX($AN$1005:$BO$1005,1,MATCH(COLUMNS($AN$1006:BL1006),$AN$1006:$BO$1006,0))&gt;=100000), " ",IF(INDEX($AN$2:$BO$1001,MATCH(ROWS($AG$2:AG446),$AG$2:$AG$1001,0),MATCH(COLUMNS($AN$1006:BL1006),$AN$1006:$BO$1006,0)), HYPERLINK("#",""), HYPERLINK(CONCATENATE("#Metadata!", ADDRESS(INDEX($AI$2:$AI$1001,MATCH(ROWS($AG$2:AG446),$AG$2:$AG$1001,0),0), INDEX($AN$1004:$BO$1004,1,MATCH(COLUMNS($AN$1006:BL1006),$AN$1006:$BO$1006,0)))),"Fix")))</f>
        <v>0</v>
      </c>
      <c r="AA446" s="4">
        <f>IF(OR(INDEX($AH$2:$AH$1001,MATCH(ROWS($AG$2:AG446),$AG$2:$AG$1001,0),1)&gt;=100000,INDEX($AN$1005:$BO$1005,1,MATCH(COLUMNS($AN$1006:BM1006),$AN$1006:$BO$1006,0))&gt;=100000), " ",IF(INDEX($AN$2:$BO$1001,MATCH(ROWS($AG$2:AG446),$AG$2:$AG$1001,0),MATCH(COLUMNS($AN$1006:BM1006),$AN$1006:$BO$1006,0)), HYPERLINK("#",""), HYPERLINK(CONCATENATE("#Metadata!", ADDRESS(INDEX($AI$2:$AI$1001,MATCH(ROWS($AG$2:AG446),$AG$2:$AG$1001,0),0), INDEX($AN$1004:$BO$1004,1,MATCH(COLUMNS($AN$1006:BM1006),$AN$1006:$BO$1006,0)))),"Fix")))</f>
        <v>0</v>
      </c>
      <c r="AB446" s="4">
        <f>IF(OR(INDEX($AH$2:$AH$1001,MATCH(ROWS($AG$2:AG446),$AG$2:$AG$1001,0),1)&gt;=100000,INDEX($AN$1005:$BO$1005,1,MATCH(COLUMNS($AN$1006:BN1006),$AN$1006:$BO$1006,0))&gt;=100000), " ",IF(INDEX($AN$2:$BO$1001,MATCH(ROWS($AG$2:AG446),$AG$2:$AG$1001,0),MATCH(COLUMNS($AN$1006:BN1006),$AN$1006:$BO$1006,0)), HYPERLINK("#",""), HYPERLINK(CONCATENATE("#Metadata!", ADDRESS(INDEX($AI$2:$AI$1001,MATCH(ROWS($AG$2:AG446),$AG$2:$AG$1001,0),0), INDEX($AN$1004:$BO$1004,1,MATCH(COLUMNS($AN$1006:BN1006),$AN$1006:$BO$1006,0)))),"Fix")))</f>
        <v>0</v>
      </c>
      <c r="AC446" s="4">
        <f>IF(OR(INDEX($AH$2:$AH$1001,MATCH(ROWS($AG$2:AG446),$AG$2:$AG$1001,0),1)&gt;=100000,INDEX($AN$1005:$BO$1005,1,MATCH(COLUMNS($AN$1006:BO1006),$AN$1006:$BO$1006,0))&gt;=100000), " ",IF(INDEX($AN$2:$BO$1001,MATCH(ROWS($AG$2:AG446),$AG$2:$AG$1001,0),MATCH(COLUMNS($AN$1006:BO1006),$AN$1006:$BO$1006,0)), HYPERLINK("#",""), HYPERLINK(CONCATENATE("#Metadata!", ADDRESS(INDEX($AI$2:$AI$1001,MATCH(ROWS($AG$2:AG446),$AG$2:$AG$1001,0),0), INDEX($AN$1004:$BO$1004,1,MATCH(COLUMNS($AN$1006:BO1006),$AN$1006:$BO$1006,0)))),"Fix")))</f>
        <v>0</v>
      </c>
      <c r="AG446">
        <v>0</v>
      </c>
      <c r="AH446">
        <v>0</v>
      </c>
      <c r="AI446">
        <v>0</v>
      </c>
      <c r="AJ446">
        <f>IF(AK446,TRUE,AND(AN446:BO446))</f>
        <v>0</v>
      </c>
      <c r="AK446">
        <f>COUNTBLANK(Metadata!B446:AC446)=COLUMNS(Metadata!B446:AC446)</f>
        <v>0</v>
      </c>
      <c r="AL446">
        <v>0</v>
      </c>
      <c r="AN446">
        <f>AND(IF(Metadata!B446="",FALSE,TRUE),COUNTIF(Metadata!B:B, Metadata!B446) = 1,NOT(ISERROR(SUMPRODUCT(SEARCH(MID(Metadata!B446,ROW(INDIRECT("1:"&amp;LEN(Metadata!B446))), 1),"0123456789abcdefghijklmnopqrstuvwxyzABCDEFGHIJKLMNOPQRSTUVWXYZ.")))))</f>
        <v>0</v>
      </c>
      <c r="AO446">
        <f>IF(Metadata!C446="",FALSE,TRUE)</f>
        <v>0</v>
      </c>
      <c r="AP446">
        <f>IF(Metadata!D446="",FALSE,TRUE)</f>
        <v>0</v>
      </c>
      <c r="AQ446">
        <f>OR(AND(IF(Metadata!E446="",FALSE,TRUE),OR(exact(Metadata!E446,"not collected"),exact(Metadata!E446,"not provided"),exact(Metadata!E446,"restricted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R446">
        <f>IF(Metadata!F446="",FALSE,TRUE)</f>
        <v>0</v>
      </c>
      <c r="AS446">
        <f>OR(AND(IF(Metadata!G446="",FALSE,TRUE),OR(exact(Metadata!G446,"not collected"),exact(Metadata!G446,"not provided"))),AND(IF(Metadata!G446="",FALSE,TRUE),OR(exact(Metadata!G446,"TRUE"),exact(Metadata!G446,"FALSE"))))</f>
        <v>0</v>
      </c>
      <c r="AT446">
        <f>OR(AND(IF(Metadata!H446="",FALSE,TRUE),OR(exact(Metadata!H446,"not collected"),exact(Metadata!H446,"not provided"),exact(Metadata!H446,"restricted access"))),AND(IF(Metadata!H446="",FALSE,ISNUMBER(VALUE(Metadata!H446))),Metadata!H446&gt;=-413.0))</f>
        <v>0</v>
      </c>
      <c r="AU446">
        <f>AND(IF(Metadata!I446="",FALSE,TRUE),exact(Metadata!I446,"meters"))</f>
        <v>0</v>
      </c>
      <c r="AV446">
        <f>AND(IF(Metadata!J446="",FALSE,TRUE),OR(exact(Metadata!J446,"Host-associated"),exact(Metadata!J446,"Free-living")))</f>
        <v>0</v>
      </c>
      <c r="AW446">
        <f>AND(IF(Metadata!K446="",FALSE,TRUE),OR(exact(Metadata!K446,"Animal"),exact(Metadata!K446,"Fungus"),exact(Metadata!K446,"Plant"),exact(Metadata!K446,"Saline"),exact(Metadata!K446,"Non-saline")))</f>
        <v>0</v>
      </c>
      <c r="AX446">
        <f>AND(IF(Metadata!L446="",FALSE,TRUE),OR(exact(Metadata!L446,"Plant secretion"),exact(Metadata!L446,"Plant rhizosphere"),exact(Metadata!L446,"Plant surface"),exact(Metadata!L446,"Plant corpus"),exact(Metadata!L446,"Fungus surface"),exact(Metadata!L446,"Fungus corpus"),exact(Metadata!L446,"Animal surface"),exact(Metadata!L446,"Animal proximal gut"),exact(Metadata!L446,"Animal corpus"),exact(Metadata!L446,"Animal distal gut"),exact(Metadata!L446,"Animal secretion"),exact(Metadata!L446,"Sub-surface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Y446">
        <f>IF(Metadata!M446="",FALSE,TRUE)</f>
        <v>0</v>
      </c>
      <c r="AZ446">
        <f>IF(Metadata!N446="",FALSE,TRUE)</f>
        <v>0</v>
      </c>
      <c r="BA446">
        <f>IF(Metadata!O446="",FALSE,TRUE)</f>
        <v>0</v>
      </c>
      <c r="BB446">
        <f>OR(AND(IF(Metadata!P446="",FALSE,TRUE),OR(exact(Metadata!P446,"not collected"),exact(Metadata!P446,"not provided"),exact(Metadata!P446,"restricted access"))),AND(IF(Metadata!P446="",FALSE,TRUE),OR(exact(Metadata!P446,"air"),exact(Metadata!P446,"built environment"),exact(Metadata!P446,"host-associated"),exact(Metadata!P446,"human-associated"),exact(Metadata!P446,"human-skin"),exact(Metadata!P446,"human-oral"),exact(Metadata!P446,"human-gut"),exact(Metadata!P446,"human-vaginal"),exact(Metadata!P446,"microbial mat/biofilm"),exact(Metadata!P446,"misc environment"),exact(Metadata!P446,"plant-associated"),exact(Metadata!P446,"sediment"),exact(Metadata!P446,"soil"),exact(Metadata!P446,"wastewater/sludge"),exact(Metadata!P446,"water"))))</f>
        <v>0</v>
      </c>
      <c r="BC446">
        <f>IF(Metadata!Q446="",FALSE,TRUE)</f>
        <v>0</v>
      </c>
      <c r="BD446">
        <f>IF(Metadata!R446="",FALSE,TRUE)</f>
        <v>0</v>
      </c>
      <c r="BE446">
        <f>OR(AND(IF(Metadata!S446="",FALSE,TRUE),OR(exact(Metadata!S446,"not collected"),exact(Metadata!S446,"not provided"),exact(Metadata!S446,"restricted access"))),AND(IF(Metadata!S446="",FALSE,ISNUMBER(VALUE(Metadata!S446))),Metadata!S446&gt;=-90.00,Metadata!S446&lt;=90.00))</f>
        <v>0</v>
      </c>
      <c r="BF446">
        <f>AND(IF(Metadata!T446="",FALSE,TRUE),exact(Metadata!T446,"Decimal degrees"))</f>
        <v>0</v>
      </c>
      <c r="BG446">
        <f>OR(AND(IF(Metadata!U446="",FALSE,TRUE),OR(exact(Metadata!U446,"not collected"),exact(Metadata!U446,"not provided"),exact(Metadata!U446,"restricted access"))),AND(IF(Metadata!U446="",FALSE,ISNUMBER(VALUE(Metadata!U446))),Metadata!U446&gt;=-180.00,Metadata!U446&lt;=180.00))</f>
        <v>0</v>
      </c>
      <c r="BH446">
        <f>AND(IF(Metadata!V446="",FALSE,TRUE),exact(Metadata!V446,"Decimal degrees"))</f>
        <v>0</v>
      </c>
      <c r="BI446">
        <f>IF(Metadata!W446="",FALSE,TRUE)</f>
        <v>0</v>
      </c>
      <c r="BJ446">
        <f>OR(AND(IF(Metadata!X446="",FALSE,TRUE),OR(exact(Metadata!X446,"not collected"),exact(Metadata!X446,"not provided"),exact(Metadata!X446,"restricted access"))),AND(IF(Metadata!X446="",FALSE,TRUE),OR(exact(Metadata!X446,"TRUE"),exact(Metadata!X446,"FALSE"))))</f>
        <v>0</v>
      </c>
      <c r="BK446">
        <f>AND(IF(Metadata!Y446="",FALSE,TRUE),exact(Metadata!Y446,"other"))</f>
        <v>0</v>
      </c>
      <c r="BL446">
        <f>IF(Metadata!Z446="",FALSE,TRUE)</f>
        <v>0</v>
      </c>
      <c r="BM446">
        <f>OR(AND(IF(Metadata!AA446="",FALSE,TRUE),OR(exact(Metadata!AA446,"not collected"),exact(Metadata!AA446,"not provided"))),AND(IF(Metadata!AA446="",FALSE,IF(ISERROR(INT(Metadata!AA446)),FALSE,INT(Metadata!AA446)=Metadata!AA446)),Metadata!AA446&gt;0))</f>
        <v>0</v>
      </c>
      <c r="BN446">
        <f>AND(IF(Metadata!AB446="",FALSE,TRUE),exact(Metadata!AB446,"Not applicable"))</f>
        <v>0</v>
      </c>
      <c r="BO446">
        <f>IF(Metadata!AC446="",FALSE,TRUE)</f>
        <v>0</v>
      </c>
    </row>
    <row r="447" spans="1:67">
      <c r="A447" s="5">
        <f>IF(B447=" "," ",HYPERLINK(CONCATENATE("#metadata!",ADDRESS(INDEX($AI$2:$AI$1001,MATCH(ROWS($AG$2:AG447),$AG$2:$AG$1001,0),0),1)),INDEX($AL$2:$AL$1001,MATCH(ROWS($AG$2:AG447),$AG$2:$AG$1001,0),0)))</f>
        <v>0</v>
      </c>
      <c r="B447" s="4">
        <f>IF(OR(INDEX($AH$2:$AH$1001,MATCH(ROWS($AG$2:AG447),$AG$2:$AG$1001,0),1)&gt;=100000,INDEX($AN$1005:$BO$1005,1,MATCH(COLUMNS($AN$1006:AN1006),$AN$1006:$BO$1006,0))&gt;=100000), " ",IF(INDEX($AN$2:$BO$1001,MATCH(ROWS($AG$2:AG447),$AG$2:$AG$1001,0),MATCH(COLUMNS($AN$1006:AN1006),$AN$1006:$BO$1006,0)), HYPERLINK("#",""), HYPERLINK(CONCATENATE("#Metadata!", ADDRESS(INDEX($AI$2:$AI$1001,MATCH(ROWS($AG$2:AG447),$AG$2:$AG$1001,0),0), INDEX($AN$1004:$BO$1004,1,MATCH(COLUMNS($AN$1006:AN1006),$AN$1006:$BO$1006,0)))),"Fix")))</f>
        <v>0</v>
      </c>
      <c r="C447" s="4">
        <f>IF(OR(INDEX($AH$2:$AH$1001,MATCH(ROWS($AG$2:AG447),$AG$2:$AG$1001,0),1)&gt;=100000,INDEX($AN$1005:$BO$1005,1,MATCH(COLUMNS($AN$1006:AO1006),$AN$1006:$BO$1006,0))&gt;=100000), " ",IF(INDEX($AN$2:$BO$1001,MATCH(ROWS($AG$2:AG447),$AG$2:$AG$1001,0),MATCH(COLUMNS($AN$1006:AO1006),$AN$1006:$BO$1006,0)), HYPERLINK("#",""), HYPERLINK(CONCATENATE("#Metadata!", ADDRESS(INDEX($AI$2:$AI$1001,MATCH(ROWS($AG$2:AG447),$AG$2:$AG$1001,0),0), INDEX($AN$1004:$BO$1004,1,MATCH(COLUMNS($AN$1006:AO1006),$AN$1006:$BO$1006,0)))),"Fix")))</f>
        <v>0</v>
      </c>
      <c r="D447" s="4">
        <f>IF(OR(INDEX($AH$2:$AH$1001,MATCH(ROWS($AG$2:AG447),$AG$2:$AG$1001,0),1)&gt;=100000,INDEX($AN$1005:$BO$1005,1,MATCH(COLUMNS($AN$1006:AP1006),$AN$1006:$BO$1006,0))&gt;=100000), " ",IF(INDEX($AN$2:$BO$1001,MATCH(ROWS($AG$2:AG447),$AG$2:$AG$1001,0),MATCH(COLUMNS($AN$1006:AP1006),$AN$1006:$BO$1006,0)), HYPERLINK("#",""), HYPERLINK(CONCATENATE("#Metadata!", ADDRESS(INDEX($AI$2:$AI$1001,MATCH(ROWS($AG$2:AG447),$AG$2:$AG$1001,0),0), INDEX($AN$1004:$BO$1004,1,MATCH(COLUMNS($AN$1006:AP1006),$AN$1006:$BO$1006,0)))),"Fix")))</f>
        <v>0</v>
      </c>
      <c r="E447" s="4">
        <f>IF(OR(INDEX($AH$2:$AH$1001,MATCH(ROWS($AG$2:AG447),$AG$2:$AG$1001,0),1)&gt;=100000,INDEX($AN$1005:$BO$1005,1,MATCH(COLUMNS($AN$1006:AQ1006),$AN$1006:$BO$1006,0))&gt;=100000), " ",IF(INDEX($AN$2:$BO$1001,MATCH(ROWS($AG$2:AG447),$AG$2:$AG$1001,0),MATCH(COLUMNS($AN$1006:AQ1006),$AN$1006:$BO$1006,0)), HYPERLINK("#",""), HYPERLINK(CONCATENATE("#Metadata!", ADDRESS(INDEX($AI$2:$AI$1001,MATCH(ROWS($AG$2:AG447),$AG$2:$AG$1001,0),0), INDEX($AN$1004:$BO$1004,1,MATCH(COLUMNS($AN$1006:AQ1006),$AN$1006:$BO$1006,0)))),"Fix")))</f>
        <v>0</v>
      </c>
      <c r="F447" s="4">
        <f>IF(OR(INDEX($AH$2:$AH$1001,MATCH(ROWS($AG$2:AG447),$AG$2:$AG$1001,0),1)&gt;=100000,INDEX($AN$1005:$BO$1005,1,MATCH(COLUMNS($AN$1006:AR1006),$AN$1006:$BO$1006,0))&gt;=100000), " ",IF(INDEX($AN$2:$BO$1001,MATCH(ROWS($AG$2:AG447),$AG$2:$AG$1001,0),MATCH(COLUMNS($AN$1006:AR1006),$AN$1006:$BO$1006,0)), HYPERLINK("#",""), HYPERLINK(CONCATENATE("#Metadata!", ADDRESS(INDEX($AI$2:$AI$1001,MATCH(ROWS($AG$2:AG447),$AG$2:$AG$1001,0),0), INDEX($AN$1004:$BO$1004,1,MATCH(COLUMNS($AN$1006:AR1006),$AN$1006:$BO$1006,0)))),"Fix")))</f>
        <v>0</v>
      </c>
      <c r="G447" s="4">
        <f>IF(OR(INDEX($AH$2:$AH$1001,MATCH(ROWS($AG$2:AG447),$AG$2:$AG$1001,0),1)&gt;=100000,INDEX($AN$1005:$BO$1005,1,MATCH(COLUMNS($AN$1006:AS1006),$AN$1006:$BO$1006,0))&gt;=100000), " ",IF(INDEX($AN$2:$BO$1001,MATCH(ROWS($AG$2:AG447),$AG$2:$AG$1001,0),MATCH(COLUMNS($AN$1006:AS1006),$AN$1006:$BO$1006,0)), HYPERLINK("#",""), HYPERLINK(CONCATENATE("#Metadata!", ADDRESS(INDEX($AI$2:$AI$1001,MATCH(ROWS($AG$2:AG447),$AG$2:$AG$1001,0),0), INDEX($AN$1004:$BO$1004,1,MATCH(COLUMNS($AN$1006:AS1006),$AN$1006:$BO$1006,0)))),"Fix")))</f>
        <v>0</v>
      </c>
      <c r="H447" s="4">
        <f>IF(OR(INDEX($AH$2:$AH$1001,MATCH(ROWS($AG$2:AG447),$AG$2:$AG$1001,0),1)&gt;=100000,INDEX($AN$1005:$BO$1005,1,MATCH(COLUMNS($AN$1006:AT1006),$AN$1006:$BO$1006,0))&gt;=100000), " ",IF(INDEX($AN$2:$BO$1001,MATCH(ROWS($AG$2:AG447),$AG$2:$AG$1001,0),MATCH(COLUMNS($AN$1006:AT1006),$AN$1006:$BO$1006,0)), HYPERLINK("#",""), HYPERLINK(CONCATENATE("#Metadata!", ADDRESS(INDEX($AI$2:$AI$1001,MATCH(ROWS($AG$2:AG447),$AG$2:$AG$1001,0),0), INDEX($AN$1004:$BO$1004,1,MATCH(COLUMNS($AN$1006:AT1006),$AN$1006:$BO$1006,0)))),"Fix")))</f>
        <v>0</v>
      </c>
      <c r="I447" s="4">
        <f>IF(OR(INDEX($AH$2:$AH$1001,MATCH(ROWS($AG$2:AG447),$AG$2:$AG$1001,0),1)&gt;=100000,INDEX($AN$1005:$BO$1005,1,MATCH(COLUMNS($AN$1006:AU1006),$AN$1006:$BO$1006,0))&gt;=100000), " ",IF(INDEX($AN$2:$BO$1001,MATCH(ROWS($AG$2:AG447),$AG$2:$AG$1001,0),MATCH(COLUMNS($AN$1006:AU1006),$AN$1006:$BO$1006,0)), HYPERLINK("#",""), HYPERLINK(CONCATENATE("#Metadata!", ADDRESS(INDEX($AI$2:$AI$1001,MATCH(ROWS($AG$2:AG447),$AG$2:$AG$1001,0),0), INDEX($AN$1004:$BO$1004,1,MATCH(COLUMNS($AN$1006:AU1006),$AN$1006:$BO$1006,0)))),"Fix")))</f>
        <v>0</v>
      </c>
      <c r="J447" s="4">
        <f>IF(OR(INDEX($AH$2:$AH$1001,MATCH(ROWS($AG$2:AG447),$AG$2:$AG$1001,0),1)&gt;=100000,INDEX($AN$1005:$BO$1005,1,MATCH(COLUMNS($AN$1006:AV1006),$AN$1006:$BO$1006,0))&gt;=100000), " ",IF(INDEX($AN$2:$BO$1001,MATCH(ROWS($AG$2:AG447),$AG$2:$AG$1001,0),MATCH(COLUMNS($AN$1006:AV1006),$AN$1006:$BO$1006,0)), HYPERLINK("#",""), HYPERLINK(CONCATENATE("#Metadata!", ADDRESS(INDEX($AI$2:$AI$1001,MATCH(ROWS($AG$2:AG447),$AG$2:$AG$1001,0),0), INDEX($AN$1004:$BO$1004,1,MATCH(COLUMNS($AN$1006:AV1006),$AN$1006:$BO$1006,0)))),"Fix")))</f>
        <v>0</v>
      </c>
      <c r="K447" s="4">
        <f>IF(OR(INDEX($AH$2:$AH$1001,MATCH(ROWS($AG$2:AG447),$AG$2:$AG$1001,0),1)&gt;=100000,INDEX($AN$1005:$BO$1005,1,MATCH(COLUMNS($AN$1006:AW1006),$AN$1006:$BO$1006,0))&gt;=100000), " ",IF(INDEX($AN$2:$BO$1001,MATCH(ROWS($AG$2:AG447),$AG$2:$AG$1001,0),MATCH(COLUMNS($AN$1006:AW1006),$AN$1006:$BO$1006,0)), HYPERLINK("#",""), HYPERLINK(CONCATENATE("#Metadata!", ADDRESS(INDEX($AI$2:$AI$1001,MATCH(ROWS($AG$2:AG447),$AG$2:$AG$1001,0),0), INDEX($AN$1004:$BO$1004,1,MATCH(COLUMNS($AN$1006:AW1006),$AN$1006:$BO$1006,0)))),"Fix")))</f>
        <v>0</v>
      </c>
      <c r="L447" s="4">
        <f>IF(OR(INDEX($AH$2:$AH$1001,MATCH(ROWS($AG$2:AG447),$AG$2:$AG$1001,0),1)&gt;=100000,INDEX($AN$1005:$BO$1005,1,MATCH(COLUMNS($AN$1006:AX1006),$AN$1006:$BO$1006,0))&gt;=100000), " ",IF(INDEX($AN$2:$BO$1001,MATCH(ROWS($AG$2:AG447),$AG$2:$AG$1001,0),MATCH(COLUMNS($AN$1006:AX1006),$AN$1006:$BO$1006,0)), HYPERLINK("#",""), HYPERLINK(CONCATENATE("#Metadata!", ADDRESS(INDEX($AI$2:$AI$1001,MATCH(ROWS($AG$2:AG447),$AG$2:$AG$1001,0),0), INDEX($AN$1004:$BO$1004,1,MATCH(COLUMNS($AN$1006:AX1006),$AN$1006:$BO$1006,0)))),"Fix")))</f>
        <v>0</v>
      </c>
      <c r="M447" s="4">
        <f>IF(OR(INDEX($AH$2:$AH$1001,MATCH(ROWS($AG$2:AG447),$AG$2:$AG$1001,0),1)&gt;=100000,INDEX($AN$1005:$BO$1005,1,MATCH(COLUMNS($AN$1006:AY1006),$AN$1006:$BO$1006,0))&gt;=100000), " ",IF(INDEX($AN$2:$BO$1001,MATCH(ROWS($AG$2:AG447),$AG$2:$AG$1001,0),MATCH(COLUMNS($AN$1006:AY1006),$AN$1006:$BO$1006,0)), HYPERLINK("#",""), HYPERLINK(CONCATENATE("#Metadata!", ADDRESS(INDEX($AI$2:$AI$1001,MATCH(ROWS($AG$2:AG447),$AG$2:$AG$1001,0),0), INDEX($AN$1004:$BO$1004,1,MATCH(COLUMNS($AN$1006:AY1006),$AN$1006:$BO$1006,0)))),"Fix")))</f>
        <v>0</v>
      </c>
      <c r="N447" s="4">
        <f>IF(OR(INDEX($AH$2:$AH$1001,MATCH(ROWS($AG$2:AG447),$AG$2:$AG$1001,0),1)&gt;=100000,INDEX($AN$1005:$BO$1005,1,MATCH(COLUMNS($AN$1006:AZ1006),$AN$1006:$BO$1006,0))&gt;=100000), " ",IF(INDEX($AN$2:$BO$1001,MATCH(ROWS($AG$2:AG447),$AG$2:$AG$1001,0),MATCH(COLUMNS($AN$1006:AZ1006),$AN$1006:$BO$1006,0)), HYPERLINK("#",""), HYPERLINK(CONCATENATE("#Metadata!", ADDRESS(INDEX($AI$2:$AI$1001,MATCH(ROWS($AG$2:AG447),$AG$2:$AG$1001,0),0), INDEX($AN$1004:$BO$1004,1,MATCH(COLUMNS($AN$1006:AZ1006),$AN$1006:$BO$1006,0)))),"Fix")))</f>
        <v>0</v>
      </c>
      <c r="O447" s="4">
        <f>IF(OR(INDEX($AH$2:$AH$1001,MATCH(ROWS($AG$2:AG447),$AG$2:$AG$1001,0),1)&gt;=100000,INDEX($AN$1005:$BO$1005,1,MATCH(COLUMNS($AN$1006:BA1006),$AN$1006:$BO$1006,0))&gt;=100000), " ",IF(INDEX($AN$2:$BO$1001,MATCH(ROWS($AG$2:AG447),$AG$2:$AG$1001,0),MATCH(COLUMNS($AN$1006:BA1006),$AN$1006:$BO$1006,0)), HYPERLINK("#",""), HYPERLINK(CONCATENATE("#Metadata!", ADDRESS(INDEX($AI$2:$AI$1001,MATCH(ROWS($AG$2:AG447),$AG$2:$AG$1001,0),0), INDEX($AN$1004:$BO$1004,1,MATCH(COLUMNS($AN$1006:BA1006),$AN$1006:$BO$1006,0)))),"Fix")))</f>
        <v>0</v>
      </c>
      <c r="P447" s="4">
        <f>IF(OR(INDEX($AH$2:$AH$1001,MATCH(ROWS($AG$2:AG447),$AG$2:$AG$1001,0),1)&gt;=100000,INDEX($AN$1005:$BO$1005,1,MATCH(COLUMNS($AN$1006:BB1006),$AN$1006:$BO$1006,0))&gt;=100000), " ",IF(INDEX($AN$2:$BO$1001,MATCH(ROWS($AG$2:AG447),$AG$2:$AG$1001,0),MATCH(COLUMNS($AN$1006:BB1006),$AN$1006:$BO$1006,0)), HYPERLINK("#",""), HYPERLINK(CONCATENATE("#Metadata!", ADDRESS(INDEX($AI$2:$AI$1001,MATCH(ROWS($AG$2:AG447),$AG$2:$AG$1001,0),0), INDEX($AN$1004:$BO$1004,1,MATCH(COLUMNS($AN$1006:BB1006),$AN$1006:$BO$1006,0)))),"Fix")))</f>
        <v>0</v>
      </c>
      <c r="Q447" s="4">
        <f>IF(OR(INDEX($AH$2:$AH$1001,MATCH(ROWS($AG$2:AG447),$AG$2:$AG$1001,0),1)&gt;=100000,INDEX($AN$1005:$BO$1005,1,MATCH(COLUMNS($AN$1006:BC1006),$AN$1006:$BO$1006,0))&gt;=100000), " ",IF(INDEX($AN$2:$BO$1001,MATCH(ROWS($AG$2:AG447),$AG$2:$AG$1001,0),MATCH(COLUMNS($AN$1006:BC1006),$AN$1006:$BO$1006,0)), HYPERLINK("#",""), HYPERLINK(CONCATENATE("#Metadata!", ADDRESS(INDEX($AI$2:$AI$1001,MATCH(ROWS($AG$2:AG447),$AG$2:$AG$1001,0),0), INDEX($AN$1004:$BO$1004,1,MATCH(COLUMNS($AN$1006:BC1006),$AN$1006:$BO$1006,0)))),"Fix")))</f>
        <v>0</v>
      </c>
      <c r="R447" s="4">
        <f>IF(OR(INDEX($AH$2:$AH$1001,MATCH(ROWS($AG$2:AG447),$AG$2:$AG$1001,0),1)&gt;=100000,INDEX($AN$1005:$BO$1005,1,MATCH(COLUMNS($AN$1006:BD1006),$AN$1006:$BO$1006,0))&gt;=100000), " ",IF(INDEX($AN$2:$BO$1001,MATCH(ROWS($AG$2:AG447),$AG$2:$AG$1001,0),MATCH(COLUMNS($AN$1006:BD1006),$AN$1006:$BO$1006,0)), HYPERLINK("#",""), HYPERLINK(CONCATENATE("#Metadata!", ADDRESS(INDEX($AI$2:$AI$1001,MATCH(ROWS($AG$2:AG447),$AG$2:$AG$1001,0),0), INDEX($AN$1004:$BO$1004,1,MATCH(COLUMNS($AN$1006:BD1006),$AN$1006:$BO$1006,0)))),"Fix")))</f>
        <v>0</v>
      </c>
      <c r="S447" s="4">
        <f>IF(OR(INDEX($AH$2:$AH$1001,MATCH(ROWS($AG$2:AG447),$AG$2:$AG$1001,0),1)&gt;=100000,INDEX($AN$1005:$BO$1005,1,MATCH(COLUMNS($AN$1006:BE1006),$AN$1006:$BO$1006,0))&gt;=100000), " ",IF(INDEX($AN$2:$BO$1001,MATCH(ROWS($AG$2:AG447),$AG$2:$AG$1001,0),MATCH(COLUMNS($AN$1006:BE1006),$AN$1006:$BO$1006,0)), HYPERLINK("#",""), HYPERLINK(CONCATENATE("#Metadata!", ADDRESS(INDEX($AI$2:$AI$1001,MATCH(ROWS($AG$2:AG447),$AG$2:$AG$1001,0),0), INDEX($AN$1004:$BO$1004,1,MATCH(COLUMNS($AN$1006:BE1006),$AN$1006:$BO$1006,0)))),"Fix")))</f>
        <v>0</v>
      </c>
      <c r="T447" s="4">
        <f>IF(OR(INDEX($AH$2:$AH$1001,MATCH(ROWS($AG$2:AG447),$AG$2:$AG$1001,0),1)&gt;=100000,INDEX($AN$1005:$BO$1005,1,MATCH(COLUMNS($AN$1006:BF1006),$AN$1006:$BO$1006,0))&gt;=100000), " ",IF(INDEX($AN$2:$BO$1001,MATCH(ROWS($AG$2:AG447),$AG$2:$AG$1001,0),MATCH(COLUMNS($AN$1006:BF1006),$AN$1006:$BO$1006,0)), HYPERLINK("#",""), HYPERLINK(CONCATENATE("#Metadata!", ADDRESS(INDEX($AI$2:$AI$1001,MATCH(ROWS($AG$2:AG447),$AG$2:$AG$1001,0),0), INDEX($AN$1004:$BO$1004,1,MATCH(COLUMNS($AN$1006:BF1006),$AN$1006:$BO$1006,0)))),"Fix")))</f>
        <v>0</v>
      </c>
      <c r="U447" s="4">
        <f>IF(OR(INDEX($AH$2:$AH$1001,MATCH(ROWS($AG$2:AG447),$AG$2:$AG$1001,0),1)&gt;=100000,INDEX($AN$1005:$BO$1005,1,MATCH(COLUMNS($AN$1006:BG1006),$AN$1006:$BO$1006,0))&gt;=100000), " ",IF(INDEX($AN$2:$BO$1001,MATCH(ROWS($AG$2:AG447),$AG$2:$AG$1001,0),MATCH(COLUMNS($AN$1006:BG1006),$AN$1006:$BO$1006,0)), HYPERLINK("#",""), HYPERLINK(CONCATENATE("#Metadata!", ADDRESS(INDEX($AI$2:$AI$1001,MATCH(ROWS($AG$2:AG447),$AG$2:$AG$1001,0),0), INDEX($AN$1004:$BO$1004,1,MATCH(COLUMNS($AN$1006:BG1006),$AN$1006:$BO$1006,0)))),"Fix")))</f>
        <v>0</v>
      </c>
      <c r="V447" s="4">
        <f>IF(OR(INDEX($AH$2:$AH$1001,MATCH(ROWS($AG$2:AG447),$AG$2:$AG$1001,0),1)&gt;=100000,INDEX($AN$1005:$BO$1005,1,MATCH(COLUMNS($AN$1006:BH1006),$AN$1006:$BO$1006,0))&gt;=100000), " ",IF(INDEX($AN$2:$BO$1001,MATCH(ROWS($AG$2:AG447),$AG$2:$AG$1001,0),MATCH(COLUMNS($AN$1006:BH1006),$AN$1006:$BO$1006,0)), HYPERLINK("#",""), HYPERLINK(CONCATENATE("#Metadata!", ADDRESS(INDEX($AI$2:$AI$1001,MATCH(ROWS($AG$2:AG447),$AG$2:$AG$1001,0),0), INDEX($AN$1004:$BO$1004,1,MATCH(COLUMNS($AN$1006:BH1006),$AN$1006:$BO$1006,0)))),"Fix")))</f>
        <v>0</v>
      </c>
      <c r="W447" s="4">
        <f>IF(OR(INDEX($AH$2:$AH$1001,MATCH(ROWS($AG$2:AG447),$AG$2:$AG$1001,0),1)&gt;=100000,INDEX($AN$1005:$BO$1005,1,MATCH(COLUMNS($AN$1006:BI1006),$AN$1006:$BO$1006,0))&gt;=100000), " ",IF(INDEX($AN$2:$BO$1001,MATCH(ROWS($AG$2:AG447),$AG$2:$AG$1001,0),MATCH(COLUMNS($AN$1006:BI1006),$AN$1006:$BO$1006,0)), HYPERLINK("#",""), HYPERLINK(CONCATENATE("#Metadata!", ADDRESS(INDEX($AI$2:$AI$1001,MATCH(ROWS($AG$2:AG447),$AG$2:$AG$1001,0),0), INDEX($AN$1004:$BO$1004,1,MATCH(COLUMNS($AN$1006:BI1006),$AN$1006:$BO$1006,0)))),"Fix")))</f>
        <v>0</v>
      </c>
      <c r="X447" s="4">
        <f>IF(OR(INDEX($AH$2:$AH$1001,MATCH(ROWS($AG$2:AG447),$AG$2:$AG$1001,0),1)&gt;=100000,INDEX($AN$1005:$BO$1005,1,MATCH(COLUMNS($AN$1006:BJ1006),$AN$1006:$BO$1006,0))&gt;=100000), " ",IF(INDEX($AN$2:$BO$1001,MATCH(ROWS($AG$2:AG447),$AG$2:$AG$1001,0),MATCH(COLUMNS($AN$1006:BJ1006),$AN$1006:$BO$1006,0)), HYPERLINK("#",""), HYPERLINK(CONCATENATE("#Metadata!", ADDRESS(INDEX($AI$2:$AI$1001,MATCH(ROWS($AG$2:AG447),$AG$2:$AG$1001,0),0), INDEX($AN$1004:$BO$1004,1,MATCH(COLUMNS($AN$1006:BJ1006),$AN$1006:$BO$1006,0)))),"Fix")))</f>
        <v>0</v>
      </c>
      <c r="Y447" s="4">
        <f>IF(OR(INDEX($AH$2:$AH$1001,MATCH(ROWS($AG$2:AG447),$AG$2:$AG$1001,0),1)&gt;=100000,INDEX($AN$1005:$BO$1005,1,MATCH(COLUMNS($AN$1006:BK1006),$AN$1006:$BO$1006,0))&gt;=100000), " ",IF(INDEX($AN$2:$BO$1001,MATCH(ROWS($AG$2:AG447),$AG$2:$AG$1001,0),MATCH(COLUMNS($AN$1006:BK1006),$AN$1006:$BO$1006,0)), HYPERLINK("#",""), HYPERLINK(CONCATENATE("#Metadata!", ADDRESS(INDEX($AI$2:$AI$1001,MATCH(ROWS($AG$2:AG447),$AG$2:$AG$1001,0),0), INDEX($AN$1004:$BO$1004,1,MATCH(COLUMNS($AN$1006:BK1006),$AN$1006:$BO$1006,0)))),"Fix")))</f>
        <v>0</v>
      </c>
      <c r="Z447" s="4">
        <f>IF(OR(INDEX($AH$2:$AH$1001,MATCH(ROWS($AG$2:AG447),$AG$2:$AG$1001,0),1)&gt;=100000,INDEX($AN$1005:$BO$1005,1,MATCH(COLUMNS($AN$1006:BL1006),$AN$1006:$BO$1006,0))&gt;=100000), " ",IF(INDEX($AN$2:$BO$1001,MATCH(ROWS($AG$2:AG447),$AG$2:$AG$1001,0),MATCH(COLUMNS($AN$1006:BL1006),$AN$1006:$BO$1006,0)), HYPERLINK("#",""), HYPERLINK(CONCATENATE("#Metadata!", ADDRESS(INDEX($AI$2:$AI$1001,MATCH(ROWS($AG$2:AG447),$AG$2:$AG$1001,0),0), INDEX($AN$1004:$BO$1004,1,MATCH(COLUMNS($AN$1006:BL1006),$AN$1006:$BO$1006,0)))),"Fix")))</f>
        <v>0</v>
      </c>
      <c r="AA447" s="4">
        <f>IF(OR(INDEX($AH$2:$AH$1001,MATCH(ROWS($AG$2:AG447),$AG$2:$AG$1001,0),1)&gt;=100000,INDEX($AN$1005:$BO$1005,1,MATCH(COLUMNS($AN$1006:BM1006),$AN$1006:$BO$1006,0))&gt;=100000), " ",IF(INDEX($AN$2:$BO$1001,MATCH(ROWS($AG$2:AG447),$AG$2:$AG$1001,0),MATCH(COLUMNS($AN$1006:BM1006),$AN$1006:$BO$1006,0)), HYPERLINK("#",""), HYPERLINK(CONCATENATE("#Metadata!", ADDRESS(INDEX($AI$2:$AI$1001,MATCH(ROWS($AG$2:AG447),$AG$2:$AG$1001,0),0), INDEX($AN$1004:$BO$1004,1,MATCH(COLUMNS($AN$1006:BM1006),$AN$1006:$BO$1006,0)))),"Fix")))</f>
        <v>0</v>
      </c>
      <c r="AB447" s="4">
        <f>IF(OR(INDEX($AH$2:$AH$1001,MATCH(ROWS($AG$2:AG447),$AG$2:$AG$1001,0),1)&gt;=100000,INDEX($AN$1005:$BO$1005,1,MATCH(COLUMNS($AN$1006:BN1006),$AN$1006:$BO$1006,0))&gt;=100000), " ",IF(INDEX($AN$2:$BO$1001,MATCH(ROWS($AG$2:AG447),$AG$2:$AG$1001,0),MATCH(COLUMNS($AN$1006:BN1006),$AN$1006:$BO$1006,0)), HYPERLINK("#",""), HYPERLINK(CONCATENATE("#Metadata!", ADDRESS(INDEX($AI$2:$AI$1001,MATCH(ROWS($AG$2:AG447),$AG$2:$AG$1001,0),0), INDEX($AN$1004:$BO$1004,1,MATCH(COLUMNS($AN$1006:BN1006),$AN$1006:$BO$1006,0)))),"Fix")))</f>
        <v>0</v>
      </c>
      <c r="AC447" s="4">
        <f>IF(OR(INDEX($AH$2:$AH$1001,MATCH(ROWS($AG$2:AG447),$AG$2:$AG$1001,0),1)&gt;=100000,INDEX($AN$1005:$BO$1005,1,MATCH(COLUMNS($AN$1006:BO1006),$AN$1006:$BO$1006,0))&gt;=100000), " ",IF(INDEX($AN$2:$BO$1001,MATCH(ROWS($AG$2:AG447),$AG$2:$AG$1001,0),MATCH(COLUMNS($AN$1006:BO1006),$AN$1006:$BO$1006,0)), HYPERLINK("#",""), HYPERLINK(CONCATENATE("#Metadata!", ADDRESS(INDEX($AI$2:$AI$1001,MATCH(ROWS($AG$2:AG447),$AG$2:$AG$1001,0),0), INDEX($AN$1004:$BO$1004,1,MATCH(COLUMNS($AN$1006:BO1006),$AN$1006:$BO$1006,0)))),"Fix")))</f>
        <v>0</v>
      </c>
      <c r="AG447">
        <v>0</v>
      </c>
      <c r="AH447">
        <v>0</v>
      </c>
      <c r="AI447">
        <v>0</v>
      </c>
      <c r="AJ447">
        <f>IF(AK447,TRUE,AND(AN447:BO447))</f>
        <v>0</v>
      </c>
      <c r="AK447">
        <f>COUNTBLANK(Metadata!B447:AC447)=COLUMNS(Metadata!B447:AC447)</f>
        <v>0</v>
      </c>
      <c r="AL447">
        <v>0</v>
      </c>
      <c r="AN447">
        <f>AND(IF(Metadata!B447="",FALSE,TRUE),COUNTIF(Metadata!B:B, Metadata!B447) = 1,NOT(ISERROR(SUMPRODUCT(SEARCH(MID(Metadata!B447,ROW(INDIRECT("1:"&amp;LEN(Metadata!B447))), 1),"0123456789abcdefghijklmnopqrstuvwxyzABCDEFGHIJKLMNOPQRSTUVWXYZ.")))))</f>
        <v>0</v>
      </c>
      <c r="AO447">
        <f>IF(Metadata!C447="",FALSE,TRUE)</f>
        <v>0</v>
      </c>
      <c r="AP447">
        <f>IF(Metadata!D447="",FALSE,TRUE)</f>
        <v>0</v>
      </c>
      <c r="AQ447">
        <f>OR(AND(IF(Metadata!E447="",FALSE,TRUE),OR(exact(Metadata!E447,"not collected"),exact(Metadata!E447,"not provided"),exact(Metadata!E447,"restricted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R447">
        <f>IF(Metadata!F447="",FALSE,TRUE)</f>
        <v>0</v>
      </c>
      <c r="AS447">
        <f>OR(AND(IF(Metadata!G447="",FALSE,TRUE),OR(exact(Metadata!G447,"not collected"),exact(Metadata!G447,"not provided"))),AND(IF(Metadata!G447="",FALSE,TRUE),OR(exact(Metadata!G447,"TRUE"),exact(Metadata!G447,"FALSE"))))</f>
        <v>0</v>
      </c>
      <c r="AT447">
        <f>OR(AND(IF(Metadata!H447="",FALSE,TRUE),OR(exact(Metadata!H447,"not collected"),exact(Metadata!H447,"not provided"),exact(Metadata!H447,"restricted access"))),AND(IF(Metadata!H447="",FALSE,ISNUMBER(VALUE(Metadata!H447))),Metadata!H447&gt;=-413.0))</f>
        <v>0</v>
      </c>
      <c r="AU447">
        <f>AND(IF(Metadata!I447="",FALSE,TRUE),exact(Metadata!I447,"meters"))</f>
        <v>0</v>
      </c>
      <c r="AV447">
        <f>AND(IF(Metadata!J447="",FALSE,TRUE),OR(exact(Metadata!J447,"Host-associated"),exact(Metadata!J447,"Free-living")))</f>
        <v>0</v>
      </c>
      <c r="AW447">
        <f>AND(IF(Metadata!K447="",FALSE,TRUE),OR(exact(Metadata!K447,"Animal"),exact(Metadata!K447,"Fungus"),exact(Metadata!K447,"Plant"),exact(Metadata!K447,"Saline"),exact(Metadata!K447,"Non-saline")))</f>
        <v>0</v>
      </c>
      <c r="AX447">
        <f>AND(IF(Metadata!L447="",FALSE,TRUE),OR(exact(Metadata!L447,"Plant secretion"),exact(Metadata!L447,"Plant rhizosphere"),exact(Metadata!L447,"Plant surface"),exact(Metadata!L447,"Plant corpus"),exact(Metadata!L447,"Fungus surface"),exact(Metadata!L447,"Fungus corpus"),exact(Metadata!L447,"Animal surface"),exact(Metadata!L447,"Animal proximal gut"),exact(Metadata!L447,"Animal corpus"),exact(Metadata!L447,"Animal distal gut"),exact(Metadata!L447,"Animal secretion"),exact(Metadata!L447,"Sub-surface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Y447">
        <f>IF(Metadata!M447="",FALSE,TRUE)</f>
        <v>0</v>
      </c>
      <c r="AZ447">
        <f>IF(Metadata!N447="",FALSE,TRUE)</f>
        <v>0</v>
      </c>
      <c r="BA447">
        <f>IF(Metadata!O447="",FALSE,TRUE)</f>
        <v>0</v>
      </c>
      <c r="BB447">
        <f>OR(AND(IF(Metadata!P447="",FALSE,TRUE),OR(exact(Metadata!P447,"not collected"),exact(Metadata!P447,"not provided"),exact(Metadata!P447,"restricted access"))),AND(IF(Metadata!P447="",FALSE,TRUE),OR(exact(Metadata!P447,"air"),exact(Metadata!P447,"built environment"),exact(Metadata!P447,"host-associated"),exact(Metadata!P447,"human-associated"),exact(Metadata!P447,"human-skin"),exact(Metadata!P447,"human-oral"),exact(Metadata!P447,"human-gut"),exact(Metadata!P447,"human-vaginal"),exact(Metadata!P447,"microbial mat/biofilm"),exact(Metadata!P447,"misc environment"),exact(Metadata!P447,"plant-associated"),exact(Metadata!P447,"sediment"),exact(Metadata!P447,"soil"),exact(Metadata!P447,"wastewater/sludge"),exact(Metadata!P447,"water"))))</f>
        <v>0</v>
      </c>
      <c r="BC447">
        <f>IF(Metadata!Q447="",FALSE,TRUE)</f>
        <v>0</v>
      </c>
      <c r="BD447">
        <f>IF(Metadata!R447="",FALSE,TRUE)</f>
        <v>0</v>
      </c>
      <c r="BE447">
        <f>OR(AND(IF(Metadata!S447="",FALSE,TRUE),OR(exact(Metadata!S447,"not collected"),exact(Metadata!S447,"not provided"),exact(Metadata!S447,"restricted access"))),AND(IF(Metadata!S447="",FALSE,ISNUMBER(VALUE(Metadata!S447))),Metadata!S447&gt;=-90.00,Metadata!S447&lt;=90.00))</f>
        <v>0</v>
      </c>
      <c r="BF447">
        <f>AND(IF(Metadata!T447="",FALSE,TRUE),exact(Metadata!T447,"Decimal degrees"))</f>
        <v>0</v>
      </c>
      <c r="BG447">
        <f>OR(AND(IF(Metadata!U447="",FALSE,TRUE),OR(exact(Metadata!U447,"not collected"),exact(Metadata!U447,"not provided"),exact(Metadata!U447,"restricted access"))),AND(IF(Metadata!U447="",FALSE,ISNUMBER(VALUE(Metadata!U447))),Metadata!U447&gt;=-180.00,Metadata!U447&lt;=180.00))</f>
        <v>0</v>
      </c>
      <c r="BH447">
        <f>AND(IF(Metadata!V447="",FALSE,TRUE),exact(Metadata!V447,"Decimal degrees"))</f>
        <v>0</v>
      </c>
      <c r="BI447">
        <f>IF(Metadata!W447="",FALSE,TRUE)</f>
        <v>0</v>
      </c>
      <c r="BJ447">
        <f>OR(AND(IF(Metadata!X447="",FALSE,TRUE),OR(exact(Metadata!X447,"not collected"),exact(Metadata!X447,"not provided"),exact(Metadata!X447,"restricted access"))),AND(IF(Metadata!X447="",FALSE,TRUE),OR(exact(Metadata!X447,"TRUE"),exact(Metadata!X447,"FALSE"))))</f>
        <v>0</v>
      </c>
      <c r="BK447">
        <f>AND(IF(Metadata!Y447="",FALSE,TRUE),exact(Metadata!Y447,"other"))</f>
        <v>0</v>
      </c>
      <c r="BL447">
        <f>IF(Metadata!Z447="",FALSE,TRUE)</f>
        <v>0</v>
      </c>
      <c r="BM447">
        <f>OR(AND(IF(Metadata!AA447="",FALSE,TRUE),OR(exact(Metadata!AA447,"not collected"),exact(Metadata!AA447,"not provided"))),AND(IF(Metadata!AA447="",FALSE,IF(ISERROR(INT(Metadata!AA447)),FALSE,INT(Metadata!AA447)=Metadata!AA447)),Metadata!AA447&gt;0))</f>
        <v>0</v>
      </c>
      <c r="BN447">
        <f>AND(IF(Metadata!AB447="",FALSE,TRUE),exact(Metadata!AB447,"Not applicable"))</f>
        <v>0</v>
      </c>
      <c r="BO447">
        <f>IF(Metadata!AC447="",FALSE,TRUE)</f>
        <v>0</v>
      </c>
    </row>
    <row r="448" spans="1:67">
      <c r="A448" s="5">
        <f>IF(B448=" "," ",HYPERLINK(CONCATENATE("#metadata!",ADDRESS(INDEX($AI$2:$AI$1001,MATCH(ROWS($AG$2:AG448),$AG$2:$AG$1001,0),0),1)),INDEX($AL$2:$AL$1001,MATCH(ROWS($AG$2:AG448),$AG$2:$AG$1001,0),0)))</f>
        <v>0</v>
      </c>
      <c r="B448" s="4">
        <f>IF(OR(INDEX($AH$2:$AH$1001,MATCH(ROWS($AG$2:AG448),$AG$2:$AG$1001,0),1)&gt;=100000,INDEX($AN$1005:$BO$1005,1,MATCH(COLUMNS($AN$1006:AN1006),$AN$1006:$BO$1006,0))&gt;=100000), " ",IF(INDEX($AN$2:$BO$1001,MATCH(ROWS($AG$2:AG448),$AG$2:$AG$1001,0),MATCH(COLUMNS($AN$1006:AN1006),$AN$1006:$BO$1006,0)), HYPERLINK("#",""), HYPERLINK(CONCATENATE("#Metadata!", ADDRESS(INDEX($AI$2:$AI$1001,MATCH(ROWS($AG$2:AG448),$AG$2:$AG$1001,0),0), INDEX($AN$1004:$BO$1004,1,MATCH(COLUMNS($AN$1006:AN1006),$AN$1006:$BO$1006,0)))),"Fix")))</f>
        <v>0</v>
      </c>
      <c r="C448" s="4">
        <f>IF(OR(INDEX($AH$2:$AH$1001,MATCH(ROWS($AG$2:AG448),$AG$2:$AG$1001,0),1)&gt;=100000,INDEX($AN$1005:$BO$1005,1,MATCH(COLUMNS($AN$1006:AO1006),$AN$1006:$BO$1006,0))&gt;=100000), " ",IF(INDEX($AN$2:$BO$1001,MATCH(ROWS($AG$2:AG448),$AG$2:$AG$1001,0),MATCH(COLUMNS($AN$1006:AO1006),$AN$1006:$BO$1006,0)), HYPERLINK("#",""), HYPERLINK(CONCATENATE("#Metadata!", ADDRESS(INDEX($AI$2:$AI$1001,MATCH(ROWS($AG$2:AG448),$AG$2:$AG$1001,0),0), INDEX($AN$1004:$BO$1004,1,MATCH(COLUMNS($AN$1006:AO1006),$AN$1006:$BO$1006,0)))),"Fix")))</f>
        <v>0</v>
      </c>
      <c r="D448" s="4">
        <f>IF(OR(INDEX($AH$2:$AH$1001,MATCH(ROWS($AG$2:AG448),$AG$2:$AG$1001,0),1)&gt;=100000,INDEX($AN$1005:$BO$1005,1,MATCH(COLUMNS($AN$1006:AP1006),$AN$1006:$BO$1006,0))&gt;=100000), " ",IF(INDEX($AN$2:$BO$1001,MATCH(ROWS($AG$2:AG448),$AG$2:$AG$1001,0),MATCH(COLUMNS($AN$1006:AP1006),$AN$1006:$BO$1006,0)), HYPERLINK("#",""), HYPERLINK(CONCATENATE("#Metadata!", ADDRESS(INDEX($AI$2:$AI$1001,MATCH(ROWS($AG$2:AG448),$AG$2:$AG$1001,0),0), INDEX($AN$1004:$BO$1004,1,MATCH(COLUMNS($AN$1006:AP1006),$AN$1006:$BO$1006,0)))),"Fix")))</f>
        <v>0</v>
      </c>
      <c r="E448" s="4">
        <f>IF(OR(INDEX($AH$2:$AH$1001,MATCH(ROWS($AG$2:AG448),$AG$2:$AG$1001,0),1)&gt;=100000,INDEX($AN$1005:$BO$1005,1,MATCH(COLUMNS($AN$1006:AQ1006),$AN$1006:$BO$1006,0))&gt;=100000), " ",IF(INDEX($AN$2:$BO$1001,MATCH(ROWS($AG$2:AG448),$AG$2:$AG$1001,0),MATCH(COLUMNS($AN$1006:AQ1006),$AN$1006:$BO$1006,0)), HYPERLINK("#",""), HYPERLINK(CONCATENATE("#Metadata!", ADDRESS(INDEX($AI$2:$AI$1001,MATCH(ROWS($AG$2:AG448),$AG$2:$AG$1001,0),0), INDEX($AN$1004:$BO$1004,1,MATCH(COLUMNS($AN$1006:AQ1006),$AN$1006:$BO$1006,0)))),"Fix")))</f>
        <v>0</v>
      </c>
      <c r="F448" s="4">
        <f>IF(OR(INDEX($AH$2:$AH$1001,MATCH(ROWS($AG$2:AG448),$AG$2:$AG$1001,0),1)&gt;=100000,INDEX($AN$1005:$BO$1005,1,MATCH(COLUMNS($AN$1006:AR1006),$AN$1006:$BO$1006,0))&gt;=100000), " ",IF(INDEX($AN$2:$BO$1001,MATCH(ROWS($AG$2:AG448),$AG$2:$AG$1001,0),MATCH(COLUMNS($AN$1006:AR1006),$AN$1006:$BO$1006,0)), HYPERLINK("#",""), HYPERLINK(CONCATENATE("#Metadata!", ADDRESS(INDEX($AI$2:$AI$1001,MATCH(ROWS($AG$2:AG448),$AG$2:$AG$1001,0),0), INDEX($AN$1004:$BO$1004,1,MATCH(COLUMNS($AN$1006:AR1006),$AN$1006:$BO$1006,0)))),"Fix")))</f>
        <v>0</v>
      </c>
      <c r="G448" s="4">
        <f>IF(OR(INDEX($AH$2:$AH$1001,MATCH(ROWS($AG$2:AG448),$AG$2:$AG$1001,0),1)&gt;=100000,INDEX($AN$1005:$BO$1005,1,MATCH(COLUMNS($AN$1006:AS1006),$AN$1006:$BO$1006,0))&gt;=100000), " ",IF(INDEX($AN$2:$BO$1001,MATCH(ROWS($AG$2:AG448),$AG$2:$AG$1001,0),MATCH(COLUMNS($AN$1006:AS1006),$AN$1006:$BO$1006,0)), HYPERLINK("#",""), HYPERLINK(CONCATENATE("#Metadata!", ADDRESS(INDEX($AI$2:$AI$1001,MATCH(ROWS($AG$2:AG448),$AG$2:$AG$1001,0),0), INDEX($AN$1004:$BO$1004,1,MATCH(COLUMNS($AN$1006:AS1006),$AN$1006:$BO$1006,0)))),"Fix")))</f>
        <v>0</v>
      </c>
      <c r="H448" s="4">
        <f>IF(OR(INDEX($AH$2:$AH$1001,MATCH(ROWS($AG$2:AG448),$AG$2:$AG$1001,0),1)&gt;=100000,INDEX($AN$1005:$BO$1005,1,MATCH(COLUMNS($AN$1006:AT1006),$AN$1006:$BO$1006,0))&gt;=100000), " ",IF(INDEX($AN$2:$BO$1001,MATCH(ROWS($AG$2:AG448),$AG$2:$AG$1001,0),MATCH(COLUMNS($AN$1006:AT1006),$AN$1006:$BO$1006,0)), HYPERLINK("#",""), HYPERLINK(CONCATENATE("#Metadata!", ADDRESS(INDEX($AI$2:$AI$1001,MATCH(ROWS($AG$2:AG448),$AG$2:$AG$1001,0),0), INDEX($AN$1004:$BO$1004,1,MATCH(COLUMNS($AN$1006:AT1006),$AN$1006:$BO$1006,0)))),"Fix")))</f>
        <v>0</v>
      </c>
      <c r="I448" s="4">
        <f>IF(OR(INDEX($AH$2:$AH$1001,MATCH(ROWS($AG$2:AG448),$AG$2:$AG$1001,0),1)&gt;=100000,INDEX($AN$1005:$BO$1005,1,MATCH(COLUMNS($AN$1006:AU1006),$AN$1006:$BO$1006,0))&gt;=100000), " ",IF(INDEX($AN$2:$BO$1001,MATCH(ROWS($AG$2:AG448),$AG$2:$AG$1001,0),MATCH(COLUMNS($AN$1006:AU1006),$AN$1006:$BO$1006,0)), HYPERLINK("#",""), HYPERLINK(CONCATENATE("#Metadata!", ADDRESS(INDEX($AI$2:$AI$1001,MATCH(ROWS($AG$2:AG448),$AG$2:$AG$1001,0),0), INDEX($AN$1004:$BO$1004,1,MATCH(COLUMNS($AN$1006:AU1006),$AN$1006:$BO$1006,0)))),"Fix")))</f>
        <v>0</v>
      </c>
      <c r="J448" s="4">
        <f>IF(OR(INDEX($AH$2:$AH$1001,MATCH(ROWS($AG$2:AG448),$AG$2:$AG$1001,0),1)&gt;=100000,INDEX($AN$1005:$BO$1005,1,MATCH(COLUMNS($AN$1006:AV1006),$AN$1006:$BO$1006,0))&gt;=100000), " ",IF(INDEX($AN$2:$BO$1001,MATCH(ROWS($AG$2:AG448),$AG$2:$AG$1001,0),MATCH(COLUMNS($AN$1006:AV1006),$AN$1006:$BO$1006,0)), HYPERLINK("#",""), HYPERLINK(CONCATENATE("#Metadata!", ADDRESS(INDEX($AI$2:$AI$1001,MATCH(ROWS($AG$2:AG448),$AG$2:$AG$1001,0),0), INDEX($AN$1004:$BO$1004,1,MATCH(COLUMNS($AN$1006:AV1006),$AN$1006:$BO$1006,0)))),"Fix")))</f>
        <v>0</v>
      </c>
      <c r="K448" s="4">
        <f>IF(OR(INDEX($AH$2:$AH$1001,MATCH(ROWS($AG$2:AG448),$AG$2:$AG$1001,0),1)&gt;=100000,INDEX($AN$1005:$BO$1005,1,MATCH(COLUMNS($AN$1006:AW1006),$AN$1006:$BO$1006,0))&gt;=100000), " ",IF(INDEX($AN$2:$BO$1001,MATCH(ROWS($AG$2:AG448),$AG$2:$AG$1001,0),MATCH(COLUMNS($AN$1006:AW1006),$AN$1006:$BO$1006,0)), HYPERLINK("#",""), HYPERLINK(CONCATENATE("#Metadata!", ADDRESS(INDEX($AI$2:$AI$1001,MATCH(ROWS($AG$2:AG448),$AG$2:$AG$1001,0),0), INDEX($AN$1004:$BO$1004,1,MATCH(COLUMNS($AN$1006:AW1006),$AN$1006:$BO$1006,0)))),"Fix")))</f>
        <v>0</v>
      </c>
      <c r="L448" s="4">
        <f>IF(OR(INDEX($AH$2:$AH$1001,MATCH(ROWS($AG$2:AG448),$AG$2:$AG$1001,0),1)&gt;=100000,INDEX($AN$1005:$BO$1005,1,MATCH(COLUMNS($AN$1006:AX1006),$AN$1006:$BO$1006,0))&gt;=100000), " ",IF(INDEX($AN$2:$BO$1001,MATCH(ROWS($AG$2:AG448),$AG$2:$AG$1001,0),MATCH(COLUMNS($AN$1006:AX1006),$AN$1006:$BO$1006,0)), HYPERLINK("#",""), HYPERLINK(CONCATENATE("#Metadata!", ADDRESS(INDEX($AI$2:$AI$1001,MATCH(ROWS($AG$2:AG448),$AG$2:$AG$1001,0),0), INDEX($AN$1004:$BO$1004,1,MATCH(COLUMNS($AN$1006:AX1006),$AN$1006:$BO$1006,0)))),"Fix")))</f>
        <v>0</v>
      </c>
      <c r="M448" s="4">
        <f>IF(OR(INDEX($AH$2:$AH$1001,MATCH(ROWS($AG$2:AG448),$AG$2:$AG$1001,0),1)&gt;=100000,INDEX($AN$1005:$BO$1005,1,MATCH(COLUMNS($AN$1006:AY1006),$AN$1006:$BO$1006,0))&gt;=100000), " ",IF(INDEX($AN$2:$BO$1001,MATCH(ROWS($AG$2:AG448),$AG$2:$AG$1001,0),MATCH(COLUMNS($AN$1006:AY1006),$AN$1006:$BO$1006,0)), HYPERLINK("#",""), HYPERLINK(CONCATENATE("#Metadata!", ADDRESS(INDEX($AI$2:$AI$1001,MATCH(ROWS($AG$2:AG448),$AG$2:$AG$1001,0),0), INDEX($AN$1004:$BO$1004,1,MATCH(COLUMNS($AN$1006:AY1006),$AN$1006:$BO$1006,0)))),"Fix")))</f>
        <v>0</v>
      </c>
      <c r="N448" s="4">
        <f>IF(OR(INDEX($AH$2:$AH$1001,MATCH(ROWS($AG$2:AG448),$AG$2:$AG$1001,0),1)&gt;=100000,INDEX($AN$1005:$BO$1005,1,MATCH(COLUMNS($AN$1006:AZ1006),$AN$1006:$BO$1006,0))&gt;=100000), " ",IF(INDEX($AN$2:$BO$1001,MATCH(ROWS($AG$2:AG448),$AG$2:$AG$1001,0),MATCH(COLUMNS($AN$1006:AZ1006),$AN$1006:$BO$1006,0)), HYPERLINK("#",""), HYPERLINK(CONCATENATE("#Metadata!", ADDRESS(INDEX($AI$2:$AI$1001,MATCH(ROWS($AG$2:AG448),$AG$2:$AG$1001,0),0), INDEX($AN$1004:$BO$1004,1,MATCH(COLUMNS($AN$1006:AZ1006),$AN$1006:$BO$1006,0)))),"Fix")))</f>
        <v>0</v>
      </c>
      <c r="O448" s="4">
        <f>IF(OR(INDEX($AH$2:$AH$1001,MATCH(ROWS($AG$2:AG448),$AG$2:$AG$1001,0),1)&gt;=100000,INDEX($AN$1005:$BO$1005,1,MATCH(COLUMNS($AN$1006:BA1006),$AN$1006:$BO$1006,0))&gt;=100000), " ",IF(INDEX($AN$2:$BO$1001,MATCH(ROWS($AG$2:AG448),$AG$2:$AG$1001,0),MATCH(COLUMNS($AN$1006:BA1006),$AN$1006:$BO$1006,0)), HYPERLINK("#",""), HYPERLINK(CONCATENATE("#Metadata!", ADDRESS(INDEX($AI$2:$AI$1001,MATCH(ROWS($AG$2:AG448),$AG$2:$AG$1001,0),0), INDEX($AN$1004:$BO$1004,1,MATCH(COLUMNS($AN$1006:BA1006),$AN$1006:$BO$1006,0)))),"Fix")))</f>
        <v>0</v>
      </c>
      <c r="P448" s="4">
        <f>IF(OR(INDEX($AH$2:$AH$1001,MATCH(ROWS($AG$2:AG448),$AG$2:$AG$1001,0),1)&gt;=100000,INDEX($AN$1005:$BO$1005,1,MATCH(COLUMNS($AN$1006:BB1006),$AN$1006:$BO$1006,0))&gt;=100000), " ",IF(INDEX($AN$2:$BO$1001,MATCH(ROWS($AG$2:AG448),$AG$2:$AG$1001,0),MATCH(COLUMNS($AN$1006:BB1006),$AN$1006:$BO$1006,0)), HYPERLINK("#",""), HYPERLINK(CONCATENATE("#Metadata!", ADDRESS(INDEX($AI$2:$AI$1001,MATCH(ROWS($AG$2:AG448),$AG$2:$AG$1001,0),0), INDEX($AN$1004:$BO$1004,1,MATCH(COLUMNS($AN$1006:BB1006),$AN$1006:$BO$1006,0)))),"Fix")))</f>
        <v>0</v>
      </c>
      <c r="Q448" s="4">
        <f>IF(OR(INDEX($AH$2:$AH$1001,MATCH(ROWS($AG$2:AG448),$AG$2:$AG$1001,0),1)&gt;=100000,INDEX($AN$1005:$BO$1005,1,MATCH(COLUMNS($AN$1006:BC1006),$AN$1006:$BO$1006,0))&gt;=100000), " ",IF(INDEX($AN$2:$BO$1001,MATCH(ROWS($AG$2:AG448),$AG$2:$AG$1001,0),MATCH(COLUMNS($AN$1006:BC1006),$AN$1006:$BO$1006,0)), HYPERLINK("#",""), HYPERLINK(CONCATENATE("#Metadata!", ADDRESS(INDEX($AI$2:$AI$1001,MATCH(ROWS($AG$2:AG448),$AG$2:$AG$1001,0),0), INDEX($AN$1004:$BO$1004,1,MATCH(COLUMNS($AN$1006:BC1006),$AN$1006:$BO$1006,0)))),"Fix")))</f>
        <v>0</v>
      </c>
      <c r="R448" s="4">
        <f>IF(OR(INDEX($AH$2:$AH$1001,MATCH(ROWS($AG$2:AG448),$AG$2:$AG$1001,0),1)&gt;=100000,INDEX($AN$1005:$BO$1005,1,MATCH(COLUMNS($AN$1006:BD1006),$AN$1006:$BO$1006,0))&gt;=100000), " ",IF(INDEX($AN$2:$BO$1001,MATCH(ROWS($AG$2:AG448),$AG$2:$AG$1001,0),MATCH(COLUMNS($AN$1006:BD1006),$AN$1006:$BO$1006,0)), HYPERLINK("#",""), HYPERLINK(CONCATENATE("#Metadata!", ADDRESS(INDEX($AI$2:$AI$1001,MATCH(ROWS($AG$2:AG448),$AG$2:$AG$1001,0),0), INDEX($AN$1004:$BO$1004,1,MATCH(COLUMNS($AN$1006:BD1006),$AN$1006:$BO$1006,0)))),"Fix")))</f>
        <v>0</v>
      </c>
      <c r="S448" s="4">
        <f>IF(OR(INDEX($AH$2:$AH$1001,MATCH(ROWS($AG$2:AG448),$AG$2:$AG$1001,0),1)&gt;=100000,INDEX($AN$1005:$BO$1005,1,MATCH(COLUMNS($AN$1006:BE1006),$AN$1006:$BO$1006,0))&gt;=100000), " ",IF(INDEX($AN$2:$BO$1001,MATCH(ROWS($AG$2:AG448),$AG$2:$AG$1001,0),MATCH(COLUMNS($AN$1006:BE1006),$AN$1006:$BO$1006,0)), HYPERLINK("#",""), HYPERLINK(CONCATENATE("#Metadata!", ADDRESS(INDEX($AI$2:$AI$1001,MATCH(ROWS($AG$2:AG448),$AG$2:$AG$1001,0),0), INDEX($AN$1004:$BO$1004,1,MATCH(COLUMNS($AN$1006:BE1006),$AN$1006:$BO$1006,0)))),"Fix")))</f>
        <v>0</v>
      </c>
      <c r="T448" s="4">
        <f>IF(OR(INDEX($AH$2:$AH$1001,MATCH(ROWS($AG$2:AG448),$AG$2:$AG$1001,0),1)&gt;=100000,INDEX($AN$1005:$BO$1005,1,MATCH(COLUMNS($AN$1006:BF1006),$AN$1006:$BO$1006,0))&gt;=100000), " ",IF(INDEX($AN$2:$BO$1001,MATCH(ROWS($AG$2:AG448),$AG$2:$AG$1001,0),MATCH(COLUMNS($AN$1006:BF1006),$AN$1006:$BO$1006,0)), HYPERLINK("#",""), HYPERLINK(CONCATENATE("#Metadata!", ADDRESS(INDEX($AI$2:$AI$1001,MATCH(ROWS($AG$2:AG448),$AG$2:$AG$1001,0),0), INDEX($AN$1004:$BO$1004,1,MATCH(COLUMNS($AN$1006:BF1006),$AN$1006:$BO$1006,0)))),"Fix")))</f>
        <v>0</v>
      </c>
      <c r="U448" s="4">
        <f>IF(OR(INDEX($AH$2:$AH$1001,MATCH(ROWS($AG$2:AG448),$AG$2:$AG$1001,0),1)&gt;=100000,INDEX($AN$1005:$BO$1005,1,MATCH(COLUMNS($AN$1006:BG1006),$AN$1006:$BO$1006,0))&gt;=100000), " ",IF(INDEX($AN$2:$BO$1001,MATCH(ROWS($AG$2:AG448),$AG$2:$AG$1001,0),MATCH(COLUMNS($AN$1006:BG1006),$AN$1006:$BO$1006,0)), HYPERLINK("#",""), HYPERLINK(CONCATENATE("#Metadata!", ADDRESS(INDEX($AI$2:$AI$1001,MATCH(ROWS($AG$2:AG448),$AG$2:$AG$1001,0),0), INDEX($AN$1004:$BO$1004,1,MATCH(COLUMNS($AN$1006:BG1006),$AN$1006:$BO$1006,0)))),"Fix")))</f>
        <v>0</v>
      </c>
      <c r="V448" s="4">
        <f>IF(OR(INDEX($AH$2:$AH$1001,MATCH(ROWS($AG$2:AG448),$AG$2:$AG$1001,0),1)&gt;=100000,INDEX($AN$1005:$BO$1005,1,MATCH(COLUMNS($AN$1006:BH1006),$AN$1006:$BO$1006,0))&gt;=100000), " ",IF(INDEX($AN$2:$BO$1001,MATCH(ROWS($AG$2:AG448),$AG$2:$AG$1001,0),MATCH(COLUMNS($AN$1006:BH1006),$AN$1006:$BO$1006,0)), HYPERLINK("#",""), HYPERLINK(CONCATENATE("#Metadata!", ADDRESS(INDEX($AI$2:$AI$1001,MATCH(ROWS($AG$2:AG448),$AG$2:$AG$1001,0),0), INDEX($AN$1004:$BO$1004,1,MATCH(COLUMNS($AN$1006:BH1006),$AN$1006:$BO$1006,0)))),"Fix")))</f>
        <v>0</v>
      </c>
      <c r="W448" s="4">
        <f>IF(OR(INDEX($AH$2:$AH$1001,MATCH(ROWS($AG$2:AG448),$AG$2:$AG$1001,0),1)&gt;=100000,INDEX($AN$1005:$BO$1005,1,MATCH(COLUMNS($AN$1006:BI1006),$AN$1006:$BO$1006,0))&gt;=100000), " ",IF(INDEX($AN$2:$BO$1001,MATCH(ROWS($AG$2:AG448),$AG$2:$AG$1001,0),MATCH(COLUMNS($AN$1006:BI1006),$AN$1006:$BO$1006,0)), HYPERLINK("#",""), HYPERLINK(CONCATENATE("#Metadata!", ADDRESS(INDEX($AI$2:$AI$1001,MATCH(ROWS($AG$2:AG448),$AG$2:$AG$1001,0),0), INDEX($AN$1004:$BO$1004,1,MATCH(COLUMNS($AN$1006:BI1006),$AN$1006:$BO$1006,0)))),"Fix")))</f>
        <v>0</v>
      </c>
      <c r="X448" s="4">
        <f>IF(OR(INDEX($AH$2:$AH$1001,MATCH(ROWS($AG$2:AG448),$AG$2:$AG$1001,0),1)&gt;=100000,INDEX($AN$1005:$BO$1005,1,MATCH(COLUMNS($AN$1006:BJ1006),$AN$1006:$BO$1006,0))&gt;=100000), " ",IF(INDEX($AN$2:$BO$1001,MATCH(ROWS($AG$2:AG448),$AG$2:$AG$1001,0),MATCH(COLUMNS($AN$1006:BJ1006),$AN$1006:$BO$1006,0)), HYPERLINK("#",""), HYPERLINK(CONCATENATE("#Metadata!", ADDRESS(INDEX($AI$2:$AI$1001,MATCH(ROWS($AG$2:AG448),$AG$2:$AG$1001,0),0), INDEX($AN$1004:$BO$1004,1,MATCH(COLUMNS($AN$1006:BJ1006),$AN$1006:$BO$1006,0)))),"Fix")))</f>
        <v>0</v>
      </c>
      <c r="Y448" s="4">
        <f>IF(OR(INDEX($AH$2:$AH$1001,MATCH(ROWS($AG$2:AG448),$AG$2:$AG$1001,0),1)&gt;=100000,INDEX($AN$1005:$BO$1005,1,MATCH(COLUMNS($AN$1006:BK1006),$AN$1006:$BO$1006,0))&gt;=100000), " ",IF(INDEX($AN$2:$BO$1001,MATCH(ROWS($AG$2:AG448),$AG$2:$AG$1001,0),MATCH(COLUMNS($AN$1006:BK1006),$AN$1006:$BO$1006,0)), HYPERLINK("#",""), HYPERLINK(CONCATENATE("#Metadata!", ADDRESS(INDEX($AI$2:$AI$1001,MATCH(ROWS($AG$2:AG448),$AG$2:$AG$1001,0),0), INDEX($AN$1004:$BO$1004,1,MATCH(COLUMNS($AN$1006:BK1006),$AN$1006:$BO$1006,0)))),"Fix")))</f>
        <v>0</v>
      </c>
      <c r="Z448" s="4">
        <f>IF(OR(INDEX($AH$2:$AH$1001,MATCH(ROWS($AG$2:AG448),$AG$2:$AG$1001,0),1)&gt;=100000,INDEX($AN$1005:$BO$1005,1,MATCH(COLUMNS($AN$1006:BL1006),$AN$1006:$BO$1006,0))&gt;=100000), " ",IF(INDEX($AN$2:$BO$1001,MATCH(ROWS($AG$2:AG448),$AG$2:$AG$1001,0),MATCH(COLUMNS($AN$1006:BL1006),$AN$1006:$BO$1006,0)), HYPERLINK("#",""), HYPERLINK(CONCATENATE("#Metadata!", ADDRESS(INDEX($AI$2:$AI$1001,MATCH(ROWS($AG$2:AG448),$AG$2:$AG$1001,0),0), INDEX($AN$1004:$BO$1004,1,MATCH(COLUMNS($AN$1006:BL1006),$AN$1006:$BO$1006,0)))),"Fix")))</f>
        <v>0</v>
      </c>
      <c r="AA448" s="4">
        <f>IF(OR(INDEX($AH$2:$AH$1001,MATCH(ROWS($AG$2:AG448),$AG$2:$AG$1001,0),1)&gt;=100000,INDEX($AN$1005:$BO$1005,1,MATCH(COLUMNS($AN$1006:BM1006),$AN$1006:$BO$1006,0))&gt;=100000), " ",IF(INDEX($AN$2:$BO$1001,MATCH(ROWS($AG$2:AG448),$AG$2:$AG$1001,0),MATCH(COLUMNS($AN$1006:BM1006),$AN$1006:$BO$1006,0)), HYPERLINK("#",""), HYPERLINK(CONCATENATE("#Metadata!", ADDRESS(INDEX($AI$2:$AI$1001,MATCH(ROWS($AG$2:AG448),$AG$2:$AG$1001,0),0), INDEX($AN$1004:$BO$1004,1,MATCH(COLUMNS($AN$1006:BM1006),$AN$1006:$BO$1006,0)))),"Fix")))</f>
        <v>0</v>
      </c>
      <c r="AB448" s="4">
        <f>IF(OR(INDEX($AH$2:$AH$1001,MATCH(ROWS($AG$2:AG448),$AG$2:$AG$1001,0),1)&gt;=100000,INDEX($AN$1005:$BO$1005,1,MATCH(COLUMNS($AN$1006:BN1006),$AN$1006:$BO$1006,0))&gt;=100000), " ",IF(INDEX($AN$2:$BO$1001,MATCH(ROWS($AG$2:AG448),$AG$2:$AG$1001,0),MATCH(COLUMNS($AN$1006:BN1006),$AN$1006:$BO$1006,0)), HYPERLINK("#",""), HYPERLINK(CONCATENATE("#Metadata!", ADDRESS(INDEX($AI$2:$AI$1001,MATCH(ROWS($AG$2:AG448),$AG$2:$AG$1001,0),0), INDEX($AN$1004:$BO$1004,1,MATCH(COLUMNS($AN$1006:BN1006),$AN$1006:$BO$1006,0)))),"Fix")))</f>
        <v>0</v>
      </c>
      <c r="AC448" s="4">
        <f>IF(OR(INDEX($AH$2:$AH$1001,MATCH(ROWS($AG$2:AG448),$AG$2:$AG$1001,0),1)&gt;=100000,INDEX($AN$1005:$BO$1005,1,MATCH(COLUMNS($AN$1006:BO1006),$AN$1006:$BO$1006,0))&gt;=100000), " ",IF(INDEX($AN$2:$BO$1001,MATCH(ROWS($AG$2:AG448),$AG$2:$AG$1001,0),MATCH(COLUMNS($AN$1006:BO1006),$AN$1006:$BO$1006,0)), HYPERLINK("#",""), HYPERLINK(CONCATENATE("#Metadata!", ADDRESS(INDEX($AI$2:$AI$1001,MATCH(ROWS($AG$2:AG448),$AG$2:$AG$1001,0),0), INDEX($AN$1004:$BO$1004,1,MATCH(COLUMNS($AN$1006:BO1006),$AN$1006:$BO$1006,0)))),"Fix")))</f>
        <v>0</v>
      </c>
      <c r="AG448">
        <v>0</v>
      </c>
      <c r="AH448">
        <v>0</v>
      </c>
      <c r="AI448">
        <v>0</v>
      </c>
      <c r="AJ448">
        <f>IF(AK448,TRUE,AND(AN448:BO448))</f>
        <v>0</v>
      </c>
      <c r="AK448">
        <f>COUNTBLANK(Metadata!B448:AC448)=COLUMNS(Metadata!B448:AC448)</f>
        <v>0</v>
      </c>
      <c r="AL448">
        <v>0</v>
      </c>
      <c r="AN448">
        <f>AND(IF(Metadata!B448="",FALSE,TRUE),COUNTIF(Metadata!B:B, Metadata!B448) = 1,NOT(ISERROR(SUMPRODUCT(SEARCH(MID(Metadata!B448,ROW(INDIRECT("1:"&amp;LEN(Metadata!B448))), 1),"0123456789abcdefghijklmnopqrstuvwxyzABCDEFGHIJKLMNOPQRSTUVWXYZ.")))))</f>
        <v>0</v>
      </c>
      <c r="AO448">
        <f>IF(Metadata!C448="",FALSE,TRUE)</f>
        <v>0</v>
      </c>
      <c r="AP448">
        <f>IF(Metadata!D448="",FALSE,TRUE)</f>
        <v>0</v>
      </c>
      <c r="AQ448">
        <f>OR(AND(IF(Metadata!E448="",FALSE,TRUE),OR(exact(Metadata!E448,"not collected"),exact(Metadata!E448,"not provided"),exact(Metadata!E448,"restricted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R448">
        <f>IF(Metadata!F448="",FALSE,TRUE)</f>
        <v>0</v>
      </c>
      <c r="AS448">
        <f>OR(AND(IF(Metadata!G448="",FALSE,TRUE),OR(exact(Metadata!G448,"not collected"),exact(Metadata!G448,"not provided"))),AND(IF(Metadata!G448="",FALSE,TRUE),OR(exact(Metadata!G448,"TRUE"),exact(Metadata!G448,"FALSE"))))</f>
        <v>0</v>
      </c>
      <c r="AT448">
        <f>OR(AND(IF(Metadata!H448="",FALSE,TRUE),OR(exact(Metadata!H448,"not collected"),exact(Metadata!H448,"not provided"),exact(Metadata!H448,"restricted access"))),AND(IF(Metadata!H448="",FALSE,ISNUMBER(VALUE(Metadata!H448))),Metadata!H448&gt;=-413.0))</f>
        <v>0</v>
      </c>
      <c r="AU448">
        <f>AND(IF(Metadata!I448="",FALSE,TRUE),exact(Metadata!I448,"meters"))</f>
        <v>0</v>
      </c>
      <c r="AV448">
        <f>AND(IF(Metadata!J448="",FALSE,TRUE),OR(exact(Metadata!J448,"Host-associated"),exact(Metadata!J448,"Free-living")))</f>
        <v>0</v>
      </c>
      <c r="AW448">
        <f>AND(IF(Metadata!K448="",FALSE,TRUE),OR(exact(Metadata!K448,"Animal"),exact(Metadata!K448,"Fungus"),exact(Metadata!K448,"Plant"),exact(Metadata!K448,"Saline"),exact(Metadata!K448,"Non-saline")))</f>
        <v>0</v>
      </c>
      <c r="AX448">
        <f>AND(IF(Metadata!L448="",FALSE,TRUE),OR(exact(Metadata!L448,"Plant secretion"),exact(Metadata!L448,"Plant rhizosphere"),exact(Metadata!L448,"Plant surface"),exact(Metadata!L448,"Plant corpus"),exact(Metadata!L448,"Fungus surface"),exact(Metadata!L448,"Fungus corpus"),exact(Metadata!L448,"Animal surface"),exact(Metadata!L448,"Animal proximal gut"),exact(Metadata!L448,"Animal corpus"),exact(Metadata!L448,"Animal distal gut"),exact(Metadata!L448,"Animal secretion"),exact(Metadata!L448,"Sub-surface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Y448">
        <f>IF(Metadata!M448="",FALSE,TRUE)</f>
        <v>0</v>
      </c>
      <c r="AZ448">
        <f>IF(Metadata!N448="",FALSE,TRUE)</f>
        <v>0</v>
      </c>
      <c r="BA448">
        <f>IF(Metadata!O448="",FALSE,TRUE)</f>
        <v>0</v>
      </c>
      <c r="BB448">
        <f>OR(AND(IF(Metadata!P448="",FALSE,TRUE),OR(exact(Metadata!P448,"not collected"),exact(Metadata!P448,"not provided"),exact(Metadata!P448,"restricted access"))),AND(IF(Metadata!P448="",FALSE,TRUE),OR(exact(Metadata!P448,"air"),exact(Metadata!P448,"built environment"),exact(Metadata!P448,"host-associated"),exact(Metadata!P448,"human-associated"),exact(Metadata!P448,"human-skin"),exact(Metadata!P448,"human-oral"),exact(Metadata!P448,"human-gut"),exact(Metadata!P448,"human-vaginal"),exact(Metadata!P448,"microbial mat/biofilm"),exact(Metadata!P448,"misc environment"),exact(Metadata!P448,"plant-associated"),exact(Metadata!P448,"sediment"),exact(Metadata!P448,"soil"),exact(Metadata!P448,"wastewater/sludge"),exact(Metadata!P448,"water"))))</f>
        <v>0</v>
      </c>
      <c r="BC448">
        <f>IF(Metadata!Q448="",FALSE,TRUE)</f>
        <v>0</v>
      </c>
      <c r="BD448">
        <f>IF(Metadata!R448="",FALSE,TRUE)</f>
        <v>0</v>
      </c>
      <c r="BE448">
        <f>OR(AND(IF(Metadata!S448="",FALSE,TRUE),OR(exact(Metadata!S448,"not collected"),exact(Metadata!S448,"not provided"),exact(Metadata!S448,"restricted access"))),AND(IF(Metadata!S448="",FALSE,ISNUMBER(VALUE(Metadata!S448))),Metadata!S448&gt;=-90.00,Metadata!S448&lt;=90.00))</f>
        <v>0</v>
      </c>
      <c r="BF448">
        <f>AND(IF(Metadata!T448="",FALSE,TRUE),exact(Metadata!T448,"Decimal degrees"))</f>
        <v>0</v>
      </c>
      <c r="BG448">
        <f>OR(AND(IF(Metadata!U448="",FALSE,TRUE),OR(exact(Metadata!U448,"not collected"),exact(Metadata!U448,"not provided"),exact(Metadata!U448,"restricted access"))),AND(IF(Metadata!U448="",FALSE,ISNUMBER(VALUE(Metadata!U448))),Metadata!U448&gt;=-180.00,Metadata!U448&lt;=180.00))</f>
        <v>0</v>
      </c>
      <c r="BH448">
        <f>AND(IF(Metadata!V448="",FALSE,TRUE),exact(Metadata!V448,"Decimal degrees"))</f>
        <v>0</v>
      </c>
      <c r="BI448">
        <f>IF(Metadata!W448="",FALSE,TRUE)</f>
        <v>0</v>
      </c>
      <c r="BJ448">
        <f>OR(AND(IF(Metadata!X448="",FALSE,TRUE),OR(exact(Metadata!X448,"not collected"),exact(Metadata!X448,"not provided"),exact(Metadata!X448,"restricted access"))),AND(IF(Metadata!X448="",FALSE,TRUE),OR(exact(Metadata!X448,"TRUE"),exact(Metadata!X448,"FALSE"))))</f>
        <v>0</v>
      </c>
      <c r="BK448">
        <f>AND(IF(Metadata!Y448="",FALSE,TRUE),exact(Metadata!Y448,"other"))</f>
        <v>0</v>
      </c>
      <c r="BL448">
        <f>IF(Metadata!Z448="",FALSE,TRUE)</f>
        <v>0</v>
      </c>
      <c r="BM448">
        <f>OR(AND(IF(Metadata!AA448="",FALSE,TRUE),OR(exact(Metadata!AA448,"not collected"),exact(Metadata!AA448,"not provided"))),AND(IF(Metadata!AA448="",FALSE,IF(ISERROR(INT(Metadata!AA448)),FALSE,INT(Metadata!AA448)=Metadata!AA448)),Metadata!AA448&gt;0))</f>
        <v>0</v>
      </c>
      <c r="BN448">
        <f>AND(IF(Metadata!AB448="",FALSE,TRUE),exact(Metadata!AB448,"Not applicable"))</f>
        <v>0</v>
      </c>
      <c r="BO448">
        <f>IF(Metadata!AC448="",FALSE,TRUE)</f>
        <v>0</v>
      </c>
    </row>
    <row r="449" spans="1:67">
      <c r="A449" s="5">
        <f>IF(B449=" "," ",HYPERLINK(CONCATENATE("#metadata!",ADDRESS(INDEX($AI$2:$AI$1001,MATCH(ROWS($AG$2:AG449),$AG$2:$AG$1001,0),0),1)),INDEX($AL$2:$AL$1001,MATCH(ROWS($AG$2:AG449),$AG$2:$AG$1001,0),0)))</f>
        <v>0</v>
      </c>
      <c r="B449" s="4">
        <f>IF(OR(INDEX($AH$2:$AH$1001,MATCH(ROWS($AG$2:AG449),$AG$2:$AG$1001,0),1)&gt;=100000,INDEX($AN$1005:$BO$1005,1,MATCH(COLUMNS($AN$1006:AN1006),$AN$1006:$BO$1006,0))&gt;=100000), " ",IF(INDEX($AN$2:$BO$1001,MATCH(ROWS($AG$2:AG449),$AG$2:$AG$1001,0),MATCH(COLUMNS($AN$1006:AN1006),$AN$1006:$BO$1006,0)), HYPERLINK("#",""), HYPERLINK(CONCATENATE("#Metadata!", ADDRESS(INDEX($AI$2:$AI$1001,MATCH(ROWS($AG$2:AG449),$AG$2:$AG$1001,0),0), INDEX($AN$1004:$BO$1004,1,MATCH(COLUMNS($AN$1006:AN1006),$AN$1006:$BO$1006,0)))),"Fix")))</f>
        <v>0</v>
      </c>
      <c r="C449" s="4">
        <f>IF(OR(INDEX($AH$2:$AH$1001,MATCH(ROWS($AG$2:AG449),$AG$2:$AG$1001,0),1)&gt;=100000,INDEX($AN$1005:$BO$1005,1,MATCH(COLUMNS($AN$1006:AO1006),$AN$1006:$BO$1006,0))&gt;=100000), " ",IF(INDEX($AN$2:$BO$1001,MATCH(ROWS($AG$2:AG449),$AG$2:$AG$1001,0),MATCH(COLUMNS($AN$1006:AO1006),$AN$1006:$BO$1006,0)), HYPERLINK("#",""), HYPERLINK(CONCATENATE("#Metadata!", ADDRESS(INDEX($AI$2:$AI$1001,MATCH(ROWS($AG$2:AG449),$AG$2:$AG$1001,0),0), INDEX($AN$1004:$BO$1004,1,MATCH(COLUMNS($AN$1006:AO1006),$AN$1006:$BO$1006,0)))),"Fix")))</f>
        <v>0</v>
      </c>
      <c r="D449" s="4">
        <f>IF(OR(INDEX($AH$2:$AH$1001,MATCH(ROWS($AG$2:AG449),$AG$2:$AG$1001,0),1)&gt;=100000,INDEX($AN$1005:$BO$1005,1,MATCH(COLUMNS($AN$1006:AP1006),$AN$1006:$BO$1006,0))&gt;=100000), " ",IF(INDEX($AN$2:$BO$1001,MATCH(ROWS($AG$2:AG449),$AG$2:$AG$1001,0),MATCH(COLUMNS($AN$1006:AP1006),$AN$1006:$BO$1006,0)), HYPERLINK("#",""), HYPERLINK(CONCATENATE("#Metadata!", ADDRESS(INDEX($AI$2:$AI$1001,MATCH(ROWS($AG$2:AG449),$AG$2:$AG$1001,0),0), INDEX($AN$1004:$BO$1004,1,MATCH(COLUMNS($AN$1006:AP1006),$AN$1006:$BO$1006,0)))),"Fix")))</f>
        <v>0</v>
      </c>
      <c r="E449" s="4">
        <f>IF(OR(INDEX($AH$2:$AH$1001,MATCH(ROWS($AG$2:AG449),$AG$2:$AG$1001,0),1)&gt;=100000,INDEX($AN$1005:$BO$1005,1,MATCH(COLUMNS($AN$1006:AQ1006),$AN$1006:$BO$1006,0))&gt;=100000), " ",IF(INDEX($AN$2:$BO$1001,MATCH(ROWS($AG$2:AG449),$AG$2:$AG$1001,0),MATCH(COLUMNS($AN$1006:AQ1006),$AN$1006:$BO$1006,0)), HYPERLINK("#",""), HYPERLINK(CONCATENATE("#Metadata!", ADDRESS(INDEX($AI$2:$AI$1001,MATCH(ROWS($AG$2:AG449),$AG$2:$AG$1001,0),0), INDEX($AN$1004:$BO$1004,1,MATCH(COLUMNS($AN$1006:AQ1006),$AN$1006:$BO$1006,0)))),"Fix")))</f>
        <v>0</v>
      </c>
      <c r="F449" s="4">
        <f>IF(OR(INDEX($AH$2:$AH$1001,MATCH(ROWS($AG$2:AG449),$AG$2:$AG$1001,0),1)&gt;=100000,INDEX($AN$1005:$BO$1005,1,MATCH(COLUMNS($AN$1006:AR1006),$AN$1006:$BO$1006,0))&gt;=100000), " ",IF(INDEX($AN$2:$BO$1001,MATCH(ROWS($AG$2:AG449),$AG$2:$AG$1001,0),MATCH(COLUMNS($AN$1006:AR1006),$AN$1006:$BO$1006,0)), HYPERLINK("#",""), HYPERLINK(CONCATENATE("#Metadata!", ADDRESS(INDEX($AI$2:$AI$1001,MATCH(ROWS($AG$2:AG449),$AG$2:$AG$1001,0),0), INDEX($AN$1004:$BO$1004,1,MATCH(COLUMNS($AN$1006:AR1006),$AN$1006:$BO$1006,0)))),"Fix")))</f>
        <v>0</v>
      </c>
      <c r="G449" s="4">
        <f>IF(OR(INDEX($AH$2:$AH$1001,MATCH(ROWS($AG$2:AG449),$AG$2:$AG$1001,0),1)&gt;=100000,INDEX($AN$1005:$BO$1005,1,MATCH(COLUMNS($AN$1006:AS1006),$AN$1006:$BO$1006,0))&gt;=100000), " ",IF(INDEX($AN$2:$BO$1001,MATCH(ROWS($AG$2:AG449),$AG$2:$AG$1001,0),MATCH(COLUMNS($AN$1006:AS1006),$AN$1006:$BO$1006,0)), HYPERLINK("#",""), HYPERLINK(CONCATENATE("#Metadata!", ADDRESS(INDEX($AI$2:$AI$1001,MATCH(ROWS($AG$2:AG449),$AG$2:$AG$1001,0),0), INDEX($AN$1004:$BO$1004,1,MATCH(COLUMNS($AN$1006:AS1006),$AN$1006:$BO$1006,0)))),"Fix")))</f>
        <v>0</v>
      </c>
      <c r="H449" s="4">
        <f>IF(OR(INDEX($AH$2:$AH$1001,MATCH(ROWS($AG$2:AG449),$AG$2:$AG$1001,0),1)&gt;=100000,INDEX($AN$1005:$BO$1005,1,MATCH(COLUMNS($AN$1006:AT1006),$AN$1006:$BO$1006,0))&gt;=100000), " ",IF(INDEX($AN$2:$BO$1001,MATCH(ROWS($AG$2:AG449),$AG$2:$AG$1001,0),MATCH(COLUMNS($AN$1006:AT1006),$AN$1006:$BO$1006,0)), HYPERLINK("#",""), HYPERLINK(CONCATENATE("#Metadata!", ADDRESS(INDEX($AI$2:$AI$1001,MATCH(ROWS($AG$2:AG449),$AG$2:$AG$1001,0),0), INDEX($AN$1004:$BO$1004,1,MATCH(COLUMNS($AN$1006:AT1006),$AN$1006:$BO$1006,0)))),"Fix")))</f>
        <v>0</v>
      </c>
      <c r="I449" s="4">
        <f>IF(OR(INDEX($AH$2:$AH$1001,MATCH(ROWS($AG$2:AG449),$AG$2:$AG$1001,0),1)&gt;=100000,INDEX($AN$1005:$BO$1005,1,MATCH(COLUMNS($AN$1006:AU1006),$AN$1006:$BO$1006,0))&gt;=100000), " ",IF(INDEX($AN$2:$BO$1001,MATCH(ROWS($AG$2:AG449),$AG$2:$AG$1001,0),MATCH(COLUMNS($AN$1006:AU1006),$AN$1006:$BO$1006,0)), HYPERLINK("#",""), HYPERLINK(CONCATENATE("#Metadata!", ADDRESS(INDEX($AI$2:$AI$1001,MATCH(ROWS($AG$2:AG449),$AG$2:$AG$1001,0),0), INDEX($AN$1004:$BO$1004,1,MATCH(COLUMNS($AN$1006:AU1006),$AN$1006:$BO$1006,0)))),"Fix")))</f>
        <v>0</v>
      </c>
      <c r="J449" s="4">
        <f>IF(OR(INDEX($AH$2:$AH$1001,MATCH(ROWS($AG$2:AG449),$AG$2:$AG$1001,0),1)&gt;=100000,INDEX($AN$1005:$BO$1005,1,MATCH(COLUMNS($AN$1006:AV1006),$AN$1006:$BO$1006,0))&gt;=100000), " ",IF(INDEX($AN$2:$BO$1001,MATCH(ROWS($AG$2:AG449),$AG$2:$AG$1001,0),MATCH(COLUMNS($AN$1006:AV1006),$AN$1006:$BO$1006,0)), HYPERLINK("#",""), HYPERLINK(CONCATENATE("#Metadata!", ADDRESS(INDEX($AI$2:$AI$1001,MATCH(ROWS($AG$2:AG449),$AG$2:$AG$1001,0),0), INDEX($AN$1004:$BO$1004,1,MATCH(COLUMNS($AN$1006:AV1006),$AN$1006:$BO$1006,0)))),"Fix")))</f>
        <v>0</v>
      </c>
      <c r="K449" s="4">
        <f>IF(OR(INDEX($AH$2:$AH$1001,MATCH(ROWS($AG$2:AG449),$AG$2:$AG$1001,0),1)&gt;=100000,INDEX($AN$1005:$BO$1005,1,MATCH(COLUMNS($AN$1006:AW1006),$AN$1006:$BO$1006,0))&gt;=100000), " ",IF(INDEX($AN$2:$BO$1001,MATCH(ROWS($AG$2:AG449),$AG$2:$AG$1001,0),MATCH(COLUMNS($AN$1006:AW1006),$AN$1006:$BO$1006,0)), HYPERLINK("#",""), HYPERLINK(CONCATENATE("#Metadata!", ADDRESS(INDEX($AI$2:$AI$1001,MATCH(ROWS($AG$2:AG449),$AG$2:$AG$1001,0),0), INDEX($AN$1004:$BO$1004,1,MATCH(COLUMNS($AN$1006:AW1006),$AN$1006:$BO$1006,0)))),"Fix")))</f>
        <v>0</v>
      </c>
      <c r="L449" s="4">
        <f>IF(OR(INDEX($AH$2:$AH$1001,MATCH(ROWS($AG$2:AG449),$AG$2:$AG$1001,0),1)&gt;=100000,INDEX($AN$1005:$BO$1005,1,MATCH(COLUMNS($AN$1006:AX1006),$AN$1006:$BO$1006,0))&gt;=100000), " ",IF(INDEX($AN$2:$BO$1001,MATCH(ROWS($AG$2:AG449),$AG$2:$AG$1001,0),MATCH(COLUMNS($AN$1006:AX1006),$AN$1006:$BO$1006,0)), HYPERLINK("#",""), HYPERLINK(CONCATENATE("#Metadata!", ADDRESS(INDEX($AI$2:$AI$1001,MATCH(ROWS($AG$2:AG449),$AG$2:$AG$1001,0),0), INDEX($AN$1004:$BO$1004,1,MATCH(COLUMNS($AN$1006:AX1006),$AN$1006:$BO$1006,0)))),"Fix")))</f>
        <v>0</v>
      </c>
      <c r="M449" s="4">
        <f>IF(OR(INDEX($AH$2:$AH$1001,MATCH(ROWS($AG$2:AG449),$AG$2:$AG$1001,0),1)&gt;=100000,INDEX($AN$1005:$BO$1005,1,MATCH(COLUMNS($AN$1006:AY1006),$AN$1006:$BO$1006,0))&gt;=100000), " ",IF(INDEX($AN$2:$BO$1001,MATCH(ROWS($AG$2:AG449),$AG$2:$AG$1001,0),MATCH(COLUMNS($AN$1006:AY1006),$AN$1006:$BO$1006,0)), HYPERLINK("#",""), HYPERLINK(CONCATENATE("#Metadata!", ADDRESS(INDEX($AI$2:$AI$1001,MATCH(ROWS($AG$2:AG449),$AG$2:$AG$1001,0),0), INDEX($AN$1004:$BO$1004,1,MATCH(COLUMNS($AN$1006:AY1006),$AN$1006:$BO$1006,0)))),"Fix")))</f>
        <v>0</v>
      </c>
      <c r="N449" s="4">
        <f>IF(OR(INDEX($AH$2:$AH$1001,MATCH(ROWS($AG$2:AG449),$AG$2:$AG$1001,0),1)&gt;=100000,INDEX($AN$1005:$BO$1005,1,MATCH(COLUMNS($AN$1006:AZ1006),$AN$1006:$BO$1006,0))&gt;=100000), " ",IF(INDEX($AN$2:$BO$1001,MATCH(ROWS($AG$2:AG449),$AG$2:$AG$1001,0),MATCH(COLUMNS($AN$1006:AZ1006),$AN$1006:$BO$1006,0)), HYPERLINK("#",""), HYPERLINK(CONCATENATE("#Metadata!", ADDRESS(INDEX($AI$2:$AI$1001,MATCH(ROWS($AG$2:AG449),$AG$2:$AG$1001,0),0), INDEX($AN$1004:$BO$1004,1,MATCH(COLUMNS($AN$1006:AZ1006),$AN$1006:$BO$1006,0)))),"Fix")))</f>
        <v>0</v>
      </c>
      <c r="O449" s="4">
        <f>IF(OR(INDEX($AH$2:$AH$1001,MATCH(ROWS($AG$2:AG449),$AG$2:$AG$1001,0),1)&gt;=100000,INDEX($AN$1005:$BO$1005,1,MATCH(COLUMNS($AN$1006:BA1006),$AN$1006:$BO$1006,0))&gt;=100000), " ",IF(INDEX($AN$2:$BO$1001,MATCH(ROWS($AG$2:AG449),$AG$2:$AG$1001,0),MATCH(COLUMNS($AN$1006:BA1006),$AN$1006:$BO$1006,0)), HYPERLINK("#",""), HYPERLINK(CONCATENATE("#Metadata!", ADDRESS(INDEX($AI$2:$AI$1001,MATCH(ROWS($AG$2:AG449),$AG$2:$AG$1001,0),0), INDEX($AN$1004:$BO$1004,1,MATCH(COLUMNS($AN$1006:BA1006),$AN$1006:$BO$1006,0)))),"Fix")))</f>
        <v>0</v>
      </c>
      <c r="P449" s="4">
        <f>IF(OR(INDEX($AH$2:$AH$1001,MATCH(ROWS($AG$2:AG449),$AG$2:$AG$1001,0),1)&gt;=100000,INDEX($AN$1005:$BO$1005,1,MATCH(COLUMNS($AN$1006:BB1006),$AN$1006:$BO$1006,0))&gt;=100000), " ",IF(INDEX($AN$2:$BO$1001,MATCH(ROWS($AG$2:AG449),$AG$2:$AG$1001,0),MATCH(COLUMNS($AN$1006:BB1006),$AN$1006:$BO$1006,0)), HYPERLINK("#",""), HYPERLINK(CONCATENATE("#Metadata!", ADDRESS(INDEX($AI$2:$AI$1001,MATCH(ROWS($AG$2:AG449),$AG$2:$AG$1001,0),0), INDEX($AN$1004:$BO$1004,1,MATCH(COLUMNS($AN$1006:BB1006),$AN$1006:$BO$1006,0)))),"Fix")))</f>
        <v>0</v>
      </c>
      <c r="Q449" s="4">
        <f>IF(OR(INDEX($AH$2:$AH$1001,MATCH(ROWS($AG$2:AG449),$AG$2:$AG$1001,0),1)&gt;=100000,INDEX($AN$1005:$BO$1005,1,MATCH(COLUMNS($AN$1006:BC1006),$AN$1006:$BO$1006,0))&gt;=100000), " ",IF(INDEX($AN$2:$BO$1001,MATCH(ROWS($AG$2:AG449),$AG$2:$AG$1001,0),MATCH(COLUMNS($AN$1006:BC1006),$AN$1006:$BO$1006,0)), HYPERLINK("#",""), HYPERLINK(CONCATENATE("#Metadata!", ADDRESS(INDEX($AI$2:$AI$1001,MATCH(ROWS($AG$2:AG449),$AG$2:$AG$1001,0),0), INDEX($AN$1004:$BO$1004,1,MATCH(COLUMNS($AN$1006:BC1006),$AN$1006:$BO$1006,0)))),"Fix")))</f>
        <v>0</v>
      </c>
      <c r="R449" s="4">
        <f>IF(OR(INDEX($AH$2:$AH$1001,MATCH(ROWS($AG$2:AG449),$AG$2:$AG$1001,0),1)&gt;=100000,INDEX($AN$1005:$BO$1005,1,MATCH(COLUMNS($AN$1006:BD1006),$AN$1006:$BO$1006,0))&gt;=100000), " ",IF(INDEX($AN$2:$BO$1001,MATCH(ROWS($AG$2:AG449),$AG$2:$AG$1001,0),MATCH(COLUMNS($AN$1006:BD1006),$AN$1006:$BO$1006,0)), HYPERLINK("#",""), HYPERLINK(CONCATENATE("#Metadata!", ADDRESS(INDEX($AI$2:$AI$1001,MATCH(ROWS($AG$2:AG449),$AG$2:$AG$1001,0),0), INDEX($AN$1004:$BO$1004,1,MATCH(COLUMNS($AN$1006:BD1006),$AN$1006:$BO$1006,0)))),"Fix")))</f>
        <v>0</v>
      </c>
      <c r="S449" s="4">
        <f>IF(OR(INDEX($AH$2:$AH$1001,MATCH(ROWS($AG$2:AG449),$AG$2:$AG$1001,0),1)&gt;=100000,INDEX($AN$1005:$BO$1005,1,MATCH(COLUMNS($AN$1006:BE1006),$AN$1006:$BO$1006,0))&gt;=100000), " ",IF(INDEX($AN$2:$BO$1001,MATCH(ROWS($AG$2:AG449),$AG$2:$AG$1001,0),MATCH(COLUMNS($AN$1006:BE1006),$AN$1006:$BO$1006,0)), HYPERLINK("#",""), HYPERLINK(CONCATENATE("#Metadata!", ADDRESS(INDEX($AI$2:$AI$1001,MATCH(ROWS($AG$2:AG449),$AG$2:$AG$1001,0),0), INDEX($AN$1004:$BO$1004,1,MATCH(COLUMNS($AN$1006:BE1006),$AN$1006:$BO$1006,0)))),"Fix")))</f>
        <v>0</v>
      </c>
      <c r="T449" s="4">
        <f>IF(OR(INDEX($AH$2:$AH$1001,MATCH(ROWS($AG$2:AG449),$AG$2:$AG$1001,0),1)&gt;=100000,INDEX($AN$1005:$BO$1005,1,MATCH(COLUMNS($AN$1006:BF1006),$AN$1006:$BO$1006,0))&gt;=100000), " ",IF(INDEX($AN$2:$BO$1001,MATCH(ROWS($AG$2:AG449),$AG$2:$AG$1001,0),MATCH(COLUMNS($AN$1006:BF1006),$AN$1006:$BO$1006,0)), HYPERLINK("#",""), HYPERLINK(CONCATENATE("#Metadata!", ADDRESS(INDEX($AI$2:$AI$1001,MATCH(ROWS($AG$2:AG449),$AG$2:$AG$1001,0),0), INDEX($AN$1004:$BO$1004,1,MATCH(COLUMNS($AN$1006:BF1006),$AN$1006:$BO$1006,0)))),"Fix")))</f>
        <v>0</v>
      </c>
      <c r="U449" s="4">
        <f>IF(OR(INDEX($AH$2:$AH$1001,MATCH(ROWS($AG$2:AG449),$AG$2:$AG$1001,0),1)&gt;=100000,INDEX($AN$1005:$BO$1005,1,MATCH(COLUMNS($AN$1006:BG1006),$AN$1006:$BO$1006,0))&gt;=100000), " ",IF(INDEX($AN$2:$BO$1001,MATCH(ROWS($AG$2:AG449),$AG$2:$AG$1001,0),MATCH(COLUMNS($AN$1006:BG1006),$AN$1006:$BO$1006,0)), HYPERLINK("#",""), HYPERLINK(CONCATENATE("#Metadata!", ADDRESS(INDEX($AI$2:$AI$1001,MATCH(ROWS($AG$2:AG449),$AG$2:$AG$1001,0),0), INDEX($AN$1004:$BO$1004,1,MATCH(COLUMNS($AN$1006:BG1006),$AN$1006:$BO$1006,0)))),"Fix")))</f>
        <v>0</v>
      </c>
      <c r="V449" s="4">
        <f>IF(OR(INDEX($AH$2:$AH$1001,MATCH(ROWS($AG$2:AG449),$AG$2:$AG$1001,0),1)&gt;=100000,INDEX($AN$1005:$BO$1005,1,MATCH(COLUMNS($AN$1006:BH1006),$AN$1006:$BO$1006,0))&gt;=100000), " ",IF(INDEX($AN$2:$BO$1001,MATCH(ROWS($AG$2:AG449),$AG$2:$AG$1001,0),MATCH(COLUMNS($AN$1006:BH1006),$AN$1006:$BO$1006,0)), HYPERLINK("#",""), HYPERLINK(CONCATENATE("#Metadata!", ADDRESS(INDEX($AI$2:$AI$1001,MATCH(ROWS($AG$2:AG449),$AG$2:$AG$1001,0),0), INDEX($AN$1004:$BO$1004,1,MATCH(COLUMNS($AN$1006:BH1006),$AN$1006:$BO$1006,0)))),"Fix")))</f>
        <v>0</v>
      </c>
      <c r="W449" s="4">
        <f>IF(OR(INDEX($AH$2:$AH$1001,MATCH(ROWS($AG$2:AG449),$AG$2:$AG$1001,0),1)&gt;=100000,INDEX($AN$1005:$BO$1005,1,MATCH(COLUMNS($AN$1006:BI1006),$AN$1006:$BO$1006,0))&gt;=100000), " ",IF(INDEX($AN$2:$BO$1001,MATCH(ROWS($AG$2:AG449),$AG$2:$AG$1001,0),MATCH(COLUMNS($AN$1006:BI1006),$AN$1006:$BO$1006,0)), HYPERLINK("#",""), HYPERLINK(CONCATENATE("#Metadata!", ADDRESS(INDEX($AI$2:$AI$1001,MATCH(ROWS($AG$2:AG449),$AG$2:$AG$1001,0),0), INDEX($AN$1004:$BO$1004,1,MATCH(COLUMNS($AN$1006:BI1006),$AN$1006:$BO$1006,0)))),"Fix")))</f>
        <v>0</v>
      </c>
      <c r="X449" s="4">
        <f>IF(OR(INDEX($AH$2:$AH$1001,MATCH(ROWS($AG$2:AG449),$AG$2:$AG$1001,0),1)&gt;=100000,INDEX($AN$1005:$BO$1005,1,MATCH(COLUMNS($AN$1006:BJ1006),$AN$1006:$BO$1006,0))&gt;=100000), " ",IF(INDEX($AN$2:$BO$1001,MATCH(ROWS($AG$2:AG449),$AG$2:$AG$1001,0),MATCH(COLUMNS($AN$1006:BJ1006),$AN$1006:$BO$1006,0)), HYPERLINK("#",""), HYPERLINK(CONCATENATE("#Metadata!", ADDRESS(INDEX($AI$2:$AI$1001,MATCH(ROWS($AG$2:AG449),$AG$2:$AG$1001,0),0), INDEX($AN$1004:$BO$1004,1,MATCH(COLUMNS($AN$1006:BJ1006),$AN$1006:$BO$1006,0)))),"Fix")))</f>
        <v>0</v>
      </c>
      <c r="Y449" s="4">
        <f>IF(OR(INDEX($AH$2:$AH$1001,MATCH(ROWS($AG$2:AG449),$AG$2:$AG$1001,0),1)&gt;=100000,INDEX($AN$1005:$BO$1005,1,MATCH(COLUMNS($AN$1006:BK1006),$AN$1006:$BO$1006,0))&gt;=100000), " ",IF(INDEX($AN$2:$BO$1001,MATCH(ROWS($AG$2:AG449),$AG$2:$AG$1001,0),MATCH(COLUMNS($AN$1006:BK1006),$AN$1006:$BO$1006,0)), HYPERLINK("#",""), HYPERLINK(CONCATENATE("#Metadata!", ADDRESS(INDEX($AI$2:$AI$1001,MATCH(ROWS($AG$2:AG449),$AG$2:$AG$1001,0),0), INDEX($AN$1004:$BO$1004,1,MATCH(COLUMNS($AN$1006:BK1006),$AN$1006:$BO$1006,0)))),"Fix")))</f>
        <v>0</v>
      </c>
      <c r="Z449" s="4">
        <f>IF(OR(INDEX($AH$2:$AH$1001,MATCH(ROWS($AG$2:AG449),$AG$2:$AG$1001,0),1)&gt;=100000,INDEX($AN$1005:$BO$1005,1,MATCH(COLUMNS($AN$1006:BL1006),$AN$1006:$BO$1006,0))&gt;=100000), " ",IF(INDEX($AN$2:$BO$1001,MATCH(ROWS($AG$2:AG449),$AG$2:$AG$1001,0),MATCH(COLUMNS($AN$1006:BL1006),$AN$1006:$BO$1006,0)), HYPERLINK("#",""), HYPERLINK(CONCATENATE("#Metadata!", ADDRESS(INDEX($AI$2:$AI$1001,MATCH(ROWS($AG$2:AG449),$AG$2:$AG$1001,0),0), INDEX($AN$1004:$BO$1004,1,MATCH(COLUMNS($AN$1006:BL1006),$AN$1006:$BO$1006,0)))),"Fix")))</f>
        <v>0</v>
      </c>
      <c r="AA449" s="4">
        <f>IF(OR(INDEX($AH$2:$AH$1001,MATCH(ROWS($AG$2:AG449),$AG$2:$AG$1001,0),1)&gt;=100000,INDEX($AN$1005:$BO$1005,1,MATCH(COLUMNS($AN$1006:BM1006),$AN$1006:$BO$1006,0))&gt;=100000), " ",IF(INDEX($AN$2:$BO$1001,MATCH(ROWS($AG$2:AG449),$AG$2:$AG$1001,0),MATCH(COLUMNS($AN$1006:BM1006),$AN$1006:$BO$1006,0)), HYPERLINK("#",""), HYPERLINK(CONCATENATE("#Metadata!", ADDRESS(INDEX($AI$2:$AI$1001,MATCH(ROWS($AG$2:AG449),$AG$2:$AG$1001,0),0), INDEX($AN$1004:$BO$1004,1,MATCH(COLUMNS($AN$1006:BM1006),$AN$1006:$BO$1006,0)))),"Fix")))</f>
        <v>0</v>
      </c>
      <c r="AB449" s="4">
        <f>IF(OR(INDEX($AH$2:$AH$1001,MATCH(ROWS($AG$2:AG449),$AG$2:$AG$1001,0),1)&gt;=100000,INDEX($AN$1005:$BO$1005,1,MATCH(COLUMNS($AN$1006:BN1006),$AN$1006:$BO$1006,0))&gt;=100000), " ",IF(INDEX($AN$2:$BO$1001,MATCH(ROWS($AG$2:AG449),$AG$2:$AG$1001,0),MATCH(COLUMNS($AN$1006:BN1006),$AN$1006:$BO$1006,0)), HYPERLINK("#",""), HYPERLINK(CONCATENATE("#Metadata!", ADDRESS(INDEX($AI$2:$AI$1001,MATCH(ROWS($AG$2:AG449),$AG$2:$AG$1001,0),0), INDEX($AN$1004:$BO$1004,1,MATCH(COLUMNS($AN$1006:BN1006),$AN$1006:$BO$1006,0)))),"Fix")))</f>
        <v>0</v>
      </c>
      <c r="AC449" s="4">
        <f>IF(OR(INDEX($AH$2:$AH$1001,MATCH(ROWS($AG$2:AG449),$AG$2:$AG$1001,0),1)&gt;=100000,INDEX($AN$1005:$BO$1005,1,MATCH(COLUMNS($AN$1006:BO1006),$AN$1006:$BO$1006,0))&gt;=100000), " ",IF(INDEX($AN$2:$BO$1001,MATCH(ROWS($AG$2:AG449),$AG$2:$AG$1001,0),MATCH(COLUMNS($AN$1006:BO1006),$AN$1006:$BO$1006,0)), HYPERLINK("#",""), HYPERLINK(CONCATENATE("#Metadata!", ADDRESS(INDEX($AI$2:$AI$1001,MATCH(ROWS($AG$2:AG449),$AG$2:$AG$1001,0),0), INDEX($AN$1004:$BO$1004,1,MATCH(COLUMNS($AN$1006:BO1006),$AN$1006:$BO$1006,0)))),"Fix")))</f>
        <v>0</v>
      </c>
      <c r="AG449">
        <v>0</v>
      </c>
      <c r="AH449">
        <v>0</v>
      </c>
      <c r="AI449">
        <v>0</v>
      </c>
      <c r="AJ449">
        <f>IF(AK449,TRUE,AND(AN449:BO449))</f>
        <v>0</v>
      </c>
      <c r="AK449">
        <f>COUNTBLANK(Metadata!B449:AC449)=COLUMNS(Metadata!B449:AC449)</f>
        <v>0</v>
      </c>
      <c r="AL449">
        <v>0</v>
      </c>
      <c r="AN449">
        <f>AND(IF(Metadata!B449="",FALSE,TRUE),COUNTIF(Metadata!B:B, Metadata!B449) = 1,NOT(ISERROR(SUMPRODUCT(SEARCH(MID(Metadata!B449,ROW(INDIRECT("1:"&amp;LEN(Metadata!B449))), 1),"0123456789abcdefghijklmnopqrstuvwxyzABCDEFGHIJKLMNOPQRSTUVWXYZ.")))))</f>
        <v>0</v>
      </c>
      <c r="AO449">
        <f>IF(Metadata!C449="",FALSE,TRUE)</f>
        <v>0</v>
      </c>
      <c r="AP449">
        <f>IF(Metadata!D449="",FALSE,TRUE)</f>
        <v>0</v>
      </c>
      <c r="AQ449">
        <f>OR(AND(IF(Metadata!E449="",FALSE,TRUE),OR(exact(Metadata!E449,"not collected"),exact(Metadata!E449,"not provided"),exact(Metadata!E449,"restricted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R449">
        <f>IF(Metadata!F449="",FALSE,TRUE)</f>
        <v>0</v>
      </c>
      <c r="AS449">
        <f>OR(AND(IF(Metadata!G449="",FALSE,TRUE),OR(exact(Metadata!G449,"not collected"),exact(Metadata!G449,"not provided"))),AND(IF(Metadata!G449="",FALSE,TRUE),OR(exact(Metadata!G449,"TRUE"),exact(Metadata!G449,"FALSE"))))</f>
        <v>0</v>
      </c>
      <c r="AT449">
        <f>OR(AND(IF(Metadata!H449="",FALSE,TRUE),OR(exact(Metadata!H449,"not collected"),exact(Metadata!H449,"not provided"),exact(Metadata!H449,"restricted access"))),AND(IF(Metadata!H449="",FALSE,ISNUMBER(VALUE(Metadata!H449))),Metadata!H449&gt;=-413.0))</f>
        <v>0</v>
      </c>
      <c r="AU449">
        <f>AND(IF(Metadata!I449="",FALSE,TRUE),exact(Metadata!I449,"meters"))</f>
        <v>0</v>
      </c>
      <c r="AV449">
        <f>AND(IF(Metadata!J449="",FALSE,TRUE),OR(exact(Metadata!J449,"Host-associated"),exact(Metadata!J449,"Free-living")))</f>
        <v>0</v>
      </c>
      <c r="AW449">
        <f>AND(IF(Metadata!K449="",FALSE,TRUE),OR(exact(Metadata!K449,"Animal"),exact(Metadata!K449,"Fungus"),exact(Metadata!K449,"Plant"),exact(Metadata!K449,"Saline"),exact(Metadata!K449,"Non-saline")))</f>
        <v>0</v>
      </c>
      <c r="AX449">
        <f>AND(IF(Metadata!L449="",FALSE,TRUE),OR(exact(Metadata!L449,"Plant secretion"),exact(Metadata!L449,"Plant rhizosphere"),exact(Metadata!L449,"Plant surface"),exact(Metadata!L449,"Plant corpus"),exact(Metadata!L449,"Fungus surface"),exact(Metadata!L449,"Fungus corpus"),exact(Metadata!L449,"Animal surface"),exact(Metadata!L449,"Animal proximal gut"),exact(Metadata!L449,"Animal corpus"),exact(Metadata!L449,"Animal distal gut"),exact(Metadata!L449,"Animal secretion"),exact(Metadata!L449,"Sub-surface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Y449">
        <f>IF(Metadata!M449="",FALSE,TRUE)</f>
        <v>0</v>
      </c>
      <c r="AZ449">
        <f>IF(Metadata!N449="",FALSE,TRUE)</f>
        <v>0</v>
      </c>
      <c r="BA449">
        <f>IF(Metadata!O449="",FALSE,TRUE)</f>
        <v>0</v>
      </c>
      <c r="BB449">
        <f>OR(AND(IF(Metadata!P449="",FALSE,TRUE),OR(exact(Metadata!P449,"not collected"),exact(Metadata!P449,"not provided"),exact(Metadata!P449,"restricted access"))),AND(IF(Metadata!P449="",FALSE,TRUE),OR(exact(Metadata!P449,"air"),exact(Metadata!P449,"built environment"),exact(Metadata!P449,"host-associated"),exact(Metadata!P449,"human-associated"),exact(Metadata!P449,"human-skin"),exact(Metadata!P449,"human-oral"),exact(Metadata!P449,"human-gut"),exact(Metadata!P449,"human-vaginal"),exact(Metadata!P449,"microbial mat/biofilm"),exact(Metadata!P449,"misc environment"),exact(Metadata!P449,"plant-associated"),exact(Metadata!P449,"sediment"),exact(Metadata!P449,"soil"),exact(Metadata!P449,"wastewater/sludge"),exact(Metadata!P449,"water"))))</f>
        <v>0</v>
      </c>
      <c r="BC449">
        <f>IF(Metadata!Q449="",FALSE,TRUE)</f>
        <v>0</v>
      </c>
      <c r="BD449">
        <f>IF(Metadata!R449="",FALSE,TRUE)</f>
        <v>0</v>
      </c>
      <c r="BE449">
        <f>OR(AND(IF(Metadata!S449="",FALSE,TRUE),OR(exact(Metadata!S449,"not collected"),exact(Metadata!S449,"not provided"),exact(Metadata!S449,"restricted access"))),AND(IF(Metadata!S449="",FALSE,ISNUMBER(VALUE(Metadata!S449))),Metadata!S449&gt;=-90.00,Metadata!S449&lt;=90.00))</f>
        <v>0</v>
      </c>
      <c r="BF449">
        <f>AND(IF(Metadata!T449="",FALSE,TRUE),exact(Metadata!T449,"Decimal degrees"))</f>
        <v>0</v>
      </c>
      <c r="BG449">
        <f>OR(AND(IF(Metadata!U449="",FALSE,TRUE),OR(exact(Metadata!U449,"not collected"),exact(Metadata!U449,"not provided"),exact(Metadata!U449,"restricted access"))),AND(IF(Metadata!U449="",FALSE,ISNUMBER(VALUE(Metadata!U449))),Metadata!U449&gt;=-180.00,Metadata!U449&lt;=180.00))</f>
        <v>0</v>
      </c>
      <c r="BH449">
        <f>AND(IF(Metadata!V449="",FALSE,TRUE),exact(Metadata!V449,"Decimal degrees"))</f>
        <v>0</v>
      </c>
      <c r="BI449">
        <f>IF(Metadata!W449="",FALSE,TRUE)</f>
        <v>0</v>
      </c>
      <c r="BJ449">
        <f>OR(AND(IF(Metadata!X449="",FALSE,TRUE),OR(exact(Metadata!X449,"not collected"),exact(Metadata!X449,"not provided"),exact(Metadata!X449,"restricted access"))),AND(IF(Metadata!X449="",FALSE,TRUE),OR(exact(Metadata!X449,"TRUE"),exact(Metadata!X449,"FALSE"))))</f>
        <v>0</v>
      </c>
      <c r="BK449">
        <f>AND(IF(Metadata!Y449="",FALSE,TRUE),exact(Metadata!Y449,"other"))</f>
        <v>0</v>
      </c>
      <c r="BL449">
        <f>IF(Metadata!Z449="",FALSE,TRUE)</f>
        <v>0</v>
      </c>
      <c r="BM449">
        <f>OR(AND(IF(Metadata!AA449="",FALSE,TRUE),OR(exact(Metadata!AA449,"not collected"),exact(Metadata!AA449,"not provided"))),AND(IF(Metadata!AA449="",FALSE,IF(ISERROR(INT(Metadata!AA449)),FALSE,INT(Metadata!AA449)=Metadata!AA449)),Metadata!AA449&gt;0))</f>
        <v>0</v>
      </c>
      <c r="BN449">
        <f>AND(IF(Metadata!AB449="",FALSE,TRUE),exact(Metadata!AB449,"Not applicable"))</f>
        <v>0</v>
      </c>
      <c r="BO449">
        <f>IF(Metadata!AC449="",FALSE,TRUE)</f>
        <v>0</v>
      </c>
    </row>
    <row r="450" spans="1:67">
      <c r="A450" s="5">
        <f>IF(B450=" "," ",HYPERLINK(CONCATENATE("#metadata!",ADDRESS(INDEX($AI$2:$AI$1001,MATCH(ROWS($AG$2:AG450),$AG$2:$AG$1001,0),0),1)),INDEX($AL$2:$AL$1001,MATCH(ROWS($AG$2:AG450),$AG$2:$AG$1001,0),0)))</f>
        <v>0</v>
      </c>
      <c r="B450" s="4">
        <f>IF(OR(INDEX($AH$2:$AH$1001,MATCH(ROWS($AG$2:AG450),$AG$2:$AG$1001,0),1)&gt;=100000,INDEX($AN$1005:$BO$1005,1,MATCH(COLUMNS($AN$1006:AN1006),$AN$1006:$BO$1006,0))&gt;=100000), " ",IF(INDEX($AN$2:$BO$1001,MATCH(ROWS($AG$2:AG450),$AG$2:$AG$1001,0),MATCH(COLUMNS($AN$1006:AN1006),$AN$1006:$BO$1006,0)), HYPERLINK("#",""), HYPERLINK(CONCATENATE("#Metadata!", ADDRESS(INDEX($AI$2:$AI$1001,MATCH(ROWS($AG$2:AG450),$AG$2:$AG$1001,0),0), INDEX($AN$1004:$BO$1004,1,MATCH(COLUMNS($AN$1006:AN1006),$AN$1006:$BO$1006,0)))),"Fix")))</f>
        <v>0</v>
      </c>
      <c r="C450" s="4">
        <f>IF(OR(INDEX($AH$2:$AH$1001,MATCH(ROWS($AG$2:AG450),$AG$2:$AG$1001,0),1)&gt;=100000,INDEX($AN$1005:$BO$1005,1,MATCH(COLUMNS($AN$1006:AO1006),$AN$1006:$BO$1006,0))&gt;=100000), " ",IF(INDEX($AN$2:$BO$1001,MATCH(ROWS($AG$2:AG450),$AG$2:$AG$1001,0),MATCH(COLUMNS($AN$1006:AO1006),$AN$1006:$BO$1006,0)), HYPERLINK("#",""), HYPERLINK(CONCATENATE("#Metadata!", ADDRESS(INDEX($AI$2:$AI$1001,MATCH(ROWS($AG$2:AG450),$AG$2:$AG$1001,0),0), INDEX($AN$1004:$BO$1004,1,MATCH(COLUMNS($AN$1006:AO1006),$AN$1006:$BO$1006,0)))),"Fix")))</f>
        <v>0</v>
      </c>
      <c r="D450" s="4">
        <f>IF(OR(INDEX($AH$2:$AH$1001,MATCH(ROWS($AG$2:AG450),$AG$2:$AG$1001,0),1)&gt;=100000,INDEX($AN$1005:$BO$1005,1,MATCH(COLUMNS($AN$1006:AP1006),$AN$1006:$BO$1006,0))&gt;=100000), " ",IF(INDEX($AN$2:$BO$1001,MATCH(ROWS($AG$2:AG450),$AG$2:$AG$1001,0),MATCH(COLUMNS($AN$1006:AP1006),$AN$1006:$BO$1006,0)), HYPERLINK("#",""), HYPERLINK(CONCATENATE("#Metadata!", ADDRESS(INDEX($AI$2:$AI$1001,MATCH(ROWS($AG$2:AG450),$AG$2:$AG$1001,0),0), INDEX($AN$1004:$BO$1004,1,MATCH(COLUMNS($AN$1006:AP1006),$AN$1006:$BO$1006,0)))),"Fix")))</f>
        <v>0</v>
      </c>
      <c r="E450" s="4">
        <f>IF(OR(INDEX($AH$2:$AH$1001,MATCH(ROWS($AG$2:AG450),$AG$2:$AG$1001,0),1)&gt;=100000,INDEX($AN$1005:$BO$1005,1,MATCH(COLUMNS($AN$1006:AQ1006),$AN$1006:$BO$1006,0))&gt;=100000), " ",IF(INDEX($AN$2:$BO$1001,MATCH(ROWS($AG$2:AG450),$AG$2:$AG$1001,0),MATCH(COLUMNS($AN$1006:AQ1006),$AN$1006:$BO$1006,0)), HYPERLINK("#",""), HYPERLINK(CONCATENATE("#Metadata!", ADDRESS(INDEX($AI$2:$AI$1001,MATCH(ROWS($AG$2:AG450),$AG$2:$AG$1001,0),0), INDEX($AN$1004:$BO$1004,1,MATCH(COLUMNS($AN$1006:AQ1006),$AN$1006:$BO$1006,0)))),"Fix")))</f>
        <v>0</v>
      </c>
      <c r="F450" s="4">
        <f>IF(OR(INDEX($AH$2:$AH$1001,MATCH(ROWS($AG$2:AG450),$AG$2:$AG$1001,0),1)&gt;=100000,INDEX($AN$1005:$BO$1005,1,MATCH(COLUMNS($AN$1006:AR1006),$AN$1006:$BO$1006,0))&gt;=100000), " ",IF(INDEX($AN$2:$BO$1001,MATCH(ROWS($AG$2:AG450),$AG$2:$AG$1001,0),MATCH(COLUMNS($AN$1006:AR1006),$AN$1006:$BO$1006,0)), HYPERLINK("#",""), HYPERLINK(CONCATENATE("#Metadata!", ADDRESS(INDEX($AI$2:$AI$1001,MATCH(ROWS($AG$2:AG450),$AG$2:$AG$1001,0),0), INDEX($AN$1004:$BO$1004,1,MATCH(COLUMNS($AN$1006:AR1006),$AN$1006:$BO$1006,0)))),"Fix")))</f>
        <v>0</v>
      </c>
      <c r="G450" s="4">
        <f>IF(OR(INDEX($AH$2:$AH$1001,MATCH(ROWS($AG$2:AG450),$AG$2:$AG$1001,0),1)&gt;=100000,INDEX($AN$1005:$BO$1005,1,MATCH(COLUMNS($AN$1006:AS1006),$AN$1006:$BO$1006,0))&gt;=100000), " ",IF(INDEX($AN$2:$BO$1001,MATCH(ROWS($AG$2:AG450),$AG$2:$AG$1001,0),MATCH(COLUMNS($AN$1006:AS1006),$AN$1006:$BO$1006,0)), HYPERLINK("#",""), HYPERLINK(CONCATENATE("#Metadata!", ADDRESS(INDEX($AI$2:$AI$1001,MATCH(ROWS($AG$2:AG450),$AG$2:$AG$1001,0),0), INDEX($AN$1004:$BO$1004,1,MATCH(COLUMNS($AN$1006:AS1006),$AN$1006:$BO$1006,0)))),"Fix")))</f>
        <v>0</v>
      </c>
      <c r="H450" s="4">
        <f>IF(OR(INDEX($AH$2:$AH$1001,MATCH(ROWS($AG$2:AG450),$AG$2:$AG$1001,0),1)&gt;=100000,INDEX($AN$1005:$BO$1005,1,MATCH(COLUMNS($AN$1006:AT1006),$AN$1006:$BO$1006,0))&gt;=100000), " ",IF(INDEX($AN$2:$BO$1001,MATCH(ROWS($AG$2:AG450),$AG$2:$AG$1001,0),MATCH(COLUMNS($AN$1006:AT1006),$AN$1006:$BO$1006,0)), HYPERLINK("#",""), HYPERLINK(CONCATENATE("#Metadata!", ADDRESS(INDEX($AI$2:$AI$1001,MATCH(ROWS($AG$2:AG450),$AG$2:$AG$1001,0),0), INDEX($AN$1004:$BO$1004,1,MATCH(COLUMNS($AN$1006:AT1006),$AN$1006:$BO$1006,0)))),"Fix")))</f>
        <v>0</v>
      </c>
      <c r="I450" s="4">
        <f>IF(OR(INDEX($AH$2:$AH$1001,MATCH(ROWS($AG$2:AG450),$AG$2:$AG$1001,0),1)&gt;=100000,INDEX($AN$1005:$BO$1005,1,MATCH(COLUMNS($AN$1006:AU1006),$AN$1006:$BO$1006,0))&gt;=100000), " ",IF(INDEX($AN$2:$BO$1001,MATCH(ROWS($AG$2:AG450),$AG$2:$AG$1001,0),MATCH(COLUMNS($AN$1006:AU1006),$AN$1006:$BO$1006,0)), HYPERLINK("#",""), HYPERLINK(CONCATENATE("#Metadata!", ADDRESS(INDEX($AI$2:$AI$1001,MATCH(ROWS($AG$2:AG450),$AG$2:$AG$1001,0),0), INDEX($AN$1004:$BO$1004,1,MATCH(COLUMNS($AN$1006:AU1006),$AN$1006:$BO$1006,0)))),"Fix")))</f>
        <v>0</v>
      </c>
      <c r="J450" s="4">
        <f>IF(OR(INDEX($AH$2:$AH$1001,MATCH(ROWS($AG$2:AG450),$AG$2:$AG$1001,0),1)&gt;=100000,INDEX($AN$1005:$BO$1005,1,MATCH(COLUMNS($AN$1006:AV1006),$AN$1006:$BO$1006,0))&gt;=100000), " ",IF(INDEX($AN$2:$BO$1001,MATCH(ROWS($AG$2:AG450),$AG$2:$AG$1001,0),MATCH(COLUMNS($AN$1006:AV1006),$AN$1006:$BO$1006,0)), HYPERLINK("#",""), HYPERLINK(CONCATENATE("#Metadata!", ADDRESS(INDEX($AI$2:$AI$1001,MATCH(ROWS($AG$2:AG450),$AG$2:$AG$1001,0),0), INDEX($AN$1004:$BO$1004,1,MATCH(COLUMNS($AN$1006:AV1006),$AN$1006:$BO$1006,0)))),"Fix")))</f>
        <v>0</v>
      </c>
      <c r="K450" s="4">
        <f>IF(OR(INDEX($AH$2:$AH$1001,MATCH(ROWS($AG$2:AG450),$AG$2:$AG$1001,0),1)&gt;=100000,INDEX($AN$1005:$BO$1005,1,MATCH(COLUMNS($AN$1006:AW1006),$AN$1006:$BO$1006,0))&gt;=100000), " ",IF(INDEX($AN$2:$BO$1001,MATCH(ROWS($AG$2:AG450),$AG$2:$AG$1001,0),MATCH(COLUMNS($AN$1006:AW1006),$AN$1006:$BO$1006,0)), HYPERLINK("#",""), HYPERLINK(CONCATENATE("#Metadata!", ADDRESS(INDEX($AI$2:$AI$1001,MATCH(ROWS($AG$2:AG450),$AG$2:$AG$1001,0),0), INDEX($AN$1004:$BO$1004,1,MATCH(COLUMNS($AN$1006:AW1006),$AN$1006:$BO$1006,0)))),"Fix")))</f>
        <v>0</v>
      </c>
      <c r="L450" s="4">
        <f>IF(OR(INDEX($AH$2:$AH$1001,MATCH(ROWS($AG$2:AG450),$AG$2:$AG$1001,0),1)&gt;=100000,INDEX($AN$1005:$BO$1005,1,MATCH(COLUMNS($AN$1006:AX1006),$AN$1006:$BO$1006,0))&gt;=100000), " ",IF(INDEX($AN$2:$BO$1001,MATCH(ROWS($AG$2:AG450),$AG$2:$AG$1001,0),MATCH(COLUMNS($AN$1006:AX1006),$AN$1006:$BO$1006,0)), HYPERLINK("#",""), HYPERLINK(CONCATENATE("#Metadata!", ADDRESS(INDEX($AI$2:$AI$1001,MATCH(ROWS($AG$2:AG450),$AG$2:$AG$1001,0),0), INDEX($AN$1004:$BO$1004,1,MATCH(COLUMNS($AN$1006:AX1006),$AN$1006:$BO$1006,0)))),"Fix")))</f>
        <v>0</v>
      </c>
      <c r="M450" s="4">
        <f>IF(OR(INDEX($AH$2:$AH$1001,MATCH(ROWS($AG$2:AG450),$AG$2:$AG$1001,0),1)&gt;=100000,INDEX($AN$1005:$BO$1005,1,MATCH(COLUMNS($AN$1006:AY1006),$AN$1006:$BO$1006,0))&gt;=100000), " ",IF(INDEX($AN$2:$BO$1001,MATCH(ROWS($AG$2:AG450),$AG$2:$AG$1001,0),MATCH(COLUMNS($AN$1006:AY1006),$AN$1006:$BO$1006,0)), HYPERLINK("#",""), HYPERLINK(CONCATENATE("#Metadata!", ADDRESS(INDEX($AI$2:$AI$1001,MATCH(ROWS($AG$2:AG450),$AG$2:$AG$1001,0),0), INDEX($AN$1004:$BO$1004,1,MATCH(COLUMNS($AN$1006:AY1006),$AN$1006:$BO$1006,0)))),"Fix")))</f>
        <v>0</v>
      </c>
      <c r="N450" s="4">
        <f>IF(OR(INDEX($AH$2:$AH$1001,MATCH(ROWS($AG$2:AG450),$AG$2:$AG$1001,0),1)&gt;=100000,INDEX($AN$1005:$BO$1005,1,MATCH(COLUMNS($AN$1006:AZ1006),$AN$1006:$BO$1006,0))&gt;=100000), " ",IF(INDEX($AN$2:$BO$1001,MATCH(ROWS($AG$2:AG450),$AG$2:$AG$1001,0),MATCH(COLUMNS($AN$1006:AZ1006),$AN$1006:$BO$1006,0)), HYPERLINK("#",""), HYPERLINK(CONCATENATE("#Metadata!", ADDRESS(INDEX($AI$2:$AI$1001,MATCH(ROWS($AG$2:AG450),$AG$2:$AG$1001,0),0), INDEX($AN$1004:$BO$1004,1,MATCH(COLUMNS($AN$1006:AZ1006),$AN$1006:$BO$1006,0)))),"Fix")))</f>
        <v>0</v>
      </c>
      <c r="O450" s="4">
        <f>IF(OR(INDEX($AH$2:$AH$1001,MATCH(ROWS($AG$2:AG450),$AG$2:$AG$1001,0),1)&gt;=100000,INDEX($AN$1005:$BO$1005,1,MATCH(COLUMNS($AN$1006:BA1006),$AN$1006:$BO$1006,0))&gt;=100000), " ",IF(INDEX($AN$2:$BO$1001,MATCH(ROWS($AG$2:AG450),$AG$2:$AG$1001,0),MATCH(COLUMNS($AN$1006:BA1006),$AN$1006:$BO$1006,0)), HYPERLINK("#",""), HYPERLINK(CONCATENATE("#Metadata!", ADDRESS(INDEX($AI$2:$AI$1001,MATCH(ROWS($AG$2:AG450),$AG$2:$AG$1001,0),0), INDEX($AN$1004:$BO$1004,1,MATCH(COLUMNS($AN$1006:BA1006),$AN$1006:$BO$1006,0)))),"Fix")))</f>
        <v>0</v>
      </c>
      <c r="P450" s="4">
        <f>IF(OR(INDEX($AH$2:$AH$1001,MATCH(ROWS($AG$2:AG450),$AG$2:$AG$1001,0),1)&gt;=100000,INDEX($AN$1005:$BO$1005,1,MATCH(COLUMNS($AN$1006:BB1006),$AN$1006:$BO$1006,0))&gt;=100000), " ",IF(INDEX($AN$2:$BO$1001,MATCH(ROWS($AG$2:AG450),$AG$2:$AG$1001,0),MATCH(COLUMNS($AN$1006:BB1006),$AN$1006:$BO$1006,0)), HYPERLINK("#",""), HYPERLINK(CONCATENATE("#Metadata!", ADDRESS(INDEX($AI$2:$AI$1001,MATCH(ROWS($AG$2:AG450),$AG$2:$AG$1001,0),0), INDEX($AN$1004:$BO$1004,1,MATCH(COLUMNS($AN$1006:BB1006),$AN$1006:$BO$1006,0)))),"Fix")))</f>
        <v>0</v>
      </c>
      <c r="Q450" s="4">
        <f>IF(OR(INDEX($AH$2:$AH$1001,MATCH(ROWS($AG$2:AG450),$AG$2:$AG$1001,0),1)&gt;=100000,INDEX($AN$1005:$BO$1005,1,MATCH(COLUMNS($AN$1006:BC1006),$AN$1006:$BO$1006,0))&gt;=100000), " ",IF(INDEX($AN$2:$BO$1001,MATCH(ROWS($AG$2:AG450),$AG$2:$AG$1001,0),MATCH(COLUMNS($AN$1006:BC1006),$AN$1006:$BO$1006,0)), HYPERLINK("#",""), HYPERLINK(CONCATENATE("#Metadata!", ADDRESS(INDEX($AI$2:$AI$1001,MATCH(ROWS($AG$2:AG450),$AG$2:$AG$1001,0),0), INDEX($AN$1004:$BO$1004,1,MATCH(COLUMNS($AN$1006:BC1006),$AN$1006:$BO$1006,0)))),"Fix")))</f>
        <v>0</v>
      </c>
      <c r="R450" s="4">
        <f>IF(OR(INDEX($AH$2:$AH$1001,MATCH(ROWS($AG$2:AG450),$AG$2:$AG$1001,0),1)&gt;=100000,INDEX($AN$1005:$BO$1005,1,MATCH(COLUMNS($AN$1006:BD1006),$AN$1006:$BO$1006,0))&gt;=100000), " ",IF(INDEX($AN$2:$BO$1001,MATCH(ROWS($AG$2:AG450),$AG$2:$AG$1001,0),MATCH(COLUMNS($AN$1006:BD1006),$AN$1006:$BO$1006,0)), HYPERLINK("#",""), HYPERLINK(CONCATENATE("#Metadata!", ADDRESS(INDEX($AI$2:$AI$1001,MATCH(ROWS($AG$2:AG450),$AG$2:$AG$1001,0),0), INDEX($AN$1004:$BO$1004,1,MATCH(COLUMNS($AN$1006:BD1006),$AN$1006:$BO$1006,0)))),"Fix")))</f>
        <v>0</v>
      </c>
      <c r="S450" s="4">
        <f>IF(OR(INDEX($AH$2:$AH$1001,MATCH(ROWS($AG$2:AG450),$AG$2:$AG$1001,0),1)&gt;=100000,INDEX($AN$1005:$BO$1005,1,MATCH(COLUMNS($AN$1006:BE1006),$AN$1006:$BO$1006,0))&gt;=100000), " ",IF(INDEX($AN$2:$BO$1001,MATCH(ROWS($AG$2:AG450),$AG$2:$AG$1001,0),MATCH(COLUMNS($AN$1006:BE1006),$AN$1006:$BO$1006,0)), HYPERLINK("#",""), HYPERLINK(CONCATENATE("#Metadata!", ADDRESS(INDEX($AI$2:$AI$1001,MATCH(ROWS($AG$2:AG450),$AG$2:$AG$1001,0),0), INDEX($AN$1004:$BO$1004,1,MATCH(COLUMNS($AN$1006:BE1006),$AN$1006:$BO$1006,0)))),"Fix")))</f>
        <v>0</v>
      </c>
      <c r="T450" s="4">
        <f>IF(OR(INDEX($AH$2:$AH$1001,MATCH(ROWS($AG$2:AG450),$AG$2:$AG$1001,0),1)&gt;=100000,INDEX($AN$1005:$BO$1005,1,MATCH(COLUMNS($AN$1006:BF1006),$AN$1006:$BO$1006,0))&gt;=100000), " ",IF(INDEX($AN$2:$BO$1001,MATCH(ROWS($AG$2:AG450),$AG$2:$AG$1001,0),MATCH(COLUMNS($AN$1006:BF1006),$AN$1006:$BO$1006,0)), HYPERLINK("#",""), HYPERLINK(CONCATENATE("#Metadata!", ADDRESS(INDEX($AI$2:$AI$1001,MATCH(ROWS($AG$2:AG450),$AG$2:$AG$1001,0),0), INDEX($AN$1004:$BO$1004,1,MATCH(COLUMNS($AN$1006:BF1006),$AN$1006:$BO$1006,0)))),"Fix")))</f>
        <v>0</v>
      </c>
      <c r="U450" s="4">
        <f>IF(OR(INDEX($AH$2:$AH$1001,MATCH(ROWS($AG$2:AG450),$AG$2:$AG$1001,0),1)&gt;=100000,INDEX($AN$1005:$BO$1005,1,MATCH(COLUMNS($AN$1006:BG1006),$AN$1006:$BO$1006,0))&gt;=100000), " ",IF(INDEX($AN$2:$BO$1001,MATCH(ROWS($AG$2:AG450),$AG$2:$AG$1001,0),MATCH(COLUMNS($AN$1006:BG1006),$AN$1006:$BO$1006,0)), HYPERLINK("#",""), HYPERLINK(CONCATENATE("#Metadata!", ADDRESS(INDEX($AI$2:$AI$1001,MATCH(ROWS($AG$2:AG450),$AG$2:$AG$1001,0),0), INDEX($AN$1004:$BO$1004,1,MATCH(COLUMNS($AN$1006:BG1006),$AN$1006:$BO$1006,0)))),"Fix")))</f>
        <v>0</v>
      </c>
      <c r="V450" s="4">
        <f>IF(OR(INDEX($AH$2:$AH$1001,MATCH(ROWS($AG$2:AG450),$AG$2:$AG$1001,0),1)&gt;=100000,INDEX($AN$1005:$BO$1005,1,MATCH(COLUMNS($AN$1006:BH1006),$AN$1006:$BO$1006,0))&gt;=100000), " ",IF(INDEX($AN$2:$BO$1001,MATCH(ROWS($AG$2:AG450),$AG$2:$AG$1001,0),MATCH(COLUMNS($AN$1006:BH1006),$AN$1006:$BO$1006,0)), HYPERLINK("#",""), HYPERLINK(CONCATENATE("#Metadata!", ADDRESS(INDEX($AI$2:$AI$1001,MATCH(ROWS($AG$2:AG450),$AG$2:$AG$1001,0),0), INDEX($AN$1004:$BO$1004,1,MATCH(COLUMNS($AN$1006:BH1006),$AN$1006:$BO$1006,0)))),"Fix")))</f>
        <v>0</v>
      </c>
      <c r="W450" s="4">
        <f>IF(OR(INDEX($AH$2:$AH$1001,MATCH(ROWS($AG$2:AG450),$AG$2:$AG$1001,0),1)&gt;=100000,INDEX($AN$1005:$BO$1005,1,MATCH(COLUMNS($AN$1006:BI1006),$AN$1006:$BO$1006,0))&gt;=100000), " ",IF(INDEX($AN$2:$BO$1001,MATCH(ROWS($AG$2:AG450),$AG$2:$AG$1001,0),MATCH(COLUMNS($AN$1006:BI1006),$AN$1006:$BO$1006,0)), HYPERLINK("#",""), HYPERLINK(CONCATENATE("#Metadata!", ADDRESS(INDEX($AI$2:$AI$1001,MATCH(ROWS($AG$2:AG450),$AG$2:$AG$1001,0),0), INDEX($AN$1004:$BO$1004,1,MATCH(COLUMNS($AN$1006:BI1006),$AN$1006:$BO$1006,0)))),"Fix")))</f>
        <v>0</v>
      </c>
      <c r="X450" s="4">
        <f>IF(OR(INDEX($AH$2:$AH$1001,MATCH(ROWS($AG$2:AG450),$AG$2:$AG$1001,0),1)&gt;=100000,INDEX($AN$1005:$BO$1005,1,MATCH(COLUMNS($AN$1006:BJ1006),$AN$1006:$BO$1006,0))&gt;=100000), " ",IF(INDEX($AN$2:$BO$1001,MATCH(ROWS($AG$2:AG450),$AG$2:$AG$1001,0),MATCH(COLUMNS($AN$1006:BJ1006),$AN$1006:$BO$1006,0)), HYPERLINK("#",""), HYPERLINK(CONCATENATE("#Metadata!", ADDRESS(INDEX($AI$2:$AI$1001,MATCH(ROWS($AG$2:AG450),$AG$2:$AG$1001,0),0), INDEX($AN$1004:$BO$1004,1,MATCH(COLUMNS($AN$1006:BJ1006),$AN$1006:$BO$1006,0)))),"Fix")))</f>
        <v>0</v>
      </c>
      <c r="Y450" s="4">
        <f>IF(OR(INDEX($AH$2:$AH$1001,MATCH(ROWS($AG$2:AG450),$AG$2:$AG$1001,0),1)&gt;=100000,INDEX($AN$1005:$BO$1005,1,MATCH(COLUMNS($AN$1006:BK1006),$AN$1006:$BO$1006,0))&gt;=100000), " ",IF(INDEX($AN$2:$BO$1001,MATCH(ROWS($AG$2:AG450),$AG$2:$AG$1001,0),MATCH(COLUMNS($AN$1006:BK1006),$AN$1006:$BO$1006,0)), HYPERLINK("#",""), HYPERLINK(CONCATENATE("#Metadata!", ADDRESS(INDEX($AI$2:$AI$1001,MATCH(ROWS($AG$2:AG450),$AG$2:$AG$1001,0),0), INDEX($AN$1004:$BO$1004,1,MATCH(COLUMNS($AN$1006:BK1006),$AN$1006:$BO$1006,0)))),"Fix")))</f>
        <v>0</v>
      </c>
      <c r="Z450" s="4">
        <f>IF(OR(INDEX($AH$2:$AH$1001,MATCH(ROWS($AG$2:AG450),$AG$2:$AG$1001,0),1)&gt;=100000,INDEX($AN$1005:$BO$1005,1,MATCH(COLUMNS($AN$1006:BL1006),$AN$1006:$BO$1006,0))&gt;=100000), " ",IF(INDEX($AN$2:$BO$1001,MATCH(ROWS($AG$2:AG450),$AG$2:$AG$1001,0),MATCH(COLUMNS($AN$1006:BL1006),$AN$1006:$BO$1006,0)), HYPERLINK("#",""), HYPERLINK(CONCATENATE("#Metadata!", ADDRESS(INDEX($AI$2:$AI$1001,MATCH(ROWS($AG$2:AG450),$AG$2:$AG$1001,0),0), INDEX($AN$1004:$BO$1004,1,MATCH(COLUMNS($AN$1006:BL1006),$AN$1006:$BO$1006,0)))),"Fix")))</f>
        <v>0</v>
      </c>
      <c r="AA450" s="4">
        <f>IF(OR(INDEX($AH$2:$AH$1001,MATCH(ROWS($AG$2:AG450),$AG$2:$AG$1001,0),1)&gt;=100000,INDEX($AN$1005:$BO$1005,1,MATCH(COLUMNS($AN$1006:BM1006),$AN$1006:$BO$1006,0))&gt;=100000), " ",IF(INDEX($AN$2:$BO$1001,MATCH(ROWS($AG$2:AG450),$AG$2:$AG$1001,0),MATCH(COLUMNS($AN$1006:BM1006),$AN$1006:$BO$1006,0)), HYPERLINK("#",""), HYPERLINK(CONCATENATE("#Metadata!", ADDRESS(INDEX($AI$2:$AI$1001,MATCH(ROWS($AG$2:AG450),$AG$2:$AG$1001,0),0), INDEX($AN$1004:$BO$1004,1,MATCH(COLUMNS($AN$1006:BM1006),$AN$1006:$BO$1006,0)))),"Fix")))</f>
        <v>0</v>
      </c>
      <c r="AB450" s="4">
        <f>IF(OR(INDEX($AH$2:$AH$1001,MATCH(ROWS($AG$2:AG450),$AG$2:$AG$1001,0),1)&gt;=100000,INDEX($AN$1005:$BO$1005,1,MATCH(COLUMNS($AN$1006:BN1006),$AN$1006:$BO$1006,0))&gt;=100000), " ",IF(INDEX($AN$2:$BO$1001,MATCH(ROWS($AG$2:AG450),$AG$2:$AG$1001,0),MATCH(COLUMNS($AN$1006:BN1006),$AN$1006:$BO$1006,0)), HYPERLINK("#",""), HYPERLINK(CONCATENATE("#Metadata!", ADDRESS(INDEX($AI$2:$AI$1001,MATCH(ROWS($AG$2:AG450),$AG$2:$AG$1001,0),0), INDEX($AN$1004:$BO$1004,1,MATCH(COLUMNS($AN$1006:BN1006),$AN$1006:$BO$1006,0)))),"Fix")))</f>
        <v>0</v>
      </c>
      <c r="AC450" s="4">
        <f>IF(OR(INDEX($AH$2:$AH$1001,MATCH(ROWS($AG$2:AG450),$AG$2:$AG$1001,0),1)&gt;=100000,INDEX($AN$1005:$BO$1005,1,MATCH(COLUMNS($AN$1006:BO1006),$AN$1006:$BO$1006,0))&gt;=100000), " ",IF(INDEX($AN$2:$BO$1001,MATCH(ROWS($AG$2:AG450),$AG$2:$AG$1001,0),MATCH(COLUMNS($AN$1006:BO1006),$AN$1006:$BO$1006,0)), HYPERLINK("#",""), HYPERLINK(CONCATENATE("#Metadata!", ADDRESS(INDEX($AI$2:$AI$1001,MATCH(ROWS($AG$2:AG450),$AG$2:$AG$1001,0),0), INDEX($AN$1004:$BO$1004,1,MATCH(COLUMNS($AN$1006:BO1006),$AN$1006:$BO$1006,0)))),"Fix")))</f>
        <v>0</v>
      </c>
      <c r="AG450">
        <v>0</v>
      </c>
      <c r="AH450">
        <v>0</v>
      </c>
      <c r="AI450">
        <v>0</v>
      </c>
      <c r="AJ450">
        <f>IF(AK450,TRUE,AND(AN450:BO450))</f>
        <v>0</v>
      </c>
      <c r="AK450">
        <f>COUNTBLANK(Metadata!B450:AC450)=COLUMNS(Metadata!B450:AC450)</f>
        <v>0</v>
      </c>
      <c r="AL450">
        <v>0</v>
      </c>
      <c r="AN450">
        <f>AND(IF(Metadata!B450="",FALSE,TRUE),COUNTIF(Metadata!B:B, Metadata!B450) = 1,NOT(ISERROR(SUMPRODUCT(SEARCH(MID(Metadata!B450,ROW(INDIRECT("1:"&amp;LEN(Metadata!B450))), 1),"0123456789abcdefghijklmnopqrstuvwxyzABCDEFGHIJKLMNOPQRSTUVWXYZ.")))))</f>
        <v>0</v>
      </c>
      <c r="AO450">
        <f>IF(Metadata!C450="",FALSE,TRUE)</f>
        <v>0</v>
      </c>
      <c r="AP450">
        <f>IF(Metadata!D450="",FALSE,TRUE)</f>
        <v>0</v>
      </c>
      <c r="AQ450">
        <f>OR(AND(IF(Metadata!E450="",FALSE,TRUE),OR(exact(Metadata!E450,"not collected"),exact(Metadata!E450,"not provided"),exact(Metadata!E450,"restricted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R450">
        <f>IF(Metadata!F450="",FALSE,TRUE)</f>
        <v>0</v>
      </c>
      <c r="AS450">
        <f>OR(AND(IF(Metadata!G450="",FALSE,TRUE),OR(exact(Metadata!G450,"not collected"),exact(Metadata!G450,"not provided"))),AND(IF(Metadata!G450="",FALSE,TRUE),OR(exact(Metadata!G450,"TRUE"),exact(Metadata!G450,"FALSE"))))</f>
        <v>0</v>
      </c>
      <c r="AT450">
        <f>OR(AND(IF(Metadata!H450="",FALSE,TRUE),OR(exact(Metadata!H450,"not collected"),exact(Metadata!H450,"not provided"),exact(Metadata!H450,"restricted access"))),AND(IF(Metadata!H450="",FALSE,ISNUMBER(VALUE(Metadata!H450))),Metadata!H450&gt;=-413.0))</f>
        <v>0</v>
      </c>
      <c r="AU450">
        <f>AND(IF(Metadata!I450="",FALSE,TRUE),exact(Metadata!I450,"meters"))</f>
        <v>0</v>
      </c>
      <c r="AV450">
        <f>AND(IF(Metadata!J450="",FALSE,TRUE),OR(exact(Metadata!J450,"Host-associated"),exact(Metadata!J450,"Free-living")))</f>
        <v>0</v>
      </c>
      <c r="AW450">
        <f>AND(IF(Metadata!K450="",FALSE,TRUE),OR(exact(Metadata!K450,"Animal"),exact(Metadata!K450,"Fungus"),exact(Metadata!K450,"Plant"),exact(Metadata!K450,"Saline"),exact(Metadata!K450,"Non-saline")))</f>
        <v>0</v>
      </c>
      <c r="AX450">
        <f>AND(IF(Metadata!L450="",FALSE,TRUE),OR(exact(Metadata!L450,"Plant secretion"),exact(Metadata!L450,"Plant rhizosphere"),exact(Metadata!L450,"Plant surface"),exact(Metadata!L450,"Plant corpus"),exact(Metadata!L450,"Fungus surface"),exact(Metadata!L450,"Fungus corpus"),exact(Metadata!L450,"Animal surface"),exact(Metadata!L450,"Animal proximal gut"),exact(Metadata!L450,"Animal corpus"),exact(Metadata!L450,"Animal distal gut"),exact(Metadata!L450,"Animal secretion"),exact(Metadata!L450,"Sub-surface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Y450">
        <f>IF(Metadata!M450="",FALSE,TRUE)</f>
        <v>0</v>
      </c>
      <c r="AZ450">
        <f>IF(Metadata!N450="",FALSE,TRUE)</f>
        <v>0</v>
      </c>
      <c r="BA450">
        <f>IF(Metadata!O450="",FALSE,TRUE)</f>
        <v>0</v>
      </c>
      <c r="BB450">
        <f>OR(AND(IF(Metadata!P450="",FALSE,TRUE),OR(exact(Metadata!P450,"not collected"),exact(Metadata!P450,"not provided"),exact(Metadata!P450,"restricted access"))),AND(IF(Metadata!P450="",FALSE,TRUE),OR(exact(Metadata!P450,"air"),exact(Metadata!P450,"built environment"),exact(Metadata!P450,"host-associated"),exact(Metadata!P450,"human-associated"),exact(Metadata!P450,"human-skin"),exact(Metadata!P450,"human-oral"),exact(Metadata!P450,"human-gut"),exact(Metadata!P450,"human-vaginal"),exact(Metadata!P450,"microbial mat/biofilm"),exact(Metadata!P450,"misc environment"),exact(Metadata!P450,"plant-associated"),exact(Metadata!P450,"sediment"),exact(Metadata!P450,"soil"),exact(Metadata!P450,"wastewater/sludge"),exact(Metadata!P450,"water"))))</f>
        <v>0</v>
      </c>
      <c r="BC450">
        <f>IF(Metadata!Q450="",FALSE,TRUE)</f>
        <v>0</v>
      </c>
      <c r="BD450">
        <f>IF(Metadata!R450="",FALSE,TRUE)</f>
        <v>0</v>
      </c>
      <c r="BE450">
        <f>OR(AND(IF(Metadata!S450="",FALSE,TRUE),OR(exact(Metadata!S450,"not collected"),exact(Metadata!S450,"not provided"),exact(Metadata!S450,"restricted access"))),AND(IF(Metadata!S450="",FALSE,ISNUMBER(VALUE(Metadata!S450))),Metadata!S450&gt;=-90.00,Metadata!S450&lt;=90.00))</f>
        <v>0</v>
      </c>
      <c r="BF450">
        <f>AND(IF(Metadata!T450="",FALSE,TRUE),exact(Metadata!T450,"Decimal degrees"))</f>
        <v>0</v>
      </c>
      <c r="BG450">
        <f>OR(AND(IF(Metadata!U450="",FALSE,TRUE),OR(exact(Metadata!U450,"not collected"),exact(Metadata!U450,"not provided"),exact(Metadata!U450,"restricted access"))),AND(IF(Metadata!U450="",FALSE,ISNUMBER(VALUE(Metadata!U450))),Metadata!U450&gt;=-180.00,Metadata!U450&lt;=180.00))</f>
        <v>0</v>
      </c>
      <c r="BH450">
        <f>AND(IF(Metadata!V450="",FALSE,TRUE),exact(Metadata!V450,"Decimal degrees"))</f>
        <v>0</v>
      </c>
      <c r="BI450">
        <f>IF(Metadata!W450="",FALSE,TRUE)</f>
        <v>0</v>
      </c>
      <c r="BJ450">
        <f>OR(AND(IF(Metadata!X450="",FALSE,TRUE),OR(exact(Metadata!X450,"not collected"),exact(Metadata!X450,"not provided"),exact(Metadata!X450,"restricted access"))),AND(IF(Metadata!X450="",FALSE,TRUE),OR(exact(Metadata!X450,"TRUE"),exact(Metadata!X450,"FALSE"))))</f>
        <v>0</v>
      </c>
      <c r="BK450">
        <f>AND(IF(Metadata!Y450="",FALSE,TRUE),exact(Metadata!Y450,"other"))</f>
        <v>0</v>
      </c>
      <c r="BL450">
        <f>IF(Metadata!Z450="",FALSE,TRUE)</f>
        <v>0</v>
      </c>
      <c r="BM450">
        <f>OR(AND(IF(Metadata!AA450="",FALSE,TRUE),OR(exact(Metadata!AA450,"not collected"),exact(Metadata!AA450,"not provided"))),AND(IF(Metadata!AA450="",FALSE,IF(ISERROR(INT(Metadata!AA450)),FALSE,INT(Metadata!AA450)=Metadata!AA450)),Metadata!AA450&gt;0))</f>
        <v>0</v>
      </c>
      <c r="BN450">
        <f>AND(IF(Metadata!AB450="",FALSE,TRUE),exact(Metadata!AB450,"Not applicable"))</f>
        <v>0</v>
      </c>
      <c r="BO450">
        <f>IF(Metadata!AC450="",FALSE,TRUE)</f>
        <v>0</v>
      </c>
    </row>
    <row r="451" spans="1:67">
      <c r="A451" s="5">
        <f>IF(B451=" "," ",HYPERLINK(CONCATENATE("#metadata!",ADDRESS(INDEX($AI$2:$AI$1001,MATCH(ROWS($AG$2:AG451),$AG$2:$AG$1001,0),0),1)),INDEX($AL$2:$AL$1001,MATCH(ROWS($AG$2:AG451),$AG$2:$AG$1001,0),0)))</f>
        <v>0</v>
      </c>
      <c r="B451" s="4">
        <f>IF(OR(INDEX($AH$2:$AH$1001,MATCH(ROWS($AG$2:AG451),$AG$2:$AG$1001,0),1)&gt;=100000,INDEX($AN$1005:$BO$1005,1,MATCH(COLUMNS($AN$1006:AN1006),$AN$1006:$BO$1006,0))&gt;=100000), " ",IF(INDEX($AN$2:$BO$1001,MATCH(ROWS($AG$2:AG451),$AG$2:$AG$1001,0),MATCH(COLUMNS($AN$1006:AN1006),$AN$1006:$BO$1006,0)), HYPERLINK("#",""), HYPERLINK(CONCATENATE("#Metadata!", ADDRESS(INDEX($AI$2:$AI$1001,MATCH(ROWS($AG$2:AG451),$AG$2:$AG$1001,0),0), INDEX($AN$1004:$BO$1004,1,MATCH(COLUMNS($AN$1006:AN1006),$AN$1006:$BO$1006,0)))),"Fix")))</f>
        <v>0</v>
      </c>
      <c r="C451" s="4">
        <f>IF(OR(INDEX($AH$2:$AH$1001,MATCH(ROWS($AG$2:AG451),$AG$2:$AG$1001,0),1)&gt;=100000,INDEX($AN$1005:$BO$1005,1,MATCH(COLUMNS($AN$1006:AO1006),$AN$1006:$BO$1006,0))&gt;=100000), " ",IF(INDEX($AN$2:$BO$1001,MATCH(ROWS($AG$2:AG451),$AG$2:$AG$1001,0),MATCH(COLUMNS($AN$1006:AO1006),$AN$1006:$BO$1006,0)), HYPERLINK("#",""), HYPERLINK(CONCATENATE("#Metadata!", ADDRESS(INDEX($AI$2:$AI$1001,MATCH(ROWS($AG$2:AG451),$AG$2:$AG$1001,0),0), INDEX($AN$1004:$BO$1004,1,MATCH(COLUMNS($AN$1006:AO1006),$AN$1006:$BO$1006,0)))),"Fix")))</f>
        <v>0</v>
      </c>
      <c r="D451" s="4">
        <f>IF(OR(INDEX($AH$2:$AH$1001,MATCH(ROWS($AG$2:AG451),$AG$2:$AG$1001,0),1)&gt;=100000,INDEX($AN$1005:$BO$1005,1,MATCH(COLUMNS($AN$1006:AP1006),$AN$1006:$BO$1006,0))&gt;=100000), " ",IF(INDEX($AN$2:$BO$1001,MATCH(ROWS($AG$2:AG451),$AG$2:$AG$1001,0),MATCH(COLUMNS($AN$1006:AP1006),$AN$1006:$BO$1006,0)), HYPERLINK("#",""), HYPERLINK(CONCATENATE("#Metadata!", ADDRESS(INDEX($AI$2:$AI$1001,MATCH(ROWS($AG$2:AG451),$AG$2:$AG$1001,0),0), INDEX($AN$1004:$BO$1004,1,MATCH(COLUMNS($AN$1006:AP1006),$AN$1006:$BO$1006,0)))),"Fix")))</f>
        <v>0</v>
      </c>
      <c r="E451" s="4">
        <f>IF(OR(INDEX($AH$2:$AH$1001,MATCH(ROWS($AG$2:AG451),$AG$2:$AG$1001,0),1)&gt;=100000,INDEX($AN$1005:$BO$1005,1,MATCH(COLUMNS($AN$1006:AQ1006),$AN$1006:$BO$1006,0))&gt;=100000), " ",IF(INDEX($AN$2:$BO$1001,MATCH(ROWS($AG$2:AG451),$AG$2:$AG$1001,0),MATCH(COLUMNS($AN$1006:AQ1006),$AN$1006:$BO$1006,0)), HYPERLINK("#",""), HYPERLINK(CONCATENATE("#Metadata!", ADDRESS(INDEX($AI$2:$AI$1001,MATCH(ROWS($AG$2:AG451),$AG$2:$AG$1001,0),0), INDEX($AN$1004:$BO$1004,1,MATCH(COLUMNS($AN$1006:AQ1006),$AN$1006:$BO$1006,0)))),"Fix")))</f>
        <v>0</v>
      </c>
      <c r="F451" s="4">
        <f>IF(OR(INDEX($AH$2:$AH$1001,MATCH(ROWS($AG$2:AG451),$AG$2:$AG$1001,0),1)&gt;=100000,INDEX($AN$1005:$BO$1005,1,MATCH(COLUMNS($AN$1006:AR1006),$AN$1006:$BO$1006,0))&gt;=100000), " ",IF(INDEX($AN$2:$BO$1001,MATCH(ROWS($AG$2:AG451),$AG$2:$AG$1001,0),MATCH(COLUMNS($AN$1006:AR1006),$AN$1006:$BO$1006,0)), HYPERLINK("#",""), HYPERLINK(CONCATENATE("#Metadata!", ADDRESS(INDEX($AI$2:$AI$1001,MATCH(ROWS($AG$2:AG451),$AG$2:$AG$1001,0),0), INDEX($AN$1004:$BO$1004,1,MATCH(COLUMNS($AN$1006:AR1006),$AN$1006:$BO$1006,0)))),"Fix")))</f>
        <v>0</v>
      </c>
      <c r="G451" s="4">
        <f>IF(OR(INDEX($AH$2:$AH$1001,MATCH(ROWS($AG$2:AG451),$AG$2:$AG$1001,0),1)&gt;=100000,INDEX($AN$1005:$BO$1005,1,MATCH(COLUMNS($AN$1006:AS1006),$AN$1006:$BO$1006,0))&gt;=100000), " ",IF(INDEX($AN$2:$BO$1001,MATCH(ROWS($AG$2:AG451),$AG$2:$AG$1001,0),MATCH(COLUMNS($AN$1006:AS1006),$AN$1006:$BO$1006,0)), HYPERLINK("#",""), HYPERLINK(CONCATENATE("#Metadata!", ADDRESS(INDEX($AI$2:$AI$1001,MATCH(ROWS($AG$2:AG451),$AG$2:$AG$1001,0),0), INDEX($AN$1004:$BO$1004,1,MATCH(COLUMNS($AN$1006:AS1006),$AN$1006:$BO$1006,0)))),"Fix")))</f>
        <v>0</v>
      </c>
      <c r="H451" s="4">
        <f>IF(OR(INDEX($AH$2:$AH$1001,MATCH(ROWS($AG$2:AG451),$AG$2:$AG$1001,0),1)&gt;=100000,INDEX($AN$1005:$BO$1005,1,MATCH(COLUMNS($AN$1006:AT1006),$AN$1006:$BO$1006,0))&gt;=100000), " ",IF(INDEX($AN$2:$BO$1001,MATCH(ROWS($AG$2:AG451),$AG$2:$AG$1001,0),MATCH(COLUMNS($AN$1006:AT1006),$AN$1006:$BO$1006,0)), HYPERLINK("#",""), HYPERLINK(CONCATENATE("#Metadata!", ADDRESS(INDEX($AI$2:$AI$1001,MATCH(ROWS($AG$2:AG451),$AG$2:$AG$1001,0),0), INDEX($AN$1004:$BO$1004,1,MATCH(COLUMNS($AN$1006:AT1006),$AN$1006:$BO$1006,0)))),"Fix")))</f>
        <v>0</v>
      </c>
      <c r="I451" s="4">
        <f>IF(OR(INDEX($AH$2:$AH$1001,MATCH(ROWS($AG$2:AG451),$AG$2:$AG$1001,0),1)&gt;=100000,INDEX($AN$1005:$BO$1005,1,MATCH(COLUMNS($AN$1006:AU1006),$AN$1006:$BO$1006,0))&gt;=100000), " ",IF(INDEX($AN$2:$BO$1001,MATCH(ROWS($AG$2:AG451),$AG$2:$AG$1001,0),MATCH(COLUMNS($AN$1006:AU1006),$AN$1006:$BO$1006,0)), HYPERLINK("#",""), HYPERLINK(CONCATENATE("#Metadata!", ADDRESS(INDEX($AI$2:$AI$1001,MATCH(ROWS($AG$2:AG451),$AG$2:$AG$1001,0),0), INDEX($AN$1004:$BO$1004,1,MATCH(COLUMNS($AN$1006:AU1006),$AN$1006:$BO$1006,0)))),"Fix")))</f>
        <v>0</v>
      </c>
      <c r="J451" s="4">
        <f>IF(OR(INDEX($AH$2:$AH$1001,MATCH(ROWS($AG$2:AG451),$AG$2:$AG$1001,0),1)&gt;=100000,INDEX($AN$1005:$BO$1005,1,MATCH(COLUMNS($AN$1006:AV1006),$AN$1006:$BO$1006,0))&gt;=100000), " ",IF(INDEX($AN$2:$BO$1001,MATCH(ROWS($AG$2:AG451),$AG$2:$AG$1001,0),MATCH(COLUMNS($AN$1006:AV1006),$AN$1006:$BO$1006,0)), HYPERLINK("#",""), HYPERLINK(CONCATENATE("#Metadata!", ADDRESS(INDEX($AI$2:$AI$1001,MATCH(ROWS($AG$2:AG451),$AG$2:$AG$1001,0),0), INDEX($AN$1004:$BO$1004,1,MATCH(COLUMNS($AN$1006:AV1006),$AN$1006:$BO$1006,0)))),"Fix")))</f>
        <v>0</v>
      </c>
      <c r="K451" s="4">
        <f>IF(OR(INDEX($AH$2:$AH$1001,MATCH(ROWS($AG$2:AG451),$AG$2:$AG$1001,0),1)&gt;=100000,INDEX($AN$1005:$BO$1005,1,MATCH(COLUMNS($AN$1006:AW1006),$AN$1006:$BO$1006,0))&gt;=100000), " ",IF(INDEX($AN$2:$BO$1001,MATCH(ROWS($AG$2:AG451),$AG$2:$AG$1001,0),MATCH(COLUMNS($AN$1006:AW1006),$AN$1006:$BO$1006,0)), HYPERLINK("#",""), HYPERLINK(CONCATENATE("#Metadata!", ADDRESS(INDEX($AI$2:$AI$1001,MATCH(ROWS($AG$2:AG451),$AG$2:$AG$1001,0),0), INDEX($AN$1004:$BO$1004,1,MATCH(COLUMNS($AN$1006:AW1006),$AN$1006:$BO$1006,0)))),"Fix")))</f>
        <v>0</v>
      </c>
      <c r="L451" s="4">
        <f>IF(OR(INDEX($AH$2:$AH$1001,MATCH(ROWS($AG$2:AG451),$AG$2:$AG$1001,0),1)&gt;=100000,INDEX($AN$1005:$BO$1005,1,MATCH(COLUMNS($AN$1006:AX1006),$AN$1006:$BO$1006,0))&gt;=100000), " ",IF(INDEX($AN$2:$BO$1001,MATCH(ROWS($AG$2:AG451),$AG$2:$AG$1001,0),MATCH(COLUMNS($AN$1006:AX1006),$AN$1006:$BO$1006,0)), HYPERLINK("#",""), HYPERLINK(CONCATENATE("#Metadata!", ADDRESS(INDEX($AI$2:$AI$1001,MATCH(ROWS($AG$2:AG451),$AG$2:$AG$1001,0),0), INDEX($AN$1004:$BO$1004,1,MATCH(COLUMNS($AN$1006:AX1006),$AN$1006:$BO$1006,0)))),"Fix")))</f>
        <v>0</v>
      </c>
      <c r="M451" s="4">
        <f>IF(OR(INDEX($AH$2:$AH$1001,MATCH(ROWS($AG$2:AG451),$AG$2:$AG$1001,0),1)&gt;=100000,INDEX($AN$1005:$BO$1005,1,MATCH(COLUMNS($AN$1006:AY1006),$AN$1006:$BO$1006,0))&gt;=100000), " ",IF(INDEX($AN$2:$BO$1001,MATCH(ROWS($AG$2:AG451),$AG$2:$AG$1001,0),MATCH(COLUMNS($AN$1006:AY1006),$AN$1006:$BO$1006,0)), HYPERLINK("#",""), HYPERLINK(CONCATENATE("#Metadata!", ADDRESS(INDEX($AI$2:$AI$1001,MATCH(ROWS($AG$2:AG451),$AG$2:$AG$1001,0),0), INDEX($AN$1004:$BO$1004,1,MATCH(COLUMNS($AN$1006:AY1006),$AN$1006:$BO$1006,0)))),"Fix")))</f>
        <v>0</v>
      </c>
      <c r="N451" s="4">
        <f>IF(OR(INDEX($AH$2:$AH$1001,MATCH(ROWS($AG$2:AG451),$AG$2:$AG$1001,0),1)&gt;=100000,INDEX($AN$1005:$BO$1005,1,MATCH(COLUMNS($AN$1006:AZ1006),$AN$1006:$BO$1006,0))&gt;=100000), " ",IF(INDEX($AN$2:$BO$1001,MATCH(ROWS($AG$2:AG451),$AG$2:$AG$1001,0),MATCH(COLUMNS($AN$1006:AZ1006),$AN$1006:$BO$1006,0)), HYPERLINK("#",""), HYPERLINK(CONCATENATE("#Metadata!", ADDRESS(INDEX($AI$2:$AI$1001,MATCH(ROWS($AG$2:AG451),$AG$2:$AG$1001,0),0), INDEX($AN$1004:$BO$1004,1,MATCH(COLUMNS($AN$1006:AZ1006),$AN$1006:$BO$1006,0)))),"Fix")))</f>
        <v>0</v>
      </c>
      <c r="O451" s="4">
        <f>IF(OR(INDEX($AH$2:$AH$1001,MATCH(ROWS($AG$2:AG451),$AG$2:$AG$1001,0),1)&gt;=100000,INDEX($AN$1005:$BO$1005,1,MATCH(COLUMNS($AN$1006:BA1006),$AN$1006:$BO$1006,0))&gt;=100000), " ",IF(INDEX($AN$2:$BO$1001,MATCH(ROWS($AG$2:AG451),$AG$2:$AG$1001,0),MATCH(COLUMNS($AN$1006:BA1006),$AN$1006:$BO$1006,0)), HYPERLINK("#",""), HYPERLINK(CONCATENATE("#Metadata!", ADDRESS(INDEX($AI$2:$AI$1001,MATCH(ROWS($AG$2:AG451),$AG$2:$AG$1001,0),0), INDEX($AN$1004:$BO$1004,1,MATCH(COLUMNS($AN$1006:BA1006),$AN$1006:$BO$1006,0)))),"Fix")))</f>
        <v>0</v>
      </c>
      <c r="P451" s="4">
        <f>IF(OR(INDEX($AH$2:$AH$1001,MATCH(ROWS($AG$2:AG451),$AG$2:$AG$1001,0),1)&gt;=100000,INDEX($AN$1005:$BO$1005,1,MATCH(COLUMNS($AN$1006:BB1006),$AN$1006:$BO$1006,0))&gt;=100000), " ",IF(INDEX($AN$2:$BO$1001,MATCH(ROWS($AG$2:AG451),$AG$2:$AG$1001,0),MATCH(COLUMNS($AN$1006:BB1006),$AN$1006:$BO$1006,0)), HYPERLINK("#",""), HYPERLINK(CONCATENATE("#Metadata!", ADDRESS(INDEX($AI$2:$AI$1001,MATCH(ROWS($AG$2:AG451),$AG$2:$AG$1001,0),0), INDEX($AN$1004:$BO$1004,1,MATCH(COLUMNS($AN$1006:BB1006),$AN$1006:$BO$1006,0)))),"Fix")))</f>
        <v>0</v>
      </c>
      <c r="Q451" s="4">
        <f>IF(OR(INDEX($AH$2:$AH$1001,MATCH(ROWS($AG$2:AG451),$AG$2:$AG$1001,0),1)&gt;=100000,INDEX($AN$1005:$BO$1005,1,MATCH(COLUMNS($AN$1006:BC1006),$AN$1006:$BO$1006,0))&gt;=100000), " ",IF(INDEX($AN$2:$BO$1001,MATCH(ROWS($AG$2:AG451),$AG$2:$AG$1001,0),MATCH(COLUMNS($AN$1006:BC1006),$AN$1006:$BO$1006,0)), HYPERLINK("#",""), HYPERLINK(CONCATENATE("#Metadata!", ADDRESS(INDEX($AI$2:$AI$1001,MATCH(ROWS($AG$2:AG451),$AG$2:$AG$1001,0),0), INDEX($AN$1004:$BO$1004,1,MATCH(COLUMNS($AN$1006:BC1006),$AN$1006:$BO$1006,0)))),"Fix")))</f>
        <v>0</v>
      </c>
      <c r="R451" s="4">
        <f>IF(OR(INDEX($AH$2:$AH$1001,MATCH(ROWS($AG$2:AG451),$AG$2:$AG$1001,0),1)&gt;=100000,INDEX($AN$1005:$BO$1005,1,MATCH(COLUMNS($AN$1006:BD1006),$AN$1006:$BO$1006,0))&gt;=100000), " ",IF(INDEX($AN$2:$BO$1001,MATCH(ROWS($AG$2:AG451),$AG$2:$AG$1001,0),MATCH(COLUMNS($AN$1006:BD1006),$AN$1006:$BO$1006,0)), HYPERLINK("#",""), HYPERLINK(CONCATENATE("#Metadata!", ADDRESS(INDEX($AI$2:$AI$1001,MATCH(ROWS($AG$2:AG451),$AG$2:$AG$1001,0),0), INDEX($AN$1004:$BO$1004,1,MATCH(COLUMNS($AN$1006:BD1006),$AN$1006:$BO$1006,0)))),"Fix")))</f>
        <v>0</v>
      </c>
      <c r="S451" s="4">
        <f>IF(OR(INDEX($AH$2:$AH$1001,MATCH(ROWS($AG$2:AG451),$AG$2:$AG$1001,0),1)&gt;=100000,INDEX($AN$1005:$BO$1005,1,MATCH(COLUMNS($AN$1006:BE1006),$AN$1006:$BO$1006,0))&gt;=100000), " ",IF(INDEX($AN$2:$BO$1001,MATCH(ROWS($AG$2:AG451),$AG$2:$AG$1001,0),MATCH(COLUMNS($AN$1006:BE1006),$AN$1006:$BO$1006,0)), HYPERLINK("#",""), HYPERLINK(CONCATENATE("#Metadata!", ADDRESS(INDEX($AI$2:$AI$1001,MATCH(ROWS($AG$2:AG451),$AG$2:$AG$1001,0),0), INDEX($AN$1004:$BO$1004,1,MATCH(COLUMNS($AN$1006:BE1006),$AN$1006:$BO$1006,0)))),"Fix")))</f>
        <v>0</v>
      </c>
      <c r="T451" s="4">
        <f>IF(OR(INDEX($AH$2:$AH$1001,MATCH(ROWS($AG$2:AG451),$AG$2:$AG$1001,0),1)&gt;=100000,INDEX($AN$1005:$BO$1005,1,MATCH(COLUMNS($AN$1006:BF1006),$AN$1006:$BO$1006,0))&gt;=100000), " ",IF(INDEX($AN$2:$BO$1001,MATCH(ROWS($AG$2:AG451),$AG$2:$AG$1001,0),MATCH(COLUMNS($AN$1006:BF1006),$AN$1006:$BO$1006,0)), HYPERLINK("#",""), HYPERLINK(CONCATENATE("#Metadata!", ADDRESS(INDEX($AI$2:$AI$1001,MATCH(ROWS($AG$2:AG451),$AG$2:$AG$1001,0),0), INDEX($AN$1004:$BO$1004,1,MATCH(COLUMNS($AN$1006:BF1006),$AN$1006:$BO$1006,0)))),"Fix")))</f>
        <v>0</v>
      </c>
      <c r="U451" s="4">
        <f>IF(OR(INDEX($AH$2:$AH$1001,MATCH(ROWS($AG$2:AG451),$AG$2:$AG$1001,0),1)&gt;=100000,INDEX($AN$1005:$BO$1005,1,MATCH(COLUMNS($AN$1006:BG1006),$AN$1006:$BO$1006,0))&gt;=100000), " ",IF(INDEX($AN$2:$BO$1001,MATCH(ROWS($AG$2:AG451),$AG$2:$AG$1001,0),MATCH(COLUMNS($AN$1006:BG1006),$AN$1006:$BO$1006,0)), HYPERLINK("#",""), HYPERLINK(CONCATENATE("#Metadata!", ADDRESS(INDEX($AI$2:$AI$1001,MATCH(ROWS($AG$2:AG451),$AG$2:$AG$1001,0),0), INDEX($AN$1004:$BO$1004,1,MATCH(COLUMNS($AN$1006:BG1006),$AN$1006:$BO$1006,0)))),"Fix")))</f>
        <v>0</v>
      </c>
      <c r="V451" s="4">
        <f>IF(OR(INDEX($AH$2:$AH$1001,MATCH(ROWS($AG$2:AG451),$AG$2:$AG$1001,0),1)&gt;=100000,INDEX($AN$1005:$BO$1005,1,MATCH(COLUMNS($AN$1006:BH1006),$AN$1006:$BO$1006,0))&gt;=100000), " ",IF(INDEX($AN$2:$BO$1001,MATCH(ROWS($AG$2:AG451),$AG$2:$AG$1001,0),MATCH(COLUMNS($AN$1006:BH1006),$AN$1006:$BO$1006,0)), HYPERLINK("#",""), HYPERLINK(CONCATENATE("#Metadata!", ADDRESS(INDEX($AI$2:$AI$1001,MATCH(ROWS($AG$2:AG451),$AG$2:$AG$1001,0),0), INDEX($AN$1004:$BO$1004,1,MATCH(COLUMNS($AN$1006:BH1006),$AN$1006:$BO$1006,0)))),"Fix")))</f>
        <v>0</v>
      </c>
      <c r="W451" s="4">
        <f>IF(OR(INDEX($AH$2:$AH$1001,MATCH(ROWS($AG$2:AG451),$AG$2:$AG$1001,0),1)&gt;=100000,INDEX($AN$1005:$BO$1005,1,MATCH(COLUMNS($AN$1006:BI1006),$AN$1006:$BO$1006,0))&gt;=100000), " ",IF(INDEX($AN$2:$BO$1001,MATCH(ROWS($AG$2:AG451),$AG$2:$AG$1001,0),MATCH(COLUMNS($AN$1006:BI1006),$AN$1006:$BO$1006,0)), HYPERLINK("#",""), HYPERLINK(CONCATENATE("#Metadata!", ADDRESS(INDEX($AI$2:$AI$1001,MATCH(ROWS($AG$2:AG451),$AG$2:$AG$1001,0),0), INDEX($AN$1004:$BO$1004,1,MATCH(COLUMNS($AN$1006:BI1006),$AN$1006:$BO$1006,0)))),"Fix")))</f>
        <v>0</v>
      </c>
      <c r="X451" s="4">
        <f>IF(OR(INDEX($AH$2:$AH$1001,MATCH(ROWS($AG$2:AG451),$AG$2:$AG$1001,0),1)&gt;=100000,INDEX($AN$1005:$BO$1005,1,MATCH(COLUMNS($AN$1006:BJ1006),$AN$1006:$BO$1006,0))&gt;=100000), " ",IF(INDEX($AN$2:$BO$1001,MATCH(ROWS($AG$2:AG451),$AG$2:$AG$1001,0),MATCH(COLUMNS($AN$1006:BJ1006),$AN$1006:$BO$1006,0)), HYPERLINK("#",""), HYPERLINK(CONCATENATE("#Metadata!", ADDRESS(INDEX($AI$2:$AI$1001,MATCH(ROWS($AG$2:AG451),$AG$2:$AG$1001,0),0), INDEX($AN$1004:$BO$1004,1,MATCH(COLUMNS($AN$1006:BJ1006),$AN$1006:$BO$1006,0)))),"Fix")))</f>
        <v>0</v>
      </c>
      <c r="Y451" s="4">
        <f>IF(OR(INDEX($AH$2:$AH$1001,MATCH(ROWS($AG$2:AG451),$AG$2:$AG$1001,0),1)&gt;=100000,INDEX($AN$1005:$BO$1005,1,MATCH(COLUMNS($AN$1006:BK1006),$AN$1006:$BO$1006,0))&gt;=100000), " ",IF(INDEX($AN$2:$BO$1001,MATCH(ROWS($AG$2:AG451),$AG$2:$AG$1001,0),MATCH(COLUMNS($AN$1006:BK1006),$AN$1006:$BO$1006,0)), HYPERLINK("#",""), HYPERLINK(CONCATENATE("#Metadata!", ADDRESS(INDEX($AI$2:$AI$1001,MATCH(ROWS($AG$2:AG451),$AG$2:$AG$1001,0),0), INDEX($AN$1004:$BO$1004,1,MATCH(COLUMNS($AN$1006:BK1006),$AN$1006:$BO$1006,0)))),"Fix")))</f>
        <v>0</v>
      </c>
      <c r="Z451" s="4">
        <f>IF(OR(INDEX($AH$2:$AH$1001,MATCH(ROWS($AG$2:AG451),$AG$2:$AG$1001,0),1)&gt;=100000,INDEX($AN$1005:$BO$1005,1,MATCH(COLUMNS($AN$1006:BL1006),$AN$1006:$BO$1006,0))&gt;=100000), " ",IF(INDEX($AN$2:$BO$1001,MATCH(ROWS($AG$2:AG451),$AG$2:$AG$1001,0),MATCH(COLUMNS($AN$1006:BL1006),$AN$1006:$BO$1006,0)), HYPERLINK("#",""), HYPERLINK(CONCATENATE("#Metadata!", ADDRESS(INDEX($AI$2:$AI$1001,MATCH(ROWS($AG$2:AG451),$AG$2:$AG$1001,0),0), INDEX($AN$1004:$BO$1004,1,MATCH(COLUMNS($AN$1006:BL1006),$AN$1006:$BO$1006,0)))),"Fix")))</f>
        <v>0</v>
      </c>
      <c r="AA451" s="4">
        <f>IF(OR(INDEX($AH$2:$AH$1001,MATCH(ROWS($AG$2:AG451),$AG$2:$AG$1001,0),1)&gt;=100000,INDEX($AN$1005:$BO$1005,1,MATCH(COLUMNS($AN$1006:BM1006),$AN$1006:$BO$1006,0))&gt;=100000), " ",IF(INDEX($AN$2:$BO$1001,MATCH(ROWS($AG$2:AG451),$AG$2:$AG$1001,0),MATCH(COLUMNS($AN$1006:BM1006),$AN$1006:$BO$1006,0)), HYPERLINK("#",""), HYPERLINK(CONCATENATE("#Metadata!", ADDRESS(INDEX($AI$2:$AI$1001,MATCH(ROWS($AG$2:AG451),$AG$2:$AG$1001,0),0), INDEX($AN$1004:$BO$1004,1,MATCH(COLUMNS($AN$1006:BM1006),$AN$1006:$BO$1006,0)))),"Fix")))</f>
        <v>0</v>
      </c>
      <c r="AB451" s="4">
        <f>IF(OR(INDEX($AH$2:$AH$1001,MATCH(ROWS($AG$2:AG451),$AG$2:$AG$1001,0),1)&gt;=100000,INDEX($AN$1005:$BO$1005,1,MATCH(COLUMNS($AN$1006:BN1006),$AN$1006:$BO$1006,0))&gt;=100000), " ",IF(INDEX($AN$2:$BO$1001,MATCH(ROWS($AG$2:AG451),$AG$2:$AG$1001,0),MATCH(COLUMNS($AN$1006:BN1006),$AN$1006:$BO$1006,0)), HYPERLINK("#",""), HYPERLINK(CONCATENATE("#Metadata!", ADDRESS(INDEX($AI$2:$AI$1001,MATCH(ROWS($AG$2:AG451),$AG$2:$AG$1001,0),0), INDEX($AN$1004:$BO$1004,1,MATCH(COLUMNS($AN$1006:BN1006),$AN$1006:$BO$1006,0)))),"Fix")))</f>
        <v>0</v>
      </c>
      <c r="AC451" s="4">
        <f>IF(OR(INDEX($AH$2:$AH$1001,MATCH(ROWS($AG$2:AG451),$AG$2:$AG$1001,0),1)&gt;=100000,INDEX($AN$1005:$BO$1005,1,MATCH(COLUMNS($AN$1006:BO1006),$AN$1006:$BO$1006,0))&gt;=100000), " ",IF(INDEX($AN$2:$BO$1001,MATCH(ROWS($AG$2:AG451),$AG$2:$AG$1001,0),MATCH(COLUMNS($AN$1006:BO1006),$AN$1006:$BO$1006,0)), HYPERLINK("#",""), HYPERLINK(CONCATENATE("#Metadata!", ADDRESS(INDEX($AI$2:$AI$1001,MATCH(ROWS($AG$2:AG451),$AG$2:$AG$1001,0),0), INDEX($AN$1004:$BO$1004,1,MATCH(COLUMNS($AN$1006:BO1006),$AN$1006:$BO$1006,0)))),"Fix")))</f>
        <v>0</v>
      </c>
      <c r="AG451">
        <v>0</v>
      </c>
      <c r="AH451">
        <v>0</v>
      </c>
      <c r="AI451">
        <v>0</v>
      </c>
      <c r="AJ451">
        <f>IF(AK451,TRUE,AND(AN451:BO451))</f>
        <v>0</v>
      </c>
      <c r="AK451">
        <f>COUNTBLANK(Metadata!B451:AC451)=COLUMNS(Metadata!B451:AC451)</f>
        <v>0</v>
      </c>
      <c r="AL451">
        <v>0</v>
      </c>
      <c r="AN451">
        <f>AND(IF(Metadata!B451="",FALSE,TRUE),COUNTIF(Metadata!B:B, Metadata!B451) = 1,NOT(ISERROR(SUMPRODUCT(SEARCH(MID(Metadata!B451,ROW(INDIRECT("1:"&amp;LEN(Metadata!B451))), 1),"0123456789abcdefghijklmnopqrstuvwxyzABCDEFGHIJKLMNOPQRSTUVWXYZ.")))))</f>
        <v>0</v>
      </c>
      <c r="AO451">
        <f>IF(Metadata!C451="",FALSE,TRUE)</f>
        <v>0</v>
      </c>
      <c r="AP451">
        <f>IF(Metadata!D451="",FALSE,TRUE)</f>
        <v>0</v>
      </c>
      <c r="AQ451">
        <f>OR(AND(IF(Metadata!E451="",FALSE,TRUE),OR(exact(Metadata!E451,"not collected"),exact(Metadata!E451,"not provided"),exact(Metadata!E451,"restricted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R451">
        <f>IF(Metadata!F451="",FALSE,TRUE)</f>
        <v>0</v>
      </c>
      <c r="AS451">
        <f>OR(AND(IF(Metadata!G451="",FALSE,TRUE),OR(exact(Metadata!G451,"not collected"),exact(Metadata!G451,"not provided"))),AND(IF(Metadata!G451="",FALSE,TRUE),OR(exact(Metadata!G451,"TRUE"),exact(Metadata!G451,"FALSE"))))</f>
        <v>0</v>
      </c>
      <c r="AT451">
        <f>OR(AND(IF(Metadata!H451="",FALSE,TRUE),OR(exact(Metadata!H451,"not collected"),exact(Metadata!H451,"not provided"),exact(Metadata!H451,"restricted access"))),AND(IF(Metadata!H451="",FALSE,ISNUMBER(VALUE(Metadata!H451))),Metadata!H451&gt;=-413.0))</f>
        <v>0</v>
      </c>
      <c r="AU451">
        <f>AND(IF(Metadata!I451="",FALSE,TRUE),exact(Metadata!I451,"meters"))</f>
        <v>0</v>
      </c>
      <c r="AV451">
        <f>AND(IF(Metadata!J451="",FALSE,TRUE),OR(exact(Metadata!J451,"Host-associated"),exact(Metadata!J451,"Free-living")))</f>
        <v>0</v>
      </c>
      <c r="AW451">
        <f>AND(IF(Metadata!K451="",FALSE,TRUE),OR(exact(Metadata!K451,"Animal"),exact(Metadata!K451,"Fungus"),exact(Metadata!K451,"Plant"),exact(Metadata!K451,"Saline"),exact(Metadata!K451,"Non-saline")))</f>
        <v>0</v>
      </c>
      <c r="AX451">
        <f>AND(IF(Metadata!L451="",FALSE,TRUE),OR(exact(Metadata!L451,"Plant secretion"),exact(Metadata!L451,"Plant rhizosphere"),exact(Metadata!L451,"Plant surface"),exact(Metadata!L451,"Plant corpus"),exact(Metadata!L451,"Fungus surface"),exact(Metadata!L451,"Fungus corpus"),exact(Metadata!L451,"Animal surface"),exact(Metadata!L451,"Animal proximal gut"),exact(Metadata!L451,"Animal corpus"),exact(Metadata!L451,"Animal distal gut"),exact(Metadata!L451,"Animal secretion"),exact(Metadata!L451,"Sub-surface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Y451">
        <f>IF(Metadata!M451="",FALSE,TRUE)</f>
        <v>0</v>
      </c>
      <c r="AZ451">
        <f>IF(Metadata!N451="",FALSE,TRUE)</f>
        <v>0</v>
      </c>
      <c r="BA451">
        <f>IF(Metadata!O451="",FALSE,TRUE)</f>
        <v>0</v>
      </c>
      <c r="BB451">
        <f>OR(AND(IF(Metadata!P451="",FALSE,TRUE),OR(exact(Metadata!P451,"not collected"),exact(Metadata!P451,"not provided"),exact(Metadata!P451,"restricted access"))),AND(IF(Metadata!P451="",FALSE,TRUE),OR(exact(Metadata!P451,"air"),exact(Metadata!P451,"built environment"),exact(Metadata!P451,"host-associated"),exact(Metadata!P451,"human-associated"),exact(Metadata!P451,"human-skin"),exact(Metadata!P451,"human-oral"),exact(Metadata!P451,"human-gut"),exact(Metadata!P451,"human-vaginal"),exact(Metadata!P451,"microbial mat/biofilm"),exact(Metadata!P451,"misc environment"),exact(Metadata!P451,"plant-associated"),exact(Metadata!P451,"sediment"),exact(Metadata!P451,"soil"),exact(Metadata!P451,"wastewater/sludge"),exact(Metadata!P451,"water"))))</f>
        <v>0</v>
      </c>
      <c r="BC451">
        <f>IF(Metadata!Q451="",FALSE,TRUE)</f>
        <v>0</v>
      </c>
      <c r="BD451">
        <f>IF(Metadata!R451="",FALSE,TRUE)</f>
        <v>0</v>
      </c>
      <c r="BE451">
        <f>OR(AND(IF(Metadata!S451="",FALSE,TRUE),OR(exact(Metadata!S451,"not collected"),exact(Metadata!S451,"not provided"),exact(Metadata!S451,"restricted access"))),AND(IF(Metadata!S451="",FALSE,ISNUMBER(VALUE(Metadata!S451))),Metadata!S451&gt;=-90.00,Metadata!S451&lt;=90.00))</f>
        <v>0</v>
      </c>
      <c r="BF451">
        <f>AND(IF(Metadata!T451="",FALSE,TRUE),exact(Metadata!T451,"Decimal degrees"))</f>
        <v>0</v>
      </c>
      <c r="BG451">
        <f>OR(AND(IF(Metadata!U451="",FALSE,TRUE),OR(exact(Metadata!U451,"not collected"),exact(Metadata!U451,"not provided"),exact(Metadata!U451,"restricted access"))),AND(IF(Metadata!U451="",FALSE,ISNUMBER(VALUE(Metadata!U451))),Metadata!U451&gt;=-180.00,Metadata!U451&lt;=180.00))</f>
        <v>0</v>
      </c>
      <c r="BH451">
        <f>AND(IF(Metadata!V451="",FALSE,TRUE),exact(Metadata!V451,"Decimal degrees"))</f>
        <v>0</v>
      </c>
      <c r="BI451">
        <f>IF(Metadata!W451="",FALSE,TRUE)</f>
        <v>0</v>
      </c>
      <c r="BJ451">
        <f>OR(AND(IF(Metadata!X451="",FALSE,TRUE),OR(exact(Metadata!X451,"not collected"),exact(Metadata!X451,"not provided"),exact(Metadata!X451,"restricted access"))),AND(IF(Metadata!X451="",FALSE,TRUE),OR(exact(Metadata!X451,"TRUE"),exact(Metadata!X451,"FALSE"))))</f>
        <v>0</v>
      </c>
      <c r="BK451">
        <f>AND(IF(Metadata!Y451="",FALSE,TRUE),exact(Metadata!Y451,"other"))</f>
        <v>0</v>
      </c>
      <c r="BL451">
        <f>IF(Metadata!Z451="",FALSE,TRUE)</f>
        <v>0</v>
      </c>
      <c r="BM451">
        <f>OR(AND(IF(Metadata!AA451="",FALSE,TRUE),OR(exact(Metadata!AA451,"not collected"),exact(Metadata!AA451,"not provided"))),AND(IF(Metadata!AA451="",FALSE,IF(ISERROR(INT(Metadata!AA451)),FALSE,INT(Metadata!AA451)=Metadata!AA451)),Metadata!AA451&gt;0))</f>
        <v>0</v>
      </c>
      <c r="BN451">
        <f>AND(IF(Metadata!AB451="",FALSE,TRUE),exact(Metadata!AB451,"Not applicable"))</f>
        <v>0</v>
      </c>
      <c r="BO451">
        <f>IF(Metadata!AC451="",FALSE,TRUE)</f>
        <v>0</v>
      </c>
    </row>
    <row r="452" spans="1:67">
      <c r="A452" s="5">
        <f>IF(B452=" "," ",HYPERLINK(CONCATENATE("#metadata!",ADDRESS(INDEX($AI$2:$AI$1001,MATCH(ROWS($AG$2:AG452),$AG$2:$AG$1001,0),0),1)),INDEX($AL$2:$AL$1001,MATCH(ROWS($AG$2:AG452),$AG$2:$AG$1001,0),0)))</f>
        <v>0</v>
      </c>
      <c r="B452" s="4">
        <f>IF(OR(INDEX($AH$2:$AH$1001,MATCH(ROWS($AG$2:AG452),$AG$2:$AG$1001,0),1)&gt;=100000,INDEX($AN$1005:$BO$1005,1,MATCH(COLUMNS($AN$1006:AN1006),$AN$1006:$BO$1006,0))&gt;=100000), " ",IF(INDEX($AN$2:$BO$1001,MATCH(ROWS($AG$2:AG452),$AG$2:$AG$1001,0),MATCH(COLUMNS($AN$1006:AN1006),$AN$1006:$BO$1006,0)), HYPERLINK("#",""), HYPERLINK(CONCATENATE("#Metadata!", ADDRESS(INDEX($AI$2:$AI$1001,MATCH(ROWS($AG$2:AG452),$AG$2:$AG$1001,0),0), INDEX($AN$1004:$BO$1004,1,MATCH(COLUMNS($AN$1006:AN1006),$AN$1006:$BO$1006,0)))),"Fix")))</f>
        <v>0</v>
      </c>
      <c r="C452" s="4">
        <f>IF(OR(INDEX($AH$2:$AH$1001,MATCH(ROWS($AG$2:AG452),$AG$2:$AG$1001,0),1)&gt;=100000,INDEX($AN$1005:$BO$1005,1,MATCH(COLUMNS($AN$1006:AO1006),$AN$1006:$BO$1006,0))&gt;=100000), " ",IF(INDEX($AN$2:$BO$1001,MATCH(ROWS($AG$2:AG452),$AG$2:$AG$1001,0),MATCH(COLUMNS($AN$1006:AO1006),$AN$1006:$BO$1006,0)), HYPERLINK("#",""), HYPERLINK(CONCATENATE("#Metadata!", ADDRESS(INDEX($AI$2:$AI$1001,MATCH(ROWS($AG$2:AG452),$AG$2:$AG$1001,0),0), INDEX($AN$1004:$BO$1004,1,MATCH(COLUMNS($AN$1006:AO1006),$AN$1006:$BO$1006,0)))),"Fix")))</f>
        <v>0</v>
      </c>
      <c r="D452" s="4">
        <f>IF(OR(INDEX($AH$2:$AH$1001,MATCH(ROWS($AG$2:AG452),$AG$2:$AG$1001,0),1)&gt;=100000,INDEX($AN$1005:$BO$1005,1,MATCH(COLUMNS($AN$1006:AP1006),$AN$1006:$BO$1006,0))&gt;=100000), " ",IF(INDEX($AN$2:$BO$1001,MATCH(ROWS($AG$2:AG452),$AG$2:$AG$1001,0),MATCH(COLUMNS($AN$1006:AP1006),$AN$1006:$BO$1006,0)), HYPERLINK("#",""), HYPERLINK(CONCATENATE("#Metadata!", ADDRESS(INDEX($AI$2:$AI$1001,MATCH(ROWS($AG$2:AG452),$AG$2:$AG$1001,0),0), INDEX($AN$1004:$BO$1004,1,MATCH(COLUMNS($AN$1006:AP1006),$AN$1006:$BO$1006,0)))),"Fix")))</f>
        <v>0</v>
      </c>
      <c r="E452" s="4">
        <f>IF(OR(INDEX($AH$2:$AH$1001,MATCH(ROWS($AG$2:AG452),$AG$2:$AG$1001,0),1)&gt;=100000,INDEX($AN$1005:$BO$1005,1,MATCH(COLUMNS($AN$1006:AQ1006),$AN$1006:$BO$1006,0))&gt;=100000), " ",IF(INDEX($AN$2:$BO$1001,MATCH(ROWS($AG$2:AG452),$AG$2:$AG$1001,0),MATCH(COLUMNS($AN$1006:AQ1006),$AN$1006:$BO$1006,0)), HYPERLINK("#",""), HYPERLINK(CONCATENATE("#Metadata!", ADDRESS(INDEX($AI$2:$AI$1001,MATCH(ROWS($AG$2:AG452),$AG$2:$AG$1001,0),0), INDEX($AN$1004:$BO$1004,1,MATCH(COLUMNS($AN$1006:AQ1006),$AN$1006:$BO$1006,0)))),"Fix")))</f>
        <v>0</v>
      </c>
      <c r="F452" s="4">
        <f>IF(OR(INDEX($AH$2:$AH$1001,MATCH(ROWS($AG$2:AG452),$AG$2:$AG$1001,0),1)&gt;=100000,INDEX($AN$1005:$BO$1005,1,MATCH(COLUMNS($AN$1006:AR1006),$AN$1006:$BO$1006,0))&gt;=100000), " ",IF(INDEX($AN$2:$BO$1001,MATCH(ROWS($AG$2:AG452),$AG$2:$AG$1001,0),MATCH(COLUMNS($AN$1006:AR1006),$AN$1006:$BO$1006,0)), HYPERLINK("#",""), HYPERLINK(CONCATENATE("#Metadata!", ADDRESS(INDEX($AI$2:$AI$1001,MATCH(ROWS($AG$2:AG452),$AG$2:$AG$1001,0),0), INDEX($AN$1004:$BO$1004,1,MATCH(COLUMNS($AN$1006:AR1006),$AN$1006:$BO$1006,0)))),"Fix")))</f>
        <v>0</v>
      </c>
      <c r="G452" s="4">
        <f>IF(OR(INDEX($AH$2:$AH$1001,MATCH(ROWS($AG$2:AG452),$AG$2:$AG$1001,0),1)&gt;=100000,INDEX($AN$1005:$BO$1005,1,MATCH(COLUMNS($AN$1006:AS1006),$AN$1006:$BO$1006,0))&gt;=100000), " ",IF(INDEX($AN$2:$BO$1001,MATCH(ROWS($AG$2:AG452),$AG$2:$AG$1001,0),MATCH(COLUMNS($AN$1006:AS1006),$AN$1006:$BO$1006,0)), HYPERLINK("#",""), HYPERLINK(CONCATENATE("#Metadata!", ADDRESS(INDEX($AI$2:$AI$1001,MATCH(ROWS($AG$2:AG452),$AG$2:$AG$1001,0),0), INDEX($AN$1004:$BO$1004,1,MATCH(COLUMNS($AN$1006:AS1006),$AN$1006:$BO$1006,0)))),"Fix")))</f>
        <v>0</v>
      </c>
      <c r="H452" s="4">
        <f>IF(OR(INDEX($AH$2:$AH$1001,MATCH(ROWS($AG$2:AG452),$AG$2:$AG$1001,0),1)&gt;=100000,INDEX($AN$1005:$BO$1005,1,MATCH(COLUMNS($AN$1006:AT1006),$AN$1006:$BO$1006,0))&gt;=100000), " ",IF(INDEX($AN$2:$BO$1001,MATCH(ROWS($AG$2:AG452),$AG$2:$AG$1001,0),MATCH(COLUMNS($AN$1006:AT1006),$AN$1006:$BO$1006,0)), HYPERLINK("#",""), HYPERLINK(CONCATENATE("#Metadata!", ADDRESS(INDEX($AI$2:$AI$1001,MATCH(ROWS($AG$2:AG452),$AG$2:$AG$1001,0),0), INDEX($AN$1004:$BO$1004,1,MATCH(COLUMNS($AN$1006:AT1006),$AN$1006:$BO$1006,0)))),"Fix")))</f>
        <v>0</v>
      </c>
      <c r="I452" s="4">
        <f>IF(OR(INDEX($AH$2:$AH$1001,MATCH(ROWS($AG$2:AG452),$AG$2:$AG$1001,0),1)&gt;=100000,INDEX($AN$1005:$BO$1005,1,MATCH(COLUMNS($AN$1006:AU1006),$AN$1006:$BO$1006,0))&gt;=100000), " ",IF(INDEX($AN$2:$BO$1001,MATCH(ROWS($AG$2:AG452),$AG$2:$AG$1001,0),MATCH(COLUMNS($AN$1006:AU1006),$AN$1006:$BO$1006,0)), HYPERLINK("#",""), HYPERLINK(CONCATENATE("#Metadata!", ADDRESS(INDEX($AI$2:$AI$1001,MATCH(ROWS($AG$2:AG452),$AG$2:$AG$1001,0),0), INDEX($AN$1004:$BO$1004,1,MATCH(COLUMNS($AN$1006:AU1006),$AN$1006:$BO$1006,0)))),"Fix")))</f>
        <v>0</v>
      </c>
      <c r="J452" s="4">
        <f>IF(OR(INDEX($AH$2:$AH$1001,MATCH(ROWS($AG$2:AG452),$AG$2:$AG$1001,0),1)&gt;=100000,INDEX($AN$1005:$BO$1005,1,MATCH(COLUMNS($AN$1006:AV1006),$AN$1006:$BO$1006,0))&gt;=100000), " ",IF(INDEX($AN$2:$BO$1001,MATCH(ROWS($AG$2:AG452),$AG$2:$AG$1001,0),MATCH(COLUMNS($AN$1006:AV1006),$AN$1006:$BO$1006,0)), HYPERLINK("#",""), HYPERLINK(CONCATENATE("#Metadata!", ADDRESS(INDEX($AI$2:$AI$1001,MATCH(ROWS($AG$2:AG452),$AG$2:$AG$1001,0),0), INDEX($AN$1004:$BO$1004,1,MATCH(COLUMNS($AN$1006:AV1006),$AN$1006:$BO$1006,0)))),"Fix")))</f>
        <v>0</v>
      </c>
      <c r="K452" s="4">
        <f>IF(OR(INDEX($AH$2:$AH$1001,MATCH(ROWS($AG$2:AG452),$AG$2:$AG$1001,0),1)&gt;=100000,INDEX($AN$1005:$BO$1005,1,MATCH(COLUMNS($AN$1006:AW1006),$AN$1006:$BO$1006,0))&gt;=100000), " ",IF(INDEX($AN$2:$BO$1001,MATCH(ROWS($AG$2:AG452),$AG$2:$AG$1001,0),MATCH(COLUMNS($AN$1006:AW1006),$AN$1006:$BO$1006,0)), HYPERLINK("#",""), HYPERLINK(CONCATENATE("#Metadata!", ADDRESS(INDEX($AI$2:$AI$1001,MATCH(ROWS($AG$2:AG452),$AG$2:$AG$1001,0),0), INDEX($AN$1004:$BO$1004,1,MATCH(COLUMNS($AN$1006:AW1006),$AN$1006:$BO$1006,0)))),"Fix")))</f>
        <v>0</v>
      </c>
      <c r="L452" s="4">
        <f>IF(OR(INDEX($AH$2:$AH$1001,MATCH(ROWS($AG$2:AG452),$AG$2:$AG$1001,0),1)&gt;=100000,INDEX($AN$1005:$BO$1005,1,MATCH(COLUMNS($AN$1006:AX1006),$AN$1006:$BO$1006,0))&gt;=100000), " ",IF(INDEX($AN$2:$BO$1001,MATCH(ROWS($AG$2:AG452),$AG$2:$AG$1001,0),MATCH(COLUMNS($AN$1006:AX1006),$AN$1006:$BO$1006,0)), HYPERLINK("#",""), HYPERLINK(CONCATENATE("#Metadata!", ADDRESS(INDEX($AI$2:$AI$1001,MATCH(ROWS($AG$2:AG452),$AG$2:$AG$1001,0),0), INDEX($AN$1004:$BO$1004,1,MATCH(COLUMNS($AN$1006:AX1006),$AN$1006:$BO$1006,0)))),"Fix")))</f>
        <v>0</v>
      </c>
      <c r="M452" s="4">
        <f>IF(OR(INDEX($AH$2:$AH$1001,MATCH(ROWS($AG$2:AG452),$AG$2:$AG$1001,0),1)&gt;=100000,INDEX($AN$1005:$BO$1005,1,MATCH(COLUMNS($AN$1006:AY1006),$AN$1006:$BO$1006,0))&gt;=100000), " ",IF(INDEX($AN$2:$BO$1001,MATCH(ROWS($AG$2:AG452),$AG$2:$AG$1001,0),MATCH(COLUMNS($AN$1006:AY1006),$AN$1006:$BO$1006,0)), HYPERLINK("#",""), HYPERLINK(CONCATENATE("#Metadata!", ADDRESS(INDEX($AI$2:$AI$1001,MATCH(ROWS($AG$2:AG452),$AG$2:$AG$1001,0),0), INDEX($AN$1004:$BO$1004,1,MATCH(COLUMNS($AN$1006:AY1006),$AN$1006:$BO$1006,0)))),"Fix")))</f>
        <v>0</v>
      </c>
      <c r="N452" s="4">
        <f>IF(OR(INDEX($AH$2:$AH$1001,MATCH(ROWS($AG$2:AG452),$AG$2:$AG$1001,0),1)&gt;=100000,INDEX($AN$1005:$BO$1005,1,MATCH(COLUMNS($AN$1006:AZ1006),$AN$1006:$BO$1006,0))&gt;=100000), " ",IF(INDEX($AN$2:$BO$1001,MATCH(ROWS($AG$2:AG452),$AG$2:$AG$1001,0),MATCH(COLUMNS($AN$1006:AZ1006),$AN$1006:$BO$1006,0)), HYPERLINK("#",""), HYPERLINK(CONCATENATE("#Metadata!", ADDRESS(INDEX($AI$2:$AI$1001,MATCH(ROWS($AG$2:AG452),$AG$2:$AG$1001,0),0), INDEX($AN$1004:$BO$1004,1,MATCH(COLUMNS($AN$1006:AZ1006),$AN$1006:$BO$1006,0)))),"Fix")))</f>
        <v>0</v>
      </c>
      <c r="O452" s="4">
        <f>IF(OR(INDEX($AH$2:$AH$1001,MATCH(ROWS($AG$2:AG452),$AG$2:$AG$1001,0),1)&gt;=100000,INDEX($AN$1005:$BO$1005,1,MATCH(COLUMNS($AN$1006:BA1006),$AN$1006:$BO$1006,0))&gt;=100000), " ",IF(INDEX($AN$2:$BO$1001,MATCH(ROWS($AG$2:AG452),$AG$2:$AG$1001,0),MATCH(COLUMNS($AN$1006:BA1006),$AN$1006:$BO$1006,0)), HYPERLINK("#",""), HYPERLINK(CONCATENATE("#Metadata!", ADDRESS(INDEX($AI$2:$AI$1001,MATCH(ROWS($AG$2:AG452),$AG$2:$AG$1001,0),0), INDEX($AN$1004:$BO$1004,1,MATCH(COLUMNS($AN$1006:BA1006),$AN$1006:$BO$1006,0)))),"Fix")))</f>
        <v>0</v>
      </c>
      <c r="P452" s="4">
        <f>IF(OR(INDEX($AH$2:$AH$1001,MATCH(ROWS($AG$2:AG452),$AG$2:$AG$1001,0),1)&gt;=100000,INDEX($AN$1005:$BO$1005,1,MATCH(COLUMNS($AN$1006:BB1006),$AN$1006:$BO$1006,0))&gt;=100000), " ",IF(INDEX($AN$2:$BO$1001,MATCH(ROWS($AG$2:AG452),$AG$2:$AG$1001,0),MATCH(COLUMNS($AN$1006:BB1006),$AN$1006:$BO$1006,0)), HYPERLINK("#",""), HYPERLINK(CONCATENATE("#Metadata!", ADDRESS(INDEX($AI$2:$AI$1001,MATCH(ROWS($AG$2:AG452),$AG$2:$AG$1001,0),0), INDEX($AN$1004:$BO$1004,1,MATCH(COLUMNS($AN$1006:BB1006),$AN$1006:$BO$1006,0)))),"Fix")))</f>
        <v>0</v>
      </c>
      <c r="Q452" s="4">
        <f>IF(OR(INDEX($AH$2:$AH$1001,MATCH(ROWS($AG$2:AG452),$AG$2:$AG$1001,0),1)&gt;=100000,INDEX($AN$1005:$BO$1005,1,MATCH(COLUMNS($AN$1006:BC1006),$AN$1006:$BO$1006,0))&gt;=100000), " ",IF(INDEX($AN$2:$BO$1001,MATCH(ROWS($AG$2:AG452),$AG$2:$AG$1001,0),MATCH(COLUMNS($AN$1006:BC1006),$AN$1006:$BO$1006,0)), HYPERLINK("#",""), HYPERLINK(CONCATENATE("#Metadata!", ADDRESS(INDEX($AI$2:$AI$1001,MATCH(ROWS($AG$2:AG452),$AG$2:$AG$1001,0),0), INDEX($AN$1004:$BO$1004,1,MATCH(COLUMNS($AN$1006:BC1006),$AN$1006:$BO$1006,0)))),"Fix")))</f>
        <v>0</v>
      </c>
      <c r="R452" s="4">
        <f>IF(OR(INDEX($AH$2:$AH$1001,MATCH(ROWS($AG$2:AG452),$AG$2:$AG$1001,0),1)&gt;=100000,INDEX($AN$1005:$BO$1005,1,MATCH(COLUMNS($AN$1006:BD1006),$AN$1006:$BO$1006,0))&gt;=100000), " ",IF(INDEX($AN$2:$BO$1001,MATCH(ROWS($AG$2:AG452),$AG$2:$AG$1001,0),MATCH(COLUMNS($AN$1006:BD1006),$AN$1006:$BO$1006,0)), HYPERLINK("#",""), HYPERLINK(CONCATENATE("#Metadata!", ADDRESS(INDEX($AI$2:$AI$1001,MATCH(ROWS($AG$2:AG452),$AG$2:$AG$1001,0),0), INDEX($AN$1004:$BO$1004,1,MATCH(COLUMNS($AN$1006:BD1006),$AN$1006:$BO$1006,0)))),"Fix")))</f>
        <v>0</v>
      </c>
      <c r="S452" s="4">
        <f>IF(OR(INDEX($AH$2:$AH$1001,MATCH(ROWS($AG$2:AG452),$AG$2:$AG$1001,0),1)&gt;=100000,INDEX($AN$1005:$BO$1005,1,MATCH(COLUMNS($AN$1006:BE1006),$AN$1006:$BO$1006,0))&gt;=100000), " ",IF(INDEX($AN$2:$BO$1001,MATCH(ROWS($AG$2:AG452),$AG$2:$AG$1001,0),MATCH(COLUMNS($AN$1006:BE1006),$AN$1006:$BO$1006,0)), HYPERLINK("#",""), HYPERLINK(CONCATENATE("#Metadata!", ADDRESS(INDEX($AI$2:$AI$1001,MATCH(ROWS($AG$2:AG452),$AG$2:$AG$1001,0),0), INDEX($AN$1004:$BO$1004,1,MATCH(COLUMNS($AN$1006:BE1006),$AN$1006:$BO$1006,0)))),"Fix")))</f>
        <v>0</v>
      </c>
      <c r="T452" s="4">
        <f>IF(OR(INDEX($AH$2:$AH$1001,MATCH(ROWS($AG$2:AG452),$AG$2:$AG$1001,0),1)&gt;=100000,INDEX($AN$1005:$BO$1005,1,MATCH(COLUMNS($AN$1006:BF1006),$AN$1006:$BO$1006,0))&gt;=100000), " ",IF(INDEX($AN$2:$BO$1001,MATCH(ROWS($AG$2:AG452),$AG$2:$AG$1001,0),MATCH(COLUMNS($AN$1006:BF1006),$AN$1006:$BO$1006,0)), HYPERLINK("#",""), HYPERLINK(CONCATENATE("#Metadata!", ADDRESS(INDEX($AI$2:$AI$1001,MATCH(ROWS($AG$2:AG452),$AG$2:$AG$1001,0),0), INDEX($AN$1004:$BO$1004,1,MATCH(COLUMNS($AN$1006:BF1006),$AN$1006:$BO$1006,0)))),"Fix")))</f>
        <v>0</v>
      </c>
      <c r="U452" s="4">
        <f>IF(OR(INDEX($AH$2:$AH$1001,MATCH(ROWS($AG$2:AG452),$AG$2:$AG$1001,0),1)&gt;=100000,INDEX($AN$1005:$BO$1005,1,MATCH(COLUMNS($AN$1006:BG1006),$AN$1006:$BO$1006,0))&gt;=100000), " ",IF(INDEX($AN$2:$BO$1001,MATCH(ROWS($AG$2:AG452),$AG$2:$AG$1001,0),MATCH(COLUMNS($AN$1006:BG1006),$AN$1006:$BO$1006,0)), HYPERLINK("#",""), HYPERLINK(CONCATENATE("#Metadata!", ADDRESS(INDEX($AI$2:$AI$1001,MATCH(ROWS($AG$2:AG452),$AG$2:$AG$1001,0),0), INDEX($AN$1004:$BO$1004,1,MATCH(COLUMNS($AN$1006:BG1006),$AN$1006:$BO$1006,0)))),"Fix")))</f>
        <v>0</v>
      </c>
      <c r="V452" s="4">
        <f>IF(OR(INDEX($AH$2:$AH$1001,MATCH(ROWS($AG$2:AG452),$AG$2:$AG$1001,0),1)&gt;=100000,INDEX($AN$1005:$BO$1005,1,MATCH(COLUMNS($AN$1006:BH1006),$AN$1006:$BO$1006,0))&gt;=100000), " ",IF(INDEX($AN$2:$BO$1001,MATCH(ROWS($AG$2:AG452),$AG$2:$AG$1001,0),MATCH(COLUMNS($AN$1006:BH1006),$AN$1006:$BO$1006,0)), HYPERLINK("#",""), HYPERLINK(CONCATENATE("#Metadata!", ADDRESS(INDEX($AI$2:$AI$1001,MATCH(ROWS($AG$2:AG452),$AG$2:$AG$1001,0),0), INDEX($AN$1004:$BO$1004,1,MATCH(COLUMNS($AN$1006:BH1006),$AN$1006:$BO$1006,0)))),"Fix")))</f>
        <v>0</v>
      </c>
      <c r="W452" s="4">
        <f>IF(OR(INDEX($AH$2:$AH$1001,MATCH(ROWS($AG$2:AG452),$AG$2:$AG$1001,0),1)&gt;=100000,INDEX($AN$1005:$BO$1005,1,MATCH(COLUMNS($AN$1006:BI1006),$AN$1006:$BO$1006,0))&gt;=100000), " ",IF(INDEX($AN$2:$BO$1001,MATCH(ROWS($AG$2:AG452),$AG$2:$AG$1001,0),MATCH(COLUMNS($AN$1006:BI1006),$AN$1006:$BO$1006,0)), HYPERLINK("#",""), HYPERLINK(CONCATENATE("#Metadata!", ADDRESS(INDEX($AI$2:$AI$1001,MATCH(ROWS($AG$2:AG452),$AG$2:$AG$1001,0),0), INDEX($AN$1004:$BO$1004,1,MATCH(COLUMNS($AN$1006:BI1006),$AN$1006:$BO$1006,0)))),"Fix")))</f>
        <v>0</v>
      </c>
      <c r="X452" s="4">
        <f>IF(OR(INDEX($AH$2:$AH$1001,MATCH(ROWS($AG$2:AG452),$AG$2:$AG$1001,0),1)&gt;=100000,INDEX($AN$1005:$BO$1005,1,MATCH(COLUMNS($AN$1006:BJ1006),$AN$1006:$BO$1006,0))&gt;=100000), " ",IF(INDEX($AN$2:$BO$1001,MATCH(ROWS($AG$2:AG452),$AG$2:$AG$1001,0),MATCH(COLUMNS($AN$1006:BJ1006),$AN$1006:$BO$1006,0)), HYPERLINK("#",""), HYPERLINK(CONCATENATE("#Metadata!", ADDRESS(INDEX($AI$2:$AI$1001,MATCH(ROWS($AG$2:AG452),$AG$2:$AG$1001,0),0), INDEX($AN$1004:$BO$1004,1,MATCH(COLUMNS($AN$1006:BJ1006),$AN$1006:$BO$1006,0)))),"Fix")))</f>
        <v>0</v>
      </c>
      <c r="Y452" s="4">
        <f>IF(OR(INDEX($AH$2:$AH$1001,MATCH(ROWS($AG$2:AG452),$AG$2:$AG$1001,0),1)&gt;=100000,INDEX($AN$1005:$BO$1005,1,MATCH(COLUMNS($AN$1006:BK1006),$AN$1006:$BO$1006,0))&gt;=100000), " ",IF(INDEX($AN$2:$BO$1001,MATCH(ROWS($AG$2:AG452),$AG$2:$AG$1001,0),MATCH(COLUMNS($AN$1006:BK1006),$AN$1006:$BO$1006,0)), HYPERLINK("#",""), HYPERLINK(CONCATENATE("#Metadata!", ADDRESS(INDEX($AI$2:$AI$1001,MATCH(ROWS($AG$2:AG452),$AG$2:$AG$1001,0),0), INDEX($AN$1004:$BO$1004,1,MATCH(COLUMNS($AN$1006:BK1006),$AN$1006:$BO$1006,0)))),"Fix")))</f>
        <v>0</v>
      </c>
      <c r="Z452" s="4">
        <f>IF(OR(INDEX($AH$2:$AH$1001,MATCH(ROWS($AG$2:AG452),$AG$2:$AG$1001,0),1)&gt;=100000,INDEX($AN$1005:$BO$1005,1,MATCH(COLUMNS($AN$1006:BL1006),$AN$1006:$BO$1006,0))&gt;=100000), " ",IF(INDEX($AN$2:$BO$1001,MATCH(ROWS($AG$2:AG452),$AG$2:$AG$1001,0),MATCH(COLUMNS($AN$1006:BL1006),$AN$1006:$BO$1006,0)), HYPERLINK("#",""), HYPERLINK(CONCATENATE("#Metadata!", ADDRESS(INDEX($AI$2:$AI$1001,MATCH(ROWS($AG$2:AG452),$AG$2:$AG$1001,0),0), INDEX($AN$1004:$BO$1004,1,MATCH(COLUMNS($AN$1006:BL1006),$AN$1006:$BO$1006,0)))),"Fix")))</f>
        <v>0</v>
      </c>
      <c r="AA452" s="4">
        <f>IF(OR(INDEX($AH$2:$AH$1001,MATCH(ROWS($AG$2:AG452),$AG$2:$AG$1001,0),1)&gt;=100000,INDEX($AN$1005:$BO$1005,1,MATCH(COLUMNS($AN$1006:BM1006),$AN$1006:$BO$1006,0))&gt;=100000), " ",IF(INDEX($AN$2:$BO$1001,MATCH(ROWS($AG$2:AG452),$AG$2:$AG$1001,0),MATCH(COLUMNS($AN$1006:BM1006),$AN$1006:$BO$1006,0)), HYPERLINK("#",""), HYPERLINK(CONCATENATE("#Metadata!", ADDRESS(INDEX($AI$2:$AI$1001,MATCH(ROWS($AG$2:AG452),$AG$2:$AG$1001,0),0), INDEX($AN$1004:$BO$1004,1,MATCH(COLUMNS($AN$1006:BM1006),$AN$1006:$BO$1006,0)))),"Fix")))</f>
        <v>0</v>
      </c>
      <c r="AB452" s="4">
        <f>IF(OR(INDEX($AH$2:$AH$1001,MATCH(ROWS($AG$2:AG452),$AG$2:$AG$1001,0),1)&gt;=100000,INDEX($AN$1005:$BO$1005,1,MATCH(COLUMNS($AN$1006:BN1006),$AN$1006:$BO$1006,0))&gt;=100000), " ",IF(INDEX($AN$2:$BO$1001,MATCH(ROWS($AG$2:AG452),$AG$2:$AG$1001,0),MATCH(COLUMNS($AN$1006:BN1006),$AN$1006:$BO$1006,0)), HYPERLINK("#",""), HYPERLINK(CONCATENATE("#Metadata!", ADDRESS(INDEX($AI$2:$AI$1001,MATCH(ROWS($AG$2:AG452),$AG$2:$AG$1001,0),0), INDEX($AN$1004:$BO$1004,1,MATCH(COLUMNS($AN$1006:BN1006),$AN$1006:$BO$1006,0)))),"Fix")))</f>
        <v>0</v>
      </c>
      <c r="AC452" s="4">
        <f>IF(OR(INDEX($AH$2:$AH$1001,MATCH(ROWS($AG$2:AG452),$AG$2:$AG$1001,0),1)&gt;=100000,INDEX($AN$1005:$BO$1005,1,MATCH(COLUMNS($AN$1006:BO1006),$AN$1006:$BO$1006,0))&gt;=100000), " ",IF(INDEX($AN$2:$BO$1001,MATCH(ROWS($AG$2:AG452),$AG$2:$AG$1001,0),MATCH(COLUMNS($AN$1006:BO1006),$AN$1006:$BO$1006,0)), HYPERLINK("#",""), HYPERLINK(CONCATENATE("#Metadata!", ADDRESS(INDEX($AI$2:$AI$1001,MATCH(ROWS($AG$2:AG452),$AG$2:$AG$1001,0),0), INDEX($AN$1004:$BO$1004,1,MATCH(COLUMNS($AN$1006:BO1006),$AN$1006:$BO$1006,0)))),"Fix")))</f>
        <v>0</v>
      </c>
      <c r="AG452">
        <v>0</v>
      </c>
      <c r="AH452">
        <v>0</v>
      </c>
      <c r="AI452">
        <v>0</v>
      </c>
      <c r="AJ452">
        <f>IF(AK452,TRUE,AND(AN452:BO452))</f>
        <v>0</v>
      </c>
      <c r="AK452">
        <f>COUNTBLANK(Metadata!B452:AC452)=COLUMNS(Metadata!B452:AC452)</f>
        <v>0</v>
      </c>
      <c r="AL452">
        <v>0</v>
      </c>
      <c r="AN452">
        <f>AND(IF(Metadata!B452="",FALSE,TRUE),COUNTIF(Metadata!B:B, Metadata!B452) = 1,NOT(ISERROR(SUMPRODUCT(SEARCH(MID(Metadata!B452,ROW(INDIRECT("1:"&amp;LEN(Metadata!B452))), 1),"0123456789abcdefghijklmnopqrstuvwxyzABCDEFGHIJKLMNOPQRSTUVWXYZ.")))))</f>
        <v>0</v>
      </c>
      <c r="AO452">
        <f>IF(Metadata!C452="",FALSE,TRUE)</f>
        <v>0</v>
      </c>
      <c r="AP452">
        <f>IF(Metadata!D452="",FALSE,TRUE)</f>
        <v>0</v>
      </c>
      <c r="AQ452">
        <f>OR(AND(IF(Metadata!E452="",FALSE,TRUE),OR(exact(Metadata!E452,"not collected"),exact(Metadata!E452,"not provided"),exact(Metadata!E452,"restricted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R452">
        <f>IF(Metadata!F452="",FALSE,TRUE)</f>
        <v>0</v>
      </c>
      <c r="AS452">
        <f>OR(AND(IF(Metadata!G452="",FALSE,TRUE),OR(exact(Metadata!G452,"not collected"),exact(Metadata!G452,"not provided"))),AND(IF(Metadata!G452="",FALSE,TRUE),OR(exact(Metadata!G452,"TRUE"),exact(Metadata!G452,"FALSE"))))</f>
        <v>0</v>
      </c>
      <c r="AT452">
        <f>OR(AND(IF(Metadata!H452="",FALSE,TRUE),OR(exact(Metadata!H452,"not collected"),exact(Metadata!H452,"not provided"),exact(Metadata!H452,"restricted access"))),AND(IF(Metadata!H452="",FALSE,ISNUMBER(VALUE(Metadata!H452))),Metadata!H452&gt;=-413.0))</f>
        <v>0</v>
      </c>
      <c r="AU452">
        <f>AND(IF(Metadata!I452="",FALSE,TRUE),exact(Metadata!I452,"meters"))</f>
        <v>0</v>
      </c>
      <c r="AV452">
        <f>AND(IF(Metadata!J452="",FALSE,TRUE),OR(exact(Metadata!J452,"Host-associated"),exact(Metadata!J452,"Free-living")))</f>
        <v>0</v>
      </c>
      <c r="AW452">
        <f>AND(IF(Metadata!K452="",FALSE,TRUE),OR(exact(Metadata!K452,"Animal"),exact(Metadata!K452,"Fungus"),exact(Metadata!K452,"Plant"),exact(Metadata!K452,"Saline"),exact(Metadata!K452,"Non-saline")))</f>
        <v>0</v>
      </c>
      <c r="AX452">
        <f>AND(IF(Metadata!L452="",FALSE,TRUE),OR(exact(Metadata!L452,"Plant secretion"),exact(Metadata!L452,"Plant rhizosphere"),exact(Metadata!L452,"Plant surface"),exact(Metadata!L452,"Plant corpus"),exact(Metadata!L452,"Fungus surface"),exact(Metadata!L452,"Fungus corpus"),exact(Metadata!L452,"Animal surface"),exact(Metadata!L452,"Animal proximal gut"),exact(Metadata!L452,"Animal corpus"),exact(Metadata!L452,"Animal distal gut"),exact(Metadata!L452,"Animal secretion"),exact(Metadata!L452,"Sub-surface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Y452">
        <f>IF(Metadata!M452="",FALSE,TRUE)</f>
        <v>0</v>
      </c>
      <c r="AZ452">
        <f>IF(Metadata!N452="",FALSE,TRUE)</f>
        <v>0</v>
      </c>
      <c r="BA452">
        <f>IF(Metadata!O452="",FALSE,TRUE)</f>
        <v>0</v>
      </c>
      <c r="BB452">
        <f>OR(AND(IF(Metadata!P452="",FALSE,TRUE),OR(exact(Metadata!P452,"not collected"),exact(Metadata!P452,"not provided"),exact(Metadata!P452,"restricted access"))),AND(IF(Metadata!P452="",FALSE,TRUE),OR(exact(Metadata!P452,"air"),exact(Metadata!P452,"built environment"),exact(Metadata!P452,"host-associated"),exact(Metadata!P452,"human-associated"),exact(Metadata!P452,"human-skin"),exact(Metadata!P452,"human-oral"),exact(Metadata!P452,"human-gut"),exact(Metadata!P452,"human-vaginal"),exact(Metadata!P452,"microbial mat/biofilm"),exact(Metadata!P452,"misc environment"),exact(Metadata!P452,"plant-associated"),exact(Metadata!P452,"sediment"),exact(Metadata!P452,"soil"),exact(Metadata!P452,"wastewater/sludge"),exact(Metadata!P452,"water"))))</f>
        <v>0</v>
      </c>
      <c r="BC452">
        <f>IF(Metadata!Q452="",FALSE,TRUE)</f>
        <v>0</v>
      </c>
      <c r="BD452">
        <f>IF(Metadata!R452="",FALSE,TRUE)</f>
        <v>0</v>
      </c>
      <c r="BE452">
        <f>OR(AND(IF(Metadata!S452="",FALSE,TRUE),OR(exact(Metadata!S452,"not collected"),exact(Metadata!S452,"not provided"),exact(Metadata!S452,"restricted access"))),AND(IF(Metadata!S452="",FALSE,ISNUMBER(VALUE(Metadata!S452))),Metadata!S452&gt;=-90.00,Metadata!S452&lt;=90.00))</f>
        <v>0</v>
      </c>
      <c r="BF452">
        <f>AND(IF(Metadata!T452="",FALSE,TRUE),exact(Metadata!T452,"Decimal degrees"))</f>
        <v>0</v>
      </c>
      <c r="BG452">
        <f>OR(AND(IF(Metadata!U452="",FALSE,TRUE),OR(exact(Metadata!U452,"not collected"),exact(Metadata!U452,"not provided"),exact(Metadata!U452,"restricted access"))),AND(IF(Metadata!U452="",FALSE,ISNUMBER(VALUE(Metadata!U452))),Metadata!U452&gt;=-180.00,Metadata!U452&lt;=180.00))</f>
        <v>0</v>
      </c>
      <c r="BH452">
        <f>AND(IF(Metadata!V452="",FALSE,TRUE),exact(Metadata!V452,"Decimal degrees"))</f>
        <v>0</v>
      </c>
      <c r="BI452">
        <f>IF(Metadata!W452="",FALSE,TRUE)</f>
        <v>0</v>
      </c>
      <c r="BJ452">
        <f>OR(AND(IF(Metadata!X452="",FALSE,TRUE),OR(exact(Metadata!X452,"not collected"),exact(Metadata!X452,"not provided"),exact(Metadata!X452,"restricted access"))),AND(IF(Metadata!X452="",FALSE,TRUE),OR(exact(Metadata!X452,"TRUE"),exact(Metadata!X452,"FALSE"))))</f>
        <v>0</v>
      </c>
      <c r="BK452">
        <f>AND(IF(Metadata!Y452="",FALSE,TRUE),exact(Metadata!Y452,"other"))</f>
        <v>0</v>
      </c>
      <c r="BL452">
        <f>IF(Metadata!Z452="",FALSE,TRUE)</f>
        <v>0</v>
      </c>
      <c r="BM452">
        <f>OR(AND(IF(Metadata!AA452="",FALSE,TRUE),OR(exact(Metadata!AA452,"not collected"),exact(Metadata!AA452,"not provided"))),AND(IF(Metadata!AA452="",FALSE,IF(ISERROR(INT(Metadata!AA452)),FALSE,INT(Metadata!AA452)=Metadata!AA452)),Metadata!AA452&gt;0))</f>
        <v>0</v>
      </c>
      <c r="BN452">
        <f>AND(IF(Metadata!AB452="",FALSE,TRUE),exact(Metadata!AB452,"Not applicable"))</f>
        <v>0</v>
      </c>
      <c r="BO452">
        <f>IF(Metadata!AC452="",FALSE,TRUE)</f>
        <v>0</v>
      </c>
    </row>
    <row r="453" spans="1:67">
      <c r="A453" s="5">
        <f>IF(B453=" "," ",HYPERLINK(CONCATENATE("#metadata!",ADDRESS(INDEX($AI$2:$AI$1001,MATCH(ROWS($AG$2:AG453),$AG$2:$AG$1001,0),0),1)),INDEX($AL$2:$AL$1001,MATCH(ROWS($AG$2:AG453),$AG$2:$AG$1001,0),0)))</f>
        <v>0</v>
      </c>
      <c r="B453" s="4">
        <f>IF(OR(INDEX($AH$2:$AH$1001,MATCH(ROWS($AG$2:AG453),$AG$2:$AG$1001,0),1)&gt;=100000,INDEX($AN$1005:$BO$1005,1,MATCH(COLUMNS($AN$1006:AN1006),$AN$1006:$BO$1006,0))&gt;=100000), " ",IF(INDEX($AN$2:$BO$1001,MATCH(ROWS($AG$2:AG453),$AG$2:$AG$1001,0),MATCH(COLUMNS($AN$1006:AN1006),$AN$1006:$BO$1006,0)), HYPERLINK("#",""), HYPERLINK(CONCATENATE("#Metadata!", ADDRESS(INDEX($AI$2:$AI$1001,MATCH(ROWS($AG$2:AG453),$AG$2:$AG$1001,0),0), INDEX($AN$1004:$BO$1004,1,MATCH(COLUMNS($AN$1006:AN1006),$AN$1006:$BO$1006,0)))),"Fix")))</f>
        <v>0</v>
      </c>
      <c r="C453" s="4">
        <f>IF(OR(INDEX($AH$2:$AH$1001,MATCH(ROWS($AG$2:AG453),$AG$2:$AG$1001,0),1)&gt;=100000,INDEX($AN$1005:$BO$1005,1,MATCH(COLUMNS($AN$1006:AO1006),$AN$1006:$BO$1006,0))&gt;=100000), " ",IF(INDEX($AN$2:$BO$1001,MATCH(ROWS($AG$2:AG453),$AG$2:$AG$1001,0),MATCH(COLUMNS($AN$1006:AO1006),$AN$1006:$BO$1006,0)), HYPERLINK("#",""), HYPERLINK(CONCATENATE("#Metadata!", ADDRESS(INDEX($AI$2:$AI$1001,MATCH(ROWS($AG$2:AG453),$AG$2:$AG$1001,0),0), INDEX($AN$1004:$BO$1004,1,MATCH(COLUMNS($AN$1006:AO1006),$AN$1006:$BO$1006,0)))),"Fix")))</f>
        <v>0</v>
      </c>
      <c r="D453" s="4">
        <f>IF(OR(INDEX($AH$2:$AH$1001,MATCH(ROWS($AG$2:AG453),$AG$2:$AG$1001,0),1)&gt;=100000,INDEX($AN$1005:$BO$1005,1,MATCH(COLUMNS($AN$1006:AP1006),$AN$1006:$BO$1006,0))&gt;=100000), " ",IF(INDEX($AN$2:$BO$1001,MATCH(ROWS($AG$2:AG453),$AG$2:$AG$1001,0),MATCH(COLUMNS($AN$1006:AP1006),$AN$1006:$BO$1006,0)), HYPERLINK("#",""), HYPERLINK(CONCATENATE("#Metadata!", ADDRESS(INDEX($AI$2:$AI$1001,MATCH(ROWS($AG$2:AG453),$AG$2:$AG$1001,0),0), INDEX($AN$1004:$BO$1004,1,MATCH(COLUMNS($AN$1006:AP1006),$AN$1006:$BO$1006,0)))),"Fix")))</f>
        <v>0</v>
      </c>
      <c r="E453" s="4">
        <f>IF(OR(INDEX($AH$2:$AH$1001,MATCH(ROWS($AG$2:AG453),$AG$2:$AG$1001,0),1)&gt;=100000,INDEX($AN$1005:$BO$1005,1,MATCH(COLUMNS($AN$1006:AQ1006),$AN$1006:$BO$1006,0))&gt;=100000), " ",IF(INDEX($AN$2:$BO$1001,MATCH(ROWS($AG$2:AG453),$AG$2:$AG$1001,0),MATCH(COLUMNS($AN$1006:AQ1006),$AN$1006:$BO$1006,0)), HYPERLINK("#",""), HYPERLINK(CONCATENATE("#Metadata!", ADDRESS(INDEX($AI$2:$AI$1001,MATCH(ROWS($AG$2:AG453),$AG$2:$AG$1001,0),0), INDEX($AN$1004:$BO$1004,1,MATCH(COLUMNS($AN$1006:AQ1006),$AN$1006:$BO$1006,0)))),"Fix")))</f>
        <v>0</v>
      </c>
      <c r="F453" s="4">
        <f>IF(OR(INDEX($AH$2:$AH$1001,MATCH(ROWS($AG$2:AG453),$AG$2:$AG$1001,0),1)&gt;=100000,INDEX($AN$1005:$BO$1005,1,MATCH(COLUMNS($AN$1006:AR1006),$AN$1006:$BO$1006,0))&gt;=100000), " ",IF(INDEX($AN$2:$BO$1001,MATCH(ROWS($AG$2:AG453),$AG$2:$AG$1001,0),MATCH(COLUMNS($AN$1006:AR1006),$AN$1006:$BO$1006,0)), HYPERLINK("#",""), HYPERLINK(CONCATENATE("#Metadata!", ADDRESS(INDEX($AI$2:$AI$1001,MATCH(ROWS($AG$2:AG453),$AG$2:$AG$1001,0),0), INDEX($AN$1004:$BO$1004,1,MATCH(COLUMNS($AN$1006:AR1006),$AN$1006:$BO$1006,0)))),"Fix")))</f>
        <v>0</v>
      </c>
      <c r="G453" s="4">
        <f>IF(OR(INDEX($AH$2:$AH$1001,MATCH(ROWS($AG$2:AG453),$AG$2:$AG$1001,0),1)&gt;=100000,INDEX($AN$1005:$BO$1005,1,MATCH(COLUMNS($AN$1006:AS1006),$AN$1006:$BO$1006,0))&gt;=100000), " ",IF(INDEX($AN$2:$BO$1001,MATCH(ROWS($AG$2:AG453),$AG$2:$AG$1001,0),MATCH(COLUMNS($AN$1006:AS1006),$AN$1006:$BO$1006,0)), HYPERLINK("#",""), HYPERLINK(CONCATENATE("#Metadata!", ADDRESS(INDEX($AI$2:$AI$1001,MATCH(ROWS($AG$2:AG453),$AG$2:$AG$1001,0),0), INDEX($AN$1004:$BO$1004,1,MATCH(COLUMNS($AN$1006:AS1006),$AN$1006:$BO$1006,0)))),"Fix")))</f>
        <v>0</v>
      </c>
      <c r="H453" s="4">
        <f>IF(OR(INDEX($AH$2:$AH$1001,MATCH(ROWS($AG$2:AG453),$AG$2:$AG$1001,0),1)&gt;=100000,INDEX($AN$1005:$BO$1005,1,MATCH(COLUMNS($AN$1006:AT1006),$AN$1006:$BO$1006,0))&gt;=100000), " ",IF(INDEX($AN$2:$BO$1001,MATCH(ROWS($AG$2:AG453),$AG$2:$AG$1001,0),MATCH(COLUMNS($AN$1006:AT1006),$AN$1006:$BO$1006,0)), HYPERLINK("#",""), HYPERLINK(CONCATENATE("#Metadata!", ADDRESS(INDEX($AI$2:$AI$1001,MATCH(ROWS($AG$2:AG453),$AG$2:$AG$1001,0),0), INDEX($AN$1004:$BO$1004,1,MATCH(COLUMNS($AN$1006:AT1006),$AN$1006:$BO$1006,0)))),"Fix")))</f>
        <v>0</v>
      </c>
      <c r="I453" s="4">
        <f>IF(OR(INDEX($AH$2:$AH$1001,MATCH(ROWS($AG$2:AG453),$AG$2:$AG$1001,0),1)&gt;=100000,INDEX($AN$1005:$BO$1005,1,MATCH(COLUMNS($AN$1006:AU1006),$AN$1006:$BO$1006,0))&gt;=100000), " ",IF(INDEX($AN$2:$BO$1001,MATCH(ROWS($AG$2:AG453),$AG$2:$AG$1001,0),MATCH(COLUMNS($AN$1006:AU1006),$AN$1006:$BO$1006,0)), HYPERLINK("#",""), HYPERLINK(CONCATENATE("#Metadata!", ADDRESS(INDEX($AI$2:$AI$1001,MATCH(ROWS($AG$2:AG453),$AG$2:$AG$1001,0),0), INDEX($AN$1004:$BO$1004,1,MATCH(COLUMNS($AN$1006:AU1006),$AN$1006:$BO$1006,0)))),"Fix")))</f>
        <v>0</v>
      </c>
      <c r="J453" s="4">
        <f>IF(OR(INDEX($AH$2:$AH$1001,MATCH(ROWS($AG$2:AG453),$AG$2:$AG$1001,0),1)&gt;=100000,INDEX($AN$1005:$BO$1005,1,MATCH(COLUMNS($AN$1006:AV1006),$AN$1006:$BO$1006,0))&gt;=100000), " ",IF(INDEX($AN$2:$BO$1001,MATCH(ROWS($AG$2:AG453),$AG$2:$AG$1001,0),MATCH(COLUMNS($AN$1006:AV1006),$AN$1006:$BO$1006,0)), HYPERLINK("#",""), HYPERLINK(CONCATENATE("#Metadata!", ADDRESS(INDEX($AI$2:$AI$1001,MATCH(ROWS($AG$2:AG453),$AG$2:$AG$1001,0),0), INDEX($AN$1004:$BO$1004,1,MATCH(COLUMNS($AN$1006:AV1006),$AN$1006:$BO$1006,0)))),"Fix")))</f>
        <v>0</v>
      </c>
      <c r="K453" s="4">
        <f>IF(OR(INDEX($AH$2:$AH$1001,MATCH(ROWS($AG$2:AG453),$AG$2:$AG$1001,0),1)&gt;=100000,INDEX($AN$1005:$BO$1005,1,MATCH(COLUMNS($AN$1006:AW1006),$AN$1006:$BO$1006,0))&gt;=100000), " ",IF(INDEX($AN$2:$BO$1001,MATCH(ROWS($AG$2:AG453),$AG$2:$AG$1001,0),MATCH(COLUMNS($AN$1006:AW1006),$AN$1006:$BO$1006,0)), HYPERLINK("#",""), HYPERLINK(CONCATENATE("#Metadata!", ADDRESS(INDEX($AI$2:$AI$1001,MATCH(ROWS($AG$2:AG453),$AG$2:$AG$1001,0),0), INDEX($AN$1004:$BO$1004,1,MATCH(COLUMNS($AN$1006:AW1006),$AN$1006:$BO$1006,0)))),"Fix")))</f>
        <v>0</v>
      </c>
      <c r="L453" s="4">
        <f>IF(OR(INDEX($AH$2:$AH$1001,MATCH(ROWS($AG$2:AG453),$AG$2:$AG$1001,0),1)&gt;=100000,INDEX($AN$1005:$BO$1005,1,MATCH(COLUMNS($AN$1006:AX1006),$AN$1006:$BO$1006,0))&gt;=100000), " ",IF(INDEX($AN$2:$BO$1001,MATCH(ROWS($AG$2:AG453),$AG$2:$AG$1001,0),MATCH(COLUMNS($AN$1006:AX1006),$AN$1006:$BO$1006,0)), HYPERLINK("#",""), HYPERLINK(CONCATENATE("#Metadata!", ADDRESS(INDEX($AI$2:$AI$1001,MATCH(ROWS($AG$2:AG453),$AG$2:$AG$1001,0),0), INDEX($AN$1004:$BO$1004,1,MATCH(COLUMNS($AN$1006:AX1006),$AN$1006:$BO$1006,0)))),"Fix")))</f>
        <v>0</v>
      </c>
      <c r="M453" s="4">
        <f>IF(OR(INDEX($AH$2:$AH$1001,MATCH(ROWS($AG$2:AG453),$AG$2:$AG$1001,0),1)&gt;=100000,INDEX($AN$1005:$BO$1005,1,MATCH(COLUMNS($AN$1006:AY1006),$AN$1006:$BO$1006,0))&gt;=100000), " ",IF(INDEX($AN$2:$BO$1001,MATCH(ROWS($AG$2:AG453),$AG$2:$AG$1001,0),MATCH(COLUMNS($AN$1006:AY1006),$AN$1006:$BO$1006,0)), HYPERLINK("#",""), HYPERLINK(CONCATENATE("#Metadata!", ADDRESS(INDEX($AI$2:$AI$1001,MATCH(ROWS($AG$2:AG453),$AG$2:$AG$1001,0),0), INDEX($AN$1004:$BO$1004,1,MATCH(COLUMNS($AN$1006:AY1006),$AN$1006:$BO$1006,0)))),"Fix")))</f>
        <v>0</v>
      </c>
      <c r="N453" s="4">
        <f>IF(OR(INDEX($AH$2:$AH$1001,MATCH(ROWS($AG$2:AG453),$AG$2:$AG$1001,0),1)&gt;=100000,INDEX($AN$1005:$BO$1005,1,MATCH(COLUMNS($AN$1006:AZ1006),$AN$1006:$BO$1006,0))&gt;=100000), " ",IF(INDEX($AN$2:$BO$1001,MATCH(ROWS($AG$2:AG453),$AG$2:$AG$1001,0),MATCH(COLUMNS($AN$1006:AZ1006),$AN$1006:$BO$1006,0)), HYPERLINK("#",""), HYPERLINK(CONCATENATE("#Metadata!", ADDRESS(INDEX($AI$2:$AI$1001,MATCH(ROWS($AG$2:AG453),$AG$2:$AG$1001,0),0), INDEX($AN$1004:$BO$1004,1,MATCH(COLUMNS($AN$1006:AZ1006),$AN$1006:$BO$1006,0)))),"Fix")))</f>
        <v>0</v>
      </c>
      <c r="O453" s="4">
        <f>IF(OR(INDEX($AH$2:$AH$1001,MATCH(ROWS($AG$2:AG453),$AG$2:$AG$1001,0),1)&gt;=100000,INDEX($AN$1005:$BO$1005,1,MATCH(COLUMNS($AN$1006:BA1006),$AN$1006:$BO$1006,0))&gt;=100000), " ",IF(INDEX($AN$2:$BO$1001,MATCH(ROWS($AG$2:AG453),$AG$2:$AG$1001,0),MATCH(COLUMNS($AN$1006:BA1006),$AN$1006:$BO$1006,0)), HYPERLINK("#",""), HYPERLINK(CONCATENATE("#Metadata!", ADDRESS(INDEX($AI$2:$AI$1001,MATCH(ROWS($AG$2:AG453),$AG$2:$AG$1001,0),0), INDEX($AN$1004:$BO$1004,1,MATCH(COLUMNS($AN$1006:BA1006),$AN$1006:$BO$1006,0)))),"Fix")))</f>
        <v>0</v>
      </c>
      <c r="P453" s="4">
        <f>IF(OR(INDEX($AH$2:$AH$1001,MATCH(ROWS($AG$2:AG453),$AG$2:$AG$1001,0),1)&gt;=100000,INDEX($AN$1005:$BO$1005,1,MATCH(COLUMNS($AN$1006:BB1006),$AN$1006:$BO$1006,0))&gt;=100000), " ",IF(INDEX($AN$2:$BO$1001,MATCH(ROWS($AG$2:AG453),$AG$2:$AG$1001,0),MATCH(COLUMNS($AN$1006:BB1006),$AN$1006:$BO$1006,0)), HYPERLINK("#",""), HYPERLINK(CONCATENATE("#Metadata!", ADDRESS(INDEX($AI$2:$AI$1001,MATCH(ROWS($AG$2:AG453),$AG$2:$AG$1001,0),0), INDEX($AN$1004:$BO$1004,1,MATCH(COLUMNS($AN$1006:BB1006),$AN$1006:$BO$1006,0)))),"Fix")))</f>
        <v>0</v>
      </c>
      <c r="Q453" s="4">
        <f>IF(OR(INDEX($AH$2:$AH$1001,MATCH(ROWS($AG$2:AG453),$AG$2:$AG$1001,0),1)&gt;=100000,INDEX($AN$1005:$BO$1005,1,MATCH(COLUMNS($AN$1006:BC1006),$AN$1006:$BO$1006,0))&gt;=100000), " ",IF(INDEX($AN$2:$BO$1001,MATCH(ROWS($AG$2:AG453),$AG$2:$AG$1001,0),MATCH(COLUMNS($AN$1006:BC1006),$AN$1006:$BO$1006,0)), HYPERLINK("#",""), HYPERLINK(CONCATENATE("#Metadata!", ADDRESS(INDEX($AI$2:$AI$1001,MATCH(ROWS($AG$2:AG453),$AG$2:$AG$1001,0),0), INDEX($AN$1004:$BO$1004,1,MATCH(COLUMNS($AN$1006:BC1006),$AN$1006:$BO$1006,0)))),"Fix")))</f>
        <v>0</v>
      </c>
      <c r="R453" s="4">
        <f>IF(OR(INDEX($AH$2:$AH$1001,MATCH(ROWS($AG$2:AG453),$AG$2:$AG$1001,0),1)&gt;=100000,INDEX($AN$1005:$BO$1005,1,MATCH(COLUMNS($AN$1006:BD1006),$AN$1006:$BO$1006,0))&gt;=100000), " ",IF(INDEX($AN$2:$BO$1001,MATCH(ROWS($AG$2:AG453),$AG$2:$AG$1001,0),MATCH(COLUMNS($AN$1006:BD1006),$AN$1006:$BO$1006,0)), HYPERLINK("#",""), HYPERLINK(CONCATENATE("#Metadata!", ADDRESS(INDEX($AI$2:$AI$1001,MATCH(ROWS($AG$2:AG453),$AG$2:$AG$1001,0),0), INDEX($AN$1004:$BO$1004,1,MATCH(COLUMNS($AN$1006:BD1006),$AN$1006:$BO$1006,0)))),"Fix")))</f>
        <v>0</v>
      </c>
      <c r="S453" s="4">
        <f>IF(OR(INDEX($AH$2:$AH$1001,MATCH(ROWS($AG$2:AG453),$AG$2:$AG$1001,0),1)&gt;=100000,INDEX($AN$1005:$BO$1005,1,MATCH(COLUMNS($AN$1006:BE1006),$AN$1006:$BO$1006,0))&gt;=100000), " ",IF(INDEX($AN$2:$BO$1001,MATCH(ROWS($AG$2:AG453),$AG$2:$AG$1001,0),MATCH(COLUMNS($AN$1006:BE1006),$AN$1006:$BO$1006,0)), HYPERLINK("#",""), HYPERLINK(CONCATENATE("#Metadata!", ADDRESS(INDEX($AI$2:$AI$1001,MATCH(ROWS($AG$2:AG453),$AG$2:$AG$1001,0),0), INDEX($AN$1004:$BO$1004,1,MATCH(COLUMNS($AN$1006:BE1006),$AN$1006:$BO$1006,0)))),"Fix")))</f>
        <v>0</v>
      </c>
      <c r="T453" s="4">
        <f>IF(OR(INDEX($AH$2:$AH$1001,MATCH(ROWS($AG$2:AG453),$AG$2:$AG$1001,0),1)&gt;=100000,INDEX($AN$1005:$BO$1005,1,MATCH(COLUMNS($AN$1006:BF1006),$AN$1006:$BO$1006,0))&gt;=100000), " ",IF(INDEX($AN$2:$BO$1001,MATCH(ROWS($AG$2:AG453),$AG$2:$AG$1001,0),MATCH(COLUMNS($AN$1006:BF1006),$AN$1006:$BO$1006,0)), HYPERLINK("#",""), HYPERLINK(CONCATENATE("#Metadata!", ADDRESS(INDEX($AI$2:$AI$1001,MATCH(ROWS($AG$2:AG453),$AG$2:$AG$1001,0),0), INDEX($AN$1004:$BO$1004,1,MATCH(COLUMNS($AN$1006:BF1006),$AN$1006:$BO$1006,0)))),"Fix")))</f>
        <v>0</v>
      </c>
      <c r="U453" s="4">
        <f>IF(OR(INDEX($AH$2:$AH$1001,MATCH(ROWS($AG$2:AG453),$AG$2:$AG$1001,0),1)&gt;=100000,INDEX($AN$1005:$BO$1005,1,MATCH(COLUMNS($AN$1006:BG1006),$AN$1006:$BO$1006,0))&gt;=100000), " ",IF(INDEX($AN$2:$BO$1001,MATCH(ROWS($AG$2:AG453),$AG$2:$AG$1001,0),MATCH(COLUMNS($AN$1006:BG1006),$AN$1006:$BO$1006,0)), HYPERLINK("#",""), HYPERLINK(CONCATENATE("#Metadata!", ADDRESS(INDEX($AI$2:$AI$1001,MATCH(ROWS($AG$2:AG453),$AG$2:$AG$1001,0),0), INDEX($AN$1004:$BO$1004,1,MATCH(COLUMNS($AN$1006:BG1006),$AN$1006:$BO$1006,0)))),"Fix")))</f>
        <v>0</v>
      </c>
      <c r="V453" s="4">
        <f>IF(OR(INDEX($AH$2:$AH$1001,MATCH(ROWS($AG$2:AG453),$AG$2:$AG$1001,0),1)&gt;=100000,INDEX($AN$1005:$BO$1005,1,MATCH(COLUMNS($AN$1006:BH1006),$AN$1006:$BO$1006,0))&gt;=100000), " ",IF(INDEX($AN$2:$BO$1001,MATCH(ROWS($AG$2:AG453),$AG$2:$AG$1001,0),MATCH(COLUMNS($AN$1006:BH1006),$AN$1006:$BO$1006,0)), HYPERLINK("#",""), HYPERLINK(CONCATENATE("#Metadata!", ADDRESS(INDEX($AI$2:$AI$1001,MATCH(ROWS($AG$2:AG453),$AG$2:$AG$1001,0),0), INDEX($AN$1004:$BO$1004,1,MATCH(COLUMNS($AN$1006:BH1006),$AN$1006:$BO$1006,0)))),"Fix")))</f>
        <v>0</v>
      </c>
      <c r="W453" s="4">
        <f>IF(OR(INDEX($AH$2:$AH$1001,MATCH(ROWS($AG$2:AG453),$AG$2:$AG$1001,0),1)&gt;=100000,INDEX($AN$1005:$BO$1005,1,MATCH(COLUMNS($AN$1006:BI1006),$AN$1006:$BO$1006,0))&gt;=100000), " ",IF(INDEX($AN$2:$BO$1001,MATCH(ROWS($AG$2:AG453),$AG$2:$AG$1001,0),MATCH(COLUMNS($AN$1006:BI1006),$AN$1006:$BO$1006,0)), HYPERLINK("#",""), HYPERLINK(CONCATENATE("#Metadata!", ADDRESS(INDEX($AI$2:$AI$1001,MATCH(ROWS($AG$2:AG453),$AG$2:$AG$1001,0),0), INDEX($AN$1004:$BO$1004,1,MATCH(COLUMNS($AN$1006:BI1006),$AN$1006:$BO$1006,0)))),"Fix")))</f>
        <v>0</v>
      </c>
      <c r="X453" s="4">
        <f>IF(OR(INDEX($AH$2:$AH$1001,MATCH(ROWS($AG$2:AG453),$AG$2:$AG$1001,0),1)&gt;=100000,INDEX($AN$1005:$BO$1005,1,MATCH(COLUMNS($AN$1006:BJ1006),$AN$1006:$BO$1006,0))&gt;=100000), " ",IF(INDEX($AN$2:$BO$1001,MATCH(ROWS($AG$2:AG453),$AG$2:$AG$1001,0),MATCH(COLUMNS($AN$1006:BJ1006),$AN$1006:$BO$1006,0)), HYPERLINK("#",""), HYPERLINK(CONCATENATE("#Metadata!", ADDRESS(INDEX($AI$2:$AI$1001,MATCH(ROWS($AG$2:AG453),$AG$2:$AG$1001,0),0), INDEX($AN$1004:$BO$1004,1,MATCH(COLUMNS($AN$1006:BJ1006),$AN$1006:$BO$1006,0)))),"Fix")))</f>
        <v>0</v>
      </c>
      <c r="Y453" s="4">
        <f>IF(OR(INDEX($AH$2:$AH$1001,MATCH(ROWS($AG$2:AG453),$AG$2:$AG$1001,0),1)&gt;=100000,INDEX($AN$1005:$BO$1005,1,MATCH(COLUMNS($AN$1006:BK1006),$AN$1006:$BO$1006,0))&gt;=100000), " ",IF(INDEX($AN$2:$BO$1001,MATCH(ROWS($AG$2:AG453),$AG$2:$AG$1001,0),MATCH(COLUMNS($AN$1006:BK1006),$AN$1006:$BO$1006,0)), HYPERLINK("#",""), HYPERLINK(CONCATENATE("#Metadata!", ADDRESS(INDEX($AI$2:$AI$1001,MATCH(ROWS($AG$2:AG453),$AG$2:$AG$1001,0),0), INDEX($AN$1004:$BO$1004,1,MATCH(COLUMNS($AN$1006:BK1006),$AN$1006:$BO$1006,0)))),"Fix")))</f>
        <v>0</v>
      </c>
      <c r="Z453" s="4">
        <f>IF(OR(INDEX($AH$2:$AH$1001,MATCH(ROWS($AG$2:AG453),$AG$2:$AG$1001,0),1)&gt;=100000,INDEX($AN$1005:$BO$1005,1,MATCH(COLUMNS($AN$1006:BL1006),$AN$1006:$BO$1006,0))&gt;=100000), " ",IF(INDEX($AN$2:$BO$1001,MATCH(ROWS($AG$2:AG453),$AG$2:$AG$1001,0),MATCH(COLUMNS($AN$1006:BL1006),$AN$1006:$BO$1006,0)), HYPERLINK("#",""), HYPERLINK(CONCATENATE("#Metadata!", ADDRESS(INDEX($AI$2:$AI$1001,MATCH(ROWS($AG$2:AG453),$AG$2:$AG$1001,0),0), INDEX($AN$1004:$BO$1004,1,MATCH(COLUMNS($AN$1006:BL1006),$AN$1006:$BO$1006,0)))),"Fix")))</f>
        <v>0</v>
      </c>
      <c r="AA453" s="4">
        <f>IF(OR(INDEX($AH$2:$AH$1001,MATCH(ROWS($AG$2:AG453),$AG$2:$AG$1001,0),1)&gt;=100000,INDEX($AN$1005:$BO$1005,1,MATCH(COLUMNS($AN$1006:BM1006),$AN$1006:$BO$1006,0))&gt;=100000), " ",IF(INDEX($AN$2:$BO$1001,MATCH(ROWS($AG$2:AG453),$AG$2:$AG$1001,0),MATCH(COLUMNS($AN$1006:BM1006),$AN$1006:$BO$1006,0)), HYPERLINK("#",""), HYPERLINK(CONCATENATE("#Metadata!", ADDRESS(INDEX($AI$2:$AI$1001,MATCH(ROWS($AG$2:AG453),$AG$2:$AG$1001,0),0), INDEX($AN$1004:$BO$1004,1,MATCH(COLUMNS($AN$1006:BM1006),$AN$1006:$BO$1006,0)))),"Fix")))</f>
        <v>0</v>
      </c>
      <c r="AB453" s="4">
        <f>IF(OR(INDEX($AH$2:$AH$1001,MATCH(ROWS($AG$2:AG453),$AG$2:$AG$1001,0),1)&gt;=100000,INDEX($AN$1005:$BO$1005,1,MATCH(COLUMNS($AN$1006:BN1006),$AN$1006:$BO$1006,0))&gt;=100000), " ",IF(INDEX($AN$2:$BO$1001,MATCH(ROWS($AG$2:AG453),$AG$2:$AG$1001,0),MATCH(COLUMNS($AN$1006:BN1006),$AN$1006:$BO$1006,0)), HYPERLINK("#",""), HYPERLINK(CONCATENATE("#Metadata!", ADDRESS(INDEX($AI$2:$AI$1001,MATCH(ROWS($AG$2:AG453),$AG$2:$AG$1001,0),0), INDEX($AN$1004:$BO$1004,1,MATCH(COLUMNS($AN$1006:BN1006),$AN$1006:$BO$1006,0)))),"Fix")))</f>
        <v>0</v>
      </c>
      <c r="AC453" s="4">
        <f>IF(OR(INDEX($AH$2:$AH$1001,MATCH(ROWS($AG$2:AG453),$AG$2:$AG$1001,0),1)&gt;=100000,INDEX($AN$1005:$BO$1005,1,MATCH(COLUMNS($AN$1006:BO1006),$AN$1006:$BO$1006,0))&gt;=100000), " ",IF(INDEX($AN$2:$BO$1001,MATCH(ROWS($AG$2:AG453),$AG$2:$AG$1001,0),MATCH(COLUMNS($AN$1006:BO1006),$AN$1006:$BO$1006,0)), HYPERLINK("#",""), HYPERLINK(CONCATENATE("#Metadata!", ADDRESS(INDEX($AI$2:$AI$1001,MATCH(ROWS($AG$2:AG453),$AG$2:$AG$1001,0),0), INDEX($AN$1004:$BO$1004,1,MATCH(COLUMNS($AN$1006:BO1006),$AN$1006:$BO$1006,0)))),"Fix")))</f>
        <v>0</v>
      </c>
      <c r="AG453">
        <v>0</v>
      </c>
      <c r="AH453">
        <v>0</v>
      </c>
      <c r="AI453">
        <v>0</v>
      </c>
      <c r="AJ453">
        <f>IF(AK453,TRUE,AND(AN453:BO453))</f>
        <v>0</v>
      </c>
      <c r="AK453">
        <f>COUNTBLANK(Metadata!B453:AC453)=COLUMNS(Metadata!B453:AC453)</f>
        <v>0</v>
      </c>
      <c r="AL453">
        <v>0</v>
      </c>
      <c r="AN453">
        <f>AND(IF(Metadata!B453="",FALSE,TRUE),COUNTIF(Metadata!B:B, Metadata!B453) = 1,NOT(ISERROR(SUMPRODUCT(SEARCH(MID(Metadata!B453,ROW(INDIRECT("1:"&amp;LEN(Metadata!B453))), 1),"0123456789abcdefghijklmnopqrstuvwxyzABCDEFGHIJKLMNOPQRSTUVWXYZ.")))))</f>
        <v>0</v>
      </c>
      <c r="AO453">
        <f>IF(Metadata!C453="",FALSE,TRUE)</f>
        <v>0</v>
      </c>
      <c r="AP453">
        <f>IF(Metadata!D453="",FALSE,TRUE)</f>
        <v>0</v>
      </c>
      <c r="AQ453">
        <f>OR(AND(IF(Metadata!E453="",FALSE,TRUE),OR(exact(Metadata!E453,"not collected"),exact(Metadata!E453,"not provided"),exact(Metadata!E453,"restricted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R453">
        <f>IF(Metadata!F453="",FALSE,TRUE)</f>
        <v>0</v>
      </c>
      <c r="AS453">
        <f>OR(AND(IF(Metadata!G453="",FALSE,TRUE),OR(exact(Metadata!G453,"not collected"),exact(Metadata!G453,"not provided"))),AND(IF(Metadata!G453="",FALSE,TRUE),OR(exact(Metadata!G453,"TRUE"),exact(Metadata!G453,"FALSE"))))</f>
        <v>0</v>
      </c>
      <c r="AT453">
        <f>OR(AND(IF(Metadata!H453="",FALSE,TRUE),OR(exact(Metadata!H453,"not collected"),exact(Metadata!H453,"not provided"),exact(Metadata!H453,"restricted access"))),AND(IF(Metadata!H453="",FALSE,ISNUMBER(VALUE(Metadata!H453))),Metadata!H453&gt;=-413.0))</f>
        <v>0</v>
      </c>
      <c r="AU453">
        <f>AND(IF(Metadata!I453="",FALSE,TRUE),exact(Metadata!I453,"meters"))</f>
        <v>0</v>
      </c>
      <c r="AV453">
        <f>AND(IF(Metadata!J453="",FALSE,TRUE),OR(exact(Metadata!J453,"Host-associated"),exact(Metadata!J453,"Free-living")))</f>
        <v>0</v>
      </c>
      <c r="AW453">
        <f>AND(IF(Metadata!K453="",FALSE,TRUE),OR(exact(Metadata!K453,"Animal"),exact(Metadata!K453,"Fungus"),exact(Metadata!K453,"Plant"),exact(Metadata!K453,"Saline"),exact(Metadata!K453,"Non-saline")))</f>
        <v>0</v>
      </c>
      <c r="AX453">
        <f>AND(IF(Metadata!L453="",FALSE,TRUE),OR(exact(Metadata!L453,"Plant secretion"),exact(Metadata!L453,"Plant rhizosphere"),exact(Metadata!L453,"Plant surface"),exact(Metadata!L453,"Plant corpus"),exact(Metadata!L453,"Fungus surface"),exact(Metadata!L453,"Fungus corpus"),exact(Metadata!L453,"Animal surface"),exact(Metadata!L453,"Animal proximal gut"),exact(Metadata!L453,"Animal corpus"),exact(Metadata!L453,"Animal distal gut"),exact(Metadata!L453,"Animal secretion"),exact(Metadata!L453,"Sub-surface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Y453">
        <f>IF(Metadata!M453="",FALSE,TRUE)</f>
        <v>0</v>
      </c>
      <c r="AZ453">
        <f>IF(Metadata!N453="",FALSE,TRUE)</f>
        <v>0</v>
      </c>
      <c r="BA453">
        <f>IF(Metadata!O453="",FALSE,TRUE)</f>
        <v>0</v>
      </c>
      <c r="BB453">
        <f>OR(AND(IF(Metadata!P453="",FALSE,TRUE),OR(exact(Metadata!P453,"not collected"),exact(Metadata!P453,"not provided"),exact(Metadata!P453,"restricted access"))),AND(IF(Metadata!P453="",FALSE,TRUE),OR(exact(Metadata!P453,"air"),exact(Metadata!P453,"built environment"),exact(Metadata!P453,"host-associated"),exact(Metadata!P453,"human-associated"),exact(Metadata!P453,"human-skin"),exact(Metadata!P453,"human-oral"),exact(Metadata!P453,"human-gut"),exact(Metadata!P453,"human-vaginal"),exact(Metadata!P453,"microbial mat/biofilm"),exact(Metadata!P453,"misc environment"),exact(Metadata!P453,"plant-associated"),exact(Metadata!P453,"sediment"),exact(Metadata!P453,"soil"),exact(Metadata!P453,"wastewater/sludge"),exact(Metadata!P453,"water"))))</f>
        <v>0</v>
      </c>
      <c r="BC453">
        <f>IF(Metadata!Q453="",FALSE,TRUE)</f>
        <v>0</v>
      </c>
      <c r="BD453">
        <f>IF(Metadata!R453="",FALSE,TRUE)</f>
        <v>0</v>
      </c>
      <c r="BE453">
        <f>OR(AND(IF(Metadata!S453="",FALSE,TRUE),OR(exact(Metadata!S453,"not collected"),exact(Metadata!S453,"not provided"),exact(Metadata!S453,"restricted access"))),AND(IF(Metadata!S453="",FALSE,ISNUMBER(VALUE(Metadata!S453))),Metadata!S453&gt;=-90.00,Metadata!S453&lt;=90.00))</f>
        <v>0</v>
      </c>
      <c r="BF453">
        <f>AND(IF(Metadata!T453="",FALSE,TRUE),exact(Metadata!T453,"Decimal degrees"))</f>
        <v>0</v>
      </c>
      <c r="BG453">
        <f>OR(AND(IF(Metadata!U453="",FALSE,TRUE),OR(exact(Metadata!U453,"not collected"),exact(Metadata!U453,"not provided"),exact(Metadata!U453,"restricted access"))),AND(IF(Metadata!U453="",FALSE,ISNUMBER(VALUE(Metadata!U453))),Metadata!U453&gt;=-180.00,Metadata!U453&lt;=180.00))</f>
        <v>0</v>
      </c>
      <c r="BH453">
        <f>AND(IF(Metadata!V453="",FALSE,TRUE),exact(Metadata!V453,"Decimal degrees"))</f>
        <v>0</v>
      </c>
      <c r="BI453">
        <f>IF(Metadata!W453="",FALSE,TRUE)</f>
        <v>0</v>
      </c>
      <c r="BJ453">
        <f>OR(AND(IF(Metadata!X453="",FALSE,TRUE),OR(exact(Metadata!X453,"not collected"),exact(Metadata!X453,"not provided"),exact(Metadata!X453,"restricted access"))),AND(IF(Metadata!X453="",FALSE,TRUE),OR(exact(Metadata!X453,"TRUE"),exact(Metadata!X453,"FALSE"))))</f>
        <v>0</v>
      </c>
      <c r="BK453">
        <f>AND(IF(Metadata!Y453="",FALSE,TRUE),exact(Metadata!Y453,"other"))</f>
        <v>0</v>
      </c>
      <c r="BL453">
        <f>IF(Metadata!Z453="",FALSE,TRUE)</f>
        <v>0</v>
      </c>
      <c r="BM453">
        <f>OR(AND(IF(Metadata!AA453="",FALSE,TRUE),OR(exact(Metadata!AA453,"not collected"),exact(Metadata!AA453,"not provided"))),AND(IF(Metadata!AA453="",FALSE,IF(ISERROR(INT(Metadata!AA453)),FALSE,INT(Metadata!AA453)=Metadata!AA453)),Metadata!AA453&gt;0))</f>
        <v>0</v>
      </c>
      <c r="BN453">
        <f>AND(IF(Metadata!AB453="",FALSE,TRUE),exact(Metadata!AB453,"Not applicable"))</f>
        <v>0</v>
      </c>
      <c r="BO453">
        <f>IF(Metadata!AC453="",FALSE,TRUE)</f>
        <v>0</v>
      </c>
    </row>
    <row r="454" spans="1:67">
      <c r="A454" s="5">
        <f>IF(B454=" "," ",HYPERLINK(CONCATENATE("#metadata!",ADDRESS(INDEX($AI$2:$AI$1001,MATCH(ROWS($AG$2:AG454),$AG$2:$AG$1001,0),0),1)),INDEX($AL$2:$AL$1001,MATCH(ROWS($AG$2:AG454),$AG$2:$AG$1001,0),0)))</f>
        <v>0</v>
      </c>
      <c r="B454" s="4">
        <f>IF(OR(INDEX($AH$2:$AH$1001,MATCH(ROWS($AG$2:AG454),$AG$2:$AG$1001,0),1)&gt;=100000,INDEX($AN$1005:$BO$1005,1,MATCH(COLUMNS($AN$1006:AN1006),$AN$1006:$BO$1006,0))&gt;=100000), " ",IF(INDEX($AN$2:$BO$1001,MATCH(ROWS($AG$2:AG454),$AG$2:$AG$1001,0),MATCH(COLUMNS($AN$1006:AN1006),$AN$1006:$BO$1006,0)), HYPERLINK("#",""), HYPERLINK(CONCATENATE("#Metadata!", ADDRESS(INDEX($AI$2:$AI$1001,MATCH(ROWS($AG$2:AG454),$AG$2:$AG$1001,0),0), INDEX($AN$1004:$BO$1004,1,MATCH(COLUMNS($AN$1006:AN1006),$AN$1006:$BO$1006,0)))),"Fix")))</f>
        <v>0</v>
      </c>
      <c r="C454" s="4">
        <f>IF(OR(INDEX($AH$2:$AH$1001,MATCH(ROWS($AG$2:AG454),$AG$2:$AG$1001,0),1)&gt;=100000,INDEX($AN$1005:$BO$1005,1,MATCH(COLUMNS($AN$1006:AO1006),$AN$1006:$BO$1006,0))&gt;=100000), " ",IF(INDEX($AN$2:$BO$1001,MATCH(ROWS($AG$2:AG454),$AG$2:$AG$1001,0),MATCH(COLUMNS($AN$1006:AO1006),$AN$1006:$BO$1006,0)), HYPERLINK("#",""), HYPERLINK(CONCATENATE("#Metadata!", ADDRESS(INDEX($AI$2:$AI$1001,MATCH(ROWS($AG$2:AG454),$AG$2:$AG$1001,0),0), INDEX($AN$1004:$BO$1004,1,MATCH(COLUMNS($AN$1006:AO1006),$AN$1006:$BO$1006,0)))),"Fix")))</f>
        <v>0</v>
      </c>
      <c r="D454" s="4">
        <f>IF(OR(INDEX($AH$2:$AH$1001,MATCH(ROWS($AG$2:AG454),$AG$2:$AG$1001,0),1)&gt;=100000,INDEX($AN$1005:$BO$1005,1,MATCH(COLUMNS($AN$1006:AP1006),$AN$1006:$BO$1006,0))&gt;=100000), " ",IF(INDEX($AN$2:$BO$1001,MATCH(ROWS($AG$2:AG454),$AG$2:$AG$1001,0),MATCH(COLUMNS($AN$1006:AP1006),$AN$1006:$BO$1006,0)), HYPERLINK("#",""), HYPERLINK(CONCATENATE("#Metadata!", ADDRESS(INDEX($AI$2:$AI$1001,MATCH(ROWS($AG$2:AG454),$AG$2:$AG$1001,0),0), INDEX($AN$1004:$BO$1004,1,MATCH(COLUMNS($AN$1006:AP1006),$AN$1006:$BO$1006,0)))),"Fix")))</f>
        <v>0</v>
      </c>
      <c r="E454" s="4">
        <f>IF(OR(INDEX($AH$2:$AH$1001,MATCH(ROWS($AG$2:AG454),$AG$2:$AG$1001,0),1)&gt;=100000,INDEX($AN$1005:$BO$1005,1,MATCH(COLUMNS($AN$1006:AQ1006),$AN$1006:$BO$1006,0))&gt;=100000), " ",IF(INDEX($AN$2:$BO$1001,MATCH(ROWS($AG$2:AG454),$AG$2:$AG$1001,0),MATCH(COLUMNS($AN$1006:AQ1006),$AN$1006:$BO$1006,0)), HYPERLINK("#",""), HYPERLINK(CONCATENATE("#Metadata!", ADDRESS(INDEX($AI$2:$AI$1001,MATCH(ROWS($AG$2:AG454),$AG$2:$AG$1001,0),0), INDEX($AN$1004:$BO$1004,1,MATCH(COLUMNS($AN$1006:AQ1006),$AN$1006:$BO$1006,0)))),"Fix")))</f>
        <v>0</v>
      </c>
      <c r="F454" s="4">
        <f>IF(OR(INDEX($AH$2:$AH$1001,MATCH(ROWS($AG$2:AG454),$AG$2:$AG$1001,0),1)&gt;=100000,INDEX($AN$1005:$BO$1005,1,MATCH(COLUMNS($AN$1006:AR1006),$AN$1006:$BO$1006,0))&gt;=100000), " ",IF(INDEX($AN$2:$BO$1001,MATCH(ROWS($AG$2:AG454),$AG$2:$AG$1001,0),MATCH(COLUMNS($AN$1006:AR1006),$AN$1006:$BO$1006,0)), HYPERLINK("#",""), HYPERLINK(CONCATENATE("#Metadata!", ADDRESS(INDEX($AI$2:$AI$1001,MATCH(ROWS($AG$2:AG454),$AG$2:$AG$1001,0),0), INDEX($AN$1004:$BO$1004,1,MATCH(COLUMNS($AN$1006:AR1006),$AN$1006:$BO$1006,0)))),"Fix")))</f>
        <v>0</v>
      </c>
      <c r="G454" s="4">
        <f>IF(OR(INDEX($AH$2:$AH$1001,MATCH(ROWS($AG$2:AG454),$AG$2:$AG$1001,0),1)&gt;=100000,INDEX($AN$1005:$BO$1005,1,MATCH(COLUMNS($AN$1006:AS1006),$AN$1006:$BO$1006,0))&gt;=100000), " ",IF(INDEX($AN$2:$BO$1001,MATCH(ROWS($AG$2:AG454),$AG$2:$AG$1001,0),MATCH(COLUMNS($AN$1006:AS1006),$AN$1006:$BO$1006,0)), HYPERLINK("#",""), HYPERLINK(CONCATENATE("#Metadata!", ADDRESS(INDEX($AI$2:$AI$1001,MATCH(ROWS($AG$2:AG454),$AG$2:$AG$1001,0),0), INDEX($AN$1004:$BO$1004,1,MATCH(COLUMNS($AN$1006:AS1006),$AN$1006:$BO$1006,0)))),"Fix")))</f>
        <v>0</v>
      </c>
      <c r="H454" s="4">
        <f>IF(OR(INDEX($AH$2:$AH$1001,MATCH(ROWS($AG$2:AG454),$AG$2:$AG$1001,0),1)&gt;=100000,INDEX($AN$1005:$BO$1005,1,MATCH(COLUMNS($AN$1006:AT1006),$AN$1006:$BO$1006,0))&gt;=100000), " ",IF(INDEX($AN$2:$BO$1001,MATCH(ROWS($AG$2:AG454),$AG$2:$AG$1001,0),MATCH(COLUMNS($AN$1006:AT1006),$AN$1006:$BO$1006,0)), HYPERLINK("#",""), HYPERLINK(CONCATENATE("#Metadata!", ADDRESS(INDEX($AI$2:$AI$1001,MATCH(ROWS($AG$2:AG454),$AG$2:$AG$1001,0),0), INDEX($AN$1004:$BO$1004,1,MATCH(COLUMNS($AN$1006:AT1006),$AN$1006:$BO$1006,0)))),"Fix")))</f>
        <v>0</v>
      </c>
      <c r="I454" s="4">
        <f>IF(OR(INDEX($AH$2:$AH$1001,MATCH(ROWS($AG$2:AG454),$AG$2:$AG$1001,0),1)&gt;=100000,INDEX($AN$1005:$BO$1005,1,MATCH(COLUMNS($AN$1006:AU1006),$AN$1006:$BO$1006,0))&gt;=100000), " ",IF(INDEX($AN$2:$BO$1001,MATCH(ROWS($AG$2:AG454),$AG$2:$AG$1001,0),MATCH(COLUMNS($AN$1006:AU1006),$AN$1006:$BO$1006,0)), HYPERLINK("#",""), HYPERLINK(CONCATENATE("#Metadata!", ADDRESS(INDEX($AI$2:$AI$1001,MATCH(ROWS($AG$2:AG454),$AG$2:$AG$1001,0),0), INDEX($AN$1004:$BO$1004,1,MATCH(COLUMNS($AN$1006:AU1006),$AN$1006:$BO$1006,0)))),"Fix")))</f>
        <v>0</v>
      </c>
      <c r="J454" s="4">
        <f>IF(OR(INDEX($AH$2:$AH$1001,MATCH(ROWS($AG$2:AG454),$AG$2:$AG$1001,0),1)&gt;=100000,INDEX($AN$1005:$BO$1005,1,MATCH(COLUMNS($AN$1006:AV1006),$AN$1006:$BO$1006,0))&gt;=100000), " ",IF(INDEX($AN$2:$BO$1001,MATCH(ROWS($AG$2:AG454),$AG$2:$AG$1001,0),MATCH(COLUMNS($AN$1006:AV1006),$AN$1006:$BO$1006,0)), HYPERLINK("#",""), HYPERLINK(CONCATENATE("#Metadata!", ADDRESS(INDEX($AI$2:$AI$1001,MATCH(ROWS($AG$2:AG454),$AG$2:$AG$1001,0),0), INDEX($AN$1004:$BO$1004,1,MATCH(COLUMNS($AN$1006:AV1006),$AN$1006:$BO$1006,0)))),"Fix")))</f>
        <v>0</v>
      </c>
      <c r="K454" s="4">
        <f>IF(OR(INDEX($AH$2:$AH$1001,MATCH(ROWS($AG$2:AG454),$AG$2:$AG$1001,0),1)&gt;=100000,INDEX($AN$1005:$BO$1005,1,MATCH(COLUMNS($AN$1006:AW1006),$AN$1006:$BO$1006,0))&gt;=100000), " ",IF(INDEX($AN$2:$BO$1001,MATCH(ROWS($AG$2:AG454),$AG$2:$AG$1001,0),MATCH(COLUMNS($AN$1006:AW1006),$AN$1006:$BO$1006,0)), HYPERLINK("#",""), HYPERLINK(CONCATENATE("#Metadata!", ADDRESS(INDEX($AI$2:$AI$1001,MATCH(ROWS($AG$2:AG454),$AG$2:$AG$1001,0),0), INDEX($AN$1004:$BO$1004,1,MATCH(COLUMNS($AN$1006:AW1006),$AN$1006:$BO$1006,0)))),"Fix")))</f>
        <v>0</v>
      </c>
      <c r="L454" s="4">
        <f>IF(OR(INDEX($AH$2:$AH$1001,MATCH(ROWS($AG$2:AG454),$AG$2:$AG$1001,0),1)&gt;=100000,INDEX($AN$1005:$BO$1005,1,MATCH(COLUMNS($AN$1006:AX1006),$AN$1006:$BO$1006,0))&gt;=100000), " ",IF(INDEX($AN$2:$BO$1001,MATCH(ROWS($AG$2:AG454),$AG$2:$AG$1001,0),MATCH(COLUMNS($AN$1006:AX1006),$AN$1006:$BO$1006,0)), HYPERLINK("#",""), HYPERLINK(CONCATENATE("#Metadata!", ADDRESS(INDEX($AI$2:$AI$1001,MATCH(ROWS($AG$2:AG454),$AG$2:$AG$1001,0),0), INDEX($AN$1004:$BO$1004,1,MATCH(COLUMNS($AN$1006:AX1006),$AN$1006:$BO$1006,0)))),"Fix")))</f>
        <v>0</v>
      </c>
      <c r="M454" s="4">
        <f>IF(OR(INDEX($AH$2:$AH$1001,MATCH(ROWS($AG$2:AG454),$AG$2:$AG$1001,0),1)&gt;=100000,INDEX($AN$1005:$BO$1005,1,MATCH(COLUMNS($AN$1006:AY1006),$AN$1006:$BO$1006,0))&gt;=100000), " ",IF(INDEX($AN$2:$BO$1001,MATCH(ROWS($AG$2:AG454),$AG$2:$AG$1001,0),MATCH(COLUMNS($AN$1006:AY1006),$AN$1006:$BO$1006,0)), HYPERLINK("#",""), HYPERLINK(CONCATENATE("#Metadata!", ADDRESS(INDEX($AI$2:$AI$1001,MATCH(ROWS($AG$2:AG454),$AG$2:$AG$1001,0),0), INDEX($AN$1004:$BO$1004,1,MATCH(COLUMNS($AN$1006:AY1006),$AN$1006:$BO$1006,0)))),"Fix")))</f>
        <v>0</v>
      </c>
      <c r="N454" s="4">
        <f>IF(OR(INDEX($AH$2:$AH$1001,MATCH(ROWS($AG$2:AG454),$AG$2:$AG$1001,0),1)&gt;=100000,INDEX($AN$1005:$BO$1005,1,MATCH(COLUMNS($AN$1006:AZ1006),$AN$1006:$BO$1006,0))&gt;=100000), " ",IF(INDEX($AN$2:$BO$1001,MATCH(ROWS($AG$2:AG454),$AG$2:$AG$1001,0),MATCH(COLUMNS($AN$1006:AZ1006),$AN$1006:$BO$1006,0)), HYPERLINK("#",""), HYPERLINK(CONCATENATE("#Metadata!", ADDRESS(INDEX($AI$2:$AI$1001,MATCH(ROWS($AG$2:AG454),$AG$2:$AG$1001,0),0), INDEX($AN$1004:$BO$1004,1,MATCH(COLUMNS($AN$1006:AZ1006),$AN$1006:$BO$1006,0)))),"Fix")))</f>
        <v>0</v>
      </c>
      <c r="O454" s="4">
        <f>IF(OR(INDEX($AH$2:$AH$1001,MATCH(ROWS($AG$2:AG454),$AG$2:$AG$1001,0),1)&gt;=100000,INDEX($AN$1005:$BO$1005,1,MATCH(COLUMNS($AN$1006:BA1006),$AN$1006:$BO$1006,0))&gt;=100000), " ",IF(INDEX($AN$2:$BO$1001,MATCH(ROWS($AG$2:AG454),$AG$2:$AG$1001,0),MATCH(COLUMNS($AN$1006:BA1006),$AN$1006:$BO$1006,0)), HYPERLINK("#",""), HYPERLINK(CONCATENATE("#Metadata!", ADDRESS(INDEX($AI$2:$AI$1001,MATCH(ROWS($AG$2:AG454),$AG$2:$AG$1001,0),0), INDEX($AN$1004:$BO$1004,1,MATCH(COLUMNS($AN$1006:BA1006),$AN$1006:$BO$1006,0)))),"Fix")))</f>
        <v>0</v>
      </c>
      <c r="P454" s="4">
        <f>IF(OR(INDEX($AH$2:$AH$1001,MATCH(ROWS($AG$2:AG454),$AG$2:$AG$1001,0),1)&gt;=100000,INDEX($AN$1005:$BO$1005,1,MATCH(COLUMNS($AN$1006:BB1006),$AN$1006:$BO$1006,0))&gt;=100000), " ",IF(INDEX($AN$2:$BO$1001,MATCH(ROWS($AG$2:AG454),$AG$2:$AG$1001,0),MATCH(COLUMNS($AN$1006:BB1006),$AN$1006:$BO$1006,0)), HYPERLINK("#",""), HYPERLINK(CONCATENATE("#Metadata!", ADDRESS(INDEX($AI$2:$AI$1001,MATCH(ROWS($AG$2:AG454),$AG$2:$AG$1001,0),0), INDEX($AN$1004:$BO$1004,1,MATCH(COLUMNS($AN$1006:BB1006),$AN$1006:$BO$1006,0)))),"Fix")))</f>
        <v>0</v>
      </c>
      <c r="Q454" s="4">
        <f>IF(OR(INDEX($AH$2:$AH$1001,MATCH(ROWS($AG$2:AG454),$AG$2:$AG$1001,0),1)&gt;=100000,INDEX($AN$1005:$BO$1005,1,MATCH(COLUMNS($AN$1006:BC1006),$AN$1006:$BO$1006,0))&gt;=100000), " ",IF(INDEX($AN$2:$BO$1001,MATCH(ROWS($AG$2:AG454),$AG$2:$AG$1001,0),MATCH(COLUMNS($AN$1006:BC1006),$AN$1006:$BO$1006,0)), HYPERLINK("#",""), HYPERLINK(CONCATENATE("#Metadata!", ADDRESS(INDEX($AI$2:$AI$1001,MATCH(ROWS($AG$2:AG454),$AG$2:$AG$1001,0),0), INDEX($AN$1004:$BO$1004,1,MATCH(COLUMNS($AN$1006:BC1006),$AN$1006:$BO$1006,0)))),"Fix")))</f>
        <v>0</v>
      </c>
      <c r="R454" s="4">
        <f>IF(OR(INDEX($AH$2:$AH$1001,MATCH(ROWS($AG$2:AG454),$AG$2:$AG$1001,0),1)&gt;=100000,INDEX($AN$1005:$BO$1005,1,MATCH(COLUMNS($AN$1006:BD1006),$AN$1006:$BO$1006,0))&gt;=100000), " ",IF(INDEX($AN$2:$BO$1001,MATCH(ROWS($AG$2:AG454),$AG$2:$AG$1001,0),MATCH(COLUMNS($AN$1006:BD1006),$AN$1006:$BO$1006,0)), HYPERLINK("#",""), HYPERLINK(CONCATENATE("#Metadata!", ADDRESS(INDEX($AI$2:$AI$1001,MATCH(ROWS($AG$2:AG454),$AG$2:$AG$1001,0),0), INDEX($AN$1004:$BO$1004,1,MATCH(COLUMNS($AN$1006:BD1006),$AN$1006:$BO$1006,0)))),"Fix")))</f>
        <v>0</v>
      </c>
      <c r="S454" s="4">
        <f>IF(OR(INDEX($AH$2:$AH$1001,MATCH(ROWS($AG$2:AG454),$AG$2:$AG$1001,0),1)&gt;=100000,INDEX($AN$1005:$BO$1005,1,MATCH(COLUMNS($AN$1006:BE1006),$AN$1006:$BO$1006,0))&gt;=100000), " ",IF(INDEX($AN$2:$BO$1001,MATCH(ROWS($AG$2:AG454),$AG$2:$AG$1001,0),MATCH(COLUMNS($AN$1006:BE1006),$AN$1006:$BO$1006,0)), HYPERLINK("#",""), HYPERLINK(CONCATENATE("#Metadata!", ADDRESS(INDEX($AI$2:$AI$1001,MATCH(ROWS($AG$2:AG454),$AG$2:$AG$1001,0),0), INDEX($AN$1004:$BO$1004,1,MATCH(COLUMNS($AN$1006:BE1006),$AN$1006:$BO$1006,0)))),"Fix")))</f>
        <v>0</v>
      </c>
      <c r="T454" s="4">
        <f>IF(OR(INDEX($AH$2:$AH$1001,MATCH(ROWS($AG$2:AG454),$AG$2:$AG$1001,0),1)&gt;=100000,INDEX($AN$1005:$BO$1005,1,MATCH(COLUMNS($AN$1006:BF1006),$AN$1006:$BO$1006,0))&gt;=100000), " ",IF(INDEX($AN$2:$BO$1001,MATCH(ROWS($AG$2:AG454),$AG$2:$AG$1001,0),MATCH(COLUMNS($AN$1006:BF1006),$AN$1006:$BO$1006,0)), HYPERLINK("#",""), HYPERLINK(CONCATENATE("#Metadata!", ADDRESS(INDEX($AI$2:$AI$1001,MATCH(ROWS($AG$2:AG454),$AG$2:$AG$1001,0),0), INDEX($AN$1004:$BO$1004,1,MATCH(COLUMNS($AN$1006:BF1006),$AN$1006:$BO$1006,0)))),"Fix")))</f>
        <v>0</v>
      </c>
      <c r="U454" s="4">
        <f>IF(OR(INDEX($AH$2:$AH$1001,MATCH(ROWS($AG$2:AG454),$AG$2:$AG$1001,0),1)&gt;=100000,INDEX($AN$1005:$BO$1005,1,MATCH(COLUMNS($AN$1006:BG1006),$AN$1006:$BO$1006,0))&gt;=100000), " ",IF(INDEX($AN$2:$BO$1001,MATCH(ROWS($AG$2:AG454),$AG$2:$AG$1001,0),MATCH(COLUMNS($AN$1006:BG1006),$AN$1006:$BO$1006,0)), HYPERLINK("#",""), HYPERLINK(CONCATENATE("#Metadata!", ADDRESS(INDEX($AI$2:$AI$1001,MATCH(ROWS($AG$2:AG454),$AG$2:$AG$1001,0),0), INDEX($AN$1004:$BO$1004,1,MATCH(COLUMNS($AN$1006:BG1006),$AN$1006:$BO$1006,0)))),"Fix")))</f>
        <v>0</v>
      </c>
      <c r="V454" s="4">
        <f>IF(OR(INDEX($AH$2:$AH$1001,MATCH(ROWS($AG$2:AG454),$AG$2:$AG$1001,0),1)&gt;=100000,INDEX($AN$1005:$BO$1005,1,MATCH(COLUMNS($AN$1006:BH1006),$AN$1006:$BO$1006,0))&gt;=100000), " ",IF(INDEX($AN$2:$BO$1001,MATCH(ROWS($AG$2:AG454),$AG$2:$AG$1001,0),MATCH(COLUMNS($AN$1006:BH1006),$AN$1006:$BO$1006,0)), HYPERLINK("#",""), HYPERLINK(CONCATENATE("#Metadata!", ADDRESS(INDEX($AI$2:$AI$1001,MATCH(ROWS($AG$2:AG454),$AG$2:$AG$1001,0),0), INDEX($AN$1004:$BO$1004,1,MATCH(COLUMNS($AN$1006:BH1006),$AN$1006:$BO$1006,0)))),"Fix")))</f>
        <v>0</v>
      </c>
      <c r="W454" s="4">
        <f>IF(OR(INDEX($AH$2:$AH$1001,MATCH(ROWS($AG$2:AG454),$AG$2:$AG$1001,0),1)&gt;=100000,INDEX($AN$1005:$BO$1005,1,MATCH(COLUMNS($AN$1006:BI1006),$AN$1006:$BO$1006,0))&gt;=100000), " ",IF(INDEX($AN$2:$BO$1001,MATCH(ROWS($AG$2:AG454),$AG$2:$AG$1001,0),MATCH(COLUMNS($AN$1006:BI1006),$AN$1006:$BO$1006,0)), HYPERLINK("#",""), HYPERLINK(CONCATENATE("#Metadata!", ADDRESS(INDEX($AI$2:$AI$1001,MATCH(ROWS($AG$2:AG454),$AG$2:$AG$1001,0),0), INDEX($AN$1004:$BO$1004,1,MATCH(COLUMNS($AN$1006:BI1006),$AN$1006:$BO$1006,0)))),"Fix")))</f>
        <v>0</v>
      </c>
      <c r="X454" s="4">
        <f>IF(OR(INDEX($AH$2:$AH$1001,MATCH(ROWS($AG$2:AG454),$AG$2:$AG$1001,0),1)&gt;=100000,INDEX($AN$1005:$BO$1005,1,MATCH(COLUMNS($AN$1006:BJ1006),$AN$1006:$BO$1006,0))&gt;=100000), " ",IF(INDEX($AN$2:$BO$1001,MATCH(ROWS($AG$2:AG454),$AG$2:$AG$1001,0),MATCH(COLUMNS($AN$1006:BJ1006),$AN$1006:$BO$1006,0)), HYPERLINK("#",""), HYPERLINK(CONCATENATE("#Metadata!", ADDRESS(INDEX($AI$2:$AI$1001,MATCH(ROWS($AG$2:AG454),$AG$2:$AG$1001,0),0), INDEX($AN$1004:$BO$1004,1,MATCH(COLUMNS($AN$1006:BJ1006),$AN$1006:$BO$1006,0)))),"Fix")))</f>
        <v>0</v>
      </c>
      <c r="Y454" s="4">
        <f>IF(OR(INDEX($AH$2:$AH$1001,MATCH(ROWS($AG$2:AG454),$AG$2:$AG$1001,0),1)&gt;=100000,INDEX($AN$1005:$BO$1005,1,MATCH(COLUMNS($AN$1006:BK1006),$AN$1006:$BO$1006,0))&gt;=100000), " ",IF(INDEX($AN$2:$BO$1001,MATCH(ROWS($AG$2:AG454),$AG$2:$AG$1001,0),MATCH(COLUMNS($AN$1006:BK1006),$AN$1006:$BO$1006,0)), HYPERLINK("#",""), HYPERLINK(CONCATENATE("#Metadata!", ADDRESS(INDEX($AI$2:$AI$1001,MATCH(ROWS($AG$2:AG454),$AG$2:$AG$1001,0),0), INDEX($AN$1004:$BO$1004,1,MATCH(COLUMNS($AN$1006:BK1006),$AN$1006:$BO$1006,0)))),"Fix")))</f>
        <v>0</v>
      </c>
      <c r="Z454" s="4">
        <f>IF(OR(INDEX($AH$2:$AH$1001,MATCH(ROWS($AG$2:AG454),$AG$2:$AG$1001,0),1)&gt;=100000,INDEX($AN$1005:$BO$1005,1,MATCH(COLUMNS($AN$1006:BL1006),$AN$1006:$BO$1006,0))&gt;=100000), " ",IF(INDEX($AN$2:$BO$1001,MATCH(ROWS($AG$2:AG454),$AG$2:$AG$1001,0),MATCH(COLUMNS($AN$1006:BL1006),$AN$1006:$BO$1006,0)), HYPERLINK("#",""), HYPERLINK(CONCATENATE("#Metadata!", ADDRESS(INDEX($AI$2:$AI$1001,MATCH(ROWS($AG$2:AG454),$AG$2:$AG$1001,0),0), INDEX($AN$1004:$BO$1004,1,MATCH(COLUMNS($AN$1006:BL1006),$AN$1006:$BO$1006,0)))),"Fix")))</f>
        <v>0</v>
      </c>
      <c r="AA454" s="4">
        <f>IF(OR(INDEX($AH$2:$AH$1001,MATCH(ROWS($AG$2:AG454),$AG$2:$AG$1001,0),1)&gt;=100000,INDEX($AN$1005:$BO$1005,1,MATCH(COLUMNS($AN$1006:BM1006),$AN$1006:$BO$1006,0))&gt;=100000), " ",IF(INDEX($AN$2:$BO$1001,MATCH(ROWS($AG$2:AG454),$AG$2:$AG$1001,0),MATCH(COLUMNS($AN$1006:BM1006),$AN$1006:$BO$1006,0)), HYPERLINK("#",""), HYPERLINK(CONCATENATE("#Metadata!", ADDRESS(INDEX($AI$2:$AI$1001,MATCH(ROWS($AG$2:AG454),$AG$2:$AG$1001,0),0), INDEX($AN$1004:$BO$1004,1,MATCH(COLUMNS($AN$1006:BM1006),$AN$1006:$BO$1006,0)))),"Fix")))</f>
        <v>0</v>
      </c>
      <c r="AB454" s="4">
        <f>IF(OR(INDEX($AH$2:$AH$1001,MATCH(ROWS($AG$2:AG454),$AG$2:$AG$1001,0),1)&gt;=100000,INDEX($AN$1005:$BO$1005,1,MATCH(COLUMNS($AN$1006:BN1006),$AN$1006:$BO$1006,0))&gt;=100000), " ",IF(INDEX($AN$2:$BO$1001,MATCH(ROWS($AG$2:AG454),$AG$2:$AG$1001,0),MATCH(COLUMNS($AN$1006:BN1006),$AN$1006:$BO$1006,0)), HYPERLINK("#",""), HYPERLINK(CONCATENATE("#Metadata!", ADDRESS(INDEX($AI$2:$AI$1001,MATCH(ROWS($AG$2:AG454),$AG$2:$AG$1001,0),0), INDEX($AN$1004:$BO$1004,1,MATCH(COLUMNS($AN$1006:BN1006),$AN$1006:$BO$1006,0)))),"Fix")))</f>
        <v>0</v>
      </c>
      <c r="AC454" s="4">
        <f>IF(OR(INDEX($AH$2:$AH$1001,MATCH(ROWS($AG$2:AG454),$AG$2:$AG$1001,0),1)&gt;=100000,INDEX($AN$1005:$BO$1005,1,MATCH(COLUMNS($AN$1006:BO1006),$AN$1006:$BO$1006,0))&gt;=100000), " ",IF(INDEX($AN$2:$BO$1001,MATCH(ROWS($AG$2:AG454),$AG$2:$AG$1001,0),MATCH(COLUMNS($AN$1006:BO1006),$AN$1006:$BO$1006,0)), HYPERLINK("#",""), HYPERLINK(CONCATENATE("#Metadata!", ADDRESS(INDEX($AI$2:$AI$1001,MATCH(ROWS($AG$2:AG454),$AG$2:$AG$1001,0),0), INDEX($AN$1004:$BO$1004,1,MATCH(COLUMNS($AN$1006:BO1006),$AN$1006:$BO$1006,0)))),"Fix")))</f>
        <v>0</v>
      </c>
      <c r="AG454">
        <v>0</v>
      </c>
      <c r="AH454">
        <v>0</v>
      </c>
      <c r="AI454">
        <v>0</v>
      </c>
      <c r="AJ454">
        <f>IF(AK454,TRUE,AND(AN454:BO454))</f>
        <v>0</v>
      </c>
      <c r="AK454">
        <f>COUNTBLANK(Metadata!B454:AC454)=COLUMNS(Metadata!B454:AC454)</f>
        <v>0</v>
      </c>
      <c r="AL454">
        <v>0</v>
      </c>
      <c r="AN454">
        <f>AND(IF(Metadata!B454="",FALSE,TRUE),COUNTIF(Metadata!B:B, Metadata!B454) = 1,NOT(ISERROR(SUMPRODUCT(SEARCH(MID(Metadata!B454,ROW(INDIRECT("1:"&amp;LEN(Metadata!B454))), 1),"0123456789abcdefghijklmnopqrstuvwxyzABCDEFGHIJKLMNOPQRSTUVWXYZ.")))))</f>
        <v>0</v>
      </c>
      <c r="AO454">
        <f>IF(Metadata!C454="",FALSE,TRUE)</f>
        <v>0</v>
      </c>
      <c r="AP454">
        <f>IF(Metadata!D454="",FALSE,TRUE)</f>
        <v>0</v>
      </c>
      <c r="AQ454">
        <f>OR(AND(IF(Metadata!E454="",FALSE,TRUE),OR(exact(Metadata!E454,"not collected"),exact(Metadata!E454,"not provided"),exact(Metadata!E454,"restricted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R454">
        <f>IF(Metadata!F454="",FALSE,TRUE)</f>
        <v>0</v>
      </c>
      <c r="AS454">
        <f>OR(AND(IF(Metadata!G454="",FALSE,TRUE),OR(exact(Metadata!G454,"not collected"),exact(Metadata!G454,"not provided"))),AND(IF(Metadata!G454="",FALSE,TRUE),OR(exact(Metadata!G454,"TRUE"),exact(Metadata!G454,"FALSE"))))</f>
        <v>0</v>
      </c>
      <c r="AT454">
        <f>OR(AND(IF(Metadata!H454="",FALSE,TRUE),OR(exact(Metadata!H454,"not collected"),exact(Metadata!H454,"not provided"),exact(Metadata!H454,"restricted access"))),AND(IF(Metadata!H454="",FALSE,ISNUMBER(VALUE(Metadata!H454))),Metadata!H454&gt;=-413.0))</f>
        <v>0</v>
      </c>
      <c r="AU454">
        <f>AND(IF(Metadata!I454="",FALSE,TRUE),exact(Metadata!I454,"meters"))</f>
        <v>0</v>
      </c>
      <c r="AV454">
        <f>AND(IF(Metadata!J454="",FALSE,TRUE),OR(exact(Metadata!J454,"Host-associated"),exact(Metadata!J454,"Free-living")))</f>
        <v>0</v>
      </c>
      <c r="AW454">
        <f>AND(IF(Metadata!K454="",FALSE,TRUE),OR(exact(Metadata!K454,"Animal"),exact(Metadata!K454,"Fungus"),exact(Metadata!K454,"Plant"),exact(Metadata!K454,"Saline"),exact(Metadata!K454,"Non-saline")))</f>
        <v>0</v>
      </c>
      <c r="AX454">
        <f>AND(IF(Metadata!L454="",FALSE,TRUE),OR(exact(Metadata!L454,"Plant secretion"),exact(Metadata!L454,"Plant rhizosphere"),exact(Metadata!L454,"Plant surface"),exact(Metadata!L454,"Plant corpus"),exact(Metadata!L454,"Fungus surface"),exact(Metadata!L454,"Fungus corpus"),exact(Metadata!L454,"Animal surface"),exact(Metadata!L454,"Animal proximal gut"),exact(Metadata!L454,"Animal corpus"),exact(Metadata!L454,"Animal distal gut"),exact(Metadata!L454,"Animal secretion"),exact(Metadata!L454,"Sub-surface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Y454">
        <f>IF(Metadata!M454="",FALSE,TRUE)</f>
        <v>0</v>
      </c>
      <c r="AZ454">
        <f>IF(Metadata!N454="",FALSE,TRUE)</f>
        <v>0</v>
      </c>
      <c r="BA454">
        <f>IF(Metadata!O454="",FALSE,TRUE)</f>
        <v>0</v>
      </c>
      <c r="BB454">
        <f>OR(AND(IF(Metadata!P454="",FALSE,TRUE),OR(exact(Metadata!P454,"not collected"),exact(Metadata!P454,"not provided"),exact(Metadata!P454,"restricted access"))),AND(IF(Metadata!P454="",FALSE,TRUE),OR(exact(Metadata!P454,"air"),exact(Metadata!P454,"built environment"),exact(Metadata!P454,"host-associated"),exact(Metadata!P454,"human-associated"),exact(Metadata!P454,"human-skin"),exact(Metadata!P454,"human-oral"),exact(Metadata!P454,"human-gut"),exact(Metadata!P454,"human-vaginal"),exact(Metadata!P454,"microbial mat/biofilm"),exact(Metadata!P454,"misc environment"),exact(Metadata!P454,"plant-associated"),exact(Metadata!P454,"sediment"),exact(Metadata!P454,"soil"),exact(Metadata!P454,"wastewater/sludge"),exact(Metadata!P454,"water"))))</f>
        <v>0</v>
      </c>
      <c r="BC454">
        <f>IF(Metadata!Q454="",FALSE,TRUE)</f>
        <v>0</v>
      </c>
      <c r="BD454">
        <f>IF(Metadata!R454="",FALSE,TRUE)</f>
        <v>0</v>
      </c>
      <c r="BE454">
        <f>OR(AND(IF(Metadata!S454="",FALSE,TRUE),OR(exact(Metadata!S454,"not collected"),exact(Metadata!S454,"not provided"),exact(Metadata!S454,"restricted access"))),AND(IF(Metadata!S454="",FALSE,ISNUMBER(VALUE(Metadata!S454))),Metadata!S454&gt;=-90.00,Metadata!S454&lt;=90.00))</f>
        <v>0</v>
      </c>
      <c r="BF454">
        <f>AND(IF(Metadata!T454="",FALSE,TRUE),exact(Metadata!T454,"Decimal degrees"))</f>
        <v>0</v>
      </c>
      <c r="BG454">
        <f>OR(AND(IF(Metadata!U454="",FALSE,TRUE),OR(exact(Metadata!U454,"not collected"),exact(Metadata!U454,"not provided"),exact(Metadata!U454,"restricted access"))),AND(IF(Metadata!U454="",FALSE,ISNUMBER(VALUE(Metadata!U454))),Metadata!U454&gt;=-180.00,Metadata!U454&lt;=180.00))</f>
        <v>0</v>
      </c>
      <c r="BH454">
        <f>AND(IF(Metadata!V454="",FALSE,TRUE),exact(Metadata!V454,"Decimal degrees"))</f>
        <v>0</v>
      </c>
      <c r="BI454">
        <f>IF(Metadata!W454="",FALSE,TRUE)</f>
        <v>0</v>
      </c>
      <c r="BJ454">
        <f>OR(AND(IF(Metadata!X454="",FALSE,TRUE),OR(exact(Metadata!X454,"not collected"),exact(Metadata!X454,"not provided"),exact(Metadata!X454,"restricted access"))),AND(IF(Metadata!X454="",FALSE,TRUE),OR(exact(Metadata!X454,"TRUE"),exact(Metadata!X454,"FALSE"))))</f>
        <v>0</v>
      </c>
      <c r="BK454">
        <f>AND(IF(Metadata!Y454="",FALSE,TRUE),exact(Metadata!Y454,"other"))</f>
        <v>0</v>
      </c>
      <c r="BL454">
        <f>IF(Metadata!Z454="",FALSE,TRUE)</f>
        <v>0</v>
      </c>
      <c r="BM454">
        <f>OR(AND(IF(Metadata!AA454="",FALSE,TRUE),OR(exact(Metadata!AA454,"not collected"),exact(Metadata!AA454,"not provided"))),AND(IF(Metadata!AA454="",FALSE,IF(ISERROR(INT(Metadata!AA454)),FALSE,INT(Metadata!AA454)=Metadata!AA454)),Metadata!AA454&gt;0))</f>
        <v>0</v>
      </c>
      <c r="BN454">
        <f>AND(IF(Metadata!AB454="",FALSE,TRUE),exact(Metadata!AB454,"Not applicable"))</f>
        <v>0</v>
      </c>
      <c r="BO454">
        <f>IF(Metadata!AC454="",FALSE,TRUE)</f>
        <v>0</v>
      </c>
    </row>
    <row r="455" spans="1:67">
      <c r="A455" s="5">
        <f>IF(B455=" "," ",HYPERLINK(CONCATENATE("#metadata!",ADDRESS(INDEX($AI$2:$AI$1001,MATCH(ROWS($AG$2:AG455),$AG$2:$AG$1001,0),0),1)),INDEX($AL$2:$AL$1001,MATCH(ROWS($AG$2:AG455),$AG$2:$AG$1001,0),0)))</f>
        <v>0</v>
      </c>
      <c r="B455" s="4">
        <f>IF(OR(INDEX($AH$2:$AH$1001,MATCH(ROWS($AG$2:AG455),$AG$2:$AG$1001,0),1)&gt;=100000,INDEX($AN$1005:$BO$1005,1,MATCH(COLUMNS($AN$1006:AN1006),$AN$1006:$BO$1006,0))&gt;=100000), " ",IF(INDEX($AN$2:$BO$1001,MATCH(ROWS($AG$2:AG455),$AG$2:$AG$1001,0),MATCH(COLUMNS($AN$1006:AN1006),$AN$1006:$BO$1006,0)), HYPERLINK("#",""), HYPERLINK(CONCATENATE("#Metadata!", ADDRESS(INDEX($AI$2:$AI$1001,MATCH(ROWS($AG$2:AG455),$AG$2:$AG$1001,0),0), INDEX($AN$1004:$BO$1004,1,MATCH(COLUMNS($AN$1006:AN1006),$AN$1006:$BO$1006,0)))),"Fix")))</f>
        <v>0</v>
      </c>
      <c r="C455" s="4">
        <f>IF(OR(INDEX($AH$2:$AH$1001,MATCH(ROWS($AG$2:AG455),$AG$2:$AG$1001,0),1)&gt;=100000,INDEX($AN$1005:$BO$1005,1,MATCH(COLUMNS($AN$1006:AO1006),$AN$1006:$BO$1006,0))&gt;=100000), " ",IF(INDEX($AN$2:$BO$1001,MATCH(ROWS($AG$2:AG455),$AG$2:$AG$1001,0),MATCH(COLUMNS($AN$1006:AO1006),$AN$1006:$BO$1006,0)), HYPERLINK("#",""), HYPERLINK(CONCATENATE("#Metadata!", ADDRESS(INDEX($AI$2:$AI$1001,MATCH(ROWS($AG$2:AG455),$AG$2:$AG$1001,0),0), INDEX($AN$1004:$BO$1004,1,MATCH(COLUMNS($AN$1006:AO1006),$AN$1006:$BO$1006,0)))),"Fix")))</f>
        <v>0</v>
      </c>
      <c r="D455" s="4">
        <f>IF(OR(INDEX($AH$2:$AH$1001,MATCH(ROWS($AG$2:AG455),$AG$2:$AG$1001,0),1)&gt;=100000,INDEX($AN$1005:$BO$1005,1,MATCH(COLUMNS($AN$1006:AP1006),$AN$1006:$BO$1006,0))&gt;=100000), " ",IF(INDEX($AN$2:$BO$1001,MATCH(ROWS($AG$2:AG455),$AG$2:$AG$1001,0),MATCH(COLUMNS($AN$1006:AP1006),$AN$1006:$BO$1006,0)), HYPERLINK("#",""), HYPERLINK(CONCATENATE("#Metadata!", ADDRESS(INDEX($AI$2:$AI$1001,MATCH(ROWS($AG$2:AG455),$AG$2:$AG$1001,0),0), INDEX($AN$1004:$BO$1004,1,MATCH(COLUMNS($AN$1006:AP1006),$AN$1006:$BO$1006,0)))),"Fix")))</f>
        <v>0</v>
      </c>
      <c r="E455" s="4">
        <f>IF(OR(INDEX($AH$2:$AH$1001,MATCH(ROWS($AG$2:AG455),$AG$2:$AG$1001,0),1)&gt;=100000,INDEX($AN$1005:$BO$1005,1,MATCH(COLUMNS($AN$1006:AQ1006),$AN$1006:$BO$1006,0))&gt;=100000), " ",IF(INDEX($AN$2:$BO$1001,MATCH(ROWS($AG$2:AG455),$AG$2:$AG$1001,0),MATCH(COLUMNS($AN$1006:AQ1006),$AN$1006:$BO$1006,0)), HYPERLINK("#",""), HYPERLINK(CONCATENATE("#Metadata!", ADDRESS(INDEX($AI$2:$AI$1001,MATCH(ROWS($AG$2:AG455),$AG$2:$AG$1001,0),0), INDEX($AN$1004:$BO$1004,1,MATCH(COLUMNS($AN$1006:AQ1006),$AN$1006:$BO$1006,0)))),"Fix")))</f>
        <v>0</v>
      </c>
      <c r="F455" s="4">
        <f>IF(OR(INDEX($AH$2:$AH$1001,MATCH(ROWS($AG$2:AG455),$AG$2:$AG$1001,0),1)&gt;=100000,INDEX($AN$1005:$BO$1005,1,MATCH(COLUMNS($AN$1006:AR1006),$AN$1006:$BO$1006,0))&gt;=100000), " ",IF(INDEX($AN$2:$BO$1001,MATCH(ROWS($AG$2:AG455),$AG$2:$AG$1001,0),MATCH(COLUMNS($AN$1006:AR1006),$AN$1006:$BO$1006,0)), HYPERLINK("#",""), HYPERLINK(CONCATENATE("#Metadata!", ADDRESS(INDEX($AI$2:$AI$1001,MATCH(ROWS($AG$2:AG455),$AG$2:$AG$1001,0),0), INDEX($AN$1004:$BO$1004,1,MATCH(COLUMNS($AN$1006:AR1006),$AN$1006:$BO$1006,0)))),"Fix")))</f>
        <v>0</v>
      </c>
      <c r="G455" s="4">
        <f>IF(OR(INDEX($AH$2:$AH$1001,MATCH(ROWS($AG$2:AG455),$AG$2:$AG$1001,0),1)&gt;=100000,INDEX($AN$1005:$BO$1005,1,MATCH(COLUMNS($AN$1006:AS1006),$AN$1006:$BO$1006,0))&gt;=100000), " ",IF(INDEX($AN$2:$BO$1001,MATCH(ROWS($AG$2:AG455),$AG$2:$AG$1001,0),MATCH(COLUMNS($AN$1006:AS1006),$AN$1006:$BO$1006,0)), HYPERLINK("#",""), HYPERLINK(CONCATENATE("#Metadata!", ADDRESS(INDEX($AI$2:$AI$1001,MATCH(ROWS($AG$2:AG455),$AG$2:$AG$1001,0),0), INDEX($AN$1004:$BO$1004,1,MATCH(COLUMNS($AN$1006:AS1006),$AN$1006:$BO$1006,0)))),"Fix")))</f>
        <v>0</v>
      </c>
      <c r="H455" s="4">
        <f>IF(OR(INDEX($AH$2:$AH$1001,MATCH(ROWS($AG$2:AG455),$AG$2:$AG$1001,0),1)&gt;=100000,INDEX($AN$1005:$BO$1005,1,MATCH(COLUMNS($AN$1006:AT1006),$AN$1006:$BO$1006,0))&gt;=100000), " ",IF(INDEX($AN$2:$BO$1001,MATCH(ROWS($AG$2:AG455),$AG$2:$AG$1001,0),MATCH(COLUMNS($AN$1006:AT1006),$AN$1006:$BO$1006,0)), HYPERLINK("#",""), HYPERLINK(CONCATENATE("#Metadata!", ADDRESS(INDEX($AI$2:$AI$1001,MATCH(ROWS($AG$2:AG455),$AG$2:$AG$1001,0),0), INDEX($AN$1004:$BO$1004,1,MATCH(COLUMNS($AN$1006:AT1006),$AN$1006:$BO$1006,0)))),"Fix")))</f>
        <v>0</v>
      </c>
      <c r="I455" s="4">
        <f>IF(OR(INDEX($AH$2:$AH$1001,MATCH(ROWS($AG$2:AG455),$AG$2:$AG$1001,0),1)&gt;=100000,INDEX($AN$1005:$BO$1005,1,MATCH(COLUMNS($AN$1006:AU1006),$AN$1006:$BO$1006,0))&gt;=100000), " ",IF(INDEX($AN$2:$BO$1001,MATCH(ROWS($AG$2:AG455),$AG$2:$AG$1001,0),MATCH(COLUMNS($AN$1006:AU1006),$AN$1006:$BO$1006,0)), HYPERLINK("#",""), HYPERLINK(CONCATENATE("#Metadata!", ADDRESS(INDEX($AI$2:$AI$1001,MATCH(ROWS($AG$2:AG455),$AG$2:$AG$1001,0),0), INDEX($AN$1004:$BO$1004,1,MATCH(COLUMNS($AN$1006:AU1006),$AN$1006:$BO$1006,0)))),"Fix")))</f>
        <v>0</v>
      </c>
      <c r="J455" s="4">
        <f>IF(OR(INDEX($AH$2:$AH$1001,MATCH(ROWS($AG$2:AG455),$AG$2:$AG$1001,0),1)&gt;=100000,INDEX($AN$1005:$BO$1005,1,MATCH(COLUMNS($AN$1006:AV1006),$AN$1006:$BO$1006,0))&gt;=100000), " ",IF(INDEX($AN$2:$BO$1001,MATCH(ROWS($AG$2:AG455),$AG$2:$AG$1001,0),MATCH(COLUMNS($AN$1006:AV1006),$AN$1006:$BO$1006,0)), HYPERLINK("#",""), HYPERLINK(CONCATENATE("#Metadata!", ADDRESS(INDEX($AI$2:$AI$1001,MATCH(ROWS($AG$2:AG455),$AG$2:$AG$1001,0),0), INDEX($AN$1004:$BO$1004,1,MATCH(COLUMNS($AN$1006:AV1006),$AN$1006:$BO$1006,0)))),"Fix")))</f>
        <v>0</v>
      </c>
      <c r="K455" s="4">
        <f>IF(OR(INDEX($AH$2:$AH$1001,MATCH(ROWS($AG$2:AG455),$AG$2:$AG$1001,0),1)&gt;=100000,INDEX($AN$1005:$BO$1005,1,MATCH(COLUMNS($AN$1006:AW1006),$AN$1006:$BO$1006,0))&gt;=100000), " ",IF(INDEX($AN$2:$BO$1001,MATCH(ROWS($AG$2:AG455),$AG$2:$AG$1001,0),MATCH(COLUMNS($AN$1006:AW1006),$AN$1006:$BO$1006,0)), HYPERLINK("#",""), HYPERLINK(CONCATENATE("#Metadata!", ADDRESS(INDEX($AI$2:$AI$1001,MATCH(ROWS($AG$2:AG455),$AG$2:$AG$1001,0),0), INDEX($AN$1004:$BO$1004,1,MATCH(COLUMNS($AN$1006:AW1006),$AN$1006:$BO$1006,0)))),"Fix")))</f>
        <v>0</v>
      </c>
      <c r="L455" s="4">
        <f>IF(OR(INDEX($AH$2:$AH$1001,MATCH(ROWS($AG$2:AG455),$AG$2:$AG$1001,0),1)&gt;=100000,INDEX($AN$1005:$BO$1005,1,MATCH(COLUMNS($AN$1006:AX1006),$AN$1006:$BO$1006,0))&gt;=100000), " ",IF(INDEX($AN$2:$BO$1001,MATCH(ROWS($AG$2:AG455),$AG$2:$AG$1001,0),MATCH(COLUMNS($AN$1006:AX1006),$AN$1006:$BO$1006,0)), HYPERLINK("#",""), HYPERLINK(CONCATENATE("#Metadata!", ADDRESS(INDEX($AI$2:$AI$1001,MATCH(ROWS($AG$2:AG455),$AG$2:$AG$1001,0),0), INDEX($AN$1004:$BO$1004,1,MATCH(COLUMNS($AN$1006:AX1006),$AN$1006:$BO$1006,0)))),"Fix")))</f>
        <v>0</v>
      </c>
      <c r="M455" s="4">
        <f>IF(OR(INDEX($AH$2:$AH$1001,MATCH(ROWS($AG$2:AG455),$AG$2:$AG$1001,0),1)&gt;=100000,INDEX($AN$1005:$BO$1005,1,MATCH(COLUMNS($AN$1006:AY1006),$AN$1006:$BO$1006,0))&gt;=100000), " ",IF(INDEX($AN$2:$BO$1001,MATCH(ROWS($AG$2:AG455),$AG$2:$AG$1001,0),MATCH(COLUMNS($AN$1006:AY1006),$AN$1006:$BO$1006,0)), HYPERLINK("#",""), HYPERLINK(CONCATENATE("#Metadata!", ADDRESS(INDEX($AI$2:$AI$1001,MATCH(ROWS($AG$2:AG455),$AG$2:$AG$1001,0),0), INDEX($AN$1004:$BO$1004,1,MATCH(COLUMNS($AN$1006:AY1006),$AN$1006:$BO$1006,0)))),"Fix")))</f>
        <v>0</v>
      </c>
      <c r="N455" s="4">
        <f>IF(OR(INDEX($AH$2:$AH$1001,MATCH(ROWS($AG$2:AG455),$AG$2:$AG$1001,0),1)&gt;=100000,INDEX($AN$1005:$BO$1005,1,MATCH(COLUMNS($AN$1006:AZ1006),$AN$1006:$BO$1006,0))&gt;=100000), " ",IF(INDEX($AN$2:$BO$1001,MATCH(ROWS($AG$2:AG455),$AG$2:$AG$1001,0),MATCH(COLUMNS($AN$1006:AZ1006),$AN$1006:$BO$1006,0)), HYPERLINK("#",""), HYPERLINK(CONCATENATE("#Metadata!", ADDRESS(INDEX($AI$2:$AI$1001,MATCH(ROWS($AG$2:AG455),$AG$2:$AG$1001,0),0), INDEX($AN$1004:$BO$1004,1,MATCH(COLUMNS($AN$1006:AZ1006),$AN$1006:$BO$1006,0)))),"Fix")))</f>
        <v>0</v>
      </c>
      <c r="O455" s="4">
        <f>IF(OR(INDEX($AH$2:$AH$1001,MATCH(ROWS($AG$2:AG455),$AG$2:$AG$1001,0),1)&gt;=100000,INDEX($AN$1005:$BO$1005,1,MATCH(COLUMNS($AN$1006:BA1006),$AN$1006:$BO$1006,0))&gt;=100000), " ",IF(INDEX($AN$2:$BO$1001,MATCH(ROWS($AG$2:AG455),$AG$2:$AG$1001,0),MATCH(COLUMNS($AN$1006:BA1006),$AN$1006:$BO$1006,0)), HYPERLINK("#",""), HYPERLINK(CONCATENATE("#Metadata!", ADDRESS(INDEX($AI$2:$AI$1001,MATCH(ROWS($AG$2:AG455),$AG$2:$AG$1001,0),0), INDEX($AN$1004:$BO$1004,1,MATCH(COLUMNS($AN$1006:BA1006),$AN$1006:$BO$1006,0)))),"Fix")))</f>
        <v>0</v>
      </c>
      <c r="P455" s="4">
        <f>IF(OR(INDEX($AH$2:$AH$1001,MATCH(ROWS($AG$2:AG455),$AG$2:$AG$1001,0),1)&gt;=100000,INDEX($AN$1005:$BO$1005,1,MATCH(COLUMNS($AN$1006:BB1006),$AN$1006:$BO$1006,0))&gt;=100000), " ",IF(INDEX($AN$2:$BO$1001,MATCH(ROWS($AG$2:AG455),$AG$2:$AG$1001,0),MATCH(COLUMNS($AN$1006:BB1006),$AN$1006:$BO$1006,0)), HYPERLINK("#",""), HYPERLINK(CONCATENATE("#Metadata!", ADDRESS(INDEX($AI$2:$AI$1001,MATCH(ROWS($AG$2:AG455),$AG$2:$AG$1001,0),0), INDEX($AN$1004:$BO$1004,1,MATCH(COLUMNS($AN$1006:BB1006),$AN$1006:$BO$1006,0)))),"Fix")))</f>
        <v>0</v>
      </c>
      <c r="Q455" s="4">
        <f>IF(OR(INDEX($AH$2:$AH$1001,MATCH(ROWS($AG$2:AG455),$AG$2:$AG$1001,0),1)&gt;=100000,INDEX($AN$1005:$BO$1005,1,MATCH(COLUMNS($AN$1006:BC1006),$AN$1006:$BO$1006,0))&gt;=100000), " ",IF(INDEX($AN$2:$BO$1001,MATCH(ROWS($AG$2:AG455),$AG$2:$AG$1001,0),MATCH(COLUMNS($AN$1006:BC1006),$AN$1006:$BO$1006,0)), HYPERLINK("#",""), HYPERLINK(CONCATENATE("#Metadata!", ADDRESS(INDEX($AI$2:$AI$1001,MATCH(ROWS($AG$2:AG455),$AG$2:$AG$1001,0),0), INDEX($AN$1004:$BO$1004,1,MATCH(COLUMNS($AN$1006:BC1006),$AN$1006:$BO$1006,0)))),"Fix")))</f>
        <v>0</v>
      </c>
      <c r="R455" s="4">
        <f>IF(OR(INDEX($AH$2:$AH$1001,MATCH(ROWS($AG$2:AG455),$AG$2:$AG$1001,0),1)&gt;=100000,INDEX($AN$1005:$BO$1005,1,MATCH(COLUMNS($AN$1006:BD1006),$AN$1006:$BO$1006,0))&gt;=100000), " ",IF(INDEX($AN$2:$BO$1001,MATCH(ROWS($AG$2:AG455),$AG$2:$AG$1001,0),MATCH(COLUMNS($AN$1006:BD1006),$AN$1006:$BO$1006,0)), HYPERLINK("#",""), HYPERLINK(CONCATENATE("#Metadata!", ADDRESS(INDEX($AI$2:$AI$1001,MATCH(ROWS($AG$2:AG455),$AG$2:$AG$1001,0),0), INDEX($AN$1004:$BO$1004,1,MATCH(COLUMNS($AN$1006:BD1006),$AN$1006:$BO$1006,0)))),"Fix")))</f>
        <v>0</v>
      </c>
      <c r="S455" s="4">
        <f>IF(OR(INDEX($AH$2:$AH$1001,MATCH(ROWS($AG$2:AG455),$AG$2:$AG$1001,0),1)&gt;=100000,INDEX($AN$1005:$BO$1005,1,MATCH(COLUMNS($AN$1006:BE1006),$AN$1006:$BO$1006,0))&gt;=100000), " ",IF(INDEX($AN$2:$BO$1001,MATCH(ROWS($AG$2:AG455),$AG$2:$AG$1001,0),MATCH(COLUMNS($AN$1006:BE1006),$AN$1006:$BO$1006,0)), HYPERLINK("#",""), HYPERLINK(CONCATENATE("#Metadata!", ADDRESS(INDEX($AI$2:$AI$1001,MATCH(ROWS($AG$2:AG455),$AG$2:$AG$1001,0),0), INDEX($AN$1004:$BO$1004,1,MATCH(COLUMNS($AN$1006:BE1006),$AN$1006:$BO$1006,0)))),"Fix")))</f>
        <v>0</v>
      </c>
      <c r="T455" s="4">
        <f>IF(OR(INDEX($AH$2:$AH$1001,MATCH(ROWS($AG$2:AG455),$AG$2:$AG$1001,0),1)&gt;=100000,INDEX($AN$1005:$BO$1005,1,MATCH(COLUMNS($AN$1006:BF1006),$AN$1006:$BO$1006,0))&gt;=100000), " ",IF(INDEX($AN$2:$BO$1001,MATCH(ROWS($AG$2:AG455),$AG$2:$AG$1001,0),MATCH(COLUMNS($AN$1006:BF1006),$AN$1006:$BO$1006,0)), HYPERLINK("#",""), HYPERLINK(CONCATENATE("#Metadata!", ADDRESS(INDEX($AI$2:$AI$1001,MATCH(ROWS($AG$2:AG455),$AG$2:$AG$1001,0),0), INDEX($AN$1004:$BO$1004,1,MATCH(COLUMNS($AN$1006:BF1006),$AN$1006:$BO$1006,0)))),"Fix")))</f>
        <v>0</v>
      </c>
      <c r="U455" s="4">
        <f>IF(OR(INDEX($AH$2:$AH$1001,MATCH(ROWS($AG$2:AG455),$AG$2:$AG$1001,0),1)&gt;=100000,INDEX($AN$1005:$BO$1005,1,MATCH(COLUMNS($AN$1006:BG1006),$AN$1006:$BO$1006,0))&gt;=100000), " ",IF(INDEX($AN$2:$BO$1001,MATCH(ROWS($AG$2:AG455),$AG$2:$AG$1001,0),MATCH(COLUMNS($AN$1006:BG1006),$AN$1006:$BO$1006,0)), HYPERLINK("#",""), HYPERLINK(CONCATENATE("#Metadata!", ADDRESS(INDEX($AI$2:$AI$1001,MATCH(ROWS($AG$2:AG455),$AG$2:$AG$1001,0),0), INDEX($AN$1004:$BO$1004,1,MATCH(COLUMNS($AN$1006:BG1006),$AN$1006:$BO$1006,0)))),"Fix")))</f>
        <v>0</v>
      </c>
      <c r="V455" s="4">
        <f>IF(OR(INDEX($AH$2:$AH$1001,MATCH(ROWS($AG$2:AG455),$AG$2:$AG$1001,0),1)&gt;=100000,INDEX($AN$1005:$BO$1005,1,MATCH(COLUMNS($AN$1006:BH1006),$AN$1006:$BO$1006,0))&gt;=100000), " ",IF(INDEX($AN$2:$BO$1001,MATCH(ROWS($AG$2:AG455),$AG$2:$AG$1001,0),MATCH(COLUMNS($AN$1006:BH1006),$AN$1006:$BO$1006,0)), HYPERLINK("#",""), HYPERLINK(CONCATENATE("#Metadata!", ADDRESS(INDEX($AI$2:$AI$1001,MATCH(ROWS($AG$2:AG455),$AG$2:$AG$1001,0),0), INDEX($AN$1004:$BO$1004,1,MATCH(COLUMNS($AN$1006:BH1006),$AN$1006:$BO$1006,0)))),"Fix")))</f>
        <v>0</v>
      </c>
      <c r="W455" s="4">
        <f>IF(OR(INDEX($AH$2:$AH$1001,MATCH(ROWS($AG$2:AG455),$AG$2:$AG$1001,0),1)&gt;=100000,INDEX($AN$1005:$BO$1005,1,MATCH(COLUMNS($AN$1006:BI1006),$AN$1006:$BO$1006,0))&gt;=100000), " ",IF(INDEX($AN$2:$BO$1001,MATCH(ROWS($AG$2:AG455),$AG$2:$AG$1001,0),MATCH(COLUMNS($AN$1006:BI1006),$AN$1006:$BO$1006,0)), HYPERLINK("#",""), HYPERLINK(CONCATENATE("#Metadata!", ADDRESS(INDEX($AI$2:$AI$1001,MATCH(ROWS($AG$2:AG455),$AG$2:$AG$1001,0),0), INDEX($AN$1004:$BO$1004,1,MATCH(COLUMNS($AN$1006:BI1006),$AN$1006:$BO$1006,0)))),"Fix")))</f>
        <v>0</v>
      </c>
      <c r="X455" s="4">
        <f>IF(OR(INDEX($AH$2:$AH$1001,MATCH(ROWS($AG$2:AG455),$AG$2:$AG$1001,0),1)&gt;=100000,INDEX($AN$1005:$BO$1005,1,MATCH(COLUMNS($AN$1006:BJ1006),$AN$1006:$BO$1006,0))&gt;=100000), " ",IF(INDEX($AN$2:$BO$1001,MATCH(ROWS($AG$2:AG455),$AG$2:$AG$1001,0),MATCH(COLUMNS($AN$1006:BJ1006),$AN$1006:$BO$1006,0)), HYPERLINK("#",""), HYPERLINK(CONCATENATE("#Metadata!", ADDRESS(INDEX($AI$2:$AI$1001,MATCH(ROWS($AG$2:AG455),$AG$2:$AG$1001,0),0), INDEX($AN$1004:$BO$1004,1,MATCH(COLUMNS($AN$1006:BJ1006),$AN$1006:$BO$1006,0)))),"Fix")))</f>
        <v>0</v>
      </c>
      <c r="Y455" s="4">
        <f>IF(OR(INDEX($AH$2:$AH$1001,MATCH(ROWS($AG$2:AG455),$AG$2:$AG$1001,0),1)&gt;=100000,INDEX($AN$1005:$BO$1005,1,MATCH(COLUMNS($AN$1006:BK1006),$AN$1006:$BO$1006,0))&gt;=100000), " ",IF(INDEX($AN$2:$BO$1001,MATCH(ROWS($AG$2:AG455),$AG$2:$AG$1001,0),MATCH(COLUMNS($AN$1006:BK1006),$AN$1006:$BO$1006,0)), HYPERLINK("#",""), HYPERLINK(CONCATENATE("#Metadata!", ADDRESS(INDEX($AI$2:$AI$1001,MATCH(ROWS($AG$2:AG455),$AG$2:$AG$1001,0),0), INDEX($AN$1004:$BO$1004,1,MATCH(COLUMNS($AN$1006:BK1006),$AN$1006:$BO$1006,0)))),"Fix")))</f>
        <v>0</v>
      </c>
      <c r="Z455" s="4">
        <f>IF(OR(INDEX($AH$2:$AH$1001,MATCH(ROWS($AG$2:AG455),$AG$2:$AG$1001,0),1)&gt;=100000,INDEX($AN$1005:$BO$1005,1,MATCH(COLUMNS($AN$1006:BL1006),$AN$1006:$BO$1006,0))&gt;=100000), " ",IF(INDEX($AN$2:$BO$1001,MATCH(ROWS($AG$2:AG455),$AG$2:$AG$1001,0),MATCH(COLUMNS($AN$1006:BL1006),$AN$1006:$BO$1006,0)), HYPERLINK("#",""), HYPERLINK(CONCATENATE("#Metadata!", ADDRESS(INDEX($AI$2:$AI$1001,MATCH(ROWS($AG$2:AG455),$AG$2:$AG$1001,0),0), INDEX($AN$1004:$BO$1004,1,MATCH(COLUMNS($AN$1006:BL1006),$AN$1006:$BO$1006,0)))),"Fix")))</f>
        <v>0</v>
      </c>
      <c r="AA455" s="4">
        <f>IF(OR(INDEX($AH$2:$AH$1001,MATCH(ROWS($AG$2:AG455),$AG$2:$AG$1001,0),1)&gt;=100000,INDEX($AN$1005:$BO$1005,1,MATCH(COLUMNS($AN$1006:BM1006),$AN$1006:$BO$1006,0))&gt;=100000), " ",IF(INDEX($AN$2:$BO$1001,MATCH(ROWS($AG$2:AG455),$AG$2:$AG$1001,0),MATCH(COLUMNS($AN$1006:BM1006),$AN$1006:$BO$1006,0)), HYPERLINK("#",""), HYPERLINK(CONCATENATE("#Metadata!", ADDRESS(INDEX($AI$2:$AI$1001,MATCH(ROWS($AG$2:AG455),$AG$2:$AG$1001,0),0), INDEX($AN$1004:$BO$1004,1,MATCH(COLUMNS($AN$1006:BM1006),$AN$1006:$BO$1006,0)))),"Fix")))</f>
        <v>0</v>
      </c>
      <c r="AB455" s="4">
        <f>IF(OR(INDEX($AH$2:$AH$1001,MATCH(ROWS($AG$2:AG455),$AG$2:$AG$1001,0),1)&gt;=100000,INDEX($AN$1005:$BO$1005,1,MATCH(COLUMNS($AN$1006:BN1006),$AN$1006:$BO$1006,0))&gt;=100000), " ",IF(INDEX($AN$2:$BO$1001,MATCH(ROWS($AG$2:AG455),$AG$2:$AG$1001,0),MATCH(COLUMNS($AN$1006:BN1006),$AN$1006:$BO$1006,0)), HYPERLINK("#",""), HYPERLINK(CONCATENATE("#Metadata!", ADDRESS(INDEX($AI$2:$AI$1001,MATCH(ROWS($AG$2:AG455),$AG$2:$AG$1001,0),0), INDEX($AN$1004:$BO$1004,1,MATCH(COLUMNS($AN$1006:BN1006),$AN$1006:$BO$1006,0)))),"Fix")))</f>
        <v>0</v>
      </c>
      <c r="AC455" s="4">
        <f>IF(OR(INDEX($AH$2:$AH$1001,MATCH(ROWS($AG$2:AG455),$AG$2:$AG$1001,0),1)&gt;=100000,INDEX($AN$1005:$BO$1005,1,MATCH(COLUMNS($AN$1006:BO1006),$AN$1006:$BO$1006,0))&gt;=100000), " ",IF(INDEX($AN$2:$BO$1001,MATCH(ROWS($AG$2:AG455),$AG$2:$AG$1001,0),MATCH(COLUMNS($AN$1006:BO1006),$AN$1006:$BO$1006,0)), HYPERLINK("#",""), HYPERLINK(CONCATENATE("#Metadata!", ADDRESS(INDEX($AI$2:$AI$1001,MATCH(ROWS($AG$2:AG455),$AG$2:$AG$1001,0),0), INDEX($AN$1004:$BO$1004,1,MATCH(COLUMNS($AN$1006:BO1006),$AN$1006:$BO$1006,0)))),"Fix")))</f>
        <v>0</v>
      </c>
      <c r="AG455">
        <v>0</v>
      </c>
      <c r="AH455">
        <v>0</v>
      </c>
      <c r="AI455">
        <v>0</v>
      </c>
      <c r="AJ455">
        <f>IF(AK455,TRUE,AND(AN455:BO455))</f>
        <v>0</v>
      </c>
      <c r="AK455">
        <f>COUNTBLANK(Metadata!B455:AC455)=COLUMNS(Metadata!B455:AC455)</f>
        <v>0</v>
      </c>
      <c r="AL455">
        <v>0</v>
      </c>
      <c r="AN455">
        <f>AND(IF(Metadata!B455="",FALSE,TRUE),COUNTIF(Metadata!B:B, Metadata!B455) = 1,NOT(ISERROR(SUMPRODUCT(SEARCH(MID(Metadata!B455,ROW(INDIRECT("1:"&amp;LEN(Metadata!B455))), 1),"0123456789abcdefghijklmnopqrstuvwxyzABCDEFGHIJKLMNOPQRSTUVWXYZ.")))))</f>
        <v>0</v>
      </c>
      <c r="AO455">
        <f>IF(Metadata!C455="",FALSE,TRUE)</f>
        <v>0</v>
      </c>
      <c r="AP455">
        <f>IF(Metadata!D455="",FALSE,TRUE)</f>
        <v>0</v>
      </c>
      <c r="AQ455">
        <f>OR(AND(IF(Metadata!E455="",FALSE,TRUE),OR(exact(Metadata!E455,"not collected"),exact(Metadata!E455,"not provided"),exact(Metadata!E455,"restricted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R455">
        <f>IF(Metadata!F455="",FALSE,TRUE)</f>
        <v>0</v>
      </c>
      <c r="AS455">
        <f>OR(AND(IF(Metadata!G455="",FALSE,TRUE),OR(exact(Metadata!G455,"not collected"),exact(Metadata!G455,"not provided"))),AND(IF(Metadata!G455="",FALSE,TRUE),OR(exact(Metadata!G455,"TRUE"),exact(Metadata!G455,"FALSE"))))</f>
        <v>0</v>
      </c>
      <c r="AT455">
        <f>OR(AND(IF(Metadata!H455="",FALSE,TRUE),OR(exact(Metadata!H455,"not collected"),exact(Metadata!H455,"not provided"),exact(Metadata!H455,"restricted access"))),AND(IF(Metadata!H455="",FALSE,ISNUMBER(VALUE(Metadata!H455))),Metadata!H455&gt;=-413.0))</f>
        <v>0</v>
      </c>
      <c r="AU455">
        <f>AND(IF(Metadata!I455="",FALSE,TRUE),exact(Metadata!I455,"meters"))</f>
        <v>0</v>
      </c>
      <c r="AV455">
        <f>AND(IF(Metadata!J455="",FALSE,TRUE),OR(exact(Metadata!J455,"Host-associated"),exact(Metadata!J455,"Free-living")))</f>
        <v>0</v>
      </c>
      <c r="AW455">
        <f>AND(IF(Metadata!K455="",FALSE,TRUE),OR(exact(Metadata!K455,"Animal"),exact(Metadata!K455,"Fungus"),exact(Metadata!K455,"Plant"),exact(Metadata!K455,"Saline"),exact(Metadata!K455,"Non-saline")))</f>
        <v>0</v>
      </c>
      <c r="AX455">
        <f>AND(IF(Metadata!L455="",FALSE,TRUE),OR(exact(Metadata!L455,"Plant secretion"),exact(Metadata!L455,"Plant rhizosphere"),exact(Metadata!L455,"Plant surface"),exact(Metadata!L455,"Plant corpus"),exact(Metadata!L455,"Fungus surface"),exact(Metadata!L455,"Fungus corpus"),exact(Metadata!L455,"Animal surface"),exact(Metadata!L455,"Animal proximal gut"),exact(Metadata!L455,"Animal corpus"),exact(Metadata!L455,"Animal distal gut"),exact(Metadata!L455,"Animal secretion"),exact(Metadata!L455,"Sub-surface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Y455">
        <f>IF(Metadata!M455="",FALSE,TRUE)</f>
        <v>0</v>
      </c>
      <c r="AZ455">
        <f>IF(Metadata!N455="",FALSE,TRUE)</f>
        <v>0</v>
      </c>
      <c r="BA455">
        <f>IF(Metadata!O455="",FALSE,TRUE)</f>
        <v>0</v>
      </c>
      <c r="BB455">
        <f>OR(AND(IF(Metadata!P455="",FALSE,TRUE),OR(exact(Metadata!P455,"not collected"),exact(Metadata!P455,"not provided"),exact(Metadata!P455,"restricted access"))),AND(IF(Metadata!P455="",FALSE,TRUE),OR(exact(Metadata!P455,"air"),exact(Metadata!P455,"built environment"),exact(Metadata!P455,"host-associated"),exact(Metadata!P455,"human-associated"),exact(Metadata!P455,"human-skin"),exact(Metadata!P455,"human-oral"),exact(Metadata!P455,"human-gut"),exact(Metadata!P455,"human-vaginal"),exact(Metadata!P455,"microbial mat/biofilm"),exact(Metadata!P455,"misc environment"),exact(Metadata!P455,"plant-associated"),exact(Metadata!P455,"sediment"),exact(Metadata!P455,"soil"),exact(Metadata!P455,"wastewater/sludge"),exact(Metadata!P455,"water"))))</f>
        <v>0</v>
      </c>
      <c r="BC455">
        <f>IF(Metadata!Q455="",FALSE,TRUE)</f>
        <v>0</v>
      </c>
      <c r="BD455">
        <f>IF(Metadata!R455="",FALSE,TRUE)</f>
        <v>0</v>
      </c>
      <c r="BE455">
        <f>OR(AND(IF(Metadata!S455="",FALSE,TRUE),OR(exact(Metadata!S455,"not collected"),exact(Metadata!S455,"not provided"),exact(Metadata!S455,"restricted access"))),AND(IF(Metadata!S455="",FALSE,ISNUMBER(VALUE(Metadata!S455))),Metadata!S455&gt;=-90.00,Metadata!S455&lt;=90.00))</f>
        <v>0</v>
      </c>
      <c r="BF455">
        <f>AND(IF(Metadata!T455="",FALSE,TRUE),exact(Metadata!T455,"Decimal degrees"))</f>
        <v>0</v>
      </c>
      <c r="BG455">
        <f>OR(AND(IF(Metadata!U455="",FALSE,TRUE),OR(exact(Metadata!U455,"not collected"),exact(Metadata!U455,"not provided"),exact(Metadata!U455,"restricted access"))),AND(IF(Metadata!U455="",FALSE,ISNUMBER(VALUE(Metadata!U455))),Metadata!U455&gt;=-180.00,Metadata!U455&lt;=180.00))</f>
        <v>0</v>
      </c>
      <c r="BH455">
        <f>AND(IF(Metadata!V455="",FALSE,TRUE),exact(Metadata!V455,"Decimal degrees"))</f>
        <v>0</v>
      </c>
      <c r="BI455">
        <f>IF(Metadata!W455="",FALSE,TRUE)</f>
        <v>0</v>
      </c>
      <c r="BJ455">
        <f>OR(AND(IF(Metadata!X455="",FALSE,TRUE),OR(exact(Metadata!X455,"not collected"),exact(Metadata!X455,"not provided"),exact(Metadata!X455,"restricted access"))),AND(IF(Metadata!X455="",FALSE,TRUE),OR(exact(Metadata!X455,"TRUE"),exact(Metadata!X455,"FALSE"))))</f>
        <v>0</v>
      </c>
      <c r="BK455">
        <f>AND(IF(Metadata!Y455="",FALSE,TRUE),exact(Metadata!Y455,"other"))</f>
        <v>0</v>
      </c>
      <c r="BL455">
        <f>IF(Metadata!Z455="",FALSE,TRUE)</f>
        <v>0</v>
      </c>
      <c r="BM455">
        <f>OR(AND(IF(Metadata!AA455="",FALSE,TRUE),OR(exact(Metadata!AA455,"not collected"),exact(Metadata!AA455,"not provided"))),AND(IF(Metadata!AA455="",FALSE,IF(ISERROR(INT(Metadata!AA455)),FALSE,INT(Metadata!AA455)=Metadata!AA455)),Metadata!AA455&gt;0))</f>
        <v>0</v>
      </c>
      <c r="BN455">
        <f>AND(IF(Metadata!AB455="",FALSE,TRUE),exact(Metadata!AB455,"Not applicable"))</f>
        <v>0</v>
      </c>
      <c r="BO455">
        <f>IF(Metadata!AC455="",FALSE,TRUE)</f>
        <v>0</v>
      </c>
    </row>
    <row r="456" spans="1:67">
      <c r="A456" s="5">
        <f>IF(B456=" "," ",HYPERLINK(CONCATENATE("#metadata!",ADDRESS(INDEX($AI$2:$AI$1001,MATCH(ROWS($AG$2:AG456),$AG$2:$AG$1001,0),0),1)),INDEX($AL$2:$AL$1001,MATCH(ROWS($AG$2:AG456),$AG$2:$AG$1001,0),0)))</f>
        <v>0</v>
      </c>
      <c r="B456" s="4">
        <f>IF(OR(INDEX($AH$2:$AH$1001,MATCH(ROWS($AG$2:AG456),$AG$2:$AG$1001,0),1)&gt;=100000,INDEX($AN$1005:$BO$1005,1,MATCH(COLUMNS($AN$1006:AN1006),$AN$1006:$BO$1006,0))&gt;=100000), " ",IF(INDEX($AN$2:$BO$1001,MATCH(ROWS($AG$2:AG456),$AG$2:$AG$1001,0),MATCH(COLUMNS($AN$1006:AN1006),$AN$1006:$BO$1006,0)), HYPERLINK("#",""), HYPERLINK(CONCATENATE("#Metadata!", ADDRESS(INDEX($AI$2:$AI$1001,MATCH(ROWS($AG$2:AG456),$AG$2:$AG$1001,0),0), INDEX($AN$1004:$BO$1004,1,MATCH(COLUMNS($AN$1006:AN1006),$AN$1006:$BO$1006,0)))),"Fix")))</f>
        <v>0</v>
      </c>
      <c r="C456" s="4">
        <f>IF(OR(INDEX($AH$2:$AH$1001,MATCH(ROWS($AG$2:AG456),$AG$2:$AG$1001,0),1)&gt;=100000,INDEX($AN$1005:$BO$1005,1,MATCH(COLUMNS($AN$1006:AO1006),$AN$1006:$BO$1006,0))&gt;=100000), " ",IF(INDEX($AN$2:$BO$1001,MATCH(ROWS($AG$2:AG456),$AG$2:$AG$1001,0),MATCH(COLUMNS($AN$1006:AO1006),$AN$1006:$BO$1006,0)), HYPERLINK("#",""), HYPERLINK(CONCATENATE("#Metadata!", ADDRESS(INDEX($AI$2:$AI$1001,MATCH(ROWS($AG$2:AG456),$AG$2:$AG$1001,0),0), INDEX($AN$1004:$BO$1004,1,MATCH(COLUMNS($AN$1006:AO1006),$AN$1006:$BO$1006,0)))),"Fix")))</f>
        <v>0</v>
      </c>
      <c r="D456" s="4">
        <f>IF(OR(INDEX($AH$2:$AH$1001,MATCH(ROWS($AG$2:AG456),$AG$2:$AG$1001,0),1)&gt;=100000,INDEX($AN$1005:$BO$1005,1,MATCH(COLUMNS($AN$1006:AP1006),$AN$1006:$BO$1006,0))&gt;=100000), " ",IF(INDEX($AN$2:$BO$1001,MATCH(ROWS($AG$2:AG456),$AG$2:$AG$1001,0),MATCH(COLUMNS($AN$1006:AP1006),$AN$1006:$BO$1006,0)), HYPERLINK("#",""), HYPERLINK(CONCATENATE("#Metadata!", ADDRESS(INDEX($AI$2:$AI$1001,MATCH(ROWS($AG$2:AG456),$AG$2:$AG$1001,0),0), INDEX($AN$1004:$BO$1004,1,MATCH(COLUMNS($AN$1006:AP1006),$AN$1006:$BO$1006,0)))),"Fix")))</f>
        <v>0</v>
      </c>
      <c r="E456" s="4">
        <f>IF(OR(INDEX($AH$2:$AH$1001,MATCH(ROWS($AG$2:AG456),$AG$2:$AG$1001,0),1)&gt;=100000,INDEX($AN$1005:$BO$1005,1,MATCH(COLUMNS($AN$1006:AQ1006),$AN$1006:$BO$1006,0))&gt;=100000), " ",IF(INDEX($AN$2:$BO$1001,MATCH(ROWS($AG$2:AG456),$AG$2:$AG$1001,0),MATCH(COLUMNS($AN$1006:AQ1006),$AN$1006:$BO$1006,0)), HYPERLINK("#",""), HYPERLINK(CONCATENATE("#Metadata!", ADDRESS(INDEX($AI$2:$AI$1001,MATCH(ROWS($AG$2:AG456),$AG$2:$AG$1001,0),0), INDEX($AN$1004:$BO$1004,1,MATCH(COLUMNS($AN$1006:AQ1006),$AN$1006:$BO$1006,0)))),"Fix")))</f>
        <v>0</v>
      </c>
      <c r="F456" s="4">
        <f>IF(OR(INDEX($AH$2:$AH$1001,MATCH(ROWS($AG$2:AG456),$AG$2:$AG$1001,0),1)&gt;=100000,INDEX($AN$1005:$BO$1005,1,MATCH(COLUMNS($AN$1006:AR1006),$AN$1006:$BO$1006,0))&gt;=100000), " ",IF(INDEX($AN$2:$BO$1001,MATCH(ROWS($AG$2:AG456),$AG$2:$AG$1001,0),MATCH(COLUMNS($AN$1006:AR1006),$AN$1006:$BO$1006,0)), HYPERLINK("#",""), HYPERLINK(CONCATENATE("#Metadata!", ADDRESS(INDEX($AI$2:$AI$1001,MATCH(ROWS($AG$2:AG456),$AG$2:$AG$1001,0),0), INDEX($AN$1004:$BO$1004,1,MATCH(COLUMNS($AN$1006:AR1006),$AN$1006:$BO$1006,0)))),"Fix")))</f>
        <v>0</v>
      </c>
      <c r="G456" s="4">
        <f>IF(OR(INDEX($AH$2:$AH$1001,MATCH(ROWS($AG$2:AG456),$AG$2:$AG$1001,0),1)&gt;=100000,INDEX($AN$1005:$BO$1005,1,MATCH(COLUMNS($AN$1006:AS1006),$AN$1006:$BO$1006,0))&gt;=100000), " ",IF(INDEX($AN$2:$BO$1001,MATCH(ROWS($AG$2:AG456),$AG$2:$AG$1001,0),MATCH(COLUMNS($AN$1006:AS1006),$AN$1006:$BO$1006,0)), HYPERLINK("#",""), HYPERLINK(CONCATENATE("#Metadata!", ADDRESS(INDEX($AI$2:$AI$1001,MATCH(ROWS($AG$2:AG456),$AG$2:$AG$1001,0),0), INDEX($AN$1004:$BO$1004,1,MATCH(COLUMNS($AN$1006:AS1006),$AN$1006:$BO$1006,0)))),"Fix")))</f>
        <v>0</v>
      </c>
      <c r="H456" s="4">
        <f>IF(OR(INDEX($AH$2:$AH$1001,MATCH(ROWS($AG$2:AG456),$AG$2:$AG$1001,0),1)&gt;=100000,INDEX($AN$1005:$BO$1005,1,MATCH(COLUMNS($AN$1006:AT1006),$AN$1006:$BO$1006,0))&gt;=100000), " ",IF(INDEX($AN$2:$BO$1001,MATCH(ROWS($AG$2:AG456),$AG$2:$AG$1001,0),MATCH(COLUMNS($AN$1006:AT1006),$AN$1006:$BO$1006,0)), HYPERLINK("#",""), HYPERLINK(CONCATENATE("#Metadata!", ADDRESS(INDEX($AI$2:$AI$1001,MATCH(ROWS($AG$2:AG456),$AG$2:$AG$1001,0),0), INDEX($AN$1004:$BO$1004,1,MATCH(COLUMNS($AN$1006:AT1006),$AN$1006:$BO$1006,0)))),"Fix")))</f>
        <v>0</v>
      </c>
      <c r="I456" s="4">
        <f>IF(OR(INDEX($AH$2:$AH$1001,MATCH(ROWS($AG$2:AG456),$AG$2:$AG$1001,0),1)&gt;=100000,INDEX($AN$1005:$BO$1005,1,MATCH(COLUMNS($AN$1006:AU1006),$AN$1006:$BO$1006,0))&gt;=100000), " ",IF(INDEX($AN$2:$BO$1001,MATCH(ROWS($AG$2:AG456),$AG$2:$AG$1001,0),MATCH(COLUMNS($AN$1006:AU1006),$AN$1006:$BO$1006,0)), HYPERLINK("#",""), HYPERLINK(CONCATENATE("#Metadata!", ADDRESS(INDEX($AI$2:$AI$1001,MATCH(ROWS($AG$2:AG456),$AG$2:$AG$1001,0),0), INDEX($AN$1004:$BO$1004,1,MATCH(COLUMNS($AN$1006:AU1006),$AN$1006:$BO$1006,0)))),"Fix")))</f>
        <v>0</v>
      </c>
      <c r="J456" s="4">
        <f>IF(OR(INDEX($AH$2:$AH$1001,MATCH(ROWS($AG$2:AG456),$AG$2:$AG$1001,0),1)&gt;=100000,INDEX($AN$1005:$BO$1005,1,MATCH(COLUMNS($AN$1006:AV1006),$AN$1006:$BO$1006,0))&gt;=100000), " ",IF(INDEX($AN$2:$BO$1001,MATCH(ROWS($AG$2:AG456),$AG$2:$AG$1001,0),MATCH(COLUMNS($AN$1006:AV1006),$AN$1006:$BO$1006,0)), HYPERLINK("#",""), HYPERLINK(CONCATENATE("#Metadata!", ADDRESS(INDEX($AI$2:$AI$1001,MATCH(ROWS($AG$2:AG456),$AG$2:$AG$1001,0),0), INDEX($AN$1004:$BO$1004,1,MATCH(COLUMNS($AN$1006:AV1006),$AN$1006:$BO$1006,0)))),"Fix")))</f>
        <v>0</v>
      </c>
      <c r="K456" s="4">
        <f>IF(OR(INDEX($AH$2:$AH$1001,MATCH(ROWS($AG$2:AG456),$AG$2:$AG$1001,0),1)&gt;=100000,INDEX($AN$1005:$BO$1005,1,MATCH(COLUMNS($AN$1006:AW1006),$AN$1006:$BO$1006,0))&gt;=100000), " ",IF(INDEX($AN$2:$BO$1001,MATCH(ROWS($AG$2:AG456),$AG$2:$AG$1001,0),MATCH(COLUMNS($AN$1006:AW1006),$AN$1006:$BO$1006,0)), HYPERLINK("#",""), HYPERLINK(CONCATENATE("#Metadata!", ADDRESS(INDEX($AI$2:$AI$1001,MATCH(ROWS($AG$2:AG456),$AG$2:$AG$1001,0),0), INDEX($AN$1004:$BO$1004,1,MATCH(COLUMNS($AN$1006:AW1006),$AN$1006:$BO$1006,0)))),"Fix")))</f>
        <v>0</v>
      </c>
      <c r="L456" s="4">
        <f>IF(OR(INDEX($AH$2:$AH$1001,MATCH(ROWS($AG$2:AG456),$AG$2:$AG$1001,0),1)&gt;=100000,INDEX($AN$1005:$BO$1005,1,MATCH(COLUMNS($AN$1006:AX1006),$AN$1006:$BO$1006,0))&gt;=100000), " ",IF(INDEX($AN$2:$BO$1001,MATCH(ROWS($AG$2:AG456),$AG$2:$AG$1001,0),MATCH(COLUMNS($AN$1006:AX1006),$AN$1006:$BO$1006,0)), HYPERLINK("#",""), HYPERLINK(CONCATENATE("#Metadata!", ADDRESS(INDEX($AI$2:$AI$1001,MATCH(ROWS($AG$2:AG456),$AG$2:$AG$1001,0),0), INDEX($AN$1004:$BO$1004,1,MATCH(COLUMNS($AN$1006:AX1006),$AN$1006:$BO$1006,0)))),"Fix")))</f>
        <v>0</v>
      </c>
      <c r="M456" s="4">
        <f>IF(OR(INDEX($AH$2:$AH$1001,MATCH(ROWS($AG$2:AG456),$AG$2:$AG$1001,0),1)&gt;=100000,INDEX($AN$1005:$BO$1005,1,MATCH(COLUMNS($AN$1006:AY1006),$AN$1006:$BO$1006,0))&gt;=100000), " ",IF(INDEX($AN$2:$BO$1001,MATCH(ROWS($AG$2:AG456),$AG$2:$AG$1001,0),MATCH(COLUMNS($AN$1006:AY1006),$AN$1006:$BO$1006,0)), HYPERLINK("#",""), HYPERLINK(CONCATENATE("#Metadata!", ADDRESS(INDEX($AI$2:$AI$1001,MATCH(ROWS($AG$2:AG456),$AG$2:$AG$1001,0),0), INDEX($AN$1004:$BO$1004,1,MATCH(COLUMNS($AN$1006:AY1006),$AN$1006:$BO$1006,0)))),"Fix")))</f>
        <v>0</v>
      </c>
      <c r="N456" s="4">
        <f>IF(OR(INDEX($AH$2:$AH$1001,MATCH(ROWS($AG$2:AG456),$AG$2:$AG$1001,0),1)&gt;=100000,INDEX($AN$1005:$BO$1005,1,MATCH(COLUMNS($AN$1006:AZ1006),$AN$1006:$BO$1006,0))&gt;=100000), " ",IF(INDEX($AN$2:$BO$1001,MATCH(ROWS($AG$2:AG456),$AG$2:$AG$1001,0),MATCH(COLUMNS($AN$1006:AZ1006),$AN$1006:$BO$1006,0)), HYPERLINK("#",""), HYPERLINK(CONCATENATE("#Metadata!", ADDRESS(INDEX($AI$2:$AI$1001,MATCH(ROWS($AG$2:AG456),$AG$2:$AG$1001,0),0), INDEX($AN$1004:$BO$1004,1,MATCH(COLUMNS($AN$1006:AZ1006),$AN$1006:$BO$1006,0)))),"Fix")))</f>
        <v>0</v>
      </c>
      <c r="O456" s="4">
        <f>IF(OR(INDEX($AH$2:$AH$1001,MATCH(ROWS($AG$2:AG456),$AG$2:$AG$1001,0),1)&gt;=100000,INDEX($AN$1005:$BO$1005,1,MATCH(COLUMNS($AN$1006:BA1006),$AN$1006:$BO$1006,0))&gt;=100000), " ",IF(INDEX($AN$2:$BO$1001,MATCH(ROWS($AG$2:AG456),$AG$2:$AG$1001,0),MATCH(COLUMNS($AN$1006:BA1006),$AN$1006:$BO$1006,0)), HYPERLINK("#",""), HYPERLINK(CONCATENATE("#Metadata!", ADDRESS(INDEX($AI$2:$AI$1001,MATCH(ROWS($AG$2:AG456),$AG$2:$AG$1001,0),0), INDEX($AN$1004:$BO$1004,1,MATCH(COLUMNS($AN$1006:BA1006),$AN$1006:$BO$1006,0)))),"Fix")))</f>
        <v>0</v>
      </c>
      <c r="P456" s="4">
        <f>IF(OR(INDEX($AH$2:$AH$1001,MATCH(ROWS($AG$2:AG456),$AG$2:$AG$1001,0),1)&gt;=100000,INDEX($AN$1005:$BO$1005,1,MATCH(COLUMNS($AN$1006:BB1006),$AN$1006:$BO$1006,0))&gt;=100000), " ",IF(INDEX($AN$2:$BO$1001,MATCH(ROWS($AG$2:AG456),$AG$2:$AG$1001,0),MATCH(COLUMNS($AN$1006:BB1006),$AN$1006:$BO$1006,0)), HYPERLINK("#",""), HYPERLINK(CONCATENATE("#Metadata!", ADDRESS(INDEX($AI$2:$AI$1001,MATCH(ROWS($AG$2:AG456),$AG$2:$AG$1001,0),0), INDEX($AN$1004:$BO$1004,1,MATCH(COLUMNS($AN$1006:BB1006),$AN$1006:$BO$1006,0)))),"Fix")))</f>
        <v>0</v>
      </c>
      <c r="Q456" s="4">
        <f>IF(OR(INDEX($AH$2:$AH$1001,MATCH(ROWS($AG$2:AG456),$AG$2:$AG$1001,0),1)&gt;=100000,INDEX($AN$1005:$BO$1005,1,MATCH(COLUMNS($AN$1006:BC1006),$AN$1006:$BO$1006,0))&gt;=100000), " ",IF(INDEX($AN$2:$BO$1001,MATCH(ROWS($AG$2:AG456),$AG$2:$AG$1001,0),MATCH(COLUMNS($AN$1006:BC1006),$AN$1006:$BO$1006,0)), HYPERLINK("#",""), HYPERLINK(CONCATENATE("#Metadata!", ADDRESS(INDEX($AI$2:$AI$1001,MATCH(ROWS($AG$2:AG456),$AG$2:$AG$1001,0),0), INDEX($AN$1004:$BO$1004,1,MATCH(COLUMNS($AN$1006:BC1006),$AN$1006:$BO$1006,0)))),"Fix")))</f>
        <v>0</v>
      </c>
      <c r="R456" s="4">
        <f>IF(OR(INDEX($AH$2:$AH$1001,MATCH(ROWS($AG$2:AG456),$AG$2:$AG$1001,0),1)&gt;=100000,INDEX($AN$1005:$BO$1005,1,MATCH(COLUMNS($AN$1006:BD1006),$AN$1006:$BO$1006,0))&gt;=100000), " ",IF(INDEX($AN$2:$BO$1001,MATCH(ROWS($AG$2:AG456),$AG$2:$AG$1001,0),MATCH(COLUMNS($AN$1006:BD1006),$AN$1006:$BO$1006,0)), HYPERLINK("#",""), HYPERLINK(CONCATENATE("#Metadata!", ADDRESS(INDEX($AI$2:$AI$1001,MATCH(ROWS($AG$2:AG456),$AG$2:$AG$1001,0),0), INDEX($AN$1004:$BO$1004,1,MATCH(COLUMNS($AN$1006:BD1006),$AN$1006:$BO$1006,0)))),"Fix")))</f>
        <v>0</v>
      </c>
      <c r="S456" s="4">
        <f>IF(OR(INDEX($AH$2:$AH$1001,MATCH(ROWS($AG$2:AG456),$AG$2:$AG$1001,0),1)&gt;=100000,INDEX($AN$1005:$BO$1005,1,MATCH(COLUMNS($AN$1006:BE1006),$AN$1006:$BO$1006,0))&gt;=100000), " ",IF(INDEX($AN$2:$BO$1001,MATCH(ROWS($AG$2:AG456),$AG$2:$AG$1001,0),MATCH(COLUMNS($AN$1006:BE1006),$AN$1006:$BO$1006,0)), HYPERLINK("#",""), HYPERLINK(CONCATENATE("#Metadata!", ADDRESS(INDEX($AI$2:$AI$1001,MATCH(ROWS($AG$2:AG456),$AG$2:$AG$1001,0),0), INDEX($AN$1004:$BO$1004,1,MATCH(COLUMNS($AN$1006:BE1006),$AN$1006:$BO$1006,0)))),"Fix")))</f>
        <v>0</v>
      </c>
      <c r="T456" s="4">
        <f>IF(OR(INDEX($AH$2:$AH$1001,MATCH(ROWS($AG$2:AG456),$AG$2:$AG$1001,0),1)&gt;=100000,INDEX($AN$1005:$BO$1005,1,MATCH(COLUMNS($AN$1006:BF1006),$AN$1006:$BO$1006,0))&gt;=100000), " ",IF(INDEX($AN$2:$BO$1001,MATCH(ROWS($AG$2:AG456),$AG$2:$AG$1001,0),MATCH(COLUMNS($AN$1006:BF1006),$AN$1006:$BO$1006,0)), HYPERLINK("#",""), HYPERLINK(CONCATENATE("#Metadata!", ADDRESS(INDEX($AI$2:$AI$1001,MATCH(ROWS($AG$2:AG456),$AG$2:$AG$1001,0),0), INDEX($AN$1004:$BO$1004,1,MATCH(COLUMNS($AN$1006:BF1006),$AN$1006:$BO$1006,0)))),"Fix")))</f>
        <v>0</v>
      </c>
      <c r="U456" s="4">
        <f>IF(OR(INDEX($AH$2:$AH$1001,MATCH(ROWS($AG$2:AG456),$AG$2:$AG$1001,0),1)&gt;=100000,INDEX($AN$1005:$BO$1005,1,MATCH(COLUMNS($AN$1006:BG1006),$AN$1006:$BO$1006,0))&gt;=100000), " ",IF(INDEX($AN$2:$BO$1001,MATCH(ROWS($AG$2:AG456),$AG$2:$AG$1001,0),MATCH(COLUMNS($AN$1006:BG1006),$AN$1006:$BO$1006,0)), HYPERLINK("#",""), HYPERLINK(CONCATENATE("#Metadata!", ADDRESS(INDEX($AI$2:$AI$1001,MATCH(ROWS($AG$2:AG456),$AG$2:$AG$1001,0),0), INDEX($AN$1004:$BO$1004,1,MATCH(COLUMNS($AN$1006:BG1006),$AN$1006:$BO$1006,0)))),"Fix")))</f>
        <v>0</v>
      </c>
      <c r="V456" s="4">
        <f>IF(OR(INDEX($AH$2:$AH$1001,MATCH(ROWS($AG$2:AG456),$AG$2:$AG$1001,0),1)&gt;=100000,INDEX($AN$1005:$BO$1005,1,MATCH(COLUMNS($AN$1006:BH1006),$AN$1006:$BO$1006,0))&gt;=100000), " ",IF(INDEX($AN$2:$BO$1001,MATCH(ROWS($AG$2:AG456),$AG$2:$AG$1001,0),MATCH(COLUMNS($AN$1006:BH1006),$AN$1006:$BO$1006,0)), HYPERLINK("#",""), HYPERLINK(CONCATENATE("#Metadata!", ADDRESS(INDEX($AI$2:$AI$1001,MATCH(ROWS($AG$2:AG456),$AG$2:$AG$1001,0),0), INDEX($AN$1004:$BO$1004,1,MATCH(COLUMNS($AN$1006:BH1006),$AN$1006:$BO$1006,0)))),"Fix")))</f>
        <v>0</v>
      </c>
      <c r="W456" s="4">
        <f>IF(OR(INDEX($AH$2:$AH$1001,MATCH(ROWS($AG$2:AG456),$AG$2:$AG$1001,0),1)&gt;=100000,INDEX($AN$1005:$BO$1005,1,MATCH(COLUMNS($AN$1006:BI1006),$AN$1006:$BO$1006,0))&gt;=100000), " ",IF(INDEX($AN$2:$BO$1001,MATCH(ROWS($AG$2:AG456),$AG$2:$AG$1001,0),MATCH(COLUMNS($AN$1006:BI1006),$AN$1006:$BO$1006,0)), HYPERLINK("#",""), HYPERLINK(CONCATENATE("#Metadata!", ADDRESS(INDEX($AI$2:$AI$1001,MATCH(ROWS($AG$2:AG456),$AG$2:$AG$1001,0),0), INDEX($AN$1004:$BO$1004,1,MATCH(COLUMNS($AN$1006:BI1006),$AN$1006:$BO$1006,0)))),"Fix")))</f>
        <v>0</v>
      </c>
      <c r="X456" s="4">
        <f>IF(OR(INDEX($AH$2:$AH$1001,MATCH(ROWS($AG$2:AG456),$AG$2:$AG$1001,0),1)&gt;=100000,INDEX($AN$1005:$BO$1005,1,MATCH(COLUMNS($AN$1006:BJ1006),$AN$1006:$BO$1006,0))&gt;=100000), " ",IF(INDEX($AN$2:$BO$1001,MATCH(ROWS($AG$2:AG456),$AG$2:$AG$1001,0),MATCH(COLUMNS($AN$1006:BJ1006),$AN$1006:$BO$1006,0)), HYPERLINK("#",""), HYPERLINK(CONCATENATE("#Metadata!", ADDRESS(INDEX($AI$2:$AI$1001,MATCH(ROWS($AG$2:AG456),$AG$2:$AG$1001,0),0), INDEX($AN$1004:$BO$1004,1,MATCH(COLUMNS($AN$1006:BJ1006),$AN$1006:$BO$1006,0)))),"Fix")))</f>
        <v>0</v>
      </c>
      <c r="Y456" s="4">
        <f>IF(OR(INDEX($AH$2:$AH$1001,MATCH(ROWS($AG$2:AG456),$AG$2:$AG$1001,0),1)&gt;=100000,INDEX($AN$1005:$BO$1005,1,MATCH(COLUMNS($AN$1006:BK1006),$AN$1006:$BO$1006,0))&gt;=100000), " ",IF(INDEX($AN$2:$BO$1001,MATCH(ROWS($AG$2:AG456),$AG$2:$AG$1001,0),MATCH(COLUMNS($AN$1006:BK1006),$AN$1006:$BO$1006,0)), HYPERLINK("#",""), HYPERLINK(CONCATENATE("#Metadata!", ADDRESS(INDEX($AI$2:$AI$1001,MATCH(ROWS($AG$2:AG456),$AG$2:$AG$1001,0),0), INDEX($AN$1004:$BO$1004,1,MATCH(COLUMNS($AN$1006:BK1006),$AN$1006:$BO$1006,0)))),"Fix")))</f>
        <v>0</v>
      </c>
      <c r="Z456" s="4">
        <f>IF(OR(INDEX($AH$2:$AH$1001,MATCH(ROWS($AG$2:AG456),$AG$2:$AG$1001,0),1)&gt;=100000,INDEX($AN$1005:$BO$1005,1,MATCH(COLUMNS($AN$1006:BL1006),$AN$1006:$BO$1006,0))&gt;=100000), " ",IF(INDEX($AN$2:$BO$1001,MATCH(ROWS($AG$2:AG456),$AG$2:$AG$1001,0),MATCH(COLUMNS($AN$1006:BL1006),$AN$1006:$BO$1006,0)), HYPERLINK("#",""), HYPERLINK(CONCATENATE("#Metadata!", ADDRESS(INDEX($AI$2:$AI$1001,MATCH(ROWS($AG$2:AG456),$AG$2:$AG$1001,0),0), INDEX($AN$1004:$BO$1004,1,MATCH(COLUMNS($AN$1006:BL1006),$AN$1006:$BO$1006,0)))),"Fix")))</f>
        <v>0</v>
      </c>
      <c r="AA456" s="4">
        <f>IF(OR(INDEX($AH$2:$AH$1001,MATCH(ROWS($AG$2:AG456),$AG$2:$AG$1001,0),1)&gt;=100000,INDEX($AN$1005:$BO$1005,1,MATCH(COLUMNS($AN$1006:BM1006),$AN$1006:$BO$1006,0))&gt;=100000), " ",IF(INDEX($AN$2:$BO$1001,MATCH(ROWS($AG$2:AG456),$AG$2:$AG$1001,0),MATCH(COLUMNS($AN$1006:BM1006),$AN$1006:$BO$1006,0)), HYPERLINK("#",""), HYPERLINK(CONCATENATE("#Metadata!", ADDRESS(INDEX($AI$2:$AI$1001,MATCH(ROWS($AG$2:AG456),$AG$2:$AG$1001,0),0), INDEX($AN$1004:$BO$1004,1,MATCH(COLUMNS($AN$1006:BM1006),$AN$1006:$BO$1006,0)))),"Fix")))</f>
        <v>0</v>
      </c>
      <c r="AB456" s="4">
        <f>IF(OR(INDEX($AH$2:$AH$1001,MATCH(ROWS($AG$2:AG456),$AG$2:$AG$1001,0),1)&gt;=100000,INDEX($AN$1005:$BO$1005,1,MATCH(COLUMNS($AN$1006:BN1006),$AN$1006:$BO$1006,0))&gt;=100000), " ",IF(INDEX($AN$2:$BO$1001,MATCH(ROWS($AG$2:AG456),$AG$2:$AG$1001,0),MATCH(COLUMNS($AN$1006:BN1006),$AN$1006:$BO$1006,0)), HYPERLINK("#",""), HYPERLINK(CONCATENATE("#Metadata!", ADDRESS(INDEX($AI$2:$AI$1001,MATCH(ROWS($AG$2:AG456),$AG$2:$AG$1001,0),0), INDEX($AN$1004:$BO$1004,1,MATCH(COLUMNS($AN$1006:BN1006),$AN$1006:$BO$1006,0)))),"Fix")))</f>
        <v>0</v>
      </c>
      <c r="AC456" s="4">
        <f>IF(OR(INDEX($AH$2:$AH$1001,MATCH(ROWS($AG$2:AG456),$AG$2:$AG$1001,0),1)&gt;=100000,INDEX($AN$1005:$BO$1005,1,MATCH(COLUMNS($AN$1006:BO1006),$AN$1006:$BO$1006,0))&gt;=100000), " ",IF(INDEX($AN$2:$BO$1001,MATCH(ROWS($AG$2:AG456),$AG$2:$AG$1001,0),MATCH(COLUMNS($AN$1006:BO1006),$AN$1006:$BO$1006,0)), HYPERLINK("#",""), HYPERLINK(CONCATENATE("#Metadata!", ADDRESS(INDEX($AI$2:$AI$1001,MATCH(ROWS($AG$2:AG456),$AG$2:$AG$1001,0),0), INDEX($AN$1004:$BO$1004,1,MATCH(COLUMNS($AN$1006:BO1006),$AN$1006:$BO$1006,0)))),"Fix")))</f>
        <v>0</v>
      </c>
      <c r="AG456">
        <v>0</v>
      </c>
      <c r="AH456">
        <v>0</v>
      </c>
      <c r="AI456">
        <v>0</v>
      </c>
      <c r="AJ456">
        <f>IF(AK456,TRUE,AND(AN456:BO456))</f>
        <v>0</v>
      </c>
      <c r="AK456">
        <f>COUNTBLANK(Metadata!B456:AC456)=COLUMNS(Metadata!B456:AC456)</f>
        <v>0</v>
      </c>
      <c r="AL456">
        <v>0</v>
      </c>
      <c r="AN456">
        <f>AND(IF(Metadata!B456="",FALSE,TRUE),COUNTIF(Metadata!B:B, Metadata!B456) = 1,NOT(ISERROR(SUMPRODUCT(SEARCH(MID(Metadata!B456,ROW(INDIRECT("1:"&amp;LEN(Metadata!B456))), 1),"0123456789abcdefghijklmnopqrstuvwxyzABCDEFGHIJKLMNOPQRSTUVWXYZ.")))))</f>
        <v>0</v>
      </c>
      <c r="AO456">
        <f>IF(Metadata!C456="",FALSE,TRUE)</f>
        <v>0</v>
      </c>
      <c r="AP456">
        <f>IF(Metadata!D456="",FALSE,TRUE)</f>
        <v>0</v>
      </c>
      <c r="AQ456">
        <f>OR(AND(IF(Metadata!E456="",FALSE,TRUE),OR(exact(Metadata!E456,"not collected"),exact(Metadata!E456,"not provided"),exact(Metadata!E456,"restricted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R456">
        <f>IF(Metadata!F456="",FALSE,TRUE)</f>
        <v>0</v>
      </c>
      <c r="AS456">
        <f>OR(AND(IF(Metadata!G456="",FALSE,TRUE),OR(exact(Metadata!G456,"not collected"),exact(Metadata!G456,"not provided"))),AND(IF(Metadata!G456="",FALSE,TRUE),OR(exact(Metadata!G456,"TRUE"),exact(Metadata!G456,"FALSE"))))</f>
        <v>0</v>
      </c>
      <c r="AT456">
        <f>OR(AND(IF(Metadata!H456="",FALSE,TRUE),OR(exact(Metadata!H456,"not collected"),exact(Metadata!H456,"not provided"),exact(Metadata!H456,"restricted access"))),AND(IF(Metadata!H456="",FALSE,ISNUMBER(VALUE(Metadata!H456))),Metadata!H456&gt;=-413.0))</f>
        <v>0</v>
      </c>
      <c r="AU456">
        <f>AND(IF(Metadata!I456="",FALSE,TRUE),exact(Metadata!I456,"meters"))</f>
        <v>0</v>
      </c>
      <c r="AV456">
        <f>AND(IF(Metadata!J456="",FALSE,TRUE),OR(exact(Metadata!J456,"Host-associated"),exact(Metadata!J456,"Free-living")))</f>
        <v>0</v>
      </c>
      <c r="AW456">
        <f>AND(IF(Metadata!K456="",FALSE,TRUE),OR(exact(Metadata!K456,"Animal"),exact(Metadata!K456,"Fungus"),exact(Metadata!K456,"Plant"),exact(Metadata!K456,"Saline"),exact(Metadata!K456,"Non-saline")))</f>
        <v>0</v>
      </c>
      <c r="AX456">
        <f>AND(IF(Metadata!L456="",FALSE,TRUE),OR(exact(Metadata!L456,"Plant secretion"),exact(Metadata!L456,"Plant rhizosphere"),exact(Metadata!L456,"Plant surface"),exact(Metadata!L456,"Plant corpus"),exact(Metadata!L456,"Fungus surface"),exact(Metadata!L456,"Fungus corpus"),exact(Metadata!L456,"Animal surface"),exact(Metadata!L456,"Animal proximal gut"),exact(Metadata!L456,"Animal corpus"),exact(Metadata!L456,"Animal distal gut"),exact(Metadata!L456,"Animal secretion"),exact(Metadata!L456,"Sub-surface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Y456">
        <f>IF(Metadata!M456="",FALSE,TRUE)</f>
        <v>0</v>
      </c>
      <c r="AZ456">
        <f>IF(Metadata!N456="",FALSE,TRUE)</f>
        <v>0</v>
      </c>
      <c r="BA456">
        <f>IF(Metadata!O456="",FALSE,TRUE)</f>
        <v>0</v>
      </c>
      <c r="BB456">
        <f>OR(AND(IF(Metadata!P456="",FALSE,TRUE),OR(exact(Metadata!P456,"not collected"),exact(Metadata!P456,"not provided"),exact(Metadata!P456,"restricted access"))),AND(IF(Metadata!P456="",FALSE,TRUE),OR(exact(Metadata!P456,"air"),exact(Metadata!P456,"built environment"),exact(Metadata!P456,"host-associated"),exact(Metadata!P456,"human-associated"),exact(Metadata!P456,"human-skin"),exact(Metadata!P456,"human-oral"),exact(Metadata!P456,"human-gut"),exact(Metadata!P456,"human-vaginal"),exact(Metadata!P456,"microbial mat/biofilm"),exact(Metadata!P456,"misc environment"),exact(Metadata!P456,"plant-associated"),exact(Metadata!P456,"sediment"),exact(Metadata!P456,"soil"),exact(Metadata!P456,"wastewater/sludge"),exact(Metadata!P456,"water"))))</f>
        <v>0</v>
      </c>
      <c r="BC456">
        <f>IF(Metadata!Q456="",FALSE,TRUE)</f>
        <v>0</v>
      </c>
      <c r="BD456">
        <f>IF(Metadata!R456="",FALSE,TRUE)</f>
        <v>0</v>
      </c>
      <c r="BE456">
        <f>OR(AND(IF(Metadata!S456="",FALSE,TRUE),OR(exact(Metadata!S456,"not collected"),exact(Metadata!S456,"not provided"),exact(Metadata!S456,"restricted access"))),AND(IF(Metadata!S456="",FALSE,ISNUMBER(VALUE(Metadata!S456))),Metadata!S456&gt;=-90.00,Metadata!S456&lt;=90.00))</f>
        <v>0</v>
      </c>
      <c r="BF456">
        <f>AND(IF(Metadata!T456="",FALSE,TRUE),exact(Metadata!T456,"Decimal degrees"))</f>
        <v>0</v>
      </c>
      <c r="BG456">
        <f>OR(AND(IF(Metadata!U456="",FALSE,TRUE),OR(exact(Metadata!U456,"not collected"),exact(Metadata!U456,"not provided"),exact(Metadata!U456,"restricted access"))),AND(IF(Metadata!U456="",FALSE,ISNUMBER(VALUE(Metadata!U456))),Metadata!U456&gt;=-180.00,Metadata!U456&lt;=180.00))</f>
        <v>0</v>
      </c>
      <c r="BH456">
        <f>AND(IF(Metadata!V456="",FALSE,TRUE),exact(Metadata!V456,"Decimal degrees"))</f>
        <v>0</v>
      </c>
      <c r="BI456">
        <f>IF(Metadata!W456="",FALSE,TRUE)</f>
        <v>0</v>
      </c>
      <c r="BJ456">
        <f>OR(AND(IF(Metadata!X456="",FALSE,TRUE),OR(exact(Metadata!X456,"not collected"),exact(Metadata!X456,"not provided"),exact(Metadata!X456,"restricted access"))),AND(IF(Metadata!X456="",FALSE,TRUE),OR(exact(Metadata!X456,"TRUE"),exact(Metadata!X456,"FALSE"))))</f>
        <v>0</v>
      </c>
      <c r="BK456">
        <f>AND(IF(Metadata!Y456="",FALSE,TRUE),exact(Metadata!Y456,"other"))</f>
        <v>0</v>
      </c>
      <c r="BL456">
        <f>IF(Metadata!Z456="",FALSE,TRUE)</f>
        <v>0</v>
      </c>
      <c r="BM456">
        <f>OR(AND(IF(Metadata!AA456="",FALSE,TRUE),OR(exact(Metadata!AA456,"not collected"),exact(Metadata!AA456,"not provided"))),AND(IF(Metadata!AA456="",FALSE,IF(ISERROR(INT(Metadata!AA456)),FALSE,INT(Metadata!AA456)=Metadata!AA456)),Metadata!AA456&gt;0))</f>
        <v>0</v>
      </c>
      <c r="BN456">
        <f>AND(IF(Metadata!AB456="",FALSE,TRUE),exact(Metadata!AB456,"Not applicable"))</f>
        <v>0</v>
      </c>
      <c r="BO456">
        <f>IF(Metadata!AC456="",FALSE,TRUE)</f>
        <v>0</v>
      </c>
    </row>
    <row r="457" spans="1:67">
      <c r="A457" s="5">
        <f>IF(B457=" "," ",HYPERLINK(CONCATENATE("#metadata!",ADDRESS(INDEX($AI$2:$AI$1001,MATCH(ROWS($AG$2:AG457),$AG$2:$AG$1001,0),0),1)),INDEX($AL$2:$AL$1001,MATCH(ROWS($AG$2:AG457),$AG$2:$AG$1001,0),0)))</f>
        <v>0</v>
      </c>
      <c r="B457" s="4">
        <f>IF(OR(INDEX($AH$2:$AH$1001,MATCH(ROWS($AG$2:AG457),$AG$2:$AG$1001,0),1)&gt;=100000,INDEX($AN$1005:$BO$1005,1,MATCH(COLUMNS($AN$1006:AN1006),$AN$1006:$BO$1006,0))&gt;=100000), " ",IF(INDEX($AN$2:$BO$1001,MATCH(ROWS($AG$2:AG457),$AG$2:$AG$1001,0),MATCH(COLUMNS($AN$1006:AN1006),$AN$1006:$BO$1006,0)), HYPERLINK("#",""), HYPERLINK(CONCATENATE("#Metadata!", ADDRESS(INDEX($AI$2:$AI$1001,MATCH(ROWS($AG$2:AG457),$AG$2:$AG$1001,0),0), INDEX($AN$1004:$BO$1004,1,MATCH(COLUMNS($AN$1006:AN1006),$AN$1006:$BO$1006,0)))),"Fix")))</f>
        <v>0</v>
      </c>
      <c r="C457" s="4">
        <f>IF(OR(INDEX($AH$2:$AH$1001,MATCH(ROWS($AG$2:AG457),$AG$2:$AG$1001,0),1)&gt;=100000,INDEX($AN$1005:$BO$1005,1,MATCH(COLUMNS($AN$1006:AO1006),$AN$1006:$BO$1006,0))&gt;=100000), " ",IF(INDEX($AN$2:$BO$1001,MATCH(ROWS($AG$2:AG457),$AG$2:$AG$1001,0),MATCH(COLUMNS($AN$1006:AO1006),$AN$1006:$BO$1006,0)), HYPERLINK("#",""), HYPERLINK(CONCATENATE("#Metadata!", ADDRESS(INDEX($AI$2:$AI$1001,MATCH(ROWS($AG$2:AG457),$AG$2:$AG$1001,0),0), INDEX($AN$1004:$BO$1004,1,MATCH(COLUMNS($AN$1006:AO1006),$AN$1006:$BO$1006,0)))),"Fix")))</f>
        <v>0</v>
      </c>
      <c r="D457" s="4">
        <f>IF(OR(INDEX($AH$2:$AH$1001,MATCH(ROWS($AG$2:AG457),$AG$2:$AG$1001,0),1)&gt;=100000,INDEX($AN$1005:$BO$1005,1,MATCH(COLUMNS($AN$1006:AP1006),$AN$1006:$BO$1006,0))&gt;=100000), " ",IF(INDEX($AN$2:$BO$1001,MATCH(ROWS($AG$2:AG457),$AG$2:$AG$1001,0),MATCH(COLUMNS($AN$1006:AP1006),$AN$1006:$BO$1006,0)), HYPERLINK("#",""), HYPERLINK(CONCATENATE("#Metadata!", ADDRESS(INDEX($AI$2:$AI$1001,MATCH(ROWS($AG$2:AG457),$AG$2:$AG$1001,0),0), INDEX($AN$1004:$BO$1004,1,MATCH(COLUMNS($AN$1006:AP1006),$AN$1006:$BO$1006,0)))),"Fix")))</f>
        <v>0</v>
      </c>
      <c r="E457" s="4">
        <f>IF(OR(INDEX($AH$2:$AH$1001,MATCH(ROWS($AG$2:AG457),$AG$2:$AG$1001,0),1)&gt;=100000,INDEX($AN$1005:$BO$1005,1,MATCH(COLUMNS($AN$1006:AQ1006),$AN$1006:$BO$1006,0))&gt;=100000), " ",IF(INDEX($AN$2:$BO$1001,MATCH(ROWS($AG$2:AG457),$AG$2:$AG$1001,0),MATCH(COLUMNS($AN$1006:AQ1006),$AN$1006:$BO$1006,0)), HYPERLINK("#",""), HYPERLINK(CONCATENATE("#Metadata!", ADDRESS(INDEX($AI$2:$AI$1001,MATCH(ROWS($AG$2:AG457),$AG$2:$AG$1001,0),0), INDEX($AN$1004:$BO$1004,1,MATCH(COLUMNS($AN$1006:AQ1006),$AN$1006:$BO$1006,0)))),"Fix")))</f>
        <v>0</v>
      </c>
      <c r="F457" s="4">
        <f>IF(OR(INDEX($AH$2:$AH$1001,MATCH(ROWS($AG$2:AG457),$AG$2:$AG$1001,0),1)&gt;=100000,INDEX($AN$1005:$BO$1005,1,MATCH(COLUMNS($AN$1006:AR1006),$AN$1006:$BO$1006,0))&gt;=100000), " ",IF(INDEX($AN$2:$BO$1001,MATCH(ROWS($AG$2:AG457),$AG$2:$AG$1001,0),MATCH(COLUMNS($AN$1006:AR1006),$AN$1006:$BO$1006,0)), HYPERLINK("#",""), HYPERLINK(CONCATENATE("#Metadata!", ADDRESS(INDEX($AI$2:$AI$1001,MATCH(ROWS($AG$2:AG457),$AG$2:$AG$1001,0),0), INDEX($AN$1004:$BO$1004,1,MATCH(COLUMNS($AN$1006:AR1006),$AN$1006:$BO$1006,0)))),"Fix")))</f>
        <v>0</v>
      </c>
      <c r="G457" s="4">
        <f>IF(OR(INDEX($AH$2:$AH$1001,MATCH(ROWS($AG$2:AG457),$AG$2:$AG$1001,0),1)&gt;=100000,INDEX($AN$1005:$BO$1005,1,MATCH(COLUMNS($AN$1006:AS1006),$AN$1006:$BO$1006,0))&gt;=100000), " ",IF(INDEX($AN$2:$BO$1001,MATCH(ROWS($AG$2:AG457),$AG$2:$AG$1001,0),MATCH(COLUMNS($AN$1006:AS1006),$AN$1006:$BO$1006,0)), HYPERLINK("#",""), HYPERLINK(CONCATENATE("#Metadata!", ADDRESS(INDEX($AI$2:$AI$1001,MATCH(ROWS($AG$2:AG457),$AG$2:$AG$1001,0),0), INDEX($AN$1004:$BO$1004,1,MATCH(COLUMNS($AN$1006:AS1006),$AN$1006:$BO$1006,0)))),"Fix")))</f>
        <v>0</v>
      </c>
      <c r="H457" s="4">
        <f>IF(OR(INDEX($AH$2:$AH$1001,MATCH(ROWS($AG$2:AG457),$AG$2:$AG$1001,0),1)&gt;=100000,INDEX($AN$1005:$BO$1005,1,MATCH(COLUMNS($AN$1006:AT1006),$AN$1006:$BO$1006,0))&gt;=100000), " ",IF(INDEX($AN$2:$BO$1001,MATCH(ROWS($AG$2:AG457),$AG$2:$AG$1001,0),MATCH(COLUMNS($AN$1006:AT1006),$AN$1006:$BO$1006,0)), HYPERLINK("#",""), HYPERLINK(CONCATENATE("#Metadata!", ADDRESS(INDEX($AI$2:$AI$1001,MATCH(ROWS($AG$2:AG457),$AG$2:$AG$1001,0),0), INDEX($AN$1004:$BO$1004,1,MATCH(COLUMNS($AN$1006:AT1006),$AN$1006:$BO$1006,0)))),"Fix")))</f>
        <v>0</v>
      </c>
      <c r="I457" s="4">
        <f>IF(OR(INDEX($AH$2:$AH$1001,MATCH(ROWS($AG$2:AG457),$AG$2:$AG$1001,0),1)&gt;=100000,INDEX($AN$1005:$BO$1005,1,MATCH(COLUMNS($AN$1006:AU1006),$AN$1006:$BO$1006,0))&gt;=100000), " ",IF(INDEX($AN$2:$BO$1001,MATCH(ROWS($AG$2:AG457),$AG$2:$AG$1001,0),MATCH(COLUMNS($AN$1006:AU1006),$AN$1006:$BO$1006,0)), HYPERLINK("#",""), HYPERLINK(CONCATENATE("#Metadata!", ADDRESS(INDEX($AI$2:$AI$1001,MATCH(ROWS($AG$2:AG457),$AG$2:$AG$1001,0),0), INDEX($AN$1004:$BO$1004,1,MATCH(COLUMNS($AN$1006:AU1006),$AN$1006:$BO$1006,0)))),"Fix")))</f>
        <v>0</v>
      </c>
      <c r="J457" s="4">
        <f>IF(OR(INDEX($AH$2:$AH$1001,MATCH(ROWS($AG$2:AG457),$AG$2:$AG$1001,0),1)&gt;=100000,INDEX($AN$1005:$BO$1005,1,MATCH(COLUMNS($AN$1006:AV1006),$AN$1006:$BO$1006,0))&gt;=100000), " ",IF(INDEX($AN$2:$BO$1001,MATCH(ROWS($AG$2:AG457),$AG$2:$AG$1001,0),MATCH(COLUMNS($AN$1006:AV1006),$AN$1006:$BO$1006,0)), HYPERLINK("#",""), HYPERLINK(CONCATENATE("#Metadata!", ADDRESS(INDEX($AI$2:$AI$1001,MATCH(ROWS($AG$2:AG457),$AG$2:$AG$1001,0),0), INDEX($AN$1004:$BO$1004,1,MATCH(COLUMNS($AN$1006:AV1006),$AN$1006:$BO$1006,0)))),"Fix")))</f>
        <v>0</v>
      </c>
      <c r="K457" s="4">
        <f>IF(OR(INDEX($AH$2:$AH$1001,MATCH(ROWS($AG$2:AG457),$AG$2:$AG$1001,0),1)&gt;=100000,INDEX($AN$1005:$BO$1005,1,MATCH(COLUMNS($AN$1006:AW1006),$AN$1006:$BO$1006,0))&gt;=100000), " ",IF(INDEX($AN$2:$BO$1001,MATCH(ROWS($AG$2:AG457),$AG$2:$AG$1001,0),MATCH(COLUMNS($AN$1006:AW1006),$AN$1006:$BO$1006,0)), HYPERLINK("#",""), HYPERLINK(CONCATENATE("#Metadata!", ADDRESS(INDEX($AI$2:$AI$1001,MATCH(ROWS($AG$2:AG457),$AG$2:$AG$1001,0),0), INDEX($AN$1004:$BO$1004,1,MATCH(COLUMNS($AN$1006:AW1006),$AN$1006:$BO$1006,0)))),"Fix")))</f>
        <v>0</v>
      </c>
      <c r="L457" s="4">
        <f>IF(OR(INDEX($AH$2:$AH$1001,MATCH(ROWS($AG$2:AG457),$AG$2:$AG$1001,0),1)&gt;=100000,INDEX($AN$1005:$BO$1005,1,MATCH(COLUMNS($AN$1006:AX1006),$AN$1006:$BO$1006,0))&gt;=100000), " ",IF(INDEX($AN$2:$BO$1001,MATCH(ROWS($AG$2:AG457),$AG$2:$AG$1001,0),MATCH(COLUMNS($AN$1006:AX1006),$AN$1006:$BO$1006,0)), HYPERLINK("#",""), HYPERLINK(CONCATENATE("#Metadata!", ADDRESS(INDEX($AI$2:$AI$1001,MATCH(ROWS($AG$2:AG457),$AG$2:$AG$1001,0),0), INDEX($AN$1004:$BO$1004,1,MATCH(COLUMNS($AN$1006:AX1006),$AN$1006:$BO$1006,0)))),"Fix")))</f>
        <v>0</v>
      </c>
      <c r="M457" s="4">
        <f>IF(OR(INDEX($AH$2:$AH$1001,MATCH(ROWS($AG$2:AG457),$AG$2:$AG$1001,0),1)&gt;=100000,INDEX($AN$1005:$BO$1005,1,MATCH(COLUMNS($AN$1006:AY1006),$AN$1006:$BO$1006,0))&gt;=100000), " ",IF(INDEX($AN$2:$BO$1001,MATCH(ROWS($AG$2:AG457),$AG$2:$AG$1001,0),MATCH(COLUMNS($AN$1006:AY1006),$AN$1006:$BO$1006,0)), HYPERLINK("#",""), HYPERLINK(CONCATENATE("#Metadata!", ADDRESS(INDEX($AI$2:$AI$1001,MATCH(ROWS($AG$2:AG457),$AG$2:$AG$1001,0),0), INDEX($AN$1004:$BO$1004,1,MATCH(COLUMNS($AN$1006:AY1006),$AN$1006:$BO$1006,0)))),"Fix")))</f>
        <v>0</v>
      </c>
      <c r="N457" s="4">
        <f>IF(OR(INDEX($AH$2:$AH$1001,MATCH(ROWS($AG$2:AG457),$AG$2:$AG$1001,0),1)&gt;=100000,INDEX($AN$1005:$BO$1005,1,MATCH(COLUMNS($AN$1006:AZ1006),$AN$1006:$BO$1006,0))&gt;=100000), " ",IF(INDEX($AN$2:$BO$1001,MATCH(ROWS($AG$2:AG457),$AG$2:$AG$1001,0),MATCH(COLUMNS($AN$1006:AZ1006),$AN$1006:$BO$1006,0)), HYPERLINK("#",""), HYPERLINK(CONCATENATE("#Metadata!", ADDRESS(INDEX($AI$2:$AI$1001,MATCH(ROWS($AG$2:AG457),$AG$2:$AG$1001,0),0), INDEX($AN$1004:$BO$1004,1,MATCH(COLUMNS($AN$1006:AZ1006),$AN$1006:$BO$1006,0)))),"Fix")))</f>
        <v>0</v>
      </c>
      <c r="O457" s="4">
        <f>IF(OR(INDEX($AH$2:$AH$1001,MATCH(ROWS($AG$2:AG457),$AG$2:$AG$1001,0),1)&gt;=100000,INDEX($AN$1005:$BO$1005,1,MATCH(COLUMNS($AN$1006:BA1006),$AN$1006:$BO$1006,0))&gt;=100000), " ",IF(INDEX($AN$2:$BO$1001,MATCH(ROWS($AG$2:AG457),$AG$2:$AG$1001,0),MATCH(COLUMNS($AN$1006:BA1006),$AN$1006:$BO$1006,0)), HYPERLINK("#",""), HYPERLINK(CONCATENATE("#Metadata!", ADDRESS(INDEX($AI$2:$AI$1001,MATCH(ROWS($AG$2:AG457),$AG$2:$AG$1001,0),0), INDEX($AN$1004:$BO$1004,1,MATCH(COLUMNS($AN$1006:BA1006),$AN$1006:$BO$1006,0)))),"Fix")))</f>
        <v>0</v>
      </c>
      <c r="P457" s="4">
        <f>IF(OR(INDEX($AH$2:$AH$1001,MATCH(ROWS($AG$2:AG457),$AG$2:$AG$1001,0),1)&gt;=100000,INDEX($AN$1005:$BO$1005,1,MATCH(COLUMNS($AN$1006:BB1006),$AN$1006:$BO$1006,0))&gt;=100000), " ",IF(INDEX($AN$2:$BO$1001,MATCH(ROWS($AG$2:AG457),$AG$2:$AG$1001,0),MATCH(COLUMNS($AN$1006:BB1006),$AN$1006:$BO$1006,0)), HYPERLINK("#",""), HYPERLINK(CONCATENATE("#Metadata!", ADDRESS(INDEX($AI$2:$AI$1001,MATCH(ROWS($AG$2:AG457),$AG$2:$AG$1001,0),0), INDEX($AN$1004:$BO$1004,1,MATCH(COLUMNS($AN$1006:BB1006),$AN$1006:$BO$1006,0)))),"Fix")))</f>
        <v>0</v>
      </c>
      <c r="Q457" s="4">
        <f>IF(OR(INDEX($AH$2:$AH$1001,MATCH(ROWS($AG$2:AG457),$AG$2:$AG$1001,0),1)&gt;=100000,INDEX($AN$1005:$BO$1005,1,MATCH(COLUMNS($AN$1006:BC1006),$AN$1006:$BO$1006,0))&gt;=100000), " ",IF(INDEX($AN$2:$BO$1001,MATCH(ROWS($AG$2:AG457),$AG$2:$AG$1001,0),MATCH(COLUMNS($AN$1006:BC1006),$AN$1006:$BO$1006,0)), HYPERLINK("#",""), HYPERLINK(CONCATENATE("#Metadata!", ADDRESS(INDEX($AI$2:$AI$1001,MATCH(ROWS($AG$2:AG457),$AG$2:$AG$1001,0),0), INDEX($AN$1004:$BO$1004,1,MATCH(COLUMNS($AN$1006:BC1006),$AN$1006:$BO$1006,0)))),"Fix")))</f>
        <v>0</v>
      </c>
      <c r="R457" s="4">
        <f>IF(OR(INDEX($AH$2:$AH$1001,MATCH(ROWS($AG$2:AG457),$AG$2:$AG$1001,0),1)&gt;=100000,INDEX($AN$1005:$BO$1005,1,MATCH(COLUMNS($AN$1006:BD1006),$AN$1006:$BO$1006,0))&gt;=100000), " ",IF(INDEX($AN$2:$BO$1001,MATCH(ROWS($AG$2:AG457),$AG$2:$AG$1001,0),MATCH(COLUMNS($AN$1006:BD1006),$AN$1006:$BO$1006,0)), HYPERLINK("#",""), HYPERLINK(CONCATENATE("#Metadata!", ADDRESS(INDEX($AI$2:$AI$1001,MATCH(ROWS($AG$2:AG457),$AG$2:$AG$1001,0),0), INDEX($AN$1004:$BO$1004,1,MATCH(COLUMNS($AN$1006:BD1006),$AN$1006:$BO$1006,0)))),"Fix")))</f>
        <v>0</v>
      </c>
      <c r="S457" s="4">
        <f>IF(OR(INDEX($AH$2:$AH$1001,MATCH(ROWS($AG$2:AG457),$AG$2:$AG$1001,0),1)&gt;=100000,INDEX($AN$1005:$BO$1005,1,MATCH(COLUMNS($AN$1006:BE1006),$AN$1006:$BO$1006,0))&gt;=100000), " ",IF(INDEX($AN$2:$BO$1001,MATCH(ROWS($AG$2:AG457),$AG$2:$AG$1001,0),MATCH(COLUMNS($AN$1006:BE1006),$AN$1006:$BO$1006,0)), HYPERLINK("#",""), HYPERLINK(CONCATENATE("#Metadata!", ADDRESS(INDEX($AI$2:$AI$1001,MATCH(ROWS($AG$2:AG457),$AG$2:$AG$1001,0),0), INDEX($AN$1004:$BO$1004,1,MATCH(COLUMNS($AN$1006:BE1006),$AN$1006:$BO$1006,0)))),"Fix")))</f>
        <v>0</v>
      </c>
      <c r="T457" s="4">
        <f>IF(OR(INDEX($AH$2:$AH$1001,MATCH(ROWS($AG$2:AG457),$AG$2:$AG$1001,0),1)&gt;=100000,INDEX($AN$1005:$BO$1005,1,MATCH(COLUMNS($AN$1006:BF1006),$AN$1006:$BO$1006,0))&gt;=100000), " ",IF(INDEX($AN$2:$BO$1001,MATCH(ROWS($AG$2:AG457),$AG$2:$AG$1001,0),MATCH(COLUMNS($AN$1006:BF1006),$AN$1006:$BO$1006,0)), HYPERLINK("#",""), HYPERLINK(CONCATENATE("#Metadata!", ADDRESS(INDEX($AI$2:$AI$1001,MATCH(ROWS($AG$2:AG457),$AG$2:$AG$1001,0),0), INDEX($AN$1004:$BO$1004,1,MATCH(COLUMNS($AN$1006:BF1006),$AN$1006:$BO$1006,0)))),"Fix")))</f>
        <v>0</v>
      </c>
      <c r="U457" s="4">
        <f>IF(OR(INDEX($AH$2:$AH$1001,MATCH(ROWS($AG$2:AG457),$AG$2:$AG$1001,0),1)&gt;=100000,INDEX($AN$1005:$BO$1005,1,MATCH(COLUMNS($AN$1006:BG1006),$AN$1006:$BO$1006,0))&gt;=100000), " ",IF(INDEX($AN$2:$BO$1001,MATCH(ROWS($AG$2:AG457),$AG$2:$AG$1001,0),MATCH(COLUMNS($AN$1006:BG1006),$AN$1006:$BO$1006,0)), HYPERLINK("#",""), HYPERLINK(CONCATENATE("#Metadata!", ADDRESS(INDEX($AI$2:$AI$1001,MATCH(ROWS($AG$2:AG457),$AG$2:$AG$1001,0),0), INDEX($AN$1004:$BO$1004,1,MATCH(COLUMNS($AN$1006:BG1006),$AN$1006:$BO$1006,0)))),"Fix")))</f>
        <v>0</v>
      </c>
      <c r="V457" s="4">
        <f>IF(OR(INDEX($AH$2:$AH$1001,MATCH(ROWS($AG$2:AG457),$AG$2:$AG$1001,0),1)&gt;=100000,INDEX($AN$1005:$BO$1005,1,MATCH(COLUMNS($AN$1006:BH1006),$AN$1006:$BO$1006,0))&gt;=100000), " ",IF(INDEX($AN$2:$BO$1001,MATCH(ROWS($AG$2:AG457),$AG$2:$AG$1001,0),MATCH(COLUMNS($AN$1006:BH1006),$AN$1006:$BO$1006,0)), HYPERLINK("#",""), HYPERLINK(CONCATENATE("#Metadata!", ADDRESS(INDEX($AI$2:$AI$1001,MATCH(ROWS($AG$2:AG457),$AG$2:$AG$1001,0),0), INDEX($AN$1004:$BO$1004,1,MATCH(COLUMNS($AN$1006:BH1006),$AN$1006:$BO$1006,0)))),"Fix")))</f>
        <v>0</v>
      </c>
      <c r="W457" s="4">
        <f>IF(OR(INDEX($AH$2:$AH$1001,MATCH(ROWS($AG$2:AG457),$AG$2:$AG$1001,0),1)&gt;=100000,INDEX($AN$1005:$BO$1005,1,MATCH(COLUMNS($AN$1006:BI1006),$AN$1006:$BO$1006,0))&gt;=100000), " ",IF(INDEX($AN$2:$BO$1001,MATCH(ROWS($AG$2:AG457),$AG$2:$AG$1001,0),MATCH(COLUMNS($AN$1006:BI1006),$AN$1006:$BO$1006,0)), HYPERLINK("#",""), HYPERLINK(CONCATENATE("#Metadata!", ADDRESS(INDEX($AI$2:$AI$1001,MATCH(ROWS($AG$2:AG457),$AG$2:$AG$1001,0),0), INDEX($AN$1004:$BO$1004,1,MATCH(COLUMNS($AN$1006:BI1006),$AN$1006:$BO$1006,0)))),"Fix")))</f>
        <v>0</v>
      </c>
      <c r="X457" s="4">
        <f>IF(OR(INDEX($AH$2:$AH$1001,MATCH(ROWS($AG$2:AG457),$AG$2:$AG$1001,0),1)&gt;=100000,INDEX($AN$1005:$BO$1005,1,MATCH(COLUMNS($AN$1006:BJ1006),$AN$1006:$BO$1006,0))&gt;=100000), " ",IF(INDEX($AN$2:$BO$1001,MATCH(ROWS($AG$2:AG457),$AG$2:$AG$1001,0),MATCH(COLUMNS($AN$1006:BJ1006),$AN$1006:$BO$1006,0)), HYPERLINK("#",""), HYPERLINK(CONCATENATE("#Metadata!", ADDRESS(INDEX($AI$2:$AI$1001,MATCH(ROWS($AG$2:AG457),$AG$2:$AG$1001,0),0), INDEX($AN$1004:$BO$1004,1,MATCH(COLUMNS($AN$1006:BJ1006),$AN$1006:$BO$1006,0)))),"Fix")))</f>
        <v>0</v>
      </c>
      <c r="Y457" s="4">
        <f>IF(OR(INDEX($AH$2:$AH$1001,MATCH(ROWS($AG$2:AG457),$AG$2:$AG$1001,0),1)&gt;=100000,INDEX($AN$1005:$BO$1005,1,MATCH(COLUMNS($AN$1006:BK1006),$AN$1006:$BO$1006,0))&gt;=100000), " ",IF(INDEX($AN$2:$BO$1001,MATCH(ROWS($AG$2:AG457),$AG$2:$AG$1001,0),MATCH(COLUMNS($AN$1006:BK1006),$AN$1006:$BO$1006,0)), HYPERLINK("#",""), HYPERLINK(CONCATENATE("#Metadata!", ADDRESS(INDEX($AI$2:$AI$1001,MATCH(ROWS($AG$2:AG457),$AG$2:$AG$1001,0),0), INDEX($AN$1004:$BO$1004,1,MATCH(COLUMNS($AN$1006:BK1006),$AN$1006:$BO$1006,0)))),"Fix")))</f>
        <v>0</v>
      </c>
      <c r="Z457" s="4">
        <f>IF(OR(INDEX($AH$2:$AH$1001,MATCH(ROWS($AG$2:AG457),$AG$2:$AG$1001,0),1)&gt;=100000,INDEX($AN$1005:$BO$1005,1,MATCH(COLUMNS($AN$1006:BL1006),$AN$1006:$BO$1006,0))&gt;=100000), " ",IF(INDEX($AN$2:$BO$1001,MATCH(ROWS($AG$2:AG457),$AG$2:$AG$1001,0),MATCH(COLUMNS($AN$1006:BL1006),$AN$1006:$BO$1006,0)), HYPERLINK("#",""), HYPERLINK(CONCATENATE("#Metadata!", ADDRESS(INDEX($AI$2:$AI$1001,MATCH(ROWS($AG$2:AG457),$AG$2:$AG$1001,0),0), INDEX($AN$1004:$BO$1004,1,MATCH(COLUMNS($AN$1006:BL1006),$AN$1006:$BO$1006,0)))),"Fix")))</f>
        <v>0</v>
      </c>
      <c r="AA457" s="4">
        <f>IF(OR(INDEX($AH$2:$AH$1001,MATCH(ROWS($AG$2:AG457),$AG$2:$AG$1001,0),1)&gt;=100000,INDEX($AN$1005:$BO$1005,1,MATCH(COLUMNS($AN$1006:BM1006),$AN$1006:$BO$1006,0))&gt;=100000), " ",IF(INDEX($AN$2:$BO$1001,MATCH(ROWS($AG$2:AG457),$AG$2:$AG$1001,0),MATCH(COLUMNS($AN$1006:BM1006),$AN$1006:$BO$1006,0)), HYPERLINK("#",""), HYPERLINK(CONCATENATE("#Metadata!", ADDRESS(INDEX($AI$2:$AI$1001,MATCH(ROWS($AG$2:AG457),$AG$2:$AG$1001,0),0), INDEX($AN$1004:$BO$1004,1,MATCH(COLUMNS($AN$1006:BM1006),$AN$1006:$BO$1006,0)))),"Fix")))</f>
        <v>0</v>
      </c>
      <c r="AB457" s="4">
        <f>IF(OR(INDEX($AH$2:$AH$1001,MATCH(ROWS($AG$2:AG457),$AG$2:$AG$1001,0),1)&gt;=100000,INDEX($AN$1005:$BO$1005,1,MATCH(COLUMNS($AN$1006:BN1006),$AN$1006:$BO$1006,0))&gt;=100000), " ",IF(INDEX($AN$2:$BO$1001,MATCH(ROWS($AG$2:AG457),$AG$2:$AG$1001,0),MATCH(COLUMNS($AN$1006:BN1006),$AN$1006:$BO$1006,0)), HYPERLINK("#",""), HYPERLINK(CONCATENATE("#Metadata!", ADDRESS(INDEX($AI$2:$AI$1001,MATCH(ROWS($AG$2:AG457),$AG$2:$AG$1001,0),0), INDEX($AN$1004:$BO$1004,1,MATCH(COLUMNS($AN$1006:BN1006),$AN$1006:$BO$1006,0)))),"Fix")))</f>
        <v>0</v>
      </c>
      <c r="AC457" s="4">
        <f>IF(OR(INDEX($AH$2:$AH$1001,MATCH(ROWS($AG$2:AG457),$AG$2:$AG$1001,0),1)&gt;=100000,INDEX($AN$1005:$BO$1005,1,MATCH(COLUMNS($AN$1006:BO1006),$AN$1006:$BO$1006,0))&gt;=100000), " ",IF(INDEX($AN$2:$BO$1001,MATCH(ROWS($AG$2:AG457),$AG$2:$AG$1001,0),MATCH(COLUMNS($AN$1006:BO1006),$AN$1006:$BO$1006,0)), HYPERLINK("#",""), HYPERLINK(CONCATENATE("#Metadata!", ADDRESS(INDEX($AI$2:$AI$1001,MATCH(ROWS($AG$2:AG457),$AG$2:$AG$1001,0),0), INDEX($AN$1004:$BO$1004,1,MATCH(COLUMNS($AN$1006:BO1006),$AN$1006:$BO$1006,0)))),"Fix")))</f>
        <v>0</v>
      </c>
      <c r="AG457">
        <v>0</v>
      </c>
      <c r="AH457">
        <v>0</v>
      </c>
      <c r="AI457">
        <v>0</v>
      </c>
      <c r="AJ457">
        <f>IF(AK457,TRUE,AND(AN457:BO457))</f>
        <v>0</v>
      </c>
      <c r="AK457">
        <f>COUNTBLANK(Metadata!B457:AC457)=COLUMNS(Metadata!B457:AC457)</f>
        <v>0</v>
      </c>
      <c r="AL457">
        <v>0</v>
      </c>
      <c r="AN457">
        <f>AND(IF(Metadata!B457="",FALSE,TRUE),COUNTIF(Metadata!B:B, Metadata!B457) = 1,NOT(ISERROR(SUMPRODUCT(SEARCH(MID(Metadata!B457,ROW(INDIRECT("1:"&amp;LEN(Metadata!B457))), 1),"0123456789abcdefghijklmnopqrstuvwxyzABCDEFGHIJKLMNOPQRSTUVWXYZ.")))))</f>
        <v>0</v>
      </c>
      <c r="AO457">
        <f>IF(Metadata!C457="",FALSE,TRUE)</f>
        <v>0</v>
      </c>
      <c r="AP457">
        <f>IF(Metadata!D457="",FALSE,TRUE)</f>
        <v>0</v>
      </c>
      <c r="AQ457">
        <f>OR(AND(IF(Metadata!E457="",FALSE,TRUE),OR(exact(Metadata!E457,"not collected"),exact(Metadata!E457,"not provided"),exact(Metadata!E457,"restricted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R457">
        <f>IF(Metadata!F457="",FALSE,TRUE)</f>
        <v>0</v>
      </c>
      <c r="AS457">
        <f>OR(AND(IF(Metadata!G457="",FALSE,TRUE),OR(exact(Metadata!G457,"not collected"),exact(Metadata!G457,"not provided"))),AND(IF(Metadata!G457="",FALSE,TRUE),OR(exact(Metadata!G457,"TRUE"),exact(Metadata!G457,"FALSE"))))</f>
        <v>0</v>
      </c>
      <c r="AT457">
        <f>OR(AND(IF(Metadata!H457="",FALSE,TRUE),OR(exact(Metadata!H457,"not collected"),exact(Metadata!H457,"not provided"),exact(Metadata!H457,"restricted access"))),AND(IF(Metadata!H457="",FALSE,ISNUMBER(VALUE(Metadata!H457))),Metadata!H457&gt;=-413.0))</f>
        <v>0</v>
      </c>
      <c r="AU457">
        <f>AND(IF(Metadata!I457="",FALSE,TRUE),exact(Metadata!I457,"meters"))</f>
        <v>0</v>
      </c>
      <c r="AV457">
        <f>AND(IF(Metadata!J457="",FALSE,TRUE),OR(exact(Metadata!J457,"Host-associated"),exact(Metadata!J457,"Free-living")))</f>
        <v>0</v>
      </c>
      <c r="AW457">
        <f>AND(IF(Metadata!K457="",FALSE,TRUE),OR(exact(Metadata!K457,"Animal"),exact(Metadata!K457,"Fungus"),exact(Metadata!K457,"Plant"),exact(Metadata!K457,"Saline"),exact(Metadata!K457,"Non-saline")))</f>
        <v>0</v>
      </c>
      <c r="AX457">
        <f>AND(IF(Metadata!L457="",FALSE,TRUE),OR(exact(Metadata!L457,"Plant secretion"),exact(Metadata!L457,"Plant rhizosphere"),exact(Metadata!L457,"Plant surface"),exact(Metadata!L457,"Plant corpus"),exact(Metadata!L457,"Fungus surface"),exact(Metadata!L457,"Fungus corpus"),exact(Metadata!L457,"Animal surface"),exact(Metadata!L457,"Animal proximal gut"),exact(Metadata!L457,"Animal corpus"),exact(Metadata!L457,"Animal distal gut"),exact(Metadata!L457,"Animal secretion"),exact(Metadata!L457,"Sub-surface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Y457">
        <f>IF(Metadata!M457="",FALSE,TRUE)</f>
        <v>0</v>
      </c>
      <c r="AZ457">
        <f>IF(Metadata!N457="",FALSE,TRUE)</f>
        <v>0</v>
      </c>
      <c r="BA457">
        <f>IF(Metadata!O457="",FALSE,TRUE)</f>
        <v>0</v>
      </c>
      <c r="BB457">
        <f>OR(AND(IF(Metadata!P457="",FALSE,TRUE),OR(exact(Metadata!P457,"not collected"),exact(Metadata!P457,"not provided"),exact(Metadata!P457,"restricted access"))),AND(IF(Metadata!P457="",FALSE,TRUE),OR(exact(Metadata!P457,"air"),exact(Metadata!P457,"built environment"),exact(Metadata!P457,"host-associated"),exact(Metadata!P457,"human-associated"),exact(Metadata!P457,"human-skin"),exact(Metadata!P457,"human-oral"),exact(Metadata!P457,"human-gut"),exact(Metadata!P457,"human-vaginal"),exact(Metadata!P457,"microbial mat/biofilm"),exact(Metadata!P457,"misc environment"),exact(Metadata!P457,"plant-associated"),exact(Metadata!P457,"sediment"),exact(Metadata!P457,"soil"),exact(Metadata!P457,"wastewater/sludge"),exact(Metadata!P457,"water"))))</f>
        <v>0</v>
      </c>
      <c r="BC457">
        <f>IF(Metadata!Q457="",FALSE,TRUE)</f>
        <v>0</v>
      </c>
      <c r="BD457">
        <f>IF(Metadata!R457="",FALSE,TRUE)</f>
        <v>0</v>
      </c>
      <c r="BE457">
        <f>OR(AND(IF(Metadata!S457="",FALSE,TRUE),OR(exact(Metadata!S457,"not collected"),exact(Metadata!S457,"not provided"),exact(Metadata!S457,"restricted access"))),AND(IF(Metadata!S457="",FALSE,ISNUMBER(VALUE(Metadata!S457))),Metadata!S457&gt;=-90.00,Metadata!S457&lt;=90.00))</f>
        <v>0</v>
      </c>
      <c r="BF457">
        <f>AND(IF(Metadata!T457="",FALSE,TRUE),exact(Metadata!T457,"Decimal degrees"))</f>
        <v>0</v>
      </c>
      <c r="BG457">
        <f>OR(AND(IF(Metadata!U457="",FALSE,TRUE),OR(exact(Metadata!U457,"not collected"),exact(Metadata!U457,"not provided"),exact(Metadata!U457,"restricted access"))),AND(IF(Metadata!U457="",FALSE,ISNUMBER(VALUE(Metadata!U457))),Metadata!U457&gt;=-180.00,Metadata!U457&lt;=180.00))</f>
        <v>0</v>
      </c>
      <c r="BH457">
        <f>AND(IF(Metadata!V457="",FALSE,TRUE),exact(Metadata!V457,"Decimal degrees"))</f>
        <v>0</v>
      </c>
      <c r="BI457">
        <f>IF(Metadata!W457="",FALSE,TRUE)</f>
        <v>0</v>
      </c>
      <c r="BJ457">
        <f>OR(AND(IF(Metadata!X457="",FALSE,TRUE),OR(exact(Metadata!X457,"not collected"),exact(Metadata!X457,"not provided"),exact(Metadata!X457,"restricted access"))),AND(IF(Metadata!X457="",FALSE,TRUE),OR(exact(Metadata!X457,"TRUE"),exact(Metadata!X457,"FALSE"))))</f>
        <v>0</v>
      </c>
      <c r="BK457">
        <f>AND(IF(Metadata!Y457="",FALSE,TRUE),exact(Metadata!Y457,"other"))</f>
        <v>0</v>
      </c>
      <c r="BL457">
        <f>IF(Metadata!Z457="",FALSE,TRUE)</f>
        <v>0</v>
      </c>
      <c r="BM457">
        <f>OR(AND(IF(Metadata!AA457="",FALSE,TRUE),OR(exact(Metadata!AA457,"not collected"),exact(Metadata!AA457,"not provided"))),AND(IF(Metadata!AA457="",FALSE,IF(ISERROR(INT(Metadata!AA457)),FALSE,INT(Metadata!AA457)=Metadata!AA457)),Metadata!AA457&gt;0))</f>
        <v>0</v>
      </c>
      <c r="BN457">
        <f>AND(IF(Metadata!AB457="",FALSE,TRUE),exact(Metadata!AB457,"Not applicable"))</f>
        <v>0</v>
      </c>
      <c r="BO457">
        <f>IF(Metadata!AC457="",FALSE,TRUE)</f>
        <v>0</v>
      </c>
    </row>
    <row r="458" spans="1:67">
      <c r="A458" s="5">
        <f>IF(B458=" "," ",HYPERLINK(CONCATENATE("#metadata!",ADDRESS(INDEX($AI$2:$AI$1001,MATCH(ROWS($AG$2:AG458),$AG$2:$AG$1001,0),0),1)),INDEX($AL$2:$AL$1001,MATCH(ROWS($AG$2:AG458),$AG$2:$AG$1001,0),0)))</f>
        <v>0</v>
      </c>
      <c r="B458" s="4">
        <f>IF(OR(INDEX($AH$2:$AH$1001,MATCH(ROWS($AG$2:AG458),$AG$2:$AG$1001,0),1)&gt;=100000,INDEX($AN$1005:$BO$1005,1,MATCH(COLUMNS($AN$1006:AN1006),$AN$1006:$BO$1006,0))&gt;=100000), " ",IF(INDEX($AN$2:$BO$1001,MATCH(ROWS($AG$2:AG458),$AG$2:$AG$1001,0),MATCH(COLUMNS($AN$1006:AN1006),$AN$1006:$BO$1006,0)), HYPERLINK("#",""), HYPERLINK(CONCATENATE("#Metadata!", ADDRESS(INDEX($AI$2:$AI$1001,MATCH(ROWS($AG$2:AG458),$AG$2:$AG$1001,0),0), INDEX($AN$1004:$BO$1004,1,MATCH(COLUMNS($AN$1006:AN1006),$AN$1006:$BO$1006,0)))),"Fix")))</f>
        <v>0</v>
      </c>
      <c r="C458" s="4">
        <f>IF(OR(INDEX($AH$2:$AH$1001,MATCH(ROWS($AG$2:AG458),$AG$2:$AG$1001,0),1)&gt;=100000,INDEX($AN$1005:$BO$1005,1,MATCH(COLUMNS($AN$1006:AO1006),$AN$1006:$BO$1006,0))&gt;=100000), " ",IF(INDEX($AN$2:$BO$1001,MATCH(ROWS($AG$2:AG458),$AG$2:$AG$1001,0),MATCH(COLUMNS($AN$1006:AO1006),$AN$1006:$BO$1006,0)), HYPERLINK("#",""), HYPERLINK(CONCATENATE("#Metadata!", ADDRESS(INDEX($AI$2:$AI$1001,MATCH(ROWS($AG$2:AG458),$AG$2:$AG$1001,0),0), INDEX($AN$1004:$BO$1004,1,MATCH(COLUMNS($AN$1006:AO1006),$AN$1006:$BO$1006,0)))),"Fix")))</f>
        <v>0</v>
      </c>
      <c r="D458" s="4">
        <f>IF(OR(INDEX($AH$2:$AH$1001,MATCH(ROWS($AG$2:AG458),$AG$2:$AG$1001,0),1)&gt;=100000,INDEX($AN$1005:$BO$1005,1,MATCH(COLUMNS($AN$1006:AP1006),$AN$1006:$BO$1006,0))&gt;=100000), " ",IF(INDEX($AN$2:$BO$1001,MATCH(ROWS($AG$2:AG458),$AG$2:$AG$1001,0),MATCH(COLUMNS($AN$1006:AP1006),$AN$1006:$BO$1006,0)), HYPERLINK("#",""), HYPERLINK(CONCATENATE("#Metadata!", ADDRESS(INDEX($AI$2:$AI$1001,MATCH(ROWS($AG$2:AG458),$AG$2:$AG$1001,0),0), INDEX($AN$1004:$BO$1004,1,MATCH(COLUMNS($AN$1006:AP1006),$AN$1006:$BO$1006,0)))),"Fix")))</f>
        <v>0</v>
      </c>
      <c r="E458" s="4">
        <f>IF(OR(INDEX($AH$2:$AH$1001,MATCH(ROWS($AG$2:AG458),$AG$2:$AG$1001,0),1)&gt;=100000,INDEX($AN$1005:$BO$1005,1,MATCH(COLUMNS($AN$1006:AQ1006),$AN$1006:$BO$1006,0))&gt;=100000), " ",IF(INDEX($AN$2:$BO$1001,MATCH(ROWS($AG$2:AG458),$AG$2:$AG$1001,0),MATCH(COLUMNS($AN$1006:AQ1006),$AN$1006:$BO$1006,0)), HYPERLINK("#",""), HYPERLINK(CONCATENATE("#Metadata!", ADDRESS(INDEX($AI$2:$AI$1001,MATCH(ROWS($AG$2:AG458),$AG$2:$AG$1001,0),0), INDEX($AN$1004:$BO$1004,1,MATCH(COLUMNS($AN$1006:AQ1006),$AN$1006:$BO$1006,0)))),"Fix")))</f>
        <v>0</v>
      </c>
      <c r="F458" s="4">
        <f>IF(OR(INDEX($AH$2:$AH$1001,MATCH(ROWS($AG$2:AG458),$AG$2:$AG$1001,0),1)&gt;=100000,INDEX($AN$1005:$BO$1005,1,MATCH(COLUMNS($AN$1006:AR1006),$AN$1006:$BO$1006,0))&gt;=100000), " ",IF(INDEX($AN$2:$BO$1001,MATCH(ROWS($AG$2:AG458),$AG$2:$AG$1001,0),MATCH(COLUMNS($AN$1006:AR1006),$AN$1006:$BO$1006,0)), HYPERLINK("#",""), HYPERLINK(CONCATENATE("#Metadata!", ADDRESS(INDEX($AI$2:$AI$1001,MATCH(ROWS($AG$2:AG458),$AG$2:$AG$1001,0),0), INDEX($AN$1004:$BO$1004,1,MATCH(COLUMNS($AN$1006:AR1006),$AN$1006:$BO$1006,0)))),"Fix")))</f>
        <v>0</v>
      </c>
      <c r="G458" s="4">
        <f>IF(OR(INDEX($AH$2:$AH$1001,MATCH(ROWS($AG$2:AG458),$AG$2:$AG$1001,0),1)&gt;=100000,INDEX($AN$1005:$BO$1005,1,MATCH(COLUMNS($AN$1006:AS1006),$AN$1006:$BO$1006,0))&gt;=100000), " ",IF(INDEX($AN$2:$BO$1001,MATCH(ROWS($AG$2:AG458),$AG$2:$AG$1001,0),MATCH(COLUMNS($AN$1006:AS1006),$AN$1006:$BO$1006,0)), HYPERLINK("#",""), HYPERLINK(CONCATENATE("#Metadata!", ADDRESS(INDEX($AI$2:$AI$1001,MATCH(ROWS($AG$2:AG458),$AG$2:$AG$1001,0),0), INDEX($AN$1004:$BO$1004,1,MATCH(COLUMNS($AN$1006:AS1006),$AN$1006:$BO$1006,0)))),"Fix")))</f>
        <v>0</v>
      </c>
      <c r="H458" s="4">
        <f>IF(OR(INDEX($AH$2:$AH$1001,MATCH(ROWS($AG$2:AG458),$AG$2:$AG$1001,0),1)&gt;=100000,INDEX($AN$1005:$BO$1005,1,MATCH(COLUMNS($AN$1006:AT1006),$AN$1006:$BO$1006,0))&gt;=100000), " ",IF(INDEX($AN$2:$BO$1001,MATCH(ROWS($AG$2:AG458),$AG$2:$AG$1001,0),MATCH(COLUMNS($AN$1006:AT1006),$AN$1006:$BO$1006,0)), HYPERLINK("#",""), HYPERLINK(CONCATENATE("#Metadata!", ADDRESS(INDEX($AI$2:$AI$1001,MATCH(ROWS($AG$2:AG458),$AG$2:$AG$1001,0),0), INDEX($AN$1004:$BO$1004,1,MATCH(COLUMNS($AN$1006:AT1006),$AN$1006:$BO$1006,0)))),"Fix")))</f>
        <v>0</v>
      </c>
      <c r="I458" s="4">
        <f>IF(OR(INDEX($AH$2:$AH$1001,MATCH(ROWS($AG$2:AG458),$AG$2:$AG$1001,0),1)&gt;=100000,INDEX($AN$1005:$BO$1005,1,MATCH(COLUMNS($AN$1006:AU1006),$AN$1006:$BO$1006,0))&gt;=100000), " ",IF(INDEX($AN$2:$BO$1001,MATCH(ROWS($AG$2:AG458),$AG$2:$AG$1001,0),MATCH(COLUMNS($AN$1006:AU1006),$AN$1006:$BO$1006,0)), HYPERLINK("#",""), HYPERLINK(CONCATENATE("#Metadata!", ADDRESS(INDEX($AI$2:$AI$1001,MATCH(ROWS($AG$2:AG458),$AG$2:$AG$1001,0),0), INDEX($AN$1004:$BO$1004,1,MATCH(COLUMNS($AN$1006:AU1006),$AN$1006:$BO$1006,0)))),"Fix")))</f>
        <v>0</v>
      </c>
      <c r="J458" s="4">
        <f>IF(OR(INDEX($AH$2:$AH$1001,MATCH(ROWS($AG$2:AG458),$AG$2:$AG$1001,0),1)&gt;=100000,INDEX($AN$1005:$BO$1005,1,MATCH(COLUMNS($AN$1006:AV1006),$AN$1006:$BO$1006,0))&gt;=100000), " ",IF(INDEX($AN$2:$BO$1001,MATCH(ROWS($AG$2:AG458),$AG$2:$AG$1001,0),MATCH(COLUMNS($AN$1006:AV1006),$AN$1006:$BO$1006,0)), HYPERLINK("#",""), HYPERLINK(CONCATENATE("#Metadata!", ADDRESS(INDEX($AI$2:$AI$1001,MATCH(ROWS($AG$2:AG458),$AG$2:$AG$1001,0),0), INDEX($AN$1004:$BO$1004,1,MATCH(COLUMNS($AN$1006:AV1006),$AN$1006:$BO$1006,0)))),"Fix")))</f>
        <v>0</v>
      </c>
      <c r="K458" s="4">
        <f>IF(OR(INDEX($AH$2:$AH$1001,MATCH(ROWS($AG$2:AG458),$AG$2:$AG$1001,0),1)&gt;=100000,INDEX($AN$1005:$BO$1005,1,MATCH(COLUMNS($AN$1006:AW1006),$AN$1006:$BO$1006,0))&gt;=100000), " ",IF(INDEX($AN$2:$BO$1001,MATCH(ROWS($AG$2:AG458),$AG$2:$AG$1001,0),MATCH(COLUMNS($AN$1006:AW1006),$AN$1006:$BO$1006,0)), HYPERLINK("#",""), HYPERLINK(CONCATENATE("#Metadata!", ADDRESS(INDEX($AI$2:$AI$1001,MATCH(ROWS($AG$2:AG458),$AG$2:$AG$1001,0),0), INDEX($AN$1004:$BO$1004,1,MATCH(COLUMNS($AN$1006:AW1006),$AN$1006:$BO$1006,0)))),"Fix")))</f>
        <v>0</v>
      </c>
      <c r="L458" s="4">
        <f>IF(OR(INDEX($AH$2:$AH$1001,MATCH(ROWS($AG$2:AG458),$AG$2:$AG$1001,0),1)&gt;=100000,INDEX($AN$1005:$BO$1005,1,MATCH(COLUMNS($AN$1006:AX1006),$AN$1006:$BO$1006,0))&gt;=100000), " ",IF(INDEX($AN$2:$BO$1001,MATCH(ROWS($AG$2:AG458),$AG$2:$AG$1001,0),MATCH(COLUMNS($AN$1006:AX1006),$AN$1006:$BO$1006,0)), HYPERLINK("#",""), HYPERLINK(CONCATENATE("#Metadata!", ADDRESS(INDEX($AI$2:$AI$1001,MATCH(ROWS($AG$2:AG458),$AG$2:$AG$1001,0),0), INDEX($AN$1004:$BO$1004,1,MATCH(COLUMNS($AN$1006:AX1006),$AN$1006:$BO$1006,0)))),"Fix")))</f>
        <v>0</v>
      </c>
      <c r="M458" s="4">
        <f>IF(OR(INDEX($AH$2:$AH$1001,MATCH(ROWS($AG$2:AG458),$AG$2:$AG$1001,0),1)&gt;=100000,INDEX($AN$1005:$BO$1005,1,MATCH(COLUMNS($AN$1006:AY1006),$AN$1006:$BO$1006,0))&gt;=100000), " ",IF(INDEX($AN$2:$BO$1001,MATCH(ROWS($AG$2:AG458),$AG$2:$AG$1001,0),MATCH(COLUMNS($AN$1006:AY1006),$AN$1006:$BO$1006,0)), HYPERLINK("#",""), HYPERLINK(CONCATENATE("#Metadata!", ADDRESS(INDEX($AI$2:$AI$1001,MATCH(ROWS($AG$2:AG458),$AG$2:$AG$1001,0),0), INDEX($AN$1004:$BO$1004,1,MATCH(COLUMNS($AN$1006:AY1006),$AN$1006:$BO$1006,0)))),"Fix")))</f>
        <v>0</v>
      </c>
      <c r="N458" s="4">
        <f>IF(OR(INDEX($AH$2:$AH$1001,MATCH(ROWS($AG$2:AG458),$AG$2:$AG$1001,0),1)&gt;=100000,INDEX($AN$1005:$BO$1005,1,MATCH(COLUMNS($AN$1006:AZ1006),$AN$1006:$BO$1006,0))&gt;=100000), " ",IF(INDEX($AN$2:$BO$1001,MATCH(ROWS($AG$2:AG458),$AG$2:$AG$1001,0),MATCH(COLUMNS($AN$1006:AZ1006),$AN$1006:$BO$1006,0)), HYPERLINK("#",""), HYPERLINK(CONCATENATE("#Metadata!", ADDRESS(INDEX($AI$2:$AI$1001,MATCH(ROWS($AG$2:AG458),$AG$2:$AG$1001,0),0), INDEX($AN$1004:$BO$1004,1,MATCH(COLUMNS($AN$1006:AZ1006),$AN$1006:$BO$1006,0)))),"Fix")))</f>
        <v>0</v>
      </c>
      <c r="O458" s="4">
        <f>IF(OR(INDEX($AH$2:$AH$1001,MATCH(ROWS($AG$2:AG458),$AG$2:$AG$1001,0),1)&gt;=100000,INDEX($AN$1005:$BO$1005,1,MATCH(COLUMNS($AN$1006:BA1006),$AN$1006:$BO$1006,0))&gt;=100000), " ",IF(INDEX($AN$2:$BO$1001,MATCH(ROWS($AG$2:AG458),$AG$2:$AG$1001,0),MATCH(COLUMNS($AN$1006:BA1006),$AN$1006:$BO$1006,0)), HYPERLINK("#",""), HYPERLINK(CONCATENATE("#Metadata!", ADDRESS(INDEX($AI$2:$AI$1001,MATCH(ROWS($AG$2:AG458),$AG$2:$AG$1001,0),0), INDEX($AN$1004:$BO$1004,1,MATCH(COLUMNS($AN$1006:BA1006),$AN$1006:$BO$1006,0)))),"Fix")))</f>
        <v>0</v>
      </c>
      <c r="P458" s="4">
        <f>IF(OR(INDEX($AH$2:$AH$1001,MATCH(ROWS($AG$2:AG458),$AG$2:$AG$1001,0),1)&gt;=100000,INDEX($AN$1005:$BO$1005,1,MATCH(COLUMNS($AN$1006:BB1006),$AN$1006:$BO$1006,0))&gt;=100000), " ",IF(INDEX($AN$2:$BO$1001,MATCH(ROWS($AG$2:AG458),$AG$2:$AG$1001,0),MATCH(COLUMNS($AN$1006:BB1006),$AN$1006:$BO$1006,0)), HYPERLINK("#",""), HYPERLINK(CONCATENATE("#Metadata!", ADDRESS(INDEX($AI$2:$AI$1001,MATCH(ROWS($AG$2:AG458),$AG$2:$AG$1001,0),0), INDEX($AN$1004:$BO$1004,1,MATCH(COLUMNS($AN$1006:BB1006),$AN$1006:$BO$1006,0)))),"Fix")))</f>
        <v>0</v>
      </c>
      <c r="Q458" s="4">
        <f>IF(OR(INDEX($AH$2:$AH$1001,MATCH(ROWS($AG$2:AG458),$AG$2:$AG$1001,0),1)&gt;=100000,INDEX($AN$1005:$BO$1005,1,MATCH(COLUMNS($AN$1006:BC1006),$AN$1006:$BO$1006,0))&gt;=100000), " ",IF(INDEX($AN$2:$BO$1001,MATCH(ROWS($AG$2:AG458),$AG$2:$AG$1001,0),MATCH(COLUMNS($AN$1006:BC1006),$AN$1006:$BO$1006,0)), HYPERLINK("#",""), HYPERLINK(CONCATENATE("#Metadata!", ADDRESS(INDEX($AI$2:$AI$1001,MATCH(ROWS($AG$2:AG458),$AG$2:$AG$1001,0),0), INDEX($AN$1004:$BO$1004,1,MATCH(COLUMNS($AN$1006:BC1006),$AN$1006:$BO$1006,0)))),"Fix")))</f>
        <v>0</v>
      </c>
      <c r="R458" s="4">
        <f>IF(OR(INDEX($AH$2:$AH$1001,MATCH(ROWS($AG$2:AG458),$AG$2:$AG$1001,0),1)&gt;=100000,INDEX($AN$1005:$BO$1005,1,MATCH(COLUMNS($AN$1006:BD1006),$AN$1006:$BO$1006,0))&gt;=100000), " ",IF(INDEX($AN$2:$BO$1001,MATCH(ROWS($AG$2:AG458),$AG$2:$AG$1001,0),MATCH(COLUMNS($AN$1006:BD1006),$AN$1006:$BO$1006,0)), HYPERLINK("#",""), HYPERLINK(CONCATENATE("#Metadata!", ADDRESS(INDEX($AI$2:$AI$1001,MATCH(ROWS($AG$2:AG458),$AG$2:$AG$1001,0),0), INDEX($AN$1004:$BO$1004,1,MATCH(COLUMNS($AN$1006:BD1006),$AN$1006:$BO$1006,0)))),"Fix")))</f>
        <v>0</v>
      </c>
      <c r="S458" s="4">
        <f>IF(OR(INDEX($AH$2:$AH$1001,MATCH(ROWS($AG$2:AG458),$AG$2:$AG$1001,0),1)&gt;=100000,INDEX($AN$1005:$BO$1005,1,MATCH(COLUMNS($AN$1006:BE1006),$AN$1006:$BO$1006,0))&gt;=100000), " ",IF(INDEX($AN$2:$BO$1001,MATCH(ROWS($AG$2:AG458),$AG$2:$AG$1001,0),MATCH(COLUMNS($AN$1006:BE1006),$AN$1006:$BO$1006,0)), HYPERLINK("#",""), HYPERLINK(CONCATENATE("#Metadata!", ADDRESS(INDEX($AI$2:$AI$1001,MATCH(ROWS($AG$2:AG458),$AG$2:$AG$1001,0),0), INDEX($AN$1004:$BO$1004,1,MATCH(COLUMNS($AN$1006:BE1006),$AN$1006:$BO$1006,0)))),"Fix")))</f>
        <v>0</v>
      </c>
      <c r="T458" s="4">
        <f>IF(OR(INDEX($AH$2:$AH$1001,MATCH(ROWS($AG$2:AG458),$AG$2:$AG$1001,0),1)&gt;=100000,INDEX($AN$1005:$BO$1005,1,MATCH(COLUMNS($AN$1006:BF1006),$AN$1006:$BO$1006,0))&gt;=100000), " ",IF(INDEX($AN$2:$BO$1001,MATCH(ROWS($AG$2:AG458),$AG$2:$AG$1001,0),MATCH(COLUMNS($AN$1006:BF1006),$AN$1006:$BO$1006,0)), HYPERLINK("#",""), HYPERLINK(CONCATENATE("#Metadata!", ADDRESS(INDEX($AI$2:$AI$1001,MATCH(ROWS($AG$2:AG458),$AG$2:$AG$1001,0),0), INDEX($AN$1004:$BO$1004,1,MATCH(COLUMNS($AN$1006:BF1006),$AN$1006:$BO$1006,0)))),"Fix")))</f>
        <v>0</v>
      </c>
      <c r="U458" s="4">
        <f>IF(OR(INDEX($AH$2:$AH$1001,MATCH(ROWS($AG$2:AG458),$AG$2:$AG$1001,0),1)&gt;=100000,INDEX($AN$1005:$BO$1005,1,MATCH(COLUMNS($AN$1006:BG1006),$AN$1006:$BO$1006,0))&gt;=100000), " ",IF(INDEX($AN$2:$BO$1001,MATCH(ROWS($AG$2:AG458),$AG$2:$AG$1001,0),MATCH(COLUMNS($AN$1006:BG1006),$AN$1006:$BO$1006,0)), HYPERLINK("#",""), HYPERLINK(CONCATENATE("#Metadata!", ADDRESS(INDEX($AI$2:$AI$1001,MATCH(ROWS($AG$2:AG458),$AG$2:$AG$1001,0),0), INDEX($AN$1004:$BO$1004,1,MATCH(COLUMNS($AN$1006:BG1006),$AN$1006:$BO$1006,0)))),"Fix")))</f>
        <v>0</v>
      </c>
      <c r="V458" s="4">
        <f>IF(OR(INDEX($AH$2:$AH$1001,MATCH(ROWS($AG$2:AG458),$AG$2:$AG$1001,0),1)&gt;=100000,INDEX($AN$1005:$BO$1005,1,MATCH(COLUMNS($AN$1006:BH1006),$AN$1006:$BO$1006,0))&gt;=100000), " ",IF(INDEX($AN$2:$BO$1001,MATCH(ROWS($AG$2:AG458),$AG$2:$AG$1001,0),MATCH(COLUMNS($AN$1006:BH1006),$AN$1006:$BO$1006,0)), HYPERLINK("#",""), HYPERLINK(CONCATENATE("#Metadata!", ADDRESS(INDEX($AI$2:$AI$1001,MATCH(ROWS($AG$2:AG458),$AG$2:$AG$1001,0),0), INDEX($AN$1004:$BO$1004,1,MATCH(COLUMNS($AN$1006:BH1006),$AN$1006:$BO$1006,0)))),"Fix")))</f>
        <v>0</v>
      </c>
      <c r="W458" s="4">
        <f>IF(OR(INDEX($AH$2:$AH$1001,MATCH(ROWS($AG$2:AG458),$AG$2:$AG$1001,0),1)&gt;=100000,INDEX($AN$1005:$BO$1005,1,MATCH(COLUMNS($AN$1006:BI1006),$AN$1006:$BO$1006,0))&gt;=100000), " ",IF(INDEX($AN$2:$BO$1001,MATCH(ROWS($AG$2:AG458),$AG$2:$AG$1001,0),MATCH(COLUMNS($AN$1006:BI1006),$AN$1006:$BO$1006,0)), HYPERLINK("#",""), HYPERLINK(CONCATENATE("#Metadata!", ADDRESS(INDEX($AI$2:$AI$1001,MATCH(ROWS($AG$2:AG458),$AG$2:$AG$1001,0),0), INDEX($AN$1004:$BO$1004,1,MATCH(COLUMNS($AN$1006:BI1006),$AN$1006:$BO$1006,0)))),"Fix")))</f>
        <v>0</v>
      </c>
      <c r="X458" s="4">
        <f>IF(OR(INDEX($AH$2:$AH$1001,MATCH(ROWS($AG$2:AG458),$AG$2:$AG$1001,0),1)&gt;=100000,INDEX($AN$1005:$BO$1005,1,MATCH(COLUMNS($AN$1006:BJ1006),$AN$1006:$BO$1006,0))&gt;=100000), " ",IF(INDEX($AN$2:$BO$1001,MATCH(ROWS($AG$2:AG458),$AG$2:$AG$1001,0),MATCH(COLUMNS($AN$1006:BJ1006),$AN$1006:$BO$1006,0)), HYPERLINK("#",""), HYPERLINK(CONCATENATE("#Metadata!", ADDRESS(INDEX($AI$2:$AI$1001,MATCH(ROWS($AG$2:AG458),$AG$2:$AG$1001,0),0), INDEX($AN$1004:$BO$1004,1,MATCH(COLUMNS($AN$1006:BJ1006),$AN$1006:$BO$1006,0)))),"Fix")))</f>
        <v>0</v>
      </c>
      <c r="Y458" s="4">
        <f>IF(OR(INDEX($AH$2:$AH$1001,MATCH(ROWS($AG$2:AG458),$AG$2:$AG$1001,0),1)&gt;=100000,INDEX($AN$1005:$BO$1005,1,MATCH(COLUMNS($AN$1006:BK1006),$AN$1006:$BO$1006,0))&gt;=100000), " ",IF(INDEX($AN$2:$BO$1001,MATCH(ROWS($AG$2:AG458),$AG$2:$AG$1001,0),MATCH(COLUMNS($AN$1006:BK1006),$AN$1006:$BO$1006,0)), HYPERLINK("#",""), HYPERLINK(CONCATENATE("#Metadata!", ADDRESS(INDEX($AI$2:$AI$1001,MATCH(ROWS($AG$2:AG458),$AG$2:$AG$1001,0),0), INDEX($AN$1004:$BO$1004,1,MATCH(COLUMNS($AN$1006:BK1006),$AN$1006:$BO$1006,0)))),"Fix")))</f>
        <v>0</v>
      </c>
      <c r="Z458" s="4">
        <f>IF(OR(INDEX($AH$2:$AH$1001,MATCH(ROWS($AG$2:AG458),$AG$2:$AG$1001,0),1)&gt;=100000,INDEX($AN$1005:$BO$1005,1,MATCH(COLUMNS($AN$1006:BL1006),$AN$1006:$BO$1006,0))&gt;=100000), " ",IF(INDEX($AN$2:$BO$1001,MATCH(ROWS($AG$2:AG458),$AG$2:$AG$1001,0),MATCH(COLUMNS($AN$1006:BL1006),$AN$1006:$BO$1006,0)), HYPERLINK("#",""), HYPERLINK(CONCATENATE("#Metadata!", ADDRESS(INDEX($AI$2:$AI$1001,MATCH(ROWS($AG$2:AG458),$AG$2:$AG$1001,0),0), INDEX($AN$1004:$BO$1004,1,MATCH(COLUMNS($AN$1006:BL1006),$AN$1006:$BO$1006,0)))),"Fix")))</f>
        <v>0</v>
      </c>
      <c r="AA458" s="4">
        <f>IF(OR(INDEX($AH$2:$AH$1001,MATCH(ROWS($AG$2:AG458),$AG$2:$AG$1001,0),1)&gt;=100000,INDEX($AN$1005:$BO$1005,1,MATCH(COLUMNS($AN$1006:BM1006),$AN$1006:$BO$1006,0))&gt;=100000), " ",IF(INDEX($AN$2:$BO$1001,MATCH(ROWS($AG$2:AG458),$AG$2:$AG$1001,0),MATCH(COLUMNS($AN$1006:BM1006),$AN$1006:$BO$1006,0)), HYPERLINK("#",""), HYPERLINK(CONCATENATE("#Metadata!", ADDRESS(INDEX($AI$2:$AI$1001,MATCH(ROWS($AG$2:AG458),$AG$2:$AG$1001,0),0), INDEX($AN$1004:$BO$1004,1,MATCH(COLUMNS($AN$1006:BM1006),$AN$1006:$BO$1006,0)))),"Fix")))</f>
        <v>0</v>
      </c>
      <c r="AB458" s="4">
        <f>IF(OR(INDEX($AH$2:$AH$1001,MATCH(ROWS($AG$2:AG458),$AG$2:$AG$1001,0),1)&gt;=100000,INDEX($AN$1005:$BO$1005,1,MATCH(COLUMNS($AN$1006:BN1006),$AN$1006:$BO$1006,0))&gt;=100000), " ",IF(INDEX($AN$2:$BO$1001,MATCH(ROWS($AG$2:AG458),$AG$2:$AG$1001,0),MATCH(COLUMNS($AN$1006:BN1006),$AN$1006:$BO$1006,0)), HYPERLINK("#",""), HYPERLINK(CONCATENATE("#Metadata!", ADDRESS(INDEX($AI$2:$AI$1001,MATCH(ROWS($AG$2:AG458),$AG$2:$AG$1001,0),0), INDEX($AN$1004:$BO$1004,1,MATCH(COLUMNS($AN$1006:BN1006),$AN$1006:$BO$1006,0)))),"Fix")))</f>
        <v>0</v>
      </c>
      <c r="AC458" s="4">
        <f>IF(OR(INDEX($AH$2:$AH$1001,MATCH(ROWS($AG$2:AG458),$AG$2:$AG$1001,0),1)&gt;=100000,INDEX($AN$1005:$BO$1005,1,MATCH(COLUMNS($AN$1006:BO1006),$AN$1006:$BO$1006,0))&gt;=100000), " ",IF(INDEX($AN$2:$BO$1001,MATCH(ROWS($AG$2:AG458),$AG$2:$AG$1001,0),MATCH(COLUMNS($AN$1006:BO1006),$AN$1006:$BO$1006,0)), HYPERLINK("#",""), HYPERLINK(CONCATENATE("#Metadata!", ADDRESS(INDEX($AI$2:$AI$1001,MATCH(ROWS($AG$2:AG458),$AG$2:$AG$1001,0),0), INDEX($AN$1004:$BO$1004,1,MATCH(COLUMNS($AN$1006:BO1006),$AN$1006:$BO$1006,0)))),"Fix")))</f>
        <v>0</v>
      </c>
      <c r="AG458">
        <v>0</v>
      </c>
      <c r="AH458">
        <v>0</v>
      </c>
      <c r="AI458">
        <v>0</v>
      </c>
      <c r="AJ458">
        <f>IF(AK458,TRUE,AND(AN458:BO458))</f>
        <v>0</v>
      </c>
      <c r="AK458">
        <f>COUNTBLANK(Metadata!B458:AC458)=COLUMNS(Metadata!B458:AC458)</f>
        <v>0</v>
      </c>
      <c r="AL458">
        <v>0</v>
      </c>
      <c r="AN458">
        <f>AND(IF(Metadata!B458="",FALSE,TRUE),COUNTIF(Metadata!B:B, Metadata!B458) = 1,NOT(ISERROR(SUMPRODUCT(SEARCH(MID(Metadata!B458,ROW(INDIRECT("1:"&amp;LEN(Metadata!B458))), 1),"0123456789abcdefghijklmnopqrstuvwxyzABCDEFGHIJKLMNOPQRSTUVWXYZ.")))))</f>
        <v>0</v>
      </c>
      <c r="AO458">
        <f>IF(Metadata!C458="",FALSE,TRUE)</f>
        <v>0</v>
      </c>
      <c r="AP458">
        <f>IF(Metadata!D458="",FALSE,TRUE)</f>
        <v>0</v>
      </c>
      <c r="AQ458">
        <f>OR(AND(IF(Metadata!E458="",FALSE,TRUE),OR(exact(Metadata!E458,"not collected"),exact(Metadata!E458,"not provided"),exact(Metadata!E458,"restricted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R458">
        <f>IF(Metadata!F458="",FALSE,TRUE)</f>
        <v>0</v>
      </c>
      <c r="AS458">
        <f>OR(AND(IF(Metadata!G458="",FALSE,TRUE),OR(exact(Metadata!G458,"not collected"),exact(Metadata!G458,"not provided"))),AND(IF(Metadata!G458="",FALSE,TRUE),OR(exact(Metadata!G458,"TRUE"),exact(Metadata!G458,"FALSE"))))</f>
        <v>0</v>
      </c>
      <c r="AT458">
        <f>OR(AND(IF(Metadata!H458="",FALSE,TRUE),OR(exact(Metadata!H458,"not collected"),exact(Metadata!H458,"not provided"),exact(Metadata!H458,"restricted access"))),AND(IF(Metadata!H458="",FALSE,ISNUMBER(VALUE(Metadata!H458))),Metadata!H458&gt;=-413.0))</f>
        <v>0</v>
      </c>
      <c r="AU458">
        <f>AND(IF(Metadata!I458="",FALSE,TRUE),exact(Metadata!I458,"meters"))</f>
        <v>0</v>
      </c>
      <c r="AV458">
        <f>AND(IF(Metadata!J458="",FALSE,TRUE),OR(exact(Metadata!J458,"Host-associated"),exact(Metadata!J458,"Free-living")))</f>
        <v>0</v>
      </c>
      <c r="AW458">
        <f>AND(IF(Metadata!K458="",FALSE,TRUE),OR(exact(Metadata!K458,"Animal"),exact(Metadata!K458,"Fungus"),exact(Metadata!K458,"Plant"),exact(Metadata!K458,"Saline"),exact(Metadata!K458,"Non-saline")))</f>
        <v>0</v>
      </c>
      <c r="AX458">
        <f>AND(IF(Metadata!L458="",FALSE,TRUE),OR(exact(Metadata!L458,"Plant secretion"),exact(Metadata!L458,"Plant rhizosphere"),exact(Metadata!L458,"Plant surface"),exact(Metadata!L458,"Plant corpus"),exact(Metadata!L458,"Fungus surface"),exact(Metadata!L458,"Fungus corpus"),exact(Metadata!L458,"Animal surface"),exact(Metadata!L458,"Animal proximal gut"),exact(Metadata!L458,"Animal corpus"),exact(Metadata!L458,"Animal distal gut"),exact(Metadata!L458,"Animal secretion"),exact(Metadata!L458,"Sub-surface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Y458">
        <f>IF(Metadata!M458="",FALSE,TRUE)</f>
        <v>0</v>
      </c>
      <c r="AZ458">
        <f>IF(Metadata!N458="",FALSE,TRUE)</f>
        <v>0</v>
      </c>
      <c r="BA458">
        <f>IF(Metadata!O458="",FALSE,TRUE)</f>
        <v>0</v>
      </c>
      <c r="BB458">
        <f>OR(AND(IF(Metadata!P458="",FALSE,TRUE),OR(exact(Metadata!P458,"not collected"),exact(Metadata!P458,"not provided"),exact(Metadata!P458,"restricted access"))),AND(IF(Metadata!P458="",FALSE,TRUE),OR(exact(Metadata!P458,"air"),exact(Metadata!P458,"built environment"),exact(Metadata!P458,"host-associated"),exact(Metadata!P458,"human-associated"),exact(Metadata!P458,"human-skin"),exact(Metadata!P458,"human-oral"),exact(Metadata!P458,"human-gut"),exact(Metadata!P458,"human-vaginal"),exact(Metadata!P458,"microbial mat/biofilm"),exact(Metadata!P458,"misc environment"),exact(Metadata!P458,"plant-associated"),exact(Metadata!P458,"sediment"),exact(Metadata!P458,"soil"),exact(Metadata!P458,"wastewater/sludge"),exact(Metadata!P458,"water"))))</f>
        <v>0</v>
      </c>
      <c r="BC458">
        <f>IF(Metadata!Q458="",FALSE,TRUE)</f>
        <v>0</v>
      </c>
      <c r="BD458">
        <f>IF(Metadata!R458="",FALSE,TRUE)</f>
        <v>0</v>
      </c>
      <c r="BE458">
        <f>OR(AND(IF(Metadata!S458="",FALSE,TRUE),OR(exact(Metadata!S458,"not collected"),exact(Metadata!S458,"not provided"),exact(Metadata!S458,"restricted access"))),AND(IF(Metadata!S458="",FALSE,ISNUMBER(VALUE(Metadata!S458))),Metadata!S458&gt;=-90.00,Metadata!S458&lt;=90.00))</f>
        <v>0</v>
      </c>
      <c r="BF458">
        <f>AND(IF(Metadata!T458="",FALSE,TRUE),exact(Metadata!T458,"Decimal degrees"))</f>
        <v>0</v>
      </c>
      <c r="BG458">
        <f>OR(AND(IF(Metadata!U458="",FALSE,TRUE),OR(exact(Metadata!U458,"not collected"),exact(Metadata!U458,"not provided"),exact(Metadata!U458,"restricted access"))),AND(IF(Metadata!U458="",FALSE,ISNUMBER(VALUE(Metadata!U458))),Metadata!U458&gt;=-180.00,Metadata!U458&lt;=180.00))</f>
        <v>0</v>
      </c>
      <c r="BH458">
        <f>AND(IF(Metadata!V458="",FALSE,TRUE),exact(Metadata!V458,"Decimal degrees"))</f>
        <v>0</v>
      </c>
      <c r="BI458">
        <f>IF(Metadata!W458="",FALSE,TRUE)</f>
        <v>0</v>
      </c>
      <c r="BJ458">
        <f>OR(AND(IF(Metadata!X458="",FALSE,TRUE),OR(exact(Metadata!X458,"not collected"),exact(Metadata!X458,"not provided"),exact(Metadata!X458,"restricted access"))),AND(IF(Metadata!X458="",FALSE,TRUE),OR(exact(Metadata!X458,"TRUE"),exact(Metadata!X458,"FALSE"))))</f>
        <v>0</v>
      </c>
      <c r="BK458">
        <f>AND(IF(Metadata!Y458="",FALSE,TRUE),exact(Metadata!Y458,"other"))</f>
        <v>0</v>
      </c>
      <c r="BL458">
        <f>IF(Metadata!Z458="",FALSE,TRUE)</f>
        <v>0</v>
      </c>
      <c r="BM458">
        <f>OR(AND(IF(Metadata!AA458="",FALSE,TRUE),OR(exact(Metadata!AA458,"not collected"),exact(Metadata!AA458,"not provided"))),AND(IF(Metadata!AA458="",FALSE,IF(ISERROR(INT(Metadata!AA458)),FALSE,INT(Metadata!AA458)=Metadata!AA458)),Metadata!AA458&gt;0))</f>
        <v>0</v>
      </c>
      <c r="BN458">
        <f>AND(IF(Metadata!AB458="",FALSE,TRUE),exact(Metadata!AB458,"Not applicable"))</f>
        <v>0</v>
      </c>
      <c r="BO458">
        <f>IF(Metadata!AC458="",FALSE,TRUE)</f>
        <v>0</v>
      </c>
    </row>
    <row r="459" spans="1:67">
      <c r="A459" s="5">
        <f>IF(B459=" "," ",HYPERLINK(CONCATENATE("#metadata!",ADDRESS(INDEX($AI$2:$AI$1001,MATCH(ROWS($AG$2:AG459),$AG$2:$AG$1001,0),0),1)),INDEX($AL$2:$AL$1001,MATCH(ROWS($AG$2:AG459),$AG$2:$AG$1001,0),0)))</f>
        <v>0</v>
      </c>
      <c r="B459" s="4">
        <f>IF(OR(INDEX($AH$2:$AH$1001,MATCH(ROWS($AG$2:AG459),$AG$2:$AG$1001,0),1)&gt;=100000,INDEX($AN$1005:$BO$1005,1,MATCH(COLUMNS($AN$1006:AN1006),$AN$1006:$BO$1006,0))&gt;=100000), " ",IF(INDEX($AN$2:$BO$1001,MATCH(ROWS($AG$2:AG459),$AG$2:$AG$1001,0),MATCH(COLUMNS($AN$1006:AN1006),$AN$1006:$BO$1006,0)), HYPERLINK("#",""), HYPERLINK(CONCATENATE("#Metadata!", ADDRESS(INDEX($AI$2:$AI$1001,MATCH(ROWS($AG$2:AG459),$AG$2:$AG$1001,0),0), INDEX($AN$1004:$BO$1004,1,MATCH(COLUMNS($AN$1006:AN1006),$AN$1006:$BO$1006,0)))),"Fix")))</f>
        <v>0</v>
      </c>
      <c r="C459" s="4">
        <f>IF(OR(INDEX($AH$2:$AH$1001,MATCH(ROWS($AG$2:AG459),$AG$2:$AG$1001,0),1)&gt;=100000,INDEX($AN$1005:$BO$1005,1,MATCH(COLUMNS($AN$1006:AO1006),$AN$1006:$BO$1006,0))&gt;=100000), " ",IF(INDEX($AN$2:$BO$1001,MATCH(ROWS($AG$2:AG459),$AG$2:$AG$1001,0),MATCH(COLUMNS($AN$1006:AO1006),$AN$1006:$BO$1006,0)), HYPERLINK("#",""), HYPERLINK(CONCATENATE("#Metadata!", ADDRESS(INDEX($AI$2:$AI$1001,MATCH(ROWS($AG$2:AG459),$AG$2:$AG$1001,0),0), INDEX($AN$1004:$BO$1004,1,MATCH(COLUMNS($AN$1006:AO1006),$AN$1006:$BO$1006,0)))),"Fix")))</f>
        <v>0</v>
      </c>
      <c r="D459" s="4">
        <f>IF(OR(INDEX($AH$2:$AH$1001,MATCH(ROWS($AG$2:AG459),$AG$2:$AG$1001,0),1)&gt;=100000,INDEX($AN$1005:$BO$1005,1,MATCH(COLUMNS($AN$1006:AP1006),$AN$1006:$BO$1006,0))&gt;=100000), " ",IF(INDEX($AN$2:$BO$1001,MATCH(ROWS($AG$2:AG459),$AG$2:$AG$1001,0),MATCH(COLUMNS($AN$1006:AP1006),$AN$1006:$BO$1006,0)), HYPERLINK("#",""), HYPERLINK(CONCATENATE("#Metadata!", ADDRESS(INDEX($AI$2:$AI$1001,MATCH(ROWS($AG$2:AG459),$AG$2:$AG$1001,0),0), INDEX($AN$1004:$BO$1004,1,MATCH(COLUMNS($AN$1006:AP1006),$AN$1006:$BO$1006,0)))),"Fix")))</f>
        <v>0</v>
      </c>
      <c r="E459" s="4">
        <f>IF(OR(INDEX($AH$2:$AH$1001,MATCH(ROWS($AG$2:AG459),$AG$2:$AG$1001,0),1)&gt;=100000,INDEX($AN$1005:$BO$1005,1,MATCH(COLUMNS($AN$1006:AQ1006),$AN$1006:$BO$1006,0))&gt;=100000), " ",IF(INDEX($AN$2:$BO$1001,MATCH(ROWS($AG$2:AG459),$AG$2:$AG$1001,0),MATCH(COLUMNS($AN$1006:AQ1006),$AN$1006:$BO$1006,0)), HYPERLINK("#",""), HYPERLINK(CONCATENATE("#Metadata!", ADDRESS(INDEX($AI$2:$AI$1001,MATCH(ROWS($AG$2:AG459),$AG$2:$AG$1001,0),0), INDEX($AN$1004:$BO$1004,1,MATCH(COLUMNS($AN$1006:AQ1006),$AN$1006:$BO$1006,0)))),"Fix")))</f>
        <v>0</v>
      </c>
      <c r="F459" s="4">
        <f>IF(OR(INDEX($AH$2:$AH$1001,MATCH(ROWS($AG$2:AG459),$AG$2:$AG$1001,0),1)&gt;=100000,INDEX($AN$1005:$BO$1005,1,MATCH(COLUMNS($AN$1006:AR1006),$AN$1006:$BO$1006,0))&gt;=100000), " ",IF(INDEX($AN$2:$BO$1001,MATCH(ROWS($AG$2:AG459),$AG$2:$AG$1001,0),MATCH(COLUMNS($AN$1006:AR1006),$AN$1006:$BO$1006,0)), HYPERLINK("#",""), HYPERLINK(CONCATENATE("#Metadata!", ADDRESS(INDEX($AI$2:$AI$1001,MATCH(ROWS($AG$2:AG459),$AG$2:$AG$1001,0),0), INDEX($AN$1004:$BO$1004,1,MATCH(COLUMNS($AN$1006:AR1006),$AN$1006:$BO$1006,0)))),"Fix")))</f>
        <v>0</v>
      </c>
      <c r="G459" s="4">
        <f>IF(OR(INDEX($AH$2:$AH$1001,MATCH(ROWS($AG$2:AG459),$AG$2:$AG$1001,0),1)&gt;=100000,INDEX($AN$1005:$BO$1005,1,MATCH(COLUMNS($AN$1006:AS1006),$AN$1006:$BO$1006,0))&gt;=100000), " ",IF(INDEX($AN$2:$BO$1001,MATCH(ROWS($AG$2:AG459),$AG$2:$AG$1001,0),MATCH(COLUMNS($AN$1006:AS1006),$AN$1006:$BO$1006,0)), HYPERLINK("#",""), HYPERLINK(CONCATENATE("#Metadata!", ADDRESS(INDEX($AI$2:$AI$1001,MATCH(ROWS($AG$2:AG459),$AG$2:$AG$1001,0),0), INDEX($AN$1004:$BO$1004,1,MATCH(COLUMNS($AN$1006:AS1006),$AN$1006:$BO$1006,0)))),"Fix")))</f>
        <v>0</v>
      </c>
      <c r="H459" s="4">
        <f>IF(OR(INDEX($AH$2:$AH$1001,MATCH(ROWS($AG$2:AG459),$AG$2:$AG$1001,0),1)&gt;=100000,INDEX($AN$1005:$BO$1005,1,MATCH(COLUMNS($AN$1006:AT1006),$AN$1006:$BO$1006,0))&gt;=100000), " ",IF(INDEX($AN$2:$BO$1001,MATCH(ROWS($AG$2:AG459),$AG$2:$AG$1001,0),MATCH(COLUMNS($AN$1006:AT1006),$AN$1006:$BO$1006,0)), HYPERLINK("#",""), HYPERLINK(CONCATENATE("#Metadata!", ADDRESS(INDEX($AI$2:$AI$1001,MATCH(ROWS($AG$2:AG459),$AG$2:$AG$1001,0),0), INDEX($AN$1004:$BO$1004,1,MATCH(COLUMNS($AN$1006:AT1006),$AN$1006:$BO$1006,0)))),"Fix")))</f>
        <v>0</v>
      </c>
      <c r="I459" s="4">
        <f>IF(OR(INDEX($AH$2:$AH$1001,MATCH(ROWS($AG$2:AG459),$AG$2:$AG$1001,0),1)&gt;=100000,INDEX($AN$1005:$BO$1005,1,MATCH(COLUMNS($AN$1006:AU1006),$AN$1006:$BO$1006,0))&gt;=100000), " ",IF(INDEX($AN$2:$BO$1001,MATCH(ROWS($AG$2:AG459),$AG$2:$AG$1001,0),MATCH(COLUMNS($AN$1006:AU1006),$AN$1006:$BO$1006,0)), HYPERLINK("#",""), HYPERLINK(CONCATENATE("#Metadata!", ADDRESS(INDEX($AI$2:$AI$1001,MATCH(ROWS($AG$2:AG459),$AG$2:$AG$1001,0),0), INDEX($AN$1004:$BO$1004,1,MATCH(COLUMNS($AN$1006:AU1006),$AN$1006:$BO$1006,0)))),"Fix")))</f>
        <v>0</v>
      </c>
      <c r="J459" s="4">
        <f>IF(OR(INDEX($AH$2:$AH$1001,MATCH(ROWS($AG$2:AG459),$AG$2:$AG$1001,0),1)&gt;=100000,INDEX($AN$1005:$BO$1005,1,MATCH(COLUMNS($AN$1006:AV1006),$AN$1006:$BO$1006,0))&gt;=100000), " ",IF(INDEX($AN$2:$BO$1001,MATCH(ROWS($AG$2:AG459),$AG$2:$AG$1001,0),MATCH(COLUMNS($AN$1006:AV1006),$AN$1006:$BO$1006,0)), HYPERLINK("#",""), HYPERLINK(CONCATENATE("#Metadata!", ADDRESS(INDEX($AI$2:$AI$1001,MATCH(ROWS($AG$2:AG459),$AG$2:$AG$1001,0),0), INDEX($AN$1004:$BO$1004,1,MATCH(COLUMNS($AN$1006:AV1006),$AN$1006:$BO$1006,0)))),"Fix")))</f>
        <v>0</v>
      </c>
      <c r="K459" s="4">
        <f>IF(OR(INDEX($AH$2:$AH$1001,MATCH(ROWS($AG$2:AG459),$AG$2:$AG$1001,0),1)&gt;=100000,INDEX($AN$1005:$BO$1005,1,MATCH(COLUMNS($AN$1006:AW1006),$AN$1006:$BO$1006,0))&gt;=100000), " ",IF(INDEX($AN$2:$BO$1001,MATCH(ROWS($AG$2:AG459),$AG$2:$AG$1001,0),MATCH(COLUMNS($AN$1006:AW1006),$AN$1006:$BO$1006,0)), HYPERLINK("#",""), HYPERLINK(CONCATENATE("#Metadata!", ADDRESS(INDEX($AI$2:$AI$1001,MATCH(ROWS($AG$2:AG459),$AG$2:$AG$1001,0),0), INDEX($AN$1004:$BO$1004,1,MATCH(COLUMNS($AN$1006:AW1006),$AN$1006:$BO$1006,0)))),"Fix")))</f>
        <v>0</v>
      </c>
      <c r="L459" s="4">
        <f>IF(OR(INDEX($AH$2:$AH$1001,MATCH(ROWS($AG$2:AG459),$AG$2:$AG$1001,0),1)&gt;=100000,INDEX($AN$1005:$BO$1005,1,MATCH(COLUMNS($AN$1006:AX1006),$AN$1006:$BO$1006,0))&gt;=100000), " ",IF(INDEX($AN$2:$BO$1001,MATCH(ROWS($AG$2:AG459),$AG$2:$AG$1001,0),MATCH(COLUMNS($AN$1006:AX1006),$AN$1006:$BO$1006,0)), HYPERLINK("#",""), HYPERLINK(CONCATENATE("#Metadata!", ADDRESS(INDEX($AI$2:$AI$1001,MATCH(ROWS($AG$2:AG459),$AG$2:$AG$1001,0),0), INDEX($AN$1004:$BO$1004,1,MATCH(COLUMNS($AN$1006:AX1006),$AN$1006:$BO$1006,0)))),"Fix")))</f>
        <v>0</v>
      </c>
      <c r="M459" s="4">
        <f>IF(OR(INDEX($AH$2:$AH$1001,MATCH(ROWS($AG$2:AG459),$AG$2:$AG$1001,0),1)&gt;=100000,INDEX($AN$1005:$BO$1005,1,MATCH(COLUMNS($AN$1006:AY1006),$AN$1006:$BO$1006,0))&gt;=100000), " ",IF(INDEX($AN$2:$BO$1001,MATCH(ROWS($AG$2:AG459),$AG$2:$AG$1001,0),MATCH(COLUMNS($AN$1006:AY1006),$AN$1006:$BO$1006,0)), HYPERLINK("#",""), HYPERLINK(CONCATENATE("#Metadata!", ADDRESS(INDEX($AI$2:$AI$1001,MATCH(ROWS($AG$2:AG459),$AG$2:$AG$1001,0),0), INDEX($AN$1004:$BO$1004,1,MATCH(COLUMNS($AN$1006:AY1006),$AN$1006:$BO$1006,0)))),"Fix")))</f>
        <v>0</v>
      </c>
      <c r="N459" s="4">
        <f>IF(OR(INDEX($AH$2:$AH$1001,MATCH(ROWS($AG$2:AG459),$AG$2:$AG$1001,0),1)&gt;=100000,INDEX($AN$1005:$BO$1005,1,MATCH(COLUMNS($AN$1006:AZ1006),$AN$1006:$BO$1006,0))&gt;=100000), " ",IF(INDEX($AN$2:$BO$1001,MATCH(ROWS($AG$2:AG459),$AG$2:$AG$1001,0),MATCH(COLUMNS($AN$1006:AZ1006),$AN$1006:$BO$1006,0)), HYPERLINK("#",""), HYPERLINK(CONCATENATE("#Metadata!", ADDRESS(INDEX($AI$2:$AI$1001,MATCH(ROWS($AG$2:AG459),$AG$2:$AG$1001,0),0), INDEX($AN$1004:$BO$1004,1,MATCH(COLUMNS($AN$1006:AZ1006),$AN$1006:$BO$1006,0)))),"Fix")))</f>
        <v>0</v>
      </c>
      <c r="O459" s="4">
        <f>IF(OR(INDEX($AH$2:$AH$1001,MATCH(ROWS($AG$2:AG459),$AG$2:$AG$1001,0),1)&gt;=100000,INDEX($AN$1005:$BO$1005,1,MATCH(COLUMNS($AN$1006:BA1006),$AN$1006:$BO$1006,0))&gt;=100000), " ",IF(INDEX($AN$2:$BO$1001,MATCH(ROWS($AG$2:AG459),$AG$2:$AG$1001,0),MATCH(COLUMNS($AN$1006:BA1006),$AN$1006:$BO$1006,0)), HYPERLINK("#",""), HYPERLINK(CONCATENATE("#Metadata!", ADDRESS(INDEX($AI$2:$AI$1001,MATCH(ROWS($AG$2:AG459),$AG$2:$AG$1001,0),0), INDEX($AN$1004:$BO$1004,1,MATCH(COLUMNS($AN$1006:BA1006),$AN$1006:$BO$1006,0)))),"Fix")))</f>
        <v>0</v>
      </c>
      <c r="P459" s="4">
        <f>IF(OR(INDEX($AH$2:$AH$1001,MATCH(ROWS($AG$2:AG459),$AG$2:$AG$1001,0),1)&gt;=100000,INDEX($AN$1005:$BO$1005,1,MATCH(COLUMNS($AN$1006:BB1006),$AN$1006:$BO$1006,0))&gt;=100000), " ",IF(INDEX($AN$2:$BO$1001,MATCH(ROWS($AG$2:AG459),$AG$2:$AG$1001,0),MATCH(COLUMNS($AN$1006:BB1006),$AN$1006:$BO$1006,0)), HYPERLINK("#",""), HYPERLINK(CONCATENATE("#Metadata!", ADDRESS(INDEX($AI$2:$AI$1001,MATCH(ROWS($AG$2:AG459),$AG$2:$AG$1001,0),0), INDEX($AN$1004:$BO$1004,1,MATCH(COLUMNS($AN$1006:BB1006),$AN$1006:$BO$1006,0)))),"Fix")))</f>
        <v>0</v>
      </c>
      <c r="Q459" s="4">
        <f>IF(OR(INDEX($AH$2:$AH$1001,MATCH(ROWS($AG$2:AG459),$AG$2:$AG$1001,0),1)&gt;=100000,INDEX($AN$1005:$BO$1005,1,MATCH(COLUMNS($AN$1006:BC1006),$AN$1006:$BO$1006,0))&gt;=100000), " ",IF(INDEX($AN$2:$BO$1001,MATCH(ROWS($AG$2:AG459),$AG$2:$AG$1001,0),MATCH(COLUMNS($AN$1006:BC1006),$AN$1006:$BO$1006,0)), HYPERLINK("#",""), HYPERLINK(CONCATENATE("#Metadata!", ADDRESS(INDEX($AI$2:$AI$1001,MATCH(ROWS($AG$2:AG459),$AG$2:$AG$1001,0),0), INDEX($AN$1004:$BO$1004,1,MATCH(COLUMNS($AN$1006:BC1006),$AN$1006:$BO$1006,0)))),"Fix")))</f>
        <v>0</v>
      </c>
      <c r="R459" s="4">
        <f>IF(OR(INDEX($AH$2:$AH$1001,MATCH(ROWS($AG$2:AG459),$AG$2:$AG$1001,0),1)&gt;=100000,INDEX($AN$1005:$BO$1005,1,MATCH(COLUMNS($AN$1006:BD1006),$AN$1006:$BO$1006,0))&gt;=100000), " ",IF(INDEX($AN$2:$BO$1001,MATCH(ROWS($AG$2:AG459),$AG$2:$AG$1001,0),MATCH(COLUMNS($AN$1006:BD1006),$AN$1006:$BO$1006,0)), HYPERLINK("#",""), HYPERLINK(CONCATENATE("#Metadata!", ADDRESS(INDEX($AI$2:$AI$1001,MATCH(ROWS($AG$2:AG459),$AG$2:$AG$1001,0),0), INDEX($AN$1004:$BO$1004,1,MATCH(COLUMNS($AN$1006:BD1006),$AN$1006:$BO$1006,0)))),"Fix")))</f>
        <v>0</v>
      </c>
      <c r="S459" s="4">
        <f>IF(OR(INDEX($AH$2:$AH$1001,MATCH(ROWS($AG$2:AG459),$AG$2:$AG$1001,0),1)&gt;=100000,INDEX($AN$1005:$BO$1005,1,MATCH(COLUMNS($AN$1006:BE1006),$AN$1006:$BO$1006,0))&gt;=100000), " ",IF(INDEX($AN$2:$BO$1001,MATCH(ROWS($AG$2:AG459),$AG$2:$AG$1001,0),MATCH(COLUMNS($AN$1006:BE1006),$AN$1006:$BO$1006,0)), HYPERLINK("#",""), HYPERLINK(CONCATENATE("#Metadata!", ADDRESS(INDEX($AI$2:$AI$1001,MATCH(ROWS($AG$2:AG459),$AG$2:$AG$1001,0),0), INDEX($AN$1004:$BO$1004,1,MATCH(COLUMNS($AN$1006:BE1006),$AN$1006:$BO$1006,0)))),"Fix")))</f>
        <v>0</v>
      </c>
      <c r="T459" s="4">
        <f>IF(OR(INDEX($AH$2:$AH$1001,MATCH(ROWS($AG$2:AG459),$AG$2:$AG$1001,0),1)&gt;=100000,INDEX($AN$1005:$BO$1005,1,MATCH(COLUMNS($AN$1006:BF1006),$AN$1006:$BO$1006,0))&gt;=100000), " ",IF(INDEX($AN$2:$BO$1001,MATCH(ROWS($AG$2:AG459),$AG$2:$AG$1001,0),MATCH(COLUMNS($AN$1006:BF1006),$AN$1006:$BO$1006,0)), HYPERLINK("#",""), HYPERLINK(CONCATENATE("#Metadata!", ADDRESS(INDEX($AI$2:$AI$1001,MATCH(ROWS($AG$2:AG459),$AG$2:$AG$1001,0),0), INDEX($AN$1004:$BO$1004,1,MATCH(COLUMNS($AN$1006:BF1006),$AN$1006:$BO$1006,0)))),"Fix")))</f>
        <v>0</v>
      </c>
      <c r="U459" s="4">
        <f>IF(OR(INDEX($AH$2:$AH$1001,MATCH(ROWS($AG$2:AG459),$AG$2:$AG$1001,0),1)&gt;=100000,INDEX($AN$1005:$BO$1005,1,MATCH(COLUMNS($AN$1006:BG1006),$AN$1006:$BO$1006,0))&gt;=100000), " ",IF(INDEX($AN$2:$BO$1001,MATCH(ROWS($AG$2:AG459),$AG$2:$AG$1001,0),MATCH(COLUMNS($AN$1006:BG1006),$AN$1006:$BO$1006,0)), HYPERLINK("#",""), HYPERLINK(CONCATENATE("#Metadata!", ADDRESS(INDEX($AI$2:$AI$1001,MATCH(ROWS($AG$2:AG459),$AG$2:$AG$1001,0),0), INDEX($AN$1004:$BO$1004,1,MATCH(COLUMNS($AN$1006:BG1006),$AN$1006:$BO$1006,0)))),"Fix")))</f>
        <v>0</v>
      </c>
      <c r="V459" s="4">
        <f>IF(OR(INDEX($AH$2:$AH$1001,MATCH(ROWS($AG$2:AG459),$AG$2:$AG$1001,0),1)&gt;=100000,INDEX($AN$1005:$BO$1005,1,MATCH(COLUMNS($AN$1006:BH1006),$AN$1006:$BO$1006,0))&gt;=100000), " ",IF(INDEX($AN$2:$BO$1001,MATCH(ROWS($AG$2:AG459),$AG$2:$AG$1001,0),MATCH(COLUMNS($AN$1006:BH1006),$AN$1006:$BO$1006,0)), HYPERLINK("#",""), HYPERLINK(CONCATENATE("#Metadata!", ADDRESS(INDEX($AI$2:$AI$1001,MATCH(ROWS($AG$2:AG459),$AG$2:$AG$1001,0),0), INDEX($AN$1004:$BO$1004,1,MATCH(COLUMNS($AN$1006:BH1006),$AN$1006:$BO$1006,0)))),"Fix")))</f>
        <v>0</v>
      </c>
      <c r="W459" s="4">
        <f>IF(OR(INDEX($AH$2:$AH$1001,MATCH(ROWS($AG$2:AG459),$AG$2:$AG$1001,0),1)&gt;=100000,INDEX($AN$1005:$BO$1005,1,MATCH(COLUMNS($AN$1006:BI1006),$AN$1006:$BO$1006,0))&gt;=100000), " ",IF(INDEX($AN$2:$BO$1001,MATCH(ROWS($AG$2:AG459),$AG$2:$AG$1001,0),MATCH(COLUMNS($AN$1006:BI1006),$AN$1006:$BO$1006,0)), HYPERLINK("#",""), HYPERLINK(CONCATENATE("#Metadata!", ADDRESS(INDEX($AI$2:$AI$1001,MATCH(ROWS($AG$2:AG459),$AG$2:$AG$1001,0),0), INDEX($AN$1004:$BO$1004,1,MATCH(COLUMNS($AN$1006:BI1006),$AN$1006:$BO$1006,0)))),"Fix")))</f>
        <v>0</v>
      </c>
      <c r="X459" s="4">
        <f>IF(OR(INDEX($AH$2:$AH$1001,MATCH(ROWS($AG$2:AG459),$AG$2:$AG$1001,0),1)&gt;=100000,INDEX($AN$1005:$BO$1005,1,MATCH(COLUMNS($AN$1006:BJ1006),$AN$1006:$BO$1006,0))&gt;=100000), " ",IF(INDEX($AN$2:$BO$1001,MATCH(ROWS($AG$2:AG459),$AG$2:$AG$1001,0),MATCH(COLUMNS($AN$1006:BJ1006),$AN$1006:$BO$1006,0)), HYPERLINK("#",""), HYPERLINK(CONCATENATE("#Metadata!", ADDRESS(INDEX($AI$2:$AI$1001,MATCH(ROWS($AG$2:AG459),$AG$2:$AG$1001,0),0), INDEX($AN$1004:$BO$1004,1,MATCH(COLUMNS($AN$1006:BJ1006),$AN$1006:$BO$1006,0)))),"Fix")))</f>
        <v>0</v>
      </c>
      <c r="Y459" s="4">
        <f>IF(OR(INDEX($AH$2:$AH$1001,MATCH(ROWS($AG$2:AG459),$AG$2:$AG$1001,0),1)&gt;=100000,INDEX($AN$1005:$BO$1005,1,MATCH(COLUMNS($AN$1006:BK1006),$AN$1006:$BO$1006,0))&gt;=100000), " ",IF(INDEX($AN$2:$BO$1001,MATCH(ROWS($AG$2:AG459),$AG$2:$AG$1001,0),MATCH(COLUMNS($AN$1006:BK1006),$AN$1006:$BO$1006,0)), HYPERLINK("#",""), HYPERLINK(CONCATENATE("#Metadata!", ADDRESS(INDEX($AI$2:$AI$1001,MATCH(ROWS($AG$2:AG459),$AG$2:$AG$1001,0),0), INDEX($AN$1004:$BO$1004,1,MATCH(COLUMNS($AN$1006:BK1006),$AN$1006:$BO$1006,0)))),"Fix")))</f>
        <v>0</v>
      </c>
      <c r="Z459" s="4">
        <f>IF(OR(INDEX($AH$2:$AH$1001,MATCH(ROWS($AG$2:AG459),$AG$2:$AG$1001,0),1)&gt;=100000,INDEX($AN$1005:$BO$1005,1,MATCH(COLUMNS($AN$1006:BL1006),$AN$1006:$BO$1006,0))&gt;=100000), " ",IF(INDEX($AN$2:$BO$1001,MATCH(ROWS($AG$2:AG459),$AG$2:$AG$1001,0),MATCH(COLUMNS($AN$1006:BL1006),$AN$1006:$BO$1006,0)), HYPERLINK("#",""), HYPERLINK(CONCATENATE("#Metadata!", ADDRESS(INDEX($AI$2:$AI$1001,MATCH(ROWS($AG$2:AG459),$AG$2:$AG$1001,0),0), INDEX($AN$1004:$BO$1004,1,MATCH(COLUMNS($AN$1006:BL1006),$AN$1006:$BO$1006,0)))),"Fix")))</f>
        <v>0</v>
      </c>
      <c r="AA459" s="4">
        <f>IF(OR(INDEX($AH$2:$AH$1001,MATCH(ROWS($AG$2:AG459),$AG$2:$AG$1001,0),1)&gt;=100000,INDEX($AN$1005:$BO$1005,1,MATCH(COLUMNS($AN$1006:BM1006),$AN$1006:$BO$1006,0))&gt;=100000), " ",IF(INDEX($AN$2:$BO$1001,MATCH(ROWS($AG$2:AG459),$AG$2:$AG$1001,0),MATCH(COLUMNS($AN$1006:BM1006),$AN$1006:$BO$1006,0)), HYPERLINK("#",""), HYPERLINK(CONCATENATE("#Metadata!", ADDRESS(INDEX($AI$2:$AI$1001,MATCH(ROWS($AG$2:AG459),$AG$2:$AG$1001,0),0), INDEX($AN$1004:$BO$1004,1,MATCH(COLUMNS($AN$1006:BM1006),$AN$1006:$BO$1006,0)))),"Fix")))</f>
        <v>0</v>
      </c>
      <c r="AB459" s="4">
        <f>IF(OR(INDEX($AH$2:$AH$1001,MATCH(ROWS($AG$2:AG459),$AG$2:$AG$1001,0),1)&gt;=100000,INDEX($AN$1005:$BO$1005,1,MATCH(COLUMNS($AN$1006:BN1006),$AN$1006:$BO$1006,0))&gt;=100000), " ",IF(INDEX($AN$2:$BO$1001,MATCH(ROWS($AG$2:AG459),$AG$2:$AG$1001,0),MATCH(COLUMNS($AN$1006:BN1006),$AN$1006:$BO$1006,0)), HYPERLINK("#",""), HYPERLINK(CONCATENATE("#Metadata!", ADDRESS(INDEX($AI$2:$AI$1001,MATCH(ROWS($AG$2:AG459),$AG$2:$AG$1001,0),0), INDEX($AN$1004:$BO$1004,1,MATCH(COLUMNS($AN$1006:BN1006),$AN$1006:$BO$1006,0)))),"Fix")))</f>
        <v>0</v>
      </c>
      <c r="AC459" s="4">
        <f>IF(OR(INDEX($AH$2:$AH$1001,MATCH(ROWS($AG$2:AG459),$AG$2:$AG$1001,0),1)&gt;=100000,INDEX($AN$1005:$BO$1005,1,MATCH(COLUMNS($AN$1006:BO1006),$AN$1006:$BO$1006,0))&gt;=100000), " ",IF(INDEX($AN$2:$BO$1001,MATCH(ROWS($AG$2:AG459),$AG$2:$AG$1001,0),MATCH(COLUMNS($AN$1006:BO1006),$AN$1006:$BO$1006,0)), HYPERLINK("#",""), HYPERLINK(CONCATENATE("#Metadata!", ADDRESS(INDEX($AI$2:$AI$1001,MATCH(ROWS($AG$2:AG459),$AG$2:$AG$1001,0),0), INDEX($AN$1004:$BO$1004,1,MATCH(COLUMNS($AN$1006:BO1006),$AN$1006:$BO$1006,0)))),"Fix")))</f>
        <v>0</v>
      </c>
      <c r="AG459">
        <v>0</v>
      </c>
      <c r="AH459">
        <v>0</v>
      </c>
      <c r="AI459">
        <v>0</v>
      </c>
      <c r="AJ459">
        <f>IF(AK459,TRUE,AND(AN459:BO459))</f>
        <v>0</v>
      </c>
      <c r="AK459">
        <f>COUNTBLANK(Metadata!B459:AC459)=COLUMNS(Metadata!B459:AC459)</f>
        <v>0</v>
      </c>
      <c r="AL459">
        <v>0</v>
      </c>
      <c r="AN459">
        <f>AND(IF(Metadata!B459="",FALSE,TRUE),COUNTIF(Metadata!B:B, Metadata!B459) = 1,NOT(ISERROR(SUMPRODUCT(SEARCH(MID(Metadata!B459,ROW(INDIRECT("1:"&amp;LEN(Metadata!B459))), 1),"0123456789abcdefghijklmnopqrstuvwxyzABCDEFGHIJKLMNOPQRSTUVWXYZ.")))))</f>
        <v>0</v>
      </c>
      <c r="AO459">
        <f>IF(Metadata!C459="",FALSE,TRUE)</f>
        <v>0</v>
      </c>
      <c r="AP459">
        <f>IF(Metadata!D459="",FALSE,TRUE)</f>
        <v>0</v>
      </c>
      <c r="AQ459">
        <f>OR(AND(IF(Metadata!E459="",FALSE,TRUE),OR(exact(Metadata!E459,"not collected"),exact(Metadata!E459,"not provided"),exact(Metadata!E459,"restricted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R459">
        <f>IF(Metadata!F459="",FALSE,TRUE)</f>
        <v>0</v>
      </c>
      <c r="AS459">
        <f>OR(AND(IF(Metadata!G459="",FALSE,TRUE),OR(exact(Metadata!G459,"not collected"),exact(Metadata!G459,"not provided"))),AND(IF(Metadata!G459="",FALSE,TRUE),OR(exact(Metadata!G459,"TRUE"),exact(Metadata!G459,"FALSE"))))</f>
        <v>0</v>
      </c>
      <c r="AT459">
        <f>OR(AND(IF(Metadata!H459="",FALSE,TRUE),OR(exact(Metadata!H459,"not collected"),exact(Metadata!H459,"not provided"),exact(Metadata!H459,"restricted access"))),AND(IF(Metadata!H459="",FALSE,ISNUMBER(VALUE(Metadata!H459))),Metadata!H459&gt;=-413.0))</f>
        <v>0</v>
      </c>
      <c r="AU459">
        <f>AND(IF(Metadata!I459="",FALSE,TRUE),exact(Metadata!I459,"meters"))</f>
        <v>0</v>
      </c>
      <c r="AV459">
        <f>AND(IF(Metadata!J459="",FALSE,TRUE),OR(exact(Metadata!J459,"Host-associated"),exact(Metadata!J459,"Free-living")))</f>
        <v>0</v>
      </c>
      <c r="AW459">
        <f>AND(IF(Metadata!K459="",FALSE,TRUE),OR(exact(Metadata!K459,"Animal"),exact(Metadata!K459,"Fungus"),exact(Metadata!K459,"Plant"),exact(Metadata!K459,"Saline"),exact(Metadata!K459,"Non-saline")))</f>
        <v>0</v>
      </c>
      <c r="AX459">
        <f>AND(IF(Metadata!L459="",FALSE,TRUE),OR(exact(Metadata!L459,"Plant secretion"),exact(Metadata!L459,"Plant rhizosphere"),exact(Metadata!L459,"Plant surface"),exact(Metadata!L459,"Plant corpus"),exact(Metadata!L459,"Fungus surface"),exact(Metadata!L459,"Fungus corpus"),exact(Metadata!L459,"Animal surface"),exact(Metadata!L459,"Animal proximal gut"),exact(Metadata!L459,"Animal corpus"),exact(Metadata!L459,"Animal distal gut"),exact(Metadata!L459,"Animal secretion"),exact(Metadata!L459,"Sub-surface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Y459">
        <f>IF(Metadata!M459="",FALSE,TRUE)</f>
        <v>0</v>
      </c>
      <c r="AZ459">
        <f>IF(Metadata!N459="",FALSE,TRUE)</f>
        <v>0</v>
      </c>
      <c r="BA459">
        <f>IF(Metadata!O459="",FALSE,TRUE)</f>
        <v>0</v>
      </c>
      <c r="BB459">
        <f>OR(AND(IF(Metadata!P459="",FALSE,TRUE),OR(exact(Metadata!P459,"not collected"),exact(Metadata!P459,"not provided"),exact(Metadata!P459,"restricted access"))),AND(IF(Metadata!P459="",FALSE,TRUE),OR(exact(Metadata!P459,"air"),exact(Metadata!P459,"built environment"),exact(Metadata!P459,"host-associated"),exact(Metadata!P459,"human-associated"),exact(Metadata!P459,"human-skin"),exact(Metadata!P459,"human-oral"),exact(Metadata!P459,"human-gut"),exact(Metadata!P459,"human-vaginal"),exact(Metadata!P459,"microbial mat/biofilm"),exact(Metadata!P459,"misc environment"),exact(Metadata!P459,"plant-associated"),exact(Metadata!P459,"sediment"),exact(Metadata!P459,"soil"),exact(Metadata!P459,"wastewater/sludge"),exact(Metadata!P459,"water"))))</f>
        <v>0</v>
      </c>
      <c r="BC459">
        <f>IF(Metadata!Q459="",FALSE,TRUE)</f>
        <v>0</v>
      </c>
      <c r="BD459">
        <f>IF(Metadata!R459="",FALSE,TRUE)</f>
        <v>0</v>
      </c>
      <c r="BE459">
        <f>OR(AND(IF(Metadata!S459="",FALSE,TRUE),OR(exact(Metadata!S459,"not collected"),exact(Metadata!S459,"not provided"),exact(Metadata!S459,"restricted access"))),AND(IF(Metadata!S459="",FALSE,ISNUMBER(VALUE(Metadata!S459))),Metadata!S459&gt;=-90.00,Metadata!S459&lt;=90.00))</f>
        <v>0</v>
      </c>
      <c r="BF459">
        <f>AND(IF(Metadata!T459="",FALSE,TRUE),exact(Metadata!T459,"Decimal degrees"))</f>
        <v>0</v>
      </c>
      <c r="BG459">
        <f>OR(AND(IF(Metadata!U459="",FALSE,TRUE),OR(exact(Metadata!U459,"not collected"),exact(Metadata!U459,"not provided"),exact(Metadata!U459,"restricted access"))),AND(IF(Metadata!U459="",FALSE,ISNUMBER(VALUE(Metadata!U459))),Metadata!U459&gt;=-180.00,Metadata!U459&lt;=180.00))</f>
        <v>0</v>
      </c>
      <c r="BH459">
        <f>AND(IF(Metadata!V459="",FALSE,TRUE),exact(Metadata!V459,"Decimal degrees"))</f>
        <v>0</v>
      </c>
      <c r="BI459">
        <f>IF(Metadata!W459="",FALSE,TRUE)</f>
        <v>0</v>
      </c>
      <c r="BJ459">
        <f>OR(AND(IF(Metadata!X459="",FALSE,TRUE),OR(exact(Metadata!X459,"not collected"),exact(Metadata!X459,"not provided"),exact(Metadata!X459,"restricted access"))),AND(IF(Metadata!X459="",FALSE,TRUE),OR(exact(Metadata!X459,"TRUE"),exact(Metadata!X459,"FALSE"))))</f>
        <v>0</v>
      </c>
      <c r="BK459">
        <f>AND(IF(Metadata!Y459="",FALSE,TRUE),exact(Metadata!Y459,"other"))</f>
        <v>0</v>
      </c>
      <c r="BL459">
        <f>IF(Metadata!Z459="",FALSE,TRUE)</f>
        <v>0</v>
      </c>
      <c r="BM459">
        <f>OR(AND(IF(Metadata!AA459="",FALSE,TRUE),OR(exact(Metadata!AA459,"not collected"),exact(Metadata!AA459,"not provided"))),AND(IF(Metadata!AA459="",FALSE,IF(ISERROR(INT(Metadata!AA459)),FALSE,INT(Metadata!AA459)=Metadata!AA459)),Metadata!AA459&gt;0))</f>
        <v>0</v>
      </c>
      <c r="BN459">
        <f>AND(IF(Metadata!AB459="",FALSE,TRUE),exact(Metadata!AB459,"Not applicable"))</f>
        <v>0</v>
      </c>
      <c r="BO459">
        <f>IF(Metadata!AC459="",FALSE,TRUE)</f>
        <v>0</v>
      </c>
    </row>
    <row r="460" spans="1:67">
      <c r="A460" s="5">
        <f>IF(B460=" "," ",HYPERLINK(CONCATENATE("#metadata!",ADDRESS(INDEX($AI$2:$AI$1001,MATCH(ROWS($AG$2:AG460),$AG$2:$AG$1001,0),0),1)),INDEX($AL$2:$AL$1001,MATCH(ROWS($AG$2:AG460),$AG$2:$AG$1001,0),0)))</f>
        <v>0</v>
      </c>
      <c r="B460" s="4">
        <f>IF(OR(INDEX($AH$2:$AH$1001,MATCH(ROWS($AG$2:AG460),$AG$2:$AG$1001,0),1)&gt;=100000,INDEX($AN$1005:$BO$1005,1,MATCH(COLUMNS($AN$1006:AN1006),$AN$1006:$BO$1006,0))&gt;=100000), " ",IF(INDEX($AN$2:$BO$1001,MATCH(ROWS($AG$2:AG460),$AG$2:$AG$1001,0),MATCH(COLUMNS($AN$1006:AN1006),$AN$1006:$BO$1006,0)), HYPERLINK("#",""), HYPERLINK(CONCATENATE("#Metadata!", ADDRESS(INDEX($AI$2:$AI$1001,MATCH(ROWS($AG$2:AG460),$AG$2:$AG$1001,0),0), INDEX($AN$1004:$BO$1004,1,MATCH(COLUMNS($AN$1006:AN1006),$AN$1006:$BO$1006,0)))),"Fix")))</f>
        <v>0</v>
      </c>
      <c r="C460" s="4">
        <f>IF(OR(INDEX($AH$2:$AH$1001,MATCH(ROWS($AG$2:AG460),$AG$2:$AG$1001,0),1)&gt;=100000,INDEX($AN$1005:$BO$1005,1,MATCH(COLUMNS($AN$1006:AO1006),$AN$1006:$BO$1006,0))&gt;=100000), " ",IF(INDEX($AN$2:$BO$1001,MATCH(ROWS($AG$2:AG460),$AG$2:$AG$1001,0),MATCH(COLUMNS($AN$1006:AO1006),$AN$1006:$BO$1006,0)), HYPERLINK("#",""), HYPERLINK(CONCATENATE("#Metadata!", ADDRESS(INDEX($AI$2:$AI$1001,MATCH(ROWS($AG$2:AG460),$AG$2:$AG$1001,0),0), INDEX($AN$1004:$BO$1004,1,MATCH(COLUMNS($AN$1006:AO1006),$AN$1006:$BO$1006,0)))),"Fix")))</f>
        <v>0</v>
      </c>
      <c r="D460" s="4">
        <f>IF(OR(INDEX($AH$2:$AH$1001,MATCH(ROWS($AG$2:AG460),$AG$2:$AG$1001,0),1)&gt;=100000,INDEX($AN$1005:$BO$1005,1,MATCH(COLUMNS($AN$1006:AP1006),$AN$1006:$BO$1006,0))&gt;=100000), " ",IF(INDEX($AN$2:$BO$1001,MATCH(ROWS($AG$2:AG460),$AG$2:$AG$1001,0),MATCH(COLUMNS($AN$1006:AP1006),$AN$1006:$BO$1006,0)), HYPERLINK("#",""), HYPERLINK(CONCATENATE("#Metadata!", ADDRESS(INDEX($AI$2:$AI$1001,MATCH(ROWS($AG$2:AG460),$AG$2:$AG$1001,0),0), INDEX($AN$1004:$BO$1004,1,MATCH(COLUMNS($AN$1006:AP1006),$AN$1006:$BO$1006,0)))),"Fix")))</f>
        <v>0</v>
      </c>
      <c r="E460" s="4">
        <f>IF(OR(INDEX($AH$2:$AH$1001,MATCH(ROWS($AG$2:AG460),$AG$2:$AG$1001,0),1)&gt;=100000,INDEX($AN$1005:$BO$1005,1,MATCH(COLUMNS($AN$1006:AQ1006),$AN$1006:$BO$1006,0))&gt;=100000), " ",IF(INDEX($AN$2:$BO$1001,MATCH(ROWS($AG$2:AG460),$AG$2:$AG$1001,0),MATCH(COLUMNS($AN$1006:AQ1006),$AN$1006:$BO$1006,0)), HYPERLINK("#",""), HYPERLINK(CONCATENATE("#Metadata!", ADDRESS(INDEX($AI$2:$AI$1001,MATCH(ROWS($AG$2:AG460),$AG$2:$AG$1001,0),0), INDEX($AN$1004:$BO$1004,1,MATCH(COLUMNS($AN$1006:AQ1006),$AN$1006:$BO$1006,0)))),"Fix")))</f>
        <v>0</v>
      </c>
      <c r="F460" s="4">
        <f>IF(OR(INDEX($AH$2:$AH$1001,MATCH(ROWS($AG$2:AG460),$AG$2:$AG$1001,0),1)&gt;=100000,INDEX($AN$1005:$BO$1005,1,MATCH(COLUMNS($AN$1006:AR1006),$AN$1006:$BO$1006,0))&gt;=100000), " ",IF(INDEX($AN$2:$BO$1001,MATCH(ROWS($AG$2:AG460),$AG$2:$AG$1001,0),MATCH(COLUMNS($AN$1006:AR1006),$AN$1006:$BO$1006,0)), HYPERLINK("#",""), HYPERLINK(CONCATENATE("#Metadata!", ADDRESS(INDEX($AI$2:$AI$1001,MATCH(ROWS($AG$2:AG460),$AG$2:$AG$1001,0),0), INDEX($AN$1004:$BO$1004,1,MATCH(COLUMNS($AN$1006:AR1006),$AN$1006:$BO$1006,0)))),"Fix")))</f>
        <v>0</v>
      </c>
      <c r="G460" s="4">
        <f>IF(OR(INDEX($AH$2:$AH$1001,MATCH(ROWS($AG$2:AG460),$AG$2:$AG$1001,0),1)&gt;=100000,INDEX($AN$1005:$BO$1005,1,MATCH(COLUMNS($AN$1006:AS1006),$AN$1006:$BO$1006,0))&gt;=100000), " ",IF(INDEX($AN$2:$BO$1001,MATCH(ROWS($AG$2:AG460),$AG$2:$AG$1001,0),MATCH(COLUMNS($AN$1006:AS1006),$AN$1006:$BO$1006,0)), HYPERLINK("#",""), HYPERLINK(CONCATENATE("#Metadata!", ADDRESS(INDEX($AI$2:$AI$1001,MATCH(ROWS($AG$2:AG460),$AG$2:$AG$1001,0),0), INDEX($AN$1004:$BO$1004,1,MATCH(COLUMNS($AN$1006:AS1006),$AN$1006:$BO$1006,0)))),"Fix")))</f>
        <v>0</v>
      </c>
      <c r="H460" s="4">
        <f>IF(OR(INDEX($AH$2:$AH$1001,MATCH(ROWS($AG$2:AG460),$AG$2:$AG$1001,0),1)&gt;=100000,INDEX($AN$1005:$BO$1005,1,MATCH(COLUMNS($AN$1006:AT1006),$AN$1006:$BO$1006,0))&gt;=100000), " ",IF(INDEX($AN$2:$BO$1001,MATCH(ROWS($AG$2:AG460),$AG$2:$AG$1001,0),MATCH(COLUMNS($AN$1006:AT1006),$AN$1006:$BO$1006,0)), HYPERLINK("#",""), HYPERLINK(CONCATENATE("#Metadata!", ADDRESS(INDEX($AI$2:$AI$1001,MATCH(ROWS($AG$2:AG460),$AG$2:$AG$1001,0),0), INDEX($AN$1004:$BO$1004,1,MATCH(COLUMNS($AN$1006:AT1006),$AN$1006:$BO$1006,0)))),"Fix")))</f>
        <v>0</v>
      </c>
      <c r="I460" s="4">
        <f>IF(OR(INDEX($AH$2:$AH$1001,MATCH(ROWS($AG$2:AG460),$AG$2:$AG$1001,0),1)&gt;=100000,INDEX($AN$1005:$BO$1005,1,MATCH(COLUMNS($AN$1006:AU1006),$AN$1006:$BO$1006,0))&gt;=100000), " ",IF(INDEX($AN$2:$BO$1001,MATCH(ROWS($AG$2:AG460),$AG$2:$AG$1001,0),MATCH(COLUMNS($AN$1006:AU1006),$AN$1006:$BO$1006,0)), HYPERLINK("#",""), HYPERLINK(CONCATENATE("#Metadata!", ADDRESS(INDEX($AI$2:$AI$1001,MATCH(ROWS($AG$2:AG460),$AG$2:$AG$1001,0),0), INDEX($AN$1004:$BO$1004,1,MATCH(COLUMNS($AN$1006:AU1006),$AN$1006:$BO$1006,0)))),"Fix")))</f>
        <v>0</v>
      </c>
      <c r="J460" s="4">
        <f>IF(OR(INDEX($AH$2:$AH$1001,MATCH(ROWS($AG$2:AG460),$AG$2:$AG$1001,0),1)&gt;=100000,INDEX($AN$1005:$BO$1005,1,MATCH(COLUMNS($AN$1006:AV1006),$AN$1006:$BO$1006,0))&gt;=100000), " ",IF(INDEX($AN$2:$BO$1001,MATCH(ROWS($AG$2:AG460),$AG$2:$AG$1001,0),MATCH(COLUMNS($AN$1006:AV1006),$AN$1006:$BO$1006,0)), HYPERLINK("#",""), HYPERLINK(CONCATENATE("#Metadata!", ADDRESS(INDEX($AI$2:$AI$1001,MATCH(ROWS($AG$2:AG460),$AG$2:$AG$1001,0),0), INDEX($AN$1004:$BO$1004,1,MATCH(COLUMNS($AN$1006:AV1006),$AN$1006:$BO$1006,0)))),"Fix")))</f>
        <v>0</v>
      </c>
      <c r="K460" s="4">
        <f>IF(OR(INDEX($AH$2:$AH$1001,MATCH(ROWS($AG$2:AG460),$AG$2:$AG$1001,0),1)&gt;=100000,INDEX($AN$1005:$BO$1005,1,MATCH(COLUMNS($AN$1006:AW1006),$AN$1006:$BO$1006,0))&gt;=100000), " ",IF(INDEX($AN$2:$BO$1001,MATCH(ROWS($AG$2:AG460),$AG$2:$AG$1001,0),MATCH(COLUMNS($AN$1006:AW1006),$AN$1006:$BO$1006,0)), HYPERLINK("#",""), HYPERLINK(CONCATENATE("#Metadata!", ADDRESS(INDEX($AI$2:$AI$1001,MATCH(ROWS($AG$2:AG460),$AG$2:$AG$1001,0),0), INDEX($AN$1004:$BO$1004,1,MATCH(COLUMNS($AN$1006:AW1006),$AN$1006:$BO$1006,0)))),"Fix")))</f>
        <v>0</v>
      </c>
      <c r="L460" s="4">
        <f>IF(OR(INDEX($AH$2:$AH$1001,MATCH(ROWS($AG$2:AG460),$AG$2:$AG$1001,0),1)&gt;=100000,INDEX($AN$1005:$BO$1005,1,MATCH(COLUMNS($AN$1006:AX1006),$AN$1006:$BO$1006,0))&gt;=100000), " ",IF(INDEX($AN$2:$BO$1001,MATCH(ROWS($AG$2:AG460),$AG$2:$AG$1001,0),MATCH(COLUMNS($AN$1006:AX1006),$AN$1006:$BO$1006,0)), HYPERLINK("#",""), HYPERLINK(CONCATENATE("#Metadata!", ADDRESS(INDEX($AI$2:$AI$1001,MATCH(ROWS($AG$2:AG460),$AG$2:$AG$1001,0),0), INDEX($AN$1004:$BO$1004,1,MATCH(COLUMNS($AN$1006:AX1006),$AN$1006:$BO$1006,0)))),"Fix")))</f>
        <v>0</v>
      </c>
      <c r="M460" s="4">
        <f>IF(OR(INDEX($AH$2:$AH$1001,MATCH(ROWS($AG$2:AG460),$AG$2:$AG$1001,0),1)&gt;=100000,INDEX($AN$1005:$BO$1005,1,MATCH(COLUMNS($AN$1006:AY1006),$AN$1006:$BO$1006,0))&gt;=100000), " ",IF(INDEX($AN$2:$BO$1001,MATCH(ROWS($AG$2:AG460),$AG$2:$AG$1001,0),MATCH(COLUMNS($AN$1006:AY1006),$AN$1006:$BO$1006,0)), HYPERLINK("#",""), HYPERLINK(CONCATENATE("#Metadata!", ADDRESS(INDEX($AI$2:$AI$1001,MATCH(ROWS($AG$2:AG460),$AG$2:$AG$1001,0),0), INDEX($AN$1004:$BO$1004,1,MATCH(COLUMNS($AN$1006:AY1006),$AN$1006:$BO$1006,0)))),"Fix")))</f>
        <v>0</v>
      </c>
      <c r="N460" s="4">
        <f>IF(OR(INDEX($AH$2:$AH$1001,MATCH(ROWS($AG$2:AG460),$AG$2:$AG$1001,0),1)&gt;=100000,INDEX($AN$1005:$BO$1005,1,MATCH(COLUMNS($AN$1006:AZ1006),$AN$1006:$BO$1006,0))&gt;=100000), " ",IF(INDEX($AN$2:$BO$1001,MATCH(ROWS($AG$2:AG460),$AG$2:$AG$1001,0),MATCH(COLUMNS($AN$1006:AZ1006),$AN$1006:$BO$1006,0)), HYPERLINK("#",""), HYPERLINK(CONCATENATE("#Metadata!", ADDRESS(INDEX($AI$2:$AI$1001,MATCH(ROWS($AG$2:AG460),$AG$2:$AG$1001,0),0), INDEX($AN$1004:$BO$1004,1,MATCH(COLUMNS($AN$1006:AZ1006),$AN$1006:$BO$1006,0)))),"Fix")))</f>
        <v>0</v>
      </c>
      <c r="O460" s="4">
        <f>IF(OR(INDEX($AH$2:$AH$1001,MATCH(ROWS($AG$2:AG460),$AG$2:$AG$1001,0),1)&gt;=100000,INDEX($AN$1005:$BO$1005,1,MATCH(COLUMNS($AN$1006:BA1006),$AN$1006:$BO$1006,0))&gt;=100000), " ",IF(INDEX($AN$2:$BO$1001,MATCH(ROWS($AG$2:AG460),$AG$2:$AG$1001,0),MATCH(COLUMNS($AN$1006:BA1006),$AN$1006:$BO$1006,0)), HYPERLINK("#",""), HYPERLINK(CONCATENATE("#Metadata!", ADDRESS(INDEX($AI$2:$AI$1001,MATCH(ROWS($AG$2:AG460),$AG$2:$AG$1001,0),0), INDEX($AN$1004:$BO$1004,1,MATCH(COLUMNS($AN$1006:BA1006),$AN$1006:$BO$1006,0)))),"Fix")))</f>
        <v>0</v>
      </c>
      <c r="P460" s="4">
        <f>IF(OR(INDEX($AH$2:$AH$1001,MATCH(ROWS($AG$2:AG460),$AG$2:$AG$1001,0),1)&gt;=100000,INDEX($AN$1005:$BO$1005,1,MATCH(COLUMNS($AN$1006:BB1006),$AN$1006:$BO$1006,0))&gt;=100000), " ",IF(INDEX($AN$2:$BO$1001,MATCH(ROWS($AG$2:AG460),$AG$2:$AG$1001,0),MATCH(COLUMNS($AN$1006:BB1006),$AN$1006:$BO$1006,0)), HYPERLINK("#",""), HYPERLINK(CONCATENATE("#Metadata!", ADDRESS(INDEX($AI$2:$AI$1001,MATCH(ROWS($AG$2:AG460),$AG$2:$AG$1001,0),0), INDEX($AN$1004:$BO$1004,1,MATCH(COLUMNS($AN$1006:BB1006),$AN$1006:$BO$1006,0)))),"Fix")))</f>
        <v>0</v>
      </c>
      <c r="Q460" s="4">
        <f>IF(OR(INDEX($AH$2:$AH$1001,MATCH(ROWS($AG$2:AG460),$AG$2:$AG$1001,0),1)&gt;=100000,INDEX($AN$1005:$BO$1005,1,MATCH(COLUMNS($AN$1006:BC1006),$AN$1006:$BO$1006,0))&gt;=100000), " ",IF(INDEX($AN$2:$BO$1001,MATCH(ROWS($AG$2:AG460),$AG$2:$AG$1001,0),MATCH(COLUMNS($AN$1006:BC1006),$AN$1006:$BO$1006,0)), HYPERLINK("#",""), HYPERLINK(CONCATENATE("#Metadata!", ADDRESS(INDEX($AI$2:$AI$1001,MATCH(ROWS($AG$2:AG460),$AG$2:$AG$1001,0),0), INDEX($AN$1004:$BO$1004,1,MATCH(COLUMNS($AN$1006:BC1006),$AN$1006:$BO$1006,0)))),"Fix")))</f>
        <v>0</v>
      </c>
      <c r="R460" s="4">
        <f>IF(OR(INDEX($AH$2:$AH$1001,MATCH(ROWS($AG$2:AG460),$AG$2:$AG$1001,0),1)&gt;=100000,INDEX($AN$1005:$BO$1005,1,MATCH(COLUMNS($AN$1006:BD1006),$AN$1006:$BO$1006,0))&gt;=100000), " ",IF(INDEX($AN$2:$BO$1001,MATCH(ROWS($AG$2:AG460),$AG$2:$AG$1001,0),MATCH(COLUMNS($AN$1006:BD1006),$AN$1006:$BO$1006,0)), HYPERLINK("#",""), HYPERLINK(CONCATENATE("#Metadata!", ADDRESS(INDEX($AI$2:$AI$1001,MATCH(ROWS($AG$2:AG460),$AG$2:$AG$1001,0),0), INDEX($AN$1004:$BO$1004,1,MATCH(COLUMNS($AN$1006:BD1006),$AN$1006:$BO$1006,0)))),"Fix")))</f>
        <v>0</v>
      </c>
      <c r="S460" s="4">
        <f>IF(OR(INDEX($AH$2:$AH$1001,MATCH(ROWS($AG$2:AG460),$AG$2:$AG$1001,0),1)&gt;=100000,INDEX($AN$1005:$BO$1005,1,MATCH(COLUMNS($AN$1006:BE1006),$AN$1006:$BO$1006,0))&gt;=100000), " ",IF(INDEX($AN$2:$BO$1001,MATCH(ROWS($AG$2:AG460),$AG$2:$AG$1001,0),MATCH(COLUMNS($AN$1006:BE1006),$AN$1006:$BO$1006,0)), HYPERLINK("#",""), HYPERLINK(CONCATENATE("#Metadata!", ADDRESS(INDEX($AI$2:$AI$1001,MATCH(ROWS($AG$2:AG460),$AG$2:$AG$1001,0),0), INDEX($AN$1004:$BO$1004,1,MATCH(COLUMNS($AN$1006:BE1006),$AN$1006:$BO$1006,0)))),"Fix")))</f>
        <v>0</v>
      </c>
      <c r="T460" s="4">
        <f>IF(OR(INDEX($AH$2:$AH$1001,MATCH(ROWS($AG$2:AG460),$AG$2:$AG$1001,0),1)&gt;=100000,INDEX($AN$1005:$BO$1005,1,MATCH(COLUMNS($AN$1006:BF1006),$AN$1006:$BO$1006,0))&gt;=100000), " ",IF(INDEX($AN$2:$BO$1001,MATCH(ROWS($AG$2:AG460),$AG$2:$AG$1001,0),MATCH(COLUMNS($AN$1006:BF1006),$AN$1006:$BO$1006,0)), HYPERLINK("#",""), HYPERLINK(CONCATENATE("#Metadata!", ADDRESS(INDEX($AI$2:$AI$1001,MATCH(ROWS($AG$2:AG460),$AG$2:$AG$1001,0),0), INDEX($AN$1004:$BO$1004,1,MATCH(COLUMNS($AN$1006:BF1006),$AN$1006:$BO$1006,0)))),"Fix")))</f>
        <v>0</v>
      </c>
      <c r="U460" s="4">
        <f>IF(OR(INDEX($AH$2:$AH$1001,MATCH(ROWS($AG$2:AG460),$AG$2:$AG$1001,0),1)&gt;=100000,INDEX($AN$1005:$BO$1005,1,MATCH(COLUMNS($AN$1006:BG1006),$AN$1006:$BO$1006,0))&gt;=100000), " ",IF(INDEX($AN$2:$BO$1001,MATCH(ROWS($AG$2:AG460),$AG$2:$AG$1001,0),MATCH(COLUMNS($AN$1006:BG1006),$AN$1006:$BO$1006,0)), HYPERLINK("#",""), HYPERLINK(CONCATENATE("#Metadata!", ADDRESS(INDEX($AI$2:$AI$1001,MATCH(ROWS($AG$2:AG460),$AG$2:$AG$1001,0),0), INDEX($AN$1004:$BO$1004,1,MATCH(COLUMNS($AN$1006:BG1006),$AN$1006:$BO$1006,0)))),"Fix")))</f>
        <v>0</v>
      </c>
      <c r="V460" s="4">
        <f>IF(OR(INDEX($AH$2:$AH$1001,MATCH(ROWS($AG$2:AG460),$AG$2:$AG$1001,0),1)&gt;=100000,INDEX($AN$1005:$BO$1005,1,MATCH(COLUMNS($AN$1006:BH1006),$AN$1006:$BO$1006,0))&gt;=100000), " ",IF(INDEX($AN$2:$BO$1001,MATCH(ROWS($AG$2:AG460),$AG$2:$AG$1001,0),MATCH(COLUMNS($AN$1006:BH1006),$AN$1006:$BO$1006,0)), HYPERLINK("#",""), HYPERLINK(CONCATENATE("#Metadata!", ADDRESS(INDEX($AI$2:$AI$1001,MATCH(ROWS($AG$2:AG460),$AG$2:$AG$1001,0),0), INDEX($AN$1004:$BO$1004,1,MATCH(COLUMNS($AN$1006:BH1006),$AN$1006:$BO$1006,0)))),"Fix")))</f>
        <v>0</v>
      </c>
      <c r="W460" s="4">
        <f>IF(OR(INDEX($AH$2:$AH$1001,MATCH(ROWS($AG$2:AG460),$AG$2:$AG$1001,0),1)&gt;=100000,INDEX($AN$1005:$BO$1005,1,MATCH(COLUMNS($AN$1006:BI1006),$AN$1006:$BO$1006,0))&gt;=100000), " ",IF(INDEX($AN$2:$BO$1001,MATCH(ROWS($AG$2:AG460),$AG$2:$AG$1001,0),MATCH(COLUMNS($AN$1006:BI1006),$AN$1006:$BO$1006,0)), HYPERLINK("#",""), HYPERLINK(CONCATENATE("#Metadata!", ADDRESS(INDEX($AI$2:$AI$1001,MATCH(ROWS($AG$2:AG460),$AG$2:$AG$1001,0),0), INDEX($AN$1004:$BO$1004,1,MATCH(COLUMNS($AN$1006:BI1006),$AN$1006:$BO$1006,0)))),"Fix")))</f>
        <v>0</v>
      </c>
      <c r="X460" s="4">
        <f>IF(OR(INDEX($AH$2:$AH$1001,MATCH(ROWS($AG$2:AG460),$AG$2:$AG$1001,0),1)&gt;=100000,INDEX($AN$1005:$BO$1005,1,MATCH(COLUMNS($AN$1006:BJ1006),$AN$1006:$BO$1006,0))&gt;=100000), " ",IF(INDEX($AN$2:$BO$1001,MATCH(ROWS($AG$2:AG460),$AG$2:$AG$1001,0),MATCH(COLUMNS($AN$1006:BJ1006),$AN$1006:$BO$1006,0)), HYPERLINK("#",""), HYPERLINK(CONCATENATE("#Metadata!", ADDRESS(INDEX($AI$2:$AI$1001,MATCH(ROWS($AG$2:AG460),$AG$2:$AG$1001,0),0), INDEX($AN$1004:$BO$1004,1,MATCH(COLUMNS($AN$1006:BJ1006),$AN$1006:$BO$1006,0)))),"Fix")))</f>
        <v>0</v>
      </c>
      <c r="Y460" s="4">
        <f>IF(OR(INDEX($AH$2:$AH$1001,MATCH(ROWS($AG$2:AG460),$AG$2:$AG$1001,0),1)&gt;=100000,INDEX($AN$1005:$BO$1005,1,MATCH(COLUMNS($AN$1006:BK1006),$AN$1006:$BO$1006,0))&gt;=100000), " ",IF(INDEX($AN$2:$BO$1001,MATCH(ROWS($AG$2:AG460),$AG$2:$AG$1001,0),MATCH(COLUMNS($AN$1006:BK1006),$AN$1006:$BO$1006,0)), HYPERLINK("#",""), HYPERLINK(CONCATENATE("#Metadata!", ADDRESS(INDEX($AI$2:$AI$1001,MATCH(ROWS($AG$2:AG460),$AG$2:$AG$1001,0),0), INDEX($AN$1004:$BO$1004,1,MATCH(COLUMNS($AN$1006:BK1006),$AN$1006:$BO$1006,0)))),"Fix")))</f>
        <v>0</v>
      </c>
      <c r="Z460" s="4">
        <f>IF(OR(INDEX($AH$2:$AH$1001,MATCH(ROWS($AG$2:AG460),$AG$2:$AG$1001,0),1)&gt;=100000,INDEX($AN$1005:$BO$1005,1,MATCH(COLUMNS($AN$1006:BL1006),$AN$1006:$BO$1006,0))&gt;=100000), " ",IF(INDEX($AN$2:$BO$1001,MATCH(ROWS($AG$2:AG460),$AG$2:$AG$1001,0),MATCH(COLUMNS($AN$1006:BL1006),$AN$1006:$BO$1006,0)), HYPERLINK("#",""), HYPERLINK(CONCATENATE("#Metadata!", ADDRESS(INDEX($AI$2:$AI$1001,MATCH(ROWS($AG$2:AG460),$AG$2:$AG$1001,0),0), INDEX($AN$1004:$BO$1004,1,MATCH(COLUMNS($AN$1006:BL1006),$AN$1006:$BO$1006,0)))),"Fix")))</f>
        <v>0</v>
      </c>
      <c r="AA460" s="4">
        <f>IF(OR(INDEX($AH$2:$AH$1001,MATCH(ROWS($AG$2:AG460),$AG$2:$AG$1001,0),1)&gt;=100000,INDEX($AN$1005:$BO$1005,1,MATCH(COLUMNS($AN$1006:BM1006),$AN$1006:$BO$1006,0))&gt;=100000), " ",IF(INDEX($AN$2:$BO$1001,MATCH(ROWS($AG$2:AG460),$AG$2:$AG$1001,0),MATCH(COLUMNS($AN$1006:BM1006),$AN$1006:$BO$1006,0)), HYPERLINK("#",""), HYPERLINK(CONCATENATE("#Metadata!", ADDRESS(INDEX($AI$2:$AI$1001,MATCH(ROWS($AG$2:AG460),$AG$2:$AG$1001,0),0), INDEX($AN$1004:$BO$1004,1,MATCH(COLUMNS($AN$1006:BM1006),$AN$1006:$BO$1006,0)))),"Fix")))</f>
        <v>0</v>
      </c>
      <c r="AB460" s="4">
        <f>IF(OR(INDEX($AH$2:$AH$1001,MATCH(ROWS($AG$2:AG460),$AG$2:$AG$1001,0),1)&gt;=100000,INDEX($AN$1005:$BO$1005,1,MATCH(COLUMNS($AN$1006:BN1006),$AN$1006:$BO$1006,0))&gt;=100000), " ",IF(INDEX($AN$2:$BO$1001,MATCH(ROWS($AG$2:AG460),$AG$2:$AG$1001,0),MATCH(COLUMNS($AN$1006:BN1006),$AN$1006:$BO$1006,0)), HYPERLINK("#",""), HYPERLINK(CONCATENATE("#Metadata!", ADDRESS(INDEX($AI$2:$AI$1001,MATCH(ROWS($AG$2:AG460),$AG$2:$AG$1001,0),0), INDEX($AN$1004:$BO$1004,1,MATCH(COLUMNS($AN$1006:BN1006),$AN$1006:$BO$1006,0)))),"Fix")))</f>
        <v>0</v>
      </c>
      <c r="AC460" s="4">
        <f>IF(OR(INDEX($AH$2:$AH$1001,MATCH(ROWS($AG$2:AG460),$AG$2:$AG$1001,0),1)&gt;=100000,INDEX($AN$1005:$BO$1005,1,MATCH(COLUMNS($AN$1006:BO1006),$AN$1006:$BO$1006,0))&gt;=100000), " ",IF(INDEX($AN$2:$BO$1001,MATCH(ROWS($AG$2:AG460),$AG$2:$AG$1001,0),MATCH(COLUMNS($AN$1006:BO1006),$AN$1006:$BO$1006,0)), HYPERLINK("#",""), HYPERLINK(CONCATENATE("#Metadata!", ADDRESS(INDEX($AI$2:$AI$1001,MATCH(ROWS($AG$2:AG460),$AG$2:$AG$1001,0),0), INDEX($AN$1004:$BO$1004,1,MATCH(COLUMNS($AN$1006:BO1006),$AN$1006:$BO$1006,0)))),"Fix")))</f>
        <v>0</v>
      </c>
      <c r="AG460">
        <v>0</v>
      </c>
      <c r="AH460">
        <v>0</v>
      </c>
      <c r="AI460">
        <v>0</v>
      </c>
      <c r="AJ460">
        <f>IF(AK460,TRUE,AND(AN460:BO460))</f>
        <v>0</v>
      </c>
      <c r="AK460">
        <f>COUNTBLANK(Metadata!B460:AC460)=COLUMNS(Metadata!B460:AC460)</f>
        <v>0</v>
      </c>
      <c r="AL460">
        <v>0</v>
      </c>
      <c r="AN460">
        <f>AND(IF(Metadata!B460="",FALSE,TRUE),COUNTIF(Metadata!B:B, Metadata!B460) = 1,NOT(ISERROR(SUMPRODUCT(SEARCH(MID(Metadata!B460,ROW(INDIRECT("1:"&amp;LEN(Metadata!B460))), 1),"0123456789abcdefghijklmnopqrstuvwxyzABCDEFGHIJKLMNOPQRSTUVWXYZ.")))))</f>
        <v>0</v>
      </c>
      <c r="AO460">
        <f>IF(Metadata!C460="",FALSE,TRUE)</f>
        <v>0</v>
      </c>
      <c r="AP460">
        <f>IF(Metadata!D460="",FALSE,TRUE)</f>
        <v>0</v>
      </c>
      <c r="AQ460">
        <f>OR(AND(IF(Metadata!E460="",FALSE,TRUE),OR(exact(Metadata!E460,"not collected"),exact(Metadata!E460,"not provided"),exact(Metadata!E460,"restricted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R460">
        <f>IF(Metadata!F460="",FALSE,TRUE)</f>
        <v>0</v>
      </c>
      <c r="AS460">
        <f>OR(AND(IF(Metadata!G460="",FALSE,TRUE),OR(exact(Metadata!G460,"not collected"),exact(Metadata!G460,"not provided"))),AND(IF(Metadata!G460="",FALSE,TRUE),OR(exact(Metadata!G460,"TRUE"),exact(Metadata!G460,"FALSE"))))</f>
        <v>0</v>
      </c>
      <c r="AT460">
        <f>OR(AND(IF(Metadata!H460="",FALSE,TRUE),OR(exact(Metadata!H460,"not collected"),exact(Metadata!H460,"not provided"),exact(Metadata!H460,"restricted access"))),AND(IF(Metadata!H460="",FALSE,ISNUMBER(VALUE(Metadata!H460))),Metadata!H460&gt;=-413.0))</f>
        <v>0</v>
      </c>
      <c r="AU460">
        <f>AND(IF(Metadata!I460="",FALSE,TRUE),exact(Metadata!I460,"meters"))</f>
        <v>0</v>
      </c>
      <c r="AV460">
        <f>AND(IF(Metadata!J460="",FALSE,TRUE),OR(exact(Metadata!J460,"Host-associated"),exact(Metadata!J460,"Free-living")))</f>
        <v>0</v>
      </c>
      <c r="AW460">
        <f>AND(IF(Metadata!K460="",FALSE,TRUE),OR(exact(Metadata!K460,"Animal"),exact(Metadata!K460,"Fungus"),exact(Metadata!K460,"Plant"),exact(Metadata!K460,"Saline"),exact(Metadata!K460,"Non-saline")))</f>
        <v>0</v>
      </c>
      <c r="AX460">
        <f>AND(IF(Metadata!L460="",FALSE,TRUE),OR(exact(Metadata!L460,"Plant secretion"),exact(Metadata!L460,"Plant rhizosphere"),exact(Metadata!L460,"Plant surface"),exact(Metadata!L460,"Plant corpus"),exact(Metadata!L460,"Fungus surface"),exact(Metadata!L460,"Fungus corpus"),exact(Metadata!L460,"Animal surface"),exact(Metadata!L460,"Animal proximal gut"),exact(Metadata!L460,"Animal corpus"),exact(Metadata!L460,"Animal distal gut"),exact(Metadata!L460,"Animal secretion"),exact(Metadata!L460,"Sub-surface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Y460">
        <f>IF(Metadata!M460="",FALSE,TRUE)</f>
        <v>0</v>
      </c>
      <c r="AZ460">
        <f>IF(Metadata!N460="",FALSE,TRUE)</f>
        <v>0</v>
      </c>
      <c r="BA460">
        <f>IF(Metadata!O460="",FALSE,TRUE)</f>
        <v>0</v>
      </c>
      <c r="BB460">
        <f>OR(AND(IF(Metadata!P460="",FALSE,TRUE),OR(exact(Metadata!P460,"not collected"),exact(Metadata!P460,"not provided"),exact(Metadata!P460,"restricted access"))),AND(IF(Metadata!P460="",FALSE,TRUE),OR(exact(Metadata!P460,"air"),exact(Metadata!P460,"built environment"),exact(Metadata!P460,"host-associated"),exact(Metadata!P460,"human-associated"),exact(Metadata!P460,"human-skin"),exact(Metadata!P460,"human-oral"),exact(Metadata!P460,"human-gut"),exact(Metadata!P460,"human-vaginal"),exact(Metadata!P460,"microbial mat/biofilm"),exact(Metadata!P460,"misc environment"),exact(Metadata!P460,"plant-associated"),exact(Metadata!P460,"sediment"),exact(Metadata!P460,"soil"),exact(Metadata!P460,"wastewater/sludge"),exact(Metadata!P460,"water"))))</f>
        <v>0</v>
      </c>
      <c r="BC460">
        <f>IF(Metadata!Q460="",FALSE,TRUE)</f>
        <v>0</v>
      </c>
      <c r="BD460">
        <f>IF(Metadata!R460="",FALSE,TRUE)</f>
        <v>0</v>
      </c>
      <c r="BE460">
        <f>OR(AND(IF(Metadata!S460="",FALSE,TRUE),OR(exact(Metadata!S460,"not collected"),exact(Metadata!S460,"not provided"),exact(Metadata!S460,"restricted access"))),AND(IF(Metadata!S460="",FALSE,ISNUMBER(VALUE(Metadata!S460))),Metadata!S460&gt;=-90.00,Metadata!S460&lt;=90.00))</f>
        <v>0</v>
      </c>
      <c r="BF460">
        <f>AND(IF(Metadata!T460="",FALSE,TRUE),exact(Metadata!T460,"Decimal degrees"))</f>
        <v>0</v>
      </c>
      <c r="BG460">
        <f>OR(AND(IF(Metadata!U460="",FALSE,TRUE),OR(exact(Metadata!U460,"not collected"),exact(Metadata!U460,"not provided"),exact(Metadata!U460,"restricted access"))),AND(IF(Metadata!U460="",FALSE,ISNUMBER(VALUE(Metadata!U460))),Metadata!U460&gt;=-180.00,Metadata!U460&lt;=180.00))</f>
        <v>0</v>
      </c>
      <c r="BH460">
        <f>AND(IF(Metadata!V460="",FALSE,TRUE),exact(Metadata!V460,"Decimal degrees"))</f>
        <v>0</v>
      </c>
      <c r="BI460">
        <f>IF(Metadata!W460="",FALSE,TRUE)</f>
        <v>0</v>
      </c>
      <c r="BJ460">
        <f>OR(AND(IF(Metadata!X460="",FALSE,TRUE),OR(exact(Metadata!X460,"not collected"),exact(Metadata!X460,"not provided"),exact(Metadata!X460,"restricted access"))),AND(IF(Metadata!X460="",FALSE,TRUE),OR(exact(Metadata!X460,"TRUE"),exact(Metadata!X460,"FALSE"))))</f>
        <v>0</v>
      </c>
      <c r="BK460">
        <f>AND(IF(Metadata!Y460="",FALSE,TRUE),exact(Metadata!Y460,"other"))</f>
        <v>0</v>
      </c>
      <c r="BL460">
        <f>IF(Metadata!Z460="",FALSE,TRUE)</f>
        <v>0</v>
      </c>
      <c r="BM460">
        <f>OR(AND(IF(Metadata!AA460="",FALSE,TRUE),OR(exact(Metadata!AA460,"not collected"),exact(Metadata!AA460,"not provided"))),AND(IF(Metadata!AA460="",FALSE,IF(ISERROR(INT(Metadata!AA460)),FALSE,INT(Metadata!AA460)=Metadata!AA460)),Metadata!AA460&gt;0))</f>
        <v>0</v>
      </c>
      <c r="BN460">
        <f>AND(IF(Metadata!AB460="",FALSE,TRUE),exact(Metadata!AB460,"Not applicable"))</f>
        <v>0</v>
      </c>
      <c r="BO460">
        <f>IF(Metadata!AC460="",FALSE,TRUE)</f>
        <v>0</v>
      </c>
    </row>
    <row r="461" spans="1:67">
      <c r="A461" s="5">
        <f>IF(B461=" "," ",HYPERLINK(CONCATENATE("#metadata!",ADDRESS(INDEX($AI$2:$AI$1001,MATCH(ROWS($AG$2:AG461),$AG$2:$AG$1001,0),0),1)),INDEX($AL$2:$AL$1001,MATCH(ROWS($AG$2:AG461),$AG$2:$AG$1001,0),0)))</f>
        <v>0</v>
      </c>
      <c r="B461" s="4">
        <f>IF(OR(INDEX($AH$2:$AH$1001,MATCH(ROWS($AG$2:AG461),$AG$2:$AG$1001,0),1)&gt;=100000,INDEX($AN$1005:$BO$1005,1,MATCH(COLUMNS($AN$1006:AN1006),$AN$1006:$BO$1006,0))&gt;=100000), " ",IF(INDEX($AN$2:$BO$1001,MATCH(ROWS($AG$2:AG461),$AG$2:$AG$1001,0),MATCH(COLUMNS($AN$1006:AN1006),$AN$1006:$BO$1006,0)), HYPERLINK("#",""), HYPERLINK(CONCATENATE("#Metadata!", ADDRESS(INDEX($AI$2:$AI$1001,MATCH(ROWS($AG$2:AG461),$AG$2:$AG$1001,0),0), INDEX($AN$1004:$BO$1004,1,MATCH(COLUMNS($AN$1006:AN1006),$AN$1006:$BO$1006,0)))),"Fix")))</f>
        <v>0</v>
      </c>
      <c r="C461" s="4">
        <f>IF(OR(INDEX($AH$2:$AH$1001,MATCH(ROWS($AG$2:AG461),$AG$2:$AG$1001,0),1)&gt;=100000,INDEX($AN$1005:$BO$1005,1,MATCH(COLUMNS($AN$1006:AO1006),$AN$1006:$BO$1006,0))&gt;=100000), " ",IF(INDEX($AN$2:$BO$1001,MATCH(ROWS($AG$2:AG461),$AG$2:$AG$1001,0),MATCH(COLUMNS($AN$1006:AO1006),$AN$1006:$BO$1006,0)), HYPERLINK("#",""), HYPERLINK(CONCATENATE("#Metadata!", ADDRESS(INDEX($AI$2:$AI$1001,MATCH(ROWS($AG$2:AG461),$AG$2:$AG$1001,0),0), INDEX($AN$1004:$BO$1004,1,MATCH(COLUMNS($AN$1006:AO1006),$AN$1006:$BO$1006,0)))),"Fix")))</f>
        <v>0</v>
      </c>
      <c r="D461" s="4">
        <f>IF(OR(INDEX($AH$2:$AH$1001,MATCH(ROWS($AG$2:AG461),$AG$2:$AG$1001,0),1)&gt;=100000,INDEX($AN$1005:$BO$1005,1,MATCH(COLUMNS($AN$1006:AP1006),$AN$1006:$BO$1006,0))&gt;=100000), " ",IF(INDEX($AN$2:$BO$1001,MATCH(ROWS($AG$2:AG461),$AG$2:$AG$1001,0),MATCH(COLUMNS($AN$1006:AP1006),$AN$1006:$BO$1006,0)), HYPERLINK("#",""), HYPERLINK(CONCATENATE("#Metadata!", ADDRESS(INDEX($AI$2:$AI$1001,MATCH(ROWS($AG$2:AG461),$AG$2:$AG$1001,0),0), INDEX($AN$1004:$BO$1004,1,MATCH(COLUMNS($AN$1006:AP1006),$AN$1006:$BO$1006,0)))),"Fix")))</f>
        <v>0</v>
      </c>
      <c r="E461" s="4">
        <f>IF(OR(INDEX($AH$2:$AH$1001,MATCH(ROWS($AG$2:AG461),$AG$2:$AG$1001,0),1)&gt;=100000,INDEX($AN$1005:$BO$1005,1,MATCH(COLUMNS($AN$1006:AQ1006),$AN$1006:$BO$1006,0))&gt;=100000), " ",IF(INDEX($AN$2:$BO$1001,MATCH(ROWS($AG$2:AG461),$AG$2:$AG$1001,0),MATCH(COLUMNS($AN$1006:AQ1006),$AN$1006:$BO$1006,0)), HYPERLINK("#",""), HYPERLINK(CONCATENATE("#Metadata!", ADDRESS(INDEX($AI$2:$AI$1001,MATCH(ROWS($AG$2:AG461),$AG$2:$AG$1001,0),0), INDEX($AN$1004:$BO$1004,1,MATCH(COLUMNS($AN$1006:AQ1006),$AN$1006:$BO$1006,0)))),"Fix")))</f>
        <v>0</v>
      </c>
      <c r="F461" s="4">
        <f>IF(OR(INDEX($AH$2:$AH$1001,MATCH(ROWS($AG$2:AG461),$AG$2:$AG$1001,0),1)&gt;=100000,INDEX($AN$1005:$BO$1005,1,MATCH(COLUMNS($AN$1006:AR1006),$AN$1006:$BO$1006,0))&gt;=100000), " ",IF(INDEX($AN$2:$BO$1001,MATCH(ROWS($AG$2:AG461),$AG$2:$AG$1001,0),MATCH(COLUMNS($AN$1006:AR1006),$AN$1006:$BO$1006,0)), HYPERLINK("#",""), HYPERLINK(CONCATENATE("#Metadata!", ADDRESS(INDEX($AI$2:$AI$1001,MATCH(ROWS($AG$2:AG461),$AG$2:$AG$1001,0),0), INDEX($AN$1004:$BO$1004,1,MATCH(COLUMNS($AN$1006:AR1006),$AN$1006:$BO$1006,0)))),"Fix")))</f>
        <v>0</v>
      </c>
      <c r="G461" s="4">
        <f>IF(OR(INDEX($AH$2:$AH$1001,MATCH(ROWS($AG$2:AG461),$AG$2:$AG$1001,0),1)&gt;=100000,INDEX($AN$1005:$BO$1005,1,MATCH(COLUMNS($AN$1006:AS1006),$AN$1006:$BO$1006,0))&gt;=100000), " ",IF(INDEX($AN$2:$BO$1001,MATCH(ROWS($AG$2:AG461),$AG$2:$AG$1001,0),MATCH(COLUMNS($AN$1006:AS1006),$AN$1006:$BO$1006,0)), HYPERLINK("#",""), HYPERLINK(CONCATENATE("#Metadata!", ADDRESS(INDEX($AI$2:$AI$1001,MATCH(ROWS($AG$2:AG461),$AG$2:$AG$1001,0),0), INDEX($AN$1004:$BO$1004,1,MATCH(COLUMNS($AN$1006:AS1006),$AN$1006:$BO$1006,0)))),"Fix")))</f>
        <v>0</v>
      </c>
      <c r="H461" s="4">
        <f>IF(OR(INDEX($AH$2:$AH$1001,MATCH(ROWS($AG$2:AG461),$AG$2:$AG$1001,0),1)&gt;=100000,INDEX($AN$1005:$BO$1005,1,MATCH(COLUMNS($AN$1006:AT1006),$AN$1006:$BO$1006,0))&gt;=100000), " ",IF(INDEX($AN$2:$BO$1001,MATCH(ROWS($AG$2:AG461),$AG$2:$AG$1001,0),MATCH(COLUMNS($AN$1006:AT1006),$AN$1006:$BO$1006,0)), HYPERLINK("#",""), HYPERLINK(CONCATENATE("#Metadata!", ADDRESS(INDEX($AI$2:$AI$1001,MATCH(ROWS($AG$2:AG461),$AG$2:$AG$1001,0),0), INDEX($AN$1004:$BO$1004,1,MATCH(COLUMNS($AN$1006:AT1006),$AN$1006:$BO$1006,0)))),"Fix")))</f>
        <v>0</v>
      </c>
      <c r="I461" s="4">
        <f>IF(OR(INDEX($AH$2:$AH$1001,MATCH(ROWS($AG$2:AG461),$AG$2:$AG$1001,0),1)&gt;=100000,INDEX($AN$1005:$BO$1005,1,MATCH(COLUMNS($AN$1006:AU1006),$AN$1006:$BO$1006,0))&gt;=100000), " ",IF(INDEX($AN$2:$BO$1001,MATCH(ROWS($AG$2:AG461),$AG$2:$AG$1001,0),MATCH(COLUMNS($AN$1006:AU1006),$AN$1006:$BO$1006,0)), HYPERLINK("#",""), HYPERLINK(CONCATENATE("#Metadata!", ADDRESS(INDEX($AI$2:$AI$1001,MATCH(ROWS($AG$2:AG461),$AG$2:$AG$1001,0),0), INDEX($AN$1004:$BO$1004,1,MATCH(COLUMNS($AN$1006:AU1006),$AN$1006:$BO$1006,0)))),"Fix")))</f>
        <v>0</v>
      </c>
      <c r="J461" s="4">
        <f>IF(OR(INDEX($AH$2:$AH$1001,MATCH(ROWS($AG$2:AG461),$AG$2:$AG$1001,0),1)&gt;=100000,INDEX($AN$1005:$BO$1005,1,MATCH(COLUMNS($AN$1006:AV1006),$AN$1006:$BO$1006,0))&gt;=100000), " ",IF(INDEX($AN$2:$BO$1001,MATCH(ROWS($AG$2:AG461),$AG$2:$AG$1001,0),MATCH(COLUMNS($AN$1006:AV1006),$AN$1006:$BO$1006,0)), HYPERLINK("#",""), HYPERLINK(CONCATENATE("#Metadata!", ADDRESS(INDEX($AI$2:$AI$1001,MATCH(ROWS($AG$2:AG461),$AG$2:$AG$1001,0),0), INDEX($AN$1004:$BO$1004,1,MATCH(COLUMNS($AN$1006:AV1006),$AN$1006:$BO$1006,0)))),"Fix")))</f>
        <v>0</v>
      </c>
      <c r="K461" s="4">
        <f>IF(OR(INDEX($AH$2:$AH$1001,MATCH(ROWS($AG$2:AG461),$AG$2:$AG$1001,0),1)&gt;=100000,INDEX($AN$1005:$BO$1005,1,MATCH(COLUMNS($AN$1006:AW1006),$AN$1006:$BO$1006,0))&gt;=100000), " ",IF(INDEX($AN$2:$BO$1001,MATCH(ROWS($AG$2:AG461),$AG$2:$AG$1001,0),MATCH(COLUMNS($AN$1006:AW1006),$AN$1006:$BO$1006,0)), HYPERLINK("#",""), HYPERLINK(CONCATENATE("#Metadata!", ADDRESS(INDEX($AI$2:$AI$1001,MATCH(ROWS($AG$2:AG461),$AG$2:$AG$1001,0),0), INDEX($AN$1004:$BO$1004,1,MATCH(COLUMNS($AN$1006:AW1006),$AN$1006:$BO$1006,0)))),"Fix")))</f>
        <v>0</v>
      </c>
      <c r="L461" s="4">
        <f>IF(OR(INDEX($AH$2:$AH$1001,MATCH(ROWS($AG$2:AG461),$AG$2:$AG$1001,0),1)&gt;=100000,INDEX($AN$1005:$BO$1005,1,MATCH(COLUMNS($AN$1006:AX1006),$AN$1006:$BO$1006,0))&gt;=100000), " ",IF(INDEX($AN$2:$BO$1001,MATCH(ROWS($AG$2:AG461),$AG$2:$AG$1001,0),MATCH(COLUMNS($AN$1006:AX1006),$AN$1006:$BO$1006,0)), HYPERLINK("#",""), HYPERLINK(CONCATENATE("#Metadata!", ADDRESS(INDEX($AI$2:$AI$1001,MATCH(ROWS($AG$2:AG461),$AG$2:$AG$1001,0),0), INDEX($AN$1004:$BO$1004,1,MATCH(COLUMNS($AN$1006:AX1006),$AN$1006:$BO$1006,0)))),"Fix")))</f>
        <v>0</v>
      </c>
      <c r="M461" s="4">
        <f>IF(OR(INDEX($AH$2:$AH$1001,MATCH(ROWS($AG$2:AG461),$AG$2:$AG$1001,0),1)&gt;=100000,INDEX($AN$1005:$BO$1005,1,MATCH(COLUMNS($AN$1006:AY1006),$AN$1006:$BO$1006,0))&gt;=100000), " ",IF(INDEX($AN$2:$BO$1001,MATCH(ROWS($AG$2:AG461),$AG$2:$AG$1001,0),MATCH(COLUMNS($AN$1006:AY1006),$AN$1006:$BO$1006,0)), HYPERLINK("#",""), HYPERLINK(CONCATENATE("#Metadata!", ADDRESS(INDEX($AI$2:$AI$1001,MATCH(ROWS($AG$2:AG461),$AG$2:$AG$1001,0),0), INDEX($AN$1004:$BO$1004,1,MATCH(COLUMNS($AN$1006:AY1006),$AN$1006:$BO$1006,0)))),"Fix")))</f>
        <v>0</v>
      </c>
      <c r="N461" s="4">
        <f>IF(OR(INDEX($AH$2:$AH$1001,MATCH(ROWS($AG$2:AG461),$AG$2:$AG$1001,0),1)&gt;=100000,INDEX($AN$1005:$BO$1005,1,MATCH(COLUMNS($AN$1006:AZ1006),$AN$1006:$BO$1006,0))&gt;=100000), " ",IF(INDEX($AN$2:$BO$1001,MATCH(ROWS($AG$2:AG461),$AG$2:$AG$1001,0),MATCH(COLUMNS($AN$1006:AZ1006),$AN$1006:$BO$1006,0)), HYPERLINK("#",""), HYPERLINK(CONCATENATE("#Metadata!", ADDRESS(INDEX($AI$2:$AI$1001,MATCH(ROWS($AG$2:AG461),$AG$2:$AG$1001,0),0), INDEX($AN$1004:$BO$1004,1,MATCH(COLUMNS($AN$1006:AZ1006),$AN$1006:$BO$1006,0)))),"Fix")))</f>
        <v>0</v>
      </c>
      <c r="O461" s="4">
        <f>IF(OR(INDEX($AH$2:$AH$1001,MATCH(ROWS($AG$2:AG461),$AG$2:$AG$1001,0),1)&gt;=100000,INDEX($AN$1005:$BO$1005,1,MATCH(COLUMNS($AN$1006:BA1006),$AN$1006:$BO$1006,0))&gt;=100000), " ",IF(INDEX($AN$2:$BO$1001,MATCH(ROWS($AG$2:AG461),$AG$2:$AG$1001,0),MATCH(COLUMNS($AN$1006:BA1006),$AN$1006:$BO$1006,0)), HYPERLINK("#",""), HYPERLINK(CONCATENATE("#Metadata!", ADDRESS(INDEX($AI$2:$AI$1001,MATCH(ROWS($AG$2:AG461),$AG$2:$AG$1001,0),0), INDEX($AN$1004:$BO$1004,1,MATCH(COLUMNS($AN$1006:BA1006),$AN$1006:$BO$1006,0)))),"Fix")))</f>
        <v>0</v>
      </c>
      <c r="P461" s="4">
        <f>IF(OR(INDEX($AH$2:$AH$1001,MATCH(ROWS($AG$2:AG461),$AG$2:$AG$1001,0),1)&gt;=100000,INDEX($AN$1005:$BO$1005,1,MATCH(COLUMNS($AN$1006:BB1006),$AN$1006:$BO$1006,0))&gt;=100000), " ",IF(INDEX($AN$2:$BO$1001,MATCH(ROWS($AG$2:AG461),$AG$2:$AG$1001,0),MATCH(COLUMNS($AN$1006:BB1006),$AN$1006:$BO$1006,0)), HYPERLINK("#",""), HYPERLINK(CONCATENATE("#Metadata!", ADDRESS(INDEX($AI$2:$AI$1001,MATCH(ROWS($AG$2:AG461),$AG$2:$AG$1001,0),0), INDEX($AN$1004:$BO$1004,1,MATCH(COLUMNS($AN$1006:BB1006),$AN$1006:$BO$1006,0)))),"Fix")))</f>
        <v>0</v>
      </c>
      <c r="Q461" s="4">
        <f>IF(OR(INDEX($AH$2:$AH$1001,MATCH(ROWS($AG$2:AG461),$AG$2:$AG$1001,0),1)&gt;=100000,INDEX($AN$1005:$BO$1005,1,MATCH(COLUMNS($AN$1006:BC1006),$AN$1006:$BO$1006,0))&gt;=100000), " ",IF(INDEX($AN$2:$BO$1001,MATCH(ROWS($AG$2:AG461),$AG$2:$AG$1001,0),MATCH(COLUMNS($AN$1006:BC1006),$AN$1006:$BO$1006,0)), HYPERLINK("#",""), HYPERLINK(CONCATENATE("#Metadata!", ADDRESS(INDEX($AI$2:$AI$1001,MATCH(ROWS($AG$2:AG461),$AG$2:$AG$1001,0),0), INDEX($AN$1004:$BO$1004,1,MATCH(COLUMNS($AN$1006:BC1006),$AN$1006:$BO$1006,0)))),"Fix")))</f>
        <v>0</v>
      </c>
      <c r="R461" s="4">
        <f>IF(OR(INDEX($AH$2:$AH$1001,MATCH(ROWS($AG$2:AG461),$AG$2:$AG$1001,0),1)&gt;=100000,INDEX($AN$1005:$BO$1005,1,MATCH(COLUMNS($AN$1006:BD1006),$AN$1006:$BO$1006,0))&gt;=100000), " ",IF(INDEX($AN$2:$BO$1001,MATCH(ROWS($AG$2:AG461),$AG$2:$AG$1001,0),MATCH(COLUMNS($AN$1006:BD1006),$AN$1006:$BO$1006,0)), HYPERLINK("#",""), HYPERLINK(CONCATENATE("#Metadata!", ADDRESS(INDEX($AI$2:$AI$1001,MATCH(ROWS($AG$2:AG461),$AG$2:$AG$1001,0),0), INDEX($AN$1004:$BO$1004,1,MATCH(COLUMNS($AN$1006:BD1006),$AN$1006:$BO$1006,0)))),"Fix")))</f>
        <v>0</v>
      </c>
      <c r="S461" s="4">
        <f>IF(OR(INDEX($AH$2:$AH$1001,MATCH(ROWS($AG$2:AG461),$AG$2:$AG$1001,0),1)&gt;=100000,INDEX($AN$1005:$BO$1005,1,MATCH(COLUMNS($AN$1006:BE1006),$AN$1006:$BO$1006,0))&gt;=100000), " ",IF(INDEX($AN$2:$BO$1001,MATCH(ROWS($AG$2:AG461),$AG$2:$AG$1001,0),MATCH(COLUMNS($AN$1006:BE1006),$AN$1006:$BO$1006,0)), HYPERLINK("#",""), HYPERLINK(CONCATENATE("#Metadata!", ADDRESS(INDEX($AI$2:$AI$1001,MATCH(ROWS($AG$2:AG461),$AG$2:$AG$1001,0),0), INDEX($AN$1004:$BO$1004,1,MATCH(COLUMNS($AN$1006:BE1006),$AN$1006:$BO$1006,0)))),"Fix")))</f>
        <v>0</v>
      </c>
      <c r="T461" s="4">
        <f>IF(OR(INDEX($AH$2:$AH$1001,MATCH(ROWS($AG$2:AG461),$AG$2:$AG$1001,0),1)&gt;=100000,INDEX($AN$1005:$BO$1005,1,MATCH(COLUMNS($AN$1006:BF1006),$AN$1006:$BO$1006,0))&gt;=100000), " ",IF(INDEX($AN$2:$BO$1001,MATCH(ROWS($AG$2:AG461),$AG$2:$AG$1001,0),MATCH(COLUMNS($AN$1006:BF1006),$AN$1006:$BO$1006,0)), HYPERLINK("#",""), HYPERLINK(CONCATENATE("#Metadata!", ADDRESS(INDEX($AI$2:$AI$1001,MATCH(ROWS($AG$2:AG461),$AG$2:$AG$1001,0),0), INDEX($AN$1004:$BO$1004,1,MATCH(COLUMNS($AN$1006:BF1006),$AN$1006:$BO$1006,0)))),"Fix")))</f>
        <v>0</v>
      </c>
      <c r="U461" s="4">
        <f>IF(OR(INDEX($AH$2:$AH$1001,MATCH(ROWS($AG$2:AG461),$AG$2:$AG$1001,0),1)&gt;=100000,INDEX($AN$1005:$BO$1005,1,MATCH(COLUMNS($AN$1006:BG1006),$AN$1006:$BO$1006,0))&gt;=100000), " ",IF(INDEX($AN$2:$BO$1001,MATCH(ROWS($AG$2:AG461),$AG$2:$AG$1001,0),MATCH(COLUMNS($AN$1006:BG1006),$AN$1006:$BO$1006,0)), HYPERLINK("#",""), HYPERLINK(CONCATENATE("#Metadata!", ADDRESS(INDEX($AI$2:$AI$1001,MATCH(ROWS($AG$2:AG461),$AG$2:$AG$1001,0),0), INDEX($AN$1004:$BO$1004,1,MATCH(COLUMNS($AN$1006:BG1006),$AN$1006:$BO$1006,0)))),"Fix")))</f>
        <v>0</v>
      </c>
      <c r="V461" s="4">
        <f>IF(OR(INDEX($AH$2:$AH$1001,MATCH(ROWS($AG$2:AG461),$AG$2:$AG$1001,0),1)&gt;=100000,INDEX($AN$1005:$BO$1005,1,MATCH(COLUMNS($AN$1006:BH1006),$AN$1006:$BO$1006,0))&gt;=100000), " ",IF(INDEX($AN$2:$BO$1001,MATCH(ROWS($AG$2:AG461),$AG$2:$AG$1001,0),MATCH(COLUMNS($AN$1006:BH1006),$AN$1006:$BO$1006,0)), HYPERLINK("#",""), HYPERLINK(CONCATENATE("#Metadata!", ADDRESS(INDEX($AI$2:$AI$1001,MATCH(ROWS($AG$2:AG461),$AG$2:$AG$1001,0),0), INDEX($AN$1004:$BO$1004,1,MATCH(COLUMNS($AN$1006:BH1006),$AN$1006:$BO$1006,0)))),"Fix")))</f>
        <v>0</v>
      </c>
      <c r="W461" s="4">
        <f>IF(OR(INDEX($AH$2:$AH$1001,MATCH(ROWS($AG$2:AG461),$AG$2:$AG$1001,0),1)&gt;=100000,INDEX($AN$1005:$BO$1005,1,MATCH(COLUMNS($AN$1006:BI1006),$AN$1006:$BO$1006,0))&gt;=100000), " ",IF(INDEX($AN$2:$BO$1001,MATCH(ROWS($AG$2:AG461),$AG$2:$AG$1001,0),MATCH(COLUMNS($AN$1006:BI1006),$AN$1006:$BO$1006,0)), HYPERLINK("#",""), HYPERLINK(CONCATENATE("#Metadata!", ADDRESS(INDEX($AI$2:$AI$1001,MATCH(ROWS($AG$2:AG461),$AG$2:$AG$1001,0),0), INDEX($AN$1004:$BO$1004,1,MATCH(COLUMNS($AN$1006:BI1006),$AN$1006:$BO$1006,0)))),"Fix")))</f>
        <v>0</v>
      </c>
      <c r="X461" s="4">
        <f>IF(OR(INDEX($AH$2:$AH$1001,MATCH(ROWS($AG$2:AG461),$AG$2:$AG$1001,0),1)&gt;=100000,INDEX($AN$1005:$BO$1005,1,MATCH(COLUMNS($AN$1006:BJ1006),$AN$1006:$BO$1006,0))&gt;=100000), " ",IF(INDEX($AN$2:$BO$1001,MATCH(ROWS($AG$2:AG461),$AG$2:$AG$1001,0),MATCH(COLUMNS($AN$1006:BJ1006),$AN$1006:$BO$1006,0)), HYPERLINK("#",""), HYPERLINK(CONCATENATE("#Metadata!", ADDRESS(INDEX($AI$2:$AI$1001,MATCH(ROWS($AG$2:AG461),$AG$2:$AG$1001,0),0), INDEX($AN$1004:$BO$1004,1,MATCH(COLUMNS($AN$1006:BJ1006),$AN$1006:$BO$1006,0)))),"Fix")))</f>
        <v>0</v>
      </c>
      <c r="Y461" s="4">
        <f>IF(OR(INDEX($AH$2:$AH$1001,MATCH(ROWS($AG$2:AG461),$AG$2:$AG$1001,0),1)&gt;=100000,INDEX($AN$1005:$BO$1005,1,MATCH(COLUMNS($AN$1006:BK1006),$AN$1006:$BO$1006,0))&gt;=100000), " ",IF(INDEX($AN$2:$BO$1001,MATCH(ROWS($AG$2:AG461),$AG$2:$AG$1001,0),MATCH(COLUMNS($AN$1006:BK1006),$AN$1006:$BO$1006,0)), HYPERLINK("#",""), HYPERLINK(CONCATENATE("#Metadata!", ADDRESS(INDEX($AI$2:$AI$1001,MATCH(ROWS($AG$2:AG461),$AG$2:$AG$1001,0),0), INDEX($AN$1004:$BO$1004,1,MATCH(COLUMNS($AN$1006:BK1006),$AN$1006:$BO$1006,0)))),"Fix")))</f>
        <v>0</v>
      </c>
      <c r="Z461" s="4">
        <f>IF(OR(INDEX($AH$2:$AH$1001,MATCH(ROWS($AG$2:AG461),$AG$2:$AG$1001,0),1)&gt;=100000,INDEX($AN$1005:$BO$1005,1,MATCH(COLUMNS($AN$1006:BL1006),$AN$1006:$BO$1006,0))&gt;=100000), " ",IF(INDEX($AN$2:$BO$1001,MATCH(ROWS($AG$2:AG461),$AG$2:$AG$1001,0),MATCH(COLUMNS($AN$1006:BL1006),$AN$1006:$BO$1006,0)), HYPERLINK("#",""), HYPERLINK(CONCATENATE("#Metadata!", ADDRESS(INDEX($AI$2:$AI$1001,MATCH(ROWS($AG$2:AG461),$AG$2:$AG$1001,0),0), INDEX($AN$1004:$BO$1004,1,MATCH(COLUMNS($AN$1006:BL1006),$AN$1006:$BO$1006,0)))),"Fix")))</f>
        <v>0</v>
      </c>
      <c r="AA461" s="4">
        <f>IF(OR(INDEX($AH$2:$AH$1001,MATCH(ROWS($AG$2:AG461),$AG$2:$AG$1001,0),1)&gt;=100000,INDEX($AN$1005:$BO$1005,1,MATCH(COLUMNS($AN$1006:BM1006),$AN$1006:$BO$1006,0))&gt;=100000), " ",IF(INDEX($AN$2:$BO$1001,MATCH(ROWS($AG$2:AG461),$AG$2:$AG$1001,0),MATCH(COLUMNS($AN$1006:BM1006),$AN$1006:$BO$1006,0)), HYPERLINK("#",""), HYPERLINK(CONCATENATE("#Metadata!", ADDRESS(INDEX($AI$2:$AI$1001,MATCH(ROWS($AG$2:AG461),$AG$2:$AG$1001,0),0), INDEX($AN$1004:$BO$1004,1,MATCH(COLUMNS($AN$1006:BM1006),$AN$1006:$BO$1006,0)))),"Fix")))</f>
        <v>0</v>
      </c>
      <c r="AB461" s="4">
        <f>IF(OR(INDEX($AH$2:$AH$1001,MATCH(ROWS($AG$2:AG461),$AG$2:$AG$1001,0),1)&gt;=100000,INDEX($AN$1005:$BO$1005,1,MATCH(COLUMNS($AN$1006:BN1006),$AN$1006:$BO$1006,0))&gt;=100000), " ",IF(INDEX($AN$2:$BO$1001,MATCH(ROWS($AG$2:AG461),$AG$2:$AG$1001,0),MATCH(COLUMNS($AN$1006:BN1006),$AN$1006:$BO$1006,0)), HYPERLINK("#",""), HYPERLINK(CONCATENATE("#Metadata!", ADDRESS(INDEX($AI$2:$AI$1001,MATCH(ROWS($AG$2:AG461),$AG$2:$AG$1001,0),0), INDEX($AN$1004:$BO$1004,1,MATCH(COLUMNS($AN$1006:BN1006),$AN$1006:$BO$1006,0)))),"Fix")))</f>
        <v>0</v>
      </c>
      <c r="AC461" s="4">
        <f>IF(OR(INDEX($AH$2:$AH$1001,MATCH(ROWS($AG$2:AG461),$AG$2:$AG$1001,0),1)&gt;=100000,INDEX($AN$1005:$BO$1005,1,MATCH(COLUMNS($AN$1006:BO1006),$AN$1006:$BO$1006,0))&gt;=100000), " ",IF(INDEX($AN$2:$BO$1001,MATCH(ROWS($AG$2:AG461),$AG$2:$AG$1001,0),MATCH(COLUMNS($AN$1006:BO1006),$AN$1006:$BO$1006,0)), HYPERLINK("#",""), HYPERLINK(CONCATENATE("#Metadata!", ADDRESS(INDEX($AI$2:$AI$1001,MATCH(ROWS($AG$2:AG461),$AG$2:$AG$1001,0),0), INDEX($AN$1004:$BO$1004,1,MATCH(COLUMNS($AN$1006:BO1006),$AN$1006:$BO$1006,0)))),"Fix")))</f>
        <v>0</v>
      </c>
      <c r="AG461">
        <v>0</v>
      </c>
      <c r="AH461">
        <v>0</v>
      </c>
      <c r="AI461">
        <v>0</v>
      </c>
      <c r="AJ461">
        <f>IF(AK461,TRUE,AND(AN461:BO461))</f>
        <v>0</v>
      </c>
      <c r="AK461">
        <f>COUNTBLANK(Metadata!B461:AC461)=COLUMNS(Metadata!B461:AC461)</f>
        <v>0</v>
      </c>
      <c r="AL461">
        <v>0</v>
      </c>
      <c r="AN461">
        <f>AND(IF(Metadata!B461="",FALSE,TRUE),COUNTIF(Metadata!B:B, Metadata!B461) = 1,NOT(ISERROR(SUMPRODUCT(SEARCH(MID(Metadata!B461,ROW(INDIRECT("1:"&amp;LEN(Metadata!B461))), 1),"0123456789abcdefghijklmnopqrstuvwxyzABCDEFGHIJKLMNOPQRSTUVWXYZ.")))))</f>
        <v>0</v>
      </c>
      <c r="AO461">
        <f>IF(Metadata!C461="",FALSE,TRUE)</f>
        <v>0</v>
      </c>
      <c r="AP461">
        <f>IF(Metadata!D461="",FALSE,TRUE)</f>
        <v>0</v>
      </c>
      <c r="AQ461">
        <f>OR(AND(IF(Metadata!E461="",FALSE,TRUE),OR(exact(Metadata!E461,"not collected"),exact(Metadata!E461,"not provided"),exact(Metadata!E461,"restricted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R461">
        <f>IF(Metadata!F461="",FALSE,TRUE)</f>
        <v>0</v>
      </c>
      <c r="AS461">
        <f>OR(AND(IF(Metadata!G461="",FALSE,TRUE),OR(exact(Metadata!G461,"not collected"),exact(Metadata!G461,"not provided"))),AND(IF(Metadata!G461="",FALSE,TRUE),OR(exact(Metadata!G461,"TRUE"),exact(Metadata!G461,"FALSE"))))</f>
        <v>0</v>
      </c>
      <c r="AT461">
        <f>OR(AND(IF(Metadata!H461="",FALSE,TRUE),OR(exact(Metadata!H461,"not collected"),exact(Metadata!H461,"not provided"),exact(Metadata!H461,"restricted access"))),AND(IF(Metadata!H461="",FALSE,ISNUMBER(VALUE(Metadata!H461))),Metadata!H461&gt;=-413.0))</f>
        <v>0</v>
      </c>
      <c r="AU461">
        <f>AND(IF(Metadata!I461="",FALSE,TRUE),exact(Metadata!I461,"meters"))</f>
        <v>0</v>
      </c>
      <c r="AV461">
        <f>AND(IF(Metadata!J461="",FALSE,TRUE),OR(exact(Metadata!J461,"Host-associated"),exact(Metadata!J461,"Free-living")))</f>
        <v>0</v>
      </c>
      <c r="AW461">
        <f>AND(IF(Metadata!K461="",FALSE,TRUE),OR(exact(Metadata!K461,"Animal"),exact(Metadata!K461,"Fungus"),exact(Metadata!K461,"Plant"),exact(Metadata!K461,"Saline"),exact(Metadata!K461,"Non-saline")))</f>
        <v>0</v>
      </c>
      <c r="AX461">
        <f>AND(IF(Metadata!L461="",FALSE,TRUE),OR(exact(Metadata!L461,"Plant secretion"),exact(Metadata!L461,"Plant rhizosphere"),exact(Metadata!L461,"Plant surface"),exact(Metadata!L461,"Plant corpus"),exact(Metadata!L461,"Fungus surface"),exact(Metadata!L461,"Fungus corpus"),exact(Metadata!L461,"Animal surface"),exact(Metadata!L461,"Animal proximal gut"),exact(Metadata!L461,"Animal corpus"),exact(Metadata!L461,"Animal distal gut"),exact(Metadata!L461,"Animal secretion"),exact(Metadata!L461,"Sub-surface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Y461">
        <f>IF(Metadata!M461="",FALSE,TRUE)</f>
        <v>0</v>
      </c>
      <c r="AZ461">
        <f>IF(Metadata!N461="",FALSE,TRUE)</f>
        <v>0</v>
      </c>
      <c r="BA461">
        <f>IF(Metadata!O461="",FALSE,TRUE)</f>
        <v>0</v>
      </c>
      <c r="BB461">
        <f>OR(AND(IF(Metadata!P461="",FALSE,TRUE),OR(exact(Metadata!P461,"not collected"),exact(Metadata!P461,"not provided"),exact(Metadata!P461,"restricted access"))),AND(IF(Metadata!P461="",FALSE,TRUE),OR(exact(Metadata!P461,"air"),exact(Metadata!P461,"built environment"),exact(Metadata!P461,"host-associated"),exact(Metadata!P461,"human-associated"),exact(Metadata!P461,"human-skin"),exact(Metadata!P461,"human-oral"),exact(Metadata!P461,"human-gut"),exact(Metadata!P461,"human-vaginal"),exact(Metadata!P461,"microbial mat/biofilm"),exact(Metadata!P461,"misc environment"),exact(Metadata!P461,"plant-associated"),exact(Metadata!P461,"sediment"),exact(Metadata!P461,"soil"),exact(Metadata!P461,"wastewater/sludge"),exact(Metadata!P461,"water"))))</f>
        <v>0</v>
      </c>
      <c r="BC461">
        <f>IF(Metadata!Q461="",FALSE,TRUE)</f>
        <v>0</v>
      </c>
      <c r="BD461">
        <f>IF(Metadata!R461="",FALSE,TRUE)</f>
        <v>0</v>
      </c>
      <c r="BE461">
        <f>OR(AND(IF(Metadata!S461="",FALSE,TRUE),OR(exact(Metadata!S461,"not collected"),exact(Metadata!S461,"not provided"),exact(Metadata!S461,"restricted access"))),AND(IF(Metadata!S461="",FALSE,ISNUMBER(VALUE(Metadata!S461))),Metadata!S461&gt;=-90.00,Metadata!S461&lt;=90.00))</f>
        <v>0</v>
      </c>
      <c r="BF461">
        <f>AND(IF(Metadata!T461="",FALSE,TRUE),exact(Metadata!T461,"Decimal degrees"))</f>
        <v>0</v>
      </c>
      <c r="BG461">
        <f>OR(AND(IF(Metadata!U461="",FALSE,TRUE),OR(exact(Metadata!U461,"not collected"),exact(Metadata!U461,"not provided"),exact(Metadata!U461,"restricted access"))),AND(IF(Metadata!U461="",FALSE,ISNUMBER(VALUE(Metadata!U461))),Metadata!U461&gt;=-180.00,Metadata!U461&lt;=180.00))</f>
        <v>0</v>
      </c>
      <c r="BH461">
        <f>AND(IF(Metadata!V461="",FALSE,TRUE),exact(Metadata!V461,"Decimal degrees"))</f>
        <v>0</v>
      </c>
      <c r="BI461">
        <f>IF(Metadata!W461="",FALSE,TRUE)</f>
        <v>0</v>
      </c>
      <c r="BJ461">
        <f>OR(AND(IF(Metadata!X461="",FALSE,TRUE),OR(exact(Metadata!X461,"not collected"),exact(Metadata!X461,"not provided"),exact(Metadata!X461,"restricted access"))),AND(IF(Metadata!X461="",FALSE,TRUE),OR(exact(Metadata!X461,"TRUE"),exact(Metadata!X461,"FALSE"))))</f>
        <v>0</v>
      </c>
      <c r="BK461">
        <f>AND(IF(Metadata!Y461="",FALSE,TRUE),exact(Metadata!Y461,"other"))</f>
        <v>0</v>
      </c>
      <c r="BL461">
        <f>IF(Metadata!Z461="",FALSE,TRUE)</f>
        <v>0</v>
      </c>
      <c r="BM461">
        <f>OR(AND(IF(Metadata!AA461="",FALSE,TRUE),OR(exact(Metadata!AA461,"not collected"),exact(Metadata!AA461,"not provided"))),AND(IF(Metadata!AA461="",FALSE,IF(ISERROR(INT(Metadata!AA461)),FALSE,INT(Metadata!AA461)=Metadata!AA461)),Metadata!AA461&gt;0))</f>
        <v>0</v>
      </c>
      <c r="BN461">
        <f>AND(IF(Metadata!AB461="",FALSE,TRUE),exact(Metadata!AB461,"Not applicable"))</f>
        <v>0</v>
      </c>
      <c r="BO461">
        <f>IF(Metadata!AC461="",FALSE,TRUE)</f>
        <v>0</v>
      </c>
    </row>
    <row r="462" spans="1:67">
      <c r="A462" s="5">
        <f>IF(B462=" "," ",HYPERLINK(CONCATENATE("#metadata!",ADDRESS(INDEX($AI$2:$AI$1001,MATCH(ROWS($AG$2:AG462),$AG$2:$AG$1001,0),0),1)),INDEX($AL$2:$AL$1001,MATCH(ROWS($AG$2:AG462),$AG$2:$AG$1001,0),0)))</f>
        <v>0</v>
      </c>
      <c r="B462" s="4">
        <f>IF(OR(INDEX($AH$2:$AH$1001,MATCH(ROWS($AG$2:AG462),$AG$2:$AG$1001,0),1)&gt;=100000,INDEX($AN$1005:$BO$1005,1,MATCH(COLUMNS($AN$1006:AN1006),$AN$1006:$BO$1006,0))&gt;=100000), " ",IF(INDEX($AN$2:$BO$1001,MATCH(ROWS($AG$2:AG462),$AG$2:$AG$1001,0),MATCH(COLUMNS($AN$1006:AN1006),$AN$1006:$BO$1006,0)), HYPERLINK("#",""), HYPERLINK(CONCATENATE("#Metadata!", ADDRESS(INDEX($AI$2:$AI$1001,MATCH(ROWS($AG$2:AG462),$AG$2:$AG$1001,0),0), INDEX($AN$1004:$BO$1004,1,MATCH(COLUMNS($AN$1006:AN1006),$AN$1006:$BO$1006,0)))),"Fix")))</f>
        <v>0</v>
      </c>
      <c r="C462" s="4">
        <f>IF(OR(INDEX($AH$2:$AH$1001,MATCH(ROWS($AG$2:AG462),$AG$2:$AG$1001,0),1)&gt;=100000,INDEX($AN$1005:$BO$1005,1,MATCH(COLUMNS($AN$1006:AO1006),$AN$1006:$BO$1006,0))&gt;=100000), " ",IF(INDEX($AN$2:$BO$1001,MATCH(ROWS($AG$2:AG462),$AG$2:$AG$1001,0),MATCH(COLUMNS($AN$1006:AO1006),$AN$1006:$BO$1006,0)), HYPERLINK("#",""), HYPERLINK(CONCATENATE("#Metadata!", ADDRESS(INDEX($AI$2:$AI$1001,MATCH(ROWS($AG$2:AG462),$AG$2:$AG$1001,0),0), INDEX($AN$1004:$BO$1004,1,MATCH(COLUMNS($AN$1006:AO1006),$AN$1006:$BO$1006,0)))),"Fix")))</f>
        <v>0</v>
      </c>
      <c r="D462" s="4">
        <f>IF(OR(INDEX($AH$2:$AH$1001,MATCH(ROWS($AG$2:AG462),$AG$2:$AG$1001,0),1)&gt;=100000,INDEX($AN$1005:$BO$1005,1,MATCH(COLUMNS($AN$1006:AP1006),$AN$1006:$BO$1006,0))&gt;=100000), " ",IF(INDEX($AN$2:$BO$1001,MATCH(ROWS($AG$2:AG462),$AG$2:$AG$1001,0),MATCH(COLUMNS($AN$1006:AP1006),$AN$1006:$BO$1006,0)), HYPERLINK("#",""), HYPERLINK(CONCATENATE("#Metadata!", ADDRESS(INDEX($AI$2:$AI$1001,MATCH(ROWS($AG$2:AG462),$AG$2:$AG$1001,0),0), INDEX($AN$1004:$BO$1004,1,MATCH(COLUMNS($AN$1006:AP1006),$AN$1006:$BO$1006,0)))),"Fix")))</f>
        <v>0</v>
      </c>
      <c r="E462" s="4">
        <f>IF(OR(INDEX($AH$2:$AH$1001,MATCH(ROWS($AG$2:AG462),$AG$2:$AG$1001,0),1)&gt;=100000,INDEX($AN$1005:$BO$1005,1,MATCH(COLUMNS($AN$1006:AQ1006),$AN$1006:$BO$1006,0))&gt;=100000), " ",IF(INDEX($AN$2:$BO$1001,MATCH(ROWS($AG$2:AG462),$AG$2:$AG$1001,0),MATCH(COLUMNS($AN$1006:AQ1006),$AN$1006:$BO$1006,0)), HYPERLINK("#",""), HYPERLINK(CONCATENATE("#Metadata!", ADDRESS(INDEX($AI$2:$AI$1001,MATCH(ROWS($AG$2:AG462),$AG$2:$AG$1001,0),0), INDEX($AN$1004:$BO$1004,1,MATCH(COLUMNS($AN$1006:AQ1006),$AN$1006:$BO$1006,0)))),"Fix")))</f>
        <v>0</v>
      </c>
      <c r="F462" s="4">
        <f>IF(OR(INDEX($AH$2:$AH$1001,MATCH(ROWS($AG$2:AG462),$AG$2:$AG$1001,0),1)&gt;=100000,INDEX($AN$1005:$BO$1005,1,MATCH(COLUMNS($AN$1006:AR1006),$AN$1006:$BO$1006,0))&gt;=100000), " ",IF(INDEX($AN$2:$BO$1001,MATCH(ROWS($AG$2:AG462),$AG$2:$AG$1001,0),MATCH(COLUMNS($AN$1006:AR1006),$AN$1006:$BO$1006,0)), HYPERLINK("#",""), HYPERLINK(CONCATENATE("#Metadata!", ADDRESS(INDEX($AI$2:$AI$1001,MATCH(ROWS($AG$2:AG462),$AG$2:$AG$1001,0),0), INDEX($AN$1004:$BO$1004,1,MATCH(COLUMNS($AN$1006:AR1006),$AN$1006:$BO$1006,0)))),"Fix")))</f>
        <v>0</v>
      </c>
      <c r="G462" s="4">
        <f>IF(OR(INDEX($AH$2:$AH$1001,MATCH(ROWS($AG$2:AG462),$AG$2:$AG$1001,0),1)&gt;=100000,INDEX($AN$1005:$BO$1005,1,MATCH(COLUMNS($AN$1006:AS1006),$AN$1006:$BO$1006,0))&gt;=100000), " ",IF(INDEX($AN$2:$BO$1001,MATCH(ROWS($AG$2:AG462),$AG$2:$AG$1001,0),MATCH(COLUMNS($AN$1006:AS1006),$AN$1006:$BO$1006,0)), HYPERLINK("#",""), HYPERLINK(CONCATENATE("#Metadata!", ADDRESS(INDEX($AI$2:$AI$1001,MATCH(ROWS($AG$2:AG462),$AG$2:$AG$1001,0),0), INDEX($AN$1004:$BO$1004,1,MATCH(COLUMNS($AN$1006:AS1006),$AN$1006:$BO$1006,0)))),"Fix")))</f>
        <v>0</v>
      </c>
      <c r="H462" s="4">
        <f>IF(OR(INDEX($AH$2:$AH$1001,MATCH(ROWS($AG$2:AG462),$AG$2:$AG$1001,0),1)&gt;=100000,INDEX($AN$1005:$BO$1005,1,MATCH(COLUMNS($AN$1006:AT1006),$AN$1006:$BO$1006,0))&gt;=100000), " ",IF(INDEX($AN$2:$BO$1001,MATCH(ROWS($AG$2:AG462),$AG$2:$AG$1001,0),MATCH(COLUMNS($AN$1006:AT1006),$AN$1006:$BO$1006,0)), HYPERLINK("#",""), HYPERLINK(CONCATENATE("#Metadata!", ADDRESS(INDEX($AI$2:$AI$1001,MATCH(ROWS($AG$2:AG462),$AG$2:$AG$1001,0),0), INDEX($AN$1004:$BO$1004,1,MATCH(COLUMNS($AN$1006:AT1006),$AN$1006:$BO$1006,0)))),"Fix")))</f>
        <v>0</v>
      </c>
      <c r="I462" s="4">
        <f>IF(OR(INDEX($AH$2:$AH$1001,MATCH(ROWS($AG$2:AG462),$AG$2:$AG$1001,0),1)&gt;=100000,INDEX($AN$1005:$BO$1005,1,MATCH(COLUMNS($AN$1006:AU1006),$AN$1006:$BO$1006,0))&gt;=100000), " ",IF(INDEX($AN$2:$BO$1001,MATCH(ROWS($AG$2:AG462),$AG$2:$AG$1001,0),MATCH(COLUMNS($AN$1006:AU1006),$AN$1006:$BO$1006,0)), HYPERLINK("#",""), HYPERLINK(CONCATENATE("#Metadata!", ADDRESS(INDEX($AI$2:$AI$1001,MATCH(ROWS($AG$2:AG462),$AG$2:$AG$1001,0),0), INDEX($AN$1004:$BO$1004,1,MATCH(COLUMNS($AN$1006:AU1006),$AN$1006:$BO$1006,0)))),"Fix")))</f>
        <v>0</v>
      </c>
      <c r="J462" s="4">
        <f>IF(OR(INDEX($AH$2:$AH$1001,MATCH(ROWS($AG$2:AG462),$AG$2:$AG$1001,0),1)&gt;=100000,INDEX($AN$1005:$BO$1005,1,MATCH(COLUMNS($AN$1006:AV1006),$AN$1006:$BO$1006,0))&gt;=100000), " ",IF(INDEX($AN$2:$BO$1001,MATCH(ROWS($AG$2:AG462),$AG$2:$AG$1001,0),MATCH(COLUMNS($AN$1006:AV1006),$AN$1006:$BO$1006,0)), HYPERLINK("#",""), HYPERLINK(CONCATENATE("#Metadata!", ADDRESS(INDEX($AI$2:$AI$1001,MATCH(ROWS($AG$2:AG462),$AG$2:$AG$1001,0),0), INDEX($AN$1004:$BO$1004,1,MATCH(COLUMNS($AN$1006:AV1006),$AN$1006:$BO$1006,0)))),"Fix")))</f>
        <v>0</v>
      </c>
      <c r="K462" s="4">
        <f>IF(OR(INDEX($AH$2:$AH$1001,MATCH(ROWS($AG$2:AG462),$AG$2:$AG$1001,0),1)&gt;=100000,INDEX($AN$1005:$BO$1005,1,MATCH(COLUMNS($AN$1006:AW1006),$AN$1006:$BO$1006,0))&gt;=100000), " ",IF(INDEX($AN$2:$BO$1001,MATCH(ROWS($AG$2:AG462),$AG$2:$AG$1001,0),MATCH(COLUMNS($AN$1006:AW1006),$AN$1006:$BO$1006,0)), HYPERLINK("#",""), HYPERLINK(CONCATENATE("#Metadata!", ADDRESS(INDEX($AI$2:$AI$1001,MATCH(ROWS($AG$2:AG462),$AG$2:$AG$1001,0),0), INDEX($AN$1004:$BO$1004,1,MATCH(COLUMNS($AN$1006:AW1006),$AN$1006:$BO$1006,0)))),"Fix")))</f>
        <v>0</v>
      </c>
      <c r="L462" s="4">
        <f>IF(OR(INDEX($AH$2:$AH$1001,MATCH(ROWS($AG$2:AG462),$AG$2:$AG$1001,0),1)&gt;=100000,INDEX($AN$1005:$BO$1005,1,MATCH(COLUMNS($AN$1006:AX1006),$AN$1006:$BO$1006,0))&gt;=100000), " ",IF(INDEX($AN$2:$BO$1001,MATCH(ROWS($AG$2:AG462),$AG$2:$AG$1001,0),MATCH(COLUMNS($AN$1006:AX1006),$AN$1006:$BO$1006,0)), HYPERLINK("#",""), HYPERLINK(CONCATENATE("#Metadata!", ADDRESS(INDEX($AI$2:$AI$1001,MATCH(ROWS($AG$2:AG462),$AG$2:$AG$1001,0),0), INDEX($AN$1004:$BO$1004,1,MATCH(COLUMNS($AN$1006:AX1006),$AN$1006:$BO$1006,0)))),"Fix")))</f>
        <v>0</v>
      </c>
      <c r="M462" s="4">
        <f>IF(OR(INDEX($AH$2:$AH$1001,MATCH(ROWS($AG$2:AG462),$AG$2:$AG$1001,0),1)&gt;=100000,INDEX($AN$1005:$BO$1005,1,MATCH(COLUMNS($AN$1006:AY1006),$AN$1006:$BO$1006,0))&gt;=100000), " ",IF(INDEX($AN$2:$BO$1001,MATCH(ROWS($AG$2:AG462),$AG$2:$AG$1001,0),MATCH(COLUMNS($AN$1006:AY1006),$AN$1006:$BO$1006,0)), HYPERLINK("#",""), HYPERLINK(CONCATENATE("#Metadata!", ADDRESS(INDEX($AI$2:$AI$1001,MATCH(ROWS($AG$2:AG462),$AG$2:$AG$1001,0),0), INDEX($AN$1004:$BO$1004,1,MATCH(COLUMNS($AN$1006:AY1006),$AN$1006:$BO$1006,0)))),"Fix")))</f>
        <v>0</v>
      </c>
      <c r="N462" s="4">
        <f>IF(OR(INDEX($AH$2:$AH$1001,MATCH(ROWS($AG$2:AG462),$AG$2:$AG$1001,0),1)&gt;=100000,INDEX($AN$1005:$BO$1005,1,MATCH(COLUMNS($AN$1006:AZ1006),$AN$1006:$BO$1006,0))&gt;=100000), " ",IF(INDEX($AN$2:$BO$1001,MATCH(ROWS($AG$2:AG462),$AG$2:$AG$1001,0),MATCH(COLUMNS($AN$1006:AZ1006),$AN$1006:$BO$1006,0)), HYPERLINK("#",""), HYPERLINK(CONCATENATE("#Metadata!", ADDRESS(INDEX($AI$2:$AI$1001,MATCH(ROWS($AG$2:AG462),$AG$2:$AG$1001,0),0), INDEX($AN$1004:$BO$1004,1,MATCH(COLUMNS($AN$1006:AZ1006),$AN$1006:$BO$1006,0)))),"Fix")))</f>
        <v>0</v>
      </c>
      <c r="O462" s="4">
        <f>IF(OR(INDEX($AH$2:$AH$1001,MATCH(ROWS($AG$2:AG462),$AG$2:$AG$1001,0),1)&gt;=100000,INDEX($AN$1005:$BO$1005,1,MATCH(COLUMNS($AN$1006:BA1006),$AN$1006:$BO$1006,0))&gt;=100000), " ",IF(INDEX($AN$2:$BO$1001,MATCH(ROWS($AG$2:AG462),$AG$2:$AG$1001,0),MATCH(COLUMNS($AN$1006:BA1006),$AN$1006:$BO$1006,0)), HYPERLINK("#",""), HYPERLINK(CONCATENATE("#Metadata!", ADDRESS(INDEX($AI$2:$AI$1001,MATCH(ROWS($AG$2:AG462),$AG$2:$AG$1001,0),0), INDEX($AN$1004:$BO$1004,1,MATCH(COLUMNS($AN$1006:BA1006),$AN$1006:$BO$1006,0)))),"Fix")))</f>
        <v>0</v>
      </c>
      <c r="P462" s="4">
        <f>IF(OR(INDEX($AH$2:$AH$1001,MATCH(ROWS($AG$2:AG462),$AG$2:$AG$1001,0),1)&gt;=100000,INDEX($AN$1005:$BO$1005,1,MATCH(COLUMNS($AN$1006:BB1006),$AN$1006:$BO$1006,0))&gt;=100000), " ",IF(INDEX($AN$2:$BO$1001,MATCH(ROWS($AG$2:AG462),$AG$2:$AG$1001,0),MATCH(COLUMNS($AN$1006:BB1006),$AN$1006:$BO$1006,0)), HYPERLINK("#",""), HYPERLINK(CONCATENATE("#Metadata!", ADDRESS(INDEX($AI$2:$AI$1001,MATCH(ROWS($AG$2:AG462),$AG$2:$AG$1001,0),0), INDEX($AN$1004:$BO$1004,1,MATCH(COLUMNS($AN$1006:BB1006),$AN$1006:$BO$1006,0)))),"Fix")))</f>
        <v>0</v>
      </c>
      <c r="Q462" s="4">
        <f>IF(OR(INDEX($AH$2:$AH$1001,MATCH(ROWS($AG$2:AG462),$AG$2:$AG$1001,0),1)&gt;=100000,INDEX($AN$1005:$BO$1005,1,MATCH(COLUMNS($AN$1006:BC1006),$AN$1006:$BO$1006,0))&gt;=100000), " ",IF(INDEX($AN$2:$BO$1001,MATCH(ROWS($AG$2:AG462),$AG$2:$AG$1001,0),MATCH(COLUMNS($AN$1006:BC1006),$AN$1006:$BO$1006,0)), HYPERLINK("#",""), HYPERLINK(CONCATENATE("#Metadata!", ADDRESS(INDEX($AI$2:$AI$1001,MATCH(ROWS($AG$2:AG462),$AG$2:$AG$1001,0),0), INDEX($AN$1004:$BO$1004,1,MATCH(COLUMNS($AN$1006:BC1006),$AN$1006:$BO$1006,0)))),"Fix")))</f>
        <v>0</v>
      </c>
      <c r="R462" s="4">
        <f>IF(OR(INDEX($AH$2:$AH$1001,MATCH(ROWS($AG$2:AG462),$AG$2:$AG$1001,0),1)&gt;=100000,INDEX($AN$1005:$BO$1005,1,MATCH(COLUMNS($AN$1006:BD1006),$AN$1006:$BO$1006,0))&gt;=100000), " ",IF(INDEX($AN$2:$BO$1001,MATCH(ROWS($AG$2:AG462),$AG$2:$AG$1001,0),MATCH(COLUMNS($AN$1006:BD1006),$AN$1006:$BO$1006,0)), HYPERLINK("#",""), HYPERLINK(CONCATENATE("#Metadata!", ADDRESS(INDEX($AI$2:$AI$1001,MATCH(ROWS($AG$2:AG462),$AG$2:$AG$1001,0),0), INDEX($AN$1004:$BO$1004,1,MATCH(COLUMNS($AN$1006:BD1006),$AN$1006:$BO$1006,0)))),"Fix")))</f>
        <v>0</v>
      </c>
      <c r="S462" s="4">
        <f>IF(OR(INDEX($AH$2:$AH$1001,MATCH(ROWS($AG$2:AG462),$AG$2:$AG$1001,0),1)&gt;=100000,INDEX($AN$1005:$BO$1005,1,MATCH(COLUMNS($AN$1006:BE1006),$AN$1006:$BO$1006,0))&gt;=100000), " ",IF(INDEX($AN$2:$BO$1001,MATCH(ROWS($AG$2:AG462),$AG$2:$AG$1001,0),MATCH(COLUMNS($AN$1006:BE1006),$AN$1006:$BO$1006,0)), HYPERLINK("#",""), HYPERLINK(CONCATENATE("#Metadata!", ADDRESS(INDEX($AI$2:$AI$1001,MATCH(ROWS($AG$2:AG462),$AG$2:$AG$1001,0),0), INDEX($AN$1004:$BO$1004,1,MATCH(COLUMNS($AN$1006:BE1006),$AN$1006:$BO$1006,0)))),"Fix")))</f>
        <v>0</v>
      </c>
      <c r="T462" s="4">
        <f>IF(OR(INDEX($AH$2:$AH$1001,MATCH(ROWS($AG$2:AG462),$AG$2:$AG$1001,0),1)&gt;=100000,INDEX($AN$1005:$BO$1005,1,MATCH(COLUMNS($AN$1006:BF1006),$AN$1006:$BO$1006,0))&gt;=100000), " ",IF(INDEX($AN$2:$BO$1001,MATCH(ROWS($AG$2:AG462),$AG$2:$AG$1001,0),MATCH(COLUMNS($AN$1006:BF1006),$AN$1006:$BO$1006,0)), HYPERLINK("#",""), HYPERLINK(CONCATENATE("#Metadata!", ADDRESS(INDEX($AI$2:$AI$1001,MATCH(ROWS($AG$2:AG462),$AG$2:$AG$1001,0),0), INDEX($AN$1004:$BO$1004,1,MATCH(COLUMNS($AN$1006:BF1006),$AN$1006:$BO$1006,0)))),"Fix")))</f>
        <v>0</v>
      </c>
      <c r="U462" s="4">
        <f>IF(OR(INDEX($AH$2:$AH$1001,MATCH(ROWS($AG$2:AG462),$AG$2:$AG$1001,0),1)&gt;=100000,INDEX($AN$1005:$BO$1005,1,MATCH(COLUMNS($AN$1006:BG1006),$AN$1006:$BO$1006,0))&gt;=100000), " ",IF(INDEX($AN$2:$BO$1001,MATCH(ROWS($AG$2:AG462),$AG$2:$AG$1001,0),MATCH(COLUMNS($AN$1006:BG1006),$AN$1006:$BO$1006,0)), HYPERLINK("#",""), HYPERLINK(CONCATENATE("#Metadata!", ADDRESS(INDEX($AI$2:$AI$1001,MATCH(ROWS($AG$2:AG462),$AG$2:$AG$1001,0),0), INDEX($AN$1004:$BO$1004,1,MATCH(COLUMNS($AN$1006:BG1006),$AN$1006:$BO$1006,0)))),"Fix")))</f>
        <v>0</v>
      </c>
      <c r="V462" s="4">
        <f>IF(OR(INDEX($AH$2:$AH$1001,MATCH(ROWS($AG$2:AG462),$AG$2:$AG$1001,0),1)&gt;=100000,INDEX($AN$1005:$BO$1005,1,MATCH(COLUMNS($AN$1006:BH1006),$AN$1006:$BO$1006,0))&gt;=100000), " ",IF(INDEX($AN$2:$BO$1001,MATCH(ROWS($AG$2:AG462),$AG$2:$AG$1001,0),MATCH(COLUMNS($AN$1006:BH1006),$AN$1006:$BO$1006,0)), HYPERLINK("#",""), HYPERLINK(CONCATENATE("#Metadata!", ADDRESS(INDEX($AI$2:$AI$1001,MATCH(ROWS($AG$2:AG462),$AG$2:$AG$1001,0),0), INDEX($AN$1004:$BO$1004,1,MATCH(COLUMNS($AN$1006:BH1006),$AN$1006:$BO$1006,0)))),"Fix")))</f>
        <v>0</v>
      </c>
      <c r="W462" s="4">
        <f>IF(OR(INDEX($AH$2:$AH$1001,MATCH(ROWS($AG$2:AG462),$AG$2:$AG$1001,0),1)&gt;=100000,INDEX($AN$1005:$BO$1005,1,MATCH(COLUMNS($AN$1006:BI1006),$AN$1006:$BO$1006,0))&gt;=100000), " ",IF(INDEX($AN$2:$BO$1001,MATCH(ROWS($AG$2:AG462),$AG$2:$AG$1001,0),MATCH(COLUMNS($AN$1006:BI1006),$AN$1006:$BO$1006,0)), HYPERLINK("#",""), HYPERLINK(CONCATENATE("#Metadata!", ADDRESS(INDEX($AI$2:$AI$1001,MATCH(ROWS($AG$2:AG462),$AG$2:$AG$1001,0),0), INDEX($AN$1004:$BO$1004,1,MATCH(COLUMNS($AN$1006:BI1006),$AN$1006:$BO$1006,0)))),"Fix")))</f>
        <v>0</v>
      </c>
      <c r="X462" s="4">
        <f>IF(OR(INDEX($AH$2:$AH$1001,MATCH(ROWS($AG$2:AG462),$AG$2:$AG$1001,0),1)&gt;=100000,INDEX($AN$1005:$BO$1005,1,MATCH(COLUMNS($AN$1006:BJ1006),$AN$1006:$BO$1006,0))&gt;=100000), " ",IF(INDEX($AN$2:$BO$1001,MATCH(ROWS($AG$2:AG462),$AG$2:$AG$1001,0),MATCH(COLUMNS($AN$1006:BJ1006),$AN$1006:$BO$1006,0)), HYPERLINK("#",""), HYPERLINK(CONCATENATE("#Metadata!", ADDRESS(INDEX($AI$2:$AI$1001,MATCH(ROWS($AG$2:AG462),$AG$2:$AG$1001,0),0), INDEX($AN$1004:$BO$1004,1,MATCH(COLUMNS($AN$1006:BJ1006),$AN$1006:$BO$1006,0)))),"Fix")))</f>
        <v>0</v>
      </c>
      <c r="Y462" s="4">
        <f>IF(OR(INDEX($AH$2:$AH$1001,MATCH(ROWS($AG$2:AG462),$AG$2:$AG$1001,0),1)&gt;=100000,INDEX($AN$1005:$BO$1005,1,MATCH(COLUMNS($AN$1006:BK1006),$AN$1006:$BO$1006,0))&gt;=100000), " ",IF(INDEX($AN$2:$BO$1001,MATCH(ROWS($AG$2:AG462),$AG$2:$AG$1001,0),MATCH(COLUMNS($AN$1006:BK1006),$AN$1006:$BO$1006,0)), HYPERLINK("#",""), HYPERLINK(CONCATENATE("#Metadata!", ADDRESS(INDEX($AI$2:$AI$1001,MATCH(ROWS($AG$2:AG462),$AG$2:$AG$1001,0),0), INDEX($AN$1004:$BO$1004,1,MATCH(COLUMNS($AN$1006:BK1006),$AN$1006:$BO$1006,0)))),"Fix")))</f>
        <v>0</v>
      </c>
      <c r="Z462" s="4">
        <f>IF(OR(INDEX($AH$2:$AH$1001,MATCH(ROWS($AG$2:AG462),$AG$2:$AG$1001,0),1)&gt;=100000,INDEX($AN$1005:$BO$1005,1,MATCH(COLUMNS($AN$1006:BL1006),$AN$1006:$BO$1006,0))&gt;=100000), " ",IF(INDEX($AN$2:$BO$1001,MATCH(ROWS($AG$2:AG462),$AG$2:$AG$1001,0),MATCH(COLUMNS($AN$1006:BL1006),$AN$1006:$BO$1006,0)), HYPERLINK("#",""), HYPERLINK(CONCATENATE("#Metadata!", ADDRESS(INDEX($AI$2:$AI$1001,MATCH(ROWS($AG$2:AG462),$AG$2:$AG$1001,0),0), INDEX($AN$1004:$BO$1004,1,MATCH(COLUMNS($AN$1006:BL1006),$AN$1006:$BO$1006,0)))),"Fix")))</f>
        <v>0</v>
      </c>
      <c r="AA462" s="4">
        <f>IF(OR(INDEX($AH$2:$AH$1001,MATCH(ROWS($AG$2:AG462),$AG$2:$AG$1001,0),1)&gt;=100000,INDEX($AN$1005:$BO$1005,1,MATCH(COLUMNS($AN$1006:BM1006),$AN$1006:$BO$1006,0))&gt;=100000), " ",IF(INDEX($AN$2:$BO$1001,MATCH(ROWS($AG$2:AG462),$AG$2:$AG$1001,0),MATCH(COLUMNS($AN$1006:BM1006),$AN$1006:$BO$1006,0)), HYPERLINK("#",""), HYPERLINK(CONCATENATE("#Metadata!", ADDRESS(INDEX($AI$2:$AI$1001,MATCH(ROWS($AG$2:AG462),$AG$2:$AG$1001,0),0), INDEX($AN$1004:$BO$1004,1,MATCH(COLUMNS($AN$1006:BM1006),$AN$1006:$BO$1006,0)))),"Fix")))</f>
        <v>0</v>
      </c>
      <c r="AB462" s="4">
        <f>IF(OR(INDEX($AH$2:$AH$1001,MATCH(ROWS($AG$2:AG462),$AG$2:$AG$1001,0),1)&gt;=100000,INDEX($AN$1005:$BO$1005,1,MATCH(COLUMNS($AN$1006:BN1006),$AN$1006:$BO$1006,0))&gt;=100000), " ",IF(INDEX($AN$2:$BO$1001,MATCH(ROWS($AG$2:AG462),$AG$2:$AG$1001,0),MATCH(COLUMNS($AN$1006:BN1006),$AN$1006:$BO$1006,0)), HYPERLINK("#",""), HYPERLINK(CONCATENATE("#Metadata!", ADDRESS(INDEX($AI$2:$AI$1001,MATCH(ROWS($AG$2:AG462),$AG$2:$AG$1001,0),0), INDEX($AN$1004:$BO$1004,1,MATCH(COLUMNS($AN$1006:BN1006),$AN$1006:$BO$1006,0)))),"Fix")))</f>
        <v>0</v>
      </c>
      <c r="AC462" s="4">
        <f>IF(OR(INDEX($AH$2:$AH$1001,MATCH(ROWS($AG$2:AG462),$AG$2:$AG$1001,0),1)&gt;=100000,INDEX($AN$1005:$BO$1005,1,MATCH(COLUMNS($AN$1006:BO1006),$AN$1006:$BO$1006,0))&gt;=100000), " ",IF(INDEX($AN$2:$BO$1001,MATCH(ROWS($AG$2:AG462),$AG$2:$AG$1001,0),MATCH(COLUMNS($AN$1006:BO1006),$AN$1006:$BO$1006,0)), HYPERLINK("#",""), HYPERLINK(CONCATENATE("#Metadata!", ADDRESS(INDEX($AI$2:$AI$1001,MATCH(ROWS($AG$2:AG462),$AG$2:$AG$1001,0),0), INDEX($AN$1004:$BO$1004,1,MATCH(COLUMNS($AN$1006:BO1006),$AN$1006:$BO$1006,0)))),"Fix")))</f>
        <v>0</v>
      </c>
      <c r="AG462">
        <v>0</v>
      </c>
      <c r="AH462">
        <v>0</v>
      </c>
      <c r="AI462">
        <v>0</v>
      </c>
      <c r="AJ462">
        <f>IF(AK462,TRUE,AND(AN462:BO462))</f>
        <v>0</v>
      </c>
      <c r="AK462">
        <f>COUNTBLANK(Metadata!B462:AC462)=COLUMNS(Metadata!B462:AC462)</f>
        <v>0</v>
      </c>
      <c r="AL462">
        <v>0</v>
      </c>
      <c r="AN462">
        <f>AND(IF(Metadata!B462="",FALSE,TRUE),COUNTIF(Metadata!B:B, Metadata!B462) = 1,NOT(ISERROR(SUMPRODUCT(SEARCH(MID(Metadata!B462,ROW(INDIRECT("1:"&amp;LEN(Metadata!B462))), 1),"0123456789abcdefghijklmnopqrstuvwxyzABCDEFGHIJKLMNOPQRSTUVWXYZ.")))))</f>
        <v>0</v>
      </c>
      <c r="AO462">
        <f>IF(Metadata!C462="",FALSE,TRUE)</f>
        <v>0</v>
      </c>
      <c r="AP462">
        <f>IF(Metadata!D462="",FALSE,TRUE)</f>
        <v>0</v>
      </c>
      <c r="AQ462">
        <f>OR(AND(IF(Metadata!E462="",FALSE,TRUE),OR(exact(Metadata!E462,"not collected"),exact(Metadata!E462,"not provided"),exact(Metadata!E462,"restricted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R462">
        <f>IF(Metadata!F462="",FALSE,TRUE)</f>
        <v>0</v>
      </c>
      <c r="AS462">
        <f>OR(AND(IF(Metadata!G462="",FALSE,TRUE),OR(exact(Metadata!G462,"not collected"),exact(Metadata!G462,"not provided"))),AND(IF(Metadata!G462="",FALSE,TRUE),OR(exact(Metadata!G462,"TRUE"),exact(Metadata!G462,"FALSE"))))</f>
        <v>0</v>
      </c>
      <c r="AT462">
        <f>OR(AND(IF(Metadata!H462="",FALSE,TRUE),OR(exact(Metadata!H462,"not collected"),exact(Metadata!H462,"not provided"),exact(Metadata!H462,"restricted access"))),AND(IF(Metadata!H462="",FALSE,ISNUMBER(VALUE(Metadata!H462))),Metadata!H462&gt;=-413.0))</f>
        <v>0</v>
      </c>
      <c r="AU462">
        <f>AND(IF(Metadata!I462="",FALSE,TRUE),exact(Metadata!I462,"meters"))</f>
        <v>0</v>
      </c>
      <c r="AV462">
        <f>AND(IF(Metadata!J462="",FALSE,TRUE),OR(exact(Metadata!J462,"Host-associated"),exact(Metadata!J462,"Free-living")))</f>
        <v>0</v>
      </c>
      <c r="AW462">
        <f>AND(IF(Metadata!K462="",FALSE,TRUE),OR(exact(Metadata!K462,"Animal"),exact(Metadata!K462,"Fungus"),exact(Metadata!K462,"Plant"),exact(Metadata!K462,"Saline"),exact(Metadata!K462,"Non-saline")))</f>
        <v>0</v>
      </c>
      <c r="AX462">
        <f>AND(IF(Metadata!L462="",FALSE,TRUE),OR(exact(Metadata!L462,"Plant secretion"),exact(Metadata!L462,"Plant rhizosphere"),exact(Metadata!L462,"Plant surface"),exact(Metadata!L462,"Plant corpus"),exact(Metadata!L462,"Fungus surface"),exact(Metadata!L462,"Fungus corpus"),exact(Metadata!L462,"Animal surface"),exact(Metadata!L462,"Animal proximal gut"),exact(Metadata!L462,"Animal corpus"),exact(Metadata!L462,"Animal distal gut"),exact(Metadata!L462,"Animal secretion"),exact(Metadata!L462,"Sub-surface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Y462">
        <f>IF(Metadata!M462="",FALSE,TRUE)</f>
        <v>0</v>
      </c>
      <c r="AZ462">
        <f>IF(Metadata!N462="",FALSE,TRUE)</f>
        <v>0</v>
      </c>
      <c r="BA462">
        <f>IF(Metadata!O462="",FALSE,TRUE)</f>
        <v>0</v>
      </c>
      <c r="BB462">
        <f>OR(AND(IF(Metadata!P462="",FALSE,TRUE),OR(exact(Metadata!P462,"not collected"),exact(Metadata!P462,"not provided"),exact(Metadata!P462,"restricted access"))),AND(IF(Metadata!P462="",FALSE,TRUE),OR(exact(Metadata!P462,"air"),exact(Metadata!P462,"built environment"),exact(Metadata!P462,"host-associated"),exact(Metadata!P462,"human-associated"),exact(Metadata!P462,"human-skin"),exact(Metadata!P462,"human-oral"),exact(Metadata!P462,"human-gut"),exact(Metadata!P462,"human-vaginal"),exact(Metadata!P462,"microbial mat/biofilm"),exact(Metadata!P462,"misc environment"),exact(Metadata!P462,"plant-associated"),exact(Metadata!P462,"sediment"),exact(Metadata!P462,"soil"),exact(Metadata!P462,"wastewater/sludge"),exact(Metadata!P462,"water"))))</f>
        <v>0</v>
      </c>
      <c r="BC462">
        <f>IF(Metadata!Q462="",FALSE,TRUE)</f>
        <v>0</v>
      </c>
      <c r="BD462">
        <f>IF(Metadata!R462="",FALSE,TRUE)</f>
        <v>0</v>
      </c>
      <c r="BE462">
        <f>OR(AND(IF(Metadata!S462="",FALSE,TRUE),OR(exact(Metadata!S462,"not collected"),exact(Metadata!S462,"not provided"),exact(Metadata!S462,"restricted access"))),AND(IF(Metadata!S462="",FALSE,ISNUMBER(VALUE(Metadata!S462))),Metadata!S462&gt;=-90.00,Metadata!S462&lt;=90.00))</f>
        <v>0</v>
      </c>
      <c r="BF462">
        <f>AND(IF(Metadata!T462="",FALSE,TRUE),exact(Metadata!T462,"Decimal degrees"))</f>
        <v>0</v>
      </c>
      <c r="BG462">
        <f>OR(AND(IF(Metadata!U462="",FALSE,TRUE),OR(exact(Metadata!U462,"not collected"),exact(Metadata!U462,"not provided"),exact(Metadata!U462,"restricted access"))),AND(IF(Metadata!U462="",FALSE,ISNUMBER(VALUE(Metadata!U462))),Metadata!U462&gt;=-180.00,Metadata!U462&lt;=180.00))</f>
        <v>0</v>
      </c>
      <c r="BH462">
        <f>AND(IF(Metadata!V462="",FALSE,TRUE),exact(Metadata!V462,"Decimal degrees"))</f>
        <v>0</v>
      </c>
      <c r="BI462">
        <f>IF(Metadata!W462="",FALSE,TRUE)</f>
        <v>0</v>
      </c>
      <c r="BJ462">
        <f>OR(AND(IF(Metadata!X462="",FALSE,TRUE),OR(exact(Metadata!X462,"not collected"),exact(Metadata!X462,"not provided"),exact(Metadata!X462,"restricted access"))),AND(IF(Metadata!X462="",FALSE,TRUE),OR(exact(Metadata!X462,"TRUE"),exact(Metadata!X462,"FALSE"))))</f>
        <v>0</v>
      </c>
      <c r="BK462">
        <f>AND(IF(Metadata!Y462="",FALSE,TRUE),exact(Metadata!Y462,"other"))</f>
        <v>0</v>
      </c>
      <c r="BL462">
        <f>IF(Metadata!Z462="",FALSE,TRUE)</f>
        <v>0</v>
      </c>
      <c r="BM462">
        <f>OR(AND(IF(Metadata!AA462="",FALSE,TRUE),OR(exact(Metadata!AA462,"not collected"),exact(Metadata!AA462,"not provided"))),AND(IF(Metadata!AA462="",FALSE,IF(ISERROR(INT(Metadata!AA462)),FALSE,INT(Metadata!AA462)=Metadata!AA462)),Metadata!AA462&gt;0))</f>
        <v>0</v>
      </c>
      <c r="BN462">
        <f>AND(IF(Metadata!AB462="",FALSE,TRUE),exact(Metadata!AB462,"Not applicable"))</f>
        <v>0</v>
      </c>
      <c r="BO462">
        <f>IF(Metadata!AC462="",FALSE,TRUE)</f>
        <v>0</v>
      </c>
    </row>
    <row r="463" spans="1:67">
      <c r="A463" s="5">
        <f>IF(B463=" "," ",HYPERLINK(CONCATENATE("#metadata!",ADDRESS(INDEX($AI$2:$AI$1001,MATCH(ROWS($AG$2:AG463),$AG$2:$AG$1001,0),0),1)),INDEX($AL$2:$AL$1001,MATCH(ROWS($AG$2:AG463),$AG$2:$AG$1001,0),0)))</f>
        <v>0</v>
      </c>
      <c r="B463" s="4">
        <f>IF(OR(INDEX($AH$2:$AH$1001,MATCH(ROWS($AG$2:AG463),$AG$2:$AG$1001,0),1)&gt;=100000,INDEX($AN$1005:$BO$1005,1,MATCH(COLUMNS($AN$1006:AN1006),$AN$1006:$BO$1006,0))&gt;=100000), " ",IF(INDEX($AN$2:$BO$1001,MATCH(ROWS($AG$2:AG463),$AG$2:$AG$1001,0),MATCH(COLUMNS($AN$1006:AN1006),$AN$1006:$BO$1006,0)), HYPERLINK("#",""), HYPERLINK(CONCATENATE("#Metadata!", ADDRESS(INDEX($AI$2:$AI$1001,MATCH(ROWS($AG$2:AG463),$AG$2:$AG$1001,0),0), INDEX($AN$1004:$BO$1004,1,MATCH(COLUMNS($AN$1006:AN1006),$AN$1006:$BO$1006,0)))),"Fix")))</f>
        <v>0</v>
      </c>
      <c r="C463" s="4">
        <f>IF(OR(INDEX($AH$2:$AH$1001,MATCH(ROWS($AG$2:AG463),$AG$2:$AG$1001,0),1)&gt;=100000,INDEX($AN$1005:$BO$1005,1,MATCH(COLUMNS($AN$1006:AO1006),$AN$1006:$BO$1006,0))&gt;=100000), " ",IF(INDEX($AN$2:$BO$1001,MATCH(ROWS($AG$2:AG463),$AG$2:$AG$1001,0),MATCH(COLUMNS($AN$1006:AO1006),$AN$1006:$BO$1006,0)), HYPERLINK("#",""), HYPERLINK(CONCATENATE("#Metadata!", ADDRESS(INDEX($AI$2:$AI$1001,MATCH(ROWS($AG$2:AG463),$AG$2:$AG$1001,0),0), INDEX($AN$1004:$BO$1004,1,MATCH(COLUMNS($AN$1006:AO1006),$AN$1006:$BO$1006,0)))),"Fix")))</f>
        <v>0</v>
      </c>
      <c r="D463" s="4">
        <f>IF(OR(INDEX($AH$2:$AH$1001,MATCH(ROWS($AG$2:AG463),$AG$2:$AG$1001,0),1)&gt;=100000,INDEX($AN$1005:$BO$1005,1,MATCH(COLUMNS($AN$1006:AP1006),$AN$1006:$BO$1006,0))&gt;=100000), " ",IF(INDEX($AN$2:$BO$1001,MATCH(ROWS($AG$2:AG463),$AG$2:$AG$1001,0),MATCH(COLUMNS($AN$1006:AP1006),$AN$1006:$BO$1006,0)), HYPERLINK("#",""), HYPERLINK(CONCATENATE("#Metadata!", ADDRESS(INDEX($AI$2:$AI$1001,MATCH(ROWS($AG$2:AG463),$AG$2:$AG$1001,0),0), INDEX($AN$1004:$BO$1004,1,MATCH(COLUMNS($AN$1006:AP1006),$AN$1006:$BO$1006,0)))),"Fix")))</f>
        <v>0</v>
      </c>
      <c r="E463" s="4">
        <f>IF(OR(INDEX($AH$2:$AH$1001,MATCH(ROWS($AG$2:AG463),$AG$2:$AG$1001,0),1)&gt;=100000,INDEX($AN$1005:$BO$1005,1,MATCH(COLUMNS($AN$1006:AQ1006),$AN$1006:$BO$1006,0))&gt;=100000), " ",IF(INDEX($AN$2:$BO$1001,MATCH(ROWS($AG$2:AG463),$AG$2:$AG$1001,0),MATCH(COLUMNS($AN$1006:AQ1006),$AN$1006:$BO$1006,0)), HYPERLINK("#",""), HYPERLINK(CONCATENATE("#Metadata!", ADDRESS(INDEX($AI$2:$AI$1001,MATCH(ROWS($AG$2:AG463),$AG$2:$AG$1001,0),0), INDEX($AN$1004:$BO$1004,1,MATCH(COLUMNS($AN$1006:AQ1006),$AN$1006:$BO$1006,0)))),"Fix")))</f>
        <v>0</v>
      </c>
      <c r="F463" s="4">
        <f>IF(OR(INDEX($AH$2:$AH$1001,MATCH(ROWS($AG$2:AG463),$AG$2:$AG$1001,0),1)&gt;=100000,INDEX($AN$1005:$BO$1005,1,MATCH(COLUMNS($AN$1006:AR1006),$AN$1006:$BO$1006,0))&gt;=100000), " ",IF(INDEX($AN$2:$BO$1001,MATCH(ROWS($AG$2:AG463),$AG$2:$AG$1001,0),MATCH(COLUMNS($AN$1006:AR1006),$AN$1006:$BO$1006,0)), HYPERLINK("#",""), HYPERLINK(CONCATENATE("#Metadata!", ADDRESS(INDEX($AI$2:$AI$1001,MATCH(ROWS($AG$2:AG463),$AG$2:$AG$1001,0),0), INDEX($AN$1004:$BO$1004,1,MATCH(COLUMNS($AN$1006:AR1006),$AN$1006:$BO$1006,0)))),"Fix")))</f>
        <v>0</v>
      </c>
      <c r="G463" s="4">
        <f>IF(OR(INDEX($AH$2:$AH$1001,MATCH(ROWS($AG$2:AG463),$AG$2:$AG$1001,0),1)&gt;=100000,INDEX($AN$1005:$BO$1005,1,MATCH(COLUMNS($AN$1006:AS1006),$AN$1006:$BO$1006,0))&gt;=100000), " ",IF(INDEX($AN$2:$BO$1001,MATCH(ROWS($AG$2:AG463),$AG$2:$AG$1001,0),MATCH(COLUMNS($AN$1006:AS1006),$AN$1006:$BO$1006,0)), HYPERLINK("#",""), HYPERLINK(CONCATENATE("#Metadata!", ADDRESS(INDEX($AI$2:$AI$1001,MATCH(ROWS($AG$2:AG463),$AG$2:$AG$1001,0),0), INDEX($AN$1004:$BO$1004,1,MATCH(COLUMNS($AN$1006:AS1006),$AN$1006:$BO$1006,0)))),"Fix")))</f>
        <v>0</v>
      </c>
      <c r="H463" s="4">
        <f>IF(OR(INDEX($AH$2:$AH$1001,MATCH(ROWS($AG$2:AG463),$AG$2:$AG$1001,0),1)&gt;=100000,INDEX($AN$1005:$BO$1005,1,MATCH(COLUMNS($AN$1006:AT1006),$AN$1006:$BO$1006,0))&gt;=100000), " ",IF(INDEX($AN$2:$BO$1001,MATCH(ROWS($AG$2:AG463),$AG$2:$AG$1001,0),MATCH(COLUMNS($AN$1006:AT1006),$AN$1006:$BO$1006,0)), HYPERLINK("#",""), HYPERLINK(CONCATENATE("#Metadata!", ADDRESS(INDEX($AI$2:$AI$1001,MATCH(ROWS($AG$2:AG463),$AG$2:$AG$1001,0),0), INDEX($AN$1004:$BO$1004,1,MATCH(COLUMNS($AN$1006:AT1006),$AN$1006:$BO$1006,0)))),"Fix")))</f>
        <v>0</v>
      </c>
      <c r="I463" s="4">
        <f>IF(OR(INDEX($AH$2:$AH$1001,MATCH(ROWS($AG$2:AG463),$AG$2:$AG$1001,0),1)&gt;=100000,INDEX($AN$1005:$BO$1005,1,MATCH(COLUMNS($AN$1006:AU1006),$AN$1006:$BO$1006,0))&gt;=100000), " ",IF(INDEX($AN$2:$BO$1001,MATCH(ROWS($AG$2:AG463),$AG$2:$AG$1001,0),MATCH(COLUMNS($AN$1006:AU1006),$AN$1006:$BO$1006,0)), HYPERLINK("#",""), HYPERLINK(CONCATENATE("#Metadata!", ADDRESS(INDEX($AI$2:$AI$1001,MATCH(ROWS($AG$2:AG463),$AG$2:$AG$1001,0),0), INDEX($AN$1004:$BO$1004,1,MATCH(COLUMNS($AN$1006:AU1006),$AN$1006:$BO$1006,0)))),"Fix")))</f>
        <v>0</v>
      </c>
      <c r="J463" s="4">
        <f>IF(OR(INDEX($AH$2:$AH$1001,MATCH(ROWS($AG$2:AG463),$AG$2:$AG$1001,0),1)&gt;=100000,INDEX($AN$1005:$BO$1005,1,MATCH(COLUMNS($AN$1006:AV1006),$AN$1006:$BO$1006,0))&gt;=100000), " ",IF(INDEX($AN$2:$BO$1001,MATCH(ROWS($AG$2:AG463),$AG$2:$AG$1001,0),MATCH(COLUMNS($AN$1006:AV1006),$AN$1006:$BO$1006,0)), HYPERLINK("#",""), HYPERLINK(CONCATENATE("#Metadata!", ADDRESS(INDEX($AI$2:$AI$1001,MATCH(ROWS($AG$2:AG463),$AG$2:$AG$1001,0),0), INDEX($AN$1004:$BO$1004,1,MATCH(COLUMNS($AN$1006:AV1006),$AN$1006:$BO$1006,0)))),"Fix")))</f>
        <v>0</v>
      </c>
      <c r="K463" s="4">
        <f>IF(OR(INDEX($AH$2:$AH$1001,MATCH(ROWS($AG$2:AG463),$AG$2:$AG$1001,0),1)&gt;=100000,INDEX($AN$1005:$BO$1005,1,MATCH(COLUMNS($AN$1006:AW1006),$AN$1006:$BO$1006,0))&gt;=100000), " ",IF(INDEX($AN$2:$BO$1001,MATCH(ROWS($AG$2:AG463),$AG$2:$AG$1001,0),MATCH(COLUMNS($AN$1006:AW1006),$AN$1006:$BO$1006,0)), HYPERLINK("#",""), HYPERLINK(CONCATENATE("#Metadata!", ADDRESS(INDEX($AI$2:$AI$1001,MATCH(ROWS($AG$2:AG463),$AG$2:$AG$1001,0),0), INDEX($AN$1004:$BO$1004,1,MATCH(COLUMNS($AN$1006:AW1006),$AN$1006:$BO$1006,0)))),"Fix")))</f>
        <v>0</v>
      </c>
      <c r="L463" s="4">
        <f>IF(OR(INDEX($AH$2:$AH$1001,MATCH(ROWS($AG$2:AG463),$AG$2:$AG$1001,0),1)&gt;=100000,INDEX($AN$1005:$BO$1005,1,MATCH(COLUMNS($AN$1006:AX1006),$AN$1006:$BO$1006,0))&gt;=100000), " ",IF(INDEX($AN$2:$BO$1001,MATCH(ROWS($AG$2:AG463),$AG$2:$AG$1001,0),MATCH(COLUMNS($AN$1006:AX1006),$AN$1006:$BO$1006,0)), HYPERLINK("#",""), HYPERLINK(CONCATENATE("#Metadata!", ADDRESS(INDEX($AI$2:$AI$1001,MATCH(ROWS($AG$2:AG463),$AG$2:$AG$1001,0),0), INDEX($AN$1004:$BO$1004,1,MATCH(COLUMNS($AN$1006:AX1006),$AN$1006:$BO$1006,0)))),"Fix")))</f>
        <v>0</v>
      </c>
      <c r="M463" s="4">
        <f>IF(OR(INDEX($AH$2:$AH$1001,MATCH(ROWS($AG$2:AG463),$AG$2:$AG$1001,0),1)&gt;=100000,INDEX($AN$1005:$BO$1005,1,MATCH(COLUMNS($AN$1006:AY1006),$AN$1006:$BO$1006,0))&gt;=100000), " ",IF(INDEX($AN$2:$BO$1001,MATCH(ROWS($AG$2:AG463),$AG$2:$AG$1001,0),MATCH(COLUMNS($AN$1006:AY1006),$AN$1006:$BO$1006,0)), HYPERLINK("#",""), HYPERLINK(CONCATENATE("#Metadata!", ADDRESS(INDEX($AI$2:$AI$1001,MATCH(ROWS($AG$2:AG463),$AG$2:$AG$1001,0),0), INDEX($AN$1004:$BO$1004,1,MATCH(COLUMNS($AN$1006:AY1006),$AN$1006:$BO$1006,0)))),"Fix")))</f>
        <v>0</v>
      </c>
      <c r="N463" s="4">
        <f>IF(OR(INDEX($AH$2:$AH$1001,MATCH(ROWS($AG$2:AG463),$AG$2:$AG$1001,0),1)&gt;=100000,INDEX($AN$1005:$BO$1005,1,MATCH(COLUMNS($AN$1006:AZ1006),$AN$1006:$BO$1006,0))&gt;=100000), " ",IF(INDEX($AN$2:$BO$1001,MATCH(ROWS($AG$2:AG463),$AG$2:$AG$1001,0),MATCH(COLUMNS($AN$1006:AZ1006),$AN$1006:$BO$1006,0)), HYPERLINK("#",""), HYPERLINK(CONCATENATE("#Metadata!", ADDRESS(INDEX($AI$2:$AI$1001,MATCH(ROWS($AG$2:AG463),$AG$2:$AG$1001,0),0), INDEX($AN$1004:$BO$1004,1,MATCH(COLUMNS($AN$1006:AZ1006),$AN$1006:$BO$1006,0)))),"Fix")))</f>
        <v>0</v>
      </c>
      <c r="O463" s="4">
        <f>IF(OR(INDEX($AH$2:$AH$1001,MATCH(ROWS($AG$2:AG463),$AG$2:$AG$1001,0),1)&gt;=100000,INDEX($AN$1005:$BO$1005,1,MATCH(COLUMNS($AN$1006:BA1006),$AN$1006:$BO$1006,0))&gt;=100000), " ",IF(INDEX($AN$2:$BO$1001,MATCH(ROWS($AG$2:AG463),$AG$2:$AG$1001,0),MATCH(COLUMNS($AN$1006:BA1006),$AN$1006:$BO$1006,0)), HYPERLINK("#",""), HYPERLINK(CONCATENATE("#Metadata!", ADDRESS(INDEX($AI$2:$AI$1001,MATCH(ROWS($AG$2:AG463),$AG$2:$AG$1001,0),0), INDEX($AN$1004:$BO$1004,1,MATCH(COLUMNS($AN$1006:BA1006),$AN$1006:$BO$1006,0)))),"Fix")))</f>
        <v>0</v>
      </c>
      <c r="P463" s="4">
        <f>IF(OR(INDEX($AH$2:$AH$1001,MATCH(ROWS($AG$2:AG463),$AG$2:$AG$1001,0),1)&gt;=100000,INDEX($AN$1005:$BO$1005,1,MATCH(COLUMNS($AN$1006:BB1006),$AN$1006:$BO$1006,0))&gt;=100000), " ",IF(INDEX($AN$2:$BO$1001,MATCH(ROWS($AG$2:AG463),$AG$2:$AG$1001,0),MATCH(COLUMNS($AN$1006:BB1006),$AN$1006:$BO$1006,0)), HYPERLINK("#",""), HYPERLINK(CONCATENATE("#Metadata!", ADDRESS(INDEX($AI$2:$AI$1001,MATCH(ROWS($AG$2:AG463),$AG$2:$AG$1001,0),0), INDEX($AN$1004:$BO$1004,1,MATCH(COLUMNS($AN$1006:BB1006),$AN$1006:$BO$1006,0)))),"Fix")))</f>
        <v>0</v>
      </c>
      <c r="Q463" s="4">
        <f>IF(OR(INDEX($AH$2:$AH$1001,MATCH(ROWS($AG$2:AG463),$AG$2:$AG$1001,0),1)&gt;=100000,INDEX($AN$1005:$BO$1005,1,MATCH(COLUMNS($AN$1006:BC1006),$AN$1006:$BO$1006,0))&gt;=100000), " ",IF(INDEX($AN$2:$BO$1001,MATCH(ROWS($AG$2:AG463),$AG$2:$AG$1001,0),MATCH(COLUMNS($AN$1006:BC1006),$AN$1006:$BO$1006,0)), HYPERLINK("#",""), HYPERLINK(CONCATENATE("#Metadata!", ADDRESS(INDEX($AI$2:$AI$1001,MATCH(ROWS($AG$2:AG463),$AG$2:$AG$1001,0),0), INDEX($AN$1004:$BO$1004,1,MATCH(COLUMNS($AN$1006:BC1006),$AN$1006:$BO$1006,0)))),"Fix")))</f>
        <v>0</v>
      </c>
      <c r="R463" s="4">
        <f>IF(OR(INDEX($AH$2:$AH$1001,MATCH(ROWS($AG$2:AG463),$AG$2:$AG$1001,0),1)&gt;=100000,INDEX($AN$1005:$BO$1005,1,MATCH(COLUMNS($AN$1006:BD1006),$AN$1006:$BO$1006,0))&gt;=100000), " ",IF(INDEX($AN$2:$BO$1001,MATCH(ROWS($AG$2:AG463),$AG$2:$AG$1001,0),MATCH(COLUMNS($AN$1006:BD1006),$AN$1006:$BO$1006,0)), HYPERLINK("#",""), HYPERLINK(CONCATENATE("#Metadata!", ADDRESS(INDEX($AI$2:$AI$1001,MATCH(ROWS($AG$2:AG463),$AG$2:$AG$1001,0),0), INDEX($AN$1004:$BO$1004,1,MATCH(COLUMNS($AN$1006:BD1006),$AN$1006:$BO$1006,0)))),"Fix")))</f>
        <v>0</v>
      </c>
      <c r="S463" s="4">
        <f>IF(OR(INDEX($AH$2:$AH$1001,MATCH(ROWS($AG$2:AG463),$AG$2:$AG$1001,0),1)&gt;=100000,INDEX($AN$1005:$BO$1005,1,MATCH(COLUMNS($AN$1006:BE1006),$AN$1006:$BO$1006,0))&gt;=100000), " ",IF(INDEX($AN$2:$BO$1001,MATCH(ROWS($AG$2:AG463),$AG$2:$AG$1001,0),MATCH(COLUMNS($AN$1006:BE1006),$AN$1006:$BO$1006,0)), HYPERLINK("#",""), HYPERLINK(CONCATENATE("#Metadata!", ADDRESS(INDEX($AI$2:$AI$1001,MATCH(ROWS($AG$2:AG463),$AG$2:$AG$1001,0),0), INDEX($AN$1004:$BO$1004,1,MATCH(COLUMNS($AN$1006:BE1006),$AN$1006:$BO$1006,0)))),"Fix")))</f>
        <v>0</v>
      </c>
      <c r="T463" s="4">
        <f>IF(OR(INDEX($AH$2:$AH$1001,MATCH(ROWS($AG$2:AG463),$AG$2:$AG$1001,0),1)&gt;=100000,INDEX($AN$1005:$BO$1005,1,MATCH(COLUMNS($AN$1006:BF1006),$AN$1006:$BO$1006,0))&gt;=100000), " ",IF(INDEX($AN$2:$BO$1001,MATCH(ROWS($AG$2:AG463),$AG$2:$AG$1001,0),MATCH(COLUMNS($AN$1006:BF1006),$AN$1006:$BO$1006,0)), HYPERLINK("#",""), HYPERLINK(CONCATENATE("#Metadata!", ADDRESS(INDEX($AI$2:$AI$1001,MATCH(ROWS($AG$2:AG463),$AG$2:$AG$1001,0),0), INDEX($AN$1004:$BO$1004,1,MATCH(COLUMNS($AN$1006:BF1006),$AN$1006:$BO$1006,0)))),"Fix")))</f>
        <v>0</v>
      </c>
      <c r="U463" s="4">
        <f>IF(OR(INDEX($AH$2:$AH$1001,MATCH(ROWS($AG$2:AG463),$AG$2:$AG$1001,0),1)&gt;=100000,INDEX($AN$1005:$BO$1005,1,MATCH(COLUMNS($AN$1006:BG1006),$AN$1006:$BO$1006,0))&gt;=100000), " ",IF(INDEX($AN$2:$BO$1001,MATCH(ROWS($AG$2:AG463),$AG$2:$AG$1001,0),MATCH(COLUMNS($AN$1006:BG1006),$AN$1006:$BO$1006,0)), HYPERLINK("#",""), HYPERLINK(CONCATENATE("#Metadata!", ADDRESS(INDEX($AI$2:$AI$1001,MATCH(ROWS($AG$2:AG463),$AG$2:$AG$1001,0),0), INDEX($AN$1004:$BO$1004,1,MATCH(COLUMNS($AN$1006:BG1006),$AN$1006:$BO$1006,0)))),"Fix")))</f>
        <v>0</v>
      </c>
      <c r="V463" s="4">
        <f>IF(OR(INDEX($AH$2:$AH$1001,MATCH(ROWS($AG$2:AG463),$AG$2:$AG$1001,0),1)&gt;=100000,INDEX($AN$1005:$BO$1005,1,MATCH(COLUMNS($AN$1006:BH1006),$AN$1006:$BO$1006,0))&gt;=100000), " ",IF(INDEX($AN$2:$BO$1001,MATCH(ROWS($AG$2:AG463),$AG$2:$AG$1001,0),MATCH(COLUMNS($AN$1006:BH1006),$AN$1006:$BO$1006,0)), HYPERLINK("#",""), HYPERLINK(CONCATENATE("#Metadata!", ADDRESS(INDEX($AI$2:$AI$1001,MATCH(ROWS($AG$2:AG463),$AG$2:$AG$1001,0),0), INDEX($AN$1004:$BO$1004,1,MATCH(COLUMNS($AN$1006:BH1006),$AN$1006:$BO$1006,0)))),"Fix")))</f>
        <v>0</v>
      </c>
      <c r="W463" s="4">
        <f>IF(OR(INDEX($AH$2:$AH$1001,MATCH(ROWS($AG$2:AG463),$AG$2:$AG$1001,0),1)&gt;=100000,INDEX($AN$1005:$BO$1005,1,MATCH(COLUMNS($AN$1006:BI1006),$AN$1006:$BO$1006,0))&gt;=100000), " ",IF(INDEX($AN$2:$BO$1001,MATCH(ROWS($AG$2:AG463),$AG$2:$AG$1001,0),MATCH(COLUMNS($AN$1006:BI1006),$AN$1006:$BO$1006,0)), HYPERLINK("#",""), HYPERLINK(CONCATENATE("#Metadata!", ADDRESS(INDEX($AI$2:$AI$1001,MATCH(ROWS($AG$2:AG463),$AG$2:$AG$1001,0),0), INDEX($AN$1004:$BO$1004,1,MATCH(COLUMNS($AN$1006:BI1006),$AN$1006:$BO$1006,0)))),"Fix")))</f>
        <v>0</v>
      </c>
      <c r="X463" s="4">
        <f>IF(OR(INDEX($AH$2:$AH$1001,MATCH(ROWS($AG$2:AG463),$AG$2:$AG$1001,0),1)&gt;=100000,INDEX($AN$1005:$BO$1005,1,MATCH(COLUMNS($AN$1006:BJ1006),$AN$1006:$BO$1006,0))&gt;=100000), " ",IF(INDEX($AN$2:$BO$1001,MATCH(ROWS($AG$2:AG463),$AG$2:$AG$1001,0),MATCH(COLUMNS($AN$1006:BJ1006),$AN$1006:$BO$1006,0)), HYPERLINK("#",""), HYPERLINK(CONCATENATE("#Metadata!", ADDRESS(INDEX($AI$2:$AI$1001,MATCH(ROWS($AG$2:AG463),$AG$2:$AG$1001,0),0), INDEX($AN$1004:$BO$1004,1,MATCH(COLUMNS($AN$1006:BJ1006),$AN$1006:$BO$1006,0)))),"Fix")))</f>
        <v>0</v>
      </c>
      <c r="Y463" s="4">
        <f>IF(OR(INDEX($AH$2:$AH$1001,MATCH(ROWS($AG$2:AG463),$AG$2:$AG$1001,0),1)&gt;=100000,INDEX($AN$1005:$BO$1005,1,MATCH(COLUMNS($AN$1006:BK1006),$AN$1006:$BO$1006,0))&gt;=100000), " ",IF(INDEX($AN$2:$BO$1001,MATCH(ROWS($AG$2:AG463),$AG$2:$AG$1001,0),MATCH(COLUMNS($AN$1006:BK1006),$AN$1006:$BO$1006,0)), HYPERLINK("#",""), HYPERLINK(CONCATENATE("#Metadata!", ADDRESS(INDEX($AI$2:$AI$1001,MATCH(ROWS($AG$2:AG463),$AG$2:$AG$1001,0),0), INDEX($AN$1004:$BO$1004,1,MATCH(COLUMNS($AN$1006:BK1006),$AN$1006:$BO$1006,0)))),"Fix")))</f>
        <v>0</v>
      </c>
      <c r="Z463" s="4">
        <f>IF(OR(INDEX($AH$2:$AH$1001,MATCH(ROWS($AG$2:AG463),$AG$2:$AG$1001,0),1)&gt;=100000,INDEX($AN$1005:$BO$1005,1,MATCH(COLUMNS($AN$1006:BL1006),$AN$1006:$BO$1006,0))&gt;=100000), " ",IF(INDEX($AN$2:$BO$1001,MATCH(ROWS($AG$2:AG463),$AG$2:$AG$1001,0),MATCH(COLUMNS($AN$1006:BL1006),$AN$1006:$BO$1006,0)), HYPERLINK("#",""), HYPERLINK(CONCATENATE("#Metadata!", ADDRESS(INDEX($AI$2:$AI$1001,MATCH(ROWS($AG$2:AG463),$AG$2:$AG$1001,0),0), INDEX($AN$1004:$BO$1004,1,MATCH(COLUMNS($AN$1006:BL1006),$AN$1006:$BO$1006,0)))),"Fix")))</f>
        <v>0</v>
      </c>
      <c r="AA463" s="4">
        <f>IF(OR(INDEX($AH$2:$AH$1001,MATCH(ROWS($AG$2:AG463),$AG$2:$AG$1001,0),1)&gt;=100000,INDEX($AN$1005:$BO$1005,1,MATCH(COLUMNS($AN$1006:BM1006),$AN$1006:$BO$1006,0))&gt;=100000), " ",IF(INDEX($AN$2:$BO$1001,MATCH(ROWS($AG$2:AG463),$AG$2:$AG$1001,0),MATCH(COLUMNS($AN$1006:BM1006),$AN$1006:$BO$1006,0)), HYPERLINK("#",""), HYPERLINK(CONCATENATE("#Metadata!", ADDRESS(INDEX($AI$2:$AI$1001,MATCH(ROWS($AG$2:AG463),$AG$2:$AG$1001,0),0), INDEX($AN$1004:$BO$1004,1,MATCH(COLUMNS($AN$1006:BM1006),$AN$1006:$BO$1006,0)))),"Fix")))</f>
        <v>0</v>
      </c>
      <c r="AB463" s="4">
        <f>IF(OR(INDEX($AH$2:$AH$1001,MATCH(ROWS($AG$2:AG463),$AG$2:$AG$1001,0),1)&gt;=100000,INDEX($AN$1005:$BO$1005,1,MATCH(COLUMNS($AN$1006:BN1006),$AN$1006:$BO$1006,0))&gt;=100000), " ",IF(INDEX($AN$2:$BO$1001,MATCH(ROWS($AG$2:AG463),$AG$2:$AG$1001,0),MATCH(COLUMNS($AN$1006:BN1006),$AN$1006:$BO$1006,0)), HYPERLINK("#",""), HYPERLINK(CONCATENATE("#Metadata!", ADDRESS(INDEX($AI$2:$AI$1001,MATCH(ROWS($AG$2:AG463),$AG$2:$AG$1001,0),0), INDEX($AN$1004:$BO$1004,1,MATCH(COLUMNS($AN$1006:BN1006),$AN$1006:$BO$1006,0)))),"Fix")))</f>
        <v>0</v>
      </c>
      <c r="AC463" s="4">
        <f>IF(OR(INDEX($AH$2:$AH$1001,MATCH(ROWS($AG$2:AG463),$AG$2:$AG$1001,0),1)&gt;=100000,INDEX($AN$1005:$BO$1005,1,MATCH(COLUMNS($AN$1006:BO1006),$AN$1006:$BO$1006,0))&gt;=100000), " ",IF(INDEX($AN$2:$BO$1001,MATCH(ROWS($AG$2:AG463),$AG$2:$AG$1001,0),MATCH(COLUMNS($AN$1006:BO1006),$AN$1006:$BO$1006,0)), HYPERLINK("#",""), HYPERLINK(CONCATENATE("#Metadata!", ADDRESS(INDEX($AI$2:$AI$1001,MATCH(ROWS($AG$2:AG463),$AG$2:$AG$1001,0),0), INDEX($AN$1004:$BO$1004,1,MATCH(COLUMNS($AN$1006:BO1006),$AN$1006:$BO$1006,0)))),"Fix")))</f>
        <v>0</v>
      </c>
      <c r="AG463">
        <v>0</v>
      </c>
      <c r="AH463">
        <v>0</v>
      </c>
      <c r="AI463">
        <v>0</v>
      </c>
      <c r="AJ463">
        <f>IF(AK463,TRUE,AND(AN463:BO463))</f>
        <v>0</v>
      </c>
      <c r="AK463">
        <f>COUNTBLANK(Metadata!B463:AC463)=COLUMNS(Metadata!B463:AC463)</f>
        <v>0</v>
      </c>
      <c r="AL463">
        <v>0</v>
      </c>
      <c r="AN463">
        <f>AND(IF(Metadata!B463="",FALSE,TRUE),COUNTIF(Metadata!B:B, Metadata!B463) = 1,NOT(ISERROR(SUMPRODUCT(SEARCH(MID(Metadata!B463,ROW(INDIRECT("1:"&amp;LEN(Metadata!B463))), 1),"0123456789abcdefghijklmnopqrstuvwxyzABCDEFGHIJKLMNOPQRSTUVWXYZ.")))))</f>
        <v>0</v>
      </c>
      <c r="AO463">
        <f>IF(Metadata!C463="",FALSE,TRUE)</f>
        <v>0</v>
      </c>
      <c r="AP463">
        <f>IF(Metadata!D463="",FALSE,TRUE)</f>
        <v>0</v>
      </c>
      <c r="AQ463">
        <f>OR(AND(IF(Metadata!E463="",FALSE,TRUE),OR(exact(Metadata!E463,"not collected"),exact(Metadata!E463,"not provided"),exact(Metadata!E463,"restricted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R463">
        <f>IF(Metadata!F463="",FALSE,TRUE)</f>
        <v>0</v>
      </c>
      <c r="AS463">
        <f>OR(AND(IF(Metadata!G463="",FALSE,TRUE),OR(exact(Metadata!G463,"not collected"),exact(Metadata!G463,"not provided"))),AND(IF(Metadata!G463="",FALSE,TRUE),OR(exact(Metadata!G463,"TRUE"),exact(Metadata!G463,"FALSE"))))</f>
        <v>0</v>
      </c>
      <c r="AT463">
        <f>OR(AND(IF(Metadata!H463="",FALSE,TRUE),OR(exact(Metadata!H463,"not collected"),exact(Metadata!H463,"not provided"),exact(Metadata!H463,"restricted access"))),AND(IF(Metadata!H463="",FALSE,ISNUMBER(VALUE(Metadata!H463))),Metadata!H463&gt;=-413.0))</f>
        <v>0</v>
      </c>
      <c r="AU463">
        <f>AND(IF(Metadata!I463="",FALSE,TRUE),exact(Metadata!I463,"meters"))</f>
        <v>0</v>
      </c>
      <c r="AV463">
        <f>AND(IF(Metadata!J463="",FALSE,TRUE),OR(exact(Metadata!J463,"Host-associated"),exact(Metadata!J463,"Free-living")))</f>
        <v>0</v>
      </c>
      <c r="AW463">
        <f>AND(IF(Metadata!K463="",FALSE,TRUE),OR(exact(Metadata!K463,"Animal"),exact(Metadata!K463,"Fungus"),exact(Metadata!K463,"Plant"),exact(Metadata!K463,"Saline"),exact(Metadata!K463,"Non-saline")))</f>
        <v>0</v>
      </c>
      <c r="AX463">
        <f>AND(IF(Metadata!L463="",FALSE,TRUE),OR(exact(Metadata!L463,"Plant secretion"),exact(Metadata!L463,"Plant rhizosphere"),exact(Metadata!L463,"Plant surface"),exact(Metadata!L463,"Plant corpus"),exact(Metadata!L463,"Fungus surface"),exact(Metadata!L463,"Fungus corpus"),exact(Metadata!L463,"Animal surface"),exact(Metadata!L463,"Animal proximal gut"),exact(Metadata!L463,"Animal corpus"),exact(Metadata!L463,"Animal distal gut"),exact(Metadata!L463,"Animal secretion"),exact(Metadata!L463,"Sub-surface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Y463">
        <f>IF(Metadata!M463="",FALSE,TRUE)</f>
        <v>0</v>
      </c>
      <c r="AZ463">
        <f>IF(Metadata!N463="",FALSE,TRUE)</f>
        <v>0</v>
      </c>
      <c r="BA463">
        <f>IF(Metadata!O463="",FALSE,TRUE)</f>
        <v>0</v>
      </c>
      <c r="BB463">
        <f>OR(AND(IF(Metadata!P463="",FALSE,TRUE),OR(exact(Metadata!P463,"not collected"),exact(Metadata!P463,"not provided"),exact(Metadata!P463,"restricted access"))),AND(IF(Metadata!P463="",FALSE,TRUE),OR(exact(Metadata!P463,"air"),exact(Metadata!P463,"built environment"),exact(Metadata!P463,"host-associated"),exact(Metadata!P463,"human-associated"),exact(Metadata!P463,"human-skin"),exact(Metadata!P463,"human-oral"),exact(Metadata!P463,"human-gut"),exact(Metadata!P463,"human-vaginal"),exact(Metadata!P463,"microbial mat/biofilm"),exact(Metadata!P463,"misc environment"),exact(Metadata!P463,"plant-associated"),exact(Metadata!P463,"sediment"),exact(Metadata!P463,"soil"),exact(Metadata!P463,"wastewater/sludge"),exact(Metadata!P463,"water"))))</f>
        <v>0</v>
      </c>
      <c r="BC463">
        <f>IF(Metadata!Q463="",FALSE,TRUE)</f>
        <v>0</v>
      </c>
      <c r="BD463">
        <f>IF(Metadata!R463="",FALSE,TRUE)</f>
        <v>0</v>
      </c>
      <c r="BE463">
        <f>OR(AND(IF(Metadata!S463="",FALSE,TRUE),OR(exact(Metadata!S463,"not collected"),exact(Metadata!S463,"not provided"),exact(Metadata!S463,"restricted access"))),AND(IF(Metadata!S463="",FALSE,ISNUMBER(VALUE(Metadata!S463))),Metadata!S463&gt;=-90.00,Metadata!S463&lt;=90.00))</f>
        <v>0</v>
      </c>
      <c r="BF463">
        <f>AND(IF(Metadata!T463="",FALSE,TRUE),exact(Metadata!T463,"Decimal degrees"))</f>
        <v>0</v>
      </c>
      <c r="BG463">
        <f>OR(AND(IF(Metadata!U463="",FALSE,TRUE),OR(exact(Metadata!U463,"not collected"),exact(Metadata!U463,"not provided"),exact(Metadata!U463,"restricted access"))),AND(IF(Metadata!U463="",FALSE,ISNUMBER(VALUE(Metadata!U463))),Metadata!U463&gt;=-180.00,Metadata!U463&lt;=180.00))</f>
        <v>0</v>
      </c>
      <c r="BH463">
        <f>AND(IF(Metadata!V463="",FALSE,TRUE),exact(Metadata!V463,"Decimal degrees"))</f>
        <v>0</v>
      </c>
      <c r="BI463">
        <f>IF(Metadata!W463="",FALSE,TRUE)</f>
        <v>0</v>
      </c>
      <c r="BJ463">
        <f>OR(AND(IF(Metadata!X463="",FALSE,TRUE),OR(exact(Metadata!X463,"not collected"),exact(Metadata!X463,"not provided"),exact(Metadata!X463,"restricted access"))),AND(IF(Metadata!X463="",FALSE,TRUE),OR(exact(Metadata!X463,"TRUE"),exact(Metadata!X463,"FALSE"))))</f>
        <v>0</v>
      </c>
      <c r="BK463">
        <f>AND(IF(Metadata!Y463="",FALSE,TRUE),exact(Metadata!Y463,"other"))</f>
        <v>0</v>
      </c>
      <c r="BL463">
        <f>IF(Metadata!Z463="",FALSE,TRUE)</f>
        <v>0</v>
      </c>
      <c r="BM463">
        <f>OR(AND(IF(Metadata!AA463="",FALSE,TRUE),OR(exact(Metadata!AA463,"not collected"),exact(Metadata!AA463,"not provided"))),AND(IF(Metadata!AA463="",FALSE,IF(ISERROR(INT(Metadata!AA463)),FALSE,INT(Metadata!AA463)=Metadata!AA463)),Metadata!AA463&gt;0))</f>
        <v>0</v>
      </c>
      <c r="BN463">
        <f>AND(IF(Metadata!AB463="",FALSE,TRUE),exact(Metadata!AB463,"Not applicable"))</f>
        <v>0</v>
      </c>
      <c r="BO463">
        <f>IF(Metadata!AC463="",FALSE,TRUE)</f>
        <v>0</v>
      </c>
    </row>
    <row r="464" spans="1:67">
      <c r="A464" s="5">
        <f>IF(B464=" "," ",HYPERLINK(CONCATENATE("#metadata!",ADDRESS(INDEX($AI$2:$AI$1001,MATCH(ROWS($AG$2:AG464),$AG$2:$AG$1001,0),0),1)),INDEX($AL$2:$AL$1001,MATCH(ROWS($AG$2:AG464),$AG$2:$AG$1001,0),0)))</f>
        <v>0</v>
      </c>
      <c r="B464" s="4">
        <f>IF(OR(INDEX($AH$2:$AH$1001,MATCH(ROWS($AG$2:AG464),$AG$2:$AG$1001,0),1)&gt;=100000,INDEX($AN$1005:$BO$1005,1,MATCH(COLUMNS($AN$1006:AN1006),$AN$1006:$BO$1006,0))&gt;=100000), " ",IF(INDEX($AN$2:$BO$1001,MATCH(ROWS($AG$2:AG464),$AG$2:$AG$1001,0),MATCH(COLUMNS($AN$1006:AN1006),$AN$1006:$BO$1006,0)), HYPERLINK("#",""), HYPERLINK(CONCATENATE("#Metadata!", ADDRESS(INDEX($AI$2:$AI$1001,MATCH(ROWS($AG$2:AG464),$AG$2:$AG$1001,0),0), INDEX($AN$1004:$BO$1004,1,MATCH(COLUMNS($AN$1006:AN1006),$AN$1006:$BO$1006,0)))),"Fix")))</f>
        <v>0</v>
      </c>
      <c r="C464" s="4">
        <f>IF(OR(INDEX($AH$2:$AH$1001,MATCH(ROWS($AG$2:AG464),$AG$2:$AG$1001,0),1)&gt;=100000,INDEX($AN$1005:$BO$1005,1,MATCH(COLUMNS($AN$1006:AO1006),$AN$1006:$BO$1006,0))&gt;=100000), " ",IF(INDEX($AN$2:$BO$1001,MATCH(ROWS($AG$2:AG464),$AG$2:$AG$1001,0),MATCH(COLUMNS($AN$1006:AO1006),$AN$1006:$BO$1006,0)), HYPERLINK("#",""), HYPERLINK(CONCATENATE("#Metadata!", ADDRESS(INDEX($AI$2:$AI$1001,MATCH(ROWS($AG$2:AG464),$AG$2:$AG$1001,0),0), INDEX($AN$1004:$BO$1004,1,MATCH(COLUMNS($AN$1006:AO1006),$AN$1006:$BO$1006,0)))),"Fix")))</f>
        <v>0</v>
      </c>
      <c r="D464" s="4">
        <f>IF(OR(INDEX($AH$2:$AH$1001,MATCH(ROWS($AG$2:AG464),$AG$2:$AG$1001,0),1)&gt;=100000,INDEX($AN$1005:$BO$1005,1,MATCH(COLUMNS($AN$1006:AP1006),$AN$1006:$BO$1006,0))&gt;=100000), " ",IF(INDEX($AN$2:$BO$1001,MATCH(ROWS($AG$2:AG464),$AG$2:$AG$1001,0),MATCH(COLUMNS($AN$1006:AP1006),$AN$1006:$BO$1006,0)), HYPERLINK("#",""), HYPERLINK(CONCATENATE("#Metadata!", ADDRESS(INDEX($AI$2:$AI$1001,MATCH(ROWS($AG$2:AG464),$AG$2:$AG$1001,0),0), INDEX($AN$1004:$BO$1004,1,MATCH(COLUMNS($AN$1006:AP1006),$AN$1006:$BO$1006,0)))),"Fix")))</f>
        <v>0</v>
      </c>
      <c r="E464" s="4">
        <f>IF(OR(INDEX($AH$2:$AH$1001,MATCH(ROWS($AG$2:AG464),$AG$2:$AG$1001,0),1)&gt;=100000,INDEX($AN$1005:$BO$1005,1,MATCH(COLUMNS($AN$1006:AQ1006),$AN$1006:$BO$1006,0))&gt;=100000), " ",IF(INDEX($AN$2:$BO$1001,MATCH(ROWS($AG$2:AG464),$AG$2:$AG$1001,0),MATCH(COLUMNS($AN$1006:AQ1006),$AN$1006:$BO$1006,0)), HYPERLINK("#",""), HYPERLINK(CONCATENATE("#Metadata!", ADDRESS(INDEX($AI$2:$AI$1001,MATCH(ROWS($AG$2:AG464),$AG$2:$AG$1001,0),0), INDEX($AN$1004:$BO$1004,1,MATCH(COLUMNS($AN$1006:AQ1006),$AN$1006:$BO$1006,0)))),"Fix")))</f>
        <v>0</v>
      </c>
      <c r="F464" s="4">
        <f>IF(OR(INDEX($AH$2:$AH$1001,MATCH(ROWS($AG$2:AG464),$AG$2:$AG$1001,0),1)&gt;=100000,INDEX($AN$1005:$BO$1005,1,MATCH(COLUMNS($AN$1006:AR1006),$AN$1006:$BO$1006,0))&gt;=100000), " ",IF(INDEX($AN$2:$BO$1001,MATCH(ROWS($AG$2:AG464),$AG$2:$AG$1001,0),MATCH(COLUMNS($AN$1006:AR1006),$AN$1006:$BO$1006,0)), HYPERLINK("#",""), HYPERLINK(CONCATENATE("#Metadata!", ADDRESS(INDEX($AI$2:$AI$1001,MATCH(ROWS($AG$2:AG464),$AG$2:$AG$1001,0),0), INDEX($AN$1004:$BO$1004,1,MATCH(COLUMNS($AN$1006:AR1006),$AN$1006:$BO$1006,0)))),"Fix")))</f>
        <v>0</v>
      </c>
      <c r="G464" s="4">
        <f>IF(OR(INDEX($AH$2:$AH$1001,MATCH(ROWS($AG$2:AG464),$AG$2:$AG$1001,0),1)&gt;=100000,INDEX($AN$1005:$BO$1005,1,MATCH(COLUMNS($AN$1006:AS1006),$AN$1006:$BO$1006,0))&gt;=100000), " ",IF(INDEX($AN$2:$BO$1001,MATCH(ROWS($AG$2:AG464),$AG$2:$AG$1001,0),MATCH(COLUMNS($AN$1006:AS1006),$AN$1006:$BO$1006,0)), HYPERLINK("#",""), HYPERLINK(CONCATENATE("#Metadata!", ADDRESS(INDEX($AI$2:$AI$1001,MATCH(ROWS($AG$2:AG464),$AG$2:$AG$1001,0),0), INDEX($AN$1004:$BO$1004,1,MATCH(COLUMNS($AN$1006:AS1006),$AN$1006:$BO$1006,0)))),"Fix")))</f>
        <v>0</v>
      </c>
      <c r="H464" s="4">
        <f>IF(OR(INDEX($AH$2:$AH$1001,MATCH(ROWS($AG$2:AG464),$AG$2:$AG$1001,0),1)&gt;=100000,INDEX($AN$1005:$BO$1005,1,MATCH(COLUMNS($AN$1006:AT1006),$AN$1006:$BO$1006,0))&gt;=100000), " ",IF(INDEX($AN$2:$BO$1001,MATCH(ROWS($AG$2:AG464),$AG$2:$AG$1001,0),MATCH(COLUMNS($AN$1006:AT1006),$AN$1006:$BO$1006,0)), HYPERLINK("#",""), HYPERLINK(CONCATENATE("#Metadata!", ADDRESS(INDEX($AI$2:$AI$1001,MATCH(ROWS($AG$2:AG464),$AG$2:$AG$1001,0),0), INDEX($AN$1004:$BO$1004,1,MATCH(COLUMNS($AN$1006:AT1006),$AN$1006:$BO$1006,0)))),"Fix")))</f>
        <v>0</v>
      </c>
      <c r="I464" s="4">
        <f>IF(OR(INDEX($AH$2:$AH$1001,MATCH(ROWS($AG$2:AG464),$AG$2:$AG$1001,0),1)&gt;=100000,INDEX($AN$1005:$BO$1005,1,MATCH(COLUMNS($AN$1006:AU1006),$AN$1006:$BO$1006,0))&gt;=100000), " ",IF(INDEX($AN$2:$BO$1001,MATCH(ROWS($AG$2:AG464),$AG$2:$AG$1001,0),MATCH(COLUMNS($AN$1006:AU1006),$AN$1006:$BO$1006,0)), HYPERLINK("#",""), HYPERLINK(CONCATENATE("#Metadata!", ADDRESS(INDEX($AI$2:$AI$1001,MATCH(ROWS($AG$2:AG464),$AG$2:$AG$1001,0),0), INDEX($AN$1004:$BO$1004,1,MATCH(COLUMNS($AN$1006:AU1006),$AN$1006:$BO$1006,0)))),"Fix")))</f>
        <v>0</v>
      </c>
      <c r="J464" s="4">
        <f>IF(OR(INDEX($AH$2:$AH$1001,MATCH(ROWS($AG$2:AG464),$AG$2:$AG$1001,0),1)&gt;=100000,INDEX($AN$1005:$BO$1005,1,MATCH(COLUMNS($AN$1006:AV1006),$AN$1006:$BO$1006,0))&gt;=100000), " ",IF(INDEX($AN$2:$BO$1001,MATCH(ROWS($AG$2:AG464),$AG$2:$AG$1001,0),MATCH(COLUMNS($AN$1006:AV1006),$AN$1006:$BO$1006,0)), HYPERLINK("#",""), HYPERLINK(CONCATENATE("#Metadata!", ADDRESS(INDEX($AI$2:$AI$1001,MATCH(ROWS($AG$2:AG464),$AG$2:$AG$1001,0),0), INDEX($AN$1004:$BO$1004,1,MATCH(COLUMNS($AN$1006:AV1006),$AN$1006:$BO$1006,0)))),"Fix")))</f>
        <v>0</v>
      </c>
      <c r="K464" s="4">
        <f>IF(OR(INDEX($AH$2:$AH$1001,MATCH(ROWS($AG$2:AG464),$AG$2:$AG$1001,0),1)&gt;=100000,INDEX($AN$1005:$BO$1005,1,MATCH(COLUMNS($AN$1006:AW1006),$AN$1006:$BO$1006,0))&gt;=100000), " ",IF(INDEX($AN$2:$BO$1001,MATCH(ROWS($AG$2:AG464),$AG$2:$AG$1001,0),MATCH(COLUMNS($AN$1006:AW1006),$AN$1006:$BO$1006,0)), HYPERLINK("#",""), HYPERLINK(CONCATENATE("#Metadata!", ADDRESS(INDEX($AI$2:$AI$1001,MATCH(ROWS($AG$2:AG464),$AG$2:$AG$1001,0),0), INDEX($AN$1004:$BO$1004,1,MATCH(COLUMNS($AN$1006:AW1006),$AN$1006:$BO$1006,0)))),"Fix")))</f>
        <v>0</v>
      </c>
      <c r="L464" s="4">
        <f>IF(OR(INDEX($AH$2:$AH$1001,MATCH(ROWS($AG$2:AG464),$AG$2:$AG$1001,0),1)&gt;=100000,INDEX($AN$1005:$BO$1005,1,MATCH(COLUMNS($AN$1006:AX1006),$AN$1006:$BO$1006,0))&gt;=100000), " ",IF(INDEX($AN$2:$BO$1001,MATCH(ROWS($AG$2:AG464),$AG$2:$AG$1001,0),MATCH(COLUMNS($AN$1006:AX1006),$AN$1006:$BO$1006,0)), HYPERLINK("#",""), HYPERLINK(CONCATENATE("#Metadata!", ADDRESS(INDEX($AI$2:$AI$1001,MATCH(ROWS($AG$2:AG464),$AG$2:$AG$1001,0),0), INDEX($AN$1004:$BO$1004,1,MATCH(COLUMNS($AN$1006:AX1006),$AN$1006:$BO$1006,0)))),"Fix")))</f>
        <v>0</v>
      </c>
      <c r="M464" s="4">
        <f>IF(OR(INDEX($AH$2:$AH$1001,MATCH(ROWS($AG$2:AG464),$AG$2:$AG$1001,0),1)&gt;=100000,INDEX($AN$1005:$BO$1005,1,MATCH(COLUMNS($AN$1006:AY1006),$AN$1006:$BO$1006,0))&gt;=100000), " ",IF(INDEX($AN$2:$BO$1001,MATCH(ROWS($AG$2:AG464),$AG$2:$AG$1001,0),MATCH(COLUMNS($AN$1006:AY1006),$AN$1006:$BO$1006,0)), HYPERLINK("#",""), HYPERLINK(CONCATENATE("#Metadata!", ADDRESS(INDEX($AI$2:$AI$1001,MATCH(ROWS($AG$2:AG464),$AG$2:$AG$1001,0),0), INDEX($AN$1004:$BO$1004,1,MATCH(COLUMNS($AN$1006:AY1006),$AN$1006:$BO$1006,0)))),"Fix")))</f>
        <v>0</v>
      </c>
      <c r="N464" s="4">
        <f>IF(OR(INDEX($AH$2:$AH$1001,MATCH(ROWS($AG$2:AG464),$AG$2:$AG$1001,0),1)&gt;=100000,INDEX($AN$1005:$BO$1005,1,MATCH(COLUMNS($AN$1006:AZ1006),$AN$1006:$BO$1006,0))&gt;=100000), " ",IF(INDEX($AN$2:$BO$1001,MATCH(ROWS($AG$2:AG464),$AG$2:$AG$1001,0),MATCH(COLUMNS($AN$1006:AZ1006),$AN$1006:$BO$1006,0)), HYPERLINK("#",""), HYPERLINK(CONCATENATE("#Metadata!", ADDRESS(INDEX($AI$2:$AI$1001,MATCH(ROWS($AG$2:AG464),$AG$2:$AG$1001,0),0), INDEX($AN$1004:$BO$1004,1,MATCH(COLUMNS($AN$1006:AZ1006),$AN$1006:$BO$1006,0)))),"Fix")))</f>
        <v>0</v>
      </c>
      <c r="O464" s="4">
        <f>IF(OR(INDEX($AH$2:$AH$1001,MATCH(ROWS($AG$2:AG464),$AG$2:$AG$1001,0),1)&gt;=100000,INDEX($AN$1005:$BO$1005,1,MATCH(COLUMNS($AN$1006:BA1006),$AN$1006:$BO$1006,0))&gt;=100000), " ",IF(INDEX($AN$2:$BO$1001,MATCH(ROWS($AG$2:AG464),$AG$2:$AG$1001,0),MATCH(COLUMNS($AN$1006:BA1006),$AN$1006:$BO$1006,0)), HYPERLINK("#",""), HYPERLINK(CONCATENATE("#Metadata!", ADDRESS(INDEX($AI$2:$AI$1001,MATCH(ROWS($AG$2:AG464),$AG$2:$AG$1001,0),0), INDEX($AN$1004:$BO$1004,1,MATCH(COLUMNS($AN$1006:BA1006),$AN$1006:$BO$1006,0)))),"Fix")))</f>
        <v>0</v>
      </c>
      <c r="P464" s="4">
        <f>IF(OR(INDEX($AH$2:$AH$1001,MATCH(ROWS($AG$2:AG464),$AG$2:$AG$1001,0),1)&gt;=100000,INDEX($AN$1005:$BO$1005,1,MATCH(COLUMNS($AN$1006:BB1006),$AN$1006:$BO$1006,0))&gt;=100000), " ",IF(INDEX($AN$2:$BO$1001,MATCH(ROWS($AG$2:AG464),$AG$2:$AG$1001,0),MATCH(COLUMNS($AN$1006:BB1006),$AN$1006:$BO$1006,0)), HYPERLINK("#",""), HYPERLINK(CONCATENATE("#Metadata!", ADDRESS(INDEX($AI$2:$AI$1001,MATCH(ROWS($AG$2:AG464),$AG$2:$AG$1001,0),0), INDEX($AN$1004:$BO$1004,1,MATCH(COLUMNS($AN$1006:BB1006),$AN$1006:$BO$1006,0)))),"Fix")))</f>
        <v>0</v>
      </c>
      <c r="Q464" s="4">
        <f>IF(OR(INDEX($AH$2:$AH$1001,MATCH(ROWS($AG$2:AG464),$AG$2:$AG$1001,0),1)&gt;=100000,INDEX($AN$1005:$BO$1005,1,MATCH(COLUMNS($AN$1006:BC1006),$AN$1006:$BO$1006,0))&gt;=100000), " ",IF(INDEX($AN$2:$BO$1001,MATCH(ROWS($AG$2:AG464),$AG$2:$AG$1001,0),MATCH(COLUMNS($AN$1006:BC1006),$AN$1006:$BO$1006,0)), HYPERLINK("#",""), HYPERLINK(CONCATENATE("#Metadata!", ADDRESS(INDEX($AI$2:$AI$1001,MATCH(ROWS($AG$2:AG464),$AG$2:$AG$1001,0),0), INDEX($AN$1004:$BO$1004,1,MATCH(COLUMNS($AN$1006:BC1006),$AN$1006:$BO$1006,0)))),"Fix")))</f>
        <v>0</v>
      </c>
      <c r="R464" s="4">
        <f>IF(OR(INDEX($AH$2:$AH$1001,MATCH(ROWS($AG$2:AG464),$AG$2:$AG$1001,0),1)&gt;=100000,INDEX($AN$1005:$BO$1005,1,MATCH(COLUMNS($AN$1006:BD1006),$AN$1006:$BO$1006,0))&gt;=100000), " ",IF(INDEX($AN$2:$BO$1001,MATCH(ROWS($AG$2:AG464),$AG$2:$AG$1001,0),MATCH(COLUMNS($AN$1006:BD1006),$AN$1006:$BO$1006,0)), HYPERLINK("#",""), HYPERLINK(CONCATENATE("#Metadata!", ADDRESS(INDEX($AI$2:$AI$1001,MATCH(ROWS($AG$2:AG464),$AG$2:$AG$1001,0),0), INDEX($AN$1004:$BO$1004,1,MATCH(COLUMNS($AN$1006:BD1006),$AN$1006:$BO$1006,0)))),"Fix")))</f>
        <v>0</v>
      </c>
      <c r="S464" s="4">
        <f>IF(OR(INDEX($AH$2:$AH$1001,MATCH(ROWS($AG$2:AG464),$AG$2:$AG$1001,0),1)&gt;=100000,INDEX($AN$1005:$BO$1005,1,MATCH(COLUMNS($AN$1006:BE1006),$AN$1006:$BO$1006,0))&gt;=100000), " ",IF(INDEX($AN$2:$BO$1001,MATCH(ROWS($AG$2:AG464),$AG$2:$AG$1001,0),MATCH(COLUMNS($AN$1006:BE1006),$AN$1006:$BO$1006,0)), HYPERLINK("#",""), HYPERLINK(CONCATENATE("#Metadata!", ADDRESS(INDEX($AI$2:$AI$1001,MATCH(ROWS($AG$2:AG464),$AG$2:$AG$1001,0),0), INDEX($AN$1004:$BO$1004,1,MATCH(COLUMNS($AN$1006:BE1006),$AN$1006:$BO$1006,0)))),"Fix")))</f>
        <v>0</v>
      </c>
      <c r="T464" s="4">
        <f>IF(OR(INDEX($AH$2:$AH$1001,MATCH(ROWS($AG$2:AG464),$AG$2:$AG$1001,0),1)&gt;=100000,INDEX($AN$1005:$BO$1005,1,MATCH(COLUMNS($AN$1006:BF1006),$AN$1006:$BO$1006,0))&gt;=100000), " ",IF(INDEX($AN$2:$BO$1001,MATCH(ROWS($AG$2:AG464),$AG$2:$AG$1001,0),MATCH(COLUMNS($AN$1006:BF1006),$AN$1006:$BO$1006,0)), HYPERLINK("#",""), HYPERLINK(CONCATENATE("#Metadata!", ADDRESS(INDEX($AI$2:$AI$1001,MATCH(ROWS($AG$2:AG464),$AG$2:$AG$1001,0),0), INDEX($AN$1004:$BO$1004,1,MATCH(COLUMNS($AN$1006:BF1006),$AN$1006:$BO$1006,0)))),"Fix")))</f>
        <v>0</v>
      </c>
      <c r="U464" s="4">
        <f>IF(OR(INDEX($AH$2:$AH$1001,MATCH(ROWS($AG$2:AG464),$AG$2:$AG$1001,0),1)&gt;=100000,INDEX($AN$1005:$BO$1005,1,MATCH(COLUMNS($AN$1006:BG1006),$AN$1006:$BO$1006,0))&gt;=100000), " ",IF(INDEX($AN$2:$BO$1001,MATCH(ROWS($AG$2:AG464),$AG$2:$AG$1001,0),MATCH(COLUMNS($AN$1006:BG1006),$AN$1006:$BO$1006,0)), HYPERLINK("#",""), HYPERLINK(CONCATENATE("#Metadata!", ADDRESS(INDEX($AI$2:$AI$1001,MATCH(ROWS($AG$2:AG464),$AG$2:$AG$1001,0),0), INDEX($AN$1004:$BO$1004,1,MATCH(COLUMNS($AN$1006:BG1006),$AN$1006:$BO$1006,0)))),"Fix")))</f>
        <v>0</v>
      </c>
      <c r="V464" s="4">
        <f>IF(OR(INDEX($AH$2:$AH$1001,MATCH(ROWS($AG$2:AG464),$AG$2:$AG$1001,0),1)&gt;=100000,INDEX($AN$1005:$BO$1005,1,MATCH(COLUMNS($AN$1006:BH1006),$AN$1006:$BO$1006,0))&gt;=100000), " ",IF(INDEX($AN$2:$BO$1001,MATCH(ROWS($AG$2:AG464),$AG$2:$AG$1001,0),MATCH(COLUMNS($AN$1006:BH1006),$AN$1006:$BO$1006,0)), HYPERLINK("#",""), HYPERLINK(CONCATENATE("#Metadata!", ADDRESS(INDEX($AI$2:$AI$1001,MATCH(ROWS($AG$2:AG464),$AG$2:$AG$1001,0),0), INDEX($AN$1004:$BO$1004,1,MATCH(COLUMNS($AN$1006:BH1006),$AN$1006:$BO$1006,0)))),"Fix")))</f>
        <v>0</v>
      </c>
      <c r="W464" s="4">
        <f>IF(OR(INDEX($AH$2:$AH$1001,MATCH(ROWS($AG$2:AG464),$AG$2:$AG$1001,0),1)&gt;=100000,INDEX($AN$1005:$BO$1005,1,MATCH(COLUMNS($AN$1006:BI1006),$AN$1006:$BO$1006,0))&gt;=100000), " ",IF(INDEX($AN$2:$BO$1001,MATCH(ROWS($AG$2:AG464),$AG$2:$AG$1001,0),MATCH(COLUMNS($AN$1006:BI1006),$AN$1006:$BO$1006,0)), HYPERLINK("#",""), HYPERLINK(CONCATENATE("#Metadata!", ADDRESS(INDEX($AI$2:$AI$1001,MATCH(ROWS($AG$2:AG464),$AG$2:$AG$1001,0),0), INDEX($AN$1004:$BO$1004,1,MATCH(COLUMNS($AN$1006:BI1006),$AN$1006:$BO$1006,0)))),"Fix")))</f>
        <v>0</v>
      </c>
      <c r="X464" s="4">
        <f>IF(OR(INDEX($AH$2:$AH$1001,MATCH(ROWS($AG$2:AG464),$AG$2:$AG$1001,0),1)&gt;=100000,INDEX($AN$1005:$BO$1005,1,MATCH(COLUMNS($AN$1006:BJ1006),$AN$1006:$BO$1006,0))&gt;=100000), " ",IF(INDEX($AN$2:$BO$1001,MATCH(ROWS($AG$2:AG464),$AG$2:$AG$1001,0),MATCH(COLUMNS($AN$1006:BJ1006),$AN$1006:$BO$1006,0)), HYPERLINK("#",""), HYPERLINK(CONCATENATE("#Metadata!", ADDRESS(INDEX($AI$2:$AI$1001,MATCH(ROWS($AG$2:AG464),$AG$2:$AG$1001,0),0), INDEX($AN$1004:$BO$1004,1,MATCH(COLUMNS($AN$1006:BJ1006),$AN$1006:$BO$1006,0)))),"Fix")))</f>
        <v>0</v>
      </c>
      <c r="Y464" s="4">
        <f>IF(OR(INDEX($AH$2:$AH$1001,MATCH(ROWS($AG$2:AG464),$AG$2:$AG$1001,0),1)&gt;=100000,INDEX($AN$1005:$BO$1005,1,MATCH(COLUMNS($AN$1006:BK1006),$AN$1006:$BO$1006,0))&gt;=100000), " ",IF(INDEX($AN$2:$BO$1001,MATCH(ROWS($AG$2:AG464),$AG$2:$AG$1001,0),MATCH(COLUMNS($AN$1006:BK1006),$AN$1006:$BO$1006,0)), HYPERLINK("#",""), HYPERLINK(CONCATENATE("#Metadata!", ADDRESS(INDEX($AI$2:$AI$1001,MATCH(ROWS($AG$2:AG464),$AG$2:$AG$1001,0),0), INDEX($AN$1004:$BO$1004,1,MATCH(COLUMNS($AN$1006:BK1006),$AN$1006:$BO$1006,0)))),"Fix")))</f>
        <v>0</v>
      </c>
      <c r="Z464" s="4">
        <f>IF(OR(INDEX($AH$2:$AH$1001,MATCH(ROWS($AG$2:AG464),$AG$2:$AG$1001,0),1)&gt;=100000,INDEX($AN$1005:$BO$1005,1,MATCH(COLUMNS($AN$1006:BL1006),$AN$1006:$BO$1006,0))&gt;=100000), " ",IF(INDEX($AN$2:$BO$1001,MATCH(ROWS($AG$2:AG464),$AG$2:$AG$1001,0),MATCH(COLUMNS($AN$1006:BL1006),$AN$1006:$BO$1006,0)), HYPERLINK("#",""), HYPERLINK(CONCATENATE("#Metadata!", ADDRESS(INDEX($AI$2:$AI$1001,MATCH(ROWS($AG$2:AG464),$AG$2:$AG$1001,0),0), INDEX($AN$1004:$BO$1004,1,MATCH(COLUMNS($AN$1006:BL1006),$AN$1006:$BO$1006,0)))),"Fix")))</f>
        <v>0</v>
      </c>
      <c r="AA464" s="4">
        <f>IF(OR(INDEX($AH$2:$AH$1001,MATCH(ROWS($AG$2:AG464),$AG$2:$AG$1001,0),1)&gt;=100000,INDEX($AN$1005:$BO$1005,1,MATCH(COLUMNS($AN$1006:BM1006),$AN$1006:$BO$1006,0))&gt;=100000), " ",IF(INDEX($AN$2:$BO$1001,MATCH(ROWS($AG$2:AG464),$AG$2:$AG$1001,0),MATCH(COLUMNS($AN$1006:BM1006),$AN$1006:$BO$1006,0)), HYPERLINK("#",""), HYPERLINK(CONCATENATE("#Metadata!", ADDRESS(INDEX($AI$2:$AI$1001,MATCH(ROWS($AG$2:AG464),$AG$2:$AG$1001,0),0), INDEX($AN$1004:$BO$1004,1,MATCH(COLUMNS($AN$1006:BM1006),$AN$1006:$BO$1006,0)))),"Fix")))</f>
        <v>0</v>
      </c>
      <c r="AB464" s="4">
        <f>IF(OR(INDEX($AH$2:$AH$1001,MATCH(ROWS($AG$2:AG464),$AG$2:$AG$1001,0),1)&gt;=100000,INDEX($AN$1005:$BO$1005,1,MATCH(COLUMNS($AN$1006:BN1006),$AN$1006:$BO$1006,0))&gt;=100000), " ",IF(INDEX($AN$2:$BO$1001,MATCH(ROWS($AG$2:AG464),$AG$2:$AG$1001,0),MATCH(COLUMNS($AN$1006:BN1006),$AN$1006:$BO$1006,0)), HYPERLINK("#",""), HYPERLINK(CONCATENATE("#Metadata!", ADDRESS(INDEX($AI$2:$AI$1001,MATCH(ROWS($AG$2:AG464),$AG$2:$AG$1001,0),0), INDEX($AN$1004:$BO$1004,1,MATCH(COLUMNS($AN$1006:BN1006),$AN$1006:$BO$1006,0)))),"Fix")))</f>
        <v>0</v>
      </c>
      <c r="AC464" s="4">
        <f>IF(OR(INDEX($AH$2:$AH$1001,MATCH(ROWS($AG$2:AG464),$AG$2:$AG$1001,0),1)&gt;=100000,INDEX($AN$1005:$BO$1005,1,MATCH(COLUMNS($AN$1006:BO1006),$AN$1006:$BO$1006,0))&gt;=100000), " ",IF(INDEX($AN$2:$BO$1001,MATCH(ROWS($AG$2:AG464),$AG$2:$AG$1001,0),MATCH(COLUMNS($AN$1006:BO1006),$AN$1006:$BO$1006,0)), HYPERLINK("#",""), HYPERLINK(CONCATENATE("#Metadata!", ADDRESS(INDEX($AI$2:$AI$1001,MATCH(ROWS($AG$2:AG464),$AG$2:$AG$1001,0),0), INDEX($AN$1004:$BO$1004,1,MATCH(COLUMNS($AN$1006:BO1006),$AN$1006:$BO$1006,0)))),"Fix")))</f>
        <v>0</v>
      </c>
      <c r="AG464">
        <v>0</v>
      </c>
      <c r="AH464">
        <v>0</v>
      </c>
      <c r="AI464">
        <v>0</v>
      </c>
      <c r="AJ464">
        <f>IF(AK464,TRUE,AND(AN464:BO464))</f>
        <v>0</v>
      </c>
      <c r="AK464">
        <f>COUNTBLANK(Metadata!B464:AC464)=COLUMNS(Metadata!B464:AC464)</f>
        <v>0</v>
      </c>
      <c r="AL464">
        <v>0</v>
      </c>
      <c r="AN464">
        <f>AND(IF(Metadata!B464="",FALSE,TRUE),COUNTIF(Metadata!B:B, Metadata!B464) = 1,NOT(ISERROR(SUMPRODUCT(SEARCH(MID(Metadata!B464,ROW(INDIRECT("1:"&amp;LEN(Metadata!B464))), 1),"0123456789abcdefghijklmnopqrstuvwxyzABCDEFGHIJKLMNOPQRSTUVWXYZ.")))))</f>
        <v>0</v>
      </c>
      <c r="AO464">
        <f>IF(Metadata!C464="",FALSE,TRUE)</f>
        <v>0</v>
      </c>
      <c r="AP464">
        <f>IF(Metadata!D464="",FALSE,TRUE)</f>
        <v>0</v>
      </c>
      <c r="AQ464">
        <f>OR(AND(IF(Metadata!E464="",FALSE,TRUE),OR(exact(Metadata!E464,"not collected"),exact(Metadata!E464,"not provided"),exact(Metadata!E464,"restricted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R464">
        <f>IF(Metadata!F464="",FALSE,TRUE)</f>
        <v>0</v>
      </c>
      <c r="AS464">
        <f>OR(AND(IF(Metadata!G464="",FALSE,TRUE),OR(exact(Metadata!G464,"not collected"),exact(Metadata!G464,"not provided"))),AND(IF(Metadata!G464="",FALSE,TRUE),OR(exact(Metadata!G464,"TRUE"),exact(Metadata!G464,"FALSE"))))</f>
        <v>0</v>
      </c>
      <c r="AT464">
        <f>OR(AND(IF(Metadata!H464="",FALSE,TRUE),OR(exact(Metadata!H464,"not collected"),exact(Metadata!H464,"not provided"),exact(Metadata!H464,"restricted access"))),AND(IF(Metadata!H464="",FALSE,ISNUMBER(VALUE(Metadata!H464))),Metadata!H464&gt;=-413.0))</f>
        <v>0</v>
      </c>
      <c r="AU464">
        <f>AND(IF(Metadata!I464="",FALSE,TRUE),exact(Metadata!I464,"meters"))</f>
        <v>0</v>
      </c>
      <c r="AV464">
        <f>AND(IF(Metadata!J464="",FALSE,TRUE),OR(exact(Metadata!J464,"Host-associated"),exact(Metadata!J464,"Free-living")))</f>
        <v>0</v>
      </c>
      <c r="AW464">
        <f>AND(IF(Metadata!K464="",FALSE,TRUE),OR(exact(Metadata!K464,"Animal"),exact(Metadata!K464,"Fungus"),exact(Metadata!K464,"Plant"),exact(Metadata!K464,"Saline"),exact(Metadata!K464,"Non-saline")))</f>
        <v>0</v>
      </c>
      <c r="AX464">
        <f>AND(IF(Metadata!L464="",FALSE,TRUE),OR(exact(Metadata!L464,"Plant secretion"),exact(Metadata!L464,"Plant rhizosphere"),exact(Metadata!L464,"Plant surface"),exact(Metadata!L464,"Plant corpus"),exact(Metadata!L464,"Fungus surface"),exact(Metadata!L464,"Fungus corpus"),exact(Metadata!L464,"Animal surface"),exact(Metadata!L464,"Animal proximal gut"),exact(Metadata!L464,"Animal corpus"),exact(Metadata!L464,"Animal distal gut"),exact(Metadata!L464,"Animal secretion"),exact(Metadata!L464,"Sub-surface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Y464">
        <f>IF(Metadata!M464="",FALSE,TRUE)</f>
        <v>0</v>
      </c>
      <c r="AZ464">
        <f>IF(Metadata!N464="",FALSE,TRUE)</f>
        <v>0</v>
      </c>
      <c r="BA464">
        <f>IF(Metadata!O464="",FALSE,TRUE)</f>
        <v>0</v>
      </c>
      <c r="BB464">
        <f>OR(AND(IF(Metadata!P464="",FALSE,TRUE),OR(exact(Metadata!P464,"not collected"),exact(Metadata!P464,"not provided"),exact(Metadata!P464,"restricted access"))),AND(IF(Metadata!P464="",FALSE,TRUE),OR(exact(Metadata!P464,"air"),exact(Metadata!P464,"built environment"),exact(Metadata!P464,"host-associated"),exact(Metadata!P464,"human-associated"),exact(Metadata!P464,"human-skin"),exact(Metadata!P464,"human-oral"),exact(Metadata!P464,"human-gut"),exact(Metadata!P464,"human-vaginal"),exact(Metadata!P464,"microbial mat/biofilm"),exact(Metadata!P464,"misc environment"),exact(Metadata!P464,"plant-associated"),exact(Metadata!P464,"sediment"),exact(Metadata!P464,"soil"),exact(Metadata!P464,"wastewater/sludge"),exact(Metadata!P464,"water"))))</f>
        <v>0</v>
      </c>
      <c r="BC464">
        <f>IF(Metadata!Q464="",FALSE,TRUE)</f>
        <v>0</v>
      </c>
      <c r="BD464">
        <f>IF(Metadata!R464="",FALSE,TRUE)</f>
        <v>0</v>
      </c>
      <c r="BE464">
        <f>OR(AND(IF(Metadata!S464="",FALSE,TRUE),OR(exact(Metadata!S464,"not collected"),exact(Metadata!S464,"not provided"),exact(Metadata!S464,"restricted access"))),AND(IF(Metadata!S464="",FALSE,ISNUMBER(VALUE(Metadata!S464))),Metadata!S464&gt;=-90.00,Metadata!S464&lt;=90.00))</f>
        <v>0</v>
      </c>
      <c r="BF464">
        <f>AND(IF(Metadata!T464="",FALSE,TRUE),exact(Metadata!T464,"Decimal degrees"))</f>
        <v>0</v>
      </c>
      <c r="BG464">
        <f>OR(AND(IF(Metadata!U464="",FALSE,TRUE),OR(exact(Metadata!U464,"not collected"),exact(Metadata!U464,"not provided"),exact(Metadata!U464,"restricted access"))),AND(IF(Metadata!U464="",FALSE,ISNUMBER(VALUE(Metadata!U464))),Metadata!U464&gt;=-180.00,Metadata!U464&lt;=180.00))</f>
        <v>0</v>
      </c>
      <c r="BH464">
        <f>AND(IF(Metadata!V464="",FALSE,TRUE),exact(Metadata!V464,"Decimal degrees"))</f>
        <v>0</v>
      </c>
      <c r="BI464">
        <f>IF(Metadata!W464="",FALSE,TRUE)</f>
        <v>0</v>
      </c>
      <c r="BJ464">
        <f>OR(AND(IF(Metadata!X464="",FALSE,TRUE),OR(exact(Metadata!X464,"not collected"),exact(Metadata!X464,"not provided"),exact(Metadata!X464,"restricted access"))),AND(IF(Metadata!X464="",FALSE,TRUE),OR(exact(Metadata!X464,"TRUE"),exact(Metadata!X464,"FALSE"))))</f>
        <v>0</v>
      </c>
      <c r="BK464">
        <f>AND(IF(Metadata!Y464="",FALSE,TRUE),exact(Metadata!Y464,"other"))</f>
        <v>0</v>
      </c>
      <c r="BL464">
        <f>IF(Metadata!Z464="",FALSE,TRUE)</f>
        <v>0</v>
      </c>
      <c r="BM464">
        <f>OR(AND(IF(Metadata!AA464="",FALSE,TRUE),OR(exact(Metadata!AA464,"not collected"),exact(Metadata!AA464,"not provided"))),AND(IF(Metadata!AA464="",FALSE,IF(ISERROR(INT(Metadata!AA464)),FALSE,INT(Metadata!AA464)=Metadata!AA464)),Metadata!AA464&gt;0))</f>
        <v>0</v>
      </c>
      <c r="BN464">
        <f>AND(IF(Metadata!AB464="",FALSE,TRUE),exact(Metadata!AB464,"Not applicable"))</f>
        <v>0</v>
      </c>
      <c r="BO464">
        <f>IF(Metadata!AC464="",FALSE,TRUE)</f>
        <v>0</v>
      </c>
    </row>
    <row r="465" spans="1:67">
      <c r="A465" s="5">
        <f>IF(B465=" "," ",HYPERLINK(CONCATENATE("#metadata!",ADDRESS(INDEX($AI$2:$AI$1001,MATCH(ROWS($AG$2:AG465),$AG$2:$AG$1001,0),0),1)),INDEX($AL$2:$AL$1001,MATCH(ROWS($AG$2:AG465),$AG$2:$AG$1001,0),0)))</f>
        <v>0</v>
      </c>
      <c r="B465" s="4">
        <f>IF(OR(INDEX($AH$2:$AH$1001,MATCH(ROWS($AG$2:AG465),$AG$2:$AG$1001,0),1)&gt;=100000,INDEX($AN$1005:$BO$1005,1,MATCH(COLUMNS($AN$1006:AN1006),$AN$1006:$BO$1006,0))&gt;=100000), " ",IF(INDEX($AN$2:$BO$1001,MATCH(ROWS($AG$2:AG465),$AG$2:$AG$1001,0),MATCH(COLUMNS($AN$1006:AN1006),$AN$1006:$BO$1006,0)), HYPERLINK("#",""), HYPERLINK(CONCATENATE("#Metadata!", ADDRESS(INDEX($AI$2:$AI$1001,MATCH(ROWS($AG$2:AG465),$AG$2:$AG$1001,0),0), INDEX($AN$1004:$BO$1004,1,MATCH(COLUMNS($AN$1006:AN1006),$AN$1006:$BO$1006,0)))),"Fix")))</f>
        <v>0</v>
      </c>
      <c r="C465" s="4">
        <f>IF(OR(INDEX($AH$2:$AH$1001,MATCH(ROWS($AG$2:AG465),$AG$2:$AG$1001,0),1)&gt;=100000,INDEX($AN$1005:$BO$1005,1,MATCH(COLUMNS($AN$1006:AO1006),$AN$1006:$BO$1006,0))&gt;=100000), " ",IF(INDEX($AN$2:$BO$1001,MATCH(ROWS($AG$2:AG465),$AG$2:$AG$1001,0),MATCH(COLUMNS($AN$1006:AO1006),$AN$1006:$BO$1006,0)), HYPERLINK("#",""), HYPERLINK(CONCATENATE("#Metadata!", ADDRESS(INDEX($AI$2:$AI$1001,MATCH(ROWS($AG$2:AG465),$AG$2:$AG$1001,0),0), INDEX($AN$1004:$BO$1004,1,MATCH(COLUMNS($AN$1006:AO1006),$AN$1006:$BO$1006,0)))),"Fix")))</f>
        <v>0</v>
      </c>
      <c r="D465" s="4">
        <f>IF(OR(INDEX($AH$2:$AH$1001,MATCH(ROWS($AG$2:AG465),$AG$2:$AG$1001,0),1)&gt;=100000,INDEX($AN$1005:$BO$1005,1,MATCH(COLUMNS($AN$1006:AP1006),$AN$1006:$BO$1006,0))&gt;=100000), " ",IF(INDEX($AN$2:$BO$1001,MATCH(ROWS($AG$2:AG465),$AG$2:$AG$1001,0),MATCH(COLUMNS($AN$1006:AP1006),$AN$1006:$BO$1006,0)), HYPERLINK("#",""), HYPERLINK(CONCATENATE("#Metadata!", ADDRESS(INDEX($AI$2:$AI$1001,MATCH(ROWS($AG$2:AG465),$AG$2:$AG$1001,0),0), INDEX($AN$1004:$BO$1004,1,MATCH(COLUMNS($AN$1006:AP1006),$AN$1006:$BO$1006,0)))),"Fix")))</f>
        <v>0</v>
      </c>
      <c r="E465" s="4">
        <f>IF(OR(INDEX($AH$2:$AH$1001,MATCH(ROWS($AG$2:AG465),$AG$2:$AG$1001,0),1)&gt;=100000,INDEX($AN$1005:$BO$1005,1,MATCH(COLUMNS($AN$1006:AQ1006),$AN$1006:$BO$1006,0))&gt;=100000), " ",IF(INDEX($AN$2:$BO$1001,MATCH(ROWS($AG$2:AG465),$AG$2:$AG$1001,0),MATCH(COLUMNS($AN$1006:AQ1006),$AN$1006:$BO$1006,0)), HYPERLINK("#",""), HYPERLINK(CONCATENATE("#Metadata!", ADDRESS(INDEX($AI$2:$AI$1001,MATCH(ROWS($AG$2:AG465),$AG$2:$AG$1001,0),0), INDEX($AN$1004:$BO$1004,1,MATCH(COLUMNS($AN$1006:AQ1006),$AN$1006:$BO$1006,0)))),"Fix")))</f>
        <v>0</v>
      </c>
      <c r="F465" s="4">
        <f>IF(OR(INDEX($AH$2:$AH$1001,MATCH(ROWS($AG$2:AG465),$AG$2:$AG$1001,0),1)&gt;=100000,INDEX($AN$1005:$BO$1005,1,MATCH(COLUMNS($AN$1006:AR1006),$AN$1006:$BO$1006,0))&gt;=100000), " ",IF(INDEX($AN$2:$BO$1001,MATCH(ROWS($AG$2:AG465),$AG$2:$AG$1001,0),MATCH(COLUMNS($AN$1006:AR1006),$AN$1006:$BO$1006,0)), HYPERLINK("#",""), HYPERLINK(CONCATENATE("#Metadata!", ADDRESS(INDEX($AI$2:$AI$1001,MATCH(ROWS($AG$2:AG465),$AG$2:$AG$1001,0),0), INDEX($AN$1004:$BO$1004,1,MATCH(COLUMNS($AN$1006:AR1006),$AN$1006:$BO$1006,0)))),"Fix")))</f>
        <v>0</v>
      </c>
      <c r="G465" s="4">
        <f>IF(OR(INDEX($AH$2:$AH$1001,MATCH(ROWS($AG$2:AG465),$AG$2:$AG$1001,0),1)&gt;=100000,INDEX($AN$1005:$BO$1005,1,MATCH(COLUMNS($AN$1006:AS1006),$AN$1006:$BO$1006,0))&gt;=100000), " ",IF(INDEX($AN$2:$BO$1001,MATCH(ROWS($AG$2:AG465),$AG$2:$AG$1001,0),MATCH(COLUMNS($AN$1006:AS1006),$AN$1006:$BO$1006,0)), HYPERLINK("#",""), HYPERLINK(CONCATENATE("#Metadata!", ADDRESS(INDEX($AI$2:$AI$1001,MATCH(ROWS($AG$2:AG465),$AG$2:$AG$1001,0),0), INDEX($AN$1004:$BO$1004,1,MATCH(COLUMNS($AN$1006:AS1006),$AN$1006:$BO$1006,0)))),"Fix")))</f>
        <v>0</v>
      </c>
      <c r="H465" s="4">
        <f>IF(OR(INDEX($AH$2:$AH$1001,MATCH(ROWS($AG$2:AG465),$AG$2:$AG$1001,0),1)&gt;=100000,INDEX($AN$1005:$BO$1005,1,MATCH(COLUMNS($AN$1006:AT1006),$AN$1006:$BO$1006,0))&gt;=100000), " ",IF(INDEX($AN$2:$BO$1001,MATCH(ROWS($AG$2:AG465),$AG$2:$AG$1001,0),MATCH(COLUMNS($AN$1006:AT1006),$AN$1006:$BO$1006,0)), HYPERLINK("#",""), HYPERLINK(CONCATENATE("#Metadata!", ADDRESS(INDEX($AI$2:$AI$1001,MATCH(ROWS($AG$2:AG465),$AG$2:$AG$1001,0),0), INDEX($AN$1004:$BO$1004,1,MATCH(COLUMNS($AN$1006:AT1006),$AN$1006:$BO$1006,0)))),"Fix")))</f>
        <v>0</v>
      </c>
      <c r="I465" s="4">
        <f>IF(OR(INDEX($AH$2:$AH$1001,MATCH(ROWS($AG$2:AG465),$AG$2:$AG$1001,0),1)&gt;=100000,INDEX($AN$1005:$BO$1005,1,MATCH(COLUMNS($AN$1006:AU1006),$AN$1006:$BO$1006,0))&gt;=100000), " ",IF(INDEX($AN$2:$BO$1001,MATCH(ROWS($AG$2:AG465),$AG$2:$AG$1001,0),MATCH(COLUMNS($AN$1006:AU1006),$AN$1006:$BO$1006,0)), HYPERLINK("#",""), HYPERLINK(CONCATENATE("#Metadata!", ADDRESS(INDEX($AI$2:$AI$1001,MATCH(ROWS($AG$2:AG465),$AG$2:$AG$1001,0),0), INDEX($AN$1004:$BO$1004,1,MATCH(COLUMNS($AN$1006:AU1006),$AN$1006:$BO$1006,0)))),"Fix")))</f>
        <v>0</v>
      </c>
      <c r="J465" s="4">
        <f>IF(OR(INDEX($AH$2:$AH$1001,MATCH(ROWS($AG$2:AG465),$AG$2:$AG$1001,0),1)&gt;=100000,INDEX($AN$1005:$BO$1005,1,MATCH(COLUMNS($AN$1006:AV1006),$AN$1006:$BO$1006,0))&gt;=100000), " ",IF(INDEX($AN$2:$BO$1001,MATCH(ROWS($AG$2:AG465),$AG$2:$AG$1001,0),MATCH(COLUMNS($AN$1006:AV1006),$AN$1006:$BO$1006,0)), HYPERLINK("#",""), HYPERLINK(CONCATENATE("#Metadata!", ADDRESS(INDEX($AI$2:$AI$1001,MATCH(ROWS($AG$2:AG465),$AG$2:$AG$1001,0),0), INDEX($AN$1004:$BO$1004,1,MATCH(COLUMNS($AN$1006:AV1006),$AN$1006:$BO$1006,0)))),"Fix")))</f>
        <v>0</v>
      </c>
      <c r="K465" s="4">
        <f>IF(OR(INDEX($AH$2:$AH$1001,MATCH(ROWS($AG$2:AG465),$AG$2:$AG$1001,0),1)&gt;=100000,INDEX($AN$1005:$BO$1005,1,MATCH(COLUMNS($AN$1006:AW1006),$AN$1006:$BO$1006,0))&gt;=100000), " ",IF(INDEX($AN$2:$BO$1001,MATCH(ROWS($AG$2:AG465),$AG$2:$AG$1001,0),MATCH(COLUMNS($AN$1006:AW1006),$AN$1006:$BO$1006,0)), HYPERLINK("#",""), HYPERLINK(CONCATENATE("#Metadata!", ADDRESS(INDEX($AI$2:$AI$1001,MATCH(ROWS($AG$2:AG465),$AG$2:$AG$1001,0),0), INDEX($AN$1004:$BO$1004,1,MATCH(COLUMNS($AN$1006:AW1006),$AN$1006:$BO$1006,0)))),"Fix")))</f>
        <v>0</v>
      </c>
      <c r="L465" s="4">
        <f>IF(OR(INDEX($AH$2:$AH$1001,MATCH(ROWS($AG$2:AG465),$AG$2:$AG$1001,0),1)&gt;=100000,INDEX($AN$1005:$BO$1005,1,MATCH(COLUMNS($AN$1006:AX1006),$AN$1006:$BO$1006,0))&gt;=100000), " ",IF(INDEX($AN$2:$BO$1001,MATCH(ROWS($AG$2:AG465),$AG$2:$AG$1001,0),MATCH(COLUMNS($AN$1006:AX1006),$AN$1006:$BO$1006,0)), HYPERLINK("#",""), HYPERLINK(CONCATENATE("#Metadata!", ADDRESS(INDEX($AI$2:$AI$1001,MATCH(ROWS($AG$2:AG465),$AG$2:$AG$1001,0),0), INDEX($AN$1004:$BO$1004,1,MATCH(COLUMNS($AN$1006:AX1006),$AN$1006:$BO$1006,0)))),"Fix")))</f>
        <v>0</v>
      </c>
      <c r="M465" s="4">
        <f>IF(OR(INDEX($AH$2:$AH$1001,MATCH(ROWS($AG$2:AG465),$AG$2:$AG$1001,0),1)&gt;=100000,INDEX($AN$1005:$BO$1005,1,MATCH(COLUMNS($AN$1006:AY1006),$AN$1006:$BO$1006,0))&gt;=100000), " ",IF(INDEX($AN$2:$BO$1001,MATCH(ROWS($AG$2:AG465),$AG$2:$AG$1001,0),MATCH(COLUMNS($AN$1006:AY1006),$AN$1006:$BO$1006,0)), HYPERLINK("#",""), HYPERLINK(CONCATENATE("#Metadata!", ADDRESS(INDEX($AI$2:$AI$1001,MATCH(ROWS($AG$2:AG465),$AG$2:$AG$1001,0),0), INDEX($AN$1004:$BO$1004,1,MATCH(COLUMNS($AN$1006:AY1006),$AN$1006:$BO$1006,0)))),"Fix")))</f>
        <v>0</v>
      </c>
      <c r="N465" s="4">
        <f>IF(OR(INDEX($AH$2:$AH$1001,MATCH(ROWS($AG$2:AG465),$AG$2:$AG$1001,0),1)&gt;=100000,INDEX($AN$1005:$BO$1005,1,MATCH(COLUMNS($AN$1006:AZ1006),$AN$1006:$BO$1006,0))&gt;=100000), " ",IF(INDEX($AN$2:$BO$1001,MATCH(ROWS($AG$2:AG465),$AG$2:$AG$1001,0),MATCH(COLUMNS($AN$1006:AZ1006),$AN$1006:$BO$1006,0)), HYPERLINK("#",""), HYPERLINK(CONCATENATE("#Metadata!", ADDRESS(INDEX($AI$2:$AI$1001,MATCH(ROWS($AG$2:AG465),$AG$2:$AG$1001,0),0), INDEX($AN$1004:$BO$1004,1,MATCH(COLUMNS($AN$1006:AZ1006),$AN$1006:$BO$1006,0)))),"Fix")))</f>
        <v>0</v>
      </c>
      <c r="O465" s="4">
        <f>IF(OR(INDEX($AH$2:$AH$1001,MATCH(ROWS($AG$2:AG465),$AG$2:$AG$1001,0),1)&gt;=100000,INDEX($AN$1005:$BO$1005,1,MATCH(COLUMNS($AN$1006:BA1006),$AN$1006:$BO$1006,0))&gt;=100000), " ",IF(INDEX($AN$2:$BO$1001,MATCH(ROWS($AG$2:AG465),$AG$2:$AG$1001,0),MATCH(COLUMNS($AN$1006:BA1006),$AN$1006:$BO$1006,0)), HYPERLINK("#",""), HYPERLINK(CONCATENATE("#Metadata!", ADDRESS(INDEX($AI$2:$AI$1001,MATCH(ROWS($AG$2:AG465),$AG$2:$AG$1001,0),0), INDEX($AN$1004:$BO$1004,1,MATCH(COLUMNS($AN$1006:BA1006),$AN$1006:$BO$1006,0)))),"Fix")))</f>
        <v>0</v>
      </c>
      <c r="P465" s="4">
        <f>IF(OR(INDEX($AH$2:$AH$1001,MATCH(ROWS($AG$2:AG465),$AG$2:$AG$1001,0),1)&gt;=100000,INDEX($AN$1005:$BO$1005,1,MATCH(COLUMNS($AN$1006:BB1006),$AN$1006:$BO$1006,0))&gt;=100000), " ",IF(INDEX($AN$2:$BO$1001,MATCH(ROWS($AG$2:AG465),$AG$2:$AG$1001,0),MATCH(COLUMNS($AN$1006:BB1006),$AN$1006:$BO$1006,0)), HYPERLINK("#",""), HYPERLINK(CONCATENATE("#Metadata!", ADDRESS(INDEX($AI$2:$AI$1001,MATCH(ROWS($AG$2:AG465),$AG$2:$AG$1001,0),0), INDEX($AN$1004:$BO$1004,1,MATCH(COLUMNS($AN$1006:BB1006),$AN$1006:$BO$1006,0)))),"Fix")))</f>
        <v>0</v>
      </c>
      <c r="Q465" s="4">
        <f>IF(OR(INDEX($AH$2:$AH$1001,MATCH(ROWS($AG$2:AG465),$AG$2:$AG$1001,0),1)&gt;=100000,INDEX($AN$1005:$BO$1005,1,MATCH(COLUMNS($AN$1006:BC1006),$AN$1006:$BO$1006,0))&gt;=100000), " ",IF(INDEX($AN$2:$BO$1001,MATCH(ROWS($AG$2:AG465),$AG$2:$AG$1001,0),MATCH(COLUMNS($AN$1006:BC1006),$AN$1006:$BO$1006,0)), HYPERLINK("#",""), HYPERLINK(CONCATENATE("#Metadata!", ADDRESS(INDEX($AI$2:$AI$1001,MATCH(ROWS($AG$2:AG465),$AG$2:$AG$1001,0),0), INDEX($AN$1004:$BO$1004,1,MATCH(COLUMNS($AN$1006:BC1006),$AN$1006:$BO$1006,0)))),"Fix")))</f>
        <v>0</v>
      </c>
      <c r="R465" s="4">
        <f>IF(OR(INDEX($AH$2:$AH$1001,MATCH(ROWS($AG$2:AG465),$AG$2:$AG$1001,0),1)&gt;=100000,INDEX($AN$1005:$BO$1005,1,MATCH(COLUMNS($AN$1006:BD1006),$AN$1006:$BO$1006,0))&gt;=100000), " ",IF(INDEX($AN$2:$BO$1001,MATCH(ROWS($AG$2:AG465),$AG$2:$AG$1001,0),MATCH(COLUMNS($AN$1006:BD1006),$AN$1006:$BO$1006,0)), HYPERLINK("#",""), HYPERLINK(CONCATENATE("#Metadata!", ADDRESS(INDEX($AI$2:$AI$1001,MATCH(ROWS($AG$2:AG465),$AG$2:$AG$1001,0),0), INDEX($AN$1004:$BO$1004,1,MATCH(COLUMNS($AN$1006:BD1006),$AN$1006:$BO$1006,0)))),"Fix")))</f>
        <v>0</v>
      </c>
      <c r="S465" s="4">
        <f>IF(OR(INDEX($AH$2:$AH$1001,MATCH(ROWS($AG$2:AG465),$AG$2:$AG$1001,0),1)&gt;=100000,INDEX($AN$1005:$BO$1005,1,MATCH(COLUMNS($AN$1006:BE1006),$AN$1006:$BO$1006,0))&gt;=100000), " ",IF(INDEX($AN$2:$BO$1001,MATCH(ROWS($AG$2:AG465),$AG$2:$AG$1001,0),MATCH(COLUMNS($AN$1006:BE1006),$AN$1006:$BO$1006,0)), HYPERLINK("#",""), HYPERLINK(CONCATENATE("#Metadata!", ADDRESS(INDEX($AI$2:$AI$1001,MATCH(ROWS($AG$2:AG465),$AG$2:$AG$1001,0),0), INDEX($AN$1004:$BO$1004,1,MATCH(COLUMNS($AN$1006:BE1006),$AN$1006:$BO$1006,0)))),"Fix")))</f>
        <v>0</v>
      </c>
      <c r="T465" s="4">
        <f>IF(OR(INDEX($AH$2:$AH$1001,MATCH(ROWS($AG$2:AG465),$AG$2:$AG$1001,0),1)&gt;=100000,INDEX($AN$1005:$BO$1005,1,MATCH(COLUMNS($AN$1006:BF1006),$AN$1006:$BO$1006,0))&gt;=100000), " ",IF(INDEX($AN$2:$BO$1001,MATCH(ROWS($AG$2:AG465),$AG$2:$AG$1001,0),MATCH(COLUMNS($AN$1006:BF1006),$AN$1006:$BO$1006,0)), HYPERLINK("#",""), HYPERLINK(CONCATENATE("#Metadata!", ADDRESS(INDEX($AI$2:$AI$1001,MATCH(ROWS($AG$2:AG465),$AG$2:$AG$1001,0),0), INDEX($AN$1004:$BO$1004,1,MATCH(COLUMNS($AN$1006:BF1006),$AN$1006:$BO$1006,0)))),"Fix")))</f>
        <v>0</v>
      </c>
      <c r="U465" s="4">
        <f>IF(OR(INDEX($AH$2:$AH$1001,MATCH(ROWS($AG$2:AG465),$AG$2:$AG$1001,0),1)&gt;=100000,INDEX($AN$1005:$BO$1005,1,MATCH(COLUMNS($AN$1006:BG1006),$AN$1006:$BO$1006,0))&gt;=100000), " ",IF(INDEX($AN$2:$BO$1001,MATCH(ROWS($AG$2:AG465),$AG$2:$AG$1001,0),MATCH(COLUMNS($AN$1006:BG1006),$AN$1006:$BO$1006,0)), HYPERLINK("#",""), HYPERLINK(CONCATENATE("#Metadata!", ADDRESS(INDEX($AI$2:$AI$1001,MATCH(ROWS($AG$2:AG465),$AG$2:$AG$1001,0),0), INDEX($AN$1004:$BO$1004,1,MATCH(COLUMNS($AN$1006:BG1006),$AN$1006:$BO$1006,0)))),"Fix")))</f>
        <v>0</v>
      </c>
      <c r="V465" s="4">
        <f>IF(OR(INDEX($AH$2:$AH$1001,MATCH(ROWS($AG$2:AG465),$AG$2:$AG$1001,0),1)&gt;=100000,INDEX($AN$1005:$BO$1005,1,MATCH(COLUMNS($AN$1006:BH1006),$AN$1006:$BO$1006,0))&gt;=100000), " ",IF(INDEX($AN$2:$BO$1001,MATCH(ROWS($AG$2:AG465),$AG$2:$AG$1001,0),MATCH(COLUMNS($AN$1006:BH1006),$AN$1006:$BO$1006,0)), HYPERLINK("#",""), HYPERLINK(CONCATENATE("#Metadata!", ADDRESS(INDEX($AI$2:$AI$1001,MATCH(ROWS($AG$2:AG465),$AG$2:$AG$1001,0),0), INDEX($AN$1004:$BO$1004,1,MATCH(COLUMNS($AN$1006:BH1006),$AN$1006:$BO$1006,0)))),"Fix")))</f>
        <v>0</v>
      </c>
      <c r="W465" s="4">
        <f>IF(OR(INDEX($AH$2:$AH$1001,MATCH(ROWS($AG$2:AG465),$AG$2:$AG$1001,0),1)&gt;=100000,INDEX($AN$1005:$BO$1005,1,MATCH(COLUMNS($AN$1006:BI1006),$AN$1006:$BO$1006,0))&gt;=100000), " ",IF(INDEX($AN$2:$BO$1001,MATCH(ROWS($AG$2:AG465),$AG$2:$AG$1001,0),MATCH(COLUMNS($AN$1006:BI1006),$AN$1006:$BO$1006,0)), HYPERLINK("#",""), HYPERLINK(CONCATENATE("#Metadata!", ADDRESS(INDEX($AI$2:$AI$1001,MATCH(ROWS($AG$2:AG465),$AG$2:$AG$1001,0),0), INDEX($AN$1004:$BO$1004,1,MATCH(COLUMNS($AN$1006:BI1006),$AN$1006:$BO$1006,0)))),"Fix")))</f>
        <v>0</v>
      </c>
      <c r="X465" s="4">
        <f>IF(OR(INDEX($AH$2:$AH$1001,MATCH(ROWS($AG$2:AG465),$AG$2:$AG$1001,0),1)&gt;=100000,INDEX($AN$1005:$BO$1005,1,MATCH(COLUMNS($AN$1006:BJ1006),$AN$1006:$BO$1006,0))&gt;=100000), " ",IF(INDEX($AN$2:$BO$1001,MATCH(ROWS($AG$2:AG465),$AG$2:$AG$1001,0),MATCH(COLUMNS($AN$1006:BJ1006),$AN$1006:$BO$1006,0)), HYPERLINK("#",""), HYPERLINK(CONCATENATE("#Metadata!", ADDRESS(INDEX($AI$2:$AI$1001,MATCH(ROWS($AG$2:AG465),$AG$2:$AG$1001,0),0), INDEX($AN$1004:$BO$1004,1,MATCH(COLUMNS($AN$1006:BJ1006),$AN$1006:$BO$1006,0)))),"Fix")))</f>
        <v>0</v>
      </c>
      <c r="Y465" s="4">
        <f>IF(OR(INDEX($AH$2:$AH$1001,MATCH(ROWS($AG$2:AG465),$AG$2:$AG$1001,0),1)&gt;=100000,INDEX($AN$1005:$BO$1005,1,MATCH(COLUMNS($AN$1006:BK1006),$AN$1006:$BO$1006,0))&gt;=100000), " ",IF(INDEX($AN$2:$BO$1001,MATCH(ROWS($AG$2:AG465),$AG$2:$AG$1001,0),MATCH(COLUMNS($AN$1006:BK1006),$AN$1006:$BO$1006,0)), HYPERLINK("#",""), HYPERLINK(CONCATENATE("#Metadata!", ADDRESS(INDEX($AI$2:$AI$1001,MATCH(ROWS($AG$2:AG465),$AG$2:$AG$1001,0),0), INDEX($AN$1004:$BO$1004,1,MATCH(COLUMNS($AN$1006:BK1006),$AN$1006:$BO$1006,0)))),"Fix")))</f>
        <v>0</v>
      </c>
      <c r="Z465" s="4">
        <f>IF(OR(INDEX($AH$2:$AH$1001,MATCH(ROWS($AG$2:AG465),$AG$2:$AG$1001,0),1)&gt;=100000,INDEX($AN$1005:$BO$1005,1,MATCH(COLUMNS($AN$1006:BL1006),$AN$1006:$BO$1006,0))&gt;=100000), " ",IF(INDEX($AN$2:$BO$1001,MATCH(ROWS($AG$2:AG465),$AG$2:$AG$1001,0),MATCH(COLUMNS($AN$1006:BL1006),$AN$1006:$BO$1006,0)), HYPERLINK("#",""), HYPERLINK(CONCATENATE("#Metadata!", ADDRESS(INDEX($AI$2:$AI$1001,MATCH(ROWS($AG$2:AG465),$AG$2:$AG$1001,0),0), INDEX($AN$1004:$BO$1004,1,MATCH(COLUMNS($AN$1006:BL1006),$AN$1006:$BO$1006,0)))),"Fix")))</f>
        <v>0</v>
      </c>
      <c r="AA465" s="4">
        <f>IF(OR(INDEX($AH$2:$AH$1001,MATCH(ROWS($AG$2:AG465),$AG$2:$AG$1001,0),1)&gt;=100000,INDEX($AN$1005:$BO$1005,1,MATCH(COLUMNS($AN$1006:BM1006),$AN$1006:$BO$1006,0))&gt;=100000), " ",IF(INDEX($AN$2:$BO$1001,MATCH(ROWS($AG$2:AG465),$AG$2:$AG$1001,0),MATCH(COLUMNS($AN$1006:BM1006),$AN$1006:$BO$1006,0)), HYPERLINK("#",""), HYPERLINK(CONCATENATE("#Metadata!", ADDRESS(INDEX($AI$2:$AI$1001,MATCH(ROWS($AG$2:AG465),$AG$2:$AG$1001,0),0), INDEX($AN$1004:$BO$1004,1,MATCH(COLUMNS($AN$1006:BM1006),$AN$1006:$BO$1006,0)))),"Fix")))</f>
        <v>0</v>
      </c>
      <c r="AB465" s="4">
        <f>IF(OR(INDEX($AH$2:$AH$1001,MATCH(ROWS($AG$2:AG465),$AG$2:$AG$1001,0),1)&gt;=100000,INDEX($AN$1005:$BO$1005,1,MATCH(COLUMNS($AN$1006:BN1006),$AN$1006:$BO$1006,0))&gt;=100000), " ",IF(INDEX($AN$2:$BO$1001,MATCH(ROWS($AG$2:AG465),$AG$2:$AG$1001,0),MATCH(COLUMNS($AN$1006:BN1006),$AN$1006:$BO$1006,0)), HYPERLINK("#",""), HYPERLINK(CONCATENATE("#Metadata!", ADDRESS(INDEX($AI$2:$AI$1001,MATCH(ROWS($AG$2:AG465),$AG$2:$AG$1001,0),0), INDEX($AN$1004:$BO$1004,1,MATCH(COLUMNS($AN$1006:BN1006),$AN$1006:$BO$1006,0)))),"Fix")))</f>
        <v>0</v>
      </c>
      <c r="AC465" s="4">
        <f>IF(OR(INDEX($AH$2:$AH$1001,MATCH(ROWS($AG$2:AG465),$AG$2:$AG$1001,0),1)&gt;=100000,INDEX($AN$1005:$BO$1005,1,MATCH(COLUMNS($AN$1006:BO1006),$AN$1006:$BO$1006,0))&gt;=100000), " ",IF(INDEX($AN$2:$BO$1001,MATCH(ROWS($AG$2:AG465),$AG$2:$AG$1001,0),MATCH(COLUMNS($AN$1006:BO1006),$AN$1006:$BO$1006,0)), HYPERLINK("#",""), HYPERLINK(CONCATENATE("#Metadata!", ADDRESS(INDEX($AI$2:$AI$1001,MATCH(ROWS($AG$2:AG465),$AG$2:$AG$1001,0),0), INDEX($AN$1004:$BO$1004,1,MATCH(COLUMNS($AN$1006:BO1006),$AN$1006:$BO$1006,0)))),"Fix")))</f>
        <v>0</v>
      </c>
      <c r="AG465">
        <v>0</v>
      </c>
      <c r="AH465">
        <v>0</v>
      </c>
      <c r="AI465">
        <v>0</v>
      </c>
      <c r="AJ465">
        <f>IF(AK465,TRUE,AND(AN465:BO465))</f>
        <v>0</v>
      </c>
      <c r="AK465">
        <f>COUNTBLANK(Metadata!B465:AC465)=COLUMNS(Metadata!B465:AC465)</f>
        <v>0</v>
      </c>
      <c r="AL465">
        <v>0</v>
      </c>
      <c r="AN465">
        <f>AND(IF(Metadata!B465="",FALSE,TRUE),COUNTIF(Metadata!B:B, Metadata!B465) = 1,NOT(ISERROR(SUMPRODUCT(SEARCH(MID(Metadata!B465,ROW(INDIRECT("1:"&amp;LEN(Metadata!B465))), 1),"0123456789abcdefghijklmnopqrstuvwxyzABCDEFGHIJKLMNOPQRSTUVWXYZ.")))))</f>
        <v>0</v>
      </c>
      <c r="AO465">
        <f>IF(Metadata!C465="",FALSE,TRUE)</f>
        <v>0</v>
      </c>
      <c r="AP465">
        <f>IF(Metadata!D465="",FALSE,TRUE)</f>
        <v>0</v>
      </c>
      <c r="AQ465">
        <f>OR(AND(IF(Metadata!E465="",FALSE,TRUE),OR(exact(Metadata!E465,"not collected"),exact(Metadata!E465,"not provided"),exact(Metadata!E465,"restricted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R465">
        <f>IF(Metadata!F465="",FALSE,TRUE)</f>
        <v>0</v>
      </c>
      <c r="AS465">
        <f>OR(AND(IF(Metadata!G465="",FALSE,TRUE),OR(exact(Metadata!G465,"not collected"),exact(Metadata!G465,"not provided"))),AND(IF(Metadata!G465="",FALSE,TRUE),OR(exact(Metadata!G465,"TRUE"),exact(Metadata!G465,"FALSE"))))</f>
        <v>0</v>
      </c>
      <c r="AT465">
        <f>OR(AND(IF(Metadata!H465="",FALSE,TRUE),OR(exact(Metadata!H465,"not collected"),exact(Metadata!H465,"not provided"),exact(Metadata!H465,"restricted access"))),AND(IF(Metadata!H465="",FALSE,ISNUMBER(VALUE(Metadata!H465))),Metadata!H465&gt;=-413.0))</f>
        <v>0</v>
      </c>
      <c r="AU465">
        <f>AND(IF(Metadata!I465="",FALSE,TRUE),exact(Metadata!I465,"meters"))</f>
        <v>0</v>
      </c>
      <c r="AV465">
        <f>AND(IF(Metadata!J465="",FALSE,TRUE),OR(exact(Metadata!J465,"Host-associated"),exact(Metadata!J465,"Free-living")))</f>
        <v>0</v>
      </c>
      <c r="AW465">
        <f>AND(IF(Metadata!K465="",FALSE,TRUE),OR(exact(Metadata!K465,"Animal"),exact(Metadata!K465,"Fungus"),exact(Metadata!K465,"Plant"),exact(Metadata!K465,"Saline"),exact(Metadata!K465,"Non-saline")))</f>
        <v>0</v>
      </c>
      <c r="AX465">
        <f>AND(IF(Metadata!L465="",FALSE,TRUE),OR(exact(Metadata!L465,"Plant secretion"),exact(Metadata!L465,"Plant rhizosphere"),exact(Metadata!L465,"Plant surface"),exact(Metadata!L465,"Plant corpus"),exact(Metadata!L465,"Fungus surface"),exact(Metadata!L465,"Fungus corpus"),exact(Metadata!L465,"Animal surface"),exact(Metadata!L465,"Animal proximal gut"),exact(Metadata!L465,"Animal corpus"),exact(Metadata!L465,"Animal distal gut"),exact(Metadata!L465,"Animal secretion"),exact(Metadata!L465,"Sub-surface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Y465">
        <f>IF(Metadata!M465="",FALSE,TRUE)</f>
        <v>0</v>
      </c>
      <c r="AZ465">
        <f>IF(Metadata!N465="",FALSE,TRUE)</f>
        <v>0</v>
      </c>
      <c r="BA465">
        <f>IF(Metadata!O465="",FALSE,TRUE)</f>
        <v>0</v>
      </c>
      <c r="BB465">
        <f>OR(AND(IF(Metadata!P465="",FALSE,TRUE),OR(exact(Metadata!P465,"not collected"),exact(Metadata!P465,"not provided"),exact(Metadata!P465,"restricted access"))),AND(IF(Metadata!P465="",FALSE,TRUE),OR(exact(Metadata!P465,"air"),exact(Metadata!P465,"built environment"),exact(Metadata!P465,"host-associated"),exact(Metadata!P465,"human-associated"),exact(Metadata!P465,"human-skin"),exact(Metadata!P465,"human-oral"),exact(Metadata!P465,"human-gut"),exact(Metadata!P465,"human-vaginal"),exact(Metadata!P465,"microbial mat/biofilm"),exact(Metadata!P465,"misc environment"),exact(Metadata!P465,"plant-associated"),exact(Metadata!P465,"sediment"),exact(Metadata!P465,"soil"),exact(Metadata!P465,"wastewater/sludge"),exact(Metadata!P465,"water"))))</f>
        <v>0</v>
      </c>
      <c r="BC465">
        <f>IF(Metadata!Q465="",FALSE,TRUE)</f>
        <v>0</v>
      </c>
      <c r="BD465">
        <f>IF(Metadata!R465="",FALSE,TRUE)</f>
        <v>0</v>
      </c>
      <c r="BE465">
        <f>OR(AND(IF(Metadata!S465="",FALSE,TRUE),OR(exact(Metadata!S465,"not collected"),exact(Metadata!S465,"not provided"),exact(Metadata!S465,"restricted access"))),AND(IF(Metadata!S465="",FALSE,ISNUMBER(VALUE(Metadata!S465))),Metadata!S465&gt;=-90.00,Metadata!S465&lt;=90.00))</f>
        <v>0</v>
      </c>
      <c r="BF465">
        <f>AND(IF(Metadata!T465="",FALSE,TRUE),exact(Metadata!T465,"Decimal degrees"))</f>
        <v>0</v>
      </c>
      <c r="BG465">
        <f>OR(AND(IF(Metadata!U465="",FALSE,TRUE),OR(exact(Metadata!U465,"not collected"),exact(Metadata!U465,"not provided"),exact(Metadata!U465,"restricted access"))),AND(IF(Metadata!U465="",FALSE,ISNUMBER(VALUE(Metadata!U465))),Metadata!U465&gt;=-180.00,Metadata!U465&lt;=180.00))</f>
        <v>0</v>
      </c>
      <c r="BH465">
        <f>AND(IF(Metadata!V465="",FALSE,TRUE),exact(Metadata!V465,"Decimal degrees"))</f>
        <v>0</v>
      </c>
      <c r="BI465">
        <f>IF(Metadata!W465="",FALSE,TRUE)</f>
        <v>0</v>
      </c>
      <c r="BJ465">
        <f>OR(AND(IF(Metadata!X465="",FALSE,TRUE),OR(exact(Metadata!X465,"not collected"),exact(Metadata!X465,"not provided"),exact(Metadata!X465,"restricted access"))),AND(IF(Metadata!X465="",FALSE,TRUE),OR(exact(Metadata!X465,"TRUE"),exact(Metadata!X465,"FALSE"))))</f>
        <v>0</v>
      </c>
      <c r="BK465">
        <f>AND(IF(Metadata!Y465="",FALSE,TRUE),exact(Metadata!Y465,"other"))</f>
        <v>0</v>
      </c>
      <c r="BL465">
        <f>IF(Metadata!Z465="",FALSE,TRUE)</f>
        <v>0</v>
      </c>
      <c r="BM465">
        <f>OR(AND(IF(Metadata!AA465="",FALSE,TRUE),OR(exact(Metadata!AA465,"not collected"),exact(Metadata!AA465,"not provided"))),AND(IF(Metadata!AA465="",FALSE,IF(ISERROR(INT(Metadata!AA465)),FALSE,INT(Metadata!AA465)=Metadata!AA465)),Metadata!AA465&gt;0))</f>
        <v>0</v>
      </c>
      <c r="BN465">
        <f>AND(IF(Metadata!AB465="",FALSE,TRUE),exact(Metadata!AB465,"Not applicable"))</f>
        <v>0</v>
      </c>
      <c r="BO465">
        <f>IF(Metadata!AC465="",FALSE,TRUE)</f>
        <v>0</v>
      </c>
    </row>
    <row r="466" spans="1:67">
      <c r="A466" s="5">
        <f>IF(B466=" "," ",HYPERLINK(CONCATENATE("#metadata!",ADDRESS(INDEX($AI$2:$AI$1001,MATCH(ROWS($AG$2:AG466),$AG$2:$AG$1001,0),0),1)),INDEX($AL$2:$AL$1001,MATCH(ROWS($AG$2:AG466),$AG$2:$AG$1001,0),0)))</f>
        <v>0</v>
      </c>
      <c r="B466" s="4">
        <f>IF(OR(INDEX($AH$2:$AH$1001,MATCH(ROWS($AG$2:AG466),$AG$2:$AG$1001,0),1)&gt;=100000,INDEX($AN$1005:$BO$1005,1,MATCH(COLUMNS($AN$1006:AN1006),$AN$1006:$BO$1006,0))&gt;=100000), " ",IF(INDEX($AN$2:$BO$1001,MATCH(ROWS($AG$2:AG466),$AG$2:$AG$1001,0),MATCH(COLUMNS($AN$1006:AN1006),$AN$1006:$BO$1006,0)), HYPERLINK("#",""), HYPERLINK(CONCATENATE("#Metadata!", ADDRESS(INDEX($AI$2:$AI$1001,MATCH(ROWS($AG$2:AG466),$AG$2:$AG$1001,0),0), INDEX($AN$1004:$BO$1004,1,MATCH(COLUMNS($AN$1006:AN1006),$AN$1006:$BO$1006,0)))),"Fix")))</f>
        <v>0</v>
      </c>
      <c r="C466" s="4">
        <f>IF(OR(INDEX($AH$2:$AH$1001,MATCH(ROWS($AG$2:AG466),$AG$2:$AG$1001,0),1)&gt;=100000,INDEX($AN$1005:$BO$1005,1,MATCH(COLUMNS($AN$1006:AO1006),$AN$1006:$BO$1006,0))&gt;=100000), " ",IF(INDEX($AN$2:$BO$1001,MATCH(ROWS($AG$2:AG466),$AG$2:$AG$1001,0),MATCH(COLUMNS($AN$1006:AO1006),$AN$1006:$BO$1006,0)), HYPERLINK("#",""), HYPERLINK(CONCATENATE("#Metadata!", ADDRESS(INDEX($AI$2:$AI$1001,MATCH(ROWS($AG$2:AG466),$AG$2:$AG$1001,0),0), INDEX($AN$1004:$BO$1004,1,MATCH(COLUMNS($AN$1006:AO1006),$AN$1006:$BO$1006,0)))),"Fix")))</f>
        <v>0</v>
      </c>
      <c r="D466" s="4">
        <f>IF(OR(INDEX($AH$2:$AH$1001,MATCH(ROWS($AG$2:AG466),$AG$2:$AG$1001,0),1)&gt;=100000,INDEX($AN$1005:$BO$1005,1,MATCH(COLUMNS($AN$1006:AP1006),$AN$1006:$BO$1006,0))&gt;=100000), " ",IF(INDEX($AN$2:$BO$1001,MATCH(ROWS($AG$2:AG466),$AG$2:$AG$1001,0),MATCH(COLUMNS($AN$1006:AP1006),$AN$1006:$BO$1006,0)), HYPERLINK("#",""), HYPERLINK(CONCATENATE("#Metadata!", ADDRESS(INDEX($AI$2:$AI$1001,MATCH(ROWS($AG$2:AG466),$AG$2:$AG$1001,0),0), INDEX($AN$1004:$BO$1004,1,MATCH(COLUMNS($AN$1006:AP1006),$AN$1006:$BO$1006,0)))),"Fix")))</f>
        <v>0</v>
      </c>
      <c r="E466" s="4">
        <f>IF(OR(INDEX($AH$2:$AH$1001,MATCH(ROWS($AG$2:AG466),$AG$2:$AG$1001,0),1)&gt;=100000,INDEX($AN$1005:$BO$1005,1,MATCH(COLUMNS($AN$1006:AQ1006),$AN$1006:$BO$1006,0))&gt;=100000), " ",IF(INDEX($AN$2:$BO$1001,MATCH(ROWS($AG$2:AG466),$AG$2:$AG$1001,0),MATCH(COLUMNS($AN$1006:AQ1006),$AN$1006:$BO$1006,0)), HYPERLINK("#",""), HYPERLINK(CONCATENATE("#Metadata!", ADDRESS(INDEX($AI$2:$AI$1001,MATCH(ROWS($AG$2:AG466),$AG$2:$AG$1001,0),0), INDEX($AN$1004:$BO$1004,1,MATCH(COLUMNS($AN$1006:AQ1006),$AN$1006:$BO$1006,0)))),"Fix")))</f>
        <v>0</v>
      </c>
      <c r="F466" s="4">
        <f>IF(OR(INDEX($AH$2:$AH$1001,MATCH(ROWS($AG$2:AG466),$AG$2:$AG$1001,0),1)&gt;=100000,INDEX($AN$1005:$BO$1005,1,MATCH(COLUMNS($AN$1006:AR1006),$AN$1006:$BO$1006,0))&gt;=100000), " ",IF(INDEX($AN$2:$BO$1001,MATCH(ROWS($AG$2:AG466),$AG$2:$AG$1001,0),MATCH(COLUMNS($AN$1006:AR1006),$AN$1006:$BO$1006,0)), HYPERLINK("#",""), HYPERLINK(CONCATENATE("#Metadata!", ADDRESS(INDEX($AI$2:$AI$1001,MATCH(ROWS($AG$2:AG466),$AG$2:$AG$1001,0),0), INDEX($AN$1004:$BO$1004,1,MATCH(COLUMNS($AN$1006:AR1006),$AN$1006:$BO$1006,0)))),"Fix")))</f>
        <v>0</v>
      </c>
      <c r="G466" s="4">
        <f>IF(OR(INDEX($AH$2:$AH$1001,MATCH(ROWS($AG$2:AG466),$AG$2:$AG$1001,0),1)&gt;=100000,INDEX($AN$1005:$BO$1005,1,MATCH(COLUMNS($AN$1006:AS1006),$AN$1006:$BO$1006,0))&gt;=100000), " ",IF(INDEX($AN$2:$BO$1001,MATCH(ROWS($AG$2:AG466),$AG$2:$AG$1001,0),MATCH(COLUMNS($AN$1006:AS1006),$AN$1006:$BO$1006,0)), HYPERLINK("#",""), HYPERLINK(CONCATENATE("#Metadata!", ADDRESS(INDEX($AI$2:$AI$1001,MATCH(ROWS($AG$2:AG466),$AG$2:$AG$1001,0),0), INDEX($AN$1004:$BO$1004,1,MATCH(COLUMNS($AN$1006:AS1006),$AN$1006:$BO$1006,0)))),"Fix")))</f>
        <v>0</v>
      </c>
      <c r="H466" s="4">
        <f>IF(OR(INDEX($AH$2:$AH$1001,MATCH(ROWS($AG$2:AG466),$AG$2:$AG$1001,0),1)&gt;=100000,INDEX($AN$1005:$BO$1005,1,MATCH(COLUMNS($AN$1006:AT1006),$AN$1006:$BO$1006,0))&gt;=100000), " ",IF(INDEX($AN$2:$BO$1001,MATCH(ROWS($AG$2:AG466),$AG$2:$AG$1001,0),MATCH(COLUMNS($AN$1006:AT1006),$AN$1006:$BO$1006,0)), HYPERLINK("#",""), HYPERLINK(CONCATENATE("#Metadata!", ADDRESS(INDEX($AI$2:$AI$1001,MATCH(ROWS($AG$2:AG466),$AG$2:$AG$1001,0),0), INDEX($AN$1004:$BO$1004,1,MATCH(COLUMNS($AN$1006:AT1006),$AN$1006:$BO$1006,0)))),"Fix")))</f>
        <v>0</v>
      </c>
      <c r="I466" s="4">
        <f>IF(OR(INDEX($AH$2:$AH$1001,MATCH(ROWS($AG$2:AG466),$AG$2:$AG$1001,0),1)&gt;=100000,INDEX($AN$1005:$BO$1005,1,MATCH(COLUMNS($AN$1006:AU1006),$AN$1006:$BO$1006,0))&gt;=100000), " ",IF(INDEX($AN$2:$BO$1001,MATCH(ROWS($AG$2:AG466),$AG$2:$AG$1001,0),MATCH(COLUMNS($AN$1006:AU1006),$AN$1006:$BO$1006,0)), HYPERLINK("#",""), HYPERLINK(CONCATENATE("#Metadata!", ADDRESS(INDEX($AI$2:$AI$1001,MATCH(ROWS($AG$2:AG466),$AG$2:$AG$1001,0),0), INDEX($AN$1004:$BO$1004,1,MATCH(COLUMNS($AN$1006:AU1006),$AN$1006:$BO$1006,0)))),"Fix")))</f>
        <v>0</v>
      </c>
      <c r="J466" s="4">
        <f>IF(OR(INDEX($AH$2:$AH$1001,MATCH(ROWS($AG$2:AG466),$AG$2:$AG$1001,0),1)&gt;=100000,INDEX($AN$1005:$BO$1005,1,MATCH(COLUMNS($AN$1006:AV1006),$AN$1006:$BO$1006,0))&gt;=100000), " ",IF(INDEX($AN$2:$BO$1001,MATCH(ROWS($AG$2:AG466),$AG$2:$AG$1001,0),MATCH(COLUMNS($AN$1006:AV1006),$AN$1006:$BO$1006,0)), HYPERLINK("#",""), HYPERLINK(CONCATENATE("#Metadata!", ADDRESS(INDEX($AI$2:$AI$1001,MATCH(ROWS($AG$2:AG466),$AG$2:$AG$1001,0),0), INDEX($AN$1004:$BO$1004,1,MATCH(COLUMNS($AN$1006:AV1006),$AN$1006:$BO$1006,0)))),"Fix")))</f>
        <v>0</v>
      </c>
      <c r="K466" s="4">
        <f>IF(OR(INDEX($AH$2:$AH$1001,MATCH(ROWS($AG$2:AG466),$AG$2:$AG$1001,0),1)&gt;=100000,INDEX($AN$1005:$BO$1005,1,MATCH(COLUMNS($AN$1006:AW1006),$AN$1006:$BO$1006,0))&gt;=100000), " ",IF(INDEX($AN$2:$BO$1001,MATCH(ROWS($AG$2:AG466),$AG$2:$AG$1001,0),MATCH(COLUMNS($AN$1006:AW1006),$AN$1006:$BO$1006,0)), HYPERLINK("#",""), HYPERLINK(CONCATENATE("#Metadata!", ADDRESS(INDEX($AI$2:$AI$1001,MATCH(ROWS($AG$2:AG466),$AG$2:$AG$1001,0),0), INDEX($AN$1004:$BO$1004,1,MATCH(COLUMNS($AN$1006:AW1006),$AN$1006:$BO$1006,0)))),"Fix")))</f>
        <v>0</v>
      </c>
      <c r="L466" s="4">
        <f>IF(OR(INDEX($AH$2:$AH$1001,MATCH(ROWS($AG$2:AG466),$AG$2:$AG$1001,0),1)&gt;=100000,INDEX($AN$1005:$BO$1005,1,MATCH(COLUMNS($AN$1006:AX1006),$AN$1006:$BO$1006,0))&gt;=100000), " ",IF(INDEX($AN$2:$BO$1001,MATCH(ROWS($AG$2:AG466),$AG$2:$AG$1001,0),MATCH(COLUMNS($AN$1006:AX1006),$AN$1006:$BO$1006,0)), HYPERLINK("#",""), HYPERLINK(CONCATENATE("#Metadata!", ADDRESS(INDEX($AI$2:$AI$1001,MATCH(ROWS($AG$2:AG466),$AG$2:$AG$1001,0),0), INDEX($AN$1004:$BO$1004,1,MATCH(COLUMNS($AN$1006:AX1006),$AN$1006:$BO$1006,0)))),"Fix")))</f>
        <v>0</v>
      </c>
      <c r="M466" s="4">
        <f>IF(OR(INDEX($AH$2:$AH$1001,MATCH(ROWS($AG$2:AG466),$AG$2:$AG$1001,0),1)&gt;=100000,INDEX($AN$1005:$BO$1005,1,MATCH(COLUMNS($AN$1006:AY1006),$AN$1006:$BO$1006,0))&gt;=100000), " ",IF(INDEX($AN$2:$BO$1001,MATCH(ROWS($AG$2:AG466),$AG$2:$AG$1001,0),MATCH(COLUMNS($AN$1006:AY1006),$AN$1006:$BO$1006,0)), HYPERLINK("#",""), HYPERLINK(CONCATENATE("#Metadata!", ADDRESS(INDEX($AI$2:$AI$1001,MATCH(ROWS($AG$2:AG466),$AG$2:$AG$1001,0),0), INDEX($AN$1004:$BO$1004,1,MATCH(COLUMNS($AN$1006:AY1006),$AN$1006:$BO$1006,0)))),"Fix")))</f>
        <v>0</v>
      </c>
      <c r="N466" s="4">
        <f>IF(OR(INDEX($AH$2:$AH$1001,MATCH(ROWS($AG$2:AG466),$AG$2:$AG$1001,0),1)&gt;=100000,INDEX($AN$1005:$BO$1005,1,MATCH(COLUMNS($AN$1006:AZ1006),$AN$1006:$BO$1006,0))&gt;=100000), " ",IF(INDEX($AN$2:$BO$1001,MATCH(ROWS($AG$2:AG466),$AG$2:$AG$1001,0),MATCH(COLUMNS($AN$1006:AZ1006),$AN$1006:$BO$1006,0)), HYPERLINK("#",""), HYPERLINK(CONCATENATE("#Metadata!", ADDRESS(INDEX($AI$2:$AI$1001,MATCH(ROWS($AG$2:AG466),$AG$2:$AG$1001,0),0), INDEX($AN$1004:$BO$1004,1,MATCH(COLUMNS($AN$1006:AZ1006),$AN$1006:$BO$1006,0)))),"Fix")))</f>
        <v>0</v>
      </c>
      <c r="O466" s="4">
        <f>IF(OR(INDEX($AH$2:$AH$1001,MATCH(ROWS($AG$2:AG466),$AG$2:$AG$1001,0),1)&gt;=100000,INDEX($AN$1005:$BO$1005,1,MATCH(COLUMNS($AN$1006:BA1006),$AN$1006:$BO$1006,0))&gt;=100000), " ",IF(INDEX($AN$2:$BO$1001,MATCH(ROWS($AG$2:AG466),$AG$2:$AG$1001,0),MATCH(COLUMNS($AN$1006:BA1006),$AN$1006:$BO$1006,0)), HYPERLINK("#",""), HYPERLINK(CONCATENATE("#Metadata!", ADDRESS(INDEX($AI$2:$AI$1001,MATCH(ROWS($AG$2:AG466),$AG$2:$AG$1001,0),0), INDEX($AN$1004:$BO$1004,1,MATCH(COLUMNS($AN$1006:BA1006),$AN$1006:$BO$1006,0)))),"Fix")))</f>
        <v>0</v>
      </c>
      <c r="P466" s="4">
        <f>IF(OR(INDEX($AH$2:$AH$1001,MATCH(ROWS($AG$2:AG466),$AG$2:$AG$1001,0),1)&gt;=100000,INDEX($AN$1005:$BO$1005,1,MATCH(COLUMNS($AN$1006:BB1006),$AN$1006:$BO$1006,0))&gt;=100000), " ",IF(INDEX($AN$2:$BO$1001,MATCH(ROWS($AG$2:AG466),$AG$2:$AG$1001,0),MATCH(COLUMNS($AN$1006:BB1006),$AN$1006:$BO$1006,0)), HYPERLINK("#",""), HYPERLINK(CONCATENATE("#Metadata!", ADDRESS(INDEX($AI$2:$AI$1001,MATCH(ROWS($AG$2:AG466),$AG$2:$AG$1001,0),0), INDEX($AN$1004:$BO$1004,1,MATCH(COLUMNS($AN$1006:BB1006),$AN$1006:$BO$1006,0)))),"Fix")))</f>
        <v>0</v>
      </c>
      <c r="Q466" s="4">
        <f>IF(OR(INDEX($AH$2:$AH$1001,MATCH(ROWS($AG$2:AG466),$AG$2:$AG$1001,0),1)&gt;=100000,INDEX($AN$1005:$BO$1005,1,MATCH(COLUMNS($AN$1006:BC1006),$AN$1006:$BO$1006,0))&gt;=100000), " ",IF(INDEX($AN$2:$BO$1001,MATCH(ROWS($AG$2:AG466),$AG$2:$AG$1001,0),MATCH(COLUMNS($AN$1006:BC1006),$AN$1006:$BO$1006,0)), HYPERLINK("#",""), HYPERLINK(CONCATENATE("#Metadata!", ADDRESS(INDEX($AI$2:$AI$1001,MATCH(ROWS($AG$2:AG466),$AG$2:$AG$1001,0),0), INDEX($AN$1004:$BO$1004,1,MATCH(COLUMNS($AN$1006:BC1006),$AN$1006:$BO$1006,0)))),"Fix")))</f>
        <v>0</v>
      </c>
      <c r="R466" s="4">
        <f>IF(OR(INDEX($AH$2:$AH$1001,MATCH(ROWS($AG$2:AG466),$AG$2:$AG$1001,0),1)&gt;=100000,INDEX($AN$1005:$BO$1005,1,MATCH(COLUMNS($AN$1006:BD1006),$AN$1006:$BO$1006,0))&gt;=100000), " ",IF(INDEX($AN$2:$BO$1001,MATCH(ROWS($AG$2:AG466),$AG$2:$AG$1001,0),MATCH(COLUMNS($AN$1006:BD1006),$AN$1006:$BO$1006,0)), HYPERLINK("#",""), HYPERLINK(CONCATENATE("#Metadata!", ADDRESS(INDEX($AI$2:$AI$1001,MATCH(ROWS($AG$2:AG466),$AG$2:$AG$1001,0),0), INDEX($AN$1004:$BO$1004,1,MATCH(COLUMNS($AN$1006:BD1006),$AN$1006:$BO$1006,0)))),"Fix")))</f>
        <v>0</v>
      </c>
      <c r="S466" s="4">
        <f>IF(OR(INDEX($AH$2:$AH$1001,MATCH(ROWS($AG$2:AG466),$AG$2:$AG$1001,0),1)&gt;=100000,INDEX($AN$1005:$BO$1005,1,MATCH(COLUMNS($AN$1006:BE1006),$AN$1006:$BO$1006,0))&gt;=100000), " ",IF(INDEX($AN$2:$BO$1001,MATCH(ROWS($AG$2:AG466),$AG$2:$AG$1001,0),MATCH(COLUMNS($AN$1006:BE1006),$AN$1006:$BO$1006,0)), HYPERLINK("#",""), HYPERLINK(CONCATENATE("#Metadata!", ADDRESS(INDEX($AI$2:$AI$1001,MATCH(ROWS($AG$2:AG466),$AG$2:$AG$1001,0),0), INDEX($AN$1004:$BO$1004,1,MATCH(COLUMNS($AN$1006:BE1006),$AN$1006:$BO$1006,0)))),"Fix")))</f>
        <v>0</v>
      </c>
      <c r="T466" s="4">
        <f>IF(OR(INDEX($AH$2:$AH$1001,MATCH(ROWS($AG$2:AG466),$AG$2:$AG$1001,0),1)&gt;=100000,INDEX($AN$1005:$BO$1005,1,MATCH(COLUMNS($AN$1006:BF1006),$AN$1006:$BO$1006,0))&gt;=100000), " ",IF(INDEX($AN$2:$BO$1001,MATCH(ROWS($AG$2:AG466),$AG$2:$AG$1001,0),MATCH(COLUMNS($AN$1006:BF1006),$AN$1006:$BO$1006,0)), HYPERLINK("#",""), HYPERLINK(CONCATENATE("#Metadata!", ADDRESS(INDEX($AI$2:$AI$1001,MATCH(ROWS($AG$2:AG466),$AG$2:$AG$1001,0),0), INDEX($AN$1004:$BO$1004,1,MATCH(COLUMNS($AN$1006:BF1006),$AN$1006:$BO$1006,0)))),"Fix")))</f>
        <v>0</v>
      </c>
      <c r="U466" s="4">
        <f>IF(OR(INDEX($AH$2:$AH$1001,MATCH(ROWS($AG$2:AG466),$AG$2:$AG$1001,0),1)&gt;=100000,INDEX($AN$1005:$BO$1005,1,MATCH(COLUMNS($AN$1006:BG1006),$AN$1006:$BO$1006,0))&gt;=100000), " ",IF(INDEX($AN$2:$BO$1001,MATCH(ROWS($AG$2:AG466),$AG$2:$AG$1001,0),MATCH(COLUMNS($AN$1006:BG1006),$AN$1006:$BO$1006,0)), HYPERLINK("#",""), HYPERLINK(CONCATENATE("#Metadata!", ADDRESS(INDEX($AI$2:$AI$1001,MATCH(ROWS($AG$2:AG466),$AG$2:$AG$1001,0),0), INDEX($AN$1004:$BO$1004,1,MATCH(COLUMNS($AN$1006:BG1006),$AN$1006:$BO$1006,0)))),"Fix")))</f>
        <v>0</v>
      </c>
      <c r="V466" s="4">
        <f>IF(OR(INDEX($AH$2:$AH$1001,MATCH(ROWS($AG$2:AG466),$AG$2:$AG$1001,0),1)&gt;=100000,INDEX($AN$1005:$BO$1005,1,MATCH(COLUMNS($AN$1006:BH1006),$AN$1006:$BO$1006,0))&gt;=100000), " ",IF(INDEX($AN$2:$BO$1001,MATCH(ROWS($AG$2:AG466),$AG$2:$AG$1001,0),MATCH(COLUMNS($AN$1006:BH1006),$AN$1006:$BO$1006,0)), HYPERLINK("#",""), HYPERLINK(CONCATENATE("#Metadata!", ADDRESS(INDEX($AI$2:$AI$1001,MATCH(ROWS($AG$2:AG466),$AG$2:$AG$1001,0),0), INDEX($AN$1004:$BO$1004,1,MATCH(COLUMNS($AN$1006:BH1006),$AN$1006:$BO$1006,0)))),"Fix")))</f>
        <v>0</v>
      </c>
      <c r="W466" s="4">
        <f>IF(OR(INDEX($AH$2:$AH$1001,MATCH(ROWS($AG$2:AG466),$AG$2:$AG$1001,0),1)&gt;=100000,INDEX($AN$1005:$BO$1005,1,MATCH(COLUMNS($AN$1006:BI1006),$AN$1006:$BO$1006,0))&gt;=100000), " ",IF(INDEX($AN$2:$BO$1001,MATCH(ROWS($AG$2:AG466),$AG$2:$AG$1001,0),MATCH(COLUMNS($AN$1006:BI1006),$AN$1006:$BO$1006,0)), HYPERLINK("#",""), HYPERLINK(CONCATENATE("#Metadata!", ADDRESS(INDEX($AI$2:$AI$1001,MATCH(ROWS($AG$2:AG466),$AG$2:$AG$1001,0),0), INDEX($AN$1004:$BO$1004,1,MATCH(COLUMNS($AN$1006:BI1006),$AN$1006:$BO$1006,0)))),"Fix")))</f>
        <v>0</v>
      </c>
      <c r="X466" s="4">
        <f>IF(OR(INDEX($AH$2:$AH$1001,MATCH(ROWS($AG$2:AG466),$AG$2:$AG$1001,0),1)&gt;=100000,INDEX($AN$1005:$BO$1005,1,MATCH(COLUMNS($AN$1006:BJ1006),$AN$1006:$BO$1006,0))&gt;=100000), " ",IF(INDEX($AN$2:$BO$1001,MATCH(ROWS($AG$2:AG466),$AG$2:$AG$1001,0),MATCH(COLUMNS($AN$1006:BJ1006),$AN$1006:$BO$1006,0)), HYPERLINK("#",""), HYPERLINK(CONCATENATE("#Metadata!", ADDRESS(INDEX($AI$2:$AI$1001,MATCH(ROWS($AG$2:AG466),$AG$2:$AG$1001,0),0), INDEX($AN$1004:$BO$1004,1,MATCH(COLUMNS($AN$1006:BJ1006),$AN$1006:$BO$1006,0)))),"Fix")))</f>
        <v>0</v>
      </c>
      <c r="Y466" s="4">
        <f>IF(OR(INDEX($AH$2:$AH$1001,MATCH(ROWS($AG$2:AG466),$AG$2:$AG$1001,0),1)&gt;=100000,INDEX($AN$1005:$BO$1005,1,MATCH(COLUMNS($AN$1006:BK1006),$AN$1006:$BO$1006,0))&gt;=100000), " ",IF(INDEX($AN$2:$BO$1001,MATCH(ROWS($AG$2:AG466),$AG$2:$AG$1001,0),MATCH(COLUMNS($AN$1006:BK1006),$AN$1006:$BO$1006,0)), HYPERLINK("#",""), HYPERLINK(CONCATENATE("#Metadata!", ADDRESS(INDEX($AI$2:$AI$1001,MATCH(ROWS($AG$2:AG466),$AG$2:$AG$1001,0),0), INDEX($AN$1004:$BO$1004,1,MATCH(COLUMNS($AN$1006:BK1006),$AN$1006:$BO$1006,0)))),"Fix")))</f>
        <v>0</v>
      </c>
      <c r="Z466" s="4">
        <f>IF(OR(INDEX($AH$2:$AH$1001,MATCH(ROWS($AG$2:AG466),$AG$2:$AG$1001,0),1)&gt;=100000,INDEX($AN$1005:$BO$1005,1,MATCH(COLUMNS($AN$1006:BL1006),$AN$1006:$BO$1006,0))&gt;=100000), " ",IF(INDEX($AN$2:$BO$1001,MATCH(ROWS($AG$2:AG466),$AG$2:$AG$1001,0),MATCH(COLUMNS($AN$1006:BL1006),$AN$1006:$BO$1006,0)), HYPERLINK("#",""), HYPERLINK(CONCATENATE("#Metadata!", ADDRESS(INDEX($AI$2:$AI$1001,MATCH(ROWS($AG$2:AG466),$AG$2:$AG$1001,0),0), INDEX($AN$1004:$BO$1004,1,MATCH(COLUMNS($AN$1006:BL1006),$AN$1006:$BO$1006,0)))),"Fix")))</f>
        <v>0</v>
      </c>
      <c r="AA466" s="4">
        <f>IF(OR(INDEX($AH$2:$AH$1001,MATCH(ROWS($AG$2:AG466),$AG$2:$AG$1001,0),1)&gt;=100000,INDEX($AN$1005:$BO$1005,1,MATCH(COLUMNS($AN$1006:BM1006),$AN$1006:$BO$1006,0))&gt;=100000), " ",IF(INDEX($AN$2:$BO$1001,MATCH(ROWS($AG$2:AG466),$AG$2:$AG$1001,0),MATCH(COLUMNS($AN$1006:BM1006),$AN$1006:$BO$1006,0)), HYPERLINK("#",""), HYPERLINK(CONCATENATE("#Metadata!", ADDRESS(INDEX($AI$2:$AI$1001,MATCH(ROWS($AG$2:AG466),$AG$2:$AG$1001,0),0), INDEX($AN$1004:$BO$1004,1,MATCH(COLUMNS($AN$1006:BM1006),$AN$1006:$BO$1006,0)))),"Fix")))</f>
        <v>0</v>
      </c>
      <c r="AB466" s="4">
        <f>IF(OR(INDEX($AH$2:$AH$1001,MATCH(ROWS($AG$2:AG466),$AG$2:$AG$1001,0),1)&gt;=100000,INDEX($AN$1005:$BO$1005,1,MATCH(COLUMNS($AN$1006:BN1006),$AN$1006:$BO$1006,0))&gt;=100000), " ",IF(INDEX($AN$2:$BO$1001,MATCH(ROWS($AG$2:AG466),$AG$2:$AG$1001,0),MATCH(COLUMNS($AN$1006:BN1006),$AN$1006:$BO$1006,0)), HYPERLINK("#",""), HYPERLINK(CONCATENATE("#Metadata!", ADDRESS(INDEX($AI$2:$AI$1001,MATCH(ROWS($AG$2:AG466),$AG$2:$AG$1001,0),0), INDEX($AN$1004:$BO$1004,1,MATCH(COLUMNS($AN$1006:BN1006),$AN$1006:$BO$1006,0)))),"Fix")))</f>
        <v>0</v>
      </c>
      <c r="AC466" s="4">
        <f>IF(OR(INDEX($AH$2:$AH$1001,MATCH(ROWS($AG$2:AG466),$AG$2:$AG$1001,0),1)&gt;=100000,INDEX($AN$1005:$BO$1005,1,MATCH(COLUMNS($AN$1006:BO1006),$AN$1006:$BO$1006,0))&gt;=100000), " ",IF(INDEX($AN$2:$BO$1001,MATCH(ROWS($AG$2:AG466),$AG$2:$AG$1001,0),MATCH(COLUMNS($AN$1006:BO1006),$AN$1006:$BO$1006,0)), HYPERLINK("#",""), HYPERLINK(CONCATENATE("#Metadata!", ADDRESS(INDEX($AI$2:$AI$1001,MATCH(ROWS($AG$2:AG466),$AG$2:$AG$1001,0),0), INDEX($AN$1004:$BO$1004,1,MATCH(COLUMNS($AN$1006:BO1006),$AN$1006:$BO$1006,0)))),"Fix")))</f>
        <v>0</v>
      </c>
      <c r="AG466">
        <v>0</v>
      </c>
      <c r="AH466">
        <v>0</v>
      </c>
      <c r="AI466">
        <v>0</v>
      </c>
      <c r="AJ466">
        <f>IF(AK466,TRUE,AND(AN466:BO466))</f>
        <v>0</v>
      </c>
      <c r="AK466">
        <f>COUNTBLANK(Metadata!B466:AC466)=COLUMNS(Metadata!B466:AC466)</f>
        <v>0</v>
      </c>
      <c r="AL466">
        <v>0</v>
      </c>
      <c r="AN466">
        <f>AND(IF(Metadata!B466="",FALSE,TRUE),COUNTIF(Metadata!B:B, Metadata!B466) = 1,NOT(ISERROR(SUMPRODUCT(SEARCH(MID(Metadata!B466,ROW(INDIRECT("1:"&amp;LEN(Metadata!B466))), 1),"0123456789abcdefghijklmnopqrstuvwxyzABCDEFGHIJKLMNOPQRSTUVWXYZ.")))))</f>
        <v>0</v>
      </c>
      <c r="AO466">
        <f>IF(Metadata!C466="",FALSE,TRUE)</f>
        <v>0</v>
      </c>
      <c r="AP466">
        <f>IF(Metadata!D466="",FALSE,TRUE)</f>
        <v>0</v>
      </c>
      <c r="AQ466">
        <f>OR(AND(IF(Metadata!E466="",FALSE,TRUE),OR(exact(Metadata!E466,"not collected"),exact(Metadata!E466,"not provided"),exact(Metadata!E466,"restricted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R466">
        <f>IF(Metadata!F466="",FALSE,TRUE)</f>
        <v>0</v>
      </c>
      <c r="AS466">
        <f>OR(AND(IF(Metadata!G466="",FALSE,TRUE),OR(exact(Metadata!G466,"not collected"),exact(Metadata!G466,"not provided"))),AND(IF(Metadata!G466="",FALSE,TRUE),OR(exact(Metadata!G466,"TRUE"),exact(Metadata!G466,"FALSE"))))</f>
        <v>0</v>
      </c>
      <c r="AT466">
        <f>OR(AND(IF(Metadata!H466="",FALSE,TRUE),OR(exact(Metadata!H466,"not collected"),exact(Metadata!H466,"not provided"),exact(Metadata!H466,"restricted access"))),AND(IF(Metadata!H466="",FALSE,ISNUMBER(VALUE(Metadata!H466))),Metadata!H466&gt;=-413.0))</f>
        <v>0</v>
      </c>
      <c r="AU466">
        <f>AND(IF(Metadata!I466="",FALSE,TRUE),exact(Metadata!I466,"meters"))</f>
        <v>0</v>
      </c>
      <c r="AV466">
        <f>AND(IF(Metadata!J466="",FALSE,TRUE),OR(exact(Metadata!J466,"Host-associated"),exact(Metadata!J466,"Free-living")))</f>
        <v>0</v>
      </c>
      <c r="AW466">
        <f>AND(IF(Metadata!K466="",FALSE,TRUE),OR(exact(Metadata!K466,"Animal"),exact(Metadata!K466,"Fungus"),exact(Metadata!K466,"Plant"),exact(Metadata!K466,"Saline"),exact(Metadata!K466,"Non-saline")))</f>
        <v>0</v>
      </c>
      <c r="AX466">
        <f>AND(IF(Metadata!L466="",FALSE,TRUE),OR(exact(Metadata!L466,"Plant secretion"),exact(Metadata!L466,"Plant rhizosphere"),exact(Metadata!L466,"Plant surface"),exact(Metadata!L466,"Plant corpus"),exact(Metadata!L466,"Fungus surface"),exact(Metadata!L466,"Fungus corpus"),exact(Metadata!L466,"Animal surface"),exact(Metadata!L466,"Animal proximal gut"),exact(Metadata!L466,"Animal corpus"),exact(Metadata!L466,"Animal distal gut"),exact(Metadata!L466,"Animal secretion"),exact(Metadata!L466,"Sub-surface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Y466">
        <f>IF(Metadata!M466="",FALSE,TRUE)</f>
        <v>0</v>
      </c>
      <c r="AZ466">
        <f>IF(Metadata!N466="",FALSE,TRUE)</f>
        <v>0</v>
      </c>
      <c r="BA466">
        <f>IF(Metadata!O466="",FALSE,TRUE)</f>
        <v>0</v>
      </c>
      <c r="BB466">
        <f>OR(AND(IF(Metadata!P466="",FALSE,TRUE),OR(exact(Metadata!P466,"not collected"),exact(Metadata!P466,"not provided"),exact(Metadata!P466,"restricted access"))),AND(IF(Metadata!P466="",FALSE,TRUE),OR(exact(Metadata!P466,"air"),exact(Metadata!P466,"built environment"),exact(Metadata!P466,"host-associated"),exact(Metadata!P466,"human-associated"),exact(Metadata!P466,"human-skin"),exact(Metadata!P466,"human-oral"),exact(Metadata!P466,"human-gut"),exact(Metadata!P466,"human-vaginal"),exact(Metadata!P466,"microbial mat/biofilm"),exact(Metadata!P466,"misc environment"),exact(Metadata!P466,"plant-associated"),exact(Metadata!P466,"sediment"),exact(Metadata!P466,"soil"),exact(Metadata!P466,"wastewater/sludge"),exact(Metadata!P466,"water"))))</f>
        <v>0</v>
      </c>
      <c r="BC466">
        <f>IF(Metadata!Q466="",FALSE,TRUE)</f>
        <v>0</v>
      </c>
      <c r="BD466">
        <f>IF(Metadata!R466="",FALSE,TRUE)</f>
        <v>0</v>
      </c>
      <c r="BE466">
        <f>OR(AND(IF(Metadata!S466="",FALSE,TRUE),OR(exact(Metadata!S466,"not collected"),exact(Metadata!S466,"not provided"),exact(Metadata!S466,"restricted access"))),AND(IF(Metadata!S466="",FALSE,ISNUMBER(VALUE(Metadata!S466))),Metadata!S466&gt;=-90.00,Metadata!S466&lt;=90.00))</f>
        <v>0</v>
      </c>
      <c r="BF466">
        <f>AND(IF(Metadata!T466="",FALSE,TRUE),exact(Metadata!T466,"Decimal degrees"))</f>
        <v>0</v>
      </c>
      <c r="BG466">
        <f>OR(AND(IF(Metadata!U466="",FALSE,TRUE),OR(exact(Metadata!U466,"not collected"),exact(Metadata!U466,"not provided"),exact(Metadata!U466,"restricted access"))),AND(IF(Metadata!U466="",FALSE,ISNUMBER(VALUE(Metadata!U466))),Metadata!U466&gt;=-180.00,Metadata!U466&lt;=180.00))</f>
        <v>0</v>
      </c>
      <c r="BH466">
        <f>AND(IF(Metadata!V466="",FALSE,TRUE),exact(Metadata!V466,"Decimal degrees"))</f>
        <v>0</v>
      </c>
      <c r="BI466">
        <f>IF(Metadata!W466="",FALSE,TRUE)</f>
        <v>0</v>
      </c>
      <c r="BJ466">
        <f>OR(AND(IF(Metadata!X466="",FALSE,TRUE),OR(exact(Metadata!X466,"not collected"),exact(Metadata!X466,"not provided"),exact(Metadata!X466,"restricted access"))),AND(IF(Metadata!X466="",FALSE,TRUE),OR(exact(Metadata!X466,"TRUE"),exact(Metadata!X466,"FALSE"))))</f>
        <v>0</v>
      </c>
      <c r="BK466">
        <f>AND(IF(Metadata!Y466="",FALSE,TRUE),exact(Metadata!Y466,"other"))</f>
        <v>0</v>
      </c>
      <c r="BL466">
        <f>IF(Metadata!Z466="",FALSE,TRUE)</f>
        <v>0</v>
      </c>
      <c r="BM466">
        <f>OR(AND(IF(Metadata!AA466="",FALSE,TRUE),OR(exact(Metadata!AA466,"not collected"),exact(Metadata!AA466,"not provided"))),AND(IF(Metadata!AA466="",FALSE,IF(ISERROR(INT(Metadata!AA466)),FALSE,INT(Metadata!AA466)=Metadata!AA466)),Metadata!AA466&gt;0))</f>
        <v>0</v>
      </c>
      <c r="BN466">
        <f>AND(IF(Metadata!AB466="",FALSE,TRUE),exact(Metadata!AB466,"Not applicable"))</f>
        <v>0</v>
      </c>
      <c r="BO466">
        <f>IF(Metadata!AC466="",FALSE,TRUE)</f>
        <v>0</v>
      </c>
    </row>
    <row r="467" spans="1:67">
      <c r="A467" s="5">
        <f>IF(B467=" "," ",HYPERLINK(CONCATENATE("#metadata!",ADDRESS(INDEX($AI$2:$AI$1001,MATCH(ROWS($AG$2:AG467),$AG$2:$AG$1001,0),0),1)),INDEX($AL$2:$AL$1001,MATCH(ROWS($AG$2:AG467),$AG$2:$AG$1001,0),0)))</f>
        <v>0</v>
      </c>
      <c r="B467" s="4">
        <f>IF(OR(INDEX($AH$2:$AH$1001,MATCH(ROWS($AG$2:AG467),$AG$2:$AG$1001,0),1)&gt;=100000,INDEX($AN$1005:$BO$1005,1,MATCH(COLUMNS($AN$1006:AN1006),$AN$1006:$BO$1006,0))&gt;=100000), " ",IF(INDEX($AN$2:$BO$1001,MATCH(ROWS($AG$2:AG467),$AG$2:$AG$1001,0),MATCH(COLUMNS($AN$1006:AN1006),$AN$1006:$BO$1006,0)), HYPERLINK("#",""), HYPERLINK(CONCATENATE("#Metadata!", ADDRESS(INDEX($AI$2:$AI$1001,MATCH(ROWS($AG$2:AG467),$AG$2:$AG$1001,0),0), INDEX($AN$1004:$BO$1004,1,MATCH(COLUMNS($AN$1006:AN1006),$AN$1006:$BO$1006,0)))),"Fix")))</f>
        <v>0</v>
      </c>
      <c r="C467" s="4">
        <f>IF(OR(INDEX($AH$2:$AH$1001,MATCH(ROWS($AG$2:AG467),$AG$2:$AG$1001,0),1)&gt;=100000,INDEX($AN$1005:$BO$1005,1,MATCH(COLUMNS($AN$1006:AO1006),$AN$1006:$BO$1006,0))&gt;=100000), " ",IF(INDEX($AN$2:$BO$1001,MATCH(ROWS($AG$2:AG467),$AG$2:$AG$1001,0),MATCH(COLUMNS($AN$1006:AO1006),$AN$1006:$BO$1006,0)), HYPERLINK("#",""), HYPERLINK(CONCATENATE("#Metadata!", ADDRESS(INDEX($AI$2:$AI$1001,MATCH(ROWS($AG$2:AG467),$AG$2:$AG$1001,0),0), INDEX($AN$1004:$BO$1004,1,MATCH(COLUMNS($AN$1006:AO1006),$AN$1006:$BO$1006,0)))),"Fix")))</f>
        <v>0</v>
      </c>
      <c r="D467" s="4">
        <f>IF(OR(INDEX($AH$2:$AH$1001,MATCH(ROWS($AG$2:AG467),$AG$2:$AG$1001,0),1)&gt;=100000,INDEX($AN$1005:$BO$1005,1,MATCH(COLUMNS($AN$1006:AP1006),$AN$1006:$BO$1006,0))&gt;=100000), " ",IF(INDEX($AN$2:$BO$1001,MATCH(ROWS($AG$2:AG467),$AG$2:$AG$1001,0),MATCH(COLUMNS($AN$1006:AP1006),$AN$1006:$BO$1006,0)), HYPERLINK("#",""), HYPERLINK(CONCATENATE("#Metadata!", ADDRESS(INDEX($AI$2:$AI$1001,MATCH(ROWS($AG$2:AG467),$AG$2:$AG$1001,0),0), INDEX($AN$1004:$BO$1004,1,MATCH(COLUMNS($AN$1006:AP1006),$AN$1006:$BO$1006,0)))),"Fix")))</f>
        <v>0</v>
      </c>
      <c r="E467" s="4">
        <f>IF(OR(INDEX($AH$2:$AH$1001,MATCH(ROWS($AG$2:AG467),$AG$2:$AG$1001,0),1)&gt;=100000,INDEX($AN$1005:$BO$1005,1,MATCH(COLUMNS($AN$1006:AQ1006),$AN$1006:$BO$1006,0))&gt;=100000), " ",IF(INDEX($AN$2:$BO$1001,MATCH(ROWS($AG$2:AG467),$AG$2:$AG$1001,0),MATCH(COLUMNS($AN$1006:AQ1006),$AN$1006:$BO$1006,0)), HYPERLINK("#",""), HYPERLINK(CONCATENATE("#Metadata!", ADDRESS(INDEX($AI$2:$AI$1001,MATCH(ROWS($AG$2:AG467),$AG$2:$AG$1001,0),0), INDEX($AN$1004:$BO$1004,1,MATCH(COLUMNS($AN$1006:AQ1006),$AN$1006:$BO$1006,0)))),"Fix")))</f>
        <v>0</v>
      </c>
      <c r="F467" s="4">
        <f>IF(OR(INDEX($AH$2:$AH$1001,MATCH(ROWS($AG$2:AG467),$AG$2:$AG$1001,0),1)&gt;=100000,INDEX($AN$1005:$BO$1005,1,MATCH(COLUMNS($AN$1006:AR1006),$AN$1006:$BO$1006,0))&gt;=100000), " ",IF(INDEX($AN$2:$BO$1001,MATCH(ROWS($AG$2:AG467),$AG$2:$AG$1001,0),MATCH(COLUMNS($AN$1006:AR1006),$AN$1006:$BO$1006,0)), HYPERLINK("#",""), HYPERLINK(CONCATENATE("#Metadata!", ADDRESS(INDEX($AI$2:$AI$1001,MATCH(ROWS($AG$2:AG467),$AG$2:$AG$1001,0),0), INDEX($AN$1004:$BO$1004,1,MATCH(COLUMNS($AN$1006:AR1006),$AN$1006:$BO$1006,0)))),"Fix")))</f>
        <v>0</v>
      </c>
      <c r="G467" s="4">
        <f>IF(OR(INDEX($AH$2:$AH$1001,MATCH(ROWS($AG$2:AG467),$AG$2:$AG$1001,0),1)&gt;=100000,INDEX($AN$1005:$BO$1005,1,MATCH(COLUMNS($AN$1006:AS1006),$AN$1006:$BO$1006,0))&gt;=100000), " ",IF(INDEX($AN$2:$BO$1001,MATCH(ROWS($AG$2:AG467),$AG$2:$AG$1001,0),MATCH(COLUMNS($AN$1006:AS1006),$AN$1006:$BO$1006,0)), HYPERLINK("#",""), HYPERLINK(CONCATENATE("#Metadata!", ADDRESS(INDEX($AI$2:$AI$1001,MATCH(ROWS($AG$2:AG467),$AG$2:$AG$1001,0),0), INDEX($AN$1004:$BO$1004,1,MATCH(COLUMNS($AN$1006:AS1006),$AN$1006:$BO$1006,0)))),"Fix")))</f>
        <v>0</v>
      </c>
      <c r="H467" s="4">
        <f>IF(OR(INDEX($AH$2:$AH$1001,MATCH(ROWS($AG$2:AG467),$AG$2:$AG$1001,0),1)&gt;=100000,INDEX($AN$1005:$BO$1005,1,MATCH(COLUMNS($AN$1006:AT1006),$AN$1006:$BO$1006,0))&gt;=100000), " ",IF(INDEX($AN$2:$BO$1001,MATCH(ROWS($AG$2:AG467),$AG$2:$AG$1001,0),MATCH(COLUMNS($AN$1006:AT1006),$AN$1006:$BO$1006,0)), HYPERLINK("#",""), HYPERLINK(CONCATENATE("#Metadata!", ADDRESS(INDEX($AI$2:$AI$1001,MATCH(ROWS($AG$2:AG467),$AG$2:$AG$1001,0),0), INDEX($AN$1004:$BO$1004,1,MATCH(COLUMNS($AN$1006:AT1006),$AN$1006:$BO$1006,0)))),"Fix")))</f>
        <v>0</v>
      </c>
      <c r="I467" s="4">
        <f>IF(OR(INDEX($AH$2:$AH$1001,MATCH(ROWS($AG$2:AG467),$AG$2:$AG$1001,0),1)&gt;=100000,INDEX($AN$1005:$BO$1005,1,MATCH(COLUMNS($AN$1006:AU1006),$AN$1006:$BO$1006,0))&gt;=100000), " ",IF(INDEX($AN$2:$BO$1001,MATCH(ROWS($AG$2:AG467),$AG$2:$AG$1001,0),MATCH(COLUMNS($AN$1006:AU1006),$AN$1006:$BO$1006,0)), HYPERLINK("#",""), HYPERLINK(CONCATENATE("#Metadata!", ADDRESS(INDEX($AI$2:$AI$1001,MATCH(ROWS($AG$2:AG467),$AG$2:$AG$1001,0),0), INDEX($AN$1004:$BO$1004,1,MATCH(COLUMNS($AN$1006:AU1006),$AN$1006:$BO$1006,0)))),"Fix")))</f>
        <v>0</v>
      </c>
      <c r="J467" s="4">
        <f>IF(OR(INDEX($AH$2:$AH$1001,MATCH(ROWS($AG$2:AG467),$AG$2:$AG$1001,0),1)&gt;=100000,INDEX($AN$1005:$BO$1005,1,MATCH(COLUMNS($AN$1006:AV1006),$AN$1006:$BO$1006,0))&gt;=100000), " ",IF(INDEX($AN$2:$BO$1001,MATCH(ROWS($AG$2:AG467),$AG$2:$AG$1001,0),MATCH(COLUMNS($AN$1006:AV1006),$AN$1006:$BO$1006,0)), HYPERLINK("#",""), HYPERLINK(CONCATENATE("#Metadata!", ADDRESS(INDEX($AI$2:$AI$1001,MATCH(ROWS($AG$2:AG467),$AG$2:$AG$1001,0),0), INDEX($AN$1004:$BO$1004,1,MATCH(COLUMNS($AN$1006:AV1006),$AN$1006:$BO$1006,0)))),"Fix")))</f>
        <v>0</v>
      </c>
      <c r="K467" s="4">
        <f>IF(OR(INDEX($AH$2:$AH$1001,MATCH(ROWS($AG$2:AG467),$AG$2:$AG$1001,0),1)&gt;=100000,INDEX($AN$1005:$BO$1005,1,MATCH(COLUMNS($AN$1006:AW1006),$AN$1006:$BO$1006,0))&gt;=100000), " ",IF(INDEX($AN$2:$BO$1001,MATCH(ROWS($AG$2:AG467),$AG$2:$AG$1001,0),MATCH(COLUMNS($AN$1006:AW1006),$AN$1006:$BO$1006,0)), HYPERLINK("#",""), HYPERLINK(CONCATENATE("#Metadata!", ADDRESS(INDEX($AI$2:$AI$1001,MATCH(ROWS($AG$2:AG467),$AG$2:$AG$1001,0),0), INDEX($AN$1004:$BO$1004,1,MATCH(COLUMNS($AN$1006:AW1006),$AN$1006:$BO$1006,0)))),"Fix")))</f>
        <v>0</v>
      </c>
      <c r="L467" s="4">
        <f>IF(OR(INDEX($AH$2:$AH$1001,MATCH(ROWS($AG$2:AG467),$AG$2:$AG$1001,0),1)&gt;=100000,INDEX($AN$1005:$BO$1005,1,MATCH(COLUMNS($AN$1006:AX1006),$AN$1006:$BO$1006,0))&gt;=100000), " ",IF(INDEX($AN$2:$BO$1001,MATCH(ROWS($AG$2:AG467),$AG$2:$AG$1001,0),MATCH(COLUMNS($AN$1006:AX1006),$AN$1006:$BO$1006,0)), HYPERLINK("#",""), HYPERLINK(CONCATENATE("#Metadata!", ADDRESS(INDEX($AI$2:$AI$1001,MATCH(ROWS($AG$2:AG467),$AG$2:$AG$1001,0),0), INDEX($AN$1004:$BO$1004,1,MATCH(COLUMNS($AN$1006:AX1006),$AN$1006:$BO$1006,0)))),"Fix")))</f>
        <v>0</v>
      </c>
      <c r="M467" s="4">
        <f>IF(OR(INDEX($AH$2:$AH$1001,MATCH(ROWS($AG$2:AG467),$AG$2:$AG$1001,0),1)&gt;=100000,INDEX($AN$1005:$BO$1005,1,MATCH(COLUMNS($AN$1006:AY1006),$AN$1006:$BO$1006,0))&gt;=100000), " ",IF(INDEX($AN$2:$BO$1001,MATCH(ROWS($AG$2:AG467),$AG$2:$AG$1001,0),MATCH(COLUMNS($AN$1006:AY1006),$AN$1006:$BO$1006,0)), HYPERLINK("#",""), HYPERLINK(CONCATENATE("#Metadata!", ADDRESS(INDEX($AI$2:$AI$1001,MATCH(ROWS($AG$2:AG467),$AG$2:$AG$1001,0),0), INDEX($AN$1004:$BO$1004,1,MATCH(COLUMNS($AN$1006:AY1006),$AN$1006:$BO$1006,0)))),"Fix")))</f>
        <v>0</v>
      </c>
      <c r="N467" s="4">
        <f>IF(OR(INDEX($AH$2:$AH$1001,MATCH(ROWS($AG$2:AG467),$AG$2:$AG$1001,0),1)&gt;=100000,INDEX($AN$1005:$BO$1005,1,MATCH(COLUMNS($AN$1006:AZ1006),$AN$1006:$BO$1006,0))&gt;=100000), " ",IF(INDEX($AN$2:$BO$1001,MATCH(ROWS($AG$2:AG467),$AG$2:$AG$1001,0),MATCH(COLUMNS($AN$1006:AZ1006),$AN$1006:$BO$1006,0)), HYPERLINK("#",""), HYPERLINK(CONCATENATE("#Metadata!", ADDRESS(INDEX($AI$2:$AI$1001,MATCH(ROWS($AG$2:AG467),$AG$2:$AG$1001,0),0), INDEX($AN$1004:$BO$1004,1,MATCH(COLUMNS($AN$1006:AZ1006),$AN$1006:$BO$1006,0)))),"Fix")))</f>
        <v>0</v>
      </c>
      <c r="O467" s="4">
        <f>IF(OR(INDEX($AH$2:$AH$1001,MATCH(ROWS($AG$2:AG467),$AG$2:$AG$1001,0),1)&gt;=100000,INDEX($AN$1005:$BO$1005,1,MATCH(COLUMNS($AN$1006:BA1006),$AN$1006:$BO$1006,0))&gt;=100000), " ",IF(INDEX($AN$2:$BO$1001,MATCH(ROWS($AG$2:AG467),$AG$2:$AG$1001,0),MATCH(COLUMNS($AN$1006:BA1006),$AN$1006:$BO$1006,0)), HYPERLINK("#",""), HYPERLINK(CONCATENATE("#Metadata!", ADDRESS(INDEX($AI$2:$AI$1001,MATCH(ROWS($AG$2:AG467),$AG$2:$AG$1001,0),0), INDEX($AN$1004:$BO$1004,1,MATCH(COLUMNS($AN$1006:BA1006),$AN$1006:$BO$1006,0)))),"Fix")))</f>
        <v>0</v>
      </c>
      <c r="P467" s="4">
        <f>IF(OR(INDEX($AH$2:$AH$1001,MATCH(ROWS($AG$2:AG467),$AG$2:$AG$1001,0),1)&gt;=100000,INDEX($AN$1005:$BO$1005,1,MATCH(COLUMNS($AN$1006:BB1006),$AN$1006:$BO$1006,0))&gt;=100000), " ",IF(INDEX($AN$2:$BO$1001,MATCH(ROWS($AG$2:AG467),$AG$2:$AG$1001,0),MATCH(COLUMNS($AN$1006:BB1006),$AN$1006:$BO$1006,0)), HYPERLINK("#",""), HYPERLINK(CONCATENATE("#Metadata!", ADDRESS(INDEX($AI$2:$AI$1001,MATCH(ROWS($AG$2:AG467),$AG$2:$AG$1001,0),0), INDEX($AN$1004:$BO$1004,1,MATCH(COLUMNS($AN$1006:BB1006),$AN$1006:$BO$1006,0)))),"Fix")))</f>
        <v>0</v>
      </c>
      <c r="Q467" s="4">
        <f>IF(OR(INDEX($AH$2:$AH$1001,MATCH(ROWS($AG$2:AG467),$AG$2:$AG$1001,0),1)&gt;=100000,INDEX($AN$1005:$BO$1005,1,MATCH(COLUMNS($AN$1006:BC1006),$AN$1006:$BO$1006,0))&gt;=100000), " ",IF(INDEX($AN$2:$BO$1001,MATCH(ROWS($AG$2:AG467),$AG$2:$AG$1001,0),MATCH(COLUMNS($AN$1006:BC1006),$AN$1006:$BO$1006,0)), HYPERLINK("#",""), HYPERLINK(CONCATENATE("#Metadata!", ADDRESS(INDEX($AI$2:$AI$1001,MATCH(ROWS($AG$2:AG467),$AG$2:$AG$1001,0),0), INDEX($AN$1004:$BO$1004,1,MATCH(COLUMNS($AN$1006:BC1006),$AN$1006:$BO$1006,0)))),"Fix")))</f>
        <v>0</v>
      </c>
      <c r="R467" s="4">
        <f>IF(OR(INDEX($AH$2:$AH$1001,MATCH(ROWS($AG$2:AG467),$AG$2:$AG$1001,0),1)&gt;=100000,INDEX($AN$1005:$BO$1005,1,MATCH(COLUMNS($AN$1006:BD1006),$AN$1006:$BO$1006,0))&gt;=100000), " ",IF(INDEX($AN$2:$BO$1001,MATCH(ROWS($AG$2:AG467),$AG$2:$AG$1001,0),MATCH(COLUMNS($AN$1006:BD1006),$AN$1006:$BO$1006,0)), HYPERLINK("#",""), HYPERLINK(CONCATENATE("#Metadata!", ADDRESS(INDEX($AI$2:$AI$1001,MATCH(ROWS($AG$2:AG467),$AG$2:$AG$1001,0),0), INDEX($AN$1004:$BO$1004,1,MATCH(COLUMNS($AN$1006:BD1006),$AN$1006:$BO$1006,0)))),"Fix")))</f>
        <v>0</v>
      </c>
      <c r="S467" s="4">
        <f>IF(OR(INDEX($AH$2:$AH$1001,MATCH(ROWS($AG$2:AG467),$AG$2:$AG$1001,0),1)&gt;=100000,INDEX($AN$1005:$BO$1005,1,MATCH(COLUMNS($AN$1006:BE1006),$AN$1006:$BO$1006,0))&gt;=100000), " ",IF(INDEX($AN$2:$BO$1001,MATCH(ROWS($AG$2:AG467),$AG$2:$AG$1001,0),MATCH(COLUMNS($AN$1006:BE1006),$AN$1006:$BO$1006,0)), HYPERLINK("#",""), HYPERLINK(CONCATENATE("#Metadata!", ADDRESS(INDEX($AI$2:$AI$1001,MATCH(ROWS($AG$2:AG467),$AG$2:$AG$1001,0),0), INDEX($AN$1004:$BO$1004,1,MATCH(COLUMNS($AN$1006:BE1006),$AN$1006:$BO$1006,0)))),"Fix")))</f>
        <v>0</v>
      </c>
      <c r="T467" s="4">
        <f>IF(OR(INDEX($AH$2:$AH$1001,MATCH(ROWS($AG$2:AG467),$AG$2:$AG$1001,0),1)&gt;=100000,INDEX($AN$1005:$BO$1005,1,MATCH(COLUMNS($AN$1006:BF1006),$AN$1006:$BO$1006,0))&gt;=100000), " ",IF(INDEX($AN$2:$BO$1001,MATCH(ROWS($AG$2:AG467),$AG$2:$AG$1001,0),MATCH(COLUMNS($AN$1006:BF1006),$AN$1006:$BO$1006,0)), HYPERLINK("#",""), HYPERLINK(CONCATENATE("#Metadata!", ADDRESS(INDEX($AI$2:$AI$1001,MATCH(ROWS($AG$2:AG467),$AG$2:$AG$1001,0),0), INDEX($AN$1004:$BO$1004,1,MATCH(COLUMNS($AN$1006:BF1006),$AN$1006:$BO$1006,0)))),"Fix")))</f>
        <v>0</v>
      </c>
      <c r="U467" s="4">
        <f>IF(OR(INDEX($AH$2:$AH$1001,MATCH(ROWS($AG$2:AG467),$AG$2:$AG$1001,0),1)&gt;=100000,INDEX($AN$1005:$BO$1005,1,MATCH(COLUMNS($AN$1006:BG1006),$AN$1006:$BO$1006,0))&gt;=100000), " ",IF(INDEX($AN$2:$BO$1001,MATCH(ROWS($AG$2:AG467),$AG$2:$AG$1001,0),MATCH(COLUMNS($AN$1006:BG1006),$AN$1006:$BO$1006,0)), HYPERLINK("#",""), HYPERLINK(CONCATENATE("#Metadata!", ADDRESS(INDEX($AI$2:$AI$1001,MATCH(ROWS($AG$2:AG467),$AG$2:$AG$1001,0),0), INDEX($AN$1004:$BO$1004,1,MATCH(COLUMNS($AN$1006:BG1006),$AN$1006:$BO$1006,0)))),"Fix")))</f>
        <v>0</v>
      </c>
      <c r="V467" s="4">
        <f>IF(OR(INDEX($AH$2:$AH$1001,MATCH(ROWS($AG$2:AG467),$AG$2:$AG$1001,0),1)&gt;=100000,INDEX($AN$1005:$BO$1005,1,MATCH(COLUMNS($AN$1006:BH1006),$AN$1006:$BO$1006,0))&gt;=100000), " ",IF(INDEX($AN$2:$BO$1001,MATCH(ROWS($AG$2:AG467),$AG$2:$AG$1001,0),MATCH(COLUMNS($AN$1006:BH1006),$AN$1006:$BO$1006,0)), HYPERLINK("#",""), HYPERLINK(CONCATENATE("#Metadata!", ADDRESS(INDEX($AI$2:$AI$1001,MATCH(ROWS($AG$2:AG467),$AG$2:$AG$1001,0),0), INDEX($AN$1004:$BO$1004,1,MATCH(COLUMNS($AN$1006:BH1006),$AN$1006:$BO$1006,0)))),"Fix")))</f>
        <v>0</v>
      </c>
      <c r="W467" s="4">
        <f>IF(OR(INDEX($AH$2:$AH$1001,MATCH(ROWS($AG$2:AG467),$AG$2:$AG$1001,0),1)&gt;=100000,INDEX($AN$1005:$BO$1005,1,MATCH(COLUMNS($AN$1006:BI1006),$AN$1006:$BO$1006,0))&gt;=100000), " ",IF(INDEX($AN$2:$BO$1001,MATCH(ROWS($AG$2:AG467),$AG$2:$AG$1001,0),MATCH(COLUMNS($AN$1006:BI1006),$AN$1006:$BO$1006,0)), HYPERLINK("#",""), HYPERLINK(CONCATENATE("#Metadata!", ADDRESS(INDEX($AI$2:$AI$1001,MATCH(ROWS($AG$2:AG467),$AG$2:$AG$1001,0),0), INDEX($AN$1004:$BO$1004,1,MATCH(COLUMNS($AN$1006:BI1006),$AN$1006:$BO$1006,0)))),"Fix")))</f>
        <v>0</v>
      </c>
      <c r="X467" s="4">
        <f>IF(OR(INDEX($AH$2:$AH$1001,MATCH(ROWS($AG$2:AG467),$AG$2:$AG$1001,0),1)&gt;=100000,INDEX($AN$1005:$BO$1005,1,MATCH(COLUMNS($AN$1006:BJ1006),$AN$1006:$BO$1006,0))&gt;=100000), " ",IF(INDEX($AN$2:$BO$1001,MATCH(ROWS($AG$2:AG467),$AG$2:$AG$1001,0),MATCH(COLUMNS($AN$1006:BJ1006),$AN$1006:$BO$1006,0)), HYPERLINK("#",""), HYPERLINK(CONCATENATE("#Metadata!", ADDRESS(INDEX($AI$2:$AI$1001,MATCH(ROWS($AG$2:AG467),$AG$2:$AG$1001,0),0), INDEX($AN$1004:$BO$1004,1,MATCH(COLUMNS($AN$1006:BJ1006),$AN$1006:$BO$1006,0)))),"Fix")))</f>
        <v>0</v>
      </c>
      <c r="Y467" s="4">
        <f>IF(OR(INDEX($AH$2:$AH$1001,MATCH(ROWS($AG$2:AG467),$AG$2:$AG$1001,0),1)&gt;=100000,INDEX($AN$1005:$BO$1005,1,MATCH(COLUMNS($AN$1006:BK1006),$AN$1006:$BO$1006,0))&gt;=100000), " ",IF(INDEX($AN$2:$BO$1001,MATCH(ROWS($AG$2:AG467),$AG$2:$AG$1001,0),MATCH(COLUMNS($AN$1006:BK1006),$AN$1006:$BO$1006,0)), HYPERLINK("#",""), HYPERLINK(CONCATENATE("#Metadata!", ADDRESS(INDEX($AI$2:$AI$1001,MATCH(ROWS($AG$2:AG467),$AG$2:$AG$1001,0),0), INDEX($AN$1004:$BO$1004,1,MATCH(COLUMNS($AN$1006:BK1006),$AN$1006:$BO$1006,0)))),"Fix")))</f>
        <v>0</v>
      </c>
      <c r="Z467" s="4">
        <f>IF(OR(INDEX($AH$2:$AH$1001,MATCH(ROWS($AG$2:AG467),$AG$2:$AG$1001,0),1)&gt;=100000,INDEX($AN$1005:$BO$1005,1,MATCH(COLUMNS($AN$1006:BL1006),$AN$1006:$BO$1006,0))&gt;=100000), " ",IF(INDEX($AN$2:$BO$1001,MATCH(ROWS($AG$2:AG467),$AG$2:$AG$1001,0),MATCH(COLUMNS($AN$1006:BL1006),$AN$1006:$BO$1006,0)), HYPERLINK("#",""), HYPERLINK(CONCATENATE("#Metadata!", ADDRESS(INDEX($AI$2:$AI$1001,MATCH(ROWS($AG$2:AG467),$AG$2:$AG$1001,0),0), INDEX($AN$1004:$BO$1004,1,MATCH(COLUMNS($AN$1006:BL1006),$AN$1006:$BO$1006,0)))),"Fix")))</f>
        <v>0</v>
      </c>
      <c r="AA467" s="4">
        <f>IF(OR(INDEX($AH$2:$AH$1001,MATCH(ROWS($AG$2:AG467),$AG$2:$AG$1001,0),1)&gt;=100000,INDEX($AN$1005:$BO$1005,1,MATCH(COLUMNS($AN$1006:BM1006),$AN$1006:$BO$1006,0))&gt;=100000), " ",IF(INDEX($AN$2:$BO$1001,MATCH(ROWS($AG$2:AG467),$AG$2:$AG$1001,0),MATCH(COLUMNS($AN$1006:BM1006),$AN$1006:$BO$1006,0)), HYPERLINK("#",""), HYPERLINK(CONCATENATE("#Metadata!", ADDRESS(INDEX($AI$2:$AI$1001,MATCH(ROWS($AG$2:AG467),$AG$2:$AG$1001,0),0), INDEX($AN$1004:$BO$1004,1,MATCH(COLUMNS($AN$1006:BM1006),$AN$1006:$BO$1006,0)))),"Fix")))</f>
        <v>0</v>
      </c>
      <c r="AB467" s="4">
        <f>IF(OR(INDEX($AH$2:$AH$1001,MATCH(ROWS($AG$2:AG467),$AG$2:$AG$1001,0),1)&gt;=100000,INDEX($AN$1005:$BO$1005,1,MATCH(COLUMNS($AN$1006:BN1006),$AN$1006:$BO$1006,0))&gt;=100000), " ",IF(INDEX($AN$2:$BO$1001,MATCH(ROWS($AG$2:AG467),$AG$2:$AG$1001,0),MATCH(COLUMNS($AN$1006:BN1006),$AN$1006:$BO$1006,0)), HYPERLINK("#",""), HYPERLINK(CONCATENATE("#Metadata!", ADDRESS(INDEX($AI$2:$AI$1001,MATCH(ROWS($AG$2:AG467),$AG$2:$AG$1001,0),0), INDEX($AN$1004:$BO$1004,1,MATCH(COLUMNS($AN$1006:BN1006),$AN$1006:$BO$1006,0)))),"Fix")))</f>
        <v>0</v>
      </c>
      <c r="AC467" s="4">
        <f>IF(OR(INDEX($AH$2:$AH$1001,MATCH(ROWS($AG$2:AG467),$AG$2:$AG$1001,0),1)&gt;=100000,INDEX($AN$1005:$BO$1005,1,MATCH(COLUMNS($AN$1006:BO1006),$AN$1006:$BO$1006,0))&gt;=100000), " ",IF(INDEX($AN$2:$BO$1001,MATCH(ROWS($AG$2:AG467),$AG$2:$AG$1001,0),MATCH(COLUMNS($AN$1006:BO1006),$AN$1006:$BO$1006,0)), HYPERLINK("#",""), HYPERLINK(CONCATENATE("#Metadata!", ADDRESS(INDEX($AI$2:$AI$1001,MATCH(ROWS($AG$2:AG467),$AG$2:$AG$1001,0),0), INDEX($AN$1004:$BO$1004,1,MATCH(COLUMNS($AN$1006:BO1006),$AN$1006:$BO$1006,0)))),"Fix")))</f>
        <v>0</v>
      </c>
      <c r="AG467">
        <v>0</v>
      </c>
      <c r="AH467">
        <v>0</v>
      </c>
      <c r="AI467">
        <v>0</v>
      </c>
      <c r="AJ467">
        <f>IF(AK467,TRUE,AND(AN467:BO467))</f>
        <v>0</v>
      </c>
      <c r="AK467">
        <f>COUNTBLANK(Metadata!B467:AC467)=COLUMNS(Metadata!B467:AC467)</f>
        <v>0</v>
      </c>
      <c r="AL467">
        <v>0</v>
      </c>
      <c r="AN467">
        <f>AND(IF(Metadata!B467="",FALSE,TRUE),COUNTIF(Metadata!B:B, Metadata!B467) = 1,NOT(ISERROR(SUMPRODUCT(SEARCH(MID(Metadata!B467,ROW(INDIRECT("1:"&amp;LEN(Metadata!B467))), 1),"0123456789abcdefghijklmnopqrstuvwxyzABCDEFGHIJKLMNOPQRSTUVWXYZ.")))))</f>
        <v>0</v>
      </c>
      <c r="AO467">
        <f>IF(Metadata!C467="",FALSE,TRUE)</f>
        <v>0</v>
      </c>
      <c r="AP467">
        <f>IF(Metadata!D467="",FALSE,TRUE)</f>
        <v>0</v>
      </c>
      <c r="AQ467">
        <f>OR(AND(IF(Metadata!E467="",FALSE,TRUE),OR(exact(Metadata!E467,"not collected"),exact(Metadata!E467,"not provided"),exact(Metadata!E467,"restricted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R467">
        <f>IF(Metadata!F467="",FALSE,TRUE)</f>
        <v>0</v>
      </c>
      <c r="AS467">
        <f>OR(AND(IF(Metadata!G467="",FALSE,TRUE),OR(exact(Metadata!G467,"not collected"),exact(Metadata!G467,"not provided"))),AND(IF(Metadata!G467="",FALSE,TRUE),OR(exact(Metadata!G467,"TRUE"),exact(Metadata!G467,"FALSE"))))</f>
        <v>0</v>
      </c>
      <c r="AT467">
        <f>OR(AND(IF(Metadata!H467="",FALSE,TRUE),OR(exact(Metadata!H467,"not collected"),exact(Metadata!H467,"not provided"),exact(Metadata!H467,"restricted access"))),AND(IF(Metadata!H467="",FALSE,ISNUMBER(VALUE(Metadata!H467))),Metadata!H467&gt;=-413.0))</f>
        <v>0</v>
      </c>
      <c r="AU467">
        <f>AND(IF(Metadata!I467="",FALSE,TRUE),exact(Metadata!I467,"meters"))</f>
        <v>0</v>
      </c>
      <c r="AV467">
        <f>AND(IF(Metadata!J467="",FALSE,TRUE),OR(exact(Metadata!J467,"Host-associated"),exact(Metadata!J467,"Free-living")))</f>
        <v>0</v>
      </c>
      <c r="AW467">
        <f>AND(IF(Metadata!K467="",FALSE,TRUE),OR(exact(Metadata!K467,"Animal"),exact(Metadata!K467,"Fungus"),exact(Metadata!K467,"Plant"),exact(Metadata!K467,"Saline"),exact(Metadata!K467,"Non-saline")))</f>
        <v>0</v>
      </c>
      <c r="AX467">
        <f>AND(IF(Metadata!L467="",FALSE,TRUE),OR(exact(Metadata!L467,"Plant secretion"),exact(Metadata!L467,"Plant rhizosphere"),exact(Metadata!L467,"Plant surface"),exact(Metadata!L467,"Plant corpus"),exact(Metadata!L467,"Fungus surface"),exact(Metadata!L467,"Fungus corpus"),exact(Metadata!L467,"Animal surface"),exact(Metadata!L467,"Animal proximal gut"),exact(Metadata!L467,"Animal corpus"),exact(Metadata!L467,"Animal distal gut"),exact(Metadata!L467,"Animal secretion"),exact(Metadata!L467,"Sub-surface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Y467">
        <f>IF(Metadata!M467="",FALSE,TRUE)</f>
        <v>0</v>
      </c>
      <c r="AZ467">
        <f>IF(Metadata!N467="",FALSE,TRUE)</f>
        <v>0</v>
      </c>
      <c r="BA467">
        <f>IF(Metadata!O467="",FALSE,TRUE)</f>
        <v>0</v>
      </c>
      <c r="BB467">
        <f>OR(AND(IF(Metadata!P467="",FALSE,TRUE),OR(exact(Metadata!P467,"not collected"),exact(Metadata!P467,"not provided"),exact(Metadata!P467,"restricted access"))),AND(IF(Metadata!P467="",FALSE,TRUE),OR(exact(Metadata!P467,"air"),exact(Metadata!P467,"built environment"),exact(Metadata!P467,"host-associated"),exact(Metadata!P467,"human-associated"),exact(Metadata!P467,"human-skin"),exact(Metadata!P467,"human-oral"),exact(Metadata!P467,"human-gut"),exact(Metadata!P467,"human-vaginal"),exact(Metadata!P467,"microbial mat/biofilm"),exact(Metadata!P467,"misc environment"),exact(Metadata!P467,"plant-associated"),exact(Metadata!P467,"sediment"),exact(Metadata!P467,"soil"),exact(Metadata!P467,"wastewater/sludge"),exact(Metadata!P467,"water"))))</f>
        <v>0</v>
      </c>
      <c r="BC467">
        <f>IF(Metadata!Q467="",FALSE,TRUE)</f>
        <v>0</v>
      </c>
      <c r="BD467">
        <f>IF(Metadata!R467="",FALSE,TRUE)</f>
        <v>0</v>
      </c>
      <c r="BE467">
        <f>OR(AND(IF(Metadata!S467="",FALSE,TRUE),OR(exact(Metadata!S467,"not collected"),exact(Metadata!S467,"not provided"),exact(Metadata!S467,"restricted access"))),AND(IF(Metadata!S467="",FALSE,ISNUMBER(VALUE(Metadata!S467))),Metadata!S467&gt;=-90.00,Metadata!S467&lt;=90.00))</f>
        <v>0</v>
      </c>
      <c r="BF467">
        <f>AND(IF(Metadata!T467="",FALSE,TRUE),exact(Metadata!T467,"Decimal degrees"))</f>
        <v>0</v>
      </c>
      <c r="BG467">
        <f>OR(AND(IF(Metadata!U467="",FALSE,TRUE),OR(exact(Metadata!U467,"not collected"),exact(Metadata!U467,"not provided"),exact(Metadata!U467,"restricted access"))),AND(IF(Metadata!U467="",FALSE,ISNUMBER(VALUE(Metadata!U467))),Metadata!U467&gt;=-180.00,Metadata!U467&lt;=180.00))</f>
        <v>0</v>
      </c>
      <c r="BH467">
        <f>AND(IF(Metadata!V467="",FALSE,TRUE),exact(Metadata!V467,"Decimal degrees"))</f>
        <v>0</v>
      </c>
      <c r="BI467">
        <f>IF(Metadata!W467="",FALSE,TRUE)</f>
        <v>0</v>
      </c>
      <c r="BJ467">
        <f>OR(AND(IF(Metadata!X467="",FALSE,TRUE),OR(exact(Metadata!X467,"not collected"),exact(Metadata!X467,"not provided"),exact(Metadata!X467,"restricted access"))),AND(IF(Metadata!X467="",FALSE,TRUE),OR(exact(Metadata!X467,"TRUE"),exact(Metadata!X467,"FALSE"))))</f>
        <v>0</v>
      </c>
      <c r="BK467">
        <f>AND(IF(Metadata!Y467="",FALSE,TRUE),exact(Metadata!Y467,"other"))</f>
        <v>0</v>
      </c>
      <c r="BL467">
        <f>IF(Metadata!Z467="",FALSE,TRUE)</f>
        <v>0</v>
      </c>
      <c r="BM467">
        <f>OR(AND(IF(Metadata!AA467="",FALSE,TRUE),OR(exact(Metadata!AA467,"not collected"),exact(Metadata!AA467,"not provided"))),AND(IF(Metadata!AA467="",FALSE,IF(ISERROR(INT(Metadata!AA467)),FALSE,INT(Metadata!AA467)=Metadata!AA467)),Metadata!AA467&gt;0))</f>
        <v>0</v>
      </c>
      <c r="BN467">
        <f>AND(IF(Metadata!AB467="",FALSE,TRUE),exact(Metadata!AB467,"Not applicable"))</f>
        <v>0</v>
      </c>
      <c r="BO467">
        <f>IF(Metadata!AC467="",FALSE,TRUE)</f>
        <v>0</v>
      </c>
    </row>
    <row r="468" spans="1:67">
      <c r="A468" s="5">
        <f>IF(B468=" "," ",HYPERLINK(CONCATENATE("#metadata!",ADDRESS(INDEX($AI$2:$AI$1001,MATCH(ROWS($AG$2:AG468),$AG$2:$AG$1001,0),0),1)),INDEX($AL$2:$AL$1001,MATCH(ROWS($AG$2:AG468),$AG$2:$AG$1001,0),0)))</f>
        <v>0</v>
      </c>
      <c r="B468" s="4">
        <f>IF(OR(INDEX($AH$2:$AH$1001,MATCH(ROWS($AG$2:AG468),$AG$2:$AG$1001,0),1)&gt;=100000,INDEX($AN$1005:$BO$1005,1,MATCH(COLUMNS($AN$1006:AN1006),$AN$1006:$BO$1006,0))&gt;=100000), " ",IF(INDEX($AN$2:$BO$1001,MATCH(ROWS($AG$2:AG468),$AG$2:$AG$1001,0),MATCH(COLUMNS($AN$1006:AN1006),$AN$1006:$BO$1006,0)), HYPERLINK("#",""), HYPERLINK(CONCATENATE("#Metadata!", ADDRESS(INDEX($AI$2:$AI$1001,MATCH(ROWS($AG$2:AG468),$AG$2:$AG$1001,0),0), INDEX($AN$1004:$BO$1004,1,MATCH(COLUMNS($AN$1006:AN1006),$AN$1006:$BO$1006,0)))),"Fix")))</f>
        <v>0</v>
      </c>
      <c r="C468" s="4">
        <f>IF(OR(INDEX($AH$2:$AH$1001,MATCH(ROWS($AG$2:AG468),$AG$2:$AG$1001,0),1)&gt;=100000,INDEX($AN$1005:$BO$1005,1,MATCH(COLUMNS($AN$1006:AO1006),$AN$1006:$BO$1006,0))&gt;=100000), " ",IF(INDEX($AN$2:$BO$1001,MATCH(ROWS($AG$2:AG468),$AG$2:$AG$1001,0),MATCH(COLUMNS($AN$1006:AO1006),$AN$1006:$BO$1006,0)), HYPERLINK("#",""), HYPERLINK(CONCATENATE("#Metadata!", ADDRESS(INDEX($AI$2:$AI$1001,MATCH(ROWS($AG$2:AG468),$AG$2:$AG$1001,0),0), INDEX($AN$1004:$BO$1004,1,MATCH(COLUMNS($AN$1006:AO1006),$AN$1006:$BO$1006,0)))),"Fix")))</f>
        <v>0</v>
      </c>
      <c r="D468" s="4">
        <f>IF(OR(INDEX($AH$2:$AH$1001,MATCH(ROWS($AG$2:AG468),$AG$2:$AG$1001,0),1)&gt;=100000,INDEX($AN$1005:$BO$1005,1,MATCH(COLUMNS($AN$1006:AP1006),$AN$1006:$BO$1006,0))&gt;=100000), " ",IF(INDEX($AN$2:$BO$1001,MATCH(ROWS($AG$2:AG468),$AG$2:$AG$1001,0),MATCH(COLUMNS($AN$1006:AP1006),$AN$1006:$BO$1006,0)), HYPERLINK("#",""), HYPERLINK(CONCATENATE("#Metadata!", ADDRESS(INDEX($AI$2:$AI$1001,MATCH(ROWS($AG$2:AG468),$AG$2:$AG$1001,0),0), INDEX($AN$1004:$BO$1004,1,MATCH(COLUMNS($AN$1006:AP1006),$AN$1006:$BO$1006,0)))),"Fix")))</f>
        <v>0</v>
      </c>
      <c r="E468" s="4">
        <f>IF(OR(INDEX($AH$2:$AH$1001,MATCH(ROWS($AG$2:AG468),$AG$2:$AG$1001,0),1)&gt;=100000,INDEX($AN$1005:$BO$1005,1,MATCH(COLUMNS($AN$1006:AQ1006),$AN$1006:$BO$1006,0))&gt;=100000), " ",IF(INDEX($AN$2:$BO$1001,MATCH(ROWS($AG$2:AG468),$AG$2:$AG$1001,0),MATCH(COLUMNS($AN$1006:AQ1006),$AN$1006:$BO$1006,0)), HYPERLINK("#",""), HYPERLINK(CONCATENATE("#Metadata!", ADDRESS(INDEX($AI$2:$AI$1001,MATCH(ROWS($AG$2:AG468),$AG$2:$AG$1001,0),0), INDEX($AN$1004:$BO$1004,1,MATCH(COLUMNS($AN$1006:AQ1006),$AN$1006:$BO$1006,0)))),"Fix")))</f>
        <v>0</v>
      </c>
      <c r="F468" s="4">
        <f>IF(OR(INDEX($AH$2:$AH$1001,MATCH(ROWS($AG$2:AG468),$AG$2:$AG$1001,0),1)&gt;=100000,INDEX($AN$1005:$BO$1005,1,MATCH(COLUMNS($AN$1006:AR1006),$AN$1006:$BO$1006,0))&gt;=100000), " ",IF(INDEX($AN$2:$BO$1001,MATCH(ROWS($AG$2:AG468),$AG$2:$AG$1001,0),MATCH(COLUMNS($AN$1006:AR1006),$AN$1006:$BO$1006,0)), HYPERLINK("#",""), HYPERLINK(CONCATENATE("#Metadata!", ADDRESS(INDEX($AI$2:$AI$1001,MATCH(ROWS($AG$2:AG468),$AG$2:$AG$1001,0),0), INDEX($AN$1004:$BO$1004,1,MATCH(COLUMNS($AN$1006:AR1006),$AN$1006:$BO$1006,0)))),"Fix")))</f>
        <v>0</v>
      </c>
      <c r="G468" s="4">
        <f>IF(OR(INDEX($AH$2:$AH$1001,MATCH(ROWS($AG$2:AG468),$AG$2:$AG$1001,0),1)&gt;=100000,INDEX($AN$1005:$BO$1005,1,MATCH(COLUMNS($AN$1006:AS1006),$AN$1006:$BO$1006,0))&gt;=100000), " ",IF(INDEX($AN$2:$BO$1001,MATCH(ROWS($AG$2:AG468),$AG$2:$AG$1001,0),MATCH(COLUMNS($AN$1006:AS1006),$AN$1006:$BO$1006,0)), HYPERLINK("#",""), HYPERLINK(CONCATENATE("#Metadata!", ADDRESS(INDEX($AI$2:$AI$1001,MATCH(ROWS($AG$2:AG468),$AG$2:$AG$1001,0),0), INDEX($AN$1004:$BO$1004,1,MATCH(COLUMNS($AN$1006:AS1006),$AN$1006:$BO$1006,0)))),"Fix")))</f>
        <v>0</v>
      </c>
      <c r="H468" s="4">
        <f>IF(OR(INDEX($AH$2:$AH$1001,MATCH(ROWS($AG$2:AG468),$AG$2:$AG$1001,0),1)&gt;=100000,INDEX($AN$1005:$BO$1005,1,MATCH(COLUMNS($AN$1006:AT1006),$AN$1006:$BO$1006,0))&gt;=100000), " ",IF(INDEX($AN$2:$BO$1001,MATCH(ROWS($AG$2:AG468),$AG$2:$AG$1001,0),MATCH(COLUMNS($AN$1006:AT1006),$AN$1006:$BO$1006,0)), HYPERLINK("#",""), HYPERLINK(CONCATENATE("#Metadata!", ADDRESS(INDEX($AI$2:$AI$1001,MATCH(ROWS($AG$2:AG468),$AG$2:$AG$1001,0),0), INDEX($AN$1004:$BO$1004,1,MATCH(COLUMNS($AN$1006:AT1006),$AN$1006:$BO$1006,0)))),"Fix")))</f>
        <v>0</v>
      </c>
      <c r="I468" s="4">
        <f>IF(OR(INDEX($AH$2:$AH$1001,MATCH(ROWS($AG$2:AG468),$AG$2:$AG$1001,0),1)&gt;=100000,INDEX($AN$1005:$BO$1005,1,MATCH(COLUMNS($AN$1006:AU1006),$AN$1006:$BO$1006,0))&gt;=100000), " ",IF(INDEX($AN$2:$BO$1001,MATCH(ROWS($AG$2:AG468),$AG$2:$AG$1001,0),MATCH(COLUMNS($AN$1006:AU1006),$AN$1006:$BO$1006,0)), HYPERLINK("#",""), HYPERLINK(CONCATENATE("#Metadata!", ADDRESS(INDEX($AI$2:$AI$1001,MATCH(ROWS($AG$2:AG468),$AG$2:$AG$1001,0),0), INDEX($AN$1004:$BO$1004,1,MATCH(COLUMNS($AN$1006:AU1006),$AN$1006:$BO$1006,0)))),"Fix")))</f>
        <v>0</v>
      </c>
      <c r="J468" s="4">
        <f>IF(OR(INDEX($AH$2:$AH$1001,MATCH(ROWS($AG$2:AG468),$AG$2:$AG$1001,0),1)&gt;=100000,INDEX($AN$1005:$BO$1005,1,MATCH(COLUMNS($AN$1006:AV1006),$AN$1006:$BO$1006,0))&gt;=100000), " ",IF(INDEX($AN$2:$BO$1001,MATCH(ROWS($AG$2:AG468),$AG$2:$AG$1001,0),MATCH(COLUMNS($AN$1006:AV1006),$AN$1006:$BO$1006,0)), HYPERLINK("#",""), HYPERLINK(CONCATENATE("#Metadata!", ADDRESS(INDEX($AI$2:$AI$1001,MATCH(ROWS($AG$2:AG468),$AG$2:$AG$1001,0),0), INDEX($AN$1004:$BO$1004,1,MATCH(COLUMNS($AN$1006:AV1006),$AN$1006:$BO$1006,0)))),"Fix")))</f>
        <v>0</v>
      </c>
      <c r="K468" s="4">
        <f>IF(OR(INDEX($AH$2:$AH$1001,MATCH(ROWS($AG$2:AG468),$AG$2:$AG$1001,0),1)&gt;=100000,INDEX($AN$1005:$BO$1005,1,MATCH(COLUMNS($AN$1006:AW1006),$AN$1006:$BO$1006,0))&gt;=100000), " ",IF(INDEX($AN$2:$BO$1001,MATCH(ROWS($AG$2:AG468),$AG$2:$AG$1001,0),MATCH(COLUMNS($AN$1006:AW1006),$AN$1006:$BO$1006,0)), HYPERLINK("#",""), HYPERLINK(CONCATENATE("#Metadata!", ADDRESS(INDEX($AI$2:$AI$1001,MATCH(ROWS($AG$2:AG468),$AG$2:$AG$1001,0),0), INDEX($AN$1004:$BO$1004,1,MATCH(COLUMNS($AN$1006:AW1006),$AN$1006:$BO$1006,0)))),"Fix")))</f>
        <v>0</v>
      </c>
      <c r="L468" s="4">
        <f>IF(OR(INDEX($AH$2:$AH$1001,MATCH(ROWS($AG$2:AG468),$AG$2:$AG$1001,0),1)&gt;=100000,INDEX($AN$1005:$BO$1005,1,MATCH(COLUMNS($AN$1006:AX1006),$AN$1006:$BO$1006,0))&gt;=100000), " ",IF(INDEX($AN$2:$BO$1001,MATCH(ROWS($AG$2:AG468),$AG$2:$AG$1001,0),MATCH(COLUMNS($AN$1006:AX1006),$AN$1006:$BO$1006,0)), HYPERLINK("#",""), HYPERLINK(CONCATENATE("#Metadata!", ADDRESS(INDEX($AI$2:$AI$1001,MATCH(ROWS($AG$2:AG468),$AG$2:$AG$1001,0),0), INDEX($AN$1004:$BO$1004,1,MATCH(COLUMNS($AN$1006:AX1006),$AN$1006:$BO$1006,0)))),"Fix")))</f>
        <v>0</v>
      </c>
      <c r="M468" s="4">
        <f>IF(OR(INDEX($AH$2:$AH$1001,MATCH(ROWS($AG$2:AG468),$AG$2:$AG$1001,0),1)&gt;=100000,INDEX($AN$1005:$BO$1005,1,MATCH(COLUMNS($AN$1006:AY1006),$AN$1006:$BO$1006,0))&gt;=100000), " ",IF(INDEX($AN$2:$BO$1001,MATCH(ROWS($AG$2:AG468),$AG$2:$AG$1001,0),MATCH(COLUMNS($AN$1006:AY1006),$AN$1006:$BO$1006,0)), HYPERLINK("#",""), HYPERLINK(CONCATENATE("#Metadata!", ADDRESS(INDEX($AI$2:$AI$1001,MATCH(ROWS($AG$2:AG468),$AG$2:$AG$1001,0),0), INDEX($AN$1004:$BO$1004,1,MATCH(COLUMNS($AN$1006:AY1006),$AN$1006:$BO$1006,0)))),"Fix")))</f>
        <v>0</v>
      </c>
      <c r="N468" s="4">
        <f>IF(OR(INDEX($AH$2:$AH$1001,MATCH(ROWS($AG$2:AG468),$AG$2:$AG$1001,0),1)&gt;=100000,INDEX($AN$1005:$BO$1005,1,MATCH(COLUMNS($AN$1006:AZ1006),$AN$1006:$BO$1006,0))&gt;=100000), " ",IF(INDEX($AN$2:$BO$1001,MATCH(ROWS($AG$2:AG468),$AG$2:$AG$1001,0),MATCH(COLUMNS($AN$1006:AZ1006),$AN$1006:$BO$1006,0)), HYPERLINK("#",""), HYPERLINK(CONCATENATE("#Metadata!", ADDRESS(INDEX($AI$2:$AI$1001,MATCH(ROWS($AG$2:AG468),$AG$2:$AG$1001,0),0), INDEX($AN$1004:$BO$1004,1,MATCH(COLUMNS($AN$1006:AZ1006),$AN$1006:$BO$1006,0)))),"Fix")))</f>
        <v>0</v>
      </c>
      <c r="O468" s="4">
        <f>IF(OR(INDEX($AH$2:$AH$1001,MATCH(ROWS($AG$2:AG468),$AG$2:$AG$1001,0),1)&gt;=100000,INDEX($AN$1005:$BO$1005,1,MATCH(COLUMNS($AN$1006:BA1006),$AN$1006:$BO$1006,0))&gt;=100000), " ",IF(INDEX($AN$2:$BO$1001,MATCH(ROWS($AG$2:AG468),$AG$2:$AG$1001,0),MATCH(COLUMNS($AN$1006:BA1006),$AN$1006:$BO$1006,0)), HYPERLINK("#",""), HYPERLINK(CONCATENATE("#Metadata!", ADDRESS(INDEX($AI$2:$AI$1001,MATCH(ROWS($AG$2:AG468),$AG$2:$AG$1001,0),0), INDEX($AN$1004:$BO$1004,1,MATCH(COLUMNS($AN$1006:BA1006),$AN$1006:$BO$1006,0)))),"Fix")))</f>
        <v>0</v>
      </c>
      <c r="P468" s="4">
        <f>IF(OR(INDEX($AH$2:$AH$1001,MATCH(ROWS($AG$2:AG468),$AG$2:$AG$1001,0),1)&gt;=100000,INDEX($AN$1005:$BO$1005,1,MATCH(COLUMNS($AN$1006:BB1006),$AN$1006:$BO$1006,0))&gt;=100000), " ",IF(INDEX($AN$2:$BO$1001,MATCH(ROWS($AG$2:AG468),$AG$2:$AG$1001,0),MATCH(COLUMNS($AN$1006:BB1006),$AN$1006:$BO$1006,0)), HYPERLINK("#",""), HYPERLINK(CONCATENATE("#Metadata!", ADDRESS(INDEX($AI$2:$AI$1001,MATCH(ROWS($AG$2:AG468),$AG$2:$AG$1001,0),0), INDEX($AN$1004:$BO$1004,1,MATCH(COLUMNS($AN$1006:BB1006),$AN$1006:$BO$1006,0)))),"Fix")))</f>
        <v>0</v>
      </c>
      <c r="Q468" s="4">
        <f>IF(OR(INDEX($AH$2:$AH$1001,MATCH(ROWS($AG$2:AG468),$AG$2:$AG$1001,0),1)&gt;=100000,INDEX($AN$1005:$BO$1005,1,MATCH(COLUMNS($AN$1006:BC1006),$AN$1006:$BO$1006,0))&gt;=100000), " ",IF(INDEX($AN$2:$BO$1001,MATCH(ROWS($AG$2:AG468),$AG$2:$AG$1001,0),MATCH(COLUMNS($AN$1006:BC1006),$AN$1006:$BO$1006,0)), HYPERLINK("#",""), HYPERLINK(CONCATENATE("#Metadata!", ADDRESS(INDEX($AI$2:$AI$1001,MATCH(ROWS($AG$2:AG468),$AG$2:$AG$1001,0),0), INDEX($AN$1004:$BO$1004,1,MATCH(COLUMNS($AN$1006:BC1006),$AN$1006:$BO$1006,0)))),"Fix")))</f>
        <v>0</v>
      </c>
      <c r="R468" s="4">
        <f>IF(OR(INDEX($AH$2:$AH$1001,MATCH(ROWS($AG$2:AG468),$AG$2:$AG$1001,0),1)&gt;=100000,INDEX($AN$1005:$BO$1005,1,MATCH(COLUMNS($AN$1006:BD1006),$AN$1006:$BO$1006,0))&gt;=100000), " ",IF(INDEX($AN$2:$BO$1001,MATCH(ROWS($AG$2:AG468),$AG$2:$AG$1001,0),MATCH(COLUMNS($AN$1006:BD1006),$AN$1006:$BO$1006,0)), HYPERLINK("#",""), HYPERLINK(CONCATENATE("#Metadata!", ADDRESS(INDEX($AI$2:$AI$1001,MATCH(ROWS($AG$2:AG468),$AG$2:$AG$1001,0),0), INDEX($AN$1004:$BO$1004,1,MATCH(COLUMNS($AN$1006:BD1006),$AN$1006:$BO$1006,0)))),"Fix")))</f>
        <v>0</v>
      </c>
      <c r="S468" s="4">
        <f>IF(OR(INDEX($AH$2:$AH$1001,MATCH(ROWS($AG$2:AG468),$AG$2:$AG$1001,0),1)&gt;=100000,INDEX($AN$1005:$BO$1005,1,MATCH(COLUMNS($AN$1006:BE1006),$AN$1006:$BO$1006,0))&gt;=100000), " ",IF(INDEX($AN$2:$BO$1001,MATCH(ROWS($AG$2:AG468),$AG$2:$AG$1001,0),MATCH(COLUMNS($AN$1006:BE1006),$AN$1006:$BO$1006,0)), HYPERLINK("#",""), HYPERLINK(CONCATENATE("#Metadata!", ADDRESS(INDEX($AI$2:$AI$1001,MATCH(ROWS($AG$2:AG468),$AG$2:$AG$1001,0),0), INDEX($AN$1004:$BO$1004,1,MATCH(COLUMNS($AN$1006:BE1006),$AN$1006:$BO$1006,0)))),"Fix")))</f>
        <v>0</v>
      </c>
      <c r="T468" s="4">
        <f>IF(OR(INDEX($AH$2:$AH$1001,MATCH(ROWS($AG$2:AG468),$AG$2:$AG$1001,0),1)&gt;=100000,INDEX($AN$1005:$BO$1005,1,MATCH(COLUMNS($AN$1006:BF1006),$AN$1006:$BO$1006,0))&gt;=100000), " ",IF(INDEX($AN$2:$BO$1001,MATCH(ROWS($AG$2:AG468),$AG$2:$AG$1001,0),MATCH(COLUMNS($AN$1006:BF1006),$AN$1006:$BO$1006,0)), HYPERLINK("#",""), HYPERLINK(CONCATENATE("#Metadata!", ADDRESS(INDEX($AI$2:$AI$1001,MATCH(ROWS($AG$2:AG468),$AG$2:$AG$1001,0),0), INDEX($AN$1004:$BO$1004,1,MATCH(COLUMNS($AN$1006:BF1006),$AN$1006:$BO$1006,0)))),"Fix")))</f>
        <v>0</v>
      </c>
      <c r="U468" s="4">
        <f>IF(OR(INDEX($AH$2:$AH$1001,MATCH(ROWS($AG$2:AG468),$AG$2:$AG$1001,0),1)&gt;=100000,INDEX($AN$1005:$BO$1005,1,MATCH(COLUMNS($AN$1006:BG1006),$AN$1006:$BO$1006,0))&gt;=100000), " ",IF(INDEX($AN$2:$BO$1001,MATCH(ROWS($AG$2:AG468),$AG$2:$AG$1001,0),MATCH(COLUMNS($AN$1006:BG1006),$AN$1006:$BO$1006,0)), HYPERLINK("#",""), HYPERLINK(CONCATENATE("#Metadata!", ADDRESS(INDEX($AI$2:$AI$1001,MATCH(ROWS($AG$2:AG468),$AG$2:$AG$1001,0),0), INDEX($AN$1004:$BO$1004,1,MATCH(COLUMNS($AN$1006:BG1006),$AN$1006:$BO$1006,0)))),"Fix")))</f>
        <v>0</v>
      </c>
      <c r="V468" s="4">
        <f>IF(OR(INDEX($AH$2:$AH$1001,MATCH(ROWS($AG$2:AG468),$AG$2:$AG$1001,0),1)&gt;=100000,INDEX($AN$1005:$BO$1005,1,MATCH(COLUMNS($AN$1006:BH1006),$AN$1006:$BO$1006,0))&gt;=100000), " ",IF(INDEX($AN$2:$BO$1001,MATCH(ROWS($AG$2:AG468),$AG$2:$AG$1001,0),MATCH(COLUMNS($AN$1006:BH1006),$AN$1006:$BO$1006,0)), HYPERLINK("#",""), HYPERLINK(CONCATENATE("#Metadata!", ADDRESS(INDEX($AI$2:$AI$1001,MATCH(ROWS($AG$2:AG468),$AG$2:$AG$1001,0),0), INDEX($AN$1004:$BO$1004,1,MATCH(COLUMNS($AN$1006:BH1006),$AN$1006:$BO$1006,0)))),"Fix")))</f>
        <v>0</v>
      </c>
      <c r="W468" s="4">
        <f>IF(OR(INDEX($AH$2:$AH$1001,MATCH(ROWS($AG$2:AG468),$AG$2:$AG$1001,0),1)&gt;=100000,INDEX($AN$1005:$BO$1005,1,MATCH(COLUMNS($AN$1006:BI1006),$AN$1006:$BO$1006,0))&gt;=100000), " ",IF(INDEX($AN$2:$BO$1001,MATCH(ROWS($AG$2:AG468),$AG$2:$AG$1001,0),MATCH(COLUMNS($AN$1006:BI1006),$AN$1006:$BO$1006,0)), HYPERLINK("#",""), HYPERLINK(CONCATENATE("#Metadata!", ADDRESS(INDEX($AI$2:$AI$1001,MATCH(ROWS($AG$2:AG468),$AG$2:$AG$1001,0),0), INDEX($AN$1004:$BO$1004,1,MATCH(COLUMNS($AN$1006:BI1006),$AN$1006:$BO$1006,0)))),"Fix")))</f>
        <v>0</v>
      </c>
      <c r="X468" s="4">
        <f>IF(OR(INDEX($AH$2:$AH$1001,MATCH(ROWS($AG$2:AG468),$AG$2:$AG$1001,0),1)&gt;=100000,INDEX($AN$1005:$BO$1005,1,MATCH(COLUMNS($AN$1006:BJ1006),$AN$1006:$BO$1006,0))&gt;=100000), " ",IF(INDEX($AN$2:$BO$1001,MATCH(ROWS($AG$2:AG468),$AG$2:$AG$1001,0),MATCH(COLUMNS($AN$1006:BJ1006),$AN$1006:$BO$1006,0)), HYPERLINK("#",""), HYPERLINK(CONCATENATE("#Metadata!", ADDRESS(INDEX($AI$2:$AI$1001,MATCH(ROWS($AG$2:AG468),$AG$2:$AG$1001,0),0), INDEX($AN$1004:$BO$1004,1,MATCH(COLUMNS($AN$1006:BJ1006),$AN$1006:$BO$1006,0)))),"Fix")))</f>
        <v>0</v>
      </c>
      <c r="Y468" s="4">
        <f>IF(OR(INDEX($AH$2:$AH$1001,MATCH(ROWS($AG$2:AG468),$AG$2:$AG$1001,0),1)&gt;=100000,INDEX($AN$1005:$BO$1005,1,MATCH(COLUMNS($AN$1006:BK1006),$AN$1006:$BO$1006,0))&gt;=100000), " ",IF(INDEX($AN$2:$BO$1001,MATCH(ROWS($AG$2:AG468),$AG$2:$AG$1001,0),MATCH(COLUMNS($AN$1006:BK1006),$AN$1006:$BO$1006,0)), HYPERLINK("#",""), HYPERLINK(CONCATENATE("#Metadata!", ADDRESS(INDEX($AI$2:$AI$1001,MATCH(ROWS($AG$2:AG468),$AG$2:$AG$1001,0),0), INDEX($AN$1004:$BO$1004,1,MATCH(COLUMNS($AN$1006:BK1006),$AN$1006:$BO$1006,0)))),"Fix")))</f>
        <v>0</v>
      </c>
      <c r="Z468" s="4">
        <f>IF(OR(INDEX($AH$2:$AH$1001,MATCH(ROWS($AG$2:AG468),$AG$2:$AG$1001,0),1)&gt;=100000,INDEX($AN$1005:$BO$1005,1,MATCH(COLUMNS($AN$1006:BL1006),$AN$1006:$BO$1006,0))&gt;=100000), " ",IF(INDEX($AN$2:$BO$1001,MATCH(ROWS($AG$2:AG468),$AG$2:$AG$1001,0),MATCH(COLUMNS($AN$1006:BL1006),$AN$1006:$BO$1006,0)), HYPERLINK("#",""), HYPERLINK(CONCATENATE("#Metadata!", ADDRESS(INDEX($AI$2:$AI$1001,MATCH(ROWS($AG$2:AG468),$AG$2:$AG$1001,0),0), INDEX($AN$1004:$BO$1004,1,MATCH(COLUMNS($AN$1006:BL1006),$AN$1006:$BO$1006,0)))),"Fix")))</f>
        <v>0</v>
      </c>
      <c r="AA468" s="4">
        <f>IF(OR(INDEX($AH$2:$AH$1001,MATCH(ROWS($AG$2:AG468),$AG$2:$AG$1001,0),1)&gt;=100000,INDEX($AN$1005:$BO$1005,1,MATCH(COLUMNS($AN$1006:BM1006),$AN$1006:$BO$1006,0))&gt;=100000), " ",IF(INDEX($AN$2:$BO$1001,MATCH(ROWS($AG$2:AG468),$AG$2:$AG$1001,0),MATCH(COLUMNS($AN$1006:BM1006),$AN$1006:$BO$1006,0)), HYPERLINK("#",""), HYPERLINK(CONCATENATE("#Metadata!", ADDRESS(INDEX($AI$2:$AI$1001,MATCH(ROWS($AG$2:AG468),$AG$2:$AG$1001,0),0), INDEX($AN$1004:$BO$1004,1,MATCH(COLUMNS($AN$1006:BM1006),$AN$1006:$BO$1006,0)))),"Fix")))</f>
        <v>0</v>
      </c>
      <c r="AB468" s="4">
        <f>IF(OR(INDEX($AH$2:$AH$1001,MATCH(ROWS($AG$2:AG468),$AG$2:$AG$1001,0),1)&gt;=100000,INDEX($AN$1005:$BO$1005,1,MATCH(COLUMNS($AN$1006:BN1006),$AN$1006:$BO$1006,0))&gt;=100000), " ",IF(INDEX($AN$2:$BO$1001,MATCH(ROWS($AG$2:AG468),$AG$2:$AG$1001,0),MATCH(COLUMNS($AN$1006:BN1006),$AN$1006:$BO$1006,0)), HYPERLINK("#",""), HYPERLINK(CONCATENATE("#Metadata!", ADDRESS(INDEX($AI$2:$AI$1001,MATCH(ROWS($AG$2:AG468),$AG$2:$AG$1001,0),0), INDEX($AN$1004:$BO$1004,1,MATCH(COLUMNS($AN$1006:BN1006),$AN$1006:$BO$1006,0)))),"Fix")))</f>
        <v>0</v>
      </c>
      <c r="AC468" s="4">
        <f>IF(OR(INDEX($AH$2:$AH$1001,MATCH(ROWS($AG$2:AG468),$AG$2:$AG$1001,0),1)&gt;=100000,INDEX($AN$1005:$BO$1005,1,MATCH(COLUMNS($AN$1006:BO1006),$AN$1006:$BO$1006,0))&gt;=100000), " ",IF(INDEX($AN$2:$BO$1001,MATCH(ROWS($AG$2:AG468),$AG$2:$AG$1001,0),MATCH(COLUMNS($AN$1006:BO1006),$AN$1006:$BO$1006,0)), HYPERLINK("#",""), HYPERLINK(CONCATENATE("#Metadata!", ADDRESS(INDEX($AI$2:$AI$1001,MATCH(ROWS($AG$2:AG468),$AG$2:$AG$1001,0),0), INDEX($AN$1004:$BO$1004,1,MATCH(COLUMNS($AN$1006:BO1006),$AN$1006:$BO$1006,0)))),"Fix")))</f>
        <v>0</v>
      </c>
      <c r="AG468">
        <v>0</v>
      </c>
      <c r="AH468">
        <v>0</v>
      </c>
      <c r="AI468">
        <v>0</v>
      </c>
      <c r="AJ468">
        <f>IF(AK468,TRUE,AND(AN468:BO468))</f>
        <v>0</v>
      </c>
      <c r="AK468">
        <f>COUNTBLANK(Metadata!B468:AC468)=COLUMNS(Metadata!B468:AC468)</f>
        <v>0</v>
      </c>
      <c r="AL468">
        <v>0</v>
      </c>
      <c r="AN468">
        <f>AND(IF(Metadata!B468="",FALSE,TRUE),COUNTIF(Metadata!B:B, Metadata!B468) = 1,NOT(ISERROR(SUMPRODUCT(SEARCH(MID(Metadata!B468,ROW(INDIRECT("1:"&amp;LEN(Metadata!B468))), 1),"0123456789abcdefghijklmnopqrstuvwxyzABCDEFGHIJKLMNOPQRSTUVWXYZ.")))))</f>
        <v>0</v>
      </c>
      <c r="AO468">
        <f>IF(Metadata!C468="",FALSE,TRUE)</f>
        <v>0</v>
      </c>
      <c r="AP468">
        <f>IF(Metadata!D468="",FALSE,TRUE)</f>
        <v>0</v>
      </c>
      <c r="AQ468">
        <f>OR(AND(IF(Metadata!E468="",FALSE,TRUE),OR(exact(Metadata!E468,"not collected"),exact(Metadata!E468,"not provided"),exact(Metadata!E468,"restricted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R468">
        <f>IF(Metadata!F468="",FALSE,TRUE)</f>
        <v>0</v>
      </c>
      <c r="AS468">
        <f>OR(AND(IF(Metadata!G468="",FALSE,TRUE),OR(exact(Metadata!G468,"not collected"),exact(Metadata!G468,"not provided"))),AND(IF(Metadata!G468="",FALSE,TRUE),OR(exact(Metadata!G468,"TRUE"),exact(Metadata!G468,"FALSE"))))</f>
        <v>0</v>
      </c>
      <c r="AT468">
        <f>OR(AND(IF(Metadata!H468="",FALSE,TRUE),OR(exact(Metadata!H468,"not collected"),exact(Metadata!H468,"not provided"),exact(Metadata!H468,"restricted access"))),AND(IF(Metadata!H468="",FALSE,ISNUMBER(VALUE(Metadata!H468))),Metadata!H468&gt;=-413.0))</f>
        <v>0</v>
      </c>
      <c r="AU468">
        <f>AND(IF(Metadata!I468="",FALSE,TRUE),exact(Metadata!I468,"meters"))</f>
        <v>0</v>
      </c>
      <c r="AV468">
        <f>AND(IF(Metadata!J468="",FALSE,TRUE),OR(exact(Metadata!J468,"Host-associated"),exact(Metadata!J468,"Free-living")))</f>
        <v>0</v>
      </c>
      <c r="AW468">
        <f>AND(IF(Metadata!K468="",FALSE,TRUE),OR(exact(Metadata!K468,"Animal"),exact(Metadata!K468,"Fungus"),exact(Metadata!K468,"Plant"),exact(Metadata!K468,"Saline"),exact(Metadata!K468,"Non-saline")))</f>
        <v>0</v>
      </c>
      <c r="AX468">
        <f>AND(IF(Metadata!L468="",FALSE,TRUE),OR(exact(Metadata!L468,"Plant secretion"),exact(Metadata!L468,"Plant rhizosphere"),exact(Metadata!L468,"Plant surface"),exact(Metadata!L468,"Plant corpus"),exact(Metadata!L468,"Fungus surface"),exact(Metadata!L468,"Fungus corpus"),exact(Metadata!L468,"Animal surface"),exact(Metadata!L468,"Animal proximal gut"),exact(Metadata!L468,"Animal corpus"),exact(Metadata!L468,"Animal distal gut"),exact(Metadata!L468,"Animal secretion"),exact(Metadata!L468,"Sub-surface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Y468">
        <f>IF(Metadata!M468="",FALSE,TRUE)</f>
        <v>0</v>
      </c>
      <c r="AZ468">
        <f>IF(Metadata!N468="",FALSE,TRUE)</f>
        <v>0</v>
      </c>
      <c r="BA468">
        <f>IF(Metadata!O468="",FALSE,TRUE)</f>
        <v>0</v>
      </c>
      <c r="BB468">
        <f>OR(AND(IF(Metadata!P468="",FALSE,TRUE),OR(exact(Metadata!P468,"not collected"),exact(Metadata!P468,"not provided"),exact(Metadata!P468,"restricted access"))),AND(IF(Metadata!P468="",FALSE,TRUE),OR(exact(Metadata!P468,"air"),exact(Metadata!P468,"built environment"),exact(Metadata!P468,"host-associated"),exact(Metadata!P468,"human-associated"),exact(Metadata!P468,"human-skin"),exact(Metadata!P468,"human-oral"),exact(Metadata!P468,"human-gut"),exact(Metadata!P468,"human-vaginal"),exact(Metadata!P468,"microbial mat/biofilm"),exact(Metadata!P468,"misc environment"),exact(Metadata!P468,"plant-associated"),exact(Metadata!P468,"sediment"),exact(Metadata!P468,"soil"),exact(Metadata!P468,"wastewater/sludge"),exact(Metadata!P468,"water"))))</f>
        <v>0</v>
      </c>
      <c r="BC468">
        <f>IF(Metadata!Q468="",FALSE,TRUE)</f>
        <v>0</v>
      </c>
      <c r="BD468">
        <f>IF(Metadata!R468="",FALSE,TRUE)</f>
        <v>0</v>
      </c>
      <c r="BE468">
        <f>OR(AND(IF(Metadata!S468="",FALSE,TRUE),OR(exact(Metadata!S468,"not collected"),exact(Metadata!S468,"not provided"),exact(Metadata!S468,"restricted access"))),AND(IF(Metadata!S468="",FALSE,ISNUMBER(VALUE(Metadata!S468))),Metadata!S468&gt;=-90.00,Metadata!S468&lt;=90.00))</f>
        <v>0</v>
      </c>
      <c r="BF468">
        <f>AND(IF(Metadata!T468="",FALSE,TRUE),exact(Metadata!T468,"Decimal degrees"))</f>
        <v>0</v>
      </c>
      <c r="BG468">
        <f>OR(AND(IF(Metadata!U468="",FALSE,TRUE),OR(exact(Metadata!U468,"not collected"),exact(Metadata!U468,"not provided"),exact(Metadata!U468,"restricted access"))),AND(IF(Metadata!U468="",FALSE,ISNUMBER(VALUE(Metadata!U468))),Metadata!U468&gt;=-180.00,Metadata!U468&lt;=180.00))</f>
        <v>0</v>
      </c>
      <c r="BH468">
        <f>AND(IF(Metadata!V468="",FALSE,TRUE),exact(Metadata!V468,"Decimal degrees"))</f>
        <v>0</v>
      </c>
      <c r="BI468">
        <f>IF(Metadata!W468="",FALSE,TRUE)</f>
        <v>0</v>
      </c>
      <c r="BJ468">
        <f>OR(AND(IF(Metadata!X468="",FALSE,TRUE),OR(exact(Metadata!X468,"not collected"),exact(Metadata!X468,"not provided"),exact(Metadata!X468,"restricted access"))),AND(IF(Metadata!X468="",FALSE,TRUE),OR(exact(Metadata!X468,"TRUE"),exact(Metadata!X468,"FALSE"))))</f>
        <v>0</v>
      </c>
      <c r="BK468">
        <f>AND(IF(Metadata!Y468="",FALSE,TRUE),exact(Metadata!Y468,"other"))</f>
        <v>0</v>
      </c>
      <c r="BL468">
        <f>IF(Metadata!Z468="",FALSE,TRUE)</f>
        <v>0</v>
      </c>
      <c r="BM468">
        <f>OR(AND(IF(Metadata!AA468="",FALSE,TRUE),OR(exact(Metadata!AA468,"not collected"),exact(Metadata!AA468,"not provided"))),AND(IF(Metadata!AA468="",FALSE,IF(ISERROR(INT(Metadata!AA468)),FALSE,INT(Metadata!AA468)=Metadata!AA468)),Metadata!AA468&gt;0))</f>
        <v>0</v>
      </c>
      <c r="BN468">
        <f>AND(IF(Metadata!AB468="",FALSE,TRUE),exact(Metadata!AB468,"Not applicable"))</f>
        <v>0</v>
      </c>
      <c r="BO468">
        <f>IF(Metadata!AC468="",FALSE,TRUE)</f>
        <v>0</v>
      </c>
    </row>
    <row r="469" spans="1:67">
      <c r="A469" s="5">
        <f>IF(B469=" "," ",HYPERLINK(CONCATENATE("#metadata!",ADDRESS(INDEX($AI$2:$AI$1001,MATCH(ROWS($AG$2:AG469),$AG$2:$AG$1001,0),0),1)),INDEX($AL$2:$AL$1001,MATCH(ROWS($AG$2:AG469),$AG$2:$AG$1001,0),0)))</f>
        <v>0</v>
      </c>
      <c r="B469" s="4">
        <f>IF(OR(INDEX($AH$2:$AH$1001,MATCH(ROWS($AG$2:AG469),$AG$2:$AG$1001,0),1)&gt;=100000,INDEX($AN$1005:$BO$1005,1,MATCH(COLUMNS($AN$1006:AN1006),$AN$1006:$BO$1006,0))&gt;=100000), " ",IF(INDEX($AN$2:$BO$1001,MATCH(ROWS($AG$2:AG469),$AG$2:$AG$1001,0),MATCH(COLUMNS($AN$1006:AN1006),$AN$1006:$BO$1006,0)), HYPERLINK("#",""), HYPERLINK(CONCATENATE("#Metadata!", ADDRESS(INDEX($AI$2:$AI$1001,MATCH(ROWS($AG$2:AG469),$AG$2:$AG$1001,0),0), INDEX($AN$1004:$BO$1004,1,MATCH(COLUMNS($AN$1006:AN1006),$AN$1006:$BO$1006,0)))),"Fix")))</f>
        <v>0</v>
      </c>
      <c r="C469" s="4">
        <f>IF(OR(INDEX($AH$2:$AH$1001,MATCH(ROWS($AG$2:AG469),$AG$2:$AG$1001,0),1)&gt;=100000,INDEX($AN$1005:$BO$1005,1,MATCH(COLUMNS($AN$1006:AO1006),$AN$1006:$BO$1006,0))&gt;=100000), " ",IF(INDEX($AN$2:$BO$1001,MATCH(ROWS($AG$2:AG469),$AG$2:$AG$1001,0),MATCH(COLUMNS($AN$1006:AO1006),$AN$1006:$BO$1006,0)), HYPERLINK("#",""), HYPERLINK(CONCATENATE("#Metadata!", ADDRESS(INDEX($AI$2:$AI$1001,MATCH(ROWS($AG$2:AG469),$AG$2:$AG$1001,0),0), INDEX($AN$1004:$BO$1004,1,MATCH(COLUMNS($AN$1006:AO1006),$AN$1006:$BO$1006,0)))),"Fix")))</f>
        <v>0</v>
      </c>
      <c r="D469" s="4">
        <f>IF(OR(INDEX($AH$2:$AH$1001,MATCH(ROWS($AG$2:AG469),$AG$2:$AG$1001,0),1)&gt;=100000,INDEX($AN$1005:$BO$1005,1,MATCH(COLUMNS($AN$1006:AP1006),$AN$1006:$BO$1006,0))&gt;=100000), " ",IF(INDEX($AN$2:$BO$1001,MATCH(ROWS($AG$2:AG469),$AG$2:$AG$1001,0),MATCH(COLUMNS($AN$1006:AP1006),$AN$1006:$BO$1006,0)), HYPERLINK("#",""), HYPERLINK(CONCATENATE("#Metadata!", ADDRESS(INDEX($AI$2:$AI$1001,MATCH(ROWS($AG$2:AG469),$AG$2:$AG$1001,0),0), INDEX($AN$1004:$BO$1004,1,MATCH(COLUMNS($AN$1006:AP1006),$AN$1006:$BO$1006,0)))),"Fix")))</f>
        <v>0</v>
      </c>
      <c r="E469" s="4">
        <f>IF(OR(INDEX($AH$2:$AH$1001,MATCH(ROWS($AG$2:AG469),$AG$2:$AG$1001,0),1)&gt;=100000,INDEX($AN$1005:$BO$1005,1,MATCH(COLUMNS($AN$1006:AQ1006),$AN$1006:$BO$1006,0))&gt;=100000), " ",IF(INDEX($AN$2:$BO$1001,MATCH(ROWS($AG$2:AG469),$AG$2:$AG$1001,0),MATCH(COLUMNS($AN$1006:AQ1006),$AN$1006:$BO$1006,0)), HYPERLINK("#",""), HYPERLINK(CONCATENATE("#Metadata!", ADDRESS(INDEX($AI$2:$AI$1001,MATCH(ROWS($AG$2:AG469),$AG$2:$AG$1001,0),0), INDEX($AN$1004:$BO$1004,1,MATCH(COLUMNS($AN$1006:AQ1006),$AN$1006:$BO$1006,0)))),"Fix")))</f>
        <v>0</v>
      </c>
      <c r="F469" s="4">
        <f>IF(OR(INDEX($AH$2:$AH$1001,MATCH(ROWS($AG$2:AG469),$AG$2:$AG$1001,0),1)&gt;=100000,INDEX($AN$1005:$BO$1005,1,MATCH(COLUMNS($AN$1006:AR1006),$AN$1006:$BO$1006,0))&gt;=100000), " ",IF(INDEX($AN$2:$BO$1001,MATCH(ROWS($AG$2:AG469),$AG$2:$AG$1001,0),MATCH(COLUMNS($AN$1006:AR1006),$AN$1006:$BO$1006,0)), HYPERLINK("#",""), HYPERLINK(CONCATENATE("#Metadata!", ADDRESS(INDEX($AI$2:$AI$1001,MATCH(ROWS($AG$2:AG469),$AG$2:$AG$1001,0),0), INDEX($AN$1004:$BO$1004,1,MATCH(COLUMNS($AN$1006:AR1006),$AN$1006:$BO$1006,0)))),"Fix")))</f>
        <v>0</v>
      </c>
      <c r="G469" s="4">
        <f>IF(OR(INDEX($AH$2:$AH$1001,MATCH(ROWS($AG$2:AG469),$AG$2:$AG$1001,0),1)&gt;=100000,INDEX($AN$1005:$BO$1005,1,MATCH(COLUMNS($AN$1006:AS1006),$AN$1006:$BO$1006,0))&gt;=100000), " ",IF(INDEX($AN$2:$BO$1001,MATCH(ROWS($AG$2:AG469),$AG$2:$AG$1001,0),MATCH(COLUMNS($AN$1006:AS1006),$AN$1006:$BO$1006,0)), HYPERLINK("#",""), HYPERLINK(CONCATENATE("#Metadata!", ADDRESS(INDEX($AI$2:$AI$1001,MATCH(ROWS($AG$2:AG469),$AG$2:$AG$1001,0),0), INDEX($AN$1004:$BO$1004,1,MATCH(COLUMNS($AN$1006:AS1006),$AN$1006:$BO$1006,0)))),"Fix")))</f>
        <v>0</v>
      </c>
      <c r="H469" s="4">
        <f>IF(OR(INDEX($AH$2:$AH$1001,MATCH(ROWS($AG$2:AG469),$AG$2:$AG$1001,0),1)&gt;=100000,INDEX($AN$1005:$BO$1005,1,MATCH(COLUMNS($AN$1006:AT1006),$AN$1006:$BO$1006,0))&gt;=100000), " ",IF(INDEX($AN$2:$BO$1001,MATCH(ROWS($AG$2:AG469),$AG$2:$AG$1001,0),MATCH(COLUMNS($AN$1006:AT1006),$AN$1006:$BO$1006,0)), HYPERLINK("#",""), HYPERLINK(CONCATENATE("#Metadata!", ADDRESS(INDEX($AI$2:$AI$1001,MATCH(ROWS($AG$2:AG469),$AG$2:$AG$1001,0),0), INDEX($AN$1004:$BO$1004,1,MATCH(COLUMNS($AN$1006:AT1006),$AN$1006:$BO$1006,0)))),"Fix")))</f>
        <v>0</v>
      </c>
      <c r="I469" s="4">
        <f>IF(OR(INDEX($AH$2:$AH$1001,MATCH(ROWS($AG$2:AG469),$AG$2:$AG$1001,0),1)&gt;=100000,INDEX($AN$1005:$BO$1005,1,MATCH(COLUMNS($AN$1006:AU1006),$AN$1006:$BO$1006,0))&gt;=100000), " ",IF(INDEX($AN$2:$BO$1001,MATCH(ROWS($AG$2:AG469),$AG$2:$AG$1001,0),MATCH(COLUMNS($AN$1006:AU1006),$AN$1006:$BO$1006,0)), HYPERLINK("#",""), HYPERLINK(CONCATENATE("#Metadata!", ADDRESS(INDEX($AI$2:$AI$1001,MATCH(ROWS($AG$2:AG469),$AG$2:$AG$1001,0),0), INDEX($AN$1004:$BO$1004,1,MATCH(COLUMNS($AN$1006:AU1006),$AN$1006:$BO$1006,0)))),"Fix")))</f>
        <v>0</v>
      </c>
      <c r="J469" s="4">
        <f>IF(OR(INDEX($AH$2:$AH$1001,MATCH(ROWS($AG$2:AG469),$AG$2:$AG$1001,0),1)&gt;=100000,INDEX($AN$1005:$BO$1005,1,MATCH(COLUMNS($AN$1006:AV1006),$AN$1006:$BO$1006,0))&gt;=100000), " ",IF(INDEX($AN$2:$BO$1001,MATCH(ROWS($AG$2:AG469),$AG$2:$AG$1001,0),MATCH(COLUMNS($AN$1006:AV1006),$AN$1006:$BO$1006,0)), HYPERLINK("#",""), HYPERLINK(CONCATENATE("#Metadata!", ADDRESS(INDEX($AI$2:$AI$1001,MATCH(ROWS($AG$2:AG469),$AG$2:$AG$1001,0),0), INDEX($AN$1004:$BO$1004,1,MATCH(COLUMNS($AN$1006:AV1006),$AN$1006:$BO$1006,0)))),"Fix")))</f>
        <v>0</v>
      </c>
      <c r="K469" s="4">
        <f>IF(OR(INDEX($AH$2:$AH$1001,MATCH(ROWS($AG$2:AG469),$AG$2:$AG$1001,0),1)&gt;=100000,INDEX($AN$1005:$BO$1005,1,MATCH(COLUMNS($AN$1006:AW1006),$AN$1006:$BO$1006,0))&gt;=100000), " ",IF(INDEX($AN$2:$BO$1001,MATCH(ROWS($AG$2:AG469),$AG$2:$AG$1001,0),MATCH(COLUMNS($AN$1006:AW1006),$AN$1006:$BO$1006,0)), HYPERLINK("#",""), HYPERLINK(CONCATENATE("#Metadata!", ADDRESS(INDEX($AI$2:$AI$1001,MATCH(ROWS($AG$2:AG469),$AG$2:$AG$1001,0),0), INDEX($AN$1004:$BO$1004,1,MATCH(COLUMNS($AN$1006:AW1006),$AN$1006:$BO$1006,0)))),"Fix")))</f>
        <v>0</v>
      </c>
      <c r="L469" s="4">
        <f>IF(OR(INDEX($AH$2:$AH$1001,MATCH(ROWS($AG$2:AG469),$AG$2:$AG$1001,0),1)&gt;=100000,INDEX($AN$1005:$BO$1005,1,MATCH(COLUMNS($AN$1006:AX1006),$AN$1006:$BO$1006,0))&gt;=100000), " ",IF(INDEX($AN$2:$BO$1001,MATCH(ROWS($AG$2:AG469),$AG$2:$AG$1001,0),MATCH(COLUMNS($AN$1006:AX1006),$AN$1006:$BO$1006,0)), HYPERLINK("#",""), HYPERLINK(CONCATENATE("#Metadata!", ADDRESS(INDEX($AI$2:$AI$1001,MATCH(ROWS($AG$2:AG469),$AG$2:$AG$1001,0),0), INDEX($AN$1004:$BO$1004,1,MATCH(COLUMNS($AN$1006:AX1006),$AN$1006:$BO$1006,0)))),"Fix")))</f>
        <v>0</v>
      </c>
      <c r="M469" s="4">
        <f>IF(OR(INDEX($AH$2:$AH$1001,MATCH(ROWS($AG$2:AG469),$AG$2:$AG$1001,0),1)&gt;=100000,INDEX($AN$1005:$BO$1005,1,MATCH(COLUMNS($AN$1006:AY1006),$AN$1006:$BO$1006,0))&gt;=100000), " ",IF(INDEX($AN$2:$BO$1001,MATCH(ROWS($AG$2:AG469),$AG$2:$AG$1001,0),MATCH(COLUMNS($AN$1006:AY1006),$AN$1006:$BO$1006,0)), HYPERLINK("#",""), HYPERLINK(CONCATENATE("#Metadata!", ADDRESS(INDEX($AI$2:$AI$1001,MATCH(ROWS($AG$2:AG469),$AG$2:$AG$1001,0),0), INDEX($AN$1004:$BO$1004,1,MATCH(COLUMNS($AN$1006:AY1006),$AN$1006:$BO$1006,0)))),"Fix")))</f>
        <v>0</v>
      </c>
      <c r="N469" s="4">
        <f>IF(OR(INDEX($AH$2:$AH$1001,MATCH(ROWS($AG$2:AG469),$AG$2:$AG$1001,0),1)&gt;=100000,INDEX($AN$1005:$BO$1005,1,MATCH(COLUMNS($AN$1006:AZ1006),$AN$1006:$BO$1006,0))&gt;=100000), " ",IF(INDEX($AN$2:$BO$1001,MATCH(ROWS($AG$2:AG469),$AG$2:$AG$1001,0),MATCH(COLUMNS($AN$1006:AZ1006),$AN$1006:$BO$1006,0)), HYPERLINK("#",""), HYPERLINK(CONCATENATE("#Metadata!", ADDRESS(INDEX($AI$2:$AI$1001,MATCH(ROWS($AG$2:AG469),$AG$2:$AG$1001,0),0), INDEX($AN$1004:$BO$1004,1,MATCH(COLUMNS($AN$1006:AZ1006),$AN$1006:$BO$1006,0)))),"Fix")))</f>
        <v>0</v>
      </c>
      <c r="O469" s="4">
        <f>IF(OR(INDEX($AH$2:$AH$1001,MATCH(ROWS($AG$2:AG469),$AG$2:$AG$1001,0),1)&gt;=100000,INDEX($AN$1005:$BO$1005,1,MATCH(COLUMNS($AN$1006:BA1006),$AN$1006:$BO$1006,0))&gt;=100000), " ",IF(INDEX($AN$2:$BO$1001,MATCH(ROWS($AG$2:AG469),$AG$2:$AG$1001,0),MATCH(COLUMNS($AN$1006:BA1006),$AN$1006:$BO$1006,0)), HYPERLINK("#",""), HYPERLINK(CONCATENATE("#Metadata!", ADDRESS(INDEX($AI$2:$AI$1001,MATCH(ROWS($AG$2:AG469),$AG$2:$AG$1001,0),0), INDEX($AN$1004:$BO$1004,1,MATCH(COLUMNS($AN$1006:BA1006),$AN$1006:$BO$1006,0)))),"Fix")))</f>
        <v>0</v>
      </c>
      <c r="P469" s="4">
        <f>IF(OR(INDEX($AH$2:$AH$1001,MATCH(ROWS($AG$2:AG469),$AG$2:$AG$1001,0),1)&gt;=100000,INDEX($AN$1005:$BO$1005,1,MATCH(COLUMNS($AN$1006:BB1006),$AN$1006:$BO$1006,0))&gt;=100000), " ",IF(INDEX($AN$2:$BO$1001,MATCH(ROWS($AG$2:AG469),$AG$2:$AG$1001,0),MATCH(COLUMNS($AN$1006:BB1006),$AN$1006:$BO$1006,0)), HYPERLINK("#",""), HYPERLINK(CONCATENATE("#Metadata!", ADDRESS(INDEX($AI$2:$AI$1001,MATCH(ROWS($AG$2:AG469),$AG$2:$AG$1001,0),0), INDEX($AN$1004:$BO$1004,1,MATCH(COLUMNS($AN$1006:BB1006),$AN$1006:$BO$1006,0)))),"Fix")))</f>
        <v>0</v>
      </c>
      <c r="Q469" s="4">
        <f>IF(OR(INDEX($AH$2:$AH$1001,MATCH(ROWS($AG$2:AG469),$AG$2:$AG$1001,0),1)&gt;=100000,INDEX($AN$1005:$BO$1005,1,MATCH(COLUMNS($AN$1006:BC1006),$AN$1006:$BO$1006,0))&gt;=100000), " ",IF(INDEX($AN$2:$BO$1001,MATCH(ROWS($AG$2:AG469),$AG$2:$AG$1001,0),MATCH(COLUMNS($AN$1006:BC1006),$AN$1006:$BO$1006,0)), HYPERLINK("#",""), HYPERLINK(CONCATENATE("#Metadata!", ADDRESS(INDEX($AI$2:$AI$1001,MATCH(ROWS($AG$2:AG469),$AG$2:$AG$1001,0),0), INDEX($AN$1004:$BO$1004,1,MATCH(COLUMNS($AN$1006:BC1006),$AN$1006:$BO$1006,0)))),"Fix")))</f>
        <v>0</v>
      </c>
      <c r="R469" s="4">
        <f>IF(OR(INDEX($AH$2:$AH$1001,MATCH(ROWS($AG$2:AG469),$AG$2:$AG$1001,0),1)&gt;=100000,INDEX($AN$1005:$BO$1005,1,MATCH(COLUMNS($AN$1006:BD1006),$AN$1006:$BO$1006,0))&gt;=100000), " ",IF(INDEX($AN$2:$BO$1001,MATCH(ROWS($AG$2:AG469),$AG$2:$AG$1001,0),MATCH(COLUMNS($AN$1006:BD1006),$AN$1006:$BO$1006,0)), HYPERLINK("#",""), HYPERLINK(CONCATENATE("#Metadata!", ADDRESS(INDEX($AI$2:$AI$1001,MATCH(ROWS($AG$2:AG469),$AG$2:$AG$1001,0),0), INDEX($AN$1004:$BO$1004,1,MATCH(COLUMNS($AN$1006:BD1006),$AN$1006:$BO$1006,0)))),"Fix")))</f>
        <v>0</v>
      </c>
      <c r="S469" s="4">
        <f>IF(OR(INDEX($AH$2:$AH$1001,MATCH(ROWS($AG$2:AG469),$AG$2:$AG$1001,0),1)&gt;=100000,INDEX($AN$1005:$BO$1005,1,MATCH(COLUMNS($AN$1006:BE1006),$AN$1006:$BO$1006,0))&gt;=100000), " ",IF(INDEX($AN$2:$BO$1001,MATCH(ROWS($AG$2:AG469),$AG$2:$AG$1001,0),MATCH(COLUMNS($AN$1006:BE1006),$AN$1006:$BO$1006,0)), HYPERLINK("#",""), HYPERLINK(CONCATENATE("#Metadata!", ADDRESS(INDEX($AI$2:$AI$1001,MATCH(ROWS($AG$2:AG469),$AG$2:$AG$1001,0),0), INDEX($AN$1004:$BO$1004,1,MATCH(COLUMNS($AN$1006:BE1006),$AN$1006:$BO$1006,0)))),"Fix")))</f>
        <v>0</v>
      </c>
      <c r="T469" s="4">
        <f>IF(OR(INDEX($AH$2:$AH$1001,MATCH(ROWS($AG$2:AG469),$AG$2:$AG$1001,0),1)&gt;=100000,INDEX($AN$1005:$BO$1005,1,MATCH(COLUMNS($AN$1006:BF1006),$AN$1006:$BO$1006,0))&gt;=100000), " ",IF(INDEX($AN$2:$BO$1001,MATCH(ROWS($AG$2:AG469),$AG$2:$AG$1001,0),MATCH(COLUMNS($AN$1006:BF1006),$AN$1006:$BO$1006,0)), HYPERLINK("#",""), HYPERLINK(CONCATENATE("#Metadata!", ADDRESS(INDEX($AI$2:$AI$1001,MATCH(ROWS($AG$2:AG469),$AG$2:$AG$1001,0),0), INDEX($AN$1004:$BO$1004,1,MATCH(COLUMNS($AN$1006:BF1006),$AN$1006:$BO$1006,0)))),"Fix")))</f>
        <v>0</v>
      </c>
      <c r="U469" s="4">
        <f>IF(OR(INDEX($AH$2:$AH$1001,MATCH(ROWS($AG$2:AG469),$AG$2:$AG$1001,0),1)&gt;=100000,INDEX($AN$1005:$BO$1005,1,MATCH(COLUMNS($AN$1006:BG1006),$AN$1006:$BO$1006,0))&gt;=100000), " ",IF(INDEX($AN$2:$BO$1001,MATCH(ROWS($AG$2:AG469),$AG$2:$AG$1001,0),MATCH(COLUMNS($AN$1006:BG1006),$AN$1006:$BO$1006,0)), HYPERLINK("#",""), HYPERLINK(CONCATENATE("#Metadata!", ADDRESS(INDEX($AI$2:$AI$1001,MATCH(ROWS($AG$2:AG469),$AG$2:$AG$1001,0),0), INDEX($AN$1004:$BO$1004,1,MATCH(COLUMNS($AN$1006:BG1006),$AN$1006:$BO$1006,0)))),"Fix")))</f>
        <v>0</v>
      </c>
      <c r="V469" s="4">
        <f>IF(OR(INDEX($AH$2:$AH$1001,MATCH(ROWS($AG$2:AG469),$AG$2:$AG$1001,0),1)&gt;=100000,INDEX($AN$1005:$BO$1005,1,MATCH(COLUMNS($AN$1006:BH1006),$AN$1006:$BO$1006,0))&gt;=100000), " ",IF(INDEX($AN$2:$BO$1001,MATCH(ROWS($AG$2:AG469),$AG$2:$AG$1001,0),MATCH(COLUMNS($AN$1006:BH1006),$AN$1006:$BO$1006,0)), HYPERLINK("#",""), HYPERLINK(CONCATENATE("#Metadata!", ADDRESS(INDEX($AI$2:$AI$1001,MATCH(ROWS($AG$2:AG469),$AG$2:$AG$1001,0),0), INDEX($AN$1004:$BO$1004,1,MATCH(COLUMNS($AN$1006:BH1006),$AN$1006:$BO$1006,0)))),"Fix")))</f>
        <v>0</v>
      </c>
      <c r="W469" s="4">
        <f>IF(OR(INDEX($AH$2:$AH$1001,MATCH(ROWS($AG$2:AG469),$AG$2:$AG$1001,0),1)&gt;=100000,INDEX($AN$1005:$BO$1005,1,MATCH(COLUMNS($AN$1006:BI1006),$AN$1006:$BO$1006,0))&gt;=100000), " ",IF(INDEX($AN$2:$BO$1001,MATCH(ROWS($AG$2:AG469),$AG$2:$AG$1001,0),MATCH(COLUMNS($AN$1006:BI1006),$AN$1006:$BO$1006,0)), HYPERLINK("#",""), HYPERLINK(CONCATENATE("#Metadata!", ADDRESS(INDEX($AI$2:$AI$1001,MATCH(ROWS($AG$2:AG469),$AG$2:$AG$1001,0),0), INDEX($AN$1004:$BO$1004,1,MATCH(COLUMNS($AN$1006:BI1006),$AN$1006:$BO$1006,0)))),"Fix")))</f>
        <v>0</v>
      </c>
      <c r="X469" s="4">
        <f>IF(OR(INDEX($AH$2:$AH$1001,MATCH(ROWS($AG$2:AG469),$AG$2:$AG$1001,0),1)&gt;=100000,INDEX($AN$1005:$BO$1005,1,MATCH(COLUMNS($AN$1006:BJ1006),$AN$1006:$BO$1006,0))&gt;=100000), " ",IF(INDEX($AN$2:$BO$1001,MATCH(ROWS($AG$2:AG469),$AG$2:$AG$1001,0),MATCH(COLUMNS($AN$1006:BJ1006),$AN$1006:$BO$1006,0)), HYPERLINK("#",""), HYPERLINK(CONCATENATE("#Metadata!", ADDRESS(INDEX($AI$2:$AI$1001,MATCH(ROWS($AG$2:AG469),$AG$2:$AG$1001,0),0), INDEX($AN$1004:$BO$1004,1,MATCH(COLUMNS($AN$1006:BJ1006),$AN$1006:$BO$1006,0)))),"Fix")))</f>
        <v>0</v>
      </c>
      <c r="Y469" s="4">
        <f>IF(OR(INDEX($AH$2:$AH$1001,MATCH(ROWS($AG$2:AG469),$AG$2:$AG$1001,0),1)&gt;=100000,INDEX($AN$1005:$BO$1005,1,MATCH(COLUMNS($AN$1006:BK1006),$AN$1006:$BO$1006,0))&gt;=100000), " ",IF(INDEX($AN$2:$BO$1001,MATCH(ROWS($AG$2:AG469),$AG$2:$AG$1001,0),MATCH(COLUMNS($AN$1006:BK1006),$AN$1006:$BO$1006,0)), HYPERLINK("#",""), HYPERLINK(CONCATENATE("#Metadata!", ADDRESS(INDEX($AI$2:$AI$1001,MATCH(ROWS($AG$2:AG469),$AG$2:$AG$1001,0),0), INDEX($AN$1004:$BO$1004,1,MATCH(COLUMNS($AN$1006:BK1006),$AN$1006:$BO$1006,0)))),"Fix")))</f>
        <v>0</v>
      </c>
      <c r="Z469" s="4">
        <f>IF(OR(INDEX($AH$2:$AH$1001,MATCH(ROWS($AG$2:AG469),$AG$2:$AG$1001,0),1)&gt;=100000,INDEX($AN$1005:$BO$1005,1,MATCH(COLUMNS($AN$1006:BL1006),$AN$1006:$BO$1006,0))&gt;=100000), " ",IF(INDEX($AN$2:$BO$1001,MATCH(ROWS($AG$2:AG469),$AG$2:$AG$1001,0),MATCH(COLUMNS($AN$1006:BL1006),$AN$1006:$BO$1006,0)), HYPERLINK("#",""), HYPERLINK(CONCATENATE("#Metadata!", ADDRESS(INDEX($AI$2:$AI$1001,MATCH(ROWS($AG$2:AG469),$AG$2:$AG$1001,0),0), INDEX($AN$1004:$BO$1004,1,MATCH(COLUMNS($AN$1006:BL1006),$AN$1006:$BO$1006,0)))),"Fix")))</f>
        <v>0</v>
      </c>
      <c r="AA469" s="4">
        <f>IF(OR(INDEX($AH$2:$AH$1001,MATCH(ROWS($AG$2:AG469),$AG$2:$AG$1001,0),1)&gt;=100000,INDEX($AN$1005:$BO$1005,1,MATCH(COLUMNS($AN$1006:BM1006),$AN$1006:$BO$1006,0))&gt;=100000), " ",IF(INDEX($AN$2:$BO$1001,MATCH(ROWS($AG$2:AG469),$AG$2:$AG$1001,0),MATCH(COLUMNS($AN$1006:BM1006),$AN$1006:$BO$1006,0)), HYPERLINK("#",""), HYPERLINK(CONCATENATE("#Metadata!", ADDRESS(INDEX($AI$2:$AI$1001,MATCH(ROWS($AG$2:AG469),$AG$2:$AG$1001,0),0), INDEX($AN$1004:$BO$1004,1,MATCH(COLUMNS($AN$1006:BM1006),$AN$1006:$BO$1006,0)))),"Fix")))</f>
        <v>0</v>
      </c>
      <c r="AB469" s="4">
        <f>IF(OR(INDEX($AH$2:$AH$1001,MATCH(ROWS($AG$2:AG469),$AG$2:$AG$1001,0),1)&gt;=100000,INDEX($AN$1005:$BO$1005,1,MATCH(COLUMNS($AN$1006:BN1006),$AN$1006:$BO$1006,0))&gt;=100000), " ",IF(INDEX($AN$2:$BO$1001,MATCH(ROWS($AG$2:AG469),$AG$2:$AG$1001,0),MATCH(COLUMNS($AN$1006:BN1006),$AN$1006:$BO$1006,0)), HYPERLINK("#",""), HYPERLINK(CONCATENATE("#Metadata!", ADDRESS(INDEX($AI$2:$AI$1001,MATCH(ROWS($AG$2:AG469),$AG$2:$AG$1001,0),0), INDEX($AN$1004:$BO$1004,1,MATCH(COLUMNS($AN$1006:BN1006),$AN$1006:$BO$1006,0)))),"Fix")))</f>
        <v>0</v>
      </c>
      <c r="AC469" s="4">
        <f>IF(OR(INDEX($AH$2:$AH$1001,MATCH(ROWS($AG$2:AG469),$AG$2:$AG$1001,0),1)&gt;=100000,INDEX($AN$1005:$BO$1005,1,MATCH(COLUMNS($AN$1006:BO1006),$AN$1006:$BO$1006,0))&gt;=100000), " ",IF(INDEX($AN$2:$BO$1001,MATCH(ROWS($AG$2:AG469),$AG$2:$AG$1001,0),MATCH(COLUMNS($AN$1006:BO1006),$AN$1006:$BO$1006,0)), HYPERLINK("#",""), HYPERLINK(CONCATENATE("#Metadata!", ADDRESS(INDEX($AI$2:$AI$1001,MATCH(ROWS($AG$2:AG469),$AG$2:$AG$1001,0),0), INDEX($AN$1004:$BO$1004,1,MATCH(COLUMNS($AN$1006:BO1006),$AN$1006:$BO$1006,0)))),"Fix")))</f>
        <v>0</v>
      </c>
      <c r="AG469">
        <v>0</v>
      </c>
      <c r="AH469">
        <v>0</v>
      </c>
      <c r="AI469">
        <v>0</v>
      </c>
      <c r="AJ469">
        <f>IF(AK469,TRUE,AND(AN469:BO469))</f>
        <v>0</v>
      </c>
      <c r="AK469">
        <f>COUNTBLANK(Metadata!B469:AC469)=COLUMNS(Metadata!B469:AC469)</f>
        <v>0</v>
      </c>
      <c r="AL469">
        <v>0</v>
      </c>
      <c r="AN469">
        <f>AND(IF(Metadata!B469="",FALSE,TRUE),COUNTIF(Metadata!B:B, Metadata!B469) = 1,NOT(ISERROR(SUMPRODUCT(SEARCH(MID(Metadata!B469,ROW(INDIRECT("1:"&amp;LEN(Metadata!B469))), 1),"0123456789abcdefghijklmnopqrstuvwxyzABCDEFGHIJKLMNOPQRSTUVWXYZ.")))))</f>
        <v>0</v>
      </c>
      <c r="AO469">
        <f>IF(Metadata!C469="",FALSE,TRUE)</f>
        <v>0</v>
      </c>
      <c r="AP469">
        <f>IF(Metadata!D469="",FALSE,TRUE)</f>
        <v>0</v>
      </c>
      <c r="AQ469">
        <f>OR(AND(IF(Metadata!E469="",FALSE,TRUE),OR(exact(Metadata!E469,"not collected"),exact(Metadata!E469,"not provided"),exact(Metadata!E469,"restricted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R469">
        <f>IF(Metadata!F469="",FALSE,TRUE)</f>
        <v>0</v>
      </c>
      <c r="AS469">
        <f>OR(AND(IF(Metadata!G469="",FALSE,TRUE),OR(exact(Metadata!G469,"not collected"),exact(Metadata!G469,"not provided"))),AND(IF(Metadata!G469="",FALSE,TRUE),OR(exact(Metadata!G469,"TRUE"),exact(Metadata!G469,"FALSE"))))</f>
        <v>0</v>
      </c>
      <c r="AT469">
        <f>OR(AND(IF(Metadata!H469="",FALSE,TRUE),OR(exact(Metadata!H469,"not collected"),exact(Metadata!H469,"not provided"),exact(Metadata!H469,"restricted access"))),AND(IF(Metadata!H469="",FALSE,ISNUMBER(VALUE(Metadata!H469))),Metadata!H469&gt;=-413.0))</f>
        <v>0</v>
      </c>
      <c r="AU469">
        <f>AND(IF(Metadata!I469="",FALSE,TRUE),exact(Metadata!I469,"meters"))</f>
        <v>0</v>
      </c>
      <c r="AV469">
        <f>AND(IF(Metadata!J469="",FALSE,TRUE),OR(exact(Metadata!J469,"Host-associated"),exact(Metadata!J469,"Free-living")))</f>
        <v>0</v>
      </c>
      <c r="AW469">
        <f>AND(IF(Metadata!K469="",FALSE,TRUE),OR(exact(Metadata!K469,"Animal"),exact(Metadata!K469,"Fungus"),exact(Metadata!K469,"Plant"),exact(Metadata!K469,"Saline"),exact(Metadata!K469,"Non-saline")))</f>
        <v>0</v>
      </c>
      <c r="AX469">
        <f>AND(IF(Metadata!L469="",FALSE,TRUE),OR(exact(Metadata!L469,"Plant secretion"),exact(Metadata!L469,"Plant rhizosphere"),exact(Metadata!L469,"Plant surface"),exact(Metadata!L469,"Plant corpus"),exact(Metadata!L469,"Fungus surface"),exact(Metadata!L469,"Fungus corpus"),exact(Metadata!L469,"Animal surface"),exact(Metadata!L469,"Animal proximal gut"),exact(Metadata!L469,"Animal corpus"),exact(Metadata!L469,"Animal distal gut"),exact(Metadata!L469,"Animal secretion"),exact(Metadata!L469,"Sub-surface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Y469">
        <f>IF(Metadata!M469="",FALSE,TRUE)</f>
        <v>0</v>
      </c>
      <c r="AZ469">
        <f>IF(Metadata!N469="",FALSE,TRUE)</f>
        <v>0</v>
      </c>
      <c r="BA469">
        <f>IF(Metadata!O469="",FALSE,TRUE)</f>
        <v>0</v>
      </c>
      <c r="BB469">
        <f>OR(AND(IF(Metadata!P469="",FALSE,TRUE),OR(exact(Metadata!P469,"not collected"),exact(Metadata!P469,"not provided"),exact(Metadata!P469,"restricted access"))),AND(IF(Metadata!P469="",FALSE,TRUE),OR(exact(Metadata!P469,"air"),exact(Metadata!P469,"built environment"),exact(Metadata!P469,"host-associated"),exact(Metadata!P469,"human-associated"),exact(Metadata!P469,"human-skin"),exact(Metadata!P469,"human-oral"),exact(Metadata!P469,"human-gut"),exact(Metadata!P469,"human-vaginal"),exact(Metadata!P469,"microbial mat/biofilm"),exact(Metadata!P469,"misc environment"),exact(Metadata!P469,"plant-associated"),exact(Metadata!P469,"sediment"),exact(Metadata!P469,"soil"),exact(Metadata!P469,"wastewater/sludge"),exact(Metadata!P469,"water"))))</f>
        <v>0</v>
      </c>
      <c r="BC469">
        <f>IF(Metadata!Q469="",FALSE,TRUE)</f>
        <v>0</v>
      </c>
      <c r="BD469">
        <f>IF(Metadata!R469="",FALSE,TRUE)</f>
        <v>0</v>
      </c>
      <c r="BE469">
        <f>OR(AND(IF(Metadata!S469="",FALSE,TRUE),OR(exact(Metadata!S469,"not collected"),exact(Metadata!S469,"not provided"),exact(Metadata!S469,"restricted access"))),AND(IF(Metadata!S469="",FALSE,ISNUMBER(VALUE(Metadata!S469))),Metadata!S469&gt;=-90.00,Metadata!S469&lt;=90.00))</f>
        <v>0</v>
      </c>
      <c r="BF469">
        <f>AND(IF(Metadata!T469="",FALSE,TRUE),exact(Metadata!T469,"Decimal degrees"))</f>
        <v>0</v>
      </c>
      <c r="BG469">
        <f>OR(AND(IF(Metadata!U469="",FALSE,TRUE),OR(exact(Metadata!U469,"not collected"),exact(Metadata!U469,"not provided"),exact(Metadata!U469,"restricted access"))),AND(IF(Metadata!U469="",FALSE,ISNUMBER(VALUE(Metadata!U469))),Metadata!U469&gt;=-180.00,Metadata!U469&lt;=180.00))</f>
        <v>0</v>
      </c>
      <c r="BH469">
        <f>AND(IF(Metadata!V469="",FALSE,TRUE),exact(Metadata!V469,"Decimal degrees"))</f>
        <v>0</v>
      </c>
      <c r="BI469">
        <f>IF(Metadata!W469="",FALSE,TRUE)</f>
        <v>0</v>
      </c>
      <c r="BJ469">
        <f>OR(AND(IF(Metadata!X469="",FALSE,TRUE),OR(exact(Metadata!X469,"not collected"),exact(Metadata!X469,"not provided"),exact(Metadata!X469,"restricted access"))),AND(IF(Metadata!X469="",FALSE,TRUE),OR(exact(Metadata!X469,"TRUE"),exact(Metadata!X469,"FALSE"))))</f>
        <v>0</v>
      </c>
      <c r="BK469">
        <f>AND(IF(Metadata!Y469="",FALSE,TRUE),exact(Metadata!Y469,"other"))</f>
        <v>0</v>
      </c>
      <c r="BL469">
        <f>IF(Metadata!Z469="",FALSE,TRUE)</f>
        <v>0</v>
      </c>
      <c r="BM469">
        <f>OR(AND(IF(Metadata!AA469="",FALSE,TRUE),OR(exact(Metadata!AA469,"not collected"),exact(Metadata!AA469,"not provided"))),AND(IF(Metadata!AA469="",FALSE,IF(ISERROR(INT(Metadata!AA469)),FALSE,INT(Metadata!AA469)=Metadata!AA469)),Metadata!AA469&gt;0))</f>
        <v>0</v>
      </c>
      <c r="BN469">
        <f>AND(IF(Metadata!AB469="",FALSE,TRUE),exact(Metadata!AB469,"Not applicable"))</f>
        <v>0</v>
      </c>
      <c r="BO469">
        <f>IF(Metadata!AC469="",FALSE,TRUE)</f>
        <v>0</v>
      </c>
    </row>
    <row r="470" spans="1:67">
      <c r="A470" s="5">
        <f>IF(B470=" "," ",HYPERLINK(CONCATENATE("#metadata!",ADDRESS(INDEX($AI$2:$AI$1001,MATCH(ROWS($AG$2:AG470),$AG$2:$AG$1001,0),0),1)),INDEX($AL$2:$AL$1001,MATCH(ROWS($AG$2:AG470),$AG$2:$AG$1001,0),0)))</f>
        <v>0</v>
      </c>
      <c r="B470" s="4">
        <f>IF(OR(INDEX($AH$2:$AH$1001,MATCH(ROWS($AG$2:AG470),$AG$2:$AG$1001,0),1)&gt;=100000,INDEX($AN$1005:$BO$1005,1,MATCH(COLUMNS($AN$1006:AN1006),$AN$1006:$BO$1006,0))&gt;=100000), " ",IF(INDEX($AN$2:$BO$1001,MATCH(ROWS($AG$2:AG470),$AG$2:$AG$1001,0),MATCH(COLUMNS($AN$1006:AN1006),$AN$1006:$BO$1006,0)), HYPERLINK("#",""), HYPERLINK(CONCATENATE("#Metadata!", ADDRESS(INDEX($AI$2:$AI$1001,MATCH(ROWS($AG$2:AG470),$AG$2:$AG$1001,0),0), INDEX($AN$1004:$BO$1004,1,MATCH(COLUMNS($AN$1006:AN1006),$AN$1006:$BO$1006,0)))),"Fix")))</f>
        <v>0</v>
      </c>
      <c r="C470" s="4">
        <f>IF(OR(INDEX($AH$2:$AH$1001,MATCH(ROWS($AG$2:AG470),$AG$2:$AG$1001,0),1)&gt;=100000,INDEX($AN$1005:$BO$1005,1,MATCH(COLUMNS($AN$1006:AO1006),$AN$1006:$BO$1006,0))&gt;=100000), " ",IF(INDEX($AN$2:$BO$1001,MATCH(ROWS($AG$2:AG470),$AG$2:$AG$1001,0),MATCH(COLUMNS($AN$1006:AO1006),$AN$1006:$BO$1006,0)), HYPERLINK("#",""), HYPERLINK(CONCATENATE("#Metadata!", ADDRESS(INDEX($AI$2:$AI$1001,MATCH(ROWS($AG$2:AG470),$AG$2:$AG$1001,0),0), INDEX($AN$1004:$BO$1004,1,MATCH(COLUMNS($AN$1006:AO1006),$AN$1006:$BO$1006,0)))),"Fix")))</f>
        <v>0</v>
      </c>
      <c r="D470" s="4">
        <f>IF(OR(INDEX($AH$2:$AH$1001,MATCH(ROWS($AG$2:AG470),$AG$2:$AG$1001,0),1)&gt;=100000,INDEX($AN$1005:$BO$1005,1,MATCH(COLUMNS($AN$1006:AP1006),$AN$1006:$BO$1006,0))&gt;=100000), " ",IF(INDEX($AN$2:$BO$1001,MATCH(ROWS($AG$2:AG470),$AG$2:$AG$1001,0),MATCH(COLUMNS($AN$1006:AP1006),$AN$1006:$BO$1006,0)), HYPERLINK("#",""), HYPERLINK(CONCATENATE("#Metadata!", ADDRESS(INDEX($AI$2:$AI$1001,MATCH(ROWS($AG$2:AG470),$AG$2:$AG$1001,0),0), INDEX($AN$1004:$BO$1004,1,MATCH(COLUMNS($AN$1006:AP1006),$AN$1006:$BO$1006,0)))),"Fix")))</f>
        <v>0</v>
      </c>
      <c r="E470" s="4">
        <f>IF(OR(INDEX($AH$2:$AH$1001,MATCH(ROWS($AG$2:AG470),$AG$2:$AG$1001,0),1)&gt;=100000,INDEX($AN$1005:$BO$1005,1,MATCH(COLUMNS($AN$1006:AQ1006),$AN$1006:$BO$1006,0))&gt;=100000), " ",IF(INDEX($AN$2:$BO$1001,MATCH(ROWS($AG$2:AG470),$AG$2:$AG$1001,0),MATCH(COLUMNS($AN$1006:AQ1006),$AN$1006:$BO$1006,0)), HYPERLINK("#",""), HYPERLINK(CONCATENATE("#Metadata!", ADDRESS(INDEX($AI$2:$AI$1001,MATCH(ROWS($AG$2:AG470),$AG$2:$AG$1001,0),0), INDEX($AN$1004:$BO$1004,1,MATCH(COLUMNS($AN$1006:AQ1006),$AN$1006:$BO$1006,0)))),"Fix")))</f>
        <v>0</v>
      </c>
      <c r="F470" s="4">
        <f>IF(OR(INDEX($AH$2:$AH$1001,MATCH(ROWS($AG$2:AG470),$AG$2:$AG$1001,0),1)&gt;=100000,INDEX($AN$1005:$BO$1005,1,MATCH(COLUMNS($AN$1006:AR1006),$AN$1006:$BO$1006,0))&gt;=100000), " ",IF(INDEX($AN$2:$BO$1001,MATCH(ROWS($AG$2:AG470),$AG$2:$AG$1001,0),MATCH(COLUMNS($AN$1006:AR1006),$AN$1006:$BO$1006,0)), HYPERLINK("#",""), HYPERLINK(CONCATENATE("#Metadata!", ADDRESS(INDEX($AI$2:$AI$1001,MATCH(ROWS($AG$2:AG470),$AG$2:$AG$1001,0),0), INDEX($AN$1004:$BO$1004,1,MATCH(COLUMNS($AN$1006:AR1006),$AN$1006:$BO$1006,0)))),"Fix")))</f>
        <v>0</v>
      </c>
      <c r="G470" s="4">
        <f>IF(OR(INDEX($AH$2:$AH$1001,MATCH(ROWS($AG$2:AG470),$AG$2:$AG$1001,0),1)&gt;=100000,INDEX($AN$1005:$BO$1005,1,MATCH(COLUMNS($AN$1006:AS1006),$AN$1006:$BO$1006,0))&gt;=100000), " ",IF(INDEX($AN$2:$BO$1001,MATCH(ROWS($AG$2:AG470),$AG$2:$AG$1001,0),MATCH(COLUMNS($AN$1006:AS1006),$AN$1006:$BO$1006,0)), HYPERLINK("#",""), HYPERLINK(CONCATENATE("#Metadata!", ADDRESS(INDEX($AI$2:$AI$1001,MATCH(ROWS($AG$2:AG470),$AG$2:$AG$1001,0),0), INDEX($AN$1004:$BO$1004,1,MATCH(COLUMNS($AN$1006:AS1006),$AN$1006:$BO$1006,0)))),"Fix")))</f>
        <v>0</v>
      </c>
      <c r="H470" s="4">
        <f>IF(OR(INDEX($AH$2:$AH$1001,MATCH(ROWS($AG$2:AG470),$AG$2:$AG$1001,0),1)&gt;=100000,INDEX($AN$1005:$BO$1005,1,MATCH(COLUMNS($AN$1006:AT1006),$AN$1006:$BO$1006,0))&gt;=100000), " ",IF(INDEX($AN$2:$BO$1001,MATCH(ROWS($AG$2:AG470),$AG$2:$AG$1001,0),MATCH(COLUMNS($AN$1006:AT1006),$AN$1006:$BO$1006,0)), HYPERLINK("#",""), HYPERLINK(CONCATENATE("#Metadata!", ADDRESS(INDEX($AI$2:$AI$1001,MATCH(ROWS($AG$2:AG470),$AG$2:$AG$1001,0),0), INDEX($AN$1004:$BO$1004,1,MATCH(COLUMNS($AN$1006:AT1006),$AN$1006:$BO$1006,0)))),"Fix")))</f>
        <v>0</v>
      </c>
      <c r="I470" s="4">
        <f>IF(OR(INDEX($AH$2:$AH$1001,MATCH(ROWS($AG$2:AG470),$AG$2:$AG$1001,0),1)&gt;=100000,INDEX($AN$1005:$BO$1005,1,MATCH(COLUMNS($AN$1006:AU1006),$AN$1006:$BO$1006,0))&gt;=100000), " ",IF(INDEX($AN$2:$BO$1001,MATCH(ROWS($AG$2:AG470),$AG$2:$AG$1001,0),MATCH(COLUMNS($AN$1006:AU1006),$AN$1006:$BO$1006,0)), HYPERLINK("#",""), HYPERLINK(CONCATENATE("#Metadata!", ADDRESS(INDEX($AI$2:$AI$1001,MATCH(ROWS($AG$2:AG470),$AG$2:$AG$1001,0),0), INDEX($AN$1004:$BO$1004,1,MATCH(COLUMNS($AN$1006:AU1006),$AN$1006:$BO$1006,0)))),"Fix")))</f>
        <v>0</v>
      </c>
      <c r="J470" s="4">
        <f>IF(OR(INDEX($AH$2:$AH$1001,MATCH(ROWS($AG$2:AG470),$AG$2:$AG$1001,0),1)&gt;=100000,INDEX($AN$1005:$BO$1005,1,MATCH(COLUMNS($AN$1006:AV1006),$AN$1006:$BO$1006,0))&gt;=100000), " ",IF(INDEX($AN$2:$BO$1001,MATCH(ROWS($AG$2:AG470),$AG$2:$AG$1001,0),MATCH(COLUMNS($AN$1006:AV1006),$AN$1006:$BO$1006,0)), HYPERLINK("#",""), HYPERLINK(CONCATENATE("#Metadata!", ADDRESS(INDEX($AI$2:$AI$1001,MATCH(ROWS($AG$2:AG470),$AG$2:$AG$1001,0),0), INDEX($AN$1004:$BO$1004,1,MATCH(COLUMNS($AN$1006:AV1006),$AN$1006:$BO$1006,0)))),"Fix")))</f>
        <v>0</v>
      </c>
      <c r="K470" s="4">
        <f>IF(OR(INDEX($AH$2:$AH$1001,MATCH(ROWS($AG$2:AG470),$AG$2:$AG$1001,0),1)&gt;=100000,INDEX($AN$1005:$BO$1005,1,MATCH(COLUMNS($AN$1006:AW1006),$AN$1006:$BO$1006,0))&gt;=100000), " ",IF(INDEX($AN$2:$BO$1001,MATCH(ROWS($AG$2:AG470),$AG$2:$AG$1001,0),MATCH(COLUMNS($AN$1006:AW1006),$AN$1006:$BO$1006,0)), HYPERLINK("#",""), HYPERLINK(CONCATENATE("#Metadata!", ADDRESS(INDEX($AI$2:$AI$1001,MATCH(ROWS($AG$2:AG470),$AG$2:$AG$1001,0),0), INDEX($AN$1004:$BO$1004,1,MATCH(COLUMNS($AN$1006:AW1006),$AN$1006:$BO$1006,0)))),"Fix")))</f>
        <v>0</v>
      </c>
      <c r="L470" s="4">
        <f>IF(OR(INDEX($AH$2:$AH$1001,MATCH(ROWS($AG$2:AG470),$AG$2:$AG$1001,0),1)&gt;=100000,INDEX($AN$1005:$BO$1005,1,MATCH(COLUMNS($AN$1006:AX1006),$AN$1006:$BO$1006,0))&gt;=100000), " ",IF(INDEX($AN$2:$BO$1001,MATCH(ROWS($AG$2:AG470),$AG$2:$AG$1001,0),MATCH(COLUMNS($AN$1006:AX1006),$AN$1006:$BO$1006,0)), HYPERLINK("#",""), HYPERLINK(CONCATENATE("#Metadata!", ADDRESS(INDEX($AI$2:$AI$1001,MATCH(ROWS($AG$2:AG470),$AG$2:$AG$1001,0),0), INDEX($AN$1004:$BO$1004,1,MATCH(COLUMNS($AN$1006:AX1006),$AN$1006:$BO$1006,0)))),"Fix")))</f>
        <v>0</v>
      </c>
      <c r="M470" s="4">
        <f>IF(OR(INDEX($AH$2:$AH$1001,MATCH(ROWS($AG$2:AG470),$AG$2:$AG$1001,0),1)&gt;=100000,INDEX($AN$1005:$BO$1005,1,MATCH(COLUMNS($AN$1006:AY1006),$AN$1006:$BO$1006,0))&gt;=100000), " ",IF(INDEX($AN$2:$BO$1001,MATCH(ROWS($AG$2:AG470),$AG$2:$AG$1001,0),MATCH(COLUMNS($AN$1006:AY1006),$AN$1006:$BO$1006,0)), HYPERLINK("#",""), HYPERLINK(CONCATENATE("#Metadata!", ADDRESS(INDEX($AI$2:$AI$1001,MATCH(ROWS($AG$2:AG470),$AG$2:$AG$1001,0),0), INDEX($AN$1004:$BO$1004,1,MATCH(COLUMNS($AN$1006:AY1006),$AN$1006:$BO$1006,0)))),"Fix")))</f>
        <v>0</v>
      </c>
      <c r="N470" s="4">
        <f>IF(OR(INDEX($AH$2:$AH$1001,MATCH(ROWS($AG$2:AG470),$AG$2:$AG$1001,0),1)&gt;=100000,INDEX($AN$1005:$BO$1005,1,MATCH(COLUMNS($AN$1006:AZ1006),$AN$1006:$BO$1006,0))&gt;=100000), " ",IF(INDEX($AN$2:$BO$1001,MATCH(ROWS($AG$2:AG470),$AG$2:$AG$1001,0),MATCH(COLUMNS($AN$1006:AZ1006),$AN$1006:$BO$1006,0)), HYPERLINK("#",""), HYPERLINK(CONCATENATE("#Metadata!", ADDRESS(INDEX($AI$2:$AI$1001,MATCH(ROWS($AG$2:AG470),$AG$2:$AG$1001,0),0), INDEX($AN$1004:$BO$1004,1,MATCH(COLUMNS($AN$1006:AZ1006),$AN$1006:$BO$1006,0)))),"Fix")))</f>
        <v>0</v>
      </c>
      <c r="O470" s="4">
        <f>IF(OR(INDEX($AH$2:$AH$1001,MATCH(ROWS($AG$2:AG470),$AG$2:$AG$1001,0),1)&gt;=100000,INDEX($AN$1005:$BO$1005,1,MATCH(COLUMNS($AN$1006:BA1006),$AN$1006:$BO$1006,0))&gt;=100000), " ",IF(INDEX($AN$2:$BO$1001,MATCH(ROWS($AG$2:AG470),$AG$2:$AG$1001,0),MATCH(COLUMNS($AN$1006:BA1006),$AN$1006:$BO$1006,0)), HYPERLINK("#",""), HYPERLINK(CONCATENATE("#Metadata!", ADDRESS(INDEX($AI$2:$AI$1001,MATCH(ROWS($AG$2:AG470),$AG$2:$AG$1001,0),0), INDEX($AN$1004:$BO$1004,1,MATCH(COLUMNS($AN$1006:BA1006),$AN$1006:$BO$1006,0)))),"Fix")))</f>
        <v>0</v>
      </c>
      <c r="P470" s="4">
        <f>IF(OR(INDEX($AH$2:$AH$1001,MATCH(ROWS($AG$2:AG470),$AG$2:$AG$1001,0),1)&gt;=100000,INDEX($AN$1005:$BO$1005,1,MATCH(COLUMNS($AN$1006:BB1006),$AN$1006:$BO$1006,0))&gt;=100000), " ",IF(INDEX($AN$2:$BO$1001,MATCH(ROWS($AG$2:AG470),$AG$2:$AG$1001,0),MATCH(COLUMNS($AN$1006:BB1006),$AN$1006:$BO$1006,0)), HYPERLINK("#",""), HYPERLINK(CONCATENATE("#Metadata!", ADDRESS(INDEX($AI$2:$AI$1001,MATCH(ROWS($AG$2:AG470),$AG$2:$AG$1001,0),0), INDEX($AN$1004:$BO$1004,1,MATCH(COLUMNS($AN$1006:BB1006),$AN$1006:$BO$1006,0)))),"Fix")))</f>
        <v>0</v>
      </c>
      <c r="Q470" s="4">
        <f>IF(OR(INDEX($AH$2:$AH$1001,MATCH(ROWS($AG$2:AG470),$AG$2:$AG$1001,0),1)&gt;=100000,INDEX($AN$1005:$BO$1005,1,MATCH(COLUMNS($AN$1006:BC1006),$AN$1006:$BO$1006,0))&gt;=100000), " ",IF(INDEX($AN$2:$BO$1001,MATCH(ROWS($AG$2:AG470),$AG$2:$AG$1001,0),MATCH(COLUMNS($AN$1006:BC1006),$AN$1006:$BO$1006,0)), HYPERLINK("#",""), HYPERLINK(CONCATENATE("#Metadata!", ADDRESS(INDEX($AI$2:$AI$1001,MATCH(ROWS($AG$2:AG470),$AG$2:$AG$1001,0),0), INDEX($AN$1004:$BO$1004,1,MATCH(COLUMNS($AN$1006:BC1006),$AN$1006:$BO$1006,0)))),"Fix")))</f>
        <v>0</v>
      </c>
      <c r="R470" s="4">
        <f>IF(OR(INDEX($AH$2:$AH$1001,MATCH(ROWS($AG$2:AG470),$AG$2:$AG$1001,0),1)&gt;=100000,INDEX($AN$1005:$BO$1005,1,MATCH(COLUMNS($AN$1006:BD1006),$AN$1006:$BO$1006,0))&gt;=100000), " ",IF(INDEX($AN$2:$BO$1001,MATCH(ROWS($AG$2:AG470),$AG$2:$AG$1001,0),MATCH(COLUMNS($AN$1006:BD1006),$AN$1006:$BO$1006,0)), HYPERLINK("#",""), HYPERLINK(CONCATENATE("#Metadata!", ADDRESS(INDEX($AI$2:$AI$1001,MATCH(ROWS($AG$2:AG470),$AG$2:$AG$1001,0),0), INDEX($AN$1004:$BO$1004,1,MATCH(COLUMNS($AN$1006:BD1006),$AN$1006:$BO$1006,0)))),"Fix")))</f>
        <v>0</v>
      </c>
      <c r="S470" s="4">
        <f>IF(OR(INDEX($AH$2:$AH$1001,MATCH(ROWS($AG$2:AG470),$AG$2:$AG$1001,0),1)&gt;=100000,INDEX($AN$1005:$BO$1005,1,MATCH(COLUMNS($AN$1006:BE1006),$AN$1006:$BO$1006,0))&gt;=100000), " ",IF(INDEX($AN$2:$BO$1001,MATCH(ROWS($AG$2:AG470),$AG$2:$AG$1001,0),MATCH(COLUMNS($AN$1006:BE1006),$AN$1006:$BO$1006,0)), HYPERLINK("#",""), HYPERLINK(CONCATENATE("#Metadata!", ADDRESS(INDEX($AI$2:$AI$1001,MATCH(ROWS($AG$2:AG470),$AG$2:$AG$1001,0),0), INDEX($AN$1004:$BO$1004,1,MATCH(COLUMNS($AN$1006:BE1006),$AN$1006:$BO$1006,0)))),"Fix")))</f>
        <v>0</v>
      </c>
      <c r="T470" s="4">
        <f>IF(OR(INDEX($AH$2:$AH$1001,MATCH(ROWS($AG$2:AG470),$AG$2:$AG$1001,0),1)&gt;=100000,INDEX($AN$1005:$BO$1005,1,MATCH(COLUMNS($AN$1006:BF1006),$AN$1006:$BO$1006,0))&gt;=100000), " ",IF(INDEX($AN$2:$BO$1001,MATCH(ROWS($AG$2:AG470),$AG$2:$AG$1001,0),MATCH(COLUMNS($AN$1006:BF1006),$AN$1006:$BO$1006,0)), HYPERLINK("#",""), HYPERLINK(CONCATENATE("#Metadata!", ADDRESS(INDEX($AI$2:$AI$1001,MATCH(ROWS($AG$2:AG470),$AG$2:$AG$1001,0),0), INDEX($AN$1004:$BO$1004,1,MATCH(COLUMNS($AN$1006:BF1006),$AN$1006:$BO$1006,0)))),"Fix")))</f>
        <v>0</v>
      </c>
      <c r="U470" s="4">
        <f>IF(OR(INDEX($AH$2:$AH$1001,MATCH(ROWS($AG$2:AG470),$AG$2:$AG$1001,0),1)&gt;=100000,INDEX($AN$1005:$BO$1005,1,MATCH(COLUMNS($AN$1006:BG1006),$AN$1006:$BO$1006,0))&gt;=100000), " ",IF(INDEX($AN$2:$BO$1001,MATCH(ROWS($AG$2:AG470),$AG$2:$AG$1001,0),MATCH(COLUMNS($AN$1006:BG1006),$AN$1006:$BO$1006,0)), HYPERLINK("#",""), HYPERLINK(CONCATENATE("#Metadata!", ADDRESS(INDEX($AI$2:$AI$1001,MATCH(ROWS($AG$2:AG470),$AG$2:$AG$1001,0),0), INDEX($AN$1004:$BO$1004,1,MATCH(COLUMNS($AN$1006:BG1006),$AN$1006:$BO$1006,0)))),"Fix")))</f>
        <v>0</v>
      </c>
      <c r="V470" s="4">
        <f>IF(OR(INDEX($AH$2:$AH$1001,MATCH(ROWS($AG$2:AG470),$AG$2:$AG$1001,0),1)&gt;=100000,INDEX($AN$1005:$BO$1005,1,MATCH(COLUMNS($AN$1006:BH1006),$AN$1006:$BO$1006,0))&gt;=100000), " ",IF(INDEX($AN$2:$BO$1001,MATCH(ROWS($AG$2:AG470),$AG$2:$AG$1001,0),MATCH(COLUMNS($AN$1006:BH1006),$AN$1006:$BO$1006,0)), HYPERLINK("#",""), HYPERLINK(CONCATENATE("#Metadata!", ADDRESS(INDEX($AI$2:$AI$1001,MATCH(ROWS($AG$2:AG470),$AG$2:$AG$1001,0),0), INDEX($AN$1004:$BO$1004,1,MATCH(COLUMNS($AN$1006:BH1006),$AN$1006:$BO$1006,0)))),"Fix")))</f>
        <v>0</v>
      </c>
      <c r="W470" s="4">
        <f>IF(OR(INDEX($AH$2:$AH$1001,MATCH(ROWS($AG$2:AG470),$AG$2:$AG$1001,0),1)&gt;=100000,INDEX($AN$1005:$BO$1005,1,MATCH(COLUMNS($AN$1006:BI1006),$AN$1006:$BO$1006,0))&gt;=100000), " ",IF(INDEX($AN$2:$BO$1001,MATCH(ROWS($AG$2:AG470),$AG$2:$AG$1001,0),MATCH(COLUMNS($AN$1006:BI1006),$AN$1006:$BO$1006,0)), HYPERLINK("#",""), HYPERLINK(CONCATENATE("#Metadata!", ADDRESS(INDEX($AI$2:$AI$1001,MATCH(ROWS($AG$2:AG470),$AG$2:$AG$1001,0),0), INDEX($AN$1004:$BO$1004,1,MATCH(COLUMNS($AN$1006:BI1006),$AN$1006:$BO$1006,0)))),"Fix")))</f>
        <v>0</v>
      </c>
      <c r="X470" s="4">
        <f>IF(OR(INDEX($AH$2:$AH$1001,MATCH(ROWS($AG$2:AG470),$AG$2:$AG$1001,0),1)&gt;=100000,INDEX($AN$1005:$BO$1005,1,MATCH(COLUMNS($AN$1006:BJ1006),$AN$1006:$BO$1006,0))&gt;=100000), " ",IF(INDEX($AN$2:$BO$1001,MATCH(ROWS($AG$2:AG470),$AG$2:$AG$1001,0),MATCH(COLUMNS($AN$1006:BJ1006),$AN$1006:$BO$1006,0)), HYPERLINK("#",""), HYPERLINK(CONCATENATE("#Metadata!", ADDRESS(INDEX($AI$2:$AI$1001,MATCH(ROWS($AG$2:AG470),$AG$2:$AG$1001,0),0), INDEX($AN$1004:$BO$1004,1,MATCH(COLUMNS($AN$1006:BJ1006),$AN$1006:$BO$1006,0)))),"Fix")))</f>
        <v>0</v>
      </c>
      <c r="Y470" s="4">
        <f>IF(OR(INDEX($AH$2:$AH$1001,MATCH(ROWS($AG$2:AG470),$AG$2:$AG$1001,0),1)&gt;=100000,INDEX($AN$1005:$BO$1005,1,MATCH(COLUMNS($AN$1006:BK1006),$AN$1006:$BO$1006,0))&gt;=100000), " ",IF(INDEX($AN$2:$BO$1001,MATCH(ROWS($AG$2:AG470),$AG$2:$AG$1001,0),MATCH(COLUMNS($AN$1006:BK1006),$AN$1006:$BO$1006,0)), HYPERLINK("#",""), HYPERLINK(CONCATENATE("#Metadata!", ADDRESS(INDEX($AI$2:$AI$1001,MATCH(ROWS($AG$2:AG470),$AG$2:$AG$1001,0),0), INDEX($AN$1004:$BO$1004,1,MATCH(COLUMNS($AN$1006:BK1006),$AN$1006:$BO$1006,0)))),"Fix")))</f>
        <v>0</v>
      </c>
      <c r="Z470" s="4">
        <f>IF(OR(INDEX($AH$2:$AH$1001,MATCH(ROWS($AG$2:AG470),$AG$2:$AG$1001,0),1)&gt;=100000,INDEX($AN$1005:$BO$1005,1,MATCH(COLUMNS($AN$1006:BL1006),$AN$1006:$BO$1006,0))&gt;=100000), " ",IF(INDEX($AN$2:$BO$1001,MATCH(ROWS($AG$2:AG470),$AG$2:$AG$1001,0),MATCH(COLUMNS($AN$1006:BL1006),$AN$1006:$BO$1006,0)), HYPERLINK("#",""), HYPERLINK(CONCATENATE("#Metadata!", ADDRESS(INDEX($AI$2:$AI$1001,MATCH(ROWS($AG$2:AG470),$AG$2:$AG$1001,0),0), INDEX($AN$1004:$BO$1004,1,MATCH(COLUMNS($AN$1006:BL1006),$AN$1006:$BO$1006,0)))),"Fix")))</f>
        <v>0</v>
      </c>
      <c r="AA470" s="4">
        <f>IF(OR(INDEX($AH$2:$AH$1001,MATCH(ROWS($AG$2:AG470),$AG$2:$AG$1001,0),1)&gt;=100000,INDEX($AN$1005:$BO$1005,1,MATCH(COLUMNS($AN$1006:BM1006),$AN$1006:$BO$1006,0))&gt;=100000), " ",IF(INDEX($AN$2:$BO$1001,MATCH(ROWS($AG$2:AG470),$AG$2:$AG$1001,0),MATCH(COLUMNS($AN$1006:BM1006),$AN$1006:$BO$1006,0)), HYPERLINK("#",""), HYPERLINK(CONCATENATE("#Metadata!", ADDRESS(INDEX($AI$2:$AI$1001,MATCH(ROWS($AG$2:AG470),$AG$2:$AG$1001,0),0), INDEX($AN$1004:$BO$1004,1,MATCH(COLUMNS($AN$1006:BM1006),$AN$1006:$BO$1006,0)))),"Fix")))</f>
        <v>0</v>
      </c>
      <c r="AB470" s="4">
        <f>IF(OR(INDEX($AH$2:$AH$1001,MATCH(ROWS($AG$2:AG470),$AG$2:$AG$1001,0),1)&gt;=100000,INDEX($AN$1005:$BO$1005,1,MATCH(COLUMNS($AN$1006:BN1006),$AN$1006:$BO$1006,0))&gt;=100000), " ",IF(INDEX($AN$2:$BO$1001,MATCH(ROWS($AG$2:AG470),$AG$2:$AG$1001,0),MATCH(COLUMNS($AN$1006:BN1006),$AN$1006:$BO$1006,0)), HYPERLINK("#",""), HYPERLINK(CONCATENATE("#Metadata!", ADDRESS(INDEX($AI$2:$AI$1001,MATCH(ROWS($AG$2:AG470),$AG$2:$AG$1001,0),0), INDEX($AN$1004:$BO$1004,1,MATCH(COLUMNS($AN$1006:BN1006),$AN$1006:$BO$1006,0)))),"Fix")))</f>
        <v>0</v>
      </c>
      <c r="AC470" s="4">
        <f>IF(OR(INDEX($AH$2:$AH$1001,MATCH(ROWS($AG$2:AG470),$AG$2:$AG$1001,0),1)&gt;=100000,INDEX($AN$1005:$BO$1005,1,MATCH(COLUMNS($AN$1006:BO1006),$AN$1006:$BO$1006,0))&gt;=100000), " ",IF(INDEX($AN$2:$BO$1001,MATCH(ROWS($AG$2:AG470),$AG$2:$AG$1001,0),MATCH(COLUMNS($AN$1006:BO1006),$AN$1006:$BO$1006,0)), HYPERLINK("#",""), HYPERLINK(CONCATENATE("#Metadata!", ADDRESS(INDEX($AI$2:$AI$1001,MATCH(ROWS($AG$2:AG470),$AG$2:$AG$1001,0),0), INDEX($AN$1004:$BO$1004,1,MATCH(COLUMNS($AN$1006:BO1006),$AN$1006:$BO$1006,0)))),"Fix")))</f>
        <v>0</v>
      </c>
      <c r="AG470">
        <v>0</v>
      </c>
      <c r="AH470">
        <v>0</v>
      </c>
      <c r="AI470">
        <v>0</v>
      </c>
      <c r="AJ470">
        <f>IF(AK470,TRUE,AND(AN470:BO470))</f>
        <v>0</v>
      </c>
      <c r="AK470">
        <f>COUNTBLANK(Metadata!B470:AC470)=COLUMNS(Metadata!B470:AC470)</f>
        <v>0</v>
      </c>
      <c r="AL470">
        <v>0</v>
      </c>
      <c r="AN470">
        <f>AND(IF(Metadata!B470="",FALSE,TRUE),COUNTIF(Metadata!B:B, Metadata!B470) = 1,NOT(ISERROR(SUMPRODUCT(SEARCH(MID(Metadata!B470,ROW(INDIRECT("1:"&amp;LEN(Metadata!B470))), 1),"0123456789abcdefghijklmnopqrstuvwxyzABCDEFGHIJKLMNOPQRSTUVWXYZ.")))))</f>
        <v>0</v>
      </c>
      <c r="AO470">
        <f>IF(Metadata!C470="",FALSE,TRUE)</f>
        <v>0</v>
      </c>
      <c r="AP470">
        <f>IF(Metadata!D470="",FALSE,TRUE)</f>
        <v>0</v>
      </c>
      <c r="AQ470">
        <f>OR(AND(IF(Metadata!E470="",FALSE,TRUE),OR(exact(Metadata!E470,"not collected"),exact(Metadata!E470,"not provided"),exact(Metadata!E470,"restricted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R470">
        <f>IF(Metadata!F470="",FALSE,TRUE)</f>
        <v>0</v>
      </c>
      <c r="AS470">
        <f>OR(AND(IF(Metadata!G470="",FALSE,TRUE),OR(exact(Metadata!G470,"not collected"),exact(Metadata!G470,"not provided"))),AND(IF(Metadata!G470="",FALSE,TRUE),OR(exact(Metadata!G470,"TRUE"),exact(Metadata!G470,"FALSE"))))</f>
        <v>0</v>
      </c>
      <c r="AT470">
        <f>OR(AND(IF(Metadata!H470="",FALSE,TRUE),OR(exact(Metadata!H470,"not collected"),exact(Metadata!H470,"not provided"),exact(Metadata!H470,"restricted access"))),AND(IF(Metadata!H470="",FALSE,ISNUMBER(VALUE(Metadata!H470))),Metadata!H470&gt;=-413.0))</f>
        <v>0</v>
      </c>
      <c r="AU470">
        <f>AND(IF(Metadata!I470="",FALSE,TRUE),exact(Metadata!I470,"meters"))</f>
        <v>0</v>
      </c>
      <c r="AV470">
        <f>AND(IF(Metadata!J470="",FALSE,TRUE),OR(exact(Metadata!J470,"Host-associated"),exact(Metadata!J470,"Free-living")))</f>
        <v>0</v>
      </c>
      <c r="AW470">
        <f>AND(IF(Metadata!K470="",FALSE,TRUE),OR(exact(Metadata!K470,"Animal"),exact(Metadata!K470,"Fungus"),exact(Metadata!K470,"Plant"),exact(Metadata!K470,"Saline"),exact(Metadata!K470,"Non-saline")))</f>
        <v>0</v>
      </c>
      <c r="AX470">
        <f>AND(IF(Metadata!L470="",FALSE,TRUE),OR(exact(Metadata!L470,"Plant secretion"),exact(Metadata!L470,"Plant rhizosphere"),exact(Metadata!L470,"Plant surface"),exact(Metadata!L470,"Plant corpus"),exact(Metadata!L470,"Fungus surface"),exact(Metadata!L470,"Fungus corpus"),exact(Metadata!L470,"Animal surface"),exact(Metadata!L470,"Animal proximal gut"),exact(Metadata!L470,"Animal corpus"),exact(Metadata!L470,"Animal distal gut"),exact(Metadata!L470,"Animal secretion"),exact(Metadata!L470,"Sub-surface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Y470">
        <f>IF(Metadata!M470="",FALSE,TRUE)</f>
        <v>0</v>
      </c>
      <c r="AZ470">
        <f>IF(Metadata!N470="",FALSE,TRUE)</f>
        <v>0</v>
      </c>
      <c r="BA470">
        <f>IF(Metadata!O470="",FALSE,TRUE)</f>
        <v>0</v>
      </c>
      <c r="BB470">
        <f>OR(AND(IF(Metadata!P470="",FALSE,TRUE),OR(exact(Metadata!P470,"not collected"),exact(Metadata!P470,"not provided"),exact(Metadata!P470,"restricted access"))),AND(IF(Metadata!P470="",FALSE,TRUE),OR(exact(Metadata!P470,"air"),exact(Metadata!P470,"built environment"),exact(Metadata!P470,"host-associated"),exact(Metadata!P470,"human-associated"),exact(Metadata!P470,"human-skin"),exact(Metadata!P470,"human-oral"),exact(Metadata!P470,"human-gut"),exact(Metadata!P470,"human-vaginal"),exact(Metadata!P470,"microbial mat/biofilm"),exact(Metadata!P470,"misc environment"),exact(Metadata!P470,"plant-associated"),exact(Metadata!P470,"sediment"),exact(Metadata!P470,"soil"),exact(Metadata!P470,"wastewater/sludge"),exact(Metadata!P470,"water"))))</f>
        <v>0</v>
      </c>
      <c r="BC470">
        <f>IF(Metadata!Q470="",FALSE,TRUE)</f>
        <v>0</v>
      </c>
      <c r="BD470">
        <f>IF(Metadata!R470="",FALSE,TRUE)</f>
        <v>0</v>
      </c>
      <c r="BE470">
        <f>OR(AND(IF(Metadata!S470="",FALSE,TRUE),OR(exact(Metadata!S470,"not collected"),exact(Metadata!S470,"not provided"),exact(Metadata!S470,"restricted access"))),AND(IF(Metadata!S470="",FALSE,ISNUMBER(VALUE(Metadata!S470))),Metadata!S470&gt;=-90.00,Metadata!S470&lt;=90.00))</f>
        <v>0</v>
      </c>
      <c r="BF470">
        <f>AND(IF(Metadata!T470="",FALSE,TRUE),exact(Metadata!T470,"Decimal degrees"))</f>
        <v>0</v>
      </c>
      <c r="BG470">
        <f>OR(AND(IF(Metadata!U470="",FALSE,TRUE),OR(exact(Metadata!U470,"not collected"),exact(Metadata!U470,"not provided"),exact(Metadata!U470,"restricted access"))),AND(IF(Metadata!U470="",FALSE,ISNUMBER(VALUE(Metadata!U470))),Metadata!U470&gt;=-180.00,Metadata!U470&lt;=180.00))</f>
        <v>0</v>
      </c>
      <c r="BH470">
        <f>AND(IF(Metadata!V470="",FALSE,TRUE),exact(Metadata!V470,"Decimal degrees"))</f>
        <v>0</v>
      </c>
      <c r="BI470">
        <f>IF(Metadata!W470="",FALSE,TRUE)</f>
        <v>0</v>
      </c>
      <c r="BJ470">
        <f>OR(AND(IF(Metadata!X470="",FALSE,TRUE),OR(exact(Metadata!X470,"not collected"),exact(Metadata!X470,"not provided"),exact(Metadata!X470,"restricted access"))),AND(IF(Metadata!X470="",FALSE,TRUE),OR(exact(Metadata!X470,"TRUE"),exact(Metadata!X470,"FALSE"))))</f>
        <v>0</v>
      </c>
      <c r="BK470">
        <f>AND(IF(Metadata!Y470="",FALSE,TRUE),exact(Metadata!Y470,"other"))</f>
        <v>0</v>
      </c>
      <c r="BL470">
        <f>IF(Metadata!Z470="",FALSE,TRUE)</f>
        <v>0</v>
      </c>
      <c r="BM470">
        <f>OR(AND(IF(Metadata!AA470="",FALSE,TRUE),OR(exact(Metadata!AA470,"not collected"),exact(Metadata!AA470,"not provided"))),AND(IF(Metadata!AA470="",FALSE,IF(ISERROR(INT(Metadata!AA470)),FALSE,INT(Metadata!AA470)=Metadata!AA470)),Metadata!AA470&gt;0))</f>
        <v>0</v>
      </c>
      <c r="BN470">
        <f>AND(IF(Metadata!AB470="",FALSE,TRUE),exact(Metadata!AB470,"Not applicable"))</f>
        <v>0</v>
      </c>
      <c r="BO470">
        <f>IF(Metadata!AC470="",FALSE,TRUE)</f>
        <v>0</v>
      </c>
    </row>
    <row r="471" spans="1:67">
      <c r="A471" s="5">
        <f>IF(B471=" "," ",HYPERLINK(CONCATENATE("#metadata!",ADDRESS(INDEX($AI$2:$AI$1001,MATCH(ROWS($AG$2:AG471),$AG$2:$AG$1001,0),0),1)),INDEX($AL$2:$AL$1001,MATCH(ROWS($AG$2:AG471),$AG$2:$AG$1001,0),0)))</f>
        <v>0</v>
      </c>
      <c r="B471" s="4">
        <f>IF(OR(INDEX($AH$2:$AH$1001,MATCH(ROWS($AG$2:AG471),$AG$2:$AG$1001,0),1)&gt;=100000,INDEX($AN$1005:$BO$1005,1,MATCH(COLUMNS($AN$1006:AN1006),$AN$1006:$BO$1006,0))&gt;=100000), " ",IF(INDEX($AN$2:$BO$1001,MATCH(ROWS($AG$2:AG471),$AG$2:$AG$1001,0),MATCH(COLUMNS($AN$1006:AN1006),$AN$1006:$BO$1006,0)), HYPERLINK("#",""), HYPERLINK(CONCATENATE("#Metadata!", ADDRESS(INDEX($AI$2:$AI$1001,MATCH(ROWS($AG$2:AG471),$AG$2:$AG$1001,0),0), INDEX($AN$1004:$BO$1004,1,MATCH(COLUMNS($AN$1006:AN1006),$AN$1006:$BO$1006,0)))),"Fix")))</f>
        <v>0</v>
      </c>
      <c r="C471" s="4">
        <f>IF(OR(INDEX($AH$2:$AH$1001,MATCH(ROWS($AG$2:AG471),$AG$2:$AG$1001,0),1)&gt;=100000,INDEX($AN$1005:$BO$1005,1,MATCH(COLUMNS($AN$1006:AO1006),$AN$1006:$BO$1006,0))&gt;=100000), " ",IF(INDEX($AN$2:$BO$1001,MATCH(ROWS($AG$2:AG471),$AG$2:$AG$1001,0),MATCH(COLUMNS($AN$1006:AO1006),$AN$1006:$BO$1006,0)), HYPERLINK("#",""), HYPERLINK(CONCATENATE("#Metadata!", ADDRESS(INDEX($AI$2:$AI$1001,MATCH(ROWS($AG$2:AG471),$AG$2:$AG$1001,0),0), INDEX($AN$1004:$BO$1004,1,MATCH(COLUMNS($AN$1006:AO1006),$AN$1006:$BO$1006,0)))),"Fix")))</f>
        <v>0</v>
      </c>
      <c r="D471" s="4">
        <f>IF(OR(INDEX($AH$2:$AH$1001,MATCH(ROWS($AG$2:AG471),$AG$2:$AG$1001,0),1)&gt;=100000,INDEX($AN$1005:$BO$1005,1,MATCH(COLUMNS($AN$1006:AP1006),$AN$1006:$BO$1006,0))&gt;=100000), " ",IF(INDEX($AN$2:$BO$1001,MATCH(ROWS($AG$2:AG471),$AG$2:$AG$1001,0),MATCH(COLUMNS($AN$1006:AP1006),$AN$1006:$BO$1006,0)), HYPERLINK("#",""), HYPERLINK(CONCATENATE("#Metadata!", ADDRESS(INDEX($AI$2:$AI$1001,MATCH(ROWS($AG$2:AG471),$AG$2:$AG$1001,0),0), INDEX($AN$1004:$BO$1004,1,MATCH(COLUMNS($AN$1006:AP1006),$AN$1006:$BO$1006,0)))),"Fix")))</f>
        <v>0</v>
      </c>
      <c r="E471" s="4">
        <f>IF(OR(INDEX($AH$2:$AH$1001,MATCH(ROWS($AG$2:AG471),$AG$2:$AG$1001,0),1)&gt;=100000,INDEX($AN$1005:$BO$1005,1,MATCH(COLUMNS($AN$1006:AQ1006),$AN$1006:$BO$1006,0))&gt;=100000), " ",IF(INDEX($AN$2:$BO$1001,MATCH(ROWS($AG$2:AG471),$AG$2:$AG$1001,0),MATCH(COLUMNS($AN$1006:AQ1006),$AN$1006:$BO$1006,0)), HYPERLINK("#",""), HYPERLINK(CONCATENATE("#Metadata!", ADDRESS(INDEX($AI$2:$AI$1001,MATCH(ROWS($AG$2:AG471),$AG$2:$AG$1001,0),0), INDEX($AN$1004:$BO$1004,1,MATCH(COLUMNS($AN$1006:AQ1006),$AN$1006:$BO$1006,0)))),"Fix")))</f>
        <v>0</v>
      </c>
      <c r="F471" s="4">
        <f>IF(OR(INDEX($AH$2:$AH$1001,MATCH(ROWS($AG$2:AG471),$AG$2:$AG$1001,0),1)&gt;=100000,INDEX($AN$1005:$BO$1005,1,MATCH(COLUMNS($AN$1006:AR1006),$AN$1006:$BO$1006,0))&gt;=100000), " ",IF(INDEX($AN$2:$BO$1001,MATCH(ROWS($AG$2:AG471),$AG$2:$AG$1001,0),MATCH(COLUMNS($AN$1006:AR1006),$AN$1006:$BO$1006,0)), HYPERLINK("#",""), HYPERLINK(CONCATENATE("#Metadata!", ADDRESS(INDEX($AI$2:$AI$1001,MATCH(ROWS($AG$2:AG471),$AG$2:$AG$1001,0),0), INDEX($AN$1004:$BO$1004,1,MATCH(COLUMNS($AN$1006:AR1006),$AN$1006:$BO$1006,0)))),"Fix")))</f>
        <v>0</v>
      </c>
      <c r="G471" s="4">
        <f>IF(OR(INDEX($AH$2:$AH$1001,MATCH(ROWS($AG$2:AG471),$AG$2:$AG$1001,0),1)&gt;=100000,INDEX($AN$1005:$BO$1005,1,MATCH(COLUMNS($AN$1006:AS1006),$AN$1006:$BO$1006,0))&gt;=100000), " ",IF(INDEX($AN$2:$BO$1001,MATCH(ROWS($AG$2:AG471),$AG$2:$AG$1001,0),MATCH(COLUMNS($AN$1006:AS1006),$AN$1006:$BO$1006,0)), HYPERLINK("#",""), HYPERLINK(CONCATENATE("#Metadata!", ADDRESS(INDEX($AI$2:$AI$1001,MATCH(ROWS($AG$2:AG471),$AG$2:$AG$1001,0),0), INDEX($AN$1004:$BO$1004,1,MATCH(COLUMNS($AN$1006:AS1006),$AN$1006:$BO$1006,0)))),"Fix")))</f>
        <v>0</v>
      </c>
      <c r="H471" s="4">
        <f>IF(OR(INDEX($AH$2:$AH$1001,MATCH(ROWS($AG$2:AG471),$AG$2:$AG$1001,0),1)&gt;=100000,INDEX($AN$1005:$BO$1005,1,MATCH(COLUMNS($AN$1006:AT1006),$AN$1006:$BO$1006,0))&gt;=100000), " ",IF(INDEX($AN$2:$BO$1001,MATCH(ROWS($AG$2:AG471),$AG$2:$AG$1001,0),MATCH(COLUMNS($AN$1006:AT1006),$AN$1006:$BO$1006,0)), HYPERLINK("#",""), HYPERLINK(CONCATENATE("#Metadata!", ADDRESS(INDEX($AI$2:$AI$1001,MATCH(ROWS($AG$2:AG471),$AG$2:$AG$1001,0),0), INDEX($AN$1004:$BO$1004,1,MATCH(COLUMNS($AN$1006:AT1006),$AN$1006:$BO$1006,0)))),"Fix")))</f>
        <v>0</v>
      </c>
      <c r="I471" s="4">
        <f>IF(OR(INDEX($AH$2:$AH$1001,MATCH(ROWS($AG$2:AG471),$AG$2:$AG$1001,0),1)&gt;=100000,INDEX($AN$1005:$BO$1005,1,MATCH(COLUMNS($AN$1006:AU1006),$AN$1006:$BO$1006,0))&gt;=100000), " ",IF(INDEX($AN$2:$BO$1001,MATCH(ROWS($AG$2:AG471),$AG$2:$AG$1001,0),MATCH(COLUMNS($AN$1006:AU1006),$AN$1006:$BO$1006,0)), HYPERLINK("#",""), HYPERLINK(CONCATENATE("#Metadata!", ADDRESS(INDEX($AI$2:$AI$1001,MATCH(ROWS($AG$2:AG471),$AG$2:$AG$1001,0),0), INDEX($AN$1004:$BO$1004,1,MATCH(COLUMNS($AN$1006:AU1006),$AN$1006:$BO$1006,0)))),"Fix")))</f>
        <v>0</v>
      </c>
      <c r="J471" s="4">
        <f>IF(OR(INDEX($AH$2:$AH$1001,MATCH(ROWS($AG$2:AG471),$AG$2:$AG$1001,0),1)&gt;=100000,INDEX($AN$1005:$BO$1005,1,MATCH(COLUMNS($AN$1006:AV1006),$AN$1006:$BO$1006,0))&gt;=100000), " ",IF(INDEX($AN$2:$BO$1001,MATCH(ROWS($AG$2:AG471),$AG$2:$AG$1001,0),MATCH(COLUMNS($AN$1006:AV1006),$AN$1006:$BO$1006,0)), HYPERLINK("#",""), HYPERLINK(CONCATENATE("#Metadata!", ADDRESS(INDEX($AI$2:$AI$1001,MATCH(ROWS($AG$2:AG471),$AG$2:$AG$1001,0),0), INDEX($AN$1004:$BO$1004,1,MATCH(COLUMNS($AN$1006:AV1006),$AN$1006:$BO$1006,0)))),"Fix")))</f>
        <v>0</v>
      </c>
      <c r="K471" s="4">
        <f>IF(OR(INDEX($AH$2:$AH$1001,MATCH(ROWS($AG$2:AG471),$AG$2:$AG$1001,0),1)&gt;=100000,INDEX($AN$1005:$BO$1005,1,MATCH(COLUMNS($AN$1006:AW1006),$AN$1006:$BO$1006,0))&gt;=100000), " ",IF(INDEX($AN$2:$BO$1001,MATCH(ROWS($AG$2:AG471),$AG$2:$AG$1001,0),MATCH(COLUMNS($AN$1006:AW1006),$AN$1006:$BO$1006,0)), HYPERLINK("#",""), HYPERLINK(CONCATENATE("#Metadata!", ADDRESS(INDEX($AI$2:$AI$1001,MATCH(ROWS($AG$2:AG471),$AG$2:$AG$1001,0),0), INDEX($AN$1004:$BO$1004,1,MATCH(COLUMNS($AN$1006:AW1006),$AN$1006:$BO$1006,0)))),"Fix")))</f>
        <v>0</v>
      </c>
      <c r="L471" s="4">
        <f>IF(OR(INDEX($AH$2:$AH$1001,MATCH(ROWS($AG$2:AG471),$AG$2:$AG$1001,0),1)&gt;=100000,INDEX($AN$1005:$BO$1005,1,MATCH(COLUMNS($AN$1006:AX1006),$AN$1006:$BO$1006,0))&gt;=100000), " ",IF(INDEX($AN$2:$BO$1001,MATCH(ROWS($AG$2:AG471),$AG$2:$AG$1001,0),MATCH(COLUMNS($AN$1006:AX1006),$AN$1006:$BO$1006,0)), HYPERLINK("#",""), HYPERLINK(CONCATENATE("#Metadata!", ADDRESS(INDEX($AI$2:$AI$1001,MATCH(ROWS($AG$2:AG471),$AG$2:$AG$1001,0),0), INDEX($AN$1004:$BO$1004,1,MATCH(COLUMNS($AN$1006:AX1006),$AN$1006:$BO$1006,0)))),"Fix")))</f>
        <v>0</v>
      </c>
      <c r="M471" s="4">
        <f>IF(OR(INDEX($AH$2:$AH$1001,MATCH(ROWS($AG$2:AG471),$AG$2:$AG$1001,0),1)&gt;=100000,INDEX($AN$1005:$BO$1005,1,MATCH(COLUMNS($AN$1006:AY1006),$AN$1006:$BO$1006,0))&gt;=100000), " ",IF(INDEX($AN$2:$BO$1001,MATCH(ROWS($AG$2:AG471),$AG$2:$AG$1001,0),MATCH(COLUMNS($AN$1006:AY1006),$AN$1006:$BO$1006,0)), HYPERLINK("#",""), HYPERLINK(CONCATENATE("#Metadata!", ADDRESS(INDEX($AI$2:$AI$1001,MATCH(ROWS($AG$2:AG471),$AG$2:$AG$1001,0),0), INDEX($AN$1004:$BO$1004,1,MATCH(COLUMNS($AN$1006:AY1006),$AN$1006:$BO$1006,0)))),"Fix")))</f>
        <v>0</v>
      </c>
      <c r="N471" s="4">
        <f>IF(OR(INDEX($AH$2:$AH$1001,MATCH(ROWS($AG$2:AG471),$AG$2:$AG$1001,0),1)&gt;=100000,INDEX($AN$1005:$BO$1005,1,MATCH(COLUMNS($AN$1006:AZ1006),$AN$1006:$BO$1006,0))&gt;=100000), " ",IF(INDEX($AN$2:$BO$1001,MATCH(ROWS($AG$2:AG471),$AG$2:$AG$1001,0),MATCH(COLUMNS($AN$1006:AZ1006),$AN$1006:$BO$1006,0)), HYPERLINK("#",""), HYPERLINK(CONCATENATE("#Metadata!", ADDRESS(INDEX($AI$2:$AI$1001,MATCH(ROWS($AG$2:AG471),$AG$2:$AG$1001,0),0), INDEX($AN$1004:$BO$1004,1,MATCH(COLUMNS($AN$1006:AZ1006),$AN$1006:$BO$1006,0)))),"Fix")))</f>
        <v>0</v>
      </c>
      <c r="O471" s="4">
        <f>IF(OR(INDEX($AH$2:$AH$1001,MATCH(ROWS($AG$2:AG471),$AG$2:$AG$1001,0),1)&gt;=100000,INDEX($AN$1005:$BO$1005,1,MATCH(COLUMNS($AN$1006:BA1006),$AN$1006:$BO$1006,0))&gt;=100000), " ",IF(INDEX($AN$2:$BO$1001,MATCH(ROWS($AG$2:AG471),$AG$2:$AG$1001,0),MATCH(COLUMNS($AN$1006:BA1006),$AN$1006:$BO$1006,0)), HYPERLINK("#",""), HYPERLINK(CONCATENATE("#Metadata!", ADDRESS(INDEX($AI$2:$AI$1001,MATCH(ROWS($AG$2:AG471),$AG$2:$AG$1001,0),0), INDEX($AN$1004:$BO$1004,1,MATCH(COLUMNS($AN$1006:BA1006),$AN$1006:$BO$1006,0)))),"Fix")))</f>
        <v>0</v>
      </c>
      <c r="P471" s="4">
        <f>IF(OR(INDEX($AH$2:$AH$1001,MATCH(ROWS($AG$2:AG471),$AG$2:$AG$1001,0),1)&gt;=100000,INDEX($AN$1005:$BO$1005,1,MATCH(COLUMNS($AN$1006:BB1006),$AN$1006:$BO$1006,0))&gt;=100000), " ",IF(INDEX($AN$2:$BO$1001,MATCH(ROWS($AG$2:AG471),$AG$2:$AG$1001,0),MATCH(COLUMNS($AN$1006:BB1006),$AN$1006:$BO$1006,0)), HYPERLINK("#",""), HYPERLINK(CONCATENATE("#Metadata!", ADDRESS(INDEX($AI$2:$AI$1001,MATCH(ROWS($AG$2:AG471),$AG$2:$AG$1001,0),0), INDEX($AN$1004:$BO$1004,1,MATCH(COLUMNS($AN$1006:BB1006),$AN$1006:$BO$1006,0)))),"Fix")))</f>
        <v>0</v>
      </c>
      <c r="Q471" s="4">
        <f>IF(OR(INDEX($AH$2:$AH$1001,MATCH(ROWS($AG$2:AG471),$AG$2:$AG$1001,0),1)&gt;=100000,INDEX($AN$1005:$BO$1005,1,MATCH(COLUMNS($AN$1006:BC1006),$AN$1006:$BO$1006,0))&gt;=100000), " ",IF(INDEX($AN$2:$BO$1001,MATCH(ROWS($AG$2:AG471),$AG$2:$AG$1001,0),MATCH(COLUMNS($AN$1006:BC1006),$AN$1006:$BO$1006,0)), HYPERLINK("#",""), HYPERLINK(CONCATENATE("#Metadata!", ADDRESS(INDEX($AI$2:$AI$1001,MATCH(ROWS($AG$2:AG471),$AG$2:$AG$1001,0),0), INDEX($AN$1004:$BO$1004,1,MATCH(COLUMNS($AN$1006:BC1006),$AN$1006:$BO$1006,0)))),"Fix")))</f>
        <v>0</v>
      </c>
      <c r="R471" s="4">
        <f>IF(OR(INDEX($AH$2:$AH$1001,MATCH(ROWS($AG$2:AG471),$AG$2:$AG$1001,0),1)&gt;=100000,INDEX($AN$1005:$BO$1005,1,MATCH(COLUMNS($AN$1006:BD1006),$AN$1006:$BO$1006,0))&gt;=100000), " ",IF(INDEX($AN$2:$BO$1001,MATCH(ROWS($AG$2:AG471),$AG$2:$AG$1001,0),MATCH(COLUMNS($AN$1006:BD1006),$AN$1006:$BO$1006,0)), HYPERLINK("#",""), HYPERLINK(CONCATENATE("#Metadata!", ADDRESS(INDEX($AI$2:$AI$1001,MATCH(ROWS($AG$2:AG471),$AG$2:$AG$1001,0),0), INDEX($AN$1004:$BO$1004,1,MATCH(COLUMNS($AN$1006:BD1006),$AN$1006:$BO$1006,0)))),"Fix")))</f>
        <v>0</v>
      </c>
      <c r="S471" s="4">
        <f>IF(OR(INDEX($AH$2:$AH$1001,MATCH(ROWS($AG$2:AG471),$AG$2:$AG$1001,0),1)&gt;=100000,INDEX($AN$1005:$BO$1005,1,MATCH(COLUMNS($AN$1006:BE1006),$AN$1006:$BO$1006,0))&gt;=100000), " ",IF(INDEX($AN$2:$BO$1001,MATCH(ROWS($AG$2:AG471),$AG$2:$AG$1001,0),MATCH(COLUMNS($AN$1006:BE1006),$AN$1006:$BO$1006,0)), HYPERLINK("#",""), HYPERLINK(CONCATENATE("#Metadata!", ADDRESS(INDEX($AI$2:$AI$1001,MATCH(ROWS($AG$2:AG471),$AG$2:$AG$1001,0),0), INDEX($AN$1004:$BO$1004,1,MATCH(COLUMNS($AN$1006:BE1006),$AN$1006:$BO$1006,0)))),"Fix")))</f>
        <v>0</v>
      </c>
      <c r="T471" s="4">
        <f>IF(OR(INDEX($AH$2:$AH$1001,MATCH(ROWS($AG$2:AG471),$AG$2:$AG$1001,0),1)&gt;=100000,INDEX($AN$1005:$BO$1005,1,MATCH(COLUMNS($AN$1006:BF1006),$AN$1006:$BO$1006,0))&gt;=100000), " ",IF(INDEX($AN$2:$BO$1001,MATCH(ROWS($AG$2:AG471),$AG$2:$AG$1001,0),MATCH(COLUMNS($AN$1006:BF1006),$AN$1006:$BO$1006,0)), HYPERLINK("#",""), HYPERLINK(CONCATENATE("#Metadata!", ADDRESS(INDEX($AI$2:$AI$1001,MATCH(ROWS($AG$2:AG471),$AG$2:$AG$1001,0),0), INDEX($AN$1004:$BO$1004,1,MATCH(COLUMNS($AN$1006:BF1006),$AN$1006:$BO$1006,0)))),"Fix")))</f>
        <v>0</v>
      </c>
      <c r="U471" s="4">
        <f>IF(OR(INDEX($AH$2:$AH$1001,MATCH(ROWS($AG$2:AG471),$AG$2:$AG$1001,0),1)&gt;=100000,INDEX($AN$1005:$BO$1005,1,MATCH(COLUMNS($AN$1006:BG1006),$AN$1006:$BO$1006,0))&gt;=100000), " ",IF(INDEX($AN$2:$BO$1001,MATCH(ROWS($AG$2:AG471),$AG$2:$AG$1001,0),MATCH(COLUMNS($AN$1006:BG1006),$AN$1006:$BO$1006,0)), HYPERLINK("#",""), HYPERLINK(CONCATENATE("#Metadata!", ADDRESS(INDEX($AI$2:$AI$1001,MATCH(ROWS($AG$2:AG471),$AG$2:$AG$1001,0),0), INDEX($AN$1004:$BO$1004,1,MATCH(COLUMNS($AN$1006:BG1006),$AN$1006:$BO$1006,0)))),"Fix")))</f>
        <v>0</v>
      </c>
      <c r="V471" s="4">
        <f>IF(OR(INDEX($AH$2:$AH$1001,MATCH(ROWS($AG$2:AG471),$AG$2:$AG$1001,0),1)&gt;=100000,INDEX($AN$1005:$BO$1005,1,MATCH(COLUMNS($AN$1006:BH1006),$AN$1006:$BO$1006,0))&gt;=100000), " ",IF(INDEX($AN$2:$BO$1001,MATCH(ROWS($AG$2:AG471),$AG$2:$AG$1001,0),MATCH(COLUMNS($AN$1006:BH1006),$AN$1006:$BO$1006,0)), HYPERLINK("#",""), HYPERLINK(CONCATENATE("#Metadata!", ADDRESS(INDEX($AI$2:$AI$1001,MATCH(ROWS($AG$2:AG471),$AG$2:$AG$1001,0),0), INDEX($AN$1004:$BO$1004,1,MATCH(COLUMNS($AN$1006:BH1006),$AN$1006:$BO$1006,0)))),"Fix")))</f>
        <v>0</v>
      </c>
      <c r="W471" s="4">
        <f>IF(OR(INDEX($AH$2:$AH$1001,MATCH(ROWS($AG$2:AG471),$AG$2:$AG$1001,0),1)&gt;=100000,INDEX($AN$1005:$BO$1005,1,MATCH(COLUMNS($AN$1006:BI1006),$AN$1006:$BO$1006,0))&gt;=100000), " ",IF(INDEX($AN$2:$BO$1001,MATCH(ROWS($AG$2:AG471),$AG$2:$AG$1001,0),MATCH(COLUMNS($AN$1006:BI1006),$AN$1006:$BO$1006,0)), HYPERLINK("#",""), HYPERLINK(CONCATENATE("#Metadata!", ADDRESS(INDEX($AI$2:$AI$1001,MATCH(ROWS($AG$2:AG471),$AG$2:$AG$1001,0),0), INDEX($AN$1004:$BO$1004,1,MATCH(COLUMNS($AN$1006:BI1006),$AN$1006:$BO$1006,0)))),"Fix")))</f>
        <v>0</v>
      </c>
      <c r="X471" s="4">
        <f>IF(OR(INDEX($AH$2:$AH$1001,MATCH(ROWS($AG$2:AG471),$AG$2:$AG$1001,0),1)&gt;=100000,INDEX($AN$1005:$BO$1005,1,MATCH(COLUMNS($AN$1006:BJ1006),$AN$1006:$BO$1006,0))&gt;=100000), " ",IF(INDEX($AN$2:$BO$1001,MATCH(ROWS($AG$2:AG471),$AG$2:$AG$1001,0),MATCH(COLUMNS($AN$1006:BJ1006),$AN$1006:$BO$1006,0)), HYPERLINK("#",""), HYPERLINK(CONCATENATE("#Metadata!", ADDRESS(INDEX($AI$2:$AI$1001,MATCH(ROWS($AG$2:AG471),$AG$2:$AG$1001,0),0), INDEX($AN$1004:$BO$1004,1,MATCH(COLUMNS($AN$1006:BJ1006),$AN$1006:$BO$1006,0)))),"Fix")))</f>
        <v>0</v>
      </c>
      <c r="Y471" s="4">
        <f>IF(OR(INDEX($AH$2:$AH$1001,MATCH(ROWS($AG$2:AG471),$AG$2:$AG$1001,0),1)&gt;=100000,INDEX($AN$1005:$BO$1005,1,MATCH(COLUMNS($AN$1006:BK1006),$AN$1006:$BO$1006,0))&gt;=100000), " ",IF(INDEX($AN$2:$BO$1001,MATCH(ROWS($AG$2:AG471),$AG$2:$AG$1001,0),MATCH(COLUMNS($AN$1006:BK1006),$AN$1006:$BO$1006,0)), HYPERLINK("#",""), HYPERLINK(CONCATENATE("#Metadata!", ADDRESS(INDEX($AI$2:$AI$1001,MATCH(ROWS($AG$2:AG471),$AG$2:$AG$1001,0),0), INDEX($AN$1004:$BO$1004,1,MATCH(COLUMNS($AN$1006:BK1006),$AN$1006:$BO$1006,0)))),"Fix")))</f>
        <v>0</v>
      </c>
      <c r="Z471" s="4">
        <f>IF(OR(INDEX($AH$2:$AH$1001,MATCH(ROWS($AG$2:AG471),$AG$2:$AG$1001,0),1)&gt;=100000,INDEX($AN$1005:$BO$1005,1,MATCH(COLUMNS($AN$1006:BL1006),$AN$1006:$BO$1006,0))&gt;=100000), " ",IF(INDEX($AN$2:$BO$1001,MATCH(ROWS($AG$2:AG471),$AG$2:$AG$1001,0),MATCH(COLUMNS($AN$1006:BL1006),$AN$1006:$BO$1006,0)), HYPERLINK("#",""), HYPERLINK(CONCATENATE("#Metadata!", ADDRESS(INDEX($AI$2:$AI$1001,MATCH(ROWS($AG$2:AG471),$AG$2:$AG$1001,0),0), INDEX($AN$1004:$BO$1004,1,MATCH(COLUMNS($AN$1006:BL1006),$AN$1006:$BO$1006,0)))),"Fix")))</f>
        <v>0</v>
      </c>
      <c r="AA471" s="4">
        <f>IF(OR(INDEX($AH$2:$AH$1001,MATCH(ROWS($AG$2:AG471),$AG$2:$AG$1001,0),1)&gt;=100000,INDEX($AN$1005:$BO$1005,1,MATCH(COLUMNS($AN$1006:BM1006),$AN$1006:$BO$1006,0))&gt;=100000), " ",IF(INDEX($AN$2:$BO$1001,MATCH(ROWS($AG$2:AG471),$AG$2:$AG$1001,0),MATCH(COLUMNS($AN$1006:BM1006),$AN$1006:$BO$1006,0)), HYPERLINK("#",""), HYPERLINK(CONCATENATE("#Metadata!", ADDRESS(INDEX($AI$2:$AI$1001,MATCH(ROWS($AG$2:AG471),$AG$2:$AG$1001,0),0), INDEX($AN$1004:$BO$1004,1,MATCH(COLUMNS($AN$1006:BM1006),$AN$1006:$BO$1006,0)))),"Fix")))</f>
        <v>0</v>
      </c>
      <c r="AB471" s="4">
        <f>IF(OR(INDEX($AH$2:$AH$1001,MATCH(ROWS($AG$2:AG471),$AG$2:$AG$1001,0),1)&gt;=100000,INDEX($AN$1005:$BO$1005,1,MATCH(COLUMNS($AN$1006:BN1006),$AN$1006:$BO$1006,0))&gt;=100000), " ",IF(INDEX($AN$2:$BO$1001,MATCH(ROWS($AG$2:AG471),$AG$2:$AG$1001,0),MATCH(COLUMNS($AN$1006:BN1006),$AN$1006:$BO$1006,0)), HYPERLINK("#",""), HYPERLINK(CONCATENATE("#Metadata!", ADDRESS(INDEX($AI$2:$AI$1001,MATCH(ROWS($AG$2:AG471),$AG$2:$AG$1001,0),0), INDEX($AN$1004:$BO$1004,1,MATCH(COLUMNS($AN$1006:BN1006),$AN$1006:$BO$1006,0)))),"Fix")))</f>
        <v>0</v>
      </c>
      <c r="AC471" s="4">
        <f>IF(OR(INDEX($AH$2:$AH$1001,MATCH(ROWS($AG$2:AG471),$AG$2:$AG$1001,0),1)&gt;=100000,INDEX($AN$1005:$BO$1005,1,MATCH(COLUMNS($AN$1006:BO1006),$AN$1006:$BO$1006,0))&gt;=100000), " ",IF(INDEX($AN$2:$BO$1001,MATCH(ROWS($AG$2:AG471),$AG$2:$AG$1001,0),MATCH(COLUMNS($AN$1006:BO1006),$AN$1006:$BO$1006,0)), HYPERLINK("#",""), HYPERLINK(CONCATENATE("#Metadata!", ADDRESS(INDEX($AI$2:$AI$1001,MATCH(ROWS($AG$2:AG471),$AG$2:$AG$1001,0),0), INDEX($AN$1004:$BO$1004,1,MATCH(COLUMNS($AN$1006:BO1006),$AN$1006:$BO$1006,0)))),"Fix")))</f>
        <v>0</v>
      </c>
      <c r="AG471">
        <v>0</v>
      </c>
      <c r="AH471">
        <v>0</v>
      </c>
      <c r="AI471">
        <v>0</v>
      </c>
      <c r="AJ471">
        <f>IF(AK471,TRUE,AND(AN471:BO471))</f>
        <v>0</v>
      </c>
      <c r="AK471">
        <f>COUNTBLANK(Metadata!B471:AC471)=COLUMNS(Metadata!B471:AC471)</f>
        <v>0</v>
      </c>
      <c r="AL471">
        <v>0</v>
      </c>
      <c r="AN471">
        <f>AND(IF(Metadata!B471="",FALSE,TRUE),COUNTIF(Metadata!B:B, Metadata!B471) = 1,NOT(ISERROR(SUMPRODUCT(SEARCH(MID(Metadata!B471,ROW(INDIRECT("1:"&amp;LEN(Metadata!B471))), 1),"0123456789abcdefghijklmnopqrstuvwxyzABCDEFGHIJKLMNOPQRSTUVWXYZ.")))))</f>
        <v>0</v>
      </c>
      <c r="AO471">
        <f>IF(Metadata!C471="",FALSE,TRUE)</f>
        <v>0</v>
      </c>
      <c r="AP471">
        <f>IF(Metadata!D471="",FALSE,TRUE)</f>
        <v>0</v>
      </c>
      <c r="AQ471">
        <f>OR(AND(IF(Metadata!E471="",FALSE,TRUE),OR(exact(Metadata!E471,"not collected"),exact(Metadata!E471,"not provided"),exact(Metadata!E471,"restricted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R471">
        <f>IF(Metadata!F471="",FALSE,TRUE)</f>
        <v>0</v>
      </c>
      <c r="AS471">
        <f>OR(AND(IF(Metadata!G471="",FALSE,TRUE),OR(exact(Metadata!G471,"not collected"),exact(Metadata!G471,"not provided"))),AND(IF(Metadata!G471="",FALSE,TRUE),OR(exact(Metadata!G471,"TRUE"),exact(Metadata!G471,"FALSE"))))</f>
        <v>0</v>
      </c>
      <c r="AT471">
        <f>OR(AND(IF(Metadata!H471="",FALSE,TRUE),OR(exact(Metadata!H471,"not collected"),exact(Metadata!H471,"not provided"),exact(Metadata!H471,"restricted access"))),AND(IF(Metadata!H471="",FALSE,ISNUMBER(VALUE(Metadata!H471))),Metadata!H471&gt;=-413.0))</f>
        <v>0</v>
      </c>
      <c r="AU471">
        <f>AND(IF(Metadata!I471="",FALSE,TRUE),exact(Metadata!I471,"meters"))</f>
        <v>0</v>
      </c>
      <c r="AV471">
        <f>AND(IF(Metadata!J471="",FALSE,TRUE),OR(exact(Metadata!J471,"Host-associated"),exact(Metadata!J471,"Free-living")))</f>
        <v>0</v>
      </c>
      <c r="AW471">
        <f>AND(IF(Metadata!K471="",FALSE,TRUE),OR(exact(Metadata!K471,"Animal"),exact(Metadata!K471,"Fungus"),exact(Metadata!K471,"Plant"),exact(Metadata!K471,"Saline"),exact(Metadata!K471,"Non-saline")))</f>
        <v>0</v>
      </c>
      <c r="AX471">
        <f>AND(IF(Metadata!L471="",FALSE,TRUE),OR(exact(Metadata!L471,"Plant secretion"),exact(Metadata!L471,"Plant rhizosphere"),exact(Metadata!L471,"Plant surface"),exact(Metadata!L471,"Plant corpus"),exact(Metadata!L471,"Fungus surface"),exact(Metadata!L471,"Fungus corpus"),exact(Metadata!L471,"Animal surface"),exact(Metadata!L471,"Animal proximal gut"),exact(Metadata!L471,"Animal corpus"),exact(Metadata!L471,"Animal distal gut"),exact(Metadata!L471,"Animal secretion"),exact(Metadata!L471,"Sub-surface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Y471">
        <f>IF(Metadata!M471="",FALSE,TRUE)</f>
        <v>0</v>
      </c>
      <c r="AZ471">
        <f>IF(Metadata!N471="",FALSE,TRUE)</f>
        <v>0</v>
      </c>
      <c r="BA471">
        <f>IF(Metadata!O471="",FALSE,TRUE)</f>
        <v>0</v>
      </c>
      <c r="BB471">
        <f>OR(AND(IF(Metadata!P471="",FALSE,TRUE),OR(exact(Metadata!P471,"not collected"),exact(Metadata!P471,"not provided"),exact(Metadata!P471,"restricted access"))),AND(IF(Metadata!P471="",FALSE,TRUE),OR(exact(Metadata!P471,"air"),exact(Metadata!P471,"built environment"),exact(Metadata!P471,"host-associated"),exact(Metadata!P471,"human-associated"),exact(Metadata!P471,"human-skin"),exact(Metadata!P471,"human-oral"),exact(Metadata!P471,"human-gut"),exact(Metadata!P471,"human-vaginal"),exact(Metadata!P471,"microbial mat/biofilm"),exact(Metadata!P471,"misc environment"),exact(Metadata!P471,"plant-associated"),exact(Metadata!P471,"sediment"),exact(Metadata!P471,"soil"),exact(Metadata!P471,"wastewater/sludge"),exact(Metadata!P471,"water"))))</f>
        <v>0</v>
      </c>
      <c r="BC471">
        <f>IF(Metadata!Q471="",FALSE,TRUE)</f>
        <v>0</v>
      </c>
      <c r="BD471">
        <f>IF(Metadata!R471="",FALSE,TRUE)</f>
        <v>0</v>
      </c>
      <c r="BE471">
        <f>OR(AND(IF(Metadata!S471="",FALSE,TRUE),OR(exact(Metadata!S471,"not collected"),exact(Metadata!S471,"not provided"),exact(Metadata!S471,"restricted access"))),AND(IF(Metadata!S471="",FALSE,ISNUMBER(VALUE(Metadata!S471))),Metadata!S471&gt;=-90.00,Metadata!S471&lt;=90.00))</f>
        <v>0</v>
      </c>
      <c r="BF471">
        <f>AND(IF(Metadata!T471="",FALSE,TRUE),exact(Metadata!T471,"Decimal degrees"))</f>
        <v>0</v>
      </c>
      <c r="BG471">
        <f>OR(AND(IF(Metadata!U471="",FALSE,TRUE),OR(exact(Metadata!U471,"not collected"),exact(Metadata!U471,"not provided"),exact(Metadata!U471,"restricted access"))),AND(IF(Metadata!U471="",FALSE,ISNUMBER(VALUE(Metadata!U471))),Metadata!U471&gt;=-180.00,Metadata!U471&lt;=180.00))</f>
        <v>0</v>
      </c>
      <c r="BH471">
        <f>AND(IF(Metadata!V471="",FALSE,TRUE),exact(Metadata!V471,"Decimal degrees"))</f>
        <v>0</v>
      </c>
      <c r="BI471">
        <f>IF(Metadata!W471="",FALSE,TRUE)</f>
        <v>0</v>
      </c>
      <c r="BJ471">
        <f>OR(AND(IF(Metadata!X471="",FALSE,TRUE),OR(exact(Metadata!X471,"not collected"),exact(Metadata!X471,"not provided"),exact(Metadata!X471,"restricted access"))),AND(IF(Metadata!X471="",FALSE,TRUE),OR(exact(Metadata!X471,"TRUE"),exact(Metadata!X471,"FALSE"))))</f>
        <v>0</v>
      </c>
      <c r="BK471">
        <f>AND(IF(Metadata!Y471="",FALSE,TRUE),exact(Metadata!Y471,"other"))</f>
        <v>0</v>
      </c>
      <c r="BL471">
        <f>IF(Metadata!Z471="",FALSE,TRUE)</f>
        <v>0</v>
      </c>
      <c r="BM471">
        <f>OR(AND(IF(Metadata!AA471="",FALSE,TRUE),OR(exact(Metadata!AA471,"not collected"),exact(Metadata!AA471,"not provided"))),AND(IF(Metadata!AA471="",FALSE,IF(ISERROR(INT(Metadata!AA471)),FALSE,INT(Metadata!AA471)=Metadata!AA471)),Metadata!AA471&gt;0))</f>
        <v>0</v>
      </c>
      <c r="BN471">
        <f>AND(IF(Metadata!AB471="",FALSE,TRUE),exact(Metadata!AB471,"Not applicable"))</f>
        <v>0</v>
      </c>
      <c r="BO471">
        <f>IF(Metadata!AC471="",FALSE,TRUE)</f>
        <v>0</v>
      </c>
    </row>
    <row r="472" spans="1:67">
      <c r="A472" s="5">
        <f>IF(B472=" "," ",HYPERLINK(CONCATENATE("#metadata!",ADDRESS(INDEX($AI$2:$AI$1001,MATCH(ROWS($AG$2:AG472),$AG$2:$AG$1001,0),0),1)),INDEX($AL$2:$AL$1001,MATCH(ROWS($AG$2:AG472),$AG$2:$AG$1001,0),0)))</f>
        <v>0</v>
      </c>
      <c r="B472" s="4">
        <f>IF(OR(INDEX($AH$2:$AH$1001,MATCH(ROWS($AG$2:AG472),$AG$2:$AG$1001,0),1)&gt;=100000,INDEX($AN$1005:$BO$1005,1,MATCH(COLUMNS($AN$1006:AN1006),$AN$1006:$BO$1006,0))&gt;=100000), " ",IF(INDEX($AN$2:$BO$1001,MATCH(ROWS($AG$2:AG472),$AG$2:$AG$1001,0),MATCH(COLUMNS($AN$1006:AN1006),$AN$1006:$BO$1006,0)), HYPERLINK("#",""), HYPERLINK(CONCATENATE("#Metadata!", ADDRESS(INDEX($AI$2:$AI$1001,MATCH(ROWS($AG$2:AG472),$AG$2:$AG$1001,0),0), INDEX($AN$1004:$BO$1004,1,MATCH(COLUMNS($AN$1006:AN1006),$AN$1006:$BO$1006,0)))),"Fix")))</f>
        <v>0</v>
      </c>
      <c r="C472" s="4">
        <f>IF(OR(INDEX($AH$2:$AH$1001,MATCH(ROWS($AG$2:AG472),$AG$2:$AG$1001,0),1)&gt;=100000,INDEX($AN$1005:$BO$1005,1,MATCH(COLUMNS($AN$1006:AO1006),$AN$1006:$BO$1006,0))&gt;=100000), " ",IF(INDEX($AN$2:$BO$1001,MATCH(ROWS($AG$2:AG472),$AG$2:$AG$1001,0),MATCH(COLUMNS($AN$1006:AO1006),$AN$1006:$BO$1006,0)), HYPERLINK("#",""), HYPERLINK(CONCATENATE("#Metadata!", ADDRESS(INDEX($AI$2:$AI$1001,MATCH(ROWS($AG$2:AG472),$AG$2:$AG$1001,0),0), INDEX($AN$1004:$BO$1004,1,MATCH(COLUMNS($AN$1006:AO1006),$AN$1006:$BO$1006,0)))),"Fix")))</f>
        <v>0</v>
      </c>
      <c r="D472" s="4">
        <f>IF(OR(INDEX($AH$2:$AH$1001,MATCH(ROWS($AG$2:AG472),$AG$2:$AG$1001,0),1)&gt;=100000,INDEX($AN$1005:$BO$1005,1,MATCH(COLUMNS($AN$1006:AP1006),$AN$1006:$BO$1006,0))&gt;=100000), " ",IF(INDEX($AN$2:$BO$1001,MATCH(ROWS($AG$2:AG472),$AG$2:$AG$1001,0),MATCH(COLUMNS($AN$1006:AP1006),$AN$1006:$BO$1006,0)), HYPERLINK("#",""), HYPERLINK(CONCATENATE("#Metadata!", ADDRESS(INDEX($AI$2:$AI$1001,MATCH(ROWS($AG$2:AG472),$AG$2:$AG$1001,0),0), INDEX($AN$1004:$BO$1004,1,MATCH(COLUMNS($AN$1006:AP1006),$AN$1006:$BO$1006,0)))),"Fix")))</f>
        <v>0</v>
      </c>
      <c r="E472" s="4">
        <f>IF(OR(INDEX($AH$2:$AH$1001,MATCH(ROWS($AG$2:AG472),$AG$2:$AG$1001,0),1)&gt;=100000,INDEX($AN$1005:$BO$1005,1,MATCH(COLUMNS($AN$1006:AQ1006),$AN$1006:$BO$1006,0))&gt;=100000), " ",IF(INDEX($AN$2:$BO$1001,MATCH(ROWS($AG$2:AG472),$AG$2:$AG$1001,0),MATCH(COLUMNS($AN$1006:AQ1006),$AN$1006:$BO$1006,0)), HYPERLINK("#",""), HYPERLINK(CONCATENATE("#Metadata!", ADDRESS(INDEX($AI$2:$AI$1001,MATCH(ROWS($AG$2:AG472),$AG$2:$AG$1001,0),0), INDEX($AN$1004:$BO$1004,1,MATCH(COLUMNS($AN$1006:AQ1006),$AN$1006:$BO$1006,0)))),"Fix")))</f>
        <v>0</v>
      </c>
      <c r="F472" s="4">
        <f>IF(OR(INDEX($AH$2:$AH$1001,MATCH(ROWS($AG$2:AG472),$AG$2:$AG$1001,0),1)&gt;=100000,INDEX($AN$1005:$BO$1005,1,MATCH(COLUMNS($AN$1006:AR1006),$AN$1006:$BO$1006,0))&gt;=100000), " ",IF(INDEX($AN$2:$BO$1001,MATCH(ROWS($AG$2:AG472),$AG$2:$AG$1001,0),MATCH(COLUMNS($AN$1006:AR1006),$AN$1006:$BO$1006,0)), HYPERLINK("#",""), HYPERLINK(CONCATENATE("#Metadata!", ADDRESS(INDEX($AI$2:$AI$1001,MATCH(ROWS($AG$2:AG472),$AG$2:$AG$1001,0),0), INDEX($AN$1004:$BO$1004,1,MATCH(COLUMNS($AN$1006:AR1006),$AN$1006:$BO$1006,0)))),"Fix")))</f>
        <v>0</v>
      </c>
      <c r="G472" s="4">
        <f>IF(OR(INDEX($AH$2:$AH$1001,MATCH(ROWS($AG$2:AG472),$AG$2:$AG$1001,0),1)&gt;=100000,INDEX($AN$1005:$BO$1005,1,MATCH(COLUMNS($AN$1006:AS1006),$AN$1006:$BO$1006,0))&gt;=100000), " ",IF(INDEX($AN$2:$BO$1001,MATCH(ROWS($AG$2:AG472),$AG$2:$AG$1001,0),MATCH(COLUMNS($AN$1006:AS1006),$AN$1006:$BO$1006,0)), HYPERLINK("#",""), HYPERLINK(CONCATENATE("#Metadata!", ADDRESS(INDEX($AI$2:$AI$1001,MATCH(ROWS($AG$2:AG472),$AG$2:$AG$1001,0),0), INDEX($AN$1004:$BO$1004,1,MATCH(COLUMNS($AN$1006:AS1006),$AN$1006:$BO$1006,0)))),"Fix")))</f>
        <v>0</v>
      </c>
      <c r="H472" s="4">
        <f>IF(OR(INDEX($AH$2:$AH$1001,MATCH(ROWS($AG$2:AG472),$AG$2:$AG$1001,0),1)&gt;=100000,INDEX($AN$1005:$BO$1005,1,MATCH(COLUMNS($AN$1006:AT1006),$AN$1006:$BO$1006,0))&gt;=100000), " ",IF(INDEX($AN$2:$BO$1001,MATCH(ROWS($AG$2:AG472),$AG$2:$AG$1001,0),MATCH(COLUMNS($AN$1006:AT1006),$AN$1006:$BO$1006,0)), HYPERLINK("#",""), HYPERLINK(CONCATENATE("#Metadata!", ADDRESS(INDEX($AI$2:$AI$1001,MATCH(ROWS($AG$2:AG472),$AG$2:$AG$1001,0),0), INDEX($AN$1004:$BO$1004,1,MATCH(COLUMNS($AN$1006:AT1006),$AN$1006:$BO$1006,0)))),"Fix")))</f>
        <v>0</v>
      </c>
      <c r="I472" s="4">
        <f>IF(OR(INDEX($AH$2:$AH$1001,MATCH(ROWS($AG$2:AG472),$AG$2:$AG$1001,0),1)&gt;=100000,INDEX($AN$1005:$BO$1005,1,MATCH(COLUMNS($AN$1006:AU1006),$AN$1006:$BO$1006,0))&gt;=100000), " ",IF(INDEX($AN$2:$BO$1001,MATCH(ROWS($AG$2:AG472),$AG$2:$AG$1001,0),MATCH(COLUMNS($AN$1006:AU1006),$AN$1006:$BO$1006,0)), HYPERLINK("#",""), HYPERLINK(CONCATENATE("#Metadata!", ADDRESS(INDEX($AI$2:$AI$1001,MATCH(ROWS($AG$2:AG472),$AG$2:$AG$1001,0),0), INDEX($AN$1004:$BO$1004,1,MATCH(COLUMNS($AN$1006:AU1006),$AN$1006:$BO$1006,0)))),"Fix")))</f>
        <v>0</v>
      </c>
      <c r="J472" s="4">
        <f>IF(OR(INDEX($AH$2:$AH$1001,MATCH(ROWS($AG$2:AG472),$AG$2:$AG$1001,0),1)&gt;=100000,INDEX($AN$1005:$BO$1005,1,MATCH(COLUMNS($AN$1006:AV1006),$AN$1006:$BO$1006,0))&gt;=100000), " ",IF(INDEX($AN$2:$BO$1001,MATCH(ROWS($AG$2:AG472),$AG$2:$AG$1001,0),MATCH(COLUMNS($AN$1006:AV1006),$AN$1006:$BO$1006,0)), HYPERLINK("#",""), HYPERLINK(CONCATENATE("#Metadata!", ADDRESS(INDEX($AI$2:$AI$1001,MATCH(ROWS($AG$2:AG472),$AG$2:$AG$1001,0),0), INDEX($AN$1004:$BO$1004,1,MATCH(COLUMNS($AN$1006:AV1006),$AN$1006:$BO$1006,0)))),"Fix")))</f>
        <v>0</v>
      </c>
      <c r="K472" s="4">
        <f>IF(OR(INDEX($AH$2:$AH$1001,MATCH(ROWS($AG$2:AG472),$AG$2:$AG$1001,0),1)&gt;=100000,INDEX($AN$1005:$BO$1005,1,MATCH(COLUMNS($AN$1006:AW1006),$AN$1006:$BO$1006,0))&gt;=100000), " ",IF(INDEX($AN$2:$BO$1001,MATCH(ROWS($AG$2:AG472),$AG$2:$AG$1001,0),MATCH(COLUMNS($AN$1006:AW1006),$AN$1006:$BO$1006,0)), HYPERLINK("#",""), HYPERLINK(CONCATENATE("#Metadata!", ADDRESS(INDEX($AI$2:$AI$1001,MATCH(ROWS($AG$2:AG472),$AG$2:$AG$1001,0),0), INDEX($AN$1004:$BO$1004,1,MATCH(COLUMNS($AN$1006:AW1006),$AN$1006:$BO$1006,0)))),"Fix")))</f>
        <v>0</v>
      </c>
      <c r="L472" s="4">
        <f>IF(OR(INDEX($AH$2:$AH$1001,MATCH(ROWS($AG$2:AG472),$AG$2:$AG$1001,0),1)&gt;=100000,INDEX($AN$1005:$BO$1005,1,MATCH(COLUMNS($AN$1006:AX1006),$AN$1006:$BO$1006,0))&gt;=100000), " ",IF(INDEX($AN$2:$BO$1001,MATCH(ROWS($AG$2:AG472),$AG$2:$AG$1001,0),MATCH(COLUMNS($AN$1006:AX1006),$AN$1006:$BO$1006,0)), HYPERLINK("#",""), HYPERLINK(CONCATENATE("#Metadata!", ADDRESS(INDEX($AI$2:$AI$1001,MATCH(ROWS($AG$2:AG472),$AG$2:$AG$1001,0),0), INDEX($AN$1004:$BO$1004,1,MATCH(COLUMNS($AN$1006:AX1006),$AN$1006:$BO$1006,0)))),"Fix")))</f>
        <v>0</v>
      </c>
      <c r="M472" s="4">
        <f>IF(OR(INDEX($AH$2:$AH$1001,MATCH(ROWS($AG$2:AG472),$AG$2:$AG$1001,0),1)&gt;=100000,INDEX($AN$1005:$BO$1005,1,MATCH(COLUMNS($AN$1006:AY1006),$AN$1006:$BO$1006,0))&gt;=100000), " ",IF(INDEX($AN$2:$BO$1001,MATCH(ROWS($AG$2:AG472),$AG$2:$AG$1001,0),MATCH(COLUMNS($AN$1006:AY1006),$AN$1006:$BO$1006,0)), HYPERLINK("#",""), HYPERLINK(CONCATENATE("#Metadata!", ADDRESS(INDEX($AI$2:$AI$1001,MATCH(ROWS($AG$2:AG472),$AG$2:$AG$1001,0),0), INDEX($AN$1004:$BO$1004,1,MATCH(COLUMNS($AN$1006:AY1006),$AN$1006:$BO$1006,0)))),"Fix")))</f>
        <v>0</v>
      </c>
      <c r="N472" s="4">
        <f>IF(OR(INDEX($AH$2:$AH$1001,MATCH(ROWS($AG$2:AG472),$AG$2:$AG$1001,0),1)&gt;=100000,INDEX($AN$1005:$BO$1005,1,MATCH(COLUMNS($AN$1006:AZ1006),$AN$1006:$BO$1006,0))&gt;=100000), " ",IF(INDEX($AN$2:$BO$1001,MATCH(ROWS($AG$2:AG472),$AG$2:$AG$1001,0),MATCH(COLUMNS($AN$1006:AZ1006),$AN$1006:$BO$1006,0)), HYPERLINK("#",""), HYPERLINK(CONCATENATE("#Metadata!", ADDRESS(INDEX($AI$2:$AI$1001,MATCH(ROWS($AG$2:AG472),$AG$2:$AG$1001,0),0), INDEX($AN$1004:$BO$1004,1,MATCH(COLUMNS($AN$1006:AZ1006),$AN$1006:$BO$1006,0)))),"Fix")))</f>
        <v>0</v>
      </c>
      <c r="O472" s="4">
        <f>IF(OR(INDEX($AH$2:$AH$1001,MATCH(ROWS($AG$2:AG472),$AG$2:$AG$1001,0),1)&gt;=100000,INDEX($AN$1005:$BO$1005,1,MATCH(COLUMNS($AN$1006:BA1006),$AN$1006:$BO$1006,0))&gt;=100000), " ",IF(INDEX($AN$2:$BO$1001,MATCH(ROWS($AG$2:AG472),$AG$2:$AG$1001,0),MATCH(COLUMNS($AN$1006:BA1006),$AN$1006:$BO$1006,0)), HYPERLINK("#",""), HYPERLINK(CONCATENATE("#Metadata!", ADDRESS(INDEX($AI$2:$AI$1001,MATCH(ROWS($AG$2:AG472),$AG$2:$AG$1001,0),0), INDEX($AN$1004:$BO$1004,1,MATCH(COLUMNS($AN$1006:BA1006),$AN$1006:$BO$1006,0)))),"Fix")))</f>
        <v>0</v>
      </c>
      <c r="P472" s="4">
        <f>IF(OR(INDEX($AH$2:$AH$1001,MATCH(ROWS($AG$2:AG472),$AG$2:$AG$1001,0),1)&gt;=100000,INDEX($AN$1005:$BO$1005,1,MATCH(COLUMNS($AN$1006:BB1006),$AN$1006:$BO$1006,0))&gt;=100000), " ",IF(INDEX($AN$2:$BO$1001,MATCH(ROWS($AG$2:AG472),$AG$2:$AG$1001,0),MATCH(COLUMNS($AN$1006:BB1006),$AN$1006:$BO$1006,0)), HYPERLINK("#",""), HYPERLINK(CONCATENATE("#Metadata!", ADDRESS(INDEX($AI$2:$AI$1001,MATCH(ROWS($AG$2:AG472),$AG$2:$AG$1001,0),0), INDEX($AN$1004:$BO$1004,1,MATCH(COLUMNS($AN$1006:BB1006),$AN$1006:$BO$1006,0)))),"Fix")))</f>
        <v>0</v>
      </c>
      <c r="Q472" s="4">
        <f>IF(OR(INDEX($AH$2:$AH$1001,MATCH(ROWS($AG$2:AG472),$AG$2:$AG$1001,0),1)&gt;=100000,INDEX($AN$1005:$BO$1005,1,MATCH(COLUMNS($AN$1006:BC1006),$AN$1006:$BO$1006,0))&gt;=100000), " ",IF(INDEX($AN$2:$BO$1001,MATCH(ROWS($AG$2:AG472),$AG$2:$AG$1001,0),MATCH(COLUMNS($AN$1006:BC1006),$AN$1006:$BO$1006,0)), HYPERLINK("#",""), HYPERLINK(CONCATENATE("#Metadata!", ADDRESS(INDEX($AI$2:$AI$1001,MATCH(ROWS($AG$2:AG472),$AG$2:$AG$1001,0),0), INDEX($AN$1004:$BO$1004,1,MATCH(COLUMNS($AN$1006:BC1006),$AN$1006:$BO$1006,0)))),"Fix")))</f>
        <v>0</v>
      </c>
      <c r="R472" s="4">
        <f>IF(OR(INDEX($AH$2:$AH$1001,MATCH(ROWS($AG$2:AG472),$AG$2:$AG$1001,0),1)&gt;=100000,INDEX($AN$1005:$BO$1005,1,MATCH(COLUMNS($AN$1006:BD1006),$AN$1006:$BO$1006,0))&gt;=100000), " ",IF(INDEX($AN$2:$BO$1001,MATCH(ROWS($AG$2:AG472),$AG$2:$AG$1001,0),MATCH(COLUMNS($AN$1006:BD1006),$AN$1006:$BO$1006,0)), HYPERLINK("#",""), HYPERLINK(CONCATENATE("#Metadata!", ADDRESS(INDEX($AI$2:$AI$1001,MATCH(ROWS($AG$2:AG472),$AG$2:$AG$1001,0),0), INDEX($AN$1004:$BO$1004,1,MATCH(COLUMNS($AN$1006:BD1006),$AN$1006:$BO$1006,0)))),"Fix")))</f>
        <v>0</v>
      </c>
      <c r="S472" s="4">
        <f>IF(OR(INDEX($AH$2:$AH$1001,MATCH(ROWS($AG$2:AG472),$AG$2:$AG$1001,0),1)&gt;=100000,INDEX($AN$1005:$BO$1005,1,MATCH(COLUMNS($AN$1006:BE1006),$AN$1006:$BO$1006,0))&gt;=100000), " ",IF(INDEX($AN$2:$BO$1001,MATCH(ROWS($AG$2:AG472),$AG$2:$AG$1001,0),MATCH(COLUMNS($AN$1006:BE1006),$AN$1006:$BO$1006,0)), HYPERLINK("#",""), HYPERLINK(CONCATENATE("#Metadata!", ADDRESS(INDEX($AI$2:$AI$1001,MATCH(ROWS($AG$2:AG472),$AG$2:$AG$1001,0),0), INDEX($AN$1004:$BO$1004,1,MATCH(COLUMNS($AN$1006:BE1006),$AN$1006:$BO$1006,0)))),"Fix")))</f>
        <v>0</v>
      </c>
      <c r="T472" s="4">
        <f>IF(OR(INDEX($AH$2:$AH$1001,MATCH(ROWS($AG$2:AG472),$AG$2:$AG$1001,0),1)&gt;=100000,INDEX($AN$1005:$BO$1005,1,MATCH(COLUMNS($AN$1006:BF1006),$AN$1006:$BO$1006,0))&gt;=100000), " ",IF(INDEX($AN$2:$BO$1001,MATCH(ROWS($AG$2:AG472),$AG$2:$AG$1001,0),MATCH(COLUMNS($AN$1006:BF1006),$AN$1006:$BO$1006,0)), HYPERLINK("#",""), HYPERLINK(CONCATENATE("#Metadata!", ADDRESS(INDEX($AI$2:$AI$1001,MATCH(ROWS($AG$2:AG472),$AG$2:$AG$1001,0),0), INDEX($AN$1004:$BO$1004,1,MATCH(COLUMNS($AN$1006:BF1006),$AN$1006:$BO$1006,0)))),"Fix")))</f>
        <v>0</v>
      </c>
      <c r="U472" s="4">
        <f>IF(OR(INDEX($AH$2:$AH$1001,MATCH(ROWS($AG$2:AG472),$AG$2:$AG$1001,0),1)&gt;=100000,INDEX($AN$1005:$BO$1005,1,MATCH(COLUMNS($AN$1006:BG1006),$AN$1006:$BO$1006,0))&gt;=100000), " ",IF(INDEX($AN$2:$BO$1001,MATCH(ROWS($AG$2:AG472),$AG$2:$AG$1001,0),MATCH(COLUMNS($AN$1006:BG1006),$AN$1006:$BO$1006,0)), HYPERLINK("#",""), HYPERLINK(CONCATENATE("#Metadata!", ADDRESS(INDEX($AI$2:$AI$1001,MATCH(ROWS($AG$2:AG472),$AG$2:$AG$1001,0),0), INDEX($AN$1004:$BO$1004,1,MATCH(COLUMNS($AN$1006:BG1006),$AN$1006:$BO$1006,0)))),"Fix")))</f>
        <v>0</v>
      </c>
      <c r="V472" s="4">
        <f>IF(OR(INDEX($AH$2:$AH$1001,MATCH(ROWS($AG$2:AG472),$AG$2:$AG$1001,0),1)&gt;=100000,INDEX($AN$1005:$BO$1005,1,MATCH(COLUMNS($AN$1006:BH1006),$AN$1006:$BO$1006,0))&gt;=100000), " ",IF(INDEX($AN$2:$BO$1001,MATCH(ROWS($AG$2:AG472),$AG$2:$AG$1001,0),MATCH(COLUMNS($AN$1006:BH1006),$AN$1006:$BO$1006,0)), HYPERLINK("#",""), HYPERLINK(CONCATENATE("#Metadata!", ADDRESS(INDEX($AI$2:$AI$1001,MATCH(ROWS($AG$2:AG472),$AG$2:$AG$1001,0),0), INDEX($AN$1004:$BO$1004,1,MATCH(COLUMNS($AN$1006:BH1006),$AN$1006:$BO$1006,0)))),"Fix")))</f>
        <v>0</v>
      </c>
      <c r="W472" s="4">
        <f>IF(OR(INDEX($AH$2:$AH$1001,MATCH(ROWS($AG$2:AG472),$AG$2:$AG$1001,0),1)&gt;=100000,INDEX($AN$1005:$BO$1005,1,MATCH(COLUMNS($AN$1006:BI1006),$AN$1006:$BO$1006,0))&gt;=100000), " ",IF(INDEX($AN$2:$BO$1001,MATCH(ROWS($AG$2:AG472),$AG$2:$AG$1001,0),MATCH(COLUMNS($AN$1006:BI1006),$AN$1006:$BO$1006,0)), HYPERLINK("#",""), HYPERLINK(CONCATENATE("#Metadata!", ADDRESS(INDEX($AI$2:$AI$1001,MATCH(ROWS($AG$2:AG472),$AG$2:$AG$1001,0),0), INDEX($AN$1004:$BO$1004,1,MATCH(COLUMNS($AN$1006:BI1006),$AN$1006:$BO$1006,0)))),"Fix")))</f>
        <v>0</v>
      </c>
      <c r="X472" s="4">
        <f>IF(OR(INDEX($AH$2:$AH$1001,MATCH(ROWS($AG$2:AG472),$AG$2:$AG$1001,0),1)&gt;=100000,INDEX($AN$1005:$BO$1005,1,MATCH(COLUMNS($AN$1006:BJ1006),$AN$1006:$BO$1006,0))&gt;=100000), " ",IF(INDEX($AN$2:$BO$1001,MATCH(ROWS($AG$2:AG472),$AG$2:$AG$1001,0),MATCH(COLUMNS($AN$1006:BJ1006),$AN$1006:$BO$1006,0)), HYPERLINK("#",""), HYPERLINK(CONCATENATE("#Metadata!", ADDRESS(INDEX($AI$2:$AI$1001,MATCH(ROWS($AG$2:AG472),$AG$2:$AG$1001,0),0), INDEX($AN$1004:$BO$1004,1,MATCH(COLUMNS($AN$1006:BJ1006),$AN$1006:$BO$1006,0)))),"Fix")))</f>
        <v>0</v>
      </c>
      <c r="Y472" s="4">
        <f>IF(OR(INDEX($AH$2:$AH$1001,MATCH(ROWS($AG$2:AG472),$AG$2:$AG$1001,0),1)&gt;=100000,INDEX($AN$1005:$BO$1005,1,MATCH(COLUMNS($AN$1006:BK1006),$AN$1006:$BO$1006,0))&gt;=100000), " ",IF(INDEX($AN$2:$BO$1001,MATCH(ROWS($AG$2:AG472),$AG$2:$AG$1001,0),MATCH(COLUMNS($AN$1006:BK1006),$AN$1006:$BO$1006,0)), HYPERLINK("#",""), HYPERLINK(CONCATENATE("#Metadata!", ADDRESS(INDEX($AI$2:$AI$1001,MATCH(ROWS($AG$2:AG472),$AG$2:$AG$1001,0),0), INDEX($AN$1004:$BO$1004,1,MATCH(COLUMNS($AN$1006:BK1006),$AN$1006:$BO$1006,0)))),"Fix")))</f>
        <v>0</v>
      </c>
      <c r="Z472" s="4">
        <f>IF(OR(INDEX($AH$2:$AH$1001,MATCH(ROWS($AG$2:AG472),$AG$2:$AG$1001,0),1)&gt;=100000,INDEX($AN$1005:$BO$1005,1,MATCH(COLUMNS($AN$1006:BL1006),$AN$1006:$BO$1006,0))&gt;=100000), " ",IF(INDEX($AN$2:$BO$1001,MATCH(ROWS($AG$2:AG472),$AG$2:$AG$1001,0),MATCH(COLUMNS($AN$1006:BL1006),$AN$1006:$BO$1006,0)), HYPERLINK("#",""), HYPERLINK(CONCATENATE("#Metadata!", ADDRESS(INDEX($AI$2:$AI$1001,MATCH(ROWS($AG$2:AG472),$AG$2:$AG$1001,0),0), INDEX($AN$1004:$BO$1004,1,MATCH(COLUMNS($AN$1006:BL1006),$AN$1006:$BO$1006,0)))),"Fix")))</f>
        <v>0</v>
      </c>
      <c r="AA472" s="4">
        <f>IF(OR(INDEX($AH$2:$AH$1001,MATCH(ROWS($AG$2:AG472),$AG$2:$AG$1001,0),1)&gt;=100000,INDEX($AN$1005:$BO$1005,1,MATCH(COLUMNS($AN$1006:BM1006),$AN$1006:$BO$1006,0))&gt;=100000), " ",IF(INDEX($AN$2:$BO$1001,MATCH(ROWS($AG$2:AG472),$AG$2:$AG$1001,0),MATCH(COLUMNS($AN$1006:BM1006),$AN$1006:$BO$1006,0)), HYPERLINK("#",""), HYPERLINK(CONCATENATE("#Metadata!", ADDRESS(INDEX($AI$2:$AI$1001,MATCH(ROWS($AG$2:AG472),$AG$2:$AG$1001,0),0), INDEX($AN$1004:$BO$1004,1,MATCH(COLUMNS($AN$1006:BM1006),$AN$1006:$BO$1006,0)))),"Fix")))</f>
        <v>0</v>
      </c>
      <c r="AB472" s="4">
        <f>IF(OR(INDEX($AH$2:$AH$1001,MATCH(ROWS($AG$2:AG472),$AG$2:$AG$1001,0),1)&gt;=100000,INDEX($AN$1005:$BO$1005,1,MATCH(COLUMNS($AN$1006:BN1006),$AN$1006:$BO$1006,0))&gt;=100000), " ",IF(INDEX($AN$2:$BO$1001,MATCH(ROWS($AG$2:AG472),$AG$2:$AG$1001,0),MATCH(COLUMNS($AN$1006:BN1006),$AN$1006:$BO$1006,0)), HYPERLINK("#",""), HYPERLINK(CONCATENATE("#Metadata!", ADDRESS(INDEX($AI$2:$AI$1001,MATCH(ROWS($AG$2:AG472),$AG$2:$AG$1001,0),0), INDEX($AN$1004:$BO$1004,1,MATCH(COLUMNS($AN$1006:BN1006),$AN$1006:$BO$1006,0)))),"Fix")))</f>
        <v>0</v>
      </c>
      <c r="AC472" s="4">
        <f>IF(OR(INDEX($AH$2:$AH$1001,MATCH(ROWS($AG$2:AG472),$AG$2:$AG$1001,0),1)&gt;=100000,INDEX($AN$1005:$BO$1005,1,MATCH(COLUMNS($AN$1006:BO1006),$AN$1006:$BO$1006,0))&gt;=100000), " ",IF(INDEX($AN$2:$BO$1001,MATCH(ROWS($AG$2:AG472),$AG$2:$AG$1001,0),MATCH(COLUMNS($AN$1006:BO1006),$AN$1006:$BO$1006,0)), HYPERLINK("#",""), HYPERLINK(CONCATENATE("#Metadata!", ADDRESS(INDEX($AI$2:$AI$1001,MATCH(ROWS($AG$2:AG472),$AG$2:$AG$1001,0),0), INDEX($AN$1004:$BO$1004,1,MATCH(COLUMNS($AN$1006:BO1006),$AN$1006:$BO$1006,0)))),"Fix")))</f>
        <v>0</v>
      </c>
      <c r="AG472">
        <v>0</v>
      </c>
      <c r="AH472">
        <v>0</v>
      </c>
      <c r="AI472">
        <v>0</v>
      </c>
      <c r="AJ472">
        <f>IF(AK472,TRUE,AND(AN472:BO472))</f>
        <v>0</v>
      </c>
      <c r="AK472">
        <f>COUNTBLANK(Metadata!B472:AC472)=COLUMNS(Metadata!B472:AC472)</f>
        <v>0</v>
      </c>
      <c r="AL472">
        <v>0</v>
      </c>
      <c r="AN472">
        <f>AND(IF(Metadata!B472="",FALSE,TRUE),COUNTIF(Metadata!B:B, Metadata!B472) = 1,NOT(ISERROR(SUMPRODUCT(SEARCH(MID(Metadata!B472,ROW(INDIRECT("1:"&amp;LEN(Metadata!B472))), 1),"0123456789abcdefghijklmnopqrstuvwxyzABCDEFGHIJKLMNOPQRSTUVWXYZ.")))))</f>
        <v>0</v>
      </c>
      <c r="AO472">
        <f>IF(Metadata!C472="",FALSE,TRUE)</f>
        <v>0</v>
      </c>
      <c r="AP472">
        <f>IF(Metadata!D472="",FALSE,TRUE)</f>
        <v>0</v>
      </c>
      <c r="AQ472">
        <f>OR(AND(IF(Metadata!E472="",FALSE,TRUE),OR(exact(Metadata!E472,"not collected"),exact(Metadata!E472,"not provided"),exact(Metadata!E472,"restricted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R472">
        <f>IF(Metadata!F472="",FALSE,TRUE)</f>
        <v>0</v>
      </c>
      <c r="AS472">
        <f>OR(AND(IF(Metadata!G472="",FALSE,TRUE),OR(exact(Metadata!G472,"not collected"),exact(Metadata!G472,"not provided"))),AND(IF(Metadata!G472="",FALSE,TRUE),OR(exact(Metadata!G472,"TRUE"),exact(Metadata!G472,"FALSE"))))</f>
        <v>0</v>
      </c>
      <c r="AT472">
        <f>OR(AND(IF(Metadata!H472="",FALSE,TRUE),OR(exact(Metadata!H472,"not collected"),exact(Metadata!H472,"not provided"),exact(Metadata!H472,"restricted access"))),AND(IF(Metadata!H472="",FALSE,ISNUMBER(VALUE(Metadata!H472))),Metadata!H472&gt;=-413.0))</f>
        <v>0</v>
      </c>
      <c r="AU472">
        <f>AND(IF(Metadata!I472="",FALSE,TRUE),exact(Metadata!I472,"meters"))</f>
        <v>0</v>
      </c>
      <c r="AV472">
        <f>AND(IF(Metadata!J472="",FALSE,TRUE),OR(exact(Metadata!J472,"Host-associated"),exact(Metadata!J472,"Free-living")))</f>
        <v>0</v>
      </c>
      <c r="AW472">
        <f>AND(IF(Metadata!K472="",FALSE,TRUE),OR(exact(Metadata!K472,"Animal"),exact(Metadata!K472,"Fungus"),exact(Metadata!K472,"Plant"),exact(Metadata!K472,"Saline"),exact(Metadata!K472,"Non-saline")))</f>
        <v>0</v>
      </c>
      <c r="AX472">
        <f>AND(IF(Metadata!L472="",FALSE,TRUE),OR(exact(Metadata!L472,"Plant secretion"),exact(Metadata!L472,"Plant rhizosphere"),exact(Metadata!L472,"Plant surface"),exact(Metadata!L472,"Plant corpus"),exact(Metadata!L472,"Fungus surface"),exact(Metadata!L472,"Fungus corpus"),exact(Metadata!L472,"Animal surface"),exact(Metadata!L472,"Animal proximal gut"),exact(Metadata!L472,"Animal corpus"),exact(Metadata!L472,"Animal distal gut"),exact(Metadata!L472,"Animal secretion"),exact(Metadata!L472,"Sub-surface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Y472">
        <f>IF(Metadata!M472="",FALSE,TRUE)</f>
        <v>0</v>
      </c>
      <c r="AZ472">
        <f>IF(Metadata!N472="",FALSE,TRUE)</f>
        <v>0</v>
      </c>
      <c r="BA472">
        <f>IF(Metadata!O472="",FALSE,TRUE)</f>
        <v>0</v>
      </c>
      <c r="BB472">
        <f>OR(AND(IF(Metadata!P472="",FALSE,TRUE),OR(exact(Metadata!P472,"not collected"),exact(Metadata!P472,"not provided"),exact(Metadata!P472,"restricted access"))),AND(IF(Metadata!P472="",FALSE,TRUE),OR(exact(Metadata!P472,"air"),exact(Metadata!P472,"built environment"),exact(Metadata!P472,"host-associated"),exact(Metadata!P472,"human-associated"),exact(Metadata!P472,"human-skin"),exact(Metadata!P472,"human-oral"),exact(Metadata!P472,"human-gut"),exact(Metadata!P472,"human-vaginal"),exact(Metadata!P472,"microbial mat/biofilm"),exact(Metadata!P472,"misc environment"),exact(Metadata!P472,"plant-associated"),exact(Metadata!P472,"sediment"),exact(Metadata!P472,"soil"),exact(Metadata!P472,"wastewater/sludge"),exact(Metadata!P472,"water"))))</f>
        <v>0</v>
      </c>
      <c r="BC472">
        <f>IF(Metadata!Q472="",FALSE,TRUE)</f>
        <v>0</v>
      </c>
      <c r="BD472">
        <f>IF(Metadata!R472="",FALSE,TRUE)</f>
        <v>0</v>
      </c>
      <c r="BE472">
        <f>OR(AND(IF(Metadata!S472="",FALSE,TRUE),OR(exact(Metadata!S472,"not collected"),exact(Metadata!S472,"not provided"),exact(Metadata!S472,"restricted access"))),AND(IF(Metadata!S472="",FALSE,ISNUMBER(VALUE(Metadata!S472))),Metadata!S472&gt;=-90.00,Metadata!S472&lt;=90.00))</f>
        <v>0</v>
      </c>
      <c r="BF472">
        <f>AND(IF(Metadata!T472="",FALSE,TRUE),exact(Metadata!T472,"Decimal degrees"))</f>
        <v>0</v>
      </c>
      <c r="BG472">
        <f>OR(AND(IF(Metadata!U472="",FALSE,TRUE),OR(exact(Metadata!U472,"not collected"),exact(Metadata!U472,"not provided"),exact(Metadata!U472,"restricted access"))),AND(IF(Metadata!U472="",FALSE,ISNUMBER(VALUE(Metadata!U472))),Metadata!U472&gt;=-180.00,Metadata!U472&lt;=180.00))</f>
        <v>0</v>
      </c>
      <c r="BH472">
        <f>AND(IF(Metadata!V472="",FALSE,TRUE),exact(Metadata!V472,"Decimal degrees"))</f>
        <v>0</v>
      </c>
      <c r="BI472">
        <f>IF(Metadata!W472="",FALSE,TRUE)</f>
        <v>0</v>
      </c>
      <c r="BJ472">
        <f>OR(AND(IF(Metadata!X472="",FALSE,TRUE),OR(exact(Metadata!X472,"not collected"),exact(Metadata!X472,"not provided"),exact(Metadata!X472,"restricted access"))),AND(IF(Metadata!X472="",FALSE,TRUE),OR(exact(Metadata!X472,"TRUE"),exact(Metadata!X472,"FALSE"))))</f>
        <v>0</v>
      </c>
      <c r="BK472">
        <f>AND(IF(Metadata!Y472="",FALSE,TRUE),exact(Metadata!Y472,"other"))</f>
        <v>0</v>
      </c>
      <c r="BL472">
        <f>IF(Metadata!Z472="",FALSE,TRUE)</f>
        <v>0</v>
      </c>
      <c r="BM472">
        <f>OR(AND(IF(Metadata!AA472="",FALSE,TRUE),OR(exact(Metadata!AA472,"not collected"),exact(Metadata!AA472,"not provided"))),AND(IF(Metadata!AA472="",FALSE,IF(ISERROR(INT(Metadata!AA472)),FALSE,INT(Metadata!AA472)=Metadata!AA472)),Metadata!AA472&gt;0))</f>
        <v>0</v>
      </c>
      <c r="BN472">
        <f>AND(IF(Metadata!AB472="",FALSE,TRUE),exact(Metadata!AB472,"Not applicable"))</f>
        <v>0</v>
      </c>
      <c r="BO472">
        <f>IF(Metadata!AC472="",FALSE,TRUE)</f>
        <v>0</v>
      </c>
    </row>
    <row r="473" spans="1:67">
      <c r="A473" s="5">
        <f>IF(B473=" "," ",HYPERLINK(CONCATENATE("#metadata!",ADDRESS(INDEX($AI$2:$AI$1001,MATCH(ROWS($AG$2:AG473),$AG$2:$AG$1001,0),0),1)),INDEX($AL$2:$AL$1001,MATCH(ROWS($AG$2:AG473),$AG$2:$AG$1001,0),0)))</f>
        <v>0</v>
      </c>
      <c r="B473" s="4">
        <f>IF(OR(INDEX($AH$2:$AH$1001,MATCH(ROWS($AG$2:AG473),$AG$2:$AG$1001,0),1)&gt;=100000,INDEX($AN$1005:$BO$1005,1,MATCH(COLUMNS($AN$1006:AN1006),$AN$1006:$BO$1006,0))&gt;=100000), " ",IF(INDEX($AN$2:$BO$1001,MATCH(ROWS($AG$2:AG473),$AG$2:$AG$1001,0),MATCH(COLUMNS($AN$1006:AN1006),$AN$1006:$BO$1006,0)), HYPERLINK("#",""), HYPERLINK(CONCATENATE("#Metadata!", ADDRESS(INDEX($AI$2:$AI$1001,MATCH(ROWS($AG$2:AG473),$AG$2:$AG$1001,0),0), INDEX($AN$1004:$BO$1004,1,MATCH(COLUMNS($AN$1006:AN1006),$AN$1006:$BO$1006,0)))),"Fix")))</f>
        <v>0</v>
      </c>
      <c r="C473" s="4">
        <f>IF(OR(INDEX($AH$2:$AH$1001,MATCH(ROWS($AG$2:AG473),$AG$2:$AG$1001,0),1)&gt;=100000,INDEX($AN$1005:$BO$1005,1,MATCH(COLUMNS($AN$1006:AO1006),$AN$1006:$BO$1006,0))&gt;=100000), " ",IF(INDEX($AN$2:$BO$1001,MATCH(ROWS($AG$2:AG473),$AG$2:$AG$1001,0),MATCH(COLUMNS($AN$1006:AO1006),$AN$1006:$BO$1006,0)), HYPERLINK("#",""), HYPERLINK(CONCATENATE("#Metadata!", ADDRESS(INDEX($AI$2:$AI$1001,MATCH(ROWS($AG$2:AG473),$AG$2:$AG$1001,0),0), INDEX($AN$1004:$BO$1004,1,MATCH(COLUMNS($AN$1006:AO1006),$AN$1006:$BO$1006,0)))),"Fix")))</f>
        <v>0</v>
      </c>
      <c r="D473" s="4">
        <f>IF(OR(INDEX($AH$2:$AH$1001,MATCH(ROWS($AG$2:AG473),$AG$2:$AG$1001,0),1)&gt;=100000,INDEX($AN$1005:$BO$1005,1,MATCH(COLUMNS($AN$1006:AP1006),$AN$1006:$BO$1006,0))&gt;=100000), " ",IF(INDEX($AN$2:$BO$1001,MATCH(ROWS($AG$2:AG473),$AG$2:$AG$1001,0),MATCH(COLUMNS($AN$1006:AP1006),$AN$1006:$BO$1006,0)), HYPERLINK("#",""), HYPERLINK(CONCATENATE("#Metadata!", ADDRESS(INDEX($AI$2:$AI$1001,MATCH(ROWS($AG$2:AG473),$AG$2:$AG$1001,0),0), INDEX($AN$1004:$BO$1004,1,MATCH(COLUMNS($AN$1006:AP1006),$AN$1006:$BO$1006,0)))),"Fix")))</f>
        <v>0</v>
      </c>
      <c r="E473" s="4">
        <f>IF(OR(INDEX($AH$2:$AH$1001,MATCH(ROWS($AG$2:AG473),$AG$2:$AG$1001,0),1)&gt;=100000,INDEX($AN$1005:$BO$1005,1,MATCH(COLUMNS($AN$1006:AQ1006),$AN$1006:$BO$1006,0))&gt;=100000), " ",IF(INDEX($AN$2:$BO$1001,MATCH(ROWS($AG$2:AG473),$AG$2:$AG$1001,0),MATCH(COLUMNS($AN$1006:AQ1006),$AN$1006:$BO$1006,0)), HYPERLINK("#",""), HYPERLINK(CONCATENATE("#Metadata!", ADDRESS(INDEX($AI$2:$AI$1001,MATCH(ROWS($AG$2:AG473),$AG$2:$AG$1001,0),0), INDEX($AN$1004:$BO$1004,1,MATCH(COLUMNS($AN$1006:AQ1006),$AN$1006:$BO$1006,0)))),"Fix")))</f>
        <v>0</v>
      </c>
      <c r="F473" s="4">
        <f>IF(OR(INDEX($AH$2:$AH$1001,MATCH(ROWS($AG$2:AG473),$AG$2:$AG$1001,0),1)&gt;=100000,INDEX($AN$1005:$BO$1005,1,MATCH(COLUMNS($AN$1006:AR1006),$AN$1006:$BO$1006,0))&gt;=100000), " ",IF(INDEX($AN$2:$BO$1001,MATCH(ROWS($AG$2:AG473),$AG$2:$AG$1001,0),MATCH(COLUMNS($AN$1006:AR1006),$AN$1006:$BO$1006,0)), HYPERLINK("#",""), HYPERLINK(CONCATENATE("#Metadata!", ADDRESS(INDEX($AI$2:$AI$1001,MATCH(ROWS($AG$2:AG473),$AG$2:$AG$1001,0),0), INDEX($AN$1004:$BO$1004,1,MATCH(COLUMNS($AN$1006:AR1006),$AN$1006:$BO$1006,0)))),"Fix")))</f>
        <v>0</v>
      </c>
      <c r="G473" s="4">
        <f>IF(OR(INDEX($AH$2:$AH$1001,MATCH(ROWS($AG$2:AG473),$AG$2:$AG$1001,0),1)&gt;=100000,INDEX($AN$1005:$BO$1005,1,MATCH(COLUMNS($AN$1006:AS1006),$AN$1006:$BO$1006,0))&gt;=100000), " ",IF(INDEX($AN$2:$BO$1001,MATCH(ROWS($AG$2:AG473),$AG$2:$AG$1001,0),MATCH(COLUMNS($AN$1006:AS1006),$AN$1006:$BO$1006,0)), HYPERLINK("#",""), HYPERLINK(CONCATENATE("#Metadata!", ADDRESS(INDEX($AI$2:$AI$1001,MATCH(ROWS($AG$2:AG473),$AG$2:$AG$1001,0),0), INDEX($AN$1004:$BO$1004,1,MATCH(COLUMNS($AN$1006:AS1006),$AN$1006:$BO$1006,0)))),"Fix")))</f>
        <v>0</v>
      </c>
      <c r="H473" s="4">
        <f>IF(OR(INDEX($AH$2:$AH$1001,MATCH(ROWS($AG$2:AG473),$AG$2:$AG$1001,0),1)&gt;=100000,INDEX($AN$1005:$BO$1005,1,MATCH(COLUMNS($AN$1006:AT1006),$AN$1006:$BO$1006,0))&gt;=100000), " ",IF(INDEX($AN$2:$BO$1001,MATCH(ROWS($AG$2:AG473),$AG$2:$AG$1001,0),MATCH(COLUMNS($AN$1006:AT1006),$AN$1006:$BO$1006,0)), HYPERLINK("#",""), HYPERLINK(CONCATENATE("#Metadata!", ADDRESS(INDEX($AI$2:$AI$1001,MATCH(ROWS($AG$2:AG473),$AG$2:$AG$1001,0),0), INDEX($AN$1004:$BO$1004,1,MATCH(COLUMNS($AN$1006:AT1006),$AN$1006:$BO$1006,0)))),"Fix")))</f>
        <v>0</v>
      </c>
      <c r="I473" s="4">
        <f>IF(OR(INDEX($AH$2:$AH$1001,MATCH(ROWS($AG$2:AG473),$AG$2:$AG$1001,0),1)&gt;=100000,INDEX($AN$1005:$BO$1005,1,MATCH(COLUMNS($AN$1006:AU1006),$AN$1006:$BO$1006,0))&gt;=100000), " ",IF(INDEX($AN$2:$BO$1001,MATCH(ROWS($AG$2:AG473),$AG$2:$AG$1001,0),MATCH(COLUMNS($AN$1006:AU1006),$AN$1006:$BO$1006,0)), HYPERLINK("#",""), HYPERLINK(CONCATENATE("#Metadata!", ADDRESS(INDEX($AI$2:$AI$1001,MATCH(ROWS($AG$2:AG473),$AG$2:$AG$1001,0),0), INDEX($AN$1004:$BO$1004,1,MATCH(COLUMNS($AN$1006:AU1006),$AN$1006:$BO$1006,0)))),"Fix")))</f>
        <v>0</v>
      </c>
      <c r="J473" s="4">
        <f>IF(OR(INDEX($AH$2:$AH$1001,MATCH(ROWS($AG$2:AG473),$AG$2:$AG$1001,0),1)&gt;=100000,INDEX($AN$1005:$BO$1005,1,MATCH(COLUMNS($AN$1006:AV1006),$AN$1006:$BO$1006,0))&gt;=100000), " ",IF(INDEX($AN$2:$BO$1001,MATCH(ROWS($AG$2:AG473),$AG$2:$AG$1001,0),MATCH(COLUMNS($AN$1006:AV1006),$AN$1006:$BO$1006,0)), HYPERLINK("#",""), HYPERLINK(CONCATENATE("#Metadata!", ADDRESS(INDEX($AI$2:$AI$1001,MATCH(ROWS($AG$2:AG473),$AG$2:$AG$1001,0),0), INDEX($AN$1004:$BO$1004,1,MATCH(COLUMNS($AN$1006:AV1006),$AN$1006:$BO$1006,0)))),"Fix")))</f>
        <v>0</v>
      </c>
      <c r="K473" s="4">
        <f>IF(OR(INDEX($AH$2:$AH$1001,MATCH(ROWS($AG$2:AG473),$AG$2:$AG$1001,0),1)&gt;=100000,INDEX($AN$1005:$BO$1005,1,MATCH(COLUMNS($AN$1006:AW1006),$AN$1006:$BO$1006,0))&gt;=100000), " ",IF(INDEX($AN$2:$BO$1001,MATCH(ROWS($AG$2:AG473),$AG$2:$AG$1001,0),MATCH(COLUMNS($AN$1006:AW1006),$AN$1006:$BO$1006,0)), HYPERLINK("#",""), HYPERLINK(CONCATENATE("#Metadata!", ADDRESS(INDEX($AI$2:$AI$1001,MATCH(ROWS($AG$2:AG473),$AG$2:$AG$1001,0),0), INDEX($AN$1004:$BO$1004,1,MATCH(COLUMNS($AN$1006:AW1006),$AN$1006:$BO$1006,0)))),"Fix")))</f>
        <v>0</v>
      </c>
      <c r="L473" s="4">
        <f>IF(OR(INDEX($AH$2:$AH$1001,MATCH(ROWS($AG$2:AG473),$AG$2:$AG$1001,0),1)&gt;=100000,INDEX($AN$1005:$BO$1005,1,MATCH(COLUMNS($AN$1006:AX1006),$AN$1006:$BO$1006,0))&gt;=100000), " ",IF(INDEX($AN$2:$BO$1001,MATCH(ROWS($AG$2:AG473),$AG$2:$AG$1001,0),MATCH(COLUMNS($AN$1006:AX1006),$AN$1006:$BO$1006,0)), HYPERLINK("#",""), HYPERLINK(CONCATENATE("#Metadata!", ADDRESS(INDEX($AI$2:$AI$1001,MATCH(ROWS($AG$2:AG473),$AG$2:$AG$1001,0),0), INDEX($AN$1004:$BO$1004,1,MATCH(COLUMNS($AN$1006:AX1006),$AN$1006:$BO$1006,0)))),"Fix")))</f>
        <v>0</v>
      </c>
      <c r="M473" s="4">
        <f>IF(OR(INDEX($AH$2:$AH$1001,MATCH(ROWS($AG$2:AG473),$AG$2:$AG$1001,0),1)&gt;=100000,INDEX($AN$1005:$BO$1005,1,MATCH(COLUMNS($AN$1006:AY1006),$AN$1006:$BO$1006,0))&gt;=100000), " ",IF(INDEX($AN$2:$BO$1001,MATCH(ROWS($AG$2:AG473),$AG$2:$AG$1001,0),MATCH(COLUMNS($AN$1006:AY1006),$AN$1006:$BO$1006,0)), HYPERLINK("#",""), HYPERLINK(CONCATENATE("#Metadata!", ADDRESS(INDEX($AI$2:$AI$1001,MATCH(ROWS($AG$2:AG473),$AG$2:$AG$1001,0),0), INDEX($AN$1004:$BO$1004,1,MATCH(COLUMNS($AN$1006:AY1006),$AN$1006:$BO$1006,0)))),"Fix")))</f>
        <v>0</v>
      </c>
      <c r="N473" s="4">
        <f>IF(OR(INDEX($AH$2:$AH$1001,MATCH(ROWS($AG$2:AG473),$AG$2:$AG$1001,0),1)&gt;=100000,INDEX($AN$1005:$BO$1005,1,MATCH(COLUMNS($AN$1006:AZ1006),$AN$1006:$BO$1006,0))&gt;=100000), " ",IF(INDEX($AN$2:$BO$1001,MATCH(ROWS($AG$2:AG473),$AG$2:$AG$1001,0),MATCH(COLUMNS($AN$1006:AZ1006),$AN$1006:$BO$1006,0)), HYPERLINK("#",""), HYPERLINK(CONCATENATE("#Metadata!", ADDRESS(INDEX($AI$2:$AI$1001,MATCH(ROWS($AG$2:AG473),$AG$2:$AG$1001,0),0), INDEX($AN$1004:$BO$1004,1,MATCH(COLUMNS($AN$1006:AZ1006),$AN$1006:$BO$1006,0)))),"Fix")))</f>
        <v>0</v>
      </c>
      <c r="O473" s="4">
        <f>IF(OR(INDEX($AH$2:$AH$1001,MATCH(ROWS($AG$2:AG473),$AG$2:$AG$1001,0),1)&gt;=100000,INDEX($AN$1005:$BO$1005,1,MATCH(COLUMNS($AN$1006:BA1006),$AN$1006:$BO$1006,0))&gt;=100000), " ",IF(INDEX($AN$2:$BO$1001,MATCH(ROWS($AG$2:AG473),$AG$2:$AG$1001,0),MATCH(COLUMNS($AN$1006:BA1006),$AN$1006:$BO$1006,0)), HYPERLINK("#",""), HYPERLINK(CONCATENATE("#Metadata!", ADDRESS(INDEX($AI$2:$AI$1001,MATCH(ROWS($AG$2:AG473),$AG$2:$AG$1001,0),0), INDEX($AN$1004:$BO$1004,1,MATCH(COLUMNS($AN$1006:BA1006),$AN$1006:$BO$1006,0)))),"Fix")))</f>
        <v>0</v>
      </c>
      <c r="P473" s="4">
        <f>IF(OR(INDEX($AH$2:$AH$1001,MATCH(ROWS($AG$2:AG473),$AG$2:$AG$1001,0),1)&gt;=100000,INDEX($AN$1005:$BO$1005,1,MATCH(COLUMNS($AN$1006:BB1006),$AN$1006:$BO$1006,0))&gt;=100000), " ",IF(INDEX($AN$2:$BO$1001,MATCH(ROWS($AG$2:AG473),$AG$2:$AG$1001,0),MATCH(COLUMNS($AN$1006:BB1006),$AN$1006:$BO$1006,0)), HYPERLINK("#",""), HYPERLINK(CONCATENATE("#Metadata!", ADDRESS(INDEX($AI$2:$AI$1001,MATCH(ROWS($AG$2:AG473),$AG$2:$AG$1001,0),0), INDEX($AN$1004:$BO$1004,1,MATCH(COLUMNS($AN$1006:BB1006),$AN$1006:$BO$1006,0)))),"Fix")))</f>
        <v>0</v>
      </c>
      <c r="Q473" s="4">
        <f>IF(OR(INDEX($AH$2:$AH$1001,MATCH(ROWS($AG$2:AG473),$AG$2:$AG$1001,0),1)&gt;=100000,INDEX($AN$1005:$BO$1005,1,MATCH(COLUMNS($AN$1006:BC1006),$AN$1006:$BO$1006,0))&gt;=100000), " ",IF(INDEX($AN$2:$BO$1001,MATCH(ROWS($AG$2:AG473),$AG$2:$AG$1001,0),MATCH(COLUMNS($AN$1006:BC1006),$AN$1006:$BO$1006,0)), HYPERLINK("#",""), HYPERLINK(CONCATENATE("#Metadata!", ADDRESS(INDEX($AI$2:$AI$1001,MATCH(ROWS($AG$2:AG473),$AG$2:$AG$1001,0),0), INDEX($AN$1004:$BO$1004,1,MATCH(COLUMNS($AN$1006:BC1006),$AN$1006:$BO$1006,0)))),"Fix")))</f>
        <v>0</v>
      </c>
      <c r="R473" s="4">
        <f>IF(OR(INDEX($AH$2:$AH$1001,MATCH(ROWS($AG$2:AG473),$AG$2:$AG$1001,0),1)&gt;=100000,INDEX($AN$1005:$BO$1005,1,MATCH(COLUMNS($AN$1006:BD1006),$AN$1006:$BO$1006,0))&gt;=100000), " ",IF(INDEX($AN$2:$BO$1001,MATCH(ROWS($AG$2:AG473),$AG$2:$AG$1001,0),MATCH(COLUMNS($AN$1006:BD1006),$AN$1006:$BO$1006,0)), HYPERLINK("#",""), HYPERLINK(CONCATENATE("#Metadata!", ADDRESS(INDEX($AI$2:$AI$1001,MATCH(ROWS($AG$2:AG473),$AG$2:$AG$1001,0),0), INDEX($AN$1004:$BO$1004,1,MATCH(COLUMNS($AN$1006:BD1006),$AN$1006:$BO$1006,0)))),"Fix")))</f>
        <v>0</v>
      </c>
      <c r="S473" s="4">
        <f>IF(OR(INDEX($AH$2:$AH$1001,MATCH(ROWS($AG$2:AG473),$AG$2:$AG$1001,0),1)&gt;=100000,INDEX($AN$1005:$BO$1005,1,MATCH(COLUMNS($AN$1006:BE1006),$AN$1006:$BO$1006,0))&gt;=100000), " ",IF(INDEX($AN$2:$BO$1001,MATCH(ROWS($AG$2:AG473),$AG$2:$AG$1001,0),MATCH(COLUMNS($AN$1006:BE1006),$AN$1006:$BO$1006,0)), HYPERLINK("#",""), HYPERLINK(CONCATENATE("#Metadata!", ADDRESS(INDEX($AI$2:$AI$1001,MATCH(ROWS($AG$2:AG473),$AG$2:$AG$1001,0),0), INDEX($AN$1004:$BO$1004,1,MATCH(COLUMNS($AN$1006:BE1006),$AN$1006:$BO$1006,0)))),"Fix")))</f>
        <v>0</v>
      </c>
      <c r="T473" s="4">
        <f>IF(OR(INDEX($AH$2:$AH$1001,MATCH(ROWS($AG$2:AG473),$AG$2:$AG$1001,0),1)&gt;=100000,INDEX($AN$1005:$BO$1005,1,MATCH(COLUMNS($AN$1006:BF1006),$AN$1006:$BO$1006,0))&gt;=100000), " ",IF(INDEX($AN$2:$BO$1001,MATCH(ROWS($AG$2:AG473),$AG$2:$AG$1001,0),MATCH(COLUMNS($AN$1006:BF1006),$AN$1006:$BO$1006,0)), HYPERLINK("#",""), HYPERLINK(CONCATENATE("#Metadata!", ADDRESS(INDEX($AI$2:$AI$1001,MATCH(ROWS($AG$2:AG473),$AG$2:$AG$1001,0),0), INDEX($AN$1004:$BO$1004,1,MATCH(COLUMNS($AN$1006:BF1006),$AN$1006:$BO$1006,0)))),"Fix")))</f>
        <v>0</v>
      </c>
      <c r="U473" s="4">
        <f>IF(OR(INDEX($AH$2:$AH$1001,MATCH(ROWS($AG$2:AG473),$AG$2:$AG$1001,0),1)&gt;=100000,INDEX($AN$1005:$BO$1005,1,MATCH(COLUMNS($AN$1006:BG1006),$AN$1006:$BO$1006,0))&gt;=100000), " ",IF(INDEX($AN$2:$BO$1001,MATCH(ROWS($AG$2:AG473),$AG$2:$AG$1001,0),MATCH(COLUMNS($AN$1006:BG1006),$AN$1006:$BO$1006,0)), HYPERLINK("#",""), HYPERLINK(CONCATENATE("#Metadata!", ADDRESS(INDEX($AI$2:$AI$1001,MATCH(ROWS($AG$2:AG473),$AG$2:$AG$1001,0),0), INDEX($AN$1004:$BO$1004,1,MATCH(COLUMNS($AN$1006:BG1006),$AN$1006:$BO$1006,0)))),"Fix")))</f>
        <v>0</v>
      </c>
      <c r="V473" s="4">
        <f>IF(OR(INDEX($AH$2:$AH$1001,MATCH(ROWS($AG$2:AG473),$AG$2:$AG$1001,0),1)&gt;=100000,INDEX($AN$1005:$BO$1005,1,MATCH(COLUMNS($AN$1006:BH1006),$AN$1006:$BO$1006,0))&gt;=100000), " ",IF(INDEX($AN$2:$BO$1001,MATCH(ROWS($AG$2:AG473),$AG$2:$AG$1001,0),MATCH(COLUMNS($AN$1006:BH1006),$AN$1006:$BO$1006,0)), HYPERLINK("#",""), HYPERLINK(CONCATENATE("#Metadata!", ADDRESS(INDEX($AI$2:$AI$1001,MATCH(ROWS($AG$2:AG473),$AG$2:$AG$1001,0),0), INDEX($AN$1004:$BO$1004,1,MATCH(COLUMNS($AN$1006:BH1006),$AN$1006:$BO$1006,0)))),"Fix")))</f>
        <v>0</v>
      </c>
      <c r="W473" s="4">
        <f>IF(OR(INDEX($AH$2:$AH$1001,MATCH(ROWS($AG$2:AG473),$AG$2:$AG$1001,0),1)&gt;=100000,INDEX($AN$1005:$BO$1005,1,MATCH(COLUMNS($AN$1006:BI1006),$AN$1006:$BO$1006,0))&gt;=100000), " ",IF(INDEX($AN$2:$BO$1001,MATCH(ROWS($AG$2:AG473),$AG$2:$AG$1001,0),MATCH(COLUMNS($AN$1006:BI1006),$AN$1006:$BO$1006,0)), HYPERLINK("#",""), HYPERLINK(CONCATENATE("#Metadata!", ADDRESS(INDEX($AI$2:$AI$1001,MATCH(ROWS($AG$2:AG473),$AG$2:$AG$1001,0),0), INDEX($AN$1004:$BO$1004,1,MATCH(COLUMNS($AN$1006:BI1006),$AN$1006:$BO$1006,0)))),"Fix")))</f>
        <v>0</v>
      </c>
      <c r="X473" s="4">
        <f>IF(OR(INDEX($AH$2:$AH$1001,MATCH(ROWS($AG$2:AG473),$AG$2:$AG$1001,0),1)&gt;=100000,INDEX($AN$1005:$BO$1005,1,MATCH(COLUMNS($AN$1006:BJ1006),$AN$1006:$BO$1006,0))&gt;=100000), " ",IF(INDEX($AN$2:$BO$1001,MATCH(ROWS($AG$2:AG473),$AG$2:$AG$1001,0),MATCH(COLUMNS($AN$1006:BJ1006),$AN$1006:$BO$1006,0)), HYPERLINK("#",""), HYPERLINK(CONCATENATE("#Metadata!", ADDRESS(INDEX($AI$2:$AI$1001,MATCH(ROWS($AG$2:AG473),$AG$2:$AG$1001,0),0), INDEX($AN$1004:$BO$1004,1,MATCH(COLUMNS($AN$1006:BJ1006),$AN$1006:$BO$1006,0)))),"Fix")))</f>
        <v>0</v>
      </c>
      <c r="Y473" s="4">
        <f>IF(OR(INDEX($AH$2:$AH$1001,MATCH(ROWS($AG$2:AG473),$AG$2:$AG$1001,0),1)&gt;=100000,INDEX($AN$1005:$BO$1005,1,MATCH(COLUMNS($AN$1006:BK1006),$AN$1006:$BO$1006,0))&gt;=100000), " ",IF(INDEX($AN$2:$BO$1001,MATCH(ROWS($AG$2:AG473),$AG$2:$AG$1001,0),MATCH(COLUMNS($AN$1006:BK1006),$AN$1006:$BO$1006,0)), HYPERLINK("#",""), HYPERLINK(CONCATENATE("#Metadata!", ADDRESS(INDEX($AI$2:$AI$1001,MATCH(ROWS($AG$2:AG473),$AG$2:$AG$1001,0),0), INDEX($AN$1004:$BO$1004,1,MATCH(COLUMNS($AN$1006:BK1006),$AN$1006:$BO$1006,0)))),"Fix")))</f>
        <v>0</v>
      </c>
      <c r="Z473" s="4">
        <f>IF(OR(INDEX($AH$2:$AH$1001,MATCH(ROWS($AG$2:AG473),$AG$2:$AG$1001,0),1)&gt;=100000,INDEX($AN$1005:$BO$1005,1,MATCH(COLUMNS($AN$1006:BL1006),$AN$1006:$BO$1006,0))&gt;=100000), " ",IF(INDEX($AN$2:$BO$1001,MATCH(ROWS($AG$2:AG473),$AG$2:$AG$1001,0),MATCH(COLUMNS($AN$1006:BL1006),$AN$1006:$BO$1006,0)), HYPERLINK("#",""), HYPERLINK(CONCATENATE("#Metadata!", ADDRESS(INDEX($AI$2:$AI$1001,MATCH(ROWS($AG$2:AG473),$AG$2:$AG$1001,0),0), INDEX($AN$1004:$BO$1004,1,MATCH(COLUMNS($AN$1006:BL1006),$AN$1006:$BO$1006,0)))),"Fix")))</f>
        <v>0</v>
      </c>
      <c r="AA473" s="4">
        <f>IF(OR(INDEX($AH$2:$AH$1001,MATCH(ROWS($AG$2:AG473),$AG$2:$AG$1001,0),1)&gt;=100000,INDEX($AN$1005:$BO$1005,1,MATCH(COLUMNS($AN$1006:BM1006),$AN$1006:$BO$1006,0))&gt;=100000), " ",IF(INDEX($AN$2:$BO$1001,MATCH(ROWS($AG$2:AG473),$AG$2:$AG$1001,0),MATCH(COLUMNS($AN$1006:BM1006),$AN$1006:$BO$1006,0)), HYPERLINK("#",""), HYPERLINK(CONCATENATE("#Metadata!", ADDRESS(INDEX($AI$2:$AI$1001,MATCH(ROWS($AG$2:AG473),$AG$2:$AG$1001,0),0), INDEX($AN$1004:$BO$1004,1,MATCH(COLUMNS($AN$1006:BM1006),$AN$1006:$BO$1006,0)))),"Fix")))</f>
        <v>0</v>
      </c>
      <c r="AB473" s="4">
        <f>IF(OR(INDEX($AH$2:$AH$1001,MATCH(ROWS($AG$2:AG473),$AG$2:$AG$1001,0),1)&gt;=100000,INDEX($AN$1005:$BO$1005,1,MATCH(COLUMNS($AN$1006:BN1006),$AN$1006:$BO$1006,0))&gt;=100000), " ",IF(INDEX($AN$2:$BO$1001,MATCH(ROWS($AG$2:AG473),$AG$2:$AG$1001,0),MATCH(COLUMNS($AN$1006:BN1006),$AN$1006:$BO$1006,0)), HYPERLINK("#",""), HYPERLINK(CONCATENATE("#Metadata!", ADDRESS(INDEX($AI$2:$AI$1001,MATCH(ROWS($AG$2:AG473),$AG$2:$AG$1001,0),0), INDEX($AN$1004:$BO$1004,1,MATCH(COLUMNS($AN$1006:BN1006),$AN$1006:$BO$1006,0)))),"Fix")))</f>
        <v>0</v>
      </c>
      <c r="AC473" s="4">
        <f>IF(OR(INDEX($AH$2:$AH$1001,MATCH(ROWS($AG$2:AG473),$AG$2:$AG$1001,0),1)&gt;=100000,INDEX($AN$1005:$BO$1005,1,MATCH(COLUMNS($AN$1006:BO1006),$AN$1006:$BO$1006,0))&gt;=100000), " ",IF(INDEX($AN$2:$BO$1001,MATCH(ROWS($AG$2:AG473),$AG$2:$AG$1001,0),MATCH(COLUMNS($AN$1006:BO1006),$AN$1006:$BO$1006,0)), HYPERLINK("#",""), HYPERLINK(CONCATENATE("#Metadata!", ADDRESS(INDEX($AI$2:$AI$1001,MATCH(ROWS($AG$2:AG473),$AG$2:$AG$1001,0),0), INDEX($AN$1004:$BO$1004,1,MATCH(COLUMNS($AN$1006:BO1006),$AN$1006:$BO$1006,0)))),"Fix")))</f>
        <v>0</v>
      </c>
      <c r="AG473">
        <v>0</v>
      </c>
      <c r="AH473">
        <v>0</v>
      </c>
      <c r="AI473">
        <v>0</v>
      </c>
      <c r="AJ473">
        <f>IF(AK473,TRUE,AND(AN473:BO473))</f>
        <v>0</v>
      </c>
      <c r="AK473">
        <f>COUNTBLANK(Metadata!B473:AC473)=COLUMNS(Metadata!B473:AC473)</f>
        <v>0</v>
      </c>
      <c r="AL473">
        <v>0</v>
      </c>
      <c r="AN473">
        <f>AND(IF(Metadata!B473="",FALSE,TRUE),COUNTIF(Metadata!B:B, Metadata!B473) = 1,NOT(ISERROR(SUMPRODUCT(SEARCH(MID(Metadata!B473,ROW(INDIRECT("1:"&amp;LEN(Metadata!B473))), 1),"0123456789abcdefghijklmnopqrstuvwxyzABCDEFGHIJKLMNOPQRSTUVWXYZ.")))))</f>
        <v>0</v>
      </c>
      <c r="AO473">
        <f>IF(Metadata!C473="",FALSE,TRUE)</f>
        <v>0</v>
      </c>
      <c r="AP473">
        <f>IF(Metadata!D473="",FALSE,TRUE)</f>
        <v>0</v>
      </c>
      <c r="AQ473">
        <f>OR(AND(IF(Metadata!E473="",FALSE,TRUE),OR(exact(Metadata!E473,"not collected"),exact(Metadata!E473,"not provided"),exact(Metadata!E473,"restricted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R473">
        <f>IF(Metadata!F473="",FALSE,TRUE)</f>
        <v>0</v>
      </c>
      <c r="AS473">
        <f>OR(AND(IF(Metadata!G473="",FALSE,TRUE),OR(exact(Metadata!G473,"not collected"),exact(Metadata!G473,"not provided"))),AND(IF(Metadata!G473="",FALSE,TRUE),OR(exact(Metadata!G473,"TRUE"),exact(Metadata!G473,"FALSE"))))</f>
        <v>0</v>
      </c>
      <c r="AT473">
        <f>OR(AND(IF(Metadata!H473="",FALSE,TRUE),OR(exact(Metadata!H473,"not collected"),exact(Metadata!H473,"not provided"),exact(Metadata!H473,"restricted access"))),AND(IF(Metadata!H473="",FALSE,ISNUMBER(VALUE(Metadata!H473))),Metadata!H473&gt;=-413.0))</f>
        <v>0</v>
      </c>
      <c r="AU473">
        <f>AND(IF(Metadata!I473="",FALSE,TRUE),exact(Metadata!I473,"meters"))</f>
        <v>0</v>
      </c>
      <c r="AV473">
        <f>AND(IF(Metadata!J473="",FALSE,TRUE),OR(exact(Metadata!J473,"Host-associated"),exact(Metadata!J473,"Free-living")))</f>
        <v>0</v>
      </c>
      <c r="AW473">
        <f>AND(IF(Metadata!K473="",FALSE,TRUE),OR(exact(Metadata!K473,"Animal"),exact(Metadata!K473,"Fungus"),exact(Metadata!K473,"Plant"),exact(Metadata!K473,"Saline"),exact(Metadata!K473,"Non-saline")))</f>
        <v>0</v>
      </c>
      <c r="AX473">
        <f>AND(IF(Metadata!L473="",FALSE,TRUE),OR(exact(Metadata!L473,"Plant secretion"),exact(Metadata!L473,"Plant rhizosphere"),exact(Metadata!L473,"Plant surface"),exact(Metadata!L473,"Plant corpus"),exact(Metadata!L473,"Fungus surface"),exact(Metadata!L473,"Fungus corpus"),exact(Metadata!L473,"Animal surface"),exact(Metadata!L473,"Animal proximal gut"),exact(Metadata!L473,"Animal corpus"),exact(Metadata!L473,"Animal distal gut"),exact(Metadata!L473,"Animal secretion"),exact(Metadata!L473,"Sub-surface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Y473">
        <f>IF(Metadata!M473="",FALSE,TRUE)</f>
        <v>0</v>
      </c>
      <c r="AZ473">
        <f>IF(Metadata!N473="",FALSE,TRUE)</f>
        <v>0</v>
      </c>
      <c r="BA473">
        <f>IF(Metadata!O473="",FALSE,TRUE)</f>
        <v>0</v>
      </c>
      <c r="BB473">
        <f>OR(AND(IF(Metadata!P473="",FALSE,TRUE),OR(exact(Metadata!P473,"not collected"),exact(Metadata!P473,"not provided"),exact(Metadata!P473,"restricted access"))),AND(IF(Metadata!P473="",FALSE,TRUE),OR(exact(Metadata!P473,"air"),exact(Metadata!P473,"built environment"),exact(Metadata!P473,"host-associated"),exact(Metadata!P473,"human-associated"),exact(Metadata!P473,"human-skin"),exact(Metadata!P473,"human-oral"),exact(Metadata!P473,"human-gut"),exact(Metadata!P473,"human-vaginal"),exact(Metadata!P473,"microbial mat/biofilm"),exact(Metadata!P473,"misc environment"),exact(Metadata!P473,"plant-associated"),exact(Metadata!P473,"sediment"),exact(Metadata!P473,"soil"),exact(Metadata!P473,"wastewater/sludge"),exact(Metadata!P473,"water"))))</f>
        <v>0</v>
      </c>
      <c r="BC473">
        <f>IF(Metadata!Q473="",FALSE,TRUE)</f>
        <v>0</v>
      </c>
      <c r="BD473">
        <f>IF(Metadata!R473="",FALSE,TRUE)</f>
        <v>0</v>
      </c>
      <c r="BE473">
        <f>OR(AND(IF(Metadata!S473="",FALSE,TRUE),OR(exact(Metadata!S473,"not collected"),exact(Metadata!S473,"not provided"),exact(Metadata!S473,"restricted access"))),AND(IF(Metadata!S473="",FALSE,ISNUMBER(VALUE(Metadata!S473))),Metadata!S473&gt;=-90.00,Metadata!S473&lt;=90.00))</f>
        <v>0</v>
      </c>
      <c r="BF473">
        <f>AND(IF(Metadata!T473="",FALSE,TRUE),exact(Metadata!T473,"Decimal degrees"))</f>
        <v>0</v>
      </c>
      <c r="BG473">
        <f>OR(AND(IF(Metadata!U473="",FALSE,TRUE),OR(exact(Metadata!U473,"not collected"),exact(Metadata!U473,"not provided"),exact(Metadata!U473,"restricted access"))),AND(IF(Metadata!U473="",FALSE,ISNUMBER(VALUE(Metadata!U473))),Metadata!U473&gt;=-180.00,Metadata!U473&lt;=180.00))</f>
        <v>0</v>
      </c>
      <c r="BH473">
        <f>AND(IF(Metadata!V473="",FALSE,TRUE),exact(Metadata!V473,"Decimal degrees"))</f>
        <v>0</v>
      </c>
      <c r="BI473">
        <f>IF(Metadata!W473="",FALSE,TRUE)</f>
        <v>0</v>
      </c>
      <c r="BJ473">
        <f>OR(AND(IF(Metadata!X473="",FALSE,TRUE),OR(exact(Metadata!X473,"not collected"),exact(Metadata!X473,"not provided"),exact(Metadata!X473,"restricted access"))),AND(IF(Metadata!X473="",FALSE,TRUE),OR(exact(Metadata!X473,"TRUE"),exact(Metadata!X473,"FALSE"))))</f>
        <v>0</v>
      </c>
      <c r="BK473">
        <f>AND(IF(Metadata!Y473="",FALSE,TRUE),exact(Metadata!Y473,"other"))</f>
        <v>0</v>
      </c>
      <c r="BL473">
        <f>IF(Metadata!Z473="",FALSE,TRUE)</f>
        <v>0</v>
      </c>
      <c r="BM473">
        <f>OR(AND(IF(Metadata!AA473="",FALSE,TRUE),OR(exact(Metadata!AA473,"not collected"),exact(Metadata!AA473,"not provided"))),AND(IF(Metadata!AA473="",FALSE,IF(ISERROR(INT(Metadata!AA473)),FALSE,INT(Metadata!AA473)=Metadata!AA473)),Metadata!AA473&gt;0))</f>
        <v>0</v>
      </c>
      <c r="BN473">
        <f>AND(IF(Metadata!AB473="",FALSE,TRUE),exact(Metadata!AB473,"Not applicable"))</f>
        <v>0</v>
      </c>
      <c r="BO473">
        <f>IF(Metadata!AC473="",FALSE,TRUE)</f>
        <v>0</v>
      </c>
    </row>
    <row r="474" spans="1:67">
      <c r="A474" s="5">
        <f>IF(B474=" "," ",HYPERLINK(CONCATENATE("#metadata!",ADDRESS(INDEX($AI$2:$AI$1001,MATCH(ROWS($AG$2:AG474),$AG$2:$AG$1001,0),0),1)),INDEX($AL$2:$AL$1001,MATCH(ROWS($AG$2:AG474),$AG$2:$AG$1001,0),0)))</f>
        <v>0</v>
      </c>
      <c r="B474" s="4">
        <f>IF(OR(INDEX($AH$2:$AH$1001,MATCH(ROWS($AG$2:AG474),$AG$2:$AG$1001,0),1)&gt;=100000,INDEX($AN$1005:$BO$1005,1,MATCH(COLUMNS($AN$1006:AN1006),$AN$1006:$BO$1006,0))&gt;=100000), " ",IF(INDEX($AN$2:$BO$1001,MATCH(ROWS($AG$2:AG474),$AG$2:$AG$1001,0),MATCH(COLUMNS($AN$1006:AN1006),$AN$1006:$BO$1006,0)), HYPERLINK("#",""), HYPERLINK(CONCATENATE("#Metadata!", ADDRESS(INDEX($AI$2:$AI$1001,MATCH(ROWS($AG$2:AG474),$AG$2:$AG$1001,0),0), INDEX($AN$1004:$BO$1004,1,MATCH(COLUMNS($AN$1006:AN1006),$AN$1006:$BO$1006,0)))),"Fix")))</f>
        <v>0</v>
      </c>
      <c r="C474" s="4">
        <f>IF(OR(INDEX($AH$2:$AH$1001,MATCH(ROWS($AG$2:AG474),$AG$2:$AG$1001,0),1)&gt;=100000,INDEX($AN$1005:$BO$1005,1,MATCH(COLUMNS($AN$1006:AO1006),$AN$1006:$BO$1006,0))&gt;=100000), " ",IF(INDEX($AN$2:$BO$1001,MATCH(ROWS($AG$2:AG474),$AG$2:$AG$1001,0),MATCH(COLUMNS($AN$1006:AO1006),$AN$1006:$BO$1006,0)), HYPERLINK("#",""), HYPERLINK(CONCATENATE("#Metadata!", ADDRESS(INDEX($AI$2:$AI$1001,MATCH(ROWS($AG$2:AG474),$AG$2:$AG$1001,0),0), INDEX($AN$1004:$BO$1004,1,MATCH(COLUMNS($AN$1006:AO1006),$AN$1006:$BO$1006,0)))),"Fix")))</f>
        <v>0</v>
      </c>
      <c r="D474" s="4">
        <f>IF(OR(INDEX($AH$2:$AH$1001,MATCH(ROWS($AG$2:AG474),$AG$2:$AG$1001,0),1)&gt;=100000,INDEX($AN$1005:$BO$1005,1,MATCH(COLUMNS($AN$1006:AP1006),$AN$1006:$BO$1006,0))&gt;=100000), " ",IF(INDEX($AN$2:$BO$1001,MATCH(ROWS($AG$2:AG474),$AG$2:$AG$1001,0),MATCH(COLUMNS($AN$1006:AP1006),$AN$1006:$BO$1006,0)), HYPERLINK("#",""), HYPERLINK(CONCATENATE("#Metadata!", ADDRESS(INDEX($AI$2:$AI$1001,MATCH(ROWS($AG$2:AG474),$AG$2:$AG$1001,0),0), INDEX($AN$1004:$BO$1004,1,MATCH(COLUMNS($AN$1006:AP1006),$AN$1006:$BO$1006,0)))),"Fix")))</f>
        <v>0</v>
      </c>
      <c r="E474" s="4">
        <f>IF(OR(INDEX($AH$2:$AH$1001,MATCH(ROWS($AG$2:AG474),$AG$2:$AG$1001,0),1)&gt;=100000,INDEX($AN$1005:$BO$1005,1,MATCH(COLUMNS($AN$1006:AQ1006),$AN$1006:$BO$1006,0))&gt;=100000), " ",IF(INDEX($AN$2:$BO$1001,MATCH(ROWS($AG$2:AG474),$AG$2:$AG$1001,0),MATCH(COLUMNS($AN$1006:AQ1006),$AN$1006:$BO$1006,0)), HYPERLINK("#",""), HYPERLINK(CONCATENATE("#Metadata!", ADDRESS(INDEX($AI$2:$AI$1001,MATCH(ROWS($AG$2:AG474),$AG$2:$AG$1001,0),0), INDEX($AN$1004:$BO$1004,1,MATCH(COLUMNS($AN$1006:AQ1006),$AN$1006:$BO$1006,0)))),"Fix")))</f>
        <v>0</v>
      </c>
      <c r="F474" s="4">
        <f>IF(OR(INDEX($AH$2:$AH$1001,MATCH(ROWS($AG$2:AG474),$AG$2:$AG$1001,0),1)&gt;=100000,INDEX($AN$1005:$BO$1005,1,MATCH(COLUMNS($AN$1006:AR1006),$AN$1006:$BO$1006,0))&gt;=100000), " ",IF(INDEX($AN$2:$BO$1001,MATCH(ROWS($AG$2:AG474),$AG$2:$AG$1001,0),MATCH(COLUMNS($AN$1006:AR1006),$AN$1006:$BO$1006,0)), HYPERLINK("#",""), HYPERLINK(CONCATENATE("#Metadata!", ADDRESS(INDEX($AI$2:$AI$1001,MATCH(ROWS($AG$2:AG474),$AG$2:$AG$1001,0),0), INDEX($AN$1004:$BO$1004,1,MATCH(COLUMNS($AN$1006:AR1006),$AN$1006:$BO$1006,0)))),"Fix")))</f>
        <v>0</v>
      </c>
      <c r="G474" s="4">
        <f>IF(OR(INDEX($AH$2:$AH$1001,MATCH(ROWS($AG$2:AG474),$AG$2:$AG$1001,0),1)&gt;=100000,INDEX($AN$1005:$BO$1005,1,MATCH(COLUMNS($AN$1006:AS1006),$AN$1006:$BO$1006,0))&gt;=100000), " ",IF(INDEX($AN$2:$BO$1001,MATCH(ROWS($AG$2:AG474),$AG$2:$AG$1001,0),MATCH(COLUMNS($AN$1006:AS1006),$AN$1006:$BO$1006,0)), HYPERLINK("#",""), HYPERLINK(CONCATENATE("#Metadata!", ADDRESS(INDEX($AI$2:$AI$1001,MATCH(ROWS($AG$2:AG474),$AG$2:$AG$1001,0),0), INDEX($AN$1004:$BO$1004,1,MATCH(COLUMNS($AN$1006:AS1006),$AN$1006:$BO$1006,0)))),"Fix")))</f>
        <v>0</v>
      </c>
      <c r="H474" s="4">
        <f>IF(OR(INDEX($AH$2:$AH$1001,MATCH(ROWS($AG$2:AG474),$AG$2:$AG$1001,0),1)&gt;=100000,INDEX($AN$1005:$BO$1005,1,MATCH(COLUMNS($AN$1006:AT1006),$AN$1006:$BO$1006,0))&gt;=100000), " ",IF(INDEX($AN$2:$BO$1001,MATCH(ROWS($AG$2:AG474),$AG$2:$AG$1001,0),MATCH(COLUMNS($AN$1006:AT1006),$AN$1006:$BO$1006,0)), HYPERLINK("#",""), HYPERLINK(CONCATENATE("#Metadata!", ADDRESS(INDEX($AI$2:$AI$1001,MATCH(ROWS($AG$2:AG474),$AG$2:$AG$1001,0),0), INDEX($AN$1004:$BO$1004,1,MATCH(COLUMNS($AN$1006:AT1006),$AN$1006:$BO$1006,0)))),"Fix")))</f>
        <v>0</v>
      </c>
      <c r="I474" s="4">
        <f>IF(OR(INDEX($AH$2:$AH$1001,MATCH(ROWS($AG$2:AG474),$AG$2:$AG$1001,0),1)&gt;=100000,INDEX($AN$1005:$BO$1005,1,MATCH(COLUMNS($AN$1006:AU1006),$AN$1006:$BO$1006,0))&gt;=100000), " ",IF(INDEX($AN$2:$BO$1001,MATCH(ROWS($AG$2:AG474),$AG$2:$AG$1001,0),MATCH(COLUMNS($AN$1006:AU1006),$AN$1006:$BO$1006,0)), HYPERLINK("#",""), HYPERLINK(CONCATENATE("#Metadata!", ADDRESS(INDEX($AI$2:$AI$1001,MATCH(ROWS($AG$2:AG474),$AG$2:$AG$1001,0),0), INDEX($AN$1004:$BO$1004,1,MATCH(COLUMNS($AN$1006:AU1006),$AN$1006:$BO$1006,0)))),"Fix")))</f>
        <v>0</v>
      </c>
      <c r="J474" s="4">
        <f>IF(OR(INDEX($AH$2:$AH$1001,MATCH(ROWS($AG$2:AG474),$AG$2:$AG$1001,0),1)&gt;=100000,INDEX($AN$1005:$BO$1005,1,MATCH(COLUMNS($AN$1006:AV1006),$AN$1006:$BO$1006,0))&gt;=100000), " ",IF(INDEX($AN$2:$BO$1001,MATCH(ROWS($AG$2:AG474),$AG$2:$AG$1001,0),MATCH(COLUMNS($AN$1006:AV1006),$AN$1006:$BO$1006,0)), HYPERLINK("#",""), HYPERLINK(CONCATENATE("#Metadata!", ADDRESS(INDEX($AI$2:$AI$1001,MATCH(ROWS($AG$2:AG474),$AG$2:$AG$1001,0),0), INDEX($AN$1004:$BO$1004,1,MATCH(COLUMNS($AN$1006:AV1006),$AN$1006:$BO$1006,0)))),"Fix")))</f>
        <v>0</v>
      </c>
      <c r="K474" s="4">
        <f>IF(OR(INDEX($AH$2:$AH$1001,MATCH(ROWS($AG$2:AG474),$AG$2:$AG$1001,0),1)&gt;=100000,INDEX($AN$1005:$BO$1005,1,MATCH(COLUMNS($AN$1006:AW1006),$AN$1006:$BO$1006,0))&gt;=100000), " ",IF(INDEX($AN$2:$BO$1001,MATCH(ROWS($AG$2:AG474),$AG$2:$AG$1001,0),MATCH(COLUMNS($AN$1006:AW1006),$AN$1006:$BO$1006,0)), HYPERLINK("#",""), HYPERLINK(CONCATENATE("#Metadata!", ADDRESS(INDEX($AI$2:$AI$1001,MATCH(ROWS($AG$2:AG474),$AG$2:$AG$1001,0),0), INDEX($AN$1004:$BO$1004,1,MATCH(COLUMNS($AN$1006:AW1006),$AN$1006:$BO$1006,0)))),"Fix")))</f>
        <v>0</v>
      </c>
      <c r="L474" s="4">
        <f>IF(OR(INDEX($AH$2:$AH$1001,MATCH(ROWS($AG$2:AG474),$AG$2:$AG$1001,0),1)&gt;=100000,INDEX($AN$1005:$BO$1005,1,MATCH(COLUMNS($AN$1006:AX1006),$AN$1006:$BO$1006,0))&gt;=100000), " ",IF(INDEX($AN$2:$BO$1001,MATCH(ROWS($AG$2:AG474),$AG$2:$AG$1001,0),MATCH(COLUMNS($AN$1006:AX1006),$AN$1006:$BO$1006,0)), HYPERLINK("#",""), HYPERLINK(CONCATENATE("#Metadata!", ADDRESS(INDEX($AI$2:$AI$1001,MATCH(ROWS($AG$2:AG474),$AG$2:$AG$1001,0),0), INDEX($AN$1004:$BO$1004,1,MATCH(COLUMNS($AN$1006:AX1006),$AN$1006:$BO$1006,0)))),"Fix")))</f>
        <v>0</v>
      </c>
      <c r="M474" s="4">
        <f>IF(OR(INDEX($AH$2:$AH$1001,MATCH(ROWS($AG$2:AG474),$AG$2:$AG$1001,0),1)&gt;=100000,INDEX($AN$1005:$BO$1005,1,MATCH(COLUMNS($AN$1006:AY1006),$AN$1006:$BO$1006,0))&gt;=100000), " ",IF(INDEX($AN$2:$BO$1001,MATCH(ROWS($AG$2:AG474),$AG$2:$AG$1001,0),MATCH(COLUMNS($AN$1006:AY1006),$AN$1006:$BO$1006,0)), HYPERLINK("#",""), HYPERLINK(CONCATENATE("#Metadata!", ADDRESS(INDEX($AI$2:$AI$1001,MATCH(ROWS($AG$2:AG474),$AG$2:$AG$1001,0),0), INDEX($AN$1004:$BO$1004,1,MATCH(COLUMNS($AN$1006:AY1006),$AN$1006:$BO$1006,0)))),"Fix")))</f>
        <v>0</v>
      </c>
      <c r="N474" s="4">
        <f>IF(OR(INDEX($AH$2:$AH$1001,MATCH(ROWS($AG$2:AG474),$AG$2:$AG$1001,0),1)&gt;=100000,INDEX($AN$1005:$BO$1005,1,MATCH(COLUMNS($AN$1006:AZ1006),$AN$1006:$BO$1006,0))&gt;=100000), " ",IF(INDEX($AN$2:$BO$1001,MATCH(ROWS($AG$2:AG474),$AG$2:$AG$1001,0),MATCH(COLUMNS($AN$1006:AZ1006),$AN$1006:$BO$1006,0)), HYPERLINK("#",""), HYPERLINK(CONCATENATE("#Metadata!", ADDRESS(INDEX($AI$2:$AI$1001,MATCH(ROWS($AG$2:AG474),$AG$2:$AG$1001,0),0), INDEX($AN$1004:$BO$1004,1,MATCH(COLUMNS($AN$1006:AZ1006),$AN$1006:$BO$1006,0)))),"Fix")))</f>
        <v>0</v>
      </c>
      <c r="O474" s="4">
        <f>IF(OR(INDEX($AH$2:$AH$1001,MATCH(ROWS($AG$2:AG474),$AG$2:$AG$1001,0),1)&gt;=100000,INDEX($AN$1005:$BO$1005,1,MATCH(COLUMNS($AN$1006:BA1006),$AN$1006:$BO$1006,0))&gt;=100000), " ",IF(INDEX($AN$2:$BO$1001,MATCH(ROWS($AG$2:AG474),$AG$2:$AG$1001,0),MATCH(COLUMNS($AN$1006:BA1006),$AN$1006:$BO$1006,0)), HYPERLINK("#",""), HYPERLINK(CONCATENATE("#Metadata!", ADDRESS(INDEX($AI$2:$AI$1001,MATCH(ROWS($AG$2:AG474),$AG$2:$AG$1001,0),0), INDEX($AN$1004:$BO$1004,1,MATCH(COLUMNS($AN$1006:BA1006),$AN$1006:$BO$1006,0)))),"Fix")))</f>
        <v>0</v>
      </c>
      <c r="P474" s="4">
        <f>IF(OR(INDEX($AH$2:$AH$1001,MATCH(ROWS($AG$2:AG474),$AG$2:$AG$1001,0),1)&gt;=100000,INDEX($AN$1005:$BO$1005,1,MATCH(COLUMNS($AN$1006:BB1006),$AN$1006:$BO$1006,0))&gt;=100000), " ",IF(INDEX($AN$2:$BO$1001,MATCH(ROWS($AG$2:AG474),$AG$2:$AG$1001,0),MATCH(COLUMNS($AN$1006:BB1006),$AN$1006:$BO$1006,0)), HYPERLINK("#",""), HYPERLINK(CONCATENATE("#Metadata!", ADDRESS(INDEX($AI$2:$AI$1001,MATCH(ROWS($AG$2:AG474),$AG$2:$AG$1001,0),0), INDEX($AN$1004:$BO$1004,1,MATCH(COLUMNS($AN$1006:BB1006),$AN$1006:$BO$1006,0)))),"Fix")))</f>
        <v>0</v>
      </c>
      <c r="Q474" s="4">
        <f>IF(OR(INDEX($AH$2:$AH$1001,MATCH(ROWS($AG$2:AG474),$AG$2:$AG$1001,0),1)&gt;=100000,INDEX($AN$1005:$BO$1005,1,MATCH(COLUMNS($AN$1006:BC1006),$AN$1006:$BO$1006,0))&gt;=100000), " ",IF(INDEX($AN$2:$BO$1001,MATCH(ROWS($AG$2:AG474),$AG$2:$AG$1001,0),MATCH(COLUMNS($AN$1006:BC1006),$AN$1006:$BO$1006,0)), HYPERLINK("#",""), HYPERLINK(CONCATENATE("#Metadata!", ADDRESS(INDEX($AI$2:$AI$1001,MATCH(ROWS($AG$2:AG474),$AG$2:$AG$1001,0),0), INDEX($AN$1004:$BO$1004,1,MATCH(COLUMNS($AN$1006:BC1006),$AN$1006:$BO$1006,0)))),"Fix")))</f>
        <v>0</v>
      </c>
      <c r="R474" s="4">
        <f>IF(OR(INDEX($AH$2:$AH$1001,MATCH(ROWS($AG$2:AG474),$AG$2:$AG$1001,0),1)&gt;=100000,INDEX($AN$1005:$BO$1005,1,MATCH(COLUMNS($AN$1006:BD1006),$AN$1006:$BO$1006,0))&gt;=100000), " ",IF(INDEX($AN$2:$BO$1001,MATCH(ROWS($AG$2:AG474),$AG$2:$AG$1001,0),MATCH(COLUMNS($AN$1006:BD1006),$AN$1006:$BO$1006,0)), HYPERLINK("#",""), HYPERLINK(CONCATENATE("#Metadata!", ADDRESS(INDEX($AI$2:$AI$1001,MATCH(ROWS($AG$2:AG474),$AG$2:$AG$1001,0),0), INDEX($AN$1004:$BO$1004,1,MATCH(COLUMNS($AN$1006:BD1006),$AN$1006:$BO$1006,0)))),"Fix")))</f>
        <v>0</v>
      </c>
      <c r="S474" s="4">
        <f>IF(OR(INDEX($AH$2:$AH$1001,MATCH(ROWS($AG$2:AG474),$AG$2:$AG$1001,0),1)&gt;=100000,INDEX($AN$1005:$BO$1005,1,MATCH(COLUMNS($AN$1006:BE1006),$AN$1006:$BO$1006,0))&gt;=100000), " ",IF(INDEX($AN$2:$BO$1001,MATCH(ROWS($AG$2:AG474),$AG$2:$AG$1001,0),MATCH(COLUMNS($AN$1006:BE1006),$AN$1006:$BO$1006,0)), HYPERLINK("#",""), HYPERLINK(CONCATENATE("#Metadata!", ADDRESS(INDEX($AI$2:$AI$1001,MATCH(ROWS($AG$2:AG474),$AG$2:$AG$1001,0),0), INDEX($AN$1004:$BO$1004,1,MATCH(COLUMNS($AN$1006:BE1006),$AN$1006:$BO$1006,0)))),"Fix")))</f>
        <v>0</v>
      </c>
      <c r="T474" s="4">
        <f>IF(OR(INDEX($AH$2:$AH$1001,MATCH(ROWS($AG$2:AG474),$AG$2:$AG$1001,0),1)&gt;=100000,INDEX($AN$1005:$BO$1005,1,MATCH(COLUMNS($AN$1006:BF1006),$AN$1006:$BO$1006,0))&gt;=100000), " ",IF(INDEX($AN$2:$BO$1001,MATCH(ROWS($AG$2:AG474),$AG$2:$AG$1001,0),MATCH(COLUMNS($AN$1006:BF1006),$AN$1006:$BO$1006,0)), HYPERLINK("#",""), HYPERLINK(CONCATENATE("#Metadata!", ADDRESS(INDEX($AI$2:$AI$1001,MATCH(ROWS($AG$2:AG474),$AG$2:$AG$1001,0),0), INDEX($AN$1004:$BO$1004,1,MATCH(COLUMNS($AN$1006:BF1006),$AN$1006:$BO$1006,0)))),"Fix")))</f>
        <v>0</v>
      </c>
      <c r="U474" s="4">
        <f>IF(OR(INDEX($AH$2:$AH$1001,MATCH(ROWS($AG$2:AG474),$AG$2:$AG$1001,0),1)&gt;=100000,INDEX($AN$1005:$BO$1005,1,MATCH(COLUMNS($AN$1006:BG1006),$AN$1006:$BO$1006,0))&gt;=100000), " ",IF(INDEX($AN$2:$BO$1001,MATCH(ROWS($AG$2:AG474),$AG$2:$AG$1001,0),MATCH(COLUMNS($AN$1006:BG1006),$AN$1006:$BO$1006,0)), HYPERLINK("#",""), HYPERLINK(CONCATENATE("#Metadata!", ADDRESS(INDEX($AI$2:$AI$1001,MATCH(ROWS($AG$2:AG474),$AG$2:$AG$1001,0),0), INDEX($AN$1004:$BO$1004,1,MATCH(COLUMNS($AN$1006:BG1006),$AN$1006:$BO$1006,0)))),"Fix")))</f>
        <v>0</v>
      </c>
      <c r="V474" s="4">
        <f>IF(OR(INDEX($AH$2:$AH$1001,MATCH(ROWS($AG$2:AG474),$AG$2:$AG$1001,0),1)&gt;=100000,INDEX($AN$1005:$BO$1005,1,MATCH(COLUMNS($AN$1006:BH1006),$AN$1006:$BO$1006,0))&gt;=100000), " ",IF(INDEX($AN$2:$BO$1001,MATCH(ROWS($AG$2:AG474),$AG$2:$AG$1001,0),MATCH(COLUMNS($AN$1006:BH1006),$AN$1006:$BO$1006,0)), HYPERLINK("#",""), HYPERLINK(CONCATENATE("#Metadata!", ADDRESS(INDEX($AI$2:$AI$1001,MATCH(ROWS($AG$2:AG474),$AG$2:$AG$1001,0),0), INDEX($AN$1004:$BO$1004,1,MATCH(COLUMNS($AN$1006:BH1006),$AN$1006:$BO$1006,0)))),"Fix")))</f>
        <v>0</v>
      </c>
      <c r="W474" s="4">
        <f>IF(OR(INDEX($AH$2:$AH$1001,MATCH(ROWS($AG$2:AG474),$AG$2:$AG$1001,0),1)&gt;=100000,INDEX($AN$1005:$BO$1005,1,MATCH(COLUMNS($AN$1006:BI1006),$AN$1006:$BO$1006,0))&gt;=100000), " ",IF(INDEX($AN$2:$BO$1001,MATCH(ROWS($AG$2:AG474),$AG$2:$AG$1001,0),MATCH(COLUMNS($AN$1006:BI1006),$AN$1006:$BO$1006,0)), HYPERLINK("#",""), HYPERLINK(CONCATENATE("#Metadata!", ADDRESS(INDEX($AI$2:$AI$1001,MATCH(ROWS($AG$2:AG474),$AG$2:$AG$1001,0),0), INDEX($AN$1004:$BO$1004,1,MATCH(COLUMNS($AN$1006:BI1006),$AN$1006:$BO$1006,0)))),"Fix")))</f>
        <v>0</v>
      </c>
      <c r="X474" s="4">
        <f>IF(OR(INDEX($AH$2:$AH$1001,MATCH(ROWS($AG$2:AG474),$AG$2:$AG$1001,0),1)&gt;=100000,INDEX($AN$1005:$BO$1005,1,MATCH(COLUMNS($AN$1006:BJ1006),$AN$1006:$BO$1006,0))&gt;=100000), " ",IF(INDEX($AN$2:$BO$1001,MATCH(ROWS($AG$2:AG474),$AG$2:$AG$1001,0),MATCH(COLUMNS($AN$1006:BJ1006),$AN$1006:$BO$1006,0)), HYPERLINK("#",""), HYPERLINK(CONCATENATE("#Metadata!", ADDRESS(INDEX($AI$2:$AI$1001,MATCH(ROWS($AG$2:AG474),$AG$2:$AG$1001,0),0), INDEX($AN$1004:$BO$1004,1,MATCH(COLUMNS($AN$1006:BJ1006),$AN$1006:$BO$1006,0)))),"Fix")))</f>
        <v>0</v>
      </c>
      <c r="Y474" s="4">
        <f>IF(OR(INDEX($AH$2:$AH$1001,MATCH(ROWS($AG$2:AG474),$AG$2:$AG$1001,0),1)&gt;=100000,INDEX($AN$1005:$BO$1005,1,MATCH(COLUMNS($AN$1006:BK1006),$AN$1006:$BO$1006,0))&gt;=100000), " ",IF(INDEX($AN$2:$BO$1001,MATCH(ROWS($AG$2:AG474),$AG$2:$AG$1001,0),MATCH(COLUMNS($AN$1006:BK1006),$AN$1006:$BO$1006,0)), HYPERLINK("#",""), HYPERLINK(CONCATENATE("#Metadata!", ADDRESS(INDEX($AI$2:$AI$1001,MATCH(ROWS($AG$2:AG474),$AG$2:$AG$1001,0),0), INDEX($AN$1004:$BO$1004,1,MATCH(COLUMNS($AN$1006:BK1006),$AN$1006:$BO$1006,0)))),"Fix")))</f>
        <v>0</v>
      </c>
      <c r="Z474" s="4">
        <f>IF(OR(INDEX($AH$2:$AH$1001,MATCH(ROWS($AG$2:AG474),$AG$2:$AG$1001,0),1)&gt;=100000,INDEX($AN$1005:$BO$1005,1,MATCH(COLUMNS($AN$1006:BL1006),$AN$1006:$BO$1006,0))&gt;=100000), " ",IF(INDEX($AN$2:$BO$1001,MATCH(ROWS($AG$2:AG474),$AG$2:$AG$1001,0),MATCH(COLUMNS($AN$1006:BL1006),$AN$1006:$BO$1006,0)), HYPERLINK("#",""), HYPERLINK(CONCATENATE("#Metadata!", ADDRESS(INDEX($AI$2:$AI$1001,MATCH(ROWS($AG$2:AG474),$AG$2:$AG$1001,0),0), INDEX($AN$1004:$BO$1004,1,MATCH(COLUMNS($AN$1006:BL1006),$AN$1006:$BO$1006,0)))),"Fix")))</f>
        <v>0</v>
      </c>
      <c r="AA474" s="4">
        <f>IF(OR(INDEX($AH$2:$AH$1001,MATCH(ROWS($AG$2:AG474),$AG$2:$AG$1001,0),1)&gt;=100000,INDEX($AN$1005:$BO$1005,1,MATCH(COLUMNS($AN$1006:BM1006),$AN$1006:$BO$1006,0))&gt;=100000), " ",IF(INDEX($AN$2:$BO$1001,MATCH(ROWS($AG$2:AG474),$AG$2:$AG$1001,0),MATCH(COLUMNS($AN$1006:BM1006),$AN$1006:$BO$1006,0)), HYPERLINK("#",""), HYPERLINK(CONCATENATE("#Metadata!", ADDRESS(INDEX($AI$2:$AI$1001,MATCH(ROWS($AG$2:AG474),$AG$2:$AG$1001,0),0), INDEX($AN$1004:$BO$1004,1,MATCH(COLUMNS($AN$1006:BM1006),$AN$1006:$BO$1006,0)))),"Fix")))</f>
        <v>0</v>
      </c>
      <c r="AB474" s="4">
        <f>IF(OR(INDEX($AH$2:$AH$1001,MATCH(ROWS($AG$2:AG474),$AG$2:$AG$1001,0),1)&gt;=100000,INDEX($AN$1005:$BO$1005,1,MATCH(COLUMNS($AN$1006:BN1006),$AN$1006:$BO$1006,0))&gt;=100000), " ",IF(INDEX($AN$2:$BO$1001,MATCH(ROWS($AG$2:AG474),$AG$2:$AG$1001,0),MATCH(COLUMNS($AN$1006:BN1006),$AN$1006:$BO$1006,0)), HYPERLINK("#",""), HYPERLINK(CONCATENATE("#Metadata!", ADDRESS(INDEX($AI$2:$AI$1001,MATCH(ROWS($AG$2:AG474),$AG$2:$AG$1001,0),0), INDEX($AN$1004:$BO$1004,1,MATCH(COLUMNS($AN$1006:BN1006),$AN$1006:$BO$1006,0)))),"Fix")))</f>
        <v>0</v>
      </c>
      <c r="AC474" s="4">
        <f>IF(OR(INDEX($AH$2:$AH$1001,MATCH(ROWS($AG$2:AG474),$AG$2:$AG$1001,0),1)&gt;=100000,INDEX($AN$1005:$BO$1005,1,MATCH(COLUMNS($AN$1006:BO1006),$AN$1006:$BO$1006,0))&gt;=100000), " ",IF(INDEX($AN$2:$BO$1001,MATCH(ROWS($AG$2:AG474),$AG$2:$AG$1001,0),MATCH(COLUMNS($AN$1006:BO1006),$AN$1006:$BO$1006,0)), HYPERLINK("#",""), HYPERLINK(CONCATENATE("#Metadata!", ADDRESS(INDEX($AI$2:$AI$1001,MATCH(ROWS($AG$2:AG474),$AG$2:$AG$1001,0),0), INDEX($AN$1004:$BO$1004,1,MATCH(COLUMNS($AN$1006:BO1006),$AN$1006:$BO$1006,0)))),"Fix")))</f>
        <v>0</v>
      </c>
      <c r="AG474">
        <v>0</v>
      </c>
      <c r="AH474">
        <v>0</v>
      </c>
      <c r="AI474">
        <v>0</v>
      </c>
      <c r="AJ474">
        <f>IF(AK474,TRUE,AND(AN474:BO474))</f>
        <v>0</v>
      </c>
      <c r="AK474">
        <f>COUNTBLANK(Metadata!B474:AC474)=COLUMNS(Metadata!B474:AC474)</f>
        <v>0</v>
      </c>
      <c r="AL474">
        <v>0</v>
      </c>
      <c r="AN474">
        <f>AND(IF(Metadata!B474="",FALSE,TRUE),COUNTIF(Metadata!B:B, Metadata!B474) = 1,NOT(ISERROR(SUMPRODUCT(SEARCH(MID(Metadata!B474,ROW(INDIRECT("1:"&amp;LEN(Metadata!B474))), 1),"0123456789abcdefghijklmnopqrstuvwxyzABCDEFGHIJKLMNOPQRSTUVWXYZ.")))))</f>
        <v>0</v>
      </c>
      <c r="AO474">
        <f>IF(Metadata!C474="",FALSE,TRUE)</f>
        <v>0</v>
      </c>
      <c r="AP474">
        <f>IF(Metadata!D474="",FALSE,TRUE)</f>
        <v>0</v>
      </c>
      <c r="AQ474">
        <f>OR(AND(IF(Metadata!E474="",FALSE,TRUE),OR(exact(Metadata!E474,"not collected"),exact(Metadata!E474,"not provided"),exact(Metadata!E474,"restricted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R474">
        <f>IF(Metadata!F474="",FALSE,TRUE)</f>
        <v>0</v>
      </c>
      <c r="AS474">
        <f>OR(AND(IF(Metadata!G474="",FALSE,TRUE),OR(exact(Metadata!G474,"not collected"),exact(Metadata!G474,"not provided"))),AND(IF(Metadata!G474="",FALSE,TRUE),OR(exact(Metadata!G474,"TRUE"),exact(Metadata!G474,"FALSE"))))</f>
        <v>0</v>
      </c>
      <c r="AT474">
        <f>OR(AND(IF(Metadata!H474="",FALSE,TRUE),OR(exact(Metadata!H474,"not collected"),exact(Metadata!H474,"not provided"),exact(Metadata!H474,"restricted access"))),AND(IF(Metadata!H474="",FALSE,ISNUMBER(VALUE(Metadata!H474))),Metadata!H474&gt;=-413.0))</f>
        <v>0</v>
      </c>
      <c r="AU474">
        <f>AND(IF(Metadata!I474="",FALSE,TRUE),exact(Metadata!I474,"meters"))</f>
        <v>0</v>
      </c>
      <c r="AV474">
        <f>AND(IF(Metadata!J474="",FALSE,TRUE),OR(exact(Metadata!J474,"Host-associated"),exact(Metadata!J474,"Free-living")))</f>
        <v>0</v>
      </c>
      <c r="AW474">
        <f>AND(IF(Metadata!K474="",FALSE,TRUE),OR(exact(Metadata!K474,"Animal"),exact(Metadata!K474,"Fungus"),exact(Metadata!K474,"Plant"),exact(Metadata!K474,"Saline"),exact(Metadata!K474,"Non-saline")))</f>
        <v>0</v>
      </c>
      <c r="AX474">
        <f>AND(IF(Metadata!L474="",FALSE,TRUE),OR(exact(Metadata!L474,"Plant secretion"),exact(Metadata!L474,"Plant rhizosphere"),exact(Metadata!L474,"Plant surface"),exact(Metadata!L474,"Plant corpus"),exact(Metadata!L474,"Fungus surface"),exact(Metadata!L474,"Fungus corpus"),exact(Metadata!L474,"Animal surface"),exact(Metadata!L474,"Animal proximal gut"),exact(Metadata!L474,"Animal corpus"),exact(Metadata!L474,"Animal distal gut"),exact(Metadata!L474,"Animal secretion"),exact(Metadata!L474,"Sub-surface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Y474">
        <f>IF(Metadata!M474="",FALSE,TRUE)</f>
        <v>0</v>
      </c>
      <c r="AZ474">
        <f>IF(Metadata!N474="",FALSE,TRUE)</f>
        <v>0</v>
      </c>
      <c r="BA474">
        <f>IF(Metadata!O474="",FALSE,TRUE)</f>
        <v>0</v>
      </c>
      <c r="BB474">
        <f>OR(AND(IF(Metadata!P474="",FALSE,TRUE),OR(exact(Metadata!P474,"not collected"),exact(Metadata!P474,"not provided"),exact(Metadata!P474,"restricted access"))),AND(IF(Metadata!P474="",FALSE,TRUE),OR(exact(Metadata!P474,"air"),exact(Metadata!P474,"built environment"),exact(Metadata!P474,"host-associated"),exact(Metadata!P474,"human-associated"),exact(Metadata!P474,"human-skin"),exact(Metadata!P474,"human-oral"),exact(Metadata!P474,"human-gut"),exact(Metadata!P474,"human-vaginal"),exact(Metadata!P474,"microbial mat/biofilm"),exact(Metadata!P474,"misc environment"),exact(Metadata!P474,"plant-associated"),exact(Metadata!P474,"sediment"),exact(Metadata!P474,"soil"),exact(Metadata!P474,"wastewater/sludge"),exact(Metadata!P474,"water"))))</f>
        <v>0</v>
      </c>
      <c r="BC474">
        <f>IF(Metadata!Q474="",FALSE,TRUE)</f>
        <v>0</v>
      </c>
      <c r="BD474">
        <f>IF(Metadata!R474="",FALSE,TRUE)</f>
        <v>0</v>
      </c>
      <c r="BE474">
        <f>OR(AND(IF(Metadata!S474="",FALSE,TRUE),OR(exact(Metadata!S474,"not collected"),exact(Metadata!S474,"not provided"),exact(Metadata!S474,"restricted access"))),AND(IF(Metadata!S474="",FALSE,ISNUMBER(VALUE(Metadata!S474))),Metadata!S474&gt;=-90.00,Metadata!S474&lt;=90.00))</f>
        <v>0</v>
      </c>
      <c r="BF474">
        <f>AND(IF(Metadata!T474="",FALSE,TRUE),exact(Metadata!T474,"Decimal degrees"))</f>
        <v>0</v>
      </c>
      <c r="BG474">
        <f>OR(AND(IF(Metadata!U474="",FALSE,TRUE),OR(exact(Metadata!U474,"not collected"),exact(Metadata!U474,"not provided"),exact(Metadata!U474,"restricted access"))),AND(IF(Metadata!U474="",FALSE,ISNUMBER(VALUE(Metadata!U474))),Metadata!U474&gt;=-180.00,Metadata!U474&lt;=180.00))</f>
        <v>0</v>
      </c>
      <c r="BH474">
        <f>AND(IF(Metadata!V474="",FALSE,TRUE),exact(Metadata!V474,"Decimal degrees"))</f>
        <v>0</v>
      </c>
      <c r="BI474">
        <f>IF(Metadata!W474="",FALSE,TRUE)</f>
        <v>0</v>
      </c>
      <c r="BJ474">
        <f>OR(AND(IF(Metadata!X474="",FALSE,TRUE),OR(exact(Metadata!X474,"not collected"),exact(Metadata!X474,"not provided"),exact(Metadata!X474,"restricted access"))),AND(IF(Metadata!X474="",FALSE,TRUE),OR(exact(Metadata!X474,"TRUE"),exact(Metadata!X474,"FALSE"))))</f>
        <v>0</v>
      </c>
      <c r="BK474">
        <f>AND(IF(Metadata!Y474="",FALSE,TRUE),exact(Metadata!Y474,"other"))</f>
        <v>0</v>
      </c>
      <c r="BL474">
        <f>IF(Metadata!Z474="",FALSE,TRUE)</f>
        <v>0</v>
      </c>
      <c r="BM474">
        <f>OR(AND(IF(Metadata!AA474="",FALSE,TRUE),OR(exact(Metadata!AA474,"not collected"),exact(Metadata!AA474,"not provided"))),AND(IF(Metadata!AA474="",FALSE,IF(ISERROR(INT(Metadata!AA474)),FALSE,INT(Metadata!AA474)=Metadata!AA474)),Metadata!AA474&gt;0))</f>
        <v>0</v>
      </c>
      <c r="BN474">
        <f>AND(IF(Metadata!AB474="",FALSE,TRUE),exact(Metadata!AB474,"Not applicable"))</f>
        <v>0</v>
      </c>
      <c r="BO474">
        <f>IF(Metadata!AC474="",FALSE,TRUE)</f>
        <v>0</v>
      </c>
    </row>
    <row r="475" spans="1:67">
      <c r="A475" s="5">
        <f>IF(B475=" "," ",HYPERLINK(CONCATENATE("#metadata!",ADDRESS(INDEX($AI$2:$AI$1001,MATCH(ROWS($AG$2:AG475),$AG$2:$AG$1001,0),0),1)),INDEX($AL$2:$AL$1001,MATCH(ROWS($AG$2:AG475),$AG$2:$AG$1001,0),0)))</f>
        <v>0</v>
      </c>
      <c r="B475" s="4">
        <f>IF(OR(INDEX($AH$2:$AH$1001,MATCH(ROWS($AG$2:AG475),$AG$2:$AG$1001,0),1)&gt;=100000,INDEX($AN$1005:$BO$1005,1,MATCH(COLUMNS($AN$1006:AN1006),$AN$1006:$BO$1006,0))&gt;=100000), " ",IF(INDEX($AN$2:$BO$1001,MATCH(ROWS($AG$2:AG475),$AG$2:$AG$1001,0),MATCH(COLUMNS($AN$1006:AN1006),$AN$1006:$BO$1006,0)), HYPERLINK("#",""), HYPERLINK(CONCATENATE("#Metadata!", ADDRESS(INDEX($AI$2:$AI$1001,MATCH(ROWS($AG$2:AG475),$AG$2:$AG$1001,0),0), INDEX($AN$1004:$BO$1004,1,MATCH(COLUMNS($AN$1006:AN1006),$AN$1006:$BO$1006,0)))),"Fix")))</f>
        <v>0</v>
      </c>
      <c r="C475" s="4">
        <f>IF(OR(INDEX($AH$2:$AH$1001,MATCH(ROWS($AG$2:AG475),$AG$2:$AG$1001,0),1)&gt;=100000,INDEX($AN$1005:$BO$1005,1,MATCH(COLUMNS($AN$1006:AO1006),$AN$1006:$BO$1006,0))&gt;=100000), " ",IF(INDEX($AN$2:$BO$1001,MATCH(ROWS($AG$2:AG475),$AG$2:$AG$1001,0),MATCH(COLUMNS($AN$1006:AO1006),$AN$1006:$BO$1006,0)), HYPERLINK("#",""), HYPERLINK(CONCATENATE("#Metadata!", ADDRESS(INDEX($AI$2:$AI$1001,MATCH(ROWS($AG$2:AG475),$AG$2:$AG$1001,0),0), INDEX($AN$1004:$BO$1004,1,MATCH(COLUMNS($AN$1006:AO1006),$AN$1006:$BO$1006,0)))),"Fix")))</f>
        <v>0</v>
      </c>
      <c r="D475" s="4">
        <f>IF(OR(INDEX($AH$2:$AH$1001,MATCH(ROWS($AG$2:AG475),$AG$2:$AG$1001,0),1)&gt;=100000,INDEX($AN$1005:$BO$1005,1,MATCH(COLUMNS($AN$1006:AP1006),$AN$1006:$BO$1006,0))&gt;=100000), " ",IF(INDEX($AN$2:$BO$1001,MATCH(ROWS($AG$2:AG475),$AG$2:$AG$1001,0),MATCH(COLUMNS($AN$1006:AP1006),$AN$1006:$BO$1006,0)), HYPERLINK("#",""), HYPERLINK(CONCATENATE("#Metadata!", ADDRESS(INDEX($AI$2:$AI$1001,MATCH(ROWS($AG$2:AG475),$AG$2:$AG$1001,0),0), INDEX($AN$1004:$BO$1004,1,MATCH(COLUMNS($AN$1006:AP1006),$AN$1006:$BO$1006,0)))),"Fix")))</f>
        <v>0</v>
      </c>
      <c r="E475" s="4">
        <f>IF(OR(INDEX($AH$2:$AH$1001,MATCH(ROWS($AG$2:AG475),$AG$2:$AG$1001,0),1)&gt;=100000,INDEX($AN$1005:$BO$1005,1,MATCH(COLUMNS($AN$1006:AQ1006),$AN$1006:$BO$1006,0))&gt;=100000), " ",IF(INDEX($AN$2:$BO$1001,MATCH(ROWS($AG$2:AG475),$AG$2:$AG$1001,0),MATCH(COLUMNS($AN$1006:AQ1006),$AN$1006:$BO$1006,0)), HYPERLINK("#",""), HYPERLINK(CONCATENATE("#Metadata!", ADDRESS(INDEX($AI$2:$AI$1001,MATCH(ROWS($AG$2:AG475),$AG$2:$AG$1001,0),0), INDEX($AN$1004:$BO$1004,1,MATCH(COLUMNS($AN$1006:AQ1006),$AN$1006:$BO$1006,0)))),"Fix")))</f>
        <v>0</v>
      </c>
      <c r="F475" s="4">
        <f>IF(OR(INDEX($AH$2:$AH$1001,MATCH(ROWS($AG$2:AG475),$AG$2:$AG$1001,0),1)&gt;=100000,INDEX($AN$1005:$BO$1005,1,MATCH(COLUMNS($AN$1006:AR1006),$AN$1006:$BO$1006,0))&gt;=100000), " ",IF(INDEX($AN$2:$BO$1001,MATCH(ROWS($AG$2:AG475),$AG$2:$AG$1001,0),MATCH(COLUMNS($AN$1006:AR1006),$AN$1006:$BO$1006,0)), HYPERLINK("#",""), HYPERLINK(CONCATENATE("#Metadata!", ADDRESS(INDEX($AI$2:$AI$1001,MATCH(ROWS($AG$2:AG475),$AG$2:$AG$1001,0),0), INDEX($AN$1004:$BO$1004,1,MATCH(COLUMNS($AN$1006:AR1006),$AN$1006:$BO$1006,0)))),"Fix")))</f>
        <v>0</v>
      </c>
      <c r="G475" s="4">
        <f>IF(OR(INDEX($AH$2:$AH$1001,MATCH(ROWS($AG$2:AG475),$AG$2:$AG$1001,0),1)&gt;=100000,INDEX($AN$1005:$BO$1005,1,MATCH(COLUMNS($AN$1006:AS1006),$AN$1006:$BO$1006,0))&gt;=100000), " ",IF(INDEX($AN$2:$BO$1001,MATCH(ROWS($AG$2:AG475),$AG$2:$AG$1001,0),MATCH(COLUMNS($AN$1006:AS1006),$AN$1006:$BO$1006,0)), HYPERLINK("#",""), HYPERLINK(CONCATENATE("#Metadata!", ADDRESS(INDEX($AI$2:$AI$1001,MATCH(ROWS($AG$2:AG475),$AG$2:$AG$1001,0),0), INDEX($AN$1004:$BO$1004,1,MATCH(COLUMNS($AN$1006:AS1006),$AN$1006:$BO$1006,0)))),"Fix")))</f>
        <v>0</v>
      </c>
      <c r="H475" s="4">
        <f>IF(OR(INDEX($AH$2:$AH$1001,MATCH(ROWS($AG$2:AG475),$AG$2:$AG$1001,0),1)&gt;=100000,INDEX($AN$1005:$BO$1005,1,MATCH(COLUMNS($AN$1006:AT1006),$AN$1006:$BO$1006,0))&gt;=100000), " ",IF(INDEX($AN$2:$BO$1001,MATCH(ROWS($AG$2:AG475),$AG$2:$AG$1001,0),MATCH(COLUMNS($AN$1006:AT1006),$AN$1006:$BO$1006,0)), HYPERLINK("#",""), HYPERLINK(CONCATENATE("#Metadata!", ADDRESS(INDEX($AI$2:$AI$1001,MATCH(ROWS($AG$2:AG475),$AG$2:$AG$1001,0),0), INDEX($AN$1004:$BO$1004,1,MATCH(COLUMNS($AN$1006:AT1006),$AN$1006:$BO$1006,0)))),"Fix")))</f>
        <v>0</v>
      </c>
      <c r="I475" s="4">
        <f>IF(OR(INDEX($AH$2:$AH$1001,MATCH(ROWS($AG$2:AG475),$AG$2:$AG$1001,0),1)&gt;=100000,INDEX($AN$1005:$BO$1005,1,MATCH(COLUMNS($AN$1006:AU1006),$AN$1006:$BO$1006,0))&gt;=100000), " ",IF(INDEX($AN$2:$BO$1001,MATCH(ROWS($AG$2:AG475),$AG$2:$AG$1001,0),MATCH(COLUMNS($AN$1006:AU1006),$AN$1006:$BO$1006,0)), HYPERLINK("#",""), HYPERLINK(CONCATENATE("#Metadata!", ADDRESS(INDEX($AI$2:$AI$1001,MATCH(ROWS($AG$2:AG475),$AG$2:$AG$1001,0),0), INDEX($AN$1004:$BO$1004,1,MATCH(COLUMNS($AN$1006:AU1006),$AN$1006:$BO$1006,0)))),"Fix")))</f>
        <v>0</v>
      </c>
      <c r="J475" s="4">
        <f>IF(OR(INDEX($AH$2:$AH$1001,MATCH(ROWS($AG$2:AG475),$AG$2:$AG$1001,0),1)&gt;=100000,INDEX($AN$1005:$BO$1005,1,MATCH(COLUMNS($AN$1006:AV1006),$AN$1006:$BO$1006,0))&gt;=100000), " ",IF(INDEX($AN$2:$BO$1001,MATCH(ROWS($AG$2:AG475),$AG$2:$AG$1001,0),MATCH(COLUMNS($AN$1006:AV1006),$AN$1006:$BO$1006,0)), HYPERLINK("#",""), HYPERLINK(CONCATENATE("#Metadata!", ADDRESS(INDEX($AI$2:$AI$1001,MATCH(ROWS($AG$2:AG475),$AG$2:$AG$1001,0),0), INDEX($AN$1004:$BO$1004,1,MATCH(COLUMNS($AN$1006:AV1006),$AN$1006:$BO$1006,0)))),"Fix")))</f>
        <v>0</v>
      </c>
      <c r="K475" s="4">
        <f>IF(OR(INDEX($AH$2:$AH$1001,MATCH(ROWS($AG$2:AG475),$AG$2:$AG$1001,0),1)&gt;=100000,INDEX($AN$1005:$BO$1005,1,MATCH(COLUMNS($AN$1006:AW1006),$AN$1006:$BO$1006,0))&gt;=100000), " ",IF(INDEX($AN$2:$BO$1001,MATCH(ROWS($AG$2:AG475),$AG$2:$AG$1001,0),MATCH(COLUMNS($AN$1006:AW1006),$AN$1006:$BO$1006,0)), HYPERLINK("#",""), HYPERLINK(CONCATENATE("#Metadata!", ADDRESS(INDEX($AI$2:$AI$1001,MATCH(ROWS($AG$2:AG475),$AG$2:$AG$1001,0),0), INDEX($AN$1004:$BO$1004,1,MATCH(COLUMNS($AN$1006:AW1006),$AN$1006:$BO$1006,0)))),"Fix")))</f>
        <v>0</v>
      </c>
      <c r="L475" s="4">
        <f>IF(OR(INDEX($AH$2:$AH$1001,MATCH(ROWS($AG$2:AG475),$AG$2:$AG$1001,0),1)&gt;=100000,INDEX($AN$1005:$BO$1005,1,MATCH(COLUMNS($AN$1006:AX1006),$AN$1006:$BO$1006,0))&gt;=100000), " ",IF(INDEX($AN$2:$BO$1001,MATCH(ROWS($AG$2:AG475),$AG$2:$AG$1001,0),MATCH(COLUMNS($AN$1006:AX1006),$AN$1006:$BO$1006,0)), HYPERLINK("#",""), HYPERLINK(CONCATENATE("#Metadata!", ADDRESS(INDEX($AI$2:$AI$1001,MATCH(ROWS($AG$2:AG475),$AG$2:$AG$1001,0),0), INDEX($AN$1004:$BO$1004,1,MATCH(COLUMNS($AN$1006:AX1006),$AN$1006:$BO$1006,0)))),"Fix")))</f>
        <v>0</v>
      </c>
      <c r="M475" s="4">
        <f>IF(OR(INDEX($AH$2:$AH$1001,MATCH(ROWS($AG$2:AG475),$AG$2:$AG$1001,0),1)&gt;=100000,INDEX($AN$1005:$BO$1005,1,MATCH(COLUMNS($AN$1006:AY1006),$AN$1006:$BO$1006,0))&gt;=100000), " ",IF(INDEX($AN$2:$BO$1001,MATCH(ROWS($AG$2:AG475),$AG$2:$AG$1001,0),MATCH(COLUMNS($AN$1006:AY1006),$AN$1006:$BO$1006,0)), HYPERLINK("#",""), HYPERLINK(CONCATENATE("#Metadata!", ADDRESS(INDEX($AI$2:$AI$1001,MATCH(ROWS($AG$2:AG475),$AG$2:$AG$1001,0),0), INDEX($AN$1004:$BO$1004,1,MATCH(COLUMNS($AN$1006:AY1006),$AN$1006:$BO$1006,0)))),"Fix")))</f>
        <v>0</v>
      </c>
      <c r="N475" s="4">
        <f>IF(OR(INDEX($AH$2:$AH$1001,MATCH(ROWS($AG$2:AG475),$AG$2:$AG$1001,0),1)&gt;=100000,INDEX($AN$1005:$BO$1005,1,MATCH(COLUMNS($AN$1006:AZ1006),$AN$1006:$BO$1006,0))&gt;=100000), " ",IF(INDEX($AN$2:$BO$1001,MATCH(ROWS($AG$2:AG475),$AG$2:$AG$1001,0),MATCH(COLUMNS($AN$1006:AZ1006),$AN$1006:$BO$1006,0)), HYPERLINK("#",""), HYPERLINK(CONCATENATE("#Metadata!", ADDRESS(INDEX($AI$2:$AI$1001,MATCH(ROWS($AG$2:AG475),$AG$2:$AG$1001,0),0), INDEX($AN$1004:$BO$1004,1,MATCH(COLUMNS($AN$1006:AZ1006),$AN$1006:$BO$1006,0)))),"Fix")))</f>
        <v>0</v>
      </c>
      <c r="O475" s="4">
        <f>IF(OR(INDEX($AH$2:$AH$1001,MATCH(ROWS($AG$2:AG475),$AG$2:$AG$1001,0),1)&gt;=100000,INDEX($AN$1005:$BO$1005,1,MATCH(COLUMNS($AN$1006:BA1006),$AN$1006:$BO$1006,0))&gt;=100000), " ",IF(INDEX($AN$2:$BO$1001,MATCH(ROWS($AG$2:AG475),$AG$2:$AG$1001,0),MATCH(COLUMNS($AN$1006:BA1006),$AN$1006:$BO$1006,0)), HYPERLINK("#",""), HYPERLINK(CONCATENATE("#Metadata!", ADDRESS(INDEX($AI$2:$AI$1001,MATCH(ROWS($AG$2:AG475),$AG$2:$AG$1001,0),0), INDEX($AN$1004:$BO$1004,1,MATCH(COLUMNS($AN$1006:BA1006),$AN$1006:$BO$1006,0)))),"Fix")))</f>
        <v>0</v>
      </c>
      <c r="P475" s="4">
        <f>IF(OR(INDEX($AH$2:$AH$1001,MATCH(ROWS($AG$2:AG475),$AG$2:$AG$1001,0),1)&gt;=100000,INDEX($AN$1005:$BO$1005,1,MATCH(COLUMNS($AN$1006:BB1006),$AN$1006:$BO$1006,0))&gt;=100000), " ",IF(INDEX($AN$2:$BO$1001,MATCH(ROWS($AG$2:AG475),$AG$2:$AG$1001,0),MATCH(COLUMNS($AN$1006:BB1006),$AN$1006:$BO$1006,0)), HYPERLINK("#",""), HYPERLINK(CONCATENATE("#Metadata!", ADDRESS(INDEX($AI$2:$AI$1001,MATCH(ROWS($AG$2:AG475),$AG$2:$AG$1001,0),0), INDEX($AN$1004:$BO$1004,1,MATCH(COLUMNS($AN$1006:BB1006),$AN$1006:$BO$1006,0)))),"Fix")))</f>
        <v>0</v>
      </c>
      <c r="Q475" s="4">
        <f>IF(OR(INDEX($AH$2:$AH$1001,MATCH(ROWS($AG$2:AG475),$AG$2:$AG$1001,0),1)&gt;=100000,INDEX($AN$1005:$BO$1005,1,MATCH(COLUMNS($AN$1006:BC1006),$AN$1006:$BO$1006,0))&gt;=100000), " ",IF(INDEX($AN$2:$BO$1001,MATCH(ROWS($AG$2:AG475),$AG$2:$AG$1001,0),MATCH(COLUMNS($AN$1006:BC1006),$AN$1006:$BO$1006,0)), HYPERLINK("#",""), HYPERLINK(CONCATENATE("#Metadata!", ADDRESS(INDEX($AI$2:$AI$1001,MATCH(ROWS($AG$2:AG475),$AG$2:$AG$1001,0),0), INDEX($AN$1004:$BO$1004,1,MATCH(COLUMNS($AN$1006:BC1006),$AN$1006:$BO$1006,0)))),"Fix")))</f>
        <v>0</v>
      </c>
      <c r="R475" s="4">
        <f>IF(OR(INDEX($AH$2:$AH$1001,MATCH(ROWS($AG$2:AG475),$AG$2:$AG$1001,0),1)&gt;=100000,INDEX($AN$1005:$BO$1005,1,MATCH(COLUMNS($AN$1006:BD1006),$AN$1006:$BO$1006,0))&gt;=100000), " ",IF(INDEX($AN$2:$BO$1001,MATCH(ROWS($AG$2:AG475),$AG$2:$AG$1001,0),MATCH(COLUMNS($AN$1006:BD1006),$AN$1006:$BO$1006,0)), HYPERLINK("#",""), HYPERLINK(CONCATENATE("#Metadata!", ADDRESS(INDEX($AI$2:$AI$1001,MATCH(ROWS($AG$2:AG475),$AG$2:$AG$1001,0),0), INDEX($AN$1004:$BO$1004,1,MATCH(COLUMNS($AN$1006:BD1006),$AN$1006:$BO$1006,0)))),"Fix")))</f>
        <v>0</v>
      </c>
      <c r="S475" s="4">
        <f>IF(OR(INDEX($AH$2:$AH$1001,MATCH(ROWS($AG$2:AG475),$AG$2:$AG$1001,0),1)&gt;=100000,INDEX($AN$1005:$BO$1005,1,MATCH(COLUMNS($AN$1006:BE1006),$AN$1006:$BO$1006,0))&gt;=100000), " ",IF(INDEX($AN$2:$BO$1001,MATCH(ROWS($AG$2:AG475),$AG$2:$AG$1001,0),MATCH(COLUMNS($AN$1006:BE1006),$AN$1006:$BO$1006,0)), HYPERLINK("#",""), HYPERLINK(CONCATENATE("#Metadata!", ADDRESS(INDEX($AI$2:$AI$1001,MATCH(ROWS($AG$2:AG475),$AG$2:$AG$1001,0),0), INDEX($AN$1004:$BO$1004,1,MATCH(COLUMNS($AN$1006:BE1006),$AN$1006:$BO$1006,0)))),"Fix")))</f>
        <v>0</v>
      </c>
      <c r="T475" s="4">
        <f>IF(OR(INDEX($AH$2:$AH$1001,MATCH(ROWS($AG$2:AG475),$AG$2:$AG$1001,0),1)&gt;=100000,INDEX($AN$1005:$BO$1005,1,MATCH(COLUMNS($AN$1006:BF1006),$AN$1006:$BO$1006,0))&gt;=100000), " ",IF(INDEX($AN$2:$BO$1001,MATCH(ROWS($AG$2:AG475),$AG$2:$AG$1001,0),MATCH(COLUMNS($AN$1006:BF1006),$AN$1006:$BO$1006,0)), HYPERLINK("#",""), HYPERLINK(CONCATENATE("#Metadata!", ADDRESS(INDEX($AI$2:$AI$1001,MATCH(ROWS($AG$2:AG475),$AG$2:$AG$1001,0),0), INDEX($AN$1004:$BO$1004,1,MATCH(COLUMNS($AN$1006:BF1006),$AN$1006:$BO$1006,0)))),"Fix")))</f>
        <v>0</v>
      </c>
      <c r="U475" s="4">
        <f>IF(OR(INDEX($AH$2:$AH$1001,MATCH(ROWS($AG$2:AG475),$AG$2:$AG$1001,0),1)&gt;=100000,INDEX($AN$1005:$BO$1005,1,MATCH(COLUMNS($AN$1006:BG1006),$AN$1006:$BO$1006,0))&gt;=100000), " ",IF(INDEX($AN$2:$BO$1001,MATCH(ROWS($AG$2:AG475),$AG$2:$AG$1001,0),MATCH(COLUMNS($AN$1006:BG1006),$AN$1006:$BO$1006,0)), HYPERLINK("#",""), HYPERLINK(CONCATENATE("#Metadata!", ADDRESS(INDEX($AI$2:$AI$1001,MATCH(ROWS($AG$2:AG475),$AG$2:$AG$1001,0),0), INDEX($AN$1004:$BO$1004,1,MATCH(COLUMNS($AN$1006:BG1006),$AN$1006:$BO$1006,0)))),"Fix")))</f>
        <v>0</v>
      </c>
      <c r="V475" s="4">
        <f>IF(OR(INDEX($AH$2:$AH$1001,MATCH(ROWS($AG$2:AG475),$AG$2:$AG$1001,0),1)&gt;=100000,INDEX($AN$1005:$BO$1005,1,MATCH(COLUMNS($AN$1006:BH1006),$AN$1006:$BO$1006,0))&gt;=100000), " ",IF(INDEX($AN$2:$BO$1001,MATCH(ROWS($AG$2:AG475),$AG$2:$AG$1001,0),MATCH(COLUMNS($AN$1006:BH1006),$AN$1006:$BO$1006,0)), HYPERLINK("#",""), HYPERLINK(CONCATENATE("#Metadata!", ADDRESS(INDEX($AI$2:$AI$1001,MATCH(ROWS($AG$2:AG475),$AG$2:$AG$1001,0),0), INDEX($AN$1004:$BO$1004,1,MATCH(COLUMNS($AN$1006:BH1006),$AN$1006:$BO$1006,0)))),"Fix")))</f>
        <v>0</v>
      </c>
      <c r="W475" s="4">
        <f>IF(OR(INDEX($AH$2:$AH$1001,MATCH(ROWS($AG$2:AG475),$AG$2:$AG$1001,0),1)&gt;=100000,INDEX($AN$1005:$BO$1005,1,MATCH(COLUMNS($AN$1006:BI1006),$AN$1006:$BO$1006,0))&gt;=100000), " ",IF(INDEX($AN$2:$BO$1001,MATCH(ROWS($AG$2:AG475),$AG$2:$AG$1001,0),MATCH(COLUMNS($AN$1006:BI1006),$AN$1006:$BO$1006,0)), HYPERLINK("#",""), HYPERLINK(CONCATENATE("#Metadata!", ADDRESS(INDEX($AI$2:$AI$1001,MATCH(ROWS($AG$2:AG475),$AG$2:$AG$1001,0),0), INDEX($AN$1004:$BO$1004,1,MATCH(COLUMNS($AN$1006:BI1006),$AN$1006:$BO$1006,0)))),"Fix")))</f>
        <v>0</v>
      </c>
      <c r="X475" s="4">
        <f>IF(OR(INDEX($AH$2:$AH$1001,MATCH(ROWS($AG$2:AG475),$AG$2:$AG$1001,0),1)&gt;=100000,INDEX($AN$1005:$BO$1005,1,MATCH(COLUMNS($AN$1006:BJ1006),$AN$1006:$BO$1006,0))&gt;=100000), " ",IF(INDEX($AN$2:$BO$1001,MATCH(ROWS($AG$2:AG475),$AG$2:$AG$1001,0),MATCH(COLUMNS($AN$1006:BJ1006),$AN$1006:$BO$1006,0)), HYPERLINK("#",""), HYPERLINK(CONCATENATE("#Metadata!", ADDRESS(INDEX($AI$2:$AI$1001,MATCH(ROWS($AG$2:AG475),$AG$2:$AG$1001,0),0), INDEX($AN$1004:$BO$1004,1,MATCH(COLUMNS($AN$1006:BJ1006),$AN$1006:$BO$1006,0)))),"Fix")))</f>
        <v>0</v>
      </c>
      <c r="Y475" s="4">
        <f>IF(OR(INDEX($AH$2:$AH$1001,MATCH(ROWS($AG$2:AG475),$AG$2:$AG$1001,0),1)&gt;=100000,INDEX($AN$1005:$BO$1005,1,MATCH(COLUMNS($AN$1006:BK1006),$AN$1006:$BO$1006,0))&gt;=100000), " ",IF(INDEX($AN$2:$BO$1001,MATCH(ROWS($AG$2:AG475),$AG$2:$AG$1001,0),MATCH(COLUMNS($AN$1006:BK1006),$AN$1006:$BO$1006,0)), HYPERLINK("#",""), HYPERLINK(CONCATENATE("#Metadata!", ADDRESS(INDEX($AI$2:$AI$1001,MATCH(ROWS($AG$2:AG475),$AG$2:$AG$1001,0),0), INDEX($AN$1004:$BO$1004,1,MATCH(COLUMNS($AN$1006:BK1006),$AN$1006:$BO$1006,0)))),"Fix")))</f>
        <v>0</v>
      </c>
      <c r="Z475" s="4">
        <f>IF(OR(INDEX($AH$2:$AH$1001,MATCH(ROWS($AG$2:AG475),$AG$2:$AG$1001,0),1)&gt;=100000,INDEX($AN$1005:$BO$1005,1,MATCH(COLUMNS($AN$1006:BL1006),$AN$1006:$BO$1006,0))&gt;=100000), " ",IF(INDEX($AN$2:$BO$1001,MATCH(ROWS($AG$2:AG475),$AG$2:$AG$1001,0),MATCH(COLUMNS($AN$1006:BL1006),$AN$1006:$BO$1006,0)), HYPERLINK("#",""), HYPERLINK(CONCATENATE("#Metadata!", ADDRESS(INDEX($AI$2:$AI$1001,MATCH(ROWS($AG$2:AG475),$AG$2:$AG$1001,0),0), INDEX($AN$1004:$BO$1004,1,MATCH(COLUMNS($AN$1006:BL1006),$AN$1006:$BO$1006,0)))),"Fix")))</f>
        <v>0</v>
      </c>
      <c r="AA475" s="4">
        <f>IF(OR(INDEX($AH$2:$AH$1001,MATCH(ROWS($AG$2:AG475),$AG$2:$AG$1001,0),1)&gt;=100000,INDEX($AN$1005:$BO$1005,1,MATCH(COLUMNS($AN$1006:BM1006),$AN$1006:$BO$1006,0))&gt;=100000), " ",IF(INDEX($AN$2:$BO$1001,MATCH(ROWS($AG$2:AG475),$AG$2:$AG$1001,0),MATCH(COLUMNS($AN$1006:BM1006),$AN$1006:$BO$1006,0)), HYPERLINK("#",""), HYPERLINK(CONCATENATE("#Metadata!", ADDRESS(INDEX($AI$2:$AI$1001,MATCH(ROWS($AG$2:AG475),$AG$2:$AG$1001,0),0), INDEX($AN$1004:$BO$1004,1,MATCH(COLUMNS($AN$1006:BM1006),$AN$1006:$BO$1006,0)))),"Fix")))</f>
        <v>0</v>
      </c>
      <c r="AB475" s="4">
        <f>IF(OR(INDEX($AH$2:$AH$1001,MATCH(ROWS($AG$2:AG475),$AG$2:$AG$1001,0),1)&gt;=100000,INDEX($AN$1005:$BO$1005,1,MATCH(COLUMNS($AN$1006:BN1006),$AN$1006:$BO$1006,0))&gt;=100000), " ",IF(INDEX($AN$2:$BO$1001,MATCH(ROWS($AG$2:AG475),$AG$2:$AG$1001,0),MATCH(COLUMNS($AN$1006:BN1006),$AN$1006:$BO$1006,0)), HYPERLINK("#",""), HYPERLINK(CONCATENATE("#Metadata!", ADDRESS(INDEX($AI$2:$AI$1001,MATCH(ROWS($AG$2:AG475),$AG$2:$AG$1001,0),0), INDEX($AN$1004:$BO$1004,1,MATCH(COLUMNS($AN$1006:BN1006),$AN$1006:$BO$1006,0)))),"Fix")))</f>
        <v>0</v>
      </c>
      <c r="AC475" s="4">
        <f>IF(OR(INDEX($AH$2:$AH$1001,MATCH(ROWS($AG$2:AG475),$AG$2:$AG$1001,0),1)&gt;=100000,INDEX($AN$1005:$BO$1005,1,MATCH(COLUMNS($AN$1006:BO1006),$AN$1006:$BO$1006,0))&gt;=100000), " ",IF(INDEX($AN$2:$BO$1001,MATCH(ROWS($AG$2:AG475),$AG$2:$AG$1001,0),MATCH(COLUMNS($AN$1006:BO1006),$AN$1006:$BO$1006,0)), HYPERLINK("#",""), HYPERLINK(CONCATENATE("#Metadata!", ADDRESS(INDEX($AI$2:$AI$1001,MATCH(ROWS($AG$2:AG475),$AG$2:$AG$1001,0),0), INDEX($AN$1004:$BO$1004,1,MATCH(COLUMNS($AN$1006:BO1006),$AN$1006:$BO$1006,0)))),"Fix")))</f>
        <v>0</v>
      </c>
      <c r="AG475">
        <v>0</v>
      </c>
      <c r="AH475">
        <v>0</v>
      </c>
      <c r="AI475">
        <v>0</v>
      </c>
      <c r="AJ475">
        <f>IF(AK475,TRUE,AND(AN475:BO475))</f>
        <v>0</v>
      </c>
      <c r="AK475">
        <f>COUNTBLANK(Metadata!B475:AC475)=COLUMNS(Metadata!B475:AC475)</f>
        <v>0</v>
      </c>
      <c r="AL475">
        <v>0</v>
      </c>
      <c r="AN475">
        <f>AND(IF(Metadata!B475="",FALSE,TRUE),COUNTIF(Metadata!B:B, Metadata!B475) = 1,NOT(ISERROR(SUMPRODUCT(SEARCH(MID(Metadata!B475,ROW(INDIRECT("1:"&amp;LEN(Metadata!B475))), 1),"0123456789abcdefghijklmnopqrstuvwxyzABCDEFGHIJKLMNOPQRSTUVWXYZ.")))))</f>
        <v>0</v>
      </c>
      <c r="AO475">
        <f>IF(Metadata!C475="",FALSE,TRUE)</f>
        <v>0</v>
      </c>
      <c r="AP475">
        <f>IF(Metadata!D475="",FALSE,TRUE)</f>
        <v>0</v>
      </c>
      <c r="AQ475">
        <f>OR(AND(IF(Metadata!E475="",FALSE,TRUE),OR(exact(Metadata!E475,"not collected"),exact(Metadata!E475,"not provided"),exact(Metadata!E475,"restricted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R475">
        <f>IF(Metadata!F475="",FALSE,TRUE)</f>
        <v>0</v>
      </c>
      <c r="AS475">
        <f>OR(AND(IF(Metadata!G475="",FALSE,TRUE),OR(exact(Metadata!G475,"not collected"),exact(Metadata!G475,"not provided"))),AND(IF(Metadata!G475="",FALSE,TRUE),OR(exact(Metadata!G475,"TRUE"),exact(Metadata!G475,"FALSE"))))</f>
        <v>0</v>
      </c>
      <c r="AT475">
        <f>OR(AND(IF(Metadata!H475="",FALSE,TRUE),OR(exact(Metadata!H475,"not collected"),exact(Metadata!H475,"not provided"),exact(Metadata!H475,"restricted access"))),AND(IF(Metadata!H475="",FALSE,ISNUMBER(VALUE(Metadata!H475))),Metadata!H475&gt;=-413.0))</f>
        <v>0</v>
      </c>
      <c r="AU475">
        <f>AND(IF(Metadata!I475="",FALSE,TRUE),exact(Metadata!I475,"meters"))</f>
        <v>0</v>
      </c>
      <c r="AV475">
        <f>AND(IF(Metadata!J475="",FALSE,TRUE),OR(exact(Metadata!J475,"Host-associated"),exact(Metadata!J475,"Free-living")))</f>
        <v>0</v>
      </c>
      <c r="AW475">
        <f>AND(IF(Metadata!K475="",FALSE,TRUE),OR(exact(Metadata!K475,"Animal"),exact(Metadata!K475,"Fungus"),exact(Metadata!K475,"Plant"),exact(Metadata!K475,"Saline"),exact(Metadata!K475,"Non-saline")))</f>
        <v>0</v>
      </c>
      <c r="AX475">
        <f>AND(IF(Metadata!L475="",FALSE,TRUE),OR(exact(Metadata!L475,"Plant secretion"),exact(Metadata!L475,"Plant rhizosphere"),exact(Metadata!L475,"Plant surface"),exact(Metadata!L475,"Plant corpus"),exact(Metadata!L475,"Fungus surface"),exact(Metadata!L475,"Fungus corpus"),exact(Metadata!L475,"Animal surface"),exact(Metadata!L475,"Animal proximal gut"),exact(Metadata!L475,"Animal corpus"),exact(Metadata!L475,"Animal distal gut"),exact(Metadata!L475,"Animal secretion"),exact(Metadata!L475,"Sub-surface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Y475">
        <f>IF(Metadata!M475="",FALSE,TRUE)</f>
        <v>0</v>
      </c>
      <c r="AZ475">
        <f>IF(Metadata!N475="",FALSE,TRUE)</f>
        <v>0</v>
      </c>
      <c r="BA475">
        <f>IF(Metadata!O475="",FALSE,TRUE)</f>
        <v>0</v>
      </c>
      <c r="BB475">
        <f>OR(AND(IF(Metadata!P475="",FALSE,TRUE),OR(exact(Metadata!P475,"not collected"),exact(Metadata!P475,"not provided"),exact(Metadata!P475,"restricted access"))),AND(IF(Metadata!P475="",FALSE,TRUE),OR(exact(Metadata!P475,"air"),exact(Metadata!P475,"built environment"),exact(Metadata!P475,"host-associated"),exact(Metadata!P475,"human-associated"),exact(Metadata!P475,"human-skin"),exact(Metadata!P475,"human-oral"),exact(Metadata!P475,"human-gut"),exact(Metadata!P475,"human-vaginal"),exact(Metadata!P475,"microbial mat/biofilm"),exact(Metadata!P475,"misc environment"),exact(Metadata!P475,"plant-associated"),exact(Metadata!P475,"sediment"),exact(Metadata!P475,"soil"),exact(Metadata!P475,"wastewater/sludge"),exact(Metadata!P475,"water"))))</f>
        <v>0</v>
      </c>
      <c r="BC475">
        <f>IF(Metadata!Q475="",FALSE,TRUE)</f>
        <v>0</v>
      </c>
      <c r="BD475">
        <f>IF(Metadata!R475="",FALSE,TRUE)</f>
        <v>0</v>
      </c>
      <c r="BE475">
        <f>OR(AND(IF(Metadata!S475="",FALSE,TRUE),OR(exact(Metadata!S475,"not collected"),exact(Metadata!S475,"not provided"),exact(Metadata!S475,"restricted access"))),AND(IF(Metadata!S475="",FALSE,ISNUMBER(VALUE(Metadata!S475))),Metadata!S475&gt;=-90.00,Metadata!S475&lt;=90.00))</f>
        <v>0</v>
      </c>
      <c r="BF475">
        <f>AND(IF(Metadata!T475="",FALSE,TRUE),exact(Metadata!T475,"Decimal degrees"))</f>
        <v>0</v>
      </c>
      <c r="BG475">
        <f>OR(AND(IF(Metadata!U475="",FALSE,TRUE),OR(exact(Metadata!U475,"not collected"),exact(Metadata!U475,"not provided"),exact(Metadata!U475,"restricted access"))),AND(IF(Metadata!U475="",FALSE,ISNUMBER(VALUE(Metadata!U475))),Metadata!U475&gt;=-180.00,Metadata!U475&lt;=180.00))</f>
        <v>0</v>
      </c>
      <c r="BH475">
        <f>AND(IF(Metadata!V475="",FALSE,TRUE),exact(Metadata!V475,"Decimal degrees"))</f>
        <v>0</v>
      </c>
      <c r="BI475">
        <f>IF(Metadata!W475="",FALSE,TRUE)</f>
        <v>0</v>
      </c>
      <c r="BJ475">
        <f>OR(AND(IF(Metadata!X475="",FALSE,TRUE),OR(exact(Metadata!X475,"not collected"),exact(Metadata!X475,"not provided"),exact(Metadata!X475,"restricted access"))),AND(IF(Metadata!X475="",FALSE,TRUE),OR(exact(Metadata!X475,"TRUE"),exact(Metadata!X475,"FALSE"))))</f>
        <v>0</v>
      </c>
      <c r="BK475">
        <f>AND(IF(Metadata!Y475="",FALSE,TRUE),exact(Metadata!Y475,"other"))</f>
        <v>0</v>
      </c>
      <c r="BL475">
        <f>IF(Metadata!Z475="",FALSE,TRUE)</f>
        <v>0</v>
      </c>
      <c r="BM475">
        <f>OR(AND(IF(Metadata!AA475="",FALSE,TRUE),OR(exact(Metadata!AA475,"not collected"),exact(Metadata!AA475,"not provided"))),AND(IF(Metadata!AA475="",FALSE,IF(ISERROR(INT(Metadata!AA475)),FALSE,INT(Metadata!AA475)=Metadata!AA475)),Metadata!AA475&gt;0))</f>
        <v>0</v>
      </c>
      <c r="BN475">
        <f>AND(IF(Metadata!AB475="",FALSE,TRUE),exact(Metadata!AB475,"Not applicable"))</f>
        <v>0</v>
      </c>
      <c r="BO475">
        <f>IF(Metadata!AC475="",FALSE,TRUE)</f>
        <v>0</v>
      </c>
    </row>
    <row r="476" spans="1:67">
      <c r="A476" s="5">
        <f>IF(B476=" "," ",HYPERLINK(CONCATENATE("#metadata!",ADDRESS(INDEX($AI$2:$AI$1001,MATCH(ROWS($AG$2:AG476),$AG$2:$AG$1001,0),0),1)),INDEX($AL$2:$AL$1001,MATCH(ROWS($AG$2:AG476),$AG$2:$AG$1001,0),0)))</f>
        <v>0</v>
      </c>
      <c r="B476" s="4">
        <f>IF(OR(INDEX($AH$2:$AH$1001,MATCH(ROWS($AG$2:AG476),$AG$2:$AG$1001,0),1)&gt;=100000,INDEX($AN$1005:$BO$1005,1,MATCH(COLUMNS($AN$1006:AN1006),$AN$1006:$BO$1006,0))&gt;=100000), " ",IF(INDEX($AN$2:$BO$1001,MATCH(ROWS($AG$2:AG476),$AG$2:$AG$1001,0),MATCH(COLUMNS($AN$1006:AN1006),$AN$1006:$BO$1006,0)), HYPERLINK("#",""), HYPERLINK(CONCATENATE("#Metadata!", ADDRESS(INDEX($AI$2:$AI$1001,MATCH(ROWS($AG$2:AG476),$AG$2:$AG$1001,0),0), INDEX($AN$1004:$BO$1004,1,MATCH(COLUMNS($AN$1006:AN1006),$AN$1006:$BO$1006,0)))),"Fix")))</f>
        <v>0</v>
      </c>
      <c r="C476" s="4">
        <f>IF(OR(INDEX($AH$2:$AH$1001,MATCH(ROWS($AG$2:AG476),$AG$2:$AG$1001,0),1)&gt;=100000,INDEX($AN$1005:$BO$1005,1,MATCH(COLUMNS($AN$1006:AO1006),$AN$1006:$BO$1006,0))&gt;=100000), " ",IF(INDEX($AN$2:$BO$1001,MATCH(ROWS($AG$2:AG476),$AG$2:$AG$1001,0),MATCH(COLUMNS($AN$1006:AO1006),$AN$1006:$BO$1006,0)), HYPERLINK("#",""), HYPERLINK(CONCATENATE("#Metadata!", ADDRESS(INDEX($AI$2:$AI$1001,MATCH(ROWS($AG$2:AG476),$AG$2:$AG$1001,0),0), INDEX($AN$1004:$BO$1004,1,MATCH(COLUMNS($AN$1006:AO1006),$AN$1006:$BO$1006,0)))),"Fix")))</f>
        <v>0</v>
      </c>
      <c r="D476" s="4">
        <f>IF(OR(INDEX($AH$2:$AH$1001,MATCH(ROWS($AG$2:AG476),$AG$2:$AG$1001,0),1)&gt;=100000,INDEX($AN$1005:$BO$1005,1,MATCH(COLUMNS($AN$1006:AP1006),$AN$1006:$BO$1006,0))&gt;=100000), " ",IF(INDEX($AN$2:$BO$1001,MATCH(ROWS($AG$2:AG476),$AG$2:$AG$1001,0),MATCH(COLUMNS($AN$1006:AP1006),$AN$1006:$BO$1006,0)), HYPERLINK("#",""), HYPERLINK(CONCATENATE("#Metadata!", ADDRESS(INDEX($AI$2:$AI$1001,MATCH(ROWS($AG$2:AG476),$AG$2:$AG$1001,0),0), INDEX($AN$1004:$BO$1004,1,MATCH(COLUMNS($AN$1006:AP1006),$AN$1006:$BO$1006,0)))),"Fix")))</f>
        <v>0</v>
      </c>
      <c r="E476" s="4">
        <f>IF(OR(INDEX($AH$2:$AH$1001,MATCH(ROWS($AG$2:AG476),$AG$2:$AG$1001,0),1)&gt;=100000,INDEX($AN$1005:$BO$1005,1,MATCH(COLUMNS($AN$1006:AQ1006),$AN$1006:$BO$1006,0))&gt;=100000), " ",IF(INDEX($AN$2:$BO$1001,MATCH(ROWS($AG$2:AG476),$AG$2:$AG$1001,0),MATCH(COLUMNS($AN$1006:AQ1006),$AN$1006:$BO$1006,0)), HYPERLINK("#",""), HYPERLINK(CONCATENATE("#Metadata!", ADDRESS(INDEX($AI$2:$AI$1001,MATCH(ROWS($AG$2:AG476),$AG$2:$AG$1001,0),0), INDEX($AN$1004:$BO$1004,1,MATCH(COLUMNS($AN$1006:AQ1006),$AN$1006:$BO$1006,0)))),"Fix")))</f>
        <v>0</v>
      </c>
      <c r="F476" s="4">
        <f>IF(OR(INDEX($AH$2:$AH$1001,MATCH(ROWS($AG$2:AG476),$AG$2:$AG$1001,0),1)&gt;=100000,INDEX($AN$1005:$BO$1005,1,MATCH(COLUMNS($AN$1006:AR1006),$AN$1006:$BO$1006,0))&gt;=100000), " ",IF(INDEX($AN$2:$BO$1001,MATCH(ROWS($AG$2:AG476),$AG$2:$AG$1001,0),MATCH(COLUMNS($AN$1006:AR1006),$AN$1006:$BO$1006,0)), HYPERLINK("#",""), HYPERLINK(CONCATENATE("#Metadata!", ADDRESS(INDEX($AI$2:$AI$1001,MATCH(ROWS($AG$2:AG476),$AG$2:$AG$1001,0),0), INDEX($AN$1004:$BO$1004,1,MATCH(COLUMNS($AN$1006:AR1006),$AN$1006:$BO$1006,0)))),"Fix")))</f>
        <v>0</v>
      </c>
      <c r="G476" s="4">
        <f>IF(OR(INDEX($AH$2:$AH$1001,MATCH(ROWS($AG$2:AG476),$AG$2:$AG$1001,0),1)&gt;=100000,INDEX($AN$1005:$BO$1005,1,MATCH(COLUMNS($AN$1006:AS1006),$AN$1006:$BO$1006,0))&gt;=100000), " ",IF(INDEX($AN$2:$BO$1001,MATCH(ROWS($AG$2:AG476),$AG$2:$AG$1001,0),MATCH(COLUMNS($AN$1006:AS1006),$AN$1006:$BO$1006,0)), HYPERLINK("#",""), HYPERLINK(CONCATENATE("#Metadata!", ADDRESS(INDEX($AI$2:$AI$1001,MATCH(ROWS($AG$2:AG476),$AG$2:$AG$1001,0),0), INDEX($AN$1004:$BO$1004,1,MATCH(COLUMNS($AN$1006:AS1006),$AN$1006:$BO$1006,0)))),"Fix")))</f>
        <v>0</v>
      </c>
      <c r="H476" s="4">
        <f>IF(OR(INDEX($AH$2:$AH$1001,MATCH(ROWS($AG$2:AG476),$AG$2:$AG$1001,0),1)&gt;=100000,INDEX($AN$1005:$BO$1005,1,MATCH(COLUMNS($AN$1006:AT1006),$AN$1006:$BO$1006,0))&gt;=100000), " ",IF(INDEX($AN$2:$BO$1001,MATCH(ROWS($AG$2:AG476),$AG$2:$AG$1001,0),MATCH(COLUMNS($AN$1006:AT1006),$AN$1006:$BO$1006,0)), HYPERLINK("#",""), HYPERLINK(CONCATENATE("#Metadata!", ADDRESS(INDEX($AI$2:$AI$1001,MATCH(ROWS($AG$2:AG476),$AG$2:$AG$1001,0),0), INDEX($AN$1004:$BO$1004,1,MATCH(COLUMNS($AN$1006:AT1006),$AN$1006:$BO$1006,0)))),"Fix")))</f>
        <v>0</v>
      </c>
      <c r="I476" s="4">
        <f>IF(OR(INDEX($AH$2:$AH$1001,MATCH(ROWS($AG$2:AG476),$AG$2:$AG$1001,0),1)&gt;=100000,INDEX($AN$1005:$BO$1005,1,MATCH(COLUMNS($AN$1006:AU1006),$AN$1006:$BO$1006,0))&gt;=100000), " ",IF(INDEX($AN$2:$BO$1001,MATCH(ROWS($AG$2:AG476),$AG$2:$AG$1001,0),MATCH(COLUMNS($AN$1006:AU1006),$AN$1006:$BO$1006,0)), HYPERLINK("#",""), HYPERLINK(CONCATENATE("#Metadata!", ADDRESS(INDEX($AI$2:$AI$1001,MATCH(ROWS($AG$2:AG476),$AG$2:$AG$1001,0),0), INDEX($AN$1004:$BO$1004,1,MATCH(COLUMNS($AN$1006:AU1006),$AN$1006:$BO$1006,0)))),"Fix")))</f>
        <v>0</v>
      </c>
      <c r="J476" s="4">
        <f>IF(OR(INDEX($AH$2:$AH$1001,MATCH(ROWS($AG$2:AG476),$AG$2:$AG$1001,0),1)&gt;=100000,INDEX($AN$1005:$BO$1005,1,MATCH(COLUMNS($AN$1006:AV1006),$AN$1006:$BO$1006,0))&gt;=100000), " ",IF(INDEX($AN$2:$BO$1001,MATCH(ROWS($AG$2:AG476),$AG$2:$AG$1001,0),MATCH(COLUMNS($AN$1006:AV1006),$AN$1006:$BO$1006,0)), HYPERLINK("#",""), HYPERLINK(CONCATENATE("#Metadata!", ADDRESS(INDEX($AI$2:$AI$1001,MATCH(ROWS($AG$2:AG476),$AG$2:$AG$1001,0),0), INDEX($AN$1004:$BO$1004,1,MATCH(COLUMNS($AN$1006:AV1006),$AN$1006:$BO$1006,0)))),"Fix")))</f>
        <v>0</v>
      </c>
      <c r="K476" s="4">
        <f>IF(OR(INDEX($AH$2:$AH$1001,MATCH(ROWS($AG$2:AG476),$AG$2:$AG$1001,0),1)&gt;=100000,INDEX($AN$1005:$BO$1005,1,MATCH(COLUMNS($AN$1006:AW1006),$AN$1006:$BO$1006,0))&gt;=100000), " ",IF(INDEX($AN$2:$BO$1001,MATCH(ROWS($AG$2:AG476),$AG$2:$AG$1001,0),MATCH(COLUMNS($AN$1006:AW1006),$AN$1006:$BO$1006,0)), HYPERLINK("#",""), HYPERLINK(CONCATENATE("#Metadata!", ADDRESS(INDEX($AI$2:$AI$1001,MATCH(ROWS($AG$2:AG476),$AG$2:$AG$1001,0),0), INDEX($AN$1004:$BO$1004,1,MATCH(COLUMNS($AN$1006:AW1006),$AN$1006:$BO$1006,0)))),"Fix")))</f>
        <v>0</v>
      </c>
      <c r="L476" s="4">
        <f>IF(OR(INDEX($AH$2:$AH$1001,MATCH(ROWS($AG$2:AG476),$AG$2:$AG$1001,0),1)&gt;=100000,INDEX($AN$1005:$BO$1005,1,MATCH(COLUMNS($AN$1006:AX1006),$AN$1006:$BO$1006,0))&gt;=100000), " ",IF(INDEX($AN$2:$BO$1001,MATCH(ROWS($AG$2:AG476),$AG$2:$AG$1001,0),MATCH(COLUMNS($AN$1006:AX1006),$AN$1006:$BO$1006,0)), HYPERLINK("#",""), HYPERLINK(CONCATENATE("#Metadata!", ADDRESS(INDEX($AI$2:$AI$1001,MATCH(ROWS($AG$2:AG476),$AG$2:$AG$1001,0),0), INDEX($AN$1004:$BO$1004,1,MATCH(COLUMNS($AN$1006:AX1006),$AN$1006:$BO$1006,0)))),"Fix")))</f>
        <v>0</v>
      </c>
      <c r="M476" s="4">
        <f>IF(OR(INDEX($AH$2:$AH$1001,MATCH(ROWS($AG$2:AG476),$AG$2:$AG$1001,0),1)&gt;=100000,INDEX($AN$1005:$BO$1005,1,MATCH(COLUMNS($AN$1006:AY1006),$AN$1006:$BO$1006,0))&gt;=100000), " ",IF(INDEX($AN$2:$BO$1001,MATCH(ROWS($AG$2:AG476),$AG$2:$AG$1001,0),MATCH(COLUMNS($AN$1006:AY1006),$AN$1006:$BO$1006,0)), HYPERLINK("#",""), HYPERLINK(CONCATENATE("#Metadata!", ADDRESS(INDEX($AI$2:$AI$1001,MATCH(ROWS($AG$2:AG476),$AG$2:$AG$1001,0),0), INDEX($AN$1004:$BO$1004,1,MATCH(COLUMNS($AN$1006:AY1006),$AN$1006:$BO$1006,0)))),"Fix")))</f>
        <v>0</v>
      </c>
      <c r="N476" s="4">
        <f>IF(OR(INDEX($AH$2:$AH$1001,MATCH(ROWS($AG$2:AG476),$AG$2:$AG$1001,0),1)&gt;=100000,INDEX($AN$1005:$BO$1005,1,MATCH(COLUMNS($AN$1006:AZ1006),$AN$1006:$BO$1006,0))&gt;=100000), " ",IF(INDEX($AN$2:$BO$1001,MATCH(ROWS($AG$2:AG476),$AG$2:$AG$1001,0),MATCH(COLUMNS($AN$1006:AZ1006),$AN$1006:$BO$1006,0)), HYPERLINK("#",""), HYPERLINK(CONCATENATE("#Metadata!", ADDRESS(INDEX($AI$2:$AI$1001,MATCH(ROWS($AG$2:AG476),$AG$2:$AG$1001,0),0), INDEX($AN$1004:$BO$1004,1,MATCH(COLUMNS($AN$1006:AZ1006),$AN$1006:$BO$1006,0)))),"Fix")))</f>
        <v>0</v>
      </c>
      <c r="O476" s="4">
        <f>IF(OR(INDEX($AH$2:$AH$1001,MATCH(ROWS($AG$2:AG476),$AG$2:$AG$1001,0),1)&gt;=100000,INDEX($AN$1005:$BO$1005,1,MATCH(COLUMNS($AN$1006:BA1006),$AN$1006:$BO$1006,0))&gt;=100000), " ",IF(INDEX($AN$2:$BO$1001,MATCH(ROWS($AG$2:AG476),$AG$2:$AG$1001,0),MATCH(COLUMNS($AN$1006:BA1006),$AN$1006:$BO$1006,0)), HYPERLINK("#",""), HYPERLINK(CONCATENATE("#Metadata!", ADDRESS(INDEX($AI$2:$AI$1001,MATCH(ROWS($AG$2:AG476),$AG$2:$AG$1001,0),0), INDEX($AN$1004:$BO$1004,1,MATCH(COLUMNS($AN$1006:BA1006),$AN$1006:$BO$1006,0)))),"Fix")))</f>
        <v>0</v>
      </c>
      <c r="P476" s="4">
        <f>IF(OR(INDEX($AH$2:$AH$1001,MATCH(ROWS($AG$2:AG476),$AG$2:$AG$1001,0),1)&gt;=100000,INDEX($AN$1005:$BO$1005,1,MATCH(COLUMNS($AN$1006:BB1006),$AN$1006:$BO$1006,0))&gt;=100000), " ",IF(INDEX($AN$2:$BO$1001,MATCH(ROWS($AG$2:AG476),$AG$2:$AG$1001,0),MATCH(COLUMNS($AN$1006:BB1006),$AN$1006:$BO$1006,0)), HYPERLINK("#",""), HYPERLINK(CONCATENATE("#Metadata!", ADDRESS(INDEX($AI$2:$AI$1001,MATCH(ROWS($AG$2:AG476),$AG$2:$AG$1001,0),0), INDEX($AN$1004:$BO$1004,1,MATCH(COLUMNS($AN$1006:BB1006),$AN$1006:$BO$1006,0)))),"Fix")))</f>
        <v>0</v>
      </c>
      <c r="Q476" s="4">
        <f>IF(OR(INDEX($AH$2:$AH$1001,MATCH(ROWS($AG$2:AG476),$AG$2:$AG$1001,0),1)&gt;=100000,INDEX($AN$1005:$BO$1005,1,MATCH(COLUMNS($AN$1006:BC1006),$AN$1006:$BO$1006,0))&gt;=100000), " ",IF(INDEX($AN$2:$BO$1001,MATCH(ROWS($AG$2:AG476),$AG$2:$AG$1001,0),MATCH(COLUMNS($AN$1006:BC1006),$AN$1006:$BO$1006,0)), HYPERLINK("#",""), HYPERLINK(CONCATENATE("#Metadata!", ADDRESS(INDEX($AI$2:$AI$1001,MATCH(ROWS($AG$2:AG476),$AG$2:$AG$1001,0),0), INDEX($AN$1004:$BO$1004,1,MATCH(COLUMNS($AN$1006:BC1006),$AN$1006:$BO$1006,0)))),"Fix")))</f>
        <v>0</v>
      </c>
      <c r="R476" s="4">
        <f>IF(OR(INDEX($AH$2:$AH$1001,MATCH(ROWS($AG$2:AG476),$AG$2:$AG$1001,0),1)&gt;=100000,INDEX($AN$1005:$BO$1005,1,MATCH(COLUMNS($AN$1006:BD1006),$AN$1006:$BO$1006,0))&gt;=100000), " ",IF(INDEX($AN$2:$BO$1001,MATCH(ROWS($AG$2:AG476),$AG$2:$AG$1001,0),MATCH(COLUMNS($AN$1006:BD1006),$AN$1006:$BO$1006,0)), HYPERLINK("#",""), HYPERLINK(CONCATENATE("#Metadata!", ADDRESS(INDEX($AI$2:$AI$1001,MATCH(ROWS($AG$2:AG476),$AG$2:$AG$1001,0),0), INDEX($AN$1004:$BO$1004,1,MATCH(COLUMNS($AN$1006:BD1006),$AN$1006:$BO$1006,0)))),"Fix")))</f>
        <v>0</v>
      </c>
      <c r="S476" s="4">
        <f>IF(OR(INDEX($AH$2:$AH$1001,MATCH(ROWS($AG$2:AG476),$AG$2:$AG$1001,0),1)&gt;=100000,INDEX($AN$1005:$BO$1005,1,MATCH(COLUMNS($AN$1006:BE1006),$AN$1006:$BO$1006,0))&gt;=100000), " ",IF(INDEX($AN$2:$BO$1001,MATCH(ROWS($AG$2:AG476),$AG$2:$AG$1001,0),MATCH(COLUMNS($AN$1006:BE1006),$AN$1006:$BO$1006,0)), HYPERLINK("#",""), HYPERLINK(CONCATENATE("#Metadata!", ADDRESS(INDEX($AI$2:$AI$1001,MATCH(ROWS($AG$2:AG476),$AG$2:$AG$1001,0),0), INDEX($AN$1004:$BO$1004,1,MATCH(COLUMNS($AN$1006:BE1006),$AN$1006:$BO$1006,0)))),"Fix")))</f>
        <v>0</v>
      </c>
      <c r="T476" s="4">
        <f>IF(OR(INDEX($AH$2:$AH$1001,MATCH(ROWS($AG$2:AG476),$AG$2:$AG$1001,0),1)&gt;=100000,INDEX($AN$1005:$BO$1005,1,MATCH(COLUMNS($AN$1006:BF1006),$AN$1006:$BO$1006,0))&gt;=100000), " ",IF(INDEX($AN$2:$BO$1001,MATCH(ROWS($AG$2:AG476),$AG$2:$AG$1001,0),MATCH(COLUMNS($AN$1006:BF1006),$AN$1006:$BO$1006,0)), HYPERLINK("#",""), HYPERLINK(CONCATENATE("#Metadata!", ADDRESS(INDEX($AI$2:$AI$1001,MATCH(ROWS($AG$2:AG476),$AG$2:$AG$1001,0),0), INDEX($AN$1004:$BO$1004,1,MATCH(COLUMNS($AN$1006:BF1006),$AN$1006:$BO$1006,0)))),"Fix")))</f>
        <v>0</v>
      </c>
      <c r="U476" s="4">
        <f>IF(OR(INDEX($AH$2:$AH$1001,MATCH(ROWS($AG$2:AG476),$AG$2:$AG$1001,0),1)&gt;=100000,INDEX($AN$1005:$BO$1005,1,MATCH(COLUMNS($AN$1006:BG1006),$AN$1006:$BO$1006,0))&gt;=100000), " ",IF(INDEX($AN$2:$BO$1001,MATCH(ROWS($AG$2:AG476),$AG$2:$AG$1001,0),MATCH(COLUMNS($AN$1006:BG1006),$AN$1006:$BO$1006,0)), HYPERLINK("#",""), HYPERLINK(CONCATENATE("#Metadata!", ADDRESS(INDEX($AI$2:$AI$1001,MATCH(ROWS($AG$2:AG476),$AG$2:$AG$1001,0),0), INDEX($AN$1004:$BO$1004,1,MATCH(COLUMNS($AN$1006:BG1006),$AN$1006:$BO$1006,0)))),"Fix")))</f>
        <v>0</v>
      </c>
      <c r="V476" s="4">
        <f>IF(OR(INDEX($AH$2:$AH$1001,MATCH(ROWS($AG$2:AG476),$AG$2:$AG$1001,0),1)&gt;=100000,INDEX($AN$1005:$BO$1005,1,MATCH(COLUMNS($AN$1006:BH1006),$AN$1006:$BO$1006,0))&gt;=100000), " ",IF(INDEX($AN$2:$BO$1001,MATCH(ROWS($AG$2:AG476),$AG$2:$AG$1001,0),MATCH(COLUMNS($AN$1006:BH1006),$AN$1006:$BO$1006,0)), HYPERLINK("#",""), HYPERLINK(CONCATENATE("#Metadata!", ADDRESS(INDEX($AI$2:$AI$1001,MATCH(ROWS($AG$2:AG476),$AG$2:$AG$1001,0),0), INDEX($AN$1004:$BO$1004,1,MATCH(COLUMNS($AN$1006:BH1006),$AN$1006:$BO$1006,0)))),"Fix")))</f>
        <v>0</v>
      </c>
      <c r="W476" s="4">
        <f>IF(OR(INDEX($AH$2:$AH$1001,MATCH(ROWS($AG$2:AG476),$AG$2:$AG$1001,0),1)&gt;=100000,INDEX($AN$1005:$BO$1005,1,MATCH(COLUMNS($AN$1006:BI1006),$AN$1006:$BO$1006,0))&gt;=100000), " ",IF(INDEX($AN$2:$BO$1001,MATCH(ROWS($AG$2:AG476),$AG$2:$AG$1001,0),MATCH(COLUMNS($AN$1006:BI1006),$AN$1006:$BO$1006,0)), HYPERLINK("#",""), HYPERLINK(CONCATENATE("#Metadata!", ADDRESS(INDEX($AI$2:$AI$1001,MATCH(ROWS($AG$2:AG476),$AG$2:$AG$1001,0),0), INDEX($AN$1004:$BO$1004,1,MATCH(COLUMNS($AN$1006:BI1006),$AN$1006:$BO$1006,0)))),"Fix")))</f>
        <v>0</v>
      </c>
      <c r="X476" s="4">
        <f>IF(OR(INDEX($AH$2:$AH$1001,MATCH(ROWS($AG$2:AG476),$AG$2:$AG$1001,0),1)&gt;=100000,INDEX($AN$1005:$BO$1005,1,MATCH(COLUMNS($AN$1006:BJ1006),$AN$1006:$BO$1006,0))&gt;=100000), " ",IF(INDEX($AN$2:$BO$1001,MATCH(ROWS($AG$2:AG476),$AG$2:$AG$1001,0),MATCH(COLUMNS($AN$1006:BJ1006),$AN$1006:$BO$1006,0)), HYPERLINK("#",""), HYPERLINK(CONCATENATE("#Metadata!", ADDRESS(INDEX($AI$2:$AI$1001,MATCH(ROWS($AG$2:AG476),$AG$2:$AG$1001,0),0), INDEX($AN$1004:$BO$1004,1,MATCH(COLUMNS($AN$1006:BJ1006),$AN$1006:$BO$1006,0)))),"Fix")))</f>
        <v>0</v>
      </c>
      <c r="Y476" s="4">
        <f>IF(OR(INDEX($AH$2:$AH$1001,MATCH(ROWS($AG$2:AG476),$AG$2:$AG$1001,0),1)&gt;=100000,INDEX($AN$1005:$BO$1005,1,MATCH(COLUMNS($AN$1006:BK1006),$AN$1006:$BO$1006,0))&gt;=100000), " ",IF(INDEX($AN$2:$BO$1001,MATCH(ROWS($AG$2:AG476),$AG$2:$AG$1001,0),MATCH(COLUMNS($AN$1006:BK1006),$AN$1006:$BO$1006,0)), HYPERLINK("#",""), HYPERLINK(CONCATENATE("#Metadata!", ADDRESS(INDEX($AI$2:$AI$1001,MATCH(ROWS($AG$2:AG476),$AG$2:$AG$1001,0),0), INDEX($AN$1004:$BO$1004,1,MATCH(COLUMNS($AN$1006:BK1006),$AN$1006:$BO$1006,0)))),"Fix")))</f>
        <v>0</v>
      </c>
      <c r="Z476" s="4">
        <f>IF(OR(INDEX($AH$2:$AH$1001,MATCH(ROWS($AG$2:AG476),$AG$2:$AG$1001,0),1)&gt;=100000,INDEX($AN$1005:$BO$1005,1,MATCH(COLUMNS($AN$1006:BL1006),$AN$1006:$BO$1006,0))&gt;=100000), " ",IF(INDEX($AN$2:$BO$1001,MATCH(ROWS($AG$2:AG476),$AG$2:$AG$1001,0),MATCH(COLUMNS($AN$1006:BL1006),$AN$1006:$BO$1006,0)), HYPERLINK("#",""), HYPERLINK(CONCATENATE("#Metadata!", ADDRESS(INDEX($AI$2:$AI$1001,MATCH(ROWS($AG$2:AG476),$AG$2:$AG$1001,0),0), INDEX($AN$1004:$BO$1004,1,MATCH(COLUMNS($AN$1006:BL1006),$AN$1006:$BO$1006,0)))),"Fix")))</f>
        <v>0</v>
      </c>
      <c r="AA476" s="4">
        <f>IF(OR(INDEX($AH$2:$AH$1001,MATCH(ROWS($AG$2:AG476),$AG$2:$AG$1001,0),1)&gt;=100000,INDEX($AN$1005:$BO$1005,1,MATCH(COLUMNS($AN$1006:BM1006),$AN$1006:$BO$1006,0))&gt;=100000), " ",IF(INDEX($AN$2:$BO$1001,MATCH(ROWS($AG$2:AG476),$AG$2:$AG$1001,0),MATCH(COLUMNS($AN$1006:BM1006),$AN$1006:$BO$1006,0)), HYPERLINK("#",""), HYPERLINK(CONCATENATE("#Metadata!", ADDRESS(INDEX($AI$2:$AI$1001,MATCH(ROWS($AG$2:AG476),$AG$2:$AG$1001,0),0), INDEX($AN$1004:$BO$1004,1,MATCH(COLUMNS($AN$1006:BM1006),$AN$1006:$BO$1006,0)))),"Fix")))</f>
        <v>0</v>
      </c>
      <c r="AB476" s="4">
        <f>IF(OR(INDEX($AH$2:$AH$1001,MATCH(ROWS($AG$2:AG476),$AG$2:$AG$1001,0),1)&gt;=100000,INDEX($AN$1005:$BO$1005,1,MATCH(COLUMNS($AN$1006:BN1006),$AN$1006:$BO$1006,0))&gt;=100000), " ",IF(INDEX($AN$2:$BO$1001,MATCH(ROWS($AG$2:AG476),$AG$2:$AG$1001,0),MATCH(COLUMNS($AN$1006:BN1006),$AN$1006:$BO$1006,0)), HYPERLINK("#",""), HYPERLINK(CONCATENATE("#Metadata!", ADDRESS(INDEX($AI$2:$AI$1001,MATCH(ROWS($AG$2:AG476),$AG$2:$AG$1001,0),0), INDEX($AN$1004:$BO$1004,1,MATCH(COLUMNS($AN$1006:BN1006),$AN$1006:$BO$1006,0)))),"Fix")))</f>
        <v>0</v>
      </c>
      <c r="AC476" s="4">
        <f>IF(OR(INDEX($AH$2:$AH$1001,MATCH(ROWS($AG$2:AG476),$AG$2:$AG$1001,0),1)&gt;=100000,INDEX($AN$1005:$BO$1005,1,MATCH(COLUMNS($AN$1006:BO1006),$AN$1006:$BO$1006,0))&gt;=100000), " ",IF(INDEX($AN$2:$BO$1001,MATCH(ROWS($AG$2:AG476),$AG$2:$AG$1001,0),MATCH(COLUMNS($AN$1006:BO1006),$AN$1006:$BO$1006,0)), HYPERLINK("#",""), HYPERLINK(CONCATENATE("#Metadata!", ADDRESS(INDEX($AI$2:$AI$1001,MATCH(ROWS($AG$2:AG476),$AG$2:$AG$1001,0),0), INDEX($AN$1004:$BO$1004,1,MATCH(COLUMNS($AN$1006:BO1006),$AN$1006:$BO$1006,0)))),"Fix")))</f>
        <v>0</v>
      </c>
      <c r="AG476">
        <v>0</v>
      </c>
      <c r="AH476">
        <v>0</v>
      </c>
      <c r="AI476">
        <v>0</v>
      </c>
      <c r="AJ476">
        <f>IF(AK476,TRUE,AND(AN476:BO476))</f>
        <v>0</v>
      </c>
      <c r="AK476">
        <f>COUNTBLANK(Metadata!B476:AC476)=COLUMNS(Metadata!B476:AC476)</f>
        <v>0</v>
      </c>
      <c r="AL476">
        <v>0</v>
      </c>
      <c r="AN476">
        <f>AND(IF(Metadata!B476="",FALSE,TRUE),COUNTIF(Metadata!B:B, Metadata!B476) = 1,NOT(ISERROR(SUMPRODUCT(SEARCH(MID(Metadata!B476,ROW(INDIRECT("1:"&amp;LEN(Metadata!B476))), 1),"0123456789abcdefghijklmnopqrstuvwxyzABCDEFGHIJKLMNOPQRSTUVWXYZ.")))))</f>
        <v>0</v>
      </c>
      <c r="AO476">
        <f>IF(Metadata!C476="",FALSE,TRUE)</f>
        <v>0</v>
      </c>
      <c r="AP476">
        <f>IF(Metadata!D476="",FALSE,TRUE)</f>
        <v>0</v>
      </c>
      <c r="AQ476">
        <f>OR(AND(IF(Metadata!E476="",FALSE,TRUE),OR(exact(Metadata!E476,"not collected"),exact(Metadata!E476,"not provided"),exact(Metadata!E476,"restricted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R476">
        <f>IF(Metadata!F476="",FALSE,TRUE)</f>
        <v>0</v>
      </c>
      <c r="AS476">
        <f>OR(AND(IF(Metadata!G476="",FALSE,TRUE),OR(exact(Metadata!G476,"not collected"),exact(Metadata!G476,"not provided"))),AND(IF(Metadata!G476="",FALSE,TRUE),OR(exact(Metadata!G476,"TRUE"),exact(Metadata!G476,"FALSE"))))</f>
        <v>0</v>
      </c>
      <c r="AT476">
        <f>OR(AND(IF(Metadata!H476="",FALSE,TRUE),OR(exact(Metadata!H476,"not collected"),exact(Metadata!H476,"not provided"),exact(Metadata!H476,"restricted access"))),AND(IF(Metadata!H476="",FALSE,ISNUMBER(VALUE(Metadata!H476))),Metadata!H476&gt;=-413.0))</f>
        <v>0</v>
      </c>
      <c r="AU476">
        <f>AND(IF(Metadata!I476="",FALSE,TRUE),exact(Metadata!I476,"meters"))</f>
        <v>0</v>
      </c>
      <c r="AV476">
        <f>AND(IF(Metadata!J476="",FALSE,TRUE),OR(exact(Metadata!J476,"Host-associated"),exact(Metadata!J476,"Free-living")))</f>
        <v>0</v>
      </c>
      <c r="AW476">
        <f>AND(IF(Metadata!K476="",FALSE,TRUE),OR(exact(Metadata!K476,"Animal"),exact(Metadata!K476,"Fungus"),exact(Metadata!K476,"Plant"),exact(Metadata!K476,"Saline"),exact(Metadata!K476,"Non-saline")))</f>
        <v>0</v>
      </c>
      <c r="AX476">
        <f>AND(IF(Metadata!L476="",FALSE,TRUE),OR(exact(Metadata!L476,"Plant secretion"),exact(Metadata!L476,"Plant rhizosphere"),exact(Metadata!L476,"Plant surface"),exact(Metadata!L476,"Plant corpus"),exact(Metadata!L476,"Fungus surface"),exact(Metadata!L476,"Fungus corpus"),exact(Metadata!L476,"Animal surface"),exact(Metadata!L476,"Animal proximal gut"),exact(Metadata!L476,"Animal corpus"),exact(Metadata!L476,"Animal distal gut"),exact(Metadata!L476,"Animal secretion"),exact(Metadata!L476,"Sub-surface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Y476">
        <f>IF(Metadata!M476="",FALSE,TRUE)</f>
        <v>0</v>
      </c>
      <c r="AZ476">
        <f>IF(Metadata!N476="",FALSE,TRUE)</f>
        <v>0</v>
      </c>
      <c r="BA476">
        <f>IF(Metadata!O476="",FALSE,TRUE)</f>
        <v>0</v>
      </c>
      <c r="BB476">
        <f>OR(AND(IF(Metadata!P476="",FALSE,TRUE),OR(exact(Metadata!P476,"not collected"),exact(Metadata!P476,"not provided"),exact(Metadata!P476,"restricted access"))),AND(IF(Metadata!P476="",FALSE,TRUE),OR(exact(Metadata!P476,"air"),exact(Metadata!P476,"built environment"),exact(Metadata!P476,"host-associated"),exact(Metadata!P476,"human-associated"),exact(Metadata!P476,"human-skin"),exact(Metadata!P476,"human-oral"),exact(Metadata!P476,"human-gut"),exact(Metadata!P476,"human-vaginal"),exact(Metadata!P476,"microbial mat/biofilm"),exact(Metadata!P476,"misc environment"),exact(Metadata!P476,"plant-associated"),exact(Metadata!P476,"sediment"),exact(Metadata!P476,"soil"),exact(Metadata!P476,"wastewater/sludge"),exact(Metadata!P476,"water"))))</f>
        <v>0</v>
      </c>
      <c r="BC476">
        <f>IF(Metadata!Q476="",FALSE,TRUE)</f>
        <v>0</v>
      </c>
      <c r="BD476">
        <f>IF(Metadata!R476="",FALSE,TRUE)</f>
        <v>0</v>
      </c>
      <c r="BE476">
        <f>OR(AND(IF(Metadata!S476="",FALSE,TRUE),OR(exact(Metadata!S476,"not collected"),exact(Metadata!S476,"not provided"),exact(Metadata!S476,"restricted access"))),AND(IF(Metadata!S476="",FALSE,ISNUMBER(VALUE(Metadata!S476))),Metadata!S476&gt;=-90.00,Metadata!S476&lt;=90.00))</f>
        <v>0</v>
      </c>
      <c r="BF476">
        <f>AND(IF(Metadata!T476="",FALSE,TRUE),exact(Metadata!T476,"Decimal degrees"))</f>
        <v>0</v>
      </c>
      <c r="BG476">
        <f>OR(AND(IF(Metadata!U476="",FALSE,TRUE),OR(exact(Metadata!U476,"not collected"),exact(Metadata!U476,"not provided"),exact(Metadata!U476,"restricted access"))),AND(IF(Metadata!U476="",FALSE,ISNUMBER(VALUE(Metadata!U476))),Metadata!U476&gt;=-180.00,Metadata!U476&lt;=180.00))</f>
        <v>0</v>
      </c>
      <c r="BH476">
        <f>AND(IF(Metadata!V476="",FALSE,TRUE),exact(Metadata!V476,"Decimal degrees"))</f>
        <v>0</v>
      </c>
      <c r="BI476">
        <f>IF(Metadata!W476="",FALSE,TRUE)</f>
        <v>0</v>
      </c>
      <c r="BJ476">
        <f>OR(AND(IF(Metadata!X476="",FALSE,TRUE),OR(exact(Metadata!X476,"not collected"),exact(Metadata!X476,"not provided"),exact(Metadata!X476,"restricted access"))),AND(IF(Metadata!X476="",FALSE,TRUE),OR(exact(Metadata!X476,"TRUE"),exact(Metadata!X476,"FALSE"))))</f>
        <v>0</v>
      </c>
      <c r="BK476">
        <f>AND(IF(Metadata!Y476="",FALSE,TRUE),exact(Metadata!Y476,"other"))</f>
        <v>0</v>
      </c>
      <c r="BL476">
        <f>IF(Metadata!Z476="",FALSE,TRUE)</f>
        <v>0</v>
      </c>
      <c r="BM476">
        <f>OR(AND(IF(Metadata!AA476="",FALSE,TRUE),OR(exact(Metadata!AA476,"not collected"),exact(Metadata!AA476,"not provided"))),AND(IF(Metadata!AA476="",FALSE,IF(ISERROR(INT(Metadata!AA476)),FALSE,INT(Metadata!AA476)=Metadata!AA476)),Metadata!AA476&gt;0))</f>
        <v>0</v>
      </c>
      <c r="BN476">
        <f>AND(IF(Metadata!AB476="",FALSE,TRUE),exact(Metadata!AB476,"Not applicable"))</f>
        <v>0</v>
      </c>
      <c r="BO476">
        <f>IF(Metadata!AC476="",FALSE,TRUE)</f>
        <v>0</v>
      </c>
    </row>
    <row r="477" spans="1:67">
      <c r="A477" s="5">
        <f>IF(B477=" "," ",HYPERLINK(CONCATENATE("#metadata!",ADDRESS(INDEX($AI$2:$AI$1001,MATCH(ROWS($AG$2:AG477),$AG$2:$AG$1001,0),0),1)),INDEX($AL$2:$AL$1001,MATCH(ROWS($AG$2:AG477),$AG$2:$AG$1001,0),0)))</f>
        <v>0</v>
      </c>
      <c r="B477" s="4">
        <f>IF(OR(INDEX($AH$2:$AH$1001,MATCH(ROWS($AG$2:AG477),$AG$2:$AG$1001,0),1)&gt;=100000,INDEX($AN$1005:$BO$1005,1,MATCH(COLUMNS($AN$1006:AN1006),$AN$1006:$BO$1006,0))&gt;=100000), " ",IF(INDEX($AN$2:$BO$1001,MATCH(ROWS($AG$2:AG477),$AG$2:$AG$1001,0),MATCH(COLUMNS($AN$1006:AN1006),$AN$1006:$BO$1006,0)), HYPERLINK("#",""), HYPERLINK(CONCATENATE("#Metadata!", ADDRESS(INDEX($AI$2:$AI$1001,MATCH(ROWS($AG$2:AG477),$AG$2:$AG$1001,0),0), INDEX($AN$1004:$BO$1004,1,MATCH(COLUMNS($AN$1006:AN1006),$AN$1006:$BO$1006,0)))),"Fix")))</f>
        <v>0</v>
      </c>
      <c r="C477" s="4">
        <f>IF(OR(INDEX($AH$2:$AH$1001,MATCH(ROWS($AG$2:AG477),$AG$2:$AG$1001,0),1)&gt;=100000,INDEX($AN$1005:$BO$1005,1,MATCH(COLUMNS($AN$1006:AO1006),$AN$1006:$BO$1006,0))&gt;=100000), " ",IF(INDEX($AN$2:$BO$1001,MATCH(ROWS($AG$2:AG477),$AG$2:$AG$1001,0),MATCH(COLUMNS($AN$1006:AO1006),$AN$1006:$BO$1006,0)), HYPERLINK("#",""), HYPERLINK(CONCATENATE("#Metadata!", ADDRESS(INDEX($AI$2:$AI$1001,MATCH(ROWS($AG$2:AG477),$AG$2:$AG$1001,0),0), INDEX($AN$1004:$BO$1004,1,MATCH(COLUMNS($AN$1006:AO1006),$AN$1006:$BO$1006,0)))),"Fix")))</f>
        <v>0</v>
      </c>
      <c r="D477" s="4">
        <f>IF(OR(INDEX($AH$2:$AH$1001,MATCH(ROWS($AG$2:AG477),$AG$2:$AG$1001,0),1)&gt;=100000,INDEX($AN$1005:$BO$1005,1,MATCH(COLUMNS($AN$1006:AP1006),$AN$1006:$BO$1006,0))&gt;=100000), " ",IF(INDEX($AN$2:$BO$1001,MATCH(ROWS($AG$2:AG477),$AG$2:$AG$1001,0),MATCH(COLUMNS($AN$1006:AP1006),$AN$1006:$BO$1006,0)), HYPERLINK("#",""), HYPERLINK(CONCATENATE("#Metadata!", ADDRESS(INDEX($AI$2:$AI$1001,MATCH(ROWS($AG$2:AG477),$AG$2:$AG$1001,0),0), INDEX($AN$1004:$BO$1004,1,MATCH(COLUMNS($AN$1006:AP1006),$AN$1006:$BO$1006,0)))),"Fix")))</f>
        <v>0</v>
      </c>
      <c r="E477" s="4">
        <f>IF(OR(INDEX($AH$2:$AH$1001,MATCH(ROWS($AG$2:AG477),$AG$2:$AG$1001,0),1)&gt;=100000,INDEX($AN$1005:$BO$1005,1,MATCH(COLUMNS($AN$1006:AQ1006),$AN$1006:$BO$1006,0))&gt;=100000), " ",IF(INDEX($AN$2:$BO$1001,MATCH(ROWS($AG$2:AG477),$AG$2:$AG$1001,0),MATCH(COLUMNS($AN$1006:AQ1006),$AN$1006:$BO$1006,0)), HYPERLINK("#",""), HYPERLINK(CONCATENATE("#Metadata!", ADDRESS(INDEX($AI$2:$AI$1001,MATCH(ROWS($AG$2:AG477),$AG$2:$AG$1001,0),0), INDEX($AN$1004:$BO$1004,1,MATCH(COLUMNS($AN$1006:AQ1006),$AN$1006:$BO$1006,0)))),"Fix")))</f>
        <v>0</v>
      </c>
      <c r="F477" s="4">
        <f>IF(OR(INDEX($AH$2:$AH$1001,MATCH(ROWS($AG$2:AG477),$AG$2:$AG$1001,0),1)&gt;=100000,INDEX($AN$1005:$BO$1005,1,MATCH(COLUMNS($AN$1006:AR1006),$AN$1006:$BO$1006,0))&gt;=100000), " ",IF(INDEX($AN$2:$BO$1001,MATCH(ROWS($AG$2:AG477),$AG$2:$AG$1001,0),MATCH(COLUMNS($AN$1006:AR1006),$AN$1006:$BO$1006,0)), HYPERLINK("#",""), HYPERLINK(CONCATENATE("#Metadata!", ADDRESS(INDEX($AI$2:$AI$1001,MATCH(ROWS($AG$2:AG477),$AG$2:$AG$1001,0),0), INDEX($AN$1004:$BO$1004,1,MATCH(COLUMNS($AN$1006:AR1006),$AN$1006:$BO$1006,0)))),"Fix")))</f>
        <v>0</v>
      </c>
      <c r="G477" s="4">
        <f>IF(OR(INDEX($AH$2:$AH$1001,MATCH(ROWS($AG$2:AG477),$AG$2:$AG$1001,0),1)&gt;=100000,INDEX($AN$1005:$BO$1005,1,MATCH(COLUMNS($AN$1006:AS1006),$AN$1006:$BO$1006,0))&gt;=100000), " ",IF(INDEX($AN$2:$BO$1001,MATCH(ROWS($AG$2:AG477),$AG$2:$AG$1001,0),MATCH(COLUMNS($AN$1006:AS1006),$AN$1006:$BO$1006,0)), HYPERLINK("#",""), HYPERLINK(CONCATENATE("#Metadata!", ADDRESS(INDEX($AI$2:$AI$1001,MATCH(ROWS($AG$2:AG477),$AG$2:$AG$1001,0),0), INDEX($AN$1004:$BO$1004,1,MATCH(COLUMNS($AN$1006:AS1006),$AN$1006:$BO$1006,0)))),"Fix")))</f>
        <v>0</v>
      </c>
      <c r="H477" s="4">
        <f>IF(OR(INDEX($AH$2:$AH$1001,MATCH(ROWS($AG$2:AG477),$AG$2:$AG$1001,0),1)&gt;=100000,INDEX($AN$1005:$BO$1005,1,MATCH(COLUMNS($AN$1006:AT1006),$AN$1006:$BO$1006,0))&gt;=100000), " ",IF(INDEX($AN$2:$BO$1001,MATCH(ROWS($AG$2:AG477),$AG$2:$AG$1001,0),MATCH(COLUMNS($AN$1006:AT1006),$AN$1006:$BO$1006,0)), HYPERLINK("#",""), HYPERLINK(CONCATENATE("#Metadata!", ADDRESS(INDEX($AI$2:$AI$1001,MATCH(ROWS($AG$2:AG477),$AG$2:$AG$1001,0),0), INDEX($AN$1004:$BO$1004,1,MATCH(COLUMNS($AN$1006:AT1006),$AN$1006:$BO$1006,0)))),"Fix")))</f>
        <v>0</v>
      </c>
      <c r="I477" s="4">
        <f>IF(OR(INDEX($AH$2:$AH$1001,MATCH(ROWS($AG$2:AG477),$AG$2:$AG$1001,0),1)&gt;=100000,INDEX($AN$1005:$BO$1005,1,MATCH(COLUMNS($AN$1006:AU1006),$AN$1006:$BO$1006,0))&gt;=100000), " ",IF(INDEX($AN$2:$BO$1001,MATCH(ROWS($AG$2:AG477),$AG$2:$AG$1001,0),MATCH(COLUMNS($AN$1006:AU1006),$AN$1006:$BO$1006,0)), HYPERLINK("#",""), HYPERLINK(CONCATENATE("#Metadata!", ADDRESS(INDEX($AI$2:$AI$1001,MATCH(ROWS($AG$2:AG477),$AG$2:$AG$1001,0),0), INDEX($AN$1004:$BO$1004,1,MATCH(COLUMNS($AN$1006:AU1006),$AN$1006:$BO$1006,0)))),"Fix")))</f>
        <v>0</v>
      </c>
      <c r="J477" s="4">
        <f>IF(OR(INDEX($AH$2:$AH$1001,MATCH(ROWS($AG$2:AG477),$AG$2:$AG$1001,0),1)&gt;=100000,INDEX($AN$1005:$BO$1005,1,MATCH(COLUMNS($AN$1006:AV1006),$AN$1006:$BO$1006,0))&gt;=100000), " ",IF(INDEX($AN$2:$BO$1001,MATCH(ROWS($AG$2:AG477),$AG$2:$AG$1001,0),MATCH(COLUMNS($AN$1006:AV1006),$AN$1006:$BO$1006,0)), HYPERLINK("#",""), HYPERLINK(CONCATENATE("#Metadata!", ADDRESS(INDEX($AI$2:$AI$1001,MATCH(ROWS($AG$2:AG477),$AG$2:$AG$1001,0),0), INDEX($AN$1004:$BO$1004,1,MATCH(COLUMNS($AN$1006:AV1006),$AN$1006:$BO$1006,0)))),"Fix")))</f>
        <v>0</v>
      </c>
      <c r="K477" s="4">
        <f>IF(OR(INDEX($AH$2:$AH$1001,MATCH(ROWS($AG$2:AG477),$AG$2:$AG$1001,0),1)&gt;=100000,INDEX($AN$1005:$BO$1005,1,MATCH(COLUMNS($AN$1006:AW1006),$AN$1006:$BO$1006,0))&gt;=100000), " ",IF(INDEX($AN$2:$BO$1001,MATCH(ROWS($AG$2:AG477),$AG$2:$AG$1001,0),MATCH(COLUMNS($AN$1006:AW1006),$AN$1006:$BO$1006,0)), HYPERLINK("#",""), HYPERLINK(CONCATENATE("#Metadata!", ADDRESS(INDEX($AI$2:$AI$1001,MATCH(ROWS($AG$2:AG477),$AG$2:$AG$1001,0),0), INDEX($AN$1004:$BO$1004,1,MATCH(COLUMNS($AN$1006:AW1006),$AN$1006:$BO$1006,0)))),"Fix")))</f>
        <v>0</v>
      </c>
      <c r="L477" s="4">
        <f>IF(OR(INDEX($AH$2:$AH$1001,MATCH(ROWS($AG$2:AG477),$AG$2:$AG$1001,0),1)&gt;=100000,INDEX($AN$1005:$BO$1005,1,MATCH(COLUMNS($AN$1006:AX1006),$AN$1006:$BO$1006,0))&gt;=100000), " ",IF(INDEX($AN$2:$BO$1001,MATCH(ROWS($AG$2:AG477),$AG$2:$AG$1001,0),MATCH(COLUMNS($AN$1006:AX1006),$AN$1006:$BO$1006,0)), HYPERLINK("#",""), HYPERLINK(CONCATENATE("#Metadata!", ADDRESS(INDEX($AI$2:$AI$1001,MATCH(ROWS($AG$2:AG477),$AG$2:$AG$1001,0),0), INDEX($AN$1004:$BO$1004,1,MATCH(COLUMNS($AN$1006:AX1006),$AN$1006:$BO$1006,0)))),"Fix")))</f>
        <v>0</v>
      </c>
      <c r="M477" s="4">
        <f>IF(OR(INDEX($AH$2:$AH$1001,MATCH(ROWS($AG$2:AG477),$AG$2:$AG$1001,0),1)&gt;=100000,INDEX($AN$1005:$BO$1005,1,MATCH(COLUMNS($AN$1006:AY1006),$AN$1006:$BO$1006,0))&gt;=100000), " ",IF(INDEX($AN$2:$BO$1001,MATCH(ROWS($AG$2:AG477),$AG$2:$AG$1001,0),MATCH(COLUMNS($AN$1006:AY1006),$AN$1006:$BO$1006,0)), HYPERLINK("#",""), HYPERLINK(CONCATENATE("#Metadata!", ADDRESS(INDEX($AI$2:$AI$1001,MATCH(ROWS($AG$2:AG477),$AG$2:$AG$1001,0),0), INDEX($AN$1004:$BO$1004,1,MATCH(COLUMNS($AN$1006:AY1006),$AN$1006:$BO$1006,0)))),"Fix")))</f>
        <v>0</v>
      </c>
      <c r="N477" s="4">
        <f>IF(OR(INDEX($AH$2:$AH$1001,MATCH(ROWS($AG$2:AG477),$AG$2:$AG$1001,0),1)&gt;=100000,INDEX($AN$1005:$BO$1005,1,MATCH(COLUMNS($AN$1006:AZ1006),$AN$1006:$BO$1006,0))&gt;=100000), " ",IF(INDEX($AN$2:$BO$1001,MATCH(ROWS($AG$2:AG477),$AG$2:$AG$1001,0),MATCH(COLUMNS($AN$1006:AZ1006),$AN$1006:$BO$1006,0)), HYPERLINK("#",""), HYPERLINK(CONCATENATE("#Metadata!", ADDRESS(INDEX($AI$2:$AI$1001,MATCH(ROWS($AG$2:AG477),$AG$2:$AG$1001,0),0), INDEX($AN$1004:$BO$1004,1,MATCH(COLUMNS($AN$1006:AZ1006),$AN$1006:$BO$1006,0)))),"Fix")))</f>
        <v>0</v>
      </c>
      <c r="O477" s="4">
        <f>IF(OR(INDEX($AH$2:$AH$1001,MATCH(ROWS($AG$2:AG477),$AG$2:$AG$1001,0),1)&gt;=100000,INDEX($AN$1005:$BO$1005,1,MATCH(COLUMNS($AN$1006:BA1006),$AN$1006:$BO$1006,0))&gt;=100000), " ",IF(INDEX($AN$2:$BO$1001,MATCH(ROWS($AG$2:AG477),$AG$2:$AG$1001,0),MATCH(COLUMNS($AN$1006:BA1006),$AN$1006:$BO$1006,0)), HYPERLINK("#",""), HYPERLINK(CONCATENATE("#Metadata!", ADDRESS(INDEX($AI$2:$AI$1001,MATCH(ROWS($AG$2:AG477),$AG$2:$AG$1001,0),0), INDEX($AN$1004:$BO$1004,1,MATCH(COLUMNS($AN$1006:BA1006),$AN$1006:$BO$1006,0)))),"Fix")))</f>
        <v>0</v>
      </c>
      <c r="P477" s="4">
        <f>IF(OR(INDEX($AH$2:$AH$1001,MATCH(ROWS($AG$2:AG477),$AG$2:$AG$1001,0),1)&gt;=100000,INDEX($AN$1005:$BO$1005,1,MATCH(COLUMNS($AN$1006:BB1006),$AN$1006:$BO$1006,0))&gt;=100000), " ",IF(INDEX($AN$2:$BO$1001,MATCH(ROWS($AG$2:AG477),$AG$2:$AG$1001,0),MATCH(COLUMNS($AN$1006:BB1006),$AN$1006:$BO$1006,0)), HYPERLINK("#",""), HYPERLINK(CONCATENATE("#Metadata!", ADDRESS(INDEX($AI$2:$AI$1001,MATCH(ROWS($AG$2:AG477),$AG$2:$AG$1001,0),0), INDEX($AN$1004:$BO$1004,1,MATCH(COLUMNS($AN$1006:BB1006),$AN$1006:$BO$1006,0)))),"Fix")))</f>
        <v>0</v>
      </c>
      <c r="Q477" s="4">
        <f>IF(OR(INDEX($AH$2:$AH$1001,MATCH(ROWS($AG$2:AG477),$AG$2:$AG$1001,0),1)&gt;=100000,INDEX($AN$1005:$BO$1005,1,MATCH(COLUMNS($AN$1006:BC1006),$AN$1006:$BO$1006,0))&gt;=100000), " ",IF(INDEX($AN$2:$BO$1001,MATCH(ROWS($AG$2:AG477),$AG$2:$AG$1001,0),MATCH(COLUMNS($AN$1006:BC1006),$AN$1006:$BO$1006,0)), HYPERLINK("#",""), HYPERLINK(CONCATENATE("#Metadata!", ADDRESS(INDEX($AI$2:$AI$1001,MATCH(ROWS($AG$2:AG477),$AG$2:$AG$1001,0),0), INDEX($AN$1004:$BO$1004,1,MATCH(COLUMNS($AN$1006:BC1006),$AN$1006:$BO$1006,0)))),"Fix")))</f>
        <v>0</v>
      </c>
      <c r="R477" s="4">
        <f>IF(OR(INDEX($AH$2:$AH$1001,MATCH(ROWS($AG$2:AG477),$AG$2:$AG$1001,0),1)&gt;=100000,INDEX($AN$1005:$BO$1005,1,MATCH(COLUMNS($AN$1006:BD1006),$AN$1006:$BO$1006,0))&gt;=100000), " ",IF(INDEX($AN$2:$BO$1001,MATCH(ROWS($AG$2:AG477),$AG$2:$AG$1001,0),MATCH(COLUMNS($AN$1006:BD1006),$AN$1006:$BO$1006,0)), HYPERLINK("#",""), HYPERLINK(CONCATENATE("#Metadata!", ADDRESS(INDEX($AI$2:$AI$1001,MATCH(ROWS($AG$2:AG477),$AG$2:$AG$1001,0),0), INDEX($AN$1004:$BO$1004,1,MATCH(COLUMNS($AN$1006:BD1006),$AN$1006:$BO$1006,0)))),"Fix")))</f>
        <v>0</v>
      </c>
      <c r="S477" s="4">
        <f>IF(OR(INDEX($AH$2:$AH$1001,MATCH(ROWS($AG$2:AG477),$AG$2:$AG$1001,0),1)&gt;=100000,INDEX($AN$1005:$BO$1005,1,MATCH(COLUMNS($AN$1006:BE1006),$AN$1006:$BO$1006,0))&gt;=100000), " ",IF(INDEX($AN$2:$BO$1001,MATCH(ROWS($AG$2:AG477),$AG$2:$AG$1001,0),MATCH(COLUMNS($AN$1006:BE1006),$AN$1006:$BO$1006,0)), HYPERLINK("#",""), HYPERLINK(CONCATENATE("#Metadata!", ADDRESS(INDEX($AI$2:$AI$1001,MATCH(ROWS($AG$2:AG477),$AG$2:$AG$1001,0),0), INDEX($AN$1004:$BO$1004,1,MATCH(COLUMNS($AN$1006:BE1006),$AN$1006:$BO$1006,0)))),"Fix")))</f>
        <v>0</v>
      </c>
      <c r="T477" s="4">
        <f>IF(OR(INDEX($AH$2:$AH$1001,MATCH(ROWS($AG$2:AG477),$AG$2:$AG$1001,0),1)&gt;=100000,INDEX($AN$1005:$BO$1005,1,MATCH(COLUMNS($AN$1006:BF1006),$AN$1006:$BO$1006,0))&gt;=100000), " ",IF(INDEX($AN$2:$BO$1001,MATCH(ROWS($AG$2:AG477),$AG$2:$AG$1001,0),MATCH(COLUMNS($AN$1006:BF1006),$AN$1006:$BO$1006,0)), HYPERLINK("#",""), HYPERLINK(CONCATENATE("#Metadata!", ADDRESS(INDEX($AI$2:$AI$1001,MATCH(ROWS($AG$2:AG477),$AG$2:$AG$1001,0),0), INDEX($AN$1004:$BO$1004,1,MATCH(COLUMNS($AN$1006:BF1006),$AN$1006:$BO$1006,0)))),"Fix")))</f>
        <v>0</v>
      </c>
      <c r="U477" s="4">
        <f>IF(OR(INDEX($AH$2:$AH$1001,MATCH(ROWS($AG$2:AG477),$AG$2:$AG$1001,0),1)&gt;=100000,INDEX($AN$1005:$BO$1005,1,MATCH(COLUMNS($AN$1006:BG1006),$AN$1006:$BO$1006,0))&gt;=100000), " ",IF(INDEX($AN$2:$BO$1001,MATCH(ROWS($AG$2:AG477),$AG$2:$AG$1001,0),MATCH(COLUMNS($AN$1006:BG1006),$AN$1006:$BO$1006,0)), HYPERLINK("#",""), HYPERLINK(CONCATENATE("#Metadata!", ADDRESS(INDEX($AI$2:$AI$1001,MATCH(ROWS($AG$2:AG477),$AG$2:$AG$1001,0),0), INDEX($AN$1004:$BO$1004,1,MATCH(COLUMNS($AN$1006:BG1006),$AN$1006:$BO$1006,0)))),"Fix")))</f>
        <v>0</v>
      </c>
      <c r="V477" s="4">
        <f>IF(OR(INDEX($AH$2:$AH$1001,MATCH(ROWS($AG$2:AG477),$AG$2:$AG$1001,0),1)&gt;=100000,INDEX($AN$1005:$BO$1005,1,MATCH(COLUMNS($AN$1006:BH1006),$AN$1006:$BO$1006,0))&gt;=100000), " ",IF(INDEX($AN$2:$BO$1001,MATCH(ROWS($AG$2:AG477),$AG$2:$AG$1001,0),MATCH(COLUMNS($AN$1006:BH1006),$AN$1006:$BO$1006,0)), HYPERLINK("#",""), HYPERLINK(CONCATENATE("#Metadata!", ADDRESS(INDEX($AI$2:$AI$1001,MATCH(ROWS($AG$2:AG477),$AG$2:$AG$1001,0),0), INDEX($AN$1004:$BO$1004,1,MATCH(COLUMNS($AN$1006:BH1006),$AN$1006:$BO$1006,0)))),"Fix")))</f>
        <v>0</v>
      </c>
      <c r="W477" s="4">
        <f>IF(OR(INDEX($AH$2:$AH$1001,MATCH(ROWS($AG$2:AG477),$AG$2:$AG$1001,0),1)&gt;=100000,INDEX($AN$1005:$BO$1005,1,MATCH(COLUMNS($AN$1006:BI1006),$AN$1006:$BO$1006,0))&gt;=100000), " ",IF(INDEX($AN$2:$BO$1001,MATCH(ROWS($AG$2:AG477),$AG$2:$AG$1001,0),MATCH(COLUMNS($AN$1006:BI1006),$AN$1006:$BO$1006,0)), HYPERLINK("#",""), HYPERLINK(CONCATENATE("#Metadata!", ADDRESS(INDEX($AI$2:$AI$1001,MATCH(ROWS($AG$2:AG477),$AG$2:$AG$1001,0),0), INDEX($AN$1004:$BO$1004,1,MATCH(COLUMNS($AN$1006:BI1006),$AN$1006:$BO$1006,0)))),"Fix")))</f>
        <v>0</v>
      </c>
      <c r="X477" s="4">
        <f>IF(OR(INDEX($AH$2:$AH$1001,MATCH(ROWS($AG$2:AG477),$AG$2:$AG$1001,0),1)&gt;=100000,INDEX($AN$1005:$BO$1005,1,MATCH(COLUMNS($AN$1006:BJ1006),$AN$1006:$BO$1006,0))&gt;=100000), " ",IF(INDEX($AN$2:$BO$1001,MATCH(ROWS($AG$2:AG477),$AG$2:$AG$1001,0),MATCH(COLUMNS($AN$1006:BJ1006),$AN$1006:$BO$1006,0)), HYPERLINK("#",""), HYPERLINK(CONCATENATE("#Metadata!", ADDRESS(INDEX($AI$2:$AI$1001,MATCH(ROWS($AG$2:AG477),$AG$2:$AG$1001,0),0), INDEX($AN$1004:$BO$1004,1,MATCH(COLUMNS($AN$1006:BJ1006),$AN$1006:$BO$1006,0)))),"Fix")))</f>
        <v>0</v>
      </c>
      <c r="Y477" s="4">
        <f>IF(OR(INDEX($AH$2:$AH$1001,MATCH(ROWS($AG$2:AG477),$AG$2:$AG$1001,0),1)&gt;=100000,INDEX($AN$1005:$BO$1005,1,MATCH(COLUMNS($AN$1006:BK1006),$AN$1006:$BO$1006,0))&gt;=100000), " ",IF(INDEX($AN$2:$BO$1001,MATCH(ROWS($AG$2:AG477),$AG$2:$AG$1001,0),MATCH(COLUMNS($AN$1006:BK1006),$AN$1006:$BO$1006,0)), HYPERLINK("#",""), HYPERLINK(CONCATENATE("#Metadata!", ADDRESS(INDEX($AI$2:$AI$1001,MATCH(ROWS($AG$2:AG477),$AG$2:$AG$1001,0),0), INDEX($AN$1004:$BO$1004,1,MATCH(COLUMNS($AN$1006:BK1006),$AN$1006:$BO$1006,0)))),"Fix")))</f>
        <v>0</v>
      </c>
      <c r="Z477" s="4">
        <f>IF(OR(INDEX($AH$2:$AH$1001,MATCH(ROWS($AG$2:AG477),$AG$2:$AG$1001,0),1)&gt;=100000,INDEX($AN$1005:$BO$1005,1,MATCH(COLUMNS($AN$1006:BL1006),$AN$1006:$BO$1006,0))&gt;=100000), " ",IF(INDEX($AN$2:$BO$1001,MATCH(ROWS($AG$2:AG477),$AG$2:$AG$1001,0),MATCH(COLUMNS($AN$1006:BL1006),$AN$1006:$BO$1006,0)), HYPERLINK("#",""), HYPERLINK(CONCATENATE("#Metadata!", ADDRESS(INDEX($AI$2:$AI$1001,MATCH(ROWS($AG$2:AG477),$AG$2:$AG$1001,0),0), INDEX($AN$1004:$BO$1004,1,MATCH(COLUMNS($AN$1006:BL1006),$AN$1006:$BO$1006,0)))),"Fix")))</f>
        <v>0</v>
      </c>
      <c r="AA477" s="4">
        <f>IF(OR(INDEX($AH$2:$AH$1001,MATCH(ROWS($AG$2:AG477),$AG$2:$AG$1001,0),1)&gt;=100000,INDEX($AN$1005:$BO$1005,1,MATCH(COLUMNS($AN$1006:BM1006),$AN$1006:$BO$1006,0))&gt;=100000), " ",IF(INDEX($AN$2:$BO$1001,MATCH(ROWS($AG$2:AG477),$AG$2:$AG$1001,0),MATCH(COLUMNS($AN$1006:BM1006),$AN$1006:$BO$1006,0)), HYPERLINK("#",""), HYPERLINK(CONCATENATE("#Metadata!", ADDRESS(INDEX($AI$2:$AI$1001,MATCH(ROWS($AG$2:AG477),$AG$2:$AG$1001,0),0), INDEX($AN$1004:$BO$1004,1,MATCH(COLUMNS($AN$1006:BM1006),$AN$1006:$BO$1006,0)))),"Fix")))</f>
        <v>0</v>
      </c>
      <c r="AB477" s="4">
        <f>IF(OR(INDEX($AH$2:$AH$1001,MATCH(ROWS($AG$2:AG477),$AG$2:$AG$1001,0),1)&gt;=100000,INDEX($AN$1005:$BO$1005,1,MATCH(COLUMNS($AN$1006:BN1006),$AN$1006:$BO$1006,0))&gt;=100000), " ",IF(INDEX($AN$2:$BO$1001,MATCH(ROWS($AG$2:AG477),$AG$2:$AG$1001,0),MATCH(COLUMNS($AN$1006:BN1006),$AN$1006:$BO$1006,0)), HYPERLINK("#",""), HYPERLINK(CONCATENATE("#Metadata!", ADDRESS(INDEX($AI$2:$AI$1001,MATCH(ROWS($AG$2:AG477),$AG$2:$AG$1001,0),0), INDEX($AN$1004:$BO$1004,1,MATCH(COLUMNS($AN$1006:BN1006),$AN$1006:$BO$1006,0)))),"Fix")))</f>
        <v>0</v>
      </c>
      <c r="AC477" s="4">
        <f>IF(OR(INDEX($AH$2:$AH$1001,MATCH(ROWS($AG$2:AG477),$AG$2:$AG$1001,0),1)&gt;=100000,INDEX($AN$1005:$BO$1005,1,MATCH(COLUMNS($AN$1006:BO1006),$AN$1006:$BO$1006,0))&gt;=100000), " ",IF(INDEX($AN$2:$BO$1001,MATCH(ROWS($AG$2:AG477),$AG$2:$AG$1001,0),MATCH(COLUMNS($AN$1006:BO1006),$AN$1006:$BO$1006,0)), HYPERLINK("#",""), HYPERLINK(CONCATENATE("#Metadata!", ADDRESS(INDEX($AI$2:$AI$1001,MATCH(ROWS($AG$2:AG477),$AG$2:$AG$1001,0),0), INDEX($AN$1004:$BO$1004,1,MATCH(COLUMNS($AN$1006:BO1006),$AN$1006:$BO$1006,0)))),"Fix")))</f>
        <v>0</v>
      </c>
      <c r="AG477">
        <v>0</v>
      </c>
      <c r="AH477">
        <v>0</v>
      </c>
      <c r="AI477">
        <v>0</v>
      </c>
      <c r="AJ477">
        <f>IF(AK477,TRUE,AND(AN477:BO477))</f>
        <v>0</v>
      </c>
      <c r="AK477">
        <f>COUNTBLANK(Metadata!B477:AC477)=COLUMNS(Metadata!B477:AC477)</f>
        <v>0</v>
      </c>
      <c r="AL477">
        <v>0</v>
      </c>
      <c r="AN477">
        <f>AND(IF(Metadata!B477="",FALSE,TRUE),COUNTIF(Metadata!B:B, Metadata!B477) = 1,NOT(ISERROR(SUMPRODUCT(SEARCH(MID(Metadata!B477,ROW(INDIRECT("1:"&amp;LEN(Metadata!B477))), 1),"0123456789abcdefghijklmnopqrstuvwxyzABCDEFGHIJKLMNOPQRSTUVWXYZ.")))))</f>
        <v>0</v>
      </c>
      <c r="AO477">
        <f>IF(Metadata!C477="",FALSE,TRUE)</f>
        <v>0</v>
      </c>
      <c r="AP477">
        <f>IF(Metadata!D477="",FALSE,TRUE)</f>
        <v>0</v>
      </c>
      <c r="AQ477">
        <f>OR(AND(IF(Metadata!E477="",FALSE,TRUE),OR(exact(Metadata!E477,"not collected"),exact(Metadata!E477,"not provided"),exact(Metadata!E477,"restricted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R477">
        <f>IF(Metadata!F477="",FALSE,TRUE)</f>
        <v>0</v>
      </c>
      <c r="AS477">
        <f>OR(AND(IF(Metadata!G477="",FALSE,TRUE),OR(exact(Metadata!G477,"not collected"),exact(Metadata!G477,"not provided"))),AND(IF(Metadata!G477="",FALSE,TRUE),OR(exact(Metadata!G477,"TRUE"),exact(Metadata!G477,"FALSE"))))</f>
        <v>0</v>
      </c>
      <c r="AT477">
        <f>OR(AND(IF(Metadata!H477="",FALSE,TRUE),OR(exact(Metadata!H477,"not collected"),exact(Metadata!H477,"not provided"),exact(Metadata!H477,"restricted access"))),AND(IF(Metadata!H477="",FALSE,ISNUMBER(VALUE(Metadata!H477))),Metadata!H477&gt;=-413.0))</f>
        <v>0</v>
      </c>
      <c r="AU477">
        <f>AND(IF(Metadata!I477="",FALSE,TRUE),exact(Metadata!I477,"meters"))</f>
        <v>0</v>
      </c>
      <c r="AV477">
        <f>AND(IF(Metadata!J477="",FALSE,TRUE),OR(exact(Metadata!J477,"Host-associated"),exact(Metadata!J477,"Free-living")))</f>
        <v>0</v>
      </c>
      <c r="AW477">
        <f>AND(IF(Metadata!K477="",FALSE,TRUE),OR(exact(Metadata!K477,"Animal"),exact(Metadata!K477,"Fungus"),exact(Metadata!K477,"Plant"),exact(Metadata!K477,"Saline"),exact(Metadata!K477,"Non-saline")))</f>
        <v>0</v>
      </c>
      <c r="AX477">
        <f>AND(IF(Metadata!L477="",FALSE,TRUE),OR(exact(Metadata!L477,"Plant secretion"),exact(Metadata!L477,"Plant rhizosphere"),exact(Metadata!L477,"Plant surface"),exact(Metadata!L477,"Plant corpus"),exact(Metadata!L477,"Fungus surface"),exact(Metadata!L477,"Fungus corpus"),exact(Metadata!L477,"Animal surface"),exact(Metadata!L477,"Animal proximal gut"),exact(Metadata!L477,"Animal corpus"),exact(Metadata!L477,"Animal distal gut"),exact(Metadata!L477,"Animal secretion"),exact(Metadata!L477,"Sub-surface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Y477">
        <f>IF(Metadata!M477="",FALSE,TRUE)</f>
        <v>0</v>
      </c>
      <c r="AZ477">
        <f>IF(Metadata!N477="",FALSE,TRUE)</f>
        <v>0</v>
      </c>
      <c r="BA477">
        <f>IF(Metadata!O477="",FALSE,TRUE)</f>
        <v>0</v>
      </c>
      <c r="BB477">
        <f>OR(AND(IF(Metadata!P477="",FALSE,TRUE),OR(exact(Metadata!P477,"not collected"),exact(Metadata!P477,"not provided"),exact(Metadata!P477,"restricted access"))),AND(IF(Metadata!P477="",FALSE,TRUE),OR(exact(Metadata!P477,"air"),exact(Metadata!P477,"built environment"),exact(Metadata!P477,"host-associated"),exact(Metadata!P477,"human-associated"),exact(Metadata!P477,"human-skin"),exact(Metadata!P477,"human-oral"),exact(Metadata!P477,"human-gut"),exact(Metadata!P477,"human-vaginal"),exact(Metadata!P477,"microbial mat/biofilm"),exact(Metadata!P477,"misc environment"),exact(Metadata!P477,"plant-associated"),exact(Metadata!P477,"sediment"),exact(Metadata!P477,"soil"),exact(Metadata!P477,"wastewater/sludge"),exact(Metadata!P477,"water"))))</f>
        <v>0</v>
      </c>
      <c r="BC477">
        <f>IF(Metadata!Q477="",FALSE,TRUE)</f>
        <v>0</v>
      </c>
      <c r="BD477">
        <f>IF(Metadata!R477="",FALSE,TRUE)</f>
        <v>0</v>
      </c>
      <c r="BE477">
        <f>OR(AND(IF(Metadata!S477="",FALSE,TRUE),OR(exact(Metadata!S477,"not collected"),exact(Metadata!S477,"not provided"),exact(Metadata!S477,"restricted access"))),AND(IF(Metadata!S477="",FALSE,ISNUMBER(VALUE(Metadata!S477))),Metadata!S477&gt;=-90.00,Metadata!S477&lt;=90.00))</f>
        <v>0</v>
      </c>
      <c r="BF477">
        <f>AND(IF(Metadata!T477="",FALSE,TRUE),exact(Metadata!T477,"Decimal degrees"))</f>
        <v>0</v>
      </c>
      <c r="BG477">
        <f>OR(AND(IF(Metadata!U477="",FALSE,TRUE),OR(exact(Metadata!U477,"not collected"),exact(Metadata!U477,"not provided"),exact(Metadata!U477,"restricted access"))),AND(IF(Metadata!U477="",FALSE,ISNUMBER(VALUE(Metadata!U477))),Metadata!U477&gt;=-180.00,Metadata!U477&lt;=180.00))</f>
        <v>0</v>
      </c>
      <c r="BH477">
        <f>AND(IF(Metadata!V477="",FALSE,TRUE),exact(Metadata!V477,"Decimal degrees"))</f>
        <v>0</v>
      </c>
      <c r="BI477">
        <f>IF(Metadata!W477="",FALSE,TRUE)</f>
        <v>0</v>
      </c>
      <c r="BJ477">
        <f>OR(AND(IF(Metadata!X477="",FALSE,TRUE),OR(exact(Metadata!X477,"not collected"),exact(Metadata!X477,"not provided"),exact(Metadata!X477,"restricted access"))),AND(IF(Metadata!X477="",FALSE,TRUE),OR(exact(Metadata!X477,"TRUE"),exact(Metadata!X477,"FALSE"))))</f>
        <v>0</v>
      </c>
      <c r="BK477">
        <f>AND(IF(Metadata!Y477="",FALSE,TRUE),exact(Metadata!Y477,"other"))</f>
        <v>0</v>
      </c>
      <c r="BL477">
        <f>IF(Metadata!Z477="",FALSE,TRUE)</f>
        <v>0</v>
      </c>
      <c r="BM477">
        <f>OR(AND(IF(Metadata!AA477="",FALSE,TRUE),OR(exact(Metadata!AA477,"not collected"),exact(Metadata!AA477,"not provided"))),AND(IF(Metadata!AA477="",FALSE,IF(ISERROR(INT(Metadata!AA477)),FALSE,INT(Metadata!AA477)=Metadata!AA477)),Metadata!AA477&gt;0))</f>
        <v>0</v>
      </c>
      <c r="BN477">
        <f>AND(IF(Metadata!AB477="",FALSE,TRUE),exact(Metadata!AB477,"Not applicable"))</f>
        <v>0</v>
      </c>
      <c r="BO477">
        <f>IF(Metadata!AC477="",FALSE,TRUE)</f>
        <v>0</v>
      </c>
    </row>
    <row r="478" spans="1:67">
      <c r="A478" s="5">
        <f>IF(B478=" "," ",HYPERLINK(CONCATENATE("#metadata!",ADDRESS(INDEX($AI$2:$AI$1001,MATCH(ROWS($AG$2:AG478),$AG$2:$AG$1001,0),0),1)),INDEX($AL$2:$AL$1001,MATCH(ROWS($AG$2:AG478),$AG$2:$AG$1001,0),0)))</f>
        <v>0</v>
      </c>
      <c r="B478" s="4">
        <f>IF(OR(INDEX($AH$2:$AH$1001,MATCH(ROWS($AG$2:AG478),$AG$2:$AG$1001,0),1)&gt;=100000,INDEX($AN$1005:$BO$1005,1,MATCH(COLUMNS($AN$1006:AN1006),$AN$1006:$BO$1006,0))&gt;=100000), " ",IF(INDEX($AN$2:$BO$1001,MATCH(ROWS($AG$2:AG478),$AG$2:$AG$1001,0),MATCH(COLUMNS($AN$1006:AN1006),$AN$1006:$BO$1006,0)), HYPERLINK("#",""), HYPERLINK(CONCATENATE("#Metadata!", ADDRESS(INDEX($AI$2:$AI$1001,MATCH(ROWS($AG$2:AG478),$AG$2:$AG$1001,0),0), INDEX($AN$1004:$BO$1004,1,MATCH(COLUMNS($AN$1006:AN1006),$AN$1006:$BO$1006,0)))),"Fix")))</f>
        <v>0</v>
      </c>
      <c r="C478" s="4">
        <f>IF(OR(INDEX($AH$2:$AH$1001,MATCH(ROWS($AG$2:AG478),$AG$2:$AG$1001,0),1)&gt;=100000,INDEX($AN$1005:$BO$1005,1,MATCH(COLUMNS($AN$1006:AO1006),$AN$1006:$BO$1006,0))&gt;=100000), " ",IF(INDEX($AN$2:$BO$1001,MATCH(ROWS($AG$2:AG478),$AG$2:$AG$1001,0),MATCH(COLUMNS($AN$1006:AO1006),$AN$1006:$BO$1006,0)), HYPERLINK("#",""), HYPERLINK(CONCATENATE("#Metadata!", ADDRESS(INDEX($AI$2:$AI$1001,MATCH(ROWS($AG$2:AG478),$AG$2:$AG$1001,0),0), INDEX($AN$1004:$BO$1004,1,MATCH(COLUMNS($AN$1006:AO1006),$AN$1006:$BO$1006,0)))),"Fix")))</f>
        <v>0</v>
      </c>
      <c r="D478" s="4">
        <f>IF(OR(INDEX($AH$2:$AH$1001,MATCH(ROWS($AG$2:AG478),$AG$2:$AG$1001,0),1)&gt;=100000,INDEX($AN$1005:$BO$1005,1,MATCH(COLUMNS($AN$1006:AP1006),$AN$1006:$BO$1006,0))&gt;=100000), " ",IF(INDEX($AN$2:$BO$1001,MATCH(ROWS($AG$2:AG478),$AG$2:$AG$1001,0),MATCH(COLUMNS($AN$1006:AP1006),$AN$1006:$BO$1006,0)), HYPERLINK("#",""), HYPERLINK(CONCATENATE("#Metadata!", ADDRESS(INDEX($AI$2:$AI$1001,MATCH(ROWS($AG$2:AG478),$AG$2:$AG$1001,0),0), INDEX($AN$1004:$BO$1004,1,MATCH(COLUMNS($AN$1006:AP1006),$AN$1006:$BO$1006,0)))),"Fix")))</f>
        <v>0</v>
      </c>
      <c r="E478" s="4">
        <f>IF(OR(INDEX($AH$2:$AH$1001,MATCH(ROWS($AG$2:AG478),$AG$2:$AG$1001,0),1)&gt;=100000,INDEX($AN$1005:$BO$1005,1,MATCH(COLUMNS($AN$1006:AQ1006),$AN$1006:$BO$1006,0))&gt;=100000), " ",IF(INDEX($AN$2:$BO$1001,MATCH(ROWS($AG$2:AG478),$AG$2:$AG$1001,0),MATCH(COLUMNS($AN$1006:AQ1006),$AN$1006:$BO$1006,0)), HYPERLINK("#",""), HYPERLINK(CONCATENATE("#Metadata!", ADDRESS(INDEX($AI$2:$AI$1001,MATCH(ROWS($AG$2:AG478),$AG$2:$AG$1001,0),0), INDEX($AN$1004:$BO$1004,1,MATCH(COLUMNS($AN$1006:AQ1006),$AN$1006:$BO$1006,0)))),"Fix")))</f>
        <v>0</v>
      </c>
      <c r="F478" s="4">
        <f>IF(OR(INDEX($AH$2:$AH$1001,MATCH(ROWS($AG$2:AG478),$AG$2:$AG$1001,0),1)&gt;=100000,INDEX($AN$1005:$BO$1005,1,MATCH(COLUMNS($AN$1006:AR1006),$AN$1006:$BO$1006,0))&gt;=100000), " ",IF(INDEX($AN$2:$BO$1001,MATCH(ROWS($AG$2:AG478),$AG$2:$AG$1001,0),MATCH(COLUMNS($AN$1006:AR1006),$AN$1006:$BO$1006,0)), HYPERLINK("#",""), HYPERLINK(CONCATENATE("#Metadata!", ADDRESS(INDEX($AI$2:$AI$1001,MATCH(ROWS($AG$2:AG478),$AG$2:$AG$1001,0),0), INDEX($AN$1004:$BO$1004,1,MATCH(COLUMNS($AN$1006:AR1006),$AN$1006:$BO$1006,0)))),"Fix")))</f>
        <v>0</v>
      </c>
      <c r="G478" s="4">
        <f>IF(OR(INDEX($AH$2:$AH$1001,MATCH(ROWS($AG$2:AG478),$AG$2:$AG$1001,0),1)&gt;=100000,INDEX($AN$1005:$BO$1005,1,MATCH(COLUMNS($AN$1006:AS1006),$AN$1006:$BO$1006,0))&gt;=100000), " ",IF(INDEX($AN$2:$BO$1001,MATCH(ROWS($AG$2:AG478),$AG$2:$AG$1001,0),MATCH(COLUMNS($AN$1006:AS1006),$AN$1006:$BO$1006,0)), HYPERLINK("#",""), HYPERLINK(CONCATENATE("#Metadata!", ADDRESS(INDEX($AI$2:$AI$1001,MATCH(ROWS($AG$2:AG478),$AG$2:$AG$1001,0),0), INDEX($AN$1004:$BO$1004,1,MATCH(COLUMNS($AN$1006:AS1006),$AN$1006:$BO$1006,0)))),"Fix")))</f>
        <v>0</v>
      </c>
      <c r="H478" s="4">
        <f>IF(OR(INDEX($AH$2:$AH$1001,MATCH(ROWS($AG$2:AG478),$AG$2:$AG$1001,0),1)&gt;=100000,INDEX($AN$1005:$BO$1005,1,MATCH(COLUMNS($AN$1006:AT1006),$AN$1006:$BO$1006,0))&gt;=100000), " ",IF(INDEX($AN$2:$BO$1001,MATCH(ROWS($AG$2:AG478),$AG$2:$AG$1001,0),MATCH(COLUMNS($AN$1006:AT1006),$AN$1006:$BO$1006,0)), HYPERLINK("#",""), HYPERLINK(CONCATENATE("#Metadata!", ADDRESS(INDEX($AI$2:$AI$1001,MATCH(ROWS($AG$2:AG478),$AG$2:$AG$1001,0),0), INDEX($AN$1004:$BO$1004,1,MATCH(COLUMNS($AN$1006:AT1006),$AN$1006:$BO$1006,0)))),"Fix")))</f>
        <v>0</v>
      </c>
      <c r="I478" s="4">
        <f>IF(OR(INDEX($AH$2:$AH$1001,MATCH(ROWS($AG$2:AG478),$AG$2:$AG$1001,0),1)&gt;=100000,INDEX($AN$1005:$BO$1005,1,MATCH(COLUMNS($AN$1006:AU1006),$AN$1006:$BO$1006,0))&gt;=100000), " ",IF(INDEX($AN$2:$BO$1001,MATCH(ROWS($AG$2:AG478),$AG$2:$AG$1001,0),MATCH(COLUMNS($AN$1006:AU1006),$AN$1006:$BO$1006,0)), HYPERLINK("#",""), HYPERLINK(CONCATENATE("#Metadata!", ADDRESS(INDEX($AI$2:$AI$1001,MATCH(ROWS($AG$2:AG478),$AG$2:$AG$1001,0),0), INDEX($AN$1004:$BO$1004,1,MATCH(COLUMNS($AN$1006:AU1006),$AN$1006:$BO$1006,0)))),"Fix")))</f>
        <v>0</v>
      </c>
      <c r="J478" s="4">
        <f>IF(OR(INDEX($AH$2:$AH$1001,MATCH(ROWS($AG$2:AG478),$AG$2:$AG$1001,0),1)&gt;=100000,INDEX($AN$1005:$BO$1005,1,MATCH(COLUMNS($AN$1006:AV1006),$AN$1006:$BO$1006,0))&gt;=100000), " ",IF(INDEX($AN$2:$BO$1001,MATCH(ROWS($AG$2:AG478),$AG$2:$AG$1001,0),MATCH(COLUMNS($AN$1006:AV1006),$AN$1006:$BO$1006,0)), HYPERLINK("#",""), HYPERLINK(CONCATENATE("#Metadata!", ADDRESS(INDEX($AI$2:$AI$1001,MATCH(ROWS($AG$2:AG478),$AG$2:$AG$1001,0),0), INDEX($AN$1004:$BO$1004,1,MATCH(COLUMNS($AN$1006:AV1006),$AN$1006:$BO$1006,0)))),"Fix")))</f>
        <v>0</v>
      </c>
      <c r="K478" s="4">
        <f>IF(OR(INDEX($AH$2:$AH$1001,MATCH(ROWS($AG$2:AG478),$AG$2:$AG$1001,0),1)&gt;=100000,INDEX($AN$1005:$BO$1005,1,MATCH(COLUMNS($AN$1006:AW1006),$AN$1006:$BO$1006,0))&gt;=100000), " ",IF(INDEX($AN$2:$BO$1001,MATCH(ROWS($AG$2:AG478),$AG$2:$AG$1001,0),MATCH(COLUMNS($AN$1006:AW1006),$AN$1006:$BO$1006,0)), HYPERLINK("#",""), HYPERLINK(CONCATENATE("#Metadata!", ADDRESS(INDEX($AI$2:$AI$1001,MATCH(ROWS($AG$2:AG478),$AG$2:$AG$1001,0),0), INDEX($AN$1004:$BO$1004,1,MATCH(COLUMNS($AN$1006:AW1006),$AN$1006:$BO$1006,0)))),"Fix")))</f>
        <v>0</v>
      </c>
      <c r="L478" s="4">
        <f>IF(OR(INDEX($AH$2:$AH$1001,MATCH(ROWS($AG$2:AG478),$AG$2:$AG$1001,0),1)&gt;=100000,INDEX($AN$1005:$BO$1005,1,MATCH(COLUMNS($AN$1006:AX1006),$AN$1006:$BO$1006,0))&gt;=100000), " ",IF(INDEX($AN$2:$BO$1001,MATCH(ROWS($AG$2:AG478),$AG$2:$AG$1001,0),MATCH(COLUMNS($AN$1006:AX1006),$AN$1006:$BO$1006,0)), HYPERLINK("#",""), HYPERLINK(CONCATENATE("#Metadata!", ADDRESS(INDEX($AI$2:$AI$1001,MATCH(ROWS($AG$2:AG478),$AG$2:$AG$1001,0),0), INDEX($AN$1004:$BO$1004,1,MATCH(COLUMNS($AN$1006:AX1006),$AN$1006:$BO$1006,0)))),"Fix")))</f>
        <v>0</v>
      </c>
      <c r="M478" s="4">
        <f>IF(OR(INDEX($AH$2:$AH$1001,MATCH(ROWS($AG$2:AG478),$AG$2:$AG$1001,0),1)&gt;=100000,INDEX($AN$1005:$BO$1005,1,MATCH(COLUMNS($AN$1006:AY1006),$AN$1006:$BO$1006,0))&gt;=100000), " ",IF(INDEX($AN$2:$BO$1001,MATCH(ROWS($AG$2:AG478),$AG$2:$AG$1001,0),MATCH(COLUMNS($AN$1006:AY1006),$AN$1006:$BO$1006,0)), HYPERLINK("#",""), HYPERLINK(CONCATENATE("#Metadata!", ADDRESS(INDEX($AI$2:$AI$1001,MATCH(ROWS($AG$2:AG478),$AG$2:$AG$1001,0),0), INDEX($AN$1004:$BO$1004,1,MATCH(COLUMNS($AN$1006:AY1006),$AN$1006:$BO$1006,0)))),"Fix")))</f>
        <v>0</v>
      </c>
      <c r="N478" s="4">
        <f>IF(OR(INDEX($AH$2:$AH$1001,MATCH(ROWS($AG$2:AG478),$AG$2:$AG$1001,0),1)&gt;=100000,INDEX($AN$1005:$BO$1005,1,MATCH(COLUMNS($AN$1006:AZ1006),$AN$1006:$BO$1006,0))&gt;=100000), " ",IF(INDEX($AN$2:$BO$1001,MATCH(ROWS($AG$2:AG478),$AG$2:$AG$1001,0),MATCH(COLUMNS($AN$1006:AZ1006),$AN$1006:$BO$1006,0)), HYPERLINK("#",""), HYPERLINK(CONCATENATE("#Metadata!", ADDRESS(INDEX($AI$2:$AI$1001,MATCH(ROWS($AG$2:AG478),$AG$2:$AG$1001,0),0), INDEX($AN$1004:$BO$1004,1,MATCH(COLUMNS($AN$1006:AZ1006),$AN$1006:$BO$1006,0)))),"Fix")))</f>
        <v>0</v>
      </c>
      <c r="O478" s="4">
        <f>IF(OR(INDEX($AH$2:$AH$1001,MATCH(ROWS($AG$2:AG478),$AG$2:$AG$1001,0),1)&gt;=100000,INDEX($AN$1005:$BO$1005,1,MATCH(COLUMNS($AN$1006:BA1006),$AN$1006:$BO$1006,0))&gt;=100000), " ",IF(INDEX($AN$2:$BO$1001,MATCH(ROWS($AG$2:AG478),$AG$2:$AG$1001,0),MATCH(COLUMNS($AN$1006:BA1006),$AN$1006:$BO$1006,0)), HYPERLINK("#",""), HYPERLINK(CONCATENATE("#Metadata!", ADDRESS(INDEX($AI$2:$AI$1001,MATCH(ROWS($AG$2:AG478),$AG$2:$AG$1001,0),0), INDEX($AN$1004:$BO$1004,1,MATCH(COLUMNS($AN$1006:BA1006),$AN$1006:$BO$1006,0)))),"Fix")))</f>
        <v>0</v>
      </c>
      <c r="P478" s="4">
        <f>IF(OR(INDEX($AH$2:$AH$1001,MATCH(ROWS($AG$2:AG478),$AG$2:$AG$1001,0),1)&gt;=100000,INDEX($AN$1005:$BO$1005,1,MATCH(COLUMNS($AN$1006:BB1006),$AN$1006:$BO$1006,0))&gt;=100000), " ",IF(INDEX($AN$2:$BO$1001,MATCH(ROWS($AG$2:AG478),$AG$2:$AG$1001,0),MATCH(COLUMNS($AN$1006:BB1006),$AN$1006:$BO$1006,0)), HYPERLINK("#",""), HYPERLINK(CONCATENATE("#Metadata!", ADDRESS(INDEX($AI$2:$AI$1001,MATCH(ROWS($AG$2:AG478),$AG$2:$AG$1001,0),0), INDEX($AN$1004:$BO$1004,1,MATCH(COLUMNS($AN$1006:BB1006),$AN$1006:$BO$1006,0)))),"Fix")))</f>
        <v>0</v>
      </c>
      <c r="Q478" s="4">
        <f>IF(OR(INDEX($AH$2:$AH$1001,MATCH(ROWS($AG$2:AG478),$AG$2:$AG$1001,0),1)&gt;=100000,INDEX($AN$1005:$BO$1005,1,MATCH(COLUMNS($AN$1006:BC1006),$AN$1006:$BO$1006,0))&gt;=100000), " ",IF(INDEX($AN$2:$BO$1001,MATCH(ROWS($AG$2:AG478),$AG$2:$AG$1001,0),MATCH(COLUMNS($AN$1006:BC1006),$AN$1006:$BO$1006,0)), HYPERLINK("#",""), HYPERLINK(CONCATENATE("#Metadata!", ADDRESS(INDEX($AI$2:$AI$1001,MATCH(ROWS($AG$2:AG478),$AG$2:$AG$1001,0),0), INDEX($AN$1004:$BO$1004,1,MATCH(COLUMNS($AN$1006:BC1006),$AN$1006:$BO$1006,0)))),"Fix")))</f>
        <v>0</v>
      </c>
      <c r="R478" s="4">
        <f>IF(OR(INDEX($AH$2:$AH$1001,MATCH(ROWS($AG$2:AG478),$AG$2:$AG$1001,0),1)&gt;=100000,INDEX($AN$1005:$BO$1005,1,MATCH(COLUMNS($AN$1006:BD1006),$AN$1006:$BO$1006,0))&gt;=100000), " ",IF(INDEX($AN$2:$BO$1001,MATCH(ROWS($AG$2:AG478),$AG$2:$AG$1001,0),MATCH(COLUMNS($AN$1006:BD1006),$AN$1006:$BO$1006,0)), HYPERLINK("#",""), HYPERLINK(CONCATENATE("#Metadata!", ADDRESS(INDEX($AI$2:$AI$1001,MATCH(ROWS($AG$2:AG478),$AG$2:$AG$1001,0),0), INDEX($AN$1004:$BO$1004,1,MATCH(COLUMNS($AN$1006:BD1006),$AN$1006:$BO$1006,0)))),"Fix")))</f>
        <v>0</v>
      </c>
      <c r="S478" s="4">
        <f>IF(OR(INDEX($AH$2:$AH$1001,MATCH(ROWS($AG$2:AG478),$AG$2:$AG$1001,0),1)&gt;=100000,INDEX($AN$1005:$BO$1005,1,MATCH(COLUMNS($AN$1006:BE1006),$AN$1006:$BO$1006,0))&gt;=100000), " ",IF(INDEX($AN$2:$BO$1001,MATCH(ROWS($AG$2:AG478),$AG$2:$AG$1001,0),MATCH(COLUMNS($AN$1006:BE1006),$AN$1006:$BO$1006,0)), HYPERLINK("#",""), HYPERLINK(CONCATENATE("#Metadata!", ADDRESS(INDEX($AI$2:$AI$1001,MATCH(ROWS($AG$2:AG478),$AG$2:$AG$1001,0),0), INDEX($AN$1004:$BO$1004,1,MATCH(COLUMNS($AN$1006:BE1006),$AN$1006:$BO$1006,0)))),"Fix")))</f>
        <v>0</v>
      </c>
      <c r="T478" s="4">
        <f>IF(OR(INDEX($AH$2:$AH$1001,MATCH(ROWS($AG$2:AG478),$AG$2:$AG$1001,0),1)&gt;=100000,INDEX($AN$1005:$BO$1005,1,MATCH(COLUMNS($AN$1006:BF1006),$AN$1006:$BO$1006,0))&gt;=100000), " ",IF(INDEX($AN$2:$BO$1001,MATCH(ROWS($AG$2:AG478),$AG$2:$AG$1001,0),MATCH(COLUMNS($AN$1006:BF1006),$AN$1006:$BO$1006,0)), HYPERLINK("#",""), HYPERLINK(CONCATENATE("#Metadata!", ADDRESS(INDEX($AI$2:$AI$1001,MATCH(ROWS($AG$2:AG478),$AG$2:$AG$1001,0),0), INDEX($AN$1004:$BO$1004,1,MATCH(COLUMNS($AN$1006:BF1006),$AN$1006:$BO$1006,0)))),"Fix")))</f>
        <v>0</v>
      </c>
      <c r="U478" s="4">
        <f>IF(OR(INDEX($AH$2:$AH$1001,MATCH(ROWS($AG$2:AG478),$AG$2:$AG$1001,0),1)&gt;=100000,INDEX($AN$1005:$BO$1005,1,MATCH(COLUMNS($AN$1006:BG1006),$AN$1006:$BO$1006,0))&gt;=100000), " ",IF(INDEX($AN$2:$BO$1001,MATCH(ROWS($AG$2:AG478),$AG$2:$AG$1001,0),MATCH(COLUMNS($AN$1006:BG1006),$AN$1006:$BO$1006,0)), HYPERLINK("#",""), HYPERLINK(CONCATENATE("#Metadata!", ADDRESS(INDEX($AI$2:$AI$1001,MATCH(ROWS($AG$2:AG478),$AG$2:$AG$1001,0),0), INDEX($AN$1004:$BO$1004,1,MATCH(COLUMNS($AN$1006:BG1006),$AN$1006:$BO$1006,0)))),"Fix")))</f>
        <v>0</v>
      </c>
      <c r="V478" s="4">
        <f>IF(OR(INDEX($AH$2:$AH$1001,MATCH(ROWS($AG$2:AG478),$AG$2:$AG$1001,0),1)&gt;=100000,INDEX($AN$1005:$BO$1005,1,MATCH(COLUMNS($AN$1006:BH1006),$AN$1006:$BO$1006,0))&gt;=100000), " ",IF(INDEX($AN$2:$BO$1001,MATCH(ROWS($AG$2:AG478),$AG$2:$AG$1001,0),MATCH(COLUMNS($AN$1006:BH1006),$AN$1006:$BO$1006,0)), HYPERLINK("#",""), HYPERLINK(CONCATENATE("#Metadata!", ADDRESS(INDEX($AI$2:$AI$1001,MATCH(ROWS($AG$2:AG478),$AG$2:$AG$1001,0),0), INDEX($AN$1004:$BO$1004,1,MATCH(COLUMNS($AN$1006:BH1006),$AN$1006:$BO$1006,0)))),"Fix")))</f>
        <v>0</v>
      </c>
      <c r="W478" s="4">
        <f>IF(OR(INDEX($AH$2:$AH$1001,MATCH(ROWS($AG$2:AG478),$AG$2:$AG$1001,0),1)&gt;=100000,INDEX($AN$1005:$BO$1005,1,MATCH(COLUMNS($AN$1006:BI1006),$AN$1006:$BO$1006,0))&gt;=100000), " ",IF(INDEX($AN$2:$BO$1001,MATCH(ROWS($AG$2:AG478),$AG$2:$AG$1001,0),MATCH(COLUMNS($AN$1006:BI1006),$AN$1006:$BO$1006,0)), HYPERLINK("#",""), HYPERLINK(CONCATENATE("#Metadata!", ADDRESS(INDEX($AI$2:$AI$1001,MATCH(ROWS($AG$2:AG478),$AG$2:$AG$1001,0),0), INDEX($AN$1004:$BO$1004,1,MATCH(COLUMNS($AN$1006:BI1006),$AN$1006:$BO$1006,0)))),"Fix")))</f>
        <v>0</v>
      </c>
      <c r="X478" s="4">
        <f>IF(OR(INDEX($AH$2:$AH$1001,MATCH(ROWS($AG$2:AG478),$AG$2:$AG$1001,0),1)&gt;=100000,INDEX($AN$1005:$BO$1005,1,MATCH(COLUMNS($AN$1006:BJ1006),$AN$1006:$BO$1006,0))&gt;=100000), " ",IF(INDEX($AN$2:$BO$1001,MATCH(ROWS($AG$2:AG478),$AG$2:$AG$1001,0),MATCH(COLUMNS($AN$1006:BJ1006),$AN$1006:$BO$1006,0)), HYPERLINK("#",""), HYPERLINK(CONCATENATE("#Metadata!", ADDRESS(INDEX($AI$2:$AI$1001,MATCH(ROWS($AG$2:AG478),$AG$2:$AG$1001,0),0), INDEX($AN$1004:$BO$1004,1,MATCH(COLUMNS($AN$1006:BJ1006),$AN$1006:$BO$1006,0)))),"Fix")))</f>
        <v>0</v>
      </c>
      <c r="Y478" s="4">
        <f>IF(OR(INDEX($AH$2:$AH$1001,MATCH(ROWS($AG$2:AG478),$AG$2:$AG$1001,0),1)&gt;=100000,INDEX($AN$1005:$BO$1005,1,MATCH(COLUMNS($AN$1006:BK1006),$AN$1006:$BO$1006,0))&gt;=100000), " ",IF(INDEX($AN$2:$BO$1001,MATCH(ROWS($AG$2:AG478),$AG$2:$AG$1001,0),MATCH(COLUMNS($AN$1006:BK1006),$AN$1006:$BO$1006,0)), HYPERLINK("#",""), HYPERLINK(CONCATENATE("#Metadata!", ADDRESS(INDEX($AI$2:$AI$1001,MATCH(ROWS($AG$2:AG478),$AG$2:$AG$1001,0),0), INDEX($AN$1004:$BO$1004,1,MATCH(COLUMNS($AN$1006:BK1006),$AN$1006:$BO$1006,0)))),"Fix")))</f>
        <v>0</v>
      </c>
      <c r="Z478" s="4">
        <f>IF(OR(INDEX($AH$2:$AH$1001,MATCH(ROWS($AG$2:AG478),$AG$2:$AG$1001,0),1)&gt;=100000,INDEX($AN$1005:$BO$1005,1,MATCH(COLUMNS($AN$1006:BL1006),$AN$1006:$BO$1006,0))&gt;=100000), " ",IF(INDEX($AN$2:$BO$1001,MATCH(ROWS($AG$2:AG478),$AG$2:$AG$1001,0),MATCH(COLUMNS($AN$1006:BL1006),$AN$1006:$BO$1006,0)), HYPERLINK("#",""), HYPERLINK(CONCATENATE("#Metadata!", ADDRESS(INDEX($AI$2:$AI$1001,MATCH(ROWS($AG$2:AG478),$AG$2:$AG$1001,0),0), INDEX($AN$1004:$BO$1004,1,MATCH(COLUMNS($AN$1006:BL1006),$AN$1006:$BO$1006,0)))),"Fix")))</f>
        <v>0</v>
      </c>
      <c r="AA478" s="4">
        <f>IF(OR(INDEX($AH$2:$AH$1001,MATCH(ROWS($AG$2:AG478),$AG$2:$AG$1001,0),1)&gt;=100000,INDEX($AN$1005:$BO$1005,1,MATCH(COLUMNS($AN$1006:BM1006),$AN$1006:$BO$1006,0))&gt;=100000), " ",IF(INDEX($AN$2:$BO$1001,MATCH(ROWS($AG$2:AG478),$AG$2:$AG$1001,0),MATCH(COLUMNS($AN$1006:BM1006),$AN$1006:$BO$1006,0)), HYPERLINK("#",""), HYPERLINK(CONCATENATE("#Metadata!", ADDRESS(INDEX($AI$2:$AI$1001,MATCH(ROWS($AG$2:AG478),$AG$2:$AG$1001,0),0), INDEX($AN$1004:$BO$1004,1,MATCH(COLUMNS($AN$1006:BM1006),$AN$1006:$BO$1006,0)))),"Fix")))</f>
        <v>0</v>
      </c>
      <c r="AB478" s="4">
        <f>IF(OR(INDEX($AH$2:$AH$1001,MATCH(ROWS($AG$2:AG478),$AG$2:$AG$1001,0),1)&gt;=100000,INDEX($AN$1005:$BO$1005,1,MATCH(COLUMNS($AN$1006:BN1006),$AN$1006:$BO$1006,0))&gt;=100000), " ",IF(INDEX($AN$2:$BO$1001,MATCH(ROWS($AG$2:AG478),$AG$2:$AG$1001,0),MATCH(COLUMNS($AN$1006:BN1006),$AN$1006:$BO$1006,0)), HYPERLINK("#",""), HYPERLINK(CONCATENATE("#Metadata!", ADDRESS(INDEX($AI$2:$AI$1001,MATCH(ROWS($AG$2:AG478),$AG$2:$AG$1001,0),0), INDEX($AN$1004:$BO$1004,1,MATCH(COLUMNS($AN$1006:BN1006),$AN$1006:$BO$1006,0)))),"Fix")))</f>
        <v>0</v>
      </c>
      <c r="AC478" s="4">
        <f>IF(OR(INDEX($AH$2:$AH$1001,MATCH(ROWS($AG$2:AG478),$AG$2:$AG$1001,0),1)&gt;=100000,INDEX($AN$1005:$BO$1005,1,MATCH(COLUMNS($AN$1006:BO1006),$AN$1006:$BO$1006,0))&gt;=100000), " ",IF(INDEX($AN$2:$BO$1001,MATCH(ROWS($AG$2:AG478),$AG$2:$AG$1001,0),MATCH(COLUMNS($AN$1006:BO1006),$AN$1006:$BO$1006,0)), HYPERLINK("#",""), HYPERLINK(CONCATENATE("#Metadata!", ADDRESS(INDEX($AI$2:$AI$1001,MATCH(ROWS($AG$2:AG478),$AG$2:$AG$1001,0),0), INDEX($AN$1004:$BO$1004,1,MATCH(COLUMNS($AN$1006:BO1006),$AN$1006:$BO$1006,0)))),"Fix")))</f>
        <v>0</v>
      </c>
      <c r="AG478">
        <v>0</v>
      </c>
      <c r="AH478">
        <v>0</v>
      </c>
      <c r="AI478">
        <v>0</v>
      </c>
      <c r="AJ478">
        <f>IF(AK478,TRUE,AND(AN478:BO478))</f>
        <v>0</v>
      </c>
      <c r="AK478">
        <f>COUNTBLANK(Metadata!B478:AC478)=COLUMNS(Metadata!B478:AC478)</f>
        <v>0</v>
      </c>
      <c r="AL478">
        <v>0</v>
      </c>
      <c r="AN478">
        <f>AND(IF(Metadata!B478="",FALSE,TRUE),COUNTIF(Metadata!B:B, Metadata!B478) = 1,NOT(ISERROR(SUMPRODUCT(SEARCH(MID(Metadata!B478,ROW(INDIRECT("1:"&amp;LEN(Metadata!B478))), 1),"0123456789abcdefghijklmnopqrstuvwxyzABCDEFGHIJKLMNOPQRSTUVWXYZ.")))))</f>
        <v>0</v>
      </c>
      <c r="AO478">
        <f>IF(Metadata!C478="",FALSE,TRUE)</f>
        <v>0</v>
      </c>
      <c r="AP478">
        <f>IF(Metadata!D478="",FALSE,TRUE)</f>
        <v>0</v>
      </c>
      <c r="AQ478">
        <f>OR(AND(IF(Metadata!E478="",FALSE,TRUE),OR(exact(Metadata!E478,"not collected"),exact(Metadata!E478,"not provided"),exact(Metadata!E478,"restricted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R478">
        <f>IF(Metadata!F478="",FALSE,TRUE)</f>
        <v>0</v>
      </c>
      <c r="AS478">
        <f>OR(AND(IF(Metadata!G478="",FALSE,TRUE),OR(exact(Metadata!G478,"not collected"),exact(Metadata!G478,"not provided"))),AND(IF(Metadata!G478="",FALSE,TRUE),OR(exact(Metadata!G478,"TRUE"),exact(Metadata!G478,"FALSE"))))</f>
        <v>0</v>
      </c>
      <c r="AT478">
        <f>OR(AND(IF(Metadata!H478="",FALSE,TRUE),OR(exact(Metadata!H478,"not collected"),exact(Metadata!H478,"not provided"),exact(Metadata!H478,"restricted access"))),AND(IF(Metadata!H478="",FALSE,ISNUMBER(VALUE(Metadata!H478))),Metadata!H478&gt;=-413.0))</f>
        <v>0</v>
      </c>
      <c r="AU478">
        <f>AND(IF(Metadata!I478="",FALSE,TRUE),exact(Metadata!I478,"meters"))</f>
        <v>0</v>
      </c>
      <c r="AV478">
        <f>AND(IF(Metadata!J478="",FALSE,TRUE),OR(exact(Metadata!J478,"Host-associated"),exact(Metadata!J478,"Free-living")))</f>
        <v>0</v>
      </c>
      <c r="AW478">
        <f>AND(IF(Metadata!K478="",FALSE,TRUE),OR(exact(Metadata!K478,"Animal"),exact(Metadata!K478,"Fungus"),exact(Metadata!K478,"Plant"),exact(Metadata!K478,"Saline"),exact(Metadata!K478,"Non-saline")))</f>
        <v>0</v>
      </c>
      <c r="AX478">
        <f>AND(IF(Metadata!L478="",FALSE,TRUE),OR(exact(Metadata!L478,"Plant secretion"),exact(Metadata!L478,"Plant rhizosphere"),exact(Metadata!L478,"Plant surface"),exact(Metadata!L478,"Plant corpus"),exact(Metadata!L478,"Fungus surface"),exact(Metadata!L478,"Fungus corpus"),exact(Metadata!L478,"Animal surface"),exact(Metadata!L478,"Animal proximal gut"),exact(Metadata!L478,"Animal corpus"),exact(Metadata!L478,"Animal distal gut"),exact(Metadata!L478,"Animal secretion"),exact(Metadata!L478,"Sub-surface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Y478">
        <f>IF(Metadata!M478="",FALSE,TRUE)</f>
        <v>0</v>
      </c>
      <c r="AZ478">
        <f>IF(Metadata!N478="",FALSE,TRUE)</f>
        <v>0</v>
      </c>
      <c r="BA478">
        <f>IF(Metadata!O478="",FALSE,TRUE)</f>
        <v>0</v>
      </c>
      <c r="BB478">
        <f>OR(AND(IF(Metadata!P478="",FALSE,TRUE),OR(exact(Metadata!P478,"not collected"),exact(Metadata!P478,"not provided"),exact(Metadata!P478,"restricted access"))),AND(IF(Metadata!P478="",FALSE,TRUE),OR(exact(Metadata!P478,"air"),exact(Metadata!P478,"built environment"),exact(Metadata!P478,"host-associated"),exact(Metadata!P478,"human-associated"),exact(Metadata!P478,"human-skin"),exact(Metadata!P478,"human-oral"),exact(Metadata!P478,"human-gut"),exact(Metadata!P478,"human-vaginal"),exact(Metadata!P478,"microbial mat/biofilm"),exact(Metadata!P478,"misc environment"),exact(Metadata!P478,"plant-associated"),exact(Metadata!P478,"sediment"),exact(Metadata!P478,"soil"),exact(Metadata!P478,"wastewater/sludge"),exact(Metadata!P478,"water"))))</f>
        <v>0</v>
      </c>
      <c r="BC478">
        <f>IF(Metadata!Q478="",FALSE,TRUE)</f>
        <v>0</v>
      </c>
      <c r="BD478">
        <f>IF(Metadata!R478="",FALSE,TRUE)</f>
        <v>0</v>
      </c>
      <c r="BE478">
        <f>OR(AND(IF(Metadata!S478="",FALSE,TRUE),OR(exact(Metadata!S478,"not collected"),exact(Metadata!S478,"not provided"),exact(Metadata!S478,"restricted access"))),AND(IF(Metadata!S478="",FALSE,ISNUMBER(VALUE(Metadata!S478))),Metadata!S478&gt;=-90.00,Metadata!S478&lt;=90.00))</f>
        <v>0</v>
      </c>
      <c r="BF478">
        <f>AND(IF(Metadata!T478="",FALSE,TRUE),exact(Metadata!T478,"Decimal degrees"))</f>
        <v>0</v>
      </c>
      <c r="BG478">
        <f>OR(AND(IF(Metadata!U478="",FALSE,TRUE),OR(exact(Metadata!U478,"not collected"),exact(Metadata!U478,"not provided"),exact(Metadata!U478,"restricted access"))),AND(IF(Metadata!U478="",FALSE,ISNUMBER(VALUE(Metadata!U478))),Metadata!U478&gt;=-180.00,Metadata!U478&lt;=180.00))</f>
        <v>0</v>
      </c>
      <c r="BH478">
        <f>AND(IF(Metadata!V478="",FALSE,TRUE),exact(Metadata!V478,"Decimal degrees"))</f>
        <v>0</v>
      </c>
      <c r="BI478">
        <f>IF(Metadata!W478="",FALSE,TRUE)</f>
        <v>0</v>
      </c>
      <c r="BJ478">
        <f>OR(AND(IF(Metadata!X478="",FALSE,TRUE),OR(exact(Metadata!X478,"not collected"),exact(Metadata!X478,"not provided"),exact(Metadata!X478,"restricted access"))),AND(IF(Metadata!X478="",FALSE,TRUE),OR(exact(Metadata!X478,"TRUE"),exact(Metadata!X478,"FALSE"))))</f>
        <v>0</v>
      </c>
      <c r="BK478">
        <f>AND(IF(Metadata!Y478="",FALSE,TRUE),exact(Metadata!Y478,"other"))</f>
        <v>0</v>
      </c>
      <c r="BL478">
        <f>IF(Metadata!Z478="",FALSE,TRUE)</f>
        <v>0</v>
      </c>
      <c r="BM478">
        <f>OR(AND(IF(Metadata!AA478="",FALSE,TRUE),OR(exact(Metadata!AA478,"not collected"),exact(Metadata!AA478,"not provided"))),AND(IF(Metadata!AA478="",FALSE,IF(ISERROR(INT(Metadata!AA478)),FALSE,INT(Metadata!AA478)=Metadata!AA478)),Metadata!AA478&gt;0))</f>
        <v>0</v>
      </c>
      <c r="BN478">
        <f>AND(IF(Metadata!AB478="",FALSE,TRUE),exact(Metadata!AB478,"Not applicable"))</f>
        <v>0</v>
      </c>
      <c r="BO478">
        <f>IF(Metadata!AC478="",FALSE,TRUE)</f>
        <v>0</v>
      </c>
    </row>
    <row r="479" spans="1:67">
      <c r="A479" s="5">
        <f>IF(B479=" "," ",HYPERLINK(CONCATENATE("#metadata!",ADDRESS(INDEX($AI$2:$AI$1001,MATCH(ROWS($AG$2:AG479),$AG$2:$AG$1001,0),0),1)),INDEX($AL$2:$AL$1001,MATCH(ROWS($AG$2:AG479),$AG$2:$AG$1001,0),0)))</f>
        <v>0</v>
      </c>
      <c r="B479" s="4">
        <f>IF(OR(INDEX($AH$2:$AH$1001,MATCH(ROWS($AG$2:AG479),$AG$2:$AG$1001,0),1)&gt;=100000,INDEX($AN$1005:$BO$1005,1,MATCH(COLUMNS($AN$1006:AN1006),$AN$1006:$BO$1006,0))&gt;=100000), " ",IF(INDEX($AN$2:$BO$1001,MATCH(ROWS($AG$2:AG479),$AG$2:$AG$1001,0),MATCH(COLUMNS($AN$1006:AN1006),$AN$1006:$BO$1006,0)), HYPERLINK("#",""), HYPERLINK(CONCATENATE("#Metadata!", ADDRESS(INDEX($AI$2:$AI$1001,MATCH(ROWS($AG$2:AG479),$AG$2:$AG$1001,0),0), INDEX($AN$1004:$BO$1004,1,MATCH(COLUMNS($AN$1006:AN1006),$AN$1006:$BO$1006,0)))),"Fix")))</f>
        <v>0</v>
      </c>
      <c r="C479" s="4">
        <f>IF(OR(INDEX($AH$2:$AH$1001,MATCH(ROWS($AG$2:AG479),$AG$2:$AG$1001,0),1)&gt;=100000,INDEX($AN$1005:$BO$1005,1,MATCH(COLUMNS($AN$1006:AO1006),$AN$1006:$BO$1006,0))&gt;=100000), " ",IF(INDEX($AN$2:$BO$1001,MATCH(ROWS($AG$2:AG479),$AG$2:$AG$1001,0),MATCH(COLUMNS($AN$1006:AO1006),$AN$1006:$BO$1006,0)), HYPERLINK("#",""), HYPERLINK(CONCATENATE("#Metadata!", ADDRESS(INDEX($AI$2:$AI$1001,MATCH(ROWS($AG$2:AG479),$AG$2:$AG$1001,0),0), INDEX($AN$1004:$BO$1004,1,MATCH(COLUMNS($AN$1006:AO1006),$AN$1006:$BO$1006,0)))),"Fix")))</f>
        <v>0</v>
      </c>
      <c r="D479" s="4">
        <f>IF(OR(INDEX($AH$2:$AH$1001,MATCH(ROWS($AG$2:AG479),$AG$2:$AG$1001,0),1)&gt;=100000,INDEX($AN$1005:$BO$1005,1,MATCH(COLUMNS($AN$1006:AP1006),$AN$1006:$BO$1006,0))&gt;=100000), " ",IF(INDEX($AN$2:$BO$1001,MATCH(ROWS($AG$2:AG479),$AG$2:$AG$1001,0),MATCH(COLUMNS($AN$1006:AP1006),$AN$1006:$BO$1006,0)), HYPERLINK("#",""), HYPERLINK(CONCATENATE("#Metadata!", ADDRESS(INDEX($AI$2:$AI$1001,MATCH(ROWS($AG$2:AG479),$AG$2:$AG$1001,0),0), INDEX($AN$1004:$BO$1004,1,MATCH(COLUMNS($AN$1006:AP1006),$AN$1006:$BO$1006,0)))),"Fix")))</f>
        <v>0</v>
      </c>
      <c r="E479" s="4">
        <f>IF(OR(INDEX($AH$2:$AH$1001,MATCH(ROWS($AG$2:AG479),$AG$2:$AG$1001,0),1)&gt;=100000,INDEX($AN$1005:$BO$1005,1,MATCH(COLUMNS($AN$1006:AQ1006),$AN$1006:$BO$1006,0))&gt;=100000), " ",IF(INDEX($AN$2:$BO$1001,MATCH(ROWS($AG$2:AG479),$AG$2:$AG$1001,0),MATCH(COLUMNS($AN$1006:AQ1006),$AN$1006:$BO$1006,0)), HYPERLINK("#",""), HYPERLINK(CONCATENATE("#Metadata!", ADDRESS(INDEX($AI$2:$AI$1001,MATCH(ROWS($AG$2:AG479),$AG$2:$AG$1001,0),0), INDEX($AN$1004:$BO$1004,1,MATCH(COLUMNS($AN$1006:AQ1006),$AN$1006:$BO$1006,0)))),"Fix")))</f>
        <v>0</v>
      </c>
      <c r="F479" s="4">
        <f>IF(OR(INDEX($AH$2:$AH$1001,MATCH(ROWS($AG$2:AG479),$AG$2:$AG$1001,0),1)&gt;=100000,INDEX($AN$1005:$BO$1005,1,MATCH(COLUMNS($AN$1006:AR1006),$AN$1006:$BO$1006,0))&gt;=100000), " ",IF(INDEX($AN$2:$BO$1001,MATCH(ROWS($AG$2:AG479),$AG$2:$AG$1001,0),MATCH(COLUMNS($AN$1006:AR1006),$AN$1006:$BO$1006,0)), HYPERLINK("#",""), HYPERLINK(CONCATENATE("#Metadata!", ADDRESS(INDEX($AI$2:$AI$1001,MATCH(ROWS($AG$2:AG479),$AG$2:$AG$1001,0),0), INDEX($AN$1004:$BO$1004,1,MATCH(COLUMNS($AN$1006:AR1006),$AN$1006:$BO$1006,0)))),"Fix")))</f>
        <v>0</v>
      </c>
      <c r="G479" s="4">
        <f>IF(OR(INDEX($AH$2:$AH$1001,MATCH(ROWS($AG$2:AG479),$AG$2:$AG$1001,0),1)&gt;=100000,INDEX($AN$1005:$BO$1005,1,MATCH(COLUMNS($AN$1006:AS1006),$AN$1006:$BO$1006,0))&gt;=100000), " ",IF(INDEX($AN$2:$BO$1001,MATCH(ROWS($AG$2:AG479),$AG$2:$AG$1001,0),MATCH(COLUMNS($AN$1006:AS1006),$AN$1006:$BO$1006,0)), HYPERLINK("#",""), HYPERLINK(CONCATENATE("#Metadata!", ADDRESS(INDEX($AI$2:$AI$1001,MATCH(ROWS($AG$2:AG479),$AG$2:$AG$1001,0),0), INDEX($AN$1004:$BO$1004,1,MATCH(COLUMNS($AN$1006:AS1006),$AN$1006:$BO$1006,0)))),"Fix")))</f>
        <v>0</v>
      </c>
      <c r="H479" s="4">
        <f>IF(OR(INDEX($AH$2:$AH$1001,MATCH(ROWS($AG$2:AG479),$AG$2:$AG$1001,0),1)&gt;=100000,INDEX($AN$1005:$BO$1005,1,MATCH(COLUMNS($AN$1006:AT1006),$AN$1006:$BO$1006,0))&gt;=100000), " ",IF(INDEX($AN$2:$BO$1001,MATCH(ROWS($AG$2:AG479),$AG$2:$AG$1001,0),MATCH(COLUMNS($AN$1006:AT1006),$AN$1006:$BO$1006,0)), HYPERLINK("#",""), HYPERLINK(CONCATENATE("#Metadata!", ADDRESS(INDEX($AI$2:$AI$1001,MATCH(ROWS($AG$2:AG479),$AG$2:$AG$1001,0),0), INDEX($AN$1004:$BO$1004,1,MATCH(COLUMNS($AN$1006:AT1006),$AN$1006:$BO$1006,0)))),"Fix")))</f>
        <v>0</v>
      </c>
      <c r="I479" s="4">
        <f>IF(OR(INDEX($AH$2:$AH$1001,MATCH(ROWS($AG$2:AG479),$AG$2:$AG$1001,0),1)&gt;=100000,INDEX($AN$1005:$BO$1005,1,MATCH(COLUMNS($AN$1006:AU1006),$AN$1006:$BO$1006,0))&gt;=100000), " ",IF(INDEX($AN$2:$BO$1001,MATCH(ROWS($AG$2:AG479),$AG$2:$AG$1001,0),MATCH(COLUMNS($AN$1006:AU1006),$AN$1006:$BO$1006,0)), HYPERLINK("#",""), HYPERLINK(CONCATENATE("#Metadata!", ADDRESS(INDEX($AI$2:$AI$1001,MATCH(ROWS($AG$2:AG479),$AG$2:$AG$1001,0),0), INDEX($AN$1004:$BO$1004,1,MATCH(COLUMNS($AN$1006:AU1006),$AN$1006:$BO$1006,0)))),"Fix")))</f>
        <v>0</v>
      </c>
      <c r="J479" s="4">
        <f>IF(OR(INDEX($AH$2:$AH$1001,MATCH(ROWS($AG$2:AG479),$AG$2:$AG$1001,0),1)&gt;=100000,INDEX($AN$1005:$BO$1005,1,MATCH(COLUMNS($AN$1006:AV1006),$AN$1006:$BO$1006,0))&gt;=100000), " ",IF(INDEX($AN$2:$BO$1001,MATCH(ROWS($AG$2:AG479),$AG$2:$AG$1001,0),MATCH(COLUMNS($AN$1006:AV1006),$AN$1006:$BO$1006,0)), HYPERLINK("#",""), HYPERLINK(CONCATENATE("#Metadata!", ADDRESS(INDEX($AI$2:$AI$1001,MATCH(ROWS($AG$2:AG479),$AG$2:$AG$1001,0),0), INDEX($AN$1004:$BO$1004,1,MATCH(COLUMNS($AN$1006:AV1006),$AN$1006:$BO$1006,0)))),"Fix")))</f>
        <v>0</v>
      </c>
      <c r="K479" s="4">
        <f>IF(OR(INDEX($AH$2:$AH$1001,MATCH(ROWS($AG$2:AG479),$AG$2:$AG$1001,0),1)&gt;=100000,INDEX($AN$1005:$BO$1005,1,MATCH(COLUMNS($AN$1006:AW1006),$AN$1006:$BO$1006,0))&gt;=100000), " ",IF(INDEX($AN$2:$BO$1001,MATCH(ROWS($AG$2:AG479),$AG$2:$AG$1001,0),MATCH(COLUMNS($AN$1006:AW1006),$AN$1006:$BO$1006,0)), HYPERLINK("#",""), HYPERLINK(CONCATENATE("#Metadata!", ADDRESS(INDEX($AI$2:$AI$1001,MATCH(ROWS($AG$2:AG479),$AG$2:$AG$1001,0),0), INDEX($AN$1004:$BO$1004,1,MATCH(COLUMNS($AN$1006:AW1006),$AN$1006:$BO$1006,0)))),"Fix")))</f>
        <v>0</v>
      </c>
      <c r="L479" s="4">
        <f>IF(OR(INDEX($AH$2:$AH$1001,MATCH(ROWS($AG$2:AG479),$AG$2:$AG$1001,0),1)&gt;=100000,INDEX($AN$1005:$BO$1005,1,MATCH(COLUMNS($AN$1006:AX1006),$AN$1006:$BO$1006,0))&gt;=100000), " ",IF(INDEX($AN$2:$BO$1001,MATCH(ROWS($AG$2:AG479),$AG$2:$AG$1001,0),MATCH(COLUMNS($AN$1006:AX1006),$AN$1006:$BO$1006,0)), HYPERLINK("#",""), HYPERLINK(CONCATENATE("#Metadata!", ADDRESS(INDEX($AI$2:$AI$1001,MATCH(ROWS($AG$2:AG479),$AG$2:$AG$1001,0),0), INDEX($AN$1004:$BO$1004,1,MATCH(COLUMNS($AN$1006:AX1006),$AN$1006:$BO$1006,0)))),"Fix")))</f>
        <v>0</v>
      </c>
      <c r="M479" s="4">
        <f>IF(OR(INDEX($AH$2:$AH$1001,MATCH(ROWS($AG$2:AG479),$AG$2:$AG$1001,0),1)&gt;=100000,INDEX($AN$1005:$BO$1005,1,MATCH(COLUMNS($AN$1006:AY1006),$AN$1006:$BO$1006,0))&gt;=100000), " ",IF(INDEX($AN$2:$BO$1001,MATCH(ROWS($AG$2:AG479),$AG$2:$AG$1001,0),MATCH(COLUMNS($AN$1006:AY1006),$AN$1006:$BO$1006,0)), HYPERLINK("#",""), HYPERLINK(CONCATENATE("#Metadata!", ADDRESS(INDEX($AI$2:$AI$1001,MATCH(ROWS($AG$2:AG479),$AG$2:$AG$1001,0),0), INDEX($AN$1004:$BO$1004,1,MATCH(COLUMNS($AN$1006:AY1006),$AN$1006:$BO$1006,0)))),"Fix")))</f>
        <v>0</v>
      </c>
      <c r="N479" s="4">
        <f>IF(OR(INDEX($AH$2:$AH$1001,MATCH(ROWS($AG$2:AG479),$AG$2:$AG$1001,0),1)&gt;=100000,INDEX($AN$1005:$BO$1005,1,MATCH(COLUMNS($AN$1006:AZ1006),$AN$1006:$BO$1006,0))&gt;=100000), " ",IF(INDEX($AN$2:$BO$1001,MATCH(ROWS($AG$2:AG479),$AG$2:$AG$1001,0),MATCH(COLUMNS($AN$1006:AZ1006),$AN$1006:$BO$1006,0)), HYPERLINK("#",""), HYPERLINK(CONCATENATE("#Metadata!", ADDRESS(INDEX($AI$2:$AI$1001,MATCH(ROWS($AG$2:AG479),$AG$2:$AG$1001,0),0), INDEX($AN$1004:$BO$1004,1,MATCH(COLUMNS($AN$1006:AZ1006),$AN$1006:$BO$1006,0)))),"Fix")))</f>
        <v>0</v>
      </c>
      <c r="O479" s="4">
        <f>IF(OR(INDEX($AH$2:$AH$1001,MATCH(ROWS($AG$2:AG479),$AG$2:$AG$1001,0),1)&gt;=100000,INDEX($AN$1005:$BO$1005,1,MATCH(COLUMNS($AN$1006:BA1006),$AN$1006:$BO$1006,0))&gt;=100000), " ",IF(INDEX($AN$2:$BO$1001,MATCH(ROWS($AG$2:AG479),$AG$2:$AG$1001,0),MATCH(COLUMNS($AN$1006:BA1006),$AN$1006:$BO$1006,0)), HYPERLINK("#",""), HYPERLINK(CONCATENATE("#Metadata!", ADDRESS(INDEX($AI$2:$AI$1001,MATCH(ROWS($AG$2:AG479),$AG$2:$AG$1001,0),0), INDEX($AN$1004:$BO$1004,1,MATCH(COLUMNS($AN$1006:BA1006),$AN$1006:$BO$1006,0)))),"Fix")))</f>
        <v>0</v>
      </c>
      <c r="P479" s="4">
        <f>IF(OR(INDEX($AH$2:$AH$1001,MATCH(ROWS($AG$2:AG479),$AG$2:$AG$1001,0),1)&gt;=100000,INDEX($AN$1005:$BO$1005,1,MATCH(COLUMNS($AN$1006:BB1006),$AN$1006:$BO$1006,0))&gt;=100000), " ",IF(INDEX($AN$2:$BO$1001,MATCH(ROWS($AG$2:AG479),$AG$2:$AG$1001,0),MATCH(COLUMNS($AN$1006:BB1006),$AN$1006:$BO$1006,0)), HYPERLINK("#",""), HYPERLINK(CONCATENATE("#Metadata!", ADDRESS(INDEX($AI$2:$AI$1001,MATCH(ROWS($AG$2:AG479),$AG$2:$AG$1001,0),0), INDEX($AN$1004:$BO$1004,1,MATCH(COLUMNS($AN$1006:BB1006),$AN$1006:$BO$1006,0)))),"Fix")))</f>
        <v>0</v>
      </c>
      <c r="Q479" s="4">
        <f>IF(OR(INDEX($AH$2:$AH$1001,MATCH(ROWS($AG$2:AG479),$AG$2:$AG$1001,0),1)&gt;=100000,INDEX($AN$1005:$BO$1005,1,MATCH(COLUMNS($AN$1006:BC1006),$AN$1006:$BO$1006,0))&gt;=100000), " ",IF(INDEX($AN$2:$BO$1001,MATCH(ROWS($AG$2:AG479),$AG$2:$AG$1001,0),MATCH(COLUMNS($AN$1006:BC1006),$AN$1006:$BO$1006,0)), HYPERLINK("#",""), HYPERLINK(CONCATENATE("#Metadata!", ADDRESS(INDEX($AI$2:$AI$1001,MATCH(ROWS($AG$2:AG479),$AG$2:$AG$1001,0),0), INDEX($AN$1004:$BO$1004,1,MATCH(COLUMNS($AN$1006:BC1006),$AN$1006:$BO$1006,0)))),"Fix")))</f>
        <v>0</v>
      </c>
      <c r="R479" s="4">
        <f>IF(OR(INDEX($AH$2:$AH$1001,MATCH(ROWS($AG$2:AG479),$AG$2:$AG$1001,0),1)&gt;=100000,INDEX($AN$1005:$BO$1005,1,MATCH(COLUMNS($AN$1006:BD1006),$AN$1006:$BO$1006,0))&gt;=100000), " ",IF(INDEX($AN$2:$BO$1001,MATCH(ROWS($AG$2:AG479),$AG$2:$AG$1001,0),MATCH(COLUMNS($AN$1006:BD1006),$AN$1006:$BO$1006,0)), HYPERLINK("#",""), HYPERLINK(CONCATENATE("#Metadata!", ADDRESS(INDEX($AI$2:$AI$1001,MATCH(ROWS($AG$2:AG479),$AG$2:$AG$1001,0),0), INDEX($AN$1004:$BO$1004,1,MATCH(COLUMNS($AN$1006:BD1006),$AN$1006:$BO$1006,0)))),"Fix")))</f>
        <v>0</v>
      </c>
      <c r="S479" s="4">
        <f>IF(OR(INDEX($AH$2:$AH$1001,MATCH(ROWS($AG$2:AG479),$AG$2:$AG$1001,0),1)&gt;=100000,INDEX($AN$1005:$BO$1005,1,MATCH(COLUMNS($AN$1006:BE1006),$AN$1006:$BO$1006,0))&gt;=100000), " ",IF(INDEX($AN$2:$BO$1001,MATCH(ROWS($AG$2:AG479),$AG$2:$AG$1001,0),MATCH(COLUMNS($AN$1006:BE1006),$AN$1006:$BO$1006,0)), HYPERLINK("#",""), HYPERLINK(CONCATENATE("#Metadata!", ADDRESS(INDEX($AI$2:$AI$1001,MATCH(ROWS($AG$2:AG479),$AG$2:$AG$1001,0),0), INDEX($AN$1004:$BO$1004,1,MATCH(COLUMNS($AN$1006:BE1006),$AN$1006:$BO$1006,0)))),"Fix")))</f>
        <v>0</v>
      </c>
      <c r="T479" s="4">
        <f>IF(OR(INDEX($AH$2:$AH$1001,MATCH(ROWS($AG$2:AG479),$AG$2:$AG$1001,0),1)&gt;=100000,INDEX($AN$1005:$BO$1005,1,MATCH(COLUMNS($AN$1006:BF1006),$AN$1006:$BO$1006,0))&gt;=100000), " ",IF(INDEX($AN$2:$BO$1001,MATCH(ROWS($AG$2:AG479),$AG$2:$AG$1001,0),MATCH(COLUMNS($AN$1006:BF1006),$AN$1006:$BO$1006,0)), HYPERLINK("#",""), HYPERLINK(CONCATENATE("#Metadata!", ADDRESS(INDEX($AI$2:$AI$1001,MATCH(ROWS($AG$2:AG479),$AG$2:$AG$1001,0),0), INDEX($AN$1004:$BO$1004,1,MATCH(COLUMNS($AN$1006:BF1006),$AN$1006:$BO$1006,0)))),"Fix")))</f>
        <v>0</v>
      </c>
      <c r="U479" s="4">
        <f>IF(OR(INDEX($AH$2:$AH$1001,MATCH(ROWS($AG$2:AG479),$AG$2:$AG$1001,0),1)&gt;=100000,INDEX($AN$1005:$BO$1005,1,MATCH(COLUMNS($AN$1006:BG1006),$AN$1006:$BO$1006,0))&gt;=100000), " ",IF(INDEX($AN$2:$BO$1001,MATCH(ROWS($AG$2:AG479),$AG$2:$AG$1001,0),MATCH(COLUMNS($AN$1006:BG1006),$AN$1006:$BO$1006,0)), HYPERLINK("#",""), HYPERLINK(CONCATENATE("#Metadata!", ADDRESS(INDEX($AI$2:$AI$1001,MATCH(ROWS($AG$2:AG479),$AG$2:$AG$1001,0),0), INDEX($AN$1004:$BO$1004,1,MATCH(COLUMNS($AN$1006:BG1006),$AN$1006:$BO$1006,0)))),"Fix")))</f>
        <v>0</v>
      </c>
      <c r="V479" s="4">
        <f>IF(OR(INDEX($AH$2:$AH$1001,MATCH(ROWS($AG$2:AG479),$AG$2:$AG$1001,0),1)&gt;=100000,INDEX($AN$1005:$BO$1005,1,MATCH(COLUMNS($AN$1006:BH1006),$AN$1006:$BO$1006,0))&gt;=100000), " ",IF(INDEX($AN$2:$BO$1001,MATCH(ROWS($AG$2:AG479),$AG$2:$AG$1001,0),MATCH(COLUMNS($AN$1006:BH1006),$AN$1006:$BO$1006,0)), HYPERLINK("#",""), HYPERLINK(CONCATENATE("#Metadata!", ADDRESS(INDEX($AI$2:$AI$1001,MATCH(ROWS($AG$2:AG479),$AG$2:$AG$1001,0),0), INDEX($AN$1004:$BO$1004,1,MATCH(COLUMNS($AN$1006:BH1006),$AN$1006:$BO$1006,0)))),"Fix")))</f>
        <v>0</v>
      </c>
      <c r="W479" s="4">
        <f>IF(OR(INDEX($AH$2:$AH$1001,MATCH(ROWS($AG$2:AG479),$AG$2:$AG$1001,0),1)&gt;=100000,INDEX($AN$1005:$BO$1005,1,MATCH(COLUMNS($AN$1006:BI1006),$AN$1006:$BO$1006,0))&gt;=100000), " ",IF(INDEX($AN$2:$BO$1001,MATCH(ROWS($AG$2:AG479),$AG$2:$AG$1001,0),MATCH(COLUMNS($AN$1006:BI1006),$AN$1006:$BO$1006,0)), HYPERLINK("#",""), HYPERLINK(CONCATENATE("#Metadata!", ADDRESS(INDEX($AI$2:$AI$1001,MATCH(ROWS($AG$2:AG479),$AG$2:$AG$1001,0),0), INDEX($AN$1004:$BO$1004,1,MATCH(COLUMNS($AN$1006:BI1006),$AN$1006:$BO$1006,0)))),"Fix")))</f>
        <v>0</v>
      </c>
      <c r="X479" s="4">
        <f>IF(OR(INDEX($AH$2:$AH$1001,MATCH(ROWS($AG$2:AG479),$AG$2:$AG$1001,0),1)&gt;=100000,INDEX($AN$1005:$BO$1005,1,MATCH(COLUMNS($AN$1006:BJ1006),$AN$1006:$BO$1006,0))&gt;=100000), " ",IF(INDEX($AN$2:$BO$1001,MATCH(ROWS($AG$2:AG479),$AG$2:$AG$1001,0),MATCH(COLUMNS($AN$1006:BJ1006),$AN$1006:$BO$1006,0)), HYPERLINK("#",""), HYPERLINK(CONCATENATE("#Metadata!", ADDRESS(INDEX($AI$2:$AI$1001,MATCH(ROWS($AG$2:AG479),$AG$2:$AG$1001,0),0), INDEX($AN$1004:$BO$1004,1,MATCH(COLUMNS($AN$1006:BJ1006),$AN$1006:$BO$1006,0)))),"Fix")))</f>
        <v>0</v>
      </c>
      <c r="Y479" s="4">
        <f>IF(OR(INDEX($AH$2:$AH$1001,MATCH(ROWS($AG$2:AG479),$AG$2:$AG$1001,0),1)&gt;=100000,INDEX($AN$1005:$BO$1005,1,MATCH(COLUMNS($AN$1006:BK1006),$AN$1006:$BO$1006,0))&gt;=100000), " ",IF(INDEX($AN$2:$BO$1001,MATCH(ROWS($AG$2:AG479),$AG$2:$AG$1001,0),MATCH(COLUMNS($AN$1006:BK1006),$AN$1006:$BO$1006,0)), HYPERLINK("#",""), HYPERLINK(CONCATENATE("#Metadata!", ADDRESS(INDEX($AI$2:$AI$1001,MATCH(ROWS($AG$2:AG479),$AG$2:$AG$1001,0),0), INDEX($AN$1004:$BO$1004,1,MATCH(COLUMNS($AN$1006:BK1006),$AN$1006:$BO$1006,0)))),"Fix")))</f>
        <v>0</v>
      </c>
      <c r="Z479" s="4">
        <f>IF(OR(INDEX($AH$2:$AH$1001,MATCH(ROWS($AG$2:AG479),$AG$2:$AG$1001,0),1)&gt;=100000,INDEX($AN$1005:$BO$1005,1,MATCH(COLUMNS($AN$1006:BL1006),$AN$1006:$BO$1006,0))&gt;=100000), " ",IF(INDEX($AN$2:$BO$1001,MATCH(ROWS($AG$2:AG479),$AG$2:$AG$1001,0),MATCH(COLUMNS($AN$1006:BL1006),$AN$1006:$BO$1006,0)), HYPERLINK("#",""), HYPERLINK(CONCATENATE("#Metadata!", ADDRESS(INDEX($AI$2:$AI$1001,MATCH(ROWS($AG$2:AG479),$AG$2:$AG$1001,0),0), INDEX($AN$1004:$BO$1004,1,MATCH(COLUMNS($AN$1006:BL1006),$AN$1006:$BO$1006,0)))),"Fix")))</f>
        <v>0</v>
      </c>
      <c r="AA479" s="4">
        <f>IF(OR(INDEX($AH$2:$AH$1001,MATCH(ROWS($AG$2:AG479),$AG$2:$AG$1001,0),1)&gt;=100000,INDEX($AN$1005:$BO$1005,1,MATCH(COLUMNS($AN$1006:BM1006),$AN$1006:$BO$1006,0))&gt;=100000), " ",IF(INDEX($AN$2:$BO$1001,MATCH(ROWS($AG$2:AG479),$AG$2:$AG$1001,0),MATCH(COLUMNS($AN$1006:BM1006),$AN$1006:$BO$1006,0)), HYPERLINK("#",""), HYPERLINK(CONCATENATE("#Metadata!", ADDRESS(INDEX($AI$2:$AI$1001,MATCH(ROWS($AG$2:AG479),$AG$2:$AG$1001,0),0), INDEX($AN$1004:$BO$1004,1,MATCH(COLUMNS($AN$1006:BM1006),$AN$1006:$BO$1006,0)))),"Fix")))</f>
        <v>0</v>
      </c>
      <c r="AB479" s="4">
        <f>IF(OR(INDEX($AH$2:$AH$1001,MATCH(ROWS($AG$2:AG479),$AG$2:$AG$1001,0),1)&gt;=100000,INDEX($AN$1005:$BO$1005,1,MATCH(COLUMNS($AN$1006:BN1006),$AN$1006:$BO$1006,0))&gt;=100000), " ",IF(INDEX($AN$2:$BO$1001,MATCH(ROWS($AG$2:AG479),$AG$2:$AG$1001,0),MATCH(COLUMNS($AN$1006:BN1006),$AN$1006:$BO$1006,0)), HYPERLINK("#",""), HYPERLINK(CONCATENATE("#Metadata!", ADDRESS(INDEX($AI$2:$AI$1001,MATCH(ROWS($AG$2:AG479),$AG$2:$AG$1001,0),0), INDEX($AN$1004:$BO$1004,1,MATCH(COLUMNS($AN$1006:BN1006),$AN$1006:$BO$1006,0)))),"Fix")))</f>
        <v>0</v>
      </c>
      <c r="AC479" s="4">
        <f>IF(OR(INDEX($AH$2:$AH$1001,MATCH(ROWS($AG$2:AG479),$AG$2:$AG$1001,0),1)&gt;=100000,INDEX($AN$1005:$BO$1005,1,MATCH(COLUMNS($AN$1006:BO1006),$AN$1006:$BO$1006,0))&gt;=100000), " ",IF(INDEX($AN$2:$BO$1001,MATCH(ROWS($AG$2:AG479),$AG$2:$AG$1001,0),MATCH(COLUMNS($AN$1006:BO1006),$AN$1006:$BO$1006,0)), HYPERLINK("#",""), HYPERLINK(CONCATENATE("#Metadata!", ADDRESS(INDEX($AI$2:$AI$1001,MATCH(ROWS($AG$2:AG479),$AG$2:$AG$1001,0),0), INDEX($AN$1004:$BO$1004,1,MATCH(COLUMNS($AN$1006:BO1006),$AN$1006:$BO$1006,0)))),"Fix")))</f>
        <v>0</v>
      </c>
      <c r="AG479">
        <v>0</v>
      </c>
      <c r="AH479">
        <v>0</v>
      </c>
      <c r="AI479">
        <v>0</v>
      </c>
      <c r="AJ479">
        <f>IF(AK479,TRUE,AND(AN479:BO479))</f>
        <v>0</v>
      </c>
      <c r="AK479">
        <f>COUNTBLANK(Metadata!B479:AC479)=COLUMNS(Metadata!B479:AC479)</f>
        <v>0</v>
      </c>
      <c r="AL479">
        <v>0</v>
      </c>
      <c r="AN479">
        <f>AND(IF(Metadata!B479="",FALSE,TRUE),COUNTIF(Metadata!B:B, Metadata!B479) = 1,NOT(ISERROR(SUMPRODUCT(SEARCH(MID(Metadata!B479,ROW(INDIRECT("1:"&amp;LEN(Metadata!B479))), 1),"0123456789abcdefghijklmnopqrstuvwxyzABCDEFGHIJKLMNOPQRSTUVWXYZ.")))))</f>
        <v>0</v>
      </c>
      <c r="AO479">
        <f>IF(Metadata!C479="",FALSE,TRUE)</f>
        <v>0</v>
      </c>
      <c r="AP479">
        <f>IF(Metadata!D479="",FALSE,TRUE)</f>
        <v>0</v>
      </c>
      <c r="AQ479">
        <f>OR(AND(IF(Metadata!E479="",FALSE,TRUE),OR(exact(Metadata!E479,"not collected"),exact(Metadata!E479,"not provided"),exact(Metadata!E479,"restricted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R479">
        <f>IF(Metadata!F479="",FALSE,TRUE)</f>
        <v>0</v>
      </c>
      <c r="AS479">
        <f>OR(AND(IF(Metadata!G479="",FALSE,TRUE),OR(exact(Metadata!G479,"not collected"),exact(Metadata!G479,"not provided"))),AND(IF(Metadata!G479="",FALSE,TRUE),OR(exact(Metadata!G479,"TRUE"),exact(Metadata!G479,"FALSE"))))</f>
        <v>0</v>
      </c>
      <c r="AT479">
        <f>OR(AND(IF(Metadata!H479="",FALSE,TRUE),OR(exact(Metadata!H479,"not collected"),exact(Metadata!H479,"not provided"),exact(Metadata!H479,"restricted access"))),AND(IF(Metadata!H479="",FALSE,ISNUMBER(VALUE(Metadata!H479))),Metadata!H479&gt;=-413.0))</f>
        <v>0</v>
      </c>
      <c r="AU479">
        <f>AND(IF(Metadata!I479="",FALSE,TRUE),exact(Metadata!I479,"meters"))</f>
        <v>0</v>
      </c>
      <c r="AV479">
        <f>AND(IF(Metadata!J479="",FALSE,TRUE),OR(exact(Metadata!J479,"Host-associated"),exact(Metadata!J479,"Free-living")))</f>
        <v>0</v>
      </c>
      <c r="AW479">
        <f>AND(IF(Metadata!K479="",FALSE,TRUE),OR(exact(Metadata!K479,"Animal"),exact(Metadata!K479,"Fungus"),exact(Metadata!K479,"Plant"),exact(Metadata!K479,"Saline"),exact(Metadata!K479,"Non-saline")))</f>
        <v>0</v>
      </c>
      <c r="AX479">
        <f>AND(IF(Metadata!L479="",FALSE,TRUE),OR(exact(Metadata!L479,"Plant secretion"),exact(Metadata!L479,"Plant rhizosphere"),exact(Metadata!L479,"Plant surface"),exact(Metadata!L479,"Plant corpus"),exact(Metadata!L479,"Fungus surface"),exact(Metadata!L479,"Fungus corpus"),exact(Metadata!L479,"Animal surface"),exact(Metadata!L479,"Animal proximal gut"),exact(Metadata!L479,"Animal corpus"),exact(Metadata!L479,"Animal distal gut"),exact(Metadata!L479,"Animal secretion"),exact(Metadata!L479,"Sub-surface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Y479">
        <f>IF(Metadata!M479="",FALSE,TRUE)</f>
        <v>0</v>
      </c>
      <c r="AZ479">
        <f>IF(Metadata!N479="",FALSE,TRUE)</f>
        <v>0</v>
      </c>
      <c r="BA479">
        <f>IF(Metadata!O479="",FALSE,TRUE)</f>
        <v>0</v>
      </c>
      <c r="BB479">
        <f>OR(AND(IF(Metadata!P479="",FALSE,TRUE),OR(exact(Metadata!P479,"not collected"),exact(Metadata!P479,"not provided"),exact(Metadata!P479,"restricted access"))),AND(IF(Metadata!P479="",FALSE,TRUE),OR(exact(Metadata!P479,"air"),exact(Metadata!P479,"built environment"),exact(Metadata!P479,"host-associated"),exact(Metadata!P479,"human-associated"),exact(Metadata!P479,"human-skin"),exact(Metadata!P479,"human-oral"),exact(Metadata!P479,"human-gut"),exact(Metadata!P479,"human-vaginal"),exact(Metadata!P479,"microbial mat/biofilm"),exact(Metadata!P479,"misc environment"),exact(Metadata!P479,"plant-associated"),exact(Metadata!P479,"sediment"),exact(Metadata!P479,"soil"),exact(Metadata!P479,"wastewater/sludge"),exact(Metadata!P479,"water"))))</f>
        <v>0</v>
      </c>
      <c r="BC479">
        <f>IF(Metadata!Q479="",FALSE,TRUE)</f>
        <v>0</v>
      </c>
      <c r="BD479">
        <f>IF(Metadata!R479="",FALSE,TRUE)</f>
        <v>0</v>
      </c>
      <c r="BE479">
        <f>OR(AND(IF(Metadata!S479="",FALSE,TRUE),OR(exact(Metadata!S479,"not collected"),exact(Metadata!S479,"not provided"),exact(Metadata!S479,"restricted access"))),AND(IF(Metadata!S479="",FALSE,ISNUMBER(VALUE(Metadata!S479))),Metadata!S479&gt;=-90.00,Metadata!S479&lt;=90.00))</f>
        <v>0</v>
      </c>
      <c r="BF479">
        <f>AND(IF(Metadata!T479="",FALSE,TRUE),exact(Metadata!T479,"Decimal degrees"))</f>
        <v>0</v>
      </c>
      <c r="BG479">
        <f>OR(AND(IF(Metadata!U479="",FALSE,TRUE),OR(exact(Metadata!U479,"not collected"),exact(Metadata!U479,"not provided"),exact(Metadata!U479,"restricted access"))),AND(IF(Metadata!U479="",FALSE,ISNUMBER(VALUE(Metadata!U479))),Metadata!U479&gt;=-180.00,Metadata!U479&lt;=180.00))</f>
        <v>0</v>
      </c>
      <c r="BH479">
        <f>AND(IF(Metadata!V479="",FALSE,TRUE),exact(Metadata!V479,"Decimal degrees"))</f>
        <v>0</v>
      </c>
      <c r="BI479">
        <f>IF(Metadata!W479="",FALSE,TRUE)</f>
        <v>0</v>
      </c>
      <c r="BJ479">
        <f>OR(AND(IF(Metadata!X479="",FALSE,TRUE),OR(exact(Metadata!X479,"not collected"),exact(Metadata!X479,"not provided"),exact(Metadata!X479,"restricted access"))),AND(IF(Metadata!X479="",FALSE,TRUE),OR(exact(Metadata!X479,"TRUE"),exact(Metadata!X479,"FALSE"))))</f>
        <v>0</v>
      </c>
      <c r="BK479">
        <f>AND(IF(Metadata!Y479="",FALSE,TRUE),exact(Metadata!Y479,"other"))</f>
        <v>0</v>
      </c>
      <c r="BL479">
        <f>IF(Metadata!Z479="",FALSE,TRUE)</f>
        <v>0</v>
      </c>
      <c r="BM479">
        <f>OR(AND(IF(Metadata!AA479="",FALSE,TRUE),OR(exact(Metadata!AA479,"not collected"),exact(Metadata!AA479,"not provided"))),AND(IF(Metadata!AA479="",FALSE,IF(ISERROR(INT(Metadata!AA479)),FALSE,INT(Metadata!AA479)=Metadata!AA479)),Metadata!AA479&gt;0))</f>
        <v>0</v>
      </c>
      <c r="BN479">
        <f>AND(IF(Metadata!AB479="",FALSE,TRUE),exact(Metadata!AB479,"Not applicable"))</f>
        <v>0</v>
      </c>
      <c r="BO479">
        <f>IF(Metadata!AC479="",FALSE,TRUE)</f>
        <v>0</v>
      </c>
    </row>
    <row r="480" spans="1:67">
      <c r="A480" s="5">
        <f>IF(B480=" "," ",HYPERLINK(CONCATENATE("#metadata!",ADDRESS(INDEX($AI$2:$AI$1001,MATCH(ROWS($AG$2:AG480),$AG$2:$AG$1001,0),0),1)),INDEX($AL$2:$AL$1001,MATCH(ROWS($AG$2:AG480),$AG$2:$AG$1001,0),0)))</f>
        <v>0</v>
      </c>
      <c r="B480" s="4">
        <f>IF(OR(INDEX($AH$2:$AH$1001,MATCH(ROWS($AG$2:AG480),$AG$2:$AG$1001,0),1)&gt;=100000,INDEX($AN$1005:$BO$1005,1,MATCH(COLUMNS($AN$1006:AN1006),$AN$1006:$BO$1006,0))&gt;=100000), " ",IF(INDEX($AN$2:$BO$1001,MATCH(ROWS($AG$2:AG480),$AG$2:$AG$1001,0),MATCH(COLUMNS($AN$1006:AN1006),$AN$1006:$BO$1006,0)), HYPERLINK("#",""), HYPERLINK(CONCATENATE("#Metadata!", ADDRESS(INDEX($AI$2:$AI$1001,MATCH(ROWS($AG$2:AG480),$AG$2:$AG$1001,0),0), INDEX($AN$1004:$BO$1004,1,MATCH(COLUMNS($AN$1006:AN1006),$AN$1006:$BO$1006,0)))),"Fix")))</f>
        <v>0</v>
      </c>
      <c r="C480" s="4">
        <f>IF(OR(INDEX($AH$2:$AH$1001,MATCH(ROWS($AG$2:AG480),$AG$2:$AG$1001,0),1)&gt;=100000,INDEX($AN$1005:$BO$1005,1,MATCH(COLUMNS($AN$1006:AO1006),$AN$1006:$BO$1006,0))&gt;=100000), " ",IF(INDEX($AN$2:$BO$1001,MATCH(ROWS($AG$2:AG480),$AG$2:$AG$1001,0),MATCH(COLUMNS($AN$1006:AO1006),$AN$1006:$BO$1006,0)), HYPERLINK("#",""), HYPERLINK(CONCATENATE("#Metadata!", ADDRESS(INDEX($AI$2:$AI$1001,MATCH(ROWS($AG$2:AG480),$AG$2:$AG$1001,0),0), INDEX($AN$1004:$BO$1004,1,MATCH(COLUMNS($AN$1006:AO1006),$AN$1006:$BO$1006,0)))),"Fix")))</f>
        <v>0</v>
      </c>
      <c r="D480" s="4">
        <f>IF(OR(INDEX($AH$2:$AH$1001,MATCH(ROWS($AG$2:AG480),$AG$2:$AG$1001,0),1)&gt;=100000,INDEX($AN$1005:$BO$1005,1,MATCH(COLUMNS($AN$1006:AP1006),$AN$1006:$BO$1006,0))&gt;=100000), " ",IF(INDEX($AN$2:$BO$1001,MATCH(ROWS($AG$2:AG480),$AG$2:$AG$1001,0),MATCH(COLUMNS($AN$1006:AP1006),$AN$1006:$BO$1006,0)), HYPERLINK("#",""), HYPERLINK(CONCATENATE("#Metadata!", ADDRESS(INDEX($AI$2:$AI$1001,MATCH(ROWS($AG$2:AG480),$AG$2:$AG$1001,0),0), INDEX($AN$1004:$BO$1004,1,MATCH(COLUMNS($AN$1006:AP1006),$AN$1006:$BO$1006,0)))),"Fix")))</f>
        <v>0</v>
      </c>
      <c r="E480" s="4">
        <f>IF(OR(INDEX($AH$2:$AH$1001,MATCH(ROWS($AG$2:AG480),$AG$2:$AG$1001,0),1)&gt;=100000,INDEX($AN$1005:$BO$1005,1,MATCH(COLUMNS($AN$1006:AQ1006),$AN$1006:$BO$1006,0))&gt;=100000), " ",IF(INDEX($AN$2:$BO$1001,MATCH(ROWS($AG$2:AG480),$AG$2:$AG$1001,0),MATCH(COLUMNS($AN$1006:AQ1006),$AN$1006:$BO$1006,0)), HYPERLINK("#",""), HYPERLINK(CONCATENATE("#Metadata!", ADDRESS(INDEX($AI$2:$AI$1001,MATCH(ROWS($AG$2:AG480),$AG$2:$AG$1001,0),0), INDEX($AN$1004:$BO$1004,1,MATCH(COLUMNS($AN$1006:AQ1006),$AN$1006:$BO$1006,0)))),"Fix")))</f>
        <v>0</v>
      </c>
      <c r="F480" s="4">
        <f>IF(OR(INDEX($AH$2:$AH$1001,MATCH(ROWS($AG$2:AG480),$AG$2:$AG$1001,0),1)&gt;=100000,INDEX($AN$1005:$BO$1005,1,MATCH(COLUMNS($AN$1006:AR1006),$AN$1006:$BO$1006,0))&gt;=100000), " ",IF(INDEX($AN$2:$BO$1001,MATCH(ROWS($AG$2:AG480),$AG$2:$AG$1001,0),MATCH(COLUMNS($AN$1006:AR1006),$AN$1006:$BO$1006,0)), HYPERLINK("#",""), HYPERLINK(CONCATENATE("#Metadata!", ADDRESS(INDEX($AI$2:$AI$1001,MATCH(ROWS($AG$2:AG480),$AG$2:$AG$1001,0),0), INDEX($AN$1004:$BO$1004,1,MATCH(COLUMNS($AN$1006:AR1006),$AN$1006:$BO$1006,0)))),"Fix")))</f>
        <v>0</v>
      </c>
      <c r="G480" s="4">
        <f>IF(OR(INDEX($AH$2:$AH$1001,MATCH(ROWS($AG$2:AG480),$AG$2:$AG$1001,0),1)&gt;=100000,INDEX($AN$1005:$BO$1005,1,MATCH(COLUMNS($AN$1006:AS1006),$AN$1006:$BO$1006,0))&gt;=100000), " ",IF(INDEX($AN$2:$BO$1001,MATCH(ROWS($AG$2:AG480),$AG$2:$AG$1001,0),MATCH(COLUMNS($AN$1006:AS1006),$AN$1006:$BO$1006,0)), HYPERLINK("#",""), HYPERLINK(CONCATENATE("#Metadata!", ADDRESS(INDEX($AI$2:$AI$1001,MATCH(ROWS($AG$2:AG480),$AG$2:$AG$1001,0),0), INDEX($AN$1004:$BO$1004,1,MATCH(COLUMNS($AN$1006:AS1006),$AN$1006:$BO$1006,0)))),"Fix")))</f>
        <v>0</v>
      </c>
      <c r="H480" s="4">
        <f>IF(OR(INDEX($AH$2:$AH$1001,MATCH(ROWS($AG$2:AG480),$AG$2:$AG$1001,0),1)&gt;=100000,INDEX($AN$1005:$BO$1005,1,MATCH(COLUMNS($AN$1006:AT1006),$AN$1006:$BO$1006,0))&gt;=100000), " ",IF(INDEX($AN$2:$BO$1001,MATCH(ROWS($AG$2:AG480),$AG$2:$AG$1001,0),MATCH(COLUMNS($AN$1006:AT1006),$AN$1006:$BO$1006,0)), HYPERLINK("#",""), HYPERLINK(CONCATENATE("#Metadata!", ADDRESS(INDEX($AI$2:$AI$1001,MATCH(ROWS($AG$2:AG480),$AG$2:$AG$1001,0),0), INDEX($AN$1004:$BO$1004,1,MATCH(COLUMNS($AN$1006:AT1006),$AN$1006:$BO$1006,0)))),"Fix")))</f>
        <v>0</v>
      </c>
      <c r="I480" s="4">
        <f>IF(OR(INDEX($AH$2:$AH$1001,MATCH(ROWS($AG$2:AG480),$AG$2:$AG$1001,0),1)&gt;=100000,INDEX($AN$1005:$BO$1005,1,MATCH(COLUMNS($AN$1006:AU1006),$AN$1006:$BO$1006,0))&gt;=100000), " ",IF(INDEX($AN$2:$BO$1001,MATCH(ROWS($AG$2:AG480),$AG$2:$AG$1001,0),MATCH(COLUMNS($AN$1006:AU1006),$AN$1006:$BO$1006,0)), HYPERLINK("#",""), HYPERLINK(CONCATENATE("#Metadata!", ADDRESS(INDEX($AI$2:$AI$1001,MATCH(ROWS($AG$2:AG480),$AG$2:$AG$1001,0),0), INDEX($AN$1004:$BO$1004,1,MATCH(COLUMNS($AN$1006:AU1006),$AN$1006:$BO$1006,0)))),"Fix")))</f>
        <v>0</v>
      </c>
      <c r="J480" s="4">
        <f>IF(OR(INDEX($AH$2:$AH$1001,MATCH(ROWS($AG$2:AG480),$AG$2:$AG$1001,0),1)&gt;=100000,INDEX($AN$1005:$BO$1005,1,MATCH(COLUMNS($AN$1006:AV1006),$AN$1006:$BO$1006,0))&gt;=100000), " ",IF(INDEX($AN$2:$BO$1001,MATCH(ROWS($AG$2:AG480),$AG$2:$AG$1001,0),MATCH(COLUMNS($AN$1006:AV1006),$AN$1006:$BO$1006,0)), HYPERLINK("#",""), HYPERLINK(CONCATENATE("#Metadata!", ADDRESS(INDEX($AI$2:$AI$1001,MATCH(ROWS($AG$2:AG480),$AG$2:$AG$1001,0),0), INDEX($AN$1004:$BO$1004,1,MATCH(COLUMNS($AN$1006:AV1006),$AN$1006:$BO$1006,0)))),"Fix")))</f>
        <v>0</v>
      </c>
      <c r="K480" s="4">
        <f>IF(OR(INDEX($AH$2:$AH$1001,MATCH(ROWS($AG$2:AG480),$AG$2:$AG$1001,0),1)&gt;=100000,INDEX($AN$1005:$BO$1005,1,MATCH(COLUMNS($AN$1006:AW1006),$AN$1006:$BO$1006,0))&gt;=100000), " ",IF(INDEX($AN$2:$BO$1001,MATCH(ROWS($AG$2:AG480),$AG$2:$AG$1001,0),MATCH(COLUMNS($AN$1006:AW1006),$AN$1006:$BO$1006,0)), HYPERLINK("#",""), HYPERLINK(CONCATENATE("#Metadata!", ADDRESS(INDEX($AI$2:$AI$1001,MATCH(ROWS($AG$2:AG480),$AG$2:$AG$1001,0),0), INDEX($AN$1004:$BO$1004,1,MATCH(COLUMNS($AN$1006:AW1006),$AN$1006:$BO$1006,0)))),"Fix")))</f>
        <v>0</v>
      </c>
      <c r="L480" s="4">
        <f>IF(OR(INDEX($AH$2:$AH$1001,MATCH(ROWS($AG$2:AG480),$AG$2:$AG$1001,0),1)&gt;=100000,INDEX($AN$1005:$BO$1005,1,MATCH(COLUMNS($AN$1006:AX1006),$AN$1006:$BO$1006,0))&gt;=100000), " ",IF(INDEX($AN$2:$BO$1001,MATCH(ROWS($AG$2:AG480),$AG$2:$AG$1001,0),MATCH(COLUMNS($AN$1006:AX1006),$AN$1006:$BO$1006,0)), HYPERLINK("#",""), HYPERLINK(CONCATENATE("#Metadata!", ADDRESS(INDEX($AI$2:$AI$1001,MATCH(ROWS($AG$2:AG480),$AG$2:$AG$1001,0),0), INDEX($AN$1004:$BO$1004,1,MATCH(COLUMNS($AN$1006:AX1006),$AN$1006:$BO$1006,0)))),"Fix")))</f>
        <v>0</v>
      </c>
      <c r="M480" s="4">
        <f>IF(OR(INDEX($AH$2:$AH$1001,MATCH(ROWS($AG$2:AG480),$AG$2:$AG$1001,0),1)&gt;=100000,INDEX($AN$1005:$BO$1005,1,MATCH(COLUMNS($AN$1006:AY1006),$AN$1006:$BO$1006,0))&gt;=100000), " ",IF(INDEX($AN$2:$BO$1001,MATCH(ROWS($AG$2:AG480),$AG$2:$AG$1001,0),MATCH(COLUMNS($AN$1006:AY1006),$AN$1006:$BO$1006,0)), HYPERLINK("#",""), HYPERLINK(CONCATENATE("#Metadata!", ADDRESS(INDEX($AI$2:$AI$1001,MATCH(ROWS($AG$2:AG480),$AG$2:$AG$1001,0),0), INDEX($AN$1004:$BO$1004,1,MATCH(COLUMNS($AN$1006:AY1006),$AN$1006:$BO$1006,0)))),"Fix")))</f>
        <v>0</v>
      </c>
      <c r="N480" s="4">
        <f>IF(OR(INDEX($AH$2:$AH$1001,MATCH(ROWS($AG$2:AG480),$AG$2:$AG$1001,0),1)&gt;=100000,INDEX($AN$1005:$BO$1005,1,MATCH(COLUMNS($AN$1006:AZ1006),$AN$1006:$BO$1006,0))&gt;=100000), " ",IF(INDEX($AN$2:$BO$1001,MATCH(ROWS($AG$2:AG480),$AG$2:$AG$1001,0),MATCH(COLUMNS($AN$1006:AZ1006),$AN$1006:$BO$1006,0)), HYPERLINK("#",""), HYPERLINK(CONCATENATE("#Metadata!", ADDRESS(INDEX($AI$2:$AI$1001,MATCH(ROWS($AG$2:AG480),$AG$2:$AG$1001,0),0), INDEX($AN$1004:$BO$1004,1,MATCH(COLUMNS($AN$1006:AZ1006),$AN$1006:$BO$1006,0)))),"Fix")))</f>
        <v>0</v>
      </c>
      <c r="O480" s="4">
        <f>IF(OR(INDEX($AH$2:$AH$1001,MATCH(ROWS($AG$2:AG480),$AG$2:$AG$1001,0),1)&gt;=100000,INDEX($AN$1005:$BO$1005,1,MATCH(COLUMNS($AN$1006:BA1006),$AN$1006:$BO$1006,0))&gt;=100000), " ",IF(INDEX($AN$2:$BO$1001,MATCH(ROWS($AG$2:AG480),$AG$2:$AG$1001,0),MATCH(COLUMNS($AN$1006:BA1006),$AN$1006:$BO$1006,0)), HYPERLINK("#",""), HYPERLINK(CONCATENATE("#Metadata!", ADDRESS(INDEX($AI$2:$AI$1001,MATCH(ROWS($AG$2:AG480),$AG$2:$AG$1001,0),0), INDEX($AN$1004:$BO$1004,1,MATCH(COLUMNS($AN$1006:BA1006),$AN$1006:$BO$1006,0)))),"Fix")))</f>
        <v>0</v>
      </c>
      <c r="P480" s="4">
        <f>IF(OR(INDEX($AH$2:$AH$1001,MATCH(ROWS($AG$2:AG480),$AG$2:$AG$1001,0),1)&gt;=100000,INDEX($AN$1005:$BO$1005,1,MATCH(COLUMNS($AN$1006:BB1006),$AN$1006:$BO$1006,0))&gt;=100000), " ",IF(INDEX($AN$2:$BO$1001,MATCH(ROWS($AG$2:AG480),$AG$2:$AG$1001,0),MATCH(COLUMNS($AN$1006:BB1006),$AN$1006:$BO$1006,0)), HYPERLINK("#",""), HYPERLINK(CONCATENATE("#Metadata!", ADDRESS(INDEX($AI$2:$AI$1001,MATCH(ROWS($AG$2:AG480),$AG$2:$AG$1001,0),0), INDEX($AN$1004:$BO$1004,1,MATCH(COLUMNS($AN$1006:BB1006),$AN$1006:$BO$1006,0)))),"Fix")))</f>
        <v>0</v>
      </c>
      <c r="Q480" s="4">
        <f>IF(OR(INDEX($AH$2:$AH$1001,MATCH(ROWS($AG$2:AG480),$AG$2:$AG$1001,0),1)&gt;=100000,INDEX($AN$1005:$BO$1005,1,MATCH(COLUMNS($AN$1006:BC1006),$AN$1006:$BO$1006,0))&gt;=100000), " ",IF(INDEX($AN$2:$BO$1001,MATCH(ROWS($AG$2:AG480),$AG$2:$AG$1001,0),MATCH(COLUMNS($AN$1006:BC1006),$AN$1006:$BO$1006,0)), HYPERLINK("#",""), HYPERLINK(CONCATENATE("#Metadata!", ADDRESS(INDEX($AI$2:$AI$1001,MATCH(ROWS($AG$2:AG480),$AG$2:$AG$1001,0),0), INDEX($AN$1004:$BO$1004,1,MATCH(COLUMNS($AN$1006:BC1006),$AN$1006:$BO$1006,0)))),"Fix")))</f>
        <v>0</v>
      </c>
      <c r="R480" s="4">
        <f>IF(OR(INDEX($AH$2:$AH$1001,MATCH(ROWS($AG$2:AG480),$AG$2:$AG$1001,0),1)&gt;=100000,INDEX($AN$1005:$BO$1005,1,MATCH(COLUMNS($AN$1006:BD1006),$AN$1006:$BO$1006,0))&gt;=100000), " ",IF(INDEX($AN$2:$BO$1001,MATCH(ROWS($AG$2:AG480),$AG$2:$AG$1001,0),MATCH(COLUMNS($AN$1006:BD1006),$AN$1006:$BO$1006,0)), HYPERLINK("#",""), HYPERLINK(CONCATENATE("#Metadata!", ADDRESS(INDEX($AI$2:$AI$1001,MATCH(ROWS($AG$2:AG480),$AG$2:$AG$1001,0),0), INDEX($AN$1004:$BO$1004,1,MATCH(COLUMNS($AN$1006:BD1006),$AN$1006:$BO$1006,0)))),"Fix")))</f>
        <v>0</v>
      </c>
      <c r="S480" s="4">
        <f>IF(OR(INDEX($AH$2:$AH$1001,MATCH(ROWS($AG$2:AG480),$AG$2:$AG$1001,0),1)&gt;=100000,INDEX($AN$1005:$BO$1005,1,MATCH(COLUMNS($AN$1006:BE1006),$AN$1006:$BO$1006,0))&gt;=100000), " ",IF(INDEX($AN$2:$BO$1001,MATCH(ROWS($AG$2:AG480),$AG$2:$AG$1001,0),MATCH(COLUMNS($AN$1006:BE1006),$AN$1006:$BO$1006,0)), HYPERLINK("#",""), HYPERLINK(CONCATENATE("#Metadata!", ADDRESS(INDEX($AI$2:$AI$1001,MATCH(ROWS($AG$2:AG480),$AG$2:$AG$1001,0),0), INDEX($AN$1004:$BO$1004,1,MATCH(COLUMNS($AN$1006:BE1006),$AN$1006:$BO$1006,0)))),"Fix")))</f>
        <v>0</v>
      </c>
      <c r="T480" s="4">
        <f>IF(OR(INDEX($AH$2:$AH$1001,MATCH(ROWS($AG$2:AG480),$AG$2:$AG$1001,0),1)&gt;=100000,INDEX($AN$1005:$BO$1005,1,MATCH(COLUMNS($AN$1006:BF1006),$AN$1006:$BO$1006,0))&gt;=100000), " ",IF(INDEX($AN$2:$BO$1001,MATCH(ROWS($AG$2:AG480),$AG$2:$AG$1001,0),MATCH(COLUMNS($AN$1006:BF1006),$AN$1006:$BO$1006,0)), HYPERLINK("#",""), HYPERLINK(CONCATENATE("#Metadata!", ADDRESS(INDEX($AI$2:$AI$1001,MATCH(ROWS($AG$2:AG480),$AG$2:$AG$1001,0),0), INDEX($AN$1004:$BO$1004,1,MATCH(COLUMNS($AN$1006:BF1006),$AN$1006:$BO$1006,0)))),"Fix")))</f>
        <v>0</v>
      </c>
      <c r="U480" s="4">
        <f>IF(OR(INDEX($AH$2:$AH$1001,MATCH(ROWS($AG$2:AG480),$AG$2:$AG$1001,0),1)&gt;=100000,INDEX($AN$1005:$BO$1005,1,MATCH(COLUMNS($AN$1006:BG1006),$AN$1006:$BO$1006,0))&gt;=100000), " ",IF(INDEX($AN$2:$BO$1001,MATCH(ROWS($AG$2:AG480),$AG$2:$AG$1001,0),MATCH(COLUMNS($AN$1006:BG1006),$AN$1006:$BO$1006,0)), HYPERLINK("#",""), HYPERLINK(CONCATENATE("#Metadata!", ADDRESS(INDEX($AI$2:$AI$1001,MATCH(ROWS($AG$2:AG480),$AG$2:$AG$1001,0),0), INDEX($AN$1004:$BO$1004,1,MATCH(COLUMNS($AN$1006:BG1006),$AN$1006:$BO$1006,0)))),"Fix")))</f>
        <v>0</v>
      </c>
      <c r="V480" s="4">
        <f>IF(OR(INDEX($AH$2:$AH$1001,MATCH(ROWS($AG$2:AG480),$AG$2:$AG$1001,0),1)&gt;=100000,INDEX($AN$1005:$BO$1005,1,MATCH(COLUMNS($AN$1006:BH1006),$AN$1006:$BO$1006,0))&gt;=100000), " ",IF(INDEX($AN$2:$BO$1001,MATCH(ROWS($AG$2:AG480),$AG$2:$AG$1001,0),MATCH(COLUMNS($AN$1006:BH1006),$AN$1006:$BO$1006,0)), HYPERLINK("#",""), HYPERLINK(CONCATENATE("#Metadata!", ADDRESS(INDEX($AI$2:$AI$1001,MATCH(ROWS($AG$2:AG480),$AG$2:$AG$1001,0),0), INDEX($AN$1004:$BO$1004,1,MATCH(COLUMNS($AN$1006:BH1006),$AN$1006:$BO$1006,0)))),"Fix")))</f>
        <v>0</v>
      </c>
      <c r="W480" s="4">
        <f>IF(OR(INDEX($AH$2:$AH$1001,MATCH(ROWS($AG$2:AG480),$AG$2:$AG$1001,0),1)&gt;=100000,INDEX($AN$1005:$BO$1005,1,MATCH(COLUMNS($AN$1006:BI1006),$AN$1006:$BO$1006,0))&gt;=100000), " ",IF(INDEX($AN$2:$BO$1001,MATCH(ROWS($AG$2:AG480),$AG$2:$AG$1001,0),MATCH(COLUMNS($AN$1006:BI1006),$AN$1006:$BO$1006,0)), HYPERLINK("#",""), HYPERLINK(CONCATENATE("#Metadata!", ADDRESS(INDEX($AI$2:$AI$1001,MATCH(ROWS($AG$2:AG480),$AG$2:$AG$1001,0),0), INDEX($AN$1004:$BO$1004,1,MATCH(COLUMNS($AN$1006:BI1006),$AN$1006:$BO$1006,0)))),"Fix")))</f>
        <v>0</v>
      </c>
      <c r="X480" s="4">
        <f>IF(OR(INDEX($AH$2:$AH$1001,MATCH(ROWS($AG$2:AG480),$AG$2:$AG$1001,0),1)&gt;=100000,INDEX($AN$1005:$BO$1005,1,MATCH(COLUMNS($AN$1006:BJ1006),$AN$1006:$BO$1006,0))&gt;=100000), " ",IF(INDEX($AN$2:$BO$1001,MATCH(ROWS($AG$2:AG480),$AG$2:$AG$1001,0),MATCH(COLUMNS($AN$1006:BJ1006),$AN$1006:$BO$1006,0)), HYPERLINK("#",""), HYPERLINK(CONCATENATE("#Metadata!", ADDRESS(INDEX($AI$2:$AI$1001,MATCH(ROWS($AG$2:AG480),$AG$2:$AG$1001,0),0), INDEX($AN$1004:$BO$1004,1,MATCH(COLUMNS($AN$1006:BJ1006),$AN$1006:$BO$1006,0)))),"Fix")))</f>
        <v>0</v>
      </c>
      <c r="Y480" s="4">
        <f>IF(OR(INDEX($AH$2:$AH$1001,MATCH(ROWS($AG$2:AG480),$AG$2:$AG$1001,0),1)&gt;=100000,INDEX($AN$1005:$BO$1005,1,MATCH(COLUMNS($AN$1006:BK1006),$AN$1006:$BO$1006,0))&gt;=100000), " ",IF(INDEX($AN$2:$BO$1001,MATCH(ROWS($AG$2:AG480),$AG$2:$AG$1001,0),MATCH(COLUMNS($AN$1006:BK1006),$AN$1006:$BO$1006,0)), HYPERLINK("#",""), HYPERLINK(CONCATENATE("#Metadata!", ADDRESS(INDEX($AI$2:$AI$1001,MATCH(ROWS($AG$2:AG480),$AG$2:$AG$1001,0),0), INDEX($AN$1004:$BO$1004,1,MATCH(COLUMNS($AN$1006:BK1006),$AN$1006:$BO$1006,0)))),"Fix")))</f>
        <v>0</v>
      </c>
      <c r="Z480" s="4">
        <f>IF(OR(INDEX($AH$2:$AH$1001,MATCH(ROWS($AG$2:AG480),$AG$2:$AG$1001,0),1)&gt;=100000,INDEX($AN$1005:$BO$1005,1,MATCH(COLUMNS($AN$1006:BL1006),$AN$1006:$BO$1006,0))&gt;=100000), " ",IF(INDEX($AN$2:$BO$1001,MATCH(ROWS($AG$2:AG480),$AG$2:$AG$1001,0),MATCH(COLUMNS($AN$1006:BL1006),$AN$1006:$BO$1006,0)), HYPERLINK("#",""), HYPERLINK(CONCATENATE("#Metadata!", ADDRESS(INDEX($AI$2:$AI$1001,MATCH(ROWS($AG$2:AG480),$AG$2:$AG$1001,0),0), INDEX($AN$1004:$BO$1004,1,MATCH(COLUMNS($AN$1006:BL1006),$AN$1006:$BO$1006,0)))),"Fix")))</f>
        <v>0</v>
      </c>
      <c r="AA480" s="4">
        <f>IF(OR(INDEX($AH$2:$AH$1001,MATCH(ROWS($AG$2:AG480),$AG$2:$AG$1001,0),1)&gt;=100000,INDEX($AN$1005:$BO$1005,1,MATCH(COLUMNS($AN$1006:BM1006),$AN$1006:$BO$1006,0))&gt;=100000), " ",IF(INDEX($AN$2:$BO$1001,MATCH(ROWS($AG$2:AG480),$AG$2:$AG$1001,0),MATCH(COLUMNS($AN$1006:BM1006),$AN$1006:$BO$1006,0)), HYPERLINK("#",""), HYPERLINK(CONCATENATE("#Metadata!", ADDRESS(INDEX($AI$2:$AI$1001,MATCH(ROWS($AG$2:AG480),$AG$2:$AG$1001,0),0), INDEX($AN$1004:$BO$1004,1,MATCH(COLUMNS($AN$1006:BM1006),$AN$1006:$BO$1006,0)))),"Fix")))</f>
        <v>0</v>
      </c>
      <c r="AB480" s="4">
        <f>IF(OR(INDEX($AH$2:$AH$1001,MATCH(ROWS($AG$2:AG480),$AG$2:$AG$1001,0),1)&gt;=100000,INDEX($AN$1005:$BO$1005,1,MATCH(COLUMNS($AN$1006:BN1006),$AN$1006:$BO$1006,0))&gt;=100000), " ",IF(INDEX($AN$2:$BO$1001,MATCH(ROWS($AG$2:AG480),$AG$2:$AG$1001,0),MATCH(COLUMNS($AN$1006:BN1006),$AN$1006:$BO$1006,0)), HYPERLINK("#",""), HYPERLINK(CONCATENATE("#Metadata!", ADDRESS(INDEX($AI$2:$AI$1001,MATCH(ROWS($AG$2:AG480),$AG$2:$AG$1001,0),0), INDEX($AN$1004:$BO$1004,1,MATCH(COLUMNS($AN$1006:BN1006),$AN$1006:$BO$1006,0)))),"Fix")))</f>
        <v>0</v>
      </c>
      <c r="AC480" s="4">
        <f>IF(OR(INDEX($AH$2:$AH$1001,MATCH(ROWS($AG$2:AG480),$AG$2:$AG$1001,0),1)&gt;=100000,INDEX($AN$1005:$BO$1005,1,MATCH(COLUMNS($AN$1006:BO1006),$AN$1006:$BO$1006,0))&gt;=100000), " ",IF(INDEX($AN$2:$BO$1001,MATCH(ROWS($AG$2:AG480),$AG$2:$AG$1001,0),MATCH(COLUMNS($AN$1006:BO1006),$AN$1006:$BO$1006,0)), HYPERLINK("#",""), HYPERLINK(CONCATENATE("#Metadata!", ADDRESS(INDEX($AI$2:$AI$1001,MATCH(ROWS($AG$2:AG480),$AG$2:$AG$1001,0),0), INDEX($AN$1004:$BO$1004,1,MATCH(COLUMNS($AN$1006:BO1006),$AN$1006:$BO$1006,0)))),"Fix")))</f>
        <v>0</v>
      </c>
      <c r="AG480">
        <v>0</v>
      </c>
      <c r="AH480">
        <v>0</v>
      </c>
      <c r="AI480">
        <v>0</v>
      </c>
      <c r="AJ480">
        <f>IF(AK480,TRUE,AND(AN480:BO480))</f>
        <v>0</v>
      </c>
      <c r="AK480">
        <f>COUNTBLANK(Metadata!B480:AC480)=COLUMNS(Metadata!B480:AC480)</f>
        <v>0</v>
      </c>
      <c r="AL480">
        <v>0</v>
      </c>
      <c r="AN480">
        <f>AND(IF(Metadata!B480="",FALSE,TRUE),COUNTIF(Metadata!B:B, Metadata!B480) = 1,NOT(ISERROR(SUMPRODUCT(SEARCH(MID(Metadata!B480,ROW(INDIRECT("1:"&amp;LEN(Metadata!B480))), 1),"0123456789abcdefghijklmnopqrstuvwxyzABCDEFGHIJKLMNOPQRSTUVWXYZ.")))))</f>
        <v>0</v>
      </c>
      <c r="AO480">
        <f>IF(Metadata!C480="",FALSE,TRUE)</f>
        <v>0</v>
      </c>
      <c r="AP480">
        <f>IF(Metadata!D480="",FALSE,TRUE)</f>
        <v>0</v>
      </c>
      <c r="AQ480">
        <f>OR(AND(IF(Metadata!E480="",FALSE,TRUE),OR(exact(Metadata!E480,"not collected"),exact(Metadata!E480,"not provided"),exact(Metadata!E480,"restricted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R480">
        <f>IF(Metadata!F480="",FALSE,TRUE)</f>
        <v>0</v>
      </c>
      <c r="AS480">
        <f>OR(AND(IF(Metadata!G480="",FALSE,TRUE),OR(exact(Metadata!G480,"not collected"),exact(Metadata!G480,"not provided"))),AND(IF(Metadata!G480="",FALSE,TRUE),OR(exact(Metadata!G480,"TRUE"),exact(Metadata!G480,"FALSE"))))</f>
        <v>0</v>
      </c>
      <c r="AT480">
        <f>OR(AND(IF(Metadata!H480="",FALSE,TRUE),OR(exact(Metadata!H480,"not collected"),exact(Metadata!H480,"not provided"),exact(Metadata!H480,"restricted access"))),AND(IF(Metadata!H480="",FALSE,ISNUMBER(VALUE(Metadata!H480))),Metadata!H480&gt;=-413.0))</f>
        <v>0</v>
      </c>
      <c r="AU480">
        <f>AND(IF(Metadata!I480="",FALSE,TRUE),exact(Metadata!I480,"meters"))</f>
        <v>0</v>
      </c>
      <c r="AV480">
        <f>AND(IF(Metadata!J480="",FALSE,TRUE),OR(exact(Metadata!J480,"Host-associated"),exact(Metadata!J480,"Free-living")))</f>
        <v>0</v>
      </c>
      <c r="AW480">
        <f>AND(IF(Metadata!K480="",FALSE,TRUE),OR(exact(Metadata!K480,"Animal"),exact(Metadata!K480,"Fungus"),exact(Metadata!K480,"Plant"),exact(Metadata!K480,"Saline"),exact(Metadata!K480,"Non-saline")))</f>
        <v>0</v>
      </c>
      <c r="AX480">
        <f>AND(IF(Metadata!L480="",FALSE,TRUE),OR(exact(Metadata!L480,"Plant secretion"),exact(Metadata!L480,"Plant rhizosphere"),exact(Metadata!L480,"Plant surface"),exact(Metadata!L480,"Plant corpus"),exact(Metadata!L480,"Fungus surface"),exact(Metadata!L480,"Fungus corpus"),exact(Metadata!L480,"Animal surface"),exact(Metadata!L480,"Animal proximal gut"),exact(Metadata!L480,"Animal corpus"),exact(Metadata!L480,"Animal distal gut"),exact(Metadata!L480,"Animal secretion"),exact(Metadata!L480,"Sub-surface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Y480">
        <f>IF(Metadata!M480="",FALSE,TRUE)</f>
        <v>0</v>
      </c>
      <c r="AZ480">
        <f>IF(Metadata!N480="",FALSE,TRUE)</f>
        <v>0</v>
      </c>
      <c r="BA480">
        <f>IF(Metadata!O480="",FALSE,TRUE)</f>
        <v>0</v>
      </c>
      <c r="BB480">
        <f>OR(AND(IF(Metadata!P480="",FALSE,TRUE),OR(exact(Metadata!P480,"not collected"),exact(Metadata!P480,"not provided"),exact(Metadata!P480,"restricted access"))),AND(IF(Metadata!P480="",FALSE,TRUE),OR(exact(Metadata!P480,"air"),exact(Metadata!P480,"built environment"),exact(Metadata!P480,"host-associated"),exact(Metadata!P480,"human-associated"),exact(Metadata!P480,"human-skin"),exact(Metadata!P480,"human-oral"),exact(Metadata!P480,"human-gut"),exact(Metadata!P480,"human-vaginal"),exact(Metadata!P480,"microbial mat/biofilm"),exact(Metadata!P480,"misc environment"),exact(Metadata!P480,"plant-associated"),exact(Metadata!P480,"sediment"),exact(Metadata!P480,"soil"),exact(Metadata!P480,"wastewater/sludge"),exact(Metadata!P480,"water"))))</f>
        <v>0</v>
      </c>
      <c r="BC480">
        <f>IF(Metadata!Q480="",FALSE,TRUE)</f>
        <v>0</v>
      </c>
      <c r="BD480">
        <f>IF(Metadata!R480="",FALSE,TRUE)</f>
        <v>0</v>
      </c>
      <c r="BE480">
        <f>OR(AND(IF(Metadata!S480="",FALSE,TRUE),OR(exact(Metadata!S480,"not collected"),exact(Metadata!S480,"not provided"),exact(Metadata!S480,"restricted access"))),AND(IF(Metadata!S480="",FALSE,ISNUMBER(VALUE(Metadata!S480))),Metadata!S480&gt;=-90.00,Metadata!S480&lt;=90.00))</f>
        <v>0</v>
      </c>
      <c r="BF480">
        <f>AND(IF(Metadata!T480="",FALSE,TRUE),exact(Metadata!T480,"Decimal degrees"))</f>
        <v>0</v>
      </c>
      <c r="BG480">
        <f>OR(AND(IF(Metadata!U480="",FALSE,TRUE),OR(exact(Metadata!U480,"not collected"),exact(Metadata!U480,"not provided"),exact(Metadata!U480,"restricted access"))),AND(IF(Metadata!U480="",FALSE,ISNUMBER(VALUE(Metadata!U480))),Metadata!U480&gt;=-180.00,Metadata!U480&lt;=180.00))</f>
        <v>0</v>
      </c>
      <c r="BH480">
        <f>AND(IF(Metadata!V480="",FALSE,TRUE),exact(Metadata!V480,"Decimal degrees"))</f>
        <v>0</v>
      </c>
      <c r="BI480">
        <f>IF(Metadata!W480="",FALSE,TRUE)</f>
        <v>0</v>
      </c>
      <c r="BJ480">
        <f>OR(AND(IF(Metadata!X480="",FALSE,TRUE),OR(exact(Metadata!X480,"not collected"),exact(Metadata!X480,"not provided"),exact(Metadata!X480,"restricted access"))),AND(IF(Metadata!X480="",FALSE,TRUE),OR(exact(Metadata!X480,"TRUE"),exact(Metadata!X480,"FALSE"))))</f>
        <v>0</v>
      </c>
      <c r="BK480">
        <f>AND(IF(Metadata!Y480="",FALSE,TRUE),exact(Metadata!Y480,"other"))</f>
        <v>0</v>
      </c>
      <c r="BL480">
        <f>IF(Metadata!Z480="",FALSE,TRUE)</f>
        <v>0</v>
      </c>
      <c r="BM480">
        <f>OR(AND(IF(Metadata!AA480="",FALSE,TRUE),OR(exact(Metadata!AA480,"not collected"),exact(Metadata!AA480,"not provided"))),AND(IF(Metadata!AA480="",FALSE,IF(ISERROR(INT(Metadata!AA480)),FALSE,INT(Metadata!AA480)=Metadata!AA480)),Metadata!AA480&gt;0))</f>
        <v>0</v>
      </c>
      <c r="BN480">
        <f>AND(IF(Metadata!AB480="",FALSE,TRUE),exact(Metadata!AB480,"Not applicable"))</f>
        <v>0</v>
      </c>
      <c r="BO480">
        <f>IF(Metadata!AC480="",FALSE,TRUE)</f>
        <v>0</v>
      </c>
    </row>
    <row r="481" spans="1:67">
      <c r="A481" s="5">
        <f>IF(B481=" "," ",HYPERLINK(CONCATENATE("#metadata!",ADDRESS(INDEX($AI$2:$AI$1001,MATCH(ROWS($AG$2:AG481),$AG$2:$AG$1001,0),0),1)),INDEX($AL$2:$AL$1001,MATCH(ROWS($AG$2:AG481),$AG$2:$AG$1001,0),0)))</f>
        <v>0</v>
      </c>
      <c r="B481" s="4">
        <f>IF(OR(INDEX($AH$2:$AH$1001,MATCH(ROWS($AG$2:AG481),$AG$2:$AG$1001,0),1)&gt;=100000,INDEX($AN$1005:$BO$1005,1,MATCH(COLUMNS($AN$1006:AN1006),$AN$1006:$BO$1006,0))&gt;=100000), " ",IF(INDEX($AN$2:$BO$1001,MATCH(ROWS($AG$2:AG481),$AG$2:$AG$1001,0),MATCH(COLUMNS($AN$1006:AN1006),$AN$1006:$BO$1006,0)), HYPERLINK("#",""), HYPERLINK(CONCATENATE("#Metadata!", ADDRESS(INDEX($AI$2:$AI$1001,MATCH(ROWS($AG$2:AG481),$AG$2:$AG$1001,0),0), INDEX($AN$1004:$BO$1004,1,MATCH(COLUMNS($AN$1006:AN1006),$AN$1006:$BO$1006,0)))),"Fix")))</f>
        <v>0</v>
      </c>
      <c r="C481" s="4">
        <f>IF(OR(INDEX($AH$2:$AH$1001,MATCH(ROWS($AG$2:AG481),$AG$2:$AG$1001,0),1)&gt;=100000,INDEX($AN$1005:$BO$1005,1,MATCH(COLUMNS($AN$1006:AO1006),$AN$1006:$BO$1006,0))&gt;=100000), " ",IF(INDEX($AN$2:$BO$1001,MATCH(ROWS($AG$2:AG481),$AG$2:$AG$1001,0),MATCH(COLUMNS($AN$1006:AO1006),$AN$1006:$BO$1006,0)), HYPERLINK("#",""), HYPERLINK(CONCATENATE("#Metadata!", ADDRESS(INDEX($AI$2:$AI$1001,MATCH(ROWS($AG$2:AG481),$AG$2:$AG$1001,0),0), INDEX($AN$1004:$BO$1004,1,MATCH(COLUMNS($AN$1006:AO1006),$AN$1006:$BO$1006,0)))),"Fix")))</f>
        <v>0</v>
      </c>
      <c r="D481" s="4">
        <f>IF(OR(INDEX($AH$2:$AH$1001,MATCH(ROWS($AG$2:AG481),$AG$2:$AG$1001,0),1)&gt;=100000,INDEX($AN$1005:$BO$1005,1,MATCH(COLUMNS($AN$1006:AP1006),$AN$1006:$BO$1006,0))&gt;=100000), " ",IF(INDEX($AN$2:$BO$1001,MATCH(ROWS($AG$2:AG481),$AG$2:$AG$1001,0),MATCH(COLUMNS($AN$1006:AP1006),$AN$1006:$BO$1006,0)), HYPERLINK("#",""), HYPERLINK(CONCATENATE("#Metadata!", ADDRESS(INDEX($AI$2:$AI$1001,MATCH(ROWS($AG$2:AG481),$AG$2:$AG$1001,0),0), INDEX($AN$1004:$BO$1004,1,MATCH(COLUMNS($AN$1006:AP1006),$AN$1006:$BO$1006,0)))),"Fix")))</f>
        <v>0</v>
      </c>
      <c r="E481" s="4">
        <f>IF(OR(INDEX($AH$2:$AH$1001,MATCH(ROWS($AG$2:AG481),$AG$2:$AG$1001,0),1)&gt;=100000,INDEX($AN$1005:$BO$1005,1,MATCH(COLUMNS($AN$1006:AQ1006),$AN$1006:$BO$1006,0))&gt;=100000), " ",IF(INDEX($AN$2:$BO$1001,MATCH(ROWS($AG$2:AG481),$AG$2:$AG$1001,0),MATCH(COLUMNS($AN$1006:AQ1006),$AN$1006:$BO$1006,0)), HYPERLINK("#",""), HYPERLINK(CONCATENATE("#Metadata!", ADDRESS(INDEX($AI$2:$AI$1001,MATCH(ROWS($AG$2:AG481),$AG$2:$AG$1001,0),0), INDEX($AN$1004:$BO$1004,1,MATCH(COLUMNS($AN$1006:AQ1006),$AN$1006:$BO$1006,0)))),"Fix")))</f>
        <v>0</v>
      </c>
      <c r="F481" s="4">
        <f>IF(OR(INDEX($AH$2:$AH$1001,MATCH(ROWS($AG$2:AG481),$AG$2:$AG$1001,0),1)&gt;=100000,INDEX($AN$1005:$BO$1005,1,MATCH(COLUMNS($AN$1006:AR1006),$AN$1006:$BO$1006,0))&gt;=100000), " ",IF(INDEX($AN$2:$BO$1001,MATCH(ROWS($AG$2:AG481),$AG$2:$AG$1001,0),MATCH(COLUMNS($AN$1006:AR1006),$AN$1006:$BO$1006,0)), HYPERLINK("#",""), HYPERLINK(CONCATENATE("#Metadata!", ADDRESS(INDEX($AI$2:$AI$1001,MATCH(ROWS($AG$2:AG481),$AG$2:$AG$1001,0),0), INDEX($AN$1004:$BO$1004,1,MATCH(COLUMNS($AN$1006:AR1006),$AN$1006:$BO$1006,0)))),"Fix")))</f>
        <v>0</v>
      </c>
      <c r="G481" s="4">
        <f>IF(OR(INDEX($AH$2:$AH$1001,MATCH(ROWS($AG$2:AG481),$AG$2:$AG$1001,0),1)&gt;=100000,INDEX($AN$1005:$BO$1005,1,MATCH(COLUMNS($AN$1006:AS1006),$AN$1006:$BO$1006,0))&gt;=100000), " ",IF(INDEX($AN$2:$BO$1001,MATCH(ROWS($AG$2:AG481),$AG$2:$AG$1001,0),MATCH(COLUMNS($AN$1006:AS1006),$AN$1006:$BO$1006,0)), HYPERLINK("#",""), HYPERLINK(CONCATENATE("#Metadata!", ADDRESS(INDEX($AI$2:$AI$1001,MATCH(ROWS($AG$2:AG481),$AG$2:$AG$1001,0),0), INDEX($AN$1004:$BO$1004,1,MATCH(COLUMNS($AN$1006:AS1006),$AN$1006:$BO$1006,0)))),"Fix")))</f>
        <v>0</v>
      </c>
      <c r="H481" s="4">
        <f>IF(OR(INDEX($AH$2:$AH$1001,MATCH(ROWS($AG$2:AG481),$AG$2:$AG$1001,0),1)&gt;=100000,INDEX($AN$1005:$BO$1005,1,MATCH(COLUMNS($AN$1006:AT1006),$AN$1006:$BO$1006,0))&gt;=100000), " ",IF(INDEX($AN$2:$BO$1001,MATCH(ROWS($AG$2:AG481),$AG$2:$AG$1001,0),MATCH(COLUMNS($AN$1006:AT1006),$AN$1006:$BO$1006,0)), HYPERLINK("#",""), HYPERLINK(CONCATENATE("#Metadata!", ADDRESS(INDEX($AI$2:$AI$1001,MATCH(ROWS($AG$2:AG481),$AG$2:$AG$1001,0),0), INDEX($AN$1004:$BO$1004,1,MATCH(COLUMNS($AN$1006:AT1006),$AN$1006:$BO$1006,0)))),"Fix")))</f>
        <v>0</v>
      </c>
      <c r="I481" s="4">
        <f>IF(OR(INDEX($AH$2:$AH$1001,MATCH(ROWS($AG$2:AG481),$AG$2:$AG$1001,0),1)&gt;=100000,INDEX($AN$1005:$BO$1005,1,MATCH(COLUMNS($AN$1006:AU1006),$AN$1006:$BO$1006,0))&gt;=100000), " ",IF(INDEX($AN$2:$BO$1001,MATCH(ROWS($AG$2:AG481),$AG$2:$AG$1001,0),MATCH(COLUMNS($AN$1006:AU1006),$AN$1006:$BO$1006,0)), HYPERLINK("#",""), HYPERLINK(CONCATENATE("#Metadata!", ADDRESS(INDEX($AI$2:$AI$1001,MATCH(ROWS($AG$2:AG481),$AG$2:$AG$1001,0),0), INDEX($AN$1004:$BO$1004,1,MATCH(COLUMNS($AN$1006:AU1006),$AN$1006:$BO$1006,0)))),"Fix")))</f>
        <v>0</v>
      </c>
      <c r="J481" s="4">
        <f>IF(OR(INDEX($AH$2:$AH$1001,MATCH(ROWS($AG$2:AG481),$AG$2:$AG$1001,0),1)&gt;=100000,INDEX($AN$1005:$BO$1005,1,MATCH(COLUMNS($AN$1006:AV1006),$AN$1006:$BO$1006,0))&gt;=100000), " ",IF(INDEX($AN$2:$BO$1001,MATCH(ROWS($AG$2:AG481),$AG$2:$AG$1001,0),MATCH(COLUMNS($AN$1006:AV1006),$AN$1006:$BO$1006,0)), HYPERLINK("#",""), HYPERLINK(CONCATENATE("#Metadata!", ADDRESS(INDEX($AI$2:$AI$1001,MATCH(ROWS($AG$2:AG481),$AG$2:$AG$1001,0),0), INDEX($AN$1004:$BO$1004,1,MATCH(COLUMNS($AN$1006:AV1006),$AN$1006:$BO$1006,0)))),"Fix")))</f>
        <v>0</v>
      </c>
      <c r="K481" s="4">
        <f>IF(OR(INDEX($AH$2:$AH$1001,MATCH(ROWS($AG$2:AG481),$AG$2:$AG$1001,0),1)&gt;=100000,INDEX($AN$1005:$BO$1005,1,MATCH(COLUMNS($AN$1006:AW1006),$AN$1006:$BO$1006,0))&gt;=100000), " ",IF(INDEX($AN$2:$BO$1001,MATCH(ROWS($AG$2:AG481),$AG$2:$AG$1001,0),MATCH(COLUMNS($AN$1006:AW1006),$AN$1006:$BO$1006,0)), HYPERLINK("#",""), HYPERLINK(CONCATENATE("#Metadata!", ADDRESS(INDEX($AI$2:$AI$1001,MATCH(ROWS($AG$2:AG481),$AG$2:$AG$1001,0),0), INDEX($AN$1004:$BO$1004,1,MATCH(COLUMNS($AN$1006:AW1006),$AN$1006:$BO$1006,0)))),"Fix")))</f>
        <v>0</v>
      </c>
      <c r="L481" s="4">
        <f>IF(OR(INDEX($AH$2:$AH$1001,MATCH(ROWS($AG$2:AG481),$AG$2:$AG$1001,0),1)&gt;=100000,INDEX($AN$1005:$BO$1005,1,MATCH(COLUMNS($AN$1006:AX1006),$AN$1006:$BO$1006,0))&gt;=100000), " ",IF(INDEX($AN$2:$BO$1001,MATCH(ROWS($AG$2:AG481),$AG$2:$AG$1001,0),MATCH(COLUMNS($AN$1006:AX1006),$AN$1006:$BO$1006,0)), HYPERLINK("#",""), HYPERLINK(CONCATENATE("#Metadata!", ADDRESS(INDEX($AI$2:$AI$1001,MATCH(ROWS($AG$2:AG481),$AG$2:$AG$1001,0),0), INDEX($AN$1004:$BO$1004,1,MATCH(COLUMNS($AN$1006:AX1006),$AN$1006:$BO$1006,0)))),"Fix")))</f>
        <v>0</v>
      </c>
      <c r="M481" s="4">
        <f>IF(OR(INDEX($AH$2:$AH$1001,MATCH(ROWS($AG$2:AG481),$AG$2:$AG$1001,0),1)&gt;=100000,INDEX($AN$1005:$BO$1005,1,MATCH(COLUMNS($AN$1006:AY1006),$AN$1006:$BO$1006,0))&gt;=100000), " ",IF(INDEX($AN$2:$BO$1001,MATCH(ROWS($AG$2:AG481),$AG$2:$AG$1001,0),MATCH(COLUMNS($AN$1006:AY1006),$AN$1006:$BO$1006,0)), HYPERLINK("#",""), HYPERLINK(CONCATENATE("#Metadata!", ADDRESS(INDEX($AI$2:$AI$1001,MATCH(ROWS($AG$2:AG481),$AG$2:$AG$1001,0),0), INDEX($AN$1004:$BO$1004,1,MATCH(COLUMNS($AN$1006:AY1006),$AN$1006:$BO$1006,0)))),"Fix")))</f>
        <v>0</v>
      </c>
      <c r="N481" s="4">
        <f>IF(OR(INDEX($AH$2:$AH$1001,MATCH(ROWS($AG$2:AG481),$AG$2:$AG$1001,0),1)&gt;=100000,INDEX($AN$1005:$BO$1005,1,MATCH(COLUMNS($AN$1006:AZ1006),$AN$1006:$BO$1006,0))&gt;=100000), " ",IF(INDEX($AN$2:$BO$1001,MATCH(ROWS($AG$2:AG481),$AG$2:$AG$1001,0),MATCH(COLUMNS($AN$1006:AZ1006),$AN$1006:$BO$1006,0)), HYPERLINK("#",""), HYPERLINK(CONCATENATE("#Metadata!", ADDRESS(INDEX($AI$2:$AI$1001,MATCH(ROWS($AG$2:AG481),$AG$2:$AG$1001,0),0), INDEX($AN$1004:$BO$1004,1,MATCH(COLUMNS($AN$1006:AZ1006),$AN$1006:$BO$1006,0)))),"Fix")))</f>
        <v>0</v>
      </c>
      <c r="O481" s="4">
        <f>IF(OR(INDEX($AH$2:$AH$1001,MATCH(ROWS($AG$2:AG481),$AG$2:$AG$1001,0),1)&gt;=100000,INDEX($AN$1005:$BO$1005,1,MATCH(COLUMNS($AN$1006:BA1006),$AN$1006:$BO$1006,0))&gt;=100000), " ",IF(INDEX($AN$2:$BO$1001,MATCH(ROWS($AG$2:AG481),$AG$2:$AG$1001,0),MATCH(COLUMNS($AN$1006:BA1006),$AN$1006:$BO$1006,0)), HYPERLINK("#",""), HYPERLINK(CONCATENATE("#Metadata!", ADDRESS(INDEX($AI$2:$AI$1001,MATCH(ROWS($AG$2:AG481),$AG$2:$AG$1001,0),0), INDEX($AN$1004:$BO$1004,1,MATCH(COLUMNS($AN$1006:BA1006),$AN$1006:$BO$1006,0)))),"Fix")))</f>
        <v>0</v>
      </c>
      <c r="P481" s="4">
        <f>IF(OR(INDEX($AH$2:$AH$1001,MATCH(ROWS($AG$2:AG481),$AG$2:$AG$1001,0),1)&gt;=100000,INDEX($AN$1005:$BO$1005,1,MATCH(COLUMNS($AN$1006:BB1006),$AN$1006:$BO$1006,0))&gt;=100000), " ",IF(INDEX($AN$2:$BO$1001,MATCH(ROWS($AG$2:AG481),$AG$2:$AG$1001,0),MATCH(COLUMNS($AN$1006:BB1006),$AN$1006:$BO$1006,0)), HYPERLINK("#",""), HYPERLINK(CONCATENATE("#Metadata!", ADDRESS(INDEX($AI$2:$AI$1001,MATCH(ROWS($AG$2:AG481),$AG$2:$AG$1001,0),0), INDEX($AN$1004:$BO$1004,1,MATCH(COLUMNS($AN$1006:BB1006),$AN$1006:$BO$1006,0)))),"Fix")))</f>
        <v>0</v>
      </c>
      <c r="Q481" s="4">
        <f>IF(OR(INDEX($AH$2:$AH$1001,MATCH(ROWS($AG$2:AG481),$AG$2:$AG$1001,0),1)&gt;=100000,INDEX($AN$1005:$BO$1005,1,MATCH(COLUMNS($AN$1006:BC1006),$AN$1006:$BO$1006,0))&gt;=100000), " ",IF(INDEX($AN$2:$BO$1001,MATCH(ROWS($AG$2:AG481),$AG$2:$AG$1001,0),MATCH(COLUMNS($AN$1006:BC1006),$AN$1006:$BO$1006,0)), HYPERLINK("#",""), HYPERLINK(CONCATENATE("#Metadata!", ADDRESS(INDEX($AI$2:$AI$1001,MATCH(ROWS($AG$2:AG481),$AG$2:$AG$1001,0),0), INDEX($AN$1004:$BO$1004,1,MATCH(COLUMNS($AN$1006:BC1006),$AN$1006:$BO$1006,0)))),"Fix")))</f>
        <v>0</v>
      </c>
      <c r="R481" s="4">
        <f>IF(OR(INDEX($AH$2:$AH$1001,MATCH(ROWS($AG$2:AG481),$AG$2:$AG$1001,0),1)&gt;=100000,INDEX($AN$1005:$BO$1005,1,MATCH(COLUMNS($AN$1006:BD1006),$AN$1006:$BO$1006,0))&gt;=100000), " ",IF(INDEX($AN$2:$BO$1001,MATCH(ROWS($AG$2:AG481),$AG$2:$AG$1001,0),MATCH(COLUMNS($AN$1006:BD1006),$AN$1006:$BO$1006,0)), HYPERLINK("#",""), HYPERLINK(CONCATENATE("#Metadata!", ADDRESS(INDEX($AI$2:$AI$1001,MATCH(ROWS($AG$2:AG481),$AG$2:$AG$1001,0),0), INDEX($AN$1004:$BO$1004,1,MATCH(COLUMNS($AN$1006:BD1006),$AN$1006:$BO$1006,0)))),"Fix")))</f>
        <v>0</v>
      </c>
      <c r="S481" s="4">
        <f>IF(OR(INDEX($AH$2:$AH$1001,MATCH(ROWS($AG$2:AG481),$AG$2:$AG$1001,0),1)&gt;=100000,INDEX($AN$1005:$BO$1005,1,MATCH(COLUMNS($AN$1006:BE1006),$AN$1006:$BO$1006,0))&gt;=100000), " ",IF(INDEX($AN$2:$BO$1001,MATCH(ROWS($AG$2:AG481),$AG$2:$AG$1001,0),MATCH(COLUMNS($AN$1006:BE1006),$AN$1006:$BO$1006,0)), HYPERLINK("#",""), HYPERLINK(CONCATENATE("#Metadata!", ADDRESS(INDEX($AI$2:$AI$1001,MATCH(ROWS($AG$2:AG481),$AG$2:$AG$1001,0),0), INDEX($AN$1004:$BO$1004,1,MATCH(COLUMNS($AN$1006:BE1006),$AN$1006:$BO$1006,0)))),"Fix")))</f>
        <v>0</v>
      </c>
      <c r="T481" s="4">
        <f>IF(OR(INDEX($AH$2:$AH$1001,MATCH(ROWS($AG$2:AG481),$AG$2:$AG$1001,0),1)&gt;=100000,INDEX($AN$1005:$BO$1005,1,MATCH(COLUMNS($AN$1006:BF1006),$AN$1006:$BO$1006,0))&gt;=100000), " ",IF(INDEX($AN$2:$BO$1001,MATCH(ROWS($AG$2:AG481),$AG$2:$AG$1001,0),MATCH(COLUMNS($AN$1006:BF1006),$AN$1006:$BO$1006,0)), HYPERLINK("#",""), HYPERLINK(CONCATENATE("#Metadata!", ADDRESS(INDEX($AI$2:$AI$1001,MATCH(ROWS($AG$2:AG481),$AG$2:$AG$1001,0),0), INDEX($AN$1004:$BO$1004,1,MATCH(COLUMNS($AN$1006:BF1006),$AN$1006:$BO$1006,0)))),"Fix")))</f>
        <v>0</v>
      </c>
      <c r="U481" s="4">
        <f>IF(OR(INDEX($AH$2:$AH$1001,MATCH(ROWS($AG$2:AG481),$AG$2:$AG$1001,0),1)&gt;=100000,INDEX($AN$1005:$BO$1005,1,MATCH(COLUMNS($AN$1006:BG1006),$AN$1006:$BO$1006,0))&gt;=100000), " ",IF(INDEX($AN$2:$BO$1001,MATCH(ROWS($AG$2:AG481),$AG$2:$AG$1001,0),MATCH(COLUMNS($AN$1006:BG1006),$AN$1006:$BO$1006,0)), HYPERLINK("#",""), HYPERLINK(CONCATENATE("#Metadata!", ADDRESS(INDEX($AI$2:$AI$1001,MATCH(ROWS($AG$2:AG481),$AG$2:$AG$1001,0),0), INDEX($AN$1004:$BO$1004,1,MATCH(COLUMNS($AN$1006:BG1006),$AN$1006:$BO$1006,0)))),"Fix")))</f>
        <v>0</v>
      </c>
      <c r="V481" s="4">
        <f>IF(OR(INDEX($AH$2:$AH$1001,MATCH(ROWS($AG$2:AG481),$AG$2:$AG$1001,0),1)&gt;=100000,INDEX($AN$1005:$BO$1005,1,MATCH(COLUMNS($AN$1006:BH1006),$AN$1006:$BO$1006,0))&gt;=100000), " ",IF(INDEX($AN$2:$BO$1001,MATCH(ROWS($AG$2:AG481),$AG$2:$AG$1001,0),MATCH(COLUMNS($AN$1006:BH1006),$AN$1006:$BO$1006,0)), HYPERLINK("#",""), HYPERLINK(CONCATENATE("#Metadata!", ADDRESS(INDEX($AI$2:$AI$1001,MATCH(ROWS($AG$2:AG481),$AG$2:$AG$1001,0),0), INDEX($AN$1004:$BO$1004,1,MATCH(COLUMNS($AN$1006:BH1006),$AN$1006:$BO$1006,0)))),"Fix")))</f>
        <v>0</v>
      </c>
      <c r="W481" s="4">
        <f>IF(OR(INDEX($AH$2:$AH$1001,MATCH(ROWS($AG$2:AG481),$AG$2:$AG$1001,0),1)&gt;=100000,INDEX($AN$1005:$BO$1005,1,MATCH(COLUMNS($AN$1006:BI1006),$AN$1006:$BO$1006,0))&gt;=100000), " ",IF(INDEX($AN$2:$BO$1001,MATCH(ROWS($AG$2:AG481),$AG$2:$AG$1001,0),MATCH(COLUMNS($AN$1006:BI1006),$AN$1006:$BO$1006,0)), HYPERLINK("#",""), HYPERLINK(CONCATENATE("#Metadata!", ADDRESS(INDEX($AI$2:$AI$1001,MATCH(ROWS($AG$2:AG481),$AG$2:$AG$1001,0),0), INDEX($AN$1004:$BO$1004,1,MATCH(COLUMNS($AN$1006:BI1006),$AN$1006:$BO$1006,0)))),"Fix")))</f>
        <v>0</v>
      </c>
      <c r="X481" s="4">
        <f>IF(OR(INDEX($AH$2:$AH$1001,MATCH(ROWS($AG$2:AG481),$AG$2:$AG$1001,0),1)&gt;=100000,INDEX($AN$1005:$BO$1005,1,MATCH(COLUMNS($AN$1006:BJ1006),$AN$1006:$BO$1006,0))&gt;=100000), " ",IF(INDEX($AN$2:$BO$1001,MATCH(ROWS($AG$2:AG481),$AG$2:$AG$1001,0),MATCH(COLUMNS($AN$1006:BJ1006),$AN$1006:$BO$1006,0)), HYPERLINK("#",""), HYPERLINK(CONCATENATE("#Metadata!", ADDRESS(INDEX($AI$2:$AI$1001,MATCH(ROWS($AG$2:AG481),$AG$2:$AG$1001,0),0), INDEX($AN$1004:$BO$1004,1,MATCH(COLUMNS($AN$1006:BJ1006),$AN$1006:$BO$1006,0)))),"Fix")))</f>
        <v>0</v>
      </c>
      <c r="Y481" s="4">
        <f>IF(OR(INDEX($AH$2:$AH$1001,MATCH(ROWS($AG$2:AG481),$AG$2:$AG$1001,0),1)&gt;=100000,INDEX($AN$1005:$BO$1005,1,MATCH(COLUMNS($AN$1006:BK1006),$AN$1006:$BO$1006,0))&gt;=100000), " ",IF(INDEX($AN$2:$BO$1001,MATCH(ROWS($AG$2:AG481),$AG$2:$AG$1001,0),MATCH(COLUMNS($AN$1006:BK1006),$AN$1006:$BO$1006,0)), HYPERLINK("#",""), HYPERLINK(CONCATENATE("#Metadata!", ADDRESS(INDEX($AI$2:$AI$1001,MATCH(ROWS($AG$2:AG481),$AG$2:$AG$1001,0),0), INDEX($AN$1004:$BO$1004,1,MATCH(COLUMNS($AN$1006:BK1006),$AN$1006:$BO$1006,0)))),"Fix")))</f>
        <v>0</v>
      </c>
      <c r="Z481" s="4">
        <f>IF(OR(INDEX($AH$2:$AH$1001,MATCH(ROWS($AG$2:AG481),$AG$2:$AG$1001,0),1)&gt;=100000,INDEX($AN$1005:$BO$1005,1,MATCH(COLUMNS($AN$1006:BL1006),$AN$1006:$BO$1006,0))&gt;=100000), " ",IF(INDEX($AN$2:$BO$1001,MATCH(ROWS($AG$2:AG481),$AG$2:$AG$1001,0),MATCH(COLUMNS($AN$1006:BL1006),$AN$1006:$BO$1006,0)), HYPERLINK("#",""), HYPERLINK(CONCATENATE("#Metadata!", ADDRESS(INDEX($AI$2:$AI$1001,MATCH(ROWS($AG$2:AG481),$AG$2:$AG$1001,0),0), INDEX($AN$1004:$BO$1004,1,MATCH(COLUMNS($AN$1006:BL1006),$AN$1006:$BO$1006,0)))),"Fix")))</f>
        <v>0</v>
      </c>
      <c r="AA481" s="4">
        <f>IF(OR(INDEX($AH$2:$AH$1001,MATCH(ROWS($AG$2:AG481),$AG$2:$AG$1001,0),1)&gt;=100000,INDEX($AN$1005:$BO$1005,1,MATCH(COLUMNS($AN$1006:BM1006),$AN$1006:$BO$1006,0))&gt;=100000), " ",IF(INDEX($AN$2:$BO$1001,MATCH(ROWS($AG$2:AG481),$AG$2:$AG$1001,0),MATCH(COLUMNS($AN$1006:BM1006),$AN$1006:$BO$1006,0)), HYPERLINK("#",""), HYPERLINK(CONCATENATE("#Metadata!", ADDRESS(INDEX($AI$2:$AI$1001,MATCH(ROWS($AG$2:AG481),$AG$2:$AG$1001,0),0), INDEX($AN$1004:$BO$1004,1,MATCH(COLUMNS($AN$1006:BM1006),$AN$1006:$BO$1006,0)))),"Fix")))</f>
        <v>0</v>
      </c>
      <c r="AB481" s="4">
        <f>IF(OR(INDEX($AH$2:$AH$1001,MATCH(ROWS($AG$2:AG481),$AG$2:$AG$1001,0),1)&gt;=100000,INDEX($AN$1005:$BO$1005,1,MATCH(COLUMNS($AN$1006:BN1006),$AN$1006:$BO$1006,0))&gt;=100000), " ",IF(INDEX($AN$2:$BO$1001,MATCH(ROWS($AG$2:AG481),$AG$2:$AG$1001,0),MATCH(COLUMNS($AN$1006:BN1006),$AN$1006:$BO$1006,0)), HYPERLINK("#",""), HYPERLINK(CONCATENATE("#Metadata!", ADDRESS(INDEX($AI$2:$AI$1001,MATCH(ROWS($AG$2:AG481),$AG$2:$AG$1001,0),0), INDEX($AN$1004:$BO$1004,1,MATCH(COLUMNS($AN$1006:BN1006),$AN$1006:$BO$1006,0)))),"Fix")))</f>
        <v>0</v>
      </c>
      <c r="AC481" s="4">
        <f>IF(OR(INDEX($AH$2:$AH$1001,MATCH(ROWS($AG$2:AG481),$AG$2:$AG$1001,0),1)&gt;=100000,INDEX($AN$1005:$BO$1005,1,MATCH(COLUMNS($AN$1006:BO1006),$AN$1006:$BO$1006,0))&gt;=100000), " ",IF(INDEX($AN$2:$BO$1001,MATCH(ROWS($AG$2:AG481),$AG$2:$AG$1001,0),MATCH(COLUMNS($AN$1006:BO1006),$AN$1006:$BO$1006,0)), HYPERLINK("#",""), HYPERLINK(CONCATENATE("#Metadata!", ADDRESS(INDEX($AI$2:$AI$1001,MATCH(ROWS($AG$2:AG481),$AG$2:$AG$1001,0),0), INDEX($AN$1004:$BO$1004,1,MATCH(COLUMNS($AN$1006:BO1006),$AN$1006:$BO$1006,0)))),"Fix")))</f>
        <v>0</v>
      </c>
      <c r="AG481">
        <v>0</v>
      </c>
      <c r="AH481">
        <v>0</v>
      </c>
      <c r="AI481">
        <v>0</v>
      </c>
      <c r="AJ481">
        <f>IF(AK481,TRUE,AND(AN481:BO481))</f>
        <v>0</v>
      </c>
      <c r="AK481">
        <f>COUNTBLANK(Metadata!B481:AC481)=COLUMNS(Metadata!B481:AC481)</f>
        <v>0</v>
      </c>
      <c r="AL481">
        <v>0</v>
      </c>
      <c r="AN481">
        <f>AND(IF(Metadata!B481="",FALSE,TRUE),COUNTIF(Metadata!B:B, Metadata!B481) = 1,NOT(ISERROR(SUMPRODUCT(SEARCH(MID(Metadata!B481,ROW(INDIRECT("1:"&amp;LEN(Metadata!B481))), 1),"0123456789abcdefghijklmnopqrstuvwxyzABCDEFGHIJKLMNOPQRSTUVWXYZ.")))))</f>
        <v>0</v>
      </c>
      <c r="AO481">
        <f>IF(Metadata!C481="",FALSE,TRUE)</f>
        <v>0</v>
      </c>
      <c r="AP481">
        <f>IF(Metadata!D481="",FALSE,TRUE)</f>
        <v>0</v>
      </c>
      <c r="AQ481">
        <f>OR(AND(IF(Metadata!E481="",FALSE,TRUE),OR(exact(Metadata!E481,"not collected"),exact(Metadata!E481,"not provided"),exact(Metadata!E481,"restricted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R481">
        <f>IF(Metadata!F481="",FALSE,TRUE)</f>
        <v>0</v>
      </c>
      <c r="AS481">
        <f>OR(AND(IF(Metadata!G481="",FALSE,TRUE),OR(exact(Metadata!G481,"not collected"),exact(Metadata!G481,"not provided"))),AND(IF(Metadata!G481="",FALSE,TRUE),OR(exact(Metadata!G481,"TRUE"),exact(Metadata!G481,"FALSE"))))</f>
        <v>0</v>
      </c>
      <c r="AT481">
        <f>OR(AND(IF(Metadata!H481="",FALSE,TRUE),OR(exact(Metadata!H481,"not collected"),exact(Metadata!H481,"not provided"),exact(Metadata!H481,"restricted access"))),AND(IF(Metadata!H481="",FALSE,ISNUMBER(VALUE(Metadata!H481))),Metadata!H481&gt;=-413.0))</f>
        <v>0</v>
      </c>
      <c r="AU481">
        <f>AND(IF(Metadata!I481="",FALSE,TRUE),exact(Metadata!I481,"meters"))</f>
        <v>0</v>
      </c>
      <c r="AV481">
        <f>AND(IF(Metadata!J481="",FALSE,TRUE),OR(exact(Metadata!J481,"Host-associated"),exact(Metadata!J481,"Free-living")))</f>
        <v>0</v>
      </c>
      <c r="AW481">
        <f>AND(IF(Metadata!K481="",FALSE,TRUE),OR(exact(Metadata!K481,"Animal"),exact(Metadata!K481,"Fungus"),exact(Metadata!K481,"Plant"),exact(Metadata!K481,"Saline"),exact(Metadata!K481,"Non-saline")))</f>
        <v>0</v>
      </c>
      <c r="AX481">
        <f>AND(IF(Metadata!L481="",FALSE,TRUE),OR(exact(Metadata!L481,"Plant secretion"),exact(Metadata!L481,"Plant rhizosphere"),exact(Metadata!L481,"Plant surface"),exact(Metadata!L481,"Plant corpus"),exact(Metadata!L481,"Fungus surface"),exact(Metadata!L481,"Fungus corpus"),exact(Metadata!L481,"Animal surface"),exact(Metadata!L481,"Animal proximal gut"),exact(Metadata!L481,"Animal corpus"),exact(Metadata!L481,"Animal distal gut"),exact(Metadata!L481,"Animal secretion"),exact(Metadata!L481,"Sub-surface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Y481">
        <f>IF(Metadata!M481="",FALSE,TRUE)</f>
        <v>0</v>
      </c>
      <c r="AZ481">
        <f>IF(Metadata!N481="",FALSE,TRUE)</f>
        <v>0</v>
      </c>
      <c r="BA481">
        <f>IF(Metadata!O481="",FALSE,TRUE)</f>
        <v>0</v>
      </c>
      <c r="BB481">
        <f>OR(AND(IF(Metadata!P481="",FALSE,TRUE),OR(exact(Metadata!P481,"not collected"),exact(Metadata!P481,"not provided"),exact(Metadata!P481,"restricted access"))),AND(IF(Metadata!P481="",FALSE,TRUE),OR(exact(Metadata!P481,"air"),exact(Metadata!P481,"built environment"),exact(Metadata!P481,"host-associated"),exact(Metadata!P481,"human-associated"),exact(Metadata!P481,"human-skin"),exact(Metadata!P481,"human-oral"),exact(Metadata!P481,"human-gut"),exact(Metadata!P481,"human-vaginal"),exact(Metadata!P481,"microbial mat/biofilm"),exact(Metadata!P481,"misc environment"),exact(Metadata!P481,"plant-associated"),exact(Metadata!P481,"sediment"),exact(Metadata!P481,"soil"),exact(Metadata!P481,"wastewater/sludge"),exact(Metadata!P481,"water"))))</f>
        <v>0</v>
      </c>
      <c r="BC481">
        <f>IF(Metadata!Q481="",FALSE,TRUE)</f>
        <v>0</v>
      </c>
      <c r="BD481">
        <f>IF(Metadata!R481="",FALSE,TRUE)</f>
        <v>0</v>
      </c>
      <c r="BE481">
        <f>OR(AND(IF(Metadata!S481="",FALSE,TRUE),OR(exact(Metadata!S481,"not collected"),exact(Metadata!S481,"not provided"),exact(Metadata!S481,"restricted access"))),AND(IF(Metadata!S481="",FALSE,ISNUMBER(VALUE(Metadata!S481))),Metadata!S481&gt;=-90.00,Metadata!S481&lt;=90.00))</f>
        <v>0</v>
      </c>
      <c r="BF481">
        <f>AND(IF(Metadata!T481="",FALSE,TRUE),exact(Metadata!T481,"Decimal degrees"))</f>
        <v>0</v>
      </c>
      <c r="BG481">
        <f>OR(AND(IF(Metadata!U481="",FALSE,TRUE),OR(exact(Metadata!U481,"not collected"),exact(Metadata!U481,"not provided"),exact(Metadata!U481,"restricted access"))),AND(IF(Metadata!U481="",FALSE,ISNUMBER(VALUE(Metadata!U481))),Metadata!U481&gt;=-180.00,Metadata!U481&lt;=180.00))</f>
        <v>0</v>
      </c>
      <c r="BH481">
        <f>AND(IF(Metadata!V481="",FALSE,TRUE),exact(Metadata!V481,"Decimal degrees"))</f>
        <v>0</v>
      </c>
      <c r="BI481">
        <f>IF(Metadata!W481="",FALSE,TRUE)</f>
        <v>0</v>
      </c>
      <c r="BJ481">
        <f>OR(AND(IF(Metadata!X481="",FALSE,TRUE),OR(exact(Metadata!X481,"not collected"),exact(Metadata!X481,"not provided"),exact(Metadata!X481,"restricted access"))),AND(IF(Metadata!X481="",FALSE,TRUE),OR(exact(Metadata!X481,"TRUE"),exact(Metadata!X481,"FALSE"))))</f>
        <v>0</v>
      </c>
      <c r="BK481">
        <f>AND(IF(Metadata!Y481="",FALSE,TRUE),exact(Metadata!Y481,"other"))</f>
        <v>0</v>
      </c>
      <c r="BL481">
        <f>IF(Metadata!Z481="",FALSE,TRUE)</f>
        <v>0</v>
      </c>
      <c r="BM481">
        <f>OR(AND(IF(Metadata!AA481="",FALSE,TRUE),OR(exact(Metadata!AA481,"not collected"),exact(Metadata!AA481,"not provided"))),AND(IF(Metadata!AA481="",FALSE,IF(ISERROR(INT(Metadata!AA481)),FALSE,INT(Metadata!AA481)=Metadata!AA481)),Metadata!AA481&gt;0))</f>
        <v>0</v>
      </c>
      <c r="BN481">
        <f>AND(IF(Metadata!AB481="",FALSE,TRUE),exact(Metadata!AB481,"Not applicable"))</f>
        <v>0</v>
      </c>
      <c r="BO481">
        <f>IF(Metadata!AC481="",FALSE,TRUE)</f>
        <v>0</v>
      </c>
    </row>
    <row r="482" spans="1:67">
      <c r="A482" s="5">
        <f>IF(B482=" "," ",HYPERLINK(CONCATENATE("#metadata!",ADDRESS(INDEX($AI$2:$AI$1001,MATCH(ROWS($AG$2:AG482),$AG$2:$AG$1001,0),0),1)),INDEX($AL$2:$AL$1001,MATCH(ROWS($AG$2:AG482),$AG$2:$AG$1001,0),0)))</f>
        <v>0</v>
      </c>
      <c r="B482" s="4">
        <f>IF(OR(INDEX($AH$2:$AH$1001,MATCH(ROWS($AG$2:AG482),$AG$2:$AG$1001,0),1)&gt;=100000,INDEX($AN$1005:$BO$1005,1,MATCH(COLUMNS($AN$1006:AN1006),$AN$1006:$BO$1006,0))&gt;=100000), " ",IF(INDEX($AN$2:$BO$1001,MATCH(ROWS($AG$2:AG482),$AG$2:$AG$1001,0),MATCH(COLUMNS($AN$1006:AN1006),$AN$1006:$BO$1006,0)), HYPERLINK("#",""), HYPERLINK(CONCATENATE("#Metadata!", ADDRESS(INDEX($AI$2:$AI$1001,MATCH(ROWS($AG$2:AG482),$AG$2:$AG$1001,0),0), INDEX($AN$1004:$BO$1004,1,MATCH(COLUMNS($AN$1006:AN1006),$AN$1006:$BO$1006,0)))),"Fix")))</f>
        <v>0</v>
      </c>
      <c r="C482" s="4">
        <f>IF(OR(INDEX($AH$2:$AH$1001,MATCH(ROWS($AG$2:AG482),$AG$2:$AG$1001,0),1)&gt;=100000,INDEX($AN$1005:$BO$1005,1,MATCH(COLUMNS($AN$1006:AO1006),$AN$1006:$BO$1006,0))&gt;=100000), " ",IF(INDEX($AN$2:$BO$1001,MATCH(ROWS($AG$2:AG482),$AG$2:$AG$1001,0),MATCH(COLUMNS($AN$1006:AO1006),$AN$1006:$BO$1006,0)), HYPERLINK("#",""), HYPERLINK(CONCATENATE("#Metadata!", ADDRESS(INDEX($AI$2:$AI$1001,MATCH(ROWS($AG$2:AG482),$AG$2:$AG$1001,0),0), INDEX($AN$1004:$BO$1004,1,MATCH(COLUMNS($AN$1006:AO1006),$AN$1006:$BO$1006,0)))),"Fix")))</f>
        <v>0</v>
      </c>
      <c r="D482" s="4">
        <f>IF(OR(INDEX($AH$2:$AH$1001,MATCH(ROWS($AG$2:AG482),$AG$2:$AG$1001,0),1)&gt;=100000,INDEX($AN$1005:$BO$1005,1,MATCH(COLUMNS($AN$1006:AP1006),$AN$1006:$BO$1006,0))&gt;=100000), " ",IF(INDEX($AN$2:$BO$1001,MATCH(ROWS($AG$2:AG482),$AG$2:$AG$1001,0),MATCH(COLUMNS($AN$1006:AP1006),$AN$1006:$BO$1006,0)), HYPERLINK("#",""), HYPERLINK(CONCATENATE("#Metadata!", ADDRESS(INDEX($AI$2:$AI$1001,MATCH(ROWS($AG$2:AG482),$AG$2:$AG$1001,0),0), INDEX($AN$1004:$BO$1004,1,MATCH(COLUMNS($AN$1006:AP1006),$AN$1006:$BO$1006,0)))),"Fix")))</f>
        <v>0</v>
      </c>
      <c r="E482" s="4">
        <f>IF(OR(INDEX($AH$2:$AH$1001,MATCH(ROWS($AG$2:AG482),$AG$2:$AG$1001,0),1)&gt;=100000,INDEX($AN$1005:$BO$1005,1,MATCH(COLUMNS($AN$1006:AQ1006),$AN$1006:$BO$1006,0))&gt;=100000), " ",IF(INDEX($AN$2:$BO$1001,MATCH(ROWS($AG$2:AG482),$AG$2:$AG$1001,0),MATCH(COLUMNS($AN$1006:AQ1006),$AN$1006:$BO$1006,0)), HYPERLINK("#",""), HYPERLINK(CONCATENATE("#Metadata!", ADDRESS(INDEX($AI$2:$AI$1001,MATCH(ROWS($AG$2:AG482),$AG$2:$AG$1001,0),0), INDEX($AN$1004:$BO$1004,1,MATCH(COLUMNS($AN$1006:AQ1006),$AN$1006:$BO$1006,0)))),"Fix")))</f>
        <v>0</v>
      </c>
      <c r="F482" s="4">
        <f>IF(OR(INDEX($AH$2:$AH$1001,MATCH(ROWS($AG$2:AG482),$AG$2:$AG$1001,0),1)&gt;=100000,INDEX($AN$1005:$BO$1005,1,MATCH(COLUMNS($AN$1006:AR1006),$AN$1006:$BO$1006,0))&gt;=100000), " ",IF(INDEX($AN$2:$BO$1001,MATCH(ROWS($AG$2:AG482),$AG$2:$AG$1001,0),MATCH(COLUMNS($AN$1006:AR1006),$AN$1006:$BO$1006,0)), HYPERLINK("#",""), HYPERLINK(CONCATENATE("#Metadata!", ADDRESS(INDEX($AI$2:$AI$1001,MATCH(ROWS($AG$2:AG482),$AG$2:$AG$1001,0),0), INDEX($AN$1004:$BO$1004,1,MATCH(COLUMNS($AN$1006:AR1006),$AN$1006:$BO$1006,0)))),"Fix")))</f>
        <v>0</v>
      </c>
      <c r="G482" s="4">
        <f>IF(OR(INDEX($AH$2:$AH$1001,MATCH(ROWS($AG$2:AG482),$AG$2:$AG$1001,0),1)&gt;=100000,INDEX($AN$1005:$BO$1005,1,MATCH(COLUMNS($AN$1006:AS1006),$AN$1006:$BO$1006,0))&gt;=100000), " ",IF(INDEX($AN$2:$BO$1001,MATCH(ROWS($AG$2:AG482),$AG$2:$AG$1001,0),MATCH(COLUMNS($AN$1006:AS1006),$AN$1006:$BO$1006,0)), HYPERLINK("#",""), HYPERLINK(CONCATENATE("#Metadata!", ADDRESS(INDEX($AI$2:$AI$1001,MATCH(ROWS($AG$2:AG482),$AG$2:$AG$1001,0),0), INDEX($AN$1004:$BO$1004,1,MATCH(COLUMNS($AN$1006:AS1006),$AN$1006:$BO$1006,0)))),"Fix")))</f>
        <v>0</v>
      </c>
      <c r="H482" s="4">
        <f>IF(OR(INDEX($AH$2:$AH$1001,MATCH(ROWS($AG$2:AG482),$AG$2:$AG$1001,0),1)&gt;=100000,INDEX($AN$1005:$BO$1005,1,MATCH(COLUMNS($AN$1006:AT1006),$AN$1006:$BO$1006,0))&gt;=100000), " ",IF(INDEX($AN$2:$BO$1001,MATCH(ROWS($AG$2:AG482),$AG$2:$AG$1001,0),MATCH(COLUMNS($AN$1006:AT1006),$AN$1006:$BO$1006,0)), HYPERLINK("#",""), HYPERLINK(CONCATENATE("#Metadata!", ADDRESS(INDEX($AI$2:$AI$1001,MATCH(ROWS($AG$2:AG482),$AG$2:$AG$1001,0),0), INDEX($AN$1004:$BO$1004,1,MATCH(COLUMNS($AN$1006:AT1006),$AN$1006:$BO$1006,0)))),"Fix")))</f>
        <v>0</v>
      </c>
      <c r="I482" s="4">
        <f>IF(OR(INDEX($AH$2:$AH$1001,MATCH(ROWS($AG$2:AG482),$AG$2:$AG$1001,0),1)&gt;=100000,INDEX($AN$1005:$BO$1005,1,MATCH(COLUMNS($AN$1006:AU1006),$AN$1006:$BO$1006,0))&gt;=100000), " ",IF(INDEX($AN$2:$BO$1001,MATCH(ROWS($AG$2:AG482),$AG$2:$AG$1001,0),MATCH(COLUMNS($AN$1006:AU1006),$AN$1006:$BO$1006,0)), HYPERLINK("#",""), HYPERLINK(CONCATENATE("#Metadata!", ADDRESS(INDEX($AI$2:$AI$1001,MATCH(ROWS($AG$2:AG482),$AG$2:$AG$1001,0),0), INDEX($AN$1004:$BO$1004,1,MATCH(COLUMNS($AN$1006:AU1006),$AN$1006:$BO$1006,0)))),"Fix")))</f>
        <v>0</v>
      </c>
      <c r="J482" s="4">
        <f>IF(OR(INDEX($AH$2:$AH$1001,MATCH(ROWS($AG$2:AG482),$AG$2:$AG$1001,0),1)&gt;=100000,INDEX($AN$1005:$BO$1005,1,MATCH(COLUMNS($AN$1006:AV1006),$AN$1006:$BO$1006,0))&gt;=100000), " ",IF(INDEX($AN$2:$BO$1001,MATCH(ROWS($AG$2:AG482),$AG$2:$AG$1001,0),MATCH(COLUMNS($AN$1006:AV1006),$AN$1006:$BO$1006,0)), HYPERLINK("#",""), HYPERLINK(CONCATENATE("#Metadata!", ADDRESS(INDEX($AI$2:$AI$1001,MATCH(ROWS($AG$2:AG482),$AG$2:$AG$1001,0),0), INDEX($AN$1004:$BO$1004,1,MATCH(COLUMNS($AN$1006:AV1006),$AN$1006:$BO$1006,0)))),"Fix")))</f>
        <v>0</v>
      </c>
      <c r="K482" s="4">
        <f>IF(OR(INDEX($AH$2:$AH$1001,MATCH(ROWS($AG$2:AG482),$AG$2:$AG$1001,0),1)&gt;=100000,INDEX($AN$1005:$BO$1005,1,MATCH(COLUMNS($AN$1006:AW1006),$AN$1006:$BO$1006,0))&gt;=100000), " ",IF(INDEX($AN$2:$BO$1001,MATCH(ROWS($AG$2:AG482),$AG$2:$AG$1001,0),MATCH(COLUMNS($AN$1006:AW1006),$AN$1006:$BO$1006,0)), HYPERLINK("#",""), HYPERLINK(CONCATENATE("#Metadata!", ADDRESS(INDEX($AI$2:$AI$1001,MATCH(ROWS($AG$2:AG482),$AG$2:$AG$1001,0),0), INDEX($AN$1004:$BO$1004,1,MATCH(COLUMNS($AN$1006:AW1006),$AN$1006:$BO$1006,0)))),"Fix")))</f>
        <v>0</v>
      </c>
      <c r="L482" s="4">
        <f>IF(OR(INDEX($AH$2:$AH$1001,MATCH(ROWS($AG$2:AG482),$AG$2:$AG$1001,0),1)&gt;=100000,INDEX($AN$1005:$BO$1005,1,MATCH(COLUMNS($AN$1006:AX1006),$AN$1006:$BO$1006,0))&gt;=100000), " ",IF(INDEX($AN$2:$BO$1001,MATCH(ROWS($AG$2:AG482),$AG$2:$AG$1001,0),MATCH(COLUMNS($AN$1006:AX1006),$AN$1006:$BO$1006,0)), HYPERLINK("#",""), HYPERLINK(CONCATENATE("#Metadata!", ADDRESS(INDEX($AI$2:$AI$1001,MATCH(ROWS($AG$2:AG482),$AG$2:$AG$1001,0),0), INDEX($AN$1004:$BO$1004,1,MATCH(COLUMNS($AN$1006:AX1006),$AN$1006:$BO$1006,0)))),"Fix")))</f>
        <v>0</v>
      </c>
      <c r="M482" s="4">
        <f>IF(OR(INDEX($AH$2:$AH$1001,MATCH(ROWS($AG$2:AG482),$AG$2:$AG$1001,0),1)&gt;=100000,INDEX($AN$1005:$BO$1005,1,MATCH(COLUMNS($AN$1006:AY1006),$AN$1006:$BO$1006,0))&gt;=100000), " ",IF(INDEX($AN$2:$BO$1001,MATCH(ROWS($AG$2:AG482),$AG$2:$AG$1001,0),MATCH(COLUMNS($AN$1006:AY1006),$AN$1006:$BO$1006,0)), HYPERLINK("#",""), HYPERLINK(CONCATENATE("#Metadata!", ADDRESS(INDEX($AI$2:$AI$1001,MATCH(ROWS($AG$2:AG482),$AG$2:$AG$1001,0),0), INDEX($AN$1004:$BO$1004,1,MATCH(COLUMNS($AN$1006:AY1006),$AN$1006:$BO$1006,0)))),"Fix")))</f>
        <v>0</v>
      </c>
      <c r="N482" s="4">
        <f>IF(OR(INDEX($AH$2:$AH$1001,MATCH(ROWS($AG$2:AG482),$AG$2:$AG$1001,0),1)&gt;=100000,INDEX($AN$1005:$BO$1005,1,MATCH(COLUMNS($AN$1006:AZ1006),$AN$1006:$BO$1006,0))&gt;=100000), " ",IF(INDEX($AN$2:$BO$1001,MATCH(ROWS($AG$2:AG482),$AG$2:$AG$1001,0),MATCH(COLUMNS($AN$1006:AZ1006),$AN$1006:$BO$1006,0)), HYPERLINK("#",""), HYPERLINK(CONCATENATE("#Metadata!", ADDRESS(INDEX($AI$2:$AI$1001,MATCH(ROWS($AG$2:AG482),$AG$2:$AG$1001,0),0), INDEX($AN$1004:$BO$1004,1,MATCH(COLUMNS($AN$1006:AZ1006),$AN$1006:$BO$1006,0)))),"Fix")))</f>
        <v>0</v>
      </c>
      <c r="O482" s="4">
        <f>IF(OR(INDEX($AH$2:$AH$1001,MATCH(ROWS($AG$2:AG482),$AG$2:$AG$1001,0),1)&gt;=100000,INDEX($AN$1005:$BO$1005,1,MATCH(COLUMNS($AN$1006:BA1006),$AN$1006:$BO$1006,0))&gt;=100000), " ",IF(INDEX($AN$2:$BO$1001,MATCH(ROWS($AG$2:AG482),$AG$2:$AG$1001,0),MATCH(COLUMNS($AN$1006:BA1006),$AN$1006:$BO$1006,0)), HYPERLINK("#",""), HYPERLINK(CONCATENATE("#Metadata!", ADDRESS(INDEX($AI$2:$AI$1001,MATCH(ROWS($AG$2:AG482),$AG$2:$AG$1001,0),0), INDEX($AN$1004:$BO$1004,1,MATCH(COLUMNS($AN$1006:BA1006),$AN$1006:$BO$1006,0)))),"Fix")))</f>
        <v>0</v>
      </c>
      <c r="P482" s="4">
        <f>IF(OR(INDEX($AH$2:$AH$1001,MATCH(ROWS($AG$2:AG482),$AG$2:$AG$1001,0),1)&gt;=100000,INDEX($AN$1005:$BO$1005,1,MATCH(COLUMNS($AN$1006:BB1006),$AN$1006:$BO$1006,0))&gt;=100000), " ",IF(INDEX($AN$2:$BO$1001,MATCH(ROWS($AG$2:AG482),$AG$2:$AG$1001,0),MATCH(COLUMNS($AN$1006:BB1006),$AN$1006:$BO$1006,0)), HYPERLINK("#",""), HYPERLINK(CONCATENATE("#Metadata!", ADDRESS(INDEX($AI$2:$AI$1001,MATCH(ROWS($AG$2:AG482),$AG$2:$AG$1001,0),0), INDEX($AN$1004:$BO$1004,1,MATCH(COLUMNS($AN$1006:BB1006),$AN$1006:$BO$1006,0)))),"Fix")))</f>
        <v>0</v>
      </c>
      <c r="Q482" s="4">
        <f>IF(OR(INDEX($AH$2:$AH$1001,MATCH(ROWS($AG$2:AG482),$AG$2:$AG$1001,0),1)&gt;=100000,INDEX($AN$1005:$BO$1005,1,MATCH(COLUMNS($AN$1006:BC1006),$AN$1006:$BO$1006,0))&gt;=100000), " ",IF(INDEX($AN$2:$BO$1001,MATCH(ROWS($AG$2:AG482),$AG$2:$AG$1001,0),MATCH(COLUMNS($AN$1006:BC1006),$AN$1006:$BO$1006,0)), HYPERLINK("#",""), HYPERLINK(CONCATENATE("#Metadata!", ADDRESS(INDEX($AI$2:$AI$1001,MATCH(ROWS($AG$2:AG482),$AG$2:$AG$1001,0),0), INDEX($AN$1004:$BO$1004,1,MATCH(COLUMNS($AN$1006:BC1006),$AN$1006:$BO$1006,0)))),"Fix")))</f>
        <v>0</v>
      </c>
      <c r="R482" s="4">
        <f>IF(OR(INDEX($AH$2:$AH$1001,MATCH(ROWS($AG$2:AG482),$AG$2:$AG$1001,0),1)&gt;=100000,INDEX($AN$1005:$BO$1005,1,MATCH(COLUMNS($AN$1006:BD1006),$AN$1006:$BO$1006,0))&gt;=100000), " ",IF(INDEX($AN$2:$BO$1001,MATCH(ROWS($AG$2:AG482),$AG$2:$AG$1001,0),MATCH(COLUMNS($AN$1006:BD1006),$AN$1006:$BO$1006,0)), HYPERLINK("#",""), HYPERLINK(CONCATENATE("#Metadata!", ADDRESS(INDEX($AI$2:$AI$1001,MATCH(ROWS($AG$2:AG482),$AG$2:$AG$1001,0),0), INDEX($AN$1004:$BO$1004,1,MATCH(COLUMNS($AN$1006:BD1006),$AN$1006:$BO$1006,0)))),"Fix")))</f>
        <v>0</v>
      </c>
      <c r="S482" s="4">
        <f>IF(OR(INDEX($AH$2:$AH$1001,MATCH(ROWS($AG$2:AG482),$AG$2:$AG$1001,0),1)&gt;=100000,INDEX($AN$1005:$BO$1005,1,MATCH(COLUMNS($AN$1006:BE1006),$AN$1006:$BO$1006,0))&gt;=100000), " ",IF(INDEX($AN$2:$BO$1001,MATCH(ROWS($AG$2:AG482),$AG$2:$AG$1001,0),MATCH(COLUMNS($AN$1006:BE1006),$AN$1006:$BO$1006,0)), HYPERLINK("#",""), HYPERLINK(CONCATENATE("#Metadata!", ADDRESS(INDEX($AI$2:$AI$1001,MATCH(ROWS($AG$2:AG482),$AG$2:$AG$1001,0),0), INDEX($AN$1004:$BO$1004,1,MATCH(COLUMNS($AN$1006:BE1006),$AN$1006:$BO$1006,0)))),"Fix")))</f>
        <v>0</v>
      </c>
      <c r="T482" s="4">
        <f>IF(OR(INDEX($AH$2:$AH$1001,MATCH(ROWS($AG$2:AG482),$AG$2:$AG$1001,0),1)&gt;=100000,INDEX($AN$1005:$BO$1005,1,MATCH(COLUMNS($AN$1006:BF1006),$AN$1006:$BO$1006,0))&gt;=100000), " ",IF(INDEX($AN$2:$BO$1001,MATCH(ROWS($AG$2:AG482),$AG$2:$AG$1001,0),MATCH(COLUMNS($AN$1006:BF1006),$AN$1006:$BO$1006,0)), HYPERLINK("#",""), HYPERLINK(CONCATENATE("#Metadata!", ADDRESS(INDEX($AI$2:$AI$1001,MATCH(ROWS($AG$2:AG482),$AG$2:$AG$1001,0),0), INDEX($AN$1004:$BO$1004,1,MATCH(COLUMNS($AN$1006:BF1006),$AN$1006:$BO$1006,0)))),"Fix")))</f>
        <v>0</v>
      </c>
      <c r="U482" s="4">
        <f>IF(OR(INDEX($AH$2:$AH$1001,MATCH(ROWS($AG$2:AG482),$AG$2:$AG$1001,0),1)&gt;=100000,INDEX($AN$1005:$BO$1005,1,MATCH(COLUMNS($AN$1006:BG1006),$AN$1006:$BO$1006,0))&gt;=100000), " ",IF(INDEX($AN$2:$BO$1001,MATCH(ROWS($AG$2:AG482),$AG$2:$AG$1001,0),MATCH(COLUMNS($AN$1006:BG1006),$AN$1006:$BO$1006,0)), HYPERLINK("#",""), HYPERLINK(CONCATENATE("#Metadata!", ADDRESS(INDEX($AI$2:$AI$1001,MATCH(ROWS($AG$2:AG482),$AG$2:$AG$1001,0),0), INDEX($AN$1004:$BO$1004,1,MATCH(COLUMNS($AN$1006:BG1006),$AN$1006:$BO$1006,0)))),"Fix")))</f>
        <v>0</v>
      </c>
      <c r="V482" s="4">
        <f>IF(OR(INDEX($AH$2:$AH$1001,MATCH(ROWS($AG$2:AG482),$AG$2:$AG$1001,0),1)&gt;=100000,INDEX($AN$1005:$BO$1005,1,MATCH(COLUMNS($AN$1006:BH1006),$AN$1006:$BO$1006,0))&gt;=100000), " ",IF(INDEX($AN$2:$BO$1001,MATCH(ROWS($AG$2:AG482),$AG$2:$AG$1001,0),MATCH(COLUMNS($AN$1006:BH1006),$AN$1006:$BO$1006,0)), HYPERLINK("#",""), HYPERLINK(CONCATENATE("#Metadata!", ADDRESS(INDEX($AI$2:$AI$1001,MATCH(ROWS($AG$2:AG482),$AG$2:$AG$1001,0),0), INDEX($AN$1004:$BO$1004,1,MATCH(COLUMNS($AN$1006:BH1006),$AN$1006:$BO$1006,0)))),"Fix")))</f>
        <v>0</v>
      </c>
      <c r="W482" s="4">
        <f>IF(OR(INDEX($AH$2:$AH$1001,MATCH(ROWS($AG$2:AG482),$AG$2:$AG$1001,0),1)&gt;=100000,INDEX($AN$1005:$BO$1005,1,MATCH(COLUMNS($AN$1006:BI1006),$AN$1006:$BO$1006,0))&gt;=100000), " ",IF(INDEX($AN$2:$BO$1001,MATCH(ROWS($AG$2:AG482),$AG$2:$AG$1001,0),MATCH(COLUMNS($AN$1006:BI1006),$AN$1006:$BO$1006,0)), HYPERLINK("#",""), HYPERLINK(CONCATENATE("#Metadata!", ADDRESS(INDEX($AI$2:$AI$1001,MATCH(ROWS($AG$2:AG482),$AG$2:$AG$1001,0),0), INDEX($AN$1004:$BO$1004,1,MATCH(COLUMNS($AN$1006:BI1006),$AN$1006:$BO$1006,0)))),"Fix")))</f>
        <v>0</v>
      </c>
      <c r="X482" s="4">
        <f>IF(OR(INDEX($AH$2:$AH$1001,MATCH(ROWS($AG$2:AG482),$AG$2:$AG$1001,0),1)&gt;=100000,INDEX($AN$1005:$BO$1005,1,MATCH(COLUMNS($AN$1006:BJ1006),$AN$1006:$BO$1006,0))&gt;=100000), " ",IF(INDEX($AN$2:$BO$1001,MATCH(ROWS($AG$2:AG482),$AG$2:$AG$1001,0),MATCH(COLUMNS($AN$1006:BJ1006),$AN$1006:$BO$1006,0)), HYPERLINK("#",""), HYPERLINK(CONCATENATE("#Metadata!", ADDRESS(INDEX($AI$2:$AI$1001,MATCH(ROWS($AG$2:AG482),$AG$2:$AG$1001,0),0), INDEX($AN$1004:$BO$1004,1,MATCH(COLUMNS($AN$1006:BJ1006),$AN$1006:$BO$1006,0)))),"Fix")))</f>
        <v>0</v>
      </c>
      <c r="Y482" s="4">
        <f>IF(OR(INDEX($AH$2:$AH$1001,MATCH(ROWS($AG$2:AG482),$AG$2:$AG$1001,0),1)&gt;=100000,INDEX($AN$1005:$BO$1005,1,MATCH(COLUMNS($AN$1006:BK1006),$AN$1006:$BO$1006,0))&gt;=100000), " ",IF(INDEX($AN$2:$BO$1001,MATCH(ROWS($AG$2:AG482),$AG$2:$AG$1001,0),MATCH(COLUMNS($AN$1006:BK1006),$AN$1006:$BO$1006,0)), HYPERLINK("#",""), HYPERLINK(CONCATENATE("#Metadata!", ADDRESS(INDEX($AI$2:$AI$1001,MATCH(ROWS($AG$2:AG482),$AG$2:$AG$1001,0),0), INDEX($AN$1004:$BO$1004,1,MATCH(COLUMNS($AN$1006:BK1006),$AN$1006:$BO$1006,0)))),"Fix")))</f>
        <v>0</v>
      </c>
      <c r="Z482" s="4">
        <f>IF(OR(INDEX($AH$2:$AH$1001,MATCH(ROWS($AG$2:AG482),$AG$2:$AG$1001,0),1)&gt;=100000,INDEX($AN$1005:$BO$1005,1,MATCH(COLUMNS($AN$1006:BL1006),$AN$1006:$BO$1006,0))&gt;=100000), " ",IF(INDEX($AN$2:$BO$1001,MATCH(ROWS($AG$2:AG482),$AG$2:$AG$1001,0),MATCH(COLUMNS($AN$1006:BL1006),$AN$1006:$BO$1006,0)), HYPERLINK("#",""), HYPERLINK(CONCATENATE("#Metadata!", ADDRESS(INDEX($AI$2:$AI$1001,MATCH(ROWS($AG$2:AG482),$AG$2:$AG$1001,0),0), INDEX($AN$1004:$BO$1004,1,MATCH(COLUMNS($AN$1006:BL1006),$AN$1006:$BO$1006,0)))),"Fix")))</f>
        <v>0</v>
      </c>
      <c r="AA482" s="4">
        <f>IF(OR(INDEX($AH$2:$AH$1001,MATCH(ROWS($AG$2:AG482),$AG$2:$AG$1001,0),1)&gt;=100000,INDEX($AN$1005:$BO$1005,1,MATCH(COLUMNS($AN$1006:BM1006),$AN$1006:$BO$1006,0))&gt;=100000), " ",IF(INDEX($AN$2:$BO$1001,MATCH(ROWS($AG$2:AG482),$AG$2:$AG$1001,0),MATCH(COLUMNS($AN$1006:BM1006),$AN$1006:$BO$1006,0)), HYPERLINK("#",""), HYPERLINK(CONCATENATE("#Metadata!", ADDRESS(INDEX($AI$2:$AI$1001,MATCH(ROWS($AG$2:AG482),$AG$2:$AG$1001,0),0), INDEX($AN$1004:$BO$1004,1,MATCH(COLUMNS($AN$1006:BM1006),$AN$1006:$BO$1006,0)))),"Fix")))</f>
        <v>0</v>
      </c>
      <c r="AB482" s="4">
        <f>IF(OR(INDEX($AH$2:$AH$1001,MATCH(ROWS($AG$2:AG482),$AG$2:$AG$1001,0),1)&gt;=100000,INDEX($AN$1005:$BO$1005,1,MATCH(COLUMNS($AN$1006:BN1006),$AN$1006:$BO$1006,0))&gt;=100000), " ",IF(INDEX($AN$2:$BO$1001,MATCH(ROWS($AG$2:AG482),$AG$2:$AG$1001,0),MATCH(COLUMNS($AN$1006:BN1006),$AN$1006:$BO$1006,0)), HYPERLINK("#",""), HYPERLINK(CONCATENATE("#Metadata!", ADDRESS(INDEX($AI$2:$AI$1001,MATCH(ROWS($AG$2:AG482),$AG$2:$AG$1001,0),0), INDEX($AN$1004:$BO$1004,1,MATCH(COLUMNS($AN$1006:BN1006),$AN$1006:$BO$1006,0)))),"Fix")))</f>
        <v>0</v>
      </c>
      <c r="AC482" s="4">
        <f>IF(OR(INDEX($AH$2:$AH$1001,MATCH(ROWS($AG$2:AG482),$AG$2:$AG$1001,0),1)&gt;=100000,INDEX($AN$1005:$BO$1005,1,MATCH(COLUMNS($AN$1006:BO1006),$AN$1006:$BO$1006,0))&gt;=100000), " ",IF(INDEX($AN$2:$BO$1001,MATCH(ROWS($AG$2:AG482),$AG$2:$AG$1001,0),MATCH(COLUMNS($AN$1006:BO1006),$AN$1006:$BO$1006,0)), HYPERLINK("#",""), HYPERLINK(CONCATENATE("#Metadata!", ADDRESS(INDEX($AI$2:$AI$1001,MATCH(ROWS($AG$2:AG482),$AG$2:$AG$1001,0),0), INDEX($AN$1004:$BO$1004,1,MATCH(COLUMNS($AN$1006:BO1006),$AN$1006:$BO$1006,0)))),"Fix")))</f>
        <v>0</v>
      </c>
      <c r="AG482">
        <v>0</v>
      </c>
      <c r="AH482">
        <v>0</v>
      </c>
      <c r="AI482">
        <v>0</v>
      </c>
      <c r="AJ482">
        <f>IF(AK482,TRUE,AND(AN482:BO482))</f>
        <v>0</v>
      </c>
      <c r="AK482">
        <f>COUNTBLANK(Metadata!B482:AC482)=COLUMNS(Metadata!B482:AC482)</f>
        <v>0</v>
      </c>
      <c r="AL482">
        <v>0</v>
      </c>
      <c r="AN482">
        <f>AND(IF(Metadata!B482="",FALSE,TRUE),COUNTIF(Metadata!B:B, Metadata!B482) = 1,NOT(ISERROR(SUMPRODUCT(SEARCH(MID(Metadata!B482,ROW(INDIRECT("1:"&amp;LEN(Metadata!B482))), 1),"0123456789abcdefghijklmnopqrstuvwxyzABCDEFGHIJKLMNOPQRSTUVWXYZ.")))))</f>
        <v>0</v>
      </c>
      <c r="AO482">
        <f>IF(Metadata!C482="",FALSE,TRUE)</f>
        <v>0</v>
      </c>
      <c r="AP482">
        <f>IF(Metadata!D482="",FALSE,TRUE)</f>
        <v>0</v>
      </c>
      <c r="AQ482">
        <f>OR(AND(IF(Metadata!E482="",FALSE,TRUE),OR(exact(Metadata!E482,"not collected"),exact(Metadata!E482,"not provided"),exact(Metadata!E482,"restricted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R482">
        <f>IF(Metadata!F482="",FALSE,TRUE)</f>
        <v>0</v>
      </c>
      <c r="AS482">
        <f>OR(AND(IF(Metadata!G482="",FALSE,TRUE),OR(exact(Metadata!G482,"not collected"),exact(Metadata!G482,"not provided"))),AND(IF(Metadata!G482="",FALSE,TRUE),OR(exact(Metadata!G482,"TRUE"),exact(Metadata!G482,"FALSE"))))</f>
        <v>0</v>
      </c>
      <c r="AT482">
        <f>OR(AND(IF(Metadata!H482="",FALSE,TRUE),OR(exact(Metadata!H482,"not collected"),exact(Metadata!H482,"not provided"),exact(Metadata!H482,"restricted access"))),AND(IF(Metadata!H482="",FALSE,ISNUMBER(VALUE(Metadata!H482))),Metadata!H482&gt;=-413.0))</f>
        <v>0</v>
      </c>
      <c r="AU482">
        <f>AND(IF(Metadata!I482="",FALSE,TRUE),exact(Metadata!I482,"meters"))</f>
        <v>0</v>
      </c>
      <c r="AV482">
        <f>AND(IF(Metadata!J482="",FALSE,TRUE),OR(exact(Metadata!J482,"Host-associated"),exact(Metadata!J482,"Free-living")))</f>
        <v>0</v>
      </c>
      <c r="AW482">
        <f>AND(IF(Metadata!K482="",FALSE,TRUE),OR(exact(Metadata!K482,"Animal"),exact(Metadata!K482,"Fungus"),exact(Metadata!K482,"Plant"),exact(Metadata!K482,"Saline"),exact(Metadata!K482,"Non-saline")))</f>
        <v>0</v>
      </c>
      <c r="AX482">
        <f>AND(IF(Metadata!L482="",FALSE,TRUE),OR(exact(Metadata!L482,"Plant secretion"),exact(Metadata!L482,"Plant rhizosphere"),exact(Metadata!L482,"Plant surface"),exact(Metadata!L482,"Plant corpus"),exact(Metadata!L482,"Fungus surface"),exact(Metadata!L482,"Fungus corpus"),exact(Metadata!L482,"Animal surface"),exact(Metadata!L482,"Animal proximal gut"),exact(Metadata!L482,"Animal corpus"),exact(Metadata!L482,"Animal distal gut"),exact(Metadata!L482,"Animal secretion"),exact(Metadata!L482,"Sub-surface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Y482">
        <f>IF(Metadata!M482="",FALSE,TRUE)</f>
        <v>0</v>
      </c>
      <c r="AZ482">
        <f>IF(Metadata!N482="",FALSE,TRUE)</f>
        <v>0</v>
      </c>
      <c r="BA482">
        <f>IF(Metadata!O482="",FALSE,TRUE)</f>
        <v>0</v>
      </c>
      <c r="BB482">
        <f>OR(AND(IF(Metadata!P482="",FALSE,TRUE),OR(exact(Metadata!P482,"not collected"),exact(Metadata!P482,"not provided"),exact(Metadata!P482,"restricted access"))),AND(IF(Metadata!P482="",FALSE,TRUE),OR(exact(Metadata!P482,"air"),exact(Metadata!P482,"built environment"),exact(Metadata!P482,"host-associated"),exact(Metadata!P482,"human-associated"),exact(Metadata!P482,"human-skin"),exact(Metadata!P482,"human-oral"),exact(Metadata!P482,"human-gut"),exact(Metadata!P482,"human-vaginal"),exact(Metadata!P482,"microbial mat/biofilm"),exact(Metadata!P482,"misc environment"),exact(Metadata!P482,"plant-associated"),exact(Metadata!P482,"sediment"),exact(Metadata!P482,"soil"),exact(Metadata!P482,"wastewater/sludge"),exact(Metadata!P482,"water"))))</f>
        <v>0</v>
      </c>
      <c r="BC482">
        <f>IF(Metadata!Q482="",FALSE,TRUE)</f>
        <v>0</v>
      </c>
      <c r="BD482">
        <f>IF(Metadata!R482="",FALSE,TRUE)</f>
        <v>0</v>
      </c>
      <c r="BE482">
        <f>OR(AND(IF(Metadata!S482="",FALSE,TRUE),OR(exact(Metadata!S482,"not collected"),exact(Metadata!S482,"not provided"),exact(Metadata!S482,"restricted access"))),AND(IF(Metadata!S482="",FALSE,ISNUMBER(VALUE(Metadata!S482))),Metadata!S482&gt;=-90.00,Metadata!S482&lt;=90.00))</f>
        <v>0</v>
      </c>
      <c r="BF482">
        <f>AND(IF(Metadata!T482="",FALSE,TRUE),exact(Metadata!T482,"Decimal degrees"))</f>
        <v>0</v>
      </c>
      <c r="BG482">
        <f>OR(AND(IF(Metadata!U482="",FALSE,TRUE),OR(exact(Metadata!U482,"not collected"),exact(Metadata!U482,"not provided"),exact(Metadata!U482,"restricted access"))),AND(IF(Metadata!U482="",FALSE,ISNUMBER(VALUE(Metadata!U482))),Metadata!U482&gt;=-180.00,Metadata!U482&lt;=180.00))</f>
        <v>0</v>
      </c>
      <c r="BH482">
        <f>AND(IF(Metadata!V482="",FALSE,TRUE),exact(Metadata!V482,"Decimal degrees"))</f>
        <v>0</v>
      </c>
      <c r="BI482">
        <f>IF(Metadata!W482="",FALSE,TRUE)</f>
        <v>0</v>
      </c>
      <c r="BJ482">
        <f>OR(AND(IF(Metadata!X482="",FALSE,TRUE),OR(exact(Metadata!X482,"not collected"),exact(Metadata!X482,"not provided"),exact(Metadata!X482,"restricted access"))),AND(IF(Metadata!X482="",FALSE,TRUE),OR(exact(Metadata!X482,"TRUE"),exact(Metadata!X482,"FALSE"))))</f>
        <v>0</v>
      </c>
      <c r="BK482">
        <f>AND(IF(Metadata!Y482="",FALSE,TRUE),exact(Metadata!Y482,"other"))</f>
        <v>0</v>
      </c>
      <c r="BL482">
        <f>IF(Metadata!Z482="",FALSE,TRUE)</f>
        <v>0</v>
      </c>
      <c r="BM482">
        <f>OR(AND(IF(Metadata!AA482="",FALSE,TRUE),OR(exact(Metadata!AA482,"not collected"),exact(Metadata!AA482,"not provided"))),AND(IF(Metadata!AA482="",FALSE,IF(ISERROR(INT(Metadata!AA482)),FALSE,INT(Metadata!AA482)=Metadata!AA482)),Metadata!AA482&gt;0))</f>
        <v>0</v>
      </c>
      <c r="BN482">
        <f>AND(IF(Metadata!AB482="",FALSE,TRUE),exact(Metadata!AB482,"Not applicable"))</f>
        <v>0</v>
      </c>
      <c r="BO482">
        <f>IF(Metadata!AC482="",FALSE,TRUE)</f>
        <v>0</v>
      </c>
    </row>
    <row r="483" spans="1:67">
      <c r="A483" s="5">
        <f>IF(B483=" "," ",HYPERLINK(CONCATENATE("#metadata!",ADDRESS(INDEX($AI$2:$AI$1001,MATCH(ROWS($AG$2:AG483),$AG$2:$AG$1001,0),0),1)),INDEX($AL$2:$AL$1001,MATCH(ROWS($AG$2:AG483),$AG$2:$AG$1001,0),0)))</f>
        <v>0</v>
      </c>
      <c r="B483" s="4">
        <f>IF(OR(INDEX($AH$2:$AH$1001,MATCH(ROWS($AG$2:AG483),$AG$2:$AG$1001,0),1)&gt;=100000,INDEX($AN$1005:$BO$1005,1,MATCH(COLUMNS($AN$1006:AN1006),$AN$1006:$BO$1006,0))&gt;=100000), " ",IF(INDEX($AN$2:$BO$1001,MATCH(ROWS($AG$2:AG483),$AG$2:$AG$1001,0),MATCH(COLUMNS($AN$1006:AN1006),$AN$1006:$BO$1006,0)), HYPERLINK("#",""), HYPERLINK(CONCATENATE("#Metadata!", ADDRESS(INDEX($AI$2:$AI$1001,MATCH(ROWS($AG$2:AG483),$AG$2:$AG$1001,0),0), INDEX($AN$1004:$BO$1004,1,MATCH(COLUMNS($AN$1006:AN1006),$AN$1006:$BO$1006,0)))),"Fix")))</f>
        <v>0</v>
      </c>
      <c r="C483" s="4">
        <f>IF(OR(INDEX($AH$2:$AH$1001,MATCH(ROWS($AG$2:AG483),$AG$2:$AG$1001,0),1)&gt;=100000,INDEX($AN$1005:$BO$1005,1,MATCH(COLUMNS($AN$1006:AO1006),$AN$1006:$BO$1006,0))&gt;=100000), " ",IF(INDEX($AN$2:$BO$1001,MATCH(ROWS($AG$2:AG483),$AG$2:$AG$1001,0),MATCH(COLUMNS($AN$1006:AO1006),$AN$1006:$BO$1006,0)), HYPERLINK("#",""), HYPERLINK(CONCATENATE("#Metadata!", ADDRESS(INDEX($AI$2:$AI$1001,MATCH(ROWS($AG$2:AG483),$AG$2:$AG$1001,0),0), INDEX($AN$1004:$BO$1004,1,MATCH(COLUMNS($AN$1006:AO1006),$AN$1006:$BO$1006,0)))),"Fix")))</f>
        <v>0</v>
      </c>
      <c r="D483" s="4">
        <f>IF(OR(INDEX($AH$2:$AH$1001,MATCH(ROWS($AG$2:AG483),$AG$2:$AG$1001,0),1)&gt;=100000,INDEX($AN$1005:$BO$1005,1,MATCH(COLUMNS($AN$1006:AP1006),$AN$1006:$BO$1006,0))&gt;=100000), " ",IF(INDEX($AN$2:$BO$1001,MATCH(ROWS($AG$2:AG483),$AG$2:$AG$1001,0),MATCH(COLUMNS($AN$1006:AP1006),$AN$1006:$BO$1006,0)), HYPERLINK("#",""), HYPERLINK(CONCATENATE("#Metadata!", ADDRESS(INDEX($AI$2:$AI$1001,MATCH(ROWS($AG$2:AG483),$AG$2:$AG$1001,0),0), INDEX($AN$1004:$BO$1004,1,MATCH(COLUMNS($AN$1006:AP1006),$AN$1006:$BO$1006,0)))),"Fix")))</f>
        <v>0</v>
      </c>
      <c r="E483" s="4">
        <f>IF(OR(INDEX($AH$2:$AH$1001,MATCH(ROWS($AG$2:AG483),$AG$2:$AG$1001,0),1)&gt;=100000,INDEX($AN$1005:$BO$1005,1,MATCH(COLUMNS($AN$1006:AQ1006),$AN$1006:$BO$1006,0))&gt;=100000), " ",IF(INDEX($AN$2:$BO$1001,MATCH(ROWS($AG$2:AG483),$AG$2:$AG$1001,0),MATCH(COLUMNS($AN$1006:AQ1006),$AN$1006:$BO$1006,0)), HYPERLINK("#",""), HYPERLINK(CONCATENATE("#Metadata!", ADDRESS(INDEX($AI$2:$AI$1001,MATCH(ROWS($AG$2:AG483),$AG$2:$AG$1001,0),0), INDEX($AN$1004:$BO$1004,1,MATCH(COLUMNS($AN$1006:AQ1006),$AN$1006:$BO$1006,0)))),"Fix")))</f>
        <v>0</v>
      </c>
      <c r="F483" s="4">
        <f>IF(OR(INDEX($AH$2:$AH$1001,MATCH(ROWS($AG$2:AG483),$AG$2:$AG$1001,0),1)&gt;=100000,INDEX($AN$1005:$BO$1005,1,MATCH(COLUMNS($AN$1006:AR1006),$AN$1006:$BO$1006,0))&gt;=100000), " ",IF(INDEX($AN$2:$BO$1001,MATCH(ROWS($AG$2:AG483),$AG$2:$AG$1001,0),MATCH(COLUMNS($AN$1006:AR1006),$AN$1006:$BO$1006,0)), HYPERLINK("#",""), HYPERLINK(CONCATENATE("#Metadata!", ADDRESS(INDEX($AI$2:$AI$1001,MATCH(ROWS($AG$2:AG483),$AG$2:$AG$1001,0),0), INDEX($AN$1004:$BO$1004,1,MATCH(COLUMNS($AN$1006:AR1006),$AN$1006:$BO$1006,0)))),"Fix")))</f>
        <v>0</v>
      </c>
      <c r="G483" s="4">
        <f>IF(OR(INDEX($AH$2:$AH$1001,MATCH(ROWS($AG$2:AG483),$AG$2:$AG$1001,0),1)&gt;=100000,INDEX($AN$1005:$BO$1005,1,MATCH(COLUMNS($AN$1006:AS1006),$AN$1006:$BO$1006,0))&gt;=100000), " ",IF(INDEX($AN$2:$BO$1001,MATCH(ROWS($AG$2:AG483),$AG$2:$AG$1001,0),MATCH(COLUMNS($AN$1006:AS1006),$AN$1006:$BO$1006,0)), HYPERLINK("#",""), HYPERLINK(CONCATENATE("#Metadata!", ADDRESS(INDEX($AI$2:$AI$1001,MATCH(ROWS($AG$2:AG483),$AG$2:$AG$1001,0),0), INDEX($AN$1004:$BO$1004,1,MATCH(COLUMNS($AN$1006:AS1006),$AN$1006:$BO$1006,0)))),"Fix")))</f>
        <v>0</v>
      </c>
      <c r="H483" s="4">
        <f>IF(OR(INDEX($AH$2:$AH$1001,MATCH(ROWS($AG$2:AG483),$AG$2:$AG$1001,0),1)&gt;=100000,INDEX($AN$1005:$BO$1005,1,MATCH(COLUMNS($AN$1006:AT1006),$AN$1006:$BO$1006,0))&gt;=100000), " ",IF(INDEX($AN$2:$BO$1001,MATCH(ROWS($AG$2:AG483),$AG$2:$AG$1001,0),MATCH(COLUMNS($AN$1006:AT1006),$AN$1006:$BO$1006,0)), HYPERLINK("#",""), HYPERLINK(CONCATENATE("#Metadata!", ADDRESS(INDEX($AI$2:$AI$1001,MATCH(ROWS($AG$2:AG483),$AG$2:$AG$1001,0),0), INDEX($AN$1004:$BO$1004,1,MATCH(COLUMNS($AN$1006:AT1006),$AN$1006:$BO$1006,0)))),"Fix")))</f>
        <v>0</v>
      </c>
      <c r="I483" s="4">
        <f>IF(OR(INDEX($AH$2:$AH$1001,MATCH(ROWS($AG$2:AG483),$AG$2:$AG$1001,0),1)&gt;=100000,INDEX($AN$1005:$BO$1005,1,MATCH(COLUMNS($AN$1006:AU1006),$AN$1006:$BO$1006,0))&gt;=100000), " ",IF(INDEX($AN$2:$BO$1001,MATCH(ROWS($AG$2:AG483),$AG$2:$AG$1001,0),MATCH(COLUMNS($AN$1006:AU1006),$AN$1006:$BO$1006,0)), HYPERLINK("#",""), HYPERLINK(CONCATENATE("#Metadata!", ADDRESS(INDEX($AI$2:$AI$1001,MATCH(ROWS($AG$2:AG483),$AG$2:$AG$1001,0),0), INDEX($AN$1004:$BO$1004,1,MATCH(COLUMNS($AN$1006:AU1006),$AN$1006:$BO$1006,0)))),"Fix")))</f>
        <v>0</v>
      </c>
      <c r="J483" s="4">
        <f>IF(OR(INDEX($AH$2:$AH$1001,MATCH(ROWS($AG$2:AG483),$AG$2:$AG$1001,0),1)&gt;=100000,INDEX($AN$1005:$BO$1005,1,MATCH(COLUMNS($AN$1006:AV1006),$AN$1006:$BO$1006,0))&gt;=100000), " ",IF(INDEX($AN$2:$BO$1001,MATCH(ROWS($AG$2:AG483),$AG$2:$AG$1001,0),MATCH(COLUMNS($AN$1006:AV1006),$AN$1006:$BO$1006,0)), HYPERLINK("#",""), HYPERLINK(CONCATENATE("#Metadata!", ADDRESS(INDEX($AI$2:$AI$1001,MATCH(ROWS($AG$2:AG483),$AG$2:$AG$1001,0),0), INDEX($AN$1004:$BO$1004,1,MATCH(COLUMNS($AN$1006:AV1006),$AN$1006:$BO$1006,0)))),"Fix")))</f>
        <v>0</v>
      </c>
      <c r="K483" s="4">
        <f>IF(OR(INDEX($AH$2:$AH$1001,MATCH(ROWS($AG$2:AG483),$AG$2:$AG$1001,0),1)&gt;=100000,INDEX($AN$1005:$BO$1005,1,MATCH(COLUMNS($AN$1006:AW1006),$AN$1006:$BO$1006,0))&gt;=100000), " ",IF(INDEX($AN$2:$BO$1001,MATCH(ROWS($AG$2:AG483),$AG$2:$AG$1001,0),MATCH(COLUMNS($AN$1006:AW1006),$AN$1006:$BO$1006,0)), HYPERLINK("#",""), HYPERLINK(CONCATENATE("#Metadata!", ADDRESS(INDEX($AI$2:$AI$1001,MATCH(ROWS($AG$2:AG483),$AG$2:$AG$1001,0),0), INDEX($AN$1004:$BO$1004,1,MATCH(COLUMNS($AN$1006:AW1006),$AN$1006:$BO$1006,0)))),"Fix")))</f>
        <v>0</v>
      </c>
      <c r="L483" s="4">
        <f>IF(OR(INDEX($AH$2:$AH$1001,MATCH(ROWS($AG$2:AG483),$AG$2:$AG$1001,0),1)&gt;=100000,INDEX($AN$1005:$BO$1005,1,MATCH(COLUMNS($AN$1006:AX1006),$AN$1006:$BO$1006,0))&gt;=100000), " ",IF(INDEX($AN$2:$BO$1001,MATCH(ROWS($AG$2:AG483),$AG$2:$AG$1001,0),MATCH(COLUMNS($AN$1006:AX1006),$AN$1006:$BO$1006,0)), HYPERLINK("#",""), HYPERLINK(CONCATENATE("#Metadata!", ADDRESS(INDEX($AI$2:$AI$1001,MATCH(ROWS($AG$2:AG483),$AG$2:$AG$1001,0),0), INDEX($AN$1004:$BO$1004,1,MATCH(COLUMNS($AN$1006:AX1006),$AN$1006:$BO$1006,0)))),"Fix")))</f>
        <v>0</v>
      </c>
      <c r="M483" s="4">
        <f>IF(OR(INDEX($AH$2:$AH$1001,MATCH(ROWS($AG$2:AG483),$AG$2:$AG$1001,0),1)&gt;=100000,INDEX($AN$1005:$BO$1005,1,MATCH(COLUMNS($AN$1006:AY1006),$AN$1006:$BO$1006,0))&gt;=100000), " ",IF(INDEX($AN$2:$BO$1001,MATCH(ROWS($AG$2:AG483),$AG$2:$AG$1001,0),MATCH(COLUMNS($AN$1006:AY1006),$AN$1006:$BO$1006,0)), HYPERLINK("#",""), HYPERLINK(CONCATENATE("#Metadata!", ADDRESS(INDEX($AI$2:$AI$1001,MATCH(ROWS($AG$2:AG483),$AG$2:$AG$1001,0),0), INDEX($AN$1004:$BO$1004,1,MATCH(COLUMNS($AN$1006:AY1006),$AN$1006:$BO$1006,0)))),"Fix")))</f>
        <v>0</v>
      </c>
      <c r="N483" s="4">
        <f>IF(OR(INDEX($AH$2:$AH$1001,MATCH(ROWS($AG$2:AG483),$AG$2:$AG$1001,0),1)&gt;=100000,INDEX($AN$1005:$BO$1005,1,MATCH(COLUMNS($AN$1006:AZ1006),$AN$1006:$BO$1006,0))&gt;=100000), " ",IF(INDEX($AN$2:$BO$1001,MATCH(ROWS($AG$2:AG483),$AG$2:$AG$1001,0),MATCH(COLUMNS($AN$1006:AZ1006),$AN$1006:$BO$1006,0)), HYPERLINK("#",""), HYPERLINK(CONCATENATE("#Metadata!", ADDRESS(INDEX($AI$2:$AI$1001,MATCH(ROWS($AG$2:AG483),$AG$2:$AG$1001,0),0), INDEX($AN$1004:$BO$1004,1,MATCH(COLUMNS($AN$1006:AZ1006),$AN$1006:$BO$1006,0)))),"Fix")))</f>
        <v>0</v>
      </c>
      <c r="O483" s="4">
        <f>IF(OR(INDEX($AH$2:$AH$1001,MATCH(ROWS($AG$2:AG483),$AG$2:$AG$1001,0),1)&gt;=100000,INDEX($AN$1005:$BO$1005,1,MATCH(COLUMNS($AN$1006:BA1006),$AN$1006:$BO$1006,0))&gt;=100000), " ",IF(INDEX($AN$2:$BO$1001,MATCH(ROWS($AG$2:AG483),$AG$2:$AG$1001,0),MATCH(COLUMNS($AN$1006:BA1006),$AN$1006:$BO$1006,0)), HYPERLINK("#",""), HYPERLINK(CONCATENATE("#Metadata!", ADDRESS(INDEX($AI$2:$AI$1001,MATCH(ROWS($AG$2:AG483),$AG$2:$AG$1001,0),0), INDEX($AN$1004:$BO$1004,1,MATCH(COLUMNS($AN$1006:BA1006),$AN$1006:$BO$1006,0)))),"Fix")))</f>
        <v>0</v>
      </c>
      <c r="P483" s="4">
        <f>IF(OR(INDEX($AH$2:$AH$1001,MATCH(ROWS($AG$2:AG483),$AG$2:$AG$1001,0),1)&gt;=100000,INDEX($AN$1005:$BO$1005,1,MATCH(COLUMNS($AN$1006:BB1006),$AN$1006:$BO$1006,0))&gt;=100000), " ",IF(INDEX($AN$2:$BO$1001,MATCH(ROWS($AG$2:AG483),$AG$2:$AG$1001,0),MATCH(COLUMNS($AN$1006:BB1006),$AN$1006:$BO$1006,0)), HYPERLINK("#",""), HYPERLINK(CONCATENATE("#Metadata!", ADDRESS(INDEX($AI$2:$AI$1001,MATCH(ROWS($AG$2:AG483),$AG$2:$AG$1001,0),0), INDEX($AN$1004:$BO$1004,1,MATCH(COLUMNS($AN$1006:BB1006),$AN$1006:$BO$1006,0)))),"Fix")))</f>
        <v>0</v>
      </c>
      <c r="Q483" s="4">
        <f>IF(OR(INDEX($AH$2:$AH$1001,MATCH(ROWS($AG$2:AG483),$AG$2:$AG$1001,0),1)&gt;=100000,INDEX($AN$1005:$BO$1005,1,MATCH(COLUMNS($AN$1006:BC1006),$AN$1006:$BO$1006,0))&gt;=100000), " ",IF(INDEX($AN$2:$BO$1001,MATCH(ROWS($AG$2:AG483),$AG$2:$AG$1001,0),MATCH(COLUMNS($AN$1006:BC1006),$AN$1006:$BO$1006,0)), HYPERLINK("#",""), HYPERLINK(CONCATENATE("#Metadata!", ADDRESS(INDEX($AI$2:$AI$1001,MATCH(ROWS($AG$2:AG483),$AG$2:$AG$1001,0),0), INDEX($AN$1004:$BO$1004,1,MATCH(COLUMNS($AN$1006:BC1006),$AN$1006:$BO$1006,0)))),"Fix")))</f>
        <v>0</v>
      </c>
      <c r="R483" s="4">
        <f>IF(OR(INDEX($AH$2:$AH$1001,MATCH(ROWS($AG$2:AG483),$AG$2:$AG$1001,0),1)&gt;=100000,INDEX($AN$1005:$BO$1005,1,MATCH(COLUMNS($AN$1006:BD1006),$AN$1006:$BO$1006,0))&gt;=100000), " ",IF(INDEX($AN$2:$BO$1001,MATCH(ROWS($AG$2:AG483),$AG$2:$AG$1001,0),MATCH(COLUMNS($AN$1006:BD1006),$AN$1006:$BO$1006,0)), HYPERLINK("#",""), HYPERLINK(CONCATENATE("#Metadata!", ADDRESS(INDEX($AI$2:$AI$1001,MATCH(ROWS($AG$2:AG483),$AG$2:$AG$1001,0),0), INDEX($AN$1004:$BO$1004,1,MATCH(COLUMNS($AN$1006:BD1006),$AN$1006:$BO$1006,0)))),"Fix")))</f>
        <v>0</v>
      </c>
      <c r="S483" s="4">
        <f>IF(OR(INDEX($AH$2:$AH$1001,MATCH(ROWS($AG$2:AG483),$AG$2:$AG$1001,0),1)&gt;=100000,INDEX($AN$1005:$BO$1005,1,MATCH(COLUMNS($AN$1006:BE1006),$AN$1006:$BO$1006,0))&gt;=100000), " ",IF(INDEX($AN$2:$BO$1001,MATCH(ROWS($AG$2:AG483),$AG$2:$AG$1001,0),MATCH(COLUMNS($AN$1006:BE1006),$AN$1006:$BO$1006,0)), HYPERLINK("#",""), HYPERLINK(CONCATENATE("#Metadata!", ADDRESS(INDEX($AI$2:$AI$1001,MATCH(ROWS($AG$2:AG483),$AG$2:$AG$1001,0),0), INDEX($AN$1004:$BO$1004,1,MATCH(COLUMNS($AN$1006:BE1006),$AN$1006:$BO$1006,0)))),"Fix")))</f>
        <v>0</v>
      </c>
      <c r="T483" s="4">
        <f>IF(OR(INDEX($AH$2:$AH$1001,MATCH(ROWS($AG$2:AG483),$AG$2:$AG$1001,0),1)&gt;=100000,INDEX($AN$1005:$BO$1005,1,MATCH(COLUMNS($AN$1006:BF1006),$AN$1006:$BO$1006,0))&gt;=100000), " ",IF(INDEX($AN$2:$BO$1001,MATCH(ROWS($AG$2:AG483),$AG$2:$AG$1001,0),MATCH(COLUMNS($AN$1006:BF1006),$AN$1006:$BO$1006,0)), HYPERLINK("#",""), HYPERLINK(CONCATENATE("#Metadata!", ADDRESS(INDEX($AI$2:$AI$1001,MATCH(ROWS($AG$2:AG483),$AG$2:$AG$1001,0),0), INDEX($AN$1004:$BO$1004,1,MATCH(COLUMNS($AN$1006:BF1006),$AN$1006:$BO$1006,0)))),"Fix")))</f>
        <v>0</v>
      </c>
      <c r="U483" s="4">
        <f>IF(OR(INDEX($AH$2:$AH$1001,MATCH(ROWS($AG$2:AG483),$AG$2:$AG$1001,0),1)&gt;=100000,INDEX($AN$1005:$BO$1005,1,MATCH(COLUMNS($AN$1006:BG1006),$AN$1006:$BO$1006,0))&gt;=100000), " ",IF(INDEX($AN$2:$BO$1001,MATCH(ROWS($AG$2:AG483),$AG$2:$AG$1001,0),MATCH(COLUMNS($AN$1006:BG1006),$AN$1006:$BO$1006,0)), HYPERLINK("#",""), HYPERLINK(CONCATENATE("#Metadata!", ADDRESS(INDEX($AI$2:$AI$1001,MATCH(ROWS($AG$2:AG483),$AG$2:$AG$1001,0),0), INDEX($AN$1004:$BO$1004,1,MATCH(COLUMNS($AN$1006:BG1006),$AN$1006:$BO$1006,0)))),"Fix")))</f>
        <v>0</v>
      </c>
      <c r="V483" s="4">
        <f>IF(OR(INDEX($AH$2:$AH$1001,MATCH(ROWS($AG$2:AG483),$AG$2:$AG$1001,0),1)&gt;=100000,INDEX($AN$1005:$BO$1005,1,MATCH(COLUMNS($AN$1006:BH1006),$AN$1006:$BO$1006,0))&gt;=100000), " ",IF(INDEX($AN$2:$BO$1001,MATCH(ROWS($AG$2:AG483),$AG$2:$AG$1001,0),MATCH(COLUMNS($AN$1006:BH1006),$AN$1006:$BO$1006,0)), HYPERLINK("#",""), HYPERLINK(CONCATENATE("#Metadata!", ADDRESS(INDEX($AI$2:$AI$1001,MATCH(ROWS($AG$2:AG483),$AG$2:$AG$1001,0),0), INDEX($AN$1004:$BO$1004,1,MATCH(COLUMNS($AN$1006:BH1006),$AN$1006:$BO$1006,0)))),"Fix")))</f>
        <v>0</v>
      </c>
      <c r="W483" s="4">
        <f>IF(OR(INDEX($AH$2:$AH$1001,MATCH(ROWS($AG$2:AG483),$AG$2:$AG$1001,0),1)&gt;=100000,INDEX($AN$1005:$BO$1005,1,MATCH(COLUMNS($AN$1006:BI1006),$AN$1006:$BO$1006,0))&gt;=100000), " ",IF(INDEX($AN$2:$BO$1001,MATCH(ROWS($AG$2:AG483),$AG$2:$AG$1001,0),MATCH(COLUMNS($AN$1006:BI1006),$AN$1006:$BO$1006,0)), HYPERLINK("#",""), HYPERLINK(CONCATENATE("#Metadata!", ADDRESS(INDEX($AI$2:$AI$1001,MATCH(ROWS($AG$2:AG483),$AG$2:$AG$1001,0),0), INDEX($AN$1004:$BO$1004,1,MATCH(COLUMNS($AN$1006:BI1006),$AN$1006:$BO$1006,0)))),"Fix")))</f>
        <v>0</v>
      </c>
      <c r="X483" s="4">
        <f>IF(OR(INDEX($AH$2:$AH$1001,MATCH(ROWS($AG$2:AG483),$AG$2:$AG$1001,0),1)&gt;=100000,INDEX($AN$1005:$BO$1005,1,MATCH(COLUMNS($AN$1006:BJ1006),$AN$1006:$BO$1006,0))&gt;=100000), " ",IF(INDEX($AN$2:$BO$1001,MATCH(ROWS($AG$2:AG483),$AG$2:$AG$1001,0),MATCH(COLUMNS($AN$1006:BJ1006),$AN$1006:$BO$1006,0)), HYPERLINK("#",""), HYPERLINK(CONCATENATE("#Metadata!", ADDRESS(INDEX($AI$2:$AI$1001,MATCH(ROWS($AG$2:AG483),$AG$2:$AG$1001,0),0), INDEX($AN$1004:$BO$1004,1,MATCH(COLUMNS($AN$1006:BJ1006),$AN$1006:$BO$1006,0)))),"Fix")))</f>
        <v>0</v>
      </c>
      <c r="Y483" s="4">
        <f>IF(OR(INDEX($AH$2:$AH$1001,MATCH(ROWS($AG$2:AG483),$AG$2:$AG$1001,0),1)&gt;=100000,INDEX($AN$1005:$BO$1005,1,MATCH(COLUMNS($AN$1006:BK1006),$AN$1006:$BO$1006,0))&gt;=100000), " ",IF(INDEX($AN$2:$BO$1001,MATCH(ROWS($AG$2:AG483),$AG$2:$AG$1001,0),MATCH(COLUMNS($AN$1006:BK1006),$AN$1006:$BO$1006,0)), HYPERLINK("#",""), HYPERLINK(CONCATENATE("#Metadata!", ADDRESS(INDEX($AI$2:$AI$1001,MATCH(ROWS($AG$2:AG483),$AG$2:$AG$1001,0),0), INDEX($AN$1004:$BO$1004,1,MATCH(COLUMNS($AN$1006:BK1006),$AN$1006:$BO$1006,0)))),"Fix")))</f>
        <v>0</v>
      </c>
      <c r="Z483" s="4">
        <f>IF(OR(INDEX($AH$2:$AH$1001,MATCH(ROWS($AG$2:AG483),$AG$2:$AG$1001,0),1)&gt;=100000,INDEX($AN$1005:$BO$1005,1,MATCH(COLUMNS($AN$1006:BL1006),$AN$1006:$BO$1006,0))&gt;=100000), " ",IF(INDEX($AN$2:$BO$1001,MATCH(ROWS($AG$2:AG483),$AG$2:$AG$1001,0),MATCH(COLUMNS($AN$1006:BL1006),$AN$1006:$BO$1006,0)), HYPERLINK("#",""), HYPERLINK(CONCATENATE("#Metadata!", ADDRESS(INDEX($AI$2:$AI$1001,MATCH(ROWS($AG$2:AG483),$AG$2:$AG$1001,0),0), INDEX($AN$1004:$BO$1004,1,MATCH(COLUMNS($AN$1006:BL1006),$AN$1006:$BO$1006,0)))),"Fix")))</f>
        <v>0</v>
      </c>
      <c r="AA483" s="4">
        <f>IF(OR(INDEX($AH$2:$AH$1001,MATCH(ROWS($AG$2:AG483),$AG$2:$AG$1001,0),1)&gt;=100000,INDEX($AN$1005:$BO$1005,1,MATCH(COLUMNS($AN$1006:BM1006),$AN$1006:$BO$1006,0))&gt;=100000), " ",IF(INDEX($AN$2:$BO$1001,MATCH(ROWS($AG$2:AG483),$AG$2:$AG$1001,0),MATCH(COLUMNS($AN$1006:BM1006),$AN$1006:$BO$1006,0)), HYPERLINK("#",""), HYPERLINK(CONCATENATE("#Metadata!", ADDRESS(INDEX($AI$2:$AI$1001,MATCH(ROWS($AG$2:AG483),$AG$2:$AG$1001,0),0), INDEX($AN$1004:$BO$1004,1,MATCH(COLUMNS($AN$1006:BM1006),$AN$1006:$BO$1006,0)))),"Fix")))</f>
        <v>0</v>
      </c>
      <c r="AB483" s="4">
        <f>IF(OR(INDEX($AH$2:$AH$1001,MATCH(ROWS($AG$2:AG483),$AG$2:$AG$1001,0),1)&gt;=100000,INDEX($AN$1005:$BO$1005,1,MATCH(COLUMNS($AN$1006:BN1006),$AN$1006:$BO$1006,0))&gt;=100000), " ",IF(INDEX($AN$2:$BO$1001,MATCH(ROWS($AG$2:AG483),$AG$2:$AG$1001,0),MATCH(COLUMNS($AN$1006:BN1006),$AN$1006:$BO$1006,0)), HYPERLINK("#",""), HYPERLINK(CONCATENATE("#Metadata!", ADDRESS(INDEX($AI$2:$AI$1001,MATCH(ROWS($AG$2:AG483),$AG$2:$AG$1001,0),0), INDEX($AN$1004:$BO$1004,1,MATCH(COLUMNS($AN$1006:BN1006),$AN$1006:$BO$1006,0)))),"Fix")))</f>
        <v>0</v>
      </c>
      <c r="AC483" s="4">
        <f>IF(OR(INDEX($AH$2:$AH$1001,MATCH(ROWS($AG$2:AG483),$AG$2:$AG$1001,0),1)&gt;=100000,INDEX($AN$1005:$BO$1005,1,MATCH(COLUMNS($AN$1006:BO1006),$AN$1006:$BO$1006,0))&gt;=100000), " ",IF(INDEX($AN$2:$BO$1001,MATCH(ROWS($AG$2:AG483),$AG$2:$AG$1001,0),MATCH(COLUMNS($AN$1006:BO1006),$AN$1006:$BO$1006,0)), HYPERLINK("#",""), HYPERLINK(CONCATENATE("#Metadata!", ADDRESS(INDEX($AI$2:$AI$1001,MATCH(ROWS($AG$2:AG483),$AG$2:$AG$1001,0),0), INDEX($AN$1004:$BO$1004,1,MATCH(COLUMNS($AN$1006:BO1006),$AN$1006:$BO$1006,0)))),"Fix")))</f>
        <v>0</v>
      </c>
      <c r="AG483">
        <v>0</v>
      </c>
      <c r="AH483">
        <v>0</v>
      </c>
      <c r="AI483">
        <v>0</v>
      </c>
      <c r="AJ483">
        <f>IF(AK483,TRUE,AND(AN483:BO483))</f>
        <v>0</v>
      </c>
      <c r="AK483">
        <f>COUNTBLANK(Metadata!B483:AC483)=COLUMNS(Metadata!B483:AC483)</f>
        <v>0</v>
      </c>
      <c r="AL483">
        <v>0</v>
      </c>
      <c r="AN483">
        <f>AND(IF(Metadata!B483="",FALSE,TRUE),COUNTIF(Metadata!B:B, Metadata!B483) = 1,NOT(ISERROR(SUMPRODUCT(SEARCH(MID(Metadata!B483,ROW(INDIRECT("1:"&amp;LEN(Metadata!B483))), 1),"0123456789abcdefghijklmnopqrstuvwxyzABCDEFGHIJKLMNOPQRSTUVWXYZ.")))))</f>
        <v>0</v>
      </c>
      <c r="AO483">
        <f>IF(Metadata!C483="",FALSE,TRUE)</f>
        <v>0</v>
      </c>
      <c r="AP483">
        <f>IF(Metadata!D483="",FALSE,TRUE)</f>
        <v>0</v>
      </c>
      <c r="AQ483">
        <f>OR(AND(IF(Metadata!E483="",FALSE,TRUE),OR(exact(Metadata!E483,"not collected"),exact(Metadata!E483,"not provided"),exact(Metadata!E483,"restricted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R483">
        <f>IF(Metadata!F483="",FALSE,TRUE)</f>
        <v>0</v>
      </c>
      <c r="AS483">
        <f>OR(AND(IF(Metadata!G483="",FALSE,TRUE),OR(exact(Metadata!G483,"not collected"),exact(Metadata!G483,"not provided"))),AND(IF(Metadata!G483="",FALSE,TRUE),OR(exact(Metadata!G483,"TRUE"),exact(Metadata!G483,"FALSE"))))</f>
        <v>0</v>
      </c>
      <c r="AT483">
        <f>OR(AND(IF(Metadata!H483="",FALSE,TRUE),OR(exact(Metadata!H483,"not collected"),exact(Metadata!H483,"not provided"),exact(Metadata!H483,"restricted access"))),AND(IF(Metadata!H483="",FALSE,ISNUMBER(VALUE(Metadata!H483))),Metadata!H483&gt;=-413.0))</f>
        <v>0</v>
      </c>
      <c r="AU483">
        <f>AND(IF(Metadata!I483="",FALSE,TRUE),exact(Metadata!I483,"meters"))</f>
        <v>0</v>
      </c>
      <c r="AV483">
        <f>AND(IF(Metadata!J483="",FALSE,TRUE),OR(exact(Metadata!J483,"Host-associated"),exact(Metadata!J483,"Free-living")))</f>
        <v>0</v>
      </c>
      <c r="AW483">
        <f>AND(IF(Metadata!K483="",FALSE,TRUE),OR(exact(Metadata!K483,"Animal"),exact(Metadata!K483,"Fungus"),exact(Metadata!K483,"Plant"),exact(Metadata!K483,"Saline"),exact(Metadata!K483,"Non-saline")))</f>
        <v>0</v>
      </c>
      <c r="AX483">
        <f>AND(IF(Metadata!L483="",FALSE,TRUE),OR(exact(Metadata!L483,"Plant secretion"),exact(Metadata!L483,"Plant rhizosphere"),exact(Metadata!L483,"Plant surface"),exact(Metadata!L483,"Plant corpus"),exact(Metadata!L483,"Fungus surface"),exact(Metadata!L483,"Fungus corpus"),exact(Metadata!L483,"Animal surface"),exact(Metadata!L483,"Animal proximal gut"),exact(Metadata!L483,"Animal corpus"),exact(Metadata!L483,"Animal distal gut"),exact(Metadata!L483,"Animal secretion"),exact(Metadata!L483,"Sub-surface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Y483">
        <f>IF(Metadata!M483="",FALSE,TRUE)</f>
        <v>0</v>
      </c>
      <c r="AZ483">
        <f>IF(Metadata!N483="",FALSE,TRUE)</f>
        <v>0</v>
      </c>
      <c r="BA483">
        <f>IF(Metadata!O483="",FALSE,TRUE)</f>
        <v>0</v>
      </c>
      <c r="BB483">
        <f>OR(AND(IF(Metadata!P483="",FALSE,TRUE),OR(exact(Metadata!P483,"not collected"),exact(Metadata!P483,"not provided"),exact(Metadata!P483,"restricted access"))),AND(IF(Metadata!P483="",FALSE,TRUE),OR(exact(Metadata!P483,"air"),exact(Metadata!P483,"built environment"),exact(Metadata!P483,"host-associated"),exact(Metadata!P483,"human-associated"),exact(Metadata!P483,"human-skin"),exact(Metadata!P483,"human-oral"),exact(Metadata!P483,"human-gut"),exact(Metadata!P483,"human-vaginal"),exact(Metadata!P483,"microbial mat/biofilm"),exact(Metadata!P483,"misc environment"),exact(Metadata!P483,"plant-associated"),exact(Metadata!P483,"sediment"),exact(Metadata!P483,"soil"),exact(Metadata!P483,"wastewater/sludge"),exact(Metadata!P483,"water"))))</f>
        <v>0</v>
      </c>
      <c r="BC483">
        <f>IF(Metadata!Q483="",FALSE,TRUE)</f>
        <v>0</v>
      </c>
      <c r="BD483">
        <f>IF(Metadata!R483="",FALSE,TRUE)</f>
        <v>0</v>
      </c>
      <c r="BE483">
        <f>OR(AND(IF(Metadata!S483="",FALSE,TRUE),OR(exact(Metadata!S483,"not collected"),exact(Metadata!S483,"not provided"),exact(Metadata!S483,"restricted access"))),AND(IF(Metadata!S483="",FALSE,ISNUMBER(VALUE(Metadata!S483))),Metadata!S483&gt;=-90.00,Metadata!S483&lt;=90.00))</f>
        <v>0</v>
      </c>
      <c r="BF483">
        <f>AND(IF(Metadata!T483="",FALSE,TRUE),exact(Metadata!T483,"Decimal degrees"))</f>
        <v>0</v>
      </c>
      <c r="BG483">
        <f>OR(AND(IF(Metadata!U483="",FALSE,TRUE),OR(exact(Metadata!U483,"not collected"),exact(Metadata!U483,"not provided"),exact(Metadata!U483,"restricted access"))),AND(IF(Metadata!U483="",FALSE,ISNUMBER(VALUE(Metadata!U483))),Metadata!U483&gt;=-180.00,Metadata!U483&lt;=180.00))</f>
        <v>0</v>
      </c>
      <c r="BH483">
        <f>AND(IF(Metadata!V483="",FALSE,TRUE),exact(Metadata!V483,"Decimal degrees"))</f>
        <v>0</v>
      </c>
      <c r="BI483">
        <f>IF(Metadata!W483="",FALSE,TRUE)</f>
        <v>0</v>
      </c>
      <c r="BJ483">
        <f>OR(AND(IF(Metadata!X483="",FALSE,TRUE),OR(exact(Metadata!X483,"not collected"),exact(Metadata!X483,"not provided"),exact(Metadata!X483,"restricted access"))),AND(IF(Metadata!X483="",FALSE,TRUE),OR(exact(Metadata!X483,"TRUE"),exact(Metadata!X483,"FALSE"))))</f>
        <v>0</v>
      </c>
      <c r="BK483">
        <f>AND(IF(Metadata!Y483="",FALSE,TRUE),exact(Metadata!Y483,"other"))</f>
        <v>0</v>
      </c>
      <c r="BL483">
        <f>IF(Metadata!Z483="",FALSE,TRUE)</f>
        <v>0</v>
      </c>
      <c r="BM483">
        <f>OR(AND(IF(Metadata!AA483="",FALSE,TRUE),OR(exact(Metadata!AA483,"not collected"),exact(Metadata!AA483,"not provided"))),AND(IF(Metadata!AA483="",FALSE,IF(ISERROR(INT(Metadata!AA483)),FALSE,INT(Metadata!AA483)=Metadata!AA483)),Metadata!AA483&gt;0))</f>
        <v>0</v>
      </c>
      <c r="BN483">
        <f>AND(IF(Metadata!AB483="",FALSE,TRUE),exact(Metadata!AB483,"Not applicable"))</f>
        <v>0</v>
      </c>
      <c r="BO483">
        <f>IF(Metadata!AC483="",FALSE,TRUE)</f>
        <v>0</v>
      </c>
    </row>
    <row r="484" spans="1:67">
      <c r="A484" s="5">
        <f>IF(B484=" "," ",HYPERLINK(CONCATENATE("#metadata!",ADDRESS(INDEX($AI$2:$AI$1001,MATCH(ROWS($AG$2:AG484),$AG$2:$AG$1001,0),0),1)),INDEX($AL$2:$AL$1001,MATCH(ROWS($AG$2:AG484),$AG$2:$AG$1001,0),0)))</f>
        <v>0</v>
      </c>
      <c r="B484" s="4">
        <f>IF(OR(INDEX($AH$2:$AH$1001,MATCH(ROWS($AG$2:AG484),$AG$2:$AG$1001,0),1)&gt;=100000,INDEX($AN$1005:$BO$1005,1,MATCH(COLUMNS($AN$1006:AN1006),$AN$1006:$BO$1006,0))&gt;=100000), " ",IF(INDEX($AN$2:$BO$1001,MATCH(ROWS($AG$2:AG484),$AG$2:$AG$1001,0),MATCH(COLUMNS($AN$1006:AN1006),$AN$1006:$BO$1006,0)), HYPERLINK("#",""), HYPERLINK(CONCATENATE("#Metadata!", ADDRESS(INDEX($AI$2:$AI$1001,MATCH(ROWS($AG$2:AG484),$AG$2:$AG$1001,0),0), INDEX($AN$1004:$BO$1004,1,MATCH(COLUMNS($AN$1006:AN1006),$AN$1006:$BO$1006,0)))),"Fix")))</f>
        <v>0</v>
      </c>
      <c r="C484" s="4">
        <f>IF(OR(INDEX($AH$2:$AH$1001,MATCH(ROWS($AG$2:AG484),$AG$2:$AG$1001,0),1)&gt;=100000,INDEX($AN$1005:$BO$1005,1,MATCH(COLUMNS($AN$1006:AO1006),$AN$1006:$BO$1006,0))&gt;=100000), " ",IF(INDEX($AN$2:$BO$1001,MATCH(ROWS($AG$2:AG484),$AG$2:$AG$1001,0),MATCH(COLUMNS($AN$1006:AO1006),$AN$1006:$BO$1006,0)), HYPERLINK("#",""), HYPERLINK(CONCATENATE("#Metadata!", ADDRESS(INDEX($AI$2:$AI$1001,MATCH(ROWS($AG$2:AG484),$AG$2:$AG$1001,0),0), INDEX($AN$1004:$BO$1004,1,MATCH(COLUMNS($AN$1006:AO1006),$AN$1006:$BO$1006,0)))),"Fix")))</f>
        <v>0</v>
      </c>
      <c r="D484" s="4">
        <f>IF(OR(INDEX($AH$2:$AH$1001,MATCH(ROWS($AG$2:AG484),$AG$2:$AG$1001,0),1)&gt;=100000,INDEX($AN$1005:$BO$1005,1,MATCH(COLUMNS($AN$1006:AP1006),$AN$1006:$BO$1006,0))&gt;=100000), " ",IF(INDEX($AN$2:$BO$1001,MATCH(ROWS($AG$2:AG484),$AG$2:$AG$1001,0),MATCH(COLUMNS($AN$1006:AP1006),$AN$1006:$BO$1006,0)), HYPERLINK("#",""), HYPERLINK(CONCATENATE("#Metadata!", ADDRESS(INDEX($AI$2:$AI$1001,MATCH(ROWS($AG$2:AG484),$AG$2:$AG$1001,0),0), INDEX($AN$1004:$BO$1004,1,MATCH(COLUMNS($AN$1006:AP1006),$AN$1006:$BO$1006,0)))),"Fix")))</f>
        <v>0</v>
      </c>
      <c r="E484" s="4">
        <f>IF(OR(INDEX($AH$2:$AH$1001,MATCH(ROWS($AG$2:AG484),$AG$2:$AG$1001,0),1)&gt;=100000,INDEX($AN$1005:$BO$1005,1,MATCH(COLUMNS($AN$1006:AQ1006),$AN$1006:$BO$1006,0))&gt;=100000), " ",IF(INDEX($AN$2:$BO$1001,MATCH(ROWS($AG$2:AG484),$AG$2:$AG$1001,0),MATCH(COLUMNS($AN$1006:AQ1006),$AN$1006:$BO$1006,0)), HYPERLINK("#",""), HYPERLINK(CONCATENATE("#Metadata!", ADDRESS(INDEX($AI$2:$AI$1001,MATCH(ROWS($AG$2:AG484),$AG$2:$AG$1001,0),0), INDEX($AN$1004:$BO$1004,1,MATCH(COLUMNS($AN$1006:AQ1006),$AN$1006:$BO$1006,0)))),"Fix")))</f>
        <v>0</v>
      </c>
      <c r="F484" s="4">
        <f>IF(OR(INDEX($AH$2:$AH$1001,MATCH(ROWS($AG$2:AG484),$AG$2:$AG$1001,0),1)&gt;=100000,INDEX($AN$1005:$BO$1005,1,MATCH(COLUMNS($AN$1006:AR1006),$AN$1006:$BO$1006,0))&gt;=100000), " ",IF(INDEX($AN$2:$BO$1001,MATCH(ROWS($AG$2:AG484),$AG$2:$AG$1001,0),MATCH(COLUMNS($AN$1006:AR1006),$AN$1006:$BO$1006,0)), HYPERLINK("#",""), HYPERLINK(CONCATENATE("#Metadata!", ADDRESS(INDEX($AI$2:$AI$1001,MATCH(ROWS($AG$2:AG484),$AG$2:$AG$1001,0),0), INDEX($AN$1004:$BO$1004,1,MATCH(COLUMNS($AN$1006:AR1006),$AN$1006:$BO$1006,0)))),"Fix")))</f>
        <v>0</v>
      </c>
      <c r="G484" s="4">
        <f>IF(OR(INDEX($AH$2:$AH$1001,MATCH(ROWS($AG$2:AG484),$AG$2:$AG$1001,0),1)&gt;=100000,INDEX($AN$1005:$BO$1005,1,MATCH(COLUMNS($AN$1006:AS1006),$AN$1006:$BO$1006,0))&gt;=100000), " ",IF(INDEX($AN$2:$BO$1001,MATCH(ROWS($AG$2:AG484),$AG$2:$AG$1001,0),MATCH(COLUMNS($AN$1006:AS1006),$AN$1006:$BO$1006,0)), HYPERLINK("#",""), HYPERLINK(CONCATENATE("#Metadata!", ADDRESS(INDEX($AI$2:$AI$1001,MATCH(ROWS($AG$2:AG484),$AG$2:$AG$1001,0),0), INDEX($AN$1004:$BO$1004,1,MATCH(COLUMNS($AN$1006:AS1006),$AN$1006:$BO$1006,0)))),"Fix")))</f>
        <v>0</v>
      </c>
      <c r="H484" s="4">
        <f>IF(OR(INDEX($AH$2:$AH$1001,MATCH(ROWS($AG$2:AG484),$AG$2:$AG$1001,0),1)&gt;=100000,INDEX($AN$1005:$BO$1005,1,MATCH(COLUMNS($AN$1006:AT1006),$AN$1006:$BO$1006,0))&gt;=100000), " ",IF(INDEX($AN$2:$BO$1001,MATCH(ROWS($AG$2:AG484),$AG$2:$AG$1001,0),MATCH(COLUMNS($AN$1006:AT1006),$AN$1006:$BO$1006,0)), HYPERLINK("#",""), HYPERLINK(CONCATENATE("#Metadata!", ADDRESS(INDEX($AI$2:$AI$1001,MATCH(ROWS($AG$2:AG484),$AG$2:$AG$1001,0),0), INDEX($AN$1004:$BO$1004,1,MATCH(COLUMNS($AN$1006:AT1006),$AN$1006:$BO$1006,0)))),"Fix")))</f>
        <v>0</v>
      </c>
      <c r="I484" s="4">
        <f>IF(OR(INDEX($AH$2:$AH$1001,MATCH(ROWS($AG$2:AG484),$AG$2:$AG$1001,0),1)&gt;=100000,INDEX($AN$1005:$BO$1005,1,MATCH(COLUMNS($AN$1006:AU1006),$AN$1006:$BO$1006,0))&gt;=100000), " ",IF(INDEX($AN$2:$BO$1001,MATCH(ROWS($AG$2:AG484),$AG$2:$AG$1001,0),MATCH(COLUMNS($AN$1006:AU1006),$AN$1006:$BO$1006,0)), HYPERLINK("#",""), HYPERLINK(CONCATENATE("#Metadata!", ADDRESS(INDEX($AI$2:$AI$1001,MATCH(ROWS($AG$2:AG484),$AG$2:$AG$1001,0),0), INDEX($AN$1004:$BO$1004,1,MATCH(COLUMNS($AN$1006:AU1006),$AN$1006:$BO$1006,0)))),"Fix")))</f>
        <v>0</v>
      </c>
      <c r="J484" s="4">
        <f>IF(OR(INDEX($AH$2:$AH$1001,MATCH(ROWS($AG$2:AG484),$AG$2:$AG$1001,0),1)&gt;=100000,INDEX($AN$1005:$BO$1005,1,MATCH(COLUMNS($AN$1006:AV1006),$AN$1006:$BO$1006,0))&gt;=100000), " ",IF(INDEX($AN$2:$BO$1001,MATCH(ROWS($AG$2:AG484),$AG$2:$AG$1001,0),MATCH(COLUMNS($AN$1006:AV1006),$AN$1006:$BO$1006,0)), HYPERLINK("#",""), HYPERLINK(CONCATENATE("#Metadata!", ADDRESS(INDEX($AI$2:$AI$1001,MATCH(ROWS($AG$2:AG484),$AG$2:$AG$1001,0),0), INDEX($AN$1004:$BO$1004,1,MATCH(COLUMNS($AN$1006:AV1006),$AN$1006:$BO$1006,0)))),"Fix")))</f>
        <v>0</v>
      </c>
      <c r="K484" s="4">
        <f>IF(OR(INDEX($AH$2:$AH$1001,MATCH(ROWS($AG$2:AG484),$AG$2:$AG$1001,0),1)&gt;=100000,INDEX($AN$1005:$BO$1005,1,MATCH(COLUMNS($AN$1006:AW1006),$AN$1006:$BO$1006,0))&gt;=100000), " ",IF(INDEX($AN$2:$BO$1001,MATCH(ROWS($AG$2:AG484),$AG$2:$AG$1001,0),MATCH(COLUMNS($AN$1006:AW1006),$AN$1006:$BO$1006,0)), HYPERLINK("#",""), HYPERLINK(CONCATENATE("#Metadata!", ADDRESS(INDEX($AI$2:$AI$1001,MATCH(ROWS($AG$2:AG484),$AG$2:$AG$1001,0),0), INDEX($AN$1004:$BO$1004,1,MATCH(COLUMNS($AN$1006:AW1006),$AN$1006:$BO$1006,0)))),"Fix")))</f>
        <v>0</v>
      </c>
      <c r="L484" s="4">
        <f>IF(OR(INDEX($AH$2:$AH$1001,MATCH(ROWS($AG$2:AG484),$AG$2:$AG$1001,0),1)&gt;=100000,INDEX($AN$1005:$BO$1005,1,MATCH(COLUMNS($AN$1006:AX1006),$AN$1006:$BO$1006,0))&gt;=100000), " ",IF(INDEX($AN$2:$BO$1001,MATCH(ROWS($AG$2:AG484),$AG$2:$AG$1001,0),MATCH(COLUMNS($AN$1006:AX1006),$AN$1006:$BO$1006,0)), HYPERLINK("#",""), HYPERLINK(CONCATENATE("#Metadata!", ADDRESS(INDEX($AI$2:$AI$1001,MATCH(ROWS($AG$2:AG484),$AG$2:$AG$1001,0),0), INDEX($AN$1004:$BO$1004,1,MATCH(COLUMNS($AN$1006:AX1006),$AN$1006:$BO$1006,0)))),"Fix")))</f>
        <v>0</v>
      </c>
      <c r="M484" s="4">
        <f>IF(OR(INDEX($AH$2:$AH$1001,MATCH(ROWS($AG$2:AG484),$AG$2:$AG$1001,0),1)&gt;=100000,INDEX($AN$1005:$BO$1005,1,MATCH(COLUMNS($AN$1006:AY1006),$AN$1006:$BO$1006,0))&gt;=100000), " ",IF(INDEX($AN$2:$BO$1001,MATCH(ROWS($AG$2:AG484),$AG$2:$AG$1001,0),MATCH(COLUMNS($AN$1006:AY1006),$AN$1006:$BO$1006,0)), HYPERLINK("#",""), HYPERLINK(CONCATENATE("#Metadata!", ADDRESS(INDEX($AI$2:$AI$1001,MATCH(ROWS($AG$2:AG484),$AG$2:$AG$1001,0),0), INDEX($AN$1004:$BO$1004,1,MATCH(COLUMNS($AN$1006:AY1006),$AN$1006:$BO$1006,0)))),"Fix")))</f>
        <v>0</v>
      </c>
      <c r="N484" s="4">
        <f>IF(OR(INDEX($AH$2:$AH$1001,MATCH(ROWS($AG$2:AG484),$AG$2:$AG$1001,0),1)&gt;=100000,INDEX($AN$1005:$BO$1005,1,MATCH(COLUMNS($AN$1006:AZ1006),$AN$1006:$BO$1006,0))&gt;=100000), " ",IF(INDEX($AN$2:$BO$1001,MATCH(ROWS($AG$2:AG484),$AG$2:$AG$1001,0),MATCH(COLUMNS($AN$1006:AZ1006),$AN$1006:$BO$1006,0)), HYPERLINK("#",""), HYPERLINK(CONCATENATE("#Metadata!", ADDRESS(INDEX($AI$2:$AI$1001,MATCH(ROWS($AG$2:AG484),$AG$2:$AG$1001,0),0), INDEX($AN$1004:$BO$1004,1,MATCH(COLUMNS($AN$1006:AZ1006),$AN$1006:$BO$1006,0)))),"Fix")))</f>
        <v>0</v>
      </c>
      <c r="O484" s="4">
        <f>IF(OR(INDEX($AH$2:$AH$1001,MATCH(ROWS($AG$2:AG484),$AG$2:$AG$1001,0),1)&gt;=100000,INDEX($AN$1005:$BO$1005,1,MATCH(COLUMNS($AN$1006:BA1006),$AN$1006:$BO$1006,0))&gt;=100000), " ",IF(INDEX($AN$2:$BO$1001,MATCH(ROWS($AG$2:AG484),$AG$2:$AG$1001,0),MATCH(COLUMNS($AN$1006:BA1006),$AN$1006:$BO$1006,0)), HYPERLINK("#",""), HYPERLINK(CONCATENATE("#Metadata!", ADDRESS(INDEX($AI$2:$AI$1001,MATCH(ROWS($AG$2:AG484),$AG$2:$AG$1001,0),0), INDEX($AN$1004:$BO$1004,1,MATCH(COLUMNS($AN$1006:BA1006),$AN$1006:$BO$1006,0)))),"Fix")))</f>
        <v>0</v>
      </c>
      <c r="P484" s="4">
        <f>IF(OR(INDEX($AH$2:$AH$1001,MATCH(ROWS($AG$2:AG484),$AG$2:$AG$1001,0),1)&gt;=100000,INDEX($AN$1005:$BO$1005,1,MATCH(COLUMNS($AN$1006:BB1006),$AN$1006:$BO$1006,0))&gt;=100000), " ",IF(INDEX($AN$2:$BO$1001,MATCH(ROWS($AG$2:AG484),$AG$2:$AG$1001,0),MATCH(COLUMNS($AN$1006:BB1006),$AN$1006:$BO$1006,0)), HYPERLINK("#",""), HYPERLINK(CONCATENATE("#Metadata!", ADDRESS(INDEX($AI$2:$AI$1001,MATCH(ROWS($AG$2:AG484),$AG$2:$AG$1001,0),0), INDEX($AN$1004:$BO$1004,1,MATCH(COLUMNS($AN$1006:BB1006),$AN$1006:$BO$1006,0)))),"Fix")))</f>
        <v>0</v>
      </c>
      <c r="Q484" s="4">
        <f>IF(OR(INDEX($AH$2:$AH$1001,MATCH(ROWS($AG$2:AG484),$AG$2:$AG$1001,0),1)&gt;=100000,INDEX($AN$1005:$BO$1005,1,MATCH(COLUMNS($AN$1006:BC1006),$AN$1006:$BO$1006,0))&gt;=100000), " ",IF(INDEX($AN$2:$BO$1001,MATCH(ROWS($AG$2:AG484),$AG$2:$AG$1001,0),MATCH(COLUMNS($AN$1006:BC1006),$AN$1006:$BO$1006,0)), HYPERLINK("#",""), HYPERLINK(CONCATENATE("#Metadata!", ADDRESS(INDEX($AI$2:$AI$1001,MATCH(ROWS($AG$2:AG484),$AG$2:$AG$1001,0),0), INDEX($AN$1004:$BO$1004,1,MATCH(COLUMNS($AN$1006:BC1006),$AN$1006:$BO$1006,0)))),"Fix")))</f>
        <v>0</v>
      </c>
      <c r="R484" s="4">
        <f>IF(OR(INDEX($AH$2:$AH$1001,MATCH(ROWS($AG$2:AG484),$AG$2:$AG$1001,0),1)&gt;=100000,INDEX($AN$1005:$BO$1005,1,MATCH(COLUMNS($AN$1006:BD1006),$AN$1006:$BO$1006,0))&gt;=100000), " ",IF(INDEX($AN$2:$BO$1001,MATCH(ROWS($AG$2:AG484),$AG$2:$AG$1001,0),MATCH(COLUMNS($AN$1006:BD1006),$AN$1006:$BO$1006,0)), HYPERLINK("#",""), HYPERLINK(CONCATENATE("#Metadata!", ADDRESS(INDEX($AI$2:$AI$1001,MATCH(ROWS($AG$2:AG484),$AG$2:$AG$1001,0),0), INDEX($AN$1004:$BO$1004,1,MATCH(COLUMNS($AN$1006:BD1006),$AN$1006:$BO$1006,0)))),"Fix")))</f>
        <v>0</v>
      </c>
      <c r="S484" s="4">
        <f>IF(OR(INDEX($AH$2:$AH$1001,MATCH(ROWS($AG$2:AG484),$AG$2:$AG$1001,0),1)&gt;=100000,INDEX($AN$1005:$BO$1005,1,MATCH(COLUMNS($AN$1006:BE1006),$AN$1006:$BO$1006,0))&gt;=100000), " ",IF(INDEX($AN$2:$BO$1001,MATCH(ROWS($AG$2:AG484),$AG$2:$AG$1001,0),MATCH(COLUMNS($AN$1006:BE1006),$AN$1006:$BO$1006,0)), HYPERLINK("#",""), HYPERLINK(CONCATENATE("#Metadata!", ADDRESS(INDEX($AI$2:$AI$1001,MATCH(ROWS($AG$2:AG484),$AG$2:$AG$1001,0),0), INDEX($AN$1004:$BO$1004,1,MATCH(COLUMNS($AN$1006:BE1006),$AN$1006:$BO$1006,0)))),"Fix")))</f>
        <v>0</v>
      </c>
      <c r="T484" s="4">
        <f>IF(OR(INDEX($AH$2:$AH$1001,MATCH(ROWS($AG$2:AG484),$AG$2:$AG$1001,0),1)&gt;=100000,INDEX($AN$1005:$BO$1005,1,MATCH(COLUMNS($AN$1006:BF1006),$AN$1006:$BO$1006,0))&gt;=100000), " ",IF(INDEX($AN$2:$BO$1001,MATCH(ROWS($AG$2:AG484),$AG$2:$AG$1001,0),MATCH(COLUMNS($AN$1006:BF1006),$AN$1006:$BO$1006,0)), HYPERLINK("#",""), HYPERLINK(CONCATENATE("#Metadata!", ADDRESS(INDEX($AI$2:$AI$1001,MATCH(ROWS($AG$2:AG484),$AG$2:$AG$1001,0),0), INDEX($AN$1004:$BO$1004,1,MATCH(COLUMNS($AN$1006:BF1006),$AN$1006:$BO$1006,0)))),"Fix")))</f>
        <v>0</v>
      </c>
      <c r="U484" s="4">
        <f>IF(OR(INDEX($AH$2:$AH$1001,MATCH(ROWS($AG$2:AG484),$AG$2:$AG$1001,0),1)&gt;=100000,INDEX($AN$1005:$BO$1005,1,MATCH(COLUMNS($AN$1006:BG1006),$AN$1006:$BO$1006,0))&gt;=100000), " ",IF(INDEX($AN$2:$BO$1001,MATCH(ROWS($AG$2:AG484),$AG$2:$AG$1001,0),MATCH(COLUMNS($AN$1006:BG1006),$AN$1006:$BO$1006,0)), HYPERLINK("#",""), HYPERLINK(CONCATENATE("#Metadata!", ADDRESS(INDEX($AI$2:$AI$1001,MATCH(ROWS($AG$2:AG484),$AG$2:$AG$1001,0),0), INDEX($AN$1004:$BO$1004,1,MATCH(COLUMNS($AN$1006:BG1006),$AN$1006:$BO$1006,0)))),"Fix")))</f>
        <v>0</v>
      </c>
      <c r="V484" s="4">
        <f>IF(OR(INDEX($AH$2:$AH$1001,MATCH(ROWS($AG$2:AG484),$AG$2:$AG$1001,0),1)&gt;=100000,INDEX($AN$1005:$BO$1005,1,MATCH(COLUMNS($AN$1006:BH1006),$AN$1006:$BO$1006,0))&gt;=100000), " ",IF(INDEX($AN$2:$BO$1001,MATCH(ROWS($AG$2:AG484),$AG$2:$AG$1001,0),MATCH(COLUMNS($AN$1006:BH1006),$AN$1006:$BO$1006,0)), HYPERLINK("#",""), HYPERLINK(CONCATENATE("#Metadata!", ADDRESS(INDEX($AI$2:$AI$1001,MATCH(ROWS($AG$2:AG484),$AG$2:$AG$1001,0),0), INDEX($AN$1004:$BO$1004,1,MATCH(COLUMNS($AN$1006:BH1006),$AN$1006:$BO$1006,0)))),"Fix")))</f>
        <v>0</v>
      </c>
      <c r="W484" s="4">
        <f>IF(OR(INDEX($AH$2:$AH$1001,MATCH(ROWS($AG$2:AG484),$AG$2:$AG$1001,0),1)&gt;=100000,INDEX($AN$1005:$BO$1005,1,MATCH(COLUMNS($AN$1006:BI1006),$AN$1006:$BO$1006,0))&gt;=100000), " ",IF(INDEX($AN$2:$BO$1001,MATCH(ROWS($AG$2:AG484),$AG$2:$AG$1001,0),MATCH(COLUMNS($AN$1006:BI1006),$AN$1006:$BO$1006,0)), HYPERLINK("#",""), HYPERLINK(CONCATENATE("#Metadata!", ADDRESS(INDEX($AI$2:$AI$1001,MATCH(ROWS($AG$2:AG484),$AG$2:$AG$1001,0),0), INDEX($AN$1004:$BO$1004,1,MATCH(COLUMNS($AN$1006:BI1006),$AN$1006:$BO$1006,0)))),"Fix")))</f>
        <v>0</v>
      </c>
      <c r="X484" s="4">
        <f>IF(OR(INDEX($AH$2:$AH$1001,MATCH(ROWS($AG$2:AG484),$AG$2:$AG$1001,0),1)&gt;=100000,INDEX($AN$1005:$BO$1005,1,MATCH(COLUMNS($AN$1006:BJ1006),$AN$1006:$BO$1006,0))&gt;=100000), " ",IF(INDEX($AN$2:$BO$1001,MATCH(ROWS($AG$2:AG484),$AG$2:$AG$1001,0),MATCH(COLUMNS($AN$1006:BJ1006),$AN$1006:$BO$1006,0)), HYPERLINK("#",""), HYPERLINK(CONCATENATE("#Metadata!", ADDRESS(INDEX($AI$2:$AI$1001,MATCH(ROWS($AG$2:AG484),$AG$2:$AG$1001,0),0), INDEX($AN$1004:$BO$1004,1,MATCH(COLUMNS($AN$1006:BJ1006),$AN$1006:$BO$1006,0)))),"Fix")))</f>
        <v>0</v>
      </c>
      <c r="Y484" s="4">
        <f>IF(OR(INDEX($AH$2:$AH$1001,MATCH(ROWS($AG$2:AG484),$AG$2:$AG$1001,0),1)&gt;=100000,INDEX($AN$1005:$BO$1005,1,MATCH(COLUMNS($AN$1006:BK1006),$AN$1006:$BO$1006,0))&gt;=100000), " ",IF(INDEX($AN$2:$BO$1001,MATCH(ROWS($AG$2:AG484),$AG$2:$AG$1001,0),MATCH(COLUMNS($AN$1006:BK1006),$AN$1006:$BO$1006,0)), HYPERLINK("#",""), HYPERLINK(CONCATENATE("#Metadata!", ADDRESS(INDEX($AI$2:$AI$1001,MATCH(ROWS($AG$2:AG484),$AG$2:$AG$1001,0),0), INDEX($AN$1004:$BO$1004,1,MATCH(COLUMNS($AN$1006:BK1006),$AN$1006:$BO$1006,0)))),"Fix")))</f>
        <v>0</v>
      </c>
      <c r="Z484" s="4">
        <f>IF(OR(INDEX($AH$2:$AH$1001,MATCH(ROWS($AG$2:AG484),$AG$2:$AG$1001,0),1)&gt;=100000,INDEX($AN$1005:$BO$1005,1,MATCH(COLUMNS($AN$1006:BL1006),$AN$1006:$BO$1006,0))&gt;=100000), " ",IF(INDEX($AN$2:$BO$1001,MATCH(ROWS($AG$2:AG484),$AG$2:$AG$1001,0),MATCH(COLUMNS($AN$1006:BL1006),$AN$1006:$BO$1006,0)), HYPERLINK("#",""), HYPERLINK(CONCATENATE("#Metadata!", ADDRESS(INDEX($AI$2:$AI$1001,MATCH(ROWS($AG$2:AG484),$AG$2:$AG$1001,0),0), INDEX($AN$1004:$BO$1004,1,MATCH(COLUMNS($AN$1006:BL1006),$AN$1006:$BO$1006,0)))),"Fix")))</f>
        <v>0</v>
      </c>
      <c r="AA484" s="4">
        <f>IF(OR(INDEX($AH$2:$AH$1001,MATCH(ROWS($AG$2:AG484),$AG$2:$AG$1001,0),1)&gt;=100000,INDEX($AN$1005:$BO$1005,1,MATCH(COLUMNS($AN$1006:BM1006),$AN$1006:$BO$1006,0))&gt;=100000), " ",IF(INDEX($AN$2:$BO$1001,MATCH(ROWS($AG$2:AG484),$AG$2:$AG$1001,0),MATCH(COLUMNS($AN$1006:BM1006),$AN$1006:$BO$1006,0)), HYPERLINK("#",""), HYPERLINK(CONCATENATE("#Metadata!", ADDRESS(INDEX($AI$2:$AI$1001,MATCH(ROWS($AG$2:AG484),$AG$2:$AG$1001,0),0), INDEX($AN$1004:$BO$1004,1,MATCH(COLUMNS($AN$1006:BM1006),$AN$1006:$BO$1006,0)))),"Fix")))</f>
        <v>0</v>
      </c>
      <c r="AB484" s="4">
        <f>IF(OR(INDEX($AH$2:$AH$1001,MATCH(ROWS($AG$2:AG484),$AG$2:$AG$1001,0),1)&gt;=100000,INDEX($AN$1005:$BO$1005,1,MATCH(COLUMNS($AN$1006:BN1006),$AN$1006:$BO$1006,0))&gt;=100000), " ",IF(INDEX($AN$2:$BO$1001,MATCH(ROWS($AG$2:AG484),$AG$2:$AG$1001,0),MATCH(COLUMNS($AN$1006:BN1006),$AN$1006:$BO$1006,0)), HYPERLINK("#",""), HYPERLINK(CONCATENATE("#Metadata!", ADDRESS(INDEX($AI$2:$AI$1001,MATCH(ROWS($AG$2:AG484),$AG$2:$AG$1001,0),0), INDEX($AN$1004:$BO$1004,1,MATCH(COLUMNS($AN$1006:BN1006),$AN$1006:$BO$1006,0)))),"Fix")))</f>
        <v>0</v>
      </c>
      <c r="AC484" s="4">
        <f>IF(OR(INDEX($AH$2:$AH$1001,MATCH(ROWS($AG$2:AG484),$AG$2:$AG$1001,0),1)&gt;=100000,INDEX($AN$1005:$BO$1005,1,MATCH(COLUMNS($AN$1006:BO1006),$AN$1006:$BO$1006,0))&gt;=100000), " ",IF(INDEX($AN$2:$BO$1001,MATCH(ROWS($AG$2:AG484),$AG$2:$AG$1001,0),MATCH(COLUMNS($AN$1006:BO1006),$AN$1006:$BO$1006,0)), HYPERLINK("#",""), HYPERLINK(CONCATENATE("#Metadata!", ADDRESS(INDEX($AI$2:$AI$1001,MATCH(ROWS($AG$2:AG484),$AG$2:$AG$1001,0),0), INDEX($AN$1004:$BO$1004,1,MATCH(COLUMNS($AN$1006:BO1006),$AN$1006:$BO$1006,0)))),"Fix")))</f>
        <v>0</v>
      </c>
      <c r="AG484">
        <v>0</v>
      </c>
      <c r="AH484">
        <v>0</v>
      </c>
      <c r="AI484">
        <v>0</v>
      </c>
      <c r="AJ484">
        <f>IF(AK484,TRUE,AND(AN484:BO484))</f>
        <v>0</v>
      </c>
      <c r="AK484">
        <f>COUNTBLANK(Metadata!B484:AC484)=COLUMNS(Metadata!B484:AC484)</f>
        <v>0</v>
      </c>
      <c r="AL484">
        <v>0</v>
      </c>
      <c r="AN484">
        <f>AND(IF(Metadata!B484="",FALSE,TRUE),COUNTIF(Metadata!B:B, Metadata!B484) = 1,NOT(ISERROR(SUMPRODUCT(SEARCH(MID(Metadata!B484,ROW(INDIRECT("1:"&amp;LEN(Metadata!B484))), 1),"0123456789abcdefghijklmnopqrstuvwxyzABCDEFGHIJKLMNOPQRSTUVWXYZ.")))))</f>
        <v>0</v>
      </c>
      <c r="AO484">
        <f>IF(Metadata!C484="",FALSE,TRUE)</f>
        <v>0</v>
      </c>
      <c r="AP484">
        <f>IF(Metadata!D484="",FALSE,TRUE)</f>
        <v>0</v>
      </c>
      <c r="AQ484">
        <f>OR(AND(IF(Metadata!E484="",FALSE,TRUE),OR(exact(Metadata!E484,"not collected"),exact(Metadata!E484,"not provided"),exact(Metadata!E484,"restricted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R484">
        <f>IF(Metadata!F484="",FALSE,TRUE)</f>
        <v>0</v>
      </c>
      <c r="AS484">
        <f>OR(AND(IF(Metadata!G484="",FALSE,TRUE),OR(exact(Metadata!G484,"not collected"),exact(Metadata!G484,"not provided"))),AND(IF(Metadata!G484="",FALSE,TRUE),OR(exact(Metadata!G484,"TRUE"),exact(Metadata!G484,"FALSE"))))</f>
        <v>0</v>
      </c>
      <c r="AT484">
        <f>OR(AND(IF(Metadata!H484="",FALSE,TRUE),OR(exact(Metadata!H484,"not collected"),exact(Metadata!H484,"not provided"),exact(Metadata!H484,"restricted access"))),AND(IF(Metadata!H484="",FALSE,ISNUMBER(VALUE(Metadata!H484))),Metadata!H484&gt;=-413.0))</f>
        <v>0</v>
      </c>
      <c r="AU484">
        <f>AND(IF(Metadata!I484="",FALSE,TRUE),exact(Metadata!I484,"meters"))</f>
        <v>0</v>
      </c>
      <c r="AV484">
        <f>AND(IF(Metadata!J484="",FALSE,TRUE),OR(exact(Metadata!J484,"Host-associated"),exact(Metadata!J484,"Free-living")))</f>
        <v>0</v>
      </c>
      <c r="AW484">
        <f>AND(IF(Metadata!K484="",FALSE,TRUE),OR(exact(Metadata!K484,"Animal"),exact(Metadata!K484,"Fungus"),exact(Metadata!K484,"Plant"),exact(Metadata!K484,"Saline"),exact(Metadata!K484,"Non-saline")))</f>
        <v>0</v>
      </c>
      <c r="AX484">
        <f>AND(IF(Metadata!L484="",FALSE,TRUE),OR(exact(Metadata!L484,"Plant secretion"),exact(Metadata!L484,"Plant rhizosphere"),exact(Metadata!L484,"Plant surface"),exact(Metadata!L484,"Plant corpus"),exact(Metadata!L484,"Fungus surface"),exact(Metadata!L484,"Fungus corpus"),exact(Metadata!L484,"Animal surface"),exact(Metadata!L484,"Animal proximal gut"),exact(Metadata!L484,"Animal corpus"),exact(Metadata!L484,"Animal distal gut"),exact(Metadata!L484,"Animal secretion"),exact(Metadata!L484,"Sub-surface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Y484">
        <f>IF(Metadata!M484="",FALSE,TRUE)</f>
        <v>0</v>
      </c>
      <c r="AZ484">
        <f>IF(Metadata!N484="",FALSE,TRUE)</f>
        <v>0</v>
      </c>
      <c r="BA484">
        <f>IF(Metadata!O484="",FALSE,TRUE)</f>
        <v>0</v>
      </c>
      <c r="BB484">
        <f>OR(AND(IF(Metadata!P484="",FALSE,TRUE),OR(exact(Metadata!P484,"not collected"),exact(Metadata!P484,"not provided"),exact(Metadata!P484,"restricted access"))),AND(IF(Metadata!P484="",FALSE,TRUE),OR(exact(Metadata!P484,"air"),exact(Metadata!P484,"built environment"),exact(Metadata!P484,"host-associated"),exact(Metadata!P484,"human-associated"),exact(Metadata!P484,"human-skin"),exact(Metadata!P484,"human-oral"),exact(Metadata!P484,"human-gut"),exact(Metadata!P484,"human-vaginal"),exact(Metadata!P484,"microbial mat/biofilm"),exact(Metadata!P484,"misc environment"),exact(Metadata!P484,"plant-associated"),exact(Metadata!P484,"sediment"),exact(Metadata!P484,"soil"),exact(Metadata!P484,"wastewater/sludge"),exact(Metadata!P484,"water"))))</f>
        <v>0</v>
      </c>
      <c r="BC484">
        <f>IF(Metadata!Q484="",FALSE,TRUE)</f>
        <v>0</v>
      </c>
      <c r="BD484">
        <f>IF(Metadata!R484="",FALSE,TRUE)</f>
        <v>0</v>
      </c>
      <c r="BE484">
        <f>OR(AND(IF(Metadata!S484="",FALSE,TRUE),OR(exact(Metadata!S484,"not collected"),exact(Metadata!S484,"not provided"),exact(Metadata!S484,"restricted access"))),AND(IF(Metadata!S484="",FALSE,ISNUMBER(VALUE(Metadata!S484))),Metadata!S484&gt;=-90.00,Metadata!S484&lt;=90.00))</f>
        <v>0</v>
      </c>
      <c r="BF484">
        <f>AND(IF(Metadata!T484="",FALSE,TRUE),exact(Metadata!T484,"Decimal degrees"))</f>
        <v>0</v>
      </c>
      <c r="BG484">
        <f>OR(AND(IF(Metadata!U484="",FALSE,TRUE),OR(exact(Metadata!U484,"not collected"),exact(Metadata!U484,"not provided"),exact(Metadata!U484,"restricted access"))),AND(IF(Metadata!U484="",FALSE,ISNUMBER(VALUE(Metadata!U484))),Metadata!U484&gt;=-180.00,Metadata!U484&lt;=180.00))</f>
        <v>0</v>
      </c>
      <c r="BH484">
        <f>AND(IF(Metadata!V484="",FALSE,TRUE),exact(Metadata!V484,"Decimal degrees"))</f>
        <v>0</v>
      </c>
      <c r="BI484">
        <f>IF(Metadata!W484="",FALSE,TRUE)</f>
        <v>0</v>
      </c>
      <c r="BJ484">
        <f>OR(AND(IF(Metadata!X484="",FALSE,TRUE),OR(exact(Metadata!X484,"not collected"),exact(Metadata!X484,"not provided"),exact(Metadata!X484,"restricted access"))),AND(IF(Metadata!X484="",FALSE,TRUE),OR(exact(Metadata!X484,"TRUE"),exact(Metadata!X484,"FALSE"))))</f>
        <v>0</v>
      </c>
      <c r="BK484">
        <f>AND(IF(Metadata!Y484="",FALSE,TRUE),exact(Metadata!Y484,"other"))</f>
        <v>0</v>
      </c>
      <c r="BL484">
        <f>IF(Metadata!Z484="",FALSE,TRUE)</f>
        <v>0</v>
      </c>
      <c r="BM484">
        <f>OR(AND(IF(Metadata!AA484="",FALSE,TRUE),OR(exact(Metadata!AA484,"not collected"),exact(Metadata!AA484,"not provided"))),AND(IF(Metadata!AA484="",FALSE,IF(ISERROR(INT(Metadata!AA484)),FALSE,INT(Metadata!AA484)=Metadata!AA484)),Metadata!AA484&gt;0))</f>
        <v>0</v>
      </c>
      <c r="BN484">
        <f>AND(IF(Metadata!AB484="",FALSE,TRUE),exact(Metadata!AB484,"Not applicable"))</f>
        <v>0</v>
      </c>
      <c r="BO484">
        <f>IF(Metadata!AC484="",FALSE,TRUE)</f>
        <v>0</v>
      </c>
    </row>
    <row r="485" spans="1:67">
      <c r="A485" s="5">
        <f>IF(B485=" "," ",HYPERLINK(CONCATENATE("#metadata!",ADDRESS(INDEX($AI$2:$AI$1001,MATCH(ROWS($AG$2:AG485),$AG$2:$AG$1001,0),0),1)),INDEX($AL$2:$AL$1001,MATCH(ROWS($AG$2:AG485),$AG$2:$AG$1001,0),0)))</f>
        <v>0</v>
      </c>
      <c r="B485" s="4">
        <f>IF(OR(INDEX($AH$2:$AH$1001,MATCH(ROWS($AG$2:AG485),$AG$2:$AG$1001,0),1)&gt;=100000,INDEX($AN$1005:$BO$1005,1,MATCH(COLUMNS($AN$1006:AN1006),$AN$1006:$BO$1006,0))&gt;=100000), " ",IF(INDEX($AN$2:$BO$1001,MATCH(ROWS($AG$2:AG485),$AG$2:$AG$1001,0),MATCH(COLUMNS($AN$1006:AN1006),$AN$1006:$BO$1006,0)), HYPERLINK("#",""), HYPERLINK(CONCATENATE("#Metadata!", ADDRESS(INDEX($AI$2:$AI$1001,MATCH(ROWS($AG$2:AG485),$AG$2:$AG$1001,0),0), INDEX($AN$1004:$BO$1004,1,MATCH(COLUMNS($AN$1006:AN1006),$AN$1006:$BO$1006,0)))),"Fix")))</f>
        <v>0</v>
      </c>
      <c r="C485" s="4">
        <f>IF(OR(INDEX($AH$2:$AH$1001,MATCH(ROWS($AG$2:AG485),$AG$2:$AG$1001,0),1)&gt;=100000,INDEX($AN$1005:$BO$1005,1,MATCH(COLUMNS($AN$1006:AO1006),$AN$1006:$BO$1006,0))&gt;=100000), " ",IF(INDEX($AN$2:$BO$1001,MATCH(ROWS($AG$2:AG485),$AG$2:$AG$1001,0),MATCH(COLUMNS($AN$1006:AO1006),$AN$1006:$BO$1006,0)), HYPERLINK("#",""), HYPERLINK(CONCATENATE("#Metadata!", ADDRESS(INDEX($AI$2:$AI$1001,MATCH(ROWS($AG$2:AG485),$AG$2:$AG$1001,0),0), INDEX($AN$1004:$BO$1004,1,MATCH(COLUMNS($AN$1006:AO1006),$AN$1006:$BO$1006,0)))),"Fix")))</f>
        <v>0</v>
      </c>
      <c r="D485" s="4">
        <f>IF(OR(INDEX($AH$2:$AH$1001,MATCH(ROWS($AG$2:AG485),$AG$2:$AG$1001,0),1)&gt;=100000,INDEX($AN$1005:$BO$1005,1,MATCH(COLUMNS($AN$1006:AP1006),$AN$1006:$BO$1006,0))&gt;=100000), " ",IF(INDEX($AN$2:$BO$1001,MATCH(ROWS($AG$2:AG485),$AG$2:$AG$1001,0),MATCH(COLUMNS($AN$1006:AP1006),$AN$1006:$BO$1006,0)), HYPERLINK("#",""), HYPERLINK(CONCATENATE("#Metadata!", ADDRESS(INDEX($AI$2:$AI$1001,MATCH(ROWS($AG$2:AG485),$AG$2:$AG$1001,0),0), INDEX($AN$1004:$BO$1004,1,MATCH(COLUMNS($AN$1006:AP1006),$AN$1006:$BO$1006,0)))),"Fix")))</f>
        <v>0</v>
      </c>
      <c r="E485" s="4">
        <f>IF(OR(INDEX($AH$2:$AH$1001,MATCH(ROWS($AG$2:AG485),$AG$2:$AG$1001,0),1)&gt;=100000,INDEX($AN$1005:$BO$1005,1,MATCH(COLUMNS($AN$1006:AQ1006),$AN$1006:$BO$1006,0))&gt;=100000), " ",IF(INDEX($AN$2:$BO$1001,MATCH(ROWS($AG$2:AG485),$AG$2:$AG$1001,0),MATCH(COLUMNS($AN$1006:AQ1006),$AN$1006:$BO$1006,0)), HYPERLINK("#",""), HYPERLINK(CONCATENATE("#Metadata!", ADDRESS(INDEX($AI$2:$AI$1001,MATCH(ROWS($AG$2:AG485),$AG$2:$AG$1001,0),0), INDEX($AN$1004:$BO$1004,1,MATCH(COLUMNS($AN$1006:AQ1006),$AN$1006:$BO$1006,0)))),"Fix")))</f>
        <v>0</v>
      </c>
      <c r="F485" s="4">
        <f>IF(OR(INDEX($AH$2:$AH$1001,MATCH(ROWS($AG$2:AG485),$AG$2:$AG$1001,0),1)&gt;=100000,INDEX($AN$1005:$BO$1005,1,MATCH(COLUMNS($AN$1006:AR1006),$AN$1006:$BO$1006,0))&gt;=100000), " ",IF(INDEX($AN$2:$BO$1001,MATCH(ROWS($AG$2:AG485),$AG$2:$AG$1001,0),MATCH(COLUMNS($AN$1006:AR1006),$AN$1006:$BO$1006,0)), HYPERLINK("#",""), HYPERLINK(CONCATENATE("#Metadata!", ADDRESS(INDEX($AI$2:$AI$1001,MATCH(ROWS($AG$2:AG485),$AG$2:$AG$1001,0),0), INDEX($AN$1004:$BO$1004,1,MATCH(COLUMNS($AN$1006:AR1006),$AN$1006:$BO$1006,0)))),"Fix")))</f>
        <v>0</v>
      </c>
      <c r="G485" s="4">
        <f>IF(OR(INDEX($AH$2:$AH$1001,MATCH(ROWS($AG$2:AG485),$AG$2:$AG$1001,0),1)&gt;=100000,INDEX($AN$1005:$BO$1005,1,MATCH(COLUMNS($AN$1006:AS1006),$AN$1006:$BO$1006,0))&gt;=100000), " ",IF(INDEX($AN$2:$BO$1001,MATCH(ROWS($AG$2:AG485),$AG$2:$AG$1001,0),MATCH(COLUMNS($AN$1006:AS1006),$AN$1006:$BO$1006,0)), HYPERLINK("#",""), HYPERLINK(CONCATENATE("#Metadata!", ADDRESS(INDEX($AI$2:$AI$1001,MATCH(ROWS($AG$2:AG485),$AG$2:$AG$1001,0),0), INDEX($AN$1004:$BO$1004,1,MATCH(COLUMNS($AN$1006:AS1006),$AN$1006:$BO$1006,0)))),"Fix")))</f>
        <v>0</v>
      </c>
      <c r="H485" s="4">
        <f>IF(OR(INDEX($AH$2:$AH$1001,MATCH(ROWS($AG$2:AG485),$AG$2:$AG$1001,0),1)&gt;=100000,INDEX($AN$1005:$BO$1005,1,MATCH(COLUMNS($AN$1006:AT1006),$AN$1006:$BO$1006,0))&gt;=100000), " ",IF(INDEX($AN$2:$BO$1001,MATCH(ROWS($AG$2:AG485),$AG$2:$AG$1001,0),MATCH(COLUMNS($AN$1006:AT1006),$AN$1006:$BO$1006,0)), HYPERLINK("#",""), HYPERLINK(CONCATENATE("#Metadata!", ADDRESS(INDEX($AI$2:$AI$1001,MATCH(ROWS($AG$2:AG485),$AG$2:$AG$1001,0),0), INDEX($AN$1004:$BO$1004,1,MATCH(COLUMNS($AN$1006:AT1006),$AN$1006:$BO$1006,0)))),"Fix")))</f>
        <v>0</v>
      </c>
      <c r="I485" s="4">
        <f>IF(OR(INDEX($AH$2:$AH$1001,MATCH(ROWS($AG$2:AG485),$AG$2:$AG$1001,0),1)&gt;=100000,INDEX($AN$1005:$BO$1005,1,MATCH(COLUMNS($AN$1006:AU1006),$AN$1006:$BO$1006,0))&gt;=100000), " ",IF(INDEX($AN$2:$BO$1001,MATCH(ROWS($AG$2:AG485),$AG$2:$AG$1001,0),MATCH(COLUMNS($AN$1006:AU1006),$AN$1006:$BO$1006,0)), HYPERLINK("#",""), HYPERLINK(CONCATENATE("#Metadata!", ADDRESS(INDEX($AI$2:$AI$1001,MATCH(ROWS($AG$2:AG485),$AG$2:$AG$1001,0),0), INDEX($AN$1004:$BO$1004,1,MATCH(COLUMNS($AN$1006:AU1006),$AN$1006:$BO$1006,0)))),"Fix")))</f>
        <v>0</v>
      </c>
      <c r="J485" s="4">
        <f>IF(OR(INDEX($AH$2:$AH$1001,MATCH(ROWS($AG$2:AG485),$AG$2:$AG$1001,0),1)&gt;=100000,INDEX($AN$1005:$BO$1005,1,MATCH(COLUMNS($AN$1006:AV1006),$AN$1006:$BO$1006,0))&gt;=100000), " ",IF(INDEX($AN$2:$BO$1001,MATCH(ROWS($AG$2:AG485),$AG$2:$AG$1001,0),MATCH(COLUMNS($AN$1006:AV1006),$AN$1006:$BO$1006,0)), HYPERLINK("#",""), HYPERLINK(CONCATENATE("#Metadata!", ADDRESS(INDEX($AI$2:$AI$1001,MATCH(ROWS($AG$2:AG485),$AG$2:$AG$1001,0),0), INDEX($AN$1004:$BO$1004,1,MATCH(COLUMNS($AN$1006:AV1006),$AN$1006:$BO$1006,0)))),"Fix")))</f>
        <v>0</v>
      </c>
      <c r="K485" s="4">
        <f>IF(OR(INDEX($AH$2:$AH$1001,MATCH(ROWS($AG$2:AG485),$AG$2:$AG$1001,0),1)&gt;=100000,INDEX($AN$1005:$BO$1005,1,MATCH(COLUMNS($AN$1006:AW1006),$AN$1006:$BO$1006,0))&gt;=100000), " ",IF(INDEX($AN$2:$BO$1001,MATCH(ROWS($AG$2:AG485),$AG$2:$AG$1001,0),MATCH(COLUMNS($AN$1006:AW1006),$AN$1006:$BO$1006,0)), HYPERLINK("#",""), HYPERLINK(CONCATENATE("#Metadata!", ADDRESS(INDEX($AI$2:$AI$1001,MATCH(ROWS($AG$2:AG485),$AG$2:$AG$1001,0),0), INDEX($AN$1004:$BO$1004,1,MATCH(COLUMNS($AN$1006:AW1006),$AN$1006:$BO$1006,0)))),"Fix")))</f>
        <v>0</v>
      </c>
      <c r="L485" s="4">
        <f>IF(OR(INDEX($AH$2:$AH$1001,MATCH(ROWS($AG$2:AG485),$AG$2:$AG$1001,0),1)&gt;=100000,INDEX($AN$1005:$BO$1005,1,MATCH(COLUMNS($AN$1006:AX1006),$AN$1006:$BO$1006,0))&gt;=100000), " ",IF(INDEX($AN$2:$BO$1001,MATCH(ROWS($AG$2:AG485),$AG$2:$AG$1001,0),MATCH(COLUMNS($AN$1006:AX1006),$AN$1006:$BO$1006,0)), HYPERLINK("#",""), HYPERLINK(CONCATENATE("#Metadata!", ADDRESS(INDEX($AI$2:$AI$1001,MATCH(ROWS($AG$2:AG485),$AG$2:$AG$1001,0),0), INDEX($AN$1004:$BO$1004,1,MATCH(COLUMNS($AN$1006:AX1006),$AN$1006:$BO$1006,0)))),"Fix")))</f>
        <v>0</v>
      </c>
      <c r="M485" s="4">
        <f>IF(OR(INDEX($AH$2:$AH$1001,MATCH(ROWS($AG$2:AG485),$AG$2:$AG$1001,0),1)&gt;=100000,INDEX($AN$1005:$BO$1005,1,MATCH(COLUMNS($AN$1006:AY1006),$AN$1006:$BO$1006,0))&gt;=100000), " ",IF(INDEX($AN$2:$BO$1001,MATCH(ROWS($AG$2:AG485),$AG$2:$AG$1001,0),MATCH(COLUMNS($AN$1006:AY1006),$AN$1006:$BO$1006,0)), HYPERLINK("#",""), HYPERLINK(CONCATENATE("#Metadata!", ADDRESS(INDEX($AI$2:$AI$1001,MATCH(ROWS($AG$2:AG485),$AG$2:$AG$1001,0),0), INDEX($AN$1004:$BO$1004,1,MATCH(COLUMNS($AN$1006:AY1006),$AN$1006:$BO$1006,0)))),"Fix")))</f>
        <v>0</v>
      </c>
      <c r="N485" s="4">
        <f>IF(OR(INDEX($AH$2:$AH$1001,MATCH(ROWS($AG$2:AG485),$AG$2:$AG$1001,0),1)&gt;=100000,INDEX($AN$1005:$BO$1005,1,MATCH(COLUMNS($AN$1006:AZ1006),$AN$1006:$BO$1006,0))&gt;=100000), " ",IF(INDEX($AN$2:$BO$1001,MATCH(ROWS($AG$2:AG485),$AG$2:$AG$1001,0),MATCH(COLUMNS($AN$1006:AZ1006),$AN$1006:$BO$1006,0)), HYPERLINK("#",""), HYPERLINK(CONCATENATE("#Metadata!", ADDRESS(INDEX($AI$2:$AI$1001,MATCH(ROWS($AG$2:AG485),$AG$2:$AG$1001,0),0), INDEX($AN$1004:$BO$1004,1,MATCH(COLUMNS($AN$1006:AZ1006),$AN$1006:$BO$1006,0)))),"Fix")))</f>
        <v>0</v>
      </c>
      <c r="O485" s="4">
        <f>IF(OR(INDEX($AH$2:$AH$1001,MATCH(ROWS($AG$2:AG485),$AG$2:$AG$1001,0),1)&gt;=100000,INDEX($AN$1005:$BO$1005,1,MATCH(COLUMNS($AN$1006:BA1006),$AN$1006:$BO$1006,0))&gt;=100000), " ",IF(INDEX($AN$2:$BO$1001,MATCH(ROWS($AG$2:AG485),$AG$2:$AG$1001,0),MATCH(COLUMNS($AN$1006:BA1006),$AN$1006:$BO$1006,0)), HYPERLINK("#",""), HYPERLINK(CONCATENATE("#Metadata!", ADDRESS(INDEX($AI$2:$AI$1001,MATCH(ROWS($AG$2:AG485),$AG$2:$AG$1001,0),0), INDEX($AN$1004:$BO$1004,1,MATCH(COLUMNS($AN$1006:BA1006),$AN$1006:$BO$1006,0)))),"Fix")))</f>
        <v>0</v>
      </c>
      <c r="P485" s="4">
        <f>IF(OR(INDEX($AH$2:$AH$1001,MATCH(ROWS($AG$2:AG485),$AG$2:$AG$1001,0),1)&gt;=100000,INDEX($AN$1005:$BO$1005,1,MATCH(COLUMNS($AN$1006:BB1006),$AN$1006:$BO$1006,0))&gt;=100000), " ",IF(INDEX($AN$2:$BO$1001,MATCH(ROWS($AG$2:AG485),$AG$2:$AG$1001,0),MATCH(COLUMNS($AN$1006:BB1006),$AN$1006:$BO$1006,0)), HYPERLINK("#",""), HYPERLINK(CONCATENATE("#Metadata!", ADDRESS(INDEX($AI$2:$AI$1001,MATCH(ROWS($AG$2:AG485),$AG$2:$AG$1001,0),0), INDEX($AN$1004:$BO$1004,1,MATCH(COLUMNS($AN$1006:BB1006),$AN$1006:$BO$1006,0)))),"Fix")))</f>
        <v>0</v>
      </c>
      <c r="Q485" s="4">
        <f>IF(OR(INDEX($AH$2:$AH$1001,MATCH(ROWS($AG$2:AG485),$AG$2:$AG$1001,0),1)&gt;=100000,INDEX($AN$1005:$BO$1005,1,MATCH(COLUMNS($AN$1006:BC1006),$AN$1006:$BO$1006,0))&gt;=100000), " ",IF(INDEX($AN$2:$BO$1001,MATCH(ROWS($AG$2:AG485),$AG$2:$AG$1001,0),MATCH(COLUMNS($AN$1006:BC1006),$AN$1006:$BO$1006,0)), HYPERLINK("#",""), HYPERLINK(CONCATENATE("#Metadata!", ADDRESS(INDEX($AI$2:$AI$1001,MATCH(ROWS($AG$2:AG485),$AG$2:$AG$1001,0),0), INDEX($AN$1004:$BO$1004,1,MATCH(COLUMNS($AN$1006:BC1006),$AN$1006:$BO$1006,0)))),"Fix")))</f>
        <v>0</v>
      </c>
      <c r="R485" s="4">
        <f>IF(OR(INDEX($AH$2:$AH$1001,MATCH(ROWS($AG$2:AG485),$AG$2:$AG$1001,0),1)&gt;=100000,INDEX($AN$1005:$BO$1005,1,MATCH(COLUMNS($AN$1006:BD1006),$AN$1006:$BO$1006,0))&gt;=100000), " ",IF(INDEX($AN$2:$BO$1001,MATCH(ROWS($AG$2:AG485),$AG$2:$AG$1001,0),MATCH(COLUMNS($AN$1006:BD1006),$AN$1006:$BO$1006,0)), HYPERLINK("#",""), HYPERLINK(CONCATENATE("#Metadata!", ADDRESS(INDEX($AI$2:$AI$1001,MATCH(ROWS($AG$2:AG485),$AG$2:$AG$1001,0),0), INDEX($AN$1004:$BO$1004,1,MATCH(COLUMNS($AN$1006:BD1006),$AN$1006:$BO$1006,0)))),"Fix")))</f>
        <v>0</v>
      </c>
      <c r="S485" s="4">
        <f>IF(OR(INDEX($AH$2:$AH$1001,MATCH(ROWS($AG$2:AG485),$AG$2:$AG$1001,0),1)&gt;=100000,INDEX($AN$1005:$BO$1005,1,MATCH(COLUMNS($AN$1006:BE1006),$AN$1006:$BO$1006,0))&gt;=100000), " ",IF(INDEX($AN$2:$BO$1001,MATCH(ROWS($AG$2:AG485),$AG$2:$AG$1001,0),MATCH(COLUMNS($AN$1006:BE1006),$AN$1006:$BO$1006,0)), HYPERLINK("#",""), HYPERLINK(CONCATENATE("#Metadata!", ADDRESS(INDEX($AI$2:$AI$1001,MATCH(ROWS($AG$2:AG485),$AG$2:$AG$1001,0),0), INDEX($AN$1004:$BO$1004,1,MATCH(COLUMNS($AN$1006:BE1006),$AN$1006:$BO$1006,0)))),"Fix")))</f>
        <v>0</v>
      </c>
      <c r="T485" s="4">
        <f>IF(OR(INDEX($AH$2:$AH$1001,MATCH(ROWS($AG$2:AG485),$AG$2:$AG$1001,0),1)&gt;=100000,INDEX($AN$1005:$BO$1005,1,MATCH(COLUMNS($AN$1006:BF1006),$AN$1006:$BO$1006,0))&gt;=100000), " ",IF(INDEX($AN$2:$BO$1001,MATCH(ROWS($AG$2:AG485),$AG$2:$AG$1001,0),MATCH(COLUMNS($AN$1006:BF1006),$AN$1006:$BO$1006,0)), HYPERLINK("#",""), HYPERLINK(CONCATENATE("#Metadata!", ADDRESS(INDEX($AI$2:$AI$1001,MATCH(ROWS($AG$2:AG485),$AG$2:$AG$1001,0),0), INDEX($AN$1004:$BO$1004,1,MATCH(COLUMNS($AN$1006:BF1006),$AN$1006:$BO$1006,0)))),"Fix")))</f>
        <v>0</v>
      </c>
      <c r="U485" s="4">
        <f>IF(OR(INDEX($AH$2:$AH$1001,MATCH(ROWS($AG$2:AG485),$AG$2:$AG$1001,0),1)&gt;=100000,INDEX($AN$1005:$BO$1005,1,MATCH(COLUMNS($AN$1006:BG1006),$AN$1006:$BO$1006,0))&gt;=100000), " ",IF(INDEX($AN$2:$BO$1001,MATCH(ROWS($AG$2:AG485),$AG$2:$AG$1001,0),MATCH(COLUMNS($AN$1006:BG1006),$AN$1006:$BO$1006,0)), HYPERLINK("#",""), HYPERLINK(CONCATENATE("#Metadata!", ADDRESS(INDEX($AI$2:$AI$1001,MATCH(ROWS($AG$2:AG485),$AG$2:$AG$1001,0),0), INDEX($AN$1004:$BO$1004,1,MATCH(COLUMNS($AN$1006:BG1006),$AN$1006:$BO$1006,0)))),"Fix")))</f>
        <v>0</v>
      </c>
      <c r="V485" s="4">
        <f>IF(OR(INDEX($AH$2:$AH$1001,MATCH(ROWS($AG$2:AG485),$AG$2:$AG$1001,0),1)&gt;=100000,INDEX($AN$1005:$BO$1005,1,MATCH(COLUMNS($AN$1006:BH1006),$AN$1006:$BO$1006,0))&gt;=100000), " ",IF(INDEX($AN$2:$BO$1001,MATCH(ROWS($AG$2:AG485),$AG$2:$AG$1001,0),MATCH(COLUMNS($AN$1006:BH1006),$AN$1006:$BO$1006,0)), HYPERLINK("#",""), HYPERLINK(CONCATENATE("#Metadata!", ADDRESS(INDEX($AI$2:$AI$1001,MATCH(ROWS($AG$2:AG485),$AG$2:$AG$1001,0),0), INDEX($AN$1004:$BO$1004,1,MATCH(COLUMNS($AN$1006:BH1006),$AN$1006:$BO$1006,0)))),"Fix")))</f>
        <v>0</v>
      </c>
      <c r="W485" s="4">
        <f>IF(OR(INDEX($AH$2:$AH$1001,MATCH(ROWS($AG$2:AG485),$AG$2:$AG$1001,0),1)&gt;=100000,INDEX($AN$1005:$BO$1005,1,MATCH(COLUMNS($AN$1006:BI1006),$AN$1006:$BO$1006,0))&gt;=100000), " ",IF(INDEX($AN$2:$BO$1001,MATCH(ROWS($AG$2:AG485),$AG$2:$AG$1001,0),MATCH(COLUMNS($AN$1006:BI1006),$AN$1006:$BO$1006,0)), HYPERLINK("#",""), HYPERLINK(CONCATENATE("#Metadata!", ADDRESS(INDEX($AI$2:$AI$1001,MATCH(ROWS($AG$2:AG485),$AG$2:$AG$1001,0),0), INDEX($AN$1004:$BO$1004,1,MATCH(COLUMNS($AN$1006:BI1006),$AN$1006:$BO$1006,0)))),"Fix")))</f>
        <v>0</v>
      </c>
      <c r="X485" s="4">
        <f>IF(OR(INDEX($AH$2:$AH$1001,MATCH(ROWS($AG$2:AG485),$AG$2:$AG$1001,0),1)&gt;=100000,INDEX($AN$1005:$BO$1005,1,MATCH(COLUMNS($AN$1006:BJ1006),$AN$1006:$BO$1006,0))&gt;=100000), " ",IF(INDEX($AN$2:$BO$1001,MATCH(ROWS($AG$2:AG485),$AG$2:$AG$1001,0),MATCH(COLUMNS($AN$1006:BJ1006),$AN$1006:$BO$1006,0)), HYPERLINK("#",""), HYPERLINK(CONCATENATE("#Metadata!", ADDRESS(INDEX($AI$2:$AI$1001,MATCH(ROWS($AG$2:AG485),$AG$2:$AG$1001,0),0), INDEX($AN$1004:$BO$1004,1,MATCH(COLUMNS($AN$1006:BJ1006),$AN$1006:$BO$1006,0)))),"Fix")))</f>
        <v>0</v>
      </c>
      <c r="Y485" s="4">
        <f>IF(OR(INDEX($AH$2:$AH$1001,MATCH(ROWS($AG$2:AG485),$AG$2:$AG$1001,0),1)&gt;=100000,INDEX($AN$1005:$BO$1005,1,MATCH(COLUMNS($AN$1006:BK1006),$AN$1006:$BO$1006,0))&gt;=100000), " ",IF(INDEX($AN$2:$BO$1001,MATCH(ROWS($AG$2:AG485),$AG$2:$AG$1001,0),MATCH(COLUMNS($AN$1006:BK1006),$AN$1006:$BO$1006,0)), HYPERLINK("#",""), HYPERLINK(CONCATENATE("#Metadata!", ADDRESS(INDEX($AI$2:$AI$1001,MATCH(ROWS($AG$2:AG485),$AG$2:$AG$1001,0),0), INDEX($AN$1004:$BO$1004,1,MATCH(COLUMNS($AN$1006:BK1006),$AN$1006:$BO$1006,0)))),"Fix")))</f>
        <v>0</v>
      </c>
      <c r="Z485" s="4">
        <f>IF(OR(INDEX($AH$2:$AH$1001,MATCH(ROWS($AG$2:AG485),$AG$2:$AG$1001,0),1)&gt;=100000,INDEX($AN$1005:$BO$1005,1,MATCH(COLUMNS($AN$1006:BL1006),$AN$1006:$BO$1006,0))&gt;=100000), " ",IF(INDEX($AN$2:$BO$1001,MATCH(ROWS($AG$2:AG485),$AG$2:$AG$1001,0),MATCH(COLUMNS($AN$1006:BL1006),$AN$1006:$BO$1006,0)), HYPERLINK("#",""), HYPERLINK(CONCATENATE("#Metadata!", ADDRESS(INDEX($AI$2:$AI$1001,MATCH(ROWS($AG$2:AG485),$AG$2:$AG$1001,0),0), INDEX($AN$1004:$BO$1004,1,MATCH(COLUMNS($AN$1006:BL1006),$AN$1006:$BO$1006,0)))),"Fix")))</f>
        <v>0</v>
      </c>
      <c r="AA485" s="4">
        <f>IF(OR(INDEX($AH$2:$AH$1001,MATCH(ROWS($AG$2:AG485),$AG$2:$AG$1001,0),1)&gt;=100000,INDEX($AN$1005:$BO$1005,1,MATCH(COLUMNS($AN$1006:BM1006),$AN$1006:$BO$1006,0))&gt;=100000), " ",IF(INDEX($AN$2:$BO$1001,MATCH(ROWS($AG$2:AG485),$AG$2:$AG$1001,0),MATCH(COLUMNS($AN$1006:BM1006),$AN$1006:$BO$1006,0)), HYPERLINK("#",""), HYPERLINK(CONCATENATE("#Metadata!", ADDRESS(INDEX($AI$2:$AI$1001,MATCH(ROWS($AG$2:AG485),$AG$2:$AG$1001,0),0), INDEX($AN$1004:$BO$1004,1,MATCH(COLUMNS($AN$1006:BM1006),$AN$1006:$BO$1006,0)))),"Fix")))</f>
        <v>0</v>
      </c>
      <c r="AB485" s="4">
        <f>IF(OR(INDEX($AH$2:$AH$1001,MATCH(ROWS($AG$2:AG485),$AG$2:$AG$1001,0),1)&gt;=100000,INDEX($AN$1005:$BO$1005,1,MATCH(COLUMNS($AN$1006:BN1006),$AN$1006:$BO$1006,0))&gt;=100000), " ",IF(INDEX($AN$2:$BO$1001,MATCH(ROWS($AG$2:AG485),$AG$2:$AG$1001,0),MATCH(COLUMNS($AN$1006:BN1006),$AN$1006:$BO$1006,0)), HYPERLINK("#",""), HYPERLINK(CONCATENATE("#Metadata!", ADDRESS(INDEX($AI$2:$AI$1001,MATCH(ROWS($AG$2:AG485),$AG$2:$AG$1001,0),0), INDEX($AN$1004:$BO$1004,1,MATCH(COLUMNS($AN$1006:BN1006),$AN$1006:$BO$1006,0)))),"Fix")))</f>
        <v>0</v>
      </c>
      <c r="AC485" s="4">
        <f>IF(OR(INDEX($AH$2:$AH$1001,MATCH(ROWS($AG$2:AG485),$AG$2:$AG$1001,0),1)&gt;=100000,INDEX($AN$1005:$BO$1005,1,MATCH(COLUMNS($AN$1006:BO1006),$AN$1006:$BO$1006,0))&gt;=100000), " ",IF(INDEX($AN$2:$BO$1001,MATCH(ROWS($AG$2:AG485),$AG$2:$AG$1001,0),MATCH(COLUMNS($AN$1006:BO1006),$AN$1006:$BO$1006,0)), HYPERLINK("#",""), HYPERLINK(CONCATENATE("#Metadata!", ADDRESS(INDEX($AI$2:$AI$1001,MATCH(ROWS($AG$2:AG485),$AG$2:$AG$1001,0),0), INDEX($AN$1004:$BO$1004,1,MATCH(COLUMNS($AN$1006:BO1006),$AN$1006:$BO$1006,0)))),"Fix")))</f>
        <v>0</v>
      </c>
      <c r="AG485">
        <v>0</v>
      </c>
      <c r="AH485">
        <v>0</v>
      </c>
      <c r="AI485">
        <v>0</v>
      </c>
      <c r="AJ485">
        <f>IF(AK485,TRUE,AND(AN485:BO485))</f>
        <v>0</v>
      </c>
      <c r="AK485">
        <f>COUNTBLANK(Metadata!B485:AC485)=COLUMNS(Metadata!B485:AC485)</f>
        <v>0</v>
      </c>
      <c r="AL485">
        <v>0</v>
      </c>
      <c r="AN485">
        <f>AND(IF(Metadata!B485="",FALSE,TRUE),COUNTIF(Metadata!B:B, Metadata!B485) = 1,NOT(ISERROR(SUMPRODUCT(SEARCH(MID(Metadata!B485,ROW(INDIRECT("1:"&amp;LEN(Metadata!B485))), 1),"0123456789abcdefghijklmnopqrstuvwxyzABCDEFGHIJKLMNOPQRSTUVWXYZ.")))))</f>
        <v>0</v>
      </c>
      <c r="AO485">
        <f>IF(Metadata!C485="",FALSE,TRUE)</f>
        <v>0</v>
      </c>
      <c r="AP485">
        <f>IF(Metadata!D485="",FALSE,TRUE)</f>
        <v>0</v>
      </c>
      <c r="AQ485">
        <f>OR(AND(IF(Metadata!E485="",FALSE,TRUE),OR(exact(Metadata!E485,"not collected"),exact(Metadata!E485,"not provided"),exact(Metadata!E485,"restricted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R485">
        <f>IF(Metadata!F485="",FALSE,TRUE)</f>
        <v>0</v>
      </c>
      <c r="AS485">
        <f>OR(AND(IF(Metadata!G485="",FALSE,TRUE),OR(exact(Metadata!G485,"not collected"),exact(Metadata!G485,"not provided"))),AND(IF(Metadata!G485="",FALSE,TRUE),OR(exact(Metadata!G485,"TRUE"),exact(Metadata!G485,"FALSE"))))</f>
        <v>0</v>
      </c>
      <c r="AT485">
        <f>OR(AND(IF(Metadata!H485="",FALSE,TRUE),OR(exact(Metadata!H485,"not collected"),exact(Metadata!H485,"not provided"),exact(Metadata!H485,"restricted access"))),AND(IF(Metadata!H485="",FALSE,ISNUMBER(VALUE(Metadata!H485))),Metadata!H485&gt;=-413.0))</f>
        <v>0</v>
      </c>
      <c r="AU485">
        <f>AND(IF(Metadata!I485="",FALSE,TRUE),exact(Metadata!I485,"meters"))</f>
        <v>0</v>
      </c>
      <c r="AV485">
        <f>AND(IF(Metadata!J485="",FALSE,TRUE),OR(exact(Metadata!J485,"Host-associated"),exact(Metadata!J485,"Free-living")))</f>
        <v>0</v>
      </c>
      <c r="AW485">
        <f>AND(IF(Metadata!K485="",FALSE,TRUE),OR(exact(Metadata!K485,"Animal"),exact(Metadata!K485,"Fungus"),exact(Metadata!K485,"Plant"),exact(Metadata!K485,"Saline"),exact(Metadata!K485,"Non-saline")))</f>
        <v>0</v>
      </c>
      <c r="AX485">
        <f>AND(IF(Metadata!L485="",FALSE,TRUE),OR(exact(Metadata!L485,"Plant secretion"),exact(Metadata!L485,"Plant rhizosphere"),exact(Metadata!L485,"Plant surface"),exact(Metadata!L485,"Plant corpus"),exact(Metadata!L485,"Fungus surface"),exact(Metadata!L485,"Fungus corpus"),exact(Metadata!L485,"Animal surface"),exact(Metadata!L485,"Animal proximal gut"),exact(Metadata!L485,"Animal corpus"),exact(Metadata!L485,"Animal distal gut"),exact(Metadata!L485,"Animal secretion"),exact(Metadata!L485,"Sub-surface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Y485">
        <f>IF(Metadata!M485="",FALSE,TRUE)</f>
        <v>0</v>
      </c>
      <c r="AZ485">
        <f>IF(Metadata!N485="",FALSE,TRUE)</f>
        <v>0</v>
      </c>
      <c r="BA485">
        <f>IF(Metadata!O485="",FALSE,TRUE)</f>
        <v>0</v>
      </c>
      <c r="BB485">
        <f>OR(AND(IF(Metadata!P485="",FALSE,TRUE),OR(exact(Metadata!P485,"not collected"),exact(Metadata!P485,"not provided"),exact(Metadata!P485,"restricted access"))),AND(IF(Metadata!P485="",FALSE,TRUE),OR(exact(Metadata!P485,"air"),exact(Metadata!P485,"built environment"),exact(Metadata!P485,"host-associated"),exact(Metadata!P485,"human-associated"),exact(Metadata!P485,"human-skin"),exact(Metadata!P485,"human-oral"),exact(Metadata!P485,"human-gut"),exact(Metadata!P485,"human-vaginal"),exact(Metadata!P485,"microbial mat/biofilm"),exact(Metadata!P485,"misc environment"),exact(Metadata!P485,"plant-associated"),exact(Metadata!P485,"sediment"),exact(Metadata!P485,"soil"),exact(Metadata!P485,"wastewater/sludge"),exact(Metadata!P485,"water"))))</f>
        <v>0</v>
      </c>
      <c r="BC485">
        <f>IF(Metadata!Q485="",FALSE,TRUE)</f>
        <v>0</v>
      </c>
      <c r="BD485">
        <f>IF(Metadata!R485="",FALSE,TRUE)</f>
        <v>0</v>
      </c>
      <c r="BE485">
        <f>OR(AND(IF(Metadata!S485="",FALSE,TRUE),OR(exact(Metadata!S485,"not collected"),exact(Metadata!S485,"not provided"),exact(Metadata!S485,"restricted access"))),AND(IF(Metadata!S485="",FALSE,ISNUMBER(VALUE(Metadata!S485))),Metadata!S485&gt;=-90.00,Metadata!S485&lt;=90.00))</f>
        <v>0</v>
      </c>
      <c r="BF485">
        <f>AND(IF(Metadata!T485="",FALSE,TRUE),exact(Metadata!T485,"Decimal degrees"))</f>
        <v>0</v>
      </c>
      <c r="BG485">
        <f>OR(AND(IF(Metadata!U485="",FALSE,TRUE),OR(exact(Metadata!U485,"not collected"),exact(Metadata!U485,"not provided"),exact(Metadata!U485,"restricted access"))),AND(IF(Metadata!U485="",FALSE,ISNUMBER(VALUE(Metadata!U485))),Metadata!U485&gt;=-180.00,Metadata!U485&lt;=180.00))</f>
        <v>0</v>
      </c>
      <c r="BH485">
        <f>AND(IF(Metadata!V485="",FALSE,TRUE),exact(Metadata!V485,"Decimal degrees"))</f>
        <v>0</v>
      </c>
      <c r="BI485">
        <f>IF(Metadata!W485="",FALSE,TRUE)</f>
        <v>0</v>
      </c>
      <c r="BJ485">
        <f>OR(AND(IF(Metadata!X485="",FALSE,TRUE),OR(exact(Metadata!X485,"not collected"),exact(Metadata!X485,"not provided"),exact(Metadata!X485,"restricted access"))),AND(IF(Metadata!X485="",FALSE,TRUE),OR(exact(Metadata!X485,"TRUE"),exact(Metadata!X485,"FALSE"))))</f>
        <v>0</v>
      </c>
      <c r="BK485">
        <f>AND(IF(Metadata!Y485="",FALSE,TRUE),exact(Metadata!Y485,"other"))</f>
        <v>0</v>
      </c>
      <c r="BL485">
        <f>IF(Metadata!Z485="",FALSE,TRUE)</f>
        <v>0</v>
      </c>
      <c r="BM485">
        <f>OR(AND(IF(Metadata!AA485="",FALSE,TRUE),OR(exact(Metadata!AA485,"not collected"),exact(Metadata!AA485,"not provided"))),AND(IF(Metadata!AA485="",FALSE,IF(ISERROR(INT(Metadata!AA485)),FALSE,INT(Metadata!AA485)=Metadata!AA485)),Metadata!AA485&gt;0))</f>
        <v>0</v>
      </c>
      <c r="BN485">
        <f>AND(IF(Metadata!AB485="",FALSE,TRUE),exact(Metadata!AB485,"Not applicable"))</f>
        <v>0</v>
      </c>
      <c r="BO485">
        <f>IF(Metadata!AC485="",FALSE,TRUE)</f>
        <v>0</v>
      </c>
    </row>
    <row r="486" spans="1:67">
      <c r="A486" s="5">
        <f>IF(B486=" "," ",HYPERLINK(CONCATENATE("#metadata!",ADDRESS(INDEX($AI$2:$AI$1001,MATCH(ROWS($AG$2:AG486),$AG$2:$AG$1001,0),0),1)),INDEX($AL$2:$AL$1001,MATCH(ROWS($AG$2:AG486),$AG$2:$AG$1001,0),0)))</f>
        <v>0</v>
      </c>
      <c r="B486" s="4">
        <f>IF(OR(INDEX($AH$2:$AH$1001,MATCH(ROWS($AG$2:AG486),$AG$2:$AG$1001,0),1)&gt;=100000,INDEX($AN$1005:$BO$1005,1,MATCH(COLUMNS($AN$1006:AN1006),$AN$1006:$BO$1006,0))&gt;=100000), " ",IF(INDEX($AN$2:$BO$1001,MATCH(ROWS($AG$2:AG486),$AG$2:$AG$1001,0),MATCH(COLUMNS($AN$1006:AN1006),$AN$1006:$BO$1006,0)), HYPERLINK("#",""), HYPERLINK(CONCATENATE("#Metadata!", ADDRESS(INDEX($AI$2:$AI$1001,MATCH(ROWS($AG$2:AG486),$AG$2:$AG$1001,0),0), INDEX($AN$1004:$BO$1004,1,MATCH(COLUMNS($AN$1006:AN1006),$AN$1006:$BO$1006,0)))),"Fix")))</f>
        <v>0</v>
      </c>
      <c r="C486" s="4">
        <f>IF(OR(INDEX($AH$2:$AH$1001,MATCH(ROWS($AG$2:AG486),$AG$2:$AG$1001,0),1)&gt;=100000,INDEX($AN$1005:$BO$1005,1,MATCH(COLUMNS($AN$1006:AO1006),$AN$1006:$BO$1006,0))&gt;=100000), " ",IF(INDEX($AN$2:$BO$1001,MATCH(ROWS($AG$2:AG486),$AG$2:$AG$1001,0),MATCH(COLUMNS($AN$1006:AO1006),$AN$1006:$BO$1006,0)), HYPERLINK("#",""), HYPERLINK(CONCATENATE("#Metadata!", ADDRESS(INDEX($AI$2:$AI$1001,MATCH(ROWS($AG$2:AG486),$AG$2:$AG$1001,0),0), INDEX($AN$1004:$BO$1004,1,MATCH(COLUMNS($AN$1006:AO1006),$AN$1006:$BO$1006,0)))),"Fix")))</f>
        <v>0</v>
      </c>
      <c r="D486" s="4">
        <f>IF(OR(INDEX($AH$2:$AH$1001,MATCH(ROWS($AG$2:AG486),$AG$2:$AG$1001,0),1)&gt;=100000,INDEX($AN$1005:$BO$1005,1,MATCH(COLUMNS($AN$1006:AP1006),$AN$1006:$BO$1006,0))&gt;=100000), " ",IF(INDEX($AN$2:$BO$1001,MATCH(ROWS($AG$2:AG486),$AG$2:$AG$1001,0),MATCH(COLUMNS($AN$1006:AP1006),$AN$1006:$BO$1006,0)), HYPERLINK("#",""), HYPERLINK(CONCATENATE("#Metadata!", ADDRESS(INDEX($AI$2:$AI$1001,MATCH(ROWS($AG$2:AG486),$AG$2:$AG$1001,0),0), INDEX($AN$1004:$BO$1004,1,MATCH(COLUMNS($AN$1006:AP1006),$AN$1006:$BO$1006,0)))),"Fix")))</f>
        <v>0</v>
      </c>
      <c r="E486" s="4">
        <f>IF(OR(INDEX($AH$2:$AH$1001,MATCH(ROWS($AG$2:AG486),$AG$2:$AG$1001,0),1)&gt;=100000,INDEX($AN$1005:$BO$1005,1,MATCH(COLUMNS($AN$1006:AQ1006),$AN$1006:$BO$1006,0))&gt;=100000), " ",IF(INDEX($AN$2:$BO$1001,MATCH(ROWS($AG$2:AG486),$AG$2:$AG$1001,0),MATCH(COLUMNS($AN$1006:AQ1006),$AN$1006:$BO$1006,0)), HYPERLINK("#",""), HYPERLINK(CONCATENATE("#Metadata!", ADDRESS(INDEX($AI$2:$AI$1001,MATCH(ROWS($AG$2:AG486),$AG$2:$AG$1001,0),0), INDEX($AN$1004:$BO$1004,1,MATCH(COLUMNS($AN$1006:AQ1006),$AN$1006:$BO$1006,0)))),"Fix")))</f>
        <v>0</v>
      </c>
      <c r="F486" s="4">
        <f>IF(OR(INDEX($AH$2:$AH$1001,MATCH(ROWS($AG$2:AG486),$AG$2:$AG$1001,0),1)&gt;=100000,INDEX($AN$1005:$BO$1005,1,MATCH(COLUMNS($AN$1006:AR1006),$AN$1006:$BO$1006,0))&gt;=100000), " ",IF(INDEX($AN$2:$BO$1001,MATCH(ROWS($AG$2:AG486),$AG$2:$AG$1001,0),MATCH(COLUMNS($AN$1006:AR1006),$AN$1006:$BO$1006,0)), HYPERLINK("#",""), HYPERLINK(CONCATENATE("#Metadata!", ADDRESS(INDEX($AI$2:$AI$1001,MATCH(ROWS($AG$2:AG486),$AG$2:$AG$1001,0),0), INDEX($AN$1004:$BO$1004,1,MATCH(COLUMNS($AN$1006:AR1006),$AN$1006:$BO$1006,0)))),"Fix")))</f>
        <v>0</v>
      </c>
      <c r="G486" s="4">
        <f>IF(OR(INDEX($AH$2:$AH$1001,MATCH(ROWS($AG$2:AG486),$AG$2:$AG$1001,0),1)&gt;=100000,INDEX($AN$1005:$BO$1005,1,MATCH(COLUMNS($AN$1006:AS1006),$AN$1006:$BO$1006,0))&gt;=100000), " ",IF(INDEX($AN$2:$BO$1001,MATCH(ROWS($AG$2:AG486),$AG$2:$AG$1001,0),MATCH(COLUMNS($AN$1006:AS1006),$AN$1006:$BO$1006,0)), HYPERLINK("#",""), HYPERLINK(CONCATENATE("#Metadata!", ADDRESS(INDEX($AI$2:$AI$1001,MATCH(ROWS($AG$2:AG486),$AG$2:$AG$1001,0),0), INDEX($AN$1004:$BO$1004,1,MATCH(COLUMNS($AN$1006:AS1006),$AN$1006:$BO$1006,0)))),"Fix")))</f>
        <v>0</v>
      </c>
      <c r="H486" s="4">
        <f>IF(OR(INDEX($AH$2:$AH$1001,MATCH(ROWS($AG$2:AG486),$AG$2:$AG$1001,0),1)&gt;=100000,INDEX($AN$1005:$BO$1005,1,MATCH(COLUMNS($AN$1006:AT1006),$AN$1006:$BO$1006,0))&gt;=100000), " ",IF(INDEX($AN$2:$BO$1001,MATCH(ROWS($AG$2:AG486),$AG$2:$AG$1001,0),MATCH(COLUMNS($AN$1006:AT1006),$AN$1006:$BO$1006,0)), HYPERLINK("#",""), HYPERLINK(CONCATENATE("#Metadata!", ADDRESS(INDEX($AI$2:$AI$1001,MATCH(ROWS($AG$2:AG486),$AG$2:$AG$1001,0),0), INDEX($AN$1004:$BO$1004,1,MATCH(COLUMNS($AN$1006:AT1006),$AN$1006:$BO$1006,0)))),"Fix")))</f>
        <v>0</v>
      </c>
      <c r="I486" s="4">
        <f>IF(OR(INDEX($AH$2:$AH$1001,MATCH(ROWS($AG$2:AG486),$AG$2:$AG$1001,0),1)&gt;=100000,INDEX($AN$1005:$BO$1005,1,MATCH(COLUMNS($AN$1006:AU1006),$AN$1006:$BO$1006,0))&gt;=100000), " ",IF(INDEX($AN$2:$BO$1001,MATCH(ROWS($AG$2:AG486),$AG$2:$AG$1001,0),MATCH(COLUMNS($AN$1006:AU1006),$AN$1006:$BO$1006,0)), HYPERLINK("#",""), HYPERLINK(CONCATENATE("#Metadata!", ADDRESS(INDEX($AI$2:$AI$1001,MATCH(ROWS($AG$2:AG486),$AG$2:$AG$1001,0),0), INDEX($AN$1004:$BO$1004,1,MATCH(COLUMNS($AN$1006:AU1006),$AN$1006:$BO$1006,0)))),"Fix")))</f>
        <v>0</v>
      </c>
      <c r="J486" s="4">
        <f>IF(OR(INDEX($AH$2:$AH$1001,MATCH(ROWS($AG$2:AG486),$AG$2:$AG$1001,0),1)&gt;=100000,INDEX($AN$1005:$BO$1005,1,MATCH(COLUMNS($AN$1006:AV1006),$AN$1006:$BO$1006,0))&gt;=100000), " ",IF(INDEX($AN$2:$BO$1001,MATCH(ROWS($AG$2:AG486),$AG$2:$AG$1001,0),MATCH(COLUMNS($AN$1006:AV1006),$AN$1006:$BO$1006,0)), HYPERLINK("#",""), HYPERLINK(CONCATENATE("#Metadata!", ADDRESS(INDEX($AI$2:$AI$1001,MATCH(ROWS($AG$2:AG486),$AG$2:$AG$1001,0),0), INDEX($AN$1004:$BO$1004,1,MATCH(COLUMNS($AN$1006:AV1006),$AN$1006:$BO$1006,0)))),"Fix")))</f>
        <v>0</v>
      </c>
      <c r="K486" s="4">
        <f>IF(OR(INDEX($AH$2:$AH$1001,MATCH(ROWS($AG$2:AG486),$AG$2:$AG$1001,0),1)&gt;=100000,INDEX($AN$1005:$BO$1005,1,MATCH(COLUMNS($AN$1006:AW1006),$AN$1006:$BO$1006,0))&gt;=100000), " ",IF(INDEX($AN$2:$BO$1001,MATCH(ROWS($AG$2:AG486),$AG$2:$AG$1001,0),MATCH(COLUMNS($AN$1006:AW1006),$AN$1006:$BO$1006,0)), HYPERLINK("#",""), HYPERLINK(CONCATENATE("#Metadata!", ADDRESS(INDEX($AI$2:$AI$1001,MATCH(ROWS($AG$2:AG486),$AG$2:$AG$1001,0),0), INDEX($AN$1004:$BO$1004,1,MATCH(COLUMNS($AN$1006:AW1006),$AN$1006:$BO$1006,0)))),"Fix")))</f>
        <v>0</v>
      </c>
      <c r="L486" s="4">
        <f>IF(OR(INDEX($AH$2:$AH$1001,MATCH(ROWS($AG$2:AG486),$AG$2:$AG$1001,0),1)&gt;=100000,INDEX($AN$1005:$BO$1005,1,MATCH(COLUMNS($AN$1006:AX1006),$AN$1006:$BO$1006,0))&gt;=100000), " ",IF(INDEX($AN$2:$BO$1001,MATCH(ROWS($AG$2:AG486),$AG$2:$AG$1001,0),MATCH(COLUMNS($AN$1006:AX1006),$AN$1006:$BO$1006,0)), HYPERLINK("#",""), HYPERLINK(CONCATENATE("#Metadata!", ADDRESS(INDEX($AI$2:$AI$1001,MATCH(ROWS($AG$2:AG486),$AG$2:$AG$1001,0),0), INDEX($AN$1004:$BO$1004,1,MATCH(COLUMNS($AN$1006:AX1006),$AN$1006:$BO$1006,0)))),"Fix")))</f>
        <v>0</v>
      </c>
      <c r="M486" s="4">
        <f>IF(OR(INDEX($AH$2:$AH$1001,MATCH(ROWS($AG$2:AG486),$AG$2:$AG$1001,0),1)&gt;=100000,INDEX($AN$1005:$BO$1005,1,MATCH(COLUMNS($AN$1006:AY1006),$AN$1006:$BO$1006,0))&gt;=100000), " ",IF(INDEX($AN$2:$BO$1001,MATCH(ROWS($AG$2:AG486),$AG$2:$AG$1001,0),MATCH(COLUMNS($AN$1006:AY1006),$AN$1006:$BO$1006,0)), HYPERLINK("#",""), HYPERLINK(CONCATENATE("#Metadata!", ADDRESS(INDEX($AI$2:$AI$1001,MATCH(ROWS($AG$2:AG486),$AG$2:$AG$1001,0),0), INDEX($AN$1004:$BO$1004,1,MATCH(COLUMNS($AN$1006:AY1006),$AN$1006:$BO$1006,0)))),"Fix")))</f>
        <v>0</v>
      </c>
      <c r="N486" s="4">
        <f>IF(OR(INDEX($AH$2:$AH$1001,MATCH(ROWS($AG$2:AG486),$AG$2:$AG$1001,0),1)&gt;=100000,INDEX($AN$1005:$BO$1005,1,MATCH(COLUMNS($AN$1006:AZ1006),$AN$1006:$BO$1006,0))&gt;=100000), " ",IF(INDEX($AN$2:$BO$1001,MATCH(ROWS($AG$2:AG486),$AG$2:$AG$1001,0),MATCH(COLUMNS($AN$1006:AZ1006),$AN$1006:$BO$1006,0)), HYPERLINK("#",""), HYPERLINK(CONCATENATE("#Metadata!", ADDRESS(INDEX($AI$2:$AI$1001,MATCH(ROWS($AG$2:AG486),$AG$2:$AG$1001,0),0), INDEX($AN$1004:$BO$1004,1,MATCH(COLUMNS($AN$1006:AZ1006),$AN$1006:$BO$1006,0)))),"Fix")))</f>
        <v>0</v>
      </c>
      <c r="O486" s="4">
        <f>IF(OR(INDEX($AH$2:$AH$1001,MATCH(ROWS($AG$2:AG486),$AG$2:$AG$1001,0),1)&gt;=100000,INDEX($AN$1005:$BO$1005,1,MATCH(COLUMNS($AN$1006:BA1006),$AN$1006:$BO$1006,0))&gt;=100000), " ",IF(INDEX($AN$2:$BO$1001,MATCH(ROWS($AG$2:AG486),$AG$2:$AG$1001,0),MATCH(COLUMNS($AN$1006:BA1006),$AN$1006:$BO$1006,0)), HYPERLINK("#",""), HYPERLINK(CONCATENATE("#Metadata!", ADDRESS(INDEX($AI$2:$AI$1001,MATCH(ROWS($AG$2:AG486),$AG$2:$AG$1001,0),0), INDEX($AN$1004:$BO$1004,1,MATCH(COLUMNS($AN$1006:BA1006),$AN$1006:$BO$1006,0)))),"Fix")))</f>
        <v>0</v>
      </c>
      <c r="P486" s="4">
        <f>IF(OR(INDEX($AH$2:$AH$1001,MATCH(ROWS($AG$2:AG486),$AG$2:$AG$1001,0),1)&gt;=100000,INDEX($AN$1005:$BO$1005,1,MATCH(COLUMNS($AN$1006:BB1006),$AN$1006:$BO$1006,0))&gt;=100000), " ",IF(INDEX($AN$2:$BO$1001,MATCH(ROWS($AG$2:AG486),$AG$2:$AG$1001,0),MATCH(COLUMNS($AN$1006:BB1006),$AN$1006:$BO$1006,0)), HYPERLINK("#",""), HYPERLINK(CONCATENATE("#Metadata!", ADDRESS(INDEX($AI$2:$AI$1001,MATCH(ROWS($AG$2:AG486),$AG$2:$AG$1001,0),0), INDEX($AN$1004:$BO$1004,1,MATCH(COLUMNS($AN$1006:BB1006),$AN$1006:$BO$1006,0)))),"Fix")))</f>
        <v>0</v>
      </c>
      <c r="Q486" s="4">
        <f>IF(OR(INDEX($AH$2:$AH$1001,MATCH(ROWS($AG$2:AG486),$AG$2:$AG$1001,0),1)&gt;=100000,INDEX($AN$1005:$BO$1005,1,MATCH(COLUMNS($AN$1006:BC1006),$AN$1006:$BO$1006,0))&gt;=100000), " ",IF(INDEX($AN$2:$BO$1001,MATCH(ROWS($AG$2:AG486),$AG$2:$AG$1001,0),MATCH(COLUMNS($AN$1006:BC1006),$AN$1006:$BO$1006,0)), HYPERLINK("#",""), HYPERLINK(CONCATENATE("#Metadata!", ADDRESS(INDEX($AI$2:$AI$1001,MATCH(ROWS($AG$2:AG486),$AG$2:$AG$1001,0),0), INDEX($AN$1004:$BO$1004,1,MATCH(COLUMNS($AN$1006:BC1006),$AN$1006:$BO$1006,0)))),"Fix")))</f>
        <v>0</v>
      </c>
      <c r="R486" s="4">
        <f>IF(OR(INDEX($AH$2:$AH$1001,MATCH(ROWS($AG$2:AG486),$AG$2:$AG$1001,0),1)&gt;=100000,INDEX($AN$1005:$BO$1005,1,MATCH(COLUMNS($AN$1006:BD1006),$AN$1006:$BO$1006,0))&gt;=100000), " ",IF(INDEX($AN$2:$BO$1001,MATCH(ROWS($AG$2:AG486),$AG$2:$AG$1001,0),MATCH(COLUMNS($AN$1006:BD1006),$AN$1006:$BO$1006,0)), HYPERLINK("#",""), HYPERLINK(CONCATENATE("#Metadata!", ADDRESS(INDEX($AI$2:$AI$1001,MATCH(ROWS($AG$2:AG486),$AG$2:$AG$1001,0),0), INDEX($AN$1004:$BO$1004,1,MATCH(COLUMNS($AN$1006:BD1006),$AN$1006:$BO$1006,0)))),"Fix")))</f>
        <v>0</v>
      </c>
      <c r="S486" s="4">
        <f>IF(OR(INDEX($AH$2:$AH$1001,MATCH(ROWS($AG$2:AG486),$AG$2:$AG$1001,0),1)&gt;=100000,INDEX($AN$1005:$BO$1005,1,MATCH(COLUMNS($AN$1006:BE1006),$AN$1006:$BO$1006,0))&gt;=100000), " ",IF(INDEX($AN$2:$BO$1001,MATCH(ROWS($AG$2:AG486),$AG$2:$AG$1001,0),MATCH(COLUMNS($AN$1006:BE1006),$AN$1006:$BO$1006,0)), HYPERLINK("#",""), HYPERLINK(CONCATENATE("#Metadata!", ADDRESS(INDEX($AI$2:$AI$1001,MATCH(ROWS($AG$2:AG486),$AG$2:$AG$1001,0),0), INDEX($AN$1004:$BO$1004,1,MATCH(COLUMNS($AN$1006:BE1006),$AN$1006:$BO$1006,0)))),"Fix")))</f>
        <v>0</v>
      </c>
      <c r="T486" s="4">
        <f>IF(OR(INDEX($AH$2:$AH$1001,MATCH(ROWS($AG$2:AG486),$AG$2:$AG$1001,0),1)&gt;=100000,INDEX($AN$1005:$BO$1005,1,MATCH(COLUMNS($AN$1006:BF1006),$AN$1006:$BO$1006,0))&gt;=100000), " ",IF(INDEX($AN$2:$BO$1001,MATCH(ROWS($AG$2:AG486),$AG$2:$AG$1001,0),MATCH(COLUMNS($AN$1006:BF1006),$AN$1006:$BO$1006,0)), HYPERLINK("#",""), HYPERLINK(CONCATENATE("#Metadata!", ADDRESS(INDEX($AI$2:$AI$1001,MATCH(ROWS($AG$2:AG486),$AG$2:$AG$1001,0),0), INDEX($AN$1004:$BO$1004,1,MATCH(COLUMNS($AN$1006:BF1006),$AN$1006:$BO$1006,0)))),"Fix")))</f>
        <v>0</v>
      </c>
      <c r="U486" s="4">
        <f>IF(OR(INDEX($AH$2:$AH$1001,MATCH(ROWS($AG$2:AG486),$AG$2:$AG$1001,0),1)&gt;=100000,INDEX($AN$1005:$BO$1005,1,MATCH(COLUMNS($AN$1006:BG1006),$AN$1006:$BO$1006,0))&gt;=100000), " ",IF(INDEX($AN$2:$BO$1001,MATCH(ROWS($AG$2:AG486),$AG$2:$AG$1001,0),MATCH(COLUMNS($AN$1006:BG1006),$AN$1006:$BO$1006,0)), HYPERLINK("#",""), HYPERLINK(CONCATENATE("#Metadata!", ADDRESS(INDEX($AI$2:$AI$1001,MATCH(ROWS($AG$2:AG486),$AG$2:$AG$1001,0),0), INDEX($AN$1004:$BO$1004,1,MATCH(COLUMNS($AN$1006:BG1006),$AN$1006:$BO$1006,0)))),"Fix")))</f>
        <v>0</v>
      </c>
      <c r="V486" s="4">
        <f>IF(OR(INDEX($AH$2:$AH$1001,MATCH(ROWS($AG$2:AG486),$AG$2:$AG$1001,0),1)&gt;=100000,INDEX($AN$1005:$BO$1005,1,MATCH(COLUMNS($AN$1006:BH1006),$AN$1006:$BO$1006,0))&gt;=100000), " ",IF(INDEX($AN$2:$BO$1001,MATCH(ROWS($AG$2:AG486),$AG$2:$AG$1001,0),MATCH(COLUMNS($AN$1006:BH1006),$AN$1006:$BO$1006,0)), HYPERLINK("#",""), HYPERLINK(CONCATENATE("#Metadata!", ADDRESS(INDEX($AI$2:$AI$1001,MATCH(ROWS($AG$2:AG486),$AG$2:$AG$1001,0),0), INDEX($AN$1004:$BO$1004,1,MATCH(COLUMNS($AN$1006:BH1006),$AN$1006:$BO$1006,0)))),"Fix")))</f>
        <v>0</v>
      </c>
      <c r="W486" s="4">
        <f>IF(OR(INDEX($AH$2:$AH$1001,MATCH(ROWS($AG$2:AG486),$AG$2:$AG$1001,0),1)&gt;=100000,INDEX($AN$1005:$BO$1005,1,MATCH(COLUMNS($AN$1006:BI1006),$AN$1006:$BO$1006,0))&gt;=100000), " ",IF(INDEX($AN$2:$BO$1001,MATCH(ROWS($AG$2:AG486),$AG$2:$AG$1001,0),MATCH(COLUMNS($AN$1006:BI1006),$AN$1006:$BO$1006,0)), HYPERLINK("#",""), HYPERLINK(CONCATENATE("#Metadata!", ADDRESS(INDEX($AI$2:$AI$1001,MATCH(ROWS($AG$2:AG486),$AG$2:$AG$1001,0),0), INDEX($AN$1004:$BO$1004,1,MATCH(COLUMNS($AN$1006:BI1006),$AN$1006:$BO$1006,0)))),"Fix")))</f>
        <v>0</v>
      </c>
      <c r="X486" s="4">
        <f>IF(OR(INDEX($AH$2:$AH$1001,MATCH(ROWS($AG$2:AG486),$AG$2:$AG$1001,0),1)&gt;=100000,INDEX($AN$1005:$BO$1005,1,MATCH(COLUMNS($AN$1006:BJ1006),$AN$1006:$BO$1006,0))&gt;=100000), " ",IF(INDEX($AN$2:$BO$1001,MATCH(ROWS($AG$2:AG486),$AG$2:$AG$1001,0),MATCH(COLUMNS($AN$1006:BJ1006),$AN$1006:$BO$1006,0)), HYPERLINK("#",""), HYPERLINK(CONCATENATE("#Metadata!", ADDRESS(INDEX($AI$2:$AI$1001,MATCH(ROWS($AG$2:AG486),$AG$2:$AG$1001,0),0), INDEX($AN$1004:$BO$1004,1,MATCH(COLUMNS($AN$1006:BJ1006),$AN$1006:$BO$1006,0)))),"Fix")))</f>
        <v>0</v>
      </c>
      <c r="Y486" s="4">
        <f>IF(OR(INDEX($AH$2:$AH$1001,MATCH(ROWS($AG$2:AG486),$AG$2:$AG$1001,0),1)&gt;=100000,INDEX($AN$1005:$BO$1005,1,MATCH(COLUMNS($AN$1006:BK1006),$AN$1006:$BO$1006,0))&gt;=100000), " ",IF(INDEX($AN$2:$BO$1001,MATCH(ROWS($AG$2:AG486),$AG$2:$AG$1001,0),MATCH(COLUMNS($AN$1006:BK1006),$AN$1006:$BO$1006,0)), HYPERLINK("#",""), HYPERLINK(CONCATENATE("#Metadata!", ADDRESS(INDEX($AI$2:$AI$1001,MATCH(ROWS($AG$2:AG486),$AG$2:$AG$1001,0),0), INDEX($AN$1004:$BO$1004,1,MATCH(COLUMNS($AN$1006:BK1006),$AN$1006:$BO$1006,0)))),"Fix")))</f>
        <v>0</v>
      </c>
      <c r="Z486" s="4">
        <f>IF(OR(INDEX($AH$2:$AH$1001,MATCH(ROWS($AG$2:AG486),$AG$2:$AG$1001,0),1)&gt;=100000,INDEX($AN$1005:$BO$1005,1,MATCH(COLUMNS($AN$1006:BL1006),$AN$1006:$BO$1006,0))&gt;=100000), " ",IF(INDEX($AN$2:$BO$1001,MATCH(ROWS($AG$2:AG486),$AG$2:$AG$1001,0),MATCH(COLUMNS($AN$1006:BL1006),$AN$1006:$BO$1006,0)), HYPERLINK("#",""), HYPERLINK(CONCATENATE("#Metadata!", ADDRESS(INDEX($AI$2:$AI$1001,MATCH(ROWS($AG$2:AG486),$AG$2:$AG$1001,0),0), INDEX($AN$1004:$BO$1004,1,MATCH(COLUMNS($AN$1006:BL1006),$AN$1006:$BO$1006,0)))),"Fix")))</f>
        <v>0</v>
      </c>
      <c r="AA486" s="4">
        <f>IF(OR(INDEX($AH$2:$AH$1001,MATCH(ROWS($AG$2:AG486),$AG$2:$AG$1001,0),1)&gt;=100000,INDEX($AN$1005:$BO$1005,1,MATCH(COLUMNS($AN$1006:BM1006),$AN$1006:$BO$1006,0))&gt;=100000), " ",IF(INDEX($AN$2:$BO$1001,MATCH(ROWS($AG$2:AG486),$AG$2:$AG$1001,0),MATCH(COLUMNS($AN$1006:BM1006),$AN$1006:$BO$1006,0)), HYPERLINK("#",""), HYPERLINK(CONCATENATE("#Metadata!", ADDRESS(INDEX($AI$2:$AI$1001,MATCH(ROWS($AG$2:AG486),$AG$2:$AG$1001,0),0), INDEX($AN$1004:$BO$1004,1,MATCH(COLUMNS($AN$1006:BM1006),$AN$1006:$BO$1006,0)))),"Fix")))</f>
        <v>0</v>
      </c>
      <c r="AB486" s="4">
        <f>IF(OR(INDEX($AH$2:$AH$1001,MATCH(ROWS($AG$2:AG486),$AG$2:$AG$1001,0),1)&gt;=100000,INDEX($AN$1005:$BO$1005,1,MATCH(COLUMNS($AN$1006:BN1006),$AN$1006:$BO$1006,0))&gt;=100000), " ",IF(INDEX($AN$2:$BO$1001,MATCH(ROWS($AG$2:AG486),$AG$2:$AG$1001,0),MATCH(COLUMNS($AN$1006:BN1006),$AN$1006:$BO$1006,0)), HYPERLINK("#",""), HYPERLINK(CONCATENATE("#Metadata!", ADDRESS(INDEX($AI$2:$AI$1001,MATCH(ROWS($AG$2:AG486),$AG$2:$AG$1001,0),0), INDEX($AN$1004:$BO$1004,1,MATCH(COLUMNS($AN$1006:BN1006),$AN$1006:$BO$1006,0)))),"Fix")))</f>
        <v>0</v>
      </c>
      <c r="AC486" s="4">
        <f>IF(OR(INDEX($AH$2:$AH$1001,MATCH(ROWS($AG$2:AG486),$AG$2:$AG$1001,0),1)&gt;=100000,INDEX($AN$1005:$BO$1005,1,MATCH(COLUMNS($AN$1006:BO1006),$AN$1006:$BO$1006,0))&gt;=100000), " ",IF(INDEX($AN$2:$BO$1001,MATCH(ROWS($AG$2:AG486),$AG$2:$AG$1001,0),MATCH(COLUMNS($AN$1006:BO1006),$AN$1006:$BO$1006,0)), HYPERLINK("#",""), HYPERLINK(CONCATENATE("#Metadata!", ADDRESS(INDEX($AI$2:$AI$1001,MATCH(ROWS($AG$2:AG486),$AG$2:$AG$1001,0),0), INDEX($AN$1004:$BO$1004,1,MATCH(COLUMNS($AN$1006:BO1006),$AN$1006:$BO$1006,0)))),"Fix")))</f>
        <v>0</v>
      </c>
      <c r="AG486">
        <v>0</v>
      </c>
      <c r="AH486">
        <v>0</v>
      </c>
      <c r="AI486">
        <v>0</v>
      </c>
      <c r="AJ486">
        <f>IF(AK486,TRUE,AND(AN486:BO486))</f>
        <v>0</v>
      </c>
      <c r="AK486">
        <f>COUNTBLANK(Metadata!B486:AC486)=COLUMNS(Metadata!B486:AC486)</f>
        <v>0</v>
      </c>
      <c r="AL486">
        <v>0</v>
      </c>
      <c r="AN486">
        <f>AND(IF(Metadata!B486="",FALSE,TRUE),COUNTIF(Metadata!B:B, Metadata!B486) = 1,NOT(ISERROR(SUMPRODUCT(SEARCH(MID(Metadata!B486,ROW(INDIRECT("1:"&amp;LEN(Metadata!B486))), 1),"0123456789abcdefghijklmnopqrstuvwxyzABCDEFGHIJKLMNOPQRSTUVWXYZ.")))))</f>
        <v>0</v>
      </c>
      <c r="AO486">
        <f>IF(Metadata!C486="",FALSE,TRUE)</f>
        <v>0</v>
      </c>
      <c r="AP486">
        <f>IF(Metadata!D486="",FALSE,TRUE)</f>
        <v>0</v>
      </c>
      <c r="AQ486">
        <f>OR(AND(IF(Metadata!E486="",FALSE,TRUE),OR(exact(Metadata!E486,"not collected"),exact(Metadata!E486,"not provided"),exact(Metadata!E486,"restricted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R486">
        <f>IF(Metadata!F486="",FALSE,TRUE)</f>
        <v>0</v>
      </c>
      <c r="AS486">
        <f>OR(AND(IF(Metadata!G486="",FALSE,TRUE),OR(exact(Metadata!G486,"not collected"),exact(Metadata!G486,"not provided"))),AND(IF(Metadata!G486="",FALSE,TRUE),OR(exact(Metadata!G486,"TRUE"),exact(Metadata!G486,"FALSE"))))</f>
        <v>0</v>
      </c>
      <c r="AT486">
        <f>OR(AND(IF(Metadata!H486="",FALSE,TRUE),OR(exact(Metadata!H486,"not collected"),exact(Metadata!H486,"not provided"),exact(Metadata!H486,"restricted access"))),AND(IF(Metadata!H486="",FALSE,ISNUMBER(VALUE(Metadata!H486))),Metadata!H486&gt;=-413.0))</f>
        <v>0</v>
      </c>
      <c r="AU486">
        <f>AND(IF(Metadata!I486="",FALSE,TRUE),exact(Metadata!I486,"meters"))</f>
        <v>0</v>
      </c>
      <c r="AV486">
        <f>AND(IF(Metadata!J486="",FALSE,TRUE),OR(exact(Metadata!J486,"Host-associated"),exact(Metadata!J486,"Free-living")))</f>
        <v>0</v>
      </c>
      <c r="AW486">
        <f>AND(IF(Metadata!K486="",FALSE,TRUE),OR(exact(Metadata!K486,"Animal"),exact(Metadata!K486,"Fungus"),exact(Metadata!K486,"Plant"),exact(Metadata!K486,"Saline"),exact(Metadata!K486,"Non-saline")))</f>
        <v>0</v>
      </c>
      <c r="AX486">
        <f>AND(IF(Metadata!L486="",FALSE,TRUE),OR(exact(Metadata!L486,"Plant secretion"),exact(Metadata!L486,"Plant rhizosphere"),exact(Metadata!L486,"Plant surface"),exact(Metadata!L486,"Plant corpus"),exact(Metadata!L486,"Fungus surface"),exact(Metadata!L486,"Fungus corpus"),exact(Metadata!L486,"Animal surface"),exact(Metadata!L486,"Animal proximal gut"),exact(Metadata!L486,"Animal corpus"),exact(Metadata!L486,"Animal distal gut"),exact(Metadata!L486,"Animal secretion"),exact(Metadata!L486,"Sub-surface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Y486">
        <f>IF(Metadata!M486="",FALSE,TRUE)</f>
        <v>0</v>
      </c>
      <c r="AZ486">
        <f>IF(Metadata!N486="",FALSE,TRUE)</f>
        <v>0</v>
      </c>
      <c r="BA486">
        <f>IF(Metadata!O486="",FALSE,TRUE)</f>
        <v>0</v>
      </c>
      <c r="BB486">
        <f>OR(AND(IF(Metadata!P486="",FALSE,TRUE),OR(exact(Metadata!P486,"not collected"),exact(Metadata!P486,"not provided"),exact(Metadata!P486,"restricted access"))),AND(IF(Metadata!P486="",FALSE,TRUE),OR(exact(Metadata!P486,"air"),exact(Metadata!P486,"built environment"),exact(Metadata!P486,"host-associated"),exact(Metadata!P486,"human-associated"),exact(Metadata!P486,"human-skin"),exact(Metadata!P486,"human-oral"),exact(Metadata!P486,"human-gut"),exact(Metadata!P486,"human-vaginal"),exact(Metadata!P486,"microbial mat/biofilm"),exact(Metadata!P486,"misc environment"),exact(Metadata!P486,"plant-associated"),exact(Metadata!P486,"sediment"),exact(Metadata!P486,"soil"),exact(Metadata!P486,"wastewater/sludge"),exact(Metadata!P486,"water"))))</f>
        <v>0</v>
      </c>
      <c r="BC486">
        <f>IF(Metadata!Q486="",FALSE,TRUE)</f>
        <v>0</v>
      </c>
      <c r="BD486">
        <f>IF(Metadata!R486="",FALSE,TRUE)</f>
        <v>0</v>
      </c>
      <c r="BE486">
        <f>OR(AND(IF(Metadata!S486="",FALSE,TRUE),OR(exact(Metadata!S486,"not collected"),exact(Metadata!S486,"not provided"),exact(Metadata!S486,"restricted access"))),AND(IF(Metadata!S486="",FALSE,ISNUMBER(VALUE(Metadata!S486))),Metadata!S486&gt;=-90.00,Metadata!S486&lt;=90.00))</f>
        <v>0</v>
      </c>
      <c r="BF486">
        <f>AND(IF(Metadata!T486="",FALSE,TRUE),exact(Metadata!T486,"Decimal degrees"))</f>
        <v>0</v>
      </c>
      <c r="BG486">
        <f>OR(AND(IF(Metadata!U486="",FALSE,TRUE),OR(exact(Metadata!U486,"not collected"),exact(Metadata!U486,"not provided"),exact(Metadata!U486,"restricted access"))),AND(IF(Metadata!U486="",FALSE,ISNUMBER(VALUE(Metadata!U486))),Metadata!U486&gt;=-180.00,Metadata!U486&lt;=180.00))</f>
        <v>0</v>
      </c>
      <c r="BH486">
        <f>AND(IF(Metadata!V486="",FALSE,TRUE),exact(Metadata!V486,"Decimal degrees"))</f>
        <v>0</v>
      </c>
      <c r="BI486">
        <f>IF(Metadata!W486="",FALSE,TRUE)</f>
        <v>0</v>
      </c>
      <c r="BJ486">
        <f>OR(AND(IF(Metadata!X486="",FALSE,TRUE),OR(exact(Metadata!X486,"not collected"),exact(Metadata!X486,"not provided"),exact(Metadata!X486,"restricted access"))),AND(IF(Metadata!X486="",FALSE,TRUE),OR(exact(Metadata!X486,"TRUE"),exact(Metadata!X486,"FALSE"))))</f>
        <v>0</v>
      </c>
      <c r="BK486">
        <f>AND(IF(Metadata!Y486="",FALSE,TRUE),exact(Metadata!Y486,"other"))</f>
        <v>0</v>
      </c>
      <c r="BL486">
        <f>IF(Metadata!Z486="",FALSE,TRUE)</f>
        <v>0</v>
      </c>
      <c r="BM486">
        <f>OR(AND(IF(Metadata!AA486="",FALSE,TRUE),OR(exact(Metadata!AA486,"not collected"),exact(Metadata!AA486,"not provided"))),AND(IF(Metadata!AA486="",FALSE,IF(ISERROR(INT(Metadata!AA486)),FALSE,INT(Metadata!AA486)=Metadata!AA486)),Metadata!AA486&gt;0))</f>
        <v>0</v>
      </c>
      <c r="BN486">
        <f>AND(IF(Metadata!AB486="",FALSE,TRUE),exact(Metadata!AB486,"Not applicable"))</f>
        <v>0</v>
      </c>
      <c r="BO486">
        <f>IF(Metadata!AC486="",FALSE,TRUE)</f>
        <v>0</v>
      </c>
    </row>
    <row r="487" spans="1:67">
      <c r="A487" s="5">
        <f>IF(B487=" "," ",HYPERLINK(CONCATENATE("#metadata!",ADDRESS(INDEX($AI$2:$AI$1001,MATCH(ROWS($AG$2:AG487),$AG$2:$AG$1001,0),0),1)),INDEX($AL$2:$AL$1001,MATCH(ROWS($AG$2:AG487),$AG$2:$AG$1001,0),0)))</f>
        <v>0</v>
      </c>
      <c r="B487" s="4">
        <f>IF(OR(INDEX($AH$2:$AH$1001,MATCH(ROWS($AG$2:AG487),$AG$2:$AG$1001,0),1)&gt;=100000,INDEX($AN$1005:$BO$1005,1,MATCH(COLUMNS($AN$1006:AN1006),$AN$1006:$BO$1006,0))&gt;=100000), " ",IF(INDEX($AN$2:$BO$1001,MATCH(ROWS($AG$2:AG487),$AG$2:$AG$1001,0),MATCH(COLUMNS($AN$1006:AN1006),$AN$1006:$BO$1006,0)), HYPERLINK("#",""), HYPERLINK(CONCATENATE("#Metadata!", ADDRESS(INDEX($AI$2:$AI$1001,MATCH(ROWS($AG$2:AG487),$AG$2:$AG$1001,0),0), INDEX($AN$1004:$BO$1004,1,MATCH(COLUMNS($AN$1006:AN1006),$AN$1006:$BO$1006,0)))),"Fix")))</f>
        <v>0</v>
      </c>
      <c r="C487" s="4">
        <f>IF(OR(INDEX($AH$2:$AH$1001,MATCH(ROWS($AG$2:AG487),$AG$2:$AG$1001,0),1)&gt;=100000,INDEX($AN$1005:$BO$1005,1,MATCH(COLUMNS($AN$1006:AO1006),$AN$1006:$BO$1006,0))&gt;=100000), " ",IF(INDEX($AN$2:$BO$1001,MATCH(ROWS($AG$2:AG487),$AG$2:$AG$1001,0),MATCH(COLUMNS($AN$1006:AO1006),$AN$1006:$BO$1006,0)), HYPERLINK("#",""), HYPERLINK(CONCATENATE("#Metadata!", ADDRESS(INDEX($AI$2:$AI$1001,MATCH(ROWS($AG$2:AG487),$AG$2:$AG$1001,0),0), INDEX($AN$1004:$BO$1004,1,MATCH(COLUMNS($AN$1006:AO1006),$AN$1006:$BO$1006,0)))),"Fix")))</f>
        <v>0</v>
      </c>
      <c r="D487" s="4">
        <f>IF(OR(INDEX($AH$2:$AH$1001,MATCH(ROWS($AG$2:AG487),$AG$2:$AG$1001,0),1)&gt;=100000,INDEX($AN$1005:$BO$1005,1,MATCH(COLUMNS($AN$1006:AP1006),$AN$1006:$BO$1006,0))&gt;=100000), " ",IF(INDEX($AN$2:$BO$1001,MATCH(ROWS($AG$2:AG487),$AG$2:$AG$1001,0),MATCH(COLUMNS($AN$1006:AP1006),$AN$1006:$BO$1006,0)), HYPERLINK("#",""), HYPERLINK(CONCATENATE("#Metadata!", ADDRESS(INDEX($AI$2:$AI$1001,MATCH(ROWS($AG$2:AG487),$AG$2:$AG$1001,0),0), INDEX($AN$1004:$BO$1004,1,MATCH(COLUMNS($AN$1006:AP1006),$AN$1006:$BO$1006,0)))),"Fix")))</f>
        <v>0</v>
      </c>
      <c r="E487" s="4">
        <f>IF(OR(INDEX($AH$2:$AH$1001,MATCH(ROWS($AG$2:AG487),$AG$2:$AG$1001,0),1)&gt;=100000,INDEX($AN$1005:$BO$1005,1,MATCH(COLUMNS($AN$1006:AQ1006),$AN$1006:$BO$1006,0))&gt;=100000), " ",IF(INDEX($AN$2:$BO$1001,MATCH(ROWS($AG$2:AG487),$AG$2:$AG$1001,0),MATCH(COLUMNS($AN$1006:AQ1006),$AN$1006:$BO$1006,0)), HYPERLINK("#",""), HYPERLINK(CONCATENATE("#Metadata!", ADDRESS(INDEX($AI$2:$AI$1001,MATCH(ROWS($AG$2:AG487),$AG$2:$AG$1001,0),0), INDEX($AN$1004:$BO$1004,1,MATCH(COLUMNS($AN$1006:AQ1006),$AN$1006:$BO$1006,0)))),"Fix")))</f>
        <v>0</v>
      </c>
      <c r="F487" s="4">
        <f>IF(OR(INDEX($AH$2:$AH$1001,MATCH(ROWS($AG$2:AG487),$AG$2:$AG$1001,0),1)&gt;=100000,INDEX($AN$1005:$BO$1005,1,MATCH(COLUMNS($AN$1006:AR1006),$AN$1006:$BO$1006,0))&gt;=100000), " ",IF(INDEX($AN$2:$BO$1001,MATCH(ROWS($AG$2:AG487),$AG$2:$AG$1001,0),MATCH(COLUMNS($AN$1006:AR1006),$AN$1006:$BO$1006,0)), HYPERLINK("#",""), HYPERLINK(CONCATENATE("#Metadata!", ADDRESS(INDEX($AI$2:$AI$1001,MATCH(ROWS($AG$2:AG487),$AG$2:$AG$1001,0),0), INDEX($AN$1004:$BO$1004,1,MATCH(COLUMNS($AN$1006:AR1006),$AN$1006:$BO$1006,0)))),"Fix")))</f>
        <v>0</v>
      </c>
      <c r="G487" s="4">
        <f>IF(OR(INDEX($AH$2:$AH$1001,MATCH(ROWS($AG$2:AG487),$AG$2:$AG$1001,0),1)&gt;=100000,INDEX($AN$1005:$BO$1005,1,MATCH(COLUMNS($AN$1006:AS1006),$AN$1006:$BO$1006,0))&gt;=100000), " ",IF(INDEX($AN$2:$BO$1001,MATCH(ROWS($AG$2:AG487),$AG$2:$AG$1001,0),MATCH(COLUMNS($AN$1006:AS1006),$AN$1006:$BO$1006,0)), HYPERLINK("#",""), HYPERLINK(CONCATENATE("#Metadata!", ADDRESS(INDEX($AI$2:$AI$1001,MATCH(ROWS($AG$2:AG487),$AG$2:$AG$1001,0),0), INDEX($AN$1004:$BO$1004,1,MATCH(COLUMNS($AN$1006:AS1006),$AN$1006:$BO$1006,0)))),"Fix")))</f>
        <v>0</v>
      </c>
      <c r="H487" s="4">
        <f>IF(OR(INDEX($AH$2:$AH$1001,MATCH(ROWS($AG$2:AG487),$AG$2:$AG$1001,0),1)&gt;=100000,INDEX($AN$1005:$BO$1005,1,MATCH(COLUMNS($AN$1006:AT1006),$AN$1006:$BO$1006,0))&gt;=100000), " ",IF(INDEX($AN$2:$BO$1001,MATCH(ROWS($AG$2:AG487),$AG$2:$AG$1001,0),MATCH(COLUMNS($AN$1006:AT1006),$AN$1006:$BO$1006,0)), HYPERLINK("#",""), HYPERLINK(CONCATENATE("#Metadata!", ADDRESS(INDEX($AI$2:$AI$1001,MATCH(ROWS($AG$2:AG487),$AG$2:$AG$1001,0),0), INDEX($AN$1004:$BO$1004,1,MATCH(COLUMNS($AN$1006:AT1006),$AN$1006:$BO$1006,0)))),"Fix")))</f>
        <v>0</v>
      </c>
      <c r="I487" s="4">
        <f>IF(OR(INDEX($AH$2:$AH$1001,MATCH(ROWS($AG$2:AG487),$AG$2:$AG$1001,0),1)&gt;=100000,INDEX($AN$1005:$BO$1005,1,MATCH(COLUMNS($AN$1006:AU1006),$AN$1006:$BO$1006,0))&gt;=100000), " ",IF(INDEX($AN$2:$BO$1001,MATCH(ROWS($AG$2:AG487),$AG$2:$AG$1001,0),MATCH(COLUMNS($AN$1006:AU1006),$AN$1006:$BO$1006,0)), HYPERLINK("#",""), HYPERLINK(CONCATENATE("#Metadata!", ADDRESS(INDEX($AI$2:$AI$1001,MATCH(ROWS($AG$2:AG487),$AG$2:$AG$1001,0),0), INDEX($AN$1004:$BO$1004,1,MATCH(COLUMNS($AN$1006:AU1006),$AN$1006:$BO$1006,0)))),"Fix")))</f>
        <v>0</v>
      </c>
      <c r="J487" s="4">
        <f>IF(OR(INDEX($AH$2:$AH$1001,MATCH(ROWS($AG$2:AG487),$AG$2:$AG$1001,0),1)&gt;=100000,INDEX($AN$1005:$BO$1005,1,MATCH(COLUMNS($AN$1006:AV1006),$AN$1006:$BO$1006,0))&gt;=100000), " ",IF(INDEX($AN$2:$BO$1001,MATCH(ROWS($AG$2:AG487),$AG$2:$AG$1001,0),MATCH(COLUMNS($AN$1006:AV1006),$AN$1006:$BO$1006,0)), HYPERLINK("#",""), HYPERLINK(CONCATENATE("#Metadata!", ADDRESS(INDEX($AI$2:$AI$1001,MATCH(ROWS($AG$2:AG487),$AG$2:$AG$1001,0),0), INDEX($AN$1004:$BO$1004,1,MATCH(COLUMNS($AN$1006:AV1006),$AN$1006:$BO$1006,0)))),"Fix")))</f>
        <v>0</v>
      </c>
      <c r="K487" s="4">
        <f>IF(OR(INDEX($AH$2:$AH$1001,MATCH(ROWS($AG$2:AG487),$AG$2:$AG$1001,0),1)&gt;=100000,INDEX($AN$1005:$BO$1005,1,MATCH(COLUMNS($AN$1006:AW1006),$AN$1006:$BO$1006,0))&gt;=100000), " ",IF(INDEX($AN$2:$BO$1001,MATCH(ROWS($AG$2:AG487),$AG$2:$AG$1001,0),MATCH(COLUMNS($AN$1006:AW1006),$AN$1006:$BO$1006,0)), HYPERLINK("#",""), HYPERLINK(CONCATENATE("#Metadata!", ADDRESS(INDEX($AI$2:$AI$1001,MATCH(ROWS($AG$2:AG487),$AG$2:$AG$1001,0),0), INDEX($AN$1004:$BO$1004,1,MATCH(COLUMNS($AN$1006:AW1006),$AN$1006:$BO$1006,0)))),"Fix")))</f>
        <v>0</v>
      </c>
      <c r="L487" s="4">
        <f>IF(OR(INDEX($AH$2:$AH$1001,MATCH(ROWS($AG$2:AG487),$AG$2:$AG$1001,0),1)&gt;=100000,INDEX($AN$1005:$BO$1005,1,MATCH(COLUMNS($AN$1006:AX1006),$AN$1006:$BO$1006,0))&gt;=100000), " ",IF(INDEX($AN$2:$BO$1001,MATCH(ROWS($AG$2:AG487),$AG$2:$AG$1001,0),MATCH(COLUMNS($AN$1006:AX1006),$AN$1006:$BO$1006,0)), HYPERLINK("#",""), HYPERLINK(CONCATENATE("#Metadata!", ADDRESS(INDEX($AI$2:$AI$1001,MATCH(ROWS($AG$2:AG487),$AG$2:$AG$1001,0),0), INDEX($AN$1004:$BO$1004,1,MATCH(COLUMNS($AN$1006:AX1006),$AN$1006:$BO$1006,0)))),"Fix")))</f>
        <v>0</v>
      </c>
      <c r="M487" s="4">
        <f>IF(OR(INDEX($AH$2:$AH$1001,MATCH(ROWS($AG$2:AG487),$AG$2:$AG$1001,0),1)&gt;=100000,INDEX($AN$1005:$BO$1005,1,MATCH(COLUMNS($AN$1006:AY1006),$AN$1006:$BO$1006,0))&gt;=100000), " ",IF(INDEX($AN$2:$BO$1001,MATCH(ROWS($AG$2:AG487),$AG$2:$AG$1001,0),MATCH(COLUMNS($AN$1006:AY1006),$AN$1006:$BO$1006,0)), HYPERLINK("#",""), HYPERLINK(CONCATENATE("#Metadata!", ADDRESS(INDEX($AI$2:$AI$1001,MATCH(ROWS($AG$2:AG487),$AG$2:$AG$1001,0),0), INDEX($AN$1004:$BO$1004,1,MATCH(COLUMNS($AN$1006:AY1006),$AN$1006:$BO$1006,0)))),"Fix")))</f>
        <v>0</v>
      </c>
      <c r="N487" s="4">
        <f>IF(OR(INDEX($AH$2:$AH$1001,MATCH(ROWS($AG$2:AG487),$AG$2:$AG$1001,0),1)&gt;=100000,INDEX($AN$1005:$BO$1005,1,MATCH(COLUMNS($AN$1006:AZ1006),$AN$1006:$BO$1006,0))&gt;=100000), " ",IF(INDEX($AN$2:$BO$1001,MATCH(ROWS($AG$2:AG487),$AG$2:$AG$1001,0),MATCH(COLUMNS($AN$1006:AZ1006),$AN$1006:$BO$1006,0)), HYPERLINK("#",""), HYPERLINK(CONCATENATE("#Metadata!", ADDRESS(INDEX($AI$2:$AI$1001,MATCH(ROWS($AG$2:AG487),$AG$2:$AG$1001,0),0), INDEX($AN$1004:$BO$1004,1,MATCH(COLUMNS($AN$1006:AZ1006),$AN$1006:$BO$1006,0)))),"Fix")))</f>
        <v>0</v>
      </c>
      <c r="O487" s="4">
        <f>IF(OR(INDEX($AH$2:$AH$1001,MATCH(ROWS($AG$2:AG487),$AG$2:$AG$1001,0),1)&gt;=100000,INDEX($AN$1005:$BO$1005,1,MATCH(COLUMNS($AN$1006:BA1006),$AN$1006:$BO$1006,0))&gt;=100000), " ",IF(INDEX($AN$2:$BO$1001,MATCH(ROWS($AG$2:AG487),$AG$2:$AG$1001,0),MATCH(COLUMNS($AN$1006:BA1006),$AN$1006:$BO$1006,0)), HYPERLINK("#",""), HYPERLINK(CONCATENATE("#Metadata!", ADDRESS(INDEX($AI$2:$AI$1001,MATCH(ROWS($AG$2:AG487),$AG$2:$AG$1001,0),0), INDEX($AN$1004:$BO$1004,1,MATCH(COLUMNS($AN$1006:BA1006),$AN$1006:$BO$1006,0)))),"Fix")))</f>
        <v>0</v>
      </c>
      <c r="P487" s="4">
        <f>IF(OR(INDEX($AH$2:$AH$1001,MATCH(ROWS($AG$2:AG487),$AG$2:$AG$1001,0),1)&gt;=100000,INDEX($AN$1005:$BO$1005,1,MATCH(COLUMNS($AN$1006:BB1006),$AN$1006:$BO$1006,0))&gt;=100000), " ",IF(INDEX($AN$2:$BO$1001,MATCH(ROWS($AG$2:AG487),$AG$2:$AG$1001,0),MATCH(COLUMNS($AN$1006:BB1006),$AN$1006:$BO$1006,0)), HYPERLINK("#",""), HYPERLINK(CONCATENATE("#Metadata!", ADDRESS(INDEX($AI$2:$AI$1001,MATCH(ROWS($AG$2:AG487),$AG$2:$AG$1001,0),0), INDEX($AN$1004:$BO$1004,1,MATCH(COLUMNS($AN$1006:BB1006),$AN$1006:$BO$1006,0)))),"Fix")))</f>
        <v>0</v>
      </c>
      <c r="Q487" s="4">
        <f>IF(OR(INDEX($AH$2:$AH$1001,MATCH(ROWS($AG$2:AG487),$AG$2:$AG$1001,0),1)&gt;=100000,INDEX($AN$1005:$BO$1005,1,MATCH(COLUMNS($AN$1006:BC1006),$AN$1006:$BO$1006,0))&gt;=100000), " ",IF(INDEX($AN$2:$BO$1001,MATCH(ROWS($AG$2:AG487),$AG$2:$AG$1001,0),MATCH(COLUMNS($AN$1006:BC1006),$AN$1006:$BO$1006,0)), HYPERLINK("#",""), HYPERLINK(CONCATENATE("#Metadata!", ADDRESS(INDEX($AI$2:$AI$1001,MATCH(ROWS($AG$2:AG487),$AG$2:$AG$1001,0),0), INDEX($AN$1004:$BO$1004,1,MATCH(COLUMNS($AN$1006:BC1006),$AN$1006:$BO$1006,0)))),"Fix")))</f>
        <v>0</v>
      </c>
      <c r="R487" s="4">
        <f>IF(OR(INDEX($AH$2:$AH$1001,MATCH(ROWS($AG$2:AG487),$AG$2:$AG$1001,0),1)&gt;=100000,INDEX($AN$1005:$BO$1005,1,MATCH(COLUMNS($AN$1006:BD1006),$AN$1006:$BO$1006,0))&gt;=100000), " ",IF(INDEX($AN$2:$BO$1001,MATCH(ROWS($AG$2:AG487),$AG$2:$AG$1001,0),MATCH(COLUMNS($AN$1006:BD1006),$AN$1006:$BO$1006,0)), HYPERLINK("#",""), HYPERLINK(CONCATENATE("#Metadata!", ADDRESS(INDEX($AI$2:$AI$1001,MATCH(ROWS($AG$2:AG487),$AG$2:$AG$1001,0),0), INDEX($AN$1004:$BO$1004,1,MATCH(COLUMNS($AN$1006:BD1006),$AN$1006:$BO$1006,0)))),"Fix")))</f>
        <v>0</v>
      </c>
      <c r="S487" s="4">
        <f>IF(OR(INDEX($AH$2:$AH$1001,MATCH(ROWS($AG$2:AG487),$AG$2:$AG$1001,0),1)&gt;=100000,INDEX($AN$1005:$BO$1005,1,MATCH(COLUMNS($AN$1006:BE1006),$AN$1006:$BO$1006,0))&gt;=100000), " ",IF(INDEX($AN$2:$BO$1001,MATCH(ROWS($AG$2:AG487),$AG$2:$AG$1001,0),MATCH(COLUMNS($AN$1006:BE1006),$AN$1006:$BO$1006,0)), HYPERLINK("#",""), HYPERLINK(CONCATENATE("#Metadata!", ADDRESS(INDEX($AI$2:$AI$1001,MATCH(ROWS($AG$2:AG487),$AG$2:$AG$1001,0),0), INDEX($AN$1004:$BO$1004,1,MATCH(COLUMNS($AN$1006:BE1006),$AN$1006:$BO$1006,0)))),"Fix")))</f>
        <v>0</v>
      </c>
      <c r="T487" s="4">
        <f>IF(OR(INDEX($AH$2:$AH$1001,MATCH(ROWS($AG$2:AG487),$AG$2:$AG$1001,0),1)&gt;=100000,INDEX($AN$1005:$BO$1005,1,MATCH(COLUMNS($AN$1006:BF1006),$AN$1006:$BO$1006,0))&gt;=100000), " ",IF(INDEX($AN$2:$BO$1001,MATCH(ROWS($AG$2:AG487),$AG$2:$AG$1001,0),MATCH(COLUMNS($AN$1006:BF1006),$AN$1006:$BO$1006,0)), HYPERLINK("#",""), HYPERLINK(CONCATENATE("#Metadata!", ADDRESS(INDEX($AI$2:$AI$1001,MATCH(ROWS($AG$2:AG487),$AG$2:$AG$1001,0),0), INDEX($AN$1004:$BO$1004,1,MATCH(COLUMNS($AN$1006:BF1006),$AN$1006:$BO$1006,0)))),"Fix")))</f>
        <v>0</v>
      </c>
      <c r="U487" s="4">
        <f>IF(OR(INDEX($AH$2:$AH$1001,MATCH(ROWS($AG$2:AG487),$AG$2:$AG$1001,0),1)&gt;=100000,INDEX($AN$1005:$BO$1005,1,MATCH(COLUMNS($AN$1006:BG1006),$AN$1006:$BO$1006,0))&gt;=100000), " ",IF(INDEX($AN$2:$BO$1001,MATCH(ROWS($AG$2:AG487),$AG$2:$AG$1001,0),MATCH(COLUMNS($AN$1006:BG1006),$AN$1006:$BO$1006,0)), HYPERLINK("#",""), HYPERLINK(CONCATENATE("#Metadata!", ADDRESS(INDEX($AI$2:$AI$1001,MATCH(ROWS($AG$2:AG487),$AG$2:$AG$1001,0),0), INDEX($AN$1004:$BO$1004,1,MATCH(COLUMNS($AN$1006:BG1006),$AN$1006:$BO$1006,0)))),"Fix")))</f>
        <v>0</v>
      </c>
      <c r="V487" s="4">
        <f>IF(OR(INDEX($AH$2:$AH$1001,MATCH(ROWS($AG$2:AG487),$AG$2:$AG$1001,0),1)&gt;=100000,INDEX($AN$1005:$BO$1005,1,MATCH(COLUMNS($AN$1006:BH1006),$AN$1006:$BO$1006,0))&gt;=100000), " ",IF(INDEX($AN$2:$BO$1001,MATCH(ROWS($AG$2:AG487),$AG$2:$AG$1001,0),MATCH(COLUMNS($AN$1006:BH1006),$AN$1006:$BO$1006,0)), HYPERLINK("#",""), HYPERLINK(CONCATENATE("#Metadata!", ADDRESS(INDEX($AI$2:$AI$1001,MATCH(ROWS($AG$2:AG487),$AG$2:$AG$1001,0),0), INDEX($AN$1004:$BO$1004,1,MATCH(COLUMNS($AN$1006:BH1006),$AN$1006:$BO$1006,0)))),"Fix")))</f>
        <v>0</v>
      </c>
      <c r="W487" s="4">
        <f>IF(OR(INDEX($AH$2:$AH$1001,MATCH(ROWS($AG$2:AG487),$AG$2:$AG$1001,0),1)&gt;=100000,INDEX($AN$1005:$BO$1005,1,MATCH(COLUMNS($AN$1006:BI1006),$AN$1006:$BO$1006,0))&gt;=100000), " ",IF(INDEX($AN$2:$BO$1001,MATCH(ROWS($AG$2:AG487),$AG$2:$AG$1001,0),MATCH(COLUMNS($AN$1006:BI1006),$AN$1006:$BO$1006,0)), HYPERLINK("#",""), HYPERLINK(CONCATENATE("#Metadata!", ADDRESS(INDEX($AI$2:$AI$1001,MATCH(ROWS($AG$2:AG487),$AG$2:$AG$1001,0),0), INDEX($AN$1004:$BO$1004,1,MATCH(COLUMNS($AN$1006:BI1006),$AN$1006:$BO$1006,0)))),"Fix")))</f>
        <v>0</v>
      </c>
      <c r="X487" s="4">
        <f>IF(OR(INDEX($AH$2:$AH$1001,MATCH(ROWS($AG$2:AG487),$AG$2:$AG$1001,0),1)&gt;=100000,INDEX($AN$1005:$BO$1005,1,MATCH(COLUMNS($AN$1006:BJ1006),$AN$1006:$BO$1006,0))&gt;=100000), " ",IF(INDEX($AN$2:$BO$1001,MATCH(ROWS($AG$2:AG487),$AG$2:$AG$1001,0),MATCH(COLUMNS($AN$1006:BJ1006),$AN$1006:$BO$1006,0)), HYPERLINK("#",""), HYPERLINK(CONCATENATE("#Metadata!", ADDRESS(INDEX($AI$2:$AI$1001,MATCH(ROWS($AG$2:AG487),$AG$2:$AG$1001,0),0), INDEX($AN$1004:$BO$1004,1,MATCH(COLUMNS($AN$1006:BJ1006),$AN$1006:$BO$1006,0)))),"Fix")))</f>
        <v>0</v>
      </c>
      <c r="Y487" s="4">
        <f>IF(OR(INDEX($AH$2:$AH$1001,MATCH(ROWS($AG$2:AG487),$AG$2:$AG$1001,0),1)&gt;=100000,INDEX($AN$1005:$BO$1005,1,MATCH(COLUMNS($AN$1006:BK1006),$AN$1006:$BO$1006,0))&gt;=100000), " ",IF(INDEX($AN$2:$BO$1001,MATCH(ROWS($AG$2:AG487),$AG$2:$AG$1001,0),MATCH(COLUMNS($AN$1006:BK1006),$AN$1006:$BO$1006,0)), HYPERLINK("#",""), HYPERLINK(CONCATENATE("#Metadata!", ADDRESS(INDEX($AI$2:$AI$1001,MATCH(ROWS($AG$2:AG487),$AG$2:$AG$1001,0),0), INDEX($AN$1004:$BO$1004,1,MATCH(COLUMNS($AN$1006:BK1006),$AN$1006:$BO$1006,0)))),"Fix")))</f>
        <v>0</v>
      </c>
      <c r="Z487" s="4">
        <f>IF(OR(INDEX($AH$2:$AH$1001,MATCH(ROWS($AG$2:AG487),$AG$2:$AG$1001,0),1)&gt;=100000,INDEX($AN$1005:$BO$1005,1,MATCH(COLUMNS($AN$1006:BL1006),$AN$1006:$BO$1006,0))&gt;=100000), " ",IF(INDEX($AN$2:$BO$1001,MATCH(ROWS($AG$2:AG487),$AG$2:$AG$1001,0),MATCH(COLUMNS($AN$1006:BL1006),$AN$1006:$BO$1006,0)), HYPERLINK("#",""), HYPERLINK(CONCATENATE("#Metadata!", ADDRESS(INDEX($AI$2:$AI$1001,MATCH(ROWS($AG$2:AG487),$AG$2:$AG$1001,0),0), INDEX($AN$1004:$BO$1004,1,MATCH(COLUMNS($AN$1006:BL1006),$AN$1006:$BO$1006,0)))),"Fix")))</f>
        <v>0</v>
      </c>
      <c r="AA487" s="4">
        <f>IF(OR(INDEX($AH$2:$AH$1001,MATCH(ROWS($AG$2:AG487),$AG$2:$AG$1001,0),1)&gt;=100000,INDEX($AN$1005:$BO$1005,1,MATCH(COLUMNS($AN$1006:BM1006),$AN$1006:$BO$1006,0))&gt;=100000), " ",IF(INDEX($AN$2:$BO$1001,MATCH(ROWS($AG$2:AG487),$AG$2:$AG$1001,0),MATCH(COLUMNS($AN$1006:BM1006),$AN$1006:$BO$1006,0)), HYPERLINK("#",""), HYPERLINK(CONCATENATE("#Metadata!", ADDRESS(INDEX($AI$2:$AI$1001,MATCH(ROWS($AG$2:AG487),$AG$2:$AG$1001,0),0), INDEX($AN$1004:$BO$1004,1,MATCH(COLUMNS($AN$1006:BM1006),$AN$1006:$BO$1006,0)))),"Fix")))</f>
        <v>0</v>
      </c>
      <c r="AB487" s="4">
        <f>IF(OR(INDEX($AH$2:$AH$1001,MATCH(ROWS($AG$2:AG487),$AG$2:$AG$1001,0),1)&gt;=100000,INDEX($AN$1005:$BO$1005,1,MATCH(COLUMNS($AN$1006:BN1006),$AN$1006:$BO$1006,0))&gt;=100000), " ",IF(INDEX($AN$2:$BO$1001,MATCH(ROWS($AG$2:AG487),$AG$2:$AG$1001,0),MATCH(COLUMNS($AN$1006:BN1006),$AN$1006:$BO$1006,0)), HYPERLINK("#",""), HYPERLINK(CONCATENATE("#Metadata!", ADDRESS(INDEX($AI$2:$AI$1001,MATCH(ROWS($AG$2:AG487),$AG$2:$AG$1001,0),0), INDEX($AN$1004:$BO$1004,1,MATCH(COLUMNS($AN$1006:BN1006),$AN$1006:$BO$1006,0)))),"Fix")))</f>
        <v>0</v>
      </c>
      <c r="AC487" s="4">
        <f>IF(OR(INDEX($AH$2:$AH$1001,MATCH(ROWS($AG$2:AG487),$AG$2:$AG$1001,0),1)&gt;=100000,INDEX($AN$1005:$BO$1005,1,MATCH(COLUMNS($AN$1006:BO1006),$AN$1006:$BO$1006,0))&gt;=100000), " ",IF(INDEX($AN$2:$BO$1001,MATCH(ROWS($AG$2:AG487),$AG$2:$AG$1001,0),MATCH(COLUMNS($AN$1006:BO1006),$AN$1006:$BO$1006,0)), HYPERLINK("#",""), HYPERLINK(CONCATENATE("#Metadata!", ADDRESS(INDEX($AI$2:$AI$1001,MATCH(ROWS($AG$2:AG487),$AG$2:$AG$1001,0),0), INDEX($AN$1004:$BO$1004,1,MATCH(COLUMNS($AN$1006:BO1006),$AN$1006:$BO$1006,0)))),"Fix")))</f>
        <v>0</v>
      </c>
      <c r="AG487">
        <v>0</v>
      </c>
      <c r="AH487">
        <v>0</v>
      </c>
      <c r="AI487">
        <v>0</v>
      </c>
      <c r="AJ487">
        <f>IF(AK487,TRUE,AND(AN487:BO487))</f>
        <v>0</v>
      </c>
      <c r="AK487">
        <f>COUNTBLANK(Metadata!B487:AC487)=COLUMNS(Metadata!B487:AC487)</f>
        <v>0</v>
      </c>
      <c r="AL487">
        <v>0</v>
      </c>
      <c r="AN487">
        <f>AND(IF(Metadata!B487="",FALSE,TRUE),COUNTIF(Metadata!B:B, Metadata!B487) = 1,NOT(ISERROR(SUMPRODUCT(SEARCH(MID(Metadata!B487,ROW(INDIRECT("1:"&amp;LEN(Metadata!B487))), 1),"0123456789abcdefghijklmnopqrstuvwxyzABCDEFGHIJKLMNOPQRSTUVWXYZ.")))))</f>
        <v>0</v>
      </c>
      <c r="AO487">
        <f>IF(Metadata!C487="",FALSE,TRUE)</f>
        <v>0</v>
      </c>
      <c r="AP487">
        <f>IF(Metadata!D487="",FALSE,TRUE)</f>
        <v>0</v>
      </c>
      <c r="AQ487">
        <f>OR(AND(IF(Metadata!E487="",FALSE,TRUE),OR(exact(Metadata!E487,"not collected"),exact(Metadata!E487,"not provided"),exact(Metadata!E487,"restricted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R487">
        <f>IF(Metadata!F487="",FALSE,TRUE)</f>
        <v>0</v>
      </c>
      <c r="AS487">
        <f>OR(AND(IF(Metadata!G487="",FALSE,TRUE),OR(exact(Metadata!G487,"not collected"),exact(Metadata!G487,"not provided"))),AND(IF(Metadata!G487="",FALSE,TRUE),OR(exact(Metadata!G487,"TRUE"),exact(Metadata!G487,"FALSE"))))</f>
        <v>0</v>
      </c>
      <c r="AT487">
        <f>OR(AND(IF(Metadata!H487="",FALSE,TRUE),OR(exact(Metadata!H487,"not collected"),exact(Metadata!H487,"not provided"),exact(Metadata!H487,"restricted access"))),AND(IF(Metadata!H487="",FALSE,ISNUMBER(VALUE(Metadata!H487))),Metadata!H487&gt;=-413.0))</f>
        <v>0</v>
      </c>
      <c r="AU487">
        <f>AND(IF(Metadata!I487="",FALSE,TRUE),exact(Metadata!I487,"meters"))</f>
        <v>0</v>
      </c>
      <c r="AV487">
        <f>AND(IF(Metadata!J487="",FALSE,TRUE),OR(exact(Metadata!J487,"Host-associated"),exact(Metadata!J487,"Free-living")))</f>
        <v>0</v>
      </c>
      <c r="AW487">
        <f>AND(IF(Metadata!K487="",FALSE,TRUE),OR(exact(Metadata!K487,"Animal"),exact(Metadata!K487,"Fungus"),exact(Metadata!K487,"Plant"),exact(Metadata!K487,"Saline"),exact(Metadata!K487,"Non-saline")))</f>
        <v>0</v>
      </c>
      <c r="AX487">
        <f>AND(IF(Metadata!L487="",FALSE,TRUE),OR(exact(Metadata!L487,"Plant secretion"),exact(Metadata!L487,"Plant rhizosphere"),exact(Metadata!L487,"Plant surface"),exact(Metadata!L487,"Plant corpus"),exact(Metadata!L487,"Fungus surface"),exact(Metadata!L487,"Fungus corpus"),exact(Metadata!L487,"Animal surface"),exact(Metadata!L487,"Animal proximal gut"),exact(Metadata!L487,"Animal corpus"),exact(Metadata!L487,"Animal distal gut"),exact(Metadata!L487,"Animal secretion"),exact(Metadata!L487,"Sub-surface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Y487">
        <f>IF(Metadata!M487="",FALSE,TRUE)</f>
        <v>0</v>
      </c>
      <c r="AZ487">
        <f>IF(Metadata!N487="",FALSE,TRUE)</f>
        <v>0</v>
      </c>
      <c r="BA487">
        <f>IF(Metadata!O487="",FALSE,TRUE)</f>
        <v>0</v>
      </c>
      <c r="BB487">
        <f>OR(AND(IF(Metadata!P487="",FALSE,TRUE),OR(exact(Metadata!P487,"not collected"),exact(Metadata!P487,"not provided"),exact(Metadata!P487,"restricted access"))),AND(IF(Metadata!P487="",FALSE,TRUE),OR(exact(Metadata!P487,"air"),exact(Metadata!P487,"built environment"),exact(Metadata!P487,"host-associated"),exact(Metadata!P487,"human-associated"),exact(Metadata!P487,"human-skin"),exact(Metadata!P487,"human-oral"),exact(Metadata!P487,"human-gut"),exact(Metadata!P487,"human-vaginal"),exact(Metadata!P487,"microbial mat/biofilm"),exact(Metadata!P487,"misc environment"),exact(Metadata!P487,"plant-associated"),exact(Metadata!P487,"sediment"),exact(Metadata!P487,"soil"),exact(Metadata!P487,"wastewater/sludge"),exact(Metadata!P487,"water"))))</f>
        <v>0</v>
      </c>
      <c r="BC487">
        <f>IF(Metadata!Q487="",FALSE,TRUE)</f>
        <v>0</v>
      </c>
      <c r="BD487">
        <f>IF(Metadata!R487="",FALSE,TRUE)</f>
        <v>0</v>
      </c>
      <c r="BE487">
        <f>OR(AND(IF(Metadata!S487="",FALSE,TRUE),OR(exact(Metadata!S487,"not collected"),exact(Metadata!S487,"not provided"),exact(Metadata!S487,"restricted access"))),AND(IF(Metadata!S487="",FALSE,ISNUMBER(VALUE(Metadata!S487))),Metadata!S487&gt;=-90.00,Metadata!S487&lt;=90.00))</f>
        <v>0</v>
      </c>
      <c r="BF487">
        <f>AND(IF(Metadata!T487="",FALSE,TRUE),exact(Metadata!T487,"Decimal degrees"))</f>
        <v>0</v>
      </c>
      <c r="BG487">
        <f>OR(AND(IF(Metadata!U487="",FALSE,TRUE),OR(exact(Metadata!U487,"not collected"),exact(Metadata!U487,"not provided"),exact(Metadata!U487,"restricted access"))),AND(IF(Metadata!U487="",FALSE,ISNUMBER(VALUE(Metadata!U487))),Metadata!U487&gt;=-180.00,Metadata!U487&lt;=180.00))</f>
        <v>0</v>
      </c>
      <c r="BH487">
        <f>AND(IF(Metadata!V487="",FALSE,TRUE),exact(Metadata!V487,"Decimal degrees"))</f>
        <v>0</v>
      </c>
      <c r="BI487">
        <f>IF(Metadata!W487="",FALSE,TRUE)</f>
        <v>0</v>
      </c>
      <c r="BJ487">
        <f>OR(AND(IF(Metadata!X487="",FALSE,TRUE),OR(exact(Metadata!X487,"not collected"),exact(Metadata!X487,"not provided"),exact(Metadata!X487,"restricted access"))),AND(IF(Metadata!X487="",FALSE,TRUE),OR(exact(Metadata!X487,"TRUE"),exact(Metadata!X487,"FALSE"))))</f>
        <v>0</v>
      </c>
      <c r="BK487">
        <f>AND(IF(Metadata!Y487="",FALSE,TRUE),exact(Metadata!Y487,"other"))</f>
        <v>0</v>
      </c>
      <c r="BL487">
        <f>IF(Metadata!Z487="",FALSE,TRUE)</f>
        <v>0</v>
      </c>
      <c r="BM487">
        <f>OR(AND(IF(Metadata!AA487="",FALSE,TRUE),OR(exact(Metadata!AA487,"not collected"),exact(Metadata!AA487,"not provided"))),AND(IF(Metadata!AA487="",FALSE,IF(ISERROR(INT(Metadata!AA487)),FALSE,INT(Metadata!AA487)=Metadata!AA487)),Metadata!AA487&gt;0))</f>
        <v>0</v>
      </c>
      <c r="BN487">
        <f>AND(IF(Metadata!AB487="",FALSE,TRUE),exact(Metadata!AB487,"Not applicable"))</f>
        <v>0</v>
      </c>
      <c r="BO487">
        <f>IF(Metadata!AC487="",FALSE,TRUE)</f>
        <v>0</v>
      </c>
    </row>
    <row r="488" spans="1:67">
      <c r="A488" s="5">
        <f>IF(B488=" "," ",HYPERLINK(CONCATENATE("#metadata!",ADDRESS(INDEX($AI$2:$AI$1001,MATCH(ROWS($AG$2:AG488),$AG$2:$AG$1001,0),0),1)),INDEX($AL$2:$AL$1001,MATCH(ROWS($AG$2:AG488),$AG$2:$AG$1001,0),0)))</f>
        <v>0</v>
      </c>
      <c r="B488" s="4">
        <f>IF(OR(INDEX($AH$2:$AH$1001,MATCH(ROWS($AG$2:AG488),$AG$2:$AG$1001,0),1)&gt;=100000,INDEX($AN$1005:$BO$1005,1,MATCH(COLUMNS($AN$1006:AN1006),$AN$1006:$BO$1006,0))&gt;=100000), " ",IF(INDEX($AN$2:$BO$1001,MATCH(ROWS($AG$2:AG488),$AG$2:$AG$1001,0),MATCH(COLUMNS($AN$1006:AN1006),$AN$1006:$BO$1006,0)), HYPERLINK("#",""), HYPERLINK(CONCATENATE("#Metadata!", ADDRESS(INDEX($AI$2:$AI$1001,MATCH(ROWS($AG$2:AG488),$AG$2:$AG$1001,0),0), INDEX($AN$1004:$BO$1004,1,MATCH(COLUMNS($AN$1006:AN1006),$AN$1006:$BO$1006,0)))),"Fix")))</f>
        <v>0</v>
      </c>
      <c r="C488" s="4">
        <f>IF(OR(INDEX($AH$2:$AH$1001,MATCH(ROWS($AG$2:AG488),$AG$2:$AG$1001,0),1)&gt;=100000,INDEX($AN$1005:$BO$1005,1,MATCH(COLUMNS($AN$1006:AO1006),$AN$1006:$BO$1006,0))&gt;=100000), " ",IF(INDEX($AN$2:$BO$1001,MATCH(ROWS($AG$2:AG488),$AG$2:$AG$1001,0),MATCH(COLUMNS($AN$1006:AO1006),$AN$1006:$BO$1006,0)), HYPERLINK("#",""), HYPERLINK(CONCATENATE("#Metadata!", ADDRESS(INDEX($AI$2:$AI$1001,MATCH(ROWS($AG$2:AG488),$AG$2:$AG$1001,0),0), INDEX($AN$1004:$BO$1004,1,MATCH(COLUMNS($AN$1006:AO1006),$AN$1006:$BO$1006,0)))),"Fix")))</f>
        <v>0</v>
      </c>
      <c r="D488" s="4">
        <f>IF(OR(INDEX($AH$2:$AH$1001,MATCH(ROWS($AG$2:AG488),$AG$2:$AG$1001,0),1)&gt;=100000,INDEX($AN$1005:$BO$1005,1,MATCH(COLUMNS($AN$1006:AP1006),$AN$1006:$BO$1006,0))&gt;=100000), " ",IF(INDEX($AN$2:$BO$1001,MATCH(ROWS($AG$2:AG488),$AG$2:$AG$1001,0),MATCH(COLUMNS($AN$1006:AP1006),$AN$1006:$BO$1006,0)), HYPERLINK("#",""), HYPERLINK(CONCATENATE("#Metadata!", ADDRESS(INDEX($AI$2:$AI$1001,MATCH(ROWS($AG$2:AG488),$AG$2:$AG$1001,0),0), INDEX($AN$1004:$BO$1004,1,MATCH(COLUMNS($AN$1006:AP1006),$AN$1006:$BO$1006,0)))),"Fix")))</f>
        <v>0</v>
      </c>
      <c r="E488" s="4">
        <f>IF(OR(INDEX($AH$2:$AH$1001,MATCH(ROWS($AG$2:AG488),$AG$2:$AG$1001,0),1)&gt;=100000,INDEX($AN$1005:$BO$1005,1,MATCH(COLUMNS($AN$1006:AQ1006),$AN$1006:$BO$1006,0))&gt;=100000), " ",IF(INDEX($AN$2:$BO$1001,MATCH(ROWS($AG$2:AG488),$AG$2:$AG$1001,0),MATCH(COLUMNS($AN$1006:AQ1006),$AN$1006:$BO$1006,0)), HYPERLINK("#",""), HYPERLINK(CONCATENATE("#Metadata!", ADDRESS(INDEX($AI$2:$AI$1001,MATCH(ROWS($AG$2:AG488),$AG$2:$AG$1001,0),0), INDEX($AN$1004:$BO$1004,1,MATCH(COLUMNS($AN$1006:AQ1006),$AN$1006:$BO$1006,0)))),"Fix")))</f>
        <v>0</v>
      </c>
      <c r="F488" s="4">
        <f>IF(OR(INDEX($AH$2:$AH$1001,MATCH(ROWS($AG$2:AG488),$AG$2:$AG$1001,0),1)&gt;=100000,INDEX($AN$1005:$BO$1005,1,MATCH(COLUMNS($AN$1006:AR1006),$AN$1006:$BO$1006,0))&gt;=100000), " ",IF(INDEX($AN$2:$BO$1001,MATCH(ROWS($AG$2:AG488),$AG$2:$AG$1001,0),MATCH(COLUMNS($AN$1006:AR1006),$AN$1006:$BO$1006,0)), HYPERLINK("#",""), HYPERLINK(CONCATENATE("#Metadata!", ADDRESS(INDEX($AI$2:$AI$1001,MATCH(ROWS($AG$2:AG488),$AG$2:$AG$1001,0),0), INDEX($AN$1004:$BO$1004,1,MATCH(COLUMNS($AN$1006:AR1006),$AN$1006:$BO$1006,0)))),"Fix")))</f>
        <v>0</v>
      </c>
      <c r="G488" s="4">
        <f>IF(OR(INDEX($AH$2:$AH$1001,MATCH(ROWS($AG$2:AG488),$AG$2:$AG$1001,0),1)&gt;=100000,INDEX($AN$1005:$BO$1005,1,MATCH(COLUMNS($AN$1006:AS1006),$AN$1006:$BO$1006,0))&gt;=100000), " ",IF(INDEX($AN$2:$BO$1001,MATCH(ROWS($AG$2:AG488),$AG$2:$AG$1001,0),MATCH(COLUMNS($AN$1006:AS1006),$AN$1006:$BO$1006,0)), HYPERLINK("#",""), HYPERLINK(CONCATENATE("#Metadata!", ADDRESS(INDEX($AI$2:$AI$1001,MATCH(ROWS($AG$2:AG488),$AG$2:$AG$1001,0),0), INDEX($AN$1004:$BO$1004,1,MATCH(COLUMNS($AN$1006:AS1006),$AN$1006:$BO$1006,0)))),"Fix")))</f>
        <v>0</v>
      </c>
      <c r="H488" s="4">
        <f>IF(OR(INDEX($AH$2:$AH$1001,MATCH(ROWS($AG$2:AG488),$AG$2:$AG$1001,0),1)&gt;=100000,INDEX($AN$1005:$BO$1005,1,MATCH(COLUMNS($AN$1006:AT1006),$AN$1006:$BO$1006,0))&gt;=100000), " ",IF(INDEX($AN$2:$BO$1001,MATCH(ROWS($AG$2:AG488),$AG$2:$AG$1001,0),MATCH(COLUMNS($AN$1006:AT1006),$AN$1006:$BO$1006,0)), HYPERLINK("#",""), HYPERLINK(CONCATENATE("#Metadata!", ADDRESS(INDEX($AI$2:$AI$1001,MATCH(ROWS($AG$2:AG488),$AG$2:$AG$1001,0),0), INDEX($AN$1004:$BO$1004,1,MATCH(COLUMNS($AN$1006:AT1006),$AN$1006:$BO$1006,0)))),"Fix")))</f>
        <v>0</v>
      </c>
      <c r="I488" s="4">
        <f>IF(OR(INDEX($AH$2:$AH$1001,MATCH(ROWS($AG$2:AG488),$AG$2:$AG$1001,0),1)&gt;=100000,INDEX($AN$1005:$BO$1005,1,MATCH(COLUMNS($AN$1006:AU1006),$AN$1006:$BO$1006,0))&gt;=100000), " ",IF(INDEX($AN$2:$BO$1001,MATCH(ROWS($AG$2:AG488),$AG$2:$AG$1001,0),MATCH(COLUMNS($AN$1006:AU1006),$AN$1006:$BO$1006,0)), HYPERLINK("#",""), HYPERLINK(CONCATENATE("#Metadata!", ADDRESS(INDEX($AI$2:$AI$1001,MATCH(ROWS($AG$2:AG488),$AG$2:$AG$1001,0),0), INDEX($AN$1004:$BO$1004,1,MATCH(COLUMNS($AN$1006:AU1006),$AN$1006:$BO$1006,0)))),"Fix")))</f>
        <v>0</v>
      </c>
      <c r="J488" s="4">
        <f>IF(OR(INDEX($AH$2:$AH$1001,MATCH(ROWS($AG$2:AG488),$AG$2:$AG$1001,0),1)&gt;=100000,INDEX($AN$1005:$BO$1005,1,MATCH(COLUMNS($AN$1006:AV1006),$AN$1006:$BO$1006,0))&gt;=100000), " ",IF(INDEX($AN$2:$BO$1001,MATCH(ROWS($AG$2:AG488),$AG$2:$AG$1001,0),MATCH(COLUMNS($AN$1006:AV1006),$AN$1006:$BO$1006,0)), HYPERLINK("#",""), HYPERLINK(CONCATENATE("#Metadata!", ADDRESS(INDEX($AI$2:$AI$1001,MATCH(ROWS($AG$2:AG488),$AG$2:$AG$1001,0),0), INDEX($AN$1004:$BO$1004,1,MATCH(COLUMNS($AN$1006:AV1006),$AN$1006:$BO$1006,0)))),"Fix")))</f>
        <v>0</v>
      </c>
      <c r="K488" s="4">
        <f>IF(OR(INDEX($AH$2:$AH$1001,MATCH(ROWS($AG$2:AG488),$AG$2:$AG$1001,0),1)&gt;=100000,INDEX($AN$1005:$BO$1005,1,MATCH(COLUMNS($AN$1006:AW1006),$AN$1006:$BO$1006,0))&gt;=100000), " ",IF(INDEX($AN$2:$BO$1001,MATCH(ROWS($AG$2:AG488),$AG$2:$AG$1001,0),MATCH(COLUMNS($AN$1006:AW1006),$AN$1006:$BO$1006,0)), HYPERLINK("#",""), HYPERLINK(CONCATENATE("#Metadata!", ADDRESS(INDEX($AI$2:$AI$1001,MATCH(ROWS($AG$2:AG488),$AG$2:$AG$1001,0),0), INDEX($AN$1004:$BO$1004,1,MATCH(COLUMNS($AN$1006:AW1006),$AN$1006:$BO$1006,0)))),"Fix")))</f>
        <v>0</v>
      </c>
      <c r="L488" s="4">
        <f>IF(OR(INDEX($AH$2:$AH$1001,MATCH(ROWS($AG$2:AG488),$AG$2:$AG$1001,0),1)&gt;=100000,INDEX($AN$1005:$BO$1005,1,MATCH(COLUMNS($AN$1006:AX1006),$AN$1006:$BO$1006,0))&gt;=100000), " ",IF(INDEX($AN$2:$BO$1001,MATCH(ROWS($AG$2:AG488),$AG$2:$AG$1001,0),MATCH(COLUMNS($AN$1006:AX1006),$AN$1006:$BO$1006,0)), HYPERLINK("#",""), HYPERLINK(CONCATENATE("#Metadata!", ADDRESS(INDEX($AI$2:$AI$1001,MATCH(ROWS($AG$2:AG488),$AG$2:$AG$1001,0),0), INDEX($AN$1004:$BO$1004,1,MATCH(COLUMNS($AN$1006:AX1006),$AN$1006:$BO$1006,0)))),"Fix")))</f>
        <v>0</v>
      </c>
      <c r="M488" s="4">
        <f>IF(OR(INDEX($AH$2:$AH$1001,MATCH(ROWS($AG$2:AG488),$AG$2:$AG$1001,0),1)&gt;=100000,INDEX($AN$1005:$BO$1005,1,MATCH(COLUMNS($AN$1006:AY1006),$AN$1006:$BO$1006,0))&gt;=100000), " ",IF(INDEX($AN$2:$BO$1001,MATCH(ROWS($AG$2:AG488),$AG$2:$AG$1001,0),MATCH(COLUMNS($AN$1006:AY1006),$AN$1006:$BO$1006,0)), HYPERLINK("#",""), HYPERLINK(CONCATENATE("#Metadata!", ADDRESS(INDEX($AI$2:$AI$1001,MATCH(ROWS($AG$2:AG488),$AG$2:$AG$1001,0),0), INDEX($AN$1004:$BO$1004,1,MATCH(COLUMNS($AN$1006:AY1006),$AN$1006:$BO$1006,0)))),"Fix")))</f>
        <v>0</v>
      </c>
      <c r="N488" s="4">
        <f>IF(OR(INDEX($AH$2:$AH$1001,MATCH(ROWS($AG$2:AG488),$AG$2:$AG$1001,0),1)&gt;=100000,INDEX($AN$1005:$BO$1005,1,MATCH(COLUMNS($AN$1006:AZ1006),$AN$1006:$BO$1006,0))&gt;=100000), " ",IF(INDEX($AN$2:$BO$1001,MATCH(ROWS($AG$2:AG488),$AG$2:$AG$1001,0),MATCH(COLUMNS($AN$1006:AZ1006),$AN$1006:$BO$1006,0)), HYPERLINK("#",""), HYPERLINK(CONCATENATE("#Metadata!", ADDRESS(INDEX($AI$2:$AI$1001,MATCH(ROWS($AG$2:AG488),$AG$2:$AG$1001,0),0), INDEX($AN$1004:$BO$1004,1,MATCH(COLUMNS($AN$1006:AZ1006),$AN$1006:$BO$1006,0)))),"Fix")))</f>
        <v>0</v>
      </c>
      <c r="O488" s="4">
        <f>IF(OR(INDEX($AH$2:$AH$1001,MATCH(ROWS($AG$2:AG488),$AG$2:$AG$1001,0),1)&gt;=100000,INDEX($AN$1005:$BO$1005,1,MATCH(COLUMNS($AN$1006:BA1006),$AN$1006:$BO$1006,0))&gt;=100000), " ",IF(INDEX($AN$2:$BO$1001,MATCH(ROWS($AG$2:AG488),$AG$2:$AG$1001,0),MATCH(COLUMNS($AN$1006:BA1006),$AN$1006:$BO$1006,0)), HYPERLINK("#",""), HYPERLINK(CONCATENATE("#Metadata!", ADDRESS(INDEX($AI$2:$AI$1001,MATCH(ROWS($AG$2:AG488),$AG$2:$AG$1001,0),0), INDEX($AN$1004:$BO$1004,1,MATCH(COLUMNS($AN$1006:BA1006),$AN$1006:$BO$1006,0)))),"Fix")))</f>
        <v>0</v>
      </c>
      <c r="P488" s="4">
        <f>IF(OR(INDEX($AH$2:$AH$1001,MATCH(ROWS($AG$2:AG488),$AG$2:$AG$1001,0),1)&gt;=100000,INDEX($AN$1005:$BO$1005,1,MATCH(COLUMNS($AN$1006:BB1006),$AN$1006:$BO$1006,0))&gt;=100000), " ",IF(INDEX($AN$2:$BO$1001,MATCH(ROWS($AG$2:AG488),$AG$2:$AG$1001,0),MATCH(COLUMNS($AN$1006:BB1006),$AN$1006:$BO$1006,0)), HYPERLINK("#",""), HYPERLINK(CONCATENATE("#Metadata!", ADDRESS(INDEX($AI$2:$AI$1001,MATCH(ROWS($AG$2:AG488),$AG$2:$AG$1001,0),0), INDEX($AN$1004:$BO$1004,1,MATCH(COLUMNS($AN$1006:BB1006),$AN$1006:$BO$1006,0)))),"Fix")))</f>
        <v>0</v>
      </c>
      <c r="Q488" s="4">
        <f>IF(OR(INDEX($AH$2:$AH$1001,MATCH(ROWS($AG$2:AG488),$AG$2:$AG$1001,0),1)&gt;=100000,INDEX($AN$1005:$BO$1005,1,MATCH(COLUMNS($AN$1006:BC1006),$AN$1006:$BO$1006,0))&gt;=100000), " ",IF(INDEX($AN$2:$BO$1001,MATCH(ROWS($AG$2:AG488),$AG$2:$AG$1001,0),MATCH(COLUMNS($AN$1006:BC1006),$AN$1006:$BO$1006,0)), HYPERLINK("#",""), HYPERLINK(CONCATENATE("#Metadata!", ADDRESS(INDEX($AI$2:$AI$1001,MATCH(ROWS($AG$2:AG488),$AG$2:$AG$1001,0),0), INDEX($AN$1004:$BO$1004,1,MATCH(COLUMNS($AN$1006:BC1006),$AN$1006:$BO$1006,0)))),"Fix")))</f>
        <v>0</v>
      </c>
      <c r="R488" s="4">
        <f>IF(OR(INDEX($AH$2:$AH$1001,MATCH(ROWS($AG$2:AG488),$AG$2:$AG$1001,0),1)&gt;=100000,INDEX($AN$1005:$BO$1005,1,MATCH(COLUMNS($AN$1006:BD1006),$AN$1006:$BO$1006,0))&gt;=100000), " ",IF(INDEX($AN$2:$BO$1001,MATCH(ROWS($AG$2:AG488),$AG$2:$AG$1001,0),MATCH(COLUMNS($AN$1006:BD1006),$AN$1006:$BO$1006,0)), HYPERLINK("#",""), HYPERLINK(CONCATENATE("#Metadata!", ADDRESS(INDEX($AI$2:$AI$1001,MATCH(ROWS($AG$2:AG488),$AG$2:$AG$1001,0),0), INDEX($AN$1004:$BO$1004,1,MATCH(COLUMNS($AN$1006:BD1006),$AN$1006:$BO$1006,0)))),"Fix")))</f>
        <v>0</v>
      </c>
      <c r="S488" s="4">
        <f>IF(OR(INDEX($AH$2:$AH$1001,MATCH(ROWS($AG$2:AG488),$AG$2:$AG$1001,0),1)&gt;=100000,INDEX($AN$1005:$BO$1005,1,MATCH(COLUMNS($AN$1006:BE1006),$AN$1006:$BO$1006,0))&gt;=100000), " ",IF(INDEX($AN$2:$BO$1001,MATCH(ROWS($AG$2:AG488),$AG$2:$AG$1001,0),MATCH(COLUMNS($AN$1006:BE1006),$AN$1006:$BO$1006,0)), HYPERLINK("#",""), HYPERLINK(CONCATENATE("#Metadata!", ADDRESS(INDEX($AI$2:$AI$1001,MATCH(ROWS($AG$2:AG488),$AG$2:$AG$1001,0),0), INDEX($AN$1004:$BO$1004,1,MATCH(COLUMNS($AN$1006:BE1006),$AN$1006:$BO$1006,0)))),"Fix")))</f>
        <v>0</v>
      </c>
      <c r="T488" s="4">
        <f>IF(OR(INDEX($AH$2:$AH$1001,MATCH(ROWS($AG$2:AG488),$AG$2:$AG$1001,0),1)&gt;=100000,INDEX($AN$1005:$BO$1005,1,MATCH(COLUMNS($AN$1006:BF1006),$AN$1006:$BO$1006,0))&gt;=100000), " ",IF(INDEX($AN$2:$BO$1001,MATCH(ROWS($AG$2:AG488),$AG$2:$AG$1001,0),MATCH(COLUMNS($AN$1006:BF1006),$AN$1006:$BO$1006,0)), HYPERLINK("#",""), HYPERLINK(CONCATENATE("#Metadata!", ADDRESS(INDEX($AI$2:$AI$1001,MATCH(ROWS($AG$2:AG488),$AG$2:$AG$1001,0),0), INDEX($AN$1004:$BO$1004,1,MATCH(COLUMNS($AN$1006:BF1006),$AN$1006:$BO$1006,0)))),"Fix")))</f>
        <v>0</v>
      </c>
      <c r="U488" s="4">
        <f>IF(OR(INDEX($AH$2:$AH$1001,MATCH(ROWS($AG$2:AG488),$AG$2:$AG$1001,0),1)&gt;=100000,INDEX($AN$1005:$BO$1005,1,MATCH(COLUMNS($AN$1006:BG1006),$AN$1006:$BO$1006,0))&gt;=100000), " ",IF(INDEX($AN$2:$BO$1001,MATCH(ROWS($AG$2:AG488),$AG$2:$AG$1001,0),MATCH(COLUMNS($AN$1006:BG1006),$AN$1006:$BO$1006,0)), HYPERLINK("#",""), HYPERLINK(CONCATENATE("#Metadata!", ADDRESS(INDEX($AI$2:$AI$1001,MATCH(ROWS($AG$2:AG488),$AG$2:$AG$1001,0),0), INDEX($AN$1004:$BO$1004,1,MATCH(COLUMNS($AN$1006:BG1006),$AN$1006:$BO$1006,0)))),"Fix")))</f>
        <v>0</v>
      </c>
      <c r="V488" s="4">
        <f>IF(OR(INDEX($AH$2:$AH$1001,MATCH(ROWS($AG$2:AG488),$AG$2:$AG$1001,0),1)&gt;=100000,INDEX($AN$1005:$BO$1005,1,MATCH(COLUMNS($AN$1006:BH1006),$AN$1006:$BO$1006,0))&gt;=100000), " ",IF(INDEX($AN$2:$BO$1001,MATCH(ROWS($AG$2:AG488),$AG$2:$AG$1001,0),MATCH(COLUMNS($AN$1006:BH1006),$AN$1006:$BO$1006,0)), HYPERLINK("#",""), HYPERLINK(CONCATENATE("#Metadata!", ADDRESS(INDEX($AI$2:$AI$1001,MATCH(ROWS($AG$2:AG488),$AG$2:$AG$1001,0),0), INDEX($AN$1004:$BO$1004,1,MATCH(COLUMNS($AN$1006:BH1006),$AN$1006:$BO$1006,0)))),"Fix")))</f>
        <v>0</v>
      </c>
      <c r="W488" s="4">
        <f>IF(OR(INDEX($AH$2:$AH$1001,MATCH(ROWS($AG$2:AG488),$AG$2:$AG$1001,0),1)&gt;=100000,INDEX($AN$1005:$BO$1005,1,MATCH(COLUMNS($AN$1006:BI1006),$AN$1006:$BO$1006,0))&gt;=100000), " ",IF(INDEX($AN$2:$BO$1001,MATCH(ROWS($AG$2:AG488),$AG$2:$AG$1001,0),MATCH(COLUMNS($AN$1006:BI1006),$AN$1006:$BO$1006,0)), HYPERLINK("#",""), HYPERLINK(CONCATENATE("#Metadata!", ADDRESS(INDEX($AI$2:$AI$1001,MATCH(ROWS($AG$2:AG488),$AG$2:$AG$1001,0),0), INDEX($AN$1004:$BO$1004,1,MATCH(COLUMNS($AN$1006:BI1006),$AN$1006:$BO$1006,0)))),"Fix")))</f>
        <v>0</v>
      </c>
      <c r="X488" s="4">
        <f>IF(OR(INDEX($AH$2:$AH$1001,MATCH(ROWS($AG$2:AG488),$AG$2:$AG$1001,0),1)&gt;=100000,INDEX($AN$1005:$BO$1005,1,MATCH(COLUMNS($AN$1006:BJ1006),$AN$1006:$BO$1006,0))&gt;=100000), " ",IF(INDEX($AN$2:$BO$1001,MATCH(ROWS($AG$2:AG488),$AG$2:$AG$1001,0),MATCH(COLUMNS($AN$1006:BJ1006),$AN$1006:$BO$1006,0)), HYPERLINK("#",""), HYPERLINK(CONCATENATE("#Metadata!", ADDRESS(INDEX($AI$2:$AI$1001,MATCH(ROWS($AG$2:AG488),$AG$2:$AG$1001,0),0), INDEX($AN$1004:$BO$1004,1,MATCH(COLUMNS($AN$1006:BJ1006),$AN$1006:$BO$1006,0)))),"Fix")))</f>
        <v>0</v>
      </c>
      <c r="Y488" s="4">
        <f>IF(OR(INDEX($AH$2:$AH$1001,MATCH(ROWS($AG$2:AG488),$AG$2:$AG$1001,0),1)&gt;=100000,INDEX($AN$1005:$BO$1005,1,MATCH(COLUMNS($AN$1006:BK1006),$AN$1006:$BO$1006,0))&gt;=100000), " ",IF(INDEX($AN$2:$BO$1001,MATCH(ROWS($AG$2:AG488),$AG$2:$AG$1001,0),MATCH(COLUMNS($AN$1006:BK1006),$AN$1006:$BO$1006,0)), HYPERLINK("#",""), HYPERLINK(CONCATENATE("#Metadata!", ADDRESS(INDEX($AI$2:$AI$1001,MATCH(ROWS($AG$2:AG488),$AG$2:$AG$1001,0),0), INDEX($AN$1004:$BO$1004,1,MATCH(COLUMNS($AN$1006:BK1006),$AN$1006:$BO$1006,0)))),"Fix")))</f>
        <v>0</v>
      </c>
      <c r="Z488" s="4">
        <f>IF(OR(INDEX($AH$2:$AH$1001,MATCH(ROWS($AG$2:AG488),$AG$2:$AG$1001,0),1)&gt;=100000,INDEX($AN$1005:$BO$1005,1,MATCH(COLUMNS($AN$1006:BL1006),$AN$1006:$BO$1006,0))&gt;=100000), " ",IF(INDEX($AN$2:$BO$1001,MATCH(ROWS($AG$2:AG488),$AG$2:$AG$1001,0),MATCH(COLUMNS($AN$1006:BL1006),$AN$1006:$BO$1006,0)), HYPERLINK("#",""), HYPERLINK(CONCATENATE("#Metadata!", ADDRESS(INDEX($AI$2:$AI$1001,MATCH(ROWS($AG$2:AG488),$AG$2:$AG$1001,0),0), INDEX($AN$1004:$BO$1004,1,MATCH(COLUMNS($AN$1006:BL1006),$AN$1006:$BO$1006,0)))),"Fix")))</f>
        <v>0</v>
      </c>
      <c r="AA488" s="4">
        <f>IF(OR(INDEX($AH$2:$AH$1001,MATCH(ROWS($AG$2:AG488),$AG$2:$AG$1001,0),1)&gt;=100000,INDEX($AN$1005:$BO$1005,1,MATCH(COLUMNS($AN$1006:BM1006),$AN$1006:$BO$1006,0))&gt;=100000), " ",IF(INDEX($AN$2:$BO$1001,MATCH(ROWS($AG$2:AG488),$AG$2:$AG$1001,0),MATCH(COLUMNS($AN$1006:BM1006),$AN$1006:$BO$1006,0)), HYPERLINK("#",""), HYPERLINK(CONCATENATE("#Metadata!", ADDRESS(INDEX($AI$2:$AI$1001,MATCH(ROWS($AG$2:AG488),$AG$2:$AG$1001,0),0), INDEX($AN$1004:$BO$1004,1,MATCH(COLUMNS($AN$1006:BM1006),$AN$1006:$BO$1006,0)))),"Fix")))</f>
        <v>0</v>
      </c>
      <c r="AB488" s="4">
        <f>IF(OR(INDEX($AH$2:$AH$1001,MATCH(ROWS($AG$2:AG488),$AG$2:$AG$1001,0),1)&gt;=100000,INDEX($AN$1005:$BO$1005,1,MATCH(COLUMNS($AN$1006:BN1006),$AN$1006:$BO$1006,0))&gt;=100000), " ",IF(INDEX($AN$2:$BO$1001,MATCH(ROWS($AG$2:AG488),$AG$2:$AG$1001,0),MATCH(COLUMNS($AN$1006:BN1006),$AN$1006:$BO$1006,0)), HYPERLINK("#",""), HYPERLINK(CONCATENATE("#Metadata!", ADDRESS(INDEX($AI$2:$AI$1001,MATCH(ROWS($AG$2:AG488),$AG$2:$AG$1001,0),0), INDEX($AN$1004:$BO$1004,1,MATCH(COLUMNS($AN$1006:BN1006),$AN$1006:$BO$1006,0)))),"Fix")))</f>
        <v>0</v>
      </c>
      <c r="AC488" s="4">
        <f>IF(OR(INDEX($AH$2:$AH$1001,MATCH(ROWS($AG$2:AG488),$AG$2:$AG$1001,0),1)&gt;=100000,INDEX($AN$1005:$BO$1005,1,MATCH(COLUMNS($AN$1006:BO1006),$AN$1006:$BO$1006,0))&gt;=100000), " ",IF(INDEX($AN$2:$BO$1001,MATCH(ROWS($AG$2:AG488),$AG$2:$AG$1001,0),MATCH(COLUMNS($AN$1006:BO1006),$AN$1006:$BO$1006,0)), HYPERLINK("#",""), HYPERLINK(CONCATENATE("#Metadata!", ADDRESS(INDEX($AI$2:$AI$1001,MATCH(ROWS($AG$2:AG488),$AG$2:$AG$1001,0),0), INDEX($AN$1004:$BO$1004,1,MATCH(COLUMNS($AN$1006:BO1006),$AN$1006:$BO$1006,0)))),"Fix")))</f>
        <v>0</v>
      </c>
      <c r="AG488">
        <v>0</v>
      </c>
      <c r="AH488">
        <v>0</v>
      </c>
      <c r="AI488">
        <v>0</v>
      </c>
      <c r="AJ488">
        <f>IF(AK488,TRUE,AND(AN488:BO488))</f>
        <v>0</v>
      </c>
      <c r="AK488">
        <f>COUNTBLANK(Metadata!B488:AC488)=COLUMNS(Metadata!B488:AC488)</f>
        <v>0</v>
      </c>
      <c r="AL488">
        <v>0</v>
      </c>
      <c r="AN488">
        <f>AND(IF(Metadata!B488="",FALSE,TRUE),COUNTIF(Metadata!B:B, Metadata!B488) = 1,NOT(ISERROR(SUMPRODUCT(SEARCH(MID(Metadata!B488,ROW(INDIRECT("1:"&amp;LEN(Metadata!B488))), 1),"0123456789abcdefghijklmnopqrstuvwxyzABCDEFGHIJKLMNOPQRSTUVWXYZ.")))))</f>
        <v>0</v>
      </c>
      <c r="AO488">
        <f>IF(Metadata!C488="",FALSE,TRUE)</f>
        <v>0</v>
      </c>
      <c r="AP488">
        <f>IF(Metadata!D488="",FALSE,TRUE)</f>
        <v>0</v>
      </c>
      <c r="AQ488">
        <f>OR(AND(IF(Metadata!E488="",FALSE,TRUE),OR(exact(Metadata!E488,"not collected"),exact(Metadata!E488,"not provided"),exact(Metadata!E488,"restricted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R488">
        <f>IF(Metadata!F488="",FALSE,TRUE)</f>
        <v>0</v>
      </c>
      <c r="AS488">
        <f>OR(AND(IF(Metadata!G488="",FALSE,TRUE),OR(exact(Metadata!G488,"not collected"),exact(Metadata!G488,"not provided"))),AND(IF(Metadata!G488="",FALSE,TRUE),OR(exact(Metadata!G488,"TRUE"),exact(Metadata!G488,"FALSE"))))</f>
        <v>0</v>
      </c>
      <c r="AT488">
        <f>OR(AND(IF(Metadata!H488="",FALSE,TRUE),OR(exact(Metadata!H488,"not collected"),exact(Metadata!H488,"not provided"),exact(Metadata!H488,"restricted access"))),AND(IF(Metadata!H488="",FALSE,ISNUMBER(VALUE(Metadata!H488))),Metadata!H488&gt;=-413.0))</f>
        <v>0</v>
      </c>
      <c r="AU488">
        <f>AND(IF(Metadata!I488="",FALSE,TRUE),exact(Metadata!I488,"meters"))</f>
        <v>0</v>
      </c>
      <c r="AV488">
        <f>AND(IF(Metadata!J488="",FALSE,TRUE),OR(exact(Metadata!J488,"Host-associated"),exact(Metadata!J488,"Free-living")))</f>
        <v>0</v>
      </c>
      <c r="AW488">
        <f>AND(IF(Metadata!K488="",FALSE,TRUE),OR(exact(Metadata!K488,"Animal"),exact(Metadata!K488,"Fungus"),exact(Metadata!K488,"Plant"),exact(Metadata!K488,"Saline"),exact(Metadata!K488,"Non-saline")))</f>
        <v>0</v>
      </c>
      <c r="AX488">
        <f>AND(IF(Metadata!L488="",FALSE,TRUE),OR(exact(Metadata!L488,"Plant secretion"),exact(Metadata!L488,"Plant rhizosphere"),exact(Metadata!L488,"Plant surface"),exact(Metadata!L488,"Plant corpus"),exact(Metadata!L488,"Fungus surface"),exact(Metadata!L488,"Fungus corpus"),exact(Metadata!L488,"Animal surface"),exact(Metadata!L488,"Animal proximal gut"),exact(Metadata!L488,"Animal corpus"),exact(Metadata!L488,"Animal distal gut"),exact(Metadata!L488,"Animal secretion"),exact(Metadata!L488,"Sub-surface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Y488">
        <f>IF(Metadata!M488="",FALSE,TRUE)</f>
        <v>0</v>
      </c>
      <c r="AZ488">
        <f>IF(Metadata!N488="",FALSE,TRUE)</f>
        <v>0</v>
      </c>
      <c r="BA488">
        <f>IF(Metadata!O488="",FALSE,TRUE)</f>
        <v>0</v>
      </c>
      <c r="BB488">
        <f>OR(AND(IF(Metadata!P488="",FALSE,TRUE),OR(exact(Metadata!P488,"not collected"),exact(Metadata!P488,"not provided"),exact(Metadata!P488,"restricted access"))),AND(IF(Metadata!P488="",FALSE,TRUE),OR(exact(Metadata!P488,"air"),exact(Metadata!P488,"built environment"),exact(Metadata!P488,"host-associated"),exact(Metadata!P488,"human-associated"),exact(Metadata!P488,"human-skin"),exact(Metadata!P488,"human-oral"),exact(Metadata!P488,"human-gut"),exact(Metadata!P488,"human-vaginal"),exact(Metadata!P488,"microbial mat/biofilm"),exact(Metadata!P488,"misc environment"),exact(Metadata!P488,"plant-associated"),exact(Metadata!P488,"sediment"),exact(Metadata!P488,"soil"),exact(Metadata!P488,"wastewater/sludge"),exact(Metadata!P488,"water"))))</f>
        <v>0</v>
      </c>
      <c r="BC488">
        <f>IF(Metadata!Q488="",FALSE,TRUE)</f>
        <v>0</v>
      </c>
      <c r="BD488">
        <f>IF(Metadata!R488="",FALSE,TRUE)</f>
        <v>0</v>
      </c>
      <c r="BE488">
        <f>OR(AND(IF(Metadata!S488="",FALSE,TRUE),OR(exact(Metadata!S488,"not collected"),exact(Metadata!S488,"not provided"),exact(Metadata!S488,"restricted access"))),AND(IF(Metadata!S488="",FALSE,ISNUMBER(VALUE(Metadata!S488))),Metadata!S488&gt;=-90.00,Metadata!S488&lt;=90.00))</f>
        <v>0</v>
      </c>
      <c r="BF488">
        <f>AND(IF(Metadata!T488="",FALSE,TRUE),exact(Metadata!T488,"Decimal degrees"))</f>
        <v>0</v>
      </c>
      <c r="BG488">
        <f>OR(AND(IF(Metadata!U488="",FALSE,TRUE),OR(exact(Metadata!U488,"not collected"),exact(Metadata!U488,"not provided"),exact(Metadata!U488,"restricted access"))),AND(IF(Metadata!U488="",FALSE,ISNUMBER(VALUE(Metadata!U488))),Metadata!U488&gt;=-180.00,Metadata!U488&lt;=180.00))</f>
        <v>0</v>
      </c>
      <c r="BH488">
        <f>AND(IF(Metadata!V488="",FALSE,TRUE),exact(Metadata!V488,"Decimal degrees"))</f>
        <v>0</v>
      </c>
      <c r="BI488">
        <f>IF(Metadata!W488="",FALSE,TRUE)</f>
        <v>0</v>
      </c>
      <c r="BJ488">
        <f>OR(AND(IF(Metadata!X488="",FALSE,TRUE),OR(exact(Metadata!X488,"not collected"),exact(Metadata!X488,"not provided"),exact(Metadata!X488,"restricted access"))),AND(IF(Metadata!X488="",FALSE,TRUE),OR(exact(Metadata!X488,"TRUE"),exact(Metadata!X488,"FALSE"))))</f>
        <v>0</v>
      </c>
      <c r="BK488">
        <f>AND(IF(Metadata!Y488="",FALSE,TRUE),exact(Metadata!Y488,"other"))</f>
        <v>0</v>
      </c>
      <c r="BL488">
        <f>IF(Metadata!Z488="",FALSE,TRUE)</f>
        <v>0</v>
      </c>
      <c r="BM488">
        <f>OR(AND(IF(Metadata!AA488="",FALSE,TRUE),OR(exact(Metadata!AA488,"not collected"),exact(Metadata!AA488,"not provided"))),AND(IF(Metadata!AA488="",FALSE,IF(ISERROR(INT(Metadata!AA488)),FALSE,INT(Metadata!AA488)=Metadata!AA488)),Metadata!AA488&gt;0))</f>
        <v>0</v>
      </c>
      <c r="BN488">
        <f>AND(IF(Metadata!AB488="",FALSE,TRUE),exact(Metadata!AB488,"Not applicable"))</f>
        <v>0</v>
      </c>
      <c r="BO488">
        <f>IF(Metadata!AC488="",FALSE,TRUE)</f>
        <v>0</v>
      </c>
    </row>
    <row r="489" spans="1:67">
      <c r="A489" s="5">
        <f>IF(B489=" "," ",HYPERLINK(CONCATENATE("#metadata!",ADDRESS(INDEX($AI$2:$AI$1001,MATCH(ROWS($AG$2:AG489),$AG$2:$AG$1001,0),0),1)),INDEX($AL$2:$AL$1001,MATCH(ROWS($AG$2:AG489),$AG$2:$AG$1001,0),0)))</f>
        <v>0</v>
      </c>
      <c r="B489" s="4">
        <f>IF(OR(INDEX($AH$2:$AH$1001,MATCH(ROWS($AG$2:AG489),$AG$2:$AG$1001,0),1)&gt;=100000,INDEX($AN$1005:$BO$1005,1,MATCH(COLUMNS($AN$1006:AN1006),$AN$1006:$BO$1006,0))&gt;=100000), " ",IF(INDEX($AN$2:$BO$1001,MATCH(ROWS($AG$2:AG489),$AG$2:$AG$1001,0),MATCH(COLUMNS($AN$1006:AN1006),$AN$1006:$BO$1006,0)), HYPERLINK("#",""), HYPERLINK(CONCATENATE("#Metadata!", ADDRESS(INDEX($AI$2:$AI$1001,MATCH(ROWS($AG$2:AG489),$AG$2:$AG$1001,0),0), INDEX($AN$1004:$BO$1004,1,MATCH(COLUMNS($AN$1006:AN1006),$AN$1006:$BO$1006,0)))),"Fix")))</f>
        <v>0</v>
      </c>
      <c r="C489" s="4">
        <f>IF(OR(INDEX($AH$2:$AH$1001,MATCH(ROWS($AG$2:AG489),$AG$2:$AG$1001,0),1)&gt;=100000,INDEX($AN$1005:$BO$1005,1,MATCH(COLUMNS($AN$1006:AO1006),$AN$1006:$BO$1006,0))&gt;=100000), " ",IF(INDEX($AN$2:$BO$1001,MATCH(ROWS($AG$2:AG489),$AG$2:$AG$1001,0),MATCH(COLUMNS($AN$1006:AO1006),$AN$1006:$BO$1006,0)), HYPERLINK("#",""), HYPERLINK(CONCATENATE("#Metadata!", ADDRESS(INDEX($AI$2:$AI$1001,MATCH(ROWS($AG$2:AG489),$AG$2:$AG$1001,0),0), INDEX($AN$1004:$BO$1004,1,MATCH(COLUMNS($AN$1006:AO1006),$AN$1006:$BO$1006,0)))),"Fix")))</f>
        <v>0</v>
      </c>
      <c r="D489" s="4">
        <f>IF(OR(INDEX($AH$2:$AH$1001,MATCH(ROWS($AG$2:AG489),$AG$2:$AG$1001,0),1)&gt;=100000,INDEX($AN$1005:$BO$1005,1,MATCH(COLUMNS($AN$1006:AP1006),$AN$1006:$BO$1006,0))&gt;=100000), " ",IF(INDEX($AN$2:$BO$1001,MATCH(ROWS($AG$2:AG489),$AG$2:$AG$1001,0),MATCH(COLUMNS($AN$1006:AP1006),$AN$1006:$BO$1006,0)), HYPERLINK("#",""), HYPERLINK(CONCATENATE("#Metadata!", ADDRESS(INDEX($AI$2:$AI$1001,MATCH(ROWS($AG$2:AG489),$AG$2:$AG$1001,0),0), INDEX($AN$1004:$BO$1004,1,MATCH(COLUMNS($AN$1006:AP1006),$AN$1006:$BO$1006,0)))),"Fix")))</f>
        <v>0</v>
      </c>
      <c r="E489" s="4">
        <f>IF(OR(INDEX($AH$2:$AH$1001,MATCH(ROWS($AG$2:AG489),$AG$2:$AG$1001,0),1)&gt;=100000,INDEX($AN$1005:$BO$1005,1,MATCH(COLUMNS($AN$1006:AQ1006),$AN$1006:$BO$1006,0))&gt;=100000), " ",IF(INDEX($AN$2:$BO$1001,MATCH(ROWS($AG$2:AG489),$AG$2:$AG$1001,0),MATCH(COLUMNS($AN$1006:AQ1006),$AN$1006:$BO$1006,0)), HYPERLINK("#",""), HYPERLINK(CONCATENATE("#Metadata!", ADDRESS(INDEX($AI$2:$AI$1001,MATCH(ROWS($AG$2:AG489),$AG$2:$AG$1001,0),0), INDEX($AN$1004:$BO$1004,1,MATCH(COLUMNS($AN$1006:AQ1006),$AN$1006:$BO$1006,0)))),"Fix")))</f>
        <v>0</v>
      </c>
      <c r="F489" s="4">
        <f>IF(OR(INDEX($AH$2:$AH$1001,MATCH(ROWS($AG$2:AG489),$AG$2:$AG$1001,0),1)&gt;=100000,INDEX($AN$1005:$BO$1005,1,MATCH(COLUMNS($AN$1006:AR1006),$AN$1006:$BO$1006,0))&gt;=100000), " ",IF(INDEX($AN$2:$BO$1001,MATCH(ROWS($AG$2:AG489),$AG$2:$AG$1001,0),MATCH(COLUMNS($AN$1006:AR1006),$AN$1006:$BO$1006,0)), HYPERLINK("#",""), HYPERLINK(CONCATENATE("#Metadata!", ADDRESS(INDEX($AI$2:$AI$1001,MATCH(ROWS($AG$2:AG489),$AG$2:$AG$1001,0),0), INDEX($AN$1004:$BO$1004,1,MATCH(COLUMNS($AN$1006:AR1006),$AN$1006:$BO$1006,0)))),"Fix")))</f>
        <v>0</v>
      </c>
      <c r="G489" s="4">
        <f>IF(OR(INDEX($AH$2:$AH$1001,MATCH(ROWS($AG$2:AG489),$AG$2:$AG$1001,0),1)&gt;=100000,INDEX($AN$1005:$BO$1005,1,MATCH(COLUMNS($AN$1006:AS1006),$AN$1006:$BO$1006,0))&gt;=100000), " ",IF(INDEX($AN$2:$BO$1001,MATCH(ROWS($AG$2:AG489),$AG$2:$AG$1001,0),MATCH(COLUMNS($AN$1006:AS1006),$AN$1006:$BO$1006,0)), HYPERLINK("#",""), HYPERLINK(CONCATENATE("#Metadata!", ADDRESS(INDEX($AI$2:$AI$1001,MATCH(ROWS($AG$2:AG489),$AG$2:$AG$1001,0),0), INDEX($AN$1004:$BO$1004,1,MATCH(COLUMNS($AN$1006:AS1006),$AN$1006:$BO$1006,0)))),"Fix")))</f>
        <v>0</v>
      </c>
      <c r="H489" s="4">
        <f>IF(OR(INDEX($AH$2:$AH$1001,MATCH(ROWS($AG$2:AG489),$AG$2:$AG$1001,0),1)&gt;=100000,INDEX($AN$1005:$BO$1005,1,MATCH(COLUMNS($AN$1006:AT1006),$AN$1006:$BO$1006,0))&gt;=100000), " ",IF(INDEX($AN$2:$BO$1001,MATCH(ROWS($AG$2:AG489),$AG$2:$AG$1001,0),MATCH(COLUMNS($AN$1006:AT1006),$AN$1006:$BO$1006,0)), HYPERLINK("#",""), HYPERLINK(CONCATENATE("#Metadata!", ADDRESS(INDEX($AI$2:$AI$1001,MATCH(ROWS($AG$2:AG489),$AG$2:$AG$1001,0),0), INDEX($AN$1004:$BO$1004,1,MATCH(COLUMNS($AN$1006:AT1006),$AN$1006:$BO$1006,0)))),"Fix")))</f>
        <v>0</v>
      </c>
      <c r="I489" s="4">
        <f>IF(OR(INDEX($AH$2:$AH$1001,MATCH(ROWS($AG$2:AG489),$AG$2:$AG$1001,0),1)&gt;=100000,INDEX($AN$1005:$BO$1005,1,MATCH(COLUMNS($AN$1006:AU1006),$AN$1006:$BO$1006,0))&gt;=100000), " ",IF(INDEX($AN$2:$BO$1001,MATCH(ROWS($AG$2:AG489),$AG$2:$AG$1001,0),MATCH(COLUMNS($AN$1006:AU1006),$AN$1006:$BO$1006,0)), HYPERLINK("#",""), HYPERLINK(CONCATENATE("#Metadata!", ADDRESS(INDEX($AI$2:$AI$1001,MATCH(ROWS($AG$2:AG489),$AG$2:$AG$1001,0),0), INDEX($AN$1004:$BO$1004,1,MATCH(COLUMNS($AN$1006:AU1006),$AN$1006:$BO$1006,0)))),"Fix")))</f>
        <v>0</v>
      </c>
      <c r="J489" s="4">
        <f>IF(OR(INDEX($AH$2:$AH$1001,MATCH(ROWS($AG$2:AG489),$AG$2:$AG$1001,0),1)&gt;=100000,INDEX($AN$1005:$BO$1005,1,MATCH(COLUMNS($AN$1006:AV1006),$AN$1006:$BO$1006,0))&gt;=100000), " ",IF(INDEX($AN$2:$BO$1001,MATCH(ROWS($AG$2:AG489),$AG$2:$AG$1001,0),MATCH(COLUMNS($AN$1006:AV1006),$AN$1006:$BO$1006,0)), HYPERLINK("#",""), HYPERLINK(CONCATENATE("#Metadata!", ADDRESS(INDEX($AI$2:$AI$1001,MATCH(ROWS($AG$2:AG489),$AG$2:$AG$1001,0),0), INDEX($AN$1004:$BO$1004,1,MATCH(COLUMNS($AN$1006:AV1006),$AN$1006:$BO$1006,0)))),"Fix")))</f>
        <v>0</v>
      </c>
      <c r="K489" s="4">
        <f>IF(OR(INDEX($AH$2:$AH$1001,MATCH(ROWS($AG$2:AG489),$AG$2:$AG$1001,0),1)&gt;=100000,INDEX($AN$1005:$BO$1005,1,MATCH(COLUMNS($AN$1006:AW1006),$AN$1006:$BO$1006,0))&gt;=100000), " ",IF(INDEX($AN$2:$BO$1001,MATCH(ROWS($AG$2:AG489),$AG$2:$AG$1001,0),MATCH(COLUMNS($AN$1006:AW1006),$AN$1006:$BO$1006,0)), HYPERLINK("#",""), HYPERLINK(CONCATENATE("#Metadata!", ADDRESS(INDEX($AI$2:$AI$1001,MATCH(ROWS($AG$2:AG489),$AG$2:$AG$1001,0),0), INDEX($AN$1004:$BO$1004,1,MATCH(COLUMNS($AN$1006:AW1006),$AN$1006:$BO$1006,0)))),"Fix")))</f>
        <v>0</v>
      </c>
      <c r="L489" s="4">
        <f>IF(OR(INDEX($AH$2:$AH$1001,MATCH(ROWS($AG$2:AG489),$AG$2:$AG$1001,0),1)&gt;=100000,INDEX($AN$1005:$BO$1005,1,MATCH(COLUMNS($AN$1006:AX1006),$AN$1006:$BO$1006,0))&gt;=100000), " ",IF(INDEX($AN$2:$BO$1001,MATCH(ROWS($AG$2:AG489),$AG$2:$AG$1001,0),MATCH(COLUMNS($AN$1006:AX1006),$AN$1006:$BO$1006,0)), HYPERLINK("#",""), HYPERLINK(CONCATENATE("#Metadata!", ADDRESS(INDEX($AI$2:$AI$1001,MATCH(ROWS($AG$2:AG489),$AG$2:$AG$1001,0),0), INDEX($AN$1004:$BO$1004,1,MATCH(COLUMNS($AN$1006:AX1006),$AN$1006:$BO$1006,0)))),"Fix")))</f>
        <v>0</v>
      </c>
      <c r="M489" s="4">
        <f>IF(OR(INDEX($AH$2:$AH$1001,MATCH(ROWS($AG$2:AG489),$AG$2:$AG$1001,0),1)&gt;=100000,INDEX($AN$1005:$BO$1005,1,MATCH(COLUMNS($AN$1006:AY1006),$AN$1006:$BO$1006,0))&gt;=100000), " ",IF(INDEX($AN$2:$BO$1001,MATCH(ROWS($AG$2:AG489),$AG$2:$AG$1001,0),MATCH(COLUMNS($AN$1006:AY1006),$AN$1006:$BO$1006,0)), HYPERLINK("#",""), HYPERLINK(CONCATENATE("#Metadata!", ADDRESS(INDEX($AI$2:$AI$1001,MATCH(ROWS($AG$2:AG489),$AG$2:$AG$1001,0),0), INDEX($AN$1004:$BO$1004,1,MATCH(COLUMNS($AN$1006:AY1006),$AN$1006:$BO$1006,0)))),"Fix")))</f>
        <v>0</v>
      </c>
      <c r="N489" s="4">
        <f>IF(OR(INDEX($AH$2:$AH$1001,MATCH(ROWS($AG$2:AG489),$AG$2:$AG$1001,0),1)&gt;=100000,INDEX($AN$1005:$BO$1005,1,MATCH(COLUMNS($AN$1006:AZ1006),$AN$1006:$BO$1006,0))&gt;=100000), " ",IF(INDEX($AN$2:$BO$1001,MATCH(ROWS($AG$2:AG489),$AG$2:$AG$1001,0),MATCH(COLUMNS($AN$1006:AZ1006),$AN$1006:$BO$1006,0)), HYPERLINK("#",""), HYPERLINK(CONCATENATE("#Metadata!", ADDRESS(INDEX($AI$2:$AI$1001,MATCH(ROWS($AG$2:AG489),$AG$2:$AG$1001,0),0), INDEX($AN$1004:$BO$1004,1,MATCH(COLUMNS($AN$1006:AZ1006),$AN$1006:$BO$1006,0)))),"Fix")))</f>
        <v>0</v>
      </c>
      <c r="O489" s="4">
        <f>IF(OR(INDEX($AH$2:$AH$1001,MATCH(ROWS($AG$2:AG489),$AG$2:$AG$1001,0),1)&gt;=100000,INDEX($AN$1005:$BO$1005,1,MATCH(COLUMNS($AN$1006:BA1006),$AN$1006:$BO$1006,0))&gt;=100000), " ",IF(INDEX($AN$2:$BO$1001,MATCH(ROWS($AG$2:AG489),$AG$2:$AG$1001,0),MATCH(COLUMNS($AN$1006:BA1006),$AN$1006:$BO$1006,0)), HYPERLINK("#",""), HYPERLINK(CONCATENATE("#Metadata!", ADDRESS(INDEX($AI$2:$AI$1001,MATCH(ROWS($AG$2:AG489),$AG$2:$AG$1001,0),0), INDEX($AN$1004:$BO$1004,1,MATCH(COLUMNS($AN$1006:BA1006),$AN$1006:$BO$1006,0)))),"Fix")))</f>
        <v>0</v>
      </c>
      <c r="P489" s="4">
        <f>IF(OR(INDEX($AH$2:$AH$1001,MATCH(ROWS($AG$2:AG489),$AG$2:$AG$1001,0),1)&gt;=100000,INDEX($AN$1005:$BO$1005,1,MATCH(COLUMNS($AN$1006:BB1006),$AN$1006:$BO$1006,0))&gt;=100000), " ",IF(INDEX($AN$2:$BO$1001,MATCH(ROWS($AG$2:AG489),$AG$2:$AG$1001,0),MATCH(COLUMNS($AN$1006:BB1006),$AN$1006:$BO$1006,0)), HYPERLINK("#",""), HYPERLINK(CONCATENATE("#Metadata!", ADDRESS(INDEX($AI$2:$AI$1001,MATCH(ROWS($AG$2:AG489),$AG$2:$AG$1001,0),0), INDEX($AN$1004:$BO$1004,1,MATCH(COLUMNS($AN$1006:BB1006),$AN$1006:$BO$1006,0)))),"Fix")))</f>
        <v>0</v>
      </c>
      <c r="Q489" s="4">
        <f>IF(OR(INDEX($AH$2:$AH$1001,MATCH(ROWS($AG$2:AG489),$AG$2:$AG$1001,0),1)&gt;=100000,INDEX($AN$1005:$BO$1005,1,MATCH(COLUMNS($AN$1006:BC1006),$AN$1006:$BO$1006,0))&gt;=100000), " ",IF(INDEX($AN$2:$BO$1001,MATCH(ROWS($AG$2:AG489),$AG$2:$AG$1001,0),MATCH(COLUMNS($AN$1006:BC1006),$AN$1006:$BO$1006,0)), HYPERLINK("#",""), HYPERLINK(CONCATENATE("#Metadata!", ADDRESS(INDEX($AI$2:$AI$1001,MATCH(ROWS($AG$2:AG489),$AG$2:$AG$1001,0),0), INDEX($AN$1004:$BO$1004,1,MATCH(COLUMNS($AN$1006:BC1006),$AN$1006:$BO$1006,0)))),"Fix")))</f>
        <v>0</v>
      </c>
      <c r="R489" s="4">
        <f>IF(OR(INDEX($AH$2:$AH$1001,MATCH(ROWS($AG$2:AG489),$AG$2:$AG$1001,0),1)&gt;=100000,INDEX($AN$1005:$BO$1005,1,MATCH(COLUMNS($AN$1006:BD1006),$AN$1006:$BO$1006,0))&gt;=100000), " ",IF(INDEX($AN$2:$BO$1001,MATCH(ROWS($AG$2:AG489),$AG$2:$AG$1001,0),MATCH(COLUMNS($AN$1006:BD1006),$AN$1006:$BO$1006,0)), HYPERLINK("#",""), HYPERLINK(CONCATENATE("#Metadata!", ADDRESS(INDEX($AI$2:$AI$1001,MATCH(ROWS($AG$2:AG489),$AG$2:$AG$1001,0),0), INDEX($AN$1004:$BO$1004,1,MATCH(COLUMNS($AN$1006:BD1006),$AN$1006:$BO$1006,0)))),"Fix")))</f>
        <v>0</v>
      </c>
      <c r="S489" s="4">
        <f>IF(OR(INDEX($AH$2:$AH$1001,MATCH(ROWS($AG$2:AG489),$AG$2:$AG$1001,0),1)&gt;=100000,INDEX($AN$1005:$BO$1005,1,MATCH(COLUMNS($AN$1006:BE1006),$AN$1006:$BO$1006,0))&gt;=100000), " ",IF(INDEX($AN$2:$BO$1001,MATCH(ROWS($AG$2:AG489),$AG$2:$AG$1001,0),MATCH(COLUMNS($AN$1006:BE1006),$AN$1006:$BO$1006,0)), HYPERLINK("#",""), HYPERLINK(CONCATENATE("#Metadata!", ADDRESS(INDEX($AI$2:$AI$1001,MATCH(ROWS($AG$2:AG489),$AG$2:$AG$1001,0),0), INDEX($AN$1004:$BO$1004,1,MATCH(COLUMNS($AN$1006:BE1006),$AN$1006:$BO$1006,0)))),"Fix")))</f>
        <v>0</v>
      </c>
      <c r="T489" s="4">
        <f>IF(OR(INDEX($AH$2:$AH$1001,MATCH(ROWS($AG$2:AG489),$AG$2:$AG$1001,0),1)&gt;=100000,INDEX($AN$1005:$BO$1005,1,MATCH(COLUMNS($AN$1006:BF1006),$AN$1006:$BO$1006,0))&gt;=100000), " ",IF(INDEX($AN$2:$BO$1001,MATCH(ROWS($AG$2:AG489),$AG$2:$AG$1001,0),MATCH(COLUMNS($AN$1006:BF1006),$AN$1006:$BO$1006,0)), HYPERLINK("#",""), HYPERLINK(CONCATENATE("#Metadata!", ADDRESS(INDEX($AI$2:$AI$1001,MATCH(ROWS($AG$2:AG489),$AG$2:$AG$1001,0),0), INDEX($AN$1004:$BO$1004,1,MATCH(COLUMNS($AN$1006:BF1006),$AN$1006:$BO$1006,0)))),"Fix")))</f>
        <v>0</v>
      </c>
      <c r="U489" s="4">
        <f>IF(OR(INDEX($AH$2:$AH$1001,MATCH(ROWS($AG$2:AG489),$AG$2:$AG$1001,0),1)&gt;=100000,INDEX($AN$1005:$BO$1005,1,MATCH(COLUMNS($AN$1006:BG1006),$AN$1006:$BO$1006,0))&gt;=100000), " ",IF(INDEX($AN$2:$BO$1001,MATCH(ROWS($AG$2:AG489),$AG$2:$AG$1001,0),MATCH(COLUMNS($AN$1006:BG1006),$AN$1006:$BO$1006,0)), HYPERLINK("#",""), HYPERLINK(CONCATENATE("#Metadata!", ADDRESS(INDEX($AI$2:$AI$1001,MATCH(ROWS($AG$2:AG489),$AG$2:$AG$1001,0),0), INDEX($AN$1004:$BO$1004,1,MATCH(COLUMNS($AN$1006:BG1006),$AN$1006:$BO$1006,0)))),"Fix")))</f>
        <v>0</v>
      </c>
      <c r="V489" s="4">
        <f>IF(OR(INDEX($AH$2:$AH$1001,MATCH(ROWS($AG$2:AG489),$AG$2:$AG$1001,0),1)&gt;=100000,INDEX($AN$1005:$BO$1005,1,MATCH(COLUMNS($AN$1006:BH1006),$AN$1006:$BO$1006,0))&gt;=100000), " ",IF(INDEX($AN$2:$BO$1001,MATCH(ROWS($AG$2:AG489),$AG$2:$AG$1001,0),MATCH(COLUMNS($AN$1006:BH1006),$AN$1006:$BO$1006,0)), HYPERLINK("#",""), HYPERLINK(CONCATENATE("#Metadata!", ADDRESS(INDEX($AI$2:$AI$1001,MATCH(ROWS($AG$2:AG489),$AG$2:$AG$1001,0),0), INDEX($AN$1004:$BO$1004,1,MATCH(COLUMNS($AN$1006:BH1006),$AN$1006:$BO$1006,0)))),"Fix")))</f>
        <v>0</v>
      </c>
      <c r="W489" s="4">
        <f>IF(OR(INDEX($AH$2:$AH$1001,MATCH(ROWS($AG$2:AG489),$AG$2:$AG$1001,0),1)&gt;=100000,INDEX($AN$1005:$BO$1005,1,MATCH(COLUMNS($AN$1006:BI1006),$AN$1006:$BO$1006,0))&gt;=100000), " ",IF(INDEX($AN$2:$BO$1001,MATCH(ROWS($AG$2:AG489),$AG$2:$AG$1001,0),MATCH(COLUMNS($AN$1006:BI1006),$AN$1006:$BO$1006,0)), HYPERLINK("#",""), HYPERLINK(CONCATENATE("#Metadata!", ADDRESS(INDEX($AI$2:$AI$1001,MATCH(ROWS($AG$2:AG489),$AG$2:$AG$1001,0),0), INDEX($AN$1004:$BO$1004,1,MATCH(COLUMNS($AN$1006:BI1006),$AN$1006:$BO$1006,0)))),"Fix")))</f>
        <v>0</v>
      </c>
      <c r="X489" s="4">
        <f>IF(OR(INDEX($AH$2:$AH$1001,MATCH(ROWS($AG$2:AG489),$AG$2:$AG$1001,0),1)&gt;=100000,INDEX($AN$1005:$BO$1005,1,MATCH(COLUMNS($AN$1006:BJ1006),$AN$1006:$BO$1006,0))&gt;=100000), " ",IF(INDEX($AN$2:$BO$1001,MATCH(ROWS($AG$2:AG489),$AG$2:$AG$1001,0),MATCH(COLUMNS($AN$1006:BJ1006),$AN$1006:$BO$1006,0)), HYPERLINK("#",""), HYPERLINK(CONCATENATE("#Metadata!", ADDRESS(INDEX($AI$2:$AI$1001,MATCH(ROWS($AG$2:AG489),$AG$2:$AG$1001,0),0), INDEX($AN$1004:$BO$1004,1,MATCH(COLUMNS($AN$1006:BJ1006),$AN$1006:$BO$1006,0)))),"Fix")))</f>
        <v>0</v>
      </c>
      <c r="Y489" s="4">
        <f>IF(OR(INDEX($AH$2:$AH$1001,MATCH(ROWS($AG$2:AG489),$AG$2:$AG$1001,0),1)&gt;=100000,INDEX($AN$1005:$BO$1005,1,MATCH(COLUMNS($AN$1006:BK1006),$AN$1006:$BO$1006,0))&gt;=100000), " ",IF(INDEX($AN$2:$BO$1001,MATCH(ROWS($AG$2:AG489),$AG$2:$AG$1001,0),MATCH(COLUMNS($AN$1006:BK1006),$AN$1006:$BO$1006,0)), HYPERLINK("#",""), HYPERLINK(CONCATENATE("#Metadata!", ADDRESS(INDEX($AI$2:$AI$1001,MATCH(ROWS($AG$2:AG489),$AG$2:$AG$1001,0),0), INDEX($AN$1004:$BO$1004,1,MATCH(COLUMNS($AN$1006:BK1006),$AN$1006:$BO$1006,0)))),"Fix")))</f>
        <v>0</v>
      </c>
      <c r="Z489" s="4">
        <f>IF(OR(INDEX($AH$2:$AH$1001,MATCH(ROWS($AG$2:AG489),$AG$2:$AG$1001,0),1)&gt;=100000,INDEX($AN$1005:$BO$1005,1,MATCH(COLUMNS($AN$1006:BL1006),$AN$1006:$BO$1006,0))&gt;=100000), " ",IF(INDEX($AN$2:$BO$1001,MATCH(ROWS($AG$2:AG489),$AG$2:$AG$1001,0),MATCH(COLUMNS($AN$1006:BL1006),$AN$1006:$BO$1006,0)), HYPERLINK("#",""), HYPERLINK(CONCATENATE("#Metadata!", ADDRESS(INDEX($AI$2:$AI$1001,MATCH(ROWS($AG$2:AG489),$AG$2:$AG$1001,0),0), INDEX($AN$1004:$BO$1004,1,MATCH(COLUMNS($AN$1006:BL1006),$AN$1006:$BO$1006,0)))),"Fix")))</f>
        <v>0</v>
      </c>
      <c r="AA489" s="4">
        <f>IF(OR(INDEX($AH$2:$AH$1001,MATCH(ROWS($AG$2:AG489),$AG$2:$AG$1001,0),1)&gt;=100000,INDEX($AN$1005:$BO$1005,1,MATCH(COLUMNS($AN$1006:BM1006),$AN$1006:$BO$1006,0))&gt;=100000), " ",IF(INDEX($AN$2:$BO$1001,MATCH(ROWS($AG$2:AG489),$AG$2:$AG$1001,0),MATCH(COLUMNS($AN$1006:BM1006),$AN$1006:$BO$1006,0)), HYPERLINK("#",""), HYPERLINK(CONCATENATE("#Metadata!", ADDRESS(INDEX($AI$2:$AI$1001,MATCH(ROWS($AG$2:AG489),$AG$2:$AG$1001,0),0), INDEX($AN$1004:$BO$1004,1,MATCH(COLUMNS($AN$1006:BM1006),$AN$1006:$BO$1006,0)))),"Fix")))</f>
        <v>0</v>
      </c>
      <c r="AB489" s="4">
        <f>IF(OR(INDEX($AH$2:$AH$1001,MATCH(ROWS($AG$2:AG489),$AG$2:$AG$1001,0),1)&gt;=100000,INDEX($AN$1005:$BO$1005,1,MATCH(COLUMNS($AN$1006:BN1006),$AN$1006:$BO$1006,0))&gt;=100000), " ",IF(INDEX($AN$2:$BO$1001,MATCH(ROWS($AG$2:AG489),$AG$2:$AG$1001,0),MATCH(COLUMNS($AN$1006:BN1006),$AN$1006:$BO$1006,0)), HYPERLINK("#",""), HYPERLINK(CONCATENATE("#Metadata!", ADDRESS(INDEX($AI$2:$AI$1001,MATCH(ROWS($AG$2:AG489),$AG$2:$AG$1001,0),0), INDEX($AN$1004:$BO$1004,1,MATCH(COLUMNS($AN$1006:BN1006),$AN$1006:$BO$1006,0)))),"Fix")))</f>
        <v>0</v>
      </c>
      <c r="AC489" s="4">
        <f>IF(OR(INDEX($AH$2:$AH$1001,MATCH(ROWS($AG$2:AG489),$AG$2:$AG$1001,0),1)&gt;=100000,INDEX($AN$1005:$BO$1005,1,MATCH(COLUMNS($AN$1006:BO1006),$AN$1006:$BO$1006,0))&gt;=100000), " ",IF(INDEX($AN$2:$BO$1001,MATCH(ROWS($AG$2:AG489),$AG$2:$AG$1001,0),MATCH(COLUMNS($AN$1006:BO1006),$AN$1006:$BO$1006,0)), HYPERLINK("#",""), HYPERLINK(CONCATENATE("#Metadata!", ADDRESS(INDEX($AI$2:$AI$1001,MATCH(ROWS($AG$2:AG489),$AG$2:$AG$1001,0),0), INDEX($AN$1004:$BO$1004,1,MATCH(COLUMNS($AN$1006:BO1006),$AN$1006:$BO$1006,0)))),"Fix")))</f>
        <v>0</v>
      </c>
      <c r="AG489">
        <v>0</v>
      </c>
      <c r="AH489">
        <v>0</v>
      </c>
      <c r="AI489">
        <v>0</v>
      </c>
      <c r="AJ489">
        <f>IF(AK489,TRUE,AND(AN489:BO489))</f>
        <v>0</v>
      </c>
      <c r="AK489">
        <f>COUNTBLANK(Metadata!B489:AC489)=COLUMNS(Metadata!B489:AC489)</f>
        <v>0</v>
      </c>
      <c r="AL489">
        <v>0</v>
      </c>
      <c r="AN489">
        <f>AND(IF(Metadata!B489="",FALSE,TRUE),COUNTIF(Metadata!B:B, Metadata!B489) = 1,NOT(ISERROR(SUMPRODUCT(SEARCH(MID(Metadata!B489,ROW(INDIRECT("1:"&amp;LEN(Metadata!B489))), 1),"0123456789abcdefghijklmnopqrstuvwxyzABCDEFGHIJKLMNOPQRSTUVWXYZ.")))))</f>
        <v>0</v>
      </c>
      <c r="AO489">
        <f>IF(Metadata!C489="",FALSE,TRUE)</f>
        <v>0</v>
      </c>
      <c r="AP489">
        <f>IF(Metadata!D489="",FALSE,TRUE)</f>
        <v>0</v>
      </c>
      <c r="AQ489">
        <f>OR(AND(IF(Metadata!E489="",FALSE,TRUE),OR(exact(Metadata!E489,"not collected"),exact(Metadata!E489,"not provided"),exact(Metadata!E489,"restricted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R489">
        <f>IF(Metadata!F489="",FALSE,TRUE)</f>
        <v>0</v>
      </c>
      <c r="AS489">
        <f>OR(AND(IF(Metadata!G489="",FALSE,TRUE),OR(exact(Metadata!G489,"not collected"),exact(Metadata!G489,"not provided"))),AND(IF(Metadata!G489="",FALSE,TRUE),OR(exact(Metadata!G489,"TRUE"),exact(Metadata!G489,"FALSE"))))</f>
        <v>0</v>
      </c>
      <c r="AT489">
        <f>OR(AND(IF(Metadata!H489="",FALSE,TRUE),OR(exact(Metadata!H489,"not collected"),exact(Metadata!H489,"not provided"),exact(Metadata!H489,"restricted access"))),AND(IF(Metadata!H489="",FALSE,ISNUMBER(VALUE(Metadata!H489))),Metadata!H489&gt;=-413.0))</f>
        <v>0</v>
      </c>
      <c r="AU489">
        <f>AND(IF(Metadata!I489="",FALSE,TRUE),exact(Metadata!I489,"meters"))</f>
        <v>0</v>
      </c>
      <c r="AV489">
        <f>AND(IF(Metadata!J489="",FALSE,TRUE),OR(exact(Metadata!J489,"Host-associated"),exact(Metadata!J489,"Free-living")))</f>
        <v>0</v>
      </c>
      <c r="AW489">
        <f>AND(IF(Metadata!K489="",FALSE,TRUE),OR(exact(Metadata!K489,"Animal"),exact(Metadata!K489,"Fungus"),exact(Metadata!K489,"Plant"),exact(Metadata!K489,"Saline"),exact(Metadata!K489,"Non-saline")))</f>
        <v>0</v>
      </c>
      <c r="AX489">
        <f>AND(IF(Metadata!L489="",FALSE,TRUE),OR(exact(Metadata!L489,"Plant secretion"),exact(Metadata!L489,"Plant rhizosphere"),exact(Metadata!L489,"Plant surface"),exact(Metadata!L489,"Plant corpus"),exact(Metadata!L489,"Fungus surface"),exact(Metadata!L489,"Fungus corpus"),exact(Metadata!L489,"Animal surface"),exact(Metadata!L489,"Animal proximal gut"),exact(Metadata!L489,"Animal corpus"),exact(Metadata!L489,"Animal distal gut"),exact(Metadata!L489,"Animal secretion"),exact(Metadata!L489,"Sub-surface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Y489">
        <f>IF(Metadata!M489="",FALSE,TRUE)</f>
        <v>0</v>
      </c>
      <c r="AZ489">
        <f>IF(Metadata!N489="",FALSE,TRUE)</f>
        <v>0</v>
      </c>
      <c r="BA489">
        <f>IF(Metadata!O489="",FALSE,TRUE)</f>
        <v>0</v>
      </c>
      <c r="BB489">
        <f>OR(AND(IF(Metadata!P489="",FALSE,TRUE),OR(exact(Metadata!P489,"not collected"),exact(Metadata!P489,"not provided"),exact(Metadata!P489,"restricted access"))),AND(IF(Metadata!P489="",FALSE,TRUE),OR(exact(Metadata!P489,"air"),exact(Metadata!P489,"built environment"),exact(Metadata!P489,"host-associated"),exact(Metadata!P489,"human-associated"),exact(Metadata!P489,"human-skin"),exact(Metadata!P489,"human-oral"),exact(Metadata!P489,"human-gut"),exact(Metadata!P489,"human-vaginal"),exact(Metadata!P489,"microbial mat/biofilm"),exact(Metadata!P489,"misc environment"),exact(Metadata!P489,"plant-associated"),exact(Metadata!P489,"sediment"),exact(Metadata!P489,"soil"),exact(Metadata!P489,"wastewater/sludge"),exact(Metadata!P489,"water"))))</f>
        <v>0</v>
      </c>
      <c r="BC489">
        <f>IF(Metadata!Q489="",FALSE,TRUE)</f>
        <v>0</v>
      </c>
      <c r="BD489">
        <f>IF(Metadata!R489="",FALSE,TRUE)</f>
        <v>0</v>
      </c>
      <c r="BE489">
        <f>OR(AND(IF(Metadata!S489="",FALSE,TRUE),OR(exact(Metadata!S489,"not collected"),exact(Metadata!S489,"not provided"),exact(Metadata!S489,"restricted access"))),AND(IF(Metadata!S489="",FALSE,ISNUMBER(VALUE(Metadata!S489))),Metadata!S489&gt;=-90.00,Metadata!S489&lt;=90.00))</f>
        <v>0</v>
      </c>
      <c r="BF489">
        <f>AND(IF(Metadata!T489="",FALSE,TRUE),exact(Metadata!T489,"Decimal degrees"))</f>
        <v>0</v>
      </c>
      <c r="BG489">
        <f>OR(AND(IF(Metadata!U489="",FALSE,TRUE),OR(exact(Metadata!U489,"not collected"),exact(Metadata!U489,"not provided"),exact(Metadata!U489,"restricted access"))),AND(IF(Metadata!U489="",FALSE,ISNUMBER(VALUE(Metadata!U489))),Metadata!U489&gt;=-180.00,Metadata!U489&lt;=180.00))</f>
        <v>0</v>
      </c>
      <c r="BH489">
        <f>AND(IF(Metadata!V489="",FALSE,TRUE),exact(Metadata!V489,"Decimal degrees"))</f>
        <v>0</v>
      </c>
      <c r="BI489">
        <f>IF(Metadata!W489="",FALSE,TRUE)</f>
        <v>0</v>
      </c>
      <c r="BJ489">
        <f>OR(AND(IF(Metadata!X489="",FALSE,TRUE),OR(exact(Metadata!X489,"not collected"),exact(Metadata!X489,"not provided"),exact(Metadata!X489,"restricted access"))),AND(IF(Metadata!X489="",FALSE,TRUE),OR(exact(Metadata!X489,"TRUE"),exact(Metadata!X489,"FALSE"))))</f>
        <v>0</v>
      </c>
      <c r="BK489">
        <f>AND(IF(Metadata!Y489="",FALSE,TRUE),exact(Metadata!Y489,"other"))</f>
        <v>0</v>
      </c>
      <c r="BL489">
        <f>IF(Metadata!Z489="",FALSE,TRUE)</f>
        <v>0</v>
      </c>
      <c r="BM489">
        <f>OR(AND(IF(Metadata!AA489="",FALSE,TRUE),OR(exact(Metadata!AA489,"not collected"),exact(Metadata!AA489,"not provided"))),AND(IF(Metadata!AA489="",FALSE,IF(ISERROR(INT(Metadata!AA489)),FALSE,INT(Metadata!AA489)=Metadata!AA489)),Metadata!AA489&gt;0))</f>
        <v>0</v>
      </c>
      <c r="BN489">
        <f>AND(IF(Metadata!AB489="",FALSE,TRUE),exact(Metadata!AB489,"Not applicable"))</f>
        <v>0</v>
      </c>
      <c r="BO489">
        <f>IF(Metadata!AC489="",FALSE,TRUE)</f>
        <v>0</v>
      </c>
    </row>
    <row r="490" spans="1:67">
      <c r="A490" s="5">
        <f>IF(B490=" "," ",HYPERLINK(CONCATENATE("#metadata!",ADDRESS(INDEX($AI$2:$AI$1001,MATCH(ROWS($AG$2:AG490),$AG$2:$AG$1001,0),0),1)),INDEX($AL$2:$AL$1001,MATCH(ROWS($AG$2:AG490),$AG$2:$AG$1001,0),0)))</f>
        <v>0</v>
      </c>
      <c r="B490" s="4">
        <f>IF(OR(INDEX($AH$2:$AH$1001,MATCH(ROWS($AG$2:AG490),$AG$2:$AG$1001,0),1)&gt;=100000,INDEX($AN$1005:$BO$1005,1,MATCH(COLUMNS($AN$1006:AN1006),$AN$1006:$BO$1006,0))&gt;=100000), " ",IF(INDEX($AN$2:$BO$1001,MATCH(ROWS($AG$2:AG490),$AG$2:$AG$1001,0),MATCH(COLUMNS($AN$1006:AN1006),$AN$1006:$BO$1006,0)), HYPERLINK("#",""), HYPERLINK(CONCATENATE("#Metadata!", ADDRESS(INDEX($AI$2:$AI$1001,MATCH(ROWS($AG$2:AG490),$AG$2:$AG$1001,0),0), INDEX($AN$1004:$BO$1004,1,MATCH(COLUMNS($AN$1006:AN1006),$AN$1006:$BO$1006,0)))),"Fix")))</f>
        <v>0</v>
      </c>
      <c r="C490" s="4">
        <f>IF(OR(INDEX($AH$2:$AH$1001,MATCH(ROWS($AG$2:AG490),$AG$2:$AG$1001,0),1)&gt;=100000,INDEX($AN$1005:$BO$1005,1,MATCH(COLUMNS($AN$1006:AO1006),$AN$1006:$BO$1006,0))&gt;=100000), " ",IF(INDEX($AN$2:$BO$1001,MATCH(ROWS($AG$2:AG490),$AG$2:$AG$1001,0),MATCH(COLUMNS($AN$1006:AO1006),$AN$1006:$BO$1006,0)), HYPERLINK("#",""), HYPERLINK(CONCATENATE("#Metadata!", ADDRESS(INDEX($AI$2:$AI$1001,MATCH(ROWS($AG$2:AG490),$AG$2:$AG$1001,0),0), INDEX($AN$1004:$BO$1004,1,MATCH(COLUMNS($AN$1006:AO1006),$AN$1006:$BO$1006,0)))),"Fix")))</f>
        <v>0</v>
      </c>
      <c r="D490" s="4">
        <f>IF(OR(INDEX($AH$2:$AH$1001,MATCH(ROWS($AG$2:AG490),$AG$2:$AG$1001,0),1)&gt;=100000,INDEX($AN$1005:$BO$1005,1,MATCH(COLUMNS($AN$1006:AP1006),$AN$1006:$BO$1006,0))&gt;=100000), " ",IF(INDEX($AN$2:$BO$1001,MATCH(ROWS($AG$2:AG490),$AG$2:$AG$1001,0),MATCH(COLUMNS($AN$1006:AP1006),$AN$1006:$BO$1006,0)), HYPERLINK("#",""), HYPERLINK(CONCATENATE("#Metadata!", ADDRESS(INDEX($AI$2:$AI$1001,MATCH(ROWS($AG$2:AG490),$AG$2:$AG$1001,0),0), INDEX($AN$1004:$BO$1004,1,MATCH(COLUMNS($AN$1006:AP1006),$AN$1006:$BO$1006,0)))),"Fix")))</f>
        <v>0</v>
      </c>
      <c r="E490" s="4">
        <f>IF(OR(INDEX($AH$2:$AH$1001,MATCH(ROWS($AG$2:AG490),$AG$2:$AG$1001,0),1)&gt;=100000,INDEX($AN$1005:$BO$1005,1,MATCH(COLUMNS($AN$1006:AQ1006),$AN$1006:$BO$1006,0))&gt;=100000), " ",IF(INDEX($AN$2:$BO$1001,MATCH(ROWS($AG$2:AG490),$AG$2:$AG$1001,0),MATCH(COLUMNS($AN$1006:AQ1006),$AN$1006:$BO$1006,0)), HYPERLINK("#",""), HYPERLINK(CONCATENATE("#Metadata!", ADDRESS(INDEX($AI$2:$AI$1001,MATCH(ROWS($AG$2:AG490),$AG$2:$AG$1001,0),0), INDEX($AN$1004:$BO$1004,1,MATCH(COLUMNS($AN$1006:AQ1006),$AN$1006:$BO$1006,0)))),"Fix")))</f>
        <v>0</v>
      </c>
      <c r="F490" s="4">
        <f>IF(OR(INDEX($AH$2:$AH$1001,MATCH(ROWS($AG$2:AG490),$AG$2:$AG$1001,0),1)&gt;=100000,INDEX($AN$1005:$BO$1005,1,MATCH(COLUMNS($AN$1006:AR1006),$AN$1006:$BO$1006,0))&gt;=100000), " ",IF(INDEX($AN$2:$BO$1001,MATCH(ROWS($AG$2:AG490),$AG$2:$AG$1001,0),MATCH(COLUMNS($AN$1006:AR1006),$AN$1006:$BO$1006,0)), HYPERLINK("#",""), HYPERLINK(CONCATENATE("#Metadata!", ADDRESS(INDEX($AI$2:$AI$1001,MATCH(ROWS($AG$2:AG490),$AG$2:$AG$1001,0),0), INDEX($AN$1004:$BO$1004,1,MATCH(COLUMNS($AN$1006:AR1006),$AN$1006:$BO$1006,0)))),"Fix")))</f>
        <v>0</v>
      </c>
      <c r="G490" s="4">
        <f>IF(OR(INDEX($AH$2:$AH$1001,MATCH(ROWS($AG$2:AG490),$AG$2:$AG$1001,0),1)&gt;=100000,INDEX($AN$1005:$BO$1005,1,MATCH(COLUMNS($AN$1006:AS1006),$AN$1006:$BO$1006,0))&gt;=100000), " ",IF(INDEX($AN$2:$BO$1001,MATCH(ROWS($AG$2:AG490),$AG$2:$AG$1001,0),MATCH(COLUMNS($AN$1006:AS1006),$AN$1006:$BO$1006,0)), HYPERLINK("#",""), HYPERLINK(CONCATENATE("#Metadata!", ADDRESS(INDEX($AI$2:$AI$1001,MATCH(ROWS($AG$2:AG490),$AG$2:$AG$1001,0),0), INDEX($AN$1004:$BO$1004,1,MATCH(COLUMNS($AN$1006:AS1006),$AN$1006:$BO$1006,0)))),"Fix")))</f>
        <v>0</v>
      </c>
      <c r="H490" s="4">
        <f>IF(OR(INDEX($AH$2:$AH$1001,MATCH(ROWS($AG$2:AG490),$AG$2:$AG$1001,0),1)&gt;=100000,INDEX($AN$1005:$BO$1005,1,MATCH(COLUMNS($AN$1006:AT1006),$AN$1006:$BO$1006,0))&gt;=100000), " ",IF(INDEX($AN$2:$BO$1001,MATCH(ROWS($AG$2:AG490),$AG$2:$AG$1001,0),MATCH(COLUMNS($AN$1006:AT1006),$AN$1006:$BO$1006,0)), HYPERLINK("#",""), HYPERLINK(CONCATENATE("#Metadata!", ADDRESS(INDEX($AI$2:$AI$1001,MATCH(ROWS($AG$2:AG490),$AG$2:$AG$1001,0),0), INDEX($AN$1004:$BO$1004,1,MATCH(COLUMNS($AN$1006:AT1006),$AN$1006:$BO$1006,0)))),"Fix")))</f>
        <v>0</v>
      </c>
      <c r="I490" s="4">
        <f>IF(OR(INDEX($AH$2:$AH$1001,MATCH(ROWS($AG$2:AG490),$AG$2:$AG$1001,0),1)&gt;=100000,INDEX($AN$1005:$BO$1005,1,MATCH(COLUMNS($AN$1006:AU1006),$AN$1006:$BO$1006,0))&gt;=100000), " ",IF(INDEX($AN$2:$BO$1001,MATCH(ROWS($AG$2:AG490),$AG$2:$AG$1001,0),MATCH(COLUMNS($AN$1006:AU1006),$AN$1006:$BO$1006,0)), HYPERLINK("#",""), HYPERLINK(CONCATENATE("#Metadata!", ADDRESS(INDEX($AI$2:$AI$1001,MATCH(ROWS($AG$2:AG490),$AG$2:$AG$1001,0),0), INDEX($AN$1004:$BO$1004,1,MATCH(COLUMNS($AN$1006:AU1006),$AN$1006:$BO$1006,0)))),"Fix")))</f>
        <v>0</v>
      </c>
      <c r="J490" s="4">
        <f>IF(OR(INDEX($AH$2:$AH$1001,MATCH(ROWS($AG$2:AG490),$AG$2:$AG$1001,0),1)&gt;=100000,INDEX($AN$1005:$BO$1005,1,MATCH(COLUMNS($AN$1006:AV1006),$AN$1006:$BO$1006,0))&gt;=100000), " ",IF(INDEX($AN$2:$BO$1001,MATCH(ROWS($AG$2:AG490),$AG$2:$AG$1001,0),MATCH(COLUMNS($AN$1006:AV1006),$AN$1006:$BO$1006,0)), HYPERLINK("#",""), HYPERLINK(CONCATENATE("#Metadata!", ADDRESS(INDEX($AI$2:$AI$1001,MATCH(ROWS($AG$2:AG490),$AG$2:$AG$1001,0),0), INDEX($AN$1004:$BO$1004,1,MATCH(COLUMNS($AN$1006:AV1006),$AN$1006:$BO$1006,0)))),"Fix")))</f>
        <v>0</v>
      </c>
      <c r="K490" s="4">
        <f>IF(OR(INDEX($AH$2:$AH$1001,MATCH(ROWS($AG$2:AG490),$AG$2:$AG$1001,0),1)&gt;=100000,INDEX($AN$1005:$BO$1005,1,MATCH(COLUMNS($AN$1006:AW1006),$AN$1006:$BO$1006,0))&gt;=100000), " ",IF(INDEX($AN$2:$BO$1001,MATCH(ROWS($AG$2:AG490),$AG$2:$AG$1001,0),MATCH(COLUMNS($AN$1006:AW1006),$AN$1006:$BO$1006,0)), HYPERLINK("#",""), HYPERLINK(CONCATENATE("#Metadata!", ADDRESS(INDEX($AI$2:$AI$1001,MATCH(ROWS($AG$2:AG490),$AG$2:$AG$1001,0),0), INDEX($AN$1004:$BO$1004,1,MATCH(COLUMNS($AN$1006:AW1006),$AN$1006:$BO$1006,0)))),"Fix")))</f>
        <v>0</v>
      </c>
      <c r="L490" s="4">
        <f>IF(OR(INDEX($AH$2:$AH$1001,MATCH(ROWS($AG$2:AG490),$AG$2:$AG$1001,0),1)&gt;=100000,INDEX($AN$1005:$BO$1005,1,MATCH(COLUMNS($AN$1006:AX1006),$AN$1006:$BO$1006,0))&gt;=100000), " ",IF(INDEX($AN$2:$BO$1001,MATCH(ROWS($AG$2:AG490),$AG$2:$AG$1001,0),MATCH(COLUMNS($AN$1006:AX1006),$AN$1006:$BO$1006,0)), HYPERLINK("#",""), HYPERLINK(CONCATENATE("#Metadata!", ADDRESS(INDEX($AI$2:$AI$1001,MATCH(ROWS($AG$2:AG490),$AG$2:$AG$1001,0),0), INDEX($AN$1004:$BO$1004,1,MATCH(COLUMNS($AN$1006:AX1006),$AN$1006:$BO$1006,0)))),"Fix")))</f>
        <v>0</v>
      </c>
      <c r="M490" s="4">
        <f>IF(OR(INDEX($AH$2:$AH$1001,MATCH(ROWS($AG$2:AG490),$AG$2:$AG$1001,0),1)&gt;=100000,INDEX($AN$1005:$BO$1005,1,MATCH(COLUMNS($AN$1006:AY1006),$AN$1006:$BO$1006,0))&gt;=100000), " ",IF(INDEX($AN$2:$BO$1001,MATCH(ROWS($AG$2:AG490),$AG$2:$AG$1001,0),MATCH(COLUMNS($AN$1006:AY1006),$AN$1006:$BO$1006,0)), HYPERLINK("#",""), HYPERLINK(CONCATENATE("#Metadata!", ADDRESS(INDEX($AI$2:$AI$1001,MATCH(ROWS($AG$2:AG490),$AG$2:$AG$1001,0),0), INDEX($AN$1004:$BO$1004,1,MATCH(COLUMNS($AN$1006:AY1006),$AN$1006:$BO$1006,0)))),"Fix")))</f>
        <v>0</v>
      </c>
      <c r="N490" s="4">
        <f>IF(OR(INDEX($AH$2:$AH$1001,MATCH(ROWS($AG$2:AG490),$AG$2:$AG$1001,0),1)&gt;=100000,INDEX($AN$1005:$BO$1005,1,MATCH(COLUMNS($AN$1006:AZ1006),$AN$1006:$BO$1006,0))&gt;=100000), " ",IF(INDEX($AN$2:$BO$1001,MATCH(ROWS($AG$2:AG490),$AG$2:$AG$1001,0),MATCH(COLUMNS($AN$1006:AZ1006),$AN$1006:$BO$1006,0)), HYPERLINK("#",""), HYPERLINK(CONCATENATE("#Metadata!", ADDRESS(INDEX($AI$2:$AI$1001,MATCH(ROWS($AG$2:AG490),$AG$2:$AG$1001,0),0), INDEX($AN$1004:$BO$1004,1,MATCH(COLUMNS($AN$1006:AZ1006),$AN$1006:$BO$1006,0)))),"Fix")))</f>
        <v>0</v>
      </c>
      <c r="O490" s="4">
        <f>IF(OR(INDEX($AH$2:$AH$1001,MATCH(ROWS($AG$2:AG490),$AG$2:$AG$1001,0),1)&gt;=100000,INDEX($AN$1005:$BO$1005,1,MATCH(COLUMNS($AN$1006:BA1006),$AN$1006:$BO$1006,0))&gt;=100000), " ",IF(INDEX($AN$2:$BO$1001,MATCH(ROWS($AG$2:AG490),$AG$2:$AG$1001,0),MATCH(COLUMNS($AN$1006:BA1006),$AN$1006:$BO$1006,0)), HYPERLINK("#",""), HYPERLINK(CONCATENATE("#Metadata!", ADDRESS(INDEX($AI$2:$AI$1001,MATCH(ROWS($AG$2:AG490),$AG$2:$AG$1001,0),0), INDEX($AN$1004:$BO$1004,1,MATCH(COLUMNS($AN$1006:BA1006),$AN$1006:$BO$1006,0)))),"Fix")))</f>
        <v>0</v>
      </c>
      <c r="P490" s="4">
        <f>IF(OR(INDEX($AH$2:$AH$1001,MATCH(ROWS($AG$2:AG490),$AG$2:$AG$1001,0),1)&gt;=100000,INDEX($AN$1005:$BO$1005,1,MATCH(COLUMNS($AN$1006:BB1006),$AN$1006:$BO$1006,0))&gt;=100000), " ",IF(INDEX($AN$2:$BO$1001,MATCH(ROWS($AG$2:AG490),$AG$2:$AG$1001,0),MATCH(COLUMNS($AN$1006:BB1006),$AN$1006:$BO$1006,0)), HYPERLINK("#",""), HYPERLINK(CONCATENATE("#Metadata!", ADDRESS(INDEX($AI$2:$AI$1001,MATCH(ROWS($AG$2:AG490),$AG$2:$AG$1001,0),0), INDEX($AN$1004:$BO$1004,1,MATCH(COLUMNS($AN$1006:BB1006),$AN$1006:$BO$1006,0)))),"Fix")))</f>
        <v>0</v>
      </c>
      <c r="Q490" s="4">
        <f>IF(OR(INDEX($AH$2:$AH$1001,MATCH(ROWS($AG$2:AG490),$AG$2:$AG$1001,0),1)&gt;=100000,INDEX($AN$1005:$BO$1005,1,MATCH(COLUMNS($AN$1006:BC1006),$AN$1006:$BO$1006,0))&gt;=100000), " ",IF(INDEX($AN$2:$BO$1001,MATCH(ROWS($AG$2:AG490),$AG$2:$AG$1001,0),MATCH(COLUMNS($AN$1006:BC1006),$AN$1006:$BO$1006,0)), HYPERLINK("#",""), HYPERLINK(CONCATENATE("#Metadata!", ADDRESS(INDEX($AI$2:$AI$1001,MATCH(ROWS($AG$2:AG490),$AG$2:$AG$1001,0),0), INDEX($AN$1004:$BO$1004,1,MATCH(COLUMNS($AN$1006:BC1006),$AN$1006:$BO$1006,0)))),"Fix")))</f>
        <v>0</v>
      </c>
      <c r="R490" s="4">
        <f>IF(OR(INDEX($AH$2:$AH$1001,MATCH(ROWS($AG$2:AG490),$AG$2:$AG$1001,0),1)&gt;=100000,INDEX($AN$1005:$BO$1005,1,MATCH(COLUMNS($AN$1006:BD1006),$AN$1006:$BO$1006,0))&gt;=100000), " ",IF(INDEX($AN$2:$BO$1001,MATCH(ROWS($AG$2:AG490),$AG$2:$AG$1001,0),MATCH(COLUMNS($AN$1006:BD1006),$AN$1006:$BO$1006,0)), HYPERLINK("#",""), HYPERLINK(CONCATENATE("#Metadata!", ADDRESS(INDEX($AI$2:$AI$1001,MATCH(ROWS($AG$2:AG490),$AG$2:$AG$1001,0),0), INDEX($AN$1004:$BO$1004,1,MATCH(COLUMNS($AN$1006:BD1006),$AN$1006:$BO$1006,0)))),"Fix")))</f>
        <v>0</v>
      </c>
      <c r="S490" s="4">
        <f>IF(OR(INDEX($AH$2:$AH$1001,MATCH(ROWS($AG$2:AG490),$AG$2:$AG$1001,0),1)&gt;=100000,INDEX($AN$1005:$BO$1005,1,MATCH(COLUMNS($AN$1006:BE1006),$AN$1006:$BO$1006,0))&gt;=100000), " ",IF(INDEX($AN$2:$BO$1001,MATCH(ROWS($AG$2:AG490),$AG$2:$AG$1001,0),MATCH(COLUMNS($AN$1006:BE1006),$AN$1006:$BO$1006,0)), HYPERLINK("#",""), HYPERLINK(CONCATENATE("#Metadata!", ADDRESS(INDEX($AI$2:$AI$1001,MATCH(ROWS($AG$2:AG490),$AG$2:$AG$1001,0),0), INDEX($AN$1004:$BO$1004,1,MATCH(COLUMNS($AN$1006:BE1006),$AN$1006:$BO$1006,0)))),"Fix")))</f>
        <v>0</v>
      </c>
      <c r="T490" s="4">
        <f>IF(OR(INDEX($AH$2:$AH$1001,MATCH(ROWS($AG$2:AG490),$AG$2:$AG$1001,0),1)&gt;=100000,INDEX($AN$1005:$BO$1005,1,MATCH(COLUMNS($AN$1006:BF1006),$AN$1006:$BO$1006,0))&gt;=100000), " ",IF(INDEX($AN$2:$BO$1001,MATCH(ROWS($AG$2:AG490),$AG$2:$AG$1001,0),MATCH(COLUMNS($AN$1006:BF1006),$AN$1006:$BO$1006,0)), HYPERLINK("#",""), HYPERLINK(CONCATENATE("#Metadata!", ADDRESS(INDEX($AI$2:$AI$1001,MATCH(ROWS($AG$2:AG490),$AG$2:$AG$1001,0),0), INDEX($AN$1004:$BO$1004,1,MATCH(COLUMNS($AN$1006:BF1006),$AN$1006:$BO$1006,0)))),"Fix")))</f>
        <v>0</v>
      </c>
      <c r="U490" s="4">
        <f>IF(OR(INDEX($AH$2:$AH$1001,MATCH(ROWS($AG$2:AG490),$AG$2:$AG$1001,0),1)&gt;=100000,INDEX($AN$1005:$BO$1005,1,MATCH(COLUMNS($AN$1006:BG1006),$AN$1006:$BO$1006,0))&gt;=100000), " ",IF(INDEX($AN$2:$BO$1001,MATCH(ROWS($AG$2:AG490),$AG$2:$AG$1001,0),MATCH(COLUMNS($AN$1006:BG1006),$AN$1006:$BO$1006,0)), HYPERLINK("#",""), HYPERLINK(CONCATENATE("#Metadata!", ADDRESS(INDEX($AI$2:$AI$1001,MATCH(ROWS($AG$2:AG490),$AG$2:$AG$1001,0),0), INDEX($AN$1004:$BO$1004,1,MATCH(COLUMNS($AN$1006:BG1006),$AN$1006:$BO$1006,0)))),"Fix")))</f>
        <v>0</v>
      </c>
      <c r="V490" s="4">
        <f>IF(OR(INDEX($AH$2:$AH$1001,MATCH(ROWS($AG$2:AG490),$AG$2:$AG$1001,0),1)&gt;=100000,INDEX($AN$1005:$BO$1005,1,MATCH(COLUMNS($AN$1006:BH1006),$AN$1006:$BO$1006,0))&gt;=100000), " ",IF(INDEX($AN$2:$BO$1001,MATCH(ROWS($AG$2:AG490),$AG$2:$AG$1001,0),MATCH(COLUMNS($AN$1006:BH1006),$AN$1006:$BO$1006,0)), HYPERLINK("#",""), HYPERLINK(CONCATENATE("#Metadata!", ADDRESS(INDEX($AI$2:$AI$1001,MATCH(ROWS($AG$2:AG490),$AG$2:$AG$1001,0),0), INDEX($AN$1004:$BO$1004,1,MATCH(COLUMNS($AN$1006:BH1006),$AN$1006:$BO$1006,0)))),"Fix")))</f>
        <v>0</v>
      </c>
      <c r="W490" s="4">
        <f>IF(OR(INDEX($AH$2:$AH$1001,MATCH(ROWS($AG$2:AG490),$AG$2:$AG$1001,0),1)&gt;=100000,INDEX($AN$1005:$BO$1005,1,MATCH(COLUMNS($AN$1006:BI1006),$AN$1006:$BO$1006,0))&gt;=100000), " ",IF(INDEX($AN$2:$BO$1001,MATCH(ROWS($AG$2:AG490),$AG$2:$AG$1001,0),MATCH(COLUMNS($AN$1006:BI1006),$AN$1006:$BO$1006,0)), HYPERLINK("#",""), HYPERLINK(CONCATENATE("#Metadata!", ADDRESS(INDEX($AI$2:$AI$1001,MATCH(ROWS($AG$2:AG490),$AG$2:$AG$1001,0),0), INDEX($AN$1004:$BO$1004,1,MATCH(COLUMNS($AN$1006:BI1006),$AN$1006:$BO$1006,0)))),"Fix")))</f>
        <v>0</v>
      </c>
      <c r="X490" s="4">
        <f>IF(OR(INDEX($AH$2:$AH$1001,MATCH(ROWS($AG$2:AG490),$AG$2:$AG$1001,0),1)&gt;=100000,INDEX($AN$1005:$BO$1005,1,MATCH(COLUMNS($AN$1006:BJ1006),$AN$1006:$BO$1006,0))&gt;=100000), " ",IF(INDEX($AN$2:$BO$1001,MATCH(ROWS($AG$2:AG490),$AG$2:$AG$1001,0),MATCH(COLUMNS($AN$1006:BJ1006),$AN$1006:$BO$1006,0)), HYPERLINK("#",""), HYPERLINK(CONCATENATE("#Metadata!", ADDRESS(INDEX($AI$2:$AI$1001,MATCH(ROWS($AG$2:AG490),$AG$2:$AG$1001,0),0), INDEX($AN$1004:$BO$1004,1,MATCH(COLUMNS($AN$1006:BJ1006),$AN$1006:$BO$1006,0)))),"Fix")))</f>
        <v>0</v>
      </c>
      <c r="Y490" s="4">
        <f>IF(OR(INDEX($AH$2:$AH$1001,MATCH(ROWS($AG$2:AG490),$AG$2:$AG$1001,0),1)&gt;=100000,INDEX($AN$1005:$BO$1005,1,MATCH(COLUMNS($AN$1006:BK1006),$AN$1006:$BO$1006,0))&gt;=100000), " ",IF(INDEX($AN$2:$BO$1001,MATCH(ROWS($AG$2:AG490),$AG$2:$AG$1001,0),MATCH(COLUMNS($AN$1006:BK1006),$AN$1006:$BO$1006,0)), HYPERLINK("#",""), HYPERLINK(CONCATENATE("#Metadata!", ADDRESS(INDEX($AI$2:$AI$1001,MATCH(ROWS($AG$2:AG490),$AG$2:$AG$1001,0),0), INDEX($AN$1004:$BO$1004,1,MATCH(COLUMNS($AN$1006:BK1006),$AN$1006:$BO$1006,0)))),"Fix")))</f>
        <v>0</v>
      </c>
      <c r="Z490" s="4">
        <f>IF(OR(INDEX($AH$2:$AH$1001,MATCH(ROWS($AG$2:AG490),$AG$2:$AG$1001,0),1)&gt;=100000,INDEX($AN$1005:$BO$1005,1,MATCH(COLUMNS($AN$1006:BL1006),$AN$1006:$BO$1006,0))&gt;=100000), " ",IF(INDEX($AN$2:$BO$1001,MATCH(ROWS($AG$2:AG490),$AG$2:$AG$1001,0),MATCH(COLUMNS($AN$1006:BL1006),$AN$1006:$BO$1006,0)), HYPERLINK("#",""), HYPERLINK(CONCATENATE("#Metadata!", ADDRESS(INDEX($AI$2:$AI$1001,MATCH(ROWS($AG$2:AG490),$AG$2:$AG$1001,0),0), INDEX($AN$1004:$BO$1004,1,MATCH(COLUMNS($AN$1006:BL1006),$AN$1006:$BO$1006,0)))),"Fix")))</f>
        <v>0</v>
      </c>
      <c r="AA490" s="4">
        <f>IF(OR(INDEX($AH$2:$AH$1001,MATCH(ROWS($AG$2:AG490),$AG$2:$AG$1001,0),1)&gt;=100000,INDEX($AN$1005:$BO$1005,1,MATCH(COLUMNS($AN$1006:BM1006),$AN$1006:$BO$1006,0))&gt;=100000), " ",IF(INDEX($AN$2:$BO$1001,MATCH(ROWS($AG$2:AG490),$AG$2:$AG$1001,0),MATCH(COLUMNS($AN$1006:BM1006),$AN$1006:$BO$1006,0)), HYPERLINK("#",""), HYPERLINK(CONCATENATE("#Metadata!", ADDRESS(INDEX($AI$2:$AI$1001,MATCH(ROWS($AG$2:AG490),$AG$2:$AG$1001,0),0), INDEX($AN$1004:$BO$1004,1,MATCH(COLUMNS($AN$1006:BM1006),$AN$1006:$BO$1006,0)))),"Fix")))</f>
        <v>0</v>
      </c>
      <c r="AB490" s="4">
        <f>IF(OR(INDEX($AH$2:$AH$1001,MATCH(ROWS($AG$2:AG490),$AG$2:$AG$1001,0),1)&gt;=100000,INDEX($AN$1005:$BO$1005,1,MATCH(COLUMNS($AN$1006:BN1006),$AN$1006:$BO$1006,0))&gt;=100000), " ",IF(INDEX($AN$2:$BO$1001,MATCH(ROWS($AG$2:AG490),$AG$2:$AG$1001,0),MATCH(COLUMNS($AN$1006:BN1006),$AN$1006:$BO$1006,0)), HYPERLINK("#",""), HYPERLINK(CONCATENATE("#Metadata!", ADDRESS(INDEX($AI$2:$AI$1001,MATCH(ROWS($AG$2:AG490),$AG$2:$AG$1001,0),0), INDEX($AN$1004:$BO$1004,1,MATCH(COLUMNS($AN$1006:BN1006),$AN$1006:$BO$1006,0)))),"Fix")))</f>
        <v>0</v>
      </c>
      <c r="AC490" s="4">
        <f>IF(OR(INDEX($AH$2:$AH$1001,MATCH(ROWS($AG$2:AG490),$AG$2:$AG$1001,0),1)&gt;=100000,INDEX($AN$1005:$BO$1005,1,MATCH(COLUMNS($AN$1006:BO1006),$AN$1006:$BO$1006,0))&gt;=100000), " ",IF(INDEX($AN$2:$BO$1001,MATCH(ROWS($AG$2:AG490),$AG$2:$AG$1001,0),MATCH(COLUMNS($AN$1006:BO1006),$AN$1006:$BO$1006,0)), HYPERLINK("#",""), HYPERLINK(CONCATENATE("#Metadata!", ADDRESS(INDEX($AI$2:$AI$1001,MATCH(ROWS($AG$2:AG490),$AG$2:$AG$1001,0),0), INDEX($AN$1004:$BO$1004,1,MATCH(COLUMNS($AN$1006:BO1006),$AN$1006:$BO$1006,0)))),"Fix")))</f>
        <v>0</v>
      </c>
      <c r="AG490">
        <v>0</v>
      </c>
      <c r="AH490">
        <v>0</v>
      </c>
      <c r="AI490">
        <v>0</v>
      </c>
      <c r="AJ490">
        <f>IF(AK490,TRUE,AND(AN490:BO490))</f>
        <v>0</v>
      </c>
      <c r="AK490">
        <f>COUNTBLANK(Metadata!B490:AC490)=COLUMNS(Metadata!B490:AC490)</f>
        <v>0</v>
      </c>
      <c r="AL490">
        <v>0</v>
      </c>
      <c r="AN490">
        <f>AND(IF(Metadata!B490="",FALSE,TRUE),COUNTIF(Metadata!B:B, Metadata!B490) = 1,NOT(ISERROR(SUMPRODUCT(SEARCH(MID(Metadata!B490,ROW(INDIRECT("1:"&amp;LEN(Metadata!B490))), 1),"0123456789abcdefghijklmnopqrstuvwxyzABCDEFGHIJKLMNOPQRSTUVWXYZ.")))))</f>
        <v>0</v>
      </c>
      <c r="AO490">
        <f>IF(Metadata!C490="",FALSE,TRUE)</f>
        <v>0</v>
      </c>
      <c r="AP490">
        <f>IF(Metadata!D490="",FALSE,TRUE)</f>
        <v>0</v>
      </c>
      <c r="AQ490">
        <f>OR(AND(IF(Metadata!E490="",FALSE,TRUE),OR(exact(Metadata!E490,"not collected"),exact(Metadata!E490,"not provided"),exact(Metadata!E490,"restricted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R490">
        <f>IF(Metadata!F490="",FALSE,TRUE)</f>
        <v>0</v>
      </c>
      <c r="AS490">
        <f>OR(AND(IF(Metadata!G490="",FALSE,TRUE),OR(exact(Metadata!G490,"not collected"),exact(Metadata!G490,"not provided"))),AND(IF(Metadata!G490="",FALSE,TRUE),OR(exact(Metadata!G490,"TRUE"),exact(Metadata!G490,"FALSE"))))</f>
        <v>0</v>
      </c>
      <c r="AT490">
        <f>OR(AND(IF(Metadata!H490="",FALSE,TRUE),OR(exact(Metadata!H490,"not collected"),exact(Metadata!H490,"not provided"),exact(Metadata!H490,"restricted access"))),AND(IF(Metadata!H490="",FALSE,ISNUMBER(VALUE(Metadata!H490))),Metadata!H490&gt;=-413.0))</f>
        <v>0</v>
      </c>
      <c r="AU490">
        <f>AND(IF(Metadata!I490="",FALSE,TRUE),exact(Metadata!I490,"meters"))</f>
        <v>0</v>
      </c>
      <c r="AV490">
        <f>AND(IF(Metadata!J490="",FALSE,TRUE),OR(exact(Metadata!J490,"Host-associated"),exact(Metadata!J490,"Free-living")))</f>
        <v>0</v>
      </c>
      <c r="AW490">
        <f>AND(IF(Metadata!K490="",FALSE,TRUE),OR(exact(Metadata!K490,"Animal"),exact(Metadata!K490,"Fungus"),exact(Metadata!K490,"Plant"),exact(Metadata!K490,"Saline"),exact(Metadata!K490,"Non-saline")))</f>
        <v>0</v>
      </c>
      <c r="AX490">
        <f>AND(IF(Metadata!L490="",FALSE,TRUE),OR(exact(Metadata!L490,"Plant secretion"),exact(Metadata!L490,"Plant rhizosphere"),exact(Metadata!L490,"Plant surface"),exact(Metadata!L490,"Plant corpus"),exact(Metadata!L490,"Fungus surface"),exact(Metadata!L490,"Fungus corpus"),exact(Metadata!L490,"Animal surface"),exact(Metadata!L490,"Animal proximal gut"),exact(Metadata!L490,"Animal corpus"),exact(Metadata!L490,"Animal distal gut"),exact(Metadata!L490,"Animal secretion"),exact(Metadata!L490,"Sub-surface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Y490">
        <f>IF(Metadata!M490="",FALSE,TRUE)</f>
        <v>0</v>
      </c>
      <c r="AZ490">
        <f>IF(Metadata!N490="",FALSE,TRUE)</f>
        <v>0</v>
      </c>
      <c r="BA490">
        <f>IF(Metadata!O490="",FALSE,TRUE)</f>
        <v>0</v>
      </c>
      <c r="BB490">
        <f>OR(AND(IF(Metadata!P490="",FALSE,TRUE),OR(exact(Metadata!P490,"not collected"),exact(Metadata!P490,"not provided"),exact(Metadata!P490,"restricted access"))),AND(IF(Metadata!P490="",FALSE,TRUE),OR(exact(Metadata!P490,"air"),exact(Metadata!P490,"built environment"),exact(Metadata!P490,"host-associated"),exact(Metadata!P490,"human-associated"),exact(Metadata!P490,"human-skin"),exact(Metadata!P490,"human-oral"),exact(Metadata!P490,"human-gut"),exact(Metadata!P490,"human-vaginal"),exact(Metadata!P490,"microbial mat/biofilm"),exact(Metadata!P490,"misc environment"),exact(Metadata!P490,"plant-associated"),exact(Metadata!P490,"sediment"),exact(Metadata!P490,"soil"),exact(Metadata!P490,"wastewater/sludge"),exact(Metadata!P490,"water"))))</f>
        <v>0</v>
      </c>
      <c r="BC490">
        <f>IF(Metadata!Q490="",FALSE,TRUE)</f>
        <v>0</v>
      </c>
      <c r="BD490">
        <f>IF(Metadata!R490="",FALSE,TRUE)</f>
        <v>0</v>
      </c>
      <c r="BE490">
        <f>OR(AND(IF(Metadata!S490="",FALSE,TRUE),OR(exact(Metadata!S490,"not collected"),exact(Metadata!S490,"not provided"),exact(Metadata!S490,"restricted access"))),AND(IF(Metadata!S490="",FALSE,ISNUMBER(VALUE(Metadata!S490))),Metadata!S490&gt;=-90.00,Metadata!S490&lt;=90.00))</f>
        <v>0</v>
      </c>
      <c r="BF490">
        <f>AND(IF(Metadata!T490="",FALSE,TRUE),exact(Metadata!T490,"Decimal degrees"))</f>
        <v>0</v>
      </c>
      <c r="BG490">
        <f>OR(AND(IF(Metadata!U490="",FALSE,TRUE),OR(exact(Metadata!U490,"not collected"),exact(Metadata!U490,"not provided"),exact(Metadata!U490,"restricted access"))),AND(IF(Metadata!U490="",FALSE,ISNUMBER(VALUE(Metadata!U490))),Metadata!U490&gt;=-180.00,Metadata!U490&lt;=180.00))</f>
        <v>0</v>
      </c>
      <c r="BH490">
        <f>AND(IF(Metadata!V490="",FALSE,TRUE),exact(Metadata!V490,"Decimal degrees"))</f>
        <v>0</v>
      </c>
      <c r="BI490">
        <f>IF(Metadata!W490="",FALSE,TRUE)</f>
        <v>0</v>
      </c>
      <c r="BJ490">
        <f>OR(AND(IF(Metadata!X490="",FALSE,TRUE),OR(exact(Metadata!X490,"not collected"),exact(Metadata!X490,"not provided"),exact(Metadata!X490,"restricted access"))),AND(IF(Metadata!X490="",FALSE,TRUE),OR(exact(Metadata!X490,"TRUE"),exact(Metadata!X490,"FALSE"))))</f>
        <v>0</v>
      </c>
      <c r="BK490">
        <f>AND(IF(Metadata!Y490="",FALSE,TRUE),exact(Metadata!Y490,"other"))</f>
        <v>0</v>
      </c>
      <c r="BL490">
        <f>IF(Metadata!Z490="",FALSE,TRUE)</f>
        <v>0</v>
      </c>
      <c r="BM490">
        <f>OR(AND(IF(Metadata!AA490="",FALSE,TRUE),OR(exact(Metadata!AA490,"not collected"),exact(Metadata!AA490,"not provided"))),AND(IF(Metadata!AA490="",FALSE,IF(ISERROR(INT(Metadata!AA490)),FALSE,INT(Metadata!AA490)=Metadata!AA490)),Metadata!AA490&gt;0))</f>
        <v>0</v>
      </c>
      <c r="BN490">
        <f>AND(IF(Metadata!AB490="",FALSE,TRUE),exact(Metadata!AB490,"Not applicable"))</f>
        <v>0</v>
      </c>
      <c r="BO490">
        <f>IF(Metadata!AC490="",FALSE,TRUE)</f>
        <v>0</v>
      </c>
    </row>
    <row r="491" spans="1:67">
      <c r="A491" s="5">
        <f>IF(B491=" "," ",HYPERLINK(CONCATENATE("#metadata!",ADDRESS(INDEX($AI$2:$AI$1001,MATCH(ROWS($AG$2:AG491),$AG$2:$AG$1001,0),0),1)),INDEX($AL$2:$AL$1001,MATCH(ROWS($AG$2:AG491),$AG$2:$AG$1001,0),0)))</f>
        <v>0</v>
      </c>
      <c r="B491" s="4">
        <f>IF(OR(INDEX($AH$2:$AH$1001,MATCH(ROWS($AG$2:AG491),$AG$2:$AG$1001,0),1)&gt;=100000,INDEX($AN$1005:$BO$1005,1,MATCH(COLUMNS($AN$1006:AN1006),$AN$1006:$BO$1006,0))&gt;=100000), " ",IF(INDEX($AN$2:$BO$1001,MATCH(ROWS($AG$2:AG491),$AG$2:$AG$1001,0),MATCH(COLUMNS($AN$1006:AN1006),$AN$1006:$BO$1006,0)), HYPERLINK("#",""), HYPERLINK(CONCATENATE("#Metadata!", ADDRESS(INDEX($AI$2:$AI$1001,MATCH(ROWS($AG$2:AG491),$AG$2:$AG$1001,0),0), INDEX($AN$1004:$BO$1004,1,MATCH(COLUMNS($AN$1006:AN1006),$AN$1006:$BO$1006,0)))),"Fix")))</f>
        <v>0</v>
      </c>
      <c r="C491" s="4">
        <f>IF(OR(INDEX($AH$2:$AH$1001,MATCH(ROWS($AG$2:AG491),$AG$2:$AG$1001,0),1)&gt;=100000,INDEX($AN$1005:$BO$1005,1,MATCH(COLUMNS($AN$1006:AO1006),$AN$1006:$BO$1006,0))&gt;=100000), " ",IF(INDEX($AN$2:$BO$1001,MATCH(ROWS($AG$2:AG491),$AG$2:$AG$1001,0),MATCH(COLUMNS($AN$1006:AO1006),$AN$1006:$BO$1006,0)), HYPERLINK("#",""), HYPERLINK(CONCATENATE("#Metadata!", ADDRESS(INDEX($AI$2:$AI$1001,MATCH(ROWS($AG$2:AG491),$AG$2:$AG$1001,0),0), INDEX($AN$1004:$BO$1004,1,MATCH(COLUMNS($AN$1006:AO1006),$AN$1006:$BO$1006,0)))),"Fix")))</f>
        <v>0</v>
      </c>
      <c r="D491" s="4">
        <f>IF(OR(INDEX($AH$2:$AH$1001,MATCH(ROWS($AG$2:AG491),$AG$2:$AG$1001,0),1)&gt;=100000,INDEX($AN$1005:$BO$1005,1,MATCH(COLUMNS($AN$1006:AP1006),$AN$1006:$BO$1006,0))&gt;=100000), " ",IF(INDEX($AN$2:$BO$1001,MATCH(ROWS($AG$2:AG491),$AG$2:$AG$1001,0),MATCH(COLUMNS($AN$1006:AP1006),$AN$1006:$BO$1006,0)), HYPERLINK("#",""), HYPERLINK(CONCATENATE("#Metadata!", ADDRESS(INDEX($AI$2:$AI$1001,MATCH(ROWS($AG$2:AG491),$AG$2:$AG$1001,0),0), INDEX($AN$1004:$BO$1004,1,MATCH(COLUMNS($AN$1006:AP1006),$AN$1006:$BO$1006,0)))),"Fix")))</f>
        <v>0</v>
      </c>
      <c r="E491" s="4">
        <f>IF(OR(INDEX($AH$2:$AH$1001,MATCH(ROWS($AG$2:AG491),$AG$2:$AG$1001,0),1)&gt;=100000,INDEX($AN$1005:$BO$1005,1,MATCH(COLUMNS($AN$1006:AQ1006),$AN$1006:$BO$1006,0))&gt;=100000), " ",IF(INDEX($AN$2:$BO$1001,MATCH(ROWS($AG$2:AG491),$AG$2:$AG$1001,0),MATCH(COLUMNS($AN$1006:AQ1006),$AN$1006:$BO$1006,0)), HYPERLINK("#",""), HYPERLINK(CONCATENATE("#Metadata!", ADDRESS(INDEX($AI$2:$AI$1001,MATCH(ROWS($AG$2:AG491),$AG$2:$AG$1001,0),0), INDEX($AN$1004:$BO$1004,1,MATCH(COLUMNS($AN$1006:AQ1006),$AN$1006:$BO$1006,0)))),"Fix")))</f>
        <v>0</v>
      </c>
      <c r="F491" s="4">
        <f>IF(OR(INDEX($AH$2:$AH$1001,MATCH(ROWS($AG$2:AG491),$AG$2:$AG$1001,0),1)&gt;=100000,INDEX($AN$1005:$BO$1005,1,MATCH(COLUMNS($AN$1006:AR1006),$AN$1006:$BO$1006,0))&gt;=100000), " ",IF(INDEX($AN$2:$BO$1001,MATCH(ROWS($AG$2:AG491),$AG$2:$AG$1001,0),MATCH(COLUMNS($AN$1006:AR1006),$AN$1006:$BO$1006,0)), HYPERLINK("#",""), HYPERLINK(CONCATENATE("#Metadata!", ADDRESS(INDEX($AI$2:$AI$1001,MATCH(ROWS($AG$2:AG491),$AG$2:$AG$1001,0),0), INDEX($AN$1004:$BO$1004,1,MATCH(COLUMNS($AN$1006:AR1006),$AN$1006:$BO$1006,0)))),"Fix")))</f>
        <v>0</v>
      </c>
      <c r="G491" s="4">
        <f>IF(OR(INDEX($AH$2:$AH$1001,MATCH(ROWS($AG$2:AG491),$AG$2:$AG$1001,0),1)&gt;=100000,INDEX($AN$1005:$BO$1005,1,MATCH(COLUMNS($AN$1006:AS1006),$AN$1006:$BO$1006,0))&gt;=100000), " ",IF(INDEX($AN$2:$BO$1001,MATCH(ROWS($AG$2:AG491),$AG$2:$AG$1001,0),MATCH(COLUMNS($AN$1006:AS1006),$AN$1006:$BO$1006,0)), HYPERLINK("#",""), HYPERLINK(CONCATENATE("#Metadata!", ADDRESS(INDEX($AI$2:$AI$1001,MATCH(ROWS($AG$2:AG491),$AG$2:$AG$1001,0),0), INDEX($AN$1004:$BO$1004,1,MATCH(COLUMNS($AN$1006:AS1006),$AN$1006:$BO$1006,0)))),"Fix")))</f>
        <v>0</v>
      </c>
      <c r="H491" s="4">
        <f>IF(OR(INDEX($AH$2:$AH$1001,MATCH(ROWS($AG$2:AG491),$AG$2:$AG$1001,0),1)&gt;=100000,INDEX($AN$1005:$BO$1005,1,MATCH(COLUMNS($AN$1006:AT1006),$AN$1006:$BO$1006,0))&gt;=100000), " ",IF(INDEX($AN$2:$BO$1001,MATCH(ROWS($AG$2:AG491),$AG$2:$AG$1001,0),MATCH(COLUMNS($AN$1006:AT1006),$AN$1006:$BO$1006,0)), HYPERLINK("#",""), HYPERLINK(CONCATENATE("#Metadata!", ADDRESS(INDEX($AI$2:$AI$1001,MATCH(ROWS($AG$2:AG491),$AG$2:$AG$1001,0),0), INDEX($AN$1004:$BO$1004,1,MATCH(COLUMNS($AN$1006:AT1006),$AN$1006:$BO$1006,0)))),"Fix")))</f>
        <v>0</v>
      </c>
      <c r="I491" s="4">
        <f>IF(OR(INDEX($AH$2:$AH$1001,MATCH(ROWS($AG$2:AG491),$AG$2:$AG$1001,0),1)&gt;=100000,INDEX($AN$1005:$BO$1005,1,MATCH(COLUMNS($AN$1006:AU1006),$AN$1006:$BO$1006,0))&gt;=100000), " ",IF(INDEX($AN$2:$BO$1001,MATCH(ROWS($AG$2:AG491),$AG$2:$AG$1001,0),MATCH(COLUMNS($AN$1006:AU1006),$AN$1006:$BO$1006,0)), HYPERLINK("#",""), HYPERLINK(CONCATENATE("#Metadata!", ADDRESS(INDEX($AI$2:$AI$1001,MATCH(ROWS($AG$2:AG491),$AG$2:$AG$1001,0),0), INDEX($AN$1004:$BO$1004,1,MATCH(COLUMNS($AN$1006:AU1006),$AN$1006:$BO$1006,0)))),"Fix")))</f>
        <v>0</v>
      </c>
      <c r="J491" s="4">
        <f>IF(OR(INDEX($AH$2:$AH$1001,MATCH(ROWS($AG$2:AG491),$AG$2:$AG$1001,0),1)&gt;=100000,INDEX($AN$1005:$BO$1005,1,MATCH(COLUMNS($AN$1006:AV1006),$AN$1006:$BO$1006,0))&gt;=100000), " ",IF(INDEX($AN$2:$BO$1001,MATCH(ROWS($AG$2:AG491),$AG$2:$AG$1001,0),MATCH(COLUMNS($AN$1006:AV1006),$AN$1006:$BO$1006,0)), HYPERLINK("#",""), HYPERLINK(CONCATENATE("#Metadata!", ADDRESS(INDEX($AI$2:$AI$1001,MATCH(ROWS($AG$2:AG491),$AG$2:$AG$1001,0),0), INDEX($AN$1004:$BO$1004,1,MATCH(COLUMNS($AN$1006:AV1006),$AN$1006:$BO$1006,0)))),"Fix")))</f>
        <v>0</v>
      </c>
      <c r="K491" s="4">
        <f>IF(OR(INDEX($AH$2:$AH$1001,MATCH(ROWS($AG$2:AG491),$AG$2:$AG$1001,0),1)&gt;=100000,INDEX($AN$1005:$BO$1005,1,MATCH(COLUMNS($AN$1006:AW1006),$AN$1006:$BO$1006,0))&gt;=100000), " ",IF(INDEX($AN$2:$BO$1001,MATCH(ROWS($AG$2:AG491),$AG$2:$AG$1001,0),MATCH(COLUMNS($AN$1006:AW1006),$AN$1006:$BO$1006,0)), HYPERLINK("#",""), HYPERLINK(CONCATENATE("#Metadata!", ADDRESS(INDEX($AI$2:$AI$1001,MATCH(ROWS($AG$2:AG491),$AG$2:$AG$1001,0),0), INDEX($AN$1004:$BO$1004,1,MATCH(COLUMNS($AN$1006:AW1006),$AN$1006:$BO$1006,0)))),"Fix")))</f>
        <v>0</v>
      </c>
      <c r="L491" s="4">
        <f>IF(OR(INDEX($AH$2:$AH$1001,MATCH(ROWS($AG$2:AG491),$AG$2:$AG$1001,0),1)&gt;=100000,INDEX($AN$1005:$BO$1005,1,MATCH(COLUMNS($AN$1006:AX1006),$AN$1006:$BO$1006,0))&gt;=100000), " ",IF(INDEX($AN$2:$BO$1001,MATCH(ROWS($AG$2:AG491),$AG$2:$AG$1001,0),MATCH(COLUMNS($AN$1006:AX1006),$AN$1006:$BO$1006,0)), HYPERLINK("#",""), HYPERLINK(CONCATENATE("#Metadata!", ADDRESS(INDEX($AI$2:$AI$1001,MATCH(ROWS($AG$2:AG491),$AG$2:$AG$1001,0),0), INDEX($AN$1004:$BO$1004,1,MATCH(COLUMNS($AN$1006:AX1006),$AN$1006:$BO$1006,0)))),"Fix")))</f>
        <v>0</v>
      </c>
      <c r="M491" s="4">
        <f>IF(OR(INDEX($AH$2:$AH$1001,MATCH(ROWS($AG$2:AG491),$AG$2:$AG$1001,0),1)&gt;=100000,INDEX($AN$1005:$BO$1005,1,MATCH(COLUMNS($AN$1006:AY1006),$AN$1006:$BO$1006,0))&gt;=100000), " ",IF(INDEX($AN$2:$BO$1001,MATCH(ROWS($AG$2:AG491),$AG$2:$AG$1001,0),MATCH(COLUMNS($AN$1006:AY1006),$AN$1006:$BO$1006,0)), HYPERLINK("#",""), HYPERLINK(CONCATENATE("#Metadata!", ADDRESS(INDEX($AI$2:$AI$1001,MATCH(ROWS($AG$2:AG491),$AG$2:$AG$1001,0),0), INDEX($AN$1004:$BO$1004,1,MATCH(COLUMNS($AN$1006:AY1006),$AN$1006:$BO$1006,0)))),"Fix")))</f>
        <v>0</v>
      </c>
      <c r="N491" s="4">
        <f>IF(OR(INDEX($AH$2:$AH$1001,MATCH(ROWS($AG$2:AG491),$AG$2:$AG$1001,0),1)&gt;=100000,INDEX($AN$1005:$BO$1005,1,MATCH(COLUMNS($AN$1006:AZ1006),$AN$1006:$BO$1006,0))&gt;=100000), " ",IF(INDEX($AN$2:$BO$1001,MATCH(ROWS($AG$2:AG491),$AG$2:$AG$1001,0),MATCH(COLUMNS($AN$1006:AZ1006),$AN$1006:$BO$1006,0)), HYPERLINK("#",""), HYPERLINK(CONCATENATE("#Metadata!", ADDRESS(INDEX($AI$2:$AI$1001,MATCH(ROWS($AG$2:AG491),$AG$2:$AG$1001,0),0), INDEX($AN$1004:$BO$1004,1,MATCH(COLUMNS($AN$1006:AZ1006),$AN$1006:$BO$1006,0)))),"Fix")))</f>
        <v>0</v>
      </c>
      <c r="O491" s="4">
        <f>IF(OR(INDEX($AH$2:$AH$1001,MATCH(ROWS($AG$2:AG491),$AG$2:$AG$1001,0),1)&gt;=100000,INDEX($AN$1005:$BO$1005,1,MATCH(COLUMNS($AN$1006:BA1006),$AN$1006:$BO$1006,0))&gt;=100000), " ",IF(INDEX($AN$2:$BO$1001,MATCH(ROWS($AG$2:AG491),$AG$2:$AG$1001,0),MATCH(COLUMNS($AN$1006:BA1006),$AN$1006:$BO$1006,0)), HYPERLINK("#",""), HYPERLINK(CONCATENATE("#Metadata!", ADDRESS(INDEX($AI$2:$AI$1001,MATCH(ROWS($AG$2:AG491),$AG$2:$AG$1001,0),0), INDEX($AN$1004:$BO$1004,1,MATCH(COLUMNS($AN$1006:BA1006),$AN$1006:$BO$1006,0)))),"Fix")))</f>
        <v>0</v>
      </c>
      <c r="P491" s="4">
        <f>IF(OR(INDEX($AH$2:$AH$1001,MATCH(ROWS($AG$2:AG491),$AG$2:$AG$1001,0),1)&gt;=100000,INDEX($AN$1005:$BO$1005,1,MATCH(COLUMNS($AN$1006:BB1006),$AN$1006:$BO$1006,0))&gt;=100000), " ",IF(INDEX($AN$2:$BO$1001,MATCH(ROWS($AG$2:AG491),$AG$2:$AG$1001,0),MATCH(COLUMNS($AN$1006:BB1006),$AN$1006:$BO$1006,0)), HYPERLINK("#",""), HYPERLINK(CONCATENATE("#Metadata!", ADDRESS(INDEX($AI$2:$AI$1001,MATCH(ROWS($AG$2:AG491),$AG$2:$AG$1001,0),0), INDEX($AN$1004:$BO$1004,1,MATCH(COLUMNS($AN$1006:BB1006),$AN$1006:$BO$1006,0)))),"Fix")))</f>
        <v>0</v>
      </c>
      <c r="Q491" s="4">
        <f>IF(OR(INDEX($AH$2:$AH$1001,MATCH(ROWS($AG$2:AG491),$AG$2:$AG$1001,0),1)&gt;=100000,INDEX($AN$1005:$BO$1005,1,MATCH(COLUMNS($AN$1006:BC1006),$AN$1006:$BO$1006,0))&gt;=100000), " ",IF(INDEX($AN$2:$BO$1001,MATCH(ROWS($AG$2:AG491),$AG$2:$AG$1001,0),MATCH(COLUMNS($AN$1006:BC1006),$AN$1006:$BO$1006,0)), HYPERLINK("#",""), HYPERLINK(CONCATENATE("#Metadata!", ADDRESS(INDEX($AI$2:$AI$1001,MATCH(ROWS($AG$2:AG491),$AG$2:$AG$1001,0),0), INDEX($AN$1004:$BO$1004,1,MATCH(COLUMNS($AN$1006:BC1006),$AN$1006:$BO$1006,0)))),"Fix")))</f>
        <v>0</v>
      </c>
      <c r="R491" s="4">
        <f>IF(OR(INDEX($AH$2:$AH$1001,MATCH(ROWS($AG$2:AG491),$AG$2:$AG$1001,0),1)&gt;=100000,INDEX($AN$1005:$BO$1005,1,MATCH(COLUMNS($AN$1006:BD1006),$AN$1006:$BO$1006,0))&gt;=100000), " ",IF(INDEX($AN$2:$BO$1001,MATCH(ROWS($AG$2:AG491),$AG$2:$AG$1001,0),MATCH(COLUMNS($AN$1006:BD1006),$AN$1006:$BO$1006,0)), HYPERLINK("#",""), HYPERLINK(CONCATENATE("#Metadata!", ADDRESS(INDEX($AI$2:$AI$1001,MATCH(ROWS($AG$2:AG491),$AG$2:$AG$1001,0),0), INDEX($AN$1004:$BO$1004,1,MATCH(COLUMNS($AN$1006:BD1006),$AN$1006:$BO$1006,0)))),"Fix")))</f>
        <v>0</v>
      </c>
      <c r="S491" s="4">
        <f>IF(OR(INDEX($AH$2:$AH$1001,MATCH(ROWS($AG$2:AG491),$AG$2:$AG$1001,0),1)&gt;=100000,INDEX($AN$1005:$BO$1005,1,MATCH(COLUMNS($AN$1006:BE1006),$AN$1006:$BO$1006,0))&gt;=100000), " ",IF(INDEX($AN$2:$BO$1001,MATCH(ROWS($AG$2:AG491),$AG$2:$AG$1001,0),MATCH(COLUMNS($AN$1006:BE1006),$AN$1006:$BO$1006,0)), HYPERLINK("#",""), HYPERLINK(CONCATENATE("#Metadata!", ADDRESS(INDEX($AI$2:$AI$1001,MATCH(ROWS($AG$2:AG491),$AG$2:$AG$1001,0),0), INDEX($AN$1004:$BO$1004,1,MATCH(COLUMNS($AN$1006:BE1006),$AN$1006:$BO$1006,0)))),"Fix")))</f>
        <v>0</v>
      </c>
      <c r="T491" s="4">
        <f>IF(OR(INDEX($AH$2:$AH$1001,MATCH(ROWS($AG$2:AG491),$AG$2:$AG$1001,0),1)&gt;=100000,INDEX($AN$1005:$BO$1005,1,MATCH(COLUMNS($AN$1006:BF1006),$AN$1006:$BO$1006,0))&gt;=100000), " ",IF(INDEX($AN$2:$BO$1001,MATCH(ROWS($AG$2:AG491),$AG$2:$AG$1001,0),MATCH(COLUMNS($AN$1006:BF1006),$AN$1006:$BO$1006,0)), HYPERLINK("#",""), HYPERLINK(CONCATENATE("#Metadata!", ADDRESS(INDEX($AI$2:$AI$1001,MATCH(ROWS($AG$2:AG491),$AG$2:$AG$1001,0),0), INDEX($AN$1004:$BO$1004,1,MATCH(COLUMNS($AN$1006:BF1006),$AN$1006:$BO$1006,0)))),"Fix")))</f>
        <v>0</v>
      </c>
      <c r="U491" s="4">
        <f>IF(OR(INDEX($AH$2:$AH$1001,MATCH(ROWS($AG$2:AG491),$AG$2:$AG$1001,0),1)&gt;=100000,INDEX($AN$1005:$BO$1005,1,MATCH(COLUMNS($AN$1006:BG1006),$AN$1006:$BO$1006,0))&gt;=100000), " ",IF(INDEX($AN$2:$BO$1001,MATCH(ROWS($AG$2:AG491),$AG$2:$AG$1001,0),MATCH(COLUMNS($AN$1006:BG1006),$AN$1006:$BO$1006,0)), HYPERLINK("#",""), HYPERLINK(CONCATENATE("#Metadata!", ADDRESS(INDEX($AI$2:$AI$1001,MATCH(ROWS($AG$2:AG491),$AG$2:$AG$1001,0),0), INDEX($AN$1004:$BO$1004,1,MATCH(COLUMNS($AN$1006:BG1006),$AN$1006:$BO$1006,0)))),"Fix")))</f>
        <v>0</v>
      </c>
      <c r="V491" s="4">
        <f>IF(OR(INDEX($AH$2:$AH$1001,MATCH(ROWS($AG$2:AG491),$AG$2:$AG$1001,0),1)&gt;=100000,INDEX($AN$1005:$BO$1005,1,MATCH(COLUMNS($AN$1006:BH1006),$AN$1006:$BO$1006,0))&gt;=100000), " ",IF(INDEX($AN$2:$BO$1001,MATCH(ROWS($AG$2:AG491),$AG$2:$AG$1001,0),MATCH(COLUMNS($AN$1006:BH1006),$AN$1006:$BO$1006,0)), HYPERLINK("#",""), HYPERLINK(CONCATENATE("#Metadata!", ADDRESS(INDEX($AI$2:$AI$1001,MATCH(ROWS($AG$2:AG491),$AG$2:$AG$1001,0),0), INDEX($AN$1004:$BO$1004,1,MATCH(COLUMNS($AN$1006:BH1006),$AN$1006:$BO$1006,0)))),"Fix")))</f>
        <v>0</v>
      </c>
      <c r="W491" s="4">
        <f>IF(OR(INDEX($AH$2:$AH$1001,MATCH(ROWS($AG$2:AG491),$AG$2:$AG$1001,0),1)&gt;=100000,INDEX($AN$1005:$BO$1005,1,MATCH(COLUMNS($AN$1006:BI1006),$AN$1006:$BO$1006,0))&gt;=100000), " ",IF(INDEX($AN$2:$BO$1001,MATCH(ROWS($AG$2:AG491),$AG$2:$AG$1001,0),MATCH(COLUMNS($AN$1006:BI1006),$AN$1006:$BO$1006,0)), HYPERLINK("#",""), HYPERLINK(CONCATENATE("#Metadata!", ADDRESS(INDEX($AI$2:$AI$1001,MATCH(ROWS($AG$2:AG491),$AG$2:$AG$1001,0),0), INDEX($AN$1004:$BO$1004,1,MATCH(COLUMNS($AN$1006:BI1006),$AN$1006:$BO$1006,0)))),"Fix")))</f>
        <v>0</v>
      </c>
      <c r="X491" s="4">
        <f>IF(OR(INDEX($AH$2:$AH$1001,MATCH(ROWS($AG$2:AG491),$AG$2:$AG$1001,0),1)&gt;=100000,INDEX($AN$1005:$BO$1005,1,MATCH(COLUMNS($AN$1006:BJ1006),$AN$1006:$BO$1006,0))&gt;=100000), " ",IF(INDEX($AN$2:$BO$1001,MATCH(ROWS($AG$2:AG491),$AG$2:$AG$1001,0),MATCH(COLUMNS($AN$1006:BJ1006),$AN$1006:$BO$1006,0)), HYPERLINK("#",""), HYPERLINK(CONCATENATE("#Metadata!", ADDRESS(INDEX($AI$2:$AI$1001,MATCH(ROWS($AG$2:AG491),$AG$2:$AG$1001,0),0), INDEX($AN$1004:$BO$1004,1,MATCH(COLUMNS($AN$1006:BJ1006),$AN$1006:$BO$1006,0)))),"Fix")))</f>
        <v>0</v>
      </c>
      <c r="Y491" s="4">
        <f>IF(OR(INDEX($AH$2:$AH$1001,MATCH(ROWS($AG$2:AG491),$AG$2:$AG$1001,0),1)&gt;=100000,INDEX($AN$1005:$BO$1005,1,MATCH(COLUMNS($AN$1006:BK1006),$AN$1006:$BO$1006,0))&gt;=100000), " ",IF(INDEX($AN$2:$BO$1001,MATCH(ROWS($AG$2:AG491),$AG$2:$AG$1001,0),MATCH(COLUMNS($AN$1006:BK1006),$AN$1006:$BO$1006,0)), HYPERLINK("#",""), HYPERLINK(CONCATENATE("#Metadata!", ADDRESS(INDEX($AI$2:$AI$1001,MATCH(ROWS($AG$2:AG491),$AG$2:$AG$1001,0),0), INDEX($AN$1004:$BO$1004,1,MATCH(COLUMNS($AN$1006:BK1006),$AN$1006:$BO$1006,0)))),"Fix")))</f>
        <v>0</v>
      </c>
      <c r="Z491" s="4">
        <f>IF(OR(INDEX($AH$2:$AH$1001,MATCH(ROWS($AG$2:AG491),$AG$2:$AG$1001,0),1)&gt;=100000,INDEX($AN$1005:$BO$1005,1,MATCH(COLUMNS($AN$1006:BL1006),$AN$1006:$BO$1006,0))&gt;=100000), " ",IF(INDEX($AN$2:$BO$1001,MATCH(ROWS($AG$2:AG491),$AG$2:$AG$1001,0),MATCH(COLUMNS($AN$1006:BL1006),$AN$1006:$BO$1006,0)), HYPERLINK("#",""), HYPERLINK(CONCATENATE("#Metadata!", ADDRESS(INDEX($AI$2:$AI$1001,MATCH(ROWS($AG$2:AG491),$AG$2:$AG$1001,0),0), INDEX($AN$1004:$BO$1004,1,MATCH(COLUMNS($AN$1006:BL1006),$AN$1006:$BO$1006,0)))),"Fix")))</f>
        <v>0</v>
      </c>
      <c r="AA491" s="4">
        <f>IF(OR(INDEX($AH$2:$AH$1001,MATCH(ROWS($AG$2:AG491),$AG$2:$AG$1001,0),1)&gt;=100000,INDEX($AN$1005:$BO$1005,1,MATCH(COLUMNS($AN$1006:BM1006),$AN$1006:$BO$1006,0))&gt;=100000), " ",IF(INDEX($AN$2:$BO$1001,MATCH(ROWS($AG$2:AG491),$AG$2:$AG$1001,0),MATCH(COLUMNS($AN$1006:BM1006),$AN$1006:$BO$1006,0)), HYPERLINK("#",""), HYPERLINK(CONCATENATE("#Metadata!", ADDRESS(INDEX($AI$2:$AI$1001,MATCH(ROWS($AG$2:AG491),$AG$2:$AG$1001,0),0), INDEX($AN$1004:$BO$1004,1,MATCH(COLUMNS($AN$1006:BM1006),$AN$1006:$BO$1006,0)))),"Fix")))</f>
        <v>0</v>
      </c>
      <c r="AB491" s="4">
        <f>IF(OR(INDEX($AH$2:$AH$1001,MATCH(ROWS($AG$2:AG491),$AG$2:$AG$1001,0),1)&gt;=100000,INDEX($AN$1005:$BO$1005,1,MATCH(COLUMNS($AN$1006:BN1006),$AN$1006:$BO$1006,0))&gt;=100000), " ",IF(INDEX($AN$2:$BO$1001,MATCH(ROWS($AG$2:AG491),$AG$2:$AG$1001,0),MATCH(COLUMNS($AN$1006:BN1006),$AN$1006:$BO$1006,0)), HYPERLINK("#",""), HYPERLINK(CONCATENATE("#Metadata!", ADDRESS(INDEX($AI$2:$AI$1001,MATCH(ROWS($AG$2:AG491),$AG$2:$AG$1001,0),0), INDEX($AN$1004:$BO$1004,1,MATCH(COLUMNS($AN$1006:BN1006),$AN$1006:$BO$1006,0)))),"Fix")))</f>
        <v>0</v>
      </c>
      <c r="AC491" s="4">
        <f>IF(OR(INDEX($AH$2:$AH$1001,MATCH(ROWS($AG$2:AG491),$AG$2:$AG$1001,0),1)&gt;=100000,INDEX($AN$1005:$BO$1005,1,MATCH(COLUMNS($AN$1006:BO1006),$AN$1006:$BO$1006,0))&gt;=100000), " ",IF(INDEX($AN$2:$BO$1001,MATCH(ROWS($AG$2:AG491),$AG$2:$AG$1001,0),MATCH(COLUMNS($AN$1006:BO1006),$AN$1006:$BO$1006,0)), HYPERLINK("#",""), HYPERLINK(CONCATENATE("#Metadata!", ADDRESS(INDEX($AI$2:$AI$1001,MATCH(ROWS($AG$2:AG491),$AG$2:$AG$1001,0),0), INDEX($AN$1004:$BO$1004,1,MATCH(COLUMNS($AN$1006:BO1006),$AN$1006:$BO$1006,0)))),"Fix")))</f>
        <v>0</v>
      </c>
      <c r="AG491">
        <v>0</v>
      </c>
      <c r="AH491">
        <v>0</v>
      </c>
      <c r="AI491">
        <v>0</v>
      </c>
      <c r="AJ491">
        <f>IF(AK491,TRUE,AND(AN491:BO491))</f>
        <v>0</v>
      </c>
      <c r="AK491">
        <f>COUNTBLANK(Metadata!B491:AC491)=COLUMNS(Metadata!B491:AC491)</f>
        <v>0</v>
      </c>
      <c r="AL491">
        <v>0</v>
      </c>
      <c r="AN491">
        <f>AND(IF(Metadata!B491="",FALSE,TRUE),COUNTIF(Metadata!B:B, Metadata!B491) = 1,NOT(ISERROR(SUMPRODUCT(SEARCH(MID(Metadata!B491,ROW(INDIRECT("1:"&amp;LEN(Metadata!B491))), 1),"0123456789abcdefghijklmnopqrstuvwxyzABCDEFGHIJKLMNOPQRSTUVWXYZ.")))))</f>
        <v>0</v>
      </c>
      <c r="AO491">
        <f>IF(Metadata!C491="",FALSE,TRUE)</f>
        <v>0</v>
      </c>
      <c r="AP491">
        <f>IF(Metadata!D491="",FALSE,TRUE)</f>
        <v>0</v>
      </c>
      <c r="AQ491">
        <f>OR(AND(IF(Metadata!E491="",FALSE,TRUE),OR(exact(Metadata!E491,"not collected"),exact(Metadata!E491,"not provided"),exact(Metadata!E491,"restricted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R491">
        <f>IF(Metadata!F491="",FALSE,TRUE)</f>
        <v>0</v>
      </c>
      <c r="AS491">
        <f>OR(AND(IF(Metadata!G491="",FALSE,TRUE),OR(exact(Metadata!G491,"not collected"),exact(Metadata!G491,"not provided"))),AND(IF(Metadata!G491="",FALSE,TRUE),OR(exact(Metadata!G491,"TRUE"),exact(Metadata!G491,"FALSE"))))</f>
        <v>0</v>
      </c>
      <c r="AT491">
        <f>OR(AND(IF(Metadata!H491="",FALSE,TRUE),OR(exact(Metadata!H491,"not collected"),exact(Metadata!H491,"not provided"),exact(Metadata!H491,"restricted access"))),AND(IF(Metadata!H491="",FALSE,ISNUMBER(VALUE(Metadata!H491))),Metadata!H491&gt;=-413.0))</f>
        <v>0</v>
      </c>
      <c r="AU491">
        <f>AND(IF(Metadata!I491="",FALSE,TRUE),exact(Metadata!I491,"meters"))</f>
        <v>0</v>
      </c>
      <c r="AV491">
        <f>AND(IF(Metadata!J491="",FALSE,TRUE),OR(exact(Metadata!J491,"Host-associated"),exact(Metadata!J491,"Free-living")))</f>
        <v>0</v>
      </c>
      <c r="AW491">
        <f>AND(IF(Metadata!K491="",FALSE,TRUE),OR(exact(Metadata!K491,"Animal"),exact(Metadata!K491,"Fungus"),exact(Metadata!K491,"Plant"),exact(Metadata!K491,"Saline"),exact(Metadata!K491,"Non-saline")))</f>
        <v>0</v>
      </c>
      <c r="AX491">
        <f>AND(IF(Metadata!L491="",FALSE,TRUE),OR(exact(Metadata!L491,"Plant secretion"),exact(Metadata!L491,"Plant rhizosphere"),exact(Metadata!L491,"Plant surface"),exact(Metadata!L491,"Plant corpus"),exact(Metadata!L491,"Fungus surface"),exact(Metadata!L491,"Fungus corpus"),exact(Metadata!L491,"Animal surface"),exact(Metadata!L491,"Animal proximal gut"),exact(Metadata!L491,"Animal corpus"),exact(Metadata!L491,"Animal distal gut"),exact(Metadata!L491,"Animal secretion"),exact(Metadata!L491,"Sub-surface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Y491">
        <f>IF(Metadata!M491="",FALSE,TRUE)</f>
        <v>0</v>
      </c>
      <c r="AZ491">
        <f>IF(Metadata!N491="",FALSE,TRUE)</f>
        <v>0</v>
      </c>
      <c r="BA491">
        <f>IF(Metadata!O491="",FALSE,TRUE)</f>
        <v>0</v>
      </c>
      <c r="BB491">
        <f>OR(AND(IF(Metadata!P491="",FALSE,TRUE),OR(exact(Metadata!P491,"not collected"),exact(Metadata!P491,"not provided"),exact(Metadata!P491,"restricted access"))),AND(IF(Metadata!P491="",FALSE,TRUE),OR(exact(Metadata!P491,"air"),exact(Metadata!P491,"built environment"),exact(Metadata!P491,"host-associated"),exact(Metadata!P491,"human-associated"),exact(Metadata!P491,"human-skin"),exact(Metadata!P491,"human-oral"),exact(Metadata!P491,"human-gut"),exact(Metadata!P491,"human-vaginal"),exact(Metadata!P491,"microbial mat/biofilm"),exact(Metadata!P491,"misc environment"),exact(Metadata!P491,"plant-associated"),exact(Metadata!P491,"sediment"),exact(Metadata!P491,"soil"),exact(Metadata!P491,"wastewater/sludge"),exact(Metadata!P491,"water"))))</f>
        <v>0</v>
      </c>
      <c r="BC491">
        <f>IF(Metadata!Q491="",FALSE,TRUE)</f>
        <v>0</v>
      </c>
      <c r="BD491">
        <f>IF(Metadata!R491="",FALSE,TRUE)</f>
        <v>0</v>
      </c>
      <c r="BE491">
        <f>OR(AND(IF(Metadata!S491="",FALSE,TRUE),OR(exact(Metadata!S491,"not collected"),exact(Metadata!S491,"not provided"),exact(Metadata!S491,"restricted access"))),AND(IF(Metadata!S491="",FALSE,ISNUMBER(VALUE(Metadata!S491))),Metadata!S491&gt;=-90.00,Metadata!S491&lt;=90.00))</f>
        <v>0</v>
      </c>
      <c r="BF491">
        <f>AND(IF(Metadata!T491="",FALSE,TRUE),exact(Metadata!T491,"Decimal degrees"))</f>
        <v>0</v>
      </c>
      <c r="BG491">
        <f>OR(AND(IF(Metadata!U491="",FALSE,TRUE),OR(exact(Metadata!U491,"not collected"),exact(Metadata!U491,"not provided"),exact(Metadata!U491,"restricted access"))),AND(IF(Metadata!U491="",FALSE,ISNUMBER(VALUE(Metadata!U491))),Metadata!U491&gt;=-180.00,Metadata!U491&lt;=180.00))</f>
        <v>0</v>
      </c>
      <c r="BH491">
        <f>AND(IF(Metadata!V491="",FALSE,TRUE),exact(Metadata!V491,"Decimal degrees"))</f>
        <v>0</v>
      </c>
      <c r="BI491">
        <f>IF(Metadata!W491="",FALSE,TRUE)</f>
        <v>0</v>
      </c>
      <c r="BJ491">
        <f>OR(AND(IF(Metadata!X491="",FALSE,TRUE),OR(exact(Metadata!X491,"not collected"),exact(Metadata!X491,"not provided"),exact(Metadata!X491,"restricted access"))),AND(IF(Metadata!X491="",FALSE,TRUE),OR(exact(Metadata!X491,"TRUE"),exact(Metadata!X491,"FALSE"))))</f>
        <v>0</v>
      </c>
      <c r="BK491">
        <f>AND(IF(Metadata!Y491="",FALSE,TRUE),exact(Metadata!Y491,"other"))</f>
        <v>0</v>
      </c>
      <c r="BL491">
        <f>IF(Metadata!Z491="",FALSE,TRUE)</f>
        <v>0</v>
      </c>
      <c r="BM491">
        <f>OR(AND(IF(Metadata!AA491="",FALSE,TRUE),OR(exact(Metadata!AA491,"not collected"),exact(Metadata!AA491,"not provided"))),AND(IF(Metadata!AA491="",FALSE,IF(ISERROR(INT(Metadata!AA491)),FALSE,INT(Metadata!AA491)=Metadata!AA491)),Metadata!AA491&gt;0))</f>
        <v>0</v>
      </c>
      <c r="BN491">
        <f>AND(IF(Metadata!AB491="",FALSE,TRUE),exact(Metadata!AB491,"Not applicable"))</f>
        <v>0</v>
      </c>
      <c r="BO491">
        <f>IF(Metadata!AC491="",FALSE,TRUE)</f>
        <v>0</v>
      </c>
    </row>
    <row r="492" spans="1:67">
      <c r="A492" s="5">
        <f>IF(B492=" "," ",HYPERLINK(CONCATENATE("#metadata!",ADDRESS(INDEX($AI$2:$AI$1001,MATCH(ROWS($AG$2:AG492),$AG$2:$AG$1001,0),0),1)),INDEX($AL$2:$AL$1001,MATCH(ROWS($AG$2:AG492),$AG$2:$AG$1001,0),0)))</f>
        <v>0</v>
      </c>
      <c r="B492" s="4">
        <f>IF(OR(INDEX($AH$2:$AH$1001,MATCH(ROWS($AG$2:AG492),$AG$2:$AG$1001,0),1)&gt;=100000,INDEX($AN$1005:$BO$1005,1,MATCH(COLUMNS($AN$1006:AN1006),$AN$1006:$BO$1006,0))&gt;=100000), " ",IF(INDEX($AN$2:$BO$1001,MATCH(ROWS($AG$2:AG492),$AG$2:$AG$1001,0),MATCH(COLUMNS($AN$1006:AN1006),$AN$1006:$BO$1006,0)), HYPERLINK("#",""), HYPERLINK(CONCATENATE("#Metadata!", ADDRESS(INDEX($AI$2:$AI$1001,MATCH(ROWS($AG$2:AG492),$AG$2:$AG$1001,0),0), INDEX($AN$1004:$BO$1004,1,MATCH(COLUMNS($AN$1006:AN1006),$AN$1006:$BO$1006,0)))),"Fix")))</f>
        <v>0</v>
      </c>
      <c r="C492" s="4">
        <f>IF(OR(INDEX($AH$2:$AH$1001,MATCH(ROWS($AG$2:AG492),$AG$2:$AG$1001,0),1)&gt;=100000,INDEX($AN$1005:$BO$1005,1,MATCH(COLUMNS($AN$1006:AO1006),$AN$1006:$BO$1006,0))&gt;=100000), " ",IF(INDEX($AN$2:$BO$1001,MATCH(ROWS($AG$2:AG492),$AG$2:$AG$1001,0),MATCH(COLUMNS($AN$1006:AO1006),$AN$1006:$BO$1006,0)), HYPERLINK("#",""), HYPERLINK(CONCATENATE("#Metadata!", ADDRESS(INDEX($AI$2:$AI$1001,MATCH(ROWS($AG$2:AG492),$AG$2:$AG$1001,0),0), INDEX($AN$1004:$BO$1004,1,MATCH(COLUMNS($AN$1006:AO1006),$AN$1006:$BO$1006,0)))),"Fix")))</f>
        <v>0</v>
      </c>
      <c r="D492" s="4">
        <f>IF(OR(INDEX($AH$2:$AH$1001,MATCH(ROWS($AG$2:AG492),$AG$2:$AG$1001,0),1)&gt;=100000,INDEX($AN$1005:$BO$1005,1,MATCH(COLUMNS($AN$1006:AP1006),$AN$1006:$BO$1006,0))&gt;=100000), " ",IF(INDEX($AN$2:$BO$1001,MATCH(ROWS($AG$2:AG492),$AG$2:$AG$1001,0),MATCH(COLUMNS($AN$1006:AP1006),$AN$1006:$BO$1006,0)), HYPERLINK("#",""), HYPERLINK(CONCATENATE("#Metadata!", ADDRESS(INDEX($AI$2:$AI$1001,MATCH(ROWS($AG$2:AG492),$AG$2:$AG$1001,0),0), INDEX($AN$1004:$BO$1004,1,MATCH(COLUMNS($AN$1006:AP1006),$AN$1006:$BO$1006,0)))),"Fix")))</f>
        <v>0</v>
      </c>
      <c r="E492" s="4">
        <f>IF(OR(INDEX($AH$2:$AH$1001,MATCH(ROWS($AG$2:AG492),$AG$2:$AG$1001,0),1)&gt;=100000,INDEX($AN$1005:$BO$1005,1,MATCH(COLUMNS($AN$1006:AQ1006),$AN$1006:$BO$1006,0))&gt;=100000), " ",IF(INDEX($AN$2:$BO$1001,MATCH(ROWS($AG$2:AG492),$AG$2:$AG$1001,0),MATCH(COLUMNS($AN$1006:AQ1006),$AN$1006:$BO$1006,0)), HYPERLINK("#",""), HYPERLINK(CONCATENATE("#Metadata!", ADDRESS(INDEX($AI$2:$AI$1001,MATCH(ROWS($AG$2:AG492),$AG$2:$AG$1001,0),0), INDEX($AN$1004:$BO$1004,1,MATCH(COLUMNS($AN$1006:AQ1006),$AN$1006:$BO$1006,0)))),"Fix")))</f>
        <v>0</v>
      </c>
      <c r="F492" s="4">
        <f>IF(OR(INDEX($AH$2:$AH$1001,MATCH(ROWS($AG$2:AG492),$AG$2:$AG$1001,0),1)&gt;=100000,INDEX($AN$1005:$BO$1005,1,MATCH(COLUMNS($AN$1006:AR1006),$AN$1006:$BO$1006,0))&gt;=100000), " ",IF(INDEX($AN$2:$BO$1001,MATCH(ROWS($AG$2:AG492),$AG$2:$AG$1001,0),MATCH(COLUMNS($AN$1006:AR1006),$AN$1006:$BO$1006,0)), HYPERLINK("#",""), HYPERLINK(CONCATENATE("#Metadata!", ADDRESS(INDEX($AI$2:$AI$1001,MATCH(ROWS($AG$2:AG492),$AG$2:$AG$1001,0),0), INDEX($AN$1004:$BO$1004,1,MATCH(COLUMNS($AN$1006:AR1006),$AN$1006:$BO$1006,0)))),"Fix")))</f>
        <v>0</v>
      </c>
      <c r="G492" s="4">
        <f>IF(OR(INDEX($AH$2:$AH$1001,MATCH(ROWS($AG$2:AG492),$AG$2:$AG$1001,0),1)&gt;=100000,INDEX($AN$1005:$BO$1005,1,MATCH(COLUMNS($AN$1006:AS1006),$AN$1006:$BO$1006,0))&gt;=100000), " ",IF(INDEX($AN$2:$BO$1001,MATCH(ROWS($AG$2:AG492),$AG$2:$AG$1001,0),MATCH(COLUMNS($AN$1006:AS1006),$AN$1006:$BO$1006,0)), HYPERLINK("#",""), HYPERLINK(CONCATENATE("#Metadata!", ADDRESS(INDEX($AI$2:$AI$1001,MATCH(ROWS($AG$2:AG492),$AG$2:$AG$1001,0),0), INDEX($AN$1004:$BO$1004,1,MATCH(COLUMNS($AN$1006:AS1006),$AN$1006:$BO$1006,0)))),"Fix")))</f>
        <v>0</v>
      </c>
      <c r="H492" s="4">
        <f>IF(OR(INDEX($AH$2:$AH$1001,MATCH(ROWS($AG$2:AG492),$AG$2:$AG$1001,0),1)&gt;=100000,INDEX($AN$1005:$BO$1005,1,MATCH(COLUMNS($AN$1006:AT1006),$AN$1006:$BO$1006,0))&gt;=100000), " ",IF(INDEX($AN$2:$BO$1001,MATCH(ROWS($AG$2:AG492),$AG$2:$AG$1001,0),MATCH(COLUMNS($AN$1006:AT1006),$AN$1006:$BO$1006,0)), HYPERLINK("#",""), HYPERLINK(CONCATENATE("#Metadata!", ADDRESS(INDEX($AI$2:$AI$1001,MATCH(ROWS($AG$2:AG492),$AG$2:$AG$1001,0),0), INDEX($AN$1004:$BO$1004,1,MATCH(COLUMNS($AN$1006:AT1006),$AN$1006:$BO$1006,0)))),"Fix")))</f>
        <v>0</v>
      </c>
      <c r="I492" s="4">
        <f>IF(OR(INDEX($AH$2:$AH$1001,MATCH(ROWS($AG$2:AG492),$AG$2:$AG$1001,0),1)&gt;=100000,INDEX($AN$1005:$BO$1005,1,MATCH(COLUMNS($AN$1006:AU1006),$AN$1006:$BO$1006,0))&gt;=100000), " ",IF(INDEX($AN$2:$BO$1001,MATCH(ROWS($AG$2:AG492),$AG$2:$AG$1001,0),MATCH(COLUMNS($AN$1006:AU1006),$AN$1006:$BO$1006,0)), HYPERLINK("#",""), HYPERLINK(CONCATENATE("#Metadata!", ADDRESS(INDEX($AI$2:$AI$1001,MATCH(ROWS($AG$2:AG492),$AG$2:$AG$1001,0),0), INDEX($AN$1004:$BO$1004,1,MATCH(COLUMNS($AN$1006:AU1006),$AN$1006:$BO$1006,0)))),"Fix")))</f>
        <v>0</v>
      </c>
      <c r="J492" s="4">
        <f>IF(OR(INDEX($AH$2:$AH$1001,MATCH(ROWS($AG$2:AG492),$AG$2:$AG$1001,0),1)&gt;=100000,INDEX($AN$1005:$BO$1005,1,MATCH(COLUMNS($AN$1006:AV1006),$AN$1006:$BO$1006,0))&gt;=100000), " ",IF(INDEX($AN$2:$BO$1001,MATCH(ROWS($AG$2:AG492),$AG$2:$AG$1001,0),MATCH(COLUMNS($AN$1006:AV1006),$AN$1006:$BO$1006,0)), HYPERLINK("#",""), HYPERLINK(CONCATENATE("#Metadata!", ADDRESS(INDEX($AI$2:$AI$1001,MATCH(ROWS($AG$2:AG492),$AG$2:$AG$1001,0),0), INDEX($AN$1004:$BO$1004,1,MATCH(COLUMNS($AN$1006:AV1006),$AN$1006:$BO$1006,0)))),"Fix")))</f>
        <v>0</v>
      </c>
      <c r="K492" s="4">
        <f>IF(OR(INDEX($AH$2:$AH$1001,MATCH(ROWS($AG$2:AG492),$AG$2:$AG$1001,0),1)&gt;=100000,INDEX($AN$1005:$BO$1005,1,MATCH(COLUMNS($AN$1006:AW1006),$AN$1006:$BO$1006,0))&gt;=100000), " ",IF(INDEX($AN$2:$BO$1001,MATCH(ROWS($AG$2:AG492),$AG$2:$AG$1001,0),MATCH(COLUMNS($AN$1006:AW1006),$AN$1006:$BO$1006,0)), HYPERLINK("#",""), HYPERLINK(CONCATENATE("#Metadata!", ADDRESS(INDEX($AI$2:$AI$1001,MATCH(ROWS($AG$2:AG492),$AG$2:$AG$1001,0),0), INDEX($AN$1004:$BO$1004,1,MATCH(COLUMNS($AN$1006:AW1006),$AN$1006:$BO$1006,0)))),"Fix")))</f>
        <v>0</v>
      </c>
      <c r="L492" s="4">
        <f>IF(OR(INDEX($AH$2:$AH$1001,MATCH(ROWS($AG$2:AG492),$AG$2:$AG$1001,0),1)&gt;=100000,INDEX($AN$1005:$BO$1005,1,MATCH(COLUMNS($AN$1006:AX1006),$AN$1006:$BO$1006,0))&gt;=100000), " ",IF(INDEX($AN$2:$BO$1001,MATCH(ROWS($AG$2:AG492),$AG$2:$AG$1001,0),MATCH(COLUMNS($AN$1006:AX1006),$AN$1006:$BO$1006,0)), HYPERLINK("#",""), HYPERLINK(CONCATENATE("#Metadata!", ADDRESS(INDEX($AI$2:$AI$1001,MATCH(ROWS($AG$2:AG492),$AG$2:$AG$1001,0),0), INDEX($AN$1004:$BO$1004,1,MATCH(COLUMNS($AN$1006:AX1006),$AN$1006:$BO$1006,0)))),"Fix")))</f>
        <v>0</v>
      </c>
      <c r="M492" s="4">
        <f>IF(OR(INDEX($AH$2:$AH$1001,MATCH(ROWS($AG$2:AG492),$AG$2:$AG$1001,0),1)&gt;=100000,INDEX($AN$1005:$BO$1005,1,MATCH(COLUMNS($AN$1006:AY1006),$AN$1006:$BO$1006,0))&gt;=100000), " ",IF(INDEX($AN$2:$BO$1001,MATCH(ROWS($AG$2:AG492),$AG$2:$AG$1001,0),MATCH(COLUMNS($AN$1006:AY1006),$AN$1006:$BO$1006,0)), HYPERLINK("#",""), HYPERLINK(CONCATENATE("#Metadata!", ADDRESS(INDEX($AI$2:$AI$1001,MATCH(ROWS($AG$2:AG492),$AG$2:$AG$1001,0),0), INDEX($AN$1004:$BO$1004,1,MATCH(COLUMNS($AN$1006:AY1006),$AN$1006:$BO$1006,0)))),"Fix")))</f>
        <v>0</v>
      </c>
      <c r="N492" s="4">
        <f>IF(OR(INDEX($AH$2:$AH$1001,MATCH(ROWS($AG$2:AG492),$AG$2:$AG$1001,0),1)&gt;=100000,INDEX($AN$1005:$BO$1005,1,MATCH(COLUMNS($AN$1006:AZ1006),$AN$1006:$BO$1006,0))&gt;=100000), " ",IF(INDEX($AN$2:$BO$1001,MATCH(ROWS($AG$2:AG492),$AG$2:$AG$1001,0),MATCH(COLUMNS($AN$1006:AZ1006),$AN$1006:$BO$1006,0)), HYPERLINK("#",""), HYPERLINK(CONCATENATE("#Metadata!", ADDRESS(INDEX($AI$2:$AI$1001,MATCH(ROWS($AG$2:AG492),$AG$2:$AG$1001,0),0), INDEX($AN$1004:$BO$1004,1,MATCH(COLUMNS($AN$1006:AZ1006),$AN$1006:$BO$1006,0)))),"Fix")))</f>
        <v>0</v>
      </c>
      <c r="O492" s="4">
        <f>IF(OR(INDEX($AH$2:$AH$1001,MATCH(ROWS($AG$2:AG492),$AG$2:$AG$1001,0),1)&gt;=100000,INDEX($AN$1005:$BO$1005,1,MATCH(COLUMNS($AN$1006:BA1006),$AN$1006:$BO$1006,0))&gt;=100000), " ",IF(INDEX($AN$2:$BO$1001,MATCH(ROWS($AG$2:AG492),$AG$2:$AG$1001,0),MATCH(COLUMNS($AN$1006:BA1006),$AN$1006:$BO$1006,0)), HYPERLINK("#",""), HYPERLINK(CONCATENATE("#Metadata!", ADDRESS(INDEX($AI$2:$AI$1001,MATCH(ROWS($AG$2:AG492),$AG$2:$AG$1001,0),0), INDEX($AN$1004:$BO$1004,1,MATCH(COLUMNS($AN$1006:BA1006),$AN$1006:$BO$1006,0)))),"Fix")))</f>
        <v>0</v>
      </c>
      <c r="P492" s="4">
        <f>IF(OR(INDEX($AH$2:$AH$1001,MATCH(ROWS($AG$2:AG492),$AG$2:$AG$1001,0),1)&gt;=100000,INDEX($AN$1005:$BO$1005,1,MATCH(COLUMNS($AN$1006:BB1006),$AN$1006:$BO$1006,0))&gt;=100000), " ",IF(INDEX($AN$2:$BO$1001,MATCH(ROWS($AG$2:AG492),$AG$2:$AG$1001,0),MATCH(COLUMNS($AN$1006:BB1006),$AN$1006:$BO$1006,0)), HYPERLINK("#",""), HYPERLINK(CONCATENATE("#Metadata!", ADDRESS(INDEX($AI$2:$AI$1001,MATCH(ROWS($AG$2:AG492),$AG$2:$AG$1001,0),0), INDEX($AN$1004:$BO$1004,1,MATCH(COLUMNS($AN$1006:BB1006),$AN$1006:$BO$1006,0)))),"Fix")))</f>
        <v>0</v>
      </c>
      <c r="Q492" s="4">
        <f>IF(OR(INDEX($AH$2:$AH$1001,MATCH(ROWS($AG$2:AG492),$AG$2:$AG$1001,0),1)&gt;=100000,INDEX($AN$1005:$BO$1005,1,MATCH(COLUMNS($AN$1006:BC1006),$AN$1006:$BO$1006,0))&gt;=100000), " ",IF(INDEX($AN$2:$BO$1001,MATCH(ROWS($AG$2:AG492),$AG$2:$AG$1001,0),MATCH(COLUMNS($AN$1006:BC1006),$AN$1006:$BO$1006,0)), HYPERLINK("#",""), HYPERLINK(CONCATENATE("#Metadata!", ADDRESS(INDEX($AI$2:$AI$1001,MATCH(ROWS($AG$2:AG492),$AG$2:$AG$1001,0),0), INDEX($AN$1004:$BO$1004,1,MATCH(COLUMNS($AN$1006:BC1006),$AN$1006:$BO$1006,0)))),"Fix")))</f>
        <v>0</v>
      </c>
      <c r="R492" s="4">
        <f>IF(OR(INDEX($AH$2:$AH$1001,MATCH(ROWS($AG$2:AG492),$AG$2:$AG$1001,0),1)&gt;=100000,INDEX($AN$1005:$BO$1005,1,MATCH(COLUMNS($AN$1006:BD1006),$AN$1006:$BO$1006,0))&gt;=100000), " ",IF(INDEX($AN$2:$BO$1001,MATCH(ROWS($AG$2:AG492),$AG$2:$AG$1001,0),MATCH(COLUMNS($AN$1006:BD1006),$AN$1006:$BO$1006,0)), HYPERLINK("#",""), HYPERLINK(CONCATENATE("#Metadata!", ADDRESS(INDEX($AI$2:$AI$1001,MATCH(ROWS($AG$2:AG492),$AG$2:$AG$1001,0),0), INDEX($AN$1004:$BO$1004,1,MATCH(COLUMNS($AN$1006:BD1006),$AN$1006:$BO$1006,0)))),"Fix")))</f>
        <v>0</v>
      </c>
      <c r="S492" s="4">
        <f>IF(OR(INDEX($AH$2:$AH$1001,MATCH(ROWS($AG$2:AG492),$AG$2:$AG$1001,0),1)&gt;=100000,INDEX($AN$1005:$BO$1005,1,MATCH(COLUMNS($AN$1006:BE1006),$AN$1006:$BO$1006,0))&gt;=100000), " ",IF(INDEX($AN$2:$BO$1001,MATCH(ROWS($AG$2:AG492),$AG$2:$AG$1001,0),MATCH(COLUMNS($AN$1006:BE1006),$AN$1006:$BO$1006,0)), HYPERLINK("#",""), HYPERLINK(CONCATENATE("#Metadata!", ADDRESS(INDEX($AI$2:$AI$1001,MATCH(ROWS($AG$2:AG492),$AG$2:$AG$1001,0),0), INDEX($AN$1004:$BO$1004,1,MATCH(COLUMNS($AN$1006:BE1006),$AN$1006:$BO$1006,0)))),"Fix")))</f>
        <v>0</v>
      </c>
      <c r="T492" s="4">
        <f>IF(OR(INDEX($AH$2:$AH$1001,MATCH(ROWS($AG$2:AG492),$AG$2:$AG$1001,0),1)&gt;=100000,INDEX($AN$1005:$BO$1005,1,MATCH(COLUMNS($AN$1006:BF1006),$AN$1006:$BO$1006,0))&gt;=100000), " ",IF(INDEX($AN$2:$BO$1001,MATCH(ROWS($AG$2:AG492),$AG$2:$AG$1001,0),MATCH(COLUMNS($AN$1006:BF1006),$AN$1006:$BO$1006,0)), HYPERLINK("#",""), HYPERLINK(CONCATENATE("#Metadata!", ADDRESS(INDEX($AI$2:$AI$1001,MATCH(ROWS($AG$2:AG492),$AG$2:$AG$1001,0),0), INDEX($AN$1004:$BO$1004,1,MATCH(COLUMNS($AN$1006:BF1006),$AN$1006:$BO$1006,0)))),"Fix")))</f>
        <v>0</v>
      </c>
      <c r="U492" s="4">
        <f>IF(OR(INDEX($AH$2:$AH$1001,MATCH(ROWS($AG$2:AG492),$AG$2:$AG$1001,0),1)&gt;=100000,INDEX($AN$1005:$BO$1005,1,MATCH(COLUMNS($AN$1006:BG1006),$AN$1006:$BO$1006,0))&gt;=100000), " ",IF(INDEX($AN$2:$BO$1001,MATCH(ROWS($AG$2:AG492),$AG$2:$AG$1001,0),MATCH(COLUMNS($AN$1006:BG1006),$AN$1006:$BO$1006,0)), HYPERLINK("#",""), HYPERLINK(CONCATENATE("#Metadata!", ADDRESS(INDEX($AI$2:$AI$1001,MATCH(ROWS($AG$2:AG492),$AG$2:$AG$1001,0),0), INDEX($AN$1004:$BO$1004,1,MATCH(COLUMNS($AN$1006:BG1006),$AN$1006:$BO$1006,0)))),"Fix")))</f>
        <v>0</v>
      </c>
      <c r="V492" s="4">
        <f>IF(OR(INDEX($AH$2:$AH$1001,MATCH(ROWS($AG$2:AG492),$AG$2:$AG$1001,0),1)&gt;=100000,INDEX($AN$1005:$BO$1005,1,MATCH(COLUMNS($AN$1006:BH1006),$AN$1006:$BO$1006,0))&gt;=100000), " ",IF(INDEX($AN$2:$BO$1001,MATCH(ROWS($AG$2:AG492),$AG$2:$AG$1001,0),MATCH(COLUMNS($AN$1006:BH1006),$AN$1006:$BO$1006,0)), HYPERLINK("#",""), HYPERLINK(CONCATENATE("#Metadata!", ADDRESS(INDEX($AI$2:$AI$1001,MATCH(ROWS($AG$2:AG492),$AG$2:$AG$1001,0),0), INDEX($AN$1004:$BO$1004,1,MATCH(COLUMNS($AN$1006:BH1006),$AN$1006:$BO$1006,0)))),"Fix")))</f>
        <v>0</v>
      </c>
      <c r="W492" s="4">
        <f>IF(OR(INDEX($AH$2:$AH$1001,MATCH(ROWS($AG$2:AG492),$AG$2:$AG$1001,0),1)&gt;=100000,INDEX($AN$1005:$BO$1005,1,MATCH(COLUMNS($AN$1006:BI1006),$AN$1006:$BO$1006,0))&gt;=100000), " ",IF(INDEX($AN$2:$BO$1001,MATCH(ROWS($AG$2:AG492),$AG$2:$AG$1001,0),MATCH(COLUMNS($AN$1006:BI1006),$AN$1006:$BO$1006,0)), HYPERLINK("#",""), HYPERLINK(CONCATENATE("#Metadata!", ADDRESS(INDEX($AI$2:$AI$1001,MATCH(ROWS($AG$2:AG492),$AG$2:$AG$1001,0),0), INDEX($AN$1004:$BO$1004,1,MATCH(COLUMNS($AN$1006:BI1006),$AN$1006:$BO$1006,0)))),"Fix")))</f>
        <v>0</v>
      </c>
      <c r="X492" s="4">
        <f>IF(OR(INDEX($AH$2:$AH$1001,MATCH(ROWS($AG$2:AG492),$AG$2:$AG$1001,0),1)&gt;=100000,INDEX($AN$1005:$BO$1005,1,MATCH(COLUMNS($AN$1006:BJ1006),$AN$1006:$BO$1006,0))&gt;=100000), " ",IF(INDEX($AN$2:$BO$1001,MATCH(ROWS($AG$2:AG492),$AG$2:$AG$1001,0),MATCH(COLUMNS($AN$1006:BJ1006),$AN$1006:$BO$1006,0)), HYPERLINK("#",""), HYPERLINK(CONCATENATE("#Metadata!", ADDRESS(INDEX($AI$2:$AI$1001,MATCH(ROWS($AG$2:AG492),$AG$2:$AG$1001,0),0), INDEX($AN$1004:$BO$1004,1,MATCH(COLUMNS($AN$1006:BJ1006),$AN$1006:$BO$1006,0)))),"Fix")))</f>
        <v>0</v>
      </c>
      <c r="Y492" s="4">
        <f>IF(OR(INDEX($AH$2:$AH$1001,MATCH(ROWS($AG$2:AG492),$AG$2:$AG$1001,0),1)&gt;=100000,INDEX($AN$1005:$BO$1005,1,MATCH(COLUMNS($AN$1006:BK1006),$AN$1006:$BO$1006,0))&gt;=100000), " ",IF(INDEX($AN$2:$BO$1001,MATCH(ROWS($AG$2:AG492),$AG$2:$AG$1001,0),MATCH(COLUMNS($AN$1006:BK1006),$AN$1006:$BO$1006,0)), HYPERLINK("#",""), HYPERLINK(CONCATENATE("#Metadata!", ADDRESS(INDEX($AI$2:$AI$1001,MATCH(ROWS($AG$2:AG492),$AG$2:$AG$1001,0),0), INDEX($AN$1004:$BO$1004,1,MATCH(COLUMNS($AN$1006:BK1006),$AN$1006:$BO$1006,0)))),"Fix")))</f>
        <v>0</v>
      </c>
      <c r="Z492" s="4">
        <f>IF(OR(INDEX($AH$2:$AH$1001,MATCH(ROWS($AG$2:AG492),$AG$2:$AG$1001,0),1)&gt;=100000,INDEX($AN$1005:$BO$1005,1,MATCH(COLUMNS($AN$1006:BL1006),$AN$1006:$BO$1006,0))&gt;=100000), " ",IF(INDEX($AN$2:$BO$1001,MATCH(ROWS($AG$2:AG492),$AG$2:$AG$1001,0),MATCH(COLUMNS($AN$1006:BL1006),$AN$1006:$BO$1006,0)), HYPERLINK("#",""), HYPERLINK(CONCATENATE("#Metadata!", ADDRESS(INDEX($AI$2:$AI$1001,MATCH(ROWS($AG$2:AG492),$AG$2:$AG$1001,0),0), INDEX($AN$1004:$BO$1004,1,MATCH(COLUMNS($AN$1006:BL1006),$AN$1006:$BO$1006,0)))),"Fix")))</f>
        <v>0</v>
      </c>
      <c r="AA492" s="4">
        <f>IF(OR(INDEX($AH$2:$AH$1001,MATCH(ROWS($AG$2:AG492),$AG$2:$AG$1001,0),1)&gt;=100000,INDEX($AN$1005:$BO$1005,1,MATCH(COLUMNS($AN$1006:BM1006),$AN$1006:$BO$1006,0))&gt;=100000), " ",IF(INDEX($AN$2:$BO$1001,MATCH(ROWS($AG$2:AG492),$AG$2:$AG$1001,0),MATCH(COLUMNS($AN$1006:BM1006),$AN$1006:$BO$1006,0)), HYPERLINK("#",""), HYPERLINK(CONCATENATE("#Metadata!", ADDRESS(INDEX($AI$2:$AI$1001,MATCH(ROWS($AG$2:AG492),$AG$2:$AG$1001,0),0), INDEX($AN$1004:$BO$1004,1,MATCH(COLUMNS($AN$1006:BM1006),$AN$1006:$BO$1006,0)))),"Fix")))</f>
        <v>0</v>
      </c>
      <c r="AB492" s="4">
        <f>IF(OR(INDEX($AH$2:$AH$1001,MATCH(ROWS($AG$2:AG492),$AG$2:$AG$1001,0),1)&gt;=100000,INDEX($AN$1005:$BO$1005,1,MATCH(COLUMNS($AN$1006:BN1006),$AN$1006:$BO$1006,0))&gt;=100000), " ",IF(INDEX($AN$2:$BO$1001,MATCH(ROWS($AG$2:AG492),$AG$2:$AG$1001,0),MATCH(COLUMNS($AN$1006:BN1006),$AN$1006:$BO$1006,0)), HYPERLINK("#",""), HYPERLINK(CONCATENATE("#Metadata!", ADDRESS(INDEX($AI$2:$AI$1001,MATCH(ROWS($AG$2:AG492),$AG$2:$AG$1001,0),0), INDEX($AN$1004:$BO$1004,1,MATCH(COLUMNS($AN$1006:BN1006),$AN$1006:$BO$1006,0)))),"Fix")))</f>
        <v>0</v>
      </c>
      <c r="AC492" s="4">
        <f>IF(OR(INDEX($AH$2:$AH$1001,MATCH(ROWS($AG$2:AG492),$AG$2:$AG$1001,0),1)&gt;=100000,INDEX($AN$1005:$BO$1005,1,MATCH(COLUMNS($AN$1006:BO1006),$AN$1006:$BO$1006,0))&gt;=100000), " ",IF(INDEX($AN$2:$BO$1001,MATCH(ROWS($AG$2:AG492),$AG$2:$AG$1001,0),MATCH(COLUMNS($AN$1006:BO1006),$AN$1006:$BO$1006,0)), HYPERLINK("#",""), HYPERLINK(CONCATENATE("#Metadata!", ADDRESS(INDEX($AI$2:$AI$1001,MATCH(ROWS($AG$2:AG492),$AG$2:$AG$1001,0),0), INDEX($AN$1004:$BO$1004,1,MATCH(COLUMNS($AN$1006:BO1006),$AN$1006:$BO$1006,0)))),"Fix")))</f>
        <v>0</v>
      </c>
      <c r="AG492">
        <v>0</v>
      </c>
      <c r="AH492">
        <v>0</v>
      </c>
      <c r="AI492">
        <v>0</v>
      </c>
      <c r="AJ492">
        <f>IF(AK492,TRUE,AND(AN492:BO492))</f>
        <v>0</v>
      </c>
      <c r="AK492">
        <f>COUNTBLANK(Metadata!B492:AC492)=COLUMNS(Metadata!B492:AC492)</f>
        <v>0</v>
      </c>
      <c r="AL492">
        <v>0</v>
      </c>
      <c r="AN492">
        <f>AND(IF(Metadata!B492="",FALSE,TRUE),COUNTIF(Metadata!B:B, Metadata!B492) = 1,NOT(ISERROR(SUMPRODUCT(SEARCH(MID(Metadata!B492,ROW(INDIRECT("1:"&amp;LEN(Metadata!B492))), 1),"0123456789abcdefghijklmnopqrstuvwxyzABCDEFGHIJKLMNOPQRSTUVWXYZ.")))))</f>
        <v>0</v>
      </c>
      <c r="AO492">
        <f>IF(Metadata!C492="",FALSE,TRUE)</f>
        <v>0</v>
      </c>
      <c r="AP492">
        <f>IF(Metadata!D492="",FALSE,TRUE)</f>
        <v>0</v>
      </c>
      <c r="AQ492">
        <f>OR(AND(IF(Metadata!E492="",FALSE,TRUE),OR(exact(Metadata!E492,"not collected"),exact(Metadata!E492,"not provided"),exact(Metadata!E492,"restricted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R492">
        <f>IF(Metadata!F492="",FALSE,TRUE)</f>
        <v>0</v>
      </c>
      <c r="AS492">
        <f>OR(AND(IF(Metadata!G492="",FALSE,TRUE),OR(exact(Metadata!G492,"not collected"),exact(Metadata!G492,"not provided"))),AND(IF(Metadata!G492="",FALSE,TRUE),OR(exact(Metadata!G492,"TRUE"),exact(Metadata!G492,"FALSE"))))</f>
        <v>0</v>
      </c>
      <c r="AT492">
        <f>OR(AND(IF(Metadata!H492="",FALSE,TRUE),OR(exact(Metadata!H492,"not collected"),exact(Metadata!H492,"not provided"),exact(Metadata!H492,"restricted access"))),AND(IF(Metadata!H492="",FALSE,ISNUMBER(VALUE(Metadata!H492))),Metadata!H492&gt;=-413.0))</f>
        <v>0</v>
      </c>
      <c r="AU492">
        <f>AND(IF(Metadata!I492="",FALSE,TRUE),exact(Metadata!I492,"meters"))</f>
        <v>0</v>
      </c>
      <c r="AV492">
        <f>AND(IF(Metadata!J492="",FALSE,TRUE),OR(exact(Metadata!J492,"Host-associated"),exact(Metadata!J492,"Free-living")))</f>
        <v>0</v>
      </c>
      <c r="AW492">
        <f>AND(IF(Metadata!K492="",FALSE,TRUE),OR(exact(Metadata!K492,"Animal"),exact(Metadata!K492,"Fungus"),exact(Metadata!K492,"Plant"),exact(Metadata!K492,"Saline"),exact(Metadata!K492,"Non-saline")))</f>
        <v>0</v>
      </c>
      <c r="AX492">
        <f>AND(IF(Metadata!L492="",FALSE,TRUE),OR(exact(Metadata!L492,"Plant secretion"),exact(Metadata!L492,"Plant rhizosphere"),exact(Metadata!L492,"Plant surface"),exact(Metadata!L492,"Plant corpus"),exact(Metadata!L492,"Fungus surface"),exact(Metadata!L492,"Fungus corpus"),exact(Metadata!L492,"Animal surface"),exact(Metadata!L492,"Animal proximal gut"),exact(Metadata!L492,"Animal corpus"),exact(Metadata!L492,"Animal distal gut"),exact(Metadata!L492,"Animal secretion"),exact(Metadata!L492,"Sub-surface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Y492">
        <f>IF(Metadata!M492="",FALSE,TRUE)</f>
        <v>0</v>
      </c>
      <c r="AZ492">
        <f>IF(Metadata!N492="",FALSE,TRUE)</f>
        <v>0</v>
      </c>
      <c r="BA492">
        <f>IF(Metadata!O492="",FALSE,TRUE)</f>
        <v>0</v>
      </c>
      <c r="BB492">
        <f>OR(AND(IF(Metadata!P492="",FALSE,TRUE),OR(exact(Metadata!P492,"not collected"),exact(Metadata!P492,"not provided"),exact(Metadata!P492,"restricted access"))),AND(IF(Metadata!P492="",FALSE,TRUE),OR(exact(Metadata!P492,"air"),exact(Metadata!P492,"built environment"),exact(Metadata!P492,"host-associated"),exact(Metadata!P492,"human-associated"),exact(Metadata!P492,"human-skin"),exact(Metadata!P492,"human-oral"),exact(Metadata!P492,"human-gut"),exact(Metadata!P492,"human-vaginal"),exact(Metadata!P492,"microbial mat/biofilm"),exact(Metadata!P492,"misc environment"),exact(Metadata!P492,"plant-associated"),exact(Metadata!P492,"sediment"),exact(Metadata!P492,"soil"),exact(Metadata!P492,"wastewater/sludge"),exact(Metadata!P492,"water"))))</f>
        <v>0</v>
      </c>
      <c r="BC492">
        <f>IF(Metadata!Q492="",FALSE,TRUE)</f>
        <v>0</v>
      </c>
      <c r="BD492">
        <f>IF(Metadata!R492="",FALSE,TRUE)</f>
        <v>0</v>
      </c>
      <c r="BE492">
        <f>OR(AND(IF(Metadata!S492="",FALSE,TRUE),OR(exact(Metadata!S492,"not collected"),exact(Metadata!S492,"not provided"),exact(Metadata!S492,"restricted access"))),AND(IF(Metadata!S492="",FALSE,ISNUMBER(VALUE(Metadata!S492))),Metadata!S492&gt;=-90.00,Metadata!S492&lt;=90.00))</f>
        <v>0</v>
      </c>
      <c r="BF492">
        <f>AND(IF(Metadata!T492="",FALSE,TRUE),exact(Metadata!T492,"Decimal degrees"))</f>
        <v>0</v>
      </c>
      <c r="BG492">
        <f>OR(AND(IF(Metadata!U492="",FALSE,TRUE),OR(exact(Metadata!U492,"not collected"),exact(Metadata!U492,"not provided"),exact(Metadata!U492,"restricted access"))),AND(IF(Metadata!U492="",FALSE,ISNUMBER(VALUE(Metadata!U492))),Metadata!U492&gt;=-180.00,Metadata!U492&lt;=180.00))</f>
        <v>0</v>
      </c>
      <c r="BH492">
        <f>AND(IF(Metadata!V492="",FALSE,TRUE),exact(Metadata!V492,"Decimal degrees"))</f>
        <v>0</v>
      </c>
      <c r="BI492">
        <f>IF(Metadata!W492="",FALSE,TRUE)</f>
        <v>0</v>
      </c>
      <c r="BJ492">
        <f>OR(AND(IF(Metadata!X492="",FALSE,TRUE),OR(exact(Metadata!X492,"not collected"),exact(Metadata!X492,"not provided"),exact(Metadata!X492,"restricted access"))),AND(IF(Metadata!X492="",FALSE,TRUE),OR(exact(Metadata!X492,"TRUE"),exact(Metadata!X492,"FALSE"))))</f>
        <v>0</v>
      </c>
      <c r="BK492">
        <f>AND(IF(Metadata!Y492="",FALSE,TRUE),exact(Metadata!Y492,"other"))</f>
        <v>0</v>
      </c>
      <c r="BL492">
        <f>IF(Metadata!Z492="",FALSE,TRUE)</f>
        <v>0</v>
      </c>
      <c r="BM492">
        <f>OR(AND(IF(Metadata!AA492="",FALSE,TRUE),OR(exact(Metadata!AA492,"not collected"),exact(Metadata!AA492,"not provided"))),AND(IF(Metadata!AA492="",FALSE,IF(ISERROR(INT(Metadata!AA492)),FALSE,INT(Metadata!AA492)=Metadata!AA492)),Metadata!AA492&gt;0))</f>
        <v>0</v>
      </c>
      <c r="BN492">
        <f>AND(IF(Metadata!AB492="",FALSE,TRUE),exact(Metadata!AB492,"Not applicable"))</f>
        <v>0</v>
      </c>
      <c r="BO492">
        <f>IF(Metadata!AC492="",FALSE,TRUE)</f>
        <v>0</v>
      </c>
    </row>
    <row r="493" spans="1:67">
      <c r="A493" s="5">
        <f>IF(B493=" "," ",HYPERLINK(CONCATENATE("#metadata!",ADDRESS(INDEX($AI$2:$AI$1001,MATCH(ROWS($AG$2:AG493),$AG$2:$AG$1001,0),0),1)),INDEX($AL$2:$AL$1001,MATCH(ROWS($AG$2:AG493),$AG$2:$AG$1001,0),0)))</f>
        <v>0</v>
      </c>
      <c r="B493" s="4">
        <f>IF(OR(INDEX($AH$2:$AH$1001,MATCH(ROWS($AG$2:AG493),$AG$2:$AG$1001,0),1)&gt;=100000,INDEX($AN$1005:$BO$1005,1,MATCH(COLUMNS($AN$1006:AN1006),$AN$1006:$BO$1006,0))&gt;=100000), " ",IF(INDEX($AN$2:$BO$1001,MATCH(ROWS($AG$2:AG493),$AG$2:$AG$1001,0),MATCH(COLUMNS($AN$1006:AN1006),$AN$1006:$BO$1006,0)), HYPERLINK("#",""), HYPERLINK(CONCATENATE("#Metadata!", ADDRESS(INDEX($AI$2:$AI$1001,MATCH(ROWS($AG$2:AG493),$AG$2:$AG$1001,0),0), INDEX($AN$1004:$BO$1004,1,MATCH(COLUMNS($AN$1006:AN1006),$AN$1006:$BO$1006,0)))),"Fix")))</f>
        <v>0</v>
      </c>
      <c r="C493" s="4">
        <f>IF(OR(INDEX($AH$2:$AH$1001,MATCH(ROWS($AG$2:AG493),$AG$2:$AG$1001,0),1)&gt;=100000,INDEX($AN$1005:$BO$1005,1,MATCH(COLUMNS($AN$1006:AO1006),$AN$1006:$BO$1006,0))&gt;=100000), " ",IF(INDEX($AN$2:$BO$1001,MATCH(ROWS($AG$2:AG493),$AG$2:$AG$1001,0),MATCH(COLUMNS($AN$1006:AO1006),$AN$1006:$BO$1006,0)), HYPERLINK("#",""), HYPERLINK(CONCATENATE("#Metadata!", ADDRESS(INDEX($AI$2:$AI$1001,MATCH(ROWS($AG$2:AG493),$AG$2:$AG$1001,0),0), INDEX($AN$1004:$BO$1004,1,MATCH(COLUMNS($AN$1006:AO1006),$AN$1006:$BO$1006,0)))),"Fix")))</f>
        <v>0</v>
      </c>
      <c r="D493" s="4">
        <f>IF(OR(INDEX($AH$2:$AH$1001,MATCH(ROWS($AG$2:AG493),$AG$2:$AG$1001,0),1)&gt;=100000,INDEX($AN$1005:$BO$1005,1,MATCH(COLUMNS($AN$1006:AP1006),$AN$1006:$BO$1006,0))&gt;=100000), " ",IF(INDEX($AN$2:$BO$1001,MATCH(ROWS($AG$2:AG493),$AG$2:$AG$1001,0),MATCH(COLUMNS($AN$1006:AP1006),$AN$1006:$BO$1006,0)), HYPERLINK("#",""), HYPERLINK(CONCATENATE("#Metadata!", ADDRESS(INDEX($AI$2:$AI$1001,MATCH(ROWS($AG$2:AG493),$AG$2:$AG$1001,0),0), INDEX($AN$1004:$BO$1004,1,MATCH(COLUMNS($AN$1006:AP1006),$AN$1006:$BO$1006,0)))),"Fix")))</f>
        <v>0</v>
      </c>
      <c r="E493" s="4">
        <f>IF(OR(INDEX($AH$2:$AH$1001,MATCH(ROWS($AG$2:AG493),$AG$2:$AG$1001,0),1)&gt;=100000,INDEX($AN$1005:$BO$1005,1,MATCH(COLUMNS($AN$1006:AQ1006),$AN$1006:$BO$1006,0))&gt;=100000), " ",IF(INDEX($AN$2:$BO$1001,MATCH(ROWS($AG$2:AG493),$AG$2:$AG$1001,0),MATCH(COLUMNS($AN$1006:AQ1006),$AN$1006:$BO$1006,0)), HYPERLINK("#",""), HYPERLINK(CONCATENATE("#Metadata!", ADDRESS(INDEX($AI$2:$AI$1001,MATCH(ROWS($AG$2:AG493),$AG$2:$AG$1001,0),0), INDEX($AN$1004:$BO$1004,1,MATCH(COLUMNS($AN$1006:AQ1006),$AN$1006:$BO$1006,0)))),"Fix")))</f>
        <v>0</v>
      </c>
      <c r="F493" s="4">
        <f>IF(OR(INDEX($AH$2:$AH$1001,MATCH(ROWS($AG$2:AG493),$AG$2:$AG$1001,0),1)&gt;=100000,INDEX($AN$1005:$BO$1005,1,MATCH(COLUMNS($AN$1006:AR1006),$AN$1006:$BO$1006,0))&gt;=100000), " ",IF(INDEX($AN$2:$BO$1001,MATCH(ROWS($AG$2:AG493),$AG$2:$AG$1001,0),MATCH(COLUMNS($AN$1006:AR1006),$AN$1006:$BO$1006,0)), HYPERLINK("#",""), HYPERLINK(CONCATENATE("#Metadata!", ADDRESS(INDEX($AI$2:$AI$1001,MATCH(ROWS($AG$2:AG493),$AG$2:$AG$1001,0),0), INDEX($AN$1004:$BO$1004,1,MATCH(COLUMNS($AN$1006:AR1006),$AN$1006:$BO$1006,0)))),"Fix")))</f>
        <v>0</v>
      </c>
      <c r="G493" s="4">
        <f>IF(OR(INDEX($AH$2:$AH$1001,MATCH(ROWS($AG$2:AG493),$AG$2:$AG$1001,0),1)&gt;=100000,INDEX($AN$1005:$BO$1005,1,MATCH(COLUMNS($AN$1006:AS1006),$AN$1006:$BO$1006,0))&gt;=100000), " ",IF(INDEX($AN$2:$BO$1001,MATCH(ROWS($AG$2:AG493),$AG$2:$AG$1001,0),MATCH(COLUMNS($AN$1006:AS1006),$AN$1006:$BO$1006,0)), HYPERLINK("#",""), HYPERLINK(CONCATENATE("#Metadata!", ADDRESS(INDEX($AI$2:$AI$1001,MATCH(ROWS($AG$2:AG493),$AG$2:$AG$1001,0),0), INDEX($AN$1004:$BO$1004,1,MATCH(COLUMNS($AN$1006:AS1006),$AN$1006:$BO$1006,0)))),"Fix")))</f>
        <v>0</v>
      </c>
      <c r="H493" s="4">
        <f>IF(OR(INDEX($AH$2:$AH$1001,MATCH(ROWS($AG$2:AG493),$AG$2:$AG$1001,0),1)&gt;=100000,INDEX($AN$1005:$BO$1005,1,MATCH(COLUMNS($AN$1006:AT1006),$AN$1006:$BO$1006,0))&gt;=100000), " ",IF(INDEX($AN$2:$BO$1001,MATCH(ROWS($AG$2:AG493),$AG$2:$AG$1001,0),MATCH(COLUMNS($AN$1006:AT1006),$AN$1006:$BO$1006,0)), HYPERLINK("#",""), HYPERLINK(CONCATENATE("#Metadata!", ADDRESS(INDEX($AI$2:$AI$1001,MATCH(ROWS($AG$2:AG493),$AG$2:$AG$1001,0),0), INDEX($AN$1004:$BO$1004,1,MATCH(COLUMNS($AN$1006:AT1006),$AN$1006:$BO$1006,0)))),"Fix")))</f>
        <v>0</v>
      </c>
      <c r="I493" s="4">
        <f>IF(OR(INDEX($AH$2:$AH$1001,MATCH(ROWS($AG$2:AG493),$AG$2:$AG$1001,0),1)&gt;=100000,INDEX($AN$1005:$BO$1005,1,MATCH(COLUMNS($AN$1006:AU1006),$AN$1006:$BO$1006,0))&gt;=100000), " ",IF(INDEX($AN$2:$BO$1001,MATCH(ROWS($AG$2:AG493),$AG$2:$AG$1001,0),MATCH(COLUMNS($AN$1006:AU1006),$AN$1006:$BO$1006,0)), HYPERLINK("#",""), HYPERLINK(CONCATENATE("#Metadata!", ADDRESS(INDEX($AI$2:$AI$1001,MATCH(ROWS($AG$2:AG493),$AG$2:$AG$1001,0),0), INDEX($AN$1004:$BO$1004,1,MATCH(COLUMNS($AN$1006:AU1006),$AN$1006:$BO$1006,0)))),"Fix")))</f>
        <v>0</v>
      </c>
      <c r="J493" s="4">
        <f>IF(OR(INDEX($AH$2:$AH$1001,MATCH(ROWS($AG$2:AG493),$AG$2:$AG$1001,0),1)&gt;=100000,INDEX($AN$1005:$BO$1005,1,MATCH(COLUMNS($AN$1006:AV1006),$AN$1006:$BO$1006,0))&gt;=100000), " ",IF(INDEX($AN$2:$BO$1001,MATCH(ROWS($AG$2:AG493),$AG$2:$AG$1001,0),MATCH(COLUMNS($AN$1006:AV1006),$AN$1006:$BO$1006,0)), HYPERLINK("#",""), HYPERLINK(CONCATENATE("#Metadata!", ADDRESS(INDEX($AI$2:$AI$1001,MATCH(ROWS($AG$2:AG493),$AG$2:$AG$1001,0),0), INDEX($AN$1004:$BO$1004,1,MATCH(COLUMNS($AN$1006:AV1006),$AN$1006:$BO$1006,0)))),"Fix")))</f>
        <v>0</v>
      </c>
      <c r="K493" s="4">
        <f>IF(OR(INDEX($AH$2:$AH$1001,MATCH(ROWS($AG$2:AG493),$AG$2:$AG$1001,0),1)&gt;=100000,INDEX($AN$1005:$BO$1005,1,MATCH(COLUMNS($AN$1006:AW1006),$AN$1006:$BO$1006,0))&gt;=100000), " ",IF(INDEX($AN$2:$BO$1001,MATCH(ROWS($AG$2:AG493),$AG$2:$AG$1001,0),MATCH(COLUMNS($AN$1006:AW1006),$AN$1006:$BO$1006,0)), HYPERLINK("#",""), HYPERLINK(CONCATENATE("#Metadata!", ADDRESS(INDEX($AI$2:$AI$1001,MATCH(ROWS($AG$2:AG493),$AG$2:$AG$1001,0),0), INDEX($AN$1004:$BO$1004,1,MATCH(COLUMNS($AN$1006:AW1006),$AN$1006:$BO$1006,0)))),"Fix")))</f>
        <v>0</v>
      </c>
      <c r="L493" s="4">
        <f>IF(OR(INDEX($AH$2:$AH$1001,MATCH(ROWS($AG$2:AG493),$AG$2:$AG$1001,0),1)&gt;=100000,INDEX($AN$1005:$BO$1005,1,MATCH(COLUMNS($AN$1006:AX1006),$AN$1006:$BO$1006,0))&gt;=100000), " ",IF(INDEX($AN$2:$BO$1001,MATCH(ROWS($AG$2:AG493),$AG$2:$AG$1001,0),MATCH(COLUMNS($AN$1006:AX1006),$AN$1006:$BO$1006,0)), HYPERLINK("#",""), HYPERLINK(CONCATENATE("#Metadata!", ADDRESS(INDEX($AI$2:$AI$1001,MATCH(ROWS($AG$2:AG493),$AG$2:$AG$1001,0),0), INDEX($AN$1004:$BO$1004,1,MATCH(COLUMNS($AN$1006:AX1006),$AN$1006:$BO$1006,0)))),"Fix")))</f>
        <v>0</v>
      </c>
      <c r="M493" s="4">
        <f>IF(OR(INDEX($AH$2:$AH$1001,MATCH(ROWS($AG$2:AG493),$AG$2:$AG$1001,0),1)&gt;=100000,INDEX($AN$1005:$BO$1005,1,MATCH(COLUMNS($AN$1006:AY1006),$AN$1006:$BO$1006,0))&gt;=100000), " ",IF(INDEX($AN$2:$BO$1001,MATCH(ROWS($AG$2:AG493),$AG$2:$AG$1001,0),MATCH(COLUMNS($AN$1006:AY1006),$AN$1006:$BO$1006,0)), HYPERLINK("#",""), HYPERLINK(CONCATENATE("#Metadata!", ADDRESS(INDEX($AI$2:$AI$1001,MATCH(ROWS($AG$2:AG493),$AG$2:$AG$1001,0),0), INDEX($AN$1004:$BO$1004,1,MATCH(COLUMNS($AN$1006:AY1006),$AN$1006:$BO$1006,0)))),"Fix")))</f>
        <v>0</v>
      </c>
      <c r="N493" s="4">
        <f>IF(OR(INDEX($AH$2:$AH$1001,MATCH(ROWS($AG$2:AG493),$AG$2:$AG$1001,0),1)&gt;=100000,INDEX($AN$1005:$BO$1005,1,MATCH(COLUMNS($AN$1006:AZ1006),$AN$1006:$BO$1006,0))&gt;=100000), " ",IF(INDEX($AN$2:$BO$1001,MATCH(ROWS($AG$2:AG493),$AG$2:$AG$1001,0),MATCH(COLUMNS($AN$1006:AZ1006),$AN$1006:$BO$1006,0)), HYPERLINK("#",""), HYPERLINK(CONCATENATE("#Metadata!", ADDRESS(INDEX($AI$2:$AI$1001,MATCH(ROWS($AG$2:AG493),$AG$2:$AG$1001,0),0), INDEX($AN$1004:$BO$1004,1,MATCH(COLUMNS($AN$1006:AZ1006),$AN$1006:$BO$1006,0)))),"Fix")))</f>
        <v>0</v>
      </c>
      <c r="O493" s="4">
        <f>IF(OR(INDEX($AH$2:$AH$1001,MATCH(ROWS($AG$2:AG493),$AG$2:$AG$1001,0),1)&gt;=100000,INDEX($AN$1005:$BO$1005,1,MATCH(COLUMNS($AN$1006:BA1006),$AN$1006:$BO$1006,0))&gt;=100000), " ",IF(INDEX($AN$2:$BO$1001,MATCH(ROWS($AG$2:AG493),$AG$2:$AG$1001,0),MATCH(COLUMNS($AN$1006:BA1006),$AN$1006:$BO$1006,0)), HYPERLINK("#",""), HYPERLINK(CONCATENATE("#Metadata!", ADDRESS(INDEX($AI$2:$AI$1001,MATCH(ROWS($AG$2:AG493),$AG$2:$AG$1001,0),0), INDEX($AN$1004:$BO$1004,1,MATCH(COLUMNS($AN$1006:BA1006),$AN$1006:$BO$1006,0)))),"Fix")))</f>
        <v>0</v>
      </c>
      <c r="P493" s="4">
        <f>IF(OR(INDEX($AH$2:$AH$1001,MATCH(ROWS($AG$2:AG493),$AG$2:$AG$1001,0),1)&gt;=100000,INDEX($AN$1005:$BO$1005,1,MATCH(COLUMNS($AN$1006:BB1006),$AN$1006:$BO$1006,0))&gt;=100000), " ",IF(INDEX($AN$2:$BO$1001,MATCH(ROWS($AG$2:AG493),$AG$2:$AG$1001,0),MATCH(COLUMNS($AN$1006:BB1006),$AN$1006:$BO$1006,0)), HYPERLINK("#",""), HYPERLINK(CONCATENATE("#Metadata!", ADDRESS(INDEX($AI$2:$AI$1001,MATCH(ROWS($AG$2:AG493),$AG$2:$AG$1001,0),0), INDEX($AN$1004:$BO$1004,1,MATCH(COLUMNS($AN$1006:BB1006),$AN$1006:$BO$1006,0)))),"Fix")))</f>
        <v>0</v>
      </c>
      <c r="Q493" s="4">
        <f>IF(OR(INDEX($AH$2:$AH$1001,MATCH(ROWS($AG$2:AG493),$AG$2:$AG$1001,0),1)&gt;=100000,INDEX($AN$1005:$BO$1005,1,MATCH(COLUMNS($AN$1006:BC1006),$AN$1006:$BO$1006,0))&gt;=100000), " ",IF(INDEX($AN$2:$BO$1001,MATCH(ROWS($AG$2:AG493),$AG$2:$AG$1001,0),MATCH(COLUMNS($AN$1006:BC1006),$AN$1006:$BO$1006,0)), HYPERLINK("#",""), HYPERLINK(CONCATENATE("#Metadata!", ADDRESS(INDEX($AI$2:$AI$1001,MATCH(ROWS($AG$2:AG493),$AG$2:$AG$1001,0),0), INDEX($AN$1004:$BO$1004,1,MATCH(COLUMNS($AN$1006:BC1006),$AN$1006:$BO$1006,0)))),"Fix")))</f>
        <v>0</v>
      </c>
      <c r="R493" s="4">
        <f>IF(OR(INDEX($AH$2:$AH$1001,MATCH(ROWS($AG$2:AG493),$AG$2:$AG$1001,0),1)&gt;=100000,INDEX($AN$1005:$BO$1005,1,MATCH(COLUMNS($AN$1006:BD1006),$AN$1006:$BO$1006,0))&gt;=100000), " ",IF(INDEX($AN$2:$BO$1001,MATCH(ROWS($AG$2:AG493),$AG$2:$AG$1001,0),MATCH(COLUMNS($AN$1006:BD1006),$AN$1006:$BO$1006,0)), HYPERLINK("#",""), HYPERLINK(CONCATENATE("#Metadata!", ADDRESS(INDEX($AI$2:$AI$1001,MATCH(ROWS($AG$2:AG493),$AG$2:$AG$1001,0),0), INDEX($AN$1004:$BO$1004,1,MATCH(COLUMNS($AN$1006:BD1006),$AN$1006:$BO$1006,0)))),"Fix")))</f>
        <v>0</v>
      </c>
      <c r="S493" s="4">
        <f>IF(OR(INDEX($AH$2:$AH$1001,MATCH(ROWS($AG$2:AG493),$AG$2:$AG$1001,0),1)&gt;=100000,INDEX($AN$1005:$BO$1005,1,MATCH(COLUMNS($AN$1006:BE1006),$AN$1006:$BO$1006,0))&gt;=100000), " ",IF(INDEX($AN$2:$BO$1001,MATCH(ROWS($AG$2:AG493),$AG$2:$AG$1001,0),MATCH(COLUMNS($AN$1006:BE1006),$AN$1006:$BO$1006,0)), HYPERLINK("#",""), HYPERLINK(CONCATENATE("#Metadata!", ADDRESS(INDEX($AI$2:$AI$1001,MATCH(ROWS($AG$2:AG493),$AG$2:$AG$1001,0),0), INDEX($AN$1004:$BO$1004,1,MATCH(COLUMNS($AN$1006:BE1006),$AN$1006:$BO$1006,0)))),"Fix")))</f>
        <v>0</v>
      </c>
      <c r="T493" s="4">
        <f>IF(OR(INDEX($AH$2:$AH$1001,MATCH(ROWS($AG$2:AG493),$AG$2:$AG$1001,0),1)&gt;=100000,INDEX($AN$1005:$BO$1005,1,MATCH(COLUMNS($AN$1006:BF1006),$AN$1006:$BO$1006,0))&gt;=100000), " ",IF(INDEX($AN$2:$BO$1001,MATCH(ROWS($AG$2:AG493),$AG$2:$AG$1001,0),MATCH(COLUMNS($AN$1006:BF1006),$AN$1006:$BO$1006,0)), HYPERLINK("#",""), HYPERLINK(CONCATENATE("#Metadata!", ADDRESS(INDEX($AI$2:$AI$1001,MATCH(ROWS($AG$2:AG493),$AG$2:$AG$1001,0),0), INDEX($AN$1004:$BO$1004,1,MATCH(COLUMNS($AN$1006:BF1006),$AN$1006:$BO$1006,0)))),"Fix")))</f>
        <v>0</v>
      </c>
      <c r="U493" s="4">
        <f>IF(OR(INDEX($AH$2:$AH$1001,MATCH(ROWS($AG$2:AG493),$AG$2:$AG$1001,0),1)&gt;=100000,INDEX($AN$1005:$BO$1005,1,MATCH(COLUMNS($AN$1006:BG1006),$AN$1006:$BO$1006,0))&gt;=100000), " ",IF(INDEX($AN$2:$BO$1001,MATCH(ROWS($AG$2:AG493),$AG$2:$AG$1001,0),MATCH(COLUMNS($AN$1006:BG1006),$AN$1006:$BO$1006,0)), HYPERLINK("#",""), HYPERLINK(CONCATENATE("#Metadata!", ADDRESS(INDEX($AI$2:$AI$1001,MATCH(ROWS($AG$2:AG493),$AG$2:$AG$1001,0),0), INDEX($AN$1004:$BO$1004,1,MATCH(COLUMNS($AN$1006:BG1006),$AN$1006:$BO$1006,0)))),"Fix")))</f>
        <v>0</v>
      </c>
      <c r="V493" s="4">
        <f>IF(OR(INDEX($AH$2:$AH$1001,MATCH(ROWS($AG$2:AG493),$AG$2:$AG$1001,0),1)&gt;=100000,INDEX($AN$1005:$BO$1005,1,MATCH(COLUMNS($AN$1006:BH1006),$AN$1006:$BO$1006,0))&gt;=100000), " ",IF(INDEX($AN$2:$BO$1001,MATCH(ROWS($AG$2:AG493),$AG$2:$AG$1001,0),MATCH(COLUMNS($AN$1006:BH1006),$AN$1006:$BO$1006,0)), HYPERLINK("#",""), HYPERLINK(CONCATENATE("#Metadata!", ADDRESS(INDEX($AI$2:$AI$1001,MATCH(ROWS($AG$2:AG493),$AG$2:$AG$1001,0),0), INDEX($AN$1004:$BO$1004,1,MATCH(COLUMNS($AN$1006:BH1006),$AN$1006:$BO$1006,0)))),"Fix")))</f>
        <v>0</v>
      </c>
      <c r="W493" s="4">
        <f>IF(OR(INDEX($AH$2:$AH$1001,MATCH(ROWS($AG$2:AG493),$AG$2:$AG$1001,0),1)&gt;=100000,INDEX($AN$1005:$BO$1005,1,MATCH(COLUMNS($AN$1006:BI1006),$AN$1006:$BO$1006,0))&gt;=100000), " ",IF(INDEX($AN$2:$BO$1001,MATCH(ROWS($AG$2:AG493),$AG$2:$AG$1001,0),MATCH(COLUMNS($AN$1006:BI1006),$AN$1006:$BO$1006,0)), HYPERLINK("#",""), HYPERLINK(CONCATENATE("#Metadata!", ADDRESS(INDEX($AI$2:$AI$1001,MATCH(ROWS($AG$2:AG493),$AG$2:$AG$1001,0),0), INDEX($AN$1004:$BO$1004,1,MATCH(COLUMNS($AN$1006:BI1006),$AN$1006:$BO$1006,0)))),"Fix")))</f>
        <v>0</v>
      </c>
      <c r="X493" s="4">
        <f>IF(OR(INDEX($AH$2:$AH$1001,MATCH(ROWS($AG$2:AG493),$AG$2:$AG$1001,0),1)&gt;=100000,INDEX($AN$1005:$BO$1005,1,MATCH(COLUMNS($AN$1006:BJ1006),$AN$1006:$BO$1006,0))&gt;=100000), " ",IF(INDEX($AN$2:$BO$1001,MATCH(ROWS($AG$2:AG493),$AG$2:$AG$1001,0),MATCH(COLUMNS($AN$1006:BJ1006),$AN$1006:$BO$1006,0)), HYPERLINK("#",""), HYPERLINK(CONCATENATE("#Metadata!", ADDRESS(INDEX($AI$2:$AI$1001,MATCH(ROWS($AG$2:AG493),$AG$2:$AG$1001,0),0), INDEX($AN$1004:$BO$1004,1,MATCH(COLUMNS($AN$1006:BJ1006),$AN$1006:$BO$1006,0)))),"Fix")))</f>
        <v>0</v>
      </c>
      <c r="Y493" s="4">
        <f>IF(OR(INDEX($AH$2:$AH$1001,MATCH(ROWS($AG$2:AG493),$AG$2:$AG$1001,0),1)&gt;=100000,INDEX($AN$1005:$BO$1005,1,MATCH(COLUMNS($AN$1006:BK1006),$AN$1006:$BO$1006,0))&gt;=100000), " ",IF(INDEX($AN$2:$BO$1001,MATCH(ROWS($AG$2:AG493),$AG$2:$AG$1001,0),MATCH(COLUMNS($AN$1006:BK1006),$AN$1006:$BO$1006,0)), HYPERLINK("#",""), HYPERLINK(CONCATENATE("#Metadata!", ADDRESS(INDEX($AI$2:$AI$1001,MATCH(ROWS($AG$2:AG493),$AG$2:$AG$1001,0),0), INDEX($AN$1004:$BO$1004,1,MATCH(COLUMNS($AN$1006:BK1006),$AN$1006:$BO$1006,0)))),"Fix")))</f>
        <v>0</v>
      </c>
      <c r="Z493" s="4">
        <f>IF(OR(INDEX($AH$2:$AH$1001,MATCH(ROWS($AG$2:AG493),$AG$2:$AG$1001,0),1)&gt;=100000,INDEX($AN$1005:$BO$1005,1,MATCH(COLUMNS($AN$1006:BL1006),$AN$1006:$BO$1006,0))&gt;=100000), " ",IF(INDEX($AN$2:$BO$1001,MATCH(ROWS($AG$2:AG493),$AG$2:$AG$1001,0),MATCH(COLUMNS($AN$1006:BL1006),$AN$1006:$BO$1006,0)), HYPERLINK("#",""), HYPERLINK(CONCATENATE("#Metadata!", ADDRESS(INDEX($AI$2:$AI$1001,MATCH(ROWS($AG$2:AG493),$AG$2:$AG$1001,0),0), INDEX($AN$1004:$BO$1004,1,MATCH(COLUMNS($AN$1006:BL1006),$AN$1006:$BO$1006,0)))),"Fix")))</f>
        <v>0</v>
      </c>
      <c r="AA493" s="4">
        <f>IF(OR(INDEX($AH$2:$AH$1001,MATCH(ROWS($AG$2:AG493),$AG$2:$AG$1001,0),1)&gt;=100000,INDEX($AN$1005:$BO$1005,1,MATCH(COLUMNS($AN$1006:BM1006),$AN$1006:$BO$1006,0))&gt;=100000), " ",IF(INDEX($AN$2:$BO$1001,MATCH(ROWS($AG$2:AG493),$AG$2:$AG$1001,0),MATCH(COLUMNS($AN$1006:BM1006),$AN$1006:$BO$1006,0)), HYPERLINK("#",""), HYPERLINK(CONCATENATE("#Metadata!", ADDRESS(INDEX($AI$2:$AI$1001,MATCH(ROWS($AG$2:AG493),$AG$2:$AG$1001,0),0), INDEX($AN$1004:$BO$1004,1,MATCH(COLUMNS($AN$1006:BM1006),$AN$1006:$BO$1006,0)))),"Fix")))</f>
        <v>0</v>
      </c>
      <c r="AB493" s="4">
        <f>IF(OR(INDEX($AH$2:$AH$1001,MATCH(ROWS($AG$2:AG493),$AG$2:$AG$1001,0),1)&gt;=100000,INDEX($AN$1005:$BO$1005,1,MATCH(COLUMNS($AN$1006:BN1006),$AN$1006:$BO$1006,0))&gt;=100000), " ",IF(INDEX($AN$2:$BO$1001,MATCH(ROWS($AG$2:AG493),$AG$2:$AG$1001,0),MATCH(COLUMNS($AN$1006:BN1006),$AN$1006:$BO$1006,0)), HYPERLINK("#",""), HYPERLINK(CONCATENATE("#Metadata!", ADDRESS(INDEX($AI$2:$AI$1001,MATCH(ROWS($AG$2:AG493),$AG$2:$AG$1001,0),0), INDEX($AN$1004:$BO$1004,1,MATCH(COLUMNS($AN$1006:BN1006),$AN$1006:$BO$1006,0)))),"Fix")))</f>
        <v>0</v>
      </c>
      <c r="AC493" s="4">
        <f>IF(OR(INDEX($AH$2:$AH$1001,MATCH(ROWS($AG$2:AG493),$AG$2:$AG$1001,0),1)&gt;=100000,INDEX($AN$1005:$BO$1005,1,MATCH(COLUMNS($AN$1006:BO1006),$AN$1006:$BO$1006,0))&gt;=100000), " ",IF(INDEX($AN$2:$BO$1001,MATCH(ROWS($AG$2:AG493),$AG$2:$AG$1001,0),MATCH(COLUMNS($AN$1006:BO1006),$AN$1006:$BO$1006,0)), HYPERLINK("#",""), HYPERLINK(CONCATENATE("#Metadata!", ADDRESS(INDEX($AI$2:$AI$1001,MATCH(ROWS($AG$2:AG493),$AG$2:$AG$1001,0),0), INDEX($AN$1004:$BO$1004,1,MATCH(COLUMNS($AN$1006:BO1006),$AN$1006:$BO$1006,0)))),"Fix")))</f>
        <v>0</v>
      </c>
      <c r="AG493">
        <v>0</v>
      </c>
      <c r="AH493">
        <v>0</v>
      </c>
      <c r="AI493">
        <v>0</v>
      </c>
      <c r="AJ493">
        <f>IF(AK493,TRUE,AND(AN493:BO493))</f>
        <v>0</v>
      </c>
      <c r="AK493">
        <f>COUNTBLANK(Metadata!B493:AC493)=COLUMNS(Metadata!B493:AC493)</f>
        <v>0</v>
      </c>
      <c r="AL493">
        <v>0</v>
      </c>
      <c r="AN493">
        <f>AND(IF(Metadata!B493="",FALSE,TRUE),COUNTIF(Metadata!B:B, Metadata!B493) = 1,NOT(ISERROR(SUMPRODUCT(SEARCH(MID(Metadata!B493,ROW(INDIRECT("1:"&amp;LEN(Metadata!B493))), 1),"0123456789abcdefghijklmnopqrstuvwxyzABCDEFGHIJKLMNOPQRSTUVWXYZ.")))))</f>
        <v>0</v>
      </c>
      <c r="AO493">
        <f>IF(Metadata!C493="",FALSE,TRUE)</f>
        <v>0</v>
      </c>
      <c r="AP493">
        <f>IF(Metadata!D493="",FALSE,TRUE)</f>
        <v>0</v>
      </c>
      <c r="AQ493">
        <f>OR(AND(IF(Metadata!E493="",FALSE,TRUE),OR(exact(Metadata!E493,"not collected"),exact(Metadata!E493,"not provided"),exact(Metadata!E493,"restricted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R493">
        <f>IF(Metadata!F493="",FALSE,TRUE)</f>
        <v>0</v>
      </c>
      <c r="AS493">
        <f>OR(AND(IF(Metadata!G493="",FALSE,TRUE),OR(exact(Metadata!G493,"not collected"),exact(Metadata!G493,"not provided"))),AND(IF(Metadata!G493="",FALSE,TRUE),OR(exact(Metadata!G493,"TRUE"),exact(Metadata!G493,"FALSE"))))</f>
        <v>0</v>
      </c>
      <c r="AT493">
        <f>OR(AND(IF(Metadata!H493="",FALSE,TRUE),OR(exact(Metadata!H493,"not collected"),exact(Metadata!H493,"not provided"),exact(Metadata!H493,"restricted access"))),AND(IF(Metadata!H493="",FALSE,ISNUMBER(VALUE(Metadata!H493))),Metadata!H493&gt;=-413.0))</f>
        <v>0</v>
      </c>
      <c r="AU493">
        <f>AND(IF(Metadata!I493="",FALSE,TRUE),exact(Metadata!I493,"meters"))</f>
        <v>0</v>
      </c>
      <c r="AV493">
        <f>AND(IF(Metadata!J493="",FALSE,TRUE),OR(exact(Metadata!J493,"Host-associated"),exact(Metadata!J493,"Free-living")))</f>
        <v>0</v>
      </c>
      <c r="AW493">
        <f>AND(IF(Metadata!K493="",FALSE,TRUE),OR(exact(Metadata!K493,"Animal"),exact(Metadata!K493,"Fungus"),exact(Metadata!K493,"Plant"),exact(Metadata!K493,"Saline"),exact(Metadata!K493,"Non-saline")))</f>
        <v>0</v>
      </c>
      <c r="AX493">
        <f>AND(IF(Metadata!L493="",FALSE,TRUE),OR(exact(Metadata!L493,"Plant secretion"),exact(Metadata!L493,"Plant rhizosphere"),exact(Metadata!L493,"Plant surface"),exact(Metadata!L493,"Plant corpus"),exact(Metadata!L493,"Fungus surface"),exact(Metadata!L493,"Fungus corpus"),exact(Metadata!L493,"Animal surface"),exact(Metadata!L493,"Animal proximal gut"),exact(Metadata!L493,"Animal corpus"),exact(Metadata!L493,"Animal distal gut"),exact(Metadata!L493,"Animal secretion"),exact(Metadata!L493,"Sub-surface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Y493">
        <f>IF(Metadata!M493="",FALSE,TRUE)</f>
        <v>0</v>
      </c>
      <c r="AZ493">
        <f>IF(Metadata!N493="",FALSE,TRUE)</f>
        <v>0</v>
      </c>
      <c r="BA493">
        <f>IF(Metadata!O493="",FALSE,TRUE)</f>
        <v>0</v>
      </c>
      <c r="BB493">
        <f>OR(AND(IF(Metadata!P493="",FALSE,TRUE),OR(exact(Metadata!P493,"not collected"),exact(Metadata!P493,"not provided"),exact(Metadata!P493,"restricted access"))),AND(IF(Metadata!P493="",FALSE,TRUE),OR(exact(Metadata!P493,"air"),exact(Metadata!P493,"built environment"),exact(Metadata!P493,"host-associated"),exact(Metadata!P493,"human-associated"),exact(Metadata!P493,"human-skin"),exact(Metadata!P493,"human-oral"),exact(Metadata!P493,"human-gut"),exact(Metadata!P493,"human-vaginal"),exact(Metadata!P493,"microbial mat/biofilm"),exact(Metadata!P493,"misc environment"),exact(Metadata!P493,"plant-associated"),exact(Metadata!P493,"sediment"),exact(Metadata!P493,"soil"),exact(Metadata!P493,"wastewater/sludge"),exact(Metadata!P493,"water"))))</f>
        <v>0</v>
      </c>
      <c r="BC493">
        <f>IF(Metadata!Q493="",FALSE,TRUE)</f>
        <v>0</v>
      </c>
      <c r="BD493">
        <f>IF(Metadata!R493="",FALSE,TRUE)</f>
        <v>0</v>
      </c>
      <c r="BE493">
        <f>OR(AND(IF(Metadata!S493="",FALSE,TRUE),OR(exact(Metadata!S493,"not collected"),exact(Metadata!S493,"not provided"),exact(Metadata!S493,"restricted access"))),AND(IF(Metadata!S493="",FALSE,ISNUMBER(VALUE(Metadata!S493))),Metadata!S493&gt;=-90.00,Metadata!S493&lt;=90.00))</f>
        <v>0</v>
      </c>
      <c r="BF493">
        <f>AND(IF(Metadata!T493="",FALSE,TRUE),exact(Metadata!T493,"Decimal degrees"))</f>
        <v>0</v>
      </c>
      <c r="BG493">
        <f>OR(AND(IF(Metadata!U493="",FALSE,TRUE),OR(exact(Metadata!U493,"not collected"),exact(Metadata!U493,"not provided"),exact(Metadata!U493,"restricted access"))),AND(IF(Metadata!U493="",FALSE,ISNUMBER(VALUE(Metadata!U493))),Metadata!U493&gt;=-180.00,Metadata!U493&lt;=180.00))</f>
        <v>0</v>
      </c>
      <c r="BH493">
        <f>AND(IF(Metadata!V493="",FALSE,TRUE),exact(Metadata!V493,"Decimal degrees"))</f>
        <v>0</v>
      </c>
      <c r="BI493">
        <f>IF(Metadata!W493="",FALSE,TRUE)</f>
        <v>0</v>
      </c>
      <c r="BJ493">
        <f>OR(AND(IF(Metadata!X493="",FALSE,TRUE),OR(exact(Metadata!X493,"not collected"),exact(Metadata!X493,"not provided"),exact(Metadata!X493,"restricted access"))),AND(IF(Metadata!X493="",FALSE,TRUE),OR(exact(Metadata!X493,"TRUE"),exact(Metadata!X493,"FALSE"))))</f>
        <v>0</v>
      </c>
      <c r="BK493">
        <f>AND(IF(Metadata!Y493="",FALSE,TRUE),exact(Metadata!Y493,"other"))</f>
        <v>0</v>
      </c>
      <c r="BL493">
        <f>IF(Metadata!Z493="",FALSE,TRUE)</f>
        <v>0</v>
      </c>
      <c r="BM493">
        <f>OR(AND(IF(Metadata!AA493="",FALSE,TRUE),OR(exact(Metadata!AA493,"not collected"),exact(Metadata!AA493,"not provided"))),AND(IF(Metadata!AA493="",FALSE,IF(ISERROR(INT(Metadata!AA493)),FALSE,INT(Metadata!AA493)=Metadata!AA493)),Metadata!AA493&gt;0))</f>
        <v>0</v>
      </c>
      <c r="BN493">
        <f>AND(IF(Metadata!AB493="",FALSE,TRUE),exact(Metadata!AB493,"Not applicable"))</f>
        <v>0</v>
      </c>
      <c r="BO493">
        <f>IF(Metadata!AC493="",FALSE,TRUE)</f>
        <v>0</v>
      </c>
    </row>
    <row r="494" spans="1:67">
      <c r="A494" s="5">
        <f>IF(B494=" "," ",HYPERLINK(CONCATENATE("#metadata!",ADDRESS(INDEX($AI$2:$AI$1001,MATCH(ROWS($AG$2:AG494),$AG$2:$AG$1001,0),0),1)),INDEX($AL$2:$AL$1001,MATCH(ROWS($AG$2:AG494),$AG$2:$AG$1001,0),0)))</f>
        <v>0</v>
      </c>
      <c r="B494" s="4">
        <f>IF(OR(INDEX($AH$2:$AH$1001,MATCH(ROWS($AG$2:AG494),$AG$2:$AG$1001,0),1)&gt;=100000,INDEX($AN$1005:$BO$1005,1,MATCH(COLUMNS($AN$1006:AN1006),$AN$1006:$BO$1006,0))&gt;=100000), " ",IF(INDEX($AN$2:$BO$1001,MATCH(ROWS($AG$2:AG494),$AG$2:$AG$1001,0),MATCH(COLUMNS($AN$1006:AN1006),$AN$1006:$BO$1006,0)), HYPERLINK("#",""), HYPERLINK(CONCATENATE("#Metadata!", ADDRESS(INDEX($AI$2:$AI$1001,MATCH(ROWS($AG$2:AG494),$AG$2:$AG$1001,0),0), INDEX($AN$1004:$BO$1004,1,MATCH(COLUMNS($AN$1006:AN1006),$AN$1006:$BO$1006,0)))),"Fix")))</f>
        <v>0</v>
      </c>
      <c r="C494" s="4">
        <f>IF(OR(INDEX($AH$2:$AH$1001,MATCH(ROWS($AG$2:AG494),$AG$2:$AG$1001,0),1)&gt;=100000,INDEX($AN$1005:$BO$1005,1,MATCH(COLUMNS($AN$1006:AO1006),$AN$1006:$BO$1006,0))&gt;=100000), " ",IF(INDEX($AN$2:$BO$1001,MATCH(ROWS($AG$2:AG494),$AG$2:$AG$1001,0),MATCH(COLUMNS($AN$1006:AO1006),$AN$1006:$BO$1006,0)), HYPERLINK("#",""), HYPERLINK(CONCATENATE("#Metadata!", ADDRESS(INDEX($AI$2:$AI$1001,MATCH(ROWS($AG$2:AG494),$AG$2:$AG$1001,0),0), INDEX($AN$1004:$BO$1004,1,MATCH(COLUMNS($AN$1006:AO1006),$AN$1006:$BO$1006,0)))),"Fix")))</f>
        <v>0</v>
      </c>
      <c r="D494" s="4">
        <f>IF(OR(INDEX($AH$2:$AH$1001,MATCH(ROWS($AG$2:AG494),$AG$2:$AG$1001,0),1)&gt;=100000,INDEX($AN$1005:$BO$1005,1,MATCH(COLUMNS($AN$1006:AP1006),$AN$1006:$BO$1006,0))&gt;=100000), " ",IF(INDEX($AN$2:$BO$1001,MATCH(ROWS($AG$2:AG494),$AG$2:$AG$1001,0),MATCH(COLUMNS($AN$1006:AP1006),$AN$1006:$BO$1006,0)), HYPERLINK("#",""), HYPERLINK(CONCATENATE("#Metadata!", ADDRESS(INDEX($AI$2:$AI$1001,MATCH(ROWS($AG$2:AG494),$AG$2:$AG$1001,0),0), INDEX($AN$1004:$BO$1004,1,MATCH(COLUMNS($AN$1006:AP1006),$AN$1006:$BO$1006,0)))),"Fix")))</f>
        <v>0</v>
      </c>
      <c r="E494" s="4">
        <f>IF(OR(INDEX($AH$2:$AH$1001,MATCH(ROWS($AG$2:AG494),$AG$2:$AG$1001,0),1)&gt;=100000,INDEX($AN$1005:$BO$1005,1,MATCH(COLUMNS($AN$1006:AQ1006),$AN$1006:$BO$1006,0))&gt;=100000), " ",IF(INDEX($AN$2:$BO$1001,MATCH(ROWS($AG$2:AG494),$AG$2:$AG$1001,0),MATCH(COLUMNS($AN$1006:AQ1006),$AN$1006:$BO$1006,0)), HYPERLINK("#",""), HYPERLINK(CONCATENATE("#Metadata!", ADDRESS(INDEX($AI$2:$AI$1001,MATCH(ROWS($AG$2:AG494),$AG$2:$AG$1001,0),0), INDEX($AN$1004:$BO$1004,1,MATCH(COLUMNS($AN$1006:AQ1006),$AN$1006:$BO$1006,0)))),"Fix")))</f>
        <v>0</v>
      </c>
      <c r="F494" s="4">
        <f>IF(OR(INDEX($AH$2:$AH$1001,MATCH(ROWS($AG$2:AG494),$AG$2:$AG$1001,0),1)&gt;=100000,INDEX($AN$1005:$BO$1005,1,MATCH(COLUMNS($AN$1006:AR1006),$AN$1006:$BO$1006,0))&gt;=100000), " ",IF(INDEX($AN$2:$BO$1001,MATCH(ROWS($AG$2:AG494),$AG$2:$AG$1001,0),MATCH(COLUMNS($AN$1006:AR1006),$AN$1006:$BO$1006,0)), HYPERLINK("#",""), HYPERLINK(CONCATENATE("#Metadata!", ADDRESS(INDEX($AI$2:$AI$1001,MATCH(ROWS($AG$2:AG494),$AG$2:$AG$1001,0),0), INDEX($AN$1004:$BO$1004,1,MATCH(COLUMNS($AN$1006:AR1006),$AN$1006:$BO$1006,0)))),"Fix")))</f>
        <v>0</v>
      </c>
      <c r="G494" s="4">
        <f>IF(OR(INDEX($AH$2:$AH$1001,MATCH(ROWS($AG$2:AG494),$AG$2:$AG$1001,0),1)&gt;=100000,INDEX($AN$1005:$BO$1005,1,MATCH(COLUMNS($AN$1006:AS1006),$AN$1006:$BO$1006,0))&gt;=100000), " ",IF(INDEX($AN$2:$BO$1001,MATCH(ROWS($AG$2:AG494),$AG$2:$AG$1001,0),MATCH(COLUMNS($AN$1006:AS1006),$AN$1006:$BO$1006,0)), HYPERLINK("#",""), HYPERLINK(CONCATENATE("#Metadata!", ADDRESS(INDEX($AI$2:$AI$1001,MATCH(ROWS($AG$2:AG494),$AG$2:$AG$1001,0),0), INDEX($AN$1004:$BO$1004,1,MATCH(COLUMNS($AN$1006:AS1006),$AN$1006:$BO$1006,0)))),"Fix")))</f>
        <v>0</v>
      </c>
      <c r="H494" s="4">
        <f>IF(OR(INDEX($AH$2:$AH$1001,MATCH(ROWS($AG$2:AG494),$AG$2:$AG$1001,0),1)&gt;=100000,INDEX($AN$1005:$BO$1005,1,MATCH(COLUMNS($AN$1006:AT1006),$AN$1006:$BO$1006,0))&gt;=100000), " ",IF(INDEX($AN$2:$BO$1001,MATCH(ROWS($AG$2:AG494),$AG$2:$AG$1001,0),MATCH(COLUMNS($AN$1006:AT1006),$AN$1006:$BO$1006,0)), HYPERLINK("#",""), HYPERLINK(CONCATENATE("#Metadata!", ADDRESS(INDEX($AI$2:$AI$1001,MATCH(ROWS($AG$2:AG494),$AG$2:$AG$1001,0),0), INDEX($AN$1004:$BO$1004,1,MATCH(COLUMNS($AN$1006:AT1006),$AN$1006:$BO$1006,0)))),"Fix")))</f>
        <v>0</v>
      </c>
      <c r="I494" s="4">
        <f>IF(OR(INDEX($AH$2:$AH$1001,MATCH(ROWS($AG$2:AG494),$AG$2:$AG$1001,0),1)&gt;=100000,INDEX($AN$1005:$BO$1005,1,MATCH(COLUMNS($AN$1006:AU1006),$AN$1006:$BO$1006,0))&gt;=100000), " ",IF(INDEX($AN$2:$BO$1001,MATCH(ROWS($AG$2:AG494),$AG$2:$AG$1001,0),MATCH(COLUMNS($AN$1006:AU1006),$AN$1006:$BO$1006,0)), HYPERLINK("#",""), HYPERLINK(CONCATENATE("#Metadata!", ADDRESS(INDEX($AI$2:$AI$1001,MATCH(ROWS($AG$2:AG494),$AG$2:$AG$1001,0),0), INDEX($AN$1004:$BO$1004,1,MATCH(COLUMNS($AN$1006:AU1006),$AN$1006:$BO$1006,0)))),"Fix")))</f>
        <v>0</v>
      </c>
      <c r="J494" s="4">
        <f>IF(OR(INDEX($AH$2:$AH$1001,MATCH(ROWS($AG$2:AG494),$AG$2:$AG$1001,0),1)&gt;=100000,INDEX($AN$1005:$BO$1005,1,MATCH(COLUMNS($AN$1006:AV1006),$AN$1006:$BO$1006,0))&gt;=100000), " ",IF(INDEX($AN$2:$BO$1001,MATCH(ROWS($AG$2:AG494),$AG$2:$AG$1001,0),MATCH(COLUMNS($AN$1006:AV1006),$AN$1006:$BO$1006,0)), HYPERLINK("#",""), HYPERLINK(CONCATENATE("#Metadata!", ADDRESS(INDEX($AI$2:$AI$1001,MATCH(ROWS($AG$2:AG494),$AG$2:$AG$1001,0),0), INDEX($AN$1004:$BO$1004,1,MATCH(COLUMNS($AN$1006:AV1006),$AN$1006:$BO$1006,0)))),"Fix")))</f>
        <v>0</v>
      </c>
      <c r="K494" s="4">
        <f>IF(OR(INDEX($AH$2:$AH$1001,MATCH(ROWS($AG$2:AG494),$AG$2:$AG$1001,0),1)&gt;=100000,INDEX($AN$1005:$BO$1005,1,MATCH(COLUMNS($AN$1006:AW1006),$AN$1006:$BO$1006,0))&gt;=100000), " ",IF(INDEX($AN$2:$BO$1001,MATCH(ROWS($AG$2:AG494),$AG$2:$AG$1001,0),MATCH(COLUMNS($AN$1006:AW1006),$AN$1006:$BO$1006,0)), HYPERLINK("#",""), HYPERLINK(CONCATENATE("#Metadata!", ADDRESS(INDEX($AI$2:$AI$1001,MATCH(ROWS($AG$2:AG494),$AG$2:$AG$1001,0),0), INDEX($AN$1004:$BO$1004,1,MATCH(COLUMNS($AN$1006:AW1006),$AN$1006:$BO$1006,0)))),"Fix")))</f>
        <v>0</v>
      </c>
      <c r="L494" s="4">
        <f>IF(OR(INDEX($AH$2:$AH$1001,MATCH(ROWS($AG$2:AG494),$AG$2:$AG$1001,0),1)&gt;=100000,INDEX($AN$1005:$BO$1005,1,MATCH(COLUMNS($AN$1006:AX1006),$AN$1006:$BO$1006,0))&gt;=100000), " ",IF(INDEX($AN$2:$BO$1001,MATCH(ROWS($AG$2:AG494),$AG$2:$AG$1001,0),MATCH(COLUMNS($AN$1006:AX1006),$AN$1006:$BO$1006,0)), HYPERLINK("#",""), HYPERLINK(CONCATENATE("#Metadata!", ADDRESS(INDEX($AI$2:$AI$1001,MATCH(ROWS($AG$2:AG494),$AG$2:$AG$1001,0),0), INDEX($AN$1004:$BO$1004,1,MATCH(COLUMNS($AN$1006:AX1006),$AN$1006:$BO$1006,0)))),"Fix")))</f>
        <v>0</v>
      </c>
      <c r="M494" s="4">
        <f>IF(OR(INDEX($AH$2:$AH$1001,MATCH(ROWS($AG$2:AG494),$AG$2:$AG$1001,0),1)&gt;=100000,INDEX($AN$1005:$BO$1005,1,MATCH(COLUMNS($AN$1006:AY1006),$AN$1006:$BO$1006,0))&gt;=100000), " ",IF(INDEX($AN$2:$BO$1001,MATCH(ROWS($AG$2:AG494),$AG$2:$AG$1001,0),MATCH(COLUMNS($AN$1006:AY1006),$AN$1006:$BO$1006,0)), HYPERLINK("#",""), HYPERLINK(CONCATENATE("#Metadata!", ADDRESS(INDEX($AI$2:$AI$1001,MATCH(ROWS($AG$2:AG494),$AG$2:$AG$1001,0),0), INDEX($AN$1004:$BO$1004,1,MATCH(COLUMNS($AN$1006:AY1006),$AN$1006:$BO$1006,0)))),"Fix")))</f>
        <v>0</v>
      </c>
      <c r="N494" s="4">
        <f>IF(OR(INDEX($AH$2:$AH$1001,MATCH(ROWS($AG$2:AG494),$AG$2:$AG$1001,0),1)&gt;=100000,INDEX($AN$1005:$BO$1005,1,MATCH(COLUMNS($AN$1006:AZ1006),$AN$1006:$BO$1006,0))&gt;=100000), " ",IF(INDEX($AN$2:$BO$1001,MATCH(ROWS($AG$2:AG494),$AG$2:$AG$1001,0),MATCH(COLUMNS($AN$1006:AZ1006),$AN$1006:$BO$1006,0)), HYPERLINK("#",""), HYPERLINK(CONCATENATE("#Metadata!", ADDRESS(INDEX($AI$2:$AI$1001,MATCH(ROWS($AG$2:AG494),$AG$2:$AG$1001,0),0), INDEX($AN$1004:$BO$1004,1,MATCH(COLUMNS($AN$1006:AZ1006),$AN$1006:$BO$1006,0)))),"Fix")))</f>
        <v>0</v>
      </c>
      <c r="O494" s="4">
        <f>IF(OR(INDEX($AH$2:$AH$1001,MATCH(ROWS($AG$2:AG494),$AG$2:$AG$1001,0),1)&gt;=100000,INDEX($AN$1005:$BO$1005,1,MATCH(COLUMNS($AN$1006:BA1006),$AN$1006:$BO$1006,0))&gt;=100000), " ",IF(INDEX($AN$2:$BO$1001,MATCH(ROWS($AG$2:AG494),$AG$2:$AG$1001,0),MATCH(COLUMNS($AN$1006:BA1006),$AN$1006:$BO$1006,0)), HYPERLINK("#",""), HYPERLINK(CONCATENATE("#Metadata!", ADDRESS(INDEX($AI$2:$AI$1001,MATCH(ROWS($AG$2:AG494),$AG$2:$AG$1001,0),0), INDEX($AN$1004:$BO$1004,1,MATCH(COLUMNS($AN$1006:BA1006),$AN$1006:$BO$1006,0)))),"Fix")))</f>
        <v>0</v>
      </c>
      <c r="P494" s="4">
        <f>IF(OR(INDEX($AH$2:$AH$1001,MATCH(ROWS($AG$2:AG494),$AG$2:$AG$1001,0),1)&gt;=100000,INDEX($AN$1005:$BO$1005,1,MATCH(COLUMNS($AN$1006:BB1006),$AN$1006:$BO$1006,0))&gt;=100000), " ",IF(INDEX($AN$2:$BO$1001,MATCH(ROWS($AG$2:AG494),$AG$2:$AG$1001,0),MATCH(COLUMNS($AN$1006:BB1006),$AN$1006:$BO$1006,0)), HYPERLINK("#",""), HYPERLINK(CONCATENATE("#Metadata!", ADDRESS(INDEX($AI$2:$AI$1001,MATCH(ROWS($AG$2:AG494),$AG$2:$AG$1001,0),0), INDEX($AN$1004:$BO$1004,1,MATCH(COLUMNS($AN$1006:BB1006),$AN$1006:$BO$1006,0)))),"Fix")))</f>
        <v>0</v>
      </c>
      <c r="Q494" s="4">
        <f>IF(OR(INDEX($AH$2:$AH$1001,MATCH(ROWS($AG$2:AG494),$AG$2:$AG$1001,0),1)&gt;=100000,INDEX($AN$1005:$BO$1005,1,MATCH(COLUMNS($AN$1006:BC1006),$AN$1006:$BO$1006,0))&gt;=100000), " ",IF(INDEX($AN$2:$BO$1001,MATCH(ROWS($AG$2:AG494),$AG$2:$AG$1001,0),MATCH(COLUMNS($AN$1006:BC1006),$AN$1006:$BO$1006,0)), HYPERLINK("#",""), HYPERLINK(CONCATENATE("#Metadata!", ADDRESS(INDEX($AI$2:$AI$1001,MATCH(ROWS($AG$2:AG494),$AG$2:$AG$1001,0),0), INDEX($AN$1004:$BO$1004,1,MATCH(COLUMNS($AN$1006:BC1006),$AN$1006:$BO$1006,0)))),"Fix")))</f>
        <v>0</v>
      </c>
      <c r="R494" s="4">
        <f>IF(OR(INDEX($AH$2:$AH$1001,MATCH(ROWS($AG$2:AG494),$AG$2:$AG$1001,0),1)&gt;=100000,INDEX($AN$1005:$BO$1005,1,MATCH(COLUMNS($AN$1006:BD1006),$AN$1006:$BO$1006,0))&gt;=100000), " ",IF(INDEX($AN$2:$BO$1001,MATCH(ROWS($AG$2:AG494),$AG$2:$AG$1001,0),MATCH(COLUMNS($AN$1006:BD1006),$AN$1006:$BO$1006,0)), HYPERLINK("#",""), HYPERLINK(CONCATENATE("#Metadata!", ADDRESS(INDEX($AI$2:$AI$1001,MATCH(ROWS($AG$2:AG494),$AG$2:$AG$1001,0),0), INDEX($AN$1004:$BO$1004,1,MATCH(COLUMNS($AN$1006:BD1006),$AN$1006:$BO$1006,0)))),"Fix")))</f>
        <v>0</v>
      </c>
      <c r="S494" s="4">
        <f>IF(OR(INDEX($AH$2:$AH$1001,MATCH(ROWS($AG$2:AG494),$AG$2:$AG$1001,0),1)&gt;=100000,INDEX($AN$1005:$BO$1005,1,MATCH(COLUMNS($AN$1006:BE1006),$AN$1006:$BO$1006,0))&gt;=100000), " ",IF(INDEX($AN$2:$BO$1001,MATCH(ROWS($AG$2:AG494),$AG$2:$AG$1001,0),MATCH(COLUMNS($AN$1006:BE1006),$AN$1006:$BO$1006,0)), HYPERLINK("#",""), HYPERLINK(CONCATENATE("#Metadata!", ADDRESS(INDEX($AI$2:$AI$1001,MATCH(ROWS($AG$2:AG494),$AG$2:$AG$1001,0),0), INDEX($AN$1004:$BO$1004,1,MATCH(COLUMNS($AN$1006:BE1006),$AN$1006:$BO$1006,0)))),"Fix")))</f>
        <v>0</v>
      </c>
      <c r="T494" s="4">
        <f>IF(OR(INDEX($AH$2:$AH$1001,MATCH(ROWS($AG$2:AG494),$AG$2:$AG$1001,0),1)&gt;=100000,INDEX($AN$1005:$BO$1005,1,MATCH(COLUMNS($AN$1006:BF1006),$AN$1006:$BO$1006,0))&gt;=100000), " ",IF(INDEX($AN$2:$BO$1001,MATCH(ROWS($AG$2:AG494),$AG$2:$AG$1001,0),MATCH(COLUMNS($AN$1006:BF1006),$AN$1006:$BO$1006,0)), HYPERLINK("#",""), HYPERLINK(CONCATENATE("#Metadata!", ADDRESS(INDEX($AI$2:$AI$1001,MATCH(ROWS($AG$2:AG494),$AG$2:$AG$1001,0),0), INDEX($AN$1004:$BO$1004,1,MATCH(COLUMNS($AN$1006:BF1006),$AN$1006:$BO$1006,0)))),"Fix")))</f>
        <v>0</v>
      </c>
      <c r="U494" s="4">
        <f>IF(OR(INDEX($AH$2:$AH$1001,MATCH(ROWS($AG$2:AG494),$AG$2:$AG$1001,0),1)&gt;=100000,INDEX($AN$1005:$BO$1005,1,MATCH(COLUMNS($AN$1006:BG1006),$AN$1006:$BO$1006,0))&gt;=100000), " ",IF(INDEX($AN$2:$BO$1001,MATCH(ROWS($AG$2:AG494),$AG$2:$AG$1001,0),MATCH(COLUMNS($AN$1006:BG1006),$AN$1006:$BO$1006,0)), HYPERLINK("#",""), HYPERLINK(CONCATENATE("#Metadata!", ADDRESS(INDEX($AI$2:$AI$1001,MATCH(ROWS($AG$2:AG494),$AG$2:$AG$1001,0),0), INDEX($AN$1004:$BO$1004,1,MATCH(COLUMNS($AN$1006:BG1006),$AN$1006:$BO$1006,0)))),"Fix")))</f>
        <v>0</v>
      </c>
      <c r="V494" s="4">
        <f>IF(OR(INDEX($AH$2:$AH$1001,MATCH(ROWS($AG$2:AG494),$AG$2:$AG$1001,0),1)&gt;=100000,INDEX($AN$1005:$BO$1005,1,MATCH(COLUMNS($AN$1006:BH1006),$AN$1006:$BO$1006,0))&gt;=100000), " ",IF(INDEX($AN$2:$BO$1001,MATCH(ROWS($AG$2:AG494),$AG$2:$AG$1001,0),MATCH(COLUMNS($AN$1006:BH1006),$AN$1006:$BO$1006,0)), HYPERLINK("#",""), HYPERLINK(CONCATENATE("#Metadata!", ADDRESS(INDEX($AI$2:$AI$1001,MATCH(ROWS($AG$2:AG494),$AG$2:$AG$1001,0),0), INDEX($AN$1004:$BO$1004,1,MATCH(COLUMNS($AN$1006:BH1006),$AN$1006:$BO$1006,0)))),"Fix")))</f>
        <v>0</v>
      </c>
      <c r="W494" s="4">
        <f>IF(OR(INDEX($AH$2:$AH$1001,MATCH(ROWS($AG$2:AG494),$AG$2:$AG$1001,0),1)&gt;=100000,INDEX($AN$1005:$BO$1005,1,MATCH(COLUMNS($AN$1006:BI1006),$AN$1006:$BO$1006,0))&gt;=100000), " ",IF(INDEX($AN$2:$BO$1001,MATCH(ROWS($AG$2:AG494),$AG$2:$AG$1001,0),MATCH(COLUMNS($AN$1006:BI1006),$AN$1006:$BO$1006,0)), HYPERLINK("#",""), HYPERLINK(CONCATENATE("#Metadata!", ADDRESS(INDEX($AI$2:$AI$1001,MATCH(ROWS($AG$2:AG494),$AG$2:$AG$1001,0),0), INDEX($AN$1004:$BO$1004,1,MATCH(COLUMNS($AN$1006:BI1006),$AN$1006:$BO$1006,0)))),"Fix")))</f>
        <v>0</v>
      </c>
      <c r="X494" s="4">
        <f>IF(OR(INDEX($AH$2:$AH$1001,MATCH(ROWS($AG$2:AG494),$AG$2:$AG$1001,0),1)&gt;=100000,INDEX($AN$1005:$BO$1005,1,MATCH(COLUMNS($AN$1006:BJ1006),$AN$1006:$BO$1006,0))&gt;=100000), " ",IF(INDEX($AN$2:$BO$1001,MATCH(ROWS($AG$2:AG494),$AG$2:$AG$1001,0),MATCH(COLUMNS($AN$1006:BJ1006),$AN$1006:$BO$1006,0)), HYPERLINK("#",""), HYPERLINK(CONCATENATE("#Metadata!", ADDRESS(INDEX($AI$2:$AI$1001,MATCH(ROWS($AG$2:AG494),$AG$2:$AG$1001,0),0), INDEX($AN$1004:$BO$1004,1,MATCH(COLUMNS($AN$1006:BJ1006),$AN$1006:$BO$1006,0)))),"Fix")))</f>
        <v>0</v>
      </c>
      <c r="Y494" s="4">
        <f>IF(OR(INDEX($AH$2:$AH$1001,MATCH(ROWS($AG$2:AG494),$AG$2:$AG$1001,0),1)&gt;=100000,INDEX($AN$1005:$BO$1005,1,MATCH(COLUMNS($AN$1006:BK1006),$AN$1006:$BO$1006,0))&gt;=100000), " ",IF(INDEX($AN$2:$BO$1001,MATCH(ROWS($AG$2:AG494),$AG$2:$AG$1001,0),MATCH(COLUMNS($AN$1006:BK1006),$AN$1006:$BO$1006,0)), HYPERLINK("#",""), HYPERLINK(CONCATENATE("#Metadata!", ADDRESS(INDEX($AI$2:$AI$1001,MATCH(ROWS($AG$2:AG494),$AG$2:$AG$1001,0),0), INDEX($AN$1004:$BO$1004,1,MATCH(COLUMNS($AN$1006:BK1006),$AN$1006:$BO$1006,0)))),"Fix")))</f>
        <v>0</v>
      </c>
      <c r="Z494" s="4">
        <f>IF(OR(INDEX($AH$2:$AH$1001,MATCH(ROWS($AG$2:AG494),$AG$2:$AG$1001,0),1)&gt;=100000,INDEX($AN$1005:$BO$1005,1,MATCH(COLUMNS($AN$1006:BL1006),$AN$1006:$BO$1006,0))&gt;=100000), " ",IF(INDEX($AN$2:$BO$1001,MATCH(ROWS($AG$2:AG494),$AG$2:$AG$1001,0),MATCH(COLUMNS($AN$1006:BL1006),$AN$1006:$BO$1006,0)), HYPERLINK("#",""), HYPERLINK(CONCATENATE("#Metadata!", ADDRESS(INDEX($AI$2:$AI$1001,MATCH(ROWS($AG$2:AG494),$AG$2:$AG$1001,0),0), INDEX($AN$1004:$BO$1004,1,MATCH(COLUMNS($AN$1006:BL1006),$AN$1006:$BO$1006,0)))),"Fix")))</f>
        <v>0</v>
      </c>
      <c r="AA494" s="4">
        <f>IF(OR(INDEX($AH$2:$AH$1001,MATCH(ROWS($AG$2:AG494),$AG$2:$AG$1001,0),1)&gt;=100000,INDEX($AN$1005:$BO$1005,1,MATCH(COLUMNS($AN$1006:BM1006),$AN$1006:$BO$1006,0))&gt;=100000), " ",IF(INDEX($AN$2:$BO$1001,MATCH(ROWS($AG$2:AG494),$AG$2:$AG$1001,0),MATCH(COLUMNS($AN$1006:BM1006),$AN$1006:$BO$1006,0)), HYPERLINK("#",""), HYPERLINK(CONCATENATE("#Metadata!", ADDRESS(INDEX($AI$2:$AI$1001,MATCH(ROWS($AG$2:AG494),$AG$2:$AG$1001,0),0), INDEX($AN$1004:$BO$1004,1,MATCH(COLUMNS($AN$1006:BM1006),$AN$1006:$BO$1006,0)))),"Fix")))</f>
        <v>0</v>
      </c>
      <c r="AB494" s="4">
        <f>IF(OR(INDEX($AH$2:$AH$1001,MATCH(ROWS($AG$2:AG494),$AG$2:$AG$1001,0),1)&gt;=100000,INDEX($AN$1005:$BO$1005,1,MATCH(COLUMNS($AN$1006:BN1006),$AN$1006:$BO$1006,0))&gt;=100000), " ",IF(INDEX($AN$2:$BO$1001,MATCH(ROWS($AG$2:AG494),$AG$2:$AG$1001,0),MATCH(COLUMNS($AN$1006:BN1006),$AN$1006:$BO$1006,0)), HYPERLINK("#",""), HYPERLINK(CONCATENATE("#Metadata!", ADDRESS(INDEX($AI$2:$AI$1001,MATCH(ROWS($AG$2:AG494),$AG$2:$AG$1001,0),0), INDEX($AN$1004:$BO$1004,1,MATCH(COLUMNS($AN$1006:BN1006),$AN$1006:$BO$1006,0)))),"Fix")))</f>
        <v>0</v>
      </c>
      <c r="AC494" s="4">
        <f>IF(OR(INDEX($AH$2:$AH$1001,MATCH(ROWS($AG$2:AG494),$AG$2:$AG$1001,0),1)&gt;=100000,INDEX($AN$1005:$BO$1005,1,MATCH(COLUMNS($AN$1006:BO1006),$AN$1006:$BO$1006,0))&gt;=100000), " ",IF(INDEX($AN$2:$BO$1001,MATCH(ROWS($AG$2:AG494),$AG$2:$AG$1001,0),MATCH(COLUMNS($AN$1006:BO1006),$AN$1006:$BO$1006,0)), HYPERLINK("#",""), HYPERLINK(CONCATENATE("#Metadata!", ADDRESS(INDEX($AI$2:$AI$1001,MATCH(ROWS($AG$2:AG494),$AG$2:$AG$1001,0),0), INDEX($AN$1004:$BO$1004,1,MATCH(COLUMNS($AN$1006:BO1006),$AN$1006:$BO$1006,0)))),"Fix")))</f>
        <v>0</v>
      </c>
      <c r="AG494">
        <v>0</v>
      </c>
      <c r="AH494">
        <v>0</v>
      </c>
      <c r="AI494">
        <v>0</v>
      </c>
      <c r="AJ494">
        <f>IF(AK494,TRUE,AND(AN494:BO494))</f>
        <v>0</v>
      </c>
      <c r="AK494">
        <f>COUNTBLANK(Metadata!B494:AC494)=COLUMNS(Metadata!B494:AC494)</f>
        <v>0</v>
      </c>
      <c r="AL494">
        <v>0</v>
      </c>
      <c r="AN494">
        <f>AND(IF(Metadata!B494="",FALSE,TRUE),COUNTIF(Metadata!B:B, Metadata!B494) = 1,NOT(ISERROR(SUMPRODUCT(SEARCH(MID(Metadata!B494,ROW(INDIRECT("1:"&amp;LEN(Metadata!B494))), 1),"0123456789abcdefghijklmnopqrstuvwxyzABCDEFGHIJKLMNOPQRSTUVWXYZ.")))))</f>
        <v>0</v>
      </c>
      <c r="AO494">
        <f>IF(Metadata!C494="",FALSE,TRUE)</f>
        <v>0</v>
      </c>
      <c r="AP494">
        <f>IF(Metadata!D494="",FALSE,TRUE)</f>
        <v>0</v>
      </c>
      <c r="AQ494">
        <f>OR(AND(IF(Metadata!E494="",FALSE,TRUE),OR(exact(Metadata!E494,"not collected"),exact(Metadata!E494,"not provided"),exact(Metadata!E494,"restricted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R494">
        <f>IF(Metadata!F494="",FALSE,TRUE)</f>
        <v>0</v>
      </c>
      <c r="AS494">
        <f>OR(AND(IF(Metadata!G494="",FALSE,TRUE),OR(exact(Metadata!G494,"not collected"),exact(Metadata!G494,"not provided"))),AND(IF(Metadata!G494="",FALSE,TRUE),OR(exact(Metadata!G494,"TRUE"),exact(Metadata!G494,"FALSE"))))</f>
        <v>0</v>
      </c>
      <c r="AT494">
        <f>OR(AND(IF(Metadata!H494="",FALSE,TRUE),OR(exact(Metadata!H494,"not collected"),exact(Metadata!H494,"not provided"),exact(Metadata!H494,"restricted access"))),AND(IF(Metadata!H494="",FALSE,ISNUMBER(VALUE(Metadata!H494))),Metadata!H494&gt;=-413.0))</f>
        <v>0</v>
      </c>
      <c r="AU494">
        <f>AND(IF(Metadata!I494="",FALSE,TRUE),exact(Metadata!I494,"meters"))</f>
        <v>0</v>
      </c>
      <c r="AV494">
        <f>AND(IF(Metadata!J494="",FALSE,TRUE),OR(exact(Metadata!J494,"Host-associated"),exact(Metadata!J494,"Free-living")))</f>
        <v>0</v>
      </c>
      <c r="AW494">
        <f>AND(IF(Metadata!K494="",FALSE,TRUE),OR(exact(Metadata!K494,"Animal"),exact(Metadata!K494,"Fungus"),exact(Metadata!K494,"Plant"),exact(Metadata!K494,"Saline"),exact(Metadata!K494,"Non-saline")))</f>
        <v>0</v>
      </c>
      <c r="AX494">
        <f>AND(IF(Metadata!L494="",FALSE,TRUE),OR(exact(Metadata!L494,"Plant secretion"),exact(Metadata!L494,"Plant rhizosphere"),exact(Metadata!L494,"Plant surface"),exact(Metadata!L494,"Plant corpus"),exact(Metadata!L494,"Fungus surface"),exact(Metadata!L494,"Fungus corpus"),exact(Metadata!L494,"Animal surface"),exact(Metadata!L494,"Animal proximal gut"),exact(Metadata!L494,"Animal corpus"),exact(Metadata!L494,"Animal distal gut"),exact(Metadata!L494,"Animal secretion"),exact(Metadata!L494,"Sub-surface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Y494">
        <f>IF(Metadata!M494="",FALSE,TRUE)</f>
        <v>0</v>
      </c>
      <c r="AZ494">
        <f>IF(Metadata!N494="",FALSE,TRUE)</f>
        <v>0</v>
      </c>
      <c r="BA494">
        <f>IF(Metadata!O494="",FALSE,TRUE)</f>
        <v>0</v>
      </c>
      <c r="BB494">
        <f>OR(AND(IF(Metadata!P494="",FALSE,TRUE),OR(exact(Metadata!P494,"not collected"),exact(Metadata!P494,"not provided"),exact(Metadata!P494,"restricted access"))),AND(IF(Metadata!P494="",FALSE,TRUE),OR(exact(Metadata!P494,"air"),exact(Metadata!P494,"built environment"),exact(Metadata!P494,"host-associated"),exact(Metadata!P494,"human-associated"),exact(Metadata!P494,"human-skin"),exact(Metadata!P494,"human-oral"),exact(Metadata!P494,"human-gut"),exact(Metadata!P494,"human-vaginal"),exact(Metadata!P494,"microbial mat/biofilm"),exact(Metadata!P494,"misc environment"),exact(Metadata!P494,"plant-associated"),exact(Metadata!P494,"sediment"),exact(Metadata!P494,"soil"),exact(Metadata!P494,"wastewater/sludge"),exact(Metadata!P494,"water"))))</f>
        <v>0</v>
      </c>
      <c r="BC494">
        <f>IF(Metadata!Q494="",FALSE,TRUE)</f>
        <v>0</v>
      </c>
      <c r="BD494">
        <f>IF(Metadata!R494="",FALSE,TRUE)</f>
        <v>0</v>
      </c>
      <c r="BE494">
        <f>OR(AND(IF(Metadata!S494="",FALSE,TRUE),OR(exact(Metadata!S494,"not collected"),exact(Metadata!S494,"not provided"),exact(Metadata!S494,"restricted access"))),AND(IF(Metadata!S494="",FALSE,ISNUMBER(VALUE(Metadata!S494))),Metadata!S494&gt;=-90.00,Metadata!S494&lt;=90.00))</f>
        <v>0</v>
      </c>
      <c r="BF494">
        <f>AND(IF(Metadata!T494="",FALSE,TRUE),exact(Metadata!T494,"Decimal degrees"))</f>
        <v>0</v>
      </c>
      <c r="BG494">
        <f>OR(AND(IF(Metadata!U494="",FALSE,TRUE),OR(exact(Metadata!U494,"not collected"),exact(Metadata!U494,"not provided"),exact(Metadata!U494,"restricted access"))),AND(IF(Metadata!U494="",FALSE,ISNUMBER(VALUE(Metadata!U494))),Metadata!U494&gt;=-180.00,Metadata!U494&lt;=180.00))</f>
        <v>0</v>
      </c>
      <c r="BH494">
        <f>AND(IF(Metadata!V494="",FALSE,TRUE),exact(Metadata!V494,"Decimal degrees"))</f>
        <v>0</v>
      </c>
      <c r="BI494">
        <f>IF(Metadata!W494="",FALSE,TRUE)</f>
        <v>0</v>
      </c>
      <c r="BJ494">
        <f>OR(AND(IF(Metadata!X494="",FALSE,TRUE),OR(exact(Metadata!X494,"not collected"),exact(Metadata!X494,"not provided"),exact(Metadata!X494,"restricted access"))),AND(IF(Metadata!X494="",FALSE,TRUE),OR(exact(Metadata!X494,"TRUE"),exact(Metadata!X494,"FALSE"))))</f>
        <v>0</v>
      </c>
      <c r="BK494">
        <f>AND(IF(Metadata!Y494="",FALSE,TRUE),exact(Metadata!Y494,"other"))</f>
        <v>0</v>
      </c>
      <c r="BL494">
        <f>IF(Metadata!Z494="",FALSE,TRUE)</f>
        <v>0</v>
      </c>
      <c r="BM494">
        <f>OR(AND(IF(Metadata!AA494="",FALSE,TRUE),OR(exact(Metadata!AA494,"not collected"),exact(Metadata!AA494,"not provided"))),AND(IF(Metadata!AA494="",FALSE,IF(ISERROR(INT(Metadata!AA494)),FALSE,INT(Metadata!AA494)=Metadata!AA494)),Metadata!AA494&gt;0))</f>
        <v>0</v>
      </c>
      <c r="BN494">
        <f>AND(IF(Metadata!AB494="",FALSE,TRUE),exact(Metadata!AB494,"Not applicable"))</f>
        <v>0</v>
      </c>
      <c r="BO494">
        <f>IF(Metadata!AC494="",FALSE,TRUE)</f>
        <v>0</v>
      </c>
    </row>
    <row r="495" spans="1:67">
      <c r="A495" s="5">
        <f>IF(B495=" "," ",HYPERLINK(CONCATENATE("#metadata!",ADDRESS(INDEX($AI$2:$AI$1001,MATCH(ROWS($AG$2:AG495),$AG$2:$AG$1001,0),0),1)),INDEX($AL$2:$AL$1001,MATCH(ROWS($AG$2:AG495),$AG$2:$AG$1001,0),0)))</f>
        <v>0</v>
      </c>
      <c r="B495" s="4">
        <f>IF(OR(INDEX($AH$2:$AH$1001,MATCH(ROWS($AG$2:AG495),$AG$2:$AG$1001,0),1)&gt;=100000,INDEX($AN$1005:$BO$1005,1,MATCH(COLUMNS($AN$1006:AN1006),$AN$1006:$BO$1006,0))&gt;=100000), " ",IF(INDEX($AN$2:$BO$1001,MATCH(ROWS($AG$2:AG495),$AG$2:$AG$1001,0),MATCH(COLUMNS($AN$1006:AN1006),$AN$1006:$BO$1006,0)), HYPERLINK("#",""), HYPERLINK(CONCATENATE("#Metadata!", ADDRESS(INDEX($AI$2:$AI$1001,MATCH(ROWS($AG$2:AG495),$AG$2:$AG$1001,0),0), INDEX($AN$1004:$BO$1004,1,MATCH(COLUMNS($AN$1006:AN1006),$AN$1006:$BO$1006,0)))),"Fix")))</f>
        <v>0</v>
      </c>
      <c r="C495" s="4">
        <f>IF(OR(INDEX($AH$2:$AH$1001,MATCH(ROWS($AG$2:AG495),$AG$2:$AG$1001,0),1)&gt;=100000,INDEX($AN$1005:$BO$1005,1,MATCH(COLUMNS($AN$1006:AO1006),$AN$1006:$BO$1006,0))&gt;=100000), " ",IF(INDEX($AN$2:$BO$1001,MATCH(ROWS($AG$2:AG495),$AG$2:$AG$1001,0),MATCH(COLUMNS($AN$1006:AO1006),$AN$1006:$BO$1006,0)), HYPERLINK("#",""), HYPERLINK(CONCATENATE("#Metadata!", ADDRESS(INDEX($AI$2:$AI$1001,MATCH(ROWS($AG$2:AG495),$AG$2:$AG$1001,0),0), INDEX($AN$1004:$BO$1004,1,MATCH(COLUMNS($AN$1006:AO1006),$AN$1006:$BO$1006,0)))),"Fix")))</f>
        <v>0</v>
      </c>
      <c r="D495" s="4">
        <f>IF(OR(INDEX($AH$2:$AH$1001,MATCH(ROWS($AG$2:AG495),$AG$2:$AG$1001,0),1)&gt;=100000,INDEX($AN$1005:$BO$1005,1,MATCH(COLUMNS($AN$1006:AP1006),$AN$1006:$BO$1006,0))&gt;=100000), " ",IF(INDEX($AN$2:$BO$1001,MATCH(ROWS($AG$2:AG495),$AG$2:$AG$1001,0),MATCH(COLUMNS($AN$1006:AP1006),$AN$1006:$BO$1006,0)), HYPERLINK("#",""), HYPERLINK(CONCATENATE("#Metadata!", ADDRESS(INDEX($AI$2:$AI$1001,MATCH(ROWS($AG$2:AG495),$AG$2:$AG$1001,0),0), INDEX($AN$1004:$BO$1004,1,MATCH(COLUMNS($AN$1006:AP1006),$AN$1006:$BO$1006,0)))),"Fix")))</f>
        <v>0</v>
      </c>
      <c r="E495" s="4">
        <f>IF(OR(INDEX($AH$2:$AH$1001,MATCH(ROWS($AG$2:AG495),$AG$2:$AG$1001,0),1)&gt;=100000,INDEX($AN$1005:$BO$1005,1,MATCH(COLUMNS($AN$1006:AQ1006),$AN$1006:$BO$1006,0))&gt;=100000), " ",IF(INDEX($AN$2:$BO$1001,MATCH(ROWS($AG$2:AG495),$AG$2:$AG$1001,0),MATCH(COLUMNS($AN$1006:AQ1006),$AN$1006:$BO$1006,0)), HYPERLINK("#",""), HYPERLINK(CONCATENATE("#Metadata!", ADDRESS(INDEX($AI$2:$AI$1001,MATCH(ROWS($AG$2:AG495),$AG$2:$AG$1001,0),0), INDEX($AN$1004:$BO$1004,1,MATCH(COLUMNS($AN$1006:AQ1006),$AN$1006:$BO$1006,0)))),"Fix")))</f>
        <v>0</v>
      </c>
      <c r="F495" s="4">
        <f>IF(OR(INDEX($AH$2:$AH$1001,MATCH(ROWS($AG$2:AG495),$AG$2:$AG$1001,0),1)&gt;=100000,INDEX($AN$1005:$BO$1005,1,MATCH(COLUMNS($AN$1006:AR1006),$AN$1006:$BO$1006,0))&gt;=100000), " ",IF(INDEX($AN$2:$BO$1001,MATCH(ROWS($AG$2:AG495),$AG$2:$AG$1001,0),MATCH(COLUMNS($AN$1006:AR1006),$AN$1006:$BO$1006,0)), HYPERLINK("#",""), HYPERLINK(CONCATENATE("#Metadata!", ADDRESS(INDEX($AI$2:$AI$1001,MATCH(ROWS($AG$2:AG495),$AG$2:$AG$1001,0),0), INDEX($AN$1004:$BO$1004,1,MATCH(COLUMNS($AN$1006:AR1006),$AN$1006:$BO$1006,0)))),"Fix")))</f>
        <v>0</v>
      </c>
      <c r="G495" s="4">
        <f>IF(OR(INDEX($AH$2:$AH$1001,MATCH(ROWS($AG$2:AG495),$AG$2:$AG$1001,0),1)&gt;=100000,INDEX($AN$1005:$BO$1005,1,MATCH(COLUMNS($AN$1006:AS1006),$AN$1006:$BO$1006,0))&gt;=100000), " ",IF(INDEX($AN$2:$BO$1001,MATCH(ROWS($AG$2:AG495),$AG$2:$AG$1001,0),MATCH(COLUMNS($AN$1006:AS1006),$AN$1006:$BO$1006,0)), HYPERLINK("#",""), HYPERLINK(CONCATENATE("#Metadata!", ADDRESS(INDEX($AI$2:$AI$1001,MATCH(ROWS($AG$2:AG495),$AG$2:$AG$1001,0),0), INDEX($AN$1004:$BO$1004,1,MATCH(COLUMNS($AN$1006:AS1006),$AN$1006:$BO$1006,0)))),"Fix")))</f>
        <v>0</v>
      </c>
      <c r="H495" s="4">
        <f>IF(OR(INDEX($AH$2:$AH$1001,MATCH(ROWS($AG$2:AG495),$AG$2:$AG$1001,0),1)&gt;=100000,INDEX($AN$1005:$BO$1005,1,MATCH(COLUMNS($AN$1006:AT1006),$AN$1006:$BO$1006,0))&gt;=100000), " ",IF(INDEX($AN$2:$BO$1001,MATCH(ROWS($AG$2:AG495),$AG$2:$AG$1001,0),MATCH(COLUMNS($AN$1006:AT1006),$AN$1006:$BO$1006,0)), HYPERLINK("#",""), HYPERLINK(CONCATENATE("#Metadata!", ADDRESS(INDEX($AI$2:$AI$1001,MATCH(ROWS($AG$2:AG495),$AG$2:$AG$1001,0),0), INDEX($AN$1004:$BO$1004,1,MATCH(COLUMNS($AN$1006:AT1006),$AN$1006:$BO$1006,0)))),"Fix")))</f>
        <v>0</v>
      </c>
      <c r="I495" s="4">
        <f>IF(OR(INDEX($AH$2:$AH$1001,MATCH(ROWS($AG$2:AG495),$AG$2:$AG$1001,0),1)&gt;=100000,INDEX($AN$1005:$BO$1005,1,MATCH(COLUMNS($AN$1006:AU1006),$AN$1006:$BO$1006,0))&gt;=100000), " ",IF(INDEX($AN$2:$BO$1001,MATCH(ROWS($AG$2:AG495),$AG$2:$AG$1001,0),MATCH(COLUMNS($AN$1006:AU1006),$AN$1006:$BO$1006,0)), HYPERLINK("#",""), HYPERLINK(CONCATENATE("#Metadata!", ADDRESS(INDEX($AI$2:$AI$1001,MATCH(ROWS($AG$2:AG495),$AG$2:$AG$1001,0),0), INDEX($AN$1004:$BO$1004,1,MATCH(COLUMNS($AN$1006:AU1006),$AN$1006:$BO$1006,0)))),"Fix")))</f>
        <v>0</v>
      </c>
      <c r="J495" s="4">
        <f>IF(OR(INDEX($AH$2:$AH$1001,MATCH(ROWS($AG$2:AG495),$AG$2:$AG$1001,0),1)&gt;=100000,INDEX($AN$1005:$BO$1005,1,MATCH(COLUMNS($AN$1006:AV1006),$AN$1006:$BO$1006,0))&gt;=100000), " ",IF(INDEX($AN$2:$BO$1001,MATCH(ROWS($AG$2:AG495),$AG$2:$AG$1001,0),MATCH(COLUMNS($AN$1006:AV1006),$AN$1006:$BO$1006,0)), HYPERLINK("#",""), HYPERLINK(CONCATENATE("#Metadata!", ADDRESS(INDEX($AI$2:$AI$1001,MATCH(ROWS($AG$2:AG495),$AG$2:$AG$1001,0),0), INDEX($AN$1004:$BO$1004,1,MATCH(COLUMNS($AN$1006:AV1006),$AN$1006:$BO$1006,0)))),"Fix")))</f>
        <v>0</v>
      </c>
      <c r="K495" s="4">
        <f>IF(OR(INDEX($AH$2:$AH$1001,MATCH(ROWS($AG$2:AG495),$AG$2:$AG$1001,0),1)&gt;=100000,INDEX($AN$1005:$BO$1005,1,MATCH(COLUMNS($AN$1006:AW1006),$AN$1006:$BO$1006,0))&gt;=100000), " ",IF(INDEX($AN$2:$BO$1001,MATCH(ROWS($AG$2:AG495),$AG$2:$AG$1001,0),MATCH(COLUMNS($AN$1006:AW1006),$AN$1006:$BO$1006,0)), HYPERLINK("#",""), HYPERLINK(CONCATENATE("#Metadata!", ADDRESS(INDEX($AI$2:$AI$1001,MATCH(ROWS($AG$2:AG495),$AG$2:$AG$1001,0),0), INDEX($AN$1004:$BO$1004,1,MATCH(COLUMNS($AN$1006:AW1006),$AN$1006:$BO$1006,0)))),"Fix")))</f>
        <v>0</v>
      </c>
      <c r="L495" s="4">
        <f>IF(OR(INDEX($AH$2:$AH$1001,MATCH(ROWS($AG$2:AG495),$AG$2:$AG$1001,0),1)&gt;=100000,INDEX($AN$1005:$BO$1005,1,MATCH(COLUMNS($AN$1006:AX1006),$AN$1006:$BO$1006,0))&gt;=100000), " ",IF(INDEX($AN$2:$BO$1001,MATCH(ROWS($AG$2:AG495),$AG$2:$AG$1001,0),MATCH(COLUMNS($AN$1006:AX1006),$AN$1006:$BO$1006,0)), HYPERLINK("#",""), HYPERLINK(CONCATENATE("#Metadata!", ADDRESS(INDEX($AI$2:$AI$1001,MATCH(ROWS($AG$2:AG495),$AG$2:$AG$1001,0),0), INDEX($AN$1004:$BO$1004,1,MATCH(COLUMNS($AN$1006:AX1006),$AN$1006:$BO$1006,0)))),"Fix")))</f>
        <v>0</v>
      </c>
      <c r="M495" s="4">
        <f>IF(OR(INDEX($AH$2:$AH$1001,MATCH(ROWS($AG$2:AG495),$AG$2:$AG$1001,0),1)&gt;=100000,INDEX($AN$1005:$BO$1005,1,MATCH(COLUMNS($AN$1006:AY1006),$AN$1006:$BO$1006,0))&gt;=100000), " ",IF(INDEX($AN$2:$BO$1001,MATCH(ROWS($AG$2:AG495),$AG$2:$AG$1001,0),MATCH(COLUMNS($AN$1006:AY1006),$AN$1006:$BO$1006,0)), HYPERLINK("#",""), HYPERLINK(CONCATENATE("#Metadata!", ADDRESS(INDEX($AI$2:$AI$1001,MATCH(ROWS($AG$2:AG495),$AG$2:$AG$1001,0),0), INDEX($AN$1004:$BO$1004,1,MATCH(COLUMNS($AN$1006:AY1006),$AN$1006:$BO$1006,0)))),"Fix")))</f>
        <v>0</v>
      </c>
      <c r="N495" s="4">
        <f>IF(OR(INDEX($AH$2:$AH$1001,MATCH(ROWS($AG$2:AG495),$AG$2:$AG$1001,0),1)&gt;=100000,INDEX($AN$1005:$BO$1005,1,MATCH(COLUMNS($AN$1006:AZ1006),$AN$1006:$BO$1006,0))&gt;=100000), " ",IF(INDEX($AN$2:$BO$1001,MATCH(ROWS($AG$2:AG495),$AG$2:$AG$1001,0),MATCH(COLUMNS($AN$1006:AZ1006),$AN$1006:$BO$1006,0)), HYPERLINK("#",""), HYPERLINK(CONCATENATE("#Metadata!", ADDRESS(INDEX($AI$2:$AI$1001,MATCH(ROWS($AG$2:AG495),$AG$2:$AG$1001,0),0), INDEX($AN$1004:$BO$1004,1,MATCH(COLUMNS($AN$1006:AZ1006),$AN$1006:$BO$1006,0)))),"Fix")))</f>
        <v>0</v>
      </c>
      <c r="O495" s="4">
        <f>IF(OR(INDEX($AH$2:$AH$1001,MATCH(ROWS($AG$2:AG495),$AG$2:$AG$1001,0),1)&gt;=100000,INDEX($AN$1005:$BO$1005,1,MATCH(COLUMNS($AN$1006:BA1006),$AN$1006:$BO$1006,0))&gt;=100000), " ",IF(INDEX($AN$2:$BO$1001,MATCH(ROWS($AG$2:AG495),$AG$2:$AG$1001,0),MATCH(COLUMNS($AN$1006:BA1006),$AN$1006:$BO$1006,0)), HYPERLINK("#",""), HYPERLINK(CONCATENATE("#Metadata!", ADDRESS(INDEX($AI$2:$AI$1001,MATCH(ROWS($AG$2:AG495),$AG$2:$AG$1001,0),0), INDEX($AN$1004:$BO$1004,1,MATCH(COLUMNS($AN$1006:BA1006),$AN$1006:$BO$1006,0)))),"Fix")))</f>
        <v>0</v>
      </c>
      <c r="P495" s="4">
        <f>IF(OR(INDEX($AH$2:$AH$1001,MATCH(ROWS($AG$2:AG495),$AG$2:$AG$1001,0),1)&gt;=100000,INDEX($AN$1005:$BO$1005,1,MATCH(COLUMNS($AN$1006:BB1006),$AN$1006:$BO$1006,0))&gt;=100000), " ",IF(INDEX($AN$2:$BO$1001,MATCH(ROWS($AG$2:AG495),$AG$2:$AG$1001,0),MATCH(COLUMNS($AN$1006:BB1006),$AN$1006:$BO$1006,0)), HYPERLINK("#",""), HYPERLINK(CONCATENATE("#Metadata!", ADDRESS(INDEX($AI$2:$AI$1001,MATCH(ROWS($AG$2:AG495),$AG$2:$AG$1001,0),0), INDEX($AN$1004:$BO$1004,1,MATCH(COLUMNS($AN$1006:BB1006),$AN$1006:$BO$1006,0)))),"Fix")))</f>
        <v>0</v>
      </c>
      <c r="Q495" s="4">
        <f>IF(OR(INDEX($AH$2:$AH$1001,MATCH(ROWS($AG$2:AG495),$AG$2:$AG$1001,0),1)&gt;=100000,INDEX($AN$1005:$BO$1005,1,MATCH(COLUMNS($AN$1006:BC1006),$AN$1006:$BO$1006,0))&gt;=100000), " ",IF(INDEX($AN$2:$BO$1001,MATCH(ROWS($AG$2:AG495),$AG$2:$AG$1001,0),MATCH(COLUMNS($AN$1006:BC1006),$AN$1006:$BO$1006,0)), HYPERLINK("#",""), HYPERLINK(CONCATENATE("#Metadata!", ADDRESS(INDEX($AI$2:$AI$1001,MATCH(ROWS($AG$2:AG495),$AG$2:$AG$1001,0),0), INDEX($AN$1004:$BO$1004,1,MATCH(COLUMNS($AN$1006:BC1006),$AN$1006:$BO$1006,0)))),"Fix")))</f>
        <v>0</v>
      </c>
      <c r="R495" s="4">
        <f>IF(OR(INDEX($AH$2:$AH$1001,MATCH(ROWS($AG$2:AG495),$AG$2:$AG$1001,0),1)&gt;=100000,INDEX($AN$1005:$BO$1005,1,MATCH(COLUMNS($AN$1006:BD1006),$AN$1006:$BO$1006,0))&gt;=100000), " ",IF(INDEX($AN$2:$BO$1001,MATCH(ROWS($AG$2:AG495),$AG$2:$AG$1001,0),MATCH(COLUMNS($AN$1006:BD1006),$AN$1006:$BO$1006,0)), HYPERLINK("#",""), HYPERLINK(CONCATENATE("#Metadata!", ADDRESS(INDEX($AI$2:$AI$1001,MATCH(ROWS($AG$2:AG495),$AG$2:$AG$1001,0),0), INDEX($AN$1004:$BO$1004,1,MATCH(COLUMNS($AN$1006:BD1006),$AN$1006:$BO$1006,0)))),"Fix")))</f>
        <v>0</v>
      </c>
      <c r="S495" s="4">
        <f>IF(OR(INDEX($AH$2:$AH$1001,MATCH(ROWS($AG$2:AG495),$AG$2:$AG$1001,0),1)&gt;=100000,INDEX($AN$1005:$BO$1005,1,MATCH(COLUMNS($AN$1006:BE1006),$AN$1006:$BO$1006,0))&gt;=100000), " ",IF(INDEX($AN$2:$BO$1001,MATCH(ROWS($AG$2:AG495),$AG$2:$AG$1001,0),MATCH(COLUMNS($AN$1006:BE1006),$AN$1006:$BO$1006,0)), HYPERLINK("#",""), HYPERLINK(CONCATENATE("#Metadata!", ADDRESS(INDEX($AI$2:$AI$1001,MATCH(ROWS($AG$2:AG495),$AG$2:$AG$1001,0),0), INDEX($AN$1004:$BO$1004,1,MATCH(COLUMNS($AN$1006:BE1006),$AN$1006:$BO$1006,0)))),"Fix")))</f>
        <v>0</v>
      </c>
      <c r="T495" s="4">
        <f>IF(OR(INDEX($AH$2:$AH$1001,MATCH(ROWS($AG$2:AG495),$AG$2:$AG$1001,0),1)&gt;=100000,INDEX($AN$1005:$BO$1005,1,MATCH(COLUMNS($AN$1006:BF1006),$AN$1006:$BO$1006,0))&gt;=100000), " ",IF(INDEX($AN$2:$BO$1001,MATCH(ROWS($AG$2:AG495),$AG$2:$AG$1001,0),MATCH(COLUMNS($AN$1006:BF1006),$AN$1006:$BO$1006,0)), HYPERLINK("#",""), HYPERLINK(CONCATENATE("#Metadata!", ADDRESS(INDEX($AI$2:$AI$1001,MATCH(ROWS($AG$2:AG495),$AG$2:$AG$1001,0),0), INDEX($AN$1004:$BO$1004,1,MATCH(COLUMNS($AN$1006:BF1006),$AN$1006:$BO$1006,0)))),"Fix")))</f>
        <v>0</v>
      </c>
      <c r="U495" s="4">
        <f>IF(OR(INDEX($AH$2:$AH$1001,MATCH(ROWS($AG$2:AG495),$AG$2:$AG$1001,0),1)&gt;=100000,INDEX($AN$1005:$BO$1005,1,MATCH(COLUMNS($AN$1006:BG1006),$AN$1006:$BO$1006,0))&gt;=100000), " ",IF(INDEX($AN$2:$BO$1001,MATCH(ROWS($AG$2:AG495),$AG$2:$AG$1001,0),MATCH(COLUMNS($AN$1006:BG1006),$AN$1006:$BO$1006,0)), HYPERLINK("#",""), HYPERLINK(CONCATENATE("#Metadata!", ADDRESS(INDEX($AI$2:$AI$1001,MATCH(ROWS($AG$2:AG495),$AG$2:$AG$1001,0),0), INDEX($AN$1004:$BO$1004,1,MATCH(COLUMNS($AN$1006:BG1006),$AN$1006:$BO$1006,0)))),"Fix")))</f>
        <v>0</v>
      </c>
      <c r="V495" s="4">
        <f>IF(OR(INDEX($AH$2:$AH$1001,MATCH(ROWS($AG$2:AG495),$AG$2:$AG$1001,0),1)&gt;=100000,INDEX($AN$1005:$BO$1005,1,MATCH(COLUMNS($AN$1006:BH1006),$AN$1006:$BO$1006,0))&gt;=100000), " ",IF(INDEX($AN$2:$BO$1001,MATCH(ROWS($AG$2:AG495),$AG$2:$AG$1001,0),MATCH(COLUMNS($AN$1006:BH1006),$AN$1006:$BO$1006,0)), HYPERLINK("#",""), HYPERLINK(CONCATENATE("#Metadata!", ADDRESS(INDEX($AI$2:$AI$1001,MATCH(ROWS($AG$2:AG495),$AG$2:$AG$1001,0),0), INDEX($AN$1004:$BO$1004,1,MATCH(COLUMNS($AN$1006:BH1006),$AN$1006:$BO$1006,0)))),"Fix")))</f>
        <v>0</v>
      </c>
      <c r="W495" s="4">
        <f>IF(OR(INDEX($AH$2:$AH$1001,MATCH(ROWS($AG$2:AG495),$AG$2:$AG$1001,0),1)&gt;=100000,INDEX($AN$1005:$BO$1005,1,MATCH(COLUMNS($AN$1006:BI1006),$AN$1006:$BO$1006,0))&gt;=100000), " ",IF(INDEX($AN$2:$BO$1001,MATCH(ROWS($AG$2:AG495),$AG$2:$AG$1001,0),MATCH(COLUMNS($AN$1006:BI1006),$AN$1006:$BO$1006,0)), HYPERLINK("#",""), HYPERLINK(CONCATENATE("#Metadata!", ADDRESS(INDEX($AI$2:$AI$1001,MATCH(ROWS($AG$2:AG495),$AG$2:$AG$1001,0),0), INDEX($AN$1004:$BO$1004,1,MATCH(COLUMNS($AN$1006:BI1006),$AN$1006:$BO$1006,0)))),"Fix")))</f>
        <v>0</v>
      </c>
      <c r="X495" s="4">
        <f>IF(OR(INDEX($AH$2:$AH$1001,MATCH(ROWS($AG$2:AG495),$AG$2:$AG$1001,0),1)&gt;=100000,INDEX($AN$1005:$BO$1005,1,MATCH(COLUMNS($AN$1006:BJ1006),$AN$1006:$BO$1006,0))&gt;=100000), " ",IF(INDEX($AN$2:$BO$1001,MATCH(ROWS($AG$2:AG495),$AG$2:$AG$1001,0),MATCH(COLUMNS($AN$1006:BJ1006),$AN$1006:$BO$1006,0)), HYPERLINK("#",""), HYPERLINK(CONCATENATE("#Metadata!", ADDRESS(INDEX($AI$2:$AI$1001,MATCH(ROWS($AG$2:AG495),$AG$2:$AG$1001,0),0), INDEX($AN$1004:$BO$1004,1,MATCH(COLUMNS($AN$1006:BJ1006),$AN$1006:$BO$1006,0)))),"Fix")))</f>
        <v>0</v>
      </c>
      <c r="Y495" s="4">
        <f>IF(OR(INDEX($AH$2:$AH$1001,MATCH(ROWS($AG$2:AG495),$AG$2:$AG$1001,0),1)&gt;=100000,INDEX($AN$1005:$BO$1005,1,MATCH(COLUMNS($AN$1006:BK1006),$AN$1006:$BO$1006,0))&gt;=100000), " ",IF(INDEX($AN$2:$BO$1001,MATCH(ROWS($AG$2:AG495),$AG$2:$AG$1001,0),MATCH(COLUMNS($AN$1006:BK1006),$AN$1006:$BO$1006,0)), HYPERLINK("#",""), HYPERLINK(CONCATENATE("#Metadata!", ADDRESS(INDEX($AI$2:$AI$1001,MATCH(ROWS($AG$2:AG495),$AG$2:$AG$1001,0),0), INDEX($AN$1004:$BO$1004,1,MATCH(COLUMNS($AN$1006:BK1006),$AN$1006:$BO$1006,0)))),"Fix")))</f>
        <v>0</v>
      </c>
      <c r="Z495" s="4">
        <f>IF(OR(INDEX($AH$2:$AH$1001,MATCH(ROWS($AG$2:AG495),$AG$2:$AG$1001,0),1)&gt;=100000,INDEX($AN$1005:$BO$1005,1,MATCH(COLUMNS($AN$1006:BL1006),$AN$1006:$BO$1006,0))&gt;=100000), " ",IF(INDEX($AN$2:$BO$1001,MATCH(ROWS($AG$2:AG495),$AG$2:$AG$1001,0),MATCH(COLUMNS($AN$1006:BL1006),$AN$1006:$BO$1006,0)), HYPERLINK("#",""), HYPERLINK(CONCATENATE("#Metadata!", ADDRESS(INDEX($AI$2:$AI$1001,MATCH(ROWS($AG$2:AG495),$AG$2:$AG$1001,0),0), INDEX($AN$1004:$BO$1004,1,MATCH(COLUMNS($AN$1006:BL1006),$AN$1006:$BO$1006,0)))),"Fix")))</f>
        <v>0</v>
      </c>
      <c r="AA495" s="4">
        <f>IF(OR(INDEX($AH$2:$AH$1001,MATCH(ROWS($AG$2:AG495),$AG$2:$AG$1001,0),1)&gt;=100000,INDEX($AN$1005:$BO$1005,1,MATCH(COLUMNS($AN$1006:BM1006),$AN$1006:$BO$1006,0))&gt;=100000), " ",IF(INDEX($AN$2:$BO$1001,MATCH(ROWS($AG$2:AG495),$AG$2:$AG$1001,0),MATCH(COLUMNS($AN$1006:BM1006),$AN$1006:$BO$1006,0)), HYPERLINK("#",""), HYPERLINK(CONCATENATE("#Metadata!", ADDRESS(INDEX($AI$2:$AI$1001,MATCH(ROWS($AG$2:AG495),$AG$2:$AG$1001,0),0), INDEX($AN$1004:$BO$1004,1,MATCH(COLUMNS($AN$1006:BM1006),$AN$1006:$BO$1006,0)))),"Fix")))</f>
        <v>0</v>
      </c>
      <c r="AB495" s="4">
        <f>IF(OR(INDEX($AH$2:$AH$1001,MATCH(ROWS($AG$2:AG495),$AG$2:$AG$1001,0),1)&gt;=100000,INDEX($AN$1005:$BO$1005,1,MATCH(COLUMNS($AN$1006:BN1006),$AN$1006:$BO$1006,0))&gt;=100000), " ",IF(INDEX($AN$2:$BO$1001,MATCH(ROWS($AG$2:AG495),$AG$2:$AG$1001,0),MATCH(COLUMNS($AN$1006:BN1006),$AN$1006:$BO$1006,0)), HYPERLINK("#",""), HYPERLINK(CONCATENATE("#Metadata!", ADDRESS(INDEX($AI$2:$AI$1001,MATCH(ROWS($AG$2:AG495),$AG$2:$AG$1001,0),0), INDEX($AN$1004:$BO$1004,1,MATCH(COLUMNS($AN$1006:BN1006),$AN$1006:$BO$1006,0)))),"Fix")))</f>
        <v>0</v>
      </c>
      <c r="AC495" s="4">
        <f>IF(OR(INDEX($AH$2:$AH$1001,MATCH(ROWS($AG$2:AG495),$AG$2:$AG$1001,0),1)&gt;=100000,INDEX($AN$1005:$BO$1005,1,MATCH(COLUMNS($AN$1006:BO1006),$AN$1006:$BO$1006,0))&gt;=100000), " ",IF(INDEX($AN$2:$BO$1001,MATCH(ROWS($AG$2:AG495),$AG$2:$AG$1001,0),MATCH(COLUMNS($AN$1006:BO1006),$AN$1006:$BO$1006,0)), HYPERLINK("#",""), HYPERLINK(CONCATENATE("#Metadata!", ADDRESS(INDEX($AI$2:$AI$1001,MATCH(ROWS($AG$2:AG495),$AG$2:$AG$1001,0),0), INDEX($AN$1004:$BO$1004,1,MATCH(COLUMNS($AN$1006:BO1006),$AN$1006:$BO$1006,0)))),"Fix")))</f>
        <v>0</v>
      </c>
      <c r="AG495">
        <v>0</v>
      </c>
      <c r="AH495">
        <v>0</v>
      </c>
      <c r="AI495">
        <v>0</v>
      </c>
      <c r="AJ495">
        <f>IF(AK495,TRUE,AND(AN495:BO495))</f>
        <v>0</v>
      </c>
      <c r="AK495">
        <f>COUNTBLANK(Metadata!B495:AC495)=COLUMNS(Metadata!B495:AC495)</f>
        <v>0</v>
      </c>
      <c r="AL495">
        <v>0</v>
      </c>
      <c r="AN495">
        <f>AND(IF(Metadata!B495="",FALSE,TRUE),COUNTIF(Metadata!B:B, Metadata!B495) = 1,NOT(ISERROR(SUMPRODUCT(SEARCH(MID(Metadata!B495,ROW(INDIRECT("1:"&amp;LEN(Metadata!B495))), 1),"0123456789abcdefghijklmnopqrstuvwxyzABCDEFGHIJKLMNOPQRSTUVWXYZ.")))))</f>
        <v>0</v>
      </c>
      <c r="AO495">
        <f>IF(Metadata!C495="",FALSE,TRUE)</f>
        <v>0</v>
      </c>
      <c r="AP495">
        <f>IF(Metadata!D495="",FALSE,TRUE)</f>
        <v>0</v>
      </c>
      <c r="AQ495">
        <f>OR(AND(IF(Metadata!E495="",FALSE,TRUE),OR(exact(Metadata!E495,"not collected"),exact(Metadata!E495,"not provided"),exact(Metadata!E495,"restricted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R495">
        <f>IF(Metadata!F495="",FALSE,TRUE)</f>
        <v>0</v>
      </c>
      <c r="AS495">
        <f>OR(AND(IF(Metadata!G495="",FALSE,TRUE),OR(exact(Metadata!G495,"not collected"),exact(Metadata!G495,"not provided"))),AND(IF(Metadata!G495="",FALSE,TRUE),OR(exact(Metadata!G495,"TRUE"),exact(Metadata!G495,"FALSE"))))</f>
        <v>0</v>
      </c>
      <c r="AT495">
        <f>OR(AND(IF(Metadata!H495="",FALSE,TRUE),OR(exact(Metadata!H495,"not collected"),exact(Metadata!H495,"not provided"),exact(Metadata!H495,"restricted access"))),AND(IF(Metadata!H495="",FALSE,ISNUMBER(VALUE(Metadata!H495))),Metadata!H495&gt;=-413.0))</f>
        <v>0</v>
      </c>
      <c r="AU495">
        <f>AND(IF(Metadata!I495="",FALSE,TRUE),exact(Metadata!I495,"meters"))</f>
        <v>0</v>
      </c>
      <c r="AV495">
        <f>AND(IF(Metadata!J495="",FALSE,TRUE),OR(exact(Metadata!J495,"Host-associated"),exact(Metadata!J495,"Free-living")))</f>
        <v>0</v>
      </c>
      <c r="AW495">
        <f>AND(IF(Metadata!K495="",FALSE,TRUE),OR(exact(Metadata!K495,"Animal"),exact(Metadata!K495,"Fungus"),exact(Metadata!K495,"Plant"),exact(Metadata!K495,"Saline"),exact(Metadata!K495,"Non-saline")))</f>
        <v>0</v>
      </c>
      <c r="AX495">
        <f>AND(IF(Metadata!L495="",FALSE,TRUE),OR(exact(Metadata!L495,"Plant secretion"),exact(Metadata!L495,"Plant rhizosphere"),exact(Metadata!L495,"Plant surface"),exact(Metadata!L495,"Plant corpus"),exact(Metadata!L495,"Fungus surface"),exact(Metadata!L495,"Fungus corpus"),exact(Metadata!L495,"Animal surface"),exact(Metadata!L495,"Animal proximal gut"),exact(Metadata!L495,"Animal corpus"),exact(Metadata!L495,"Animal distal gut"),exact(Metadata!L495,"Animal secretion"),exact(Metadata!L495,"Sub-surface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Y495">
        <f>IF(Metadata!M495="",FALSE,TRUE)</f>
        <v>0</v>
      </c>
      <c r="AZ495">
        <f>IF(Metadata!N495="",FALSE,TRUE)</f>
        <v>0</v>
      </c>
      <c r="BA495">
        <f>IF(Metadata!O495="",FALSE,TRUE)</f>
        <v>0</v>
      </c>
      <c r="BB495">
        <f>OR(AND(IF(Metadata!P495="",FALSE,TRUE),OR(exact(Metadata!P495,"not collected"),exact(Metadata!P495,"not provided"),exact(Metadata!P495,"restricted access"))),AND(IF(Metadata!P495="",FALSE,TRUE),OR(exact(Metadata!P495,"air"),exact(Metadata!P495,"built environment"),exact(Metadata!P495,"host-associated"),exact(Metadata!P495,"human-associated"),exact(Metadata!P495,"human-skin"),exact(Metadata!P495,"human-oral"),exact(Metadata!P495,"human-gut"),exact(Metadata!P495,"human-vaginal"),exact(Metadata!P495,"microbial mat/biofilm"),exact(Metadata!P495,"misc environment"),exact(Metadata!P495,"plant-associated"),exact(Metadata!P495,"sediment"),exact(Metadata!P495,"soil"),exact(Metadata!P495,"wastewater/sludge"),exact(Metadata!P495,"water"))))</f>
        <v>0</v>
      </c>
      <c r="BC495">
        <f>IF(Metadata!Q495="",FALSE,TRUE)</f>
        <v>0</v>
      </c>
      <c r="BD495">
        <f>IF(Metadata!R495="",FALSE,TRUE)</f>
        <v>0</v>
      </c>
      <c r="BE495">
        <f>OR(AND(IF(Metadata!S495="",FALSE,TRUE),OR(exact(Metadata!S495,"not collected"),exact(Metadata!S495,"not provided"),exact(Metadata!S495,"restricted access"))),AND(IF(Metadata!S495="",FALSE,ISNUMBER(VALUE(Metadata!S495))),Metadata!S495&gt;=-90.00,Metadata!S495&lt;=90.00))</f>
        <v>0</v>
      </c>
      <c r="BF495">
        <f>AND(IF(Metadata!T495="",FALSE,TRUE),exact(Metadata!T495,"Decimal degrees"))</f>
        <v>0</v>
      </c>
      <c r="BG495">
        <f>OR(AND(IF(Metadata!U495="",FALSE,TRUE),OR(exact(Metadata!U495,"not collected"),exact(Metadata!U495,"not provided"),exact(Metadata!U495,"restricted access"))),AND(IF(Metadata!U495="",FALSE,ISNUMBER(VALUE(Metadata!U495))),Metadata!U495&gt;=-180.00,Metadata!U495&lt;=180.00))</f>
        <v>0</v>
      </c>
      <c r="BH495">
        <f>AND(IF(Metadata!V495="",FALSE,TRUE),exact(Metadata!V495,"Decimal degrees"))</f>
        <v>0</v>
      </c>
      <c r="BI495">
        <f>IF(Metadata!W495="",FALSE,TRUE)</f>
        <v>0</v>
      </c>
      <c r="BJ495">
        <f>OR(AND(IF(Metadata!X495="",FALSE,TRUE),OR(exact(Metadata!X495,"not collected"),exact(Metadata!X495,"not provided"),exact(Metadata!X495,"restricted access"))),AND(IF(Metadata!X495="",FALSE,TRUE),OR(exact(Metadata!X495,"TRUE"),exact(Metadata!X495,"FALSE"))))</f>
        <v>0</v>
      </c>
      <c r="BK495">
        <f>AND(IF(Metadata!Y495="",FALSE,TRUE),exact(Metadata!Y495,"other"))</f>
        <v>0</v>
      </c>
      <c r="BL495">
        <f>IF(Metadata!Z495="",FALSE,TRUE)</f>
        <v>0</v>
      </c>
      <c r="BM495">
        <f>OR(AND(IF(Metadata!AA495="",FALSE,TRUE),OR(exact(Metadata!AA495,"not collected"),exact(Metadata!AA495,"not provided"))),AND(IF(Metadata!AA495="",FALSE,IF(ISERROR(INT(Metadata!AA495)),FALSE,INT(Metadata!AA495)=Metadata!AA495)),Metadata!AA495&gt;0))</f>
        <v>0</v>
      </c>
      <c r="BN495">
        <f>AND(IF(Metadata!AB495="",FALSE,TRUE),exact(Metadata!AB495,"Not applicable"))</f>
        <v>0</v>
      </c>
      <c r="BO495">
        <f>IF(Metadata!AC495="",FALSE,TRUE)</f>
        <v>0</v>
      </c>
    </row>
    <row r="496" spans="1:67">
      <c r="A496" s="5">
        <f>IF(B496=" "," ",HYPERLINK(CONCATENATE("#metadata!",ADDRESS(INDEX($AI$2:$AI$1001,MATCH(ROWS($AG$2:AG496),$AG$2:$AG$1001,0),0),1)),INDEX($AL$2:$AL$1001,MATCH(ROWS($AG$2:AG496),$AG$2:$AG$1001,0),0)))</f>
        <v>0</v>
      </c>
      <c r="B496" s="4">
        <f>IF(OR(INDEX($AH$2:$AH$1001,MATCH(ROWS($AG$2:AG496),$AG$2:$AG$1001,0),1)&gt;=100000,INDEX($AN$1005:$BO$1005,1,MATCH(COLUMNS($AN$1006:AN1006),$AN$1006:$BO$1006,0))&gt;=100000), " ",IF(INDEX($AN$2:$BO$1001,MATCH(ROWS($AG$2:AG496),$AG$2:$AG$1001,0),MATCH(COLUMNS($AN$1006:AN1006),$AN$1006:$BO$1006,0)), HYPERLINK("#",""), HYPERLINK(CONCATENATE("#Metadata!", ADDRESS(INDEX($AI$2:$AI$1001,MATCH(ROWS($AG$2:AG496),$AG$2:$AG$1001,0),0), INDEX($AN$1004:$BO$1004,1,MATCH(COLUMNS($AN$1006:AN1006),$AN$1006:$BO$1006,0)))),"Fix")))</f>
        <v>0</v>
      </c>
      <c r="C496" s="4">
        <f>IF(OR(INDEX($AH$2:$AH$1001,MATCH(ROWS($AG$2:AG496),$AG$2:$AG$1001,0),1)&gt;=100000,INDEX($AN$1005:$BO$1005,1,MATCH(COLUMNS($AN$1006:AO1006),$AN$1006:$BO$1006,0))&gt;=100000), " ",IF(INDEX($AN$2:$BO$1001,MATCH(ROWS($AG$2:AG496),$AG$2:$AG$1001,0),MATCH(COLUMNS($AN$1006:AO1006),$AN$1006:$BO$1006,0)), HYPERLINK("#",""), HYPERLINK(CONCATENATE("#Metadata!", ADDRESS(INDEX($AI$2:$AI$1001,MATCH(ROWS($AG$2:AG496),$AG$2:$AG$1001,0),0), INDEX($AN$1004:$BO$1004,1,MATCH(COLUMNS($AN$1006:AO1006),$AN$1006:$BO$1006,0)))),"Fix")))</f>
        <v>0</v>
      </c>
      <c r="D496" s="4">
        <f>IF(OR(INDEX($AH$2:$AH$1001,MATCH(ROWS($AG$2:AG496),$AG$2:$AG$1001,0),1)&gt;=100000,INDEX($AN$1005:$BO$1005,1,MATCH(COLUMNS($AN$1006:AP1006),$AN$1006:$BO$1006,0))&gt;=100000), " ",IF(INDEX($AN$2:$BO$1001,MATCH(ROWS($AG$2:AG496),$AG$2:$AG$1001,0),MATCH(COLUMNS($AN$1006:AP1006),$AN$1006:$BO$1006,0)), HYPERLINK("#",""), HYPERLINK(CONCATENATE("#Metadata!", ADDRESS(INDEX($AI$2:$AI$1001,MATCH(ROWS($AG$2:AG496),$AG$2:$AG$1001,0),0), INDEX($AN$1004:$BO$1004,1,MATCH(COLUMNS($AN$1006:AP1006),$AN$1006:$BO$1006,0)))),"Fix")))</f>
        <v>0</v>
      </c>
      <c r="E496" s="4">
        <f>IF(OR(INDEX($AH$2:$AH$1001,MATCH(ROWS($AG$2:AG496),$AG$2:$AG$1001,0),1)&gt;=100000,INDEX($AN$1005:$BO$1005,1,MATCH(COLUMNS($AN$1006:AQ1006),$AN$1006:$BO$1006,0))&gt;=100000), " ",IF(INDEX($AN$2:$BO$1001,MATCH(ROWS($AG$2:AG496),$AG$2:$AG$1001,0),MATCH(COLUMNS($AN$1006:AQ1006),$AN$1006:$BO$1006,0)), HYPERLINK("#",""), HYPERLINK(CONCATENATE("#Metadata!", ADDRESS(INDEX($AI$2:$AI$1001,MATCH(ROWS($AG$2:AG496),$AG$2:$AG$1001,0),0), INDEX($AN$1004:$BO$1004,1,MATCH(COLUMNS($AN$1006:AQ1006),$AN$1006:$BO$1006,0)))),"Fix")))</f>
        <v>0</v>
      </c>
      <c r="F496" s="4">
        <f>IF(OR(INDEX($AH$2:$AH$1001,MATCH(ROWS($AG$2:AG496),$AG$2:$AG$1001,0),1)&gt;=100000,INDEX($AN$1005:$BO$1005,1,MATCH(COLUMNS($AN$1006:AR1006),$AN$1006:$BO$1006,0))&gt;=100000), " ",IF(INDEX($AN$2:$BO$1001,MATCH(ROWS($AG$2:AG496),$AG$2:$AG$1001,0),MATCH(COLUMNS($AN$1006:AR1006),$AN$1006:$BO$1006,0)), HYPERLINK("#",""), HYPERLINK(CONCATENATE("#Metadata!", ADDRESS(INDEX($AI$2:$AI$1001,MATCH(ROWS($AG$2:AG496),$AG$2:$AG$1001,0),0), INDEX($AN$1004:$BO$1004,1,MATCH(COLUMNS($AN$1006:AR1006),$AN$1006:$BO$1006,0)))),"Fix")))</f>
        <v>0</v>
      </c>
      <c r="G496" s="4">
        <f>IF(OR(INDEX($AH$2:$AH$1001,MATCH(ROWS($AG$2:AG496),$AG$2:$AG$1001,0),1)&gt;=100000,INDEX($AN$1005:$BO$1005,1,MATCH(COLUMNS($AN$1006:AS1006),$AN$1006:$BO$1006,0))&gt;=100000), " ",IF(INDEX($AN$2:$BO$1001,MATCH(ROWS($AG$2:AG496),$AG$2:$AG$1001,0),MATCH(COLUMNS($AN$1006:AS1006),$AN$1006:$BO$1006,0)), HYPERLINK("#",""), HYPERLINK(CONCATENATE("#Metadata!", ADDRESS(INDEX($AI$2:$AI$1001,MATCH(ROWS($AG$2:AG496),$AG$2:$AG$1001,0),0), INDEX($AN$1004:$BO$1004,1,MATCH(COLUMNS($AN$1006:AS1006),$AN$1006:$BO$1006,0)))),"Fix")))</f>
        <v>0</v>
      </c>
      <c r="H496" s="4">
        <f>IF(OR(INDEX($AH$2:$AH$1001,MATCH(ROWS($AG$2:AG496),$AG$2:$AG$1001,0),1)&gt;=100000,INDEX($AN$1005:$BO$1005,1,MATCH(COLUMNS($AN$1006:AT1006),$AN$1006:$BO$1006,0))&gt;=100000), " ",IF(INDEX($AN$2:$BO$1001,MATCH(ROWS($AG$2:AG496),$AG$2:$AG$1001,0),MATCH(COLUMNS($AN$1006:AT1006),$AN$1006:$BO$1006,0)), HYPERLINK("#",""), HYPERLINK(CONCATENATE("#Metadata!", ADDRESS(INDEX($AI$2:$AI$1001,MATCH(ROWS($AG$2:AG496),$AG$2:$AG$1001,0),0), INDEX($AN$1004:$BO$1004,1,MATCH(COLUMNS($AN$1006:AT1006),$AN$1006:$BO$1006,0)))),"Fix")))</f>
        <v>0</v>
      </c>
      <c r="I496" s="4">
        <f>IF(OR(INDEX($AH$2:$AH$1001,MATCH(ROWS($AG$2:AG496),$AG$2:$AG$1001,0),1)&gt;=100000,INDEX($AN$1005:$BO$1005,1,MATCH(COLUMNS($AN$1006:AU1006),$AN$1006:$BO$1006,0))&gt;=100000), " ",IF(INDEX($AN$2:$BO$1001,MATCH(ROWS($AG$2:AG496),$AG$2:$AG$1001,0),MATCH(COLUMNS($AN$1006:AU1006),$AN$1006:$BO$1006,0)), HYPERLINK("#",""), HYPERLINK(CONCATENATE("#Metadata!", ADDRESS(INDEX($AI$2:$AI$1001,MATCH(ROWS($AG$2:AG496),$AG$2:$AG$1001,0),0), INDEX($AN$1004:$BO$1004,1,MATCH(COLUMNS($AN$1006:AU1006),$AN$1006:$BO$1006,0)))),"Fix")))</f>
        <v>0</v>
      </c>
      <c r="J496" s="4">
        <f>IF(OR(INDEX($AH$2:$AH$1001,MATCH(ROWS($AG$2:AG496),$AG$2:$AG$1001,0),1)&gt;=100000,INDEX($AN$1005:$BO$1005,1,MATCH(COLUMNS($AN$1006:AV1006),$AN$1006:$BO$1006,0))&gt;=100000), " ",IF(INDEX($AN$2:$BO$1001,MATCH(ROWS($AG$2:AG496),$AG$2:$AG$1001,0),MATCH(COLUMNS($AN$1006:AV1006),$AN$1006:$BO$1006,0)), HYPERLINK("#",""), HYPERLINK(CONCATENATE("#Metadata!", ADDRESS(INDEX($AI$2:$AI$1001,MATCH(ROWS($AG$2:AG496),$AG$2:$AG$1001,0),0), INDEX($AN$1004:$BO$1004,1,MATCH(COLUMNS($AN$1006:AV1006),$AN$1006:$BO$1006,0)))),"Fix")))</f>
        <v>0</v>
      </c>
      <c r="K496" s="4">
        <f>IF(OR(INDEX($AH$2:$AH$1001,MATCH(ROWS($AG$2:AG496),$AG$2:$AG$1001,0),1)&gt;=100000,INDEX($AN$1005:$BO$1005,1,MATCH(COLUMNS($AN$1006:AW1006),$AN$1006:$BO$1006,0))&gt;=100000), " ",IF(INDEX($AN$2:$BO$1001,MATCH(ROWS($AG$2:AG496),$AG$2:$AG$1001,0),MATCH(COLUMNS($AN$1006:AW1006),$AN$1006:$BO$1006,0)), HYPERLINK("#",""), HYPERLINK(CONCATENATE("#Metadata!", ADDRESS(INDEX($AI$2:$AI$1001,MATCH(ROWS($AG$2:AG496),$AG$2:$AG$1001,0),0), INDEX($AN$1004:$BO$1004,1,MATCH(COLUMNS($AN$1006:AW1006),$AN$1006:$BO$1006,0)))),"Fix")))</f>
        <v>0</v>
      </c>
      <c r="L496" s="4">
        <f>IF(OR(INDEX($AH$2:$AH$1001,MATCH(ROWS($AG$2:AG496),$AG$2:$AG$1001,0),1)&gt;=100000,INDEX($AN$1005:$BO$1005,1,MATCH(COLUMNS($AN$1006:AX1006),$AN$1006:$BO$1006,0))&gt;=100000), " ",IF(INDEX($AN$2:$BO$1001,MATCH(ROWS($AG$2:AG496),$AG$2:$AG$1001,0),MATCH(COLUMNS($AN$1006:AX1006),$AN$1006:$BO$1006,0)), HYPERLINK("#",""), HYPERLINK(CONCATENATE("#Metadata!", ADDRESS(INDEX($AI$2:$AI$1001,MATCH(ROWS($AG$2:AG496),$AG$2:$AG$1001,0),0), INDEX($AN$1004:$BO$1004,1,MATCH(COLUMNS($AN$1006:AX1006),$AN$1006:$BO$1006,0)))),"Fix")))</f>
        <v>0</v>
      </c>
      <c r="M496" s="4">
        <f>IF(OR(INDEX($AH$2:$AH$1001,MATCH(ROWS($AG$2:AG496),$AG$2:$AG$1001,0),1)&gt;=100000,INDEX($AN$1005:$BO$1005,1,MATCH(COLUMNS($AN$1006:AY1006),$AN$1006:$BO$1006,0))&gt;=100000), " ",IF(INDEX($AN$2:$BO$1001,MATCH(ROWS($AG$2:AG496),$AG$2:$AG$1001,0),MATCH(COLUMNS($AN$1006:AY1006),$AN$1006:$BO$1006,0)), HYPERLINK("#",""), HYPERLINK(CONCATENATE("#Metadata!", ADDRESS(INDEX($AI$2:$AI$1001,MATCH(ROWS($AG$2:AG496),$AG$2:$AG$1001,0),0), INDEX($AN$1004:$BO$1004,1,MATCH(COLUMNS($AN$1006:AY1006),$AN$1006:$BO$1006,0)))),"Fix")))</f>
        <v>0</v>
      </c>
      <c r="N496" s="4">
        <f>IF(OR(INDEX($AH$2:$AH$1001,MATCH(ROWS($AG$2:AG496),$AG$2:$AG$1001,0),1)&gt;=100000,INDEX($AN$1005:$BO$1005,1,MATCH(COLUMNS($AN$1006:AZ1006),$AN$1006:$BO$1006,0))&gt;=100000), " ",IF(INDEX($AN$2:$BO$1001,MATCH(ROWS($AG$2:AG496),$AG$2:$AG$1001,0),MATCH(COLUMNS($AN$1006:AZ1006),$AN$1006:$BO$1006,0)), HYPERLINK("#",""), HYPERLINK(CONCATENATE("#Metadata!", ADDRESS(INDEX($AI$2:$AI$1001,MATCH(ROWS($AG$2:AG496),$AG$2:$AG$1001,0),0), INDEX($AN$1004:$BO$1004,1,MATCH(COLUMNS($AN$1006:AZ1006),$AN$1006:$BO$1006,0)))),"Fix")))</f>
        <v>0</v>
      </c>
      <c r="O496" s="4">
        <f>IF(OR(INDEX($AH$2:$AH$1001,MATCH(ROWS($AG$2:AG496),$AG$2:$AG$1001,0),1)&gt;=100000,INDEX($AN$1005:$BO$1005,1,MATCH(COLUMNS($AN$1006:BA1006),$AN$1006:$BO$1006,0))&gt;=100000), " ",IF(INDEX($AN$2:$BO$1001,MATCH(ROWS($AG$2:AG496),$AG$2:$AG$1001,0),MATCH(COLUMNS($AN$1006:BA1006),$AN$1006:$BO$1006,0)), HYPERLINK("#",""), HYPERLINK(CONCATENATE("#Metadata!", ADDRESS(INDEX($AI$2:$AI$1001,MATCH(ROWS($AG$2:AG496),$AG$2:$AG$1001,0),0), INDEX($AN$1004:$BO$1004,1,MATCH(COLUMNS($AN$1006:BA1006),$AN$1006:$BO$1006,0)))),"Fix")))</f>
        <v>0</v>
      </c>
      <c r="P496" s="4">
        <f>IF(OR(INDEX($AH$2:$AH$1001,MATCH(ROWS($AG$2:AG496),$AG$2:$AG$1001,0),1)&gt;=100000,INDEX($AN$1005:$BO$1005,1,MATCH(COLUMNS($AN$1006:BB1006),$AN$1006:$BO$1006,0))&gt;=100000), " ",IF(INDEX($AN$2:$BO$1001,MATCH(ROWS($AG$2:AG496),$AG$2:$AG$1001,0),MATCH(COLUMNS($AN$1006:BB1006),$AN$1006:$BO$1006,0)), HYPERLINK("#",""), HYPERLINK(CONCATENATE("#Metadata!", ADDRESS(INDEX($AI$2:$AI$1001,MATCH(ROWS($AG$2:AG496),$AG$2:$AG$1001,0),0), INDEX($AN$1004:$BO$1004,1,MATCH(COLUMNS($AN$1006:BB1006),$AN$1006:$BO$1006,0)))),"Fix")))</f>
        <v>0</v>
      </c>
      <c r="Q496" s="4">
        <f>IF(OR(INDEX($AH$2:$AH$1001,MATCH(ROWS($AG$2:AG496),$AG$2:$AG$1001,0),1)&gt;=100000,INDEX($AN$1005:$BO$1005,1,MATCH(COLUMNS($AN$1006:BC1006),$AN$1006:$BO$1006,0))&gt;=100000), " ",IF(INDEX($AN$2:$BO$1001,MATCH(ROWS($AG$2:AG496),$AG$2:$AG$1001,0),MATCH(COLUMNS($AN$1006:BC1006),$AN$1006:$BO$1006,0)), HYPERLINK("#",""), HYPERLINK(CONCATENATE("#Metadata!", ADDRESS(INDEX($AI$2:$AI$1001,MATCH(ROWS($AG$2:AG496),$AG$2:$AG$1001,0),0), INDEX($AN$1004:$BO$1004,1,MATCH(COLUMNS($AN$1006:BC1006),$AN$1006:$BO$1006,0)))),"Fix")))</f>
        <v>0</v>
      </c>
      <c r="R496" s="4">
        <f>IF(OR(INDEX($AH$2:$AH$1001,MATCH(ROWS($AG$2:AG496),$AG$2:$AG$1001,0),1)&gt;=100000,INDEX($AN$1005:$BO$1005,1,MATCH(COLUMNS($AN$1006:BD1006),$AN$1006:$BO$1006,0))&gt;=100000), " ",IF(INDEX($AN$2:$BO$1001,MATCH(ROWS($AG$2:AG496),$AG$2:$AG$1001,0),MATCH(COLUMNS($AN$1006:BD1006),$AN$1006:$BO$1006,0)), HYPERLINK("#",""), HYPERLINK(CONCATENATE("#Metadata!", ADDRESS(INDEX($AI$2:$AI$1001,MATCH(ROWS($AG$2:AG496),$AG$2:$AG$1001,0),0), INDEX($AN$1004:$BO$1004,1,MATCH(COLUMNS($AN$1006:BD1006),$AN$1006:$BO$1006,0)))),"Fix")))</f>
        <v>0</v>
      </c>
      <c r="S496" s="4">
        <f>IF(OR(INDEX($AH$2:$AH$1001,MATCH(ROWS($AG$2:AG496),$AG$2:$AG$1001,0),1)&gt;=100000,INDEX($AN$1005:$BO$1005,1,MATCH(COLUMNS($AN$1006:BE1006),$AN$1006:$BO$1006,0))&gt;=100000), " ",IF(INDEX($AN$2:$BO$1001,MATCH(ROWS($AG$2:AG496),$AG$2:$AG$1001,0),MATCH(COLUMNS($AN$1006:BE1006),$AN$1006:$BO$1006,0)), HYPERLINK("#",""), HYPERLINK(CONCATENATE("#Metadata!", ADDRESS(INDEX($AI$2:$AI$1001,MATCH(ROWS($AG$2:AG496),$AG$2:$AG$1001,0),0), INDEX($AN$1004:$BO$1004,1,MATCH(COLUMNS($AN$1006:BE1006),$AN$1006:$BO$1006,0)))),"Fix")))</f>
        <v>0</v>
      </c>
      <c r="T496" s="4">
        <f>IF(OR(INDEX($AH$2:$AH$1001,MATCH(ROWS($AG$2:AG496),$AG$2:$AG$1001,0),1)&gt;=100000,INDEX($AN$1005:$BO$1005,1,MATCH(COLUMNS($AN$1006:BF1006),$AN$1006:$BO$1006,0))&gt;=100000), " ",IF(INDEX($AN$2:$BO$1001,MATCH(ROWS($AG$2:AG496),$AG$2:$AG$1001,0),MATCH(COLUMNS($AN$1006:BF1006),$AN$1006:$BO$1006,0)), HYPERLINK("#",""), HYPERLINK(CONCATENATE("#Metadata!", ADDRESS(INDEX($AI$2:$AI$1001,MATCH(ROWS($AG$2:AG496),$AG$2:$AG$1001,0),0), INDEX($AN$1004:$BO$1004,1,MATCH(COLUMNS($AN$1006:BF1006),$AN$1006:$BO$1006,0)))),"Fix")))</f>
        <v>0</v>
      </c>
      <c r="U496" s="4">
        <f>IF(OR(INDEX($AH$2:$AH$1001,MATCH(ROWS($AG$2:AG496),$AG$2:$AG$1001,0),1)&gt;=100000,INDEX($AN$1005:$BO$1005,1,MATCH(COLUMNS($AN$1006:BG1006),$AN$1006:$BO$1006,0))&gt;=100000), " ",IF(INDEX($AN$2:$BO$1001,MATCH(ROWS($AG$2:AG496),$AG$2:$AG$1001,0),MATCH(COLUMNS($AN$1006:BG1006),$AN$1006:$BO$1006,0)), HYPERLINK("#",""), HYPERLINK(CONCATENATE("#Metadata!", ADDRESS(INDEX($AI$2:$AI$1001,MATCH(ROWS($AG$2:AG496),$AG$2:$AG$1001,0),0), INDEX($AN$1004:$BO$1004,1,MATCH(COLUMNS($AN$1006:BG1006),$AN$1006:$BO$1006,0)))),"Fix")))</f>
        <v>0</v>
      </c>
      <c r="V496" s="4">
        <f>IF(OR(INDEX($AH$2:$AH$1001,MATCH(ROWS($AG$2:AG496),$AG$2:$AG$1001,0),1)&gt;=100000,INDEX($AN$1005:$BO$1005,1,MATCH(COLUMNS($AN$1006:BH1006),$AN$1006:$BO$1006,0))&gt;=100000), " ",IF(INDEX($AN$2:$BO$1001,MATCH(ROWS($AG$2:AG496),$AG$2:$AG$1001,0),MATCH(COLUMNS($AN$1006:BH1006),$AN$1006:$BO$1006,0)), HYPERLINK("#",""), HYPERLINK(CONCATENATE("#Metadata!", ADDRESS(INDEX($AI$2:$AI$1001,MATCH(ROWS($AG$2:AG496),$AG$2:$AG$1001,0),0), INDEX($AN$1004:$BO$1004,1,MATCH(COLUMNS($AN$1006:BH1006),$AN$1006:$BO$1006,0)))),"Fix")))</f>
        <v>0</v>
      </c>
      <c r="W496" s="4">
        <f>IF(OR(INDEX($AH$2:$AH$1001,MATCH(ROWS($AG$2:AG496),$AG$2:$AG$1001,0),1)&gt;=100000,INDEX($AN$1005:$BO$1005,1,MATCH(COLUMNS($AN$1006:BI1006),$AN$1006:$BO$1006,0))&gt;=100000), " ",IF(INDEX($AN$2:$BO$1001,MATCH(ROWS($AG$2:AG496),$AG$2:$AG$1001,0),MATCH(COLUMNS($AN$1006:BI1006),$AN$1006:$BO$1006,0)), HYPERLINK("#",""), HYPERLINK(CONCATENATE("#Metadata!", ADDRESS(INDEX($AI$2:$AI$1001,MATCH(ROWS($AG$2:AG496),$AG$2:$AG$1001,0),0), INDEX($AN$1004:$BO$1004,1,MATCH(COLUMNS($AN$1006:BI1006),$AN$1006:$BO$1006,0)))),"Fix")))</f>
        <v>0</v>
      </c>
      <c r="X496" s="4">
        <f>IF(OR(INDEX($AH$2:$AH$1001,MATCH(ROWS($AG$2:AG496),$AG$2:$AG$1001,0),1)&gt;=100000,INDEX($AN$1005:$BO$1005,1,MATCH(COLUMNS($AN$1006:BJ1006),$AN$1006:$BO$1006,0))&gt;=100000), " ",IF(INDEX($AN$2:$BO$1001,MATCH(ROWS($AG$2:AG496),$AG$2:$AG$1001,0),MATCH(COLUMNS($AN$1006:BJ1006),$AN$1006:$BO$1006,0)), HYPERLINK("#",""), HYPERLINK(CONCATENATE("#Metadata!", ADDRESS(INDEX($AI$2:$AI$1001,MATCH(ROWS($AG$2:AG496),$AG$2:$AG$1001,0),0), INDEX($AN$1004:$BO$1004,1,MATCH(COLUMNS($AN$1006:BJ1006),$AN$1006:$BO$1006,0)))),"Fix")))</f>
        <v>0</v>
      </c>
      <c r="Y496" s="4">
        <f>IF(OR(INDEX($AH$2:$AH$1001,MATCH(ROWS($AG$2:AG496),$AG$2:$AG$1001,0),1)&gt;=100000,INDEX($AN$1005:$BO$1005,1,MATCH(COLUMNS($AN$1006:BK1006),$AN$1006:$BO$1006,0))&gt;=100000), " ",IF(INDEX($AN$2:$BO$1001,MATCH(ROWS($AG$2:AG496),$AG$2:$AG$1001,0),MATCH(COLUMNS($AN$1006:BK1006),$AN$1006:$BO$1006,0)), HYPERLINK("#",""), HYPERLINK(CONCATENATE("#Metadata!", ADDRESS(INDEX($AI$2:$AI$1001,MATCH(ROWS($AG$2:AG496),$AG$2:$AG$1001,0),0), INDEX($AN$1004:$BO$1004,1,MATCH(COLUMNS($AN$1006:BK1006),$AN$1006:$BO$1006,0)))),"Fix")))</f>
        <v>0</v>
      </c>
      <c r="Z496" s="4">
        <f>IF(OR(INDEX($AH$2:$AH$1001,MATCH(ROWS($AG$2:AG496),$AG$2:$AG$1001,0),1)&gt;=100000,INDEX($AN$1005:$BO$1005,1,MATCH(COLUMNS($AN$1006:BL1006),$AN$1006:$BO$1006,0))&gt;=100000), " ",IF(INDEX($AN$2:$BO$1001,MATCH(ROWS($AG$2:AG496),$AG$2:$AG$1001,0),MATCH(COLUMNS($AN$1006:BL1006),$AN$1006:$BO$1006,0)), HYPERLINK("#",""), HYPERLINK(CONCATENATE("#Metadata!", ADDRESS(INDEX($AI$2:$AI$1001,MATCH(ROWS($AG$2:AG496),$AG$2:$AG$1001,0),0), INDEX($AN$1004:$BO$1004,1,MATCH(COLUMNS($AN$1006:BL1006),$AN$1006:$BO$1006,0)))),"Fix")))</f>
        <v>0</v>
      </c>
      <c r="AA496" s="4">
        <f>IF(OR(INDEX($AH$2:$AH$1001,MATCH(ROWS($AG$2:AG496),$AG$2:$AG$1001,0),1)&gt;=100000,INDEX($AN$1005:$BO$1005,1,MATCH(COLUMNS($AN$1006:BM1006),$AN$1006:$BO$1006,0))&gt;=100000), " ",IF(INDEX($AN$2:$BO$1001,MATCH(ROWS($AG$2:AG496),$AG$2:$AG$1001,0),MATCH(COLUMNS($AN$1006:BM1006),$AN$1006:$BO$1006,0)), HYPERLINK("#",""), HYPERLINK(CONCATENATE("#Metadata!", ADDRESS(INDEX($AI$2:$AI$1001,MATCH(ROWS($AG$2:AG496),$AG$2:$AG$1001,0),0), INDEX($AN$1004:$BO$1004,1,MATCH(COLUMNS($AN$1006:BM1006),$AN$1006:$BO$1006,0)))),"Fix")))</f>
        <v>0</v>
      </c>
      <c r="AB496" s="4">
        <f>IF(OR(INDEX($AH$2:$AH$1001,MATCH(ROWS($AG$2:AG496),$AG$2:$AG$1001,0),1)&gt;=100000,INDEX($AN$1005:$BO$1005,1,MATCH(COLUMNS($AN$1006:BN1006),$AN$1006:$BO$1006,0))&gt;=100000), " ",IF(INDEX($AN$2:$BO$1001,MATCH(ROWS($AG$2:AG496),$AG$2:$AG$1001,0),MATCH(COLUMNS($AN$1006:BN1006),$AN$1006:$BO$1006,0)), HYPERLINK("#",""), HYPERLINK(CONCATENATE("#Metadata!", ADDRESS(INDEX($AI$2:$AI$1001,MATCH(ROWS($AG$2:AG496),$AG$2:$AG$1001,0),0), INDEX($AN$1004:$BO$1004,1,MATCH(COLUMNS($AN$1006:BN1006),$AN$1006:$BO$1006,0)))),"Fix")))</f>
        <v>0</v>
      </c>
      <c r="AC496" s="4">
        <f>IF(OR(INDEX($AH$2:$AH$1001,MATCH(ROWS($AG$2:AG496),$AG$2:$AG$1001,0),1)&gt;=100000,INDEX($AN$1005:$BO$1005,1,MATCH(COLUMNS($AN$1006:BO1006),$AN$1006:$BO$1006,0))&gt;=100000), " ",IF(INDEX($AN$2:$BO$1001,MATCH(ROWS($AG$2:AG496),$AG$2:$AG$1001,0),MATCH(COLUMNS($AN$1006:BO1006),$AN$1006:$BO$1006,0)), HYPERLINK("#",""), HYPERLINK(CONCATENATE("#Metadata!", ADDRESS(INDEX($AI$2:$AI$1001,MATCH(ROWS($AG$2:AG496),$AG$2:$AG$1001,0),0), INDEX($AN$1004:$BO$1004,1,MATCH(COLUMNS($AN$1006:BO1006),$AN$1006:$BO$1006,0)))),"Fix")))</f>
        <v>0</v>
      </c>
      <c r="AG496">
        <v>0</v>
      </c>
      <c r="AH496">
        <v>0</v>
      </c>
      <c r="AI496">
        <v>0</v>
      </c>
      <c r="AJ496">
        <f>IF(AK496,TRUE,AND(AN496:BO496))</f>
        <v>0</v>
      </c>
      <c r="AK496">
        <f>COUNTBLANK(Metadata!B496:AC496)=COLUMNS(Metadata!B496:AC496)</f>
        <v>0</v>
      </c>
      <c r="AL496">
        <v>0</v>
      </c>
      <c r="AN496">
        <f>AND(IF(Metadata!B496="",FALSE,TRUE),COUNTIF(Metadata!B:B, Metadata!B496) = 1,NOT(ISERROR(SUMPRODUCT(SEARCH(MID(Metadata!B496,ROW(INDIRECT("1:"&amp;LEN(Metadata!B496))), 1),"0123456789abcdefghijklmnopqrstuvwxyzABCDEFGHIJKLMNOPQRSTUVWXYZ.")))))</f>
        <v>0</v>
      </c>
      <c r="AO496">
        <f>IF(Metadata!C496="",FALSE,TRUE)</f>
        <v>0</v>
      </c>
      <c r="AP496">
        <f>IF(Metadata!D496="",FALSE,TRUE)</f>
        <v>0</v>
      </c>
      <c r="AQ496">
        <f>OR(AND(IF(Metadata!E496="",FALSE,TRUE),OR(exact(Metadata!E496,"not collected"),exact(Metadata!E496,"not provided"),exact(Metadata!E496,"restricted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R496">
        <f>IF(Metadata!F496="",FALSE,TRUE)</f>
        <v>0</v>
      </c>
      <c r="AS496">
        <f>OR(AND(IF(Metadata!G496="",FALSE,TRUE),OR(exact(Metadata!G496,"not collected"),exact(Metadata!G496,"not provided"))),AND(IF(Metadata!G496="",FALSE,TRUE),OR(exact(Metadata!G496,"TRUE"),exact(Metadata!G496,"FALSE"))))</f>
        <v>0</v>
      </c>
      <c r="AT496">
        <f>OR(AND(IF(Metadata!H496="",FALSE,TRUE),OR(exact(Metadata!H496,"not collected"),exact(Metadata!H496,"not provided"),exact(Metadata!H496,"restricted access"))),AND(IF(Metadata!H496="",FALSE,ISNUMBER(VALUE(Metadata!H496))),Metadata!H496&gt;=-413.0))</f>
        <v>0</v>
      </c>
      <c r="AU496">
        <f>AND(IF(Metadata!I496="",FALSE,TRUE),exact(Metadata!I496,"meters"))</f>
        <v>0</v>
      </c>
      <c r="AV496">
        <f>AND(IF(Metadata!J496="",FALSE,TRUE),OR(exact(Metadata!J496,"Host-associated"),exact(Metadata!J496,"Free-living")))</f>
        <v>0</v>
      </c>
      <c r="AW496">
        <f>AND(IF(Metadata!K496="",FALSE,TRUE),OR(exact(Metadata!K496,"Animal"),exact(Metadata!K496,"Fungus"),exact(Metadata!K496,"Plant"),exact(Metadata!K496,"Saline"),exact(Metadata!K496,"Non-saline")))</f>
        <v>0</v>
      </c>
      <c r="AX496">
        <f>AND(IF(Metadata!L496="",FALSE,TRUE),OR(exact(Metadata!L496,"Plant secretion"),exact(Metadata!L496,"Plant rhizosphere"),exact(Metadata!L496,"Plant surface"),exact(Metadata!L496,"Plant corpus"),exact(Metadata!L496,"Fungus surface"),exact(Metadata!L496,"Fungus corpus"),exact(Metadata!L496,"Animal surface"),exact(Metadata!L496,"Animal proximal gut"),exact(Metadata!L496,"Animal corpus"),exact(Metadata!L496,"Animal distal gut"),exact(Metadata!L496,"Animal secretion"),exact(Metadata!L496,"Sub-surface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Y496">
        <f>IF(Metadata!M496="",FALSE,TRUE)</f>
        <v>0</v>
      </c>
      <c r="AZ496">
        <f>IF(Metadata!N496="",FALSE,TRUE)</f>
        <v>0</v>
      </c>
      <c r="BA496">
        <f>IF(Metadata!O496="",FALSE,TRUE)</f>
        <v>0</v>
      </c>
      <c r="BB496">
        <f>OR(AND(IF(Metadata!P496="",FALSE,TRUE),OR(exact(Metadata!P496,"not collected"),exact(Metadata!P496,"not provided"),exact(Metadata!P496,"restricted access"))),AND(IF(Metadata!P496="",FALSE,TRUE),OR(exact(Metadata!P496,"air"),exact(Metadata!P496,"built environment"),exact(Metadata!P496,"host-associated"),exact(Metadata!P496,"human-associated"),exact(Metadata!P496,"human-skin"),exact(Metadata!P496,"human-oral"),exact(Metadata!P496,"human-gut"),exact(Metadata!P496,"human-vaginal"),exact(Metadata!P496,"microbial mat/biofilm"),exact(Metadata!P496,"misc environment"),exact(Metadata!P496,"plant-associated"),exact(Metadata!P496,"sediment"),exact(Metadata!P496,"soil"),exact(Metadata!P496,"wastewater/sludge"),exact(Metadata!P496,"water"))))</f>
        <v>0</v>
      </c>
      <c r="BC496">
        <f>IF(Metadata!Q496="",FALSE,TRUE)</f>
        <v>0</v>
      </c>
      <c r="BD496">
        <f>IF(Metadata!R496="",FALSE,TRUE)</f>
        <v>0</v>
      </c>
      <c r="BE496">
        <f>OR(AND(IF(Metadata!S496="",FALSE,TRUE),OR(exact(Metadata!S496,"not collected"),exact(Metadata!S496,"not provided"),exact(Metadata!S496,"restricted access"))),AND(IF(Metadata!S496="",FALSE,ISNUMBER(VALUE(Metadata!S496))),Metadata!S496&gt;=-90.00,Metadata!S496&lt;=90.00))</f>
        <v>0</v>
      </c>
      <c r="BF496">
        <f>AND(IF(Metadata!T496="",FALSE,TRUE),exact(Metadata!T496,"Decimal degrees"))</f>
        <v>0</v>
      </c>
      <c r="BG496">
        <f>OR(AND(IF(Metadata!U496="",FALSE,TRUE),OR(exact(Metadata!U496,"not collected"),exact(Metadata!U496,"not provided"),exact(Metadata!U496,"restricted access"))),AND(IF(Metadata!U496="",FALSE,ISNUMBER(VALUE(Metadata!U496))),Metadata!U496&gt;=-180.00,Metadata!U496&lt;=180.00))</f>
        <v>0</v>
      </c>
      <c r="BH496">
        <f>AND(IF(Metadata!V496="",FALSE,TRUE),exact(Metadata!V496,"Decimal degrees"))</f>
        <v>0</v>
      </c>
      <c r="BI496">
        <f>IF(Metadata!W496="",FALSE,TRUE)</f>
        <v>0</v>
      </c>
      <c r="BJ496">
        <f>OR(AND(IF(Metadata!X496="",FALSE,TRUE),OR(exact(Metadata!X496,"not collected"),exact(Metadata!X496,"not provided"),exact(Metadata!X496,"restricted access"))),AND(IF(Metadata!X496="",FALSE,TRUE),OR(exact(Metadata!X496,"TRUE"),exact(Metadata!X496,"FALSE"))))</f>
        <v>0</v>
      </c>
      <c r="BK496">
        <f>AND(IF(Metadata!Y496="",FALSE,TRUE),exact(Metadata!Y496,"other"))</f>
        <v>0</v>
      </c>
      <c r="BL496">
        <f>IF(Metadata!Z496="",FALSE,TRUE)</f>
        <v>0</v>
      </c>
      <c r="BM496">
        <f>OR(AND(IF(Metadata!AA496="",FALSE,TRUE),OR(exact(Metadata!AA496,"not collected"),exact(Metadata!AA496,"not provided"))),AND(IF(Metadata!AA496="",FALSE,IF(ISERROR(INT(Metadata!AA496)),FALSE,INT(Metadata!AA496)=Metadata!AA496)),Metadata!AA496&gt;0))</f>
        <v>0</v>
      </c>
      <c r="BN496">
        <f>AND(IF(Metadata!AB496="",FALSE,TRUE),exact(Metadata!AB496,"Not applicable"))</f>
        <v>0</v>
      </c>
      <c r="BO496">
        <f>IF(Metadata!AC496="",FALSE,TRUE)</f>
        <v>0</v>
      </c>
    </row>
    <row r="497" spans="1:67">
      <c r="A497" s="5">
        <f>IF(B497=" "," ",HYPERLINK(CONCATENATE("#metadata!",ADDRESS(INDEX($AI$2:$AI$1001,MATCH(ROWS($AG$2:AG497),$AG$2:$AG$1001,0),0),1)),INDEX($AL$2:$AL$1001,MATCH(ROWS($AG$2:AG497),$AG$2:$AG$1001,0),0)))</f>
        <v>0</v>
      </c>
      <c r="B497" s="4">
        <f>IF(OR(INDEX($AH$2:$AH$1001,MATCH(ROWS($AG$2:AG497),$AG$2:$AG$1001,0),1)&gt;=100000,INDEX($AN$1005:$BO$1005,1,MATCH(COLUMNS($AN$1006:AN1006),$AN$1006:$BO$1006,0))&gt;=100000), " ",IF(INDEX($AN$2:$BO$1001,MATCH(ROWS($AG$2:AG497),$AG$2:$AG$1001,0),MATCH(COLUMNS($AN$1006:AN1006),$AN$1006:$BO$1006,0)), HYPERLINK("#",""), HYPERLINK(CONCATENATE("#Metadata!", ADDRESS(INDEX($AI$2:$AI$1001,MATCH(ROWS($AG$2:AG497),$AG$2:$AG$1001,0),0), INDEX($AN$1004:$BO$1004,1,MATCH(COLUMNS($AN$1006:AN1006),$AN$1006:$BO$1006,0)))),"Fix")))</f>
        <v>0</v>
      </c>
      <c r="C497" s="4">
        <f>IF(OR(INDEX($AH$2:$AH$1001,MATCH(ROWS($AG$2:AG497),$AG$2:$AG$1001,0),1)&gt;=100000,INDEX($AN$1005:$BO$1005,1,MATCH(COLUMNS($AN$1006:AO1006),$AN$1006:$BO$1006,0))&gt;=100000), " ",IF(INDEX($AN$2:$BO$1001,MATCH(ROWS($AG$2:AG497),$AG$2:$AG$1001,0),MATCH(COLUMNS($AN$1006:AO1006),$AN$1006:$BO$1006,0)), HYPERLINK("#",""), HYPERLINK(CONCATENATE("#Metadata!", ADDRESS(INDEX($AI$2:$AI$1001,MATCH(ROWS($AG$2:AG497),$AG$2:$AG$1001,0),0), INDEX($AN$1004:$BO$1004,1,MATCH(COLUMNS($AN$1006:AO1006),$AN$1006:$BO$1006,0)))),"Fix")))</f>
        <v>0</v>
      </c>
      <c r="D497" s="4">
        <f>IF(OR(INDEX($AH$2:$AH$1001,MATCH(ROWS($AG$2:AG497),$AG$2:$AG$1001,0),1)&gt;=100000,INDEX($AN$1005:$BO$1005,1,MATCH(COLUMNS($AN$1006:AP1006),$AN$1006:$BO$1006,0))&gt;=100000), " ",IF(INDEX($AN$2:$BO$1001,MATCH(ROWS($AG$2:AG497),$AG$2:$AG$1001,0),MATCH(COLUMNS($AN$1006:AP1006),$AN$1006:$BO$1006,0)), HYPERLINK("#",""), HYPERLINK(CONCATENATE("#Metadata!", ADDRESS(INDEX($AI$2:$AI$1001,MATCH(ROWS($AG$2:AG497),$AG$2:$AG$1001,0),0), INDEX($AN$1004:$BO$1004,1,MATCH(COLUMNS($AN$1006:AP1006),$AN$1006:$BO$1006,0)))),"Fix")))</f>
        <v>0</v>
      </c>
      <c r="E497" s="4">
        <f>IF(OR(INDEX($AH$2:$AH$1001,MATCH(ROWS($AG$2:AG497),$AG$2:$AG$1001,0),1)&gt;=100000,INDEX($AN$1005:$BO$1005,1,MATCH(COLUMNS($AN$1006:AQ1006),$AN$1006:$BO$1006,0))&gt;=100000), " ",IF(INDEX($AN$2:$BO$1001,MATCH(ROWS($AG$2:AG497),$AG$2:$AG$1001,0),MATCH(COLUMNS($AN$1006:AQ1006),$AN$1006:$BO$1006,0)), HYPERLINK("#",""), HYPERLINK(CONCATENATE("#Metadata!", ADDRESS(INDEX($AI$2:$AI$1001,MATCH(ROWS($AG$2:AG497),$AG$2:$AG$1001,0),0), INDEX($AN$1004:$BO$1004,1,MATCH(COLUMNS($AN$1006:AQ1006),$AN$1006:$BO$1006,0)))),"Fix")))</f>
        <v>0</v>
      </c>
      <c r="F497" s="4">
        <f>IF(OR(INDEX($AH$2:$AH$1001,MATCH(ROWS($AG$2:AG497),$AG$2:$AG$1001,0),1)&gt;=100000,INDEX($AN$1005:$BO$1005,1,MATCH(COLUMNS($AN$1006:AR1006),$AN$1006:$BO$1006,0))&gt;=100000), " ",IF(INDEX($AN$2:$BO$1001,MATCH(ROWS($AG$2:AG497),$AG$2:$AG$1001,0),MATCH(COLUMNS($AN$1006:AR1006),$AN$1006:$BO$1006,0)), HYPERLINK("#",""), HYPERLINK(CONCATENATE("#Metadata!", ADDRESS(INDEX($AI$2:$AI$1001,MATCH(ROWS($AG$2:AG497),$AG$2:$AG$1001,0),0), INDEX($AN$1004:$BO$1004,1,MATCH(COLUMNS($AN$1006:AR1006),$AN$1006:$BO$1006,0)))),"Fix")))</f>
        <v>0</v>
      </c>
      <c r="G497" s="4">
        <f>IF(OR(INDEX($AH$2:$AH$1001,MATCH(ROWS($AG$2:AG497),$AG$2:$AG$1001,0),1)&gt;=100000,INDEX($AN$1005:$BO$1005,1,MATCH(COLUMNS($AN$1006:AS1006),$AN$1006:$BO$1006,0))&gt;=100000), " ",IF(INDEX($AN$2:$BO$1001,MATCH(ROWS($AG$2:AG497),$AG$2:$AG$1001,0),MATCH(COLUMNS($AN$1006:AS1006),$AN$1006:$BO$1006,0)), HYPERLINK("#",""), HYPERLINK(CONCATENATE("#Metadata!", ADDRESS(INDEX($AI$2:$AI$1001,MATCH(ROWS($AG$2:AG497),$AG$2:$AG$1001,0),0), INDEX($AN$1004:$BO$1004,1,MATCH(COLUMNS($AN$1006:AS1006),$AN$1006:$BO$1006,0)))),"Fix")))</f>
        <v>0</v>
      </c>
      <c r="H497" s="4">
        <f>IF(OR(INDEX($AH$2:$AH$1001,MATCH(ROWS($AG$2:AG497),$AG$2:$AG$1001,0),1)&gt;=100000,INDEX($AN$1005:$BO$1005,1,MATCH(COLUMNS($AN$1006:AT1006),$AN$1006:$BO$1006,0))&gt;=100000), " ",IF(INDEX($AN$2:$BO$1001,MATCH(ROWS($AG$2:AG497),$AG$2:$AG$1001,0),MATCH(COLUMNS($AN$1006:AT1006),$AN$1006:$BO$1006,0)), HYPERLINK("#",""), HYPERLINK(CONCATENATE("#Metadata!", ADDRESS(INDEX($AI$2:$AI$1001,MATCH(ROWS($AG$2:AG497),$AG$2:$AG$1001,0),0), INDEX($AN$1004:$BO$1004,1,MATCH(COLUMNS($AN$1006:AT1006),$AN$1006:$BO$1006,0)))),"Fix")))</f>
        <v>0</v>
      </c>
      <c r="I497" s="4">
        <f>IF(OR(INDEX($AH$2:$AH$1001,MATCH(ROWS($AG$2:AG497),$AG$2:$AG$1001,0),1)&gt;=100000,INDEX($AN$1005:$BO$1005,1,MATCH(COLUMNS($AN$1006:AU1006),$AN$1006:$BO$1006,0))&gt;=100000), " ",IF(INDEX($AN$2:$BO$1001,MATCH(ROWS($AG$2:AG497),$AG$2:$AG$1001,0),MATCH(COLUMNS($AN$1006:AU1006),$AN$1006:$BO$1006,0)), HYPERLINK("#",""), HYPERLINK(CONCATENATE("#Metadata!", ADDRESS(INDEX($AI$2:$AI$1001,MATCH(ROWS($AG$2:AG497),$AG$2:$AG$1001,0),0), INDEX($AN$1004:$BO$1004,1,MATCH(COLUMNS($AN$1006:AU1006),$AN$1006:$BO$1006,0)))),"Fix")))</f>
        <v>0</v>
      </c>
      <c r="J497" s="4">
        <f>IF(OR(INDEX($AH$2:$AH$1001,MATCH(ROWS($AG$2:AG497),$AG$2:$AG$1001,0),1)&gt;=100000,INDEX($AN$1005:$BO$1005,1,MATCH(COLUMNS($AN$1006:AV1006),$AN$1006:$BO$1006,0))&gt;=100000), " ",IF(INDEX($AN$2:$BO$1001,MATCH(ROWS($AG$2:AG497),$AG$2:$AG$1001,0),MATCH(COLUMNS($AN$1006:AV1006),$AN$1006:$BO$1006,0)), HYPERLINK("#",""), HYPERLINK(CONCATENATE("#Metadata!", ADDRESS(INDEX($AI$2:$AI$1001,MATCH(ROWS($AG$2:AG497),$AG$2:$AG$1001,0),0), INDEX($AN$1004:$BO$1004,1,MATCH(COLUMNS($AN$1006:AV1006),$AN$1006:$BO$1006,0)))),"Fix")))</f>
        <v>0</v>
      </c>
      <c r="K497" s="4">
        <f>IF(OR(INDEX($AH$2:$AH$1001,MATCH(ROWS($AG$2:AG497),$AG$2:$AG$1001,0),1)&gt;=100000,INDEX($AN$1005:$BO$1005,1,MATCH(COLUMNS($AN$1006:AW1006),$AN$1006:$BO$1006,0))&gt;=100000), " ",IF(INDEX($AN$2:$BO$1001,MATCH(ROWS($AG$2:AG497),$AG$2:$AG$1001,0),MATCH(COLUMNS($AN$1006:AW1006),$AN$1006:$BO$1006,0)), HYPERLINK("#",""), HYPERLINK(CONCATENATE("#Metadata!", ADDRESS(INDEX($AI$2:$AI$1001,MATCH(ROWS($AG$2:AG497),$AG$2:$AG$1001,0),0), INDEX($AN$1004:$BO$1004,1,MATCH(COLUMNS($AN$1006:AW1006),$AN$1006:$BO$1006,0)))),"Fix")))</f>
        <v>0</v>
      </c>
      <c r="L497" s="4">
        <f>IF(OR(INDEX($AH$2:$AH$1001,MATCH(ROWS($AG$2:AG497),$AG$2:$AG$1001,0),1)&gt;=100000,INDEX($AN$1005:$BO$1005,1,MATCH(COLUMNS($AN$1006:AX1006),$AN$1006:$BO$1006,0))&gt;=100000), " ",IF(INDEX($AN$2:$BO$1001,MATCH(ROWS($AG$2:AG497),$AG$2:$AG$1001,0),MATCH(COLUMNS($AN$1006:AX1006),$AN$1006:$BO$1006,0)), HYPERLINK("#",""), HYPERLINK(CONCATENATE("#Metadata!", ADDRESS(INDEX($AI$2:$AI$1001,MATCH(ROWS($AG$2:AG497),$AG$2:$AG$1001,0),0), INDEX($AN$1004:$BO$1004,1,MATCH(COLUMNS($AN$1006:AX1006),$AN$1006:$BO$1006,0)))),"Fix")))</f>
        <v>0</v>
      </c>
      <c r="M497" s="4">
        <f>IF(OR(INDEX($AH$2:$AH$1001,MATCH(ROWS($AG$2:AG497),$AG$2:$AG$1001,0),1)&gt;=100000,INDEX($AN$1005:$BO$1005,1,MATCH(COLUMNS($AN$1006:AY1006),$AN$1006:$BO$1006,0))&gt;=100000), " ",IF(INDEX($AN$2:$BO$1001,MATCH(ROWS($AG$2:AG497),$AG$2:$AG$1001,0),MATCH(COLUMNS($AN$1006:AY1006),$AN$1006:$BO$1006,0)), HYPERLINK("#",""), HYPERLINK(CONCATENATE("#Metadata!", ADDRESS(INDEX($AI$2:$AI$1001,MATCH(ROWS($AG$2:AG497),$AG$2:$AG$1001,0),0), INDEX($AN$1004:$BO$1004,1,MATCH(COLUMNS($AN$1006:AY1006),$AN$1006:$BO$1006,0)))),"Fix")))</f>
        <v>0</v>
      </c>
      <c r="N497" s="4">
        <f>IF(OR(INDEX($AH$2:$AH$1001,MATCH(ROWS($AG$2:AG497),$AG$2:$AG$1001,0),1)&gt;=100000,INDEX($AN$1005:$BO$1005,1,MATCH(COLUMNS($AN$1006:AZ1006),$AN$1006:$BO$1006,0))&gt;=100000), " ",IF(INDEX($AN$2:$BO$1001,MATCH(ROWS($AG$2:AG497),$AG$2:$AG$1001,0),MATCH(COLUMNS($AN$1006:AZ1006),$AN$1006:$BO$1006,0)), HYPERLINK("#",""), HYPERLINK(CONCATENATE("#Metadata!", ADDRESS(INDEX($AI$2:$AI$1001,MATCH(ROWS($AG$2:AG497),$AG$2:$AG$1001,0),0), INDEX($AN$1004:$BO$1004,1,MATCH(COLUMNS($AN$1006:AZ1006),$AN$1006:$BO$1006,0)))),"Fix")))</f>
        <v>0</v>
      </c>
      <c r="O497" s="4">
        <f>IF(OR(INDEX($AH$2:$AH$1001,MATCH(ROWS($AG$2:AG497),$AG$2:$AG$1001,0),1)&gt;=100000,INDEX($AN$1005:$BO$1005,1,MATCH(COLUMNS($AN$1006:BA1006),$AN$1006:$BO$1006,0))&gt;=100000), " ",IF(INDEX($AN$2:$BO$1001,MATCH(ROWS($AG$2:AG497),$AG$2:$AG$1001,0),MATCH(COLUMNS($AN$1006:BA1006),$AN$1006:$BO$1006,0)), HYPERLINK("#",""), HYPERLINK(CONCATENATE("#Metadata!", ADDRESS(INDEX($AI$2:$AI$1001,MATCH(ROWS($AG$2:AG497),$AG$2:$AG$1001,0),0), INDEX($AN$1004:$BO$1004,1,MATCH(COLUMNS($AN$1006:BA1006),$AN$1006:$BO$1006,0)))),"Fix")))</f>
        <v>0</v>
      </c>
      <c r="P497" s="4">
        <f>IF(OR(INDEX($AH$2:$AH$1001,MATCH(ROWS($AG$2:AG497),$AG$2:$AG$1001,0),1)&gt;=100000,INDEX($AN$1005:$BO$1005,1,MATCH(COLUMNS($AN$1006:BB1006),$AN$1006:$BO$1006,0))&gt;=100000), " ",IF(INDEX($AN$2:$BO$1001,MATCH(ROWS($AG$2:AG497),$AG$2:$AG$1001,0),MATCH(COLUMNS($AN$1006:BB1006),$AN$1006:$BO$1006,0)), HYPERLINK("#",""), HYPERLINK(CONCATENATE("#Metadata!", ADDRESS(INDEX($AI$2:$AI$1001,MATCH(ROWS($AG$2:AG497),$AG$2:$AG$1001,0),0), INDEX($AN$1004:$BO$1004,1,MATCH(COLUMNS($AN$1006:BB1006),$AN$1006:$BO$1006,0)))),"Fix")))</f>
        <v>0</v>
      </c>
      <c r="Q497" s="4">
        <f>IF(OR(INDEX($AH$2:$AH$1001,MATCH(ROWS($AG$2:AG497),$AG$2:$AG$1001,0),1)&gt;=100000,INDEX($AN$1005:$BO$1005,1,MATCH(COLUMNS($AN$1006:BC1006),$AN$1006:$BO$1006,0))&gt;=100000), " ",IF(INDEX($AN$2:$BO$1001,MATCH(ROWS($AG$2:AG497),$AG$2:$AG$1001,0),MATCH(COLUMNS($AN$1006:BC1006),$AN$1006:$BO$1006,0)), HYPERLINK("#",""), HYPERLINK(CONCATENATE("#Metadata!", ADDRESS(INDEX($AI$2:$AI$1001,MATCH(ROWS($AG$2:AG497),$AG$2:$AG$1001,0),0), INDEX($AN$1004:$BO$1004,1,MATCH(COLUMNS($AN$1006:BC1006),$AN$1006:$BO$1006,0)))),"Fix")))</f>
        <v>0</v>
      </c>
      <c r="R497" s="4">
        <f>IF(OR(INDEX($AH$2:$AH$1001,MATCH(ROWS($AG$2:AG497),$AG$2:$AG$1001,0),1)&gt;=100000,INDEX($AN$1005:$BO$1005,1,MATCH(COLUMNS($AN$1006:BD1006),$AN$1006:$BO$1006,0))&gt;=100000), " ",IF(INDEX($AN$2:$BO$1001,MATCH(ROWS($AG$2:AG497),$AG$2:$AG$1001,0),MATCH(COLUMNS($AN$1006:BD1006),$AN$1006:$BO$1006,0)), HYPERLINK("#",""), HYPERLINK(CONCATENATE("#Metadata!", ADDRESS(INDEX($AI$2:$AI$1001,MATCH(ROWS($AG$2:AG497),$AG$2:$AG$1001,0),0), INDEX($AN$1004:$BO$1004,1,MATCH(COLUMNS($AN$1006:BD1006),$AN$1006:$BO$1006,0)))),"Fix")))</f>
        <v>0</v>
      </c>
      <c r="S497" s="4">
        <f>IF(OR(INDEX($AH$2:$AH$1001,MATCH(ROWS($AG$2:AG497),$AG$2:$AG$1001,0),1)&gt;=100000,INDEX($AN$1005:$BO$1005,1,MATCH(COLUMNS($AN$1006:BE1006),$AN$1006:$BO$1006,0))&gt;=100000), " ",IF(INDEX($AN$2:$BO$1001,MATCH(ROWS($AG$2:AG497),$AG$2:$AG$1001,0),MATCH(COLUMNS($AN$1006:BE1006),$AN$1006:$BO$1006,0)), HYPERLINK("#",""), HYPERLINK(CONCATENATE("#Metadata!", ADDRESS(INDEX($AI$2:$AI$1001,MATCH(ROWS($AG$2:AG497),$AG$2:$AG$1001,0),0), INDEX($AN$1004:$BO$1004,1,MATCH(COLUMNS($AN$1006:BE1006),$AN$1006:$BO$1006,0)))),"Fix")))</f>
        <v>0</v>
      </c>
      <c r="T497" s="4">
        <f>IF(OR(INDEX($AH$2:$AH$1001,MATCH(ROWS($AG$2:AG497),$AG$2:$AG$1001,0),1)&gt;=100000,INDEX($AN$1005:$BO$1005,1,MATCH(COLUMNS($AN$1006:BF1006),$AN$1006:$BO$1006,0))&gt;=100000), " ",IF(INDEX($AN$2:$BO$1001,MATCH(ROWS($AG$2:AG497),$AG$2:$AG$1001,0),MATCH(COLUMNS($AN$1006:BF1006),$AN$1006:$BO$1006,0)), HYPERLINK("#",""), HYPERLINK(CONCATENATE("#Metadata!", ADDRESS(INDEX($AI$2:$AI$1001,MATCH(ROWS($AG$2:AG497),$AG$2:$AG$1001,0),0), INDEX($AN$1004:$BO$1004,1,MATCH(COLUMNS($AN$1006:BF1006),$AN$1006:$BO$1006,0)))),"Fix")))</f>
        <v>0</v>
      </c>
      <c r="U497" s="4">
        <f>IF(OR(INDEX($AH$2:$AH$1001,MATCH(ROWS($AG$2:AG497),$AG$2:$AG$1001,0),1)&gt;=100000,INDEX($AN$1005:$BO$1005,1,MATCH(COLUMNS($AN$1006:BG1006),$AN$1006:$BO$1006,0))&gt;=100000), " ",IF(INDEX($AN$2:$BO$1001,MATCH(ROWS($AG$2:AG497),$AG$2:$AG$1001,0),MATCH(COLUMNS($AN$1006:BG1006),$AN$1006:$BO$1006,0)), HYPERLINK("#",""), HYPERLINK(CONCATENATE("#Metadata!", ADDRESS(INDEX($AI$2:$AI$1001,MATCH(ROWS($AG$2:AG497),$AG$2:$AG$1001,0),0), INDEX($AN$1004:$BO$1004,1,MATCH(COLUMNS($AN$1006:BG1006),$AN$1006:$BO$1006,0)))),"Fix")))</f>
        <v>0</v>
      </c>
      <c r="V497" s="4">
        <f>IF(OR(INDEX($AH$2:$AH$1001,MATCH(ROWS($AG$2:AG497),$AG$2:$AG$1001,0),1)&gt;=100000,INDEX($AN$1005:$BO$1005,1,MATCH(COLUMNS($AN$1006:BH1006),$AN$1006:$BO$1006,0))&gt;=100000), " ",IF(INDEX($AN$2:$BO$1001,MATCH(ROWS($AG$2:AG497),$AG$2:$AG$1001,0),MATCH(COLUMNS($AN$1006:BH1006),$AN$1006:$BO$1006,0)), HYPERLINK("#",""), HYPERLINK(CONCATENATE("#Metadata!", ADDRESS(INDEX($AI$2:$AI$1001,MATCH(ROWS($AG$2:AG497),$AG$2:$AG$1001,0),0), INDEX($AN$1004:$BO$1004,1,MATCH(COLUMNS($AN$1006:BH1006),$AN$1006:$BO$1006,0)))),"Fix")))</f>
        <v>0</v>
      </c>
      <c r="W497" s="4">
        <f>IF(OR(INDEX($AH$2:$AH$1001,MATCH(ROWS($AG$2:AG497),$AG$2:$AG$1001,0),1)&gt;=100000,INDEX($AN$1005:$BO$1005,1,MATCH(COLUMNS($AN$1006:BI1006),$AN$1006:$BO$1006,0))&gt;=100000), " ",IF(INDEX($AN$2:$BO$1001,MATCH(ROWS($AG$2:AG497),$AG$2:$AG$1001,0),MATCH(COLUMNS($AN$1006:BI1006),$AN$1006:$BO$1006,0)), HYPERLINK("#",""), HYPERLINK(CONCATENATE("#Metadata!", ADDRESS(INDEX($AI$2:$AI$1001,MATCH(ROWS($AG$2:AG497),$AG$2:$AG$1001,0),0), INDEX($AN$1004:$BO$1004,1,MATCH(COLUMNS($AN$1006:BI1006),$AN$1006:$BO$1006,0)))),"Fix")))</f>
        <v>0</v>
      </c>
      <c r="X497" s="4">
        <f>IF(OR(INDEX($AH$2:$AH$1001,MATCH(ROWS($AG$2:AG497),$AG$2:$AG$1001,0),1)&gt;=100000,INDEX($AN$1005:$BO$1005,1,MATCH(COLUMNS($AN$1006:BJ1006),$AN$1006:$BO$1006,0))&gt;=100000), " ",IF(INDEX($AN$2:$BO$1001,MATCH(ROWS($AG$2:AG497),$AG$2:$AG$1001,0),MATCH(COLUMNS($AN$1006:BJ1006),$AN$1006:$BO$1006,0)), HYPERLINK("#",""), HYPERLINK(CONCATENATE("#Metadata!", ADDRESS(INDEX($AI$2:$AI$1001,MATCH(ROWS($AG$2:AG497),$AG$2:$AG$1001,0),0), INDEX($AN$1004:$BO$1004,1,MATCH(COLUMNS($AN$1006:BJ1006),$AN$1006:$BO$1006,0)))),"Fix")))</f>
        <v>0</v>
      </c>
      <c r="Y497" s="4">
        <f>IF(OR(INDEX($AH$2:$AH$1001,MATCH(ROWS($AG$2:AG497),$AG$2:$AG$1001,0),1)&gt;=100000,INDEX($AN$1005:$BO$1005,1,MATCH(COLUMNS($AN$1006:BK1006),$AN$1006:$BO$1006,0))&gt;=100000), " ",IF(INDEX($AN$2:$BO$1001,MATCH(ROWS($AG$2:AG497),$AG$2:$AG$1001,0),MATCH(COLUMNS($AN$1006:BK1006),$AN$1006:$BO$1006,0)), HYPERLINK("#",""), HYPERLINK(CONCATENATE("#Metadata!", ADDRESS(INDEX($AI$2:$AI$1001,MATCH(ROWS($AG$2:AG497),$AG$2:$AG$1001,0),0), INDEX($AN$1004:$BO$1004,1,MATCH(COLUMNS($AN$1006:BK1006),$AN$1006:$BO$1006,0)))),"Fix")))</f>
        <v>0</v>
      </c>
      <c r="Z497" s="4">
        <f>IF(OR(INDEX($AH$2:$AH$1001,MATCH(ROWS($AG$2:AG497),$AG$2:$AG$1001,0),1)&gt;=100000,INDEX($AN$1005:$BO$1005,1,MATCH(COLUMNS($AN$1006:BL1006),$AN$1006:$BO$1006,0))&gt;=100000), " ",IF(INDEX($AN$2:$BO$1001,MATCH(ROWS($AG$2:AG497),$AG$2:$AG$1001,0),MATCH(COLUMNS($AN$1006:BL1006),$AN$1006:$BO$1006,0)), HYPERLINK("#",""), HYPERLINK(CONCATENATE("#Metadata!", ADDRESS(INDEX($AI$2:$AI$1001,MATCH(ROWS($AG$2:AG497),$AG$2:$AG$1001,0),0), INDEX($AN$1004:$BO$1004,1,MATCH(COLUMNS($AN$1006:BL1006),$AN$1006:$BO$1006,0)))),"Fix")))</f>
        <v>0</v>
      </c>
      <c r="AA497" s="4">
        <f>IF(OR(INDEX($AH$2:$AH$1001,MATCH(ROWS($AG$2:AG497),$AG$2:$AG$1001,0),1)&gt;=100000,INDEX($AN$1005:$BO$1005,1,MATCH(COLUMNS($AN$1006:BM1006),$AN$1006:$BO$1006,0))&gt;=100000), " ",IF(INDEX($AN$2:$BO$1001,MATCH(ROWS($AG$2:AG497),$AG$2:$AG$1001,0),MATCH(COLUMNS($AN$1006:BM1006),$AN$1006:$BO$1006,0)), HYPERLINK("#",""), HYPERLINK(CONCATENATE("#Metadata!", ADDRESS(INDEX($AI$2:$AI$1001,MATCH(ROWS($AG$2:AG497),$AG$2:$AG$1001,0),0), INDEX($AN$1004:$BO$1004,1,MATCH(COLUMNS($AN$1006:BM1006),$AN$1006:$BO$1006,0)))),"Fix")))</f>
        <v>0</v>
      </c>
      <c r="AB497" s="4">
        <f>IF(OR(INDEX($AH$2:$AH$1001,MATCH(ROWS($AG$2:AG497),$AG$2:$AG$1001,0),1)&gt;=100000,INDEX($AN$1005:$BO$1005,1,MATCH(COLUMNS($AN$1006:BN1006),$AN$1006:$BO$1006,0))&gt;=100000), " ",IF(INDEX($AN$2:$BO$1001,MATCH(ROWS($AG$2:AG497),$AG$2:$AG$1001,0),MATCH(COLUMNS($AN$1006:BN1006),$AN$1006:$BO$1006,0)), HYPERLINK("#",""), HYPERLINK(CONCATENATE("#Metadata!", ADDRESS(INDEX($AI$2:$AI$1001,MATCH(ROWS($AG$2:AG497),$AG$2:$AG$1001,0),0), INDEX($AN$1004:$BO$1004,1,MATCH(COLUMNS($AN$1006:BN1006),$AN$1006:$BO$1006,0)))),"Fix")))</f>
        <v>0</v>
      </c>
      <c r="AC497" s="4">
        <f>IF(OR(INDEX($AH$2:$AH$1001,MATCH(ROWS($AG$2:AG497),$AG$2:$AG$1001,0),1)&gt;=100000,INDEX($AN$1005:$BO$1005,1,MATCH(COLUMNS($AN$1006:BO1006),$AN$1006:$BO$1006,0))&gt;=100000), " ",IF(INDEX($AN$2:$BO$1001,MATCH(ROWS($AG$2:AG497),$AG$2:$AG$1001,0),MATCH(COLUMNS($AN$1006:BO1006),$AN$1006:$BO$1006,0)), HYPERLINK("#",""), HYPERLINK(CONCATENATE("#Metadata!", ADDRESS(INDEX($AI$2:$AI$1001,MATCH(ROWS($AG$2:AG497),$AG$2:$AG$1001,0),0), INDEX($AN$1004:$BO$1004,1,MATCH(COLUMNS($AN$1006:BO1006),$AN$1006:$BO$1006,0)))),"Fix")))</f>
        <v>0</v>
      </c>
      <c r="AG497">
        <v>0</v>
      </c>
      <c r="AH497">
        <v>0</v>
      </c>
      <c r="AI497">
        <v>0</v>
      </c>
      <c r="AJ497">
        <f>IF(AK497,TRUE,AND(AN497:BO497))</f>
        <v>0</v>
      </c>
      <c r="AK497">
        <f>COUNTBLANK(Metadata!B497:AC497)=COLUMNS(Metadata!B497:AC497)</f>
        <v>0</v>
      </c>
      <c r="AL497">
        <v>0</v>
      </c>
      <c r="AN497">
        <f>AND(IF(Metadata!B497="",FALSE,TRUE),COUNTIF(Metadata!B:B, Metadata!B497) = 1,NOT(ISERROR(SUMPRODUCT(SEARCH(MID(Metadata!B497,ROW(INDIRECT("1:"&amp;LEN(Metadata!B497))), 1),"0123456789abcdefghijklmnopqrstuvwxyzABCDEFGHIJKLMNOPQRSTUVWXYZ.")))))</f>
        <v>0</v>
      </c>
      <c r="AO497">
        <f>IF(Metadata!C497="",FALSE,TRUE)</f>
        <v>0</v>
      </c>
      <c r="AP497">
        <f>IF(Metadata!D497="",FALSE,TRUE)</f>
        <v>0</v>
      </c>
      <c r="AQ497">
        <f>OR(AND(IF(Metadata!E497="",FALSE,TRUE),OR(exact(Metadata!E497,"not collected"),exact(Metadata!E497,"not provided"),exact(Metadata!E497,"restricted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R497">
        <f>IF(Metadata!F497="",FALSE,TRUE)</f>
        <v>0</v>
      </c>
      <c r="AS497">
        <f>OR(AND(IF(Metadata!G497="",FALSE,TRUE),OR(exact(Metadata!G497,"not collected"),exact(Metadata!G497,"not provided"))),AND(IF(Metadata!G497="",FALSE,TRUE),OR(exact(Metadata!G497,"TRUE"),exact(Metadata!G497,"FALSE"))))</f>
        <v>0</v>
      </c>
      <c r="AT497">
        <f>OR(AND(IF(Metadata!H497="",FALSE,TRUE),OR(exact(Metadata!H497,"not collected"),exact(Metadata!H497,"not provided"),exact(Metadata!H497,"restricted access"))),AND(IF(Metadata!H497="",FALSE,ISNUMBER(VALUE(Metadata!H497))),Metadata!H497&gt;=-413.0))</f>
        <v>0</v>
      </c>
      <c r="AU497">
        <f>AND(IF(Metadata!I497="",FALSE,TRUE),exact(Metadata!I497,"meters"))</f>
        <v>0</v>
      </c>
      <c r="AV497">
        <f>AND(IF(Metadata!J497="",FALSE,TRUE),OR(exact(Metadata!J497,"Host-associated"),exact(Metadata!J497,"Free-living")))</f>
        <v>0</v>
      </c>
      <c r="AW497">
        <f>AND(IF(Metadata!K497="",FALSE,TRUE),OR(exact(Metadata!K497,"Animal"),exact(Metadata!K497,"Fungus"),exact(Metadata!K497,"Plant"),exact(Metadata!K497,"Saline"),exact(Metadata!K497,"Non-saline")))</f>
        <v>0</v>
      </c>
      <c r="AX497">
        <f>AND(IF(Metadata!L497="",FALSE,TRUE),OR(exact(Metadata!L497,"Plant secretion"),exact(Metadata!L497,"Plant rhizosphere"),exact(Metadata!L497,"Plant surface"),exact(Metadata!L497,"Plant corpus"),exact(Metadata!L497,"Fungus surface"),exact(Metadata!L497,"Fungus corpus"),exact(Metadata!L497,"Animal surface"),exact(Metadata!L497,"Animal proximal gut"),exact(Metadata!L497,"Animal corpus"),exact(Metadata!L497,"Animal distal gut"),exact(Metadata!L497,"Animal secretion"),exact(Metadata!L497,"Sub-surface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Y497">
        <f>IF(Metadata!M497="",FALSE,TRUE)</f>
        <v>0</v>
      </c>
      <c r="AZ497">
        <f>IF(Metadata!N497="",FALSE,TRUE)</f>
        <v>0</v>
      </c>
      <c r="BA497">
        <f>IF(Metadata!O497="",FALSE,TRUE)</f>
        <v>0</v>
      </c>
      <c r="BB497">
        <f>OR(AND(IF(Metadata!P497="",FALSE,TRUE),OR(exact(Metadata!P497,"not collected"),exact(Metadata!P497,"not provided"),exact(Metadata!P497,"restricted access"))),AND(IF(Metadata!P497="",FALSE,TRUE),OR(exact(Metadata!P497,"air"),exact(Metadata!P497,"built environment"),exact(Metadata!P497,"host-associated"),exact(Metadata!P497,"human-associated"),exact(Metadata!P497,"human-skin"),exact(Metadata!P497,"human-oral"),exact(Metadata!P497,"human-gut"),exact(Metadata!P497,"human-vaginal"),exact(Metadata!P497,"microbial mat/biofilm"),exact(Metadata!P497,"misc environment"),exact(Metadata!P497,"plant-associated"),exact(Metadata!P497,"sediment"),exact(Metadata!P497,"soil"),exact(Metadata!P497,"wastewater/sludge"),exact(Metadata!P497,"water"))))</f>
        <v>0</v>
      </c>
      <c r="BC497">
        <f>IF(Metadata!Q497="",FALSE,TRUE)</f>
        <v>0</v>
      </c>
      <c r="BD497">
        <f>IF(Metadata!R497="",FALSE,TRUE)</f>
        <v>0</v>
      </c>
      <c r="BE497">
        <f>OR(AND(IF(Metadata!S497="",FALSE,TRUE),OR(exact(Metadata!S497,"not collected"),exact(Metadata!S497,"not provided"),exact(Metadata!S497,"restricted access"))),AND(IF(Metadata!S497="",FALSE,ISNUMBER(VALUE(Metadata!S497))),Metadata!S497&gt;=-90.00,Metadata!S497&lt;=90.00))</f>
        <v>0</v>
      </c>
      <c r="BF497">
        <f>AND(IF(Metadata!T497="",FALSE,TRUE),exact(Metadata!T497,"Decimal degrees"))</f>
        <v>0</v>
      </c>
      <c r="BG497">
        <f>OR(AND(IF(Metadata!U497="",FALSE,TRUE),OR(exact(Metadata!U497,"not collected"),exact(Metadata!U497,"not provided"),exact(Metadata!U497,"restricted access"))),AND(IF(Metadata!U497="",FALSE,ISNUMBER(VALUE(Metadata!U497))),Metadata!U497&gt;=-180.00,Metadata!U497&lt;=180.00))</f>
        <v>0</v>
      </c>
      <c r="BH497">
        <f>AND(IF(Metadata!V497="",FALSE,TRUE),exact(Metadata!V497,"Decimal degrees"))</f>
        <v>0</v>
      </c>
      <c r="BI497">
        <f>IF(Metadata!W497="",FALSE,TRUE)</f>
        <v>0</v>
      </c>
      <c r="BJ497">
        <f>OR(AND(IF(Metadata!X497="",FALSE,TRUE),OR(exact(Metadata!X497,"not collected"),exact(Metadata!X497,"not provided"),exact(Metadata!X497,"restricted access"))),AND(IF(Metadata!X497="",FALSE,TRUE),OR(exact(Metadata!X497,"TRUE"),exact(Metadata!X497,"FALSE"))))</f>
        <v>0</v>
      </c>
      <c r="BK497">
        <f>AND(IF(Metadata!Y497="",FALSE,TRUE),exact(Metadata!Y497,"other"))</f>
        <v>0</v>
      </c>
      <c r="BL497">
        <f>IF(Metadata!Z497="",FALSE,TRUE)</f>
        <v>0</v>
      </c>
      <c r="BM497">
        <f>OR(AND(IF(Metadata!AA497="",FALSE,TRUE),OR(exact(Metadata!AA497,"not collected"),exact(Metadata!AA497,"not provided"))),AND(IF(Metadata!AA497="",FALSE,IF(ISERROR(INT(Metadata!AA497)),FALSE,INT(Metadata!AA497)=Metadata!AA497)),Metadata!AA497&gt;0))</f>
        <v>0</v>
      </c>
      <c r="BN497">
        <f>AND(IF(Metadata!AB497="",FALSE,TRUE),exact(Metadata!AB497,"Not applicable"))</f>
        <v>0</v>
      </c>
      <c r="BO497">
        <f>IF(Metadata!AC497="",FALSE,TRUE)</f>
        <v>0</v>
      </c>
    </row>
    <row r="498" spans="1:67">
      <c r="A498" s="5">
        <f>IF(B498=" "," ",HYPERLINK(CONCATENATE("#metadata!",ADDRESS(INDEX($AI$2:$AI$1001,MATCH(ROWS($AG$2:AG498),$AG$2:$AG$1001,0),0),1)),INDEX($AL$2:$AL$1001,MATCH(ROWS($AG$2:AG498),$AG$2:$AG$1001,0),0)))</f>
        <v>0</v>
      </c>
      <c r="B498" s="4">
        <f>IF(OR(INDEX($AH$2:$AH$1001,MATCH(ROWS($AG$2:AG498),$AG$2:$AG$1001,0),1)&gt;=100000,INDEX($AN$1005:$BO$1005,1,MATCH(COLUMNS($AN$1006:AN1006),$AN$1006:$BO$1006,0))&gt;=100000), " ",IF(INDEX($AN$2:$BO$1001,MATCH(ROWS($AG$2:AG498),$AG$2:$AG$1001,0),MATCH(COLUMNS($AN$1006:AN1006),$AN$1006:$BO$1006,0)), HYPERLINK("#",""), HYPERLINK(CONCATENATE("#Metadata!", ADDRESS(INDEX($AI$2:$AI$1001,MATCH(ROWS($AG$2:AG498),$AG$2:$AG$1001,0),0), INDEX($AN$1004:$BO$1004,1,MATCH(COLUMNS($AN$1006:AN1006),$AN$1006:$BO$1006,0)))),"Fix")))</f>
        <v>0</v>
      </c>
      <c r="C498" s="4">
        <f>IF(OR(INDEX($AH$2:$AH$1001,MATCH(ROWS($AG$2:AG498),$AG$2:$AG$1001,0),1)&gt;=100000,INDEX($AN$1005:$BO$1005,1,MATCH(COLUMNS($AN$1006:AO1006),$AN$1006:$BO$1006,0))&gt;=100000), " ",IF(INDEX($AN$2:$BO$1001,MATCH(ROWS($AG$2:AG498),$AG$2:$AG$1001,0),MATCH(COLUMNS($AN$1006:AO1006),$AN$1006:$BO$1006,0)), HYPERLINK("#",""), HYPERLINK(CONCATENATE("#Metadata!", ADDRESS(INDEX($AI$2:$AI$1001,MATCH(ROWS($AG$2:AG498),$AG$2:$AG$1001,0),0), INDEX($AN$1004:$BO$1004,1,MATCH(COLUMNS($AN$1006:AO1006),$AN$1006:$BO$1006,0)))),"Fix")))</f>
        <v>0</v>
      </c>
      <c r="D498" s="4">
        <f>IF(OR(INDEX($AH$2:$AH$1001,MATCH(ROWS($AG$2:AG498),$AG$2:$AG$1001,0),1)&gt;=100000,INDEX($AN$1005:$BO$1005,1,MATCH(COLUMNS($AN$1006:AP1006),$AN$1006:$BO$1006,0))&gt;=100000), " ",IF(INDEX($AN$2:$BO$1001,MATCH(ROWS($AG$2:AG498),$AG$2:$AG$1001,0),MATCH(COLUMNS($AN$1006:AP1006),$AN$1006:$BO$1006,0)), HYPERLINK("#",""), HYPERLINK(CONCATENATE("#Metadata!", ADDRESS(INDEX($AI$2:$AI$1001,MATCH(ROWS($AG$2:AG498),$AG$2:$AG$1001,0),0), INDEX($AN$1004:$BO$1004,1,MATCH(COLUMNS($AN$1006:AP1006),$AN$1006:$BO$1006,0)))),"Fix")))</f>
        <v>0</v>
      </c>
      <c r="E498" s="4">
        <f>IF(OR(INDEX($AH$2:$AH$1001,MATCH(ROWS($AG$2:AG498),$AG$2:$AG$1001,0),1)&gt;=100000,INDEX($AN$1005:$BO$1005,1,MATCH(COLUMNS($AN$1006:AQ1006),$AN$1006:$BO$1006,0))&gt;=100000), " ",IF(INDEX($AN$2:$BO$1001,MATCH(ROWS($AG$2:AG498),$AG$2:$AG$1001,0),MATCH(COLUMNS($AN$1006:AQ1006),$AN$1006:$BO$1006,0)), HYPERLINK("#",""), HYPERLINK(CONCATENATE("#Metadata!", ADDRESS(INDEX($AI$2:$AI$1001,MATCH(ROWS($AG$2:AG498),$AG$2:$AG$1001,0),0), INDEX($AN$1004:$BO$1004,1,MATCH(COLUMNS($AN$1006:AQ1006),$AN$1006:$BO$1006,0)))),"Fix")))</f>
        <v>0</v>
      </c>
      <c r="F498" s="4">
        <f>IF(OR(INDEX($AH$2:$AH$1001,MATCH(ROWS($AG$2:AG498),$AG$2:$AG$1001,0),1)&gt;=100000,INDEX($AN$1005:$BO$1005,1,MATCH(COLUMNS($AN$1006:AR1006),$AN$1006:$BO$1006,0))&gt;=100000), " ",IF(INDEX($AN$2:$BO$1001,MATCH(ROWS($AG$2:AG498),$AG$2:$AG$1001,0),MATCH(COLUMNS($AN$1006:AR1006),$AN$1006:$BO$1006,0)), HYPERLINK("#",""), HYPERLINK(CONCATENATE("#Metadata!", ADDRESS(INDEX($AI$2:$AI$1001,MATCH(ROWS($AG$2:AG498),$AG$2:$AG$1001,0),0), INDEX($AN$1004:$BO$1004,1,MATCH(COLUMNS($AN$1006:AR1006),$AN$1006:$BO$1006,0)))),"Fix")))</f>
        <v>0</v>
      </c>
      <c r="G498" s="4">
        <f>IF(OR(INDEX($AH$2:$AH$1001,MATCH(ROWS($AG$2:AG498),$AG$2:$AG$1001,0),1)&gt;=100000,INDEX($AN$1005:$BO$1005,1,MATCH(COLUMNS($AN$1006:AS1006),$AN$1006:$BO$1006,0))&gt;=100000), " ",IF(INDEX($AN$2:$BO$1001,MATCH(ROWS($AG$2:AG498),$AG$2:$AG$1001,0),MATCH(COLUMNS($AN$1006:AS1006),$AN$1006:$BO$1006,0)), HYPERLINK("#",""), HYPERLINK(CONCATENATE("#Metadata!", ADDRESS(INDEX($AI$2:$AI$1001,MATCH(ROWS($AG$2:AG498),$AG$2:$AG$1001,0),0), INDEX($AN$1004:$BO$1004,1,MATCH(COLUMNS($AN$1006:AS1006),$AN$1006:$BO$1006,0)))),"Fix")))</f>
        <v>0</v>
      </c>
      <c r="H498" s="4">
        <f>IF(OR(INDEX($AH$2:$AH$1001,MATCH(ROWS($AG$2:AG498),$AG$2:$AG$1001,0),1)&gt;=100000,INDEX($AN$1005:$BO$1005,1,MATCH(COLUMNS($AN$1006:AT1006),$AN$1006:$BO$1006,0))&gt;=100000), " ",IF(INDEX($AN$2:$BO$1001,MATCH(ROWS($AG$2:AG498),$AG$2:$AG$1001,0),MATCH(COLUMNS($AN$1006:AT1006),$AN$1006:$BO$1006,0)), HYPERLINK("#",""), HYPERLINK(CONCATENATE("#Metadata!", ADDRESS(INDEX($AI$2:$AI$1001,MATCH(ROWS($AG$2:AG498),$AG$2:$AG$1001,0),0), INDEX($AN$1004:$BO$1004,1,MATCH(COLUMNS($AN$1006:AT1006),$AN$1006:$BO$1006,0)))),"Fix")))</f>
        <v>0</v>
      </c>
      <c r="I498" s="4">
        <f>IF(OR(INDEX($AH$2:$AH$1001,MATCH(ROWS($AG$2:AG498),$AG$2:$AG$1001,0),1)&gt;=100000,INDEX($AN$1005:$BO$1005,1,MATCH(COLUMNS($AN$1006:AU1006),$AN$1006:$BO$1006,0))&gt;=100000), " ",IF(INDEX($AN$2:$BO$1001,MATCH(ROWS($AG$2:AG498),$AG$2:$AG$1001,0),MATCH(COLUMNS($AN$1006:AU1006),$AN$1006:$BO$1006,0)), HYPERLINK("#",""), HYPERLINK(CONCATENATE("#Metadata!", ADDRESS(INDEX($AI$2:$AI$1001,MATCH(ROWS($AG$2:AG498),$AG$2:$AG$1001,0),0), INDEX($AN$1004:$BO$1004,1,MATCH(COLUMNS($AN$1006:AU1006),$AN$1006:$BO$1006,0)))),"Fix")))</f>
        <v>0</v>
      </c>
      <c r="J498" s="4">
        <f>IF(OR(INDEX($AH$2:$AH$1001,MATCH(ROWS($AG$2:AG498),$AG$2:$AG$1001,0),1)&gt;=100000,INDEX($AN$1005:$BO$1005,1,MATCH(COLUMNS($AN$1006:AV1006),$AN$1006:$BO$1006,0))&gt;=100000), " ",IF(INDEX($AN$2:$BO$1001,MATCH(ROWS($AG$2:AG498),$AG$2:$AG$1001,0),MATCH(COLUMNS($AN$1006:AV1006),$AN$1006:$BO$1006,0)), HYPERLINK("#",""), HYPERLINK(CONCATENATE("#Metadata!", ADDRESS(INDEX($AI$2:$AI$1001,MATCH(ROWS($AG$2:AG498),$AG$2:$AG$1001,0),0), INDEX($AN$1004:$BO$1004,1,MATCH(COLUMNS($AN$1006:AV1006),$AN$1006:$BO$1006,0)))),"Fix")))</f>
        <v>0</v>
      </c>
      <c r="K498" s="4">
        <f>IF(OR(INDEX($AH$2:$AH$1001,MATCH(ROWS($AG$2:AG498),$AG$2:$AG$1001,0),1)&gt;=100000,INDEX($AN$1005:$BO$1005,1,MATCH(COLUMNS($AN$1006:AW1006),$AN$1006:$BO$1006,0))&gt;=100000), " ",IF(INDEX($AN$2:$BO$1001,MATCH(ROWS($AG$2:AG498),$AG$2:$AG$1001,0),MATCH(COLUMNS($AN$1006:AW1006),$AN$1006:$BO$1006,0)), HYPERLINK("#",""), HYPERLINK(CONCATENATE("#Metadata!", ADDRESS(INDEX($AI$2:$AI$1001,MATCH(ROWS($AG$2:AG498),$AG$2:$AG$1001,0),0), INDEX($AN$1004:$BO$1004,1,MATCH(COLUMNS($AN$1006:AW1006),$AN$1006:$BO$1006,0)))),"Fix")))</f>
        <v>0</v>
      </c>
      <c r="L498" s="4">
        <f>IF(OR(INDEX($AH$2:$AH$1001,MATCH(ROWS($AG$2:AG498),$AG$2:$AG$1001,0),1)&gt;=100000,INDEX($AN$1005:$BO$1005,1,MATCH(COLUMNS($AN$1006:AX1006),$AN$1006:$BO$1006,0))&gt;=100000), " ",IF(INDEX($AN$2:$BO$1001,MATCH(ROWS($AG$2:AG498),$AG$2:$AG$1001,0),MATCH(COLUMNS($AN$1006:AX1006),$AN$1006:$BO$1006,0)), HYPERLINK("#",""), HYPERLINK(CONCATENATE("#Metadata!", ADDRESS(INDEX($AI$2:$AI$1001,MATCH(ROWS($AG$2:AG498),$AG$2:$AG$1001,0),0), INDEX($AN$1004:$BO$1004,1,MATCH(COLUMNS($AN$1006:AX1006),$AN$1006:$BO$1006,0)))),"Fix")))</f>
        <v>0</v>
      </c>
      <c r="M498" s="4">
        <f>IF(OR(INDEX($AH$2:$AH$1001,MATCH(ROWS($AG$2:AG498),$AG$2:$AG$1001,0),1)&gt;=100000,INDEX($AN$1005:$BO$1005,1,MATCH(COLUMNS($AN$1006:AY1006),$AN$1006:$BO$1006,0))&gt;=100000), " ",IF(INDEX($AN$2:$BO$1001,MATCH(ROWS($AG$2:AG498),$AG$2:$AG$1001,0),MATCH(COLUMNS($AN$1006:AY1006),$AN$1006:$BO$1006,0)), HYPERLINK("#",""), HYPERLINK(CONCATENATE("#Metadata!", ADDRESS(INDEX($AI$2:$AI$1001,MATCH(ROWS($AG$2:AG498),$AG$2:$AG$1001,0),0), INDEX($AN$1004:$BO$1004,1,MATCH(COLUMNS($AN$1006:AY1006),$AN$1006:$BO$1006,0)))),"Fix")))</f>
        <v>0</v>
      </c>
      <c r="N498" s="4">
        <f>IF(OR(INDEX($AH$2:$AH$1001,MATCH(ROWS($AG$2:AG498),$AG$2:$AG$1001,0),1)&gt;=100000,INDEX($AN$1005:$BO$1005,1,MATCH(COLUMNS($AN$1006:AZ1006),$AN$1006:$BO$1006,0))&gt;=100000), " ",IF(INDEX($AN$2:$BO$1001,MATCH(ROWS($AG$2:AG498),$AG$2:$AG$1001,0),MATCH(COLUMNS($AN$1006:AZ1006),$AN$1006:$BO$1006,0)), HYPERLINK("#",""), HYPERLINK(CONCATENATE("#Metadata!", ADDRESS(INDEX($AI$2:$AI$1001,MATCH(ROWS($AG$2:AG498),$AG$2:$AG$1001,0),0), INDEX($AN$1004:$BO$1004,1,MATCH(COLUMNS($AN$1006:AZ1006),$AN$1006:$BO$1006,0)))),"Fix")))</f>
        <v>0</v>
      </c>
      <c r="O498" s="4">
        <f>IF(OR(INDEX($AH$2:$AH$1001,MATCH(ROWS($AG$2:AG498),$AG$2:$AG$1001,0),1)&gt;=100000,INDEX($AN$1005:$BO$1005,1,MATCH(COLUMNS($AN$1006:BA1006),$AN$1006:$BO$1006,0))&gt;=100000), " ",IF(INDEX($AN$2:$BO$1001,MATCH(ROWS($AG$2:AG498),$AG$2:$AG$1001,0),MATCH(COLUMNS($AN$1006:BA1006),$AN$1006:$BO$1006,0)), HYPERLINK("#",""), HYPERLINK(CONCATENATE("#Metadata!", ADDRESS(INDEX($AI$2:$AI$1001,MATCH(ROWS($AG$2:AG498),$AG$2:$AG$1001,0),0), INDEX($AN$1004:$BO$1004,1,MATCH(COLUMNS($AN$1006:BA1006),$AN$1006:$BO$1006,0)))),"Fix")))</f>
        <v>0</v>
      </c>
      <c r="P498" s="4">
        <f>IF(OR(INDEX($AH$2:$AH$1001,MATCH(ROWS($AG$2:AG498),$AG$2:$AG$1001,0),1)&gt;=100000,INDEX($AN$1005:$BO$1005,1,MATCH(COLUMNS($AN$1006:BB1006),$AN$1006:$BO$1006,0))&gt;=100000), " ",IF(INDEX($AN$2:$BO$1001,MATCH(ROWS($AG$2:AG498),$AG$2:$AG$1001,0),MATCH(COLUMNS($AN$1006:BB1006),$AN$1006:$BO$1006,0)), HYPERLINK("#",""), HYPERLINK(CONCATENATE("#Metadata!", ADDRESS(INDEX($AI$2:$AI$1001,MATCH(ROWS($AG$2:AG498),$AG$2:$AG$1001,0),0), INDEX($AN$1004:$BO$1004,1,MATCH(COLUMNS($AN$1006:BB1006),$AN$1006:$BO$1006,0)))),"Fix")))</f>
        <v>0</v>
      </c>
      <c r="Q498" s="4">
        <f>IF(OR(INDEX($AH$2:$AH$1001,MATCH(ROWS($AG$2:AG498),$AG$2:$AG$1001,0),1)&gt;=100000,INDEX($AN$1005:$BO$1005,1,MATCH(COLUMNS($AN$1006:BC1006),$AN$1006:$BO$1006,0))&gt;=100000), " ",IF(INDEX($AN$2:$BO$1001,MATCH(ROWS($AG$2:AG498),$AG$2:$AG$1001,0),MATCH(COLUMNS($AN$1006:BC1006),$AN$1006:$BO$1006,0)), HYPERLINK("#",""), HYPERLINK(CONCATENATE("#Metadata!", ADDRESS(INDEX($AI$2:$AI$1001,MATCH(ROWS($AG$2:AG498),$AG$2:$AG$1001,0),0), INDEX($AN$1004:$BO$1004,1,MATCH(COLUMNS($AN$1006:BC1006),$AN$1006:$BO$1006,0)))),"Fix")))</f>
        <v>0</v>
      </c>
      <c r="R498" s="4">
        <f>IF(OR(INDEX($AH$2:$AH$1001,MATCH(ROWS($AG$2:AG498),$AG$2:$AG$1001,0),1)&gt;=100000,INDEX($AN$1005:$BO$1005,1,MATCH(COLUMNS($AN$1006:BD1006),$AN$1006:$BO$1006,0))&gt;=100000), " ",IF(INDEX($AN$2:$BO$1001,MATCH(ROWS($AG$2:AG498),$AG$2:$AG$1001,0),MATCH(COLUMNS($AN$1006:BD1006),$AN$1006:$BO$1006,0)), HYPERLINK("#",""), HYPERLINK(CONCATENATE("#Metadata!", ADDRESS(INDEX($AI$2:$AI$1001,MATCH(ROWS($AG$2:AG498),$AG$2:$AG$1001,0),0), INDEX($AN$1004:$BO$1004,1,MATCH(COLUMNS($AN$1006:BD1006),$AN$1006:$BO$1006,0)))),"Fix")))</f>
        <v>0</v>
      </c>
      <c r="S498" s="4">
        <f>IF(OR(INDEX($AH$2:$AH$1001,MATCH(ROWS($AG$2:AG498),$AG$2:$AG$1001,0),1)&gt;=100000,INDEX($AN$1005:$BO$1005,1,MATCH(COLUMNS($AN$1006:BE1006),$AN$1006:$BO$1006,0))&gt;=100000), " ",IF(INDEX($AN$2:$BO$1001,MATCH(ROWS($AG$2:AG498),$AG$2:$AG$1001,0),MATCH(COLUMNS($AN$1006:BE1006),$AN$1006:$BO$1006,0)), HYPERLINK("#",""), HYPERLINK(CONCATENATE("#Metadata!", ADDRESS(INDEX($AI$2:$AI$1001,MATCH(ROWS($AG$2:AG498),$AG$2:$AG$1001,0),0), INDEX($AN$1004:$BO$1004,1,MATCH(COLUMNS($AN$1006:BE1006),$AN$1006:$BO$1006,0)))),"Fix")))</f>
        <v>0</v>
      </c>
      <c r="T498" s="4">
        <f>IF(OR(INDEX($AH$2:$AH$1001,MATCH(ROWS($AG$2:AG498),$AG$2:$AG$1001,0),1)&gt;=100000,INDEX($AN$1005:$BO$1005,1,MATCH(COLUMNS($AN$1006:BF1006),$AN$1006:$BO$1006,0))&gt;=100000), " ",IF(INDEX($AN$2:$BO$1001,MATCH(ROWS($AG$2:AG498),$AG$2:$AG$1001,0),MATCH(COLUMNS($AN$1006:BF1006),$AN$1006:$BO$1006,0)), HYPERLINK("#",""), HYPERLINK(CONCATENATE("#Metadata!", ADDRESS(INDEX($AI$2:$AI$1001,MATCH(ROWS($AG$2:AG498),$AG$2:$AG$1001,0),0), INDEX($AN$1004:$BO$1004,1,MATCH(COLUMNS($AN$1006:BF1006),$AN$1006:$BO$1006,0)))),"Fix")))</f>
        <v>0</v>
      </c>
      <c r="U498" s="4">
        <f>IF(OR(INDEX($AH$2:$AH$1001,MATCH(ROWS($AG$2:AG498),$AG$2:$AG$1001,0),1)&gt;=100000,INDEX($AN$1005:$BO$1005,1,MATCH(COLUMNS($AN$1006:BG1006),$AN$1006:$BO$1006,0))&gt;=100000), " ",IF(INDEX($AN$2:$BO$1001,MATCH(ROWS($AG$2:AG498),$AG$2:$AG$1001,0),MATCH(COLUMNS($AN$1006:BG1006),$AN$1006:$BO$1006,0)), HYPERLINK("#",""), HYPERLINK(CONCATENATE("#Metadata!", ADDRESS(INDEX($AI$2:$AI$1001,MATCH(ROWS($AG$2:AG498),$AG$2:$AG$1001,0),0), INDEX($AN$1004:$BO$1004,1,MATCH(COLUMNS($AN$1006:BG1006),$AN$1006:$BO$1006,0)))),"Fix")))</f>
        <v>0</v>
      </c>
      <c r="V498" s="4">
        <f>IF(OR(INDEX($AH$2:$AH$1001,MATCH(ROWS($AG$2:AG498),$AG$2:$AG$1001,0),1)&gt;=100000,INDEX($AN$1005:$BO$1005,1,MATCH(COLUMNS($AN$1006:BH1006),$AN$1006:$BO$1006,0))&gt;=100000), " ",IF(INDEX($AN$2:$BO$1001,MATCH(ROWS($AG$2:AG498),$AG$2:$AG$1001,0),MATCH(COLUMNS($AN$1006:BH1006),$AN$1006:$BO$1006,0)), HYPERLINK("#",""), HYPERLINK(CONCATENATE("#Metadata!", ADDRESS(INDEX($AI$2:$AI$1001,MATCH(ROWS($AG$2:AG498),$AG$2:$AG$1001,0),0), INDEX($AN$1004:$BO$1004,1,MATCH(COLUMNS($AN$1006:BH1006),$AN$1006:$BO$1006,0)))),"Fix")))</f>
        <v>0</v>
      </c>
      <c r="W498" s="4">
        <f>IF(OR(INDEX($AH$2:$AH$1001,MATCH(ROWS($AG$2:AG498),$AG$2:$AG$1001,0),1)&gt;=100000,INDEX($AN$1005:$BO$1005,1,MATCH(COLUMNS($AN$1006:BI1006),$AN$1006:$BO$1006,0))&gt;=100000), " ",IF(INDEX($AN$2:$BO$1001,MATCH(ROWS($AG$2:AG498),$AG$2:$AG$1001,0),MATCH(COLUMNS($AN$1006:BI1006),$AN$1006:$BO$1006,0)), HYPERLINK("#",""), HYPERLINK(CONCATENATE("#Metadata!", ADDRESS(INDEX($AI$2:$AI$1001,MATCH(ROWS($AG$2:AG498),$AG$2:$AG$1001,0),0), INDEX($AN$1004:$BO$1004,1,MATCH(COLUMNS($AN$1006:BI1006),$AN$1006:$BO$1006,0)))),"Fix")))</f>
        <v>0</v>
      </c>
      <c r="X498" s="4">
        <f>IF(OR(INDEX($AH$2:$AH$1001,MATCH(ROWS($AG$2:AG498),$AG$2:$AG$1001,0),1)&gt;=100000,INDEX($AN$1005:$BO$1005,1,MATCH(COLUMNS($AN$1006:BJ1006),$AN$1006:$BO$1006,0))&gt;=100000), " ",IF(INDEX($AN$2:$BO$1001,MATCH(ROWS($AG$2:AG498),$AG$2:$AG$1001,0),MATCH(COLUMNS($AN$1006:BJ1006),$AN$1006:$BO$1006,0)), HYPERLINK("#",""), HYPERLINK(CONCATENATE("#Metadata!", ADDRESS(INDEX($AI$2:$AI$1001,MATCH(ROWS($AG$2:AG498),$AG$2:$AG$1001,0),0), INDEX($AN$1004:$BO$1004,1,MATCH(COLUMNS($AN$1006:BJ1006),$AN$1006:$BO$1006,0)))),"Fix")))</f>
        <v>0</v>
      </c>
      <c r="Y498" s="4">
        <f>IF(OR(INDEX($AH$2:$AH$1001,MATCH(ROWS($AG$2:AG498),$AG$2:$AG$1001,0),1)&gt;=100000,INDEX($AN$1005:$BO$1005,1,MATCH(COLUMNS($AN$1006:BK1006),$AN$1006:$BO$1006,0))&gt;=100000), " ",IF(INDEX($AN$2:$BO$1001,MATCH(ROWS($AG$2:AG498),$AG$2:$AG$1001,0),MATCH(COLUMNS($AN$1006:BK1006),$AN$1006:$BO$1006,0)), HYPERLINK("#",""), HYPERLINK(CONCATENATE("#Metadata!", ADDRESS(INDEX($AI$2:$AI$1001,MATCH(ROWS($AG$2:AG498),$AG$2:$AG$1001,0),0), INDEX($AN$1004:$BO$1004,1,MATCH(COLUMNS($AN$1006:BK1006),$AN$1006:$BO$1006,0)))),"Fix")))</f>
        <v>0</v>
      </c>
      <c r="Z498" s="4">
        <f>IF(OR(INDEX($AH$2:$AH$1001,MATCH(ROWS($AG$2:AG498),$AG$2:$AG$1001,0),1)&gt;=100000,INDEX($AN$1005:$BO$1005,1,MATCH(COLUMNS($AN$1006:BL1006),$AN$1006:$BO$1006,0))&gt;=100000), " ",IF(INDEX($AN$2:$BO$1001,MATCH(ROWS($AG$2:AG498),$AG$2:$AG$1001,0),MATCH(COLUMNS($AN$1006:BL1006),$AN$1006:$BO$1006,0)), HYPERLINK("#",""), HYPERLINK(CONCATENATE("#Metadata!", ADDRESS(INDEX($AI$2:$AI$1001,MATCH(ROWS($AG$2:AG498),$AG$2:$AG$1001,0),0), INDEX($AN$1004:$BO$1004,1,MATCH(COLUMNS($AN$1006:BL1006),$AN$1006:$BO$1006,0)))),"Fix")))</f>
        <v>0</v>
      </c>
      <c r="AA498" s="4">
        <f>IF(OR(INDEX($AH$2:$AH$1001,MATCH(ROWS($AG$2:AG498),$AG$2:$AG$1001,0),1)&gt;=100000,INDEX($AN$1005:$BO$1005,1,MATCH(COLUMNS($AN$1006:BM1006),$AN$1006:$BO$1006,0))&gt;=100000), " ",IF(INDEX($AN$2:$BO$1001,MATCH(ROWS($AG$2:AG498),$AG$2:$AG$1001,0),MATCH(COLUMNS($AN$1006:BM1006),$AN$1006:$BO$1006,0)), HYPERLINK("#",""), HYPERLINK(CONCATENATE("#Metadata!", ADDRESS(INDEX($AI$2:$AI$1001,MATCH(ROWS($AG$2:AG498),$AG$2:$AG$1001,0),0), INDEX($AN$1004:$BO$1004,1,MATCH(COLUMNS($AN$1006:BM1006),$AN$1006:$BO$1006,0)))),"Fix")))</f>
        <v>0</v>
      </c>
      <c r="AB498" s="4">
        <f>IF(OR(INDEX($AH$2:$AH$1001,MATCH(ROWS($AG$2:AG498),$AG$2:$AG$1001,0),1)&gt;=100000,INDEX($AN$1005:$BO$1005,1,MATCH(COLUMNS($AN$1006:BN1006),$AN$1006:$BO$1006,0))&gt;=100000), " ",IF(INDEX($AN$2:$BO$1001,MATCH(ROWS($AG$2:AG498),$AG$2:$AG$1001,0),MATCH(COLUMNS($AN$1006:BN1006),$AN$1006:$BO$1006,0)), HYPERLINK("#",""), HYPERLINK(CONCATENATE("#Metadata!", ADDRESS(INDEX($AI$2:$AI$1001,MATCH(ROWS($AG$2:AG498),$AG$2:$AG$1001,0),0), INDEX($AN$1004:$BO$1004,1,MATCH(COLUMNS($AN$1006:BN1006),$AN$1006:$BO$1006,0)))),"Fix")))</f>
        <v>0</v>
      </c>
      <c r="AC498" s="4">
        <f>IF(OR(INDEX($AH$2:$AH$1001,MATCH(ROWS($AG$2:AG498),$AG$2:$AG$1001,0),1)&gt;=100000,INDEX($AN$1005:$BO$1005,1,MATCH(COLUMNS($AN$1006:BO1006),$AN$1006:$BO$1006,0))&gt;=100000), " ",IF(INDEX($AN$2:$BO$1001,MATCH(ROWS($AG$2:AG498),$AG$2:$AG$1001,0),MATCH(COLUMNS($AN$1006:BO1006),$AN$1006:$BO$1006,0)), HYPERLINK("#",""), HYPERLINK(CONCATENATE("#Metadata!", ADDRESS(INDEX($AI$2:$AI$1001,MATCH(ROWS($AG$2:AG498),$AG$2:$AG$1001,0),0), INDEX($AN$1004:$BO$1004,1,MATCH(COLUMNS($AN$1006:BO1006),$AN$1006:$BO$1006,0)))),"Fix")))</f>
        <v>0</v>
      </c>
      <c r="AG498">
        <v>0</v>
      </c>
      <c r="AH498">
        <v>0</v>
      </c>
      <c r="AI498">
        <v>0</v>
      </c>
      <c r="AJ498">
        <f>IF(AK498,TRUE,AND(AN498:BO498))</f>
        <v>0</v>
      </c>
      <c r="AK498">
        <f>COUNTBLANK(Metadata!B498:AC498)=COLUMNS(Metadata!B498:AC498)</f>
        <v>0</v>
      </c>
      <c r="AL498">
        <v>0</v>
      </c>
      <c r="AN498">
        <f>AND(IF(Metadata!B498="",FALSE,TRUE),COUNTIF(Metadata!B:B, Metadata!B498) = 1,NOT(ISERROR(SUMPRODUCT(SEARCH(MID(Metadata!B498,ROW(INDIRECT("1:"&amp;LEN(Metadata!B498))), 1),"0123456789abcdefghijklmnopqrstuvwxyzABCDEFGHIJKLMNOPQRSTUVWXYZ.")))))</f>
        <v>0</v>
      </c>
      <c r="AO498">
        <f>IF(Metadata!C498="",FALSE,TRUE)</f>
        <v>0</v>
      </c>
      <c r="AP498">
        <f>IF(Metadata!D498="",FALSE,TRUE)</f>
        <v>0</v>
      </c>
      <c r="AQ498">
        <f>OR(AND(IF(Metadata!E498="",FALSE,TRUE),OR(exact(Metadata!E498,"not collected"),exact(Metadata!E498,"not provided"),exact(Metadata!E498,"restricted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R498">
        <f>IF(Metadata!F498="",FALSE,TRUE)</f>
        <v>0</v>
      </c>
      <c r="AS498">
        <f>OR(AND(IF(Metadata!G498="",FALSE,TRUE),OR(exact(Metadata!G498,"not collected"),exact(Metadata!G498,"not provided"))),AND(IF(Metadata!G498="",FALSE,TRUE),OR(exact(Metadata!G498,"TRUE"),exact(Metadata!G498,"FALSE"))))</f>
        <v>0</v>
      </c>
      <c r="AT498">
        <f>OR(AND(IF(Metadata!H498="",FALSE,TRUE),OR(exact(Metadata!H498,"not collected"),exact(Metadata!H498,"not provided"),exact(Metadata!H498,"restricted access"))),AND(IF(Metadata!H498="",FALSE,ISNUMBER(VALUE(Metadata!H498))),Metadata!H498&gt;=-413.0))</f>
        <v>0</v>
      </c>
      <c r="AU498">
        <f>AND(IF(Metadata!I498="",FALSE,TRUE),exact(Metadata!I498,"meters"))</f>
        <v>0</v>
      </c>
      <c r="AV498">
        <f>AND(IF(Metadata!J498="",FALSE,TRUE),OR(exact(Metadata!J498,"Host-associated"),exact(Metadata!J498,"Free-living")))</f>
        <v>0</v>
      </c>
      <c r="AW498">
        <f>AND(IF(Metadata!K498="",FALSE,TRUE),OR(exact(Metadata!K498,"Animal"),exact(Metadata!K498,"Fungus"),exact(Metadata!K498,"Plant"),exact(Metadata!K498,"Saline"),exact(Metadata!K498,"Non-saline")))</f>
        <v>0</v>
      </c>
      <c r="AX498">
        <f>AND(IF(Metadata!L498="",FALSE,TRUE),OR(exact(Metadata!L498,"Plant secretion"),exact(Metadata!L498,"Plant rhizosphere"),exact(Metadata!L498,"Plant surface"),exact(Metadata!L498,"Plant corpus"),exact(Metadata!L498,"Fungus surface"),exact(Metadata!L498,"Fungus corpus"),exact(Metadata!L498,"Animal surface"),exact(Metadata!L498,"Animal proximal gut"),exact(Metadata!L498,"Animal corpus"),exact(Metadata!L498,"Animal distal gut"),exact(Metadata!L498,"Animal secretion"),exact(Metadata!L498,"Sub-surface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Y498">
        <f>IF(Metadata!M498="",FALSE,TRUE)</f>
        <v>0</v>
      </c>
      <c r="AZ498">
        <f>IF(Metadata!N498="",FALSE,TRUE)</f>
        <v>0</v>
      </c>
      <c r="BA498">
        <f>IF(Metadata!O498="",FALSE,TRUE)</f>
        <v>0</v>
      </c>
      <c r="BB498">
        <f>OR(AND(IF(Metadata!P498="",FALSE,TRUE),OR(exact(Metadata!P498,"not collected"),exact(Metadata!P498,"not provided"),exact(Metadata!P498,"restricted access"))),AND(IF(Metadata!P498="",FALSE,TRUE),OR(exact(Metadata!P498,"air"),exact(Metadata!P498,"built environment"),exact(Metadata!P498,"host-associated"),exact(Metadata!P498,"human-associated"),exact(Metadata!P498,"human-skin"),exact(Metadata!P498,"human-oral"),exact(Metadata!P498,"human-gut"),exact(Metadata!P498,"human-vaginal"),exact(Metadata!P498,"microbial mat/biofilm"),exact(Metadata!P498,"misc environment"),exact(Metadata!P498,"plant-associated"),exact(Metadata!P498,"sediment"),exact(Metadata!P498,"soil"),exact(Metadata!P498,"wastewater/sludge"),exact(Metadata!P498,"water"))))</f>
        <v>0</v>
      </c>
      <c r="BC498">
        <f>IF(Metadata!Q498="",FALSE,TRUE)</f>
        <v>0</v>
      </c>
      <c r="BD498">
        <f>IF(Metadata!R498="",FALSE,TRUE)</f>
        <v>0</v>
      </c>
      <c r="BE498">
        <f>OR(AND(IF(Metadata!S498="",FALSE,TRUE),OR(exact(Metadata!S498,"not collected"),exact(Metadata!S498,"not provided"),exact(Metadata!S498,"restricted access"))),AND(IF(Metadata!S498="",FALSE,ISNUMBER(VALUE(Metadata!S498))),Metadata!S498&gt;=-90.00,Metadata!S498&lt;=90.00))</f>
        <v>0</v>
      </c>
      <c r="BF498">
        <f>AND(IF(Metadata!T498="",FALSE,TRUE),exact(Metadata!T498,"Decimal degrees"))</f>
        <v>0</v>
      </c>
      <c r="BG498">
        <f>OR(AND(IF(Metadata!U498="",FALSE,TRUE),OR(exact(Metadata!U498,"not collected"),exact(Metadata!U498,"not provided"),exact(Metadata!U498,"restricted access"))),AND(IF(Metadata!U498="",FALSE,ISNUMBER(VALUE(Metadata!U498))),Metadata!U498&gt;=-180.00,Metadata!U498&lt;=180.00))</f>
        <v>0</v>
      </c>
      <c r="BH498">
        <f>AND(IF(Metadata!V498="",FALSE,TRUE),exact(Metadata!V498,"Decimal degrees"))</f>
        <v>0</v>
      </c>
      <c r="BI498">
        <f>IF(Metadata!W498="",FALSE,TRUE)</f>
        <v>0</v>
      </c>
      <c r="BJ498">
        <f>OR(AND(IF(Metadata!X498="",FALSE,TRUE),OR(exact(Metadata!X498,"not collected"),exact(Metadata!X498,"not provided"),exact(Metadata!X498,"restricted access"))),AND(IF(Metadata!X498="",FALSE,TRUE),OR(exact(Metadata!X498,"TRUE"),exact(Metadata!X498,"FALSE"))))</f>
        <v>0</v>
      </c>
      <c r="BK498">
        <f>AND(IF(Metadata!Y498="",FALSE,TRUE),exact(Metadata!Y498,"other"))</f>
        <v>0</v>
      </c>
      <c r="BL498">
        <f>IF(Metadata!Z498="",FALSE,TRUE)</f>
        <v>0</v>
      </c>
      <c r="BM498">
        <f>OR(AND(IF(Metadata!AA498="",FALSE,TRUE),OR(exact(Metadata!AA498,"not collected"),exact(Metadata!AA498,"not provided"))),AND(IF(Metadata!AA498="",FALSE,IF(ISERROR(INT(Metadata!AA498)),FALSE,INT(Metadata!AA498)=Metadata!AA498)),Metadata!AA498&gt;0))</f>
        <v>0</v>
      </c>
      <c r="BN498">
        <f>AND(IF(Metadata!AB498="",FALSE,TRUE),exact(Metadata!AB498,"Not applicable"))</f>
        <v>0</v>
      </c>
      <c r="BO498">
        <f>IF(Metadata!AC498="",FALSE,TRUE)</f>
        <v>0</v>
      </c>
    </row>
    <row r="499" spans="1:67">
      <c r="A499" s="5">
        <f>IF(B499=" "," ",HYPERLINK(CONCATENATE("#metadata!",ADDRESS(INDEX($AI$2:$AI$1001,MATCH(ROWS($AG$2:AG499),$AG$2:$AG$1001,0),0),1)),INDEX($AL$2:$AL$1001,MATCH(ROWS($AG$2:AG499),$AG$2:$AG$1001,0),0)))</f>
        <v>0</v>
      </c>
      <c r="B499" s="4">
        <f>IF(OR(INDEX($AH$2:$AH$1001,MATCH(ROWS($AG$2:AG499),$AG$2:$AG$1001,0),1)&gt;=100000,INDEX($AN$1005:$BO$1005,1,MATCH(COLUMNS($AN$1006:AN1006),$AN$1006:$BO$1006,0))&gt;=100000), " ",IF(INDEX($AN$2:$BO$1001,MATCH(ROWS($AG$2:AG499),$AG$2:$AG$1001,0),MATCH(COLUMNS($AN$1006:AN1006),$AN$1006:$BO$1006,0)), HYPERLINK("#",""), HYPERLINK(CONCATENATE("#Metadata!", ADDRESS(INDEX($AI$2:$AI$1001,MATCH(ROWS($AG$2:AG499),$AG$2:$AG$1001,0),0), INDEX($AN$1004:$BO$1004,1,MATCH(COLUMNS($AN$1006:AN1006),$AN$1006:$BO$1006,0)))),"Fix")))</f>
        <v>0</v>
      </c>
      <c r="C499" s="4">
        <f>IF(OR(INDEX($AH$2:$AH$1001,MATCH(ROWS($AG$2:AG499),$AG$2:$AG$1001,0),1)&gt;=100000,INDEX($AN$1005:$BO$1005,1,MATCH(COLUMNS($AN$1006:AO1006),$AN$1006:$BO$1006,0))&gt;=100000), " ",IF(INDEX($AN$2:$BO$1001,MATCH(ROWS($AG$2:AG499),$AG$2:$AG$1001,0),MATCH(COLUMNS($AN$1006:AO1006),$AN$1006:$BO$1006,0)), HYPERLINK("#",""), HYPERLINK(CONCATENATE("#Metadata!", ADDRESS(INDEX($AI$2:$AI$1001,MATCH(ROWS($AG$2:AG499),$AG$2:$AG$1001,0),0), INDEX($AN$1004:$BO$1004,1,MATCH(COLUMNS($AN$1006:AO1006),$AN$1006:$BO$1006,0)))),"Fix")))</f>
        <v>0</v>
      </c>
      <c r="D499" s="4">
        <f>IF(OR(INDEX($AH$2:$AH$1001,MATCH(ROWS($AG$2:AG499),$AG$2:$AG$1001,0),1)&gt;=100000,INDEX($AN$1005:$BO$1005,1,MATCH(COLUMNS($AN$1006:AP1006),$AN$1006:$BO$1006,0))&gt;=100000), " ",IF(INDEX($AN$2:$BO$1001,MATCH(ROWS($AG$2:AG499),$AG$2:$AG$1001,0),MATCH(COLUMNS($AN$1006:AP1006),$AN$1006:$BO$1006,0)), HYPERLINK("#",""), HYPERLINK(CONCATENATE("#Metadata!", ADDRESS(INDEX($AI$2:$AI$1001,MATCH(ROWS($AG$2:AG499),$AG$2:$AG$1001,0),0), INDEX($AN$1004:$BO$1004,1,MATCH(COLUMNS($AN$1006:AP1006),$AN$1006:$BO$1006,0)))),"Fix")))</f>
        <v>0</v>
      </c>
      <c r="E499" s="4">
        <f>IF(OR(INDEX($AH$2:$AH$1001,MATCH(ROWS($AG$2:AG499),$AG$2:$AG$1001,0),1)&gt;=100000,INDEX($AN$1005:$BO$1005,1,MATCH(COLUMNS($AN$1006:AQ1006),$AN$1006:$BO$1006,0))&gt;=100000), " ",IF(INDEX($AN$2:$BO$1001,MATCH(ROWS($AG$2:AG499),$AG$2:$AG$1001,0),MATCH(COLUMNS($AN$1006:AQ1006),$AN$1006:$BO$1006,0)), HYPERLINK("#",""), HYPERLINK(CONCATENATE("#Metadata!", ADDRESS(INDEX($AI$2:$AI$1001,MATCH(ROWS($AG$2:AG499),$AG$2:$AG$1001,0),0), INDEX($AN$1004:$BO$1004,1,MATCH(COLUMNS($AN$1006:AQ1006),$AN$1006:$BO$1006,0)))),"Fix")))</f>
        <v>0</v>
      </c>
      <c r="F499" s="4">
        <f>IF(OR(INDEX($AH$2:$AH$1001,MATCH(ROWS($AG$2:AG499),$AG$2:$AG$1001,0),1)&gt;=100000,INDEX($AN$1005:$BO$1005,1,MATCH(COLUMNS($AN$1006:AR1006),$AN$1006:$BO$1006,0))&gt;=100000), " ",IF(INDEX($AN$2:$BO$1001,MATCH(ROWS($AG$2:AG499),$AG$2:$AG$1001,0),MATCH(COLUMNS($AN$1006:AR1006),$AN$1006:$BO$1006,0)), HYPERLINK("#",""), HYPERLINK(CONCATENATE("#Metadata!", ADDRESS(INDEX($AI$2:$AI$1001,MATCH(ROWS($AG$2:AG499),$AG$2:$AG$1001,0),0), INDEX($AN$1004:$BO$1004,1,MATCH(COLUMNS($AN$1006:AR1006),$AN$1006:$BO$1006,0)))),"Fix")))</f>
        <v>0</v>
      </c>
      <c r="G499" s="4">
        <f>IF(OR(INDEX($AH$2:$AH$1001,MATCH(ROWS($AG$2:AG499),$AG$2:$AG$1001,0),1)&gt;=100000,INDEX($AN$1005:$BO$1005,1,MATCH(COLUMNS($AN$1006:AS1006),$AN$1006:$BO$1006,0))&gt;=100000), " ",IF(INDEX($AN$2:$BO$1001,MATCH(ROWS($AG$2:AG499),$AG$2:$AG$1001,0),MATCH(COLUMNS($AN$1006:AS1006),$AN$1006:$BO$1006,0)), HYPERLINK("#",""), HYPERLINK(CONCATENATE("#Metadata!", ADDRESS(INDEX($AI$2:$AI$1001,MATCH(ROWS($AG$2:AG499),$AG$2:$AG$1001,0),0), INDEX($AN$1004:$BO$1004,1,MATCH(COLUMNS($AN$1006:AS1006),$AN$1006:$BO$1006,0)))),"Fix")))</f>
        <v>0</v>
      </c>
      <c r="H499" s="4">
        <f>IF(OR(INDEX($AH$2:$AH$1001,MATCH(ROWS($AG$2:AG499),$AG$2:$AG$1001,0),1)&gt;=100000,INDEX($AN$1005:$BO$1005,1,MATCH(COLUMNS($AN$1006:AT1006),$AN$1006:$BO$1006,0))&gt;=100000), " ",IF(INDEX($AN$2:$BO$1001,MATCH(ROWS($AG$2:AG499),$AG$2:$AG$1001,0),MATCH(COLUMNS($AN$1006:AT1006),$AN$1006:$BO$1006,0)), HYPERLINK("#",""), HYPERLINK(CONCATENATE("#Metadata!", ADDRESS(INDEX($AI$2:$AI$1001,MATCH(ROWS($AG$2:AG499),$AG$2:$AG$1001,0),0), INDEX($AN$1004:$BO$1004,1,MATCH(COLUMNS($AN$1006:AT1006),$AN$1006:$BO$1006,0)))),"Fix")))</f>
        <v>0</v>
      </c>
      <c r="I499" s="4">
        <f>IF(OR(INDEX($AH$2:$AH$1001,MATCH(ROWS($AG$2:AG499),$AG$2:$AG$1001,0),1)&gt;=100000,INDEX($AN$1005:$BO$1005,1,MATCH(COLUMNS($AN$1006:AU1006),$AN$1006:$BO$1006,0))&gt;=100000), " ",IF(INDEX($AN$2:$BO$1001,MATCH(ROWS($AG$2:AG499),$AG$2:$AG$1001,0),MATCH(COLUMNS($AN$1006:AU1006),$AN$1006:$BO$1006,0)), HYPERLINK("#",""), HYPERLINK(CONCATENATE("#Metadata!", ADDRESS(INDEX($AI$2:$AI$1001,MATCH(ROWS($AG$2:AG499),$AG$2:$AG$1001,0),0), INDEX($AN$1004:$BO$1004,1,MATCH(COLUMNS($AN$1006:AU1006),$AN$1006:$BO$1006,0)))),"Fix")))</f>
        <v>0</v>
      </c>
      <c r="J499" s="4">
        <f>IF(OR(INDEX($AH$2:$AH$1001,MATCH(ROWS($AG$2:AG499),$AG$2:$AG$1001,0),1)&gt;=100000,INDEX($AN$1005:$BO$1005,1,MATCH(COLUMNS($AN$1006:AV1006),$AN$1006:$BO$1006,0))&gt;=100000), " ",IF(INDEX($AN$2:$BO$1001,MATCH(ROWS($AG$2:AG499),$AG$2:$AG$1001,0),MATCH(COLUMNS($AN$1006:AV1006),$AN$1006:$BO$1006,0)), HYPERLINK("#",""), HYPERLINK(CONCATENATE("#Metadata!", ADDRESS(INDEX($AI$2:$AI$1001,MATCH(ROWS($AG$2:AG499),$AG$2:$AG$1001,0),0), INDEX($AN$1004:$BO$1004,1,MATCH(COLUMNS($AN$1006:AV1006),$AN$1006:$BO$1006,0)))),"Fix")))</f>
        <v>0</v>
      </c>
      <c r="K499" s="4">
        <f>IF(OR(INDEX($AH$2:$AH$1001,MATCH(ROWS($AG$2:AG499),$AG$2:$AG$1001,0),1)&gt;=100000,INDEX($AN$1005:$BO$1005,1,MATCH(COLUMNS($AN$1006:AW1006),$AN$1006:$BO$1006,0))&gt;=100000), " ",IF(INDEX($AN$2:$BO$1001,MATCH(ROWS($AG$2:AG499),$AG$2:$AG$1001,0),MATCH(COLUMNS($AN$1006:AW1006),$AN$1006:$BO$1006,0)), HYPERLINK("#",""), HYPERLINK(CONCATENATE("#Metadata!", ADDRESS(INDEX($AI$2:$AI$1001,MATCH(ROWS($AG$2:AG499),$AG$2:$AG$1001,0),0), INDEX($AN$1004:$BO$1004,1,MATCH(COLUMNS($AN$1006:AW1006),$AN$1006:$BO$1006,0)))),"Fix")))</f>
        <v>0</v>
      </c>
      <c r="L499" s="4">
        <f>IF(OR(INDEX($AH$2:$AH$1001,MATCH(ROWS($AG$2:AG499),$AG$2:$AG$1001,0),1)&gt;=100000,INDEX($AN$1005:$BO$1005,1,MATCH(COLUMNS($AN$1006:AX1006),$AN$1006:$BO$1006,0))&gt;=100000), " ",IF(INDEX($AN$2:$BO$1001,MATCH(ROWS($AG$2:AG499),$AG$2:$AG$1001,0),MATCH(COLUMNS($AN$1006:AX1006),$AN$1006:$BO$1006,0)), HYPERLINK("#",""), HYPERLINK(CONCATENATE("#Metadata!", ADDRESS(INDEX($AI$2:$AI$1001,MATCH(ROWS($AG$2:AG499),$AG$2:$AG$1001,0),0), INDEX($AN$1004:$BO$1004,1,MATCH(COLUMNS($AN$1006:AX1006),$AN$1006:$BO$1006,0)))),"Fix")))</f>
        <v>0</v>
      </c>
      <c r="M499" s="4">
        <f>IF(OR(INDEX($AH$2:$AH$1001,MATCH(ROWS($AG$2:AG499),$AG$2:$AG$1001,0),1)&gt;=100000,INDEX($AN$1005:$BO$1005,1,MATCH(COLUMNS($AN$1006:AY1006),$AN$1006:$BO$1006,0))&gt;=100000), " ",IF(INDEX($AN$2:$BO$1001,MATCH(ROWS($AG$2:AG499),$AG$2:$AG$1001,0),MATCH(COLUMNS($AN$1006:AY1006),$AN$1006:$BO$1006,0)), HYPERLINK("#",""), HYPERLINK(CONCATENATE("#Metadata!", ADDRESS(INDEX($AI$2:$AI$1001,MATCH(ROWS($AG$2:AG499),$AG$2:$AG$1001,0),0), INDEX($AN$1004:$BO$1004,1,MATCH(COLUMNS($AN$1006:AY1006),$AN$1006:$BO$1006,0)))),"Fix")))</f>
        <v>0</v>
      </c>
      <c r="N499" s="4">
        <f>IF(OR(INDEX($AH$2:$AH$1001,MATCH(ROWS($AG$2:AG499),$AG$2:$AG$1001,0),1)&gt;=100000,INDEX($AN$1005:$BO$1005,1,MATCH(COLUMNS($AN$1006:AZ1006),$AN$1006:$BO$1006,0))&gt;=100000), " ",IF(INDEX($AN$2:$BO$1001,MATCH(ROWS($AG$2:AG499),$AG$2:$AG$1001,0),MATCH(COLUMNS($AN$1006:AZ1006),$AN$1006:$BO$1006,0)), HYPERLINK("#",""), HYPERLINK(CONCATENATE("#Metadata!", ADDRESS(INDEX($AI$2:$AI$1001,MATCH(ROWS($AG$2:AG499),$AG$2:$AG$1001,0),0), INDEX($AN$1004:$BO$1004,1,MATCH(COLUMNS($AN$1006:AZ1006),$AN$1006:$BO$1006,0)))),"Fix")))</f>
        <v>0</v>
      </c>
      <c r="O499" s="4">
        <f>IF(OR(INDEX($AH$2:$AH$1001,MATCH(ROWS($AG$2:AG499),$AG$2:$AG$1001,0),1)&gt;=100000,INDEX($AN$1005:$BO$1005,1,MATCH(COLUMNS($AN$1006:BA1006),$AN$1006:$BO$1006,0))&gt;=100000), " ",IF(INDEX($AN$2:$BO$1001,MATCH(ROWS($AG$2:AG499),$AG$2:$AG$1001,0),MATCH(COLUMNS($AN$1006:BA1006),$AN$1006:$BO$1006,0)), HYPERLINK("#",""), HYPERLINK(CONCATENATE("#Metadata!", ADDRESS(INDEX($AI$2:$AI$1001,MATCH(ROWS($AG$2:AG499),$AG$2:$AG$1001,0),0), INDEX($AN$1004:$BO$1004,1,MATCH(COLUMNS($AN$1006:BA1006),$AN$1006:$BO$1006,0)))),"Fix")))</f>
        <v>0</v>
      </c>
      <c r="P499" s="4">
        <f>IF(OR(INDEX($AH$2:$AH$1001,MATCH(ROWS($AG$2:AG499),$AG$2:$AG$1001,0),1)&gt;=100000,INDEX($AN$1005:$BO$1005,1,MATCH(COLUMNS($AN$1006:BB1006),$AN$1006:$BO$1006,0))&gt;=100000), " ",IF(INDEX($AN$2:$BO$1001,MATCH(ROWS($AG$2:AG499),$AG$2:$AG$1001,0),MATCH(COLUMNS($AN$1006:BB1006),$AN$1006:$BO$1006,0)), HYPERLINK("#",""), HYPERLINK(CONCATENATE("#Metadata!", ADDRESS(INDEX($AI$2:$AI$1001,MATCH(ROWS($AG$2:AG499),$AG$2:$AG$1001,0),0), INDEX($AN$1004:$BO$1004,1,MATCH(COLUMNS($AN$1006:BB1006),$AN$1006:$BO$1006,0)))),"Fix")))</f>
        <v>0</v>
      </c>
      <c r="Q499" s="4">
        <f>IF(OR(INDEX($AH$2:$AH$1001,MATCH(ROWS($AG$2:AG499),$AG$2:$AG$1001,0),1)&gt;=100000,INDEX($AN$1005:$BO$1005,1,MATCH(COLUMNS($AN$1006:BC1006),$AN$1006:$BO$1006,0))&gt;=100000), " ",IF(INDEX($AN$2:$BO$1001,MATCH(ROWS($AG$2:AG499),$AG$2:$AG$1001,0),MATCH(COLUMNS($AN$1006:BC1006),$AN$1006:$BO$1006,0)), HYPERLINK("#",""), HYPERLINK(CONCATENATE("#Metadata!", ADDRESS(INDEX($AI$2:$AI$1001,MATCH(ROWS($AG$2:AG499),$AG$2:$AG$1001,0),0), INDEX($AN$1004:$BO$1004,1,MATCH(COLUMNS($AN$1006:BC1006),$AN$1006:$BO$1006,0)))),"Fix")))</f>
        <v>0</v>
      </c>
      <c r="R499" s="4">
        <f>IF(OR(INDEX($AH$2:$AH$1001,MATCH(ROWS($AG$2:AG499),$AG$2:$AG$1001,0),1)&gt;=100000,INDEX($AN$1005:$BO$1005,1,MATCH(COLUMNS($AN$1006:BD1006),$AN$1006:$BO$1006,0))&gt;=100000), " ",IF(INDEX($AN$2:$BO$1001,MATCH(ROWS($AG$2:AG499),$AG$2:$AG$1001,0),MATCH(COLUMNS($AN$1006:BD1006),$AN$1006:$BO$1006,0)), HYPERLINK("#",""), HYPERLINK(CONCATENATE("#Metadata!", ADDRESS(INDEX($AI$2:$AI$1001,MATCH(ROWS($AG$2:AG499),$AG$2:$AG$1001,0),0), INDEX($AN$1004:$BO$1004,1,MATCH(COLUMNS($AN$1006:BD1006),$AN$1006:$BO$1006,0)))),"Fix")))</f>
        <v>0</v>
      </c>
      <c r="S499" s="4">
        <f>IF(OR(INDEX($AH$2:$AH$1001,MATCH(ROWS($AG$2:AG499),$AG$2:$AG$1001,0),1)&gt;=100000,INDEX($AN$1005:$BO$1005,1,MATCH(COLUMNS($AN$1006:BE1006),$AN$1006:$BO$1006,0))&gt;=100000), " ",IF(INDEX($AN$2:$BO$1001,MATCH(ROWS($AG$2:AG499),$AG$2:$AG$1001,0),MATCH(COLUMNS($AN$1006:BE1006),$AN$1006:$BO$1006,0)), HYPERLINK("#",""), HYPERLINK(CONCATENATE("#Metadata!", ADDRESS(INDEX($AI$2:$AI$1001,MATCH(ROWS($AG$2:AG499),$AG$2:$AG$1001,0),0), INDEX($AN$1004:$BO$1004,1,MATCH(COLUMNS($AN$1006:BE1006),$AN$1006:$BO$1006,0)))),"Fix")))</f>
        <v>0</v>
      </c>
      <c r="T499" s="4">
        <f>IF(OR(INDEX($AH$2:$AH$1001,MATCH(ROWS($AG$2:AG499),$AG$2:$AG$1001,0),1)&gt;=100000,INDEX($AN$1005:$BO$1005,1,MATCH(COLUMNS($AN$1006:BF1006),$AN$1006:$BO$1006,0))&gt;=100000), " ",IF(INDEX($AN$2:$BO$1001,MATCH(ROWS($AG$2:AG499),$AG$2:$AG$1001,0),MATCH(COLUMNS($AN$1006:BF1006),$AN$1006:$BO$1006,0)), HYPERLINK("#",""), HYPERLINK(CONCATENATE("#Metadata!", ADDRESS(INDEX($AI$2:$AI$1001,MATCH(ROWS($AG$2:AG499),$AG$2:$AG$1001,0),0), INDEX($AN$1004:$BO$1004,1,MATCH(COLUMNS($AN$1006:BF1006),$AN$1006:$BO$1006,0)))),"Fix")))</f>
        <v>0</v>
      </c>
      <c r="U499" s="4">
        <f>IF(OR(INDEX($AH$2:$AH$1001,MATCH(ROWS($AG$2:AG499),$AG$2:$AG$1001,0),1)&gt;=100000,INDEX($AN$1005:$BO$1005,1,MATCH(COLUMNS($AN$1006:BG1006),$AN$1006:$BO$1006,0))&gt;=100000), " ",IF(INDEX($AN$2:$BO$1001,MATCH(ROWS($AG$2:AG499),$AG$2:$AG$1001,0),MATCH(COLUMNS($AN$1006:BG1006),$AN$1006:$BO$1006,0)), HYPERLINK("#",""), HYPERLINK(CONCATENATE("#Metadata!", ADDRESS(INDEX($AI$2:$AI$1001,MATCH(ROWS($AG$2:AG499),$AG$2:$AG$1001,0),0), INDEX($AN$1004:$BO$1004,1,MATCH(COLUMNS($AN$1006:BG1006),$AN$1006:$BO$1006,0)))),"Fix")))</f>
        <v>0</v>
      </c>
      <c r="V499" s="4">
        <f>IF(OR(INDEX($AH$2:$AH$1001,MATCH(ROWS($AG$2:AG499),$AG$2:$AG$1001,0),1)&gt;=100000,INDEX($AN$1005:$BO$1005,1,MATCH(COLUMNS($AN$1006:BH1006),$AN$1006:$BO$1006,0))&gt;=100000), " ",IF(INDEX($AN$2:$BO$1001,MATCH(ROWS($AG$2:AG499),$AG$2:$AG$1001,0),MATCH(COLUMNS($AN$1006:BH1006),$AN$1006:$BO$1006,0)), HYPERLINK("#",""), HYPERLINK(CONCATENATE("#Metadata!", ADDRESS(INDEX($AI$2:$AI$1001,MATCH(ROWS($AG$2:AG499),$AG$2:$AG$1001,0),0), INDEX($AN$1004:$BO$1004,1,MATCH(COLUMNS($AN$1006:BH1006),$AN$1006:$BO$1006,0)))),"Fix")))</f>
        <v>0</v>
      </c>
      <c r="W499" s="4">
        <f>IF(OR(INDEX($AH$2:$AH$1001,MATCH(ROWS($AG$2:AG499),$AG$2:$AG$1001,0),1)&gt;=100000,INDEX($AN$1005:$BO$1005,1,MATCH(COLUMNS($AN$1006:BI1006),$AN$1006:$BO$1006,0))&gt;=100000), " ",IF(INDEX($AN$2:$BO$1001,MATCH(ROWS($AG$2:AG499),$AG$2:$AG$1001,0),MATCH(COLUMNS($AN$1006:BI1006),$AN$1006:$BO$1006,0)), HYPERLINK("#",""), HYPERLINK(CONCATENATE("#Metadata!", ADDRESS(INDEX($AI$2:$AI$1001,MATCH(ROWS($AG$2:AG499),$AG$2:$AG$1001,0),0), INDEX($AN$1004:$BO$1004,1,MATCH(COLUMNS($AN$1006:BI1006),$AN$1006:$BO$1006,0)))),"Fix")))</f>
        <v>0</v>
      </c>
      <c r="X499" s="4">
        <f>IF(OR(INDEX($AH$2:$AH$1001,MATCH(ROWS($AG$2:AG499),$AG$2:$AG$1001,0),1)&gt;=100000,INDEX($AN$1005:$BO$1005,1,MATCH(COLUMNS($AN$1006:BJ1006),$AN$1006:$BO$1006,0))&gt;=100000), " ",IF(INDEX($AN$2:$BO$1001,MATCH(ROWS($AG$2:AG499),$AG$2:$AG$1001,0),MATCH(COLUMNS($AN$1006:BJ1006),$AN$1006:$BO$1006,0)), HYPERLINK("#",""), HYPERLINK(CONCATENATE("#Metadata!", ADDRESS(INDEX($AI$2:$AI$1001,MATCH(ROWS($AG$2:AG499),$AG$2:$AG$1001,0),0), INDEX($AN$1004:$BO$1004,1,MATCH(COLUMNS($AN$1006:BJ1006),$AN$1006:$BO$1006,0)))),"Fix")))</f>
        <v>0</v>
      </c>
      <c r="Y499" s="4">
        <f>IF(OR(INDEX($AH$2:$AH$1001,MATCH(ROWS($AG$2:AG499),$AG$2:$AG$1001,0),1)&gt;=100000,INDEX($AN$1005:$BO$1005,1,MATCH(COLUMNS($AN$1006:BK1006),$AN$1006:$BO$1006,0))&gt;=100000), " ",IF(INDEX($AN$2:$BO$1001,MATCH(ROWS($AG$2:AG499),$AG$2:$AG$1001,0),MATCH(COLUMNS($AN$1006:BK1006),$AN$1006:$BO$1006,0)), HYPERLINK("#",""), HYPERLINK(CONCATENATE("#Metadata!", ADDRESS(INDEX($AI$2:$AI$1001,MATCH(ROWS($AG$2:AG499),$AG$2:$AG$1001,0),0), INDEX($AN$1004:$BO$1004,1,MATCH(COLUMNS($AN$1006:BK1006),$AN$1006:$BO$1006,0)))),"Fix")))</f>
        <v>0</v>
      </c>
      <c r="Z499" s="4">
        <f>IF(OR(INDEX($AH$2:$AH$1001,MATCH(ROWS($AG$2:AG499),$AG$2:$AG$1001,0),1)&gt;=100000,INDEX($AN$1005:$BO$1005,1,MATCH(COLUMNS($AN$1006:BL1006),$AN$1006:$BO$1006,0))&gt;=100000), " ",IF(INDEX($AN$2:$BO$1001,MATCH(ROWS($AG$2:AG499),$AG$2:$AG$1001,0),MATCH(COLUMNS($AN$1006:BL1006),$AN$1006:$BO$1006,0)), HYPERLINK("#",""), HYPERLINK(CONCATENATE("#Metadata!", ADDRESS(INDEX($AI$2:$AI$1001,MATCH(ROWS($AG$2:AG499),$AG$2:$AG$1001,0),0), INDEX($AN$1004:$BO$1004,1,MATCH(COLUMNS($AN$1006:BL1006),$AN$1006:$BO$1006,0)))),"Fix")))</f>
        <v>0</v>
      </c>
      <c r="AA499" s="4">
        <f>IF(OR(INDEX($AH$2:$AH$1001,MATCH(ROWS($AG$2:AG499),$AG$2:$AG$1001,0),1)&gt;=100000,INDEX($AN$1005:$BO$1005,1,MATCH(COLUMNS($AN$1006:BM1006),$AN$1006:$BO$1006,0))&gt;=100000), " ",IF(INDEX($AN$2:$BO$1001,MATCH(ROWS($AG$2:AG499),$AG$2:$AG$1001,0),MATCH(COLUMNS($AN$1006:BM1006),$AN$1006:$BO$1006,0)), HYPERLINK("#",""), HYPERLINK(CONCATENATE("#Metadata!", ADDRESS(INDEX($AI$2:$AI$1001,MATCH(ROWS($AG$2:AG499),$AG$2:$AG$1001,0),0), INDEX($AN$1004:$BO$1004,1,MATCH(COLUMNS($AN$1006:BM1006),$AN$1006:$BO$1006,0)))),"Fix")))</f>
        <v>0</v>
      </c>
      <c r="AB499" s="4">
        <f>IF(OR(INDEX($AH$2:$AH$1001,MATCH(ROWS($AG$2:AG499),$AG$2:$AG$1001,0),1)&gt;=100000,INDEX($AN$1005:$BO$1005,1,MATCH(COLUMNS($AN$1006:BN1006),$AN$1006:$BO$1006,0))&gt;=100000), " ",IF(INDEX($AN$2:$BO$1001,MATCH(ROWS($AG$2:AG499),$AG$2:$AG$1001,0),MATCH(COLUMNS($AN$1006:BN1006),$AN$1006:$BO$1006,0)), HYPERLINK("#",""), HYPERLINK(CONCATENATE("#Metadata!", ADDRESS(INDEX($AI$2:$AI$1001,MATCH(ROWS($AG$2:AG499),$AG$2:$AG$1001,0),0), INDEX($AN$1004:$BO$1004,1,MATCH(COLUMNS($AN$1006:BN1006),$AN$1006:$BO$1006,0)))),"Fix")))</f>
        <v>0</v>
      </c>
      <c r="AC499" s="4">
        <f>IF(OR(INDEX($AH$2:$AH$1001,MATCH(ROWS($AG$2:AG499),$AG$2:$AG$1001,0),1)&gt;=100000,INDEX($AN$1005:$BO$1005,1,MATCH(COLUMNS($AN$1006:BO1006),$AN$1006:$BO$1006,0))&gt;=100000), " ",IF(INDEX($AN$2:$BO$1001,MATCH(ROWS($AG$2:AG499),$AG$2:$AG$1001,0),MATCH(COLUMNS($AN$1006:BO1006),$AN$1006:$BO$1006,0)), HYPERLINK("#",""), HYPERLINK(CONCATENATE("#Metadata!", ADDRESS(INDEX($AI$2:$AI$1001,MATCH(ROWS($AG$2:AG499),$AG$2:$AG$1001,0),0), INDEX($AN$1004:$BO$1004,1,MATCH(COLUMNS($AN$1006:BO1006),$AN$1006:$BO$1006,0)))),"Fix")))</f>
        <v>0</v>
      </c>
      <c r="AG499">
        <v>0</v>
      </c>
      <c r="AH499">
        <v>0</v>
      </c>
      <c r="AI499">
        <v>0</v>
      </c>
      <c r="AJ499">
        <f>IF(AK499,TRUE,AND(AN499:BO499))</f>
        <v>0</v>
      </c>
      <c r="AK499">
        <f>COUNTBLANK(Metadata!B499:AC499)=COLUMNS(Metadata!B499:AC499)</f>
        <v>0</v>
      </c>
      <c r="AL499">
        <v>0</v>
      </c>
      <c r="AN499">
        <f>AND(IF(Metadata!B499="",FALSE,TRUE),COUNTIF(Metadata!B:B, Metadata!B499) = 1,NOT(ISERROR(SUMPRODUCT(SEARCH(MID(Metadata!B499,ROW(INDIRECT("1:"&amp;LEN(Metadata!B499))), 1),"0123456789abcdefghijklmnopqrstuvwxyzABCDEFGHIJKLMNOPQRSTUVWXYZ.")))))</f>
        <v>0</v>
      </c>
      <c r="AO499">
        <f>IF(Metadata!C499="",FALSE,TRUE)</f>
        <v>0</v>
      </c>
      <c r="AP499">
        <f>IF(Metadata!D499="",FALSE,TRUE)</f>
        <v>0</v>
      </c>
      <c r="AQ499">
        <f>OR(AND(IF(Metadata!E499="",FALSE,TRUE),OR(exact(Metadata!E499,"not collected"),exact(Metadata!E499,"not provided"),exact(Metadata!E499,"restricted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R499">
        <f>IF(Metadata!F499="",FALSE,TRUE)</f>
        <v>0</v>
      </c>
      <c r="AS499">
        <f>OR(AND(IF(Metadata!G499="",FALSE,TRUE),OR(exact(Metadata!G499,"not collected"),exact(Metadata!G499,"not provided"))),AND(IF(Metadata!G499="",FALSE,TRUE),OR(exact(Metadata!G499,"TRUE"),exact(Metadata!G499,"FALSE"))))</f>
        <v>0</v>
      </c>
      <c r="AT499">
        <f>OR(AND(IF(Metadata!H499="",FALSE,TRUE),OR(exact(Metadata!H499,"not collected"),exact(Metadata!H499,"not provided"),exact(Metadata!H499,"restricted access"))),AND(IF(Metadata!H499="",FALSE,ISNUMBER(VALUE(Metadata!H499))),Metadata!H499&gt;=-413.0))</f>
        <v>0</v>
      </c>
      <c r="AU499">
        <f>AND(IF(Metadata!I499="",FALSE,TRUE),exact(Metadata!I499,"meters"))</f>
        <v>0</v>
      </c>
      <c r="AV499">
        <f>AND(IF(Metadata!J499="",FALSE,TRUE),OR(exact(Metadata!J499,"Host-associated"),exact(Metadata!J499,"Free-living")))</f>
        <v>0</v>
      </c>
      <c r="AW499">
        <f>AND(IF(Metadata!K499="",FALSE,TRUE),OR(exact(Metadata!K499,"Animal"),exact(Metadata!K499,"Fungus"),exact(Metadata!K499,"Plant"),exact(Metadata!K499,"Saline"),exact(Metadata!K499,"Non-saline")))</f>
        <v>0</v>
      </c>
      <c r="AX499">
        <f>AND(IF(Metadata!L499="",FALSE,TRUE),OR(exact(Metadata!L499,"Plant secretion"),exact(Metadata!L499,"Plant rhizosphere"),exact(Metadata!L499,"Plant surface"),exact(Metadata!L499,"Plant corpus"),exact(Metadata!L499,"Fungus surface"),exact(Metadata!L499,"Fungus corpus"),exact(Metadata!L499,"Animal surface"),exact(Metadata!L499,"Animal proximal gut"),exact(Metadata!L499,"Animal corpus"),exact(Metadata!L499,"Animal distal gut"),exact(Metadata!L499,"Animal secretion"),exact(Metadata!L499,"Sub-surface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Y499">
        <f>IF(Metadata!M499="",FALSE,TRUE)</f>
        <v>0</v>
      </c>
      <c r="AZ499">
        <f>IF(Metadata!N499="",FALSE,TRUE)</f>
        <v>0</v>
      </c>
      <c r="BA499">
        <f>IF(Metadata!O499="",FALSE,TRUE)</f>
        <v>0</v>
      </c>
      <c r="BB499">
        <f>OR(AND(IF(Metadata!P499="",FALSE,TRUE),OR(exact(Metadata!P499,"not collected"),exact(Metadata!P499,"not provided"),exact(Metadata!P499,"restricted access"))),AND(IF(Metadata!P499="",FALSE,TRUE),OR(exact(Metadata!P499,"air"),exact(Metadata!P499,"built environment"),exact(Metadata!P499,"host-associated"),exact(Metadata!P499,"human-associated"),exact(Metadata!P499,"human-skin"),exact(Metadata!P499,"human-oral"),exact(Metadata!P499,"human-gut"),exact(Metadata!P499,"human-vaginal"),exact(Metadata!P499,"microbial mat/biofilm"),exact(Metadata!P499,"misc environment"),exact(Metadata!P499,"plant-associated"),exact(Metadata!P499,"sediment"),exact(Metadata!P499,"soil"),exact(Metadata!P499,"wastewater/sludge"),exact(Metadata!P499,"water"))))</f>
        <v>0</v>
      </c>
      <c r="BC499">
        <f>IF(Metadata!Q499="",FALSE,TRUE)</f>
        <v>0</v>
      </c>
      <c r="BD499">
        <f>IF(Metadata!R499="",FALSE,TRUE)</f>
        <v>0</v>
      </c>
      <c r="BE499">
        <f>OR(AND(IF(Metadata!S499="",FALSE,TRUE),OR(exact(Metadata!S499,"not collected"),exact(Metadata!S499,"not provided"),exact(Metadata!S499,"restricted access"))),AND(IF(Metadata!S499="",FALSE,ISNUMBER(VALUE(Metadata!S499))),Metadata!S499&gt;=-90.00,Metadata!S499&lt;=90.00))</f>
        <v>0</v>
      </c>
      <c r="BF499">
        <f>AND(IF(Metadata!T499="",FALSE,TRUE),exact(Metadata!T499,"Decimal degrees"))</f>
        <v>0</v>
      </c>
      <c r="BG499">
        <f>OR(AND(IF(Metadata!U499="",FALSE,TRUE),OR(exact(Metadata!U499,"not collected"),exact(Metadata!U499,"not provided"),exact(Metadata!U499,"restricted access"))),AND(IF(Metadata!U499="",FALSE,ISNUMBER(VALUE(Metadata!U499))),Metadata!U499&gt;=-180.00,Metadata!U499&lt;=180.00))</f>
        <v>0</v>
      </c>
      <c r="BH499">
        <f>AND(IF(Metadata!V499="",FALSE,TRUE),exact(Metadata!V499,"Decimal degrees"))</f>
        <v>0</v>
      </c>
      <c r="BI499">
        <f>IF(Metadata!W499="",FALSE,TRUE)</f>
        <v>0</v>
      </c>
      <c r="BJ499">
        <f>OR(AND(IF(Metadata!X499="",FALSE,TRUE),OR(exact(Metadata!X499,"not collected"),exact(Metadata!X499,"not provided"),exact(Metadata!X499,"restricted access"))),AND(IF(Metadata!X499="",FALSE,TRUE),OR(exact(Metadata!X499,"TRUE"),exact(Metadata!X499,"FALSE"))))</f>
        <v>0</v>
      </c>
      <c r="BK499">
        <f>AND(IF(Metadata!Y499="",FALSE,TRUE),exact(Metadata!Y499,"other"))</f>
        <v>0</v>
      </c>
      <c r="BL499">
        <f>IF(Metadata!Z499="",FALSE,TRUE)</f>
        <v>0</v>
      </c>
      <c r="BM499">
        <f>OR(AND(IF(Metadata!AA499="",FALSE,TRUE),OR(exact(Metadata!AA499,"not collected"),exact(Metadata!AA499,"not provided"))),AND(IF(Metadata!AA499="",FALSE,IF(ISERROR(INT(Metadata!AA499)),FALSE,INT(Metadata!AA499)=Metadata!AA499)),Metadata!AA499&gt;0))</f>
        <v>0</v>
      </c>
      <c r="BN499">
        <f>AND(IF(Metadata!AB499="",FALSE,TRUE),exact(Metadata!AB499,"Not applicable"))</f>
        <v>0</v>
      </c>
      <c r="BO499">
        <f>IF(Metadata!AC499="",FALSE,TRUE)</f>
        <v>0</v>
      </c>
    </row>
    <row r="500" spans="1:67">
      <c r="A500" s="5">
        <f>IF(B500=" "," ",HYPERLINK(CONCATENATE("#metadata!",ADDRESS(INDEX($AI$2:$AI$1001,MATCH(ROWS($AG$2:AG500),$AG$2:$AG$1001,0),0),1)),INDEX($AL$2:$AL$1001,MATCH(ROWS($AG$2:AG500),$AG$2:$AG$1001,0),0)))</f>
        <v>0</v>
      </c>
      <c r="B500" s="4">
        <f>IF(OR(INDEX($AH$2:$AH$1001,MATCH(ROWS($AG$2:AG500),$AG$2:$AG$1001,0),1)&gt;=100000,INDEX($AN$1005:$BO$1005,1,MATCH(COLUMNS($AN$1006:AN1006),$AN$1006:$BO$1006,0))&gt;=100000), " ",IF(INDEX($AN$2:$BO$1001,MATCH(ROWS($AG$2:AG500),$AG$2:$AG$1001,0),MATCH(COLUMNS($AN$1006:AN1006),$AN$1006:$BO$1006,0)), HYPERLINK("#",""), HYPERLINK(CONCATENATE("#Metadata!", ADDRESS(INDEX($AI$2:$AI$1001,MATCH(ROWS($AG$2:AG500),$AG$2:$AG$1001,0),0), INDEX($AN$1004:$BO$1004,1,MATCH(COLUMNS($AN$1006:AN1006),$AN$1006:$BO$1006,0)))),"Fix")))</f>
        <v>0</v>
      </c>
      <c r="C500" s="4">
        <f>IF(OR(INDEX($AH$2:$AH$1001,MATCH(ROWS($AG$2:AG500),$AG$2:$AG$1001,0),1)&gt;=100000,INDEX($AN$1005:$BO$1005,1,MATCH(COLUMNS($AN$1006:AO1006),$AN$1006:$BO$1006,0))&gt;=100000), " ",IF(INDEX($AN$2:$BO$1001,MATCH(ROWS($AG$2:AG500),$AG$2:$AG$1001,0),MATCH(COLUMNS($AN$1006:AO1006),$AN$1006:$BO$1006,0)), HYPERLINK("#",""), HYPERLINK(CONCATENATE("#Metadata!", ADDRESS(INDEX($AI$2:$AI$1001,MATCH(ROWS($AG$2:AG500),$AG$2:$AG$1001,0),0), INDEX($AN$1004:$BO$1004,1,MATCH(COLUMNS($AN$1006:AO1006),$AN$1006:$BO$1006,0)))),"Fix")))</f>
        <v>0</v>
      </c>
      <c r="D500" s="4">
        <f>IF(OR(INDEX($AH$2:$AH$1001,MATCH(ROWS($AG$2:AG500),$AG$2:$AG$1001,0),1)&gt;=100000,INDEX($AN$1005:$BO$1005,1,MATCH(COLUMNS($AN$1006:AP1006),$AN$1006:$BO$1006,0))&gt;=100000), " ",IF(INDEX($AN$2:$BO$1001,MATCH(ROWS($AG$2:AG500),$AG$2:$AG$1001,0),MATCH(COLUMNS($AN$1006:AP1006),$AN$1006:$BO$1006,0)), HYPERLINK("#",""), HYPERLINK(CONCATENATE("#Metadata!", ADDRESS(INDEX($AI$2:$AI$1001,MATCH(ROWS($AG$2:AG500),$AG$2:$AG$1001,0),0), INDEX($AN$1004:$BO$1004,1,MATCH(COLUMNS($AN$1006:AP1006),$AN$1006:$BO$1006,0)))),"Fix")))</f>
        <v>0</v>
      </c>
      <c r="E500" s="4">
        <f>IF(OR(INDEX($AH$2:$AH$1001,MATCH(ROWS($AG$2:AG500),$AG$2:$AG$1001,0),1)&gt;=100000,INDEX($AN$1005:$BO$1005,1,MATCH(COLUMNS($AN$1006:AQ1006),$AN$1006:$BO$1006,0))&gt;=100000), " ",IF(INDEX($AN$2:$BO$1001,MATCH(ROWS($AG$2:AG500),$AG$2:$AG$1001,0),MATCH(COLUMNS($AN$1006:AQ1006),$AN$1006:$BO$1006,0)), HYPERLINK("#",""), HYPERLINK(CONCATENATE("#Metadata!", ADDRESS(INDEX($AI$2:$AI$1001,MATCH(ROWS($AG$2:AG500),$AG$2:$AG$1001,0),0), INDEX($AN$1004:$BO$1004,1,MATCH(COLUMNS($AN$1006:AQ1006),$AN$1006:$BO$1006,0)))),"Fix")))</f>
        <v>0</v>
      </c>
      <c r="F500" s="4">
        <f>IF(OR(INDEX($AH$2:$AH$1001,MATCH(ROWS($AG$2:AG500),$AG$2:$AG$1001,0),1)&gt;=100000,INDEX($AN$1005:$BO$1005,1,MATCH(COLUMNS($AN$1006:AR1006),$AN$1006:$BO$1006,0))&gt;=100000), " ",IF(INDEX($AN$2:$BO$1001,MATCH(ROWS($AG$2:AG500),$AG$2:$AG$1001,0),MATCH(COLUMNS($AN$1006:AR1006),$AN$1006:$BO$1006,0)), HYPERLINK("#",""), HYPERLINK(CONCATENATE("#Metadata!", ADDRESS(INDEX($AI$2:$AI$1001,MATCH(ROWS($AG$2:AG500),$AG$2:$AG$1001,0),0), INDEX($AN$1004:$BO$1004,1,MATCH(COLUMNS($AN$1006:AR1006),$AN$1006:$BO$1006,0)))),"Fix")))</f>
        <v>0</v>
      </c>
      <c r="G500" s="4">
        <f>IF(OR(INDEX($AH$2:$AH$1001,MATCH(ROWS($AG$2:AG500),$AG$2:$AG$1001,0),1)&gt;=100000,INDEX($AN$1005:$BO$1005,1,MATCH(COLUMNS($AN$1006:AS1006),$AN$1006:$BO$1006,0))&gt;=100000), " ",IF(INDEX($AN$2:$BO$1001,MATCH(ROWS($AG$2:AG500),$AG$2:$AG$1001,0),MATCH(COLUMNS($AN$1006:AS1006),$AN$1006:$BO$1006,0)), HYPERLINK("#",""), HYPERLINK(CONCATENATE("#Metadata!", ADDRESS(INDEX($AI$2:$AI$1001,MATCH(ROWS($AG$2:AG500),$AG$2:$AG$1001,0),0), INDEX($AN$1004:$BO$1004,1,MATCH(COLUMNS($AN$1006:AS1006),$AN$1006:$BO$1006,0)))),"Fix")))</f>
        <v>0</v>
      </c>
      <c r="H500" s="4">
        <f>IF(OR(INDEX($AH$2:$AH$1001,MATCH(ROWS($AG$2:AG500),$AG$2:$AG$1001,0),1)&gt;=100000,INDEX($AN$1005:$BO$1005,1,MATCH(COLUMNS($AN$1006:AT1006),$AN$1006:$BO$1006,0))&gt;=100000), " ",IF(INDEX($AN$2:$BO$1001,MATCH(ROWS($AG$2:AG500),$AG$2:$AG$1001,0),MATCH(COLUMNS($AN$1006:AT1006),$AN$1006:$BO$1006,0)), HYPERLINK("#",""), HYPERLINK(CONCATENATE("#Metadata!", ADDRESS(INDEX($AI$2:$AI$1001,MATCH(ROWS($AG$2:AG500),$AG$2:$AG$1001,0),0), INDEX($AN$1004:$BO$1004,1,MATCH(COLUMNS($AN$1006:AT1006),$AN$1006:$BO$1006,0)))),"Fix")))</f>
        <v>0</v>
      </c>
      <c r="I500" s="4">
        <f>IF(OR(INDEX($AH$2:$AH$1001,MATCH(ROWS($AG$2:AG500),$AG$2:$AG$1001,0),1)&gt;=100000,INDEX($AN$1005:$BO$1005,1,MATCH(COLUMNS($AN$1006:AU1006),$AN$1006:$BO$1006,0))&gt;=100000), " ",IF(INDEX($AN$2:$BO$1001,MATCH(ROWS($AG$2:AG500),$AG$2:$AG$1001,0),MATCH(COLUMNS($AN$1006:AU1006),$AN$1006:$BO$1006,0)), HYPERLINK("#",""), HYPERLINK(CONCATENATE("#Metadata!", ADDRESS(INDEX($AI$2:$AI$1001,MATCH(ROWS($AG$2:AG500),$AG$2:$AG$1001,0),0), INDEX($AN$1004:$BO$1004,1,MATCH(COLUMNS($AN$1006:AU1006),$AN$1006:$BO$1006,0)))),"Fix")))</f>
        <v>0</v>
      </c>
      <c r="J500" s="4">
        <f>IF(OR(INDEX($AH$2:$AH$1001,MATCH(ROWS($AG$2:AG500),$AG$2:$AG$1001,0),1)&gt;=100000,INDEX($AN$1005:$BO$1005,1,MATCH(COLUMNS($AN$1006:AV1006),$AN$1006:$BO$1006,0))&gt;=100000), " ",IF(INDEX($AN$2:$BO$1001,MATCH(ROWS($AG$2:AG500),$AG$2:$AG$1001,0),MATCH(COLUMNS($AN$1006:AV1006),$AN$1006:$BO$1006,0)), HYPERLINK("#",""), HYPERLINK(CONCATENATE("#Metadata!", ADDRESS(INDEX($AI$2:$AI$1001,MATCH(ROWS($AG$2:AG500),$AG$2:$AG$1001,0),0), INDEX($AN$1004:$BO$1004,1,MATCH(COLUMNS($AN$1006:AV1006),$AN$1006:$BO$1006,0)))),"Fix")))</f>
        <v>0</v>
      </c>
      <c r="K500" s="4">
        <f>IF(OR(INDEX($AH$2:$AH$1001,MATCH(ROWS($AG$2:AG500),$AG$2:$AG$1001,0),1)&gt;=100000,INDEX($AN$1005:$BO$1005,1,MATCH(COLUMNS($AN$1006:AW1006),$AN$1006:$BO$1006,0))&gt;=100000), " ",IF(INDEX($AN$2:$BO$1001,MATCH(ROWS($AG$2:AG500),$AG$2:$AG$1001,0),MATCH(COLUMNS($AN$1006:AW1006),$AN$1006:$BO$1006,0)), HYPERLINK("#",""), HYPERLINK(CONCATENATE("#Metadata!", ADDRESS(INDEX($AI$2:$AI$1001,MATCH(ROWS($AG$2:AG500),$AG$2:$AG$1001,0),0), INDEX($AN$1004:$BO$1004,1,MATCH(COLUMNS($AN$1006:AW1006),$AN$1006:$BO$1006,0)))),"Fix")))</f>
        <v>0</v>
      </c>
      <c r="L500" s="4">
        <f>IF(OR(INDEX($AH$2:$AH$1001,MATCH(ROWS($AG$2:AG500),$AG$2:$AG$1001,0),1)&gt;=100000,INDEX($AN$1005:$BO$1005,1,MATCH(COLUMNS($AN$1006:AX1006),$AN$1006:$BO$1006,0))&gt;=100000), " ",IF(INDEX($AN$2:$BO$1001,MATCH(ROWS($AG$2:AG500),$AG$2:$AG$1001,0),MATCH(COLUMNS($AN$1006:AX1006),$AN$1006:$BO$1006,0)), HYPERLINK("#",""), HYPERLINK(CONCATENATE("#Metadata!", ADDRESS(INDEX($AI$2:$AI$1001,MATCH(ROWS($AG$2:AG500),$AG$2:$AG$1001,0),0), INDEX($AN$1004:$BO$1004,1,MATCH(COLUMNS($AN$1006:AX1006),$AN$1006:$BO$1006,0)))),"Fix")))</f>
        <v>0</v>
      </c>
      <c r="M500" s="4">
        <f>IF(OR(INDEX($AH$2:$AH$1001,MATCH(ROWS($AG$2:AG500),$AG$2:$AG$1001,0),1)&gt;=100000,INDEX($AN$1005:$BO$1005,1,MATCH(COLUMNS($AN$1006:AY1006),$AN$1006:$BO$1006,0))&gt;=100000), " ",IF(INDEX($AN$2:$BO$1001,MATCH(ROWS($AG$2:AG500),$AG$2:$AG$1001,0),MATCH(COLUMNS($AN$1006:AY1006),$AN$1006:$BO$1006,0)), HYPERLINK("#",""), HYPERLINK(CONCATENATE("#Metadata!", ADDRESS(INDEX($AI$2:$AI$1001,MATCH(ROWS($AG$2:AG500),$AG$2:$AG$1001,0),0), INDEX($AN$1004:$BO$1004,1,MATCH(COLUMNS($AN$1006:AY1006),$AN$1006:$BO$1006,0)))),"Fix")))</f>
        <v>0</v>
      </c>
      <c r="N500" s="4">
        <f>IF(OR(INDEX($AH$2:$AH$1001,MATCH(ROWS($AG$2:AG500),$AG$2:$AG$1001,0),1)&gt;=100000,INDEX($AN$1005:$BO$1005,1,MATCH(COLUMNS($AN$1006:AZ1006),$AN$1006:$BO$1006,0))&gt;=100000), " ",IF(INDEX($AN$2:$BO$1001,MATCH(ROWS($AG$2:AG500),$AG$2:$AG$1001,0),MATCH(COLUMNS($AN$1006:AZ1006),$AN$1006:$BO$1006,0)), HYPERLINK("#",""), HYPERLINK(CONCATENATE("#Metadata!", ADDRESS(INDEX($AI$2:$AI$1001,MATCH(ROWS($AG$2:AG500),$AG$2:$AG$1001,0),0), INDEX($AN$1004:$BO$1004,1,MATCH(COLUMNS($AN$1006:AZ1006),$AN$1006:$BO$1006,0)))),"Fix")))</f>
        <v>0</v>
      </c>
      <c r="O500" s="4">
        <f>IF(OR(INDEX($AH$2:$AH$1001,MATCH(ROWS($AG$2:AG500),$AG$2:$AG$1001,0),1)&gt;=100000,INDEX($AN$1005:$BO$1005,1,MATCH(COLUMNS($AN$1006:BA1006),$AN$1006:$BO$1006,0))&gt;=100000), " ",IF(INDEX($AN$2:$BO$1001,MATCH(ROWS($AG$2:AG500),$AG$2:$AG$1001,0),MATCH(COLUMNS($AN$1006:BA1006),$AN$1006:$BO$1006,0)), HYPERLINK("#",""), HYPERLINK(CONCATENATE("#Metadata!", ADDRESS(INDEX($AI$2:$AI$1001,MATCH(ROWS($AG$2:AG500),$AG$2:$AG$1001,0),0), INDEX($AN$1004:$BO$1004,1,MATCH(COLUMNS($AN$1006:BA1006),$AN$1006:$BO$1006,0)))),"Fix")))</f>
        <v>0</v>
      </c>
      <c r="P500" s="4">
        <f>IF(OR(INDEX($AH$2:$AH$1001,MATCH(ROWS($AG$2:AG500),$AG$2:$AG$1001,0),1)&gt;=100000,INDEX($AN$1005:$BO$1005,1,MATCH(COLUMNS($AN$1006:BB1006),$AN$1006:$BO$1006,0))&gt;=100000), " ",IF(INDEX($AN$2:$BO$1001,MATCH(ROWS($AG$2:AG500),$AG$2:$AG$1001,0),MATCH(COLUMNS($AN$1006:BB1006),$AN$1006:$BO$1006,0)), HYPERLINK("#",""), HYPERLINK(CONCATENATE("#Metadata!", ADDRESS(INDEX($AI$2:$AI$1001,MATCH(ROWS($AG$2:AG500),$AG$2:$AG$1001,0),0), INDEX($AN$1004:$BO$1004,1,MATCH(COLUMNS($AN$1006:BB1006),$AN$1006:$BO$1006,0)))),"Fix")))</f>
        <v>0</v>
      </c>
      <c r="Q500" s="4">
        <f>IF(OR(INDEX($AH$2:$AH$1001,MATCH(ROWS($AG$2:AG500),$AG$2:$AG$1001,0),1)&gt;=100000,INDEX($AN$1005:$BO$1005,1,MATCH(COLUMNS($AN$1006:BC1006),$AN$1006:$BO$1006,0))&gt;=100000), " ",IF(INDEX($AN$2:$BO$1001,MATCH(ROWS($AG$2:AG500),$AG$2:$AG$1001,0),MATCH(COLUMNS($AN$1006:BC1006),$AN$1006:$BO$1006,0)), HYPERLINK("#",""), HYPERLINK(CONCATENATE("#Metadata!", ADDRESS(INDEX($AI$2:$AI$1001,MATCH(ROWS($AG$2:AG500),$AG$2:$AG$1001,0),0), INDEX($AN$1004:$BO$1004,1,MATCH(COLUMNS($AN$1006:BC1006),$AN$1006:$BO$1006,0)))),"Fix")))</f>
        <v>0</v>
      </c>
      <c r="R500" s="4">
        <f>IF(OR(INDEX($AH$2:$AH$1001,MATCH(ROWS($AG$2:AG500),$AG$2:$AG$1001,0),1)&gt;=100000,INDEX($AN$1005:$BO$1005,1,MATCH(COLUMNS($AN$1006:BD1006),$AN$1006:$BO$1006,0))&gt;=100000), " ",IF(INDEX($AN$2:$BO$1001,MATCH(ROWS($AG$2:AG500),$AG$2:$AG$1001,0),MATCH(COLUMNS($AN$1006:BD1006),$AN$1006:$BO$1006,0)), HYPERLINK("#",""), HYPERLINK(CONCATENATE("#Metadata!", ADDRESS(INDEX($AI$2:$AI$1001,MATCH(ROWS($AG$2:AG500),$AG$2:$AG$1001,0),0), INDEX($AN$1004:$BO$1004,1,MATCH(COLUMNS($AN$1006:BD1006),$AN$1006:$BO$1006,0)))),"Fix")))</f>
        <v>0</v>
      </c>
      <c r="S500" s="4">
        <f>IF(OR(INDEX($AH$2:$AH$1001,MATCH(ROWS($AG$2:AG500),$AG$2:$AG$1001,0),1)&gt;=100000,INDEX($AN$1005:$BO$1005,1,MATCH(COLUMNS($AN$1006:BE1006),$AN$1006:$BO$1006,0))&gt;=100000), " ",IF(INDEX($AN$2:$BO$1001,MATCH(ROWS($AG$2:AG500),$AG$2:$AG$1001,0),MATCH(COLUMNS($AN$1006:BE1006),$AN$1006:$BO$1006,0)), HYPERLINK("#",""), HYPERLINK(CONCATENATE("#Metadata!", ADDRESS(INDEX($AI$2:$AI$1001,MATCH(ROWS($AG$2:AG500),$AG$2:$AG$1001,0),0), INDEX($AN$1004:$BO$1004,1,MATCH(COLUMNS($AN$1006:BE1006),$AN$1006:$BO$1006,0)))),"Fix")))</f>
        <v>0</v>
      </c>
      <c r="T500" s="4">
        <f>IF(OR(INDEX($AH$2:$AH$1001,MATCH(ROWS($AG$2:AG500),$AG$2:$AG$1001,0),1)&gt;=100000,INDEX($AN$1005:$BO$1005,1,MATCH(COLUMNS($AN$1006:BF1006),$AN$1006:$BO$1006,0))&gt;=100000), " ",IF(INDEX($AN$2:$BO$1001,MATCH(ROWS($AG$2:AG500),$AG$2:$AG$1001,0),MATCH(COLUMNS($AN$1006:BF1006),$AN$1006:$BO$1006,0)), HYPERLINK("#",""), HYPERLINK(CONCATENATE("#Metadata!", ADDRESS(INDEX($AI$2:$AI$1001,MATCH(ROWS($AG$2:AG500),$AG$2:$AG$1001,0),0), INDEX($AN$1004:$BO$1004,1,MATCH(COLUMNS($AN$1006:BF1006),$AN$1006:$BO$1006,0)))),"Fix")))</f>
        <v>0</v>
      </c>
      <c r="U500" s="4">
        <f>IF(OR(INDEX($AH$2:$AH$1001,MATCH(ROWS($AG$2:AG500),$AG$2:$AG$1001,0),1)&gt;=100000,INDEX($AN$1005:$BO$1005,1,MATCH(COLUMNS($AN$1006:BG1006),$AN$1006:$BO$1006,0))&gt;=100000), " ",IF(INDEX($AN$2:$BO$1001,MATCH(ROWS($AG$2:AG500),$AG$2:$AG$1001,0),MATCH(COLUMNS($AN$1006:BG1006),$AN$1006:$BO$1006,0)), HYPERLINK("#",""), HYPERLINK(CONCATENATE("#Metadata!", ADDRESS(INDEX($AI$2:$AI$1001,MATCH(ROWS($AG$2:AG500),$AG$2:$AG$1001,0),0), INDEX($AN$1004:$BO$1004,1,MATCH(COLUMNS($AN$1006:BG1006),$AN$1006:$BO$1006,0)))),"Fix")))</f>
        <v>0</v>
      </c>
      <c r="V500" s="4">
        <f>IF(OR(INDEX($AH$2:$AH$1001,MATCH(ROWS($AG$2:AG500),$AG$2:$AG$1001,0),1)&gt;=100000,INDEX($AN$1005:$BO$1005,1,MATCH(COLUMNS($AN$1006:BH1006),$AN$1006:$BO$1006,0))&gt;=100000), " ",IF(INDEX($AN$2:$BO$1001,MATCH(ROWS($AG$2:AG500),$AG$2:$AG$1001,0),MATCH(COLUMNS($AN$1006:BH1006),$AN$1006:$BO$1006,0)), HYPERLINK("#",""), HYPERLINK(CONCATENATE("#Metadata!", ADDRESS(INDEX($AI$2:$AI$1001,MATCH(ROWS($AG$2:AG500),$AG$2:$AG$1001,0),0), INDEX($AN$1004:$BO$1004,1,MATCH(COLUMNS($AN$1006:BH1006),$AN$1006:$BO$1006,0)))),"Fix")))</f>
        <v>0</v>
      </c>
      <c r="W500" s="4">
        <f>IF(OR(INDEX($AH$2:$AH$1001,MATCH(ROWS($AG$2:AG500),$AG$2:$AG$1001,0),1)&gt;=100000,INDEX($AN$1005:$BO$1005,1,MATCH(COLUMNS($AN$1006:BI1006),$AN$1006:$BO$1006,0))&gt;=100000), " ",IF(INDEX($AN$2:$BO$1001,MATCH(ROWS($AG$2:AG500),$AG$2:$AG$1001,0),MATCH(COLUMNS($AN$1006:BI1006),$AN$1006:$BO$1006,0)), HYPERLINK("#",""), HYPERLINK(CONCATENATE("#Metadata!", ADDRESS(INDEX($AI$2:$AI$1001,MATCH(ROWS($AG$2:AG500),$AG$2:$AG$1001,0),0), INDEX($AN$1004:$BO$1004,1,MATCH(COLUMNS($AN$1006:BI1006),$AN$1006:$BO$1006,0)))),"Fix")))</f>
        <v>0</v>
      </c>
      <c r="X500" s="4">
        <f>IF(OR(INDEX($AH$2:$AH$1001,MATCH(ROWS($AG$2:AG500),$AG$2:$AG$1001,0),1)&gt;=100000,INDEX($AN$1005:$BO$1005,1,MATCH(COLUMNS($AN$1006:BJ1006),$AN$1006:$BO$1006,0))&gt;=100000), " ",IF(INDEX($AN$2:$BO$1001,MATCH(ROWS($AG$2:AG500),$AG$2:$AG$1001,0),MATCH(COLUMNS($AN$1006:BJ1006),$AN$1006:$BO$1006,0)), HYPERLINK("#",""), HYPERLINK(CONCATENATE("#Metadata!", ADDRESS(INDEX($AI$2:$AI$1001,MATCH(ROWS($AG$2:AG500),$AG$2:$AG$1001,0),0), INDEX($AN$1004:$BO$1004,1,MATCH(COLUMNS($AN$1006:BJ1006),$AN$1006:$BO$1006,0)))),"Fix")))</f>
        <v>0</v>
      </c>
      <c r="Y500" s="4">
        <f>IF(OR(INDEX($AH$2:$AH$1001,MATCH(ROWS($AG$2:AG500),$AG$2:$AG$1001,0),1)&gt;=100000,INDEX($AN$1005:$BO$1005,1,MATCH(COLUMNS($AN$1006:BK1006),$AN$1006:$BO$1006,0))&gt;=100000), " ",IF(INDEX($AN$2:$BO$1001,MATCH(ROWS($AG$2:AG500),$AG$2:$AG$1001,0),MATCH(COLUMNS($AN$1006:BK1006),$AN$1006:$BO$1006,0)), HYPERLINK("#",""), HYPERLINK(CONCATENATE("#Metadata!", ADDRESS(INDEX($AI$2:$AI$1001,MATCH(ROWS($AG$2:AG500),$AG$2:$AG$1001,0),0), INDEX($AN$1004:$BO$1004,1,MATCH(COLUMNS($AN$1006:BK1006),$AN$1006:$BO$1006,0)))),"Fix")))</f>
        <v>0</v>
      </c>
      <c r="Z500" s="4">
        <f>IF(OR(INDEX($AH$2:$AH$1001,MATCH(ROWS($AG$2:AG500),$AG$2:$AG$1001,0),1)&gt;=100000,INDEX($AN$1005:$BO$1005,1,MATCH(COLUMNS($AN$1006:BL1006),$AN$1006:$BO$1006,0))&gt;=100000), " ",IF(INDEX($AN$2:$BO$1001,MATCH(ROWS($AG$2:AG500),$AG$2:$AG$1001,0),MATCH(COLUMNS($AN$1006:BL1006),$AN$1006:$BO$1006,0)), HYPERLINK("#",""), HYPERLINK(CONCATENATE("#Metadata!", ADDRESS(INDEX($AI$2:$AI$1001,MATCH(ROWS($AG$2:AG500),$AG$2:$AG$1001,0),0), INDEX($AN$1004:$BO$1004,1,MATCH(COLUMNS($AN$1006:BL1006),$AN$1006:$BO$1006,0)))),"Fix")))</f>
        <v>0</v>
      </c>
      <c r="AA500" s="4">
        <f>IF(OR(INDEX($AH$2:$AH$1001,MATCH(ROWS($AG$2:AG500),$AG$2:$AG$1001,0),1)&gt;=100000,INDEX($AN$1005:$BO$1005,1,MATCH(COLUMNS($AN$1006:BM1006),$AN$1006:$BO$1006,0))&gt;=100000), " ",IF(INDEX($AN$2:$BO$1001,MATCH(ROWS($AG$2:AG500),$AG$2:$AG$1001,0),MATCH(COLUMNS($AN$1006:BM1006),$AN$1006:$BO$1006,0)), HYPERLINK("#",""), HYPERLINK(CONCATENATE("#Metadata!", ADDRESS(INDEX($AI$2:$AI$1001,MATCH(ROWS($AG$2:AG500),$AG$2:$AG$1001,0),0), INDEX($AN$1004:$BO$1004,1,MATCH(COLUMNS($AN$1006:BM1006),$AN$1006:$BO$1006,0)))),"Fix")))</f>
        <v>0</v>
      </c>
      <c r="AB500" s="4">
        <f>IF(OR(INDEX($AH$2:$AH$1001,MATCH(ROWS($AG$2:AG500),$AG$2:$AG$1001,0),1)&gt;=100000,INDEX($AN$1005:$BO$1005,1,MATCH(COLUMNS($AN$1006:BN1006),$AN$1006:$BO$1006,0))&gt;=100000), " ",IF(INDEX($AN$2:$BO$1001,MATCH(ROWS($AG$2:AG500),$AG$2:$AG$1001,0),MATCH(COLUMNS($AN$1006:BN1006),$AN$1006:$BO$1006,0)), HYPERLINK("#",""), HYPERLINK(CONCATENATE("#Metadata!", ADDRESS(INDEX($AI$2:$AI$1001,MATCH(ROWS($AG$2:AG500),$AG$2:$AG$1001,0),0), INDEX($AN$1004:$BO$1004,1,MATCH(COLUMNS($AN$1006:BN1006),$AN$1006:$BO$1006,0)))),"Fix")))</f>
        <v>0</v>
      </c>
      <c r="AC500" s="4">
        <f>IF(OR(INDEX($AH$2:$AH$1001,MATCH(ROWS($AG$2:AG500),$AG$2:$AG$1001,0),1)&gt;=100000,INDEX($AN$1005:$BO$1005,1,MATCH(COLUMNS($AN$1006:BO1006),$AN$1006:$BO$1006,0))&gt;=100000), " ",IF(INDEX($AN$2:$BO$1001,MATCH(ROWS($AG$2:AG500),$AG$2:$AG$1001,0),MATCH(COLUMNS($AN$1006:BO1006),$AN$1006:$BO$1006,0)), HYPERLINK("#",""), HYPERLINK(CONCATENATE("#Metadata!", ADDRESS(INDEX($AI$2:$AI$1001,MATCH(ROWS($AG$2:AG500),$AG$2:$AG$1001,0),0), INDEX($AN$1004:$BO$1004,1,MATCH(COLUMNS($AN$1006:BO1006),$AN$1006:$BO$1006,0)))),"Fix")))</f>
        <v>0</v>
      </c>
      <c r="AG500">
        <v>0</v>
      </c>
      <c r="AH500">
        <v>0</v>
      </c>
      <c r="AI500">
        <v>0</v>
      </c>
      <c r="AJ500">
        <f>IF(AK500,TRUE,AND(AN500:BO500))</f>
        <v>0</v>
      </c>
      <c r="AK500">
        <f>COUNTBLANK(Metadata!B500:AC500)=COLUMNS(Metadata!B500:AC500)</f>
        <v>0</v>
      </c>
      <c r="AL500">
        <v>0</v>
      </c>
      <c r="AN500">
        <f>AND(IF(Metadata!B500="",FALSE,TRUE),COUNTIF(Metadata!B:B, Metadata!B500) = 1,NOT(ISERROR(SUMPRODUCT(SEARCH(MID(Metadata!B500,ROW(INDIRECT("1:"&amp;LEN(Metadata!B500))), 1),"0123456789abcdefghijklmnopqrstuvwxyzABCDEFGHIJKLMNOPQRSTUVWXYZ.")))))</f>
        <v>0</v>
      </c>
      <c r="AO500">
        <f>IF(Metadata!C500="",FALSE,TRUE)</f>
        <v>0</v>
      </c>
      <c r="AP500">
        <f>IF(Metadata!D500="",FALSE,TRUE)</f>
        <v>0</v>
      </c>
      <c r="AQ500">
        <f>OR(AND(IF(Metadata!E500="",FALSE,TRUE),OR(exact(Metadata!E500,"not collected"),exact(Metadata!E500,"not provided"),exact(Metadata!E500,"restricted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R500">
        <f>IF(Metadata!F500="",FALSE,TRUE)</f>
        <v>0</v>
      </c>
      <c r="AS500">
        <f>OR(AND(IF(Metadata!G500="",FALSE,TRUE),OR(exact(Metadata!G500,"not collected"),exact(Metadata!G500,"not provided"))),AND(IF(Metadata!G500="",FALSE,TRUE),OR(exact(Metadata!G500,"TRUE"),exact(Metadata!G500,"FALSE"))))</f>
        <v>0</v>
      </c>
      <c r="AT500">
        <f>OR(AND(IF(Metadata!H500="",FALSE,TRUE),OR(exact(Metadata!H500,"not collected"),exact(Metadata!H500,"not provided"),exact(Metadata!H500,"restricted access"))),AND(IF(Metadata!H500="",FALSE,ISNUMBER(VALUE(Metadata!H500))),Metadata!H500&gt;=-413.0))</f>
        <v>0</v>
      </c>
      <c r="AU500">
        <f>AND(IF(Metadata!I500="",FALSE,TRUE),exact(Metadata!I500,"meters"))</f>
        <v>0</v>
      </c>
      <c r="AV500">
        <f>AND(IF(Metadata!J500="",FALSE,TRUE),OR(exact(Metadata!J500,"Host-associated"),exact(Metadata!J500,"Free-living")))</f>
        <v>0</v>
      </c>
      <c r="AW500">
        <f>AND(IF(Metadata!K500="",FALSE,TRUE),OR(exact(Metadata!K500,"Animal"),exact(Metadata!K500,"Fungus"),exact(Metadata!K500,"Plant"),exact(Metadata!K500,"Saline"),exact(Metadata!K500,"Non-saline")))</f>
        <v>0</v>
      </c>
      <c r="AX500">
        <f>AND(IF(Metadata!L500="",FALSE,TRUE),OR(exact(Metadata!L500,"Plant secretion"),exact(Metadata!L500,"Plant rhizosphere"),exact(Metadata!L500,"Plant surface"),exact(Metadata!L500,"Plant corpus"),exact(Metadata!L500,"Fungus surface"),exact(Metadata!L500,"Fungus corpus"),exact(Metadata!L500,"Animal surface"),exact(Metadata!L500,"Animal proximal gut"),exact(Metadata!L500,"Animal corpus"),exact(Metadata!L500,"Animal distal gut"),exact(Metadata!L500,"Animal secretion"),exact(Metadata!L500,"Sub-surface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Y500">
        <f>IF(Metadata!M500="",FALSE,TRUE)</f>
        <v>0</v>
      </c>
      <c r="AZ500">
        <f>IF(Metadata!N500="",FALSE,TRUE)</f>
        <v>0</v>
      </c>
      <c r="BA500">
        <f>IF(Metadata!O500="",FALSE,TRUE)</f>
        <v>0</v>
      </c>
      <c r="BB500">
        <f>OR(AND(IF(Metadata!P500="",FALSE,TRUE),OR(exact(Metadata!P500,"not collected"),exact(Metadata!P500,"not provided"),exact(Metadata!P500,"restricted access"))),AND(IF(Metadata!P500="",FALSE,TRUE),OR(exact(Metadata!P500,"air"),exact(Metadata!P500,"built environment"),exact(Metadata!P500,"host-associated"),exact(Metadata!P500,"human-associated"),exact(Metadata!P500,"human-skin"),exact(Metadata!P500,"human-oral"),exact(Metadata!P500,"human-gut"),exact(Metadata!P500,"human-vaginal"),exact(Metadata!P500,"microbial mat/biofilm"),exact(Metadata!P500,"misc environment"),exact(Metadata!P500,"plant-associated"),exact(Metadata!P500,"sediment"),exact(Metadata!P500,"soil"),exact(Metadata!P500,"wastewater/sludge"),exact(Metadata!P500,"water"))))</f>
        <v>0</v>
      </c>
      <c r="BC500">
        <f>IF(Metadata!Q500="",FALSE,TRUE)</f>
        <v>0</v>
      </c>
      <c r="BD500">
        <f>IF(Metadata!R500="",FALSE,TRUE)</f>
        <v>0</v>
      </c>
      <c r="BE500">
        <f>OR(AND(IF(Metadata!S500="",FALSE,TRUE),OR(exact(Metadata!S500,"not collected"),exact(Metadata!S500,"not provided"),exact(Metadata!S500,"restricted access"))),AND(IF(Metadata!S500="",FALSE,ISNUMBER(VALUE(Metadata!S500))),Metadata!S500&gt;=-90.00,Metadata!S500&lt;=90.00))</f>
        <v>0</v>
      </c>
      <c r="BF500">
        <f>AND(IF(Metadata!T500="",FALSE,TRUE),exact(Metadata!T500,"Decimal degrees"))</f>
        <v>0</v>
      </c>
      <c r="BG500">
        <f>OR(AND(IF(Metadata!U500="",FALSE,TRUE),OR(exact(Metadata!U500,"not collected"),exact(Metadata!U500,"not provided"),exact(Metadata!U500,"restricted access"))),AND(IF(Metadata!U500="",FALSE,ISNUMBER(VALUE(Metadata!U500))),Metadata!U500&gt;=-180.00,Metadata!U500&lt;=180.00))</f>
        <v>0</v>
      </c>
      <c r="BH500">
        <f>AND(IF(Metadata!V500="",FALSE,TRUE),exact(Metadata!V500,"Decimal degrees"))</f>
        <v>0</v>
      </c>
      <c r="BI500">
        <f>IF(Metadata!W500="",FALSE,TRUE)</f>
        <v>0</v>
      </c>
      <c r="BJ500">
        <f>OR(AND(IF(Metadata!X500="",FALSE,TRUE),OR(exact(Metadata!X500,"not collected"),exact(Metadata!X500,"not provided"),exact(Metadata!X500,"restricted access"))),AND(IF(Metadata!X500="",FALSE,TRUE),OR(exact(Metadata!X500,"TRUE"),exact(Metadata!X500,"FALSE"))))</f>
        <v>0</v>
      </c>
      <c r="BK500">
        <f>AND(IF(Metadata!Y500="",FALSE,TRUE),exact(Metadata!Y500,"other"))</f>
        <v>0</v>
      </c>
      <c r="BL500">
        <f>IF(Metadata!Z500="",FALSE,TRUE)</f>
        <v>0</v>
      </c>
      <c r="BM500">
        <f>OR(AND(IF(Metadata!AA500="",FALSE,TRUE),OR(exact(Metadata!AA500,"not collected"),exact(Metadata!AA500,"not provided"))),AND(IF(Metadata!AA500="",FALSE,IF(ISERROR(INT(Metadata!AA500)),FALSE,INT(Metadata!AA500)=Metadata!AA500)),Metadata!AA500&gt;0))</f>
        <v>0</v>
      </c>
      <c r="BN500">
        <f>AND(IF(Metadata!AB500="",FALSE,TRUE),exact(Metadata!AB500,"Not applicable"))</f>
        <v>0</v>
      </c>
      <c r="BO500">
        <f>IF(Metadata!AC500="",FALSE,TRUE)</f>
        <v>0</v>
      </c>
    </row>
    <row r="501" spans="1:67">
      <c r="A501" s="5">
        <f>IF(B501=" "," ",HYPERLINK(CONCATENATE("#metadata!",ADDRESS(INDEX($AI$2:$AI$1001,MATCH(ROWS($AG$2:AG501),$AG$2:$AG$1001,0),0),1)),INDEX($AL$2:$AL$1001,MATCH(ROWS($AG$2:AG501),$AG$2:$AG$1001,0),0)))</f>
        <v>0</v>
      </c>
      <c r="B501" s="4">
        <f>IF(OR(INDEX($AH$2:$AH$1001,MATCH(ROWS($AG$2:AG501),$AG$2:$AG$1001,0),1)&gt;=100000,INDEX($AN$1005:$BO$1005,1,MATCH(COLUMNS($AN$1006:AN1006),$AN$1006:$BO$1006,0))&gt;=100000), " ",IF(INDEX($AN$2:$BO$1001,MATCH(ROWS($AG$2:AG501),$AG$2:$AG$1001,0),MATCH(COLUMNS($AN$1006:AN1006),$AN$1006:$BO$1006,0)), HYPERLINK("#",""), HYPERLINK(CONCATENATE("#Metadata!", ADDRESS(INDEX($AI$2:$AI$1001,MATCH(ROWS($AG$2:AG501),$AG$2:$AG$1001,0),0), INDEX($AN$1004:$BO$1004,1,MATCH(COLUMNS($AN$1006:AN1006),$AN$1006:$BO$1006,0)))),"Fix")))</f>
        <v>0</v>
      </c>
      <c r="C501" s="4">
        <f>IF(OR(INDEX($AH$2:$AH$1001,MATCH(ROWS($AG$2:AG501),$AG$2:$AG$1001,0),1)&gt;=100000,INDEX($AN$1005:$BO$1005,1,MATCH(COLUMNS($AN$1006:AO1006),$AN$1006:$BO$1006,0))&gt;=100000), " ",IF(INDEX($AN$2:$BO$1001,MATCH(ROWS($AG$2:AG501),$AG$2:$AG$1001,0),MATCH(COLUMNS($AN$1006:AO1006),$AN$1006:$BO$1006,0)), HYPERLINK("#",""), HYPERLINK(CONCATENATE("#Metadata!", ADDRESS(INDEX($AI$2:$AI$1001,MATCH(ROWS($AG$2:AG501),$AG$2:$AG$1001,0),0), INDEX($AN$1004:$BO$1004,1,MATCH(COLUMNS($AN$1006:AO1006),$AN$1006:$BO$1006,0)))),"Fix")))</f>
        <v>0</v>
      </c>
      <c r="D501" s="4">
        <f>IF(OR(INDEX($AH$2:$AH$1001,MATCH(ROWS($AG$2:AG501),$AG$2:$AG$1001,0),1)&gt;=100000,INDEX($AN$1005:$BO$1005,1,MATCH(COLUMNS($AN$1006:AP1006),$AN$1006:$BO$1006,0))&gt;=100000), " ",IF(INDEX($AN$2:$BO$1001,MATCH(ROWS($AG$2:AG501),$AG$2:$AG$1001,0),MATCH(COLUMNS($AN$1006:AP1006),$AN$1006:$BO$1006,0)), HYPERLINK("#",""), HYPERLINK(CONCATENATE("#Metadata!", ADDRESS(INDEX($AI$2:$AI$1001,MATCH(ROWS($AG$2:AG501),$AG$2:$AG$1001,0),0), INDEX($AN$1004:$BO$1004,1,MATCH(COLUMNS($AN$1006:AP1006),$AN$1006:$BO$1006,0)))),"Fix")))</f>
        <v>0</v>
      </c>
      <c r="E501" s="4">
        <f>IF(OR(INDEX($AH$2:$AH$1001,MATCH(ROWS($AG$2:AG501),$AG$2:$AG$1001,0),1)&gt;=100000,INDEX($AN$1005:$BO$1005,1,MATCH(COLUMNS($AN$1006:AQ1006),$AN$1006:$BO$1006,0))&gt;=100000), " ",IF(INDEX($AN$2:$BO$1001,MATCH(ROWS($AG$2:AG501),$AG$2:$AG$1001,0),MATCH(COLUMNS($AN$1006:AQ1006),$AN$1006:$BO$1006,0)), HYPERLINK("#",""), HYPERLINK(CONCATENATE("#Metadata!", ADDRESS(INDEX($AI$2:$AI$1001,MATCH(ROWS($AG$2:AG501),$AG$2:$AG$1001,0),0), INDEX($AN$1004:$BO$1004,1,MATCH(COLUMNS($AN$1006:AQ1006),$AN$1006:$BO$1006,0)))),"Fix")))</f>
        <v>0</v>
      </c>
      <c r="F501" s="4">
        <f>IF(OR(INDEX($AH$2:$AH$1001,MATCH(ROWS($AG$2:AG501),$AG$2:$AG$1001,0),1)&gt;=100000,INDEX($AN$1005:$BO$1005,1,MATCH(COLUMNS($AN$1006:AR1006),$AN$1006:$BO$1006,0))&gt;=100000), " ",IF(INDEX($AN$2:$BO$1001,MATCH(ROWS($AG$2:AG501),$AG$2:$AG$1001,0),MATCH(COLUMNS($AN$1006:AR1006),$AN$1006:$BO$1006,0)), HYPERLINK("#",""), HYPERLINK(CONCATENATE("#Metadata!", ADDRESS(INDEX($AI$2:$AI$1001,MATCH(ROWS($AG$2:AG501),$AG$2:$AG$1001,0),0), INDEX($AN$1004:$BO$1004,1,MATCH(COLUMNS($AN$1006:AR1006),$AN$1006:$BO$1006,0)))),"Fix")))</f>
        <v>0</v>
      </c>
      <c r="G501" s="4">
        <f>IF(OR(INDEX($AH$2:$AH$1001,MATCH(ROWS($AG$2:AG501),$AG$2:$AG$1001,0),1)&gt;=100000,INDEX($AN$1005:$BO$1005,1,MATCH(COLUMNS($AN$1006:AS1006),$AN$1006:$BO$1006,0))&gt;=100000), " ",IF(INDEX($AN$2:$BO$1001,MATCH(ROWS($AG$2:AG501),$AG$2:$AG$1001,0),MATCH(COLUMNS($AN$1006:AS1006),$AN$1006:$BO$1006,0)), HYPERLINK("#",""), HYPERLINK(CONCATENATE("#Metadata!", ADDRESS(INDEX($AI$2:$AI$1001,MATCH(ROWS($AG$2:AG501),$AG$2:$AG$1001,0),0), INDEX($AN$1004:$BO$1004,1,MATCH(COLUMNS($AN$1006:AS1006),$AN$1006:$BO$1006,0)))),"Fix")))</f>
        <v>0</v>
      </c>
      <c r="H501" s="4">
        <f>IF(OR(INDEX($AH$2:$AH$1001,MATCH(ROWS($AG$2:AG501),$AG$2:$AG$1001,0),1)&gt;=100000,INDEX($AN$1005:$BO$1005,1,MATCH(COLUMNS($AN$1006:AT1006),$AN$1006:$BO$1006,0))&gt;=100000), " ",IF(INDEX($AN$2:$BO$1001,MATCH(ROWS($AG$2:AG501),$AG$2:$AG$1001,0),MATCH(COLUMNS($AN$1006:AT1006),$AN$1006:$BO$1006,0)), HYPERLINK("#",""), HYPERLINK(CONCATENATE("#Metadata!", ADDRESS(INDEX($AI$2:$AI$1001,MATCH(ROWS($AG$2:AG501),$AG$2:$AG$1001,0),0), INDEX($AN$1004:$BO$1004,1,MATCH(COLUMNS($AN$1006:AT1006),$AN$1006:$BO$1006,0)))),"Fix")))</f>
        <v>0</v>
      </c>
      <c r="I501" s="4">
        <f>IF(OR(INDEX($AH$2:$AH$1001,MATCH(ROWS($AG$2:AG501),$AG$2:$AG$1001,0),1)&gt;=100000,INDEX($AN$1005:$BO$1005,1,MATCH(COLUMNS($AN$1006:AU1006),$AN$1006:$BO$1006,0))&gt;=100000), " ",IF(INDEX($AN$2:$BO$1001,MATCH(ROWS($AG$2:AG501),$AG$2:$AG$1001,0),MATCH(COLUMNS($AN$1006:AU1006),$AN$1006:$BO$1006,0)), HYPERLINK("#",""), HYPERLINK(CONCATENATE("#Metadata!", ADDRESS(INDEX($AI$2:$AI$1001,MATCH(ROWS($AG$2:AG501),$AG$2:$AG$1001,0),0), INDEX($AN$1004:$BO$1004,1,MATCH(COLUMNS($AN$1006:AU1006),$AN$1006:$BO$1006,0)))),"Fix")))</f>
        <v>0</v>
      </c>
      <c r="J501" s="4">
        <f>IF(OR(INDEX($AH$2:$AH$1001,MATCH(ROWS($AG$2:AG501),$AG$2:$AG$1001,0),1)&gt;=100000,INDEX($AN$1005:$BO$1005,1,MATCH(COLUMNS($AN$1006:AV1006),$AN$1006:$BO$1006,0))&gt;=100000), " ",IF(INDEX($AN$2:$BO$1001,MATCH(ROWS($AG$2:AG501),$AG$2:$AG$1001,0),MATCH(COLUMNS($AN$1006:AV1006),$AN$1006:$BO$1006,0)), HYPERLINK("#",""), HYPERLINK(CONCATENATE("#Metadata!", ADDRESS(INDEX($AI$2:$AI$1001,MATCH(ROWS($AG$2:AG501),$AG$2:$AG$1001,0),0), INDEX($AN$1004:$BO$1004,1,MATCH(COLUMNS($AN$1006:AV1006),$AN$1006:$BO$1006,0)))),"Fix")))</f>
        <v>0</v>
      </c>
      <c r="K501" s="4">
        <f>IF(OR(INDEX($AH$2:$AH$1001,MATCH(ROWS($AG$2:AG501),$AG$2:$AG$1001,0),1)&gt;=100000,INDEX($AN$1005:$BO$1005,1,MATCH(COLUMNS($AN$1006:AW1006),$AN$1006:$BO$1006,0))&gt;=100000), " ",IF(INDEX($AN$2:$BO$1001,MATCH(ROWS($AG$2:AG501),$AG$2:$AG$1001,0),MATCH(COLUMNS($AN$1006:AW1006),$AN$1006:$BO$1006,0)), HYPERLINK("#",""), HYPERLINK(CONCATENATE("#Metadata!", ADDRESS(INDEX($AI$2:$AI$1001,MATCH(ROWS($AG$2:AG501),$AG$2:$AG$1001,0),0), INDEX($AN$1004:$BO$1004,1,MATCH(COLUMNS($AN$1006:AW1006),$AN$1006:$BO$1006,0)))),"Fix")))</f>
        <v>0</v>
      </c>
      <c r="L501" s="4">
        <f>IF(OR(INDEX($AH$2:$AH$1001,MATCH(ROWS($AG$2:AG501),$AG$2:$AG$1001,0),1)&gt;=100000,INDEX($AN$1005:$BO$1005,1,MATCH(COLUMNS($AN$1006:AX1006),$AN$1006:$BO$1006,0))&gt;=100000), " ",IF(INDEX($AN$2:$BO$1001,MATCH(ROWS($AG$2:AG501),$AG$2:$AG$1001,0),MATCH(COLUMNS($AN$1006:AX1006),$AN$1006:$BO$1006,0)), HYPERLINK("#",""), HYPERLINK(CONCATENATE("#Metadata!", ADDRESS(INDEX($AI$2:$AI$1001,MATCH(ROWS($AG$2:AG501),$AG$2:$AG$1001,0),0), INDEX($AN$1004:$BO$1004,1,MATCH(COLUMNS($AN$1006:AX1006),$AN$1006:$BO$1006,0)))),"Fix")))</f>
        <v>0</v>
      </c>
      <c r="M501" s="4">
        <f>IF(OR(INDEX($AH$2:$AH$1001,MATCH(ROWS($AG$2:AG501),$AG$2:$AG$1001,0),1)&gt;=100000,INDEX($AN$1005:$BO$1005,1,MATCH(COLUMNS($AN$1006:AY1006),$AN$1006:$BO$1006,0))&gt;=100000), " ",IF(INDEX($AN$2:$BO$1001,MATCH(ROWS($AG$2:AG501),$AG$2:$AG$1001,0),MATCH(COLUMNS($AN$1006:AY1006),$AN$1006:$BO$1006,0)), HYPERLINK("#",""), HYPERLINK(CONCATENATE("#Metadata!", ADDRESS(INDEX($AI$2:$AI$1001,MATCH(ROWS($AG$2:AG501),$AG$2:$AG$1001,0),0), INDEX($AN$1004:$BO$1004,1,MATCH(COLUMNS($AN$1006:AY1006),$AN$1006:$BO$1006,0)))),"Fix")))</f>
        <v>0</v>
      </c>
      <c r="N501" s="4">
        <f>IF(OR(INDEX($AH$2:$AH$1001,MATCH(ROWS($AG$2:AG501),$AG$2:$AG$1001,0),1)&gt;=100000,INDEX($AN$1005:$BO$1005,1,MATCH(COLUMNS($AN$1006:AZ1006),$AN$1006:$BO$1006,0))&gt;=100000), " ",IF(INDEX($AN$2:$BO$1001,MATCH(ROWS($AG$2:AG501),$AG$2:$AG$1001,0),MATCH(COLUMNS($AN$1006:AZ1006),$AN$1006:$BO$1006,0)), HYPERLINK("#",""), HYPERLINK(CONCATENATE("#Metadata!", ADDRESS(INDEX($AI$2:$AI$1001,MATCH(ROWS($AG$2:AG501),$AG$2:$AG$1001,0),0), INDEX($AN$1004:$BO$1004,1,MATCH(COLUMNS($AN$1006:AZ1006),$AN$1006:$BO$1006,0)))),"Fix")))</f>
        <v>0</v>
      </c>
      <c r="O501" s="4">
        <f>IF(OR(INDEX($AH$2:$AH$1001,MATCH(ROWS($AG$2:AG501),$AG$2:$AG$1001,0),1)&gt;=100000,INDEX($AN$1005:$BO$1005,1,MATCH(COLUMNS($AN$1006:BA1006),$AN$1006:$BO$1006,0))&gt;=100000), " ",IF(INDEX($AN$2:$BO$1001,MATCH(ROWS($AG$2:AG501),$AG$2:$AG$1001,0),MATCH(COLUMNS($AN$1006:BA1006),$AN$1006:$BO$1006,0)), HYPERLINK("#",""), HYPERLINK(CONCATENATE("#Metadata!", ADDRESS(INDEX($AI$2:$AI$1001,MATCH(ROWS($AG$2:AG501),$AG$2:$AG$1001,0),0), INDEX($AN$1004:$BO$1004,1,MATCH(COLUMNS($AN$1006:BA1006),$AN$1006:$BO$1006,0)))),"Fix")))</f>
        <v>0</v>
      </c>
      <c r="P501" s="4">
        <f>IF(OR(INDEX($AH$2:$AH$1001,MATCH(ROWS($AG$2:AG501),$AG$2:$AG$1001,0),1)&gt;=100000,INDEX($AN$1005:$BO$1005,1,MATCH(COLUMNS($AN$1006:BB1006),$AN$1006:$BO$1006,0))&gt;=100000), " ",IF(INDEX($AN$2:$BO$1001,MATCH(ROWS($AG$2:AG501),$AG$2:$AG$1001,0),MATCH(COLUMNS($AN$1006:BB1006),$AN$1006:$BO$1006,0)), HYPERLINK("#",""), HYPERLINK(CONCATENATE("#Metadata!", ADDRESS(INDEX($AI$2:$AI$1001,MATCH(ROWS($AG$2:AG501),$AG$2:$AG$1001,0),0), INDEX($AN$1004:$BO$1004,1,MATCH(COLUMNS($AN$1006:BB1006),$AN$1006:$BO$1006,0)))),"Fix")))</f>
        <v>0</v>
      </c>
      <c r="Q501" s="4">
        <f>IF(OR(INDEX($AH$2:$AH$1001,MATCH(ROWS($AG$2:AG501),$AG$2:$AG$1001,0),1)&gt;=100000,INDEX($AN$1005:$BO$1005,1,MATCH(COLUMNS($AN$1006:BC1006),$AN$1006:$BO$1006,0))&gt;=100000), " ",IF(INDEX($AN$2:$BO$1001,MATCH(ROWS($AG$2:AG501),$AG$2:$AG$1001,0),MATCH(COLUMNS($AN$1006:BC1006),$AN$1006:$BO$1006,0)), HYPERLINK("#",""), HYPERLINK(CONCATENATE("#Metadata!", ADDRESS(INDEX($AI$2:$AI$1001,MATCH(ROWS($AG$2:AG501),$AG$2:$AG$1001,0),0), INDEX($AN$1004:$BO$1004,1,MATCH(COLUMNS($AN$1006:BC1006),$AN$1006:$BO$1006,0)))),"Fix")))</f>
        <v>0</v>
      </c>
      <c r="R501" s="4">
        <f>IF(OR(INDEX($AH$2:$AH$1001,MATCH(ROWS($AG$2:AG501),$AG$2:$AG$1001,0),1)&gt;=100000,INDEX($AN$1005:$BO$1005,1,MATCH(COLUMNS($AN$1006:BD1006),$AN$1006:$BO$1006,0))&gt;=100000), " ",IF(INDEX($AN$2:$BO$1001,MATCH(ROWS($AG$2:AG501),$AG$2:$AG$1001,0),MATCH(COLUMNS($AN$1006:BD1006),$AN$1006:$BO$1006,0)), HYPERLINK("#",""), HYPERLINK(CONCATENATE("#Metadata!", ADDRESS(INDEX($AI$2:$AI$1001,MATCH(ROWS($AG$2:AG501),$AG$2:$AG$1001,0),0), INDEX($AN$1004:$BO$1004,1,MATCH(COLUMNS($AN$1006:BD1006),$AN$1006:$BO$1006,0)))),"Fix")))</f>
        <v>0</v>
      </c>
      <c r="S501" s="4">
        <f>IF(OR(INDEX($AH$2:$AH$1001,MATCH(ROWS($AG$2:AG501),$AG$2:$AG$1001,0),1)&gt;=100000,INDEX($AN$1005:$BO$1005,1,MATCH(COLUMNS($AN$1006:BE1006),$AN$1006:$BO$1006,0))&gt;=100000), " ",IF(INDEX($AN$2:$BO$1001,MATCH(ROWS($AG$2:AG501),$AG$2:$AG$1001,0),MATCH(COLUMNS($AN$1006:BE1006),$AN$1006:$BO$1006,0)), HYPERLINK("#",""), HYPERLINK(CONCATENATE("#Metadata!", ADDRESS(INDEX($AI$2:$AI$1001,MATCH(ROWS($AG$2:AG501),$AG$2:$AG$1001,0),0), INDEX($AN$1004:$BO$1004,1,MATCH(COLUMNS($AN$1006:BE1006),$AN$1006:$BO$1006,0)))),"Fix")))</f>
        <v>0</v>
      </c>
      <c r="T501" s="4">
        <f>IF(OR(INDEX($AH$2:$AH$1001,MATCH(ROWS($AG$2:AG501),$AG$2:$AG$1001,0),1)&gt;=100000,INDEX($AN$1005:$BO$1005,1,MATCH(COLUMNS($AN$1006:BF1006),$AN$1006:$BO$1006,0))&gt;=100000), " ",IF(INDEX($AN$2:$BO$1001,MATCH(ROWS($AG$2:AG501),$AG$2:$AG$1001,0),MATCH(COLUMNS($AN$1006:BF1006),$AN$1006:$BO$1006,0)), HYPERLINK("#",""), HYPERLINK(CONCATENATE("#Metadata!", ADDRESS(INDEX($AI$2:$AI$1001,MATCH(ROWS($AG$2:AG501),$AG$2:$AG$1001,0),0), INDEX($AN$1004:$BO$1004,1,MATCH(COLUMNS($AN$1006:BF1006),$AN$1006:$BO$1006,0)))),"Fix")))</f>
        <v>0</v>
      </c>
      <c r="U501" s="4">
        <f>IF(OR(INDEX($AH$2:$AH$1001,MATCH(ROWS($AG$2:AG501),$AG$2:$AG$1001,0),1)&gt;=100000,INDEX($AN$1005:$BO$1005,1,MATCH(COLUMNS($AN$1006:BG1006),$AN$1006:$BO$1006,0))&gt;=100000), " ",IF(INDEX($AN$2:$BO$1001,MATCH(ROWS($AG$2:AG501),$AG$2:$AG$1001,0),MATCH(COLUMNS($AN$1006:BG1006),$AN$1006:$BO$1006,0)), HYPERLINK("#",""), HYPERLINK(CONCATENATE("#Metadata!", ADDRESS(INDEX($AI$2:$AI$1001,MATCH(ROWS($AG$2:AG501),$AG$2:$AG$1001,0),0), INDEX($AN$1004:$BO$1004,1,MATCH(COLUMNS($AN$1006:BG1006),$AN$1006:$BO$1006,0)))),"Fix")))</f>
        <v>0</v>
      </c>
      <c r="V501" s="4">
        <f>IF(OR(INDEX($AH$2:$AH$1001,MATCH(ROWS($AG$2:AG501),$AG$2:$AG$1001,0),1)&gt;=100000,INDEX($AN$1005:$BO$1005,1,MATCH(COLUMNS($AN$1006:BH1006),$AN$1006:$BO$1006,0))&gt;=100000), " ",IF(INDEX($AN$2:$BO$1001,MATCH(ROWS($AG$2:AG501),$AG$2:$AG$1001,0),MATCH(COLUMNS($AN$1006:BH1006),$AN$1006:$BO$1006,0)), HYPERLINK("#",""), HYPERLINK(CONCATENATE("#Metadata!", ADDRESS(INDEX($AI$2:$AI$1001,MATCH(ROWS($AG$2:AG501),$AG$2:$AG$1001,0),0), INDEX($AN$1004:$BO$1004,1,MATCH(COLUMNS($AN$1006:BH1006),$AN$1006:$BO$1006,0)))),"Fix")))</f>
        <v>0</v>
      </c>
      <c r="W501" s="4">
        <f>IF(OR(INDEX($AH$2:$AH$1001,MATCH(ROWS($AG$2:AG501),$AG$2:$AG$1001,0),1)&gt;=100000,INDEX($AN$1005:$BO$1005,1,MATCH(COLUMNS($AN$1006:BI1006),$AN$1006:$BO$1006,0))&gt;=100000), " ",IF(INDEX($AN$2:$BO$1001,MATCH(ROWS($AG$2:AG501),$AG$2:$AG$1001,0),MATCH(COLUMNS($AN$1006:BI1006),$AN$1006:$BO$1006,0)), HYPERLINK("#",""), HYPERLINK(CONCATENATE("#Metadata!", ADDRESS(INDEX($AI$2:$AI$1001,MATCH(ROWS($AG$2:AG501),$AG$2:$AG$1001,0),0), INDEX($AN$1004:$BO$1004,1,MATCH(COLUMNS($AN$1006:BI1006),$AN$1006:$BO$1006,0)))),"Fix")))</f>
        <v>0</v>
      </c>
      <c r="X501" s="4">
        <f>IF(OR(INDEX($AH$2:$AH$1001,MATCH(ROWS($AG$2:AG501),$AG$2:$AG$1001,0),1)&gt;=100000,INDEX($AN$1005:$BO$1005,1,MATCH(COLUMNS($AN$1006:BJ1006),$AN$1006:$BO$1006,0))&gt;=100000), " ",IF(INDEX($AN$2:$BO$1001,MATCH(ROWS($AG$2:AG501),$AG$2:$AG$1001,0),MATCH(COLUMNS($AN$1006:BJ1006),$AN$1006:$BO$1006,0)), HYPERLINK("#",""), HYPERLINK(CONCATENATE("#Metadata!", ADDRESS(INDEX($AI$2:$AI$1001,MATCH(ROWS($AG$2:AG501),$AG$2:$AG$1001,0),0), INDEX($AN$1004:$BO$1004,1,MATCH(COLUMNS($AN$1006:BJ1006),$AN$1006:$BO$1006,0)))),"Fix")))</f>
        <v>0</v>
      </c>
      <c r="Y501" s="4">
        <f>IF(OR(INDEX($AH$2:$AH$1001,MATCH(ROWS($AG$2:AG501),$AG$2:$AG$1001,0),1)&gt;=100000,INDEX($AN$1005:$BO$1005,1,MATCH(COLUMNS($AN$1006:BK1006),$AN$1006:$BO$1006,0))&gt;=100000), " ",IF(INDEX($AN$2:$BO$1001,MATCH(ROWS($AG$2:AG501),$AG$2:$AG$1001,0),MATCH(COLUMNS($AN$1006:BK1006),$AN$1006:$BO$1006,0)), HYPERLINK("#",""), HYPERLINK(CONCATENATE("#Metadata!", ADDRESS(INDEX($AI$2:$AI$1001,MATCH(ROWS($AG$2:AG501),$AG$2:$AG$1001,0),0), INDEX($AN$1004:$BO$1004,1,MATCH(COLUMNS($AN$1006:BK1006),$AN$1006:$BO$1006,0)))),"Fix")))</f>
        <v>0</v>
      </c>
      <c r="Z501" s="4">
        <f>IF(OR(INDEX($AH$2:$AH$1001,MATCH(ROWS($AG$2:AG501),$AG$2:$AG$1001,0),1)&gt;=100000,INDEX($AN$1005:$BO$1005,1,MATCH(COLUMNS($AN$1006:BL1006),$AN$1006:$BO$1006,0))&gt;=100000), " ",IF(INDEX($AN$2:$BO$1001,MATCH(ROWS($AG$2:AG501),$AG$2:$AG$1001,0),MATCH(COLUMNS($AN$1006:BL1006),$AN$1006:$BO$1006,0)), HYPERLINK("#",""), HYPERLINK(CONCATENATE("#Metadata!", ADDRESS(INDEX($AI$2:$AI$1001,MATCH(ROWS($AG$2:AG501),$AG$2:$AG$1001,0),0), INDEX($AN$1004:$BO$1004,1,MATCH(COLUMNS($AN$1006:BL1006),$AN$1006:$BO$1006,0)))),"Fix")))</f>
        <v>0</v>
      </c>
      <c r="AA501" s="4">
        <f>IF(OR(INDEX($AH$2:$AH$1001,MATCH(ROWS($AG$2:AG501),$AG$2:$AG$1001,0),1)&gt;=100000,INDEX($AN$1005:$BO$1005,1,MATCH(COLUMNS($AN$1006:BM1006),$AN$1006:$BO$1006,0))&gt;=100000), " ",IF(INDEX($AN$2:$BO$1001,MATCH(ROWS($AG$2:AG501),$AG$2:$AG$1001,0),MATCH(COLUMNS($AN$1006:BM1006),$AN$1006:$BO$1006,0)), HYPERLINK("#",""), HYPERLINK(CONCATENATE("#Metadata!", ADDRESS(INDEX($AI$2:$AI$1001,MATCH(ROWS($AG$2:AG501),$AG$2:$AG$1001,0),0), INDEX($AN$1004:$BO$1004,1,MATCH(COLUMNS($AN$1006:BM1006),$AN$1006:$BO$1006,0)))),"Fix")))</f>
        <v>0</v>
      </c>
      <c r="AB501" s="4">
        <f>IF(OR(INDEX($AH$2:$AH$1001,MATCH(ROWS($AG$2:AG501),$AG$2:$AG$1001,0),1)&gt;=100000,INDEX($AN$1005:$BO$1005,1,MATCH(COLUMNS($AN$1006:BN1006),$AN$1006:$BO$1006,0))&gt;=100000), " ",IF(INDEX($AN$2:$BO$1001,MATCH(ROWS($AG$2:AG501),$AG$2:$AG$1001,0),MATCH(COLUMNS($AN$1006:BN1006),$AN$1006:$BO$1006,0)), HYPERLINK("#",""), HYPERLINK(CONCATENATE("#Metadata!", ADDRESS(INDEX($AI$2:$AI$1001,MATCH(ROWS($AG$2:AG501),$AG$2:$AG$1001,0),0), INDEX($AN$1004:$BO$1004,1,MATCH(COLUMNS($AN$1006:BN1006),$AN$1006:$BO$1006,0)))),"Fix")))</f>
        <v>0</v>
      </c>
      <c r="AC501" s="4">
        <f>IF(OR(INDEX($AH$2:$AH$1001,MATCH(ROWS($AG$2:AG501),$AG$2:$AG$1001,0),1)&gt;=100000,INDEX($AN$1005:$BO$1005,1,MATCH(COLUMNS($AN$1006:BO1006),$AN$1006:$BO$1006,0))&gt;=100000), " ",IF(INDEX($AN$2:$BO$1001,MATCH(ROWS($AG$2:AG501),$AG$2:$AG$1001,0),MATCH(COLUMNS($AN$1006:BO1006),$AN$1006:$BO$1006,0)), HYPERLINK("#",""), HYPERLINK(CONCATENATE("#Metadata!", ADDRESS(INDEX($AI$2:$AI$1001,MATCH(ROWS($AG$2:AG501),$AG$2:$AG$1001,0),0), INDEX($AN$1004:$BO$1004,1,MATCH(COLUMNS($AN$1006:BO1006),$AN$1006:$BO$1006,0)))),"Fix")))</f>
        <v>0</v>
      </c>
      <c r="AG501">
        <v>0</v>
      </c>
      <c r="AH501">
        <v>0</v>
      </c>
      <c r="AI501">
        <v>0</v>
      </c>
      <c r="AJ501">
        <f>IF(AK501,TRUE,AND(AN501:BO501))</f>
        <v>0</v>
      </c>
      <c r="AK501">
        <f>COUNTBLANK(Metadata!B501:AC501)=COLUMNS(Metadata!B501:AC501)</f>
        <v>0</v>
      </c>
      <c r="AL501">
        <v>0</v>
      </c>
      <c r="AN501">
        <f>AND(IF(Metadata!B501="",FALSE,TRUE),COUNTIF(Metadata!B:B, Metadata!B501) = 1,NOT(ISERROR(SUMPRODUCT(SEARCH(MID(Metadata!B501,ROW(INDIRECT("1:"&amp;LEN(Metadata!B501))), 1),"0123456789abcdefghijklmnopqrstuvwxyzABCDEFGHIJKLMNOPQRSTUVWXYZ.")))))</f>
        <v>0</v>
      </c>
      <c r="AO501">
        <f>IF(Metadata!C501="",FALSE,TRUE)</f>
        <v>0</v>
      </c>
      <c r="AP501">
        <f>IF(Metadata!D501="",FALSE,TRUE)</f>
        <v>0</v>
      </c>
      <c r="AQ501">
        <f>OR(AND(IF(Metadata!E501="",FALSE,TRUE),OR(exact(Metadata!E501,"not collected"),exact(Metadata!E501,"not provided"),exact(Metadata!E501,"restricted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R501">
        <f>IF(Metadata!F501="",FALSE,TRUE)</f>
        <v>0</v>
      </c>
      <c r="AS501">
        <f>OR(AND(IF(Metadata!G501="",FALSE,TRUE),OR(exact(Metadata!G501,"not collected"),exact(Metadata!G501,"not provided"))),AND(IF(Metadata!G501="",FALSE,TRUE),OR(exact(Metadata!G501,"TRUE"),exact(Metadata!G501,"FALSE"))))</f>
        <v>0</v>
      </c>
      <c r="AT501">
        <f>OR(AND(IF(Metadata!H501="",FALSE,TRUE),OR(exact(Metadata!H501,"not collected"),exact(Metadata!H501,"not provided"),exact(Metadata!H501,"restricted access"))),AND(IF(Metadata!H501="",FALSE,ISNUMBER(VALUE(Metadata!H501))),Metadata!H501&gt;=-413.0))</f>
        <v>0</v>
      </c>
      <c r="AU501">
        <f>AND(IF(Metadata!I501="",FALSE,TRUE),exact(Metadata!I501,"meters"))</f>
        <v>0</v>
      </c>
      <c r="AV501">
        <f>AND(IF(Metadata!J501="",FALSE,TRUE),OR(exact(Metadata!J501,"Host-associated"),exact(Metadata!J501,"Free-living")))</f>
        <v>0</v>
      </c>
      <c r="AW501">
        <f>AND(IF(Metadata!K501="",FALSE,TRUE),OR(exact(Metadata!K501,"Animal"),exact(Metadata!K501,"Fungus"),exact(Metadata!K501,"Plant"),exact(Metadata!K501,"Saline"),exact(Metadata!K501,"Non-saline")))</f>
        <v>0</v>
      </c>
      <c r="AX501">
        <f>AND(IF(Metadata!L501="",FALSE,TRUE),OR(exact(Metadata!L501,"Plant secretion"),exact(Metadata!L501,"Plant rhizosphere"),exact(Metadata!L501,"Plant surface"),exact(Metadata!L501,"Plant corpus"),exact(Metadata!L501,"Fungus surface"),exact(Metadata!L501,"Fungus corpus"),exact(Metadata!L501,"Animal surface"),exact(Metadata!L501,"Animal proximal gut"),exact(Metadata!L501,"Animal corpus"),exact(Metadata!L501,"Animal distal gut"),exact(Metadata!L501,"Animal secretion"),exact(Metadata!L501,"Sub-surface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Y501">
        <f>IF(Metadata!M501="",FALSE,TRUE)</f>
        <v>0</v>
      </c>
      <c r="AZ501">
        <f>IF(Metadata!N501="",FALSE,TRUE)</f>
        <v>0</v>
      </c>
      <c r="BA501">
        <f>IF(Metadata!O501="",FALSE,TRUE)</f>
        <v>0</v>
      </c>
      <c r="BB501">
        <f>OR(AND(IF(Metadata!P501="",FALSE,TRUE),OR(exact(Metadata!P501,"not collected"),exact(Metadata!P501,"not provided"),exact(Metadata!P501,"restricted access"))),AND(IF(Metadata!P501="",FALSE,TRUE),OR(exact(Metadata!P501,"air"),exact(Metadata!P501,"built environment"),exact(Metadata!P501,"host-associated"),exact(Metadata!P501,"human-associated"),exact(Metadata!P501,"human-skin"),exact(Metadata!P501,"human-oral"),exact(Metadata!P501,"human-gut"),exact(Metadata!P501,"human-vaginal"),exact(Metadata!P501,"microbial mat/biofilm"),exact(Metadata!P501,"misc environment"),exact(Metadata!P501,"plant-associated"),exact(Metadata!P501,"sediment"),exact(Metadata!P501,"soil"),exact(Metadata!P501,"wastewater/sludge"),exact(Metadata!P501,"water"))))</f>
        <v>0</v>
      </c>
      <c r="BC501">
        <f>IF(Metadata!Q501="",FALSE,TRUE)</f>
        <v>0</v>
      </c>
      <c r="BD501">
        <f>IF(Metadata!R501="",FALSE,TRUE)</f>
        <v>0</v>
      </c>
      <c r="BE501">
        <f>OR(AND(IF(Metadata!S501="",FALSE,TRUE),OR(exact(Metadata!S501,"not collected"),exact(Metadata!S501,"not provided"),exact(Metadata!S501,"restricted access"))),AND(IF(Metadata!S501="",FALSE,ISNUMBER(VALUE(Metadata!S501))),Metadata!S501&gt;=-90.00,Metadata!S501&lt;=90.00))</f>
        <v>0</v>
      </c>
      <c r="BF501">
        <f>AND(IF(Metadata!T501="",FALSE,TRUE),exact(Metadata!T501,"Decimal degrees"))</f>
        <v>0</v>
      </c>
      <c r="BG501">
        <f>OR(AND(IF(Metadata!U501="",FALSE,TRUE),OR(exact(Metadata!U501,"not collected"),exact(Metadata!U501,"not provided"),exact(Metadata!U501,"restricted access"))),AND(IF(Metadata!U501="",FALSE,ISNUMBER(VALUE(Metadata!U501))),Metadata!U501&gt;=-180.00,Metadata!U501&lt;=180.00))</f>
        <v>0</v>
      </c>
      <c r="BH501">
        <f>AND(IF(Metadata!V501="",FALSE,TRUE),exact(Metadata!V501,"Decimal degrees"))</f>
        <v>0</v>
      </c>
      <c r="BI501">
        <f>IF(Metadata!W501="",FALSE,TRUE)</f>
        <v>0</v>
      </c>
      <c r="BJ501">
        <f>OR(AND(IF(Metadata!X501="",FALSE,TRUE),OR(exact(Metadata!X501,"not collected"),exact(Metadata!X501,"not provided"),exact(Metadata!X501,"restricted access"))),AND(IF(Metadata!X501="",FALSE,TRUE),OR(exact(Metadata!X501,"TRUE"),exact(Metadata!X501,"FALSE"))))</f>
        <v>0</v>
      </c>
      <c r="BK501">
        <f>AND(IF(Metadata!Y501="",FALSE,TRUE),exact(Metadata!Y501,"other"))</f>
        <v>0</v>
      </c>
      <c r="BL501">
        <f>IF(Metadata!Z501="",FALSE,TRUE)</f>
        <v>0</v>
      </c>
      <c r="BM501">
        <f>OR(AND(IF(Metadata!AA501="",FALSE,TRUE),OR(exact(Metadata!AA501,"not collected"),exact(Metadata!AA501,"not provided"))),AND(IF(Metadata!AA501="",FALSE,IF(ISERROR(INT(Metadata!AA501)),FALSE,INT(Metadata!AA501)=Metadata!AA501)),Metadata!AA501&gt;0))</f>
        <v>0</v>
      </c>
      <c r="BN501">
        <f>AND(IF(Metadata!AB501="",FALSE,TRUE),exact(Metadata!AB501,"Not applicable"))</f>
        <v>0</v>
      </c>
      <c r="BO501">
        <f>IF(Metadata!AC501="",FALSE,TRUE)</f>
        <v>0</v>
      </c>
    </row>
    <row r="502" spans="1:67">
      <c r="A502" s="5">
        <f>IF(B502=" "," ",HYPERLINK(CONCATENATE("#metadata!",ADDRESS(INDEX($AI$2:$AI$1001,MATCH(ROWS($AG$2:AG502),$AG$2:$AG$1001,0),0),1)),INDEX($AL$2:$AL$1001,MATCH(ROWS($AG$2:AG502),$AG$2:$AG$1001,0),0)))</f>
        <v>0</v>
      </c>
      <c r="B502" s="4">
        <f>IF(OR(INDEX($AH$2:$AH$1001,MATCH(ROWS($AG$2:AG502),$AG$2:$AG$1001,0),1)&gt;=100000,INDEX($AN$1005:$BO$1005,1,MATCH(COLUMNS($AN$1006:AN1006),$AN$1006:$BO$1006,0))&gt;=100000), " ",IF(INDEX($AN$2:$BO$1001,MATCH(ROWS($AG$2:AG502),$AG$2:$AG$1001,0),MATCH(COLUMNS($AN$1006:AN1006),$AN$1006:$BO$1006,0)), HYPERLINK("#",""), HYPERLINK(CONCATENATE("#Metadata!", ADDRESS(INDEX($AI$2:$AI$1001,MATCH(ROWS($AG$2:AG502),$AG$2:$AG$1001,0),0), INDEX($AN$1004:$BO$1004,1,MATCH(COLUMNS($AN$1006:AN1006),$AN$1006:$BO$1006,0)))),"Fix")))</f>
        <v>0</v>
      </c>
      <c r="C502" s="4">
        <f>IF(OR(INDEX($AH$2:$AH$1001,MATCH(ROWS($AG$2:AG502),$AG$2:$AG$1001,0),1)&gt;=100000,INDEX($AN$1005:$BO$1005,1,MATCH(COLUMNS($AN$1006:AO1006),$AN$1006:$BO$1006,0))&gt;=100000), " ",IF(INDEX($AN$2:$BO$1001,MATCH(ROWS($AG$2:AG502),$AG$2:$AG$1001,0),MATCH(COLUMNS($AN$1006:AO1006),$AN$1006:$BO$1006,0)), HYPERLINK("#",""), HYPERLINK(CONCATENATE("#Metadata!", ADDRESS(INDEX($AI$2:$AI$1001,MATCH(ROWS($AG$2:AG502),$AG$2:$AG$1001,0),0), INDEX($AN$1004:$BO$1004,1,MATCH(COLUMNS($AN$1006:AO1006),$AN$1006:$BO$1006,0)))),"Fix")))</f>
        <v>0</v>
      </c>
      <c r="D502" s="4">
        <f>IF(OR(INDEX($AH$2:$AH$1001,MATCH(ROWS($AG$2:AG502),$AG$2:$AG$1001,0),1)&gt;=100000,INDEX($AN$1005:$BO$1005,1,MATCH(COLUMNS($AN$1006:AP1006),$AN$1006:$BO$1006,0))&gt;=100000), " ",IF(INDEX($AN$2:$BO$1001,MATCH(ROWS($AG$2:AG502),$AG$2:$AG$1001,0),MATCH(COLUMNS($AN$1006:AP1006),$AN$1006:$BO$1006,0)), HYPERLINK("#",""), HYPERLINK(CONCATENATE("#Metadata!", ADDRESS(INDEX($AI$2:$AI$1001,MATCH(ROWS($AG$2:AG502),$AG$2:$AG$1001,0),0), INDEX($AN$1004:$BO$1004,1,MATCH(COLUMNS($AN$1006:AP1006),$AN$1006:$BO$1006,0)))),"Fix")))</f>
        <v>0</v>
      </c>
      <c r="E502" s="4">
        <f>IF(OR(INDEX($AH$2:$AH$1001,MATCH(ROWS($AG$2:AG502),$AG$2:$AG$1001,0),1)&gt;=100000,INDEX($AN$1005:$BO$1005,1,MATCH(COLUMNS($AN$1006:AQ1006),$AN$1006:$BO$1006,0))&gt;=100000), " ",IF(INDEX($AN$2:$BO$1001,MATCH(ROWS($AG$2:AG502),$AG$2:$AG$1001,0),MATCH(COLUMNS($AN$1006:AQ1006),$AN$1006:$BO$1006,0)), HYPERLINK("#",""), HYPERLINK(CONCATENATE("#Metadata!", ADDRESS(INDEX($AI$2:$AI$1001,MATCH(ROWS($AG$2:AG502),$AG$2:$AG$1001,0),0), INDEX($AN$1004:$BO$1004,1,MATCH(COLUMNS($AN$1006:AQ1006),$AN$1006:$BO$1006,0)))),"Fix")))</f>
        <v>0</v>
      </c>
      <c r="F502" s="4">
        <f>IF(OR(INDEX($AH$2:$AH$1001,MATCH(ROWS($AG$2:AG502),$AG$2:$AG$1001,0),1)&gt;=100000,INDEX($AN$1005:$BO$1005,1,MATCH(COLUMNS($AN$1006:AR1006),$AN$1006:$BO$1006,0))&gt;=100000), " ",IF(INDEX($AN$2:$BO$1001,MATCH(ROWS($AG$2:AG502),$AG$2:$AG$1001,0),MATCH(COLUMNS($AN$1006:AR1006),$AN$1006:$BO$1006,0)), HYPERLINK("#",""), HYPERLINK(CONCATENATE("#Metadata!", ADDRESS(INDEX($AI$2:$AI$1001,MATCH(ROWS($AG$2:AG502),$AG$2:$AG$1001,0),0), INDEX($AN$1004:$BO$1004,1,MATCH(COLUMNS($AN$1006:AR1006),$AN$1006:$BO$1006,0)))),"Fix")))</f>
        <v>0</v>
      </c>
      <c r="G502" s="4">
        <f>IF(OR(INDEX($AH$2:$AH$1001,MATCH(ROWS($AG$2:AG502),$AG$2:$AG$1001,0),1)&gt;=100000,INDEX($AN$1005:$BO$1005,1,MATCH(COLUMNS($AN$1006:AS1006),$AN$1006:$BO$1006,0))&gt;=100000), " ",IF(INDEX($AN$2:$BO$1001,MATCH(ROWS($AG$2:AG502),$AG$2:$AG$1001,0),MATCH(COLUMNS($AN$1006:AS1006),$AN$1006:$BO$1006,0)), HYPERLINK("#",""), HYPERLINK(CONCATENATE("#Metadata!", ADDRESS(INDEX($AI$2:$AI$1001,MATCH(ROWS($AG$2:AG502),$AG$2:$AG$1001,0),0), INDEX($AN$1004:$BO$1004,1,MATCH(COLUMNS($AN$1006:AS1006),$AN$1006:$BO$1006,0)))),"Fix")))</f>
        <v>0</v>
      </c>
      <c r="H502" s="4">
        <f>IF(OR(INDEX($AH$2:$AH$1001,MATCH(ROWS($AG$2:AG502),$AG$2:$AG$1001,0),1)&gt;=100000,INDEX($AN$1005:$BO$1005,1,MATCH(COLUMNS($AN$1006:AT1006),$AN$1006:$BO$1006,0))&gt;=100000), " ",IF(INDEX($AN$2:$BO$1001,MATCH(ROWS($AG$2:AG502),$AG$2:$AG$1001,0),MATCH(COLUMNS($AN$1006:AT1006),$AN$1006:$BO$1006,0)), HYPERLINK("#",""), HYPERLINK(CONCATENATE("#Metadata!", ADDRESS(INDEX($AI$2:$AI$1001,MATCH(ROWS($AG$2:AG502),$AG$2:$AG$1001,0),0), INDEX($AN$1004:$BO$1004,1,MATCH(COLUMNS($AN$1006:AT1006),$AN$1006:$BO$1006,0)))),"Fix")))</f>
        <v>0</v>
      </c>
      <c r="I502" s="4">
        <f>IF(OR(INDEX($AH$2:$AH$1001,MATCH(ROWS($AG$2:AG502),$AG$2:$AG$1001,0),1)&gt;=100000,INDEX($AN$1005:$BO$1005,1,MATCH(COLUMNS($AN$1006:AU1006),$AN$1006:$BO$1006,0))&gt;=100000), " ",IF(INDEX($AN$2:$BO$1001,MATCH(ROWS($AG$2:AG502),$AG$2:$AG$1001,0),MATCH(COLUMNS($AN$1006:AU1006),$AN$1006:$BO$1006,0)), HYPERLINK("#",""), HYPERLINK(CONCATENATE("#Metadata!", ADDRESS(INDEX($AI$2:$AI$1001,MATCH(ROWS($AG$2:AG502),$AG$2:$AG$1001,0),0), INDEX($AN$1004:$BO$1004,1,MATCH(COLUMNS($AN$1006:AU1006),$AN$1006:$BO$1006,0)))),"Fix")))</f>
        <v>0</v>
      </c>
      <c r="J502" s="4">
        <f>IF(OR(INDEX($AH$2:$AH$1001,MATCH(ROWS($AG$2:AG502),$AG$2:$AG$1001,0),1)&gt;=100000,INDEX($AN$1005:$BO$1005,1,MATCH(COLUMNS($AN$1006:AV1006),$AN$1006:$BO$1006,0))&gt;=100000), " ",IF(INDEX($AN$2:$BO$1001,MATCH(ROWS($AG$2:AG502),$AG$2:$AG$1001,0),MATCH(COLUMNS($AN$1006:AV1006),$AN$1006:$BO$1006,0)), HYPERLINK("#",""), HYPERLINK(CONCATENATE("#Metadata!", ADDRESS(INDEX($AI$2:$AI$1001,MATCH(ROWS($AG$2:AG502),$AG$2:$AG$1001,0),0), INDEX($AN$1004:$BO$1004,1,MATCH(COLUMNS($AN$1006:AV1006),$AN$1006:$BO$1006,0)))),"Fix")))</f>
        <v>0</v>
      </c>
      <c r="K502" s="4">
        <f>IF(OR(INDEX($AH$2:$AH$1001,MATCH(ROWS($AG$2:AG502),$AG$2:$AG$1001,0),1)&gt;=100000,INDEX($AN$1005:$BO$1005,1,MATCH(COLUMNS($AN$1006:AW1006),$AN$1006:$BO$1006,0))&gt;=100000), " ",IF(INDEX($AN$2:$BO$1001,MATCH(ROWS($AG$2:AG502),$AG$2:$AG$1001,0),MATCH(COLUMNS($AN$1006:AW1006),$AN$1006:$BO$1006,0)), HYPERLINK("#",""), HYPERLINK(CONCATENATE("#Metadata!", ADDRESS(INDEX($AI$2:$AI$1001,MATCH(ROWS($AG$2:AG502),$AG$2:$AG$1001,0),0), INDEX($AN$1004:$BO$1004,1,MATCH(COLUMNS($AN$1006:AW1006),$AN$1006:$BO$1006,0)))),"Fix")))</f>
        <v>0</v>
      </c>
      <c r="L502" s="4">
        <f>IF(OR(INDEX($AH$2:$AH$1001,MATCH(ROWS($AG$2:AG502),$AG$2:$AG$1001,0),1)&gt;=100000,INDEX($AN$1005:$BO$1005,1,MATCH(COLUMNS($AN$1006:AX1006),$AN$1006:$BO$1006,0))&gt;=100000), " ",IF(INDEX($AN$2:$BO$1001,MATCH(ROWS($AG$2:AG502),$AG$2:$AG$1001,0),MATCH(COLUMNS($AN$1006:AX1006),$AN$1006:$BO$1006,0)), HYPERLINK("#",""), HYPERLINK(CONCATENATE("#Metadata!", ADDRESS(INDEX($AI$2:$AI$1001,MATCH(ROWS($AG$2:AG502),$AG$2:$AG$1001,0),0), INDEX($AN$1004:$BO$1004,1,MATCH(COLUMNS($AN$1006:AX1006),$AN$1006:$BO$1006,0)))),"Fix")))</f>
        <v>0</v>
      </c>
      <c r="M502" s="4">
        <f>IF(OR(INDEX($AH$2:$AH$1001,MATCH(ROWS($AG$2:AG502),$AG$2:$AG$1001,0),1)&gt;=100000,INDEX($AN$1005:$BO$1005,1,MATCH(COLUMNS($AN$1006:AY1006),$AN$1006:$BO$1006,0))&gt;=100000), " ",IF(INDEX($AN$2:$BO$1001,MATCH(ROWS($AG$2:AG502),$AG$2:$AG$1001,0),MATCH(COLUMNS($AN$1006:AY1006),$AN$1006:$BO$1006,0)), HYPERLINK("#",""), HYPERLINK(CONCATENATE("#Metadata!", ADDRESS(INDEX($AI$2:$AI$1001,MATCH(ROWS($AG$2:AG502),$AG$2:$AG$1001,0),0), INDEX($AN$1004:$BO$1004,1,MATCH(COLUMNS($AN$1006:AY1006),$AN$1006:$BO$1006,0)))),"Fix")))</f>
        <v>0</v>
      </c>
      <c r="N502" s="4">
        <f>IF(OR(INDEX($AH$2:$AH$1001,MATCH(ROWS($AG$2:AG502),$AG$2:$AG$1001,0),1)&gt;=100000,INDEX($AN$1005:$BO$1005,1,MATCH(COLUMNS($AN$1006:AZ1006),$AN$1006:$BO$1006,0))&gt;=100000), " ",IF(INDEX($AN$2:$BO$1001,MATCH(ROWS($AG$2:AG502),$AG$2:$AG$1001,0),MATCH(COLUMNS($AN$1006:AZ1006),$AN$1006:$BO$1006,0)), HYPERLINK("#",""), HYPERLINK(CONCATENATE("#Metadata!", ADDRESS(INDEX($AI$2:$AI$1001,MATCH(ROWS($AG$2:AG502),$AG$2:$AG$1001,0),0), INDEX($AN$1004:$BO$1004,1,MATCH(COLUMNS($AN$1006:AZ1006),$AN$1006:$BO$1006,0)))),"Fix")))</f>
        <v>0</v>
      </c>
      <c r="O502" s="4">
        <f>IF(OR(INDEX($AH$2:$AH$1001,MATCH(ROWS($AG$2:AG502),$AG$2:$AG$1001,0),1)&gt;=100000,INDEX($AN$1005:$BO$1005,1,MATCH(COLUMNS($AN$1006:BA1006),$AN$1006:$BO$1006,0))&gt;=100000), " ",IF(INDEX($AN$2:$BO$1001,MATCH(ROWS($AG$2:AG502),$AG$2:$AG$1001,0),MATCH(COLUMNS($AN$1006:BA1006),$AN$1006:$BO$1006,0)), HYPERLINK("#",""), HYPERLINK(CONCATENATE("#Metadata!", ADDRESS(INDEX($AI$2:$AI$1001,MATCH(ROWS($AG$2:AG502),$AG$2:$AG$1001,0),0), INDEX($AN$1004:$BO$1004,1,MATCH(COLUMNS($AN$1006:BA1006),$AN$1006:$BO$1006,0)))),"Fix")))</f>
        <v>0</v>
      </c>
      <c r="P502" s="4">
        <f>IF(OR(INDEX($AH$2:$AH$1001,MATCH(ROWS($AG$2:AG502),$AG$2:$AG$1001,0),1)&gt;=100000,INDEX($AN$1005:$BO$1005,1,MATCH(COLUMNS($AN$1006:BB1006),$AN$1006:$BO$1006,0))&gt;=100000), " ",IF(INDEX($AN$2:$BO$1001,MATCH(ROWS($AG$2:AG502),$AG$2:$AG$1001,0),MATCH(COLUMNS($AN$1006:BB1006),$AN$1006:$BO$1006,0)), HYPERLINK("#",""), HYPERLINK(CONCATENATE("#Metadata!", ADDRESS(INDEX($AI$2:$AI$1001,MATCH(ROWS($AG$2:AG502),$AG$2:$AG$1001,0),0), INDEX($AN$1004:$BO$1004,1,MATCH(COLUMNS($AN$1006:BB1006),$AN$1006:$BO$1006,0)))),"Fix")))</f>
        <v>0</v>
      </c>
      <c r="Q502" s="4">
        <f>IF(OR(INDEX($AH$2:$AH$1001,MATCH(ROWS($AG$2:AG502),$AG$2:$AG$1001,0),1)&gt;=100000,INDEX($AN$1005:$BO$1005,1,MATCH(COLUMNS($AN$1006:BC1006),$AN$1006:$BO$1006,0))&gt;=100000), " ",IF(INDEX($AN$2:$BO$1001,MATCH(ROWS($AG$2:AG502),$AG$2:$AG$1001,0),MATCH(COLUMNS($AN$1006:BC1006),$AN$1006:$BO$1006,0)), HYPERLINK("#",""), HYPERLINK(CONCATENATE("#Metadata!", ADDRESS(INDEX($AI$2:$AI$1001,MATCH(ROWS($AG$2:AG502),$AG$2:$AG$1001,0),0), INDEX($AN$1004:$BO$1004,1,MATCH(COLUMNS($AN$1006:BC1006),$AN$1006:$BO$1006,0)))),"Fix")))</f>
        <v>0</v>
      </c>
      <c r="R502" s="4">
        <f>IF(OR(INDEX($AH$2:$AH$1001,MATCH(ROWS($AG$2:AG502),$AG$2:$AG$1001,0),1)&gt;=100000,INDEX($AN$1005:$BO$1005,1,MATCH(COLUMNS($AN$1006:BD1006),$AN$1006:$BO$1006,0))&gt;=100000), " ",IF(INDEX($AN$2:$BO$1001,MATCH(ROWS($AG$2:AG502),$AG$2:$AG$1001,0),MATCH(COLUMNS($AN$1006:BD1006),$AN$1006:$BO$1006,0)), HYPERLINK("#",""), HYPERLINK(CONCATENATE("#Metadata!", ADDRESS(INDEX($AI$2:$AI$1001,MATCH(ROWS($AG$2:AG502),$AG$2:$AG$1001,0),0), INDEX($AN$1004:$BO$1004,1,MATCH(COLUMNS($AN$1006:BD1006),$AN$1006:$BO$1006,0)))),"Fix")))</f>
        <v>0</v>
      </c>
      <c r="S502" s="4">
        <f>IF(OR(INDEX($AH$2:$AH$1001,MATCH(ROWS($AG$2:AG502),$AG$2:$AG$1001,0),1)&gt;=100000,INDEX($AN$1005:$BO$1005,1,MATCH(COLUMNS($AN$1006:BE1006),$AN$1006:$BO$1006,0))&gt;=100000), " ",IF(INDEX($AN$2:$BO$1001,MATCH(ROWS($AG$2:AG502),$AG$2:$AG$1001,0),MATCH(COLUMNS($AN$1006:BE1006),$AN$1006:$BO$1006,0)), HYPERLINK("#",""), HYPERLINK(CONCATENATE("#Metadata!", ADDRESS(INDEX($AI$2:$AI$1001,MATCH(ROWS($AG$2:AG502),$AG$2:$AG$1001,0),0), INDEX($AN$1004:$BO$1004,1,MATCH(COLUMNS($AN$1006:BE1006),$AN$1006:$BO$1006,0)))),"Fix")))</f>
        <v>0</v>
      </c>
      <c r="T502" s="4">
        <f>IF(OR(INDEX($AH$2:$AH$1001,MATCH(ROWS($AG$2:AG502),$AG$2:$AG$1001,0),1)&gt;=100000,INDEX($AN$1005:$BO$1005,1,MATCH(COLUMNS($AN$1006:BF1006),$AN$1006:$BO$1006,0))&gt;=100000), " ",IF(INDEX($AN$2:$BO$1001,MATCH(ROWS($AG$2:AG502),$AG$2:$AG$1001,0),MATCH(COLUMNS($AN$1006:BF1006),$AN$1006:$BO$1006,0)), HYPERLINK("#",""), HYPERLINK(CONCATENATE("#Metadata!", ADDRESS(INDEX($AI$2:$AI$1001,MATCH(ROWS($AG$2:AG502),$AG$2:$AG$1001,0),0), INDEX($AN$1004:$BO$1004,1,MATCH(COLUMNS($AN$1006:BF1006),$AN$1006:$BO$1006,0)))),"Fix")))</f>
        <v>0</v>
      </c>
      <c r="U502" s="4">
        <f>IF(OR(INDEX($AH$2:$AH$1001,MATCH(ROWS($AG$2:AG502),$AG$2:$AG$1001,0),1)&gt;=100000,INDEX($AN$1005:$BO$1005,1,MATCH(COLUMNS($AN$1006:BG1006),$AN$1006:$BO$1006,0))&gt;=100000), " ",IF(INDEX($AN$2:$BO$1001,MATCH(ROWS($AG$2:AG502),$AG$2:$AG$1001,0),MATCH(COLUMNS($AN$1006:BG1006),$AN$1006:$BO$1006,0)), HYPERLINK("#",""), HYPERLINK(CONCATENATE("#Metadata!", ADDRESS(INDEX($AI$2:$AI$1001,MATCH(ROWS($AG$2:AG502),$AG$2:$AG$1001,0),0), INDEX($AN$1004:$BO$1004,1,MATCH(COLUMNS($AN$1006:BG1006),$AN$1006:$BO$1006,0)))),"Fix")))</f>
        <v>0</v>
      </c>
      <c r="V502" s="4">
        <f>IF(OR(INDEX($AH$2:$AH$1001,MATCH(ROWS($AG$2:AG502),$AG$2:$AG$1001,0),1)&gt;=100000,INDEX($AN$1005:$BO$1005,1,MATCH(COLUMNS($AN$1006:BH1006),$AN$1006:$BO$1006,0))&gt;=100000), " ",IF(INDEX($AN$2:$BO$1001,MATCH(ROWS($AG$2:AG502),$AG$2:$AG$1001,0),MATCH(COLUMNS($AN$1006:BH1006),$AN$1006:$BO$1006,0)), HYPERLINK("#",""), HYPERLINK(CONCATENATE("#Metadata!", ADDRESS(INDEX($AI$2:$AI$1001,MATCH(ROWS($AG$2:AG502),$AG$2:$AG$1001,0),0), INDEX($AN$1004:$BO$1004,1,MATCH(COLUMNS($AN$1006:BH1006),$AN$1006:$BO$1006,0)))),"Fix")))</f>
        <v>0</v>
      </c>
      <c r="W502" s="4">
        <f>IF(OR(INDEX($AH$2:$AH$1001,MATCH(ROWS($AG$2:AG502),$AG$2:$AG$1001,0),1)&gt;=100000,INDEX($AN$1005:$BO$1005,1,MATCH(COLUMNS($AN$1006:BI1006),$AN$1006:$BO$1006,0))&gt;=100000), " ",IF(INDEX($AN$2:$BO$1001,MATCH(ROWS($AG$2:AG502),$AG$2:$AG$1001,0),MATCH(COLUMNS($AN$1006:BI1006),$AN$1006:$BO$1006,0)), HYPERLINK("#",""), HYPERLINK(CONCATENATE("#Metadata!", ADDRESS(INDEX($AI$2:$AI$1001,MATCH(ROWS($AG$2:AG502),$AG$2:$AG$1001,0),0), INDEX($AN$1004:$BO$1004,1,MATCH(COLUMNS($AN$1006:BI1006),$AN$1006:$BO$1006,0)))),"Fix")))</f>
        <v>0</v>
      </c>
      <c r="X502" s="4">
        <f>IF(OR(INDEX($AH$2:$AH$1001,MATCH(ROWS($AG$2:AG502),$AG$2:$AG$1001,0),1)&gt;=100000,INDEX($AN$1005:$BO$1005,1,MATCH(COLUMNS($AN$1006:BJ1006),$AN$1006:$BO$1006,0))&gt;=100000), " ",IF(INDEX($AN$2:$BO$1001,MATCH(ROWS($AG$2:AG502),$AG$2:$AG$1001,0),MATCH(COLUMNS($AN$1006:BJ1006),$AN$1006:$BO$1006,0)), HYPERLINK("#",""), HYPERLINK(CONCATENATE("#Metadata!", ADDRESS(INDEX($AI$2:$AI$1001,MATCH(ROWS($AG$2:AG502),$AG$2:$AG$1001,0),0), INDEX($AN$1004:$BO$1004,1,MATCH(COLUMNS($AN$1006:BJ1006),$AN$1006:$BO$1006,0)))),"Fix")))</f>
        <v>0</v>
      </c>
      <c r="Y502" s="4">
        <f>IF(OR(INDEX($AH$2:$AH$1001,MATCH(ROWS($AG$2:AG502),$AG$2:$AG$1001,0),1)&gt;=100000,INDEX($AN$1005:$BO$1005,1,MATCH(COLUMNS($AN$1006:BK1006),$AN$1006:$BO$1006,0))&gt;=100000), " ",IF(INDEX($AN$2:$BO$1001,MATCH(ROWS($AG$2:AG502),$AG$2:$AG$1001,0),MATCH(COLUMNS($AN$1006:BK1006),$AN$1006:$BO$1006,0)), HYPERLINK("#",""), HYPERLINK(CONCATENATE("#Metadata!", ADDRESS(INDEX($AI$2:$AI$1001,MATCH(ROWS($AG$2:AG502),$AG$2:$AG$1001,0),0), INDEX($AN$1004:$BO$1004,1,MATCH(COLUMNS($AN$1006:BK1006),$AN$1006:$BO$1006,0)))),"Fix")))</f>
        <v>0</v>
      </c>
      <c r="Z502" s="4">
        <f>IF(OR(INDEX($AH$2:$AH$1001,MATCH(ROWS($AG$2:AG502),$AG$2:$AG$1001,0),1)&gt;=100000,INDEX($AN$1005:$BO$1005,1,MATCH(COLUMNS($AN$1006:BL1006),$AN$1006:$BO$1006,0))&gt;=100000), " ",IF(INDEX($AN$2:$BO$1001,MATCH(ROWS($AG$2:AG502),$AG$2:$AG$1001,0),MATCH(COLUMNS($AN$1006:BL1006),$AN$1006:$BO$1006,0)), HYPERLINK("#",""), HYPERLINK(CONCATENATE("#Metadata!", ADDRESS(INDEX($AI$2:$AI$1001,MATCH(ROWS($AG$2:AG502),$AG$2:$AG$1001,0),0), INDEX($AN$1004:$BO$1004,1,MATCH(COLUMNS($AN$1006:BL1006),$AN$1006:$BO$1006,0)))),"Fix")))</f>
        <v>0</v>
      </c>
      <c r="AA502" s="4">
        <f>IF(OR(INDEX($AH$2:$AH$1001,MATCH(ROWS($AG$2:AG502),$AG$2:$AG$1001,0),1)&gt;=100000,INDEX($AN$1005:$BO$1005,1,MATCH(COLUMNS($AN$1006:BM1006),$AN$1006:$BO$1006,0))&gt;=100000), " ",IF(INDEX($AN$2:$BO$1001,MATCH(ROWS($AG$2:AG502),$AG$2:$AG$1001,0),MATCH(COLUMNS($AN$1006:BM1006),$AN$1006:$BO$1006,0)), HYPERLINK("#",""), HYPERLINK(CONCATENATE("#Metadata!", ADDRESS(INDEX($AI$2:$AI$1001,MATCH(ROWS($AG$2:AG502),$AG$2:$AG$1001,0),0), INDEX($AN$1004:$BO$1004,1,MATCH(COLUMNS($AN$1006:BM1006),$AN$1006:$BO$1006,0)))),"Fix")))</f>
        <v>0</v>
      </c>
      <c r="AB502" s="4">
        <f>IF(OR(INDEX($AH$2:$AH$1001,MATCH(ROWS($AG$2:AG502),$AG$2:$AG$1001,0),1)&gt;=100000,INDEX($AN$1005:$BO$1005,1,MATCH(COLUMNS($AN$1006:BN1006),$AN$1006:$BO$1006,0))&gt;=100000), " ",IF(INDEX($AN$2:$BO$1001,MATCH(ROWS($AG$2:AG502),$AG$2:$AG$1001,0),MATCH(COLUMNS($AN$1006:BN1006),$AN$1006:$BO$1006,0)), HYPERLINK("#",""), HYPERLINK(CONCATENATE("#Metadata!", ADDRESS(INDEX($AI$2:$AI$1001,MATCH(ROWS($AG$2:AG502),$AG$2:$AG$1001,0),0), INDEX($AN$1004:$BO$1004,1,MATCH(COLUMNS($AN$1006:BN1006),$AN$1006:$BO$1006,0)))),"Fix")))</f>
        <v>0</v>
      </c>
      <c r="AC502" s="4">
        <f>IF(OR(INDEX($AH$2:$AH$1001,MATCH(ROWS($AG$2:AG502),$AG$2:$AG$1001,0),1)&gt;=100000,INDEX($AN$1005:$BO$1005,1,MATCH(COLUMNS($AN$1006:BO1006),$AN$1006:$BO$1006,0))&gt;=100000), " ",IF(INDEX($AN$2:$BO$1001,MATCH(ROWS($AG$2:AG502),$AG$2:$AG$1001,0),MATCH(COLUMNS($AN$1006:BO1006),$AN$1006:$BO$1006,0)), HYPERLINK("#",""), HYPERLINK(CONCATENATE("#Metadata!", ADDRESS(INDEX($AI$2:$AI$1001,MATCH(ROWS($AG$2:AG502),$AG$2:$AG$1001,0),0), INDEX($AN$1004:$BO$1004,1,MATCH(COLUMNS($AN$1006:BO1006),$AN$1006:$BO$1006,0)))),"Fix")))</f>
        <v>0</v>
      </c>
      <c r="AG502">
        <v>0</v>
      </c>
      <c r="AH502">
        <v>0</v>
      </c>
      <c r="AI502">
        <v>0</v>
      </c>
      <c r="AJ502">
        <f>IF(AK502,TRUE,AND(AN502:BO502))</f>
        <v>0</v>
      </c>
      <c r="AK502">
        <f>COUNTBLANK(Metadata!B502:AC502)=COLUMNS(Metadata!B502:AC502)</f>
        <v>0</v>
      </c>
      <c r="AL502">
        <v>0</v>
      </c>
      <c r="AN502">
        <f>AND(IF(Metadata!B502="",FALSE,TRUE),COUNTIF(Metadata!B:B, Metadata!B502) = 1,NOT(ISERROR(SUMPRODUCT(SEARCH(MID(Metadata!B502,ROW(INDIRECT("1:"&amp;LEN(Metadata!B502))), 1),"0123456789abcdefghijklmnopqrstuvwxyzABCDEFGHIJKLMNOPQRSTUVWXYZ.")))))</f>
        <v>0</v>
      </c>
      <c r="AO502">
        <f>IF(Metadata!C502="",FALSE,TRUE)</f>
        <v>0</v>
      </c>
      <c r="AP502">
        <f>IF(Metadata!D502="",FALSE,TRUE)</f>
        <v>0</v>
      </c>
      <c r="AQ502">
        <f>OR(AND(IF(Metadata!E502="",FALSE,TRUE),OR(exact(Metadata!E502,"not collected"),exact(Metadata!E502,"not provided"),exact(Metadata!E502,"restricted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R502">
        <f>IF(Metadata!F502="",FALSE,TRUE)</f>
        <v>0</v>
      </c>
      <c r="AS502">
        <f>OR(AND(IF(Metadata!G502="",FALSE,TRUE),OR(exact(Metadata!G502,"not collected"),exact(Metadata!G502,"not provided"))),AND(IF(Metadata!G502="",FALSE,TRUE),OR(exact(Metadata!G502,"TRUE"),exact(Metadata!G502,"FALSE"))))</f>
        <v>0</v>
      </c>
      <c r="AT502">
        <f>OR(AND(IF(Metadata!H502="",FALSE,TRUE),OR(exact(Metadata!H502,"not collected"),exact(Metadata!H502,"not provided"),exact(Metadata!H502,"restricted access"))),AND(IF(Metadata!H502="",FALSE,ISNUMBER(VALUE(Metadata!H502))),Metadata!H502&gt;=-413.0))</f>
        <v>0</v>
      </c>
      <c r="AU502">
        <f>AND(IF(Metadata!I502="",FALSE,TRUE),exact(Metadata!I502,"meters"))</f>
        <v>0</v>
      </c>
      <c r="AV502">
        <f>AND(IF(Metadata!J502="",FALSE,TRUE),OR(exact(Metadata!J502,"Host-associated"),exact(Metadata!J502,"Free-living")))</f>
        <v>0</v>
      </c>
      <c r="AW502">
        <f>AND(IF(Metadata!K502="",FALSE,TRUE),OR(exact(Metadata!K502,"Animal"),exact(Metadata!K502,"Fungus"),exact(Metadata!K502,"Plant"),exact(Metadata!K502,"Saline"),exact(Metadata!K502,"Non-saline")))</f>
        <v>0</v>
      </c>
      <c r="AX502">
        <f>AND(IF(Metadata!L502="",FALSE,TRUE),OR(exact(Metadata!L502,"Plant secretion"),exact(Metadata!L502,"Plant rhizosphere"),exact(Metadata!L502,"Plant surface"),exact(Metadata!L502,"Plant corpus"),exact(Metadata!L502,"Fungus surface"),exact(Metadata!L502,"Fungus corpus"),exact(Metadata!L502,"Animal surface"),exact(Metadata!L502,"Animal proximal gut"),exact(Metadata!L502,"Animal corpus"),exact(Metadata!L502,"Animal distal gut"),exact(Metadata!L502,"Animal secretion"),exact(Metadata!L502,"Sub-surface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Y502">
        <f>IF(Metadata!M502="",FALSE,TRUE)</f>
        <v>0</v>
      </c>
      <c r="AZ502">
        <f>IF(Metadata!N502="",FALSE,TRUE)</f>
        <v>0</v>
      </c>
      <c r="BA502">
        <f>IF(Metadata!O502="",FALSE,TRUE)</f>
        <v>0</v>
      </c>
      <c r="BB502">
        <f>OR(AND(IF(Metadata!P502="",FALSE,TRUE),OR(exact(Metadata!P502,"not collected"),exact(Metadata!P502,"not provided"),exact(Metadata!P502,"restricted access"))),AND(IF(Metadata!P502="",FALSE,TRUE),OR(exact(Metadata!P502,"air"),exact(Metadata!P502,"built environment"),exact(Metadata!P502,"host-associated"),exact(Metadata!P502,"human-associated"),exact(Metadata!P502,"human-skin"),exact(Metadata!P502,"human-oral"),exact(Metadata!P502,"human-gut"),exact(Metadata!P502,"human-vaginal"),exact(Metadata!P502,"microbial mat/biofilm"),exact(Metadata!P502,"misc environment"),exact(Metadata!P502,"plant-associated"),exact(Metadata!P502,"sediment"),exact(Metadata!P502,"soil"),exact(Metadata!P502,"wastewater/sludge"),exact(Metadata!P502,"water"))))</f>
        <v>0</v>
      </c>
      <c r="BC502">
        <f>IF(Metadata!Q502="",FALSE,TRUE)</f>
        <v>0</v>
      </c>
      <c r="BD502">
        <f>IF(Metadata!R502="",FALSE,TRUE)</f>
        <v>0</v>
      </c>
      <c r="BE502">
        <f>OR(AND(IF(Metadata!S502="",FALSE,TRUE),OR(exact(Metadata!S502,"not collected"),exact(Metadata!S502,"not provided"),exact(Metadata!S502,"restricted access"))),AND(IF(Metadata!S502="",FALSE,ISNUMBER(VALUE(Metadata!S502))),Metadata!S502&gt;=-90.00,Metadata!S502&lt;=90.00))</f>
        <v>0</v>
      </c>
      <c r="BF502">
        <f>AND(IF(Metadata!T502="",FALSE,TRUE),exact(Metadata!T502,"Decimal degrees"))</f>
        <v>0</v>
      </c>
      <c r="BG502">
        <f>OR(AND(IF(Metadata!U502="",FALSE,TRUE),OR(exact(Metadata!U502,"not collected"),exact(Metadata!U502,"not provided"),exact(Metadata!U502,"restricted access"))),AND(IF(Metadata!U502="",FALSE,ISNUMBER(VALUE(Metadata!U502))),Metadata!U502&gt;=-180.00,Metadata!U502&lt;=180.00))</f>
        <v>0</v>
      </c>
      <c r="BH502">
        <f>AND(IF(Metadata!V502="",FALSE,TRUE),exact(Metadata!V502,"Decimal degrees"))</f>
        <v>0</v>
      </c>
      <c r="BI502">
        <f>IF(Metadata!W502="",FALSE,TRUE)</f>
        <v>0</v>
      </c>
      <c r="BJ502">
        <f>OR(AND(IF(Metadata!X502="",FALSE,TRUE),OR(exact(Metadata!X502,"not collected"),exact(Metadata!X502,"not provided"),exact(Metadata!X502,"restricted access"))),AND(IF(Metadata!X502="",FALSE,TRUE),OR(exact(Metadata!X502,"TRUE"),exact(Metadata!X502,"FALSE"))))</f>
        <v>0</v>
      </c>
      <c r="BK502">
        <f>AND(IF(Metadata!Y502="",FALSE,TRUE),exact(Metadata!Y502,"other"))</f>
        <v>0</v>
      </c>
      <c r="BL502">
        <f>IF(Metadata!Z502="",FALSE,TRUE)</f>
        <v>0</v>
      </c>
      <c r="BM502">
        <f>OR(AND(IF(Metadata!AA502="",FALSE,TRUE),OR(exact(Metadata!AA502,"not collected"),exact(Metadata!AA502,"not provided"))),AND(IF(Metadata!AA502="",FALSE,IF(ISERROR(INT(Metadata!AA502)),FALSE,INT(Metadata!AA502)=Metadata!AA502)),Metadata!AA502&gt;0))</f>
        <v>0</v>
      </c>
      <c r="BN502">
        <f>AND(IF(Metadata!AB502="",FALSE,TRUE),exact(Metadata!AB502,"Not applicable"))</f>
        <v>0</v>
      </c>
      <c r="BO502">
        <f>IF(Metadata!AC502="",FALSE,TRUE)</f>
        <v>0</v>
      </c>
    </row>
    <row r="503" spans="1:67">
      <c r="A503" s="5">
        <f>IF(B503=" "," ",HYPERLINK(CONCATENATE("#metadata!",ADDRESS(INDEX($AI$2:$AI$1001,MATCH(ROWS($AG$2:AG503),$AG$2:$AG$1001,0),0),1)),INDEX($AL$2:$AL$1001,MATCH(ROWS($AG$2:AG503),$AG$2:$AG$1001,0),0)))</f>
        <v>0</v>
      </c>
      <c r="B503" s="4">
        <f>IF(OR(INDEX($AH$2:$AH$1001,MATCH(ROWS($AG$2:AG503),$AG$2:$AG$1001,0),1)&gt;=100000,INDEX($AN$1005:$BO$1005,1,MATCH(COLUMNS($AN$1006:AN1006),$AN$1006:$BO$1006,0))&gt;=100000), " ",IF(INDEX($AN$2:$BO$1001,MATCH(ROWS($AG$2:AG503),$AG$2:$AG$1001,0),MATCH(COLUMNS($AN$1006:AN1006),$AN$1006:$BO$1006,0)), HYPERLINK("#",""), HYPERLINK(CONCATENATE("#Metadata!", ADDRESS(INDEX($AI$2:$AI$1001,MATCH(ROWS($AG$2:AG503),$AG$2:$AG$1001,0),0), INDEX($AN$1004:$BO$1004,1,MATCH(COLUMNS($AN$1006:AN1006),$AN$1006:$BO$1006,0)))),"Fix")))</f>
        <v>0</v>
      </c>
      <c r="C503" s="4">
        <f>IF(OR(INDEX($AH$2:$AH$1001,MATCH(ROWS($AG$2:AG503),$AG$2:$AG$1001,0),1)&gt;=100000,INDEX($AN$1005:$BO$1005,1,MATCH(COLUMNS($AN$1006:AO1006),$AN$1006:$BO$1006,0))&gt;=100000), " ",IF(INDEX($AN$2:$BO$1001,MATCH(ROWS($AG$2:AG503),$AG$2:$AG$1001,0),MATCH(COLUMNS($AN$1006:AO1006),$AN$1006:$BO$1006,0)), HYPERLINK("#",""), HYPERLINK(CONCATENATE("#Metadata!", ADDRESS(INDEX($AI$2:$AI$1001,MATCH(ROWS($AG$2:AG503),$AG$2:$AG$1001,0),0), INDEX($AN$1004:$BO$1004,1,MATCH(COLUMNS($AN$1006:AO1006),$AN$1006:$BO$1006,0)))),"Fix")))</f>
        <v>0</v>
      </c>
      <c r="D503" s="4">
        <f>IF(OR(INDEX($AH$2:$AH$1001,MATCH(ROWS($AG$2:AG503),$AG$2:$AG$1001,0),1)&gt;=100000,INDEX($AN$1005:$BO$1005,1,MATCH(COLUMNS($AN$1006:AP1006),$AN$1006:$BO$1006,0))&gt;=100000), " ",IF(INDEX($AN$2:$BO$1001,MATCH(ROWS($AG$2:AG503),$AG$2:$AG$1001,0),MATCH(COLUMNS($AN$1006:AP1006),$AN$1006:$BO$1006,0)), HYPERLINK("#",""), HYPERLINK(CONCATENATE("#Metadata!", ADDRESS(INDEX($AI$2:$AI$1001,MATCH(ROWS($AG$2:AG503),$AG$2:$AG$1001,0),0), INDEX($AN$1004:$BO$1004,1,MATCH(COLUMNS($AN$1006:AP1006),$AN$1006:$BO$1006,0)))),"Fix")))</f>
        <v>0</v>
      </c>
      <c r="E503" s="4">
        <f>IF(OR(INDEX($AH$2:$AH$1001,MATCH(ROWS($AG$2:AG503),$AG$2:$AG$1001,0),1)&gt;=100000,INDEX($AN$1005:$BO$1005,1,MATCH(COLUMNS($AN$1006:AQ1006),$AN$1006:$BO$1006,0))&gt;=100000), " ",IF(INDEX($AN$2:$BO$1001,MATCH(ROWS($AG$2:AG503),$AG$2:$AG$1001,0),MATCH(COLUMNS($AN$1006:AQ1006),$AN$1006:$BO$1006,0)), HYPERLINK("#",""), HYPERLINK(CONCATENATE("#Metadata!", ADDRESS(INDEX($AI$2:$AI$1001,MATCH(ROWS($AG$2:AG503),$AG$2:$AG$1001,0),0), INDEX($AN$1004:$BO$1004,1,MATCH(COLUMNS($AN$1006:AQ1006),$AN$1006:$BO$1006,0)))),"Fix")))</f>
        <v>0</v>
      </c>
      <c r="F503" s="4">
        <f>IF(OR(INDEX($AH$2:$AH$1001,MATCH(ROWS($AG$2:AG503),$AG$2:$AG$1001,0),1)&gt;=100000,INDEX($AN$1005:$BO$1005,1,MATCH(COLUMNS($AN$1006:AR1006),$AN$1006:$BO$1006,0))&gt;=100000), " ",IF(INDEX($AN$2:$BO$1001,MATCH(ROWS($AG$2:AG503),$AG$2:$AG$1001,0),MATCH(COLUMNS($AN$1006:AR1006),$AN$1006:$BO$1006,0)), HYPERLINK("#",""), HYPERLINK(CONCATENATE("#Metadata!", ADDRESS(INDEX($AI$2:$AI$1001,MATCH(ROWS($AG$2:AG503),$AG$2:$AG$1001,0),0), INDEX($AN$1004:$BO$1004,1,MATCH(COLUMNS($AN$1006:AR1006),$AN$1006:$BO$1006,0)))),"Fix")))</f>
        <v>0</v>
      </c>
      <c r="G503" s="4">
        <f>IF(OR(INDEX($AH$2:$AH$1001,MATCH(ROWS($AG$2:AG503),$AG$2:$AG$1001,0),1)&gt;=100000,INDEX($AN$1005:$BO$1005,1,MATCH(COLUMNS($AN$1006:AS1006),$AN$1006:$BO$1006,0))&gt;=100000), " ",IF(INDEX($AN$2:$BO$1001,MATCH(ROWS($AG$2:AG503),$AG$2:$AG$1001,0),MATCH(COLUMNS($AN$1006:AS1006),$AN$1006:$BO$1006,0)), HYPERLINK("#",""), HYPERLINK(CONCATENATE("#Metadata!", ADDRESS(INDEX($AI$2:$AI$1001,MATCH(ROWS($AG$2:AG503),$AG$2:$AG$1001,0),0), INDEX($AN$1004:$BO$1004,1,MATCH(COLUMNS($AN$1006:AS1006),$AN$1006:$BO$1006,0)))),"Fix")))</f>
        <v>0</v>
      </c>
      <c r="H503" s="4">
        <f>IF(OR(INDEX($AH$2:$AH$1001,MATCH(ROWS($AG$2:AG503),$AG$2:$AG$1001,0),1)&gt;=100000,INDEX($AN$1005:$BO$1005,1,MATCH(COLUMNS($AN$1006:AT1006),$AN$1006:$BO$1006,0))&gt;=100000), " ",IF(INDEX($AN$2:$BO$1001,MATCH(ROWS($AG$2:AG503),$AG$2:$AG$1001,0),MATCH(COLUMNS($AN$1006:AT1006),$AN$1006:$BO$1006,0)), HYPERLINK("#",""), HYPERLINK(CONCATENATE("#Metadata!", ADDRESS(INDEX($AI$2:$AI$1001,MATCH(ROWS($AG$2:AG503),$AG$2:$AG$1001,0),0), INDEX($AN$1004:$BO$1004,1,MATCH(COLUMNS($AN$1006:AT1006),$AN$1006:$BO$1006,0)))),"Fix")))</f>
        <v>0</v>
      </c>
      <c r="I503" s="4">
        <f>IF(OR(INDEX($AH$2:$AH$1001,MATCH(ROWS($AG$2:AG503),$AG$2:$AG$1001,0),1)&gt;=100000,INDEX($AN$1005:$BO$1005,1,MATCH(COLUMNS($AN$1006:AU1006),$AN$1006:$BO$1006,0))&gt;=100000), " ",IF(INDEX($AN$2:$BO$1001,MATCH(ROWS($AG$2:AG503),$AG$2:$AG$1001,0),MATCH(COLUMNS($AN$1006:AU1006),$AN$1006:$BO$1006,0)), HYPERLINK("#",""), HYPERLINK(CONCATENATE("#Metadata!", ADDRESS(INDEX($AI$2:$AI$1001,MATCH(ROWS($AG$2:AG503),$AG$2:$AG$1001,0),0), INDEX($AN$1004:$BO$1004,1,MATCH(COLUMNS($AN$1006:AU1006),$AN$1006:$BO$1006,0)))),"Fix")))</f>
        <v>0</v>
      </c>
      <c r="J503" s="4">
        <f>IF(OR(INDEX($AH$2:$AH$1001,MATCH(ROWS($AG$2:AG503),$AG$2:$AG$1001,0),1)&gt;=100000,INDEX($AN$1005:$BO$1005,1,MATCH(COLUMNS($AN$1006:AV1006),$AN$1006:$BO$1006,0))&gt;=100000), " ",IF(INDEX($AN$2:$BO$1001,MATCH(ROWS($AG$2:AG503),$AG$2:$AG$1001,0),MATCH(COLUMNS($AN$1006:AV1006),$AN$1006:$BO$1006,0)), HYPERLINK("#",""), HYPERLINK(CONCATENATE("#Metadata!", ADDRESS(INDEX($AI$2:$AI$1001,MATCH(ROWS($AG$2:AG503),$AG$2:$AG$1001,0),0), INDEX($AN$1004:$BO$1004,1,MATCH(COLUMNS($AN$1006:AV1006),$AN$1006:$BO$1006,0)))),"Fix")))</f>
        <v>0</v>
      </c>
      <c r="K503" s="4">
        <f>IF(OR(INDEX($AH$2:$AH$1001,MATCH(ROWS($AG$2:AG503),$AG$2:$AG$1001,0),1)&gt;=100000,INDEX($AN$1005:$BO$1005,1,MATCH(COLUMNS($AN$1006:AW1006),$AN$1006:$BO$1006,0))&gt;=100000), " ",IF(INDEX($AN$2:$BO$1001,MATCH(ROWS($AG$2:AG503),$AG$2:$AG$1001,0),MATCH(COLUMNS($AN$1006:AW1006),$AN$1006:$BO$1006,0)), HYPERLINK("#",""), HYPERLINK(CONCATENATE("#Metadata!", ADDRESS(INDEX($AI$2:$AI$1001,MATCH(ROWS($AG$2:AG503),$AG$2:$AG$1001,0),0), INDEX($AN$1004:$BO$1004,1,MATCH(COLUMNS($AN$1006:AW1006),$AN$1006:$BO$1006,0)))),"Fix")))</f>
        <v>0</v>
      </c>
      <c r="L503" s="4">
        <f>IF(OR(INDEX($AH$2:$AH$1001,MATCH(ROWS($AG$2:AG503),$AG$2:$AG$1001,0),1)&gt;=100000,INDEX($AN$1005:$BO$1005,1,MATCH(COLUMNS($AN$1006:AX1006),$AN$1006:$BO$1006,0))&gt;=100000), " ",IF(INDEX($AN$2:$BO$1001,MATCH(ROWS($AG$2:AG503),$AG$2:$AG$1001,0),MATCH(COLUMNS($AN$1006:AX1006),$AN$1006:$BO$1006,0)), HYPERLINK("#",""), HYPERLINK(CONCATENATE("#Metadata!", ADDRESS(INDEX($AI$2:$AI$1001,MATCH(ROWS($AG$2:AG503),$AG$2:$AG$1001,0),0), INDEX($AN$1004:$BO$1004,1,MATCH(COLUMNS($AN$1006:AX1006),$AN$1006:$BO$1006,0)))),"Fix")))</f>
        <v>0</v>
      </c>
      <c r="M503" s="4">
        <f>IF(OR(INDEX($AH$2:$AH$1001,MATCH(ROWS($AG$2:AG503),$AG$2:$AG$1001,0),1)&gt;=100000,INDEX($AN$1005:$BO$1005,1,MATCH(COLUMNS($AN$1006:AY1006),$AN$1006:$BO$1006,0))&gt;=100000), " ",IF(INDEX($AN$2:$BO$1001,MATCH(ROWS($AG$2:AG503),$AG$2:$AG$1001,0),MATCH(COLUMNS($AN$1006:AY1006),$AN$1006:$BO$1006,0)), HYPERLINK("#",""), HYPERLINK(CONCATENATE("#Metadata!", ADDRESS(INDEX($AI$2:$AI$1001,MATCH(ROWS($AG$2:AG503),$AG$2:$AG$1001,0),0), INDEX($AN$1004:$BO$1004,1,MATCH(COLUMNS($AN$1006:AY1006),$AN$1006:$BO$1006,0)))),"Fix")))</f>
        <v>0</v>
      </c>
      <c r="N503" s="4">
        <f>IF(OR(INDEX($AH$2:$AH$1001,MATCH(ROWS($AG$2:AG503),$AG$2:$AG$1001,0),1)&gt;=100000,INDEX($AN$1005:$BO$1005,1,MATCH(COLUMNS($AN$1006:AZ1006),$AN$1006:$BO$1006,0))&gt;=100000), " ",IF(INDEX($AN$2:$BO$1001,MATCH(ROWS($AG$2:AG503),$AG$2:$AG$1001,0),MATCH(COLUMNS($AN$1006:AZ1006),$AN$1006:$BO$1006,0)), HYPERLINK("#",""), HYPERLINK(CONCATENATE("#Metadata!", ADDRESS(INDEX($AI$2:$AI$1001,MATCH(ROWS($AG$2:AG503),$AG$2:$AG$1001,0),0), INDEX($AN$1004:$BO$1004,1,MATCH(COLUMNS($AN$1006:AZ1006),$AN$1006:$BO$1006,0)))),"Fix")))</f>
        <v>0</v>
      </c>
      <c r="O503" s="4">
        <f>IF(OR(INDEX($AH$2:$AH$1001,MATCH(ROWS($AG$2:AG503),$AG$2:$AG$1001,0),1)&gt;=100000,INDEX($AN$1005:$BO$1005,1,MATCH(COLUMNS($AN$1006:BA1006),$AN$1006:$BO$1006,0))&gt;=100000), " ",IF(INDEX($AN$2:$BO$1001,MATCH(ROWS($AG$2:AG503),$AG$2:$AG$1001,0),MATCH(COLUMNS($AN$1006:BA1006),$AN$1006:$BO$1006,0)), HYPERLINK("#",""), HYPERLINK(CONCATENATE("#Metadata!", ADDRESS(INDEX($AI$2:$AI$1001,MATCH(ROWS($AG$2:AG503),$AG$2:$AG$1001,0),0), INDEX($AN$1004:$BO$1004,1,MATCH(COLUMNS($AN$1006:BA1006),$AN$1006:$BO$1006,0)))),"Fix")))</f>
        <v>0</v>
      </c>
      <c r="P503" s="4">
        <f>IF(OR(INDEX($AH$2:$AH$1001,MATCH(ROWS($AG$2:AG503),$AG$2:$AG$1001,0),1)&gt;=100000,INDEX($AN$1005:$BO$1005,1,MATCH(COLUMNS($AN$1006:BB1006),$AN$1006:$BO$1006,0))&gt;=100000), " ",IF(INDEX($AN$2:$BO$1001,MATCH(ROWS($AG$2:AG503),$AG$2:$AG$1001,0),MATCH(COLUMNS($AN$1006:BB1006),$AN$1006:$BO$1006,0)), HYPERLINK("#",""), HYPERLINK(CONCATENATE("#Metadata!", ADDRESS(INDEX($AI$2:$AI$1001,MATCH(ROWS($AG$2:AG503),$AG$2:$AG$1001,0),0), INDEX($AN$1004:$BO$1004,1,MATCH(COLUMNS($AN$1006:BB1006),$AN$1006:$BO$1006,0)))),"Fix")))</f>
        <v>0</v>
      </c>
      <c r="Q503" s="4">
        <f>IF(OR(INDEX($AH$2:$AH$1001,MATCH(ROWS($AG$2:AG503),$AG$2:$AG$1001,0),1)&gt;=100000,INDEX($AN$1005:$BO$1005,1,MATCH(COLUMNS($AN$1006:BC1006),$AN$1006:$BO$1006,0))&gt;=100000), " ",IF(INDEX($AN$2:$BO$1001,MATCH(ROWS($AG$2:AG503),$AG$2:$AG$1001,0),MATCH(COLUMNS($AN$1006:BC1006),$AN$1006:$BO$1006,0)), HYPERLINK("#",""), HYPERLINK(CONCATENATE("#Metadata!", ADDRESS(INDEX($AI$2:$AI$1001,MATCH(ROWS($AG$2:AG503),$AG$2:$AG$1001,0),0), INDEX($AN$1004:$BO$1004,1,MATCH(COLUMNS($AN$1006:BC1006),$AN$1006:$BO$1006,0)))),"Fix")))</f>
        <v>0</v>
      </c>
      <c r="R503" s="4">
        <f>IF(OR(INDEX($AH$2:$AH$1001,MATCH(ROWS($AG$2:AG503),$AG$2:$AG$1001,0),1)&gt;=100000,INDEX($AN$1005:$BO$1005,1,MATCH(COLUMNS($AN$1006:BD1006),$AN$1006:$BO$1006,0))&gt;=100000), " ",IF(INDEX($AN$2:$BO$1001,MATCH(ROWS($AG$2:AG503),$AG$2:$AG$1001,0),MATCH(COLUMNS($AN$1006:BD1006),$AN$1006:$BO$1006,0)), HYPERLINK("#",""), HYPERLINK(CONCATENATE("#Metadata!", ADDRESS(INDEX($AI$2:$AI$1001,MATCH(ROWS($AG$2:AG503),$AG$2:$AG$1001,0),0), INDEX($AN$1004:$BO$1004,1,MATCH(COLUMNS($AN$1006:BD1006),$AN$1006:$BO$1006,0)))),"Fix")))</f>
        <v>0</v>
      </c>
      <c r="S503" s="4">
        <f>IF(OR(INDEX($AH$2:$AH$1001,MATCH(ROWS($AG$2:AG503),$AG$2:$AG$1001,0),1)&gt;=100000,INDEX($AN$1005:$BO$1005,1,MATCH(COLUMNS($AN$1006:BE1006),$AN$1006:$BO$1006,0))&gt;=100000), " ",IF(INDEX($AN$2:$BO$1001,MATCH(ROWS($AG$2:AG503),$AG$2:$AG$1001,0),MATCH(COLUMNS($AN$1006:BE1006),$AN$1006:$BO$1006,0)), HYPERLINK("#",""), HYPERLINK(CONCATENATE("#Metadata!", ADDRESS(INDEX($AI$2:$AI$1001,MATCH(ROWS($AG$2:AG503),$AG$2:$AG$1001,0),0), INDEX($AN$1004:$BO$1004,1,MATCH(COLUMNS($AN$1006:BE1006),$AN$1006:$BO$1006,0)))),"Fix")))</f>
        <v>0</v>
      </c>
      <c r="T503" s="4">
        <f>IF(OR(INDEX($AH$2:$AH$1001,MATCH(ROWS($AG$2:AG503),$AG$2:$AG$1001,0),1)&gt;=100000,INDEX($AN$1005:$BO$1005,1,MATCH(COLUMNS($AN$1006:BF1006),$AN$1006:$BO$1006,0))&gt;=100000), " ",IF(INDEX($AN$2:$BO$1001,MATCH(ROWS($AG$2:AG503),$AG$2:$AG$1001,0),MATCH(COLUMNS($AN$1006:BF1006),$AN$1006:$BO$1006,0)), HYPERLINK("#",""), HYPERLINK(CONCATENATE("#Metadata!", ADDRESS(INDEX($AI$2:$AI$1001,MATCH(ROWS($AG$2:AG503),$AG$2:$AG$1001,0),0), INDEX($AN$1004:$BO$1004,1,MATCH(COLUMNS($AN$1006:BF1006),$AN$1006:$BO$1006,0)))),"Fix")))</f>
        <v>0</v>
      </c>
      <c r="U503" s="4">
        <f>IF(OR(INDEX($AH$2:$AH$1001,MATCH(ROWS($AG$2:AG503),$AG$2:$AG$1001,0),1)&gt;=100000,INDEX($AN$1005:$BO$1005,1,MATCH(COLUMNS($AN$1006:BG1006),$AN$1006:$BO$1006,0))&gt;=100000), " ",IF(INDEX($AN$2:$BO$1001,MATCH(ROWS($AG$2:AG503),$AG$2:$AG$1001,0),MATCH(COLUMNS($AN$1006:BG1006),$AN$1006:$BO$1006,0)), HYPERLINK("#",""), HYPERLINK(CONCATENATE("#Metadata!", ADDRESS(INDEX($AI$2:$AI$1001,MATCH(ROWS($AG$2:AG503),$AG$2:$AG$1001,0),0), INDEX($AN$1004:$BO$1004,1,MATCH(COLUMNS($AN$1006:BG1006),$AN$1006:$BO$1006,0)))),"Fix")))</f>
        <v>0</v>
      </c>
      <c r="V503" s="4">
        <f>IF(OR(INDEX($AH$2:$AH$1001,MATCH(ROWS($AG$2:AG503),$AG$2:$AG$1001,0),1)&gt;=100000,INDEX($AN$1005:$BO$1005,1,MATCH(COLUMNS($AN$1006:BH1006),$AN$1006:$BO$1006,0))&gt;=100000), " ",IF(INDEX($AN$2:$BO$1001,MATCH(ROWS($AG$2:AG503),$AG$2:$AG$1001,0),MATCH(COLUMNS($AN$1006:BH1006),$AN$1006:$BO$1006,0)), HYPERLINK("#",""), HYPERLINK(CONCATENATE("#Metadata!", ADDRESS(INDEX($AI$2:$AI$1001,MATCH(ROWS($AG$2:AG503),$AG$2:$AG$1001,0),0), INDEX($AN$1004:$BO$1004,1,MATCH(COLUMNS($AN$1006:BH1006),$AN$1006:$BO$1006,0)))),"Fix")))</f>
        <v>0</v>
      </c>
      <c r="W503" s="4">
        <f>IF(OR(INDEX($AH$2:$AH$1001,MATCH(ROWS($AG$2:AG503),$AG$2:$AG$1001,0),1)&gt;=100000,INDEX($AN$1005:$BO$1005,1,MATCH(COLUMNS($AN$1006:BI1006),$AN$1006:$BO$1006,0))&gt;=100000), " ",IF(INDEX($AN$2:$BO$1001,MATCH(ROWS($AG$2:AG503),$AG$2:$AG$1001,0),MATCH(COLUMNS($AN$1006:BI1006),$AN$1006:$BO$1006,0)), HYPERLINK("#",""), HYPERLINK(CONCATENATE("#Metadata!", ADDRESS(INDEX($AI$2:$AI$1001,MATCH(ROWS($AG$2:AG503),$AG$2:$AG$1001,0),0), INDEX($AN$1004:$BO$1004,1,MATCH(COLUMNS($AN$1006:BI1006),$AN$1006:$BO$1006,0)))),"Fix")))</f>
        <v>0</v>
      </c>
      <c r="X503" s="4">
        <f>IF(OR(INDEX($AH$2:$AH$1001,MATCH(ROWS($AG$2:AG503),$AG$2:$AG$1001,0),1)&gt;=100000,INDEX($AN$1005:$BO$1005,1,MATCH(COLUMNS($AN$1006:BJ1006),$AN$1006:$BO$1006,0))&gt;=100000), " ",IF(INDEX($AN$2:$BO$1001,MATCH(ROWS($AG$2:AG503),$AG$2:$AG$1001,0),MATCH(COLUMNS($AN$1006:BJ1006),$AN$1006:$BO$1006,0)), HYPERLINK("#",""), HYPERLINK(CONCATENATE("#Metadata!", ADDRESS(INDEX($AI$2:$AI$1001,MATCH(ROWS($AG$2:AG503),$AG$2:$AG$1001,0),0), INDEX($AN$1004:$BO$1004,1,MATCH(COLUMNS($AN$1006:BJ1006),$AN$1006:$BO$1006,0)))),"Fix")))</f>
        <v>0</v>
      </c>
      <c r="Y503" s="4">
        <f>IF(OR(INDEX($AH$2:$AH$1001,MATCH(ROWS($AG$2:AG503),$AG$2:$AG$1001,0),1)&gt;=100000,INDEX($AN$1005:$BO$1005,1,MATCH(COLUMNS($AN$1006:BK1006),$AN$1006:$BO$1006,0))&gt;=100000), " ",IF(INDEX($AN$2:$BO$1001,MATCH(ROWS($AG$2:AG503),$AG$2:$AG$1001,0),MATCH(COLUMNS($AN$1006:BK1006),$AN$1006:$BO$1006,0)), HYPERLINK("#",""), HYPERLINK(CONCATENATE("#Metadata!", ADDRESS(INDEX($AI$2:$AI$1001,MATCH(ROWS($AG$2:AG503),$AG$2:$AG$1001,0),0), INDEX($AN$1004:$BO$1004,1,MATCH(COLUMNS($AN$1006:BK1006),$AN$1006:$BO$1006,0)))),"Fix")))</f>
        <v>0</v>
      </c>
      <c r="Z503" s="4">
        <f>IF(OR(INDEX($AH$2:$AH$1001,MATCH(ROWS($AG$2:AG503),$AG$2:$AG$1001,0),1)&gt;=100000,INDEX($AN$1005:$BO$1005,1,MATCH(COLUMNS($AN$1006:BL1006),$AN$1006:$BO$1006,0))&gt;=100000), " ",IF(INDEX($AN$2:$BO$1001,MATCH(ROWS($AG$2:AG503),$AG$2:$AG$1001,0),MATCH(COLUMNS($AN$1006:BL1006),$AN$1006:$BO$1006,0)), HYPERLINK("#",""), HYPERLINK(CONCATENATE("#Metadata!", ADDRESS(INDEX($AI$2:$AI$1001,MATCH(ROWS($AG$2:AG503),$AG$2:$AG$1001,0),0), INDEX($AN$1004:$BO$1004,1,MATCH(COLUMNS($AN$1006:BL1006),$AN$1006:$BO$1006,0)))),"Fix")))</f>
        <v>0</v>
      </c>
      <c r="AA503" s="4">
        <f>IF(OR(INDEX($AH$2:$AH$1001,MATCH(ROWS($AG$2:AG503),$AG$2:$AG$1001,0),1)&gt;=100000,INDEX($AN$1005:$BO$1005,1,MATCH(COLUMNS($AN$1006:BM1006),$AN$1006:$BO$1006,0))&gt;=100000), " ",IF(INDEX($AN$2:$BO$1001,MATCH(ROWS($AG$2:AG503),$AG$2:$AG$1001,0),MATCH(COLUMNS($AN$1006:BM1006),$AN$1006:$BO$1006,0)), HYPERLINK("#",""), HYPERLINK(CONCATENATE("#Metadata!", ADDRESS(INDEX($AI$2:$AI$1001,MATCH(ROWS($AG$2:AG503),$AG$2:$AG$1001,0),0), INDEX($AN$1004:$BO$1004,1,MATCH(COLUMNS($AN$1006:BM1006),$AN$1006:$BO$1006,0)))),"Fix")))</f>
        <v>0</v>
      </c>
      <c r="AB503" s="4">
        <f>IF(OR(INDEX($AH$2:$AH$1001,MATCH(ROWS($AG$2:AG503),$AG$2:$AG$1001,0),1)&gt;=100000,INDEX($AN$1005:$BO$1005,1,MATCH(COLUMNS($AN$1006:BN1006),$AN$1006:$BO$1006,0))&gt;=100000), " ",IF(INDEX($AN$2:$BO$1001,MATCH(ROWS($AG$2:AG503),$AG$2:$AG$1001,0),MATCH(COLUMNS($AN$1006:BN1006),$AN$1006:$BO$1006,0)), HYPERLINK("#",""), HYPERLINK(CONCATENATE("#Metadata!", ADDRESS(INDEX($AI$2:$AI$1001,MATCH(ROWS($AG$2:AG503),$AG$2:$AG$1001,0),0), INDEX($AN$1004:$BO$1004,1,MATCH(COLUMNS($AN$1006:BN1006),$AN$1006:$BO$1006,0)))),"Fix")))</f>
        <v>0</v>
      </c>
      <c r="AC503" s="4">
        <f>IF(OR(INDEX($AH$2:$AH$1001,MATCH(ROWS($AG$2:AG503),$AG$2:$AG$1001,0),1)&gt;=100000,INDEX($AN$1005:$BO$1005,1,MATCH(COLUMNS($AN$1006:BO1006),$AN$1006:$BO$1006,0))&gt;=100000), " ",IF(INDEX($AN$2:$BO$1001,MATCH(ROWS($AG$2:AG503),$AG$2:$AG$1001,0),MATCH(COLUMNS($AN$1006:BO1006),$AN$1006:$BO$1006,0)), HYPERLINK("#",""), HYPERLINK(CONCATENATE("#Metadata!", ADDRESS(INDEX($AI$2:$AI$1001,MATCH(ROWS($AG$2:AG503),$AG$2:$AG$1001,0),0), INDEX($AN$1004:$BO$1004,1,MATCH(COLUMNS($AN$1006:BO1006),$AN$1006:$BO$1006,0)))),"Fix")))</f>
        <v>0</v>
      </c>
      <c r="AG503">
        <v>0</v>
      </c>
      <c r="AH503">
        <v>0</v>
      </c>
      <c r="AI503">
        <v>0</v>
      </c>
      <c r="AJ503">
        <f>IF(AK503,TRUE,AND(AN503:BO503))</f>
        <v>0</v>
      </c>
      <c r="AK503">
        <f>COUNTBLANK(Metadata!B503:AC503)=COLUMNS(Metadata!B503:AC503)</f>
        <v>0</v>
      </c>
      <c r="AL503">
        <v>0</v>
      </c>
      <c r="AN503">
        <f>AND(IF(Metadata!B503="",FALSE,TRUE),COUNTIF(Metadata!B:B, Metadata!B503) = 1,NOT(ISERROR(SUMPRODUCT(SEARCH(MID(Metadata!B503,ROW(INDIRECT("1:"&amp;LEN(Metadata!B503))), 1),"0123456789abcdefghijklmnopqrstuvwxyzABCDEFGHIJKLMNOPQRSTUVWXYZ.")))))</f>
        <v>0</v>
      </c>
      <c r="AO503">
        <f>IF(Metadata!C503="",FALSE,TRUE)</f>
        <v>0</v>
      </c>
      <c r="AP503">
        <f>IF(Metadata!D503="",FALSE,TRUE)</f>
        <v>0</v>
      </c>
      <c r="AQ503">
        <f>OR(AND(IF(Metadata!E503="",FALSE,TRUE),OR(exact(Metadata!E503,"not collected"),exact(Metadata!E503,"not provided"),exact(Metadata!E503,"restricted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R503">
        <f>IF(Metadata!F503="",FALSE,TRUE)</f>
        <v>0</v>
      </c>
      <c r="AS503">
        <f>OR(AND(IF(Metadata!G503="",FALSE,TRUE),OR(exact(Metadata!G503,"not collected"),exact(Metadata!G503,"not provided"))),AND(IF(Metadata!G503="",FALSE,TRUE),OR(exact(Metadata!G503,"TRUE"),exact(Metadata!G503,"FALSE"))))</f>
        <v>0</v>
      </c>
      <c r="AT503">
        <f>OR(AND(IF(Metadata!H503="",FALSE,TRUE),OR(exact(Metadata!H503,"not collected"),exact(Metadata!H503,"not provided"),exact(Metadata!H503,"restricted access"))),AND(IF(Metadata!H503="",FALSE,ISNUMBER(VALUE(Metadata!H503))),Metadata!H503&gt;=-413.0))</f>
        <v>0</v>
      </c>
      <c r="AU503">
        <f>AND(IF(Metadata!I503="",FALSE,TRUE),exact(Metadata!I503,"meters"))</f>
        <v>0</v>
      </c>
      <c r="AV503">
        <f>AND(IF(Metadata!J503="",FALSE,TRUE),OR(exact(Metadata!J503,"Host-associated"),exact(Metadata!J503,"Free-living")))</f>
        <v>0</v>
      </c>
      <c r="AW503">
        <f>AND(IF(Metadata!K503="",FALSE,TRUE),OR(exact(Metadata!K503,"Animal"),exact(Metadata!K503,"Fungus"),exact(Metadata!K503,"Plant"),exact(Metadata!K503,"Saline"),exact(Metadata!K503,"Non-saline")))</f>
        <v>0</v>
      </c>
      <c r="AX503">
        <f>AND(IF(Metadata!L503="",FALSE,TRUE),OR(exact(Metadata!L503,"Plant secretion"),exact(Metadata!L503,"Plant rhizosphere"),exact(Metadata!L503,"Plant surface"),exact(Metadata!L503,"Plant corpus"),exact(Metadata!L503,"Fungus surface"),exact(Metadata!L503,"Fungus corpus"),exact(Metadata!L503,"Animal surface"),exact(Metadata!L503,"Animal proximal gut"),exact(Metadata!L503,"Animal corpus"),exact(Metadata!L503,"Animal distal gut"),exact(Metadata!L503,"Animal secretion"),exact(Metadata!L503,"Sub-surface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Y503">
        <f>IF(Metadata!M503="",FALSE,TRUE)</f>
        <v>0</v>
      </c>
      <c r="AZ503">
        <f>IF(Metadata!N503="",FALSE,TRUE)</f>
        <v>0</v>
      </c>
      <c r="BA503">
        <f>IF(Metadata!O503="",FALSE,TRUE)</f>
        <v>0</v>
      </c>
      <c r="BB503">
        <f>OR(AND(IF(Metadata!P503="",FALSE,TRUE),OR(exact(Metadata!P503,"not collected"),exact(Metadata!P503,"not provided"),exact(Metadata!P503,"restricted access"))),AND(IF(Metadata!P503="",FALSE,TRUE),OR(exact(Metadata!P503,"air"),exact(Metadata!P503,"built environment"),exact(Metadata!P503,"host-associated"),exact(Metadata!P503,"human-associated"),exact(Metadata!P503,"human-skin"),exact(Metadata!P503,"human-oral"),exact(Metadata!P503,"human-gut"),exact(Metadata!P503,"human-vaginal"),exact(Metadata!P503,"microbial mat/biofilm"),exact(Metadata!P503,"misc environment"),exact(Metadata!P503,"plant-associated"),exact(Metadata!P503,"sediment"),exact(Metadata!P503,"soil"),exact(Metadata!P503,"wastewater/sludge"),exact(Metadata!P503,"water"))))</f>
        <v>0</v>
      </c>
      <c r="BC503">
        <f>IF(Metadata!Q503="",FALSE,TRUE)</f>
        <v>0</v>
      </c>
      <c r="BD503">
        <f>IF(Metadata!R503="",FALSE,TRUE)</f>
        <v>0</v>
      </c>
      <c r="BE503">
        <f>OR(AND(IF(Metadata!S503="",FALSE,TRUE),OR(exact(Metadata!S503,"not collected"),exact(Metadata!S503,"not provided"),exact(Metadata!S503,"restricted access"))),AND(IF(Metadata!S503="",FALSE,ISNUMBER(VALUE(Metadata!S503))),Metadata!S503&gt;=-90.00,Metadata!S503&lt;=90.00))</f>
        <v>0</v>
      </c>
      <c r="BF503">
        <f>AND(IF(Metadata!T503="",FALSE,TRUE),exact(Metadata!T503,"Decimal degrees"))</f>
        <v>0</v>
      </c>
      <c r="BG503">
        <f>OR(AND(IF(Metadata!U503="",FALSE,TRUE),OR(exact(Metadata!U503,"not collected"),exact(Metadata!U503,"not provided"),exact(Metadata!U503,"restricted access"))),AND(IF(Metadata!U503="",FALSE,ISNUMBER(VALUE(Metadata!U503))),Metadata!U503&gt;=-180.00,Metadata!U503&lt;=180.00))</f>
        <v>0</v>
      </c>
      <c r="BH503">
        <f>AND(IF(Metadata!V503="",FALSE,TRUE),exact(Metadata!V503,"Decimal degrees"))</f>
        <v>0</v>
      </c>
      <c r="BI503">
        <f>IF(Metadata!W503="",FALSE,TRUE)</f>
        <v>0</v>
      </c>
      <c r="BJ503">
        <f>OR(AND(IF(Metadata!X503="",FALSE,TRUE),OR(exact(Metadata!X503,"not collected"),exact(Metadata!X503,"not provided"),exact(Metadata!X503,"restricted access"))),AND(IF(Metadata!X503="",FALSE,TRUE),OR(exact(Metadata!X503,"TRUE"),exact(Metadata!X503,"FALSE"))))</f>
        <v>0</v>
      </c>
      <c r="BK503">
        <f>AND(IF(Metadata!Y503="",FALSE,TRUE),exact(Metadata!Y503,"other"))</f>
        <v>0</v>
      </c>
      <c r="BL503">
        <f>IF(Metadata!Z503="",FALSE,TRUE)</f>
        <v>0</v>
      </c>
      <c r="BM503">
        <f>OR(AND(IF(Metadata!AA503="",FALSE,TRUE),OR(exact(Metadata!AA503,"not collected"),exact(Metadata!AA503,"not provided"))),AND(IF(Metadata!AA503="",FALSE,IF(ISERROR(INT(Metadata!AA503)),FALSE,INT(Metadata!AA503)=Metadata!AA503)),Metadata!AA503&gt;0))</f>
        <v>0</v>
      </c>
      <c r="BN503">
        <f>AND(IF(Metadata!AB503="",FALSE,TRUE),exact(Metadata!AB503,"Not applicable"))</f>
        <v>0</v>
      </c>
      <c r="BO503">
        <f>IF(Metadata!AC503="",FALSE,TRUE)</f>
        <v>0</v>
      </c>
    </row>
    <row r="504" spans="1:67">
      <c r="A504" s="5">
        <f>IF(B504=" "," ",HYPERLINK(CONCATENATE("#metadata!",ADDRESS(INDEX($AI$2:$AI$1001,MATCH(ROWS($AG$2:AG504),$AG$2:$AG$1001,0),0),1)),INDEX($AL$2:$AL$1001,MATCH(ROWS($AG$2:AG504),$AG$2:$AG$1001,0),0)))</f>
        <v>0</v>
      </c>
      <c r="B504" s="4">
        <f>IF(OR(INDEX($AH$2:$AH$1001,MATCH(ROWS($AG$2:AG504),$AG$2:$AG$1001,0),1)&gt;=100000,INDEX($AN$1005:$BO$1005,1,MATCH(COLUMNS($AN$1006:AN1006),$AN$1006:$BO$1006,0))&gt;=100000), " ",IF(INDEX($AN$2:$BO$1001,MATCH(ROWS($AG$2:AG504),$AG$2:$AG$1001,0),MATCH(COLUMNS($AN$1006:AN1006),$AN$1006:$BO$1006,0)), HYPERLINK("#",""), HYPERLINK(CONCATENATE("#Metadata!", ADDRESS(INDEX($AI$2:$AI$1001,MATCH(ROWS($AG$2:AG504),$AG$2:$AG$1001,0),0), INDEX($AN$1004:$BO$1004,1,MATCH(COLUMNS($AN$1006:AN1006),$AN$1006:$BO$1006,0)))),"Fix")))</f>
        <v>0</v>
      </c>
      <c r="C504" s="4">
        <f>IF(OR(INDEX($AH$2:$AH$1001,MATCH(ROWS($AG$2:AG504),$AG$2:$AG$1001,0),1)&gt;=100000,INDEX($AN$1005:$BO$1005,1,MATCH(COLUMNS($AN$1006:AO1006),$AN$1006:$BO$1006,0))&gt;=100000), " ",IF(INDEX($AN$2:$BO$1001,MATCH(ROWS($AG$2:AG504),$AG$2:$AG$1001,0),MATCH(COLUMNS($AN$1006:AO1006),$AN$1006:$BO$1006,0)), HYPERLINK("#",""), HYPERLINK(CONCATENATE("#Metadata!", ADDRESS(INDEX($AI$2:$AI$1001,MATCH(ROWS($AG$2:AG504),$AG$2:$AG$1001,0),0), INDEX($AN$1004:$BO$1004,1,MATCH(COLUMNS($AN$1006:AO1006),$AN$1006:$BO$1006,0)))),"Fix")))</f>
        <v>0</v>
      </c>
      <c r="D504" s="4">
        <f>IF(OR(INDEX($AH$2:$AH$1001,MATCH(ROWS($AG$2:AG504),$AG$2:$AG$1001,0),1)&gt;=100000,INDEX($AN$1005:$BO$1005,1,MATCH(COLUMNS($AN$1006:AP1006),$AN$1006:$BO$1006,0))&gt;=100000), " ",IF(INDEX($AN$2:$BO$1001,MATCH(ROWS($AG$2:AG504),$AG$2:$AG$1001,0),MATCH(COLUMNS($AN$1006:AP1006),$AN$1006:$BO$1006,0)), HYPERLINK("#",""), HYPERLINK(CONCATENATE("#Metadata!", ADDRESS(INDEX($AI$2:$AI$1001,MATCH(ROWS($AG$2:AG504),$AG$2:$AG$1001,0),0), INDEX($AN$1004:$BO$1004,1,MATCH(COLUMNS($AN$1006:AP1006),$AN$1006:$BO$1006,0)))),"Fix")))</f>
        <v>0</v>
      </c>
      <c r="E504" s="4">
        <f>IF(OR(INDEX($AH$2:$AH$1001,MATCH(ROWS($AG$2:AG504),$AG$2:$AG$1001,0),1)&gt;=100000,INDEX($AN$1005:$BO$1005,1,MATCH(COLUMNS($AN$1006:AQ1006),$AN$1006:$BO$1006,0))&gt;=100000), " ",IF(INDEX($AN$2:$BO$1001,MATCH(ROWS($AG$2:AG504),$AG$2:$AG$1001,0),MATCH(COLUMNS($AN$1006:AQ1006),$AN$1006:$BO$1006,0)), HYPERLINK("#",""), HYPERLINK(CONCATENATE("#Metadata!", ADDRESS(INDEX($AI$2:$AI$1001,MATCH(ROWS($AG$2:AG504),$AG$2:$AG$1001,0),0), INDEX($AN$1004:$BO$1004,1,MATCH(COLUMNS($AN$1006:AQ1006),$AN$1006:$BO$1006,0)))),"Fix")))</f>
        <v>0</v>
      </c>
      <c r="F504" s="4">
        <f>IF(OR(INDEX($AH$2:$AH$1001,MATCH(ROWS($AG$2:AG504),$AG$2:$AG$1001,0),1)&gt;=100000,INDEX($AN$1005:$BO$1005,1,MATCH(COLUMNS($AN$1006:AR1006),$AN$1006:$BO$1006,0))&gt;=100000), " ",IF(INDEX($AN$2:$BO$1001,MATCH(ROWS($AG$2:AG504),$AG$2:$AG$1001,0),MATCH(COLUMNS($AN$1006:AR1006),$AN$1006:$BO$1006,0)), HYPERLINK("#",""), HYPERLINK(CONCATENATE("#Metadata!", ADDRESS(INDEX($AI$2:$AI$1001,MATCH(ROWS($AG$2:AG504),$AG$2:$AG$1001,0),0), INDEX($AN$1004:$BO$1004,1,MATCH(COLUMNS($AN$1006:AR1006),$AN$1006:$BO$1006,0)))),"Fix")))</f>
        <v>0</v>
      </c>
      <c r="G504" s="4">
        <f>IF(OR(INDEX($AH$2:$AH$1001,MATCH(ROWS($AG$2:AG504),$AG$2:$AG$1001,0),1)&gt;=100000,INDEX($AN$1005:$BO$1005,1,MATCH(COLUMNS($AN$1006:AS1006),$AN$1006:$BO$1006,0))&gt;=100000), " ",IF(INDEX($AN$2:$BO$1001,MATCH(ROWS($AG$2:AG504),$AG$2:$AG$1001,0),MATCH(COLUMNS($AN$1006:AS1006),$AN$1006:$BO$1006,0)), HYPERLINK("#",""), HYPERLINK(CONCATENATE("#Metadata!", ADDRESS(INDEX($AI$2:$AI$1001,MATCH(ROWS($AG$2:AG504),$AG$2:$AG$1001,0),0), INDEX($AN$1004:$BO$1004,1,MATCH(COLUMNS($AN$1006:AS1006),$AN$1006:$BO$1006,0)))),"Fix")))</f>
        <v>0</v>
      </c>
      <c r="H504" s="4">
        <f>IF(OR(INDEX($AH$2:$AH$1001,MATCH(ROWS($AG$2:AG504),$AG$2:$AG$1001,0),1)&gt;=100000,INDEX($AN$1005:$BO$1005,1,MATCH(COLUMNS($AN$1006:AT1006),$AN$1006:$BO$1006,0))&gt;=100000), " ",IF(INDEX($AN$2:$BO$1001,MATCH(ROWS($AG$2:AG504),$AG$2:$AG$1001,0),MATCH(COLUMNS($AN$1006:AT1006),$AN$1006:$BO$1006,0)), HYPERLINK("#",""), HYPERLINK(CONCATENATE("#Metadata!", ADDRESS(INDEX($AI$2:$AI$1001,MATCH(ROWS($AG$2:AG504),$AG$2:$AG$1001,0),0), INDEX($AN$1004:$BO$1004,1,MATCH(COLUMNS($AN$1006:AT1006),$AN$1006:$BO$1006,0)))),"Fix")))</f>
        <v>0</v>
      </c>
      <c r="I504" s="4">
        <f>IF(OR(INDEX($AH$2:$AH$1001,MATCH(ROWS($AG$2:AG504),$AG$2:$AG$1001,0),1)&gt;=100000,INDEX($AN$1005:$BO$1005,1,MATCH(COLUMNS($AN$1006:AU1006),$AN$1006:$BO$1006,0))&gt;=100000), " ",IF(INDEX($AN$2:$BO$1001,MATCH(ROWS($AG$2:AG504),$AG$2:$AG$1001,0),MATCH(COLUMNS($AN$1006:AU1006),$AN$1006:$BO$1006,0)), HYPERLINK("#",""), HYPERLINK(CONCATENATE("#Metadata!", ADDRESS(INDEX($AI$2:$AI$1001,MATCH(ROWS($AG$2:AG504),$AG$2:$AG$1001,0),0), INDEX($AN$1004:$BO$1004,1,MATCH(COLUMNS($AN$1006:AU1006),$AN$1006:$BO$1006,0)))),"Fix")))</f>
        <v>0</v>
      </c>
      <c r="J504" s="4">
        <f>IF(OR(INDEX($AH$2:$AH$1001,MATCH(ROWS($AG$2:AG504),$AG$2:$AG$1001,0),1)&gt;=100000,INDEX($AN$1005:$BO$1005,1,MATCH(COLUMNS($AN$1006:AV1006),$AN$1006:$BO$1006,0))&gt;=100000), " ",IF(INDEX($AN$2:$BO$1001,MATCH(ROWS($AG$2:AG504),$AG$2:$AG$1001,0),MATCH(COLUMNS($AN$1006:AV1006),$AN$1006:$BO$1006,0)), HYPERLINK("#",""), HYPERLINK(CONCATENATE("#Metadata!", ADDRESS(INDEX($AI$2:$AI$1001,MATCH(ROWS($AG$2:AG504),$AG$2:$AG$1001,0),0), INDEX($AN$1004:$BO$1004,1,MATCH(COLUMNS($AN$1006:AV1006),$AN$1006:$BO$1006,0)))),"Fix")))</f>
        <v>0</v>
      </c>
      <c r="K504" s="4">
        <f>IF(OR(INDEX($AH$2:$AH$1001,MATCH(ROWS($AG$2:AG504),$AG$2:$AG$1001,0),1)&gt;=100000,INDEX($AN$1005:$BO$1005,1,MATCH(COLUMNS($AN$1006:AW1006),$AN$1006:$BO$1006,0))&gt;=100000), " ",IF(INDEX($AN$2:$BO$1001,MATCH(ROWS($AG$2:AG504),$AG$2:$AG$1001,0),MATCH(COLUMNS($AN$1006:AW1006),$AN$1006:$BO$1006,0)), HYPERLINK("#",""), HYPERLINK(CONCATENATE("#Metadata!", ADDRESS(INDEX($AI$2:$AI$1001,MATCH(ROWS($AG$2:AG504),$AG$2:$AG$1001,0),0), INDEX($AN$1004:$BO$1004,1,MATCH(COLUMNS($AN$1006:AW1006),$AN$1006:$BO$1006,0)))),"Fix")))</f>
        <v>0</v>
      </c>
      <c r="L504" s="4">
        <f>IF(OR(INDEX($AH$2:$AH$1001,MATCH(ROWS($AG$2:AG504),$AG$2:$AG$1001,0),1)&gt;=100000,INDEX($AN$1005:$BO$1005,1,MATCH(COLUMNS($AN$1006:AX1006),$AN$1006:$BO$1006,0))&gt;=100000), " ",IF(INDEX($AN$2:$BO$1001,MATCH(ROWS($AG$2:AG504),$AG$2:$AG$1001,0),MATCH(COLUMNS($AN$1006:AX1006),$AN$1006:$BO$1006,0)), HYPERLINK("#",""), HYPERLINK(CONCATENATE("#Metadata!", ADDRESS(INDEX($AI$2:$AI$1001,MATCH(ROWS($AG$2:AG504),$AG$2:$AG$1001,0),0), INDEX($AN$1004:$BO$1004,1,MATCH(COLUMNS($AN$1006:AX1006),$AN$1006:$BO$1006,0)))),"Fix")))</f>
        <v>0</v>
      </c>
      <c r="M504" s="4">
        <f>IF(OR(INDEX($AH$2:$AH$1001,MATCH(ROWS($AG$2:AG504),$AG$2:$AG$1001,0),1)&gt;=100000,INDEX($AN$1005:$BO$1005,1,MATCH(COLUMNS($AN$1006:AY1006),$AN$1006:$BO$1006,0))&gt;=100000), " ",IF(INDEX($AN$2:$BO$1001,MATCH(ROWS($AG$2:AG504),$AG$2:$AG$1001,0),MATCH(COLUMNS($AN$1006:AY1006),$AN$1006:$BO$1006,0)), HYPERLINK("#",""), HYPERLINK(CONCATENATE("#Metadata!", ADDRESS(INDEX($AI$2:$AI$1001,MATCH(ROWS($AG$2:AG504),$AG$2:$AG$1001,0),0), INDEX($AN$1004:$BO$1004,1,MATCH(COLUMNS($AN$1006:AY1006),$AN$1006:$BO$1006,0)))),"Fix")))</f>
        <v>0</v>
      </c>
      <c r="N504" s="4">
        <f>IF(OR(INDEX($AH$2:$AH$1001,MATCH(ROWS($AG$2:AG504),$AG$2:$AG$1001,0),1)&gt;=100000,INDEX($AN$1005:$BO$1005,1,MATCH(COLUMNS($AN$1006:AZ1006),$AN$1006:$BO$1006,0))&gt;=100000), " ",IF(INDEX($AN$2:$BO$1001,MATCH(ROWS($AG$2:AG504),$AG$2:$AG$1001,0),MATCH(COLUMNS($AN$1006:AZ1006),$AN$1006:$BO$1006,0)), HYPERLINK("#",""), HYPERLINK(CONCATENATE("#Metadata!", ADDRESS(INDEX($AI$2:$AI$1001,MATCH(ROWS($AG$2:AG504),$AG$2:$AG$1001,0),0), INDEX($AN$1004:$BO$1004,1,MATCH(COLUMNS($AN$1006:AZ1006),$AN$1006:$BO$1006,0)))),"Fix")))</f>
        <v>0</v>
      </c>
      <c r="O504" s="4">
        <f>IF(OR(INDEX($AH$2:$AH$1001,MATCH(ROWS($AG$2:AG504),$AG$2:$AG$1001,0),1)&gt;=100000,INDEX($AN$1005:$BO$1005,1,MATCH(COLUMNS($AN$1006:BA1006),$AN$1006:$BO$1006,0))&gt;=100000), " ",IF(INDEX($AN$2:$BO$1001,MATCH(ROWS($AG$2:AG504),$AG$2:$AG$1001,0),MATCH(COLUMNS($AN$1006:BA1006),$AN$1006:$BO$1006,0)), HYPERLINK("#",""), HYPERLINK(CONCATENATE("#Metadata!", ADDRESS(INDEX($AI$2:$AI$1001,MATCH(ROWS($AG$2:AG504),$AG$2:$AG$1001,0),0), INDEX($AN$1004:$BO$1004,1,MATCH(COLUMNS($AN$1006:BA1006),$AN$1006:$BO$1006,0)))),"Fix")))</f>
        <v>0</v>
      </c>
      <c r="P504" s="4">
        <f>IF(OR(INDEX($AH$2:$AH$1001,MATCH(ROWS($AG$2:AG504),$AG$2:$AG$1001,0),1)&gt;=100000,INDEX($AN$1005:$BO$1005,1,MATCH(COLUMNS($AN$1006:BB1006),$AN$1006:$BO$1006,0))&gt;=100000), " ",IF(INDEX($AN$2:$BO$1001,MATCH(ROWS($AG$2:AG504),$AG$2:$AG$1001,0),MATCH(COLUMNS($AN$1006:BB1006),$AN$1006:$BO$1006,0)), HYPERLINK("#",""), HYPERLINK(CONCATENATE("#Metadata!", ADDRESS(INDEX($AI$2:$AI$1001,MATCH(ROWS($AG$2:AG504),$AG$2:$AG$1001,0),0), INDEX($AN$1004:$BO$1004,1,MATCH(COLUMNS($AN$1006:BB1006),$AN$1006:$BO$1006,0)))),"Fix")))</f>
        <v>0</v>
      </c>
      <c r="Q504" s="4">
        <f>IF(OR(INDEX($AH$2:$AH$1001,MATCH(ROWS($AG$2:AG504),$AG$2:$AG$1001,0),1)&gt;=100000,INDEX($AN$1005:$BO$1005,1,MATCH(COLUMNS($AN$1006:BC1006),$AN$1006:$BO$1006,0))&gt;=100000), " ",IF(INDEX($AN$2:$BO$1001,MATCH(ROWS($AG$2:AG504),$AG$2:$AG$1001,0),MATCH(COLUMNS($AN$1006:BC1006),$AN$1006:$BO$1006,0)), HYPERLINK("#",""), HYPERLINK(CONCATENATE("#Metadata!", ADDRESS(INDEX($AI$2:$AI$1001,MATCH(ROWS($AG$2:AG504),$AG$2:$AG$1001,0),0), INDEX($AN$1004:$BO$1004,1,MATCH(COLUMNS($AN$1006:BC1006),$AN$1006:$BO$1006,0)))),"Fix")))</f>
        <v>0</v>
      </c>
      <c r="R504" s="4">
        <f>IF(OR(INDEX($AH$2:$AH$1001,MATCH(ROWS($AG$2:AG504),$AG$2:$AG$1001,0),1)&gt;=100000,INDEX($AN$1005:$BO$1005,1,MATCH(COLUMNS($AN$1006:BD1006),$AN$1006:$BO$1006,0))&gt;=100000), " ",IF(INDEX($AN$2:$BO$1001,MATCH(ROWS($AG$2:AG504),$AG$2:$AG$1001,0),MATCH(COLUMNS($AN$1006:BD1006),$AN$1006:$BO$1006,0)), HYPERLINK("#",""), HYPERLINK(CONCATENATE("#Metadata!", ADDRESS(INDEX($AI$2:$AI$1001,MATCH(ROWS($AG$2:AG504),$AG$2:$AG$1001,0),0), INDEX($AN$1004:$BO$1004,1,MATCH(COLUMNS($AN$1006:BD1006),$AN$1006:$BO$1006,0)))),"Fix")))</f>
        <v>0</v>
      </c>
      <c r="S504" s="4">
        <f>IF(OR(INDEX($AH$2:$AH$1001,MATCH(ROWS($AG$2:AG504),$AG$2:$AG$1001,0),1)&gt;=100000,INDEX($AN$1005:$BO$1005,1,MATCH(COLUMNS($AN$1006:BE1006),$AN$1006:$BO$1006,0))&gt;=100000), " ",IF(INDEX($AN$2:$BO$1001,MATCH(ROWS($AG$2:AG504),$AG$2:$AG$1001,0),MATCH(COLUMNS($AN$1006:BE1006),$AN$1006:$BO$1006,0)), HYPERLINK("#",""), HYPERLINK(CONCATENATE("#Metadata!", ADDRESS(INDEX($AI$2:$AI$1001,MATCH(ROWS($AG$2:AG504),$AG$2:$AG$1001,0),0), INDEX($AN$1004:$BO$1004,1,MATCH(COLUMNS($AN$1006:BE1006),$AN$1006:$BO$1006,0)))),"Fix")))</f>
        <v>0</v>
      </c>
      <c r="T504" s="4">
        <f>IF(OR(INDEX($AH$2:$AH$1001,MATCH(ROWS($AG$2:AG504),$AG$2:$AG$1001,0),1)&gt;=100000,INDEX($AN$1005:$BO$1005,1,MATCH(COLUMNS($AN$1006:BF1006),$AN$1006:$BO$1006,0))&gt;=100000), " ",IF(INDEX($AN$2:$BO$1001,MATCH(ROWS($AG$2:AG504),$AG$2:$AG$1001,0),MATCH(COLUMNS($AN$1006:BF1006),$AN$1006:$BO$1006,0)), HYPERLINK("#",""), HYPERLINK(CONCATENATE("#Metadata!", ADDRESS(INDEX($AI$2:$AI$1001,MATCH(ROWS($AG$2:AG504),$AG$2:$AG$1001,0),0), INDEX($AN$1004:$BO$1004,1,MATCH(COLUMNS($AN$1006:BF1006),$AN$1006:$BO$1006,0)))),"Fix")))</f>
        <v>0</v>
      </c>
      <c r="U504" s="4">
        <f>IF(OR(INDEX($AH$2:$AH$1001,MATCH(ROWS($AG$2:AG504),$AG$2:$AG$1001,0),1)&gt;=100000,INDEX($AN$1005:$BO$1005,1,MATCH(COLUMNS($AN$1006:BG1006),$AN$1006:$BO$1006,0))&gt;=100000), " ",IF(INDEX($AN$2:$BO$1001,MATCH(ROWS($AG$2:AG504),$AG$2:$AG$1001,0),MATCH(COLUMNS($AN$1006:BG1006),$AN$1006:$BO$1006,0)), HYPERLINK("#",""), HYPERLINK(CONCATENATE("#Metadata!", ADDRESS(INDEX($AI$2:$AI$1001,MATCH(ROWS($AG$2:AG504),$AG$2:$AG$1001,0),0), INDEX($AN$1004:$BO$1004,1,MATCH(COLUMNS($AN$1006:BG1006),$AN$1006:$BO$1006,0)))),"Fix")))</f>
        <v>0</v>
      </c>
      <c r="V504" s="4">
        <f>IF(OR(INDEX($AH$2:$AH$1001,MATCH(ROWS($AG$2:AG504),$AG$2:$AG$1001,0),1)&gt;=100000,INDEX($AN$1005:$BO$1005,1,MATCH(COLUMNS($AN$1006:BH1006),$AN$1006:$BO$1006,0))&gt;=100000), " ",IF(INDEX($AN$2:$BO$1001,MATCH(ROWS($AG$2:AG504),$AG$2:$AG$1001,0),MATCH(COLUMNS($AN$1006:BH1006),$AN$1006:$BO$1006,0)), HYPERLINK("#",""), HYPERLINK(CONCATENATE("#Metadata!", ADDRESS(INDEX($AI$2:$AI$1001,MATCH(ROWS($AG$2:AG504),$AG$2:$AG$1001,0),0), INDEX($AN$1004:$BO$1004,1,MATCH(COLUMNS($AN$1006:BH1006),$AN$1006:$BO$1006,0)))),"Fix")))</f>
        <v>0</v>
      </c>
      <c r="W504" s="4">
        <f>IF(OR(INDEX($AH$2:$AH$1001,MATCH(ROWS($AG$2:AG504),$AG$2:$AG$1001,0),1)&gt;=100000,INDEX($AN$1005:$BO$1005,1,MATCH(COLUMNS($AN$1006:BI1006),$AN$1006:$BO$1006,0))&gt;=100000), " ",IF(INDEX($AN$2:$BO$1001,MATCH(ROWS($AG$2:AG504),$AG$2:$AG$1001,0),MATCH(COLUMNS($AN$1006:BI1006),$AN$1006:$BO$1006,0)), HYPERLINK("#",""), HYPERLINK(CONCATENATE("#Metadata!", ADDRESS(INDEX($AI$2:$AI$1001,MATCH(ROWS($AG$2:AG504),$AG$2:$AG$1001,0),0), INDEX($AN$1004:$BO$1004,1,MATCH(COLUMNS($AN$1006:BI1006),$AN$1006:$BO$1006,0)))),"Fix")))</f>
        <v>0</v>
      </c>
      <c r="X504" s="4">
        <f>IF(OR(INDEX($AH$2:$AH$1001,MATCH(ROWS($AG$2:AG504),$AG$2:$AG$1001,0),1)&gt;=100000,INDEX($AN$1005:$BO$1005,1,MATCH(COLUMNS($AN$1006:BJ1006),$AN$1006:$BO$1006,0))&gt;=100000), " ",IF(INDEX($AN$2:$BO$1001,MATCH(ROWS($AG$2:AG504),$AG$2:$AG$1001,0),MATCH(COLUMNS($AN$1006:BJ1006),$AN$1006:$BO$1006,0)), HYPERLINK("#",""), HYPERLINK(CONCATENATE("#Metadata!", ADDRESS(INDEX($AI$2:$AI$1001,MATCH(ROWS($AG$2:AG504),$AG$2:$AG$1001,0),0), INDEX($AN$1004:$BO$1004,1,MATCH(COLUMNS($AN$1006:BJ1006),$AN$1006:$BO$1006,0)))),"Fix")))</f>
        <v>0</v>
      </c>
      <c r="Y504" s="4">
        <f>IF(OR(INDEX($AH$2:$AH$1001,MATCH(ROWS($AG$2:AG504),$AG$2:$AG$1001,0),1)&gt;=100000,INDEX($AN$1005:$BO$1005,1,MATCH(COLUMNS($AN$1006:BK1006),$AN$1006:$BO$1006,0))&gt;=100000), " ",IF(INDEX($AN$2:$BO$1001,MATCH(ROWS($AG$2:AG504),$AG$2:$AG$1001,0),MATCH(COLUMNS($AN$1006:BK1006),$AN$1006:$BO$1006,0)), HYPERLINK("#",""), HYPERLINK(CONCATENATE("#Metadata!", ADDRESS(INDEX($AI$2:$AI$1001,MATCH(ROWS($AG$2:AG504),$AG$2:$AG$1001,0),0), INDEX($AN$1004:$BO$1004,1,MATCH(COLUMNS($AN$1006:BK1006),$AN$1006:$BO$1006,0)))),"Fix")))</f>
        <v>0</v>
      </c>
      <c r="Z504" s="4">
        <f>IF(OR(INDEX($AH$2:$AH$1001,MATCH(ROWS($AG$2:AG504),$AG$2:$AG$1001,0),1)&gt;=100000,INDEX($AN$1005:$BO$1005,1,MATCH(COLUMNS($AN$1006:BL1006),$AN$1006:$BO$1006,0))&gt;=100000), " ",IF(INDEX($AN$2:$BO$1001,MATCH(ROWS($AG$2:AG504),$AG$2:$AG$1001,0),MATCH(COLUMNS($AN$1006:BL1006),$AN$1006:$BO$1006,0)), HYPERLINK("#",""), HYPERLINK(CONCATENATE("#Metadata!", ADDRESS(INDEX($AI$2:$AI$1001,MATCH(ROWS($AG$2:AG504),$AG$2:$AG$1001,0),0), INDEX($AN$1004:$BO$1004,1,MATCH(COLUMNS($AN$1006:BL1006),$AN$1006:$BO$1006,0)))),"Fix")))</f>
        <v>0</v>
      </c>
      <c r="AA504" s="4">
        <f>IF(OR(INDEX($AH$2:$AH$1001,MATCH(ROWS($AG$2:AG504),$AG$2:$AG$1001,0),1)&gt;=100000,INDEX($AN$1005:$BO$1005,1,MATCH(COLUMNS($AN$1006:BM1006),$AN$1006:$BO$1006,0))&gt;=100000), " ",IF(INDEX($AN$2:$BO$1001,MATCH(ROWS($AG$2:AG504),$AG$2:$AG$1001,0),MATCH(COLUMNS($AN$1006:BM1006),$AN$1006:$BO$1006,0)), HYPERLINK("#",""), HYPERLINK(CONCATENATE("#Metadata!", ADDRESS(INDEX($AI$2:$AI$1001,MATCH(ROWS($AG$2:AG504),$AG$2:$AG$1001,0),0), INDEX($AN$1004:$BO$1004,1,MATCH(COLUMNS($AN$1006:BM1006),$AN$1006:$BO$1006,0)))),"Fix")))</f>
        <v>0</v>
      </c>
      <c r="AB504" s="4">
        <f>IF(OR(INDEX($AH$2:$AH$1001,MATCH(ROWS($AG$2:AG504),$AG$2:$AG$1001,0),1)&gt;=100000,INDEX($AN$1005:$BO$1005,1,MATCH(COLUMNS($AN$1006:BN1006),$AN$1006:$BO$1006,0))&gt;=100000), " ",IF(INDEX($AN$2:$BO$1001,MATCH(ROWS($AG$2:AG504),$AG$2:$AG$1001,0),MATCH(COLUMNS($AN$1006:BN1006),$AN$1006:$BO$1006,0)), HYPERLINK("#",""), HYPERLINK(CONCATENATE("#Metadata!", ADDRESS(INDEX($AI$2:$AI$1001,MATCH(ROWS($AG$2:AG504),$AG$2:$AG$1001,0),0), INDEX($AN$1004:$BO$1004,1,MATCH(COLUMNS($AN$1006:BN1006),$AN$1006:$BO$1006,0)))),"Fix")))</f>
        <v>0</v>
      </c>
      <c r="AC504" s="4">
        <f>IF(OR(INDEX($AH$2:$AH$1001,MATCH(ROWS($AG$2:AG504),$AG$2:$AG$1001,0),1)&gt;=100000,INDEX($AN$1005:$BO$1005,1,MATCH(COLUMNS($AN$1006:BO1006),$AN$1006:$BO$1006,0))&gt;=100000), " ",IF(INDEX($AN$2:$BO$1001,MATCH(ROWS($AG$2:AG504),$AG$2:$AG$1001,0),MATCH(COLUMNS($AN$1006:BO1006),$AN$1006:$BO$1006,0)), HYPERLINK("#",""), HYPERLINK(CONCATENATE("#Metadata!", ADDRESS(INDEX($AI$2:$AI$1001,MATCH(ROWS($AG$2:AG504),$AG$2:$AG$1001,0),0), INDEX($AN$1004:$BO$1004,1,MATCH(COLUMNS($AN$1006:BO1006),$AN$1006:$BO$1006,0)))),"Fix")))</f>
        <v>0</v>
      </c>
      <c r="AG504">
        <v>0</v>
      </c>
      <c r="AH504">
        <v>0</v>
      </c>
      <c r="AI504">
        <v>0</v>
      </c>
      <c r="AJ504">
        <f>IF(AK504,TRUE,AND(AN504:BO504))</f>
        <v>0</v>
      </c>
      <c r="AK504">
        <f>COUNTBLANK(Metadata!B504:AC504)=COLUMNS(Metadata!B504:AC504)</f>
        <v>0</v>
      </c>
      <c r="AL504">
        <v>0</v>
      </c>
      <c r="AN504">
        <f>AND(IF(Metadata!B504="",FALSE,TRUE),COUNTIF(Metadata!B:B, Metadata!B504) = 1,NOT(ISERROR(SUMPRODUCT(SEARCH(MID(Metadata!B504,ROW(INDIRECT("1:"&amp;LEN(Metadata!B504))), 1),"0123456789abcdefghijklmnopqrstuvwxyzABCDEFGHIJKLMNOPQRSTUVWXYZ.")))))</f>
        <v>0</v>
      </c>
      <c r="AO504">
        <f>IF(Metadata!C504="",FALSE,TRUE)</f>
        <v>0</v>
      </c>
      <c r="AP504">
        <f>IF(Metadata!D504="",FALSE,TRUE)</f>
        <v>0</v>
      </c>
      <c r="AQ504">
        <f>OR(AND(IF(Metadata!E504="",FALSE,TRUE),OR(exact(Metadata!E504,"not collected"),exact(Metadata!E504,"not provided"),exact(Metadata!E504,"restricted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R504">
        <f>IF(Metadata!F504="",FALSE,TRUE)</f>
        <v>0</v>
      </c>
      <c r="AS504">
        <f>OR(AND(IF(Metadata!G504="",FALSE,TRUE),OR(exact(Metadata!G504,"not collected"),exact(Metadata!G504,"not provided"))),AND(IF(Metadata!G504="",FALSE,TRUE),OR(exact(Metadata!G504,"TRUE"),exact(Metadata!G504,"FALSE"))))</f>
        <v>0</v>
      </c>
      <c r="AT504">
        <f>OR(AND(IF(Metadata!H504="",FALSE,TRUE),OR(exact(Metadata!H504,"not collected"),exact(Metadata!H504,"not provided"),exact(Metadata!H504,"restricted access"))),AND(IF(Metadata!H504="",FALSE,ISNUMBER(VALUE(Metadata!H504))),Metadata!H504&gt;=-413.0))</f>
        <v>0</v>
      </c>
      <c r="AU504">
        <f>AND(IF(Metadata!I504="",FALSE,TRUE),exact(Metadata!I504,"meters"))</f>
        <v>0</v>
      </c>
      <c r="AV504">
        <f>AND(IF(Metadata!J504="",FALSE,TRUE),OR(exact(Metadata!J504,"Host-associated"),exact(Metadata!J504,"Free-living")))</f>
        <v>0</v>
      </c>
      <c r="AW504">
        <f>AND(IF(Metadata!K504="",FALSE,TRUE),OR(exact(Metadata!K504,"Animal"),exact(Metadata!K504,"Fungus"),exact(Metadata!K504,"Plant"),exact(Metadata!K504,"Saline"),exact(Metadata!K504,"Non-saline")))</f>
        <v>0</v>
      </c>
      <c r="AX504">
        <f>AND(IF(Metadata!L504="",FALSE,TRUE),OR(exact(Metadata!L504,"Plant secretion"),exact(Metadata!L504,"Plant rhizosphere"),exact(Metadata!L504,"Plant surface"),exact(Metadata!L504,"Plant corpus"),exact(Metadata!L504,"Fungus surface"),exact(Metadata!L504,"Fungus corpus"),exact(Metadata!L504,"Animal surface"),exact(Metadata!L504,"Animal proximal gut"),exact(Metadata!L504,"Animal corpus"),exact(Metadata!L504,"Animal distal gut"),exact(Metadata!L504,"Animal secretion"),exact(Metadata!L504,"Sub-surface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Y504">
        <f>IF(Metadata!M504="",FALSE,TRUE)</f>
        <v>0</v>
      </c>
      <c r="AZ504">
        <f>IF(Metadata!N504="",FALSE,TRUE)</f>
        <v>0</v>
      </c>
      <c r="BA504">
        <f>IF(Metadata!O504="",FALSE,TRUE)</f>
        <v>0</v>
      </c>
      <c r="BB504">
        <f>OR(AND(IF(Metadata!P504="",FALSE,TRUE),OR(exact(Metadata!P504,"not collected"),exact(Metadata!P504,"not provided"),exact(Metadata!P504,"restricted access"))),AND(IF(Metadata!P504="",FALSE,TRUE),OR(exact(Metadata!P504,"air"),exact(Metadata!P504,"built environment"),exact(Metadata!P504,"host-associated"),exact(Metadata!P504,"human-associated"),exact(Metadata!P504,"human-skin"),exact(Metadata!P504,"human-oral"),exact(Metadata!P504,"human-gut"),exact(Metadata!P504,"human-vaginal"),exact(Metadata!P504,"microbial mat/biofilm"),exact(Metadata!P504,"misc environment"),exact(Metadata!P504,"plant-associated"),exact(Metadata!P504,"sediment"),exact(Metadata!P504,"soil"),exact(Metadata!P504,"wastewater/sludge"),exact(Metadata!P504,"water"))))</f>
        <v>0</v>
      </c>
      <c r="BC504">
        <f>IF(Metadata!Q504="",FALSE,TRUE)</f>
        <v>0</v>
      </c>
      <c r="BD504">
        <f>IF(Metadata!R504="",FALSE,TRUE)</f>
        <v>0</v>
      </c>
      <c r="BE504">
        <f>OR(AND(IF(Metadata!S504="",FALSE,TRUE),OR(exact(Metadata!S504,"not collected"),exact(Metadata!S504,"not provided"),exact(Metadata!S504,"restricted access"))),AND(IF(Metadata!S504="",FALSE,ISNUMBER(VALUE(Metadata!S504))),Metadata!S504&gt;=-90.00,Metadata!S504&lt;=90.00))</f>
        <v>0</v>
      </c>
      <c r="BF504">
        <f>AND(IF(Metadata!T504="",FALSE,TRUE),exact(Metadata!T504,"Decimal degrees"))</f>
        <v>0</v>
      </c>
      <c r="BG504">
        <f>OR(AND(IF(Metadata!U504="",FALSE,TRUE),OR(exact(Metadata!U504,"not collected"),exact(Metadata!U504,"not provided"),exact(Metadata!U504,"restricted access"))),AND(IF(Metadata!U504="",FALSE,ISNUMBER(VALUE(Metadata!U504))),Metadata!U504&gt;=-180.00,Metadata!U504&lt;=180.00))</f>
        <v>0</v>
      </c>
      <c r="BH504">
        <f>AND(IF(Metadata!V504="",FALSE,TRUE),exact(Metadata!V504,"Decimal degrees"))</f>
        <v>0</v>
      </c>
      <c r="BI504">
        <f>IF(Metadata!W504="",FALSE,TRUE)</f>
        <v>0</v>
      </c>
      <c r="BJ504">
        <f>OR(AND(IF(Metadata!X504="",FALSE,TRUE),OR(exact(Metadata!X504,"not collected"),exact(Metadata!X504,"not provided"),exact(Metadata!X504,"restricted access"))),AND(IF(Metadata!X504="",FALSE,TRUE),OR(exact(Metadata!X504,"TRUE"),exact(Metadata!X504,"FALSE"))))</f>
        <v>0</v>
      </c>
      <c r="BK504">
        <f>AND(IF(Metadata!Y504="",FALSE,TRUE),exact(Metadata!Y504,"other"))</f>
        <v>0</v>
      </c>
      <c r="BL504">
        <f>IF(Metadata!Z504="",FALSE,TRUE)</f>
        <v>0</v>
      </c>
      <c r="BM504">
        <f>OR(AND(IF(Metadata!AA504="",FALSE,TRUE),OR(exact(Metadata!AA504,"not collected"),exact(Metadata!AA504,"not provided"))),AND(IF(Metadata!AA504="",FALSE,IF(ISERROR(INT(Metadata!AA504)),FALSE,INT(Metadata!AA504)=Metadata!AA504)),Metadata!AA504&gt;0))</f>
        <v>0</v>
      </c>
      <c r="BN504">
        <f>AND(IF(Metadata!AB504="",FALSE,TRUE),exact(Metadata!AB504,"Not applicable"))</f>
        <v>0</v>
      </c>
      <c r="BO504">
        <f>IF(Metadata!AC504="",FALSE,TRUE)</f>
        <v>0</v>
      </c>
    </row>
    <row r="505" spans="1:67">
      <c r="A505" s="5">
        <f>IF(B505=" "," ",HYPERLINK(CONCATENATE("#metadata!",ADDRESS(INDEX($AI$2:$AI$1001,MATCH(ROWS($AG$2:AG505),$AG$2:$AG$1001,0),0),1)),INDEX($AL$2:$AL$1001,MATCH(ROWS($AG$2:AG505),$AG$2:$AG$1001,0),0)))</f>
        <v>0</v>
      </c>
      <c r="B505" s="4">
        <f>IF(OR(INDEX($AH$2:$AH$1001,MATCH(ROWS($AG$2:AG505),$AG$2:$AG$1001,0),1)&gt;=100000,INDEX($AN$1005:$BO$1005,1,MATCH(COLUMNS($AN$1006:AN1006),$AN$1006:$BO$1006,0))&gt;=100000), " ",IF(INDEX($AN$2:$BO$1001,MATCH(ROWS($AG$2:AG505),$AG$2:$AG$1001,0),MATCH(COLUMNS($AN$1006:AN1006),$AN$1006:$BO$1006,0)), HYPERLINK("#",""), HYPERLINK(CONCATENATE("#Metadata!", ADDRESS(INDEX($AI$2:$AI$1001,MATCH(ROWS($AG$2:AG505),$AG$2:$AG$1001,0),0), INDEX($AN$1004:$BO$1004,1,MATCH(COLUMNS($AN$1006:AN1006),$AN$1006:$BO$1006,0)))),"Fix")))</f>
        <v>0</v>
      </c>
      <c r="C505" s="4">
        <f>IF(OR(INDEX($AH$2:$AH$1001,MATCH(ROWS($AG$2:AG505),$AG$2:$AG$1001,0),1)&gt;=100000,INDEX($AN$1005:$BO$1005,1,MATCH(COLUMNS($AN$1006:AO1006),$AN$1006:$BO$1006,0))&gt;=100000), " ",IF(INDEX($AN$2:$BO$1001,MATCH(ROWS($AG$2:AG505),$AG$2:$AG$1001,0),MATCH(COLUMNS($AN$1006:AO1006),$AN$1006:$BO$1006,0)), HYPERLINK("#",""), HYPERLINK(CONCATENATE("#Metadata!", ADDRESS(INDEX($AI$2:$AI$1001,MATCH(ROWS($AG$2:AG505),$AG$2:$AG$1001,0),0), INDEX($AN$1004:$BO$1004,1,MATCH(COLUMNS($AN$1006:AO1006),$AN$1006:$BO$1006,0)))),"Fix")))</f>
        <v>0</v>
      </c>
      <c r="D505" s="4">
        <f>IF(OR(INDEX($AH$2:$AH$1001,MATCH(ROWS($AG$2:AG505),$AG$2:$AG$1001,0),1)&gt;=100000,INDEX($AN$1005:$BO$1005,1,MATCH(COLUMNS($AN$1006:AP1006),$AN$1006:$BO$1006,0))&gt;=100000), " ",IF(INDEX($AN$2:$BO$1001,MATCH(ROWS($AG$2:AG505),$AG$2:$AG$1001,0),MATCH(COLUMNS($AN$1006:AP1006),$AN$1006:$BO$1006,0)), HYPERLINK("#",""), HYPERLINK(CONCATENATE("#Metadata!", ADDRESS(INDEX($AI$2:$AI$1001,MATCH(ROWS($AG$2:AG505),$AG$2:$AG$1001,0),0), INDEX($AN$1004:$BO$1004,1,MATCH(COLUMNS($AN$1006:AP1006),$AN$1006:$BO$1006,0)))),"Fix")))</f>
        <v>0</v>
      </c>
      <c r="E505" s="4">
        <f>IF(OR(INDEX($AH$2:$AH$1001,MATCH(ROWS($AG$2:AG505),$AG$2:$AG$1001,0),1)&gt;=100000,INDEX($AN$1005:$BO$1005,1,MATCH(COLUMNS($AN$1006:AQ1006),$AN$1006:$BO$1006,0))&gt;=100000), " ",IF(INDEX($AN$2:$BO$1001,MATCH(ROWS($AG$2:AG505),$AG$2:$AG$1001,0),MATCH(COLUMNS($AN$1006:AQ1006),$AN$1006:$BO$1006,0)), HYPERLINK("#",""), HYPERLINK(CONCATENATE("#Metadata!", ADDRESS(INDEX($AI$2:$AI$1001,MATCH(ROWS($AG$2:AG505),$AG$2:$AG$1001,0),0), INDEX($AN$1004:$BO$1004,1,MATCH(COLUMNS($AN$1006:AQ1006),$AN$1006:$BO$1006,0)))),"Fix")))</f>
        <v>0</v>
      </c>
      <c r="F505" s="4">
        <f>IF(OR(INDEX($AH$2:$AH$1001,MATCH(ROWS($AG$2:AG505),$AG$2:$AG$1001,0),1)&gt;=100000,INDEX($AN$1005:$BO$1005,1,MATCH(COLUMNS($AN$1006:AR1006),$AN$1006:$BO$1006,0))&gt;=100000), " ",IF(INDEX($AN$2:$BO$1001,MATCH(ROWS($AG$2:AG505),$AG$2:$AG$1001,0),MATCH(COLUMNS($AN$1006:AR1006),$AN$1006:$BO$1006,0)), HYPERLINK("#",""), HYPERLINK(CONCATENATE("#Metadata!", ADDRESS(INDEX($AI$2:$AI$1001,MATCH(ROWS($AG$2:AG505),$AG$2:$AG$1001,0),0), INDEX($AN$1004:$BO$1004,1,MATCH(COLUMNS($AN$1006:AR1006),$AN$1006:$BO$1006,0)))),"Fix")))</f>
        <v>0</v>
      </c>
      <c r="G505" s="4">
        <f>IF(OR(INDEX($AH$2:$AH$1001,MATCH(ROWS($AG$2:AG505),$AG$2:$AG$1001,0),1)&gt;=100000,INDEX($AN$1005:$BO$1005,1,MATCH(COLUMNS($AN$1006:AS1006),$AN$1006:$BO$1006,0))&gt;=100000), " ",IF(INDEX($AN$2:$BO$1001,MATCH(ROWS($AG$2:AG505),$AG$2:$AG$1001,0),MATCH(COLUMNS($AN$1006:AS1006),$AN$1006:$BO$1006,0)), HYPERLINK("#",""), HYPERLINK(CONCATENATE("#Metadata!", ADDRESS(INDEX($AI$2:$AI$1001,MATCH(ROWS($AG$2:AG505),$AG$2:$AG$1001,0),0), INDEX($AN$1004:$BO$1004,1,MATCH(COLUMNS($AN$1006:AS1006),$AN$1006:$BO$1006,0)))),"Fix")))</f>
        <v>0</v>
      </c>
      <c r="H505" s="4">
        <f>IF(OR(INDEX($AH$2:$AH$1001,MATCH(ROWS($AG$2:AG505),$AG$2:$AG$1001,0),1)&gt;=100000,INDEX($AN$1005:$BO$1005,1,MATCH(COLUMNS($AN$1006:AT1006),$AN$1006:$BO$1006,0))&gt;=100000), " ",IF(INDEX($AN$2:$BO$1001,MATCH(ROWS($AG$2:AG505),$AG$2:$AG$1001,0),MATCH(COLUMNS($AN$1006:AT1006),$AN$1006:$BO$1006,0)), HYPERLINK("#",""), HYPERLINK(CONCATENATE("#Metadata!", ADDRESS(INDEX($AI$2:$AI$1001,MATCH(ROWS($AG$2:AG505),$AG$2:$AG$1001,0),0), INDEX($AN$1004:$BO$1004,1,MATCH(COLUMNS($AN$1006:AT1006),$AN$1006:$BO$1006,0)))),"Fix")))</f>
        <v>0</v>
      </c>
      <c r="I505" s="4">
        <f>IF(OR(INDEX($AH$2:$AH$1001,MATCH(ROWS($AG$2:AG505),$AG$2:$AG$1001,0),1)&gt;=100000,INDEX($AN$1005:$BO$1005,1,MATCH(COLUMNS($AN$1006:AU1006),$AN$1006:$BO$1006,0))&gt;=100000), " ",IF(INDEX($AN$2:$BO$1001,MATCH(ROWS($AG$2:AG505),$AG$2:$AG$1001,0),MATCH(COLUMNS($AN$1006:AU1006),$AN$1006:$BO$1006,0)), HYPERLINK("#",""), HYPERLINK(CONCATENATE("#Metadata!", ADDRESS(INDEX($AI$2:$AI$1001,MATCH(ROWS($AG$2:AG505),$AG$2:$AG$1001,0),0), INDEX($AN$1004:$BO$1004,1,MATCH(COLUMNS($AN$1006:AU1006),$AN$1006:$BO$1006,0)))),"Fix")))</f>
        <v>0</v>
      </c>
      <c r="J505" s="4">
        <f>IF(OR(INDEX($AH$2:$AH$1001,MATCH(ROWS($AG$2:AG505),$AG$2:$AG$1001,0),1)&gt;=100000,INDEX($AN$1005:$BO$1005,1,MATCH(COLUMNS($AN$1006:AV1006),$AN$1006:$BO$1006,0))&gt;=100000), " ",IF(INDEX($AN$2:$BO$1001,MATCH(ROWS($AG$2:AG505),$AG$2:$AG$1001,0),MATCH(COLUMNS($AN$1006:AV1006),$AN$1006:$BO$1006,0)), HYPERLINK("#",""), HYPERLINK(CONCATENATE("#Metadata!", ADDRESS(INDEX($AI$2:$AI$1001,MATCH(ROWS($AG$2:AG505),$AG$2:$AG$1001,0),0), INDEX($AN$1004:$BO$1004,1,MATCH(COLUMNS($AN$1006:AV1006),$AN$1006:$BO$1006,0)))),"Fix")))</f>
        <v>0</v>
      </c>
      <c r="K505" s="4">
        <f>IF(OR(INDEX($AH$2:$AH$1001,MATCH(ROWS($AG$2:AG505),$AG$2:$AG$1001,0),1)&gt;=100000,INDEX($AN$1005:$BO$1005,1,MATCH(COLUMNS($AN$1006:AW1006),$AN$1006:$BO$1006,0))&gt;=100000), " ",IF(INDEX($AN$2:$BO$1001,MATCH(ROWS($AG$2:AG505),$AG$2:$AG$1001,0),MATCH(COLUMNS($AN$1006:AW1006),$AN$1006:$BO$1006,0)), HYPERLINK("#",""), HYPERLINK(CONCATENATE("#Metadata!", ADDRESS(INDEX($AI$2:$AI$1001,MATCH(ROWS($AG$2:AG505),$AG$2:$AG$1001,0),0), INDEX($AN$1004:$BO$1004,1,MATCH(COLUMNS($AN$1006:AW1006),$AN$1006:$BO$1006,0)))),"Fix")))</f>
        <v>0</v>
      </c>
      <c r="L505" s="4">
        <f>IF(OR(INDEX($AH$2:$AH$1001,MATCH(ROWS($AG$2:AG505),$AG$2:$AG$1001,0),1)&gt;=100000,INDEX($AN$1005:$BO$1005,1,MATCH(COLUMNS($AN$1006:AX1006),$AN$1006:$BO$1006,0))&gt;=100000), " ",IF(INDEX($AN$2:$BO$1001,MATCH(ROWS($AG$2:AG505),$AG$2:$AG$1001,0),MATCH(COLUMNS($AN$1006:AX1006),$AN$1006:$BO$1006,0)), HYPERLINK("#",""), HYPERLINK(CONCATENATE("#Metadata!", ADDRESS(INDEX($AI$2:$AI$1001,MATCH(ROWS($AG$2:AG505),$AG$2:$AG$1001,0),0), INDEX($AN$1004:$BO$1004,1,MATCH(COLUMNS($AN$1006:AX1006),$AN$1006:$BO$1006,0)))),"Fix")))</f>
        <v>0</v>
      </c>
      <c r="M505" s="4">
        <f>IF(OR(INDEX($AH$2:$AH$1001,MATCH(ROWS($AG$2:AG505),$AG$2:$AG$1001,0),1)&gt;=100000,INDEX($AN$1005:$BO$1005,1,MATCH(COLUMNS($AN$1006:AY1006),$AN$1006:$BO$1006,0))&gt;=100000), " ",IF(INDEX($AN$2:$BO$1001,MATCH(ROWS($AG$2:AG505),$AG$2:$AG$1001,0),MATCH(COLUMNS($AN$1006:AY1006),$AN$1006:$BO$1006,0)), HYPERLINK("#",""), HYPERLINK(CONCATENATE("#Metadata!", ADDRESS(INDEX($AI$2:$AI$1001,MATCH(ROWS($AG$2:AG505),$AG$2:$AG$1001,0),0), INDEX($AN$1004:$BO$1004,1,MATCH(COLUMNS($AN$1006:AY1006),$AN$1006:$BO$1006,0)))),"Fix")))</f>
        <v>0</v>
      </c>
      <c r="N505" s="4">
        <f>IF(OR(INDEX($AH$2:$AH$1001,MATCH(ROWS($AG$2:AG505),$AG$2:$AG$1001,0),1)&gt;=100000,INDEX($AN$1005:$BO$1005,1,MATCH(COLUMNS($AN$1006:AZ1006),$AN$1006:$BO$1006,0))&gt;=100000), " ",IF(INDEX($AN$2:$BO$1001,MATCH(ROWS($AG$2:AG505),$AG$2:$AG$1001,0),MATCH(COLUMNS($AN$1006:AZ1006),$AN$1006:$BO$1006,0)), HYPERLINK("#",""), HYPERLINK(CONCATENATE("#Metadata!", ADDRESS(INDEX($AI$2:$AI$1001,MATCH(ROWS($AG$2:AG505),$AG$2:$AG$1001,0),0), INDEX($AN$1004:$BO$1004,1,MATCH(COLUMNS($AN$1006:AZ1006),$AN$1006:$BO$1006,0)))),"Fix")))</f>
        <v>0</v>
      </c>
      <c r="O505" s="4">
        <f>IF(OR(INDEX($AH$2:$AH$1001,MATCH(ROWS($AG$2:AG505),$AG$2:$AG$1001,0),1)&gt;=100000,INDEX($AN$1005:$BO$1005,1,MATCH(COLUMNS($AN$1006:BA1006),$AN$1006:$BO$1006,0))&gt;=100000), " ",IF(INDEX($AN$2:$BO$1001,MATCH(ROWS($AG$2:AG505),$AG$2:$AG$1001,0),MATCH(COLUMNS($AN$1006:BA1006),$AN$1006:$BO$1006,0)), HYPERLINK("#",""), HYPERLINK(CONCATENATE("#Metadata!", ADDRESS(INDEX($AI$2:$AI$1001,MATCH(ROWS($AG$2:AG505),$AG$2:$AG$1001,0),0), INDEX($AN$1004:$BO$1004,1,MATCH(COLUMNS($AN$1006:BA1006),$AN$1006:$BO$1006,0)))),"Fix")))</f>
        <v>0</v>
      </c>
      <c r="P505" s="4">
        <f>IF(OR(INDEX($AH$2:$AH$1001,MATCH(ROWS($AG$2:AG505),$AG$2:$AG$1001,0),1)&gt;=100000,INDEX($AN$1005:$BO$1005,1,MATCH(COLUMNS($AN$1006:BB1006),$AN$1006:$BO$1006,0))&gt;=100000), " ",IF(INDEX($AN$2:$BO$1001,MATCH(ROWS($AG$2:AG505),$AG$2:$AG$1001,0),MATCH(COLUMNS($AN$1006:BB1006),$AN$1006:$BO$1006,0)), HYPERLINK("#",""), HYPERLINK(CONCATENATE("#Metadata!", ADDRESS(INDEX($AI$2:$AI$1001,MATCH(ROWS($AG$2:AG505),$AG$2:$AG$1001,0),0), INDEX($AN$1004:$BO$1004,1,MATCH(COLUMNS($AN$1006:BB1006),$AN$1006:$BO$1006,0)))),"Fix")))</f>
        <v>0</v>
      </c>
      <c r="Q505" s="4">
        <f>IF(OR(INDEX($AH$2:$AH$1001,MATCH(ROWS($AG$2:AG505),$AG$2:$AG$1001,0),1)&gt;=100000,INDEX($AN$1005:$BO$1005,1,MATCH(COLUMNS($AN$1006:BC1006),$AN$1006:$BO$1006,0))&gt;=100000), " ",IF(INDEX($AN$2:$BO$1001,MATCH(ROWS($AG$2:AG505),$AG$2:$AG$1001,0),MATCH(COLUMNS($AN$1006:BC1006),$AN$1006:$BO$1006,0)), HYPERLINK("#",""), HYPERLINK(CONCATENATE("#Metadata!", ADDRESS(INDEX($AI$2:$AI$1001,MATCH(ROWS($AG$2:AG505),$AG$2:$AG$1001,0),0), INDEX($AN$1004:$BO$1004,1,MATCH(COLUMNS($AN$1006:BC1006),$AN$1006:$BO$1006,0)))),"Fix")))</f>
        <v>0</v>
      </c>
      <c r="R505" s="4">
        <f>IF(OR(INDEX($AH$2:$AH$1001,MATCH(ROWS($AG$2:AG505),$AG$2:$AG$1001,0),1)&gt;=100000,INDEX($AN$1005:$BO$1005,1,MATCH(COLUMNS($AN$1006:BD1006),$AN$1006:$BO$1006,0))&gt;=100000), " ",IF(INDEX($AN$2:$BO$1001,MATCH(ROWS($AG$2:AG505),$AG$2:$AG$1001,0),MATCH(COLUMNS($AN$1006:BD1006),$AN$1006:$BO$1006,0)), HYPERLINK("#",""), HYPERLINK(CONCATENATE("#Metadata!", ADDRESS(INDEX($AI$2:$AI$1001,MATCH(ROWS($AG$2:AG505),$AG$2:$AG$1001,0),0), INDEX($AN$1004:$BO$1004,1,MATCH(COLUMNS($AN$1006:BD1006),$AN$1006:$BO$1006,0)))),"Fix")))</f>
        <v>0</v>
      </c>
      <c r="S505" s="4">
        <f>IF(OR(INDEX($AH$2:$AH$1001,MATCH(ROWS($AG$2:AG505),$AG$2:$AG$1001,0),1)&gt;=100000,INDEX($AN$1005:$BO$1005,1,MATCH(COLUMNS($AN$1006:BE1006),$AN$1006:$BO$1006,0))&gt;=100000), " ",IF(INDEX($AN$2:$BO$1001,MATCH(ROWS($AG$2:AG505),$AG$2:$AG$1001,0),MATCH(COLUMNS($AN$1006:BE1006),$AN$1006:$BO$1006,0)), HYPERLINK("#",""), HYPERLINK(CONCATENATE("#Metadata!", ADDRESS(INDEX($AI$2:$AI$1001,MATCH(ROWS($AG$2:AG505),$AG$2:$AG$1001,0),0), INDEX($AN$1004:$BO$1004,1,MATCH(COLUMNS($AN$1006:BE1006),$AN$1006:$BO$1006,0)))),"Fix")))</f>
        <v>0</v>
      </c>
      <c r="T505" s="4">
        <f>IF(OR(INDEX($AH$2:$AH$1001,MATCH(ROWS($AG$2:AG505),$AG$2:$AG$1001,0),1)&gt;=100000,INDEX($AN$1005:$BO$1005,1,MATCH(COLUMNS($AN$1006:BF1006),$AN$1006:$BO$1006,0))&gt;=100000), " ",IF(INDEX($AN$2:$BO$1001,MATCH(ROWS($AG$2:AG505),$AG$2:$AG$1001,0),MATCH(COLUMNS($AN$1006:BF1006),$AN$1006:$BO$1006,0)), HYPERLINK("#",""), HYPERLINK(CONCATENATE("#Metadata!", ADDRESS(INDEX($AI$2:$AI$1001,MATCH(ROWS($AG$2:AG505),$AG$2:$AG$1001,0),0), INDEX($AN$1004:$BO$1004,1,MATCH(COLUMNS($AN$1006:BF1006),$AN$1006:$BO$1006,0)))),"Fix")))</f>
        <v>0</v>
      </c>
      <c r="U505" s="4">
        <f>IF(OR(INDEX($AH$2:$AH$1001,MATCH(ROWS($AG$2:AG505),$AG$2:$AG$1001,0),1)&gt;=100000,INDEX($AN$1005:$BO$1005,1,MATCH(COLUMNS($AN$1006:BG1006),$AN$1006:$BO$1006,0))&gt;=100000), " ",IF(INDEX($AN$2:$BO$1001,MATCH(ROWS($AG$2:AG505),$AG$2:$AG$1001,0),MATCH(COLUMNS($AN$1006:BG1006),$AN$1006:$BO$1006,0)), HYPERLINK("#",""), HYPERLINK(CONCATENATE("#Metadata!", ADDRESS(INDEX($AI$2:$AI$1001,MATCH(ROWS($AG$2:AG505),$AG$2:$AG$1001,0),0), INDEX($AN$1004:$BO$1004,1,MATCH(COLUMNS($AN$1006:BG1006),$AN$1006:$BO$1006,0)))),"Fix")))</f>
        <v>0</v>
      </c>
      <c r="V505" s="4">
        <f>IF(OR(INDEX($AH$2:$AH$1001,MATCH(ROWS($AG$2:AG505),$AG$2:$AG$1001,0),1)&gt;=100000,INDEX($AN$1005:$BO$1005,1,MATCH(COLUMNS($AN$1006:BH1006),$AN$1006:$BO$1006,0))&gt;=100000), " ",IF(INDEX($AN$2:$BO$1001,MATCH(ROWS($AG$2:AG505),$AG$2:$AG$1001,0),MATCH(COLUMNS($AN$1006:BH1006),$AN$1006:$BO$1006,0)), HYPERLINK("#",""), HYPERLINK(CONCATENATE("#Metadata!", ADDRESS(INDEX($AI$2:$AI$1001,MATCH(ROWS($AG$2:AG505),$AG$2:$AG$1001,0),0), INDEX($AN$1004:$BO$1004,1,MATCH(COLUMNS($AN$1006:BH1006),$AN$1006:$BO$1006,0)))),"Fix")))</f>
        <v>0</v>
      </c>
      <c r="W505" s="4">
        <f>IF(OR(INDEX($AH$2:$AH$1001,MATCH(ROWS($AG$2:AG505),$AG$2:$AG$1001,0),1)&gt;=100000,INDEX($AN$1005:$BO$1005,1,MATCH(COLUMNS($AN$1006:BI1006),$AN$1006:$BO$1006,0))&gt;=100000), " ",IF(INDEX($AN$2:$BO$1001,MATCH(ROWS($AG$2:AG505),$AG$2:$AG$1001,0),MATCH(COLUMNS($AN$1006:BI1006),$AN$1006:$BO$1006,0)), HYPERLINK("#",""), HYPERLINK(CONCATENATE("#Metadata!", ADDRESS(INDEX($AI$2:$AI$1001,MATCH(ROWS($AG$2:AG505),$AG$2:$AG$1001,0),0), INDEX($AN$1004:$BO$1004,1,MATCH(COLUMNS($AN$1006:BI1006),$AN$1006:$BO$1006,0)))),"Fix")))</f>
        <v>0</v>
      </c>
      <c r="X505" s="4">
        <f>IF(OR(INDEX($AH$2:$AH$1001,MATCH(ROWS($AG$2:AG505),$AG$2:$AG$1001,0),1)&gt;=100000,INDEX($AN$1005:$BO$1005,1,MATCH(COLUMNS($AN$1006:BJ1006),$AN$1006:$BO$1006,0))&gt;=100000), " ",IF(INDEX($AN$2:$BO$1001,MATCH(ROWS($AG$2:AG505),$AG$2:$AG$1001,0),MATCH(COLUMNS($AN$1006:BJ1006),$AN$1006:$BO$1006,0)), HYPERLINK("#",""), HYPERLINK(CONCATENATE("#Metadata!", ADDRESS(INDEX($AI$2:$AI$1001,MATCH(ROWS($AG$2:AG505),$AG$2:$AG$1001,0),0), INDEX($AN$1004:$BO$1004,1,MATCH(COLUMNS($AN$1006:BJ1006),$AN$1006:$BO$1006,0)))),"Fix")))</f>
        <v>0</v>
      </c>
      <c r="Y505" s="4">
        <f>IF(OR(INDEX($AH$2:$AH$1001,MATCH(ROWS($AG$2:AG505),$AG$2:$AG$1001,0),1)&gt;=100000,INDEX($AN$1005:$BO$1005,1,MATCH(COLUMNS($AN$1006:BK1006),$AN$1006:$BO$1006,0))&gt;=100000), " ",IF(INDEX($AN$2:$BO$1001,MATCH(ROWS($AG$2:AG505),$AG$2:$AG$1001,0),MATCH(COLUMNS($AN$1006:BK1006),$AN$1006:$BO$1006,0)), HYPERLINK("#",""), HYPERLINK(CONCATENATE("#Metadata!", ADDRESS(INDEX($AI$2:$AI$1001,MATCH(ROWS($AG$2:AG505),$AG$2:$AG$1001,0),0), INDEX($AN$1004:$BO$1004,1,MATCH(COLUMNS($AN$1006:BK1006),$AN$1006:$BO$1006,0)))),"Fix")))</f>
        <v>0</v>
      </c>
      <c r="Z505" s="4">
        <f>IF(OR(INDEX($AH$2:$AH$1001,MATCH(ROWS($AG$2:AG505),$AG$2:$AG$1001,0),1)&gt;=100000,INDEX($AN$1005:$BO$1005,1,MATCH(COLUMNS($AN$1006:BL1006),$AN$1006:$BO$1006,0))&gt;=100000), " ",IF(INDEX($AN$2:$BO$1001,MATCH(ROWS($AG$2:AG505),$AG$2:$AG$1001,0),MATCH(COLUMNS($AN$1006:BL1006),$AN$1006:$BO$1006,0)), HYPERLINK("#",""), HYPERLINK(CONCATENATE("#Metadata!", ADDRESS(INDEX($AI$2:$AI$1001,MATCH(ROWS($AG$2:AG505),$AG$2:$AG$1001,0),0), INDEX($AN$1004:$BO$1004,1,MATCH(COLUMNS($AN$1006:BL1006),$AN$1006:$BO$1006,0)))),"Fix")))</f>
        <v>0</v>
      </c>
      <c r="AA505" s="4">
        <f>IF(OR(INDEX($AH$2:$AH$1001,MATCH(ROWS($AG$2:AG505),$AG$2:$AG$1001,0),1)&gt;=100000,INDEX($AN$1005:$BO$1005,1,MATCH(COLUMNS($AN$1006:BM1006),$AN$1006:$BO$1006,0))&gt;=100000), " ",IF(INDEX($AN$2:$BO$1001,MATCH(ROWS($AG$2:AG505),$AG$2:$AG$1001,0),MATCH(COLUMNS($AN$1006:BM1006),$AN$1006:$BO$1006,0)), HYPERLINK("#",""), HYPERLINK(CONCATENATE("#Metadata!", ADDRESS(INDEX($AI$2:$AI$1001,MATCH(ROWS($AG$2:AG505),$AG$2:$AG$1001,0),0), INDEX($AN$1004:$BO$1004,1,MATCH(COLUMNS($AN$1006:BM1006),$AN$1006:$BO$1006,0)))),"Fix")))</f>
        <v>0</v>
      </c>
      <c r="AB505" s="4">
        <f>IF(OR(INDEX($AH$2:$AH$1001,MATCH(ROWS($AG$2:AG505),$AG$2:$AG$1001,0),1)&gt;=100000,INDEX($AN$1005:$BO$1005,1,MATCH(COLUMNS($AN$1006:BN1006),$AN$1006:$BO$1006,0))&gt;=100000), " ",IF(INDEX($AN$2:$BO$1001,MATCH(ROWS($AG$2:AG505),$AG$2:$AG$1001,0),MATCH(COLUMNS($AN$1006:BN1006),$AN$1006:$BO$1006,0)), HYPERLINK("#",""), HYPERLINK(CONCATENATE("#Metadata!", ADDRESS(INDEX($AI$2:$AI$1001,MATCH(ROWS($AG$2:AG505),$AG$2:$AG$1001,0),0), INDEX($AN$1004:$BO$1004,1,MATCH(COLUMNS($AN$1006:BN1006),$AN$1006:$BO$1006,0)))),"Fix")))</f>
        <v>0</v>
      </c>
      <c r="AC505" s="4">
        <f>IF(OR(INDEX($AH$2:$AH$1001,MATCH(ROWS($AG$2:AG505),$AG$2:$AG$1001,0),1)&gt;=100000,INDEX($AN$1005:$BO$1005,1,MATCH(COLUMNS($AN$1006:BO1006),$AN$1006:$BO$1006,0))&gt;=100000), " ",IF(INDEX($AN$2:$BO$1001,MATCH(ROWS($AG$2:AG505),$AG$2:$AG$1001,0),MATCH(COLUMNS($AN$1006:BO1006),$AN$1006:$BO$1006,0)), HYPERLINK("#",""), HYPERLINK(CONCATENATE("#Metadata!", ADDRESS(INDEX($AI$2:$AI$1001,MATCH(ROWS($AG$2:AG505),$AG$2:$AG$1001,0),0), INDEX($AN$1004:$BO$1004,1,MATCH(COLUMNS($AN$1006:BO1006),$AN$1006:$BO$1006,0)))),"Fix")))</f>
        <v>0</v>
      </c>
      <c r="AG505">
        <v>0</v>
      </c>
      <c r="AH505">
        <v>0</v>
      </c>
      <c r="AI505">
        <v>0</v>
      </c>
      <c r="AJ505">
        <f>IF(AK505,TRUE,AND(AN505:BO505))</f>
        <v>0</v>
      </c>
      <c r="AK505">
        <f>COUNTBLANK(Metadata!B505:AC505)=COLUMNS(Metadata!B505:AC505)</f>
        <v>0</v>
      </c>
      <c r="AL505">
        <v>0</v>
      </c>
      <c r="AN505">
        <f>AND(IF(Metadata!B505="",FALSE,TRUE),COUNTIF(Metadata!B:B, Metadata!B505) = 1,NOT(ISERROR(SUMPRODUCT(SEARCH(MID(Metadata!B505,ROW(INDIRECT("1:"&amp;LEN(Metadata!B505))), 1),"0123456789abcdefghijklmnopqrstuvwxyzABCDEFGHIJKLMNOPQRSTUVWXYZ.")))))</f>
        <v>0</v>
      </c>
      <c r="AO505">
        <f>IF(Metadata!C505="",FALSE,TRUE)</f>
        <v>0</v>
      </c>
      <c r="AP505">
        <f>IF(Metadata!D505="",FALSE,TRUE)</f>
        <v>0</v>
      </c>
      <c r="AQ505">
        <f>OR(AND(IF(Metadata!E505="",FALSE,TRUE),OR(exact(Metadata!E505,"not collected"),exact(Metadata!E505,"not provided"),exact(Metadata!E505,"restricted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R505">
        <f>IF(Metadata!F505="",FALSE,TRUE)</f>
        <v>0</v>
      </c>
      <c r="AS505">
        <f>OR(AND(IF(Metadata!G505="",FALSE,TRUE),OR(exact(Metadata!G505,"not collected"),exact(Metadata!G505,"not provided"))),AND(IF(Metadata!G505="",FALSE,TRUE),OR(exact(Metadata!G505,"TRUE"),exact(Metadata!G505,"FALSE"))))</f>
        <v>0</v>
      </c>
      <c r="AT505">
        <f>OR(AND(IF(Metadata!H505="",FALSE,TRUE),OR(exact(Metadata!H505,"not collected"),exact(Metadata!H505,"not provided"),exact(Metadata!H505,"restricted access"))),AND(IF(Metadata!H505="",FALSE,ISNUMBER(VALUE(Metadata!H505))),Metadata!H505&gt;=-413.0))</f>
        <v>0</v>
      </c>
      <c r="AU505">
        <f>AND(IF(Metadata!I505="",FALSE,TRUE),exact(Metadata!I505,"meters"))</f>
        <v>0</v>
      </c>
      <c r="AV505">
        <f>AND(IF(Metadata!J505="",FALSE,TRUE),OR(exact(Metadata!J505,"Host-associated"),exact(Metadata!J505,"Free-living")))</f>
        <v>0</v>
      </c>
      <c r="AW505">
        <f>AND(IF(Metadata!K505="",FALSE,TRUE),OR(exact(Metadata!K505,"Animal"),exact(Metadata!K505,"Fungus"),exact(Metadata!K505,"Plant"),exact(Metadata!K505,"Saline"),exact(Metadata!K505,"Non-saline")))</f>
        <v>0</v>
      </c>
      <c r="AX505">
        <f>AND(IF(Metadata!L505="",FALSE,TRUE),OR(exact(Metadata!L505,"Plant secretion"),exact(Metadata!L505,"Plant rhizosphere"),exact(Metadata!L505,"Plant surface"),exact(Metadata!L505,"Plant corpus"),exact(Metadata!L505,"Fungus surface"),exact(Metadata!L505,"Fungus corpus"),exact(Metadata!L505,"Animal surface"),exact(Metadata!L505,"Animal proximal gut"),exact(Metadata!L505,"Animal corpus"),exact(Metadata!L505,"Animal distal gut"),exact(Metadata!L505,"Animal secretion"),exact(Metadata!L505,"Sub-surface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Y505">
        <f>IF(Metadata!M505="",FALSE,TRUE)</f>
        <v>0</v>
      </c>
      <c r="AZ505">
        <f>IF(Metadata!N505="",FALSE,TRUE)</f>
        <v>0</v>
      </c>
      <c r="BA505">
        <f>IF(Metadata!O505="",FALSE,TRUE)</f>
        <v>0</v>
      </c>
      <c r="BB505">
        <f>OR(AND(IF(Metadata!P505="",FALSE,TRUE),OR(exact(Metadata!P505,"not collected"),exact(Metadata!P505,"not provided"),exact(Metadata!P505,"restricted access"))),AND(IF(Metadata!P505="",FALSE,TRUE),OR(exact(Metadata!P505,"air"),exact(Metadata!P505,"built environment"),exact(Metadata!P505,"host-associated"),exact(Metadata!P505,"human-associated"),exact(Metadata!P505,"human-skin"),exact(Metadata!P505,"human-oral"),exact(Metadata!P505,"human-gut"),exact(Metadata!P505,"human-vaginal"),exact(Metadata!P505,"microbial mat/biofilm"),exact(Metadata!P505,"misc environment"),exact(Metadata!P505,"plant-associated"),exact(Metadata!P505,"sediment"),exact(Metadata!P505,"soil"),exact(Metadata!P505,"wastewater/sludge"),exact(Metadata!P505,"water"))))</f>
        <v>0</v>
      </c>
      <c r="BC505">
        <f>IF(Metadata!Q505="",FALSE,TRUE)</f>
        <v>0</v>
      </c>
      <c r="BD505">
        <f>IF(Metadata!R505="",FALSE,TRUE)</f>
        <v>0</v>
      </c>
      <c r="BE505">
        <f>OR(AND(IF(Metadata!S505="",FALSE,TRUE),OR(exact(Metadata!S505,"not collected"),exact(Metadata!S505,"not provided"),exact(Metadata!S505,"restricted access"))),AND(IF(Metadata!S505="",FALSE,ISNUMBER(VALUE(Metadata!S505))),Metadata!S505&gt;=-90.00,Metadata!S505&lt;=90.00))</f>
        <v>0</v>
      </c>
      <c r="BF505">
        <f>AND(IF(Metadata!T505="",FALSE,TRUE),exact(Metadata!T505,"Decimal degrees"))</f>
        <v>0</v>
      </c>
      <c r="BG505">
        <f>OR(AND(IF(Metadata!U505="",FALSE,TRUE),OR(exact(Metadata!U505,"not collected"),exact(Metadata!U505,"not provided"),exact(Metadata!U505,"restricted access"))),AND(IF(Metadata!U505="",FALSE,ISNUMBER(VALUE(Metadata!U505))),Metadata!U505&gt;=-180.00,Metadata!U505&lt;=180.00))</f>
        <v>0</v>
      </c>
      <c r="BH505">
        <f>AND(IF(Metadata!V505="",FALSE,TRUE),exact(Metadata!V505,"Decimal degrees"))</f>
        <v>0</v>
      </c>
      <c r="BI505">
        <f>IF(Metadata!W505="",FALSE,TRUE)</f>
        <v>0</v>
      </c>
      <c r="BJ505">
        <f>OR(AND(IF(Metadata!X505="",FALSE,TRUE),OR(exact(Metadata!X505,"not collected"),exact(Metadata!X505,"not provided"),exact(Metadata!X505,"restricted access"))),AND(IF(Metadata!X505="",FALSE,TRUE),OR(exact(Metadata!X505,"TRUE"),exact(Metadata!X505,"FALSE"))))</f>
        <v>0</v>
      </c>
      <c r="BK505">
        <f>AND(IF(Metadata!Y505="",FALSE,TRUE),exact(Metadata!Y505,"other"))</f>
        <v>0</v>
      </c>
      <c r="BL505">
        <f>IF(Metadata!Z505="",FALSE,TRUE)</f>
        <v>0</v>
      </c>
      <c r="BM505">
        <f>OR(AND(IF(Metadata!AA505="",FALSE,TRUE),OR(exact(Metadata!AA505,"not collected"),exact(Metadata!AA505,"not provided"))),AND(IF(Metadata!AA505="",FALSE,IF(ISERROR(INT(Metadata!AA505)),FALSE,INT(Metadata!AA505)=Metadata!AA505)),Metadata!AA505&gt;0))</f>
        <v>0</v>
      </c>
      <c r="BN505">
        <f>AND(IF(Metadata!AB505="",FALSE,TRUE),exact(Metadata!AB505,"Not applicable"))</f>
        <v>0</v>
      </c>
      <c r="BO505">
        <f>IF(Metadata!AC505="",FALSE,TRUE)</f>
        <v>0</v>
      </c>
    </row>
    <row r="506" spans="1:67">
      <c r="A506" s="5">
        <f>IF(B506=" "," ",HYPERLINK(CONCATENATE("#metadata!",ADDRESS(INDEX($AI$2:$AI$1001,MATCH(ROWS($AG$2:AG506),$AG$2:$AG$1001,0),0),1)),INDEX($AL$2:$AL$1001,MATCH(ROWS($AG$2:AG506),$AG$2:$AG$1001,0),0)))</f>
        <v>0</v>
      </c>
      <c r="B506" s="4">
        <f>IF(OR(INDEX($AH$2:$AH$1001,MATCH(ROWS($AG$2:AG506),$AG$2:$AG$1001,0),1)&gt;=100000,INDEX($AN$1005:$BO$1005,1,MATCH(COLUMNS($AN$1006:AN1006),$AN$1006:$BO$1006,0))&gt;=100000), " ",IF(INDEX($AN$2:$BO$1001,MATCH(ROWS($AG$2:AG506),$AG$2:$AG$1001,0),MATCH(COLUMNS($AN$1006:AN1006),$AN$1006:$BO$1006,0)), HYPERLINK("#",""), HYPERLINK(CONCATENATE("#Metadata!", ADDRESS(INDEX($AI$2:$AI$1001,MATCH(ROWS($AG$2:AG506),$AG$2:$AG$1001,0),0), INDEX($AN$1004:$BO$1004,1,MATCH(COLUMNS($AN$1006:AN1006),$AN$1006:$BO$1006,0)))),"Fix")))</f>
        <v>0</v>
      </c>
      <c r="C506" s="4">
        <f>IF(OR(INDEX($AH$2:$AH$1001,MATCH(ROWS($AG$2:AG506),$AG$2:$AG$1001,0),1)&gt;=100000,INDEX($AN$1005:$BO$1005,1,MATCH(COLUMNS($AN$1006:AO1006),$AN$1006:$BO$1006,0))&gt;=100000), " ",IF(INDEX($AN$2:$BO$1001,MATCH(ROWS($AG$2:AG506),$AG$2:$AG$1001,0),MATCH(COLUMNS($AN$1006:AO1006),$AN$1006:$BO$1006,0)), HYPERLINK("#",""), HYPERLINK(CONCATENATE("#Metadata!", ADDRESS(INDEX($AI$2:$AI$1001,MATCH(ROWS($AG$2:AG506),$AG$2:$AG$1001,0),0), INDEX($AN$1004:$BO$1004,1,MATCH(COLUMNS($AN$1006:AO1006),$AN$1006:$BO$1006,0)))),"Fix")))</f>
        <v>0</v>
      </c>
      <c r="D506" s="4">
        <f>IF(OR(INDEX($AH$2:$AH$1001,MATCH(ROWS($AG$2:AG506),$AG$2:$AG$1001,0),1)&gt;=100000,INDEX($AN$1005:$BO$1005,1,MATCH(COLUMNS($AN$1006:AP1006),$AN$1006:$BO$1006,0))&gt;=100000), " ",IF(INDEX($AN$2:$BO$1001,MATCH(ROWS($AG$2:AG506),$AG$2:$AG$1001,0),MATCH(COLUMNS($AN$1006:AP1006),$AN$1006:$BO$1006,0)), HYPERLINK("#",""), HYPERLINK(CONCATENATE("#Metadata!", ADDRESS(INDEX($AI$2:$AI$1001,MATCH(ROWS($AG$2:AG506),$AG$2:$AG$1001,0),0), INDEX($AN$1004:$BO$1004,1,MATCH(COLUMNS($AN$1006:AP1006),$AN$1006:$BO$1006,0)))),"Fix")))</f>
        <v>0</v>
      </c>
      <c r="E506" s="4">
        <f>IF(OR(INDEX($AH$2:$AH$1001,MATCH(ROWS($AG$2:AG506),$AG$2:$AG$1001,0),1)&gt;=100000,INDEX($AN$1005:$BO$1005,1,MATCH(COLUMNS($AN$1006:AQ1006),$AN$1006:$BO$1006,0))&gt;=100000), " ",IF(INDEX($AN$2:$BO$1001,MATCH(ROWS($AG$2:AG506),$AG$2:$AG$1001,0),MATCH(COLUMNS($AN$1006:AQ1006),$AN$1006:$BO$1006,0)), HYPERLINK("#",""), HYPERLINK(CONCATENATE("#Metadata!", ADDRESS(INDEX($AI$2:$AI$1001,MATCH(ROWS($AG$2:AG506),$AG$2:$AG$1001,0),0), INDEX($AN$1004:$BO$1004,1,MATCH(COLUMNS($AN$1006:AQ1006),$AN$1006:$BO$1006,0)))),"Fix")))</f>
        <v>0</v>
      </c>
      <c r="F506" s="4">
        <f>IF(OR(INDEX($AH$2:$AH$1001,MATCH(ROWS($AG$2:AG506),$AG$2:$AG$1001,0),1)&gt;=100000,INDEX($AN$1005:$BO$1005,1,MATCH(COLUMNS($AN$1006:AR1006),$AN$1006:$BO$1006,0))&gt;=100000), " ",IF(INDEX($AN$2:$BO$1001,MATCH(ROWS($AG$2:AG506),$AG$2:$AG$1001,0),MATCH(COLUMNS($AN$1006:AR1006),$AN$1006:$BO$1006,0)), HYPERLINK("#",""), HYPERLINK(CONCATENATE("#Metadata!", ADDRESS(INDEX($AI$2:$AI$1001,MATCH(ROWS($AG$2:AG506),$AG$2:$AG$1001,0),0), INDEX($AN$1004:$BO$1004,1,MATCH(COLUMNS($AN$1006:AR1006),$AN$1006:$BO$1006,0)))),"Fix")))</f>
        <v>0</v>
      </c>
      <c r="G506" s="4">
        <f>IF(OR(INDEX($AH$2:$AH$1001,MATCH(ROWS($AG$2:AG506),$AG$2:$AG$1001,0),1)&gt;=100000,INDEX($AN$1005:$BO$1005,1,MATCH(COLUMNS($AN$1006:AS1006),$AN$1006:$BO$1006,0))&gt;=100000), " ",IF(INDEX($AN$2:$BO$1001,MATCH(ROWS($AG$2:AG506),$AG$2:$AG$1001,0),MATCH(COLUMNS($AN$1006:AS1006),$AN$1006:$BO$1006,0)), HYPERLINK("#",""), HYPERLINK(CONCATENATE("#Metadata!", ADDRESS(INDEX($AI$2:$AI$1001,MATCH(ROWS($AG$2:AG506),$AG$2:$AG$1001,0),0), INDEX($AN$1004:$BO$1004,1,MATCH(COLUMNS($AN$1006:AS1006),$AN$1006:$BO$1006,0)))),"Fix")))</f>
        <v>0</v>
      </c>
      <c r="H506" s="4">
        <f>IF(OR(INDEX($AH$2:$AH$1001,MATCH(ROWS($AG$2:AG506),$AG$2:$AG$1001,0),1)&gt;=100000,INDEX($AN$1005:$BO$1005,1,MATCH(COLUMNS($AN$1006:AT1006),$AN$1006:$BO$1006,0))&gt;=100000), " ",IF(INDEX($AN$2:$BO$1001,MATCH(ROWS($AG$2:AG506),$AG$2:$AG$1001,0),MATCH(COLUMNS($AN$1006:AT1006),$AN$1006:$BO$1006,0)), HYPERLINK("#",""), HYPERLINK(CONCATENATE("#Metadata!", ADDRESS(INDEX($AI$2:$AI$1001,MATCH(ROWS($AG$2:AG506),$AG$2:$AG$1001,0),0), INDEX($AN$1004:$BO$1004,1,MATCH(COLUMNS($AN$1006:AT1006),$AN$1006:$BO$1006,0)))),"Fix")))</f>
        <v>0</v>
      </c>
      <c r="I506" s="4">
        <f>IF(OR(INDEX($AH$2:$AH$1001,MATCH(ROWS($AG$2:AG506),$AG$2:$AG$1001,0),1)&gt;=100000,INDEX($AN$1005:$BO$1005,1,MATCH(COLUMNS($AN$1006:AU1006),$AN$1006:$BO$1006,0))&gt;=100000), " ",IF(INDEX($AN$2:$BO$1001,MATCH(ROWS($AG$2:AG506),$AG$2:$AG$1001,0),MATCH(COLUMNS($AN$1006:AU1006),$AN$1006:$BO$1006,0)), HYPERLINK("#",""), HYPERLINK(CONCATENATE("#Metadata!", ADDRESS(INDEX($AI$2:$AI$1001,MATCH(ROWS($AG$2:AG506),$AG$2:$AG$1001,0),0), INDEX($AN$1004:$BO$1004,1,MATCH(COLUMNS($AN$1006:AU1006),$AN$1006:$BO$1006,0)))),"Fix")))</f>
        <v>0</v>
      </c>
      <c r="J506" s="4">
        <f>IF(OR(INDEX($AH$2:$AH$1001,MATCH(ROWS($AG$2:AG506),$AG$2:$AG$1001,0),1)&gt;=100000,INDEX($AN$1005:$BO$1005,1,MATCH(COLUMNS($AN$1006:AV1006),$AN$1006:$BO$1006,0))&gt;=100000), " ",IF(INDEX($AN$2:$BO$1001,MATCH(ROWS($AG$2:AG506),$AG$2:$AG$1001,0),MATCH(COLUMNS($AN$1006:AV1006),$AN$1006:$BO$1006,0)), HYPERLINK("#",""), HYPERLINK(CONCATENATE("#Metadata!", ADDRESS(INDEX($AI$2:$AI$1001,MATCH(ROWS($AG$2:AG506),$AG$2:$AG$1001,0),0), INDEX($AN$1004:$BO$1004,1,MATCH(COLUMNS($AN$1006:AV1006),$AN$1006:$BO$1006,0)))),"Fix")))</f>
        <v>0</v>
      </c>
      <c r="K506" s="4">
        <f>IF(OR(INDEX($AH$2:$AH$1001,MATCH(ROWS($AG$2:AG506),$AG$2:$AG$1001,0),1)&gt;=100000,INDEX($AN$1005:$BO$1005,1,MATCH(COLUMNS($AN$1006:AW1006),$AN$1006:$BO$1006,0))&gt;=100000), " ",IF(INDEX($AN$2:$BO$1001,MATCH(ROWS($AG$2:AG506),$AG$2:$AG$1001,0),MATCH(COLUMNS($AN$1006:AW1006),$AN$1006:$BO$1006,0)), HYPERLINK("#",""), HYPERLINK(CONCATENATE("#Metadata!", ADDRESS(INDEX($AI$2:$AI$1001,MATCH(ROWS($AG$2:AG506),$AG$2:$AG$1001,0),0), INDEX($AN$1004:$BO$1004,1,MATCH(COLUMNS($AN$1006:AW1006),$AN$1006:$BO$1006,0)))),"Fix")))</f>
        <v>0</v>
      </c>
      <c r="L506" s="4">
        <f>IF(OR(INDEX($AH$2:$AH$1001,MATCH(ROWS($AG$2:AG506),$AG$2:$AG$1001,0),1)&gt;=100000,INDEX($AN$1005:$BO$1005,1,MATCH(COLUMNS($AN$1006:AX1006),$AN$1006:$BO$1006,0))&gt;=100000), " ",IF(INDEX($AN$2:$BO$1001,MATCH(ROWS($AG$2:AG506),$AG$2:$AG$1001,0),MATCH(COLUMNS($AN$1006:AX1006),$AN$1006:$BO$1006,0)), HYPERLINK("#",""), HYPERLINK(CONCATENATE("#Metadata!", ADDRESS(INDEX($AI$2:$AI$1001,MATCH(ROWS($AG$2:AG506),$AG$2:$AG$1001,0),0), INDEX($AN$1004:$BO$1004,1,MATCH(COLUMNS($AN$1006:AX1006),$AN$1006:$BO$1006,0)))),"Fix")))</f>
        <v>0</v>
      </c>
      <c r="M506" s="4">
        <f>IF(OR(INDEX($AH$2:$AH$1001,MATCH(ROWS($AG$2:AG506),$AG$2:$AG$1001,0),1)&gt;=100000,INDEX($AN$1005:$BO$1005,1,MATCH(COLUMNS($AN$1006:AY1006),$AN$1006:$BO$1006,0))&gt;=100000), " ",IF(INDEX($AN$2:$BO$1001,MATCH(ROWS($AG$2:AG506),$AG$2:$AG$1001,0),MATCH(COLUMNS($AN$1006:AY1006),$AN$1006:$BO$1006,0)), HYPERLINK("#",""), HYPERLINK(CONCATENATE("#Metadata!", ADDRESS(INDEX($AI$2:$AI$1001,MATCH(ROWS($AG$2:AG506),$AG$2:$AG$1001,0),0), INDEX($AN$1004:$BO$1004,1,MATCH(COLUMNS($AN$1006:AY1006),$AN$1006:$BO$1006,0)))),"Fix")))</f>
        <v>0</v>
      </c>
      <c r="N506" s="4">
        <f>IF(OR(INDEX($AH$2:$AH$1001,MATCH(ROWS($AG$2:AG506),$AG$2:$AG$1001,0),1)&gt;=100000,INDEX($AN$1005:$BO$1005,1,MATCH(COLUMNS($AN$1006:AZ1006),$AN$1006:$BO$1006,0))&gt;=100000), " ",IF(INDEX($AN$2:$BO$1001,MATCH(ROWS($AG$2:AG506),$AG$2:$AG$1001,0),MATCH(COLUMNS($AN$1006:AZ1006),$AN$1006:$BO$1006,0)), HYPERLINK("#",""), HYPERLINK(CONCATENATE("#Metadata!", ADDRESS(INDEX($AI$2:$AI$1001,MATCH(ROWS($AG$2:AG506),$AG$2:$AG$1001,0),0), INDEX($AN$1004:$BO$1004,1,MATCH(COLUMNS($AN$1006:AZ1006),$AN$1006:$BO$1006,0)))),"Fix")))</f>
        <v>0</v>
      </c>
      <c r="O506" s="4">
        <f>IF(OR(INDEX($AH$2:$AH$1001,MATCH(ROWS($AG$2:AG506),$AG$2:$AG$1001,0),1)&gt;=100000,INDEX($AN$1005:$BO$1005,1,MATCH(COLUMNS($AN$1006:BA1006),$AN$1006:$BO$1006,0))&gt;=100000), " ",IF(INDEX($AN$2:$BO$1001,MATCH(ROWS($AG$2:AG506),$AG$2:$AG$1001,0),MATCH(COLUMNS($AN$1006:BA1006),$AN$1006:$BO$1006,0)), HYPERLINK("#",""), HYPERLINK(CONCATENATE("#Metadata!", ADDRESS(INDEX($AI$2:$AI$1001,MATCH(ROWS($AG$2:AG506),$AG$2:$AG$1001,0),0), INDEX($AN$1004:$BO$1004,1,MATCH(COLUMNS($AN$1006:BA1006),$AN$1006:$BO$1006,0)))),"Fix")))</f>
        <v>0</v>
      </c>
      <c r="P506" s="4">
        <f>IF(OR(INDEX($AH$2:$AH$1001,MATCH(ROWS($AG$2:AG506),$AG$2:$AG$1001,0),1)&gt;=100000,INDEX($AN$1005:$BO$1005,1,MATCH(COLUMNS($AN$1006:BB1006),$AN$1006:$BO$1006,0))&gt;=100000), " ",IF(INDEX($AN$2:$BO$1001,MATCH(ROWS($AG$2:AG506),$AG$2:$AG$1001,0),MATCH(COLUMNS($AN$1006:BB1006),$AN$1006:$BO$1006,0)), HYPERLINK("#",""), HYPERLINK(CONCATENATE("#Metadata!", ADDRESS(INDEX($AI$2:$AI$1001,MATCH(ROWS($AG$2:AG506),$AG$2:$AG$1001,0),0), INDEX($AN$1004:$BO$1004,1,MATCH(COLUMNS($AN$1006:BB1006),$AN$1006:$BO$1006,0)))),"Fix")))</f>
        <v>0</v>
      </c>
      <c r="Q506" s="4">
        <f>IF(OR(INDEX($AH$2:$AH$1001,MATCH(ROWS($AG$2:AG506),$AG$2:$AG$1001,0),1)&gt;=100000,INDEX($AN$1005:$BO$1005,1,MATCH(COLUMNS($AN$1006:BC1006),$AN$1006:$BO$1006,0))&gt;=100000), " ",IF(INDEX($AN$2:$BO$1001,MATCH(ROWS($AG$2:AG506),$AG$2:$AG$1001,0),MATCH(COLUMNS($AN$1006:BC1006),$AN$1006:$BO$1006,0)), HYPERLINK("#",""), HYPERLINK(CONCATENATE("#Metadata!", ADDRESS(INDEX($AI$2:$AI$1001,MATCH(ROWS($AG$2:AG506),$AG$2:$AG$1001,0),0), INDEX($AN$1004:$BO$1004,1,MATCH(COLUMNS($AN$1006:BC1006),$AN$1006:$BO$1006,0)))),"Fix")))</f>
        <v>0</v>
      </c>
      <c r="R506" s="4">
        <f>IF(OR(INDEX($AH$2:$AH$1001,MATCH(ROWS($AG$2:AG506),$AG$2:$AG$1001,0),1)&gt;=100000,INDEX($AN$1005:$BO$1005,1,MATCH(COLUMNS($AN$1006:BD1006),$AN$1006:$BO$1006,0))&gt;=100000), " ",IF(INDEX($AN$2:$BO$1001,MATCH(ROWS($AG$2:AG506),$AG$2:$AG$1001,0),MATCH(COLUMNS($AN$1006:BD1006),$AN$1006:$BO$1006,0)), HYPERLINK("#",""), HYPERLINK(CONCATENATE("#Metadata!", ADDRESS(INDEX($AI$2:$AI$1001,MATCH(ROWS($AG$2:AG506),$AG$2:$AG$1001,0),0), INDEX($AN$1004:$BO$1004,1,MATCH(COLUMNS($AN$1006:BD1006),$AN$1006:$BO$1006,0)))),"Fix")))</f>
        <v>0</v>
      </c>
      <c r="S506" s="4">
        <f>IF(OR(INDEX($AH$2:$AH$1001,MATCH(ROWS($AG$2:AG506),$AG$2:$AG$1001,0),1)&gt;=100000,INDEX($AN$1005:$BO$1005,1,MATCH(COLUMNS($AN$1006:BE1006),$AN$1006:$BO$1006,0))&gt;=100000), " ",IF(INDEX($AN$2:$BO$1001,MATCH(ROWS($AG$2:AG506),$AG$2:$AG$1001,0),MATCH(COLUMNS($AN$1006:BE1006),$AN$1006:$BO$1006,0)), HYPERLINK("#",""), HYPERLINK(CONCATENATE("#Metadata!", ADDRESS(INDEX($AI$2:$AI$1001,MATCH(ROWS($AG$2:AG506),$AG$2:$AG$1001,0),0), INDEX($AN$1004:$BO$1004,1,MATCH(COLUMNS($AN$1006:BE1006),$AN$1006:$BO$1006,0)))),"Fix")))</f>
        <v>0</v>
      </c>
      <c r="T506" s="4">
        <f>IF(OR(INDEX($AH$2:$AH$1001,MATCH(ROWS($AG$2:AG506),$AG$2:$AG$1001,0),1)&gt;=100000,INDEX($AN$1005:$BO$1005,1,MATCH(COLUMNS($AN$1006:BF1006),$AN$1006:$BO$1006,0))&gt;=100000), " ",IF(INDEX($AN$2:$BO$1001,MATCH(ROWS($AG$2:AG506),$AG$2:$AG$1001,0),MATCH(COLUMNS($AN$1006:BF1006),$AN$1006:$BO$1006,0)), HYPERLINK("#",""), HYPERLINK(CONCATENATE("#Metadata!", ADDRESS(INDEX($AI$2:$AI$1001,MATCH(ROWS($AG$2:AG506),$AG$2:$AG$1001,0),0), INDEX($AN$1004:$BO$1004,1,MATCH(COLUMNS($AN$1006:BF1006),$AN$1006:$BO$1006,0)))),"Fix")))</f>
        <v>0</v>
      </c>
      <c r="U506" s="4">
        <f>IF(OR(INDEX($AH$2:$AH$1001,MATCH(ROWS($AG$2:AG506),$AG$2:$AG$1001,0),1)&gt;=100000,INDEX($AN$1005:$BO$1005,1,MATCH(COLUMNS($AN$1006:BG1006),$AN$1006:$BO$1006,0))&gt;=100000), " ",IF(INDEX($AN$2:$BO$1001,MATCH(ROWS($AG$2:AG506),$AG$2:$AG$1001,0),MATCH(COLUMNS($AN$1006:BG1006),$AN$1006:$BO$1006,0)), HYPERLINK("#",""), HYPERLINK(CONCATENATE("#Metadata!", ADDRESS(INDEX($AI$2:$AI$1001,MATCH(ROWS($AG$2:AG506),$AG$2:$AG$1001,0),0), INDEX($AN$1004:$BO$1004,1,MATCH(COLUMNS($AN$1006:BG1006),$AN$1006:$BO$1006,0)))),"Fix")))</f>
        <v>0</v>
      </c>
      <c r="V506" s="4">
        <f>IF(OR(INDEX($AH$2:$AH$1001,MATCH(ROWS($AG$2:AG506),$AG$2:$AG$1001,0),1)&gt;=100000,INDEX($AN$1005:$BO$1005,1,MATCH(COLUMNS($AN$1006:BH1006),$AN$1006:$BO$1006,0))&gt;=100000), " ",IF(INDEX($AN$2:$BO$1001,MATCH(ROWS($AG$2:AG506),$AG$2:$AG$1001,0),MATCH(COLUMNS($AN$1006:BH1006),$AN$1006:$BO$1006,0)), HYPERLINK("#",""), HYPERLINK(CONCATENATE("#Metadata!", ADDRESS(INDEX($AI$2:$AI$1001,MATCH(ROWS($AG$2:AG506),$AG$2:$AG$1001,0),0), INDEX($AN$1004:$BO$1004,1,MATCH(COLUMNS($AN$1006:BH1006),$AN$1006:$BO$1006,0)))),"Fix")))</f>
        <v>0</v>
      </c>
      <c r="W506" s="4">
        <f>IF(OR(INDEX($AH$2:$AH$1001,MATCH(ROWS($AG$2:AG506),$AG$2:$AG$1001,0),1)&gt;=100000,INDEX($AN$1005:$BO$1005,1,MATCH(COLUMNS($AN$1006:BI1006),$AN$1006:$BO$1006,0))&gt;=100000), " ",IF(INDEX($AN$2:$BO$1001,MATCH(ROWS($AG$2:AG506),$AG$2:$AG$1001,0),MATCH(COLUMNS($AN$1006:BI1006),$AN$1006:$BO$1006,0)), HYPERLINK("#",""), HYPERLINK(CONCATENATE("#Metadata!", ADDRESS(INDEX($AI$2:$AI$1001,MATCH(ROWS($AG$2:AG506),$AG$2:$AG$1001,0),0), INDEX($AN$1004:$BO$1004,1,MATCH(COLUMNS($AN$1006:BI1006),$AN$1006:$BO$1006,0)))),"Fix")))</f>
        <v>0</v>
      </c>
      <c r="X506" s="4">
        <f>IF(OR(INDEX($AH$2:$AH$1001,MATCH(ROWS($AG$2:AG506),$AG$2:$AG$1001,0),1)&gt;=100000,INDEX($AN$1005:$BO$1005,1,MATCH(COLUMNS($AN$1006:BJ1006),$AN$1006:$BO$1006,0))&gt;=100000), " ",IF(INDEX($AN$2:$BO$1001,MATCH(ROWS($AG$2:AG506),$AG$2:$AG$1001,0),MATCH(COLUMNS($AN$1006:BJ1006),$AN$1006:$BO$1006,0)), HYPERLINK("#",""), HYPERLINK(CONCATENATE("#Metadata!", ADDRESS(INDEX($AI$2:$AI$1001,MATCH(ROWS($AG$2:AG506),$AG$2:$AG$1001,0),0), INDEX($AN$1004:$BO$1004,1,MATCH(COLUMNS($AN$1006:BJ1006),$AN$1006:$BO$1006,0)))),"Fix")))</f>
        <v>0</v>
      </c>
      <c r="Y506" s="4">
        <f>IF(OR(INDEX($AH$2:$AH$1001,MATCH(ROWS($AG$2:AG506),$AG$2:$AG$1001,0),1)&gt;=100000,INDEX($AN$1005:$BO$1005,1,MATCH(COLUMNS($AN$1006:BK1006),$AN$1006:$BO$1006,0))&gt;=100000), " ",IF(INDEX($AN$2:$BO$1001,MATCH(ROWS($AG$2:AG506),$AG$2:$AG$1001,0),MATCH(COLUMNS($AN$1006:BK1006),$AN$1006:$BO$1006,0)), HYPERLINK("#",""), HYPERLINK(CONCATENATE("#Metadata!", ADDRESS(INDEX($AI$2:$AI$1001,MATCH(ROWS($AG$2:AG506),$AG$2:$AG$1001,0),0), INDEX($AN$1004:$BO$1004,1,MATCH(COLUMNS($AN$1006:BK1006),$AN$1006:$BO$1006,0)))),"Fix")))</f>
        <v>0</v>
      </c>
      <c r="Z506" s="4">
        <f>IF(OR(INDEX($AH$2:$AH$1001,MATCH(ROWS($AG$2:AG506),$AG$2:$AG$1001,0),1)&gt;=100000,INDEX($AN$1005:$BO$1005,1,MATCH(COLUMNS($AN$1006:BL1006),$AN$1006:$BO$1006,0))&gt;=100000), " ",IF(INDEX($AN$2:$BO$1001,MATCH(ROWS($AG$2:AG506),$AG$2:$AG$1001,0),MATCH(COLUMNS($AN$1006:BL1006),$AN$1006:$BO$1006,0)), HYPERLINK("#",""), HYPERLINK(CONCATENATE("#Metadata!", ADDRESS(INDEX($AI$2:$AI$1001,MATCH(ROWS($AG$2:AG506),$AG$2:$AG$1001,0),0), INDEX($AN$1004:$BO$1004,1,MATCH(COLUMNS($AN$1006:BL1006),$AN$1006:$BO$1006,0)))),"Fix")))</f>
        <v>0</v>
      </c>
      <c r="AA506" s="4">
        <f>IF(OR(INDEX($AH$2:$AH$1001,MATCH(ROWS($AG$2:AG506),$AG$2:$AG$1001,0),1)&gt;=100000,INDEX($AN$1005:$BO$1005,1,MATCH(COLUMNS($AN$1006:BM1006),$AN$1006:$BO$1006,0))&gt;=100000), " ",IF(INDEX($AN$2:$BO$1001,MATCH(ROWS($AG$2:AG506),$AG$2:$AG$1001,0),MATCH(COLUMNS($AN$1006:BM1006),$AN$1006:$BO$1006,0)), HYPERLINK("#",""), HYPERLINK(CONCATENATE("#Metadata!", ADDRESS(INDEX($AI$2:$AI$1001,MATCH(ROWS($AG$2:AG506),$AG$2:$AG$1001,0),0), INDEX($AN$1004:$BO$1004,1,MATCH(COLUMNS($AN$1006:BM1006),$AN$1006:$BO$1006,0)))),"Fix")))</f>
        <v>0</v>
      </c>
      <c r="AB506" s="4">
        <f>IF(OR(INDEX($AH$2:$AH$1001,MATCH(ROWS($AG$2:AG506),$AG$2:$AG$1001,0),1)&gt;=100000,INDEX($AN$1005:$BO$1005,1,MATCH(COLUMNS($AN$1006:BN1006),$AN$1006:$BO$1006,0))&gt;=100000), " ",IF(INDEX($AN$2:$BO$1001,MATCH(ROWS($AG$2:AG506),$AG$2:$AG$1001,0),MATCH(COLUMNS($AN$1006:BN1006),$AN$1006:$BO$1006,0)), HYPERLINK("#",""), HYPERLINK(CONCATENATE("#Metadata!", ADDRESS(INDEX($AI$2:$AI$1001,MATCH(ROWS($AG$2:AG506),$AG$2:$AG$1001,0),0), INDEX($AN$1004:$BO$1004,1,MATCH(COLUMNS($AN$1006:BN1006),$AN$1006:$BO$1006,0)))),"Fix")))</f>
        <v>0</v>
      </c>
      <c r="AC506" s="4">
        <f>IF(OR(INDEX($AH$2:$AH$1001,MATCH(ROWS($AG$2:AG506),$AG$2:$AG$1001,0),1)&gt;=100000,INDEX($AN$1005:$BO$1005,1,MATCH(COLUMNS($AN$1006:BO1006),$AN$1006:$BO$1006,0))&gt;=100000), " ",IF(INDEX($AN$2:$BO$1001,MATCH(ROWS($AG$2:AG506),$AG$2:$AG$1001,0),MATCH(COLUMNS($AN$1006:BO1006),$AN$1006:$BO$1006,0)), HYPERLINK("#",""), HYPERLINK(CONCATENATE("#Metadata!", ADDRESS(INDEX($AI$2:$AI$1001,MATCH(ROWS($AG$2:AG506),$AG$2:$AG$1001,0),0), INDEX($AN$1004:$BO$1004,1,MATCH(COLUMNS($AN$1006:BO1006),$AN$1006:$BO$1006,0)))),"Fix")))</f>
        <v>0</v>
      </c>
      <c r="AG506">
        <v>0</v>
      </c>
      <c r="AH506">
        <v>0</v>
      </c>
      <c r="AI506">
        <v>0</v>
      </c>
      <c r="AJ506">
        <f>IF(AK506,TRUE,AND(AN506:BO506))</f>
        <v>0</v>
      </c>
      <c r="AK506">
        <f>COUNTBLANK(Metadata!B506:AC506)=COLUMNS(Metadata!B506:AC506)</f>
        <v>0</v>
      </c>
      <c r="AL506">
        <v>0</v>
      </c>
      <c r="AN506">
        <f>AND(IF(Metadata!B506="",FALSE,TRUE),COUNTIF(Metadata!B:B, Metadata!B506) = 1,NOT(ISERROR(SUMPRODUCT(SEARCH(MID(Metadata!B506,ROW(INDIRECT("1:"&amp;LEN(Metadata!B506))), 1),"0123456789abcdefghijklmnopqrstuvwxyzABCDEFGHIJKLMNOPQRSTUVWXYZ.")))))</f>
        <v>0</v>
      </c>
      <c r="AO506">
        <f>IF(Metadata!C506="",FALSE,TRUE)</f>
        <v>0</v>
      </c>
      <c r="AP506">
        <f>IF(Metadata!D506="",FALSE,TRUE)</f>
        <v>0</v>
      </c>
      <c r="AQ506">
        <f>OR(AND(IF(Metadata!E506="",FALSE,TRUE),OR(exact(Metadata!E506,"not collected"),exact(Metadata!E506,"not provided"),exact(Metadata!E506,"restricted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R506">
        <f>IF(Metadata!F506="",FALSE,TRUE)</f>
        <v>0</v>
      </c>
      <c r="AS506">
        <f>OR(AND(IF(Metadata!G506="",FALSE,TRUE),OR(exact(Metadata!G506,"not collected"),exact(Metadata!G506,"not provided"))),AND(IF(Metadata!G506="",FALSE,TRUE),OR(exact(Metadata!G506,"TRUE"),exact(Metadata!G506,"FALSE"))))</f>
        <v>0</v>
      </c>
      <c r="AT506">
        <f>OR(AND(IF(Metadata!H506="",FALSE,TRUE),OR(exact(Metadata!H506,"not collected"),exact(Metadata!H506,"not provided"),exact(Metadata!H506,"restricted access"))),AND(IF(Metadata!H506="",FALSE,ISNUMBER(VALUE(Metadata!H506))),Metadata!H506&gt;=-413.0))</f>
        <v>0</v>
      </c>
      <c r="AU506">
        <f>AND(IF(Metadata!I506="",FALSE,TRUE),exact(Metadata!I506,"meters"))</f>
        <v>0</v>
      </c>
      <c r="AV506">
        <f>AND(IF(Metadata!J506="",FALSE,TRUE),OR(exact(Metadata!J506,"Host-associated"),exact(Metadata!J506,"Free-living")))</f>
        <v>0</v>
      </c>
      <c r="AW506">
        <f>AND(IF(Metadata!K506="",FALSE,TRUE),OR(exact(Metadata!K506,"Animal"),exact(Metadata!K506,"Fungus"),exact(Metadata!K506,"Plant"),exact(Metadata!K506,"Saline"),exact(Metadata!K506,"Non-saline")))</f>
        <v>0</v>
      </c>
      <c r="AX506">
        <f>AND(IF(Metadata!L506="",FALSE,TRUE),OR(exact(Metadata!L506,"Plant secretion"),exact(Metadata!L506,"Plant rhizosphere"),exact(Metadata!L506,"Plant surface"),exact(Metadata!L506,"Plant corpus"),exact(Metadata!L506,"Fungus surface"),exact(Metadata!L506,"Fungus corpus"),exact(Metadata!L506,"Animal surface"),exact(Metadata!L506,"Animal proximal gut"),exact(Metadata!L506,"Animal corpus"),exact(Metadata!L506,"Animal distal gut"),exact(Metadata!L506,"Animal secretion"),exact(Metadata!L506,"Sub-surface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Y506">
        <f>IF(Metadata!M506="",FALSE,TRUE)</f>
        <v>0</v>
      </c>
      <c r="AZ506">
        <f>IF(Metadata!N506="",FALSE,TRUE)</f>
        <v>0</v>
      </c>
      <c r="BA506">
        <f>IF(Metadata!O506="",FALSE,TRUE)</f>
        <v>0</v>
      </c>
      <c r="BB506">
        <f>OR(AND(IF(Metadata!P506="",FALSE,TRUE),OR(exact(Metadata!P506,"not collected"),exact(Metadata!P506,"not provided"),exact(Metadata!P506,"restricted access"))),AND(IF(Metadata!P506="",FALSE,TRUE),OR(exact(Metadata!P506,"air"),exact(Metadata!P506,"built environment"),exact(Metadata!P506,"host-associated"),exact(Metadata!P506,"human-associated"),exact(Metadata!P506,"human-skin"),exact(Metadata!P506,"human-oral"),exact(Metadata!P506,"human-gut"),exact(Metadata!P506,"human-vaginal"),exact(Metadata!P506,"microbial mat/biofilm"),exact(Metadata!P506,"misc environment"),exact(Metadata!P506,"plant-associated"),exact(Metadata!P506,"sediment"),exact(Metadata!P506,"soil"),exact(Metadata!P506,"wastewater/sludge"),exact(Metadata!P506,"water"))))</f>
        <v>0</v>
      </c>
      <c r="BC506">
        <f>IF(Metadata!Q506="",FALSE,TRUE)</f>
        <v>0</v>
      </c>
      <c r="BD506">
        <f>IF(Metadata!R506="",FALSE,TRUE)</f>
        <v>0</v>
      </c>
      <c r="BE506">
        <f>OR(AND(IF(Metadata!S506="",FALSE,TRUE),OR(exact(Metadata!S506,"not collected"),exact(Metadata!S506,"not provided"),exact(Metadata!S506,"restricted access"))),AND(IF(Metadata!S506="",FALSE,ISNUMBER(VALUE(Metadata!S506))),Metadata!S506&gt;=-90.00,Metadata!S506&lt;=90.00))</f>
        <v>0</v>
      </c>
      <c r="BF506">
        <f>AND(IF(Metadata!T506="",FALSE,TRUE),exact(Metadata!T506,"Decimal degrees"))</f>
        <v>0</v>
      </c>
      <c r="BG506">
        <f>OR(AND(IF(Metadata!U506="",FALSE,TRUE),OR(exact(Metadata!U506,"not collected"),exact(Metadata!U506,"not provided"),exact(Metadata!U506,"restricted access"))),AND(IF(Metadata!U506="",FALSE,ISNUMBER(VALUE(Metadata!U506))),Metadata!U506&gt;=-180.00,Metadata!U506&lt;=180.00))</f>
        <v>0</v>
      </c>
      <c r="BH506">
        <f>AND(IF(Metadata!V506="",FALSE,TRUE),exact(Metadata!V506,"Decimal degrees"))</f>
        <v>0</v>
      </c>
      <c r="BI506">
        <f>IF(Metadata!W506="",FALSE,TRUE)</f>
        <v>0</v>
      </c>
      <c r="BJ506">
        <f>OR(AND(IF(Metadata!X506="",FALSE,TRUE),OR(exact(Metadata!X506,"not collected"),exact(Metadata!X506,"not provided"),exact(Metadata!X506,"restricted access"))),AND(IF(Metadata!X506="",FALSE,TRUE),OR(exact(Metadata!X506,"TRUE"),exact(Metadata!X506,"FALSE"))))</f>
        <v>0</v>
      </c>
      <c r="BK506">
        <f>AND(IF(Metadata!Y506="",FALSE,TRUE),exact(Metadata!Y506,"other"))</f>
        <v>0</v>
      </c>
      <c r="BL506">
        <f>IF(Metadata!Z506="",FALSE,TRUE)</f>
        <v>0</v>
      </c>
      <c r="BM506">
        <f>OR(AND(IF(Metadata!AA506="",FALSE,TRUE),OR(exact(Metadata!AA506,"not collected"),exact(Metadata!AA506,"not provided"))),AND(IF(Metadata!AA506="",FALSE,IF(ISERROR(INT(Metadata!AA506)),FALSE,INT(Metadata!AA506)=Metadata!AA506)),Metadata!AA506&gt;0))</f>
        <v>0</v>
      </c>
      <c r="BN506">
        <f>AND(IF(Metadata!AB506="",FALSE,TRUE),exact(Metadata!AB506,"Not applicable"))</f>
        <v>0</v>
      </c>
      <c r="BO506">
        <f>IF(Metadata!AC506="",FALSE,TRUE)</f>
        <v>0</v>
      </c>
    </row>
    <row r="507" spans="1:67">
      <c r="A507" s="5">
        <f>IF(B507=" "," ",HYPERLINK(CONCATENATE("#metadata!",ADDRESS(INDEX($AI$2:$AI$1001,MATCH(ROWS($AG$2:AG507),$AG$2:$AG$1001,0),0),1)),INDEX($AL$2:$AL$1001,MATCH(ROWS($AG$2:AG507),$AG$2:$AG$1001,0),0)))</f>
        <v>0</v>
      </c>
      <c r="B507" s="4">
        <f>IF(OR(INDEX($AH$2:$AH$1001,MATCH(ROWS($AG$2:AG507),$AG$2:$AG$1001,0),1)&gt;=100000,INDEX($AN$1005:$BO$1005,1,MATCH(COLUMNS($AN$1006:AN1006),$AN$1006:$BO$1006,0))&gt;=100000), " ",IF(INDEX($AN$2:$BO$1001,MATCH(ROWS($AG$2:AG507),$AG$2:$AG$1001,0),MATCH(COLUMNS($AN$1006:AN1006),$AN$1006:$BO$1006,0)), HYPERLINK("#",""), HYPERLINK(CONCATENATE("#Metadata!", ADDRESS(INDEX($AI$2:$AI$1001,MATCH(ROWS($AG$2:AG507),$AG$2:$AG$1001,0),0), INDEX($AN$1004:$BO$1004,1,MATCH(COLUMNS($AN$1006:AN1006),$AN$1006:$BO$1006,0)))),"Fix")))</f>
        <v>0</v>
      </c>
      <c r="C507" s="4">
        <f>IF(OR(INDEX($AH$2:$AH$1001,MATCH(ROWS($AG$2:AG507),$AG$2:$AG$1001,0),1)&gt;=100000,INDEX($AN$1005:$BO$1005,1,MATCH(COLUMNS($AN$1006:AO1006),$AN$1006:$BO$1006,0))&gt;=100000), " ",IF(INDEX($AN$2:$BO$1001,MATCH(ROWS($AG$2:AG507),$AG$2:$AG$1001,0),MATCH(COLUMNS($AN$1006:AO1006),$AN$1006:$BO$1006,0)), HYPERLINK("#",""), HYPERLINK(CONCATENATE("#Metadata!", ADDRESS(INDEX($AI$2:$AI$1001,MATCH(ROWS($AG$2:AG507),$AG$2:$AG$1001,0),0), INDEX($AN$1004:$BO$1004,1,MATCH(COLUMNS($AN$1006:AO1006),$AN$1006:$BO$1006,0)))),"Fix")))</f>
        <v>0</v>
      </c>
      <c r="D507" s="4">
        <f>IF(OR(INDEX($AH$2:$AH$1001,MATCH(ROWS($AG$2:AG507),$AG$2:$AG$1001,0),1)&gt;=100000,INDEX($AN$1005:$BO$1005,1,MATCH(COLUMNS($AN$1006:AP1006),$AN$1006:$BO$1006,0))&gt;=100000), " ",IF(INDEX($AN$2:$BO$1001,MATCH(ROWS($AG$2:AG507),$AG$2:$AG$1001,0),MATCH(COLUMNS($AN$1006:AP1006),$AN$1006:$BO$1006,0)), HYPERLINK("#",""), HYPERLINK(CONCATENATE("#Metadata!", ADDRESS(INDEX($AI$2:$AI$1001,MATCH(ROWS($AG$2:AG507),$AG$2:$AG$1001,0),0), INDEX($AN$1004:$BO$1004,1,MATCH(COLUMNS($AN$1006:AP1006),$AN$1006:$BO$1006,0)))),"Fix")))</f>
        <v>0</v>
      </c>
      <c r="E507" s="4">
        <f>IF(OR(INDEX($AH$2:$AH$1001,MATCH(ROWS($AG$2:AG507),$AG$2:$AG$1001,0),1)&gt;=100000,INDEX($AN$1005:$BO$1005,1,MATCH(COLUMNS($AN$1006:AQ1006),$AN$1006:$BO$1006,0))&gt;=100000), " ",IF(INDEX($AN$2:$BO$1001,MATCH(ROWS($AG$2:AG507),$AG$2:$AG$1001,0),MATCH(COLUMNS($AN$1006:AQ1006),$AN$1006:$BO$1006,0)), HYPERLINK("#",""), HYPERLINK(CONCATENATE("#Metadata!", ADDRESS(INDEX($AI$2:$AI$1001,MATCH(ROWS($AG$2:AG507),$AG$2:$AG$1001,0),0), INDEX($AN$1004:$BO$1004,1,MATCH(COLUMNS($AN$1006:AQ1006),$AN$1006:$BO$1006,0)))),"Fix")))</f>
        <v>0</v>
      </c>
      <c r="F507" s="4">
        <f>IF(OR(INDEX($AH$2:$AH$1001,MATCH(ROWS($AG$2:AG507),$AG$2:$AG$1001,0),1)&gt;=100000,INDEX($AN$1005:$BO$1005,1,MATCH(COLUMNS($AN$1006:AR1006),$AN$1006:$BO$1006,0))&gt;=100000), " ",IF(INDEX($AN$2:$BO$1001,MATCH(ROWS($AG$2:AG507),$AG$2:$AG$1001,0),MATCH(COLUMNS($AN$1006:AR1006),$AN$1006:$BO$1006,0)), HYPERLINK("#",""), HYPERLINK(CONCATENATE("#Metadata!", ADDRESS(INDEX($AI$2:$AI$1001,MATCH(ROWS($AG$2:AG507),$AG$2:$AG$1001,0),0), INDEX($AN$1004:$BO$1004,1,MATCH(COLUMNS($AN$1006:AR1006),$AN$1006:$BO$1006,0)))),"Fix")))</f>
        <v>0</v>
      </c>
      <c r="G507" s="4">
        <f>IF(OR(INDEX($AH$2:$AH$1001,MATCH(ROWS($AG$2:AG507),$AG$2:$AG$1001,0),1)&gt;=100000,INDEX($AN$1005:$BO$1005,1,MATCH(COLUMNS($AN$1006:AS1006),$AN$1006:$BO$1006,0))&gt;=100000), " ",IF(INDEX($AN$2:$BO$1001,MATCH(ROWS($AG$2:AG507),$AG$2:$AG$1001,0),MATCH(COLUMNS($AN$1006:AS1006),$AN$1006:$BO$1006,0)), HYPERLINK("#",""), HYPERLINK(CONCATENATE("#Metadata!", ADDRESS(INDEX($AI$2:$AI$1001,MATCH(ROWS($AG$2:AG507),$AG$2:$AG$1001,0),0), INDEX($AN$1004:$BO$1004,1,MATCH(COLUMNS($AN$1006:AS1006),$AN$1006:$BO$1006,0)))),"Fix")))</f>
        <v>0</v>
      </c>
      <c r="H507" s="4">
        <f>IF(OR(INDEX($AH$2:$AH$1001,MATCH(ROWS($AG$2:AG507),$AG$2:$AG$1001,0),1)&gt;=100000,INDEX($AN$1005:$BO$1005,1,MATCH(COLUMNS($AN$1006:AT1006),$AN$1006:$BO$1006,0))&gt;=100000), " ",IF(INDEX($AN$2:$BO$1001,MATCH(ROWS($AG$2:AG507),$AG$2:$AG$1001,0),MATCH(COLUMNS($AN$1006:AT1006),$AN$1006:$BO$1006,0)), HYPERLINK("#",""), HYPERLINK(CONCATENATE("#Metadata!", ADDRESS(INDEX($AI$2:$AI$1001,MATCH(ROWS($AG$2:AG507),$AG$2:$AG$1001,0),0), INDEX($AN$1004:$BO$1004,1,MATCH(COLUMNS($AN$1006:AT1006),$AN$1006:$BO$1006,0)))),"Fix")))</f>
        <v>0</v>
      </c>
      <c r="I507" s="4">
        <f>IF(OR(INDEX($AH$2:$AH$1001,MATCH(ROWS($AG$2:AG507),$AG$2:$AG$1001,0),1)&gt;=100000,INDEX($AN$1005:$BO$1005,1,MATCH(COLUMNS($AN$1006:AU1006),$AN$1006:$BO$1006,0))&gt;=100000), " ",IF(INDEX($AN$2:$BO$1001,MATCH(ROWS($AG$2:AG507),$AG$2:$AG$1001,0),MATCH(COLUMNS($AN$1006:AU1006),$AN$1006:$BO$1006,0)), HYPERLINK("#",""), HYPERLINK(CONCATENATE("#Metadata!", ADDRESS(INDEX($AI$2:$AI$1001,MATCH(ROWS($AG$2:AG507),$AG$2:$AG$1001,0),0), INDEX($AN$1004:$BO$1004,1,MATCH(COLUMNS($AN$1006:AU1006),$AN$1006:$BO$1006,0)))),"Fix")))</f>
        <v>0</v>
      </c>
      <c r="J507" s="4">
        <f>IF(OR(INDEX($AH$2:$AH$1001,MATCH(ROWS($AG$2:AG507),$AG$2:$AG$1001,0),1)&gt;=100000,INDEX($AN$1005:$BO$1005,1,MATCH(COLUMNS($AN$1006:AV1006),$AN$1006:$BO$1006,0))&gt;=100000), " ",IF(INDEX($AN$2:$BO$1001,MATCH(ROWS($AG$2:AG507),$AG$2:$AG$1001,0),MATCH(COLUMNS($AN$1006:AV1006),$AN$1006:$BO$1006,0)), HYPERLINK("#",""), HYPERLINK(CONCATENATE("#Metadata!", ADDRESS(INDEX($AI$2:$AI$1001,MATCH(ROWS($AG$2:AG507),$AG$2:$AG$1001,0),0), INDEX($AN$1004:$BO$1004,1,MATCH(COLUMNS($AN$1006:AV1006),$AN$1006:$BO$1006,0)))),"Fix")))</f>
        <v>0</v>
      </c>
      <c r="K507" s="4">
        <f>IF(OR(INDEX($AH$2:$AH$1001,MATCH(ROWS($AG$2:AG507),$AG$2:$AG$1001,0),1)&gt;=100000,INDEX($AN$1005:$BO$1005,1,MATCH(COLUMNS($AN$1006:AW1006),$AN$1006:$BO$1006,0))&gt;=100000), " ",IF(INDEX($AN$2:$BO$1001,MATCH(ROWS($AG$2:AG507),$AG$2:$AG$1001,0),MATCH(COLUMNS($AN$1006:AW1006),$AN$1006:$BO$1006,0)), HYPERLINK("#",""), HYPERLINK(CONCATENATE("#Metadata!", ADDRESS(INDEX($AI$2:$AI$1001,MATCH(ROWS($AG$2:AG507),$AG$2:$AG$1001,0),0), INDEX($AN$1004:$BO$1004,1,MATCH(COLUMNS($AN$1006:AW1006),$AN$1006:$BO$1006,0)))),"Fix")))</f>
        <v>0</v>
      </c>
      <c r="L507" s="4">
        <f>IF(OR(INDEX($AH$2:$AH$1001,MATCH(ROWS($AG$2:AG507),$AG$2:$AG$1001,0),1)&gt;=100000,INDEX($AN$1005:$BO$1005,1,MATCH(COLUMNS($AN$1006:AX1006),$AN$1006:$BO$1006,0))&gt;=100000), " ",IF(INDEX($AN$2:$BO$1001,MATCH(ROWS($AG$2:AG507),$AG$2:$AG$1001,0),MATCH(COLUMNS($AN$1006:AX1006),$AN$1006:$BO$1006,0)), HYPERLINK("#",""), HYPERLINK(CONCATENATE("#Metadata!", ADDRESS(INDEX($AI$2:$AI$1001,MATCH(ROWS($AG$2:AG507),$AG$2:$AG$1001,0),0), INDEX($AN$1004:$BO$1004,1,MATCH(COLUMNS($AN$1006:AX1006),$AN$1006:$BO$1006,0)))),"Fix")))</f>
        <v>0</v>
      </c>
      <c r="M507" s="4">
        <f>IF(OR(INDEX($AH$2:$AH$1001,MATCH(ROWS($AG$2:AG507),$AG$2:$AG$1001,0),1)&gt;=100000,INDEX($AN$1005:$BO$1005,1,MATCH(COLUMNS($AN$1006:AY1006),$AN$1006:$BO$1006,0))&gt;=100000), " ",IF(INDEX($AN$2:$BO$1001,MATCH(ROWS($AG$2:AG507),$AG$2:$AG$1001,0),MATCH(COLUMNS($AN$1006:AY1006),$AN$1006:$BO$1006,0)), HYPERLINK("#",""), HYPERLINK(CONCATENATE("#Metadata!", ADDRESS(INDEX($AI$2:$AI$1001,MATCH(ROWS($AG$2:AG507),$AG$2:$AG$1001,0),0), INDEX($AN$1004:$BO$1004,1,MATCH(COLUMNS($AN$1006:AY1006),$AN$1006:$BO$1006,0)))),"Fix")))</f>
        <v>0</v>
      </c>
      <c r="N507" s="4">
        <f>IF(OR(INDEX($AH$2:$AH$1001,MATCH(ROWS($AG$2:AG507),$AG$2:$AG$1001,0),1)&gt;=100000,INDEX($AN$1005:$BO$1005,1,MATCH(COLUMNS($AN$1006:AZ1006),$AN$1006:$BO$1006,0))&gt;=100000), " ",IF(INDEX($AN$2:$BO$1001,MATCH(ROWS($AG$2:AG507),$AG$2:$AG$1001,0),MATCH(COLUMNS($AN$1006:AZ1006),$AN$1006:$BO$1006,0)), HYPERLINK("#",""), HYPERLINK(CONCATENATE("#Metadata!", ADDRESS(INDEX($AI$2:$AI$1001,MATCH(ROWS($AG$2:AG507),$AG$2:$AG$1001,0),0), INDEX($AN$1004:$BO$1004,1,MATCH(COLUMNS($AN$1006:AZ1006),$AN$1006:$BO$1006,0)))),"Fix")))</f>
        <v>0</v>
      </c>
      <c r="O507" s="4">
        <f>IF(OR(INDEX($AH$2:$AH$1001,MATCH(ROWS($AG$2:AG507),$AG$2:$AG$1001,0),1)&gt;=100000,INDEX($AN$1005:$BO$1005,1,MATCH(COLUMNS($AN$1006:BA1006),$AN$1006:$BO$1006,0))&gt;=100000), " ",IF(INDEX($AN$2:$BO$1001,MATCH(ROWS($AG$2:AG507),$AG$2:$AG$1001,0),MATCH(COLUMNS($AN$1006:BA1006),$AN$1006:$BO$1006,0)), HYPERLINK("#",""), HYPERLINK(CONCATENATE("#Metadata!", ADDRESS(INDEX($AI$2:$AI$1001,MATCH(ROWS($AG$2:AG507),$AG$2:$AG$1001,0),0), INDEX($AN$1004:$BO$1004,1,MATCH(COLUMNS($AN$1006:BA1006),$AN$1006:$BO$1006,0)))),"Fix")))</f>
        <v>0</v>
      </c>
      <c r="P507" s="4">
        <f>IF(OR(INDEX($AH$2:$AH$1001,MATCH(ROWS($AG$2:AG507),$AG$2:$AG$1001,0),1)&gt;=100000,INDEX($AN$1005:$BO$1005,1,MATCH(COLUMNS($AN$1006:BB1006),$AN$1006:$BO$1006,0))&gt;=100000), " ",IF(INDEX($AN$2:$BO$1001,MATCH(ROWS($AG$2:AG507),$AG$2:$AG$1001,0),MATCH(COLUMNS($AN$1006:BB1006),$AN$1006:$BO$1006,0)), HYPERLINK("#",""), HYPERLINK(CONCATENATE("#Metadata!", ADDRESS(INDEX($AI$2:$AI$1001,MATCH(ROWS($AG$2:AG507),$AG$2:$AG$1001,0),0), INDEX($AN$1004:$BO$1004,1,MATCH(COLUMNS($AN$1006:BB1006),$AN$1006:$BO$1006,0)))),"Fix")))</f>
        <v>0</v>
      </c>
      <c r="Q507" s="4">
        <f>IF(OR(INDEX($AH$2:$AH$1001,MATCH(ROWS($AG$2:AG507),$AG$2:$AG$1001,0),1)&gt;=100000,INDEX($AN$1005:$BO$1005,1,MATCH(COLUMNS($AN$1006:BC1006),$AN$1006:$BO$1006,0))&gt;=100000), " ",IF(INDEX($AN$2:$BO$1001,MATCH(ROWS($AG$2:AG507),$AG$2:$AG$1001,0),MATCH(COLUMNS($AN$1006:BC1006),$AN$1006:$BO$1006,0)), HYPERLINK("#",""), HYPERLINK(CONCATENATE("#Metadata!", ADDRESS(INDEX($AI$2:$AI$1001,MATCH(ROWS($AG$2:AG507),$AG$2:$AG$1001,0),0), INDEX($AN$1004:$BO$1004,1,MATCH(COLUMNS($AN$1006:BC1006),$AN$1006:$BO$1006,0)))),"Fix")))</f>
        <v>0</v>
      </c>
      <c r="R507" s="4">
        <f>IF(OR(INDEX($AH$2:$AH$1001,MATCH(ROWS($AG$2:AG507),$AG$2:$AG$1001,0),1)&gt;=100000,INDEX($AN$1005:$BO$1005,1,MATCH(COLUMNS($AN$1006:BD1006),$AN$1006:$BO$1006,0))&gt;=100000), " ",IF(INDEX($AN$2:$BO$1001,MATCH(ROWS($AG$2:AG507),$AG$2:$AG$1001,0),MATCH(COLUMNS($AN$1006:BD1006),$AN$1006:$BO$1006,0)), HYPERLINK("#",""), HYPERLINK(CONCATENATE("#Metadata!", ADDRESS(INDEX($AI$2:$AI$1001,MATCH(ROWS($AG$2:AG507),$AG$2:$AG$1001,0),0), INDEX($AN$1004:$BO$1004,1,MATCH(COLUMNS($AN$1006:BD1006),$AN$1006:$BO$1006,0)))),"Fix")))</f>
        <v>0</v>
      </c>
      <c r="S507" s="4">
        <f>IF(OR(INDEX($AH$2:$AH$1001,MATCH(ROWS($AG$2:AG507),$AG$2:$AG$1001,0),1)&gt;=100000,INDEX($AN$1005:$BO$1005,1,MATCH(COLUMNS($AN$1006:BE1006),$AN$1006:$BO$1006,0))&gt;=100000), " ",IF(INDEX($AN$2:$BO$1001,MATCH(ROWS($AG$2:AG507),$AG$2:$AG$1001,0),MATCH(COLUMNS($AN$1006:BE1006),$AN$1006:$BO$1006,0)), HYPERLINK("#",""), HYPERLINK(CONCATENATE("#Metadata!", ADDRESS(INDEX($AI$2:$AI$1001,MATCH(ROWS($AG$2:AG507),$AG$2:$AG$1001,0),0), INDEX($AN$1004:$BO$1004,1,MATCH(COLUMNS($AN$1006:BE1006),$AN$1006:$BO$1006,0)))),"Fix")))</f>
        <v>0</v>
      </c>
      <c r="T507" s="4">
        <f>IF(OR(INDEX($AH$2:$AH$1001,MATCH(ROWS($AG$2:AG507),$AG$2:$AG$1001,0),1)&gt;=100000,INDEX($AN$1005:$BO$1005,1,MATCH(COLUMNS($AN$1006:BF1006),$AN$1006:$BO$1006,0))&gt;=100000), " ",IF(INDEX($AN$2:$BO$1001,MATCH(ROWS($AG$2:AG507),$AG$2:$AG$1001,0),MATCH(COLUMNS($AN$1006:BF1006),$AN$1006:$BO$1006,0)), HYPERLINK("#",""), HYPERLINK(CONCATENATE("#Metadata!", ADDRESS(INDEX($AI$2:$AI$1001,MATCH(ROWS($AG$2:AG507),$AG$2:$AG$1001,0),0), INDEX($AN$1004:$BO$1004,1,MATCH(COLUMNS($AN$1006:BF1006),$AN$1006:$BO$1006,0)))),"Fix")))</f>
        <v>0</v>
      </c>
      <c r="U507" s="4">
        <f>IF(OR(INDEX($AH$2:$AH$1001,MATCH(ROWS($AG$2:AG507),$AG$2:$AG$1001,0),1)&gt;=100000,INDEX($AN$1005:$BO$1005,1,MATCH(COLUMNS($AN$1006:BG1006),$AN$1006:$BO$1006,0))&gt;=100000), " ",IF(INDEX($AN$2:$BO$1001,MATCH(ROWS($AG$2:AG507),$AG$2:$AG$1001,0),MATCH(COLUMNS($AN$1006:BG1006),$AN$1006:$BO$1006,0)), HYPERLINK("#",""), HYPERLINK(CONCATENATE("#Metadata!", ADDRESS(INDEX($AI$2:$AI$1001,MATCH(ROWS($AG$2:AG507),$AG$2:$AG$1001,0),0), INDEX($AN$1004:$BO$1004,1,MATCH(COLUMNS($AN$1006:BG1006),$AN$1006:$BO$1006,0)))),"Fix")))</f>
        <v>0</v>
      </c>
      <c r="V507" s="4">
        <f>IF(OR(INDEX($AH$2:$AH$1001,MATCH(ROWS($AG$2:AG507),$AG$2:$AG$1001,0),1)&gt;=100000,INDEX($AN$1005:$BO$1005,1,MATCH(COLUMNS($AN$1006:BH1006),$AN$1006:$BO$1006,0))&gt;=100000), " ",IF(INDEX($AN$2:$BO$1001,MATCH(ROWS($AG$2:AG507),$AG$2:$AG$1001,0),MATCH(COLUMNS($AN$1006:BH1006),$AN$1006:$BO$1006,0)), HYPERLINK("#",""), HYPERLINK(CONCATENATE("#Metadata!", ADDRESS(INDEX($AI$2:$AI$1001,MATCH(ROWS($AG$2:AG507),$AG$2:$AG$1001,0),0), INDEX($AN$1004:$BO$1004,1,MATCH(COLUMNS($AN$1006:BH1006),$AN$1006:$BO$1006,0)))),"Fix")))</f>
        <v>0</v>
      </c>
      <c r="W507" s="4">
        <f>IF(OR(INDEX($AH$2:$AH$1001,MATCH(ROWS($AG$2:AG507),$AG$2:$AG$1001,0),1)&gt;=100000,INDEX($AN$1005:$BO$1005,1,MATCH(COLUMNS($AN$1006:BI1006),$AN$1006:$BO$1006,0))&gt;=100000), " ",IF(INDEX($AN$2:$BO$1001,MATCH(ROWS($AG$2:AG507),$AG$2:$AG$1001,0),MATCH(COLUMNS($AN$1006:BI1006),$AN$1006:$BO$1006,0)), HYPERLINK("#",""), HYPERLINK(CONCATENATE("#Metadata!", ADDRESS(INDEX($AI$2:$AI$1001,MATCH(ROWS($AG$2:AG507),$AG$2:$AG$1001,0),0), INDEX($AN$1004:$BO$1004,1,MATCH(COLUMNS($AN$1006:BI1006),$AN$1006:$BO$1006,0)))),"Fix")))</f>
        <v>0</v>
      </c>
      <c r="X507" s="4">
        <f>IF(OR(INDEX($AH$2:$AH$1001,MATCH(ROWS($AG$2:AG507),$AG$2:$AG$1001,0),1)&gt;=100000,INDEX($AN$1005:$BO$1005,1,MATCH(COLUMNS($AN$1006:BJ1006),$AN$1006:$BO$1006,0))&gt;=100000), " ",IF(INDEX($AN$2:$BO$1001,MATCH(ROWS($AG$2:AG507),$AG$2:$AG$1001,0),MATCH(COLUMNS($AN$1006:BJ1006),$AN$1006:$BO$1006,0)), HYPERLINK("#",""), HYPERLINK(CONCATENATE("#Metadata!", ADDRESS(INDEX($AI$2:$AI$1001,MATCH(ROWS($AG$2:AG507),$AG$2:$AG$1001,0),0), INDEX($AN$1004:$BO$1004,1,MATCH(COLUMNS($AN$1006:BJ1006),$AN$1006:$BO$1006,0)))),"Fix")))</f>
        <v>0</v>
      </c>
      <c r="Y507" s="4">
        <f>IF(OR(INDEX($AH$2:$AH$1001,MATCH(ROWS($AG$2:AG507),$AG$2:$AG$1001,0),1)&gt;=100000,INDEX($AN$1005:$BO$1005,1,MATCH(COLUMNS($AN$1006:BK1006),$AN$1006:$BO$1006,0))&gt;=100000), " ",IF(INDEX($AN$2:$BO$1001,MATCH(ROWS($AG$2:AG507),$AG$2:$AG$1001,0),MATCH(COLUMNS($AN$1006:BK1006),$AN$1006:$BO$1006,0)), HYPERLINK("#",""), HYPERLINK(CONCATENATE("#Metadata!", ADDRESS(INDEX($AI$2:$AI$1001,MATCH(ROWS($AG$2:AG507),$AG$2:$AG$1001,0),0), INDEX($AN$1004:$BO$1004,1,MATCH(COLUMNS($AN$1006:BK1006),$AN$1006:$BO$1006,0)))),"Fix")))</f>
        <v>0</v>
      </c>
      <c r="Z507" s="4">
        <f>IF(OR(INDEX($AH$2:$AH$1001,MATCH(ROWS($AG$2:AG507),$AG$2:$AG$1001,0),1)&gt;=100000,INDEX($AN$1005:$BO$1005,1,MATCH(COLUMNS($AN$1006:BL1006),$AN$1006:$BO$1006,0))&gt;=100000), " ",IF(INDEX($AN$2:$BO$1001,MATCH(ROWS($AG$2:AG507),$AG$2:$AG$1001,0),MATCH(COLUMNS($AN$1006:BL1006),$AN$1006:$BO$1006,0)), HYPERLINK("#",""), HYPERLINK(CONCATENATE("#Metadata!", ADDRESS(INDEX($AI$2:$AI$1001,MATCH(ROWS($AG$2:AG507),$AG$2:$AG$1001,0),0), INDEX($AN$1004:$BO$1004,1,MATCH(COLUMNS($AN$1006:BL1006),$AN$1006:$BO$1006,0)))),"Fix")))</f>
        <v>0</v>
      </c>
      <c r="AA507" s="4">
        <f>IF(OR(INDEX($AH$2:$AH$1001,MATCH(ROWS($AG$2:AG507),$AG$2:$AG$1001,0),1)&gt;=100000,INDEX($AN$1005:$BO$1005,1,MATCH(COLUMNS($AN$1006:BM1006),$AN$1006:$BO$1006,0))&gt;=100000), " ",IF(INDEX($AN$2:$BO$1001,MATCH(ROWS($AG$2:AG507),$AG$2:$AG$1001,0),MATCH(COLUMNS($AN$1006:BM1006),$AN$1006:$BO$1006,0)), HYPERLINK("#",""), HYPERLINK(CONCATENATE("#Metadata!", ADDRESS(INDEX($AI$2:$AI$1001,MATCH(ROWS($AG$2:AG507),$AG$2:$AG$1001,0),0), INDEX($AN$1004:$BO$1004,1,MATCH(COLUMNS($AN$1006:BM1006),$AN$1006:$BO$1006,0)))),"Fix")))</f>
        <v>0</v>
      </c>
      <c r="AB507" s="4">
        <f>IF(OR(INDEX($AH$2:$AH$1001,MATCH(ROWS($AG$2:AG507),$AG$2:$AG$1001,0),1)&gt;=100000,INDEX($AN$1005:$BO$1005,1,MATCH(COLUMNS($AN$1006:BN1006),$AN$1006:$BO$1006,0))&gt;=100000), " ",IF(INDEX($AN$2:$BO$1001,MATCH(ROWS($AG$2:AG507),$AG$2:$AG$1001,0),MATCH(COLUMNS($AN$1006:BN1006),$AN$1006:$BO$1006,0)), HYPERLINK("#",""), HYPERLINK(CONCATENATE("#Metadata!", ADDRESS(INDEX($AI$2:$AI$1001,MATCH(ROWS($AG$2:AG507),$AG$2:$AG$1001,0),0), INDEX($AN$1004:$BO$1004,1,MATCH(COLUMNS($AN$1006:BN1006),$AN$1006:$BO$1006,0)))),"Fix")))</f>
        <v>0</v>
      </c>
      <c r="AC507" s="4">
        <f>IF(OR(INDEX($AH$2:$AH$1001,MATCH(ROWS($AG$2:AG507),$AG$2:$AG$1001,0),1)&gt;=100000,INDEX($AN$1005:$BO$1005,1,MATCH(COLUMNS($AN$1006:BO1006),$AN$1006:$BO$1006,0))&gt;=100000), " ",IF(INDEX($AN$2:$BO$1001,MATCH(ROWS($AG$2:AG507),$AG$2:$AG$1001,0),MATCH(COLUMNS($AN$1006:BO1006),$AN$1006:$BO$1006,0)), HYPERLINK("#",""), HYPERLINK(CONCATENATE("#Metadata!", ADDRESS(INDEX($AI$2:$AI$1001,MATCH(ROWS($AG$2:AG507),$AG$2:$AG$1001,0),0), INDEX($AN$1004:$BO$1004,1,MATCH(COLUMNS($AN$1006:BO1006),$AN$1006:$BO$1006,0)))),"Fix")))</f>
        <v>0</v>
      </c>
      <c r="AG507">
        <v>0</v>
      </c>
      <c r="AH507">
        <v>0</v>
      </c>
      <c r="AI507">
        <v>0</v>
      </c>
      <c r="AJ507">
        <f>IF(AK507,TRUE,AND(AN507:BO507))</f>
        <v>0</v>
      </c>
      <c r="AK507">
        <f>COUNTBLANK(Metadata!B507:AC507)=COLUMNS(Metadata!B507:AC507)</f>
        <v>0</v>
      </c>
      <c r="AL507">
        <v>0</v>
      </c>
      <c r="AN507">
        <f>AND(IF(Metadata!B507="",FALSE,TRUE),COUNTIF(Metadata!B:B, Metadata!B507) = 1,NOT(ISERROR(SUMPRODUCT(SEARCH(MID(Metadata!B507,ROW(INDIRECT("1:"&amp;LEN(Metadata!B507))), 1),"0123456789abcdefghijklmnopqrstuvwxyzABCDEFGHIJKLMNOPQRSTUVWXYZ.")))))</f>
        <v>0</v>
      </c>
      <c r="AO507">
        <f>IF(Metadata!C507="",FALSE,TRUE)</f>
        <v>0</v>
      </c>
      <c r="AP507">
        <f>IF(Metadata!D507="",FALSE,TRUE)</f>
        <v>0</v>
      </c>
      <c r="AQ507">
        <f>OR(AND(IF(Metadata!E507="",FALSE,TRUE),OR(exact(Metadata!E507,"not collected"),exact(Metadata!E507,"not provided"),exact(Metadata!E507,"restricted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R507">
        <f>IF(Metadata!F507="",FALSE,TRUE)</f>
        <v>0</v>
      </c>
      <c r="AS507">
        <f>OR(AND(IF(Metadata!G507="",FALSE,TRUE),OR(exact(Metadata!G507,"not collected"),exact(Metadata!G507,"not provided"))),AND(IF(Metadata!G507="",FALSE,TRUE),OR(exact(Metadata!G507,"TRUE"),exact(Metadata!G507,"FALSE"))))</f>
        <v>0</v>
      </c>
      <c r="AT507">
        <f>OR(AND(IF(Metadata!H507="",FALSE,TRUE),OR(exact(Metadata!H507,"not collected"),exact(Metadata!H507,"not provided"),exact(Metadata!H507,"restricted access"))),AND(IF(Metadata!H507="",FALSE,ISNUMBER(VALUE(Metadata!H507))),Metadata!H507&gt;=-413.0))</f>
        <v>0</v>
      </c>
      <c r="AU507">
        <f>AND(IF(Metadata!I507="",FALSE,TRUE),exact(Metadata!I507,"meters"))</f>
        <v>0</v>
      </c>
      <c r="AV507">
        <f>AND(IF(Metadata!J507="",FALSE,TRUE),OR(exact(Metadata!J507,"Host-associated"),exact(Metadata!J507,"Free-living")))</f>
        <v>0</v>
      </c>
      <c r="AW507">
        <f>AND(IF(Metadata!K507="",FALSE,TRUE),OR(exact(Metadata!K507,"Animal"),exact(Metadata!K507,"Fungus"),exact(Metadata!K507,"Plant"),exact(Metadata!K507,"Saline"),exact(Metadata!K507,"Non-saline")))</f>
        <v>0</v>
      </c>
      <c r="AX507">
        <f>AND(IF(Metadata!L507="",FALSE,TRUE),OR(exact(Metadata!L507,"Plant secretion"),exact(Metadata!L507,"Plant rhizosphere"),exact(Metadata!L507,"Plant surface"),exact(Metadata!L507,"Plant corpus"),exact(Metadata!L507,"Fungus surface"),exact(Metadata!L507,"Fungus corpus"),exact(Metadata!L507,"Animal surface"),exact(Metadata!L507,"Animal proximal gut"),exact(Metadata!L507,"Animal corpus"),exact(Metadata!L507,"Animal distal gut"),exact(Metadata!L507,"Animal secretion"),exact(Metadata!L507,"Sub-surface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Y507">
        <f>IF(Metadata!M507="",FALSE,TRUE)</f>
        <v>0</v>
      </c>
      <c r="AZ507">
        <f>IF(Metadata!N507="",FALSE,TRUE)</f>
        <v>0</v>
      </c>
      <c r="BA507">
        <f>IF(Metadata!O507="",FALSE,TRUE)</f>
        <v>0</v>
      </c>
      <c r="BB507">
        <f>OR(AND(IF(Metadata!P507="",FALSE,TRUE),OR(exact(Metadata!P507,"not collected"),exact(Metadata!P507,"not provided"),exact(Metadata!P507,"restricted access"))),AND(IF(Metadata!P507="",FALSE,TRUE),OR(exact(Metadata!P507,"air"),exact(Metadata!P507,"built environment"),exact(Metadata!P507,"host-associated"),exact(Metadata!P507,"human-associated"),exact(Metadata!P507,"human-skin"),exact(Metadata!P507,"human-oral"),exact(Metadata!P507,"human-gut"),exact(Metadata!P507,"human-vaginal"),exact(Metadata!P507,"microbial mat/biofilm"),exact(Metadata!P507,"misc environment"),exact(Metadata!P507,"plant-associated"),exact(Metadata!P507,"sediment"),exact(Metadata!P507,"soil"),exact(Metadata!P507,"wastewater/sludge"),exact(Metadata!P507,"water"))))</f>
        <v>0</v>
      </c>
      <c r="BC507">
        <f>IF(Metadata!Q507="",FALSE,TRUE)</f>
        <v>0</v>
      </c>
      <c r="BD507">
        <f>IF(Metadata!R507="",FALSE,TRUE)</f>
        <v>0</v>
      </c>
      <c r="BE507">
        <f>OR(AND(IF(Metadata!S507="",FALSE,TRUE),OR(exact(Metadata!S507,"not collected"),exact(Metadata!S507,"not provided"),exact(Metadata!S507,"restricted access"))),AND(IF(Metadata!S507="",FALSE,ISNUMBER(VALUE(Metadata!S507))),Metadata!S507&gt;=-90.00,Metadata!S507&lt;=90.00))</f>
        <v>0</v>
      </c>
      <c r="BF507">
        <f>AND(IF(Metadata!T507="",FALSE,TRUE),exact(Metadata!T507,"Decimal degrees"))</f>
        <v>0</v>
      </c>
      <c r="BG507">
        <f>OR(AND(IF(Metadata!U507="",FALSE,TRUE),OR(exact(Metadata!U507,"not collected"),exact(Metadata!U507,"not provided"),exact(Metadata!U507,"restricted access"))),AND(IF(Metadata!U507="",FALSE,ISNUMBER(VALUE(Metadata!U507))),Metadata!U507&gt;=-180.00,Metadata!U507&lt;=180.00))</f>
        <v>0</v>
      </c>
      <c r="BH507">
        <f>AND(IF(Metadata!V507="",FALSE,TRUE),exact(Metadata!V507,"Decimal degrees"))</f>
        <v>0</v>
      </c>
      <c r="BI507">
        <f>IF(Metadata!W507="",FALSE,TRUE)</f>
        <v>0</v>
      </c>
      <c r="BJ507">
        <f>OR(AND(IF(Metadata!X507="",FALSE,TRUE),OR(exact(Metadata!X507,"not collected"),exact(Metadata!X507,"not provided"),exact(Metadata!X507,"restricted access"))),AND(IF(Metadata!X507="",FALSE,TRUE),OR(exact(Metadata!X507,"TRUE"),exact(Metadata!X507,"FALSE"))))</f>
        <v>0</v>
      </c>
      <c r="BK507">
        <f>AND(IF(Metadata!Y507="",FALSE,TRUE),exact(Metadata!Y507,"other"))</f>
        <v>0</v>
      </c>
      <c r="BL507">
        <f>IF(Metadata!Z507="",FALSE,TRUE)</f>
        <v>0</v>
      </c>
      <c r="BM507">
        <f>OR(AND(IF(Metadata!AA507="",FALSE,TRUE),OR(exact(Metadata!AA507,"not collected"),exact(Metadata!AA507,"not provided"))),AND(IF(Metadata!AA507="",FALSE,IF(ISERROR(INT(Metadata!AA507)),FALSE,INT(Metadata!AA507)=Metadata!AA507)),Metadata!AA507&gt;0))</f>
        <v>0</v>
      </c>
      <c r="BN507">
        <f>AND(IF(Metadata!AB507="",FALSE,TRUE),exact(Metadata!AB507,"Not applicable"))</f>
        <v>0</v>
      </c>
      <c r="BO507">
        <f>IF(Metadata!AC507="",FALSE,TRUE)</f>
        <v>0</v>
      </c>
    </row>
    <row r="508" spans="1:67">
      <c r="A508" s="5">
        <f>IF(B508=" "," ",HYPERLINK(CONCATENATE("#metadata!",ADDRESS(INDEX($AI$2:$AI$1001,MATCH(ROWS($AG$2:AG508),$AG$2:$AG$1001,0),0),1)),INDEX($AL$2:$AL$1001,MATCH(ROWS($AG$2:AG508),$AG$2:$AG$1001,0),0)))</f>
        <v>0</v>
      </c>
      <c r="B508" s="4">
        <f>IF(OR(INDEX($AH$2:$AH$1001,MATCH(ROWS($AG$2:AG508),$AG$2:$AG$1001,0),1)&gt;=100000,INDEX($AN$1005:$BO$1005,1,MATCH(COLUMNS($AN$1006:AN1006),$AN$1006:$BO$1006,0))&gt;=100000), " ",IF(INDEX($AN$2:$BO$1001,MATCH(ROWS($AG$2:AG508),$AG$2:$AG$1001,0),MATCH(COLUMNS($AN$1006:AN1006),$AN$1006:$BO$1006,0)), HYPERLINK("#",""), HYPERLINK(CONCATENATE("#Metadata!", ADDRESS(INDEX($AI$2:$AI$1001,MATCH(ROWS($AG$2:AG508),$AG$2:$AG$1001,0),0), INDEX($AN$1004:$BO$1004,1,MATCH(COLUMNS($AN$1006:AN1006),$AN$1006:$BO$1006,0)))),"Fix")))</f>
        <v>0</v>
      </c>
      <c r="C508" s="4">
        <f>IF(OR(INDEX($AH$2:$AH$1001,MATCH(ROWS($AG$2:AG508),$AG$2:$AG$1001,0),1)&gt;=100000,INDEX($AN$1005:$BO$1005,1,MATCH(COLUMNS($AN$1006:AO1006),$AN$1006:$BO$1006,0))&gt;=100000), " ",IF(INDEX($AN$2:$BO$1001,MATCH(ROWS($AG$2:AG508),$AG$2:$AG$1001,0),MATCH(COLUMNS($AN$1006:AO1006),$AN$1006:$BO$1006,0)), HYPERLINK("#",""), HYPERLINK(CONCATENATE("#Metadata!", ADDRESS(INDEX($AI$2:$AI$1001,MATCH(ROWS($AG$2:AG508),$AG$2:$AG$1001,0),0), INDEX($AN$1004:$BO$1004,1,MATCH(COLUMNS($AN$1006:AO1006),$AN$1006:$BO$1006,0)))),"Fix")))</f>
        <v>0</v>
      </c>
      <c r="D508" s="4">
        <f>IF(OR(INDEX($AH$2:$AH$1001,MATCH(ROWS($AG$2:AG508),$AG$2:$AG$1001,0),1)&gt;=100000,INDEX($AN$1005:$BO$1005,1,MATCH(COLUMNS($AN$1006:AP1006),$AN$1006:$BO$1006,0))&gt;=100000), " ",IF(INDEX($AN$2:$BO$1001,MATCH(ROWS($AG$2:AG508),$AG$2:$AG$1001,0),MATCH(COLUMNS($AN$1006:AP1006),$AN$1006:$BO$1006,0)), HYPERLINK("#",""), HYPERLINK(CONCATENATE("#Metadata!", ADDRESS(INDEX($AI$2:$AI$1001,MATCH(ROWS($AG$2:AG508),$AG$2:$AG$1001,0),0), INDEX($AN$1004:$BO$1004,1,MATCH(COLUMNS($AN$1006:AP1006),$AN$1006:$BO$1006,0)))),"Fix")))</f>
        <v>0</v>
      </c>
      <c r="E508" s="4">
        <f>IF(OR(INDEX($AH$2:$AH$1001,MATCH(ROWS($AG$2:AG508),$AG$2:$AG$1001,0),1)&gt;=100000,INDEX($AN$1005:$BO$1005,1,MATCH(COLUMNS($AN$1006:AQ1006),$AN$1006:$BO$1006,0))&gt;=100000), " ",IF(INDEX($AN$2:$BO$1001,MATCH(ROWS($AG$2:AG508),$AG$2:$AG$1001,0),MATCH(COLUMNS($AN$1006:AQ1006),$AN$1006:$BO$1006,0)), HYPERLINK("#",""), HYPERLINK(CONCATENATE("#Metadata!", ADDRESS(INDEX($AI$2:$AI$1001,MATCH(ROWS($AG$2:AG508),$AG$2:$AG$1001,0),0), INDEX($AN$1004:$BO$1004,1,MATCH(COLUMNS($AN$1006:AQ1006),$AN$1006:$BO$1006,0)))),"Fix")))</f>
        <v>0</v>
      </c>
      <c r="F508" s="4">
        <f>IF(OR(INDEX($AH$2:$AH$1001,MATCH(ROWS($AG$2:AG508),$AG$2:$AG$1001,0),1)&gt;=100000,INDEX($AN$1005:$BO$1005,1,MATCH(COLUMNS($AN$1006:AR1006),$AN$1006:$BO$1006,0))&gt;=100000), " ",IF(INDEX($AN$2:$BO$1001,MATCH(ROWS($AG$2:AG508),$AG$2:$AG$1001,0),MATCH(COLUMNS($AN$1006:AR1006),$AN$1006:$BO$1006,0)), HYPERLINK("#",""), HYPERLINK(CONCATENATE("#Metadata!", ADDRESS(INDEX($AI$2:$AI$1001,MATCH(ROWS($AG$2:AG508),$AG$2:$AG$1001,0),0), INDEX($AN$1004:$BO$1004,1,MATCH(COLUMNS($AN$1006:AR1006),$AN$1006:$BO$1006,0)))),"Fix")))</f>
        <v>0</v>
      </c>
      <c r="G508" s="4">
        <f>IF(OR(INDEX($AH$2:$AH$1001,MATCH(ROWS($AG$2:AG508),$AG$2:$AG$1001,0),1)&gt;=100000,INDEX($AN$1005:$BO$1005,1,MATCH(COLUMNS($AN$1006:AS1006),$AN$1006:$BO$1006,0))&gt;=100000), " ",IF(INDEX($AN$2:$BO$1001,MATCH(ROWS($AG$2:AG508),$AG$2:$AG$1001,0),MATCH(COLUMNS($AN$1006:AS1006),$AN$1006:$BO$1006,0)), HYPERLINK("#",""), HYPERLINK(CONCATENATE("#Metadata!", ADDRESS(INDEX($AI$2:$AI$1001,MATCH(ROWS($AG$2:AG508),$AG$2:$AG$1001,0),0), INDEX($AN$1004:$BO$1004,1,MATCH(COLUMNS($AN$1006:AS1006),$AN$1006:$BO$1006,0)))),"Fix")))</f>
        <v>0</v>
      </c>
      <c r="H508" s="4">
        <f>IF(OR(INDEX($AH$2:$AH$1001,MATCH(ROWS($AG$2:AG508),$AG$2:$AG$1001,0),1)&gt;=100000,INDEX($AN$1005:$BO$1005,1,MATCH(COLUMNS($AN$1006:AT1006),$AN$1006:$BO$1006,0))&gt;=100000), " ",IF(INDEX($AN$2:$BO$1001,MATCH(ROWS($AG$2:AG508),$AG$2:$AG$1001,0),MATCH(COLUMNS($AN$1006:AT1006),$AN$1006:$BO$1006,0)), HYPERLINK("#",""), HYPERLINK(CONCATENATE("#Metadata!", ADDRESS(INDEX($AI$2:$AI$1001,MATCH(ROWS($AG$2:AG508),$AG$2:$AG$1001,0),0), INDEX($AN$1004:$BO$1004,1,MATCH(COLUMNS($AN$1006:AT1006),$AN$1006:$BO$1006,0)))),"Fix")))</f>
        <v>0</v>
      </c>
      <c r="I508" s="4">
        <f>IF(OR(INDEX($AH$2:$AH$1001,MATCH(ROWS($AG$2:AG508),$AG$2:$AG$1001,0),1)&gt;=100000,INDEX($AN$1005:$BO$1005,1,MATCH(COLUMNS($AN$1006:AU1006),$AN$1006:$BO$1006,0))&gt;=100000), " ",IF(INDEX($AN$2:$BO$1001,MATCH(ROWS($AG$2:AG508),$AG$2:$AG$1001,0),MATCH(COLUMNS($AN$1006:AU1006),$AN$1006:$BO$1006,0)), HYPERLINK("#",""), HYPERLINK(CONCATENATE("#Metadata!", ADDRESS(INDEX($AI$2:$AI$1001,MATCH(ROWS($AG$2:AG508),$AG$2:$AG$1001,0),0), INDEX($AN$1004:$BO$1004,1,MATCH(COLUMNS($AN$1006:AU1006),$AN$1006:$BO$1006,0)))),"Fix")))</f>
        <v>0</v>
      </c>
      <c r="J508" s="4">
        <f>IF(OR(INDEX($AH$2:$AH$1001,MATCH(ROWS($AG$2:AG508),$AG$2:$AG$1001,0),1)&gt;=100000,INDEX($AN$1005:$BO$1005,1,MATCH(COLUMNS($AN$1006:AV1006),$AN$1006:$BO$1006,0))&gt;=100000), " ",IF(INDEX($AN$2:$BO$1001,MATCH(ROWS($AG$2:AG508),$AG$2:$AG$1001,0),MATCH(COLUMNS($AN$1006:AV1006),$AN$1006:$BO$1006,0)), HYPERLINK("#",""), HYPERLINK(CONCATENATE("#Metadata!", ADDRESS(INDEX($AI$2:$AI$1001,MATCH(ROWS($AG$2:AG508),$AG$2:$AG$1001,0),0), INDEX($AN$1004:$BO$1004,1,MATCH(COLUMNS($AN$1006:AV1006),$AN$1006:$BO$1006,0)))),"Fix")))</f>
        <v>0</v>
      </c>
      <c r="K508" s="4">
        <f>IF(OR(INDEX($AH$2:$AH$1001,MATCH(ROWS($AG$2:AG508),$AG$2:$AG$1001,0),1)&gt;=100000,INDEX($AN$1005:$BO$1005,1,MATCH(COLUMNS($AN$1006:AW1006),$AN$1006:$BO$1006,0))&gt;=100000), " ",IF(INDEX($AN$2:$BO$1001,MATCH(ROWS($AG$2:AG508),$AG$2:$AG$1001,0),MATCH(COLUMNS($AN$1006:AW1006),$AN$1006:$BO$1006,0)), HYPERLINK("#",""), HYPERLINK(CONCATENATE("#Metadata!", ADDRESS(INDEX($AI$2:$AI$1001,MATCH(ROWS($AG$2:AG508),$AG$2:$AG$1001,0),0), INDEX($AN$1004:$BO$1004,1,MATCH(COLUMNS($AN$1006:AW1006),$AN$1006:$BO$1006,0)))),"Fix")))</f>
        <v>0</v>
      </c>
      <c r="L508" s="4">
        <f>IF(OR(INDEX($AH$2:$AH$1001,MATCH(ROWS($AG$2:AG508),$AG$2:$AG$1001,0),1)&gt;=100000,INDEX($AN$1005:$BO$1005,1,MATCH(COLUMNS($AN$1006:AX1006),$AN$1006:$BO$1006,0))&gt;=100000), " ",IF(INDEX($AN$2:$BO$1001,MATCH(ROWS($AG$2:AG508),$AG$2:$AG$1001,0),MATCH(COLUMNS($AN$1006:AX1006),$AN$1006:$BO$1006,0)), HYPERLINK("#",""), HYPERLINK(CONCATENATE("#Metadata!", ADDRESS(INDEX($AI$2:$AI$1001,MATCH(ROWS($AG$2:AG508),$AG$2:$AG$1001,0),0), INDEX($AN$1004:$BO$1004,1,MATCH(COLUMNS($AN$1006:AX1006),$AN$1006:$BO$1006,0)))),"Fix")))</f>
        <v>0</v>
      </c>
      <c r="M508" s="4">
        <f>IF(OR(INDEX($AH$2:$AH$1001,MATCH(ROWS($AG$2:AG508),$AG$2:$AG$1001,0),1)&gt;=100000,INDEX($AN$1005:$BO$1005,1,MATCH(COLUMNS($AN$1006:AY1006),$AN$1006:$BO$1006,0))&gt;=100000), " ",IF(INDEX($AN$2:$BO$1001,MATCH(ROWS($AG$2:AG508),$AG$2:$AG$1001,0),MATCH(COLUMNS($AN$1006:AY1006),$AN$1006:$BO$1006,0)), HYPERLINK("#",""), HYPERLINK(CONCATENATE("#Metadata!", ADDRESS(INDEX($AI$2:$AI$1001,MATCH(ROWS($AG$2:AG508),$AG$2:$AG$1001,0),0), INDEX($AN$1004:$BO$1004,1,MATCH(COLUMNS($AN$1006:AY1006),$AN$1006:$BO$1006,0)))),"Fix")))</f>
        <v>0</v>
      </c>
      <c r="N508" s="4">
        <f>IF(OR(INDEX($AH$2:$AH$1001,MATCH(ROWS($AG$2:AG508),$AG$2:$AG$1001,0),1)&gt;=100000,INDEX($AN$1005:$BO$1005,1,MATCH(COLUMNS($AN$1006:AZ1006),$AN$1006:$BO$1006,0))&gt;=100000), " ",IF(INDEX($AN$2:$BO$1001,MATCH(ROWS($AG$2:AG508),$AG$2:$AG$1001,0),MATCH(COLUMNS($AN$1006:AZ1006),$AN$1006:$BO$1006,0)), HYPERLINK("#",""), HYPERLINK(CONCATENATE("#Metadata!", ADDRESS(INDEX($AI$2:$AI$1001,MATCH(ROWS($AG$2:AG508),$AG$2:$AG$1001,0),0), INDEX($AN$1004:$BO$1004,1,MATCH(COLUMNS($AN$1006:AZ1006),$AN$1006:$BO$1006,0)))),"Fix")))</f>
        <v>0</v>
      </c>
      <c r="O508" s="4">
        <f>IF(OR(INDEX($AH$2:$AH$1001,MATCH(ROWS($AG$2:AG508),$AG$2:$AG$1001,0),1)&gt;=100000,INDEX($AN$1005:$BO$1005,1,MATCH(COLUMNS($AN$1006:BA1006),$AN$1006:$BO$1006,0))&gt;=100000), " ",IF(INDEX($AN$2:$BO$1001,MATCH(ROWS($AG$2:AG508),$AG$2:$AG$1001,0),MATCH(COLUMNS($AN$1006:BA1006),$AN$1006:$BO$1006,0)), HYPERLINK("#",""), HYPERLINK(CONCATENATE("#Metadata!", ADDRESS(INDEX($AI$2:$AI$1001,MATCH(ROWS($AG$2:AG508),$AG$2:$AG$1001,0),0), INDEX($AN$1004:$BO$1004,1,MATCH(COLUMNS($AN$1006:BA1006),$AN$1006:$BO$1006,0)))),"Fix")))</f>
        <v>0</v>
      </c>
      <c r="P508" s="4">
        <f>IF(OR(INDEX($AH$2:$AH$1001,MATCH(ROWS($AG$2:AG508),$AG$2:$AG$1001,0),1)&gt;=100000,INDEX($AN$1005:$BO$1005,1,MATCH(COLUMNS($AN$1006:BB1006),$AN$1006:$BO$1006,0))&gt;=100000), " ",IF(INDEX($AN$2:$BO$1001,MATCH(ROWS($AG$2:AG508),$AG$2:$AG$1001,0),MATCH(COLUMNS($AN$1006:BB1006),$AN$1006:$BO$1006,0)), HYPERLINK("#",""), HYPERLINK(CONCATENATE("#Metadata!", ADDRESS(INDEX($AI$2:$AI$1001,MATCH(ROWS($AG$2:AG508),$AG$2:$AG$1001,0),0), INDEX($AN$1004:$BO$1004,1,MATCH(COLUMNS($AN$1006:BB1006),$AN$1006:$BO$1006,0)))),"Fix")))</f>
        <v>0</v>
      </c>
      <c r="Q508" s="4">
        <f>IF(OR(INDEX($AH$2:$AH$1001,MATCH(ROWS($AG$2:AG508),$AG$2:$AG$1001,0),1)&gt;=100000,INDEX($AN$1005:$BO$1005,1,MATCH(COLUMNS($AN$1006:BC1006),$AN$1006:$BO$1006,0))&gt;=100000), " ",IF(INDEX($AN$2:$BO$1001,MATCH(ROWS($AG$2:AG508),$AG$2:$AG$1001,0),MATCH(COLUMNS($AN$1006:BC1006),$AN$1006:$BO$1006,0)), HYPERLINK("#",""), HYPERLINK(CONCATENATE("#Metadata!", ADDRESS(INDEX($AI$2:$AI$1001,MATCH(ROWS($AG$2:AG508),$AG$2:$AG$1001,0),0), INDEX($AN$1004:$BO$1004,1,MATCH(COLUMNS($AN$1006:BC1006),$AN$1006:$BO$1006,0)))),"Fix")))</f>
        <v>0</v>
      </c>
      <c r="R508" s="4">
        <f>IF(OR(INDEX($AH$2:$AH$1001,MATCH(ROWS($AG$2:AG508),$AG$2:$AG$1001,0),1)&gt;=100000,INDEX($AN$1005:$BO$1005,1,MATCH(COLUMNS($AN$1006:BD1006),$AN$1006:$BO$1006,0))&gt;=100000), " ",IF(INDEX($AN$2:$BO$1001,MATCH(ROWS($AG$2:AG508),$AG$2:$AG$1001,0),MATCH(COLUMNS($AN$1006:BD1006),$AN$1006:$BO$1006,0)), HYPERLINK("#",""), HYPERLINK(CONCATENATE("#Metadata!", ADDRESS(INDEX($AI$2:$AI$1001,MATCH(ROWS($AG$2:AG508),$AG$2:$AG$1001,0),0), INDEX($AN$1004:$BO$1004,1,MATCH(COLUMNS($AN$1006:BD1006),$AN$1006:$BO$1006,0)))),"Fix")))</f>
        <v>0</v>
      </c>
      <c r="S508" s="4">
        <f>IF(OR(INDEX($AH$2:$AH$1001,MATCH(ROWS($AG$2:AG508),$AG$2:$AG$1001,0),1)&gt;=100000,INDEX($AN$1005:$BO$1005,1,MATCH(COLUMNS($AN$1006:BE1006),$AN$1006:$BO$1006,0))&gt;=100000), " ",IF(INDEX($AN$2:$BO$1001,MATCH(ROWS($AG$2:AG508),$AG$2:$AG$1001,0),MATCH(COLUMNS($AN$1006:BE1006),$AN$1006:$BO$1006,0)), HYPERLINK("#",""), HYPERLINK(CONCATENATE("#Metadata!", ADDRESS(INDEX($AI$2:$AI$1001,MATCH(ROWS($AG$2:AG508),$AG$2:$AG$1001,0),0), INDEX($AN$1004:$BO$1004,1,MATCH(COLUMNS($AN$1006:BE1006),$AN$1006:$BO$1006,0)))),"Fix")))</f>
        <v>0</v>
      </c>
      <c r="T508" s="4">
        <f>IF(OR(INDEX($AH$2:$AH$1001,MATCH(ROWS($AG$2:AG508),$AG$2:$AG$1001,0),1)&gt;=100000,INDEX($AN$1005:$BO$1005,1,MATCH(COLUMNS($AN$1006:BF1006),$AN$1006:$BO$1006,0))&gt;=100000), " ",IF(INDEX($AN$2:$BO$1001,MATCH(ROWS($AG$2:AG508),$AG$2:$AG$1001,0),MATCH(COLUMNS($AN$1006:BF1006),$AN$1006:$BO$1006,0)), HYPERLINK("#",""), HYPERLINK(CONCATENATE("#Metadata!", ADDRESS(INDEX($AI$2:$AI$1001,MATCH(ROWS($AG$2:AG508),$AG$2:$AG$1001,0),0), INDEX($AN$1004:$BO$1004,1,MATCH(COLUMNS($AN$1006:BF1006),$AN$1006:$BO$1006,0)))),"Fix")))</f>
        <v>0</v>
      </c>
      <c r="U508" s="4">
        <f>IF(OR(INDEX($AH$2:$AH$1001,MATCH(ROWS($AG$2:AG508),$AG$2:$AG$1001,0),1)&gt;=100000,INDEX($AN$1005:$BO$1005,1,MATCH(COLUMNS($AN$1006:BG1006),$AN$1006:$BO$1006,0))&gt;=100000), " ",IF(INDEX($AN$2:$BO$1001,MATCH(ROWS($AG$2:AG508),$AG$2:$AG$1001,0),MATCH(COLUMNS($AN$1006:BG1006),$AN$1006:$BO$1006,0)), HYPERLINK("#",""), HYPERLINK(CONCATENATE("#Metadata!", ADDRESS(INDEX($AI$2:$AI$1001,MATCH(ROWS($AG$2:AG508),$AG$2:$AG$1001,0),0), INDEX($AN$1004:$BO$1004,1,MATCH(COLUMNS($AN$1006:BG1006),$AN$1006:$BO$1006,0)))),"Fix")))</f>
        <v>0</v>
      </c>
      <c r="V508" s="4">
        <f>IF(OR(INDEX($AH$2:$AH$1001,MATCH(ROWS($AG$2:AG508),$AG$2:$AG$1001,0),1)&gt;=100000,INDEX($AN$1005:$BO$1005,1,MATCH(COLUMNS($AN$1006:BH1006),$AN$1006:$BO$1006,0))&gt;=100000), " ",IF(INDEX($AN$2:$BO$1001,MATCH(ROWS($AG$2:AG508),$AG$2:$AG$1001,0),MATCH(COLUMNS($AN$1006:BH1006),$AN$1006:$BO$1006,0)), HYPERLINK("#",""), HYPERLINK(CONCATENATE("#Metadata!", ADDRESS(INDEX($AI$2:$AI$1001,MATCH(ROWS($AG$2:AG508),$AG$2:$AG$1001,0),0), INDEX($AN$1004:$BO$1004,1,MATCH(COLUMNS($AN$1006:BH1006),$AN$1006:$BO$1006,0)))),"Fix")))</f>
        <v>0</v>
      </c>
      <c r="W508" s="4">
        <f>IF(OR(INDEX($AH$2:$AH$1001,MATCH(ROWS($AG$2:AG508),$AG$2:$AG$1001,0),1)&gt;=100000,INDEX($AN$1005:$BO$1005,1,MATCH(COLUMNS($AN$1006:BI1006),$AN$1006:$BO$1006,0))&gt;=100000), " ",IF(INDEX($AN$2:$BO$1001,MATCH(ROWS($AG$2:AG508),$AG$2:$AG$1001,0),MATCH(COLUMNS($AN$1006:BI1006),$AN$1006:$BO$1006,0)), HYPERLINK("#",""), HYPERLINK(CONCATENATE("#Metadata!", ADDRESS(INDEX($AI$2:$AI$1001,MATCH(ROWS($AG$2:AG508),$AG$2:$AG$1001,0),0), INDEX($AN$1004:$BO$1004,1,MATCH(COLUMNS($AN$1006:BI1006),$AN$1006:$BO$1006,0)))),"Fix")))</f>
        <v>0</v>
      </c>
      <c r="X508" s="4">
        <f>IF(OR(INDEX($AH$2:$AH$1001,MATCH(ROWS($AG$2:AG508),$AG$2:$AG$1001,0),1)&gt;=100000,INDEX($AN$1005:$BO$1005,1,MATCH(COLUMNS($AN$1006:BJ1006),$AN$1006:$BO$1006,0))&gt;=100000), " ",IF(INDEX($AN$2:$BO$1001,MATCH(ROWS($AG$2:AG508),$AG$2:$AG$1001,0),MATCH(COLUMNS($AN$1006:BJ1006),$AN$1006:$BO$1006,0)), HYPERLINK("#",""), HYPERLINK(CONCATENATE("#Metadata!", ADDRESS(INDEX($AI$2:$AI$1001,MATCH(ROWS($AG$2:AG508),$AG$2:$AG$1001,0),0), INDEX($AN$1004:$BO$1004,1,MATCH(COLUMNS($AN$1006:BJ1006),$AN$1006:$BO$1006,0)))),"Fix")))</f>
        <v>0</v>
      </c>
      <c r="Y508" s="4">
        <f>IF(OR(INDEX($AH$2:$AH$1001,MATCH(ROWS($AG$2:AG508),$AG$2:$AG$1001,0),1)&gt;=100000,INDEX($AN$1005:$BO$1005,1,MATCH(COLUMNS($AN$1006:BK1006),$AN$1006:$BO$1006,0))&gt;=100000), " ",IF(INDEX($AN$2:$BO$1001,MATCH(ROWS($AG$2:AG508),$AG$2:$AG$1001,0),MATCH(COLUMNS($AN$1006:BK1006),$AN$1006:$BO$1006,0)), HYPERLINK("#",""), HYPERLINK(CONCATENATE("#Metadata!", ADDRESS(INDEX($AI$2:$AI$1001,MATCH(ROWS($AG$2:AG508),$AG$2:$AG$1001,0),0), INDEX($AN$1004:$BO$1004,1,MATCH(COLUMNS($AN$1006:BK1006),$AN$1006:$BO$1006,0)))),"Fix")))</f>
        <v>0</v>
      </c>
      <c r="Z508" s="4">
        <f>IF(OR(INDEX($AH$2:$AH$1001,MATCH(ROWS($AG$2:AG508),$AG$2:$AG$1001,0),1)&gt;=100000,INDEX($AN$1005:$BO$1005,1,MATCH(COLUMNS($AN$1006:BL1006),$AN$1006:$BO$1006,0))&gt;=100000), " ",IF(INDEX($AN$2:$BO$1001,MATCH(ROWS($AG$2:AG508),$AG$2:$AG$1001,0),MATCH(COLUMNS($AN$1006:BL1006),$AN$1006:$BO$1006,0)), HYPERLINK("#",""), HYPERLINK(CONCATENATE("#Metadata!", ADDRESS(INDEX($AI$2:$AI$1001,MATCH(ROWS($AG$2:AG508),$AG$2:$AG$1001,0),0), INDEX($AN$1004:$BO$1004,1,MATCH(COLUMNS($AN$1006:BL1006),$AN$1006:$BO$1006,0)))),"Fix")))</f>
        <v>0</v>
      </c>
      <c r="AA508" s="4">
        <f>IF(OR(INDEX($AH$2:$AH$1001,MATCH(ROWS($AG$2:AG508),$AG$2:$AG$1001,0),1)&gt;=100000,INDEX($AN$1005:$BO$1005,1,MATCH(COLUMNS($AN$1006:BM1006),$AN$1006:$BO$1006,0))&gt;=100000), " ",IF(INDEX($AN$2:$BO$1001,MATCH(ROWS($AG$2:AG508),$AG$2:$AG$1001,0),MATCH(COLUMNS($AN$1006:BM1006),$AN$1006:$BO$1006,0)), HYPERLINK("#",""), HYPERLINK(CONCATENATE("#Metadata!", ADDRESS(INDEX($AI$2:$AI$1001,MATCH(ROWS($AG$2:AG508),$AG$2:$AG$1001,0),0), INDEX($AN$1004:$BO$1004,1,MATCH(COLUMNS($AN$1006:BM1006),$AN$1006:$BO$1006,0)))),"Fix")))</f>
        <v>0</v>
      </c>
      <c r="AB508" s="4">
        <f>IF(OR(INDEX($AH$2:$AH$1001,MATCH(ROWS($AG$2:AG508),$AG$2:$AG$1001,0),1)&gt;=100000,INDEX($AN$1005:$BO$1005,1,MATCH(COLUMNS($AN$1006:BN1006),$AN$1006:$BO$1006,0))&gt;=100000), " ",IF(INDEX($AN$2:$BO$1001,MATCH(ROWS($AG$2:AG508),$AG$2:$AG$1001,0),MATCH(COLUMNS($AN$1006:BN1006),$AN$1006:$BO$1006,0)), HYPERLINK("#",""), HYPERLINK(CONCATENATE("#Metadata!", ADDRESS(INDEX($AI$2:$AI$1001,MATCH(ROWS($AG$2:AG508),$AG$2:$AG$1001,0),0), INDEX($AN$1004:$BO$1004,1,MATCH(COLUMNS($AN$1006:BN1006),$AN$1006:$BO$1006,0)))),"Fix")))</f>
        <v>0</v>
      </c>
      <c r="AC508" s="4">
        <f>IF(OR(INDEX($AH$2:$AH$1001,MATCH(ROWS($AG$2:AG508),$AG$2:$AG$1001,0),1)&gt;=100000,INDEX($AN$1005:$BO$1005,1,MATCH(COLUMNS($AN$1006:BO1006),$AN$1006:$BO$1006,0))&gt;=100000), " ",IF(INDEX($AN$2:$BO$1001,MATCH(ROWS($AG$2:AG508),$AG$2:$AG$1001,0),MATCH(COLUMNS($AN$1006:BO1006),$AN$1006:$BO$1006,0)), HYPERLINK("#",""), HYPERLINK(CONCATENATE("#Metadata!", ADDRESS(INDEX($AI$2:$AI$1001,MATCH(ROWS($AG$2:AG508),$AG$2:$AG$1001,0),0), INDEX($AN$1004:$BO$1004,1,MATCH(COLUMNS($AN$1006:BO1006),$AN$1006:$BO$1006,0)))),"Fix")))</f>
        <v>0</v>
      </c>
      <c r="AG508">
        <v>0</v>
      </c>
      <c r="AH508">
        <v>0</v>
      </c>
      <c r="AI508">
        <v>0</v>
      </c>
      <c r="AJ508">
        <f>IF(AK508,TRUE,AND(AN508:BO508))</f>
        <v>0</v>
      </c>
      <c r="AK508">
        <f>COUNTBLANK(Metadata!B508:AC508)=COLUMNS(Metadata!B508:AC508)</f>
        <v>0</v>
      </c>
      <c r="AL508">
        <v>0</v>
      </c>
      <c r="AN508">
        <f>AND(IF(Metadata!B508="",FALSE,TRUE),COUNTIF(Metadata!B:B, Metadata!B508) = 1,NOT(ISERROR(SUMPRODUCT(SEARCH(MID(Metadata!B508,ROW(INDIRECT("1:"&amp;LEN(Metadata!B508))), 1),"0123456789abcdefghijklmnopqrstuvwxyzABCDEFGHIJKLMNOPQRSTUVWXYZ.")))))</f>
        <v>0</v>
      </c>
      <c r="AO508">
        <f>IF(Metadata!C508="",FALSE,TRUE)</f>
        <v>0</v>
      </c>
      <c r="AP508">
        <f>IF(Metadata!D508="",FALSE,TRUE)</f>
        <v>0</v>
      </c>
      <c r="AQ508">
        <f>OR(AND(IF(Metadata!E508="",FALSE,TRUE),OR(exact(Metadata!E508,"not collected"),exact(Metadata!E508,"not provided"),exact(Metadata!E508,"restricted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R508">
        <f>IF(Metadata!F508="",FALSE,TRUE)</f>
        <v>0</v>
      </c>
      <c r="AS508">
        <f>OR(AND(IF(Metadata!G508="",FALSE,TRUE),OR(exact(Metadata!G508,"not collected"),exact(Metadata!G508,"not provided"))),AND(IF(Metadata!G508="",FALSE,TRUE),OR(exact(Metadata!G508,"TRUE"),exact(Metadata!G508,"FALSE"))))</f>
        <v>0</v>
      </c>
      <c r="AT508">
        <f>OR(AND(IF(Metadata!H508="",FALSE,TRUE),OR(exact(Metadata!H508,"not collected"),exact(Metadata!H508,"not provided"),exact(Metadata!H508,"restricted access"))),AND(IF(Metadata!H508="",FALSE,ISNUMBER(VALUE(Metadata!H508))),Metadata!H508&gt;=-413.0))</f>
        <v>0</v>
      </c>
      <c r="AU508">
        <f>AND(IF(Metadata!I508="",FALSE,TRUE),exact(Metadata!I508,"meters"))</f>
        <v>0</v>
      </c>
      <c r="AV508">
        <f>AND(IF(Metadata!J508="",FALSE,TRUE),OR(exact(Metadata!J508,"Host-associated"),exact(Metadata!J508,"Free-living")))</f>
        <v>0</v>
      </c>
      <c r="AW508">
        <f>AND(IF(Metadata!K508="",FALSE,TRUE),OR(exact(Metadata!K508,"Animal"),exact(Metadata!K508,"Fungus"),exact(Metadata!K508,"Plant"),exact(Metadata!K508,"Saline"),exact(Metadata!K508,"Non-saline")))</f>
        <v>0</v>
      </c>
      <c r="AX508">
        <f>AND(IF(Metadata!L508="",FALSE,TRUE),OR(exact(Metadata!L508,"Plant secretion"),exact(Metadata!L508,"Plant rhizosphere"),exact(Metadata!L508,"Plant surface"),exact(Metadata!L508,"Plant corpus"),exact(Metadata!L508,"Fungus surface"),exact(Metadata!L508,"Fungus corpus"),exact(Metadata!L508,"Animal surface"),exact(Metadata!L508,"Animal proximal gut"),exact(Metadata!L508,"Animal corpus"),exact(Metadata!L508,"Animal distal gut"),exact(Metadata!L508,"Animal secretion"),exact(Metadata!L508,"Sub-surface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Y508">
        <f>IF(Metadata!M508="",FALSE,TRUE)</f>
        <v>0</v>
      </c>
      <c r="AZ508">
        <f>IF(Metadata!N508="",FALSE,TRUE)</f>
        <v>0</v>
      </c>
      <c r="BA508">
        <f>IF(Metadata!O508="",FALSE,TRUE)</f>
        <v>0</v>
      </c>
      <c r="BB508">
        <f>OR(AND(IF(Metadata!P508="",FALSE,TRUE),OR(exact(Metadata!P508,"not collected"),exact(Metadata!P508,"not provided"),exact(Metadata!P508,"restricted access"))),AND(IF(Metadata!P508="",FALSE,TRUE),OR(exact(Metadata!P508,"air"),exact(Metadata!P508,"built environment"),exact(Metadata!P508,"host-associated"),exact(Metadata!P508,"human-associated"),exact(Metadata!P508,"human-skin"),exact(Metadata!P508,"human-oral"),exact(Metadata!P508,"human-gut"),exact(Metadata!P508,"human-vaginal"),exact(Metadata!P508,"microbial mat/biofilm"),exact(Metadata!P508,"misc environment"),exact(Metadata!P508,"plant-associated"),exact(Metadata!P508,"sediment"),exact(Metadata!P508,"soil"),exact(Metadata!P508,"wastewater/sludge"),exact(Metadata!P508,"water"))))</f>
        <v>0</v>
      </c>
      <c r="BC508">
        <f>IF(Metadata!Q508="",FALSE,TRUE)</f>
        <v>0</v>
      </c>
      <c r="BD508">
        <f>IF(Metadata!R508="",FALSE,TRUE)</f>
        <v>0</v>
      </c>
      <c r="BE508">
        <f>OR(AND(IF(Metadata!S508="",FALSE,TRUE),OR(exact(Metadata!S508,"not collected"),exact(Metadata!S508,"not provided"),exact(Metadata!S508,"restricted access"))),AND(IF(Metadata!S508="",FALSE,ISNUMBER(VALUE(Metadata!S508))),Metadata!S508&gt;=-90.00,Metadata!S508&lt;=90.00))</f>
        <v>0</v>
      </c>
      <c r="BF508">
        <f>AND(IF(Metadata!T508="",FALSE,TRUE),exact(Metadata!T508,"Decimal degrees"))</f>
        <v>0</v>
      </c>
      <c r="BG508">
        <f>OR(AND(IF(Metadata!U508="",FALSE,TRUE),OR(exact(Metadata!U508,"not collected"),exact(Metadata!U508,"not provided"),exact(Metadata!U508,"restricted access"))),AND(IF(Metadata!U508="",FALSE,ISNUMBER(VALUE(Metadata!U508))),Metadata!U508&gt;=-180.00,Metadata!U508&lt;=180.00))</f>
        <v>0</v>
      </c>
      <c r="BH508">
        <f>AND(IF(Metadata!V508="",FALSE,TRUE),exact(Metadata!V508,"Decimal degrees"))</f>
        <v>0</v>
      </c>
      <c r="BI508">
        <f>IF(Metadata!W508="",FALSE,TRUE)</f>
        <v>0</v>
      </c>
      <c r="BJ508">
        <f>OR(AND(IF(Metadata!X508="",FALSE,TRUE),OR(exact(Metadata!X508,"not collected"),exact(Metadata!X508,"not provided"),exact(Metadata!X508,"restricted access"))),AND(IF(Metadata!X508="",FALSE,TRUE),OR(exact(Metadata!X508,"TRUE"),exact(Metadata!X508,"FALSE"))))</f>
        <v>0</v>
      </c>
      <c r="BK508">
        <f>AND(IF(Metadata!Y508="",FALSE,TRUE),exact(Metadata!Y508,"other"))</f>
        <v>0</v>
      </c>
      <c r="BL508">
        <f>IF(Metadata!Z508="",FALSE,TRUE)</f>
        <v>0</v>
      </c>
      <c r="BM508">
        <f>OR(AND(IF(Metadata!AA508="",FALSE,TRUE),OR(exact(Metadata!AA508,"not collected"),exact(Metadata!AA508,"not provided"))),AND(IF(Metadata!AA508="",FALSE,IF(ISERROR(INT(Metadata!AA508)),FALSE,INT(Metadata!AA508)=Metadata!AA508)),Metadata!AA508&gt;0))</f>
        <v>0</v>
      </c>
      <c r="BN508">
        <f>AND(IF(Metadata!AB508="",FALSE,TRUE),exact(Metadata!AB508,"Not applicable"))</f>
        <v>0</v>
      </c>
      <c r="BO508">
        <f>IF(Metadata!AC508="",FALSE,TRUE)</f>
        <v>0</v>
      </c>
    </row>
    <row r="509" spans="1:67">
      <c r="A509" s="5">
        <f>IF(B509=" "," ",HYPERLINK(CONCATENATE("#metadata!",ADDRESS(INDEX($AI$2:$AI$1001,MATCH(ROWS($AG$2:AG509),$AG$2:$AG$1001,0),0),1)),INDEX($AL$2:$AL$1001,MATCH(ROWS($AG$2:AG509),$AG$2:$AG$1001,0),0)))</f>
        <v>0</v>
      </c>
      <c r="B509" s="4">
        <f>IF(OR(INDEX($AH$2:$AH$1001,MATCH(ROWS($AG$2:AG509),$AG$2:$AG$1001,0),1)&gt;=100000,INDEX($AN$1005:$BO$1005,1,MATCH(COLUMNS($AN$1006:AN1006),$AN$1006:$BO$1006,0))&gt;=100000), " ",IF(INDEX($AN$2:$BO$1001,MATCH(ROWS($AG$2:AG509),$AG$2:$AG$1001,0),MATCH(COLUMNS($AN$1006:AN1006),$AN$1006:$BO$1006,0)), HYPERLINK("#",""), HYPERLINK(CONCATENATE("#Metadata!", ADDRESS(INDEX($AI$2:$AI$1001,MATCH(ROWS($AG$2:AG509),$AG$2:$AG$1001,0),0), INDEX($AN$1004:$BO$1004,1,MATCH(COLUMNS($AN$1006:AN1006),$AN$1006:$BO$1006,0)))),"Fix")))</f>
        <v>0</v>
      </c>
      <c r="C509" s="4">
        <f>IF(OR(INDEX($AH$2:$AH$1001,MATCH(ROWS($AG$2:AG509),$AG$2:$AG$1001,0),1)&gt;=100000,INDEX($AN$1005:$BO$1005,1,MATCH(COLUMNS($AN$1006:AO1006),$AN$1006:$BO$1006,0))&gt;=100000), " ",IF(INDEX($AN$2:$BO$1001,MATCH(ROWS($AG$2:AG509),$AG$2:$AG$1001,0),MATCH(COLUMNS($AN$1006:AO1006),$AN$1006:$BO$1006,0)), HYPERLINK("#",""), HYPERLINK(CONCATENATE("#Metadata!", ADDRESS(INDEX($AI$2:$AI$1001,MATCH(ROWS($AG$2:AG509),$AG$2:$AG$1001,0),0), INDEX($AN$1004:$BO$1004,1,MATCH(COLUMNS($AN$1006:AO1006),$AN$1006:$BO$1006,0)))),"Fix")))</f>
        <v>0</v>
      </c>
      <c r="D509" s="4">
        <f>IF(OR(INDEX($AH$2:$AH$1001,MATCH(ROWS($AG$2:AG509),$AG$2:$AG$1001,0),1)&gt;=100000,INDEX($AN$1005:$BO$1005,1,MATCH(COLUMNS($AN$1006:AP1006),$AN$1006:$BO$1006,0))&gt;=100000), " ",IF(INDEX($AN$2:$BO$1001,MATCH(ROWS($AG$2:AG509),$AG$2:$AG$1001,0),MATCH(COLUMNS($AN$1006:AP1006),$AN$1006:$BO$1006,0)), HYPERLINK("#",""), HYPERLINK(CONCATENATE("#Metadata!", ADDRESS(INDEX($AI$2:$AI$1001,MATCH(ROWS($AG$2:AG509),$AG$2:$AG$1001,0),0), INDEX($AN$1004:$BO$1004,1,MATCH(COLUMNS($AN$1006:AP1006),$AN$1006:$BO$1006,0)))),"Fix")))</f>
        <v>0</v>
      </c>
      <c r="E509" s="4">
        <f>IF(OR(INDEX($AH$2:$AH$1001,MATCH(ROWS($AG$2:AG509),$AG$2:$AG$1001,0),1)&gt;=100000,INDEX($AN$1005:$BO$1005,1,MATCH(COLUMNS($AN$1006:AQ1006),$AN$1006:$BO$1006,0))&gt;=100000), " ",IF(INDEX($AN$2:$BO$1001,MATCH(ROWS($AG$2:AG509),$AG$2:$AG$1001,0),MATCH(COLUMNS($AN$1006:AQ1006),$AN$1006:$BO$1006,0)), HYPERLINK("#",""), HYPERLINK(CONCATENATE("#Metadata!", ADDRESS(INDEX($AI$2:$AI$1001,MATCH(ROWS($AG$2:AG509),$AG$2:$AG$1001,0),0), INDEX($AN$1004:$BO$1004,1,MATCH(COLUMNS($AN$1006:AQ1006),$AN$1006:$BO$1006,0)))),"Fix")))</f>
        <v>0</v>
      </c>
      <c r="F509" s="4">
        <f>IF(OR(INDEX($AH$2:$AH$1001,MATCH(ROWS($AG$2:AG509),$AG$2:$AG$1001,0),1)&gt;=100000,INDEX($AN$1005:$BO$1005,1,MATCH(COLUMNS($AN$1006:AR1006),$AN$1006:$BO$1006,0))&gt;=100000), " ",IF(INDEX($AN$2:$BO$1001,MATCH(ROWS($AG$2:AG509),$AG$2:$AG$1001,0),MATCH(COLUMNS($AN$1006:AR1006),$AN$1006:$BO$1006,0)), HYPERLINK("#",""), HYPERLINK(CONCATENATE("#Metadata!", ADDRESS(INDEX($AI$2:$AI$1001,MATCH(ROWS($AG$2:AG509),$AG$2:$AG$1001,0),0), INDEX($AN$1004:$BO$1004,1,MATCH(COLUMNS($AN$1006:AR1006),$AN$1006:$BO$1006,0)))),"Fix")))</f>
        <v>0</v>
      </c>
      <c r="G509" s="4">
        <f>IF(OR(INDEX($AH$2:$AH$1001,MATCH(ROWS($AG$2:AG509),$AG$2:$AG$1001,0),1)&gt;=100000,INDEX($AN$1005:$BO$1005,1,MATCH(COLUMNS($AN$1006:AS1006),$AN$1006:$BO$1006,0))&gt;=100000), " ",IF(INDEX($AN$2:$BO$1001,MATCH(ROWS($AG$2:AG509),$AG$2:$AG$1001,0),MATCH(COLUMNS($AN$1006:AS1006),$AN$1006:$BO$1006,0)), HYPERLINK("#",""), HYPERLINK(CONCATENATE("#Metadata!", ADDRESS(INDEX($AI$2:$AI$1001,MATCH(ROWS($AG$2:AG509),$AG$2:$AG$1001,0),0), INDEX($AN$1004:$BO$1004,1,MATCH(COLUMNS($AN$1006:AS1006),$AN$1006:$BO$1006,0)))),"Fix")))</f>
        <v>0</v>
      </c>
      <c r="H509" s="4">
        <f>IF(OR(INDEX($AH$2:$AH$1001,MATCH(ROWS($AG$2:AG509),$AG$2:$AG$1001,0),1)&gt;=100000,INDEX($AN$1005:$BO$1005,1,MATCH(COLUMNS($AN$1006:AT1006),$AN$1006:$BO$1006,0))&gt;=100000), " ",IF(INDEX($AN$2:$BO$1001,MATCH(ROWS($AG$2:AG509),$AG$2:$AG$1001,0),MATCH(COLUMNS($AN$1006:AT1006),$AN$1006:$BO$1006,0)), HYPERLINK("#",""), HYPERLINK(CONCATENATE("#Metadata!", ADDRESS(INDEX($AI$2:$AI$1001,MATCH(ROWS($AG$2:AG509),$AG$2:$AG$1001,0),0), INDEX($AN$1004:$BO$1004,1,MATCH(COLUMNS($AN$1006:AT1006),$AN$1006:$BO$1006,0)))),"Fix")))</f>
        <v>0</v>
      </c>
      <c r="I509" s="4">
        <f>IF(OR(INDEX($AH$2:$AH$1001,MATCH(ROWS($AG$2:AG509),$AG$2:$AG$1001,0),1)&gt;=100000,INDEX($AN$1005:$BO$1005,1,MATCH(COLUMNS($AN$1006:AU1006),$AN$1006:$BO$1006,0))&gt;=100000), " ",IF(INDEX($AN$2:$BO$1001,MATCH(ROWS($AG$2:AG509),$AG$2:$AG$1001,0),MATCH(COLUMNS($AN$1006:AU1006),$AN$1006:$BO$1006,0)), HYPERLINK("#",""), HYPERLINK(CONCATENATE("#Metadata!", ADDRESS(INDEX($AI$2:$AI$1001,MATCH(ROWS($AG$2:AG509),$AG$2:$AG$1001,0),0), INDEX($AN$1004:$BO$1004,1,MATCH(COLUMNS($AN$1006:AU1006),$AN$1006:$BO$1006,0)))),"Fix")))</f>
        <v>0</v>
      </c>
      <c r="J509" s="4">
        <f>IF(OR(INDEX($AH$2:$AH$1001,MATCH(ROWS($AG$2:AG509),$AG$2:$AG$1001,0),1)&gt;=100000,INDEX($AN$1005:$BO$1005,1,MATCH(COLUMNS($AN$1006:AV1006),$AN$1006:$BO$1006,0))&gt;=100000), " ",IF(INDEX($AN$2:$BO$1001,MATCH(ROWS($AG$2:AG509),$AG$2:$AG$1001,0),MATCH(COLUMNS($AN$1006:AV1006),$AN$1006:$BO$1006,0)), HYPERLINK("#",""), HYPERLINK(CONCATENATE("#Metadata!", ADDRESS(INDEX($AI$2:$AI$1001,MATCH(ROWS($AG$2:AG509),$AG$2:$AG$1001,0),0), INDEX($AN$1004:$BO$1004,1,MATCH(COLUMNS($AN$1006:AV1006),$AN$1006:$BO$1006,0)))),"Fix")))</f>
        <v>0</v>
      </c>
      <c r="K509" s="4">
        <f>IF(OR(INDEX($AH$2:$AH$1001,MATCH(ROWS($AG$2:AG509),$AG$2:$AG$1001,0),1)&gt;=100000,INDEX($AN$1005:$BO$1005,1,MATCH(COLUMNS($AN$1006:AW1006),$AN$1006:$BO$1006,0))&gt;=100000), " ",IF(INDEX($AN$2:$BO$1001,MATCH(ROWS($AG$2:AG509),$AG$2:$AG$1001,0),MATCH(COLUMNS($AN$1006:AW1006),$AN$1006:$BO$1006,0)), HYPERLINK("#",""), HYPERLINK(CONCATENATE("#Metadata!", ADDRESS(INDEX($AI$2:$AI$1001,MATCH(ROWS($AG$2:AG509),$AG$2:$AG$1001,0),0), INDEX($AN$1004:$BO$1004,1,MATCH(COLUMNS($AN$1006:AW1006),$AN$1006:$BO$1006,0)))),"Fix")))</f>
        <v>0</v>
      </c>
      <c r="L509" s="4">
        <f>IF(OR(INDEX($AH$2:$AH$1001,MATCH(ROWS($AG$2:AG509),$AG$2:$AG$1001,0),1)&gt;=100000,INDEX($AN$1005:$BO$1005,1,MATCH(COLUMNS($AN$1006:AX1006),$AN$1006:$BO$1006,0))&gt;=100000), " ",IF(INDEX($AN$2:$BO$1001,MATCH(ROWS($AG$2:AG509),$AG$2:$AG$1001,0),MATCH(COLUMNS($AN$1006:AX1006),$AN$1006:$BO$1006,0)), HYPERLINK("#",""), HYPERLINK(CONCATENATE("#Metadata!", ADDRESS(INDEX($AI$2:$AI$1001,MATCH(ROWS($AG$2:AG509),$AG$2:$AG$1001,0),0), INDEX($AN$1004:$BO$1004,1,MATCH(COLUMNS($AN$1006:AX1006),$AN$1006:$BO$1006,0)))),"Fix")))</f>
        <v>0</v>
      </c>
      <c r="M509" s="4">
        <f>IF(OR(INDEX($AH$2:$AH$1001,MATCH(ROWS($AG$2:AG509),$AG$2:$AG$1001,0),1)&gt;=100000,INDEX($AN$1005:$BO$1005,1,MATCH(COLUMNS($AN$1006:AY1006),$AN$1006:$BO$1006,0))&gt;=100000), " ",IF(INDEX($AN$2:$BO$1001,MATCH(ROWS($AG$2:AG509),$AG$2:$AG$1001,0),MATCH(COLUMNS($AN$1006:AY1006),$AN$1006:$BO$1006,0)), HYPERLINK("#",""), HYPERLINK(CONCATENATE("#Metadata!", ADDRESS(INDEX($AI$2:$AI$1001,MATCH(ROWS($AG$2:AG509),$AG$2:$AG$1001,0),0), INDEX($AN$1004:$BO$1004,1,MATCH(COLUMNS($AN$1006:AY1006),$AN$1006:$BO$1006,0)))),"Fix")))</f>
        <v>0</v>
      </c>
      <c r="N509" s="4">
        <f>IF(OR(INDEX($AH$2:$AH$1001,MATCH(ROWS($AG$2:AG509),$AG$2:$AG$1001,0),1)&gt;=100000,INDEX($AN$1005:$BO$1005,1,MATCH(COLUMNS($AN$1006:AZ1006),$AN$1006:$BO$1006,0))&gt;=100000), " ",IF(INDEX($AN$2:$BO$1001,MATCH(ROWS($AG$2:AG509),$AG$2:$AG$1001,0),MATCH(COLUMNS($AN$1006:AZ1006),$AN$1006:$BO$1006,0)), HYPERLINK("#",""), HYPERLINK(CONCATENATE("#Metadata!", ADDRESS(INDEX($AI$2:$AI$1001,MATCH(ROWS($AG$2:AG509),$AG$2:$AG$1001,0),0), INDEX($AN$1004:$BO$1004,1,MATCH(COLUMNS($AN$1006:AZ1006),$AN$1006:$BO$1006,0)))),"Fix")))</f>
        <v>0</v>
      </c>
      <c r="O509" s="4">
        <f>IF(OR(INDEX($AH$2:$AH$1001,MATCH(ROWS($AG$2:AG509),$AG$2:$AG$1001,0),1)&gt;=100000,INDEX($AN$1005:$BO$1005,1,MATCH(COLUMNS($AN$1006:BA1006),$AN$1006:$BO$1006,0))&gt;=100000), " ",IF(INDEX($AN$2:$BO$1001,MATCH(ROWS($AG$2:AG509),$AG$2:$AG$1001,0),MATCH(COLUMNS($AN$1006:BA1006),$AN$1006:$BO$1006,0)), HYPERLINK("#",""), HYPERLINK(CONCATENATE("#Metadata!", ADDRESS(INDEX($AI$2:$AI$1001,MATCH(ROWS($AG$2:AG509),$AG$2:$AG$1001,0),0), INDEX($AN$1004:$BO$1004,1,MATCH(COLUMNS($AN$1006:BA1006),$AN$1006:$BO$1006,0)))),"Fix")))</f>
        <v>0</v>
      </c>
      <c r="P509" s="4">
        <f>IF(OR(INDEX($AH$2:$AH$1001,MATCH(ROWS($AG$2:AG509),$AG$2:$AG$1001,0),1)&gt;=100000,INDEX($AN$1005:$BO$1005,1,MATCH(COLUMNS($AN$1006:BB1006),$AN$1006:$BO$1006,0))&gt;=100000), " ",IF(INDEX($AN$2:$BO$1001,MATCH(ROWS($AG$2:AG509),$AG$2:$AG$1001,0),MATCH(COLUMNS($AN$1006:BB1006),$AN$1006:$BO$1006,0)), HYPERLINK("#",""), HYPERLINK(CONCATENATE("#Metadata!", ADDRESS(INDEX($AI$2:$AI$1001,MATCH(ROWS($AG$2:AG509),$AG$2:$AG$1001,0),0), INDEX($AN$1004:$BO$1004,1,MATCH(COLUMNS($AN$1006:BB1006),$AN$1006:$BO$1006,0)))),"Fix")))</f>
        <v>0</v>
      </c>
      <c r="Q509" s="4">
        <f>IF(OR(INDEX($AH$2:$AH$1001,MATCH(ROWS($AG$2:AG509),$AG$2:$AG$1001,0),1)&gt;=100000,INDEX($AN$1005:$BO$1005,1,MATCH(COLUMNS($AN$1006:BC1006),$AN$1006:$BO$1006,0))&gt;=100000), " ",IF(INDEX($AN$2:$BO$1001,MATCH(ROWS($AG$2:AG509),$AG$2:$AG$1001,0),MATCH(COLUMNS($AN$1006:BC1006),$AN$1006:$BO$1006,0)), HYPERLINK("#",""), HYPERLINK(CONCATENATE("#Metadata!", ADDRESS(INDEX($AI$2:$AI$1001,MATCH(ROWS($AG$2:AG509),$AG$2:$AG$1001,0),0), INDEX($AN$1004:$BO$1004,1,MATCH(COLUMNS($AN$1006:BC1006),$AN$1006:$BO$1006,0)))),"Fix")))</f>
        <v>0</v>
      </c>
      <c r="R509" s="4">
        <f>IF(OR(INDEX($AH$2:$AH$1001,MATCH(ROWS($AG$2:AG509),$AG$2:$AG$1001,0),1)&gt;=100000,INDEX($AN$1005:$BO$1005,1,MATCH(COLUMNS($AN$1006:BD1006),$AN$1006:$BO$1006,0))&gt;=100000), " ",IF(INDEX($AN$2:$BO$1001,MATCH(ROWS($AG$2:AG509),$AG$2:$AG$1001,0),MATCH(COLUMNS($AN$1006:BD1006),$AN$1006:$BO$1006,0)), HYPERLINK("#",""), HYPERLINK(CONCATENATE("#Metadata!", ADDRESS(INDEX($AI$2:$AI$1001,MATCH(ROWS($AG$2:AG509),$AG$2:$AG$1001,0),0), INDEX($AN$1004:$BO$1004,1,MATCH(COLUMNS($AN$1006:BD1006),$AN$1006:$BO$1006,0)))),"Fix")))</f>
        <v>0</v>
      </c>
      <c r="S509" s="4">
        <f>IF(OR(INDEX($AH$2:$AH$1001,MATCH(ROWS($AG$2:AG509),$AG$2:$AG$1001,0),1)&gt;=100000,INDEX($AN$1005:$BO$1005,1,MATCH(COLUMNS($AN$1006:BE1006),$AN$1006:$BO$1006,0))&gt;=100000), " ",IF(INDEX($AN$2:$BO$1001,MATCH(ROWS($AG$2:AG509),$AG$2:$AG$1001,0),MATCH(COLUMNS($AN$1006:BE1006),$AN$1006:$BO$1006,0)), HYPERLINK("#",""), HYPERLINK(CONCATENATE("#Metadata!", ADDRESS(INDEX($AI$2:$AI$1001,MATCH(ROWS($AG$2:AG509),$AG$2:$AG$1001,0),0), INDEX($AN$1004:$BO$1004,1,MATCH(COLUMNS($AN$1006:BE1006),$AN$1006:$BO$1006,0)))),"Fix")))</f>
        <v>0</v>
      </c>
      <c r="T509" s="4">
        <f>IF(OR(INDEX($AH$2:$AH$1001,MATCH(ROWS($AG$2:AG509),$AG$2:$AG$1001,0),1)&gt;=100000,INDEX($AN$1005:$BO$1005,1,MATCH(COLUMNS($AN$1006:BF1006),$AN$1006:$BO$1006,0))&gt;=100000), " ",IF(INDEX($AN$2:$BO$1001,MATCH(ROWS($AG$2:AG509),$AG$2:$AG$1001,0),MATCH(COLUMNS($AN$1006:BF1006),$AN$1006:$BO$1006,0)), HYPERLINK("#",""), HYPERLINK(CONCATENATE("#Metadata!", ADDRESS(INDEX($AI$2:$AI$1001,MATCH(ROWS($AG$2:AG509),$AG$2:$AG$1001,0),0), INDEX($AN$1004:$BO$1004,1,MATCH(COLUMNS($AN$1006:BF1006),$AN$1006:$BO$1006,0)))),"Fix")))</f>
        <v>0</v>
      </c>
      <c r="U509" s="4">
        <f>IF(OR(INDEX($AH$2:$AH$1001,MATCH(ROWS($AG$2:AG509),$AG$2:$AG$1001,0),1)&gt;=100000,INDEX($AN$1005:$BO$1005,1,MATCH(COLUMNS($AN$1006:BG1006),$AN$1006:$BO$1006,0))&gt;=100000), " ",IF(INDEX($AN$2:$BO$1001,MATCH(ROWS($AG$2:AG509),$AG$2:$AG$1001,0),MATCH(COLUMNS($AN$1006:BG1006),$AN$1006:$BO$1006,0)), HYPERLINK("#",""), HYPERLINK(CONCATENATE("#Metadata!", ADDRESS(INDEX($AI$2:$AI$1001,MATCH(ROWS($AG$2:AG509),$AG$2:$AG$1001,0),0), INDEX($AN$1004:$BO$1004,1,MATCH(COLUMNS($AN$1006:BG1006),$AN$1006:$BO$1006,0)))),"Fix")))</f>
        <v>0</v>
      </c>
      <c r="V509" s="4">
        <f>IF(OR(INDEX($AH$2:$AH$1001,MATCH(ROWS($AG$2:AG509),$AG$2:$AG$1001,0),1)&gt;=100000,INDEX($AN$1005:$BO$1005,1,MATCH(COLUMNS($AN$1006:BH1006),$AN$1006:$BO$1006,0))&gt;=100000), " ",IF(INDEX($AN$2:$BO$1001,MATCH(ROWS($AG$2:AG509),$AG$2:$AG$1001,0),MATCH(COLUMNS($AN$1006:BH1006),$AN$1006:$BO$1006,0)), HYPERLINK("#",""), HYPERLINK(CONCATENATE("#Metadata!", ADDRESS(INDEX($AI$2:$AI$1001,MATCH(ROWS($AG$2:AG509),$AG$2:$AG$1001,0),0), INDEX($AN$1004:$BO$1004,1,MATCH(COLUMNS($AN$1006:BH1006),$AN$1006:$BO$1006,0)))),"Fix")))</f>
        <v>0</v>
      </c>
      <c r="W509" s="4">
        <f>IF(OR(INDEX($AH$2:$AH$1001,MATCH(ROWS($AG$2:AG509),$AG$2:$AG$1001,0),1)&gt;=100000,INDEX($AN$1005:$BO$1005,1,MATCH(COLUMNS($AN$1006:BI1006),$AN$1006:$BO$1006,0))&gt;=100000), " ",IF(INDEX($AN$2:$BO$1001,MATCH(ROWS($AG$2:AG509),$AG$2:$AG$1001,0),MATCH(COLUMNS($AN$1006:BI1006),$AN$1006:$BO$1006,0)), HYPERLINK("#",""), HYPERLINK(CONCATENATE("#Metadata!", ADDRESS(INDEX($AI$2:$AI$1001,MATCH(ROWS($AG$2:AG509),$AG$2:$AG$1001,0),0), INDEX($AN$1004:$BO$1004,1,MATCH(COLUMNS($AN$1006:BI1006),$AN$1006:$BO$1006,0)))),"Fix")))</f>
        <v>0</v>
      </c>
      <c r="X509" s="4">
        <f>IF(OR(INDEX($AH$2:$AH$1001,MATCH(ROWS($AG$2:AG509),$AG$2:$AG$1001,0),1)&gt;=100000,INDEX($AN$1005:$BO$1005,1,MATCH(COLUMNS($AN$1006:BJ1006),$AN$1006:$BO$1006,0))&gt;=100000), " ",IF(INDEX($AN$2:$BO$1001,MATCH(ROWS($AG$2:AG509),$AG$2:$AG$1001,0),MATCH(COLUMNS($AN$1006:BJ1006),$AN$1006:$BO$1006,0)), HYPERLINK("#",""), HYPERLINK(CONCATENATE("#Metadata!", ADDRESS(INDEX($AI$2:$AI$1001,MATCH(ROWS($AG$2:AG509),$AG$2:$AG$1001,0),0), INDEX($AN$1004:$BO$1004,1,MATCH(COLUMNS($AN$1006:BJ1006),$AN$1006:$BO$1006,0)))),"Fix")))</f>
        <v>0</v>
      </c>
      <c r="Y509" s="4">
        <f>IF(OR(INDEX($AH$2:$AH$1001,MATCH(ROWS($AG$2:AG509),$AG$2:$AG$1001,0),1)&gt;=100000,INDEX($AN$1005:$BO$1005,1,MATCH(COLUMNS($AN$1006:BK1006),$AN$1006:$BO$1006,0))&gt;=100000), " ",IF(INDEX($AN$2:$BO$1001,MATCH(ROWS($AG$2:AG509),$AG$2:$AG$1001,0),MATCH(COLUMNS($AN$1006:BK1006),$AN$1006:$BO$1006,0)), HYPERLINK("#",""), HYPERLINK(CONCATENATE("#Metadata!", ADDRESS(INDEX($AI$2:$AI$1001,MATCH(ROWS($AG$2:AG509),$AG$2:$AG$1001,0),0), INDEX($AN$1004:$BO$1004,1,MATCH(COLUMNS($AN$1006:BK1006),$AN$1006:$BO$1006,0)))),"Fix")))</f>
        <v>0</v>
      </c>
      <c r="Z509" s="4">
        <f>IF(OR(INDEX($AH$2:$AH$1001,MATCH(ROWS($AG$2:AG509),$AG$2:$AG$1001,0),1)&gt;=100000,INDEX($AN$1005:$BO$1005,1,MATCH(COLUMNS($AN$1006:BL1006),$AN$1006:$BO$1006,0))&gt;=100000), " ",IF(INDEX($AN$2:$BO$1001,MATCH(ROWS($AG$2:AG509),$AG$2:$AG$1001,0),MATCH(COLUMNS($AN$1006:BL1006),$AN$1006:$BO$1006,0)), HYPERLINK("#",""), HYPERLINK(CONCATENATE("#Metadata!", ADDRESS(INDEX($AI$2:$AI$1001,MATCH(ROWS($AG$2:AG509),$AG$2:$AG$1001,0),0), INDEX($AN$1004:$BO$1004,1,MATCH(COLUMNS($AN$1006:BL1006),$AN$1006:$BO$1006,0)))),"Fix")))</f>
        <v>0</v>
      </c>
      <c r="AA509" s="4">
        <f>IF(OR(INDEX($AH$2:$AH$1001,MATCH(ROWS($AG$2:AG509),$AG$2:$AG$1001,0),1)&gt;=100000,INDEX($AN$1005:$BO$1005,1,MATCH(COLUMNS($AN$1006:BM1006),$AN$1006:$BO$1006,0))&gt;=100000), " ",IF(INDEX($AN$2:$BO$1001,MATCH(ROWS($AG$2:AG509),$AG$2:$AG$1001,0),MATCH(COLUMNS($AN$1006:BM1006),$AN$1006:$BO$1006,0)), HYPERLINK("#",""), HYPERLINK(CONCATENATE("#Metadata!", ADDRESS(INDEX($AI$2:$AI$1001,MATCH(ROWS($AG$2:AG509),$AG$2:$AG$1001,0),0), INDEX($AN$1004:$BO$1004,1,MATCH(COLUMNS($AN$1006:BM1006),$AN$1006:$BO$1006,0)))),"Fix")))</f>
        <v>0</v>
      </c>
      <c r="AB509" s="4">
        <f>IF(OR(INDEX($AH$2:$AH$1001,MATCH(ROWS($AG$2:AG509),$AG$2:$AG$1001,0),1)&gt;=100000,INDEX($AN$1005:$BO$1005,1,MATCH(COLUMNS($AN$1006:BN1006),$AN$1006:$BO$1006,0))&gt;=100000), " ",IF(INDEX($AN$2:$BO$1001,MATCH(ROWS($AG$2:AG509),$AG$2:$AG$1001,0),MATCH(COLUMNS($AN$1006:BN1006),$AN$1006:$BO$1006,0)), HYPERLINK("#",""), HYPERLINK(CONCATENATE("#Metadata!", ADDRESS(INDEX($AI$2:$AI$1001,MATCH(ROWS($AG$2:AG509),$AG$2:$AG$1001,0),0), INDEX($AN$1004:$BO$1004,1,MATCH(COLUMNS($AN$1006:BN1006),$AN$1006:$BO$1006,0)))),"Fix")))</f>
        <v>0</v>
      </c>
      <c r="AC509" s="4">
        <f>IF(OR(INDEX($AH$2:$AH$1001,MATCH(ROWS($AG$2:AG509),$AG$2:$AG$1001,0),1)&gt;=100000,INDEX($AN$1005:$BO$1005,1,MATCH(COLUMNS($AN$1006:BO1006),$AN$1006:$BO$1006,0))&gt;=100000), " ",IF(INDEX($AN$2:$BO$1001,MATCH(ROWS($AG$2:AG509),$AG$2:$AG$1001,0),MATCH(COLUMNS($AN$1006:BO1006),$AN$1006:$BO$1006,0)), HYPERLINK("#",""), HYPERLINK(CONCATENATE("#Metadata!", ADDRESS(INDEX($AI$2:$AI$1001,MATCH(ROWS($AG$2:AG509),$AG$2:$AG$1001,0),0), INDEX($AN$1004:$BO$1004,1,MATCH(COLUMNS($AN$1006:BO1006),$AN$1006:$BO$1006,0)))),"Fix")))</f>
        <v>0</v>
      </c>
      <c r="AG509">
        <v>0</v>
      </c>
      <c r="AH509">
        <v>0</v>
      </c>
      <c r="AI509">
        <v>0</v>
      </c>
      <c r="AJ509">
        <f>IF(AK509,TRUE,AND(AN509:BO509))</f>
        <v>0</v>
      </c>
      <c r="AK509">
        <f>COUNTBLANK(Metadata!B509:AC509)=COLUMNS(Metadata!B509:AC509)</f>
        <v>0</v>
      </c>
      <c r="AL509">
        <v>0</v>
      </c>
      <c r="AN509">
        <f>AND(IF(Metadata!B509="",FALSE,TRUE),COUNTIF(Metadata!B:B, Metadata!B509) = 1,NOT(ISERROR(SUMPRODUCT(SEARCH(MID(Metadata!B509,ROW(INDIRECT("1:"&amp;LEN(Metadata!B509))), 1),"0123456789abcdefghijklmnopqrstuvwxyzABCDEFGHIJKLMNOPQRSTUVWXYZ.")))))</f>
        <v>0</v>
      </c>
      <c r="AO509">
        <f>IF(Metadata!C509="",FALSE,TRUE)</f>
        <v>0</v>
      </c>
      <c r="AP509">
        <f>IF(Metadata!D509="",FALSE,TRUE)</f>
        <v>0</v>
      </c>
      <c r="AQ509">
        <f>OR(AND(IF(Metadata!E509="",FALSE,TRUE),OR(exact(Metadata!E509,"not collected"),exact(Metadata!E509,"not provided"),exact(Metadata!E509,"restricted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R509">
        <f>IF(Metadata!F509="",FALSE,TRUE)</f>
        <v>0</v>
      </c>
      <c r="AS509">
        <f>OR(AND(IF(Metadata!G509="",FALSE,TRUE),OR(exact(Metadata!G509,"not collected"),exact(Metadata!G509,"not provided"))),AND(IF(Metadata!G509="",FALSE,TRUE),OR(exact(Metadata!G509,"TRUE"),exact(Metadata!G509,"FALSE"))))</f>
        <v>0</v>
      </c>
      <c r="AT509">
        <f>OR(AND(IF(Metadata!H509="",FALSE,TRUE),OR(exact(Metadata!H509,"not collected"),exact(Metadata!H509,"not provided"),exact(Metadata!H509,"restricted access"))),AND(IF(Metadata!H509="",FALSE,ISNUMBER(VALUE(Metadata!H509))),Metadata!H509&gt;=-413.0))</f>
        <v>0</v>
      </c>
      <c r="AU509">
        <f>AND(IF(Metadata!I509="",FALSE,TRUE),exact(Metadata!I509,"meters"))</f>
        <v>0</v>
      </c>
      <c r="AV509">
        <f>AND(IF(Metadata!J509="",FALSE,TRUE),OR(exact(Metadata!J509,"Host-associated"),exact(Metadata!J509,"Free-living")))</f>
        <v>0</v>
      </c>
      <c r="AW509">
        <f>AND(IF(Metadata!K509="",FALSE,TRUE),OR(exact(Metadata!K509,"Animal"),exact(Metadata!K509,"Fungus"),exact(Metadata!K509,"Plant"),exact(Metadata!K509,"Saline"),exact(Metadata!K509,"Non-saline")))</f>
        <v>0</v>
      </c>
      <c r="AX509">
        <f>AND(IF(Metadata!L509="",FALSE,TRUE),OR(exact(Metadata!L509,"Plant secretion"),exact(Metadata!L509,"Plant rhizosphere"),exact(Metadata!L509,"Plant surface"),exact(Metadata!L509,"Plant corpus"),exact(Metadata!L509,"Fungus surface"),exact(Metadata!L509,"Fungus corpus"),exact(Metadata!L509,"Animal surface"),exact(Metadata!L509,"Animal proximal gut"),exact(Metadata!L509,"Animal corpus"),exact(Metadata!L509,"Animal distal gut"),exact(Metadata!L509,"Animal secretion"),exact(Metadata!L509,"Sub-surface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Y509">
        <f>IF(Metadata!M509="",FALSE,TRUE)</f>
        <v>0</v>
      </c>
      <c r="AZ509">
        <f>IF(Metadata!N509="",FALSE,TRUE)</f>
        <v>0</v>
      </c>
      <c r="BA509">
        <f>IF(Metadata!O509="",FALSE,TRUE)</f>
        <v>0</v>
      </c>
      <c r="BB509">
        <f>OR(AND(IF(Metadata!P509="",FALSE,TRUE),OR(exact(Metadata!P509,"not collected"),exact(Metadata!P509,"not provided"),exact(Metadata!P509,"restricted access"))),AND(IF(Metadata!P509="",FALSE,TRUE),OR(exact(Metadata!P509,"air"),exact(Metadata!P509,"built environment"),exact(Metadata!P509,"host-associated"),exact(Metadata!P509,"human-associated"),exact(Metadata!P509,"human-skin"),exact(Metadata!P509,"human-oral"),exact(Metadata!P509,"human-gut"),exact(Metadata!P509,"human-vaginal"),exact(Metadata!P509,"microbial mat/biofilm"),exact(Metadata!P509,"misc environment"),exact(Metadata!P509,"plant-associated"),exact(Metadata!P509,"sediment"),exact(Metadata!P509,"soil"),exact(Metadata!P509,"wastewater/sludge"),exact(Metadata!P509,"water"))))</f>
        <v>0</v>
      </c>
      <c r="BC509">
        <f>IF(Metadata!Q509="",FALSE,TRUE)</f>
        <v>0</v>
      </c>
      <c r="BD509">
        <f>IF(Metadata!R509="",FALSE,TRUE)</f>
        <v>0</v>
      </c>
      <c r="BE509">
        <f>OR(AND(IF(Metadata!S509="",FALSE,TRUE),OR(exact(Metadata!S509,"not collected"),exact(Metadata!S509,"not provided"),exact(Metadata!S509,"restricted access"))),AND(IF(Metadata!S509="",FALSE,ISNUMBER(VALUE(Metadata!S509))),Metadata!S509&gt;=-90.00,Metadata!S509&lt;=90.00))</f>
        <v>0</v>
      </c>
      <c r="BF509">
        <f>AND(IF(Metadata!T509="",FALSE,TRUE),exact(Metadata!T509,"Decimal degrees"))</f>
        <v>0</v>
      </c>
      <c r="BG509">
        <f>OR(AND(IF(Metadata!U509="",FALSE,TRUE),OR(exact(Metadata!U509,"not collected"),exact(Metadata!U509,"not provided"),exact(Metadata!U509,"restricted access"))),AND(IF(Metadata!U509="",FALSE,ISNUMBER(VALUE(Metadata!U509))),Metadata!U509&gt;=-180.00,Metadata!U509&lt;=180.00))</f>
        <v>0</v>
      </c>
      <c r="BH509">
        <f>AND(IF(Metadata!V509="",FALSE,TRUE),exact(Metadata!V509,"Decimal degrees"))</f>
        <v>0</v>
      </c>
      <c r="BI509">
        <f>IF(Metadata!W509="",FALSE,TRUE)</f>
        <v>0</v>
      </c>
      <c r="BJ509">
        <f>OR(AND(IF(Metadata!X509="",FALSE,TRUE),OR(exact(Metadata!X509,"not collected"),exact(Metadata!X509,"not provided"),exact(Metadata!X509,"restricted access"))),AND(IF(Metadata!X509="",FALSE,TRUE),OR(exact(Metadata!X509,"TRUE"),exact(Metadata!X509,"FALSE"))))</f>
        <v>0</v>
      </c>
      <c r="BK509">
        <f>AND(IF(Metadata!Y509="",FALSE,TRUE),exact(Metadata!Y509,"other"))</f>
        <v>0</v>
      </c>
      <c r="BL509">
        <f>IF(Metadata!Z509="",FALSE,TRUE)</f>
        <v>0</v>
      </c>
      <c r="BM509">
        <f>OR(AND(IF(Metadata!AA509="",FALSE,TRUE),OR(exact(Metadata!AA509,"not collected"),exact(Metadata!AA509,"not provided"))),AND(IF(Metadata!AA509="",FALSE,IF(ISERROR(INT(Metadata!AA509)),FALSE,INT(Metadata!AA509)=Metadata!AA509)),Metadata!AA509&gt;0))</f>
        <v>0</v>
      </c>
      <c r="BN509">
        <f>AND(IF(Metadata!AB509="",FALSE,TRUE),exact(Metadata!AB509,"Not applicable"))</f>
        <v>0</v>
      </c>
      <c r="BO509">
        <f>IF(Metadata!AC509="",FALSE,TRUE)</f>
        <v>0</v>
      </c>
    </row>
    <row r="510" spans="1:67">
      <c r="A510" s="5">
        <f>IF(B510=" "," ",HYPERLINK(CONCATENATE("#metadata!",ADDRESS(INDEX($AI$2:$AI$1001,MATCH(ROWS($AG$2:AG510),$AG$2:$AG$1001,0),0),1)),INDEX($AL$2:$AL$1001,MATCH(ROWS($AG$2:AG510),$AG$2:$AG$1001,0),0)))</f>
        <v>0</v>
      </c>
      <c r="B510" s="4">
        <f>IF(OR(INDEX($AH$2:$AH$1001,MATCH(ROWS($AG$2:AG510),$AG$2:$AG$1001,0),1)&gt;=100000,INDEX($AN$1005:$BO$1005,1,MATCH(COLUMNS($AN$1006:AN1006),$AN$1006:$BO$1006,0))&gt;=100000), " ",IF(INDEX($AN$2:$BO$1001,MATCH(ROWS($AG$2:AG510),$AG$2:$AG$1001,0),MATCH(COLUMNS($AN$1006:AN1006),$AN$1006:$BO$1006,0)), HYPERLINK("#",""), HYPERLINK(CONCATENATE("#Metadata!", ADDRESS(INDEX($AI$2:$AI$1001,MATCH(ROWS($AG$2:AG510),$AG$2:$AG$1001,0),0), INDEX($AN$1004:$BO$1004,1,MATCH(COLUMNS($AN$1006:AN1006),$AN$1006:$BO$1006,0)))),"Fix")))</f>
        <v>0</v>
      </c>
      <c r="C510" s="4">
        <f>IF(OR(INDEX($AH$2:$AH$1001,MATCH(ROWS($AG$2:AG510),$AG$2:$AG$1001,0),1)&gt;=100000,INDEX($AN$1005:$BO$1005,1,MATCH(COLUMNS($AN$1006:AO1006),$AN$1006:$BO$1006,0))&gt;=100000), " ",IF(INDEX($AN$2:$BO$1001,MATCH(ROWS($AG$2:AG510),$AG$2:$AG$1001,0),MATCH(COLUMNS($AN$1006:AO1006),$AN$1006:$BO$1006,0)), HYPERLINK("#",""), HYPERLINK(CONCATENATE("#Metadata!", ADDRESS(INDEX($AI$2:$AI$1001,MATCH(ROWS($AG$2:AG510),$AG$2:$AG$1001,0),0), INDEX($AN$1004:$BO$1004,1,MATCH(COLUMNS($AN$1006:AO1006),$AN$1006:$BO$1006,0)))),"Fix")))</f>
        <v>0</v>
      </c>
      <c r="D510" s="4">
        <f>IF(OR(INDEX($AH$2:$AH$1001,MATCH(ROWS($AG$2:AG510),$AG$2:$AG$1001,0),1)&gt;=100000,INDEX($AN$1005:$BO$1005,1,MATCH(COLUMNS($AN$1006:AP1006),$AN$1006:$BO$1006,0))&gt;=100000), " ",IF(INDEX($AN$2:$BO$1001,MATCH(ROWS($AG$2:AG510),$AG$2:$AG$1001,0),MATCH(COLUMNS($AN$1006:AP1006),$AN$1006:$BO$1006,0)), HYPERLINK("#",""), HYPERLINK(CONCATENATE("#Metadata!", ADDRESS(INDEX($AI$2:$AI$1001,MATCH(ROWS($AG$2:AG510),$AG$2:$AG$1001,0),0), INDEX($AN$1004:$BO$1004,1,MATCH(COLUMNS($AN$1006:AP1006),$AN$1006:$BO$1006,0)))),"Fix")))</f>
        <v>0</v>
      </c>
      <c r="E510" s="4">
        <f>IF(OR(INDEX($AH$2:$AH$1001,MATCH(ROWS($AG$2:AG510),$AG$2:$AG$1001,0),1)&gt;=100000,INDEX($AN$1005:$BO$1005,1,MATCH(COLUMNS($AN$1006:AQ1006),$AN$1006:$BO$1006,0))&gt;=100000), " ",IF(INDEX($AN$2:$BO$1001,MATCH(ROWS($AG$2:AG510),$AG$2:$AG$1001,0),MATCH(COLUMNS($AN$1006:AQ1006),$AN$1006:$BO$1006,0)), HYPERLINK("#",""), HYPERLINK(CONCATENATE("#Metadata!", ADDRESS(INDEX($AI$2:$AI$1001,MATCH(ROWS($AG$2:AG510),$AG$2:$AG$1001,0),0), INDEX($AN$1004:$BO$1004,1,MATCH(COLUMNS($AN$1006:AQ1006),$AN$1006:$BO$1006,0)))),"Fix")))</f>
        <v>0</v>
      </c>
      <c r="F510" s="4">
        <f>IF(OR(INDEX($AH$2:$AH$1001,MATCH(ROWS($AG$2:AG510),$AG$2:$AG$1001,0),1)&gt;=100000,INDEX($AN$1005:$BO$1005,1,MATCH(COLUMNS($AN$1006:AR1006),$AN$1006:$BO$1006,0))&gt;=100000), " ",IF(INDEX($AN$2:$BO$1001,MATCH(ROWS($AG$2:AG510),$AG$2:$AG$1001,0),MATCH(COLUMNS($AN$1006:AR1006),$AN$1006:$BO$1006,0)), HYPERLINK("#",""), HYPERLINK(CONCATENATE("#Metadata!", ADDRESS(INDEX($AI$2:$AI$1001,MATCH(ROWS($AG$2:AG510),$AG$2:$AG$1001,0),0), INDEX($AN$1004:$BO$1004,1,MATCH(COLUMNS($AN$1006:AR1006),$AN$1006:$BO$1006,0)))),"Fix")))</f>
        <v>0</v>
      </c>
      <c r="G510" s="4">
        <f>IF(OR(INDEX($AH$2:$AH$1001,MATCH(ROWS($AG$2:AG510),$AG$2:$AG$1001,0),1)&gt;=100000,INDEX($AN$1005:$BO$1005,1,MATCH(COLUMNS($AN$1006:AS1006),$AN$1006:$BO$1006,0))&gt;=100000), " ",IF(INDEX($AN$2:$BO$1001,MATCH(ROWS($AG$2:AG510),$AG$2:$AG$1001,0),MATCH(COLUMNS($AN$1006:AS1006),$AN$1006:$BO$1006,0)), HYPERLINK("#",""), HYPERLINK(CONCATENATE("#Metadata!", ADDRESS(INDEX($AI$2:$AI$1001,MATCH(ROWS($AG$2:AG510),$AG$2:$AG$1001,0),0), INDEX($AN$1004:$BO$1004,1,MATCH(COLUMNS($AN$1006:AS1006),$AN$1006:$BO$1006,0)))),"Fix")))</f>
        <v>0</v>
      </c>
      <c r="H510" s="4">
        <f>IF(OR(INDEX($AH$2:$AH$1001,MATCH(ROWS($AG$2:AG510),$AG$2:$AG$1001,0),1)&gt;=100000,INDEX($AN$1005:$BO$1005,1,MATCH(COLUMNS($AN$1006:AT1006),$AN$1006:$BO$1006,0))&gt;=100000), " ",IF(INDEX($AN$2:$BO$1001,MATCH(ROWS($AG$2:AG510),$AG$2:$AG$1001,0),MATCH(COLUMNS($AN$1006:AT1006),$AN$1006:$BO$1006,0)), HYPERLINK("#",""), HYPERLINK(CONCATENATE("#Metadata!", ADDRESS(INDEX($AI$2:$AI$1001,MATCH(ROWS($AG$2:AG510),$AG$2:$AG$1001,0),0), INDEX($AN$1004:$BO$1004,1,MATCH(COLUMNS($AN$1006:AT1006),$AN$1006:$BO$1006,0)))),"Fix")))</f>
        <v>0</v>
      </c>
      <c r="I510" s="4">
        <f>IF(OR(INDEX($AH$2:$AH$1001,MATCH(ROWS($AG$2:AG510),$AG$2:$AG$1001,0),1)&gt;=100000,INDEX($AN$1005:$BO$1005,1,MATCH(COLUMNS($AN$1006:AU1006),$AN$1006:$BO$1006,0))&gt;=100000), " ",IF(INDEX($AN$2:$BO$1001,MATCH(ROWS($AG$2:AG510),$AG$2:$AG$1001,0),MATCH(COLUMNS($AN$1006:AU1006),$AN$1006:$BO$1006,0)), HYPERLINK("#",""), HYPERLINK(CONCATENATE("#Metadata!", ADDRESS(INDEX($AI$2:$AI$1001,MATCH(ROWS($AG$2:AG510),$AG$2:$AG$1001,0),0), INDEX($AN$1004:$BO$1004,1,MATCH(COLUMNS($AN$1006:AU1006),$AN$1006:$BO$1006,0)))),"Fix")))</f>
        <v>0</v>
      </c>
      <c r="J510" s="4">
        <f>IF(OR(INDEX($AH$2:$AH$1001,MATCH(ROWS($AG$2:AG510),$AG$2:$AG$1001,0),1)&gt;=100000,INDEX($AN$1005:$BO$1005,1,MATCH(COLUMNS($AN$1006:AV1006),$AN$1006:$BO$1006,0))&gt;=100000), " ",IF(INDEX($AN$2:$BO$1001,MATCH(ROWS($AG$2:AG510),$AG$2:$AG$1001,0),MATCH(COLUMNS($AN$1006:AV1006),$AN$1006:$BO$1006,0)), HYPERLINK("#",""), HYPERLINK(CONCATENATE("#Metadata!", ADDRESS(INDEX($AI$2:$AI$1001,MATCH(ROWS($AG$2:AG510),$AG$2:$AG$1001,0),0), INDEX($AN$1004:$BO$1004,1,MATCH(COLUMNS($AN$1006:AV1006),$AN$1006:$BO$1006,0)))),"Fix")))</f>
        <v>0</v>
      </c>
      <c r="K510" s="4">
        <f>IF(OR(INDEX($AH$2:$AH$1001,MATCH(ROWS($AG$2:AG510),$AG$2:$AG$1001,0),1)&gt;=100000,INDEX($AN$1005:$BO$1005,1,MATCH(COLUMNS($AN$1006:AW1006),$AN$1006:$BO$1006,0))&gt;=100000), " ",IF(INDEX($AN$2:$BO$1001,MATCH(ROWS($AG$2:AG510),$AG$2:$AG$1001,0),MATCH(COLUMNS($AN$1006:AW1006),$AN$1006:$BO$1006,0)), HYPERLINK("#",""), HYPERLINK(CONCATENATE("#Metadata!", ADDRESS(INDEX($AI$2:$AI$1001,MATCH(ROWS($AG$2:AG510),$AG$2:$AG$1001,0),0), INDEX($AN$1004:$BO$1004,1,MATCH(COLUMNS($AN$1006:AW1006),$AN$1006:$BO$1006,0)))),"Fix")))</f>
        <v>0</v>
      </c>
      <c r="L510" s="4">
        <f>IF(OR(INDEX($AH$2:$AH$1001,MATCH(ROWS($AG$2:AG510),$AG$2:$AG$1001,0),1)&gt;=100000,INDEX($AN$1005:$BO$1005,1,MATCH(COLUMNS($AN$1006:AX1006),$AN$1006:$BO$1006,0))&gt;=100000), " ",IF(INDEX($AN$2:$BO$1001,MATCH(ROWS($AG$2:AG510),$AG$2:$AG$1001,0),MATCH(COLUMNS($AN$1006:AX1006),$AN$1006:$BO$1006,0)), HYPERLINK("#",""), HYPERLINK(CONCATENATE("#Metadata!", ADDRESS(INDEX($AI$2:$AI$1001,MATCH(ROWS($AG$2:AG510),$AG$2:$AG$1001,0),0), INDEX($AN$1004:$BO$1004,1,MATCH(COLUMNS($AN$1006:AX1006),$AN$1006:$BO$1006,0)))),"Fix")))</f>
        <v>0</v>
      </c>
      <c r="M510" s="4">
        <f>IF(OR(INDEX($AH$2:$AH$1001,MATCH(ROWS($AG$2:AG510),$AG$2:$AG$1001,0),1)&gt;=100000,INDEX($AN$1005:$BO$1005,1,MATCH(COLUMNS($AN$1006:AY1006),$AN$1006:$BO$1006,0))&gt;=100000), " ",IF(INDEX($AN$2:$BO$1001,MATCH(ROWS($AG$2:AG510),$AG$2:$AG$1001,0),MATCH(COLUMNS($AN$1006:AY1006),$AN$1006:$BO$1006,0)), HYPERLINK("#",""), HYPERLINK(CONCATENATE("#Metadata!", ADDRESS(INDEX($AI$2:$AI$1001,MATCH(ROWS($AG$2:AG510),$AG$2:$AG$1001,0),0), INDEX($AN$1004:$BO$1004,1,MATCH(COLUMNS($AN$1006:AY1006),$AN$1006:$BO$1006,0)))),"Fix")))</f>
        <v>0</v>
      </c>
      <c r="N510" s="4">
        <f>IF(OR(INDEX($AH$2:$AH$1001,MATCH(ROWS($AG$2:AG510),$AG$2:$AG$1001,0),1)&gt;=100000,INDEX($AN$1005:$BO$1005,1,MATCH(COLUMNS($AN$1006:AZ1006),$AN$1006:$BO$1006,0))&gt;=100000), " ",IF(INDEX($AN$2:$BO$1001,MATCH(ROWS($AG$2:AG510),$AG$2:$AG$1001,0),MATCH(COLUMNS($AN$1006:AZ1006),$AN$1006:$BO$1006,0)), HYPERLINK("#",""), HYPERLINK(CONCATENATE("#Metadata!", ADDRESS(INDEX($AI$2:$AI$1001,MATCH(ROWS($AG$2:AG510),$AG$2:$AG$1001,0),0), INDEX($AN$1004:$BO$1004,1,MATCH(COLUMNS($AN$1006:AZ1006),$AN$1006:$BO$1006,0)))),"Fix")))</f>
        <v>0</v>
      </c>
      <c r="O510" s="4">
        <f>IF(OR(INDEX($AH$2:$AH$1001,MATCH(ROWS($AG$2:AG510),$AG$2:$AG$1001,0),1)&gt;=100000,INDEX($AN$1005:$BO$1005,1,MATCH(COLUMNS($AN$1006:BA1006),$AN$1006:$BO$1006,0))&gt;=100000), " ",IF(INDEX($AN$2:$BO$1001,MATCH(ROWS($AG$2:AG510),$AG$2:$AG$1001,0),MATCH(COLUMNS($AN$1006:BA1006),$AN$1006:$BO$1006,0)), HYPERLINK("#",""), HYPERLINK(CONCATENATE("#Metadata!", ADDRESS(INDEX($AI$2:$AI$1001,MATCH(ROWS($AG$2:AG510),$AG$2:$AG$1001,0),0), INDEX($AN$1004:$BO$1004,1,MATCH(COLUMNS($AN$1006:BA1006),$AN$1006:$BO$1006,0)))),"Fix")))</f>
        <v>0</v>
      </c>
      <c r="P510" s="4">
        <f>IF(OR(INDEX($AH$2:$AH$1001,MATCH(ROWS($AG$2:AG510),$AG$2:$AG$1001,0),1)&gt;=100000,INDEX($AN$1005:$BO$1005,1,MATCH(COLUMNS($AN$1006:BB1006),$AN$1006:$BO$1006,0))&gt;=100000), " ",IF(INDEX($AN$2:$BO$1001,MATCH(ROWS($AG$2:AG510),$AG$2:$AG$1001,0),MATCH(COLUMNS($AN$1006:BB1006),$AN$1006:$BO$1006,0)), HYPERLINK("#",""), HYPERLINK(CONCATENATE("#Metadata!", ADDRESS(INDEX($AI$2:$AI$1001,MATCH(ROWS($AG$2:AG510),$AG$2:$AG$1001,0),0), INDEX($AN$1004:$BO$1004,1,MATCH(COLUMNS($AN$1006:BB1006),$AN$1006:$BO$1006,0)))),"Fix")))</f>
        <v>0</v>
      </c>
      <c r="Q510" s="4">
        <f>IF(OR(INDEX($AH$2:$AH$1001,MATCH(ROWS($AG$2:AG510),$AG$2:$AG$1001,0),1)&gt;=100000,INDEX($AN$1005:$BO$1005,1,MATCH(COLUMNS($AN$1006:BC1006),$AN$1006:$BO$1006,0))&gt;=100000), " ",IF(INDEX($AN$2:$BO$1001,MATCH(ROWS($AG$2:AG510),$AG$2:$AG$1001,0),MATCH(COLUMNS($AN$1006:BC1006),$AN$1006:$BO$1006,0)), HYPERLINK("#",""), HYPERLINK(CONCATENATE("#Metadata!", ADDRESS(INDEX($AI$2:$AI$1001,MATCH(ROWS($AG$2:AG510),$AG$2:$AG$1001,0),0), INDEX($AN$1004:$BO$1004,1,MATCH(COLUMNS($AN$1006:BC1006),$AN$1006:$BO$1006,0)))),"Fix")))</f>
        <v>0</v>
      </c>
      <c r="R510" s="4">
        <f>IF(OR(INDEX($AH$2:$AH$1001,MATCH(ROWS($AG$2:AG510),$AG$2:$AG$1001,0),1)&gt;=100000,INDEX($AN$1005:$BO$1005,1,MATCH(COLUMNS($AN$1006:BD1006),$AN$1006:$BO$1006,0))&gt;=100000), " ",IF(INDEX($AN$2:$BO$1001,MATCH(ROWS($AG$2:AG510),$AG$2:$AG$1001,0),MATCH(COLUMNS($AN$1006:BD1006),$AN$1006:$BO$1006,0)), HYPERLINK("#",""), HYPERLINK(CONCATENATE("#Metadata!", ADDRESS(INDEX($AI$2:$AI$1001,MATCH(ROWS($AG$2:AG510),$AG$2:$AG$1001,0),0), INDEX($AN$1004:$BO$1004,1,MATCH(COLUMNS($AN$1006:BD1006),$AN$1006:$BO$1006,0)))),"Fix")))</f>
        <v>0</v>
      </c>
      <c r="S510" s="4">
        <f>IF(OR(INDEX($AH$2:$AH$1001,MATCH(ROWS($AG$2:AG510),$AG$2:$AG$1001,0),1)&gt;=100000,INDEX($AN$1005:$BO$1005,1,MATCH(COLUMNS($AN$1006:BE1006),$AN$1006:$BO$1006,0))&gt;=100000), " ",IF(INDEX($AN$2:$BO$1001,MATCH(ROWS($AG$2:AG510),$AG$2:$AG$1001,0),MATCH(COLUMNS($AN$1006:BE1006),$AN$1006:$BO$1006,0)), HYPERLINK("#",""), HYPERLINK(CONCATENATE("#Metadata!", ADDRESS(INDEX($AI$2:$AI$1001,MATCH(ROWS($AG$2:AG510),$AG$2:$AG$1001,0),0), INDEX($AN$1004:$BO$1004,1,MATCH(COLUMNS($AN$1006:BE1006),$AN$1006:$BO$1006,0)))),"Fix")))</f>
        <v>0</v>
      </c>
      <c r="T510" s="4">
        <f>IF(OR(INDEX($AH$2:$AH$1001,MATCH(ROWS($AG$2:AG510),$AG$2:$AG$1001,0),1)&gt;=100000,INDEX($AN$1005:$BO$1005,1,MATCH(COLUMNS($AN$1006:BF1006),$AN$1006:$BO$1006,0))&gt;=100000), " ",IF(INDEX($AN$2:$BO$1001,MATCH(ROWS($AG$2:AG510),$AG$2:$AG$1001,0),MATCH(COLUMNS($AN$1006:BF1006),$AN$1006:$BO$1006,0)), HYPERLINK("#",""), HYPERLINK(CONCATENATE("#Metadata!", ADDRESS(INDEX($AI$2:$AI$1001,MATCH(ROWS($AG$2:AG510),$AG$2:$AG$1001,0),0), INDEX($AN$1004:$BO$1004,1,MATCH(COLUMNS($AN$1006:BF1006),$AN$1006:$BO$1006,0)))),"Fix")))</f>
        <v>0</v>
      </c>
      <c r="U510" s="4">
        <f>IF(OR(INDEX($AH$2:$AH$1001,MATCH(ROWS($AG$2:AG510),$AG$2:$AG$1001,0),1)&gt;=100000,INDEX($AN$1005:$BO$1005,1,MATCH(COLUMNS($AN$1006:BG1006),$AN$1006:$BO$1006,0))&gt;=100000), " ",IF(INDEX($AN$2:$BO$1001,MATCH(ROWS($AG$2:AG510),$AG$2:$AG$1001,0),MATCH(COLUMNS($AN$1006:BG1006),$AN$1006:$BO$1006,0)), HYPERLINK("#",""), HYPERLINK(CONCATENATE("#Metadata!", ADDRESS(INDEX($AI$2:$AI$1001,MATCH(ROWS($AG$2:AG510),$AG$2:$AG$1001,0),0), INDEX($AN$1004:$BO$1004,1,MATCH(COLUMNS($AN$1006:BG1006),$AN$1006:$BO$1006,0)))),"Fix")))</f>
        <v>0</v>
      </c>
      <c r="V510" s="4">
        <f>IF(OR(INDEX($AH$2:$AH$1001,MATCH(ROWS($AG$2:AG510),$AG$2:$AG$1001,0),1)&gt;=100000,INDEX($AN$1005:$BO$1005,1,MATCH(COLUMNS($AN$1006:BH1006),$AN$1006:$BO$1006,0))&gt;=100000), " ",IF(INDEX($AN$2:$BO$1001,MATCH(ROWS($AG$2:AG510),$AG$2:$AG$1001,0),MATCH(COLUMNS($AN$1006:BH1006),$AN$1006:$BO$1006,0)), HYPERLINK("#",""), HYPERLINK(CONCATENATE("#Metadata!", ADDRESS(INDEX($AI$2:$AI$1001,MATCH(ROWS($AG$2:AG510),$AG$2:$AG$1001,0),0), INDEX($AN$1004:$BO$1004,1,MATCH(COLUMNS($AN$1006:BH1006),$AN$1006:$BO$1006,0)))),"Fix")))</f>
        <v>0</v>
      </c>
      <c r="W510" s="4">
        <f>IF(OR(INDEX($AH$2:$AH$1001,MATCH(ROWS($AG$2:AG510),$AG$2:$AG$1001,0),1)&gt;=100000,INDEX($AN$1005:$BO$1005,1,MATCH(COLUMNS($AN$1006:BI1006),$AN$1006:$BO$1006,0))&gt;=100000), " ",IF(INDEX($AN$2:$BO$1001,MATCH(ROWS($AG$2:AG510),$AG$2:$AG$1001,0),MATCH(COLUMNS($AN$1006:BI1006),$AN$1006:$BO$1006,0)), HYPERLINK("#",""), HYPERLINK(CONCATENATE("#Metadata!", ADDRESS(INDEX($AI$2:$AI$1001,MATCH(ROWS($AG$2:AG510),$AG$2:$AG$1001,0),0), INDEX($AN$1004:$BO$1004,1,MATCH(COLUMNS($AN$1006:BI1006),$AN$1006:$BO$1006,0)))),"Fix")))</f>
        <v>0</v>
      </c>
      <c r="X510" s="4">
        <f>IF(OR(INDEX($AH$2:$AH$1001,MATCH(ROWS($AG$2:AG510),$AG$2:$AG$1001,0),1)&gt;=100000,INDEX($AN$1005:$BO$1005,1,MATCH(COLUMNS($AN$1006:BJ1006),$AN$1006:$BO$1006,0))&gt;=100000), " ",IF(INDEX($AN$2:$BO$1001,MATCH(ROWS($AG$2:AG510),$AG$2:$AG$1001,0),MATCH(COLUMNS($AN$1006:BJ1006),$AN$1006:$BO$1006,0)), HYPERLINK("#",""), HYPERLINK(CONCATENATE("#Metadata!", ADDRESS(INDEX($AI$2:$AI$1001,MATCH(ROWS($AG$2:AG510),$AG$2:$AG$1001,0),0), INDEX($AN$1004:$BO$1004,1,MATCH(COLUMNS($AN$1006:BJ1006),$AN$1006:$BO$1006,0)))),"Fix")))</f>
        <v>0</v>
      </c>
      <c r="Y510" s="4">
        <f>IF(OR(INDEX($AH$2:$AH$1001,MATCH(ROWS($AG$2:AG510),$AG$2:$AG$1001,0),1)&gt;=100000,INDEX($AN$1005:$BO$1005,1,MATCH(COLUMNS($AN$1006:BK1006),$AN$1006:$BO$1006,0))&gt;=100000), " ",IF(INDEX($AN$2:$BO$1001,MATCH(ROWS($AG$2:AG510),$AG$2:$AG$1001,0),MATCH(COLUMNS($AN$1006:BK1006),$AN$1006:$BO$1006,0)), HYPERLINK("#",""), HYPERLINK(CONCATENATE("#Metadata!", ADDRESS(INDEX($AI$2:$AI$1001,MATCH(ROWS($AG$2:AG510),$AG$2:$AG$1001,0),0), INDEX($AN$1004:$BO$1004,1,MATCH(COLUMNS($AN$1006:BK1006),$AN$1006:$BO$1006,0)))),"Fix")))</f>
        <v>0</v>
      </c>
      <c r="Z510" s="4">
        <f>IF(OR(INDEX($AH$2:$AH$1001,MATCH(ROWS($AG$2:AG510),$AG$2:$AG$1001,0),1)&gt;=100000,INDEX($AN$1005:$BO$1005,1,MATCH(COLUMNS($AN$1006:BL1006),$AN$1006:$BO$1006,0))&gt;=100000), " ",IF(INDEX($AN$2:$BO$1001,MATCH(ROWS($AG$2:AG510),$AG$2:$AG$1001,0),MATCH(COLUMNS($AN$1006:BL1006),$AN$1006:$BO$1006,0)), HYPERLINK("#",""), HYPERLINK(CONCATENATE("#Metadata!", ADDRESS(INDEX($AI$2:$AI$1001,MATCH(ROWS($AG$2:AG510),$AG$2:$AG$1001,0),0), INDEX($AN$1004:$BO$1004,1,MATCH(COLUMNS($AN$1006:BL1006),$AN$1006:$BO$1006,0)))),"Fix")))</f>
        <v>0</v>
      </c>
      <c r="AA510" s="4">
        <f>IF(OR(INDEX($AH$2:$AH$1001,MATCH(ROWS($AG$2:AG510),$AG$2:$AG$1001,0),1)&gt;=100000,INDEX($AN$1005:$BO$1005,1,MATCH(COLUMNS($AN$1006:BM1006),$AN$1006:$BO$1006,0))&gt;=100000), " ",IF(INDEX($AN$2:$BO$1001,MATCH(ROWS($AG$2:AG510),$AG$2:$AG$1001,0),MATCH(COLUMNS($AN$1006:BM1006),$AN$1006:$BO$1006,0)), HYPERLINK("#",""), HYPERLINK(CONCATENATE("#Metadata!", ADDRESS(INDEX($AI$2:$AI$1001,MATCH(ROWS($AG$2:AG510),$AG$2:$AG$1001,0),0), INDEX($AN$1004:$BO$1004,1,MATCH(COLUMNS($AN$1006:BM1006),$AN$1006:$BO$1006,0)))),"Fix")))</f>
        <v>0</v>
      </c>
      <c r="AB510" s="4">
        <f>IF(OR(INDEX($AH$2:$AH$1001,MATCH(ROWS($AG$2:AG510),$AG$2:$AG$1001,0),1)&gt;=100000,INDEX($AN$1005:$BO$1005,1,MATCH(COLUMNS($AN$1006:BN1006),$AN$1006:$BO$1006,0))&gt;=100000), " ",IF(INDEX($AN$2:$BO$1001,MATCH(ROWS($AG$2:AG510),$AG$2:$AG$1001,0),MATCH(COLUMNS($AN$1006:BN1006),$AN$1006:$BO$1006,0)), HYPERLINK("#",""), HYPERLINK(CONCATENATE("#Metadata!", ADDRESS(INDEX($AI$2:$AI$1001,MATCH(ROWS($AG$2:AG510),$AG$2:$AG$1001,0),0), INDEX($AN$1004:$BO$1004,1,MATCH(COLUMNS($AN$1006:BN1006),$AN$1006:$BO$1006,0)))),"Fix")))</f>
        <v>0</v>
      </c>
      <c r="AC510" s="4">
        <f>IF(OR(INDEX($AH$2:$AH$1001,MATCH(ROWS($AG$2:AG510),$AG$2:$AG$1001,0),1)&gt;=100000,INDEX($AN$1005:$BO$1005,1,MATCH(COLUMNS($AN$1006:BO1006),$AN$1006:$BO$1006,0))&gt;=100000), " ",IF(INDEX($AN$2:$BO$1001,MATCH(ROWS($AG$2:AG510),$AG$2:$AG$1001,0),MATCH(COLUMNS($AN$1006:BO1006),$AN$1006:$BO$1006,0)), HYPERLINK("#",""), HYPERLINK(CONCATENATE("#Metadata!", ADDRESS(INDEX($AI$2:$AI$1001,MATCH(ROWS($AG$2:AG510),$AG$2:$AG$1001,0),0), INDEX($AN$1004:$BO$1004,1,MATCH(COLUMNS($AN$1006:BO1006),$AN$1006:$BO$1006,0)))),"Fix")))</f>
        <v>0</v>
      </c>
      <c r="AG510">
        <v>0</v>
      </c>
      <c r="AH510">
        <v>0</v>
      </c>
      <c r="AI510">
        <v>0</v>
      </c>
      <c r="AJ510">
        <f>IF(AK510,TRUE,AND(AN510:BO510))</f>
        <v>0</v>
      </c>
      <c r="AK510">
        <f>COUNTBLANK(Metadata!B510:AC510)=COLUMNS(Metadata!B510:AC510)</f>
        <v>0</v>
      </c>
      <c r="AL510">
        <v>0</v>
      </c>
      <c r="AN510">
        <f>AND(IF(Metadata!B510="",FALSE,TRUE),COUNTIF(Metadata!B:B, Metadata!B510) = 1,NOT(ISERROR(SUMPRODUCT(SEARCH(MID(Metadata!B510,ROW(INDIRECT("1:"&amp;LEN(Metadata!B510))), 1),"0123456789abcdefghijklmnopqrstuvwxyzABCDEFGHIJKLMNOPQRSTUVWXYZ.")))))</f>
        <v>0</v>
      </c>
      <c r="AO510">
        <f>IF(Metadata!C510="",FALSE,TRUE)</f>
        <v>0</v>
      </c>
      <c r="AP510">
        <f>IF(Metadata!D510="",FALSE,TRUE)</f>
        <v>0</v>
      </c>
      <c r="AQ510">
        <f>OR(AND(IF(Metadata!E510="",FALSE,TRUE),OR(exact(Metadata!E510,"not collected"),exact(Metadata!E510,"not provided"),exact(Metadata!E510,"restricted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R510">
        <f>IF(Metadata!F510="",FALSE,TRUE)</f>
        <v>0</v>
      </c>
      <c r="AS510">
        <f>OR(AND(IF(Metadata!G510="",FALSE,TRUE),OR(exact(Metadata!G510,"not collected"),exact(Metadata!G510,"not provided"))),AND(IF(Metadata!G510="",FALSE,TRUE),OR(exact(Metadata!G510,"TRUE"),exact(Metadata!G510,"FALSE"))))</f>
        <v>0</v>
      </c>
      <c r="AT510">
        <f>OR(AND(IF(Metadata!H510="",FALSE,TRUE),OR(exact(Metadata!H510,"not collected"),exact(Metadata!H510,"not provided"),exact(Metadata!H510,"restricted access"))),AND(IF(Metadata!H510="",FALSE,ISNUMBER(VALUE(Metadata!H510))),Metadata!H510&gt;=-413.0))</f>
        <v>0</v>
      </c>
      <c r="AU510">
        <f>AND(IF(Metadata!I510="",FALSE,TRUE),exact(Metadata!I510,"meters"))</f>
        <v>0</v>
      </c>
      <c r="AV510">
        <f>AND(IF(Metadata!J510="",FALSE,TRUE),OR(exact(Metadata!J510,"Host-associated"),exact(Metadata!J510,"Free-living")))</f>
        <v>0</v>
      </c>
      <c r="AW510">
        <f>AND(IF(Metadata!K510="",FALSE,TRUE),OR(exact(Metadata!K510,"Animal"),exact(Metadata!K510,"Fungus"),exact(Metadata!K510,"Plant"),exact(Metadata!K510,"Saline"),exact(Metadata!K510,"Non-saline")))</f>
        <v>0</v>
      </c>
      <c r="AX510">
        <f>AND(IF(Metadata!L510="",FALSE,TRUE),OR(exact(Metadata!L510,"Plant secretion"),exact(Metadata!L510,"Plant rhizosphere"),exact(Metadata!L510,"Plant surface"),exact(Metadata!L510,"Plant corpus"),exact(Metadata!L510,"Fungus surface"),exact(Metadata!L510,"Fungus corpus"),exact(Metadata!L510,"Animal surface"),exact(Metadata!L510,"Animal proximal gut"),exact(Metadata!L510,"Animal corpus"),exact(Metadata!L510,"Animal distal gut"),exact(Metadata!L510,"Animal secretion"),exact(Metadata!L510,"Sub-surface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Y510">
        <f>IF(Metadata!M510="",FALSE,TRUE)</f>
        <v>0</v>
      </c>
      <c r="AZ510">
        <f>IF(Metadata!N510="",FALSE,TRUE)</f>
        <v>0</v>
      </c>
      <c r="BA510">
        <f>IF(Metadata!O510="",FALSE,TRUE)</f>
        <v>0</v>
      </c>
      <c r="BB510">
        <f>OR(AND(IF(Metadata!P510="",FALSE,TRUE),OR(exact(Metadata!P510,"not collected"),exact(Metadata!P510,"not provided"),exact(Metadata!P510,"restricted access"))),AND(IF(Metadata!P510="",FALSE,TRUE),OR(exact(Metadata!P510,"air"),exact(Metadata!P510,"built environment"),exact(Metadata!P510,"host-associated"),exact(Metadata!P510,"human-associated"),exact(Metadata!P510,"human-skin"),exact(Metadata!P510,"human-oral"),exact(Metadata!P510,"human-gut"),exact(Metadata!P510,"human-vaginal"),exact(Metadata!P510,"microbial mat/biofilm"),exact(Metadata!P510,"misc environment"),exact(Metadata!P510,"plant-associated"),exact(Metadata!P510,"sediment"),exact(Metadata!P510,"soil"),exact(Metadata!P510,"wastewater/sludge"),exact(Metadata!P510,"water"))))</f>
        <v>0</v>
      </c>
      <c r="BC510">
        <f>IF(Metadata!Q510="",FALSE,TRUE)</f>
        <v>0</v>
      </c>
      <c r="BD510">
        <f>IF(Metadata!R510="",FALSE,TRUE)</f>
        <v>0</v>
      </c>
      <c r="BE510">
        <f>OR(AND(IF(Metadata!S510="",FALSE,TRUE),OR(exact(Metadata!S510,"not collected"),exact(Metadata!S510,"not provided"),exact(Metadata!S510,"restricted access"))),AND(IF(Metadata!S510="",FALSE,ISNUMBER(VALUE(Metadata!S510))),Metadata!S510&gt;=-90.00,Metadata!S510&lt;=90.00))</f>
        <v>0</v>
      </c>
      <c r="BF510">
        <f>AND(IF(Metadata!T510="",FALSE,TRUE),exact(Metadata!T510,"Decimal degrees"))</f>
        <v>0</v>
      </c>
      <c r="BG510">
        <f>OR(AND(IF(Metadata!U510="",FALSE,TRUE),OR(exact(Metadata!U510,"not collected"),exact(Metadata!U510,"not provided"),exact(Metadata!U510,"restricted access"))),AND(IF(Metadata!U510="",FALSE,ISNUMBER(VALUE(Metadata!U510))),Metadata!U510&gt;=-180.00,Metadata!U510&lt;=180.00))</f>
        <v>0</v>
      </c>
      <c r="BH510">
        <f>AND(IF(Metadata!V510="",FALSE,TRUE),exact(Metadata!V510,"Decimal degrees"))</f>
        <v>0</v>
      </c>
      <c r="BI510">
        <f>IF(Metadata!W510="",FALSE,TRUE)</f>
        <v>0</v>
      </c>
      <c r="BJ510">
        <f>OR(AND(IF(Metadata!X510="",FALSE,TRUE),OR(exact(Metadata!X510,"not collected"),exact(Metadata!X510,"not provided"),exact(Metadata!X510,"restricted access"))),AND(IF(Metadata!X510="",FALSE,TRUE),OR(exact(Metadata!X510,"TRUE"),exact(Metadata!X510,"FALSE"))))</f>
        <v>0</v>
      </c>
      <c r="BK510">
        <f>AND(IF(Metadata!Y510="",FALSE,TRUE),exact(Metadata!Y510,"other"))</f>
        <v>0</v>
      </c>
      <c r="BL510">
        <f>IF(Metadata!Z510="",FALSE,TRUE)</f>
        <v>0</v>
      </c>
      <c r="BM510">
        <f>OR(AND(IF(Metadata!AA510="",FALSE,TRUE),OR(exact(Metadata!AA510,"not collected"),exact(Metadata!AA510,"not provided"))),AND(IF(Metadata!AA510="",FALSE,IF(ISERROR(INT(Metadata!AA510)),FALSE,INT(Metadata!AA510)=Metadata!AA510)),Metadata!AA510&gt;0))</f>
        <v>0</v>
      </c>
      <c r="BN510">
        <f>AND(IF(Metadata!AB510="",FALSE,TRUE),exact(Metadata!AB510,"Not applicable"))</f>
        <v>0</v>
      </c>
      <c r="BO510">
        <f>IF(Metadata!AC510="",FALSE,TRUE)</f>
        <v>0</v>
      </c>
    </row>
    <row r="511" spans="1:67">
      <c r="A511" s="5">
        <f>IF(B511=" "," ",HYPERLINK(CONCATENATE("#metadata!",ADDRESS(INDEX($AI$2:$AI$1001,MATCH(ROWS($AG$2:AG511),$AG$2:$AG$1001,0),0),1)),INDEX($AL$2:$AL$1001,MATCH(ROWS($AG$2:AG511),$AG$2:$AG$1001,0),0)))</f>
        <v>0</v>
      </c>
      <c r="B511" s="4">
        <f>IF(OR(INDEX($AH$2:$AH$1001,MATCH(ROWS($AG$2:AG511),$AG$2:$AG$1001,0),1)&gt;=100000,INDEX($AN$1005:$BO$1005,1,MATCH(COLUMNS($AN$1006:AN1006),$AN$1006:$BO$1006,0))&gt;=100000), " ",IF(INDEX($AN$2:$BO$1001,MATCH(ROWS($AG$2:AG511),$AG$2:$AG$1001,0),MATCH(COLUMNS($AN$1006:AN1006),$AN$1006:$BO$1006,0)), HYPERLINK("#",""), HYPERLINK(CONCATENATE("#Metadata!", ADDRESS(INDEX($AI$2:$AI$1001,MATCH(ROWS($AG$2:AG511),$AG$2:$AG$1001,0),0), INDEX($AN$1004:$BO$1004,1,MATCH(COLUMNS($AN$1006:AN1006),$AN$1006:$BO$1006,0)))),"Fix")))</f>
        <v>0</v>
      </c>
      <c r="C511" s="4">
        <f>IF(OR(INDEX($AH$2:$AH$1001,MATCH(ROWS($AG$2:AG511),$AG$2:$AG$1001,0),1)&gt;=100000,INDEX($AN$1005:$BO$1005,1,MATCH(COLUMNS($AN$1006:AO1006),$AN$1006:$BO$1006,0))&gt;=100000), " ",IF(INDEX($AN$2:$BO$1001,MATCH(ROWS($AG$2:AG511),$AG$2:$AG$1001,0),MATCH(COLUMNS($AN$1006:AO1006),$AN$1006:$BO$1006,0)), HYPERLINK("#",""), HYPERLINK(CONCATENATE("#Metadata!", ADDRESS(INDEX($AI$2:$AI$1001,MATCH(ROWS($AG$2:AG511),$AG$2:$AG$1001,0),0), INDEX($AN$1004:$BO$1004,1,MATCH(COLUMNS($AN$1006:AO1006),$AN$1006:$BO$1006,0)))),"Fix")))</f>
        <v>0</v>
      </c>
      <c r="D511" s="4">
        <f>IF(OR(INDEX($AH$2:$AH$1001,MATCH(ROWS($AG$2:AG511),$AG$2:$AG$1001,0),1)&gt;=100000,INDEX($AN$1005:$BO$1005,1,MATCH(COLUMNS($AN$1006:AP1006),$AN$1006:$BO$1006,0))&gt;=100000), " ",IF(INDEX($AN$2:$BO$1001,MATCH(ROWS($AG$2:AG511),$AG$2:$AG$1001,0),MATCH(COLUMNS($AN$1006:AP1006),$AN$1006:$BO$1006,0)), HYPERLINK("#",""), HYPERLINK(CONCATENATE("#Metadata!", ADDRESS(INDEX($AI$2:$AI$1001,MATCH(ROWS($AG$2:AG511),$AG$2:$AG$1001,0),0), INDEX($AN$1004:$BO$1004,1,MATCH(COLUMNS($AN$1006:AP1006),$AN$1006:$BO$1006,0)))),"Fix")))</f>
        <v>0</v>
      </c>
      <c r="E511" s="4">
        <f>IF(OR(INDEX($AH$2:$AH$1001,MATCH(ROWS($AG$2:AG511),$AG$2:$AG$1001,0),1)&gt;=100000,INDEX($AN$1005:$BO$1005,1,MATCH(COLUMNS($AN$1006:AQ1006),$AN$1006:$BO$1006,0))&gt;=100000), " ",IF(INDEX($AN$2:$BO$1001,MATCH(ROWS($AG$2:AG511),$AG$2:$AG$1001,0),MATCH(COLUMNS($AN$1006:AQ1006),$AN$1006:$BO$1006,0)), HYPERLINK("#",""), HYPERLINK(CONCATENATE("#Metadata!", ADDRESS(INDEX($AI$2:$AI$1001,MATCH(ROWS($AG$2:AG511),$AG$2:$AG$1001,0),0), INDEX($AN$1004:$BO$1004,1,MATCH(COLUMNS($AN$1006:AQ1006),$AN$1006:$BO$1006,0)))),"Fix")))</f>
        <v>0</v>
      </c>
      <c r="F511" s="4">
        <f>IF(OR(INDEX($AH$2:$AH$1001,MATCH(ROWS($AG$2:AG511),$AG$2:$AG$1001,0),1)&gt;=100000,INDEX($AN$1005:$BO$1005,1,MATCH(COLUMNS($AN$1006:AR1006),$AN$1006:$BO$1006,0))&gt;=100000), " ",IF(INDEX($AN$2:$BO$1001,MATCH(ROWS($AG$2:AG511),$AG$2:$AG$1001,0),MATCH(COLUMNS($AN$1006:AR1006),$AN$1006:$BO$1006,0)), HYPERLINK("#",""), HYPERLINK(CONCATENATE("#Metadata!", ADDRESS(INDEX($AI$2:$AI$1001,MATCH(ROWS($AG$2:AG511),$AG$2:$AG$1001,0),0), INDEX($AN$1004:$BO$1004,1,MATCH(COLUMNS($AN$1006:AR1006),$AN$1006:$BO$1006,0)))),"Fix")))</f>
        <v>0</v>
      </c>
      <c r="G511" s="4">
        <f>IF(OR(INDEX($AH$2:$AH$1001,MATCH(ROWS($AG$2:AG511),$AG$2:$AG$1001,0),1)&gt;=100000,INDEX($AN$1005:$BO$1005,1,MATCH(COLUMNS($AN$1006:AS1006),$AN$1006:$BO$1006,0))&gt;=100000), " ",IF(INDEX($AN$2:$BO$1001,MATCH(ROWS($AG$2:AG511),$AG$2:$AG$1001,0),MATCH(COLUMNS($AN$1006:AS1006),$AN$1006:$BO$1006,0)), HYPERLINK("#",""), HYPERLINK(CONCATENATE("#Metadata!", ADDRESS(INDEX($AI$2:$AI$1001,MATCH(ROWS($AG$2:AG511),$AG$2:$AG$1001,0),0), INDEX($AN$1004:$BO$1004,1,MATCH(COLUMNS($AN$1006:AS1006),$AN$1006:$BO$1006,0)))),"Fix")))</f>
        <v>0</v>
      </c>
      <c r="H511" s="4">
        <f>IF(OR(INDEX($AH$2:$AH$1001,MATCH(ROWS($AG$2:AG511),$AG$2:$AG$1001,0),1)&gt;=100000,INDEX($AN$1005:$BO$1005,1,MATCH(COLUMNS($AN$1006:AT1006),$AN$1006:$BO$1006,0))&gt;=100000), " ",IF(INDEX($AN$2:$BO$1001,MATCH(ROWS($AG$2:AG511),$AG$2:$AG$1001,0),MATCH(COLUMNS($AN$1006:AT1006),$AN$1006:$BO$1006,0)), HYPERLINK("#",""), HYPERLINK(CONCATENATE("#Metadata!", ADDRESS(INDEX($AI$2:$AI$1001,MATCH(ROWS($AG$2:AG511),$AG$2:$AG$1001,0),0), INDEX($AN$1004:$BO$1004,1,MATCH(COLUMNS($AN$1006:AT1006),$AN$1006:$BO$1006,0)))),"Fix")))</f>
        <v>0</v>
      </c>
      <c r="I511" s="4">
        <f>IF(OR(INDEX($AH$2:$AH$1001,MATCH(ROWS($AG$2:AG511),$AG$2:$AG$1001,0),1)&gt;=100000,INDEX($AN$1005:$BO$1005,1,MATCH(COLUMNS($AN$1006:AU1006),$AN$1006:$BO$1006,0))&gt;=100000), " ",IF(INDEX($AN$2:$BO$1001,MATCH(ROWS($AG$2:AG511),$AG$2:$AG$1001,0),MATCH(COLUMNS($AN$1006:AU1006),$AN$1006:$BO$1006,0)), HYPERLINK("#",""), HYPERLINK(CONCATENATE("#Metadata!", ADDRESS(INDEX($AI$2:$AI$1001,MATCH(ROWS($AG$2:AG511),$AG$2:$AG$1001,0),0), INDEX($AN$1004:$BO$1004,1,MATCH(COLUMNS($AN$1006:AU1006),$AN$1006:$BO$1006,0)))),"Fix")))</f>
        <v>0</v>
      </c>
      <c r="J511" s="4">
        <f>IF(OR(INDEX($AH$2:$AH$1001,MATCH(ROWS($AG$2:AG511),$AG$2:$AG$1001,0),1)&gt;=100000,INDEX($AN$1005:$BO$1005,1,MATCH(COLUMNS($AN$1006:AV1006),$AN$1006:$BO$1006,0))&gt;=100000), " ",IF(INDEX($AN$2:$BO$1001,MATCH(ROWS($AG$2:AG511),$AG$2:$AG$1001,0),MATCH(COLUMNS($AN$1006:AV1006),$AN$1006:$BO$1006,0)), HYPERLINK("#",""), HYPERLINK(CONCATENATE("#Metadata!", ADDRESS(INDEX($AI$2:$AI$1001,MATCH(ROWS($AG$2:AG511),$AG$2:$AG$1001,0),0), INDEX($AN$1004:$BO$1004,1,MATCH(COLUMNS($AN$1006:AV1006),$AN$1006:$BO$1006,0)))),"Fix")))</f>
        <v>0</v>
      </c>
      <c r="K511" s="4">
        <f>IF(OR(INDEX($AH$2:$AH$1001,MATCH(ROWS($AG$2:AG511),$AG$2:$AG$1001,0),1)&gt;=100000,INDEX($AN$1005:$BO$1005,1,MATCH(COLUMNS($AN$1006:AW1006),$AN$1006:$BO$1006,0))&gt;=100000), " ",IF(INDEX($AN$2:$BO$1001,MATCH(ROWS($AG$2:AG511),$AG$2:$AG$1001,0),MATCH(COLUMNS($AN$1006:AW1006),$AN$1006:$BO$1006,0)), HYPERLINK("#",""), HYPERLINK(CONCATENATE("#Metadata!", ADDRESS(INDEX($AI$2:$AI$1001,MATCH(ROWS($AG$2:AG511),$AG$2:$AG$1001,0),0), INDEX($AN$1004:$BO$1004,1,MATCH(COLUMNS($AN$1006:AW1006),$AN$1006:$BO$1006,0)))),"Fix")))</f>
        <v>0</v>
      </c>
      <c r="L511" s="4">
        <f>IF(OR(INDEX($AH$2:$AH$1001,MATCH(ROWS($AG$2:AG511),$AG$2:$AG$1001,0),1)&gt;=100000,INDEX($AN$1005:$BO$1005,1,MATCH(COLUMNS($AN$1006:AX1006),$AN$1006:$BO$1006,0))&gt;=100000), " ",IF(INDEX($AN$2:$BO$1001,MATCH(ROWS($AG$2:AG511),$AG$2:$AG$1001,0),MATCH(COLUMNS($AN$1006:AX1006),$AN$1006:$BO$1006,0)), HYPERLINK("#",""), HYPERLINK(CONCATENATE("#Metadata!", ADDRESS(INDEX($AI$2:$AI$1001,MATCH(ROWS($AG$2:AG511),$AG$2:$AG$1001,0),0), INDEX($AN$1004:$BO$1004,1,MATCH(COLUMNS($AN$1006:AX1006),$AN$1006:$BO$1006,0)))),"Fix")))</f>
        <v>0</v>
      </c>
      <c r="M511" s="4">
        <f>IF(OR(INDEX($AH$2:$AH$1001,MATCH(ROWS($AG$2:AG511),$AG$2:$AG$1001,0),1)&gt;=100000,INDEX($AN$1005:$BO$1005,1,MATCH(COLUMNS($AN$1006:AY1006),$AN$1006:$BO$1006,0))&gt;=100000), " ",IF(INDEX($AN$2:$BO$1001,MATCH(ROWS($AG$2:AG511),$AG$2:$AG$1001,0),MATCH(COLUMNS($AN$1006:AY1006),$AN$1006:$BO$1006,0)), HYPERLINK("#",""), HYPERLINK(CONCATENATE("#Metadata!", ADDRESS(INDEX($AI$2:$AI$1001,MATCH(ROWS($AG$2:AG511),$AG$2:$AG$1001,0),0), INDEX($AN$1004:$BO$1004,1,MATCH(COLUMNS($AN$1006:AY1006),$AN$1006:$BO$1006,0)))),"Fix")))</f>
        <v>0</v>
      </c>
      <c r="N511" s="4">
        <f>IF(OR(INDEX($AH$2:$AH$1001,MATCH(ROWS($AG$2:AG511),$AG$2:$AG$1001,0),1)&gt;=100000,INDEX($AN$1005:$BO$1005,1,MATCH(COLUMNS($AN$1006:AZ1006),$AN$1006:$BO$1006,0))&gt;=100000), " ",IF(INDEX($AN$2:$BO$1001,MATCH(ROWS($AG$2:AG511),$AG$2:$AG$1001,0),MATCH(COLUMNS($AN$1006:AZ1006),$AN$1006:$BO$1006,0)), HYPERLINK("#",""), HYPERLINK(CONCATENATE("#Metadata!", ADDRESS(INDEX($AI$2:$AI$1001,MATCH(ROWS($AG$2:AG511),$AG$2:$AG$1001,0),0), INDEX($AN$1004:$BO$1004,1,MATCH(COLUMNS($AN$1006:AZ1006),$AN$1006:$BO$1006,0)))),"Fix")))</f>
        <v>0</v>
      </c>
      <c r="O511" s="4">
        <f>IF(OR(INDEX($AH$2:$AH$1001,MATCH(ROWS($AG$2:AG511),$AG$2:$AG$1001,0),1)&gt;=100000,INDEX($AN$1005:$BO$1005,1,MATCH(COLUMNS($AN$1006:BA1006),$AN$1006:$BO$1006,0))&gt;=100000), " ",IF(INDEX($AN$2:$BO$1001,MATCH(ROWS($AG$2:AG511),$AG$2:$AG$1001,0),MATCH(COLUMNS($AN$1006:BA1006),$AN$1006:$BO$1006,0)), HYPERLINK("#",""), HYPERLINK(CONCATENATE("#Metadata!", ADDRESS(INDEX($AI$2:$AI$1001,MATCH(ROWS($AG$2:AG511),$AG$2:$AG$1001,0),0), INDEX($AN$1004:$BO$1004,1,MATCH(COLUMNS($AN$1006:BA1006),$AN$1006:$BO$1006,0)))),"Fix")))</f>
        <v>0</v>
      </c>
      <c r="P511" s="4">
        <f>IF(OR(INDEX($AH$2:$AH$1001,MATCH(ROWS($AG$2:AG511),$AG$2:$AG$1001,0),1)&gt;=100000,INDEX($AN$1005:$BO$1005,1,MATCH(COLUMNS($AN$1006:BB1006),$AN$1006:$BO$1006,0))&gt;=100000), " ",IF(INDEX($AN$2:$BO$1001,MATCH(ROWS($AG$2:AG511),$AG$2:$AG$1001,0),MATCH(COLUMNS($AN$1006:BB1006),$AN$1006:$BO$1006,0)), HYPERLINK("#",""), HYPERLINK(CONCATENATE("#Metadata!", ADDRESS(INDEX($AI$2:$AI$1001,MATCH(ROWS($AG$2:AG511),$AG$2:$AG$1001,0),0), INDEX($AN$1004:$BO$1004,1,MATCH(COLUMNS($AN$1006:BB1006),$AN$1006:$BO$1006,0)))),"Fix")))</f>
        <v>0</v>
      </c>
      <c r="Q511" s="4">
        <f>IF(OR(INDEX($AH$2:$AH$1001,MATCH(ROWS($AG$2:AG511),$AG$2:$AG$1001,0),1)&gt;=100000,INDEX($AN$1005:$BO$1005,1,MATCH(COLUMNS($AN$1006:BC1006),$AN$1006:$BO$1006,0))&gt;=100000), " ",IF(INDEX($AN$2:$BO$1001,MATCH(ROWS($AG$2:AG511),$AG$2:$AG$1001,0),MATCH(COLUMNS($AN$1006:BC1006),$AN$1006:$BO$1006,0)), HYPERLINK("#",""), HYPERLINK(CONCATENATE("#Metadata!", ADDRESS(INDEX($AI$2:$AI$1001,MATCH(ROWS($AG$2:AG511),$AG$2:$AG$1001,0),0), INDEX($AN$1004:$BO$1004,1,MATCH(COLUMNS($AN$1006:BC1006),$AN$1006:$BO$1006,0)))),"Fix")))</f>
        <v>0</v>
      </c>
      <c r="R511" s="4">
        <f>IF(OR(INDEX($AH$2:$AH$1001,MATCH(ROWS($AG$2:AG511),$AG$2:$AG$1001,0),1)&gt;=100000,INDEX($AN$1005:$BO$1005,1,MATCH(COLUMNS($AN$1006:BD1006),$AN$1006:$BO$1006,0))&gt;=100000), " ",IF(INDEX($AN$2:$BO$1001,MATCH(ROWS($AG$2:AG511),$AG$2:$AG$1001,0),MATCH(COLUMNS($AN$1006:BD1006),$AN$1006:$BO$1006,0)), HYPERLINK("#",""), HYPERLINK(CONCATENATE("#Metadata!", ADDRESS(INDEX($AI$2:$AI$1001,MATCH(ROWS($AG$2:AG511),$AG$2:$AG$1001,0),0), INDEX($AN$1004:$BO$1004,1,MATCH(COLUMNS($AN$1006:BD1006),$AN$1006:$BO$1006,0)))),"Fix")))</f>
        <v>0</v>
      </c>
      <c r="S511" s="4">
        <f>IF(OR(INDEX($AH$2:$AH$1001,MATCH(ROWS($AG$2:AG511),$AG$2:$AG$1001,0),1)&gt;=100000,INDEX($AN$1005:$BO$1005,1,MATCH(COLUMNS($AN$1006:BE1006),$AN$1006:$BO$1006,0))&gt;=100000), " ",IF(INDEX($AN$2:$BO$1001,MATCH(ROWS($AG$2:AG511),$AG$2:$AG$1001,0),MATCH(COLUMNS($AN$1006:BE1006),$AN$1006:$BO$1006,0)), HYPERLINK("#",""), HYPERLINK(CONCATENATE("#Metadata!", ADDRESS(INDEX($AI$2:$AI$1001,MATCH(ROWS($AG$2:AG511),$AG$2:$AG$1001,0),0), INDEX($AN$1004:$BO$1004,1,MATCH(COLUMNS($AN$1006:BE1006),$AN$1006:$BO$1006,0)))),"Fix")))</f>
        <v>0</v>
      </c>
      <c r="T511" s="4">
        <f>IF(OR(INDEX($AH$2:$AH$1001,MATCH(ROWS($AG$2:AG511),$AG$2:$AG$1001,0),1)&gt;=100000,INDEX($AN$1005:$BO$1005,1,MATCH(COLUMNS($AN$1006:BF1006),$AN$1006:$BO$1006,0))&gt;=100000), " ",IF(INDEX($AN$2:$BO$1001,MATCH(ROWS($AG$2:AG511),$AG$2:$AG$1001,0),MATCH(COLUMNS($AN$1006:BF1006),$AN$1006:$BO$1006,0)), HYPERLINK("#",""), HYPERLINK(CONCATENATE("#Metadata!", ADDRESS(INDEX($AI$2:$AI$1001,MATCH(ROWS($AG$2:AG511),$AG$2:$AG$1001,0),0), INDEX($AN$1004:$BO$1004,1,MATCH(COLUMNS($AN$1006:BF1006),$AN$1006:$BO$1006,0)))),"Fix")))</f>
        <v>0</v>
      </c>
      <c r="U511" s="4">
        <f>IF(OR(INDEX($AH$2:$AH$1001,MATCH(ROWS($AG$2:AG511),$AG$2:$AG$1001,0),1)&gt;=100000,INDEX($AN$1005:$BO$1005,1,MATCH(COLUMNS($AN$1006:BG1006),$AN$1006:$BO$1006,0))&gt;=100000), " ",IF(INDEX($AN$2:$BO$1001,MATCH(ROWS($AG$2:AG511),$AG$2:$AG$1001,0),MATCH(COLUMNS($AN$1006:BG1006),$AN$1006:$BO$1006,0)), HYPERLINK("#",""), HYPERLINK(CONCATENATE("#Metadata!", ADDRESS(INDEX($AI$2:$AI$1001,MATCH(ROWS($AG$2:AG511),$AG$2:$AG$1001,0),0), INDEX($AN$1004:$BO$1004,1,MATCH(COLUMNS($AN$1006:BG1006),$AN$1006:$BO$1006,0)))),"Fix")))</f>
        <v>0</v>
      </c>
      <c r="V511" s="4">
        <f>IF(OR(INDEX($AH$2:$AH$1001,MATCH(ROWS($AG$2:AG511),$AG$2:$AG$1001,0),1)&gt;=100000,INDEX($AN$1005:$BO$1005,1,MATCH(COLUMNS($AN$1006:BH1006),$AN$1006:$BO$1006,0))&gt;=100000), " ",IF(INDEX($AN$2:$BO$1001,MATCH(ROWS($AG$2:AG511),$AG$2:$AG$1001,0),MATCH(COLUMNS($AN$1006:BH1006),$AN$1006:$BO$1006,0)), HYPERLINK("#",""), HYPERLINK(CONCATENATE("#Metadata!", ADDRESS(INDEX($AI$2:$AI$1001,MATCH(ROWS($AG$2:AG511),$AG$2:$AG$1001,0),0), INDEX($AN$1004:$BO$1004,1,MATCH(COLUMNS($AN$1006:BH1006),$AN$1006:$BO$1006,0)))),"Fix")))</f>
        <v>0</v>
      </c>
      <c r="W511" s="4">
        <f>IF(OR(INDEX($AH$2:$AH$1001,MATCH(ROWS($AG$2:AG511),$AG$2:$AG$1001,0),1)&gt;=100000,INDEX($AN$1005:$BO$1005,1,MATCH(COLUMNS($AN$1006:BI1006),$AN$1006:$BO$1006,0))&gt;=100000), " ",IF(INDEX($AN$2:$BO$1001,MATCH(ROWS($AG$2:AG511),$AG$2:$AG$1001,0),MATCH(COLUMNS($AN$1006:BI1006),$AN$1006:$BO$1006,0)), HYPERLINK("#",""), HYPERLINK(CONCATENATE("#Metadata!", ADDRESS(INDEX($AI$2:$AI$1001,MATCH(ROWS($AG$2:AG511),$AG$2:$AG$1001,0),0), INDEX($AN$1004:$BO$1004,1,MATCH(COLUMNS($AN$1006:BI1006),$AN$1006:$BO$1006,0)))),"Fix")))</f>
        <v>0</v>
      </c>
      <c r="X511" s="4">
        <f>IF(OR(INDEX($AH$2:$AH$1001,MATCH(ROWS($AG$2:AG511),$AG$2:$AG$1001,0),1)&gt;=100000,INDEX($AN$1005:$BO$1005,1,MATCH(COLUMNS($AN$1006:BJ1006),$AN$1006:$BO$1006,0))&gt;=100000), " ",IF(INDEX($AN$2:$BO$1001,MATCH(ROWS($AG$2:AG511),$AG$2:$AG$1001,0),MATCH(COLUMNS($AN$1006:BJ1006),$AN$1006:$BO$1006,0)), HYPERLINK("#",""), HYPERLINK(CONCATENATE("#Metadata!", ADDRESS(INDEX($AI$2:$AI$1001,MATCH(ROWS($AG$2:AG511),$AG$2:$AG$1001,0),0), INDEX($AN$1004:$BO$1004,1,MATCH(COLUMNS($AN$1006:BJ1006),$AN$1006:$BO$1006,0)))),"Fix")))</f>
        <v>0</v>
      </c>
      <c r="Y511" s="4">
        <f>IF(OR(INDEX($AH$2:$AH$1001,MATCH(ROWS($AG$2:AG511),$AG$2:$AG$1001,0),1)&gt;=100000,INDEX($AN$1005:$BO$1005,1,MATCH(COLUMNS($AN$1006:BK1006),$AN$1006:$BO$1006,0))&gt;=100000), " ",IF(INDEX($AN$2:$BO$1001,MATCH(ROWS($AG$2:AG511),$AG$2:$AG$1001,0),MATCH(COLUMNS($AN$1006:BK1006),$AN$1006:$BO$1006,0)), HYPERLINK("#",""), HYPERLINK(CONCATENATE("#Metadata!", ADDRESS(INDEX($AI$2:$AI$1001,MATCH(ROWS($AG$2:AG511),$AG$2:$AG$1001,0),0), INDEX($AN$1004:$BO$1004,1,MATCH(COLUMNS($AN$1006:BK1006),$AN$1006:$BO$1006,0)))),"Fix")))</f>
        <v>0</v>
      </c>
      <c r="Z511" s="4">
        <f>IF(OR(INDEX($AH$2:$AH$1001,MATCH(ROWS($AG$2:AG511),$AG$2:$AG$1001,0),1)&gt;=100000,INDEX($AN$1005:$BO$1005,1,MATCH(COLUMNS($AN$1006:BL1006),$AN$1006:$BO$1006,0))&gt;=100000), " ",IF(INDEX($AN$2:$BO$1001,MATCH(ROWS($AG$2:AG511),$AG$2:$AG$1001,0),MATCH(COLUMNS($AN$1006:BL1006),$AN$1006:$BO$1006,0)), HYPERLINK("#",""), HYPERLINK(CONCATENATE("#Metadata!", ADDRESS(INDEX($AI$2:$AI$1001,MATCH(ROWS($AG$2:AG511),$AG$2:$AG$1001,0),0), INDEX($AN$1004:$BO$1004,1,MATCH(COLUMNS($AN$1006:BL1006),$AN$1006:$BO$1006,0)))),"Fix")))</f>
        <v>0</v>
      </c>
      <c r="AA511" s="4">
        <f>IF(OR(INDEX($AH$2:$AH$1001,MATCH(ROWS($AG$2:AG511),$AG$2:$AG$1001,0),1)&gt;=100000,INDEX($AN$1005:$BO$1005,1,MATCH(COLUMNS($AN$1006:BM1006),$AN$1006:$BO$1006,0))&gt;=100000), " ",IF(INDEX($AN$2:$BO$1001,MATCH(ROWS($AG$2:AG511),$AG$2:$AG$1001,0),MATCH(COLUMNS($AN$1006:BM1006),$AN$1006:$BO$1006,0)), HYPERLINK("#",""), HYPERLINK(CONCATENATE("#Metadata!", ADDRESS(INDEX($AI$2:$AI$1001,MATCH(ROWS($AG$2:AG511),$AG$2:$AG$1001,0),0), INDEX($AN$1004:$BO$1004,1,MATCH(COLUMNS($AN$1006:BM1006),$AN$1006:$BO$1006,0)))),"Fix")))</f>
        <v>0</v>
      </c>
      <c r="AB511" s="4">
        <f>IF(OR(INDEX($AH$2:$AH$1001,MATCH(ROWS($AG$2:AG511),$AG$2:$AG$1001,0),1)&gt;=100000,INDEX($AN$1005:$BO$1005,1,MATCH(COLUMNS($AN$1006:BN1006),$AN$1006:$BO$1006,0))&gt;=100000), " ",IF(INDEX($AN$2:$BO$1001,MATCH(ROWS($AG$2:AG511),$AG$2:$AG$1001,0),MATCH(COLUMNS($AN$1006:BN1006),$AN$1006:$BO$1006,0)), HYPERLINK("#",""), HYPERLINK(CONCATENATE("#Metadata!", ADDRESS(INDEX($AI$2:$AI$1001,MATCH(ROWS($AG$2:AG511),$AG$2:$AG$1001,0),0), INDEX($AN$1004:$BO$1004,1,MATCH(COLUMNS($AN$1006:BN1006),$AN$1006:$BO$1006,0)))),"Fix")))</f>
        <v>0</v>
      </c>
      <c r="AC511" s="4">
        <f>IF(OR(INDEX($AH$2:$AH$1001,MATCH(ROWS($AG$2:AG511),$AG$2:$AG$1001,0),1)&gt;=100000,INDEX($AN$1005:$BO$1005,1,MATCH(COLUMNS($AN$1006:BO1006),$AN$1006:$BO$1006,0))&gt;=100000), " ",IF(INDEX($AN$2:$BO$1001,MATCH(ROWS($AG$2:AG511),$AG$2:$AG$1001,0),MATCH(COLUMNS($AN$1006:BO1006),$AN$1006:$BO$1006,0)), HYPERLINK("#",""), HYPERLINK(CONCATENATE("#Metadata!", ADDRESS(INDEX($AI$2:$AI$1001,MATCH(ROWS($AG$2:AG511),$AG$2:$AG$1001,0),0), INDEX($AN$1004:$BO$1004,1,MATCH(COLUMNS($AN$1006:BO1006),$AN$1006:$BO$1006,0)))),"Fix")))</f>
        <v>0</v>
      </c>
      <c r="AG511">
        <v>0</v>
      </c>
      <c r="AH511">
        <v>0</v>
      </c>
      <c r="AI511">
        <v>0</v>
      </c>
      <c r="AJ511">
        <f>IF(AK511,TRUE,AND(AN511:BO511))</f>
        <v>0</v>
      </c>
      <c r="AK511">
        <f>COUNTBLANK(Metadata!B511:AC511)=COLUMNS(Metadata!B511:AC511)</f>
        <v>0</v>
      </c>
      <c r="AL511">
        <v>0</v>
      </c>
      <c r="AN511">
        <f>AND(IF(Metadata!B511="",FALSE,TRUE),COUNTIF(Metadata!B:B, Metadata!B511) = 1,NOT(ISERROR(SUMPRODUCT(SEARCH(MID(Metadata!B511,ROW(INDIRECT("1:"&amp;LEN(Metadata!B511))), 1),"0123456789abcdefghijklmnopqrstuvwxyzABCDEFGHIJKLMNOPQRSTUVWXYZ.")))))</f>
        <v>0</v>
      </c>
      <c r="AO511">
        <f>IF(Metadata!C511="",FALSE,TRUE)</f>
        <v>0</v>
      </c>
      <c r="AP511">
        <f>IF(Metadata!D511="",FALSE,TRUE)</f>
        <v>0</v>
      </c>
      <c r="AQ511">
        <f>OR(AND(IF(Metadata!E511="",FALSE,TRUE),OR(exact(Metadata!E511,"not collected"),exact(Metadata!E511,"not provided"),exact(Metadata!E511,"restricted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R511">
        <f>IF(Metadata!F511="",FALSE,TRUE)</f>
        <v>0</v>
      </c>
      <c r="AS511">
        <f>OR(AND(IF(Metadata!G511="",FALSE,TRUE),OR(exact(Metadata!G511,"not collected"),exact(Metadata!G511,"not provided"))),AND(IF(Metadata!G511="",FALSE,TRUE),OR(exact(Metadata!G511,"TRUE"),exact(Metadata!G511,"FALSE"))))</f>
        <v>0</v>
      </c>
      <c r="AT511">
        <f>OR(AND(IF(Metadata!H511="",FALSE,TRUE),OR(exact(Metadata!H511,"not collected"),exact(Metadata!H511,"not provided"),exact(Metadata!H511,"restricted access"))),AND(IF(Metadata!H511="",FALSE,ISNUMBER(VALUE(Metadata!H511))),Metadata!H511&gt;=-413.0))</f>
        <v>0</v>
      </c>
      <c r="AU511">
        <f>AND(IF(Metadata!I511="",FALSE,TRUE),exact(Metadata!I511,"meters"))</f>
        <v>0</v>
      </c>
      <c r="AV511">
        <f>AND(IF(Metadata!J511="",FALSE,TRUE),OR(exact(Metadata!J511,"Host-associated"),exact(Metadata!J511,"Free-living")))</f>
        <v>0</v>
      </c>
      <c r="AW511">
        <f>AND(IF(Metadata!K511="",FALSE,TRUE),OR(exact(Metadata!K511,"Animal"),exact(Metadata!K511,"Fungus"),exact(Metadata!K511,"Plant"),exact(Metadata!K511,"Saline"),exact(Metadata!K511,"Non-saline")))</f>
        <v>0</v>
      </c>
      <c r="AX511">
        <f>AND(IF(Metadata!L511="",FALSE,TRUE),OR(exact(Metadata!L511,"Plant secretion"),exact(Metadata!L511,"Plant rhizosphere"),exact(Metadata!L511,"Plant surface"),exact(Metadata!L511,"Plant corpus"),exact(Metadata!L511,"Fungus surface"),exact(Metadata!L511,"Fungus corpus"),exact(Metadata!L511,"Animal surface"),exact(Metadata!L511,"Animal proximal gut"),exact(Metadata!L511,"Animal corpus"),exact(Metadata!L511,"Animal distal gut"),exact(Metadata!L511,"Animal secretion"),exact(Metadata!L511,"Sub-surface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Y511">
        <f>IF(Metadata!M511="",FALSE,TRUE)</f>
        <v>0</v>
      </c>
      <c r="AZ511">
        <f>IF(Metadata!N511="",FALSE,TRUE)</f>
        <v>0</v>
      </c>
      <c r="BA511">
        <f>IF(Metadata!O511="",FALSE,TRUE)</f>
        <v>0</v>
      </c>
      <c r="BB511">
        <f>OR(AND(IF(Metadata!P511="",FALSE,TRUE),OR(exact(Metadata!P511,"not collected"),exact(Metadata!P511,"not provided"),exact(Metadata!P511,"restricted access"))),AND(IF(Metadata!P511="",FALSE,TRUE),OR(exact(Metadata!P511,"air"),exact(Metadata!P511,"built environment"),exact(Metadata!P511,"host-associated"),exact(Metadata!P511,"human-associated"),exact(Metadata!P511,"human-skin"),exact(Metadata!P511,"human-oral"),exact(Metadata!P511,"human-gut"),exact(Metadata!P511,"human-vaginal"),exact(Metadata!P511,"microbial mat/biofilm"),exact(Metadata!P511,"misc environment"),exact(Metadata!P511,"plant-associated"),exact(Metadata!P511,"sediment"),exact(Metadata!P511,"soil"),exact(Metadata!P511,"wastewater/sludge"),exact(Metadata!P511,"water"))))</f>
        <v>0</v>
      </c>
      <c r="BC511">
        <f>IF(Metadata!Q511="",FALSE,TRUE)</f>
        <v>0</v>
      </c>
      <c r="BD511">
        <f>IF(Metadata!R511="",FALSE,TRUE)</f>
        <v>0</v>
      </c>
      <c r="BE511">
        <f>OR(AND(IF(Metadata!S511="",FALSE,TRUE),OR(exact(Metadata!S511,"not collected"),exact(Metadata!S511,"not provided"),exact(Metadata!S511,"restricted access"))),AND(IF(Metadata!S511="",FALSE,ISNUMBER(VALUE(Metadata!S511))),Metadata!S511&gt;=-90.00,Metadata!S511&lt;=90.00))</f>
        <v>0</v>
      </c>
      <c r="BF511">
        <f>AND(IF(Metadata!T511="",FALSE,TRUE),exact(Metadata!T511,"Decimal degrees"))</f>
        <v>0</v>
      </c>
      <c r="BG511">
        <f>OR(AND(IF(Metadata!U511="",FALSE,TRUE),OR(exact(Metadata!U511,"not collected"),exact(Metadata!U511,"not provided"),exact(Metadata!U511,"restricted access"))),AND(IF(Metadata!U511="",FALSE,ISNUMBER(VALUE(Metadata!U511))),Metadata!U511&gt;=-180.00,Metadata!U511&lt;=180.00))</f>
        <v>0</v>
      </c>
      <c r="BH511">
        <f>AND(IF(Metadata!V511="",FALSE,TRUE),exact(Metadata!V511,"Decimal degrees"))</f>
        <v>0</v>
      </c>
      <c r="BI511">
        <f>IF(Metadata!W511="",FALSE,TRUE)</f>
        <v>0</v>
      </c>
      <c r="BJ511">
        <f>OR(AND(IF(Metadata!X511="",FALSE,TRUE),OR(exact(Metadata!X511,"not collected"),exact(Metadata!X511,"not provided"),exact(Metadata!X511,"restricted access"))),AND(IF(Metadata!X511="",FALSE,TRUE),OR(exact(Metadata!X511,"TRUE"),exact(Metadata!X511,"FALSE"))))</f>
        <v>0</v>
      </c>
      <c r="BK511">
        <f>AND(IF(Metadata!Y511="",FALSE,TRUE),exact(Metadata!Y511,"other"))</f>
        <v>0</v>
      </c>
      <c r="BL511">
        <f>IF(Metadata!Z511="",FALSE,TRUE)</f>
        <v>0</v>
      </c>
      <c r="BM511">
        <f>OR(AND(IF(Metadata!AA511="",FALSE,TRUE),OR(exact(Metadata!AA511,"not collected"),exact(Metadata!AA511,"not provided"))),AND(IF(Metadata!AA511="",FALSE,IF(ISERROR(INT(Metadata!AA511)),FALSE,INT(Metadata!AA511)=Metadata!AA511)),Metadata!AA511&gt;0))</f>
        <v>0</v>
      </c>
      <c r="BN511">
        <f>AND(IF(Metadata!AB511="",FALSE,TRUE),exact(Metadata!AB511,"Not applicable"))</f>
        <v>0</v>
      </c>
      <c r="BO511">
        <f>IF(Metadata!AC511="",FALSE,TRUE)</f>
        <v>0</v>
      </c>
    </row>
    <row r="512" spans="1:67">
      <c r="A512" s="5">
        <f>IF(B512=" "," ",HYPERLINK(CONCATENATE("#metadata!",ADDRESS(INDEX($AI$2:$AI$1001,MATCH(ROWS($AG$2:AG512),$AG$2:$AG$1001,0),0),1)),INDEX($AL$2:$AL$1001,MATCH(ROWS($AG$2:AG512),$AG$2:$AG$1001,0),0)))</f>
        <v>0</v>
      </c>
      <c r="B512" s="4">
        <f>IF(OR(INDEX($AH$2:$AH$1001,MATCH(ROWS($AG$2:AG512),$AG$2:$AG$1001,0),1)&gt;=100000,INDEX($AN$1005:$BO$1005,1,MATCH(COLUMNS($AN$1006:AN1006),$AN$1006:$BO$1006,0))&gt;=100000), " ",IF(INDEX($AN$2:$BO$1001,MATCH(ROWS($AG$2:AG512),$AG$2:$AG$1001,0),MATCH(COLUMNS($AN$1006:AN1006),$AN$1006:$BO$1006,0)), HYPERLINK("#",""), HYPERLINK(CONCATENATE("#Metadata!", ADDRESS(INDEX($AI$2:$AI$1001,MATCH(ROWS($AG$2:AG512),$AG$2:$AG$1001,0),0), INDEX($AN$1004:$BO$1004,1,MATCH(COLUMNS($AN$1006:AN1006),$AN$1006:$BO$1006,0)))),"Fix")))</f>
        <v>0</v>
      </c>
      <c r="C512" s="4">
        <f>IF(OR(INDEX($AH$2:$AH$1001,MATCH(ROWS($AG$2:AG512),$AG$2:$AG$1001,0),1)&gt;=100000,INDEX($AN$1005:$BO$1005,1,MATCH(COLUMNS($AN$1006:AO1006),$AN$1006:$BO$1006,0))&gt;=100000), " ",IF(INDEX($AN$2:$BO$1001,MATCH(ROWS($AG$2:AG512),$AG$2:$AG$1001,0),MATCH(COLUMNS($AN$1006:AO1006),$AN$1006:$BO$1006,0)), HYPERLINK("#",""), HYPERLINK(CONCATENATE("#Metadata!", ADDRESS(INDEX($AI$2:$AI$1001,MATCH(ROWS($AG$2:AG512),$AG$2:$AG$1001,0),0), INDEX($AN$1004:$BO$1004,1,MATCH(COLUMNS($AN$1006:AO1006),$AN$1006:$BO$1006,0)))),"Fix")))</f>
        <v>0</v>
      </c>
      <c r="D512" s="4">
        <f>IF(OR(INDEX($AH$2:$AH$1001,MATCH(ROWS($AG$2:AG512),$AG$2:$AG$1001,0),1)&gt;=100000,INDEX($AN$1005:$BO$1005,1,MATCH(COLUMNS($AN$1006:AP1006),$AN$1006:$BO$1006,0))&gt;=100000), " ",IF(INDEX($AN$2:$BO$1001,MATCH(ROWS($AG$2:AG512),$AG$2:$AG$1001,0),MATCH(COLUMNS($AN$1006:AP1006),$AN$1006:$BO$1006,0)), HYPERLINK("#",""), HYPERLINK(CONCATENATE("#Metadata!", ADDRESS(INDEX($AI$2:$AI$1001,MATCH(ROWS($AG$2:AG512),$AG$2:$AG$1001,0),0), INDEX($AN$1004:$BO$1004,1,MATCH(COLUMNS($AN$1006:AP1006),$AN$1006:$BO$1006,0)))),"Fix")))</f>
        <v>0</v>
      </c>
      <c r="E512" s="4">
        <f>IF(OR(INDEX($AH$2:$AH$1001,MATCH(ROWS($AG$2:AG512),$AG$2:$AG$1001,0),1)&gt;=100000,INDEX($AN$1005:$BO$1005,1,MATCH(COLUMNS($AN$1006:AQ1006),$AN$1006:$BO$1006,0))&gt;=100000), " ",IF(INDEX($AN$2:$BO$1001,MATCH(ROWS($AG$2:AG512),$AG$2:$AG$1001,0),MATCH(COLUMNS($AN$1006:AQ1006),$AN$1006:$BO$1006,0)), HYPERLINK("#",""), HYPERLINK(CONCATENATE("#Metadata!", ADDRESS(INDEX($AI$2:$AI$1001,MATCH(ROWS($AG$2:AG512),$AG$2:$AG$1001,0),0), INDEX($AN$1004:$BO$1004,1,MATCH(COLUMNS($AN$1006:AQ1006),$AN$1006:$BO$1006,0)))),"Fix")))</f>
        <v>0</v>
      </c>
      <c r="F512" s="4">
        <f>IF(OR(INDEX($AH$2:$AH$1001,MATCH(ROWS($AG$2:AG512),$AG$2:$AG$1001,0),1)&gt;=100000,INDEX($AN$1005:$BO$1005,1,MATCH(COLUMNS($AN$1006:AR1006),$AN$1006:$BO$1006,0))&gt;=100000), " ",IF(INDEX($AN$2:$BO$1001,MATCH(ROWS($AG$2:AG512),$AG$2:$AG$1001,0),MATCH(COLUMNS($AN$1006:AR1006),$AN$1006:$BO$1006,0)), HYPERLINK("#",""), HYPERLINK(CONCATENATE("#Metadata!", ADDRESS(INDEX($AI$2:$AI$1001,MATCH(ROWS($AG$2:AG512),$AG$2:$AG$1001,0),0), INDEX($AN$1004:$BO$1004,1,MATCH(COLUMNS($AN$1006:AR1006),$AN$1006:$BO$1006,0)))),"Fix")))</f>
        <v>0</v>
      </c>
      <c r="G512" s="4">
        <f>IF(OR(INDEX($AH$2:$AH$1001,MATCH(ROWS($AG$2:AG512),$AG$2:$AG$1001,0),1)&gt;=100000,INDEX($AN$1005:$BO$1005,1,MATCH(COLUMNS($AN$1006:AS1006),$AN$1006:$BO$1006,0))&gt;=100000), " ",IF(INDEX($AN$2:$BO$1001,MATCH(ROWS($AG$2:AG512),$AG$2:$AG$1001,0),MATCH(COLUMNS($AN$1006:AS1006),$AN$1006:$BO$1006,0)), HYPERLINK("#",""), HYPERLINK(CONCATENATE("#Metadata!", ADDRESS(INDEX($AI$2:$AI$1001,MATCH(ROWS($AG$2:AG512),$AG$2:$AG$1001,0),0), INDEX($AN$1004:$BO$1004,1,MATCH(COLUMNS($AN$1006:AS1006),$AN$1006:$BO$1006,0)))),"Fix")))</f>
        <v>0</v>
      </c>
      <c r="H512" s="4">
        <f>IF(OR(INDEX($AH$2:$AH$1001,MATCH(ROWS($AG$2:AG512),$AG$2:$AG$1001,0),1)&gt;=100000,INDEX($AN$1005:$BO$1005,1,MATCH(COLUMNS($AN$1006:AT1006),$AN$1006:$BO$1006,0))&gt;=100000), " ",IF(INDEX($AN$2:$BO$1001,MATCH(ROWS($AG$2:AG512),$AG$2:$AG$1001,0),MATCH(COLUMNS($AN$1006:AT1006),$AN$1006:$BO$1006,0)), HYPERLINK("#",""), HYPERLINK(CONCATENATE("#Metadata!", ADDRESS(INDEX($AI$2:$AI$1001,MATCH(ROWS($AG$2:AG512),$AG$2:$AG$1001,0),0), INDEX($AN$1004:$BO$1004,1,MATCH(COLUMNS($AN$1006:AT1006),$AN$1006:$BO$1006,0)))),"Fix")))</f>
        <v>0</v>
      </c>
      <c r="I512" s="4">
        <f>IF(OR(INDEX($AH$2:$AH$1001,MATCH(ROWS($AG$2:AG512),$AG$2:$AG$1001,0),1)&gt;=100000,INDEX($AN$1005:$BO$1005,1,MATCH(COLUMNS($AN$1006:AU1006),$AN$1006:$BO$1006,0))&gt;=100000), " ",IF(INDEX($AN$2:$BO$1001,MATCH(ROWS($AG$2:AG512),$AG$2:$AG$1001,0),MATCH(COLUMNS($AN$1006:AU1006),$AN$1006:$BO$1006,0)), HYPERLINK("#",""), HYPERLINK(CONCATENATE("#Metadata!", ADDRESS(INDEX($AI$2:$AI$1001,MATCH(ROWS($AG$2:AG512),$AG$2:$AG$1001,0),0), INDEX($AN$1004:$BO$1004,1,MATCH(COLUMNS($AN$1006:AU1006),$AN$1006:$BO$1006,0)))),"Fix")))</f>
        <v>0</v>
      </c>
      <c r="J512" s="4">
        <f>IF(OR(INDEX($AH$2:$AH$1001,MATCH(ROWS($AG$2:AG512),$AG$2:$AG$1001,0),1)&gt;=100000,INDEX($AN$1005:$BO$1005,1,MATCH(COLUMNS($AN$1006:AV1006),$AN$1006:$BO$1006,0))&gt;=100000), " ",IF(INDEX($AN$2:$BO$1001,MATCH(ROWS($AG$2:AG512),$AG$2:$AG$1001,0),MATCH(COLUMNS($AN$1006:AV1006),$AN$1006:$BO$1006,0)), HYPERLINK("#",""), HYPERLINK(CONCATENATE("#Metadata!", ADDRESS(INDEX($AI$2:$AI$1001,MATCH(ROWS($AG$2:AG512),$AG$2:$AG$1001,0),0), INDEX($AN$1004:$BO$1004,1,MATCH(COLUMNS($AN$1006:AV1006),$AN$1006:$BO$1006,0)))),"Fix")))</f>
        <v>0</v>
      </c>
      <c r="K512" s="4">
        <f>IF(OR(INDEX($AH$2:$AH$1001,MATCH(ROWS($AG$2:AG512),$AG$2:$AG$1001,0),1)&gt;=100000,INDEX($AN$1005:$BO$1005,1,MATCH(COLUMNS($AN$1006:AW1006),$AN$1006:$BO$1006,0))&gt;=100000), " ",IF(INDEX($AN$2:$BO$1001,MATCH(ROWS($AG$2:AG512),$AG$2:$AG$1001,0),MATCH(COLUMNS($AN$1006:AW1006),$AN$1006:$BO$1006,0)), HYPERLINK("#",""), HYPERLINK(CONCATENATE("#Metadata!", ADDRESS(INDEX($AI$2:$AI$1001,MATCH(ROWS($AG$2:AG512),$AG$2:$AG$1001,0),0), INDEX($AN$1004:$BO$1004,1,MATCH(COLUMNS($AN$1006:AW1006),$AN$1006:$BO$1006,0)))),"Fix")))</f>
        <v>0</v>
      </c>
      <c r="L512" s="4">
        <f>IF(OR(INDEX($AH$2:$AH$1001,MATCH(ROWS($AG$2:AG512),$AG$2:$AG$1001,0),1)&gt;=100000,INDEX($AN$1005:$BO$1005,1,MATCH(COLUMNS($AN$1006:AX1006),$AN$1006:$BO$1006,0))&gt;=100000), " ",IF(INDEX($AN$2:$BO$1001,MATCH(ROWS($AG$2:AG512),$AG$2:$AG$1001,0),MATCH(COLUMNS($AN$1006:AX1006),$AN$1006:$BO$1006,0)), HYPERLINK("#",""), HYPERLINK(CONCATENATE("#Metadata!", ADDRESS(INDEX($AI$2:$AI$1001,MATCH(ROWS($AG$2:AG512),$AG$2:$AG$1001,0),0), INDEX($AN$1004:$BO$1004,1,MATCH(COLUMNS($AN$1006:AX1006),$AN$1006:$BO$1006,0)))),"Fix")))</f>
        <v>0</v>
      </c>
      <c r="M512" s="4">
        <f>IF(OR(INDEX($AH$2:$AH$1001,MATCH(ROWS($AG$2:AG512),$AG$2:$AG$1001,0),1)&gt;=100000,INDEX($AN$1005:$BO$1005,1,MATCH(COLUMNS($AN$1006:AY1006),$AN$1006:$BO$1006,0))&gt;=100000), " ",IF(INDEX($AN$2:$BO$1001,MATCH(ROWS($AG$2:AG512),$AG$2:$AG$1001,0),MATCH(COLUMNS($AN$1006:AY1006),$AN$1006:$BO$1006,0)), HYPERLINK("#",""), HYPERLINK(CONCATENATE("#Metadata!", ADDRESS(INDEX($AI$2:$AI$1001,MATCH(ROWS($AG$2:AG512),$AG$2:$AG$1001,0),0), INDEX($AN$1004:$BO$1004,1,MATCH(COLUMNS($AN$1006:AY1006),$AN$1006:$BO$1006,0)))),"Fix")))</f>
        <v>0</v>
      </c>
      <c r="N512" s="4">
        <f>IF(OR(INDEX($AH$2:$AH$1001,MATCH(ROWS($AG$2:AG512),$AG$2:$AG$1001,0),1)&gt;=100000,INDEX($AN$1005:$BO$1005,1,MATCH(COLUMNS($AN$1006:AZ1006),$AN$1006:$BO$1006,0))&gt;=100000), " ",IF(INDEX($AN$2:$BO$1001,MATCH(ROWS($AG$2:AG512),$AG$2:$AG$1001,0),MATCH(COLUMNS($AN$1006:AZ1006),$AN$1006:$BO$1006,0)), HYPERLINK("#",""), HYPERLINK(CONCATENATE("#Metadata!", ADDRESS(INDEX($AI$2:$AI$1001,MATCH(ROWS($AG$2:AG512),$AG$2:$AG$1001,0),0), INDEX($AN$1004:$BO$1004,1,MATCH(COLUMNS($AN$1006:AZ1006),$AN$1006:$BO$1006,0)))),"Fix")))</f>
        <v>0</v>
      </c>
      <c r="O512" s="4">
        <f>IF(OR(INDEX($AH$2:$AH$1001,MATCH(ROWS($AG$2:AG512),$AG$2:$AG$1001,0),1)&gt;=100000,INDEX($AN$1005:$BO$1005,1,MATCH(COLUMNS($AN$1006:BA1006),$AN$1006:$BO$1006,0))&gt;=100000), " ",IF(INDEX($AN$2:$BO$1001,MATCH(ROWS($AG$2:AG512),$AG$2:$AG$1001,0),MATCH(COLUMNS($AN$1006:BA1006),$AN$1006:$BO$1006,0)), HYPERLINK("#",""), HYPERLINK(CONCATENATE("#Metadata!", ADDRESS(INDEX($AI$2:$AI$1001,MATCH(ROWS($AG$2:AG512),$AG$2:$AG$1001,0),0), INDEX($AN$1004:$BO$1004,1,MATCH(COLUMNS($AN$1006:BA1006),$AN$1006:$BO$1006,0)))),"Fix")))</f>
        <v>0</v>
      </c>
      <c r="P512" s="4">
        <f>IF(OR(INDEX($AH$2:$AH$1001,MATCH(ROWS($AG$2:AG512),$AG$2:$AG$1001,0),1)&gt;=100000,INDEX($AN$1005:$BO$1005,1,MATCH(COLUMNS($AN$1006:BB1006),$AN$1006:$BO$1006,0))&gt;=100000), " ",IF(INDEX($AN$2:$BO$1001,MATCH(ROWS($AG$2:AG512),$AG$2:$AG$1001,0),MATCH(COLUMNS($AN$1006:BB1006),$AN$1006:$BO$1006,0)), HYPERLINK("#",""), HYPERLINK(CONCATENATE("#Metadata!", ADDRESS(INDEX($AI$2:$AI$1001,MATCH(ROWS($AG$2:AG512),$AG$2:$AG$1001,0),0), INDEX($AN$1004:$BO$1004,1,MATCH(COLUMNS($AN$1006:BB1006),$AN$1006:$BO$1006,0)))),"Fix")))</f>
        <v>0</v>
      </c>
      <c r="Q512" s="4">
        <f>IF(OR(INDEX($AH$2:$AH$1001,MATCH(ROWS($AG$2:AG512),$AG$2:$AG$1001,0),1)&gt;=100000,INDEX($AN$1005:$BO$1005,1,MATCH(COLUMNS($AN$1006:BC1006),$AN$1006:$BO$1006,0))&gt;=100000), " ",IF(INDEX($AN$2:$BO$1001,MATCH(ROWS($AG$2:AG512),$AG$2:$AG$1001,0),MATCH(COLUMNS($AN$1006:BC1006),$AN$1006:$BO$1006,0)), HYPERLINK("#",""), HYPERLINK(CONCATENATE("#Metadata!", ADDRESS(INDEX($AI$2:$AI$1001,MATCH(ROWS($AG$2:AG512),$AG$2:$AG$1001,0),0), INDEX($AN$1004:$BO$1004,1,MATCH(COLUMNS($AN$1006:BC1006),$AN$1006:$BO$1006,0)))),"Fix")))</f>
        <v>0</v>
      </c>
      <c r="R512" s="4">
        <f>IF(OR(INDEX($AH$2:$AH$1001,MATCH(ROWS($AG$2:AG512),$AG$2:$AG$1001,0),1)&gt;=100000,INDEX($AN$1005:$BO$1005,1,MATCH(COLUMNS($AN$1006:BD1006),$AN$1006:$BO$1006,0))&gt;=100000), " ",IF(INDEX($AN$2:$BO$1001,MATCH(ROWS($AG$2:AG512),$AG$2:$AG$1001,0),MATCH(COLUMNS($AN$1006:BD1006),$AN$1006:$BO$1006,0)), HYPERLINK("#",""), HYPERLINK(CONCATENATE("#Metadata!", ADDRESS(INDEX($AI$2:$AI$1001,MATCH(ROWS($AG$2:AG512),$AG$2:$AG$1001,0),0), INDEX($AN$1004:$BO$1004,1,MATCH(COLUMNS($AN$1006:BD1006),$AN$1006:$BO$1006,0)))),"Fix")))</f>
        <v>0</v>
      </c>
      <c r="S512" s="4">
        <f>IF(OR(INDEX($AH$2:$AH$1001,MATCH(ROWS($AG$2:AG512),$AG$2:$AG$1001,0),1)&gt;=100000,INDEX($AN$1005:$BO$1005,1,MATCH(COLUMNS($AN$1006:BE1006),$AN$1006:$BO$1006,0))&gt;=100000), " ",IF(INDEX($AN$2:$BO$1001,MATCH(ROWS($AG$2:AG512),$AG$2:$AG$1001,0),MATCH(COLUMNS($AN$1006:BE1006),$AN$1006:$BO$1006,0)), HYPERLINK("#",""), HYPERLINK(CONCATENATE("#Metadata!", ADDRESS(INDEX($AI$2:$AI$1001,MATCH(ROWS($AG$2:AG512),$AG$2:$AG$1001,0),0), INDEX($AN$1004:$BO$1004,1,MATCH(COLUMNS($AN$1006:BE1006),$AN$1006:$BO$1006,0)))),"Fix")))</f>
        <v>0</v>
      </c>
      <c r="T512" s="4">
        <f>IF(OR(INDEX($AH$2:$AH$1001,MATCH(ROWS($AG$2:AG512),$AG$2:$AG$1001,0),1)&gt;=100000,INDEX($AN$1005:$BO$1005,1,MATCH(COLUMNS($AN$1006:BF1006),$AN$1006:$BO$1006,0))&gt;=100000), " ",IF(INDEX($AN$2:$BO$1001,MATCH(ROWS($AG$2:AG512),$AG$2:$AG$1001,0),MATCH(COLUMNS($AN$1006:BF1006),$AN$1006:$BO$1006,0)), HYPERLINK("#",""), HYPERLINK(CONCATENATE("#Metadata!", ADDRESS(INDEX($AI$2:$AI$1001,MATCH(ROWS($AG$2:AG512),$AG$2:$AG$1001,0),0), INDEX($AN$1004:$BO$1004,1,MATCH(COLUMNS($AN$1006:BF1006),$AN$1006:$BO$1006,0)))),"Fix")))</f>
        <v>0</v>
      </c>
      <c r="U512" s="4">
        <f>IF(OR(INDEX($AH$2:$AH$1001,MATCH(ROWS($AG$2:AG512),$AG$2:$AG$1001,0),1)&gt;=100000,INDEX($AN$1005:$BO$1005,1,MATCH(COLUMNS($AN$1006:BG1006),$AN$1006:$BO$1006,0))&gt;=100000), " ",IF(INDEX($AN$2:$BO$1001,MATCH(ROWS($AG$2:AG512),$AG$2:$AG$1001,0),MATCH(COLUMNS($AN$1006:BG1006),$AN$1006:$BO$1006,0)), HYPERLINK("#",""), HYPERLINK(CONCATENATE("#Metadata!", ADDRESS(INDEX($AI$2:$AI$1001,MATCH(ROWS($AG$2:AG512),$AG$2:$AG$1001,0),0), INDEX($AN$1004:$BO$1004,1,MATCH(COLUMNS($AN$1006:BG1006),$AN$1006:$BO$1006,0)))),"Fix")))</f>
        <v>0</v>
      </c>
      <c r="V512" s="4">
        <f>IF(OR(INDEX($AH$2:$AH$1001,MATCH(ROWS($AG$2:AG512),$AG$2:$AG$1001,0),1)&gt;=100000,INDEX($AN$1005:$BO$1005,1,MATCH(COLUMNS($AN$1006:BH1006),$AN$1006:$BO$1006,0))&gt;=100000), " ",IF(INDEX($AN$2:$BO$1001,MATCH(ROWS($AG$2:AG512),$AG$2:$AG$1001,0),MATCH(COLUMNS($AN$1006:BH1006),$AN$1006:$BO$1006,0)), HYPERLINK("#",""), HYPERLINK(CONCATENATE("#Metadata!", ADDRESS(INDEX($AI$2:$AI$1001,MATCH(ROWS($AG$2:AG512),$AG$2:$AG$1001,0),0), INDEX($AN$1004:$BO$1004,1,MATCH(COLUMNS($AN$1006:BH1006),$AN$1006:$BO$1006,0)))),"Fix")))</f>
        <v>0</v>
      </c>
      <c r="W512" s="4">
        <f>IF(OR(INDEX($AH$2:$AH$1001,MATCH(ROWS($AG$2:AG512),$AG$2:$AG$1001,0),1)&gt;=100000,INDEX($AN$1005:$BO$1005,1,MATCH(COLUMNS($AN$1006:BI1006),$AN$1006:$BO$1006,0))&gt;=100000), " ",IF(INDEX($AN$2:$BO$1001,MATCH(ROWS($AG$2:AG512),$AG$2:$AG$1001,0),MATCH(COLUMNS($AN$1006:BI1006),$AN$1006:$BO$1006,0)), HYPERLINK("#",""), HYPERLINK(CONCATENATE("#Metadata!", ADDRESS(INDEX($AI$2:$AI$1001,MATCH(ROWS($AG$2:AG512),$AG$2:$AG$1001,0),0), INDEX($AN$1004:$BO$1004,1,MATCH(COLUMNS($AN$1006:BI1006),$AN$1006:$BO$1006,0)))),"Fix")))</f>
        <v>0</v>
      </c>
      <c r="X512" s="4">
        <f>IF(OR(INDEX($AH$2:$AH$1001,MATCH(ROWS($AG$2:AG512),$AG$2:$AG$1001,0),1)&gt;=100000,INDEX($AN$1005:$BO$1005,1,MATCH(COLUMNS($AN$1006:BJ1006),$AN$1006:$BO$1006,0))&gt;=100000), " ",IF(INDEX($AN$2:$BO$1001,MATCH(ROWS($AG$2:AG512),$AG$2:$AG$1001,0),MATCH(COLUMNS($AN$1006:BJ1006),$AN$1006:$BO$1006,0)), HYPERLINK("#",""), HYPERLINK(CONCATENATE("#Metadata!", ADDRESS(INDEX($AI$2:$AI$1001,MATCH(ROWS($AG$2:AG512),$AG$2:$AG$1001,0),0), INDEX($AN$1004:$BO$1004,1,MATCH(COLUMNS($AN$1006:BJ1006),$AN$1006:$BO$1006,0)))),"Fix")))</f>
        <v>0</v>
      </c>
      <c r="Y512" s="4">
        <f>IF(OR(INDEX($AH$2:$AH$1001,MATCH(ROWS($AG$2:AG512),$AG$2:$AG$1001,0),1)&gt;=100000,INDEX($AN$1005:$BO$1005,1,MATCH(COLUMNS($AN$1006:BK1006),$AN$1006:$BO$1006,0))&gt;=100000), " ",IF(INDEX($AN$2:$BO$1001,MATCH(ROWS($AG$2:AG512),$AG$2:$AG$1001,0),MATCH(COLUMNS($AN$1006:BK1006),$AN$1006:$BO$1006,0)), HYPERLINK("#",""), HYPERLINK(CONCATENATE("#Metadata!", ADDRESS(INDEX($AI$2:$AI$1001,MATCH(ROWS($AG$2:AG512),$AG$2:$AG$1001,0),0), INDEX($AN$1004:$BO$1004,1,MATCH(COLUMNS($AN$1006:BK1006),$AN$1006:$BO$1006,0)))),"Fix")))</f>
        <v>0</v>
      </c>
      <c r="Z512" s="4">
        <f>IF(OR(INDEX($AH$2:$AH$1001,MATCH(ROWS($AG$2:AG512),$AG$2:$AG$1001,0),1)&gt;=100000,INDEX($AN$1005:$BO$1005,1,MATCH(COLUMNS($AN$1006:BL1006),$AN$1006:$BO$1006,0))&gt;=100000), " ",IF(INDEX($AN$2:$BO$1001,MATCH(ROWS($AG$2:AG512),$AG$2:$AG$1001,0),MATCH(COLUMNS($AN$1006:BL1006),$AN$1006:$BO$1006,0)), HYPERLINK("#",""), HYPERLINK(CONCATENATE("#Metadata!", ADDRESS(INDEX($AI$2:$AI$1001,MATCH(ROWS($AG$2:AG512),$AG$2:$AG$1001,0),0), INDEX($AN$1004:$BO$1004,1,MATCH(COLUMNS($AN$1006:BL1006),$AN$1006:$BO$1006,0)))),"Fix")))</f>
        <v>0</v>
      </c>
      <c r="AA512" s="4">
        <f>IF(OR(INDEX($AH$2:$AH$1001,MATCH(ROWS($AG$2:AG512),$AG$2:$AG$1001,0),1)&gt;=100000,INDEX($AN$1005:$BO$1005,1,MATCH(COLUMNS($AN$1006:BM1006),$AN$1006:$BO$1006,0))&gt;=100000), " ",IF(INDEX($AN$2:$BO$1001,MATCH(ROWS($AG$2:AG512),$AG$2:$AG$1001,0),MATCH(COLUMNS($AN$1006:BM1006),$AN$1006:$BO$1006,0)), HYPERLINK("#",""), HYPERLINK(CONCATENATE("#Metadata!", ADDRESS(INDEX($AI$2:$AI$1001,MATCH(ROWS($AG$2:AG512),$AG$2:$AG$1001,0),0), INDEX($AN$1004:$BO$1004,1,MATCH(COLUMNS($AN$1006:BM1006),$AN$1006:$BO$1006,0)))),"Fix")))</f>
        <v>0</v>
      </c>
      <c r="AB512" s="4">
        <f>IF(OR(INDEX($AH$2:$AH$1001,MATCH(ROWS($AG$2:AG512),$AG$2:$AG$1001,0),1)&gt;=100000,INDEX($AN$1005:$BO$1005,1,MATCH(COLUMNS($AN$1006:BN1006),$AN$1006:$BO$1006,0))&gt;=100000), " ",IF(INDEX($AN$2:$BO$1001,MATCH(ROWS($AG$2:AG512),$AG$2:$AG$1001,0),MATCH(COLUMNS($AN$1006:BN1006),$AN$1006:$BO$1006,0)), HYPERLINK("#",""), HYPERLINK(CONCATENATE("#Metadata!", ADDRESS(INDEX($AI$2:$AI$1001,MATCH(ROWS($AG$2:AG512),$AG$2:$AG$1001,0),0), INDEX($AN$1004:$BO$1004,1,MATCH(COLUMNS($AN$1006:BN1006),$AN$1006:$BO$1006,0)))),"Fix")))</f>
        <v>0</v>
      </c>
      <c r="AC512" s="4">
        <f>IF(OR(INDEX($AH$2:$AH$1001,MATCH(ROWS($AG$2:AG512),$AG$2:$AG$1001,0),1)&gt;=100000,INDEX($AN$1005:$BO$1005,1,MATCH(COLUMNS($AN$1006:BO1006),$AN$1006:$BO$1006,0))&gt;=100000), " ",IF(INDEX($AN$2:$BO$1001,MATCH(ROWS($AG$2:AG512),$AG$2:$AG$1001,0),MATCH(COLUMNS($AN$1006:BO1006),$AN$1006:$BO$1006,0)), HYPERLINK("#",""), HYPERLINK(CONCATENATE("#Metadata!", ADDRESS(INDEX($AI$2:$AI$1001,MATCH(ROWS($AG$2:AG512),$AG$2:$AG$1001,0),0), INDEX($AN$1004:$BO$1004,1,MATCH(COLUMNS($AN$1006:BO1006),$AN$1006:$BO$1006,0)))),"Fix")))</f>
        <v>0</v>
      </c>
      <c r="AG512">
        <v>0</v>
      </c>
      <c r="AH512">
        <v>0</v>
      </c>
      <c r="AI512">
        <v>0</v>
      </c>
      <c r="AJ512">
        <f>IF(AK512,TRUE,AND(AN512:BO512))</f>
        <v>0</v>
      </c>
      <c r="AK512">
        <f>COUNTBLANK(Metadata!B512:AC512)=COLUMNS(Metadata!B512:AC512)</f>
        <v>0</v>
      </c>
      <c r="AL512">
        <v>0</v>
      </c>
      <c r="AN512">
        <f>AND(IF(Metadata!B512="",FALSE,TRUE),COUNTIF(Metadata!B:B, Metadata!B512) = 1,NOT(ISERROR(SUMPRODUCT(SEARCH(MID(Metadata!B512,ROW(INDIRECT("1:"&amp;LEN(Metadata!B512))), 1),"0123456789abcdefghijklmnopqrstuvwxyzABCDEFGHIJKLMNOPQRSTUVWXYZ.")))))</f>
        <v>0</v>
      </c>
      <c r="AO512">
        <f>IF(Metadata!C512="",FALSE,TRUE)</f>
        <v>0</v>
      </c>
      <c r="AP512">
        <f>IF(Metadata!D512="",FALSE,TRUE)</f>
        <v>0</v>
      </c>
      <c r="AQ512">
        <f>OR(AND(IF(Metadata!E512="",FALSE,TRUE),OR(exact(Metadata!E512,"not collected"),exact(Metadata!E512,"not provided"),exact(Metadata!E512,"restricted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R512">
        <f>IF(Metadata!F512="",FALSE,TRUE)</f>
        <v>0</v>
      </c>
      <c r="AS512">
        <f>OR(AND(IF(Metadata!G512="",FALSE,TRUE),OR(exact(Metadata!G512,"not collected"),exact(Metadata!G512,"not provided"))),AND(IF(Metadata!G512="",FALSE,TRUE),OR(exact(Metadata!G512,"TRUE"),exact(Metadata!G512,"FALSE"))))</f>
        <v>0</v>
      </c>
      <c r="AT512">
        <f>OR(AND(IF(Metadata!H512="",FALSE,TRUE),OR(exact(Metadata!H512,"not collected"),exact(Metadata!H512,"not provided"),exact(Metadata!H512,"restricted access"))),AND(IF(Metadata!H512="",FALSE,ISNUMBER(VALUE(Metadata!H512))),Metadata!H512&gt;=-413.0))</f>
        <v>0</v>
      </c>
      <c r="AU512">
        <f>AND(IF(Metadata!I512="",FALSE,TRUE),exact(Metadata!I512,"meters"))</f>
        <v>0</v>
      </c>
      <c r="AV512">
        <f>AND(IF(Metadata!J512="",FALSE,TRUE),OR(exact(Metadata!J512,"Host-associated"),exact(Metadata!J512,"Free-living")))</f>
        <v>0</v>
      </c>
      <c r="AW512">
        <f>AND(IF(Metadata!K512="",FALSE,TRUE),OR(exact(Metadata!K512,"Animal"),exact(Metadata!K512,"Fungus"),exact(Metadata!K512,"Plant"),exact(Metadata!K512,"Saline"),exact(Metadata!K512,"Non-saline")))</f>
        <v>0</v>
      </c>
      <c r="AX512">
        <f>AND(IF(Metadata!L512="",FALSE,TRUE),OR(exact(Metadata!L512,"Plant secretion"),exact(Metadata!L512,"Plant rhizosphere"),exact(Metadata!L512,"Plant surface"),exact(Metadata!L512,"Plant corpus"),exact(Metadata!L512,"Fungus surface"),exact(Metadata!L512,"Fungus corpus"),exact(Metadata!L512,"Animal surface"),exact(Metadata!L512,"Animal proximal gut"),exact(Metadata!L512,"Animal corpus"),exact(Metadata!L512,"Animal distal gut"),exact(Metadata!L512,"Animal secretion"),exact(Metadata!L512,"Sub-surface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Y512">
        <f>IF(Metadata!M512="",FALSE,TRUE)</f>
        <v>0</v>
      </c>
      <c r="AZ512">
        <f>IF(Metadata!N512="",FALSE,TRUE)</f>
        <v>0</v>
      </c>
      <c r="BA512">
        <f>IF(Metadata!O512="",FALSE,TRUE)</f>
        <v>0</v>
      </c>
      <c r="BB512">
        <f>OR(AND(IF(Metadata!P512="",FALSE,TRUE),OR(exact(Metadata!P512,"not collected"),exact(Metadata!P512,"not provided"),exact(Metadata!P512,"restricted access"))),AND(IF(Metadata!P512="",FALSE,TRUE),OR(exact(Metadata!P512,"air"),exact(Metadata!P512,"built environment"),exact(Metadata!P512,"host-associated"),exact(Metadata!P512,"human-associated"),exact(Metadata!P512,"human-skin"),exact(Metadata!P512,"human-oral"),exact(Metadata!P512,"human-gut"),exact(Metadata!P512,"human-vaginal"),exact(Metadata!P512,"microbial mat/biofilm"),exact(Metadata!P512,"misc environment"),exact(Metadata!P512,"plant-associated"),exact(Metadata!P512,"sediment"),exact(Metadata!P512,"soil"),exact(Metadata!P512,"wastewater/sludge"),exact(Metadata!P512,"water"))))</f>
        <v>0</v>
      </c>
      <c r="BC512">
        <f>IF(Metadata!Q512="",FALSE,TRUE)</f>
        <v>0</v>
      </c>
      <c r="BD512">
        <f>IF(Metadata!R512="",FALSE,TRUE)</f>
        <v>0</v>
      </c>
      <c r="BE512">
        <f>OR(AND(IF(Metadata!S512="",FALSE,TRUE),OR(exact(Metadata!S512,"not collected"),exact(Metadata!S512,"not provided"),exact(Metadata!S512,"restricted access"))),AND(IF(Metadata!S512="",FALSE,ISNUMBER(VALUE(Metadata!S512))),Metadata!S512&gt;=-90.00,Metadata!S512&lt;=90.00))</f>
        <v>0</v>
      </c>
      <c r="BF512">
        <f>AND(IF(Metadata!T512="",FALSE,TRUE),exact(Metadata!T512,"Decimal degrees"))</f>
        <v>0</v>
      </c>
      <c r="BG512">
        <f>OR(AND(IF(Metadata!U512="",FALSE,TRUE),OR(exact(Metadata!U512,"not collected"),exact(Metadata!U512,"not provided"),exact(Metadata!U512,"restricted access"))),AND(IF(Metadata!U512="",FALSE,ISNUMBER(VALUE(Metadata!U512))),Metadata!U512&gt;=-180.00,Metadata!U512&lt;=180.00))</f>
        <v>0</v>
      </c>
      <c r="BH512">
        <f>AND(IF(Metadata!V512="",FALSE,TRUE),exact(Metadata!V512,"Decimal degrees"))</f>
        <v>0</v>
      </c>
      <c r="BI512">
        <f>IF(Metadata!W512="",FALSE,TRUE)</f>
        <v>0</v>
      </c>
      <c r="BJ512">
        <f>OR(AND(IF(Metadata!X512="",FALSE,TRUE),OR(exact(Metadata!X512,"not collected"),exact(Metadata!X512,"not provided"),exact(Metadata!X512,"restricted access"))),AND(IF(Metadata!X512="",FALSE,TRUE),OR(exact(Metadata!X512,"TRUE"),exact(Metadata!X512,"FALSE"))))</f>
        <v>0</v>
      </c>
      <c r="BK512">
        <f>AND(IF(Metadata!Y512="",FALSE,TRUE),exact(Metadata!Y512,"other"))</f>
        <v>0</v>
      </c>
      <c r="BL512">
        <f>IF(Metadata!Z512="",FALSE,TRUE)</f>
        <v>0</v>
      </c>
      <c r="BM512">
        <f>OR(AND(IF(Metadata!AA512="",FALSE,TRUE),OR(exact(Metadata!AA512,"not collected"),exact(Metadata!AA512,"not provided"))),AND(IF(Metadata!AA512="",FALSE,IF(ISERROR(INT(Metadata!AA512)),FALSE,INT(Metadata!AA512)=Metadata!AA512)),Metadata!AA512&gt;0))</f>
        <v>0</v>
      </c>
      <c r="BN512">
        <f>AND(IF(Metadata!AB512="",FALSE,TRUE),exact(Metadata!AB512,"Not applicable"))</f>
        <v>0</v>
      </c>
      <c r="BO512">
        <f>IF(Metadata!AC512="",FALSE,TRUE)</f>
        <v>0</v>
      </c>
    </row>
    <row r="513" spans="1:67">
      <c r="A513" s="5">
        <f>IF(B513=" "," ",HYPERLINK(CONCATENATE("#metadata!",ADDRESS(INDEX($AI$2:$AI$1001,MATCH(ROWS($AG$2:AG513),$AG$2:$AG$1001,0),0),1)),INDEX($AL$2:$AL$1001,MATCH(ROWS($AG$2:AG513),$AG$2:$AG$1001,0),0)))</f>
        <v>0</v>
      </c>
      <c r="B513" s="4">
        <f>IF(OR(INDEX($AH$2:$AH$1001,MATCH(ROWS($AG$2:AG513),$AG$2:$AG$1001,0),1)&gt;=100000,INDEX($AN$1005:$BO$1005,1,MATCH(COLUMNS($AN$1006:AN1006),$AN$1006:$BO$1006,0))&gt;=100000), " ",IF(INDEX($AN$2:$BO$1001,MATCH(ROWS($AG$2:AG513),$AG$2:$AG$1001,0),MATCH(COLUMNS($AN$1006:AN1006),$AN$1006:$BO$1006,0)), HYPERLINK("#",""), HYPERLINK(CONCATENATE("#Metadata!", ADDRESS(INDEX($AI$2:$AI$1001,MATCH(ROWS($AG$2:AG513),$AG$2:$AG$1001,0),0), INDEX($AN$1004:$BO$1004,1,MATCH(COLUMNS($AN$1006:AN1006),$AN$1006:$BO$1006,0)))),"Fix")))</f>
        <v>0</v>
      </c>
      <c r="C513" s="4">
        <f>IF(OR(INDEX($AH$2:$AH$1001,MATCH(ROWS($AG$2:AG513),$AG$2:$AG$1001,0),1)&gt;=100000,INDEX($AN$1005:$BO$1005,1,MATCH(COLUMNS($AN$1006:AO1006),$AN$1006:$BO$1006,0))&gt;=100000), " ",IF(INDEX($AN$2:$BO$1001,MATCH(ROWS($AG$2:AG513),$AG$2:$AG$1001,0),MATCH(COLUMNS($AN$1006:AO1006),$AN$1006:$BO$1006,0)), HYPERLINK("#",""), HYPERLINK(CONCATENATE("#Metadata!", ADDRESS(INDEX($AI$2:$AI$1001,MATCH(ROWS($AG$2:AG513),$AG$2:$AG$1001,0),0), INDEX($AN$1004:$BO$1004,1,MATCH(COLUMNS($AN$1006:AO1006),$AN$1006:$BO$1006,0)))),"Fix")))</f>
        <v>0</v>
      </c>
      <c r="D513" s="4">
        <f>IF(OR(INDEX($AH$2:$AH$1001,MATCH(ROWS($AG$2:AG513),$AG$2:$AG$1001,0),1)&gt;=100000,INDEX($AN$1005:$BO$1005,1,MATCH(COLUMNS($AN$1006:AP1006),$AN$1006:$BO$1006,0))&gt;=100000), " ",IF(INDEX($AN$2:$BO$1001,MATCH(ROWS($AG$2:AG513),$AG$2:$AG$1001,0),MATCH(COLUMNS($AN$1006:AP1006),$AN$1006:$BO$1006,0)), HYPERLINK("#",""), HYPERLINK(CONCATENATE("#Metadata!", ADDRESS(INDEX($AI$2:$AI$1001,MATCH(ROWS($AG$2:AG513),$AG$2:$AG$1001,0),0), INDEX($AN$1004:$BO$1004,1,MATCH(COLUMNS($AN$1006:AP1006),$AN$1006:$BO$1006,0)))),"Fix")))</f>
        <v>0</v>
      </c>
      <c r="E513" s="4">
        <f>IF(OR(INDEX($AH$2:$AH$1001,MATCH(ROWS($AG$2:AG513),$AG$2:$AG$1001,0),1)&gt;=100000,INDEX($AN$1005:$BO$1005,1,MATCH(COLUMNS($AN$1006:AQ1006),$AN$1006:$BO$1006,0))&gt;=100000), " ",IF(INDEX($AN$2:$BO$1001,MATCH(ROWS($AG$2:AG513),$AG$2:$AG$1001,0),MATCH(COLUMNS($AN$1006:AQ1006),$AN$1006:$BO$1006,0)), HYPERLINK("#",""), HYPERLINK(CONCATENATE("#Metadata!", ADDRESS(INDEX($AI$2:$AI$1001,MATCH(ROWS($AG$2:AG513),$AG$2:$AG$1001,0),0), INDEX($AN$1004:$BO$1004,1,MATCH(COLUMNS($AN$1006:AQ1006),$AN$1006:$BO$1006,0)))),"Fix")))</f>
        <v>0</v>
      </c>
      <c r="F513" s="4">
        <f>IF(OR(INDEX($AH$2:$AH$1001,MATCH(ROWS($AG$2:AG513),$AG$2:$AG$1001,0),1)&gt;=100000,INDEX($AN$1005:$BO$1005,1,MATCH(COLUMNS($AN$1006:AR1006),$AN$1006:$BO$1006,0))&gt;=100000), " ",IF(INDEX($AN$2:$BO$1001,MATCH(ROWS($AG$2:AG513),$AG$2:$AG$1001,0),MATCH(COLUMNS($AN$1006:AR1006),$AN$1006:$BO$1006,0)), HYPERLINK("#",""), HYPERLINK(CONCATENATE("#Metadata!", ADDRESS(INDEX($AI$2:$AI$1001,MATCH(ROWS($AG$2:AG513),$AG$2:$AG$1001,0),0), INDEX($AN$1004:$BO$1004,1,MATCH(COLUMNS($AN$1006:AR1006),$AN$1006:$BO$1006,0)))),"Fix")))</f>
        <v>0</v>
      </c>
      <c r="G513" s="4">
        <f>IF(OR(INDEX($AH$2:$AH$1001,MATCH(ROWS($AG$2:AG513),$AG$2:$AG$1001,0),1)&gt;=100000,INDEX($AN$1005:$BO$1005,1,MATCH(COLUMNS($AN$1006:AS1006),$AN$1006:$BO$1006,0))&gt;=100000), " ",IF(INDEX($AN$2:$BO$1001,MATCH(ROWS($AG$2:AG513),$AG$2:$AG$1001,0),MATCH(COLUMNS($AN$1006:AS1006),$AN$1006:$BO$1006,0)), HYPERLINK("#",""), HYPERLINK(CONCATENATE("#Metadata!", ADDRESS(INDEX($AI$2:$AI$1001,MATCH(ROWS($AG$2:AG513),$AG$2:$AG$1001,0),0), INDEX($AN$1004:$BO$1004,1,MATCH(COLUMNS($AN$1006:AS1006),$AN$1006:$BO$1006,0)))),"Fix")))</f>
        <v>0</v>
      </c>
      <c r="H513" s="4">
        <f>IF(OR(INDEX($AH$2:$AH$1001,MATCH(ROWS($AG$2:AG513),$AG$2:$AG$1001,0),1)&gt;=100000,INDEX($AN$1005:$BO$1005,1,MATCH(COLUMNS($AN$1006:AT1006),$AN$1006:$BO$1006,0))&gt;=100000), " ",IF(INDEX($AN$2:$BO$1001,MATCH(ROWS($AG$2:AG513),$AG$2:$AG$1001,0),MATCH(COLUMNS($AN$1006:AT1006),$AN$1006:$BO$1006,0)), HYPERLINK("#",""), HYPERLINK(CONCATENATE("#Metadata!", ADDRESS(INDEX($AI$2:$AI$1001,MATCH(ROWS($AG$2:AG513),$AG$2:$AG$1001,0),0), INDEX($AN$1004:$BO$1004,1,MATCH(COLUMNS($AN$1006:AT1006),$AN$1006:$BO$1006,0)))),"Fix")))</f>
        <v>0</v>
      </c>
      <c r="I513" s="4">
        <f>IF(OR(INDEX($AH$2:$AH$1001,MATCH(ROWS($AG$2:AG513),$AG$2:$AG$1001,0),1)&gt;=100000,INDEX($AN$1005:$BO$1005,1,MATCH(COLUMNS($AN$1006:AU1006),$AN$1006:$BO$1006,0))&gt;=100000), " ",IF(INDEX($AN$2:$BO$1001,MATCH(ROWS($AG$2:AG513),$AG$2:$AG$1001,0),MATCH(COLUMNS($AN$1006:AU1006),$AN$1006:$BO$1006,0)), HYPERLINK("#",""), HYPERLINK(CONCATENATE("#Metadata!", ADDRESS(INDEX($AI$2:$AI$1001,MATCH(ROWS($AG$2:AG513),$AG$2:$AG$1001,0),0), INDEX($AN$1004:$BO$1004,1,MATCH(COLUMNS($AN$1006:AU1006),$AN$1006:$BO$1006,0)))),"Fix")))</f>
        <v>0</v>
      </c>
      <c r="J513" s="4">
        <f>IF(OR(INDEX($AH$2:$AH$1001,MATCH(ROWS($AG$2:AG513),$AG$2:$AG$1001,0),1)&gt;=100000,INDEX($AN$1005:$BO$1005,1,MATCH(COLUMNS($AN$1006:AV1006),$AN$1006:$BO$1006,0))&gt;=100000), " ",IF(INDEX($AN$2:$BO$1001,MATCH(ROWS($AG$2:AG513),$AG$2:$AG$1001,0),MATCH(COLUMNS($AN$1006:AV1006),$AN$1006:$BO$1006,0)), HYPERLINK("#",""), HYPERLINK(CONCATENATE("#Metadata!", ADDRESS(INDEX($AI$2:$AI$1001,MATCH(ROWS($AG$2:AG513),$AG$2:$AG$1001,0),0), INDEX($AN$1004:$BO$1004,1,MATCH(COLUMNS($AN$1006:AV1006),$AN$1006:$BO$1006,0)))),"Fix")))</f>
        <v>0</v>
      </c>
      <c r="K513" s="4">
        <f>IF(OR(INDEX($AH$2:$AH$1001,MATCH(ROWS($AG$2:AG513),$AG$2:$AG$1001,0),1)&gt;=100000,INDEX($AN$1005:$BO$1005,1,MATCH(COLUMNS($AN$1006:AW1006),$AN$1006:$BO$1006,0))&gt;=100000), " ",IF(INDEX($AN$2:$BO$1001,MATCH(ROWS($AG$2:AG513),$AG$2:$AG$1001,0),MATCH(COLUMNS($AN$1006:AW1006),$AN$1006:$BO$1006,0)), HYPERLINK("#",""), HYPERLINK(CONCATENATE("#Metadata!", ADDRESS(INDEX($AI$2:$AI$1001,MATCH(ROWS($AG$2:AG513),$AG$2:$AG$1001,0),0), INDEX($AN$1004:$BO$1004,1,MATCH(COLUMNS($AN$1006:AW1006),$AN$1006:$BO$1006,0)))),"Fix")))</f>
        <v>0</v>
      </c>
      <c r="L513" s="4">
        <f>IF(OR(INDEX($AH$2:$AH$1001,MATCH(ROWS($AG$2:AG513),$AG$2:$AG$1001,0),1)&gt;=100000,INDEX($AN$1005:$BO$1005,1,MATCH(COLUMNS($AN$1006:AX1006),$AN$1006:$BO$1006,0))&gt;=100000), " ",IF(INDEX($AN$2:$BO$1001,MATCH(ROWS($AG$2:AG513),$AG$2:$AG$1001,0),MATCH(COLUMNS($AN$1006:AX1006),$AN$1006:$BO$1006,0)), HYPERLINK("#",""), HYPERLINK(CONCATENATE("#Metadata!", ADDRESS(INDEX($AI$2:$AI$1001,MATCH(ROWS($AG$2:AG513),$AG$2:$AG$1001,0),0), INDEX($AN$1004:$BO$1004,1,MATCH(COLUMNS($AN$1006:AX1006),$AN$1006:$BO$1006,0)))),"Fix")))</f>
        <v>0</v>
      </c>
      <c r="M513" s="4">
        <f>IF(OR(INDEX($AH$2:$AH$1001,MATCH(ROWS($AG$2:AG513),$AG$2:$AG$1001,0),1)&gt;=100000,INDEX($AN$1005:$BO$1005,1,MATCH(COLUMNS($AN$1006:AY1006),$AN$1006:$BO$1006,0))&gt;=100000), " ",IF(INDEX($AN$2:$BO$1001,MATCH(ROWS($AG$2:AG513),$AG$2:$AG$1001,0),MATCH(COLUMNS($AN$1006:AY1006),$AN$1006:$BO$1006,0)), HYPERLINK("#",""), HYPERLINK(CONCATENATE("#Metadata!", ADDRESS(INDEX($AI$2:$AI$1001,MATCH(ROWS($AG$2:AG513),$AG$2:$AG$1001,0),0), INDEX($AN$1004:$BO$1004,1,MATCH(COLUMNS($AN$1006:AY1006),$AN$1006:$BO$1006,0)))),"Fix")))</f>
        <v>0</v>
      </c>
      <c r="N513" s="4">
        <f>IF(OR(INDEX($AH$2:$AH$1001,MATCH(ROWS($AG$2:AG513),$AG$2:$AG$1001,0),1)&gt;=100000,INDEX($AN$1005:$BO$1005,1,MATCH(COLUMNS($AN$1006:AZ1006),$AN$1006:$BO$1006,0))&gt;=100000), " ",IF(INDEX($AN$2:$BO$1001,MATCH(ROWS($AG$2:AG513),$AG$2:$AG$1001,0),MATCH(COLUMNS($AN$1006:AZ1006),$AN$1006:$BO$1006,0)), HYPERLINK("#",""), HYPERLINK(CONCATENATE("#Metadata!", ADDRESS(INDEX($AI$2:$AI$1001,MATCH(ROWS($AG$2:AG513),$AG$2:$AG$1001,0),0), INDEX($AN$1004:$BO$1004,1,MATCH(COLUMNS($AN$1006:AZ1006),$AN$1006:$BO$1006,0)))),"Fix")))</f>
        <v>0</v>
      </c>
      <c r="O513" s="4">
        <f>IF(OR(INDEX($AH$2:$AH$1001,MATCH(ROWS($AG$2:AG513),$AG$2:$AG$1001,0),1)&gt;=100000,INDEX($AN$1005:$BO$1005,1,MATCH(COLUMNS($AN$1006:BA1006),$AN$1006:$BO$1006,0))&gt;=100000), " ",IF(INDEX($AN$2:$BO$1001,MATCH(ROWS($AG$2:AG513),$AG$2:$AG$1001,0),MATCH(COLUMNS($AN$1006:BA1006),$AN$1006:$BO$1006,0)), HYPERLINK("#",""), HYPERLINK(CONCATENATE("#Metadata!", ADDRESS(INDEX($AI$2:$AI$1001,MATCH(ROWS($AG$2:AG513),$AG$2:$AG$1001,0),0), INDEX($AN$1004:$BO$1004,1,MATCH(COLUMNS($AN$1006:BA1006),$AN$1006:$BO$1006,0)))),"Fix")))</f>
        <v>0</v>
      </c>
      <c r="P513" s="4">
        <f>IF(OR(INDEX($AH$2:$AH$1001,MATCH(ROWS($AG$2:AG513),$AG$2:$AG$1001,0),1)&gt;=100000,INDEX($AN$1005:$BO$1005,1,MATCH(COLUMNS($AN$1006:BB1006),$AN$1006:$BO$1006,0))&gt;=100000), " ",IF(INDEX($AN$2:$BO$1001,MATCH(ROWS($AG$2:AG513),$AG$2:$AG$1001,0),MATCH(COLUMNS($AN$1006:BB1006),$AN$1006:$BO$1006,0)), HYPERLINK("#",""), HYPERLINK(CONCATENATE("#Metadata!", ADDRESS(INDEX($AI$2:$AI$1001,MATCH(ROWS($AG$2:AG513),$AG$2:$AG$1001,0),0), INDEX($AN$1004:$BO$1004,1,MATCH(COLUMNS($AN$1006:BB1006),$AN$1006:$BO$1006,0)))),"Fix")))</f>
        <v>0</v>
      </c>
      <c r="Q513" s="4">
        <f>IF(OR(INDEX($AH$2:$AH$1001,MATCH(ROWS($AG$2:AG513),$AG$2:$AG$1001,0),1)&gt;=100000,INDEX($AN$1005:$BO$1005,1,MATCH(COLUMNS($AN$1006:BC1006),$AN$1006:$BO$1006,0))&gt;=100000), " ",IF(INDEX($AN$2:$BO$1001,MATCH(ROWS($AG$2:AG513),$AG$2:$AG$1001,0),MATCH(COLUMNS($AN$1006:BC1006),$AN$1006:$BO$1006,0)), HYPERLINK("#",""), HYPERLINK(CONCATENATE("#Metadata!", ADDRESS(INDEX($AI$2:$AI$1001,MATCH(ROWS($AG$2:AG513),$AG$2:$AG$1001,0),0), INDEX($AN$1004:$BO$1004,1,MATCH(COLUMNS($AN$1006:BC1006),$AN$1006:$BO$1006,0)))),"Fix")))</f>
        <v>0</v>
      </c>
      <c r="R513" s="4">
        <f>IF(OR(INDEX($AH$2:$AH$1001,MATCH(ROWS($AG$2:AG513),$AG$2:$AG$1001,0),1)&gt;=100000,INDEX($AN$1005:$BO$1005,1,MATCH(COLUMNS($AN$1006:BD1006),$AN$1006:$BO$1006,0))&gt;=100000), " ",IF(INDEX($AN$2:$BO$1001,MATCH(ROWS($AG$2:AG513),$AG$2:$AG$1001,0),MATCH(COLUMNS($AN$1006:BD1006),$AN$1006:$BO$1006,0)), HYPERLINK("#",""), HYPERLINK(CONCATENATE("#Metadata!", ADDRESS(INDEX($AI$2:$AI$1001,MATCH(ROWS($AG$2:AG513),$AG$2:$AG$1001,0),0), INDEX($AN$1004:$BO$1004,1,MATCH(COLUMNS($AN$1006:BD1006),$AN$1006:$BO$1006,0)))),"Fix")))</f>
        <v>0</v>
      </c>
      <c r="S513" s="4">
        <f>IF(OR(INDEX($AH$2:$AH$1001,MATCH(ROWS($AG$2:AG513),$AG$2:$AG$1001,0),1)&gt;=100000,INDEX($AN$1005:$BO$1005,1,MATCH(COLUMNS($AN$1006:BE1006),$AN$1006:$BO$1006,0))&gt;=100000), " ",IF(INDEX($AN$2:$BO$1001,MATCH(ROWS($AG$2:AG513),$AG$2:$AG$1001,0),MATCH(COLUMNS($AN$1006:BE1006),$AN$1006:$BO$1006,0)), HYPERLINK("#",""), HYPERLINK(CONCATENATE("#Metadata!", ADDRESS(INDEX($AI$2:$AI$1001,MATCH(ROWS($AG$2:AG513),$AG$2:$AG$1001,0),0), INDEX($AN$1004:$BO$1004,1,MATCH(COLUMNS($AN$1006:BE1006),$AN$1006:$BO$1006,0)))),"Fix")))</f>
        <v>0</v>
      </c>
      <c r="T513" s="4">
        <f>IF(OR(INDEX($AH$2:$AH$1001,MATCH(ROWS($AG$2:AG513),$AG$2:$AG$1001,0),1)&gt;=100000,INDEX($AN$1005:$BO$1005,1,MATCH(COLUMNS($AN$1006:BF1006),$AN$1006:$BO$1006,0))&gt;=100000), " ",IF(INDEX($AN$2:$BO$1001,MATCH(ROWS($AG$2:AG513),$AG$2:$AG$1001,0),MATCH(COLUMNS($AN$1006:BF1006),$AN$1006:$BO$1006,0)), HYPERLINK("#",""), HYPERLINK(CONCATENATE("#Metadata!", ADDRESS(INDEX($AI$2:$AI$1001,MATCH(ROWS($AG$2:AG513),$AG$2:$AG$1001,0),0), INDEX($AN$1004:$BO$1004,1,MATCH(COLUMNS($AN$1006:BF1006),$AN$1006:$BO$1006,0)))),"Fix")))</f>
        <v>0</v>
      </c>
      <c r="U513" s="4">
        <f>IF(OR(INDEX($AH$2:$AH$1001,MATCH(ROWS($AG$2:AG513),$AG$2:$AG$1001,0),1)&gt;=100000,INDEX($AN$1005:$BO$1005,1,MATCH(COLUMNS($AN$1006:BG1006),$AN$1006:$BO$1006,0))&gt;=100000), " ",IF(INDEX($AN$2:$BO$1001,MATCH(ROWS($AG$2:AG513),$AG$2:$AG$1001,0),MATCH(COLUMNS($AN$1006:BG1006),$AN$1006:$BO$1006,0)), HYPERLINK("#",""), HYPERLINK(CONCATENATE("#Metadata!", ADDRESS(INDEX($AI$2:$AI$1001,MATCH(ROWS($AG$2:AG513),$AG$2:$AG$1001,0),0), INDEX($AN$1004:$BO$1004,1,MATCH(COLUMNS($AN$1006:BG1006),$AN$1006:$BO$1006,0)))),"Fix")))</f>
        <v>0</v>
      </c>
      <c r="V513" s="4">
        <f>IF(OR(INDEX($AH$2:$AH$1001,MATCH(ROWS($AG$2:AG513),$AG$2:$AG$1001,0),1)&gt;=100000,INDEX($AN$1005:$BO$1005,1,MATCH(COLUMNS($AN$1006:BH1006),$AN$1006:$BO$1006,0))&gt;=100000), " ",IF(INDEX($AN$2:$BO$1001,MATCH(ROWS($AG$2:AG513),$AG$2:$AG$1001,0),MATCH(COLUMNS($AN$1006:BH1006),$AN$1006:$BO$1006,0)), HYPERLINK("#",""), HYPERLINK(CONCATENATE("#Metadata!", ADDRESS(INDEX($AI$2:$AI$1001,MATCH(ROWS($AG$2:AG513),$AG$2:$AG$1001,0),0), INDEX($AN$1004:$BO$1004,1,MATCH(COLUMNS($AN$1006:BH1006),$AN$1006:$BO$1006,0)))),"Fix")))</f>
        <v>0</v>
      </c>
      <c r="W513" s="4">
        <f>IF(OR(INDEX($AH$2:$AH$1001,MATCH(ROWS($AG$2:AG513),$AG$2:$AG$1001,0),1)&gt;=100000,INDEX($AN$1005:$BO$1005,1,MATCH(COLUMNS($AN$1006:BI1006),$AN$1006:$BO$1006,0))&gt;=100000), " ",IF(INDEX($AN$2:$BO$1001,MATCH(ROWS($AG$2:AG513),$AG$2:$AG$1001,0),MATCH(COLUMNS($AN$1006:BI1006),$AN$1006:$BO$1006,0)), HYPERLINK("#",""), HYPERLINK(CONCATENATE("#Metadata!", ADDRESS(INDEX($AI$2:$AI$1001,MATCH(ROWS($AG$2:AG513),$AG$2:$AG$1001,0),0), INDEX($AN$1004:$BO$1004,1,MATCH(COLUMNS($AN$1006:BI1006),$AN$1006:$BO$1006,0)))),"Fix")))</f>
        <v>0</v>
      </c>
      <c r="X513" s="4">
        <f>IF(OR(INDEX($AH$2:$AH$1001,MATCH(ROWS($AG$2:AG513),$AG$2:$AG$1001,0),1)&gt;=100000,INDEX($AN$1005:$BO$1005,1,MATCH(COLUMNS($AN$1006:BJ1006),$AN$1006:$BO$1006,0))&gt;=100000), " ",IF(INDEX($AN$2:$BO$1001,MATCH(ROWS($AG$2:AG513),$AG$2:$AG$1001,0),MATCH(COLUMNS($AN$1006:BJ1006),$AN$1006:$BO$1006,0)), HYPERLINK("#",""), HYPERLINK(CONCATENATE("#Metadata!", ADDRESS(INDEX($AI$2:$AI$1001,MATCH(ROWS($AG$2:AG513),$AG$2:$AG$1001,0),0), INDEX($AN$1004:$BO$1004,1,MATCH(COLUMNS($AN$1006:BJ1006),$AN$1006:$BO$1006,0)))),"Fix")))</f>
        <v>0</v>
      </c>
      <c r="Y513" s="4">
        <f>IF(OR(INDEX($AH$2:$AH$1001,MATCH(ROWS($AG$2:AG513),$AG$2:$AG$1001,0),1)&gt;=100000,INDEX($AN$1005:$BO$1005,1,MATCH(COLUMNS($AN$1006:BK1006),$AN$1006:$BO$1006,0))&gt;=100000), " ",IF(INDEX($AN$2:$BO$1001,MATCH(ROWS($AG$2:AG513),$AG$2:$AG$1001,0),MATCH(COLUMNS($AN$1006:BK1006),$AN$1006:$BO$1006,0)), HYPERLINK("#",""), HYPERLINK(CONCATENATE("#Metadata!", ADDRESS(INDEX($AI$2:$AI$1001,MATCH(ROWS($AG$2:AG513),$AG$2:$AG$1001,0),0), INDEX($AN$1004:$BO$1004,1,MATCH(COLUMNS($AN$1006:BK1006),$AN$1006:$BO$1006,0)))),"Fix")))</f>
        <v>0</v>
      </c>
      <c r="Z513" s="4">
        <f>IF(OR(INDEX($AH$2:$AH$1001,MATCH(ROWS($AG$2:AG513),$AG$2:$AG$1001,0),1)&gt;=100000,INDEX($AN$1005:$BO$1005,1,MATCH(COLUMNS($AN$1006:BL1006),$AN$1006:$BO$1006,0))&gt;=100000), " ",IF(INDEX($AN$2:$BO$1001,MATCH(ROWS($AG$2:AG513),$AG$2:$AG$1001,0),MATCH(COLUMNS($AN$1006:BL1006),$AN$1006:$BO$1006,0)), HYPERLINK("#",""), HYPERLINK(CONCATENATE("#Metadata!", ADDRESS(INDEX($AI$2:$AI$1001,MATCH(ROWS($AG$2:AG513),$AG$2:$AG$1001,0),0), INDEX($AN$1004:$BO$1004,1,MATCH(COLUMNS($AN$1006:BL1006),$AN$1006:$BO$1006,0)))),"Fix")))</f>
        <v>0</v>
      </c>
      <c r="AA513" s="4">
        <f>IF(OR(INDEX($AH$2:$AH$1001,MATCH(ROWS($AG$2:AG513),$AG$2:$AG$1001,0),1)&gt;=100000,INDEX($AN$1005:$BO$1005,1,MATCH(COLUMNS($AN$1006:BM1006),$AN$1006:$BO$1006,0))&gt;=100000), " ",IF(INDEX($AN$2:$BO$1001,MATCH(ROWS($AG$2:AG513),$AG$2:$AG$1001,0),MATCH(COLUMNS($AN$1006:BM1006),$AN$1006:$BO$1006,0)), HYPERLINK("#",""), HYPERLINK(CONCATENATE("#Metadata!", ADDRESS(INDEX($AI$2:$AI$1001,MATCH(ROWS($AG$2:AG513),$AG$2:$AG$1001,0),0), INDEX($AN$1004:$BO$1004,1,MATCH(COLUMNS($AN$1006:BM1006),$AN$1006:$BO$1006,0)))),"Fix")))</f>
        <v>0</v>
      </c>
      <c r="AB513" s="4">
        <f>IF(OR(INDEX($AH$2:$AH$1001,MATCH(ROWS($AG$2:AG513),$AG$2:$AG$1001,0),1)&gt;=100000,INDEX($AN$1005:$BO$1005,1,MATCH(COLUMNS($AN$1006:BN1006),$AN$1006:$BO$1006,0))&gt;=100000), " ",IF(INDEX($AN$2:$BO$1001,MATCH(ROWS($AG$2:AG513),$AG$2:$AG$1001,0),MATCH(COLUMNS($AN$1006:BN1006),$AN$1006:$BO$1006,0)), HYPERLINK("#",""), HYPERLINK(CONCATENATE("#Metadata!", ADDRESS(INDEX($AI$2:$AI$1001,MATCH(ROWS($AG$2:AG513),$AG$2:$AG$1001,0),0), INDEX($AN$1004:$BO$1004,1,MATCH(COLUMNS($AN$1006:BN1006),$AN$1006:$BO$1006,0)))),"Fix")))</f>
        <v>0</v>
      </c>
      <c r="AC513" s="4">
        <f>IF(OR(INDEX($AH$2:$AH$1001,MATCH(ROWS($AG$2:AG513),$AG$2:$AG$1001,0),1)&gt;=100000,INDEX($AN$1005:$BO$1005,1,MATCH(COLUMNS($AN$1006:BO1006),$AN$1006:$BO$1006,0))&gt;=100000), " ",IF(INDEX($AN$2:$BO$1001,MATCH(ROWS($AG$2:AG513),$AG$2:$AG$1001,0),MATCH(COLUMNS($AN$1006:BO1006),$AN$1006:$BO$1006,0)), HYPERLINK("#",""), HYPERLINK(CONCATENATE("#Metadata!", ADDRESS(INDEX($AI$2:$AI$1001,MATCH(ROWS($AG$2:AG513),$AG$2:$AG$1001,0),0), INDEX($AN$1004:$BO$1004,1,MATCH(COLUMNS($AN$1006:BO1006),$AN$1006:$BO$1006,0)))),"Fix")))</f>
        <v>0</v>
      </c>
      <c r="AG513">
        <v>0</v>
      </c>
      <c r="AH513">
        <v>0</v>
      </c>
      <c r="AI513">
        <v>0</v>
      </c>
      <c r="AJ513">
        <f>IF(AK513,TRUE,AND(AN513:BO513))</f>
        <v>0</v>
      </c>
      <c r="AK513">
        <f>COUNTBLANK(Metadata!B513:AC513)=COLUMNS(Metadata!B513:AC513)</f>
        <v>0</v>
      </c>
      <c r="AL513">
        <v>0</v>
      </c>
      <c r="AN513">
        <f>AND(IF(Metadata!B513="",FALSE,TRUE),COUNTIF(Metadata!B:B, Metadata!B513) = 1,NOT(ISERROR(SUMPRODUCT(SEARCH(MID(Metadata!B513,ROW(INDIRECT("1:"&amp;LEN(Metadata!B513))), 1),"0123456789abcdefghijklmnopqrstuvwxyzABCDEFGHIJKLMNOPQRSTUVWXYZ.")))))</f>
        <v>0</v>
      </c>
      <c r="AO513">
        <f>IF(Metadata!C513="",FALSE,TRUE)</f>
        <v>0</v>
      </c>
      <c r="AP513">
        <f>IF(Metadata!D513="",FALSE,TRUE)</f>
        <v>0</v>
      </c>
      <c r="AQ513">
        <f>OR(AND(IF(Metadata!E513="",FALSE,TRUE),OR(exact(Metadata!E513,"not collected"),exact(Metadata!E513,"not provided"),exact(Metadata!E513,"restricted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R513">
        <f>IF(Metadata!F513="",FALSE,TRUE)</f>
        <v>0</v>
      </c>
      <c r="AS513">
        <f>OR(AND(IF(Metadata!G513="",FALSE,TRUE),OR(exact(Metadata!G513,"not collected"),exact(Metadata!G513,"not provided"))),AND(IF(Metadata!G513="",FALSE,TRUE),OR(exact(Metadata!G513,"TRUE"),exact(Metadata!G513,"FALSE"))))</f>
        <v>0</v>
      </c>
      <c r="AT513">
        <f>OR(AND(IF(Metadata!H513="",FALSE,TRUE),OR(exact(Metadata!H513,"not collected"),exact(Metadata!H513,"not provided"),exact(Metadata!H513,"restricted access"))),AND(IF(Metadata!H513="",FALSE,ISNUMBER(VALUE(Metadata!H513))),Metadata!H513&gt;=-413.0))</f>
        <v>0</v>
      </c>
      <c r="AU513">
        <f>AND(IF(Metadata!I513="",FALSE,TRUE),exact(Metadata!I513,"meters"))</f>
        <v>0</v>
      </c>
      <c r="AV513">
        <f>AND(IF(Metadata!J513="",FALSE,TRUE),OR(exact(Metadata!J513,"Host-associated"),exact(Metadata!J513,"Free-living")))</f>
        <v>0</v>
      </c>
      <c r="AW513">
        <f>AND(IF(Metadata!K513="",FALSE,TRUE),OR(exact(Metadata!K513,"Animal"),exact(Metadata!K513,"Fungus"),exact(Metadata!K513,"Plant"),exact(Metadata!K513,"Saline"),exact(Metadata!K513,"Non-saline")))</f>
        <v>0</v>
      </c>
      <c r="AX513">
        <f>AND(IF(Metadata!L513="",FALSE,TRUE),OR(exact(Metadata!L513,"Plant secretion"),exact(Metadata!L513,"Plant rhizosphere"),exact(Metadata!L513,"Plant surface"),exact(Metadata!L513,"Plant corpus"),exact(Metadata!L513,"Fungus surface"),exact(Metadata!L513,"Fungus corpus"),exact(Metadata!L513,"Animal surface"),exact(Metadata!L513,"Animal proximal gut"),exact(Metadata!L513,"Animal corpus"),exact(Metadata!L513,"Animal distal gut"),exact(Metadata!L513,"Animal secretion"),exact(Metadata!L513,"Sub-surface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Y513">
        <f>IF(Metadata!M513="",FALSE,TRUE)</f>
        <v>0</v>
      </c>
      <c r="AZ513">
        <f>IF(Metadata!N513="",FALSE,TRUE)</f>
        <v>0</v>
      </c>
      <c r="BA513">
        <f>IF(Metadata!O513="",FALSE,TRUE)</f>
        <v>0</v>
      </c>
      <c r="BB513">
        <f>OR(AND(IF(Metadata!P513="",FALSE,TRUE),OR(exact(Metadata!P513,"not collected"),exact(Metadata!P513,"not provided"),exact(Metadata!P513,"restricted access"))),AND(IF(Metadata!P513="",FALSE,TRUE),OR(exact(Metadata!P513,"air"),exact(Metadata!P513,"built environment"),exact(Metadata!P513,"host-associated"),exact(Metadata!P513,"human-associated"),exact(Metadata!P513,"human-skin"),exact(Metadata!P513,"human-oral"),exact(Metadata!P513,"human-gut"),exact(Metadata!P513,"human-vaginal"),exact(Metadata!P513,"microbial mat/biofilm"),exact(Metadata!P513,"misc environment"),exact(Metadata!P513,"plant-associated"),exact(Metadata!P513,"sediment"),exact(Metadata!P513,"soil"),exact(Metadata!P513,"wastewater/sludge"),exact(Metadata!P513,"water"))))</f>
        <v>0</v>
      </c>
      <c r="BC513">
        <f>IF(Metadata!Q513="",FALSE,TRUE)</f>
        <v>0</v>
      </c>
      <c r="BD513">
        <f>IF(Metadata!R513="",FALSE,TRUE)</f>
        <v>0</v>
      </c>
      <c r="BE513">
        <f>OR(AND(IF(Metadata!S513="",FALSE,TRUE),OR(exact(Metadata!S513,"not collected"),exact(Metadata!S513,"not provided"),exact(Metadata!S513,"restricted access"))),AND(IF(Metadata!S513="",FALSE,ISNUMBER(VALUE(Metadata!S513))),Metadata!S513&gt;=-90.00,Metadata!S513&lt;=90.00))</f>
        <v>0</v>
      </c>
      <c r="BF513">
        <f>AND(IF(Metadata!T513="",FALSE,TRUE),exact(Metadata!T513,"Decimal degrees"))</f>
        <v>0</v>
      </c>
      <c r="BG513">
        <f>OR(AND(IF(Metadata!U513="",FALSE,TRUE),OR(exact(Metadata!U513,"not collected"),exact(Metadata!U513,"not provided"),exact(Metadata!U513,"restricted access"))),AND(IF(Metadata!U513="",FALSE,ISNUMBER(VALUE(Metadata!U513))),Metadata!U513&gt;=-180.00,Metadata!U513&lt;=180.00))</f>
        <v>0</v>
      </c>
      <c r="BH513">
        <f>AND(IF(Metadata!V513="",FALSE,TRUE),exact(Metadata!V513,"Decimal degrees"))</f>
        <v>0</v>
      </c>
      <c r="BI513">
        <f>IF(Metadata!W513="",FALSE,TRUE)</f>
        <v>0</v>
      </c>
      <c r="BJ513">
        <f>OR(AND(IF(Metadata!X513="",FALSE,TRUE),OR(exact(Metadata!X513,"not collected"),exact(Metadata!X513,"not provided"),exact(Metadata!X513,"restricted access"))),AND(IF(Metadata!X513="",FALSE,TRUE),OR(exact(Metadata!X513,"TRUE"),exact(Metadata!X513,"FALSE"))))</f>
        <v>0</v>
      </c>
      <c r="BK513">
        <f>AND(IF(Metadata!Y513="",FALSE,TRUE),exact(Metadata!Y513,"other"))</f>
        <v>0</v>
      </c>
      <c r="BL513">
        <f>IF(Metadata!Z513="",FALSE,TRUE)</f>
        <v>0</v>
      </c>
      <c r="BM513">
        <f>OR(AND(IF(Metadata!AA513="",FALSE,TRUE),OR(exact(Metadata!AA513,"not collected"),exact(Metadata!AA513,"not provided"))),AND(IF(Metadata!AA513="",FALSE,IF(ISERROR(INT(Metadata!AA513)),FALSE,INT(Metadata!AA513)=Metadata!AA513)),Metadata!AA513&gt;0))</f>
        <v>0</v>
      </c>
      <c r="BN513">
        <f>AND(IF(Metadata!AB513="",FALSE,TRUE),exact(Metadata!AB513,"Not applicable"))</f>
        <v>0</v>
      </c>
      <c r="BO513">
        <f>IF(Metadata!AC513="",FALSE,TRUE)</f>
        <v>0</v>
      </c>
    </row>
    <row r="514" spans="1:67">
      <c r="A514" s="5">
        <f>IF(B514=" "," ",HYPERLINK(CONCATENATE("#metadata!",ADDRESS(INDEX($AI$2:$AI$1001,MATCH(ROWS($AG$2:AG514),$AG$2:$AG$1001,0),0),1)),INDEX($AL$2:$AL$1001,MATCH(ROWS($AG$2:AG514),$AG$2:$AG$1001,0),0)))</f>
        <v>0</v>
      </c>
      <c r="B514" s="4">
        <f>IF(OR(INDEX($AH$2:$AH$1001,MATCH(ROWS($AG$2:AG514),$AG$2:$AG$1001,0),1)&gt;=100000,INDEX($AN$1005:$BO$1005,1,MATCH(COLUMNS($AN$1006:AN1006),$AN$1006:$BO$1006,0))&gt;=100000), " ",IF(INDEX($AN$2:$BO$1001,MATCH(ROWS($AG$2:AG514),$AG$2:$AG$1001,0),MATCH(COLUMNS($AN$1006:AN1006),$AN$1006:$BO$1006,0)), HYPERLINK("#",""), HYPERLINK(CONCATENATE("#Metadata!", ADDRESS(INDEX($AI$2:$AI$1001,MATCH(ROWS($AG$2:AG514),$AG$2:$AG$1001,0),0), INDEX($AN$1004:$BO$1004,1,MATCH(COLUMNS($AN$1006:AN1006),$AN$1006:$BO$1006,0)))),"Fix")))</f>
        <v>0</v>
      </c>
      <c r="C514" s="4">
        <f>IF(OR(INDEX($AH$2:$AH$1001,MATCH(ROWS($AG$2:AG514),$AG$2:$AG$1001,0),1)&gt;=100000,INDEX($AN$1005:$BO$1005,1,MATCH(COLUMNS($AN$1006:AO1006),$AN$1006:$BO$1006,0))&gt;=100000), " ",IF(INDEX($AN$2:$BO$1001,MATCH(ROWS($AG$2:AG514),$AG$2:$AG$1001,0),MATCH(COLUMNS($AN$1006:AO1006),$AN$1006:$BO$1006,0)), HYPERLINK("#",""), HYPERLINK(CONCATENATE("#Metadata!", ADDRESS(INDEX($AI$2:$AI$1001,MATCH(ROWS($AG$2:AG514),$AG$2:$AG$1001,0),0), INDEX($AN$1004:$BO$1004,1,MATCH(COLUMNS($AN$1006:AO1006),$AN$1006:$BO$1006,0)))),"Fix")))</f>
        <v>0</v>
      </c>
      <c r="D514" s="4">
        <f>IF(OR(INDEX($AH$2:$AH$1001,MATCH(ROWS($AG$2:AG514),$AG$2:$AG$1001,0),1)&gt;=100000,INDEX($AN$1005:$BO$1005,1,MATCH(COLUMNS($AN$1006:AP1006),$AN$1006:$BO$1006,0))&gt;=100000), " ",IF(INDEX($AN$2:$BO$1001,MATCH(ROWS($AG$2:AG514),$AG$2:$AG$1001,0),MATCH(COLUMNS($AN$1006:AP1006),$AN$1006:$BO$1006,0)), HYPERLINK("#",""), HYPERLINK(CONCATENATE("#Metadata!", ADDRESS(INDEX($AI$2:$AI$1001,MATCH(ROWS($AG$2:AG514),$AG$2:$AG$1001,0),0), INDEX($AN$1004:$BO$1004,1,MATCH(COLUMNS($AN$1006:AP1006),$AN$1006:$BO$1006,0)))),"Fix")))</f>
        <v>0</v>
      </c>
      <c r="E514" s="4">
        <f>IF(OR(INDEX($AH$2:$AH$1001,MATCH(ROWS($AG$2:AG514),$AG$2:$AG$1001,0),1)&gt;=100000,INDEX($AN$1005:$BO$1005,1,MATCH(COLUMNS($AN$1006:AQ1006),$AN$1006:$BO$1006,0))&gt;=100000), " ",IF(INDEX($AN$2:$BO$1001,MATCH(ROWS($AG$2:AG514),$AG$2:$AG$1001,0),MATCH(COLUMNS($AN$1006:AQ1006),$AN$1006:$BO$1006,0)), HYPERLINK("#",""), HYPERLINK(CONCATENATE("#Metadata!", ADDRESS(INDEX($AI$2:$AI$1001,MATCH(ROWS($AG$2:AG514),$AG$2:$AG$1001,0),0), INDEX($AN$1004:$BO$1004,1,MATCH(COLUMNS($AN$1006:AQ1006),$AN$1006:$BO$1006,0)))),"Fix")))</f>
        <v>0</v>
      </c>
      <c r="F514" s="4">
        <f>IF(OR(INDEX($AH$2:$AH$1001,MATCH(ROWS($AG$2:AG514),$AG$2:$AG$1001,0),1)&gt;=100000,INDEX($AN$1005:$BO$1005,1,MATCH(COLUMNS($AN$1006:AR1006),$AN$1006:$BO$1006,0))&gt;=100000), " ",IF(INDEX($AN$2:$BO$1001,MATCH(ROWS($AG$2:AG514),$AG$2:$AG$1001,0),MATCH(COLUMNS($AN$1006:AR1006),$AN$1006:$BO$1006,0)), HYPERLINK("#",""), HYPERLINK(CONCATENATE("#Metadata!", ADDRESS(INDEX($AI$2:$AI$1001,MATCH(ROWS($AG$2:AG514),$AG$2:$AG$1001,0),0), INDEX($AN$1004:$BO$1004,1,MATCH(COLUMNS($AN$1006:AR1006),$AN$1006:$BO$1006,0)))),"Fix")))</f>
        <v>0</v>
      </c>
      <c r="G514" s="4">
        <f>IF(OR(INDEX($AH$2:$AH$1001,MATCH(ROWS($AG$2:AG514),$AG$2:$AG$1001,0),1)&gt;=100000,INDEX($AN$1005:$BO$1005,1,MATCH(COLUMNS($AN$1006:AS1006),$AN$1006:$BO$1006,0))&gt;=100000), " ",IF(INDEX($AN$2:$BO$1001,MATCH(ROWS($AG$2:AG514),$AG$2:$AG$1001,0),MATCH(COLUMNS($AN$1006:AS1006),$AN$1006:$BO$1006,0)), HYPERLINK("#",""), HYPERLINK(CONCATENATE("#Metadata!", ADDRESS(INDEX($AI$2:$AI$1001,MATCH(ROWS($AG$2:AG514),$AG$2:$AG$1001,0),0), INDEX($AN$1004:$BO$1004,1,MATCH(COLUMNS($AN$1006:AS1006),$AN$1006:$BO$1006,0)))),"Fix")))</f>
        <v>0</v>
      </c>
      <c r="H514" s="4">
        <f>IF(OR(INDEX($AH$2:$AH$1001,MATCH(ROWS($AG$2:AG514),$AG$2:$AG$1001,0),1)&gt;=100000,INDEX($AN$1005:$BO$1005,1,MATCH(COLUMNS($AN$1006:AT1006),$AN$1006:$BO$1006,0))&gt;=100000), " ",IF(INDEX($AN$2:$BO$1001,MATCH(ROWS($AG$2:AG514),$AG$2:$AG$1001,0),MATCH(COLUMNS($AN$1006:AT1006),$AN$1006:$BO$1006,0)), HYPERLINK("#",""), HYPERLINK(CONCATENATE("#Metadata!", ADDRESS(INDEX($AI$2:$AI$1001,MATCH(ROWS($AG$2:AG514),$AG$2:$AG$1001,0),0), INDEX($AN$1004:$BO$1004,1,MATCH(COLUMNS($AN$1006:AT1006),$AN$1006:$BO$1006,0)))),"Fix")))</f>
        <v>0</v>
      </c>
      <c r="I514" s="4">
        <f>IF(OR(INDEX($AH$2:$AH$1001,MATCH(ROWS($AG$2:AG514),$AG$2:$AG$1001,0),1)&gt;=100000,INDEX($AN$1005:$BO$1005,1,MATCH(COLUMNS($AN$1006:AU1006),$AN$1006:$BO$1006,0))&gt;=100000), " ",IF(INDEX($AN$2:$BO$1001,MATCH(ROWS($AG$2:AG514),$AG$2:$AG$1001,0),MATCH(COLUMNS($AN$1006:AU1006),$AN$1006:$BO$1006,0)), HYPERLINK("#",""), HYPERLINK(CONCATENATE("#Metadata!", ADDRESS(INDEX($AI$2:$AI$1001,MATCH(ROWS($AG$2:AG514),$AG$2:$AG$1001,0),0), INDEX($AN$1004:$BO$1004,1,MATCH(COLUMNS($AN$1006:AU1006),$AN$1006:$BO$1006,0)))),"Fix")))</f>
        <v>0</v>
      </c>
      <c r="J514" s="4">
        <f>IF(OR(INDEX($AH$2:$AH$1001,MATCH(ROWS($AG$2:AG514),$AG$2:$AG$1001,0),1)&gt;=100000,INDEX($AN$1005:$BO$1005,1,MATCH(COLUMNS($AN$1006:AV1006),$AN$1006:$BO$1006,0))&gt;=100000), " ",IF(INDEX($AN$2:$BO$1001,MATCH(ROWS($AG$2:AG514),$AG$2:$AG$1001,0),MATCH(COLUMNS($AN$1006:AV1006),$AN$1006:$BO$1006,0)), HYPERLINK("#",""), HYPERLINK(CONCATENATE("#Metadata!", ADDRESS(INDEX($AI$2:$AI$1001,MATCH(ROWS($AG$2:AG514),$AG$2:$AG$1001,0),0), INDEX($AN$1004:$BO$1004,1,MATCH(COLUMNS($AN$1006:AV1006),$AN$1006:$BO$1006,0)))),"Fix")))</f>
        <v>0</v>
      </c>
      <c r="K514" s="4">
        <f>IF(OR(INDEX($AH$2:$AH$1001,MATCH(ROWS($AG$2:AG514),$AG$2:$AG$1001,0),1)&gt;=100000,INDEX($AN$1005:$BO$1005,1,MATCH(COLUMNS($AN$1006:AW1006),$AN$1006:$BO$1006,0))&gt;=100000), " ",IF(INDEX($AN$2:$BO$1001,MATCH(ROWS($AG$2:AG514),$AG$2:$AG$1001,0),MATCH(COLUMNS($AN$1006:AW1006),$AN$1006:$BO$1006,0)), HYPERLINK("#",""), HYPERLINK(CONCATENATE("#Metadata!", ADDRESS(INDEX($AI$2:$AI$1001,MATCH(ROWS($AG$2:AG514),$AG$2:$AG$1001,0),0), INDEX($AN$1004:$BO$1004,1,MATCH(COLUMNS($AN$1006:AW1006),$AN$1006:$BO$1006,0)))),"Fix")))</f>
        <v>0</v>
      </c>
      <c r="L514" s="4">
        <f>IF(OR(INDEX($AH$2:$AH$1001,MATCH(ROWS($AG$2:AG514),$AG$2:$AG$1001,0),1)&gt;=100000,INDEX($AN$1005:$BO$1005,1,MATCH(COLUMNS($AN$1006:AX1006),$AN$1006:$BO$1006,0))&gt;=100000), " ",IF(INDEX($AN$2:$BO$1001,MATCH(ROWS($AG$2:AG514),$AG$2:$AG$1001,0),MATCH(COLUMNS($AN$1006:AX1006),$AN$1006:$BO$1006,0)), HYPERLINK("#",""), HYPERLINK(CONCATENATE("#Metadata!", ADDRESS(INDEX($AI$2:$AI$1001,MATCH(ROWS($AG$2:AG514),$AG$2:$AG$1001,0),0), INDEX($AN$1004:$BO$1004,1,MATCH(COLUMNS($AN$1006:AX1006),$AN$1006:$BO$1006,0)))),"Fix")))</f>
        <v>0</v>
      </c>
      <c r="M514" s="4">
        <f>IF(OR(INDEX($AH$2:$AH$1001,MATCH(ROWS($AG$2:AG514),$AG$2:$AG$1001,0),1)&gt;=100000,INDEX($AN$1005:$BO$1005,1,MATCH(COLUMNS($AN$1006:AY1006),$AN$1006:$BO$1006,0))&gt;=100000), " ",IF(INDEX($AN$2:$BO$1001,MATCH(ROWS($AG$2:AG514),$AG$2:$AG$1001,0),MATCH(COLUMNS($AN$1006:AY1006),$AN$1006:$BO$1006,0)), HYPERLINK("#",""), HYPERLINK(CONCATENATE("#Metadata!", ADDRESS(INDEX($AI$2:$AI$1001,MATCH(ROWS($AG$2:AG514),$AG$2:$AG$1001,0),0), INDEX($AN$1004:$BO$1004,1,MATCH(COLUMNS($AN$1006:AY1006),$AN$1006:$BO$1006,0)))),"Fix")))</f>
        <v>0</v>
      </c>
      <c r="N514" s="4">
        <f>IF(OR(INDEX($AH$2:$AH$1001,MATCH(ROWS($AG$2:AG514),$AG$2:$AG$1001,0),1)&gt;=100000,INDEX($AN$1005:$BO$1005,1,MATCH(COLUMNS($AN$1006:AZ1006),$AN$1006:$BO$1006,0))&gt;=100000), " ",IF(INDEX($AN$2:$BO$1001,MATCH(ROWS($AG$2:AG514),$AG$2:$AG$1001,0),MATCH(COLUMNS($AN$1006:AZ1006),$AN$1006:$BO$1006,0)), HYPERLINK("#",""), HYPERLINK(CONCATENATE("#Metadata!", ADDRESS(INDEX($AI$2:$AI$1001,MATCH(ROWS($AG$2:AG514),$AG$2:$AG$1001,0),0), INDEX($AN$1004:$BO$1004,1,MATCH(COLUMNS($AN$1006:AZ1006),$AN$1006:$BO$1006,0)))),"Fix")))</f>
        <v>0</v>
      </c>
      <c r="O514" s="4">
        <f>IF(OR(INDEX($AH$2:$AH$1001,MATCH(ROWS($AG$2:AG514),$AG$2:$AG$1001,0),1)&gt;=100000,INDEX($AN$1005:$BO$1005,1,MATCH(COLUMNS($AN$1006:BA1006),$AN$1006:$BO$1006,0))&gt;=100000), " ",IF(INDEX($AN$2:$BO$1001,MATCH(ROWS($AG$2:AG514),$AG$2:$AG$1001,0),MATCH(COLUMNS($AN$1006:BA1006),$AN$1006:$BO$1006,0)), HYPERLINK("#",""), HYPERLINK(CONCATENATE("#Metadata!", ADDRESS(INDEX($AI$2:$AI$1001,MATCH(ROWS($AG$2:AG514),$AG$2:$AG$1001,0),0), INDEX($AN$1004:$BO$1004,1,MATCH(COLUMNS($AN$1006:BA1006),$AN$1006:$BO$1006,0)))),"Fix")))</f>
        <v>0</v>
      </c>
      <c r="P514" s="4">
        <f>IF(OR(INDEX($AH$2:$AH$1001,MATCH(ROWS($AG$2:AG514),$AG$2:$AG$1001,0),1)&gt;=100000,INDEX($AN$1005:$BO$1005,1,MATCH(COLUMNS($AN$1006:BB1006),$AN$1006:$BO$1006,0))&gt;=100000), " ",IF(INDEX($AN$2:$BO$1001,MATCH(ROWS($AG$2:AG514),$AG$2:$AG$1001,0),MATCH(COLUMNS($AN$1006:BB1006),$AN$1006:$BO$1006,0)), HYPERLINK("#",""), HYPERLINK(CONCATENATE("#Metadata!", ADDRESS(INDEX($AI$2:$AI$1001,MATCH(ROWS($AG$2:AG514),$AG$2:$AG$1001,0),0), INDEX($AN$1004:$BO$1004,1,MATCH(COLUMNS($AN$1006:BB1006),$AN$1006:$BO$1006,0)))),"Fix")))</f>
        <v>0</v>
      </c>
      <c r="Q514" s="4">
        <f>IF(OR(INDEX($AH$2:$AH$1001,MATCH(ROWS($AG$2:AG514),$AG$2:$AG$1001,0),1)&gt;=100000,INDEX($AN$1005:$BO$1005,1,MATCH(COLUMNS($AN$1006:BC1006),$AN$1006:$BO$1006,0))&gt;=100000), " ",IF(INDEX($AN$2:$BO$1001,MATCH(ROWS($AG$2:AG514),$AG$2:$AG$1001,0),MATCH(COLUMNS($AN$1006:BC1006),$AN$1006:$BO$1006,0)), HYPERLINK("#",""), HYPERLINK(CONCATENATE("#Metadata!", ADDRESS(INDEX($AI$2:$AI$1001,MATCH(ROWS($AG$2:AG514),$AG$2:$AG$1001,0),0), INDEX($AN$1004:$BO$1004,1,MATCH(COLUMNS($AN$1006:BC1006),$AN$1006:$BO$1006,0)))),"Fix")))</f>
        <v>0</v>
      </c>
      <c r="R514" s="4">
        <f>IF(OR(INDEX($AH$2:$AH$1001,MATCH(ROWS($AG$2:AG514),$AG$2:$AG$1001,0),1)&gt;=100000,INDEX($AN$1005:$BO$1005,1,MATCH(COLUMNS($AN$1006:BD1006),$AN$1006:$BO$1006,0))&gt;=100000), " ",IF(INDEX($AN$2:$BO$1001,MATCH(ROWS($AG$2:AG514),$AG$2:$AG$1001,0),MATCH(COLUMNS($AN$1006:BD1006),$AN$1006:$BO$1006,0)), HYPERLINK("#",""), HYPERLINK(CONCATENATE("#Metadata!", ADDRESS(INDEX($AI$2:$AI$1001,MATCH(ROWS($AG$2:AG514),$AG$2:$AG$1001,0),0), INDEX($AN$1004:$BO$1004,1,MATCH(COLUMNS($AN$1006:BD1006),$AN$1006:$BO$1006,0)))),"Fix")))</f>
        <v>0</v>
      </c>
      <c r="S514" s="4">
        <f>IF(OR(INDEX($AH$2:$AH$1001,MATCH(ROWS($AG$2:AG514),$AG$2:$AG$1001,0),1)&gt;=100000,INDEX($AN$1005:$BO$1005,1,MATCH(COLUMNS($AN$1006:BE1006),$AN$1006:$BO$1006,0))&gt;=100000), " ",IF(INDEX($AN$2:$BO$1001,MATCH(ROWS($AG$2:AG514),$AG$2:$AG$1001,0),MATCH(COLUMNS($AN$1006:BE1006),$AN$1006:$BO$1006,0)), HYPERLINK("#",""), HYPERLINK(CONCATENATE("#Metadata!", ADDRESS(INDEX($AI$2:$AI$1001,MATCH(ROWS($AG$2:AG514),$AG$2:$AG$1001,0),0), INDEX($AN$1004:$BO$1004,1,MATCH(COLUMNS($AN$1006:BE1006),$AN$1006:$BO$1006,0)))),"Fix")))</f>
        <v>0</v>
      </c>
      <c r="T514" s="4">
        <f>IF(OR(INDEX($AH$2:$AH$1001,MATCH(ROWS($AG$2:AG514),$AG$2:$AG$1001,0),1)&gt;=100000,INDEX($AN$1005:$BO$1005,1,MATCH(COLUMNS($AN$1006:BF1006),$AN$1006:$BO$1006,0))&gt;=100000), " ",IF(INDEX($AN$2:$BO$1001,MATCH(ROWS($AG$2:AG514),$AG$2:$AG$1001,0),MATCH(COLUMNS($AN$1006:BF1006),$AN$1006:$BO$1006,0)), HYPERLINK("#",""), HYPERLINK(CONCATENATE("#Metadata!", ADDRESS(INDEX($AI$2:$AI$1001,MATCH(ROWS($AG$2:AG514),$AG$2:$AG$1001,0),0), INDEX($AN$1004:$BO$1004,1,MATCH(COLUMNS($AN$1006:BF1006),$AN$1006:$BO$1006,0)))),"Fix")))</f>
        <v>0</v>
      </c>
      <c r="U514" s="4">
        <f>IF(OR(INDEX($AH$2:$AH$1001,MATCH(ROWS($AG$2:AG514),$AG$2:$AG$1001,0),1)&gt;=100000,INDEX($AN$1005:$BO$1005,1,MATCH(COLUMNS($AN$1006:BG1006),$AN$1006:$BO$1006,0))&gt;=100000), " ",IF(INDEX($AN$2:$BO$1001,MATCH(ROWS($AG$2:AG514),$AG$2:$AG$1001,0),MATCH(COLUMNS($AN$1006:BG1006),$AN$1006:$BO$1006,0)), HYPERLINK("#",""), HYPERLINK(CONCATENATE("#Metadata!", ADDRESS(INDEX($AI$2:$AI$1001,MATCH(ROWS($AG$2:AG514),$AG$2:$AG$1001,0),0), INDEX($AN$1004:$BO$1004,1,MATCH(COLUMNS($AN$1006:BG1006),$AN$1006:$BO$1006,0)))),"Fix")))</f>
        <v>0</v>
      </c>
      <c r="V514" s="4">
        <f>IF(OR(INDEX($AH$2:$AH$1001,MATCH(ROWS($AG$2:AG514),$AG$2:$AG$1001,0),1)&gt;=100000,INDEX($AN$1005:$BO$1005,1,MATCH(COLUMNS($AN$1006:BH1006),$AN$1006:$BO$1006,0))&gt;=100000), " ",IF(INDEX($AN$2:$BO$1001,MATCH(ROWS($AG$2:AG514),$AG$2:$AG$1001,0),MATCH(COLUMNS($AN$1006:BH1006),$AN$1006:$BO$1006,0)), HYPERLINK("#",""), HYPERLINK(CONCATENATE("#Metadata!", ADDRESS(INDEX($AI$2:$AI$1001,MATCH(ROWS($AG$2:AG514),$AG$2:$AG$1001,0),0), INDEX($AN$1004:$BO$1004,1,MATCH(COLUMNS($AN$1006:BH1006),$AN$1006:$BO$1006,0)))),"Fix")))</f>
        <v>0</v>
      </c>
      <c r="W514" s="4">
        <f>IF(OR(INDEX($AH$2:$AH$1001,MATCH(ROWS($AG$2:AG514),$AG$2:$AG$1001,0),1)&gt;=100000,INDEX($AN$1005:$BO$1005,1,MATCH(COLUMNS($AN$1006:BI1006),$AN$1006:$BO$1006,0))&gt;=100000), " ",IF(INDEX($AN$2:$BO$1001,MATCH(ROWS($AG$2:AG514),$AG$2:$AG$1001,0),MATCH(COLUMNS($AN$1006:BI1006),$AN$1006:$BO$1006,0)), HYPERLINK("#",""), HYPERLINK(CONCATENATE("#Metadata!", ADDRESS(INDEX($AI$2:$AI$1001,MATCH(ROWS($AG$2:AG514),$AG$2:$AG$1001,0),0), INDEX($AN$1004:$BO$1004,1,MATCH(COLUMNS($AN$1006:BI1006),$AN$1006:$BO$1006,0)))),"Fix")))</f>
        <v>0</v>
      </c>
      <c r="X514" s="4">
        <f>IF(OR(INDEX($AH$2:$AH$1001,MATCH(ROWS($AG$2:AG514),$AG$2:$AG$1001,0),1)&gt;=100000,INDEX($AN$1005:$BO$1005,1,MATCH(COLUMNS($AN$1006:BJ1006),$AN$1006:$BO$1006,0))&gt;=100000), " ",IF(INDEX($AN$2:$BO$1001,MATCH(ROWS($AG$2:AG514),$AG$2:$AG$1001,0),MATCH(COLUMNS($AN$1006:BJ1006),$AN$1006:$BO$1006,0)), HYPERLINK("#",""), HYPERLINK(CONCATENATE("#Metadata!", ADDRESS(INDEX($AI$2:$AI$1001,MATCH(ROWS($AG$2:AG514),$AG$2:$AG$1001,0),0), INDEX($AN$1004:$BO$1004,1,MATCH(COLUMNS($AN$1006:BJ1006),$AN$1006:$BO$1006,0)))),"Fix")))</f>
        <v>0</v>
      </c>
      <c r="Y514" s="4">
        <f>IF(OR(INDEX($AH$2:$AH$1001,MATCH(ROWS($AG$2:AG514),$AG$2:$AG$1001,0),1)&gt;=100000,INDEX($AN$1005:$BO$1005,1,MATCH(COLUMNS($AN$1006:BK1006),$AN$1006:$BO$1006,0))&gt;=100000), " ",IF(INDEX($AN$2:$BO$1001,MATCH(ROWS($AG$2:AG514),$AG$2:$AG$1001,0),MATCH(COLUMNS($AN$1006:BK1006),$AN$1006:$BO$1006,0)), HYPERLINK("#",""), HYPERLINK(CONCATENATE("#Metadata!", ADDRESS(INDEX($AI$2:$AI$1001,MATCH(ROWS($AG$2:AG514),$AG$2:$AG$1001,0),0), INDEX($AN$1004:$BO$1004,1,MATCH(COLUMNS($AN$1006:BK1006),$AN$1006:$BO$1006,0)))),"Fix")))</f>
        <v>0</v>
      </c>
      <c r="Z514" s="4">
        <f>IF(OR(INDEX($AH$2:$AH$1001,MATCH(ROWS($AG$2:AG514),$AG$2:$AG$1001,0),1)&gt;=100000,INDEX($AN$1005:$BO$1005,1,MATCH(COLUMNS($AN$1006:BL1006),$AN$1006:$BO$1006,0))&gt;=100000), " ",IF(INDEX($AN$2:$BO$1001,MATCH(ROWS($AG$2:AG514),$AG$2:$AG$1001,0),MATCH(COLUMNS($AN$1006:BL1006),$AN$1006:$BO$1006,0)), HYPERLINK("#",""), HYPERLINK(CONCATENATE("#Metadata!", ADDRESS(INDEX($AI$2:$AI$1001,MATCH(ROWS($AG$2:AG514),$AG$2:$AG$1001,0),0), INDEX($AN$1004:$BO$1004,1,MATCH(COLUMNS($AN$1006:BL1006),$AN$1006:$BO$1006,0)))),"Fix")))</f>
        <v>0</v>
      </c>
      <c r="AA514" s="4">
        <f>IF(OR(INDEX($AH$2:$AH$1001,MATCH(ROWS($AG$2:AG514),$AG$2:$AG$1001,0),1)&gt;=100000,INDEX($AN$1005:$BO$1005,1,MATCH(COLUMNS($AN$1006:BM1006),$AN$1006:$BO$1006,0))&gt;=100000), " ",IF(INDEX($AN$2:$BO$1001,MATCH(ROWS($AG$2:AG514),$AG$2:$AG$1001,0),MATCH(COLUMNS($AN$1006:BM1006),$AN$1006:$BO$1006,0)), HYPERLINK("#",""), HYPERLINK(CONCATENATE("#Metadata!", ADDRESS(INDEX($AI$2:$AI$1001,MATCH(ROWS($AG$2:AG514),$AG$2:$AG$1001,0),0), INDEX($AN$1004:$BO$1004,1,MATCH(COLUMNS($AN$1006:BM1006),$AN$1006:$BO$1006,0)))),"Fix")))</f>
        <v>0</v>
      </c>
      <c r="AB514" s="4">
        <f>IF(OR(INDEX($AH$2:$AH$1001,MATCH(ROWS($AG$2:AG514),$AG$2:$AG$1001,0),1)&gt;=100000,INDEX($AN$1005:$BO$1005,1,MATCH(COLUMNS($AN$1006:BN1006),$AN$1006:$BO$1006,0))&gt;=100000), " ",IF(INDEX($AN$2:$BO$1001,MATCH(ROWS($AG$2:AG514),$AG$2:$AG$1001,0),MATCH(COLUMNS($AN$1006:BN1006),$AN$1006:$BO$1006,0)), HYPERLINK("#",""), HYPERLINK(CONCATENATE("#Metadata!", ADDRESS(INDEX($AI$2:$AI$1001,MATCH(ROWS($AG$2:AG514),$AG$2:$AG$1001,0),0), INDEX($AN$1004:$BO$1004,1,MATCH(COLUMNS($AN$1006:BN1006),$AN$1006:$BO$1006,0)))),"Fix")))</f>
        <v>0</v>
      </c>
      <c r="AC514" s="4">
        <f>IF(OR(INDEX($AH$2:$AH$1001,MATCH(ROWS($AG$2:AG514),$AG$2:$AG$1001,0),1)&gt;=100000,INDEX($AN$1005:$BO$1005,1,MATCH(COLUMNS($AN$1006:BO1006),$AN$1006:$BO$1006,0))&gt;=100000), " ",IF(INDEX($AN$2:$BO$1001,MATCH(ROWS($AG$2:AG514),$AG$2:$AG$1001,0),MATCH(COLUMNS($AN$1006:BO1006),$AN$1006:$BO$1006,0)), HYPERLINK("#",""), HYPERLINK(CONCATENATE("#Metadata!", ADDRESS(INDEX($AI$2:$AI$1001,MATCH(ROWS($AG$2:AG514),$AG$2:$AG$1001,0),0), INDEX($AN$1004:$BO$1004,1,MATCH(COLUMNS($AN$1006:BO1006),$AN$1006:$BO$1006,0)))),"Fix")))</f>
        <v>0</v>
      </c>
      <c r="AG514">
        <v>0</v>
      </c>
      <c r="AH514">
        <v>0</v>
      </c>
      <c r="AI514">
        <v>0</v>
      </c>
      <c r="AJ514">
        <f>IF(AK514,TRUE,AND(AN514:BO514))</f>
        <v>0</v>
      </c>
      <c r="AK514">
        <f>COUNTBLANK(Metadata!B514:AC514)=COLUMNS(Metadata!B514:AC514)</f>
        <v>0</v>
      </c>
      <c r="AL514">
        <v>0</v>
      </c>
      <c r="AN514">
        <f>AND(IF(Metadata!B514="",FALSE,TRUE),COUNTIF(Metadata!B:B, Metadata!B514) = 1,NOT(ISERROR(SUMPRODUCT(SEARCH(MID(Metadata!B514,ROW(INDIRECT("1:"&amp;LEN(Metadata!B514))), 1),"0123456789abcdefghijklmnopqrstuvwxyzABCDEFGHIJKLMNOPQRSTUVWXYZ.")))))</f>
        <v>0</v>
      </c>
      <c r="AO514">
        <f>IF(Metadata!C514="",FALSE,TRUE)</f>
        <v>0</v>
      </c>
      <c r="AP514">
        <f>IF(Metadata!D514="",FALSE,TRUE)</f>
        <v>0</v>
      </c>
      <c r="AQ514">
        <f>OR(AND(IF(Metadata!E514="",FALSE,TRUE),OR(exact(Metadata!E514,"not collected"),exact(Metadata!E514,"not provided"),exact(Metadata!E514,"restricted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R514">
        <f>IF(Metadata!F514="",FALSE,TRUE)</f>
        <v>0</v>
      </c>
      <c r="AS514">
        <f>OR(AND(IF(Metadata!G514="",FALSE,TRUE),OR(exact(Metadata!G514,"not collected"),exact(Metadata!G514,"not provided"))),AND(IF(Metadata!G514="",FALSE,TRUE),OR(exact(Metadata!G514,"TRUE"),exact(Metadata!G514,"FALSE"))))</f>
        <v>0</v>
      </c>
      <c r="AT514">
        <f>OR(AND(IF(Metadata!H514="",FALSE,TRUE),OR(exact(Metadata!H514,"not collected"),exact(Metadata!H514,"not provided"),exact(Metadata!H514,"restricted access"))),AND(IF(Metadata!H514="",FALSE,ISNUMBER(VALUE(Metadata!H514))),Metadata!H514&gt;=-413.0))</f>
        <v>0</v>
      </c>
      <c r="AU514">
        <f>AND(IF(Metadata!I514="",FALSE,TRUE),exact(Metadata!I514,"meters"))</f>
        <v>0</v>
      </c>
      <c r="AV514">
        <f>AND(IF(Metadata!J514="",FALSE,TRUE),OR(exact(Metadata!J514,"Host-associated"),exact(Metadata!J514,"Free-living")))</f>
        <v>0</v>
      </c>
      <c r="AW514">
        <f>AND(IF(Metadata!K514="",FALSE,TRUE),OR(exact(Metadata!K514,"Animal"),exact(Metadata!K514,"Fungus"),exact(Metadata!K514,"Plant"),exact(Metadata!K514,"Saline"),exact(Metadata!K514,"Non-saline")))</f>
        <v>0</v>
      </c>
      <c r="AX514">
        <f>AND(IF(Metadata!L514="",FALSE,TRUE),OR(exact(Metadata!L514,"Plant secretion"),exact(Metadata!L514,"Plant rhizosphere"),exact(Metadata!L514,"Plant surface"),exact(Metadata!L514,"Plant corpus"),exact(Metadata!L514,"Fungus surface"),exact(Metadata!L514,"Fungus corpus"),exact(Metadata!L514,"Animal surface"),exact(Metadata!L514,"Animal proximal gut"),exact(Metadata!L514,"Animal corpus"),exact(Metadata!L514,"Animal distal gut"),exact(Metadata!L514,"Animal secretion"),exact(Metadata!L514,"Sub-surface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Y514">
        <f>IF(Metadata!M514="",FALSE,TRUE)</f>
        <v>0</v>
      </c>
      <c r="AZ514">
        <f>IF(Metadata!N514="",FALSE,TRUE)</f>
        <v>0</v>
      </c>
      <c r="BA514">
        <f>IF(Metadata!O514="",FALSE,TRUE)</f>
        <v>0</v>
      </c>
      <c r="BB514">
        <f>OR(AND(IF(Metadata!P514="",FALSE,TRUE),OR(exact(Metadata!P514,"not collected"),exact(Metadata!P514,"not provided"),exact(Metadata!P514,"restricted access"))),AND(IF(Metadata!P514="",FALSE,TRUE),OR(exact(Metadata!P514,"air"),exact(Metadata!P514,"built environment"),exact(Metadata!P514,"host-associated"),exact(Metadata!P514,"human-associated"),exact(Metadata!P514,"human-skin"),exact(Metadata!P514,"human-oral"),exact(Metadata!P514,"human-gut"),exact(Metadata!P514,"human-vaginal"),exact(Metadata!P514,"microbial mat/biofilm"),exact(Metadata!P514,"misc environment"),exact(Metadata!P514,"plant-associated"),exact(Metadata!P514,"sediment"),exact(Metadata!P514,"soil"),exact(Metadata!P514,"wastewater/sludge"),exact(Metadata!P514,"water"))))</f>
        <v>0</v>
      </c>
      <c r="BC514">
        <f>IF(Metadata!Q514="",FALSE,TRUE)</f>
        <v>0</v>
      </c>
      <c r="BD514">
        <f>IF(Metadata!R514="",FALSE,TRUE)</f>
        <v>0</v>
      </c>
      <c r="BE514">
        <f>OR(AND(IF(Metadata!S514="",FALSE,TRUE),OR(exact(Metadata!S514,"not collected"),exact(Metadata!S514,"not provided"),exact(Metadata!S514,"restricted access"))),AND(IF(Metadata!S514="",FALSE,ISNUMBER(VALUE(Metadata!S514))),Metadata!S514&gt;=-90.00,Metadata!S514&lt;=90.00))</f>
        <v>0</v>
      </c>
      <c r="BF514">
        <f>AND(IF(Metadata!T514="",FALSE,TRUE),exact(Metadata!T514,"Decimal degrees"))</f>
        <v>0</v>
      </c>
      <c r="BG514">
        <f>OR(AND(IF(Metadata!U514="",FALSE,TRUE),OR(exact(Metadata!U514,"not collected"),exact(Metadata!U514,"not provided"),exact(Metadata!U514,"restricted access"))),AND(IF(Metadata!U514="",FALSE,ISNUMBER(VALUE(Metadata!U514))),Metadata!U514&gt;=-180.00,Metadata!U514&lt;=180.00))</f>
        <v>0</v>
      </c>
      <c r="BH514">
        <f>AND(IF(Metadata!V514="",FALSE,TRUE),exact(Metadata!V514,"Decimal degrees"))</f>
        <v>0</v>
      </c>
      <c r="BI514">
        <f>IF(Metadata!W514="",FALSE,TRUE)</f>
        <v>0</v>
      </c>
      <c r="BJ514">
        <f>OR(AND(IF(Metadata!X514="",FALSE,TRUE),OR(exact(Metadata!X514,"not collected"),exact(Metadata!X514,"not provided"),exact(Metadata!X514,"restricted access"))),AND(IF(Metadata!X514="",FALSE,TRUE),OR(exact(Metadata!X514,"TRUE"),exact(Metadata!X514,"FALSE"))))</f>
        <v>0</v>
      </c>
      <c r="BK514">
        <f>AND(IF(Metadata!Y514="",FALSE,TRUE),exact(Metadata!Y514,"other"))</f>
        <v>0</v>
      </c>
      <c r="BL514">
        <f>IF(Metadata!Z514="",FALSE,TRUE)</f>
        <v>0</v>
      </c>
      <c r="BM514">
        <f>OR(AND(IF(Metadata!AA514="",FALSE,TRUE),OR(exact(Metadata!AA514,"not collected"),exact(Metadata!AA514,"not provided"))),AND(IF(Metadata!AA514="",FALSE,IF(ISERROR(INT(Metadata!AA514)),FALSE,INT(Metadata!AA514)=Metadata!AA514)),Metadata!AA514&gt;0))</f>
        <v>0</v>
      </c>
      <c r="BN514">
        <f>AND(IF(Metadata!AB514="",FALSE,TRUE),exact(Metadata!AB514,"Not applicable"))</f>
        <v>0</v>
      </c>
      <c r="BO514">
        <f>IF(Metadata!AC514="",FALSE,TRUE)</f>
        <v>0</v>
      </c>
    </row>
    <row r="515" spans="1:67">
      <c r="A515" s="5">
        <f>IF(B515=" "," ",HYPERLINK(CONCATENATE("#metadata!",ADDRESS(INDEX($AI$2:$AI$1001,MATCH(ROWS($AG$2:AG515),$AG$2:$AG$1001,0),0),1)),INDEX($AL$2:$AL$1001,MATCH(ROWS($AG$2:AG515),$AG$2:$AG$1001,0),0)))</f>
        <v>0</v>
      </c>
      <c r="B515" s="4">
        <f>IF(OR(INDEX($AH$2:$AH$1001,MATCH(ROWS($AG$2:AG515),$AG$2:$AG$1001,0),1)&gt;=100000,INDEX($AN$1005:$BO$1005,1,MATCH(COLUMNS($AN$1006:AN1006),$AN$1006:$BO$1006,0))&gt;=100000), " ",IF(INDEX($AN$2:$BO$1001,MATCH(ROWS($AG$2:AG515),$AG$2:$AG$1001,0),MATCH(COLUMNS($AN$1006:AN1006),$AN$1006:$BO$1006,0)), HYPERLINK("#",""), HYPERLINK(CONCATENATE("#Metadata!", ADDRESS(INDEX($AI$2:$AI$1001,MATCH(ROWS($AG$2:AG515),$AG$2:$AG$1001,0),0), INDEX($AN$1004:$BO$1004,1,MATCH(COLUMNS($AN$1006:AN1006),$AN$1006:$BO$1006,0)))),"Fix")))</f>
        <v>0</v>
      </c>
      <c r="C515" s="4">
        <f>IF(OR(INDEX($AH$2:$AH$1001,MATCH(ROWS($AG$2:AG515),$AG$2:$AG$1001,0),1)&gt;=100000,INDEX($AN$1005:$BO$1005,1,MATCH(COLUMNS($AN$1006:AO1006),$AN$1006:$BO$1006,0))&gt;=100000), " ",IF(INDEX($AN$2:$BO$1001,MATCH(ROWS($AG$2:AG515),$AG$2:$AG$1001,0),MATCH(COLUMNS($AN$1006:AO1006),$AN$1006:$BO$1006,0)), HYPERLINK("#",""), HYPERLINK(CONCATENATE("#Metadata!", ADDRESS(INDEX($AI$2:$AI$1001,MATCH(ROWS($AG$2:AG515),$AG$2:$AG$1001,0),0), INDEX($AN$1004:$BO$1004,1,MATCH(COLUMNS($AN$1006:AO1006),$AN$1006:$BO$1006,0)))),"Fix")))</f>
        <v>0</v>
      </c>
      <c r="D515" s="4">
        <f>IF(OR(INDEX($AH$2:$AH$1001,MATCH(ROWS($AG$2:AG515),$AG$2:$AG$1001,0),1)&gt;=100000,INDEX($AN$1005:$BO$1005,1,MATCH(COLUMNS($AN$1006:AP1006),$AN$1006:$BO$1006,0))&gt;=100000), " ",IF(INDEX($AN$2:$BO$1001,MATCH(ROWS($AG$2:AG515),$AG$2:$AG$1001,0),MATCH(COLUMNS($AN$1006:AP1006),$AN$1006:$BO$1006,0)), HYPERLINK("#",""), HYPERLINK(CONCATENATE("#Metadata!", ADDRESS(INDEX($AI$2:$AI$1001,MATCH(ROWS($AG$2:AG515),$AG$2:$AG$1001,0),0), INDEX($AN$1004:$BO$1004,1,MATCH(COLUMNS($AN$1006:AP1006),$AN$1006:$BO$1006,0)))),"Fix")))</f>
        <v>0</v>
      </c>
      <c r="E515" s="4">
        <f>IF(OR(INDEX($AH$2:$AH$1001,MATCH(ROWS($AG$2:AG515),$AG$2:$AG$1001,0),1)&gt;=100000,INDEX($AN$1005:$BO$1005,1,MATCH(COLUMNS($AN$1006:AQ1006),$AN$1006:$BO$1006,0))&gt;=100000), " ",IF(INDEX($AN$2:$BO$1001,MATCH(ROWS($AG$2:AG515),$AG$2:$AG$1001,0),MATCH(COLUMNS($AN$1006:AQ1006),$AN$1006:$BO$1006,0)), HYPERLINK("#",""), HYPERLINK(CONCATENATE("#Metadata!", ADDRESS(INDEX($AI$2:$AI$1001,MATCH(ROWS($AG$2:AG515),$AG$2:$AG$1001,0),0), INDEX($AN$1004:$BO$1004,1,MATCH(COLUMNS($AN$1006:AQ1006),$AN$1006:$BO$1006,0)))),"Fix")))</f>
        <v>0</v>
      </c>
      <c r="F515" s="4">
        <f>IF(OR(INDEX($AH$2:$AH$1001,MATCH(ROWS($AG$2:AG515),$AG$2:$AG$1001,0),1)&gt;=100000,INDEX($AN$1005:$BO$1005,1,MATCH(COLUMNS($AN$1006:AR1006),$AN$1006:$BO$1006,0))&gt;=100000), " ",IF(INDEX($AN$2:$BO$1001,MATCH(ROWS($AG$2:AG515),$AG$2:$AG$1001,0),MATCH(COLUMNS($AN$1006:AR1006),$AN$1006:$BO$1006,0)), HYPERLINK("#",""), HYPERLINK(CONCATENATE("#Metadata!", ADDRESS(INDEX($AI$2:$AI$1001,MATCH(ROWS($AG$2:AG515),$AG$2:$AG$1001,0),0), INDEX($AN$1004:$BO$1004,1,MATCH(COLUMNS($AN$1006:AR1006),$AN$1006:$BO$1006,0)))),"Fix")))</f>
        <v>0</v>
      </c>
      <c r="G515" s="4">
        <f>IF(OR(INDEX($AH$2:$AH$1001,MATCH(ROWS($AG$2:AG515),$AG$2:$AG$1001,0),1)&gt;=100000,INDEX($AN$1005:$BO$1005,1,MATCH(COLUMNS($AN$1006:AS1006),$AN$1006:$BO$1006,0))&gt;=100000), " ",IF(INDEX($AN$2:$BO$1001,MATCH(ROWS($AG$2:AG515),$AG$2:$AG$1001,0),MATCH(COLUMNS($AN$1006:AS1006),$AN$1006:$BO$1006,0)), HYPERLINK("#",""), HYPERLINK(CONCATENATE("#Metadata!", ADDRESS(INDEX($AI$2:$AI$1001,MATCH(ROWS($AG$2:AG515),$AG$2:$AG$1001,0),0), INDEX($AN$1004:$BO$1004,1,MATCH(COLUMNS($AN$1006:AS1006),$AN$1006:$BO$1006,0)))),"Fix")))</f>
        <v>0</v>
      </c>
      <c r="H515" s="4">
        <f>IF(OR(INDEX($AH$2:$AH$1001,MATCH(ROWS($AG$2:AG515),$AG$2:$AG$1001,0),1)&gt;=100000,INDEX($AN$1005:$BO$1005,1,MATCH(COLUMNS($AN$1006:AT1006),$AN$1006:$BO$1006,0))&gt;=100000), " ",IF(INDEX($AN$2:$BO$1001,MATCH(ROWS($AG$2:AG515),$AG$2:$AG$1001,0),MATCH(COLUMNS($AN$1006:AT1006),$AN$1006:$BO$1006,0)), HYPERLINK("#",""), HYPERLINK(CONCATENATE("#Metadata!", ADDRESS(INDEX($AI$2:$AI$1001,MATCH(ROWS($AG$2:AG515),$AG$2:$AG$1001,0),0), INDEX($AN$1004:$BO$1004,1,MATCH(COLUMNS($AN$1006:AT1006),$AN$1006:$BO$1006,0)))),"Fix")))</f>
        <v>0</v>
      </c>
      <c r="I515" s="4">
        <f>IF(OR(INDEX($AH$2:$AH$1001,MATCH(ROWS($AG$2:AG515),$AG$2:$AG$1001,0),1)&gt;=100000,INDEX($AN$1005:$BO$1005,1,MATCH(COLUMNS($AN$1006:AU1006),$AN$1006:$BO$1006,0))&gt;=100000), " ",IF(INDEX($AN$2:$BO$1001,MATCH(ROWS($AG$2:AG515),$AG$2:$AG$1001,0),MATCH(COLUMNS($AN$1006:AU1006),$AN$1006:$BO$1006,0)), HYPERLINK("#",""), HYPERLINK(CONCATENATE("#Metadata!", ADDRESS(INDEX($AI$2:$AI$1001,MATCH(ROWS($AG$2:AG515),$AG$2:$AG$1001,0),0), INDEX($AN$1004:$BO$1004,1,MATCH(COLUMNS($AN$1006:AU1006),$AN$1006:$BO$1006,0)))),"Fix")))</f>
        <v>0</v>
      </c>
      <c r="J515" s="4">
        <f>IF(OR(INDEX($AH$2:$AH$1001,MATCH(ROWS($AG$2:AG515),$AG$2:$AG$1001,0),1)&gt;=100000,INDEX($AN$1005:$BO$1005,1,MATCH(COLUMNS($AN$1006:AV1006),$AN$1006:$BO$1006,0))&gt;=100000), " ",IF(INDEX($AN$2:$BO$1001,MATCH(ROWS($AG$2:AG515),$AG$2:$AG$1001,0),MATCH(COLUMNS($AN$1006:AV1006),$AN$1006:$BO$1006,0)), HYPERLINK("#",""), HYPERLINK(CONCATENATE("#Metadata!", ADDRESS(INDEX($AI$2:$AI$1001,MATCH(ROWS($AG$2:AG515),$AG$2:$AG$1001,0),0), INDEX($AN$1004:$BO$1004,1,MATCH(COLUMNS($AN$1006:AV1006),$AN$1006:$BO$1006,0)))),"Fix")))</f>
        <v>0</v>
      </c>
      <c r="K515" s="4">
        <f>IF(OR(INDEX($AH$2:$AH$1001,MATCH(ROWS($AG$2:AG515),$AG$2:$AG$1001,0),1)&gt;=100000,INDEX($AN$1005:$BO$1005,1,MATCH(COLUMNS($AN$1006:AW1006),$AN$1006:$BO$1006,0))&gt;=100000), " ",IF(INDEX($AN$2:$BO$1001,MATCH(ROWS($AG$2:AG515),$AG$2:$AG$1001,0),MATCH(COLUMNS($AN$1006:AW1006),$AN$1006:$BO$1006,0)), HYPERLINK("#",""), HYPERLINK(CONCATENATE("#Metadata!", ADDRESS(INDEX($AI$2:$AI$1001,MATCH(ROWS($AG$2:AG515),$AG$2:$AG$1001,0),0), INDEX($AN$1004:$BO$1004,1,MATCH(COLUMNS($AN$1006:AW1006),$AN$1006:$BO$1006,0)))),"Fix")))</f>
        <v>0</v>
      </c>
      <c r="L515" s="4">
        <f>IF(OR(INDEX($AH$2:$AH$1001,MATCH(ROWS($AG$2:AG515),$AG$2:$AG$1001,0),1)&gt;=100000,INDEX($AN$1005:$BO$1005,1,MATCH(COLUMNS($AN$1006:AX1006),$AN$1006:$BO$1006,0))&gt;=100000), " ",IF(INDEX($AN$2:$BO$1001,MATCH(ROWS($AG$2:AG515),$AG$2:$AG$1001,0),MATCH(COLUMNS($AN$1006:AX1006),$AN$1006:$BO$1006,0)), HYPERLINK("#",""), HYPERLINK(CONCATENATE("#Metadata!", ADDRESS(INDEX($AI$2:$AI$1001,MATCH(ROWS($AG$2:AG515),$AG$2:$AG$1001,0),0), INDEX($AN$1004:$BO$1004,1,MATCH(COLUMNS($AN$1006:AX1006),$AN$1006:$BO$1006,0)))),"Fix")))</f>
        <v>0</v>
      </c>
      <c r="M515" s="4">
        <f>IF(OR(INDEX($AH$2:$AH$1001,MATCH(ROWS($AG$2:AG515),$AG$2:$AG$1001,0),1)&gt;=100000,INDEX($AN$1005:$BO$1005,1,MATCH(COLUMNS($AN$1006:AY1006),$AN$1006:$BO$1006,0))&gt;=100000), " ",IF(INDEX($AN$2:$BO$1001,MATCH(ROWS($AG$2:AG515),$AG$2:$AG$1001,0),MATCH(COLUMNS($AN$1006:AY1006),$AN$1006:$BO$1006,0)), HYPERLINK("#",""), HYPERLINK(CONCATENATE("#Metadata!", ADDRESS(INDEX($AI$2:$AI$1001,MATCH(ROWS($AG$2:AG515),$AG$2:$AG$1001,0),0), INDEX($AN$1004:$BO$1004,1,MATCH(COLUMNS($AN$1006:AY1006),$AN$1006:$BO$1006,0)))),"Fix")))</f>
        <v>0</v>
      </c>
      <c r="N515" s="4">
        <f>IF(OR(INDEX($AH$2:$AH$1001,MATCH(ROWS($AG$2:AG515),$AG$2:$AG$1001,0),1)&gt;=100000,INDEX($AN$1005:$BO$1005,1,MATCH(COLUMNS($AN$1006:AZ1006),$AN$1006:$BO$1006,0))&gt;=100000), " ",IF(INDEX($AN$2:$BO$1001,MATCH(ROWS($AG$2:AG515),$AG$2:$AG$1001,0),MATCH(COLUMNS($AN$1006:AZ1006),$AN$1006:$BO$1006,0)), HYPERLINK("#",""), HYPERLINK(CONCATENATE("#Metadata!", ADDRESS(INDEX($AI$2:$AI$1001,MATCH(ROWS($AG$2:AG515),$AG$2:$AG$1001,0),0), INDEX($AN$1004:$BO$1004,1,MATCH(COLUMNS($AN$1006:AZ1006),$AN$1006:$BO$1006,0)))),"Fix")))</f>
        <v>0</v>
      </c>
      <c r="O515" s="4">
        <f>IF(OR(INDEX($AH$2:$AH$1001,MATCH(ROWS($AG$2:AG515),$AG$2:$AG$1001,0),1)&gt;=100000,INDEX($AN$1005:$BO$1005,1,MATCH(COLUMNS($AN$1006:BA1006),$AN$1006:$BO$1006,0))&gt;=100000), " ",IF(INDEX($AN$2:$BO$1001,MATCH(ROWS($AG$2:AG515),$AG$2:$AG$1001,0),MATCH(COLUMNS($AN$1006:BA1006),$AN$1006:$BO$1006,0)), HYPERLINK("#",""), HYPERLINK(CONCATENATE("#Metadata!", ADDRESS(INDEX($AI$2:$AI$1001,MATCH(ROWS($AG$2:AG515),$AG$2:$AG$1001,0),0), INDEX($AN$1004:$BO$1004,1,MATCH(COLUMNS($AN$1006:BA1006),$AN$1006:$BO$1006,0)))),"Fix")))</f>
        <v>0</v>
      </c>
      <c r="P515" s="4">
        <f>IF(OR(INDEX($AH$2:$AH$1001,MATCH(ROWS($AG$2:AG515),$AG$2:$AG$1001,0),1)&gt;=100000,INDEX($AN$1005:$BO$1005,1,MATCH(COLUMNS($AN$1006:BB1006),$AN$1006:$BO$1006,0))&gt;=100000), " ",IF(INDEX($AN$2:$BO$1001,MATCH(ROWS($AG$2:AG515),$AG$2:$AG$1001,0),MATCH(COLUMNS($AN$1006:BB1006),$AN$1006:$BO$1006,0)), HYPERLINK("#",""), HYPERLINK(CONCATENATE("#Metadata!", ADDRESS(INDEX($AI$2:$AI$1001,MATCH(ROWS($AG$2:AG515),$AG$2:$AG$1001,0),0), INDEX($AN$1004:$BO$1004,1,MATCH(COLUMNS($AN$1006:BB1006),$AN$1006:$BO$1006,0)))),"Fix")))</f>
        <v>0</v>
      </c>
      <c r="Q515" s="4">
        <f>IF(OR(INDEX($AH$2:$AH$1001,MATCH(ROWS($AG$2:AG515),$AG$2:$AG$1001,0),1)&gt;=100000,INDEX($AN$1005:$BO$1005,1,MATCH(COLUMNS($AN$1006:BC1006),$AN$1006:$BO$1006,0))&gt;=100000), " ",IF(INDEX($AN$2:$BO$1001,MATCH(ROWS($AG$2:AG515),$AG$2:$AG$1001,0),MATCH(COLUMNS($AN$1006:BC1006),$AN$1006:$BO$1006,0)), HYPERLINK("#",""), HYPERLINK(CONCATENATE("#Metadata!", ADDRESS(INDEX($AI$2:$AI$1001,MATCH(ROWS($AG$2:AG515),$AG$2:$AG$1001,0),0), INDEX($AN$1004:$BO$1004,1,MATCH(COLUMNS($AN$1006:BC1006),$AN$1006:$BO$1006,0)))),"Fix")))</f>
        <v>0</v>
      </c>
      <c r="R515" s="4">
        <f>IF(OR(INDEX($AH$2:$AH$1001,MATCH(ROWS($AG$2:AG515),$AG$2:$AG$1001,0),1)&gt;=100000,INDEX($AN$1005:$BO$1005,1,MATCH(COLUMNS($AN$1006:BD1006),$AN$1006:$BO$1006,0))&gt;=100000), " ",IF(INDEX($AN$2:$BO$1001,MATCH(ROWS($AG$2:AG515),$AG$2:$AG$1001,0),MATCH(COLUMNS($AN$1006:BD1006),$AN$1006:$BO$1006,0)), HYPERLINK("#",""), HYPERLINK(CONCATENATE("#Metadata!", ADDRESS(INDEX($AI$2:$AI$1001,MATCH(ROWS($AG$2:AG515),$AG$2:$AG$1001,0),0), INDEX($AN$1004:$BO$1004,1,MATCH(COLUMNS($AN$1006:BD1006),$AN$1006:$BO$1006,0)))),"Fix")))</f>
        <v>0</v>
      </c>
      <c r="S515" s="4">
        <f>IF(OR(INDEX($AH$2:$AH$1001,MATCH(ROWS($AG$2:AG515),$AG$2:$AG$1001,0),1)&gt;=100000,INDEX($AN$1005:$BO$1005,1,MATCH(COLUMNS($AN$1006:BE1006),$AN$1006:$BO$1006,0))&gt;=100000), " ",IF(INDEX($AN$2:$BO$1001,MATCH(ROWS($AG$2:AG515),$AG$2:$AG$1001,0),MATCH(COLUMNS($AN$1006:BE1006),$AN$1006:$BO$1006,0)), HYPERLINK("#",""), HYPERLINK(CONCATENATE("#Metadata!", ADDRESS(INDEX($AI$2:$AI$1001,MATCH(ROWS($AG$2:AG515),$AG$2:$AG$1001,0),0), INDEX($AN$1004:$BO$1004,1,MATCH(COLUMNS($AN$1006:BE1006),$AN$1006:$BO$1006,0)))),"Fix")))</f>
        <v>0</v>
      </c>
      <c r="T515" s="4">
        <f>IF(OR(INDEX($AH$2:$AH$1001,MATCH(ROWS($AG$2:AG515),$AG$2:$AG$1001,0),1)&gt;=100000,INDEX($AN$1005:$BO$1005,1,MATCH(COLUMNS($AN$1006:BF1006),$AN$1006:$BO$1006,0))&gt;=100000), " ",IF(INDEX($AN$2:$BO$1001,MATCH(ROWS($AG$2:AG515),$AG$2:$AG$1001,0),MATCH(COLUMNS($AN$1006:BF1006),$AN$1006:$BO$1006,0)), HYPERLINK("#",""), HYPERLINK(CONCATENATE("#Metadata!", ADDRESS(INDEX($AI$2:$AI$1001,MATCH(ROWS($AG$2:AG515),$AG$2:$AG$1001,0),0), INDEX($AN$1004:$BO$1004,1,MATCH(COLUMNS($AN$1006:BF1006),$AN$1006:$BO$1006,0)))),"Fix")))</f>
        <v>0</v>
      </c>
      <c r="U515" s="4">
        <f>IF(OR(INDEX($AH$2:$AH$1001,MATCH(ROWS($AG$2:AG515),$AG$2:$AG$1001,0),1)&gt;=100000,INDEX($AN$1005:$BO$1005,1,MATCH(COLUMNS($AN$1006:BG1006),$AN$1006:$BO$1006,0))&gt;=100000), " ",IF(INDEX($AN$2:$BO$1001,MATCH(ROWS($AG$2:AG515),$AG$2:$AG$1001,0),MATCH(COLUMNS($AN$1006:BG1006),$AN$1006:$BO$1006,0)), HYPERLINK("#",""), HYPERLINK(CONCATENATE("#Metadata!", ADDRESS(INDEX($AI$2:$AI$1001,MATCH(ROWS($AG$2:AG515),$AG$2:$AG$1001,0),0), INDEX($AN$1004:$BO$1004,1,MATCH(COLUMNS($AN$1006:BG1006),$AN$1006:$BO$1006,0)))),"Fix")))</f>
        <v>0</v>
      </c>
      <c r="V515" s="4">
        <f>IF(OR(INDEX($AH$2:$AH$1001,MATCH(ROWS($AG$2:AG515),$AG$2:$AG$1001,0),1)&gt;=100000,INDEX($AN$1005:$BO$1005,1,MATCH(COLUMNS($AN$1006:BH1006),$AN$1006:$BO$1006,0))&gt;=100000), " ",IF(INDEX($AN$2:$BO$1001,MATCH(ROWS($AG$2:AG515),$AG$2:$AG$1001,0),MATCH(COLUMNS($AN$1006:BH1006),$AN$1006:$BO$1006,0)), HYPERLINK("#",""), HYPERLINK(CONCATENATE("#Metadata!", ADDRESS(INDEX($AI$2:$AI$1001,MATCH(ROWS($AG$2:AG515),$AG$2:$AG$1001,0),0), INDEX($AN$1004:$BO$1004,1,MATCH(COLUMNS($AN$1006:BH1006),$AN$1006:$BO$1006,0)))),"Fix")))</f>
        <v>0</v>
      </c>
      <c r="W515" s="4">
        <f>IF(OR(INDEX($AH$2:$AH$1001,MATCH(ROWS($AG$2:AG515),$AG$2:$AG$1001,0),1)&gt;=100000,INDEX($AN$1005:$BO$1005,1,MATCH(COLUMNS($AN$1006:BI1006),$AN$1006:$BO$1006,0))&gt;=100000), " ",IF(INDEX($AN$2:$BO$1001,MATCH(ROWS($AG$2:AG515),$AG$2:$AG$1001,0),MATCH(COLUMNS($AN$1006:BI1006),$AN$1006:$BO$1006,0)), HYPERLINK("#",""), HYPERLINK(CONCATENATE("#Metadata!", ADDRESS(INDEX($AI$2:$AI$1001,MATCH(ROWS($AG$2:AG515),$AG$2:$AG$1001,0),0), INDEX($AN$1004:$BO$1004,1,MATCH(COLUMNS($AN$1006:BI1006),$AN$1006:$BO$1006,0)))),"Fix")))</f>
        <v>0</v>
      </c>
      <c r="X515" s="4">
        <f>IF(OR(INDEX($AH$2:$AH$1001,MATCH(ROWS($AG$2:AG515),$AG$2:$AG$1001,0),1)&gt;=100000,INDEX($AN$1005:$BO$1005,1,MATCH(COLUMNS($AN$1006:BJ1006),$AN$1006:$BO$1006,0))&gt;=100000), " ",IF(INDEX($AN$2:$BO$1001,MATCH(ROWS($AG$2:AG515),$AG$2:$AG$1001,0),MATCH(COLUMNS($AN$1006:BJ1006),$AN$1006:$BO$1006,0)), HYPERLINK("#",""), HYPERLINK(CONCATENATE("#Metadata!", ADDRESS(INDEX($AI$2:$AI$1001,MATCH(ROWS($AG$2:AG515),$AG$2:$AG$1001,0),0), INDEX($AN$1004:$BO$1004,1,MATCH(COLUMNS($AN$1006:BJ1006),$AN$1006:$BO$1006,0)))),"Fix")))</f>
        <v>0</v>
      </c>
      <c r="Y515" s="4">
        <f>IF(OR(INDEX($AH$2:$AH$1001,MATCH(ROWS($AG$2:AG515),$AG$2:$AG$1001,0),1)&gt;=100000,INDEX($AN$1005:$BO$1005,1,MATCH(COLUMNS($AN$1006:BK1006),$AN$1006:$BO$1006,0))&gt;=100000), " ",IF(INDEX($AN$2:$BO$1001,MATCH(ROWS($AG$2:AG515),$AG$2:$AG$1001,0),MATCH(COLUMNS($AN$1006:BK1006),$AN$1006:$BO$1006,0)), HYPERLINK("#",""), HYPERLINK(CONCATENATE("#Metadata!", ADDRESS(INDEX($AI$2:$AI$1001,MATCH(ROWS($AG$2:AG515),$AG$2:$AG$1001,0),0), INDEX($AN$1004:$BO$1004,1,MATCH(COLUMNS($AN$1006:BK1006),$AN$1006:$BO$1006,0)))),"Fix")))</f>
        <v>0</v>
      </c>
      <c r="Z515" s="4">
        <f>IF(OR(INDEX($AH$2:$AH$1001,MATCH(ROWS($AG$2:AG515),$AG$2:$AG$1001,0),1)&gt;=100000,INDEX($AN$1005:$BO$1005,1,MATCH(COLUMNS($AN$1006:BL1006),$AN$1006:$BO$1006,0))&gt;=100000), " ",IF(INDEX($AN$2:$BO$1001,MATCH(ROWS($AG$2:AG515),$AG$2:$AG$1001,0),MATCH(COLUMNS($AN$1006:BL1006),$AN$1006:$BO$1006,0)), HYPERLINK("#",""), HYPERLINK(CONCATENATE("#Metadata!", ADDRESS(INDEX($AI$2:$AI$1001,MATCH(ROWS($AG$2:AG515),$AG$2:$AG$1001,0),0), INDEX($AN$1004:$BO$1004,1,MATCH(COLUMNS($AN$1006:BL1006),$AN$1006:$BO$1006,0)))),"Fix")))</f>
        <v>0</v>
      </c>
      <c r="AA515" s="4">
        <f>IF(OR(INDEX($AH$2:$AH$1001,MATCH(ROWS($AG$2:AG515),$AG$2:$AG$1001,0),1)&gt;=100000,INDEX($AN$1005:$BO$1005,1,MATCH(COLUMNS($AN$1006:BM1006),$AN$1006:$BO$1006,0))&gt;=100000), " ",IF(INDEX($AN$2:$BO$1001,MATCH(ROWS($AG$2:AG515),$AG$2:$AG$1001,0),MATCH(COLUMNS($AN$1006:BM1006),$AN$1006:$BO$1006,0)), HYPERLINK("#",""), HYPERLINK(CONCATENATE("#Metadata!", ADDRESS(INDEX($AI$2:$AI$1001,MATCH(ROWS($AG$2:AG515),$AG$2:$AG$1001,0),0), INDEX($AN$1004:$BO$1004,1,MATCH(COLUMNS($AN$1006:BM1006),$AN$1006:$BO$1006,0)))),"Fix")))</f>
        <v>0</v>
      </c>
      <c r="AB515" s="4">
        <f>IF(OR(INDEX($AH$2:$AH$1001,MATCH(ROWS($AG$2:AG515),$AG$2:$AG$1001,0),1)&gt;=100000,INDEX($AN$1005:$BO$1005,1,MATCH(COLUMNS($AN$1006:BN1006),$AN$1006:$BO$1006,0))&gt;=100000), " ",IF(INDEX($AN$2:$BO$1001,MATCH(ROWS($AG$2:AG515),$AG$2:$AG$1001,0),MATCH(COLUMNS($AN$1006:BN1006),$AN$1006:$BO$1006,0)), HYPERLINK("#",""), HYPERLINK(CONCATENATE("#Metadata!", ADDRESS(INDEX($AI$2:$AI$1001,MATCH(ROWS($AG$2:AG515),$AG$2:$AG$1001,0),0), INDEX($AN$1004:$BO$1004,1,MATCH(COLUMNS($AN$1006:BN1006),$AN$1006:$BO$1006,0)))),"Fix")))</f>
        <v>0</v>
      </c>
      <c r="AC515" s="4">
        <f>IF(OR(INDEX($AH$2:$AH$1001,MATCH(ROWS($AG$2:AG515),$AG$2:$AG$1001,0),1)&gt;=100000,INDEX($AN$1005:$BO$1005,1,MATCH(COLUMNS($AN$1006:BO1006),$AN$1006:$BO$1006,0))&gt;=100000), " ",IF(INDEX($AN$2:$BO$1001,MATCH(ROWS($AG$2:AG515),$AG$2:$AG$1001,0),MATCH(COLUMNS($AN$1006:BO1006),$AN$1006:$BO$1006,0)), HYPERLINK("#",""), HYPERLINK(CONCATENATE("#Metadata!", ADDRESS(INDEX($AI$2:$AI$1001,MATCH(ROWS($AG$2:AG515),$AG$2:$AG$1001,0),0), INDEX($AN$1004:$BO$1004,1,MATCH(COLUMNS($AN$1006:BO1006),$AN$1006:$BO$1006,0)))),"Fix")))</f>
        <v>0</v>
      </c>
      <c r="AG515">
        <v>0</v>
      </c>
      <c r="AH515">
        <v>0</v>
      </c>
      <c r="AI515">
        <v>0</v>
      </c>
      <c r="AJ515">
        <f>IF(AK515,TRUE,AND(AN515:BO515))</f>
        <v>0</v>
      </c>
      <c r="AK515">
        <f>COUNTBLANK(Metadata!B515:AC515)=COLUMNS(Metadata!B515:AC515)</f>
        <v>0</v>
      </c>
      <c r="AL515">
        <v>0</v>
      </c>
      <c r="AN515">
        <f>AND(IF(Metadata!B515="",FALSE,TRUE),COUNTIF(Metadata!B:B, Metadata!B515) = 1,NOT(ISERROR(SUMPRODUCT(SEARCH(MID(Metadata!B515,ROW(INDIRECT("1:"&amp;LEN(Metadata!B515))), 1),"0123456789abcdefghijklmnopqrstuvwxyzABCDEFGHIJKLMNOPQRSTUVWXYZ.")))))</f>
        <v>0</v>
      </c>
      <c r="AO515">
        <f>IF(Metadata!C515="",FALSE,TRUE)</f>
        <v>0</v>
      </c>
      <c r="AP515">
        <f>IF(Metadata!D515="",FALSE,TRUE)</f>
        <v>0</v>
      </c>
      <c r="AQ515">
        <f>OR(AND(IF(Metadata!E515="",FALSE,TRUE),OR(exact(Metadata!E515,"not collected"),exact(Metadata!E515,"not provided"),exact(Metadata!E515,"restricted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R515">
        <f>IF(Metadata!F515="",FALSE,TRUE)</f>
        <v>0</v>
      </c>
      <c r="AS515">
        <f>OR(AND(IF(Metadata!G515="",FALSE,TRUE),OR(exact(Metadata!G515,"not collected"),exact(Metadata!G515,"not provided"))),AND(IF(Metadata!G515="",FALSE,TRUE),OR(exact(Metadata!G515,"TRUE"),exact(Metadata!G515,"FALSE"))))</f>
        <v>0</v>
      </c>
      <c r="AT515">
        <f>OR(AND(IF(Metadata!H515="",FALSE,TRUE),OR(exact(Metadata!H515,"not collected"),exact(Metadata!H515,"not provided"),exact(Metadata!H515,"restricted access"))),AND(IF(Metadata!H515="",FALSE,ISNUMBER(VALUE(Metadata!H515))),Metadata!H515&gt;=-413.0))</f>
        <v>0</v>
      </c>
      <c r="AU515">
        <f>AND(IF(Metadata!I515="",FALSE,TRUE),exact(Metadata!I515,"meters"))</f>
        <v>0</v>
      </c>
      <c r="AV515">
        <f>AND(IF(Metadata!J515="",FALSE,TRUE),OR(exact(Metadata!J515,"Host-associated"),exact(Metadata!J515,"Free-living")))</f>
        <v>0</v>
      </c>
      <c r="AW515">
        <f>AND(IF(Metadata!K515="",FALSE,TRUE),OR(exact(Metadata!K515,"Animal"),exact(Metadata!K515,"Fungus"),exact(Metadata!K515,"Plant"),exact(Metadata!K515,"Saline"),exact(Metadata!K515,"Non-saline")))</f>
        <v>0</v>
      </c>
      <c r="AX515">
        <f>AND(IF(Metadata!L515="",FALSE,TRUE),OR(exact(Metadata!L515,"Plant secretion"),exact(Metadata!L515,"Plant rhizosphere"),exact(Metadata!L515,"Plant surface"),exact(Metadata!L515,"Plant corpus"),exact(Metadata!L515,"Fungus surface"),exact(Metadata!L515,"Fungus corpus"),exact(Metadata!L515,"Animal surface"),exact(Metadata!L515,"Animal proximal gut"),exact(Metadata!L515,"Animal corpus"),exact(Metadata!L515,"Animal distal gut"),exact(Metadata!L515,"Animal secretion"),exact(Metadata!L515,"Sub-surface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Y515">
        <f>IF(Metadata!M515="",FALSE,TRUE)</f>
        <v>0</v>
      </c>
      <c r="AZ515">
        <f>IF(Metadata!N515="",FALSE,TRUE)</f>
        <v>0</v>
      </c>
      <c r="BA515">
        <f>IF(Metadata!O515="",FALSE,TRUE)</f>
        <v>0</v>
      </c>
      <c r="BB515">
        <f>OR(AND(IF(Metadata!P515="",FALSE,TRUE),OR(exact(Metadata!P515,"not collected"),exact(Metadata!P515,"not provided"),exact(Metadata!P515,"restricted access"))),AND(IF(Metadata!P515="",FALSE,TRUE),OR(exact(Metadata!P515,"air"),exact(Metadata!P515,"built environment"),exact(Metadata!P515,"host-associated"),exact(Metadata!P515,"human-associated"),exact(Metadata!P515,"human-skin"),exact(Metadata!P515,"human-oral"),exact(Metadata!P515,"human-gut"),exact(Metadata!P515,"human-vaginal"),exact(Metadata!P515,"microbial mat/biofilm"),exact(Metadata!P515,"misc environment"),exact(Metadata!P515,"plant-associated"),exact(Metadata!P515,"sediment"),exact(Metadata!P515,"soil"),exact(Metadata!P515,"wastewater/sludge"),exact(Metadata!P515,"water"))))</f>
        <v>0</v>
      </c>
      <c r="BC515">
        <f>IF(Metadata!Q515="",FALSE,TRUE)</f>
        <v>0</v>
      </c>
      <c r="BD515">
        <f>IF(Metadata!R515="",FALSE,TRUE)</f>
        <v>0</v>
      </c>
      <c r="BE515">
        <f>OR(AND(IF(Metadata!S515="",FALSE,TRUE),OR(exact(Metadata!S515,"not collected"),exact(Metadata!S515,"not provided"),exact(Metadata!S515,"restricted access"))),AND(IF(Metadata!S515="",FALSE,ISNUMBER(VALUE(Metadata!S515))),Metadata!S515&gt;=-90.00,Metadata!S515&lt;=90.00))</f>
        <v>0</v>
      </c>
      <c r="BF515">
        <f>AND(IF(Metadata!T515="",FALSE,TRUE),exact(Metadata!T515,"Decimal degrees"))</f>
        <v>0</v>
      </c>
      <c r="BG515">
        <f>OR(AND(IF(Metadata!U515="",FALSE,TRUE),OR(exact(Metadata!U515,"not collected"),exact(Metadata!U515,"not provided"),exact(Metadata!U515,"restricted access"))),AND(IF(Metadata!U515="",FALSE,ISNUMBER(VALUE(Metadata!U515))),Metadata!U515&gt;=-180.00,Metadata!U515&lt;=180.00))</f>
        <v>0</v>
      </c>
      <c r="BH515">
        <f>AND(IF(Metadata!V515="",FALSE,TRUE),exact(Metadata!V515,"Decimal degrees"))</f>
        <v>0</v>
      </c>
      <c r="BI515">
        <f>IF(Metadata!W515="",FALSE,TRUE)</f>
        <v>0</v>
      </c>
      <c r="BJ515">
        <f>OR(AND(IF(Metadata!X515="",FALSE,TRUE),OR(exact(Metadata!X515,"not collected"),exact(Metadata!X515,"not provided"),exact(Metadata!X515,"restricted access"))),AND(IF(Metadata!X515="",FALSE,TRUE),OR(exact(Metadata!X515,"TRUE"),exact(Metadata!X515,"FALSE"))))</f>
        <v>0</v>
      </c>
      <c r="BK515">
        <f>AND(IF(Metadata!Y515="",FALSE,TRUE),exact(Metadata!Y515,"other"))</f>
        <v>0</v>
      </c>
      <c r="BL515">
        <f>IF(Metadata!Z515="",FALSE,TRUE)</f>
        <v>0</v>
      </c>
      <c r="BM515">
        <f>OR(AND(IF(Metadata!AA515="",FALSE,TRUE),OR(exact(Metadata!AA515,"not collected"),exact(Metadata!AA515,"not provided"))),AND(IF(Metadata!AA515="",FALSE,IF(ISERROR(INT(Metadata!AA515)),FALSE,INT(Metadata!AA515)=Metadata!AA515)),Metadata!AA515&gt;0))</f>
        <v>0</v>
      </c>
      <c r="BN515">
        <f>AND(IF(Metadata!AB515="",FALSE,TRUE),exact(Metadata!AB515,"Not applicable"))</f>
        <v>0</v>
      </c>
      <c r="BO515">
        <f>IF(Metadata!AC515="",FALSE,TRUE)</f>
        <v>0</v>
      </c>
    </row>
    <row r="516" spans="1:67">
      <c r="A516" s="5">
        <f>IF(B516=" "," ",HYPERLINK(CONCATENATE("#metadata!",ADDRESS(INDEX($AI$2:$AI$1001,MATCH(ROWS($AG$2:AG516),$AG$2:$AG$1001,0),0),1)),INDEX($AL$2:$AL$1001,MATCH(ROWS($AG$2:AG516),$AG$2:$AG$1001,0),0)))</f>
        <v>0</v>
      </c>
      <c r="B516" s="4">
        <f>IF(OR(INDEX($AH$2:$AH$1001,MATCH(ROWS($AG$2:AG516),$AG$2:$AG$1001,0),1)&gt;=100000,INDEX($AN$1005:$BO$1005,1,MATCH(COLUMNS($AN$1006:AN1006),$AN$1006:$BO$1006,0))&gt;=100000), " ",IF(INDEX($AN$2:$BO$1001,MATCH(ROWS($AG$2:AG516),$AG$2:$AG$1001,0),MATCH(COLUMNS($AN$1006:AN1006),$AN$1006:$BO$1006,0)), HYPERLINK("#",""), HYPERLINK(CONCATENATE("#Metadata!", ADDRESS(INDEX($AI$2:$AI$1001,MATCH(ROWS($AG$2:AG516),$AG$2:$AG$1001,0),0), INDEX($AN$1004:$BO$1004,1,MATCH(COLUMNS($AN$1006:AN1006),$AN$1006:$BO$1006,0)))),"Fix")))</f>
        <v>0</v>
      </c>
      <c r="C516" s="4">
        <f>IF(OR(INDEX($AH$2:$AH$1001,MATCH(ROWS($AG$2:AG516),$AG$2:$AG$1001,0),1)&gt;=100000,INDEX($AN$1005:$BO$1005,1,MATCH(COLUMNS($AN$1006:AO1006),$AN$1006:$BO$1006,0))&gt;=100000), " ",IF(INDEX($AN$2:$BO$1001,MATCH(ROWS($AG$2:AG516),$AG$2:$AG$1001,0),MATCH(COLUMNS($AN$1006:AO1006),$AN$1006:$BO$1006,0)), HYPERLINK("#",""), HYPERLINK(CONCATENATE("#Metadata!", ADDRESS(INDEX($AI$2:$AI$1001,MATCH(ROWS($AG$2:AG516),$AG$2:$AG$1001,0),0), INDEX($AN$1004:$BO$1004,1,MATCH(COLUMNS($AN$1006:AO1006),$AN$1006:$BO$1006,0)))),"Fix")))</f>
        <v>0</v>
      </c>
      <c r="D516" s="4">
        <f>IF(OR(INDEX($AH$2:$AH$1001,MATCH(ROWS($AG$2:AG516),$AG$2:$AG$1001,0),1)&gt;=100000,INDEX($AN$1005:$BO$1005,1,MATCH(COLUMNS($AN$1006:AP1006),$AN$1006:$BO$1006,0))&gt;=100000), " ",IF(INDEX($AN$2:$BO$1001,MATCH(ROWS($AG$2:AG516),$AG$2:$AG$1001,0),MATCH(COLUMNS($AN$1006:AP1006),$AN$1006:$BO$1006,0)), HYPERLINK("#",""), HYPERLINK(CONCATENATE("#Metadata!", ADDRESS(INDEX($AI$2:$AI$1001,MATCH(ROWS($AG$2:AG516),$AG$2:$AG$1001,0),0), INDEX($AN$1004:$BO$1004,1,MATCH(COLUMNS($AN$1006:AP1006),$AN$1006:$BO$1006,0)))),"Fix")))</f>
        <v>0</v>
      </c>
      <c r="E516" s="4">
        <f>IF(OR(INDEX($AH$2:$AH$1001,MATCH(ROWS($AG$2:AG516),$AG$2:$AG$1001,0),1)&gt;=100000,INDEX($AN$1005:$BO$1005,1,MATCH(COLUMNS($AN$1006:AQ1006),$AN$1006:$BO$1006,0))&gt;=100000), " ",IF(INDEX($AN$2:$BO$1001,MATCH(ROWS($AG$2:AG516),$AG$2:$AG$1001,0),MATCH(COLUMNS($AN$1006:AQ1006),$AN$1006:$BO$1006,0)), HYPERLINK("#",""), HYPERLINK(CONCATENATE("#Metadata!", ADDRESS(INDEX($AI$2:$AI$1001,MATCH(ROWS($AG$2:AG516),$AG$2:$AG$1001,0),0), INDEX($AN$1004:$BO$1004,1,MATCH(COLUMNS($AN$1006:AQ1006),$AN$1006:$BO$1006,0)))),"Fix")))</f>
        <v>0</v>
      </c>
      <c r="F516" s="4">
        <f>IF(OR(INDEX($AH$2:$AH$1001,MATCH(ROWS($AG$2:AG516),$AG$2:$AG$1001,0),1)&gt;=100000,INDEX($AN$1005:$BO$1005,1,MATCH(COLUMNS($AN$1006:AR1006),$AN$1006:$BO$1006,0))&gt;=100000), " ",IF(INDEX($AN$2:$BO$1001,MATCH(ROWS($AG$2:AG516),$AG$2:$AG$1001,0),MATCH(COLUMNS($AN$1006:AR1006),$AN$1006:$BO$1006,0)), HYPERLINK("#",""), HYPERLINK(CONCATENATE("#Metadata!", ADDRESS(INDEX($AI$2:$AI$1001,MATCH(ROWS($AG$2:AG516),$AG$2:$AG$1001,0),0), INDEX($AN$1004:$BO$1004,1,MATCH(COLUMNS($AN$1006:AR1006),$AN$1006:$BO$1006,0)))),"Fix")))</f>
        <v>0</v>
      </c>
      <c r="G516" s="4">
        <f>IF(OR(INDEX($AH$2:$AH$1001,MATCH(ROWS($AG$2:AG516),$AG$2:$AG$1001,0),1)&gt;=100000,INDEX($AN$1005:$BO$1005,1,MATCH(COLUMNS($AN$1006:AS1006),$AN$1006:$BO$1006,0))&gt;=100000), " ",IF(INDEX($AN$2:$BO$1001,MATCH(ROWS($AG$2:AG516),$AG$2:$AG$1001,0),MATCH(COLUMNS($AN$1006:AS1006),$AN$1006:$BO$1006,0)), HYPERLINK("#",""), HYPERLINK(CONCATENATE("#Metadata!", ADDRESS(INDEX($AI$2:$AI$1001,MATCH(ROWS($AG$2:AG516),$AG$2:$AG$1001,0),0), INDEX($AN$1004:$BO$1004,1,MATCH(COLUMNS($AN$1006:AS1006),$AN$1006:$BO$1006,0)))),"Fix")))</f>
        <v>0</v>
      </c>
      <c r="H516" s="4">
        <f>IF(OR(INDEX($AH$2:$AH$1001,MATCH(ROWS($AG$2:AG516),$AG$2:$AG$1001,0),1)&gt;=100000,INDEX($AN$1005:$BO$1005,1,MATCH(COLUMNS($AN$1006:AT1006),$AN$1006:$BO$1006,0))&gt;=100000), " ",IF(INDEX($AN$2:$BO$1001,MATCH(ROWS($AG$2:AG516),$AG$2:$AG$1001,0),MATCH(COLUMNS($AN$1006:AT1006),$AN$1006:$BO$1006,0)), HYPERLINK("#",""), HYPERLINK(CONCATENATE("#Metadata!", ADDRESS(INDEX($AI$2:$AI$1001,MATCH(ROWS($AG$2:AG516),$AG$2:$AG$1001,0),0), INDEX($AN$1004:$BO$1004,1,MATCH(COLUMNS($AN$1006:AT1006),$AN$1006:$BO$1006,0)))),"Fix")))</f>
        <v>0</v>
      </c>
      <c r="I516" s="4">
        <f>IF(OR(INDEX($AH$2:$AH$1001,MATCH(ROWS($AG$2:AG516),$AG$2:$AG$1001,0),1)&gt;=100000,INDEX($AN$1005:$BO$1005,1,MATCH(COLUMNS($AN$1006:AU1006),$AN$1006:$BO$1006,0))&gt;=100000), " ",IF(INDEX($AN$2:$BO$1001,MATCH(ROWS($AG$2:AG516),$AG$2:$AG$1001,0),MATCH(COLUMNS($AN$1006:AU1006),$AN$1006:$BO$1006,0)), HYPERLINK("#",""), HYPERLINK(CONCATENATE("#Metadata!", ADDRESS(INDEX($AI$2:$AI$1001,MATCH(ROWS($AG$2:AG516),$AG$2:$AG$1001,0),0), INDEX($AN$1004:$BO$1004,1,MATCH(COLUMNS($AN$1006:AU1006),$AN$1006:$BO$1006,0)))),"Fix")))</f>
        <v>0</v>
      </c>
      <c r="J516" s="4">
        <f>IF(OR(INDEX($AH$2:$AH$1001,MATCH(ROWS($AG$2:AG516),$AG$2:$AG$1001,0),1)&gt;=100000,INDEX($AN$1005:$BO$1005,1,MATCH(COLUMNS($AN$1006:AV1006),$AN$1006:$BO$1006,0))&gt;=100000), " ",IF(INDEX($AN$2:$BO$1001,MATCH(ROWS($AG$2:AG516),$AG$2:$AG$1001,0),MATCH(COLUMNS($AN$1006:AV1006),$AN$1006:$BO$1006,0)), HYPERLINK("#",""), HYPERLINK(CONCATENATE("#Metadata!", ADDRESS(INDEX($AI$2:$AI$1001,MATCH(ROWS($AG$2:AG516),$AG$2:$AG$1001,0),0), INDEX($AN$1004:$BO$1004,1,MATCH(COLUMNS($AN$1006:AV1006),$AN$1006:$BO$1006,0)))),"Fix")))</f>
        <v>0</v>
      </c>
      <c r="K516" s="4">
        <f>IF(OR(INDEX($AH$2:$AH$1001,MATCH(ROWS($AG$2:AG516),$AG$2:$AG$1001,0),1)&gt;=100000,INDEX($AN$1005:$BO$1005,1,MATCH(COLUMNS($AN$1006:AW1006),$AN$1006:$BO$1006,0))&gt;=100000), " ",IF(INDEX($AN$2:$BO$1001,MATCH(ROWS($AG$2:AG516),$AG$2:$AG$1001,0),MATCH(COLUMNS($AN$1006:AW1006),$AN$1006:$BO$1006,0)), HYPERLINK("#",""), HYPERLINK(CONCATENATE("#Metadata!", ADDRESS(INDEX($AI$2:$AI$1001,MATCH(ROWS($AG$2:AG516),$AG$2:$AG$1001,0),0), INDEX($AN$1004:$BO$1004,1,MATCH(COLUMNS($AN$1006:AW1006),$AN$1006:$BO$1006,0)))),"Fix")))</f>
        <v>0</v>
      </c>
      <c r="L516" s="4">
        <f>IF(OR(INDEX($AH$2:$AH$1001,MATCH(ROWS($AG$2:AG516),$AG$2:$AG$1001,0),1)&gt;=100000,INDEX($AN$1005:$BO$1005,1,MATCH(COLUMNS($AN$1006:AX1006),$AN$1006:$BO$1006,0))&gt;=100000), " ",IF(INDEX($AN$2:$BO$1001,MATCH(ROWS($AG$2:AG516),$AG$2:$AG$1001,0),MATCH(COLUMNS($AN$1006:AX1006),$AN$1006:$BO$1006,0)), HYPERLINK("#",""), HYPERLINK(CONCATENATE("#Metadata!", ADDRESS(INDEX($AI$2:$AI$1001,MATCH(ROWS($AG$2:AG516),$AG$2:$AG$1001,0),0), INDEX($AN$1004:$BO$1004,1,MATCH(COLUMNS($AN$1006:AX1006),$AN$1006:$BO$1006,0)))),"Fix")))</f>
        <v>0</v>
      </c>
      <c r="M516" s="4">
        <f>IF(OR(INDEX($AH$2:$AH$1001,MATCH(ROWS($AG$2:AG516),$AG$2:$AG$1001,0),1)&gt;=100000,INDEX($AN$1005:$BO$1005,1,MATCH(COLUMNS($AN$1006:AY1006),$AN$1006:$BO$1006,0))&gt;=100000), " ",IF(INDEX($AN$2:$BO$1001,MATCH(ROWS($AG$2:AG516),$AG$2:$AG$1001,0),MATCH(COLUMNS($AN$1006:AY1006),$AN$1006:$BO$1006,0)), HYPERLINK("#",""), HYPERLINK(CONCATENATE("#Metadata!", ADDRESS(INDEX($AI$2:$AI$1001,MATCH(ROWS($AG$2:AG516),$AG$2:$AG$1001,0),0), INDEX($AN$1004:$BO$1004,1,MATCH(COLUMNS($AN$1006:AY1006),$AN$1006:$BO$1006,0)))),"Fix")))</f>
        <v>0</v>
      </c>
      <c r="N516" s="4">
        <f>IF(OR(INDEX($AH$2:$AH$1001,MATCH(ROWS($AG$2:AG516),$AG$2:$AG$1001,0),1)&gt;=100000,INDEX($AN$1005:$BO$1005,1,MATCH(COLUMNS($AN$1006:AZ1006),$AN$1006:$BO$1006,0))&gt;=100000), " ",IF(INDEX($AN$2:$BO$1001,MATCH(ROWS($AG$2:AG516),$AG$2:$AG$1001,0),MATCH(COLUMNS($AN$1006:AZ1006),$AN$1006:$BO$1006,0)), HYPERLINK("#",""), HYPERLINK(CONCATENATE("#Metadata!", ADDRESS(INDEX($AI$2:$AI$1001,MATCH(ROWS($AG$2:AG516),$AG$2:$AG$1001,0),0), INDEX($AN$1004:$BO$1004,1,MATCH(COLUMNS($AN$1006:AZ1006),$AN$1006:$BO$1006,0)))),"Fix")))</f>
        <v>0</v>
      </c>
      <c r="O516" s="4">
        <f>IF(OR(INDEX($AH$2:$AH$1001,MATCH(ROWS($AG$2:AG516),$AG$2:$AG$1001,0),1)&gt;=100000,INDEX($AN$1005:$BO$1005,1,MATCH(COLUMNS($AN$1006:BA1006),$AN$1006:$BO$1006,0))&gt;=100000), " ",IF(INDEX($AN$2:$BO$1001,MATCH(ROWS($AG$2:AG516),$AG$2:$AG$1001,0),MATCH(COLUMNS($AN$1006:BA1006),$AN$1006:$BO$1006,0)), HYPERLINK("#",""), HYPERLINK(CONCATENATE("#Metadata!", ADDRESS(INDEX($AI$2:$AI$1001,MATCH(ROWS($AG$2:AG516),$AG$2:$AG$1001,0),0), INDEX($AN$1004:$BO$1004,1,MATCH(COLUMNS($AN$1006:BA1006),$AN$1006:$BO$1006,0)))),"Fix")))</f>
        <v>0</v>
      </c>
      <c r="P516" s="4">
        <f>IF(OR(INDEX($AH$2:$AH$1001,MATCH(ROWS($AG$2:AG516),$AG$2:$AG$1001,0),1)&gt;=100000,INDEX($AN$1005:$BO$1005,1,MATCH(COLUMNS($AN$1006:BB1006),$AN$1006:$BO$1006,0))&gt;=100000), " ",IF(INDEX($AN$2:$BO$1001,MATCH(ROWS($AG$2:AG516),$AG$2:$AG$1001,0),MATCH(COLUMNS($AN$1006:BB1006),$AN$1006:$BO$1006,0)), HYPERLINK("#",""), HYPERLINK(CONCATENATE("#Metadata!", ADDRESS(INDEX($AI$2:$AI$1001,MATCH(ROWS($AG$2:AG516),$AG$2:$AG$1001,0),0), INDEX($AN$1004:$BO$1004,1,MATCH(COLUMNS($AN$1006:BB1006),$AN$1006:$BO$1006,0)))),"Fix")))</f>
        <v>0</v>
      </c>
      <c r="Q516" s="4">
        <f>IF(OR(INDEX($AH$2:$AH$1001,MATCH(ROWS($AG$2:AG516),$AG$2:$AG$1001,0),1)&gt;=100000,INDEX($AN$1005:$BO$1005,1,MATCH(COLUMNS($AN$1006:BC1006),$AN$1006:$BO$1006,0))&gt;=100000), " ",IF(INDEX($AN$2:$BO$1001,MATCH(ROWS($AG$2:AG516),$AG$2:$AG$1001,0),MATCH(COLUMNS($AN$1006:BC1006),$AN$1006:$BO$1006,0)), HYPERLINK("#",""), HYPERLINK(CONCATENATE("#Metadata!", ADDRESS(INDEX($AI$2:$AI$1001,MATCH(ROWS($AG$2:AG516),$AG$2:$AG$1001,0),0), INDEX($AN$1004:$BO$1004,1,MATCH(COLUMNS($AN$1006:BC1006),$AN$1006:$BO$1006,0)))),"Fix")))</f>
        <v>0</v>
      </c>
      <c r="R516" s="4">
        <f>IF(OR(INDEX($AH$2:$AH$1001,MATCH(ROWS($AG$2:AG516),$AG$2:$AG$1001,0),1)&gt;=100000,INDEX($AN$1005:$BO$1005,1,MATCH(COLUMNS($AN$1006:BD1006),$AN$1006:$BO$1006,0))&gt;=100000), " ",IF(INDEX($AN$2:$BO$1001,MATCH(ROWS($AG$2:AG516),$AG$2:$AG$1001,0),MATCH(COLUMNS($AN$1006:BD1006),$AN$1006:$BO$1006,0)), HYPERLINK("#",""), HYPERLINK(CONCATENATE("#Metadata!", ADDRESS(INDEX($AI$2:$AI$1001,MATCH(ROWS($AG$2:AG516),$AG$2:$AG$1001,0),0), INDEX($AN$1004:$BO$1004,1,MATCH(COLUMNS($AN$1006:BD1006),$AN$1006:$BO$1006,0)))),"Fix")))</f>
        <v>0</v>
      </c>
      <c r="S516" s="4">
        <f>IF(OR(INDEX($AH$2:$AH$1001,MATCH(ROWS($AG$2:AG516),$AG$2:$AG$1001,0),1)&gt;=100000,INDEX($AN$1005:$BO$1005,1,MATCH(COLUMNS($AN$1006:BE1006),$AN$1006:$BO$1006,0))&gt;=100000), " ",IF(INDEX($AN$2:$BO$1001,MATCH(ROWS($AG$2:AG516),$AG$2:$AG$1001,0),MATCH(COLUMNS($AN$1006:BE1006),$AN$1006:$BO$1006,0)), HYPERLINK("#",""), HYPERLINK(CONCATENATE("#Metadata!", ADDRESS(INDEX($AI$2:$AI$1001,MATCH(ROWS($AG$2:AG516),$AG$2:$AG$1001,0),0), INDEX($AN$1004:$BO$1004,1,MATCH(COLUMNS($AN$1006:BE1006),$AN$1006:$BO$1006,0)))),"Fix")))</f>
        <v>0</v>
      </c>
      <c r="T516" s="4">
        <f>IF(OR(INDEX($AH$2:$AH$1001,MATCH(ROWS($AG$2:AG516),$AG$2:$AG$1001,0),1)&gt;=100000,INDEX($AN$1005:$BO$1005,1,MATCH(COLUMNS($AN$1006:BF1006),$AN$1006:$BO$1006,0))&gt;=100000), " ",IF(INDEX($AN$2:$BO$1001,MATCH(ROWS($AG$2:AG516),$AG$2:$AG$1001,0),MATCH(COLUMNS($AN$1006:BF1006),$AN$1006:$BO$1006,0)), HYPERLINK("#",""), HYPERLINK(CONCATENATE("#Metadata!", ADDRESS(INDEX($AI$2:$AI$1001,MATCH(ROWS($AG$2:AG516),$AG$2:$AG$1001,0),0), INDEX($AN$1004:$BO$1004,1,MATCH(COLUMNS($AN$1006:BF1006),$AN$1006:$BO$1006,0)))),"Fix")))</f>
        <v>0</v>
      </c>
      <c r="U516" s="4">
        <f>IF(OR(INDEX($AH$2:$AH$1001,MATCH(ROWS($AG$2:AG516),$AG$2:$AG$1001,0),1)&gt;=100000,INDEX($AN$1005:$BO$1005,1,MATCH(COLUMNS($AN$1006:BG1006),$AN$1006:$BO$1006,0))&gt;=100000), " ",IF(INDEX($AN$2:$BO$1001,MATCH(ROWS($AG$2:AG516),$AG$2:$AG$1001,0),MATCH(COLUMNS($AN$1006:BG1006),$AN$1006:$BO$1006,0)), HYPERLINK("#",""), HYPERLINK(CONCATENATE("#Metadata!", ADDRESS(INDEX($AI$2:$AI$1001,MATCH(ROWS($AG$2:AG516),$AG$2:$AG$1001,0),0), INDEX($AN$1004:$BO$1004,1,MATCH(COLUMNS($AN$1006:BG1006),$AN$1006:$BO$1006,0)))),"Fix")))</f>
        <v>0</v>
      </c>
      <c r="V516" s="4">
        <f>IF(OR(INDEX($AH$2:$AH$1001,MATCH(ROWS($AG$2:AG516),$AG$2:$AG$1001,0),1)&gt;=100000,INDEX($AN$1005:$BO$1005,1,MATCH(COLUMNS($AN$1006:BH1006),$AN$1006:$BO$1006,0))&gt;=100000), " ",IF(INDEX($AN$2:$BO$1001,MATCH(ROWS($AG$2:AG516),$AG$2:$AG$1001,0),MATCH(COLUMNS($AN$1006:BH1006),$AN$1006:$BO$1006,0)), HYPERLINK("#",""), HYPERLINK(CONCATENATE("#Metadata!", ADDRESS(INDEX($AI$2:$AI$1001,MATCH(ROWS($AG$2:AG516),$AG$2:$AG$1001,0),0), INDEX($AN$1004:$BO$1004,1,MATCH(COLUMNS($AN$1006:BH1006),$AN$1006:$BO$1006,0)))),"Fix")))</f>
        <v>0</v>
      </c>
      <c r="W516" s="4">
        <f>IF(OR(INDEX($AH$2:$AH$1001,MATCH(ROWS($AG$2:AG516),$AG$2:$AG$1001,0),1)&gt;=100000,INDEX($AN$1005:$BO$1005,1,MATCH(COLUMNS($AN$1006:BI1006),$AN$1006:$BO$1006,0))&gt;=100000), " ",IF(INDEX($AN$2:$BO$1001,MATCH(ROWS($AG$2:AG516),$AG$2:$AG$1001,0),MATCH(COLUMNS($AN$1006:BI1006),$AN$1006:$BO$1006,0)), HYPERLINK("#",""), HYPERLINK(CONCATENATE("#Metadata!", ADDRESS(INDEX($AI$2:$AI$1001,MATCH(ROWS($AG$2:AG516),$AG$2:$AG$1001,0),0), INDEX($AN$1004:$BO$1004,1,MATCH(COLUMNS($AN$1006:BI1006),$AN$1006:$BO$1006,0)))),"Fix")))</f>
        <v>0</v>
      </c>
      <c r="X516" s="4">
        <f>IF(OR(INDEX($AH$2:$AH$1001,MATCH(ROWS($AG$2:AG516),$AG$2:$AG$1001,0),1)&gt;=100000,INDEX($AN$1005:$BO$1005,1,MATCH(COLUMNS($AN$1006:BJ1006),$AN$1006:$BO$1006,0))&gt;=100000), " ",IF(INDEX($AN$2:$BO$1001,MATCH(ROWS($AG$2:AG516),$AG$2:$AG$1001,0),MATCH(COLUMNS($AN$1006:BJ1006),$AN$1006:$BO$1006,0)), HYPERLINK("#",""), HYPERLINK(CONCATENATE("#Metadata!", ADDRESS(INDEX($AI$2:$AI$1001,MATCH(ROWS($AG$2:AG516),$AG$2:$AG$1001,0),0), INDEX($AN$1004:$BO$1004,1,MATCH(COLUMNS($AN$1006:BJ1006),$AN$1006:$BO$1006,0)))),"Fix")))</f>
        <v>0</v>
      </c>
      <c r="Y516" s="4">
        <f>IF(OR(INDEX($AH$2:$AH$1001,MATCH(ROWS($AG$2:AG516),$AG$2:$AG$1001,0),1)&gt;=100000,INDEX($AN$1005:$BO$1005,1,MATCH(COLUMNS($AN$1006:BK1006),$AN$1006:$BO$1006,0))&gt;=100000), " ",IF(INDEX($AN$2:$BO$1001,MATCH(ROWS($AG$2:AG516),$AG$2:$AG$1001,0),MATCH(COLUMNS($AN$1006:BK1006),$AN$1006:$BO$1006,0)), HYPERLINK("#",""), HYPERLINK(CONCATENATE("#Metadata!", ADDRESS(INDEX($AI$2:$AI$1001,MATCH(ROWS($AG$2:AG516),$AG$2:$AG$1001,0),0), INDEX($AN$1004:$BO$1004,1,MATCH(COLUMNS($AN$1006:BK1006),$AN$1006:$BO$1006,0)))),"Fix")))</f>
        <v>0</v>
      </c>
      <c r="Z516" s="4">
        <f>IF(OR(INDEX($AH$2:$AH$1001,MATCH(ROWS($AG$2:AG516),$AG$2:$AG$1001,0),1)&gt;=100000,INDEX($AN$1005:$BO$1005,1,MATCH(COLUMNS($AN$1006:BL1006),$AN$1006:$BO$1006,0))&gt;=100000), " ",IF(INDEX($AN$2:$BO$1001,MATCH(ROWS($AG$2:AG516),$AG$2:$AG$1001,0),MATCH(COLUMNS($AN$1006:BL1006),$AN$1006:$BO$1006,0)), HYPERLINK("#",""), HYPERLINK(CONCATENATE("#Metadata!", ADDRESS(INDEX($AI$2:$AI$1001,MATCH(ROWS($AG$2:AG516),$AG$2:$AG$1001,0),0), INDEX($AN$1004:$BO$1004,1,MATCH(COLUMNS($AN$1006:BL1006),$AN$1006:$BO$1006,0)))),"Fix")))</f>
        <v>0</v>
      </c>
      <c r="AA516" s="4">
        <f>IF(OR(INDEX($AH$2:$AH$1001,MATCH(ROWS($AG$2:AG516),$AG$2:$AG$1001,0),1)&gt;=100000,INDEX($AN$1005:$BO$1005,1,MATCH(COLUMNS($AN$1006:BM1006),$AN$1006:$BO$1006,0))&gt;=100000), " ",IF(INDEX($AN$2:$BO$1001,MATCH(ROWS($AG$2:AG516),$AG$2:$AG$1001,0),MATCH(COLUMNS($AN$1006:BM1006),$AN$1006:$BO$1006,0)), HYPERLINK("#",""), HYPERLINK(CONCATENATE("#Metadata!", ADDRESS(INDEX($AI$2:$AI$1001,MATCH(ROWS($AG$2:AG516),$AG$2:$AG$1001,0),0), INDEX($AN$1004:$BO$1004,1,MATCH(COLUMNS($AN$1006:BM1006),$AN$1006:$BO$1006,0)))),"Fix")))</f>
        <v>0</v>
      </c>
      <c r="AB516" s="4">
        <f>IF(OR(INDEX($AH$2:$AH$1001,MATCH(ROWS($AG$2:AG516),$AG$2:$AG$1001,0),1)&gt;=100000,INDEX($AN$1005:$BO$1005,1,MATCH(COLUMNS($AN$1006:BN1006),$AN$1006:$BO$1006,0))&gt;=100000), " ",IF(INDEX($AN$2:$BO$1001,MATCH(ROWS($AG$2:AG516),$AG$2:$AG$1001,0),MATCH(COLUMNS($AN$1006:BN1006),$AN$1006:$BO$1006,0)), HYPERLINK("#",""), HYPERLINK(CONCATENATE("#Metadata!", ADDRESS(INDEX($AI$2:$AI$1001,MATCH(ROWS($AG$2:AG516),$AG$2:$AG$1001,0),0), INDEX($AN$1004:$BO$1004,1,MATCH(COLUMNS($AN$1006:BN1006),$AN$1006:$BO$1006,0)))),"Fix")))</f>
        <v>0</v>
      </c>
      <c r="AC516" s="4">
        <f>IF(OR(INDEX($AH$2:$AH$1001,MATCH(ROWS($AG$2:AG516),$AG$2:$AG$1001,0),1)&gt;=100000,INDEX($AN$1005:$BO$1005,1,MATCH(COLUMNS($AN$1006:BO1006),$AN$1006:$BO$1006,0))&gt;=100000), " ",IF(INDEX($AN$2:$BO$1001,MATCH(ROWS($AG$2:AG516),$AG$2:$AG$1001,0),MATCH(COLUMNS($AN$1006:BO1006),$AN$1006:$BO$1006,0)), HYPERLINK("#",""), HYPERLINK(CONCATENATE("#Metadata!", ADDRESS(INDEX($AI$2:$AI$1001,MATCH(ROWS($AG$2:AG516),$AG$2:$AG$1001,0),0), INDEX($AN$1004:$BO$1004,1,MATCH(COLUMNS($AN$1006:BO1006),$AN$1006:$BO$1006,0)))),"Fix")))</f>
        <v>0</v>
      </c>
      <c r="AG516">
        <v>0</v>
      </c>
      <c r="AH516">
        <v>0</v>
      </c>
      <c r="AI516">
        <v>0</v>
      </c>
      <c r="AJ516">
        <f>IF(AK516,TRUE,AND(AN516:BO516))</f>
        <v>0</v>
      </c>
      <c r="AK516">
        <f>COUNTBLANK(Metadata!B516:AC516)=COLUMNS(Metadata!B516:AC516)</f>
        <v>0</v>
      </c>
      <c r="AL516">
        <v>0</v>
      </c>
      <c r="AN516">
        <f>AND(IF(Metadata!B516="",FALSE,TRUE),COUNTIF(Metadata!B:B, Metadata!B516) = 1,NOT(ISERROR(SUMPRODUCT(SEARCH(MID(Metadata!B516,ROW(INDIRECT("1:"&amp;LEN(Metadata!B516))), 1),"0123456789abcdefghijklmnopqrstuvwxyzABCDEFGHIJKLMNOPQRSTUVWXYZ.")))))</f>
        <v>0</v>
      </c>
      <c r="AO516">
        <f>IF(Metadata!C516="",FALSE,TRUE)</f>
        <v>0</v>
      </c>
      <c r="AP516">
        <f>IF(Metadata!D516="",FALSE,TRUE)</f>
        <v>0</v>
      </c>
      <c r="AQ516">
        <f>OR(AND(IF(Metadata!E516="",FALSE,TRUE),OR(exact(Metadata!E516,"not collected"),exact(Metadata!E516,"not provided"),exact(Metadata!E516,"restricted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R516">
        <f>IF(Metadata!F516="",FALSE,TRUE)</f>
        <v>0</v>
      </c>
      <c r="AS516">
        <f>OR(AND(IF(Metadata!G516="",FALSE,TRUE),OR(exact(Metadata!G516,"not collected"),exact(Metadata!G516,"not provided"))),AND(IF(Metadata!G516="",FALSE,TRUE),OR(exact(Metadata!G516,"TRUE"),exact(Metadata!G516,"FALSE"))))</f>
        <v>0</v>
      </c>
      <c r="AT516">
        <f>OR(AND(IF(Metadata!H516="",FALSE,TRUE),OR(exact(Metadata!H516,"not collected"),exact(Metadata!H516,"not provided"),exact(Metadata!H516,"restricted access"))),AND(IF(Metadata!H516="",FALSE,ISNUMBER(VALUE(Metadata!H516))),Metadata!H516&gt;=-413.0))</f>
        <v>0</v>
      </c>
      <c r="AU516">
        <f>AND(IF(Metadata!I516="",FALSE,TRUE),exact(Metadata!I516,"meters"))</f>
        <v>0</v>
      </c>
      <c r="AV516">
        <f>AND(IF(Metadata!J516="",FALSE,TRUE),OR(exact(Metadata!J516,"Host-associated"),exact(Metadata!J516,"Free-living")))</f>
        <v>0</v>
      </c>
      <c r="AW516">
        <f>AND(IF(Metadata!K516="",FALSE,TRUE),OR(exact(Metadata!K516,"Animal"),exact(Metadata!K516,"Fungus"),exact(Metadata!K516,"Plant"),exact(Metadata!K516,"Saline"),exact(Metadata!K516,"Non-saline")))</f>
        <v>0</v>
      </c>
      <c r="AX516">
        <f>AND(IF(Metadata!L516="",FALSE,TRUE),OR(exact(Metadata!L516,"Plant secretion"),exact(Metadata!L516,"Plant rhizosphere"),exact(Metadata!L516,"Plant surface"),exact(Metadata!L516,"Plant corpus"),exact(Metadata!L516,"Fungus surface"),exact(Metadata!L516,"Fungus corpus"),exact(Metadata!L516,"Animal surface"),exact(Metadata!L516,"Animal proximal gut"),exact(Metadata!L516,"Animal corpus"),exact(Metadata!L516,"Animal distal gut"),exact(Metadata!L516,"Animal secretion"),exact(Metadata!L516,"Sub-surface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Y516">
        <f>IF(Metadata!M516="",FALSE,TRUE)</f>
        <v>0</v>
      </c>
      <c r="AZ516">
        <f>IF(Metadata!N516="",FALSE,TRUE)</f>
        <v>0</v>
      </c>
      <c r="BA516">
        <f>IF(Metadata!O516="",FALSE,TRUE)</f>
        <v>0</v>
      </c>
      <c r="BB516">
        <f>OR(AND(IF(Metadata!P516="",FALSE,TRUE),OR(exact(Metadata!P516,"not collected"),exact(Metadata!P516,"not provided"),exact(Metadata!P516,"restricted access"))),AND(IF(Metadata!P516="",FALSE,TRUE),OR(exact(Metadata!P516,"air"),exact(Metadata!P516,"built environment"),exact(Metadata!P516,"host-associated"),exact(Metadata!P516,"human-associated"),exact(Metadata!P516,"human-skin"),exact(Metadata!P516,"human-oral"),exact(Metadata!P516,"human-gut"),exact(Metadata!P516,"human-vaginal"),exact(Metadata!P516,"microbial mat/biofilm"),exact(Metadata!P516,"misc environment"),exact(Metadata!P516,"plant-associated"),exact(Metadata!P516,"sediment"),exact(Metadata!P516,"soil"),exact(Metadata!P516,"wastewater/sludge"),exact(Metadata!P516,"water"))))</f>
        <v>0</v>
      </c>
      <c r="BC516">
        <f>IF(Metadata!Q516="",FALSE,TRUE)</f>
        <v>0</v>
      </c>
      <c r="BD516">
        <f>IF(Metadata!R516="",FALSE,TRUE)</f>
        <v>0</v>
      </c>
      <c r="BE516">
        <f>OR(AND(IF(Metadata!S516="",FALSE,TRUE),OR(exact(Metadata!S516,"not collected"),exact(Metadata!S516,"not provided"),exact(Metadata!S516,"restricted access"))),AND(IF(Metadata!S516="",FALSE,ISNUMBER(VALUE(Metadata!S516))),Metadata!S516&gt;=-90.00,Metadata!S516&lt;=90.00))</f>
        <v>0</v>
      </c>
      <c r="BF516">
        <f>AND(IF(Metadata!T516="",FALSE,TRUE),exact(Metadata!T516,"Decimal degrees"))</f>
        <v>0</v>
      </c>
      <c r="BG516">
        <f>OR(AND(IF(Metadata!U516="",FALSE,TRUE),OR(exact(Metadata!U516,"not collected"),exact(Metadata!U516,"not provided"),exact(Metadata!U516,"restricted access"))),AND(IF(Metadata!U516="",FALSE,ISNUMBER(VALUE(Metadata!U516))),Metadata!U516&gt;=-180.00,Metadata!U516&lt;=180.00))</f>
        <v>0</v>
      </c>
      <c r="BH516">
        <f>AND(IF(Metadata!V516="",FALSE,TRUE),exact(Metadata!V516,"Decimal degrees"))</f>
        <v>0</v>
      </c>
      <c r="BI516">
        <f>IF(Metadata!W516="",FALSE,TRUE)</f>
        <v>0</v>
      </c>
      <c r="BJ516">
        <f>OR(AND(IF(Metadata!X516="",FALSE,TRUE),OR(exact(Metadata!X516,"not collected"),exact(Metadata!X516,"not provided"),exact(Metadata!X516,"restricted access"))),AND(IF(Metadata!X516="",FALSE,TRUE),OR(exact(Metadata!X516,"TRUE"),exact(Metadata!X516,"FALSE"))))</f>
        <v>0</v>
      </c>
      <c r="BK516">
        <f>AND(IF(Metadata!Y516="",FALSE,TRUE),exact(Metadata!Y516,"other"))</f>
        <v>0</v>
      </c>
      <c r="BL516">
        <f>IF(Metadata!Z516="",FALSE,TRUE)</f>
        <v>0</v>
      </c>
      <c r="BM516">
        <f>OR(AND(IF(Metadata!AA516="",FALSE,TRUE),OR(exact(Metadata!AA516,"not collected"),exact(Metadata!AA516,"not provided"))),AND(IF(Metadata!AA516="",FALSE,IF(ISERROR(INT(Metadata!AA516)),FALSE,INT(Metadata!AA516)=Metadata!AA516)),Metadata!AA516&gt;0))</f>
        <v>0</v>
      </c>
      <c r="BN516">
        <f>AND(IF(Metadata!AB516="",FALSE,TRUE),exact(Metadata!AB516,"Not applicable"))</f>
        <v>0</v>
      </c>
      <c r="BO516">
        <f>IF(Metadata!AC516="",FALSE,TRUE)</f>
        <v>0</v>
      </c>
    </row>
    <row r="517" spans="1:67">
      <c r="A517" s="5">
        <f>IF(B517=" "," ",HYPERLINK(CONCATENATE("#metadata!",ADDRESS(INDEX($AI$2:$AI$1001,MATCH(ROWS($AG$2:AG517),$AG$2:$AG$1001,0),0),1)),INDEX($AL$2:$AL$1001,MATCH(ROWS($AG$2:AG517),$AG$2:$AG$1001,0),0)))</f>
        <v>0</v>
      </c>
      <c r="B517" s="4">
        <f>IF(OR(INDEX($AH$2:$AH$1001,MATCH(ROWS($AG$2:AG517),$AG$2:$AG$1001,0),1)&gt;=100000,INDEX($AN$1005:$BO$1005,1,MATCH(COLUMNS($AN$1006:AN1006),$AN$1006:$BO$1006,0))&gt;=100000), " ",IF(INDEX($AN$2:$BO$1001,MATCH(ROWS($AG$2:AG517),$AG$2:$AG$1001,0),MATCH(COLUMNS($AN$1006:AN1006),$AN$1006:$BO$1006,0)), HYPERLINK("#",""), HYPERLINK(CONCATENATE("#Metadata!", ADDRESS(INDEX($AI$2:$AI$1001,MATCH(ROWS($AG$2:AG517),$AG$2:$AG$1001,0),0), INDEX($AN$1004:$BO$1004,1,MATCH(COLUMNS($AN$1006:AN1006),$AN$1006:$BO$1006,0)))),"Fix")))</f>
        <v>0</v>
      </c>
      <c r="C517" s="4">
        <f>IF(OR(INDEX($AH$2:$AH$1001,MATCH(ROWS($AG$2:AG517),$AG$2:$AG$1001,0),1)&gt;=100000,INDEX($AN$1005:$BO$1005,1,MATCH(COLUMNS($AN$1006:AO1006),$AN$1006:$BO$1006,0))&gt;=100000), " ",IF(INDEX($AN$2:$BO$1001,MATCH(ROWS($AG$2:AG517),$AG$2:$AG$1001,0),MATCH(COLUMNS($AN$1006:AO1006),$AN$1006:$BO$1006,0)), HYPERLINK("#",""), HYPERLINK(CONCATENATE("#Metadata!", ADDRESS(INDEX($AI$2:$AI$1001,MATCH(ROWS($AG$2:AG517),$AG$2:$AG$1001,0),0), INDEX($AN$1004:$BO$1004,1,MATCH(COLUMNS($AN$1006:AO1006),$AN$1006:$BO$1006,0)))),"Fix")))</f>
        <v>0</v>
      </c>
      <c r="D517" s="4">
        <f>IF(OR(INDEX($AH$2:$AH$1001,MATCH(ROWS($AG$2:AG517),$AG$2:$AG$1001,0),1)&gt;=100000,INDEX($AN$1005:$BO$1005,1,MATCH(COLUMNS($AN$1006:AP1006),$AN$1006:$BO$1006,0))&gt;=100000), " ",IF(INDEX($AN$2:$BO$1001,MATCH(ROWS($AG$2:AG517),$AG$2:$AG$1001,0),MATCH(COLUMNS($AN$1006:AP1006),$AN$1006:$BO$1006,0)), HYPERLINK("#",""), HYPERLINK(CONCATENATE("#Metadata!", ADDRESS(INDEX($AI$2:$AI$1001,MATCH(ROWS($AG$2:AG517),$AG$2:$AG$1001,0),0), INDEX($AN$1004:$BO$1004,1,MATCH(COLUMNS($AN$1006:AP1006),$AN$1006:$BO$1006,0)))),"Fix")))</f>
        <v>0</v>
      </c>
      <c r="E517" s="4">
        <f>IF(OR(INDEX($AH$2:$AH$1001,MATCH(ROWS($AG$2:AG517),$AG$2:$AG$1001,0),1)&gt;=100000,INDEX($AN$1005:$BO$1005,1,MATCH(COLUMNS($AN$1006:AQ1006),$AN$1006:$BO$1006,0))&gt;=100000), " ",IF(INDEX($AN$2:$BO$1001,MATCH(ROWS($AG$2:AG517),$AG$2:$AG$1001,0),MATCH(COLUMNS($AN$1006:AQ1006),$AN$1006:$BO$1006,0)), HYPERLINK("#",""), HYPERLINK(CONCATENATE("#Metadata!", ADDRESS(INDEX($AI$2:$AI$1001,MATCH(ROWS($AG$2:AG517),$AG$2:$AG$1001,0),0), INDEX($AN$1004:$BO$1004,1,MATCH(COLUMNS($AN$1006:AQ1006),$AN$1006:$BO$1006,0)))),"Fix")))</f>
        <v>0</v>
      </c>
      <c r="F517" s="4">
        <f>IF(OR(INDEX($AH$2:$AH$1001,MATCH(ROWS($AG$2:AG517),$AG$2:$AG$1001,0),1)&gt;=100000,INDEX($AN$1005:$BO$1005,1,MATCH(COLUMNS($AN$1006:AR1006),$AN$1006:$BO$1006,0))&gt;=100000), " ",IF(INDEX($AN$2:$BO$1001,MATCH(ROWS($AG$2:AG517),$AG$2:$AG$1001,0),MATCH(COLUMNS($AN$1006:AR1006),$AN$1006:$BO$1006,0)), HYPERLINK("#",""), HYPERLINK(CONCATENATE("#Metadata!", ADDRESS(INDEX($AI$2:$AI$1001,MATCH(ROWS($AG$2:AG517),$AG$2:$AG$1001,0),0), INDEX($AN$1004:$BO$1004,1,MATCH(COLUMNS($AN$1006:AR1006),$AN$1006:$BO$1006,0)))),"Fix")))</f>
        <v>0</v>
      </c>
      <c r="G517" s="4">
        <f>IF(OR(INDEX($AH$2:$AH$1001,MATCH(ROWS($AG$2:AG517),$AG$2:$AG$1001,0),1)&gt;=100000,INDEX($AN$1005:$BO$1005,1,MATCH(COLUMNS($AN$1006:AS1006),$AN$1006:$BO$1006,0))&gt;=100000), " ",IF(INDEX($AN$2:$BO$1001,MATCH(ROWS($AG$2:AG517),$AG$2:$AG$1001,0),MATCH(COLUMNS($AN$1006:AS1006),$AN$1006:$BO$1006,0)), HYPERLINK("#",""), HYPERLINK(CONCATENATE("#Metadata!", ADDRESS(INDEX($AI$2:$AI$1001,MATCH(ROWS($AG$2:AG517),$AG$2:$AG$1001,0),0), INDEX($AN$1004:$BO$1004,1,MATCH(COLUMNS($AN$1006:AS1006),$AN$1006:$BO$1006,0)))),"Fix")))</f>
        <v>0</v>
      </c>
      <c r="H517" s="4">
        <f>IF(OR(INDEX($AH$2:$AH$1001,MATCH(ROWS($AG$2:AG517),$AG$2:$AG$1001,0),1)&gt;=100000,INDEX($AN$1005:$BO$1005,1,MATCH(COLUMNS($AN$1006:AT1006),$AN$1006:$BO$1006,0))&gt;=100000), " ",IF(INDEX($AN$2:$BO$1001,MATCH(ROWS($AG$2:AG517),$AG$2:$AG$1001,0),MATCH(COLUMNS($AN$1006:AT1006),$AN$1006:$BO$1006,0)), HYPERLINK("#",""), HYPERLINK(CONCATENATE("#Metadata!", ADDRESS(INDEX($AI$2:$AI$1001,MATCH(ROWS($AG$2:AG517),$AG$2:$AG$1001,0),0), INDEX($AN$1004:$BO$1004,1,MATCH(COLUMNS($AN$1006:AT1006),$AN$1006:$BO$1006,0)))),"Fix")))</f>
        <v>0</v>
      </c>
      <c r="I517" s="4">
        <f>IF(OR(INDEX($AH$2:$AH$1001,MATCH(ROWS($AG$2:AG517),$AG$2:$AG$1001,0),1)&gt;=100000,INDEX($AN$1005:$BO$1005,1,MATCH(COLUMNS($AN$1006:AU1006),$AN$1006:$BO$1006,0))&gt;=100000), " ",IF(INDEX($AN$2:$BO$1001,MATCH(ROWS($AG$2:AG517),$AG$2:$AG$1001,0),MATCH(COLUMNS($AN$1006:AU1006),$AN$1006:$BO$1006,0)), HYPERLINK("#",""), HYPERLINK(CONCATENATE("#Metadata!", ADDRESS(INDEX($AI$2:$AI$1001,MATCH(ROWS($AG$2:AG517),$AG$2:$AG$1001,0),0), INDEX($AN$1004:$BO$1004,1,MATCH(COLUMNS($AN$1006:AU1006),$AN$1006:$BO$1006,0)))),"Fix")))</f>
        <v>0</v>
      </c>
      <c r="J517" s="4">
        <f>IF(OR(INDEX($AH$2:$AH$1001,MATCH(ROWS($AG$2:AG517),$AG$2:$AG$1001,0),1)&gt;=100000,INDEX($AN$1005:$BO$1005,1,MATCH(COLUMNS($AN$1006:AV1006),$AN$1006:$BO$1006,0))&gt;=100000), " ",IF(INDEX($AN$2:$BO$1001,MATCH(ROWS($AG$2:AG517),$AG$2:$AG$1001,0),MATCH(COLUMNS($AN$1006:AV1006),$AN$1006:$BO$1006,0)), HYPERLINK("#",""), HYPERLINK(CONCATENATE("#Metadata!", ADDRESS(INDEX($AI$2:$AI$1001,MATCH(ROWS($AG$2:AG517),$AG$2:$AG$1001,0),0), INDEX($AN$1004:$BO$1004,1,MATCH(COLUMNS($AN$1006:AV1006),$AN$1006:$BO$1006,0)))),"Fix")))</f>
        <v>0</v>
      </c>
      <c r="K517" s="4">
        <f>IF(OR(INDEX($AH$2:$AH$1001,MATCH(ROWS($AG$2:AG517),$AG$2:$AG$1001,0),1)&gt;=100000,INDEX($AN$1005:$BO$1005,1,MATCH(COLUMNS($AN$1006:AW1006),$AN$1006:$BO$1006,0))&gt;=100000), " ",IF(INDEX($AN$2:$BO$1001,MATCH(ROWS($AG$2:AG517),$AG$2:$AG$1001,0),MATCH(COLUMNS($AN$1006:AW1006),$AN$1006:$BO$1006,0)), HYPERLINK("#",""), HYPERLINK(CONCATENATE("#Metadata!", ADDRESS(INDEX($AI$2:$AI$1001,MATCH(ROWS($AG$2:AG517),$AG$2:$AG$1001,0),0), INDEX($AN$1004:$BO$1004,1,MATCH(COLUMNS($AN$1006:AW1006),$AN$1006:$BO$1006,0)))),"Fix")))</f>
        <v>0</v>
      </c>
      <c r="L517" s="4">
        <f>IF(OR(INDEX($AH$2:$AH$1001,MATCH(ROWS($AG$2:AG517),$AG$2:$AG$1001,0),1)&gt;=100000,INDEX($AN$1005:$BO$1005,1,MATCH(COLUMNS($AN$1006:AX1006),$AN$1006:$BO$1006,0))&gt;=100000), " ",IF(INDEX($AN$2:$BO$1001,MATCH(ROWS($AG$2:AG517),$AG$2:$AG$1001,0),MATCH(COLUMNS($AN$1006:AX1006),$AN$1006:$BO$1006,0)), HYPERLINK("#",""), HYPERLINK(CONCATENATE("#Metadata!", ADDRESS(INDEX($AI$2:$AI$1001,MATCH(ROWS($AG$2:AG517),$AG$2:$AG$1001,0),0), INDEX($AN$1004:$BO$1004,1,MATCH(COLUMNS($AN$1006:AX1006),$AN$1006:$BO$1006,0)))),"Fix")))</f>
        <v>0</v>
      </c>
      <c r="M517" s="4">
        <f>IF(OR(INDEX($AH$2:$AH$1001,MATCH(ROWS($AG$2:AG517),$AG$2:$AG$1001,0),1)&gt;=100000,INDEX($AN$1005:$BO$1005,1,MATCH(COLUMNS($AN$1006:AY1006),$AN$1006:$BO$1006,0))&gt;=100000), " ",IF(INDEX($AN$2:$BO$1001,MATCH(ROWS($AG$2:AG517),$AG$2:$AG$1001,0),MATCH(COLUMNS($AN$1006:AY1006),$AN$1006:$BO$1006,0)), HYPERLINK("#",""), HYPERLINK(CONCATENATE("#Metadata!", ADDRESS(INDEX($AI$2:$AI$1001,MATCH(ROWS($AG$2:AG517),$AG$2:$AG$1001,0),0), INDEX($AN$1004:$BO$1004,1,MATCH(COLUMNS($AN$1006:AY1006),$AN$1006:$BO$1006,0)))),"Fix")))</f>
        <v>0</v>
      </c>
      <c r="N517" s="4">
        <f>IF(OR(INDEX($AH$2:$AH$1001,MATCH(ROWS($AG$2:AG517),$AG$2:$AG$1001,0),1)&gt;=100000,INDEX($AN$1005:$BO$1005,1,MATCH(COLUMNS($AN$1006:AZ1006),$AN$1006:$BO$1006,0))&gt;=100000), " ",IF(INDEX($AN$2:$BO$1001,MATCH(ROWS($AG$2:AG517),$AG$2:$AG$1001,0),MATCH(COLUMNS($AN$1006:AZ1006),$AN$1006:$BO$1006,0)), HYPERLINK("#",""), HYPERLINK(CONCATENATE("#Metadata!", ADDRESS(INDEX($AI$2:$AI$1001,MATCH(ROWS($AG$2:AG517),$AG$2:$AG$1001,0),0), INDEX($AN$1004:$BO$1004,1,MATCH(COLUMNS($AN$1006:AZ1006),$AN$1006:$BO$1006,0)))),"Fix")))</f>
        <v>0</v>
      </c>
      <c r="O517" s="4">
        <f>IF(OR(INDEX($AH$2:$AH$1001,MATCH(ROWS($AG$2:AG517),$AG$2:$AG$1001,0),1)&gt;=100000,INDEX($AN$1005:$BO$1005,1,MATCH(COLUMNS($AN$1006:BA1006),$AN$1006:$BO$1006,0))&gt;=100000), " ",IF(INDEX($AN$2:$BO$1001,MATCH(ROWS($AG$2:AG517),$AG$2:$AG$1001,0),MATCH(COLUMNS($AN$1006:BA1006),$AN$1006:$BO$1006,0)), HYPERLINK("#",""), HYPERLINK(CONCATENATE("#Metadata!", ADDRESS(INDEX($AI$2:$AI$1001,MATCH(ROWS($AG$2:AG517),$AG$2:$AG$1001,0),0), INDEX($AN$1004:$BO$1004,1,MATCH(COLUMNS($AN$1006:BA1006),$AN$1006:$BO$1006,0)))),"Fix")))</f>
        <v>0</v>
      </c>
      <c r="P517" s="4">
        <f>IF(OR(INDEX($AH$2:$AH$1001,MATCH(ROWS($AG$2:AG517),$AG$2:$AG$1001,0),1)&gt;=100000,INDEX($AN$1005:$BO$1005,1,MATCH(COLUMNS($AN$1006:BB1006),$AN$1006:$BO$1006,0))&gt;=100000), " ",IF(INDEX($AN$2:$BO$1001,MATCH(ROWS($AG$2:AG517),$AG$2:$AG$1001,0),MATCH(COLUMNS($AN$1006:BB1006),$AN$1006:$BO$1006,0)), HYPERLINK("#",""), HYPERLINK(CONCATENATE("#Metadata!", ADDRESS(INDEX($AI$2:$AI$1001,MATCH(ROWS($AG$2:AG517),$AG$2:$AG$1001,0),0), INDEX($AN$1004:$BO$1004,1,MATCH(COLUMNS($AN$1006:BB1006),$AN$1006:$BO$1006,0)))),"Fix")))</f>
        <v>0</v>
      </c>
      <c r="Q517" s="4">
        <f>IF(OR(INDEX($AH$2:$AH$1001,MATCH(ROWS($AG$2:AG517),$AG$2:$AG$1001,0),1)&gt;=100000,INDEX($AN$1005:$BO$1005,1,MATCH(COLUMNS($AN$1006:BC1006),$AN$1006:$BO$1006,0))&gt;=100000), " ",IF(INDEX($AN$2:$BO$1001,MATCH(ROWS($AG$2:AG517),$AG$2:$AG$1001,0),MATCH(COLUMNS($AN$1006:BC1006),$AN$1006:$BO$1006,0)), HYPERLINK("#",""), HYPERLINK(CONCATENATE("#Metadata!", ADDRESS(INDEX($AI$2:$AI$1001,MATCH(ROWS($AG$2:AG517),$AG$2:$AG$1001,0),0), INDEX($AN$1004:$BO$1004,1,MATCH(COLUMNS($AN$1006:BC1006),$AN$1006:$BO$1006,0)))),"Fix")))</f>
        <v>0</v>
      </c>
      <c r="R517" s="4">
        <f>IF(OR(INDEX($AH$2:$AH$1001,MATCH(ROWS($AG$2:AG517),$AG$2:$AG$1001,0),1)&gt;=100000,INDEX($AN$1005:$BO$1005,1,MATCH(COLUMNS($AN$1006:BD1006),$AN$1006:$BO$1006,0))&gt;=100000), " ",IF(INDEX($AN$2:$BO$1001,MATCH(ROWS($AG$2:AG517),$AG$2:$AG$1001,0),MATCH(COLUMNS($AN$1006:BD1006),$AN$1006:$BO$1006,0)), HYPERLINK("#",""), HYPERLINK(CONCATENATE("#Metadata!", ADDRESS(INDEX($AI$2:$AI$1001,MATCH(ROWS($AG$2:AG517),$AG$2:$AG$1001,0),0), INDEX($AN$1004:$BO$1004,1,MATCH(COLUMNS($AN$1006:BD1006),$AN$1006:$BO$1006,0)))),"Fix")))</f>
        <v>0</v>
      </c>
      <c r="S517" s="4">
        <f>IF(OR(INDEX($AH$2:$AH$1001,MATCH(ROWS($AG$2:AG517),$AG$2:$AG$1001,0),1)&gt;=100000,INDEX($AN$1005:$BO$1005,1,MATCH(COLUMNS($AN$1006:BE1006),$AN$1006:$BO$1006,0))&gt;=100000), " ",IF(INDEX($AN$2:$BO$1001,MATCH(ROWS($AG$2:AG517),$AG$2:$AG$1001,0),MATCH(COLUMNS($AN$1006:BE1006),$AN$1006:$BO$1006,0)), HYPERLINK("#",""), HYPERLINK(CONCATENATE("#Metadata!", ADDRESS(INDEX($AI$2:$AI$1001,MATCH(ROWS($AG$2:AG517),$AG$2:$AG$1001,0),0), INDEX($AN$1004:$BO$1004,1,MATCH(COLUMNS($AN$1006:BE1006),$AN$1006:$BO$1006,0)))),"Fix")))</f>
        <v>0</v>
      </c>
      <c r="T517" s="4">
        <f>IF(OR(INDEX($AH$2:$AH$1001,MATCH(ROWS($AG$2:AG517),$AG$2:$AG$1001,0),1)&gt;=100000,INDEX($AN$1005:$BO$1005,1,MATCH(COLUMNS($AN$1006:BF1006),$AN$1006:$BO$1006,0))&gt;=100000), " ",IF(INDEX($AN$2:$BO$1001,MATCH(ROWS($AG$2:AG517),$AG$2:$AG$1001,0),MATCH(COLUMNS($AN$1006:BF1006),$AN$1006:$BO$1006,0)), HYPERLINK("#",""), HYPERLINK(CONCATENATE("#Metadata!", ADDRESS(INDEX($AI$2:$AI$1001,MATCH(ROWS($AG$2:AG517),$AG$2:$AG$1001,0),0), INDEX($AN$1004:$BO$1004,1,MATCH(COLUMNS($AN$1006:BF1006),$AN$1006:$BO$1006,0)))),"Fix")))</f>
        <v>0</v>
      </c>
      <c r="U517" s="4">
        <f>IF(OR(INDEX($AH$2:$AH$1001,MATCH(ROWS($AG$2:AG517),$AG$2:$AG$1001,0),1)&gt;=100000,INDEX($AN$1005:$BO$1005,1,MATCH(COLUMNS($AN$1006:BG1006),$AN$1006:$BO$1006,0))&gt;=100000), " ",IF(INDEX($AN$2:$BO$1001,MATCH(ROWS($AG$2:AG517),$AG$2:$AG$1001,0),MATCH(COLUMNS($AN$1006:BG1006),$AN$1006:$BO$1006,0)), HYPERLINK("#",""), HYPERLINK(CONCATENATE("#Metadata!", ADDRESS(INDEX($AI$2:$AI$1001,MATCH(ROWS($AG$2:AG517),$AG$2:$AG$1001,0),0), INDEX($AN$1004:$BO$1004,1,MATCH(COLUMNS($AN$1006:BG1006),$AN$1006:$BO$1006,0)))),"Fix")))</f>
        <v>0</v>
      </c>
      <c r="V517" s="4">
        <f>IF(OR(INDEX($AH$2:$AH$1001,MATCH(ROWS($AG$2:AG517),$AG$2:$AG$1001,0),1)&gt;=100000,INDEX($AN$1005:$BO$1005,1,MATCH(COLUMNS($AN$1006:BH1006),$AN$1006:$BO$1006,0))&gt;=100000), " ",IF(INDEX($AN$2:$BO$1001,MATCH(ROWS($AG$2:AG517),$AG$2:$AG$1001,0),MATCH(COLUMNS($AN$1006:BH1006),$AN$1006:$BO$1006,0)), HYPERLINK("#",""), HYPERLINK(CONCATENATE("#Metadata!", ADDRESS(INDEX($AI$2:$AI$1001,MATCH(ROWS($AG$2:AG517),$AG$2:$AG$1001,0),0), INDEX($AN$1004:$BO$1004,1,MATCH(COLUMNS($AN$1006:BH1006),$AN$1006:$BO$1006,0)))),"Fix")))</f>
        <v>0</v>
      </c>
      <c r="W517" s="4">
        <f>IF(OR(INDEX($AH$2:$AH$1001,MATCH(ROWS($AG$2:AG517),$AG$2:$AG$1001,0),1)&gt;=100000,INDEX($AN$1005:$BO$1005,1,MATCH(COLUMNS($AN$1006:BI1006),$AN$1006:$BO$1006,0))&gt;=100000), " ",IF(INDEX($AN$2:$BO$1001,MATCH(ROWS($AG$2:AG517),$AG$2:$AG$1001,0),MATCH(COLUMNS($AN$1006:BI1006),$AN$1006:$BO$1006,0)), HYPERLINK("#",""), HYPERLINK(CONCATENATE("#Metadata!", ADDRESS(INDEX($AI$2:$AI$1001,MATCH(ROWS($AG$2:AG517),$AG$2:$AG$1001,0),0), INDEX($AN$1004:$BO$1004,1,MATCH(COLUMNS($AN$1006:BI1006),$AN$1006:$BO$1006,0)))),"Fix")))</f>
        <v>0</v>
      </c>
      <c r="X517" s="4">
        <f>IF(OR(INDEX($AH$2:$AH$1001,MATCH(ROWS($AG$2:AG517),$AG$2:$AG$1001,0),1)&gt;=100000,INDEX($AN$1005:$BO$1005,1,MATCH(COLUMNS($AN$1006:BJ1006),$AN$1006:$BO$1006,0))&gt;=100000), " ",IF(INDEX($AN$2:$BO$1001,MATCH(ROWS($AG$2:AG517),$AG$2:$AG$1001,0),MATCH(COLUMNS($AN$1006:BJ1006),$AN$1006:$BO$1006,0)), HYPERLINK("#",""), HYPERLINK(CONCATENATE("#Metadata!", ADDRESS(INDEX($AI$2:$AI$1001,MATCH(ROWS($AG$2:AG517),$AG$2:$AG$1001,0),0), INDEX($AN$1004:$BO$1004,1,MATCH(COLUMNS($AN$1006:BJ1006),$AN$1006:$BO$1006,0)))),"Fix")))</f>
        <v>0</v>
      </c>
      <c r="Y517" s="4">
        <f>IF(OR(INDEX($AH$2:$AH$1001,MATCH(ROWS($AG$2:AG517),$AG$2:$AG$1001,0),1)&gt;=100000,INDEX($AN$1005:$BO$1005,1,MATCH(COLUMNS($AN$1006:BK1006),$AN$1006:$BO$1006,0))&gt;=100000), " ",IF(INDEX($AN$2:$BO$1001,MATCH(ROWS($AG$2:AG517),$AG$2:$AG$1001,0),MATCH(COLUMNS($AN$1006:BK1006),$AN$1006:$BO$1006,0)), HYPERLINK("#",""), HYPERLINK(CONCATENATE("#Metadata!", ADDRESS(INDEX($AI$2:$AI$1001,MATCH(ROWS($AG$2:AG517),$AG$2:$AG$1001,0),0), INDEX($AN$1004:$BO$1004,1,MATCH(COLUMNS($AN$1006:BK1006),$AN$1006:$BO$1006,0)))),"Fix")))</f>
        <v>0</v>
      </c>
      <c r="Z517" s="4">
        <f>IF(OR(INDEX($AH$2:$AH$1001,MATCH(ROWS($AG$2:AG517),$AG$2:$AG$1001,0),1)&gt;=100000,INDEX($AN$1005:$BO$1005,1,MATCH(COLUMNS($AN$1006:BL1006),$AN$1006:$BO$1006,0))&gt;=100000), " ",IF(INDEX($AN$2:$BO$1001,MATCH(ROWS($AG$2:AG517),$AG$2:$AG$1001,0),MATCH(COLUMNS($AN$1006:BL1006),$AN$1006:$BO$1006,0)), HYPERLINK("#",""), HYPERLINK(CONCATENATE("#Metadata!", ADDRESS(INDEX($AI$2:$AI$1001,MATCH(ROWS($AG$2:AG517),$AG$2:$AG$1001,0),0), INDEX($AN$1004:$BO$1004,1,MATCH(COLUMNS($AN$1006:BL1006),$AN$1006:$BO$1006,0)))),"Fix")))</f>
        <v>0</v>
      </c>
      <c r="AA517" s="4">
        <f>IF(OR(INDEX($AH$2:$AH$1001,MATCH(ROWS($AG$2:AG517),$AG$2:$AG$1001,0),1)&gt;=100000,INDEX($AN$1005:$BO$1005,1,MATCH(COLUMNS($AN$1006:BM1006),$AN$1006:$BO$1006,0))&gt;=100000), " ",IF(INDEX($AN$2:$BO$1001,MATCH(ROWS($AG$2:AG517),$AG$2:$AG$1001,0),MATCH(COLUMNS($AN$1006:BM1006),$AN$1006:$BO$1006,0)), HYPERLINK("#",""), HYPERLINK(CONCATENATE("#Metadata!", ADDRESS(INDEX($AI$2:$AI$1001,MATCH(ROWS($AG$2:AG517),$AG$2:$AG$1001,0),0), INDEX($AN$1004:$BO$1004,1,MATCH(COLUMNS($AN$1006:BM1006),$AN$1006:$BO$1006,0)))),"Fix")))</f>
        <v>0</v>
      </c>
      <c r="AB517" s="4">
        <f>IF(OR(INDEX($AH$2:$AH$1001,MATCH(ROWS($AG$2:AG517),$AG$2:$AG$1001,0),1)&gt;=100000,INDEX($AN$1005:$BO$1005,1,MATCH(COLUMNS($AN$1006:BN1006),$AN$1006:$BO$1006,0))&gt;=100000), " ",IF(INDEX($AN$2:$BO$1001,MATCH(ROWS($AG$2:AG517),$AG$2:$AG$1001,0),MATCH(COLUMNS($AN$1006:BN1006),$AN$1006:$BO$1006,0)), HYPERLINK("#",""), HYPERLINK(CONCATENATE("#Metadata!", ADDRESS(INDEX($AI$2:$AI$1001,MATCH(ROWS($AG$2:AG517),$AG$2:$AG$1001,0),0), INDEX($AN$1004:$BO$1004,1,MATCH(COLUMNS($AN$1006:BN1006),$AN$1006:$BO$1006,0)))),"Fix")))</f>
        <v>0</v>
      </c>
      <c r="AC517" s="4">
        <f>IF(OR(INDEX($AH$2:$AH$1001,MATCH(ROWS($AG$2:AG517),$AG$2:$AG$1001,0),1)&gt;=100000,INDEX($AN$1005:$BO$1005,1,MATCH(COLUMNS($AN$1006:BO1006),$AN$1006:$BO$1006,0))&gt;=100000), " ",IF(INDEX($AN$2:$BO$1001,MATCH(ROWS($AG$2:AG517),$AG$2:$AG$1001,0),MATCH(COLUMNS($AN$1006:BO1006),$AN$1006:$BO$1006,0)), HYPERLINK("#",""), HYPERLINK(CONCATENATE("#Metadata!", ADDRESS(INDEX($AI$2:$AI$1001,MATCH(ROWS($AG$2:AG517),$AG$2:$AG$1001,0),0), INDEX($AN$1004:$BO$1004,1,MATCH(COLUMNS($AN$1006:BO1006),$AN$1006:$BO$1006,0)))),"Fix")))</f>
        <v>0</v>
      </c>
      <c r="AG517">
        <v>0</v>
      </c>
      <c r="AH517">
        <v>0</v>
      </c>
      <c r="AI517">
        <v>0</v>
      </c>
      <c r="AJ517">
        <f>IF(AK517,TRUE,AND(AN517:BO517))</f>
        <v>0</v>
      </c>
      <c r="AK517">
        <f>COUNTBLANK(Metadata!B517:AC517)=COLUMNS(Metadata!B517:AC517)</f>
        <v>0</v>
      </c>
      <c r="AL517">
        <v>0</v>
      </c>
      <c r="AN517">
        <f>AND(IF(Metadata!B517="",FALSE,TRUE),COUNTIF(Metadata!B:B, Metadata!B517) = 1,NOT(ISERROR(SUMPRODUCT(SEARCH(MID(Metadata!B517,ROW(INDIRECT("1:"&amp;LEN(Metadata!B517))), 1),"0123456789abcdefghijklmnopqrstuvwxyzABCDEFGHIJKLMNOPQRSTUVWXYZ.")))))</f>
        <v>0</v>
      </c>
      <c r="AO517">
        <f>IF(Metadata!C517="",FALSE,TRUE)</f>
        <v>0</v>
      </c>
      <c r="AP517">
        <f>IF(Metadata!D517="",FALSE,TRUE)</f>
        <v>0</v>
      </c>
      <c r="AQ517">
        <f>OR(AND(IF(Metadata!E517="",FALSE,TRUE),OR(exact(Metadata!E517,"not collected"),exact(Metadata!E517,"not provided"),exact(Metadata!E517,"restricted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R517">
        <f>IF(Metadata!F517="",FALSE,TRUE)</f>
        <v>0</v>
      </c>
      <c r="AS517">
        <f>OR(AND(IF(Metadata!G517="",FALSE,TRUE),OR(exact(Metadata!G517,"not collected"),exact(Metadata!G517,"not provided"))),AND(IF(Metadata!G517="",FALSE,TRUE),OR(exact(Metadata!G517,"TRUE"),exact(Metadata!G517,"FALSE"))))</f>
        <v>0</v>
      </c>
      <c r="AT517">
        <f>OR(AND(IF(Metadata!H517="",FALSE,TRUE),OR(exact(Metadata!H517,"not collected"),exact(Metadata!H517,"not provided"),exact(Metadata!H517,"restricted access"))),AND(IF(Metadata!H517="",FALSE,ISNUMBER(VALUE(Metadata!H517))),Metadata!H517&gt;=-413.0))</f>
        <v>0</v>
      </c>
      <c r="AU517">
        <f>AND(IF(Metadata!I517="",FALSE,TRUE),exact(Metadata!I517,"meters"))</f>
        <v>0</v>
      </c>
      <c r="AV517">
        <f>AND(IF(Metadata!J517="",FALSE,TRUE),OR(exact(Metadata!J517,"Host-associated"),exact(Metadata!J517,"Free-living")))</f>
        <v>0</v>
      </c>
      <c r="AW517">
        <f>AND(IF(Metadata!K517="",FALSE,TRUE),OR(exact(Metadata!K517,"Animal"),exact(Metadata!K517,"Fungus"),exact(Metadata!K517,"Plant"),exact(Metadata!K517,"Saline"),exact(Metadata!K517,"Non-saline")))</f>
        <v>0</v>
      </c>
      <c r="AX517">
        <f>AND(IF(Metadata!L517="",FALSE,TRUE),OR(exact(Metadata!L517,"Plant secretion"),exact(Metadata!L517,"Plant rhizosphere"),exact(Metadata!L517,"Plant surface"),exact(Metadata!L517,"Plant corpus"),exact(Metadata!L517,"Fungus surface"),exact(Metadata!L517,"Fungus corpus"),exact(Metadata!L517,"Animal surface"),exact(Metadata!L517,"Animal proximal gut"),exact(Metadata!L517,"Animal corpus"),exact(Metadata!L517,"Animal distal gut"),exact(Metadata!L517,"Animal secretion"),exact(Metadata!L517,"Sub-surface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Y517">
        <f>IF(Metadata!M517="",FALSE,TRUE)</f>
        <v>0</v>
      </c>
      <c r="AZ517">
        <f>IF(Metadata!N517="",FALSE,TRUE)</f>
        <v>0</v>
      </c>
      <c r="BA517">
        <f>IF(Metadata!O517="",FALSE,TRUE)</f>
        <v>0</v>
      </c>
      <c r="BB517">
        <f>OR(AND(IF(Metadata!P517="",FALSE,TRUE),OR(exact(Metadata!P517,"not collected"),exact(Metadata!P517,"not provided"),exact(Metadata!P517,"restricted access"))),AND(IF(Metadata!P517="",FALSE,TRUE),OR(exact(Metadata!P517,"air"),exact(Metadata!P517,"built environment"),exact(Metadata!P517,"host-associated"),exact(Metadata!P517,"human-associated"),exact(Metadata!P517,"human-skin"),exact(Metadata!P517,"human-oral"),exact(Metadata!P517,"human-gut"),exact(Metadata!P517,"human-vaginal"),exact(Metadata!P517,"microbial mat/biofilm"),exact(Metadata!P517,"misc environment"),exact(Metadata!P517,"plant-associated"),exact(Metadata!P517,"sediment"),exact(Metadata!P517,"soil"),exact(Metadata!P517,"wastewater/sludge"),exact(Metadata!P517,"water"))))</f>
        <v>0</v>
      </c>
      <c r="BC517">
        <f>IF(Metadata!Q517="",FALSE,TRUE)</f>
        <v>0</v>
      </c>
      <c r="BD517">
        <f>IF(Metadata!R517="",FALSE,TRUE)</f>
        <v>0</v>
      </c>
      <c r="BE517">
        <f>OR(AND(IF(Metadata!S517="",FALSE,TRUE),OR(exact(Metadata!S517,"not collected"),exact(Metadata!S517,"not provided"),exact(Metadata!S517,"restricted access"))),AND(IF(Metadata!S517="",FALSE,ISNUMBER(VALUE(Metadata!S517))),Metadata!S517&gt;=-90.00,Metadata!S517&lt;=90.00))</f>
        <v>0</v>
      </c>
      <c r="BF517">
        <f>AND(IF(Metadata!T517="",FALSE,TRUE),exact(Metadata!T517,"Decimal degrees"))</f>
        <v>0</v>
      </c>
      <c r="BG517">
        <f>OR(AND(IF(Metadata!U517="",FALSE,TRUE),OR(exact(Metadata!U517,"not collected"),exact(Metadata!U517,"not provided"),exact(Metadata!U517,"restricted access"))),AND(IF(Metadata!U517="",FALSE,ISNUMBER(VALUE(Metadata!U517))),Metadata!U517&gt;=-180.00,Metadata!U517&lt;=180.00))</f>
        <v>0</v>
      </c>
      <c r="BH517">
        <f>AND(IF(Metadata!V517="",FALSE,TRUE),exact(Metadata!V517,"Decimal degrees"))</f>
        <v>0</v>
      </c>
      <c r="BI517">
        <f>IF(Metadata!W517="",FALSE,TRUE)</f>
        <v>0</v>
      </c>
      <c r="BJ517">
        <f>OR(AND(IF(Metadata!X517="",FALSE,TRUE),OR(exact(Metadata!X517,"not collected"),exact(Metadata!X517,"not provided"),exact(Metadata!X517,"restricted access"))),AND(IF(Metadata!X517="",FALSE,TRUE),OR(exact(Metadata!X517,"TRUE"),exact(Metadata!X517,"FALSE"))))</f>
        <v>0</v>
      </c>
      <c r="BK517">
        <f>AND(IF(Metadata!Y517="",FALSE,TRUE),exact(Metadata!Y517,"other"))</f>
        <v>0</v>
      </c>
      <c r="BL517">
        <f>IF(Metadata!Z517="",FALSE,TRUE)</f>
        <v>0</v>
      </c>
      <c r="BM517">
        <f>OR(AND(IF(Metadata!AA517="",FALSE,TRUE),OR(exact(Metadata!AA517,"not collected"),exact(Metadata!AA517,"not provided"))),AND(IF(Metadata!AA517="",FALSE,IF(ISERROR(INT(Metadata!AA517)),FALSE,INT(Metadata!AA517)=Metadata!AA517)),Metadata!AA517&gt;0))</f>
        <v>0</v>
      </c>
      <c r="BN517">
        <f>AND(IF(Metadata!AB517="",FALSE,TRUE),exact(Metadata!AB517,"Not applicable"))</f>
        <v>0</v>
      </c>
      <c r="BO517">
        <f>IF(Metadata!AC517="",FALSE,TRUE)</f>
        <v>0</v>
      </c>
    </row>
    <row r="518" spans="1:67">
      <c r="A518" s="5">
        <f>IF(B518=" "," ",HYPERLINK(CONCATENATE("#metadata!",ADDRESS(INDEX($AI$2:$AI$1001,MATCH(ROWS($AG$2:AG518),$AG$2:$AG$1001,0),0),1)),INDEX($AL$2:$AL$1001,MATCH(ROWS($AG$2:AG518),$AG$2:$AG$1001,0),0)))</f>
        <v>0</v>
      </c>
      <c r="B518" s="4">
        <f>IF(OR(INDEX($AH$2:$AH$1001,MATCH(ROWS($AG$2:AG518),$AG$2:$AG$1001,0),1)&gt;=100000,INDEX($AN$1005:$BO$1005,1,MATCH(COLUMNS($AN$1006:AN1006),$AN$1006:$BO$1006,0))&gt;=100000), " ",IF(INDEX($AN$2:$BO$1001,MATCH(ROWS($AG$2:AG518),$AG$2:$AG$1001,0),MATCH(COLUMNS($AN$1006:AN1006),$AN$1006:$BO$1006,0)), HYPERLINK("#",""), HYPERLINK(CONCATENATE("#Metadata!", ADDRESS(INDEX($AI$2:$AI$1001,MATCH(ROWS($AG$2:AG518),$AG$2:$AG$1001,0),0), INDEX($AN$1004:$BO$1004,1,MATCH(COLUMNS($AN$1006:AN1006),$AN$1006:$BO$1006,0)))),"Fix")))</f>
        <v>0</v>
      </c>
      <c r="C518" s="4">
        <f>IF(OR(INDEX($AH$2:$AH$1001,MATCH(ROWS($AG$2:AG518),$AG$2:$AG$1001,0),1)&gt;=100000,INDEX($AN$1005:$BO$1005,1,MATCH(COLUMNS($AN$1006:AO1006),$AN$1006:$BO$1006,0))&gt;=100000), " ",IF(INDEX($AN$2:$BO$1001,MATCH(ROWS($AG$2:AG518),$AG$2:$AG$1001,0),MATCH(COLUMNS($AN$1006:AO1006),$AN$1006:$BO$1006,0)), HYPERLINK("#",""), HYPERLINK(CONCATENATE("#Metadata!", ADDRESS(INDEX($AI$2:$AI$1001,MATCH(ROWS($AG$2:AG518),$AG$2:$AG$1001,0),0), INDEX($AN$1004:$BO$1004,1,MATCH(COLUMNS($AN$1006:AO1006),$AN$1006:$BO$1006,0)))),"Fix")))</f>
        <v>0</v>
      </c>
      <c r="D518" s="4">
        <f>IF(OR(INDEX($AH$2:$AH$1001,MATCH(ROWS($AG$2:AG518),$AG$2:$AG$1001,0),1)&gt;=100000,INDEX($AN$1005:$BO$1005,1,MATCH(COLUMNS($AN$1006:AP1006),$AN$1006:$BO$1006,0))&gt;=100000), " ",IF(INDEX($AN$2:$BO$1001,MATCH(ROWS($AG$2:AG518),$AG$2:$AG$1001,0),MATCH(COLUMNS($AN$1006:AP1006),$AN$1006:$BO$1006,0)), HYPERLINK("#",""), HYPERLINK(CONCATENATE("#Metadata!", ADDRESS(INDEX($AI$2:$AI$1001,MATCH(ROWS($AG$2:AG518),$AG$2:$AG$1001,0),0), INDEX($AN$1004:$BO$1004,1,MATCH(COLUMNS($AN$1006:AP1006),$AN$1006:$BO$1006,0)))),"Fix")))</f>
        <v>0</v>
      </c>
      <c r="E518" s="4">
        <f>IF(OR(INDEX($AH$2:$AH$1001,MATCH(ROWS($AG$2:AG518),$AG$2:$AG$1001,0),1)&gt;=100000,INDEX($AN$1005:$BO$1005,1,MATCH(COLUMNS($AN$1006:AQ1006),$AN$1006:$BO$1006,0))&gt;=100000), " ",IF(INDEX($AN$2:$BO$1001,MATCH(ROWS($AG$2:AG518),$AG$2:$AG$1001,0),MATCH(COLUMNS($AN$1006:AQ1006),$AN$1006:$BO$1006,0)), HYPERLINK("#",""), HYPERLINK(CONCATENATE("#Metadata!", ADDRESS(INDEX($AI$2:$AI$1001,MATCH(ROWS($AG$2:AG518),$AG$2:$AG$1001,0),0), INDEX($AN$1004:$BO$1004,1,MATCH(COLUMNS($AN$1006:AQ1006),$AN$1006:$BO$1006,0)))),"Fix")))</f>
        <v>0</v>
      </c>
      <c r="F518" s="4">
        <f>IF(OR(INDEX($AH$2:$AH$1001,MATCH(ROWS($AG$2:AG518),$AG$2:$AG$1001,0),1)&gt;=100000,INDEX($AN$1005:$BO$1005,1,MATCH(COLUMNS($AN$1006:AR1006),$AN$1006:$BO$1006,0))&gt;=100000), " ",IF(INDEX($AN$2:$BO$1001,MATCH(ROWS($AG$2:AG518),$AG$2:$AG$1001,0),MATCH(COLUMNS($AN$1006:AR1006),$AN$1006:$BO$1006,0)), HYPERLINK("#",""), HYPERLINK(CONCATENATE("#Metadata!", ADDRESS(INDEX($AI$2:$AI$1001,MATCH(ROWS($AG$2:AG518),$AG$2:$AG$1001,0),0), INDEX($AN$1004:$BO$1004,1,MATCH(COLUMNS($AN$1006:AR1006),$AN$1006:$BO$1006,0)))),"Fix")))</f>
        <v>0</v>
      </c>
      <c r="G518" s="4">
        <f>IF(OR(INDEX($AH$2:$AH$1001,MATCH(ROWS($AG$2:AG518),$AG$2:$AG$1001,0),1)&gt;=100000,INDEX($AN$1005:$BO$1005,1,MATCH(COLUMNS($AN$1006:AS1006),$AN$1006:$BO$1006,0))&gt;=100000), " ",IF(INDEX($AN$2:$BO$1001,MATCH(ROWS($AG$2:AG518),$AG$2:$AG$1001,0),MATCH(COLUMNS($AN$1006:AS1006),$AN$1006:$BO$1006,0)), HYPERLINK("#",""), HYPERLINK(CONCATENATE("#Metadata!", ADDRESS(INDEX($AI$2:$AI$1001,MATCH(ROWS($AG$2:AG518),$AG$2:$AG$1001,0),0), INDEX($AN$1004:$BO$1004,1,MATCH(COLUMNS($AN$1006:AS1006),$AN$1006:$BO$1006,0)))),"Fix")))</f>
        <v>0</v>
      </c>
      <c r="H518" s="4">
        <f>IF(OR(INDEX($AH$2:$AH$1001,MATCH(ROWS($AG$2:AG518),$AG$2:$AG$1001,0),1)&gt;=100000,INDEX($AN$1005:$BO$1005,1,MATCH(COLUMNS($AN$1006:AT1006),$AN$1006:$BO$1006,0))&gt;=100000), " ",IF(INDEX($AN$2:$BO$1001,MATCH(ROWS($AG$2:AG518),$AG$2:$AG$1001,0),MATCH(COLUMNS($AN$1006:AT1006),$AN$1006:$BO$1006,0)), HYPERLINK("#",""), HYPERLINK(CONCATENATE("#Metadata!", ADDRESS(INDEX($AI$2:$AI$1001,MATCH(ROWS($AG$2:AG518),$AG$2:$AG$1001,0),0), INDEX($AN$1004:$BO$1004,1,MATCH(COLUMNS($AN$1006:AT1006),$AN$1006:$BO$1006,0)))),"Fix")))</f>
        <v>0</v>
      </c>
      <c r="I518" s="4">
        <f>IF(OR(INDEX($AH$2:$AH$1001,MATCH(ROWS($AG$2:AG518),$AG$2:$AG$1001,0),1)&gt;=100000,INDEX($AN$1005:$BO$1005,1,MATCH(COLUMNS($AN$1006:AU1006),$AN$1006:$BO$1006,0))&gt;=100000), " ",IF(INDEX($AN$2:$BO$1001,MATCH(ROWS($AG$2:AG518),$AG$2:$AG$1001,0),MATCH(COLUMNS($AN$1006:AU1006),$AN$1006:$BO$1006,0)), HYPERLINK("#",""), HYPERLINK(CONCATENATE("#Metadata!", ADDRESS(INDEX($AI$2:$AI$1001,MATCH(ROWS($AG$2:AG518),$AG$2:$AG$1001,0),0), INDEX($AN$1004:$BO$1004,1,MATCH(COLUMNS($AN$1006:AU1006),$AN$1006:$BO$1006,0)))),"Fix")))</f>
        <v>0</v>
      </c>
      <c r="J518" s="4">
        <f>IF(OR(INDEX($AH$2:$AH$1001,MATCH(ROWS($AG$2:AG518),$AG$2:$AG$1001,0),1)&gt;=100000,INDEX($AN$1005:$BO$1005,1,MATCH(COLUMNS($AN$1006:AV1006),$AN$1006:$BO$1006,0))&gt;=100000), " ",IF(INDEX($AN$2:$BO$1001,MATCH(ROWS($AG$2:AG518),$AG$2:$AG$1001,0),MATCH(COLUMNS($AN$1006:AV1006),$AN$1006:$BO$1006,0)), HYPERLINK("#",""), HYPERLINK(CONCATENATE("#Metadata!", ADDRESS(INDEX($AI$2:$AI$1001,MATCH(ROWS($AG$2:AG518),$AG$2:$AG$1001,0),0), INDEX($AN$1004:$BO$1004,1,MATCH(COLUMNS($AN$1006:AV1006),$AN$1006:$BO$1006,0)))),"Fix")))</f>
        <v>0</v>
      </c>
      <c r="K518" s="4">
        <f>IF(OR(INDEX($AH$2:$AH$1001,MATCH(ROWS($AG$2:AG518),$AG$2:$AG$1001,0),1)&gt;=100000,INDEX($AN$1005:$BO$1005,1,MATCH(COLUMNS($AN$1006:AW1006),$AN$1006:$BO$1006,0))&gt;=100000), " ",IF(INDEX($AN$2:$BO$1001,MATCH(ROWS($AG$2:AG518),$AG$2:$AG$1001,0),MATCH(COLUMNS($AN$1006:AW1006),$AN$1006:$BO$1006,0)), HYPERLINK("#",""), HYPERLINK(CONCATENATE("#Metadata!", ADDRESS(INDEX($AI$2:$AI$1001,MATCH(ROWS($AG$2:AG518),$AG$2:$AG$1001,0),0), INDEX($AN$1004:$BO$1004,1,MATCH(COLUMNS($AN$1006:AW1006),$AN$1006:$BO$1006,0)))),"Fix")))</f>
        <v>0</v>
      </c>
      <c r="L518" s="4">
        <f>IF(OR(INDEX($AH$2:$AH$1001,MATCH(ROWS($AG$2:AG518),$AG$2:$AG$1001,0),1)&gt;=100000,INDEX($AN$1005:$BO$1005,1,MATCH(COLUMNS($AN$1006:AX1006),$AN$1006:$BO$1006,0))&gt;=100000), " ",IF(INDEX($AN$2:$BO$1001,MATCH(ROWS($AG$2:AG518),$AG$2:$AG$1001,0),MATCH(COLUMNS($AN$1006:AX1006),$AN$1006:$BO$1006,0)), HYPERLINK("#",""), HYPERLINK(CONCATENATE("#Metadata!", ADDRESS(INDEX($AI$2:$AI$1001,MATCH(ROWS($AG$2:AG518),$AG$2:$AG$1001,0),0), INDEX($AN$1004:$BO$1004,1,MATCH(COLUMNS($AN$1006:AX1006),$AN$1006:$BO$1006,0)))),"Fix")))</f>
        <v>0</v>
      </c>
      <c r="M518" s="4">
        <f>IF(OR(INDEX($AH$2:$AH$1001,MATCH(ROWS($AG$2:AG518),$AG$2:$AG$1001,0),1)&gt;=100000,INDEX($AN$1005:$BO$1005,1,MATCH(COLUMNS($AN$1006:AY1006),$AN$1006:$BO$1006,0))&gt;=100000), " ",IF(INDEX($AN$2:$BO$1001,MATCH(ROWS($AG$2:AG518),$AG$2:$AG$1001,0),MATCH(COLUMNS($AN$1006:AY1006),$AN$1006:$BO$1006,0)), HYPERLINK("#",""), HYPERLINK(CONCATENATE("#Metadata!", ADDRESS(INDEX($AI$2:$AI$1001,MATCH(ROWS($AG$2:AG518),$AG$2:$AG$1001,0),0), INDEX($AN$1004:$BO$1004,1,MATCH(COLUMNS($AN$1006:AY1006),$AN$1006:$BO$1006,0)))),"Fix")))</f>
        <v>0</v>
      </c>
      <c r="N518" s="4">
        <f>IF(OR(INDEX($AH$2:$AH$1001,MATCH(ROWS($AG$2:AG518),$AG$2:$AG$1001,0),1)&gt;=100000,INDEX($AN$1005:$BO$1005,1,MATCH(COLUMNS($AN$1006:AZ1006),$AN$1006:$BO$1006,0))&gt;=100000), " ",IF(INDEX($AN$2:$BO$1001,MATCH(ROWS($AG$2:AG518),$AG$2:$AG$1001,0),MATCH(COLUMNS($AN$1006:AZ1006),$AN$1006:$BO$1006,0)), HYPERLINK("#",""), HYPERLINK(CONCATENATE("#Metadata!", ADDRESS(INDEX($AI$2:$AI$1001,MATCH(ROWS($AG$2:AG518),$AG$2:$AG$1001,0),0), INDEX($AN$1004:$BO$1004,1,MATCH(COLUMNS($AN$1006:AZ1006),$AN$1006:$BO$1006,0)))),"Fix")))</f>
        <v>0</v>
      </c>
      <c r="O518" s="4">
        <f>IF(OR(INDEX($AH$2:$AH$1001,MATCH(ROWS($AG$2:AG518),$AG$2:$AG$1001,0),1)&gt;=100000,INDEX($AN$1005:$BO$1005,1,MATCH(COLUMNS($AN$1006:BA1006),$AN$1006:$BO$1006,0))&gt;=100000), " ",IF(INDEX($AN$2:$BO$1001,MATCH(ROWS($AG$2:AG518),$AG$2:$AG$1001,0),MATCH(COLUMNS($AN$1006:BA1006),$AN$1006:$BO$1006,0)), HYPERLINK("#",""), HYPERLINK(CONCATENATE("#Metadata!", ADDRESS(INDEX($AI$2:$AI$1001,MATCH(ROWS($AG$2:AG518),$AG$2:$AG$1001,0),0), INDEX($AN$1004:$BO$1004,1,MATCH(COLUMNS($AN$1006:BA1006),$AN$1006:$BO$1006,0)))),"Fix")))</f>
        <v>0</v>
      </c>
      <c r="P518" s="4">
        <f>IF(OR(INDEX($AH$2:$AH$1001,MATCH(ROWS($AG$2:AG518),$AG$2:$AG$1001,0),1)&gt;=100000,INDEX($AN$1005:$BO$1005,1,MATCH(COLUMNS($AN$1006:BB1006),$AN$1006:$BO$1006,0))&gt;=100000), " ",IF(INDEX($AN$2:$BO$1001,MATCH(ROWS($AG$2:AG518),$AG$2:$AG$1001,0),MATCH(COLUMNS($AN$1006:BB1006),$AN$1006:$BO$1006,0)), HYPERLINK("#",""), HYPERLINK(CONCATENATE("#Metadata!", ADDRESS(INDEX($AI$2:$AI$1001,MATCH(ROWS($AG$2:AG518),$AG$2:$AG$1001,0),0), INDEX($AN$1004:$BO$1004,1,MATCH(COLUMNS($AN$1006:BB1006),$AN$1006:$BO$1006,0)))),"Fix")))</f>
        <v>0</v>
      </c>
      <c r="Q518" s="4">
        <f>IF(OR(INDEX($AH$2:$AH$1001,MATCH(ROWS($AG$2:AG518),$AG$2:$AG$1001,0),1)&gt;=100000,INDEX($AN$1005:$BO$1005,1,MATCH(COLUMNS($AN$1006:BC1006),$AN$1006:$BO$1006,0))&gt;=100000), " ",IF(INDEX($AN$2:$BO$1001,MATCH(ROWS($AG$2:AG518),$AG$2:$AG$1001,0),MATCH(COLUMNS($AN$1006:BC1006),$AN$1006:$BO$1006,0)), HYPERLINK("#",""), HYPERLINK(CONCATENATE("#Metadata!", ADDRESS(INDEX($AI$2:$AI$1001,MATCH(ROWS($AG$2:AG518),$AG$2:$AG$1001,0),0), INDEX($AN$1004:$BO$1004,1,MATCH(COLUMNS($AN$1006:BC1006),$AN$1006:$BO$1006,0)))),"Fix")))</f>
        <v>0</v>
      </c>
      <c r="R518" s="4">
        <f>IF(OR(INDEX($AH$2:$AH$1001,MATCH(ROWS($AG$2:AG518),$AG$2:$AG$1001,0),1)&gt;=100000,INDEX($AN$1005:$BO$1005,1,MATCH(COLUMNS($AN$1006:BD1006),$AN$1006:$BO$1006,0))&gt;=100000), " ",IF(INDEX($AN$2:$BO$1001,MATCH(ROWS($AG$2:AG518),$AG$2:$AG$1001,0),MATCH(COLUMNS($AN$1006:BD1006),$AN$1006:$BO$1006,0)), HYPERLINK("#",""), HYPERLINK(CONCATENATE("#Metadata!", ADDRESS(INDEX($AI$2:$AI$1001,MATCH(ROWS($AG$2:AG518),$AG$2:$AG$1001,0),0), INDEX($AN$1004:$BO$1004,1,MATCH(COLUMNS($AN$1006:BD1006),$AN$1006:$BO$1006,0)))),"Fix")))</f>
        <v>0</v>
      </c>
      <c r="S518" s="4">
        <f>IF(OR(INDEX($AH$2:$AH$1001,MATCH(ROWS($AG$2:AG518),$AG$2:$AG$1001,0),1)&gt;=100000,INDEX($AN$1005:$BO$1005,1,MATCH(COLUMNS($AN$1006:BE1006),$AN$1006:$BO$1006,0))&gt;=100000), " ",IF(INDEX($AN$2:$BO$1001,MATCH(ROWS($AG$2:AG518),$AG$2:$AG$1001,0),MATCH(COLUMNS($AN$1006:BE1006),$AN$1006:$BO$1006,0)), HYPERLINK("#",""), HYPERLINK(CONCATENATE("#Metadata!", ADDRESS(INDEX($AI$2:$AI$1001,MATCH(ROWS($AG$2:AG518),$AG$2:$AG$1001,0),0), INDEX($AN$1004:$BO$1004,1,MATCH(COLUMNS($AN$1006:BE1006),$AN$1006:$BO$1006,0)))),"Fix")))</f>
        <v>0</v>
      </c>
      <c r="T518" s="4">
        <f>IF(OR(INDEX($AH$2:$AH$1001,MATCH(ROWS($AG$2:AG518),$AG$2:$AG$1001,0),1)&gt;=100000,INDEX($AN$1005:$BO$1005,1,MATCH(COLUMNS($AN$1006:BF1006),$AN$1006:$BO$1006,0))&gt;=100000), " ",IF(INDEX($AN$2:$BO$1001,MATCH(ROWS($AG$2:AG518),$AG$2:$AG$1001,0),MATCH(COLUMNS($AN$1006:BF1006),$AN$1006:$BO$1006,0)), HYPERLINK("#",""), HYPERLINK(CONCATENATE("#Metadata!", ADDRESS(INDEX($AI$2:$AI$1001,MATCH(ROWS($AG$2:AG518),$AG$2:$AG$1001,0),0), INDEX($AN$1004:$BO$1004,1,MATCH(COLUMNS($AN$1006:BF1006),$AN$1006:$BO$1006,0)))),"Fix")))</f>
        <v>0</v>
      </c>
      <c r="U518" s="4">
        <f>IF(OR(INDEX($AH$2:$AH$1001,MATCH(ROWS($AG$2:AG518),$AG$2:$AG$1001,0),1)&gt;=100000,INDEX($AN$1005:$BO$1005,1,MATCH(COLUMNS($AN$1006:BG1006),$AN$1006:$BO$1006,0))&gt;=100000), " ",IF(INDEX($AN$2:$BO$1001,MATCH(ROWS($AG$2:AG518),$AG$2:$AG$1001,0),MATCH(COLUMNS($AN$1006:BG1006),$AN$1006:$BO$1006,0)), HYPERLINK("#",""), HYPERLINK(CONCATENATE("#Metadata!", ADDRESS(INDEX($AI$2:$AI$1001,MATCH(ROWS($AG$2:AG518),$AG$2:$AG$1001,0),0), INDEX($AN$1004:$BO$1004,1,MATCH(COLUMNS($AN$1006:BG1006),$AN$1006:$BO$1006,0)))),"Fix")))</f>
        <v>0</v>
      </c>
      <c r="V518" s="4">
        <f>IF(OR(INDEX($AH$2:$AH$1001,MATCH(ROWS($AG$2:AG518),$AG$2:$AG$1001,0),1)&gt;=100000,INDEX($AN$1005:$BO$1005,1,MATCH(COLUMNS($AN$1006:BH1006),$AN$1006:$BO$1006,0))&gt;=100000), " ",IF(INDEX($AN$2:$BO$1001,MATCH(ROWS($AG$2:AG518),$AG$2:$AG$1001,0),MATCH(COLUMNS($AN$1006:BH1006),$AN$1006:$BO$1006,0)), HYPERLINK("#",""), HYPERLINK(CONCATENATE("#Metadata!", ADDRESS(INDEX($AI$2:$AI$1001,MATCH(ROWS($AG$2:AG518),$AG$2:$AG$1001,0),0), INDEX($AN$1004:$BO$1004,1,MATCH(COLUMNS($AN$1006:BH1006),$AN$1006:$BO$1006,0)))),"Fix")))</f>
        <v>0</v>
      </c>
      <c r="W518" s="4">
        <f>IF(OR(INDEX($AH$2:$AH$1001,MATCH(ROWS($AG$2:AG518),$AG$2:$AG$1001,0),1)&gt;=100000,INDEX($AN$1005:$BO$1005,1,MATCH(COLUMNS($AN$1006:BI1006),$AN$1006:$BO$1006,0))&gt;=100000), " ",IF(INDEX($AN$2:$BO$1001,MATCH(ROWS($AG$2:AG518),$AG$2:$AG$1001,0),MATCH(COLUMNS($AN$1006:BI1006),$AN$1006:$BO$1006,0)), HYPERLINK("#",""), HYPERLINK(CONCATENATE("#Metadata!", ADDRESS(INDEX($AI$2:$AI$1001,MATCH(ROWS($AG$2:AG518),$AG$2:$AG$1001,0),0), INDEX($AN$1004:$BO$1004,1,MATCH(COLUMNS($AN$1006:BI1006),$AN$1006:$BO$1006,0)))),"Fix")))</f>
        <v>0</v>
      </c>
      <c r="X518" s="4">
        <f>IF(OR(INDEX($AH$2:$AH$1001,MATCH(ROWS($AG$2:AG518),$AG$2:$AG$1001,0),1)&gt;=100000,INDEX($AN$1005:$BO$1005,1,MATCH(COLUMNS($AN$1006:BJ1006),$AN$1006:$BO$1006,0))&gt;=100000), " ",IF(INDEX($AN$2:$BO$1001,MATCH(ROWS($AG$2:AG518),$AG$2:$AG$1001,0),MATCH(COLUMNS($AN$1006:BJ1006),$AN$1006:$BO$1006,0)), HYPERLINK("#",""), HYPERLINK(CONCATENATE("#Metadata!", ADDRESS(INDEX($AI$2:$AI$1001,MATCH(ROWS($AG$2:AG518),$AG$2:$AG$1001,0),0), INDEX($AN$1004:$BO$1004,1,MATCH(COLUMNS($AN$1006:BJ1006),$AN$1006:$BO$1006,0)))),"Fix")))</f>
        <v>0</v>
      </c>
      <c r="Y518" s="4">
        <f>IF(OR(INDEX($AH$2:$AH$1001,MATCH(ROWS($AG$2:AG518),$AG$2:$AG$1001,0),1)&gt;=100000,INDEX($AN$1005:$BO$1005,1,MATCH(COLUMNS($AN$1006:BK1006),$AN$1006:$BO$1006,0))&gt;=100000), " ",IF(INDEX($AN$2:$BO$1001,MATCH(ROWS($AG$2:AG518),$AG$2:$AG$1001,0),MATCH(COLUMNS($AN$1006:BK1006),$AN$1006:$BO$1006,0)), HYPERLINK("#",""), HYPERLINK(CONCATENATE("#Metadata!", ADDRESS(INDEX($AI$2:$AI$1001,MATCH(ROWS($AG$2:AG518),$AG$2:$AG$1001,0),0), INDEX($AN$1004:$BO$1004,1,MATCH(COLUMNS($AN$1006:BK1006),$AN$1006:$BO$1006,0)))),"Fix")))</f>
        <v>0</v>
      </c>
      <c r="Z518" s="4">
        <f>IF(OR(INDEX($AH$2:$AH$1001,MATCH(ROWS($AG$2:AG518),$AG$2:$AG$1001,0),1)&gt;=100000,INDEX($AN$1005:$BO$1005,1,MATCH(COLUMNS($AN$1006:BL1006),$AN$1006:$BO$1006,0))&gt;=100000), " ",IF(INDEX($AN$2:$BO$1001,MATCH(ROWS($AG$2:AG518),$AG$2:$AG$1001,0),MATCH(COLUMNS($AN$1006:BL1006),$AN$1006:$BO$1006,0)), HYPERLINK("#",""), HYPERLINK(CONCATENATE("#Metadata!", ADDRESS(INDEX($AI$2:$AI$1001,MATCH(ROWS($AG$2:AG518),$AG$2:$AG$1001,0),0), INDEX($AN$1004:$BO$1004,1,MATCH(COLUMNS($AN$1006:BL1006),$AN$1006:$BO$1006,0)))),"Fix")))</f>
        <v>0</v>
      </c>
      <c r="AA518" s="4">
        <f>IF(OR(INDEX($AH$2:$AH$1001,MATCH(ROWS($AG$2:AG518),$AG$2:$AG$1001,0),1)&gt;=100000,INDEX($AN$1005:$BO$1005,1,MATCH(COLUMNS($AN$1006:BM1006),$AN$1006:$BO$1006,0))&gt;=100000), " ",IF(INDEX($AN$2:$BO$1001,MATCH(ROWS($AG$2:AG518),$AG$2:$AG$1001,0),MATCH(COLUMNS($AN$1006:BM1006),$AN$1006:$BO$1006,0)), HYPERLINK("#",""), HYPERLINK(CONCATENATE("#Metadata!", ADDRESS(INDEX($AI$2:$AI$1001,MATCH(ROWS($AG$2:AG518),$AG$2:$AG$1001,0),0), INDEX($AN$1004:$BO$1004,1,MATCH(COLUMNS($AN$1006:BM1006),$AN$1006:$BO$1006,0)))),"Fix")))</f>
        <v>0</v>
      </c>
      <c r="AB518" s="4">
        <f>IF(OR(INDEX($AH$2:$AH$1001,MATCH(ROWS($AG$2:AG518),$AG$2:$AG$1001,0),1)&gt;=100000,INDEX($AN$1005:$BO$1005,1,MATCH(COLUMNS($AN$1006:BN1006),$AN$1006:$BO$1006,0))&gt;=100000), " ",IF(INDEX($AN$2:$BO$1001,MATCH(ROWS($AG$2:AG518),$AG$2:$AG$1001,0),MATCH(COLUMNS($AN$1006:BN1006),$AN$1006:$BO$1006,0)), HYPERLINK("#",""), HYPERLINK(CONCATENATE("#Metadata!", ADDRESS(INDEX($AI$2:$AI$1001,MATCH(ROWS($AG$2:AG518),$AG$2:$AG$1001,0),0), INDEX($AN$1004:$BO$1004,1,MATCH(COLUMNS($AN$1006:BN1006),$AN$1006:$BO$1006,0)))),"Fix")))</f>
        <v>0</v>
      </c>
      <c r="AC518" s="4">
        <f>IF(OR(INDEX($AH$2:$AH$1001,MATCH(ROWS($AG$2:AG518),$AG$2:$AG$1001,0),1)&gt;=100000,INDEX($AN$1005:$BO$1005,1,MATCH(COLUMNS($AN$1006:BO1006),$AN$1006:$BO$1006,0))&gt;=100000), " ",IF(INDEX($AN$2:$BO$1001,MATCH(ROWS($AG$2:AG518),$AG$2:$AG$1001,0),MATCH(COLUMNS($AN$1006:BO1006),$AN$1006:$BO$1006,0)), HYPERLINK("#",""), HYPERLINK(CONCATENATE("#Metadata!", ADDRESS(INDEX($AI$2:$AI$1001,MATCH(ROWS($AG$2:AG518),$AG$2:$AG$1001,0),0), INDEX($AN$1004:$BO$1004,1,MATCH(COLUMNS($AN$1006:BO1006),$AN$1006:$BO$1006,0)))),"Fix")))</f>
        <v>0</v>
      </c>
      <c r="AG518">
        <v>0</v>
      </c>
      <c r="AH518">
        <v>0</v>
      </c>
      <c r="AI518">
        <v>0</v>
      </c>
      <c r="AJ518">
        <f>IF(AK518,TRUE,AND(AN518:BO518))</f>
        <v>0</v>
      </c>
      <c r="AK518">
        <f>COUNTBLANK(Metadata!B518:AC518)=COLUMNS(Metadata!B518:AC518)</f>
        <v>0</v>
      </c>
      <c r="AL518">
        <v>0</v>
      </c>
      <c r="AN518">
        <f>AND(IF(Metadata!B518="",FALSE,TRUE),COUNTIF(Metadata!B:B, Metadata!B518) = 1,NOT(ISERROR(SUMPRODUCT(SEARCH(MID(Metadata!B518,ROW(INDIRECT("1:"&amp;LEN(Metadata!B518))), 1),"0123456789abcdefghijklmnopqrstuvwxyzABCDEFGHIJKLMNOPQRSTUVWXYZ.")))))</f>
        <v>0</v>
      </c>
      <c r="AO518">
        <f>IF(Metadata!C518="",FALSE,TRUE)</f>
        <v>0</v>
      </c>
      <c r="AP518">
        <f>IF(Metadata!D518="",FALSE,TRUE)</f>
        <v>0</v>
      </c>
      <c r="AQ518">
        <f>OR(AND(IF(Metadata!E518="",FALSE,TRUE),OR(exact(Metadata!E518,"not collected"),exact(Metadata!E518,"not provided"),exact(Metadata!E518,"restricted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R518">
        <f>IF(Metadata!F518="",FALSE,TRUE)</f>
        <v>0</v>
      </c>
      <c r="AS518">
        <f>OR(AND(IF(Metadata!G518="",FALSE,TRUE),OR(exact(Metadata!G518,"not collected"),exact(Metadata!G518,"not provided"))),AND(IF(Metadata!G518="",FALSE,TRUE),OR(exact(Metadata!G518,"TRUE"),exact(Metadata!G518,"FALSE"))))</f>
        <v>0</v>
      </c>
      <c r="AT518">
        <f>OR(AND(IF(Metadata!H518="",FALSE,TRUE),OR(exact(Metadata!H518,"not collected"),exact(Metadata!H518,"not provided"),exact(Metadata!H518,"restricted access"))),AND(IF(Metadata!H518="",FALSE,ISNUMBER(VALUE(Metadata!H518))),Metadata!H518&gt;=-413.0))</f>
        <v>0</v>
      </c>
      <c r="AU518">
        <f>AND(IF(Metadata!I518="",FALSE,TRUE),exact(Metadata!I518,"meters"))</f>
        <v>0</v>
      </c>
      <c r="AV518">
        <f>AND(IF(Metadata!J518="",FALSE,TRUE),OR(exact(Metadata!J518,"Host-associated"),exact(Metadata!J518,"Free-living")))</f>
        <v>0</v>
      </c>
      <c r="AW518">
        <f>AND(IF(Metadata!K518="",FALSE,TRUE),OR(exact(Metadata!K518,"Animal"),exact(Metadata!K518,"Fungus"),exact(Metadata!K518,"Plant"),exact(Metadata!K518,"Saline"),exact(Metadata!K518,"Non-saline")))</f>
        <v>0</v>
      </c>
      <c r="AX518">
        <f>AND(IF(Metadata!L518="",FALSE,TRUE),OR(exact(Metadata!L518,"Plant secretion"),exact(Metadata!L518,"Plant rhizosphere"),exact(Metadata!L518,"Plant surface"),exact(Metadata!L518,"Plant corpus"),exact(Metadata!L518,"Fungus surface"),exact(Metadata!L518,"Fungus corpus"),exact(Metadata!L518,"Animal surface"),exact(Metadata!L518,"Animal proximal gut"),exact(Metadata!L518,"Animal corpus"),exact(Metadata!L518,"Animal distal gut"),exact(Metadata!L518,"Animal secretion"),exact(Metadata!L518,"Sub-surface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Y518">
        <f>IF(Metadata!M518="",FALSE,TRUE)</f>
        <v>0</v>
      </c>
      <c r="AZ518">
        <f>IF(Metadata!N518="",FALSE,TRUE)</f>
        <v>0</v>
      </c>
      <c r="BA518">
        <f>IF(Metadata!O518="",FALSE,TRUE)</f>
        <v>0</v>
      </c>
      <c r="BB518">
        <f>OR(AND(IF(Metadata!P518="",FALSE,TRUE),OR(exact(Metadata!P518,"not collected"),exact(Metadata!P518,"not provided"),exact(Metadata!P518,"restricted access"))),AND(IF(Metadata!P518="",FALSE,TRUE),OR(exact(Metadata!P518,"air"),exact(Metadata!P518,"built environment"),exact(Metadata!P518,"host-associated"),exact(Metadata!P518,"human-associated"),exact(Metadata!P518,"human-skin"),exact(Metadata!P518,"human-oral"),exact(Metadata!P518,"human-gut"),exact(Metadata!P518,"human-vaginal"),exact(Metadata!P518,"microbial mat/biofilm"),exact(Metadata!P518,"misc environment"),exact(Metadata!P518,"plant-associated"),exact(Metadata!P518,"sediment"),exact(Metadata!P518,"soil"),exact(Metadata!P518,"wastewater/sludge"),exact(Metadata!P518,"water"))))</f>
        <v>0</v>
      </c>
      <c r="BC518">
        <f>IF(Metadata!Q518="",FALSE,TRUE)</f>
        <v>0</v>
      </c>
      <c r="BD518">
        <f>IF(Metadata!R518="",FALSE,TRUE)</f>
        <v>0</v>
      </c>
      <c r="BE518">
        <f>OR(AND(IF(Metadata!S518="",FALSE,TRUE),OR(exact(Metadata!S518,"not collected"),exact(Metadata!S518,"not provided"),exact(Metadata!S518,"restricted access"))),AND(IF(Metadata!S518="",FALSE,ISNUMBER(VALUE(Metadata!S518))),Metadata!S518&gt;=-90.00,Metadata!S518&lt;=90.00))</f>
        <v>0</v>
      </c>
      <c r="BF518">
        <f>AND(IF(Metadata!T518="",FALSE,TRUE),exact(Metadata!T518,"Decimal degrees"))</f>
        <v>0</v>
      </c>
      <c r="BG518">
        <f>OR(AND(IF(Metadata!U518="",FALSE,TRUE),OR(exact(Metadata!U518,"not collected"),exact(Metadata!U518,"not provided"),exact(Metadata!U518,"restricted access"))),AND(IF(Metadata!U518="",FALSE,ISNUMBER(VALUE(Metadata!U518))),Metadata!U518&gt;=-180.00,Metadata!U518&lt;=180.00))</f>
        <v>0</v>
      </c>
      <c r="BH518">
        <f>AND(IF(Metadata!V518="",FALSE,TRUE),exact(Metadata!V518,"Decimal degrees"))</f>
        <v>0</v>
      </c>
      <c r="BI518">
        <f>IF(Metadata!W518="",FALSE,TRUE)</f>
        <v>0</v>
      </c>
      <c r="BJ518">
        <f>OR(AND(IF(Metadata!X518="",FALSE,TRUE),OR(exact(Metadata!X518,"not collected"),exact(Metadata!X518,"not provided"),exact(Metadata!X518,"restricted access"))),AND(IF(Metadata!X518="",FALSE,TRUE),OR(exact(Metadata!X518,"TRUE"),exact(Metadata!X518,"FALSE"))))</f>
        <v>0</v>
      </c>
      <c r="BK518">
        <f>AND(IF(Metadata!Y518="",FALSE,TRUE),exact(Metadata!Y518,"other"))</f>
        <v>0</v>
      </c>
      <c r="BL518">
        <f>IF(Metadata!Z518="",FALSE,TRUE)</f>
        <v>0</v>
      </c>
      <c r="BM518">
        <f>OR(AND(IF(Metadata!AA518="",FALSE,TRUE),OR(exact(Metadata!AA518,"not collected"),exact(Metadata!AA518,"not provided"))),AND(IF(Metadata!AA518="",FALSE,IF(ISERROR(INT(Metadata!AA518)),FALSE,INT(Metadata!AA518)=Metadata!AA518)),Metadata!AA518&gt;0))</f>
        <v>0</v>
      </c>
      <c r="BN518">
        <f>AND(IF(Metadata!AB518="",FALSE,TRUE),exact(Metadata!AB518,"Not applicable"))</f>
        <v>0</v>
      </c>
      <c r="BO518">
        <f>IF(Metadata!AC518="",FALSE,TRUE)</f>
        <v>0</v>
      </c>
    </row>
    <row r="519" spans="1:67">
      <c r="A519" s="5">
        <f>IF(B519=" "," ",HYPERLINK(CONCATENATE("#metadata!",ADDRESS(INDEX($AI$2:$AI$1001,MATCH(ROWS($AG$2:AG519),$AG$2:$AG$1001,0),0),1)),INDEX($AL$2:$AL$1001,MATCH(ROWS($AG$2:AG519),$AG$2:$AG$1001,0),0)))</f>
        <v>0</v>
      </c>
      <c r="B519" s="4">
        <f>IF(OR(INDEX($AH$2:$AH$1001,MATCH(ROWS($AG$2:AG519),$AG$2:$AG$1001,0),1)&gt;=100000,INDEX($AN$1005:$BO$1005,1,MATCH(COLUMNS($AN$1006:AN1006),$AN$1006:$BO$1006,0))&gt;=100000), " ",IF(INDEX($AN$2:$BO$1001,MATCH(ROWS($AG$2:AG519),$AG$2:$AG$1001,0),MATCH(COLUMNS($AN$1006:AN1006),$AN$1006:$BO$1006,0)), HYPERLINK("#",""), HYPERLINK(CONCATENATE("#Metadata!", ADDRESS(INDEX($AI$2:$AI$1001,MATCH(ROWS($AG$2:AG519),$AG$2:$AG$1001,0),0), INDEX($AN$1004:$BO$1004,1,MATCH(COLUMNS($AN$1006:AN1006),$AN$1006:$BO$1006,0)))),"Fix")))</f>
        <v>0</v>
      </c>
      <c r="C519" s="4">
        <f>IF(OR(INDEX($AH$2:$AH$1001,MATCH(ROWS($AG$2:AG519),$AG$2:$AG$1001,0),1)&gt;=100000,INDEX($AN$1005:$BO$1005,1,MATCH(COLUMNS($AN$1006:AO1006),$AN$1006:$BO$1006,0))&gt;=100000), " ",IF(INDEX($AN$2:$BO$1001,MATCH(ROWS($AG$2:AG519),$AG$2:$AG$1001,0),MATCH(COLUMNS($AN$1006:AO1006),$AN$1006:$BO$1006,0)), HYPERLINK("#",""), HYPERLINK(CONCATENATE("#Metadata!", ADDRESS(INDEX($AI$2:$AI$1001,MATCH(ROWS($AG$2:AG519),$AG$2:$AG$1001,0),0), INDEX($AN$1004:$BO$1004,1,MATCH(COLUMNS($AN$1006:AO1006),$AN$1006:$BO$1006,0)))),"Fix")))</f>
        <v>0</v>
      </c>
      <c r="D519" s="4">
        <f>IF(OR(INDEX($AH$2:$AH$1001,MATCH(ROWS($AG$2:AG519),$AG$2:$AG$1001,0),1)&gt;=100000,INDEX($AN$1005:$BO$1005,1,MATCH(COLUMNS($AN$1006:AP1006),$AN$1006:$BO$1006,0))&gt;=100000), " ",IF(INDEX($AN$2:$BO$1001,MATCH(ROWS($AG$2:AG519),$AG$2:$AG$1001,0),MATCH(COLUMNS($AN$1006:AP1006),$AN$1006:$BO$1006,0)), HYPERLINK("#",""), HYPERLINK(CONCATENATE("#Metadata!", ADDRESS(INDEX($AI$2:$AI$1001,MATCH(ROWS($AG$2:AG519),$AG$2:$AG$1001,0),0), INDEX($AN$1004:$BO$1004,1,MATCH(COLUMNS($AN$1006:AP1006),$AN$1006:$BO$1006,0)))),"Fix")))</f>
        <v>0</v>
      </c>
      <c r="E519" s="4">
        <f>IF(OR(INDEX($AH$2:$AH$1001,MATCH(ROWS($AG$2:AG519),$AG$2:$AG$1001,0),1)&gt;=100000,INDEX($AN$1005:$BO$1005,1,MATCH(COLUMNS($AN$1006:AQ1006),$AN$1006:$BO$1006,0))&gt;=100000), " ",IF(INDEX($AN$2:$BO$1001,MATCH(ROWS($AG$2:AG519),$AG$2:$AG$1001,0),MATCH(COLUMNS($AN$1006:AQ1006),$AN$1006:$BO$1006,0)), HYPERLINK("#",""), HYPERLINK(CONCATENATE("#Metadata!", ADDRESS(INDEX($AI$2:$AI$1001,MATCH(ROWS($AG$2:AG519),$AG$2:$AG$1001,0),0), INDEX($AN$1004:$BO$1004,1,MATCH(COLUMNS($AN$1006:AQ1006),$AN$1006:$BO$1006,0)))),"Fix")))</f>
        <v>0</v>
      </c>
      <c r="F519" s="4">
        <f>IF(OR(INDEX($AH$2:$AH$1001,MATCH(ROWS($AG$2:AG519),$AG$2:$AG$1001,0),1)&gt;=100000,INDEX($AN$1005:$BO$1005,1,MATCH(COLUMNS($AN$1006:AR1006),$AN$1006:$BO$1006,0))&gt;=100000), " ",IF(INDEX($AN$2:$BO$1001,MATCH(ROWS($AG$2:AG519),$AG$2:$AG$1001,0),MATCH(COLUMNS($AN$1006:AR1006),$AN$1006:$BO$1006,0)), HYPERLINK("#",""), HYPERLINK(CONCATENATE("#Metadata!", ADDRESS(INDEX($AI$2:$AI$1001,MATCH(ROWS($AG$2:AG519),$AG$2:$AG$1001,0),0), INDEX($AN$1004:$BO$1004,1,MATCH(COLUMNS($AN$1006:AR1006),$AN$1006:$BO$1006,0)))),"Fix")))</f>
        <v>0</v>
      </c>
      <c r="G519" s="4">
        <f>IF(OR(INDEX($AH$2:$AH$1001,MATCH(ROWS($AG$2:AG519),$AG$2:$AG$1001,0),1)&gt;=100000,INDEX($AN$1005:$BO$1005,1,MATCH(COLUMNS($AN$1006:AS1006),$AN$1006:$BO$1006,0))&gt;=100000), " ",IF(INDEX($AN$2:$BO$1001,MATCH(ROWS($AG$2:AG519),$AG$2:$AG$1001,0),MATCH(COLUMNS($AN$1006:AS1006),$AN$1006:$BO$1006,0)), HYPERLINK("#",""), HYPERLINK(CONCATENATE("#Metadata!", ADDRESS(INDEX($AI$2:$AI$1001,MATCH(ROWS($AG$2:AG519),$AG$2:$AG$1001,0),0), INDEX($AN$1004:$BO$1004,1,MATCH(COLUMNS($AN$1006:AS1006),$AN$1006:$BO$1006,0)))),"Fix")))</f>
        <v>0</v>
      </c>
      <c r="H519" s="4">
        <f>IF(OR(INDEX($AH$2:$AH$1001,MATCH(ROWS($AG$2:AG519),$AG$2:$AG$1001,0),1)&gt;=100000,INDEX($AN$1005:$BO$1005,1,MATCH(COLUMNS($AN$1006:AT1006),$AN$1006:$BO$1006,0))&gt;=100000), " ",IF(INDEX($AN$2:$BO$1001,MATCH(ROWS($AG$2:AG519),$AG$2:$AG$1001,0),MATCH(COLUMNS($AN$1006:AT1006),$AN$1006:$BO$1006,0)), HYPERLINK("#",""), HYPERLINK(CONCATENATE("#Metadata!", ADDRESS(INDEX($AI$2:$AI$1001,MATCH(ROWS($AG$2:AG519),$AG$2:$AG$1001,0),0), INDEX($AN$1004:$BO$1004,1,MATCH(COLUMNS($AN$1006:AT1006),$AN$1006:$BO$1006,0)))),"Fix")))</f>
        <v>0</v>
      </c>
      <c r="I519" s="4">
        <f>IF(OR(INDEX($AH$2:$AH$1001,MATCH(ROWS($AG$2:AG519),$AG$2:$AG$1001,0),1)&gt;=100000,INDEX($AN$1005:$BO$1005,1,MATCH(COLUMNS($AN$1006:AU1006),$AN$1006:$BO$1006,0))&gt;=100000), " ",IF(INDEX($AN$2:$BO$1001,MATCH(ROWS($AG$2:AG519),$AG$2:$AG$1001,0),MATCH(COLUMNS($AN$1006:AU1006),$AN$1006:$BO$1006,0)), HYPERLINK("#",""), HYPERLINK(CONCATENATE("#Metadata!", ADDRESS(INDEX($AI$2:$AI$1001,MATCH(ROWS($AG$2:AG519),$AG$2:$AG$1001,0),0), INDEX($AN$1004:$BO$1004,1,MATCH(COLUMNS($AN$1006:AU1006),$AN$1006:$BO$1006,0)))),"Fix")))</f>
        <v>0</v>
      </c>
      <c r="J519" s="4">
        <f>IF(OR(INDEX($AH$2:$AH$1001,MATCH(ROWS($AG$2:AG519),$AG$2:$AG$1001,0),1)&gt;=100000,INDEX($AN$1005:$BO$1005,1,MATCH(COLUMNS($AN$1006:AV1006),$AN$1006:$BO$1006,0))&gt;=100000), " ",IF(INDEX($AN$2:$BO$1001,MATCH(ROWS($AG$2:AG519),$AG$2:$AG$1001,0),MATCH(COLUMNS($AN$1006:AV1006),$AN$1006:$BO$1006,0)), HYPERLINK("#",""), HYPERLINK(CONCATENATE("#Metadata!", ADDRESS(INDEX($AI$2:$AI$1001,MATCH(ROWS($AG$2:AG519),$AG$2:$AG$1001,0),0), INDEX($AN$1004:$BO$1004,1,MATCH(COLUMNS($AN$1006:AV1006),$AN$1006:$BO$1006,0)))),"Fix")))</f>
        <v>0</v>
      </c>
      <c r="K519" s="4">
        <f>IF(OR(INDEX($AH$2:$AH$1001,MATCH(ROWS($AG$2:AG519),$AG$2:$AG$1001,0),1)&gt;=100000,INDEX($AN$1005:$BO$1005,1,MATCH(COLUMNS($AN$1006:AW1006),$AN$1006:$BO$1006,0))&gt;=100000), " ",IF(INDEX($AN$2:$BO$1001,MATCH(ROWS($AG$2:AG519),$AG$2:$AG$1001,0),MATCH(COLUMNS($AN$1006:AW1006),$AN$1006:$BO$1006,0)), HYPERLINK("#",""), HYPERLINK(CONCATENATE("#Metadata!", ADDRESS(INDEX($AI$2:$AI$1001,MATCH(ROWS($AG$2:AG519),$AG$2:$AG$1001,0),0), INDEX($AN$1004:$BO$1004,1,MATCH(COLUMNS($AN$1006:AW1006),$AN$1006:$BO$1006,0)))),"Fix")))</f>
        <v>0</v>
      </c>
      <c r="L519" s="4">
        <f>IF(OR(INDEX($AH$2:$AH$1001,MATCH(ROWS($AG$2:AG519),$AG$2:$AG$1001,0),1)&gt;=100000,INDEX($AN$1005:$BO$1005,1,MATCH(COLUMNS($AN$1006:AX1006),$AN$1006:$BO$1006,0))&gt;=100000), " ",IF(INDEX($AN$2:$BO$1001,MATCH(ROWS($AG$2:AG519),$AG$2:$AG$1001,0),MATCH(COLUMNS($AN$1006:AX1006),$AN$1006:$BO$1006,0)), HYPERLINK("#",""), HYPERLINK(CONCATENATE("#Metadata!", ADDRESS(INDEX($AI$2:$AI$1001,MATCH(ROWS($AG$2:AG519),$AG$2:$AG$1001,0),0), INDEX($AN$1004:$BO$1004,1,MATCH(COLUMNS($AN$1006:AX1006),$AN$1006:$BO$1006,0)))),"Fix")))</f>
        <v>0</v>
      </c>
      <c r="M519" s="4">
        <f>IF(OR(INDEX($AH$2:$AH$1001,MATCH(ROWS($AG$2:AG519),$AG$2:$AG$1001,0),1)&gt;=100000,INDEX($AN$1005:$BO$1005,1,MATCH(COLUMNS($AN$1006:AY1006),$AN$1006:$BO$1006,0))&gt;=100000), " ",IF(INDEX($AN$2:$BO$1001,MATCH(ROWS($AG$2:AG519),$AG$2:$AG$1001,0),MATCH(COLUMNS($AN$1006:AY1006),$AN$1006:$BO$1006,0)), HYPERLINK("#",""), HYPERLINK(CONCATENATE("#Metadata!", ADDRESS(INDEX($AI$2:$AI$1001,MATCH(ROWS($AG$2:AG519),$AG$2:$AG$1001,0),0), INDEX($AN$1004:$BO$1004,1,MATCH(COLUMNS($AN$1006:AY1006),$AN$1006:$BO$1006,0)))),"Fix")))</f>
        <v>0</v>
      </c>
      <c r="N519" s="4">
        <f>IF(OR(INDEX($AH$2:$AH$1001,MATCH(ROWS($AG$2:AG519),$AG$2:$AG$1001,0),1)&gt;=100000,INDEX($AN$1005:$BO$1005,1,MATCH(COLUMNS($AN$1006:AZ1006),$AN$1006:$BO$1006,0))&gt;=100000), " ",IF(INDEX($AN$2:$BO$1001,MATCH(ROWS($AG$2:AG519),$AG$2:$AG$1001,0),MATCH(COLUMNS($AN$1006:AZ1006),$AN$1006:$BO$1006,0)), HYPERLINK("#",""), HYPERLINK(CONCATENATE("#Metadata!", ADDRESS(INDEX($AI$2:$AI$1001,MATCH(ROWS($AG$2:AG519),$AG$2:$AG$1001,0),0), INDEX($AN$1004:$BO$1004,1,MATCH(COLUMNS($AN$1006:AZ1006),$AN$1006:$BO$1006,0)))),"Fix")))</f>
        <v>0</v>
      </c>
      <c r="O519" s="4">
        <f>IF(OR(INDEX($AH$2:$AH$1001,MATCH(ROWS($AG$2:AG519),$AG$2:$AG$1001,0),1)&gt;=100000,INDEX($AN$1005:$BO$1005,1,MATCH(COLUMNS($AN$1006:BA1006),$AN$1006:$BO$1006,0))&gt;=100000), " ",IF(INDEX($AN$2:$BO$1001,MATCH(ROWS($AG$2:AG519),$AG$2:$AG$1001,0),MATCH(COLUMNS($AN$1006:BA1006),$AN$1006:$BO$1006,0)), HYPERLINK("#",""), HYPERLINK(CONCATENATE("#Metadata!", ADDRESS(INDEX($AI$2:$AI$1001,MATCH(ROWS($AG$2:AG519),$AG$2:$AG$1001,0),0), INDEX($AN$1004:$BO$1004,1,MATCH(COLUMNS($AN$1006:BA1006),$AN$1006:$BO$1006,0)))),"Fix")))</f>
        <v>0</v>
      </c>
      <c r="P519" s="4">
        <f>IF(OR(INDEX($AH$2:$AH$1001,MATCH(ROWS($AG$2:AG519),$AG$2:$AG$1001,0),1)&gt;=100000,INDEX($AN$1005:$BO$1005,1,MATCH(COLUMNS($AN$1006:BB1006),$AN$1006:$BO$1006,0))&gt;=100000), " ",IF(INDEX($AN$2:$BO$1001,MATCH(ROWS($AG$2:AG519),$AG$2:$AG$1001,0),MATCH(COLUMNS($AN$1006:BB1006),$AN$1006:$BO$1006,0)), HYPERLINK("#",""), HYPERLINK(CONCATENATE("#Metadata!", ADDRESS(INDEX($AI$2:$AI$1001,MATCH(ROWS($AG$2:AG519),$AG$2:$AG$1001,0),0), INDEX($AN$1004:$BO$1004,1,MATCH(COLUMNS($AN$1006:BB1006),$AN$1006:$BO$1006,0)))),"Fix")))</f>
        <v>0</v>
      </c>
      <c r="Q519" s="4">
        <f>IF(OR(INDEX($AH$2:$AH$1001,MATCH(ROWS($AG$2:AG519),$AG$2:$AG$1001,0),1)&gt;=100000,INDEX($AN$1005:$BO$1005,1,MATCH(COLUMNS($AN$1006:BC1006),$AN$1006:$BO$1006,0))&gt;=100000), " ",IF(INDEX($AN$2:$BO$1001,MATCH(ROWS($AG$2:AG519),$AG$2:$AG$1001,0),MATCH(COLUMNS($AN$1006:BC1006),$AN$1006:$BO$1006,0)), HYPERLINK("#",""), HYPERLINK(CONCATENATE("#Metadata!", ADDRESS(INDEX($AI$2:$AI$1001,MATCH(ROWS($AG$2:AG519),$AG$2:$AG$1001,0),0), INDEX($AN$1004:$BO$1004,1,MATCH(COLUMNS($AN$1006:BC1006),$AN$1006:$BO$1006,0)))),"Fix")))</f>
        <v>0</v>
      </c>
      <c r="R519" s="4">
        <f>IF(OR(INDEX($AH$2:$AH$1001,MATCH(ROWS($AG$2:AG519),$AG$2:$AG$1001,0),1)&gt;=100000,INDEX($AN$1005:$BO$1005,1,MATCH(COLUMNS($AN$1006:BD1006),$AN$1006:$BO$1006,0))&gt;=100000), " ",IF(INDEX($AN$2:$BO$1001,MATCH(ROWS($AG$2:AG519),$AG$2:$AG$1001,0),MATCH(COLUMNS($AN$1006:BD1006),$AN$1006:$BO$1006,0)), HYPERLINK("#",""), HYPERLINK(CONCATENATE("#Metadata!", ADDRESS(INDEX($AI$2:$AI$1001,MATCH(ROWS($AG$2:AG519),$AG$2:$AG$1001,0),0), INDEX($AN$1004:$BO$1004,1,MATCH(COLUMNS($AN$1006:BD1006),$AN$1006:$BO$1006,0)))),"Fix")))</f>
        <v>0</v>
      </c>
      <c r="S519" s="4">
        <f>IF(OR(INDEX($AH$2:$AH$1001,MATCH(ROWS($AG$2:AG519),$AG$2:$AG$1001,0),1)&gt;=100000,INDEX($AN$1005:$BO$1005,1,MATCH(COLUMNS($AN$1006:BE1006),$AN$1006:$BO$1006,0))&gt;=100000), " ",IF(INDEX($AN$2:$BO$1001,MATCH(ROWS($AG$2:AG519),$AG$2:$AG$1001,0),MATCH(COLUMNS($AN$1006:BE1006),$AN$1006:$BO$1006,0)), HYPERLINK("#",""), HYPERLINK(CONCATENATE("#Metadata!", ADDRESS(INDEX($AI$2:$AI$1001,MATCH(ROWS($AG$2:AG519),$AG$2:$AG$1001,0),0), INDEX($AN$1004:$BO$1004,1,MATCH(COLUMNS($AN$1006:BE1006),$AN$1006:$BO$1006,0)))),"Fix")))</f>
        <v>0</v>
      </c>
      <c r="T519" s="4">
        <f>IF(OR(INDEX($AH$2:$AH$1001,MATCH(ROWS($AG$2:AG519),$AG$2:$AG$1001,0),1)&gt;=100000,INDEX($AN$1005:$BO$1005,1,MATCH(COLUMNS($AN$1006:BF1006),$AN$1006:$BO$1006,0))&gt;=100000), " ",IF(INDEX($AN$2:$BO$1001,MATCH(ROWS($AG$2:AG519),$AG$2:$AG$1001,0),MATCH(COLUMNS($AN$1006:BF1006),$AN$1006:$BO$1006,0)), HYPERLINK("#",""), HYPERLINK(CONCATENATE("#Metadata!", ADDRESS(INDEX($AI$2:$AI$1001,MATCH(ROWS($AG$2:AG519),$AG$2:$AG$1001,0),0), INDEX($AN$1004:$BO$1004,1,MATCH(COLUMNS($AN$1006:BF1006),$AN$1006:$BO$1006,0)))),"Fix")))</f>
        <v>0</v>
      </c>
      <c r="U519" s="4">
        <f>IF(OR(INDEX($AH$2:$AH$1001,MATCH(ROWS($AG$2:AG519),$AG$2:$AG$1001,0),1)&gt;=100000,INDEX($AN$1005:$BO$1005,1,MATCH(COLUMNS($AN$1006:BG1006),$AN$1006:$BO$1006,0))&gt;=100000), " ",IF(INDEX($AN$2:$BO$1001,MATCH(ROWS($AG$2:AG519),$AG$2:$AG$1001,0),MATCH(COLUMNS($AN$1006:BG1006),$AN$1006:$BO$1006,0)), HYPERLINK("#",""), HYPERLINK(CONCATENATE("#Metadata!", ADDRESS(INDEX($AI$2:$AI$1001,MATCH(ROWS($AG$2:AG519),$AG$2:$AG$1001,0),0), INDEX($AN$1004:$BO$1004,1,MATCH(COLUMNS($AN$1006:BG1006),$AN$1006:$BO$1006,0)))),"Fix")))</f>
        <v>0</v>
      </c>
      <c r="V519" s="4">
        <f>IF(OR(INDEX($AH$2:$AH$1001,MATCH(ROWS($AG$2:AG519),$AG$2:$AG$1001,0),1)&gt;=100000,INDEX($AN$1005:$BO$1005,1,MATCH(COLUMNS($AN$1006:BH1006),$AN$1006:$BO$1006,0))&gt;=100000), " ",IF(INDEX($AN$2:$BO$1001,MATCH(ROWS($AG$2:AG519),$AG$2:$AG$1001,0),MATCH(COLUMNS($AN$1006:BH1006),$AN$1006:$BO$1006,0)), HYPERLINK("#",""), HYPERLINK(CONCATENATE("#Metadata!", ADDRESS(INDEX($AI$2:$AI$1001,MATCH(ROWS($AG$2:AG519),$AG$2:$AG$1001,0),0), INDEX($AN$1004:$BO$1004,1,MATCH(COLUMNS($AN$1006:BH1006),$AN$1006:$BO$1006,0)))),"Fix")))</f>
        <v>0</v>
      </c>
      <c r="W519" s="4">
        <f>IF(OR(INDEX($AH$2:$AH$1001,MATCH(ROWS($AG$2:AG519),$AG$2:$AG$1001,0),1)&gt;=100000,INDEX($AN$1005:$BO$1005,1,MATCH(COLUMNS($AN$1006:BI1006),$AN$1006:$BO$1006,0))&gt;=100000), " ",IF(INDEX($AN$2:$BO$1001,MATCH(ROWS($AG$2:AG519),$AG$2:$AG$1001,0),MATCH(COLUMNS($AN$1006:BI1006),$AN$1006:$BO$1006,0)), HYPERLINK("#",""), HYPERLINK(CONCATENATE("#Metadata!", ADDRESS(INDEX($AI$2:$AI$1001,MATCH(ROWS($AG$2:AG519),$AG$2:$AG$1001,0),0), INDEX($AN$1004:$BO$1004,1,MATCH(COLUMNS($AN$1006:BI1006),$AN$1006:$BO$1006,0)))),"Fix")))</f>
        <v>0</v>
      </c>
      <c r="X519" s="4">
        <f>IF(OR(INDEX($AH$2:$AH$1001,MATCH(ROWS($AG$2:AG519),$AG$2:$AG$1001,0),1)&gt;=100000,INDEX($AN$1005:$BO$1005,1,MATCH(COLUMNS($AN$1006:BJ1006),$AN$1006:$BO$1006,0))&gt;=100000), " ",IF(INDEX($AN$2:$BO$1001,MATCH(ROWS($AG$2:AG519),$AG$2:$AG$1001,0),MATCH(COLUMNS($AN$1006:BJ1006),$AN$1006:$BO$1006,0)), HYPERLINK("#",""), HYPERLINK(CONCATENATE("#Metadata!", ADDRESS(INDEX($AI$2:$AI$1001,MATCH(ROWS($AG$2:AG519),$AG$2:$AG$1001,0),0), INDEX($AN$1004:$BO$1004,1,MATCH(COLUMNS($AN$1006:BJ1006),$AN$1006:$BO$1006,0)))),"Fix")))</f>
        <v>0</v>
      </c>
      <c r="Y519" s="4">
        <f>IF(OR(INDEX($AH$2:$AH$1001,MATCH(ROWS($AG$2:AG519),$AG$2:$AG$1001,0),1)&gt;=100000,INDEX($AN$1005:$BO$1005,1,MATCH(COLUMNS($AN$1006:BK1006),$AN$1006:$BO$1006,0))&gt;=100000), " ",IF(INDEX($AN$2:$BO$1001,MATCH(ROWS($AG$2:AG519),$AG$2:$AG$1001,0),MATCH(COLUMNS($AN$1006:BK1006),$AN$1006:$BO$1006,0)), HYPERLINK("#",""), HYPERLINK(CONCATENATE("#Metadata!", ADDRESS(INDEX($AI$2:$AI$1001,MATCH(ROWS($AG$2:AG519),$AG$2:$AG$1001,0),0), INDEX($AN$1004:$BO$1004,1,MATCH(COLUMNS($AN$1006:BK1006),$AN$1006:$BO$1006,0)))),"Fix")))</f>
        <v>0</v>
      </c>
      <c r="Z519" s="4">
        <f>IF(OR(INDEX($AH$2:$AH$1001,MATCH(ROWS($AG$2:AG519),$AG$2:$AG$1001,0),1)&gt;=100000,INDEX($AN$1005:$BO$1005,1,MATCH(COLUMNS($AN$1006:BL1006),$AN$1006:$BO$1006,0))&gt;=100000), " ",IF(INDEX($AN$2:$BO$1001,MATCH(ROWS($AG$2:AG519),$AG$2:$AG$1001,0),MATCH(COLUMNS($AN$1006:BL1006),$AN$1006:$BO$1006,0)), HYPERLINK("#",""), HYPERLINK(CONCATENATE("#Metadata!", ADDRESS(INDEX($AI$2:$AI$1001,MATCH(ROWS($AG$2:AG519),$AG$2:$AG$1001,0),0), INDEX($AN$1004:$BO$1004,1,MATCH(COLUMNS($AN$1006:BL1006),$AN$1006:$BO$1006,0)))),"Fix")))</f>
        <v>0</v>
      </c>
      <c r="AA519" s="4">
        <f>IF(OR(INDEX($AH$2:$AH$1001,MATCH(ROWS($AG$2:AG519),$AG$2:$AG$1001,0),1)&gt;=100000,INDEX($AN$1005:$BO$1005,1,MATCH(COLUMNS($AN$1006:BM1006),$AN$1006:$BO$1006,0))&gt;=100000), " ",IF(INDEX($AN$2:$BO$1001,MATCH(ROWS($AG$2:AG519),$AG$2:$AG$1001,0),MATCH(COLUMNS($AN$1006:BM1006),$AN$1006:$BO$1006,0)), HYPERLINK("#",""), HYPERLINK(CONCATENATE("#Metadata!", ADDRESS(INDEX($AI$2:$AI$1001,MATCH(ROWS($AG$2:AG519),$AG$2:$AG$1001,0),0), INDEX($AN$1004:$BO$1004,1,MATCH(COLUMNS($AN$1006:BM1006),$AN$1006:$BO$1006,0)))),"Fix")))</f>
        <v>0</v>
      </c>
      <c r="AB519" s="4">
        <f>IF(OR(INDEX($AH$2:$AH$1001,MATCH(ROWS($AG$2:AG519),$AG$2:$AG$1001,0),1)&gt;=100000,INDEX($AN$1005:$BO$1005,1,MATCH(COLUMNS($AN$1006:BN1006),$AN$1006:$BO$1006,0))&gt;=100000), " ",IF(INDEX($AN$2:$BO$1001,MATCH(ROWS($AG$2:AG519),$AG$2:$AG$1001,0),MATCH(COLUMNS($AN$1006:BN1006),$AN$1006:$BO$1006,0)), HYPERLINK("#",""), HYPERLINK(CONCATENATE("#Metadata!", ADDRESS(INDEX($AI$2:$AI$1001,MATCH(ROWS($AG$2:AG519),$AG$2:$AG$1001,0),0), INDEX($AN$1004:$BO$1004,1,MATCH(COLUMNS($AN$1006:BN1006),$AN$1006:$BO$1006,0)))),"Fix")))</f>
        <v>0</v>
      </c>
      <c r="AC519" s="4">
        <f>IF(OR(INDEX($AH$2:$AH$1001,MATCH(ROWS($AG$2:AG519),$AG$2:$AG$1001,0),1)&gt;=100000,INDEX($AN$1005:$BO$1005,1,MATCH(COLUMNS($AN$1006:BO1006),$AN$1006:$BO$1006,0))&gt;=100000), " ",IF(INDEX($AN$2:$BO$1001,MATCH(ROWS($AG$2:AG519),$AG$2:$AG$1001,0),MATCH(COLUMNS($AN$1006:BO1006),$AN$1006:$BO$1006,0)), HYPERLINK("#",""), HYPERLINK(CONCATENATE("#Metadata!", ADDRESS(INDEX($AI$2:$AI$1001,MATCH(ROWS($AG$2:AG519),$AG$2:$AG$1001,0),0), INDEX($AN$1004:$BO$1004,1,MATCH(COLUMNS($AN$1006:BO1006),$AN$1006:$BO$1006,0)))),"Fix")))</f>
        <v>0</v>
      </c>
      <c r="AG519">
        <v>0</v>
      </c>
      <c r="AH519">
        <v>0</v>
      </c>
      <c r="AI519">
        <v>0</v>
      </c>
      <c r="AJ519">
        <f>IF(AK519,TRUE,AND(AN519:BO519))</f>
        <v>0</v>
      </c>
      <c r="AK519">
        <f>COUNTBLANK(Metadata!B519:AC519)=COLUMNS(Metadata!B519:AC519)</f>
        <v>0</v>
      </c>
      <c r="AL519">
        <v>0</v>
      </c>
      <c r="AN519">
        <f>AND(IF(Metadata!B519="",FALSE,TRUE),COUNTIF(Metadata!B:B, Metadata!B519) = 1,NOT(ISERROR(SUMPRODUCT(SEARCH(MID(Metadata!B519,ROW(INDIRECT("1:"&amp;LEN(Metadata!B519))), 1),"0123456789abcdefghijklmnopqrstuvwxyzABCDEFGHIJKLMNOPQRSTUVWXYZ.")))))</f>
        <v>0</v>
      </c>
      <c r="AO519">
        <f>IF(Metadata!C519="",FALSE,TRUE)</f>
        <v>0</v>
      </c>
      <c r="AP519">
        <f>IF(Metadata!D519="",FALSE,TRUE)</f>
        <v>0</v>
      </c>
      <c r="AQ519">
        <f>OR(AND(IF(Metadata!E519="",FALSE,TRUE),OR(exact(Metadata!E519,"not collected"),exact(Metadata!E519,"not provided"),exact(Metadata!E519,"restricted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R519">
        <f>IF(Metadata!F519="",FALSE,TRUE)</f>
        <v>0</v>
      </c>
      <c r="AS519">
        <f>OR(AND(IF(Metadata!G519="",FALSE,TRUE),OR(exact(Metadata!G519,"not collected"),exact(Metadata!G519,"not provided"))),AND(IF(Metadata!G519="",FALSE,TRUE),OR(exact(Metadata!G519,"TRUE"),exact(Metadata!G519,"FALSE"))))</f>
        <v>0</v>
      </c>
      <c r="AT519">
        <f>OR(AND(IF(Metadata!H519="",FALSE,TRUE),OR(exact(Metadata!H519,"not collected"),exact(Metadata!H519,"not provided"),exact(Metadata!H519,"restricted access"))),AND(IF(Metadata!H519="",FALSE,ISNUMBER(VALUE(Metadata!H519))),Metadata!H519&gt;=-413.0))</f>
        <v>0</v>
      </c>
      <c r="AU519">
        <f>AND(IF(Metadata!I519="",FALSE,TRUE),exact(Metadata!I519,"meters"))</f>
        <v>0</v>
      </c>
      <c r="AV519">
        <f>AND(IF(Metadata!J519="",FALSE,TRUE),OR(exact(Metadata!J519,"Host-associated"),exact(Metadata!J519,"Free-living")))</f>
        <v>0</v>
      </c>
      <c r="AW519">
        <f>AND(IF(Metadata!K519="",FALSE,TRUE),OR(exact(Metadata!K519,"Animal"),exact(Metadata!K519,"Fungus"),exact(Metadata!K519,"Plant"),exact(Metadata!K519,"Saline"),exact(Metadata!K519,"Non-saline")))</f>
        <v>0</v>
      </c>
      <c r="AX519">
        <f>AND(IF(Metadata!L519="",FALSE,TRUE),OR(exact(Metadata!L519,"Plant secretion"),exact(Metadata!L519,"Plant rhizosphere"),exact(Metadata!L519,"Plant surface"),exact(Metadata!L519,"Plant corpus"),exact(Metadata!L519,"Fungus surface"),exact(Metadata!L519,"Fungus corpus"),exact(Metadata!L519,"Animal surface"),exact(Metadata!L519,"Animal proximal gut"),exact(Metadata!L519,"Animal corpus"),exact(Metadata!L519,"Animal distal gut"),exact(Metadata!L519,"Animal secretion"),exact(Metadata!L519,"Sub-surface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Y519">
        <f>IF(Metadata!M519="",FALSE,TRUE)</f>
        <v>0</v>
      </c>
      <c r="AZ519">
        <f>IF(Metadata!N519="",FALSE,TRUE)</f>
        <v>0</v>
      </c>
      <c r="BA519">
        <f>IF(Metadata!O519="",FALSE,TRUE)</f>
        <v>0</v>
      </c>
      <c r="BB519">
        <f>OR(AND(IF(Metadata!P519="",FALSE,TRUE),OR(exact(Metadata!P519,"not collected"),exact(Metadata!P519,"not provided"),exact(Metadata!P519,"restricted access"))),AND(IF(Metadata!P519="",FALSE,TRUE),OR(exact(Metadata!P519,"air"),exact(Metadata!P519,"built environment"),exact(Metadata!P519,"host-associated"),exact(Metadata!P519,"human-associated"),exact(Metadata!P519,"human-skin"),exact(Metadata!P519,"human-oral"),exact(Metadata!P519,"human-gut"),exact(Metadata!P519,"human-vaginal"),exact(Metadata!P519,"microbial mat/biofilm"),exact(Metadata!P519,"misc environment"),exact(Metadata!P519,"plant-associated"),exact(Metadata!P519,"sediment"),exact(Metadata!P519,"soil"),exact(Metadata!P519,"wastewater/sludge"),exact(Metadata!P519,"water"))))</f>
        <v>0</v>
      </c>
      <c r="BC519">
        <f>IF(Metadata!Q519="",FALSE,TRUE)</f>
        <v>0</v>
      </c>
      <c r="BD519">
        <f>IF(Metadata!R519="",FALSE,TRUE)</f>
        <v>0</v>
      </c>
      <c r="BE519">
        <f>OR(AND(IF(Metadata!S519="",FALSE,TRUE),OR(exact(Metadata!S519,"not collected"),exact(Metadata!S519,"not provided"),exact(Metadata!S519,"restricted access"))),AND(IF(Metadata!S519="",FALSE,ISNUMBER(VALUE(Metadata!S519))),Metadata!S519&gt;=-90.00,Metadata!S519&lt;=90.00))</f>
        <v>0</v>
      </c>
      <c r="BF519">
        <f>AND(IF(Metadata!T519="",FALSE,TRUE),exact(Metadata!T519,"Decimal degrees"))</f>
        <v>0</v>
      </c>
      <c r="BG519">
        <f>OR(AND(IF(Metadata!U519="",FALSE,TRUE),OR(exact(Metadata!U519,"not collected"),exact(Metadata!U519,"not provided"),exact(Metadata!U519,"restricted access"))),AND(IF(Metadata!U519="",FALSE,ISNUMBER(VALUE(Metadata!U519))),Metadata!U519&gt;=-180.00,Metadata!U519&lt;=180.00))</f>
        <v>0</v>
      </c>
      <c r="BH519">
        <f>AND(IF(Metadata!V519="",FALSE,TRUE),exact(Metadata!V519,"Decimal degrees"))</f>
        <v>0</v>
      </c>
      <c r="BI519">
        <f>IF(Metadata!W519="",FALSE,TRUE)</f>
        <v>0</v>
      </c>
      <c r="BJ519">
        <f>OR(AND(IF(Metadata!X519="",FALSE,TRUE),OR(exact(Metadata!X519,"not collected"),exact(Metadata!X519,"not provided"),exact(Metadata!X519,"restricted access"))),AND(IF(Metadata!X519="",FALSE,TRUE),OR(exact(Metadata!X519,"TRUE"),exact(Metadata!X519,"FALSE"))))</f>
        <v>0</v>
      </c>
      <c r="BK519">
        <f>AND(IF(Metadata!Y519="",FALSE,TRUE),exact(Metadata!Y519,"other"))</f>
        <v>0</v>
      </c>
      <c r="BL519">
        <f>IF(Metadata!Z519="",FALSE,TRUE)</f>
        <v>0</v>
      </c>
      <c r="BM519">
        <f>OR(AND(IF(Metadata!AA519="",FALSE,TRUE),OR(exact(Metadata!AA519,"not collected"),exact(Metadata!AA519,"not provided"))),AND(IF(Metadata!AA519="",FALSE,IF(ISERROR(INT(Metadata!AA519)),FALSE,INT(Metadata!AA519)=Metadata!AA519)),Metadata!AA519&gt;0))</f>
        <v>0</v>
      </c>
      <c r="BN519">
        <f>AND(IF(Metadata!AB519="",FALSE,TRUE),exact(Metadata!AB519,"Not applicable"))</f>
        <v>0</v>
      </c>
      <c r="BO519">
        <f>IF(Metadata!AC519="",FALSE,TRUE)</f>
        <v>0</v>
      </c>
    </row>
    <row r="520" spans="1:67">
      <c r="A520" s="5">
        <f>IF(B520=" "," ",HYPERLINK(CONCATENATE("#metadata!",ADDRESS(INDEX($AI$2:$AI$1001,MATCH(ROWS($AG$2:AG520),$AG$2:$AG$1001,0),0),1)),INDEX($AL$2:$AL$1001,MATCH(ROWS($AG$2:AG520),$AG$2:$AG$1001,0),0)))</f>
        <v>0</v>
      </c>
      <c r="B520" s="4">
        <f>IF(OR(INDEX($AH$2:$AH$1001,MATCH(ROWS($AG$2:AG520),$AG$2:$AG$1001,0),1)&gt;=100000,INDEX($AN$1005:$BO$1005,1,MATCH(COLUMNS($AN$1006:AN1006),$AN$1006:$BO$1006,0))&gt;=100000), " ",IF(INDEX($AN$2:$BO$1001,MATCH(ROWS($AG$2:AG520),$AG$2:$AG$1001,0),MATCH(COLUMNS($AN$1006:AN1006),$AN$1006:$BO$1006,0)), HYPERLINK("#",""), HYPERLINK(CONCATENATE("#Metadata!", ADDRESS(INDEX($AI$2:$AI$1001,MATCH(ROWS($AG$2:AG520),$AG$2:$AG$1001,0),0), INDEX($AN$1004:$BO$1004,1,MATCH(COLUMNS($AN$1006:AN1006),$AN$1006:$BO$1006,0)))),"Fix")))</f>
        <v>0</v>
      </c>
      <c r="C520" s="4">
        <f>IF(OR(INDEX($AH$2:$AH$1001,MATCH(ROWS($AG$2:AG520),$AG$2:$AG$1001,0),1)&gt;=100000,INDEX($AN$1005:$BO$1005,1,MATCH(COLUMNS($AN$1006:AO1006),$AN$1006:$BO$1006,0))&gt;=100000), " ",IF(INDEX($AN$2:$BO$1001,MATCH(ROWS($AG$2:AG520),$AG$2:$AG$1001,0),MATCH(COLUMNS($AN$1006:AO1006),$AN$1006:$BO$1006,0)), HYPERLINK("#",""), HYPERLINK(CONCATENATE("#Metadata!", ADDRESS(INDEX($AI$2:$AI$1001,MATCH(ROWS($AG$2:AG520),$AG$2:$AG$1001,0),0), INDEX($AN$1004:$BO$1004,1,MATCH(COLUMNS($AN$1006:AO1006),$AN$1006:$BO$1006,0)))),"Fix")))</f>
        <v>0</v>
      </c>
      <c r="D520" s="4">
        <f>IF(OR(INDEX($AH$2:$AH$1001,MATCH(ROWS($AG$2:AG520),$AG$2:$AG$1001,0),1)&gt;=100000,INDEX($AN$1005:$BO$1005,1,MATCH(COLUMNS($AN$1006:AP1006),$AN$1006:$BO$1006,0))&gt;=100000), " ",IF(INDEX($AN$2:$BO$1001,MATCH(ROWS($AG$2:AG520),$AG$2:$AG$1001,0),MATCH(COLUMNS($AN$1006:AP1006),$AN$1006:$BO$1006,0)), HYPERLINK("#",""), HYPERLINK(CONCATENATE("#Metadata!", ADDRESS(INDEX($AI$2:$AI$1001,MATCH(ROWS($AG$2:AG520),$AG$2:$AG$1001,0),0), INDEX($AN$1004:$BO$1004,1,MATCH(COLUMNS($AN$1006:AP1006),$AN$1006:$BO$1006,0)))),"Fix")))</f>
        <v>0</v>
      </c>
      <c r="E520" s="4">
        <f>IF(OR(INDEX($AH$2:$AH$1001,MATCH(ROWS($AG$2:AG520),$AG$2:$AG$1001,0),1)&gt;=100000,INDEX($AN$1005:$BO$1005,1,MATCH(COLUMNS($AN$1006:AQ1006),$AN$1006:$BO$1006,0))&gt;=100000), " ",IF(INDEX($AN$2:$BO$1001,MATCH(ROWS($AG$2:AG520),$AG$2:$AG$1001,0),MATCH(COLUMNS($AN$1006:AQ1006),$AN$1006:$BO$1006,0)), HYPERLINK("#",""), HYPERLINK(CONCATENATE("#Metadata!", ADDRESS(INDEX($AI$2:$AI$1001,MATCH(ROWS($AG$2:AG520),$AG$2:$AG$1001,0),0), INDEX($AN$1004:$BO$1004,1,MATCH(COLUMNS($AN$1006:AQ1006),$AN$1006:$BO$1006,0)))),"Fix")))</f>
        <v>0</v>
      </c>
      <c r="F520" s="4">
        <f>IF(OR(INDEX($AH$2:$AH$1001,MATCH(ROWS($AG$2:AG520),$AG$2:$AG$1001,0),1)&gt;=100000,INDEX($AN$1005:$BO$1005,1,MATCH(COLUMNS($AN$1006:AR1006),$AN$1006:$BO$1006,0))&gt;=100000), " ",IF(INDEX($AN$2:$BO$1001,MATCH(ROWS($AG$2:AG520),$AG$2:$AG$1001,0),MATCH(COLUMNS($AN$1006:AR1006),$AN$1006:$BO$1006,0)), HYPERLINK("#",""), HYPERLINK(CONCATENATE("#Metadata!", ADDRESS(INDEX($AI$2:$AI$1001,MATCH(ROWS($AG$2:AG520),$AG$2:$AG$1001,0),0), INDEX($AN$1004:$BO$1004,1,MATCH(COLUMNS($AN$1006:AR1006),$AN$1006:$BO$1006,0)))),"Fix")))</f>
        <v>0</v>
      </c>
      <c r="G520" s="4">
        <f>IF(OR(INDEX($AH$2:$AH$1001,MATCH(ROWS($AG$2:AG520),$AG$2:$AG$1001,0),1)&gt;=100000,INDEX($AN$1005:$BO$1005,1,MATCH(COLUMNS($AN$1006:AS1006),$AN$1006:$BO$1006,0))&gt;=100000), " ",IF(INDEX($AN$2:$BO$1001,MATCH(ROWS($AG$2:AG520),$AG$2:$AG$1001,0),MATCH(COLUMNS($AN$1006:AS1006),$AN$1006:$BO$1006,0)), HYPERLINK("#",""), HYPERLINK(CONCATENATE("#Metadata!", ADDRESS(INDEX($AI$2:$AI$1001,MATCH(ROWS($AG$2:AG520),$AG$2:$AG$1001,0),0), INDEX($AN$1004:$BO$1004,1,MATCH(COLUMNS($AN$1006:AS1006),$AN$1006:$BO$1006,0)))),"Fix")))</f>
        <v>0</v>
      </c>
      <c r="H520" s="4">
        <f>IF(OR(INDEX($AH$2:$AH$1001,MATCH(ROWS($AG$2:AG520),$AG$2:$AG$1001,0),1)&gt;=100000,INDEX($AN$1005:$BO$1005,1,MATCH(COLUMNS($AN$1006:AT1006),$AN$1006:$BO$1006,0))&gt;=100000), " ",IF(INDEX($AN$2:$BO$1001,MATCH(ROWS($AG$2:AG520),$AG$2:$AG$1001,0),MATCH(COLUMNS($AN$1006:AT1006),$AN$1006:$BO$1006,0)), HYPERLINK("#",""), HYPERLINK(CONCATENATE("#Metadata!", ADDRESS(INDEX($AI$2:$AI$1001,MATCH(ROWS($AG$2:AG520),$AG$2:$AG$1001,0),0), INDEX($AN$1004:$BO$1004,1,MATCH(COLUMNS($AN$1006:AT1006),$AN$1006:$BO$1006,0)))),"Fix")))</f>
        <v>0</v>
      </c>
      <c r="I520" s="4">
        <f>IF(OR(INDEX($AH$2:$AH$1001,MATCH(ROWS($AG$2:AG520),$AG$2:$AG$1001,0),1)&gt;=100000,INDEX($AN$1005:$BO$1005,1,MATCH(COLUMNS($AN$1006:AU1006),$AN$1006:$BO$1006,0))&gt;=100000), " ",IF(INDEX($AN$2:$BO$1001,MATCH(ROWS($AG$2:AG520),$AG$2:$AG$1001,0),MATCH(COLUMNS($AN$1006:AU1006),$AN$1006:$BO$1006,0)), HYPERLINK("#",""), HYPERLINK(CONCATENATE("#Metadata!", ADDRESS(INDEX($AI$2:$AI$1001,MATCH(ROWS($AG$2:AG520),$AG$2:$AG$1001,0),0), INDEX($AN$1004:$BO$1004,1,MATCH(COLUMNS($AN$1006:AU1006),$AN$1006:$BO$1006,0)))),"Fix")))</f>
        <v>0</v>
      </c>
      <c r="J520" s="4">
        <f>IF(OR(INDEX($AH$2:$AH$1001,MATCH(ROWS($AG$2:AG520),$AG$2:$AG$1001,0),1)&gt;=100000,INDEX($AN$1005:$BO$1005,1,MATCH(COLUMNS($AN$1006:AV1006),$AN$1006:$BO$1006,0))&gt;=100000), " ",IF(INDEX($AN$2:$BO$1001,MATCH(ROWS($AG$2:AG520),$AG$2:$AG$1001,0),MATCH(COLUMNS($AN$1006:AV1006),$AN$1006:$BO$1006,0)), HYPERLINK("#",""), HYPERLINK(CONCATENATE("#Metadata!", ADDRESS(INDEX($AI$2:$AI$1001,MATCH(ROWS($AG$2:AG520),$AG$2:$AG$1001,0),0), INDEX($AN$1004:$BO$1004,1,MATCH(COLUMNS($AN$1006:AV1006),$AN$1006:$BO$1006,0)))),"Fix")))</f>
        <v>0</v>
      </c>
      <c r="K520" s="4">
        <f>IF(OR(INDEX($AH$2:$AH$1001,MATCH(ROWS($AG$2:AG520),$AG$2:$AG$1001,0),1)&gt;=100000,INDEX($AN$1005:$BO$1005,1,MATCH(COLUMNS($AN$1006:AW1006),$AN$1006:$BO$1006,0))&gt;=100000), " ",IF(INDEX($AN$2:$BO$1001,MATCH(ROWS($AG$2:AG520),$AG$2:$AG$1001,0),MATCH(COLUMNS($AN$1006:AW1006),$AN$1006:$BO$1006,0)), HYPERLINK("#",""), HYPERLINK(CONCATENATE("#Metadata!", ADDRESS(INDEX($AI$2:$AI$1001,MATCH(ROWS($AG$2:AG520),$AG$2:$AG$1001,0),0), INDEX($AN$1004:$BO$1004,1,MATCH(COLUMNS($AN$1006:AW1006),$AN$1006:$BO$1006,0)))),"Fix")))</f>
        <v>0</v>
      </c>
      <c r="L520" s="4">
        <f>IF(OR(INDEX($AH$2:$AH$1001,MATCH(ROWS($AG$2:AG520),$AG$2:$AG$1001,0),1)&gt;=100000,INDEX($AN$1005:$BO$1005,1,MATCH(COLUMNS($AN$1006:AX1006),$AN$1006:$BO$1006,0))&gt;=100000), " ",IF(INDEX($AN$2:$BO$1001,MATCH(ROWS($AG$2:AG520),$AG$2:$AG$1001,0),MATCH(COLUMNS($AN$1006:AX1006),$AN$1006:$BO$1006,0)), HYPERLINK("#",""), HYPERLINK(CONCATENATE("#Metadata!", ADDRESS(INDEX($AI$2:$AI$1001,MATCH(ROWS($AG$2:AG520),$AG$2:$AG$1001,0),0), INDEX($AN$1004:$BO$1004,1,MATCH(COLUMNS($AN$1006:AX1006),$AN$1006:$BO$1006,0)))),"Fix")))</f>
        <v>0</v>
      </c>
      <c r="M520" s="4">
        <f>IF(OR(INDEX($AH$2:$AH$1001,MATCH(ROWS($AG$2:AG520),$AG$2:$AG$1001,0),1)&gt;=100000,INDEX($AN$1005:$BO$1005,1,MATCH(COLUMNS($AN$1006:AY1006),$AN$1006:$BO$1006,0))&gt;=100000), " ",IF(INDEX($AN$2:$BO$1001,MATCH(ROWS($AG$2:AG520),$AG$2:$AG$1001,0),MATCH(COLUMNS($AN$1006:AY1006),$AN$1006:$BO$1006,0)), HYPERLINK("#",""), HYPERLINK(CONCATENATE("#Metadata!", ADDRESS(INDEX($AI$2:$AI$1001,MATCH(ROWS($AG$2:AG520),$AG$2:$AG$1001,0),0), INDEX($AN$1004:$BO$1004,1,MATCH(COLUMNS($AN$1006:AY1006),$AN$1006:$BO$1006,0)))),"Fix")))</f>
        <v>0</v>
      </c>
      <c r="N520" s="4">
        <f>IF(OR(INDEX($AH$2:$AH$1001,MATCH(ROWS($AG$2:AG520),$AG$2:$AG$1001,0),1)&gt;=100000,INDEX($AN$1005:$BO$1005,1,MATCH(COLUMNS($AN$1006:AZ1006),$AN$1006:$BO$1006,0))&gt;=100000), " ",IF(INDEX($AN$2:$BO$1001,MATCH(ROWS($AG$2:AG520),$AG$2:$AG$1001,0),MATCH(COLUMNS($AN$1006:AZ1006),$AN$1006:$BO$1006,0)), HYPERLINK("#",""), HYPERLINK(CONCATENATE("#Metadata!", ADDRESS(INDEX($AI$2:$AI$1001,MATCH(ROWS($AG$2:AG520),$AG$2:$AG$1001,0),0), INDEX($AN$1004:$BO$1004,1,MATCH(COLUMNS($AN$1006:AZ1006),$AN$1006:$BO$1006,0)))),"Fix")))</f>
        <v>0</v>
      </c>
      <c r="O520" s="4">
        <f>IF(OR(INDEX($AH$2:$AH$1001,MATCH(ROWS($AG$2:AG520),$AG$2:$AG$1001,0),1)&gt;=100000,INDEX($AN$1005:$BO$1005,1,MATCH(COLUMNS($AN$1006:BA1006),$AN$1006:$BO$1006,0))&gt;=100000), " ",IF(INDEX($AN$2:$BO$1001,MATCH(ROWS($AG$2:AG520),$AG$2:$AG$1001,0),MATCH(COLUMNS($AN$1006:BA1006),$AN$1006:$BO$1006,0)), HYPERLINK("#",""), HYPERLINK(CONCATENATE("#Metadata!", ADDRESS(INDEX($AI$2:$AI$1001,MATCH(ROWS($AG$2:AG520),$AG$2:$AG$1001,0),0), INDEX($AN$1004:$BO$1004,1,MATCH(COLUMNS($AN$1006:BA1006),$AN$1006:$BO$1006,0)))),"Fix")))</f>
        <v>0</v>
      </c>
      <c r="P520" s="4">
        <f>IF(OR(INDEX($AH$2:$AH$1001,MATCH(ROWS($AG$2:AG520),$AG$2:$AG$1001,0),1)&gt;=100000,INDEX($AN$1005:$BO$1005,1,MATCH(COLUMNS($AN$1006:BB1006),$AN$1006:$BO$1006,0))&gt;=100000), " ",IF(INDEX($AN$2:$BO$1001,MATCH(ROWS($AG$2:AG520),$AG$2:$AG$1001,0),MATCH(COLUMNS($AN$1006:BB1006),$AN$1006:$BO$1006,0)), HYPERLINK("#",""), HYPERLINK(CONCATENATE("#Metadata!", ADDRESS(INDEX($AI$2:$AI$1001,MATCH(ROWS($AG$2:AG520),$AG$2:$AG$1001,0),0), INDEX($AN$1004:$BO$1004,1,MATCH(COLUMNS($AN$1006:BB1006),$AN$1006:$BO$1006,0)))),"Fix")))</f>
        <v>0</v>
      </c>
      <c r="Q520" s="4">
        <f>IF(OR(INDEX($AH$2:$AH$1001,MATCH(ROWS($AG$2:AG520),$AG$2:$AG$1001,0),1)&gt;=100000,INDEX($AN$1005:$BO$1005,1,MATCH(COLUMNS($AN$1006:BC1006),$AN$1006:$BO$1006,0))&gt;=100000), " ",IF(INDEX($AN$2:$BO$1001,MATCH(ROWS($AG$2:AG520),$AG$2:$AG$1001,0),MATCH(COLUMNS($AN$1006:BC1006),$AN$1006:$BO$1006,0)), HYPERLINK("#",""), HYPERLINK(CONCATENATE("#Metadata!", ADDRESS(INDEX($AI$2:$AI$1001,MATCH(ROWS($AG$2:AG520),$AG$2:$AG$1001,0),0), INDEX($AN$1004:$BO$1004,1,MATCH(COLUMNS($AN$1006:BC1006),$AN$1006:$BO$1006,0)))),"Fix")))</f>
        <v>0</v>
      </c>
      <c r="R520" s="4">
        <f>IF(OR(INDEX($AH$2:$AH$1001,MATCH(ROWS($AG$2:AG520),$AG$2:$AG$1001,0),1)&gt;=100000,INDEX($AN$1005:$BO$1005,1,MATCH(COLUMNS($AN$1006:BD1006),$AN$1006:$BO$1006,0))&gt;=100000), " ",IF(INDEX($AN$2:$BO$1001,MATCH(ROWS($AG$2:AG520),$AG$2:$AG$1001,0),MATCH(COLUMNS($AN$1006:BD1006),$AN$1006:$BO$1006,0)), HYPERLINK("#",""), HYPERLINK(CONCATENATE("#Metadata!", ADDRESS(INDEX($AI$2:$AI$1001,MATCH(ROWS($AG$2:AG520),$AG$2:$AG$1001,0),0), INDEX($AN$1004:$BO$1004,1,MATCH(COLUMNS($AN$1006:BD1006),$AN$1006:$BO$1006,0)))),"Fix")))</f>
        <v>0</v>
      </c>
      <c r="S520" s="4">
        <f>IF(OR(INDEX($AH$2:$AH$1001,MATCH(ROWS($AG$2:AG520),$AG$2:$AG$1001,0),1)&gt;=100000,INDEX($AN$1005:$BO$1005,1,MATCH(COLUMNS($AN$1006:BE1006),$AN$1006:$BO$1006,0))&gt;=100000), " ",IF(INDEX($AN$2:$BO$1001,MATCH(ROWS($AG$2:AG520),$AG$2:$AG$1001,0),MATCH(COLUMNS($AN$1006:BE1006),$AN$1006:$BO$1006,0)), HYPERLINK("#",""), HYPERLINK(CONCATENATE("#Metadata!", ADDRESS(INDEX($AI$2:$AI$1001,MATCH(ROWS($AG$2:AG520),$AG$2:$AG$1001,0),0), INDEX($AN$1004:$BO$1004,1,MATCH(COLUMNS($AN$1006:BE1006),$AN$1006:$BO$1006,0)))),"Fix")))</f>
        <v>0</v>
      </c>
      <c r="T520" s="4">
        <f>IF(OR(INDEX($AH$2:$AH$1001,MATCH(ROWS($AG$2:AG520),$AG$2:$AG$1001,0),1)&gt;=100000,INDEX($AN$1005:$BO$1005,1,MATCH(COLUMNS($AN$1006:BF1006),$AN$1006:$BO$1006,0))&gt;=100000), " ",IF(INDEX($AN$2:$BO$1001,MATCH(ROWS($AG$2:AG520),$AG$2:$AG$1001,0),MATCH(COLUMNS($AN$1006:BF1006),$AN$1006:$BO$1006,0)), HYPERLINK("#",""), HYPERLINK(CONCATENATE("#Metadata!", ADDRESS(INDEX($AI$2:$AI$1001,MATCH(ROWS($AG$2:AG520),$AG$2:$AG$1001,0),0), INDEX($AN$1004:$BO$1004,1,MATCH(COLUMNS($AN$1006:BF1006),$AN$1006:$BO$1006,0)))),"Fix")))</f>
        <v>0</v>
      </c>
      <c r="U520" s="4">
        <f>IF(OR(INDEX($AH$2:$AH$1001,MATCH(ROWS($AG$2:AG520),$AG$2:$AG$1001,0),1)&gt;=100000,INDEX($AN$1005:$BO$1005,1,MATCH(COLUMNS($AN$1006:BG1006),$AN$1006:$BO$1006,0))&gt;=100000), " ",IF(INDEX($AN$2:$BO$1001,MATCH(ROWS($AG$2:AG520),$AG$2:$AG$1001,0),MATCH(COLUMNS($AN$1006:BG1006),$AN$1006:$BO$1006,0)), HYPERLINK("#",""), HYPERLINK(CONCATENATE("#Metadata!", ADDRESS(INDEX($AI$2:$AI$1001,MATCH(ROWS($AG$2:AG520),$AG$2:$AG$1001,0),0), INDEX($AN$1004:$BO$1004,1,MATCH(COLUMNS($AN$1006:BG1006),$AN$1006:$BO$1006,0)))),"Fix")))</f>
        <v>0</v>
      </c>
      <c r="V520" s="4">
        <f>IF(OR(INDEX($AH$2:$AH$1001,MATCH(ROWS($AG$2:AG520),$AG$2:$AG$1001,0),1)&gt;=100000,INDEX($AN$1005:$BO$1005,1,MATCH(COLUMNS($AN$1006:BH1006),$AN$1006:$BO$1006,0))&gt;=100000), " ",IF(INDEX($AN$2:$BO$1001,MATCH(ROWS($AG$2:AG520),$AG$2:$AG$1001,0),MATCH(COLUMNS($AN$1006:BH1006),$AN$1006:$BO$1006,0)), HYPERLINK("#",""), HYPERLINK(CONCATENATE("#Metadata!", ADDRESS(INDEX($AI$2:$AI$1001,MATCH(ROWS($AG$2:AG520),$AG$2:$AG$1001,0),0), INDEX($AN$1004:$BO$1004,1,MATCH(COLUMNS($AN$1006:BH1006),$AN$1006:$BO$1006,0)))),"Fix")))</f>
        <v>0</v>
      </c>
      <c r="W520" s="4">
        <f>IF(OR(INDEX($AH$2:$AH$1001,MATCH(ROWS($AG$2:AG520),$AG$2:$AG$1001,0),1)&gt;=100000,INDEX($AN$1005:$BO$1005,1,MATCH(COLUMNS($AN$1006:BI1006),$AN$1006:$BO$1006,0))&gt;=100000), " ",IF(INDEX($AN$2:$BO$1001,MATCH(ROWS($AG$2:AG520),$AG$2:$AG$1001,0),MATCH(COLUMNS($AN$1006:BI1006),$AN$1006:$BO$1006,0)), HYPERLINK("#",""), HYPERLINK(CONCATENATE("#Metadata!", ADDRESS(INDEX($AI$2:$AI$1001,MATCH(ROWS($AG$2:AG520),$AG$2:$AG$1001,0),0), INDEX($AN$1004:$BO$1004,1,MATCH(COLUMNS($AN$1006:BI1006),$AN$1006:$BO$1006,0)))),"Fix")))</f>
        <v>0</v>
      </c>
      <c r="X520" s="4">
        <f>IF(OR(INDEX($AH$2:$AH$1001,MATCH(ROWS($AG$2:AG520),$AG$2:$AG$1001,0),1)&gt;=100000,INDEX($AN$1005:$BO$1005,1,MATCH(COLUMNS($AN$1006:BJ1006),$AN$1006:$BO$1006,0))&gt;=100000), " ",IF(INDEX($AN$2:$BO$1001,MATCH(ROWS($AG$2:AG520),$AG$2:$AG$1001,0),MATCH(COLUMNS($AN$1006:BJ1006),$AN$1006:$BO$1006,0)), HYPERLINK("#",""), HYPERLINK(CONCATENATE("#Metadata!", ADDRESS(INDEX($AI$2:$AI$1001,MATCH(ROWS($AG$2:AG520),$AG$2:$AG$1001,0),0), INDEX($AN$1004:$BO$1004,1,MATCH(COLUMNS($AN$1006:BJ1006),$AN$1006:$BO$1006,0)))),"Fix")))</f>
        <v>0</v>
      </c>
      <c r="Y520" s="4">
        <f>IF(OR(INDEX($AH$2:$AH$1001,MATCH(ROWS($AG$2:AG520),$AG$2:$AG$1001,0),1)&gt;=100000,INDEX($AN$1005:$BO$1005,1,MATCH(COLUMNS($AN$1006:BK1006),$AN$1006:$BO$1006,0))&gt;=100000), " ",IF(INDEX($AN$2:$BO$1001,MATCH(ROWS($AG$2:AG520),$AG$2:$AG$1001,0),MATCH(COLUMNS($AN$1006:BK1006),$AN$1006:$BO$1006,0)), HYPERLINK("#",""), HYPERLINK(CONCATENATE("#Metadata!", ADDRESS(INDEX($AI$2:$AI$1001,MATCH(ROWS($AG$2:AG520),$AG$2:$AG$1001,0),0), INDEX($AN$1004:$BO$1004,1,MATCH(COLUMNS($AN$1006:BK1006),$AN$1006:$BO$1006,0)))),"Fix")))</f>
        <v>0</v>
      </c>
      <c r="Z520" s="4">
        <f>IF(OR(INDEX($AH$2:$AH$1001,MATCH(ROWS($AG$2:AG520),$AG$2:$AG$1001,0),1)&gt;=100000,INDEX($AN$1005:$BO$1005,1,MATCH(COLUMNS($AN$1006:BL1006),$AN$1006:$BO$1006,0))&gt;=100000), " ",IF(INDEX($AN$2:$BO$1001,MATCH(ROWS($AG$2:AG520),$AG$2:$AG$1001,0),MATCH(COLUMNS($AN$1006:BL1006),$AN$1006:$BO$1006,0)), HYPERLINK("#",""), HYPERLINK(CONCATENATE("#Metadata!", ADDRESS(INDEX($AI$2:$AI$1001,MATCH(ROWS($AG$2:AG520),$AG$2:$AG$1001,0),0), INDEX($AN$1004:$BO$1004,1,MATCH(COLUMNS($AN$1006:BL1006),$AN$1006:$BO$1006,0)))),"Fix")))</f>
        <v>0</v>
      </c>
      <c r="AA520" s="4">
        <f>IF(OR(INDEX($AH$2:$AH$1001,MATCH(ROWS($AG$2:AG520),$AG$2:$AG$1001,0),1)&gt;=100000,INDEX($AN$1005:$BO$1005,1,MATCH(COLUMNS($AN$1006:BM1006),$AN$1006:$BO$1006,0))&gt;=100000), " ",IF(INDEX($AN$2:$BO$1001,MATCH(ROWS($AG$2:AG520),$AG$2:$AG$1001,0),MATCH(COLUMNS($AN$1006:BM1006),$AN$1006:$BO$1006,0)), HYPERLINK("#",""), HYPERLINK(CONCATENATE("#Metadata!", ADDRESS(INDEX($AI$2:$AI$1001,MATCH(ROWS($AG$2:AG520),$AG$2:$AG$1001,0),0), INDEX($AN$1004:$BO$1004,1,MATCH(COLUMNS($AN$1006:BM1006),$AN$1006:$BO$1006,0)))),"Fix")))</f>
        <v>0</v>
      </c>
      <c r="AB520" s="4">
        <f>IF(OR(INDEX($AH$2:$AH$1001,MATCH(ROWS($AG$2:AG520),$AG$2:$AG$1001,0),1)&gt;=100000,INDEX($AN$1005:$BO$1005,1,MATCH(COLUMNS($AN$1006:BN1006),$AN$1006:$BO$1006,0))&gt;=100000), " ",IF(INDEX($AN$2:$BO$1001,MATCH(ROWS($AG$2:AG520),$AG$2:$AG$1001,0),MATCH(COLUMNS($AN$1006:BN1006),$AN$1006:$BO$1006,0)), HYPERLINK("#",""), HYPERLINK(CONCATENATE("#Metadata!", ADDRESS(INDEX($AI$2:$AI$1001,MATCH(ROWS($AG$2:AG520),$AG$2:$AG$1001,0),0), INDEX($AN$1004:$BO$1004,1,MATCH(COLUMNS($AN$1006:BN1006),$AN$1006:$BO$1006,0)))),"Fix")))</f>
        <v>0</v>
      </c>
      <c r="AC520" s="4">
        <f>IF(OR(INDEX($AH$2:$AH$1001,MATCH(ROWS($AG$2:AG520),$AG$2:$AG$1001,0),1)&gt;=100000,INDEX($AN$1005:$BO$1005,1,MATCH(COLUMNS($AN$1006:BO1006),$AN$1006:$BO$1006,0))&gt;=100000), " ",IF(INDEX($AN$2:$BO$1001,MATCH(ROWS($AG$2:AG520),$AG$2:$AG$1001,0),MATCH(COLUMNS($AN$1006:BO1006),$AN$1006:$BO$1006,0)), HYPERLINK("#",""), HYPERLINK(CONCATENATE("#Metadata!", ADDRESS(INDEX($AI$2:$AI$1001,MATCH(ROWS($AG$2:AG520),$AG$2:$AG$1001,0),0), INDEX($AN$1004:$BO$1004,1,MATCH(COLUMNS($AN$1006:BO1006),$AN$1006:$BO$1006,0)))),"Fix")))</f>
        <v>0</v>
      </c>
      <c r="AG520">
        <v>0</v>
      </c>
      <c r="AH520">
        <v>0</v>
      </c>
      <c r="AI520">
        <v>0</v>
      </c>
      <c r="AJ520">
        <f>IF(AK520,TRUE,AND(AN520:BO520))</f>
        <v>0</v>
      </c>
      <c r="AK520">
        <f>COUNTBLANK(Metadata!B520:AC520)=COLUMNS(Metadata!B520:AC520)</f>
        <v>0</v>
      </c>
      <c r="AL520">
        <v>0</v>
      </c>
      <c r="AN520">
        <f>AND(IF(Metadata!B520="",FALSE,TRUE),COUNTIF(Metadata!B:B, Metadata!B520) = 1,NOT(ISERROR(SUMPRODUCT(SEARCH(MID(Metadata!B520,ROW(INDIRECT("1:"&amp;LEN(Metadata!B520))), 1),"0123456789abcdefghijklmnopqrstuvwxyzABCDEFGHIJKLMNOPQRSTUVWXYZ.")))))</f>
        <v>0</v>
      </c>
      <c r="AO520">
        <f>IF(Metadata!C520="",FALSE,TRUE)</f>
        <v>0</v>
      </c>
      <c r="AP520">
        <f>IF(Metadata!D520="",FALSE,TRUE)</f>
        <v>0</v>
      </c>
      <c r="AQ520">
        <f>OR(AND(IF(Metadata!E520="",FALSE,TRUE),OR(exact(Metadata!E520,"not collected"),exact(Metadata!E520,"not provided"),exact(Metadata!E520,"restricted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R520">
        <f>IF(Metadata!F520="",FALSE,TRUE)</f>
        <v>0</v>
      </c>
      <c r="AS520">
        <f>OR(AND(IF(Metadata!G520="",FALSE,TRUE),OR(exact(Metadata!G520,"not collected"),exact(Metadata!G520,"not provided"))),AND(IF(Metadata!G520="",FALSE,TRUE),OR(exact(Metadata!G520,"TRUE"),exact(Metadata!G520,"FALSE"))))</f>
        <v>0</v>
      </c>
      <c r="AT520">
        <f>OR(AND(IF(Metadata!H520="",FALSE,TRUE),OR(exact(Metadata!H520,"not collected"),exact(Metadata!H520,"not provided"),exact(Metadata!H520,"restricted access"))),AND(IF(Metadata!H520="",FALSE,ISNUMBER(VALUE(Metadata!H520))),Metadata!H520&gt;=-413.0))</f>
        <v>0</v>
      </c>
      <c r="AU520">
        <f>AND(IF(Metadata!I520="",FALSE,TRUE),exact(Metadata!I520,"meters"))</f>
        <v>0</v>
      </c>
      <c r="AV520">
        <f>AND(IF(Metadata!J520="",FALSE,TRUE),OR(exact(Metadata!J520,"Host-associated"),exact(Metadata!J520,"Free-living")))</f>
        <v>0</v>
      </c>
      <c r="AW520">
        <f>AND(IF(Metadata!K520="",FALSE,TRUE),OR(exact(Metadata!K520,"Animal"),exact(Metadata!K520,"Fungus"),exact(Metadata!K520,"Plant"),exact(Metadata!K520,"Saline"),exact(Metadata!K520,"Non-saline")))</f>
        <v>0</v>
      </c>
      <c r="AX520">
        <f>AND(IF(Metadata!L520="",FALSE,TRUE),OR(exact(Metadata!L520,"Plant secretion"),exact(Metadata!L520,"Plant rhizosphere"),exact(Metadata!L520,"Plant surface"),exact(Metadata!L520,"Plant corpus"),exact(Metadata!L520,"Fungus surface"),exact(Metadata!L520,"Fungus corpus"),exact(Metadata!L520,"Animal surface"),exact(Metadata!L520,"Animal proximal gut"),exact(Metadata!L520,"Animal corpus"),exact(Metadata!L520,"Animal distal gut"),exact(Metadata!L520,"Animal secretion"),exact(Metadata!L520,"Sub-surface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Y520">
        <f>IF(Metadata!M520="",FALSE,TRUE)</f>
        <v>0</v>
      </c>
      <c r="AZ520">
        <f>IF(Metadata!N520="",FALSE,TRUE)</f>
        <v>0</v>
      </c>
      <c r="BA520">
        <f>IF(Metadata!O520="",FALSE,TRUE)</f>
        <v>0</v>
      </c>
      <c r="BB520">
        <f>OR(AND(IF(Metadata!P520="",FALSE,TRUE),OR(exact(Metadata!P520,"not collected"),exact(Metadata!P520,"not provided"),exact(Metadata!P520,"restricted access"))),AND(IF(Metadata!P520="",FALSE,TRUE),OR(exact(Metadata!P520,"air"),exact(Metadata!P520,"built environment"),exact(Metadata!P520,"host-associated"),exact(Metadata!P520,"human-associated"),exact(Metadata!P520,"human-skin"),exact(Metadata!P520,"human-oral"),exact(Metadata!P520,"human-gut"),exact(Metadata!P520,"human-vaginal"),exact(Metadata!P520,"microbial mat/biofilm"),exact(Metadata!P520,"misc environment"),exact(Metadata!P520,"plant-associated"),exact(Metadata!P520,"sediment"),exact(Metadata!P520,"soil"),exact(Metadata!P520,"wastewater/sludge"),exact(Metadata!P520,"water"))))</f>
        <v>0</v>
      </c>
      <c r="BC520">
        <f>IF(Metadata!Q520="",FALSE,TRUE)</f>
        <v>0</v>
      </c>
      <c r="BD520">
        <f>IF(Metadata!R520="",FALSE,TRUE)</f>
        <v>0</v>
      </c>
      <c r="BE520">
        <f>OR(AND(IF(Metadata!S520="",FALSE,TRUE),OR(exact(Metadata!S520,"not collected"),exact(Metadata!S520,"not provided"),exact(Metadata!S520,"restricted access"))),AND(IF(Metadata!S520="",FALSE,ISNUMBER(VALUE(Metadata!S520))),Metadata!S520&gt;=-90.00,Metadata!S520&lt;=90.00))</f>
        <v>0</v>
      </c>
      <c r="BF520">
        <f>AND(IF(Metadata!T520="",FALSE,TRUE),exact(Metadata!T520,"Decimal degrees"))</f>
        <v>0</v>
      </c>
      <c r="BG520">
        <f>OR(AND(IF(Metadata!U520="",FALSE,TRUE),OR(exact(Metadata!U520,"not collected"),exact(Metadata!U520,"not provided"),exact(Metadata!U520,"restricted access"))),AND(IF(Metadata!U520="",FALSE,ISNUMBER(VALUE(Metadata!U520))),Metadata!U520&gt;=-180.00,Metadata!U520&lt;=180.00))</f>
        <v>0</v>
      </c>
      <c r="BH520">
        <f>AND(IF(Metadata!V520="",FALSE,TRUE),exact(Metadata!V520,"Decimal degrees"))</f>
        <v>0</v>
      </c>
      <c r="BI520">
        <f>IF(Metadata!W520="",FALSE,TRUE)</f>
        <v>0</v>
      </c>
      <c r="BJ520">
        <f>OR(AND(IF(Metadata!X520="",FALSE,TRUE),OR(exact(Metadata!X520,"not collected"),exact(Metadata!X520,"not provided"),exact(Metadata!X520,"restricted access"))),AND(IF(Metadata!X520="",FALSE,TRUE),OR(exact(Metadata!X520,"TRUE"),exact(Metadata!X520,"FALSE"))))</f>
        <v>0</v>
      </c>
      <c r="BK520">
        <f>AND(IF(Metadata!Y520="",FALSE,TRUE),exact(Metadata!Y520,"other"))</f>
        <v>0</v>
      </c>
      <c r="BL520">
        <f>IF(Metadata!Z520="",FALSE,TRUE)</f>
        <v>0</v>
      </c>
      <c r="BM520">
        <f>OR(AND(IF(Metadata!AA520="",FALSE,TRUE),OR(exact(Metadata!AA520,"not collected"),exact(Metadata!AA520,"not provided"))),AND(IF(Metadata!AA520="",FALSE,IF(ISERROR(INT(Metadata!AA520)),FALSE,INT(Metadata!AA520)=Metadata!AA520)),Metadata!AA520&gt;0))</f>
        <v>0</v>
      </c>
      <c r="BN520">
        <f>AND(IF(Metadata!AB520="",FALSE,TRUE),exact(Metadata!AB520,"Not applicable"))</f>
        <v>0</v>
      </c>
      <c r="BO520">
        <f>IF(Metadata!AC520="",FALSE,TRUE)</f>
        <v>0</v>
      </c>
    </row>
    <row r="521" spans="1:67">
      <c r="A521" s="5">
        <f>IF(B521=" "," ",HYPERLINK(CONCATENATE("#metadata!",ADDRESS(INDEX($AI$2:$AI$1001,MATCH(ROWS($AG$2:AG521),$AG$2:$AG$1001,0),0),1)),INDEX($AL$2:$AL$1001,MATCH(ROWS($AG$2:AG521),$AG$2:$AG$1001,0),0)))</f>
        <v>0</v>
      </c>
      <c r="B521" s="4">
        <f>IF(OR(INDEX($AH$2:$AH$1001,MATCH(ROWS($AG$2:AG521),$AG$2:$AG$1001,0),1)&gt;=100000,INDEX($AN$1005:$BO$1005,1,MATCH(COLUMNS($AN$1006:AN1006),$AN$1006:$BO$1006,0))&gt;=100000), " ",IF(INDEX($AN$2:$BO$1001,MATCH(ROWS($AG$2:AG521),$AG$2:$AG$1001,0),MATCH(COLUMNS($AN$1006:AN1006),$AN$1006:$BO$1006,0)), HYPERLINK("#",""), HYPERLINK(CONCATENATE("#Metadata!", ADDRESS(INDEX($AI$2:$AI$1001,MATCH(ROWS($AG$2:AG521),$AG$2:$AG$1001,0),0), INDEX($AN$1004:$BO$1004,1,MATCH(COLUMNS($AN$1006:AN1006),$AN$1006:$BO$1006,0)))),"Fix")))</f>
        <v>0</v>
      </c>
      <c r="C521" s="4">
        <f>IF(OR(INDEX($AH$2:$AH$1001,MATCH(ROWS($AG$2:AG521),$AG$2:$AG$1001,0),1)&gt;=100000,INDEX($AN$1005:$BO$1005,1,MATCH(COLUMNS($AN$1006:AO1006),$AN$1006:$BO$1006,0))&gt;=100000), " ",IF(INDEX($AN$2:$BO$1001,MATCH(ROWS($AG$2:AG521),$AG$2:$AG$1001,0),MATCH(COLUMNS($AN$1006:AO1006),$AN$1006:$BO$1006,0)), HYPERLINK("#",""), HYPERLINK(CONCATENATE("#Metadata!", ADDRESS(INDEX($AI$2:$AI$1001,MATCH(ROWS($AG$2:AG521),$AG$2:$AG$1001,0),0), INDEX($AN$1004:$BO$1004,1,MATCH(COLUMNS($AN$1006:AO1006),$AN$1006:$BO$1006,0)))),"Fix")))</f>
        <v>0</v>
      </c>
      <c r="D521" s="4">
        <f>IF(OR(INDEX($AH$2:$AH$1001,MATCH(ROWS($AG$2:AG521),$AG$2:$AG$1001,0),1)&gt;=100000,INDEX($AN$1005:$BO$1005,1,MATCH(COLUMNS($AN$1006:AP1006),$AN$1006:$BO$1006,0))&gt;=100000), " ",IF(INDEX($AN$2:$BO$1001,MATCH(ROWS($AG$2:AG521),$AG$2:$AG$1001,0),MATCH(COLUMNS($AN$1006:AP1006),$AN$1006:$BO$1006,0)), HYPERLINK("#",""), HYPERLINK(CONCATENATE("#Metadata!", ADDRESS(INDEX($AI$2:$AI$1001,MATCH(ROWS($AG$2:AG521),$AG$2:$AG$1001,0),0), INDEX($AN$1004:$BO$1004,1,MATCH(COLUMNS($AN$1006:AP1006),$AN$1006:$BO$1006,0)))),"Fix")))</f>
        <v>0</v>
      </c>
      <c r="E521" s="4">
        <f>IF(OR(INDEX($AH$2:$AH$1001,MATCH(ROWS($AG$2:AG521),$AG$2:$AG$1001,0),1)&gt;=100000,INDEX($AN$1005:$BO$1005,1,MATCH(COLUMNS($AN$1006:AQ1006),$AN$1006:$BO$1006,0))&gt;=100000), " ",IF(INDEX($AN$2:$BO$1001,MATCH(ROWS($AG$2:AG521),$AG$2:$AG$1001,0),MATCH(COLUMNS($AN$1006:AQ1006),$AN$1006:$BO$1006,0)), HYPERLINK("#",""), HYPERLINK(CONCATENATE("#Metadata!", ADDRESS(INDEX($AI$2:$AI$1001,MATCH(ROWS($AG$2:AG521),$AG$2:$AG$1001,0),0), INDEX($AN$1004:$BO$1004,1,MATCH(COLUMNS($AN$1006:AQ1006),$AN$1006:$BO$1006,0)))),"Fix")))</f>
        <v>0</v>
      </c>
      <c r="F521" s="4">
        <f>IF(OR(INDEX($AH$2:$AH$1001,MATCH(ROWS($AG$2:AG521),$AG$2:$AG$1001,0),1)&gt;=100000,INDEX($AN$1005:$BO$1005,1,MATCH(COLUMNS($AN$1006:AR1006),$AN$1006:$BO$1006,0))&gt;=100000), " ",IF(INDEX($AN$2:$BO$1001,MATCH(ROWS($AG$2:AG521),$AG$2:$AG$1001,0),MATCH(COLUMNS($AN$1006:AR1006),$AN$1006:$BO$1006,0)), HYPERLINK("#",""), HYPERLINK(CONCATENATE("#Metadata!", ADDRESS(INDEX($AI$2:$AI$1001,MATCH(ROWS($AG$2:AG521),$AG$2:$AG$1001,0),0), INDEX($AN$1004:$BO$1004,1,MATCH(COLUMNS($AN$1006:AR1006),$AN$1006:$BO$1006,0)))),"Fix")))</f>
        <v>0</v>
      </c>
      <c r="G521" s="4">
        <f>IF(OR(INDEX($AH$2:$AH$1001,MATCH(ROWS($AG$2:AG521),$AG$2:$AG$1001,0),1)&gt;=100000,INDEX($AN$1005:$BO$1005,1,MATCH(COLUMNS($AN$1006:AS1006),$AN$1006:$BO$1006,0))&gt;=100000), " ",IF(INDEX($AN$2:$BO$1001,MATCH(ROWS($AG$2:AG521),$AG$2:$AG$1001,0),MATCH(COLUMNS($AN$1006:AS1006),$AN$1006:$BO$1006,0)), HYPERLINK("#",""), HYPERLINK(CONCATENATE("#Metadata!", ADDRESS(INDEX($AI$2:$AI$1001,MATCH(ROWS($AG$2:AG521),$AG$2:$AG$1001,0),0), INDEX($AN$1004:$BO$1004,1,MATCH(COLUMNS($AN$1006:AS1006),$AN$1006:$BO$1006,0)))),"Fix")))</f>
        <v>0</v>
      </c>
      <c r="H521" s="4">
        <f>IF(OR(INDEX($AH$2:$AH$1001,MATCH(ROWS($AG$2:AG521),$AG$2:$AG$1001,0),1)&gt;=100000,INDEX($AN$1005:$BO$1005,1,MATCH(COLUMNS($AN$1006:AT1006),$AN$1006:$BO$1006,0))&gt;=100000), " ",IF(INDEX($AN$2:$BO$1001,MATCH(ROWS($AG$2:AG521),$AG$2:$AG$1001,0),MATCH(COLUMNS($AN$1006:AT1006),$AN$1006:$BO$1006,0)), HYPERLINK("#",""), HYPERLINK(CONCATENATE("#Metadata!", ADDRESS(INDEX($AI$2:$AI$1001,MATCH(ROWS($AG$2:AG521),$AG$2:$AG$1001,0),0), INDEX($AN$1004:$BO$1004,1,MATCH(COLUMNS($AN$1006:AT1006),$AN$1006:$BO$1006,0)))),"Fix")))</f>
        <v>0</v>
      </c>
      <c r="I521" s="4">
        <f>IF(OR(INDEX($AH$2:$AH$1001,MATCH(ROWS($AG$2:AG521),$AG$2:$AG$1001,0),1)&gt;=100000,INDEX($AN$1005:$BO$1005,1,MATCH(COLUMNS($AN$1006:AU1006),$AN$1006:$BO$1006,0))&gt;=100000), " ",IF(INDEX($AN$2:$BO$1001,MATCH(ROWS($AG$2:AG521),$AG$2:$AG$1001,0),MATCH(COLUMNS($AN$1006:AU1006),$AN$1006:$BO$1006,0)), HYPERLINK("#",""), HYPERLINK(CONCATENATE("#Metadata!", ADDRESS(INDEX($AI$2:$AI$1001,MATCH(ROWS($AG$2:AG521),$AG$2:$AG$1001,0),0), INDEX($AN$1004:$BO$1004,1,MATCH(COLUMNS($AN$1006:AU1006),$AN$1006:$BO$1006,0)))),"Fix")))</f>
        <v>0</v>
      </c>
      <c r="J521" s="4">
        <f>IF(OR(INDEX($AH$2:$AH$1001,MATCH(ROWS($AG$2:AG521),$AG$2:$AG$1001,0),1)&gt;=100000,INDEX($AN$1005:$BO$1005,1,MATCH(COLUMNS($AN$1006:AV1006),$AN$1006:$BO$1006,0))&gt;=100000), " ",IF(INDEX($AN$2:$BO$1001,MATCH(ROWS($AG$2:AG521),$AG$2:$AG$1001,0),MATCH(COLUMNS($AN$1006:AV1006),$AN$1006:$BO$1006,0)), HYPERLINK("#",""), HYPERLINK(CONCATENATE("#Metadata!", ADDRESS(INDEX($AI$2:$AI$1001,MATCH(ROWS($AG$2:AG521),$AG$2:$AG$1001,0),0), INDEX($AN$1004:$BO$1004,1,MATCH(COLUMNS($AN$1006:AV1006),$AN$1006:$BO$1006,0)))),"Fix")))</f>
        <v>0</v>
      </c>
      <c r="K521" s="4">
        <f>IF(OR(INDEX($AH$2:$AH$1001,MATCH(ROWS($AG$2:AG521),$AG$2:$AG$1001,0),1)&gt;=100000,INDEX($AN$1005:$BO$1005,1,MATCH(COLUMNS($AN$1006:AW1006),$AN$1006:$BO$1006,0))&gt;=100000), " ",IF(INDEX($AN$2:$BO$1001,MATCH(ROWS($AG$2:AG521),$AG$2:$AG$1001,0),MATCH(COLUMNS($AN$1006:AW1006),$AN$1006:$BO$1006,0)), HYPERLINK("#",""), HYPERLINK(CONCATENATE("#Metadata!", ADDRESS(INDEX($AI$2:$AI$1001,MATCH(ROWS($AG$2:AG521),$AG$2:$AG$1001,0),0), INDEX($AN$1004:$BO$1004,1,MATCH(COLUMNS($AN$1006:AW1006),$AN$1006:$BO$1006,0)))),"Fix")))</f>
        <v>0</v>
      </c>
      <c r="L521" s="4">
        <f>IF(OR(INDEX($AH$2:$AH$1001,MATCH(ROWS($AG$2:AG521),$AG$2:$AG$1001,0),1)&gt;=100000,INDEX($AN$1005:$BO$1005,1,MATCH(COLUMNS($AN$1006:AX1006),$AN$1006:$BO$1006,0))&gt;=100000), " ",IF(INDEX($AN$2:$BO$1001,MATCH(ROWS($AG$2:AG521),$AG$2:$AG$1001,0),MATCH(COLUMNS($AN$1006:AX1006),$AN$1006:$BO$1006,0)), HYPERLINK("#",""), HYPERLINK(CONCATENATE("#Metadata!", ADDRESS(INDEX($AI$2:$AI$1001,MATCH(ROWS($AG$2:AG521),$AG$2:$AG$1001,0),0), INDEX($AN$1004:$BO$1004,1,MATCH(COLUMNS($AN$1006:AX1006),$AN$1006:$BO$1006,0)))),"Fix")))</f>
        <v>0</v>
      </c>
      <c r="M521" s="4">
        <f>IF(OR(INDEX($AH$2:$AH$1001,MATCH(ROWS($AG$2:AG521),$AG$2:$AG$1001,0),1)&gt;=100000,INDEX($AN$1005:$BO$1005,1,MATCH(COLUMNS($AN$1006:AY1006),$AN$1006:$BO$1006,0))&gt;=100000), " ",IF(INDEX($AN$2:$BO$1001,MATCH(ROWS($AG$2:AG521),$AG$2:$AG$1001,0),MATCH(COLUMNS($AN$1006:AY1006),$AN$1006:$BO$1006,0)), HYPERLINK("#",""), HYPERLINK(CONCATENATE("#Metadata!", ADDRESS(INDEX($AI$2:$AI$1001,MATCH(ROWS($AG$2:AG521),$AG$2:$AG$1001,0),0), INDEX($AN$1004:$BO$1004,1,MATCH(COLUMNS($AN$1006:AY1006),$AN$1006:$BO$1006,0)))),"Fix")))</f>
        <v>0</v>
      </c>
      <c r="N521" s="4">
        <f>IF(OR(INDEX($AH$2:$AH$1001,MATCH(ROWS($AG$2:AG521),$AG$2:$AG$1001,0),1)&gt;=100000,INDEX($AN$1005:$BO$1005,1,MATCH(COLUMNS($AN$1006:AZ1006),$AN$1006:$BO$1006,0))&gt;=100000), " ",IF(INDEX($AN$2:$BO$1001,MATCH(ROWS($AG$2:AG521),$AG$2:$AG$1001,0),MATCH(COLUMNS($AN$1006:AZ1006),$AN$1006:$BO$1006,0)), HYPERLINK("#",""), HYPERLINK(CONCATENATE("#Metadata!", ADDRESS(INDEX($AI$2:$AI$1001,MATCH(ROWS($AG$2:AG521),$AG$2:$AG$1001,0),0), INDEX($AN$1004:$BO$1004,1,MATCH(COLUMNS($AN$1006:AZ1006),$AN$1006:$BO$1006,0)))),"Fix")))</f>
        <v>0</v>
      </c>
      <c r="O521" s="4">
        <f>IF(OR(INDEX($AH$2:$AH$1001,MATCH(ROWS($AG$2:AG521),$AG$2:$AG$1001,0),1)&gt;=100000,INDEX($AN$1005:$BO$1005,1,MATCH(COLUMNS($AN$1006:BA1006),$AN$1006:$BO$1006,0))&gt;=100000), " ",IF(INDEX($AN$2:$BO$1001,MATCH(ROWS($AG$2:AG521),$AG$2:$AG$1001,0),MATCH(COLUMNS($AN$1006:BA1006),$AN$1006:$BO$1006,0)), HYPERLINK("#",""), HYPERLINK(CONCATENATE("#Metadata!", ADDRESS(INDEX($AI$2:$AI$1001,MATCH(ROWS($AG$2:AG521),$AG$2:$AG$1001,0),0), INDEX($AN$1004:$BO$1004,1,MATCH(COLUMNS($AN$1006:BA1006),$AN$1006:$BO$1006,0)))),"Fix")))</f>
        <v>0</v>
      </c>
      <c r="P521" s="4">
        <f>IF(OR(INDEX($AH$2:$AH$1001,MATCH(ROWS($AG$2:AG521),$AG$2:$AG$1001,0),1)&gt;=100000,INDEX($AN$1005:$BO$1005,1,MATCH(COLUMNS($AN$1006:BB1006),$AN$1006:$BO$1006,0))&gt;=100000), " ",IF(INDEX($AN$2:$BO$1001,MATCH(ROWS($AG$2:AG521),$AG$2:$AG$1001,0),MATCH(COLUMNS($AN$1006:BB1006),$AN$1006:$BO$1006,0)), HYPERLINK("#",""), HYPERLINK(CONCATENATE("#Metadata!", ADDRESS(INDEX($AI$2:$AI$1001,MATCH(ROWS($AG$2:AG521),$AG$2:$AG$1001,0),0), INDEX($AN$1004:$BO$1004,1,MATCH(COLUMNS($AN$1006:BB1006),$AN$1006:$BO$1006,0)))),"Fix")))</f>
        <v>0</v>
      </c>
      <c r="Q521" s="4">
        <f>IF(OR(INDEX($AH$2:$AH$1001,MATCH(ROWS($AG$2:AG521),$AG$2:$AG$1001,0),1)&gt;=100000,INDEX($AN$1005:$BO$1005,1,MATCH(COLUMNS($AN$1006:BC1006),$AN$1006:$BO$1006,0))&gt;=100000), " ",IF(INDEX($AN$2:$BO$1001,MATCH(ROWS($AG$2:AG521),$AG$2:$AG$1001,0),MATCH(COLUMNS($AN$1006:BC1006),$AN$1006:$BO$1006,0)), HYPERLINK("#",""), HYPERLINK(CONCATENATE("#Metadata!", ADDRESS(INDEX($AI$2:$AI$1001,MATCH(ROWS($AG$2:AG521),$AG$2:$AG$1001,0),0), INDEX($AN$1004:$BO$1004,1,MATCH(COLUMNS($AN$1006:BC1006),$AN$1006:$BO$1006,0)))),"Fix")))</f>
        <v>0</v>
      </c>
      <c r="R521" s="4">
        <f>IF(OR(INDEX($AH$2:$AH$1001,MATCH(ROWS($AG$2:AG521),$AG$2:$AG$1001,0),1)&gt;=100000,INDEX($AN$1005:$BO$1005,1,MATCH(COLUMNS($AN$1006:BD1006),$AN$1006:$BO$1006,0))&gt;=100000), " ",IF(INDEX($AN$2:$BO$1001,MATCH(ROWS($AG$2:AG521),$AG$2:$AG$1001,0),MATCH(COLUMNS($AN$1006:BD1006),$AN$1006:$BO$1006,0)), HYPERLINK("#",""), HYPERLINK(CONCATENATE("#Metadata!", ADDRESS(INDEX($AI$2:$AI$1001,MATCH(ROWS($AG$2:AG521),$AG$2:$AG$1001,0),0), INDEX($AN$1004:$BO$1004,1,MATCH(COLUMNS($AN$1006:BD1006),$AN$1006:$BO$1006,0)))),"Fix")))</f>
        <v>0</v>
      </c>
      <c r="S521" s="4">
        <f>IF(OR(INDEX($AH$2:$AH$1001,MATCH(ROWS($AG$2:AG521),$AG$2:$AG$1001,0),1)&gt;=100000,INDEX($AN$1005:$BO$1005,1,MATCH(COLUMNS($AN$1006:BE1006),$AN$1006:$BO$1006,0))&gt;=100000), " ",IF(INDEX($AN$2:$BO$1001,MATCH(ROWS($AG$2:AG521),$AG$2:$AG$1001,0),MATCH(COLUMNS($AN$1006:BE1006),$AN$1006:$BO$1006,0)), HYPERLINK("#",""), HYPERLINK(CONCATENATE("#Metadata!", ADDRESS(INDEX($AI$2:$AI$1001,MATCH(ROWS($AG$2:AG521),$AG$2:$AG$1001,0),0), INDEX($AN$1004:$BO$1004,1,MATCH(COLUMNS($AN$1006:BE1006),$AN$1006:$BO$1006,0)))),"Fix")))</f>
        <v>0</v>
      </c>
      <c r="T521" s="4">
        <f>IF(OR(INDEX($AH$2:$AH$1001,MATCH(ROWS($AG$2:AG521),$AG$2:$AG$1001,0),1)&gt;=100000,INDEX($AN$1005:$BO$1005,1,MATCH(COLUMNS($AN$1006:BF1006),$AN$1006:$BO$1006,0))&gt;=100000), " ",IF(INDEX($AN$2:$BO$1001,MATCH(ROWS($AG$2:AG521),$AG$2:$AG$1001,0),MATCH(COLUMNS($AN$1006:BF1006),$AN$1006:$BO$1006,0)), HYPERLINK("#",""), HYPERLINK(CONCATENATE("#Metadata!", ADDRESS(INDEX($AI$2:$AI$1001,MATCH(ROWS($AG$2:AG521),$AG$2:$AG$1001,0),0), INDEX($AN$1004:$BO$1004,1,MATCH(COLUMNS($AN$1006:BF1006),$AN$1006:$BO$1006,0)))),"Fix")))</f>
        <v>0</v>
      </c>
      <c r="U521" s="4">
        <f>IF(OR(INDEX($AH$2:$AH$1001,MATCH(ROWS($AG$2:AG521),$AG$2:$AG$1001,0),1)&gt;=100000,INDEX($AN$1005:$BO$1005,1,MATCH(COLUMNS($AN$1006:BG1006),$AN$1006:$BO$1006,0))&gt;=100000), " ",IF(INDEX($AN$2:$BO$1001,MATCH(ROWS($AG$2:AG521),$AG$2:$AG$1001,0),MATCH(COLUMNS($AN$1006:BG1006),$AN$1006:$BO$1006,0)), HYPERLINK("#",""), HYPERLINK(CONCATENATE("#Metadata!", ADDRESS(INDEX($AI$2:$AI$1001,MATCH(ROWS($AG$2:AG521),$AG$2:$AG$1001,0),0), INDEX($AN$1004:$BO$1004,1,MATCH(COLUMNS($AN$1006:BG1006),$AN$1006:$BO$1006,0)))),"Fix")))</f>
        <v>0</v>
      </c>
      <c r="V521" s="4">
        <f>IF(OR(INDEX($AH$2:$AH$1001,MATCH(ROWS($AG$2:AG521),$AG$2:$AG$1001,0),1)&gt;=100000,INDEX($AN$1005:$BO$1005,1,MATCH(COLUMNS($AN$1006:BH1006),$AN$1006:$BO$1006,0))&gt;=100000), " ",IF(INDEX($AN$2:$BO$1001,MATCH(ROWS($AG$2:AG521),$AG$2:$AG$1001,0),MATCH(COLUMNS($AN$1006:BH1006),$AN$1006:$BO$1006,0)), HYPERLINK("#",""), HYPERLINK(CONCATENATE("#Metadata!", ADDRESS(INDEX($AI$2:$AI$1001,MATCH(ROWS($AG$2:AG521),$AG$2:$AG$1001,0),0), INDEX($AN$1004:$BO$1004,1,MATCH(COLUMNS($AN$1006:BH1006),$AN$1006:$BO$1006,0)))),"Fix")))</f>
        <v>0</v>
      </c>
      <c r="W521" s="4">
        <f>IF(OR(INDEX($AH$2:$AH$1001,MATCH(ROWS($AG$2:AG521),$AG$2:$AG$1001,0),1)&gt;=100000,INDEX($AN$1005:$BO$1005,1,MATCH(COLUMNS($AN$1006:BI1006),$AN$1006:$BO$1006,0))&gt;=100000), " ",IF(INDEX($AN$2:$BO$1001,MATCH(ROWS($AG$2:AG521),$AG$2:$AG$1001,0),MATCH(COLUMNS($AN$1006:BI1006),$AN$1006:$BO$1006,0)), HYPERLINK("#",""), HYPERLINK(CONCATENATE("#Metadata!", ADDRESS(INDEX($AI$2:$AI$1001,MATCH(ROWS($AG$2:AG521),$AG$2:$AG$1001,0),0), INDEX($AN$1004:$BO$1004,1,MATCH(COLUMNS($AN$1006:BI1006),$AN$1006:$BO$1006,0)))),"Fix")))</f>
        <v>0</v>
      </c>
      <c r="X521" s="4">
        <f>IF(OR(INDEX($AH$2:$AH$1001,MATCH(ROWS($AG$2:AG521),$AG$2:$AG$1001,0),1)&gt;=100000,INDEX($AN$1005:$BO$1005,1,MATCH(COLUMNS($AN$1006:BJ1006),$AN$1006:$BO$1006,0))&gt;=100000), " ",IF(INDEX($AN$2:$BO$1001,MATCH(ROWS($AG$2:AG521),$AG$2:$AG$1001,0),MATCH(COLUMNS($AN$1006:BJ1006),$AN$1006:$BO$1006,0)), HYPERLINK("#",""), HYPERLINK(CONCATENATE("#Metadata!", ADDRESS(INDEX($AI$2:$AI$1001,MATCH(ROWS($AG$2:AG521),$AG$2:$AG$1001,0),0), INDEX($AN$1004:$BO$1004,1,MATCH(COLUMNS($AN$1006:BJ1006),$AN$1006:$BO$1006,0)))),"Fix")))</f>
        <v>0</v>
      </c>
      <c r="Y521" s="4">
        <f>IF(OR(INDEX($AH$2:$AH$1001,MATCH(ROWS($AG$2:AG521),$AG$2:$AG$1001,0),1)&gt;=100000,INDEX($AN$1005:$BO$1005,1,MATCH(COLUMNS($AN$1006:BK1006),$AN$1006:$BO$1006,0))&gt;=100000), " ",IF(INDEX($AN$2:$BO$1001,MATCH(ROWS($AG$2:AG521),$AG$2:$AG$1001,0),MATCH(COLUMNS($AN$1006:BK1006),$AN$1006:$BO$1006,0)), HYPERLINK("#",""), HYPERLINK(CONCATENATE("#Metadata!", ADDRESS(INDEX($AI$2:$AI$1001,MATCH(ROWS($AG$2:AG521),$AG$2:$AG$1001,0),0), INDEX($AN$1004:$BO$1004,1,MATCH(COLUMNS($AN$1006:BK1006),$AN$1006:$BO$1006,0)))),"Fix")))</f>
        <v>0</v>
      </c>
      <c r="Z521" s="4">
        <f>IF(OR(INDEX($AH$2:$AH$1001,MATCH(ROWS($AG$2:AG521),$AG$2:$AG$1001,0),1)&gt;=100000,INDEX($AN$1005:$BO$1005,1,MATCH(COLUMNS($AN$1006:BL1006),$AN$1006:$BO$1006,0))&gt;=100000), " ",IF(INDEX($AN$2:$BO$1001,MATCH(ROWS($AG$2:AG521),$AG$2:$AG$1001,0),MATCH(COLUMNS($AN$1006:BL1006),$AN$1006:$BO$1006,0)), HYPERLINK("#",""), HYPERLINK(CONCATENATE("#Metadata!", ADDRESS(INDEX($AI$2:$AI$1001,MATCH(ROWS($AG$2:AG521),$AG$2:$AG$1001,0),0), INDEX($AN$1004:$BO$1004,1,MATCH(COLUMNS($AN$1006:BL1006),$AN$1006:$BO$1006,0)))),"Fix")))</f>
        <v>0</v>
      </c>
      <c r="AA521" s="4">
        <f>IF(OR(INDEX($AH$2:$AH$1001,MATCH(ROWS($AG$2:AG521),$AG$2:$AG$1001,0),1)&gt;=100000,INDEX($AN$1005:$BO$1005,1,MATCH(COLUMNS($AN$1006:BM1006),$AN$1006:$BO$1006,0))&gt;=100000), " ",IF(INDEX($AN$2:$BO$1001,MATCH(ROWS($AG$2:AG521),$AG$2:$AG$1001,0),MATCH(COLUMNS($AN$1006:BM1006),$AN$1006:$BO$1006,0)), HYPERLINK("#",""), HYPERLINK(CONCATENATE("#Metadata!", ADDRESS(INDEX($AI$2:$AI$1001,MATCH(ROWS($AG$2:AG521),$AG$2:$AG$1001,0),0), INDEX($AN$1004:$BO$1004,1,MATCH(COLUMNS($AN$1006:BM1006),$AN$1006:$BO$1006,0)))),"Fix")))</f>
        <v>0</v>
      </c>
      <c r="AB521" s="4">
        <f>IF(OR(INDEX($AH$2:$AH$1001,MATCH(ROWS($AG$2:AG521),$AG$2:$AG$1001,0),1)&gt;=100000,INDEX($AN$1005:$BO$1005,1,MATCH(COLUMNS($AN$1006:BN1006),$AN$1006:$BO$1006,0))&gt;=100000), " ",IF(INDEX($AN$2:$BO$1001,MATCH(ROWS($AG$2:AG521),$AG$2:$AG$1001,0),MATCH(COLUMNS($AN$1006:BN1006),$AN$1006:$BO$1006,0)), HYPERLINK("#",""), HYPERLINK(CONCATENATE("#Metadata!", ADDRESS(INDEX($AI$2:$AI$1001,MATCH(ROWS($AG$2:AG521),$AG$2:$AG$1001,0),0), INDEX($AN$1004:$BO$1004,1,MATCH(COLUMNS($AN$1006:BN1006),$AN$1006:$BO$1006,0)))),"Fix")))</f>
        <v>0</v>
      </c>
      <c r="AC521" s="4">
        <f>IF(OR(INDEX($AH$2:$AH$1001,MATCH(ROWS($AG$2:AG521),$AG$2:$AG$1001,0),1)&gt;=100000,INDEX($AN$1005:$BO$1005,1,MATCH(COLUMNS($AN$1006:BO1006),$AN$1006:$BO$1006,0))&gt;=100000), " ",IF(INDEX($AN$2:$BO$1001,MATCH(ROWS($AG$2:AG521),$AG$2:$AG$1001,0),MATCH(COLUMNS($AN$1006:BO1006),$AN$1006:$BO$1006,0)), HYPERLINK("#",""), HYPERLINK(CONCATENATE("#Metadata!", ADDRESS(INDEX($AI$2:$AI$1001,MATCH(ROWS($AG$2:AG521),$AG$2:$AG$1001,0),0), INDEX($AN$1004:$BO$1004,1,MATCH(COLUMNS($AN$1006:BO1006),$AN$1006:$BO$1006,0)))),"Fix")))</f>
        <v>0</v>
      </c>
      <c r="AG521">
        <v>0</v>
      </c>
      <c r="AH521">
        <v>0</v>
      </c>
      <c r="AI521">
        <v>0</v>
      </c>
      <c r="AJ521">
        <f>IF(AK521,TRUE,AND(AN521:BO521))</f>
        <v>0</v>
      </c>
      <c r="AK521">
        <f>COUNTBLANK(Metadata!B521:AC521)=COLUMNS(Metadata!B521:AC521)</f>
        <v>0</v>
      </c>
      <c r="AL521">
        <v>0</v>
      </c>
      <c r="AN521">
        <f>AND(IF(Metadata!B521="",FALSE,TRUE),COUNTIF(Metadata!B:B, Metadata!B521) = 1,NOT(ISERROR(SUMPRODUCT(SEARCH(MID(Metadata!B521,ROW(INDIRECT("1:"&amp;LEN(Metadata!B521))), 1),"0123456789abcdefghijklmnopqrstuvwxyzABCDEFGHIJKLMNOPQRSTUVWXYZ.")))))</f>
        <v>0</v>
      </c>
      <c r="AO521">
        <f>IF(Metadata!C521="",FALSE,TRUE)</f>
        <v>0</v>
      </c>
      <c r="AP521">
        <f>IF(Metadata!D521="",FALSE,TRUE)</f>
        <v>0</v>
      </c>
      <c r="AQ521">
        <f>OR(AND(IF(Metadata!E521="",FALSE,TRUE),OR(exact(Metadata!E521,"not collected"),exact(Metadata!E521,"not provided"),exact(Metadata!E521,"restricted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R521">
        <f>IF(Metadata!F521="",FALSE,TRUE)</f>
        <v>0</v>
      </c>
      <c r="AS521">
        <f>OR(AND(IF(Metadata!G521="",FALSE,TRUE),OR(exact(Metadata!G521,"not collected"),exact(Metadata!G521,"not provided"))),AND(IF(Metadata!G521="",FALSE,TRUE),OR(exact(Metadata!G521,"TRUE"),exact(Metadata!G521,"FALSE"))))</f>
        <v>0</v>
      </c>
      <c r="AT521">
        <f>OR(AND(IF(Metadata!H521="",FALSE,TRUE),OR(exact(Metadata!H521,"not collected"),exact(Metadata!H521,"not provided"),exact(Metadata!H521,"restricted access"))),AND(IF(Metadata!H521="",FALSE,ISNUMBER(VALUE(Metadata!H521))),Metadata!H521&gt;=-413.0))</f>
        <v>0</v>
      </c>
      <c r="AU521">
        <f>AND(IF(Metadata!I521="",FALSE,TRUE),exact(Metadata!I521,"meters"))</f>
        <v>0</v>
      </c>
      <c r="AV521">
        <f>AND(IF(Metadata!J521="",FALSE,TRUE),OR(exact(Metadata!J521,"Host-associated"),exact(Metadata!J521,"Free-living")))</f>
        <v>0</v>
      </c>
      <c r="AW521">
        <f>AND(IF(Metadata!K521="",FALSE,TRUE),OR(exact(Metadata!K521,"Animal"),exact(Metadata!K521,"Fungus"),exact(Metadata!K521,"Plant"),exact(Metadata!K521,"Saline"),exact(Metadata!K521,"Non-saline")))</f>
        <v>0</v>
      </c>
      <c r="AX521">
        <f>AND(IF(Metadata!L521="",FALSE,TRUE),OR(exact(Metadata!L521,"Plant secretion"),exact(Metadata!L521,"Plant rhizosphere"),exact(Metadata!L521,"Plant surface"),exact(Metadata!L521,"Plant corpus"),exact(Metadata!L521,"Fungus surface"),exact(Metadata!L521,"Fungus corpus"),exact(Metadata!L521,"Animal surface"),exact(Metadata!L521,"Animal proximal gut"),exact(Metadata!L521,"Animal corpus"),exact(Metadata!L521,"Animal distal gut"),exact(Metadata!L521,"Animal secretion"),exact(Metadata!L521,"Sub-surface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Y521">
        <f>IF(Metadata!M521="",FALSE,TRUE)</f>
        <v>0</v>
      </c>
      <c r="AZ521">
        <f>IF(Metadata!N521="",FALSE,TRUE)</f>
        <v>0</v>
      </c>
      <c r="BA521">
        <f>IF(Metadata!O521="",FALSE,TRUE)</f>
        <v>0</v>
      </c>
      <c r="BB521">
        <f>OR(AND(IF(Metadata!P521="",FALSE,TRUE),OR(exact(Metadata!P521,"not collected"),exact(Metadata!P521,"not provided"),exact(Metadata!P521,"restricted access"))),AND(IF(Metadata!P521="",FALSE,TRUE),OR(exact(Metadata!P521,"air"),exact(Metadata!P521,"built environment"),exact(Metadata!P521,"host-associated"),exact(Metadata!P521,"human-associated"),exact(Metadata!P521,"human-skin"),exact(Metadata!P521,"human-oral"),exact(Metadata!P521,"human-gut"),exact(Metadata!P521,"human-vaginal"),exact(Metadata!P521,"microbial mat/biofilm"),exact(Metadata!P521,"misc environment"),exact(Metadata!P521,"plant-associated"),exact(Metadata!P521,"sediment"),exact(Metadata!P521,"soil"),exact(Metadata!P521,"wastewater/sludge"),exact(Metadata!P521,"water"))))</f>
        <v>0</v>
      </c>
      <c r="BC521">
        <f>IF(Metadata!Q521="",FALSE,TRUE)</f>
        <v>0</v>
      </c>
      <c r="BD521">
        <f>IF(Metadata!R521="",FALSE,TRUE)</f>
        <v>0</v>
      </c>
      <c r="BE521">
        <f>OR(AND(IF(Metadata!S521="",FALSE,TRUE),OR(exact(Metadata!S521,"not collected"),exact(Metadata!S521,"not provided"),exact(Metadata!S521,"restricted access"))),AND(IF(Metadata!S521="",FALSE,ISNUMBER(VALUE(Metadata!S521))),Metadata!S521&gt;=-90.00,Metadata!S521&lt;=90.00))</f>
        <v>0</v>
      </c>
      <c r="BF521">
        <f>AND(IF(Metadata!T521="",FALSE,TRUE),exact(Metadata!T521,"Decimal degrees"))</f>
        <v>0</v>
      </c>
      <c r="BG521">
        <f>OR(AND(IF(Metadata!U521="",FALSE,TRUE),OR(exact(Metadata!U521,"not collected"),exact(Metadata!U521,"not provided"),exact(Metadata!U521,"restricted access"))),AND(IF(Metadata!U521="",FALSE,ISNUMBER(VALUE(Metadata!U521))),Metadata!U521&gt;=-180.00,Metadata!U521&lt;=180.00))</f>
        <v>0</v>
      </c>
      <c r="BH521">
        <f>AND(IF(Metadata!V521="",FALSE,TRUE),exact(Metadata!V521,"Decimal degrees"))</f>
        <v>0</v>
      </c>
      <c r="BI521">
        <f>IF(Metadata!W521="",FALSE,TRUE)</f>
        <v>0</v>
      </c>
      <c r="BJ521">
        <f>OR(AND(IF(Metadata!X521="",FALSE,TRUE),OR(exact(Metadata!X521,"not collected"),exact(Metadata!X521,"not provided"),exact(Metadata!X521,"restricted access"))),AND(IF(Metadata!X521="",FALSE,TRUE),OR(exact(Metadata!X521,"TRUE"),exact(Metadata!X521,"FALSE"))))</f>
        <v>0</v>
      </c>
      <c r="BK521">
        <f>AND(IF(Metadata!Y521="",FALSE,TRUE),exact(Metadata!Y521,"other"))</f>
        <v>0</v>
      </c>
      <c r="BL521">
        <f>IF(Metadata!Z521="",FALSE,TRUE)</f>
        <v>0</v>
      </c>
      <c r="BM521">
        <f>OR(AND(IF(Metadata!AA521="",FALSE,TRUE),OR(exact(Metadata!AA521,"not collected"),exact(Metadata!AA521,"not provided"))),AND(IF(Metadata!AA521="",FALSE,IF(ISERROR(INT(Metadata!AA521)),FALSE,INT(Metadata!AA521)=Metadata!AA521)),Metadata!AA521&gt;0))</f>
        <v>0</v>
      </c>
      <c r="BN521">
        <f>AND(IF(Metadata!AB521="",FALSE,TRUE),exact(Metadata!AB521,"Not applicable"))</f>
        <v>0</v>
      </c>
      <c r="BO521">
        <f>IF(Metadata!AC521="",FALSE,TRUE)</f>
        <v>0</v>
      </c>
    </row>
    <row r="522" spans="1:67">
      <c r="A522" s="5">
        <f>IF(B522=" "," ",HYPERLINK(CONCATENATE("#metadata!",ADDRESS(INDEX($AI$2:$AI$1001,MATCH(ROWS($AG$2:AG522),$AG$2:$AG$1001,0),0),1)),INDEX($AL$2:$AL$1001,MATCH(ROWS($AG$2:AG522),$AG$2:$AG$1001,0),0)))</f>
        <v>0</v>
      </c>
      <c r="B522" s="4">
        <f>IF(OR(INDEX($AH$2:$AH$1001,MATCH(ROWS($AG$2:AG522),$AG$2:$AG$1001,0),1)&gt;=100000,INDEX($AN$1005:$BO$1005,1,MATCH(COLUMNS($AN$1006:AN1006),$AN$1006:$BO$1006,0))&gt;=100000), " ",IF(INDEX($AN$2:$BO$1001,MATCH(ROWS($AG$2:AG522),$AG$2:$AG$1001,0),MATCH(COLUMNS($AN$1006:AN1006),$AN$1006:$BO$1006,0)), HYPERLINK("#",""), HYPERLINK(CONCATENATE("#Metadata!", ADDRESS(INDEX($AI$2:$AI$1001,MATCH(ROWS($AG$2:AG522),$AG$2:$AG$1001,0),0), INDEX($AN$1004:$BO$1004,1,MATCH(COLUMNS($AN$1006:AN1006),$AN$1006:$BO$1006,0)))),"Fix")))</f>
        <v>0</v>
      </c>
      <c r="C522" s="4">
        <f>IF(OR(INDEX($AH$2:$AH$1001,MATCH(ROWS($AG$2:AG522),$AG$2:$AG$1001,0),1)&gt;=100000,INDEX($AN$1005:$BO$1005,1,MATCH(COLUMNS($AN$1006:AO1006),$AN$1006:$BO$1006,0))&gt;=100000), " ",IF(INDEX($AN$2:$BO$1001,MATCH(ROWS($AG$2:AG522),$AG$2:$AG$1001,0),MATCH(COLUMNS($AN$1006:AO1006),$AN$1006:$BO$1006,0)), HYPERLINK("#",""), HYPERLINK(CONCATENATE("#Metadata!", ADDRESS(INDEX($AI$2:$AI$1001,MATCH(ROWS($AG$2:AG522),$AG$2:$AG$1001,0),0), INDEX($AN$1004:$BO$1004,1,MATCH(COLUMNS($AN$1006:AO1006),$AN$1006:$BO$1006,0)))),"Fix")))</f>
        <v>0</v>
      </c>
      <c r="D522" s="4">
        <f>IF(OR(INDEX($AH$2:$AH$1001,MATCH(ROWS($AG$2:AG522),$AG$2:$AG$1001,0),1)&gt;=100000,INDEX($AN$1005:$BO$1005,1,MATCH(COLUMNS($AN$1006:AP1006),$AN$1006:$BO$1006,0))&gt;=100000), " ",IF(INDEX($AN$2:$BO$1001,MATCH(ROWS($AG$2:AG522),$AG$2:$AG$1001,0),MATCH(COLUMNS($AN$1006:AP1006),$AN$1006:$BO$1006,0)), HYPERLINK("#",""), HYPERLINK(CONCATENATE("#Metadata!", ADDRESS(INDEX($AI$2:$AI$1001,MATCH(ROWS($AG$2:AG522),$AG$2:$AG$1001,0),0), INDEX($AN$1004:$BO$1004,1,MATCH(COLUMNS($AN$1006:AP1006),$AN$1006:$BO$1006,0)))),"Fix")))</f>
        <v>0</v>
      </c>
      <c r="E522" s="4">
        <f>IF(OR(INDEX($AH$2:$AH$1001,MATCH(ROWS($AG$2:AG522),$AG$2:$AG$1001,0),1)&gt;=100000,INDEX($AN$1005:$BO$1005,1,MATCH(COLUMNS($AN$1006:AQ1006),$AN$1006:$BO$1006,0))&gt;=100000), " ",IF(INDEX($AN$2:$BO$1001,MATCH(ROWS($AG$2:AG522),$AG$2:$AG$1001,0),MATCH(COLUMNS($AN$1006:AQ1006),$AN$1006:$BO$1006,0)), HYPERLINK("#",""), HYPERLINK(CONCATENATE("#Metadata!", ADDRESS(INDEX($AI$2:$AI$1001,MATCH(ROWS($AG$2:AG522),$AG$2:$AG$1001,0),0), INDEX($AN$1004:$BO$1004,1,MATCH(COLUMNS($AN$1006:AQ1006),$AN$1006:$BO$1006,0)))),"Fix")))</f>
        <v>0</v>
      </c>
      <c r="F522" s="4">
        <f>IF(OR(INDEX($AH$2:$AH$1001,MATCH(ROWS($AG$2:AG522),$AG$2:$AG$1001,0),1)&gt;=100000,INDEX($AN$1005:$BO$1005,1,MATCH(COLUMNS($AN$1006:AR1006),$AN$1006:$BO$1006,0))&gt;=100000), " ",IF(INDEX($AN$2:$BO$1001,MATCH(ROWS($AG$2:AG522),$AG$2:$AG$1001,0),MATCH(COLUMNS($AN$1006:AR1006),$AN$1006:$BO$1006,0)), HYPERLINK("#",""), HYPERLINK(CONCATENATE("#Metadata!", ADDRESS(INDEX($AI$2:$AI$1001,MATCH(ROWS($AG$2:AG522),$AG$2:$AG$1001,0),0), INDEX($AN$1004:$BO$1004,1,MATCH(COLUMNS($AN$1006:AR1006),$AN$1006:$BO$1006,0)))),"Fix")))</f>
        <v>0</v>
      </c>
      <c r="G522" s="4">
        <f>IF(OR(INDEX($AH$2:$AH$1001,MATCH(ROWS($AG$2:AG522),$AG$2:$AG$1001,0),1)&gt;=100000,INDEX($AN$1005:$BO$1005,1,MATCH(COLUMNS($AN$1006:AS1006),$AN$1006:$BO$1006,0))&gt;=100000), " ",IF(INDEX($AN$2:$BO$1001,MATCH(ROWS($AG$2:AG522),$AG$2:$AG$1001,0),MATCH(COLUMNS($AN$1006:AS1006),$AN$1006:$BO$1006,0)), HYPERLINK("#",""), HYPERLINK(CONCATENATE("#Metadata!", ADDRESS(INDEX($AI$2:$AI$1001,MATCH(ROWS($AG$2:AG522),$AG$2:$AG$1001,0),0), INDEX($AN$1004:$BO$1004,1,MATCH(COLUMNS($AN$1006:AS1006),$AN$1006:$BO$1006,0)))),"Fix")))</f>
        <v>0</v>
      </c>
      <c r="H522" s="4">
        <f>IF(OR(INDEX($AH$2:$AH$1001,MATCH(ROWS($AG$2:AG522),$AG$2:$AG$1001,0),1)&gt;=100000,INDEX($AN$1005:$BO$1005,1,MATCH(COLUMNS($AN$1006:AT1006),$AN$1006:$BO$1006,0))&gt;=100000), " ",IF(INDEX($AN$2:$BO$1001,MATCH(ROWS($AG$2:AG522),$AG$2:$AG$1001,0),MATCH(COLUMNS($AN$1006:AT1006),$AN$1006:$BO$1006,0)), HYPERLINK("#",""), HYPERLINK(CONCATENATE("#Metadata!", ADDRESS(INDEX($AI$2:$AI$1001,MATCH(ROWS($AG$2:AG522),$AG$2:$AG$1001,0),0), INDEX($AN$1004:$BO$1004,1,MATCH(COLUMNS($AN$1006:AT1006),$AN$1006:$BO$1006,0)))),"Fix")))</f>
        <v>0</v>
      </c>
      <c r="I522" s="4">
        <f>IF(OR(INDEX($AH$2:$AH$1001,MATCH(ROWS($AG$2:AG522),$AG$2:$AG$1001,0),1)&gt;=100000,INDEX($AN$1005:$BO$1005,1,MATCH(COLUMNS($AN$1006:AU1006),$AN$1006:$BO$1006,0))&gt;=100000), " ",IF(INDEX($AN$2:$BO$1001,MATCH(ROWS($AG$2:AG522),$AG$2:$AG$1001,0),MATCH(COLUMNS($AN$1006:AU1006),$AN$1006:$BO$1006,0)), HYPERLINK("#",""), HYPERLINK(CONCATENATE("#Metadata!", ADDRESS(INDEX($AI$2:$AI$1001,MATCH(ROWS($AG$2:AG522),$AG$2:$AG$1001,0),0), INDEX($AN$1004:$BO$1004,1,MATCH(COLUMNS($AN$1006:AU1006),$AN$1006:$BO$1006,0)))),"Fix")))</f>
        <v>0</v>
      </c>
      <c r="J522" s="4">
        <f>IF(OR(INDEX($AH$2:$AH$1001,MATCH(ROWS($AG$2:AG522),$AG$2:$AG$1001,0),1)&gt;=100000,INDEX($AN$1005:$BO$1005,1,MATCH(COLUMNS($AN$1006:AV1006),$AN$1006:$BO$1006,0))&gt;=100000), " ",IF(INDEX($AN$2:$BO$1001,MATCH(ROWS($AG$2:AG522),$AG$2:$AG$1001,0),MATCH(COLUMNS($AN$1006:AV1006),$AN$1006:$BO$1006,0)), HYPERLINK("#",""), HYPERLINK(CONCATENATE("#Metadata!", ADDRESS(INDEX($AI$2:$AI$1001,MATCH(ROWS($AG$2:AG522),$AG$2:$AG$1001,0),0), INDEX($AN$1004:$BO$1004,1,MATCH(COLUMNS($AN$1006:AV1006),$AN$1006:$BO$1006,0)))),"Fix")))</f>
        <v>0</v>
      </c>
      <c r="K522" s="4">
        <f>IF(OR(INDEX($AH$2:$AH$1001,MATCH(ROWS($AG$2:AG522),$AG$2:$AG$1001,0),1)&gt;=100000,INDEX($AN$1005:$BO$1005,1,MATCH(COLUMNS($AN$1006:AW1006),$AN$1006:$BO$1006,0))&gt;=100000), " ",IF(INDEX($AN$2:$BO$1001,MATCH(ROWS($AG$2:AG522),$AG$2:$AG$1001,0),MATCH(COLUMNS($AN$1006:AW1006),$AN$1006:$BO$1006,0)), HYPERLINK("#",""), HYPERLINK(CONCATENATE("#Metadata!", ADDRESS(INDEX($AI$2:$AI$1001,MATCH(ROWS($AG$2:AG522),$AG$2:$AG$1001,0),0), INDEX($AN$1004:$BO$1004,1,MATCH(COLUMNS($AN$1006:AW1006),$AN$1006:$BO$1006,0)))),"Fix")))</f>
        <v>0</v>
      </c>
      <c r="L522" s="4">
        <f>IF(OR(INDEX($AH$2:$AH$1001,MATCH(ROWS($AG$2:AG522),$AG$2:$AG$1001,0),1)&gt;=100000,INDEX($AN$1005:$BO$1005,1,MATCH(COLUMNS($AN$1006:AX1006),$AN$1006:$BO$1006,0))&gt;=100000), " ",IF(INDEX($AN$2:$BO$1001,MATCH(ROWS($AG$2:AG522),$AG$2:$AG$1001,0),MATCH(COLUMNS($AN$1006:AX1006),$AN$1006:$BO$1006,0)), HYPERLINK("#",""), HYPERLINK(CONCATENATE("#Metadata!", ADDRESS(INDEX($AI$2:$AI$1001,MATCH(ROWS($AG$2:AG522),$AG$2:$AG$1001,0),0), INDEX($AN$1004:$BO$1004,1,MATCH(COLUMNS($AN$1006:AX1006),$AN$1006:$BO$1006,0)))),"Fix")))</f>
        <v>0</v>
      </c>
      <c r="M522" s="4">
        <f>IF(OR(INDEX($AH$2:$AH$1001,MATCH(ROWS($AG$2:AG522),$AG$2:$AG$1001,0),1)&gt;=100000,INDEX($AN$1005:$BO$1005,1,MATCH(COLUMNS($AN$1006:AY1006),$AN$1006:$BO$1006,0))&gt;=100000), " ",IF(INDEX($AN$2:$BO$1001,MATCH(ROWS($AG$2:AG522),$AG$2:$AG$1001,0),MATCH(COLUMNS($AN$1006:AY1006),$AN$1006:$BO$1006,0)), HYPERLINK("#",""), HYPERLINK(CONCATENATE("#Metadata!", ADDRESS(INDEX($AI$2:$AI$1001,MATCH(ROWS($AG$2:AG522),$AG$2:$AG$1001,0),0), INDEX($AN$1004:$BO$1004,1,MATCH(COLUMNS($AN$1006:AY1006),$AN$1006:$BO$1006,0)))),"Fix")))</f>
        <v>0</v>
      </c>
      <c r="N522" s="4">
        <f>IF(OR(INDEX($AH$2:$AH$1001,MATCH(ROWS($AG$2:AG522),$AG$2:$AG$1001,0),1)&gt;=100000,INDEX($AN$1005:$BO$1005,1,MATCH(COLUMNS($AN$1006:AZ1006),$AN$1006:$BO$1006,0))&gt;=100000), " ",IF(INDEX($AN$2:$BO$1001,MATCH(ROWS($AG$2:AG522),$AG$2:$AG$1001,0),MATCH(COLUMNS($AN$1006:AZ1006),$AN$1006:$BO$1006,0)), HYPERLINK("#",""), HYPERLINK(CONCATENATE("#Metadata!", ADDRESS(INDEX($AI$2:$AI$1001,MATCH(ROWS($AG$2:AG522),$AG$2:$AG$1001,0),0), INDEX($AN$1004:$BO$1004,1,MATCH(COLUMNS($AN$1006:AZ1006),$AN$1006:$BO$1006,0)))),"Fix")))</f>
        <v>0</v>
      </c>
      <c r="O522" s="4">
        <f>IF(OR(INDEX($AH$2:$AH$1001,MATCH(ROWS($AG$2:AG522),$AG$2:$AG$1001,0),1)&gt;=100000,INDEX($AN$1005:$BO$1005,1,MATCH(COLUMNS($AN$1006:BA1006),$AN$1006:$BO$1006,0))&gt;=100000), " ",IF(INDEX($AN$2:$BO$1001,MATCH(ROWS($AG$2:AG522),$AG$2:$AG$1001,0),MATCH(COLUMNS($AN$1006:BA1006),$AN$1006:$BO$1006,0)), HYPERLINK("#",""), HYPERLINK(CONCATENATE("#Metadata!", ADDRESS(INDEX($AI$2:$AI$1001,MATCH(ROWS($AG$2:AG522),$AG$2:$AG$1001,0),0), INDEX($AN$1004:$BO$1004,1,MATCH(COLUMNS($AN$1006:BA1006),$AN$1006:$BO$1006,0)))),"Fix")))</f>
        <v>0</v>
      </c>
      <c r="P522" s="4">
        <f>IF(OR(INDEX($AH$2:$AH$1001,MATCH(ROWS($AG$2:AG522),$AG$2:$AG$1001,0),1)&gt;=100000,INDEX($AN$1005:$BO$1005,1,MATCH(COLUMNS($AN$1006:BB1006),$AN$1006:$BO$1006,0))&gt;=100000), " ",IF(INDEX($AN$2:$BO$1001,MATCH(ROWS($AG$2:AG522),$AG$2:$AG$1001,0),MATCH(COLUMNS($AN$1006:BB1006),$AN$1006:$BO$1006,0)), HYPERLINK("#",""), HYPERLINK(CONCATENATE("#Metadata!", ADDRESS(INDEX($AI$2:$AI$1001,MATCH(ROWS($AG$2:AG522),$AG$2:$AG$1001,0),0), INDEX($AN$1004:$BO$1004,1,MATCH(COLUMNS($AN$1006:BB1006),$AN$1006:$BO$1006,0)))),"Fix")))</f>
        <v>0</v>
      </c>
      <c r="Q522" s="4">
        <f>IF(OR(INDEX($AH$2:$AH$1001,MATCH(ROWS($AG$2:AG522),$AG$2:$AG$1001,0),1)&gt;=100000,INDEX($AN$1005:$BO$1005,1,MATCH(COLUMNS($AN$1006:BC1006),$AN$1006:$BO$1006,0))&gt;=100000), " ",IF(INDEX($AN$2:$BO$1001,MATCH(ROWS($AG$2:AG522),$AG$2:$AG$1001,0),MATCH(COLUMNS($AN$1006:BC1006),$AN$1006:$BO$1006,0)), HYPERLINK("#",""), HYPERLINK(CONCATENATE("#Metadata!", ADDRESS(INDEX($AI$2:$AI$1001,MATCH(ROWS($AG$2:AG522),$AG$2:$AG$1001,0),0), INDEX($AN$1004:$BO$1004,1,MATCH(COLUMNS($AN$1006:BC1006),$AN$1006:$BO$1006,0)))),"Fix")))</f>
        <v>0</v>
      </c>
      <c r="R522" s="4">
        <f>IF(OR(INDEX($AH$2:$AH$1001,MATCH(ROWS($AG$2:AG522),$AG$2:$AG$1001,0),1)&gt;=100000,INDEX($AN$1005:$BO$1005,1,MATCH(COLUMNS($AN$1006:BD1006),$AN$1006:$BO$1006,0))&gt;=100000), " ",IF(INDEX($AN$2:$BO$1001,MATCH(ROWS($AG$2:AG522),$AG$2:$AG$1001,0),MATCH(COLUMNS($AN$1006:BD1006),$AN$1006:$BO$1006,0)), HYPERLINK("#",""), HYPERLINK(CONCATENATE("#Metadata!", ADDRESS(INDEX($AI$2:$AI$1001,MATCH(ROWS($AG$2:AG522),$AG$2:$AG$1001,0),0), INDEX($AN$1004:$BO$1004,1,MATCH(COLUMNS($AN$1006:BD1006),$AN$1006:$BO$1006,0)))),"Fix")))</f>
        <v>0</v>
      </c>
      <c r="S522" s="4">
        <f>IF(OR(INDEX($AH$2:$AH$1001,MATCH(ROWS($AG$2:AG522),$AG$2:$AG$1001,0),1)&gt;=100000,INDEX($AN$1005:$BO$1005,1,MATCH(COLUMNS($AN$1006:BE1006),$AN$1006:$BO$1006,0))&gt;=100000), " ",IF(INDEX($AN$2:$BO$1001,MATCH(ROWS($AG$2:AG522),$AG$2:$AG$1001,0),MATCH(COLUMNS($AN$1006:BE1006),$AN$1006:$BO$1006,0)), HYPERLINK("#",""), HYPERLINK(CONCATENATE("#Metadata!", ADDRESS(INDEX($AI$2:$AI$1001,MATCH(ROWS($AG$2:AG522),$AG$2:$AG$1001,0),0), INDEX($AN$1004:$BO$1004,1,MATCH(COLUMNS($AN$1006:BE1006),$AN$1006:$BO$1006,0)))),"Fix")))</f>
        <v>0</v>
      </c>
      <c r="T522" s="4">
        <f>IF(OR(INDEX($AH$2:$AH$1001,MATCH(ROWS($AG$2:AG522),$AG$2:$AG$1001,0),1)&gt;=100000,INDEX($AN$1005:$BO$1005,1,MATCH(COLUMNS($AN$1006:BF1006),$AN$1006:$BO$1006,0))&gt;=100000), " ",IF(INDEX($AN$2:$BO$1001,MATCH(ROWS($AG$2:AG522),$AG$2:$AG$1001,0),MATCH(COLUMNS($AN$1006:BF1006),$AN$1006:$BO$1006,0)), HYPERLINK("#",""), HYPERLINK(CONCATENATE("#Metadata!", ADDRESS(INDEX($AI$2:$AI$1001,MATCH(ROWS($AG$2:AG522),$AG$2:$AG$1001,0),0), INDEX($AN$1004:$BO$1004,1,MATCH(COLUMNS($AN$1006:BF1006),$AN$1006:$BO$1006,0)))),"Fix")))</f>
        <v>0</v>
      </c>
      <c r="U522" s="4">
        <f>IF(OR(INDEX($AH$2:$AH$1001,MATCH(ROWS($AG$2:AG522),$AG$2:$AG$1001,0),1)&gt;=100000,INDEX($AN$1005:$BO$1005,1,MATCH(COLUMNS($AN$1006:BG1006),$AN$1006:$BO$1006,0))&gt;=100000), " ",IF(INDEX($AN$2:$BO$1001,MATCH(ROWS($AG$2:AG522),$AG$2:$AG$1001,0),MATCH(COLUMNS($AN$1006:BG1006),$AN$1006:$BO$1006,0)), HYPERLINK("#",""), HYPERLINK(CONCATENATE("#Metadata!", ADDRESS(INDEX($AI$2:$AI$1001,MATCH(ROWS($AG$2:AG522),$AG$2:$AG$1001,0),0), INDEX($AN$1004:$BO$1004,1,MATCH(COLUMNS($AN$1006:BG1006),$AN$1006:$BO$1006,0)))),"Fix")))</f>
        <v>0</v>
      </c>
      <c r="V522" s="4">
        <f>IF(OR(INDEX($AH$2:$AH$1001,MATCH(ROWS($AG$2:AG522),$AG$2:$AG$1001,0),1)&gt;=100000,INDEX($AN$1005:$BO$1005,1,MATCH(COLUMNS($AN$1006:BH1006),$AN$1006:$BO$1006,0))&gt;=100000), " ",IF(INDEX($AN$2:$BO$1001,MATCH(ROWS($AG$2:AG522),$AG$2:$AG$1001,0),MATCH(COLUMNS($AN$1006:BH1006),$AN$1006:$BO$1006,0)), HYPERLINK("#",""), HYPERLINK(CONCATENATE("#Metadata!", ADDRESS(INDEX($AI$2:$AI$1001,MATCH(ROWS($AG$2:AG522),$AG$2:$AG$1001,0),0), INDEX($AN$1004:$BO$1004,1,MATCH(COLUMNS($AN$1006:BH1006),$AN$1006:$BO$1006,0)))),"Fix")))</f>
        <v>0</v>
      </c>
      <c r="W522" s="4">
        <f>IF(OR(INDEX($AH$2:$AH$1001,MATCH(ROWS($AG$2:AG522),$AG$2:$AG$1001,0),1)&gt;=100000,INDEX($AN$1005:$BO$1005,1,MATCH(COLUMNS($AN$1006:BI1006),$AN$1006:$BO$1006,0))&gt;=100000), " ",IF(INDEX($AN$2:$BO$1001,MATCH(ROWS($AG$2:AG522),$AG$2:$AG$1001,0),MATCH(COLUMNS($AN$1006:BI1006),$AN$1006:$BO$1006,0)), HYPERLINK("#",""), HYPERLINK(CONCATENATE("#Metadata!", ADDRESS(INDEX($AI$2:$AI$1001,MATCH(ROWS($AG$2:AG522),$AG$2:$AG$1001,0),0), INDEX($AN$1004:$BO$1004,1,MATCH(COLUMNS($AN$1006:BI1006),$AN$1006:$BO$1006,0)))),"Fix")))</f>
        <v>0</v>
      </c>
      <c r="X522" s="4">
        <f>IF(OR(INDEX($AH$2:$AH$1001,MATCH(ROWS($AG$2:AG522),$AG$2:$AG$1001,0),1)&gt;=100000,INDEX($AN$1005:$BO$1005,1,MATCH(COLUMNS($AN$1006:BJ1006),$AN$1006:$BO$1006,0))&gt;=100000), " ",IF(INDEX($AN$2:$BO$1001,MATCH(ROWS($AG$2:AG522),$AG$2:$AG$1001,0),MATCH(COLUMNS($AN$1006:BJ1006),$AN$1006:$BO$1006,0)), HYPERLINK("#",""), HYPERLINK(CONCATENATE("#Metadata!", ADDRESS(INDEX($AI$2:$AI$1001,MATCH(ROWS($AG$2:AG522),$AG$2:$AG$1001,0),0), INDEX($AN$1004:$BO$1004,1,MATCH(COLUMNS($AN$1006:BJ1006),$AN$1006:$BO$1006,0)))),"Fix")))</f>
        <v>0</v>
      </c>
      <c r="Y522" s="4">
        <f>IF(OR(INDEX($AH$2:$AH$1001,MATCH(ROWS($AG$2:AG522),$AG$2:$AG$1001,0),1)&gt;=100000,INDEX($AN$1005:$BO$1005,1,MATCH(COLUMNS($AN$1006:BK1006),$AN$1006:$BO$1006,0))&gt;=100000), " ",IF(INDEX($AN$2:$BO$1001,MATCH(ROWS($AG$2:AG522),$AG$2:$AG$1001,0),MATCH(COLUMNS($AN$1006:BK1006),$AN$1006:$BO$1006,0)), HYPERLINK("#",""), HYPERLINK(CONCATENATE("#Metadata!", ADDRESS(INDEX($AI$2:$AI$1001,MATCH(ROWS($AG$2:AG522),$AG$2:$AG$1001,0),0), INDEX($AN$1004:$BO$1004,1,MATCH(COLUMNS($AN$1006:BK1006),$AN$1006:$BO$1006,0)))),"Fix")))</f>
        <v>0</v>
      </c>
      <c r="Z522" s="4">
        <f>IF(OR(INDEX($AH$2:$AH$1001,MATCH(ROWS($AG$2:AG522),$AG$2:$AG$1001,0),1)&gt;=100000,INDEX($AN$1005:$BO$1005,1,MATCH(COLUMNS($AN$1006:BL1006),$AN$1006:$BO$1006,0))&gt;=100000), " ",IF(INDEX($AN$2:$BO$1001,MATCH(ROWS($AG$2:AG522),$AG$2:$AG$1001,0),MATCH(COLUMNS($AN$1006:BL1006),$AN$1006:$BO$1006,0)), HYPERLINK("#",""), HYPERLINK(CONCATENATE("#Metadata!", ADDRESS(INDEX($AI$2:$AI$1001,MATCH(ROWS($AG$2:AG522),$AG$2:$AG$1001,0),0), INDEX($AN$1004:$BO$1004,1,MATCH(COLUMNS($AN$1006:BL1006),$AN$1006:$BO$1006,0)))),"Fix")))</f>
        <v>0</v>
      </c>
      <c r="AA522" s="4">
        <f>IF(OR(INDEX($AH$2:$AH$1001,MATCH(ROWS($AG$2:AG522),$AG$2:$AG$1001,0),1)&gt;=100000,INDEX($AN$1005:$BO$1005,1,MATCH(COLUMNS($AN$1006:BM1006),$AN$1006:$BO$1006,0))&gt;=100000), " ",IF(INDEX($AN$2:$BO$1001,MATCH(ROWS($AG$2:AG522),$AG$2:$AG$1001,0),MATCH(COLUMNS($AN$1006:BM1006),$AN$1006:$BO$1006,0)), HYPERLINK("#",""), HYPERLINK(CONCATENATE("#Metadata!", ADDRESS(INDEX($AI$2:$AI$1001,MATCH(ROWS($AG$2:AG522),$AG$2:$AG$1001,0),0), INDEX($AN$1004:$BO$1004,1,MATCH(COLUMNS($AN$1006:BM1006),$AN$1006:$BO$1006,0)))),"Fix")))</f>
        <v>0</v>
      </c>
      <c r="AB522" s="4">
        <f>IF(OR(INDEX($AH$2:$AH$1001,MATCH(ROWS($AG$2:AG522),$AG$2:$AG$1001,0),1)&gt;=100000,INDEX($AN$1005:$BO$1005,1,MATCH(COLUMNS($AN$1006:BN1006),$AN$1006:$BO$1006,0))&gt;=100000), " ",IF(INDEX($AN$2:$BO$1001,MATCH(ROWS($AG$2:AG522),$AG$2:$AG$1001,0),MATCH(COLUMNS($AN$1006:BN1006),$AN$1006:$BO$1006,0)), HYPERLINK("#",""), HYPERLINK(CONCATENATE("#Metadata!", ADDRESS(INDEX($AI$2:$AI$1001,MATCH(ROWS($AG$2:AG522),$AG$2:$AG$1001,0),0), INDEX($AN$1004:$BO$1004,1,MATCH(COLUMNS($AN$1006:BN1006),$AN$1006:$BO$1006,0)))),"Fix")))</f>
        <v>0</v>
      </c>
      <c r="AC522" s="4">
        <f>IF(OR(INDEX($AH$2:$AH$1001,MATCH(ROWS($AG$2:AG522),$AG$2:$AG$1001,0),1)&gt;=100000,INDEX($AN$1005:$BO$1005,1,MATCH(COLUMNS($AN$1006:BO1006),$AN$1006:$BO$1006,0))&gt;=100000), " ",IF(INDEX($AN$2:$BO$1001,MATCH(ROWS($AG$2:AG522),$AG$2:$AG$1001,0),MATCH(COLUMNS($AN$1006:BO1006),$AN$1006:$BO$1006,0)), HYPERLINK("#",""), HYPERLINK(CONCATENATE("#Metadata!", ADDRESS(INDEX($AI$2:$AI$1001,MATCH(ROWS($AG$2:AG522),$AG$2:$AG$1001,0),0), INDEX($AN$1004:$BO$1004,1,MATCH(COLUMNS($AN$1006:BO1006),$AN$1006:$BO$1006,0)))),"Fix")))</f>
        <v>0</v>
      </c>
      <c r="AG522">
        <v>0</v>
      </c>
      <c r="AH522">
        <v>0</v>
      </c>
      <c r="AI522">
        <v>0</v>
      </c>
      <c r="AJ522">
        <f>IF(AK522,TRUE,AND(AN522:BO522))</f>
        <v>0</v>
      </c>
      <c r="AK522">
        <f>COUNTBLANK(Metadata!B522:AC522)=COLUMNS(Metadata!B522:AC522)</f>
        <v>0</v>
      </c>
      <c r="AL522">
        <v>0</v>
      </c>
      <c r="AN522">
        <f>AND(IF(Metadata!B522="",FALSE,TRUE),COUNTIF(Metadata!B:B, Metadata!B522) = 1,NOT(ISERROR(SUMPRODUCT(SEARCH(MID(Metadata!B522,ROW(INDIRECT("1:"&amp;LEN(Metadata!B522))), 1),"0123456789abcdefghijklmnopqrstuvwxyzABCDEFGHIJKLMNOPQRSTUVWXYZ.")))))</f>
        <v>0</v>
      </c>
      <c r="AO522">
        <f>IF(Metadata!C522="",FALSE,TRUE)</f>
        <v>0</v>
      </c>
      <c r="AP522">
        <f>IF(Metadata!D522="",FALSE,TRUE)</f>
        <v>0</v>
      </c>
      <c r="AQ522">
        <f>OR(AND(IF(Metadata!E522="",FALSE,TRUE),OR(exact(Metadata!E522,"not collected"),exact(Metadata!E522,"not provided"),exact(Metadata!E522,"restricted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R522">
        <f>IF(Metadata!F522="",FALSE,TRUE)</f>
        <v>0</v>
      </c>
      <c r="AS522">
        <f>OR(AND(IF(Metadata!G522="",FALSE,TRUE),OR(exact(Metadata!G522,"not collected"),exact(Metadata!G522,"not provided"))),AND(IF(Metadata!G522="",FALSE,TRUE),OR(exact(Metadata!G522,"TRUE"),exact(Metadata!G522,"FALSE"))))</f>
        <v>0</v>
      </c>
      <c r="AT522">
        <f>OR(AND(IF(Metadata!H522="",FALSE,TRUE),OR(exact(Metadata!H522,"not collected"),exact(Metadata!H522,"not provided"),exact(Metadata!H522,"restricted access"))),AND(IF(Metadata!H522="",FALSE,ISNUMBER(VALUE(Metadata!H522))),Metadata!H522&gt;=-413.0))</f>
        <v>0</v>
      </c>
      <c r="AU522">
        <f>AND(IF(Metadata!I522="",FALSE,TRUE),exact(Metadata!I522,"meters"))</f>
        <v>0</v>
      </c>
      <c r="AV522">
        <f>AND(IF(Metadata!J522="",FALSE,TRUE),OR(exact(Metadata!J522,"Host-associated"),exact(Metadata!J522,"Free-living")))</f>
        <v>0</v>
      </c>
      <c r="AW522">
        <f>AND(IF(Metadata!K522="",FALSE,TRUE),OR(exact(Metadata!K522,"Animal"),exact(Metadata!K522,"Fungus"),exact(Metadata!K522,"Plant"),exact(Metadata!K522,"Saline"),exact(Metadata!K522,"Non-saline")))</f>
        <v>0</v>
      </c>
      <c r="AX522">
        <f>AND(IF(Metadata!L522="",FALSE,TRUE),OR(exact(Metadata!L522,"Plant secretion"),exact(Metadata!L522,"Plant rhizosphere"),exact(Metadata!L522,"Plant surface"),exact(Metadata!L522,"Plant corpus"),exact(Metadata!L522,"Fungus surface"),exact(Metadata!L522,"Fungus corpus"),exact(Metadata!L522,"Animal surface"),exact(Metadata!L522,"Animal proximal gut"),exact(Metadata!L522,"Animal corpus"),exact(Metadata!L522,"Animal distal gut"),exact(Metadata!L522,"Animal secretion"),exact(Metadata!L522,"Sub-surface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Y522">
        <f>IF(Metadata!M522="",FALSE,TRUE)</f>
        <v>0</v>
      </c>
      <c r="AZ522">
        <f>IF(Metadata!N522="",FALSE,TRUE)</f>
        <v>0</v>
      </c>
      <c r="BA522">
        <f>IF(Metadata!O522="",FALSE,TRUE)</f>
        <v>0</v>
      </c>
      <c r="BB522">
        <f>OR(AND(IF(Metadata!P522="",FALSE,TRUE),OR(exact(Metadata!P522,"not collected"),exact(Metadata!P522,"not provided"),exact(Metadata!P522,"restricted access"))),AND(IF(Metadata!P522="",FALSE,TRUE),OR(exact(Metadata!P522,"air"),exact(Metadata!P522,"built environment"),exact(Metadata!P522,"host-associated"),exact(Metadata!P522,"human-associated"),exact(Metadata!P522,"human-skin"),exact(Metadata!P522,"human-oral"),exact(Metadata!P522,"human-gut"),exact(Metadata!P522,"human-vaginal"),exact(Metadata!P522,"microbial mat/biofilm"),exact(Metadata!P522,"misc environment"),exact(Metadata!P522,"plant-associated"),exact(Metadata!P522,"sediment"),exact(Metadata!P522,"soil"),exact(Metadata!P522,"wastewater/sludge"),exact(Metadata!P522,"water"))))</f>
        <v>0</v>
      </c>
      <c r="BC522">
        <f>IF(Metadata!Q522="",FALSE,TRUE)</f>
        <v>0</v>
      </c>
      <c r="BD522">
        <f>IF(Metadata!R522="",FALSE,TRUE)</f>
        <v>0</v>
      </c>
      <c r="BE522">
        <f>OR(AND(IF(Metadata!S522="",FALSE,TRUE),OR(exact(Metadata!S522,"not collected"),exact(Metadata!S522,"not provided"),exact(Metadata!S522,"restricted access"))),AND(IF(Metadata!S522="",FALSE,ISNUMBER(VALUE(Metadata!S522))),Metadata!S522&gt;=-90.00,Metadata!S522&lt;=90.00))</f>
        <v>0</v>
      </c>
      <c r="BF522">
        <f>AND(IF(Metadata!T522="",FALSE,TRUE),exact(Metadata!T522,"Decimal degrees"))</f>
        <v>0</v>
      </c>
      <c r="BG522">
        <f>OR(AND(IF(Metadata!U522="",FALSE,TRUE),OR(exact(Metadata!U522,"not collected"),exact(Metadata!U522,"not provided"),exact(Metadata!U522,"restricted access"))),AND(IF(Metadata!U522="",FALSE,ISNUMBER(VALUE(Metadata!U522))),Metadata!U522&gt;=-180.00,Metadata!U522&lt;=180.00))</f>
        <v>0</v>
      </c>
      <c r="BH522">
        <f>AND(IF(Metadata!V522="",FALSE,TRUE),exact(Metadata!V522,"Decimal degrees"))</f>
        <v>0</v>
      </c>
      <c r="BI522">
        <f>IF(Metadata!W522="",FALSE,TRUE)</f>
        <v>0</v>
      </c>
      <c r="BJ522">
        <f>OR(AND(IF(Metadata!X522="",FALSE,TRUE),OR(exact(Metadata!X522,"not collected"),exact(Metadata!X522,"not provided"),exact(Metadata!X522,"restricted access"))),AND(IF(Metadata!X522="",FALSE,TRUE),OR(exact(Metadata!X522,"TRUE"),exact(Metadata!X522,"FALSE"))))</f>
        <v>0</v>
      </c>
      <c r="BK522">
        <f>AND(IF(Metadata!Y522="",FALSE,TRUE),exact(Metadata!Y522,"other"))</f>
        <v>0</v>
      </c>
      <c r="BL522">
        <f>IF(Metadata!Z522="",FALSE,TRUE)</f>
        <v>0</v>
      </c>
      <c r="BM522">
        <f>OR(AND(IF(Metadata!AA522="",FALSE,TRUE),OR(exact(Metadata!AA522,"not collected"),exact(Metadata!AA522,"not provided"))),AND(IF(Metadata!AA522="",FALSE,IF(ISERROR(INT(Metadata!AA522)),FALSE,INT(Metadata!AA522)=Metadata!AA522)),Metadata!AA522&gt;0))</f>
        <v>0</v>
      </c>
      <c r="BN522">
        <f>AND(IF(Metadata!AB522="",FALSE,TRUE),exact(Metadata!AB522,"Not applicable"))</f>
        <v>0</v>
      </c>
      <c r="BO522">
        <f>IF(Metadata!AC522="",FALSE,TRUE)</f>
        <v>0</v>
      </c>
    </row>
    <row r="523" spans="1:67">
      <c r="A523" s="5">
        <f>IF(B523=" "," ",HYPERLINK(CONCATENATE("#metadata!",ADDRESS(INDEX($AI$2:$AI$1001,MATCH(ROWS($AG$2:AG523),$AG$2:$AG$1001,0),0),1)),INDEX($AL$2:$AL$1001,MATCH(ROWS($AG$2:AG523),$AG$2:$AG$1001,0),0)))</f>
        <v>0</v>
      </c>
      <c r="B523" s="4">
        <f>IF(OR(INDEX($AH$2:$AH$1001,MATCH(ROWS($AG$2:AG523),$AG$2:$AG$1001,0),1)&gt;=100000,INDEX($AN$1005:$BO$1005,1,MATCH(COLUMNS($AN$1006:AN1006),$AN$1006:$BO$1006,0))&gt;=100000), " ",IF(INDEX($AN$2:$BO$1001,MATCH(ROWS($AG$2:AG523),$AG$2:$AG$1001,0),MATCH(COLUMNS($AN$1006:AN1006),$AN$1006:$BO$1006,0)), HYPERLINK("#",""), HYPERLINK(CONCATENATE("#Metadata!", ADDRESS(INDEX($AI$2:$AI$1001,MATCH(ROWS($AG$2:AG523),$AG$2:$AG$1001,0),0), INDEX($AN$1004:$BO$1004,1,MATCH(COLUMNS($AN$1006:AN1006),$AN$1006:$BO$1006,0)))),"Fix")))</f>
        <v>0</v>
      </c>
      <c r="C523" s="4">
        <f>IF(OR(INDEX($AH$2:$AH$1001,MATCH(ROWS($AG$2:AG523),$AG$2:$AG$1001,0),1)&gt;=100000,INDEX($AN$1005:$BO$1005,1,MATCH(COLUMNS($AN$1006:AO1006),$AN$1006:$BO$1006,0))&gt;=100000), " ",IF(INDEX($AN$2:$BO$1001,MATCH(ROWS($AG$2:AG523),$AG$2:$AG$1001,0),MATCH(COLUMNS($AN$1006:AO1006),$AN$1006:$BO$1006,0)), HYPERLINK("#",""), HYPERLINK(CONCATENATE("#Metadata!", ADDRESS(INDEX($AI$2:$AI$1001,MATCH(ROWS($AG$2:AG523),$AG$2:$AG$1001,0),0), INDEX($AN$1004:$BO$1004,1,MATCH(COLUMNS($AN$1006:AO1006),$AN$1006:$BO$1006,0)))),"Fix")))</f>
        <v>0</v>
      </c>
      <c r="D523" s="4">
        <f>IF(OR(INDEX($AH$2:$AH$1001,MATCH(ROWS($AG$2:AG523),$AG$2:$AG$1001,0),1)&gt;=100000,INDEX($AN$1005:$BO$1005,1,MATCH(COLUMNS($AN$1006:AP1006),$AN$1006:$BO$1006,0))&gt;=100000), " ",IF(INDEX($AN$2:$BO$1001,MATCH(ROWS($AG$2:AG523),$AG$2:$AG$1001,0),MATCH(COLUMNS($AN$1006:AP1006),$AN$1006:$BO$1006,0)), HYPERLINK("#",""), HYPERLINK(CONCATENATE("#Metadata!", ADDRESS(INDEX($AI$2:$AI$1001,MATCH(ROWS($AG$2:AG523),$AG$2:$AG$1001,0),0), INDEX($AN$1004:$BO$1004,1,MATCH(COLUMNS($AN$1006:AP1006),$AN$1006:$BO$1006,0)))),"Fix")))</f>
        <v>0</v>
      </c>
      <c r="E523" s="4">
        <f>IF(OR(INDEX($AH$2:$AH$1001,MATCH(ROWS($AG$2:AG523),$AG$2:$AG$1001,0),1)&gt;=100000,INDEX($AN$1005:$BO$1005,1,MATCH(COLUMNS($AN$1006:AQ1006),$AN$1006:$BO$1006,0))&gt;=100000), " ",IF(INDEX($AN$2:$BO$1001,MATCH(ROWS($AG$2:AG523),$AG$2:$AG$1001,0),MATCH(COLUMNS($AN$1006:AQ1006),$AN$1006:$BO$1006,0)), HYPERLINK("#",""), HYPERLINK(CONCATENATE("#Metadata!", ADDRESS(INDEX($AI$2:$AI$1001,MATCH(ROWS($AG$2:AG523),$AG$2:$AG$1001,0),0), INDEX($AN$1004:$BO$1004,1,MATCH(COLUMNS($AN$1006:AQ1006),$AN$1006:$BO$1006,0)))),"Fix")))</f>
        <v>0</v>
      </c>
      <c r="F523" s="4">
        <f>IF(OR(INDEX($AH$2:$AH$1001,MATCH(ROWS($AG$2:AG523),$AG$2:$AG$1001,0),1)&gt;=100000,INDEX($AN$1005:$BO$1005,1,MATCH(COLUMNS($AN$1006:AR1006),$AN$1006:$BO$1006,0))&gt;=100000), " ",IF(INDEX($AN$2:$BO$1001,MATCH(ROWS($AG$2:AG523),$AG$2:$AG$1001,0),MATCH(COLUMNS($AN$1006:AR1006),$AN$1006:$BO$1006,0)), HYPERLINK("#",""), HYPERLINK(CONCATENATE("#Metadata!", ADDRESS(INDEX($AI$2:$AI$1001,MATCH(ROWS($AG$2:AG523),$AG$2:$AG$1001,0),0), INDEX($AN$1004:$BO$1004,1,MATCH(COLUMNS($AN$1006:AR1006),$AN$1006:$BO$1006,0)))),"Fix")))</f>
        <v>0</v>
      </c>
      <c r="G523" s="4">
        <f>IF(OR(INDEX($AH$2:$AH$1001,MATCH(ROWS($AG$2:AG523),$AG$2:$AG$1001,0),1)&gt;=100000,INDEX($AN$1005:$BO$1005,1,MATCH(COLUMNS($AN$1006:AS1006),$AN$1006:$BO$1006,0))&gt;=100000), " ",IF(INDEX($AN$2:$BO$1001,MATCH(ROWS($AG$2:AG523),$AG$2:$AG$1001,0),MATCH(COLUMNS($AN$1006:AS1006),$AN$1006:$BO$1006,0)), HYPERLINK("#",""), HYPERLINK(CONCATENATE("#Metadata!", ADDRESS(INDEX($AI$2:$AI$1001,MATCH(ROWS($AG$2:AG523),$AG$2:$AG$1001,0),0), INDEX($AN$1004:$BO$1004,1,MATCH(COLUMNS($AN$1006:AS1006),$AN$1006:$BO$1006,0)))),"Fix")))</f>
        <v>0</v>
      </c>
      <c r="H523" s="4">
        <f>IF(OR(INDEX($AH$2:$AH$1001,MATCH(ROWS($AG$2:AG523),$AG$2:$AG$1001,0),1)&gt;=100000,INDEX($AN$1005:$BO$1005,1,MATCH(COLUMNS($AN$1006:AT1006),$AN$1006:$BO$1006,0))&gt;=100000), " ",IF(INDEX($AN$2:$BO$1001,MATCH(ROWS($AG$2:AG523),$AG$2:$AG$1001,0),MATCH(COLUMNS($AN$1006:AT1006),$AN$1006:$BO$1006,0)), HYPERLINK("#",""), HYPERLINK(CONCATENATE("#Metadata!", ADDRESS(INDEX($AI$2:$AI$1001,MATCH(ROWS($AG$2:AG523),$AG$2:$AG$1001,0),0), INDEX($AN$1004:$BO$1004,1,MATCH(COLUMNS($AN$1006:AT1006),$AN$1006:$BO$1006,0)))),"Fix")))</f>
        <v>0</v>
      </c>
      <c r="I523" s="4">
        <f>IF(OR(INDEX($AH$2:$AH$1001,MATCH(ROWS($AG$2:AG523),$AG$2:$AG$1001,0),1)&gt;=100000,INDEX($AN$1005:$BO$1005,1,MATCH(COLUMNS($AN$1006:AU1006),$AN$1006:$BO$1006,0))&gt;=100000), " ",IF(INDEX($AN$2:$BO$1001,MATCH(ROWS($AG$2:AG523),$AG$2:$AG$1001,0),MATCH(COLUMNS($AN$1006:AU1006),$AN$1006:$BO$1006,0)), HYPERLINK("#",""), HYPERLINK(CONCATENATE("#Metadata!", ADDRESS(INDEX($AI$2:$AI$1001,MATCH(ROWS($AG$2:AG523),$AG$2:$AG$1001,0),0), INDEX($AN$1004:$BO$1004,1,MATCH(COLUMNS($AN$1006:AU1006),$AN$1006:$BO$1006,0)))),"Fix")))</f>
        <v>0</v>
      </c>
      <c r="J523" s="4">
        <f>IF(OR(INDEX($AH$2:$AH$1001,MATCH(ROWS($AG$2:AG523),$AG$2:$AG$1001,0),1)&gt;=100000,INDEX($AN$1005:$BO$1005,1,MATCH(COLUMNS($AN$1006:AV1006),$AN$1006:$BO$1006,0))&gt;=100000), " ",IF(INDEX($AN$2:$BO$1001,MATCH(ROWS($AG$2:AG523),$AG$2:$AG$1001,0),MATCH(COLUMNS($AN$1006:AV1006),$AN$1006:$BO$1006,0)), HYPERLINK("#",""), HYPERLINK(CONCATENATE("#Metadata!", ADDRESS(INDEX($AI$2:$AI$1001,MATCH(ROWS($AG$2:AG523),$AG$2:$AG$1001,0),0), INDEX($AN$1004:$BO$1004,1,MATCH(COLUMNS($AN$1006:AV1006),$AN$1006:$BO$1006,0)))),"Fix")))</f>
        <v>0</v>
      </c>
      <c r="K523" s="4">
        <f>IF(OR(INDEX($AH$2:$AH$1001,MATCH(ROWS($AG$2:AG523),$AG$2:$AG$1001,0),1)&gt;=100000,INDEX($AN$1005:$BO$1005,1,MATCH(COLUMNS($AN$1006:AW1006),$AN$1006:$BO$1006,0))&gt;=100000), " ",IF(INDEX($AN$2:$BO$1001,MATCH(ROWS($AG$2:AG523),$AG$2:$AG$1001,0),MATCH(COLUMNS($AN$1006:AW1006),$AN$1006:$BO$1006,0)), HYPERLINK("#",""), HYPERLINK(CONCATENATE("#Metadata!", ADDRESS(INDEX($AI$2:$AI$1001,MATCH(ROWS($AG$2:AG523),$AG$2:$AG$1001,0),0), INDEX($AN$1004:$BO$1004,1,MATCH(COLUMNS($AN$1006:AW1006),$AN$1006:$BO$1006,0)))),"Fix")))</f>
        <v>0</v>
      </c>
      <c r="L523" s="4">
        <f>IF(OR(INDEX($AH$2:$AH$1001,MATCH(ROWS($AG$2:AG523),$AG$2:$AG$1001,0),1)&gt;=100000,INDEX($AN$1005:$BO$1005,1,MATCH(COLUMNS($AN$1006:AX1006),$AN$1006:$BO$1006,0))&gt;=100000), " ",IF(INDEX($AN$2:$BO$1001,MATCH(ROWS($AG$2:AG523),$AG$2:$AG$1001,0),MATCH(COLUMNS($AN$1006:AX1006),$AN$1006:$BO$1006,0)), HYPERLINK("#",""), HYPERLINK(CONCATENATE("#Metadata!", ADDRESS(INDEX($AI$2:$AI$1001,MATCH(ROWS($AG$2:AG523),$AG$2:$AG$1001,0),0), INDEX($AN$1004:$BO$1004,1,MATCH(COLUMNS($AN$1006:AX1006),$AN$1006:$BO$1006,0)))),"Fix")))</f>
        <v>0</v>
      </c>
      <c r="M523" s="4">
        <f>IF(OR(INDEX($AH$2:$AH$1001,MATCH(ROWS($AG$2:AG523),$AG$2:$AG$1001,0),1)&gt;=100000,INDEX($AN$1005:$BO$1005,1,MATCH(COLUMNS($AN$1006:AY1006),$AN$1006:$BO$1006,0))&gt;=100000), " ",IF(INDEX($AN$2:$BO$1001,MATCH(ROWS($AG$2:AG523),$AG$2:$AG$1001,0),MATCH(COLUMNS($AN$1006:AY1006),$AN$1006:$BO$1006,0)), HYPERLINK("#",""), HYPERLINK(CONCATENATE("#Metadata!", ADDRESS(INDEX($AI$2:$AI$1001,MATCH(ROWS($AG$2:AG523),$AG$2:$AG$1001,0),0), INDEX($AN$1004:$BO$1004,1,MATCH(COLUMNS($AN$1006:AY1006),$AN$1006:$BO$1006,0)))),"Fix")))</f>
        <v>0</v>
      </c>
      <c r="N523" s="4">
        <f>IF(OR(INDEX($AH$2:$AH$1001,MATCH(ROWS($AG$2:AG523),$AG$2:$AG$1001,0),1)&gt;=100000,INDEX($AN$1005:$BO$1005,1,MATCH(COLUMNS($AN$1006:AZ1006),$AN$1006:$BO$1006,0))&gt;=100000), " ",IF(INDEX($AN$2:$BO$1001,MATCH(ROWS($AG$2:AG523),$AG$2:$AG$1001,0),MATCH(COLUMNS($AN$1006:AZ1006),$AN$1006:$BO$1006,0)), HYPERLINK("#",""), HYPERLINK(CONCATENATE("#Metadata!", ADDRESS(INDEX($AI$2:$AI$1001,MATCH(ROWS($AG$2:AG523),$AG$2:$AG$1001,0),0), INDEX($AN$1004:$BO$1004,1,MATCH(COLUMNS($AN$1006:AZ1006),$AN$1006:$BO$1006,0)))),"Fix")))</f>
        <v>0</v>
      </c>
      <c r="O523" s="4">
        <f>IF(OR(INDEX($AH$2:$AH$1001,MATCH(ROWS($AG$2:AG523),$AG$2:$AG$1001,0),1)&gt;=100000,INDEX($AN$1005:$BO$1005,1,MATCH(COLUMNS($AN$1006:BA1006),$AN$1006:$BO$1006,0))&gt;=100000), " ",IF(INDEX($AN$2:$BO$1001,MATCH(ROWS($AG$2:AG523),$AG$2:$AG$1001,0),MATCH(COLUMNS($AN$1006:BA1006),$AN$1006:$BO$1006,0)), HYPERLINK("#",""), HYPERLINK(CONCATENATE("#Metadata!", ADDRESS(INDEX($AI$2:$AI$1001,MATCH(ROWS($AG$2:AG523),$AG$2:$AG$1001,0),0), INDEX($AN$1004:$BO$1004,1,MATCH(COLUMNS($AN$1006:BA1006),$AN$1006:$BO$1006,0)))),"Fix")))</f>
        <v>0</v>
      </c>
      <c r="P523" s="4">
        <f>IF(OR(INDEX($AH$2:$AH$1001,MATCH(ROWS($AG$2:AG523),$AG$2:$AG$1001,0),1)&gt;=100000,INDEX($AN$1005:$BO$1005,1,MATCH(COLUMNS($AN$1006:BB1006),$AN$1006:$BO$1006,0))&gt;=100000), " ",IF(INDEX($AN$2:$BO$1001,MATCH(ROWS($AG$2:AG523),$AG$2:$AG$1001,0),MATCH(COLUMNS($AN$1006:BB1006),$AN$1006:$BO$1006,0)), HYPERLINK("#",""), HYPERLINK(CONCATENATE("#Metadata!", ADDRESS(INDEX($AI$2:$AI$1001,MATCH(ROWS($AG$2:AG523),$AG$2:$AG$1001,0),0), INDEX($AN$1004:$BO$1004,1,MATCH(COLUMNS($AN$1006:BB1006),$AN$1006:$BO$1006,0)))),"Fix")))</f>
        <v>0</v>
      </c>
      <c r="Q523" s="4">
        <f>IF(OR(INDEX($AH$2:$AH$1001,MATCH(ROWS($AG$2:AG523),$AG$2:$AG$1001,0),1)&gt;=100000,INDEX($AN$1005:$BO$1005,1,MATCH(COLUMNS($AN$1006:BC1006),$AN$1006:$BO$1006,0))&gt;=100000), " ",IF(INDEX($AN$2:$BO$1001,MATCH(ROWS($AG$2:AG523),$AG$2:$AG$1001,0),MATCH(COLUMNS($AN$1006:BC1006),$AN$1006:$BO$1006,0)), HYPERLINK("#",""), HYPERLINK(CONCATENATE("#Metadata!", ADDRESS(INDEX($AI$2:$AI$1001,MATCH(ROWS($AG$2:AG523),$AG$2:$AG$1001,0),0), INDEX($AN$1004:$BO$1004,1,MATCH(COLUMNS($AN$1006:BC1006),$AN$1006:$BO$1006,0)))),"Fix")))</f>
        <v>0</v>
      </c>
      <c r="R523" s="4">
        <f>IF(OR(INDEX($AH$2:$AH$1001,MATCH(ROWS($AG$2:AG523),$AG$2:$AG$1001,0),1)&gt;=100000,INDEX($AN$1005:$BO$1005,1,MATCH(COLUMNS($AN$1006:BD1006),$AN$1006:$BO$1006,0))&gt;=100000), " ",IF(INDEX($AN$2:$BO$1001,MATCH(ROWS($AG$2:AG523),$AG$2:$AG$1001,0),MATCH(COLUMNS($AN$1006:BD1006),$AN$1006:$BO$1006,0)), HYPERLINK("#",""), HYPERLINK(CONCATENATE("#Metadata!", ADDRESS(INDEX($AI$2:$AI$1001,MATCH(ROWS($AG$2:AG523),$AG$2:$AG$1001,0),0), INDEX($AN$1004:$BO$1004,1,MATCH(COLUMNS($AN$1006:BD1006),$AN$1006:$BO$1006,0)))),"Fix")))</f>
        <v>0</v>
      </c>
      <c r="S523" s="4">
        <f>IF(OR(INDEX($AH$2:$AH$1001,MATCH(ROWS($AG$2:AG523),$AG$2:$AG$1001,0),1)&gt;=100000,INDEX($AN$1005:$BO$1005,1,MATCH(COLUMNS($AN$1006:BE1006),$AN$1006:$BO$1006,0))&gt;=100000), " ",IF(INDEX($AN$2:$BO$1001,MATCH(ROWS($AG$2:AG523),$AG$2:$AG$1001,0),MATCH(COLUMNS($AN$1006:BE1006),$AN$1006:$BO$1006,0)), HYPERLINK("#",""), HYPERLINK(CONCATENATE("#Metadata!", ADDRESS(INDEX($AI$2:$AI$1001,MATCH(ROWS($AG$2:AG523),$AG$2:$AG$1001,0),0), INDEX($AN$1004:$BO$1004,1,MATCH(COLUMNS($AN$1006:BE1006),$AN$1006:$BO$1006,0)))),"Fix")))</f>
        <v>0</v>
      </c>
      <c r="T523" s="4">
        <f>IF(OR(INDEX($AH$2:$AH$1001,MATCH(ROWS($AG$2:AG523),$AG$2:$AG$1001,0),1)&gt;=100000,INDEX($AN$1005:$BO$1005,1,MATCH(COLUMNS($AN$1006:BF1006),$AN$1006:$BO$1006,0))&gt;=100000), " ",IF(INDEX($AN$2:$BO$1001,MATCH(ROWS($AG$2:AG523),$AG$2:$AG$1001,0),MATCH(COLUMNS($AN$1006:BF1006),$AN$1006:$BO$1006,0)), HYPERLINK("#",""), HYPERLINK(CONCATENATE("#Metadata!", ADDRESS(INDEX($AI$2:$AI$1001,MATCH(ROWS($AG$2:AG523),$AG$2:$AG$1001,0),0), INDEX($AN$1004:$BO$1004,1,MATCH(COLUMNS($AN$1006:BF1006),$AN$1006:$BO$1006,0)))),"Fix")))</f>
        <v>0</v>
      </c>
      <c r="U523" s="4">
        <f>IF(OR(INDEX($AH$2:$AH$1001,MATCH(ROWS($AG$2:AG523),$AG$2:$AG$1001,0),1)&gt;=100000,INDEX($AN$1005:$BO$1005,1,MATCH(COLUMNS($AN$1006:BG1006),$AN$1006:$BO$1006,0))&gt;=100000), " ",IF(INDEX($AN$2:$BO$1001,MATCH(ROWS($AG$2:AG523),$AG$2:$AG$1001,0),MATCH(COLUMNS($AN$1006:BG1006),$AN$1006:$BO$1006,0)), HYPERLINK("#",""), HYPERLINK(CONCATENATE("#Metadata!", ADDRESS(INDEX($AI$2:$AI$1001,MATCH(ROWS($AG$2:AG523),$AG$2:$AG$1001,0),0), INDEX($AN$1004:$BO$1004,1,MATCH(COLUMNS($AN$1006:BG1006),$AN$1006:$BO$1006,0)))),"Fix")))</f>
        <v>0</v>
      </c>
      <c r="V523" s="4">
        <f>IF(OR(INDEX($AH$2:$AH$1001,MATCH(ROWS($AG$2:AG523),$AG$2:$AG$1001,0),1)&gt;=100000,INDEX($AN$1005:$BO$1005,1,MATCH(COLUMNS($AN$1006:BH1006),$AN$1006:$BO$1006,0))&gt;=100000), " ",IF(INDEX($AN$2:$BO$1001,MATCH(ROWS($AG$2:AG523),$AG$2:$AG$1001,0),MATCH(COLUMNS($AN$1006:BH1006),$AN$1006:$BO$1006,0)), HYPERLINK("#",""), HYPERLINK(CONCATENATE("#Metadata!", ADDRESS(INDEX($AI$2:$AI$1001,MATCH(ROWS($AG$2:AG523),$AG$2:$AG$1001,0),0), INDEX($AN$1004:$BO$1004,1,MATCH(COLUMNS($AN$1006:BH1006),$AN$1006:$BO$1006,0)))),"Fix")))</f>
        <v>0</v>
      </c>
      <c r="W523" s="4">
        <f>IF(OR(INDEX($AH$2:$AH$1001,MATCH(ROWS($AG$2:AG523),$AG$2:$AG$1001,0),1)&gt;=100000,INDEX($AN$1005:$BO$1005,1,MATCH(COLUMNS($AN$1006:BI1006),$AN$1006:$BO$1006,0))&gt;=100000), " ",IF(INDEX($AN$2:$BO$1001,MATCH(ROWS($AG$2:AG523),$AG$2:$AG$1001,0),MATCH(COLUMNS($AN$1006:BI1006),$AN$1006:$BO$1006,0)), HYPERLINK("#",""), HYPERLINK(CONCATENATE("#Metadata!", ADDRESS(INDEX($AI$2:$AI$1001,MATCH(ROWS($AG$2:AG523),$AG$2:$AG$1001,0),0), INDEX($AN$1004:$BO$1004,1,MATCH(COLUMNS($AN$1006:BI1006),$AN$1006:$BO$1006,0)))),"Fix")))</f>
        <v>0</v>
      </c>
      <c r="X523" s="4">
        <f>IF(OR(INDEX($AH$2:$AH$1001,MATCH(ROWS($AG$2:AG523),$AG$2:$AG$1001,0),1)&gt;=100000,INDEX($AN$1005:$BO$1005,1,MATCH(COLUMNS($AN$1006:BJ1006),$AN$1006:$BO$1006,0))&gt;=100000), " ",IF(INDEX($AN$2:$BO$1001,MATCH(ROWS($AG$2:AG523),$AG$2:$AG$1001,0),MATCH(COLUMNS($AN$1006:BJ1006),$AN$1006:$BO$1006,0)), HYPERLINK("#",""), HYPERLINK(CONCATENATE("#Metadata!", ADDRESS(INDEX($AI$2:$AI$1001,MATCH(ROWS($AG$2:AG523),$AG$2:$AG$1001,0),0), INDEX($AN$1004:$BO$1004,1,MATCH(COLUMNS($AN$1006:BJ1006),$AN$1006:$BO$1006,0)))),"Fix")))</f>
        <v>0</v>
      </c>
      <c r="Y523" s="4">
        <f>IF(OR(INDEX($AH$2:$AH$1001,MATCH(ROWS($AG$2:AG523),$AG$2:$AG$1001,0),1)&gt;=100000,INDEX($AN$1005:$BO$1005,1,MATCH(COLUMNS($AN$1006:BK1006),$AN$1006:$BO$1006,0))&gt;=100000), " ",IF(INDEX($AN$2:$BO$1001,MATCH(ROWS($AG$2:AG523),$AG$2:$AG$1001,0),MATCH(COLUMNS($AN$1006:BK1006),$AN$1006:$BO$1006,0)), HYPERLINK("#",""), HYPERLINK(CONCATENATE("#Metadata!", ADDRESS(INDEX($AI$2:$AI$1001,MATCH(ROWS($AG$2:AG523),$AG$2:$AG$1001,0),0), INDEX($AN$1004:$BO$1004,1,MATCH(COLUMNS($AN$1006:BK1006),$AN$1006:$BO$1006,0)))),"Fix")))</f>
        <v>0</v>
      </c>
      <c r="Z523" s="4">
        <f>IF(OR(INDEX($AH$2:$AH$1001,MATCH(ROWS($AG$2:AG523),$AG$2:$AG$1001,0),1)&gt;=100000,INDEX($AN$1005:$BO$1005,1,MATCH(COLUMNS($AN$1006:BL1006),$AN$1006:$BO$1006,0))&gt;=100000), " ",IF(INDEX($AN$2:$BO$1001,MATCH(ROWS($AG$2:AG523),$AG$2:$AG$1001,0),MATCH(COLUMNS($AN$1006:BL1006),$AN$1006:$BO$1006,0)), HYPERLINK("#",""), HYPERLINK(CONCATENATE("#Metadata!", ADDRESS(INDEX($AI$2:$AI$1001,MATCH(ROWS($AG$2:AG523),$AG$2:$AG$1001,0),0), INDEX($AN$1004:$BO$1004,1,MATCH(COLUMNS($AN$1006:BL1006),$AN$1006:$BO$1006,0)))),"Fix")))</f>
        <v>0</v>
      </c>
      <c r="AA523" s="4">
        <f>IF(OR(INDEX($AH$2:$AH$1001,MATCH(ROWS($AG$2:AG523),$AG$2:$AG$1001,0),1)&gt;=100000,INDEX($AN$1005:$BO$1005,1,MATCH(COLUMNS($AN$1006:BM1006),$AN$1006:$BO$1006,0))&gt;=100000), " ",IF(INDEX($AN$2:$BO$1001,MATCH(ROWS($AG$2:AG523),$AG$2:$AG$1001,0),MATCH(COLUMNS($AN$1006:BM1006),$AN$1006:$BO$1006,0)), HYPERLINK("#",""), HYPERLINK(CONCATENATE("#Metadata!", ADDRESS(INDEX($AI$2:$AI$1001,MATCH(ROWS($AG$2:AG523),$AG$2:$AG$1001,0),0), INDEX($AN$1004:$BO$1004,1,MATCH(COLUMNS($AN$1006:BM1006),$AN$1006:$BO$1006,0)))),"Fix")))</f>
        <v>0</v>
      </c>
      <c r="AB523" s="4">
        <f>IF(OR(INDEX($AH$2:$AH$1001,MATCH(ROWS($AG$2:AG523),$AG$2:$AG$1001,0),1)&gt;=100000,INDEX($AN$1005:$BO$1005,1,MATCH(COLUMNS($AN$1006:BN1006),$AN$1006:$BO$1006,0))&gt;=100000), " ",IF(INDEX($AN$2:$BO$1001,MATCH(ROWS($AG$2:AG523),$AG$2:$AG$1001,0),MATCH(COLUMNS($AN$1006:BN1006),$AN$1006:$BO$1006,0)), HYPERLINK("#",""), HYPERLINK(CONCATENATE("#Metadata!", ADDRESS(INDEX($AI$2:$AI$1001,MATCH(ROWS($AG$2:AG523),$AG$2:$AG$1001,0),0), INDEX($AN$1004:$BO$1004,1,MATCH(COLUMNS($AN$1006:BN1006),$AN$1006:$BO$1006,0)))),"Fix")))</f>
        <v>0</v>
      </c>
      <c r="AC523" s="4">
        <f>IF(OR(INDEX($AH$2:$AH$1001,MATCH(ROWS($AG$2:AG523),$AG$2:$AG$1001,0),1)&gt;=100000,INDEX($AN$1005:$BO$1005,1,MATCH(COLUMNS($AN$1006:BO1006),$AN$1006:$BO$1006,0))&gt;=100000), " ",IF(INDEX($AN$2:$BO$1001,MATCH(ROWS($AG$2:AG523),$AG$2:$AG$1001,0),MATCH(COLUMNS($AN$1006:BO1006),$AN$1006:$BO$1006,0)), HYPERLINK("#",""), HYPERLINK(CONCATENATE("#Metadata!", ADDRESS(INDEX($AI$2:$AI$1001,MATCH(ROWS($AG$2:AG523),$AG$2:$AG$1001,0),0), INDEX($AN$1004:$BO$1004,1,MATCH(COLUMNS($AN$1006:BO1006),$AN$1006:$BO$1006,0)))),"Fix")))</f>
        <v>0</v>
      </c>
      <c r="AG523">
        <v>0</v>
      </c>
      <c r="AH523">
        <v>0</v>
      </c>
      <c r="AI523">
        <v>0</v>
      </c>
      <c r="AJ523">
        <f>IF(AK523,TRUE,AND(AN523:BO523))</f>
        <v>0</v>
      </c>
      <c r="AK523">
        <f>COUNTBLANK(Metadata!B523:AC523)=COLUMNS(Metadata!B523:AC523)</f>
        <v>0</v>
      </c>
      <c r="AL523">
        <v>0</v>
      </c>
      <c r="AN523">
        <f>AND(IF(Metadata!B523="",FALSE,TRUE),COUNTIF(Metadata!B:B, Metadata!B523) = 1,NOT(ISERROR(SUMPRODUCT(SEARCH(MID(Metadata!B523,ROW(INDIRECT("1:"&amp;LEN(Metadata!B523))), 1),"0123456789abcdefghijklmnopqrstuvwxyzABCDEFGHIJKLMNOPQRSTUVWXYZ.")))))</f>
        <v>0</v>
      </c>
      <c r="AO523">
        <f>IF(Metadata!C523="",FALSE,TRUE)</f>
        <v>0</v>
      </c>
      <c r="AP523">
        <f>IF(Metadata!D523="",FALSE,TRUE)</f>
        <v>0</v>
      </c>
      <c r="AQ523">
        <f>OR(AND(IF(Metadata!E523="",FALSE,TRUE),OR(exact(Metadata!E523,"not collected"),exact(Metadata!E523,"not provided"),exact(Metadata!E523,"restricted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R523">
        <f>IF(Metadata!F523="",FALSE,TRUE)</f>
        <v>0</v>
      </c>
      <c r="AS523">
        <f>OR(AND(IF(Metadata!G523="",FALSE,TRUE),OR(exact(Metadata!G523,"not collected"),exact(Metadata!G523,"not provided"))),AND(IF(Metadata!G523="",FALSE,TRUE),OR(exact(Metadata!G523,"TRUE"),exact(Metadata!G523,"FALSE"))))</f>
        <v>0</v>
      </c>
      <c r="AT523">
        <f>OR(AND(IF(Metadata!H523="",FALSE,TRUE),OR(exact(Metadata!H523,"not collected"),exact(Metadata!H523,"not provided"),exact(Metadata!H523,"restricted access"))),AND(IF(Metadata!H523="",FALSE,ISNUMBER(VALUE(Metadata!H523))),Metadata!H523&gt;=-413.0))</f>
        <v>0</v>
      </c>
      <c r="AU523">
        <f>AND(IF(Metadata!I523="",FALSE,TRUE),exact(Metadata!I523,"meters"))</f>
        <v>0</v>
      </c>
      <c r="AV523">
        <f>AND(IF(Metadata!J523="",FALSE,TRUE),OR(exact(Metadata!J523,"Host-associated"),exact(Metadata!J523,"Free-living")))</f>
        <v>0</v>
      </c>
      <c r="AW523">
        <f>AND(IF(Metadata!K523="",FALSE,TRUE),OR(exact(Metadata!K523,"Animal"),exact(Metadata!K523,"Fungus"),exact(Metadata!K523,"Plant"),exact(Metadata!K523,"Saline"),exact(Metadata!K523,"Non-saline")))</f>
        <v>0</v>
      </c>
      <c r="AX523">
        <f>AND(IF(Metadata!L523="",FALSE,TRUE),OR(exact(Metadata!L523,"Plant secretion"),exact(Metadata!L523,"Plant rhizosphere"),exact(Metadata!L523,"Plant surface"),exact(Metadata!L523,"Plant corpus"),exact(Metadata!L523,"Fungus surface"),exact(Metadata!L523,"Fungus corpus"),exact(Metadata!L523,"Animal surface"),exact(Metadata!L523,"Animal proximal gut"),exact(Metadata!L523,"Animal corpus"),exact(Metadata!L523,"Animal distal gut"),exact(Metadata!L523,"Animal secretion"),exact(Metadata!L523,"Sub-surface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Y523">
        <f>IF(Metadata!M523="",FALSE,TRUE)</f>
        <v>0</v>
      </c>
      <c r="AZ523">
        <f>IF(Metadata!N523="",FALSE,TRUE)</f>
        <v>0</v>
      </c>
      <c r="BA523">
        <f>IF(Metadata!O523="",FALSE,TRUE)</f>
        <v>0</v>
      </c>
      <c r="BB523">
        <f>OR(AND(IF(Metadata!P523="",FALSE,TRUE),OR(exact(Metadata!P523,"not collected"),exact(Metadata!P523,"not provided"),exact(Metadata!P523,"restricted access"))),AND(IF(Metadata!P523="",FALSE,TRUE),OR(exact(Metadata!P523,"air"),exact(Metadata!P523,"built environment"),exact(Metadata!P523,"host-associated"),exact(Metadata!P523,"human-associated"),exact(Metadata!P523,"human-skin"),exact(Metadata!P523,"human-oral"),exact(Metadata!P523,"human-gut"),exact(Metadata!P523,"human-vaginal"),exact(Metadata!P523,"microbial mat/biofilm"),exact(Metadata!P523,"misc environment"),exact(Metadata!P523,"plant-associated"),exact(Metadata!P523,"sediment"),exact(Metadata!P523,"soil"),exact(Metadata!P523,"wastewater/sludge"),exact(Metadata!P523,"water"))))</f>
        <v>0</v>
      </c>
      <c r="BC523">
        <f>IF(Metadata!Q523="",FALSE,TRUE)</f>
        <v>0</v>
      </c>
      <c r="BD523">
        <f>IF(Metadata!R523="",FALSE,TRUE)</f>
        <v>0</v>
      </c>
      <c r="BE523">
        <f>OR(AND(IF(Metadata!S523="",FALSE,TRUE),OR(exact(Metadata!S523,"not collected"),exact(Metadata!S523,"not provided"),exact(Metadata!S523,"restricted access"))),AND(IF(Metadata!S523="",FALSE,ISNUMBER(VALUE(Metadata!S523))),Metadata!S523&gt;=-90.00,Metadata!S523&lt;=90.00))</f>
        <v>0</v>
      </c>
      <c r="BF523">
        <f>AND(IF(Metadata!T523="",FALSE,TRUE),exact(Metadata!T523,"Decimal degrees"))</f>
        <v>0</v>
      </c>
      <c r="BG523">
        <f>OR(AND(IF(Metadata!U523="",FALSE,TRUE),OR(exact(Metadata!U523,"not collected"),exact(Metadata!U523,"not provided"),exact(Metadata!U523,"restricted access"))),AND(IF(Metadata!U523="",FALSE,ISNUMBER(VALUE(Metadata!U523))),Metadata!U523&gt;=-180.00,Metadata!U523&lt;=180.00))</f>
        <v>0</v>
      </c>
      <c r="BH523">
        <f>AND(IF(Metadata!V523="",FALSE,TRUE),exact(Metadata!V523,"Decimal degrees"))</f>
        <v>0</v>
      </c>
      <c r="BI523">
        <f>IF(Metadata!W523="",FALSE,TRUE)</f>
        <v>0</v>
      </c>
      <c r="BJ523">
        <f>OR(AND(IF(Metadata!X523="",FALSE,TRUE),OR(exact(Metadata!X523,"not collected"),exact(Metadata!X523,"not provided"),exact(Metadata!X523,"restricted access"))),AND(IF(Metadata!X523="",FALSE,TRUE),OR(exact(Metadata!X523,"TRUE"),exact(Metadata!X523,"FALSE"))))</f>
        <v>0</v>
      </c>
      <c r="BK523">
        <f>AND(IF(Metadata!Y523="",FALSE,TRUE),exact(Metadata!Y523,"other"))</f>
        <v>0</v>
      </c>
      <c r="BL523">
        <f>IF(Metadata!Z523="",FALSE,TRUE)</f>
        <v>0</v>
      </c>
      <c r="BM523">
        <f>OR(AND(IF(Metadata!AA523="",FALSE,TRUE),OR(exact(Metadata!AA523,"not collected"),exact(Metadata!AA523,"not provided"))),AND(IF(Metadata!AA523="",FALSE,IF(ISERROR(INT(Metadata!AA523)),FALSE,INT(Metadata!AA523)=Metadata!AA523)),Metadata!AA523&gt;0))</f>
        <v>0</v>
      </c>
      <c r="BN523">
        <f>AND(IF(Metadata!AB523="",FALSE,TRUE),exact(Metadata!AB523,"Not applicable"))</f>
        <v>0</v>
      </c>
      <c r="BO523">
        <f>IF(Metadata!AC523="",FALSE,TRUE)</f>
        <v>0</v>
      </c>
    </row>
    <row r="524" spans="1:67">
      <c r="A524" s="5">
        <f>IF(B524=" "," ",HYPERLINK(CONCATENATE("#metadata!",ADDRESS(INDEX($AI$2:$AI$1001,MATCH(ROWS($AG$2:AG524),$AG$2:$AG$1001,0),0),1)),INDEX($AL$2:$AL$1001,MATCH(ROWS($AG$2:AG524),$AG$2:$AG$1001,0),0)))</f>
        <v>0</v>
      </c>
      <c r="B524" s="4">
        <f>IF(OR(INDEX($AH$2:$AH$1001,MATCH(ROWS($AG$2:AG524),$AG$2:$AG$1001,0),1)&gt;=100000,INDEX($AN$1005:$BO$1005,1,MATCH(COLUMNS($AN$1006:AN1006),$AN$1006:$BO$1006,0))&gt;=100000), " ",IF(INDEX($AN$2:$BO$1001,MATCH(ROWS($AG$2:AG524),$AG$2:$AG$1001,0),MATCH(COLUMNS($AN$1006:AN1006),$AN$1006:$BO$1006,0)), HYPERLINK("#",""), HYPERLINK(CONCATENATE("#Metadata!", ADDRESS(INDEX($AI$2:$AI$1001,MATCH(ROWS($AG$2:AG524),$AG$2:$AG$1001,0),0), INDEX($AN$1004:$BO$1004,1,MATCH(COLUMNS($AN$1006:AN1006),$AN$1006:$BO$1006,0)))),"Fix")))</f>
        <v>0</v>
      </c>
      <c r="C524" s="4">
        <f>IF(OR(INDEX($AH$2:$AH$1001,MATCH(ROWS($AG$2:AG524),$AG$2:$AG$1001,0),1)&gt;=100000,INDEX($AN$1005:$BO$1005,1,MATCH(COLUMNS($AN$1006:AO1006),$AN$1006:$BO$1006,0))&gt;=100000), " ",IF(INDEX($AN$2:$BO$1001,MATCH(ROWS($AG$2:AG524),$AG$2:$AG$1001,0),MATCH(COLUMNS($AN$1006:AO1006),$AN$1006:$BO$1006,0)), HYPERLINK("#",""), HYPERLINK(CONCATENATE("#Metadata!", ADDRESS(INDEX($AI$2:$AI$1001,MATCH(ROWS($AG$2:AG524),$AG$2:$AG$1001,0),0), INDEX($AN$1004:$BO$1004,1,MATCH(COLUMNS($AN$1006:AO1006),$AN$1006:$BO$1006,0)))),"Fix")))</f>
        <v>0</v>
      </c>
      <c r="D524" s="4">
        <f>IF(OR(INDEX($AH$2:$AH$1001,MATCH(ROWS($AG$2:AG524),$AG$2:$AG$1001,0),1)&gt;=100000,INDEX($AN$1005:$BO$1005,1,MATCH(COLUMNS($AN$1006:AP1006),$AN$1006:$BO$1006,0))&gt;=100000), " ",IF(INDEX($AN$2:$BO$1001,MATCH(ROWS($AG$2:AG524),$AG$2:$AG$1001,0),MATCH(COLUMNS($AN$1006:AP1006),$AN$1006:$BO$1006,0)), HYPERLINK("#",""), HYPERLINK(CONCATENATE("#Metadata!", ADDRESS(INDEX($AI$2:$AI$1001,MATCH(ROWS($AG$2:AG524),$AG$2:$AG$1001,0),0), INDEX($AN$1004:$BO$1004,1,MATCH(COLUMNS($AN$1006:AP1006),$AN$1006:$BO$1006,0)))),"Fix")))</f>
        <v>0</v>
      </c>
      <c r="E524" s="4">
        <f>IF(OR(INDEX($AH$2:$AH$1001,MATCH(ROWS($AG$2:AG524),$AG$2:$AG$1001,0),1)&gt;=100000,INDEX($AN$1005:$BO$1005,1,MATCH(COLUMNS($AN$1006:AQ1006),$AN$1006:$BO$1006,0))&gt;=100000), " ",IF(INDEX($AN$2:$BO$1001,MATCH(ROWS($AG$2:AG524),$AG$2:$AG$1001,0),MATCH(COLUMNS($AN$1006:AQ1006),$AN$1006:$BO$1006,0)), HYPERLINK("#",""), HYPERLINK(CONCATENATE("#Metadata!", ADDRESS(INDEX($AI$2:$AI$1001,MATCH(ROWS($AG$2:AG524),$AG$2:$AG$1001,0),0), INDEX($AN$1004:$BO$1004,1,MATCH(COLUMNS($AN$1006:AQ1006),$AN$1006:$BO$1006,0)))),"Fix")))</f>
        <v>0</v>
      </c>
      <c r="F524" s="4">
        <f>IF(OR(INDEX($AH$2:$AH$1001,MATCH(ROWS($AG$2:AG524),$AG$2:$AG$1001,0),1)&gt;=100000,INDEX($AN$1005:$BO$1005,1,MATCH(COLUMNS($AN$1006:AR1006),$AN$1006:$BO$1006,0))&gt;=100000), " ",IF(INDEX($AN$2:$BO$1001,MATCH(ROWS($AG$2:AG524),$AG$2:$AG$1001,0),MATCH(COLUMNS($AN$1006:AR1006),$AN$1006:$BO$1006,0)), HYPERLINK("#",""), HYPERLINK(CONCATENATE("#Metadata!", ADDRESS(INDEX($AI$2:$AI$1001,MATCH(ROWS($AG$2:AG524),$AG$2:$AG$1001,0),0), INDEX($AN$1004:$BO$1004,1,MATCH(COLUMNS($AN$1006:AR1006),$AN$1006:$BO$1006,0)))),"Fix")))</f>
        <v>0</v>
      </c>
      <c r="G524" s="4">
        <f>IF(OR(INDEX($AH$2:$AH$1001,MATCH(ROWS($AG$2:AG524),$AG$2:$AG$1001,0),1)&gt;=100000,INDEX($AN$1005:$BO$1005,1,MATCH(COLUMNS($AN$1006:AS1006),$AN$1006:$BO$1006,0))&gt;=100000), " ",IF(INDEX($AN$2:$BO$1001,MATCH(ROWS($AG$2:AG524),$AG$2:$AG$1001,0),MATCH(COLUMNS($AN$1006:AS1006),$AN$1006:$BO$1006,0)), HYPERLINK("#",""), HYPERLINK(CONCATENATE("#Metadata!", ADDRESS(INDEX($AI$2:$AI$1001,MATCH(ROWS($AG$2:AG524),$AG$2:$AG$1001,0),0), INDEX($AN$1004:$BO$1004,1,MATCH(COLUMNS($AN$1006:AS1006),$AN$1006:$BO$1006,0)))),"Fix")))</f>
        <v>0</v>
      </c>
      <c r="H524" s="4">
        <f>IF(OR(INDEX($AH$2:$AH$1001,MATCH(ROWS($AG$2:AG524),$AG$2:$AG$1001,0),1)&gt;=100000,INDEX($AN$1005:$BO$1005,1,MATCH(COLUMNS($AN$1006:AT1006),$AN$1006:$BO$1006,0))&gt;=100000), " ",IF(INDEX($AN$2:$BO$1001,MATCH(ROWS($AG$2:AG524),$AG$2:$AG$1001,0),MATCH(COLUMNS($AN$1006:AT1006),$AN$1006:$BO$1006,0)), HYPERLINK("#",""), HYPERLINK(CONCATENATE("#Metadata!", ADDRESS(INDEX($AI$2:$AI$1001,MATCH(ROWS($AG$2:AG524),$AG$2:$AG$1001,0),0), INDEX($AN$1004:$BO$1004,1,MATCH(COLUMNS($AN$1006:AT1006),$AN$1006:$BO$1006,0)))),"Fix")))</f>
        <v>0</v>
      </c>
      <c r="I524" s="4">
        <f>IF(OR(INDEX($AH$2:$AH$1001,MATCH(ROWS($AG$2:AG524),$AG$2:$AG$1001,0),1)&gt;=100000,INDEX($AN$1005:$BO$1005,1,MATCH(COLUMNS($AN$1006:AU1006),$AN$1006:$BO$1006,0))&gt;=100000), " ",IF(INDEX($AN$2:$BO$1001,MATCH(ROWS($AG$2:AG524),$AG$2:$AG$1001,0),MATCH(COLUMNS($AN$1006:AU1006),$AN$1006:$BO$1006,0)), HYPERLINK("#",""), HYPERLINK(CONCATENATE("#Metadata!", ADDRESS(INDEX($AI$2:$AI$1001,MATCH(ROWS($AG$2:AG524),$AG$2:$AG$1001,0),0), INDEX($AN$1004:$BO$1004,1,MATCH(COLUMNS($AN$1006:AU1006),$AN$1006:$BO$1006,0)))),"Fix")))</f>
        <v>0</v>
      </c>
      <c r="J524" s="4">
        <f>IF(OR(INDEX($AH$2:$AH$1001,MATCH(ROWS($AG$2:AG524),$AG$2:$AG$1001,0),1)&gt;=100000,INDEX($AN$1005:$BO$1005,1,MATCH(COLUMNS($AN$1006:AV1006),$AN$1006:$BO$1006,0))&gt;=100000), " ",IF(INDEX($AN$2:$BO$1001,MATCH(ROWS($AG$2:AG524),$AG$2:$AG$1001,0),MATCH(COLUMNS($AN$1006:AV1006),$AN$1006:$BO$1006,0)), HYPERLINK("#",""), HYPERLINK(CONCATENATE("#Metadata!", ADDRESS(INDEX($AI$2:$AI$1001,MATCH(ROWS($AG$2:AG524),$AG$2:$AG$1001,0),0), INDEX($AN$1004:$BO$1004,1,MATCH(COLUMNS($AN$1006:AV1006),$AN$1006:$BO$1006,0)))),"Fix")))</f>
        <v>0</v>
      </c>
      <c r="K524" s="4">
        <f>IF(OR(INDEX($AH$2:$AH$1001,MATCH(ROWS($AG$2:AG524),$AG$2:$AG$1001,0),1)&gt;=100000,INDEX($AN$1005:$BO$1005,1,MATCH(COLUMNS($AN$1006:AW1006),$AN$1006:$BO$1006,0))&gt;=100000), " ",IF(INDEX($AN$2:$BO$1001,MATCH(ROWS($AG$2:AG524),$AG$2:$AG$1001,0),MATCH(COLUMNS($AN$1006:AW1006),$AN$1006:$BO$1006,0)), HYPERLINK("#",""), HYPERLINK(CONCATENATE("#Metadata!", ADDRESS(INDEX($AI$2:$AI$1001,MATCH(ROWS($AG$2:AG524),$AG$2:$AG$1001,0),0), INDEX($AN$1004:$BO$1004,1,MATCH(COLUMNS($AN$1006:AW1006),$AN$1006:$BO$1006,0)))),"Fix")))</f>
        <v>0</v>
      </c>
      <c r="L524" s="4">
        <f>IF(OR(INDEX($AH$2:$AH$1001,MATCH(ROWS($AG$2:AG524),$AG$2:$AG$1001,0),1)&gt;=100000,INDEX($AN$1005:$BO$1005,1,MATCH(COLUMNS($AN$1006:AX1006),$AN$1006:$BO$1006,0))&gt;=100000), " ",IF(INDEX($AN$2:$BO$1001,MATCH(ROWS($AG$2:AG524),$AG$2:$AG$1001,0),MATCH(COLUMNS($AN$1006:AX1006),$AN$1006:$BO$1006,0)), HYPERLINK("#",""), HYPERLINK(CONCATENATE("#Metadata!", ADDRESS(INDEX($AI$2:$AI$1001,MATCH(ROWS($AG$2:AG524),$AG$2:$AG$1001,0),0), INDEX($AN$1004:$BO$1004,1,MATCH(COLUMNS($AN$1006:AX1006),$AN$1006:$BO$1006,0)))),"Fix")))</f>
        <v>0</v>
      </c>
      <c r="M524" s="4">
        <f>IF(OR(INDEX($AH$2:$AH$1001,MATCH(ROWS($AG$2:AG524),$AG$2:$AG$1001,0),1)&gt;=100000,INDEX($AN$1005:$BO$1005,1,MATCH(COLUMNS($AN$1006:AY1006),$AN$1006:$BO$1006,0))&gt;=100000), " ",IF(INDEX($AN$2:$BO$1001,MATCH(ROWS($AG$2:AG524),$AG$2:$AG$1001,0),MATCH(COLUMNS($AN$1006:AY1006),$AN$1006:$BO$1006,0)), HYPERLINK("#",""), HYPERLINK(CONCATENATE("#Metadata!", ADDRESS(INDEX($AI$2:$AI$1001,MATCH(ROWS($AG$2:AG524),$AG$2:$AG$1001,0),0), INDEX($AN$1004:$BO$1004,1,MATCH(COLUMNS($AN$1006:AY1006),$AN$1006:$BO$1006,0)))),"Fix")))</f>
        <v>0</v>
      </c>
      <c r="N524" s="4">
        <f>IF(OR(INDEX($AH$2:$AH$1001,MATCH(ROWS($AG$2:AG524),$AG$2:$AG$1001,0),1)&gt;=100000,INDEX($AN$1005:$BO$1005,1,MATCH(COLUMNS($AN$1006:AZ1006),$AN$1006:$BO$1006,0))&gt;=100000), " ",IF(INDEX($AN$2:$BO$1001,MATCH(ROWS($AG$2:AG524),$AG$2:$AG$1001,0),MATCH(COLUMNS($AN$1006:AZ1006),$AN$1006:$BO$1006,0)), HYPERLINK("#",""), HYPERLINK(CONCATENATE("#Metadata!", ADDRESS(INDEX($AI$2:$AI$1001,MATCH(ROWS($AG$2:AG524),$AG$2:$AG$1001,0),0), INDEX($AN$1004:$BO$1004,1,MATCH(COLUMNS($AN$1006:AZ1006),$AN$1006:$BO$1006,0)))),"Fix")))</f>
        <v>0</v>
      </c>
      <c r="O524" s="4">
        <f>IF(OR(INDEX($AH$2:$AH$1001,MATCH(ROWS($AG$2:AG524),$AG$2:$AG$1001,0),1)&gt;=100000,INDEX($AN$1005:$BO$1005,1,MATCH(COLUMNS($AN$1006:BA1006),$AN$1006:$BO$1006,0))&gt;=100000), " ",IF(INDEX($AN$2:$BO$1001,MATCH(ROWS($AG$2:AG524),$AG$2:$AG$1001,0),MATCH(COLUMNS($AN$1006:BA1006),$AN$1006:$BO$1006,0)), HYPERLINK("#",""), HYPERLINK(CONCATENATE("#Metadata!", ADDRESS(INDEX($AI$2:$AI$1001,MATCH(ROWS($AG$2:AG524),$AG$2:$AG$1001,0),0), INDEX($AN$1004:$BO$1004,1,MATCH(COLUMNS($AN$1006:BA1006),$AN$1006:$BO$1006,0)))),"Fix")))</f>
        <v>0</v>
      </c>
      <c r="P524" s="4">
        <f>IF(OR(INDEX($AH$2:$AH$1001,MATCH(ROWS($AG$2:AG524),$AG$2:$AG$1001,0),1)&gt;=100000,INDEX($AN$1005:$BO$1005,1,MATCH(COLUMNS($AN$1006:BB1006),$AN$1006:$BO$1006,0))&gt;=100000), " ",IF(INDEX($AN$2:$BO$1001,MATCH(ROWS($AG$2:AG524),$AG$2:$AG$1001,0),MATCH(COLUMNS($AN$1006:BB1006),$AN$1006:$BO$1006,0)), HYPERLINK("#",""), HYPERLINK(CONCATENATE("#Metadata!", ADDRESS(INDEX($AI$2:$AI$1001,MATCH(ROWS($AG$2:AG524),$AG$2:$AG$1001,0),0), INDEX($AN$1004:$BO$1004,1,MATCH(COLUMNS($AN$1006:BB1006),$AN$1006:$BO$1006,0)))),"Fix")))</f>
        <v>0</v>
      </c>
      <c r="Q524" s="4">
        <f>IF(OR(INDEX($AH$2:$AH$1001,MATCH(ROWS($AG$2:AG524),$AG$2:$AG$1001,0),1)&gt;=100000,INDEX($AN$1005:$BO$1005,1,MATCH(COLUMNS($AN$1006:BC1006),$AN$1006:$BO$1006,0))&gt;=100000), " ",IF(INDEX($AN$2:$BO$1001,MATCH(ROWS($AG$2:AG524),$AG$2:$AG$1001,0),MATCH(COLUMNS($AN$1006:BC1006),$AN$1006:$BO$1006,0)), HYPERLINK("#",""), HYPERLINK(CONCATENATE("#Metadata!", ADDRESS(INDEX($AI$2:$AI$1001,MATCH(ROWS($AG$2:AG524),$AG$2:$AG$1001,0),0), INDEX($AN$1004:$BO$1004,1,MATCH(COLUMNS($AN$1006:BC1006),$AN$1006:$BO$1006,0)))),"Fix")))</f>
        <v>0</v>
      </c>
      <c r="R524" s="4">
        <f>IF(OR(INDEX($AH$2:$AH$1001,MATCH(ROWS($AG$2:AG524),$AG$2:$AG$1001,0),1)&gt;=100000,INDEX($AN$1005:$BO$1005,1,MATCH(COLUMNS($AN$1006:BD1006),$AN$1006:$BO$1006,0))&gt;=100000), " ",IF(INDEX($AN$2:$BO$1001,MATCH(ROWS($AG$2:AG524),$AG$2:$AG$1001,0),MATCH(COLUMNS($AN$1006:BD1006),$AN$1006:$BO$1006,0)), HYPERLINK("#",""), HYPERLINK(CONCATENATE("#Metadata!", ADDRESS(INDEX($AI$2:$AI$1001,MATCH(ROWS($AG$2:AG524),$AG$2:$AG$1001,0),0), INDEX($AN$1004:$BO$1004,1,MATCH(COLUMNS($AN$1006:BD1006),$AN$1006:$BO$1006,0)))),"Fix")))</f>
        <v>0</v>
      </c>
      <c r="S524" s="4">
        <f>IF(OR(INDEX($AH$2:$AH$1001,MATCH(ROWS($AG$2:AG524),$AG$2:$AG$1001,0),1)&gt;=100000,INDEX($AN$1005:$BO$1005,1,MATCH(COLUMNS($AN$1006:BE1006),$AN$1006:$BO$1006,0))&gt;=100000), " ",IF(INDEX($AN$2:$BO$1001,MATCH(ROWS($AG$2:AG524),$AG$2:$AG$1001,0),MATCH(COLUMNS($AN$1006:BE1006),$AN$1006:$BO$1006,0)), HYPERLINK("#",""), HYPERLINK(CONCATENATE("#Metadata!", ADDRESS(INDEX($AI$2:$AI$1001,MATCH(ROWS($AG$2:AG524),$AG$2:$AG$1001,0),0), INDEX($AN$1004:$BO$1004,1,MATCH(COLUMNS($AN$1006:BE1006),$AN$1006:$BO$1006,0)))),"Fix")))</f>
        <v>0</v>
      </c>
      <c r="T524" s="4">
        <f>IF(OR(INDEX($AH$2:$AH$1001,MATCH(ROWS($AG$2:AG524),$AG$2:$AG$1001,0),1)&gt;=100000,INDEX($AN$1005:$BO$1005,1,MATCH(COLUMNS($AN$1006:BF1006),$AN$1006:$BO$1006,0))&gt;=100000), " ",IF(INDEX($AN$2:$BO$1001,MATCH(ROWS($AG$2:AG524),$AG$2:$AG$1001,0),MATCH(COLUMNS($AN$1006:BF1006),$AN$1006:$BO$1006,0)), HYPERLINK("#",""), HYPERLINK(CONCATENATE("#Metadata!", ADDRESS(INDEX($AI$2:$AI$1001,MATCH(ROWS($AG$2:AG524),$AG$2:$AG$1001,0),0), INDEX($AN$1004:$BO$1004,1,MATCH(COLUMNS($AN$1006:BF1006),$AN$1006:$BO$1006,0)))),"Fix")))</f>
        <v>0</v>
      </c>
      <c r="U524" s="4">
        <f>IF(OR(INDEX($AH$2:$AH$1001,MATCH(ROWS($AG$2:AG524),$AG$2:$AG$1001,0),1)&gt;=100000,INDEX($AN$1005:$BO$1005,1,MATCH(COLUMNS($AN$1006:BG1006),$AN$1006:$BO$1006,0))&gt;=100000), " ",IF(INDEX($AN$2:$BO$1001,MATCH(ROWS($AG$2:AG524),$AG$2:$AG$1001,0),MATCH(COLUMNS($AN$1006:BG1006),$AN$1006:$BO$1006,0)), HYPERLINK("#",""), HYPERLINK(CONCATENATE("#Metadata!", ADDRESS(INDEX($AI$2:$AI$1001,MATCH(ROWS($AG$2:AG524),$AG$2:$AG$1001,0),0), INDEX($AN$1004:$BO$1004,1,MATCH(COLUMNS($AN$1006:BG1006),$AN$1006:$BO$1006,0)))),"Fix")))</f>
        <v>0</v>
      </c>
      <c r="V524" s="4">
        <f>IF(OR(INDEX($AH$2:$AH$1001,MATCH(ROWS($AG$2:AG524),$AG$2:$AG$1001,0),1)&gt;=100000,INDEX($AN$1005:$BO$1005,1,MATCH(COLUMNS($AN$1006:BH1006),$AN$1006:$BO$1006,0))&gt;=100000), " ",IF(INDEX($AN$2:$BO$1001,MATCH(ROWS($AG$2:AG524),$AG$2:$AG$1001,0),MATCH(COLUMNS($AN$1006:BH1006),$AN$1006:$BO$1006,0)), HYPERLINK("#",""), HYPERLINK(CONCATENATE("#Metadata!", ADDRESS(INDEX($AI$2:$AI$1001,MATCH(ROWS($AG$2:AG524),$AG$2:$AG$1001,0),0), INDEX($AN$1004:$BO$1004,1,MATCH(COLUMNS($AN$1006:BH1006),$AN$1006:$BO$1006,0)))),"Fix")))</f>
        <v>0</v>
      </c>
      <c r="W524" s="4">
        <f>IF(OR(INDEX($AH$2:$AH$1001,MATCH(ROWS($AG$2:AG524),$AG$2:$AG$1001,0),1)&gt;=100000,INDEX($AN$1005:$BO$1005,1,MATCH(COLUMNS($AN$1006:BI1006),$AN$1006:$BO$1006,0))&gt;=100000), " ",IF(INDEX($AN$2:$BO$1001,MATCH(ROWS($AG$2:AG524),$AG$2:$AG$1001,0),MATCH(COLUMNS($AN$1006:BI1006),$AN$1006:$BO$1006,0)), HYPERLINK("#",""), HYPERLINK(CONCATENATE("#Metadata!", ADDRESS(INDEX($AI$2:$AI$1001,MATCH(ROWS($AG$2:AG524),$AG$2:$AG$1001,0),0), INDEX($AN$1004:$BO$1004,1,MATCH(COLUMNS($AN$1006:BI1006),$AN$1006:$BO$1006,0)))),"Fix")))</f>
        <v>0</v>
      </c>
      <c r="X524" s="4">
        <f>IF(OR(INDEX($AH$2:$AH$1001,MATCH(ROWS($AG$2:AG524),$AG$2:$AG$1001,0),1)&gt;=100000,INDEX($AN$1005:$BO$1005,1,MATCH(COLUMNS($AN$1006:BJ1006),$AN$1006:$BO$1006,0))&gt;=100000), " ",IF(INDEX($AN$2:$BO$1001,MATCH(ROWS($AG$2:AG524),$AG$2:$AG$1001,0),MATCH(COLUMNS($AN$1006:BJ1006),$AN$1006:$BO$1006,0)), HYPERLINK("#",""), HYPERLINK(CONCATENATE("#Metadata!", ADDRESS(INDEX($AI$2:$AI$1001,MATCH(ROWS($AG$2:AG524),$AG$2:$AG$1001,0),0), INDEX($AN$1004:$BO$1004,1,MATCH(COLUMNS($AN$1006:BJ1006),$AN$1006:$BO$1006,0)))),"Fix")))</f>
        <v>0</v>
      </c>
      <c r="Y524" s="4">
        <f>IF(OR(INDEX($AH$2:$AH$1001,MATCH(ROWS($AG$2:AG524),$AG$2:$AG$1001,0),1)&gt;=100000,INDEX($AN$1005:$BO$1005,1,MATCH(COLUMNS($AN$1006:BK1006),$AN$1006:$BO$1006,0))&gt;=100000), " ",IF(INDEX($AN$2:$BO$1001,MATCH(ROWS($AG$2:AG524),$AG$2:$AG$1001,0),MATCH(COLUMNS($AN$1006:BK1006),$AN$1006:$BO$1006,0)), HYPERLINK("#",""), HYPERLINK(CONCATENATE("#Metadata!", ADDRESS(INDEX($AI$2:$AI$1001,MATCH(ROWS($AG$2:AG524),$AG$2:$AG$1001,0),0), INDEX($AN$1004:$BO$1004,1,MATCH(COLUMNS($AN$1006:BK1006),$AN$1006:$BO$1006,0)))),"Fix")))</f>
        <v>0</v>
      </c>
      <c r="Z524" s="4">
        <f>IF(OR(INDEX($AH$2:$AH$1001,MATCH(ROWS($AG$2:AG524),$AG$2:$AG$1001,0),1)&gt;=100000,INDEX($AN$1005:$BO$1005,1,MATCH(COLUMNS($AN$1006:BL1006),$AN$1006:$BO$1006,0))&gt;=100000), " ",IF(INDEX($AN$2:$BO$1001,MATCH(ROWS($AG$2:AG524),$AG$2:$AG$1001,0),MATCH(COLUMNS($AN$1006:BL1006),$AN$1006:$BO$1006,0)), HYPERLINK("#",""), HYPERLINK(CONCATENATE("#Metadata!", ADDRESS(INDEX($AI$2:$AI$1001,MATCH(ROWS($AG$2:AG524),$AG$2:$AG$1001,0),0), INDEX($AN$1004:$BO$1004,1,MATCH(COLUMNS($AN$1006:BL1006),$AN$1006:$BO$1006,0)))),"Fix")))</f>
        <v>0</v>
      </c>
      <c r="AA524" s="4">
        <f>IF(OR(INDEX($AH$2:$AH$1001,MATCH(ROWS($AG$2:AG524),$AG$2:$AG$1001,0),1)&gt;=100000,INDEX($AN$1005:$BO$1005,1,MATCH(COLUMNS($AN$1006:BM1006),$AN$1006:$BO$1006,0))&gt;=100000), " ",IF(INDEX($AN$2:$BO$1001,MATCH(ROWS($AG$2:AG524),$AG$2:$AG$1001,0),MATCH(COLUMNS($AN$1006:BM1006),$AN$1006:$BO$1006,0)), HYPERLINK("#",""), HYPERLINK(CONCATENATE("#Metadata!", ADDRESS(INDEX($AI$2:$AI$1001,MATCH(ROWS($AG$2:AG524),$AG$2:$AG$1001,0),0), INDEX($AN$1004:$BO$1004,1,MATCH(COLUMNS($AN$1006:BM1006),$AN$1006:$BO$1006,0)))),"Fix")))</f>
        <v>0</v>
      </c>
      <c r="AB524" s="4">
        <f>IF(OR(INDEX($AH$2:$AH$1001,MATCH(ROWS($AG$2:AG524),$AG$2:$AG$1001,0),1)&gt;=100000,INDEX($AN$1005:$BO$1005,1,MATCH(COLUMNS($AN$1006:BN1006),$AN$1006:$BO$1006,0))&gt;=100000), " ",IF(INDEX($AN$2:$BO$1001,MATCH(ROWS($AG$2:AG524),$AG$2:$AG$1001,0),MATCH(COLUMNS($AN$1006:BN1006),$AN$1006:$BO$1006,0)), HYPERLINK("#",""), HYPERLINK(CONCATENATE("#Metadata!", ADDRESS(INDEX($AI$2:$AI$1001,MATCH(ROWS($AG$2:AG524),$AG$2:$AG$1001,0),0), INDEX($AN$1004:$BO$1004,1,MATCH(COLUMNS($AN$1006:BN1006),$AN$1006:$BO$1006,0)))),"Fix")))</f>
        <v>0</v>
      </c>
      <c r="AC524" s="4">
        <f>IF(OR(INDEX($AH$2:$AH$1001,MATCH(ROWS($AG$2:AG524),$AG$2:$AG$1001,0),1)&gt;=100000,INDEX($AN$1005:$BO$1005,1,MATCH(COLUMNS($AN$1006:BO1006),$AN$1006:$BO$1006,0))&gt;=100000), " ",IF(INDEX($AN$2:$BO$1001,MATCH(ROWS($AG$2:AG524),$AG$2:$AG$1001,0),MATCH(COLUMNS($AN$1006:BO1006),$AN$1006:$BO$1006,0)), HYPERLINK("#",""), HYPERLINK(CONCATENATE("#Metadata!", ADDRESS(INDEX($AI$2:$AI$1001,MATCH(ROWS($AG$2:AG524),$AG$2:$AG$1001,0),0), INDEX($AN$1004:$BO$1004,1,MATCH(COLUMNS($AN$1006:BO1006),$AN$1006:$BO$1006,0)))),"Fix")))</f>
        <v>0</v>
      </c>
      <c r="AG524">
        <v>0</v>
      </c>
      <c r="AH524">
        <v>0</v>
      </c>
      <c r="AI524">
        <v>0</v>
      </c>
      <c r="AJ524">
        <f>IF(AK524,TRUE,AND(AN524:BO524))</f>
        <v>0</v>
      </c>
      <c r="AK524">
        <f>COUNTBLANK(Metadata!B524:AC524)=COLUMNS(Metadata!B524:AC524)</f>
        <v>0</v>
      </c>
      <c r="AL524">
        <v>0</v>
      </c>
      <c r="AN524">
        <f>AND(IF(Metadata!B524="",FALSE,TRUE),COUNTIF(Metadata!B:B, Metadata!B524) = 1,NOT(ISERROR(SUMPRODUCT(SEARCH(MID(Metadata!B524,ROW(INDIRECT("1:"&amp;LEN(Metadata!B524))), 1),"0123456789abcdefghijklmnopqrstuvwxyzABCDEFGHIJKLMNOPQRSTUVWXYZ.")))))</f>
        <v>0</v>
      </c>
      <c r="AO524">
        <f>IF(Metadata!C524="",FALSE,TRUE)</f>
        <v>0</v>
      </c>
      <c r="AP524">
        <f>IF(Metadata!D524="",FALSE,TRUE)</f>
        <v>0</v>
      </c>
      <c r="AQ524">
        <f>OR(AND(IF(Metadata!E524="",FALSE,TRUE),OR(exact(Metadata!E524,"not collected"),exact(Metadata!E524,"not provided"),exact(Metadata!E524,"restricted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R524">
        <f>IF(Metadata!F524="",FALSE,TRUE)</f>
        <v>0</v>
      </c>
      <c r="AS524">
        <f>OR(AND(IF(Metadata!G524="",FALSE,TRUE),OR(exact(Metadata!G524,"not collected"),exact(Metadata!G524,"not provided"))),AND(IF(Metadata!G524="",FALSE,TRUE),OR(exact(Metadata!G524,"TRUE"),exact(Metadata!G524,"FALSE"))))</f>
        <v>0</v>
      </c>
      <c r="AT524">
        <f>OR(AND(IF(Metadata!H524="",FALSE,TRUE),OR(exact(Metadata!H524,"not collected"),exact(Metadata!H524,"not provided"),exact(Metadata!H524,"restricted access"))),AND(IF(Metadata!H524="",FALSE,ISNUMBER(VALUE(Metadata!H524))),Metadata!H524&gt;=-413.0))</f>
        <v>0</v>
      </c>
      <c r="AU524">
        <f>AND(IF(Metadata!I524="",FALSE,TRUE),exact(Metadata!I524,"meters"))</f>
        <v>0</v>
      </c>
      <c r="AV524">
        <f>AND(IF(Metadata!J524="",FALSE,TRUE),OR(exact(Metadata!J524,"Host-associated"),exact(Metadata!J524,"Free-living")))</f>
        <v>0</v>
      </c>
      <c r="AW524">
        <f>AND(IF(Metadata!K524="",FALSE,TRUE),OR(exact(Metadata!K524,"Animal"),exact(Metadata!K524,"Fungus"),exact(Metadata!K524,"Plant"),exact(Metadata!K524,"Saline"),exact(Metadata!K524,"Non-saline")))</f>
        <v>0</v>
      </c>
      <c r="AX524">
        <f>AND(IF(Metadata!L524="",FALSE,TRUE),OR(exact(Metadata!L524,"Plant secretion"),exact(Metadata!L524,"Plant rhizosphere"),exact(Metadata!L524,"Plant surface"),exact(Metadata!L524,"Plant corpus"),exact(Metadata!L524,"Fungus surface"),exact(Metadata!L524,"Fungus corpus"),exact(Metadata!L524,"Animal surface"),exact(Metadata!L524,"Animal proximal gut"),exact(Metadata!L524,"Animal corpus"),exact(Metadata!L524,"Animal distal gut"),exact(Metadata!L524,"Animal secretion"),exact(Metadata!L524,"Sub-surface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Y524">
        <f>IF(Metadata!M524="",FALSE,TRUE)</f>
        <v>0</v>
      </c>
      <c r="AZ524">
        <f>IF(Metadata!N524="",FALSE,TRUE)</f>
        <v>0</v>
      </c>
      <c r="BA524">
        <f>IF(Metadata!O524="",FALSE,TRUE)</f>
        <v>0</v>
      </c>
      <c r="BB524">
        <f>OR(AND(IF(Metadata!P524="",FALSE,TRUE),OR(exact(Metadata!P524,"not collected"),exact(Metadata!P524,"not provided"),exact(Metadata!P524,"restricted access"))),AND(IF(Metadata!P524="",FALSE,TRUE),OR(exact(Metadata!P524,"air"),exact(Metadata!P524,"built environment"),exact(Metadata!P524,"host-associated"),exact(Metadata!P524,"human-associated"),exact(Metadata!P524,"human-skin"),exact(Metadata!P524,"human-oral"),exact(Metadata!P524,"human-gut"),exact(Metadata!P524,"human-vaginal"),exact(Metadata!P524,"microbial mat/biofilm"),exact(Metadata!P524,"misc environment"),exact(Metadata!P524,"plant-associated"),exact(Metadata!P524,"sediment"),exact(Metadata!P524,"soil"),exact(Metadata!P524,"wastewater/sludge"),exact(Metadata!P524,"water"))))</f>
        <v>0</v>
      </c>
      <c r="BC524">
        <f>IF(Metadata!Q524="",FALSE,TRUE)</f>
        <v>0</v>
      </c>
      <c r="BD524">
        <f>IF(Metadata!R524="",FALSE,TRUE)</f>
        <v>0</v>
      </c>
      <c r="BE524">
        <f>OR(AND(IF(Metadata!S524="",FALSE,TRUE),OR(exact(Metadata!S524,"not collected"),exact(Metadata!S524,"not provided"),exact(Metadata!S524,"restricted access"))),AND(IF(Metadata!S524="",FALSE,ISNUMBER(VALUE(Metadata!S524))),Metadata!S524&gt;=-90.00,Metadata!S524&lt;=90.00))</f>
        <v>0</v>
      </c>
      <c r="BF524">
        <f>AND(IF(Metadata!T524="",FALSE,TRUE),exact(Metadata!T524,"Decimal degrees"))</f>
        <v>0</v>
      </c>
      <c r="BG524">
        <f>OR(AND(IF(Metadata!U524="",FALSE,TRUE),OR(exact(Metadata!U524,"not collected"),exact(Metadata!U524,"not provided"),exact(Metadata!U524,"restricted access"))),AND(IF(Metadata!U524="",FALSE,ISNUMBER(VALUE(Metadata!U524))),Metadata!U524&gt;=-180.00,Metadata!U524&lt;=180.00))</f>
        <v>0</v>
      </c>
      <c r="BH524">
        <f>AND(IF(Metadata!V524="",FALSE,TRUE),exact(Metadata!V524,"Decimal degrees"))</f>
        <v>0</v>
      </c>
      <c r="BI524">
        <f>IF(Metadata!W524="",FALSE,TRUE)</f>
        <v>0</v>
      </c>
      <c r="BJ524">
        <f>OR(AND(IF(Metadata!X524="",FALSE,TRUE),OR(exact(Metadata!X524,"not collected"),exact(Metadata!X524,"not provided"),exact(Metadata!X524,"restricted access"))),AND(IF(Metadata!X524="",FALSE,TRUE),OR(exact(Metadata!X524,"TRUE"),exact(Metadata!X524,"FALSE"))))</f>
        <v>0</v>
      </c>
      <c r="BK524">
        <f>AND(IF(Metadata!Y524="",FALSE,TRUE),exact(Metadata!Y524,"other"))</f>
        <v>0</v>
      </c>
      <c r="BL524">
        <f>IF(Metadata!Z524="",FALSE,TRUE)</f>
        <v>0</v>
      </c>
      <c r="BM524">
        <f>OR(AND(IF(Metadata!AA524="",FALSE,TRUE),OR(exact(Metadata!AA524,"not collected"),exact(Metadata!AA524,"not provided"))),AND(IF(Metadata!AA524="",FALSE,IF(ISERROR(INT(Metadata!AA524)),FALSE,INT(Metadata!AA524)=Metadata!AA524)),Metadata!AA524&gt;0))</f>
        <v>0</v>
      </c>
      <c r="BN524">
        <f>AND(IF(Metadata!AB524="",FALSE,TRUE),exact(Metadata!AB524,"Not applicable"))</f>
        <v>0</v>
      </c>
      <c r="BO524">
        <f>IF(Metadata!AC524="",FALSE,TRUE)</f>
        <v>0</v>
      </c>
    </row>
    <row r="525" spans="1:67">
      <c r="A525" s="5">
        <f>IF(B525=" "," ",HYPERLINK(CONCATENATE("#metadata!",ADDRESS(INDEX($AI$2:$AI$1001,MATCH(ROWS($AG$2:AG525),$AG$2:$AG$1001,0),0),1)),INDEX($AL$2:$AL$1001,MATCH(ROWS($AG$2:AG525),$AG$2:$AG$1001,0),0)))</f>
        <v>0</v>
      </c>
      <c r="B525" s="4">
        <f>IF(OR(INDEX($AH$2:$AH$1001,MATCH(ROWS($AG$2:AG525),$AG$2:$AG$1001,0),1)&gt;=100000,INDEX($AN$1005:$BO$1005,1,MATCH(COLUMNS($AN$1006:AN1006),$AN$1006:$BO$1006,0))&gt;=100000), " ",IF(INDEX($AN$2:$BO$1001,MATCH(ROWS($AG$2:AG525),$AG$2:$AG$1001,0),MATCH(COLUMNS($AN$1006:AN1006),$AN$1006:$BO$1006,0)), HYPERLINK("#",""), HYPERLINK(CONCATENATE("#Metadata!", ADDRESS(INDEX($AI$2:$AI$1001,MATCH(ROWS($AG$2:AG525),$AG$2:$AG$1001,0),0), INDEX($AN$1004:$BO$1004,1,MATCH(COLUMNS($AN$1006:AN1006),$AN$1006:$BO$1006,0)))),"Fix")))</f>
        <v>0</v>
      </c>
      <c r="C525" s="4">
        <f>IF(OR(INDEX($AH$2:$AH$1001,MATCH(ROWS($AG$2:AG525),$AG$2:$AG$1001,0),1)&gt;=100000,INDEX($AN$1005:$BO$1005,1,MATCH(COLUMNS($AN$1006:AO1006),$AN$1006:$BO$1006,0))&gt;=100000), " ",IF(INDEX($AN$2:$BO$1001,MATCH(ROWS($AG$2:AG525),$AG$2:$AG$1001,0),MATCH(COLUMNS($AN$1006:AO1006),$AN$1006:$BO$1006,0)), HYPERLINK("#",""), HYPERLINK(CONCATENATE("#Metadata!", ADDRESS(INDEX($AI$2:$AI$1001,MATCH(ROWS($AG$2:AG525),$AG$2:$AG$1001,0),0), INDEX($AN$1004:$BO$1004,1,MATCH(COLUMNS($AN$1006:AO1006),$AN$1006:$BO$1006,0)))),"Fix")))</f>
        <v>0</v>
      </c>
      <c r="D525" s="4">
        <f>IF(OR(INDEX($AH$2:$AH$1001,MATCH(ROWS($AG$2:AG525),$AG$2:$AG$1001,0),1)&gt;=100000,INDEX($AN$1005:$BO$1005,1,MATCH(COLUMNS($AN$1006:AP1006),$AN$1006:$BO$1006,0))&gt;=100000), " ",IF(INDEX($AN$2:$BO$1001,MATCH(ROWS($AG$2:AG525),$AG$2:$AG$1001,0),MATCH(COLUMNS($AN$1006:AP1006),$AN$1006:$BO$1006,0)), HYPERLINK("#",""), HYPERLINK(CONCATENATE("#Metadata!", ADDRESS(INDEX($AI$2:$AI$1001,MATCH(ROWS($AG$2:AG525),$AG$2:$AG$1001,0),0), INDEX($AN$1004:$BO$1004,1,MATCH(COLUMNS($AN$1006:AP1006),$AN$1006:$BO$1006,0)))),"Fix")))</f>
        <v>0</v>
      </c>
      <c r="E525" s="4">
        <f>IF(OR(INDEX($AH$2:$AH$1001,MATCH(ROWS($AG$2:AG525),$AG$2:$AG$1001,0),1)&gt;=100000,INDEX($AN$1005:$BO$1005,1,MATCH(COLUMNS($AN$1006:AQ1006),$AN$1006:$BO$1006,0))&gt;=100000), " ",IF(INDEX($AN$2:$BO$1001,MATCH(ROWS($AG$2:AG525),$AG$2:$AG$1001,0),MATCH(COLUMNS($AN$1006:AQ1006),$AN$1006:$BO$1006,0)), HYPERLINK("#",""), HYPERLINK(CONCATENATE("#Metadata!", ADDRESS(INDEX($AI$2:$AI$1001,MATCH(ROWS($AG$2:AG525),$AG$2:$AG$1001,0),0), INDEX($AN$1004:$BO$1004,1,MATCH(COLUMNS($AN$1006:AQ1006),$AN$1006:$BO$1006,0)))),"Fix")))</f>
        <v>0</v>
      </c>
      <c r="F525" s="4">
        <f>IF(OR(INDEX($AH$2:$AH$1001,MATCH(ROWS($AG$2:AG525),$AG$2:$AG$1001,0),1)&gt;=100000,INDEX($AN$1005:$BO$1005,1,MATCH(COLUMNS($AN$1006:AR1006),$AN$1006:$BO$1006,0))&gt;=100000), " ",IF(INDEX($AN$2:$BO$1001,MATCH(ROWS($AG$2:AG525),$AG$2:$AG$1001,0),MATCH(COLUMNS($AN$1006:AR1006),$AN$1006:$BO$1006,0)), HYPERLINK("#",""), HYPERLINK(CONCATENATE("#Metadata!", ADDRESS(INDEX($AI$2:$AI$1001,MATCH(ROWS($AG$2:AG525),$AG$2:$AG$1001,0),0), INDEX($AN$1004:$BO$1004,1,MATCH(COLUMNS($AN$1006:AR1006),$AN$1006:$BO$1006,0)))),"Fix")))</f>
        <v>0</v>
      </c>
      <c r="G525" s="4">
        <f>IF(OR(INDEX($AH$2:$AH$1001,MATCH(ROWS($AG$2:AG525),$AG$2:$AG$1001,0),1)&gt;=100000,INDEX($AN$1005:$BO$1005,1,MATCH(COLUMNS($AN$1006:AS1006),$AN$1006:$BO$1006,0))&gt;=100000), " ",IF(INDEX($AN$2:$BO$1001,MATCH(ROWS($AG$2:AG525),$AG$2:$AG$1001,0),MATCH(COLUMNS($AN$1006:AS1006),$AN$1006:$BO$1006,0)), HYPERLINK("#",""), HYPERLINK(CONCATENATE("#Metadata!", ADDRESS(INDEX($AI$2:$AI$1001,MATCH(ROWS($AG$2:AG525),$AG$2:$AG$1001,0),0), INDEX($AN$1004:$BO$1004,1,MATCH(COLUMNS($AN$1006:AS1006),$AN$1006:$BO$1006,0)))),"Fix")))</f>
        <v>0</v>
      </c>
      <c r="H525" s="4">
        <f>IF(OR(INDEX($AH$2:$AH$1001,MATCH(ROWS($AG$2:AG525),$AG$2:$AG$1001,0),1)&gt;=100000,INDEX($AN$1005:$BO$1005,1,MATCH(COLUMNS($AN$1006:AT1006),$AN$1006:$BO$1006,0))&gt;=100000), " ",IF(INDEX($AN$2:$BO$1001,MATCH(ROWS($AG$2:AG525),$AG$2:$AG$1001,0),MATCH(COLUMNS($AN$1006:AT1006),$AN$1006:$BO$1006,0)), HYPERLINK("#",""), HYPERLINK(CONCATENATE("#Metadata!", ADDRESS(INDEX($AI$2:$AI$1001,MATCH(ROWS($AG$2:AG525),$AG$2:$AG$1001,0),0), INDEX($AN$1004:$BO$1004,1,MATCH(COLUMNS($AN$1006:AT1006),$AN$1006:$BO$1006,0)))),"Fix")))</f>
        <v>0</v>
      </c>
      <c r="I525" s="4">
        <f>IF(OR(INDEX($AH$2:$AH$1001,MATCH(ROWS($AG$2:AG525),$AG$2:$AG$1001,0),1)&gt;=100000,INDEX($AN$1005:$BO$1005,1,MATCH(COLUMNS($AN$1006:AU1006),$AN$1006:$BO$1006,0))&gt;=100000), " ",IF(INDEX($AN$2:$BO$1001,MATCH(ROWS($AG$2:AG525),$AG$2:$AG$1001,0),MATCH(COLUMNS($AN$1006:AU1006),$AN$1006:$BO$1006,0)), HYPERLINK("#",""), HYPERLINK(CONCATENATE("#Metadata!", ADDRESS(INDEX($AI$2:$AI$1001,MATCH(ROWS($AG$2:AG525),$AG$2:$AG$1001,0),0), INDEX($AN$1004:$BO$1004,1,MATCH(COLUMNS($AN$1006:AU1006),$AN$1006:$BO$1006,0)))),"Fix")))</f>
        <v>0</v>
      </c>
      <c r="J525" s="4">
        <f>IF(OR(INDEX($AH$2:$AH$1001,MATCH(ROWS($AG$2:AG525),$AG$2:$AG$1001,0),1)&gt;=100000,INDEX($AN$1005:$BO$1005,1,MATCH(COLUMNS($AN$1006:AV1006),$AN$1006:$BO$1006,0))&gt;=100000), " ",IF(INDEX($AN$2:$BO$1001,MATCH(ROWS($AG$2:AG525),$AG$2:$AG$1001,0),MATCH(COLUMNS($AN$1006:AV1006),$AN$1006:$BO$1006,0)), HYPERLINK("#",""), HYPERLINK(CONCATENATE("#Metadata!", ADDRESS(INDEX($AI$2:$AI$1001,MATCH(ROWS($AG$2:AG525),$AG$2:$AG$1001,0),0), INDEX($AN$1004:$BO$1004,1,MATCH(COLUMNS($AN$1006:AV1006),$AN$1006:$BO$1006,0)))),"Fix")))</f>
        <v>0</v>
      </c>
      <c r="K525" s="4">
        <f>IF(OR(INDEX($AH$2:$AH$1001,MATCH(ROWS($AG$2:AG525),$AG$2:$AG$1001,0),1)&gt;=100000,INDEX($AN$1005:$BO$1005,1,MATCH(COLUMNS($AN$1006:AW1006),$AN$1006:$BO$1006,0))&gt;=100000), " ",IF(INDEX($AN$2:$BO$1001,MATCH(ROWS($AG$2:AG525),$AG$2:$AG$1001,0),MATCH(COLUMNS($AN$1006:AW1006),$AN$1006:$BO$1006,0)), HYPERLINK("#",""), HYPERLINK(CONCATENATE("#Metadata!", ADDRESS(INDEX($AI$2:$AI$1001,MATCH(ROWS($AG$2:AG525),$AG$2:$AG$1001,0),0), INDEX($AN$1004:$BO$1004,1,MATCH(COLUMNS($AN$1006:AW1006),$AN$1006:$BO$1006,0)))),"Fix")))</f>
        <v>0</v>
      </c>
      <c r="L525" s="4">
        <f>IF(OR(INDEX($AH$2:$AH$1001,MATCH(ROWS($AG$2:AG525),$AG$2:$AG$1001,0),1)&gt;=100000,INDEX($AN$1005:$BO$1005,1,MATCH(COLUMNS($AN$1006:AX1006),$AN$1006:$BO$1006,0))&gt;=100000), " ",IF(INDEX($AN$2:$BO$1001,MATCH(ROWS($AG$2:AG525),$AG$2:$AG$1001,0),MATCH(COLUMNS($AN$1006:AX1006),$AN$1006:$BO$1006,0)), HYPERLINK("#",""), HYPERLINK(CONCATENATE("#Metadata!", ADDRESS(INDEX($AI$2:$AI$1001,MATCH(ROWS($AG$2:AG525),$AG$2:$AG$1001,0),0), INDEX($AN$1004:$BO$1004,1,MATCH(COLUMNS($AN$1006:AX1006),$AN$1006:$BO$1006,0)))),"Fix")))</f>
        <v>0</v>
      </c>
      <c r="M525" s="4">
        <f>IF(OR(INDEX($AH$2:$AH$1001,MATCH(ROWS($AG$2:AG525),$AG$2:$AG$1001,0),1)&gt;=100000,INDEX($AN$1005:$BO$1005,1,MATCH(COLUMNS($AN$1006:AY1006),$AN$1006:$BO$1006,0))&gt;=100000), " ",IF(INDEX($AN$2:$BO$1001,MATCH(ROWS($AG$2:AG525),$AG$2:$AG$1001,0),MATCH(COLUMNS($AN$1006:AY1006),$AN$1006:$BO$1006,0)), HYPERLINK("#",""), HYPERLINK(CONCATENATE("#Metadata!", ADDRESS(INDEX($AI$2:$AI$1001,MATCH(ROWS($AG$2:AG525),$AG$2:$AG$1001,0),0), INDEX($AN$1004:$BO$1004,1,MATCH(COLUMNS($AN$1006:AY1006),$AN$1006:$BO$1006,0)))),"Fix")))</f>
        <v>0</v>
      </c>
      <c r="N525" s="4">
        <f>IF(OR(INDEX($AH$2:$AH$1001,MATCH(ROWS($AG$2:AG525),$AG$2:$AG$1001,0),1)&gt;=100000,INDEX($AN$1005:$BO$1005,1,MATCH(COLUMNS($AN$1006:AZ1006),$AN$1006:$BO$1006,0))&gt;=100000), " ",IF(INDEX($AN$2:$BO$1001,MATCH(ROWS($AG$2:AG525),$AG$2:$AG$1001,0),MATCH(COLUMNS($AN$1006:AZ1006),$AN$1006:$BO$1006,0)), HYPERLINK("#",""), HYPERLINK(CONCATENATE("#Metadata!", ADDRESS(INDEX($AI$2:$AI$1001,MATCH(ROWS($AG$2:AG525),$AG$2:$AG$1001,0),0), INDEX($AN$1004:$BO$1004,1,MATCH(COLUMNS($AN$1006:AZ1006),$AN$1006:$BO$1006,0)))),"Fix")))</f>
        <v>0</v>
      </c>
      <c r="O525" s="4">
        <f>IF(OR(INDEX($AH$2:$AH$1001,MATCH(ROWS($AG$2:AG525),$AG$2:$AG$1001,0),1)&gt;=100000,INDEX($AN$1005:$BO$1005,1,MATCH(COLUMNS($AN$1006:BA1006),$AN$1006:$BO$1006,0))&gt;=100000), " ",IF(INDEX($AN$2:$BO$1001,MATCH(ROWS($AG$2:AG525),$AG$2:$AG$1001,0),MATCH(COLUMNS($AN$1006:BA1006),$AN$1006:$BO$1006,0)), HYPERLINK("#",""), HYPERLINK(CONCATENATE("#Metadata!", ADDRESS(INDEX($AI$2:$AI$1001,MATCH(ROWS($AG$2:AG525),$AG$2:$AG$1001,0),0), INDEX($AN$1004:$BO$1004,1,MATCH(COLUMNS($AN$1006:BA1006),$AN$1006:$BO$1006,0)))),"Fix")))</f>
        <v>0</v>
      </c>
      <c r="P525" s="4">
        <f>IF(OR(INDEX($AH$2:$AH$1001,MATCH(ROWS($AG$2:AG525),$AG$2:$AG$1001,0),1)&gt;=100000,INDEX($AN$1005:$BO$1005,1,MATCH(COLUMNS($AN$1006:BB1006),$AN$1006:$BO$1006,0))&gt;=100000), " ",IF(INDEX($AN$2:$BO$1001,MATCH(ROWS($AG$2:AG525),$AG$2:$AG$1001,0),MATCH(COLUMNS($AN$1006:BB1006),$AN$1006:$BO$1006,0)), HYPERLINK("#",""), HYPERLINK(CONCATENATE("#Metadata!", ADDRESS(INDEX($AI$2:$AI$1001,MATCH(ROWS($AG$2:AG525),$AG$2:$AG$1001,0),0), INDEX($AN$1004:$BO$1004,1,MATCH(COLUMNS($AN$1006:BB1006),$AN$1006:$BO$1006,0)))),"Fix")))</f>
        <v>0</v>
      </c>
      <c r="Q525" s="4">
        <f>IF(OR(INDEX($AH$2:$AH$1001,MATCH(ROWS($AG$2:AG525),$AG$2:$AG$1001,0),1)&gt;=100000,INDEX($AN$1005:$BO$1005,1,MATCH(COLUMNS($AN$1006:BC1006),$AN$1006:$BO$1006,0))&gt;=100000), " ",IF(INDEX($AN$2:$BO$1001,MATCH(ROWS($AG$2:AG525),$AG$2:$AG$1001,0),MATCH(COLUMNS($AN$1006:BC1006),$AN$1006:$BO$1006,0)), HYPERLINK("#",""), HYPERLINK(CONCATENATE("#Metadata!", ADDRESS(INDEX($AI$2:$AI$1001,MATCH(ROWS($AG$2:AG525),$AG$2:$AG$1001,0),0), INDEX($AN$1004:$BO$1004,1,MATCH(COLUMNS($AN$1006:BC1006),$AN$1006:$BO$1006,0)))),"Fix")))</f>
        <v>0</v>
      </c>
      <c r="R525" s="4">
        <f>IF(OR(INDEX($AH$2:$AH$1001,MATCH(ROWS($AG$2:AG525),$AG$2:$AG$1001,0),1)&gt;=100000,INDEX($AN$1005:$BO$1005,1,MATCH(COLUMNS($AN$1006:BD1006),$AN$1006:$BO$1006,0))&gt;=100000), " ",IF(INDEX($AN$2:$BO$1001,MATCH(ROWS($AG$2:AG525),$AG$2:$AG$1001,0),MATCH(COLUMNS($AN$1006:BD1006),$AN$1006:$BO$1006,0)), HYPERLINK("#",""), HYPERLINK(CONCATENATE("#Metadata!", ADDRESS(INDEX($AI$2:$AI$1001,MATCH(ROWS($AG$2:AG525),$AG$2:$AG$1001,0),0), INDEX($AN$1004:$BO$1004,1,MATCH(COLUMNS($AN$1006:BD1006),$AN$1006:$BO$1006,0)))),"Fix")))</f>
        <v>0</v>
      </c>
      <c r="S525" s="4">
        <f>IF(OR(INDEX($AH$2:$AH$1001,MATCH(ROWS($AG$2:AG525),$AG$2:$AG$1001,0),1)&gt;=100000,INDEX($AN$1005:$BO$1005,1,MATCH(COLUMNS($AN$1006:BE1006),$AN$1006:$BO$1006,0))&gt;=100000), " ",IF(INDEX($AN$2:$BO$1001,MATCH(ROWS($AG$2:AG525),$AG$2:$AG$1001,0),MATCH(COLUMNS($AN$1006:BE1006),$AN$1006:$BO$1006,0)), HYPERLINK("#",""), HYPERLINK(CONCATENATE("#Metadata!", ADDRESS(INDEX($AI$2:$AI$1001,MATCH(ROWS($AG$2:AG525),$AG$2:$AG$1001,0),0), INDEX($AN$1004:$BO$1004,1,MATCH(COLUMNS($AN$1006:BE1006),$AN$1006:$BO$1006,0)))),"Fix")))</f>
        <v>0</v>
      </c>
      <c r="T525" s="4">
        <f>IF(OR(INDEX($AH$2:$AH$1001,MATCH(ROWS($AG$2:AG525),$AG$2:$AG$1001,0),1)&gt;=100000,INDEX($AN$1005:$BO$1005,1,MATCH(COLUMNS($AN$1006:BF1006),$AN$1006:$BO$1006,0))&gt;=100000), " ",IF(INDEX($AN$2:$BO$1001,MATCH(ROWS($AG$2:AG525),$AG$2:$AG$1001,0),MATCH(COLUMNS($AN$1006:BF1006),$AN$1006:$BO$1006,0)), HYPERLINK("#",""), HYPERLINK(CONCATENATE("#Metadata!", ADDRESS(INDEX($AI$2:$AI$1001,MATCH(ROWS($AG$2:AG525),$AG$2:$AG$1001,0),0), INDEX($AN$1004:$BO$1004,1,MATCH(COLUMNS($AN$1006:BF1006),$AN$1006:$BO$1006,0)))),"Fix")))</f>
        <v>0</v>
      </c>
      <c r="U525" s="4">
        <f>IF(OR(INDEX($AH$2:$AH$1001,MATCH(ROWS($AG$2:AG525),$AG$2:$AG$1001,0),1)&gt;=100000,INDEX($AN$1005:$BO$1005,1,MATCH(COLUMNS($AN$1006:BG1006),$AN$1006:$BO$1006,0))&gt;=100000), " ",IF(INDEX($AN$2:$BO$1001,MATCH(ROWS($AG$2:AG525),$AG$2:$AG$1001,0),MATCH(COLUMNS($AN$1006:BG1006),$AN$1006:$BO$1006,0)), HYPERLINK("#",""), HYPERLINK(CONCATENATE("#Metadata!", ADDRESS(INDEX($AI$2:$AI$1001,MATCH(ROWS($AG$2:AG525),$AG$2:$AG$1001,0),0), INDEX($AN$1004:$BO$1004,1,MATCH(COLUMNS($AN$1006:BG1006),$AN$1006:$BO$1006,0)))),"Fix")))</f>
        <v>0</v>
      </c>
      <c r="V525" s="4">
        <f>IF(OR(INDEX($AH$2:$AH$1001,MATCH(ROWS($AG$2:AG525),$AG$2:$AG$1001,0),1)&gt;=100000,INDEX($AN$1005:$BO$1005,1,MATCH(COLUMNS($AN$1006:BH1006),$AN$1006:$BO$1006,0))&gt;=100000), " ",IF(INDEX($AN$2:$BO$1001,MATCH(ROWS($AG$2:AG525),$AG$2:$AG$1001,0),MATCH(COLUMNS($AN$1006:BH1006),$AN$1006:$BO$1006,0)), HYPERLINK("#",""), HYPERLINK(CONCATENATE("#Metadata!", ADDRESS(INDEX($AI$2:$AI$1001,MATCH(ROWS($AG$2:AG525),$AG$2:$AG$1001,0),0), INDEX($AN$1004:$BO$1004,1,MATCH(COLUMNS($AN$1006:BH1006),$AN$1006:$BO$1006,0)))),"Fix")))</f>
        <v>0</v>
      </c>
      <c r="W525" s="4">
        <f>IF(OR(INDEX($AH$2:$AH$1001,MATCH(ROWS($AG$2:AG525),$AG$2:$AG$1001,0),1)&gt;=100000,INDEX($AN$1005:$BO$1005,1,MATCH(COLUMNS($AN$1006:BI1006),$AN$1006:$BO$1006,0))&gt;=100000), " ",IF(INDEX($AN$2:$BO$1001,MATCH(ROWS($AG$2:AG525),$AG$2:$AG$1001,0),MATCH(COLUMNS($AN$1006:BI1006),$AN$1006:$BO$1006,0)), HYPERLINK("#",""), HYPERLINK(CONCATENATE("#Metadata!", ADDRESS(INDEX($AI$2:$AI$1001,MATCH(ROWS($AG$2:AG525),$AG$2:$AG$1001,0),0), INDEX($AN$1004:$BO$1004,1,MATCH(COLUMNS($AN$1006:BI1006),$AN$1006:$BO$1006,0)))),"Fix")))</f>
        <v>0</v>
      </c>
      <c r="X525" s="4">
        <f>IF(OR(INDEX($AH$2:$AH$1001,MATCH(ROWS($AG$2:AG525),$AG$2:$AG$1001,0),1)&gt;=100000,INDEX($AN$1005:$BO$1005,1,MATCH(COLUMNS($AN$1006:BJ1006),$AN$1006:$BO$1006,0))&gt;=100000), " ",IF(INDEX($AN$2:$BO$1001,MATCH(ROWS($AG$2:AG525),$AG$2:$AG$1001,0),MATCH(COLUMNS($AN$1006:BJ1006),$AN$1006:$BO$1006,0)), HYPERLINK("#",""), HYPERLINK(CONCATENATE("#Metadata!", ADDRESS(INDEX($AI$2:$AI$1001,MATCH(ROWS($AG$2:AG525),$AG$2:$AG$1001,0),0), INDEX($AN$1004:$BO$1004,1,MATCH(COLUMNS($AN$1006:BJ1006),$AN$1006:$BO$1006,0)))),"Fix")))</f>
        <v>0</v>
      </c>
      <c r="Y525" s="4">
        <f>IF(OR(INDEX($AH$2:$AH$1001,MATCH(ROWS($AG$2:AG525),$AG$2:$AG$1001,0),1)&gt;=100000,INDEX($AN$1005:$BO$1005,1,MATCH(COLUMNS($AN$1006:BK1006),$AN$1006:$BO$1006,0))&gt;=100000), " ",IF(INDEX($AN$2:$BO$1001,MATCH(ROWS($AG$2:AG525),$AG$2:$AG$1001,0),MATCH(COLUMNS($AN$1006:BK1006),$AN$1006:$BO$1006,0)), HYPERLINK("#",""), HYPERLINK(CONCATENATE("#Metadata!", ADDRESS(INDEX($AI$2:$AI$1001,MATCH(ROWS($AG$2:AG525),$AG$2:$AG$1001,0),0), INDEX($AN$1004:$BO$1004,1,MATCH(COLUMNS($AN$1006:BK1006),$AN$1006:$BO$1006,0)))),"Fix")))</f>
        <v>0</v>
      </c>
      <c r="Z525" s="4">
        <f>IF(OR(INDEX($AH$2:$AH$1001,MATCH(ROWS($AG$2:AG525),$AG$2:$AG$1001,0),1)&gt;=100000,INDEX($AN$1005:$BO$1005,1,MATCH(COLUMNS($AN$1006:BL1006),$AN$1006:$BO$1006,0))&gt;=100000), " ",IF(INDEX($AN$2:$BO$1001,MATCH(ROWS($AG$2:AG525),$AG$2:$AG$1001,0),MATCH(COLUMNS($AN$1006:BL1006),$AN$1006:$BO$1006,0)), HYPERLINK("#",""), HYPERLINK(CONCATENATE("#Metadata!", ADDRESS(INDEX($AI$2:$AI$1001,MATCH(ROWS($AG$2:AG525),$AG$2:$AG$1001,0),0), INDEX($AN$1004:$BO$1004,1,MATCH(COLUMNS($AN$1006:BL1006),$AN$1006:$BO$1006,0)))),"Fix")))</f>
        <v>0</v>
      </c>
      <c r="AA525" s="4">
        <f>IF(OR(INDEX($AH$2:$AH$1001,MATCH(ROWS($AG$2:AG525),$AG$2:$AG$1001,0),1)&gt;=100000,INDEX($AN$1005:$BO$1005,1,MATCH(COLUMNS($AN$1006:BM1006),$AN$1006:$BO$1006,0))&gt;=100000), " ",IF(INDEX($AN$2:$BO$1001,MATCH(ROWS($AG$2:AG525),$AG$2:$AG$1001,0),MATCH(COLUMNS($AN$1006:BM1006),$AN$1006:$BO$1006,0)), HYPERLINK("#",""), HYPERLINK(CONCATENATE("#Metadata!", ADDRESS(INDEX($AI$2:$AI$1001,MATCH(ROWS($AG$2:AG525),$AG$2:$AG$1001,0),0), INDEX($AN$1004:$BO$1004,1,MATCH(COLUMNS($AN$1006:BM1006),$AN$1006:$BO$1006,0)))),"Fix")))</f>
        <v>0</v>
      </c>
      <c r="AB525" s="4">
        <f>IF(OR(INDEX($AH$2:$AH$1001,MATCH(ROWS($AG$2:AG525),$AG$2:$AG$1001,0),1)&gt;=100000,INDEX($AN$1005:$BO$1005,1,MATCH(COLUMNS($AN$1006:BN1006),$AN$1006:$BO$1006,0))&gt;=100000), " ",IF(INDEX($AN$2:$BO$1001,MATCH(ROWS($AG$2:AG525),$AG$2:$AG$1001,0),MATCH(COLUMNS($AN$1006:BN1006),$AN$1006:$BO$1006,0)), HYPERLINK("#",""), HYPERLINK(CONCATENATE("#Metadata!", ADDRESS(INDEX($AI$2:$AI$1001,MATCH(ROWS($AG$2:AG525),$AG$2:$AG$1001,0),0), INDEX($AN$1004:$BO$1004,1,MATCH(COLUMNS($AN$1006:BN1006),$AN$1006:$BO$1006,0)))),"Fix")))</f>
        <v>0</v>
      </c>
      <c r="AC525" s="4">
        <f>IF(OR(INDEX($AH$2:$AH$1001,MATCH(ROWS($AG$2:AG525),$AG$2:$AG$1001,0),1)&gt;=100000,INDEX($AN$1005:$BO$1005,1,MATCH(COLUMNS($AN$1006:BO1006),$AN$1006:$BO$1006,0))&gt;=100000), " ",IF(INDEX($AN$2:$BO$1001,MATCH(ROWS($AG$2:AG525),$AG$2:$AG$1001,0),MATCH(COLUMNS($AN$1006:BO1006),$AN$1006:$BO$1006,0)), HYPERLINK("#",""), HYPERLINK(CONCATENATE("#Metadata!", ADDRESS(INDEX($AI$2:$AI$1001,MATCH(ROWS($AG$2:AG525),$AG$2:$AG$1001,0),0), INDEX($AN$1004:$BO$1004,1,MATCH(COLUMNS($AN$1006:BO1006),$AN$1006:$BO$1006,0)))),"Fix")))</f>
        <v>0</v>
      </c>
      <c r="AG525">
        <v>0</v>
      </c>
      <c r="AH525">
        <v>0</v>
      </c>
      <c r="AI525">
        <v>0</v>
      </c>
      <c r="AJ525">
        <f>IF(AK525,TRUE,AND(AN525:BO525))</f>
        <v>0</v>
      </c>
      <c r="AK525">
        <f>COUNTBLANK(Metadata!B525:AC525)=COLUMNS(Metadata!B525:AC525)</f>
        <v>0</v>
      </c>
      <c r="AL525">
        <v>0</v>
      </c>
      <c r="AN525">
        <f>AND(IF(Metadata!B525="",FALSE,TRUE),COUNTIF(Metadata!B:B, Metadata!B525) = 1,NOT(ISERROR(SUMPRODUCT(SEARCH(MID(Metadata!B525,ROW(INDIRECT("1:"&amp;LEN(Metadata!B525))), 1),"0123456789abcdefghijklmnopqrstuvwxyzABCDEFGHIJKLMNOPQRSTUVWXYZ.")))))</f>
        <v>0</v>
      </c>
      <c r="AO525">
        <f>IF(Metadata!C525="",FALSE,TRUE)</f>
        <v>0</v>
      </c>
      <c r="AP525">
        <f>IF(Metadata!D525="",FALSE,TRUE)</f>
        <v>0</v>
      </c>
      <c r="AQ525">
        <f>OR(AND(IF(Metadata!E525="",FALSE,TRUE),OR(exact(Metadata!E525,"not collected"),exact(Metadata!E525,"not provided"),exact(Metadata!E525,"restricted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R525">
        <f>IF(Metadata!F525="",FALSE,TRUE)</f>
        <v>0</v>
      </c>
      <c r="AS525">
        <f>OR(AND(IF(Metadata!G525="",FALSE,TRUE),OR(exact(Metadata!G525,"not collected"),exact(Metadata!G525,"not provided"))),AND(IF(Metadata!G525="",FALSE,TRUE),OR(exact(Metadata!G525,"TRUE"),exact(Metadata!G525,"FALSE"))))</f>
        <v>0</v>
      </c>
      <c r="AT525">
        <f>OR(AND(IF(Metadata!H525="",FALSE,TRUE),OR(exact(Metadata!H525,"not collected"),exact(Metadata!H525,"not provided"),exact(Metadata!H525,"restricted access"))),AND(IF(Metadata!H525="",FALSE,ISNUMBER(VALUE(Metadata!H525))),Metadata!H525&gt;=-413.0))</f>
        <v>0</v>
      </c>
      <c r="AU525">
        <f>AND(IF(Metadata!I525="",FALSE,TRUE),exact(Metadata!I525,"meters"))</f>
        <v>0</v>
      </c>
      <c r="AV525">
        <f>AND(IF(Metadata!J525="",FALSE,TRUE),OR(exact(Metadata!J525,"Host-associated"),exact(Metadata!J525,"Free-living")))</f>
        <v>0</v>
      </c>
      <c r="AW525">
        <f>AND(IF(Metadata!K525="",FALSE,TRUE),OR(exact(Metadata!K525,"Animal"),exact(Metadata!K525,"Fungus"),exact(Metadata!K525,"Plant"),exact(Metadata!K525,"Saline"),exact(Metadata!K525,"Non-saline")))</f>
        <v>0</v>
      </c>
      <c r="AX525">
        <f>AND(IF(Metadata!L525="",FALSE,TRUE),OR(exact(Metadata!L525,"Plant secretion"),exact(Metadata!L525,"Plant rhizosphere"),exact(Metadata!L525,"Plant surface"),exact(Metadata!L525,"Plant corpus"),exact(Metadata!L525,"Fungus surface"),exact(Metadata!L525,"Fungus corpus"),exact(Metadata!L525,"Animal surface"),exact(Metadata!L525,"Animal proximal gut"),exact(Metadata!L525,"Animal corpus"),exact(Metadata!L525,"Animal distal gut"),exact(Metadata!L525,"Animal secretion"),exact(Metadata!L525,"Sub-surface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Y525">
        <f>IF(Metadata!M525="",FALSE,TRUE)</f>
        <v>0</v>
      </c>
      <c r="AZ525">
        <f>IF(Metadata!N525="",FALSE,TRUE)</f>
        <v>0</v>
      </c>
      <c r="BA525">
        <f>IF(Metadata!O525="",FALSE,TRUE)</f>
        <v>0</v>
      </c>
      <c r="BB525">
        <f>OR(AND(IF(Metadata!P525="",FALSE,TRUE),OR(exact(Metadata!P525,"not collected"),exact(Metadata!P525,"not provided"),exact(Metadata!P525,"restricted access"))),AND(IF(Metadata!P525="",FALSE,TRUE),OR(exact(Metadata!P525,"air"),exact(Metadata!P525,"built environment"),exact(Metadata!P525,"host-associated"),exact(Metadata!P525,"human-associated"),exact(Metadata!P525,"human-skin"),exact(Metadata!P525,"human-oral"),exact(Metadata!P525,"human-gut"),exact(Metadata!P525,"human-vaginal"),exact(Metadata!P525,"microbial mat/biofilm"),exact(Metadata!P525,"misc environment"),exact(Metadata!P525,"plant-associated"),exact(Metadata!P525,"sediment"),exact(Metadata!P525,"soil"),exact(Metadata!P525,"wastewater/sludge"),exact(Metadata!P525,"water"))))</f>
        <v>0</v>
      </c>
      <c r="BC525">
        <f>IF(Metadata!Q525="",FALSE,TRUE)</f>
        <v>0</v>
      </c>
      <c r="BD525">
        <f>IF(Metadata!R525="",FALSE,TRUE)</f>
        <v>0</v>
      </c>
      <c r="BE525">
        <f>OR(AND(IF(Metadata!S525="",FALSE,TRUE),OR(exact(Metadata!S525,"not collected"),exact(Metadata!S525,"not provided"),exact(Metadata!S525,"restricted access"))),AND(IF(Metadata!S525="",FALSE,ISNUMBER(VALUE(Metadata!S525))),Metadata!S525&gt;=-90.00,Metadata!S525&lt;=90.00))</f>
        <v>0</v>
      </c>
      <c r="BF525">
        <f>AND(IF(Metadata!T525="",FALSE,TRUE),exact(Metadata!T525,"Decimal degrees"))</f>
        <v>0</v>
      </c>
      <c r="BG525">
        <f>OR(AND(IF(Metadata!U525="",FALSE,TRUE),OR(exact(Metadata!U525,"not collected"),exact(Metadata!U525,"not provided"),exact(Metadata!U525,"restricted access"))),AND(IF(Metadata!U525="",FALSE,ISNUMBER(VALUE(Metadata!U525))),Metadata!U525&gt;=-180.00,Metadata!U525&lt;=180.00))</f>
        <v>0</v>
      </c>
      <c r="BH525">
        <f>AND(IF(Metadata!V525="",FALSE,TRUE),exact(Metadata!V525,"Decimal degrees"))</f>
        <v>0</v>
      </c>
      <c r="BI525">
        <f>IF(Metadata!W525="",FALSE,TRUE)</f>
        <v>0</v>
      </c>
      <c r="BJ525">
        <f>OR(AND(IF(Metadata!X525="",FALSE,TRUE),OR(exact(Metadata!X525,"not collected"),exact(Metadata!X525,"not provided"),exact(Metadata!X525,"restricted access"))),AND(IF(Metadata!X525="",FALSE,TRUE),OR(exact(Metadata!X525,"TRUE"),exact(Metadata!X525,"FALSE"))))</f>
        <v>0</v>
      </c>
      <c r="BK525">
        <f>AND(IF(Metadata!Y525="",FALSE,TRUE),exact(Metadata!Y525,"other"))</f>
        <v>0</v>
      </c>
      <c r="BL525">
        <f>IF(Metadata!Z525="",FALSE,TRUE)</f>
        <v>0</v>
      </c>
      <c r="BM525">
        <f>OR(AND(IF(Metadata!AA525="",FALSE,TRUE),OR(exact(Metadata!AA525,"not collected"),exact(Metadata!AA525,"not provided"))),AND(IF(Metadata!AA525="",FALSE,IF(ISERROR(INT(Metadata!AA525)),FALSE,INT(Metadata!AA525)=Metadata!AA525)),Metadata!AA525&gt;0))</f>
        <v>0</v>
      </c>
      <c r="BN525">
        <f>AND(IF(Metadata!AB525="",FALSE,TRUE),exact(Metadata!AB525,"Not applicable"))</f>
        <v>0</v>
      </c>
      <c r="BO525">
        <f>IF(Metadata!AC525="",FALSE,TRUE)</f>
        <v>0</v>
      </c>
    </row>
    <row r="526" spans="1:67">
      <c r="A526" s="5">
        <f>IF(B526=" "," ",HYPERLINK(CONCATENATE("#metadata!",ADDRESS(INDEX($AI$2:$AI$1001,MATCH(ROWS($AG$2:AG526),$AG$2:$AG$1001,0),0),1)),INDEX($AL$2:$AL$1001,MATCH(ROWS($AG$2:AG526),$AG$2:$AG$1001,0),0)))</f>
        <v>0</v>
      </c>
      <c r="B526" s="4">
        <f>IF(OR(INDEX($AH$2:$AH$1001,MATCH(ROWS($AG$2:AG526),$AG$2:$AG$1001,0),1)&gt;=100000,INDEX($AN$1005:$BO$1005,1,MATCH(COLUMNS($AN$1006:AN1006),$AN$1006:$BO$1006,0))&gt;=100000), " ",IF(INDEX($AN$2:$BO$1001,MATCH(ROWS($AG$2:AG526),$AG$2:$AG$1001,0),MATCH(COLUMNS($AN$1006:AN1006),$AN$1006:$BO$1006,0)), HYPERLINK("#",""), HYPERLINK(CONCATENATE("#Metadata!", ADDRESS(INDEX($AI$2:$AI$1001,MATCH(ROWS($AG$2:AG526),$AG$2:$AG$1001,0),0), INDEX($AN$1004:$BO$1004,1,MATCH(COLUMNS($AN$1006:AN1006),$AN$1006:$BO$1006,0)))),"Fix")))</f>
        <v>0</v>
      </c>
      <c r="C526" s="4">
        <f>IF(OR(INDEX($AH$2:$AH$1001,MATCH(ROWS($AG$2:AG526),$AG$2:$AG$1001,0),1)&gt;=100000,INDEX($AN$1005:$BO$1005,1,MATCH(COLUMNS($AN$1006:AO1006),$AN$1006:$BO$1006,0))&gt;=100000), " ",IF(INDEX($AN$2:$BO$1001,MATCH(ROWS($AG$2:AG526),$AG$2:$AG$1001,0),MATCH(COLUMNS($AN$1006:AO1006),$AN$1006:$BO$1006,0)), HYPERLINK("#",""), HYPERLINK(CONCATENATE("#Metadata!", ADDRESS(INDEX($AI$2:$AI$1001,MATCH(ROWS($AG$2:AG526),$AG$2:$AG$1001,0),0), INDEX($AN$1004:$BO$1004,1,MATCH(COLUMNS($AN$1006:AO1006),$AN$1006:$BO$1006,0)))),"Fix")))</f>
        <v>0</v>
      </c>
      <c r="D526" s="4">
        <f>IF(OR(INDEX($AH$2:$AH$1001,MATCH(ROWS($AG$2:AG526),$AG$2:$AG$1001,0),1)&gt;=100000,INDEX($AN$1005:$BO$1005,1,MATCH(COLUMNS($AN$1006:AP1006),$AN$1006:$BO$1006,0))&gt;=100000), " ",IF(INDEX($AN$2:$BO$1001,MATCH(ROWS($AG$2:AG526),$AG$2:$AG$1001,0),MATCH(COLUMNS($AN$1006:AP1006),$AN$1006:$BO$1006,0)), HYPERLINK("#",""), HYPERLINK(CONCATENATE("#Metadata!", ADDRESS(INDEX($AI$2:$AI$1001,MATCH(ROWS($AG$2:AG526),$AG$2:$AG$1001,0),0), INDEX($AN$1004:$BO$1004,1,MATCH(COLUMNS($AN$1006:AP1006),$AN$1006:$BO$1006,0)))),"Fix")))</f>
        <v>0</v>
      </c>
      <c r="E526" s="4">
        <f>IF(OR(INDEX($AH$2:$AH$1001,MATCH(ROWS($AG$2:AG526),$AG$2:$AG$1001,0),1)&gt;=100000,INDEX($AN$1005:$BO$1005,1,MATCH(COLUMNS($AN$1006:AQ1006),$AN$1006:$BO$1006,0))&gt;=100000), " ",IF(INDEX($AN$2:$BO$1001,MATCH(ROWS($AG$2:AG526),$AG$2:$AG$1001,0),MATCH(COLUMNS($AN$1006:AQ1006),$AN$1006:$BO$1006,0)), HYPERLINK("#",""), HYPERLINK(CONCATENATE("#Metadata!", ADDRESS(INDEX($AI$2:$AI$1001,MATCH(ROWS($AG$2:AG526),$AG$2:$AG$1001,0),0), INDEX($AN$1004:$BO$1004,1,MATCH(COLUMNS($AN$1006:AQ1006),$AN$1006:$BO$1006,0)))),"Fix")))</f>
        <v>0</v>
      </c>
      <c r="F526" s="4">
        <f>IF(OR(INDEX($AH$2:$AH$1001,MATCH(ROWS($AG$2:AG526),$AG$2:$AG$1001,0),1)&gt;=100000,INDEX($AN$1005:$BO$1005,1,MATCH(COLUMNS($AN$1006:AR1006),$AN$1006:$BO$1006,0))&gt;=100000), " ",IF(INDEX($AN$2:$BO$1001,MATCH(ROWS($AG$2:AG526),$AG$2:$AG$1001,0),MATCH(COLUMNS($AN$1006:AR1006),$AN$1006:$BO$1006,0)), HYPERLINK("#",""), HYPERLINK(CONCATENATE("#Metadata!", ADDRESS(INDEX($AI$2:$AI$1001,MATCH(ROWS($AG$2:AG526),$AG$2:$AG$1001,0),0), INDEX($AN$1004:$BO$1004,1,MATCH(COLUMNS($AN$1006:AR1006),$AN$1006:$BO$1006,0)))),"Fix")))</f>
        <v>0</v>
      </c>
      <c r="G526" s="4">
        <f>IF(OR(INDEX($AH$2:$AH$1001,MATCH(ROWS($AG$2:AG526),$AG$2:$AG$1001,0),1)&gt;=100000,INDEX($AN$1005:$BO$1005,1,MATCH(COLUMNS($AN$1006:AS1006),$AN$1006:$BO$1006,0))&gt;=100000), " ",IF(INDEX($AN$2:$BO$1001,MATCH(ROWS($AG$2:AG526),$AG$2:$AG$1001,0),MATCH(COLUMNS($AN$1006:AS1006),$AN$1006:$BO$1006,0)), HYPERLINK("#",""), HYPERLINK(CONCATENATE("#Metadata!", ADDRESS(INDEX($AI$2:$AI$1001,MATCH(ROWS($AG$2:AG526),$AG$2:$AG$1001,0),0), INDEX($AN$1004:$BO$1004,1,MATCH(COLUMNS($AN$1006:AS1006),$AN$1006:$BO$1006,0)))),"Fix")))</f>
        <v>0</v>
      </c>
      <c r="H526" s="4">
        <f>IF(OR(INDEX($AH$2:$AH$1001,MATCH(ROWS($AG$2:AG526),$AG$2:$AG$1001,0),1)&gt;=100000,INDEX($AN$1005:$BO$1005,1,MATCH(COLUMNS($AN$1006:AT1006),$AN$1006:$BO$1006,0))&gt;=100000), " ",IF(INDEX($AN$2:$BO$1001,MATCH(ROWS($AG$2:AG526),$AG$2:$AG$1001,0),MATCH(COLUMNS($AN$1006:AT1006),$AN$1006:$BO$1006,0)), HYPERLINK("#",""), HYPERLINK(CONCATENATE("#Metadata!", ADDRESS(INDEX($AI$2:$AI$1001,MATCH(ROWS($AG$2:AG526),$AG$2:$AG$1001,0),0), INDEX($AN$1004:$BO$1004,1,MATCH(COLUMNS($AN$1006:AT1006),$AN$1006:$BO$1006,0)))),"Fix")))</f>
        <v>0</v>
      </c>
      <c r="I526" s="4">
        <f>IF(OR(INDEX($AH$2:$AH$1001,MATCH(ROWS($AG$2:AG526),$AG$2:$AG$1001,0),1)&gt;=100000,INDEX($AN$1005:$BO$1005,1,MATCH(COLUMNS($AN$1006:AU1006),$AN$1006:$BO$1006,0))&gt;=100000), " ",IF(INDEX($AN$2:$BO$1001,MATCH(ROWS($AG$2:AG526),$AG$2:$AG$1001,0),MATCH(COLUMNS($AN$1006:AU1006),$AN$1006:$BO$1006,0)), HYPERLINK("#",""), HYPERLINK(CONCATENATE("#Metadata!", ADDRESS(INDEX($AI$2:$AI$1001,MATCH(ROWS($AG$2:AG526),$AG$2:$AG$1001,0),0), INDEX($AN$1004:$BO$1004,1,MATCH(COLUMNS($AN$1006:AU1006),$AN$1006:$BO$1006,0)))),"Fix")))</f>
        <v>0</v>
      </c>
      <c r="J526" s="4">
        <f>IF(OR(INDEX($AH$2:$AH$1001,MATCH(ROWS($AG$2:AG526),$AG$2:$AG$1001,0),1)&gt;=100000,INDEX($AN$1005:$BO$1005,1,MATCH(COLUMNS($AN$1006:AV1006),$AN$1006:$BO$1006,0))&gt;=100000), " ",IF(INDEX($AN$2:$BO$1001,MATCH(ROWS($AG$2:AG526),$AG$2:$AG$1001,0),MATCH(COLUMNS($AN$1006:AV1006),$AN$1006:$BO$1006,0)), HYPERLINK("#",""), HYPERLINK(CONCATENATE("#Metadata!", ADDRESS(INDEX($AI$2:$AI$1001,MATCH(ROWS($AG$2:AG526),$AG$2:$AG$1001,0),0), INDEX($AN$1004:$BO$1004,1,MATCH(COLUMNS($AN$1006:AV1006),$AN$1006:$BO$1006,0)))),"Fix")))</f>
        <v>0</v>
      </c>
      <c r="K526" s="4">
        <f>IF(OR(INDEX($AH$2:$AH$1001,MATCH(ROWS($AG$2:AG526),$AG$2:$AG$1001,0),1)&gt;=100000,INDEX($AN$1005:$BO$1005,1,MATCH(COLUMNS($AN$1006:AW1006),$AN$1006:$BO$1006,0))&gt;=100000), " ",IF(INDEX($AN$2:$BO$1001,MATCH(ROWS($AG$2:AG526),$AG$2:$AG$1001,0),MATCH(COLUMNS($AN$1006:AW1006),$AN$1006:$BO$1006,0)), HYPERLINK("#",""), HYPERLINK(CONCATENATE("#Metadata!", ADDRESS(INDEX($AI$2:$AI$1001,MATCH(ROWS($AG$2:AG526),$AG$2:$AG$1001,0),0), INDEX($AN$1004:$BO$1004,1,MATCH(COLUMNS($AN$1006:AW1006),$AN$1006:$BO$1006,0)))),"Fix")))</f>
        <v>0</v>
      </c>
      <c r="L526" s="4">
        <f>IF(OR(INDEX($AH$2:$AH$1001,MATCH(ROWS($AG$2:AG526),$AG$2:$AG$1001,0),1)&gt;=100000,INDEX($AN$1005:$BO$1005,1,MATCH(COLUMNS($AN$1006:AX1006),$AN$1006:$BO$1006,0))&gt;=100000), " ",IF(INDEX($AN$2:$BO$1001,MATCH(ROWS($AG$2:AG526),$AG$2:$AG$1001,0),MATCH(COLUMNS($AN$1006:AX1006),$AN$1006:$BO$1006,0)), HYPERLINK("#",""), HYPERLINK(CONCATENATE("#Metadata!", ADDRESS(INDEX($AI$2:$AI$1001,MATCH(ROWS($AG$2:AG526),$AG$2:$AG$1001,0),0), INDEX($AN$1004:$BO$1004,1,MATCH(COLUMNS($AN$1006:AX1006),$AN$1006:$BO$1006,0)))),"Fix")))</f>
        <v>0</v>
      </c>
      <c r="M526" s="4">
        <f>IF(OR(INDEX($AH$2:$AH$1001,MATCH(ROWS($AG$2:AG526),$AG$2:$AG$1001,0),1)&gt;=100000,INDEX($AN$1005:$BO$1005,1,MATCH(COLUMNS($AN$1006:AY1006),$AN$1006:$BO$1006,0))&gt;=100000), " ",IF(INDEX($AN$2:$BO$1001,MATCH(ROWS($AG$2:AG526),$AG$2:$AG$1001,0),MATCH(COLUMNS($AN$1006:AY1006),$AN$1006:$BO$1006,0)), HYPERLINK("#",""), HYPERLINK(CONCATENATE("#Metadata!", ADDRESS(INDEX($AI$2:$AI$1001,MATCH(ROWS($AG$2:AG526),$AG$2:$AG$1001,0),0), INDEX($AN$1004:$BO$1004,1,MATCH(COLUMNS($AN$1006:AY1006),$AN$1006:$BO$1006,0)))),"Fix")))</f>
        <v>0</v>
      </c>
      <c r="N526" s="4">
        <f>IF(OR(INDEX($AH$2:$AH$1001,MATCH(ROWS($AG$2:AG526),$AG$2:$AG$1001,0),1)&gt;=100000,INDEX($AN$1005:$BO$1005,1,MATCH(COLUMNS($AN$1006:AZ1006),$AN$1006:$BO$1006,0))&gt;=100000), " ",IF(INDEX($AN$2:$BO$1001,MATCH(ROWS($AG$2:AG526),$AG$2:$AG$1001,0),MATCH(COLUMNS($AN$1006:AZ1006),$AN$1006:$BO$1006,0)), HYPERLINK("#",""), HYPERLINK(CONCATENATE("#Metadata!", ADDRESS(INDEX($AI$2:$AI$1001,MATCH(ROWS($AG$2:AG526),$AG$2:$AG$1001,0),0), INDEX($AN$1004:$BO$1004,1,MATCH(COLUMNS($AN$1006:AZ1006),$AN$1006:$BO$1006,0)))),"Fix")))</f>
        <v>0</v>
      </c>
      <c r="O526" s="4">
        <f>IF(OR(INDEX($AH$2:$AH$1001,MATCH(ROWS($AG$2:AG526),$AG$2:$AG$1001,0),1)&gt;=100000,INDEX($AN$1005:$BO$1005,1,MATCH(COLUMNS($AN$1006:BA1006),$AN$1006:$BO$1006,0))&gt;=100000), " ",IF(INDEX($AN$2:$BO$1001,MATCH(ROWS($AG$2:AG526),$AG$2:$AG$1001,0),MATCH(COLUMNS($AN$1006:BA1006),$AN$1006:$BO$1006,0)), HYPERLINK("#",""), HYPERLINK(CONCATENATE("#Metadata!", ADDRESS(INDEX($AI$2:$AI$1001,MATCH(ROWS($AG$2:AG526),$AG$2:$AG$1001,0),0), INDEX($AN$1004:$BO$1004,1,MATCH(COLUMNS($AN$1006:BA1006),$AN$1006:$BO$1006,0)))),"Fix")))</f>
        <v>0</v>
      </c>
      <c r="P526" s="4">
        <f>IF(OR(INDEX($AH$2:$AH$1001,MATCH(ROWS($AG$2:AG526),$AG$2:$AG$1001,0),1)&gt;=100000,INDEX($AN$1005:$BO$1005,1,MATCH(COLUMNS($AN$1006:BB1006),$AN$1006:$BO$1006,0))&gt;=100000), " ",IF(INDEX($AN$2:$BO$1001,MATCH(ROWS($AG$2:AG526),$AG$2:$AG$1001,0),MATCH(COLUMNS($AN$1006:BB1006),$AN$1006:$BO$1006,0)), HYPERLINK("#",""), HYPERLINK(CONCATENATE("#Metadata!", ADDRESS(INDEX($AI$2:$AI$1001,MATCH(ROWS($AG$2:AG526),$AG$2:$AG$1001,0),0), INDEX($AN$1004:$BO$1004,1,MATCH(COLUMNS($AN$1006:BB1006),$AN$1006:$BO$1006,0)))),"Fix")))</f>
        <v>0</v>
      </c>
      <c r="Q526" s="4">
        <f>IF(OR(INDEX($AH$2:$AH$1001,MATCH(ROWS($AG$2:AG526),$AG$2:$AG$1001,0),1)&gt;=100000,INDEX($AN$1005:$BO$1005,1,MATCH(COLUMNS($AN$1006:BC1006),$AN$1006:$BO$1006,0))&gt;=100000), " ",IF(INDEX($AN$2:$BO$1001,MATCH(ROWS($AG$2:AG526),$AG$2:$AG$1001,0),MATCH(COLUMNS($AN$1006:BC1006),$AN$1006:$BO$1006,0)), HYPERLINK("#",""), HYPERLINK(CONCATENATE("#Metadata!", ADDRESS(INDEX($AI$2:$AI$1001,MATCH(ROWS($AG$2:AG526),$AG$2:$AG$1001,0),0), INDEX($AN$1004:$BO$1004,1,MATCH(COLUMNS($AN$1006:BC1006),$AN$1006:$BO$1006,0)))),"Fix")))</f>
        <v>0</v>
      </c>
      <c r="R526" s="4">
        <f>IF(OR(INDEX($AH$2:$AH$1001,MATCH(ROWS($AG$2:AG526),$AG$2:$AG$1001,0),1)&gt;=100000,INDEX($AN$1005:$BO$1005,1,MATCH(COLUMNS($AN$1006:BD1006),$AN$1006:$BO$1006,0))&gt;=100000), " ",IF(INDEX($AN$2:$BO$1001,MATCH(ROWS($AG$2:AG526),$AG$2:$AG$1001,0),MATCH(COLUMNS($AN$1006:BD1006),$AN$1006:$BO$1006,0)), HYPERLINK("#",""), HYPERLINK(CONCATENATE("#Metadata!", ADDRESS(INDEX($AI$2:$AI$1001,MATCH(ROWS($AG$2:AG526),$AG$2:$AG$1001,0),0), INDEX($AN$1004:$BO$1004,1,MATCH(COLUMNS($AN$1006:BD1006),$AN$1006:$BO$1006,0)))),"Fix")))</f>
        <v>0</v>
      </c>
      <c r="S526" s="4">
        <f>IF(OR(INDEX($AH$2:$AH$1001,MATCH(ROWS($AG$2:AG526),$AG$2:$AG$1001,0),1)&gt;=100000,INDEX($AN$1005:$BO$1005,1,MATCH(COLUMNS($AN$1006:BE1006),$AN$1006:$BO$1006,0))&gt;=100000), " ",IF(INDEX($AN$2:$BO$1001,MATCH(ROWS($AG$2:AG526),$AG$2:$AG$1001,0),MATCH(COLUMNS($AN$1006:BE1006),$AN$1006:$BO$1006,0)), HYPERLINK("#",""), HYPERLINK(CONCATENATE("#Metadata!", ADDRESS(INDEX($AI$2:$AI$1001,MATCH(ROWS($AG$2:AG526),$AG$2:$AG$1001,0),0), INDEX($AN$1004:$BO$1004,1,MATCH(COLUMNS($AN$1006:BE1006),$AN$1006:$BO$1006,0)))),"Fix")))</f>
        <v>0</v>
      </c>
      <c r="T526" s="4">
        <f>IF(OR(INDEX($AH$2:$AH$1001,MATCH(ROWS($AG$2:AG526),$AG$2:$AG$1001,0),1)&gt;=100000,INDEX($AN$1005:$BO$1005,1,MATCH(COLUMNS($AN$1006:BF1006),$AN$1006:$BO$1006,0))&gt;=100000), " ",IF(INDEX($AN$2:$BO$1001,MATCH(ROWS($AG$2:AG526),$AG$2:$AG$1001,0),MATCH(COLUMNS($AN$1006:BF1006),$AN$1006:$BO$1006,0)), HYPERLINK("#",""), HYPERLINK(CONCATENATE("#Metadata!", ADDRESS(INDEX($AI$2:$AI$1001,MATCH(ROWS($AG$2:AG526),$AG$2:$AG$1001,0),0), INDEX($AN$1004:$BO$1004,1,MATCH(COLUMNS($AN$1006:BF1006),$AN$1006:$BO$1006,0)))),"Fix")))</f>
        <v>0</v>
      </c>
      <c r="U526" s="4">
        <f>IF(OR(INDEX($AH$2:$AH$1001,MATCH(ROWS($AG$2:AG526),$AG$2:$AG$1001,0),1)&gt;=100000,INDEX($AN$1005:$BO$1005,1,MATCH(COLUMNS($AN$1006:BG1006),$AN$1006:$BO$1006,0))&gt;=100000), " ",IF(INDEX($AN$2:$BO$1001,MATCH(ROWS($AG$2:AG526),$AG$2:$AG$1001,0),MATCH(COLUMNS($AN$1006:BG1006),$AN$1006:$BO$1006,0)), HYPERLINK("#",""), HYPERLINK(CONCATENATE("#Metadata!", ADDRESS(INDEX($AI$2:$AI$1001,MATCH(ROWS($AG$2:AG526),$AG$2:$AG$1001,0),0), INDEX($AN$1004:$BO$1004,1,MATCH(COLUMNS($AN$1006:BG1006),$AN$1006:$BO$1006,0)))),"Fix")))</f>
        <v>0</v>
      </c>
      <c r="V526" s="4">
        <f>IF(OR(INDEX($AH$2:$AH$1001,MATCH(ROWS($AG$2:AG526),$AG$2:$AG$1001,0),1)&gt;=100000,INDEX($AN$1005:$BO$1005,1,MATCH(COLUMNS($AN$1006:BH1006),$AN$1006:$BO$1006,0))&gt;=100000), " ",IF(INDEX($AN$2:$BO$1001,MATCH(ROWS($AG$2:AG526),$AG$2:$AG$1001,0),MATCH(COLUMNS($AN$1006:BH1006),$AN$1006:$BO$1006,0)), HYPERLINK("#",""), HYPERLINK(CONCATENATE("#Metadata!", ADDRESS(INDEX($AI$2:$AI$1001,MATCH(ROWS($AG$2:AG526),$AG$2:$AG$1001,0),0), INDEX($AN$1004:$BO$1004,1,MATCH(COLUMNS($AN$1006:BH1006),$AN$1006:$BO$1006,0)))),"Fix")))</f>
        <v>0</v>
      </c>
      <c r="W526" s="4">
        <f>IF(OR(INDEX($AH$2:$AH$1001,MATCH(ROWS($AG$2:AG526),$AG$2:$AG$1001,0),1)&gt;=100000,INDEX($AN$1005:$BO$1005,1,MATCH(COLUMNS($AN$1006:BI1006),$AN$1006:$BO$1006,0))&gt;=100000), " ",IF(INDEX($AN$2:$BO$1001,MATCH(ROWS($AG$2:AG526),$AG$2:$AG$1001,0),MATCH(COLUMNS($AN$1006:BI1006),$AN$1006:$BO$1006,0)), HYPERLINK("#",""), HYPERLINK(CONCATENATE("#Metadata!", ADDRESS(INDEX($AI$2:$AI$1001,MATCH(ROWS($AG$2:AG526),$AG$2:$AG$1001,0),0), INDEX($AN$1004:$BO$1004,1,MATCH(COLUMNS($AN$1006:BI1006),$AN$1006:$BO$1006,0)))),"Fix")))</f>
        <v>0</v>
      </c>
      <c r="X526" s="4">
        <f>IF(OR(INDEX($AH$2:$AH$1001,MATCH(ROWS($AG$2:AG526),$AG$2:$AG$1001,0),1)&gt;=100000,INDEX($AN$1005:$BO$1005,1,MATCH(COLUMNS($AN$1006:BJ1006),$AN$1006:$BO$1006,0))&gt;=100000), " ",IF(INDEX($AN$2:$BO$1001,MATCH(ROWS($AG$2:AG526),$AG$2:$AG$1001,0),MATCH(COLUMNS($AN$1006:BJ1006),$AN$1006:$BO$1006,0)), HYPERLINK("#",""), HYPERLINK(CONCATENATE("#Metadata!", ADDRESS(INDEX($AI$2:$AI$1001,MATCH(ROWS($AG$2:AG526),$AG$2:$AG$1001,0),0), INDEX($AN$1004:$BO$1004,1,MATCH(COLUMNS($AN$1006:BJ1006),$AN$1006:$BO$1006,0)))),"Fix")))</f>
        <v>0</v>
      </c>
      <c r="Y526" s="4">
        <f>IF(OR(INDEX($AH$2:$AH$1001,MATCH(ROWS($AG$2:AG526),$AG$2:$AG$1001,0),1)&gt;=100000,INDEX($AN$1005:$BO$1005,1,MATCH(COLUMNS($AN$1006:BK1006),$AN$1006:$BO$1006,0))&gt;=100000), " ",IF(INDEX($AN$2:$BO$1001,MATCH(ROWS($AG$2:AG526),$AG$2:$AG$1001,0),MATCH(COLUMNS($AN$1006:BK1006),$AN$1006:$BO$1006,0)), HYPERLINK("#",""), HYPERLINK(CONCATENATE("#Metadata!", ADDRESS(INDEX($AI$2:$AI$1001,MATCH(ROWS($AG$2:AG526),$AG$2:$AG$1001,0),0), INDEX($AN$1004:$BO$1004,1,MATCH(COLUMNS($AN$1006:BK1006),$AN$1006:$BO$1006,0)))),"Fix")))</f>
        <v>0</v>
      </c>
      <c r="Z526" s="4">
        <f>IF(OR(INDEX($AH$2:$AH$1001,MATCH(ROWS($AG$2:AG526),$AG$2:$AG$1001,0),1)&gt;=100000,INDEX($AN$1005:$BO$1005,1,MATCH(COLUMNS($AN$1006:BL1006),$AN$1006:$BO$1006,0))&gt;=100000), " ",IF(INDEX($AN$2:$BO$1001,MATCH(ROWS($AG$2:AG526),$AG$2:$AG$1001,0),MATCH(COLUMNS($AN$1006:BL1006),$AN$1006:$BO$1006,0)), HYPERLINK("#",""), HYPERLINK(CONCATENATE("#Metadata!", ADDRESS(INDEX($AI$2:$AI$1001,MATCH(ROWS($AG$2:AG526),$AG$2:$AG$1001,0),0), INDEX($AN$1004:$BO$1004,1,MATCH(COLUMNS($AN$1006:BL1006),$AN$1006:$BO$1006,0)))),"Fix")))</f>
        <v>0</v>
      </c>
      <c r="AA526" s="4">
        <f>IF(OR(INDEX($AH$2:$AH$1001,MATCH(ROWS($AG$2:AG526),$AG$2:$AG$1001,0),1)&gt;=100000,INDEX($AN$1005:$BO$1005,1,MATCH(COLUMNS($AN$1006:BM1006),$AN$1006:$BO$1006,0))&gt;=100000), " ",IF(INDEX($AN$2:$BO$1001,MATCH(ROWS($AG$2:AG526),$AG$2:$AG$1001,0),MATCH(COLUMNS($AN$1006:BM1006),$AN$1006:$BO$1006,0)), HYPERLINK("#",""), HYPERLINK(CONCATENATE("#Metadata!", ADDRESS(INDEX($AI$2:$AI$1001,MATCH(ROWS($AG$2:AG526),$AG$2:$AG$1001,0),0), INDEX($AN$1004:$BO$1004,1,MATCH(COLUMNS($AN$1006:BM1006),$AN$1006:$BO$1006,0)))),"Fix")))</f>
        <v>0</v>
      </c>
      <c r="AB526" s="4">
        <f>IF(OR(INDEX($AH$2:$AH$1001,MATCH(ROWS($AG$2:AG526),$AG$2:$AG$1001,0),1)&gt;=100000,INDEX($AN$1005:$BO$1005,1,MATCH(COLUMNS($AN$1006:BN1006),$AN$1006:$BO$1006,0))&gt;=100000), " ",IF(INDEX($AN$2:$BO$1001,MATCH(ROWS($AG$2:AG526),$AG$2:$AG$1001,0),MATCH(COLUMNS($AN$1006:BN1006),$AN$1006:$BO$1006,0)), HYPERLINK("#",""), HYPERLINK(CONCATENATE("#Metadata!", ADDRESS(INDEX($AI$2:$AI$1001,MATCH(ROWS($AG$2:AG526),$AG$2:$AG$1001,0),0), INDEX($AN$1004:$BO$1004,1,MATCH(COLUMNS($AN$1006:BN1006),$AN$1006:$BO$1006,0)))),"Fix")))</f>
        <v>0</v>
      </c>
      <c r="AC526" s="4">
        <f>IF(OR(INDEX($AH$2:$AH$1001,MATCH(ROWS($AG$2:AG526),$AG$2:$AG$1001,0),1)&gt;=100000,INDEX($AN$1005:$BO$1005,1,MATCH(COLUMNS($AN$1006:BO1006),$AN$1006:$BO$1006,0))&gt;=100000), " ",IF(INDEX($AN$2:$BO$1001,MATCH(ROWS($AG$2:AG526),$AG$2:$AG$1001,0),MATCH(COLUMNS($AN$1006:BO1006),$AN$1006:$BO$1006,0)), HYPERLINK("#",""), HYPERLINK(CONCATENATE("#Metadata!", ADDRESS(INDEX($AI$2:$AI$1001,MATCH(ROWS($AG$2:AG526),$AG$2:$AG$1001,0),0), INDEX($AN$1004:$BO$1004,1,MATCH(COLUMNS($AN$1006:BO1006),$AN$1006:$BO$1006,0)))),"Fix")))</f>
        <v>0</v>
      </c>
      <c r="AG526">
        <v>0</v>
      </c>
      <c r="AH526">
        <v>0</v>
      </c>
      <c r="AI526">
        <v>0</v>
      </c>
      <c r="AJ526">
        <f>IF(AK526,TRUE,AND(AN526:BO526))</f>
        <v>0</v>
      </c>
      <c r="AK526">
        <f>COUNTBLANK(Metadata!B526:AC526)=COLUMNS(Metadata!B526:AC526)</f>
        <v>0</v>
      </c>
      <c r="AL526">
        <v>0</v>
      </c>
      <c r="AN526">
        <f>AND(IF(Metadata!B526="",FALSE,TRUE),COUNTIF(Metadata!B:B, Metadata!B526) = 1,NOT(ISERROR(SUMPRODUCT(SEARCH(MID(Metadata!B526,ROW(INDIRECT("1:"&amp;LEN(Metadata!B526))), 1),"0123456789abcdefghijklmnopqrstuvwxyzABCDEFGHIJKLMNOPQRSTUVWXYZ.")))))</f>
        <v>0</v>
      </c>
      <c r="AO526">
        <f>IF(Metadata!C526="",FALSE,TRUE)</f>
        <v>0</v>
      </c>
      <c r="AP526">
        <f>IF(Metadata!D526="",FALSE,TRUE)</f>
        <v>0</v>
      </c>
      <c r="AQ526">
        <f>OR(AND(IF(Metadata!E526="",FALSE,TRUE),OR(exact(Metadata!E526,"not collected"),exact(Metadata!E526,"not provided"),exact(Metadata!E526,"restricted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R526">
        <f>IF(Metadata!F526="",FALSE,TRUE)</f>
        <v>0</v>
      </c>
      <c r="AS526">
        <f>OR(AND(IF(Metadata!G526="",FALSE,TRUE),OR(exact(Metadata!G526,"not collected"),exact(Metadata!G526,"not provided"))),AND(IF(Metadata!G526="",FALSE,TRUE),OR(exact(Metadata!G526,"TRUE"),exact(Metadata!G526,"FALSE"))))</f>
        <v>0</v>
      </c>
      <c r="AT526">
        <f>OR(AND(IF(Metadata!H526="",FALSE,TRUE),OR(exact(Metadata!H526,"not collected"),exact(Metadata!H526,"not provided"),exact(Metadata!H526,"restricted access"))),AND(IF(Metadata!H526="",FALSE,ISNUMBER(VALUE(Metadata!H526))),Metadata!H526&gt;=-413.0))</f>
        <v>0</v>
      </c>
      <c r="AU526">
        <f>AND(IF(Metadata!I526="",FALSE,TRUE),exact(Metadata!I526,"meters"))</f>
        <v>0</v>
      </c>
      <c r="AV526">
        <f>AND(IF(Metadata!J526="",FALSE,TRUE),OR(exact(Metadata!J526,"Host-associated"),exact(Metadata!J526,"Free-living")))</f>
        <v>0</v>
      </c>
      <c r="AW526">
        <f>AND(IF(Metadata!K526="",FALSE,TRUE),OR(exact(Metadata!K526,"Animal"),exact(Metadata!K526,"Fungus"),exact(Metadata!K526,"Plant"),exact(Metadata!K526,"Saline"),exact(Metadata!K526,"Non-saline")))</f>
        <v>0</v>
      </c>
      <c r="AX526">
        <f>AND(IF(Metadata!L526="",FALSE,TRUE),OR(exact(Metadata!L526,"Plant secretion"),exact(Metadata!L526,"Plant rhizosphere"),exact(Metadata!L526,"Plant surface"),exact(Metadata!L526,"Plant corpus"),exact(Metadata!L526,"Fungus surface"),exact(Metadata!L526,"Fungus corpus"),exact(Metadata!L526,"Animal surface"),exact(Metadata!L526,"Animal proximal gut"),exact(Metadata!L526,"Animal corpus"),exact(Metadata!L526,"Animal distal gut"),exact(Metadata!L526,"Animal secretion"),exact(Metadata!L526,"Sub-surface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Y526">
        <f>IF(Metadata!M526="",FALSE,TRUE)</f>
        <v>0</v>
      </c>
      <c r="AZ526">
        <f>IF(Metadata!N526="",FALSE,TRUE)</f>
        <v>0</v>
      </c>
      <c r="BA526">
        <f>IF(Metadata!O526="",FALSE,TRUE)</f>
        <v>0</v>
      </c>
      <c r="BB526">
        <f>OR(AND(IF(Metadata!P526="",FALSE,TRUE),OR(exact(Metadata!P526,"not collected"),exact(Metadata!P526,"not provided"),exact(Metadata!P526,"restricted access"))),AND(IF(Metadata!P526="",FALSE,TRUE),OR(exact(Metadata!P526,"air"),exact(Metadata!P526,"built environment"),exact(Metadata!P526,"host-associated"),exact(Metadata!P526,"human-associated"),exact(Metadata!P526,"human-skin"),exact(Metadata!P526,"human-oral"),exact(Metadata!P526,"human-gut"),exact(Metadata!P526,"human-vaginal"),exact(Metadata!P526,"microbial mat/biofilm"),exact(Metadata!P526,"misc environment"),exact(Metadata!P526,"plant-associated"),exact(Metadata!P526,"sediment"),exact(Metadata!P526,"soil"),exact(Metadata!P526,"wastewater/sludge"),exact(Metadata!P526,"water"))))</f>
        <v>0</v>
      </c>
      <c r="BC526">
        <f>IF(Metadata!Q526="",FALSE,TRUE)</f>
        <v>0</v>
      </c>
      <c r="BD526">
        <f>IF(Metadata!R526="",FALSE,TRUE)</f>
        <v>0</v>
      </c>
      <c r="BE526">
        <f>OR(AND(IF(Metadata!S526="",FALSE,TRUE),OR(exact(Metadata!S526,"not collected"),exact(Metadata!S526,"not provided"),exact(Metadata!S526,"restricted access"))),AND(IF(Metadata!S526="",FALSE,ISNUMBER(VALUE(Metadata!S526))),Metadata!S526&gt;=-90.00,Metadata!S526&lt;=90.00))</f>
        <v>0</v>
      </c>
      <c r="BF526">
        <f>AND(IF(Metadata!T526="",FALSE,TRUE),exact(Metadata!T526,"Decimal degrees"))</f>
        <v>0</v>
      </c>
      <c r="BG526">
        <f>OR(AND(IF(Metadata!U526="",FALSE,TRUE),OR(exact(Metadata!U526,"not collected"),exact(Metadata!U526,"not provided"),exact(Metadata!U526,"restricted access"))),AND(IF(Metadata!U526="",FALSE,ISNUMBER(VALUE(Metadata!U526))),Metadata!U526&gt;=-180.00,Metadata!U526&lt;=180.00))</f>
        <v>0</v>
      </c>
      <c r="BH526">
        <f>AND(IF(Metadata!V526="",FALSE,TRUE),exact(Metadata!V526,"Decimal degrees"))</f>
        <v>0</v>
      </c>
      <c r="BI526">
        <f>IF(Metadata!W526="",FALSE,TRUE)</f>
        <v>0</v>
      </c>
      <c r="BJ526">
        <f>OR(AND(IF(Metadata!X526="",FALSE,TRUE),OR(exact(Metadata!X526,"not collected"),exact(Metadata!X526,"not provided"),exact(Metadata!X526,"restricted access"))),AND(IF(Metadata!X526="",FALSE,TRUE),OR(exact(Metadata!X526,"TRUE"),exact(Metadata!X526,"FALSE"))))</f>
        <v>0</v>
      </c>
      <c r="BK526">
        <f>AND(IF(Metadata!Y526="",FALSE,TRUE),exact(Metadata!Y526,"other"))</f>
        <v>0</v>
      </c>
      <c r="BL526">
        <f>IF(Metadata!Z526="",FALSE,TRUE)</f>
        <v>0</v>
      </c>
      <c r="BM526">
        <f>OR(AND(IF(Metadata!AA526="",FALSE,TRUE),OR(exact(Metadata!AA526,"not collected"),exact(Metadata!AA526,"not provided"))),AND(IF(Metadata!AA526="",FALSE,IF(ISERROR(INT(Metadata!AA526)),FALSE,INT(Metadata!AA526)=Metadata!AA526)),Metadata!AA526&gt;0))</f>
        <v>0</v>
      </c>
      <c r="BN526">
        <f>AND(IF(Metadata!AB526="",FALSE,TRUE),exact(Metadata!AB526,"Not applicable"))</f>
        <v>0</v>
      </c>
      <c r="BO526">
        <f>IF(Metadata!AC526="",FALSE,TRUE)</f>
        <v>0</v>
      </c>
    </row>
    <row r="527" spans="1:67">
      <c r="A527" s="5">
        <f>IF(B527=" "," ",HYPERLINK(CONCATENATE("#metadata!",ADDRESS(INDEX($AI$2:$AI$1001,MATCH(ROWS($AG$2:AG527),$AG$2:$AG$1001,0),0),1)),INDEX($AL$2:$AL$1001,MATCH(ROWS($AG$2:AG527),$AG$2:$AG$1001,0),0)))</f>
        <v>0</v>
      </c>
      <c r="B527" s="4">
        <f>IF(OR(INDEX($AH$2:$AH$1001,MATCH(ROWS($AG$2:AG527),$AG$2:$AG$1001,0),1)&gt;=100000,INDEX($AN$1005:$BO$1005,1,MATCH(COLUMNS($AN$1006:AN1006),$AN$1006:$BO$1006,0))&gt;=100000), " ",IF(INDEX($AN$2:$BO$1001,MATCH(ROWS($AG$2:AG527),$AG$2:$AG$1001,0),MATCH(COLUMNS($AN$1006:AN1006),$AN$1006:$BO$1006,0)), HYPERLINK("#",""), HYPERLINK(CONCATENATE("#Metadata!", ADDRESS(INDEX($AI$2:$AI$1001,MATCH(ROWS($AG$2:AG527),$AG$2:$AG$1001,0),0), INDEX($AN$1004:$BO$1004,1,MATCH(COLUMNS($AN$1006:AN1006),$AN$1006:$BO$1006,0)))),"Fix")))</f>
        <v>0</v>
      </c>
      <c r="C527" s="4">
        <f>IF(OR(INDEX($AH$2:$AH$1001,MATCH(ROWS($AG$2:AG527),$AG$2:$AG$1001,0),1)&gt;=100000,INDEX($AN$1005:$BO$1005,1,MATCH(COLUMNS($AN$1006:AO1006),$AN$1006:$BO$1006,0))&gt;=100000), " ",IF(INDEX($AN$2:$BO$1001,MATCH(ROWS($AG$2:AG527),$AG$2:$AG$1001,0),MATCH(COLUMNS($AN$1006:AO1006),$AN$1006:$BO$1006,0)), HYPERLINK("#",""), HYPERLINK(CONCATENATE("#Metadata!", ADDRESS(INDEX($AI$2:$AI$1001,MATCH(ROWS($AG$2:AG527),$AG$2:$AG$1001,0),0), INDEX($AN$1004:$BO$1004,1,MATCH(COLUMNS($AN$1006:AO1006),$AN$1006:$BO$1006,0)))),"Fix")))</f>
        <v>0</v>
      </c>
      <c r="D527" s="4">
        <f>IF(OR(INDEX($AH$2:$AH$1001,MATCH(ROWS($AG$2:AG527),$AG$2:$AG$1001,0),1)&gt;=100000,INDEX($AN$1005:$BO$1005,1,MATCH(COLUMNS($AN$1006:AP1006),$AN$1006:$BO$1006,0))&gt;=100000), " ",IF(INDEX($AN$2:$BO$1001,MATCH(ROWS($AG$2:AG527),$AG$2:$AG$1001,0),MATCH(COLUMNS($AN$1006:AP1006),$AN$1006:$BO$1006,0)), HYPERLINK("#",""), HYPERLINK(CONCATENATE("#Metadata!", ADDRESS(INDEX($AI$2:$AI$1001,MATCH(ROWS($AG$2:AG527),$AG$2:$AG$1001,0),0), INDEX($AN$1004:$BO$1004,1,MATCH(COLUMNS($AN$1006:AP1006),$AN$1006:$BO$1006,0)))),"Fix")))</f>
        <v>0</v>
      </c>
      <c r="E527" s="4">
        <f>IF(OR(INDEX($AH$2:$AH$1001,MATCH(ROWS($AG$2:AG527),$AG$2:$AG$1001,0),1)&gt;=100000,INDEX($AN$1005:$BO$1005,1,MATCH(COLUMNS($AN$1006:AQ1006),$AN$1006:$BO$1006,0))&gt;=100000), " ",IF(INDEX($AN$2:$BO$1001,MATCH(ROWS($AG$2:AG527),$AG$2:$AG$1001,0),MATCH(COLUMNS($AN$1006:AQ1006),$AN$1006:$BO$1006,0)), HYPERLINK("#",""), HYPERLINK(CONCATENATE("#Metadata!", ADDRESS(INDEX($AI$2:$AI$1001,MATCH(ROWS($AG$2:AG527),$AG$2:$AG$1001,0),0), INDEX($AN$1004:$BO$1004,1,MATCH(COLUMNS($AN$1006:AQ1006),$AN$1006:$BO$1006,0)))),"Fix")))</f>
        <v>0</v>
      </c>
      <c r="F527" s="4">
        <f>IF(OR(INDEX($AH$2:$AH$1001,MATCH(ROWS($AG$2:AG527),$AG$2:$AG$1001,0),1)&gt;=100000,INDEX($AN$1005:$BO$1005,1,MATCH(COLUMNS($AN$1006:AR1006),$AN$1006:$BO$1006,0))&gt;=100000), " ",IF(INDEX($AN$2:$BO$1001,MATCH(ROWS($AG$2:AG527),$AG$2:$AG$1001,0),MATCH(COLUMNS($AN$1006:AR1006),$AN$1006:$BO$1006,0)), HYPERLINK("#",""), HYPERLINK(CONCATENATE("#Metadata!", ADDRESS(INDEX($AI$2:$AI$1001,MATCH(ROWS($AG$2:AG527),$AG$2:$AG$1001,0),0), INDEX($AN$1004:$BO$1004,1,MATCH(COLUMNS($AN$1006:AR1006),$AN$1006:$BO$1006,0)))),"Fix")))</f>
        <v>0</v>
      </c>
      <c r="G527" s="4">
        <f>IF(OR(INDEX($AH$2:$AH$1001,MATCH(ROWS($AG$2:AG527),$AG$2:$AG$1001,0),1)&gt;=100000,INDEX($AN$1005:$BO$1005,1,MATCH(COLUMNS($AN$1006:AS1006),$AN$1006:$BO$1006,0))&gt;=100000), " ",IF(INDEX($AN$2:$BO$1001,MATCH(ROWS($AG$2:AG527),$AG$2:$AG$1001,0),MATCH(COLUMNS($AN$1006:AS1006),$AN$1006:$BO$1006,0)), HYPERLINK("#",""), HYPERLINK(CONCATENATE("#Metadata!", ADDRESS(INDEX($AI$2:$AI$1001,MATCH(ROWS($AG$2:AG527),$AG$2:$AG$1001,0),0), INDEX($AN$1004:$BO$1004,1,MATCH(COLUMNS($AN$1006:AS1006),$AN$1006:$BO$1006,0)))),"Fix")))</f>
        <v>0</v>
      </c>
      <c r="H527" s="4">
        <f>IF(OR(INDEX($AH$2:$AH$1001,MATCH(ROWS($AG$2:AG527),$AG$2:$AG$1001,0),1)&gt;=100000,INDEX($AN$1005:$BO$1005,1,MATCH(COLUMNS($AN$1006:AT1006),$AN$1006:$BO$1006,0))&gt;=100000), " ",IF(INDEX($AN$2:$BO$1001,MATCH(ROWS($AG$2:AG527),$AG$2:$AG$1001,0),MATCH(COLUMNS($AN$1006:AT1006),$AN$1006:$BO$1006,0)), HYPERLINK("#",""), HYPERLINK(CONCATENATE("#Metadata!", ADDRESS(INDEX($AI$2:$AI$1001,MATCH(ROWS($AG$2:AG527),$AG$2:$AG$1001,0),0), INDEX($AN$1004:$BO$1004,1,MATCH(COLUMNS($AN$1006:AT1006),$AN$1006:$BO$1006,0)))),"Fix")))</f>
        <v>0</v>
      </c>
      <c r="I527" s="4">
        <f>IF(OR(INDEX($AH$2:$AH$1001,MATCH(ROWS($AG$2:AG527),$AG$2:$AG$1001,0),1)&gt;=100000,INDEX($AN$1005:$BO$1005,1,MATCH(COLUMNS($AN$1006:AU1006),$AN$1006:$BO$1006,0))&gt;=100000), " ",IF(INDEX($AN$2:$BO$1001,MATCH(ROWS($AG$2:AG527),$AG$2:$AG$1001,0),MATCH(COLUMNS($AN$1006:AU1006),$AN$1006:$BO$1006,0)), HYPERLINK("#",""), HYPERLINK(CONCATENATE("#Metadata!", ADDRESS(INDEX($AI$2:$AI$1001,MATCH(ROWS($AG$2:AG527),$AG$2:$AG$1001,0),0), INDEX($AN$1004:$BO$1004,1,MATCH(COLUMNS($AN$1006:AU1006),$AN$1006:$BO$1006,0)))),"Fix")))</f>
        <v>0</v>
      </c>
      <c r="J527" s="4">
        <f>IF(OR(INDEX($AH$2:$AH$1001,MATCH(ROWS($AG$2:AG527),$AG$2:$AG$1001,0),1)&gt;=100000,INDEX($AN$1005:$BO$1005,1,MATCH(COLUMNS($AN$1006:AV1006),$AN$1006:$BO$1006,0))&gt;=100000), " ",IF(INDEX($AN$2:$BO$1001,MATCH(ROWS($AG$2:AG527),$AG$2:$AG$1001,0),MATCH(COLUMNS($AN$1006:AV1006),$AN$1006:$BO$1006,0)), HYPERLINK("#",""), HYPERLINK(CONCATENATE("#Metadata!", ADDRESS(INDEX($AI$2:$AI$1001,MATCH(ROWS($AG$2:AG527),$AG$2:$AG$1001,0),0), INDEX($AN$1004:$BO$1004,1,MATCH(COLUMNS($AN$1006:AV1006),$AN$1006:$BO$1006,0)))),"Fix")))</f>
        <v>0</v>
      </c>
      <c r="K527" s="4">
        <f>IF(OR(INDEX($AH$2:$AH$1001,MATCH(ROWS($AG$2:AG527),$AG$2:$AG$1001,0),1)&gt;=100000,INDEX($AN$1005:$BO$1005,1,MATCH(COLUMNS($AN$1006:AW1006),$AN$1006:$BO$1006,0))&gt;=100000), " ",IF(INDEX($AN$2:$BO$1001,MATCH(ROWS($AG$2:AG527),$AG$2:$AG$1001,0),MATCH(COLUMNS($AN$1006:AW1006),$AN$1006:$BO$1006,0)), HYPERLINK("#",""), HYPERLINK(CONCATENATE("#Metadata!", ADDRESS(INDEX($AI$2:$AI$1001,MATCH(ROWS($AG$2:AG527),$AG$2:$AG$1001,0),0), INDEX($AN$1004:$BO$1004,1,MATCH(COLUMNS($AN$1006:AW1006),$AN$1006:$BO$1006,0)))),"Fix")))</f>
        <v>0</v>
      </c>
      <c r="L527" s="4">
        <f>IF(OR(INDEX($AH$2:$AH$1001,MATCH(ROWS($AG$2:AG527),$AG$2:$AG$1001,0),1)&gt;=100000,INDEX($AN$1005:$BO$1005,1,MATCH(COLUMNS($AN$1006:AX1006),$AN$1006:$BO$1006,0))&gt;=100000), " ",IF(INDEX($AN$2:$BO$1001,MATCH(ROWS($AG$2:AG527),$AG$2:$AG$1001,0),MATCH(COLUMNS($AN$1006:AX1006),$AN$1006:$BO$1006,0)), HYPERLINK("#",""), HYPERLINK(CONCATENATE("#Metadata!", ADDRESS(INDEX($AI$2:$AI$1001,MATCH(ROWS($AG$2:AG527),$AG$2:$AG$1001,0),0), INDEX($AN$1004:$BO$1004,1,MATCH(COLUMNS($AN$1006:AX1006),$AN$1006:$BO$1006,0)))),"Fix")))</f>
        <v>0</v>
      </c>
      <c r="M527" s="4">
        <f>IF(OR(INDEX($AH$2:$AH$1001,MATCH(ROWS($AG$2:AG527),$AG$2:$AG$1001,0),1)&gt;=100000,INDEX($AN$1005:$BO$1005,1,MATCH(COLUMNS($AN$1006:AY1006),$AN$1006:$BO$1006,0))&gt;=100000), " ",IF(INDEX($AN$2:$BO$1001,MATCH(ROWS($AG$2:AG527),$AG$2:$AG$1001,0),MATCH(COLUMNS($AN$1006:AY1006),$AN$1006:$BO$1006,0)), HYPERLINK("#",""), HYPERLINK(CONCATENATE("#Metadata!", ADDRESS(INDEX($AI$2:$AI$1001,MATCH(ROWS($AG$2:AG527),$AG$2:$AG$1001,0),0), INDEX($AN$1004:$BO$1004,1,MATCH(COLUMNS($AN$1006:AY1006),$AN$1006:$BO$1006,0)))),"Fix")))</f>
        <v>0</v>
      </c>
      <c r="N527" s="4">
        <f>IF(OR(INDEX($AH$2:$AH$1001,MATCH(ROWS($AG$2:AG527),$AG$2:$AG$1001,0),1)&gt;=100000,INDEX($AN$1005:$BO$1005,1,MATCH(COLUMNS($AN$1006:AZ1006),$AN$1006:$BO$1006,0))&gt;=100000), " ",IF(INDEX($AN$2:$BO$1001,MATCH(ROWS($AG$2:AG527),$AG$2:$AG$1001,0),MATCH(COLUMNS($AN$1006:AZ1006),$AN$1006:$BO$1006,0)), HYPERLINK("#",""), HYPERLINK(CONCATENATE("#Metadata!", ADDRESS(INDEX($AI$2:$AI$1001,MATCH(ROWS($AG$2:AG527),$AG$2:$AG$1001,0),0), INDEX($AN$1004:$BO$1004,1,MATCH(COLUMNS($AN$1006:AZ1006),$AN$1006:$BO$1006,0)))),"Fix")))</f>
        <v>0</v>
      </c>
      <c r="O527" s="4">
        <f>IF(OR(INDEX($AH$2:$AH$1001,MATCH(ROWS($AG$2:AG527),$AG$2:$AG$1001,0),1)&gt;=100000,INDEX($AN$1005:$BO$1005,1,MATCH(COLUMNS($AN$1006:BA1006),$AN$1006:$BO$1006,0))&gt;=100000), " ",IF(INDEX($AN$2:$BO$1001,MATCH(ROWS($AG$2:AG527),$AG$2:$AG$1001,0),MATCH(COLUMNS($AN$1006:BA1006),$AN$1006:$BO$1006,0)), HYPERLINK("#",""), HYPERLINK(CONCATENATE("#Metadata!", ADDRESS(INDEX($AI$2:$AI$1001,MATCH(ROWS($AG$2:AG527),$AG$2:$AG$1001,0),0), INDEX($AN$1004:$BO$1004,1,MATCH(COLUMNS($AN$1006:BA1006),$AN$1006:$BO$1006,0)))),"Fix")))</f>
        <v>0</v>
      </c>
      <c r="P527" s="4">
        <f>IF(OR(INDEX($AH$2:$AH$1001,MATCH(ROWS($AG$2:AG527),$AG$2:$AG$1001,0),1)&gt;=100000,INDEX($AN$1005:$BO$1005,1,MATCH(COLUMNS($AN$1006:BB1006),$AN$1006:$BO$1006,0))&gt;=100000), " ",IF(INDEX($AN$2:$BO$1001,MATCH(ROWS($AG$2:AG527),$AG$2:$AG$1001,0),MATCH(COLUMNS($AN$1006:BB1006),$AN$1006:$BO$1006,0)), HYPERLINK("#",""), HYPERLINK(CONCATENATE("#Metadata!", ADDRESS(INDEX($AI$2:$AI$1001,MATCH(ROWS($AG$2:AG527),$AG$2:$AG$1001,0),0), INDEX($AN$1004:$BO$1004,1,MATCH(COLUMNS($AN$1006:BB1006),$AN$1006:$BO$1006,0)))),"Fix")))</f>
        <v>0</v>
      </c>
      <c r="Q527" s="4">
        <f>IF(OR(INDEX($AH$2:$AH$1001,MATCH(ROWS($AG$2:AG527),$AG$2:$AG$1001,0),1)&gt;=100000,INDEX($AN$1005:$BO$1005,1,MATCH(COLUMNS($AN$1006:BC1006),$AN$1006:$BO$1006,0))&gt;=100000), " ",IF(INDEX($AN$2:$BO$1001,MATCH(ROWS($AG$2:AG527),$AG$2:$AG$1001,0),MATCH(COLUMNS($AN$1006:BC1006),$AN$1006:$BO$1006,0)), HYPERLINK("#",""), HYPERLINK(CONCATENATE("#Metadata!", ADDRESS(INDEX($AI$2:$AI$1001,MATCH(ROWS($AG$2:AG527),$AG$2:$AG$1001,0),0), INDEX($AN$1004:$BO$1004,1,MATCH(COLUMNS($AN$1006:BC1006),$AN$1006:$BO$1006,0)))),"Fix")))</f>
        <v>0</v>
      </c>
      <c r="R527" s="4">
        <f>IF(OR(INDEX($AH$2:$AH$1001,MATCH(ROWS($AG$2:AG527),$AG$2:$AG$1001,0),1)&gt;=100000,INDEX($AN$1005:$BO$1005,1,MATCH(COLUMNS($AN$1006:BD1006),$AN$1006:$BO$1006,0))&gt;=100000), " ",IF(INDEX($AN$2:$BO$1001,MATCH(ROWS($AG$2:AG527),$AG$2:$AG$1001,0),MATCH(COLUMNS($AN$1006:BD1006),$AN$1006:$BO$1006,0)), HYPERLINK("#",""), HYPERLINK(CONCATENATE("#Metadata!", ADDRESS(INDEX($AI$2:$AI$1001,MATCH(ROWS($AG$2:AG527),$AG$2:$AG$1001,0),0), INDEX($AN$1004:$BO$1004,1,MATCH(COLUMNS($AN$1006:BD1006),$AN$1006:$BO$1006,0)))),"Fix")))</f>
        <v>0</v>
      </c>
      <c r="S527" s="4">
        <f>IF(OR(INDEX($AH$2:$AH$1001,MATCH(ROWS($AG$2:AG527),$AG$2:$AG$1001,0),1)&gt;=100000,INDEX($AN$1005:$BO$1005,1,MATCH(COLUMNS($AN$1006:BE1006),$AN$1006:$BO$1006,0))&gt;=100000), " ",IF(INDEX($AN$2:$BO$1001,MATCH(ROWS($AG$2:AG527),$AG$2:$AG$1001,0),MATCH(COLUMNS($AN$1006:BE1006),$AN$1006:$BO$1006,0)), HYPERLINK("#",""), HYPERLINK(CONCATENATE("#Metadata!", ADDRESS(INDEX($AI$2:$AI$1001,MATCH(ROWS($AG$2:AG527),$AG$2:$AG$1001,0),0), INDEX($AN$1004:$BO$1004,1,MATCH(COLUMNS($AN$1006:BE1006),$AN$1006:$BO$1006,0)))),"Fix")))</f>
        <v>0</v>
      </c>
      <c r="T527" s="4">
        <f>IF(OR(INDEX($AH$2:$AH$1001,MATCH(ROWS($AG$2:AG527),$AG$2:$AG$1001,0),1)&gt;=100000,INDEX($AN$1005:$BO$1005,1,MATCH(COLUMNS($AN$1006:BF1006),$AN$1006:$BO$1006,0))&gt;=100000), " ",IF(INDEX($AN$2:$BO$1001,MATCH(ROWS($AG$2:AG527),$AG$2:$AG$1001,0),MATCH(COLUMNS($AN$1006:BF1006),$AN$1006:$BO$1006,0)), HYPERLINK("#",""), HYPERLINK(CONCATENATE("#Metadata!", ADDRESS(INDEX($AI$2:$AI$1001,MATCH(ROWS($AG$2:AG527),$AG$2:$AG$1001,0),0), INDEX($AN$1004:$BO$1004,1,MATCH(COLUMNS($AN$1006:BF1006),$AN$1006:$BO$1006,0)))),"Fix")))</f>
        <v>0</v>
      </c>
      <c r="U527" s="4">
        <f>IF(OR(INDEX($AH$2:$AH$1001,MATCH(ROWS($AG$2:AG527),$AG$2:$AG$1001,0),1)&gt;=100000,INDEX($AN$1005:$BO$1005,1,MATCH(COLUMNS($AN$1006:BG1006),$AN$1006:$BO$1006,0))&gt;=100000), " ",IF(INDEX($AN$2:$BO$1001,MATCH(ROWS($AG$2:AG527),$AG$2:$AG$1001,0),MATCH(COLUMNS($AN$1006:BG1006),$AN$1006:$BO$1006,0)), HYPERLINK("#",""), HYPERLINK(CONCATENATE("#Metadata!", ADDRESS(INDEX($AI$2:$AI$1001,MATCH(ROWS($AG$2:AG527),$AG$2:$AG$1001,0),0), INDEX($AN$1004:$BO$1004,1,MATCH(COLUMNS($AN$1006:BG1006),$AN$1006:$BO$1006,0)))),"Fix")))</f>
        <v>0</v>
      </c>
      <c r="V527" s="4">
        <f>IF(OR(INDEX($AH$2:$AH$1001,MATCH(ROWS($AG$2:AG527),$AG$2:$AG$1001,0),1)&gt;=100000,INDEX($AN$1005:$BO$1005,1,MATCH(COLUMNS($AN$1006:BH1006),$AN$1006:$BO$1006,0))&gt;=100000), " ",IF(INDEX($AN$2:$BO$1001,MATCH(ROWS($AG$2:AG527),$AG$2:$AG$1001,0),MATCH(COLUMNS($AN$1006:BH1006),$AN$1006:$BO$1006,0)), HYPERLINK("#",""), HYPERLINK(CONCATENATE("#Metadata!", ADDRESS(INDEX($AI$2:$AI$1001,MATCH(ROWS($AG$2:AG527),$AG$2:$AG$1001,0),0), INDEX($AN$1004:$BO$1004,1,MATCH(COLUMNS($AN$1006:BH1006),$AN$1006:$BO$1006,0)))),"Fix")))</f>
        <v>0</v>
      </c>
      <c r="W527" s="4">
        <f>IF(OR(INDEX($AH$2:$AH$1001,MATCH(ROWS($AG$2:AG527),$AG$2:$AG$1001,0),1)&gt;=100000,INDEX($AN$1005:$BO$1005,1,MATCH(COLUMNS($AN$1006:BI1006),$AN$1006:$BO$1006,0))&gt;=100000), " ",IF(INDEX($AN$2:$BO$1001,MATCH(ROWS($AG$2:AG527),$AG$2:$AG$1001,0),MATCH(COLUMNS($AN$1006:BI1006),$AN$1006:$BO$1006,0)), HYPERLINK("#",""), HYPERLINK(CONCATENATE("#Metadata!", ADDRESS(INDEX($AI$2:$AI$1001,MATCH(ROWS($AG$2:AG527),$AG$2:$AG$1001,0),0), INDEX($AN$1004:$BO$1004,1,MATCH(COLUMNS($AN$1006:BI1006),$AN$1006:$BO$1006,0)))),"Fix")))</f>
        <v>0</v>
      </c>
      <c r="X527" s="4">
        <f>IF(OR(INDEX($AH$2:$AH$1001,MATCH(ROWS($AG$2:AG527),$AG$2:$AG$1001,0),1)&gt;=100000,INDEX($AN$1005:$BO$1005,1,MATCH(COLUMNS($AN$1006:BJ1006),$AN$1006:$BO$1006,0))&gt;=100000), " ",IF(INDEX($AN$2:$BO$1001,MATCH(ROWS($AG$2:AG527),$AG$2:$AG$1001,0),MATCH(COLUMNS($AN$1006:BJ1006),$AN$1006:$BO$1006,0)), HYPERLINK("#",""), HYPERLINK(CONCATENATE("#Metadata!", ADDRESS(INDEX($AI$2:$AI$1001,MATCH(ROWS($AG$2:AG527),$AG$2:$AG$1001,0),0), INDEX($AN$1004:$BO$1004,1,MATCH(COLUMNS($AN$1006:BJ1006),$AN$1006:$BO$1006,0)))),"Fix")))</f>
        <v>0</v>
      </c>
      <c r="Y527" s="4">
        <f>IF(OR(INDEX($AH$2:$AH$1001,MATCH(ROWS($AG$2:AG527),$AG$2:$AG$1001,0),1)&gt;=100000,INDEX($AN$1005:$BO$1005,1,MATCH(COLUMNS($AN$1006:BK1006),$AN$1006:$BO$1006,0))&gt;=100000), " ",IF(INDEX($AN$2:$BO$1001,MATCH(ROWS($AG$2:AG527),$AG$2:$AG$1001,0),MATCH(COLUMNS($AN$1006:BK1006),$AN$1006:$BO$1006,0)), HYPERLINK("#",""), HYPERLINK(CONCATENATE("#Metadata!", ADDRESS(INDEX($AI$2:$AI$1001,MATCH(ROWS($AG$2:AG527),$AG$2:$AG$1001,0),0), INDEX($AN$1004:$BO$1004,1,MATCH(COLUMNS($AN$1006:BK1006),$AN$1006:$BO$1006,0)))),"Fix")))</f>
        <v>0</v>
      </c>
      <c r="Z527" s="4">
        <f>IF(OR(INDEX($AH$2:$AH$1001,MATCH(ROWS($AG$2:AG527),$AG$2:$AG$1001,0),1)&gt;=100000,INDEX($AN$1005:$BO$1005,1,MATCH(COLUMNS($AN$1006:BL1006),$AN$1006:$BO$1006,0))&gt;=100000), " ",IF(INDEX($AN$2:$BO$1001,MATCH(ROWS($AG$2:AG527),$AG$2:$AG$1001,0),MATCH(COLUMNS($AN$1006:BL1006),$AN$1006:$BO$1006,0)), HYPERLINK("#",""), HYPERLINK(CONCATENATE("#Metadata!", ADDRESS(INDEX($AI$2:$AI$1001,MATCH(ROWS($AG$2:AG527),$AG$2:$AG$1001,0),0), INDEX($AN$1004:$BO$1004,1,MATCH(COLUMNS($AN$1006:BL1006),$AN$1006:$BO$1006,0)))),"Fix")))</f>
        <v>0</v>
      </c>
      <c r="AA527" s="4">
        <f>IF(OR(INDEX($AH$2:$AH$1001,MATCH(ROWS($AG$2:AG527),$AG$2:$AG$1001,0),1)&gt;=100000,INDEX($AN$1005:$BO$1005,1,MATCH(COLUMNS($AN$1006:BM1006),$AN$1006:$BO$1006,0))&gt;=100000), " ",IF(INDEX($AN$2:$BO$1001,MATCH(ROWS($AG$2:AG527),$AG$2:$AG$1001,0),MATCH(COLUMNS($AN$1006:BM1006),$AN$1006:$BO$1006,0)), HYPERLINK("#",""), HYPERLINK(CONCATENATE("#Metadata!", ADDRESS(INDEX($AI$2:$AI$1001,MATCH(ROWS($AG$2:AG527),$AG$2:$AG$1001,0),0), INDEX($AN$1004:$BO$1004,1,MATCH(COLUMNS($AN$1006:BM1006),$AN$1006:$BO$1006,0)))),"Fix")))</f>
        <v>0</v>
      </c>
      <c r="AB527" s="4">
        <f>IF(OR(INDEX($AH$2:$AH$1001,MATCH(ROWS($AG$2:AG527),$AG$2:$AG$1001,0),1)&gt;=100000,INDEX($AN$1005:$BO$1005,1,MATCH(COLUMNS($AN$1006:BN1006),$AN$1006:$BO$1006,0))&gt;=100000), " ",IF(INDEX($AN$2:$BO$1001,MATCH(ROWS($AG$2:AG527),$AG$2:$AG$1001,0),MATCH(COLUMNS($AN$1006:BN1006),$AN$1006:$BO$1006,0)), HYPERLINK("#",""), HYPERLINK(CONCATENATE("#Metadata!", ADDRESS(INDEX($AI$2:$AI$1001,MATCH(ROWS($AG$2:AG527),$AG$2:$AG$1001,0),0), INDEX($AN$1004:$BO$1004,1,MATCH(COLUMNS($AN$1006:BN1006),$AN$1006:$BO$1006,0)))),"Fix")))</f>
        <v>0</v>
      </c>
      <c r="AC527" s="4">
        <f>IF(OR(INDEX($AH$2:$AH$1001,MATCH(ROWS($AG$2:AG527),$AG$2:$AG$1001,0),1)&gt;=100000,INDEX($AN$1005:$BO$1005,1,MATCH(COLUMNS($AN$1006:BO1006),$AN$1006:$BO$1006,0))&gt;=100000), " ",IF(INDEX($AN$2:$BO$1001,MATCH(ROWS($AG$2:AG527),$AG$2:$AG$1001,0),MATCH(COLUMNS($AN$1006:BO1006),$AN$1006:$BO$1006,0)), HYPERLINK("#",""), HYPERLINK(CONCATENATE("#Metadata!", ADDRESS(INDEX($AI$2:$AI$1001,MATCH(ROWS($AG$2:AG527),$AG$2:$AG$1001,0),0), INDEX($AN$1004:$BO$1004,1,MATCH(COLUMNS($AN$1006:BO1006),$AN$1006:$BO$1006,0)))),"Fix")))</f>
        <v>0</v>
      </c>
      <c r="AG527">
        <v>0</v>
      </c>
      <c r="AH527">
        <v>0</v>
      </c>
      <c r="AI527">
        <v>0</v>
      </c>
      <c r="AJ527">
        <f>IF(AK527,TRUE,AND(AN527:BO527))</f>
        <v>0</v>
      </c>
      <c r="AK527">
        <f>COUNTBLANK(Metadata!B527:AC527)=COLUMNS(Metadata!B527:AC527)</f>
        <v>0</v>
      </c>
      <c r="AL527">
        <v>0</v>
      </c>
      <c r="AN527">
        <f>AND(IF(Metadata!B527="",FALSE,TRUE),COUNTIF(Metadata!B:B, Metadata!B527) = 1,NOT(ISERROR(SUMPRODUCT(SEARCH(MID(Metadata!B527,ROW(INDIRECT("1:"&amp;LEN(Metadata!B527))), 1),"0123456789abcdefghijklmnopqrstuvwxyzABCDEFGHIJKLMNOPQRSTUVWXYZ.")))))</f>
        <v>0</v>
      </c>
      <c r="AO527">
        <f>IF(Metadata!C527="",FALSE,TRUE)</f>
        <v>0</v>
      </c>
      <c r="AP527">
        <f>IF(Metadata!D527="",FALSE,TRUE)</f>
        <v>0</v>
      </c>
      <c r="AQ527">
        <f>OR(AND(IF(Metadata!E527="",FALSE,TRUE),OR(exact(Metadata!E527,"not collected"),exact(Metadata!E527,"not provided"),exact(Metadata!E527,"restricted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R527">
        <f>IF(Metadata!F527="",FALSE,TRUE)</f>
        <v>0</v>
      </c>
      <c r="AS527">
        <f>OR(AND(IF(Metadata!G527="",FALSE,TRUE),OR(exact(Metadata!G527,"not collected"),exact(Metadata!G527,"not provided"))),AND(IF(Metadata!G527="",FALSE,TRUE),OR(exact(Metadata!G527,"TRUE"),exact(Metadata!G527,"FALSE"))))</f>
        <v>0</v>
      </c>
      <c r="AT527">
        <f>OR(AND(IF(Metadata!H527="",FALSE,TRUE),OR(exact(Metadata!H527,"not collected"),exact(Metadata!H527,"not provided"),exact(Metadata!H527,"restricted access"))),AND(IF(Metadata!H527="",FALSE,ISNUMBER(VALUE(Metadata!H527))),Metadata!H527&gt;=-413.0))</f>
        <v>0</v>
      </c>
      <c r="AU527">
        <f>AND(IF(Metadata!I527="",FALSE,TRUE),exact(Metadata!I527,"meters"))</f>
        <v>0</v>
      </c>
      <c r="AV527">
        <f>AND(IF(Metadata!J527="",FALSE,TRUE),OR(exact(Metadata!J527,"Host-associated"),exact(Metadata!J527,"Free-living")))</f>
        <v>0</v>
      </c>
      <c r="AW527">
        <f>AND(IF(Metadata!K527="",FALSE,TRUE),OR(exact(Metadata!K527,"Animal"),exact(Metadata!K527,"Fungus"),exact(Metadata!K527,"Plant"),exact(Metadata!K527,"Saline"),exact(Metadata!K527,"Non-saline")))</f>
        <v>0</v>
      </c>
      <c r="AX527">
        <f>AND(IF(Metadata!L527="",FALSE,TRUE),OR(exact(Metadata!L527,"Plant secretion"),exact(Metadata!L527,"Plant rhizosphere"),exact(Metadata!L527,"Plant surface"),exact(Metadata!L527,"Plant corpus"),exact(Metadata!L527,"Fungus surface"),exact(Metadata!L527,"Fungus corpus"),exact(Metadata!L527,"Animal surface"),exact(Metadata!L527,"Animal proximal gut"),exact(Metadata!L527,"Animal corpus"),exact(Metadata!L527,"Animal distal gut"),exact(Metadata!L527,"Animal secretion"),exact(Metadata!L527,"Sub-surface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Y527">
        <f>IF(Metadata!M527="",FALSE,TRUE)</f>
        <v>0</v>
      </c>
      <c r="AZ527">
        <f>IF(Metadata!N527="",FALSE,TRUE)</f>
        <v>0</v>
      </c>
      <c r="BA527">
        <f>IF(Metadata!O527="",FALSE,TRUE)</f>
        <v>0</v>
      </c>
      <c r="BB527">
        <f>OR(AND(IF(Metadata!P527="",FALSE,TRUE),OR(exact(Metadata!P527,"not collected"),exact(Metadata!P527,"not provided"),exact(Metadata!P527,"restricted access"))),AND(IF(Metadata!P527="",FALSE,TRUE),OR(exact(Metadata!P527,"air"),exact(Metadata!P527,"built environment"),exact(Metadata!P527,"host-associated"),exact(Metadata!P527,"human-associated"),exact(Metadata!P527,"human-skin"),exact(Metadata!P527,"human-oral"),exact(Metadata!P527,"human-gut"),exact(Metadata!P527,"human-vaginal"),exact(Metadata!P527,"microbial mat/biofilm"),exact(Metadata!P527,"misc environment"),exact(Metadata!P527,"plant-associated"),exact(Metadata!P527,"sediment"),exact(Metadata!P527,"soil"),exact(Metadata!P527,"wastewater/sludge"),exact(Metadata!P527,"water"))))</f>
        <v>0</v>
      </c>
      <c r="BC527">
        <f>IF(Metadata!Q527="",FALSE,TRUE)</f>
        <v>0</v>
      </c>
      <c r="BD527">
        <f>IF(Metadata!R527="",FALSE,TRUE)</f>
        <v>0</v>
      </c>
      <c r="BE527">
        <f>OR(AND(IF(Metadata!S527="",FALSE,TRUE),OR(exact(Metadata!S527,"not collected"),exact(Metadata!S527,"not provided"),exact(Metadata!S527,"restricted access"))),AND(IF(Metadata!S527="",FALSE,ISNUMBER(VALUE(Metadata!S527))),Metadata!S527&gt;=-90.00,Metadata!S527&lt;=90.00))</f>
        <v>0</v>
      </c>
      <c r="BF527">
        <f>AND(IF(Metadata!T527="",FALSE,TRUE),exact(Metadata!T527,"Decimal degrees"))</f>
        <v>0</v>
      </c>
      <c r="BG527">
        <f>OR(AND(IF(Metadata!U527="",FALSE,TRUE),OR(exact(Metadata!U527,"not collected"),exact(Metadata!U527,"not provided"),exact(Metadata!U527,"restricted access"))),AND(IF(Metadata!U527="",FALSE,ISNUMBER(VALUE(Metadata!U527))),Metadata!U527&gt;=-180.00,Metadata!U527&lt;=180.00))</f>
        <v>0</v>
      </c>
      <c r="BH527">
        <f>AND(IF(Metadata!V527="",FALSE,TRUE),exact(Metadata!V527,"Decimal degrees"))</f>
        <v>0</v>
      </c>
      <c r="BI527">
        <f>IF(Metadata!W527="",FALSE,TRUE)</f>
        <v>0</v>
      </c>
      <c r="BJ527">
        <f>OR(AND(IF(Metadata!X527="",FALSE,TRUE),OR(exact(Metadata!X527,"not collected"),exact(Metadata!X527,"not provided"),exact(Metadata!X527,"restricted access"))),AND(IF(Metadata!X527="",FALSE,TRUE),OR(exact(Metadata!X527,"TRUE"),exact(Metadata!X527,"FALSE"))))</f>
        <v>0</v>
      </c>
      <c r="BK527">
        <f>AND(IF(Metadata!Y527="",FALSE,TRUE),exact(Metadata!Y527,"other"))</f>
        <v>0</v>
      </c>
      <c r="BL527">
        <f>IF(Metadata!Z527="",FALSE,TRUE)</f>
        <v>0</v>
      </c>
      <c r="BM527">
        <f>OR(AND(IF(Metadata!AA527="",FALSE,TRUE),OR(exact(Metadata!AA527,"not collected"),exact(Metadata!AA527,"not provided"))),AND(IF(Metadata!AA527="",FALSE,IF(ISERROR(INT(Metadata!AA527)),FALSE,INT(Metadata!AA527)=Metadata!AA527)),Metadata!AA527&gt;0))</f>
        <v>0</v>
      </c>
      <c r="BN527">
        <f>AND(IF(Metadata!AB527="",FALSE,TRUE),exact(Metadata!AB527,"Not applicable"))</f>
        <v>0</v>
      </c>
      <c r="BO527">
        <f>IF(Metadata!AC527="",FALSE,TRUE)</f>
        <v>0</v>
      </c>
    </row>
    <row r="528" spans="1:67">
      <c r="A528" s="5">
        <f>IF(B528=" "," ",HYPERLINK(CONCATENATE("#metadata!",ADDRESS(INDEX($AI$2:$AI$1001,MATCH(ROWS($AG$2:AG528),$AG$2:$AG$1001,0),0),1)),INDEX($AL$2:$AL$1001,MATCH(ROWS($AG$2:AG528),$AG$2:$AG$1001,0),0)))</f>
        <v>0</v>
      </c>
      <c r="B528" s="4">
        <f>IF(OR(INDEX($AH$2:$AH$1001,MATCH(ROWS($AG$2:AG528),$AG$2:$AG$1001,0),1)&gt;=100000,INDEX($AN$1005:$BO$1005,1,MATCH(COLUMNS($AN$1006:AN1006),$AN$1006:$BO$1006,0))&gt;=100000), " ",IF(INDEX($AN$2:$BO$1001,MATCH(ROWS($AG$2:AG528),$AG$2:$AG$1001,0),MATCH(COLUMNS($AN$1006:AN1006),$AN$1006:$BO$1006,0)), HYPERLINK("#",""), HYPERLINK(CONCATENATE("#Metadata!", ADDRESS(INDEX($AI$2:$AI$1001,MATCH(ROWS($AG$2:AG528),$AG$2:$AG$1001,0),0), INDEX($AN$1004:$BO$1004,1,MATCH(COLUMNS($AN$1006:AN1006),$AN$1006:$BO$1006,0)))),"Fix")))</f>
        <v>0</v>
      </c>
      <c r="C528" s="4">
        <f>IF(OR(INDEX($AH$2:$AH$1001,MATCH(ROWS($AG$2:AG528),$AG$2:$AG$1001,0),1)&gt;=100000,INDEX($AN$1005:$BO$1005,1,MATCH(COLUMNS($AN$1006:AO1006),$AN$1006:$BO$1006,0))&gt;=100000), " ",IF(INDEX($AN$2:$BO$1001,MATCH(ROWS($AG$2:AG528),$AG$2:$AG$1001,0),MATCH(COLUMNS($AN$1006:AO1006),$AN$1006:$BO$1006,0)), HYPERLINK("#",""), HYPERLINK(CONCATENATE("#Metadata!", ADDRESS(INDEX($AI$2:$AI$1001,MATCH(ROWS($AG$2:AG528),$AG$2:$AG$1001,0),0), INDEX($AN$1004:$BO$1004,1,MATCH(COLUMNS($AN$1006:AO1006),$AN$1006:$BO$1006,0)))),"Fix")))</f>
        <v>0</v>
      </c>
      <c r="D528" s="4">
        <f>IF(OR(INDEX($AH$2:$AH$1001,MATCH(ROWS($AG$2:AG528),$AG$2:$AG$1001,0),1)&gt;=100000,INDEX($AN$1005:$BO$1005,1,MATCH(COLUMNS($AN$1006:AP1006),$AN$1006:$BO$1006,0))&gt;=100000), " ",IF(INDEX($AN$2:$BO$1001,MATCH(ROWS($AG$2:AG528),$AG$2:$AG$1001,0),MATCH(COLUMNS($AN$1006:AP1006),$AN$1006:$BO$1006,0)), HYPERLINK("#",""), HYPERLINK(CONCATENATE("#Metadata!", ADDRESS(INDEX($AI$2:$AI$1001,MATCH(ROWS($AG$2:AG528),$AG$2:$AG$1001,0),0), INDEX($AN$1004:$BO$1004,1,MATCH(COLUMNS($AN$1006:AP1006),$AN$1006:$BO$1006,0)))),"Fix")))</f>
        <v>0</v>
      </c>
      <c r="E528" s="4">
        <f>IF(OR(INDEX($AH$2:$AH$1001,MATCH(ROWS($AG$2:AG528),$AG$2:$AG$1001,0),1)&gt;=100000,INDEX($AN$1005:$BO$1005,1,MATCH(COLUMNS($AN$1006:AQ1006),$AN$1006:$BO$1006,0))&gt;=100000), " ",IF(INDEX($AN$2:$BO$1001,MATCH(ROWS($AG$2:AG528),$AG$2:$AG$1001,0),MATCH(COLUMNS($AN$1006:AQ1006),$AN$1006:$BO$1006,0)), HYPERLINK("#",""), HYPERLINK(CONCATENATE("#Metadata!", ADDRESS(INDEX($AI$2:$AI$1001,MATCH(ROWS($AG$2:AG528),$AG$2:$AG$1001,0),0), INDEX($AN$1004:$BO$1004,1,MATCH(COLUMNS($AN$1006:AQ1006),$AN$1006:$BO$1006,0)))),"Fix")))</f>
        <v>0</v>
      </c>
      <c r="F528" s="4">
        <f>IF(OR(INDEX($AH$2:$AH$1001,MATCH(ROWS($AG$2:AG528),$AG$2:$AG$1001,0),1)&gt;=100000,INDEX($AN$1005:$BO$1005,1,MATCH(COLUMNS($AN$1006:AR1006),$AN$1006:$BO$1006,0))&gt;=100000), " ",IF(INDEX($AN$2:$BO$1001,MATCH(ROWS($AG$2:AG528),$AG$2:$AG$1001,0),MATCH(COLUMNS($AN$1006:AR1006),$AN$1006:$BO$1006,0)), HYPERLINK("#",""), HYPERLINK(CONCATENATE("#Metadata!", ADDRESS(INDEX($AI$2:$AI$1001,MATCH(ROWS($AG$2:AG528),$AG$2:$AG$1001,0),0), INDEX($AN$1004:$BO$1004,1,MATCH(COLUMNS($AN$1006:AR1006),$AN$1006:$BO$1006,0)))),"Fix")))</f>
        <v>0</v>
      </c>
      <c r="G528" s="4">
        <f>IF(OR(INDEX($AH$2:$AH$1001,MATCH(ROWS($AG$2:AG528),$AG$2:$AG$1001,0),1)&gt;=100000,INDEX($AN$1005:$BO$1005,1,MATCH(COLUMNS($AN$1006:AS1006),$AN$1006:$BO$1006,0))&gt;=100000), " ",IF(INDEX($AN$2:$BO$1001,MATCH(ROWS($AG$2:AG528),$AG$2:$AG$1001,0),MATCH(COLUMNS($AN$1006:AS1006),$AN$1006:$BO$1006,0)), HYPERLINK("#",""), HYPERLINK(CONCATENATE("#Metadata!", ADDRESS(INDEX($AI$2:$AI$1001,MATCH(ROWS($AG$2:AG528),$AG$2:$AG$1001,0),0), INDEX($AN$1004:$BO$1004,1,MATCH(COLUMNS($AN$1006:AS1006),$AN$1006:$BO$1006,0)))),"Fix")))</f>
        <v>0</v>
      </c>
      <c r="H528" s="4">
        <f>IF(OR(INDEX($AH$2:$AH$1001,MATCH(ROWS($AG$2:AG528),$AG$2:$AG$1001,0),1)&gt;=100000,INDEX($AN$1005:$BO$1005,1,MATCH(COLUMNS($AN$1006:AT1006),$AN$1006:$BO$1006,0))&gt;=100000), " ",IF(INDEX($AN$2:$BO$1001,MATCH(ROWS($AG$2:AG528),$AG$2:$AG$1001,0),MATCH(COLUMNS($AN$1006:AT1006),$AN$1006:$BO$1006,0)), HYPERLINK("#",""), HYPERLINK(CONCATENATE("#Metadata!", ADDRESS(INDEX($AI$2:$AI$1001,MATCH(ROWS($AG$2:AG528),$AG$2:$AG$1001,0),0), INDEX($AN$1004:$BO$1004,1,MATCH(COLUMNS($AN$1006:AT1006),$AN$1006:$BO$1006,0)))),"Fix")))</f>
        <v>0</v>
      </c>
      <c r="I528" s="4">
        <f>IF(OR(INDEX($AH$2:$AH$1001,MATCH(ROWS($AG$2:AG528),$AG$2:$AG$1001,0),1)&gt;=100000,INDEX($AN$1005:$BO$1005,1,MATCH(COLUMNS($AN$1006:AU1006),$AN$1006:$BO$1006,0))&gt;=100000), " ",IF(INDEX($AN$2:$BO$1001,MATCH(ROWS($AG$2:AG528),$AG$2:$AG$1001,0),MATCH(COLUMNS($AN$1006:AU1006),$AN$1006:$BO$1006,0)), HYPERLINK("#",""), HYPERLINK(CONCATENATE("#Metadata!", ADDRESS(INDEX($AI$2:$AI$1001,MATCH(ROWS($AG$2:AG528),$AG$2:$AG$1001,0),0), INDEX($AN$1004:$BO$1004,1,MATCH(COLUMNS($AN$1006:AU1006),$AN$1006:$BO$1006,0)))),"Fix")))</f>
        <v>0</v>
      </c>
      <c r="J528" s="4">
        <f>IF(OR(INDEX($AH$2:$AH$1001,MATCH(ROWS($AG$2:AG528),$AG$2:$AG$1001,0),1)&gt;=100000,INDEX($AN$1005:$BO$1005,1,MATCH(COLUMNS($AN$1006:AV1006),$AN$1006:$BO$1006,0))&gt;=100000), " ",IF(INDEX($AN$2:$BO$1001,MATCH(ROWS($AG$2:AG528),$AG$2:$AG$1001,0),MATCH(COLUMNS($AN$1006:AV1006),$AN$1006:$BO$1006,0)), HYPERLINK("#",""), HYPERLINK(CONCATENATE("#Metadata!", ADDRESS(INDEX($AI$2:$AI$1001,MATCH(ROWS($AG$2:AG528),$AG$2:$AG$1001,0),0), INDEX($AN$1004:$BO$1004,1,MATCH(COLUMNS($AN$1006:AV1006),$AN$1006:$BO$1006,0)))),"Fix")))</f>
        <v>0</v>
      </c>
      <c r="K528" s="4">
        <f>IF(OR(INDEX($AH$2:$AH$1001,MATCH(ROWS($AG$2:AG528),$AG$2:$AG$1001,0),1)&gt;=100000,INDEX($AN$1005:$BO$1005,1,MATCH(COLUMNS($AN$1006:AW1006),$AN$1006:$BO$1006,0))&gt;=100000), " ",IF(INDEX($AN$2:$BO$1001,MATCH(ROWS($AG$2:AG528),$AG$2:$AG$1001,0),MATCH(COLUMNS($AN$1006:AW1006),$AN$1006:$BO$1006,0)), HYPERLINK("#",""), HYPERLINK(CONCATENATE("#Metadata!", ADDRESS(INDEX($AI$2:$AI$1001,MATCH(ROWS($AG$2:AG528),$AG$2:$AG$1001,0),0), INDEX($AN$1004:$BO$1004,1,MATCH(COLUMNS($AN$1006:AW1006),$AN$1006:$BO$1006,0)))),"Fix")))</f>
        <v>0</v>
      </c>
      <c r="L528" s="4">
        <f>IF(OR(INDEX($AH$2:$AH$1001,MATCH(ROWS($AG$2:AG528),$AG$2:$AG$1001,0),1)&gt;=100000,INDEX($AN$1005:$BO$1005,1,MATCH(COLUMNS($AN$1006:AX1006),$AN$1006:$BO$1006,0))&gt;=100000), " ",IF(INDEX($AN$2:$BO$1001,MATCH(ROWS($AG$2:AG528),$AG$2:$AG$1001,0),MATCH(COLUMNS($AN$1006:AX1006),$AN$1006:$BO$1006,0)), HYPERLINK("#",""), HYPERLINK(CONCATENATE("#Metadata!", ADDRESS(INDEX($AI$2:$AI$1001,MATCH(ROWS($AG$2:AG528),$AG$2:$AG$1001,0),0), INDEX($AN$1004:$BO$1004,1,MATCH(COLUMNS($AN$1006:AX1006),$AN$1006:$BO$1006,0)))),"Fix")))</f>
        <v>0</v>
      </c>
      <c r="M528" s="4">
        <f>IF(OR(INDEX($AH$2:$AH$1001,MATCH(ROWS($AG$2:AG528),$AG$2:$AG$1001,0),1)&gt;=100000,INDEX($AN$1005:$BO$1005,1,MATCH(COLUMNS($AN$1006:AY1006),$AN$1006:$BO$1006,0))&gt;=100000), " ",IF(INDEX($AN$2:$BO$1001,MATCH(ROWS($AG$2:AG528),$AG$2:$AG$1001,0),MATCH(COLUMNS($AN$1006:AY1006),$AN$1006:$BO$1006,0)), HYPERLINK("#",""), HYPERLINK(CONCATENATE("#Metadata!", ADDRESS(INDEX($AI$2:$AI$1001,MATCH(ROWS($AG$2:AG528),$AG$2:$AG$1001,0),0), INDEX($AN$1004:$BO$1004,1,MATCH(COLUMNS($AN$1006:AY1006),$AN$1006:$BO$1006,0)))),"Fix")))</f>
        <v>0</v>
      </c>
      <c r="N528" s="4">
        <f>IF(OR(INDEX($AH$2:$AH$1001,MATCH(ROWS($AG$2:AG528),$AG$2:$AG$1001,0),1)&gt;=100000,INDEX($AN$1005:$BO$1005,1,MATCH(COLUMNS($AN$1006:AZ1006),$AN$1006:$BO$1006,0))&gt;=100000), " ",IF(INDEX($AN$2:$BO$1001,MATCH(ROWS($AG$2:AG528),$AG$2:$AG$1001,0),MATCH(COLUMNS($AN$1006:AZ1006),$AN$1006:$BO$1006,0)), HYPERLINK("#",""), HYPERLINK(CONCATENATE("#Metadata!", ADDRESS(INDEX($AI$2:$AI$1001,MATCH(ROWS($AG$2:AG528),$AG$2:$AG$1001,0),0), INDEX($AN$1004:$BO$1004,1,MATCH(COLUMNS($AN$1006:AZ1006),$AN$1006:$BO$1006,0)))),"Fix")))</f>
        <v>0</v>
      </c>
      <c r="O528" s="4">
        <f>IF(OR(INDEX($AH$2:$AH$1001,MATCH(ROWS($AG$2:AG528),$AG$2:$AG$1001,0),1)&gt;=100000,INDEX($AN$1005:$BO$1005,1,MATCH(COLUMNS($AN$1006:BA1006),$AN$1006:$BO$1006,0))&gt;=100000), " ",IF(INDEX($AN$2:$BO$1001,MATCH(ROWS($AG$2:AG528),$AG$2:$AG$1001,0),MATCH(COLUMNS($AN$1006:BA1006),$AN$1006:$BO$1006,0)), HYPERLINK("#",""), HYPERLINK(CONCATENATE("#Metadata!", ADDRESS(INDEX($AI$2:$AI$1001,MATCH(ROWS($AG$2:AG528),$AG$2:$AG$1001,0),0), INDEX($AN$1004:$BO$1004,1,MATCH(COLUMNS($AN$1006:BA1006),$AN$1006:$BO$1006,0)))),"Fix")))</f>
        <v>0</v>
      </c>
      <c r="P528" s="4">
        <f>IF(OR(INDEX($AH$2:$AH$1001,MATCH(ROWS($AG$2:AG528),$AG$2:$AG$1001,0),1)&gt;=100000,INDEX($AN$1005:$BO$1005,1,MATCH(COLUMNS($AN$1006:BB1006),$AN$1006:$BO$1006,0))&gt;=100000), " ",IF(INDEX($AN$2:$BO$1001,MATCH(ROWS($AG$2:AG528),$AG$2:$AG$1001,0),MATCH(COLUMNS($AN$1006:BB1006),$AN$1006:$BO$1006,0)), HYPERLINK("#",""), HYPERLINK(CONCATENATE("#Metadata!", ADDRESS(INDEX($AI$2:$AI$1001,MATCH(ROWS($AG$2:AG528),$AG$2:$AG$1001,0),0), INDEX($AN$1004:$BO$1004,1,MATCH(COLUMNS($AN$1006:BB1006),$AN$1006:$BO$1006,0)))),"Fix")))</f>
        <v>0</v>
      </c>
      <c r="Q528" s="4">
        <f>IF(OR(INDEX($AH$2:$AH$1001,MATCH(ROWS($AG$2:AG528),$AG$2:$AG$1001,0),1)&gt;=100000,INDEX($AN$1005:$BO$1005,1,MATCH(COLUMNS($AN$1006:BC1006),$AN$1006:$BO$1006,0))&gt;=100000), " ",IF(INDEX($AN$2:$BO$1001,MATCH(ROWS($AG$2:AG528),$AG$2:$AG$1001,0),MATCH(COLUMNS($AN$1006:BC1006),$AN$1006:$BO$1006,0)), HYPERLINK("#",""), HYPERLINK(CONCATENATE("#Metadata!", ADDRESS(INDEX($AI$2:$AI$1001,MATCH(ROWS($AG$2:AG528),$AG$2:$AG$1001,0),0), INDEX($AN$1004:$BO$1004,1,MATCH(COLUMNS($AN$1006:BC1006),$AN$1006:$BO$1006,0)))),"Fix")))</f>
        <v>0</v>
      </c>
      <c r="R528" s="4">
        <f>IF(OR(INDEX($AH$2:$AH$1001,MATCH(ROWS($AG$2:AG528),$AG$2:$AG$1001,0),1)&gt;=100000,INDEX($AN$1005:$BO$1005,1,MATCH(COLUMNS($AN$1006:BD1006),$AN$1006:$BO$1006,0))&gt;=100000), " ",IF(INDEX($AN$2:$BO$1001,MATCH(ROWS($AG$2:AG528),$AG$2:$AG$1001,0),MATCH(COLUMNS($AN$1006:BD1006),$AN$1006:$BO$1006,0)), HYPERLINK("#",""), HYPERLINK(CONCATENATE("#Metadata!", ADDRESS(INDEX($AI$2:$AI$1001,MATCH(ROWS($AG$2:AG528),$AG$2:$AG$1001,0),0), INDEX($AN$1004:$BO$1004,1,MATCH(COLUMNS($AN$1006:BD1006),$AN$1006:$BO$1006,0)))),"Fix")))</f>
        <v>0</v>
      </c>
      <c r="S528" s="4">
        <f>IF(OR(INDEX($AH$2:$AH$1001,MATCH(ROWS($AG$2:AG528),$AG$2:$AG$1001,0),1)&gt;=100000,INDEX($AN$1005:$BO$1005,1,MATCH(COLUMNS($AN$1006:BE1006),$AN$1006:$BO$1006,0))&gt;=100000), " ",IF(INDEX($AN$2:$BO$1001,MATCH(ROWS($AG$2:AG528),$AG$2:$AG$1001,0),MATCH(COLUMNS($AN$1006:BE1006),$AN$1006:$BO$1006,0)), HYPERLINK("#",""), HYPERLINK(CONCATENATE("#Metadata!", ADDRESS(INDEX($AI$2:$AI$1001,MATCH(ROWS($AG$2:AG528),$AG$2:$AG$1001,0),0), INDEX($AN$1004:$BO$1004,1,MATCH(COLUMNS($AN$1006:BE1006),$AN$1006:$BO$1006,0)))),"Fix")))</f>
        <v>0</v>
      </c>
      <c r="T528" s="4">
        <f>IF(OR(INDEX($AH$2:$AH$1001,MATCH(ROWS($AG$2:AG528),$AG$2:$AG$1001,0),1)&gt;=100000,INDEX($AN$1005:$BO$1005,1,MATCH(COLUMNS($AN$1006:BF1006),$AN$1006:$BO$1006,0))&gt;=100000), " ",IF(INDEX($AN$2:$BO$1001,MATCH(ROWS($AG$2:AG528),$AG$2:$AG$1001,0),MATCH(COLUMNS($AN$1006:BF1006),$AN$1006:$BO$1006,0)), HYPERLINK("#",""), HYPERLINK(CONCATENATE("#Metadata!", ADDRESS(INDEX($AI$2:$AI$1001,MATCH(ROWS($AG$2:AG528),$AG$2:$AG$1001,0),0), INDEX($AN$1004:$BO$1004,1,MATCH(COLUMNS($AN$1006:BF1006),$AN$1006:$BO$1006,0)))),"Fix")))</f>
        <v>0</v>
      </c>
      <c r="U528" s="4">
        <f>IF(OR(INDEX($AH$2:$AH$1001,MATCH(ROWS($AG$2:AG528),$AG$2:$AG$1001,0),1)&gt;=100000,INDEX($AN$1005:$BO$1005,1,MATCH(COLUMNS($AN$1006:BG1006),$AN$1006:$BO$1006,0))&gt;=100000), " ",IF(INDEX($AN$2:$BO$1001,MATCH(ROWS($AG$2:AG528),$AG$2:$AG$1001,0),MATCH(COLUMNS($AN$1006:BG1006),$AN$1006:$BO$1006,0)), HYPERLINK("#",""), HYPERLINK(CONCATENATE("#Metadata!", ADDRESS(INDEX($AI$2:$AI$1001,MATCH(ROWS($AG$2:AG528),$AG$2:$AG$1001,0),0), INDEX($AN$1004:$BO$1004,1,MATCH(COLUMNS($AN$1006:BG1006),$AN$1006:$BO$1006,0)))),"Fix")))</f>
        <v>0</v>
      </c>
      <c r="V528" s="4">
        <f>IF(OR(INDEX($AH$2:$AH$1001,MATCH(ROWS($AG$2:AG528),$AG$2:$AG$1001,0),1)&gt;=100000,INDEX($AN$1005:$BO$1005,1,MATCH(COLUMNS($AN$1006:BH1006),$AN$1006:$BO$1006,0))&gt;=100000), " ",IF(INDEX($AN$2:$BO$1001,MATCH(ROWS($AG$2:AG528),$AG$2:$AG$1001,0),MATCH(COLUMNS($AN$1006:BH1006),$AN$1006:$BO$1006,0)), HYPERLINK("#",""), HYPERLINK(CONCATENATE("#Metadata!", ADDRESS(INDEX($AI$2:$AI$1001,MATCH(ROWS($AG$2:AG528),$AG$2:$AG$1001,0),0), INDEX($AN$1004:$BO$1004,1,MATCH(COLUMNS($AN$1006:BH1006),$AN$1006:$BO$1006,0)))),"Fix")))</f>
        <v>0</v>
      </c>
      <c r="W528" s="4">
        <f>IF(OR(INDEX($AH$2:$AH$1001,MATCH(ROWS($AG$2:AG528),$AG$2:$AG$1001,0),1)&gt;=100000,INDEX($AN$1005:$BO$1005,1,MATCH(COLUMNS($AN$1006:BI1006),$AN$1006:$BO$1006,0))&gt;=100000), " ",IF(INDEX($AN$2:$BO$1001,MATCH(ROWS($AG$2:AG528),$AG$2:$AG$1001,0),MATCH(COLUMNS($AN$1006:BI1006),$AN$1006:$BO$1006,0)), HYPERLINK("#",""), HYPERLINK(CONCATENATE("#Metadata!", ADDRESS(INDEX($AI$2:$AI$1001,MATCH(ROWS($AG$2:AG528),$AG$2:$AG$1001,0),0), INDEX($AN$1004:$BO$1004,1,MATCH(COLUMNS($AN$1006:BI1006),$AN$1006:$BO$1006,0)))),"Fix")))</f>
        <v>0</v>
      </c>
      <c r="X528" s="4">
        <f>IF(OR(INDEX($AH$2:$AH$1001,MATCH(ROWS($AG$2:AG528),$AG$2:$AG$1001,0),1)&gt;=100000,INDEX($AN$1005:$BO$1005,1,MATCH(COLUMNS($AN$1006:BJ1006),$AN$1006:$BO$1006,0))&gt;=100000), " ",IF(INDEX($AN$2:$BO$1001,MATCH(ROWS($AG$2:AG528),$AG$2:$AG$1001,0),MATCH(COLUMNS($AN$1006:BJ1006),$AN$1006:$BO$1006,0)), HYPERLINK("#",""), HYPERLINK(CONCATENATE("#Metadata!", ADDRESS(INDEX($AI$2:$AI$1001,MATCH(ROWS($AG$2:AG528),$AG$2:$AG$1001,0),0), INDEX($AN$1004:$BO$1004,1,MATCH(COLUMNS($AN$1006:BJ1006),$AN$1006:$BO$1006,0)))),"Fix")))</f>
        <v>0</v>
      </c>
      <c r="Y528" s="4">
        <f>IF(OR(INDEX($AH$2:$AH$1001,MATCH(ROWS($AG$2:AG528),$AG$2:$AG$1001,0),1)&gt;=100000,INDEX($AN$1005:$BO$1005,1,MATCH(COLUMNS($AN$1006:BK1006),$AN$1006:$BO$1006,0))&gt;=100000), " ",IF(INDEX($AN$2:$BO$1001,MATCH(ROWS($AG$2:AG528),$AG$2:$AG$1001,0),MATCH(COLUMNS($AN$1006:BK1006),$AN$1006:$BO$1006,0)), HYPERLINK("#",""), HYPERLINK(CONCATENATE("#Metadata!", ADDRESS(INDEX($AI$2:$AI$1001,MATCH(ROWS($AG$2:AG528),$AG$2:$AG$1001,0),0), INDEX($AN$1004:$BO$1004,1,MATCH(COLUMNS($AN$1006:BK1006),$AN$1006:$BO$1006,0)))),"Fix")))</f>
        <v>0</v>
      </c>
      <c r="Z528" s="4">
        <f>IF(OR(INDEX($AH$2:$AH$1001,MATCH(ROWS($AG$2:AG528),$AG$2:$AG$1001,0),1)&gt;=100000,INDEX($AN$1005:$BO$1005,1,MATCH(COLUMNS($AN$1006:BL1006),$AN$1006:$BO$1006,0))&gt;=100000), " ",IF(INDEX($AN$2:$BO$1001,MATCH(ROWS($AG$2:AG528),$AG$2:$AG$1001,0),MATCH(COLUMNS($AN$1006:BL1006),$AN$1006:$BO$1006,0)), HYPERLINK("#",""), HYPERLINK(CONCATENATE("#Metadata!", ADDRESS(INDEX($AI$2:$AI$1001,MATCH(ROWS($AG$2:AG528),$AG$2:$AG$1001,0),0), INDEX($AN$1004:$BO$1004,1,MATCH(COLUMNS($AN$1006:BL1006),$AN$1006:$BO$1006,0)))),"Fix")))</f>
        <v>0</v>
      </c>
      <c r="AA528" s="4">
        <f>IF(OR(INDEX($AH$2:$AH$1001,MATCH(ROWS($AG$2:AG528),$AG$2:$AG$1001,0),1)&gt;=100000,INDEX($AN$1005:$BO$1005,1,MATCH(COLUMNS($AN$1006:BM1006),$AN$1006:$BO$1006,0))&gt;=100000), " ",IF(INDEX($AN$2:$BO$1001,MATCH(ROWS($AG$2:AG528),$AG$2:$AG$1001,0),MATCH(COLUMNS($AN$1006:BM1006),$AN$1006:$BO$1006,0)), HYPERLINK("#",""), HYPERLINK(CONCATENATE("#Metadata!", ADDRESS(INDEX($AI$2:$AI$1001,MATCH(ROWS($AG$2:AG528),$AG$2:$AG$1001,0),0), INDEX($AN$1004:$BO$1004,1,MATCH(COLUMNS($AN$1006:BM1006),$AN$1006:$BO$1006,0)))),"Fix")))</f>
        <v>0</v>
      </c>
      <c r="AB528" s="4">
        <f>IF(OR(INDEX($AH$2:$AH$1001,MATCH(ROWS($AG$2:AG528),$AG$2:$AG$1001,0),1)&gt;=100000,INDEX($AN$1005:$BO$1005,1,MATCH(COLUMNS($AN$1006:BN1006),$AN$1006:$BO$1006,0))&gt;=100000), " ",IF(INDEX($AN$2:$BO$1001,MATCH(ROWS($AG$2:AG528),$AG$2:$AG$1001,0),MATCH(COLUMNS($AN$1006:BN1006),$AN$1006:$BO$1006,0)), HYPERLINK("#",""), HYPERLINK(CONCATENATE("#Metadata!", ADDRESS(INDEX($AI$2:$AI$1001,MATCH(ROWS($AG$2:AG528),$AG$2:$AG$1001,0),0), INDEX($AN$1004:$BO$1004,1,MATCH(COLUMNS($AN$1006:BN1006),$AN$1006:$BO$1006,0)))),"Fix")))</f>
        <v>0</v>
      </c>
      <c r="AC528" s="4">
        <f>IF(OR(INDEX($AH$2:$AH$1001,MATCH(ROWS($AG$2:AG528),$AG$2:$AG$1001,0),1)&gt;=100000,INDEX($AN$1005:$BO$1005,1,MATCH(COLUMNS($AN$1006:BO1006),$AN$1006:$BO$1006,0))&gt;=100000), " ",IF(INDEX($AN$2:$BO$1001,MATCH(ROWS($AG$2:AG528),$AG$2:$AG$1001,0),MATCH(COLUMNS($AN$1006:BO1006),$AN$1006:$BO$1006,0)), HYPERLINK("#",""), HYPERLINK(CONCATENATE("#Metadata!", ADDRESS(INDEX($AI$2:$AI$1001,MATCH(ROWS($AG$2:AG528),$AG$2:$AG$1001,0),0), INDEX($AN$1004:$BO$1004,1,MATCH(COLUMNS($AN$1006:BO1006),$AN$1006:$BO$1006,0)))),"Fix")))</f>
        <v>0</v>
      </c>
      <c r="AG528">
        <v>0</v>
      </c>
      <c r="AH528">
        <v>0</v>
      </c>
      <c r="AI528">
        <v>0</v>
      </c>
      <c r="AJ528">
        <f>IF(AK528,TRUE,AND(AN528:BO528))</f>
        <v>0</v>
      </c>
      <c r="AK528">
        <f>COUNTBLANK(Metadata!B528:AC528)=COLUMNS(Metadata!B528:AC528)</f>
        <v>0</v>
      </c>
      <c r="AL528">
        <v>0</v>
      </c>
      <c r="AN528">
        <f>AND(IF(Metadata!B528="",FALSE,TRUE),COUNTIF(Metadata!B:B, Metadata!B528) = 1,NOT(ISERROR(SUMPRODUCT(SEARCH(MID(Metadata!B528,ROW(INDIRECT("1:"&amp;LEN(Metadata!B528))), 1),"0123456789abcdefghijklmnopqrstuvwxyzABCDEFGHIJKLMNOPQRSTUVWXYZ.")))))</f>
        <v>0</v>
      </c>
      <c r="AO528">
        <f>IF(Metadata!C528="",FALSE,TRUE)</f>
        <v>0</v>
      </c>
      <c r="AP528">
        <f>IF(Metadata!D528="",FALSE,TRUE)</f>
        <v>0</v>
      </c>
      <c r="AQ528">
        <f>OR(AND(IF(Metadata!E528="",FALSE,TRUE),OR(exact(Metadata!E528,"not collected"),exact(Metadata!E528,"not provided"),exact(Metadata!E528,"restricted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R528">
        <f>IF(Metadata!F528="",FALSE,TRUE)</f>
        <v>0</v>
      </c>
      <c r="AS528">
        <f>OR(AND(IF(Metadata!G528="",FALSE,TRUE),OR(exact(Metadata!G528,"not collected"),exact(Metadata!G528,"not provided"))),AND(IF(Metadata!G528="",FALSE,TRUE),OR(exact(Metadata!G528,"TRUE"),exact(Metadata!G528,"FALSE"))))</f>
        <v>0</v>
      </c>
      <c r="AT528">
        <f>OR(AND(IF(Metadata!H528="",FALSE,TRUE),OR(exact(Metadata!H528,"not collected"),exact(Metadata!H528,"not provided"),exact(Metadata!H528,"restricted access"))),AND(IF(Metadata!H528="",FALSE,ISNUMBER(VALUE(Metadata!H528))),Metadata!H528&gt;=-413.0))</f>
        <v>0</v>
      </c>
      <c r="AU528">
        <f>AND(IF(Metadata!I528="",FALSE,TRUE),exact(Metadata!I528,"meters"))</f>
        <v>0</v>
      </c>
      <c r="AV528">
        <f>AND(IF(Metadata!J528="",FALSE,TRUE),OR(exact(Metadata!J528,"Host-associated"),exact(Metadata!J528,"Free-living")))</f>
        <v>0</v>
      </c>
      <c r="AW528">
        <f>AND(IF(Metadata!K528="",FALSE,TRUE),OR(exact(Metadata!K528,"Animal"),exact(Metadata!K528,"Fungus"),exact(Metadata!K528,"Plant"),exact(Metadata!K528,"Saline"),exact(Metadata!K528,"Non-saline")))</f>
        <v>0</v>
      </c>
      <c r="AX528">
        <f>AND(IF(Metadata!L528="",FALSE,TRUE),OR(exact(Metadata!L528,"Plant secretion"),exact(Metadata!L528,"Plant rhizosphere"),exact(Metadata!L528,"Plant surface"),exact(Metadata!L528,"Plant corpus"),exact(Metadata!L528,"Fungus surface"),exact(Metadata!L528,"Fungus corpus"),exact(Metadata!L528,"Animal surface"),exact(Metadata!L528,"Animal proximal gut"),exact(Metadata!L528,"Animal corpus"),exact(Metadata!L528,"Animal distal gut"),exact(Metadata!L528,"Animal secretion"),exact(Metadata!L528,"Sub-surface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Y528">
        <f>IF(Metadata!M528="",FALSE,TRUE)</f>
        <v>0</v>
      </c>
      <c r="AZ528">
        <f>IF(Metadata!N528="",FALSE,TRUE)</f>
        <v>0</v>
      </c>
      <c r="BA528">
        <f>IF(Metadata!O528="",FALSE,TRUE)</f>
        <v>0</v>
      </c>
      <c r="BB528">
        <f>OR(AND(IF(Metadata!P528="",FALSE,TRUE),OR(exact(Metadata!P528,"not collected"),exact(Metadata!P528,"not provided"),exact(Metadata!P528,"restricted access"))),AND(IF(Metadata!P528="",FALSE,TRUE),OR(exact(Metadata!P528,"air"),exact(Metadata!P528,"built environment"),exact(Metadata!P528,"host-associated"),exact(Metadata!P528,"human-associated"),exact(Metadata!P528,"human-skin"),exact(Metadata!P528,"human-oral"),exact(Metadata!P528,"human-gut"),exact(Metadata!P528,"human-vaginal"),exact(Metadata!P528,"microbial mat/biofilm"),exact(Metadata!P528,"misc environment"),exact(Metadata!P528,"plant-associated"),exact(Metadata!P528,"sediment"),exact(Metadata!P528,"soil"),exact(Metadata!P528,"wastewater/sludge"),exact(Metadata!P528,"water"))))</f>
        <v>0</v>
      </c>
      <c r="BC528">
        <f>IF(Metadata!Q528="",FALSE,TRUE)</f>
        <v>0</v>
      </c>
      <c r="BD528">
        <f>IF(Metadata!R528="",FALSE,TRUE)</f>
        <v>0</v>
      </c>
      <c r="BE528">
        <f>OR(AND(IF(Metadata!S528="",FALSE,TRUE),OR(exact(Metadata!S528,"not collected"),exact(Metadata!S528,"not provided"),exact(Metadata!S528,"restricted access"))),AND(IF(Metadata!S528="",FALSE,ISNUMBER(VALUE(Metadata!S528))),Metadata!S528&gt;=-90.00,Metadata!S528&lt;=90.00))</f>
        <v>0</v>
      </c>
      <c r="BF528">
        <f>AND(IF(Metadata!T528="",FALSE,TRUE),exact(Metadata!T528,"Decimal degrees"))</f>
        <v>0</v>
      </c>
      <c r="BG528">
        <f>OR(AND(IF(Metadata!U528="",FALSE,TRUE),OR(exact(Metadata!U528,"not collected"),exact(Metadata!U528,"not provided"),exact(Metadata!U528,"restricted access"))),AND(IF(Metadata!U528="",FALSE,ISNUMBER(VALUE(Metadata!U528))),Metadata!U528&gt;=-180.00,Metadata!U528&lt;=180.00))</f>
        <v>0</v>
      </c>
      <c r="BH528">
        <f>AND(IF(Metadata!V528="",FALSE,TRUE),exact(Metadata!V528,"Decimal degrees"))</f>
        <v>0</v>
      </c>
      <c r="BI528">
        <f>IF(Metadata!W528="",FALSE,TRUE)</f>
        <v>0</v>
      </c>
      <c r="BJ528">
        <f>OR(AND(IF(Metadata!X528="",FALSE,TRUE),OR(exact(Metadata!X528,"not collected"),exact(Metadata!X528,"not provided"),exact(Metadata!X528,"restricted access"))),AND(IF(Metadata!X528="",FALSE,TRUE),OR(exact(Metadata!X528,"TRUE"),exact(Metadata!X528,"FALSE"))))</f>
        <v>0</v>
      </c>
      <c r="BK528">
        <f>AND(IF(Metadata!Y528="",FALSE,TRUE),exact(Metadata!Y528,"other"))</f>
        <v>0</v>
      </c>
      <c r="BL528">
        <f>IF(Metadata!Z528="",FALSE,TRUE)</f>
        <v>0</v>
      </c>
      <c r="BM528">
        <f>OR(AND(IF(Metadata!AA528="",FALSE,TRUE),OR(exact(Metadata!AA528,"not collected"),exact(Metadata!AA528,"not provided"))),AND(IF(Metadata!AA528="",FALSE,IF(ISERROR(INT(Metadata!AA528)),FALSE,INT(Metadata!AA528)=Metadata!AA528)),Metadata!AA528&gt;0))</f>
        <v>0</v>
      </c>
      <c r="BN528">
        <f>AND(IF(Metadata!AB528="",FALSE,TRUE),exact(Metadata!AB528,"Not applicable"))</f>
        <v>0</v>
      </c>
      <c r="BO528">
        <f>IF(Metadata!AC528="",FALSE,TRUE)</f>
        <v>0</v>
      </c>
    </row>
    <row r="529" spans="1:67">
      <c r="A529" s="5">
        <f>IF(B529=" "," ",HYPERLINK(CONCATENATE("#metadata!",ADDRESS(INDEX($AI$2:$AI$1001,MATCH(ROWS($AG$2:AG529),$AG$2:$AG$1001,0),0),1)),INDEX($AL$2:$AL$1001,MATCH(ROWS($AG$2:AG529),$AG$2:$AG$1001,0),0)))</f>
        <v>0</v>
      </c>
      <c r="B529" s="4">
        <f>IF(OR(INDEX($AH$2:$AH$1001,MATCH(ROWS($AG$2:AG529),$AG$2:$AG$1001,0),1)&gt;=100000,INDEX($AN$1005:$BO$1005,1,MATCH(COLUMNS($AN$1006:AN1006),$AN$1006:$BO$1006,0))&gt;=100000), " ",IF(INDEX($AN$2:$BO$1001,MATCH(ROWS($AG$2:AG529),$AG$2:$AG$1001,0),MATCH(COLUMNS($AN$1006:AN1006),$AN$1006:$BO$1006,0)), HYPERLINK("#",""), HYPERLINK(CONCATENATE("#Metadata!", ADDRESS(INDEX($AI$2:$AI$1001,MATCH(ROWS($AG$2:AG529),$AG$2:$AG$1001,0),0), INDEX($AN$1004:$BO$1004,1,MATCH(COLUMNS($AN$1006:AN1006),$AN$1006:$BO$1006,0)))),"Fix")))</f>
        <v>0</v>
      </c>
      <c r="C529" s="4">
        <f>IF(OR(INDEX($AH$2:$AH$1001,MATCH(ROWS($AG$2:AG529),$AG$2:$AG$1001,0),1)&gt;=100000,INDEX($AN$1005:$BO$1005,1,MATCH(COLUMNS($AN$1006:AO1006),$AN$1006:$BO$1006,0))&gt;=100000), " ",IF(INDEX($AN$2:$BO$1001,MATCH(ROWS($AG$2:AG529),$AG$2:$AG$1001,0),MATCH(COLUMNS($AN$1006:AO1006),$AN$1006:$BO$1006,0)), HYPERLINK("#",""), HYPERLINK(CONCATENATE("#Metadata!", ADDRESS(INDEX($AI$2:$AI$1001,MATCH(ROWS($AG$2:AG529),$AG$2:$AG$1001,0),0), INDEX($AN$1004:$BO$1004,1,MATCH(COLUMNS($AN$1006:AO1006),$AN$1006:$BO$1006,0)))),"Fix")))</f>
        <v>0</v>
      </c>
      <c r="D529" s="4">
        <f>IF(OR(INDEX($AH$2:$AH$1001,MATCH(ROWS($AG$2:AG529),$AG$2:$AG$1001,0),1)&gt;=100000,INDEX($AN$1005:$BO$1005,1,MATCH(COLUMNS($AN$1006:AP1006),$AN$1006:$BO$1006,0))&gt;=100000), " ",IF(INDEX($AN$2:$BO$1001,MATCH(ROWS($AG$2:AG529),$AG$2:$AG$1001,0),MATCH(COLUMNS($AN$1006:AP1006),$AN$1006:$BO$1006,0)), HYPERLINK("#",""), HYPERLINK(CONCATENATE("#Metadata!", ADDRESS(INDEX($AI$2:$AI$1001,MATCH(ROWS($AG$2:AG529),$AG$2:$AG$1001,0),0), INDEX($AN$1004:$BO$1004,1,MATCH(COLUMNS($AN$1006:AP1006),$AN$1006:$BO$1006,0)))),"Fix")))</f>
        <v>0</v>
      </c>
      <c r="E529" s="4">
        <f>IF(OR(INDEX($AH$2:$AH$1001,MATCH(ROWS($AG$2:AG529),$AG$2:$AG$1001,0),1)&gt;=100000,INDEX($AN$1005:$BO$1005,1,MATCH(COLUMNS($AN$1006:AQ1006),$AN$1006:$BO$1006,0))&gt;=100000), " ",IF(INDEX($AN$2:$BO$1001,MATCH(ROWS($AG$2:AG529),$AG$2:$AG$1001,0),MATCH(COLUMNS($AN$1006:AQ1006),$AN$1006:$BO$1006,0)), HYPERLINK("#",""), HYPERLINK(CONCATENATE("#Metadata!", ADDRESS(INDEX($AI$2:$AI$1001,MATCH(ROWS($AG$2:AG529),$AG$2:$AG$1001,0),0), INDEX($AN$1004:$BO$1004,1,MATCH(COLUMNS($AN$1006:AQ1006),$AN$1006:$BO$1006,0)))),"Fix")))</f>
        <v>0</v>
      </c>
      <c r="F529" s="4">
        <f>IF(OR(INDEX($AH$2:$AH$1001,MATCH(ROWS($AG$2:AG529),$AG$2:$AG$1001,0),1)&gt;=100000,INDEX($AN$1005:$BO$1005,1,MATCH(COLUMNS($AN$1006:AR1006),$AN$1006:$BO$1006,0))&gt;=100000), " ",IF(INDEX($AN$2:$BO$1001,MATCH(ROWS($AG$2:AG529),$AG$2:$AG$1001,0),MATCH(COLUMNS($AN$1006:AR1006),$AN$1006:$BO$1006,0)), HYPERLINK("#",""), HYPERLINK(CONCATENATE("#Metadata!", ADDRESS(INDEX($AI$2:$AI$1001,MATCH(ROWS($AG$2:AG529),$AG$2:$AG$1001,0),0), INDEX($AN$1004:$BO$1004,1,MATCH(COLUMNS($AN$1006:AR1006),$AN$1006:$BO$1006,0)))),"Fix")))</f>
        <v>0</v>
      </c>
      <c r="G529" s="4">
        <f>IF(OR(INDEX($AH$2:$AH$1001,MATCH(ROWS($AG$2:AG529),$AG$2:$AG$1001,0),1)&gt;=100000,INDEX($AN$1005:$BO$1005,1,MATCH(COLUMNS($AN$1006:AS1006),$AN$1006:$BO$1006,0))&gt;=100000), " ",IF(INDEX($AN$2:$BO$1001,MATCH(ROWS($AG$2:AG529),$AG$2:$AG$1001,0),MATCH(COLUMNS($AN$1006:AS1006),$AN$1006:$BO$1006,0)), HYPERLINK("#",""), HYPERLINK(CONCATENATE("#Metadata!", ADDRESS(INDEX($AI$2:$AI$1001,MATCH(ROWS($AG$2:AG529),$AG$2:$AG$1001,0),0), INDEX($AN$1004:$BO$1004,1,MATCH(COLUMNS($AN$1006:AS1006),$AN$1006:$BO$1006,0)))),"Fix")))</f>
        <v>0</v>
      </c>
      <c r="H529" s="4">
        <f>IF(OR(INDEX($AH$2:$AH$1001,MATCH(ROWS($AG$2:AG529),$AG$2:$AG$1001,0),1)&gt;=100000,INDEX($AN$1005:$BO$1005,1,MATCH(COLUMNS($AN$1006:AT1006),$AN$1006:$BO$1006,0))&gt;=100000), " ",IF(INDEX($AN$2:$BO$1001,MATCH(ROWS($AG$2:AG529),$AG$2:$AG$1001,0),MATCH(COLUMNS($AN$1006:AT1006),$AN$1006:$BO$1006,0)), HYPERLINK("#",""), HYPERLINK(CONCATENATE("#Metadata!", ADDRESS(INDEX($AI$2:$AI$1001,MATCH(ROWS($AG$2:AG529),$AG$2:$AG$1001,0),0), INDEX($AN$1004:$BO$1004,1,MATCH(COLUMNS($AN$1006:AT1006),$AN$1006:$BO$1006,0)))),"Fix")))</f>
        <v>0</v>
      </c>
      <c r="I529" s="4">
        <f>IF(OR(INDEX($AH$2:$AH$1001,MATCH(ROWS($AG$2:AG529),$AG$2:$AG$1001,0),1)&gt;=100000,INDEX($AN$1005:$BO$1005,1,MATCH(COLUMNS($AN$1006:AU1006),$AN$1006:$BO$1006,0))&gt;=100000), " ",IF(INDEX($AN$2:$BO$1001,MATCH(ROWS($AG$2:AG529),$AG$2:$AG$1001,0),MATCH(COLUMNS($AN$1006:AU1006),$AN$1006:$BO$1006,0)), HYPERLINK("#",""), HYPERLINK(CONCATENATE("#Metadata!", ADDRESS(INDEX($AI$2:$AI$1001,MATCH(ROWS($AG$2:AG529),$AG$2:$AG$1001,0),0), INDEX($AN$1004:$BO$1004,1,MATCH(COLUMNS($AN$1006:AU1006),$AN$1006:$BO$1006,0)))),"Fix")))</f>
        <v>0</v>
      </c>
      <c r="J529" s="4">
        <f>IF(OR(INDEX($AH$2:$AH$1001,MATCH(ROWS($AG$2:AG529),$AG$2:$AG$1001,0),1)&gt;=100000,INDEX($AN$1005:$BO$1005,1,MATCH(COLUMNS($AN$1006:AV1006),$AN$1006:$BO$1006,0))&gt;=100000), " ",IF(INDEX($AN$2:$BO$1001,MATCH(ROWS($AG$2:AG529),$AG$2:$AG$1001,0),MATCH(COLUMNS($AN$1006:AV1006),$AN$1006:$BO$1006,0)), HYPERLINK("#",""), HYPERLINK(CONCATENATE("#Metadata!", ADDRESS(INDEX($AI$2:$AI$1001,MATCH(ROWS($AG$2:AG529),$AG$2:$AG$1001,0),0), INDEX($AN$1004:$BO$1004,1,MATCH(COLUMNS($AN$1006:AV1006),$AN$1006:$BO$1006,0)))),"Fix")))</f>
        <v>0</v>
      </c>
      <c r="K529" s="4">
        <f>IF(OR(INDEX($AH$2:$AH$1001,MATCH(ROWS($AG$2:AG529),$AG$2:$AG$1001,0),1)&gt;=100000,INDEX($AN$1005:$BO$1005,1,MATCH(COLUMNS($AN$1006:AW1006),$AN$1006:$BO$1006,0))&gt;=100000), " ",IF(INDEX($AN$2:$BO$1001,MATCH(ROWS($AG$2:AG529),$AG$2:$AG$1001,0),MATCH(COLUMNS($AN$1006:AW1006),$AN$1006:$BO$1006,0)), HYPERLINK("#",""), HYPERLINK(CONCATENATE("#Metadata!", ADDRESS(INDEX($AI$2:$AI$1001,MATCH(ROWS($AG$2:AG529),$AG$2:$AG$1001,0),0), INDEX($AN$1004:$BO$1004,1,MATCH(COLUMNS($AN$1006:AW1006),$AN$1006:$BO$1006,0)))),"Fix")))</f>
        <v>0</v>
      </c>
      <c r="L529" s="4">
        <f>IF(OR(INDEX($AH$2:$AH$1001,MATCH(ROWS($AG$2:AG529),$AG$2:$AG$1001,0),1)&gt;=100000,INDEX($AN$1005:$BO$1005,1,MATCH(COLUMNS($AN$1006:AX1006),$AN$1006:$BO$1006,0))&gt;=100000), " ",IF(INDEX($AN$2:$BO$1001,MATCH(ROWS($AG$2:AG529),$AG$2:$AG$1001,0),MATCH(COLUMNS($AN$1006:AX1006),$AN$1006:$BO$1006,0)), HYPERLINK("#",""), HYPERLINK(CONCATENATE("#Metadata!", ADDRESS(INDEX($AI$2:$AI$1001,MATCH(ROWS($AG$2:AG529),$AG$2:$AG$1001,0),0), INDEX($AN$1004:$BO$1004,1,MATCH(COLUMNS($AN$1006:AX1006),$AN$1006:$BO$1006,0)))),"Fix")))</f>
        <v>0</v>
      </c>
      <c r="M529" s="4">
        <f>IF(OR(INDEX($AH$2:$AH$1001,MATCH(ROWS($AG$2:AG529),$AG$2:$AG$1001,0),1)&gt;=100000,INDEX($AN$1005:$BO$1005,1,MATCH(COLUMNS($AN$1006:AY1006),$AN$1006:$BO$1006,0))&gt;=100000), " ",IF(INDEX($AN$2:$BO$1001,MATCH(ROWS($AG$2:AG529),$AG$2:$AG$1001,0),MATCH(COLUMNS($AN$1006:AY1006),$AN$1006:$BO$1006,0)), HYPERLINK("#",""), HYPERLINK(CONCATENATE("#Metadata!", ADDRESS(INDEX($AI$2:$AI$1001,MATCH(ROWS($AG$2:AG529),$AG$2:$AG$1001,0),0), INDEX($AN$1004:$BO$1004,1,MATCH(COLUMNS($AN$1006:AY1006),$AN$1006:$BO$1006,0)))),"Fix")))</f>
        <v>0</v>
      </c>
      <c r="N529" s="4">
        <f>IF(OR(INDEX($AH$2:$AH$1001,MATCH(ROWS($AG$2:AG529),$AG$2:$AG$1001,0),1)&gt;=100000,INDEX($AN$1005:$BO$1005,1,MATCH(COLUMNS($AN$1006:AZ1006),$AN$1006:$BO$1006,0))&gt;=100000), " ",IF(INDEX($AN$2:$BO$1001,MATCH(ROWS($AG$2:AG529),$AG$2:$AG$1001,0),MATCH(COLUMNS($AN$1006:AZ1006),$AN$1006:$BO$1006,0)), HYPERLINK("#",""), HYPERLINK(CONCATENATE("#Metadata!", ADDRESS(INDEX($AI$2:$AI$1001,MATCH(ROWS($AG$2:AG529),$AG$2:$AG$1001,0),0), INDEX($AN$1004:$BO$1004,1,MATCH(COLUMNS($AN$1006:AZ1006),$AN$1006:$BO$1006,0)))),"Fix")))</f>
        <v>0</v>
      </c>
      <c r="O529" s="4">
        <f>IF(OR(INDEX($AH$2:$AH$1001,MATCH(ROWS($AG$2:AG529),$AG$2:$AG$1001,0),1)&gt;=100000,INDEX($AN$1005:$BO$1005,1,MATCH(COLUMNS($AN$1006:BA1006),$AN$1006:$BO$1006,0))&gt;=100000), " ",IF(INDEX($AN$2:$BO$1001,MATCH(ROWS($AG$2:AG529),$AG$2:$AG$1001,0),MATCH(COLUMNS($AN$1006:BA1006),$AN$1006:$BO$1006,0)), HYPERLINK("#",""), HYPERLINK(CONCATENATE("#Metadata!", ADDRESS(INDEX($AI$2:$AI$1001,MATCH(ROWS($AG$2:AG529),$AG$2:$AG$1001,0),0), INDEX($AN$1004:$BO$1004,1,MATCH(COLUMNS($AN$1006:BA1006),$AN$1006:$BO$1006,0)))),"Fix")))</f>
        <v>0</v>
      </c>
      <c r="P529" s="4">
        <f>IF(OR(INDEX($AH$2:$AH$1001,MATCH(ROWS($AG$2:AG529),$AG$2:$AG$1001,0),1)&gt;=100000,INDEX($AN$1005:$BO$1005,1,MATCH(COLUMNS($AN$1006:BB1006),$AN$1006:$BO$1006,0))&gt;=100000), " ",IF(INDEX($AN$2:$BO$1001,MATCH(ROWS($AG$2:AG529),$AG$2:$AG$1001,0),MATCH(COLUMNS($AN$1006:BB1006),$AN$1006:$BO$1006,0)), HYPERLINK("#",""), HYPERLINK(CONCATENATE("#Metadata!", ADDRESS(INDEX($AI$2:$AI$1001,MATCH(ROWS($AG$2:AG529),$AG$2:$AG$1001,0),0), INDEX($AN$1004:$BO$1004,1,MATCH(COLUMNS($AN$1006:BB1006),$AN$1006:$BO$1006,0)))),"Fix")))</f>
        <v>0</v>
      </c>
      <c r="Q529" s="4">
        <f>IF(OR(INDEX($AH$2:$AH$1001,MATCH(ROWS($AG$2:AG529),$AG$2:$AG$1001,0),1)&gt;=100000,INDEX($AN$1005:$BO$1005,1,MATCH(COLUMNS($AN$1006:BC1006),$AN$1006:$BO$1006,0))&gt;=100000), " ",IF(INDEX($AN$2:$BO$1001,MATCH(ROWS($AG$2:AG529),$AG$2:$AG$1001,0),MATCH(COLUMNS($AN$1006:BC1006),$AN$1006:$BO$1006,0)), HYPERLINK("#",""), HYPERLINK(CONCATENATE("#Metadata!", ADDRESS(INDEX($AI$2:$AI$1001,MATCH(ROWS($AG$2:AG529),$AG$2:$AG$1001,0),0), INDEX($AN$1004:$BO$1004,1,MATCH(COLUMNS($AN$1006:BC1006),$AN$1006:$BO$1006,0)))),"Fix")))</f>
        <v>0</v>
      </c>
      <c r="R529" s="4">
        <f>IF(OR(INDEX($AH$2:$AH$1001,MATCH(ROWS($AG$2:AG529),$AG$2:$AG$1001,0),1)&gt;=100000,INDEX($AN$1005:$BO$1005,1,MATCH(COLUMNS($AN$1006:BD1006),$AN$1006:$BO$1006,0))&gt;=100000), " ",IF(INDEX($AN$2:$BO$1001,MATCH(ROWS($AG$2:AG529),$AG$2:$AG$1001,0),MATCH(COLUMNS($AN$1006:BD1006),$AN$1006:$BO$1006,0)), HYPERLINK("#",""), HYPERLINK(CONCATENATE("#Metadata!", ADDRESS(INDEX($AI$2:$AI$1001,MATCH(ROWS($AG$2:AG529),$AG$2:$AG$1001,0),0), INDEX($AN$1004:$BO$1004,1,MATCH(COLUMNS($AN$1006:BD1006),$AN$1006:$BO$1006,0)))),"Fix")))</f>
        <v>0</v>
      </c>
      <c r="S529" s="4">
        <f>IF(OR(INDEX($AH$2:$AH$1001,MATCH(ROWS($AG$2:AG529),$AG$2:$AG$1001,0),1)&gt;=100000,INDEX($AN$1005:$BO$1005,1,MATCH(COLUMNS($AN$1006:BE1006),$AN$1006:$BO$1006,0))&gt;=100000), " ",IF(INDEX($AN$2:$BO$1001,MATCH(ROWS($AG$2:AG529),$AG$2:$AG$1001,0),MATCH(COLUMNS($AN$1006:BE1006),$AN$1006:$BO$1006,0)), HYPERLINK("#",""), HYPERLINK(CONCATENATE("#Metadata!", ADDRESS(INDEX($AI$2:$AI$1001,MATCH(ROWS($AG$2:AG529),$AG$2:$AG$1001,0),0), INDEX($AN$1004:$BO$1004,1,MATCH(COLUMNS($AN$1006:BE1006),$AN$1006:$BO$1006,0)))),"Fix")))</f>
        <v>0</v>
      </c>
      <c r="T529" s="4">
        <f>IF(OR(INDEX($AH$2:$AH$1001,MATCH(ROWS($AG$2:AG529),$AG$2:$AG$1001,0),1)&gt;=100000,INDEX($AN$1005:$BO$1005,1,MATCH(COLUMNS($AN$1006:BF1006),$AN$1006:$BO$1006,0))&gt;=100000), " ",IF(INDEX($AN$2:$BO$1001,MATCH(ROWS($AG$2:AG529),$AG$2:$AG$1001,0),MATCH(COLUMNS($AN$1006:BF1006),$AN$1006:$BO$1006,0)), HYPERLINK("#",""), HYPERLINK(CONCATENATE("#Metadata!", ADDRESS(INDEX($AI$2:$AI$1001,MATCH(ROWS($AG$2:AG529),$AG$2:$AG$1001,0),0), INDEX($AN$1004:$BO$1004,1,MATCH(COLUMNS($AN$1006:BF1006),$AN$1006:$BO$1006,0)))),"Fix")))</f>
        <v>0</v>
      </c>
      <c r="U529" s="4">
        <f>IF(OR(INDEX($AH$2:$AH$1001,MATCH(ROWS($AG$2:AG529),$AG$2:$AG$1001,0),1)&gt;=100000,INDEX($AN$1005:$BO$1005,1,MATCH(COLUMNS($AN$1006:BG1006),$AN$1006:$BO$1006,0))&gt;=100000), " ",IF(INDEX($AN$2:$BO$1001,MATCH(ROWS($AG$2:AG529),$AG$2:$AG$1001,0),MATCH(COLUMNS($AN$1006:BG1006),$AN$1006:$BO$1006,0)), HYPERLINK("#",""), HYPERLINK(CONCATENATE("#Metadata!", ADDRESS(INDEX($AI$2:$AI$1001,MATCH(ROWS($AG$2:AG529),$AG$2:$AG$1001,0),0), INDEX($AN$1004:$BO$1004,1,MATCH(COLUMNS($AN$1006:BG1006),$AN$1006:$BO$1006,0)))),"Fix")))</f>
        <v>0</v>
      </c>
      <c r="V529" s="4">
        <f>IF(OR(INDEX($AH$2:$AH$1001,MATCH(ROWS($AG$2:AG529),$AG$2:$AG$1001,0),1)&gt;=100000,INDEX($AN$1005:$BO$1005,1,MATCH(COLUMNS($AN$1006:BH1006),$AN$1006:$BO$1006,0))&gt;=100000), " ",IF(INDEX($AN$2:$BO$1001,MATCH(ROWS($AG$2:AG529),$AG$2:$AG$1001,0),MATCH(COLUMNS($AN$1006:BH1006),$AN$1006:$BO$1006,0)), HYPERLINK("#",""), HYPERLINK(CONCATENATE("#Metadata!", ADDRESS(INDEX($AI$2:$AI$1001,MATCH(ROWS($AG$2:AG529),$AG$2:$AG$1001,0),0), INDEX($AN$1004:$BO$1004,1,MATCH(COLUMNS($AN$1006:BH1006),$AN$1006:$BO$1006,0)))),"Fix")))</f>
        <v>0</v>
      </c>
      <c r="W529" s="4">
        <f>IF(OR(INDEX($AH$2:$AH$1001,MATCH(ROWS($AG$2:AG529),$AG$2:$AG$1001,0),1)&gt;=100000,INDEX($AN$1005:$BO$1005,1,MATCH(COLUMNS($AN$1006:BI1006),$AN$1006:$BO$1006,0))&gt;=100000), " ",IF(INDEX($AN$2:$BO$1001,MATCH(ROWS($AG$2:AG529),$AG$2:$AG$1001,0),MATCH(COLUMNS($AN$1006:BI1006),$AN$1006:$BO$1006,0)), HYPERLINK("#",""), HYPERLINK(CONCATENATE("#Metadata!", ADDRESS(INDEX($AI$2:$AI$1001,MATCH(ROWS($AG$2:AG529),$AG$2:$AG$1001,0),0), INDEX($AN$1004:$BO$1004,1,MATCH(COLUMNS($AN$1006:BI1006),$AN$1006:$BO$1006,0)))),"Fix")))</f>
        <v>0</v>
      </c>
      <c r="X529" s="4">
        <f>IF(OR(INDEX($AH$2:$AH$1001,MATCH(ROWS($AG$2:AG529),$AG$2:$AG$1001,0),1)&gt;=100000,INDEX($AN$1005:$BO$1005,1,MATCH(COLUMNS($AN$1006:BJ1006),$AN$1006:$BO$1006,0))&gt;=100000), " ",IF(INDEX($AN$2:$BO$1001,MATCH(ROWS($AG$2:AG529),$AG$2:$AG$1001,0),MATCH(COLUMNS($AN$1006:BJ1006),$AN$1006:$BO$1006,0)), HYPERLINK("#",""), HYPERLINK(CONCATENATE("#Metadata!", ADDRESS(INDEX($AI$2:$AI$1001,MATCH(ROWS($AG$2:AG529),$AG$2:$AG$1001,0),0), INDEX($AN$1004:$BO$1004,1,MATCH(COLUMNS($AN$1006:BJ1006),$AN$1006:$BO$1006,0)))),"Fix")))</f>
        <v>0</v>
      </c>
      <c r="Y529" s="4">
        <f>IF(OR(INDEX($AH$2:$AH$1001,MATCH(ROWS($AG$2:AG529),$AG$2:$AG$1001,0),1)&gt;=100000,INDEX($AN$1005:$BO$1005,1,MATCH(COLUMNS($AN$1006:BK1006),$AN$1006:$BO$1006,0))&gt;=100000), " ",IF(INDEX($AN$2:$BO$1001,MATCH(ROWS($AG$2:AG529),$AG$2:$AG$1001,0),MATCH(COLUMNS($AN$1006:BK1006),$AN$1006:$BO$1006,0)), HYPERLINK("#",""), HYPERLINK(CONCATENATE("#Metadata!", ADDRESS(INDEX($AI$2:$AI$1001,MATCH(ROWS($AG$2:AG529),$AG$2:$AG$1001,0),0), INDEX($AN$1004:$BO$1004,1,MATCH(COLUMNS($AN$1006:BK1006),$AN$1006:$BO$1006,0)))),"Fix")))</f>
        <v>0</v>
      </c>
      <c r="Z529" s="4">
        <f>IF(OR(INDEX($AH$2:$AH$1001,MATCH(ROWS($AG$2:AG529),$AG$2:$AG$1001,0),1)&gt;=100000,INDEX($AN$1005:$BO$1005,1,MATCH(COLUMNS($AN$1006:BL1006),$AN$1006:$BO$1006,0))&gt;=100000), " ",IF(INDEX($AN$2:$BO$1001,MATCH(ROWS($AG$2:AG529),$AG$2:$AG$1001,0),MATCH(COLUMNS($AN$1006:BL1006),$AN$1006:$BO$1006,0)), HYPERLINK("#",""), HYPERLINK(CONCATENATE("#Metadata!", ADDRESS(INDEX($AI$2:$AI$1001,MATCH(ROWS($AG$2:AG529),$AG$2:$AG$1001,0),0), INDEX($AN$1004:$BO$1004,1,MATCH(COLUMNS($AN$1006:BL1006),$AN$1006:$BO$1006,0)))),"Fix")))</f>
        <v>0</v>
      </c>
      <c r="AA529" s="4">
        <f>IF(OR(INDEX($AH$2:$AH$1001,MATCH(ROWS($AG$2:AG529),$AG$2:$AG$1001,0),1)&gt;=100000,INDEX($AN$1005:$BO$1005,1,MATCH(COLUMNS($AN$1006:BM1006),$AN$1006:$BO$1006,0))&gt;=100000), " ",IF(INDEX($AN$2:$BO$1001,MATCH(ROWS($AG$2:AG529),$AG$2:$AG$1001,0),MATCH(COLUMNS($AN$1006:BM1006),$AN$1006:$BO$1006,0)), HYPERLINK("#",""), HYPERLINK(CONCATENATE("#Metadata!", ADDRESS(INDEX($AI$2:$AI$1001,MATCH(ROWS($AG$2:AG529),$AG$2:$AG$1001,0),0), INDEX($AN$1004:$BO$1004,1,MATCH(COLUMNS($AN$1006:BM1006),$AN$1006:$BO$1006,0)))),"Fix")))</f>
        <v>0</v>
      </c>
      <c r="AB529" s="4">
        <f>IF(OR(INDEX($AH$2:$AH$1001,MATCH(ROWS($AG$2:AG529),$AG$2:$AG$1001,0),1)&gt;=100000,INDEX($AN$1005:$BO$1005,1,MATCH(COLUMNS($AN$1006:BN1006),$AN$1006:$BO$1006,0))&gt;=100000), " ",IF(INDEX($AN$2:$BO$1001,MATCH(ROWS($AG$2:AG529),$AG$2:$AG$1001,0),MATCH(COLUMNS($AN$1006:BN1006),$AN$1006:$BO$1006,0)), HYPERLINK("#",""), HYPERLINK(CONCATENATE("#Metadata!", ADDRESS(INDEX($AI$2:$AI$1001,MATCH(ROWS($AG$2:AG529),$AG$2:$AG$1001,0),0), INDEX($AN$1004:$BO$1004,1,MATCH(COLUMNS($AN$1006:BN1006),$AN$1006:$BO$1006,0)))),"Fix")))</f>
        <v>0</v>
      </c>
      <c r="AC529" s="4">
        <f>IF(OR(INDEX($AH$2:$AH$1001,MATCH(ROWS($AG$2:AG529),$AG$2:$AG$1001,0),1)&gt;=100000,INDEX($AN$1005:$BO$1005,1,MATCH(COLUMNS($AN$1006:BO1006),$AN$1006:$BO$1006,0))&gt;=100000), " ",IF(INDEX($AN$2:$BO$1001,MATCH(ROWS($AG$2:AG529),$AG$2:$AG$1001,0),MATCH(COLUMNS($AN$1006:BO1006),$AN$1006:$BO$1006,0)), HYPERLINK("#",""), HYPERLINK(CONCATENATE("#Metadata!", ADDRESS(INDEX($AI$2:$AI$1001,MATCH(ROWS($AG$2:AG529),$AG$2:$AG$1001,0),0), INDEX($AN$1004:$BO$1004,1,MATCH(COLUMNS($AN$1006:BO1006),$AN$1006:$BO$1006,0)))),"Fix")))</f>
        <v>0</v>
      </c>
      <c r="AG529">
        <v>0</v>
      </c>
      <c r="AH529">
        <v>0</v>
      </c>
      <c r="AI529">
        <v>0</v>
      </c>
      <c r="AJ529">
        <f>IF(AK529,TRUE,AND(AN529:BO529))</f>
        <v>0</v>
      </c>
      <c r="AK529">
        <f>COUNTBLANK(Metadata!B529:AC529)=COLUMNS(Metadata!B529:AC529)</f>
        <v>0</v>
      </c>
      <c r="AL529">
        <v>0</v>
      </c>
      <c r="AN529">
        <f>AND(IF(Metadata!B529="",FALSE,TRUE),COUNTIF(Metadata!B:B, Metadata!B529) = 1,NOT(ISERROR(SUMPRODUCT(SEARCH(MID(Metadata!B529,ROW(INDIRECT("1:"&amp;LEN(Metadata!B529))), 1),"0123456789abcdefghijklmnopqrstuvwxyzABCDEFGHIJKLMNOPQRSTUVWXYZ.")))))</f>
        <v>0</v>
      </c>
      <c r="AO529">
        <f>IF(Metadata!C529="",FALSE,TRUE)</f>
        <v>0</v>
      </c>
      <c r="AP529">
        <f>IF(Metadata!D529="",FALSE,TRUE)</f>
        <v>0</v>
      </c>
      <c r="AQ529">
        <f>OR(AND(IF(Metadata!E529="",FALSE,TRUE),OR(exact(Metadata!E529,"not collected"),exact(Metadata!E529,"not provided"),exact(Metadata!E529,"restricted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R529">
        <f>IF(Metadata!F529="",FALSE,TRUE)</f>
        <v>0</v>
      </c>
      <c r="AS529">
        <f>OR(AND(IF(Metadata!G529="",FALSE,TRUE),OR(exact(Metadata!G529,"not collected"),exact(Metadata!G529,"not provided"))),AND(IF(Metadata!G529="",FALSE,TRUE),OR(exact(Metadata!G529,"TRUE"),exact(Metadata!G529,"FALSE"))))</f>
        <v>0</v>
      </c>
      <c r="AT529">
        <f>OR(AND(IF(Metadata!H529="",FALSE,TRUE),OR(exact(Metadata!H529,"not collected"),exact(Metadata!H529,"not provided"),exact(Metadata!H529,"restricted access"))),AND(IF(Metadata!H529="",FALSE,ISNUMBER(VALUE(Metadata!H529))),Metadata!H529&gt;=-413.0))</f>
        <v>0</v>
      </c>
      <c r="AU529">
        <f>AND(IF(Metadata!I529="",FALSE,TRUE),exact(Metadata!I529,"meters"))</f>
        <v>0</v>
      </c>
      <c r="AV529">
        <f>AND(IF(Metadata!J529="",FALSE,TRUE),OR(exact(Metadata!J529,"Host-associated"),exact(Metadata!J529,"Free-living")))</f>
        <v>0</v>
      </c>
      <c r="AW529">
        <f>AND(IF(Metadata!K529="",FALSE,TRUE),OR(exact(Metadata!K529,"Animal"),exact(Metadata!K529,"Fungus"),exact(Metadata!K529,"Plant"),exact(Metadata!K529,"Saline"),exact(Metadata!K529,"Non-saline")))</f>
        <v>0</v>
      </c>
      <c r="AX529">
        <f>AND(IF(Metadata!L529="",FALSE,TRUE),OR(exact(Metadata!L529,"Plant secretion"),exact(Metadata!L529,"Plant rhizosphere"),exact(Metadata!L529,"Plant surface"),exact(Metadata!L529,"Plant corpus"),exact(Metadata!L529,"Fungus surface"),exact(Metadata!L529,"Fungus corpus"),exact(Metadata!L529,"Animal surface"),exact(Metadata!L529,"Animal proximal gut"),exact(Metadata!L529,"Animal corpus"),exact(Metadata!L529,"Animal distal gut"),exact(Metadata!L529,"Animal secretion"),exact(Metadata!L529,"Sub-surface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Y529">
        <f>IF(Metadata!M529="",FALSE,TRUE)</f>
        <v>0</v>
      </c>
      <c r="AZ529">
        <f>IF(Metadata!N529="",FALSE,TRUE)</f>
        <v>0</v>
      </c>
      <c r="BA529">
        <f>IF(Metadata!O529="",FALSE,TRUE)</f>
        <v>0</v>
      </c>
      <c r="BB529">
        <f>OR(AND(IF(Metadata!P529="",FALSE,TRUE),OR(exact(Metadata!P529,"not collected"),exact(Metadata!P529,"not provided"),exact(Metadata!P529,"restricted access"))),AND(IF(Metadata!P529="",FALSE,TRUE),OR(exact(Metadata!P529,"air"),exact(Metadata!P529,"built environment"),exact(Metadata!P529,"host-associated"),exact(Metadata!P529,"human-associated"),exact(Metadata!P529,"human-skin"),exact(Metadata!P529,"human-oral"),exact(Metadata!P529,"human-gut"),exact(Metadata!P529,"human-vaginal"),exact(Metadata!P529,"microbial mat/biofilm"),exact(Metadata!P529,"misc environment"),exact(Metadata!P529,"plant-associated"),exact(Metadata!P529,"sediment"),exact(Metadata!P529,"soil"),exact(Metadata!P529,"wastewater/sludge"),exact(Metadata!P529,"water"))))</f>
        <v>0</v>
      </c>
      <c r="BC529">
        <f>IF(Metadata!Q529="",FALSE,TRUE)</f>
        <v>0</v>
      </c>
      <c r="BD529">
        <f>IF(Metadata!R529="",FALSE,TRUE)</f>
        <v>0</v>
      </c>
      <c r="BE529">
        <f>OR(AND(IF(Metadata!S529="",FALSE,TRUE),OR(exact(Metadata!S529,"not collected"),exact(Metadata!S529,"not provided"),exact(Metadata!S529,"restricted access"))),AND(IF(Metadata!S529="",FALSE,ISNUMBER(VALUE(Metadata!S529))),Metadata!S529&gt;=-90.00,Metadata!S529&lt;=90.00))</f>
        <v>0</v>
      </c>
      <c r="BF529">
        <f>AND(IF(Metadata!T529="",FALSE,TRUE),exact(Metadata!T529,"Decimal degrees"))</f>
        <v>0</v>
      </c>
      <c r="BG529">
        <f>OR(AND(IF(Metadata!U529="",FALSE,TRUE),OR(exact(Metadata!U529,"not collected"),exact(Metadata!U529,"not provided"),exact(Metadata!U529,"restricted access"))),AND(IF(Metadata!U529="",FALSE,ISNUMBER(VALUE(Metadata!U529))),Metadata!U529&gt;=-180.00,Metadata!U529&lt;=180.00))</f>
        <v>0</v>
      </c>
      <c r="BH529">
        <f>AND(IF(Metadata!V529="",FALSE,TRUE),exact(Metadata!V529,"Decimal degrees"))</f>
        <v>0</v>
      </c>
      <c r="BI529">
        <f>IF(Metadata!W529="",FALSE,TRUE)</f>
        <v>0</v>
      </c>
      <c r="BJ529">
        <f>OR(AND(IF(Metadata!X529="",FALSE,TRUE),OR(exact(Metadata!X529,"not collected"),exact(Metadata!X529,"not provided"),exact(Metadata!X529,"restricted access"))),AND(IF(Metadata!X529="",FALSE,TRUE),OR(exact(Metadata!X529,"TRUE"),exact(Metadata!X529,"FALSE"))))</f>
        <v>0</v>
      </c>
      <c r="BK529">
        <f>AND(IF(Metadata!Y529="",FALSE,TRUE),exact(Metadata!Y529,"other"))</f>
        <v>0</v>
      </c>
      <c r="BL529">
        <f>IF(Metadata!Z529="",FALSE,TRUE)</f>
        <v>0</v>
      </c>
      <c r="BM529">
        <f>OR(AND(IF(Metadata!AA529="",FALSE,TRUE),OR(exact(Metadata!AA529,"not collected"),exact(Metadata!AA529,"not provided"))),AND(IF(Metadata!AA529="",FALSE,IF(ISERROR(INT(Metadata!AA529)),FALSE,INT(Metadata!AA529)=Metadata!AA529)),Metadata!AA529&gt;0))</f>
        <v>0</v>
      </c>
      <c r="BN529">
        <f>AND(IF(Metadata!AB529="",FALSE,TRUE),exact(Metadata!AB529,"Not applicable"))</f>
        <v>0</v>
      </c>
      <c r="BO529">
        <f>IF(Metadata!AC529="",FALSE,TRUE)</f>
        <v>0</v>
      </c>
    </row>
    <row r="530" spans="1:67">
      <c r="A530" s="5">
        <f>IF(B530=" "," ",HYPERLINK(CONCATENATE("#metadata!",ADDRESS(INDEX($AI$2:$AI$1001,MATCH(ROWS($AG$2:AG530),$AG$2:$AG$1001,0),0),1)),INDEX($AL$2:$AL$1001,MATCH(ROWS($AG$2:AG530),$AG$2:$AG$1001,0),0)))</f>
        <v>0</v>
      </c>
      <c r="B530" s="4">
        <f>IF(OR(INDEX($AH$2:$AH$1001,MATCH(ROWS($AG$2:AG530),$AG$2:$AG$1001,0),1)&gt;=100000,INDEX($AN$1005:$BO$1005,1,MATCH(COLUMNS($AN$1006:AN1006),$AN$1006:$BO$1006,0))&gt;=100000), " ",IF(INDEX($AN$2:$BO$1001,MATCH(ROWS($AG$2:AG530),$AG$2:$AG$1001,0),MATCH(COLUMNS($AN$1006:AN1006),$AN$1006:$BO$1006,0)), HYPERLINK("#",""), HYPERLINK(CONCATENATE("#Metadata!", ADDRESS(INDEX($AI$2:$AI$1001,MATCH(ROWS($AG$2:AG530),$AG$2:$AG$1001,0),0), INDEX($AN$1004:$BO$1004,1,MATCH(COLUMNS($AN$1006:AN1006),$AN$1006:$BO$1006,0)))),"Fix")))</f>
        <v>0</v>
      </c>
      <c r="C530" s="4">
        <f>IF(OR(INDEX($AH$2:$AH$1001,MATCH(ROWS($AG$2:AG530),$AG$2:$AG$1001,0),1)&gt;=100000,INDEX($AN$1005:$BO$1005,1,MATCH(COLUMNS($AN$1006:AO1006),$AN$1006:$BO$1006,0))&gt;=100000), " ",IF(INDEX($AN$2:$BO$1001,MATCH(ROWS($AG$2:AG530),$AG$2:$AG$1001,0),MATCH(COLUMNS($AN$1006:AO1006),$AN$1006:$BO$1006,0)), HYPERLINK("#",""), HYPERLINK(CONCATENATE("#Metadata!", ADDRESS(INDEX($AI$2:$AI$1001,MATCH(ROWS($AG$2:AG530),$AG$2:$AG$1001,0),0), INDEX($AN$1004:$BO$1004,1,MATCH(COLUMNS($AN$1006:AO1006),$AN$1006:$BO$1006,0)))),"Fix")))</f>
        <v>0</v>
      </c>
      <c r="D530" s="4">
        <f>IF(OR(INDEX($AH$2:$AH$1001,MATCH(ROWS($AG$2:AG530),$AG$2:$AG$1001,0),1)&gt;=100000,INDEX($AN$1005:$BO$1005,1,MATCH(COLUMNS($AN$1006:AP1006),$AN$1006:$BO$1006,0))&gt;=100000), " ",IF(INDEX($AN$2:$BO$1001,MATCH(ROWS($AG$2:AG530),$AG$2:$AG$1001,0),MATCH(COLUMNS($AN$1006:AP1006),$AN$1006:$BO$1006,0)), HYPERLINK("#",""), HYPERLINK(CONCATENATE("#Metadata!", ADDRESS(INDEX($AI$2:$AI$1001,MATCH(ROWS($AG$2:AG530),$AG$2:$AG$1001,0),0), INDEX($AN$1004:$BO$1004,1,MATCH(COLUMNS($AN$1006:AP1006),$AN$1006:$BO$1006,0)))),"Fix")))</f>
        <v>0</v>
      </c>
      <c r="E530" s="4">
        <f>IF(OR(INDEX($AH$2:$AH$1001,MATCH(ROWS($AG$2:AG530),$AG$2:$AG$1001,0),1)&gt;=100000,INDEX($AN$1005:$BO$1005,1,MATCH(COLUMNS($AN$1006:AQ1006),$AN$1006:$BO$1006,0))&gt;=100000), " ",IF(INDEX($AN$2:$BO$1001,MATCH(ROWS($AG$2:AG530),$AG$2:$AG$1001,0),MATCH(COLUMNS($AN$1006:AQ1006),$AN$1006:$BO$1006,0)), HYPERLINK("#",""), HYPERLINK(CONCATENATE("#Metadata!", ADDRESS(INDEX($AI$2:$AI$1001,MATCH(ROWS($AG$2:AG530),$AG$2:$AG$1001,0),0), INDEX($AN$1004:$BO$1004,1,MATCH(COLUMNS($AN$1006:AQ1006),$AN$1006:$BO$1006,0)))),"Fix")))</f>
        <v>0</v>
      </c>
      <c r="F530" s="4">
        <f>IF(OR(INDEX($AH$2:$AH$1001,MATCH(ROWS($AG$2:AG530),$AG$2:$AG$1001,0),1)&gt;=100000,INDEX($AN$1005:$BO$1005,1,MATCH(COLUMNS($AN$1006:AR1006),$AN$1006:$BO$1006,0))&gt;=100000), " ",IF(INDEX($AN$2:$BO$1001,MATCH(ROWS($AG$2:AG530),$AG$2:$AG$1001,0),MATCH(COLUMNS($AN$1006:AR1006),$AN$1006:$BO$1006,0)), HYPERLINK("#",""), HYPERLINK(CONCATENATE("#Metadata!", ADDRESS(INDEX($AI$2:$AI$1001,MATCH(ROWS($AG$2:AG530),$AG$2:$AG$1001,0),0), INDEX($AN$1004:$BO$1004,1,MATCH(COLUMNS($AN$1006:AR1006),$AN$1006:$BO$1006,0)))),"Fix")))</f>
        <v>0</v>
      </c>
      <c r="G530" s="4">
        <f>IF(OR(INDEX($AH$2:$AH$1001,MATCH(ROWS($AG$2:AG530),$AG$2:$AG$1001,0),1)&gt;=100000,INDEX($AN$1005:$BO$1005,1,MATCH(COLUMNS($AN$1006:AS1006),$AN$1006:$BO$1006,0))&gt;=100000), " ",IF(INDEX($AN$2:$BO$1001,MATCH(ROWS($AG$2:AG530),$AG$2:$AG$1001,0),MATCH(COLUMNS($AN$1006:AS1006),$AN$1006:$BO$1006,0)), HYPERLINK("#",""), HYPERLINK(CONCATENATE("#Metadata!", ADDRESS(INDEX($AI$2:$AI$1001,MATCH(ROWS($AG$2:AG530),$AG$2:$AG$1001,0),0), INDEX($AN$1004:$BO$1004,1,MATCH(COLUMNS($AN$1006:AS1006),$AN$1006:$BO$1006,0)))),"Fix")))</f>
        <v>0</v>
      </c>
      <c r="H530" s="4">
        <f>IF(OR(INDEX($AH$2:$AH$1001,MATCH(ROWS($AG$2:AG530),$AG$2:$AG$1001,0),1)&gt;=100000,INDEX($AN$1005:$BO$1005,1,MATCH(COLUMNS($AN$1006:AT1006),$AN$1006:$BO$1006,0))&gt;=100000), " ",IF(INDEX($AN$2:$BO$1001,MATCH(ROWS($AG$2:AG530),$AG$2:$AG$1001,0),MATCH(COLUMNS($AN$1006:AT1006),$AN$1006:$BO$1006,0)), HYPERLINK("#",""), HYPERLINK(CONCATENATE("#Metadata!", ADDRESS(INDEX($AI$2:$AI$1001,MATCH(ROWS($AG$2:AG530),$AG$2:$AG$1001,0),0), INDEX($AN$1004:$BO$1004,1,MATCH(COLUMNS($AN$1006:AT1006),$AN$1006:$BO$1006,0)))),"Fix")))</f>
        <v>0</v>
      </c>
      <c r="I530" s="4">
        <f>IF(OR(INDEX($AH$2:$AH$1001,MATCH(ROWS($AG$2:AG530),$AG$2:$AG$1001,0),1)&gt;=100000,INDEX($AN$1005:$BO$1005,1,MATCH(COLUMNS($AN$1006:AU1006),$AN$1006:$BO$1006,0))&gt;=100000), " ",IF(INDEX($AN$2:$BO$1001,MATCH(ROWS($AG$2:AG530),$AG$2:$AG$1001,0),MATCH(COLUMNS($AN$1006:AU1006),$AN$1006:$BO$1006,0)), HYPERLINK("#",""), HYPERLINK(CONCATENATE("#Metadata!", ADDRESS(INDEX($AI$2:$AI$1001,MATCH(ROWS($AG$2:AG530),$AG$2:$AG$1001,0),0), INDEX($AN$1004:$BO$1004,1,MATCH(COLUMNS($AN$1006:AU1006),$AN$1006:$BO$1006,0)))),"Fix")))</f>
        <v>0</v>
      </c>
      <c r="J530" s="4">
        <f>IF(OR(INDEX($AH$2:$AH$1001,MATCH(ROWS($AG$2:AG530),$AG$2:$AG$1001,0),1)&gt;=100000,INDEX($AN$1005:$BO$1005,1,MATCH(COLUMNS($AN$1006:AV1006),$AN$1006:$BO$1006,0))&gt;=100000), " ",IF(INDEX($AN$2:$BO$1001,MATCH(ROWS($AG$2:AG530),$AG$2:$AG$1001,0),MATCH(COLUMNS($AN$1006:AV1006),$AN$1006:$BO$1006,0)), HYPERLINK("#",""), HYPERLINK(CONCATENATE("#Metadata!", ADDRESS(INDEX($AI$2:$AI$1001,MATCH(ROWS($AG$2:AG530),$AG$2:$AG$1001,0),0), INDEX($AN$1004:$BO$1004,1,MATCH(COLUMNS($AN$1006:AV1006),$AN$1006:$BO$1006,0)))),"Fix")))</f>
        <v>0</v>
      </c>
      <c r="K530" s="4">
        <f>IF(OR(INDEX($AH$2:$AH$1001,MATCH(ROWS($AG$2:AG530),$AG$2:$AG$1001,0),1)&gt;=100000,INDEX($AN$1005:$BO$1005,1,MATCH(COLUMNS($AN$1006:AW1006),$AN$1006:$BO$1006,0))&gt;=100000), " ",IF(INDEX($AN$2:$BO$1001,MATCH(ROWS($AG$2:AG530),$AG$2:$AG$1001,0),MATCH(COLUMNS($AN$1006:AW1006),$AN$1006:$BO$1006,0)), HYPERLINK("#",""), HYPERLINK(CONCATENATE("#Metadata!", ADDRESS(INDEX($AI$2:$AI$1001,MATCH(ROWS($AG$2:AG530),$AG$2:$AG$1001,0),0), INDEX($AN$1004:$BO$1004,1,MATCH(COLUMNS($AN$1006:AW1006),$AN$1006:$BO$1006,0)))),"Fix")))</f>
        <v>0</v>
      </c>
      <c r="L530" s="4">
        <f>IF(OR(INDEX($AH$2:$AH$1001,MATCH(ROWS($AG$2:AG530),$AG$2:$AG$1001,0),1)&gt;=100000,INDEX($AN$1005:$BO$1005,1,MATCH(COLUMNS($AN$1006:AX1006),$AN$1006:$BO$1006,0))&gt;=100000), " ",IF(INDEX($AN$2:$BO$1001,MATCH(ROWS($AG$2:AG530),$AG$2:$AG$1001,0),MATCH(COLUMNS($AN$1006:AX1006),$AN$1006:$BO$1006,0)), HYPERLINK("#",""), HYPERLINK(CONCATENATE("#Metadata!", ADDRESS(INDEX($AI$2:$AI$1001,MATCH(ROWS($AG$2:AG530),$AG$2:$AG$1001,0),0), INDEX($AN$1004:$BO$1004,1,MATCH(COLUMNS($AN$1006:AX1006),$AN$1006:$BO$1006,0)))),"Fix")))</f>
        <v>0</v>
      </c>
      <c r="M530" s="4">
        <f>IF(OR(INDEX($AH$2:$AH$1001,MATCH(ROWS($AG$2:AG530),$AG$2:$AG$1001,0),1)&gt;=100000,INDEX($AN$1005:$BO$1005,1,MATCH(COLUMNS($AN$1006:AY1006),$AN$1006:$BO$1006,0))&gt;=100000), " ",IF(INDEX($AN$2:$BO$1001,MATCH(ROWS($AG$2:AG530),$AG$2:$AG$1001,0),MATCH(COLUMNS($AN$1006:AY1006),$AN$1006:$BO$1006,0)), HYPERLINK("#",""), HYPERLINK(CONCATENATE("#Metadata!", ADDRESS(INDEX($AI$2:$AI$1001,MATCH(ROWS($AG$2:AG530),$AG$2:$AG$1001,0),0), INDEX($AN$1004:$BO$1004,1,MATCH(COLUMNS($AN$1006:AY1006),$AN$1006:$BO$1006,0)))),"Fix")))</f>
        <v>0</v>
      </c>
      <c r="N530" s="4">
        <f>IF(OR(INDEX($AH$2:$AH$1001,MATCH(ROWS($AG$2:AG530),$AG$2:$AG$1001,0),1)&gt;=100000,INDEX($AN$1005:$BO$1005,1,MATCH(COLUMNS($AN$1006:AZ1006),$AN$1006:$BO$1006,0))&gt;=100000), " ",IF(INDEX($AN$2:$BO$1001,MATCH(ROWS($AG$2:AG530),$AG$2:$AG$1001,0),MATCH(COLUMNS($AN$1006:AZ1006),$AN$1006:$BO$1006,0)), HYPERLINK("#",""), HYPERLINK(CONCATENATE("#Metadata!", ADDRESS(INDEX($AI$2:$AI$1001,MATCH(ROWS($AG$2:AG530),$AG$2:$AG$1001,0),0), INDEX($AN$1004:$BO$1004,1,MATCH(COLUMNS($AN$1006:AZ1006),$AN$1006:$BO$1006,0)))),"Fix")))</f>
        <v>0</v>
      </c>
      <c r="O530" s="4">
        <f>IF(OR(INDEX($AH$2:$AH$1001,MATCH(ROWS($AG$2:AG530),$AG$2:$AG$1001,0),1)&gt;=100000,INDEX($AN$1005:$BO$1005,1,MATCH(COLUMNS($AN$1006:BA1006),$AN$1006:$BO$1006,0))&gt;=100000), " ",IF(INDEX($AN$2:$BO$1001,MATCH(ROWS($AG$2:AG530),$AG$2:$AG$1001,0),MATCH(COLUMNS($AN$1006:BA1006),$AN$1006:$BO$1006,0)), HYPERLINK("#",""), HYPERLINK(CONCATENATE("#Metadata!", ADDRESS(INDEX($AI$2:$AI$1001,MATCH(ROWS($AG$2:AG530),$AG$2:$AG$1001,0),0), INDEX($AN$1004:$BO$1004,1,MATCH(COLUMNS($AN$1006:BA1006),$AN$1006:$BO$1006,0)))),"Fix")))</f>
        <v>0</v>
      </c>
      <c r="P530" s="4">
        <f>IF(OR(INDEX($AH$2:$AH$1001,MATCH(ROWS($AG$2:AG530),$AG$2:$AG$1001,0),1)&gt;=100000,INDEX($AN$1005:$BO$1005,1,MATCH(COLUMNS($AN$1006:BB1006),$AN$1006:$BO$1006,0))&gt;=100000), " ",IF(INDEX($AN$2:$BO$1001,MATCH(ROWS($AG$2:AG530),$AG$2:$AG$1001,0),MATCH(COLUMNS($AN$1006:BB1006),$AN$1006:$BO$1006,0)), HYPERLINK("#",""), HYPERLINK(CONCATENATE("#Metadata!", ADDRESS(INDEX($AI$2:$AI$1001,MATCH(ROWS($AG$2:AG530),$AG$2:$AG$1001,0),0), INDEX($AN$1004:$BO$1004,1,MATCH(COLUMNS($AN$1006:BB1006),$AN$1006:$BO$1006,0)))),"Fix")))</f>
        <v>0</v>
      </c>
      <c r="Q530" s="4">
        <f>IF(OR(INDEX($AH$2:$AH$1001,MATCH(ROWS($AG$2:AG530),$AG$2:$AG$1001,0),1)&gt;=100000,INDEX($AN$1005:$BO$1005,1,MATCH(COLUMNS($AN$1006:BC1006),$AN$1006:$BO$1006,0))&gt;=100000), " ",IF(INDEX($AN$2:$BO$1001,MATCH(ROWS($AG$2:AG530),$AG$2:$AG$1001,0),MATCH(COLUMNS($AN$1006:BC1006),$AN$1006:$BO$1006,0)), HYPERLINK("#",""), HYPERLINK(CONCATENATE("#Metadata!", ADDRESS(INDEX($AI$2:$AI$1001,MATCH(ROWS($AG$2:AG530),$AG$2:$AG$1001,0),0), INDEX($AN$1004:$BO$1004,1,MATCH(COLUMNS($AN$1006:BC1006),$AN$1006:$BO$1006,0)))),"Fix")))</f>
        <v>0</v>
      </c>
      <c r="R530" s="4">
        <f>IF(OR(INDEX($AH$2:$AH$1001,MATCH(ROWS($AG$2:AG530),$AG$2:$AG$1001,0),1)&gt;=100000,INDEX($AN$1005:$BO$1005,1,MATCH(COLUMNS($AN$1006:BD1006),$AN$1006:$BO$1006,0))&gt;=100000), " ",IF(INDEX($AN$2:$BO$1001,MATCH(ROWS($AG$2:AG530),$AG$2:$AG$1001,0),MATCH(COLUMNS($AN$1006:BD1006),$AN$1006:$BO$1006,0)), HYPERLINK("#",""), HYPERLINK(CONCATENATE("#Metadata!", ADDRESS(INDEX($AI$2:$AI$1001,MATCH(ROWS($AG$2:AG530),$AG$2:$AG$1001,0),0), INDEX($AN$1004:$BO$1004,1,MATCH(COLUMNS($AN$1006:BD1006),$AN$1006:$BO$1006,0)))),"Fix")))</f>
        <v>0</v>
      </c>
      <c r="S530" s="4">
        <f>IF(OR(INDEX($AH$2:$AH$1001,MATCH(ROWS($AG$2:AG530),$AG$2:$AG$1001,0),1)&gt;=100000,INDEX($AN$1005:$BO$1005,1,MATCH(COLUMNS($AN$1006:BE1006),$AN$1006:$BO$1006,0))&gt;=100000), " ",IF(INDEX($AN$2:$BO$1001,MATCH(ROWS($AG$2:AG530),$AG$2:$AG$1001,0),MATCH(COLUMNS($AN$1006:BE1006),$AN$1006:$BO$1006,0)), HYPERLINK("#",""), HYPERLINK(CONCATENATE("#Metadata!", ADDRESS(INDEX($AI$2:$AI$1001,MATCH(ROWS($AG$2:AG530),$AG$2:$AG$1001,0),0), INDEX($AN$1004:$BO$1004,1,MATCH(COLUMNS($AN$1006:BE1006),$AN$1006:$BO$1006,0)))),"Fix")))</f>
        <v>0</v>
      </c>
      <c r="T530" s="4">
        <f>IF(OR(INDEX($AH$2:$AH$1001,MATCH(ROWS($AG$2:AG530),$AG$2:$AG$1001,0),1)&gt;=100000,INDEX($AN$1005:$BO$1005,1,MATCH(COLUMNS($AN$1006:BF1006),$AN$1006:$BO$1006,0))&gt;=100000), " ",IF(INDEX($AN$2:$BO$1001,MATCH(ROWS($AG$2:AG530),$AG$2:$AG$1001,0),MATCH(COLUMNS($AN$1006:BF1006),$AN$1006:$BO$1006,0)), HYPERLINK("#",""), HYPERLINK(CONCATENATE("#Metadata!", ADDRESS(INDEX($AI$2:$AI$1001,MATCH(ROWS($AG$2:AG530),$AG$2:$AG$1001,0),0), INDEX($AN$1004:$BO$1004,1,MATCH(COLUMNS($AN$1006:BF1006),$AN$1006:$BO$1006,0)))),"Fix")))</f>
        <v>0</v>
      </c>
      <c r="U530" s="4">
        <f>IF(OR(INDEX($AH$2:$AH$1001,MATCH(ROWS($AG$2:AG530),$AG$2:$AG$1001,0),1)&gt;=100000,INDEX($AN$1005:$BO$1005,1,MATCH(COLUMNS($AN$1006:BG1006),$AN$1006:$BO$1006,0))&gt;=100000), " ",IF(INDEX($AN$2:$BO$1001,MATCH(ROWS($AG$2:AG530),$AG$2:$AG$1001,0),MATCH(COLUMNS($AN$1006:BG1006),$AN$1006:$BO$1006,0)), HYPERLINK("#",""), HYPERLINK(CONCATENATE("#Metadata!", ADDRESS(INDEX($AI$2:$AI$1001,MATCH(ROWS($AG$2:AG530),$AG$2:$AG$1001,0),0), INDEX($AN$1004:$BO$1004,1,MATCH(COLUMNS($AN$1006:BG1006),$AN$1006:$BO$1006,0)))),"Fix")))</f>
        <v>0</v>
      </c>
      <c r="V530" s="4">
        <f>IF(OR(INDEX($AH$2:$AH$1001,MATCH(ROWS($AG$2:AG530),$AG$2:$AG$1001,0),1)&gt;=100000,INDEX($AN$1005:$BO$1005,1,MATCH(COLUMNS($AN$1006:BH1006),$AN$1006:$BO$1006,0))&gt;=100000), " ",IF(INDEX($AN$2:$BO$1001,MATCH(ROWS($AG$2:AG530),$AG$2:$AG$1001,0),MATCH(COLUMNS($AN$1006:BH1006),$AN$1006:$BO$1006,0)), HYPERLINK("#",""), HYPERLINK(CONCATENATE("#Metadata!", ADDRESS(INDEX($AI$2:$AI$1001,MATCH(ROWS($AG$2:AG530),$AG$2:$AG$1001,0),0), INDEX($AN$1004:$BO$1004,1,MATCH(COLUMNS($AN$1006:BH1006),$AN$1006:$BO$1006,0)))),"Fix")))</f>
        <v>0</v>
      </c>
      <c r="W530" s="4">
        <f>IF(OR(INDEX($AH$2:$AH$1001,MATCH(ROWS($AG$2:AG530),$AG$2:$AG$1001,0),1)&gt;=100000,INDEX($AN$1005:$BO$1005,1,MATCH(COLUMNS($AN$1006:BI1006),$AN$1006:$BO$1006,0))&gt;=100000), " ",IF(INDEX($AN$2:$BO$1001,MATCH(ROWS($AG$2:AG530),$AG$2:$AG$1001,0),MATCH(COLUMNS($AN$1006:BI1006),$AN$1006:$BO$1006,0)), HYPERLINK("#",""), HYPERLINK(CONCATENATE("#Metadata!", ADDRESS(INDEX($AI$2:$AI$1001,MATCH(ROWS($AG$2:AG530),$AG$2:$AG$1001,0),0), INDEX($AN$1004:$BO$1004,1,MATCH(COLUMNS($AN$1006:BI1006),$AN$1006:$BO$1006,0)))),"Fix")))</f>
        <v>0</v>
      </c>
      <c r="X530" s="4">
        <f>IF(OR(INDEX($AH$2:$AH$1001,MATCH(ROWS($AG$2:AG530),$AG$2:$AG$1001,0),1)&gt;=100000,INDEX($AN$1005:$BO$1005,1,MATCH(COLUMNS($AN$1006:BJ1006),$AN$1006:$BO$1006,0))&gt;=100000), " ",IF(INDEX($AN$2:$BO$1001,MATCH(ROWS($AG$2:AG530),$AG$2:$AG$1001,0),MATCH(COLUMNS($AN$1006:BJ1006),$AN$1006:$BO$1006,0)), HYPERLINK("#",""), HYPERLINK(CONCATENATE("#Metadata!", ADDRESS(INDEX($AI$2:$AI$1001,MATCH(ROWS($AG$2:AG530),$AG$2:$AG$1001,0),0), INDEX($AN$1004:$BO$1004,1,MATCH(COLUMNS($AN$1006:BJ1006),$AN$1006:$BO$1006,0)))),"Fix")))</f>
        <v>0</v>
      </c>
      <c r="Y530" s="4">
        <f>IF(OR(INDEX($AH$2:$AH$1001,MATCH(ROWS($AG$2:AG530),$AG$2:$AG$1001,0),1)&gt;=100000,INDEX($AN$1005:$BO$1005,1,MATCH(COLUMNS($AN$1006:BK1006),$AN$1006:$BO$1006,0))&gt;=100000), " ",IF(INDEX($AN$2:$BO$1001,MATCH(ROWS($AG$2:AG530),$AG$2:$AG$1001,0),MATCH(COLUMNS($AN$1006:BK1006),$AN$1006:$BO$1006,0)), HYPERLINK("#",""), HYPERLINK(CONCATENATE("#Metadata!", ADDRESS(INDEX($AI$2:$AI$1001,MATCH(ROWS($AG$2:AG530),$AG$2:$AG$1001,0),0), INDEX($AN$1004:$BO$1004,1,MATCH(COLUMNS($AN$1006:BK1006),$AN$1006:$BO$1006,0)))),"Fix")))</f>
        <v>0</v>
      </c>
      <c r="Z530" s="4">
        <f>IF(OR(INDEX($AH$2:$AH$1001,MATCH(ROWS($AG$2:AG530),$AG$2:$AG$1001,0),1)&gt;=100000,INDEX($AN$1005:$BO$1005,1,MATCH(COLUMNS($AN$1006:BL1006),$AN$1006:$BO$1006,0))&gt;=100000), " ",IF(INDEX($AN$2:$BO$1001,MATCH(ROWS($AG$2:AG530),$AG$2:$AG$1001,0),MATCH(COLUMNS($AN$1006:BL1006),$AN$1006:$BO$1006,0)), HYPERLINK("#",""), HYPERLINK(CONCATENATE("#Metadata!", ADDRESS(INDEX($AI$2:$AI$1001,MATCH(ROWS($AG$2:AG530),$AG$2:$AG$1001,0),0), INDEX($AN$1004:$BO$1004,1,MATCH(COLUMNS($AN$1006:BL1006),$AN$1006:$BO$1006,0)))),"Fix")))</f>
        <v>0</v>
      </c>
      <c r="AA530" s="4">
        <f>IF(OR(INDEX($AH$2:$AH$1001,MATCH(ROWS($AG$2:AG530),$AG$2:$AG$1001,0),1)&gt;=100000,INDEX($AN$1005:$BO$1005,1,MATCH(COLUMNS($AN$1006:BM1006),$AN$1006:$BO$1006,0))&gt;=100000), " ",IF(INDEX($AN$2:$BO$1001,MATCH(ROWS($AG$2:AG530),$AG$2:$AG$1001,0),MATCH(COLUMNS($AN$1006:BM1006),$AN$1006:$BO$1006,0)), HYPERLINK("#",""), HYPERLINK(CONCATENATE("#Metadata!", ADDRESS(INDEX($AI$2:$AI$1001,MATCH(ROWS($AG$2:AG530),$AG$2:$AG$1001,0),0), INDEX($AN$1004:$BO$1004,1,MATCH(COLUMNS($AN$1006:BM1006),$AN$1006:$BO$1006,0)))),"Fix")))</f>
        <v>0</v>
      </c>
      <c r="AB530" s="4">
        <f>IF(OR(INDEX($AH$2:$AH$1001,MATCH(ROWS($AG$2:AG530),$AG$2:$AG$1001,0),1)&gt;=100000,INDEX($AN$1005:$BO$1005,1,MATCH(COLUMNS($AN$1006:BN1006),$AN$1006:$BO$1006,0))&gt;=100000), " ",IF(INDEX($AN$2:$BO$1001,MATCH(ROWS($AG$2:AG530),$AG$2:$AG$1001,0),MATCH(COLUMNS($AN$1006:BN1006),$AN$1006:$BO$1006,0)), HYPERLINK("#",""), HYPERLINK(CONCATENATE("#Metadata!", ADDRESS(INDEX($AI$2:$AI$1001,MATCH(ROWS($AG$2:AG530),$AG$2:$AG$1001,0),0), INDEX($AN$1004:$BO$1004,1,MATCH(COLUMNS($AN$1006:BN1006),$AN$1006:$BO$1006,0)))),"Fix")))</f>
        <v>0</v>
      </c>
      <c r="AC530" s="4">
        <f>IF(OR(INDEX($AH$2:$AH$1001,MATCH(ROWS($AG$2:AG530),$AG$2:$AG$1001,0),1)&gt;=100000,INDEX($AN$1005:$BO$1005,1,MATCH(COLUMNS($AN$1006:BO1006),$AN$1006:$BO$1006,0))&gt;=100000), " ",IF(INDEX($AN$2:$BO$1001,MATCH(ROWS($AG$2:AG530),$AG$2:$AG$1001,0),MATCH(COLUMNS($AN$1006:BO1006),$AN$1006:$BO$1006,0)), HYPERLINK("#",""), HYPERLINK(CONCATENATE("#Metadata!", ADDRESS(INDEX($AI$2:$AI$1001,MATCH(ROWS($AG$2:AG530),$AG$2:$AG$1001,0),0), INDEX($AN$1004:$BO$1004,1,MATCH(COLUMNS($AN$1006:BO1006),$AN$1006:$BO$1006,0)))),"Fix")))</f>
        <v>0</v>
      </c>
      <c r="AG530">
        <v>0</v>
      </c>
      <c r="AH530">
        <v>0</v>
      </c>
      <c r="AI530">
        <v>0</v>
      </c>
      <c r="AJ530">
        <f>IF(AK530,TRUE,AND(AN530:BO530))</f>
        <v>0</v>
      </c>
      <c r="AK530">
        <f>COUNTBLANK(Metadata!B530:AC530)=COLUMNS(Metadata!B530:AC530)</f>
        <v>0</v>
      </c>
      <c r="AL530">
        <v>0</v>
      </c>
      <c r="AN530">
        <f>AND(IF(Metadata!B530="",FALSE,TRUE),COUNTIF(Metadata!B:B, Metadata!B530) = 1,NOT(ISERROR(SUMPRODUCT(SEARCH(MID(Metadata!B530,ROW(INDIRECT("1:"&amp;LEN(Metadata!B530))), 1),"0123456789abcdefghijklmnopqrstuvwxyzABCDEFGHIJKLMNOPQRSTUVWXYZ.")))))</f>
        <v>0</v>
      </c>
      <c r="AO530">
        <f>IF(Metadata!C530="",FALSE,TRUE)</f>
        <v>0</v>
      </c>
      <c r="AP530">
        <f>IF(Metadata!D530="",FALSE,TRUE)</f>
        <v>0</v>
      </c>
      <c r="AQ530">
        <f>OR(AND(IF(Metadata!E530="",FALSE,TRUE),OR(exact(Metadata!E530,"not collected"),exact(Metadata!E530,"not provided"),exact(Metadata!E530,"restricted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R530">
        <f>IF(Metadata!F530="",FALSE,TRUE)</f>
        <v>0</v>
      </c>
      <c r="AS530">
        <f>OR(AND(IF(Metadata!G530="",FALSE,TRUE),OR(exact(Metadata!G530,"not collected"),exact(Metadata!G530,"not provided"))),AND(IF(Metadata!G530="",FALSE,TRUE),OR(exact(Metadata!G530,"TRUE"),exact(Metadata!G530,"FALSE"))))</f>
        <v>0</v>
      </c>
      <c r="AT530">
        <f>OR(AND(IF(Metadata!H530="",FALSE,TRUE),OR(exact(Metadata!H530,"not collected"),exact(Metadata!H530,"not provided"),exact(Metadata!H530,"restricted access"))),AND(IF(Metadata!H530="",FALSE,ISNUMBER(VALUE(Metadata!H530))),Metadata!H530&gt;=-413.0))</f>
        <v>0</v>
      </c>
      <c r="AU530">
        <f>AND(IF(Metadata!I530="",FALSE,TRUE),exact(Metadata!I530,"meters"))</f>
        <v>0</v>
      </c>
      <c r="AV530">
        <f>AND(IF(Metadata!J530="",FALSE,TRUE),OR(exact(Metadata!J530,"Host-associated"),exact(Metadata!J530,"Free-living")))</f>
        <v>0</v>
      </c>
      <c r="AW530">
        <f>AND(IF(Metadata!K530="",FALSE,TRUE),OR(exact(Metadata!K530,"Animal"),exact(Metadata!K530,"Fungus"),exact(Metadata!K530,"Plant"),exact(Metadata!K530,"Saline"),exact(Metadata!K530,"Non-saline")))</f>
        <v>0</v>
      </c>
      <c r="AX530">
        <f>AND(IF(Metadata!L530="",FALSE,TRUE),OR(exact(Metadata!L530,"Plant secretion"),exact(Metadata!L530,"Plant rhizosphere"),exact(Metadata!L530,"Plant surface"),exact(Metadata!L530,"Plant corpus"),exact(Metadata!L530,"Fungus surface"),exact(Metadata!L530,"Fungus corpus"),exact(Metadata!L530,"Animal surface"),exact(Metadata!L530,"Animal proximal gut"),exact(Metadata!L530,"Animal corpus"),exact(Metadata!L530,"Animal distal gut"),exact(Metadata!L530,"Animal secretion"),exact(Metadata!L530,"Sub-surface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Y530">
        <f>IF(Metadata!M530="",FALSE,TRUE)</f>
        <v>0</v>
      </c>
      <c r="AZ530">
        <f>IF(Metadata!N530="",FALSE,TRUE)</f>
        <v>0</v>
      </c>
      <c r="BA530">
        <f>IF(Metadata!O530="",FALSE,TRUE)</f>
        <v>0</v>
      </c>
      <c r="BB530">
        <f>OR(AND(IF(Metadata!P530="",FALSE,TRUE),OR(exact(Metadata!P530,"not collected"),exact(Metadata!P530,"not provided"),exact(Metadata!P530,"restricted access"))),AND(IF(Metadata!P530="",FALSE,TRUE),OR(exact(Metadata!P530,"air"),exact(Metadata!P530,"built environment"),exact(Metadata!P530,"host-associated"),exact(Metadata!P530,"human-associated"),exact(Metadata!P530,"human-skin"),exact(Metadata!P530,"human-oral"),exact(Metadata!P530,"human-gut"),exact(Metadata!P530,"human-vaginal"),exact(Metadata!P530,"microbial mat/biofilm"),exact(Metadata!P530,"misc environment"),exact(Metadata!P530,"plant-associated"),exact(Metadata!P530,"sediment"),exact(Metadata!P530,"soil"),exact(Metadata!P530,"wastewater/sludge"),exact(Metadata!P530,"water"))))</f>
        <v>0</v>
      </c>
      <c r="BC530">
        <f>IF(Metadata!Q530="",FALSE,TRUE)</f>
        <v>0</v>
      </c>
      <c r="BD530">
        <f>IF(Metadata!R530="",FALSE,TRUE)</f>
        <v>0</v>
      </c>
      <c r="BE530">
        <f>OR(AND(IF(Metadata!S530="",FALSE,TRUE),OR(exact(Metadata!S530,"not collected"),exact(Metadata!S530,"not provided"),exact(Metadata!S530,"restricted access"))),AND(IF(Metadata!S530="",FALSE,ISNUMBER(VALUE(Metadata!S530))),Metadata!S530&gt;=-90.00,Metadata!S530&lt;=90.00))</f>
        <v>0</v>
      </c>
      <c r="BF530">
        <f>AND(IF(Metadata!T530="",FALSE,TRUE),exact(Metadata!T530,"Decimal degrees"))</f>
        <v>0</v>
      </c>
      <c r="BG530">
        <f>OR(AND(IF(Metadata!U530="",FALSE,TRUE),OR(exact(Metadata!U530,"not collected"),exact(Metadata!U530,"not provided"),exact(Metadata!U530,"restricted access"))),AND(IF(Metadata!U530="",FALSE,ISNUMBER(VALUE(Metadata!U530))),Metadata!U530&gt;=-180.00,Metadata!U530&lt;=180.00))</f>
        <v>0</v>
      </c>
      <c r="BH530">
        <f>AND(IF(Metadata!V530="",FALSE,TRUE),exact(Metadata!V530,"Decimal degrees"))</f>
        <v>0</v>
      </c>
      <c r="BI530">
        <f>IF(Metadata!W530="",FALSE,TRUE)</f>
        <v>0</v>
      </c>
      <c r="BJ530">
        <f>OR(AND(IF(Metadata!X530="",FALSE,TRUE),OR(exact(Metadata!X530,"not collected"),exact(Metadata!X530,"not provided"),exact(Metadata!X530,"restricted access"))),AND(IF(Metadata!X530="",FALSE,TRUE),OR(exact(Metadata!X530,"TRUE"),exact(Metadata!X530,"FALSE"))))</f>
        <v>0</v>
      </c>
      <c r="BK530">
        <f>AND(IF(Metadata!Y530="",FALSE,TRUE),exact(Metadata!Y530,"other"))</f>
        <v>0</v>
      </c>
      <c r="BL530">
        <f>IF(Metadata!Z530="",FALSE,TRUE)</f>
        <v>0</v>
      </c>
      <c r="BM530">
        <f>OR(AND(IF(Metadata!AA530="",FALSE,TRUE),OR(exact(Metadata!AA530,"not collected"),exact(Metadata!AA530,"not provided"))),AND(IF(Metadata!AA530="",FALSE,IF(ISERROR(INT(Metadata!AA530)),FALSE,INT(Metadata!AA530)=Metadata!AA530)),Metadata!AA530&gt;0))</f>
        <v>0</v>
      </c>
      <c r="BN530">
        <f>AND(IF(Metadata!AB530="",FALSE,TRUE),exact(Metadata!AB530,"Not applicable"))</f>
        <v>0</v>
      </c>
      <c r="BO530">
        <f>IF(Metadata!AC530="",FALSE,TRUE)</f>
        <v>0</v>
      </c>
    </row>
    <row r="531" spans="1:67">
      <c r="A531" s="5">
        <f>IF(B531=" "," ",HYPERLINK(CONCATENATE("#metadata!",ADDRESS(INDEX($AI$2:$AI$1001,MATCH(ROWS($AG$2:AG531),$AG$2:$AG$1001,0),0),1)),INDEX($AL$2:$AL$1001,MATCH(ROWS($AG$2:AG531),$AG$2:$AG$1001,0),0)))</f>
        <v>0</v>
      </c>
      <c r="B531" s="4">
        <f>IF(OR(INDEX($AH$2:$AH$1001,MATCH(ROWS($AG$2:AG531),$AG$2:$AG$1001,0),1)&gt;=100000,INDEX($AN$1005:$BO$1005,1,MATCH(COLUMNS($AN$1006:AN1006),$AN$1006:$BO$1006,0))&gt;=100000), " ",IF(INDEX($AN$2:$BO$1001,MATCH(ROWS($AG$2:AG531),$AG$2:$AG$1001,0),MATCH(COLUMNS($AN$1006:AN1006),$AN$1006:$BO$1006,0)), HYPERLINK("#",""), HYPERLINK(CONCATENATE("#Metadata!", ADDRESS(INDEX($AI$2:$AI$1001,MATCH(ROWS($AG$2:AG531),$AG$2:$AG$1001,0),0), INDEX($AN$1004:$BO$1004,1,MATCH(COLUMNS($AN$1006:AN1006),$AN$1006:$BO$1006,0)))),"Fix")))</f>
        <v>0</v>
      </c>
      <c r="C531" s="4">
        <f>IF(OR(INDEX($AH$2:$AH$1001,MATCH(ROWS($AG$2:AG531),$AG$2:$AG$1001,0),1)&gt;=100000,INDEX($AN$1005:$BO$1005,1,MATCH(COLUMNS($AN$1006:AO1006),$AN$1006:$BO$1006,0))&gt;=100000), " ",IF(INDEX($AN$2:$BO$1001,MATCH(ROWS($AG$2:AG531),$AG$2:$AG$1001,0),MATCH(COLUMNS($AN$1006:AO1006),$AN$1006:$BO$1006,0)), HYPERLINK("#",""), HYPERLINK(CONCATENATE("#Metadata!", ADDRESS(INDEX($AI$2:$AI$1001,MATCH(ROWS($AG$2:AG531),$AG$2:$AG$1001,0),0), INDEX($AN$1004:$BO$1004,1,MATCH(COLUMNS($AN$1006:AO1006),$AN$1006:$BO$1006,0)))),"Fix")))</f>
        <v>0</v>
      </c>
      <c r="D531" s="4">
        <f>IF(OR(INDEX($AH$2:$AH$1001,MATCH(ROWS($AG$2:AG531),$AG$2:$AG$1001,0),1)&gt;=100000,INDEX($AN$1005:$BO$1005,1,MATCH(COLUMNS($AN$1006:AP1006),$AN$1006:$BO$1006,0))&gt;=100000), " ",IF(INDEX($AN$2:$BO$1001,MATCH(ROWS($AG$2:AG531),$AG$2:$AG$1001,0),MATCH(COLUMNS($AN$1006:AP1006),$AN$1006:$BO$1006,0)), HYPERLINK("#",""), HYPERLINK(CONCATENATE("#Metadata!", ADDRESS(INDEX($AI$2:$AI$1001,MATCH(ROWS($AG$2:AG531),$AG$2:$AG$1001,0),0), INDEX($AN$1004:$BO$1004,1,MATCH(COLUMNS($AN$1006:AP1006),$AN$1006:$BO$1006,0)))),"Fix")))</f>
        <v>0</v>
      </c>
      <c r="E531" s="4">
        <f>IF(OR(INDEX($AH$2:$AH$1001,MATCH(ROWS($AG$2:AG531),$AG$2:$AG$1001,0),1)&gt;=100000,INDEX($AN$1005:$BO$1005,1,MATCH(COLUMNS($AN$1006:AQ1006),$AN$1006:$BO$1006,0))&gt;=100000), " ",IF(INDEX($AN$2:$BO$1001,MATCH(ROWS($AG$2:AG531),$AG$2:$AG$1001,0),MATCH(COLUMNS($AN$1006:AQ1006),$AN$1006:$BO$1006,0)), HYPERLINK("#",""), HYPERLINK(CONCATENATE("#Metadata!", ADDRESS(INDEX($AI$2:$AI$1001,MATCH(ROWS($AG$2:AG531),$AG$2:$AG$1001,0),0), INDEX($AN$1004:$BO$1004,1,MATCH(COLUMNS($AN$1006:AQ1006),$AN$1006:$BO$1006,0)))),"Fix")))</f>
        <v>0</v>
      </c>
      <c r="F531" s="4">
        <f>IF(OR(INDEX($AH$2:$AH$1001,MATCH(ROWS($AG$2:AG531),$AG$2:$AG$1001,0),1)&gt;=100000,INDEX($AN$1005:$BO$1005,1,MATCH(COLUMNS($AN$1006:AR1006),$AN$1006:$BO$1006,0))&gt;=100000), " ",IF(INDEX($AN$2:$BO$1001,MATCH(ROWS($AG$2:AG531),$AG$2:$AG$1001,0),MATCH(COLUMNS($AN$1006:AR1006),$AN$1006:$BO$1006,0)), HYPERLINK("#",""), HYPERLINK(CONCATENATE("#Metadata!", ADDRESS(INDEX($AI$2:$AI$1001,MATCH(ROWS($AG$2:AG531),$AG$2:$AG$1001,0),0), INDEX($AN$1004:$BO$1004,1,MATCH(COLUMNS($AN$1006:AR1006),$AN$1006:$BO$1006,0)))),"Fix")))</f>
        <v>0</v>
      </c>
      <c r="G531" s="4">
        <f>IF(OR(INDEX($AH$2:$AH$1001,MATCH(ROWS($AG$2:AG531),$AG$2:$AG$1001,0),1)&gt;=100000,INDEX($AN$1005:$BO$1005,1,MATCH(COLUMNS($AN$1006:AS1006),$AN$1006:$BO$1006,0))&gt;=100000), " ",IF(INDEX($AN$2:$BO$1001,MATCH(ROWS($AG$2:AG531),$AG$2:$AG$1001,0),MATCH(COLUMNS($AN$1006:AS1006),$AN$1006:$BO$1006,0)), HYPERLINK("#",""), HYPERLINK(CONCATENATE("#Metadata!", ADDRESS(INDEX($AI$2:$AI$1001,MATCH(ROWS($AG$2:AG531),$AG$2:$AG$1001,0),0), INDEX($AN$1004:$BO$1004,1,MATCH(COLUMNS($AN$1006:AS1006),$AN$1006:$BO$1006,0)))),"Fix")))</f>
        <v>0</v>
      </c>
      <c r="H531" s="4">
        <f>IF(OR(INDEX($AH$2:$AH$1001,MATCH(ROWS($AG$2:AG531),$AG$2:$AG$1001,0),1)&gt;=100000,INDEX($AN$1005:$BO$1005,1,MATCH(COLUMNS($AN$1006:AT1006),$AN$1006:$BO$1006,0))&gt;=100000), " ",IF(INDEX($AN$2:$BO$1001,MATCH(ROWS($AG$2:AG531),$AG$2:$AG$1001,0),MATCH(COLUMNS($AN$1006:AT1006),$AN$1006:$BO$1006,0)), HYPERLINK("#",""), HYPERLINK(CONCATENATE("#Metadata!", ADDRESS(INDEX($AI$2:$AI$1001,MATCH(ROWS($AG$2:AG531),$AG$2:$AG$1001,0),0), INDEX($AN$1004:$BO$1004,1,MATCH(COLUMNS($AN$1006:AT1006),$AN$1006:$BO$1006,0)))),"Fix")))</f>
        <v>0</v>
      </c>
      <c r="I531" s="4">
        <f>IF(OR(INDEX($AH$2:$AH$1001,MATCH(ROWS($AG$2:AG531),$AG$2:$AG$1001,0),1)&gt;=100000,INDEX($AN$1005:$BO$1005,1,MATCH(COLUMNS($AN$1006:AU1006),$AN$1006:$BO$1006,0))&gt;=100000), " ",IF(INDEX($AN$2:$BO$1001,MATCH(ROWS($AG$2:AG531),$AG$2:$AG$1001,0),MATCH(COLUMNS($AN$1006:AU1006),$AN$1006:$BO$1006,0)), HYPERLINK("#",""), HYPERLINK(CONCATENATE("#Metadata!", ADDRESS(INDEX($AI$2:$AI$1001,MATCH(ROWS($AG$2:AG531),$AG$2:$AG$1001,0),0), INDEX($AN$1004:$BO$1004,1,MATCH(COLUMNS($AN$1006:AU1006),$AN$1006:$BO$1006,0)))),"Fix")))</f>
        <v>0</v>
      </c>
      <c r="J531" s="4">
        <f>IF(OR(INDEX($AH$2:$AH$1001,MATCH(ROWS($AG$2:AG531),$AG$2:$AG$1001,0),1)&gt;=100000,INDEX($AN$1005:$BO$1005,1,MATCH(COLUMNS($AN$1006:AV1006),$AN$1006:$BO$1006,0))&gt;=100000), " ",IF(INDEX($AN$2:$BO$1001,MATCH(ROWS($AG$2:AG531),$AG$2:$AG$1001,0),MATCH(COLUMNS($AN$1006:AV1006),$AN$1006:$BO$1006,0)), HYPERLINK("#",""), HYPERLINK(CONCATENATE("#Metadata!", ADDRESS(INDEX($AI$2:$AI$1001,MATCH(ROWS($AG$2:AG531),$AG$2:$AG$1001,0),0), INDEX($AN$1004:$BO$1004,1,MATCH(COLUMNS($AN$1006:AV1006),$AN$1006:$BO$1006,0)))),"Fix")))</f>
        <v>0</v>
      </c>
      <c r="K531" s="4">
        <f>IF(OR(INDEX($AH$2:$AH$1001,MATCH(ROWS($AG$2:AG531),$AG$2:$AG$1001,0),1)&gt;=100000,INDEX($AN$1005:$BO$1005,1,MATCH(COLUMNS($AN$1006:AW1006),$AN$1006:$BO$1006,0))&gt;=100000), " ",IF(INDEX($AN$2:$BO$1001,MATCH(ROWS($AG$2:AG531),$AG$2:$AG$1001,0),MATCH(COLUMNS($AN$1006:AW1006),$AN$1006:$BO$1006,0)), HYPERLINK("#",""), HYPERLINK(CONCATENATE("#Metadata!", ADDRESS(INDEX($AI$2:$AI$1001,MATCH(ROWS($AG$2:AG531),$AG$2:$AG$1001,0),0), INDEX($AN$1004:$BO$1004,1,MATCH(COLUMNS($AN$1006:AW1006),$AN$1006:$BO$1006,0)))),"Fix")))</f>
        <v>0</v>
      </c>
      <c r="L531" s="4">
        <f>IF(OR(INDEX($AH$2:$AH$1001,MATCH(ROWS($AG$2:AG531),$AG$2:$AG$1001,0),1)&gt;=100000,INDEX($AN$1005:$BO$1005,1,MATCH(COLUMNS($AN$1006:AX1006),$AN$1006:$BO$1006,0))&gt;=100000), " ",IF(INDEX($AN$2:$BO$1001,MATCH(ROWS($AG$2:AG531),$AG$2:$AG$1001,0),MATCH(COLUMNS($AN$1006:AX1006),$AN$1006:$BO$1006,0)), HYPERLINK("#",""), HYPERLINK(CONCATENATE("#Metadata!", ADDRESS(INDEX($AI$2:$AI$1001,MATCH(ROWS($AG$2:AG531),$AG$2:$AG$1001,0),0), INDEX($AN$1004:$BO$1004,1,MATCH(COLUMNS($AN$1006:AX1006),$AN$1006:$BO$1006,0)))),"Fix")))</f>
        <v>0</v>
      </c>
      <c r="M531" s="4">
        <f>IF(OR(INDEX($AH$2:$AH$1001,MATCH(ROWS($AG$2:AG531),$AG$2:$AG$1001,0),1)&gt;=100000,INDEX($AN$1005:$BO$1005,1,MATCH(COLUMNS($AN$1006:AY1006),$AN$1006:$BO$1006,0))&gt;=100000), " ",IF(INDEX($AN$2:$BO$1001,MATCH(ROWS($AG$2:AG531),$AG$2:$AG$1001,0),MATCH(COLUMNS($AN$1006:AY1006),$AN$1006:$BO$1006,0)), HYPERLINK("#",""), HYPERLINK(CONCATENATE("#Metadata!", ADDRESS(INDEX($AI$2:$AI$1001,MATCH(ROWS($AG$2:AG531),$AG$2:$AG$1001,0),0), INDEX($AN$1004:$BO$1004,1,MATCH(COLUMNS($AN$1006:AY1006),$AN$1006:$BO$1006,0)))),"Fix")))</f>
        <v>0</v>
      </c>
      <c r="N531" s="4">
        <f>IF(OR(INDEX($AH$2:$AH$1001,MATCH(ROWS($AG$2:AG531),$AG$2:$AG$1001,0),1)&gt;=100000,INDEX($AN$1005:$BO$1005,1,MATCH(COLUMNS($AN$1006:AZ1006),$AN$1006:$BO$1006,0))&gt;=100000), " ",IF(INDEX($AN$2:$BO$1001,MATCH(ROWS($AG$2:AG531),$AG$2:$AG$1001,0),MATCH(COLUMNS($AN$1006:AZ1006),$AN$1006:$BO$1006,0)), HYPERLINK("#",""), HYPERLINK(CONCATENATE("#Metadata!", ADDRESS(INDEX($AI$2:$AI$1001,MATCH(ROWS($AG$2:AG531),$AG$2:$AG$1001,0),0), INDEX($AN$1004:$BO$1004,1,MATCH(COLUMNS($AN$1006:AZ1006),$AN$1006:$BO$1006,0)))),"Fix")))</f>
        <v>0</v>
      </c>
      <c r="O531" s="4">
        <f>IF(OR(INDEX($AH$2:$AH$1001,MATCH(ROWS($AG$2:AG531),$AG$2:$AG$1001,0),1)&gt;=100000,INDEX($AN$1005:$BO$1005,1,MATCH(COLUMNS($AN$1006:BA1006),$AN$1006:$BO$1006,0))&gt;=100000), " ",IF(INDEX($AN$2:$BO$1001,MATCH(ROWS($AG$2:AG531),$AG$2:$AG$1001,0),MATCH(COLUMNS($AN$1006:BA1006),$AN$1006:$BO$1006,0)), HYPERLINK("#",""), HYPERLINK(CONCATENATE("#Metadata!", ADDRESS(INDEX($AI$2:$AI$1001,MATCH(ROWS($AG$2:AG531),$AG$2:$AG$1001,0),0), INDEX($AN$1004:$BO$1004,1,MATCH(COLUMNS($AN$1006:BA1006),$AN$1006:$BO$1006,0)))),"Fix")))</f>
        <v>0</v>
      </c>
      <c r="P531" s="4">
        <f>IF(OR(INDEX($AH$2:$AH$1001,MATCH(ROWS($AG$2:AG531),$AG$2:$AG$1001,0),1)&gt;=100000,INDEX($AN$1005:$BO$1005,1,MATCH(COLUMNS($AN$1006:BB1006),$AN$1006:$BO$1006,0))&gt;=100000), " ",IF(INDEX($AN$2:$BO$1001,MATCH(ROWS($AG$2:AG531),$AG$2:$AG$1001,0),MATCH(COLUMNS($AN$1006:BB1006),$AN$1006:$BO$1006,0)), HYPERLINK("#",""), HYPERLINK(CONCATENATE("#Metadata!", ADDRESS(INDEX($AI$2:$AI$1001,MATCH(ROWS($AG$2:AG531),$AG$2:$AG$1001,0),0), INDEX($AN$1004:$BO$1004,1,MATCH(COLUMNS($AN$1006:BB1006),$AN$1006:$BO$1006,0)))),"Fix")))</f>
        <v>0</v>
      </c>
      <c r="Q531" s="4">
        <f>IF(OR(INDEX($AH$2:$AH$1001,MATCH(ROWS($AG$2:AG531),$AG$2:$AG$1001,0),1)&gt;=100000,INDEX($AN$1005:$BO$1005,1,MATCH(COLUMNS($AN$1006:BC1006),$AN$1006:$BO$1006,0))&gt;=100000), " ",IF(INDEX($AN$2:$BO$1001,MATCH(ROWS($AG$2:AG531),$AG$2:$AG$1001,0),MATCH(COLUMNS($AN$1006:BC1006),$AN$1006:$BO$1006,0)), HYPERLINK("#",""), HYPERLINK(CONCATENATE("#Metadata!", ADDRESS(INDEX($AI$2:$AI$1001,MATCH(ROWS($AG$2:AG531),$AG$2:$AG$1001,0),0), INDEX($AN$1004:$BO$1004,1,MATCH(COLUMNS($AN$1006:BC1006),$AN$1006:$BO$1006,0)))),"Fix")))</f>
        <v>0</v>
      </c>
      <c r="R531" s="4">
        <f>IF(OR(INDEX($AH$2:$AH$1001,MATCH(ROWS($AG$2:AG531),$AG$2:$AG$1001,0),1)&gt;=100000,INDEX($AN$1005:$BO$1005,1,MATCH(COLUMNS($AN$1006:BD1006),$AN$1006:$BO$1006,0))&gt;=100000), " ",IF(INDEX($AN$2:$BO$1001,MATCH(ROWS($AG$2:AG531),$AG$2:$AG$1001,0),MATCH(COLUMNS($AN$1006:BD1006),$AN$1006:$BO$1006,0)), HYPERLINK("#",""), HYPERLINK(CONCATENATE("#Metadata!", ADDRESS(INDEX($AI$2:$AI$1001,MATCH(ROWS($AG$2:AG531),$AG$2:$AG$1001,0),0), INDEX($AN$1004:$BO$1004,1,MATCH(COLUMNS($AN$1006:BD1006),$AN$1006:$BO$1006,0)))),"Fix")))</f>
        <v>0</v>
      </c>
      <c r="S531" s="4">
        <f>IF(OR(INDEX($AH$2:$AH$1001,MATCH(ROWS($AG$2:AG531),$AG$2:$AG$1001,0),1)&gt;=100000,INDEX($AN$1005:$BO$1005,1,MATCH(COLUMNS($AN$1006:BE1006),$AN$1006:$BO$1006,0))&gt;=100000), " ",IF(INDEX($AN$2:$BO$1001,MATCH(ROWS($AG$2:AG531),$AG$2:$AG$1001,0),MATCH(COLUMNS($AN$1006:BE1006),$AN$1006:$BO$1006,0)), HYPERLINK("#",""), HYPERLINK(CONCATENATE("#Metadata!", ADDRESS(INDEX($AI$2:$AI$1001,MATCH(ROWS($AG$2:AG531),$AG$2:$AG$1001,0),0), INDEX($AN$1004:$BO$1004,1,MATCH(COLUMNS($AN$1006:BE1006),$AN$1006:$BO$1006,0)))),"Fix")))</f>
        <v>0</v>
      </c>
      <c r="T531" s="4">
        <f>IF(OR(INDEX($AH$2:$AH$1001,MATCH(ROWS($AG$2:AG531),$AG$2:$AG$1001,0),1)&gt;=100000,INDEX($AN$1005:$BO$1005,1,MATCH(COLUMNS($AN$1006:BF1006),$AN$1006:$BO$1006,0))&gt;=100000), " ",IF(INDEX($AN$2:$BO$1001,MATCH(ROWS($AG$2:AG531),$AG$2:$AG$1001,0),MATCH(COLUMNS($AN$1006:BF1006),$AN$1006:$BO$1006,0)), HYPERLINK("#",""), HYPERLINK(CONCATENATE("#Metadata!", ADDRESS(INDEX($AI$2:$AI$1001,MATCH(ROWS($AG$2:AG531),$AG$2:$AG$1001,0),0), INDEX($AN$1004:$BO$1004,1,MATCH(COLUMNS($AN$1006:BF1006),$AN$1006:$BO$1006,0)))),"Fix")))</f>
        <v>0</v>
      </c>
      <c r="U531" s="4">
        <f>IF(OR(INDEX($AH$2:$AH$1001,MATCH(ROWS($AG$2:AG531),$AG$2:$AG$1001,0),1)&gt;=100000,INDEX($AN$1005:$BO$1005,1,MATCH(COLUMNS($AN$1006:BG1006),$AN$1006:$BO$1006,0))&gt;=100000), " ",IF(INDEX($AN$2:$BO$1001,MATCH(ROWS($AG$2:AG531),$AG$2:$AG$1001,0),MATCH(COLUMNS($AN$1006:BG1006),$AN$1006:$BO$1006,0)), HYPERLINK("#",""), HYPERLINK(CONCATENATE("#Metadata!", ADDRESS(INDEX($AI$2:$AI$1001,MATCH(ROWS($AG$2:AG531),$AG$2:$AG$1001,0),0), INDEX($AN$1004:$BO$1004,1,MATCH(COLUMNS($AN$1006:BG1006),$AN$1006:$BO$1006,0)))),"Fix")))</f>
        <v>0</v>
      </c>
      <c r="V531" s="4">
        <f>IF(OR(INDEX($AH$2:$AH$1001,MATCH(ROWS($AG$2:AG531),$AG$2:$AG$1001,0),1)&gt;=100000,INDEX($AN$1005:$BO$1005,1,MATCH(COLUMNS($AN$1006:BH1006),$AN$1006:$BO$1006,0))&gt;=100000), " ",IF(INDEX($AN$2:$BO$1001,MATCH(ROWS($AG$2:AG531),$AG$2:$AG$1001,0),MATCH(COLUMNS($AN$1006:BH1006),$AN$1006:$BO$1006,0)), HYPERLINK("#",""), HYPERLINK(CONCATENATE("#Metadata!", ADDRESS(INDEX($AI$2:$AI$1001,MATCH(ROWS($AG$2:AG531),$AG$2:$AG$1001,0),0), INDEX($AN$1004:$BO$1004,1,MATCH(COLUMNS($AN$1006:BH1006),$AN$1006:$BO$1006,0)))),"Fix")))</f>
        <v>0</v>
      </c>
      <c r="W531" s="4">
        <f>IF(OR(INDEX($AH$2:$AH$1001,MATCH(ROWS($AG$2:AG531),$AG$2:$AG$1001,0),1)&gt;=100000,INDEX($AN$1005:$BO$1005,1,MATCH(COLUMNS($AN$1006:BI1006),$AN$1006:$BO$1006,0))&gt;=100000), " ",IF(INDEX($AN$2:$BO$1001,MATCH(ROWS($AG$2:AG531),$AG$2:$AG$1001,0),MATCH(COLUMNS($AN$1006:BI1006),$AN$1006:$BO$1006,0)), HYPERLINK("#",""), HYPERLINK(CONCATENATE("#Metadata!", ADDRESS(INDEX($AI$2:$AI$1001,MATCH(ROWS($AG$2:AG531),$AG$2:$AG$1001,0),0), INDEX($AN$1004:$BO$1004,1,MATCH(COLUMNS($AN$1006:BI1006),$AN$1006:$BO$1006,0)))),"Fix")))</f>
        <v>0</v>
      </c>
      <c r="X531" s="4">
        <f>IF(OR(INDEX($AH$2:$AH$1001,MATCH(ROWS($AG$2:AG531),$AG$2:$AG$1001,0),1)&gt;=100000,INDEX($AN$1005:$BO$1005,1,MATCH(COLUMNS($AN$1006:BJ1006),$AN$1006:$BO$1006,0))&gt;=100000), " ",IF(INDEX($AN$2:$BO$1001,MATCH(ROWS($AG$2:AG531),$AG$2:$AG$1001,0),MATCH(COLUMNS($AN$1006:BJ1006),$AN$1006:$BO$1006,0)), HYPERLINK("#",""), HYPERLINK(CONCATENATE("#Metadata!", ADDRESS(INDEX($AI$2:$AI$1001,MATCH(ROWS($AG$2:AG531),$AG$2:$AG$1001,0),0), INDEX($AN$1004:$BO$1004,1,MATCH(COLUMNS($AN$1006:BJ1006),$AN$1006:$BO$1006,0)))),"Fix")))</f>
        <v>0</v>
      </c>
      <c r="Y531" s="4">
        <f>IF(OR(INDEX($AH$2:$AH$1001,MATCH(ROWS($AG$2:AG531),$AG$2:$AG$1001,0),1)&gt;=100000,INDEX($AN$1005:$BO$1005,1,MATCH(COLUMNS($AN$1006:BK1006),$AN$1006:$BO$1006,0))&gt;=100000), " ",IF(INDEX($AN$2:$BO$1001,MATCH(ROWS($AG$2:AG531),$AG$2:$AG$1001,0),MATCH(COLUMNS($AN$1006:BK1006),$AN$1006:$BO$1006,0)), HYPERLINK("#",""), HYPERLINK(CONCATENATE("#Metadata!", ADDRESS(INDEX($AI$2:$AI$1001,MATCH(ROWS($AG$2:AG531),$AG$2:$AG$1001,0),0), INDEX($AN$1004:$BO$1004,1,MATCH(COLUMNS($AN$1006:BK1006),$AN$1006:$BO$1006,0)))),"Fix")))</f>
        <v>0</v>
      </c>
      <c r="Z531" s="4">
        <f>IF(OR(INDEX($AH$2:$AH$1001,MATCH(ROWS($AG$2:AG531),$AG$2:$AG$1001,0),1)&gt;=100000,INDEX($AN$1005:$BO$1005,1,MATCH(COLUMNS($AN$1006:BL1006),$AN$1006:$BO$1006,0))&gt;=100000), " ",IF(INDEX($AN$2:$BO$1001,MATCH(ROWS($AG$2:AG531),$AG$2:$AG$1001,0),MATCH(COLUMNS($AN$1006:BL1006),$AN$1006:$BO$1006,0)), HYPERLINK("#",""), HYPERLINK(CONCATENATE("#Metadata!", ADDRESS(INDEX($AI$2:$AI$1001,MATCH(ROWS($AG$2:AG531),$AG$2:$AG$1001,0),0), INDEX($AN$1004:$BO$1004,1,MATCH(COLUMNS($AN$1006:BL1006),$AN$1006:$BO$1006,0)))),"Fix")))</f>
        <v>0</v>
      </c>
      <c r="AA531" s="4">
        <f>IF(OR(INDEX($AH$2:$AH$1001,MATCH(ROWS($AG$2:AG531),$AG$2:$AG$1001,0),1)&gt;=100000,INDEX($AN$1005:$BO$1005,1,MATCH(COLUMNS($AN$1006:BM1006),$AN$1006:$BO$1006,0))&gt;=100000), " ",IF(INDEX($AN$2:$BO$1001,MATCH(ROWS($AG$2:AG531),$AG$2:$AG$1001,0),MATCH(COLUMNS($AN$1006:BM1006),$AN$1006:$BO$1006,0)), HYPERLINK("#",""), HYPERLINK(CONCATENATE("#Metadata!", ADDRESS(INDEX($AI$2:$AI$1001,MATCH(ROWS($AG$2:AG531),$AG$2:$AG$1001,0),0), INDEX($AN$1004:$BO$1004,1,MATCH(COLUMNS($AN$1006:BM1006),$AN$1006:$BO$1006,0)))),"Fix")))</f>
        <v>0</v>
      </c>
      <c r="AB531" s="4">
        <f>IF(OR(INDEX($AH$2:$AH$1001,MATCH(ROWS($AG$2:AG531),$AG$2:$AG$1001,0),1)&gt;=100000,INDEX($AN$1005:$BO$1005,1,MATCH(COLUMNS($AN$1006:BN1006),$AN$1006:$BO$1006,0))&gt;=100000), " ",IF(INDEX($AN$2:$BO$1001,MATCH(ROWS($AG$2:AG531),$AG$2:$AG$1001,0),MATCH(COLUMNS($AN$1006:BN1006),$AN$1006:$BO$1006,0)), HYPERLINK("#",""), HYPERLINK(CONCATENATE("#Metadata!", ADDRESS(INDEX($AI$2:$AI$1001,MATCH(ROWS($AG$2:AG531),$AG$2:$AG$1001,0),0), INDEX($AN$1004:$BO$1004,1,MATCH(COLUMNS($AN$1006:BN1006),$AN$1006:$BO$1006,0)))),"Fix")))</f>
        <v>0</v>
      </c>
      <c r="AC531" s="4">
        <f>IF(OR(INDEX($AH$2:$AH$1001,MATCH(ROWS($AG$2:AG531),$AG$2:$AG$1001,0),1)&gt;=100000,INDEX($AN$1005:$BO$1005,1,MATCH(COLUMNS($AN$1006:BO1006),$AN$1006:$BO$1006,0))&gt;=100000), " ",IF(INDEX($AN$2:$BO$1001,MATCH(ROWS($AG$2:AG531),$AG$2:$AG$1001,0),MATCH(COLUMNS($AN$1006:BO1006),$AN$1006:$BO$1006,0)), HYPERLINK("#",""), HYPERLINK(CONCATENATE("#Metadata!", ADDRESS(INDEX($AI$2:$AI$1001,MATCH(ROWS($AG$2:AG531),$AG$2:$AG$1001,0),0), INDEX($AN$1004:$BO$1004,1,MATCH(COLUMNS($AN$1006:BO1006),$AN$1006:$BO$1006,0)))),"Fix")))</f>
        <v>0</v>
      </c>
      <c r="AG531">
        <v>0</v>
      </c>
      <c r="AH531">
        <v>0</v>
      </c>
      <c r="AI531">
        <v>0</v>
      </c>
      <c r="AJ531">
        <f>IF(AK531,TRUE,AND(AN531:BO531))</f>
        <v>0</v>
      </c>
      <c r="AK531">
        <f>COUNTBLANK(Metadata!B531:AC531)=COLUMNS(Metadata!B531:AC531)</f>
        <v>0</v>
      </c>
      <c r="AL531">
        <v>0</v>
      </c>
      <c r="AN531">
        <f>AND(IF(Metadata!B531="",FALSE,TRUE),COUNTIF(Metadata!B:B, Metadata!B531) = 1,NOT(ISERROR(SUMPRODUCT(SEARCH(MID(Metadata!B531,ROW(INDIRECT("1:"&amp;LEN(Metadata!B531))), 1),"0123456789abcdefghijklmnopqrstuvwxyzABCDEFGHIJKLMNOPQRSTUVWXYZ.")))))</f>
        <v>0</v>
      </c>
      <c r="AO531">
        <f>IF(Metadata!C531="",FALSE,TRUE)</f>
        <v>0</v>
      </c>
      <c r="AP531">
        <f>IF(Metadata!D531="",FALSE,TRUE)</f>
        <v>0</v>
      </c>
      <c r="AQ531">
        <f>OR(AND(IF(Metadata!E531="",FALSE,TRUE),OR(exact(Metadata!E531,"not collected"),exact(Metadata!E531,"not provided"),exact(Metadata!E531,"restricted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R531">
        <f>IF(Metadata!F531="",FALSE,TRUE)</f>
        <v>0</v>
      </c>
      <c r="AS531">
        <f>OR(AND(IF(Metadata!G531="",FALSE,TRUE),OR(exact(Metadata!G531,"not collected"),exact(Metadata!G531,"not provided"))),AND(IF(Metadata!G531="",FALSE,TRUE),OR(exact(Metadata!G531,"TRUE"),exact(Metadata!G531,"FALSE"))))</f>
        <v>0</v>
      </c>
      <c r="AT531">
        <f>OR(AND(IF(Metadata!H531="",FALSE,TRUE),OR(exact(Metadata!H531,"not collected"),exact(Metadata!H531,"not provided"),exact(Metadata!H531,"restricted access"))),AND(IF(Metadata!H531="",FALSE,ISNUMBER(VALUE(Metadata!H531))),Metadata!H531&gt;=-413.0))</f>
        <v>0</v>
      </c>
      <c r="AU531">
        <f>AND(IF(Metadata!I531="",FALSE,TRUE),exact(Metadata!I531,"meters"))</f>
        <v>0</v>
      </c>
      <c r="AV531">
        <f>AND(IF(Metadata!J531="",FALSE,TRUE),OR(exact(Metadata!J531,"Host-associated"),exact(Metadata!J531,"Free-living")))</f>
        <v>0</v>
      </c>
      <c r="AW531">
        <f>AND(IF(Metadata!K531="",FALSE,TRUE),OR(exact(Metadata!K531,"Animal"),exact(Metadata!K531,"Fungus"),exact(Metadata!K531,"Plant"),exact(Metadata!K531,"Saline"),exact(Metadata!K531,"Non-saline")))</f>
        <v>0</v>
      </c>
      <c r="AX531">
        <f>AND(IF(Metadata!L531="",FALSE,TRUE),OR(exact(Metadata!L531,"Plant secretion"),exact(Metadata!L531,"Plant rhizosphere"),exact(Metadata!L531,"Plant surface"),exact(Metadata!L531,"Plant corpus"),exact(Metadata!L531,"Fungus surface"),exact(Metadata!L531,"Fungus corpus"),exact(Metadata!L531,"Animal surface"),exact(Metadata!L531,"Animal proximal gut"),exact(Metadata!L531,"Animal corpus"),exact(Metadata!L531,"Animal distal gut"),exact(Metadata!L531,"Animal secretion"),exact(Metadata!L531,"Sub-surface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Y531">
        <f>IF(Metadata!M531="",FALSE,TRUE)</f>
        <v>0</v>
      </c>
      <c r="AZ531">
        <f>IF(Metadata!N531="",FALSE,TRUE)</f>
        <v>0</v>
      </c>
      <c r="BA531">
        <f>IF(Metadata!O531="",FALSE,TRUE)</f>
        <v>0</v>
      </c>
      <c r="BB531">
        <f>OR(AND(IF(Metadata!P531="",FALSE,TRUE),OR(exact(Metadata!P531,"not collected"),exact(Metadata!P531,"not provided"),exact(Metadata!P531,"restricted access"))),AND(IF(Metadata!P531="",FALSE,TRUE),OR(exact(Metadata!P531,"air"),exact(Metadata!P531,"built environment"),exact(Metadata!P531,"host-associated"),exact(Metadata!P531,"human-associated"),exact(Metadata!P531,"human-skin"),exact(Metadata!P531,"human-oral"),exact(Metadata!P531,"human-gut"),exact(Metadata!P531,"human-vaginal"),exact(Metadata!P531,"microbial mat/biofilm"),exact(Metadata!P531,"misc environment"),exact(Metadata!P531,"plant-associated"),exact(Metadata!P531,"sediment"),exact(Metadata!P531,"soil"),exact(Metadata!P531,"wastewater/sludge"),exact(Metadata!P531,"water"))))</f>
        <v>0</v>
      </c>
      <c r="BC531">
        <f>IF(Metadata!Q531="",FALSE,TRUE)</f>
        <v>0</v>
      </c>
      <c r="BD531">
        <f>IF(Metadata!R531="",FALSE,TRUE)</f>
        <v>0</v>
      </c>
      <c r="BE531">
        <f>OR(AND(IF(Metadata!S531="",FALSE,TRUE),OR(exact(Metadata!S531,"not collected"),exact(Metadata!S531,"not provided"),exact(Metadata!S531,"restricted access"))),AND(IF(Metadata!S531="",FALSE,ISNUMBER(VALUE(Metadata!S531))),Metadata!S531&gt;=-90.00,Metadata!S531&lt;=90.00))</f>
        <v>0</v>
      </c>
      <c r="BF531">
        <f>AND(IF(Metadata!T531="",FALSE,TRUE),exact(Metadata!T531,"Decimal degrees"))</f>
        <v>0</v>
      </c>
      <c r="BG531">
        <f>OR(AND(IF(Metadata!U531="",FALSE,TRUE),OR(exact(Metadata!U531,"not collected"),exact(Metadata!U531,"not provided"),exact(Metadata!U531,"restricted access"))),AND(IF(Metadata!U531="",FALSE,ISNUMBER(VALUE(Metadata!U531))),Metadata!U531&gt;=-180.00,Metadata!U531&lt;=180.00))</f>
        <v>0</v>
      </c>
      <c r="BH531">
        <f>AND(IF(Metadata!V531="",FALSE,TRUE),exact(Metadata!V531,"Decimal degrees"))</f>
        <v>0</v>
      </c>
      <c r="BI531">
        <f>IF(Metadata!W531="",FALSE,TRUE)</f>
        <v>0</v>
      </c>
      <c r="BJ531">
        <f>OR(AND(IF(Metadata!X531="",FALSE,TRUE),OR(exact(Metadata!X531,"not collected"),exact(Metadata!X531,"not provided"),exact(Metadata!X531,"restricted access"))),AND(IF(Metadata!X531="",FALSE,TRUE),OR(exact(Metadata!X531,"TRUE"),exact(Metadata!X531,"FALSE"))))</f>
        <v>0</v>
      </c>
      <c r="BK531">
        <f>AND(IF(Metadata!Y531="",FALSE,TRUE),exact(Metadata!Y531,"other"))</f>
        <v>0</v>
      </c>
      <c r="BL531">
        <f>IF(Metadata!Z531="",FALSE,TRUE)</f>
        <v>0</v>
      </c>
      <c r="BM531">
        <f>OR(AND(IF(Metadata!AA531="",FALSE,TRUE),OR(exact(Metadata!AA531,"not collected"),exact(Metadata!AA531,"not provided"))),AND(IF(Metadata!AA531="",FALSE,IF(ISERROR(INT(Metadata!AA531)),FALSE,INT(Metadata!AA531)=Metadata!AA531)),Metadata!AA531&gt;0))</f>
        <v>0</v>
      </c>
      <c r="BN531">
        <f>AND(IF(Metadata!AB531="",FALSE,TRUE),exact(Metadata!AB531,"Not applicable"))</f>
        <v>0</v>
      </c>
      <c r="BO531">
        <f>IF(Metadata!AC531="",FALSE,TRUE)</f>
        <v>0</v>
      </c>
    </row>
    <row r="532" spans="1:67">
      <c r="A532" s="5">
        <f>IF(B532=" "," ",HYPERLINK(CONCATENATE("#metadata!",ADDRESS(INDEX($AI$2:$AI$1001,MATCH(ROWS($AG$2:AG532),$AG$2:$AG$1001,0),0),1)),INDEX($AL$2:$AL$1001,MATCH(ROWS($AG$2:AG532),$AG$2:$AG$1001,0),0)))</f>
        <v>0</v>
      </c>
      <c r="B532" s="4">
        <f>IF(OR(INDEX($AH$2:$AH$1001,MATCH(ROWS($AG$2:AG532),$AG$2:$AG$1001,0),1)&gt;=100000,INDEX($AN$1005:$BO$1005,1,MATCH(COLUMNS($AN$1006:AN1006),$AN$1006:$BO$1006,0))&gt;=100000), " ",IF(INDEX($AN$2:$BO$1001,MATCH(ROWS($AG$2:AG532),$AG$2:$AG$1001,0),MATCH(COLUMNS($AN$1006:AN1006),$AN$1006:$BO$1006,0)), HYPERLINK("#",""), HYPERLINK(CONCATENATE("#Metadata!", ADDRESS(INDEX($AI$2:$AI$1001,MATCH(ROWS($AG$2:AG532),$AG$2:$AG$1001,0),0), INDEX($AN$1004:$BO$1004,1,MATCH(COLUMNS($AN$1006:AN1006),$AN$1006:$BO$1006,0)))),"Fix")))</f>
        <v>0</v>
      </c>
      <c r="C532" s="4">
        <f>IF(OR(INDEX($AH$2:$AH$1001,MATCH(ROWS($AG$2:AG532),$AG$2:$AG$1001,0),1)&gt;=100000,INDEX($AN$1005:$BO$1005,1,MATCH(COLUMNS($AN$1006:AO1006),$AN$1006:$BO$1006,0))&gt;=100000), " ",IF(INDEX($AN$2:$BO$1001,MATCH(ROWS($AG$2:AG532),$AG$2:$AG$1001,0),MATCH(COLUMNS($AN$1006:AO1006),$AN$1006:$BO$1006,0)), HYPERLINK("#",""), HYPERLINK(CONCATENATE("#Metadata!", ADDRESS(INDEX($AI$2:$AI$1001,MATCH(ROWS($AG$2:AG532),$AG$2:$AG$1001,0),0), INDEX($AN$1004:$BO$1004,1,MATCH(COLUMNS($AN$1006:AO1006),$AN$1006:$BO$1006,0)))),"Fix")))</f>
        <v>0</v>
      </c>
      <c r="D532" s="4">
        <f>IF(OR(INDEX($AH$2:$AH$1001,MATCH(ROWS($AG$2:AG532),$AG$2:$AG$1001,0),1)&gt;=100000,INDEX($AN$1005:$BO$1005,1,MATCH(COLUMNS($AN$1006:AP1006),$AN$1006:$BO$1006,0))&gt;=100000), " ",IF(INDEX($AN$2:$BO$1001,MATCH(ROWS($AG$2:AG532),$AG$2:$AG$1001,0),MATCH(COLUMNS($AN$1006:AP1006),$AN$1006:$BO$1006,0)), HYPERLINK("#",""), HYPERLINK(CONCATENATE("#Metadata!", ADDRESS(INDEX($AI$2:$AI$1001,MATCH(ROWS($AG$2:AG532),$AG$2:$AG$1001,0),0), INDEX($AN$1004:$BO$1004,1,MATCH(COLUMNS($AN$1006:AP1006),$AN$1006:$BO$1006,0)))),"Fix")))</f>
        <v>0</v>
      </c>
      <c r="E532" s="4">
        <f>IF(OR(INDEX($AH$2:$AH$1001,MATCH(ROWS($AG$2:AG532),$AG$2:$AG$1001,0),1)&gt;=100000,INDEX($AN$1005:$BO$1005,1,MATCH(COLUMNS($AN$1006:AQ1006),$AN$1006:$BO$1006,0))&gt;=100000), " ",IF(INDEX($AN$2:$BO$1001,MATCH(ROWS($AG$2:AG532),$AG$2:$AG$1001,0),MATCH(COLUMNS($AN$1006:AQ1006),$AN$1006:$BO$1006,0)), HYPERLINK("#",""), HYPERLINK(CONCATENATE("#Metadata!", ADDRESS(INDEX($AI$2:$AI$1001,MATCH(ROWS($AG$2:AG532),$AG$2:$AG$1001,0),0), INDEX($AN$1004:$BO$1004,1,MATCH(COLUMNS($AN$1006:AQ1006),$AN$1006:$BO$1006,0)))),"Fix")))</f>
        <v>0</v>
      </c>
      <c r="F532" s="4">
        <f>IF(OR(INDEX($AH$2:$AH$1001,MATCH(ROWS($AG$2:AG532),$AG$2:$AG$1001,0),1)&gt;=100000,INDEX($AN$1005:$BO$1005,1,MATCH(COLUMNS($AN$1006:AR1006),$AN$1006:$BO$1006,0))&gt;=100000), " ",IF(INDEX($AN$2:$BO$1001,MATCH(ROWS($AG$2:AG532),$AG$2:$AG$1001,0),MATCH(COLUMNS($AN$1006:AR1006),$AN$1006:$BO$1006,0)), HYPERLINK("#",""), HYPERLINK(CONCATENATE("#Metadata!", ADDRESS(INDEX($AI$2:$AI$1001,MATCH(ROWS($AG$2:AG532),$AG$2:$AG$1001,0),0), INDEX($AN$1004:$BO$1004,1,MATCH(COLUMNS($AN$1006:AR1006),$AN$1006:$BO$1006,0)))),"Fix")))</f>
        <v>0</v>
      </c>
      <c r="G532" s="4">
        <f>IF(OR(INDEX($AH$2:$AH$1001,MATCH(ROWS($AG$2:AG532),$AG$2:$AG$1001,0),1)&gt;=100000,INDEX($AN$1005:$BO$1005,1,MATCH(COLUMNS($AN$1006:AS1006),$AN$1006:$BO$1006,0))&gt;=100000), " ",IF(INDEX($AN$2:$BO$1001,MATCH(ROWS($AG$2:AG532),$AG$2:$AG$1001,0),MATCH(COLUMNS($AN$1006:AS1006),$AN$1006:$BO$1006,0)), HYPERLINK("#",""), HYPERLINK(CONCATENATE("#Metadata!", ADDRESS(INDEX($AI$2:$AI$1001,MATCH(ROWS($AG$2:AG532),$AG$2:$AG$1001,0),0), INDEX($AN$1004:$BO$1004,1,MATCH(COLUMNS($AN$1006:AS1006),$AN$1006:$BO$1006,0)))),"Fix")))</f>
        <v>0</v>
      </c>
      <c r="H532" s="4">
        <f>IF(OR(INDEX($AH$2:$AH$1001,MATCH(ROWS($AG$2:AG532),$AG$2:$AG$1001,0),1)&gt;=100000,INDEX($AN$1005:$BO$1005,1,MATCH(COLUMNS($AN$1006:AT1006),$AN$1006:$BO$1006,0))&gt;=100000), " ",IF(INDEX($AN$2:$BO$1001,MATCH(ROWS($AG$2:AG532),$AG$2:$AG$1001,0),MATCH(COLUMNS($AN$1006:AT1006),$AN$1006:$BO$1006,0)), HYPERLINK("#",""), HYPERLINK(CONCATENATE("#Metadata!", ADDRESS(INDEX($AI$2:$AI$1001,MATCH(ROWS($AG$2:AG532),$AG$2:$AG$1001,0),0), INDEX($AN$1004:$BO$1004,1,MATCH(COLUMNS($AN$1006:AT1006),$AN$1006:$BO$1006,0)))),"Fix")))</f>
        <v>0</v>
      </c>
      <c r="I532" s="4">
        <f>IF(OR(INDEX($AH$2:$AH$1001,MATCH(ROWS($AG$2:AG532),$AG$2:$AG$1001,0),1)&gt;=100000,INDEX($AN$1005:$BO$1005,1,MATCH(COLUMNS($AN$1006:AU1006),$AN$1006:$BO$1006,0))&gt;=100000), " ",IF(INDEX($AN$2:$BO$1001,MATCH(ROWS($AG$2:AG532),$AG$2:$AG$1001,0),MATCH(COLUMNS($AN$1006:AU1006),$AN$1006:$BO$1006,0)), HYPERLINK("#",""), HYPERLINK(CONCATENATE("#Metadata!", ADDRESS(INDEX($AI$2:$AI$1001,MATCH(ROWS($AG$2:AG532),$AG$2:$AG$1001,0),0), INDEX($AN$1004:$BO$1004,1,MATCH(COLUMNS($AN$1006:AU1006),$AN$1006:$BO$1006,0)))),"Fix")))</f>
        <v>0</v>
      </c>
      <c r="J532" s="4">
        <f>IF(OR(INDEX($AH$2:$AH$1001,MATCH(ROWS($AG$2:AG532),$AG$2:$AG$1001,0),1)&gt;=100000,INDEX($AN$1005:$BO$1005,1,MATCH(COLUMNS($AN$1006:AV1006),$AN$1006:$BO$1006,0))&gt;=100000), " ",IF(INDEX($AN$2:$BO$1001,MATCH(ROWS($AG$2:AG532),$AG$2:$AG$1001,0),MATCH(COLUMNS($AN$1006:AV1006),$AN$1006:$BO$1006,0)), HYPERLINK("#",""), HYPERLINK(CONCATENATE("#Metadata!", ADDRESS(INDEX($AI$2:$AI$1001,MATCH(ROWS($AG$2:AG532),$AG$2:$AG$1001,0),0), INDEX($AN$1004:$BO$1004,1,MATCH(COLUMNS($AN$1006:AV1006),$AN$1006:$BO$1006,0)))),"Fix")))</f>
        <v>0</v>
      </c>
      <c r="K532" s="4">
        <f>IF(OR(INDEX($AH$2:$AH$1001,MATCH(ROWS($AG$2:AG532),$AG$2:$AG$1001,0),1)&gt;=100000,INDEX($AN$1005:$BO$1005,1,MATCH(COLUMNS($AN$1006:AW1006),$AN$1006:$BO$1006,0))&gt;=100000), " ",IF(INDEX($AN$2:$BO$1001,MATCH(ROWS($AG$2:AG532),$AG$2:$AG$1001,0),MATCH(COLUMNS($AN$1006:AW1006),$AN$1006:$BO$1006,0)), HYPERLINK("#",""), HYPERLINK(CONCATENATE("#Metadata!", ADDRESS(INDEX($AI$2:$AI$1001,MATCH(ROWS($AG$2:AG532),$AG$2:$AG$1001,0),0), INDEX($AN$1004:$BO$1004,1,MATCH(COLUMNS($AN$1006:AW1006),$AN$1006:$BO$1006,0)))),"Fix")))</f>
        <v>0</v>
      </c>
      <c r="L532" s="4">
        <f>IF(OR(INDEX($AH$2:$AH$1001,MATCH(ROWS($AG$2:AG532),$AG$2:$AG$1001,0),1)&gt;=100000,INDEX($AN$1005:$BO$1005,1,MATCH(COLUMNS($AN$1006:AX1006),$AN$1006:$BO$1006,0))&gt;=100000), " ",IF(INDEX($AN$2:$BO$1001,MATCH(ROWS($AG$2:AG532),$AG$2:$AG$1001,0),MATCH(COLUMNS($AN$1006:AX1006),$AN$1006:$BO$1006,0)), HYPERLINK("#",""), HYPERLINK(CONCATENATE("#Metadata!", ADDRESS(INDEX($AI$2:$AI$1001,MATCH(ROWS($AG$2:AG532),$AG$2:$AG$1001,0),0), INDEX($AN$1004:$BO$1004,1,MATCH(COLUMNS($AN$1006:AX1006),$AN$1006:$BO$1006,0)))),"Fix")))</f>
        <v>0</v>
      </c>
      <c r="M532" s="4">
        <f>IF(OR(INDEX($AH$2:$AH$1001,MATCH(ROWS($AG$2:AG532),$AG$2:$AG$1001,0),1)&gt;=100000,INDEX($AN$1005:$BO$1005,1,MATCH(COLUMNS($AN$1006:AY1006),$AN$1006:$BO$1006,0))&gt;=100000), " ",IF(INDEX($AN$2:$BO$1001,MATCH(ROWS($AG$2:AG532),$AG$2:$AG$1001,0),MATCH(COLUMNS($AN$1006:AY1006),$AN$1006:$BO$1006,0)), HYPERLINK("#",""), HYPERLINK(CONCATENATE("#Metadata!", ADDRESS(INDEX($AI$2:$AI$1001,MATCH(ROWS($AG$2:AG532),$AG$2:$AG$1001,0),0), INDEX($AN$1004:$BO$1004,1,MATCH(COLUMNS($AN$1006:AY1006),$AN$1006:$BO$1006,0)))),"Fix")))</f>
        <v>0</v>
      </c>
      <c r="N532" s="4">
        <f>IF(OR(INDEX($AH$2:$AH$1001,MATCH(ROWS($AG$2:AG532),$AG$2:$AG$1001,0),1)&gt;=100000,INDEX($AN$1005:$BO$1005,1,MATCH(COLUMNS($AN$1006:AZ1006),$AN$1006:$BO$1006,0))&gt;=100000), " ",IF(INDEX($AN$2:$BO$1001,MATCH(ROWS($AG$2:AG532),$AG$2:$AG$1001,0),MATCH(COLUMNS($AN$1006:AZ1006),$AN$1006:$BO$1006,0)), HYPERLINK("#",""), HYPERLINK(CONCATENATE("#Metadata!", ADDRESS(INDEX($AI$2:$AI$1001,MATCH(ROWS($AG$2:AG532),$AG$2:$AG$1001,0),0), INDEX($AN$1004:$BO$1004,1,MATCH(COLUMNS($AN$1006:AZ1006),$AN$1006:$BO$1006,0)))),"Fix")))</f>
        <v>0</v>
      </c>
      <c r="O532" s="4">
        <f>IF(OR(INDEX($AH$2:$AH$1001,MATCH(ROWS($AG$2:AG532),$AG$2:$AG$1001,0),1)&gt;=100000,INDEX($AN$1005:$BO$1005,1,MATCH(COLUMNS($AN$1006:BA1006),$AN$1006:$BO$1006,0))&gt;=100000), " ",IF(INDEX($AN$2:$BO$1001,MATCH(ROWS($AG$2:AG532),$AG$2:$AG$1001,0),MATCH(COLUMNS($AN$1006:BA1006),$AN$1006:$BO$1006,0)), HYPERLINK("#",""), HYPERLINK(CONCATENATE("#Metadata!", ADDRESS(INDEX($AI$2:$AI$1001,MATCH(ROWS($AG$2:AG532),$AG$2:$AG$1001,0),0), INDEX($AN$1004:$BO$1004,1,MATCH(COLUMNS($AN$1006:BA1006),$AN$1006:$BO$1006,0)))),"Fix")))</f>
        <v>0</v>
      </c>
      <c r="P532" s="4">
        <f>IF(OR(INDEX($AH$2:$AH$1001,MATCH(ROWS($AG$2:AG532),$AG$2:$AG$1001,0),1)&gt;=100000,INDEX($AN$1005:$BO$1005,1,MATCH(COLUMNS($AN$1006:BB1006),$AN$1006:$BO$1006,0))&gt;=100000), " ",IF(INDEX($AN$2:$BO$1001,MATCH(ROWS($AG$2:AG532),$AG$2:$AG$1001,0),MATCH(COLUMNS($AN$1006:BB1006),$AN$1006:$BO$1006,0)), HYPERLINK("#",""), HYPERLINK(CONCATENATE("#Metadata!", ADDRESS(INDEX($AI$2:$AI$1001,MATCH(ROWS($AG$2:AG532),$AG$2:$AG$1001,0),0), INDEX($AN$1004:$BO$1004,1,MATCH(COLUMNS($AN$1006:BB1006),$AN$1006:$BO$1006,0)))),"Fix")))</f>
        <v>0</v>
      </c>
      <c r="Q532" s="4">
        <f>IF(OR(INDEX($AH$2:$AH$1001,MATCH(ROWS($AG$2:AG532),$AG$2:$AG$1001,0),1)&gt;=100000,INDEX($AN$1005:$BO$1005,1,MATCH(COLUMNS($AN$1006:BC1006),$AN$1006:$BO$1006,0))&gt;=100000), " ",IF(INDEX($AN$2:$BO$1001,MATCH(ROWS($AG$2:AG532),$AG$2:$AG$1001,0),MATCH(COLUMNS($AN$1006:BC1006),$AN$1006:$BO$1006,0)), HYPERLINK("#",""), HYPERLINK(CONCATENATE("#Metadata!", ADDRESS(INDEX($AI$2:$AI$1001,MATCH(ROWS($AG$2:AG532),$AG$2:$AG$1001,0),0), INDEX($AN$1004:$BO$1004,1,MATCH(COLUMNS($AN$1006:BC1006),$AN$1006:$BO$1006,0)))),"Fix")))</f>
        <v>0</v>
      </c>
      <c r="R532" s="4">
        <f>IF(OR(INDEX($AH$2:$AH$1001,MATCH(ROWS($AG$2:AG532),$AG$2:$AG$1001,0),1)&gt;=100000,INDEX($AN$1005:$BO$1005,1,MATCH(COLUMNS($AN$1006:BD1006),$AN$1006:$BO$1006,0))&gt;=100000), " ",IF(INDEX($AN$2:$BO$1001,MATCH(ROWS($AG$2:AG532),$AG$2:$AG$1001,0),MATCH(COLUMNS($AN$1006:BD1006),$AN$1006:$BO$1006,0)), HYPERLINK("#",""), HYPERLINK(CONCATENATE("#Metadata!", ADDRESS(INDEX($AI$2:$AI$1001,MATCH(ROWS($AG$2:AG532),$AG$2:$AG$1001,0),0), INDEX($AN$1004:$BO$1004,1,MATCH(COLUMNS($AN$1006:BD1006),$AN$1006:$BO$1006,0)))),"Fix")))</f>
        <v>0</v>
      </c>
      <c r="S532" s="4">
        <f>IF(OR(INDEX($AH$2:$AH$1001,MATCH(ROWS($AG$2:AG532),$AG$2:$AG$1001,0),1)&gt;=100000,INDEX($AN$1005:$BO$1005,1,MATCH(COLUMNS($AN$1006:BE1006),$AN$1006:$BO$1006,0))&gt;=100000), " ",IF(INDEX($AN$2:$BO$1001,MATCH(ROWS($AG$2:AG532),$AG$2:$AG$1001,0),MATCH(COLUMNS($AN$1006:BE1006),$AN$1006:$BO$1006,0)), HYPERLINK("#",""), HYPERLINK(CONCATENATE("#Metadata!", ADDRESS(INDEX($AI$2:$AI$1001,MATCH(ROWS($AG$2:AG532),$AG$2:$AG$1001,0),0), INDEX($AN$1004:$BO$1004,1,MATCH(COLUMNS($AN$1006:BE1006),$AN$1006:$BO$1006,0)))),"Fix")))</f>
        <v>0</v>
      </c>
      <c r="T532" s="4">
        <f>IF(OR(INDEX($AH$2:$AH$1001,MATCH(ROWS($AG$2:AG532),$AG$2:$AG$1001,0),1)&gt;=100000,INDEX($AN$1005:$BO$1005,1,MATCH(COLUMNS($AN$1006:BF1006),$AN$1006:$BO$1006,0))&gt;=100000), " ",IF(INDEX($AN$2:$BO$1001,MATCH(ROWS($AG$2:AG532),$AG$2:$AG$1001,0),MATCH(COLUMNS($AN$1006:BF1006),$AN$1006:$BO$1006,0)), HYPERLINK("#",""), HYPERLINK(CONCATENATE("#Metadata!", ADDRESS(INDEX($AI$2:$AI$1001,MATCH(ROWS($AG$2:AG532),$AG$2:$AG$1001,0),0), INDEX($AN$1004:$BO$1004,1,MATCH(COLUMNS($AN$1006:BF1006),$AN$1006:$BO$1006,0)))),"Fix")))</f>
        <v>0</v>
      </c>
      <c r="U532" s="4">
        <f>IF(OR(INDEX($AH$2:$AH$1001,MATCH(ROWS($AG$2:AG532),$AG$2:$AG$1001,0),1)&gt;=100000,INDEX($AN$1005:$BO$1005,1,MATCH(COLUMNS($AN$1006:BG1006),$AN$1006:$BO$1006,0))&gt;=100000), " ",IF(INDEX($AN$2:$BO$1001,MATCH(ROWS($AG$2:AG532),$AG$2:$AG$1001,0),MATCH(COLUMNS($AN$1006:BG1006),$AN$1006:$BO$1006,0)), HYPERLINK("#",""), HYPERLINK(CONCATENATE("#Metadata!", ADDRESS(INDEX($AI$2:$AI$1001,MATCH(ROWS($AG$2:AG532),$AG$2:$AG$1001,0),0), INDEX($AN$1004:$BO$1004,1,MATCH(COLUMNS($AN$1006:BG1006),$AN$1006:$BO$1006,0)))),"Fix")))</f>
        <v>0</v>
      </c>
      <c r="V532" s="4">
        <f>IF(OR(INDEX($AH$2:$AH$1001,MATCH(ROWS($AG$2:AG532),$AG$2:$AG$1001,0),1)&gt;=100000,INDEX($AN$1005:$BO$1005,1,MATCH(COLUMNS($AN$1006:BH1006),$AN$1006:$BO$1006,0))&gt;=100000), " ",IF(INDEX($AN$2:$BO$1001,MATCH(ROWS($AG$2:AG532),$AG$2:$AG$1001,0),MATCH(COLUMNS($AN$1006:BH1006),$AN$1006:$BO$1006,0)), HYPERLINK("#",""), HYPERLINK(CONCATENATE("#Metadata!", ADDRESS(INDEX($AI$2:$AI$1001,MATCH(ROWS($AG$2:AG532),$AG$2:$AG$1001,0),0), INDEX($AN$1004:$BO$1004,1,MATCH(COLUMNS($AN$1006:BH1006),$AN$1006:$BO$1006,0)))),"Fix")))</f>
        <v>0</v>
      </c>
      <c r="W532" s="4">
        <f>IF(OR(INDEX($AH$2:$AH$1001,MATCH(ROWS($AG$2:AG532),$AG$2:$AG$1001,0),1)&gt;=100000,INDEX($AN$1005:$BO$1005,1,MATCH(COLUMNS($AN$1006:BI1006),$AN$1006:$BO$1006,0))&gt;=100000), " ",IF(INDEX($AN$2:$BO$1001,MATCH(ROWS($AG$2:AG532),$AG$2:$AG$1001,0),MATCH(COLUMNS($AN$1006:BI1006),$AN$1006:$BO$1006,0)), HYPERLINK("#",""), HYPERLINK(CONCATENATE("#Metadata!", ADDRESS(INDEX($AI$2:$AI$1001,MATCH(ROWS($AG$2:AG532),$AG$2:$AG$1001,0),0), INDEX($AN$1004:$BO$1004,1,MATCH(COLUMNS($AN$1006:BI1006),$AN$1006:$BO$1006,0)))),"Fix")))</f>
        <v>0</v>
      </c>
      <c r="X532" s="4">
        <f>IF(OR(INDEX($AH$2:$AH$1001,MATCH(ROWS($AG$2:AG532),$AG$2:$AG$1001,0),1)&gt;=100000,INDEX($AN$1005:$BO$1005,1,MATCH(COLUMNS($AN$1006:BJ1006),$AN$1006:$BO$1006,0))&gt;=100000), " ",IF(INDEX($AN$2:$BO$1001,MATCH(ROWS($AG$2:AG532),$AG$2:$AG$1001,0),MATCH(COLUMNS($AN$1006:BJ1006),$AN$1006:$BO$1006,0)), HYPERLINK("#",""), HYPERLINK(CONCATENATE("#Metadata!", ADDRESS(INDEX($AI$2:$AI$1001,MATCH(ROWS($AG$2:AG532),$AG$2:$AG$1001,0),0), INDEX($AN$1004:$BO$1004,1,MATCH(COLUMNS($AN$1006:BJ1006),$AN$1006:$BO$1006,0)))),"Fix")))</f>
        <v>0</v>
      </c>
      <c r="Y532" s="4">
        <f>IF(OR(INDEX($AH$2:$AH$1001,MATCH(ROWS($AG$2:AG532),$AG$2:$AG$1001,0),1)&gt;=100000,INDEX($AN$1005:$BO$1005,1,MATCH(COLUMNS($AN$1006:BK1006),$AN$1006:$BO$1006,0))&gt;=100000), " ",IF(INDEX($AN$2:$BO$1001,MATCH(ROWS($AG$2:AG532),$AG$2:$AG$1001,0),MATCH(COLUMNS($AN$1006:BK1006),$AN$1006:$BO$1006,0)), HYPERLINK("#",""), HYPERLINK(CONCATENATE("#Metadata!", ADDRESS(INDEX($AI$2:$AI$1001,MATCH(ROWS($AG$2:AG532),$AG$2:$AG$1001,0),0), INDEX($AN$1004:$BO$1004,1,MATCH(COLUMNS($AN$1006:BK1006),$AN$1006:$BO$1006,0)))),"Fix")))</f>
        <v>0</v>
      </c>
      <c r="Z532" s="4">
        <f>IF(OR(INDEX($AH$2:$AH$1001,MATCH(ROWS($AG$2:AG532),$AG$2:$AG$1001,0),1)&gt;=100000,INDEX($AN$1005:$BO$1005,1,MATCH(COLUMNS($AN$1006:BL1006),$AN$1006:$BO$1006,0))&gt;=100000), " ",IF(INDEX($AN$2:$BO$1001,MATCH(ROWS($AG$2:AG532),$AG$2:$AG$1001,0),MATCH(COLUMNS($AN$1006:BL1006),$AN$1006:$BO$1006,0)), HYPERLINK("#",""), HYPERLINK(CONCATENATE("#Metadata!", ADDRESS(INDEX($AI$2:$AI$1001,MATCH(ROWS($AG$2:AG532),$AG$2:$AG$1001,0),0), INDEX($AN$1004:$BO$1004,1,MATCH(COLUMNS($AN$1006:BL1006),$AN$1006:$BO$1006,0)))),"Fix")))</f>
        <v>0</v>
      </c>
      <c r="AA532" s="4">
        <f>IF(OR(INDEX($AH$2:$AH$1001,MATCH(ROWS($AG$2:AG532),$AG$2:$AG$1001,0),1)&gt;=100000,INDEX($AN$1005:$BO$1005,1,MATCH(COLUMNS($AN$1006:BM1006),$AN$1006:$BO$1006,0))&gt;=100000), " ",IF(INDEX($AN$2:$BO$1001,MATCH(ROWS($AG$2:AG532),$AG$2:$AG$1001,0),MATCH(COLUMNS($AN$1006:BM1006),$AN$1006:$BO$1006,0)), HYPERLINK("#",""), HYPERLINK(CONCATENATE("#Metadata!", ADDRESS(INDEX($AI$2:$AI$1001,MATCH(ROWS($AG$2:AG532),$AG$2:$AG$1001,0),0), INDEX($AN$1004:$BO$1004,1,MATCH(COLUMNS($AN$1006:BM1006),$AN$1006:$BO$1006,0)))),"Fix")))</f>
        <v>0</v>
      </c>
      <c r="AB532" s="4">
        <f>IF(OR(INDEX($AH$2:$AH$1001,MATCH(ROWS($AG$2:AG532),$AG$2:$AG$1001,0),1)&gt;=100000,INDEX($AN$1005:$BO$1005,1,MATCH(COLUMNS($AN$1006:BN1006),$AN$1006:$BO$1006,0))&gt;=100000), " ",IF(INDEX($AN$2:$BO$1001,MATCH(ROWS($AG$2:AG532),$AG$2:$AG$1001,0),MATCH(COLUMNS($AN$1006:BN1006),$AN$1006:$BO$1006,0)), HYPERLINK("#",""), HYPERLINK(CONCATENATE("#Metadata!", ADDRESS(INDEX($AI$2:$AI$1001,MATCH(ROWS($AG$2:AG532),$AG$2:$AG$1001,0),0), INDEX($AN$1004:$BO$1004,1,MATCH(COLUMNS($AN$1006:BN1006),$AN$1006:$BO$1006,0)))),"Fix")))</f>
        <v>0</v>
      </c>
      <c r="AC532" s="4">
        <f>IF(OR(INDEX($AH$2:$AH$1001,MATCH(ROWS($AG$2:AG532),$AG$2:$AG$1001,0),1)&gt;=100000,INDEX($AN$1005:$BO$1005,1,MATCH(COLUMNS($AN$1006:BO1006),$AN$1006:$BO$1006,0))&gt;=100000), " ",IF(INDEX($AN$2:$BO$1001,MATCH(ROWS($AG$2:AG532),$AG$2:$AG$1001,0),MATCH(COLUMNS($AN$1006:BO1006),$AN$1006:$BO$1006,0)), HYPERLINK("#",""), HYPERLINK(CONCATENATE("#Metadata!", ADDRESS(INDEX($AI$2:$AI$1001,MATCH(ROWS($AG$2:AG532),$AG$2:$AG$1001,0),0), INDEX($AN$1004:$BO$1004,1,MATCH(COLUMNS($AN$1006:BO1006),$AN$1006:$BO$1006,0)))),"Fix")))</f>
        <v>0</v>
      </c>
      <c r="AG532">
        <v>0</v>
      </c>
      <c r="AH532">
        <v>0</v>
      </c>
      <c r="AI532">
        <v>0</v>
      </c>
      <c r="AJ532">
        <f>IF(AK532,TRUE,AND(AN532:BO532))</f>
        <v>0</v>
      </c>
      <c r="AK532">
        <f>COUNTBLANK(Metadata!B532:AC532)=COLUMNS(Metadata!B532:AC532)</f>
        <v>0</v>
      </c>
      <c r="AL532">
        <v>0</v>
      </c>
      <c r="AN532">
        <f>AND(IF(Metadata!B532="",FALSE,TRUE),COUNTIF(Metadata!B:B, Metadata!B532) = 1,NOT(ISERROR(SUMPRODUCT(SEARCH(MID(Metadata!B532,ROW(INDIRECT("1:"&amp;LEN(Metadata!B532))), 1),"0123456789abcdefghijklmnopqrstuvwxyzABCDEFGHIJKLMNOPQRSTUVWXYZ.")))))</f>
        <v>0</v>
      </c>
      <c r="AO532">
        <f>IF(Metadata!C532="",FALSE,TRUE)</f>
        <v>0</v>
      </c>
      <c r="AP532">
        <f>IF(Metadata!D532="",FALSE,TRUE)</f>
        <v>0</v>
      </c>
      <c r="AQ532">
        <f>OR(AND(IF(Metadata!E532="",FALSE,TRUE),OR(exact(Metadata!E532,"not collected"),exact(Metadata!E532,"not provided"),exact(Metadata!E532,"restricted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R532">
        <f>IF(Metadata!F532="",FALSE,TRUE)</f>
        <v>0</v>
      </c>
      <c r="AS532">
        <f>OR(AND(IF(Metadata!G532="",FALSE,TRUE),OR(exact(Metadata!G532,"not collected"),exact(Metadata!G532,"not provided"))),AND(IF(Metadata!G532="",FALSE,TRUE),OR(exact(Metadata!G532,"TRUE"),exact(Metadata!G532,"FALSE"))))</f>
        <v>0</v>
      </c>
      <c r="AT532">
        <f>OR(AND(IF(Metadata!H532="",FALSE,TRUE),OR(exact(Metadata!H532,"not collected"),exact(Metadata!H532,"not provided"),exact(Metadata!H532,"restricted access"))),AND(IF(Metadata!H532="",FALSE,ISNUMBER(VALUE(Metadata!H532))),Metadata!H532&gt;=-413.0))</f>
        <v>0</v>
      </c>
      <c r="AU532">
        <f>AND(IF(Metadata!I532="",FALSE,TRUE),exact(Metadata!I532,"meters"))</f>
        <v>0</v>
      </c>
      <c r="AV532">
        <f>AND(IF(Metadata!J532="",FALSE,TRUE),OR(exact(Metadata!J532,"Host-associated"),exact(Metadata!J532,"Free-living")))</f>
        <v>0</v>
      </c>
      <c r="AW532">
        <f>AND(IF(Metadata!K532="",FALSE,TRUE),OR(exact(Metadata!K532,"Animal"),exact(Metadata!K532,"Fungus"),exact(Metadata!K532,"Plant"),exact(Metadata!K532,"Saline"),exact(Metadata!K532,"Non-saline")))</f>
        <v>0</v>
      </c>
      <c r="AX532">
        <f>AND(IF(Metadata!L532="",FALSE,TRUE),OR(exact(Metadata!L532,"Plant secretion"),exact(Metadata!L532,"Plant rhizosphere"),exact(Metadata!L532,"Plant surface"),exact(Metadata!L532,"Plant corpus"),exact(Metadata!L532,"Fungus surface"),exact(Metadata!L532,"Fungus corpus"),exact(Metadata!L532,"Animal surface"),exact(Metadata!L532,"Animal proximal gut"),exact(Metadata!L532,"Animal corpus"),exact(Metadata!L532,"Animal distal gut"),exact(Metadata!L532,"Animal secretion"),exact(Metadata!L532,"Sub-surface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Y532">
        <f>IF(Metadata!M532="",FALSE,TRUE)</f>
        <v>0</v>
      </c>
      <c r="AZ532">
        <f>IF(Metadata!N532="",FALSE,TRUE)</f>
        <v>0</v>
      </c>
      <c r="BA532">
        <f>IF(Metadata!O532="",FALSE,TRUE)</f>
        <v>0</v>
      </c>
      <c r="BB532">
        <f>OR(AND(IF(Metadata!P532="",FALSE,TRUE),OR(exact(Metadata!P532,"not collected"),exact(Metadata!P532,"not provided"),exact(Metadata!P532,"restricted access"))),AND(IF(Metadata!P532="",FALSE,TRUE),OR(exact(Metadata!P532,"air"),exact(Metadata!P532,"built environment"),exact(Metadata!P532,"host-associated"),exact(Metadata!P532,"human-associated"),exact(Metadata!P532,"human-skin"),exact(Metadata!P532,"human-oral"),exact(Metadata!P532,"human-gut"),exact(Metadata!P532,"human-vaginal"),exact(Metadata!P532,"microbial mat/biofilm"),exact(Metadata!P532,"misc environment"),exact(Metadata!P532,"plant-associated"),exact(Metadata!P532,"sediment"),exact(Metadata!P532,"soil"),exact(Metadata!P532,"wastewater/sludge"),exact(Metadata!P532,"water"))))</f>
        <v>0</v>
      </c>
      <c r="BC532">
        <f>IF(Metadata!Q532="",FALSE,TRUE)</f>
        <v>0</v>
      </c>
      <c r="BD532">
        <f>IF(Metadata!R532="",FALSE,TRUE)</f>
        <v>0</v>
      </c>
      <c r="BE532">
        <f>OR(AND(IF(Metadata!S532="",FALSE,TRUE),OR(exact(Metadata!S532,"not collected"),exact(Metadata!S532,"not provided"),exact(Metadata!S532,"restricted access"))),AND(IF(Metadata!S532="",FALSE,ISNUMBER(VALUE(Metadata!S532))),Metadata!S532&gt;=-90.00,Metadata!S532&lt;=90.00))</f>
        <v>0</v>
      </c>
      <c r="BF532">
        <f>AND(IF(Metadata!T532="",FALSE,TRUE),exact(Metadata!T532,"Decimal degrees"))</f>
        <v>0</v>
      </c>
      <c r="BG532">
        <f>OR(AND(IF(Metadata!U532="",FALSE,TRUE),OR(exact(Metadata!U532,"not collected"),exact(Metadata!U532,"not provided"),exact(Metadata!U532,"restricted access"))),AND(IF(Metadata!U532="",FALSE,ISNUMBER(VALUE(Metadata!U532))),Metadata!U532&gt;=-180.00,Metadata!U532&lt;=180.00))</f>
        <v>0</v>
      </c>
      <c r="BH532">
        <f>AND(IF(Metadata!V532="",FALSE,TRUE),exact(Metadata!V532,"Decimal degrees"))</f>
        <v>0</v>
      </c>
      <c r="BI532">
        <f>IF(Metadata!W532="",FALSE,TRUE)</f>
        <v>0</v>
      </c>
      <c r="BJ532">
        <f>OR(AND(IF(Metadata!X532="",FALSE,TRUE),OR(exact(Metadata!X532,"not collected"),exact(Metadata!X532,"not provided"),exact(Metadata!X532,"restricted access"))),AND(IF(Metadata!X532="",FALSE,TRUE),OR(exact(Metadata!X532,"TRUE"),exact(Metadata!X532,"FALSE"))))</f>
        <v>0</v>
      </c>
      <c r="BK532">
        <f>AND(IF(Metadata!Y532="",FALSE,TRUE),exact(Metadata!Y532,"other"))</f>
        <v>0</v>
      </c>
      <c r="BL532">
        <f>IF(Metadata!Z532="",FALSE,TRUE)</f>
        <v>0</v>
      </c>
      <c r="BM532">
        <f>OR(AND(IF(Metadata!AA532="",FALSE,TRUE),OR(exact(Metadata!AA532,"not collected"),exact(Metadata!AA532,"not provided"))),AND(IF(Metadata!AA532="",FALSE,IF(ISERROR(INT(Metadata!AA532)),FALSE,INT(Metadata!AA532)=Metadata!AA532)),Metadata!AA532&gt;0))</f>
        <v>0</v>
      </c>
      <c r="BN532">
        <f>AND(IF(Metadata!AB532="",FALSE,TRUE),exact(Metadata!AB532,"Not applicable"))</f>
        <v>0</v>
      </c>
      <c r="BO532">
        <f>IF(Metadata!AC532="",FALSE,TRUE)</f>
        <v>0</v>
      </c>
    </row>
    <row r="533" spans="1:67">
      <c r="A533" s="5">
        <f>IF(B533=" "," ",HYPERLINK(CONCATENATE("#metadata!",ADDRESS(INDEX($AI$2:$AI$1001,MATCH(ROWS($AG$2:AG533),$AG$2:$AG$1001,0),0),1)),INDEX($AL$2:$AL$1001,MATCH(ROWS($AG$2:AG533),$AG$2:$AG$1001,0),0)))</f>
        <v>0</v>
      </c>
      <c r="B533" s="4">
        <f>IF(OR(INDEX($AH$2:$AH$1001,MATCH(ROWS($AG$2:AG533),$AG$2:$AG$1001,0),1)&gt;=100000,INDEX($AN$1005:$BO$1005,1,MATCH(COLUMNS($AN$1006:AN1006),$AN$1006:$BO$1006,0))&gt;=100000), " ",IF(INDEX($AN$2:$BO$1001,MATCH(ROWS($AG$2:AG533),$AG$2:$AG$1001,0),MATCH(COLUMNS($AN$1006:AN1006),$AN$1006:$BO$1006,0)), HYPERLINK("#",""), HYPERLINK(CONCATENATE("#Metadata!", ADDRESS(INDEX($AI$2:$AI$1001,MATCH(ROWS($AG$2:AG533),$AG$2:$AG$1001,0),0), INDEX($AN$1004:$BO$1004,1,MATCH(COLUMNS($AN$1006:AN1006),$AN$1006:$BO$1006,0)))),"Fix")))</f>
        <v>0</v>
      </c>
      <c r="C533" s="4">
        <f>IF(OR(INDEX($AH$2:$AH$1001,MATCH(ROWS($AG$2:AG533),$AG$2:$AG$1001,0),1)&gt;=100000,INDEX($AN$1005:$BO$1005,1,MATCH(COLUMNS($AN$1006:AO1006),$AN$1006:$BO$1006,0))&gt;=100000), " ",IF(INDEX($AN$2:$BO$1001,MATCH(ROWS($AG$2:AG533),$AG$2:$AG$1001,0),MATCH(COLUMNS($AN$1006:AO1006),$AN$1006:$BO$1006,0)), HYPERLINK("#",""), HYPERLINK(CONCATENATE("#Metadata!", ADDRESS(INDEX($AI$2:$AI$1001,MATCH(ROWS($AG$2:AG533),$AG$2:$AG$1001,0),0), INDEX($AN$1004:$BO$1004,1,MATCH(COLUMNS($AN$1006:AO1006),$AN$1006:$BO$1006,0)))),"Fix")))</f>
        <v>0</v>
      </c>
      <c r="D533" s="4">
        <f>IF(OR(INDEX($AH$2:$AH$1001,MATCH(ROWS($AG$2:AG533),$AG$2:$AG$1001,0),1)&gt;=100000,INDEX($AN$1005:$BO$1005,1,MATCH(COLUMNS($AN$1006:AP1006),$AN$1006:$BO$1006,0))&gt;=100000), " ",IF(INDEX($AN$2:$BO$1001,MATCH(ROWS($AG$2:AG533),$AG$2:$AG$1001,0),MATCH(COLUMNS($AN$1006:AP1006),$AN$1006:$BO$1006,0)), HYPERLINK("#",""), HYPERLINK(CONCATENATE("#Metadata!", ADDRESS(INDEX($AI$2:$AI$1001,MATCH(ROWS($AG$2:AG533),$AG$2:$AG$1001,0),0), INDEX($AN$1004:$BO$1004,1,MATCH(COLUMNS($AN$1006:AP1006),$AN$1006:$BO$1006,0)))),"Fix")))</f>
        <v>0</v>
      </c>
      <c r="E533" s="4">
        <f>IF(OR(INDEX($AH$2:$AH$1001,MATCH(ROWS($AG$2:AG533),$AG$2:$AG$1001,0),1)&gt;=100000,INDEX($AN$1005:$BO$1005,1,MATCH(COLUMNS($AN$1006:AQ1006),$AN$1006:$BO$1006,0))&gt;=100000), " ",IF(INDEX($AN$2:$BO$1001,MATCH(ROWS($AG$2:AG533),$AG$2:$AG$1001,0),MATCH(COLUMNS($AN$1006:AQ1006),$AN$1006:$BO$1006,0)), HYPERLINK("#",""), HYPERLINK(CONCATENATE("#Metadata!", ADDRESS(INDEX($AI$2:$AI$1001,MATCH(ROWS($AG$2:AG533),$AG$2:$AG$1001,0),0), INDEX($AN$1004:$BO$1004,1,MATCH(COLUMNS($AN$1006:AQ1006),$AN$1006:$BO$1006,0)))),"Fix")))</f>
        <v>0</v>
      </c>
      <c r="F533" s="4">
        <f>IF(OR(INDEX($AH$2:$AH$1001,MATCH(ROWS($AG$2:AG533),$AG$2:$AG$1001,0),1)&gt;=100000,INDEX($AN$1005:$BO$1005,1,MATCH(COLUMNS($AN$1006:AR1006),$AN$1006:$BO$1006,0))&gt;=100000), " ",IF(INDEX($AN$2:$BO$1001,MATCH(ROWS($AG$2:AG533),$AG$2:$AG$1001,0),MATCH(COLUMNS($AN$1006:AR1006),$AN$1006:$BO$1006,0)), HYPERLINK("#",""), HYPERLINK(CONCATENATE("#Metadata!", ADDRESS(INDEX($AI$2:$AI$1001,MATCH(ROWS($AG$2:AG533),$AG$2:$AG$1001,0),0), INDEX($AN$1004:$BO$1004,1,MATCH(COLUMNS($AN$1006:AR1006),$AN$1006:$BO$1006,0)))),"Fix")))</f>
        <v>0</v>
      </c>
      <c r="G533" s="4">
        <f>IF(OR(INDEX($AH$2:$AH$1001,MATCH(ROWS($AG$2:AG533),$AG$2:$AG$1001,0),1)&gt;=100000,INDEX($AN$1005:$BO$1005,1,MATCH(COLUMNS($AN$1006:AS1006),$AN$1006:$BO$1006,0))&gt;=100000), " ",IF(INDEX($AN$2:$BO$1001,MATCH(ROWS($AG$2:AG533),$AG$2:$AG$1001,0),MATCH(COLUMNS($AN$1006:AS1006),$AN$1006:$BO$1006,0)), HYPERLINK("#",""), HYPERLINK(CONCATENATE("#Metadata!", ADDRESS(INDEX($AI$2:$AI$1001,MATCH(ROWS($AG$2:AG533),$AG$2:$AG$1001,0),0), INDEX($AN$1004:$BO$1004,1,MATCH(COLUMNS($AN$1006:AS1006),$AN$1006:$BO$1006,0)))),"Fix")))</f>
        <v>0</v>
      </c>
      <c r="H533" s="4">
        <f>IF(OR(INDEX($AH$2:$AH$1001,MATCH(ROWS($AG$2:AG533),$AG$2:$AG$1001,0),1)&gt;=100000,INDEX($AN$1005:$BO$1005,1,MATCH(COLUMNS($AN$1006:AT1006),$AN$1006:$BO$1006,0))&gt;=100000), " ",IF(INDEX($AN$2:$BO$1001,MATCH(ROWS($AG$2:AG533),$AG$2:$AG$1001,0),MATCH(COLUMNS($AN$1006:AT1006),$AN$1006:$BO$1006,0)), HYPERLINK("#",""), HYPERLINK(CONCATENATE("#Metadata!", ADDRESS(INDEX($AI$2:$AI$1001,MATCH(ROWS($AG$2:AG533),$AG$2:$AG$1001,0),0), INDEX($AN$1004:$BO$1004,1,MATCH(COLUMNS($AN$1006:AT1006),$AN$1006:$BO$1006,0)))),"Fix")))</f>
        <v>0</v>
      </c>
      <c r="I533" s="4">
        <f>IF(OR(INDEX($AH$2:$AH$1001,MATCH(ROWS($AG$2:AG533),$AG$2:$AG$1001,0),1)&gt;=100000,INDEX($AN$1005:$BO$1005,1,MATCH(COLUMNS($AN$1006:AU1006),$AN$1006:$BO$1006,0))&gt;=100000), " ",IF(INDEX($AN$2:$BO$1001,MATCH(ROWS($AG$2:AG533),$AG$2:$AG$1001,0),MATCH(COLUMNS($AN$1006:AU1006),$AN$1006:$BO$1006,0)), HYPERLINK("#",""), HYPERLINK(CONCATENATE("#Metadata!", ADDRESS(INDEX($AI$2:$AI$1001,MATCH(ROWS($AG$2:AG533),$AG$2:$AG$1001,0),0), INDEX($AN$1004:$BO$1004,1,MATCH(COLUMNS($AN$1006:AU1006),$AN$1006:$BO$1006,0)))),"Fix")))</f>
        <v>0</v>
      </c>
      <c r="J533" s="4">
        <f>IF(OR(INDEX($AH$2:$AH$1001,MATCH(ROWS($AG$2:AG533),$AG$2:$AG$1001,0),1)&gt;=100000,INDEX($AN$1005:$BO$1005,1,MATCH(COLUMNS($AN$1006:AV1006),$AN$1006:$BO$1006,0))&gt;=100000), " ",IF(INDEX($AN$2:$BO$1001,MATCH(ROWS($AG$2:AG533),$AG$2:$AG$1001,0),MATCH(COLUMNS($AN$1006:AV1006),$AN$1006:$BO$1006,0)), HYPERLINK("#",""), HYPERLINK(CONCATENATE("#Metadata!", ADDRESS(INDEX($AI$2:$AI$1001,MATCH(ROWS($AG$2:AG533),$AG$2:$AG$1001,0),0), INDEX($AN$1004:$BO$1004,1,MATCH(COLUMNS($AN$1006:AV1006),$AN$1006:$BO$1006,0)))),"Fix")))</f>
        <v>0</v>
      </c>
      <c r="K533" s="4">
        <f>IF(OR(INDEX($AH$2:$AH$1001,MATCH(ROWS($AG$2:AG533),$AG$2:$AG$1001,0),1)&gt;=100000,INDEX($AN$1005:$BO$1005,1,MATCH(COLUMNS($AN$1006:AW1006),$AN$1006:$BO$1006,0))&gt;=100000), " ",IF(INDEX($AN$2:$BO$1001,MATCH(ROWS($AG$2:AG533),$AG$2:$AG$1001,0),MATCH(COLUMNS($AN$1006:AW1006),$AN$1006:$BO$1006,0)), HYPERLINK("#",""), HYPERLINK(CONCATENATE("#Metadata!", ADDRESS(INDEX($AI$2:$AI$1001,MATCH(ROWS($AG$2:AG533),$AG$2:$AG$1001,0),0), INDEX($AN$1004:$BO$1004,1,MATCH(COLUMNS($AN$1006:AW1006),$AN$1006:$BO$1006,0)))),"Fix")))</f>
        <v>0</v>
      </c>
      <c r="L533" s="4">
        <f>IF(OR(INDEX($AH$2:$AH$1001,MATCH(ROWS($AG$2:AG533),$AG$2:$AG$1001,0),1)&gt;=100000,INDEX($AN$1005:$BO$1005,1,MATCH(COLUMNS($AN$1006:AX1006),$AN$1006:$BO$1006,0))&gt;=100000), " ",IF(INDEX($AN$2:$BO$1001,MATCH(ROWS($AG$2:AG533),$AG$2:$AG$1001,0),MATCH(COLUMNS($AN$1006:AX1006),$AN$1006:$BO$1006,0)), HYPERLINK("#",""), HYPERLINK(CONCATENATE("#Metadata!", ADDRESS(INDEX($AI$2:$AI$1001,MATCH(ROWS($AG$2:AG533),$AG$2:$AG$1001,0),0), INDEX($AN$1004:$BO$1004,1,MATCH(COLUMNS($AN$1006:AX1006),$AN$1006:$BO$1006,0)))),"Fix")))</f>
        <v>0</v>
      </c>
      <c r="M533" s="4">
        <f>IF(OR(INDEX($AH$2:$AH$1001,MATCH(ROWS($AG$2:AG533),$AG$2:$AG$1001,0),1)&gt;=100000,INDEX($AN$1005:$BO$1005,1,MATCH(COLUMNS($AN$1006:AY1006),$AN$1006:$BO$1006,0))&gt;=100000), " ",IF(INDEX($AN$2:$BO$1001,MATCH(ROWS($AG$2:AG533),$AG$2:$AG$1001,0),MATCH(COLUMNS($AN$1006:AY1006),$AN$1006:$BO$1006,0)), HYPERLINK("#",""), HYPERLINK(CONCATENATE("#Metadata!", ADDRESS(INDEX($AI$2:$AI$1001,MATCH(ROWS($AG$2:AG533),$AG$2:$AG$1001,0),0), INDEX($AN$1004:$BO$1004,1,MATCH(COLUMNS($AN$1006:AY1006),$AN$1006:$BO$1006,0)))),"Fix")))</f>
        <v>0</v>
      </c>
      <c r="N533" s="4">
        <f>IF(OR(INDEX($AH$2:$AH$1001,MATCH(ROWS($AG$2:AG533),$AG$2:$AG$1001,0),1)&gt;=100000,INDEX($AN$1005:$BO$1005,1,MATCH(COLUMNS($AN$1006:AZ1006),$AN$1006:$BO$1006,0))&gt;=100000), " ",IF(INDEX($AN$2:$BO$1001,MATCH(ROWS($AG$2:AG533),$AG$2:$AG$1001,0),MATCH(COLUMNS($AN$1006:AZ1006),$AN$1006:$BO$1006,0)), HYPERLINK("#",""), HYPERLINK(CONCATENATE("#Metadata!", ADDRESS(INDEX($AI$2:$AI$1001,MATCH(ROWS($AG$2:AG533),$AG$2:$AG$1001,0),0), INDEX($AN$1004:$BO$1004,1,MATCH(COLUMNS($AN$1006:AZ1006),$AN$1006:$BO$1006,0)))),"Fix")))</f>
        <v>0</v>
      </c>
      <c r="O533" s="4">
        <f>IF(OR(INDEX($AH$2:$AH$1001,MATCH(ROWS($AG$2:AG533),$AG$2:$AG$1001,0),1)&gt;=100000,INDEX($AN$1005:$BO$1005,1,MATCH(COLUMNS($AN$1006:BA1006),$AN$1006:$BO$1006,0))&gt;=100000), " ",IF(INDEX($AN$2:$BO$1001,MATCH(ROWS($AG$2:AG533),$AG$2:$AG$1001,0),MATCH(COLUMNS($AN$1006:BA1006),$AN$1006:$BO$1006,0)), HYPERLINK("#",""), HYPERLINK(CONCATENATE("#Metadata!", ADDRESS(INDEX($AI$2:$AI$1001,MATCH(ROWS($AG$2:AG533),$AG$2:$AG$1001,0),0), INDEX($AN$1004:$BO$1004,1,MATCH(COLUMNS($AN$1006:BA1006),$AN$1006:$BO$1006,0)))),"Fix")))</f>
        <v>0</v>
      </c>
      <c r="P533" s="4">
        <f>IF(OR(INDEX($AH$2:$AH$1001,MATCH(ROWS($AG$2:AG533),$AG$2:$AG$1001,0),1)&gt;=100000,INDEX($AN$1005:$BO$1005,1,MATCH(COLUMNS($AN$1006:BB1006),$AN$1006:$BO$1006,0))&gt;=100000), " ",IF(INDEX($AN$2:$BO$1001,MATCH(ROWS($AG$2:AG533),$AG$2:$AG$1001,0),MATCH(COLUMNS($AN$1006:BB1006),$AN$1006:$BO$1006,0)), HYPERLINK("#",""), HYPERLINK(CONCATENATE("#Metadata!", ADDRESS(INDEX($AI$2:$AI$1001,MATCH(ROWS($AG$2:AG533),$AG$2:$AG$1001,0),0), INDEX($AN$1004:$BO$1004,1,MATCH(COLUMNS($AN$1006:BB1006),$AN$1006:$BO$1006,0)))),"Fix")))</f>
        <v>0</v>
      </c>
      <c r="Q533" s="4">
        <f>IF(OR(INDEX($AH$2:$AH$1001,MATCH(ROWS($AG$2:AG533),$AG$2:$AG$1001,0),1)&gt;=100000,INDEX($AN$1005:$BO$1005,1,MATCH(COLUMNS($AN$1006:BC1006),$AN$1006:$BO$1006,0))&gt;=100000), " ",IF(INDEX($AN$2:$BO$1001,MATCH(ROWS($AG$2:AG533),$AG$2:$AG$1001,0),MATCH(COLUMNS($AN$1006:BC1006),$AN$1006:$BO$1006,0)), HYPERLINK("#",""), HYPERLINK(CONCATENATE("#Metadata!", ADDRESS(INDEX($AI$2:$AI$1001,MATCH(ROWS($AG$2:AG533),$AG$2:$AG$1001,0),0), INDEX($AN$1004:$BO$1004,1,MATCH(COLUMNS($AN$1006:BC1006),$AN$1006:$BO$1006,0)))),"Fix")))</f>
        <v>0</v>
      </c>
      <c r="R533" s="4">
        <f>IF(OR(INDEX($AH$2:$AH$1001,MATCH(ROWS($AG$2:AG533),$AG$2:$AG$1001,0),1)&gt;=100000,INDEX($AN$1005:$BO$1005,1,MATCH(COLUMNS($AN$1006:BD1006),$AN$1006:$BO$1006,0))&gt;=100000), " ",IF(INDEX($AN$2:$BO$1001,MATCH(ROWS($AG$2:AG533),$AG$2:$AG$1001,0),MATCH(COLUMNS($AN$1006:BD1006),$AN$1006:$BO$1006,0)), HYPERLINK("#",""), HYPERLINK(CONCATENATE("#Metadata!", ADDRESS(INDEX($AI$2:$AI$1001,MATCH(ROWS($AG$2:AG533),$AG$2:$AG$1001,0),0), INDEX($AN$1004:$BO$1004,1,MATCH(COLUMNS($AN$1006:BD1006),$AN$1006:$BO$1006,0)))),"Fix")))</f>
        <v>0</v>
      </c>
      <c r="S533" s="4">
        <f>IF(OR(INDEX($AH$2:$AH$1001,MATCH(ROWS($AG$2:AG533),$AG$2:$AG$1001,0),1)&gt;=100000,INDEX($AN$1005:$BO$1005,1,MATCH(COLUMNS($AN$1006:BE1006),$AN$1006:$BO$1006,0))&gt;=100000), " ",IF(INDEX($AN$2:$BO$1001,MATCH(ROWS($AG$2:AG533),$AG$2:$AG$1001,0),MATCH(COLUMNS($AN$1006:BE1006),$AN$1006:$BO$1006,0)), HYPERLINK("#",""), HYPERLINK(CONCATENATE("#Metadata!", ADDRESS(INDEX($AI$2:$AI$1001,MATCH(ROWS($AG$2:AG533),$AG$2:$AG$1001,0),0), INDEX($AN$1004:$BO$1004,1,MATCH(COLUMNS($AN$1006:BE1006),$AN$1006:$BO$1006,0)))),"Fix")))</f>
        <v>0</v>
      </c>
      <c r="T533" s="4">
        <f>IF(OR(INDEX($AH$2:$AH$1001,MATCH(ROWS($AG$2:AG533),$AG$2:$AG$1001,0),1)&gt;=100000,INDEX($AN$1005:$BO$1005,1,MATCH(COLUMNS($AN$1006:BF1006),$AN$1006:$BO$1006,0))&gt;=100000), " ",IF(INDEX($AN$2:$BO$1001,MATCH(ROWS($AG$2:AG533),$AG$2:$AG$1001,0),MATCH(COLUMNS($AN$1006:BF1006),$AN$1006:$BO$1006,0)), HYPERLINK("#",""), HYPERLINK(CONCATENATE("#Metadata!", ADDRESS(INDEX($AI$2:$AI$1001,MATCH(ROWS($AG$2:AG533),$AG$2:$AG$1001,0),0), INDEX($AN$1004:$BO$1004,1,MATCH(COLUMNS($AN$1006:BF1006),$AN$1006:$BO$1006,0)))),"Fix")))</f>
        <v>0</v>
      </c>
      <c r="U533" s="4">
        <f>IF(OR(INDEX($AH$2:$AH$1001,MATCH(ROWS($AG$2:AG533),$AG$2:$AG$1001,0),1)&gt;=100000,INDEX($AN$1005:$BO$1005,1,MATCH(COLUMNS($AN$1006:BG1006),$AN$1006:$BO$1006,0))&gt;=100000), " ",IF(INDEX($AN$2:$BO$1001,MATCH(ROWS($AG$2:AG533),$AG$2:$AG$1001,0),MATCH(COLUMNS($AN$1006:BG1006),$AN$1006:$BO$1006,0)), HYPERLINK("#",""), HYPERLINK(CONCATENATE("#Metadata!", ADDRESS(INDEX($AI$2:$AI$1001,MATCH(ROWS($AG$2:AG533),$AG$2:$AG$1001,0),0), INDEX($AN$1004:$BO$1004,1,MATCH(COLUMNS($AN$1006:BG1006),$AN$1006:$BO$1006,0)))),"Fix")))</f>
        <v>0</v>
      </c>
      <c r="V533" s="4">
        <f>IF(OR(INDEX($AH$2:$AH$1001,MATCH(ROWS($AG$2:AG533),$AG$2:$AG$1001,0),1)&gt;=100000,INDEX($AN$1005:$BO$1005,1,MATCH(COLUMNS($AN$1006:BH1006),$AN$1006:$BO$1006,0))&gt;=100000), " ",IF(INDEX($AN$2:$BO$1001,MATCH(ROWS($AG$2:AG533),$AG$2:$AG$1001,0),MATCH(COLUMNS($AN$1006:BH1006),$AN$1006:$BO$1006,0)), HYPERLINK("#",""), HYPERLINK(CONCATENATE("#Metadata!", ADDRESS(INDEX($AI$2:$AI$1001,MATCH(ROWS($AG$2:AG533),$AG$2:$AG$1001,0),0), INDEX($AN$1004:$BO$1004,1,MATCH(COLUMNS($AN$1006:BH1006),$AN$1006:$BO$1006,0)))),"Fix")))</f>
        <v>0</v>
      </c>
      <c r="W533" s="4">
        <f>IF(OR(INDEX($AH$2:$AH$1001,MATCH(ROWS($AG$2:AG533),$AG$2:$AG$1001,0),1)&gt;=100000,INDEX($AN$1005:$BO$1005,1,MATCH(COLUMNS($AN$1006:BI1006),$AN$1006:$BO$1006,0))&gt;=100000), " ",IF(INDEX($AN$2:$BO$1001,MATCH(ROWS($AG$2:AG533),$AG$2:$AG$1001,0),MATCH(COLUMNS($AN$1006:BI1006),$AN$1006:$BO$1006,0)), HYPERLINK("#",""), HYPERLINK(CONCATENATE("#Metadata!", ADDRESS(INDEX($AI$2:$AI$1001,MATCH(ROWS($AG$2:AG533),$AG$2:$AG$1001,0),0), INDEX($AN$1004:$BO$1004,1,MATCH(COLUMNS($AN$1006:BI1006),$AN$1006:$BO$1006,0)))),"Fix")))</f>
        <v>0</v>
      </c>
      <c r="X533" s="4">
        <f>IF(OR(INDEX($AH$2:$AH$1001,MATCH(ROWS($AG$2:AG533),$AG$2:$AG$1001,0),1)&gt;=100000,INDEX($AN$1005:$BO$1005,1,MATCH(COLUMNS($AN$1006:BJ1006),$AN$1006:$BO$1006,0))&gt;=100000), " ",IF(INDEX($AN$2:$BO$1001,MATCH(ROWS($AG$2:AG533),$AG$2:$AG$1001,0),MATCH(COLUMNS($AN$1006:BJ1006),$AN$1006:$BO$1006,0)), HYPERLINK("#",""), HYPERLINK(CONCATENATE("#Metadata!", ADDRESS(INDEX($AI$2:$AI$1001,MATCH(ROWS($AG$2:AG533),$AG$2:$AG$1001,0),0), INDEX($AN$1004:$BO$1004,1,MATCH(COLUMNS($AN$1006:BJ1006),$AN$1006:$BO$1006,0)))),"Fix")))</f>
        <v>0</v>
      </c>
      <c r="Y533" s="4">
        <f>IF(OR(INDEX($AH$2:$AH$1001,MATCH(ROWS($AG$2:AG533),$AG$2:$AG$1001,0),1)&gt;=100000,INDEX($AN$1005:$BO$1005,1,MATCH(COLUMNS($AN$1006:BK1006),$AN$1006:$BO$1006,0))&gt;=100000), " ",IF(INDEX($AN$2:$BO$1001,MATCH(ROWS($AG$2:AG533),$AG$2:$AG$1001,0),MATCH(COLUMNS($AN$1006:BK1006),$AN$1006:$BO$1006,0)), HYPERLINK("#",""), HYPERLINK(CONCATENATE("#Metadata!", ADDRESS(INDEX($AI$2:$AI$1001,MATCH(ROWS($AG$2:AG533),$AG$2:$AG$1001,0),0), INDEX($AN$1004:$BO$1004,1,MATCH(COLUMNS($AN$1006:BK1006),$AN$1006:$BO$1006,0)))),"Fix")))</f>
        <v>0</v>
      </c>
      <c r="Z533" s="4">
        <f>IF(OR(INDEX($AH$2:$AH$1001,MATCH(ROWS($AG$2:AG533),$AG$2:$AG$1001,0),1)&gt;=100000,INDEX($AN$1005:$BO$1005,1,MATCH(COLUMNS($AN$1006:BL1006),$AN$1006:$BO$1006,0))&gt;=100000), " ",IF(INDEX($AN$2:$BO$1001,MATCH(ROWS($AG$2:AG533),$AG$2:$AG$1001,0),MATCH(COLUMNS($AN$1006:BL1006),$AN$1006:$BO$1006,0)), HYPERLINK("#",""), HYPERLINK(CONCATENATE("#Metadata!", ADDRESS(INDEX($AI$2:$AI$1001,MATCH(ROWS($AG$2:AG533),$AG$2:$AG$1001,0),0), INDEX($AN$1004:$BO$1004,1,MATCH(COLUMNS($AN$1006:BL1006),$AN$1006:$BO$1006,0)))),"Fix")))</f>
        <v>0</v>
      </c>
      <c r="AA533" s="4">
        <f>IF(OR(INDEX($AH$2:$AH$1001,MATCH(ROWS($AG$2:AG533),$AG$2:$AG$1001,0),1)&gt;=100000,INDEX($AN$1005:$BO$1005,1,MATCH(COLUMNS($AN$1006:BM1006),$AN$1006:$BO$1006,0))&gt;=100000), " ",IF(INDEX($AN$2:$BO$1001,MATCH(ROWS($AG$2:AG533),$AG$2:$AG$1001,0),MATCH(COLUMNS($AN$1006:BM1006),$AN$1006:$BO$1006,0)), HYPERLINK("#",""), HYPERLINK(CONCATENATE("#Metadata!", ADDRESS(INDEX($AI$2:$AI$1001,MATCH(ROWS($AG$2:AG533),$AG$2:$AG$1001,0),0), INDEX($AN$1004:$BO$1004,1,MATCH(COLUMNS($AN$1006:BM1006),$AN$1006:$BO$1006,0)))),"Fix")))</f>
        <v>0</v>
      </c>
      <c r="AB533" s="4">
        <f>IF(OR(INDEX($AH$2:$AH$1001,MATCH(ROWS($AG$2:AG533),$AG$2:$AG$1001,0),1)&gt;=100000,INDEX($AN$1005:$BO$1005,1,MATCH(COLUMNS($AN$1006:BN1006),$AN$1006:$BO$1006,0))&gt;=100000), " ",IF(INDEX($AN$2:$BO$1001,MATCH(ROWS($AG$2:AG533),$AG$2:$AG$1001,0),MATCH(COLUMNS($AN$1006:BN1006),$AN$1006:$BO$1006,0)), HYPERLINK("#",""), HYPERLINK(CONCATENATE("#Metadata!", ADDRESS(INDEX($AI$2:$AI$1001,MATCH(ROWS($AG$2:AG533),$AG$2:$AG$1001,0),0), INDEX($AN$1004:$BO$1004,1,MATCH(COLUMNS($AN$1006:BN1006),$AN$1006:$BO$1006,0)))),"Fix")))</f>
        <v>0</v>
      </c>
      <c r="AC533" s="4">
        <f>IF(OR(INDEX($AH$2:$AH$1001,MATCH(ROWS($AG$2:AG533),$AG$2:$AG$1001,0),1)&gt;=100000,INDEX($AN$1005:$BO$1005,1,MATCH(COLUMNS($AN$1006:BO1006),$AN$1006:$BO$1006,0))&gt;=100000), " ",IF(INDEX($AN$2:$BO$1001,MATCH(ROWS($AG$2:AG533),$AG$2:$AG$1001,0),MATCH(COLUMNS($AN$1006:BO1006),$AN$1006:$BO$1006,0)), HYPERLINK("#",""), HYPERLINK(CONCATENATE("#Metadata!", ADDRESS(INDEX($AI$2:$AI$1001,MATCH(ROWS($AG$2:AG533),$AG$2:$AG$1001,0),0), INDEX($AN$1004:$BO$1004,1,MATCH(COLUMNS($AN$1006:BO1006),$AN$1006:$BO$1006,0)))),"Fix")))</f>
        <v>0</v>
      </c>
      <c r="AG533">
        <v>0</v>
      </c>
      <c r="AH533">
        <v>0</v>
      </c>
      <c r="AI533">
        <v>0</v>
      </c>
      <c r="AJ533">
        <f>IF(AK533,TRUE,AND(AN533:BO533))</f>
        <v>0</v>
      </c>
      <c r="AK533">
        <f>COUNTBLANK(Metadata!B533:AC533)=COLUMNS(Metadata!B533:AC533)</f>
        <v>0</v>
      </c>
      <c r="AL533">
        <v>0</v>
      </c>
      <c r="AN533">
        <f>AND(IF(Metadata!B533="",FALSE,TRUE),COUNTIF(Metadata!B:B, Metadata!B533) = 1,NOT(ISERROR(SUMPRODUCT(SEARCH(MID(Metadata!B533,ROW(INDIRECT("1:"&amp;LEN(Metadata!B533))), 1),"0123456789abcdefghijklmnopqrstuvwxyzABCDEFGHIJKLMNOPQRSTUVWXYZ.")))))</f>
        <v>0</v>
      </c>
      <c r="AO533">
        <f>IF(Metadata!C533="",FALSE,TRUE)</f>
        <v>0</v>
      </c>
      <c r="AP533">
        <f>IF(Metadata!D533="",FALSE,TRUE)</f>
        <v>0</v>
      </c>
      <c r="AQ533">
        <f>OR(AND(IF(Metadata!E533="",FALSE,TRUE),OR(exact(Metadata!E533,"not collected"),exact(Metadata!E533,"not provided"),exact(Metadata!E533,"restricted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R533">
        <f>IF(Metadata!F533="",FALSE,TRUE)</f>
        <v>0</v>
      </c>
      <c r="AS533">
        <f>OR(AND(IF(Metadata!G533="",FALSE,TRUE),OR(exact(Metadata!G533,"not collected"),exact(Metadata!G533,"not provided"))),AND(IF(Metadata!G533="",FALSE,TRUE),OR(exact(Metadata!G533,"TRUE"),exact(Metadata!G533,"FALSE"))))</f>
        <v>0</v>
      </c>
      <c r="AT533">
        <f>OR(AND(IF(Metadata!H533="",FALSE,TRUE),OR(exact(Metadata!H533,"not collected"),exact(Metadata!H533,"not provided"),exact(Metadata!H533,"restricted access"))),AND(IF(Metadata!H533="",FALSE,ISNUMBER(VALUE(Metadata!H533))),Metadata!H533&gt;=-413.0))</f>
        <v>0</v>
      </c>
      <c r="AU533">
        <f>AND(IF(Metadata!I533="",FALSE,TRUE),exact(Metadata!I533,"meters"))</f>
        <v>0</v>
      </c>
      <c r="AV533">
        <f>AND(IF(Metadata!J533="",FALSE,TRUE),OR(exact(Metadata!J533,"Host-associated"),exact(Metadata!J533,"Free-living")))</f>
        <v>0</v>
      </c>
      <c r="AW533">
        <f>AND(IF(Metadata!K533="",FALSE,TRUE),OR(exact(Metadata!K533,"Animal"),exact(Metadata!K533,"Fungus"),exact(Metadata!K533,"Plant"),exact(Metadata!K533,"Saline"),exact(Metadata!K533,"Non-saline")))</f>
        <v>0</v>
      </c>
      <c r="AX533">
        <f>AND(IF(Metadata!L533="",FALSE,TRUE),OR(exact(Metadata!L533,"Plant secretion"),exact(Metadata!L533,"Plant rhizosphere"),exact(Metadata!L533,"Plant surface"),exact(Metadata!L533,"Plant corpus"),exact(Metadata!L533,"Fungus surface"),exact(Metadata!L533,"Fungus corpus"),exact(Metadata!L533,"Animal surface"),exact(Metadata!L533,"Animal proximal gut"),exact(Metadata!L533,"Animal corpus"),exact(Metadata!L533,"Animal distal gut"),exact(Metadata!L533,"Animal secretion"),exact(Metadata!L533,"Sub-surface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Y533">
        <f>IF(Metadata!M533="",FALSE,TRUE)</f>
        <v>0</v>
      </c>
      <c r="AZ533">
        <f>IF(Metadata!N533="",FALSE,TRUE)</f>
        <v>0</v>
      </c>
      <c r="BA533">
        <f>IF(Metadata!O533="",FALSE,TRUE)</f>
        <v>0</v>
      </c>
      <c r="BB533">
        <f>OR(AND(IF(Metadata!P533="",FALSE,TRUE),OR(exact(Metadata!P533,"not collected"),exact(Metadata!P533,"not provided"),exact(Metadata!P533,"restricted access"))),AND(IF(Metadata!P533="",FALSE,TRUE),OR(exact(Metadata!P533,"air"),exact(Metadata!P533,"built environment"),exact(Metadata!P533,"host-associated"),exact(Metadata!P533,"human-associated"),exact(Metadata!P533,"human-skin"),exact(Metadata!P533,"human-oral"),exact(Metadata!P533,"human-gut"),exact(Metadata!P533,"human-vaginal"),exact(Metadata!P533,"microbial mat/biofilm"),exact(Metadata!P533,"misc environment"),exact(Metadata!P533,"plant-associated"),exact(Metadata!P533,"sediment"),exact(Metadata!P533,"soil"),exact(Metadata!P533,"wastewater/sludge"),exact(Metadata!P533,"water"))))</f>
        <v>0</v>
      </c>
      <c r="BC533">
        <f>IF(Metadata!Q533="",FALSE,TRUE)</f>
        <v>0</v>
      </c>
      <c r="BD533">
        <f>IF(Metadata!R533="",FALSE,TRUE)</f>
        <v>0</v>
      </c>
      <c r="BE533">
        <f>OR(AND(IF(Metadata!S533="",FALSE,TRUE),OR(exact(Metadata!S533,"not collected"),exact(Metadata!S533,"not provided"),exact(Metadata!S533,"restricted access"))),AND(IF(Metadata!S533="",FALSE,ISNUMBER(VALUE(Metadata!S533))),Metadata!S533&gt;=-90.00,Metadata!S533&lt;=90.00))</f>
        <v>0</v>
      </c>
      <c r="BF533">
        <f>AND(IF(Metadata!T533="",FALSE,TRUE),exact(Metadata!T533,"Decimal degrees"))</f>
        <v>0</v>
      </c>
      <c r="BG533">
        <f>OR(AND(IF(Metadata!U533="",FALSE,TRUE),OR(exact(Metadata!U533,"not collected"),exact(Metadata!U533,"not provided"),exact(Metadata!U533,"restricted access"))),AND(IF(Metadata!U533="",FALSE,ISNUMBER(VALUE(Metadata!U533))),Metadata!U533&gt;=-180.00,Metadata!U533&lt;=180.00))</f>
        <v>0</v>
      </c>
      <c r="BH533">
        <f>AND(IF(Metadata!V533="",FALSE,TRUE),exact(Metadata!V533,"Decimal degrees"))</f>
        <v>0</v>
      </c>
      <c r="BI533">
        <f>IF(Metadata!W533="",FALSE,TRUE)</f>
        <v>0</v>
      </c>
      <c r="BJ533">
        <f>OR(AND(IF(Metadata!X533="",FALSE,TRUE),OR(exact(Metadata!X533,"not collected"),exact(Metadata!X533,"not provided"),exact(Metadata!X533,"restricted access"))),AND(IF(Metadata!X533="",FALSE,TRUE),OR(exact(Metadata!X533,"TRUE"),exact(Metadata!X533,"FALSE"))))</f>
        <v>0</v>
      </c>
      <c r="BK533">
        <f>AND(IF(Metadata!Y533="",FALSE,TRUE),exact(Metadata!Y533,"other"))</f>
        <v>0</v>
      </c>
      <c r="BL533">
        <f>IF(Metadata!Z533="",FALSE,TRUE)</f>
        <v>0</v>
      </c>
      <c r="BM533">
        <f>OR(AND(IF(Metadata!AA533="",FALSE,TRUE),OR(exact(Metadata!AA533,"not collected"),exact(Metadata!AA533,"not provided"))),AND(IF(Metadata!AA533="",FALSE,IF(ISERROR(INT(Metadata!AA533)),FALSE,INT(Metadata!AA533)=Metadata!AA533)),Metadata!AA533&gt;0))</f>
        <v>0</v>
      </c>
      <c r="BN533">
        <f>AND(IF(Metadata!AB533="",FALSE,TRUE),exact(Metadata!AB533,"Not applicable"))</f>
        <v>0</v>
      </c>
      <c r="BO533">
        <f>IF(Metadata!AC533="",FALSE,TRUE)</f>
        <v>0</v>
      </c>
    </row>
    <row r="534" spans="1:67">
      <c r="A534" s="5">
        <f>IF(B534=" "," ",HYPERLINK(CONCATENATE("#metadata!",ADDRESS(INDEX($AI$2:$AI$1001,MATCH(ROWS($AG$2:AG534),$AG$2:$AG$1001,0),0),1)),INDEX($AL$2:$AL$1001,MATCH(ROWS($AG$2:AG534),$AG$2:$AG$1001,0),0)))</f>
        <v>0</v>
      </c>
      <c r="B534" s="4">
        <f>IF(OR(INDEX($AH$2:$AH$1001,MATCH(ROWS($AG$2:AG534),$AG$2:$AG$1001,0),1)&gt;=100000,INDEX($AN$1005:$BO$1005,1,MATCH(COLUMNS($AN$1006:AN1006),$AN$1006:$BO$1006,0))&gt;=100000), " ",IF(INDEX($AN$2:$BO$1001,MATCH(ROWS($AG$2:AG534),$AG$2:$AG$1001,0),MATCH(COLUMNS($AN$1006:AN1006),$AN$1006:$BO$1006,0)), HYPERLINK("#",""), HYPERLINK(CONCATENATE("#Metadata!", ADDRESS(INDEX($AI$2:$AI$1001,MATCH(ROWS($AG$2:AG534),$AG$2:$AG$1001,0),0), INDEX($AN$1004:$BO$1004,1,MATCH(COLUMNS($AN$1006:AN1006),$AN$1006:$BO$1006,0)))),"Fix")))</f>
        <v>0</v>
      </c>
      <c r="C534" s="4">
        <f>IF(OR(INDEX($AH$2:$AH$1001,MATCH(ROWS($AG$2:AG534),$AG$2:$AG$1001,0),1)&gt;=100000,INDEX($AN$1005:$BO$1005,1,MATCH(COLUMNS($AN$1006:AO1006),$AN$1006:$BO$1006,0))&gt;=100000), " ",IF(INDEX($AN$2:$BO$1001,MATCH(ROWS($AG$2:AG534),$AG$2:$AG$1001,0),MATCH(COLUMNS($AN$1006:AO1006),$AN$1006:$BO$1006,0)), HYPERLINK("#",""), HYPERLINK(CONCATENATE("#Metadata!", ADDRESS(INDEX($AI$2:$AI$1001,MATCH(ROWS($AG$2:AG534),$AG$2:$AG$1001,0),0), INDEX($AN$1004:$BO$1004,1,MATCH(COLUMNS($AN$1006:AO1006),$AN$1006:$BO$1006,0)))),"Fix")))</f>
        <v>0</v>
      </c>
      <c r="D534" s="4">
        <f>IF(OR(INDEX($AH$2:$AH$1001,MATCH(ROWS($AG$2:AG534),$AG$2:$AG$1001,0),1)&gt;=100000,INDEX($AN$1005:$BO$1005,1,MATCH(COLUMNS($AN$1006:AP1006),$AN$1006:$BO$1006,0))&gt;=100000), " ",IF(INDEX($AN$2:$BO$1001,MATCH(ROWS($AG$2:AG534),$AG$2:$AG$1001,0),MATCH(COLUMNS($AN$1006:AP1006),$AN$1006:$BO$1006,0)), HYPERLINK("#",""), HYPERLINK(CONCATENATE("#Metadata!", ADDRESS(INDEX($AI$2:$AI$1001,MATCH(ROWS($AG$2:AG534),$AG$2:$AG$1001,0),0), INDEX($AN$1004:$BO$1004,1,MATCH(COLUMNS($AN$1006:AP1006),$AN$1006:$BO$1006,0)))),"Fix")))</f>
        <v>0</v>
      </c>
      <c r="E534" s="4">
        <f>IF(OR(INDEX($AH$2:$AH$1001,MATCH(ROWS($AG$2:AG534),$AG$2:$AG$1001,0),1)&gt;=100000,INDEX($AN$1005:$BO$1005,1,MATCH(COLUMNS($AN$1006:AQ1006),$AN$1006:$BO$1006,0))&gt;=100000), " ",IF(INDEX($AN$2:$BO$1001,MATCH(ROWS($AG$2:AG534),$AG$2:$AG$1001,0),MATCH(COLUMNS($AN$1006:AQ1006),$AN$1006:$BO$1006,0)), HYPERLINK("#",""), HYPERLINK(CONCATENATE("#Metadata!", ADDRESS(INDEX($AI$2:$AI$1001,MATCH(ROWS($AG$2:AG534),$AG$2:$AG$1001,0),0), INDEX($AN$1004:$BO$1004,1,MATCH(COLUMNS($AN$1006:AQ1006),$AN$1006:$BO$1006,0)))),"Fix")))</f>
        <v>0</v>
      </c>
      <c r="F534" s="4">
        <f>IF(OR(INDEX($AH$2:$AH$1001,MATCH(ROWS($AG$2:AG534),$AG$2:$AG$1001,0),1)&gt;=100000,INDEX($AN$1005:$BO$1005,1,MATCH(COLUMNS($AN$1006:AR1006),$AN$1006:$BO$1006,0))&gt;=100000), " ",IF(INDEX($AN$2:$BO$1001,MATCH(ROWS($AG$2:AG534),$AG$2:$AG$1001,0),MATCH(COLUMNS($AN$1006:AR1006),$AN$1006:$BO$1006,0)), HYPERLINK("#",""), HYPERLINK(CONCATENATE("#Metadata!", ADDRESS(INDEX($AI$2:$AI$1001,MATCH(ROWS($AG$2:AG534),$AG$2:$AG$1001,0),0), INDEX($AN$1004:$BO$1004,1,MATCH(COLUMNS($AN$1006:AR1006),$AN$1006:$BO$1006,0)))),"Fix")))</f>
        <v>0</v>
      </c>
      <c r="G534" s="4">
        <f>IF(OR(INDEX($AH$2:$AH$1001,MATCH(ROWS($AG$2:AG534),$AG$2:$AG$1001,0),1)&gt;=100000,INDEX($AN$1005:$BO$1005,1,MATCH(COLUMNS($AN$1006:AS1006),$AN$1006:$BO$1006,0))&gt;=100000), " ",IF(INDEX($AN$2:$BO$1001,MATCH(ROWS($AG$2:AG534),$AG$2:$AG$1001,0),MATCH(COLUMNS($AN$1006:AS1006),$AN$1006:$BO$1006,0)), HYPERLINK("#",""), HYPERLINK(CONCATENATE("#Metadata!", ADDRESS(INDEX($AI$2:$AI$1001,MATCH(ROWS($AG$2:AG534),$AG$2:$AG$1001,0),0), INDEX($AN$1004:$BO$1004,1,MATCH(COLUMNS($AN$1006:AS1006),$AN$1006:$BO$1006,0)))),"Fix")))</f>
        <v>0</v>
      </c>
      <c r="H534" s="4">
        <f>IF(OR(INDEX($AH$2:$AH$1001,MATCH(ROWS($AG$2:AG534),$AG$2:$AG$1001,0),1)&gt;=100000,INDEX($AN$1005:$BO$1005,1,MATCH(COLUMNS($AN$1006:AT1006),$AN$1006:$BO$1006,0))&gt;=100000), " ",IF(INDEX($AN$2:$BO$1001,MATCH(ROWS($AG$2:AG534),$AG$2:$AG$1001,0),MATCH(COLUMNS($AN$1006:AT1006),$AN$1006:$BO$1006,0)), HYPERLINK("#",""), HYPERLINK(CONCATENATE("#Metadata!", ADDRESS(INDEX($AI$2:$AI$1001,MATCH(ROWS($AG$2:AG534),$AG$2:$AG$1001,0),0), INDEX($AN$1004:$BO$1004,1,MATCH(COLUMNS($AN$1006:AT1006),$AN$1006:$BO$1006,0)))),"Fix")))</f>
        <v>0</v>
      </c>
      <c r="I534" s="4">
        <f>IF(OR(INDEX($AH$2:$AH$1001,MATCH(ROWS($AG$2:AG534),$AG$2:$AG$1001,0),1)&gt;=100000,INDEX($AN$1005:$BO$1005,1,MATCH(COLUMNS($AN$1006:AU1006),$AN$1006:$BO$1006,0))&gt;=100000), " ",IF(INDEX($AN$2:$BO$1001,MATCH(ROWS($AG$2:AG534),$AG$2:$AG$1001,0),MATCH(COLUMNS($AN$1006:AU1006),$AN$1006:$BO$1006,0)), HYPERLINK("#",""), HYPERLINK(CONCATENATE("#Metadata!", ADDRESS(INDEX($AI$2:$AI$1001,MATCH(ROWS($AG$2:AG534),$AG$2:$AG$1001,0),0), INDEX($AN$1004:$BO$1004,1,MATCH(COLUMNS($AN$1006:AU1006),$AN$1006:$BO$1006,0)))),"Fix")))</f>
        <v>0</v>
      </c>
      <c r="J534" s="4">
        <f>IF(OR(INDEX($AH$2:$AH$1001,MATCH(ROWS($AG$2:AG534),$AG$2:$AG$1001,0),1)&gt;=100000,INDEX($AN$1005:$BO$1005,1,MATCH(COLUMNS($AN$1006:AV1006),$AN$1006:$BO$1006,0))&gt;=100000), " ",IF(INDEX($AN$2:$BO$1001,MATCH(ROWS($AG$2:AG534),$AG$2:$AG$1001,0),MATCH(COLUMNS($AN$1006:AV1006),$AN$1006:$BO$1006,0)), HYPERLINK("#",""), HYPERLINK(CONCATENATE("#Metadata!", ADDRESS(INDEX($AI$2:$AI$1001,MATCH(ROWS($AG$2:AG534),$AG$2:$AG$1001,0),0), INDEX($AN$1004:$BO$1004,1,MATCH(COLUMNS($AN$1006:AV1006),$AN$1006:$BO$1006,0)))),"Fix")))</f>
        <v>0</v>
      </c>
      <c r="K534" s="4">
        <f>IF(OR(INDEX($AH$2:$AH$1001,MATCH(ROWS($AG$2:AG534),$AG$2:$AG$1001,0),1)&gt;=100000,INDEX($AN$1005:$BO$1005,1,MATCH(COLUMNS($AN$1006:AW1006),$AN$1006:$BO$1006,0))&gt;=100000), " ",IF(INDEX($AN$2:$BO$1001,MATCH(ROWS($AG$2:AG534),$AG$2:$AG$1001,0),MATCH(COLUMNS($AN$1006:AW1006),$AN$1006:$BO$1006,0)), HYPERLINK("#",""), HYPERLINK(CONCATENATE("#Metadata!", ADDRESS(INDEX($AI$2:$AI$1001,MATCH(ROWS($AG$2:AG534),$AG$2:$AG$1001,0),0), INDEX($AN$1004:$BO$1004,1,MATCH(COLUMNS($AN$1006:AW1006),$AN$1006:$BO$1006,0)))),"Fix")))</f>
        <v>0</v>
      </c>
      <c r="L534" s="4">
        <f>IF(OR(INDEX($AH$2:$AH$1001,MATCH(ROWS($AG$2:AG534),$AG$2:$AG$1001,0),1)&gt;=100000,INDEX($AN$1005:$BO$1005,1,MATCH(COLUMNS($AN$1006:AX1006),$AN$1006:$BO$1006,0))&gt;=100000), " ",IF(INDEX($AN$2:$BO$1001,MATCH(ROWS($AG$2:AG534),$AG$2:$AG$1001,0),MATCH(COLUMNS($AN$1006:AX1006),$AN$1006:$BO$1006,0)), HYPERLINK("#",""), HYPERLINK(CONCATENATE("#Metadata!", ADDRESS(INDEX($AI$2:$AI$1001,MATCH(ROWS($AG$2:AG534),$AG$2:$AG$1001,0),0), INDEX($AN$1004:$BO$1004,1,MATCH(COLUMNS($AN$1006:AX1006),$AN$1006:$BO$1006,0)))),"Fix")))</f>
        <v>0</v>
      </c>
      <c r="M534" s="4">
        <f>IF(OR(INDEX($AH$2:$AH$1001,MATCH(ROWS($AG$2:AG534),$AG$2:$AG$1001,0),1)&gt;=100000,INDEX($AN$1005:$BO$1005,1,MATCH(COLUMNS($AN$1006:AY1006),$AN$1006:$BO$1006,0))&gt;=100000), " ",IF(INDEX($AN$2:$BO$1001,MATCH(ROWS($AG$2:AG534),$AG$2:$AG$1001,0),MATCH(COLUMNS($AN$1006:AY1006),$AN$1006:$BO$1006,0)), HYPERLINK("#",""), HYPERLINK(CONCATENATE("#Metadata!", ADDRESS(INDEX($AI$2:$AI$1001,MATCH(ROWS($AG$2:AG534),$AG$2:$AG$1001,0),0), INDEX($AN$1004:$BO$1004,1,MATCH(COLUMNS($AN$1006:AY1006),$AN$1006:$BO$1006,0)))),"Fix")))</f>
        <v>0</v>
      </c>
      <c r="N534" s="4">
        <f>IF(OR(INDEX($AH$2:$AH$1001,MATCH(ROWS($AG$2:AG534),$AG$2:$AG$1001,0),1)&gt;=100000,INDEX($AN$1005:$BO$1005,1,MATCH(COLUMNS($AN$1006:AZ1006),$AN$1006:$BO$1006,0))&gt;=100000), " ",IF(INDEX($AN$2:$BO$1001,MATCH(ROWS($AG$2:AG534),$AG$2:$AG$1001,0),MATCH(COLUMNS($AN$1006:AZ1006),$AN$1006:$BO$1006,0)), HYPERLINK("#",""), HYPERLINK(CONCATENATE("#Metadata!", ADDRESS(INDEX($AI$2:$AI$1001,MATCH(ROWS($AG$2:AG534),$AG$2:$AG$1001,0),0), INDEX($AN$1004:$BO$1004,1,MATCH(COLUMNS($AN$1006:AZ1006),$AN$1006:$BO$1006,0)))),"Fix")))</f>
        <v>0</v>
      </c>
      <c r="O534" s="4">
        <f>IF(OR(INDEX($AH$2:$AH$1001,MATCH(ROWS($AG$2:AG534),$AG$2:$AG$1001,0),1)&gt;=100000,INDEX($AN$1005:$BO$1005,1,MATCH(COLUMNS($AN$1006:BA1006),$AN$1006:$BO$1006,0))&gt;=100000), " ",IF(INDEX($AN$2:$BO$1001,MATCH(ROWS($AG$2:AG534),$AG$2:$AG$1001,0),MATCH(COLUMNS($AN$1006:BA1006),$AN$1006:$BO$1006,0)), HYPERLINK("#",""), HYPERLINK(CONCATENATE("#Metadata!", ADDRESS(INDEX($AI$2:$AI$1001,MATCH(ROWS($AG$2:AG534),$AG$2:$AG$1001,0),0), INDEX($AN$1004:$BO$1004,1,MATCH(COLUMNS($AN$1006:BA1006),$AN$1006:$BO$1006,0)))),"Fix")))</f>
        <v>0</v>
      </c>
      <c r="P534" s="4">
        <f>IF(OR(INDEX($AH$2:$AH$1001,MATCH(ROWS($AG$2:AG534),$AG$2:$AG$1001,0),1)&gt;=100000,INDEX($AN$1005:$BO$1005,1,MATCH(COLUMNS($AN$1006:BB1006),$AN$1006:$BO$1006,0))&gt;=100000), " ",IF(INDEX($AN$2:$BO$1001,MATCH(ROWS($AG$2:AG534),$AG$2:$AG$1001,0),MATCH(COLUMNS($AN$1006:BB1006),$AN$1006:$BO$1006,0)), HYPERLINK("#",""), HYPERLINK(CONCATENATE("#Metadata!", ADDRESS(INDEX($AI$2:$AI$1001,MATCH(ROWS($AG$2:AG534),$AG$2:$AG$1001,0),0), INDEX($AN$1004:$BO$1004,1,MATCH(COLUMNS($AN$1006:BB1006),$AN$1006:$BO$1006,0)))),"Fix")))</f>
        <v>0</v>
      </c>
      <c r="Q534" s="4">
        <f>IF(OR(INDEX($AH$2:$AH$1001,MATCH(ROWS($AG$2:AG534),$AG$2:$AG$1001,0),1)&gt;=100000,INDEX($AN$1005:$BO$1005,1,MATCH(COLUMNS($AN$1006:BC1006),$AN$1006:$BO$1006,0))&gt;=100000), " ",IF(INDEX($AN$2:$BO$1001,MATCH(ROWS($AG$2:AG534),$AG$2:$AG$1001,0),MATCH(COLUMNS($AN$1006:BC1006),$AN$1006:$BO$1006,0)), HYPERLINK("#",""), HYPERLINK(CONCATENATE("#Metadata!", ADDRESS(INDEX($AI$2:$AI$1001,MATCH(ROWS($AG$2:AG534),$AG$2:$AG$1001,0),0), INDEX($AN$1004:$BO$1004,1,MATCH(COLUMNS($AN$1006:BC1006),$AN$1006:$BO$1006,0)))),"Fix")))</f>
        <v>0</v>
      </c>
      <c r="R534" s="4">
        <f>IF(OR(INDEX($AH$2:$AH$1001,MATCH(ROWS($AG$2:AG534),$AG$2:$AG$1001,0),1)&gt;=100000,INDEX($AN$1005:$BO$1005,1,MATCH(COLUMNS($AN$1006:BD1006),$AN$1006:$BO$1006,0))&gt;=100000), " ",IF(INDEX($AN$2:$BO$1001,MATCH(ROWS($AG$2:AG534),$AG$2:$AG$1001,0),MATCH(COLUMNS($AN$1006:BD1006),$AN$1006:$BO$1006,0)), HYPERLINK("#",""), HYPERLINK(CONCATENATE("#Metadata!", ADDRESS(INDEX($AI$2:$AI$1001,MATCH(ROWS($AG$2:AG534),$AG$2:$AG$1001,0),0), INDEX($AN$1004:$BO$1004,1,MATCH(COLUMNS($AN$1006:BD1006),$AN$1006:$BO$1006,0)))),"Fix")))</f>
        <v>0</v>
      </c>
      <c r="S534" s="4">
        <f>IF(OR(INDEX($AH$2:$AH$1001,MATCH(ROWS($AG$2:AG534),$AG$2:$AG$1001,0),1)&gt;=100000,INDEX($AN$1005:$BO$1005,1,MATCH(COLUMNS($AN$1006:BE1006),$AN$1006:$BO$1006,0))&gt;=100000), " ",IF(INDEX($AN$2:$BO$1001,MATCH(ROWS($AG$2:AG534),$AG$2:$AG$1001,0),MATCH(COLUMNS($AN$1006:BE1006),$AN$1006:$BO$1006,0)), HYPERLINK("#",""), HYPERLINK(CONCATENATE("#Metadata!", ADDRESS(INDEX($AI$2:$AI$1001,MATCH(ROWS($AG$2:AG534),$AG$2:$AG$1001,0),0), INDEX($AN$1004:$BO$1004,1,MATCH(COLUMNS($AN$1006:BE1006),$AN$1006:$BO$1006,0)))),"Fix")))</f>
        <v>0</v>
      </c>
      <c r="T534" s="4">
        <f>IF(OR(INDEX($AH$2:$AH$1001,MATCH(ROWS($AG$2:AG534),$AG$2:$AG$1001,0),1)&gt;=100000,INDEX($AN$1005:$BO$1005,1,MATCH(COLUMNS($AN$1006:BF1006),$AN$1006:$BO$1006,0))&gt;=100000), " ",IF(INDEX($AN$2:$BO$1001,MATCH(ROWS($AG$2:AG534),$AG$2:$AG$1001,0),MATCH(COLUMNS($AN$1006:BF1006),$AN$1006:$BO$1006,0)), HYPERLINK("#",""), HYPERLINK(CONCATENATE("#Metadata!", ADDRESS(INDEX($AI$2:$AI$1001,MATCH(ROWS($AG$2:AG534),$AG$2:$AG$1001,0),0), INDEX($AN$1004:$BO$1004,1,MATCH(COLUMNS($AN$1006:BF1006),$AN$1006:$BO$1006,0)))),"Fix")))</f>
        <v>0</v>
      </c>
      <c r="U534" s="4">
        <f>IF(OR(INDEX($AH$2:$AH$1001,MATCH(ROWS($AG$2:AG534),$AG$2:$AG$1001,0),1)&gt;=100000,INDEX($AN$1005:$BO$1005,1,MATCH(COLUMNS($AN$1006:BG1006),$AN$1006:$BO$1006,0))&gt;=100000), " ",IF(INDEX($AN$2:$BO$1001,MATCH(ROWS($AG$2:AG534),$AG$2:$AG$1001,0),MATCH(COLUMNS($AN$1006:BG1006),$AN$1006:$BO$1006,0)), HYPERLINK("#",""), HYPERLINK(CONCATENATE("#Metadata!", ADDRESS(INDEX($AI$2:$AI$1001,MATCH(ROWS($AG$2:AG534),$AG$2:$AG$1001,0),0), INDEX($AN$1004:$BO$1004,1,MATCH(COLUMNS($AN$1006:BG1006),$AN$1006:$BO$1006,0)))),"Fix")))</f>
        <v>0</v>
      </c>
      <c r="V534" s="4">
        <f>IF(OR(INDEX($AH$2:$AH$1001,MATCH(ROWS($AG$2:AG534),$AG$2:$AG$1001,0),1)&gt;=100000,INDEX($AN$1005:$BO$1005,1,MATCH(COLUMNS($AN$1006:BH1006),$AN$1006:$BO$1006,0))&gt;=100000), " ",IF(INDEX($AN$2:$BO$1001,MATCH(ROWS($AG$2:AG534),$AG$2:$AG$1001,0),MATCH(COLUMNS($AN$1006:BH1006),$AN$1006:$BO$1006,0)), HYPERLINK("#",""), HYPERLINK(CONCATENATE("#Metadata!", ADDRESS(INDEX($AI$2:$AI$1001,MATCH(ROWS($AG$2:AG534),$AG$2:$AG$1001,0),0), INDEX($AN$1004:$BO$1004,1,MATCH(COLUMNS($AN$1006:BH1006),$AN$1006:$BO$1006,0)))),"Fix")))</f>
        <v>0</v>
      </c>
      <c r="W534" s="4">
        <f>IF(OR(INDEX($AH$2:$AH$1001,MATCH(ROWS($AG$2:AG534),$AG$2:$AG$1001,0),1)&gt;=100000,INDEX($AN$1005:$BO$1005,1,MATCH(COLUMNS($AN$1006:BI1006),$AN$1006:$BO$1006,0))&gt;=100000), " ",IF(INDEX($AN$2:$BO$1001,MATCH(ROWS($AG$2:AG534),$AG$2:$AG$1001,0),MATCH(COLUMNS($AN$1006:BI1006),$AN$1006:$BO$1006,0)), HYPERLINK("#",""), HYPERLINK(CONCATENATE("#Metadata!", ADDRESS(INDEX($AI$2:$AI$1001,MATCH(ROWS($AG$2:AG534),$AG$2:$AG$1001,0),0), INDEX($AN$1004:$BO$1004,1,MATCH(COLUMNS($AN$1006:BI1006),$AN$1006:$BO$1006,0)))),"Fix")))</f>
        <v>0</v>
      </c>
      <c r="X534" s="4">
        <f>IF(OR(INDEX($AH$2:$AH$1001,MATCH(ROWS($AG$2:AG534),$AG$2:$AG$1001,0),1)&gt;=100000,INDEX($AN$1005:$BO$1005,1,MATCH(COLUMNS($AN$1006:BJ1006),$AN$1006:$BO$1006,0))&gt;=100000), " ",IF(INDEX($AN$2:$BO$1001,MATCH(ROWS($AG$2:AG534),$AG$2:$AG$1001,0),MATCH(COLUMNS($AN$1006:BJ1006),$AN$1006:$BO$1006,0)), HYPERLINK("#",""), HYPERLINK(CONCATENATE("#Metadata!", ADDRESS(INDEX($AI$2:$AI$1001,MATCH(ROWS($AG$2:AG534),$AG$2:$AG$1001,0),0), INDEX($AN$1004:$BO$1004,1,MATCH(COLUMNS($AN$1006:BJ1006),$AN$1006:$BO$1006,0)))),"Fix")))</f>
        <v>0</v>
      </c>
      <c r="Y534" s="4">
        <f>IF(OR(INDEX($AH$2:$AH$1001,MATCH(ROWS($AG$2:AG534),$AG$2:$AG$1001,0),1)&gt;=100000,INDEX($AN$1005:$BO$1005,1,MATCH(COLUMNS($AN$1006:BK1006),$AN$1006:$BO$1006,0))&gt;=100000), " ",IF(INDEX($AN$2:$BO$1001,MATCH(ROWS($AG$2:AG534),$AG$2:$AG$1001,0),MATCH(COLUMNS($AN$1006:BK1006),$AN$1006:$BO$1006,0)), HYPERLINK("#",""), HYPERLINK(CONCATENATE("#Metadata!", ADDRESS(INDEX($AI$2:$AI$1001,MATCH(ROWS($AG$2:AG534),$AG$2:$AG$1001,0),0), INDEX($AN$1004:$BO$1004,1,MATCH(COLUMNS($AN$1006:BK1006),$AN$1006:$BO$1006,0)))),"Fix")))</f>
        <v>0</v>
      </c>
      <c r="Z534" s="4">
        <f>IF(OR(INDEX($AH$2:$AH$1001,MATCH(ROWS($AG$2:AG534),$AG$2:$AG$1001,0),1)&gt;=100000,INDEX($AN$1005:$BO$1005,1,MATCH(COLUMNS($AN$1006:BL1006),$AN$1006:$BO$1006,0))&gt;=100000), " ",IF(INDEX($AN$2:$BO$1001,MATCH(ROWS($AG$2:AG534),$AG$2:$AG$1001,0),MATCH(COLUMNS($AN$1006:BL1006),$AN$1006:$BO$1006,0)), HYPERLINK("#",""), HYPERLINK(CONCATENATE("#Metadata!", ADDRESS(INDEX($AI$2:$AI$1001,MATCH(ROWS($AG$2:AG534),$AG$2:$AG$1001,0),0), INDEX($AN$1004:$BO$1004,1,MATCH(COLUMNS($AN$1006:BL1006),$AN$1006:$BO$1006,0)))),"Fix")))</f>
        <v>0</v>
      </c>
      <c r="AA534" s="4">
        <f>IF(OR(INDEX($AH$2:$AH$1001,MATCH(ROWS($AG$2:AG534),$AG$2:$AG$1001,0),1)&gt;=100000,INDEX($AN$1005:$BO$1005,1,MATCH(COLUMNS($AN$1006:BM1006),$AN$1006:$BO$1006,0))&gt;=100000), " ",IF(INDEX($AN$2:$BO$1001,MATCH(ROWS($AG$2:AG534),$AG$2:$AG$1001,0),MATCH(COLUMNS($AN$1006:BM1006),$AN$1006:$BO$1006,0)), HYPERLINK("#",""), HYPERLINK(CONCATENATE("#Metadata!", ADDRESS(INDEX($AI$2:$AI$1001,MATCH(ROWS($AG$2:AG534),$AG$2:$AG$1001,0),0), INDEX($AN$1004:$BO$1004,1,MATCH(COLUMNS($AN$1006:BM1006),$AN$1006:$BO$1006,0)))),"Fix")))</f>
        <v>0</v>
      </c>
      <c r="AB534" s="4">
        <f>IF(OR(INDEX($AH$2:$AH$1001,MATCH(ROWS($AG$2:AG534),$AG$2:$AG$1001,0),1)&gt;=100000,INDEX($AN$1005:$BO$1005,1,MATCH(COLUMNS($AN$1006:BN1006),$AN$1006:$BO$1006,0))&gt;=100000), " ",IF(INDEX($AN$2:$BO$1001,MATCH(ROWS($AG$2:AG534),$AG$2:$AG$1001,0),MATCH(COLUMNS($AN$1006:BN1006),$AN$1006:$BO$1006,0)), HYPERLINK("#",""), HYPERLINK(CONCATENATE("#Metadata!", ADDRESS(INDEX($AI$2:$AI$1001,MATCH(ROWS($AG$2:AG534),$AG$2:$AG$1001,0),0), INDEX($AN$1004:$BO$1004,1,MATCH(COLUMNS($AN$1006:BN1006),$AN$1006:$BO$1006,0)))),"Fix")))</f>
        <v>0</v>
      </c>
      <c r="AC534" s="4">
        <f>IF(OR(INDEX($AH$2:$AH$1001,MATCH(ROWS($AG$2:AG534),$AG$2:$AG$1001,0),1)&gt;=100000,INDEX($AN$1005:$BO$1005,1,MATCH(COLUMNS($AN$1006:BO1006),$AN$1006:$BO$1006,0))&gt;=100000), " ",IF(INDEX($AN$2:$BO$1001,MATCH(ROWS($AG$2:AG534),$AG$2:$AG$1001,0),MATCH(COLUMNS($AN$1006:BO1006),$AN$1006:$BO$1006,0)), HYPERLINK("#",""), HYPERLINK(CONCATENATE("#Metadata!", ADDRESS(INDEX($AI$2:$AI$1001,MATCH(ROWS($AG$2:AG534),$AG$2:$AG$1001,0),0), INDEX($AN$1004:$BO$1004,1,MATCH(COLUMNS($AN$1006:BO1006),$AN$1006:$BO$1006,0)))),"Fix")))</f>
        <v>0</v>
      </c>
      <c r="AG534">
        <v>0</v>
      </c>
      <c r="AH534">
        <v>0</v>
      </c>
      <c r="AI534">
        <v>0</v>
      </c>
      <c r="AJ534">
        <f>IF(AK534,TRUE,AND(AN534:BO534))</f>
        <v>0</v>
      </c>
      <c r="AK534">
        <f>COUNTBLANK(Metadata!B534:AC534)=COLUMNS(Metadata!B534:AC534)</f>
        <v>0</v>
      </c>
      <c r="AL534">
        <v>0</v>
      </c>
      <c r="AN534">
        <f>AND(IF(Metadata!B534="",FALSE,TRUE),COUNTIF(Metadata!B:B, Metadata!B534) = 1,NOT(ISERROR(SUMPRODUCT(SEARCH(MID(Metadata!B534,ROW(INDIRECT("1:"&amp;LEN(Metadata!B534))), 1),"0123456789abcdefghijklmnopqrstuvwxyzABCDEFGHIJKLMNOPQRSTUVWXYZ.")))))</f>
        <v>0</v>
      </c>
      <c r="AO534">
        <f>IF(Metadata!C534="",FALSE,TRUE)</f>
        <v>0</v>
      </c>
      <c r="AP534">
        <f>IF(Metadata!D534="",FALSE,TRUE)</f>
        <v>0</v>
      </c>
      <c r="AQ534">
        <f>OR(AND(IF(Metadata!E534="",FALSE,TRUE),OR(exact(Metadata!E534,"not collected"),exact(Metadata!E534,"not provided"),exact(Metadata!E534,"restricted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R534">
        <f>IF(Metadata!F534="",FALSE,TRUE)</f>
        <v>0</v>
      </c>
      <c r="AS534">
        <f>OR(AND(IF(Metadata!G534="",FALSE,TRUE),OR(exact(Metadata!G534,"not collected"),exact(Metadata!G534,"not provided"))),AND(IF(Metadata!G534="",FALSE,TRUE),OR(exact(Metadata!G534,"TRUE"),exact(Metadata!G534,"FALSE"))))</f>
        <v>0</v>
      </c>
      <c r="AT534">
        <f>OR(AND(IF(Metadata!H534="",FALSE,TRUE),OR(exact(Metadata!H534,"not collected"),exact(Metadata!H534,"not provided"),exact(Metadata!H534,"restricted access"))),AND(IF(Metadata!H534="",FALSE,ISNUMBER(VALUE(Metadata!H534))),Metadata!H534&gt;=-413.0))</f>
        <v>0</v>
      </c>
      <c r="AU534">
        <f>AND(IF(Metadata!I534="",FALSE,TRUE),exact(Metadata!I534,"meters"))</f>
        <v>0</v>
      </c>
      <c r="AV534">
        <f>AND(IF(Metadata!J534="",FALSE,TRUE),OR(exact(Metadata!J534,"Host-associated"),exact(Metadata!J534,"Free-living")))</f>
        <v>0</v>
      </c>
      <c r="AW534">
        <f>AND(IF(Metadata!K534="",FALSE,TRUE),OR(exact(Metadata!K534,"Animal"),exact(Metadata!K534,"Fungus"),exact(Metadata!K534,"Plant"),exact(Metadata!K534,"Saline"),exact(Metadata!K534,"Non-saline")))</f>
        <v>0</v>
      </c>
      <c r="AX534">
        <f>AND(IF(Metadata!L534="",FALSE,TRUE),OR(exact(Metadata!L534,"Plant secretion"),exact(Metadata!L534,"Plant rhizosphere"),exact(Metadata!L534,"Plant surface"),exact(Metadata!L534,"Plant corpus"),exact(Metadata!L534,"Fungus surface"),exact(Metadata!L534,"Fungus corpus"),exact(Metadata!L534,"Animal surface"),exact(Metadata!L534,"Animal proximal gut"),exact(Metadata!L534,"Animal corpus"),exact(Metadata!L534,"Animal distal gut"),exact(Metadata!L534,"Animal secretion"),exact(Metadata!L534,"Sub-surface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Y534">
        <f>IF(Metadata!M534="",FALSE,TRUE)</f>
        <v>0</v>
      </c>
      <c r="AZ534">
        <f>IF(Metadata!N534="",FALSE,TRUE)</f>
        <v>0</v>
      </c>
      <c r="BA534">
        <f>IF(Metadata!O534="",FALSE,TRUE)</f>
        <v>0</v>
      </c>
      <c r="BB534">
        <f>OR(AND(IF(Metadata!P534="",FALSE,TRUE),OR(exact(Metadata!P534,"not collected"),exact(Metadata!P534,"not provided"),exact(Metadata!P534,"restricted access"))),AND(IF(Metadata!P534="",FALSE,TRUE),OR(exact(Metadata!P534,"air"),exact(Metadata!P534,"built environment"),exact(Metadata!P534,"host-associated"),exact(Metadata!P534,"human-associated"),exact(Metadata!P534,"human-skin"),exact(Metadata!P534,"human-oral"),exact(Metadata!P534,"human-gut"),exact(Metadata!P534,"human-vaginal"),exact(Metadata!P534,"microbial mat/biofilm"),exact(Metadata!P534,"misc environment"),exact(Metadata!P534,"plant-associated"),exact(Metadata!P534,"sediment"),exact(Metadata!P534,"soil"),exact(Metadata!P534,"wastewater/sludge"),exact(Metadata!P534,"water"))))</f>
        <v>0</v>
      </c>
      <c r="BC534">
        <f>IF(Metadata!Q534="",FALSE,TRUE)</f>
        <v>0</v>
      </c>
      <c r="BD534">
        <f>IF(Metadata!R534="",FALSE,TRUE)</f>
        <v>0</v>
      </c>
      <c r="BE534">
        <f>OR(AND(IF(Metadata!S534="",FALSE,TRUE),OR(exact(Metadata!S534,"not collected"),exact(Metadata!S534,"not provided"),exact(Metadata!S534,"restricted access"))),AND(IF(Metadata!S534="",FALSE,ISNUMBER(VALUE(Metadata!S534))),Metadata!S534&gt;=-90.00,Metadata!S534&lt;=90.00))</f>
        <v>0</v>
      </c>
      <c r="BF534">
        <f>AND(IF(Metadata!T534="",FALSE,TRUE),exact(Metadata!T534,"Decimal degrees"))</f>
        <v>0</v>
      </c>
      <c r="BG534">
        <f>OR(AND(IF(Metadata!U534="",FALSE,TRUE),OR(exact(Metadata!U534,"not collected"),exact(Metadata!U534,"not provided"),exact(Metadata!U534,"restricted access"))),AND(IF(Metadata!U534="",FALSE,ISNUMBER(VALUE(Metadata!U534))),Metadata!U534&gt;=-180.00,Metadata!U534&lt;=180.00))</f>
        <v>0</v>
      </c>
      <c r="BH534">
        <f>AND(IF(Metadata!V534="",FALSE,TRUE),exact(Metadata!V534,"Decimal degrees"))</f>
        <v>0</v>
      </c>
      <c r="BI534">
        <f>IF(Metadata!W534="",FALSE,TRUE)</f>
        <v>0</v>
      </c>
      <c r="BJ534">
        <f>OR(AND(IF(Metadata!X534="",FALSE,TRUE),OR(exact(Metadata!X534,"not collected"),exact(Metadata!X534,"not provided"),exact(Metadata!X534,"restricted access"))),AND(IF(Metadata!X534="",FALSE,TRUE),OR(exact(Metadata!X534,"TRUE"),exact(Metadata!X534,"FALSE"))))</f>
        <v>0</v>
      </c>
      <c r="BK534">
        <f>AND(IF(Metadata!Y534="",FALSE,TRUE),exact(Metadata!Y534,"other"))</f>
        <v>0</v>
      </c>
      <c r="BL534">
        <f>IF(Metadata!Z534="",FALSE,TRUE)</f>
        <v>0</v>
      </c>
      <c r="BM534">
        <f>OR(AND(IF(Metadata!AA534="",FALSE,TRUE),OR(exact(Metadata!AA534,"not collected"),exact(Metadata!AA534,"not provided"))),AND(IF(Metadata!AA534="",FALSE,IF(ISERROR(INT(Metadata!AA534)),FALSE,INT(Metadata!AA534)=Metadata!AA534)),Metadata!AA534&gt;0))</f>
        <v>0</v>
      </c>
      <c r="BN534">
        <f>AND(IF(Metadata!AB534="",FALSE,TRUE),exact(Metadata!AB534,"Not applicable"))</f>
        <v>0</v>
      </c>
      <c r="BO534">
        <f>IF(Metadata!AC534="",FALSE,TRUE)</f>
        <v>0</v>
      </c>
    </row>
    <row r="535" spans="1:67">
      <c r="A535" s="5">
        <f>IF(B535=" "," ",HYPERLINK(CONCATENATE("#metadata!",ADDRESS(INDEX($AI$2:$AI$1001,MATCH(ROWS($AG$2:AG535),$AG$2:$AG$1001,0),0),1)),INDEX($AL$2:$AL$1001,MATCH(ROWS($AG$2:AG535),$AG$2:$AG$1001,0),0)))</f>
        <v>0</v>
      </c>
      <c r="B535" s="4">
        <f>IF(OR(INDEX($AH$2:$AH$1001,MATCH(ROWS($AG$2:AG535),$AG$2:$AG$1001,0),1)&gt;=100000,INDEX($AN$1005:$BO$1005,1,MATCH(COLUMNS($AN$1006:AN1006),$AN$1006:$BO$1006,0))&gt;=100000), " ",IF(INDEX($AN$2:$BO$1001,MATCH(ROWS($AG$2:AG535),$AG$2:$AG$1001,0),MATCH(COLUMNS($AN$1006:AN1006),$AN$1006:$BO$1006,0)), HYPERLINK("#",""), HYPERLINK(CONCATENATE("#Metadata!", ADDRESS(INDEX($AI$2:$AI$1001,MATCH(ROWS($AG$2:AG535),$AG$2:$AG$1001,0),0), INDEX($AN$1004:$BO$1004,1,MATCH(COLUMNS($AN$1006:AN1006),$AN$1006:$BO$1006,0)))),"Fix")))</f>
        <v>0</v>
      </c>
      <c r="C535" s="4">
        <f>IF(OR(INDEX($AH$2:$AH$1001,MATCH(ROWS($AG$2:AG535),$AG$2:$AG$1001,0),1)&gt;=100000,INDEX($AN$1005:$BO$1005,1,MATCH(COLUMNS($AN$1006:AO1006),$AN$1006:$BO$1006,0))&gt;=100000), " ",IF(INDEX($AN$2:$BO$1001,MATCH(ROWS($AG$2:AG535),$AG$2:$AG$1001,0),MATCH(COLUMNS($AN$1006:AO1006),$AN$1006:$BO$1006,0)), HYPERLINK("#",""), HYPERLINK(CONCATENATE("#Metadata!", ADDRESS(INDEX($AI$2:$AI$1001,MATCH(ROWS($AG$2:AG535),$AG$2:$AG$1001,0),0), INDEX($AN$1004:$BO$1004,1,MATCH(COLUMNS($AN$1006:AO1006),$AN$1006:$BO$1006,0)))),"Fix")))</f>
        <v>0</v>
      </c>
      <c r="D535" s="4">
        <f>IF(OR(INDEX($AH$2:$AH$1001,MATCH(ROWS($AG$2:AG535),$AG$2:$AG$1001,0),1)&gt;=100000,INDEX($AN$1005:$BO$1005,1,MATCH(COLUMNS($AN$1006:AP1006),$AN$1006:$BO$1006,0))&gt;=100000), " ",IF(INDEX($AN$2:$BO$1001,MATCH(ROWS($AG$2:AG535),$AG$2:$AG$1001,0),MATCH(COLUMNS($AN$1006:AP1006),$AN$1006:$BO$1006,0)), HYPERLINK("#",""), HYPERLINK(CONCATENATE("#Metadata!", ADDRESS(INDEX($AI$2:$AI$1001,MATCH(ROWS($AG$2:AG535),$AG$2:$AG$1001,0),0), INDEX($AN$1004:$BO$1004,1,MATCH(COLUMNS($AN$1006:AP1006),$AN$1006:$BO$1006,0)))),"Fix")))</f>
        <v>0</v>
      </c>
      <c r="E535" s="4">
        <f>IF(OR(INDEX($AH$2:$AH$1001,MATCH(ROWS($AG$2:AG535),$AG$2:$AG$1001,0),1)&gt;=100000,INDEX($AN$1005:$BO$1005,1,MATCH(COLUMNS($AN$1006:AQ1006),$AN$1006:$BO$1006,0))&gt;=100000), " ",IF(INDEX($AN$2:$BO$1001,MATCH(ROWS($AG$2:AG535),$AG$2:$AG$1001,0),MATCH(COLUMNS($AN$1006:AQ1006),$AN$1006:$BO$1006,0)), HYPERLINK("#",""), HYPERLINK(CONCATENATE("#Metadata!", ADDRESS(INDEX($AI$2:$AI$1001,MATCH(ROWS($AG$2:AG535),$AG$2:$AG$1001,0),0), INDEX($AN$1004:$BO$1004,1,MATCH(COLUMNS($AN$1006:AQ1006),$AN$1006:$BO$1006,0)))),"Fix")))</f>
        <v>0</v>
      </c>
      <c r="F535" s="4">
        <f>IF(OR(INDEX($AH$2:$AH$1001,MATCH(ROWS($AG$2:AG535),$AG$2:$AG$1001,0),1)&gt;=100000,INDEX($AN$1005:$BO$1005,1,MATCH(COLUMNS($AN$1006:AR1006),$AN$1006:$BO$1006,0))&gt;=100000), " ",IF(INDEX($AN$2:$BO$1001,MATCH(ROWS($AG$2:AG535),$AG$2:$AG$1001,0),MATCH(COLUMNS($AN$1006:AR1006),$AN$1006:$BO$1006,0)), HYPERLINK("#",""), HYPERLINK(CONCATENATE("#Metadata!", ADDRESS(INDEX($AI$2:$AI$1001,MATCH(ROWS($AG$2:AG535),$AG$2:$AG$1001,0),0), INDEX($AN$1004:$BO$1004,1,MATCH(COLUMNS($AN$1006:AR1006),$AN$1006:$BO$1006,0)))),"Fix")))</f>
        <v>0</v>
      </c>
      <c r="G535" s="4">
        <f>IF(OR(INDEX($AH$2:$AH$1001,MATCH(ROWS($AG$2:AG535),$AG$2:$AG$1001,0),1)&gt;=100000,INDEX($AN$1005:$BO$1005,1,MATCH(COLUMNS($AN$1006:AS1006),$AN$1006:$BO$1006,0))&gt;=100000), " ",IF(INDEX($AN$2:$BO$1001,MATCH(ROWS($AG$2:AG535),$AG$2:$AG$1001,0),MATCH(COLUMNS($AN$1006:AS1006),$AN$1006:$BO$1006,0)), HYPERLINK("#",""), HYPERLINK(CONCATENATE("#Metadata!", ADDRESS(INDEX($AI$2:$AI$1001,MATCH(ROWS($AG$2:AG535),$AG$2:$AG$1001,0),0), INDEX($AN$1004:$BO$1004,1,MATCH(COLUMNS($AN$1006:AS1006),$AN$1006:$BO$1006,0)))),"Fix")))</f>
        <v>0</v>
      </c>
      <c r="H535" s="4">
        <f>IF(OR(INDEX($AH$2:$AH$1001,MATCH(ROWS($AG$2:AG535),$AG$2:$AG$1001,0),1)&gt;=100000,INDEX($AN$1005:$BO$1005,1,MATCH(COLUMNS($AN$1006:AT1006),$AN$1006:$BO$1006,0))&gt;=100000), " ",IF(INDEX($AN$2:$BO$1001,MATCH(ROWS($AG$2:AG535),$AG$2:$AG$1001,0),MATCH(COLUMNS($AN$1006:AT1006),$AN$1006:$BO$1006,0)), HYPERLINK("#",""), HYPERLINK(CONCATENATE("#Metadata!", ADDRESS(INDEX($AI$2:$AI$1001,MATCH(ROWS($AG$2:AG535),$AG$2:$AG$1001,0),0), INDEX($AN$1004:$BO$1004,1,MATCH(COLUMNS($AN$1006:AT1006),$AN$1006:$BO$1006,0)))),"Fix")))</f>
        <v>0</v>
      </c>
      <c r="I535" s="4">
        <f>IF(OR(INDEX($AH$2:$AH$1001,MATCH(ROWS($AG$2:AG535),$AG$2:$AG$1001,0),1)&gt;=100000,INDEX($AN$1005:$BO$1005,1,MATCH(COLUMNS($AN$1006:AU1006),$AN$1006:$BO$1006,0))&gt;=100000), " ",IF(INDEX($AN$2:$BO$1001,MATCH(ROWS($AG$2:AG535),$AG$2:$AG$1001,0),MATCH(COLUMNS($AN$1006:AU1006),$AN$1006:$BO$1006,0)), HYPERLINK("#",""), HYPERLINK(CONCATENATE("#Metadata!", ADDRESS(INDEX($AI$2:$AI$1001,MATCH(ROWS($AG$2:AG535),$AG$2:$AG$1001,0),0), INDEX($AN$1004:$BO$1004,1,MATCH(COLUMNS($AN$1006:AU1006),$AN$1006:$BO$1006,0)))),"Fix")))</f>
        <v>0</v>
      </c>
      <c r="J535" s="4">
        <f>IF(OR(INDEX($AH$2:$AH$1001,MATCH(ROWS($AG$2:AG535),$AG$2:$AG$1001,0),1)&gt;=100000,INDEX($AN$1005:$BO$1005,1,MATCH(COLUMNS($AN$1006:AV1006),$AN$1006:$BO$1006,0))&gt;=100000), " ",IF(INDEX($AN$2:$BO$1001,MATCH(ROWS($AG$2:AG535),$AG$2:$AG$1001,0),MATCH(COLUMNS($AN$1006:AV1006),$AN$1006:$BO$1006,0)), HYPERLINK("#",""), HYPERLINK(CONCATENATE("#Metadata!", ADDRESS(INDEX($AI$2:$AI$1001,MATCH(ROWS($AG$2:AG535),$AG$2:$AG$1001,0),0), INDEX($AN$1004:$BO$1004,1,MATCH(COLUMNS($AN$1006:AV1006),$AN$1006:$BO$1006,0)))),"Fix")))</f>
        <v>0</v>
      </c>
      <c r="K535" s="4">
        <f>IF(OR(INDEX($AH$2:$AH$1001,MATCH(ROWS($AG$2:AG535),$AG$2:$AG$1001,0),1)&gt;=100000,INDEX($AN$1005:$BO$1005,1,MATCH(COLUMNS($AN$1006:AW1006),$AN$1006:$BO$1006,0))&gt;=100000), " ",IF(INDEX($AN$2:$BO$1001,MATCH(ROWS($AG$2:AG535),$AG$2:$AG$1001,0),MATCH(COLUMNS($AN$1006:AW1006),$AN$1006:$BO$1006,0)), HYPERLINK("#",""), HYPERLINK(CONCATENATE("#Metadata!", ADDRESS(INDEX($AI$2:$AI$1001,MATCH(ROWS($AG$2:AG535),$AG$2:$AG$1001,0),0), INDEX($AN$1004:$BO$1004,1,MATCH(COLUMNS($AN$1006:AW1006),$AN$1006:$BO$1006,0)))),"Fix")))</f>
        <v>0</v>
      </c>
      <c r="L535" s="4">
        <f>IF(OR(INDEX($AH$2:$AH$1001,MATCH(ROWS($AG$2:AG535),$AG$2:$AG$1001,0),1)&gt;=100000,INDEX($AN$1005:$BO$1005,1,MATCH(COLUMNS($AN$1006:AX1006),$AN$1006:$BO$1006,0))&gt;=100000), " ",IF(INDEX($AN$2:$BO$1001,MATCH(ROWS($AG$2:AG535),$AG$2:$AG$1001,0),MATCH(COLUMNS($AN$1006:AX1006),$AN$1006:$BO$1006,0)), HYPERLINK("#",""), HYPERLINK(CONCATENATE("#Metadata!", ADDRESS(INDEX($AI$2:$AI$1001,MATCH(ROWS($AG$2:AG535),$AG$2:$AG$1001,0),0), INDEX($AN$1004:$BO$1004,1,MATCH(COLUMNS($AN$1006:AX1006),$AN$1006:$BO$1006,0)))),"Fix")))</f>
        <v>0</v>
      </c>
      <c r="M535" s="4">
        <f>IF(OR(INDEX($AH$2:$AH$1001,MATCH(ROWS($AG$2:AG535),$AG$2:$AG$1001,0),1)&gt;=100000,INDEX($AN$1005:$BO$1005,1,MATCH(COLUMNS($AN$1006:AY1006),$AN$1006:$BO$1006,0))&gt;=100000), " ",IF(INDEX($AN$2:$BO$1001,MATCH(ROWS($AG$2:AG535),$AG$2:$AG$1001,0),MATCH(COLUMNS($AN$1006:AY1006),$AN$1006:$BO$1006,0)), HYPERLINK("#",""), HYPERLINK(CONCATENATE("#Metadata!", ADDRESS(INDEX($AI$2:$AI$1001,MATCH(ROWS($AG$2:AG535),$AG$2:$AG$1001,0),0), INDEX($AN$1004:$BO$1004,1,MATCH(COLUMNS($AN$1006:AY1006),$AN$1006:$BO$1006,0)))),"Fix")))</f>
        <v>0</v>
      </c>
      <c r="N535" s="4">
        <f>IF(OR(INDEX($AH$2:$AH$1001,MATCH(ROWS($AG$2:AG535),$AG$2:$AG$1001,0),1)&gt;=100000,INDEX($AN$1005:$BO$1005,1,MATCH(COLUMNS($AN$1006:AZ1006),$AN$1006:$BO$1006,0))&gt;=100000), " ",IF(INDEX($AN$2:$BO$1001,MATCH(ROWS($AG$2:AG535),$AG$2:$AG$1001,0),MATCH(COLUMNS($AN$1006:AZ1006),$AN$1006:$BO$1006,0)), HYPERLINK("#",""), HYPERLINK(CONCATENATE("#Metadata!", ADDRESS(INDEX($AI$2:$AI$1001,MATCH(ROWS($AG$2:AG535),$AG$2:$AG$1001,0),0), INDEX($AN$1004:$BO$1004,1,MATCH(COLUMNS($AN$1006:AZ1006),$AN$1006:$BO$1006,0)))),"Fix")))</f>
        <v>0</v>
      </c>
      <c r="O535" s="4">
        <f>IF(OR(INDEX($AH$2:$AH$1001,MATCH(ROWS($AG$2:AG535),$AG$2:$AG$1001,0),1)&gt;=100000,INDEX($AN$1005:$BO$1005,1,MATCH(COLUMNS($AN$1006:BA1006),$AN$1006:$BO$1006,0))&gt;=100000), " ",IF(INDEX($AN$2:$BO$1001,MATCH(ROWS($AG$2:AG535),$AG$2:$AG$1001,0),MATCH(COLUMNS($AN$1006:BA1006),$AN$1006:$BO$1006,0)), HYPERLINK("#",""), HYPERLINK(CONCATENATE("#Metadata!", ADDRESS(INDEX($AI$2:$AI$1001,MATCH(ROWS($AG$2:AG535),$AG$2:$AG$1001,0),0), INDEX($AN$1004:$BO$1004,1,MATCH(COLUMNS($AN$1006:BA1006),$AN$1006:$BO$1006,0)))),"Fix")))</f>
        <v>0</v>
      </c>
      <c r="P535" s="4">
        <f>IF(OR(INDEX($AH$2:$AH$1001,MATCH(ROWS($AG$2:AG535),$AG$2:$AG$1001,0),1)&gt;=100000,INDEX($AN$1005:$BO$1005,1,MATCH(COLUMNS($AN$1006:BB1006),$AN$1006:$BO$1006,0))&gt;=100000), " ",IF(INDEX($AN$2:$BO$1001,MATCH(ROWS($AG$2:AG535),$AG$2:$AG$1001,0),MATCH(COLUMNS($AN$1006:BB1006),$AN$1006:$BO$1006,0)), HYPERLINK("#",""), HYPERLINK(CONCATENATE("#Metadata!", ADDRESS(INDEX($AI$2:$AI$1001,MATCH(ROWS($AG$2:AG535),$AG$2:$AG$1001,0),0), INDEX($AN$1004:$BO$1004,1,MATCH(COLUMNS($AN$1006:BB1006),$AN$1006:$BO$1006,0)))),"Fix")))</f>
        <v>0</v>
      </c>
      <c r="Q535" s="4">
        <f>IF(OR(INDEX($AH$2:$AH$1001,MATCH(ROWS($AG$2:AG535),$AG$2:$AG$1001,0),1)&gt;=100000,INDEX($AN$1005:$BO$1005,1,MATCH(COLUMNS($AN$1006:BC1006),$AN$1006:$BO$1006,0))&gt;=100000), " ",IF(INDEX($AN$2:$BO$1001,MATCH(ROWS($AG$2:AG535),$AG$2:$AG$1001,0),MATCH(COLUMNS($AN$1006:BC1006),$AN$1006:$BO$1006,0)), HYPERLINK("#",""), HYPERLINK(CONCATENATE("#Metadata!", ADDRESS(INDEX($AI$2:$AI$1001,MATCH(ROWS($AG$2:AG535),$AG$2:$AG$1001,0),0), INDEX($AN$1004:$BO$1004,1,MATCH(COLUMNS($AN$1006:BC1006),$AN$1006:$BO$1006,0)))),"Fix")))</f>
        <v>0</v>
      </c>
      <c r="R535" s="4">
        <f>IF(OR(INDEX($AH$2:$AH$1001,MATCH(ROWS($AG$2:AG535),$AG$2:$AG$1001,0),1)&gt;=100000,INDEX($AN$1005:$BO$1005,1,MATCH(COLUMNS($AN$1006:BD1006),$AN$1006:$BO$1006,0))&gt;=100000), " ",IF(INDEX($AN$2:$BO$1001,MATCH(ROWS($AG$2:AG535),$AG$2:$AG$1001,0),MATCH(COLUMNS($AN$1006:BD1006),$AN$1006:$BO$1006,0)), HYPERLINK("#",""), HYPERLINK(CONCATENATE("#Metadata!", ADDRESS(INDEX($AI$2:$AI$1001,MATCH(ROWS($AG$2:AG535),$AG$2:$AG$1001,0),0), INDEX($AN$1004:$BO$1004,1,MATCH(COLUMNS($AN$1006:BD1006),$AN$1006:$BO$1006,0)))),"Fix")))</f>
        <v>0</v>
      </c>
      <c r="S535" s="4">
        <f>IF(OR(INDEX($AH$2:$AH$1001,MATCH(ROWS($AG$2:AG535),$AG$2:$AG$1001,0),1)&gt;=100000,INDEX($AN$1005:$BO$1005,1,MATCH(COLUMNS($AN$1006:BE1006),$AN$1006:$BO$1006,0))&gt;=100000), " ",IF(INDEX($AN$2:$BO$1001,MATCH(ROWS($AG$2:AG535),$AG$2:$AG$1001,0),MATCH(COLUMNS($AN$1006:BE1006),$AN$1006:$BO$1006,0)), HYPERLINK("#",""), HYPERLINK(CONCATENATE("#Metadata!", ADDRESS(INDEX($AI$2:$AI$1001,MATCH(ROWS($AG$2:AG535),$AG$2:$AG$1001,0),0), INDEX($AN$1004:$BO$1004,1,MATCH(COLUMNS($AN$1006:BE1006),$AN$1006:$BO$1006,0)))),"Fix")))</f>
        <v>0</v>
      </c>
      <c r="T535" s="4">
        <f>IF(OR(INDEX($AH$2:$AH$1001,MATCH(ROWS($AG$2:AG535),$AG$2:$AG$1001,0),1)&gt;=100000,INDEX($AN$1005:$BO$1005,1,MATCH(COLUMNS($AN$1006:BF1006),$AN$1006:$BO$1006,0))&gt;=100000), " ",IF(INDEX($AN$2:$BO$1001,MATCH(ROWS($AG$2:AG535),$AG$2:$AG$1001,0),MATCH(COLUMNS($AN$1006:BF1006),$AN$1006:$BO$1006,0)), HYPERLINK("#",""), HYPERLINK(CONCATENATE("#Metadata!", ADDRESS(INDEX($AI$2:$AI$1001,MATCH(ROWS($AG$2:AG535),$AG$2:$AG$1001,0),0), INDEX($AN$1004:$BO$1004,1,MATCH(COLUMNS($AN$1006:BF1006),$AN$1006:$BO$1006,0)))),"Fix")))</f>
        <v>0</v>
      </c>
      <c r="U535" s="4">
        <f>IF(OR(INDEX($AH$2:$AH$1001,MATCH(ROWS($AG$2:AG535),$AG$2:$AG$1001,0),1)&gt;=100000,INDEX($AN$1005:$BO$1005,1,MATCH(COLUMNS($AN$1006:BG1006),$AN$1006:$BO$1006,0))&gt;=100000), " ",IF(INDEX($AN$2:$BO$1001,MATCH(ROWS($AG$2:AG535),$AG$2:$AG$1001,0),MATCH(COLUMNS($AN$1006:BG1006),$AN$1006:$BO$1006,0)), HYPERLINK("#",""), HYPERLINK(CONCATENATE("#Metadata!", ADDRESS(INDEX($AI$2:$AI$1001,MATCH(ROWS($AG$2:AG535),$AG$2:$AG$1001,0),0), INDEX($AN$1004:$BO$1004,1,MATCH(COLUMNS($AN$1006:BG1006),$AN$1006:$BO$1006,0)))),"Fix")))</f>
        <v>0</v>
      </c>
      <c r="V535" s="4">
        <f>IF(OR(INDEX($AH$2:$AH$1001,MATCH(ROWS($AG$2:AG535),$AG$2:$AG$1001,0),1)&gt;=100000,INDEX($AN$1005:$BO$1005,1,MATCH(COLUMNS($AN$1006:BH1006),$AN$1006:$BO$1006,0))&gt;=100000), " ",IF(INDEX($AN$2:$BO$1001,MATCH(ROWS($AG$2:AG535),$AG$2:$AG$1001,0),MATCH(COLUMNS($AN$1006:BH1006),$AN$1006:$BO$1006,0)), HYPERLINK("#",""), HYPERLINK(CONCATENATE("#Metadata!", ADDRESS(INDEX($AI$2:$AI$1001,MATCH(ROWS($AG$2:AG535),$AG$2:$AG$1001,0),0), INDEX($AN$1004:$BO$1004,1,MATCH(COLUMNS($AN$1006:BH1006),$AN$1006:$BO$1006,0)))),"Fix")))</f>
        <v>0</v>
      </c>
      <c r="W535" s="4">
        <f>IF(OR(INDEX($AH$2:$AH$1001,MATCH(ROWS($AG$2:AG535),$AG$2:$AG$1001,0),1)&gt;=100000,INDEX($AN$1005:$BO$1005,1,MATCH(COLUMNS($AN$1006:BI1006),$AN$1006:$BO$1006,0))&gt;=100000), " ",IF(INDEX($AN$2:$BO$1001,MATCH(ROWS($AG$2:AG535),$AG$2:$AG$1001,0),MATCH(COLUMNS($AN$1006:BI1006),$AN$1006:$BO$1006,0)), HYPERLINK("#",""), HYPERLINK(CONCATENATE("#Metadata!", ADDRESS(INDEX($AI$2:$AI$1001,MATCH(ROWS($AG$2:AG535),$AG$2:$AG$1001,0),0), INDEX($AN$1004:$BO$1004,1,MATCH(COLUMNS($AN$1006:BI1006),$AN$1006:$BO$1006,0)))),"Fix")))</f>
        <v>0</v>
      </c>
      <c r="X535" s="4">
        <f>IF(OR(INDEX($AH$2:$AH$1001,MATCH(ROWS($AG$2:AG535),$AG$2:$AG$1001,0),1)&gt;=100000,INDEX($AN$1005:$BO$1005,1,MATCH(COLUMNS($AN$1006:BJ1006),$AN$1006:$BO$1006,0))&gt;=100000), " ",IF(INDEX($AN$2:$BO$1001,MATCH(ROWS($AG$2:AG535),$AG$2:$AG$1001,0),MATCH(COLUMNS($AN$1006:BJ1006),$AN$1006:$BO$1006,0)), HYPERLINK("#",""), HYPERLINK(CONCATENATE("#Metadata!", ADDRESS(INDEX($AI$2:$AI$1001,MATCH(ROWS($AG$2:AG535),$AG$2:$AG$1001,0),0), INDEX($AN$1004:$BO$1004,1,MATCH(COLUMNS($AN$1006:BJ1006),$AN$1006:$BO$1006,0)))),"Fix")))</f>
        <v>0</v>
      </c>
      <c r="Y535" s="4">
        <f>IF(OR(INDEX($AH$2:$AH$1001,MATCH(ROWS($AG$2:AG535),$AG$2:$AG$1001,0),1)&gt;=100000,INDEX($AN$1005:$BO$1005,1,MATCH(COLUMNS($AN$1006:BK1006),$AN$1006:$BO$1006,0))&gt;=100000), " ",IF(INDEX($AN$2:$BO$1001,MATCH(ROWS($AG$2:AG535),$AG$2:$AG$1001,0),MATCH(COLUMNS($AN$1006:BK1006),$AN$1006:$BO$1006,0)), HYPERLINK("#",""), HYPERLINK(CONCATENATE("#Metadata!", ADDRESS(INDEX($AI$2:$AI$1001,MATCH(ROWS($AG$2:AG535),$AG$2:$AG$1001,0),0), INDEX($AN$1004:$BO$1004,1,MATCH(COLUMNS($AN$1006:BK1006),$AN$1006:$BO$1006,0)))),"Fix")))</f>
        <v>0</v>
      </c>
      <c r="Z535" s="4">
        <f>IF(OR(INDEX($AH$2:$AH$1001,MATCH(ROWS($AG$2:AG535),$AG$2:$AG$1001,0),1)&gt;=100000,INDEX($AN$1005:$BO$1005,1,MATCH(COLUMNS($AN$1006:BL1006),$AN$1006:$BO$1006,0))&gt;=100000), " ",IF(INDEX($AN$2:$BO$1001,MATCH(ROWS($AG$2:AG535),$AG$2:$AG$1001,0),MATCH(COLUMNS($AN$1006:BL1006),$AN$1006:$BO$1006,0)), HYPERLINK("#",""), HYPERLINK(CONCATENATE("#Metadata!", ADDRESS(INDEX($AI$2:$AI$1001,MATCH(ROWS($AG$2:AG535),$AG$2:$AG$1001,0),0), INDEX($AN$1004:$BO$1004,1,MATCH(COLUMNS($AN$1006:BL1006),$AN$1006:$BO$1006,0)))),"Fix")))</f>
        <v>0</v>
      </c>
      <c r="AA535" s="4">
        <f>IF(OR(INDEX($AH$2:$AH$1001,MATCH(ROWS($AG$2:AG535),$AG$2:$AG$1001,0),1)&gt;=100000,INDEX($AN$1005:$BO$1005,1,MATCH(COLUMNS($AN$1006:BM1006),$AN$1006:$BO$1006,0))&gt;=100000), " ",IF(INDEX($AN$2:$BO$1001,MATCH(ROWS($AG$2:AG535),$AG$2:$AG$1001,0),MATCH(COLUMNS($AN$1006:BM1006),$AN$1006:$BO$1006,0)), HYPERLINK("#",""), HYPERLINK(CONCATENATE("#Metadata!", ADDRESS(INDEX($AI$2:$AI$1001,MATCH(ROWS($AG$2:AG535),$AG$2:$AG$1001,0),0), INDEX($AN$1004:$BO$1004,1,MATCH(COLUMNS($AN$1006:BM1006),$AN$1006:$BO$1006,0)))),"Fix")))</f>
        <v>0</v>
      </c>
      <c r="AB535" s="4">
        <f>IF(OR(INDEX($AH$2:$AH$1001,MATCH(ROWS($AG$2:AG535),$AG$2:$AG$1001,0),1)&gt;=100000,INDEX($AN$1005:$BO$1005,1,MATCH(COLUMNS($AN$1006:BN1006),$AN$1006:$BO$1006,0))&gt;=100000), " ",IF(INDEX($AN$2:$BO$1001,MATCH(ROWS($AG$2:AG535),$AG$2:$AG$1001,0),MATCH(COLUMNS($AN$1006:BN1006),$AN$1006:$BO$1006,0)), HYPERLINK("#",""), HYPERLINK(CONCATENATE("#Metadata!", ADDRESS(INDEX($AI$2:$AI$1001,MATCH(ROWS($AG$2:AG535),$AG$2:$AG$1001,0),0), INDEX($AN$1004:$BO$1004,1,MATCH(COLUMNS($AN$1006:BN1006),$AN$1006:$BO$1006,0)))),"Fix")))</f>
        <v>0</v>
      </c>
      <c r="AC535" s="4">
        <f>IF(OR(INDEX($AH$2:$AH$1001,MATCH(ROWS($AG$2:AG535),$AG$2:$AG$1001,0),1)&gt;=100000,INDEX($AN$1005:$BO$1005,1,MATCH(COLUMNS($AN$1006:BO1006),$AN$1006:$BO$1006,0))&gt;=100000), " ",IF(INDEX($AN$2:$BO$1001,MATCH(ROWS($AG$2:AG535),$AG$2:$AG$1001,0),MATCH(COLUMNS($AN$1006:BO1006),$AN$1006:$BO$1006,0)), HYPERLINK("#",""), HYPERLINK(CONCATENATE("#Metadata!", ADDRESS(INDEX($AI$2:$AI$1001,MATCH(ROWS($AG$2:AG535),$AG$2:$AG$1001,0),0), INDEX($AN$1004:$BO$1004,1,MATCH(COLUMNS($AN$1006:BO1006),$AN$1006:$BO$1006,0)))),"Fix")))</f>
        <v>0</v>
      </c>
      <c r="AG535">
        <v>0</v>
      </c>
      <c r="AH535">
        <v>0</v>
      </c>
      <c r="AI535">
        <v>0</v>
      </c>
      <c r="AJ535">
        <f>IF(AK535,TRUE,AND(AN535:BO535))</f>
        <v>0</v>
      </c>
      <c r="AK535">
        <f>COUNTBLANK(Metadata!B535:AC535)=COLUMNS(Metadata!B535:AC535)</f>
        <v>0</v>
      </c>
      <c r="AL535">
        <v>0</v>
      </c>
      <c r="AN535">
        <f>AND(IF(Metadata!B535="",FALSE,TRUE),COUNTIF(Metadata!B:B, Metadata!B535) = 1,NOT(ISERROR(SUMPRODUCT(SEARCH(MID(Metadata!B535,ROW(INDIRECT("1:"&amp;LEN(Metadata!B535))), 1),"0123456789abcdefghijklmnopqrstuvwxyzABCDEFGHIJKLMNOPQRSTUVWXYZ.")))))</f>
        <v>0</v>
      </c>
      <c r="AO535">
        <f>IF(Metadata!C535="",FALSE,TRUE)</f>
        <v>0</v>
      </c>
      <c r="AP535">
        <f>IF(Metadata!D535="",FALSE,TRUE)</f>
        <v>0</v>
      </c>
      <c r="AQ535">
        <f>OR(AND(IF(Metadata!E535="",FALSE,TRUE),OR(exact(Metadata!E535,"not collected"),exact(Metadata!E535,"not provided"),exact(Metadata!E535,"restricted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R535">
        <f>IF(Metadata!F535="",FALSE,TRUE)</f>
        <v>0</v>
      </c>
      <c r="AS535">
        <f>OR(AND(IF(Metadata!G535="",FALSE,TRUE),OR(exact(Metadata!G535,"not collected"),exact(Metadata!G535,"not provided"))),AND(IF(Metadata!G535="",FALSE,TRUE),OR(exact(Metadata!G535,"TRUE"),exact(Metadata!G535,"FALSE"))))</f>
        <v>0</v>
      </c>
      <c r="AT535">
        <f>OR(AND(IF(Metadata!H535="",FALSE,TRUE),OR(exact(Metadata!H535,"not collected"),exact(Metadata!H535,"not provided"),exact(Metadata!H535,"restricted access"))),AND(IF(Metadata!H535="",FALSE,ISNUMBER(VALUE(Metadata!H535))),Metadata!H535&gt;=-413.0))</f>
        <v>0</v>
      </c>
      <c r="AU535">
        <f>AND(IF(Metadata!I535="",FALSE,TRUE),exact(Metadata!I535,"meters"))</f>
        <v>0</v>
      </c>
      <c r="AV535">
        <f>AND(IF(Metadata!J535="",FALSE,TRUE),OR(exact(Metadata!J535,"Host-associated"),exact(Metadata!J535,"Free-living")))</f>
        <v>0</v>
      </c>
      <c r="AW535">
        <f>AND(IF(Metadata!K535="",FALSE,TRUE),OR(exact(Metadata!K535,"Animal"),exact(Metadata!K535,"Fungus"),exact(Metadata!K535,"Plant"),exact(Metadata!K535,"Saline"),exact(Metadata!K535,"Non-saline")))</f>
        <v>0</v>
      </c>
      <c r="AX535">
        <f>AND(IF(Metadata!L535="",FALSE,TRUE),OR(exact(Metadata!L535,"Plant secretion"),exact(Metadata!L535,"Plant rhizosphere"),exact(Metadata!L535,"Plant surface"),exact(Metadata!L535,"Plant corpus"),exact(Metadata!L535,"Fungus surface"),exact(Metadata!L535,"Fungus corpus"),exact(Metadata!L535,"Animal surface"),exact(Metadata!L535,"Animal proximal gut"),exact(Metadata!L535,"Animal corpus"),exact(Metadata!L535,"Animal distal gut"),exact(Metadata!L535,"Animal secretion"),exact(Metadata!L535,"Sub-surface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Y535">
        <f>IF(Metadata!M535="",FALSE,TRUE)</f>
        <v>0</v>
      </c>
      <c r="AZ535">
        <f>IF(Metadata!N535="",FALSE,TRUE)</f>
        <v>0</v>
      </c>
      <c r="BA535">
        <f>IF(Metadata!O535="",FALSE,TRUE)</f>
        <v>0</v>
      </c>
      <c r="BB535">
        <f>OR(AND(IF(Metadata!P535="",FALSE,TRUE),OR(exact(Metadata!P535,"not collected"),exact(Metadata!P535,"not provided"),exact(Metadata!P535,"restricted access"))),AND(IF(Metadata!P535="",FALSE,TRUE),OR(exact(Metadata!P535,"air"),exact(Metadata!P535,"built environment"),exact(Metadata!P535,"host-associated"),exact(Metadata!P535,"human-associated"),exact(Metadata!P535,"human-skin"),exact(Metadata!P535,"human-oral"),exact(Metadata!P535,"human-gut"),exact(Metadata!P535,"human-vaginal"),exact(Metadata!P535,"microbial mat/biofilm"),exact(Metadata!P535,"misc environment"),exact(Metadata!P535,"plant-associated"),exact(Metadata!P535,"sediment"),exact(Metadata!P535,"soil"),exact(Metadata!P535,"wastewater/sludge"),exact(Metadata!P535,"water"))))</f>
        <v>0</v>
      </c>
      <c r="BC535">
        <f>IF(Metadata!Q535="",FALSE,TRUE)</f>
        <v>0</v>
      </c>
      <c r="BD535">
        <f>IF(Metadata!R535="",FALSE,TRUE)</f>
        <v>0</v>
      </c>
      <c r="BE535">
        <f>OR(AND(IF(Metadata!S535="",FALSE,TRUE),OR(exact(Metadata!S535,"not collected"),exact(Metadata!S535,"not provided"),exact(Metadata!S535,"restricted access"))),AND(IF(Metadata!S535="",FALSE,ISNUMBER(VALUE(Metadata!S535))),Metadata!S535&gt;=-90.00,Metadata!S535&lt;=90.00))</f>
        <v>0</v>
      </c>
      <c r="BF535">
        <f>AND(IF(Metadata!T535="",FALSE,TRUE),exact(Metadata!T535,"Decimal degrees"))</f>
        <v>0</v>
      </c>
      <c r="BG535">
        <f>OR(AND(IF(Metadata!U535="",FALSE,TRUE),OR(exact(Metadata!U535,"not collected"),exact(Metadata!U535,"not provided"),exact(Metadata!U535,"restricted access"))),AND(IF(Metadata!U535="",FALSE,ISNUMBER(VALUE(Metadata!U535))),Metadata!U535&gt;=-180.00,Metadata!U535&lt;=180.00))</f>
        <v>0</v>
      </c>
      <c r="BH535">
        <f>AND(IF(Metadata!V535="",FALSE,TRUE),exact(Metadata!V535,"Decimal degrees"))</f>
        <v>0</v>
      </c>
      <c r="BI535">
        <f>IF(Metadata!W535="",FALSE,TRUE)</f>
        <v>0</v>
      </c>
      <c r="BJ535">
        <f>OR(AND(IF(Metadata!X535="",FALSE,TRUE),OR(exact(Metadata!X535,"not collected"),exact(Metadata!X535,"not provided"),exact(Metadata!X535,"restricted access"))),AND(IF(Metadata!X535="",FALSE,TRUE),OR(exact(Metadata!X535,"TRUE"),exact(Metadata!X535,"FALSE"))))</f>
        <v>0</v>
      </c>
      <c r="BK535">
        <f>AND(IF(Metadata!Y535="",FALSE,TRUE),exact(Metadata!Y535,"other"))</f>
        <v>0</v>
      </c>
      <c r="BL535">
        <f>IF(Metadata!Z535="",FALSE,TRUE)</f>
        <v>0</v>
      </c>
      <c r="BM535">
        <f>OR(AND(IF(Metadata!AA535="",FALSE,TRUE),OR(exact(Metadata!AA535,"not collected"),exact(Metadata!AA535,"not provided"))),AND(IF(Metadata!AA535="",FALSE,IF(ISERROR(INT(Metadata!AA535)),FALSE,INT(Metadata!AA535)=Metadata!AA535)),Metadata!AA535&gt;0))</f>
        <v>0</v>
      </c>
      <c r="BN535">
        <f>AND(IF(Metadata!AB535="",FALSE,TRUE),exact(Metadata!AB535,"Not applicable"))</f>
        <v>0</v>
      </c>
      <c r="BO535">
        <f>IF(Metadata!AC535="",FALSE,TRUE)</f>
        <v>0</v>
      </c>
    </row>
    <row r="536" spans="1:67">
      <c r="A536" s="5">
        <f>IF(B536=" "," ",HYPERLINK(CONCATENATE("#metadata!",ADDRESS(INDEX($AI$2:$AI$1001,MATCH(ROWS($AG$2:AG536),$AG$2:$AG$1001,0),0),1)),INDEX($AL$2:$AL$1001,MATCH(ROWS($AG$2:AG536),$AG$2:$AG$1001,0),0)))</f>
        <v>0</v>
      </c>
      <c r="B536" s="4">
        <f>IF(OR(INDEX($AH$2:$AH$1001,MATCH(ROWS($AG$2:AG536),$AG$2:$AG$1001,0),1)&gt;=100000,INDEX($AN$1005:$BO$1005,1,MATCH(COLUMNS($AN$1006:AN1006),$AN$1006:$BO$1006,0))&gt;=100000), " ",IF(INDEX($AN$2:$BO$1001,MATCH(ROWS($AG$2:AG536),$AG$2:$AG$1001,0),MATCH(COLUMNS($AN$1006:AN1006),$AN$1006:$BO$1006,0)), HYPERLINK("#",""), HYPERLINK(CONCATENATE("#Metadata!", ADDRESS(INDEX($AI$2:$AI$1001,MATCH(ROWS($AG$2:AG536),$AG$2:$AG$1001,0),0), INDEX($AN$1004:$BO$1004,1,MATCH(COLUMNS($AN$1006:AN1006),$AN$1006:$BO$1006,0)))),"Fix")))</f>
        <v>0</v>
      </c>
      <c r="C536" s="4">
        <f>IF(OR(INDEX($AH$2:$AH$1001,MATCH(ROWS($AG$2:AG536),$AG$2:$AG$1001,0),1)&gt;=100000,INDEX($AN$1005:$BO$1005,1,MATCH(COLUMNS($AN$1006:AO1006),$AN$1006:$BO$1006,0))&gt;=100000), " ",IF(INDEX($AN$2:$BO$1001,MATCH(ROWS($AG$2:AG536),$AG$2:$AG$1001,0),MATCH(COLUMNS($AN$1006:AO1006),$AN$1006:$BO$1006,0)), HYPERLINK("#",""), HYPERLINK(CONCATENATE("#Metadata!", ADDRESS(INDEX($AI$2:$AI$1001,MATCH(ROWS($AG$2:AG536),$AG$2:$AG$1001,0),0), INDEX($AN$1004:$BO$1004,1,MATCH(COLUMNS($AN$1006:AO1006),$AN$1006:$BO$1006,0)))),"Fix")))</f>
        <v>0</v>
      </c>
      <c r="D536" s="4">
        <f>IF(OR(INDEX($AH$2:$AH$1001,MATCH(ROWS($AG$2:AG536),$AG$2:$AG$1001,0),1)&gt;=100000,INDEX($AN$1005:$BO$1005,1,MATCH(COLUMNS($AN$1006:AP1006),$AN$1006:$BO$1006,0))&gt;=100000), " ",IF(INDEX($AN$2:$BO$1001,MATCH(ROWS($AG$2:AG536),$AG$2:$AG$1001,0),MATCH(COLUMNS($AN$1006:AP1006),$AN$1006:$BO$1006,0)), HYPERLINK("#",""), HYPERLINK(CONCATENATE("#Metadata!", ADDRESS(INDEX($AI$2:$AI$1001,MATCH(ROWS($AG$2:AG536),$AG$2:$AG$1001,0),0), INDEX($AN$1004:$BO$1004,1,MATCH(COLUMNS($AN$1006:AP1006),$AN$1006:$BO$1006,0)))),"Fix")))</f>
        <v>0</v>
      </c>
      <c r="E536" s="4">
        <f>IF(OR(INDEX($AH$2:$AH$1001,MATCH(ROWS($AG$2:AG536),$AG$2:$AG$1001,0),1)&gt;=100000,INDEX($AN$1005:$BO$1005,1,MATCH(COLUMNS($AN$1006:AQ1006),$AN$1006:$BO$1006,0))&gt;=100000), " ",IF(INDEX($AN$2:$BO$1001,MATCH(ROWS($AG$2:AG536),$AG$2:$AG$1001,0),MATCH(COLUMNS($AN$1006:AQ1006),$AN$1006:$BO$1006,0)), HYPERLINK("#",""), HYPERLINK(CONCATENATE("#Metadata!", ADDRESS(INDEX($AI$2:$AI$1001,MATCH(ROWS($AG$2:AG536),$AG$2:$AG$1001,0),0), INDEX($AN$1004:$BO$1004,1,MATCH(COLUMNS($AN$1006:AQ1006),$AN$1006:$BO$1006,0)))),"Fix")))</f>
        <v>0</v>
      </c>
      <c r="F536" s="4">
        <f>IF(OR(INDEX($AH$2:$AH$1001,MATCH(ROWS($AG$2:AG536),$AG$2:$AG$1001,0),1)&gt;=100000,INDEX($AN$1005:$BO$1005,1,MATCH(COLUMNS($AN$1006:AR1006),$AN$1006:$BO$1006,0))&gt;=100000), " ",IF(INDEX($AN$2:$BO$1001,MATCH(ROWS($AG$2:AG536),$AG$2:$AG$1001,0),MATCH(COLUMNS($AN$1006:AR1006),$AN$1006:$BO$1006,0)), HYPERLINK("#",""), HYPERLINK(CONCATENATE("#Metadata!", ADDRESS(INDEX($AI$2:$AI$1001,MATCH(ROWS($AG$2:AG536),$AG$2:$AG$1001,0),0), INDEX($AN$1004:$BO$1004,1,MATCH(COLUMNS($AN$1006:AR1006),$AN$1006:$BO$1006,0)))),"Fix")))</f>
        <v>0</v>
      </c>
      <c r="G536" s="4">
        <f>IF(OR(INDEX($AH$2:$AH$1001,MATCH(ROWS($AG$2:AG536),$AG$2:$AG$1001,0),1)&gt;=100000,INDEX($AN$1005:$BO$1005,1,MATCH(COLUMNS($AN$1006:AS1006),$AN$1006:$BO$1006,0))&gt;=100000), " ",IF(INDEX($AN$2:$BO$1001,MATCH(ROWS($AG$2:AG536),$AG$2:$AG$1001,0),MATCH(COLUMNS($AN$1006:AS1006),$AN$1006:$BO$1006,0)), HYPERLINK("#",""), HYPERLINK(CONCATENATE("#Metadata!", ADDRESS(INDEX($AI$2:$AI$1001,MATCH(ROWS($AG$2:AG536),$AG$2:$AG$1001,0),0), INDEX($AN$1004:$BO$1004,1,MATCH(COLUMNS($AN$1006:AS1006),$AN$1006:$BO$1006,0)))),"Fix")))</f>
        <v>0</v>
      </c>
      <c r="H536" s="4">
        <f>IF(OR(INDEX($AH$2:$AH$1001,MATCH(ROWS($AG$2:AG536),$AG$2:$AG$1001,0),1)&gt;=100000,INDEX($AN$1005:$BO$1005,1,MATCH(COLUMNS($AN$1006:AT1006),$AN$1006:$BO$1006,0))&gt;=100000), " ",IF(INDEX($AN$2:$BO$1001,MATCH(ROWS($AG$2:AG536),$AG$2:$AG$1001,0),MATCH(COLUMNS($AN$1006:AT1006),$AN$1006:$BO$1006,0)), HYPERLINK("#",""), HYPERLINK(CONCATENATE("#Metadata!", ADDRESS(INDEX($AI$2:$AI$1001,MATCH(ROWS($AG$2:AG536),$AG$2:$AG$1001,0),0), INDEX($AN$1004:$BO$1004,1,MATCH(COLUMNS($AN$1006:AT1006),$AN$1006:$BO$1006,0)))),"Fix")))</f>
        <v>0</v>
      </c>
      <c r="I536" s="4">
        <f>IF(OR(INDEX($AH$2:$AH$1001,MATCH(ROWS($AG$2:AG536),$AG$2:$AG$1001,0),1)&gt;=100000,INDEX($AN$1005:$BO$1005,1,MATCH(COLUMNS($AN$1006:AU1006),$AN$1006:$BO$1006,0))&gt;=100000), " ",IF(INDEX($AN$2:$BO$1001,MATCH(ROWS($AG$2:AG536),$AG$2:$AG$1001,0),MATCH(COLUMNS($AN$1006:AU1006),$AN$1006:$BO$1006,0)), HYPERLINK("#",""), HYPERLINK(CONCATENATE("#Metadata!", ADDRESS(INDEX($AI$2:$AI$1001,MATCH(ROWS($AG$2:AG536),$AG$2:$AG$1001,0),0), INDEX($AN$1004:$BO$1004,1,MATCH(COLUMNS($AN$1006:AU1006),$AN$1006:$BO$1006,0)))),"Fix")))</f>
        <v>0</v>
      </c>
      <c r="J536" s="4">
        <f>IF(OR(INDEX($AH$2:$AH$1001,MATCH(ROWS($AG$2:AG536),$AG$2:$AG$1001,0),1)&gt;=100000,INDEX($AN$1005:$BO$1005,1,MATCH(COLUMNS($AN$1006:AV1006),$AN$1006:$BO$1006,0))&gt;=100000), " ",IF(INDEX($AN$2:$BO$1001,MATCH(ROWS($AG$2:AG536),$AG$2:$AG$1001,0),MATCH(COLUMNS($AN$1006:AV1006),$AN$1006:$BO$1006,0)), HYPERLINK("#",""), HYPERLINK(CONCATENATE("#Metadata!", ADDRESS(INDEX($AI$2:$AI$1001,MATCH(ROWS($AG$2:AG536),$AG$2:$AG$1001,0),0), INDEX($AN$1004:$BO$1004,1,MATCH(COLUMNS($AN$1006:AV1006),$AN$1006:$BO$1006,0)))),"Fix")))</f>
        <v>0</v>
      </c>
      <c r="K536" s="4">
        <f>IF(OR(INDEX($AH$2:$AH$1001,MATCH(ROWS($AG$2:AG536),$AG$2:$AG$1001,0),1)&gt;=100000,INDEX($AN$1005:$BO$1005,1,MATCH(COLUMNS($AN$1006:AW1006),$AN$1006:$BO$1006,0))&gt;=100000), " ",IF(INDEX($AN$2:$BO$1001,MATCH(ROWS($AG$2:AG536),$AG$2:$AG$1001,0),MATCH(COLUMNS($AN$1006:AW1006),$AN$1006:$BO$1006,0)), HYPERLINK("#",""), HYPERLINK(CONCATENATE("#Metadata!", ADDRESS(INDEX($AI$2:$AI$1001,MATCH(ROWS($AG$2:AG536),$AG$2:$AG$1001,0),0), INDEX($AN$1004:$BO$1004,1,MATCH(COLUMNS($AN$1006:AW1006),$AN$1006:$BO$1006,0)))),"Fix")))</f>
        <v>0</v>
      </c>
      <c r="L536" s="4">
        <f>IF(OR(INDEX($AH$2:$AH$1001,MATCH(ROWS($AG$2:AG536),$AG$2:$AG$1001,0),1)&gt;=100000,INDEX($AN$1005:$BO$1005,1,MATCH(COLUMNS($AN$1006:AX1006),$AN$1006:$BO$1006,0))&gt;=100000), " ",IF(INDEX($AN$2:$BO$1001,MATCH(ROWS($AG$2:AG536),$AG$2:$AG$1001,0),MATCH(COLUMNS($AN$1006:AX1006),$AN$1006:$BO$1006,0)), HYPERLINK("#",""), HYPERLINK(CONCATENATE("#Metadata!", ADDRESS(INDEX($AI$2:$AI$1001,MATCH(ROWS($AG$2:AG536),$AG$2:$AG$1001,0),0), INDEX($AN$1004:$BO$1004,1,MATCH(COLUMNS($AN$1006:AX1006),$AN$1006:$BO$1006,0)))),"Fix")))</f>
        <v>0</v>
      </c>
      <c r="M536" s="4">
        <f>IF(OR(INDEX($AH$2:$AH$1001,MATCH(ROWS($AG$2:AG536),$AG$2:$AG$1001,0),1)&gt;=100000,INDEX($AN$1005:$BO$1005,1,MATCH(COLUMNS($AN$1006:AY1006),$AN$1006:$BO$1006,0))&gt;=100000), " ",IF(INDEX($AN$2:$BO$1001,MATCH(ROWS($AG$2:AG536),$AG$2:$AG$1001,0),MATCH(COLUMNS($AN$1006:AY1006),$AN$1006:$BO$1006,0)), HYPERLINK("#",""), HYPERLINK(CONCATENATE("#Metadata!", ADDRESS(INDEX($AI$2:$AI$1001,MATCH(ROWS($AG$2:AG536),$AG$2:$AG$1001,0),0), INDEX($AN$1004:$BO$1004,1,MATCH(COLUMNS($AN$1006:AY1006),$AN$1006:$BO$1006,0)))),"Fix")))</f>
        <v>0</v>
      </c>
      <c r="N536" s="4">
        <f>IF(OR(INDEX($AH$2:$AH$1001,MATCH(ROWS($AG$2:AG536),$AG$2:$AG$1001,0),1)&gt;=100000,INDEX($AN$1005:$BO$1005,1,MATCH(COLUMNS($AN$1006:AZ1006),$AN$1006:$BO$1006,0))&gt;=100000), " ",IF(INDEX($AN$2:$BO$1001,MATCH(ROWS($AG$2:AG536),$AG$2:$AG$1001,0),MATCH(COLUMNS($AN$1006:AZ1006),$AN$1006:$BO$1006,0)), HYPERLINK("#",""), HYPERLINK(CONCATENATE("#Metadata!", ADDRESS(INDEX($AI$2:$AI$1001,MATCH(ROWS($AG$2:AG536),$AG$2:$AG$1001,0),0), INDEX($AN$1004:$BO$1004,1,MATCH(COLUMNS($AN$1006:AZ1006),$AN$1006:$BO$1006,0)))),"Fix")))</f>
        <v>0</v>
      </c>
      <c r="O536" s="4">
        <f>IF(OR(INDEX($AH$2:$AH$1001,MATCH(ROWS($AG$2:AG536),$AG$2:$AG$1001,0),1)&gt;=100000,INDEX($AN$1005:$BO$1005,1,MATCH(COLUMNS($AN$1006:BA1006),$AN$1006:$BO$1006,0))&gt;=100000), " ",IF(INDEX($AN$2:$BO$1001,MATCH(ROWS($AG$2:AG536),$AG$2:$AG$1001,0),MATCH(COLUMNS($AN$1006:BA1006),$AN$1006:$BO$1006,0)), HYPERLINK("#",""), HYPERLINK(CONCATENATE("#Metadata!", ADDRESS(INDEX($AI$2:$AI$1001,MATCH(ROWS($AG$2:AG536),$AG$2:$AG$1001,0),0), INDEX($AN$1004:$BO$1004,1,MATCH(COLUMNS($AN$1006:BA1006),$AN$1006:$BO$1006,0)))),"Fix")))</f>
        <v>0</v>
      </c>
      <c r="P536" s="4">
        <f>IF(OR(INDEX($AH$2:$AH$1001,MATCH(ROWS($AG$2:AG536),$AG$2:$AG$1001,0),1)&gt;=100000,INDEX($AN$1005:$BO$1005,1,MATCH(COLUMNS($AN$1006:BB1006),$AN$1006:$BO$1006,0))&gt;=100000), " ",IF(INDEX($AN$2:$BO$1001,MATCH(ROWS($AG$2:AG536),$AG$2:$AG$1001,0),MATCH(COLUMNS($AN$1006:BB1006),$AN$1006:$BO$1006,0)), HYPERLINK("#",""), HYPERLINK(CONCATENATE("#Metadata!", ADDRESS(INDEX($AI$2:$AI$1001,MATCH(ROWS($AG$2:AG536),$AG$2:$AG$1001,0),0), INDEX($AN$1004:$BO$1004,1,MATCH(COLUMNS($AN$1006:BB1006),$AN$1006:$BO$1006,0)))),"Fix")))</f>
        <v>0</v>
      </c>
      <c r="Q536" s="4">
        <f>IF(OR(INDEX($AH$2:$AH$1001,MATCH(ROWS($AG$2:AG536),$AG$2:$AG$1001,0),1)&gt;=100000,INDEX($AN$1005:$BO$1005,1,MATCH(COLUMNS($AN$1006:BC1006),$AN$1006:$BO$1006,0))&gt;=100000), " ",IF(INDEX($AN$2:$BO$1001,MATCH(ROWS($AG$2:AG536),$AG$2:$AG$1001,0),MATCH(COLUMNS($AN$1006:BC1006),$AN$1006:$BO$1006,0)), HYPERLINK("#",""), HYPERLINK(CONCATENATE("#Metadata!", ADDRESS(INDEX($AI$2:$AI$1001,MATCH(ROWS($AG$2:AG536),$AG$2:$AG$1001,0),0), INDEX($AN$1004:$BO$1004,1,MATCH(COLUMNS($AN$1006:BC1006),$AN$1006:$BO$1006,0)))),"Fix")))</f>
        <v>0</v>
      </c>
      <c r="R536" s="4">
        <f>IF(OR(INDEX($AH$2:$AH$1001,MATCH(ROWS($AG$2:AG536),$AG$2:$AG$1001,0),1)&gt;=100000,INDEX($AN$1005:$BO$1005,1,MATCH(COLUMNS($AN$1006:BD1006),$AN$1006:$BO$1006,0))&gt;=100000), " ",IF(INDEX($AN$2:$BO$1001,MATCH(ROWS($AG$2:AG536),$AG$2:$AG$1001,0),MATCH(COLUMNS($AN$1006:BD1006),$AN$1006:$BO$1006,0)), HYPERLINK("#",""), HYPERLINK(CONCATENATE("#Metadata!", ADDRESS(INDEX($AI$2:$AI$1001,MATCH(ROWS($AG$2:AG536),$AG$2:$AG$1001,0),0), INDEX($AN$1004:$BO$1004,1,MATCH(COLUMNS($AN$1006:BD1006),$AN$1006:$BO$1006,0)))),"Fix")))</f>
        <v>0</v>
      </c>
      <c r="S536" s="4">
        <f>IF(OR(INDEX($AH$2:$AH$1001,MATCH(ROWS($AG$2:AG536),$AG$2:$AG$1001,0),1)&gt;=100000,INDEX($AN$1005:$BO$1005,1,MATCH(COLUMNS($AN$1006:BE1006),$AN$1006:$BO$1006,0))&gt;=100000), " ",IF(INDEX($AN$2:$BO$1001,MATCH(ROWS($AG$2:AG536),$AG$2:$AG$1001,0),MATCH(COLUMNS($AN$1006:BE1006),$AN$1006:$BO$1006,0)), HYPERLINK("#",""), HYPERLINK(CONCATENATE("#Metadata!", ADDRESS(INDEX($AI$2:$AI$1001,MATCH(ROWS($AG$2:AG536),$AG$2:$AG$1001,0),0), INDEX($AN$1004:$BO$1004,1,MATCH(COLUMNS($AN$1006:BE1006),$AN$1006:$BO$1006,0)))),"Fix")))</f>
        <v>0</v>
      </c>
      <c r="T536" s="4">
        <f>IF(OR(INDEX($AH$2:$AH$1001,MATCH(ROWS($AG$2:AG536),$AG$2:$AG$1001,0),1)&gt;=100000,INDEX($AN$1005:$BO$1005,1,MATCH(COLUMNS($AN$1006:BF1006),$AN$1006:$BO$1006,0))&gt;=100000), " ",IF(INDEX($AN$2:$BO$1001,MATCH(ROWS($AG$2:AG536),$AG$2:$AG$1001,0),MATCH(COLUMNS($AN$1006:BF1006),$AN$1006:$BO$1006,0)), HYPERLINK("#",""), HYPERLINK(CONCATENATE("#Metadata!", ADDRESS(INDEX($AI$2:$AI$1001,MATCH(ROWS($AG$2:AG536),$AG$2:$AG$1001,0),0), INDEX($AN$1004:$BO$1004,1,MATCH(COLUMNS($AN$1006:BF1006),$AN$1006:$BO$1006,0)))),"Fix")))</f>
        <v>0</v>
      </c>
      <c r="U536" s="4">
        <f>IF(OR(INDEX($AH$2:$AH$1001,MATCH(ROWS($AG$2:AG536),$AG$2:$AG$1001,0),1)&gt;=100000,INDEX($AN$1005:$BO$1005,1,MATCH(COLUMNS($AN$1006:BG1006),$AN$1006:$BO$1006,0))&gt;=100000), " ",IF(INDEX($AN$2:$BO$1001,MATCH(ROWS($AG$2:AG536),$AG$2:$AG$1001,0),MATCH(COLUMNS($AN$1006:BG1006),$AN$1006:$BO$1006,0)), HYPERLINK("#",""), HYPERLINK(CONCATENATE("#Metadata!", ADDRESS(INDEX($AI$2:$AI$1001,MATCH(ROWS($AG$2:AG536),$AG$2:$AG$1001,0),0), INDEX($AN$1004:$BO$1004,1,MATCH(COLUMNS($AN$1006:BG1006),$AN$1006:$BO$1006,0)))),"Fix")))</f>
        <v>0</v>
      </c>
      <c r="V536" s="4">
        <f>IF(OR(INDEX($AH$2:$AH$1001,MATCH(ROWS($AG$2:AG536),$AG$2:$AG$1001,0),1)&gt;=100000,INDEX($AN$1005:$BO$1005,1,MATCH(COLUMNS($AN$1006:BH1006),$AN$1006:$BO$1006,0))&gt;=100000), " ",IF(INDEX($AN$2:$BO$1001,MATCH(ROWS($AG$2:AG536),$AG$2:$AG$1001,0),MATCH(COLUMNS($AN$1006:BH1006),$AN$1006:$BO$1006,0)), HYPERLINK("#",""), HYPERLINK(CONCATENATE("#Metadata!", ADDRESS(INDEX($AI$2:$AI$1001,MATCH(ROWS($AG$2:AG536),$AG$2:$AG$1001,0),0), INDEX($AN$1004:$BO$1004,1,MATCH(COLUMNS($AN$1006:BH1006),$AN$1006:$BO$1006,0)))),"Fix")))</f>
        <v>0</v>
      </c>
      <c r="W536" s="4">
        <f>IF(OR(INDEX($AH$2:$AH$1001,MATCH(ROWS($AG$2:AG536),$AG$2:$AG$1001,0),1)&gt;=100000,INDEX($AN$1005:$BO$1005,1,MATCH(COLUMNS($AN$1006:BI1006),$AN$1006:$BO$1006,0))&gt;=100000), " ",IF(INDEX($AN$2:$BO$1001,MATCH(ROWS($AG$2:AG536),$AG$2:$AG$1001,0),MATCH(COLUMNS($AN$1006:BI1006),$AN$1006:$BO$1006,0)), HYPERLINK("#",""), HYPERLINK(CONCATENATE("#Metadata!", ADDRESS(INDEX($AI$2:$AI$1001,MATCH(ROWS($AG$2:AG536),$AG$2:$AG$1001,0),0), INDEX($AN$1004:$BO$1004,1,MATCH(COLUMNS($AN$1006:BI1006),$AN$1006:$BO$1006,0)))),"Fix")))</f>
        <v>0</v>
      </c>
      <c r="X536" s="4">
        <f>IF(OR(INDEX($AH$2:$AH$1001,MATCH(ROWS($AG$2:AG536),$AG$2:$AG$1001,0),1)&gt;=100000,INDEX($AN$1005:$BO$1005,1,MATCH(COLUMNS($AN$1006:BJ1006),$AN$1006:$BO$1006,0))&gt;=100000), " ",IF(INDEX($AN$2:$BO$1001,MATCH(ROWS($AG$2:AG536),$AG$2:$AG$1001,0),MATCH(COLUMNS($AN$1006:BJ1006),$AN$1006:$BO$1006,0)), HYPERLINK("#",""), HYPERLINK(CONCATENATE("#Metadata!", ADDRESS(INDEX($AI$2:$AI$1001,MATCH(ROWS($AG$2:AG536),$AG$2:$AG$1001,0),0), INDEX($AN$1004:$BO$1004,1,MATCH(COLUMNS($AN$1006:BJ1006),$AN$1006:$BO$1006,0)))),"Fix")))</f>
        <v>0</v>
      </c>
      <c r="Y536" s="4">
        <f>IF(OR(INDEX($AH$2:$AH$1001,MATCH(ROWS($AG$2:AG536),$AG$2:$AG$1001,0),1)&gt;=100000,INDEX($AN$1005:$BO$1005,1,MATCH(COLUMNS($AN$1006:BK1006),$AN$1006:$BO$1006,0))&gt;=100000), " ",IF(INDEX($AN$2:$BO$1001,MATCH(ROWS($AG$2:AG536),$AG$2:$AG$1001,0),MATCH(COLUMNS($AN$1006:BK1006),$AN$1006:$BO$1006,0)), HYPERLINK("#",""), HYPERLINK(CONCATENATE("#Metadata!", ADDRESS(INDEX($AI$2:$AI$1001,MATCH(ROWS($AG$2:AG536),$AG$2:$AG$1001,0),0), INDEX($AN$1004:$BO$1004,1,MATCH(COLUMNS($AN$1006:BK1006),$AN$1006:$BO$1006,0)))),"Fix")))</f>
        <v>0</v>
      </c>
      <c r="Z536" s="4">
        <f>IF(OR(INDEX($AH$2:$AH$1001,MATCH(ROWS($AG$2:AG536),$AG$2:$AG$1001,0),1)&gt;=100000,INDEX($AN$1005:$BO$1005,1,MATCH(COLUMNS($AN$1006:BL1006),$AN$1006:$BO$1006,0))&gt;=100000), " ",IF(INDEX($AN$2:$BO$1001,MATCH(ROWS($AG$2:AG536),$AG$2:$AG$1001,0),MATCH(COLUMNS($AN$1006:BL1006),$AN$1006:$BO$1006,0)), HYPERLINK("#",""), HYPERLINK(CONCATENATE("#Metadata!", ADDRESS(INDEX($AI$2:$AI$1001,MATCH(ROWS($AG$2:AG536),$AG$2:$AG$1001,0),0), INDEX($AN$1004:$BO$1004,1,MATCH(COLUMNS($AN$1006:BL1006),$AN$1006:$BO$1006,0)))),"Fix")))</f>
        <v>0</v>
      </c>
      <c r="AA536" s="4">
        <f>IF(OR(INDEX($AH$2:$AH$1001,MATCH(ROWS($AG$2:AG536),$AG$2:$AG$1001,0),1)&gt;=100000,INDEX($AN$1005:$BO$1005,1,MATCH(COLUMNS($AN$1006:BM1006),$AN$1006:$BO$1006,0))&gt;=100000), " ",IF(INDEX($AN$2:$BO$1001,MATCH(ROWS($AG$2:AG536),$AG$2:$AG$1001,0),MATCH(COLUMNS($AN$1006:BM1006),$AN$1006:$BO$1006,0)), HYPERLINK("#",""), HYPERLINK(CONCATENATE("#Metadata!", ADDRESS(INDEX($AI$2:$AI$1001,MATCH(ROWS($AG$2:AG536),$AG$2:$AG$1001,0),0), INDEX($AN$1004:$BO$1004,1,MATCH(COLUMNS($AN$1006:BM1006),$AN$1006:$BO$1006,0)))),"Fix")))</f>
        <v>0</v>
      </c>
      <c r="AB536" s="4">
        <f>IF(OR(INDEX($AH$2:$AH$1001,MATCH(ROWS($AG$2:AG536),$AG$2:$AG$1001,0),1)&gt;=100000,INDEX($AN$1005:$BO$1005,1,MATCH(COLUMNS($AN$1006:BN1006),$AN$1006:$BO$1006,0))&gt;=100000), " ",IF(INDEX($AN$2:$BO$1001,MATCH(ROWS($AG$2:AG536),$AG$2:$AG$1001,0),MATCH(COLUMNS($AN$1006:BN1006),$AN$1006:$BO$1006,0)), HYPERLINK("#",""), HYPERLINK(CONCATENATE("#Metadata!", ADDRESS(INDEX($AI$2:$AI$1001,MATCH(ROWS($AG$2:AG536),$AG$2:$AG$1001,0),0), INDEX($AN$1004:$BO$1004,1,MATCH(COLUMNS($AN$1006:BN1006),$AN$1006:$BO$1006,0)))),"Fix")))</f>
        <v>0</v>
      </c>
      <c r="AC536" s="4">
        <f>IF(OR(INDEX($AH$2:$AH$1001,MATCH(ROWS($AG$2:AG536),$AG$2:$AG$1001,0),1)&gt;=100000,INDEX($AN$1005:$BO$1005,1,MATCH(COLUMNS($AN$1006:BO1006),$AN$1006:$BO$1006,0))&gt;=100000), " ",IF(INDEX($AN$2:$BO$1001,MATCH(ROWS($AG$2:AG536),$AG$2:$AG$1001,0),MATCH(COLUMNS($AN$1006:BO1006),$AN$1006:$BO$1006,0)), HYPERLINK("#",""), HYPERLINK(CONCATENATE("#Metadata!", ADDRESS(INDEX($AI$2:$AI$1001,MATCH(ROWS($AG$2:AG536),$AG$2:$AG$1001,0),0), INDEX($AN$1004:$BO$1004,1,MATCH(COLUMNS($AN$1006:BO1006),$AN$1006:$BO$1006,0)))),"Fix")))</f>
        <v>0</v>
      </c>
      <c r="AG536">
        <v>0</v>
      </c>
      <c r="AH536">
        <v>0</v>
      </c>
      <c r="AI536">
        <v>0</v>
      </c>
      <c r="AJ536">
        <f>IF(AK536,TRUE,AND(AN536:BO536))</f>
        <v>0</v>
      </c>
      <c r="AK536">
        <f>COUNTBLANK(Metadata!B536:AC536)=COLUMNS(Metadata!B536:AC536)</f>
        <v>0</v>
      </c>
      <c r="AL536">
        <v>0</v>
      </c>
      <c r="AN536">
        <f>AND(IF(Metadata!B536="",FALSE,TRUE),COUNTIF(Metadata!B:B, Metadata!B536) = 1,NOT(ISERROR(SUMPRODUCT(SEARCH(MID(Metadata!B536,ROW(INDIRECT("1:"&amp;LEN(Metadata!B536))), 1),"0123456789abcdefghijklmnopqrstuvwxyzABCDEFGHIJKLMNOPQRSTUVWXYZ.")))))</f>
        <v>0</v>
      </c>
      <c r="AO536">
        <f>IF(Metadata!C536="",FALSE,TRUE)</f>
        <v>0</v>
      </c>
      <c r="AP536">
        <f>IF(Metadata!D536="",FALSE,TRUE)</f>
        <v>0</v>
      </c>
      <c r="AQ536">
        <f>OR(AND(IF(Metadata!E536="",FALSE,TRUE),OR(exact(Metadata!E536,"not collected"),exact(Metadata!E536,"not provided"),exact(Metadata!E536,"restricted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R536">
        <f>IF(Metadata!F536="",FALSE,TRUE)</f>
        <v>0</v>
      </c>
      <c r="AS536">
        <f>OR(AND(IF(Metadata!G536="",FALSE,TRUE),OR(exact(Metadata!G536,"not collected"),exact(Metadata!G536,"not provided"))),AND(IF(Metadata!G536="",FALSE,TRUE),OR(exact(Metadata!G536,"TRUE"),exact(Metadata!G536,"FALSE"))))</f>
        <v>0</v>
      </c>
      <c r="AT536">
        <f>OR(AND(IF(Metadata!H536="",FALSE,TRUE),OR(exact(Metadata!H536,"not collected"),exact(Metadata!H536,"not provided"),exact(Metadata!H536,"restricted access"))),AND(IF(Metadata!H536="",FALSE,ISNUMBER(VALUE(Metadata!H536))),Metadata!H536&gt;=-413.0))</f>
        <v>0</v>
      </c>
      <c r="AU536">
        <f>AND(IF(Metadata!I536="",FALSE,TRUE),exact(Metadata!I536,"meters"))</f>
        <v>0</v>
      </c>
      <c r="AV536">
        <f>AND(IF(Metadata!J536="",FALSE,TRUE),OR(exact(Metadata!J536,"Host-associated"),exact(Metadata!J536,"Free-living")))</f>
        <v>0</v>
      </c>
      <c r="AW536">
        <f>AND(IF(Metadata!K536="",FALSE,TRUE),OR(exact(Metadata!K536,"Animal"),exact(Metadata!K536,"Fungus"),exact(Metadata!K536,"Plant"),exact(Metadata!K536,"Saline"),exact(Metadata!K536,"Non-saline")))</f>
        <v>0</v>
      </c>
      <c r="AX536">
        <f>AND(IF(Metadata!L536="",FALSE,TRUE),OR(exact(Metadata!L536,"Plant secretion"),exact(Metadata!L536,"Plant rhizosphere"),exact(Metadata!L536,"Plant surface"),exact(Metadata!L536,"Plant corpus"),exact(Metadata!L536,"Fungus surface"),exact(Metadata!L536,"Fungus corpus"),exact(Metadata!L536,"Animal surface"),exact(Metadata!L536,"Animal proximal gut"),exact(Metadata!L536,"Animal corpus"),exact(Metadata!L536,"Animal distal gut"),exact(Metadata!L536,"Animal secretion"),exact(Metadata!L536,"Sub-surface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Y536">
        <f>IF(Metadata!M536="",FALSE,TRUE)</f>
        <v>0</v>
      </c>
      <c r="AZ536">
        <f>IF(Metadata!N536="",FALSE,TRUE)</f>
        <v>0</v>
      </c>
      <c r="BA536">
        <f>IF(Metadata!O536="",FALSE,TRUE)</f>
        <v>0</v>
      </c>
      <c r="BB536">
        <f>OR(AND(IF(Metadata!P536="",FALSE,TRUE),OR(exact(Metadata!P536,"not collected"),exact(Metadata!P536,"not provided"),exact(Metadata!P536,"restricted access"))),AND(IF(Metadata!P536="",FALSE,TRUE),OR(exact(Metadata!P536,"air"),exact(Metadata!P536,"built environment"),exact(Metadata!P536,"host-associated"),exact(Metadata!P536,"human-associated"),exact(Metadata!P536,"human-skin"),exact(Metadata!P536,"human-oral"),exact(Metadata!P536,"human-gut"),exact(Metadata!P536,"human-vaginal"),exact(Metadata!P536,"microbial mat/biofilm"),exact(Metadata!P536,"misc environment"),exact(Metadata!P536,"plant-associated"),exact(Metadata!P536,"sediment"),exact(Metadata!P536,"soil"),exact(Metadata!P536,"wastewater/sludge"),exact(Metadata!P536,"water"))))</f>
        <v>0</v>
      </c>
      <c r="BC536">
        <f>IF(Metadata!Q536="",FALSE,TRUE)</f>
        <v>0</v>
      </c>
      <c r="BD536">
        <f>IF(Metadata!R536="",FALSE,TRUE)</f>
        <v>0</v>
      </c>
      <c r="BE536">
        <f>OR(AND(IF(Metadata!S536="",FALSE,TRUE),OR(exact(Metadata!S536,"not collected"),exact(Metadata!S536,"not provided"),exact(Metadata!S536,"restricted access"))),AND(IF(Metadata!S536="",FALSE,ISNUMBER(VALUE(Metadata!S536))),Metadata!S536&gt;=-90.00,Metadata!S536&lt;=90.00))</f>
        <v>0</v>
      </c>
      <c r="BF536">
        <f>AND(IF(Metadata!T536="",FALSE,TRUE),exact(Metadata!T536,"Decimal degrees"))</f>
        <v>0</v>
      </c>
      <c r="BG536">
        <f>OR(AND(IF(Metadata!U536="",FALSE,TRUE),OR(exact(Metadata!U536,"not collected"),exact(Metadata!U536,"not provided"),exact(Metadata!U536,"restricted access"))),AND(IF(Metadata!U536="",FALSE,ISNUMBER(VALUE(Metadata!U536))),Metadata!U536&gt;=-180.00,Metadata!U536&lt;=180.00))</f>
        <v>0</v>
      </c>
      <c r="BH536">
        <f>AND(IF(Metadata!V536="",FALSE,TRUE),exact(Metadata!V536,"Decimal degrees"))</f>
        <v>0</v>
      </c>
      <c r="BI536">
        <f>IF(Metadata!W536="",FALSE,TRUE)</f>
        <v>0</v>
      </c>
      <c r="BJ536">
        <f>OR(AND(IF(Metadata!X536="",FALSE,TRUE),OR(exact(Metadata!X536,"not collected"),exact(Metadata!X536,"not provided"),exact(Metadata!X536,"restricted access"))),AND(IF(Metadata!X536="",FALSE,TRUE),OR(exact(Metadata!X536,"TRUE"),exact(Metadata!X536,"FALSE"))))</f>
        <v>0</v>
      </c>
      <c r="BK536">
        <f>AND(IF(Metadata!Y536="",FALSE,TRUE),exact(Metadata!Y536,"other"))</f>
        <v>0</v>
      </c>
      <c r="BL536">
        <f>IF(Metadata!Z536="",FALSE,TRUE)</f>
        <v>0</v>
      </c>
      <c r="BM536">
        <f>OR(AND(IF(Metadata!AA536="",FALSE,TRUE),OR(exact(Metadata!AA536,"not collected"),exact(Metadata!AA536,"not provided"))),AND(IF(Metadata!AA536="",FALSE,IF(ISERROR(INT(Metadata!AA536)),FALSE,INT(Metadata!AA536)=Metadata!AA536)),Metadata!AA536&gt;0))</f>
        <v>0</v>
      </c>
      <c r="BN536">
        <f>AND(IF(Metadata!AB536="",FALSE,TRUE),exact(Metadata!AB536,"Not applicable"))</f>
        <v>0</v>
      </c>
      <c r="BO536">
        <f>IF(Metadata!AC536="",FALSE,TRUE)</f>
        <v>0</v>
      </c>
    </row>
    <row r="537" spans="1:67">
      <c r="A537" s="5">
        <f>IF(B537=" "," ",HYPERLINK(CONCATENATE("#metadata!",ADDRESS(INDEX($AI$2:$AI$1001,MATCH(ROWS($AG$2:AG537),$AG$2:$AG$1001,0),0),1)),INDEX($AL$2:$AL$1001,MATCH(ROWS($AG$2:AG537),$AG$2:$AG$1001,0),0)))</f>
        <v>0</v>
      </c>
      <c r="B537" s="4">
        <f>IF(OR(INDEX($AH$2:$AH$1001,MATCH(ROWS($AG$2:AG537),$AG$2:$AG$1001,0),1)&gt;=100000,INDEX($AN$1005:$BO$1005,1,MATCH(COLUMNS($AN$1006:AN1006),$AN$1006:$BO$1006,0))&gt;=100000), " ",IF(INDEX($AN$2:$BO$1001,MATCH(ROWS($AG$2:AG537),$AG$2:$AG$1001,0),MATCH(COLUMNS($AN$1006:AN1006),$AN$1006:$BO$1006,0)), HYPERLINK("#",""), HYPERLINK(CONCATENATE("#Metadata!", ADDRESS(INDEX($AI$2:$AI$1001,MATCH(ROWS($AG$2:AG537),$AG$2:$AG$1001,0),0), INDEX($AN$1004:$BO$1004,1,MATCH(COLUMNS($AN$1006:AN1006),$AN$1006:$BO$1006,0)))),"Fix")))</f>
        <v>0</v>
      </c>
      <c r="C537" s="4">
        <f>IF(OR(INDEX($AH$2:$AH$1001,MATCH(ROWS($AG$2:AG537),$AG$2:$AG$1001,0),1)&gt;=100000,INDEX($AN$1005:$BO$1005,1,MATCH(COLUMNS($AN$1006:AO1006),$AN$1006:$BO$1006,0))&gt;=100000), " ",IF(INDEX($AN$2:$BO$1001,MATCH(ROWS($AG$2:AG537),$AG$2:$AG$1001,0),MATCH(COLUMNS($AN$1006:AO1006),$AN$1006:$BO$1006,0)), HYPERLINK("#",""), HYPERLINK(CONCATENATE("#Metadata!", ADDRESS(INDEX($AI$2:$AI$1001,MATCH(ROWS($AG$2:AG537),$AG$2:$AG$1001,0),0), INDEX($AN$1004:$BO$1004,1,MATCH(COLUMNS($AN$1006:AO1006),$AN$1006:$BO$1006,0)))),"Fix")))</f>
        <v>0</v>
      </c>
      <c r="D537" s="4">
        <f>IF(OR(INDEX($AH$2:$AH$1001,MATCH(ROWS($AG$2:AG537),$AG$2:$AG$1001,0),1)&gt;=100000,INDEX($AN$1005:$BO$1005,1,MATCH(COLUMNS($AN$1006:AP1006),$AN$1006:$BO$1006,0))&gt;=100000), " ",IF(INDEX($AN$2:$BO$1001,MATCH(ROWS($AG$2:AG537),$AG$2:$AG$1001,0),MATCH(COLUMNS($AN$1006:AP1006),$AN$1006:$BO$1006,0)), HYPERLINK("#",""), HYPERLINK(CONCATENATE("#Metadata!", ADDRESS(INDEX($AI$2:$AI$1001,MATCH(ROWS($AG$2:AG537),$AG$2:$AG$1001,0),0), INDEX($AN$1004:$BO$1004,1,MATCH(COLUMNS($AN$1006:AP1006),$AN$1006:$BO$1006,0)))),"Fix")))</f>
        <v>0</v>
      </c>
      <c r="E537" s="4">
        <f>IF(OR(INDEX($AH$2:$AH$1001,MATCH(ROWS($AG$2:AG537),$AG$2:$AG$1001,0),1)&gt;=100000,INDEX($AN$1005:$BO$1005,1,MATCH(COLUMNS($AN$1006:AQ1006),$AN$1006:$BO$1006,0))&gt;=100000), " ",IF(INDEX($AN$2:$BO$1001,MATCH(ROWS($AG$2:AG537),$AG$2:$AG$1001,0),MATCH(COLUMNS($AN$1006:AQ1006),$AN$1006:$BO$1006,0)), HYPERLINK("#",""), HYPERLINK(CONCATENATE("#Metadata!", ADDRESS(INDEX($AI$2:$AI$1001,MATCH(ROWS($AG$2:AG537),$AG$2:$AG$1001,0),0), INDEX($AN$1004:$BO$1004,1,MATCH(COLUMNS($AN$1006:AQ1006),$AN$1006:$BO$1006,0)))),"Fix")))</f>
        <v>0</v>
      </c>
      <c r="F537" s="4">
        <f>IF(OR(INDEX($AH$2:$AH$1001,MATCH(ROWS($AG$2:AG537),$AG$2:$AG$1001,0),1)&gt;=100000,INDEX($AN$1005:$BO$1005,1,MATCH(COLUMNS($AN$1006:AR1006),$AN$1006:$BO$1006,0))&gt;=100000), " ",IF(INDEX($AN$2:$BO$1001,MATCH(ROWS($AG$2:AG537),$AG$2:$AG$1001,0),MATCH(COLUMNS($AN$1006:AR1006),$AN$1006:$BO$1006,0)), HYPERLINK("#",""), HYPERLINK(CONCATENATE("#Metadata!", ADDRESS(INDEX($AI$2:$AI$1001,MATCH(ROWS($AG$2:AG537),$AG$2:$AG$1001,0),0), INDEX($AN$1004:$BO$1004,1,MATCH(COLUMNS($AN$1006:AR1006),$AN$1006:$BO$1006,0)))),"Fix")))</f>
        <v>0</v>
      </c>
      <c r="G537" s="4">
        <f>IF(OR(INDEX($AH$2:$AH$1001,MATCH(ROWS($AG$2:AG537),$AG$2:$AG$1001,0),1)&gt;=100000,INDEX($AN$1005:$BO$1005,1,MATCH(COLUMNS($AN$1006:AS1006),$AN$1006:$BO$1006,0))&gt;=100000), " ",IF(INDEX($AN$2:$BO$1001,MATCH(ROWS($AG$2:AG537),$AG$2:$AG$1001,0),MATCH(COLUMNS($AN$1006:AS1006),$AN$1006:$BO$1006,0)), HYPERLINK("#",""), HYPERLINK(CONCATENATE("#Metadata!", ADDRESS(INDEX($AI$2:$AI$1001,MATCH(ROWS($AG$2:AG537),$AG$2:$AG$1001,0),0), INDEX($AN$1004:$BO$1004,1,MATCH(COLUMNS($AN$1006:AS1006),$AN$1006:$BO$1006,0)))),"Fix")))</f>
        <v>0</v>
      </c>
      <c r="H537" s="4">
        <f>IF(OR(INDEX($AH$2:$AH$1001,MATCH(ROWS($AG$2:AG537),$AG$2:$AG$1001,0),1)&gt;=100000,INDEX($AN$1005:$BO$1005,1,MATCH(COLUMNS($AN$1006:AT1006),$AN$1006:$BO$1006,0))&gt;=100000), " ",IF(INDEX($AN$2:$BO$1001,MATCH(ROWS($AG$2:AG537),$AG$2:$AG$1001,0),MATCH(COLUMNS($AN$1006:AT1006),$AN$1006:$BO$1006,0)), HYPERLINK("#",""), HYPERLINK(CONCATENATE("#Metadata!", ADDRESS(INDEX($AI$2:$AI$1001,MATCH(ROWS($AG$2:AG537),$AG$2:$AG$1001,0),0), INDEX($AN$1004:$BO$1004,1,MATCH(COLUMNS($AN$1006:AT1006),$AN$1006:$BO$1006,0)))),"Fix")))</f>
        <v>0</v>
      </c>
      <c r="I537" s="4">
        <f>IF(OR(INDEX($AH$2:$AH$1001,MATCH(ROWS($AG$2:AG537),$AG$2:$AG$1001,0),1)&gt;=100000,INDEX($AN$1005:$BO$1005,1,MATCH(COLUMNS($AN$1006:AU1006),$AN$1006:$BO$1006,0))&gt;=100000), " ",IF(INDEX($AN$2:$BO$1001,MATCH(ROWS($AG$2:AG537),$AG$2:$AG$1001,0),MATCH(COLUMNS($AN$1006:AU1006),$AN$1006:$BO$1006,0)), HYPERLINK("#",""), HYPERLINK(CONCATENATE("#Metadata!", ADDRESS(INDEX($AI$2:$AI$1001,MATCH(ROWS($AG$2:AG537),$AG$2:$AG$1001,0),0), INDEX($AN$1004:$BO$1004,1,MATCH(COLUMNS($AN$1006:AU1006),$AN$1006:$BO$1006,0)))),"Fix")))</f>
        <v>0</v>
      </c>
      <c r="J537" s="4">
        <f>IF(OR(INDEX($AH$2:$AH$1001,MATCH(ROWS($AG$2:AG537),$AG$2:$AG$1001,0),1)&gt;=100000,INDEX($AN$1005:$BO$1005,1,MATCH(COLUMNS($AN$1006:AV1006),$AN$1006:$BO$1006,0))&gt;=100000), " ",IF(INDEX($AN$2:$BO$1001,MATCH(ROWS($AG$2:AG537),$AG$2:$AG$1001,0),MATCH(COLUMNS($AN$1006:AV1006),$AN$1006:$BO$1006,0)), HYPERLINK("#",""), HYPERLINK(CONCATENATE("#Metadata!", ADDRESS(INDEX($AI$2:$AI$1001,MATCH(ROWS($AG$2:AG537),$AG$2:$AG$1001,0),0), INDEX($AN$1004:$BO$1004,1,MATCH(COLUMNS($AN$1006:AV1006),$AN$1006:$BO$1006,0)))),"Fix")))</f>
        <v>0</v>
      </c>
      <c r="K537" s="4">
        <f>IF(OR(INDEX($AH$2:$AH$1001,MATCH(ROWS($AG$2:AG537),$AG$2:$AG$1001,0),1)&gt;=100000,INDEX($AN$1005:$BO$1005,1,MATCH(COLUMNS($AN$1006:AW1006),$AN$1006:$BO$1006,0))&gt;=100000), " ",IF(INDEX($AN$2:$BO$1001,MATCH(ROWS($AG$2:AG537),$AG$2:$AG$1001,0),MATCH(COLUMNS($AN$1006:AW1006),$AN$1006:$BO$1006,0)), HYPERLINK("#",""), HYPERLINK(CONCATENATE("#Metadata!", ADDRESS(INDEX($AI$2:$AI$1001,MATCH(ROWS($AG$2:AG537),$AG$2:$AG$1001,0),0), INDEX($AN$1004:$BO$1004,1,MATCH(COLUMNS($AN$1006:AW1006),$AN$1006:$BO$1006,0)))),"Fix")))</f>
        <v>0</v>
      </c>
      <c r="L537" s="4">
        <f>IF(OR(INDEX($AH$2:$AH$1001,MATCH(ROWS($AG$2:AG537),$AG$2:$AG$1001,0),1)&gt;=100000,INDEX($AN$1005:$BO$1005,1,MATCH(COLUMNS($AN$1006:AX1006),$AN$1006:$BO$1006,0))&gt;=100000), " ",IF(INDEX($AN$2:$BO$1001,MATCH(ROWS($AG$2:AG537),$AG$2:$AG$1001,0),MATCH(COLUMNS($AN$1006:AX1006),$AN$1006:$BO$1006,0)), HYPERLINK("#",""), HYPERLINK(CONCATENATE("#Metadata!", ADDRESS(INDEX($AI$2:$AI$1001,MATCH(ROWS($AG$2:AG537),$AG$2:$AG$1001,0),0), INDEX($AN$1004:$BO$1004,1,MATCH(COLUMNS($AN$1006:AX1006),$AN$1006:$BO$1006,0)))),"Fix")))</f>
        <v>0</v>
      </c>
      <c r="M537" s="4">
        <f>IF(OR(INDEX($AH$2:$AH$1001,MATCH(ROWS($AG$2:AG537),$AG$2:$AG$1001,0),1)&gt;=100000,INDEX($AN$1005:$BO$1005,1,MATCH(COLUMNS($AN$1006:AY1006),$AN$1006:$BO$1006,0))&gt;=100000), " ",IF(INDEX($AN$2:$BO$1001,MATCH(ROWS($AG$2:AG537),$AG$2:$AG$1001,0),MATCH(COLUMNS($AN$1006:AY1006),$AN$1006:$BO$1006,0)), HYPERLINK("#",""), HYPERLINK(CONCATENATE("#Metadata!", ADDRESS(INDEX($AI$2:$AI$1001,MATCH(ROWS($AG$2:AG537),$AG$2:$AG$1001,0),0), INDEX($AN$1004:$BO$1004,1,MATCH(COLUMNS($AN$1006:AY1006),$AN$1006:$BO$1006,0)))),"Fix")))</f>
        <v>0</v>
      </c>
      <c r="N537" s="4">
        <f>IF(OR(INDEX($AH$2:$AH$1001,MATCH(ROWS($AG$2:AG537),$AG$2:$AG$1001,0),1)&gt;=100000,INDEX($AN$1005:$BO$1005,1,MATCH(COLUMNS($AN$1006:AZ1006),$AN$1006:$BO$1006,0))&gt;=100000), " ",IF(INDEX($AN$2:$BO$1001,MATCH(ROWS($AG$2:AG537),$AG$2:$AG$1001,0),MATCH(COLUMNS($AN$1006:AZ1006),$AN$1006:$BO$1006,0)), HYPERLINK("#",""), HYPERLINK(CONCATENATE("#Metadata!", ADDRESS(INDEX($AI$2:$AI$1001,MATCH(ROWS($AG$2:AG537),$AG$2:$AG$1001,0),0), INDEX($AN$1004:$BO$1004,1,MATCH(COLUMNS($AN$1006:AZ1006),$AN$1006:$BO$1006,0)))),"Fix")))</f>
        <v>0</v>
      </c>
      <c r="O537" s="4">
        <f>IF(OR(INDEX($AH$2:$AH$1001,MATCH(ROWS($AG$2:AG537),$AG$2:$AG$1001,0),1)&gt;=100000,INDEX($AN$1005:$BO$1005,1,MATCH(COLUMNS($AN$1006:BA1006),$AN$1006:$BO$1006,0))&gt;=100000), " ",IF(INDEX($AN$2:$BO$1001,MATCH(ROWS($AG$2:AG537),$AG$2:$AG$1001,0),MATCH(COLUMNS($AN$1006:BA1006),$AN$1006:$BO$1006,0)), HYPERLINK("#",""), HYPERLINK(CONCATENATE("#Metadata!", ADDRESS(INDEX($AI$2:$AI$1001,MATCH(ROWS($AG$2:AG537),$AG$2:$AG$1001,0),0), INDEX($AN$1004:$BO$1004,1,MATCH(COLUMNS($AN$1006:BA1006),$AN$1006:$BO$1006,0)))),"Fix")))</f>
        <v>0</v>
      </c>
      <c r="P537" s="4">
        <f>IF(OR(INDEX($AH$2:$AH$1001,MATCH(ROWS($AG$2:AG537),$AG$2:$AG$1001,0),1)&gt;=100000,INDEX($AN$1005:$BO$1005,1,MATCH(COLUMNS($AN$1006:BB1006),$AN$1006:$BO$1006,0))&gt;=100000), " ",IF(INDEX($AN$2:$BO$1001,MATCH(ROWS($AG$2:AG537),$AG$2:$AG$1001,0),MATCH(COLUMNS($AN$1006:BB1006),$AN$1006:$BO$1006,0)), HYPERLINK("#",""), HYPERLINK(CONCATENATE("#Metadata!", ADDRESS(INDEX($AI$2:$AI$1001,MATCH(ROWS($AG$2:AG537),$AG$2:$AG$1001,0),0), INDEX($AN$1004:$BO$1004,1,MATCH(COLUMNS($AN$1006:BB1006),$AN$1006:$BO$1006,0)))),"Fix")))</f>
        <v>0</v>
      </c>
      <c r="Q537" s="4">
        <f>IF(OR(INDEX($AH$2:$AH$1001,MATCH(ROWS($AG$2:AG537),$AG$2:$AG$1001,0),1)&gt;=100000,INDEX($AN$1005:$BO$1005,1,MATCH(COLUMNS($AN$1006:BC1006),$AN$1006:$BO$1006,0))&gt;=100000), " ",IF(INDEX($AN$2:$BO$1001,MATCH(ROWS($AG$2:AG537),$AG$2:$AG$1001,0),MATCH(COLUMNS($AN$1006:BC1006),$AN$1006:$BO$1006,0)), HYPERLINK("#",""), HYPERLINK(CONCATENATE("#Metadata!", ADDRESS(INDEX($AI$2:$AI$1001,MATCH(ROWS($AG$2:AG537),$AG$2:$AG$1001,0),0), INDEX($AN$1004:$BO$1004,1,MATCH(COLUMNS($AN$1006:BC1006),$AN$1006:$BO$1006,0)))),"Fix")))</f>
        <v>0</v>
      </c>
      <c r="R537" s="4">
        <f>IF(OR(INDEX($AH$2:$AH$1001,MATCH(ROWS($AG$2:AG537),$AG$2:$AG$1001,0),1)&gt;=100000,INDEX($AN$1005:$BO$1005,1,MATCH(COLUMNS($AN$1006:BD1006),$AN$1006:$BO$1006,0))&gt;=100000), " ",IF(INDEX($AN$2:$BO$1001,MATCH(ROWS($AG$2:AG537),$AG$2:$AG$1001,0),MATCH(COLUMNS($AN$1006:BD1006),$AN$1006:$BO$1006,0)), HYPERLINK("#",""), HYPERLINK(CONCATENATE("#Metadata!", ADDRESS(INDEX($AI$2:$AI$1001,MATCH(ROWS($AG$2:AG537),$AG$2:$AG$1001,0),0), INDEX($AN$1004:$BO$1004,1,MATCH(COLUMNS($AN$1006:BD1006),$AN$1006:$BO$1006,0)))),"Fix")))</f>
        <v>0</v>
      </c>
      <c r="S537" s="4">
        <f>IF(OR(INDEX($AH$2:$AH$1001,MATCH(ROWS($AG$2:AG537),$AG$2:$AG$1001,0),1)&gt;=100000,INDEX($AN$1005:$BO$1005,1,MATCH(COLUMNS($AN$1006:BE1006),$AN$1006:$BO$1006,0))&gt;=100000), " ",IF(INDEX($AN$2:$BO$1001,MATCH(ROWS($AG$2:AG537),$AG$2:$AG$1001,0),MATCH(COLUMNS($AN$1006:BE1006),$AN$1006:$BO$1006,0)), HYPERLINK("#",""), HYPERLINK(CONCATENATE("#Metadata!", ADDRESS(INDEX($AI$2:$AI$1001,MATCH(ROWS($AG$2:AG537),$AG$2:$AG$1001,0),0), INDEX($AN$1004:$BO$1004,1,MATCH(COLUMNS($AN$1006:BE1006),$AN$1006:$BO$1006,0)))),"Fix")))</f>
        <v>0</v>
      </c>
      <c r="T537" s="4">
        <f>IF(OR(INDEX($AH$2:$AH$1001,MATCH(ROWS($AG$2:AG537),$AG$2:$AG$1001,0),1)&gt;=100000,INDEX($AN$1005:$BO$1005,1,MATCH(COLUMNS($AN$1006:BF1006),$AN$1006:$BO$1006,0))&gt;=100000), " ",IF(INDEX($AN$2:$BO$1001,MATCH(ROWS($AG$2:AG537),$AG$2:$AG$1001,0),MATCH(COLUMNS($AN$1006:BF1006),$AN$1006:$BO$1006,0)), HYPERLINK("#",""), HYPERLINK(CONCATENATE("#Metadata!", ADDRESS(INDEX($AI$2:$AI$1001,MATCH(ROWS($AG$2:AG537),$AG$2:$AG$1001,0),0), INDEX($AN$1004:$BO$1004,1,MATCH(COLUMNS($AN$1006:BF1006),$AN$1006:$BO$1006,0)))),"Fix")))</f>
        <v>0</v>
      </c>
      <c r="U537" s="4">
        <f>IF(OR(INDEX($AH$2:$AH$1001,MATCH(ROWS($AG$2:AG537),$AG$2:$AG$1001,0),1)&gt;=100000,INDEX($AN$1005:$BO$1005,1,MATCH(COLUMNS($AN$1006:BG1006),$AN$1006:$BO$1006,0))&gt;=100000), " ",IF(INDEX($AN$2:$BO$1001,MATCH(ROWS($AG$2:AG537),$AG$2:$AG$1001,0),MATCH(COLUMNS($AN$1006:BG1006),$AN$1006:$BO$1006,0)), HYPERLINK("#",""), HYPERLINK(CONCATENATE("#Metadata!", ADDRESS(INDEX($AI$2:$AI$1001,MATCH(ROWS($AG$2:AG537),$AG$2:$AG$1001,0),0), INDEX($AN$1004:$BO$1004,1,MATCH(COLUMNS($AN$1006:BG1006),$AN$1006:$BO$1006,0)))),"Fix")))</f>
        <v>0</v>
      </c>
      <c r="V537" s="4">
        <f>IF(OR(INDEX($AH$2:$AH$1001,MATCH(ROWS($AG$2:AG537),$AG$2:$AG$1001,0),1)&gt;=100000,INDEX($AN$1005:$BO$1005,1,MATCH(COLUMNS($AN$1006:BH1006),$AN$1006:$BO$1006,0))&gt;=100000), " ",IF(INDEX($AN$2:$BO$1001,MATCH(ROWS($AG$2:AG537),$AG$2:$AG$1001,0),MATCH(COLUMNS($AN$1006:BH1006),$AN$1006:$BO$1006,0)), HYPERLINK("#",""), HYPERLINK(CONCATENATE("#Metadata!", ADDRESS(INDEX($AI$2:$AI$1001,MATCH(ROWS($AG$2:AG537),$AG$2:$AG$1001,0),0), INDEX($AN$1004:$BO$1004,1,MATCH(COLUMNS($AN$1006:BH1006),$AN$1006:$BO$1006,0)))),"Fix")))</f>
        <v>0</v>
      </c>
      <c r="W537" s="4">
        <f>IF(OR(INDEX($AH$2:$AH$1001,MATCH(ROWS($AG$2:AG537),$AG$2:$AG$1001,0),1)&gt;=100000,INDEX($AN$1005:$BO$1005,1,MATCH(COLUMNS($AN$1006:BI1006),$AN$1006:$BO$1006,0))&gt;=100000), " ",IF(INDEX($AN$2:$BO$1001,MATCH(ROWS($AG$2:AG537),$AG$2:$AG$1001,0),MATCH(COLUMNS($AN$1006:BI1006),$AN$1006:$BO$1006,0)), HYPERLINK("#",""), HYPERLINK(CONCATENATE("#Metadata!", ADDRESS(INDEX($AI$2:$AI$1001,MATCH(ROWS($AG$2:AG537),$AG$2:$AG$1001,0),0), INDEX($AN$1004:$BO$1004,1,MATCH(COLUMNS($AN$1006:BI1006),$AN$1006:$BO$1006,0)))),"Fix")))</f>
        <v>0</v>
      </c>
      <c r="X537" s="4">
        <f>IF(OR(INDEX($AH$2:$AH$1001,MATCH(ROWS($AG$2:AG537),$AG$2:$AG$1001,0),1)&gt;=100000,INDEX($AN$1005:$BO$1005,1,MATCH(COLUMNS($AN$1006:BJ1006),$AN$1006:$BO$1006,0))&gt;=100000), " ",IF(INDEX($AN$2:$BO$1001,MATCH(ROWS($AG$2:AG537),$AG$2:$AG$1001,0),MATCH(COLUMNS($AN$1006:BJ1006),$AN$1006:$BO$1006,0)), HYPERLINK("#",""), HYPERLINK(CONCATENATE("#Metadata!", ADDRESS(INDEX($AI$2:$AI$1001,MATCH(ROWS($AG$2:AG537),$AG$2:$AG$1001,0),0), INDEX($AN$1004:$BO$1004,1,MATCH(COLUMNS($AN$1006:BJ1006),$AN$1006:$BO$1006,0)))),"Fix")))</f>
        <v>0</v>
      </c>
      <c r="Y537" s="4">
        <f>IF(OR(INDEX($AH$2:$AH$1001,MATCH(ROWS($AG$2:AG537),$AG$2:$AG$1001,0),1)&gt;=100000,INDEX($AN$1005:$BO$1005,1,MATCH(COLUMNS($AN$1006:BK1006),$AN$1006:$BO$1006,0))&gt;=100000), " ",IF(INDEX($AN$2:$BO$1001,MATCH(ROWS($AG$2:AG537),$AG$2:$AG$1001,0),MATCH(COLUMNS($AN$1006:BK1006),$AN$1006:$BO$1006,0)), HYPERLINK("#",""), HYPERLINK(CONCATENATE("#Metadata!", ADDRESS(INDEX($AI$2:$AI$1001,MATCH(ROWS($AG$2:AG537),$AG$2:$AG$1001,0),0), INDEX($AN$1004:$BO$1004,1,MATCH(COLUMNS($AN$1006:BK1006),$AN$1006:$BO$1006,0)))),"Fix")))</f>
        <v>0</v>
      </c>
      <c r="Z537" s="4">
        <f>IF(OR(INDEX($AH$2:$AH$1001,MATCH(ROWS($AG$2:AG537),$AG$2:$AG$1001,0),1)&gt;=100000,INDEX($AN$1005:$BO$1005,1,MATCH(COLUMNS($AN$1006:BL1006),$AN$1006:$BO$1006,0))&gt;=100000), " ",IF(INDEX($AN$2:$BO$1001,MATCH(ROWS($AG$2:AG537),$AG$2:$AG$1001,0),MATCH(COLUMNS($AN$1006:BL1006),$AN$1006:$BO$1006,0)), HYPERLINK("#",""), HYPERLINK(CONCATENATE("#Metadata!", ADDRESS(INDEX($AI$2:$AI$1001,MATCH(ROWS($AG$2:AG537),$AG$2:$AG$1001,0),0), INDEX($AN$1004:$BO$1004,1,MATCH(COLUMNS($AN$1006:BL1006),$AN$1006:$BO$1006,0)))),"Fix")))</f>
        <v>0</v>
      </c>
      <c r="AA537" s="4">
        <f>IF(OR(INDEX($AH$2:$AH$1001,MATCH(ROWS($AG$2:AG537),$AG$2:$AG$1001,0),1)&gt;=100000,INDEX($AN$1005:$BO$1005,1,MATCH(COLUMNS($AN$1006:BM1006),$AN$1006:$BO$1006,0))&gt;=100000), " ",IF(INDEX($AN$2:$BO$1001,MATCH(ROWS($AG$2:AG537),$AG$2:$AG$1001,0),MATCH(COLUMNS($AN$1006:BM1006),$AN$1006:$BO$1006,0)), HYPERLINK("#",""), HYPERLINK(CONCATENATE("#Metadata!", ADDRESS(INDEX($AI$2:$AI$1001,MATCH(ROWS($AG$2:AG537),$AG$2:$AG$1001,0),0), INDEX($AN$1004:$BO$1004,1,MATCH(COLUMNS($AN$1006:BM1006),$AN$1006:$BO$1006,0)))),"Fix")))</f>
        <v>0</v>
      </c>
      <c r="AB537" s="4">
        <f>IF(OR(INDEX($AH$2:$AH$1001,MATCH(ROWS($AG$2:AG537),$AG$2:$AG$1001,0),1)&gt;=100000,INDEX($AN$1005:$BO$1005,1,MATCH(COLUMNS($AN$1006:BN1006),$AN$1006:$BO$1006,0))&gt;=100000), " ",IF(INDEX($AN$2:$BO$1001,MATCH(ROWS($AG$2:AG537),$AG$2:$AG$1001,0),MATCH(COLUMNS($AN$1006:BN1006),$AN$1006:$BO$1006,0)), HYPERLINK("#",""), HYPERLINK(CONCATENATE("#Metadata!", ADDRESS(INDEX($AI$2:$AI$1001,MATCH(ROWS($AG$2:AG537),$AG$2:$AG$1001,0),0), INDEX($AN$1004:$BO$1004,1,MATCH(COLUMNS($AN$1006:BN1006),$AN$1006:$BO$1006,0)))),"Fix")))</f>
        <v>0</v>
      </c>
      <c r="AC537" s="4">
        <f>IF(OR(INDEX($AH$2:$AH$1001,MATCH(ROWS($AG$2:AG537),$AG$2:$AG$1001,0),1)&gt;=100000,INDEX($AN$1005:$BO$1005,1,MATCH(COLUMNS($AN$1006:BO1006),$AN$1006:$BO$1006,0))&gt;=100000), " ",IF(INDEX($AN$2:$BO$1001,MATCH(ROWS($AG$2:AG537),$AG$2:$AG$1001,0),MATCH(COLUMNS($AN$1006:BO1006),$AN$1006:$BO$1006,0)), HYPERLINK("#",""), HYPERLINK(CONCATENATE("#Metadata!", ADDRESS(INDEX($AI$2:$AI$1001,MATCH(ROWS($AG$2:AG537),$AG$2:$AG$1001,0),0), INDEX($AN$1004:$BO$1004,1,MATCH(COLUMNS($AN$1006:BO1006),$AN$1006:$BO$1006,0)))),"Fix")))</f>
        <v>0</v>
      </c>
      <c r="AG537">
        <v>0</v>
      </c>
      <c r="AH537">
        <v>0</v>
      </c>
      <c r="AI537">
        <v>0</v>
      </c>
      <c r="AJ537">
        <f>IF(AK537,TRUE,AND(AN537:BO537))</f>
        <v>0</v>
      </c>
      <c r="AK537">
        <f>COUNTBLANK(Metadata!B537:AC537)=COLUMNS(Metadata!B537:AC537)</f>
        <v>0</v>
      </c>
      <c r="AL537">
        <v>0</v>
      </c>
      <c r="AN537">
        <f>AND(IF(Metadata!B537="",FALSE,TRUE),COUNTIF(Metadata!B:B, Metadata!B537) = 1,NOT(ISERROR(SUMPRODUCT(SEARCH(MID(Metadata!B537,ROW(INDIRECT("1:"&amp;LEN(Metadata!B537))), 1),"0123456789abcdefghijklmnopqrstuvwxyzABCDEFGHIJKLMNOPQRSTUVWXYZ.")))))</f>
        <v>0</v>
      </c>
      <c r="AO537">
        <f>IF(Metadata!C537="",FALSE,TRUE)</f>
        <v>0</v>
      </c>
      <c r="AP537">
        <f>IF(Metadata!D537="",FALSE,TRUE)</f>
        <v>0</v>
      </c>
      <c r="AQ537">
        <f>OR(AND(IF(Metadata!E537="",FALSE,TRUE),OR(exact(Metadata!E537,"not collected"),exact(Metadata!E537,"not provided"),exact(Metadata!E537,"restricted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R537">
        <f>IF(Metadata!F537="",FALSE,TRUE)</f>
        <v>0</v>
      </c>
      <c r="AS537">
        <f>OR(AND(IF(Metadata!G537="",FALSE,TRUE),OR(exact(Metadata!G537,"not collected"),exact(Metadata!G537,"not provided"))),AND(IF(Metadata!G537="",FALSE,TRUE),OR(exact(Metadata!G537,"TRUE"),exact(Metadata!G537,"FALSE"))))</f>
        <v>0</v>
      </c>
      <c r="AT537">
        <f>OR(AND(IF(Metadata!H537="",FALSE,TRUE),OR(exact(Metadata!H537,"not collected"),exact(Metadata!H537,"not provided"),exact(Metadata!H537,"restricted access"))),AND(IF(Metadata!H537="",FALSE,ISNUMBER(VALUE(Metadata!H537))),Metadata!H537&gt;=-413.0))</f>
        <v>0</v>
      </c>
      <c r="AU537">
        <f>AND(IF(Metadata!I537="",FALSE,TRUE),exact(Metadata!I537,"meters"))</f>
        <v>0</v>
      </c>
      <c r="AV537">
        <f>AND(IF(Metadata!J537="",FALSE,TRUE),OR(exact(Metadata!J537,"Host-associated"),exact(Metadata!J537,"Free-living")))</f>
        <v>0</v>
      </c>
      <c r="AW537">
        <f>AND(IF(Metadata!K537="",FALSE,TRUE),OR(exact(Metadata!K537,"Animal"),exact(Metadata!K537,"Fungus"),exact(Metadata!K537,"Plant"),exact(Metadata!K537,"Saline"),exact(Metadata!K537,"Non-saline")))</f>
        <v>0</v>
      </c>
      <c r="AX537">
        <f>AND(IF(Metadata!L537="",FALSE,TRUE),OR(exact(Metadata!L537,"Plant secretion"),exact(Metadata!L537,"Plant rhizosphere"),exact(Metadata!L537,"Plant surface"),exact(Metadata!L537,"Plant corpus"),exact(Metadata!L537,"Fungus surface"),exact(Metadata!L537,"Fungus corpus"),exact(Metadata!L537,"Animal surface"),exact(Metadata!L537,"Animal proximal gut"),exact(Metadata!L537,"Animal corpus"),exact(Metadata!L537,"Animal distal gut"),exact(Metadata!L537,"Animal secretion"),exact(Metadata!L537,"Sub-surface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Y537">
        <f>IF(Metadata!M537="",FALSE,TRUE)</f>
        <v>0</v>
      </c>
      <c r="AZ537">
        <f>IF(Metadata!N537="",FALSE,TRUE)</f>
        <v>0</v>
      </c>
      <c r="BA537">
        <f>IF(Metadata!O537="",FALSE,TRUE)</f>
        <v>0</v>
      </c>
      <c r="BB537">
        <f>OR(AND(IF(Metadata!P537="",FALSE,TRUE),OR(exact(Metadata!P537,"not collected"),exact(Metadata!P537,"not provided"),exact(Metadata!P537,"restricted access"))),AND(IF(Metadata!P537="",FALSE,TRUE),OR(exact(Metadata!P537,"air"),exact(Metadata!P537,"built environment"),exact(Metadata!P537,"host-associated"),exact(Metadata!P537,"human-associated"),exact(Metadata!P537,"human-skin"),exact(Metadata!P537,"human-oral"),exact(Metadata!P537,"human-gut"),exact(Metadata!P537,"human-vaginal"),exact(Metadata!P537,"microbial mat/biofilm"),exact(Metadata!P537,"misc environment"),exact(Metadata!P537,"plant-associated"),exact(Metadata!P537,"sediment"),exact(Metadata!P537,"soil"),exact(Metadata!P537,"wastewater/sludge"),exact(Metadata!P537,"water"))))</f>
        <v>0</v>
      </c>
      <c r="BC537">
        <f>IF(Metadata!Q537="",FALSE,TRUE)</f>
        <v>0</v>
      </c>
      <c r="BD537">
        <f>IF(Metadata!R537="",FALSE,TRUE)</f>
        <v>0</v>
      </c>
      <c r="BE537">
        <f>OR(AND(IF(Metadata!S537="",FALSE,TRUE),OR(exact(Metadata!S537,"not collected"),exact(Metadata!S537,"not provided"),exact(Metadata!S537,"restricted access"))),AND(IF(Metadata!S537="",FALSE,ISNUMBER(VALUE(Metadata!S537))),Metadata!S537&gt;=-90.00,Metadata!S537&lt;=90.00))</f>
        <v>0</v>
      </c>
      <c r="BF537">
        <f>AND(IF(Metadata!T537="",FALSE,TRUE),exact(Metadata!T537,"Decimal degrees"))</f>
        <v>0</v>
      </c>
      <c r="BG537">
        <f>OR(AND(IF(Metadata!U537="",FALSE,TRUE),OR(exact(Metadata!U537,"not collected"),exact(Metadata!U537,"not provided"),exact(Metadata!U537,"restricted access"))),AND(IF(Metadata!U537="",FALSE,ISNUMBER(VALUE(Metadata!U537))),Metadata!U537&gt;=-180.00,Metadata!U537&lt;=180.00))</f>
        <v>0</v>
      </c>
      <c r="BH537">
        <f>AND(IF(Metadata!V537="",FALSE,TRUE),exact(Metadata!V537,"Decimal degrees"))</f>
        <v>0</v>
      </c>
      <c r="BI537">
        <f>IF(Metadata!W537="",FALSE,TRUE)</f>
        <v>0</v>
      </c>
      <c r="BJ537">
        <f>OR(AND(IF(Metadata!X537="",FALSE,TRUE),OR(exact(Metadata!X537,"not collected"),exact(Metadata!X537,"not provided"),exact(Metadata!X537,"restricted access"))),AND(IF(Metadata!X537="",FALSE,TRUE),OR(exact(Metadata!X537,"TRUE"),exact(Metadata!X537,"FALSE"))))</f>
        <v>0</v>
      </c>
      <c r="BK537">
        <f>AND(IF(Metadata!Y537="",FALSE,TRUE),exact(Metadata!Y537,"other"))</f>
        <v>0</v>
      </c>
      <c r="BL537">
        <f>IF(Metadata!Z537="",FALSE,TRUE)</f>
        <v>0</v>
      </c>
      <c r="BM537">
        <f>OR(AND(IF(Metadata!AA537="",FALSE,TRUE),OR(exact(Metadata!AA537,"not collected"),exact(Metadata!AA537,"not provided"))),AND(IF(Metadata!AA537="",FALSE,IF(ISERROR(INT(Metadata!AA537)),FALSE,INT(Metadata!AA537)=Metadata!AA537)),Metadata!AA537&gt;0))</f>
        <v>0</v>
      </c>
      <c r="BN537">
        <f>AND(IF(Metadata!AB537="",FALSE,TRUE),exact(Metadata!AB537,"Not applicable"))</f>
        <v>0</v>
      </c>
      <c r="BO537">
        <f>IF(Metadata!AC537="",FALSE,TRUE)</f>
        <v>0</v>
      </c>
    </row>
    <row r="538" spans="1:67">
      <c r="A538" s="5">
        <f>IF(B538=" "," ",HYPERLINK(CONCATENATE("#metadata!",ADDRESS(INDEX($AI$2:$AI$1001,MATCH(ROWS($AG$2:AG538),$AG$2:$AG$1001,0),0),1)),INDEX($AL$2:$AL$1001,MATCH(ROWS($AG$2:AG538),$AG$2:$AG$1001,0),0)))</f>
        <v>0</v>
      </c>
      <c r="B538" s="4">
        <f>IF(OR(INDEX($AH$2:$AH$1001,MATCH(ROWS($AG$2:AG538),$AG$2:$AG$1001,0),1)&gt;=100000,INDEX($AN$1005:$BO$1005,1,MATCH(COLUMNS($AN$1006:AN1006),$AN$1006:$BO$1006,0))&gt;=100000), " ",IF(INDEX($AN$2:$BO$1001,MATCH(ROWS($AG$2:AG538),$AG$2:$AG$1001,0),MATCH(COLUMNS($AN$1006:AN1006),$AN$1006:$BO$1006,0)), HYPERLINK("#",""), HYPERLINK(CONCATENATE("#Metadata!", ADDRESS(INDEX($AI$2:$AI$1001,MATCH(ROWS($AG$2:AG538),$AG$2:$AG$1001,0),0), INDEX($AN$1004:$BO$1004,1,MATCH(COLUMNS($AN$1006:AN1006),$AN$1006:$BO$1006,0)))),"Fix")))</f>
        <v>0</v>
      </c>
      <c r="C538" s="4">
        <f>IF(OR(INDEX($AH$2:$AH$1001,MATCH(ROWS($AG$2:AG538),$AG$2:$AG$1001,0),1)&gt;=100000,INDEX($AN$1005:$BO$1005,1,MATCH(COLUMNS($AN$1006:AO1006),$AN$1006:$BO$1006,0))&gt;=100000), " ",IF(INDEX($AN$2:$BO$1001,MATCH(ROWS($AG$2:AG538),$AG$2:$AG$1001,0),MATCH(COLUMNS($AN$1006:AO1006),$AN$1006:$BO$1006,0)), HYPERLINK("#",""), HYPERLINK(CONCATENATE("#Metadata!", ADDRESS(INDEX($AI$2:$AI$1001,MATCH(ROWS($AG$2:AG538),$AG$2:$AG$1001,0),0), INDEX($AN$1004:$BO$1004,1,MATCH(COLUMNS($AN$1006:AO1006),$AN$1006:$BO$1006,0)))),"Fix")))</f>
        <v>0</v>
      </c>
      <c r="D538" s="4">
        <f>IF(OR(INDEX($AH$2:$AH$1001,MATCH(ROWS($AG$2:AG538),$AG$2:$AG$1001,0),1)&gt;=100000,INDEX($AN$1005:$BO$1005,1,MATCH(COLUMNS($AN$1006:AP1006),$AN$1006:$BO$1006,0))&gt;=100000), " ",IF(INDEX($AN$2:$BO$1001,MATCH(ROWS($AG$2:AG538),$AG$2:$AG$1001,0),MATCH(COLUMNS($AN$1006:AP1006),$AN$1006:$BO$1006,0)), HYPERLINK("#",""), HYPERLINK(CONCATENATE("#Metadata!", ADDRESS(INDEX($AI$2:$AI$1001,MATCH(ROWS($AG$2:AG538),$AG$2:$AG$1001,0),0), INDEX($AN$1004:$BO$1004,1,MATCH(COLUMNS($AN$1006:AP1006),$AN$1006:$BO$1006,0)))),"Fix")))</f>
        <v>0</v>
      </c>
      <c r="E538" s="4">
        <f>IF(OR(INDEX($AH$2:$AH$1001,MATCH(ROWS($AG$2:AG538),$AG$2:$AG$1001,0),1)&gt;=100000,INDEX($AN$1005:$BO$1005,1,MATCH(COLUMNS($AN$1006:AQ1006),$AN$1006:$BO$1006,0))&gt;=100000), " ",IF(INDEX($AN$2:$BO$1001,MATCH(ROWS($AG$2:AG538),$AG$2:$AG$1001,0),MATCH(COLUMNS($AN$1006:AQ1006),$AN$1006:$BO$1006,0)), HYPERLINK("#",""), HYPERLINK(CONCATENATE("#Metadata!", ADDRESS(INDEX($AI$2:$AI$1001,MATCH(ROWS($AG$2:AG538),$AG$2:$AG$1001,0),0), INDEX($AN$1004:$BO$1004,1,MATCH(COLUMNS($AN$1006:AQ1006),$AN$1006:$BO$1006,0)))),"Fix")))</f>
        <v>0</v>
      </c>
      <c r="F538" s="4">
        <f>IF(OR(INDEX($AH$2:$AH$1001,MATCH(ROWS($AG$2:AG538),$AG$2:$AG$1001,0),1)&gt;=100000,INDEX($AN$1005:$BO$1005,1,MATCH(COLUMNS($AN$1006:AR1006),$AN$1006:$BO$1006,0))&gt;=100000), " ",IF(INDEX($AN$2:$BO$1001,MATCH(ROWS($AG$2:AG538),$AG$2:$AG$1001,0),MATCH(COLUMNS($AN$1006:AR1006),$AN$1006:$BO$1006,0)), HYPERLINK("#",""), HYPERLINK(CONCATENATE("#Metadata!", ADDRESS(INDEX($AI$2:$AI$1001,MATCH(ROWS($AG$2:AG538),$AG$2:$AG$1001,0),0), INDEX($AN$1004:$BO$1004,1,MATCH(COLUMNS($AN$1006:AR1006),$AN$1006:$BO$1006,0)))),"Fix")))</f>
        <v>0</v>
      </c>
      <c r="G538" s="4">
        <f>IF(OR(INDEX($AH$2:$AH$1001,MATCH(ROWS($AG$2:AG538),$AG$2:$AG$1001,0),1)&gt;=100000,INDEX($AN$1005:$BO$1005,1,MATCH(COLUMNS($AN$1006:AS1006),$AN$1006:$BO$1006,0))&gt;=100000), " ",IF(INDEX($AN$2:$BO$1001,MATCH(ROWS($AG$2:AG538),$AG$2:$AG$1001,0),MATCH(COLUMNS($AN$1006:AS1006),$AN$1006:$BO$1006,0)), HYPERLINK("#",""), HYPERLINK(CONCATENATE("#Metadata!", ADDRESS(INDEX($AI$2:$AI$1001,MATCH(ROWS($AG$2:AG538),$AG$2:$AG$1001,0),0), INDEX($AN$1004:$BO$1004,1,MATCH(COLUMNS($AN$1006:AS1006),$AN$1006:$BO$1006,0)))),"Fix")))</f>
        <v>0</v>
      </c>
      <c r="H538" s="4">
        <f>IF(OR(INDEX($AH$2:$AH$1001,MATCH(ROWS($AG$2:AG538),$AG$2:$AG$1001,0),1)&gt;=100000,INDEX($AN$1005:$BO$1005,1,MATCH(COLUMNS($AN$1006:AT1006),$AN$1006:$BO$1006,0))&gt;=100000), " ",IF(INDEX($AN$2:$BO$1001,MATCH(ROWS($AG$2:AG538),$AG$2:$AG$1001,0),MATCH(COLUMNS($AN$1006:AT1006),$AN$1006:$BO$1006,0)), HYPERLINK("#",""), HYPERLINK(CONCATENATE("#Metadata!", ADDRESS(INDEX($AI$2:$AI$1001,MATCH(ROWS($AG$2:AG538),$AG$2:$AG$1001,0),0), INDEX($AN$1004:$BO$1004,1,MATCH(COLUMNS($AN$1006:AT1006),$AN$1006:$BO$1006,0)))),"Fix")))</f>
        <v>0</v>
      </c>
      <c r="I538" s="4">
        <f>IF(OR(INDEX($AH$2:$AH$1001,MATCH(ROWS($AG$2:AG538),$AG$2:$AG$1001,0),1)&gt;=100000,INDEX($AN$1005:$BO$1005,1,MATCH(COLUMNS($AN$1006:AU1006),$AN$1006:$BO$1006,0))&gt;=100000), " ",IF(INDEX($AN$2:$BO$1001,MATCH(ROWS($AG$2:AG538),$AG$2:$AG$1001,0),MATCH(COLUMNS($AN$1006:AU1006),$AN$1006:$BO$1006,0)), HYPERLINK("#",""), HYPERLINK(CONCATENATE("#Metadata!", ADDRESS(INDEX($AI$2:$AI$1001,MATCH(ROWS($AG$2:AG538),$AG$2:$AG$1001,0),0), INDEX($AN$1004:$BO$1004,1,MATCH(COLUMNS($AN$1006:AU1006),$AN$1006:$BO$1006,0)))),"Fix")))</f>
        <v>0</v>
      </c>
      <c r="J538" s="4">
        <f>IF(OR(INDEX($AH$2:$AH$1001,MATCH(ROWS($AG$2:AG538),$AG$2:$AG$1001,0),1)&gt;=100000,INDEX($AN$1005:$BO$1005,1,MATCH(COLUMNS($AN$1006:AV1006),$AN$1006:$BO$1006,0))&gt;=100000), " ",IF(INDEX($AN$2:$BO$1001,MATCH(ROWS($AG$2:AG538),$AG$2:$AG$1001,0),MATCH(COLUMNS($AN$1006:AV1006),$AN$1006:$BO$1006,0)), HYPERLINK("#",""), HYPERLINK(CONCATENATE("#Metadata!", ADDRESS(INDEX($AI$2:$AI$1001,MATCH(ROWS($AG$2:AG538),$AG$2:$AG$1001,0),0), INDEX($AN$1004:$BO$1004,1,MATCH(COLUMNS($AN$1006:AV1006),$AN$1006:$BO$1006,0)))),"Fix")))</f>
        <v>0</v>
      </c>
      <c r="K538" s="4">
        <f>IF(OR(INDEX($AH$2:$AH$1001,MATCH(ROWS($AG$2:AG538),$AG$2:$AG$1001,0),1)&gt;=100000,INDEX($AN$1005:$BO$1005,1,MATCH(COLUMNS($AN$1006:AW1006),$AN$1006:$BO$1006,0))&gt;=100000), " ",IF(INDEX($AN$2:$BO$1001,MATCH(ROWS($AG$2:AG538),$AG$2:$AG$1001,0),MATCH(COLUMNS($AN$1006:AW1006),$AN$1006:$BO$1006,0)), HYPERLINK("#",""), HYPERLINK(CONCATENATE("#Metadata!", ADDRESS(INDEX($AI$2:$AI$1001,MATCH(ROWS($AG$2:AG538),$AG$2:$AG$1001,0),0), INDEX($AN$1004:$BO$1004,1,MATCH(COLUMNS($AN$1006:AW1006),$AN$1006:$BO$1006,0)))),"Fix")))</f>
        <v>0</v>
      </c>
      <c r="L538" s="4">
        <f>IF(OR(INDEX($AH$2:$AH$1001,MATCH(ROWS($AG$2:AG538),$AG$2:$AG$1001,0),1)&gt;=100000,INDEX($AN$1005:$BO$1005,1,MATCH(COLUMNS($AN$1006:AX1006),$AN$1006:$BO$1006,0))&gt;=100000), " ",IF(INDEX($AN$2:$BO$1001,MATCH(ROWS($AG$2:AG538),$AG$2:$AG$1001,0),MATCH(COLUMNS($AN$1006:AX1006),$AN$1006:$BO$1006,0)), HYPERLINK("#",""), HYPERLINK(CONCATENATE("#Metadata!", ADDRESS(INDEX($AI$2:$AI$1001,MATCH(ROWS($AG$2:AG538),$AG$2:$AG$1001,0),0), INDEX($AN$1004:$BO$1004,1,MATCH(COLUMNS($AN$1006:AX1006),$AN$1006:$BO$1006,0)))),"Fix")))</f>
        <v>0</v>
      </c>
      <c r="M538" s="4">
        <f>IF(OR(INDEX($AH$2:$AH$1001,MATCH(ROWS($AG$2:AG538),$AG$2:$AG$1001,0),1)&gt;=100000,INDEX($AN$1005:$BO$1005,1,MATCH(COLUMNS($AN$1006:AY1006),$AN$1006:$BO$1006,0))&gt;=100000), " ",IF(INDEX($AN$2:$BO$1001,MATCH(ROWS($AG$2:AG538),$AG$2:$AG$1001,0),MATCH(COLUMNS($AN$1006:AY1006),$AN$1006:$BO$1006,0)), HYPERLINK("#",""), HYPERLINK(CONCATENATE("#Metadata!", ADDRESS(INDEX($AI$2:$AI$1001,MATCH(ROWS($AG$2:AG538),$AG$2:$AG$1001,0),0), INDEX($AN$1004:$BO$1004,1,MATCH(COLUMNS($AN$1006:AY1006),$AN$1006:$BO$1006,0)))),"Fix")))</f>
        <v>0</v>
      </c>
      <c r="N538" s="4">
        <f>IF(OR(INDEX($AH$2:$AH$1001,MATCH(ROWS($AG$2:AG538),$AG$2:$AG$1001,0),1)&gt;=100000,INDEX($AN$1005:$BO$1005,1,MATCH(COLUMNS($AN$1006:AZ1006),$AN$1006:$BO$1006,0))&gt;=100000), " ",IF(INDEX($AN$2:$BO$1001,MATCH(ROWS($AG$2:AG538),$AG$2:$AG$1001,0),MATCH(COLUMNS($AN$1006:AZ1006),$AN$1006:$BO$1006,0)), HYPERLINK("#",""), HYPERLINK(CONCATENATE("#Metadata!", ADDRESS(INDEX($AI$2:$AI$1001,MATCH(ROWS($AG$2:AG538),$AG$2:$AG$1001,0),0), INDEX($AN$1004:$BO$1004,1,MATCH(COLUMNS($AN$1006:AZ1006),$AN$1006:$BO$1006,0)))),"Fix")))</f>
        <v>0</v>
      </c>
      <c r="O538" s="4">
        <f>IF(OR(INDEX($AH$2:$AH$1001,MATCH(ROWS($AG$2:AG538),$AG$2:$AG$1001,0),1)&gt;=100000,INDEX($AN$1005:$BO$1005,1,MATCH(COLUMNS($AN$1006:BA1006),$AN$1006:$BO$1006,0))&gt;=100000), " ",IF(INDEX($AN$2:$BO$1001,MATCH(ROWS($AG$2:AG538),$AG$2:$AG$1001,0),MATCH(COLUMNS($AN$1006:BA1006),$AN$1006:$BO$1006,0)), HYPERLINK("#",""), HYPERLINK(CONCATENATE("#Metadata!", ADDRESS(INDEX($AI$2:$AI$1001,MATCH(ROWS($AG$2:AG538),$AG$2:$AG$1001,0),0), INDEX($AN$1004:$BO$1004,1,MATCH(COLUMNS($AN$1006:BA1006),$AN$1006:$BO$1006,0)))),"Fix")))</f>
        <v>0</v>
      </c>
      <c r="P538" s="4">
        <f>IF(OR(INDEX($AH$2:$AH$1001,MATCH(ROWS($AG$2:AG538),$AG$2:$AG$1001,0),1)&gt;=100000,INDEX($AN$1005:$BO$1005,1,MATCH(COLUMNS($AN$1006:BB1006),$AN$1006:$BO$1006,0))&gt;=100000), " ",IF(INDEX($AN$2:$BO$1001,MATCH(ROWS($AG$2:AG538),$AG$2:$AG$1001,0),MATCH(COLUMNS($AN$1006:BB1006),$AN$1006:$BO$1006,0)), HYPERLINK("#",""), HYPERLINK(CONCATENATE("#Metadata!", ADDRESS(INDEX($AI$2:$AI$1001,MATCH(ROWS($AG$2:AG538),$AG$2:$AG$1001,0),0), INDEX($AN$1004:$BO$1004,1,MATCH(COLUMNS($AN$1006:BB1006),$AN$1006:$BO$1006,0)))),"Fix")))</f>
        <v>0</v>
      </c>
      <c r="Q538" s="4">
        <f>IF(OR(INDEX($AH$2:$AH$1001,MATCH(ROWS($AG$2:AG538),$AG$2:$AG$1001,0),1)&gt;=100000,INDEX($AN$1005:$BO$1005,1,MATCH(COLUMNS($AN$1006:BC1006),$AN$1006:$BO$1006,0))&gt;=100000), " ",IF(INDEX($AN$2:$BO$1001,MATCH(ROWS($AG$2:AG538),$AG$2:$AG$1001,0),MATCH(COLUMNS($AN$1006:BC1006),$AN$1006:$BO$1006,0)), HYPERLINK("#",""), HYPERLINK(CONCATENATE("#Metadata!", ADDRESS(INDEX($AI$2:$AI$1001,MATCH(ROWS($AG$2:AG538),$AG$2:$AG$1001,0),0), INDEX($AN$1004:$BO$1004,1,MATCH(COLUMNS($AN$1006:BC1006),$AN$1006:$BO$1006,0)))),"Fix")))</f>
        <v>0</v>
      </c>
      <c r="R538" s="4">
        <f>IF(OR(INDEX($AH$2:$AH$1001,MATCH(ROWS($AG$2:AG538),$AG$2:$AG$1001,0),1)&gt;=100000,INDEX($AN$1005:$BO$1005,1,MATCH(COLUMNS($AN$1006:BD1006),$AN$1006:$BO$1006,0))&gt;=100000), " ",IF(INDEX($AN$2:$BO$1001,MATCH(ROWS($AG$2:AG538),$AG$2:$AG$1001,0),MATCH(COLUMNS($AN$1006:BD1006),$AN$1006:$BO$1006,0)), HYPERLINK("#",""), HYPERLINK(CONCATENATE("#Metadata!", ADDRESS(INDEX($AI$2:$AI$1001,MATCH(ROWS($AG$2:AG538),$AG$2:$AG$1001,0),0), INDEX($AN$1004:$BO$1004,1,MATCH(COLUMNS($AN$1006:BD1006),$AN$1006:$BO$1006,0)))),"Fix")))</f>
        <v>0</v>
      </c>
      <c r="S538" s="4">
        <f>IF(OR(INDEX($AH$2:$AH$1001,MATCH(ROWS($AG$2:AG538),$AG$2:$AG$1001,0),1)&gt;=100000,INDEX($AN$1005:$BO$1005,1,MATCH(COLUMNS($AN$1006:BE1006),$AN$1006:$BO$1006,0))&gt;=100000), " ",IF(INDEX($AN$2:$BO$1001,MATCH(ROWS($AG$2:AG538),$AG$2:$AG$1001,0),MATCH(COLUMNS($AN$1006:BE1006),$AN$1006:$BO$1006,0)), HYPERLINK("#",""), HYPERLINK(CONCATENATE("#Metadata!", ADDRESS(INDEX($AI$2:$AI$1001,MATCH(ROWS($AG$2:AG538),$AG$2:$AG$1001,0),0), INDEX($AN$1004:$BO$1004,1,MATCH(COLUMNS($AN$1006:BE1006),$AN$1006:$BO$1006,0)))),"Fix")))</f>
        <v>0</v>
      </c>
      <c r="T538" s="4">
        <f>IF(OR(INDEX($AH$2:$AH$1001,MATCH(ROWS($AG$2:AG538),$AG$2:$AG$1001,0),1)&gt;=100000,INDEX($AN$1005:$BO$1005,1,MATCH(COLUMNS($AN$1006:BF1006),$AN$1006:$BO$1006,0))&gt;=100000), " ",IF(INDEX($AN$2:$BO$1001,MATCH(ROWS($AG$2:AG538),$AG$2:$AG$1001,0),MATCH(COLUMNS($AN$1006:BF1006),$AN$1006:$BO$1006,0)), HYPERLINK("#",""), HYPERLINK(CONCATENATE("#Metadata!", ADDRESS(INDEX($AI$2:$AI$1001,MATCH(ROWS($AG$2:AG538),$AG$2:$AG$1001,0),0), INDEX($AN$1004:$BO$1004,1,MATCH(COLUMNS($AN$1006:BF1006),$AN$1006:$BO$1006,0)))),"Fix")))</f>
        <v>0</v>
      </c>
      <c r="U538" s="4">
        <f>IF(OR(INDEX($AH$2:$AH$1001,MATCH(ROWS($AG$2:AG538),$AG$2:$AG$1001,0),1)&gt;=100000,INDEX($AN$1005:$BO$1005,1,MATCH(COLUMNS($AN$1006:BG1006),$AN$1006:$BO$1006,0))&gt;=100000), " ",IF(INDEX($AN$2:$BO$1001,MATCH(ROWS($AG$2:AG538),$AG$2:$AG$1001,0),MATCH(COLUMNS($AN$1006:BG1006),$AN$1006:$BO$1006,0)), HYPERLINK("#",""), HYPERLINK(CONCATENATE("#Metadata!", ADDRESS(INDEX($AI$2:$AI$1001,MATCH(ROWS($AG$2:AG538),$AG$2:$AG$1001,0),0), INDEX($AN$1004:$BO$1004,1,MATCH(COLUMNS($AN$1006:BG1006),$AN$1006:$BO$1006,0)))),"Fix")))</f>
        <v>0</v>
      </c>
      <c r="V538" s="4">
        <f>IF(OR(INDEX($AH$2:$AH$1001,MATCH(ROWS($AG$2:AG538),$AG$2:$AG$1001,0),1)&gt;=100000,INDEX($AN$1005:$BO$1005,1,MATCH(COLUMNS($AN$1006:BH1006),$AN$1006:$BO$1006,0))&gt;=100000), " ",IF(INDEX($AN$2:$BO$1001,MATCH(ROWS($AG$2:AG538),$AG$2:$AG$1001,0),MATCH(COLUMNS($AN$1006:BH1006),$AN$1006:$BO$1006,0)), HYPERLINK("#",""), HYPERLINK(CONCATENATE("#Metadata!", ADDRESS(INDEX($AI$2:$AI$1001,MATCH(ROWS($AG$2:AG538),$AG$2:$AG$1001,0),0), INDEX($AN$1004:$BO$1004,1,MATCH(COLUMNS($AN$1006:BH1006),$AN$1006:$BO$1006,0)))),"Fix")))</f>
        <v>0</v>
      </c>
      <c r="W538" s="4">
        <f>IF(OR(INDEX($AH$2:$AH$1001,MATCH(ROWS($AG$2:AG538),$AG$2:$AG$1001,0),1)&gt;=100000,INDEX($AN$1005:$BO$1005,1,MATCH(COLUMNS($AN$1006:BI1006),$AN$1006:$BO$1006,0))&gt;=100000), " ",IF(INDEX($AN$2:$BO$1001,MATCH(ROWS($AG$2:AG538),$AG$2:$AG$1001,0),MATCH(COLUMNS($AN$1006:BI1006),$AN$1006:$BO$1006,0)), HYPERLINK("#",""), HYPERLINK(CONCATENATE("#Metadata!", ADDRESS(INDEX($AI$2:$AI$1001,MATCH(ROWS($AG$2:AG538),$AG$2:$AG$1001,0),0), INDEX($AN$1004:$BO$1004,1,MATCH(COLUMNS($AN$1006:BI1006),$AN$1006:$BO$1006,0)))),"Fix")))</f>
        <v>0</v>
      </c>
      <c r="X538" s="4">
        <f>IF(OR(INDEX($AH$2:$AH$1001,MATCH(ROWS($AG$2:AG538),$AG$2:$AG$1001,0),1)&gt;=100000,INDEX($AN$1005:$BO$1005,1,MATCH(COLUMNS($AN$1006:BJ1006),$AN$1006:$BO$1006,0))&gt;=100000), " ",IF(INDEX($AN$2:$BO$1001,MATCH(ROWS($AG$2:AG538),$AG$2:$AG$1001,0),MATCH(COLUMNS($AN$1006:BJ1006),$AN$1006:$BO$1006,0)), HYPERLINK("#",""), HYPERLINK(CONCATENATE("#Metadata!", ADDRESS(INDEX($AI$2:$AI$1001,MATCH(ROWS($AG$2:AG538),$AG$2:$AG$1001,0),0), INDEX($AN$1004:$BO$1004,1,MATCH(COLUMNS($AN$1006:BJ1006),$AN$1006:$BO$1006,0)))),"Fix")))</f>
        <v>0</v>
      </c>
      <c r="Y538" s="4">
        <f>IF(OR(INDEX($AH$2:$AH$1001,MATCH(ROWS($AG$2:AG538),$AG$2:$AG$1001,0),1)&gt;=100000,INDEX($AN$1005:$BO$1005,1,MATCH(COLUMNS($AN$1006:BK1006),$AN$1006:$BO$1006,0))&gt;=100000), " ",IF(INDEX($AN$2:$BO$1001,MATCH(ROWS($AG$2:AG538),$AG$2:$AG$1001,0),MATCH(COLUMNS($AN$1006:BK1006),$AN$1006:$BO$1006,0)), HYPERLINK("#",""), HYPERLINK(CONCATENATE("#Metadata!", ADDRESS(INDEX($AI$2:$AI$1001,MATCH(ROWS($AG$2:AG538),$AG$2:$AG$1001,0),0), INDEX($AN$1004:$BO$1004,1,MATCH(COLUMNS($AN$1006:BK1006),$AN$1006:$BO$1006,0)))),"Fix")))</f>
        <v>0</v>
      </c>
      <c r="Z538" s="4">
        <f>IF(OR(INDEX($AH$2:$AH$1001,MATCH(ROWS($AG$2:AG538),$AG$2:$AG$1001,0),1)&gt;=100000,INDEX($AN$1005:$BO$1005,1,MATCH(COLUMNS($AN$1006:BL1006),$AN$1006:$BO$1006,0))&gt;=100000), " ",IF(INDEX($AN$2:$BO$1001,MATCH(ROWS($AG$2:AG538),$AG$2:$AG$1001,0),MATCH(COLUMNS($AN$1006:BL1006),$AN$1006:$BO$1006,0)), HYPERLINK("#",""), HYPERLINK(CONCATENATE("#Metadata!", ADDRESS(INDEX($AI$2:$AI$1001,MATCH(ROWS($AG$2:AG538),$AG$2:$AG$1001,0),0), INDEX($AN$1004:$BO$1004,1,MATCH(COLUMNS($AN$1006:BL1006),$AN$1006:$BO$1006,0)))),"Fix")))</f>
        <v>0</v>
      </c>
      <c r="AA538" s="4">
        <f>IF(OR(INDEX($AH$2:$AH$1001,MATCH(ROWS($AG$2:AG538),$AG$2:$AG$1001,0),1)&gt;=100000,INDEX($AN$1005:$BO$1005,1,MATCH(COLUMNS($AN$1006:BM1006),$AN$1006:$BO$1006,0))&gt;=100000), " ",IF(INDEX($AN$2:$BO$1001,MATCH(ROWS($AG$2:AG538),$AG$2:$AG$1001,0),MATCH(COLUMNS($AN$1006:BM1006),$AN$1006:$BO$1006,0)), HYPERLINK("#",""), HYPERLINK(CONCATENATE("#Metadata!", ADDRESS(INDEX($AI$2:$AI$1001,MATCH(ROWS($AG$2:AG538),$AG$2:$AG$1001,0),0), INDEX($AN$1004:$BO$1004,1,MATCH(COLUMNS($AN$1006:BM1006),$AN$1006:$BO$1006,0)))),"Fix")))</f>
        <v>0</v>
      </c>
      <c r="AB538" s="4">
        <f>IF(OR(INDEX($AH$2:$AH$1001,MATCH(ROWS($AG$2:AG538),$AG$2:$AG$1001,0),1)&gt;=100000,INDEX($AN$1005:$BO$1005,1,MATCH(COLUMNS($AN$1006:BN1006),$AN$1006:$BO$1006,0))&gt;=100000), " ",IF(INDEX($AN$2:$BO$1001,MATCH(ROWS($AG$2:AG538),$AG$2:$AG$1001,0),MATCH(COLUMNS($AN$1006:BN1006),$AN$1006:$BO$1006,0)), HYPERLINK("#",""), HYPERLINK(CONCATENATE("#Metadata!", ADDRESS(INDEX($AI$2:$AI$1001,MATCH(ROWS($AG$2:AG538),$AG$2:$AG$1001,0),0), INDEX($AN$1004:$BO$1004,1,MATCH(COLUMNS($AN$1006:BN1006),$AN$1006:$BO$1006,0)))),"Fix")))</f>
        <v>0</v>
      </c>
      <c r="AC538" s="4">
        <f>IF(OR(INDEX($AH$2:$AH$1001,MATCH(ROWS($AG$2:AG538),$AG$2:$AG$1001,0),1)&gt;=100000,INDEX($AN$1005:$BO$1005,1,MATCH(COLUMNS($AN$1006:BO1006),$AN$1006:$BO$1006,0))&gt;=100000), " ",IF(INDEX($AN$2:$BO$1001,MATCH(ROWS($AG$2:AG538),$AG$2:$AG$1001,0),MATCH(COLUMNS($AN$1006:BO1006),$AN$1006:$BO$1006,0)), HYPERLINK("#",""), HYPERLINK(CONCATENATE("#Metadata!", ADDRESS(INDEX($AI$2:$AI$1001,MATCH(ROWS($AG$2:AG538),$AG$2:$AG$1001,0),0), INDEX($AN$1004:$BO$1004,1,MATCH(COLUMNS($AN$1006:BO1006),$AN$1006:$BO$1006,0)))),"Fix")))</f>
        <v>0</v>
      </c>
      <c r="AG538">
        <v>0</v>
      </c>
      <c r="AH538">
        <v>0</v>
      </c>
      <c r="AI538">
        <v>0</v>
      </c>
      <c r="AJ538">
        <f>IF(AK538,TRUE,AND(AN538:BO538))</f>
        <v>0</v>
      </c>
      <c r="AK538">
        <f>COUNTBLANK(Metadata!B538:AC538)=COLUMNS(Metadata!B538:AC538)</f>
        <v>0</v>
      </c>
      <c r="AL538">
        <v>0</v>
      </c>
      <c r="AN538">
        <f>AND(IF(Metadata!B538="",FALSE,TRUE),COUNTIF(Metadata!B:B, Metadata!B538) = 1,NOT(ISERROR(SUMPRODUCT(SEARCH(MID(Metadata!B538,ROW(INDIRECT("1:"&amp;LEN(Metadata!B538))), 1),"0123456789abcdefghijklmnopqrstuvwxyzABCDEFGHIJKLMNOPQRSTUVWXYZ.")))))</f>
        <v>0</v>
      </c>
      <c r="AO538">
        <f>IF(Metadata!C538="",FALSE,TRUE)</f>
        <v>0</v>
      </c>
      <c r="AP538">
        <f>IF(Metadata!D538="",FALSE,TRUE)</f>
        <v>0</v>
      </c>
      <c r="AQ538">
        <f>OR(AND(IF(Metadata!E538="",FALSE,TRUE),OR(exact(Metadata!E538,"not collected"),exact(Metadata!E538,"not provided"),exact(Metadata!E538,"restricted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R538">
        <f>IF(Metadata!F538="",FALSE,TRUE)</f>
        <v>0</v>
      </c>
      <c r="AS538">
        <f>OR(AND(IF(Metadata!G538="",FALSE,TRUE),OR(exact(Metadata!G538,"not collected"),exact(Metadata!G538,"not provided"))),AND(IF(Metadata!G538="",FALSE,TRUE),OR(exact(Metadata!G538,"TRUE"),exact(Metadata!G538,"FALSE"))))</f>
        <v>0</v>
      </c>
      <c r="AT538">
        <f>OR(AND(IF(Metadata!H538="",FALSE,TRUE),OR(exact(Metadata!H538,"not collected"),exact(Metadata!H538,"not provided"),exact(Metadata!H538,"restricted access"))),AND(IF(Metadata!H538="",FALSE,ISNUMBER(VALUE(Metadata!H538))),Metadata!H538&gt;=-413.0))</f>
        <v>0</v>
      </c>
      <c r="AU538">
        <f>AND(IF(Metadata!I538="",FALSE,TRUE),exact(Metadata!I538,"meters"))</f>
        <v>0</v>
      </c>
      <c r="AV538">
        <f>AND(IF(Metadata!J538="",FALSE,TRUE),OR(exact(Metadata!J538,"Host-associated"),exact(Metadata!J538,"Free-living")))</f>
        <v>0</v>
      </c>
      <c r="AW538">
        <f>AND(IF(Metadata!K538="",FALSE,TRUE),OR(exact(Metadata!K538,"Animal"),exact(Metadata!K538,"Fungus"),exact(Metadata!K538,"Plant"),exact(Metadata!K538,"Saline"),exact(Metadata!K538,"Non-saline")))</f>
        <v>0</v>
      </c>
      <c r="AX538">
        <f>AND(IF(Metadata!L538="",FALSE,TRUE),OR(exact(Metadata!L538,"Plant secretion"),exact(Metadata!L538,"Plant rhizosphere"),exact(Metadata!L538,"Plant surface"),exact(Metadata!L538,"Plant corpus"),exact(Metadata!L538,"Fungus surface"),exact(Metadata!L538,"Fungus corpus"),exact(Metadata!L538,"Animal surface"),exact(Metadata!L538,"Animal proximal gut"),exact(Metadata!L538,"Animal corpus"),exact(Metadata!L538,"Animal distal gut"),exact(Metadata!L538,"Animal secretion"),exact(Metadata!L538,"Sub-surface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Y538">
        <f>IF(Metadata!M538="",FALSE,TRUE)</f>
        <v>0</v>
      </c>
      <c r="AZ538">
        <f>IF(Metadata!N538="",FALSE,TRUE)</f>
        <v>0</v>
      </c>
      <c r="BA538">
        <f>IF(Metadata!O538="",FALSE,TRUE)</f>
        <v>0</v>
      </c>
      <c r="BB538">
        <f>OR(AND(IF(Metadata!P538="",FALSE,TRUE),OR(exact(Metadata!P538,"not collected"),exact(Metadata!P538,"not provided"),exact(Metadata!P538,"restricted access"))),AND(IF(Metadata!P538="",FALSE,TRUE),OR(exact(Metadata!P538,"air"),exact(Metadata!P538,"built environment"),exact(Metadata!P538,"host-associated"),exact(Metadata!P538,"human-associated"),exact(Metadata!P538,"human-skin"),exact(Metadata!P538,"human-oral"),exact(Metadata!P538,"human-gut"),exact(Metadata!P538,"human-vaginal"),exact(Metadata!P538,"microbial mat/biofilm"),exact(Metadata!P538,"misc environment"),exact(Metadata!P538,"plant-associated"),exact(Metadata!P538,"sediment"),exact(Metadata!P538,"soil"),exact(Metadata!P538,"wastewater/sludge"),exact(Metadata!P538,"water"))))</f>
        <v>0</v>
      </c>
      <c r="BC538">
        <f>IF(Metadata!Q538="",FALSE,TRUE)</f>
        <v>0</v>
      </c>
      <c r="BD538">
        <f>IF(Metadata!R538="",FALSE,TRUE)</f>
        <v>0</v>
      </c>
      <c r="BE538">
        <f>OR(AND(IF(Metadata!S538="",FALSE,TRUE),OR(exact(Metadata!S538,"not collected"),exact(Metadata!S538,"not provided"),exact(Metadata!S538,"restricted access"))),AND(IF(Metadata!S538="",FALSE,ISNUMBER(VALUE(Metadata!S538))),Metadata!S538&gt;=-90.00,Metadata!S538&lt;=90.00))</f>
        <v>0</v>
      </c>
      <c r="BF538">
        <f>AND(IF(Metadata!T538="",FALSE,TRUE),exact(Metadata!T538,"Decimal degrees"))</f>
        <v>0</v>
      </c>
      <c r="BG538">
        <f>OR(AND(IF(Metadata!U538="",FALSE,TRUE),OR(exact(Metadata!U538,"not collected"),exact(Metadata!U538,"not provided"),exact(Metadata!U538,"restricted access"))),AND(IF(Metadata!U538="",FALSE,ISNUMBER(VALUE(Metadata!U538))),Metadata!U538&gt;=-180.00,Metadata!U538&lt;=180.00))</f>
        <v>0</v>
      </c>
      <c r="BH538">
        <f>AND(IF(Metadata!V538="",FALSE,TRUE),exact(Metadata!V538,"Decimal degrees"))</f>
        <v>0</v>
      </c>
      <c r="BI538">
        <f>IF(Metadata!W538="",FALSE,TRUE)</f>
        <v>0</v>
      </c>
      <c r="BJ538">
        <f>OR(AND(IF(Metadata!X538="",FALSE,TRUE),OR(exact(Metadata!X538,"not collected"),exact(Metadata!X538,"not provided"),exact(Metadata!X538,"restricted access"))),AND(IF(Metadata!X538="",FALSE,TRUE),OR(exact(Metadata!X538,"TRUE"),exact(Metadata!X538,"FALSE"))))</f>
        <v>0</v>
      </c>
      <c r="BK538">
        <f>AND(IF(Metadata!Y538="",FALSE,TRUE),exact(Metadata!Y538,"other"))</f>
        <v>0</v>
      </c>
      <c r="BL538">
        <f>IF(Metadata!Z538="",FALSE,TRUE)</f>
        <v>0</v>
      </c>
      <c r="BM538">
        <f>OR(AND(IF(Metadata!AA538="",FALSE,TRUE),OR(exact(Metadata!AA538,"not collected"),exact(Metadata!AA538,"not provided"))),AND(IF(Metadata!AA538="",FALSE,IF(ISERROR(INT(Metadata!AA538)),FALSE,INT(Metadata!AA538)=Metadata!AA538)),Metadata!AA538&gt;0))</f>
        <v>0</v>
      </c>
      <c r="BN538">
        <f>AND(IF(Metadata!AB538="",FALSE,TRUE),exact(Metadata!AB538,"Not applicable"))</f>
        <v>0</v>
      </c>
      <c r="BO538">
        <f>IF(Metadata!AC538="",FALSE,TRUE)</f>
        <v>0</v>
      </c>
    </row>
    <row r="539" spans="1:67">
      <c r="A539" s="5">
        <f>IF(B539=" "," ",HYPERLINK(CONCATENATE("#metadata!",ADDRESS(INDEX($AI$2:$AI$1001,MATCH(ROWS($AG$2:AG539),$AG$2:$AG$1001,0),0),1)),INDEX($AL$2:$AL$1001,MATCH(ROWS($AG$2:AG539),$AG$2:$AG$1001,0),0)))</f>
        <v>0</v>
      </c>
      <c r="B539" s="4">
        <f>IF(OR(INDEX($AH$2:$AH$1001,MATCH(ROWS($AG$2:AG539),$AG$2:$AG$1001,0),1)&gt;=100000,INDEX($AN$1005:$BO$1005,1,MATCH(COLUMNS($AN$1006:AN1006),$AN$1006:$BO$1006,0))&gt;=100000), " ",IF(INDEX($AN$2:$BO$1001,MATCH(ROWS($AG$2:AG539),$AG$2:$AG$1001,0),MATCH(COLUMNS($AN$1006:AN1006),$AN$1006:$BO$1006,0)), HYPERLINK("#",""), HYPERLINK(CONCATENATE("#Metadata!", ADDRESS(INDEX($AI$2:$AI$1001,MATCH(ROWS($AG$2:AG539),$AG$2:$AG$1001,0),0), INDEX($AN$1004:$BO$1004,1,MATCH(COLUMNS($AN$1006:AN1006),$AN$1006:$BO$1006,0)))),"Fix")))</f>
        <v>0</v>
      </c>
      <c r="C539" s="4">
        <f>IF(OR(INDEX($AH$2:$AH$1001,MATCH(ROWS($AG$2:AG539),$AG$2:$AG$1001,0),1)&gt;=100000,INDEX($AN$1005:$BO$1005,1,MATCH(COLUMNS($AN$1006:AO1006),$AN$1006:$BO$1006,0))&gt;=100000), " ",IF(INDEX($AN$2:$BO$1001,MATCH(ROWS($AG$2:AG539),$AG$2:$AG$1001,0),MATCH(COLUMNS($AN$1006:AO1006),$AN$1006:$BO$1006,0)), HYPERLINK("#",""), HYPERLINK(CONCATENATE("#Metadata!", ADDRESS(INDEX($AI$2:$AI$1001,MATCH(ROWS($AG$2:AG539),$AG$2:$AG$1001,0),0), INDEX($AN$1004:$BO$1004,1,MATCH(COLUMNS($AN$1006:AO1006),$AN$1006:$BO$1006,0)))),"Fix")))</f>
        <v>0</v>
      </c>
      <c r="D539" s="4">
        <f>IF(OR(INDEX($AH$2:$AH$1001,MATCH(ROWS($AG$2:AG539),$AG$2:$AG$1001,0),1)&gt;=100000,INDEX($AN$1005:$BO$1005,1,MATCH(COLUMNS($AN$1006:AP1006),$AN$1006:$BO$1006,0))&gt;=100000), " ",IF(INDEX($AN$2:$BO$1001,MATCH(ROWS($AG$2:AG539),$AG$2:$AG$1001,0),MATCH(COLUMNS($AN$1006:AP1006),$AN$1006:$BO$1006,0)), HYPERLINK("#",""), HYPERLINK(CONCATENATE("#Metadata!", ADDRESS(INDEX($AI$2:$AI$1001,MATCH(ROWS($AG$2:AG539),$AG$2:$AG$1001,0),0), INDEX($AN$1004:$BO$1004,1,MATCH(COLUMNS($AN$1006:AP1006),$AN$1006:$BO$1006,0)))),"Fix")))</f>
        <v>0</v>
      </c>
      <c r="E539" s="4">
        <f>IF(OR(INDEX($AH$2:$AH$1001,MATCH(ROWS($AG$2:AG539),$AG$2:$AG$1001,0),1)&gt;=100000,INDEX($AN$1005:$BO$1005,1,MATCH(COLUMNS($AN$1006:AQ1006),$AN$1006:$BO$1006,0))&gt;=100000), " ",IF(INDEX($AN$2:$BO$1001,MATCH(ROWS($AG$2:AG539),$AG$2:$AG$1001,0),MATCH(COLUMNS($AN$1006:AQ1006),$AN$1006:$BO$1006,0)), HYPERLINK("#",""), HYPERLINK(CONCATENATE("#Metadata!", ADDRESS(INDEX($AI$2:$AI$1001,MATCH(ROWS($AG$2:AG539),$AG$2:$AG$1001,0),0), INDEX($AN$1004:$BO$1004,1,MATCH(COLUMNS($AN$1006:AQ1006),$AN$1006:$BO$1006,0)))),"Fix")))</f>
        <v>0</v>
      </c>
      <c r="F539" s="4">
        <f>IF(OR(INDEX($AH$2:$AH$1001,MATCH(ROWS($AG$2:AG539),$AG$2:$AG$1001,0),1)&gt;=100000,INDEX($AN$1005:$BO$1005,1,MATCH(COLUMNS($AN$1006:AR1006),$AN$1006:$BO$1006,0))&gt;=100000), " ",IF(INDEX($AN$2:$BO$1001,MATCH(ROWS($AG$2:AG539),$AG$2:$AG$1001,0),MATCH(COLUMNS($AN$1006:AR1006),$AN$1006:$BO$1006,0)), HYPERLINK("#",""), HYPERLINK(CONCATENATE("#Metadata!", ADDRESS(INDEX($AI$2:$AI$1001,MATCH(ROWS($AG$2:AG539),$AG$2:$AG$1001,0),0), INDEX($AN$1004:$BO$1004,1,MATCH(COLUMNS($AN$1006:AR1006),$AN$1006:$BO$1006,0)))),"Fix")))</f>
        <v>0</v>
      </c>
      <c r="G539" s="4">
        <f>IF(OR(INDEX($AH$2:$AH$1001,MATCH(ROWS($AG$2:AG539),$AG$2:$AG$1001,0),1)&gt;=100000,INDEX($AN$1005:$BO$1005,1,MATCH(COLUMNS($AN$1006:AS1006),$AN$1006:$BO$1006,0))&gt;=100000), " ",IF(INDEX($AN$2:$BO$1001,MATCH(ROWS($AG$2:AG539),$AG$2:$AG$1001,0),MATCH(COLUMNS($AN$1006:AS1006),$AN$1006:$BO$1006,0)), HYPERLINK("#",""), HYPERLINK(CONCATENATE("#Metadata!", ADDRESS(INDEX($AI$2:$AI$1001,MATCH(ROWS($AG$2:AG539),$AG$2:$AG$1001,0),0), INDEX($AN$1004:$BO$1004,1,MATCH(COLUMNS($AN$1006:AS1006),$AN$1006:$BO$1006,0)))),"Fix")))</f>
        <v>0</v>
      </c>
      <c r="H539" s="4">
        <f>IF(OR(INDEX($AH$2:$AH$1001,MATCH(ROWS($AG$2:AG539),$AG$2:$AG$1001,0),1)&gt;=100000,INDEX($AN$1005:$BO$1005,1,MATCH(COLUMNS($AN$1006:AT1006),$AN$1006:$BO$1006,0))&gt;=100000), " ",IF(INDEX($AN$2:$BO$1001,MATCH(ROWS($AG$2:AG539),$AG$2:$AG$1001,0),MATCH(COLUMNS($AN$1006:AT1006),$AN$1006:$BO$1006,0)), HYPERLINK("#",""), HYPERLINK(CONCATENATE("#Metadata!", ADDRESS(INDEX($AI$2:$AI$1001,MATCH(ROWS($AG$2:AG539),$AG$2:$AG$1001,0),0), INDEX($AN$1004:$BO$1004,1,MATCH(COLUMNS($AN$1006:AT1006),$AN$1006:$BO$1006,0)))),"Fix")))</f>
        <v>0</v>
      </c>
      <c r="I539" s="4">
        <f>IF(OR(INDEX($AH$2:$AH$1001,MATCH(ROWS($AG$2:AG539),$AG$2:$AG$1001,0),1)&gt;=100000,INDEX($AN$1005:$BO$1005,1,MATCH(COLUMNS($AN$1006:AU1006),$AN$1006:$BO$1006,0))&gt;=100000), " ",IF(INDEX($AN$2:$BO$1001,MATCH(ROWS($AG$2:AG539),$AG$2:$AG$1001,0),MATCH(COLUMNS($AN$1006:AU1006),$AN$1006:$BO$1006,0)), HYPERLINK("#",""), HYPERLINK(CONCATENATE("#Metadata!", ADDRESS(INDEX($AI$2:$AI$1001,MATCH(ROWS($AG$2:AG539),$AG$2:$AG$1001,0),0), INDEX($AN$1004:$BO$1004,1,MATCH(COLUMNS($AN$1006:AU1006),$AN$1006:$BO$1006,0)))),"Fix")))</f>
        <v>0</v>
      </c>
      <c r="J539" s="4">
        <f>IF(OR(INDEX($AH$2:$AH$1001,MATCH(ROWS($AG$2:AG539),$AG$2:$AG$1001,0),1)&gt;=100000,INDEX($AN$1005:$BO$1005,1,MATCH(COLUMNS($AN$1006:AV1006),$AN$1006:$BO$1006,0))&gt;=100000), " ",IF(INDEX($AN$2:$BO$1001,MATCH(ROWS($AG$2:AG539),$AG$2:$AG$1001,0),MATCH(COLUMNS($AN$1006:AV1006),$AN$1006:$BO$1006,0)), HYPERLINK("#",""), HYPERLINK(CONCATENATE("#Metadata!", ADDRESS(INDEX($AI$2:$AI$1001,MATCH(ROWS($AG$2:AG539),$AG$2:$AG$1001,0),0), INDEX($AN$1004:$BO$1004,1,MATCH(COLUMNS($AN$1006:AV1006),$AN$1006:$BO$1006,0)))),"Fix")))</f>
        <v>0</v>
      </c>
      <c r="K539" s="4">
        <f>IF(OR(INDEX($AH$2:$AH$1001,MATCH(ROWS($AG$2:AG539),$AG$2:$AG$1001,0),1)&gt;=100000,INDEX($AN$1005:$BO$1005,1,MATCH(COLUMNS($AN$1006:AW1006),$AN$1006:$BO$1006,0))&gt;=100000), " ",IF(INDEX($AN$2:$BO$1001,MATCH(ROWS($AG$2:AG539),$AG$2:$AG$1001,0),MATCH(COLUMNS($AN$1006:AW1006),$AN$1006:$BO$1006,0)), HYPERLINK("#",""), HYPERLINK(CONCATENATE("#Metadata!", ADDRESS(INDEX($AI$2:$AI$1001,MATCH(ROWS($AG$2:AG539),$AG$2:$AG$1001,0),0), INDEX($AN$1004:$BO$1004,1,MATCH(COLUMNS($AN$1006:AW1006),$AN$1006:$BO$1006,0)))),"Fix")))</f>
        <v>0</v>
      </c>
      <c r="L539" s="4">
        <f>IF(OR(INDEX($AH$2:$AH$1001,MATCH(ROWS($AG$2:AG539),$AG$2:$AG$1001,0),1)&gt;=100000,INDEX($AN$1005:$BO$1005,1,MATCH(COLUMNS($AN$1006:AX1006),$AN$1006:$BO$1006,0))&gt;=100000), " ",IF(INDEX($AN$2:$BO$1001,MATCH(ROWS($AG$2:AG539),$AG$2:$AG$1001,0),MATCH(COLUMNS($AN$1006:AX1006),$AN$1006:$BO$1006,0)), HYPERLINK("#",""), HYPERLINK(CONCATENATE("#Metadata!", ADDRESS(INDEX($AI$2:$AI$1001,MATCH(ROWS($AG$2:AG539),$AG$2:$AG$1001,0),0), INDEX($AN$1004:$BO$1004,1,MATCH(COLUMNS($AN$1006:AX1006),$AN$1006:$BO$1006,0)))),"Fix")))</f>
        <v>0</v>
      </c>
      <c r="M539" s="4">
        <f>IF(OR(INDEX($AH$2:$AH$1001,MATCH(ROWS($AG$2:AG539),$AG$2:$AG$1001,0),1)&gt;=100000,INDEX($AN$1005:$BO$1005,1,MATCH(COLUMNS($AN$1006:AY1006),$AN$1006:$BO$1006,0))&gt;=100000), " ",IF(INDEX($AN$2:$BO$1001,MATCH(ROWS($AG$2:AG539),$AG$2:$AG$1001,0),MATCH(COLUMNS($AN$1006:AY1006),$AN$1006:$BO$1006,0)), HYPERLINK("#",""), HYPERLINK(CONCATENATE("#Metadata!", ADDRESS(INDEX($AI$2:$AI$1001,MATCH(ROWS($AG$2:AG539),$AG$2:$AG$1001,0),0), INDEX($AN$1004:$BO$1004,1,MATCH(COLUMNS($AN$1006:AY1006),$AN$1006:$BO$1006,0)))),"Fix")))</f>
        <v>0</v>
      </c>
      <c r="N539" s="4">
        <f>IF(OR(INDEX($AH$2:$AH$1001,MATCH(ROWS($AG$2:AG539),$AG$2:$AG$1001,0),1)&gt;=100000,INDEX($AN$1005:$BO$1005,1,MATCH(COLUMNS($AN$1006:AZ1006),$AN$1006:$BO$1006,0))&gt;=100000), " ",IF(INDEX($AN$2:$BO$1001,MATCH(ROWS($AG$2:AG539),$AG$2:$AG$1001,0),MATCH(COLUMNS($AN$1006:AZ1006),$AN$1006:$BO$1006,0)), HYPERLINK("#",""), HYPERLINK(CONCATENATE("#Metadata!", ADDRESS(INDEX($AI$2:$AI$1001,MATCH(ROWS($AG$2:AG539),$AG$2:$AG$1001,0),0), INDEX($AN$1004:$BO$1004,1,MATCH(COLUMNS($AN$1006:AZ1006),$AN$1006:$BO$1006,0)))),"Fix")))</f>
        <v>0</v>
      </c>
      <c r="O539" s="4">
        <f>IF(OR(INDEX($AH$2:$AH$1001,MATCH(ROWS($AG$2:AG539),$AG$2:$AG$1001,0),1)&gt;=100000,INDEX($AN$1005:$BO$1005,1,MATCH(COLUMNS($AN$1006:BA1006),$AN$1006:$BO$1006,0))&gt;=100000), " ",IF(INDEX($AN$2:$BO$1001,MATCH(ROWS($AG$2:AG539),$AG$2:$AG$1001,0),MATCH(COLUMNS($AN$1006:BA1006),$AN$1006:$BO$1006,0)), HYPERLINK("#",""), HYPERLINK(CONCATENATE("#Metadata!", ADDRESS(INDEX($AI$2:$AI$1001,MATCH(ROWS($AG$2:AG539),$AG$2:$AG$1001,0),0), INDEX($AN$1004:$BO$1004,1,MATCH(COLUMNS($AN$1006:BA1006),$AN$1006:$BO$1006,0)))),"Fix")))</f>
        <v>0</v>
      </c>
      <c r="P539" s="4">
        <f>IF(OR(INDEX($AH$2:$AH$1001,MATCH(ROWS($AG$2:AG539),$AG$2:$AG$1001,0),1)&gt;=100000,INDEX($AN$1005:$BO$1005,1,MATCH(COLUMNS($AN$1006:BB1006),$AN$1006:$BO$1006,0))&gt;=100000), " ",IF(INDEX($AN$2:$BO$1001,MATCH(ROWS($AG$2:AG539),$AG$2:$AG$1001,0),MATCH(COLUMNS($AN$1006:BB1006),$AN$1006:$BO$1006,0)), HYPERLINK("#",""), HYPERLINK(CONCATENATE("#Metadata!", ADDRESS(INDEX($AI$2:$AI$1001,MATCH(ROWS($AG$2:AG539),$AG$2:$AG$1001,0),0), INDEX($AN$1004:$BO$1004,1,MATCH(COLUMNS($AN$1006:BB1006),$AN$1006:$BO$1006,0)))),"Fix")))</f>
        <v>0</v>
      </c>
      <c r="Q539" s="4">
        <f>IF(OR(INDEX($AH$2:$AH$1001,MATCH(ROWS($AG$2:AG539),$AG$2:$AG$1001,0),1)&gt;=100000,INDEX($AN$1005:$BO$1005,1,MATCH(COLUMNS($AN$1006:BC1006),$AN$1006:$BO$1006,0))&gt;=100000), " ",IF(INDEX($AN$2:$BO$1001,MATCH(ROWS($AG$2:AG539),$AG$2:$AG$1001,0),MATCH(COLUMNS($AN$1006:BC1006),$AN$1006:$BO$1006,0)), HYPERLINK("#",""), HYPERLINK(CONCATENATE("#Metadata!", ADDRESS(INDEX($AI$2:$AI$1001,MATCH(ROWS($AG$2:AG539),$AG$2:$AG$1001,0),0), INDEX($AN$1004:$BO$1004,1,MATCH(COLUMNS($AN$1006:BC1006),$AN$1006:$BO$1006,0)))),"Fix")))</f>
        <v>0</v>
      </c>
      <c r="R539" s="4">
        <f>IF(OR(INDEX($AH$2:$AH$1001,MATCH(ROWS($AG$2:AG539),$AG$2:$AG$1001,0),1)&gt;=100000,INDEX($AN$1005:$BO$1005,1,MATCH(COLUMNS($AN$1006:BD1006),$AN$1006:$BO$1006,0))&gt;=100000), " ",IF(INDEX($AN$2:$BO$1001,MATCH(ROWS($AG$2:AG539),$AG$2:$AG$1001,0),MATCH(COLUMNS($AN$1006:BD1006),$AN$1006:$BO$1006,0)), HYPERLINK("#",""), HYPERLINK(CONCATENATE("#Metadata!", ADDRESS(INDEX($AI$2:$AI$1001,MATCH(ROWS($AG$2:AG539),$AG$2:$AG$1001,0),0), INDEX($AN$1004:$BO$1004,1,MATCH(COLUMNS($AN$1006:BD1006),$AN$1006:$BO$1006,0)))),"Fix")))</f>
        <v>0</v>
      </c>
      <c r="S539" s="4">
        <f>IF(OR(INDEX($AH$2:$AH$1001,MATCH(ROWS($AG$2:AG539),$AG$2:$AG$1001,0),1)&gt;=100000,INDEX($AN$1005:$BO$1005,1,MATCH(COLUMNS($AN$1006:BE1006),$AN$1006:$BO$1006,0))&gt;=100000), " ",IF(INDEX($AN$2:$BO$1001,MATCH(ROWS($AG$2:AG539),$AG$2:$AG$1001,0),MATCH(COLUMNS($AN$1006:BE1006),$AN$1006:$BO$1006,0)), HYPERLINK("#",""), HYPERLINK(CONCATENATE("#Metadata!", ADDRESS(INDEX($AI$2:$AI$1001,MATCH(ROWS($AG$2:AG539),$AG$2:$AG$1001,0),0), INDEX($AN$1004:$BO$1004,1,MATCH(COLUMNS($AN$1006:BE1006),$AN$1006:$BO$1006,0)))),"Fix")))</f>
        <v>0</v>
      </c>
      <c r="T539" s="4">
        <f>IF(OR(INDEX($AH$2:$AH$1001,MATCH(ROWS($AG$2:AG539),$AG$2:$AG$1001,0),1)&gt;=100000,INDEX($AN$1005:$BO$1005,1,MATCH(COLUMNS($AN$1006:BF1006),$AN$1006:$BO$1006,0))&gt;=100000), " ",IF(INDEX($AN$2:$BO$1001,MATCH(ROWS($AG$2:AG539),$AG$2:$AG$1001,0),MATCH(COLUMNS($AN$1006:BF1006),$AN$1006:$BO$1006,0)), HYPERLINK("#",""), HYPERLINK(CONCATENATE("#Metadata!", ADDRESS(INDEX($AI$2:$AI$1001,MATCH(ROWS($AG$2:AG539),$AG$2:$AG$1001,0),0), INDEX($AN$1004:$BO$1004,1,MATCH(COLUMNS($AN$1006:BF1006),$AN$1006:$BO$1006,0)))),"Fix")))</f>
        <v>0</v>
      </c>
      <c r="U539" s="4">
        <f>IF(OR(INDEX($AH$2:$AH$1001,MATCH(ROWS($AG$2:AG539),$AG$2:$AG$1001,0),1)&gt;=100000,INDEX($AN$1005:$BO$1005,1,MATCH(COLUMNS($AN$1006:BG1006),$AN$1006:$BO$1006,0))&gt;=100000), " ",IF(INDEX($AN$2:$BO$1001,MATCH(ROWS($AG$2:AG539),$AG$2:$AG$1001,0),MATCH(COLUMNS($AN$1006:BG1006),$AN$1006:$BO$1006,0)), HYPERLINK("#",""), HYPERLINK(CONCATENATE("#Metadata!", ADDRESS(INDEX($AI$2:$AI$1001,MATCH(ROWS($AG$2:AG539),$AG$2:$AG$1001,0),0), INDEX($AN$1004:$BO$1004,1,MATCH(COLUMNS($AN$1006:BG1006),$AN$1006:$BO$1006,0)))),"Fix")))</f>
        <v>0</v>
      </c>
      <c r="V539" s="4">
        <f>IF(OR(INDEX($AH$2:$AH$1001,MATCH(ROWS($AG$2:AG539),$AG$2:$AG$1001,0),1)&gt;=100000,INDEX($AN$1005:$BO$1005,1,MATCH(COLUMNS($AN$1006:BH1006),$AN$1006:$BO$1006,0))&gt;=100000), " ",IF(INDEX($AN$2:$BO$1001,MATCH(ROWS($AG$2:AG539),$AG$2:$AG$1001,0),MATCH(COLUMNS($AN$1006:BH1006),$AN$1006:$BO$1006,0)), HYPERLINK("#",""), HYPERLINK(CONCATENATE("#Metadata!", ADDRESS(INDEX($AI$2:$AI$1001,MATCH(ROWS($AG$2:AG539),$AG$2:$AG$1001,0),0), INDEX($AN$1004:$BO$1004,1,MATCH(COLUMNS($AN$1006:BH1006),$AN$1006:$BO$1006,0)))),"Fix")))</f>
        <v>0</v>
      </c>
      <c r="W539" s="4">
        <f>IF(OR(INDEX($AH$2:$AH$1001,MATCH(ROWS($AG$2:AG539),$AG$2:$AG$1001,0),1)&gt;=100000,INDEX($AN$1005:$BO$1005,1,MATCH(COLUMNS($AN$1006:BI1006),$AN$1006:$BO$1006,0))&gt;=100000), " ",IF(INDEX($AN$2:$BO$1001,MATCH(ROWS($AG$2:AG539),$AG$2:$AG$1001,0),MATCH(COLUMNS($AN$1006:BI1006),$AN$1006:$BO$1006,0)), HYPERLINK("#",""), HYPERLINK(CONCATENATE("#Metadata!", ADDRESS(INDEX($AI$2:$AI$1001,MATCH(ROWS($AG$2:AG539),$AG$2:$AG$1001,0),0), INDEX($AN$1004:$BO$1004,1,MATCH(COLUMNS($AN$1006:BI1006),$AN$1006:$BO$1006,0)))),"Fix")))</f>
        <v>0</v>
      </c>
      <c r="X539" s="4">
        <f>IF(OR(INDEX($AH$2:$AH$1001,MATCH(ROWS($AG$2:AG539),$AG$2:$AG$1001,0),1)&gt;=100000,INDEX($AN$1005:$BO$1005,1,MATCH(COLUMNS($AN$1006:BJ1006),$AN$1006:$BO$1006,0))&gt;=100000), " ",IF(INDEX($AN$2:$BO$1001,MATCH(ROWS($AG$2:AG539),$AG$2:$AG$1001,0),MATCH(COLUMNS($AN$1006:BJ1006),$AN$1006:$BO$1006,0)), HYPERLINK("#",""), HYPERLINK(CONCATENATE("#Metadata!", ADDRESS(INDEX($AI$2:$AI$1001,MATCH(ROWS($AG$2:AG539),$AG$2:$AG$1001,0),0), INDEX($AN$1004:$BO$1004,1,MATCH(COLUMNS($AN$1006:BJ1006),$AN$1006:$BO$1006,0)))),"Fix")))</f>
        <v>0</v>
      </c>
      <c r="Y539" s="4">
        <f>IF(OR(INDEX($AH$2:$AH$1001,MATCH(ROWS($AG$2:AG539),$AG$2:$AG$1001,0),1)&gt;=100000,INDEX($AN$1005:$BO$1005,1,MATCH(COLUMNS($AN$1006:BK1006),$AN$1006:$BO$1006,0))&gt;=100000), " ",IF(INDEX($AN$2:$BO$1001,MATCH(ROWS($AG$2:AG539),$AG$2:$AG$1001,0),MATCH(COLUMNS($AN$1006:BK1006),$AN$1006:$BO$1006,0)), HYPERLINK("#",""), HYPERLINK(CONCATENATE("#Metadata!", ADDRESS(INDEX($AI$2:$AI$1001,MATCH(ROWS($AG$2:AG539),$AG$2:$AG$1001,0),0), INDEX($AN$1004:$BO$1004,1,MATCH(COLUMNS($AN$1006:BK1006),$AN$1006:$BO$1006,0)))),"Fix")))</f>
        <v>0</v>
      </c>
      <c r="Z539" s="4">
        <f>IF(OR(INDEX($AH$2:$AH$1001,MATCH(ROWS($AG$2:AG539),$AG$2:$AG$1001,0),1)&gt;=100000,INDEX($AN$1005:$BO$1005,1,MATCH(COLUMNS($AN$1006:BL1006),$AN$1006:$BO$1006,0))&gt;=100000), " ",IF(INDEX($AN$2:$BO$1001,MATCH(ROWS($AG$2:AG539),$AG$2:$AG$1001,0),MATCH(COLUMNS($AN$1006:BL1006),$AN$1006:$BO$1006,0)), HYPERLINK("#",""), HYPERLINK(CONCATENATE("#Metadata!", ADDRESS(INDEX($AI$2:$AI$1001,MATCH(ROWS($AG$2:AG539),$AG$2:$AG$1001,0),0), INDEX($AN$1004:$BO$1004,1,MATCH(COLUMNS($AN$1006:BL1006),$AN$1006:$BO$1006,0)))),"Fix")))</f>
        <v>0</v>
      </c>
      <c r="AA539" s="4">
        <f>IF(OR(INDEX($AH$2:$AH$1001,MATCH(ROWS($AG$2:AG539),$AG$2:$AG$1001,0),1)&gt;=100000,INDEX($AN$1005:$BO$1005,1,MATCH(COLUMNS($AN$1006:BM1006),$AN$1006:$BO$1006,0))&gt;=100000), " ",IF(INDEX($AN$2:$BO$1001,MATCH(ROWS($AG$2:AG539),$AG$2:$AG$1001,0),MATCH(COLUMNS($AN$1006:BM1006),$AN$1006:$BO$1006,0)), HYPERLINK("#",""), HYPERLINK(CONCATENATE("#Metadata!", ADDRESS(INDEX($AI$2:$AI$1001,MATCH(ROWS($AG$2:AG539),$AG$2:$AG$1001,0),0), INDEX($AN$1004:$BO$1004,1,MATCH(COLUMNS($AN$1006:BM1006),$AN$1006:$BO$1006,0)))),"Fix")))</f>
        <v>0</v>
      </c>
      <c r="AB539" s="4">
        <f>IF(OR(INDEX($AH$2:$AH$1001,MATCH(ROWS($AG$2:AG539),$AG$2:$AG$1001,0),1)&gt;=100000,INDEX($AN$1005:$BO$1005,1,MATCH(COLUMNS($AN$1006:BN1006),$AN$1006:$BO$1006,0))&gt;=100000), " ",IF(INDEX($AN$2:$BO$1001,MATCH(ROWS($AG$2:AG539),$AG$2:$AG$1001,0),MATCH(COLUMNS($AN$1006:BN1006),$AN$1006:$BO$1006,0)), HYPERLINK("#",""), HYPERLINK(CONCATENATE("#Metadata!", ADDRESS(INDEX($AI$2:$AI$1001,MATCH(ROWS($AG$2:AG539),$AG$2:$AG$1001,0),0), INDEX($AN$1004:$BO$1004,1,MATCH(COLUMNS($AN$1006:BN1006),$AN$1006:$BO$1006,0)))),"Fix")))</f>
        <v>0</v>
      </c>
      <c r="AC539" s="4">
        <f>IF(OR(INDEX($AH$2:$AH$1001,MATCH(ROWS($AG$2:AG539),$AG$2:$AG$1001,0),1)&gt;=100000,INDEX($AN$1005:$BO$1005,1,MATCH(COLUMNS($AN$1006:BO1006),$AN$1006:$BO$1006,0))&gt;=100000), " ",IF(INDEX($AN$2:$BO$1001,MATCH(ROWS($AG$2:AG539),$AG$2:$AG$1001,0),MATCH(COLUMNS($AN$1006:BO1006),$AN$1006:$BO$1006,0)), HYPERLINK("#",""), HYPERLINK(CONCATENATE("#Metadata!", ADDRESS(INDEX($AI$2:$AI$1001,MATCH(ROWS($AG$2:AG539),$AG$2:$AG$1001,0),0), INDEX($AN$1004:$BO$1004,1,MATCH(COLUMNS($AN$1006:BO1006),$AN$1006:$BO$1006,0)))),"Fix")))</f>
        <v>0</v>
      </c>
      <c r="AG539">
        <v>0</v>
      </c>
      <c r="AH539">
        <v>0</v>
      </c>
      <c r="AI539">
        <v>0</v>
      </c>
      <c r="AJ539">
        <f>IF(AK539,TRUE,AND(AN539:BO539))</f>
        <v>0</v>
      </c>
      <c r="AK539">
        <f>COUNTBLANK(Metadata!B539:AC539)=COLUMNS(Metadata!B539:AC539)</f>
        <v>0</v>
      </c>
      <c r="AL539">
        <v>0</v>
      </c>
      <c r="AN539">
        <f>AND(IF(Metadata!B539="",FALSE,TRUE),COUNTIF(Metadata!B:B, Metadata!B539) = 1,NOT(ISERROR(SUMPRODUCT(SEARCH(MID(Metadata!B539,ROW(INDIRECT("1:"&amp;LEN(Metadata!B539))), 1),"0123456789abcdefghijklmnopqrstuvwxyzABCDEFGHIJKLMNOPQRSTUVWXYZ.")))))</f>
        <v>0</v>
      </c>
      <c r="AO539">
        <f>IF(Metadata!C539="",FALSE,TRUE)</f>
        <v>0</v>
      </c>
      <c r="AP539">
        <f>IF(Metadata!D539="",FALSE,TRUE)</f>
        <v>0</v>
      </c>
      <c r="AQ539">
        <f>OR(AND(IF(Metadata!E539="",FALSE,TRUE),OR(exact(Metadata!E539,"not collected"),exact(Metadata!E539,"not provided"),exact(Metadata!E539,"restricted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R539">
        <f>IF(Metadata!F539="",FALSE,TRUE)</f>
        <v>0</v>
      </c>
      <c r="AS539">
        <f>OR(AND(IF(Metadata!G539="",FALSE,TRUE),OR(exact(Metadata!G539,"not collected"),exact(Metadata!G539,"not provided"))),AND(IF(Metadata!G539="",FALSE,TRUE),OR(exact(Metadata!G539,"TRUE"),exact(Metadata!G539,"FALSE"))))</f>
        <v>0</v>
      </c>
      <c r="AT539">
        <f>OR(AND(IF(Metadata!H539="",FALSE,TRUE),OR(exact(Metadata!H539,"not collected"),exact(Metadata!H539,"not provided"),exact(Metadata!H539,"restricted access"))),AND(IF(Metadata!H539="",FALSE,ISNUMBER(VALUE(Metadata!H539))),Metadata!H539&gt;=-413.0))</f>
        <v>0</v>
      </c>
      <c r="AU539">
        <f>AND(IF(Metadata!I539="",FALSE,TRUE),exact(Metadata!I539,"meters"))</f>
        <v>0</v>
      </c>
      <c r="AV539">
        <f>AND(IF(Metadata!J539="",FALSE,TRUE),OR(exact(Metadata!J539,"Host-associated"),exact(Metadata!J539,"Free-living")))</f>
        <v>0</v>
      </c>
      <c r="AW539">
        <f>AND(IF(Metadata!K539="",FALSE,TRUE),OR(exact(Metadata!K539,"Animal"),exact(Metadata!K539,"Fungus"),exact(Metadata!K539,"Plant"),exact(Metadata!K539,"Saline"),exact(Metadata!K539,"Non-saline")))</f>
        <v>0</v>
      </c>
      <c r="AX539">
        <f>AND(IF(Metadata!L539="",FALSE,TRUE),OR(exact(Metadata!L539,"Plant secretion"),exact(Metadata!L539,"Plant rhizosphere"),exact(Metadata!L539,"Plant surface"),exact(Metadata!L539,"Plant corpus"),exact(Metadata!L539,"Fungus surface"),exact(Metadata!L539,"Fungus corpus"),exact(Metadata!L539,"Animal surface"),exact(Metadata!L539,"Animal proximal gut"),exact(Metadata!L539,"Animal corpus"),exact(Metadata!L539,"Animal distal gut"),exact(Metadata!L539,"Animal secretion"),exact(Metadata!L539,"Sub-surface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Y539">
        <f>IF(Metadata!M539="",FALSE,TRUE)</f>
        <v>0</v>
      </c>
      <c r="AZ539">
        <f>IF(Metadata!N539="",FALSE,TRUE)</f>
        <v>0</v>
      </c>
      <c r="BA539">
        <f>IF(Metadata!O539="",FALSE,TRUE)</f>
        <v>0</v>
      </c>
      <c r="BB539">
        <f>OR(AND(IF(Metadata!P539="",FALSE,TRUE),OR(exact(Metadata!P539,"not collected"),exact(Metadata!P539,"not provided"),exact(Metadata!P539,"restricted access"))),AND(IF(Metadata!P539="",FALSE,TRUE),OR(exact(Metadata!P539,"air"),exact(Metadata!P539,"built environment"),exact(Metadata!P539,"host-associated"),exact(Metadata!P539,"human-associated"),exact(Metadata!P539,"human-skin"),exact(Metadata!P539,"human-oral"),exact(Metadata!P539,"human-gut"),exact(Metadata!P539,"human-vaginal"),exact(Metadata!P539,"microbial mat/biofilm"),exact(Metadata!P539,"misc environment"),exact(Metadata!P539,"plant-associated"),exact(Metadata!P539,"sediment"),exact(Metadata!P539,"soil"),exact(Metadata!P539,"wastewater/sludge"),exact(Metadata!P539,"water"))))</f>
        <v>0</v>
      </c>
      <c r="BC539">
        <f>IF(Metadata!Q539="",FALSE,TRUE)</f>
        <v>0</v>
      </c>
      <c r="BD539">
        <f>IF(Metadata!R539="",FALSE,TRUE)</f>
        <v>0</v>
      </c>
      <c r="BE539">
        <f>OR(AND(IF(Metadata!S539="",FALSE,TRUE),OR(exact(Metadata!S539,"not collected"),exact(Metadata!S539,"not provided"),exact(Metadata!S539,"restricted access"))),AND(IF(Metadata!S539="",FALSE,ISNUMBER(VALUE(Metadata!S539))),Metadata!S539&gt;=-90.00,Metadata!S539&lt;=90.00))</f>
        <v>0</v>
      </c>
      <c r="BF539">
        <f>AND(IF(Metadata!T539="",FALSE,TRUE),exact(Metadata!T539,"Decimal degrees"))</f>
        <v>0</v>
      </c>
      <c r="BG539">
        <f>OR(AND(IF(Metadata!U539="",FALSE,TRUE),OR(exact(Metadata!U539,"not collected"),exact(Metadata!U539,"not provided"),exact(Metadata!U539,"restricted access"))),AND(IF(Metadata!U539="",FALSE,ISNUMBER(VALUE(Metadata!U539))),Metadata!U539&gt;=-180.00,Metadata!U539&lt;=180.00))</f>
        <v>0</v>
      </c>
      <c r="BH539">
        <f>AND(IF(Metadata!V539="",FALSE,TRUE),exact(Metadata!V539,"Decimal degrees"))</f>
        <v>0</v>
      </c>
      <c r="BI539">
        <f>IF(Metadata!W539="",FALSE,TRUE)</f>
        <v>0</v>
      </c>
      <c r="BJ539">
        <f>OR(AND(IF(Metadata!X539="",FALSE,TRUE),OR(exact(Metadata!X539,"not collected"),exact(Metadata!X539,"not provided"),exact(Metadata!X539,"restricted access"))),AND(IF(Metadata!X539="",FALSE,TRUE),OR(exact(Metadata!X539,"TRUE"),exact(Metadata!X539,"FALSE"))))</f>
        <v>0</v>
      </c>
      <c r="BK539">
        <f>AND(IF(Metadata!Y539="",FALSE,TRUE),exact(Metadata!Y539,"other"))</f>
        <v>0</v>
      </c>
      <c r="BL539">
        <f>IF(Metadata!Z539="",FALSE,TRUE)</f>
        <v>0</v>
      </c>
      <c r="BM539">
        <f>OR(AND(IF(Metadata!AA539="",FALSE,TRUE),OR(exact(Metadata!AA539,"not collected"),exact(Metadata!AA539,"not provided"))),AND(IF(Metadata!AA539="",FALSE,IF(ISERROR(INT(Metadata!AA539)),FALSE,INT(Metadata!AA539)=Metadata!AA539)),Metadata!AA539&gt;0))</f>
        <v>0</v>
      </c>
      <c r="BN539">
        <f>AND(IF(Metadata!AB539="",FALSE,TRUE),exact(Metadata!AB539,"Not applicable"))</f>
        <v>0</v>
      </c>
      <c r="BO539">
        <f>IF(Metadata!AC539="",FALSE,TRUE)</f>
        <v>0</v>
      </c>
    </row>
    <row r="540" spans="1:67">
      <c r="A540" s="5">
        <f>IF(B540=" "," ",HYPERLINK(CONCATENATE("#metadata!",ADDRESS(INDEX($AI$2:$AI$1001,MATCH(ROWS($AG$2:AG540),$AG$2:$AG$1001,0),0),1)),INDEX($AL$2:$AL$1001,MATCH(ROWS($AG$2:AG540),$AG$2:$AG$1001,0),0)))</f>
        <v>0</v>
      </c>
      <c r="B540" s="4">
        <f>IF(OR(INDEX($AH$2:$AH$1001,MATCH(ROWS($AG$2:AG540),$AG$2:$AG$1001,0),1)&gt;=100000,INDEX($AN$1005:$BO$1005,1,MATCH(COLUMNS($AN$1006:AN1006),$AN$1006:$BO$1006,0))&gt;=100000), " ",IF(INDEX($AN$2:$BO$1001,MATCH(ROWS($AG$2:AG540),$AG$2:$AG$1001,0),MATCH(COLUMNS($AN$1006:AN1006),$AN$1006:$BO$1006,0)), HYPERLINK("#",""), HYPERLINK(CONCATENATE("#Metadata!", ADDRESS(INDEX($AI$2:$AI$1001,MATCH(ROWS($AG$2:AG540),$AG$2:$AG$1001,0),0), INDEX($AN$1004:$BO$1004,1,MATCH(COLUMNS($AN$1006:AN1006),$AN$1006:$BO$1006,0)))),"Fix")))</f>
        <v>0</v>
      </c>
      <c r="C540" s="4">
        <f>IF(OR(INDEX($AH$2:$AH$1001,MATCH(ROWS($AG$2:AG540),$AG$2:$AG$1001,0),1)&gt;=100000,INDEX($AN$1005:$BO$1005,1,MATCH(COLUMNS($AN$1006:AO1006),$AN$1006:$BO$1006,0))&gt;=100000), " ",IF(INDEX($AN$2:$BO$1001,MATCH(ROWS($AG$2:AG540),$AG$2:$AG$1001,0),MATCH(COLUMNS($AN$1006:AO1006),$AN$1006:$BO$1006,0)), HYPERLINK("#",""), HYPERLINK(CONCATENATE("#Metadata!", ADDRESS(INDEX($AI$2:$AI$1001,MATCH(ROWS($AG$2:AG540),$AG$2:$AG$1001,0),0), INDEX($AN$1004:$BO$1004,1,MATCH(COLUMNS($AN$1006:AO1006),$AN$1006:$BO$1006,0)))),"Fix")))</f>
        <v>0</v>
      </c>
      <c r="D540" s="4">
        <f>IF(OR(INDEX($AH$2:$AH$1001,MATCH(ROWS($AG$2:AG540),$AG$2:$AG$1001,0),1)&gt;=100000,INDEX($AN$1005:$BO$1005,1,MATCH(COLUMNS($AN$1006:AP1006),$AN$1006:$BO$1006,0))&gt;=100000), " ",IF(INDEX($AN$2:$BO$1001,MATCH(ROWS($AG$2:AG540),$AG$2:$AG$1001,0),MATCH(COLUMNS($AN$1006:AP1006),$AN$1006:$BO$1006,0)), HYPERLINK("#",""), HYPERLINK(CONCATENATE("#Metadata!", ADDRESS(INDEX($AI$2:$AI$1001,MATCH(ROWS($AG$2:AG540),$AG$2:$AG$1001,0),0), INDEX($AN$1004:$BO$1004,1,MATCH(COLUMNS($AN$1006:AP1006),$AN$1006:$BO$1006,0)))),"Fix")))</f>
        <v>0</v>
      </c>
      <c r="E540" s="4">
        <f>IF(OR(INDEX($AH$2:$AH$1001,MATCH(ROWS($AG$2:AG540),$AG$2:$AG$1001,0),1)&gt;=100000,INDEX($AN$1005:$BO$1005,1,MATCH(COLUMNS($AN$1006:AQ1006),$AN$1006:$BO$1006,0))&gt;=100000), " ",IF(INDEX($AN$2:$BO$1001,MATCH(ROWS($AG$2:AG540),$AG$2:$AG$1001,0),MATCH(COLUMNS($AN$1006:AQ1006),$AN$1006:$BO$1006,0)), HYPERLINK("#",""), HYPERLINK(CONCATENATE("#Metadata!", ADDRESS(INDEX($AI$2:$AI$1001,MATCH(ROWS($AG$2:AG540),$AG$2:$AG$1001,0),0), INDEX($AN$1004:$BO$1004,1,MATCH(COLUMNS($AN$1006:AQ1006),$AN$1006:$BO$1006,0)))),"Fix")))</f>
        <v>0</v>
      </c>
      <c r="F540" s="4">
        <f>IF(OR(INDEX($AH$2:$AH$1001,MATCH(ROWS($AG$2:AG540),$AG$2:$AG$1001,0),1)&gt;=100000,INDEX($AN$1005:$BO$1005,1,MATCH(COLUMNS($AN$1006:AR1006),$AN$1006:$BO$1006,0))&gt;=100000), " ",IF(INDEX($AN$2:$BO$1001,MATCH(ROWS($AG$2:AG540),$AG$2:$AG$1001,0),MATCH(COLUMNS($AN$1006:AR1006),$AN$1006:$BO$1006,0)), HYPERLINK("#",""), HYPERLINK(CONCATENATE("#Metadata!", ADDRESS(INDEX($AI$2:$AI$1001,MATCH(ROWS($AG$2:AG540),$AG$2:$AG$1001,0),0), INDEX($AN$1004:$BO$1004,1,MATCH(COLUMNS($AN$1006:AR1006),$AN$1006:$BO$1006,0)))),"Fix")))</f>
        <v>0</v>
      </c>
      <c r="G540" s="4">
        <f>IF(OR(INDEX($AH$2:$AH$1001,MATCH(ROWS($AG$2:AG540),$AG$2:$AG$1001,0),1)&gt;=100000,INDEX($AN$1005:$BO$1005,1,MATCH(COLUMNS($AN$1006:AS1006),$AN$1006:$BO$1006,0))&gt;=100000), " ",IF(INDEX($AN$2:$BO$1001,MATCH(ROWS($AG$2:AG540),$AG$2:$AG$1001,0),MATCH(COLUMNS($AN$1006:AS1006),$AN$1006:$BO$1006,0)), HYPERLINK("#",""), HYPERLINK(CONCATENATE("#Metadata!", ADDRESS(INDEX($AI$2:$AI$1001,MATCH(ROWS($AG$2:AG540),$AG$2:$AG$1001,0),0), INDEX($AN$1004:$BO$1004,1,MATCH(COLUMNS($AN$1006:AS1006),$AN$1006:$BO$1006,0)))),"Fix")))</f>
        <v>0</v>
      </c>
      <c r="H540" s="4">
        <f>IF(OR(INDEX($AH$2:$AH$1001,MATCH(ROWS($AG$2:AG540),$AG$2:$AG$1001,0),1)&gt;=100000,INDEX($AN$1005:$BO$1005,1,MATCH(COLUMNS($AN$1006:AT1006),$AN$1006:$BO$1006,0))&gt;=100000), " ",IF(INDEX($AN$2:$BO$1001,MATCH(ROWS($AG$2:AG540),$AG$2:$AG$1001,0),MATCH(COLUMNS($AN$1006:AT1006),$AN$1006:$BO$1006,0)), HYPERLINK("#",""), HYPERLINK(CONCATENATE("#Metadata!", ADDRESS(INDEX($AI$2:$AI$1001,MATCH(ROWS($AG$2:AG540),$AG$2:$AG$1001,0),0), INDEX($AN$1004:$BO$1004,1,MATCH(COLUMNS($AN$1006:AT1006),$AN$1006:$BO$1006,0)))),"Fix")))</f>
        <v>0</v>
      </c>
      <c r="I540" s="4">
        <f>IF(OR(INDEX($AH$2:$AH$1001,MATCH(ROWS($AG$2:AG540),$AG$2:$AG$1001,0),1)&gt;=100000,INDEX($AN$1005:$BO$1005,1,MATCH(COLUMNS($AN$1006:AU1006),$AN$1006:$BO$1006,0))&gt;=100000), " ",IF(INDEX($AN$2:$BO$1001,MATCH(ROWS($AG$2:AG540),$AG$2:$AG$1001,0),MATCH(COLUMNS($AN$1006:AU1006),$AN$1006:$BO$1006,0)), HYPERLINK("#",""), HYPERLINK(CONCATENATE("#Metadata!", ADDRESS(INDEX($AI$2:$AI$1001,MATCH(ROWS($AG$2:AG540),$AG$2:$AG$1001,0),0), INDEX($AN$1004:$BO$1004,1,MATCH(COLUMNS($AN$1006:AU1006),$AN$1006:$BO$1006,0)))),"Fix")))</f>
        <v>0</v>
      </c>
      <c r="J540" s="4">
        <f>IF(OR(INDEX($AH$2:$AH$1001,MATCH(ROWS($AG$2:AG540),$AG$2:$AG$1001,0),1)&gt;=100000,INDEX($AN$1005:$BO$1005,1,MATCH(COLUMNS($AN$1006:AV1006),$AN$1006:$BO$1006,0))&gt;=100000), " ",IF(INDEX($AN$2:$BO$1001,MATCH(ROWS($AG$2:AG540),$AG$2:$AG$1001,0),MATCH(COLUMNS($AN$1006:AV1006),$AN$1006:$BO$1006,0)), HYPERLINK("#",""), HYPERLINK(CONCATENATE("#Metadata!", ADDRESS(INDEX($AI$2:$AI$1001,MATCH(ROWS($AG$2:AG540),$AG$2:$AG$1001,0),0), INDEX($AN$1004:$BO$1004,1,MATCH(COLUMNS($AN$1006:AV1006),$AN$1006:$BO$1006,0)))),"Fix")))</f>
        <v>0</v>
      </c>
      <c r="K540" s="4">
        <f>IF(OR(INDEX($AH$2:$AH$1001,MATCH(ROWS($AG$2:AG540),$AG$2:$AG$1001,0),1)&gt;=100000,INDEX($AN$1005:$BO$1005,1,MATCH(COLUMNS($AN$1006:AW1006),$AN$1006:$BO$1006,0))&gt;=100000), " ",IF(INDEX($AN$2:$BO$1001,MATCH(ROWS($AG$2:AG540),$AG$2:$AG$1001,0),MATCH(COLUMNS($AN$1006:AW1006),$AN$1006:$BO$1006,0)), HYPERLINK("#",""), HYPERLINK(CONCATENATE("#Metadata!", ADDRESS(INDEX($AI$2:$AI$1001,MATCH(ROWS($AG$2:AG540),$AG$2:$AG$1001,0),0), INDEX($AN$1004:$BO$1004,1,MATCH(COLUMNS($AN$1006:AW1006),$AN$1006:$BO$1006,0)))),"Fix")))</f>
        <v>0</v>
      </c>
      <c r="L540" s="4">
        <f>IF(OR(INDEX($AH$2:$AH$1001,MATCH(ROWS($AG$2:AG540),$AG$2:$AG$1001,0),1)&gt;=100000,INDEX($AN$1005:$BO$1005,1,MATCH(COLUMNS($AN$1006:AX1006),$AN$1006:$BO$1006,0))&gt;=100000), " ",IF(INDEX($AN$2:$BO$1001,MATCH(ROWS($AG$2:AG540),$AG$2:$AG$1001,0),MATCH(COLUMNS($AN$1006:AX1006),$AN$1006:$BO$1006,0)), HYPERLINK("#",""), HYPERLINK(CONCATENATE("#Metadata!", ADDRESS(INDEX($AI$2:$AI$1001,MATCH(ROWS($AG$2:AG540),$AG$2:$AG$1001,0),0), INDEX($AN$1004:$BO$1004,1,MATCH(COLUMNS($AN$1006:AX1006),$AN$1006:$BO$1006,0)))),"Fix")))</f>
        <v>0</v>
      </c>
      <c r="M540" s="4">
        <f>IF(OR(INDEX($AH$2:$AH$1001,MATCH(ROWS($AG$2:AG540),$AG$2:$AG$1001,0),1)&gt;=100000,INDEX($AN$1005:$BO$1005,1,MATCH(COLUMNS($AN$1006:AY1006),$AN$1006:$BO$1006,0))&gt;=100000), " ",IF(INDEX($AN$2:$BO$1001,MATCH(ROWS($AG$2:AG540),$AG$2:$AG$1001,0),MATCH(COLUMNS($AN$1006:AY1006),$AN$1006:$BO$1006,0)), HYPERLINK("#",""), HYPERLINK(CONCATENATE("#Metadata!", ADDRESS(INDEX($AI$2:$AI$1001,MATCH(ROWS($AG$2:AG540),$AG$2:$AG$1001,0),0), INDEX($AN$1004:$BO$1004,1,MATCH(COLUMNS($AN$1006:AY1006),$AN$1006:$BO$1006,0)))),"Fix")))</f>
        <v>0</v>
      </c>
      <c r="N540" s="4">
        <f>IF(OR(INDEX($AH$2:$AH$1001,MATCH(ROWS($AG$2:AG540),$AG$2:$AG$1001,0),1)&gt;=100000,INDEX($AN$1005:$BO$1005,1,MATCH(COLUMNS($AN$1006:AZ1006),$AN$1006:$BO$1006,0))&gt;=100000), " ",IF(INDEX($AN$2:$BO$1001,MATCH(ROWS($AG$2:AG540),$AG$2:$AG$1001,0),MATCH(COLUMNS($AN$1006:AZ1006),$AN$1006:$BO$1006,0)), HYPERLINK("#",""), HYPERLINK(CONCATENATE("#Metadata!", ADDRESS(INDEX($AI$2:$AI$1001,MATCH(ROWS($AG$2:AG540),$AG$2:$AG$1001,0),0), INDEX($AN$1004:$BO$1004,1,MATCH(COLUMNS($AN$1006:AZ1006),$AN$1006:$BO$1006,0)))),"Fix")))</f>
        <v>0</v>
      </c>
      <c r="O540" s="4">
        <f>IF(OR(INDEX($AH$2:$AH$1001,MATCH(ROWS($AG$2:AG540),$AG$2:$AG$1001,0),1)&gt;=100000,INDEX($AN$1005:$BO$1005,1,MATCH(COLUMNS($AN$1006:BA1006),$AN$1006:$BO$1006,0))&gt;=100000), " ",IF(INDEX($AN$2:$BO$1001,MATCH(ROWS($AG$2:AG540),$AG$2:$AG$1001,0),MATCH(COLUMNS($AN$1006:BA1006),$AN$1006:$BO$1006,0)), HYPERLINK("#",""), HYPERLINK(CONCATENATE("#Metadata!", ADDRESS(INDEX($AI$2:$AI$1001,MATCH(ROWS($AG$2:AG540),$AG$2:$AG$1001,0),0), INDEX($AN$1004:$BO$1004,1,MATCH(COLUMNS($AN$1006:BA1006),$AN$1006:$BO$1006,0)))),"Fix")))</f>
        <v>0</v>
      </c>
      <c r="P540" s="4">
        <f>IF(OR(INDEX($AH$2:$AH$1001,MATCH(ROWS($AG$2:AG540),$AG$2:$AG$1001,0),1)&gt;=100000,INDEX($AN$1005:$BO$1005,1,MATCH(COLUMNS($AN$1006:BB1006),$AN$1006:$BO$1006,0))&gt;=100000), " ",IF(INDEX($AN$2:$BO$1001,MATCH(ROWS($AG$2:AG540),$AG$2:$AG$1001,0),MATCH(COLUMNS($AN$1006:BB1006),$AN$1006:$BO$1006,0)), HYPERLINK("#",""), HYPERLINK(CONCATENATE("#Metadata!", ADDRESS(INDEX($AI$2:$AI$1001,MATCH(ROWS($AG$2:AG540),$AG$2:$AG$1001,0),0), INDEX($AN$1004:$BO$1004,1,MATCH(COLUMNS($AN$1006:BB1006),$AN$1006:$BO$1006,0)))),"Fix")))</f>
        <v>0</v>
      </c>
      <c r="Q540" s="4">
        <f>IF(OR(INDEX($AH$2:$AH$1001,MATCH(ROWS($AG$2:AG540),$AG$2:$AG$1001,0),1)&gt;=100000,INDEX($AN$1005:$BO$1005,1,MATCH(COLUMNS($AN$1006:BC1006),$AN$1006:$BO$1006,0))&gt;=100000), " ",IF(INDEX($AN$2:$BO$1001,MATCH(ROWS($AG$2:AG540),$AG$2:$AG$1001,0),MATCH(COLUMNS($AN$1006:BC1006),$AN$1006:$BO$1006,0)), HYPERLINK("#",""), HYPERLINK(CONCATENATE("#Metadata!", ADDRESS(INDEX($AI$2:$AI$1001,MATCH(ROWS($AG$2:AG540),$AG$2:$AG$1001,0),0), INDEX($AN$1004:$BO$1004,1,MATCH(COLUMNS($AN$1006:BC1006),$AN$1006:$BO$1006,0)))),"Fix")))</f>
        <v>0</v>
      </c>
      <c r="R540" s="4">
        <f>IF(OR(INDEX($AH$2:$AH$1001,MATCH(ROWS($AG$2:AG540),$AG$2:$AG$1001,0),1)&gt;=100000,INDEX($AN$1005:$BO$1005,1,MATCH(COLUMNS($AN$1006:BD1006),$AN$1006:$BO$1006,0))&gt;=100000), " ",IF(INDEX($AN$2:$BO$1001,MATCH(ROWS($AG$2:AG540),$AG$2:$AG$1001,0),MATCH(COLUMNS($AN$1006:BD1006),$AN$1006:$BO$1006,0)), HYPERLINK("#",""), HYPERLINK(CONCATENATE("#Metadata!", ADDRESS(INDEX($AI$2:$AI$1001,MATCH(ROWS($AG$2:AG540),$AG$2:$AG$1001,0),0), INDEX($AN$1004:$BO$1004,1,MATCH(COLUMNS($AN$1006:BD1006),$AN$1006:$BO$1006,0)))),"Fix")))</f>
        <v>0</v>
      </c>
      <c r="S540" s="4">
        <f>IF(OR(INDEX($AH$2:$AH$1001,MATCH(ROWS($AG$2:AG540),$AG$2:$AG$1001,0),1)&gt;=100000,INDEX($AN$1005:$BO$1005,1,MATCH(COLUMNS($AN$1006:BE1006),$AN$1006:$BO$1006,0))&gt;=100000), " ",IF(INDEX($AN$2:$BO$1001,MATCH(ROWS($AG$2:AG540),$AG$2:$AG$1001,0),MATCH(COLUMNS($AN$1006:BE1006),$AN$1006:$BO$1006,0)), HYPERLINK("#",""), HYPERLINK(CONCATENATE("#Metadata!", ADDRESS(INDEX($AI$2:$AI$1001,MATCH(ROWS($AG$2:AG540),$AG$2:$AG$1001,0),0), INDEX($AN$1004:$BO$1004,1,MATCH(COLUMNS($AN$1006:BE1006),$AN$1006:$BO$1006,0)))),"Fix")))</f>
        <v>0</v>
      </c>
      <c r="T540" s="4">
        <f>IF(OR(INDEX($AH$2:$AH$1001,MATCH(ROWS($AG$2:AG540),$AG$2:$AG$1001,0),1)&gt;=100000,INDEX($AN$1005:$BO$1005,1,MATCH(COLUMNS($AN$1006:BF1006),$AN$1006:$BO$1006,0))&gt;=100000), " ",IF(INDEX($AN$2:$BO$1001,MATCH(ROWS($AG$2:AG540),$AG$2:$AG$1001,0),MATCH(COLUMNS($AN$1006:BF1006),$AN$1006:$BO$1006,0)), HYPERLINK("#",""), HYPERLINK(CONCATENATE("#Metadata!", ADDRESS(INDEX($AI$2:$AI$1001,MATCH(ROWS($AG$2:AG540),$AG$2:$AG$1001,0),0), INDEX($AN$1004:$BO$1004,1,MATCH(COLUMNS($AN$1006:BF1006),$AN$1006:$BO$1006,0)))),"Fix")))</f>
        <v>0</v>
      </c>
      <c r="U540" s="4">
        <f>IF(OR(INDEX($AH$2:$AH$1001,MATCH(ROWS($AG$2:AG540),$AG$2:$AG$1001,0),1)&gt;=100000,INDEX($AN$1005:$BO$1005,1,MATCH(COLUMNS($AN$1006:BG1006),$AN$1006:$BO$1006,0))&gt;=100000), " ",IF(INDEX($AN$2:$BO$1001,MATCH(ROWS($AG$2:AG540),$AG$2:$AG$1001,0),MATCH(COLUMNS($AN$1006:BG1006),$AN$1006:$BO$1006,0)), HYPERLINK("#",""), HYPERLINK(CONCATENATE("#Metadata!", ADDRESS(INDEX($AI$2:$AI$1001,MATCH(ROWS($AG$2:AG540),$AG$2:$AG$1001,0),0), INDEX($AN$1004:$BO$1004,1,MATCH(COLUMNS($AN$1006:BG1006),$AN$1006:$BO$1006,0)))),"Fix")))</f>
        <v>0</v>
      </c>
      <c r="V540" s="4">
        <f>IF(OR(INDEX($AH$2:$AH$1001,MATCH(ROWS($AG$2:AG540),$AG$2:$AG$1001,0),1)&gt;=100000,INDEX($AN$1005:$BO$1005,1,MATCH(COLUMNS($AN$1006:BH1006),$AN$1006:$BO$1006,0))&gt;=100000), " ",IF(INDEX($AN$2:$BO$1001,MATCH(ROWS($AG$2:AG540),$AG$2:$AG$1001,0),MATCH(COLUMNS($AN$1006:BH1006),$AN$1006:$BO$1006,0)), HYPERLINK("#",""), HYPERLINK(CONCATENATE("#Metadata!", ADDRESS(INDEX($AI$2:$AI$1001,MATCH(ROWS($AG$2:AG540),$AG$2:$AG$1001,0),0), INDEX($AN$1004:$BO$1004,1,MATCH(COLUMNS($AN$1006:BH1006),$AN$1006:$BO$1006,0)))),"Fix")))</f>
        <v>0</v>
      </c>
      <c r="W540" s="4">
        <f>IF(OR(INDEX($AH$2:$AH$1001,MATCH(ROWS($AG$2:AG540),$AG$2:$AG$1001,0),1)&gt;=100000,INDEX($AN$1005:$BO$1005,1,MATCH(COLUMNS($AN$1006:BI1006),$AN$1006:$BO$1006,0))&gt;=100000), " ",IF(INDEX($AN$2:$BO$1001,MATCH(ROWS($AG$2:AG540),$AG$2:$AG$1001,0),MATCH(COLUMNS($AN$1006:BI1006),$AN$1006:$BO$1006,0)), HYPERLINK("#",""), HYPERLINK(CONCATENATE("#Metadata!", ADDRESS(INDEX($AI$2:$AI$1001,MATCH(ROWS($AG$2:AG540),$AG$2:$AG$1001,0),0), INDEX($AN$1004:$BO$1004,1,MATCH(COLUMNS($AN$1006:BI1006),$AN$1006:$BO$1006,0)))),"Fix")))</f>
        <v>0</v>
      </c>
      <c r="X540" s="4">
        <f>IF(OR(INDEX($AH$2:$AH$1001,MATCH(ROWS($AG$2:AG540),$AG$2:$AG$1001,0),1)&gt;=100000,INDEX($AN$1005:$BO$1005,1,MATCH(COLUMNS($AN$1006:BJ1006),$AN$1006:$BO$1006,0))&gt;=100000), " ",IF(INDEX($AN$2:$BO$1001,MATCH(ROWS($AG$2:AG540),$AG$2:$AG$1001,0),MATCH(COLUMNS($AN$1006:BJ1006),$AN$1006:$BO$1006,0)), HYPERLINK("#",""), HYPERLINK(CONCATENATE("#Metadata!", ADDRESS(INDEX($AI$2:$AI$1001,MATCH(ROWS($AG$2:AG540),$AG$2:$AG$1001,0),0), INDEX($AN$1004:$BO$1004,1,MATCH(COLUMNS($AN$1006:BJ1006),$AN$1006:$BO$1006,0)))),"Fix")))</f>
        <v>0</v>
      </c>
      <c r="Y540" s="4">
        <f>IF(OR(INDEX($AH$2:$AH$1001,MATCH(ROWS($AG$2:AG540),$AG$2:$AG$1001,0),1)&gt;=100000,INDEX($AN$1005:$BO$1005,1,MATCH(COLUMNS($AN$1006:BK1006),$AN$1006:$BO$1006,0))&gt;=100000), " ",IF(INDEX($AN$2:$BO$1001,MATCH(ROWS($AG$2:AG540),$AG$2:$AG$1001,0),MATCH(COLUMNS($AN$1006:BK1006),$AN$1006:$BO$1006,0)), HYPERLINK("#",""), HYPERLINK(CONCATENATE("#Metadata!", ADDRESS(INDEX($AI$2:$AI$1001,MATCH(ROWS($AG$2:AG540),$AG$2:$AG$1001,0),0), INDEX($AN$1004:$BO$1004,1,MATCH(COLUMNS($AN$1006:BK1006),$AN$1006:$BO$1006,0)))),"Fix")))</f>
        <v>0</v>
      </c>
      <c r="Z540" s="4">
        <f>IF(OR(INDEX($AH$2:$AH$1001,MATCH(ROWS($AG$2:AG540),$AG$2:$AG$1001,0),1)&gt;=100000,INDEX($AN$1005:$BO$1005,1,MATCH(COLUMNS($AN$1006:BL1006),$AN$1006:$BO$1006,0))&gt;=100000), " ",IF(INDEX($AN$2:$BO$1001,MATCH(ROWS($AG$2:AG540),$AG$2:$AG$1001,0),MATCH(COLUMNS($AN$1006:BL1006),$AN$1006:$BO$1006,0)), HYPERLINK("#",""), HYPERLINK(CONCATENATE("#Metadata!", ADDRESS(INDEX($AI$2:$AI$1001,MATCH(ROWS($AG$2:AG540),$AG$2:$AG$1001,0),0), INDEX($AN$1004:$BO$1004,1,MATCH(COLUMNS($AN$1006:BL1006),$AN$1006:$BO$1006,0)))),"Fix")))</f>
        <v>0</v>
      </c>
      <c r="AA540" s="4">
        <f>IF(OR(INDEX($AH$2:$AH$1001,MATCH(ROWS($AG$2:AG540),$AG$2:$AG$1001,0),1)&gt;=100000,INDEX($AN$1005:$BO$1005,1,MATCH(COLUMNS($AN$1006:BM1006),$AN$1006:$BO$1006,0))&gt;=100000), " ",IF(INDEX($AN$2:$BO$1001,MATCH(ROWS($AG$2:AG540),$AG$2:$AG$1001,0),MATCH(COLUMNS($AN$1006:BM1006),$AN$1006:$BO$1006,0)), HYPERLINK("#",""), HYPERLINK(CONCATENATE("#Metadata!", ADDRESS(INDEX($AI$2:$AI$1001,MATCH(ROWS($AG$2:AG540),$AG$2:$AG$1001,0),0), INDEX($AN$1004:$BO$1004,1,MATCH(COLUMNS($AN$1006:BM1006),$AN$1006:$BO$1006,0)))),"Fix")))</f>
        <v>0</v>
      </c>
      <c r="AB540" s="4">
        <f>IF(OR(INDEX($AH$2:$AH$1001,MATCH(ROWS($AG$2:AG540),$AG$2:$AG$1001,0),1)&gt;=100000,INDEX($AN$1005:$BO$1005,1,MATCH(COLUMNS($AN$1006:BN1006),$AN$1006:$BO$1006,0))&gt;=100000), " ",IF(INDEX($AN$2:$BO$1001,MATCH(ROWS($AG$2:AG540),$AG$2:$AG$1001,0),MATCH(COLUMNS($AN$1006:BN1006),$AN$1006:$BO$1006,0)), HYPERLINK("#",""), HYPERLINK(CONCATENATE("#Metadata!", ADDRESS(INDEX($AI$2:$AI$1001,MATCH(ROWS($AG$2:AG540),$AG$2:$AG$1001,0),0), INDEX($AN$1004:$BO$1004,1,MATCH(COLUMNS($AN$1006:BN1006),$AN$1006:$BO$1006,0)))),"Fix")))</f>
        <v>0</v>
      </c>
      <c r="AC540" s="4">
        <f>IF(OR(INDEX($AH$2:$AH$1001,MATCH(ROWS($AG$2:AG540),$AG$2:$AG$1001,0),1)&gt;=100000,INDEX($AN$1005:$BO$1005,1,MATCH(COLUMNS($AN$1006:BO1006),$AN$1006:$BO$1006,0))&gt;=100000), " ",IF(INDEX($AN$2:$BO$1001,MATCH(ROWS($AG$2:AG540),$AG$2:$AG$1001,0),MATCH(COLUMNS($AN$1006:BO1006),$AN$1006:$BO$1006,0)), HYPERLINK("#",""), HYPERLINK(CONCATENATE("#Metadata!", ADDRESS(INDEX($AI$2:$AI$1001,MATCH(ROWS($AG$2:AG540),$AG$2:$AG$1001,0),0), INDEX($AN$1004:$BO$1004,1,MATCH(COLUMNS($AN$1006:BO1006),$AN$1006:$BO$1006,0)))),"Fix")))</f>
        <v>0</v>
      </c>
      <c r="AG540">
        <v>0</v>
      </c>
      <c r="AH540">
        <v>0</v>
      </c>
      <c r="AI540">
        <v>0</v>
      </c>
      <c r="AJ540">
        <f>IF(AK540,TRUE,AND(AN540:BO540))</f>
        <v>0</v>
      </c>
      <c r="AK540">
        <f>COUNTBLANK(Metadata!B540:AC540)=COLUMNS(Metadata!B540:AC540)</f>
        <v>0</v>
      </c>
      <c r="AL540">
        <v>0</v>
      </c>
      <c r="AN540">
        <f>AND(IF(Metadata!B540="",FALSE,TRUE),COUNTIF(Metadata!B:B, Metadata!B540) = 1,NOT(ISERROR(SUMPRODUCT(SEARCH(MID(Metadata!B540,ROW(INDIRECT("1:"&amp;LEN(Metadata!B540))), 1),"0123456789abcdefghijklmnopqrstuvwxyzABCDEFGHIJKLMNOPQRSTUVWXYZ.")))))</f>
        <v>0</v>
      </c>
      <c r="AO540">
        <f>IF(Metadata!C540="",FALSE,TRUE)</f>
        <v>0</v>
      </c>
      <c r="AP540">
        <f>IF(Metadata!D540="",FALSE,TRUE)</f>
        <v>0</v>
      </c>
      <c r="AQ540">
        <f>OR(AND(IF(Metadata!E540="",FALSE,TRUE),OR(exact(Metadata!E540,"not collected"),exact(Metadata!E540,"not provided"),exact(Metadata!E540,"restricted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R540">
        <f>IF(Metadata!F540="",FALSE,TRUE)</f>
        <v>0</v>
      </c>
      <c r="AS540">
        <f>OR(AND(IF(Metadata!G540="",FALSE,TRUE),OR(exact(Metadata!G540,"not collected"),exact(Metadata!G540,"not provided"))),AND(IF(Metadata!G540="",FALSE,TRUE),OR(exact(Metadata!G540,"TRUE"),exact(Metadata!G540,"FALSE"))))</f>
        <v>0</v>
      </c>
      <c r="AT540">
        <f>OR(AND(IF(Metadata!H540="",FALSE,TRUE),OR(exact(Metadata!H540,"not collected"),exact(Metadata!H540,"not provided"),exact(Metadata!H540,"restricted access"))),AND(IF(Metadata!H540="",FALSE,ISNUMBER(VALUE(Metadata!H540))),Metadata!H540&gt;=-413.0))</f>
        <v>0</v>
      </c>
      <c r="AU540">
        <f>AND(IF(Metadata!I540="",FALSE,TRUE),exact(Metadata!I540,"meters"))</f>
        <v>0</v>
      </c>
      <c r="AV540">
        <f>AND(IF(Metadata!J540="",FALSE,TRUE),OR(exact(Metadata!J540,"Host-associated"),exact(Metadata!J540,"Free-living")))</f>
        <v>0</v>
      </c>
      <c r="AW540">
        <f>AND(IF(Metadata!K540="",FALSE,TRUE),OR(exact(Metadata!K540,"Animal"),exact(Metadata!K540,"Fungus"),exact(Metadata!K540,"Plant"),exact(Metadata!K540,"Saline"),exact(Metadata!K540,"Non-saline")))</f>
        <v>0</v>
      </c>
      <c r="AX540">
        <f>AND(IF(Metadata!L540="",FALSE,TRUE),OR(exact(Metadata!L540,"Plant secretion"),exact(Metadata!L540,"Plant rhizosphere"),exact(Metadata!L540,"Plant surface"),exact(Metadata!L540,"Plant corpus"),exact(Metadata!L540,"Fungus surface"),exact(Metadata!L540,"Fungus corpus"),exact(Metadata!L540,"Animal surface"),exact(Metadata!L540,"Animal proximal gut"),exact(Metadata!L540,"Animal corpus"),exact(Metadata!L540,"Animal distal gut"),exact(Metadata!L540,"Animal secretion"),exact(Metadata!L540,"Sub-surface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Y540">
        <f>IF(Metadata!M540="",FALSE,TRUE)</f>
        <v>0</v>
      </c>
      <c r="AZ540">
        <f>IF(Metadata!N540="",FALSE,TRUE)</f>
        <v>0</v>
      </c>
      <c r="BA540">
        <f>IF(Metadata!O540="",FALSE,TRUE)</f>
        <v>0</v>
      </c>
      <c r="BB540">
        <f>OR(AND(IF(Metadata!P540="",FALSE,TRUE),OR(exact(Metadata!P540,"not collected"),exact(Metadata!P540,"not provided"),exact(Metadata!P540,"restricted access"))),AND(IF(Metadata!P540="",FALSE,TRUE),OR(exact(Metadata!P540,"air"),exact(Metadata!P540,"built environment"),exact(Metadata!P540,"host-associated"),exact(Metadata!P540,"human-associated"),exact(Metadata!P540,"human-skin"),exact(Metadata!P540,"human-oral"),exact(Metadata!P540,"human-gut"),exact(Metadata!P540,"human-vaginal"),exact(Metadata!P540,"microbial mat/biofilm"),exact(Metadata!P540,"misc environment"),exact(Metadata!P540,"plant-associated"),exact(Metadata!P540,"sediment"),exact(Metadata!P540,"soil"),exact(Metadata!P540,"wastewater/sludge"),exact(Metadata!P540,"water"))))</f>
        <v>0</v>
      </c>
      <c r="BC540">
        <f>IF(Metadata!Q540="",FALSE,TRUE)</f>
        <v>0</v>
      </c>
      <c r="BD540">
        <f>IF(Metadata!R540="",FALSE,TRUE)</f>
        <v>0</v>
      </c>
      <c r="BE540">
        <f>OR(AND(IF(Metadata!S540="",FALSE,TRUE),OR(exact(Metadata!S540,"not collected"),exact(Metadata!S540,"not provided"),exact(Metadata!S540,"restricted access"))),AND(IF(Metadata!S540="",FALSE,ISNUMBER(VALUE(Metadata!S540))),Metadata!S540&gt;=-90.00,Metadata!S540&lt;=90.00))</f>
        <v>0</v>
      </c>
      <c r="BF540">
        <f>AND(IF(Metadata!T540="",FALSE,TRUE),exact(Metadata!T540,"Decimal degrees"))</f>
        <v>0</v>
      </c>
      <c r="BG540">
        <f>OR(AND(IF(Metadata!U540="",FALSE,TRUE),OR(exact(Metadata!U540,"not collected"),exact(Metadata!U540,"not provided"),exact(Metadata!U540,"restricted access"))),AND(IF(Metadata!U540="",FALSE,ISNUMBER(VALUE(Metadata!U540))),Metadata!U540&gt;=-180.00,Metadata!U540&lt;=180.00))</f>
        <v>0</v>
      </c>
      <c r="BH540">
        <f>AND(IF(Metadata!V540="",FALSE,TRUE),exact(Metadata!V540,"Decimal degrees"))</f>
        <v>0</v>
      </c>
      <c r="BI540">
        <f>IF(Metadata!W540="",FALSE,TRUE)</f>
        <v>0</v>
      </c>
      <c r="BJ540">
        <f>OR(AND(IF(Metadata!X540="",FALSE,TRUE),OR(exact(Metadata!X540,"not collected"),exact(Metadata!X540,"not provided"),exact(Metadata!X540,"restricted access"))),AND(IF(Metadata!X540="",FALSE,TRUE),OR(exact(Metadata!X540,"TRUE"),exact(Metadata!X540,"FALSE"))))</f>
        <v>0</v>
      </c>
      <c r="BK540">
        <f>AND(IF(Metadata!Y540="",FALSE,TRUE),exact(Metadata!Y540,"other"))</f>
        <v>0</v>
      </c>
      <c r="BL540">
        <f>IF(Metadata!Z540="",FALSE,TRUE)</f>
        <v>0</v>
      </c>
      <c r="BM540">
        <f>OR(AND(IF(Metadata!AA540="",FALSE,TRUE),OR(exact(Metadata!AA540,"not collected"),exact(Metadata!AA540,"not provided"))),AND(IF(Metadata!AA540="",FALSE,IF(ISERROR(INT(Metadata!AA540)),FALSE,INT(Metadata!AA540)=Metadata!AA540)),Metadata!AA540&gt;0))</f>
        <v>0</v>
      </c>
      <c r="BN540">
        <f>AND(IF(Metadata!AB540="",FALSE,TRUE),exact(Metadata!AB540,"Not applicable"))</f>
        <v>0</v>
      </c>
      <c r="BO540">
        <f>IF(Metadata!AC540="",FALSE,TRUE)</f>
        <v>0</v>
      </c>
    </row>
    <row r="541" spans="1:67">
      <c r="A541" s="5">
        <f>IF(B541=" "," ",HYPERLINK(CONCATENATE("#metadata!",ADDRESS(INDEX($AI$2:$AI$1001,MATCH(ROWS($AG$2:AG541),$AG$2:$AG$1001,0),0),1)),INDEX($AL$2:$AL$1001,MATCH(ROWS($AG$2:AG541),$AG$2:$AG$1001,0),0)))</f>
        <v>0</v>
      </c>
      <c r="B541" s="4">
        <f>IF(OR(INDEX($AH$2:$AH$1001,MATCH(ROWS($AG$2:AG541),$AG$2:$AG$1001,0),1)&gt;=100000,INDEX($AN$1005:$BO$1005,1,MATCH(COLUMNS($AN$1006:AN1006),$AN$1006:$BO$1006,0))&gt;=100000), " ",IF(INDEX($AN$2:$BO$1001,MATCH(ROWS($AG$2:AG541),$AG$2:$AG$1001,0),MATCH(COLUMNS($AN$1006:AN1006),$AN$1006:$BO$1006,0)), HYPERLINK("#",""), HYPERLINK(CONCATENATE("#Metadata!", ADDRESS(INDEX($AI$2:$AI$1001,MATCH(ROWS($AG$2:AG541),$AG$2:$AG$1001,0),0), INDEX($AN$1004:$BO$1004,1,MATCH(COLUMNS($AN$1006:AN1006),$AN$1006:$BO$1006,0)))),"Fix")))</f>
        <v>0</v>
      </c>
      <c r="C541" s="4">
        <f>IF(OR(INDEX($AH$2:$AH$1001,MATCH(ROWS($AG$2:AG541),$AG$2:$AG$1001,0),1)&gt;=100000,INDEX($AN$1005:$BO$1005,1,MATCH(COLUMNS($AN$1006:AO1006),$AN$1006:$BO$1006,0))&gt;=100000), " ",IF(INDEX($AN$2:$BO$1001,MATCH(ROWS($AG$2:AG541),$AG$2:$AG$1001,0),MATCH(COLUMNS($AN$1006:AO1006),$AN$1006:$BO$1006,0)), HYPERLINK("#",""), HYPERLINK(CONCATENATE("#Metadata!", ADDRESS(INDEX($AI$2:$AI$1001,MATCH(ROWS($AG$2:AG541),$AG$2:$AG$1001,0),0), INDEX($AN$1004:$BO$1004,1,MATCH(COLUMNS($AN$1006:AO1006),$AN$1006:$BO$1006,0)))),"Fix")))</f>
        <v>0</v>
      </c>
      <c r="D541" s="4">
        <f>IF(OR(INDEX($AH$2:$AH$1001,MATCH(ROWS($AG$2:AG541),$AG$2:$AG$1001,0),1)&gt;=100000,INDEX($AN$1005:$BO$1005,1,MATCH(COLUMNS($AN$1006:AP1006),$AN$1006:$BO$1006,0))&gt;=100000), " ",IF(INDEX($AN$2:$BO$1001,MATCH(ROWS($AG$2:AG541),$AG$2:$AG$1001,0),MATCH(COLUMNS($AN$1006:AP1006),$AN$1006:$BO$1006,0)), HYPERLINK("#",""), HYPERLINK(CONCATENATE("#Metadata!", ADDRESS(INDEX($AI$2:$AI$1001,MATCH(ROWS($AG$2:AG541),$AG$2:$AG$1001,0),0), INDEX($AN$1004:$BO$1004,1,MATCH(COLUMNS($AN$1006:AP1006),$AN$1006:$BO$1006,0)))),"Fix")))</f>
        <v>0</v>
      </c>
      <c r="E541" s="4">
        <f>IF(OR(INDEX($AH$2:$AH$1001,MATCH(ROWS($AG$2:AG541),$AG$2:$AG$1001,0),1)&gt;=100000,INDEX($AN$1005:$BO$1005,1,MATCH(COLUMNS($AN$1006:AQ1006),$AN$1006:$BO$1006,0))&gt;=100000), " ",IF(INDEX($AN$2:$BO$1001,MATCH(ROWS($AG$2:AG541),$AG$2:$AG$1001,0),MATCH(COLUMNS($AN$1006:AQ1006),$AN$1006:$BO$1006,0)), HYPERLINK("#",""), HYPERLINK(CONCATENATE("#Metadata!", ADDRESS(INDEX($AI$2:$AI$1001,MATCH(ROWS($AG$2:AG541),$AG$2:$AG$1001,0),0), INDEX($AN$1004:$BO$1004,1,MATCH(COLUMNS($AN$1006:AQ1006),$AN$1006:$BO$1006,0)))),"Fix")))</f>
        <v>0</v>
      </c>
      <c r="F541" s="4">
        <f>IF(OR(INDEX($AH$2:$AH$1001,MATCH(ROWS($AG$2:AG541),$AG$2:$AG$1001,0),1)&gt;=100000,INDEX($AN$1005:$BO$1005,1,MATCH(COLUMNS($AN$1006:AR1006),$AN$1006:$BO$1006,0))&gt;=100000), " ",IF(INDEX($AN$2:$BO$1001,MATCH(ROWS($AG$2:AG541),$AG$2:$AG$1001,0),MATCH(COLUMNS($AN$1006:AR1006),$AN$1006:$BO$1006,0)), HYPERLINK("#",""), HYPERLINK(CONCATENATE("#Metadata!", ADDRESS(INDEX($AI$2:$AI$1001,MATCH(ROWS($AG$2:AG541),$AG$2:$AG$1001,0),0), INDEX($AN$1004:$BO$1004,1,MATCH(COLUMNS($AN$1006:AR1006),$AN$1006:$BO$1006,0)))),"Fix")))</f>
        <v>0</v>
      </c>
      <c r="G541" s="4">
        <f>IF(OR(INDEX($AH$2:$AH$1001,MATCH(ROWS($AG$2:AG541),$AG$2:$AG$1001,0),1)&gt;=100000,INDEX($AN$1005:$BO$1005,1,MATCH(COLUMNS($AN$1006:AS1006),$AN$1006:$BO$1006,0))&gt;=100000), " ",IF(INDEX($AN$2:$BO$1001,MATCH(ROWS($AG$2:AG541),$AG$2:$AG$1001,0),MATCH(COLUMNS($AN$1006:AS1006),$AN$1006:$BO$1006,0)), HYPERLINK("#",""), HYPERLINK(CONCATENATE("#Metadata!", ADDRESS(INDEX($AI$2:$AI$1001,MATCH(ROWS($AG$2:AG541),$AG$2:$AG$1001,0),0), INDEX($AN$1004:$BO$1004,1,MATCH(COLUMNS($AN$1006:AS1006),$AN$1006:$BO$1006,0)))),"Fix")))</f>
        <v>0</v>
      </c>
      <c r="H541" s="4">
        <f>IF(OR(INDEX($AH$2:$AH$1001,MATCH(ROWS($AG$2:AG541),$AG$2:$AG$1001,0),1)&gt;=100000,INDEX($AN$1005:$BO$1005,1,MATCH(COLUMNS($AN$1006:AT1006),$AN$1006:$BO$1006,0))&gt;=100000), " ",IF(INDEX($AN$2:$BO$1001,MATCH(ROWS($AG$2:AG541),$AG$2:$AG$1001,0),MATCH(COLUMNS($AN$1006:AT1006),$AN$1006:$BO$1006,0)), HYPERLINK("#",""), HYPERLINK(CONCATENATE("#Metadata!", ADDRESS(INDEX($AI$2:$AI$1001,MATCH(ROWS($AG$2:AG541),$AG$2:$AG$1001,0),0), INDEX($AN$1004:$BO$1004,1,MATCH(COLUMNS($AN$1006:AT1006),$AN$1006:$BO$1006,0)))),"Fix")))</f>
        <v>0</v>
      </c>
      <c r="I541" s="4">
        <f>IF(OR(INDEX($AH$2:$AH$1001,MATCH(ROWS($AG$2:AG541),$AG$2:$AG$1001,0),1)&gt;=100000,INDEX($AN$1005:$BO$1005,1,MATCH(COLUMNS($AN$1006:AU1006),$AN$1006:$BO$1006,0))&gt;=100000), " ",IF(INDEX($AN$2:$BO$1001,MATCH(ROWS($AG$2:AG541),$AG$2:$AG$1001,0),MATCH(COLUMNS($AN$1006:AU1006),$AN$1006:$BO$1006,0)), HYPERLINK("#",""), HYPERLINK(CONCATENATE("#Metadata!", ADDRESS(INDEX($AI$2:$AI$1001,MATCH(ROWS($AG$2:AG541),$AG$2:$AG$1001,0),0), INDEX($AN$1004:$BO$1004,1,MATCH(COLUMNS($AN$1006:AU1006),$AN$1006:$BO$1006,0)))),"Fix")))</f>
        <v>0</v>
      </c>
      <c r="J541" s="4">
        <f>IF(OR(INDEX($AH$2:$AH$1001,MATCH(ROWS($AG$2:AG541),$AG$2:$AG$1001,0),1)&gt;=100000,INDEX($AN$1005:$BO$1005,1,MATCH(COLUMNS($AN$1006:AV1006),$AN$1006:$BO$1006,0))&gt;=100000), " ",IF(INDEX($AN$2:$BO$1001,MATCH(ROWS($AG$2:AG541),$AG$2:$AG$1001,0),MATCH(COLUMNS($AN$1006:AV1006),$AN$1006:$BO$1006,0)), HYPERLINK("#",""), HYPERLINK(CONCATENATE("#Metadata!", ADDRESS(INDEX($AI$2:$AI$1001,MATCH(ROWS($AG$2:AG541),$AG$2:$AG$1001,0),0), INDEX($AN$1004:$BO$1004,1,MATCH(COLUMNS($AN$1006:AV1006),$AN$1006:$BO$1006,0)))),"Fix")))</f>
        <v>0</v>
      </c>
      <c r="K541" s="4">
        <f>IF(OR(INDEX($AH$2:$AH$1001,MATCH(ROWS($AG$2:AG541),$AG$2:$AG$1001,0),1)&gt;=100000,INDEX($AN$1005:$BO$1005,1,MATCH(COLUMNS($AN$1006:AW1006),$AN$1006:$BO$1006,0))&gt;=100000), " ",IF(INDEX($AN$2:$BO$1001,MATCH(ROWS($AG$2:AG541),$AG$2:$AG$1001,0),MATCH(COLUMNS($AN$1006:AW1006),$AN$1006:$BO$1006,0)), HYPERLINK("#",""), HYPERLINK(CONCATENATE("#Metadata!", ADDRESS(INDEX($AI$2:$AI$1001,MATCH(ROWS($AG$2:AG541),$AG$2:$AG$1001,0),0), INDEX($AN$1004:$BO$1004,1,MATCH(COLUMNS($AN$1006:AW1006),$AN$1006:$BO$1006,0)))),"Fix")))</f>
        <v>0</v>
      </c>
      <c r="L541" s="4">
        <f>IF(OR(INDEX($AH$2:$AH$1001,MATCH(ROWS($AG$2:AG541),$AG$2:$AG$1001,0),1)&gt;=100000,INDEX($AN$1005:$BO$1005,1,MATCH(COLUMNS($AN$1006:AX1006),$AN$1006:$BO$1006,0))&gt;=100000), " ",IF(INDEX($AN$2:$BO$1001,MATCH(ROWS($AG$2:AG541),$AG$2:$AG$1001,0),MATCH(COLUMNS($AN$1006:AX1006),$AN$1006:$BO$1006,0)), HYPERLINK("#",""), HYPERLINK(CONCATENATE("#Metadata!", ADDRESS(INDEX($AI$2:$AI$1001,MATCH(ROWS($AG$2:AG541),$AG$2:$AG$1001,0),0), INDEX($AN$1004:$BO$1004,1,MATCH(COLUMNS($AN$1006:AX1006),$AN$1006:$BO$1006,0)))),"Fix")))</f>
        <v>0</v>
      </c>
      <c r="M541" s="4">
        <f>IF(OR(INDEX($AH$2:$AH$1001,MATCH(ROWS($AG$2:AG541),$AG$2:$AG$1001,0),1)&gt;=100000,INDEX($AN$1005:$BO$1005,1,MATCH(COLUMNS($AN$1006:AY1006),$AN$1006:$BO$1006,0))&gt;=100000), " ",IF(INDEX($AN$2:$BO$1001,MATCH(ROWS($AG$2:AG541),$AG$2:$AG$1001,0),MATCH(COLUMNS($AN$1006:AY1006),$AN$1006:$BO$1006,0)), HYPERLINK("#",""), HYPERLINK(CONCATENATE("#Metadata!", ADDRESS(INDEX($AI$2:$AI$1001,MATCH(ROWS($AG$2:AG541),$AG$2:$AG$1001,0),0), INDEX($AN$1004:$BO$1004,1,MATCH(COLUMNS($AN$1006:AY1006),$AN$1006:$BO$1006,0)))),"Fix")))</f>
        <v>0</v>
      </c>
      <c r="N541" s="4">
        <f>IF(OR(INDEX($AH$2:$AH$1001,MATCH(ROWS($AG$2:AG541),$AG$2:$AG$1001,0),1)&gt;=100000,INDEX($AN$1005:$BO$1005,1,MATCH(COLUMNS($AN$1006:AZ1006),$AN$1006:$BO$1006,0))&gt;=100000), " ",IF(INDEX($AN$2:$BO$1001,MATCH(ROWS($AG$2:AG541),$AG$2:$AG$1001,0),MATCH(COLUMNS($AN$1006:AZ1006),$AN$1006:$BO$1006,0)), HYPERLINK("#",""), HYPERLINK(CONCATENATE("#Metadata!", ADDRESS(INDEX($AI$2:$AI$1001,MATCH(ROWS($AG$2:AG541),$AG$2:$AG$1001,0),0), INDEX($AN$1004:$BO$1004,1,MATCH(COLUMNS($AN$1006:AZ1006),$AN$1006:$BO$1006,0)))),"Fix")))</f>
        <v>0</v>
      </c>
      <c r="O541" s="4">
        <f>IF(OR(INDEX($AH$2:$AH$1001,MATCH(ROWS($AG$2:AG541),$AG$2:$AG$1001,0),1)&gt;=100000,INDEX($AN$1005:$BO$1005,1,MATCH(COLUMNS($AN$1006:BA1006),$AN$1006:$BO$1006,0))&gt;=100000), " ",IF(INDEX($AN$2:$BO$1001,MATCH(ROWS($AG$2:AG541),$AG$2:$AG$1001,0),MATCH(COLUMNS($AN$1006:BA1006),$AN$1006:$BO$1006,0)), HYPERLINK("#",""), HYPERLINK(CONCATENATE("#Metadata!", ADDRESS(INDEX($AI$2:$AI$1001,MATCH(ROWS($AG$2:AG541),$AG$2:$AG$1001,0),0), INDEX($AN$1004:$BO$1004,1,MATCH(COLUMNS($AN$1006:BA1006),$AN$1006:$BO$1006,0)))),"Fix")))</f>
        <v>0</v>
      </c>
      <c r="P541" s="4">
        <f>IF(OR(INDEX($AH$2:$AH$1001,MATCH(ROWS($AG$2:AG541),$AG$2:$AG$1001,0),1)&gt;=100000,INDEX($AN$1005:$BO$1005,1,MATCH(COLUMNS($AN$1006:BB1006),$AN$1006:$BO$1006,0))&gt;=100000), " ",IF(INDEX($AN$2:$BO$1001,MATCH(ROWS($AG$2:AG541),$AG$2:$AG$1001,0),MATCH(COLUMNS($AN$1006:BB1006),$AN$1006:$BO$1006,0)), HYPERLINK("#",""), HYPERLINK(CONCATENATE("#Metadata!", ADDRESS(INDEX($AI$2:$AI$1001,MATCH(ROWS($AG$2:AG541),$AG$2:$AG$1001,0),0), INDEX($AN$1004:$BO$1004,1,MATCH(COLUMNS($AN$1006:BB1006),$AN$1006:$BO$1006,0)))),"Fix")))</f>
        <v>0</v>
      </c>
      <c r="Q541" s="4">
        <f>IF(OR(INDEX($AH$2:$AH$1001,MATCH(ROWS($AG$2:AG541),$AG$2:$AG$1001,0),1)&gt;=100000,INDEX($AN$1005:$BO$1005,1,MATCH(COLUMNS($AN$1006:BC1006),$AN$1006:$BO$1006,0))&gt;=100000), " ",IF(INDEX($AN$2:$BO$1001,MATCH(ROWS($AG$2:AG541),$AG$2:$AG$1001,0),MATCH(COLUMNS($AN$1006:BC1006),$AN$1006:$BO$1006,0)), HYPERLINK("#",""), HYPERLINK(CONCATENATE("#Metadata!", ADDRESS(INDEX($AI$2:$AI$1001,MATCH(ROWS($AG$2:AG541),$AG$2:$AG$1001,0),0), INDEX($AN$1004:$BO$1004,1,MATCH(COLUMNS($AN$1006:BC1006),$AN$1006:$BO$1006,0)))),"Fix")))</f>
        <v>0</v>
      </c>
      <c r="R541" s="4">
        <f>IF(OR(INDEX($AH$2:$AH$1001,MATCH(ROWS($AG$2:AG541),$AG$2:$AG$1001,0),1)&gt;=100000,INDEX($AN$1005:$BO$1005,1,MATCH(COLUMNS($AN$1006:BD1006),$AN$1006:$BO$1006,0))&gt;=100000), " ",IF(INDEX($AN$2:$BO$1001,MATCH(ROWS($AG$2:AG541),$AG$2:$AG$1001,0),MATCH(COLUMNS($AN$1006:BD1006),$AN$1006:$BO$1006,0)), HYPERLINK("#",""), HYPERLINK(CONCATENATE("#Metadata!", ADDRESS(INDEX($AI$2:$AI$1001,MATCH(ROWS($AG$2:AG541),$AG$2:$AG$1001,0),0), INDEX($AN$1004:$BO$1004,1,MATCH(COLUMNS($AN$1006:BD1006),$AN$1006:$BO$1006,0)))),"Fix")))</f>
        <v>0</v>
      </c>
      <c r="S541" s="4">
        <f>IF(OR(INDEX($AH$2:$AH$1001,MATCH(ROWS($AG$2:AG541),$AG$2:$AG$1001,0),1)&gt;=100000,INDEX($AN$1005:$BO$1005,1,MATCH(COLUMNS($AN$1006:BE1006),$AN$1006:$BO$1006,0))&gt;=100000), " ",IF(INDEX($AN$2:$BO$1001,MATCH(ROWS($AG$2:AG541),$AG$2:$AG$1001,0),MATCH(COLUMNS($AN$1006:BE1006),$AN$1006:$BO$1006,0)), HYPERLINK("#",""), HYPERLINK(CONCATENATE("#Metadata!", ADDRESS(INDEX($AI$2:$AI$1001,MATCH(ROWS($AG$2:AG541),$AG$2:$AG$1001,0),0), INDEX($AN$1004:$BO$1004,1,MATCH(COLUMNS($AN$1006:BE1006),$AN$1006:$BO$1006,0)))),"Fix")))</f>
        <v>0</v>
      </c>
      <c r="T541" s="4">
        <f>IF(OR(INDEX($AH$2:$AH$1001,MATCH(ROWS($AG$2:AG541),$AG$2:$AG$1001,0),1)&gt;=100000,INDEX($AN$1005:$BO$1005,1,MATCH(COLUMNS($AN$1006:BF1006),$AN$1006:$BO$1006,0))&gt;=100000), " ",IF(INDEX($AN$2:$BO$1001,MATCH(ROWS($AG$2:AG541),$AG$2:$AG$1001,0),MATCH(COLUMNS($AN$1006:BF1006),$AN$1006:$BO$1006,0)), HYPERLINK("#",""), HYPERLINK(CONCATENATE("#Metadata!", ADDRESS(INDEX($AI$2:$AI$1001,MATCH(ROWS($AG$2:AG541),$AG$2:$AG$1001,0),0), INDEX($AN$1004:$BO$1004,1,MATCH(COLUMNS($AN$1006:BF1006),$AN$1006:$BO$1006,0)))),"Fix")))</f>
        <v>0</v>
      </c>
      <c r="U541" s="4">
        <f>IF(OR(INDEX($AH$2:$AH$1001,MATCH(ROWS($AG$2:AG541),$AG$2:$AG$1001,0),1)&gt;=100000,INDEX($AN$1005:$BO$1005,1,MATCH(COLUMNS($AN$1006:BG1006),$AN$1006:$BO$1006,0))&gt;=100000), " ",IF(INDEX($AN$2:$BO$1001,MATCH(ROWS($AG$2:AG541),$AG$2:$AG$1001,0),MATCH(COLUMNS($AN$1006:BG1006),$AN$1006:$BO$1006,0)), HYPERLINK("#",""), HYPERLINK(CONCATENATE("#Metadata!", ADDRESS(INDEX($AI$2:$AI$1001,MATCH(ROWS($AG$2:AG541),$AG$2:$AG$1001,0),0), INDEX($AN$1004:$BO$1004,1,MATCH(COLUMNS($AN$1006:BG1006),$AN$1006:$BO$1006,0)))),"Fix")))</f>
        <v>0</v>
      </c>
      <c r="V541" s="4">
        <f>IF(OR(INDEX($AH$2:$AH$1001,MATCH(ROWS($AG$2:AG541),$AG$2:$AG$1001,0),1)&gt;=100000,INDEX($AN$1005:$BO$1005,1,MATCH(COLUMNS($AN$1006:BH1006),$AN$1006:$BO$1006,0))&gt;=100000), " ",IF(INDEX($AN$2:$BO$1001,MATCH(ROWS($AG$2:AG541),$AG$2:$AG$1001,0),MATCH(COLUMNS($AN$1006:BH1006),$AN$1006:$BO$1006,0)), HYPERLINK("#",""), HYPERLINK(CONCATENATE("#Metadata!", ADDRESS(INDEX($AI$2:$AI$1001,MATCH(ROWS($AG$2:AG541),$AG$2:$AG$1001,0),0), INDEX($AN$1004:$BO$1004,1,MATCH(COLUMNS($AN$1006:BH1006),$AN$1006:$BO$1006,0)))),"Fix")))</f>
        <v>0</v>
      </c>
      <c r="W541" s="4">
        <f>IF(OR(INDEX($AH$2:$AH$1001,MATCH(ROWS($AG$2:AG541),$AG$2:$AG$1001,0),1)&gt;=100000,INDEX($AN$1005:$BO$1005,1,MATCH(COLUMNS($AN$1006:BI1006),$AN$1006:$BO$1006,0))&gt;=100000), " ",IF(INDEX($AN$2:$BO$1001,MATCH(ROWS($AG$2:AG541),$AG$2:$AG$1001,0),MATCH(COLUMNS($AN$1006:BI1006),$AN$1006:$BO$1006,0)), HYPERLINK("#",""), HYPERLINK(CONCATENATE("#Metadata!", ADDRESS(INDEX($AI$2:$AI$1001,MATCH(ROWS($AG$2:AG541),$AG$2:$AG$1001,0),0), INDEX($AN$1004:$BO$1004,1,MATCH(COLUMNS($AN$1006:BI1006),$AN$1006:$BO$1006,0)))),"Fix")))</f>
        <v>0</v>
      </c>
      <c r="X541" s="4">
        <f>IF(OR(INDEX($AH$2:$AH$1001,MATCH(ROWS($AG$2:AG541),$AG$2:$AG$1001,0),1)&gt;=100000,INDEX($AN$1005:$BO$1005,1,MATCH(COLUMNS($AN$1006:BJ1006),$AN$1006:$BO$1006,0))&gt;=100000), " ",IF(INDEX($AN$2:$BO$1001,MATCH(ROWS($AG$2:AG541),$AG$2:$AG$1001,0),MATCH(COLUMNS($AN$1006:BJ1006),$AN$1006:$BO$1006,0)), HYPERLINK("#",""), HYPERLINK(CONCATENATE("#Metadata!", ADDRESS(INDEX($AI$2:$AI$1001,MATCH(ROWS($AG$2:AG541),$AG$2:$AG$1001,0),0), INDEX($AN$1004:$BO$1004,1,MATCH(COLUMNS($AN$1006:BJ1006),$AN$1006:$BO$1006,0)))),"Fix")))</f>
        <v>0</v>
      </c>
      <c r="Y541" s="4">
        <f>IF(OR(INDEX($AH$2:$AH$1001,MATCH(ROWS($AG$2:AG541),$AG$2:$AG$1001,0),1)&gt;=100000,INDEX($AN$1005:$BO$1005,1,MATCH(COLUMNS($AN$1006:BK1006),$AN$1006:$BO$1006,0))&gt;=100000), " ",IF(INDEX($AN$2:$BO$1001,MATCH(ROWS($AG$2:AG541),$AG$2:$AG$1001,0),MATCH(COLUMNS($AN$1006:BK1006),$AN$1006:$BO$1006,0)), HYPERLINK("#",""), HYPERLINK(CONCATENATE("#Metadata!", ADDRESS(INDEX($AI$2:$AI$1001,MATCH(ROWS($AG$2:AG541),$AG$2:$AG$1001,0),0), INDEX($AN$1004:$BO$1004,1,MATCH(COLUMNS($AN$1006:BK1006),$AN$1006:$BO$1006,0)))),"Fix")))</f>
        <v>0</v>
      </c>
      <c r="Z541" s="4">
        <f>IF(OR(INDEX($AH$2:$AH$1001,MATCH(ROWS($AG$2:AG541),$AG$2:$AG$1001,0),1)&gt;=100000,INDEX($AN$1005:$BO$1005,1,MATCH(COLUMNS($AN$1006:BL1006),$AN$1006:$BO$1006,0))&gt;=100000), " ",IF(INDEX($AN$2:$BO$1001,MATCH(ROWS($AG$2:AG541),$AG$2:$AG$1001,0),MATCH(COLUMNS($AN$1006:BL1006),$AN$1006:$BO$1006,0)), HYPERLINK("#",""), HYPERLINK(CONCATENATE("#Metadata!", ADDRESS(INDEX($AI$2:$AI$1001,MATCH(ROWS($AG$2:AG541),$AG$2:$AG$1001,0),0), INDEX($AN$1004:$BO$1004,1,MATCH(COLUMNS($AN$1006:BL1006),$AN$1006:$BO$1006,0)))),"Fix")))</f>
        <v>0</v>
      </c>
      <c r="AA541" s="4">
        <f>IF(OR(INDEX($AH$2:$AH$1001,MATCH(ROWS($AG$2:AG541),$AG$2:$AG$1001,0),1)&gt;=100000,INDEX($AN$1005:$BO$1005,1,MATCH(COLUMNS($AN$1006:BM1006),$AN$1006:$BO$1006,0))&gt;=100000), " ",IF(INDEX($AN$2:$BO$1001,MATCH(ROWS($AG$2:AG541),$AG$2:$AG$1001,0),MATCH(COLUMNS($AN$1006:BM1006),$AN$1006:$BO$1006,0)), HYPERLINK("#",""), HYPERLINK(CONCATENATE("#Metadata!", ADDRESS(INDEX($AI$2:$AI$1001,MATCH(ROWS($AG$2:AG541),$AG$2:$AG$1001,0),0), INDEX($AN$1004:$BO$1004,1,MATCH(COLUMNS($AN$1006:BM1006),$AN$1006:$BO$1006,0)))),"Fix")))</f>
        <v>0</v>
      </c>
      <c r="AB541" s="4">
        <f>IF(OR(INDEX($AH$2:$AH$1001,MATCH(ROWS($AG$2:AG541),$AG$2:$AG$1001,0),1)&gt;=100000,INDEX($AN$1005:$BO$1005,1,MATCH(COLUMNS($AN$1006:BN1006),$AN$1006:$BO$1006,0))&gt;=100000), " ",IF(INDEX($AN$2:$BO$1001,MATCH(ROWS($AG$2:AG541),$AG$2:$AG$1001,0),MATCH(COLUMNS($AN$1006:BN1006),$AN$1006:$BO$1006,0)), HYPERLINK("#",""), HYPERLINK(CONCATENATE("#Metadata!", ADDRESS(INDEX($AI$2:$AI$1001,MATCH(ROWS($AG$2:AG541),$AG$2:$AG$1001,0),0), INDEX($AN$1004:$BO$1004,1,MATCH(COLUMNS($AN$1006:BN1006),$AN$1006:$BO$1006,0)))),"Fix")))</f>
        <v>0</v>
      </c>
      <c r="AC541" s="4">
        <f>IF(OR(INDEX($AH$2:$AH$1001,MATCH(ROWS($AG$2:AG541),$AG$2:$AG$1001,0),1)&gt;=100000,INDEX($AN$1005:$BO$1005,1,MATCH(COLUMNS($AN$1006:BO1006),$AN$1006:$BO$1006,0))&gt;=100000), " ",IF(INDEX($AN$2:$BO$1001,MATCH(ROWS($AG$2:AG541),$AG$2:$AG$1001,0),MATCH(COLUMNS($AN$1006:BO1006),$AN$1006:$BO$1006,0)), HYPERLINK("#",""), HYPERLINK(CONCATENATE("#Metadata!", ADDRESS(INDEX($AI$2:$AI$1001,MATCH(ROWS($AG$2:AG541),$AG$2:$AG$1001,0),0), INDEX($AN$1004:$BO$1004,1,MATCH(COLUMNS($AN$1006:BO1006),$AN$1006:$BO$1006,0)))),"Fix")))</f>
        <v>0</v>
      </c>
      <c r="AG541">
        <v>0</v>
      </c>
      <c r="AH541">
        <v>0</v>
      </c>
      <c r="AI541">
        <v>0</v>
      </c>
      <c r="AJ541">
        <f>IF(AK541,TRUE,AND(AN541:BO541))</f>
        <v>0</v>
      </c>
      <c r="AK541">
        <f>COUNTBLANK(Metadata!B541:AC541)=COLUMNS(Metadata!B541:AC541)</f>
        <v>0</v>
      </c>
      <c r="AL541">
        <v>0</v>
      </c>
      <c r="AN541">
        <f>AND(IF(Metadata!B541="",FALSE,TRUE),COUNTIF(Metadata!B:B, Metadata!B541) = 1,NOT(ISERROR(SUMPRODUCT(SEARCH(MID(Metadata!B541,ROW(INDIRECT("1:"&amp;LEN(Metadata!B541))), 1),"0123456789abcdefghijklmnopqrstuvwxyzABCDEFGHIJKLMNOPQRSTUVWXYZ.")))))</f>
        <v>0</v>
      </c>
      <c r="AO541">
        <f>IF(Metadata!C541="",FALSE,TRUE)</f>
        <v>0</v>
      </c>
      <c r="AP541">
        <f>IF(Metadata!D541="",FALSE,TRUE)</f>
        <v>0</v>
      </c>
      <c r="AQ541">
        <f>OR(AND(IF(Metadata!E541="",FALSE,TRUE),OR(exact(Metadata!E541,"not collected"),exact(Metadata!E541,"not provided"),exact(Metadata!E541,"restricted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R541">
        <f>IF(Metadata!F541="",FALSE,TRUE)</f>
        <v>0</v>
      </c>
      <c r="AS541">
        <f>OR(AND(IF(Metadata!G541="",FALSE,TRUE),OR(exact(Metadata!G541,"not collected"),exact(Metadata!G541,"not provided"))),AND(IF(Metadata!G541="",FALSE,TRUE),OR(exact(Metadata!G541,"TRUE"),exact(Metadata!G541,"FALSE"))))</f>
        <v>0</v>
      </c>
      <c r="AT541">
        <f>OR(AND(IF(Metadata!H541="",FALSE,TRUE),OR(exact(Metadata!H541,"not collected"),exact(Metadata!H541,"not provided"),exact(Metadata!H541,"restricted access"))),AND(IF(Metadata!H541="",FALSE,ISNUMBER(VALUE(Metadata!H541))),Metadata!H541&gt;=-413.0))</f>
        <v>0</v>
      </c>
      <c r="AU541">
        <f>AND(IF(Metadata!I541="",FALSE,TRUE),exact(Metadata!I541,"meters"))</f>
        <v>0</v>
      </c>
      <c r="AV541">
        <f>AND(IF(Metadata!J541="",FALSE,TRUE),OR(exact(Metadata!J541,"Host-associated"),exact(Metadata!J541,"Free-living")))</f>
        <v>0</v>
      </c>
      <c r="AW541">
        <f>AND(IF(Metadata!K541="",FALSE,TRUE),OR(exact(Metadata!K541,"Animal"),exact(Metadata!K541,"Fungus"),exact(Metadata!K541,"Plant"),exact(Metadata!K541,"Saline"),exact(Metadata!K541,"Non-saline")))</f>
        <v>0</v>
      </c>
      <c r="AX541">
        <f>AND(IF(Metadata!L541="",FALSE,TRUE),OR(exact(Metadata!L541,"Plant secretion"),exact(Metadata!L541,"Plant rhizosphere"),exact(Metadata!L541,"Plant surface"),exact(Metadata!L541,"Plant corpus"),exact(Metadata!L541,"Fungus surface"),exact(Metadata!L541,"Fungus corpus"),exact(Metadata!L541,"Animal surface"),exact(Metadata!L541,"Animal proximal gut"),exact(Metadata!L541,"Animal corpus"),exact(Metadata!L541,"Animal distal gut"),exact(Metadata!L541,"Animal secretion"),exact(Metadata!L541,"Sub-surface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Y541">
        <f>IF(Metadata!M541="",FALSE,TRUE)</f>
        <v>0</v>
      </c>
      <c r="AZ541">
        <f>IF(Metadata!N541="",FALSE,TRUE)</f>
        <v>0</v>
      </c>
      <c r="BA541">
        <f>IF(Metadata!O541="",FALSE,TRUE)</f>
        <v>0</v>
      </c>
      <c r="BB541">
        <f>OR(AND(IF(Metadata!P541="",FALSE,TRUE),OR(exact(Metadata!P541,"not collected"),exact(Metadata!P541,"not provided"),exact(Metadata!P541,"restricted access"))),AND(IF(Metadata!P541="",FALSE,TRUE),OR(exact(Metadata!P541,"air"),exact(Metadata!P541,"built environment"),exact(Metadata!P541,"host-associated"),exact(Metadata!P541,"human-associated"),exact(Metadata!P541,"human-skin"),exact(Metadata!P541,"human-oral"),exact(Metadata!P541,"human-gut"),exact(Metadata!P541,"human-vaginal"),exact(Metadata!P541,"microbial mat/biofilm"),exact(Metadata!P541,"misc environment"),exact(Metadata!P541,"plant-associated"),exact(Metadata!P541,"sediment"),exact(Metadata!P541,"soil"),exact(Metadata!P541,"wastewater/sludge"),exact(Metadata!P541,"water"))))</f>
        <v>0</v>
      </c>
      <c r="BC541">
        <f>IF(Metadata!Q541="",FALSE,TRUE)</f>
        <v>0</v>
      </c>
      <c r="BD541">
        <f>IF(Metadata!R541="",FALSE,TRUE)</f>
        <v>0</v>
      </c>
      <c r="BE541">
        <f>OR(AND(IF(Metadata!S541="",FALSE,TRUE),OR(exact(Metadata!S541,"not collected"),exact(Metadata!S541,"not provided"),exact(Metadata!S541,"restricted access"))),AND(IF(Metadata!S541="",FALSE,ISNUMBER(VALUE(Metadata!S541))),Metadata!S541&gt;=-90.00,Metadata!S541&lt;=90.00))</f>
        <v>0</v>
      </c>
      <c r="BF541">
        <f>AND(IF(Metadata!T541="",FALSE,TRUE),exact(Metadata!T541,"Decimal degrees"))</f>
        <v>0</v>
      </c>
      <c r="BG541">
        <f>OR(AND(IF(Metadata!U541="",FALSE,TRUE),OR(exact(Metadata!U541,"not collected"),exact(Metadata!U541,"not provided"),exact(Metadata!U541,"restricted access"))),AND(IF(Metadata!U541="",FALSE,ISNUMBER(VALUE(Metadata!U541))),Metadata!U541&gt;=-180.00,Metadata!U541&lt;=180.00))</f>
        <v>0</v>
      </c>
      <c r="BH541">
        <f>AND(IF(Metadata!V541="",FALSE,TRUE),exact(Metadata!V541,"Decimal degrees"))</f>
        <v>0</v>
      </c>
      <c r="BI541">
        <f>IF(Metadata!W541="",FALSE,TRUE)</f>
        <v>0</v>
      </c>
      <c r="BJ541">
        <f>OR(AND(IF(Metadata!X541="",FALSE,TRUE),OR(exact(Metadata!X541,"not collected"),exact(Metadata!X541,"not provided"),exact(Metadata!X541,"restricted access"))),AND(IF(Metadata!X541="",FALSE,TRUE),OR(exact(Metadata!X541,"TRUE"),exact(Metadata!X541,"FALSE"))))</f>
        <v>0</v>
      </c>
      <c r="BK541">
        <f>AND(IF(Metadata!Y541="",FALSE,TRUE),exact(Metadata!Y541,"other"))</f>
        <v>0</v>
      </c>
      <c r="BL541">
        <f>IF(Metadata!Z541="",FALSE,TRUE)</f>
        <v>0</v>
      </c>
      <c r="BM541">
        <f>OR(AND(IF(Metadata!AA541="",FALSE,TRUE),OR(exact(Metadata!AA541,"not collected"),exact(Metadata!AA541,"not provided"))),AND(IF(Metadata!AA541="",FALSE,IF(ISERROR(INT(Metadata!AA541)),FALSE,INT(Metadata!AA541)=Metadata!AA541)),Metadata!AA541&gt;0))</f>
        <v>0</v>
      </c>
      <c r="BN541">
        <f>AND(IF(Metadata!AB541="",FALSE,TRUE),exact(Metadata!AB541,"Not applicable"))</f>
        <v>0</v>
      </c>
      <c r="BO541">
        <f>IF(Metadata!AC541="",FALSE,TRUE)</f>
        <v>0</v>
      </c>
    </row>
    <row r="542" spans="1:67">
      <c r="A542" s="5">
        <f>IF(B542=" "," ",HYPERLINK(CONCATENATE("#metadata!",ADDRESS(INDEX($AI$2:$AI$1001,MATCH(ROWS($AG$2:AG542),$AG$2:$AG$1001,0),0),1)),INDEX($AL$2:$AL$1001,MATCH(ROWS($AG$2:AG542),$AG$2:$AG$1001,0),0)))</f>
        <v>0</v>
      </c>
      <c r="B542" s="4">
        <f>IF(OR(INDEX($AH$2:$AH$1001,MATCH(ROWS($AG$2:AG542),$AG$2:$AG$1001,0),1)&gt;=100000,INDEX($AN$1005:$BO$1005,1,MATCH(COLUMNS($AN$1006:AN1006),$AN$1006:$BO$1006,0))&gt;=100000), " ",IF(INDEX($AN$2:$BO$1001,MATCH(ROWS($AG$2:AG542),$AG$2:$AG$1001,0),MATCH(COLUMNS($AN$1006:AN1006),$AN$1006:$BO$1006,0)), HYPERLINK("#",""), HYPERLINK(CONCATENATE("#Metadata!", ADDRESS(INDEX($AI$2:$AI$1001,MATCH(ROWS($AG$2:AG542),$AG$2:$AG$1001,0),0), INDEX($AN$1004:$BO$1004,1,MATCH(COLUMNS($AN$1006:AN1006),$AN$1006:$BO$1006,0)))),"Fix")))</f>
        <v>0</v>
      </c>
      <c r="C542" s="4">
        <f>IF(OR(INDEX($AH$2:$AH$1001,MATCH(ROWS($AG$2:AG542),$AG$2:$AG$1001,0),1)&gt;=100000,INDEX($AN$1005:$BO$1005,1,MATCH(COLUMNS($AN$1006:AO1006),$AN$1006:$BO$1006,0))&gt;=100000), " ",IF(INDEX($AN$2:$BO$1001,MATCH(ROWS($AG$2:AG542),$AG$2:$AG$1001,0),MATCH(COLUMNS($AN$1006:AO1006),$AN$1006:$BO$1006,0)), HYPERLINK("#",""), HYPERLINK(CONCATENATE("#Metadata!", ADDRESS(INDEX($AI$2:$AI$1001,MATCH(ROWS($AG$2:AG542),$AG$2:$AG$1001,0),0), INDEX($AN$1004:$BO$1004,1,MATCH(COLUMNS($AN$1006:AO1006),$AN$1006:$BO$1006,0)))),"Fix")))</f>
        <v>0</v>
      </c>
      <c r="D542" s="4">
        <f>IF(OR(INDEX($AH$2:$AH$1001,MATCH(ROWS($AG$2:AG542),$AG$2:$AG$1001,0),1)&gt;=100000,INDEX($AN$1005:$BO$1005,1,MATCH(COLUMNS($AN$1006:AP1006),$AN$1006:$BO$1006,0))&gt;=100000), " ",IF(INDEX($AN$2:$BO$1001,MATCH(ROWS($AG$2:AG542),$AG$2:$AG$1001,0),MATCH(COLUMNS($AN$1006:AP1006),$AN$1006:$BO$1006,0)), HYPERLINK("#",""), HYPERLINK(CONCATENATE("#Metadata!", ADDRESS(INDEX($AI$2:$AI$1001,MATCH(ROWS($AG$2:AG542),$AG$2:$AG$1001,0),0), INDEX($AN$1004:$BO$1004,1,MATCH(COLUMNS($AN$1006:AP1006),$AN$1006:$BO$1006,0)))),"Fix")))</f>
        <v>0</v>
      </c>
      <c r="E542" s="4">
        <f>IF(OR(INDEX($AH$2:$AH$1001,MATCH(ROWS($AG$2:AG542),$AG$2:$AG$1001,0),1)&gt;=100000,INDEX($AN$1005:$BO$1005,1,MATCH(COLUMNS($AN$1006:AQ1006),$AN$1006:$BO$1006,0))&gt;=100000), " ",IF(INDEX($AN$2:$BO$1001,MATCH(ROWS($AG$2:AG542),$AG$2:$AG$1001,0),MATCH(COLUMNS($AN$1006:AQ1006),$AN$1006:$BO$1006,0)), HYPERLINK("#",""), HYPERLINK(CONCATENATE("#Metadata!", ADDRESS(INDEX($AI$2:$AI$1001,MATCH(ROWS($AG$2:AG542),$AG$2:$AG$1001,0),0), INDEX($AN$1004:$BO$1004,1,MATCH(COLUMNS($AN$1006:AQ1006),$AN$1006:$BO$1006,0)))),"Fix")))</f>
        <v>0</v>
      </c>
      <c r="F542" s="4">
        <f>IF(OR(INDEX($AH$2:$AH$1001,MATCH(ROWS($AG$2:AG542),$AG$2:$AG$1001,0),1)&gt;=100000,INDEX($AN$1005:$BO$1005,1,MATCH(COLUMNS($AN$1006:AR1006),$AN$1006:$BO$1006,0))&gt;=100000), " ",IF(INDEX($AN$2:$BO$1001,MATCH(ROWS($AG$2:AG542),$AG$2:$AG$1001,0),MATCH(COLUMNS($AN$1006:AR1006),$AN$1006:$BO$1006,0)), HYPERLINK("#",""), HYPERLINK(CONCATENATE("#Metadata!", ADDRESS(INDEX($AI$2:$AI$1001,MATCH(ROWS($AG$2:AG542),$AG$2:$AG$1001,0),0), INDEX($AN$1004:$BO$1004,1,MATCH(COLUMNS($AN$1006:AR1006),$AN$1006:$BO$1006,0)))),"Fix")))</f>
        <v>0</v>
      </c>
      <c r="G542" s="4">
        <f>IF(OR(INDEX($AH$2:$AH$1001,MATCH(ROWS($AG$2:AG542),$AG$2:$AG$1001,0),1)&gt;=100000,INDEX($AN$1005:$BO$1005,1,MATCH(COLUMNS($AN$1006:AS1006),$AN$1006:$BO$1006,0))&gt;=100000), " ",IF(INDEX($AN$2:$BO$1001,MATCH(ROWS($AG$2:AG542),$AG$2:$AG$1001,0),MATCH(COLUMNS($AN$1006:AS1006),$AN$1006:$BO$1006,0)), HYPERLINK("#",""), HYPERLINK(CONCATENATE("#Metadata!", ADDRESS(INDEX($AI$2:$AI$1001,MATCH(ROWS($AG$2:AG542),$AG$2:$AG$1001,0),0), INDEX($AN$1004:$BO$1004,1,MATCH(COLUMNS($AN$1006:AS1006),$AN$1006:$BO$1006,0)))),"Fix")))</f>
        <v>0</v>
      </c>
      <c r="H542" s="4">
        <f>IF(OR(INDEX($AH$2:$AH$1001,MATCH(ROWS($AG$2:AG542),$AG$2:$AG$1001,0),1)&gt;=100000,INDEX($AN$1005:$BO$1005,1,MATCH(COLUMNS($AN$1006:AT1006),$AN$1006:$BO$1006,0))&gt;=100000), " ",IF(INDEX($AN$2:$BO$1001,MATCH(ROWS($AG$2:AG542),$AG$2:$AG$1001,0),MATCH(COLUMNS($AN$1006:AT1006),$AN$1006:$BO$1006,0)), HYPERLINK("#",""), HYPERLINK(CONCATENATE("#Metadata!", ADDRESS(INDEX($AI$2:$AI$1001,MATCH(ROWS($AG$2:AG542),$AG$2:$AG$1001,0),0), INDEX($AN$1004:$BO$1004,1,MATCH(COLUMNS($AN$1006:AT1006),$AN$1006:$BO$1006,0)))),"Fix")))</f>
        <v>0</v>
      </c>
      <c r="I542" s="4">
        <f>IF(OR(INDEX($AH$2:$AH$1001,MATCH(ROWS($AG$2:AG542),$AG$2:$AG$1001,0),1)&gt;=100000,INDEX($AN$1005:$BO$1005,1,MATCH(COLUMNS($AN$1006:AU1006),$AN$1006:$BO$1006,0))&gt;=100000), " ",IF(INDEX($AN$2:$BO$1001,MATCH(ROWS($AG$2:AG542),$AG$2:$AG$1001,0),MATCH(COLUMNS($AN$1006:AU1006),$AN$1006:$BO$1006,0)), HYPERLINK("#",""), HYPERLINK(CONCATENATE("#Metadata!", ADDRESS(INDEX($AI$2:$AI$1001,MATCH(ROWS($AG$2:AG542),$AG$2:$AG$1001,0),0), INDEX($AN$1004:$BO$1004,1,MATCH(COLUMNS($AN$1006:AU1006),$AN$1006:$BO$1006,0)))),"Fix")))</f>
        <v>0</v>
      </c>
      <c r="J542" s="4">
        <f>IF(OR(INDEX($AH$2:$AH$1001,MATCH(ROWS($AG$2:AG542),$AG$2:$AG$1001,0),1)&gt;=100000,INDEX($AN$1005:$BO$1005,1,MATCH(COLUMNS($AN$1006:AV1006),$AN$1006:$BO$1006,0))&gt;=100000), " ",IF(INDEX($AN$2:$BO$1001,MATCH(ROWS($AG$2:AG542),$AG$2:$AG$1001,0),MATCH(COLUMNS($AN$1006:AV1006),$AN$1006:$BO$1006,0)), HYPERLINK("#",""), HYPERLINK(CONCATENATE("#Metadata!", ADDRESS(INDEX($AI$2:$AI$1001,MATCH(ROWS($AG$2:AG542),$AG$2:$AG$1001,0),0), INDEX($AN$1004:$BO$1004,1,MATCH(COLUMNS($AN$1006:AV1006),$AN$1006:$BO$1006,0)))),"Fix")))</f>
        <v>0</v>
      </c>
      <c r="K542" s="4">
        <f>IF(OR(INDEX($AH$2:$AH$1001,MATCH(ROWS($AG$2:AG542),$AG$2:$AG$1001,0),1)&gt;=100000,INDEX($AN$1005:$BO$1005,1,MATCH(COLUMNS($AN$1006:AW1006),$AN$1006:$BO$1006,0))&gt;=100000), " ",IF(INDEX($AN$2:$BO$1001,MATCH(ROWS($AG$2:AG542),$AG$2:$AG$1001,0),MATCH(COLUMNS($AN$1006:AW1006),$AN$1006:$BO$1006,0)), HYPERLINK("#",""), HYPERLINK(CONCATENATE("#Metadata!", ADDRESS(INDEX($AI$2:$AI$1001,MATCH(ROWS($AG$2:AG542),$AG$2:$AG$1001,0),0), INDEX($AN$1004:$BO$1004,1,MATCH(COLUMNS($AN$1006:AW1006),$AN$1006:$BO$1006,0)))),"Fix")))</f>
        <v>0</v>
      </c>
      <c r="L542" s="4">
        <f>IF(OR(INDEX($AH$2:$AH$1001,MATCH(ROWS($AG$2:AG542),$AG$2:$AG$1001,0),1)&gt;=100000,INDEX($AN$1005:$BO$1005,1,MATCH(COLUMNS($AN$1006:AX1006),$AN$1006:$BO$1006,0))&gt;=100000), " ",IF(INDEX($AN$2:$BO$1001,MATCH(ROWS($AG$2:AG542),$AG$2:$AG$1001,0),MATCH(COLUMNS($AN$1006:AX1006),$AN$1006:$BO$1006,0)), HYPERLINK("#",""), HYPERLINK(CONCATENATE("#Metadata!", ADDRESS(INDEX($AI$2:$AI$1001,MATCH(ROWS($AG$2:AG542),$AG$2:$AG$1001,0),0), INDEX($AN$1004:$BO$1004,1,MATCH(COLUMNS($AN$1006:AX1006),$AN$1006:$BO$1006,0)))),"Fix")))</f>
        <v>0</v>
      </c>
      <c r="M542" s="4">
        <f>IF(OR(INDEX($AH$2:$AH$1001,MATCH(ROWS($AG$2:AG542),$AG$2:$AG$1001,0),1)&gt;=100000,INDEX($AN$1005:$BO$1005,1,MATCH(COLUMNS($AN$1006:AY1006),$AN$1006:$BO$1006,0))&gt;=100000), " ",IF(INDEX($AN$2:$BO$1001,MATCH(ROWS($AG$2:AG542),$AG$2:$AG$1001,0),MATCH(COLUMNS($AN$1006:AY1006),$AN$1006:$BO$1006,0)), HYPERLINK("#",""), HYPERLINK(CONCATENATE("#Metadata!", ADDRESS(INDEX($AI$2:$AI$1001,MATCH(ROWS($AG$2:AG542),$AG$2:$AG$1001,0),0), INDEX($AN$1004:$BO$1004,1,MATCH(COLUMNS($AN$1006:AY1006),$AN$1006:$BO$1006,0)))),"Fix")))</f>
        <v>0</v>
      </c>
      <c r="N542" s="4">
        <f>IF(OR(INDEX($AH$2:$AH$1001,MATCH(ROWS($AG$2:AG542),$AG$2:$AG$1001,0),1)&gt;=100000,INDEX($AN$1005:$BO$1005,1,MATCH(COLUMNS($AN$1006:AZ1006),$AN$1006:$BO$1006,0))&gt;=100000), " ",IF(INDEX($AN$2:$BO$1001,MATCH(ROWS($AG$2:AG542),$AG$2:$AG$1001,0),MATCH(COLUMNS($AN$1006:AZ1006),$AN$1006:$BO$1006,0)), HYPERLINK("#",""), HYPERLINK(CONCATENATE("#Metadata!", ADDRESS(INDEX($AI$2:$AI$1001,MATCH(ROWS($AG$2:AG542),$AG$2:$AG$1001,0),0), INDEX($AN$1004:$BO$1004,1,MATCH(COLUMNS($AN$1006:AZ1006),$AN$1006:$BO$1006,0)))),"Fix")))</f>
        <v>0</v>
      </c>
      <c r="O542" s="4">
        <f>IF(OR(INDEX($AH$2:$AH$1001,MATCH(ROWS($AG$2:AG542),$AG$2:$AG$1001,0),1)&gt;=100000,INDEX($AN$1005:$BO$1005,1,MATCH(COLUMNS($AN$1006:BA1006),$AN$1006:$BO$1006,0))&gt;=100000), " ",IF(INDEX($AN$2:$BO$1001,MATCH(ROWS($AG$2:AG542),$AG$2:$AG$1001,0),MATCH(COLUMNS($AN$1006:BA1006),$AN$1006:$BO$1006,0)), HYPERLINK("#",""), HYPERLINK(CONCATENATE("#Metadata!", ADDRESS(INDEX($AI$2:$AI$1001,MATCH(ROWS($AG$2:AG542),$AG$2:$AG$1001,0),0), INDEX($AN$1004:$BO$1004,1,MATCH(COLUMNS($AN$1006:BA1006),$AN$1006:$BO$1006,0)))),"Fix")))</f>
        <v>0</v>
      </c>
      <c r="P542" s="4">
        <f>IF(OR(INDEX($AH$2:$AH$1001,MATCH(ROWS($AG$2:AG542),$AG$2:$AG$1001,0),1)&gt;=100000,INDEX($AN$1005:$BO$1005,1,MATCH(COLUMNS($AN$1006:BB1006),$AN$1006:$BO$1006,0))&gt;=100000), " ",IF(INDEX($AN$2:$BO$1001,MATCH(ROWS($AG$2:AG542),$AG$2:$AG$1001,0),MATCH(COLUMNS($AN$1006:BB1006),$AN$1006:$BO$1006,0)), HYPERLINK("#",""), HYPERLINK(CONCATENATE("#Metadata!", ADDRESS(INDEX($AI$2:$AI$1001,MATCH(ROWS($AG$2:AG542),$AG$2:$AG$1001,0),0), INDEX($AN$1004:$BO$1004,1,MATCH(COLUMNS($AN$1006:BB1006),$AN$1006:$BO$1006,0)))),"Fix")))</f>
        <v>0</v>
      </c>
      <c r="Q542" s="4">
        <f>IF(OR(INDEX($AH$2:$AH$1001,MATCH(ROWS($AG$2:AG542),$AG$2:$AG$1001,0),1)&gt;=100000,INDEX($AN$1005:$BO$1005,1,MATCH(COLUMNS($AN$1006:BC1006),$AN$1006:$BO$1006,0))&gt;=100000), " ",IF(INDEX($AN$2:$BO$1001,MATCH(ROWS($AG$2:AG542),$AG$2:$AG$1001,0),MATCH(COLUMNS($AN$1006:BC1006),$AN$1006:$BO$1006,0)), HYPERLINK("#",""), HYPERLINK(CONCATENATE("#Metadata!", ADDRESS(INDEX($AI$2:$AI$1001,MATCH(ROWS($AG$2:AG542),$AG$2:$AG$1001,0),0), INDEX($AN$1004:$BO$1004,1,MATCH(COLUMNS($AN$1006:BC1006),$AN$1006:$BO$1006,0)))),"Fix")))</f>
        <v>0</v>
      </c>
      <c r="R542" s="4">
        <f>IF(OR(INDEX($AH$2:$AH$1001,MATCH(ROWS($AG$2:AG542),$AG$2:$AG$1001,0),1)&gt;=100000,INDEX($AN$1005:$BO$1005,1,MATCH(COLUMNS($AN$1006:BD1006),$AN$1006:$BO$1006,0))&gt;=100000), " ",IF(INDEX($AN$2:$BO$1001,MATCH(ROWS($AG$2:AG542),$AG$2:$AG$1001,0),MATCH(COLUMNS($AN$1006:BD1006),$AN$1006:$BO$1006,0)), HYPERLINK("#",""), HYPERLINK(CONCATENATE("#Metadata!", ADDRESS(INDEX($AI$2:$AI$1001,MATCH(ROWS($AG$2:AG542),$AG$2:$AG$1001,0),0), INDEX($AN$1004:$BO$1004,1,MATCH(COLUMNS($AN$1006:BD1006),$AN$1006:$BO$1006,0)))),"Fix")))</f>
        <v>0</v>
      </c>
      <c r="S542" s="4">
        <f>IF(OR(INDEX($AH$2:$AH$1001,MATCH(ROWS($AG$2:AG542),$AG$2:$AG$1001,0),1)&gt;=100000,INDEX($AN$1005:$BO$1005,1,MATCH(COLUMNS($AN$1006:BE1006),$AN$1006:$BO$1006,0))&gt;=100000), " ",IF(INDEX($AN$2:$BO$1001,MATCH(ROWS($AG$2:AG542),$AG$2:$AG$1001,0),MATCH(COLUMNS($AN$1006:BE1006),$AN$1006:$BO$1006,0)), HYPERLINK("#",""), HYPERLINK(CONCATENATE("#Metadata!", ADDRESS(INDEX($AI$2:$AI$1001,MATCH(ROWS($AG$2:AG542),$AG$2:$AG$1001,0),0), INDEX($AN$1004:$BO$1004,1,MATCH(COLUMNS($AN$1006:BE1006),$AN$1006:$BO$1006,0)))),"Fix")))</f>
        <v>0</v>
      </c>
      <c r="T542" s="4">
        <f>IF(OR(INDEX($AH$2:$AH$1001,MATCH(ROWS($AG$2:AG542),$AG$2:$AG$1001,0),1)&gt;=100000,INDEX($AN$1005:$BO$1005,1,MATCH(COLUMNS($AN$1006:BF1006),$AN$1006:$BO$1006,0))&gt;=100000), " ",IF(INDEX($AN$2:$BO$1001,MATCH(ROWS($AG$2:AG542),$AG$2:$AG$1001,0),MATCH(COLUMNS($AN$1006:BF1006),$AN$1006:$BO$1006,0)), HYPERLINK("#",""), HYPERLINK(CONCATENATE("#Metadata!", ADDRESS(INDEX($AI$2:$AI$1001,MATCH(ROWS($AG$2:AG542),$AG$2:$AG$1001,0),0), INDEX($AN$1004:$BO$1004,1,MATCH(COLUMNS($AN$1006:BF1006),$AN$1006:$BO$1006,0)))),"Fix")))</f>
        <v>0</v>
      </c>
      <c r="U542" s="4">
        <f>IF(OR(INDEX($AH$2:$AH$1001,MATCH(ROWS($AG$2:AG542),$AG$2:$AG$1001,0),1)&gt;=100000,INDEX($AN$1005:$BO$1005,1,MATCH(COLUMNS($AN$1006:BG1006),$AN$1006:$BO$1006,0))&gt;=100000), " ",IF(INDEX($AN$2:$BO$1001,MATCH(ROWS($AG$2:AG542),$AG$2:$AG$1001,0),MATCH(COLUMNS($AN$1006:BG1006),$AN$1006:$BO$1006,0)), HYPERLINK("#",""), HYPERLINK(CONCATENATE("#Metadata!", ADDRESS(INDEX($AI$2:$AI$1001,MATCH(ROWS($AG$2:AG542),$AG$2:$AG$1001,0),0), INDEX($AN$1004:$BO$1004,1,MATCH(COLUMNS($AN$1006:BG1006),$AN$1006:$BO$1006,0)))),"Fix")))</f>
        <v>0</v>
      </c>
      <c r="V542" s="4">
        <f>IF(OR(INDEX($AH$2:$AH$1001,MATCH(ROWS($AG$2:AG542),$AG$2:$AG$1001,0),1)&gt;=100000,INDEX($AN$1005:$BO$1005,1,MATCH(COLUMNS($AN$1006:BH1006),$AN$1006:$BO$1006,0))&gt;=100000), " ",IF(INDEX($AN$2:$BO$1001,MATCH(ROWS($AG$2:AG542),$AG$2:$AG$1001,0),MATCH(COLUMNS($AN$1006:BH1006),$AN$1006:$BO$1006,0)), HYPERLINK("#",""), HYPERLINK(CONCATENATE("#Metadata!", ADDRESS(INDEX($AI$2:$AI$1001,MATCH(ROWS($AG$2:AG542),$AG$2:$AG$1001,0),0), INDEX($AN$1004:$BO$1004,1,MATCH(COLUMNS($AN$1006:BH1006),$AN$1006:$BO$1006,0)))),"Fix")))</f>
        <v>0</v>
      </c>
      <c r="W542" s="4">
        <f>IF(OR(INDEX($AH$2:$AH$1001,MATCH(ROWS($AG$2:AG542),$AG$2:$AG$1001,0),1)&gt;=100000,INDEX($AN$1005:$BO$1005,1,MATCH(COLUMNS($AN$1006:BI1006),$AN$1006:$BO$1006,0))&gt;=100000), " ",IF(INDEX($AN$2:$BO$1001,MATCH(ROWS($AG$2:AG542),$AG$2:$AG$1001,0),MATCH(COLUMNS($AN$1006:BI1006),$AN$1006:$BO$1006,0)), HYPERLINK("#",""), HYPERLINK(CONCATENATE("#Metadata!", ADDRESS(INDEX($AI$2:$AI$1001,MATCH(ROWS($AG$2:AG542),$AG$2:$AG$1001,0),0), INDEX($AN$1004:$BO$1004,1,MATCH(COLUMNS($AN$1006:BI1006),$AN$1006:$BO$1006,0)))),"Fix")))</f>
        <v>0</v>
      </c>
      <c r="X542" s="4">
        <f>IF(OR(INDEX($AH$2:$AH$1001,MATCH(ROWS($AG$2:AG542),$AG$2:$AG$1001,0),1)&gt;=100000,INDEX($AN$1005:$BO$1005,1,MATCH(COLUMNS($AN$1006:BJ1006),$AN$1006:$BO$1006,0))&gt;=100000), " ",IF(INDEX($AN$2:$BO$1001,MATCH(ROWS($AG$2:AG542),$AG$2:$AG$1001,0),MATCH(COLUMNS($AN$1006:BJ1006),$AN$1006:$BO$1006,0)), HYPERLINK("#",""), HYPERLINK(CONCATENATE("#Metadata!", ADDRESS(INDEX($AI$2:$AI$1001,MATCH(ROWS($AG$2:AG542),$AG$2:$AG$1001,0),0), INDEX($AN$1004:$BO$1004,1,MATCH(COLUMNS($AN$1006:BJ1006),$AN$1006:$BO$1006,0)))),"Fix")))</f>
        <v>0</v>
      </c>
      <c r="Y542" s="4">
        <f>IF(OR(INDEX($AH$2:$AH$1001,MATCH(ROWS($AG$2:AG542),$AG$2:$AG$1001,0),1)&gt;=100000,INDEX($AN$1005:$BO$1005,1,MATCH(COLUMNS($AN$1006:BK1006),$AN$1006:$BO$1006,0))&gt;=100000), " ",IF(INDEX($AN$2:$BO$1001,MATCH(ROWS($AG$2:AG542),$AG$2:$AG$1001,0),MATCH(COLUMNS($AN$1006:BK1006),$AN$1006:$BO$1006,0)), HYPERLINK("#",""), HYPERLINK(CONCATENATE("#Metadata!", ADDRESS(INDEX($AI$2:$AI$1001,MATCH(ROWS($AG$2:AG542),$AG$2:$AG$1001,0),0), INDEX($AN$1004:$BO$1004,1,MATCH(COLUMNS($AN$1006:BK1006),$AN$1006:$BO$1006,0)))),"Fix")))</f>
        <v>0</v>
      </c>
      <c r="Z542" s="4">
        <f>IF(OR(INDEX($AH$2:$AH$1001,MATCH(ROWS($AG$2:AG542),$AG$2:$AG$1001,0),1)&gt;=100000,INDEX($AN$1005:$BO$1005,1,MATCH(COLUMNS($AN$1006:BL1006),$AN$1006:$BO$1006,0))&gt;=100000), " ",IF(INDEX($AN$2:$BO$1001,MATCH(ROWS($AG$2:AG542),$AG$2:$AG$1001,0),MATCH(COLUMNS($AN$1006:BL1006),$AN$1006:$BO$1006,0)), HYPERLINK("#",""), HYPERLINK(CONCATENATE("#Metadata!", ADDRESS(INDEX($AI$2:$AI$1001,MATCH(ROWS($AG$2:AG542),$AG$2:$AG$1001,0),0), INDEX($AN$1004:$BO$1004,1,MATCH(COLUMNS($AN$1006:BL1006),$AN$1006:$BO$1006,0)))),"Fix")))</f>
        <v>0</v>
      </c>
      <c r="AA542" s="4">
        <f>IF(OR(INDEX($AH$2:$AH$1001,MATCH(ROWS($AG$2:AG542),$AG$2:$AG$1001,0),1)&gt;=100000,INDEX($AN$1005:$BO$1005,1,MATCH(COLUMNS($AN$1006:BM1006),$AN$1006:$BO$1006,0))&gt;=100000), " ",IF(INDEX($AN$2:$BO$1001,MATCH(ROWS($AG$2:AG542),$AG$2:$AG$1001,0),MATCH(COLUMNS($AN$1006:BM1006),$AN$1006:$BO$1006,0)), HYPERLINK("#",""), HYPERLINK(CONCATENATE("#Metadata!", ADDRESS(INDEX($AI$2:$AI$1001,MATCH(ROWS($AG$2:AG542),$AG$2:$AG$1001,0),0), INDEX($AN$1004:$BO$1004,1,MATCH(COLUMNS($AN$1006:BM1006),$AN$1006:$BO$1006,0)))),"Fix")))</f>
        <v>0</v>
      </c>
      <c r="AB542" s="4">
        <f>IF(OR(INDEX($AH$2:$AH$1001,MATCH(ROWS($AG$2:AG542),$AG$2:$AG$1001,0),1)&gt;=100000,INDEX($AN$1005:$BO$1005,1,MATCH(COLUMNS($AN$1006:BN1006),$AN$1006:$BO$1006,0))&gt;=100000), " ",IF(INDEX($AN$2:$BO$1001,MATCH(ROWS($AG$2:AG542),$AG$2:$AG$1001,0),MATCH(COLUMNS($AN$1006:BN1006),$AN$1006:$BO$1006,0)), HYPERLINK("#",""), HYPERLINK(CONCATENATE("#Metadata!", ADDRESS(INDEX($AI$2:$AI$1001,MATCH(ROWS($AG$2:AG542),$AG$2:$AG$1001,0),0), INDEX($AN$1004:$BO$1004,1,MATCH(COLUMNS($AN$1006:BN1006),$AN$1006:$BO$1006,0)))),"Fix")))</f>
        <v>0</v>
      </c>
      <c r="AC542" s="4">
        <f>IF(OR(INDEX($AH$2:$AH$1001,MATCH(ROWS($AG$2:AG542),$AG$2:$AG$1001,0),1)&gt;=100000,INDEX($AN$1005:$BO$1005,1,MATCH(COLUMNS($AN$1006:BO1006),$AN$1006:$BO$1006,0))&gt;=100000), " ",IF(INDEX($AN$2:$BO$1001,MATCH(ROWS($AG$2:AG542),$AG$2:$AG$1001,0),MATCH(COLUMNS($AN$1006:BO1006),$AN$1006:$BO$1006,0)), HYPERLINK("#",""), HYPERLINK(CONCATENATE("#Metadata!", ADDRESS(INDEX($AI$2:$AI$1001,MATCH(ROWS($AG$2:AG542),$AG$2:$AG$1001,0),0), INDEX($AN$1004:$BO$1004,1,MATCH(COLUMNS($AN$1006:BO1006),$AN$1006:$BO$1006,0)))),"Fix")))</f>
        <v>0</v>
      </c>
      <c r="AG542">
        <v>0</v>
      </c>
      <c r="AH542">
        <v>0</v>
      </c>
      <c r="AI542">
        <v>0</v>
      </c>
      <c r="AJ542">
        <f>IF(AK542,TRUE,AND(AN542:BO542))</f>
        <v>0</v>
      </c>
      <c r="AK542">
        <f>COUNTBLANK(Metadata!B542:AC542)=COLUMNS(Metadata!B542:AC542)</f>
        <v>0</v>
      </c>
      <c r="AL542">
        <v>0</v>
      </c>
      <c r="AN542">
        <f>AND(IF(Metadata!B542="",FALSE,TRUE),COUNTIF(Metadata!B:B, Metadata!B542) = 1,NOT(ISERROR(SUMPRODUCT(SEARCH(MID(Metadata!B542,ROW(INDIRECT("1:"&amp;LEN(Metadata!B542))), 1),"0123456789abcdefghijklmnopqrstuvwxyzABCDEFGHIJKLMNOPQRSTUVWXYZ.")))))</f>
        <v>0</v>
      </c>
      <c r="AO542">
        <f>IF(Metadata!C542="",FALSE,TRUE)</f>
        <v>0</v>
      </c>
      <c r="AP542">
        <f>IF(Metadata!D542="",FALSE,TRUE)</f>
        <v>0</v>
      </c>
      <c r="AQ542">
        <f>OR(AND(IF(Metadata!E542="",FALSE,TRUE),OR(exact(Metadata!E542,"not collected"),exact(Metadata!E542,"not provided"),exact(Metadata!E542,"restricted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R542">
        <f>IF(Metadata!F542="",FALSE,TRUE)</f>
        <v>0</v>
      </c>
      <c r="AS542">
        <f>OR(AND(IF(Metadata!G542="",FALSE,TRUE),OR(exact(Metadata!G542,"not collected"),exact(Metadata!G542,"not provided"))),AND(IF(Metadata!G542="",FALSE,TRUE),OR(exact(Metadata!G542,"TRUE"),exact(Metadata!G542,"FALSE"))))</f>
        <v>0</v>
      </c>
      <c r="AT542">
        <f>OR(AND(IF(Metadata!H542="",FALSE,TRUE),OR(exact(Metadata!H542,"not collected"),exact(Metadata!H542,"not provided"),exact(Metadata!H542,"restricted access"))),AND(IF(Metadata!H542="",FALSE,ISNUMBER(VALUE(Metadata!H542))),Metadata!H542&gt;=-413.0))</f>
        <v>0</v>
      </c>
      <c r="AU542">
        <f>AND(IF(Metadata!I542="",FALSE,TRUE),exact(Metadata!I542,"meters"))</f>
        <v>0</v>
      </c>
      <c r="AV542">
        <f>AND(IF(Metadata!J542="",FALSE,TRUE),OR(exact(Metadata!J542,"Host-associated"),exact(Metadata!J542,"Free-living")))</f>
        <v>0</v>
      </c>
      <c r="AW542">
        <f>AND(IF(Metadata!K542="",FALSE,TRUE),OR(exact(Metadata!K542,"Animal"),exact(Metadata!K542,"Fungus"),exact(Metadata!K542,"Plant"),exact(Metadata!K542,"Saline"),exact(Metadata!K542,"Non-saline")))</f>
        <v>0</v>
      </c>
      <c r="AX542">
        <f>AND(IF(Metadata!L542="",FALSE,TRUE),OR(exact(Metadata!L542,"Plant secretion"),exact(Metadata!L542,"Plant rhizosphere"),exact(Metadata!L542,"Plant surface"),exact(Metadata!L542,"Plant corpus"),exact(Metadata!L542,"Fungus surface"),exact(Metadata!L542,"Fungus corpus"),exact(Metadata!L542,"Animal surface"),exact(Metadata!L542,"Animal proximal gut"),exact(Metadata!L542,"Animal corpus"),exact(Metadata!L542,"Animal distal gut"),exact(Metadata!L542,"Animal secretion"),exact(Metadata!L542,"Sub-surface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Y542">
        <f>IF(Metadata!M542="",FALSE,TRUE)</f>
        <v>0</v>
      </c>
      <c r="AZ542">
        <f>IF(Metadata!N542="",FALSE,TRUE)</f>
        <v>0</v>
      </c>
      <c r="BA542">
        <f>IF(Metadata!O542="",FALSE,TRUE)</f>
        <v>0</v>
      </c>
      <c r="BB542">
        <f>OR(AND(IF(Metadata!P542="",FALSE,TRUE),OR(exact(Metadata!P542,"not collected"),exact(Metadata!P542,"not provided"),exact(Metadata!P542,"restricted access"))),AND(IF(Metadata!P542="",FALSE,TRUE),OR(exact(Metadata!P542,"air"),exact(Metadata!P542,"built environment"),exact(Metadata!P542,"host-associated"),exact(Metadata!P542,"human-associated"),exact(Metadata!P542,"human-skin"),exact(Metadata!P542,"human-oral"),exact(Metadata!P542,"human-gut"),exact(Metadata!P542,"human-vaginal"),exact(Metadata!P542,"microbial mat/biofilm"),exact(Metadata!P542,"misc environment"),exact(Metadata!P542,"plant-associated"),exact(Metadata!P542,"sediment"),exact(Metadata!P542,"soil"),exact(Metadata!P542,"wastewater/sludge"),exact(Metadata!P542,"water"))))</f>
        <v>0</v>
      </c>
      <c r="BC542">
        <f>IF(Metadata!Q542="",FALSE,TRUE)</f>
        <v>0</v>
      </c>
      <c r="BD542">
        <f>IF(Metadata!R542="",FALSE,TRUE)</f>
        <v>0</v>
      </c>
      <c r="BE542">
        <f>OR(AND(IF(Metadata!S542="",FALSE,TRUE),OR(exact(Metadata!S542,"not collected"),exact(Metadata!S542,"not provided"),exact(Metadata!S542,"restricted access"))),AND(IF(Metadata!S542="",FALSE,ISNUMBER(VALUE(Metadata!S542))),Metadata!S542&gt;=-90.00,Metadata!S542&lt;=90.00))</f>
        <v>0</v>
      </c>
      <c r="BF542">
        <f>AND(IF(Metadata!T542="",FALSE,TRUE),exact(Metadata!T542,"Decimal degrees"))</f>
        <v>0</v>
      </c>
      <c r="BG542">
        <f>OR(AND(IF(Metadata!U542="",FALSE,TRUE),OR(exact(Metadata!U542,"not collected"),exact(Metadata!U542,"not provided"),exact(Metadata!U542,"restricted access"))),AND(IF(Metadata!U542="",FALSE,ISNUMBER(VALUE(Metadata!U542))),Metadata!U542&gt;=-180.00,Metadata!U542&lt;=180.00))</f>
        <v>0</v>
      </c>
      <c r="BH542">
        <f>AND(IF(Metadata!V542="",FALSE,TRUE),exact(Metadata!V542,"Decimal degrees"))</f>
        <v>0</v>
      </c>
      <c r="BI542">
        <f>IF(Metadata!W542="",FALSE,TRUE)</f>
        <v>0</v>
      </c>
      <c r="BJ542">
        <f>OR(AND(IF(Metadata!X542="",FALSE,TRUE),OR(exact(Metadata!X542,"not collected"),exact(Metadata!X542,"not provided"),exact(Metadata!X542,"restricted access"))),AND(IF(Metadata!X542="",FALSE,TRUE),OR(exact(Metadata!X542,"TRUE"),exact(Metadata!X542,"FALSE"))))</f>
        <v>0</v>
      </c>
      <c r="BK542">
        <f>AND(IF(Metadata!Y542="",FALSE,TRUE),exact(Metadata!Y542,"other"))</f>
        <v>0</v>
      </c>
      <c r="BL542">
        <f>IF(Metadata!Z542="",FALSE,TRUE)</f>
        <v>0</v>
      </c>
      <c r="BM542">
        <f>OR(AND(IF(Metadata!AA542="",FALSE,TRUE),OR(exact(Metadata!AA542,"not collected"),exact(Metadata!AA542,"not provided"))),AND(IF(Metadata!AA542="",FALSE,IF(ISERROR(INT(Metadata!AA542)),FALSE,INT(Metadata!AA542)=Metadata!AA542)),Metadata!AA542&gt;0))</f>
        <v>0</v>
      </c>
      <c r="BN542">
        <f>AND(IF(Metadata!AB542="",FALSE,TRUE),exact(Metadata!AB542,"Not applicable"))</f>
        <v>0</v>
      </c>
      <c r="BO542">
        <f>IF(Metadata!AC542="",FALSE,TRUE)</f>
        <v>0</v>
      </c>
    </row>
    <row r="543" spans="1:67">
      <c r="A543" s="5">
        <f>IF(B543=" "," ",HYPERLINK(CONCATENATE("#metadata!",ADDRESS(INDEX($AI$2:$AI$1001,MATCH(ROWS($AG$2:AG543),$AG$2:$AG$1001,0),0),1)),INDEX($AL$2:$AL$1001,MATCH(ROWS($AG$2:AG543),$AG$2:$AG$1001,0),0)))</f>
        <v>0</v>
      </c>
      <c r="B543" s="4">
        <f>IF(OR(INDEX($AH$2:$AH$1001,MATCH(ROWS($AG$2:AG543),$AG$2:$AG$1001,0),1)&gt;=100000,INDEX($AN$1005:$BO$1005,1,MATCH(COLUMNS($AN$1006:AN1006),$AN$1006:$BO$1006,0))&gt;=100000), " ",IF(INDEX($AN$2:$BO$1001,MATCH(ROWS($AG$2:AG543),$AG$2:$AG$1001,0),MATCH(COLUMNS($AN$1006:AN1006),$AN$1006:$BO$1006,0)), HYPERLINK("#",""), HYPERLINK(CONCATENATE("#Metadata!", ADDRESS(INDEX($AI$2:$AI$1001,MATCH(ROWS($AG$2:AG543),$AG$2:$AG$1001,0),0), INDEX($AN$1004:$BO$1004,1,MATCH(COLUMNS($AN$1006:AN1006),$AN$1006:$BO$1006,0)))),"Fix")))</f>
        <v>0</v>
      </c>
      <c r="C543" s="4">
        <f>IF(OR(INDEX($AH$2:$AH$1001,MATCH(ROWS($AG$2:AG543),$AG$2:$AG$1001,0),1)&gt;=100000,INDEX($AN$1005:$BO$1005,1,MATCH(COLUMNS($AN$1006:AO1006),$AN$1006:$BO$1006,0))&gt;=100000), " ",IF(INDEX($AN$2:$BO$1001,MATCH(ROWS($AG$2:AG543),$AG$2:$AG$1001,0),MATCH(COLUMNS($AN$1006:AO1006),$AN$1006:$BO$1006,0)), HYPERLINK("#",""), HYPERLINK(CONCATENATE("#Metadata!", ADDRESS(INDEX($AI$2:$AI$1001,MATCH(ROWS($AG$2:AG543),$AG$2:$AG$1001,0),0), INDEX($AN$1004:$BO$1004,1,MATCH(COLUMNS($AN$1006:AO1006),$AN$1006:$BO$1006,0)))),"Fix")))</f>
        <v>0</v>
      </c>
      <c r="D543" s="4">
        <f>IF(OR(INDEX($AH$2:$AH$1001,MATCH(ROWS($AG$2:AG543),$AG$2:$AG$1001,0),1)&gt;=100000,INDEX($AN$1005:$BO$1005,1,MATCH(COLUMNS($AN$1006:AP1006),$AN$1006:$BO$1006,0))&gt;=100000), " ",IF(INDEX($AN$2:$BO$1001,MATCH(ROWS($AG$2:AG543),$AG$2:$AG$1001,0),MATCH(COLUMNS($AN$1006:AP1006),$AN$1006:$BO$1006,0)), HYPERLINK("#",""), HYPERLINK(CONCATENATE("#Metadata!", ADDRESS(INDEX($AI$2:$AI$1001,MATCH(ROWS($AG$2:AG543),$AG$2:$AG$1001,0),0), INDEX($AN$1004:$BO$1004,1,MATCH(COLUMNS($AN$1006:AP1006),$AN$1006:$BO$1006,0)))),"Fix")))</f>
        <v>0</v>
      </c>
      <c r="E543" s="4">
        <f>IF(OR(INDEX($AH$2:$AH$1001,MATCH(ROWS($AG$2:AG543),$AG$2:$AG$1001,0),1)&gt;=100000,INDEX($AN$1005:$BO$1005,1,MATCH(COLUMNS($AN$1006:AQ1006),$AN$1006:$BO$1006,0))&gt;=100000), " ",IF(INDEX($AN$2:$BO$1001,MATCH(ROWS($AG$2:AG543),$AG$2:$AG$1001,0),MATCH(COLUMNS($AN$1006:AQ1006),$AN$1006:$BO$1006,0)), HYPERLINK("#",""), HYPERLINK(CONCATENATE("#Metadata!", ADDRESS(INDEX($AI$2:$AI$1001,MATCH(ROWS($AG$2:AG543),$AG$2:$AG$1001,0),0), INDEX($AN$1004:$BO$1004,1,MATCH(COLUMNS($AN$1006:AQ1006),$AN$1006:$BO$1006,0)))),"Fix")))</f>
        <v>0</v>
      </c>
      <c r="F543" s="4">
        <f>IF(OR(INDEX($AH$2:$AH$1001,MATCH(ROWS($AG$2:AG543),$AG$2:$AG$1001,0),1)&gt;=100000,INDEX($AN$1005:$BO$1005,1,MATCH(COLUMNS($AN$1006:AR1006),$AN$1006:$BO$1006,0))&gt;=100000), " ",IF(INDEX($AN$2:$BO$1001,MATCH(ROWS($AG$2:AG543),$AG$2:$AG$1001,0),MATCH(COLUMNS($AN$1006:AR1006),$AN$1006:$BO$1006,0)), HYPERLINK("#",""), HYPERLINK(CONCATENATE("#Metadata!", ADDRESS(INDEX($AI$2:$AI$1001,MATCH(ROWS($AG$2:AG543),$AG$2:$AG$1001,0),0), INDEX($AN$1004:$BO$1004,1,MATCH(COLUMNS($AN$1006:AR1006),$AN$1006:$BO$1006,0)))),"Fix")))</f>
        <v>0</v>
      </c>
      <c r="G543" s="4">
        <f>IF(OR(INDEX($AH$2:$AH$1001,MATCH(ROWS($AG$2:AG543),$AG$2:$AG$1001,0),1)&gt;=100000,INDEX($AN$1005:$BO$1005,1,MATCH(COLUMNS($AN$1006:AS1006),$AN$1006:$BO$1006,0))&gt;=100000), " ",IF(INDEX($AN$2:$BO$1001,MATCH(ROWS($AG$2:AG543),$AG$2:$AG$1001,0),MATCH(COLUMNS($AN$1006:AS1006),$AN$1006:$BO$1006,0)), HYPERLINK("#",""), HYPERLINK(CONCATENATE("#Metadata!", ADDRESS(INDEX($AI$2:$AI$1001,MATCH(ROWS($AG$2:AG543),$AG$2:$AG$1001,0),0), INDEX($AN$1004:$BO$1004,1,MATCH(COLUMNS($AN$1006:AS1006),$AN$1006:$BO$1006,0)))),"Fix")))</f>
        <v>0</v>
      </c>
      <c r="H543" s="4">
        <f>IF(OR(INDEX($AH$2:$AH$1001,MATCH(ROWS($AG$2:AG543),$AG$2:$AG$1001,0),1)&gt;=100000,INDEX($AN$1005:$BO$1005,1,MATCH(COLUMNS($AN$1006:AT1006),$AN$1006:$BO$1006,0))&gt;=100000), " ",IF(INDEX($AN$2:$BO$1001,MATCH(ROWS($AG$2:AG543),$AG$2:$AG$1001,0),MATCH(COLUMNS($AN$1006:AT1006),$AN$1006:$BO$1006,0)), HYPERLINK("#",""), HYPERLINK(CONCATENATE("#Metadata!", ADDRESS(INDEX($AI$2:$AI$1001,MATCH(ROWS($AG$2:AG543),$AG$2:$AG$1001,0),0), INDEX($AN$1004:$BO$1004,1,MATCH(COLUMNS($AN$1006:AT1006),$AN$1006:$BO$1006,0)))),"Fix")))</f>
        <v>0</v>
      </c>
      <c r="I543" s="4">
        <f>IF(OR(INDEX($AH$2:$AH$1001,MATCH(ROWS($AG$2:AG543),$AG$2:$AG$1001,0),1)&gt;=100000,INDEX($AN$1005:$BO$1005,1,MATCH(COLUMNS($AN$1006:AU1006),$AN$1006:$BO$1006,0))&gt;=100000), " ",IF(INDEX($AN$2:$BO$1001,MATCH(ROWS($AG$2:AG543),$AG$2:$AG$1001,0),MATCH(COLUMNS($AN$1006:AU1006),$AN$1006:$BO$1006,0)), HYPERLINK("#",""), HYPERLINK(CONCATENATE("#Metadata!", ADDRESS(INDEX($AI$2:$AI$1001,MATCH(ROWS($AG$2:AG543),$AG$2:$AG$1001,0),0), INDEX($AN$1004:$BO$1004,1,MATCH(COLUMNS($AN$1006:AU1006),$AN$1006:$BO$1006,0)))),"Fix")))</f>
        <v>0</v>
      </c>
      <c r="J543" s="4">
        <f>IF(OR(INDEX($AH$2:$AH$1001,MATCH(ROWS($AG$2:AG543),$AG$2:$AG$1001,0),1)&gt;=100000,INDEX($AN$1005:$BO$1005,1,MATCH(COLUMNS($AN$1006:AV1006),$AN$1006:$BO$1006,0))&gt;=100000), " ",IF(INDEX($AN$2:$BO$1001,MATCH(ROWS($AG$2:AG543),$AG$2:$AG$1001,0),MATCH(COLUMNS($AN$1006:AV1006),$AN$1006:$BO$1006,0)), HYPERLINK("#",""), HYPERLINK(CONCATENATE("#Metadata!", ADDRESS(INDEX($AI$2:$AI$1001,MATCH(ROWS($AG$2:AG543),$AG$2:$AG$1001,0),0), INDEX($AN$1004:$BO$1004,1,MATCH(COLUMNS($AN$1006:AV1006),$AN$1006:$BO$1006,0)))),"Fix")))</f>
        <v>0</v>
      </c>
      <c r="K543" s="4">
        <f>IF(OR(INDEX($AH$2:$AH$1001,MATCH(ROWS($AG$2:AG543),$AG$2:$AG$1001,0),1)&gt;=100000,INDEX($AN$1005:$BO$1005,1,MATCH(COLUMNS($AN$1006:AW1006),$AN$1006:$BO$1006,0))&gt;=100000), " ",IF(INDEX($AN$2:$BO$1001,MATCH(ROWS($AG$2:AG543),$AG$2:$AG$1001,0),MATCH(COLUMNS($AN$1006:AW1006),$AN$1006:$BO$1006,0)), HYPERLINK("#",""), HYPERLINK(CONCATENATE("#Metadata!", ADDRESS(INDEX($AI$2:$AI$1001,MATCH(ROWS($AG$2:AG543),$AG$2:$AG$1001,0),0), INDEX($AN$1004:$BO$1004,1,MATCH(COLUMNS($AN$1006:AW1006),$AN$1006:$BO$1006,0)))),"Fix")))</f>
        <v>0</v>
      </c>
      <c r="L543" s="4">
        <f>IF(OR(INDEX($AH$2:$AH$1001,MATCH(ROWS($AG$2:AG543),$AG$2:$AG$1001,0),1)&gt;=100000,INDEX($AN$1005:$BO$1005,1,MATCH(COLUMNS($AN$1006:AX1006),$AN$1006:$BO$1006,0))&gt;=100000), " ",IF(INDEX($AN$2:$BO$1001,MATCH(ROWS($AG$2:AG543),$AG$2:$AG$1001,0),MATCH(COLUMNS($AN$1006:AX1006),$AN$1006:$BO$1006,0)), HYPERLINK("#",""), HYPERLINK(CONCATENATE("#Metadata!", ADDRESS(INDEX($AI$2:$AI$1001,MATCH(ROWS($AG$2:AG543),$AG$2:$AG$1001,0),0), INDEX($AN$1004:$BO$1004,1,MATCH(COLUMNS($AN$1006:AX1006),$AN$1006:$BO$1006,0)))),"Fix")))</f>
        <v>0</v>
      </c>
      <c r="M543" s="4">
        <f>IF(OR(INDEX($AH$2:$AH$1001,MATCH(ROWS($AG$2:AG543),$AG$2:$AG$1001,0),1)&gt;=100000,INDEX($AN$1005:$BO$1005,1,MATCH(COLUMNS($AN$1006:AY1006),$AN$1006:$BO$1006,0))&gt;=100000), " ",IF(INDEX($AN$2:$BO$1001,MATCH(ROWS($AG$2:AG543),$AG$2:$AG$1001,0),MATCH(COLUMNS($AN$1006:AY1006),$AN$1006:$BO$1006,0)), HYPERLINK("#",""), HYPERLINK(CONCATENATE("#Metadata!", ADDRESS(INDEX($AI$2:$AI$1001,MATCH(ROWS($AG$2:AG543),$AG$2:$AG$1001,0),0), INDEX($AN$1004:$BO$1004,1,MATCH(COLUMNS($AN$1006:AY1006),$AN$1006:$BO$1006,0)))),"Fix")))</f>
        <v>0</v>
      </c>
      <c r="N543" s="4">
        <f>IF(OR(INDEX($AH$2:$AH$1001,MATCH(ROWS($AG$2:AG543),$AG$2:$AG$1001,0),1)&gt;=100000,INDEX($AN$1005:$BO$1005,1,MATCH(COLUMNS($AN$1006:AZ1006),$AN$1006:$BO$1006,0))&gt;=100000), " ",IF(INDEX($AN$2:$BO$1001,MATCH(ROWS($AG$2:AG543),$AG$2:$AG$1001,0),MATCH(COLUMNS($AN$1006:AZ1006),$AN$1006:$BO$1006,0)), HYPERLINK("#",""), HYPERLINK(CONCATENATE("#Metadata!", ADDRESS(INDEX($AI$2:$AI$1001,MATCH(ROWS($AG$2:AG543),$AG$2:$AG$1001,0),0), INDEX($AN$1004:$BO$1004,1,MATCH(COLUMNS($AN$1006:AZ1006),$AN$1006:$BO$1006,0)))),"Fix")))</f>
        <v>0</v>
      </c>
      <c r="O543" s="4">
        <f>IF(OR(INDEX($AH$2:$AH$1001,MATCH(ROWS($AG$2:AG543),$AG$2:$AG$1001,0),1)&gt;=100000,INDEX($AN$1005:$BO$1005,1,MATCH(COLUMNS($AN$1006:BA1006),$AN$1006:$BO$1006,0))&gt;=100000), " ",IF(INDEX($AN$2:$BO$1001,MATCH(ROWS($AG$2:AG543),$AG$2:$AG$1001,0),MATCH(COLUMNS($AN$1006:BA1006),$AN$1006:$BO$1006,0)), HYPERLINK("#",""), HYPERLINK(CONCATENATE("#Metadata!", ADDRESS(INDEX($AI$2:$AI$1001,MATCH(ROWS($AG$2:AG543),$AG$2:$AG$1001,0),0), INDEX($AN$1004:$BO$1004,1,MATCH(COLUMNS($AN$1006:BA1006),$AN$1006:$BO$1006,0)))),"Fix")))</f>
        <v>0</v>
      </c>
      <c r="P543" s="4">
        <f>IF(OR(INDEX($AH$2:$AH$1001,MATCH(ROWS($AG$2:AG543),$AG$2:$AG$1001,0),1)&gt;=100000,INDEX($AN$1005:$BO$1005,1,MATCH(COLUMNS($AN$1006:BB1006),$AN$1006:$BO$1006,0))&gt;=100000), " ",IF(INDEX($AN$2:$BO$1001,MATCH(ROWS($AG$2:AG543),$AG$2:$AG$1001,0),MATCH(COLUMNS($AN$1006:BB1006),$AN$1006:$BO$1006,0)), HYPERLINK("#",""), HYPERLINK(CONCATENATE("#Metadata!", ADDRESS(INDEX($AI$2:$AI$1001,MATCH(ROWS($AG$2:AG543),$AG$2:$AG$1001,0),0), INDEX($AN$1004:$BO$1004,1,MATCH(COLUMNS($AN$1006:BB1006),$AN$1006:$BO$1006,0)))),"Fix")))</f>
        <v>0</v>
      </c>
      <c r="Q543" s="4">
        <f>IF(OR(INDEX($AH$2:$AH$1001,MATCH(ROWS($AG$2:AG543),$AG$2:$AG$1001,0),1)&gt;=100000,INDEX($AN$1005:$BO$1005,1,MATCH(COLUMNS($AN$1006:BC1006),$AN$1006:$BO$1006,0))&gt;=100000), " ",IF(INDEX($AN$2:$BO$1001,MATCH(ROWS($AG$2:AG543),$AG$2:$AG$1001,0),MATCH(COLUMNS($AN$1006:BC1006),$AN$1006:$BO$1006,0)), HYPERLINK("#",""), HYPERLINK(CONCATENATE("#Metadata!", ADDRESS(INDEX($AI$2:$AI$1001,MATCH(ROWS($AG$2:AG543),$AG$2:$AG$1001,0),0), INDEX($AN$1004:$BO$1004,1,MATCH(COLUMNS($AN$1006:BC1006),$AN$1006:$BO$1006,0)))),"Fix")))</f>
        <v>0</v>
      </c>
      <c r="R543" s="4">
        <f>IF(OR(INDEX($AH$2:$AH$1001,MATCH(ROWS($AG$2:AG543),$AG$2:$AG$1001,0),1)&gt;=100000,INDEX($AN$1005:$BO$1005,1,MATCH(COLUMNS($AN$1006:BD1006),$AN$1006:$BO$1006,0))&gt;=100000), " ",IF(INDEX($AN$2:$BO$1001,MATCH(ROWS($AG$2:AG543),$AG$2:$AG$1001,0),MATCH(COLUMNS($AN$1006:BD1006),$AN$1006:$BO$1006,0)), HYPERLINK("#",""), HYPERLINK(CONCATENATE("#Metadata!", ADDRESS(INDEX($AI$2:$AI$1001,MATCH(ROWS($AG$2:AG543),$AG$2:$AG$1001,0),0), INDEX($AN$1004:$BO$1004,1,MATCH(COLUMNS($AN$1006:BD1006),$AN$1006:$BO$1006,0)))),"Fix")))</f>
        <v>0</v>
      </c>
      <c r="S543" s="4">
        <f>IF(OR(INDEX($AH$2:$AH$1001,MATCH(ROWS($AG$2:AG543),$AG$2:$AG$1001,0),1)&gt;=100000,INDEX($AN$1005:$BO$1005,1,MATCH(COLUMNS($AN$1006:BE1006),$AN$1006:$BO$1006,0))&gt;=100000), " ",IF(INDEX($AN$2:$BO$1001,MATCH(ROWS($AG$2:AG543),$AG$2:$AG$1001,0),MATCH(COLUMNS($AN$1006:BE1006),$AN$1006:$BO$1006,0)), HYPERLINK("#",""), HYPERLINK(CONCATENATE("#Metadata!", ADDRESS(INDEX($AI$2:$AI$1001,MATCH(ROWS($AG$2:AG543),$AG$2:$AG$1001,0),0), INDEX($AN$1004:$BO$1004,1,MATCH(COLUMNS($AN$1006:BE1006),$AN$1006:$BO$1006,0)))),"Fix")))</f>
        <v>0</v>
      </c>
      <c r="T543" s="4">
        <f>IF(OR(INDEX($AH$2:$AH$1001,MATCH(ROWS($AG$2:AG543),$AG$2:$AG$1001,0),1)&gt;=100000,INDEX($AN$1005:$BO$1005,1,MATCH(COLUMNS($AN$1006:BF1006),$AN$1006:$BO$1006,0))&gt;=100000), " ",IF(INDEX($AN$2:$BO$1001,MATCH(ROWS($AG$2:AG543),$AG$2:$AG$1001,0),MATCH(COLUMNS($AN$1006:BF1006),$AN$1006:$BO$1006,0)), HYPERLINK("#",""), HYPERLINK(CONCATENATE("#Metadata!", ADDRESS(INDEX($AI$2:$AI$1001,MATCH(ROWS($AG$2:AG543),$AG$2:$AG$1001,0),0), INDEX($AN$1004:$BO$1004,1,MATCH(COLUMNS($AN$1006:BF1006),$AN$1006:$BO$1006,0)))),"Fix")))</f>
        <v>0</v>
      </c>
      <c r="U543" s="4">
        <f>IF(OR(INDEX($AH$2:$AH$1001,MATCH(ROWS($AG$2:AG543),$AG$2:$AG$1001,0),1)&gt;=100000,INDEX($AN$1005:$BO$1005,1,MATCH(COLUMNS($AN$1006:BG1006),$AN$1006:$BO$1006,0))&gt;=100000), " ",IF(INDEX($AN$2:$BO$1001,MATCH(ROWS($AG$2:AG543),$AG$2:$AG$1001,0),MATCH(COLUMNS($AN$1006:BG1006),$AN$1006:$BO$1006,0)), HYPERLINK("#",""), HYPERLINK(CONCATENATE("#Metadata!", ADDRESS(INDEX($AI$2:$AI$1001,MATCH(ROWS($AG$2:AG543),$AG$2:$AG$1001,0),0), INDEX($AN$1004:$BO$1004,1,MATCH(COLUMNS($AN$1006:BG1006),$AN$1006:$BO$1006,0)))),"Fix")))</f>
        <v>0</v>
      </c>
      <c r="V543" s="4">
        <f>IF(OR(INDEX($AH$2:$AH$1001,MATCH(ROWS($AG$2:AG543),$AG$2:$AG$1001,0),1)&gt;=100000,INDEX($AN$1005:$BO$1005,1,MATCH(COLUMNS($AN$1006:BH1006),$AN$1006:$BO$1006,0))&gt;=100000), " ",IF(INDEX($AN$2:$BO$1001,MATCH(ROWS($AG$2:AG543),$AG$2:$AG$1001,0),MATCH(COLUMNS($AN$1006:BH1006),$AN$1006:$BO$1006,0)), HYPERLINK("#",""), HYPERLINK(CONCATENATE("#Metadata!", ADDRESS(INDEX($AI$2:$AI$1001,MATCH(ROWS($AG$2:AG543),$AG$2:$AG$1001,0),0), INDEX($AN$1004:$BO$1004,1,MATCH(COLUMNS($AN$1006:BH1006),$AN$1006:$BO$1006,0)))),"Fix")))</f>
        <v>0</v>
      </c>
      <c r="W543" s="4">
        <f>IF(OR(INDEX($AH$2:$AH$1001,MATCH(ROWS($AG$2:AG543),$AG$2:$AG$1001,0),1)&gt;=100000,INDEX($AN$1005:$BO$1005,1,MATCH(COLUMNS($AN$1006:BI1006),$AN$1006:$BO$1006,0))&gt;=100000), " ",IF(INDEX($AN$2:$BO$1001,MATCH(ROWS($AG$2:AG543),$AG$2:$AG$1001,0),MATCH(COLUMNS($AN$1006:BI1006),$AN$1006:$BO$1006,0)), HYPERLINK("#",""), HYPERLINK(CONCATENATE("#Metadata!", ADDRESS(INDEX($AI$2:$AI$1001,MATCH(ROWS($AG$2:AG543),$AG$2:$AG$1001,0),0), INDEX($AN$1004:$BO$1004,1,MATCH(COLUMNS($AN$1006:BI1006),$AN$1006:$BO$1006,0)))),"Fix")))</f>
        <v>0</v>
      </c>
      <c r="X543" s="4">
        <f>IF(OR(INDEX($AH$2:$AH$1001,MATCH(ROWS($AG$2:AG543),$AG$2:$AG$1001,0),1)&gt;=100000,INDEX($AN$1005:$BO$1005,1,MATCH(COLUMNS($AN$1006:BJ1006),$AN$1006:$BO$1006,0))&gt;=100000), " ",IF(INDEX($AN$2:$BO$1001,MATCH(ROWS($AG$2:AG543),$AG$2:$AG$1001,0),MATCH(COLUMNS($AN$1006:BJ1006),$AN$1006:$BO$1006,0)), HYPERLINK("#",""), HYPERLINK(CONCATENATE("#Metadata!", ADDRESS(INDEX($AI$2:$AI$1001,MATCH(ROWS($AG$2:AG543),$AG$2:$AG$1001,0),0), INDEX($AN$1004:$BO$1004,1,MATCH(COLUMNS($AN$1006:BJ1006),$AN$1006:$BO$1006,0)))),"Fix")))</f>
        <v>0</v>
      </c>
      <c r="Y543" s="4">
        <f>IF(OR(INDEX($AH$2:$AH$1001,MATCH(ROWS($AG$2:AG543),$AG$2:$AG$1001,0),1)&gt;=100000,INDEX($AN$1005:$BO$1005,1,MATCH(COLUMNS($AN$1006:BK1006),$AN$1006:$BO$1006,0))&gt;=100000), " ",IF(INDEX($AN$2:$BO$1001,MATCH(ROWS($AG$2:AG543),$AG$2:$AG$1001,0),MATCH(COLUMNS($AN$1006:BK1006),$AN$1006:$BO$1006,0)), HYPERLINK("#",""), HYPERLINK(CONCATENATE("#Metadata!", ADDRESS(INDEX($AI$2:$AI$1001,MATCH(ROWS($AG$2:AG543),$AG$2:$AG$1001,0),0), INDEX($AN$1004:$BO$1004,1,MATCH(COLUMNS($AN$1006:BK1006),$AN$1006:$BO$1006,0)))),"Fix")))</f>
        <v>0</v>
      </c>
      <c r="Z543" s="4">
        <f>IF(OR(INDEX($AH$2:$AH$1001,MATCH(ROWS($AG$2:AG543),$AG$2:$AG$1001,0),1)&gt;=100000,INDEX($AN$1005:$BO$1005,1,MATCH(COLUMNS($AN$1006:BL1006),$AN$1006:$BO$1006,0))&gt;=100000), " ",IF(INDEX($AN$2:$BO$1001,MATCH(ROWS($AG$2:AG543),$AG$2:$AG$1001,0),MATCH(COLUMNS($AN$1006:BL1006),$AN$1006:$BO$1006,0)), HYPERLINK("#",""), HYPERLINK(CONCATENATE("#Metadata!", ADDRESS(INDEX($AI$2:$AI$1001,MATCH(ROWS($AG$2:AG543),$AG$2:$AG$1001,0),0), INDEX($AN$1004:$BO$1004,1,MATCH(COLUMNS($AN$1006:BL1006),$AN$1006:$BO$1006,0)))),"Fix")))</f>
        <v>0</v>
      </c>
      <c r="AA543" s="4">
        <f>IF(OR(INDEX($AH$2:$AH$1001,MATCH(ROWS($AG$2:AG543),$AG$2:$AG$1001,0),1)&gt;=100000,INDEX($AN$1005:$BO$1005,1,MATCH(COLUMNS($AN$1006:BM1006),$AN$1006:$BO$1006,0))&gt;=100000), " ",IF(INDEX($AN$2:$BO$1001,MATCH(ROWS($AG$2:AG543),$AG$2:$AG$1001,0),MATCH(COLUMNS($AN$1006:BM1006),$AN$1006:$BO$1006,0)), HYPERLINK("#",""), HYPERLINK(CONCATENATE("#Metadata!", ADDRESS(INDEX($AI$2:$AI$1001,MATCH(ROWS($AG$2:AG543),$AG$2:$AG$1001,0),0), INDEX($AN$1004:$BO$1004,1,MATCH(COLUMNS($AN$1006:BM1006),$AN$1006:$BO$1006,0)))),"Fix")))</f>
        <v>0</v>
      </c>
      <c r="AB543" s="4">
        <f>IF(OR(INDEX($AH$2:$AH$1001,MATCH(ROWS($AG$2:AG543),$AG$2:$AG$1001,0),1)&gt;=100000,INDEX($AN$1005:$BO$1005,1,MATCH(COLUMNS($AN$1006:BN1006),$AN$1006:$BO$1006,0))&gt;=100000), " ",IF(INDEX($AN$2:$BO$1001,MATCH(ROWS($AG$2:AG543),$AG$2:$AG$1001,0),MATCH(COLUMNS($AN$1006:BN1006),$AN$1006:$BO$1006,0)), HYPERLINK("#",""), HYPERLINK(CONCATENATE("#Metadata!", ADDRESS(INDEX($AI$2:$AI$1001,MATCH(ROWS($AG$2:AG543),$AG$2:$AG$1001,0),0), INDEX($AN$1004:$BO$1004,1,MATCH(COLUMNS($AN$1006:BN1006),$AN$1006:$BO$1006,0)))),"Fix")))</f>
        <v>0</v>
      </c>
      <c r="AC543" s="4">
        <f>IF(OR(INDEX($AH$2:$AH$1001,MATCH(ROWS($AG$2:AG543),$AG$2:$AG$1001,0),1)&gt;=100000,INDEX($AN$1005:$BO$1005,1,MATCH(COLUMNS($AN$1006:BO1006),$AN$1006:$BO$1006,0))&gt;=100000), " ",IF(INDEX($AN$2:$BO$1001,MATCH(ROWS($AG$2:AG543),$AG$2:$AG$1001,0),MATCH(COLUMNS($AN$1006:BO1006),$AN$1006:$BO$1006,0)), HYPERLINK("#",""), HYPERLINK(CONCATENATE("#Metadata!", ADDRESS(INDEX($AI$2:$AI$1001,MATCH(ROWS($AG$2:AG543),$AG$2:$AG$1001,0),0), INDEX($AN$1004:$BO$1004,1,MATCH(COLUMNS($AN$1006:BO1006),$AN$1006:$BO$1006,0)))),"Fix")))</f>
        <v>0</v>
      </c>
      <c r="AG543">
        <v>0</v>
      </c>
      <c r="AH543">
        <v>0</v>
      </c>
      <c r="AI543">
        <v>0</v>
      </c>
      <c r="AJ543">
        <f>IF(AK543,TRUE,AND(AN543:BO543))</f>
        <v>0</v>
      </c>
      <c r="AK543">
        <f>COUNTBLANK(Metadata!B543:AC543)=COLUMNS(Metadata!B543:AC543)</f>
        <v>0</v>
      </c>
      <c r="AL543">
        <v>0</v>
      </c>
      <c r="AN543">
        <f>AND(IF(Metadata!B543="",FALSE,TRUE),COUNTIF(Metadata!B:B, Metadata!B543) = 1,NOT(ISERROR(SUMPRODUCT(SEARCH(MID(Metadata!B543,ROW(INDIRECT("1:"&amp;LEN(Metadata!B543))), 1),"0123456789abcdefghijklmnopqrstuvwxyzABCDEFGHIJKLMNOPQRSTUVWXYZ.")))))</f>
        <v>0</v>
      </c>
      <c r="AO543">
        <f>IF(Metadata!C543="",FALSE,TRUE)</f>
        <v>0</v>
      </c>
      <c r="AP543">
        <f>IF(Metadata!D543="",FALSE,TRUE)</f>
        <v>0</v>
      </c>
      <c r="AQ543">
        <f>OR(AND(IF(Metadata!E543="",FALSE,TRUE),OR(exact(Metadata!E543,"not collected"),exact(Metadata!E543,"not provided"),exact(Metadata!E543,"restricted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R543">
        <f>IF(Metadata!F543="",FALSE,TRUE)</f>
        <v>0</v>
      </c>
      <c r="AS543">
        <f>OR(AND(IF(Metadata!G543="",FALSE,TRUE),OR(exact(Metadata!G543,"not collected"),exact(Metadata!G543,"not provided"))),AND(IF(Metadata!G543="",FALSE,TRUE),OR(exact(Metadata!G543,"TRUE"),exact(Metadata!G543,"FALSE"))))</f>
        <v>0</v>
      </c>
      <c r="AT543">
        <f>OR(AND(IF(Metadata!H543="",FALSE,TRUE),OR(exact(Metadata!H543,"not collected"),exact(Metadata!H543,"not provided"),exact(Metadata!H543,"restricted access"))),AND(IF(Metadata!H543="",FALSE,ISNUMBER(VALUE(Metadata!H543))),Metadata!H543&gt;=-413.0))</f>
        <v>0</v>
      </c>
      <c r="AU543">
        <f>AND(IF(Metadata!I543="",FALSE,TRUE),exact(Metadata!I543,"meters"))</f>
        <v>0</v>
      </c>
      <c r="AV543">
        <f>AND(IF(Metadata!J543="",FALSE,TRUE),OR(exact(Metadata!J543,"Host-associated"),exact(Metadata!J543,"Free-living")))</f>
        <v>0</v>
      </c>
      <c r="AW543">
        <f>AND(IF(Metadata!K543="",FALSE,TRUE),OR(exact(Metadata!K543,"Animal"),exact(Metadata!K543,"Fungus"),exact(Metadata!K543,"Plant"),exact(Metadata!K543,"Saline"),exact(Metadata!K543,"Non-saline")))</f>
        <v>0</v>
      </c>
      <c r="AX543">
        <f>AND(IF(Metadata!L543="",FALSE,TRUE),OR(exact(Metadata!L543,"Plant secretion"),exact(Metadata!L543,"Plant rhizosphere"),exact(Metadata!L543,"Plant surface"),exact(Metadata!L543,"Plant corpus"),exact(Metadata!L543,"Fungus surface"),exact(Metadata!L543,"Fungus corpus"),exact(Metadata!L543,"Animal surface"),exact(Metadata!L543,"Animal proximal gut"),exact(Metadata!L543,"Animal corpus"),exact(Metadata!L543,"Animal distal gut"),exact(Metadata!L543,"Animal secretion"),exact(Metadata!L543,"Sub-surface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Y543">
        <f>IF(Metadata!M543="",FALSE,TRUE)</f>
        <v>0</v>
      </c>
      <c r="AZ543">
        <f>IF(Metadata!N543="",FALSE,TRUE)</f>
        <v>0</v>
      </c>
      <c r="BA543">
        <f>IF(Metadata!O543="",FALSE,TRUE)</f>
        <v>0</v>
      </c>
      <c r="BB543">
        <f>OR(AND(IF(Metadata!P543="",FALSE,TRUE),OR(exact(Metadata!P543,"not collected"),exact(Metadata!P543,"not provided"),exact(Metadata!P543,"restricted access"))),AND(IF(Metadata!P543="",FALSE,TRUE),OR(exact(Metadata!P543,"air"),exact(Metadata!P543,"built environment"),exact(Metadata!P543,"host-associated"),exact(Metadata!P543,"human-associated"),exact(Metadata!P543,"human-skin"),exact(Metadata!P543,"human-oral"),exact(Metadata!P543,"human-gut"),exact(Metadata!P543,"human-vaginal"),exact(Metadata!P543,"microbial mat/biofilm"),exact(Metadata!P543,"misc environment"),exact(Metadata!P543,"plant-associated"),exact(Metadata!P543,"sediment"),exact(Metadata!P543,"soil"),exact(Metadata!P543,"wastewater/sludge"),exact(Metadata!P543,"water"))))</f>
        <v>0</v>
      </c>
      <c r="BC543">
        <f>IF(Metadata!Q543="",FALSE,TRUE)</f>
        <v>0</v>
      </c>
      <c r="BD543">
        <f>IF(Metadata!R543="",FALSE,TRUE)</f>
        <v>0</v>
      </c>
      <c r="BE543">
        <f>OR(AND(IF(Metadata!S543="",FALSE,TRUE),OR(exact(Metadata!S543,"not collected"),exact(Metadata!S543,"not provided"),exact(Metadata!S543,"restricted access"))),AND(IF(Metadata!S543="",FALSE,ISNUMBER(VALUE(Metadata!S543))),Metadata!S543&gt;=-90.00,Metadata!S543&lt;=90.00))</f>
        <v>0</v>
      </c>
      <c r="BF543">
        <f>AND(IF(Metadata!T543="",FALSE,TRUE),exact(Metadata!T543,"Decimal degrees"))</f>
        <v>0</v>
      </c>
      <c r="BG543">
        <f>OR(AND(IF(Metadata!U543="",FALSE,TRUE),OR(exact(Metadata!U543,"not collected"),exact(Metadata!U543,"not provided"),exact(Metadata!U543,"restricted access"))),AND(IF(Metadata!U543="",FALSE,ISNUMBER(VALUE(Metadata!U543))),Metadata!U543&gt;=-180.00,Metadata!U543&lt;=180.00))</f>
        <v>0</v>
      </c>
      <c r="BH543">
        <f>AND(IF(Metadata!V543="",FALSE,TRUE),exact(Metadata!V543,"Decimal degrees"))</f>
        <v>0</v>
      </c>
      <c r="BI543">
        <f>IF(Metadata!W543="",FALSE,TRUE)</f>
        <v>0</v>
      </c>
      <c r="BJ543">
        <f>OR(AND(IF(Metadata!X543="",FALSE,TRUE),OR(exact(Metadata!X543,"not collected"),exact(Metadata!X543,"not provided"),exact(Metadata!X543,"restricted access"))),AND(IF(Metadata!X543="",FALSE,TRUE),OR(exact(Metadata!X543,"TRUE"),exact(Metadata!X543,"FALSE"))))</f>
        <v>0</v>
      </c>
      <c r="BK543">
        <f>AND(IF(Metadata!Y543="",FALSE,TRUE),exact(Metadata!Y543,"other"))</f>
        <v>0</v>
      </c>
      <c r="BL543">
        <f>IF(Metadata!Z543="",FALSE,TRUE)</f>
        <v>0</v>
      </c>
      <c r="BM543">
        <f>OR(AND(IF(Metadata!AA543="",FALSE,TRUE),OR(exact(Metadata!AA543,"not collected"),exact(Metadata!AA543,"not provided"))),AND(IF(Metadata!AA543="",FALSE,IF(ISERROR(INT(Metadata!AA543)),FALSE,INT(Metadata!AA543)=Metadata!AA543)),Metadata!AA543&gt;0))</f>
        <v>0</v>
      </c>
      <c r="BN543">
        <f>AND(IF(Metadata!AB543="",FALSE,TRUE),exact(Metadata!AB543,"Not applicable"))</f>
        <v>0</v>
      </c>
      <c r="BO543">
        <f>IF(Metadata!AC543="",FALSE,TRUE)</f>
        <v>0</v>
      </c>
    </row>
    <row r="544" spans="1:67">
      <c r="A544" s="5">
        <f>IF(B544=" "," ",HYPERLINK(CONCATENATE("#metadata!",ADDRESS(INDEX($AI$2:$AI$1001,MATCH(ROWS($AG$2:AG544),$AG$2:$AG$1001,0),0),1)),INDEX($AL$2:$AL$1001,MATCH(ROWS($AG$2:AG544),$AG$2:$AG$1001,0),0)))</f>
        <v>0</v>
      </c>
      <c r="B544" s="4">
        <f>IF(OR(INDEX($AH$2:$AH$1001,MATCH(ROWS($AG$2:AG544),$AG$2:$AG$1001,0),1)&gt;=100000,INDEX($AN$1005:$BO$1005,1,MATCH(COLUMNS($AN$1006:AN1006),$AN$1006:$BO$1006,0))&gt;=100000), " ",IF(INDEX($AN$2:$BO$1001,MATCH(ROWS($AG$2:AG544),$AG$2:$AG$1001,0),MATCH(COLUMNS($AN$1006:AN1006),$AN$1006:$BO$1006,0)), HYPERLINK("#",""), HYPERLINK(CONCATENATE("#Metadata!", ADDRESS(INDEX($AI$2:$AI$1001,MATCH(ROWS($AG$2:AG544),$AG$2:$AG$1001,0),0), INDEX($AN$1004:$BO$1004,1,MATCH(COLUMNS($AN$1006:AN1006),$AN$1006:$BO$1006,0)))),"Fix")))</f>
        <v>0</v>
      </c>
      <c r="C544" s="4">
        <f>IF(OR(INDEX($AH$2:$AH$1001,MATCH(ROWS($AG$2:AG544),$AG$2:$AG$1001,0),1)&gt;=100000,INDEX($AN$1005:$BO$1005,1,MATCH(COLUMNS($AN$1006:AO1006),$AN$1006:$BO$1006,0))&gt;=100000), " ",IF(INDEX($AN$2:$BO$1001,MATCH(ROWS($AG$2:AG544),$AG$2:$AG$1001,0),MATCH(COLUMNS($AN$1006:AO1006),$AN$1006:$BO$1006,0)), HYPERLINK("#",""), HYPERLINK(CONCATENATE("#Metadata!", ADDRESS(INDEX($AI$2:$AI$1001,MATCH(ROWS($AG$2:AG544),$AG$2:$AG$1001,0),0), INDEX($AN$1004:$BO$1004,1,MATCH(COLUMNS($AN$1006:AO1006),$AN$1006:$BO$1006,0)))),"Fix")))</f>
        <v>0</v>
      </c>
      <c r="D544" s="4">
        <f>IF(OR(INDEX($AH$2:$AH$1001,MATCH(ROWS($AG$2:AG544),$AG$2:$AG$1001,0),1)&gt;=100000,INDEX($AN$1005:$BO$1005,1,MATCH(COLUMNS($AN$1006:AP1006),$AN$1006:$BO$1006,0))&gt;=100000), " ",IF(INDEX($AN$2:$BO$1001,MATCH(ROWS($AG$2:AG544),$AG$2:$AG$1001,0),MATCH(COLUMNS($AN$1006:AP1006),$AN$1006:$BO$1006,0)), HYPERLINK("#",""), HYPERLINK(CONCATENATE("#Metadata!", ADDRESS(INDEX($AI$2:$AI$1001,MATCH(ROWS($AG$2:AG544),$AG$2:$AG$1001,0),0), INDEX($AN$1004:$BO$1004,1,MATCH(COLUMNS($AN$1006:AP1006),$AN$1006:$BO$1006,0)))),"Fix")))</f>
        <v>0</v>
      </c>
      <c r="E544" s="4">
        <f>IF(OR(INDEX($AH$2:$AH$1001,MATCH(ROWS($AG$2:AG544),$AG$2:$AG$1001,0),1)&gt;=100000,INDEX($AN$1005:$BO$1005,1,MATCH(COLUMNS($AN$1006:AQ1006),$AN$1006:$BO$1006,0))&gt;=100000), " ",IF(INDEX($AN$2:$BO$1001,MATCH(ROWS($AG$2:AG544),$AG$2:$AG$1001,0),MATCH(COLUMNS($AN$1006:AQ1006),$AN$1006:$BO$1006,0)), HYPERLINK("#",""), HYPERLINK(CONCATENATE("#Metadata!", ADDRESS(INDEX($AI$2:$AI$1001,MATCH(ROWS($AG$2:AG544),$AG$2:$AG$1001,0),0), INDEX($AN$1004:$BO$1004,1,MATCH(COLUMNS($AN$1006:AQ1006),$AN$1006:$BO$1006,0)))),"Fix")))</f>
        <v>0</v>
      </c>
      <c r="F544" s="4">
        <f>IF(OR(INDEX($AH$2:$AH$1001,MATCH(ROWS($AG$2:AG544),$AG$2:$AG$1001,0),1)&gt;=100000,INDEX($AN$1005:$BO$1005,1,MATCH(COLUMNS($AN$1006:AR1006),$AN$1006:$BO$1006,0))&gt;=100000), " ",IF(INDEX($AN$2:$BO$1001,MATCH(ROWS($AG$2:AG544),$AG$2:$AG$1001,0),MATCH(COLUMNS($AN$1006:AR1006),$AN$1006:$BO$1006,0)), HYPERLINK("#",""), HYPERLINK(CONCATENATE("#Metadata!", ADDRESS(INDEX($AI$2:$AI$1001,MATCH(ROWS($AG$2:AG544),$AG$2:$AG$1001,0),0), INDEX($AN$1004:$BO$1004,1,MATCH(COLUMNS($AN$1006:AR1006),$AN$1006:$BO$1006,0)))),"Fix")))</f>
        <v>0</v>
      </c>
      <c r="G544" s="4">
        <f>IF(OR(INDEX($AH$2:$AH$1001,MATCH(ROWS($AG$2:AG544),$AG$2:$AG$1001,0),1)&gt;=100000,INDEX($AN$1005:$BO$1005,1,MATCH(COLUMNS($AN$1006:AS1006),$AN$1006:$BO$1006,0))&gt;=100000), " ",IF(INDEX($AN$2:$BO$1001,MATCH(ROWS($AG$2:AG544),$AG$2:$AG$1001,0),MATCH(COLUMNS($AN$1006:AS1006),$AN$1006:$BO$1006,0)), HYPERLINK("#",""), HYPERLINK(CONCATENATE("#Metadata!", ADDRESS(INDEX($AI$2:$AI$1001,MATCH(ROWS($AG$2:AG544),$AG$2:$AG$1001,0),0), INDEX($AN$1004:$BO$1004,1,MATCH(COLUMNS($AN$1006:AS1006),$AN$1006:$BO$1006,0)))),"Fix")))</f>
        <v>0</v>
      </c>
      <c r="H544" s="4">
        <f>IF(OR(INDEX($AH$2:$AH$1001,MATCH(ROWS($AG$2:AG544),$AG$2:$AG$1001,0),1)&gt;=100000,INDEX($AN$1005:$BO$1005,1,MATCH(COLUMNS($AN$1006:AT1006),$AN$1006:$BO$1006,0))&gt;=100000), " ",IF(INDEX($AN$2:$BO$1001,MATCH(ROWS($AG$2:AG544),$AG$2:$AG$1001,0),MATCH(COLUMNS($AN$1006:AT1006),$AN$1006:$BO$1006,0)), HYPERLINK("#",""), HYPERLINK(CONCATENATE("#Metadata!", ADDRESS(INDEX($AI$2:$AI$1001,MATCH(ROWS($AG$2:AG544),$AG$2:$AG$1001,0),0), INDEX($AN$1004:$BO$1004,1,MATCH(COLUMNS($AN$1006:AT1006),$AN$1006:$BO$1006,0)))),"Fix")))</f>
        <v>0</v>
      </c>
      <c r="I544" s="4">
        <f>IF(OR(INDEX($AH$2:$AH$1001,MATCH(ROWS($AG$2:AG544),$AG$2:$AG$1001,0),1)&gt;=100000,INDEX($AN$1005:$BO$1005,1,MATCH(COLUMNS($AN$1006:AU1006),$AN$1006:$BO$1006,0))&gt;=100000), " ",IF(INDEX($AN$2:$BO$1001,MATCH(ROWS($AG$2:AG544),$AG$2:$AG$1001,0),MATCH(COLUMNS($AN$1006:AU1006),$AN$1006:$BO$1006,0)), HYPERLINK("#",""), HYPERLINK(CONCATENATE("#Metadata!", ADDRESS(INDEX($AI$2:$AI$1001,MATCH(ROWS($AG$2:AG544),$AG$2:$AG$1001,0),0), INDEX($AN$1004:$BO$1004,1,MATCH(COLUMNS($AN$1006:AU1006),$AN$1006:$BO$1006,0)))),"Fix")))</f>
        <v>0</v>
      </c>
      <c r="J544" s="4">
        <f>IF(OR(INDEX($AH$2:$AH$1001,MATCH(ROWS($AG$2:AG544),$AG$2:$AG$1001,0),1)&gt;=100000,INDEX($AN$1005:$BO$1005,1,MATCH(COLUMNS($AN$1006:AV1006),$AN$1006:$BO$1006,0))&gt;=100000), " ",IF(INDEX($AN$2:$BO$1001,MATCH(ROWS($AG$2:AG544),$AG$2:$AG$1001,0),MATCH(COLUMNS($AN$1006:AV1006),$AN$1006:$BO$1006,0)), HYPERLINK("#",""), HYPERLINK(CONCATENATE("#Metadata!", ADDRESS(INDEX($AI$2:$AI$1001,MATCH(ROWS($AG$2:AG544),$AG$2:$AG$1001,0),0), INDEX($AN$1004:$BO$1004,1,MATCH(COLUMNS($AN$1006:AV1006),$AN$1006:$BO$1006,0)))),"Fix")))</f>
        <v>0</v>
      </c>
      <c r="K544" s="4">
        <f>IF(OR(INDEX($AH$2:$AH$1001,MATCH(ROWS($AG$2:AG544),$AG$2:$AG$1001,0),1)&gt;=100000,INDEX($AN$1005:$BO$1005,1,MATCH(COLUMNS($AN$1006:AW1006),$AN$1006:$BO$1006,0))&gt;=100000), " ",IF(INDEX($AN$2:$BO$1001,MATCH(ROWS($AG$2:AG544),$AG$2:$AG$1001,0),MATCH(COLUMNS($AN$1006:AW1006),$AN$1006:$BO$1006,0)), HYPERLINK("#",""), HYPERLINK(CONCATENATE("#Metadata!", ADDRESS(INDEX($AI$2:$AI$1001,MATCH(ROWS($AG$2:AG544),$AG$2:$AG$1001,0),0), INDEX($AN$1004:$BO$1004,1,MATCH(COLUMNS($AN$1006:AW1006),$AN$1006:$BO$1006,0)))),"Fix")))</f>
        <v>0</v>
      </c>
      <c r="L544" s="4">
        <f>IF(OR(INDEX($AH$2:$AH$1001,MATCH(ROWS($AG$2:AG544),$AG$2:$AG$1001,0),1)&gt;=100000,INDEX($AN$1005:$BO$1005,1,MATCH(COLUMNS($AN$1006:AX1006),$AN$1006:$BO$1006,0))&gt;=100000), " ",IF(INDEX($AN$2:$BO$1001,MATCH(ROWS($AG$2:AG544),$AG$2:$AG$1001,0),MATCH(COLUMNS($AN$1006:AX1006),$AN$1006:$BO$1006,0)), HYPERLINK("#",""), HYPERLINK(CONCATENATE("#Metadata!", ADDRESS(INDEX($AI$2:$AI$1001,MATCH(ROWS($AG$2:AG544),$AG$2:$AG$1001,0),0), INDEX($AN$1004:$BO$1004,1,MATCH(COLUMNS($AN$1006:AX1006),$AN$1006:$BO$1006,0)))),"Fix")))</f>
        <v>0</v>
      </c>
      <c r="M544" s="4">
        <f>IF(OR(INDEX($AH$2:$AH$1001,MATCH(ROWS($AG$2:AG544),$AG$2:$AG$1001,0),1)&gt;=100000,INDEX($AN$1005:$BO$1005,1,MATCH(COLUMNS($AN$1006:AY1006),$AN$1006:$BO$1006,0))&gt;=100000), " ",IF(INDEX($AN$2:$BO$1001,MATCH(ROWS($AG$2:AG544),$AG$2:$AG$1001,0),MATCH(COLUMNS($AN$1006:AY1006),$AN$1006:$BO$1006,0)), HYPERLINK("#",""), HYPERLINK(CONCATENATE("#Metadata!", ADDRESS(INDEX($AI$2:$AI$1001,MATCH(ROWS($AG$2:AG544),$AG$2:$AG$1001,0),0), INDEX($AN$1004:$BO$1004,1,MATCH(COLUMNS($AN$1006:AY1006),$AN$1006:$BO$1006,0)))),"Fix")))</f>
        <v>0</v>
      </c>
      <c r="N544" s="4">
        <f>IF(OR(INDEX($AH$2:$AH$1001,MATCH(ROWS($AG$2:AG544),$AG$2:$AG$1001,0),1)&gt;=100000,INDEX($AN$1005:$BO$1005,1,MATCH(COLUMNS($AN$1006:AZ1006),$AN$1006:$BO$1006,0))&gt;=100000), " ",IF(INDEX($AN$2:$BO$1001,MATCH(ROWS($AG$2:AG544),$AG$2:$AG$1001,0),MATCH(COLUMNS($AN$1006:AZ1006),$AN$1006:$BO$1006,0)), HYPERLINK("#",""), HYPERLINK(CONCATENATE("#Metadata!", ADDRESS(INDEX($AI$2:$AI$1001,MATCH(ROWS($AG$2:AG544),$AG$2:$AG$1001,0),0), INDEX($AN$1004:$BO$1004,1,MATCH(COLUMNS($AN$1006:AZ1006),$AN$1006:$BO$1006,0)))),"Fix")))</f>
        <v>0</v>
      </c>
      <c r="O544" s="4">
        <f>IF(OR(INDEX($AH$2:$AH$1001,MATCH(ROWS($AG$2:AG544),$AG$2:$AG$1001,0),1)&gt;=100000,INDEX($AN$1005:$BO$1005,1,MATCH(COLUMNS($AN$1006:BA1006),$AN$1006:$BO$1006,0))&gt;=100000), " ",IF(INDEX($AN$2:$BO$1001,MATCH(ROWS($AG$2:AG544),$AG$2:$AG$1001,0),MATCH(COLUMNS($AN$1006:BA1006),$AN$1006:$BO$1006,0)), HYPERLINK("#",""), HYPERLINK(CONCATENATE("#Metadata!", ADDRESS(INDEX($AI$2:$AI$1001,MATCH(ROWS($AG$2:AG544),$AG$2:$AG$1001,0),0), INDEX($AN$1004:$BO$1004,1,MATCH(COLUMNS($AN$1006:BA1006),$AN$1006:$BO$1006,0)))),"Fix")))</f>
        <v>0</v>
      </c>
      <c r="P544" s="4">
        <f>IF(OR(INDEX($AH$2:$AH$1001,MATCH(ROWS($AG$2:AG544),$AG$2:$AG$1001,0),1)&gt;=100000,INDEX($AN$1005:$BO$1005,1,MATCH(COLUMNS($AN$1006:BB1006),$AN$1006:$BO$1006,0))&gt;=100000), " ",IF(INDEX($AN$2:$BO$1001,MATCH(ROWS($AG$2:AG544),$AG$2:$AG$1001,0),MATCH(COLUMNS($AN$1006:BB1006),$AN$1006:$BO$1006,0)), HYPERLINK("#",""), HYPERLINK(CONCATENATE("#Metadata!", ADDRESS(INDEX($AI$2:$AI$1001,MATCH(ROWS($AG$2:AG544),$AG$2:$AG$1001,0),0), INDEX($AN$1004:$BO$1004,1,MATCH(COLUMNS($AN$1006:BB1006),$AN$1006:$BO$1006,0)))),"Fix")))</f>
        <v>0</v>
      </c>
      <c r="Q544" s="4">
        <f>IF(OR(INDEX($AH$2:$AH$1001,MATCH(ROWS($AG$2:AG544),$AG$2:$AG$1001,0),1)&gt;=100000,INDEX($AN$1005:$BO$1005,1,MATCH(COLUMNS($AN$1006:BC1006),$AN$1006:$BO$1006,0))&gt;=100000), " ",IF(INDEX($AN$2:$BO$1001,MATCH(ROWS($AG$2:AG544),$AG$2:$AG$1001,0),MATCH(COLUMNS($AN$1006:BC1006),$AN$1006:$BO$1006,0)), HYPERLINK("#",""), HYPERLINK(CONCATENATE("#Metadata!", ADDRESS(INDEX($AI$2:$AI$1001,MATCH(ROWS($AG$2:AG544),$AG$2:$AG$1001,0),0), INDEX($AN$1004:$BO$1004,1,MATCH(COLUMNS($AN$1006:BC1006),$AN$1006:$BO$1006,0)))),"Fix")))</f>
        <v>0</v>
      </c>
      <c r="R544" s="4">
        <f>IF(OR(INDEX($AH$2:$AH$1001,MATCH(ROWS($AG$2:AG544),$AG$2:$AG$1001,0),1)&gt;=100000,INDEX($AN$1005:$BO$1005,1,MATCH(COLUMNS($AN$1006:BD1006),$AN$1006:$BO$1006,0))&gt;=100000), " ",IF(INDEX($AN$2:$BO$1001,MATCH(ROWS($AG$2:AG544),$AG$2:$AG$1001,0),MATCH(COLUMNS($AN$1006:BD1006),$AN$1006:$BO$1006,0)), HYPERLINK("#",""), HYPERLINK(CONCATENATE("#Metadata!", ADDRESS(INDEX($AI$2:$AI$1001,MATCH(ROWS($AG$2:AG544),$AG$2:$AG$1001,0),0), INDEX($AN$1004:$BO$1004,1,MATCH(COLUMNS($AN$1006:BD1006),$AN$1006:$BO$1006,0)))),"Fix")))</f>
        <v>0</v>
      </c>
      <c r="S544" s="4">
        <f>IF(OR(INDEX($AH$2:$AH$1001,MATCH(ROWS($AG$2:AG544),$AG$2:$AG$1001,0),1)&gt;=100000,INDEX($AN$1005:$BO$1005,1,MATCH(COLUMNS($AN$1006:BE1006),$AN$1006:$BO$1006,0))&gt;=100000), " ",IF(INDEX($AN$2:$BO$1001,MATCH(ROWS($AG$2:AG544),$AG$2:$AG$1001,0),MATCH(COLUMNS($AN$1006:BE1006),$AN$1006:$BO$1006,0)), HYPERLINK("#",""), HYPERLINK(CONCATENATE("#Metadata!", ADDRESS(INDEX($AI$2:$AI$1001,MATCH(ROWS($AG$2:AG544),$AG$2:$AG$1001,0),0), INDEX($AN$1004:$BO$1004,1,MATCH(COLUMNS($AN$1006:BE1006),$AN$1006:$BO$1006,0)))),"Fix")))</f>
        <v>0</v>
      </c>
      <c r="T544" s="4">
        <f>IF(OR(INDEX($AH$2:$AH$1001,MATCH(ROWS($AG$2:AG544),$AG$2:$AG$1001,0),1)&gt;=100000,INDEX($AN$1005:$BO$1005,1,MATCH(COLUMNS($AN$1006:BF1006),$AN$1006:$BO$1006,0))&gt;=100000), " ",IF(INDEX($AN$2:$BO$1001,MATCH(ROWS($AG$2:AG544),$AG$2:$AG$1001,0),MATCH(COLUMNS($AN$1006:BF1006),$AN$1006:$BO$1006,0)), HYPERLINK("#",""), HYPERLINK(CONCATENATE("#Metadata!", ADDRESS(INDEX($AI$2:$AI$1001,MATCH(ROWS($AG$2:AG544),$AG$2:$AG$1001,0),0), INDEX($AN$1004:$BO$1004,1,MATCH(COLUMNS($AN$1006:BF1006),$AN$1006:$BO$1006,0)))),"Fix")))</f>
        <v>0</v>
      </c>
      <c r="U544" s="4">
        <f>IF(OR(INDEX($AH$2:$AH$1001,MATCH(ROWS($AG$2:AG544),$AG$2:$AG$1001,0),1)&gt;=100000,INDEX($AN$1005:$BO$1005,1,MATCH(COLUMNS($AN$1006:BG1006),$AN$1006:$BO$1006,0))&gt;=100000), " ",IF(INDEX($AN$2:$BO$1001,MATCH(ROWS($AG$2:AG544),$AG$2:$AG$1001,0),MATCH(COLUMNS($AN$1006:BG1006),$AN$1006:$BO$1006,0)), HYPERLINK("#",""), HYPERLINK(CONCATENATE("#Metadata!", ADDRESS(INDEX($AI$2:$AI$1001,MATCH(ROWS($AG$2:AG544),$AG$2:$AG$1001,0),0), INDEX($AN$1004:$BO$1004,1,MATCH(COLUMNS($AN$1006:BG1006),$AN$1006:$BO$1006,0)))),"Fix")))</f>
        <v>0</v>
      </c>
      <c r="V544" s="4">
        <f>IF(OR(INDEX($AH$2:$AH$1001,MATCH(ROWS($AG$2:AG544),$AG$2:$AG$1001,0),1)&gt;=100000,INDEX($AN$1005:$BO$1005,1,MATCH(COLUMNS($AN$1006:BH1006),$AN$1006:$BO$1006,0))&gt;=100000), " ",IF(INDEX($AN$2:$BO$1001,MATCH(ROWS($AG$2:AG544),$AG$2:$AG$1001,0),MATCH(COLUMNS($AN$1006:BH1006),$AN$1006:$BO$1006,0)), HYPERLINK("#",""), HYPERLINK(CONCATENATE("#Metadata!", ADDRESS(INDEX($AI$2:$AI$1001,MATCH(ROWS($AG$2:AG544),$AG$2:$AG$1001,0),0), INDEX($AN$1004:$BO$1004,1,MATCH(COLUMNS($AN$1006:BH1006),$AN$1006:$BO$1006,0)))),"Fix")))</f>
        <v>0</v>
      </c>
      <c r="W544" s="4">
        <f>IF(OR(INDEX($AH$2:$AH$1001,MATCH(ROWS($AG$2:AG544),$AG$2:$AG$1001,0),1)&gt;=100000,INDEX($AN$1005:$BO$1005,1,MATCH(COLUMNS($AN$1006:BI1006),$AN$1006:$BO$1006,0))&gt;=100000), " ",IF(INDEX($AN$2:$BO$1001,MATCH(ROWS($AG$2:AG544),$AG$2:$AG$1001,0),MATCH(COLUMNS($AN$1006:BI1006),$AN$1006:$BO$1006,0)), HYPERLINK("#",""), HYPERLINK(CONCATENATE("#Metadata!", ADDRESS(INDEX($AI$2:$AI$1001,MATCH(ROWS($AG$2:AG544),$AG$2:$AG$1001,0),0), INDEX($AN$1004:$BO$1004,1,MATCH(COLUMNS($AN$1006:BI1006),$AN$1006:$BO$1006,0)))),"Fix")))</f>
        <v>0</v>
      </c>
      <c r="X544" s="4">
        <f>IF(OR(INDEX($AH$2:$AH$1001,MATCH(ROWS($AG$2:AG544),$AG$2:$AG$1001,0),1)&gt;=100000,INDEX($AN$1005:$BO$1005,1,MATCH(COLUMNS($AN$1006:BJ1006),$AN$1006:$BO$1006,0))&gt;=100000), " ",IF(INDEX($AN$2:$BO$1001,MATCH(ROWS($AG$2:AG544),$AG$2:$AG$1001,0),MATCH(COLUMNS($AN$1006:BJ1006),$AN$1006:$BO$1006,0)), HYPERLINK("#",""), HYPERLINK(CONCATENATE("#Metadata!", ADDRESS(INDEX($AI$2:$AI$1001,MATCH(ROWS($AG$2:AG544),$AG$2:$AG$1001,0),0), INDEX($AN$1004:$BO$1004,1,MATCH(COLUMNS($AN$1006:BJ1006),$AN$1006:$BO$1006,0)))),"Fix")))</f>
        <v>0</v>
      </c>
      <c r="Y544" s="4">
        <f>IF(OR(INDEX($AH$2:$AH$1001,MATCH(ROWS($AG$2:AG544),$AG$2:$AG$1001,0),1)&gt;=100000,INDEX($AN$1005:$BO$1005,1,MATCH(COLUMNS($AN$1006:BK1006),$AN$1006:$BO$1006,0))&gt;=100000), " ",IF(INDEX($AN$2:$BO$1001,MATCH(ROWS($AG$2:AG544),$AG$2:$AG$1001,0),MATCH(COLUMNS($AN$1006:BK1006),$AN$1006:$BO$1006,0)), HYPERLINK("#",""), HYPERLINK(CONCATENATE("#Metadata!", ADDRESS(INDEX($AI$2:$AI$1001,MATCH(ROWS($AG$2:AG544),$AG$2:$AG$1001,0),0), INDEX($AN$1004:$BO$1004,1,MATCH(COLUMNS($AN$1006:BK1006),$AN$1006:$BO$1006,0)))),"Fix")))</f>
        <v>0</v>
      </c>
      <c r="Z544" s="4">
        <f>IF(OR(INDEX($AH$2:$AH$1001,MATCH(ROWS($AG$2:AG544),$AG$2:$AG$1001,0),1)&gt;=100000,INDEX($AN$1005:$BO$1005,1,MATCH(COLUMNS($AN$1006:BL1006),$AN$1006:$BO$1006,0))&gt;=100000), " ",IF(INDEX($AN$2:$BO$1001,MATCH(ROWS($AG$2:AG544),$AG$2:$AG$1001,0),MATCH(COLUMNS($AN$1006:BL1006),$AN$1006:$BO$1006,0)), HYPERLINK("#",""), HYPERLINK(CONCATENATE("#Metadata!", ADDRESS(INDEX($AI$2:$AI$1001,MATCH(ROWS($AG$2:AG544),$AG$2:$AG$1001,0),0), INDEX($AN$1004:$BO$1004,1,MATCH(COLUMNS($AN$1006:BL1006),$AN$1006:$BO$1006,0)))),"Fix")))</f>
        <v>0</v>
      </c>
      <c r="AA544" s="4">
        <f>IF(OR(INDEX($AH$2:$AH$1001,MATCH(ROWS($AG$2:AG544),$AG$2:$AG$1001,0),1)&gt;=100000,INDEX($AN$1005:$BO$1005,1,MATCH(COLUMNS($AN$1006:BM1006),$AN$1006:$BO$1006,0))&gt;=100000), " ",IF(INDEX($AN$2:$BO$1001,MATCH(ROWS($AG$2:AG544),$AG$2:$AG$1001,0),MATCH(COLUMNS($AN$1006:BM1006),$AN$1006:$BO$1006,0)), HYPERLINK("#",""), HYPERLINK(CONCATENATE("#Metadata!", ADDRESS(INDEX($AI$2:$AI$1001,MATCH(ROWS($AG$2:AG544),$AG$2:$AG$1001,0),0), INDEX($AN$1004:$BO$1004,1,MATCH(COLUMNS($AN$1006:BM1006),$AN$1006:$BO$1006,0)))),"Fix")))</f>
        <v>0</v>
      </c>
      <c r="AB544" s="4">
        <f>IF(OR(INDEX($AH$2:$AH$1001,MATCH(ROWS($AG$2:AG544),$AG$2:$AG$1001,0),1)&gt;=100000,INDEX($AN$1005:$BO$1005,1,MATCH(COLUMNS($AN$1006:BN1006),$AN$1006:$BO$1006,0))&gt;=100000), " ",IF(INDEX($AN$2:$BO$1001,MATCH(ROWS($AG$2:AG544),$AG$2:$AG$1001,0),MATCH(COLUMNS($AN$1006:BN1006),$AN$1006:$BO$1006,0)), HYPERLINK("#",""), HYPERLINK(CONCATENATE("#Metadata!", ADDRESS(INDEX($AI$2:$AI$1001,MATCH(ROWS($AG$2:AG544),$AG$2:$AG$1001,0),0), INDEX($AN$1004:$BO$1004,1,MATCH(COLUMNS($AN$1006:BN1006),$AN$1006:$BO$1006,0)))),"Fix")))</f>
        <v>0</v>
      </c>
      <c r="AC544" s="4">
        <f>IF(OR(INDEX($AH$2:$AH$1001,MATCH(ROWS($AG$2:AG544),$AG$2:$AG$1001,0),1)&gt;=100000,INDEX($AN$1005:$BO$1005,1,MATCH(COLUMNS($AN$1006:BO1006),$AN$1006:$BO$1006,0))&gt;=100000), " ",IF(INDEX($AN$2:$BO$1001,MATCH(ROWS($AG$2:AG544),$AG$2:$AG$1001,0),MATCH(COLUMNS($AN$1006:BO1006),$AN$1006:$BO$1006,0)), HYPERLINK("#",""), HYPERLINK(CONCATENATE("#Metadata!", ADDRESS(INDEX($AI$2:$AI$1001,MATCH(ROWS($AG$2:AG544),$AG$2:$AG$1001,0),0), INDEX($AN$1004:$BO$1004,1,MATCH(COLUMNS($AN$1006:BO1006),$AN$1006:$BO$1006,0)))),"Fix")))</f>
        <v>0</v>
      </c>
      <c r="AG544">
        <v>0</v>
      </c>
      <c r="AH544">
        <v>0</v>
      </c>
      <c r="AI544">
        <v>0</v>
      </c>
      <c r="AJ544">
        <f>IF(AK544,TRUE,AND(AN544:BO544))</f>
        <v>0</v>
      </c>
      <c r="AK544">
        <f>COUNTBLANK(Metadata!B544:AC544)=COLUMNS(Metadata!B544:AC544)</f>
        <v>0</v>
      </c>
      <c r="AL544">
        <v>0</v>
      </c>
      <c r="AN544">
        <f>AND(IF(Metadata!B544="",FALSE,TRUE),COUNTIF(Metadata!B:B, Metadata!B544) = 1,NOT(ISERROR(SUMPRODUCT(SEARCH(MID(Metadata!B544,ROW(INDIRECT("1:"&amp;LEN(Metadata!B544))), 1),"0123456789abcdefghijklmnopqrstuvwxyzABCDEFGHIJKLMNOPQRSTUVWXYZ.")))))</f>
        <v>0</v>
      </c>
      <c r="AO544">
        <f>IF(Metadata!C544="",FALSE,TRUE)</f>
        <v>0</v>
      </c>
      <c r="AP544">
        <f>IF(Metadata!D544="",FALSE,TRUE)</f>
        <v>0</v>
      </c>
      <c r="AQ544">
        <f>OR(AND(IF(Metadata!E544="",FALSE,TRUE),OR(exact(Metadata!E544,"not collected"),exact(Metadata!E544,"not provided"),exact(Metadata!E544,"restricted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R544">
        <f>IF(Metadata!F544="",FALSE,TRUE)</f>
        <v>0</v>
      </c>
      <c r="AS544">
        <f>OR(AND(IF(Metadata!G544="",FALSE,TRUE),OR(exact(Metadata!G544,"not collected"),exact(Metadata!G544,"not provided"))),AND(IF(Metadata!G544="",FALSE,TRUE),OR(exact(Metadata!G544,"TRUE"),exact(Metadata!G544,"FALSE"))))</f>
        <v>0</v>
      </c>
      <c r="AT544">
        <f>OR(AND(IF(Metadata!H544="",FALSE,TRUE),OR(exact(Metadata!H544,"not collected"),exact(Metadata!H544,"not provided"),exact(Metadata!H544,"restricted access"))),AND(IF(Metadata!H544="",FALSE,ISNUMBER(VALUE(Metadata!H544))),Metadata!H544&gt;=-413.0))</f>
        <v>0</v>
      </c>
      <c r="AU544">
        <f>AND(IF(Metadata!I544="",FALSE,TRUE),exact(Metadata!I544,"meters"))</f>
        <v>0</v>
      </c>
      <c r="AV544">
        <f>AND(IF(Metadata!J544="",FALSE,TRUE),OR(exact(Metadata!J544,"Host-associated"),exact(Metadata!J544,"Free-living")))</f>
        <v>0</v>
      </c>
      <c r="AW544">
        <f>AND(IF(Metadata!K544="",FALSE,TRUE),OR(exact(Metadata!K544,"Animal"),exact(Metadata!K544,"Fungus"),exact(Metadata!K544,"Plant"),exact(Metadata!K544,"Saline"),exact(Metadata!K544,"Non-saline")))</f>
        <v>0</v>
      </c>
      <c r="AX544">
        <f>AND(IF(Metadata!L544="",FALSE,TRUE),OR(exact(Metadata!L544,"Plant secretion"),exact(Metadata!L544,"Plant rhizosphere"),exact(Metadata!L544,"Plant surface"),exact(Metadata!L544,"Plant corpus"),exact(Metadata!L544,"Fungus surface"),exact(Metadata!L544,"Fungus corpus"),exact(Metadata!L544,"Animal surface"),exact(Metadata!L544,"Animal proximal gut"),exact(Metadata!L544,"Animal corpus"),exact(Metadata!L544,"Animal distal gut"),exact(Metadata!L544,"Animal secretion"),exact(Metadata!L544,"Sub-surface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Y544">
        <f>IF(Metadata!M544="",FALSE,TRUE)</f>
        <v>0</v>
      </c>
      <c r="AZ544">
        <f>IF(Metadata!N544="",FALSE,TRUE)</f>
        <v>0</v>
      </c>
      <c r="BA544">
        <f>IF(Metadata!O544="",FALSE,TRUE)</f>
        <v>0</v>
      </c>
      <c r="BB544">
        <f>OR(AND(IF(Metadata!P544="",FALSE,TRUE),OR(exact(Metadata!P544,"not collected"),exact(Metadata!P544,"not provided"),exact(Metadata!P544,"restricted access"))),AND(IF(Metadata!P544="",FALSE,TRUE),OR(exact(Metadata!P544,"air"),exact(Metadata!P544,"built environment"),exact(Metadata!P544,"host-associated"),exact(Metadata!P544,"human-associated"),exact(Metadata!P544,"human-skin"),exact(Metadata!P544,"human-oral"),exact(Metadata!P544,"human-gut"),exact(Metadata!P544,"human-vaginal"),exact(Metadata!P544,"microbial mat/biofilm"),exact(Metadata!P544,"misc environment"),exact(Metadata!P544,"plant-associated"),exact(Metadata!P544,"sediment"),exact(Metadata!P544,"soil"),exact(Metadata!P544,"wastewater/sludge"),exact(Metadata!P544,"water"))))</f>
        <v>0</v>
      </c>
      <c r="BC544">
        <f>IF(Metadata!Q544="",FALSE,TRUE)</f>
        <v>0</v>
      </c>
      <c r="BD544">
        <f>IF(Metadata!R544="",FALSE,TRUE)</f>
        <v>0</v>
      </c>
      <c r="BE544">
        <f>OR(AND(IF(Metadata!S544="",FALSE,TRUE),OR(exact(Metadata!S544,"not collected"),exact(Metadata!S544,"not provided"),exact(Metadata!S544,"restricted access"))),AND(IF(Metadata!S544="",FALSE,ISNUMBER(VALUE(Metadata!S544))),Metadata!S544&gt;=-90.00,Metadata!S544&lt;=90.00))</f>
        <v>0</v>
      </c>
      <c r="BF544">
        <f>AND(IF(Metadata!T544="",FALSE,TRUE),exact(Metadata!T544,"Decimal degrees"))</f>
        <v>0</v>
      </c>
      <c r="BG544">
        <f>OR(AND(IF(Metadata!U544="",FALSE,TRUE),OR(exact(Metadata!U544,"not collected"),exact(Metadata!U544,"not provided"),exact(Metadata!U544,"restricted access"))),AND(IF(Metadata!U544="",FALSE,ISNUMBER(VALUE(Metadata!U544))),Metadata!U544&gt;=-180.00,Metadata!U544&lt;=180.00))</f>
        <v>0</v>
      </c>
      <c r="BH544">
        <f>AND(IF(Metadata!V544="",FALSE,TRUE),exact(Metadata!V544,"Decimal degrees"))</f>
        <v>0</v>
      </c>
      <c r="BI544">
        <f>IF(Metadata!W544="",FALSE,TRUE)</f>
        <v>0</v>
      </c>
      <c r="BJ544">
        <f>OR(AND(IF(Metadata!X544="",FALSE,TRUE),OR(exact(Metadata!X544,"not collected"),exact(Metadata!X544,"not provided"),exact(Metadata!X544,"restricted access"))),AND(IF(Metadata!X544="",FALSE,TRUE),OR(exact(Metadata!X544,"TRUE"),exact(Metadata!X544,"FALSE"))))</f>
        <v>0</v>
      </c>
      <c r="BK544">
        <f>AND(IF(Metadata!Y544="",FALSE,TRUE),exact(Metadata!Y544,"other"))</f>
        <v>0</v>
      </c>
      <c r="BL544">
        <f>IF(Metadata!Z544="",FALSE,TRUE)</f>
        <v>0</v>
      </c>
      <c r="BM544">
        <f>OR(AND(IF(Metadata!AA544="",FALSE,TRUE),OR(exact(Metadata!AA544,"not collected"),exact(Metadata!AA544,"not provided"))),AND(IF(Metadata!AA544="",FALSE,IF(ISERROR(INT(Metadata!AA544)),FALSE,INT(Metadata!AA544)=Metadata!AA544)),Metadata!AA544&gt;0))</f>
        <v>0</v>
      </c>
      <c r="BN544">
        <f>AND(IF(Metadata!AB544="",FALSE,TRUE),exact(Metadata!AB544,"Not applicable"))</f>
        <v>0</v>
      </c>
      <c r="BO544">
        <f>IF(Metadata!AC544="",FALSE,TRUE)</f>
        <v>0</v>
      </c>
    </row>
    <row r="545" spans="1:67">
      <c r="A545" s="5">
        <f>IF(B545=" "," ",HYPERLINK(CONCATENATE("#metadata!",ADDRESS(INDEX($AI$2:$AI$1001,MATCH(ROWS($AG$2:AG545),$AG$2:$AG$1001,0),0),1)),INDEX($AL$2:$AL$1001,MATCH(ROWS($AG$2:AG545),$AG$2:$AG$1001,0),0)))</f>
        <v>0</v>
      </c>
      <c r="B545" s="4">
        <f>IF(OR(INDEX($AH$2:$AH$1001,MATCH(ROWS($AG$2:AG545),$AG$2:$AG$1001,0),1)&gt;=100000,INDEX($AN$1005:$BO$1005,1,MATCH(COLUMNS($AN$1006:AN1006),$AN$1006:$BO$1006,0))&gt;=100000), " ",IF(INDEX($AN$2:$BO$1001,MATCH(ROWS($AG$2:AG545),$AG$2:$AG$1001,0),MATCH(COLUMNS($AN$1006:AN1006),$AN$1006:$BO$1006,0)), HYPERLINK("#",""), HYPERLINK(CONCATENATE("#Metadata!", ADDRESS(INDEX($AI$2:$AI$1001,MATCH(ROWS($AG$2:AG545),$AG$2:$AG$1001,0),0), INDEX($AN$1004:$BO$1004,1,MATCH(COLUMNS($AN$1006:AN1006),$AN$1006:$BO$1006,0)))),"Fix")))</f>
        <v>0</v>
      </c>
      <c r="C545" s="4">
        <f>IF(OR(INDEX($AH$2:$AH$1001,MATCH(ROWS($AG$2:AG545),$AG$2:$AG$1001,0),1)&gt;=100000,INDEX($AN$1005:$BO$1005,1,MATCH(COLUMNS($AN$1006:AO1006),$AN$1006:$BO$1006,0))&gt;=100000), " ",IF(INDEX($AN$2:$BO$1001,MATCH(ROWS($AG$2:AG545),$AG$2:$AG$1001,0),MATCH(COLUMNS($AN$1006:AO1006),$AN$1006:$BO$1006,0)), HYPERLINK("#",""), HYPERLINK(CONCATENATE("#Metadata!", ADDRESS(INDEX($AI$2:$AI$1001,MATCH(ROWS($AG$2:AG545),$AG$2:$AG$1001,0),0), INDEX($AN$1004:$BO$1004,1,MATCH(COLUMNS($AN$1006:AO1006),$AN$1006:$BO$1006,0)))),"Fix")))</f>
        <v>0</v>
      </c>
      <c r="D545" s="4">
        <f>IF(OR(INDEX($AH$2:$AH$1001,MATCH(ROWS($AG$2:AG545),$AG$2:$AG$1001,0),1)&gt;=100000,INDEX($AN$1005:$BO$1005,1,MATCH(COLUMNS($AN$1006:AP1006),$AN$1006:$BO$1006,0))&gt;=100000), " ",IF(INDEX($AN$2:$BO$1001,MATCH(ROWS($AG$2:AG545),$AG$2:$AG$1001,0),MATCH(COLUMNS($AN$1006:AP1006),$AN$1006:$BO$1006,0)), HYPERLINK("#",""), HYPERLINK(CONCATENATE("#Metadata!", ADDRESS(INDEX($AI$2:$AI$1001,MATCH(ROWS($AG$2:AG545),$AG$2:$AG$1001,0),0), INDEX($AN$1004:$BO$1004,1,MATCH(COLUMNS($AN$1006:AP1006),$AN$1006:$BO$1006,0)))),"Fix")))</f>
        <v>0</v>
      </c>
      <c r="E545" s="4">
        <f>IF(OR(INDEX($AH$2:$AH$1001,MATCH(ROWS($AG$2:AG545),$AG$2:$AG$1001,0),1)&gt;=100000,INDEX($AN$1005:$BO$1005,1,MATCH(COLUMNS($AN$1006:AQ1006),$AN$1006:$BO$1006,0))&gt;=100000), " ",IF(INDEX($AN$2:$BO$1001,MATCH(ROWS($AG$2:AG545),$AG$2:$AG$1001,0),MATCH(COLUMNS($AN$1006:AQ1006),$AN$1006:$BO$1006,0)), HYPERLINK("#",""), HYPERLINK(CONCATENATE("#Metadata!", ADDRESS(INDEX($AI$2:$AI$1001,MATCH(ROWS($AG$2:AG545),$AG$2:$AG$1001,0),0), INDEX($AN$1004:$BO$1004,1,MATCH(COLUMNS($AN$1006:AQ1006),$AN$1006:$BO$1006,0)))),"Fix")))</f>
        <v>0</v>
      </c>
      <c r="F545" s="4">
        <f>IF(OR(INDEX($AH$2:$AH$1001,MATCH(ROWS($AG$2:AG545),$AG$2:$AG$1001,0),1)&gt;=100000,INDEX($AN$1005:$BO$1005,1,MATCH(COLUMNS($AN$1006:AR1006),$AN$1006:$BO$1006,0))&gt;=100000), " ",IF(INDEX($AN$2:$BO$1001,MATCH(ROWS($AG$2:AG545),$AG$2:$AG$1001,0),MATCH(COLUMNS($AN$1006:AR1006),$AN$1006:$BO$1006,0)), HYPERLINK("#",""), HYPERLINK(CONCATENATE("#Metadata!", ADDRESS(INDEX($AI$2:$AI$1001,MATCH(ROWS($AG$2:AG545),$AG$2:$AG$1001,0),0), INDEX($AN$1004:$BO$1004,1,MATCH(COLUMNS($AN$1006:AR1006),$AN$1006:$BO$1006,0)))),"Fix")))</f>
        <v>0</v>
      </c>
      <c r="G545" s="4">
        <f>IF(OR(INDEX($AH$2:$AH$1001,MATCH(ROWS($AG$2:AG545),$AG$2:$AG$1001,0),1)&gt;=100000,INDEX($AN$1005:$BO$1005,1,MATCH(COLUMNS($AN$1006:AS1006),$AN$1006:$BO$1006,0))&gt;=100000), " ",IF(INDEX($AN$2:$BO$1001,MATCH(ROWS($AG$2:AG545),$AG$2:$AG$1001,0),MATCH(COLUMNS($AN$1006:AS1006),$AN$1006:$BO$1006,0)), HYPERLINK("#",""), HYPERLINK(CONCATENATE("#Metadata!", ADDRESS(INDEX($AI$2:$AI$1001,MATCH(ROWS($AG$2:AG545),$AG$2:$AG$1001,0),0), INDEX($AN$1004:$BO$1004,1,MATCH(COLUMNS($AN$1006:AS1006),$AN$1006:$BO$1006,0)))),"Fix")))</f>
        <v>0</v>
      </c>
      <c r="H545" s="4">
        <f>IF(OR(INDEX($AH$2:$AH$1001,MATCH(ROWS($AG$2:AG545),$AG$2:$AG$1001,0),1)&gt;=100000,INDEX($AN$1005:$BO$1005,1,MATCH(COLUMNS($AN$1006:AT1006),$AN$1006:$BO$1006,0))&gt;=100000), " ",IF(INDEX($AN$2:$BO$1001,MATCH(ROWS($AG$2:AG545),$AG$2:$AG$1001,0),MATCH(COLUMNS($AN$1006:AT1006),$AN$1006:$BO$1006,0)), HYPERLINK("#",""), HYPERLINK(CONCATENATE("#Metadata!", ADDRESS(INDEX($AI$2:$AI$1001,MATCH(ROWS($AG$2:AG545),$AG$2:$AG$1001,0),0), INDEX($AN$1004:$BO$1004,1,MATCH(COLUMNS($AN$1006:AT1006),$AN$1006:$BO$1006,0)))),"Fix")))</f>
        <v>0</v>
      </c>
      <c r="I545" s="4">
        <f>IF(OR(INDEX($AH$2:$AH$1001,MATCH(ROWS($AG$2:AG545),$AG$2:$AG$1001,0),1)&gt;=100000,INDEX($AN$1005:$BO$1005,1,MATCH(COLUMNS($AN$1006:AU1006),$AN$1006:$BO$1006,0))&gt;=100000), " ",IF(INDEX($AN$2:$BO$1001,MATCH(ROWS($AG$2:AG545),$AG$2:$AG$1001,0),MATCH(COLUMNS($AN$1006:AU1006),$AN$1006:$BO$1006,0)), HYPERLINK("#",""), HYPERLINK(CONCATENATE("#Metadata!", ADDRESS(INDEX($AI$2:$AI$1001,MATCH(ROWS($AG$2:AG545),$AG$2:$AG$1001,0),0), INDEX($AN$1004:$BO$1004,1,MATCH(COLUMNS($AN$1006:AU1006),$AN$1006:$BO$1006,0)))),"Fix")))</f>
        <v>0</v>
      </c>
      <c r="J545" s="4">
        <f>IF(OR(INDEX($AH$2:$AH$1001,MATCH(ROWS($AG$2:AG545),$AG$2:$AG$1001,0),1)&gt;=100000,INDEX($AN$1005:$BO$1005,1,MATCH(COLUMNS($AN$1006:AV1006),$AN$1006:$BO$1006,0))&gt;=100000), " ",IF(INDEX($AN$2:$BO$1001,MATCH(ROWS($AG$2:AG545),$AG$2:$AG$1001,0),MATCH(COLUMNS($AN$1006:AV1006),$AN$1006:$BO$1006,0)), HYPERLINK("#",""), HYPERLINK(CONCATENATE("#Metadata!", ADDRESS(INDEX($AI$2:$AI$1001,MATCH(ROWS($AG$2:AG545),$AG$2:$AG$1001,0),0), INDEX($AN$1004:$BO$1004,1,MATCH(COLUMNS($AN$1006:AV1006),$AN$1006:$BO$1006,0)))),"Fix")))</f>
        <v>0</v>
      </c>
      <c r="K545" s="4">
        <f>IF(OR(INDEX($AH$2:$AH$1001,MATCH(ROWS($AG$2:AG545),$AG$2:$AG$1001,0),1)&gt;=100000,INDEX($AN$1005:$BO$1005,1,MATCH(COLUMNS($AN$1006:AW1006),$AN$1006:$BO$1006,0))&gt;=100000), " ",IF(INDEX($AN$2:$BO$1001,MATCH(ROWS($AG$2:AG545),$AG$2:$AG$1001,0),MATCH(COLUMNS($AN$1006:AW1006),$AN$1006:$BO$1006,0)), HYPERLINK("#",""), HYPERLINK(CONCATENATE("#Metadata!", ADDRESS(INDEX($AI$2:$AI$1001,MATCH(ROWS($AG$2:AG545),$AG$2:$AG$1001,0),0), INDEX($AN$1004:$BO$1004,1,MATCH(COLUMNS($AN$1006:AW1006),$AN$1006:$BO$1006,0)))),"Fix")))</f>
        <v>0</v>
      </c>
      <c r="L545" s="4">
        <f>IF(OR(INDEX($AH$2:$AH$1001,MATCH(ROWS($AG$2:AG545),$AG$2:$AG$1001,0),1)&gt;=100000,INDEX($AN$1005:$BO$1005,1,MATCH(COLUMNS($AN$1006:AX1006),$AN$1006:$BO$1006,0))&gt;=100000), " ",IF(INDEX($AN$2:$BO$1001,MATCH(ROWS($AG$2:AG545),$AG$2:$AG$1001,0),MATCH(COLUMNS($AN$1006:AX1006),$AN$1006:$BO$1006,0)), HYPERLINK("#",""), HYPERLINK(CONCATENATE("#Metadata!", ADDRESS(INDEX($AI$2:$AI$1001,MATCH(ROWS($AG$2:AG545),$AG$2:$AG$1001,0),0), INDEX($AN$1004:$BO$1004,1,MATCH(COLUMNS($AN$1006:AX1006),$AN$1006:$BO$1006,0)))),"Fix")))</f>
        <v>0</v>
      </c>
      <c r="M545" s="4">
        <f>IF(OR(INDEX($AH$2:$AH$1001,MATCH(ROWS($AG$2:AG545),$AG$2:$AG$1001,0),1)&gt;=100000,INDEX($AN$1005:$BO$1005,1,MATCH(COLUMNS($AN$1006:AY1006),$AN$1006:$BO$1006,0))&gt;=100000), " ",IF(INDEX($AN$2:$BO$1001,MATCH(ROWS($AG$2:AG545),$AG$2:$AG$1001,0),MATCH(COLUMNS($AN$1006:AY1006),$AN$1006:$BO$1006,0)), HYPERLINK("#",""), HYPERLINK(CONCATENATE("#Metadata!", ADDRESS(INDEX($AI$2:$AI$1001,MATCH(ROWS($AG$2:AG545),$AG$2:$AG$1001,0),0), INDEX($AN$1004:$BO$1004,1,MATCH(COLUMNS($AN$1006:AY1006),$AN$1006:$BO$1006,0)))),"Fix")))</f>
        <v>0</v>
      </c>
      <c r="N545" s="4">
        <f>IF(OR(INDEX($AH$2:$AH$1001,MATCH(ROWS($AG$2:AG545),$AG$2:$AG$1001,0),1)&gt;=100000,INDEX($AN$1005:$BO$1005,1,MATCH(COLUMNS($AN$1006:AZ1006),$AN$1006:$BO$1006,0))&gt;=100000), " ",IF(INDEX($AN$2:$BO$1001,MATCH(ROWS($AG$2:AG545),$AG$2:$AG$1001,0),MATCH(COLUMNS($AN$1006:AZ1006),$AN$1006:$BO$1006,0)), HYPERLINK("#",""), HYPERLINK(CONCATENATE("#Metadata!", ADDRESS(INDEX($AI$2:$AI$1001,MATCH(ROWS($AG$2:AG545),$AG$2:$AG$1001,0),0), INDEX($AN$1004:$BO$1004,1,MATCH(COLUMNS($AN$1006:AZ1006),$AN$1006:$BO$1006,0)))),"Fix")))</f>
        <v>0</v>
      </c>
      <c r="O545" s="4">
        <f>IF(OR(INDEX($AH$2:$AH$1001,MATCH(ROWS($AG$2:AG545),$AG$2:$AG$1001,0),1)&gt;=100000,INDEX($AN$1005:$BO$1005,1,MATCH(COLUMNS($AN$1006:BA1006),$AN$1006:$BO$1006,0))&gt;=100000), " ",IF(INDEX($AN$2:$BO$1001,MATCH(ROWS($AG$2:AG545),$AG$2:$AG$1001,0),MATCH(COLUMNS($AN$1006:BA1006),$AN$1006:$BO$1006,0)), HYPERLINK("#",""), HYPERLINK(CONCATENATE("#Metadata!", ADDRESS(INDEX($AI$2:$AI$1001,MATCH(ROWS($AG$2:AG545),$AG$2:$AG$1001,0),0), INDEX($AN$1004:$BO$1004,1,MATCH(COLUMNS($AN$1006:BA1006),$AN$1006:$BO$1006,0)))),"Fix")))</f>
        <v>0</v>
      </c>
      <c r="P545" s="4">
        <f>IF(OR(INDEX($AH$2:$AH$1001,MATCH(ROWS($AG$2:AG545),$AG$2:$AG$1001,0),1)&gt;=100000,INDEX($AN$1005:$BO$1005,1,MATCH(COLUMNS($AN$1006:BB1006),$AN$1006:$BO$1006,0))&gt;=100000), " ",IF(INDEX($AN$2:$BO$1001,MATCH(ROWS($AG$2:AG545),$AG$2:$AG$1001,0),MATCH(COLUMNS($AN$1006:BB1006),$AN$1006:$BO$1006,0)), HYPERLINK("#",""), HYPERLINK(CONCATENATE("#Metadata!", ADDRESS(INDEX($AI$2:$AI$1001,MATCH(ROWS($AG$2:AG545),$AG$2:$AG$1001,0),0), INDEX($AN$1004:$BO$1004,1,MATCH(COLUMNS($AN$1006:BB1006),$AN$1006:$BO$1006,0)))),"Fix")))</f>
        <v>0</v>
      </c>
      <c r="Q545" s="4">
        <f>IF(OR(INDEX($AH$2:$AH$1001,MATCH(ROWS($AG$2:AG545),$AG$2:$AG$1001,0),1)&gt;=100000,INDEX($AN$1005:$BO$1005,1,MATCH(COLUMNS($AN$1006:BC1006),$AN$1006:$BO$1006,0))&gt;=100000), " ",IF(INDEX($AN$2:$BO$1001,MATCH(ROWS($AG$2:AG545),$AG$2:$AG$1001,0),MATCH(COLUMNS($AN$1006:BC1006),$AN$1006:$BO$1006,0)), HYPERLINK("#",""), HYPERLINK(CONCATENATE("#Metadata!", ADDRESS(INDEX($AI$2:$AI$1001,MATCH(ROWS($AG$2:AG545),$AG$2:$AG$1001,0),0), INDEX($AN$1004:$BO$1004,1,MATCH(COLUMNS($AN$1006:BC1006),$AN$1006:$BO$1006,0)))),"Fix")))</f>
        <v>0</v>
      </c>
      <c r="R545" s="4">
        <f>IF(OR(INDEX($AH$2:$AH$1001,MATCH(ROWS($AG$2:AG545),$AG$2:$AG$1001,0),1)&gt;=100000,INDEX($AN$1005:$BO$1005,1,MATCH(COLUMNS($AN$1006:BD1006),$AN$1006:$BO$1006,0))&gt;=100000), " ",IF(INDEX($AN$2:$BO$1001,MATCH(ROWS($AG$2:AG545),$AG$2:$AG$1001,0),MATCH(COLUMNS($AN$1006:BD1006),$AN$1006:$BO$1006,0)), HYPERLINK("#",""), HYPERLINK(CONCATENATE("#Metadata!", ADDRESS(INDEX($AI$2:$AI$1001,MATCH(ROWS($AG$2:AG545),$AG$2:$AG$1001,0),0), INDEX($AN$1004:$BO$1004,1,MATCH(COLUMNS($AN$1006:BD1006),$AN$1006:$BO$1006,0)))),"Fix")))</f>
        <v>0</v>
      </c>
      <c r="S545" s="4">
        <f>IF(OR(INDEX($AH$2:$AH$1001,MATCH(ROWS($AG$2:AG545),$AG$2:$AG$1001,0),1)&gt;=100000,INDEX($AN$1005:$BO$1005,1,MATCH(COLUMNS($AN$1006:BE1006),$AN$1006:$BO$1006,0))&gt;=100000), " ",IF(INDEX($AN$2:$BO$1001,MATCH(ROWS($AG$2:AG545),$AG$2:$AG$1001,0),MATCH(COLUMNS($AN$1006:BE1006),$AN$1006:$BO$1006,0)), HYPERLINK("#",""), HYPERLINK(CONCATENATE("#Metadata!", ADDRESS(INDEX($AI$2:$AI$1001,MATCH(ROWS($AG$2:AG545),$AG$2:$AG$1001,0),0), INDEX($AN$1004:$BO$1004,1,MATCH(COLUMNS($AN$1006:BE1006),$AN$1006:$BO$1006,0)))),"Fix")))</f>
        <v>0</v>
      </c>
      <c r="T545" s="4">
        <f>IF(OR(INDEX($AH$2:$AH$1001,MATCH(ROWS($AG$2:AG545),$AG$2:$AG$1001,0),1)&gt;=100000,INDEX($AN$1005:$BO$1005,1,MATCH(COLUMNS($AN$1006:BF1006),$AN$1006:$BO$1006,0))&gt;=100000), " ",IF(INDEX($AN$2:$BO$1001,MATCH(ROWS($AG$2:AG545),$AG$2:$AG$1001,0),MATCH(COLUMNS($AN$1006:BF1006),$AN$1006:$BO$1006,0)), HYPERLINK("#",""), HYPERLINK(CONCATENATE("#Metadata!", ADDRESS(INDEX($AI$2:$AI$1001,MATCH(ROWS($AG$2:AG545),$AG$2:$AG$1001,0),0), INDEX($AN$1004:$BO$1004,1,MATCH(COLUMNS($AN$1006:BF1006),$AN$1006:$BO$1006,0)))),"Fix")))</f>
        <v>0</v>
      </c>
      <c r="U545" s="4">
        <f>IF(OR(INDEX($AH$2:$AH$1001,MATCH(ROWS($AG$2:AG545),$AG$2:$AG$1001,0),1)&gt;=100000,INDEX($AN$1005:$BO$1005,1,MATCH(COLUMNS($AN$1006:BG1006),$AN$1006:$BO$1006,0))&gt;=100000), " ",IF(INDEX($AN$2:$BO$1001,MATCH(ROWS($AG$2:AG545),$AG$2:$AG$1001,0),MATCH(COLUMNS($AN$1006:BG1006),$AN$1006:$BO$1006,0)), HYPERLINK("#",""), HYPERLINK(CONCATENATE("#Metadata!", ADDRESS(INDEX($AI$2:$AI$1001,MATCH(ROWS($AG$2:AG545),$AG$2:$AG$1001,0),0), INDEX($AN$1004:$BO$1004,1,MATCH(COLUMNS($AN$1006:BG1006),$AN$1006:$BO$1006,0)))),"Fix")))</f>
        <v>0</v>
      </c>
      <c r="V545" s="4">
        <f>IF(OR(INDEX($AH$2:$AH$1001,MATCH(ROWS($AG$2:AG545),$AG$2:$AG$1001,0),1)&gt;=100000,INDEX($AN$1005:$BO$1005,1,MATCH(COLUMNS($AN$1006:BH1006),$AN$1006:$BO$1006,0))&gt;=100000), " ",IF(INDEX($AN$2:$BO$1001,MATCH(ROWS($AG$2:AG545),$AG$2:$AG$1001,0),MATCH(COLUMNS($AN$1006:BH1006),$AN$1006:$BO$1006,0)), HYPERLINK("#",""), HYPERLINK(CONCATENATE("#Metadata!", ADDRESS(INDEX($AI$2:$AI$1001,MATCH(ROWS($AG$2:AG545),$AG$2:$AG$1001,0),0), INDEX($AN$1004:$BO$1004,1,MATCH(COLUMNS($AN$1006:BH1006),$AN$1006:$BO$1006,0)))),"Fix")))</f>
        <v>0</v>
      </c>
      <c r="W545" s="4">
        <f>IF(OR(INDEX($AH$2:$AH$1001,MATCH(ROWS($AG$2:AG545),$AG$2:$AG$1001,0),1)&gt;=100000,INDEX($AN$1005:$BO$1005,1,MATCH(COLUMNS($AN$1006:BI1006),$AN$1006:$BO$1006,0))&gt;=100000), " ",IF(INDEX($AN$2:$BO$1001,MATCH(ROWS($AG$2:AG545),$AG$2:$AG$1001,0),MATCH(COLUMNS($AN$1006:BI1006),$AN$1006:$BO$1006,0)), HYPERLINK("#",""), HYPERLINK(CONCATENATE("#Metadata!", ADDRESS(INDEX($AI$2:$AI$1001,MATCH(ROWS($AG$2:AG545),$AG$2:$AG$1001,0),0), INDEX($AN$1004:$BO$1004,1,MATCH(COLUMNS($AN$1006:BI1006),$AN$1006:$BO$1006,0)))),"Fix")))</f>
        <v>0</v>
      </c>
      <c r="X545" s="4">
        <f>IF(OR(INDEX($AH$2:$AH$1001,MATCH(ROWS($AG$2:AG545),$AG$2:$AG$1001,0),1)&gt;=100000,INDEX($AN$1005:$BO$1005,1,MATCH(COLUMNS($AN$1006:BJ1006),$AN$1006:$BO$1006,0))&gt;=100000), " ",IF(INDEX($AN$2:$BO$1001,MATCH(ROWS($AG$2:AG545),$AG$2:$AG$1001,0),MATCH(COLUMNS($AN$1006:BJ1006),$AN$1006:$BO$1006,0)), HYPERLINK("#",""), HYPERLINK(CONCATENATE("#Metadata!", ADDRESS(INDEX($AI$2:$AI$1001,MATCH(ROWS($AG$2:AG545),$AG$2:$AG$1001,0),0), INDEX($AN$1004:$BO$1004,1,MATCH(COLUMNS($AN$1006:BJ1006),$AN$1006:$BO$1006,0)))),"Fix")))</f>
        <v>0</v>
      </c>
      <c r="Y545" s="4">
        <f>IF(OR(INDEX($AH$2:$AH$1001,MATCH(ROWS($AG$2:AG545),$AG$2:$AG$1001,0),1)&gt;=100000,INDEX($AN$1005:$BO$1005,1,MATCH(COLUMNS($AN$1006:BK1006),$AN$1006:$BO$1006,0))&gt;=100000), " ",IF(INDEX($AN$2:$BO$1001,MATCH(ROWS($AG$2:AG545),$AG$2:$AG$1001,0),MATCH(COLUMNS($AN$1006:BK1006),$AN$1006:$BO$1006,0)), HYPERLINK("#",""), HYPERLINK(CONCATENATE("#Metadata!", ADDRESS(INDEX($AI$2:$AI$1001,MATCH(ROWS($AG$2:AG545),$AG$2:$AG$1001,0),0), INDEX($AN$1004:$BO$1004,1,MATCH(COLUMNS($AN$1006:BK1006),$AN$1006:$BO$1006,0)))),"Fix")))</f>
        <v>0</v>
      </c>
      <c r="Z545" s="4">
        <f>IF(OR(INDEX($AH$2:$AH$1001,MATCH(ROWS($AG$2:AG545),$AG$2:$AG$1001,0),1)&gt;=100000,INDEX($AN$1005:$BO$1005,1,MATCH(COLUMNS($AN$1006:BL1006),$AN$1006:$BO$1006,0))&gt;=100000), " ",IF(INDEX($AN$2:$BO$1001,MATCH(ROWS($AG$2:AG545),$AG$2:$AG$1001,0),MATCH(COLUMNS($AN$1006:BL1006),$AN$1006:$BO$1006,0)), HYPERLINK("#",""), HYPERLINK(CONCATENATE("#Metadata!", ADDRESS(INDEX($AI$2:$AI$1001,MATCH(ROWS($AG$2:AG545),$AG$2:$AG$1001,0),0), INDEX($AN$1004:$BO$1004,1,MATCH(COLUMNS($AN$1006:BL1006),$AN$1006:$BO$1006,0)))),"Fix")))</f>
        <v>0</v>
      </c>
      <c r="AA545" s="4">
        <f>IF(OR(INDEX($AH$2:$AH$1001,MATCH(ROWS($AG$2:AG545),$AG$2:$AG$1001,0),1)&gt;=100000,INDEX($AN$1005:$BO$1005,1,MATCH(COLUMNS($AN$1006:BM1006),$AN$1006:$BO$1006,0))&gt;=100000), " ",IF(INDEX($AN$2:$BO$1001,MATCH(ROWS($AG$2:AG545),$AG$2:$AG$1001,0),MATCH(COLUMNS($AN$1006:BM1006),$AN$1006:$BO$1006,0)), HYPERLINK("#",""), HYPERLINK(CONCATENATE("#Metadata!", ADDRESS(INDEX($AI$2:$AI$1001,MATCH(ROWS($AG$2:AG545),$AG$2:$AG$1001,0),0), INDEX($AN$1004:$BO$1004,1,MATCH(COLUMNS($AN$1006:BM1006),$AN$1006:$BO$1006,0)))),"Fix")))</f>
        <v>0</v>
      </c>
      <c r="AB545" s="4">
        <f>IF(OR(INDEX($AH$2:$AH$1001,MATCH(ROWS($AG$2:AG545),$AG$2:$AG$1001,0),1)&gt;=100000,INDEX($AN$1005:$BO$1005,1,MATCH(COLUMNS($AN$1006:BN1006),$AN$1006:$BO$1006,0))&gt;=100000), " ",IF(INDEX($AN$2:$BO$1001,MATCH(ROWS($AG$2:AG545),$AG$2:$AG$1001,0),MATCH(COLUMNS($AN$1006:BN1006),$AN$1006:$BO$1006,0)), HYPERLINK("#",""), HYPERLINK(CONCATENATE("#Metadata!", ADDRESS(INDEX($AI$2:$AI$1001,MATCH(ROWS($AG$2:AG545),$AG$2:$AG$1001,0),0), INDEX($AN$1004:$BO$1004,1,MATCH(COLUMNS($AN$1006:BN1006),$AN$1006:$BO$1006,0)))),"Fix")))</f>
        <v>0</v>
      </c>
      <c r="AC545" s="4">
        <f>IF(OR(INDEX($AH$2:$AH$1001,MATCH(ROWS($AG$2:AG545),$AG$2:$AG$1001,0),1)&gt;=100000,INDEX($AN$1005:$BO$1005,1,MATCH(COLUMNS($AN$1006:BO1006),$AN$1006:$BO$1006,0))&gt;=100000), " ",IF(INDEX($AN$2:$BO$1001,MATCH(ROWS($AG$2:AG545),$AG$2:$AG$1001,0),MATCH(COLUMNS($AN$1006:BO1006),$AN$1006:$BO$1006,0)), HYPERLINK("#",""), HYPERLINK(CONCATENATE("#Metadata!", ADDRESS(INDEX($AI$2:$AI$1001,MATCH(ROWS($AG$2:AG545),$AG$2:$AG$1001,0),0), INDEX($AN$1004:$BO$1004,1,MATCH(COLUMNS($AN$1006:BO1006),$AN$1006:$BO$1006,0)))),"Fix")))</f>
        <v>0</v>
      </c>
      <c r="AG545">
        <v>0</v>
      </c>
      <c r="AH545">
        <v>0</v>
      </c>
      <c r="AI545">
        <v>0</v>
      </c>
      <c r="AJ545">
        <f>IF(AK545,TRUE,AND(AN545:BO545))</f>
        <v>0</v>
      </c>
      <c r="AK545">
        <f>COUNTBLANK(Metadata!B545:AC545)=COLUMNS(Metadata!B545:AC545)</f>
        <v>0</v>
      </c>
      <c r="AL545">
        <v>0</v>
      </c>
      <c r="AN545">
        <f>AND(IF(Metadata!B545="",FALSE,TRUE),COUNTIF(Metadata!B:B, Metadata!B545) = 1,NOT(ISERROR(SUMPRODUCT(SEARCH(MID(Metadata!B545,ROW(INDIRECT("1:"&amp;LEN(Metadata!B545))), 1),"0123456789abcdefghijklmnopqrstuvwxyzABCDEFGHIJKLMNOPQRSTUVWXYZ.")))))</f>
        <v>0</v>
      </c>
      <c r="AO545">
        <f>IF(Metadata!C545="",FALSE,TRUE)</f>
        <v>0</v>
      </c>
      <c r="AP545">
        <f>IF(Metadata!D545="",FALSE,TRUE)</f>
        <v>0</v>
      </c>
      <c r="AQ545">
        <f>OR(AND(IF(Metadata!E545="",FALSE,TRUE),OR(exact(Metadata!E545,"not collected"),exact(Metadata!E545,"not provided"),exact(Metadata!E545,"restricted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R545">
        <f>IF(Metadata!F545="",FALSE,TRUE)</f>
        <v>0</v>
      </c>
      <c r="AS545">
        <f>OR(AND(IF(Metadata!G545="",FALSE,TRUE),OR(exact(Metadata!G545,"not collected"),exact(Metadata!G545,"not provided"))),AND(IF(Metadata!G545="",FALSE,TRUE),OR(exact(Metadata!G545,"TRUE"),exact(Metadata!G545,"FALSE"))))</f>
        <v>0</v>
      </c>
      <c r="AT545">
        <f>OR(AND(IF(Metadata!H545="",FALSE,TRUE),OR(exact(Metadata!H545,"not collected"),exact(Metadata!H545,"not provided"),exact(Metadata!H545,"restricted access"))),AND(IF(Metadata!H545="",FALSE,ISNUMBER(VALUE(Metadata!H545))),Metadata!H545&gt;=-413.0))</f>
        <v>0</v>
      </c>
      <c r="AU545">
        <f>AND(IF(Metadata!I545="",FALSE,TRUE),exact(Metadata!I545,"meters"))</f>
        <v>0</v>
      </c>
      <c r="AV545">
        <f>AND(IF(Metadata!J545="",FALSE,TRUE),OR(exact(Metadata!J545,"Host-associated"),exact(Metadata!J545,"Free-living")))</f>
        <v>0</v>
      </c>
      <c r="AW545">
        <f>AND(IF(Metadata!K545="",FALSE,TRUE),OR(exact(Metadata!K545,"Animal"),exact(Metadata!K545,"Fungus"),exact(Metadata!K545,"Plant"),exact(Metadata!K545,"Saline"),exact(Metadata!K545,"Non-saline")))</f>
        <v>0</v>
      </c>
      <c r="AX545">
        <f>AND(IF(Metadata!L545="",FALSE,TRUE),OR(exact(Metadata!L545,"Plant secretion"),exact(Metadata!L545,"Plant rhizosphere"),exact(Metadata!L545,"Plant surface"),exact(Metadata!L545,"Plant corpus"),exact(Metadata!L545,"Fungus surface"),exact(Metadata!L545,"Fungus corpus"),exact(Metadata!L545,"Animal surface"),exact(Metadata!L545,"Animal proximal gut"),exact(Metadata!L545,"Animal corpus"),exact(Metadata!L545,"Animal distal gut"),exact(Metadata!L545,"Animal secretion"),exact(Metadata!L545,"Sub-surface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Y545">
        <f>IF(Metadata!M545="",FALSE,TRUE)</f>
        <v>0</v>
      </c>
      <c r="AZ545">
        <f>IF(Metadata!N545="",FALSE,TRUE)</f>
        <v>0</v>
      </c>
      <c r="BA545">
        <f>IF(Metadata!O545="",FALSE,TRUE)</f>
        <v>0</v>
      </c>
      <c r="BB545">
        <f>OR(AND(IF(Metadata!P545="",FALSE,TRUE),OR(exact(Metadata!P545,"not collected"),exact(Metadata!P545,"not provided"),exact(Metadata!P545,"restricted access"))),AND(IF(Metadata!P545="",FALSE,TRUE),OR(exact(Metadata!P545,"air"),exact(Metadata!P545,"built environment"),exact(Metadata!P545,"host-associated"),exact(Metadata!P545,"human-associated"),exact(Metadata!P545,"human-skin"),exact(Metadata!P545,"human-oral"),exact(Metadata!P545,"human-gut"),exact(Metadata!P545,"human-vaginal"),exact(Metadata!P545,"microbial mat/biofilm"),exact(Metadata!P545,"misc environment"),exact(Metadata!P545,"plant-associated"),exact(Metadata!P545,"sediment"),exact(Metadata!P545,"soil"),exact(Metadata!P545,"wastewater/sludge"),exact(Metadata!P545,"water"))))</f>
        <v>0</v>
      </c>
      <c r="BC545">
        <f>IF(Metadata!Q545="",FALSE,TRUE)</f>
        <v>0</v>
      </c>
      <c r="BD545">
        <f>IF(Metadata!R545="",FALSE,TRUE)</f>
        <v>0</v>
      </c>
      <c r="BE545">
        <f>OR(AND(IF(Metadata!S545="",FALSE,TRUE),OR(exact(Metadata!S545,"not collected"),exact(Metadata!S545,"not provided"),exact(Metadata!S545,"restricted access"))),AND(IF(Metadata!S545="",FALSE,ISNUMBER(VALUE(Metadata!S545))),Metadata!S545&gt;=-90.00,Metadata!S545&lt;=90.00))</f>
        <v>0</v>
      </c>
      <c r="BF545">
        <f>AND(IF(Metadata!T545="",FALSE,TRUE),exact(Metadata!T545,"Decimal degrees"))</f>
        <v>0</v>
      </c>
      <c r="BG545">
        <f>OR(AND(IF(Metadata!U545="",FALSE,TRUE),OR(exact(Metadata!U545,"not collected"),exact(Metadata!U545,"not provided"),exact(Metadata!U545,"restricted access"))),AND(IF(Metadata!U545="",FALSE,ISNUMBER(VALUE(Metadata!U545))),Metadata!U545&gt;=-180.00,Metadata!U545&lt;=180.00))</f>
        <v>0</v>
      </c>
      <c r="BH545">
        <f>AND(IF(Metadata!V545="",FALSE,TRUE),exact(Metadata!V545,"Decimal degrees"))</f>
        <v>0</v>
      </c>
      <c r="BI545">
        <f>IF(Metadata!W545="",FALSE,TRUE)</f>
        <v>0</v>
      </c>
      <c r="BJ545">
        <f>OR(AND(IF(Metadata!X545="",FALSE,TRUE),OR(exact(Metadata!X545,"not collected"),exact(Metadata!X545,"not provided"),exact(Metadata!X545,"restricted access"))),AND(IF(Metadata!X545="",FALSE,TRUE),OR(exact(Metadata!X545,"TRUE"),exact(Metadata!X545,"FALSE"))))</f>
        <v>0</v>
      </c>
      <c r="BK545">
        <f>AND(IF(Metadata!Y545="",FALSE,TRUE),exact(Metadata!Y545,"other"))</f>
        <v>0</v>
      </c>
      <c r="BL545">
        <f>IF(Metadata!Z545="",FALSE,TRUE)</f>
        <v>0</v>
      </c>
      <c r="BM545">
        <f>OR(AND(IF(Metadata!AA545="",FALSE,TRUE),OR(exact(Metadata!AA545,"not collected"),exact(Metadata!AA545,"not provided"))),AND(IF(Metadata!AA545="",FALSE,IF(ISERROR(INT(Metadata!AA545)),FALSE,INT(Metadata!AA545)=Metadata!AA545)),Metadata!AA545&gt;0))</f>
        <v>0</v>
      </c>
      <c r="BN545">
        <f>AND(IF(Metadata!AB545="",FALSE,TRUE),exact(Metadata!AB545,"Not applicable"))</f>
        <v>0</v>
      </c>
      <c r="BO545">
        <f>IF(Metadata!AC545="",FALSE,TRUE)</f>
        <v>0</v>
      </c>
    </row>
    <row r="546" spans="1:67">
      <c r="A546" s="5">
        <f>IF(B546=" "," ",HYPERLINK(CONCATENATE("#metadata!",ADDRESS(INDEX($AI$2:$AI$1001,MATCH(ROWS($AG$2:AG546),$AG$2:$AG$1001,0),0),1)),INDEX($AL$2:$AL$1001,MATCH(ROWS($AG$2:AG546),$AG$2:$AG$1001,0),0)))</f>
        <v>0</v>
      </c>
      <c r="B546" s="4">
        <f>IF(OR(INDEX($AH$2:$AH$1001,MATCH(ROWS($AG$2:AG546),$AG$2:$AG$1001,0),1)&gt;=100000,INDEX($AN$1005:$BO$1005,1,MATCH(COLUMNS($AN$1006:AN1006),$AN$1006:$BO$1006,0))&gt;=100000), " ",IF(INDEX($AN$2:$BO$1001,MATCH(ROWS($AG$2:AG546),$AG$2:$AG$1001,0),MATCH(COLUMNS($AN$1006:AN1006),$AN$1006:$BO$1006,0)), HYPERLINK("#",""), HYPERLINK(CONCATENATE("#Metadata!", ADDRESS(INDEX($AI$2:$AI$1001,MATCH(ROWS($AG$2:AG546),$AG$2:$AG$1001,0),0), INDEX($AN$1004:$BO$1004,1,MATCH(COLUMNS($AN$1006:AN1006),$AN$1006:$BO$1006,0)))),"Fix")))</f>
        <v>0</v>
      </c>
      <c r="C546" s="4">
        <f>IF(OR(INDEX($AH$2:$AH$1001,MATCH(ROWS($AG$2:AG546),$AG$2:$AG$1001,0),1)&gt;=100000,INDEX($AN$1005:$BO$1005,1,MATCH(COLUMNS($AN$1006:AO1006),$AN$1006:$BO$1006,0))&gt;=100000), " ",IF(INDEX($AN$2:$BO$1001,MATCH(ROWS($AG$2:AG546),$AG$2:$AG$1001,0),MATCH(COLUMNS($AN$1006:AO1006),$AN$1006:$BO$1006,0)), HYPERLINK("#",""), HYPERLINK(CONCATENATE("#Metadata!", ADDRESS(INDEX($AI$2:$AI$1001,MATCH(ROWS($AG$2:AG546),$AG$2:$AG$1001,0),0), INDEX($AN$1004:$BO$1004,1,MATCH(COLUMNS($AN$1006:AO1006),$AN$1006:$BO$1006,0)))),"Fix")))</f>
        <v>0</v>
      </c>
      <c r="D546" s="4">
        <f>IF(OR(INDEX($AH$2:$AH$1001,MATCH(ROWS($AG$2:AG546),$AG$2:$AG$1001,0),1)&gt;=100000,INDEX($AN$1005:$BO$1005,1,MATCH(COLUMNS($AN$1006:AP1006),$AN$1006:$BO$1006,0))&gt;=100000), " ",IF(INDEX($AN$2:$BO$1001,MATCH(ROWS($AG$2:AG546),$AG$2:$AG$1001,0),MATCH(COLUMNS($AN$1006:AP1006),$AN$1006:$BO$1006,0)), HYPERLINK("#",""), HYPERLINK(CONCATENATE("#Metadata!", ADDRESS(INDEX($AI$2:$AI$1001,MATCH(ROWS($AG$2:AG546),$AG$2:$AG$1001,0),0), INDEX($AN$1004:$BO$1004,1,MATCH(COLUMNS($AN$1006:AP1006),$AN$1006:$BO$1006,0)))),"Fix")))</f>
        <v>0</v>
      </c>
      <c r="E546" s="4">
        <f>IF(OR(INDEX($AH$2:$AH$1001,MATCH(ROWS($AG$2:AG546),$AG$2:$AG$1001,0),1)&gt;=100000,INDEX($AN$1005:$BO$1005,1,MATCH(COLUMNS($AN$1006:AQ1006),$AN$1006:$BO$1006,0))&gt;=100000), " ",IF(INDEX($AN$2:$BO$1001,MATCH(ROWS($AG$2:AG546),$AG$2:$AG$1001,0),MATCH(COLUMNS($AN$1006:AQ1006),$AN$1006:$BO$1006,0)), HYPERLINK("#",""), HYPERLINK(CONCATENATE("#Metadata!", ADDRESS(INDEX($AI$2:$AI$1001,MATCH(ROWS($AG$2:AG546),$AG$2:$AG$1001,0),0), INDEX($AN$1004:$BO$1004,1,MATCH(COLUMNS($AN$1006:AQ1006),$AN$1006:$BO$1006,0)))),"Fix")))</f>
        <v>0</v>
      </c>
      <c r="F546" s="4">
        <f>IF(OR(INDEX($AH$2:$AH$1001,MATCH(ROWS($AG$2:AG546),$AG$2:$AG$1001,0),1)&gt;=100000,INDEX($AN$1005:$BO$1005,1,MATCH(COLUMNS($AN$1006:AR1006),$AN$1006:$BO$1006,0))&gt;=100000), " ",IF(INDEX($AN$2:$BO$1001,MATCH(ROWS($AG$2:AG546),$AG$2:$AG$1001,0),MATCH(COLUMNS($AN$1006:AR1006),$AN$1006:$BO$1006,0)), HYPERLINK("#",""), HYPERLINK(CONCATENATE("#Metadata!", ADDRESS(INDEX($AI$2:$AI$1001,MATCH(ROWS($AG$2:AG546),$AG$2:$AG$1001,0),0), INDEX($AN$1004:$BO$1004,1,MATCH(COLUMNS($AN$1006:AR1006),$AN$1006:$BO$1006,0)))),"Fix")))</f>
        <v>0</v>
      </c>
      <c r="G546" s="4">
        <f>IF(OR(INDEX($AH$2:$AH$1001,MATCH(ROWS($AG$2:AG546),$AG$2:$AG$1001,0),1)&gt;=100000,INDEX($AN$1005:$BO$1005,1,MATCH(COLUMNS($AN$1006:AS1006),$AN$1006:$BO$1006,0))&gt;=100000), " ",IF(INDEX($AN$2:$BO$1001,MATCH(ROWS($AG$2:AG546),$AG$2:$AG$1001,0),MATCH(COLUMNS($AN$1006:AS1006),$AN$1006:$BO$1006,0)), HYPERLINK("#",""), HYPERLINK(CONCATENATE("#Metadata!", ADDRESS(INDEX($AI$2:$AI$1001,MATCH(ROWS($AG$2:AG546),$AG$2:$AG$1001,0),0), INDEX($AN$1004:$BO$1004,1,MATCH(COLUMNS($AN$1006:AS1006),$AN$1006:$BO$1006,0)))),"Fix")))</f>
        <v>0</v>
      </c>
      <c r="H546" s="4">
        <f>IF(OR(INDEX($AH$2:$AH$1001,MATCH(ROWS($AG$2:AG546),$AG$2:$AG$1001,0),1)&gt;=100000,INDEX($AN$1005:$BO$1005,1,MATCH(COLUMNS($AN$1006:AT1006),$AN$1006:$BO$1006,0))&gt;=100000), " ",IF(INDEX($AN$2:$BO$1001,MATCH(ROWS($AG$2:AG546),$AG$2:$AG$1001,0),MATCH(COLUMNS($AN$1006:AT1006),$AN$1006:$BO$1006,0)), HYPERLINK("#",""), HYPERLINK(CONCATENATE("#Metadata!", ADDRESS(INDEX($AI$2:$AI$1001,MATCH(ROWS($AG$2:AG546),$AG$2:$AG$1001,0),0), INDEX($AN$1004:$BO$1004,1,MATCH(COLUMNS($AN$1006:AT1006),$AN$1006:$BO$1006,0)))),"Fix")))</f>
        <v>0</v>
      </c>
      <c r="I546" s="4">
        <f>IF(OR(INDEX($AH$2:$AH$1001,MATCH(ROWS($AG$2:AG546),$AG$2:$AG$1001,0),1)&gt;=100000,INDEX($AN$1005:$BO$1005,1,MATCH(COLUMNS($AN$1006:AU1006),$AN$1006:$BO$1006,0))&gt;=100000), " ",IF(INDEX($AN$2:$BO$1001,MATCH(ROWS($AG$2:AG546),$AG$2:$AG$1001,0),MATCH(COLUMNS($AN$1006:AU1006),$AN$1006:$BO$1006,0)), HYPERLINK("#",""), HYPERLINK(CONCATENATE("#Metadata!", ADDRESS(INDEX($AI$2:$AI$1001,MATCH(ROWS($AG$2:AG546),$AG$2:$AG$1001,0),0), INDEX($AN$1004:$BO$1004,1,MATCH(COLUMNS($AN$1006:AU1006),$AN$1006:$BO$1006,0)))),"Fix")))</f>
        <v>0</v>
      </c>
      <c r="J546" s="4">
        <f>IF(OR(INDEX($AH$2:$AH$1001,MATCH(ROWS($AG$2:AG546),$AG$2:$AG$1001,0),1)&gt;=100000,INDEX($AN$1005:$BO$1005,1,MATCH(COLUMNS($AN$1006:AV1006),$AN$1006:$BO$1006,0))&gt;=100000), " ",IF(INDEX($AN$2:$BO$1001,MATCH(ROWS($AG$2:AG546),$AG$2:$AG$1001,0),MATCH(COLUMNS($AN$1006:AV1006),$AN$1006:$BO$1006,0)), HYPERLINK("#",""), HYPERLINK(CONCATENATE("#Metadata!", ADDRESS(INDEX($AI$2:$AI$1001,MATCH(ROWS($AG$2:AG546),$AG$2:$AG$1001,0),0), INDEX($AN$1004:$BO$1004,1,MATCH(COLUMNS($AN$1006:AV1006),$AN$1006:$BO$1006,0)))),"Fix")))</f>
        <v>0</v>
      </c>
      <c r="K546" s="4">
        <f>IF(OR(INDEX($AH$2:$AH$1001,MATCH(ROWS($AG$2:AG546),$AG$2:$AG$1001,0),1)&gt;=100000,INDEX($AN$1005:$BO$1005,1,MATCH(COLUMNS($AN$1006:AW1006),$AN$1006:$BO$1006,0))&gt;=100000), " ",IF(INDEX($AN$2:$BO$1001,MATCH(ROWS($AG$2:AG546),$AG$2:$AG$1001,0),MATCH(COLUMNS($AN$1006:AW1006),$AN$1006:$BO$1006,0)), HYPERLINK("#",""), HYPERLINK(CONCATENATE("#Metadata!", ADDRESS(INDEX($AI$2:$AI$1001,MATCH(ROWS($AG$2:AG546),$AG$2:$AG$1001,0),0), INDEX($AN$1004:$BO$1004,1,MATCH(COLUMNS($AN$1006:AW1006),$AN$1006:$BO$1006,0)))),"Fix")))</f>
        <v>0</v>
      </c>
      <c r="L546" s="4">
        <f>IF(OR(INDEX($AH$2:$AH$1001,MATCH(ROWS($AG$2:AG546),$AG$2:$AG$1001,0),1)&gt;=100000,INDEX($AN$1005:$BO$1005,1,MATCH(COLUMNS($AN$1006:AX1006),$AN$1006:$BO$1006,0))&gt;=100000), " ",IF(INDEX($AN$2:$BO$1001,MATCH(ROWS($AG$2:AG546),$AG$2:$AG$1001,0),MATCH(COLUMNS($AN$1006:AX1006),$AN$1006:$BO$1006,0)), HYPERLINK("#",""), HYPERLINK(CONCATENATE("#Metadata!", ADDRESS(INDEX($AI$2:$AI$1001,MATCH(ROWS($AG$2:AG546),$AG$2:$AG$1001,0),0), INDEX($AN$1004:$BO$1004,1,MATCH(COLUMNS($AN$1006:AX1006),$AN$1006:$BO$1006,0)))),"Fix")))</f>
        <v>0</v>
      </c>
      <c r="M546" s="4">
        <f>IF(OR(INDEX($AH$2:$AH$1001,MATCH(ROWS($AG$2:AG546),$AG$2:$AG$1001,0),1)&gt;=100000,INDEX($AN$1005:$BO$1005,1,MATCH(COLUMNS($AN$1006:AY1006),$AN$1006:$BO$1006,0))&gt;=100000), " ",IF(INDEX($AN$2:$BO$1001,MATCH(ROWS($AG$2:AG546),$AG$2:$AG$1001,0),MATCH(COLUMNS($AN$1006:AY1006),$AN$1006:$BO$1006,0)), HYPERLINK("#",""), HYPERLINK(CONCATENATE("#Metadata!", ADDRESS(INDEX($AI$2:$AI$1001,MATCH(ROWS($AG$2:AG546),$AG$2:$AG$1001,0),0), INDEX($AN$1004:$BO$1004,1,MATCH(COLUMNS($AN$1006:AY1006),$AN$1006:$BO$1006,0)))),"Fix")))</f>
        <v>0</v>
      </c>
      <c r="N546" s="4">
        <f>IF(OR(INDEX($AH$2:$AH$1001,MATCH(ROWS($AG$2:AG546),$AG$2:$AG$1001,0),1)&gt;=100000,INDEX($AN$1005:$BO$1005,1,MATCH(COLUMNS($AN$1006:AZ1006),$AN$1006:$BO$1006,0))&gt;=100000), " ",IF(INDEX($AN$2:$BO$1001,MATCH(ROWS($AG$2:AG546),$AG$2:$AG$1001,0),MATCH(COLUMNS($AN$1006:AZ1006),$AN$1006:$BO$1006,0)), HYPERLINK("#",""), HYPERLINK(CONCATENATE("#Metadata!", ADDRESS(INDEX($AI$2:$AI$1001,MATCH(ROWS($AG$2:AG546),$AG$2:$AG$1001,0),0), INDEX($AN$1004:$BO$1004,1,MATCH(COLUMNS($AN$1006:AZ1006),$AN$1006:$BO$1006,0)))),"Fix")))</f>
        <v>0</v>
      </c>
      <c r="O546" s="4">
        <f>IF(OR(INDEX($AH$2:$AH$1001,MATCH(ROWS($AG$2:AG546),$AG$2:$AG$1001,0),1)&gt;=100000,INDEX($AN$1005:$BO$1005,1,MATCH(COLUMNS($AN$1006:BA1006),$AN$1006:$BO$1006,0))&gt;=100000), " ",IF(INDEX($AN$2:$BO$1001,MATCH(ROWS($AG$2:AG546),$AG$2:$AG$1001,0),MATCH(COLUMNS($AN$1006:BA1006),$AN$1006:$BO$1006,0)), HYPERLINK("#",""), HYPERLINK(CONCATENATE("#Metadata!", ADDRESS(INDEX($AI$2:$AI$1001,MATCH(ROWS($AG$2:AG546),$AG$2:$AG$1001,0),0), INDEX($AN$1004:$BO$1004,1,MATCH(COLUMNS($AN$1006:BA1006),$AN$1006:$BO$1006,0)))),"Fix")))</f>
        <v>0</v>
      </c>
      <c r="P546" s="4">
        <f>IF(OR(INDEX($AH$2:$AH$1001,MATCH(ROWS($AG$2:AG546),$AG$2:$AG$1001,0),1)&gt;=100000,INDEX($AN$1005:$BO$1005,1,MATCH(COLUMNS($AN$1006:BB1006),$AN$1006:$BO$1006,0))&gt;=100000), " ",IF(INDEX($AN$2:$BO$1001,MATCH(ROWS($AG$2:AG546),$AG$2:$AG$1001,0),MATCH(COLUMNS($AN$1006:BB1006),$AN$1006:$BO$1006,0)), HYPERLINK("#",""), HYPERLINK(CONCATENATE("#Metadata!", ADDRESS(INDEX($AI$2:$AI$1001,MATCH(ROWS($AG$2:AG546),$AG$2:$AG$1001,0),0), INDEX($AN$1004:$BO$1004,1,MATCH(COLUMNS($AN$1006:BB1006),$AN$1006:$BO$1006,0)))),"Fix")))</f>
        <v>0</v>
      </c>
      <c r="Q546" s="4">
        <f>IF(OR(INDEX($AH$2:$AH$1001,MATCH(ROWS($AG$2:AG546),$AG$2:$AG$1001,0),1)&gt;=100000,INDEX($AN$1005:$BO$1005,1,MATCH(COLUMNS($AN$1006:BC1006),$AN$1006:$BO$1006,0))&gt;=100000), " ",IF(INDEX($AN$2:$BO$1001,MATCH(ROWS($AG$2:AG546),$AG$2:$AG$1001,0),MATCH(COLUMNS($AN$1006:BC1006),$AN$1006:$BO$1006,0)), HYPERLINK("#",""), HYPERLINK(CONCATENATE("#Metadata!", ADDRESS(INDEX($AI$2:$AI$1001,MATCH(ROWS($AG$2:AG546),$AG$2:$AG$1001,0),0), INDEX($AN$1004:$BO$1004,1,MATCH(COLUMNS($AN$1006:BC1006),$AN$1006:$BO$1006,0)))),"Fix")))</f>
        <v>0</v>
      </c>
      <c r="R546" s="4">
        <f>IF(OR(INDEX($AH$2:$AH$1001,MATCH(ROWS($AG$2:AG546),$AG$2:$AG$1001,0),1)&gt;=100000,INDEX($AN$1005:$BO$1005,1,MATCH(COLUMNS($AN$1006:BD1006),$AN$1006:$BO$1006,0))&gt;=100000), " ",IF(INDEX($AN$2:$BO$1001,MATCH(ROWS($AG$2:AG546),$AG$2:$AG$1001,0),MATCH(COLUMNS($AN$1006:BD1006),$AN$1006:$BO$1006,0)), HYPERLINK("#",""), HYPERLINK(CONCATENATE("#Metadata!", ADDRESS(INDEX($AI$2:$AI$1001,MATCH(ROWS($AG$2:AG546),$AG$2:$AG$1001,0),0), INDEX($AN$1004:$BO$1004,1,MATCH(COLUMNS($AN$1006:BD1006),$AN$1006:$BO$1006,0)))),"Fix")))</f>
        <v>0</v>
      </c>
      <c r="S546" s="4">
        <f>IF(OR(INDEX($AH$2:$AH$1001,MATCH(ROWS($AG$2:AG546),$AG$2:$AG$1001,0),1)&gt;=100000,INDEX($AN$1005:$BO$1005,1,MATCH(COLUMNS($AN$1006:BE1006),$AN$1006:$BO$1006,0))&gt;=100000), " ",IF(INDEX($AN$2:$BO$1001,MATCH(ROWS($AG$2:AG546),$AG$2:$AG$1001,0),MATCH(COLUMNS($AN$1006:BE1006),$AN$1006:$BO$1006,0)), HYPERLINK("#",""), HYPERLINK(CONCATENATE("#Metadata!", ADDRESS(INDEX($AI$2:$AI$1001,MATCH(ROWS($AG$2:AG546),$AG$2:$AG$1001,0),0), INDEX($AN$1004:$BO$1004,1,MATCH(COLUMNS($AN$1006:BE1006),$AN$1006:$BO$1006,0)))),"Fix")))</f>
        <v>0</v>
      </c>
      <c r="T546" s="4">
        <f>IF(OR(INDEX($AH$2:$AH$1001,MATCH(ROWS($AG$2:AG546),$AG$2:$AG$1001,0),1)&gt;=100000,INDEX($AN$1005:$BO$1005,1,MATCH(COLUMNS($AN$1006:BF1006),$AN$1006:$BO$1006,0))&gt;=100000), " ",IF(INDEX($AN$2:$BO$1001,MATCH(ROWS($AG$2:AG546),$AG$2:$AG$1001,0),MATCH(COLUMNS($AN$1006:BF1006),$AN$1006:$BO$1006,0)), HYPERLINK("#",""), HYPERLINK(CONCATENATE("#Metadata!", ADDRESS(INDEX($AI$2:$AI$1001,MATCH(ROWS($AG$2:AG546),$AG$2:$AG$1001,0),0), INDEX($AN$1004:$BO$1004,1,MATCH(COLUMNS($AN$1006:BF1006),$AN$1006:$BO$1006,0)))),"Fix")))</f>
        <v>0</v>
      </c>
      <c r="U546" s="4">
        <f>IF(OR(INDEX($AH$2:$AH$1001,MATCH(ROWS($AG$2:AG546),$AG$2:$AG$1001,0),1)&gt;=100000,INDEX($AN$1005:$BO$1005,1,MATCH(COLUMNS($AN$1006:BG1006),$AN$1006:$BO$1006,0))&gt;=100000), " ",IF(INDEX($AN$2:$BO$1001,MATCH(ROWS($AG$2:AG546),$AG$2:$AG$1001,0),MATCH(COLUMNS($AN$1006:BG1006),$AN$1006:$BO$1006,0)), HYPERLINK("#",""), HYPERLINK(CONCATENATE("#Metadata!", ADDRESS(INDEX($AI$2:$AI$1001,MATCH(ROWS($AG$2:AG546),$AG$2:$AG$1001,0),0), INDEX($AN$1004:$BO$1004,1,MATCH(COLUMNS($AN$1006:BG1006),$AN$1006:$BO$1006,0)))),"Fix")))</f>
        <v>0</v>
      </c>
      <c r="V546" s="4">
        <f>IF(OR(INDEX($AH$2:$AH$1001,MATCH(ROWS($AG$2:AG546),$AG$2:$AG$1001,0),1)&gt;=100000,INDEX($AN$1005:$BO$1005,1,MATCH(COLUMNS($AN$1006:BH1006),$AN$1006:$BO$1006,0))&gt;=100000), " ",IF(INDEX($AN$2:$BO$1001,MATCH(ROWS($AG$2:AG546),$AG$2:$AG$1001,0),MATCH(COLUMNS($AN$1006:BH1006),$AN$1006:$BO$1006,0)), HYPERLINK("#",""), HYPERLINK(CONCATENATE("#Metadata!", ADDRESS(INDEX($AI$2:$AI$1001,MATCH(ROWS($AG$2:AG546),$AG$2:$AG$1001,0),0), INDEX($AN$1004:$BO$1004,1,MATCH(COLUMNS($AN$1006:BH1006),$AN$1006:$BO$1006,0)))),"Fix")))</f>
        <v>0</v>
      </c>
      <c r="W546" s="4">
        <f>IF(OR(INDEX($AH$2:$AH$1001,MATCH(ROWS($AG$2:AG546),$AG$2:$AG$1001,0),1)&gt;=100000,INDEX($AN$1005:$BO$1005,1,MATCH(COLUMNS($AN$1006:BI1006),$AN$1006:$BO$1006,0))&gt;=100000), " ",IF(INDEX($AN$2:$BO$1001,MATCH(ROWS($AG$2:AG546),$AG$2:$AG$1001,0),MATCH(COLUMNS($AN$1006:BI1006),$AN$1006:$BO$1006,0)), HYPERLINK("#",""), HYPERLINK(CONCATENATE("#Metadata!", ADDRESS(INDEX($AI$2:$AI$1001,MATCH(ROWS($AG$2:AG546),$AG$2:$AG$1001,0),0), INDEX($AN$1004:$BO$1004,1,MATCH(COLUMNS($AN$1006:BI1006),$AN$1006:$BO$1006,0)))),"Fix")))</f>
        <v>0</v>
      </c>
      <c r="X546" s="4">
        <f>IF(OR(INDEX($AH$2:$AH$1001,MATCH(ROWS($AG$2:AG546),$AG$2:$AG$1001,0),1)&gt;=100000,INDEX($AN$1005:$BO$1005,1,MATCH(COLUMNS($AN$1006:BJ1006),$AN$1006:$BO$1006,0))&gt;=100000), " ",IF(INDEX($AN$2:$BO$1001,MATCH(ROWS($AG$2:AG546),$AG$2:$AG$1001,0),MATCH(COLUMNS($AN$1006:BJ1006),$AN$1006:$BO$1006,0)), HYPERLINK("#",""), HYPERLINK(CONCATENATE("#Metadata!", ADDRESS(INDEX($AI$2:$AI$1001,MATCH(ROWS($AG$2:AG546),$AG$2:$AG$1001,0),0), INDEX($AN$1004:$BO$1004,1,MATCH(COLUMNS($AN$1006:BJ1006),$AN$1006:$BO$1006,0)))),"Fix")))</f>
        <v>0</v>
      </c>
      <c r="Y546" s="4">
        <f>IF(OR(INDEX($AH$2:$AH$1001,MATCH(ROWS($AG$2:AG546),$AG$2:$AG$1001,0),1)&gt;=100000,INDEX($AN$1005:$BO$1005,1,MATCH(COLUMNS($AN$1006:BK1006),$AN$1006:$BO$1006,0))&gt;=100000), " ",IF(INDEX($AN$2:$BO$1001,MATCH(ROWS($AG$2:AG546),$AG$2:$AG$1001,0),MATCH(COLUMNS($AN$1006:BK1006),$AN$1006:$BO$1006,0)), HYPERLINK("#",""), HYPERLINK(CONCATENATE("#Metadata!", ADDRESS(INDEX($AI$2:$AI$1001,MATCH(ROWS($AG$2:AG546),$AG$2:$AG$1001,0),0), INDEX($AN$1004:$BO$1004,1,MATCH(COLUMNS($AN$1006:BK1006),$AN$1006:$BO$1006,0)))),"Fix")))</f>
        <v>0</v>
      </c>
      <c r="Z546" s="4">
        <f>IF(OR(INDEX($AH$2:$AH$1001,MATCH(ROWS($AG$2:AG546),$AG$2:$AG$1001,0),1)&gt;=100000,INDEX($AN$1005:$BO$1005,1,MATCH(COLUMNS($AN$1006:BL1006),$AN$1006:$BO$1006,0))&gt;=100000), " ",IF(INDEX($AN$2:$BO$1001,MATCH(ROWS($AG$2:AG546),$AG$2:$AG$1001,0),MATCH(COLUMNS($AN$1006:BL1006),$AN$1006:$BO$1006,0)), HYPERLINK("#",""), HYPERLINK(CONCATENATE("#Metadata!", ADDRESS(INDEX($AI$2:$AI$1001,MATCH(ROWS($AG$2:AG546),$AG$2:$AG$1001,0),0), INDEX($AN$1004:$BO$1004,1,MATCH(COLUMNS($AN$1006:BL1006),$AN$1006:$BO$1006,0)))),"Fix")))</f>
        <v>0</v>
      </c>
      <c r="AA546" s="4">
        <f>IF(OR(INDEX($AH$2:$AH$1001,MATCH(ROWS($AG$2:AG546),$AG$2:$AG$1001,0),1)&gt;=100000,INDEX($AN$1005:$BO$1005,1,MATCH(COLUMNS($AN$1006:BM1006),$AN$1006:$BO$1006,0))&gt;=100000), " ",IF(INDEX($AN$2:$BO$1001,MATCH(ROWS($AG$2:AG546),$AG$2:$AG$1001,0),MATCH(COLUMNS($AN$1006:BM1006),$AN$1006:$BO$1006,0)), HYPERLINK("#",""), HYPERLINK(CONCATENATE("#Metadata!", ADDRESS(INDEX($AI$2:$AI$1001,MATCH(ROWS($AG$2:AG546),$AG$2:$AG$1001,0),0), INDEX($AN$1004:$BO$1004,1,MATCH(COLUMNS($AN$1006:BM1006),$AN$1006:$BO$1006,0)))),"Fix")))</f>
        <v>0</v>
      </c>
      <c r="AB546" s="4">
        <f>IF(OR(INDEX($AH$2:$AH$1001,MATCH(ROWS($AG$2:AG546),$AG$2:$AG$1001,0),1)&gt;=100000,INDEX($AN$1005:$BO$1005,1,MATCH(COLUMNS($AN$1006:BN1006),$AN$1006:$BO$1006,0))&gt;=100000), " ",IF(INDEX($AN$2:$BO$1001,MATCH(ROWS($AG$2:AG546),$AG$2:$AG$1001,0),MATCH(COLUMNS($AN$1006:BN1006),$AN$1006:$BO$1006,0)), HYPERLINK("#",""), HYPERLINK(CONCATENATE("#Metadata!", ADDRESS(INDEX($AI$2:$AI$1001,MATCH(ROWS($AG$2:AG546),$AG$2:$AG$1001,0),0), INDEX($AN$1004:$BO$1004,1,MATCH(COLUMNS($AN$1006:BN1006),$AN$1006:$BO$1006,0)))),"Fix")))</f>
        <v>0</v>
      </c>
      <c r="AC546" s="4">
        <f>IF(OR(INDEX($AH$2:$AH$1001,MATCH(ROWS($AG$2:AG546),$AG$2:$AG$1001,0),1)&gt;=100000,INDEX($AN$1005:$BO$1005,1,MATCH(COLUMNS($AN$1006:BO1006),$AN$1006:$BO$1006,0))&gt;=100000), " ",IF(INDEX($AN$2:$BO$1001,MATCH(ROWS($AG$2:AG546),$AG$2:$AG$1001,0),MATCH(COLUMNS($AN$1006:BO1006),$AN$1006:$BO$1006,0)), HYPERLINK("#",""), HYPERLINK(CONCATENATE("#Metadata!", ADDRESS(INDEX($AI$2:$AI$1001,MATCH(ROWS($AG$2:AG546),$AG$2:$AG$1001,0),0), INDEX($AN$1004:$BO$1004,1,MATCH(COLUMNS($AN$1006:BO1006),$AN$1006:$BO$1006,0)))),"Fix")))</f>
        <v>0</v>
      </c>
      <c r="AG546">
        <v>0</v>
      </c>
      <c r="AH546">
        <v>0</v>
      </c>
      <c r="AI546">
        <v>0</v>
      </c>
      <c r="AJ546">
        <f>IF(AK546,TRUE,AND(AN546:BO546))</f>
        <v>0</v>
      </c>
      <c r="AK546">
        <f>COUNTBLANK(Metadata!B546:AC546)=COLUMNS(Metadata!B546:AC546)</f>
        <v>0</v>
      </c>
      <c r="AL546">
        <v>0</v>
      </c>
      <c r="AN546">
        <f>AND(IF(Metadata!B546="",FALSE,TRUE),COUNTIF(Metadata!B:B, Metadata!B546) = 1,NOT(ISERROR(SUMPRODUCT(SEARCH(MID(Metadata!B546,ROW(INDIRECT("1:"&amp;LEN(Metadata!B546))), 1),"0123456789abcdefghijklmnopqrstuvwxyzABCDEFGHIJKLMNOPQRSTUVWXYZ.")))))</f>
        <v>0</v>
      </c>
      <c r="AO546">
        <f>IF(Metadata!C546="",FALSE,TRUE)</f>
        <v>0</v>
      </c>
      <c r="AP546">
        <f>IF(Metadata!D546="",FALSE,TRUE)</f>
        <v>0</v>
      </c>
      <c r="AQ546">
        <f>OR(AND(IF(Metadata!E546="",FALSE,TRUE),OR(exact(Metadata!E546,"not collected"),exact(Metadata!E546,"not provided"),exact(Metadata!E546,"restricted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R546">
        <f>IF(Metadata!F546="",FALSE,TRUE)</f>
        <v>0</v>
      </c>
      <c r="AS546">
        <f>OR(AND(IF(Metadata!G546="",FALSE,TRUE),OR(exact(Metadata!G546,"not collected"),exact(Metadata!G546,"not provided"))),AND(IF(Metadata!G546="",FALSE,TRUE),OR(exact(Metadata!G546,"TRUE"),exact(Metadata!G546,"FALSE"))))</f>
        <v>0</v>
      </c>
      <c r="AT546">
        <f>OR(AND(IF(Metadata!H546="",FALSE,TRUE),OR(exact(Metadata!H546,"not collected"),exact(Metadata!H546,"not provided"),exact(Metadata!H546,"restricted access"))),AND(IF(Metadata!H546="",FALSE,ISNUMBER(VALUE(Metadata!H546))),Metadata!H546&gt;=-413.0))</f>
        <v>0</v>
      </c>
      <c r="AU546">
        <f>AND(IF(Metadata!I546="",FALSE,TRUE),exact(Metadata!I546,"meters"))</f>
        <v>0</v>
      </c>
      <c r="AV546">
        <f>AND(IF(Metadata!J546="",FALSE,TRUE),OR(exact(Metadata!J546,"Host-associated"),exact(Metadata!J546,"Free-living")))</f>
        <v>0</v>
      </c>
      <c r="AW546">
        <f>AND(IF(Metadata!K546="",FALSE,TRUE),OR(exact(Metadata!K546,"Animal"),exact(Metadata!K546,"Fungus"),exact(Metadata!K546,"Plant"),exact(Metadata!K546,"Saline"),exact(Metadata!K546,"Non-saline")))</f>
        <v>0</v>
      </c>
      <c r="AX546">
        <f>AND(IF(Metadata!L546="",FALSE,TRUE),OR(exact(Metadata!L546,"Plant secretion"),exact(Metadata!L546,"Plant rhizosphere"),exact(Metadata!L546,"Plant surface"),exact(Metadata!L546,"Plant corpus"),exact(Metadata!L546,"Fungus surface"),exact(Metadata!L546,"Fungus corpus"),exact(Metadata!L546,"Animal surface"),exact(Metadata!L546,"Animal proximal gut"),exact(Metadata!L546,"Animal corpus"),exact(Metadata!L546,"Animal distal gut"),exact(Metadata!L546,"Animal secretion"),exact(Metadata!L546,"Sub-surface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Y546">
        <f>IF(Metadata!M546="",FALSE,TRUE)</f>
        <v>0</v>
      </c>
      <c r="AZ546">
        <f>IF(Metadata!N546="",FALSE,TRUE)</f>
        <v>0</v>
      </c>
      <c r="BA546">
        <f>IF(Metadata!O546="",FALSE,TRUE)</f>
        <v>0</v>
      </c>
      <c r="BB546">
        <f>OR(AND(IF(Metadata!P546="",FALSE,TRUE),OR(exact(Metadata!P546,"not collected"),exact(Metadata!P546,"not provided"),exact(Metadata!P546,"restricted access"))),AND(IF(Metadata!P546="",FALSE,TRUE),OR(exact(Metadata!P546,"air"),exact(Metadata!P546,"built environment"),exact(Metadata!P546,"host-associated"),exact(Metadata!P546,"human-associated"),exact(Metadata!P546,"human-skin"),exact(Metadata!P546,"human-oral"),exact(Metadata!P546,"human-gut"),exact(Metadata!P546,"human-vaginal"),exact(Metadata!P546,"microbial mat/biofilm"),exact(Metadata!P546,"misc environment"),exact(Metadata!P546,"plant-associated"),exact(Metadata!P546,"sediment"),exact(Metadata!P546,"soil"),exact(Metadata!P546,"wastewater/sludge"),exact(Metadata!P546,"water"))))</f>
        <v>0</v>
      </c>
      <c r="BC546">
        <f>IF(Metadata!Q546="",FALSE,TRUE)</f>
        <v>0</v>
      </c>
      <c r="BD546">
        <f>IF(Metadata!R546="",FALSE,TRUE)</f>
        <v>0</v>
      </c>
      <c r="BE546">
        <f>OR(AND(IF(Metadata!S546="",FALSE,TRUE),OR(exact(Metadata!S546,"not collected"),exact(Metadata!S546,"not provided"),exact(Metadata!S546,"restricted access"))),AND(IF(Metadata!S546="",FALSE,ISNUMBER(VALUE(Metadata!S546))),Metadata!S546&gt;=-90.00,Metadata!S546&lt;=90.00))</f>
        <v>0</v>
      </c>
      <c r="BF546">
        <f>AND(IF(Metadata!T546="",FALSE,TRUE),exact(Metadata!T546,"Decimal degrees"))</f>
        <v>0</v>
      </c>
      <c r="BG546">
        <f>OR(AND(IF(Metadata!U546="",FALSE,TRUE),OR(exact(Metadata!U546,"not collected"),exact(Metadata!U546,"not provided"),exact(Metadata!U546,"restricted access"))),AND(IF(Metadata!U546="",FALSE,ISNUMBER(VALUE(Metadata!U546))),Metadata!U546&gt;=-180.00,Metadata!U546&lt;=180.00))</f>
        <v>0</v>
      </c>
      <c r="BH546">
        <f>AND(IF(Metadata!V546="",FALSE,TRUE),exact(Metadata!V546,"Decimal degrees"))</f>
        <v>0</v>
      </c>
      <c r="BI546">
        <f>IF(Metadata!W546="",FALSE,TRUE)</f>
        <v>0</v>
      </c>
      <c r="BJ546">
        <f>OR(AND(IF(Metadata!X546="",FALSE,TRUE),OR(exact(Metadata!X546,"not collected"),exact(Metadata!X546,"not provided"),exact(Metadata!X546,"restricted access"))),AND(IF(Metadata!X546="",FALSE,TRUE),OR(exact(Metadata!X546,"TRUE"),exact(Metadata!X546,"FALSE"))))</f>
        <v>0</v>
      </c>
      <c r="BK546">
        <f>AND(IF(Metadata!Y546="",FALSE,TRUE),exact(Metadata!Y546,"other"))</f>
        <v>0</v>
      </c>
      <c r="BL546">
        <f>IF(Metadata!Z546="",FALSE,TRUE)</f>
        <v>0</v>
      </c>
      <c r="BM546">
        <f>OR(AND(IF(Metadata!AA546="",FALSE,TRUE),OR(exact(Metadata!AA546,"not collected"),exact(Metadata!AA546,"not provided"))),AND(IF(Metadata!AA546="",FALSE,IF(ISERROR(INT(Metadata!AA546)),FALSE,INT(Metadata!AA546)=Metadata!AA546)),Metadata!AA546&gt;0))</f>
        <v>0</v>
      </c>
      <c r="BN546">
        <f>AND(IF(Metadata!AB546="",FALSE,TRUE),exact(Metadata!AB546,"Not applicable"))</f>
        <v>0</v>
      </c>
      <c r="BO546">
        <f>IF(Metadata!AC546="",FALSE,TRUE)</f>
        <v>0</v>
      </c>
    </row>
    <row r="547" spans="1:67">
      <c r="A547" s="5">
        <f>IF(B547=" "," ",HYPERLINK(CONCATENATE("#metadata!",ADDRESS(INDEX($AI$2:$AI$1001,MATCH(ROWS($AG$2:AG547),$AG$2:$AG$1001,0),0),1)),INDEX($AL$2:$AL$1001,MATCH(ROWS($AG$2:AG547),$AG$2:$AG$1001,0),0)))</f>
        <v>0</v>
      </c>
      <c r="B547" s="4">
        <f>IF(OR(INDEX($AH$2:$AH$1001,MATCH(ROWS($AG$2:AG547),$AG$2:$AG$1001,0),1)&gt;=100000,INDEX($AN$1005:$BO$1005,1,MATCH(COLUMNS($AN$1006:AN1006),$AN$1006:$BO$1006,0))&gt;=100000), " ",IF(INDEX($AN$2:$BO$1001,MATCH(ROWS($AG$2:AG547),$AG$2:$AG$1001,0),MATCH(COLUMNS($AN$1006:AN1006),$AN$1006:$BO$1006,0)), HYPERLINK("#",""), HYPERLINK(CONCATENATE("#Metadata!", ADDRESS(INDEX($AI$2:$AI$1001,MATCH(ROWS($AG$2:AG547),$AG$2:$AG$1001,0),0), INDEX($AN$1004:$BO$1004,1,MATCH(COLUMNS($AN$1006:AN1006),$AN$1006:$BO$1006,0)))),"Fix")))</f>
        <v>0</v>
      </c>
      <c r="C547" s="4">
        <f>IF(OR(INDEX($AH$2:$AH$1001,MATCH(ROWS($AG$2:AG547),$AG$2:$AG$1001,0),1)&gt;=100000,INDEX($AN$1005:$BO$1005,1,MATCH(COLUMNS($AN$1006:AO1006),$AN$1006:$BO$1006,0))&gt;=100000), " ",IF(INDEX($AN$2:$BO$1001,MATCH(ROWS($AG$2:AG547),$AG$2:$AG$1001,0),MATCH(COLUMNS($AN$1006:AO1006),$AN$1006:$BO$1006,0)), HYPERLINK("#",""), HYPERLINK(CONCATENATE("#Metadata!", ADDRESS(INDEX($AI$2:$AI$1001,MATCH(ROWS($AG$2:AG547),$AG$2:$AG$1001,0),0), INDEX($AN$1004:$BO$1004,1,MATCH(COLUMNS($AN$1006:AO1006),$AN$1006:$BO$1006,0)))),"Fix")))</f>
        <v>0</v>
      </c>
      <c r="D547" s="4">
        <f>IF(OR(INDEX($AH$2:$AH$1001,MATCH(ROWS($AG$2:AG547),$AG$2:$AG$1001,0),1)&gt;=100000,INDEX($AN$1005:$BO$1005,1,MATCH(COLUMNS($AN$1006:AP1006),$AN$1006:$BO$1006,0))&gt;=100000), " ",IF(INDEX($AN$2:$BO$1001,MATCH(ROWS($AG$2:AG547),$AG$2:$AG$1001,0),MATCH(COLUMNS($AN$1006:AP1006),$AN$1006:$BO$1006,0)), HYPERLINK("#",""), HYPERLINK(CONCATENATE("#Metadata!", ADDRESS(INDEX($AI$2:$AI$1001,MATCH(ROWS($AG$2:AG547),$AG$2:$AG$1001,0),0), INDEX($AN$1004:$BO$1004,1,MATCH(COLUMNS($AN$1006:AP1006),$AN$1006:$BO$1006,0)))),"Fix")))</f>
        <v>0</v>
      </c>
      <c r="E547" s="4">
        <f>IF(OR(INDEX($AH$2:$AH$1001,MATCH(ROWS($AG$2:AG547),$AG$2:$AG$1001,0),1)&gt;=100000,INDEX($AN$1005:$BO$1005,1,MATCH(COLUMNS($AN$1006:AQ1006),$AN$1006:$BO$1006,0))&gt;=100000), " ",IF(INDEX($AN$2:$BO$1001,MATCH(ROWS($AG$2:AG547),$AG$2:$AG$1001,0),MATCH(COLUMNS($AN$1006:AQ1006),$AN$1006:$BO$1006,0)), HYPERLINK("#",""), HYPERLINK(CONCATENATE("#Metadata!", ADDRESS(INDEX($AI$2:$AI$1001,MATCH(ROWS($AG$2:AG547),$AG$2:$AG$1001,0),0), INDEX($AN$1004:$BO$1004,1,MATCH(COLUMNS($AN$1006:AQ1006),$AN$1006:$BO$1006,0)))),"Fix")))</f>
        <v>0</v>
      </c>
      <c r="F547" s="4">
        <f>IF(OR(INDEX($AH$2:$AH$1001,MATCH(ROWS($AG$2:AG547),$AG$2:$AG$1001,0),1)&gt;=100000,INDEX($AN$1005:$BO$1005,1,MATCH(COLUMNS($AN$1006:AR1006),$AN$1006:$BO$1006,0))&gt;=100000), " ",IF(INDEX($AN$2:$BO$1001,MATCH(ROWS($AG$2:AG547),$AG$2:$AG$1001,0),MATCH(COLUMNS($AN$1006:AR1006),$AN$1006:$BO$1006,0)), HYPERLINK("#",""), HYPERLINK(CONCATENATE("#Metadata!", ADDRESS(INDEX($AI$2:$AI$1001,MATCH(ROWS($AG$2:AG547),$AG$2:$AG$1001,0),0), INDEX($AN$1004:$BO$1004,1,MATCH(COLUMNS($AN$1006:AR1006),$AN$1006:$BO$1006,0)))),"Fix")))</f>
        <v>0</v>
      </c>
      <c r="G547" s="4">
        <f>IF(OR(INDEX($AH$2:$AH$1001,MATCH(ROWS($AG$2:AG547),$AG$2:$AG$1001,0),1)&gt;=100000,INDEX($AN$1005:$BO$1005,1,MATCH(COLUMNS($AN$1006:AS1006),$AN$1006:$BO$1006,0))&gt;=100000), " ",IF(INDEX($AN$2:$BO$1001,MATCH(ROWS($AG$2:AG547),$AG$2:$AG$1001,0),MATCH(COLUMNS($AN$1006:AS1006),$AN$1006:$BO$1006,0)), HYPERLINK("#",""), HYPERLINK(CONCATENATE("#Metadata!", ADDRESS(INDEX($AI$2:$AI$1001,MATCH(ROWS($AG$2:AG547),$AG$2:$AG$1001,0),0), INDEX($AN$1004:$BO$1004,1,MATCH(COLUMNS($AN$1006:AS1006),$AN$1006:$BO$1006,0)))),"Fix")))</f>
        <v>0</v>
      </c>
      <c r="H547" s="4">
        <f>IF(OR(INDEX($AH$2:$AH$1001,MATCH(ROWS($AG$2:AG547),$AG$2:$AG$1001,0),1)&gt;=100000,INDEX($AN$1005:$BO$1005,1,MATCH(COLUMNS($AN$1006:AT1006),$AN$1006:$BO$1006,0))&gt;=100000), " ",IF(INDEX($AN$2:$BO$1001,MATCH(ROWS($AG$2:AG547),$AG$2:$AG$1001,0),MATCH(COLUMNS($AN$1006:AT1006),$AN$1006:$BO$1006,0)), HYPERLINK("#",""), HYPERLINK(CONCATENATE("#Metadata!", ADDRESS(INDEX($AI$2:$AI$1001,MATCH(ROWS($AG$2:AG547),$AG$2:$AG$1001,0),0), INDEX($AN$1004:$BO$1004,1,MATCH(COLUMNS($AN$1006:AT1006),$AN$1006:$BO$1006,0)))),"Fix")))</f>
        <v>0</v>
      </c>
      <c r="I547" s="4">
        <f>IF(OR(INDEX($AH$2:$AH$1001,MATCH(ROWS($AG$2:AG547),$AG$2:$AG$1001,0),1)&gt;=100000,INDEX($AN$1005:$BO$1005,1,MATCH(COLUMNS($AN$1006:AU1006),$AN$1006:$BO$1006,0))&gt;=100000), " ",IF(INDEX($AN$2:$BO$1001,MATCH(ROWS($AG$2:AG547),$AG$2:$AG$1001,0),MATCH(COLUMNS($AN$1006:AU1006),$AN$1006:$BO$1006,0)), HYPERLINK("#",""), HYPERLINK(CONCATENATE("#Metadata!", ADDRESS(INDEX($AI$2:$AI$1001,MATCH(ROWS($AG$2:AG547),$AG$2:$AG$1001,0),0), INDEX($AN$1004:$BO$1004,1,MATCH(COLUMNS($AN$1006:AU1006),$AN$1006:$BO$1006,0)))),"Fix")))</f>
        <v>0</v>
      </c>
      <c r="J547" s="4">
        <f>IF(OR(INDEX($AH$2:$AH$1001,MATCH(ROWS($AG$2:AG547),$AG$2:$AG$1001,0),1)&gt;=100000,INDEX($AN$1005:$BO$1005,1,MATCH(COLUMNS($AN$1006:AV1006),$AN$1006:$BO$1006,0))&gt;=100000), " ",IF(INDEX($AN$2:$BO$1001,MATCH(ROWS($AG$2:AG547),$AG$2:$AG$1001,0),MATCH(COLUMNS($AN$1006:AV1006),$AN$1006:$BO$1006,0)), HYPERLINK("#",""), HYPERLINK(CONCATENATE("#Metadata!", ADDRESS(INDEX($AI$2:$AI$1001,MATCH(ROWS($AG$2:AG547),$AG$2:$AG$1001,0),0), INDEX($AN$1004:$BO$1004,1,MATCH(COLUMNS($AN$1006:AV1006),$AN$1006:$BO$1006,0)))),"Fix")))</f>
        <v>0</v>
      </c>
      <c r="K547" s="4">
        <f>IF(OR(INDEX($AH$2:$AH$1001,MATCH(ROWS($AG$2:AG547),$AG$2:$AG$1001,0),1)&gt;=100000,INDEX($AN$1005:$BO$1005,1,MATCH(COLUMNS($AN$1006:AW1006),$AN$1006:$BO$1006,0))&gt;=100000), " ",IF(INDEX($AN$2:$BO$1001,MATCH(ROWS($AG$2:AG547),$AG$2:$AG$1001,0),MATCH(COLUMNS($AN$1006:AW1006),$AN$1006:$BO$1006,0)), HYPERLINK("#",""), HYPERLINK(CONCATENATE("#Metadata!", ADDRESS(INDEX($AI$2:$AI$1001,MATCH(ROWS($AG$2:AG547),$AG$2:$AG$1001,0),0), INDEX($AN$1004:$BO$1004,1,MATCH(COLUMNS($AN$1006:AW1006),$AN$1006:$BO$1006,0)))),"Fix")))</f>
        <v>0</v>
      </c>
      <c r="L547" s="4">
        <f>IF(OR(INDEX($AH$2:$AH$1001,MATCH(ROWS($AG$2:AG547),$AG$2:$AG$1001,0),1)&gt;=100000,INDEX($AN$1005:$BO$1005,1,MATCH(COLUMNS($AN$1006:AX1006),$AN$1006:$BO$1006,0))&gt;=100000), " ",IF(INDEX($AN$2:$BO$1001,MATCH(ROWS($AG$2:AG547),$AG$2:$AG$1001,0),MATCH(COLUMNS($AN$1006:AX1006),$AN$1006:$BO$1006,0)), HYPERLINK("#",""), HYPERLINK(CONCATENATE("#Metadata!", ADDRESS(INDEX($AI$2:$AI$1001,MATCH(ROWS($AG$2:AG547),$AG$2:$AG$1001,0),0), INDEX($AN$1004:$BO$1004,1,MATCH(COLUMNS($AN$1006:AX1006),$AN$1006:$BO$1006,0)))),"Fix")))</f>
        <v>0</v>
      </c>
      <c r="M547" s="4">
        <f>IF(OR(INDEX($AH$2:$AH$1001,MATCH(ROWS($AG$2:AG547),$AG$2:$AG$1001,0),1)&gt;=100000,INDEX($AN$1005:$BO$1005,1,MATCH(COLUMNS($AN$1006:AY1006),$AN$1006:$BO$1006,0))&gt;=100000), " ",IF(INDEX($AN$2:$BO$1001,MATCH(ROWS($AG$2:AG547),$AG$2:$AG$1001,0),MATCH(COLUMNS($AN$1006:AY1006),$AN$1006:$BO$1006,0)), HYPERLINK("#",""), HYPERLINK(CONCATENATE("#Metadata!", ADDRESS(INDEX($AI$2:$AI$1001,MATCH(ROWS($AG$2:AG547),$AG$2:$AG$1001,0),0), INDEX($AN$1004:$BO$1004,1,MATCH(COLUMNS($AN$1006:AY1006),$AN$1006:$BO$1006,0)))),"Fix")))</f>
        <v>0</v>
      </c>
      <c r="N547" s="4">
        <f>IF(OR(INDEX($AH$2:$AH$1001,MATCH(ROWS($AG$2:AG547),$AG$2:$AG$1001,0),1)&gt;=100000,INDEX($AN$1005:$BO$1005,1,MATCH(COLUMNS($AN$1006:AZ1006),$AN$1006:$BO$1006,0))&gt;=100000), " ",IF(INDEX($AN$2:$BO$1001,MATCH(ROWS($AG$2:AG547),$AG$2:$AG$1001,0),MATCH(COLUMNS($AN$1006:AZ1006),$AN$1006:$BO$1006,0)), HYPERLINK("#",""), HYPERLINK(CONCATENATE("#Metadata!", ADDRESS(INDEX($AI$2:$AI$1001,MATCH(ROWS($AG$2:AG547),$AG$2:$AG$1001,0),0), INDEX($AN$1004:$BO$1004,1,MATCH(COLUMNS($AN$1006:AZ1006),$AN$1006:$BO$1006,0)))),"Fix")))</f>
        <v>0</v>
      </c>
      <c r="O547" s="4">
        <f>IF(OR(INDEX($AH$2:$AH$1001,MATCH(ROWS($AG$2:AG547),$AG$2:$AG$1001,0),1)&gt;=100000,INDEX($AN$1005:$BO$1005,1,MATCH(COLUMNS($AN$1006:BA1006),$AN$1006:$BO$1006,0))&gt;=100000), " ",IF(INDEX($AN$2:$BO$1001,MATCH(ROWS($AG$2:AG547),$AG$2:$AG$1001,0),MATCH(COLUMNS($AN$1006:BA1006),$AN$1006:$BO$1006,0)), HYPERLINK("#",""), HYPERLINK(CONCATENATE("#Metadata!", ADDRESS(INDEX($AI$2:$AI$1001,MATCH(ROWS($AG$2:AG547),$AG$2:$AG$1001,0),0), INDEX($AN$1004:$BO$1004,1,MATCH(COLUMNS($AN$1006:BA1006),$AN$1006:$BO$1006,0)))),"Fix")))</f>
        <v>0</v>
      </c>
      <c r="P547" s="4">
        <f>IF(OR(INDEX($AH$2:$AH$1001,MATCH(ROWS($AG$2:AG547),$AG$2:$AG$1001,0),1)&gt;=100000,INDEX($AN$1005:$BO$1005,1,MATCH(COLUMNS($AN$1006:BB1006),$AN$1006:$BO$1006,0))&gt;=100000), " ",IF(INDEX($AN$2:$BO$1001,MATCH(ROWS($AG$2:AG547),$AG$2:$AG$1001,0),MATCH(COLUMNS($AN$1006:BB1006),$AN$1006:$BO$1006,0)), HYPERLINK("#",""), HYPERLINK(CONCATENATE("#Metadata!", ADDRESS(INDEX($AI$2:$AI$1001,MATCH(ROWS($AG$2:AG547),$AG$2:$AG$1001,0),0), INDEX($AN$1004:$BO$1004,1,MATCH(COLUMNS($AN$1006:BB1006),$AN$1006:$BO$1006,0)))),"Fix")))</f>
        <v>0</v>
      </c>
      <c r="Q547" s="4">
        <f>IF(OR(INDEX($AH$2:$AH$1001,MATCH(ROWS($AG$2:AG547),$AG$2:$AG$1001,0),1)&gt;=100000,INDEX($AN$1005:$BO$1005,1,MATCH(COLUMNS($AN$1006:BC1006),$AN$1006:$BO$1006,0))&gt;=100000), " ",IF(INDEX($AN$2:$BO$1001,MATCH(ROWS($AG$2:AG547),$AG$2:$AG$1001,0),MATCH(COLUMNS($AN$1006:BC1006),$AN$1006:$BO$1006,0)), HYPERLINK("#",""), HYPERLINK(CONCATENATE("#Metadata!", ADDRESS(INDEX($AI$2:$AI$1001,MATCH(ROWS($AG$2:AG547),$AG$2:$AG$1001,0),0), INDEX($AN$1004:$BO$1004,1,MATCH(COLUMNS($AN$1006:BC1006),$AN$1006:$BO$1006,0)))),"Fix")))</f>
        <v>0</v>
      </c>
      <c r="R547" s="4">
        <f>IF(OR(INDEX($AH$2:$AH$1001,MATCH(ROWS($AG$2:AG547),$AG$2:$AG$1001,0),1)&gt;=100000,INDEX($AN$1005:$BO$1005,1,MATCH(COLUMNS($AN$1006:BD1006),$AN$1006:$BO$1006,0))&gt;=100000), " ",IF(INDEX($AN$2:$BO$1001,MATCH(ROWS($AG$2:AG547),$AG$2:$AG$1001,0),MATCH(COLUMNS($AN$1006:BD1006),$AN$1006:$BO$1006,0)), HYPERLINK("#",""), HYPERLINK(CONCATENATE("#Metadata!", ADDRESS(INDEX($AI$2:$AI$1001,MATCH(ROWS($AG$2:AG547),$AG$2:$AG$1001,0),0), INDEX($AN$1004:$BO$1004,1,MATCH(COLUMNS($AN$1006:BD1006),$AN$1006:$BO$1006,0)))),"Fix")))</f>
        <v>0</v>
      </c>
      <c r="S547" s="4">
        <f>IF(OR(INDEX($AH$2:$AH$1001,MATCH(ROWS($AG$2:AG547),$AG$2:$AG$1001,0),1)&gt;=100000,INDEX($AN$1005:$BO$1005,1,MATCH(COLUMNS($AN$1006:BE1006),$AN$1006:$BO$1006,0))&gt;=100000), " ",IF(INDEX($AN$2:$BO$1001,MATCH(ROWS($AG$2:AG547),$AG$2:$AG$1001,0),MATCH(COLUMNS($AN$1006:BE1006),$AN$1006:$BO$1006,0)), HYPERLINK("#",""), HYPERLINK(CONCATENATE("#Metadata!", ADDRESS(INDEX($AI$2:$AI$1001,MATCH(ROWS($AG$2:AG547),$AG$2:$AG$1001,0),0), INDEX($AN$1004:$BO$1004,1,MATCH(COLUMNS($AN$1006:BE1006),$AN$1006:$BO$1006,0)))),"Fix")))</f>
        <v>0</v>
      </c>
      <c r="T547" s="4">
        <f>IF(OR(INDEX($AH$2:$AH$1001,MATCH(ROWS($AG$2:AG547),$AG$2:$AG$1001,0),1)&gt;=100000,INDEX($AN$1005:$BO$1005,1,MATCH(COLUMNS($AN$1006:BF1006),$AN$1006:$BO$1006,0))&gt;=100000), " ",IF(INDEX($AN$2:$BO$1001,MATCH(ROWS($AG$2:AG547),$AG$2:$AG$1001,0),MATCH(COLUMNS($AN$1006:BF1006),$AN$1006:$BO$1006,0)), HYPERLINK("#",""), HYPERLINK(CONCATENATE("#Metadata!", ADDRESS(INDEX($AI$2:$AI$1001,MATCH(ROWS($AG$2:AG547),$AG$2:$AG$1001,0),0), INDEX($AN$1004:$BO$1004,1,MATCH(COLUMNS($AN$1006:BF1006),$AN$1006:$BO$1006,0)))),"Fix")))</f>
        <v>0</v>
      </c>
      <c r="U547" s="4">
        <f>IF(OR(INDEX($AH$2:$AH$1001,MATCH(ROWS($AG$2:AG547),$AG$2:$AG$1001,0),1)&gt;=100000,INDEX($AN$1005:$BO$1005,1,MATCH(COLUMNS($AN$1006:BG1006),$AN$1006:$BO$1006,0))&gt;=100000), " ",IF(INDEX($AN$2:$BO$1001,MATCH(ROWS($AG$2:AG547),$AG$2:$AG$1001,0),MATCH(COLUMNS($AN$1006:BG1006),$AN$1006:$BO$1006,0)), HYPERLINK("#",""), HYPERLINK(CONCATENATE("#Metadata!", ADDRESS(INDEX($AI$2:$AI$1001,MATCH(ROWS($AG$2:AG547),$AG$2:$AG$1001,0),0), INDEX($AN$1004:$BO$1004,1,MATCH(COLUMNS($AN$1006:BG1006),$AN$1006:$BO$1006,0)))),"Fix")))</f>
        <v>0</v>
      </c>
      <c r="V547" s="4">
        <f>IF(OR(INDEX($AH$2:$AH$1001,MATCH(ROWS($AG$2:AG547),$AG$2:$AG$1001,0),1)&gt;=100000,INDEX($AN$1005:$BO$1005,1,MATCH(COLUMNS($AN$1006:BH1006),$AN$1006:$BO$1006,0))&gt;=100000), " ",IF(INDEX($AN$2:$BO$1001,MATCH(ROWS($AG$2:AG547),$AG$2:$AG$1001,0),MATCH(COLUMNS($AN$1006:BH1006),$AN$1006:$BO$1006,0)), HYPERLINK("#",""), HYPERLINK(CONCATENATE("#Metadata!", ADDRESS(INDEX($AI$2:$AI$1001,MATCH(ROWS($AG$2:AG547),$AG$2:$AG$1001,0),0), INDEX($AN$1004:$BO$1004,1,MATCH(COLUMNS($AN$1006:BH1006),$AN$1006:$BO$1006,0)))),"Fix")))</f>
        <v>0</v>
      </c>
      <c r="W547" s="4">
        <f>IF(OR(INDEX($AH$2:$AH$1001,MATCH(ROWS($AG$2:AG547),$AG$2:$AG$1001,0),1)&gt;=100000,INDEX($AN$1005:$BO$1005,1,MATCH(COLUMNS($AN$1006:BI1006),$AN$1006:$BO$1006,0))&gt;=100000), " ",IF(INDEX($AN$2:$BO$1001,MATCH(ROWS($AG$2:AG547),$AG$2:$AG$1001,0),MATCH(COLUMNS($AN$1006:BI1006),$AN$1006:$BO$1006,0)), HYPERLINK("#",""), HYPERLINK(CONCATENATE("#Metadata!", ADDRESS(INDEX($AI$2:$AI$1001,MATCH(ROWS($AG$2:AG547),$AG$2:$AG$1001,0),0), INDEX($AN$1004:$BO$1004,1,MATCH(COLUMNS($AN$1006:BI1006),$AN$1006:$BO$1006,0)))),"Fix")))</f>
        <v>0</v>
      </c>
      <c r="X547" s="4">
        <f>IF(OR(INDEX($AH$2:$AH$1001,MATCH(ROWS($AG$2:AG547),$AG$2:$AG$1001,0),1)&gt;=100000,INDEX($AN$1005:$BO$1005,1,MATCH(COLUMNS($AN$1006:BJ1006),$AN$1006:$BO$1006,0))&gt;=100000), " ",IF(INDEX($AN$2:$BO$1001,MATCH(ROWS($AG$2:AG547),$AG$2:$AG$1001,0),MATCH(COLUMNS($AN$1006:BJ1006),$AN$1006:$BO$1006,0)), HYPERLINK("#",""), HYPERLINK(CONCATENATE("#Metadata!", ADDRESS(INDEX($AI$2:$AI$1001,MATCH(ROWS($AG$2:AG547),$AG$2:$AG$1001,0),0), INDEX($AN$1004:$BO$1004,1,MATCH(COLUMNS($AN$1006:BJ1006),$AN$1006:$BO$1006,0)))),"Fix")))</f>
        <v>0</v>
      </c>
      <c r="Y547" s="4">
        <f>IF(OR(INDEX($AH$2:$AH$1001,MATCH(ROWS($AG$2:AG547),$AG$2:$AG$1001,0),1)&gt;=100000,INDEX($AN$1005:$BO$1005,1,MATCH(COLUMNS($AN$1006:BK1006),$AN$1006:$BO$1006,0))&gt;=100000), " ",IF(INDEX($AN$2:$BO$1001,MATCH(ROWS($AG$2:AG547),$AG$2:$AG$1001,0),MATCH(COLUMNS($AN$1006:BK1006),$AN$1006:$BO$1006,0)), HYPERLINK("#",""), HYPERLINK(CONCATENATE("#Metadata!", ADDRESS(INDEX($AI$2:$AI$1001,MATCH(ROWS($AG$2:AG547),$AG$2:$AG$1001,0),0), INDEX($AN$1004:$BO$1004,1,MATCH(COLUMNS($AN$1006:BK1006),$AN$1006:$BO$1006,0)))),"Fix")))</f>
        <v>0</v>
      </c>
      <c r="Z547" s="4">
        <f>IF(OR(INDEX($AH$2:$AH$1001,MATCH(ROWS($AG$2:AG547),$AG$2:$AG$1001,0),1)&gt;=100000,INDEX($AN$1005:$BO$1005,1,MATCH(COLUMNS($AN$1006:BL1006),$AN$1006:$BO$1006,0))&gt;=100000), " ",IF(INDEX($AN$2:$BO$1001,MATCH(ROWS($AG$2:AG547),$AG$2:$AG$1001,0),MATCH(COLUMNS($AN$1006:BL1006),$AN$1006:$BO$1006,0)), HYPERLINK("#",""), HYPERLINK(CONCATENATE("#Metadata!", ADDRESS(INDEX($AI$2:$AI$1001,MATCH(ROWS($AG$2:AG547),$AG$2:$AG$1001,0),0), INDEX($AN$1004:$BO$1004,1,MATCH(COLUMNS($AN$1006:BL1006),$AN$1006:$BO$1006,0)))),"Fix")))</f>
        <v>0</v>
      </c>
      <c r="AA547" s="4">
        <f>IF(OR(INDEX($AH$2:$AH$1001,MATCH(ROWS($AG$2:AG547),$AG$2:$AG$1001,0),1)&gt;=100000,INDEX($AN$1005:$BO$1005,1,MATCH(COLUMNS($AN$1006:BM1006),$AN$1006:$BO$1006,0))&gt;=100000), " ",IF(INDEX($AN$2:$BO$1001,MATCH(ROWS($AG$2:AG547),$AG$2:$AG$1001,0),MATCH(COLUMNS($AN$1006:BM1006),$AN$1006:$BO$1006,0)), HYPERLINK("#",""), HYPERLINK(CONCATENATE("#Metadata!", ADDRESS(INDEX($AI$2:$AI$1001,MATCH(ROWS($AG$2:AG547),$AG$2:$AG$1001,0),0), INDEX($AN$1004:$BO$1004,1,MATCH(COLUMNS($AN$1006:BM1006),$AN$1006:$BO$1006,0)))),"Fix")))</f>
        <v>0</v>
      </c>
      <c r="AB547" s="4">
        <f>IF(OR(INDEX($AH$2:$AH$1001,MATCH(ROWS($AG$2:AG547),$AG$2:$AG$1001,0),1)&gt;=100000,INDEX($AN$1005:$BO$1005,1,MATCH(COLUMNS($AN$1006:BN1006),$AN$1006:$BO$1006,0))&gt;=100000), " ",IF(INDEX($AN$2:$BO$1001,MATCH(ROWS($AG$2:AG547),$AG$2:$AG$1001,0),MATCH(COLUMNS($AN$1006:BN1006),$AN$1006:$BO$1006,0)), HYPERLINK("#",""), HYPERLINK(CONCATENATE("#Metadata!", ADDRESS(INDEX($AI$2:$AI$1001,MATCH(ROWS($AG$2:AG547),$AG$2:$AG$1001,0),0), INDEX($AN$1004:$BO$1004,1,MATCH(COLUMNS($AN$1006:BN1006),$AN$1006:$BO$1006,0)))),"Fix")))</f>
        <v>0</v>
      </c>
      <c r="AC547" s="4">
        <f>IF(OR(INDEX($AH$2:$AH$1001,MATCH(ROWS($AG$2:AG547),$AG$2:$AG$1001,0),1)&gt;=100000,INDEX($AN$1005:$BO$1005,1,MATCH(COLUMNS($AN$1006:BO1006),$AN$1006:$BO$1006,0))&gt;=100000), " ",IF(INDEX($AN$2:$BO$1001,MATCH(ROWS($AG$2:AG547),$AG$2:$AG$1001,0),MATCH(COLUMNS($AN$1006:BO1006),$AN$1006:$BO$1006,0)), HYPERLINK("#",""), HYPERLINK(CONCATENATE("#Metadata!", ADDRESS(INDEX($AI$2:$AI$1001,MATCH(ROWS($AG$2:AG547),$AG$2:$AG$1001,0),0), INDEX($AN$1004:$BO$1004,1,MATCH(COLUMNS($AN$1006:BO1006),$AN$1006:$BO$1006,0)))),"Fix")))</f>
        <v>0</v>
      </c>
      <c r="AG547">
        <v>0</v>
      </c>
      <c r="AH547">
        <v>0</v>
      </c>
      <c r="AI547">
        <v>0</v>
      </c>
      <c r="AJ547">
        <f>IF(AK547,TRUE,AND(AN547:BO547))</f>
        <v>0</v>
      </c>
      <c r="AK547">
        <f>COUNTBLANK(Metadata!B547:AC547)=COLUMNS(Metadata!B547:AC547)</f>
        <v>0</v>
      </c>
      <c r="AL547">
        <v>0</v>
      </c>
      <c r="AN547">
        <f>AND(IF(Metadata!B547="",FALSE,TRUE),COUNTIF(Metadata!B:B, Metadata!B547) = 1,NOT(ISERROR(SUMPRODUCT(SEARCH(MID(Metadata!B547,ROW(INDIRECT("1:"&amp;LEN(Metadata!B547))), 1),"0123456789abcdefghijklmnopqrstuvwxyzABCDEFGHIJKLMNOPQRSTUVWXYZ.")))))</f>
        <v>0</v>
      </c>
      <c r="AO547">
        <f>IF(Metadata!C547="",FALSE,TRUE)</f>
        <v>0</v>
      </c>
      <c r="AP547">
        <f>IF(Metadata!D547="",FALSE,TRUE)</f>
        <v>0</v>
      </c>
      <c r="AQ547">
        <f>OR(AND(IF(Metadata!E547="",FALSE,TRUE),OR(exact(Metadata!E547,"not collected"),exact(Metadata!E547,"not provided"),exact(Metadata!E547,"restricted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R547">
        <f>IF(Metadata!F547="",FALSE,TRUE)</f>
        <v>0</v>
      </c>
      <c r="AS547">
        <f>OR(AND(IF(Metadata!G547="",FALSE,TRUE),OR(exact(Metadata!G547,"not collected"),exact(Metadata!G547,"not provided"))),AND(IF(Metadata!G547="",FALSE,TRUE),OR(exact(Metadata!G547,"TRUE"),exact(Metadata!G547,"FALSE"))))</f>
        <v>0</v>
      </c>
      <c r="AT547">
        <f>OR(AND(IF(Metadata!H547="",FALSE,TRUE),OR(exact(Metadata!H547,"not collected"),exact(Metadata!H547,"not provided"),exact(Metadata!H547,"restricted access"))),AND(IF(Metadata!H547="",FALSE,ISNUMBER(VALUE(Metadata!H547))),Metadata!H547&gt;=-413.0))</f>
        <v>0</v>
      </c>
      <c r="AU547">
        <f>AND(IF(Metadata!I547="",FALSE,TRUE),exact(Metadata!I547,"meters"))</f>
        <v>0</v>
      </c>
      <c r="AV547">
        <f>AND(IF(Metadata!J547="",FALSE,TRUE),OR(exact(Metadata!J547,"Host-associated"),exact(Metadata!J547,"Free-living")))</f>
        <v>0</v>
      </c>
      <c r="AW547">
        <f>AND(IF(Metadata!K547="",FALSE,TRUE),OR(exact(Metadata!K547,"Animal"),exact(Metadata!K547,"Fungus"),exact(Metadata!K547,"Plant"),exact(Metadata!K547,"Saline"),exact(Metadata!K547,"Non-saline")))</f>
        <v>0</v>
      </c>
      <c r="AX547">
        <f>AND(IF(Metadata!L547="",FALSE,TRUE),OR(exact(Metadata!L547,"Plant secretion"),exact(Metadata!L547,"Plant rhizosphere"),exact(Metadata!L547,"Plant surface"),exact(Metadata!L547,"Plant corpus"),exact(Metadata!L547,"Fungus surface"),exact(Metadata!L547,"Fungus corpus"),exact(Metadata!L547,"Animal surface"),exact(Metadata!L547,"Animal proximal gut"),exact(Metadata!L547,"Animal corpus"),exact(Metadata!L547,"Animal distal gut"),exact(Metadata!L547,"Animal secretion"),exact(Metadata!L547,"Sub-surface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Y547">
        <f>IF(Metadata!M547="",FALSE,TRUE)</f>
        <v>0</v>
      </c>
      <c r="AZ547">
        <f>IF(Metadata!N547="",FALSE,TRUE)</f>
        <v>0</v>
      </c>
      <c r="BA547">
        <f>IF(Metadata!O547="",FALSE,TRUE)</f>
        <v>0</v>
      </c>
      <c r="BB547">
        <f>OR(AND(IF(Metadata!P547="",FALSE,TRUE),OR(exact(Metadata!P547,"not collected"),exact(Metadata!P547,"not provided"),exact(Metadata!P547,"restricted access"))),AND(IF(Metadata!P547="",FALSE,TRUE),OR(exact(Metadata!P547,"air"),exact(Metadata!P547,"built environment"),exact(Metadata!P547,"host-associated"),exact(Metadata!P547,"human-associated"),exact(Metadata!P547,"human-skin"),exact(Metadata!P547,"human-oral"),exact(Metadata!P547,"human-gut"),exact(Metadata!P547,"human-vaginal"),exact(Metadata!P547,"microbial mat/biofilm"),exact(Metadata!P547,"misc environment"),exact(Metadata!P547,"plant-associated"),exact(Metadata!P547,"sediment"),exact(Metadata!P547,"soil"),exact(Metadata!P547,"wastewater/sludge"),exact(Metadata!P547,"water"))))</f>
        <v>0</v>
      </c>
      <c r="BC547">
        <f>IF(Metadata!Q547="",FALSE,TRUE)</f>
        <v>0</v>
      </c>
      <c r="BD547">
        <f>IF(Metadata!R547="",FALSE,TRUE)</f>
        <v>0</v>
      </c>
      <c r="BE547">
        <f>OR(AND(IF(Metadata!S547="",FALSE,TRUE),OR(exact(Metadata!S547,"not collected"),exact(Metadata!S547,"not provided"),exact(Metadata!S547,"restricted access"))),AND(IF(Metadata!S547="",FALSE,ISNUMBER(VALUE(Metadata!S547))),Metadata!S547&gt;=-90.00,Metadata!S547&lt;=90.00))</f>
        <v>0</v>
      </c>
      <c r="BF547">
        <f>AND(IF(Metadata!T547="",FALSE,TRUE),exact(Metadata!T547,"Decimal degrees"))</f>
        <v>0</v>
      </c>
      <c r="BG547">
        <f>OR(AND(IF(Metadata!U547="",FALSE,TRUE),OR(exact(Metadata!U547,"not collected"),exact(Metadata!U547,"not provided"),exact(Metadata!U547,"restricted access"))),AND(IF(Metadata!U547="",FALSE,ISNUMBER(VALUE(Metadata!U547))),Metadata!U547&gt;=-180.00,Metadata!U547&lt;=180.00))</f>
        <v>0</v>
      </c>
      <c r="BH547">
        <f>AND(IF(Metadata!V547="",FALSE,TRUE),exact(Metadata!V547,"Decimal degrees"))</f>
        <v>0</v>
      </c>
      <c r="BI547">
        <f>IF(Metadata!W547="",FALSE,TRUE)</f>
        <v>0</v>
      </c>
      <c r="BJ547">
        <f>OR(AND(IF(Metadata!X547="",FALSE,TRUE),OR(exact(Metadata!X547,"not collected"),exact(Metadata!X547,"not provided"),exact(Metadata!X547,"restricted access"))),AND(IF(Metadata!X547="",FALSE,TRUE),OR(exact(Metadata!X547,"TRUE"),exact(Metadata!X547,"FALSE"))))</f>
        <v>0</v>
      </c>
      <c r="BK547">
        <f>AND(IF(Metadata!Y547="",FALSE,TRUE),exact(Metadata!Y547,"other"))</f>
        <v>0</v>
      </c>
      <c r="BL547">
        <f>IF(Metadata!Z547="",FALSE,TRUE)</f>
        <v>0</v>
      </c>
      <c r="BM547">
        <f>OR(AND(IF(Metadata!AA547="",FALSE,TRUE),OR(exact(Metadata!AA547,"not collected"),exact(Metadata!AA547,"not provided"))),AND(IF(Metadata!AA547="",FALSE,IF(ISERROR(INT(Metadata!AA547)),FALSE,INT(Metadata!AA547)=Metadata!AA547)),Metadata!AA547&gt;0))</f>
        <v>0</v>
      </c>
      <c r="BN547">
        <f>AND(IF(Metadata!AB547="",FALSE,TRUE),exact(Metadata!AB547,"Not applicable"))</f>
        <v>0</v>
      </c>
      <c r="BO547">
        <f>IF(Metadata!AC547="",FALSE,TRUE)</f>
        <v>0</v>
      </c>
    </row>
    <row r="548" spans="1:67">
      <c r="A548" s="5">
        <f>IF(B548=" "," ",HYPERLINK(CONCATENATE("#metadata!",ADDRESS(INDEX($AI$2:$AI$1001,MATCH(ROWS($AG$2:AG548),$AG$2:$AG$1001,0),0),1)),INDEX($AL$2:$AL$1001,MATCH(ROWS($AG$2:AG548),$AG$2:$AG$1001,0),0)))</f>
        <v>0</v>
      </c>
      <c r="B548" s="4">
        <f>IF(OR(INDEX($AH$2:$AH$1001,MATCH(ROWS($AG$2:AG548),$AG$2:$AG$1001,0),1)&gt;=100000,INDEX($AN$1005:$BO$1005,1,MATCH(COLUMNS($AN$1006:AN1006),$AN$1006:$BO$1006,0))&gt;=100000), " ",IF(INDEX($AN$2:$BO$1001,MATCH(ROWS($AG$2:AG548),$AG$2:$AG$1001,0),MATCH(COLUMNS($AN$1006:AN1006),$AN$1006:$BO$1006,0)), HYPERLINK("#",""), HYPERLINK(CONCATENATE("#Metadata!", ADDRESS(INDEX($AI$2:$AI$1001,MATCH(ROWS($AG$2:AG548),$AG$2:$AG$1001,0),0), INDEX($AN$1004:$BO$1004,1,MATCH(COLUMNS($AN$1006:AN1006),$AN$1006:$BO$1006,0)))),"Fix")))</f>
        <v>0</v>
      </c>
      <c r="C548" s="4">
        <f>IF(OR(INDEX($AH$2:$AH$1001,MATCH(ROWS($AG$2:AG548),$AG$2:$AG$1001,0),1)&gt;=100000,INDEX($AN$1005:$BO$1005,1,MATCH(COLUMNS($AN$1006:AO1006),$AN$1006:$BO$1006,0))&gt;=100000), " ",IF(INDEX($AN$2:$BO$1001,MATCH(ROWS($AG$2:AG548),$AG$2:$AG$1001,0),MATCH(COLUMNS($AN$1006:AO1006),$AN$1006:$BO$1006,0)), HYPERLINK("#",""), HYPERLINK(CONCATENATE("#Metadata!", ADDRESS(INDEX($AI$2:$AI$1001,MATCH(ROWS($AG$2:AG548),$AG$2:$AG$1001,0),0), INDEX($AN$1004:$BO$1004,1,MATCH(COLUMNS($AN$1006:AO1006),$AN$1006:$BO$1006,0)))),"Fix")))</f>
        <v>0</v>
      </c>
      <c r="D548" s="4">
        <f>IF(OR(INDEX($AH$2:$AH$1001,MATCH(ROWS($AG$2:AG548),$AG$2:$AG$1001,0),1)&gt;=100000,INDEX($AN$1005:$BO$1005,1,MATCH(COLUMNS($AN$1006:AP1006),$AN$1006:$BO$1006,0))&gt;=100000), " ",IF(INDEX($AN$2:$BO$1001,MATCH(ROWS($AG$2:AG548),$AG$2:$AG$1001,0),MATCH(COLUMNS($AN$1006:AP1006),$AN$1006:$BO$1006,0)), HYPERLINK("#",""), HYPERLINK(CONCATENATE("#Metadata!", ADDRESS(INDEX($AI$2:$AI$1001,MATCH(ROWS($AG$2:AG548),$AG$2:$AG$1001,0),0), INDEX($AN$1004:$BO$1004,1,MATCH(COLUMNS($AN$1006:AP1006),$AN$1006:$BO$1006,0)))),"Fix")))</f>
        <v>0</v>
      </c>
      <c r="E548" s="4">
        <f>IF(OR(INDEX($AH$2:$AH$1001,MATCH(ROWS($AG$2:AG548),$AG$2:$AG$1001,0),1)&gt;=100000,INDEX($AN$1005:$BO$1005,1,MATCH(COLUMNS($AN$1006:AQ1006),$AN$1006:$BO$1006,0))&gt;=100000), " ",IF(INDEX($AN$2:$BO$1001,MATCH(ROWS($AG$2:AG548),$AG$2:$AG$1001,0),MATCH(COLUMNS($AN$1006:AQ1006),$AN$1006:$BO$1006,0)), HYPERLINK("#",""), HYPERLINK(CONCATENATE("#Metadata!", ADDRESS(INDEX($AI$2:$AI$1001,MATCH(ROWS($AG$2:AG548),$AG$2:$AG$1001,0),0), INDEX($AN$1004:$BO$1004,1,MATCH(COLUMNS($AN$1006:AQ1006),$AN$1006:$BO$1006,0)))),"Fix")))</f>
        <v>0</v>
      </c>
      <c r="F548" s="4">
        <f>IF(OR(INDEX($AH$2:$AH$1001,MATCH(ROWS($AG$2:AG548),$AG$2:$AG$1001,0),1)&gt;=100000,INDEX($AN$1005:$BO$1005,1,MATCH(COLUMNS($AN$1006:AR1006),$AN$1006:$BO$1006,0))&gt;=100000), " ",IF(INDEX($AN$2:$BO$1001,MATCH(ROWS($AG$2:AG548),$AG$2:$AG$1001,0),MATCH(COLUMNS($AN$1006:AR1006),$AN$1006:$BO$1006,0)), HYPERLINK("#",""), HYPERLINK(CONCATENATE("#Metadata!", ADDRESS(INDEX($AI$2:$AI$1001,MATCH(ROWS($AG$2:AG548),$AG$2:$AG$1001,0),0), INDEX($AN$1004:$BO$1004,1,MATCH(COLUMNS($AN$1006:AR1006),$AN$1006:$BO$1006,0)))),"Fix")))</f>
        <v>0</v>
      </c>
      <c r="G548" s="4">
        <f>IF(OR(INDEX($AH$2:$AH$1001,MATCH(ROWS($AG$2:AG548),$AG$2:$AG$1001,0),1)&gt;=100000,INDEX($AN$1005:$BO$1005,1,MATCH(COLUMNS($AN$1006:AS1006),$AN$1006:$BO$1006,0))&gt;=100000), " ",IF(INDEX($AN$2:$BO$1001,MATCH(ROWS($AG$2:AG548),$AG$2:$AG$1001,0),MATCH(COLUMNS($AN$1006:AS1006),$AN$1006:$BO$1006,0)), HYPERLINK("#",""), HYPERLINK(CONCATENATE("#Metadata!", ADDRESS(INDEX($AI$2:$AI$1001,MATCH(ROWS($AG$2:AG548),$AG$2:$AG$1001,0),0), INDEX($AN$1004:$BO$1004,1,MATCH(COLUMNS($AN$1006:AS1006),$AN$1006:$BO$1006,0)))),"Fix")))</f>
        <v>0</v>
      </c>
      <c r="H548" s="4">
        <f>IF(OR(INDEX($AH$2:$AH$1001,MATCH(ROWS($AG$2:AG548),$AG$2:$AG$1001,0),1)&gt;=100000,INDEX($AN$1005:$BO$1005,1,MATCH(COLUMNS($AN$1006:AT1006),$AN$1006:$BO$1006,0))&gt;=100000), " ",IF(INDEX($AN$2:$BO$1001,MATCH(ROWS($AG$2:AG548),$AG$2:$AG$1001,0),MATCH(COLUMNS($AN$1006:AT1006),$AN$1006:$BO$1006,0)), HYPERLINK("#",""), HYPERLINK(CONCATENATE("#Metadata!", ADDRESS(INDEX($AI$2:$AI$1001,MATCH(ROWS($AG$2:AG548),$AG$2:$AG$1001,0),0), INDEX($AN$1004:$BO$1004,1,MATCH(COLUMNS($AN$1006:AT1006),$AN$1006:$BO$1006,0)))),"Fix")))</f>
        <v>0</v>
      </c>
      <c r="I548" s="4">
        <f>IF(OR(INDEX($AH$2:$AH$1001,MATCH(ROWS($AG$2:AG548),$AG$2:$AG$1001,0),1)&gt;=100000,INDEX($AN$1005:$BO$1005,1,MATCH(COLUMNS($AN$1006:AU1006),$AN$1006:$BO$1006,0))&gt;=100000), " ",IF(INDEX($AN$2:$BO$1001,MATCH(ROWS($AG$2:AG548),$AG$2:$AG$1001,0),MATCH(COLUMNS($AN$1006:AU1006),$AN$1006:$BO$1006,0)), HYPERLINK("#",""), HYPERLINK(CONCATENATE("#Metadata!", ADDRESS(INDEX($AI$2:$AI$1001,MATCH(ROWS($AG$2:AG548),$AG$2:$AG$1001,0),0), INDEX($AN$1004:$BO$1004,1,MATCH(COLUMNS($AN$1006:AU1006),$AN$1006:$BO$1006,0)))),"Fix")))</f>
        <v>0</v>
      </c>
      <c r="J548" s="4">
        <f>IF(OR(INDEX($AH$2:$AH$1001,MATCH(ROWS($AG$2:AG548),$AG$2:$AG$1001,0),1)&gt;=100000,INDEX($AN$1005:$BO$1005,1,MATCH(COLUMNS($AN$1006:AV1006),$AN$1006:$BO$1006,0))&gt;=100000), " ",IF(INDEX($AN$2:$BO$1001,MATCH(ROWS($AG$2:AG548),$AG$2:$AG$1001,0),MATCH(COLUMNS($AN$1006:AV1006),$AN$1006:$BO$1006,0)), HYPERLINK("#",""), HYPERLINK(CONCATENATE("#Metadata!", ADDRESS(INDEX($AI$2:$AI$1001,MATCH(ROWS($AG$2:AG548),$AG$2:$AG$1001,0),0), INDEX($AN$1004:$BO$1004,1,MATCH(COLUMNS($AN$1006:AV1006),$AN$1006:$BO$1006,0)))),"Fix")))</f>
        <v>0</v>
      </c>
      <c r="K548" s="4">
        <f>IF(OR(INDEX($AH$2:$AH$1001,MATCH(ROWS($AG$2:AG548),$AG$2:$AG$1001,0),1)&gt;=100000,INDEX($AN$1005:$BO$1005,1,MATCH(COLUMNS($AN$1006:AW1006),$AN$1006:$BO$1006,0))&gt;=100000), " ",IF(INDEX($AN$2:$BO$1001,MATCH(ROWS($AG$2:AG548),$AG$2:$AG$1001,0),MATCH(COLUMNS($AN$1006:AW1006),$AN$1006:$BO$1006,0)), HYPERLINK("#",""), HYPERLINK(CONCATENATE("#Metadata!", ADDRESS(INDEX($AI$2:$AI$1001,MATCH(ROWS($AG$2:AG548),$AG$2:$AG$1001,0),0), INDEX($AN$1004:$BO$1004,1,MATCH(COLUMNS($AN$1006:AW1006),$AN$1006:$BO$1006,0)))),"Fix")))</f>
        <v>0</v>
      </c>
      <c r="L548" s="4">
        <f>IF(OR(INDEX($AH$2:$AH$1001,MATCH(ROWS($AG$2:AG548),$AG$2:$AG$1001,0),1)&gt;=100000,INDEX($AN$1005:$BO$1005,1,MATCH(COLUMNS($AN$1006:AX1006),$AN$1006:$BO$1006,0))&gt;=100000), " ",IF(INDEX($AN$2:$BO$1001,MATCH(ROWS($AG$2:AG548),$AG$2:$AG$1001,0),MATCH(COLUMNS($AN$1006:AX1006),$AN$1006:$BO$1006,0)), HYPERLINK("#",""), HYPERLINK(CONCATENATE("#Metadata!", ADDRESS(INDEX($AI$2:$AI$1001,MATCH(ROWS($AG$2:AG548),$AG$2:$AG$1001,0),0), INDEX($AN$1004:$BO$1004,1,MATCH(COLUMNS($AN$1006:AX1006),$AN$1006:$BO$1006,0)))),"Fix")))</f>
        <v>0</v>
      </c>
      <c r="M548" s="4">
        <f>IF(OR(INDEX($AH$2:$AH$1001,MATCH(ROWS($AG$2:AG548),$AG$2:$AG$1001,0),1)&gt;=100000,INDEX($AN$1005:$BO$1005,1,MATCH(COLUMNS($AN$1006:AY1006),$AN$1006:$BO$1006,0))&gt;=100000), " ",IF(INDEX($AN$2:$BO$1001,MATCH(ROWS($AG$2:AG548),$AG$2:$AG$1001,0),MATCH(COLUMNS($AN$1006:AY1006),$AN$1006:$BO$1006,0)), HYPERLINK("#",""), HYPERLINK(CONCATENATE("#Metadata!", ADDRESS(INDEX($AI$2:$AI$1001,MATCH(ROWS($AG$2:AG548),$AG$2:$AG$1001,0),0), INDEX($AN$1004:$BO$1004,1,MATCH(COLUMNS($AN$1006:AY1006),$AN$1006:$BO$1006,0)))),"Fix")))</f>
        <v>0</v>
      </c>
      <c r="N548" s="4">
        <f>IF(OR(INDEX($AH$2:$AH$1001,MATCH(ROWS($AG$2:AG548),$AG$2:$AG$1001,0),1)&gt;=100000,INDEX($AN$1005:$BO$1005,1,MATCH(COLUMNS($AN$1006:AZ1006),$AN$1006:$BO$1006,0))&gt;=100000), " ",IF(INDEX($AN$2:$BO$1001,MATCH(ROWS($AG$2:AG548),$AG$2:$AG$1001,0),MATCH(COLUMNS($AN$1006:AZ1006),$AN$1006:$BO$1006,0)), HYPERLINK("#",""), HYPERLINK(CONCATENATE("#Metadata!", ADDRESS(INDEX($AI$2:$AI$1001,MATCH(ROWS($AG$2:AG548),$AG$2:$AG$1001,0),0), INDEX($AN$1004:$BO$1004,1,MATCH(COLUMNS($AN$1006:AZ1006),$AN$1006:$BO$1006,0)))),"Fix")))</f>
        <v>0</v>
      </c>
      <c r="O548" s="4">
        <f>IF(OR(INDEX($AH$2:$AH$1001,MATCH(ROWS($AG$2:AG548),$AG$2:$AG$1001,0),1)&gt;=100000,INDEX($AN$1005:$BO$1005,1,MATCH(COLUMNS($AN$1006:BA1006),$AN$1006:$BO$1006,0))&gt;=100000), " ",IF(INDEX($AN$2:$BO$1001,MATCH(ROWS($AG$2:AG548),$AG$2:$AG$1001,0),MATCH(COLUMNS($AN$1006:BA1006),$AN$1006:$BO$1006,0)), HYPERLINK("#",""), HYPERLINK(CONCATENATE("#Metadata!", ADDRESS(INDEX($AI$2:$AI$1001,MATCH(ROWS($AG$2:AG548),$AG$2:$AG$1001,0),0), INDEX($AN$1004:$BO$1004,1,MATCH(COLUMNS($AN$1006:BA1006),$AN$1006:$BO$1006,0)))),"Fix")))</f>
        <v>0</v>
      </c>
      <c r="P548" s="4">
        <f>IF(OR(INDEX($AH$2:$AH$1001,MATCH(ROWS($AG$2:AG548),$AG$2:$AG$1001,0),1)&gt;=100000,INDEX($AN$1005:$BO$1005,1,MATCH(COLUMNS($AN$1006:BB1006),$AN$1006:$BO$1006,0))&gt;=100000), " ",IF(INDEX($AN$2:$BO$1001,MATCH(ROWS($AG$2:AG548),$AG$2:$AG$1001,0),MATCH(COLUMNS($AN$1006:BB1006),$AN$1006:$BO$1006,0)), HYPERLINK("#",""), HYPERLINK(CONCATENATE("#Metadata!", ADDRESS(INDEX($AI$2:$AI$1001,MATCH(ROWS($AG$2:AG548),$AG$2:$AG$1001,0),0), INDEX($AN$1004:$BO$1004,1,MATCH(COLUMNS($AN$1006:BB1006),$AN$1006:$BO$1006,0)))),"Fix")))</f>
        <v>0</v>
      </c>
      <c r="Q548" s="4">
        <f>IF(OR(INDEX($AH$2:$AH$1001,MATCH(ROWS($AG$2:AG548),$AG$2:$AG$1001,0),1)&gt;=100000,INDEX($AN$1005:$BO$1005,1,MATCH(COLUMNS($AN$1006:BC1006),$AN$1006:$BO$1006,0))&gt;=100000), " ",IF(INDEX($AN$2:$BO$1001,MATCH(ROWS($AG$2:AG548),$AG$2:$AG$1001,0),MATCH(COLUMNS($AN$1006:BC1006),$AN$1006:$BO$1006,0)), HYPERLINK("#",""), HYPERLINK(CONCATENATE("#Metadata!", ADDRESS(INDEX($AI$2:$AI$1001,MATCH(ROWS($AG$2:AG548),$AG$2:$AG$1001,0),0), INDEX($AN$1004:$BO$1004,1,MATCH(COLUMNS($AN$1006:BC1006),$AN$1006:$BO$1006,0)))),"Fix")))</f>
        <v>0</v>
      </c>
      <c r="R548" s="4">
        <f>IF(OR(INDEX($AH$2:$AH$1001,MATCH(ROWS($AG$2:AG548),$AG$2:$AG$1001,0),1)&gt;=100000,INDEX($AN$1005:$BO$1005,1,MATCH(COLUMNS($AN$1006:BD1006),$AN$1006:$BO$1006,0))&gt;=100000), " ",IF(INDEX($AN$2:$BO$1001,MATCH(ROWS($AG$2:AG548),$AG$2:$AG$1001,0),MATCH(COLUMNS($AN$1006:BD1006),$AN$1006:$BO$1006,0)), HYPERLINK("#",""), HYPERLINK(CONCATENATE("#Metadata!", ADDRESS(INDEX($AI$2:$AI$1001,MATCH(ROWS($AG$2:AG548),$AG$2:$AG$1001,0),0), INDEX($AN$1004:$BO$1004,1,MATCH(COLUMNS($AN$1006:BD1006),$AN$1006:$BO$1006,0)))),"Fix")))</f>
        <v>0</v>
      </c>
      <c r="S548" s="4">
        <f>IF(OR(INDEX($AH$2:$AH$1001,MATCH(ROWS($AG$2:AG548),$AG$2:$AG$1001,0),1)&gt;=100000,INDEX($AN$1005:$BO$1005,1,MATCH(COLUMNS($AN$1006:BE1006),$AN$1006:$BO$1006,0))&gt;=100000), " ",IF(INDEX($AN$2:$BO$1001,MATCH(ROWS($AG$2:AG548),$AG$2:$AG$1001,0),MATCH(COLUMNS($AN$1006:BE1006),$AN$1006:$BO$1006,0)), HYPERLINK("#",""), HYPERLINK(CONCATENATE("#Metadata!", ADDRESS(INDEX($AI$2:$AI$1001,MATCH(ROWS($AG$2:AG548),$AG$2:$AG$1001,0),0), INDEX($AN$1004:$BO$1004,1,MATCH(COLUMNS($AN$1006:BE1006),$AN$1006:$BO$1006,0)))),"Fix")))</f>
        <v>0</v>
      </c>
      <c r="T548" s="4">
        <f>IF(OR(INDEX($AH$2:$AH$1001,MATCH(ROWS($AG$2:AG548),$AG$2:$AG$1001,0),1)&gt;=100000,INDEX($AN$1005:$BO$1005,1,MATCH(COLUMNS($AN$1006:BF1006),$AN$1006:$BO$1006,0))&gt;=100000), " ",IF(INDEX($AN$2:$BO$1001,MATCH(ROWS($AG$2:AG548),$AG$2:$AG$1001,0),MATCH(COLUMNS($AN$1006:BF1006),$AN$1006:$BO$1006,0)), HYPERLINK("#",""), HYPERLINK(CONCATENATE("#Metadata!", ADDRESS(INDEX($AI$2:$AI$1001,MATCH(ROWS($AG$2:AG548),$AG$2:$AG$1001,0),0), INDEX($AN$1004:$BO$1004,1,MATCH(COLUMNS($AN$1006:BF1006),$AN$1006:$BO$1006,0)))),"Fix")))</f>
        <v>0</v>
      </c>
      <c r="U548" s="4">
        <f>IF(OR(INDEX($AH$2:$AH$1001,MATCH(ROWS($AG$2:AG548),$AG$2:$AG$1001,0),1)&gt;=100000,INDEX($AN$1005:$BO$1005,1,MATCH(COLUMNS($AN$1006:BG1006),$AN$1006:$BO$1006,0))&gt;=100000), " ",IF(INDEX($AN$2:$BO$1001,MATCH(ROWS($AG$2:AG548),$AG$2:$AG$1001,0),MATCH(COLUMNS($AN$1006:BG1006),$AN$1006:$BO$1006,0)), HYPERLINK("#",""), HYPERLINK(CONCATENATE("#Metadata!", ADDRESS(INDEX($AI$2:$AI$1001,MATCH(ROWS($AG$2:AG548),$AG$2:$AG$1001,0),0), INDEX($AN$1004:$BO$1004,1,MATCH(COLUMNS($AN$1006:BG1006),$AN$1006:$BO$1006,0)))),"Fix")))</f>
        <v>0</v>
      </c>
      <c r="V548" s="4">
        <f>IF(OR(INDEX($AH$2:$AH$1001,MATCH(ROWS($AG$2:AG548),$AG$2:$AG$1001,0),1)&gt;=100000,INDEX($AN$1005:$BO$1005,1,MATCH(COLUMNS($AN$1006:BH1006),$AN$1006:$BO$1006,0))&gt;=100000), " ",IF(INDEX($AN$2:$BO$1001,MATCH(ROWS($AG$2:AG548),$AG$2:$AG$1001,0),MATCH(COLUMNS($AN$1006:BH1006),$AN$1006:$BO$1006,0)), HYPERLINK("#",""), HYPERLINK(CONCATENATE("#Metadata!", ADDRESS(INDEX($AI$2:$AI$1001,MATCH(ROWS($AG$2:AG548),$AG$2:$AG$1001,0),0), INDEX($AN$1004:$BO$1004,1,MATCH(COLUMNS($AN$1006:BH1006),$AN$1006:$BO$1006,0)))),"Fix")))</f>
        <v>0</v>
      </c>
      <c r="W548" s="4">
        <f>IF(OR(INDEX($AH$2:$AH$1001,MATCH(ROWS($AG$2:AG548),$AG$2:$AG$1001,0),1)&gt;=100000,INDEX($AN$1005:$BO$1005,1,MATCH(COLUMNS($AN$1006:BI1006),$AN$1006:$BO$1006,0))&gt;=100000), " ",IF(INDEX($AN$2:$BO$1001,MATCH(ROWS($AG$2:AG548),$AG$2:$AG$1001,0),MATCH(COLUMNS($AN$1006:BI1006),$AN$1006:$BO$1006,0)), HYPERLINK("#",""), HYPERLINK(CONCATENATE("#Metadata!", ADDRESS(INDEX($AI$2:$AI$1001,MATCH(ROWS($AG$2:AG548),$AG$2:$AG$1001,0),0), INDEX($AN$1004:$BO$1004,1,MATCH(COLUMNS($AN$1006:BI1006),$AN$1006:$BO$1006,0)))),"Fix")))</f>
        <v>0</v>
      </c>
      <c r="X548" s="4">
        <f>IF(OR(INDEX($AH$2:$AH$1001,MATCH(ROWS($AG$2:AG548),$AG$2:$AG$1001,0),1)&gt;=100000,INDEX($AN$1005:$BO$1005,1,MATCH(COLUMNS($AN$1006:BJ1006),$AN$1006:$BO$1006,0))&gt;=100000), " ",IF(INDEX($AN$2:$BO$1001,MATCH(ROWS($AG$2:AG548),$AG$2:$AG$1001,0),MATCH(COLUMNS($AN$1006:BJ1006),$AN$1006:$BO$1006,0)), HYPERLINK("#",""), HYPERLINK(CONCATENATE("#Metadata!", ADDRESS(INDEX($AI$2:$AI$1001,MATCH(ROWS($AG$2:AG548),$AG$2:$AG$1001,0),0), INDEX($AN$1004:$BO$1004,1,MATCH(COLUMNS($AN$1006:BJ1006),$AN$1006:$BO$1006,0)))),"Fix")))</f>
        <v>0</v>
      </c>
      <c r="Y548" s="4">
        <f>IF(OR(INDEX($AH$2:$AH$1001,MATCH(ROWS($AG$2:AG548),$AG$2:$AG$1001,0),1)&gt;=100000,INDEX($AN$1005:$BO$1005,1,MATCH(COLUMNS($AN$1006:BK1006),$AN$1006:$BO$1006,0))&gt;=100000), " ",IF(INDEX($AN$2:$BO$1001,MATCH(ROWS($AG$2:AG548),$AG$2:$AG$1001,0),MATCH(COLUMNS($AN$1006:BK1006),$AN$1006:$BO$1006,0)), HYPERLINK("#",""), HYPERLINK(CONCATENATE("#Metadata!", ADDRESS(INDEX($AI$2:$AI$1001,MATCH(ROWS($AG$2:AG548),$AG$2:$AG$1001,0),0), INDEX($AN$1004:$BO$1004,1,MATCH(COLUMNS($AN$1006:BK1006),$AN$1006:$BO$1006,0)))),"Fix")))</f>
        <v>0</v>
      </c>
      <c r="Z548" s="4">
        <f>IF(OR(INDEX($AH$2:$AH$1001,MATCH(ROWS($AG$2:AG548),$AG$2:$AG$1001,0),1)&gt;=100000,INDEX($AN$1005:$BO$1005,1,MATCH(COLUMNS($AN$1006:BL1006),$AN$1006:$BO$1006,0))&gt;=100000), " ",IF(INDEX($AN$2:$BO$1001,MATCH(ROWS($AG$2:AG548),$AG$2:$AG$1001,0),MATCH(COLUMNS($AN$1006:BL1006),$AN$1006:$BO$1006,0)), HYPERLINK("#",""), HYPERLINK(CONCATENATE("#Metadata!", ADDRESS(INDEX($AI$2:$AI$1001,MATCH(ROWS($AG$2:AG548),$AG$2:$AG$1001,0),0), INDEX($AN$1004:$BO$1004,1,MATCH(COLUMNS($AN$1006:BL1006),$AN$1006:$BO$1006,0)))),"Fix")))</f>
        <v>0</v>
      </c>
      <c r="AA548" s="4">
        <f>IF(OR(INDEX($AH$2:$AH$1001,MATCH(ROWS($AG$2:AG548),$AG$2:$AG$1001,0),1)&gt;=100000,INDEX($AN$1005:$BO$1005,1,MATCH(COLUMNS($AN$1006:BM1006),$AN$1006:$BO$1006,0))&gt;=100000), " ",IF(INDEX($AN$2:$BO$1001,MATCH(ROWS($AG$2:AG548),$AG$2:$AG$1001,0),MATCH(COLUMNS($AN$1006:BM1006),$AN$1006:$BO$1006,0)), HYPERLINK("#",""), HYPERLINK(CONCATENATE("#Metadata!", ADDRESS(INDEX($AI$2:$AI$1001,MATCH(ROWS($AG$2:AG548),$AG$2:$AG$1001,0),0), INDEX($AN$1004:$BO$1004,1,MATCH(COLUMNS($AN$1006:BM1006),$AN$1006:$BO$1006,0)))),"Fix")))</f>
        <v>0</v>
      </c>
      <c r="AB548" s="4">
        <f>IF(OR(INDEX($AH$2:$AH$1001,MATCH(ROWS($AG$2:AG548),$AG$2:$AG$1001,0),1)&gt;=100000,INDEX($AN$1005:$BO$1005,1,MATCH(COLUMNS($AN$1006:BN1006),$AN$1006:$BO$1006,0))&gt;=100000), " ",IF(INDEX($AN$2:$BO$1001,MATCH(ROWS($AG$2:AG548),$AG$2:$AG$1001,0),MATCH(COLUMNS($AN$1006:BN1006),$AN$1006:$BO$1006,0)), HYPERLINK("#",""), HYPERLINK(CONCATENATE("#Metadata!", ADDRESS(INDEX($AI$2:$AI$1001,MATCH(ROWS($AG$2:AG548),$AG$2:$AG$1001,0),0), INDEX($AN$1004:$BO$1004,1,MATCH(COLUMNS($AN$1006:BN1006),$AN$1006:$BO$1006,0)))),"Fix")))</f>
        <v>0</v>
      </c>
      <c r="AC548" s="4">
        <f>IF(OR(INDEX($AH$2:$AH$1001,MATCH(ROWS($AG$2:AG548),$AG$2:$AG$1001,0),1)&gt;=100000,INDEX($AN$1005:$BO$1005,1,MATCH(COLUMNS($AN$1006:BO1006),$AN$1006:$BO$1006,0))&gt;=100000), " ",IF(INDEX($AN$2:$BO$1001,MATCH(ROWS($AG$2:AG548),$AG$2:$AG$1001,0),MATCH(COLUMNS($AN$1006:BO1006),$AN$1006:$BO$1006,0)), HYPERLINK("#",""), HYPERLINK(CONCATENATE("#Metadata!", ADDRESS(INDEX($AI$2:$AI$1001,MATCH(ROWS($AG$2:AG548),$AG$2:$AG$1001,0),0), INDEX($AN$1004:$BO$1004,1,MATCH(COLUMNS($AN$1006:BO1006),$AN$1006:$BO$1006,0)))),"Fix")))</f>
        <v>0</v>
      </c>
      <c r="AG548">
        <v>0</v>
      </c>
      <c r="AH548">
        <v>0</v>
      </c>
      <c r="AI548">
        <v>0</v>
      </c>
      <c r="AJ548">
        <f>IF(AK548,TRUE,AND(AN548:BO548))</f>
        <v>0</v>
      </c>
      <c r="AK548">
        <f>COUNTBLANK(Metadata!B548:AC548)=COLUMNS(Metadata!B548:AC548)</f>
        <v>0</v>
      </c>
      <c r="AL548">
        <v>0</v>
      </c>
      <c r="AN548">
        <f>AND(IF(Metadata!B548="",FALSE,TRUE),COUNTIF(Metadata!B:B, Metadata!B548) = 1,NOT(ISERROR(SUMPRODUCT(SEARCH(MID(Metadata!B548,ROW(INDIRECT("1:"&amp;LEN(Metadata!B548))), 1),"0123456789abcdefghijklmnopqrstuvwxyzABCDEFGHIJKLMNOPQRSTUVWXYZ.")))))</f>
        <v>0</v>
      </c>
      <c r="AO548">
        <f>IF(Metadata!C548="",FALSE,TRUE)</f>
        <v>0</v>
      </c>
      <c r="AP548">
        <f>IF(Metadata!D548="",FALSE,TRUE)</f>
        <v>0</v>
      </c>
      <c r="AQ548">
        <f>OR(AND(IF(Metadata!E548="",FALSE,TRUE),OR(exact(Metadata!E548,"not collected"),exact(Metadata!E548,"not provided"),exact(Metadata!E548,"restricted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R548">
        <f>IF(Metadata!F548="",FALSE,TRUE)</f>
        <v>0</v>
      </c>
      <c r="AS548">
        <f>OR(AND(IF(Metadata!G548="",FALSE,TRUE),OR(exact(Metadata!G548,"not collected"),exact(Metadata!G548,"not provided"))),AND(IF(Metadata!G548="",FALSE,TRUE),OR(exact(Metadata!G548,"TRUE"),exact(Metadata!G548,"FALSE"))))</f>
        <v>0</v>
      </c>
      <c r="AT548">
        <f>OR(AND(IF(Metadata!H548="",FALSE,TRUE),OR(exact(Metadata!H548,"not collected"),exact(Metadata!H548,"not provided"),exact(Metadata!H548,"restricted access"))),AND(IF(Metadata!H548="",FALSE,ISNUMBER(VALUE(Metadata!H548))),Metadata!H548&gt;=-413.0))</f>
        <v>0</v>
      </c>
      <c r="AU548">
        <f>AND(IF(Metadata!I548="",FALSE,TRUE),exact(Metadata!I548,"meters"))</f>
        <v>0</v>
      </c>
      <c r="AV548">
        <f>AND(IF(Metadata!J548="",FALSE,TRUE),OR(exact(Metadata!J548,"Host-associated"),exact(Metadata!J548,"Free-living")))</f>
        <v>0</v>
      </c>
      <c r="AW548">
        <f>AND(IF(Metadata!K548="",FALSE,TRUE),OR(exact(Metadata!K548,"Animal"),exact(Metadata!K548,"Fungus"),exact(Metadata!K548,"Plant"),exact(Metadata!K548,"Saline"),exact(Metadata!K548,"Non-saline")))</f>
        <v>0</v>
      </c>
      <c r="AX548">
        <f>AND(IF(Metadata!L548="",FALSE,TRUE),OR(exact(Metadata!L548,"Plant secretion"),exact(Metadata!L548,"Plant rhizosphere"),exact(Metadata!L548,"Plant surface"),exact(Metadata!L548,"Plant corpus"),exact(Metadata!L548,"Fungus surface"),exact(Metadata!L548,"Fungus corpus"),exact(Metadata!L548,"Animal surface"),exact(Metadata!L548,"Animal proximal gut"),exact(Metadata!L548,"Animal corpus"),exact(Metadata!L548,"Animal distal gut"),exact(Metadata!L548,"Animal secretion"),exact(Metadata!L548,"Sub-surface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Y548">
        <f>IF(Metadata!M548="",FALSE,TRUE)</f>
        <v>0</v>
      </c>
      <c r="AZ548">
        <f>IF(Metadata!N548="",FALSE,TRUE)</f>
        <v>0</v>
      </c>
      <c r="BA548">
        <f>IF(Metadata!O548="",FALSE,TRUE)</f>
        <v>0</v>
      </c>
      <c r="BB548">
        <f>OR(AND(IF(Metadata!P548="",FALSE,TRUE),OR(exact(Metadata!P548,"not collected"),exact(Metadata!P548,"not provided"),exact(Metadata!P548,"restricted access"))),AND(IF(Metadata!P548="",FALSE,TRUE),OR(exact(Metadata!P548,"air"),exact(Metadata!P548,"built environment"),exact(Metadata!P548,"host-associated"),exact(Metadata!P548,"human-associated"),exact(Metadata!P548,"human-skin"),exact(Metadata!P548,"human-oral"),exact(Metadata!P548,"human-gut"),exact(Metadata!P548,"human-vaginal"),exact(Metadata!P548,"microbial mat/biofilm"),exact(Metadata!P548,"misc environment"),exact(Metadata!P548,"plant-associated"),exact(Metadata!P548,"sediment"),exact(Metadata!P548,"soil"),exact(Metadata!P548,"wastewater/sludge"),exact(Metadata!P548,"water"))))</f>
        <v>0</v>
      </c>
      <c r="BC548">
        <f>IF(Metadata!Q548="",FALSE,TRUE)</f>
        <v>0</v>
      </c>
      <c r="BD548">
        <f>IF(Metadata!R548="",FALSE,TRUE)</f>
        <v>0</v>
      </c>
      <c r="BE548">
        <f>OR(AND(IF(Metadata!S548="",FALSE,TRUE),OR(exact(Metadata!S548,"not collected"),exact(Metadata!S548,"not provided"),exact(Metadata!S548,"restricted access"))),AND(IF(Metadata!S548="",FALSE,ISNUMBER(VALUE(Metadata!S548))),Metadata!S548&gt;=-90.00,Metadata!S548&lt;=90.00))</f>
        <v>0</v>
      </c>
      <c r="BF548">
        <f>AND(IF(Metadata!T548="",FALSE,TRUE),exact(Metadata!T548,"Decimal degrees"))</f>
        <v>0</v>
      </c>
      <c r="BG548">
        <f>OR(AND(IF(Metadata!U548="",FALSE,TRUE),OR(exact(Metadata!U548,"not collected"),exact(Metadata!U548,"not provided"),exact(Metadata!U548,"restricted access"))),AND(IF(Metadata!U548="",FALSE,ISNUMBER(VALUE(Metadata!U548))),Metadata!U548&gt;=-180.00,Metadata!U548&lt;=180.00))</f>
        <v>0</v>
      </c>
      <c r="BH548">
        <f>AND(IF(Metadata!V548="",FALSE,TRUE),exact(Metadata!V548,"Decimal degrees"))</f>
        <v>0</v>
      </c>
      <c r="BI548">
        <f>IF(Metadata!W548="",FALSE,TRUE)</f>
        <v>0</v>
      </c>
      <c r="BJ548">
        <f>OR(AND(IF(Metadata!X548="",FALSE,TRUE),OR(exact(Metadata!X548,"not collected"),exact(Metadata!X548,"not provided"),exact(Metadata!X548,"restricted access"))),AND(IF(Metadata!X548="",FALSE,TRUE),OR(exact(Metadata!X548,"TRUE"),exact(Metadata!X548,"FALSE"))))</f>
        <v>0</v>
      </c>
      <c r="BK548">
        <f>AND(IF(Metadata!Y548="",FALSE,TRUE),exact(Metadata!Y548,"other"))</f>
        <v>0</v>
      </c>
      <c r="BL548">
        <f>IF(Metadata!Z548="",FALSE,TRUE)</f>
        <v>0</v>
      </c>
      <c r="BM548">
        <f>OR(AND(IF(Metadata!AA548="",FALSE,TRUE),OR(exact(Metadata!AA548,"not collected"),exact(Metadata!AA548,"not provided"))),AND(IF(Metadata!AA548="",FALSE,IF(ISERROR(INT(Metadata!AA548)),FALSE,INT(Metadata!AA548)=Metadata!AA548)),Metadata!AA548&gt;0))</f>
        <v>0</v>
      </c>
      <c r="BN548">
        <f>AND(IF(Metadata!AB548="",FALSE,TRUE),exact(Metadata!AB548,"Not applicable"))</f>
        <v>0</v>
      </c>
      <c r="BO548">
        <f>IF(Metadata!AC548="",FALSE,TRUE)</f>
        <v>0</v>
      </c>
    </row>
    <row r="549" spans="1:67">
      <c r="A549" s="5">
        <f>IF(B549=" "," ",HYPERLINK(CONCATENATE("#metadata!",ADDRESS(INDEX($AI$2:$AI$1001,MATCH(ROWS($AG$2:AG549),$AG$2:$AG$1001,0),0),1)),INDEX($AL$2:$AL$1001,MATCH(ROWS($AG$2:AG549),$AG$2:$AG$1001,0),0)))</f>
        <v>0</v>
      </c>
      <c r="B549" s="4">
        <f>IF(OR(INDEX($AH$2:$AH$1001,MATCH(ROWS($AG$2:AG549),$AG$2:$AG$1001,0),1)&gt;=100000,INDEX($AN$1005:$BO$1005,1,MATCH(COLUMNS($AN$1006:AN1006),$AN$1006:$BO$1006,0))&gt;=100000), " ",IF(INDEX($AN$2:$BO$1001,MATCH(ROWS($AG$2:AG549),$AG$2:$AG$1001,0),MATCH(COLUMNS($AN$1006:AN1006),$AN$1006:$BO$1006,0)), HYPERLINK("#",""), HYPERLINK(CONCATENATE("#Metadata!", ADDRESS(INDEX($AI$2:$AI$1001,MATCH(ROWS($AG$2:AG549),$AG$2:$AG$1001,0),0), INDEX($AN$1004:$BO$1004,1,MATCH(COLUMNS($AN$1006:AN1006),$AN$1006:$BO$1006,0)))),"Fix")))</f>
        <v>0</v>
      </c>
      <c r="C549" s="4">
        <f>IF(OR(INDEX($AH$2:$AH$1001,MATCH(ROWS($AG$2:AG549),$AG$2:$AG$1001,0),1)&gt;=100000,INDEX($AN$1005:$BO$1005,1,MATCH(COLUMNS($AN$1006:AO1006),$AN$1006:$BO$1006,0))&gt;=100000), " ",IF(INDEX($AN$2:$BO$1001,MATCH(ROWS($AG$2:AG549),$AG$2:$AG$1001,0),MATCH(COLUMNS($AN$1006:AO1006),$AN$1006:$BO$1006,0)), HYPERLINK("#",""), HYPERLINK(CONCATENATE("#Metadata!", ADDRESS(INDEX($AI$2:$AI$1001,MATCH(ROWS($AG$2:AG549),$AG$2:$AG$1001,0),0), INDEX($AN$1004:$BO$1004,1,MATCH(COLUMNS($AN$1006:AO1006),$AN$1006:$BO$1006,0)))),"Fix")))</f>
        <v>0</v>
      </c>
      <c r="D549" s="4">
        <f>IF(OR(INDEX($AH$2:$AH$1001,MATCH(ROWS($AG$2:AG549),$AG$2:$AG$1001,0),1)&gt;=100000,INDEX($AN$1005:$BO$1005,1,MATCH(COLUMNS($AN$1006:AP1006),$AN$1006:$BO$1006,0))&gt;=100000), " ",IF(INDEX($AN$2:$BO$1001,MATCH(ROWS($AG$2:AG549),$AG$2:$AG$1001,0),MATCH(COLUMNS($AN$1006:AP1006),$AN$1006:$BO$1006,0)), HYPERLINK("#",""), HYPERLINK(CONCATENATE("#Metadata!", ADDRESS(INDEX($AI$2:$AI$1001,MATCH(ROWS($AG$2:AG549),$AG$2:$AG$1001,0),0), INDEX($AN$1004:$BO$1004,1,MATCH(COLUMNS($AN$1006:AP1006),$AN$1006:$BO$1006,0)))),"Fix")))</f>
        <v>0</v>
      </c>
      <c r="E549" s="4">
        <f>IF(OR(INDEX($AH$2:$AH$1001,MATCH(ROWS($AG$2:AG549),$AG$2:$AG$1001,0),1)&gt;=100000,INDEX($AN$1005:$BO$1005,1,MATCH(COLUMNS($AN$1006:AQ1006),$AN$1006:$BO$1006,0))&gt;=100000), " ",IF(INDEX($AN$2:$BO$1001,MATCH(ROWS($AG$2:AG549),$AG$2:$AG$1001,0),MATCH(COLUMNS($AN$1006:AQ1006),$AN$1006:$BO$1006,0)), HYPERLINK("#",""), HYPERLINK(CONCATENATE("#Metadata!", ADDRESS(INDEX($AI$2:$AI$1001,MATCH(ROWS($AG$2:AG549),$AG$2:$AG$1001,0),0), INDEX($AN$1004:$BO$1004,1,MATCH(COLUMNS($AN$1006:AQ1006),$AN$1006:$BO$1006,0)))),"Fix")))</f>
        <v>0</v>
      </c>
      <c r="F549" s="4">
        <f>IF(OR(INDEX($AH$2:$AH$1001,MATCH(ROWS($AG$2:AG549),$AG$2:$AG$1001,0),1)&gt;=100000,INDEX($AN$1005:$BO$1005,1,MATCH(COLUMNS($AN$1006:AR1006),$AN$1006:$BO$1006,0))&gt;=100000), " ",IF(INDEX($AN$2:$BO$1001,MATCH(ROWS($AG$2:AG549),$AG$2:$AG$1001,0),MATCH(COLUMNS($AN$1006:AR1006),$AN$1006:$BO$1006,0)), HYPERLINK("#",""), HYPERLINK(CONCATENATE("#Metadata!", ADDRESS(INDEX($AI$2:$AI$1001,MATCH(ROWS($AG$2:AG549),$AG$2:$AG$1001,0),0), INDEX($AN$1004:$BO$1004,1,MATCH(COLUMNS($AN$1006:AR1006),$AN$1006:$BO$1006,0)))),"Fix")))</f>
        <v>0</v>
      </c>
      <c r="G549" s="4">
        <f>IF(OR(INDEX($AH$2:$AH$1001,MATCH(ROWS($AG$2:AG549),$AG$2:$AG$1001,0),1)&gt;=100000,INDEX($AN$1005:$BO$1005,1,MATCH(COLUMNS($AN$1006:AS1006),$AN$1006:$BO$1006,0))&gt;=100000), " ",IF(INDEX($AN$2:$BO$1001,MATCH(ROWS($AG$2:AG549),$AG$2:$AG$1001,0),MATCH(COLUMNS($AN$1006:AS1006),$AN$1006:$BO$1006,0)), HYPERLINK("#",""), HYPERLINK(CONCATENATE("#Metadata!", ADDRESS(INDEX($AI$2:$AI$1001,MATCH(ROWS($AG$2:AG549),$AG$2:$AG$1001,0),0), INDEX($AN$1004:$BO$1004,1,MATCH(COLUMNS($AN$1006:AS1006),$AN$1006:$BO$1006,0)))),"Fix")))</f>
        <v>0</v>
      </c>
      <c r="H549" s="4">
        <f>IF(OR(INDEX($AH$2:$AH$1001,MATCH(ROWS($AG$2:AG549),$AG$2:$AG$1001,0),1)&gt;=100000,INDEX($AN$1005:$BO$1005,1,MATCH(COLUMNS($AN$1006:AT1006),$AN$1006:$BO$1006,0))&gt;=100000), " ",IF(INDEX($AN$2:$BO$1001,MATCH(ROWS($AG$2:AG549),$AG$2:$AG$1001,0),MATCH(COLUMNS($AN$1006:AT1006),$AN$1006:$BO$1006,0)), HYPERLINK("#",""), HYPERLINK(CONCATENATE("#Metadata!", ADDRESS(INDEX($AI$2:$AI$1001,MATCH(ROWS($AG$2:AG549),$AG$2:$AG$1001,0),0), INDEX($AN$1004:$BO$1004,1,MATCH(COLUMNS($AN$1006:AT1006),$AN$1006:$BO$1006,0)))),"Fix")))</f>
        <v>0</v>
      </c>
      <c r="I549" s="4">
        <f>IF(OR(INDEX($AH$2:$AH$1001,MATCH(ROWS($AG$2:AG549),$AG$2:$AG$1001,0),1)&gt;=100000,INDEX($AN$1005:$BO$1005,1,MATCH(COLUMNS($AN$1006:AU1006),$AN$1006:$BO$1006,0))&gt;=100000), " ",IF(INDEX($AN$2:$BO$1001,MATCH(ROWS($AG$2:AG549),$AG$2:$AG$1001,0),MATCH(COLUMNS($AN$1006:AU1006),$AN$1006:$BO$1006,0)), HYPERLINK("#",""), HYPERLINK(CONCATENATE("#Metadata!", ADDRESS(INDEX($AI$2:$AI$1001,MATCH(ROWS($AG$2:AG549),$AG$2:$AG$1001,0),0), INDEX($AN$1004:$BO$1004,1,MATCH(COLUMNS($AN$1006:AU1006),$AN$1006:$BO$1006,0)))),"Fix")))</f>
        <v>0</v>
      </c>
      <c r="J549" s="4">
        <f>IF(OR(INDEX($AH$2:$AH$1001,MATCH(ROWS($AG$2:AG549),$AG$2:$AG$1001,0),1)&gt;=100000,INDEX($AN$1005:$BO$1005,1,MATCH(COLUMNS($AN$1006:AV1006),$AN$1006:$BO$1006,0))&gt;=100000), " ",IF(INDEX($AN$2:$BO$1001,MATCH(ROWS($AG$2:AG549),$AG$2:$AG$1001,0),MATCH(COLUMNS($AN$1006:AV1006),$AN$1006:$BO$1006,0)), HYPERLINK("#",""), HYPERLINK(CONCATENATE("#Metadata!", ADDRESS(INDEX($AI$2:$AI$1001,MATCH(ROWS($AG$2:AG549),$AG$2:$AG$1001,0),0), INDEX($AN$1004:$BO$1004,1,MATCH(COLUMNS($AN$1006:AV1006),$AN$1006:$BO$1006,0)))),"Fix")))</f>
        <v>0</v>
      </c>
      <c r="K549" s="4">
        <f>IF(OR(INDEX($AH$2:$AH$1001,MATCH(ROWS($AG$2:AG549),$AG$2:$AG$1001,0),1)&gt;=100000,INDEX($AN$1005:$BO$1005,1,MATCH(COLUMNS($AN$1006:AW1006),$AN$1006:$BO$1006,0))&gt;=100000), " ",IF(INDEX($AN$2:$BO$1001,MATCH(ROWS($AG$2:AG549),$AG$2:$AG$1001,0),MATCH(COLUMNS($AN$1006:AW1006),$AN$1006:$BO$1006,0)), HYPERLINK("#",""), HYPERLINK(CONCATENATE("#Metadata!", ADDRESS(INDEX($AI$2:$AI$1001,MATCH(ROWS($AG$2:AG549),$AG$2:$AG$1001,0),0), INDEX($AN$1004:$BO$1004,1,MATCH(COLUMNS($AN$1006:AW1006),$AN$1006:$BO$1006,0)))),"Fix")))</f>
        <v>0</v>
      </c>
      <c r="L549" s="4">
        <f>IF(OR(INDEX($AH$2:$AH$1001,MATCH(ROWS($AG$2:AG549),$AG$2:$AG$1001,0),1)&gt;=100000,INDEX($AN$1005:$BO$1005,1,MATCH(COLUMNS($AN$1006:AX1006),$AN$1006:$BO$1006,0))&gt;=100000), " ",IF(INDEX($AN$2:$BO$1001,MATCH(ROWS($AG$2:AG549),$AG$2:$AG$1001,0),MATCH(COLUMNS($AN$1006:AX1006),$AN$1006:$BO$1006,0)), HYPERLINK("#",""), HYPERLINK(CONCATENATE("#Metadata!", ADDRESS(INDEX($AI$2:$AI$1001,MATCH(ROWS($AG$2:AG549),$AG$2:$AG$1001,0),0), INDEX($AN$1004:$BO$1004,1,MATCH(COLUMNS($AN$1006:AX1006),$AN$1006:$BO$1006,0)))),"Fix")))</f>
        <v>0</v>
      </c>
      <c r="M549" s="4">
        <f>IF(OR(INDEX($AH$2:$AH$1001,MATCH(ROWS($AG$2:AG549),$AG$2:$AG$1001,0),1)&gt;=100000,INDEX($AN$1005:$BO$1005,1,MATCH(COLUMNS($AN$1006:AY1006),$AN$1006:$BO$1006,0))&gt;=100000), " ",IF(INDEX($AN$2:$BO$1001,MATCH(ROWS($AG$2:AG549),$AG$2:$AG$1001,0),MATCH(COLUMNS($AN$1006:AY1006),$AN$1006:$BO$1006,0)), HYPERLINK("#",""), HYPERLINK(CONCATENATE("#Metadata!", ADDRESS(INDEX($AI$2:$AI$1001,MATCH(ROWS($AG$2:AG549),$AG$2:$AG$1001,0),0), INDEX($AN$1004:$BO$1004,1,MATCH(COLUMNS($AN$1006:AY1006),$AN$1006:$BO$1006,0)))),"Fix")))</f>
        <v>0</v>
      </c>
      <c r="N549" s="4">
        <f>IF(OR(INDEX($AH$2:$AH$1001,MATCH(ROWS($AG$2:AG549),$AG$2:$AG$1001,0),1)&gt;=100000,INDEX($AN$1005:$BO$1005,1,MATCH(COLUMNS($AN$1006:AZ1006),$AN$1006:$BO$1006,0))&gt;=100000), " ",IF(INDEX($AN$2:$BO$1001,MATCH(ROWS($AG$2:AG549),$AG$2:$AG$1001,0),MATCH(COLUMNS($AN$1006:AZ1006),$AN$1006:$BO$1006,0)), HYPERLINK("#",""), HYPERLINK(CONCATENATE("#Metadata!", ADDRESS(INDEX($AI$2:$AI$1001,MATCH(ROWS($AG$2:AG549),$AG$2:$AG$1001,0),0), INDEX($AN$1004:$BO$1004,1,MATCH(COLUMNS($AN$1006:AZ1006),$AN$1006:$BO$1006,0)))),"Fix")))</f>
        <v>0</v>
      </c>
      <c r="O549" s="4">
        <f>IF(OR(INDEX($AH$2:$AH$1001,MATCH(ROWS($AG$2:AG549),$AG$2:$AG$1001,0),1)&gt;=100000,INDEX($AN$1005:$BO$1005,1,MATCH(COLUMNS($AN$1006:BA1006),$AN$1006:$BO$1006,0))&gt;=100000), " ",IF(INDEX($AN$2:$BO$1001,MATCH(ROWS($AG$2:AG549),$AG$2:$AG$1001,0),MATCH(COLUMNS($AN$1006:BA1006),$AN$1006:$BO$1006,0)), HYPERLINK("#",""), HYPERLINK(CONCATENATE("#Metadata!", ADDRESS(INDEX($AI$2:$AI$1001,MATCH(ROWS($AG$2:AG549),$AG$2:$AG$1001,0),0), INDEX($AN$1004:$BO$1004,1,MATCH(COLUMNS($AN$1006:BA1006),$AN$1006:$BO$1006,0)))),"Fix")))</f>
        <v>0</v>
      </c>
      <c r="P549" s="4">
        <f>IF(OR(INDEX($AH$2:$AH$1001,MATCH(ROWS($AG$2:AG549),$AG$2:$AG$1001,0),1)&gt;=100000,INDEX($AN$1005:$BO$1005,1,MATCH(COLUMNS($AN$1006:BB1006),$AN$1006:$BO$1006,0))&gt;=100000), " ",IF(INDEX($AN$2:$BO$1001,MATCH(ROWS($AG$2:AG549),$AG$2:$AG$1001,0),MATCH(COLUMNS($AN$1006:BB1006),$AN$1006:$BO$1006,0)), HYPERLINK("#",""), HYPERLINK(CONCATENATE("#Metadata!", ADDRESS(INDEX($AI$2:$AI$1001,MATCH(ROWS($AG$2:AG549),$AG$2:$AG$1001,0),0), INDEX($AN$1004:$BO$1004,1,MATCH(COLUMNS($AN$1006:BB1006),$AN$1006:$BO$1006,0)))),"Fix")))</f>
        <v>0</v>
      </c>
      <c r="Q549" s="4">
        <f>IF(OR(INDEX($AH$2:$AH$1001,MATCH(ROWS($AG$2:AG549),$AG$2:$AG$1001,0),1)&gt;=100000,INDEX($AN$1005:$BO$1005,1,MATCH(COLUMNS($AN$1006:BC1006),$AN$1006:$BO$1006,0))&gt;=100000), " ",IF(INDEX($AN$2:$BO$1001,MATCH(ROWS($AG$2:AG549),$AG$2:$AG$1001,0),MATCH(COLUMNS($AN$1006:BC1006),$AN$1006:$BO$1006,0)), HYPERLINK("#",""), HYPERLINK(CONCATENATE("#Metadata!", ADDRESS(INDEX($AI$2:$AI$1001,MATCH(ROWS($AG$2:AG549),$AG$2:$AG$1001,0),0), INDEX($AN$1004:$BO$1004,1,MATCH(COLUMNS($AN$1006:BC1006),$AN$1006:$BO$1006,0)))),"Fix")))</f>
        <v>0</v>
      </c>
      <c r="R549" s="4">
        <f>IF(OR(INDEX($AH$2:$AH$1001,MATCH(ROWS($AG$2:AG549),$AG$2:$AG$1001,0),1)&gt;=100000,INDEX($AN$1005:$BO$1005,1,MATCH(COLUMNS($AN$1006:BD1006),$AN$1006:$BO$1006,0))&gt;=100000), " ",IF(INDEX($AN$2:$BO$1001,MATCH(ROWS($AG$2:AG549),$AG$2:$AG$1001,0),MATCH(COLUMNS($AN$1006:BD1006),$AN$1006:$BO$1006,0)), HYPERLINK("#",""), HYPERLINK(CONCATENATE("#Metadata!", ADDRESS(INDEX($AI$2:$AI$1001,MATCH(ROWS($AG$2:AG549),$AG$2:$AG$1001,0),0), INDEX($AN$1004:$BO$1004,1,MATCH(COLUMNS($AN$1006:BD1006),$AN$1006:$BO$1006,0)))),"Fix")))</f>
        <v>0</v>
      </c>
      <c r="S549" s="4">
        <f>IF(OR(INDEX($AH$2:$AH$1001,MATCH(ROWS($AG$2:AG549),$AG$2:$AG$1001,0),1)&gt;=100000,INDEX($AN$1005:$BO$1005,1,MATCH(COLUMNS($AN$1006:BE1006),$AN$1006:$BO$1006,0))&gt;=100000), " ",IF(INDEX($AN$2:$BO$1001,MATCH(ROWS($AG$2:AG549),$AG$2:$AG$1001,0),MATCH(COLUMNS($AN$1006:BE1006),$AN$1006:$BO$1006,0)), HYPERLINK("#",""), HYPERLINK(CONCATENATE("#Metadata!", ADDRESS(INDEX($AI$2:$AI$1001,MATCH(ROWS($AG$2:AG549),$AG$2:$AG$1001,0),0), INDEX($AN$1004:$BO$1004,1,MATCH(COLUMNS($AN$1006:BE1006),$AN$1006:$BO$1006,0)))),"Fix")))</f>
        <v>0</v>
      </c>
      <c r="T549" s="4">
        <f>IF(OR(INDEX($AH$2:$AH$1001,MATCH(ROWS($AG$2:AG549),$AG$2:$AG$1001,0),1)&gt;=100000,INDEX($AN$1005:$BO$1005,1,MATCH(COLUMNS($AN$1006:BF1006),$AN$1006:$BO$1006,0))&gt;=100000), " ",IF(INDEX($AN$2:$BO$1001,MATCH(ROWS($AG$2:AG549),$AG$2:$AG$1001,0),MATCH(COLUMNS($AN$1006:BF1006),$AN$1006:$BO$1006,0)), HYPERLINK("#",""), HYPERLINK(CONCATENATE("#Metadata!", ADDRESS(INDEX($AI$2:$AI$1001,MATCH(ROWS($AG$2:AG549),$AG$2:$AG$1001,0),0), INDEX($AN$1004:$BO$1004,1,MATCH(COLUMNS($AN$1006:BF1006),$AN$1006:$BO$1006,0)))),"Fix")))</f>
        <v>0</v>
      </c>
      <c r="U549" s="4">
        <f>IF(OR(INDEX($AH$2:$AH$1001,MATCH(ROWS($AG$2:AG549),$AG$2:$AG$1001,0),1)&gt;=100000,INDEX($AN$1005:$BO$1005,1,MATCH(COLUMNS($AN$1006:BG1006),$AN$1006:$BO$1006,0))&gt;=100000), " ",IF(INDEX($AN$2:$BO$1001,MATCH(ROWS($AG$2:AG549),$AG$2:$AG$1001,0),MATCH(COLUMNS($AN$1006:BG1006),$AN$1006:$BO$1006,0)), HYPERLINK("#",""), HYPERLINK(CONCATENATE("#Metadata!", ADDRESS(INDEX($AI$2:$AI$1001,MATCH(ROWS($AG$2:AG549),$AG$2:$AG$1001,0),0), INDEX($AN$1004:$BO$1004,1,MATCH(COLUMNS($AN$1006:BG1006),$AN$1006:$BO$1006,0)))),"Fix")))</f>
        <v>0</v>
      </c>
      <c r="V549" s="4">
        <f>IF(OR(INDEX($AH$2:$AH$1001,MATCH(ROWS($AG$2:AG549),$AG$2:$AG$1001,0),1)&gt;=100000,INDEX($AN$1005:$BO$1005,1,MATCH(COLUMNS($AN$1006:BH1006),$AN$1006:$BO$1006,0))&gt;=100000), " ",IF(INDEX($AN$2:$BO$1001,MATCH(ROWS($AG$2:AG549),$AG$2:$AG$1001,0),MATCH(COLUMNS($AN$1006:BH1006),$AN$1006:$BO$1006,0)), HYPERLINK("#",""), HYPERLINK(CONCATENATE("#Metadata!", ADDRESS(INDEX($AI$2:$AI$1001,MATCH(ROWS($AG$2:AG549),$AG$2:$AG$1001,0),0), INDEX($AN$1004:$BO$1004,1,MATCH(COLUMNS($AN$1006:BH1006),$AN$1006:$BO$1006,0)))),"Fix")))</f>
        <v>0</v>
      </c>
      <c r="W549" s="4">
        <f>IF(OR(INDEX($AH$2:$AH$1001,MATCH(ROWS($AG$2:AG549),$AG$2:$AG$1001,0),1)&gt;=100000,INDEX($AN$1005:$BO$1005,1,MATCH(COLUMNS($AN$1006:BI1006),$AN$1006:$BO$1006,0))&gt;=100000), " ",IF(INDEX($AN$2:$BO$1001,MATCH(ROWS($AG$2:AG549),$AG$2:$AG$1001,0),MATCH(COLUMNS($AN$1006:BI1006),$AN$1006:$BO$1006,0)), HYPERLINK("#",""), HYPERLINK(CONCATENATE("#Metadata!", ADDRESS(INDEX($AI$2:$AI$1001,MATCH(ROWS($AG$2:AG549),$AG$2:$AG$1001,0),0), INDEX($AN$1004:$BO$1004,1,MATCH(COLUMNS($AN$1006:BI1006),$AN$1006:$BO$1006,0)))),"Fix")))</f>
        <v>0</v>
      </c>
      <c r="X549" s="4">
        <f>IF(OR(INDEX($AH$2:$AH$1001,MATCH(ROWS($AG$2:AG549),$AG$2:$AG$1001,0),1)&gt;=100000,INDEX($AN$1005:$BO$1005,1,MATCH(COLUMNS($AN$1006:BJ1006),$AN$1006:$BO$1006,0))&gt;=100000), " ",IF(INDEX($AN$2:$BO$1001,MATCH(ROWS($AG$2:AG549),$AG$2:$AG$1001,0),MATCH(COLUMNS($AN$1006:BJ1006),$AN$1006:$BO$1006,0)), HYPERLINK("#",""), HYPERLINK(CONCATENATE("#Metadata!", ADDRESS(INDEX($AI$2:$AI$1001,MATCH(ROWS($AG$2:AG549),$AG$2:$AG$1001,0),0), INDEX($AN$1004:$BO$1004,1,MATCH(COLUMNS($AN$1006:BJ1006),$AN$1006:$BO$1006,0)))),"Fix")))</f>
        <v>0</v>
      </c>
      <c r="Y549" s="4">
        <f>IF(OR(INDEX($AH$2:$AH$1001,MATCH(ROWS($AG$2:AG549),$AG$2:$AG$1001,0),1)&gt;=100000,INDEX($AN$1005:$BO$1005,1,MATCH(COLUMNS($AN$1006:BK1006),$AN$1006:$BO$1006,0))&gt;=100000), " ",IF(INDEX($AN$2:$BO$1001,MATCH(ROWS($AG$2:AG549),$AG$2:$AG$1001,0),MATCH(COLUMNS($AN$1006:BK1006),$AN$1006:$BO$1006,0)), HYPERLINK("#",""), HYPERLINK(CONCATENATE("#Metadata!", ADDRESS(INDEX($AI$2:$AI$1001,MATCH(ROWS($AG$2:AG549),$AG$2:$AG$1001,0),0), INDEX($AN$1004:$BO$1004,1,MATCH(COLUMNS($AN$1006:BK1006),$AN$1006:$BO$1006,0)))),"Fix")))</f>
        <v>0</v>
      </c>
      <c r="Z549" s="4">
        <f>IF(OR(INDEX($AH$2:$AH$1001,MATCH(ROWS($AG$2:AG549),$AG$2:$AG$1001,0),1)&gt;=100000,INDEX($AN$1005:$BO$1005,1,MATCH(COLUMNS($AN$1006:BL1006),$AN$1006:$BO$1006,0))&gt;=100000), " ",IF(INDEX($AN$2:$BO$1001,MATCH(ROWS($AG$2:AG549),$AG$2:$AG$1001,0),MATCH(COLUMNS($AN$1006:BL1006),$AN$1006:$BO$1006,0)), HYPERLINK("#",""), HYPERLINK(CONCATENATE("#Metadata!", ADDRESS(INDEX($AI$2:$AI$1001,MATCH(ROWS($AG$2:AG549),$AG$2:$AG$1001,0),0), INDEX($AN$1004:$BO$1004,1,MATCH(COLUMNS($AN$1006:BL1006),$AN$1006:$BO$1006,0)))),"Fix")))</f>
        <v>0</v>
      </c>
      <c r="AA549" s="4">
        <f>IF(OR(INDEX($AH$2:$AH$1001,MATCH(ROWS($AG$2:AG549),$AG$2:$AG$1001,0),1)&gt;=100000,INDEX($AN$1005:$BO$1005,1,MATCH(COLUMNS($AN$1006:BM1006),$AN$1006:$BO$1006,0))&gt;=100000), " ",IF(INDEX($AN$2:$BO$1001,MATCH(ROWS($AG$2:AG549),$AG$2:$AG$1001,0),MATCH(COLUMNS($AN$1006:BM1006),$AN$1006:$BO$1006,0)), HYPERLINK("#",""), HYPERLINK(CONCATENATE("#Metadata!", ADDRESS(INDEX($AI$2:$AI$1001,MATCH(ROWS($AG$2:AG549),$AG$2:$AG$1001,0),0), INDEX($AN$1004:$BO$1004,1,MATCH(COLUMNS($AN$1006:BM1006),$AN$1006:$BO$1006,0)))),"Fix")))</f>
        <v>0</v>
      </c>
      <c r="AB549" s="4">
        <f>IF(OR(INDEX($AH$2:$AH$1001,MATCH(ROWS($AG$2:AG549),$AG$2:$AG$1001,0),1)&gt;=100000,INDEX($AN$1005:$BO$1005,1,MATCH(COLUMNS($AN$1006:BN1006),$AN$1006:$BO$1006,0))&gt;=100000), " ",IF(INDEX($AN$2:$BO$1001,MATCH(ROWS($AG$2:AG549),$AG$2:$AG$1001,0),MATCH(COLUMNS($AN$1006:BN1006),$AN$1006:$BO$1006,0)), HYPERLINK("#",""), HYPERLINK(CONCATENATE("#Metadata!", ADDRESS(INDEX($AI$2:$AI$1001,MATCH(ROWS($AG$2:AG549),$AG$2:$AG$1001,0),0), INDEX($AN$1004:$BO$1004,1,MATCH(COLUMNS($AN$1006:BN1006),$AN$1006:$BO$1006,0)))),"Fix")))</f>
        <v>0</v>
      </c>
      <c r="AC549" s="4">
        <f>IF(OR(INDEX($AH$2:$AH$1001,MATCH(ROWS($AG$2:AG549),$AG$2:$AG$1001,0),1)&gt;=100000,INDEX($AN$1005:$BO$1005,1,MATCH(COLUMNS($AN$1006:BO1006),$AN$1006:$BO$1006,0))&gt;=100000), " ",IF(INDEX($AN$2:$BO$1001,MATCH(ROWS($AG$2:AG549),$AG$2:$AG$1001,0),MATCH(COLUMNS($AN$1006:BO1006),$AN$1006:$BO$1006,0)), HYPERLINK("#",""), HYPERLINK(CONCATENATE("#Metadata!", ADDRESS(INDEX($AI$2:$AI$1001,MATCH(ROWS($AG$2:AG549),$AG$2:$AG$1001,0),0), INDEX($AN$1004:$BO$1004,1,MATCH(COLUMNS($AN$1006:BO1006),$AN$1006:$BO$1006,0)))),"Fix")))</f>
        <v>0</v>
      </c>
      <c r="AG549">
        <v>0</v>
      </c>
      <c r="AH549">
        <v>0</v>
      </c>
      <c r="AI549">
        <v>0</v>
      </c>
      <c r="AJ549">
        <f>IF(AK549,TRUE,AND(AN549:BO549))</f>
        <v>0</v>
      </c>
      <c r="AK549">
        <f>COUNTBLANK(Metadata!B549:AC549)=COLUMNS(Metadata!B549:AC549)</f>
        <v>0</v>
      </c>
      <c r="AL549">
        <v>0</v>
      </c>
      <c r="AN549">
        <f>AND(IF(Metadata!B549="",FALSE,TRUE),COUNTIF(Metadata!B:B, Metadata!B549) = 1,NOT(ISERROR(SUMPRODUCT(SEARCH(MID(Metadata!B549,ROW(INDIRECT("1:"&amp;LEN(Metadata!B549))), 1),"0123456789abcdefghijklmnopqrstuvwxyzABCDEFGHIJKLMNOPQRSTUVWXYZ.")))))</f>
        <v>0</v>
      </c>
      <c r="AO549">
        <f>IF(Metadata!C549="",FALSE,TRUE)</f>
        <v>0</v>
      </c>
      <c r="AP549">
        <f>IF(Metadata!D549="",FALSE,TRUE)</f>
        <v>0</v>
      </c>
      <c r="AQ549">
        <f>OR(AND(IF(Metadata!E549="",FALSE,TRUE),OR(exact(Metadata!E549,"not collected"),exact(Metadata!E549,"not provided"),exact(Metadata!E549,"restricted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R549">
        <f>IF(Metadata!F549="",FALSE,TRUE)</f>
        <v>0</v>
      </c>
      <c r="AS549">
        <f>OR(AND(IF(Metadata!G549="",FALSE,TRUE),OR(exact(Metadata!G549,"not collected"),exact(Metadata!G549,"not provided"))),AND(IF(Metadata!G549="",FALSE,TRUE),OR(exact(Metadata!G549,"TRUE"),exact(Metadata!G549,"FALSE"))))</f>
        <v>0</v>
      </c>
      <c r="AT549">
        <f>OR(AND(IF(Metadata!H549="",FALSE,TRUE),OR(exact(Metadata!H549,"not collected"),exact(Metadata!H549,"not provided"),exact(Metadata!H549,"restricted access"))),AND(IF(Metadata!H549="",FALSE,ISNUMBER(VALUE(Metadata!H549))),Metadata!H549&gt;=-413.0))</f>
        <v>0</v>
      </c>
      <c r="AU549">
        <f>AND(IF(Metadata!I549="",FALSE,TRUE),exact(Metadata!I549,"meters"))</f>
        <v>0</v>
      </c>
      <c r="AV549">
        <f>AND(IF(Metadata!J549="",FALSE,TRUE),OR(exact(Metadata!J549,"Host-associated"),exact(Metadata!J549,"Free-living")))</f>
        <v>0</v>
      </c>
      <c r="AW549">
        <f>AND(IF(Metadata!K549="",FALSE,TRUE),OR(exact(Metadata!K549,"Animal"),exact(Metadata!K549,"Fungus"),exact(Metadata!K549,"Plant"),exact(Metadata!K549,"Saline"),exact(Metadata!K549,"Non-saline")))</f>
        <v>0</v>
      </c>
      <c r="AX549">
        <f>AND(IF(Metadata!L549="",FALSE,TRUE),OR(exact(Metadata!L549,"Plant secretion"),exact(Metadata!L549,"Plant rhizosphere"),exact(Metadata!L549,"Plant surface"),exact(Metadata!L549,"Plant corpus"),exact(Metadata!L549,"Fungus surface"),exact(Metadata!L549,"Fungus corpus"),exact(Metadata!L549,"Animal surface"),exact(Metadata!L549,"Animal proximal gut"),exact(Metadata!L549,"Animal corpus"),exact(Metadata!L549,"Animal distal gut"),exact(Metadata!L549,"Animal secretion"),exact(Metadata!L549,"Sub-surface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Y549">
        <f>IF(Metadata!M549="",FALSE,TRUE)</f>
        <v>0</v>
      </c>
      <c r="AZ549">
        <f>IF(Metadata!N549="",FALSE,TRUE)</f>
        <v>0</v>
      </c>
      <c r="BA549">
        <f>IF(Metadata!O549="",FALSE,TRUE)</f>
        <v>0</v>
      </c>
      <c r="BB549">
        <f>OR(AND(IF(Metadata!P549="",FALSE,TRUE),OR(exact(Metadata!P549,"not collected"),exact(Metadata!P549,"not provided"),exact(Metadata!P549,"restricted access"))),AND(IF(Metadata!P549="",FALSE,TRUE),OR(exact(Metadata!P549,"air"),exact(Metadata!P549,"built environment"),exact(Metadata!P549,"host-associated"),exact(Metadata!P549,"human-associated"),exact(Metadata!P549,"human-skin"),exact(Metadata!P549,"human-oral"),exact(Metadata!P549,"human-gut"),exact(Metadata!P549,"human-vaginal"),exact(Metadata!P549,"microbial mat/biofilm"),exact(Metadata!P549,"misc environment"),exact(Metadata!P549,"plant-associated"),exact(Metadata!P549,"sediment"),exact(Metadata!P549,"soil"),exact(Metadata!P549,"wastewater/sludge"),exact(Metadata!P549,"water"))))</f>
        <v>0</v>
      </c>
      <c r="BC549">
        <f>IF(Metadata!Q549="",FALSE,TRUE)</f>
        <v>0</v>
      </c>
      <c r="BD549">
        <f>IF(Metadata!R549="",FALSE,TRUE)</f>
        <v>0</v>
      </c>
      <c r="BE549">
        <f>OR(AND(IF(Metadata!S549="",FALSE,TRUE),OR(exact(Metadata!S549,"not collected"),exact(Metadata!S549,"not provided"),exact(Metadata!S549,"restricted access"))),AND(IF(Metadata!S549="",FALSE,ISNUMBER(VALUE(Metadata!S549))),Metadata!S549&gt;=-90.00,Metadata!S549&lt;=90.00))</f>
        <v>0</v>
      </c>
      <c r="BF549">
        <f>AND(IF(Metadata!T549="",FALSE,TRUE),exact(Metadata!T549,"Decimal degrees"))</f>
        <v>0</v>
      </c>
      <c r="BG549">
        <f>OR(AND(IF(Metadata!U549="",FALSE,TRUE),OR(exact(Metadata!U549,"not collected"),exact(Metadata!U549,"not provided"),exact(Metadata!U549,"restricted access"))),AND(IF(Metadata!U549="",FALSE,ISNUMBER(VALUE(Metadata!U549))),Metadata!U549&gt;=-180.00,Metadata!U549&lt;=180.00))</f>
        <v>0</v>
      </c>
      <c r="BH549">
        <f>AND(IF(Metadata!V549="",FALSE,TRUE),exact(Metadata!V549,"Decimal degrees"))</f>
        <v>0</v>
      </c>
      <c r="BI549">
        <f>IF(Metadata!W549="",FALSE,TRUE)</f>
        <v>0</v>
      </c>
      <c r="BJ549">
        <f>OR(AND(IF(Metadata!X549="",FALSE,TRUE),OR(exact(Metadata!X549,"not collected"),exact(Metadata!X549,"not provided"),exact(Metadata!X549,"restricted access"))),AND(IF(Metadata!X549="",FALSE,TRUE),OR(exact(Metadata!X549,"TRUE"),exact(Metadata!X549,"FALSE"))))</f>
        <v>0</v>
      </c>
      <c r="BK549">
        <f>AND(IF(Metadata!Y549="",FALSE,TRUE),exact(Metadata!Y549,"other"))</f>
        <v>0</v>
      </c>
      <c r="BL549">
        <f>IF(Metadata!Z549="",FALSE,TRUE)</f>
        <v>0</v>
      </c>
      <c r="BM549">
        <f>OR(AND(IF(Metadata!AA549="",FALSE,TRUE),OR(exact(Metadata!AA549,"not collected"),exact(Metadata!AA549,"not provided"))),AND(IF(Metadata!AA549="",FALSE,IF(ISERROR(INT(Metadata!AA549)),FALSE,INT(Metadata!AA549)=Metadata!AA549)),Metadata!AA549&gt;0))</f>
        <v>0</v>
      </c>
      <c r="BN549">
        <f>AND(IF(Metadata!AB549="",FALSE,TRUE),exact(Metadata!AB549,"Not applicable"))</f>
        <v>0</v>
      </c>
      <c r="BO549">
        <f>IF(Metadata!AC549="",FALSE,TRUE)</f>
        <v>0</v>
      </c>
    </row>
    <row r="550" spans="1:67">
      <c r="A550" s="5">
        <f>IF(B550=" "," ",HYPERLINK(CONCATENATE("#metadata!",ADDRESS(INDEX($AI$2:$AI$1001,MATCH(ROWS($AG$2:AG550),$AG$2:$AG$1001,0),0),1)),INDEX($AL$2:$AL$1001,MATCH(ROWS($AG$2:AG550),$AG$2:$AG$1001,0),0)))</f>
        <v>0</v>
      </c>
      <c r="B550" s="4">
        <f>IF(OR(INDEX($AH$2:$AH$1001,MATCH(ROWS($AG$2:AG550),$AG$2:$AG$1001,0),1)&gt;=100000,INDEX($AN$1005:$BO$1005,1,MATCH(COLUMNS($AN$1006:AN1006),$AN$1006:$BO$1006,0))&gt;=100000), " ",IF(INDEX($AN$2:$BO$1001,MATCH(ROWS($AG$2:AG550),$AG$2:$AG$1001,0),MATCH(COLUMNS($AN$1006:AN1006),$AN$1006:$BO$1006,0)), HYPERLINK("#",""), HYPERLINK(CONCATENATE("#Metadata!", ADDRESS(INDEX($AI$2:$AI$1001,MATCH(ROWS($AG$2:AG550),$AG$2:$AG$1001,0),0), INDEX($AN$1004:$BO$1004,1,MATCH(COLUMNS($AN$1006:AN1006),$AN$1006:$BO$1006,0)))),"Fix")))</f>
        <v>0</v>
      </c>
      <c r="C550" s="4">
        <f>IF(OR(INDEX($AH$2:$AH$1001,MATCH(ROWS($AG$2:AG550),$AG$2:$AG$1001,0),1)&gt;=100000,INDEX($AN$1005:$BO$1005,1,MATCH(COLUMNS($AN$1006:AO1006),$AN$1006:$BO$1006,0))&gt;=100000), " ",IF(INDEX($AN$2:$BO$1001,MATCH(ROWS($AG$2:AG550),$AG$2:$AG$1001,0),MATCH(COLUMNS($AN$1006:AO1006),$AN$1006:$BO$1006,0)), HYPERLINK("#",""), HYPERLINK(CONCATENATE("#Metadata!", ADDRESS(INDEX($AI$2:$AI$1001,MATCH(ROWS($AG$2:AG550),$AG$2:$AG$1001,0),0), INDEX($AN$1004:$BO$1004,1,MATCH(COLUMNS($AN$1006:AO1006),$AN$1006:$BO$1006,0)))),"Fix")))</f>
        <v>0</v>
      </c>
      <c r="D550" s="4">
        <f>IF(OR(INDEX($AH$2:$AH$1001,MATCH(ROWS($AG$2:AG550),$AG$2:$AG$1001,0),1)&gt;=100000,INDEX($AN$1005:$BO$1005,1,MATCH(COLUMNS($AN$1006:AP1006),$AN$1006:$BO$1006,0))&gt;=100000), " ",IF(INDEX($AN$2:$BO$1001,MATCH(ROWS($AG$2:AG550),$AG$2:$AG$1001,0),MATCH(COLUMNS($AN$1006:AP1006),$AN$1006:$BO$1006,0)), HYPERLINK("#",""), HYPERLINK(CONCATENATE("#Metadata!", ADDRESS(INDEX($AI$2:$AI$1001,MATCH(ROWS($AG$2:AG550),$AG$2:$AG$1001,0),0), INDEX($AN$1004:$BO$1004,1,MATCH(COLUMNS($AN$1006:AP1006),$AN$1006:$BO$1006,0)))),"Fix")))</f>
        <v>0</v>
      </c>
      <c r="E550" s="4">
        <f>IF(OR(INDEX($AH$2:$AH$1001,MATCH(ROWS($AG$2:AG550),$AG$2:$AG$1001,0),1)&gt;=100000,INDEX($AN$1005:$BO$1005,1,MATCH(COLUMNS($AN$1006:AQ1006),$AN$1006:$BO$1006,0))&gt;=100000), " ",IF(INDEX($AN$2:$BO$1001,MATCH(ROWS($AG$2:AG550),$AG$2:$AG$1001,0),MATCH(COLUMNS($AN$1006:AQ1006),$AN$1006:$BO$1006,0)), HYPERLINK("#",""), HYPERLINK(CONCATENATE("#Metadata!", ADDRESS(INDEX($AI$2:$AI$1001,MATCH(ROWS($AG$2:AG550),$AG$2:$AG$1001,0),0), INDEX($AN$1004:$BO$1004,1,MATCH(COLUMNS($AN$1006:AQ1006),$AN$1006:$BO$1006,0)))),"Fix")))</f>
        <v>0</v>
      </c>
      <c r="F550" s="4">
        <f>IF(OR(INDEX($AH$2:$AH$1001,MATCH(ROWS($AG$2:AG550),$AG$2:$AG$1001,0),1)&gt;=100000,INDEX($AN$1005:$BO$1005,1,MATCH(COLUMNS($AN$1006:AR1006),$AN$1006:$BO$1006,0))&gt;=100000), " ",IF(INDEX($AN$2:$BO$1001,MATCH(ROWS($AG$2:AG550),$AG$2:$AG$1001,0),MATCH(COLUMNS($AN$1006:AR1006),$AN$1006:$BO$1006,0)), HYPERLINK("#",""), HYPERLINK(CONCATENATE("#Metadata!", ADDRESS(INDEX($AI$2:$AI$1001,MATCH(ROWS($AG$2:AG550),$AG$2:$AG$1001,0),0), INDEX($AN$1004:$BO$1004,1,MATCH(COLUMNS($AN$1006:AR1006),$AN$1006:$BO$1006,0)))),"Fix")))</f>
        <v>0</v>
      </c>
      <c r="G550" s="4">
        <f>IF(OR(INDEX($AH$2:$AH$1001,MATCH(ROWS($AG$2:AG550),$AG$2:$AG$1001,0),1)&gt;=100000,INDEX($AN$1005:$BO$1005,1,MATCH(COLUMNS($AN$1006:AS1006),$AN$1006:$BO$1006,0))&gt;=100000), " ",IF(INDEX($AN$2:$BO$1001,MATCH(ROWS($AG$2:AG550),$AG$2:$AG$1001,0),MATCH(COLUMNS($AN$1006:AS1006),$AN$1006:$BO$1006,0)), HYPERLINK("#",""), HYPERLINK(CONCATENATE("#Metadata!", ADDRESS(INDEX($AI$2:$AI$1001,MATCH(ROWS($AG$2:AG550),$AG$2:$AG$1001,0),0), INDEX($AN$1004:$BO$1004,1,MATCH(COLUMNS($AN$1006:AS1006),$AN$1006:$BO$1006,0)))),"Fix")))</f>
        <v>0</v>
      </c>
      <c r="H550" s="4">
        <f>IF(OR(INDEX($AH$2:$AH$1001,MATCH(ROWS($AG$2:AG550),$AG$2:$AG$1001,0),1)&gt;=100000,INDEX($AN$1005:$BO$1005,1,MATCH(COLUMNS($AN$1006:AT1006),$AN$1006:$BO$1006,0))&gt;=100000), " ",IF(INDEX($AN$2:$BO$1001,MATCH(ROWS($AG$2:AG550),$AG$2:$AG$1001,0),MATCH(COLUMNS($AN$1006:AT1006),$AN$1006:$BO$1006,0)), HYPERLINK("#",""), HYPERLINK(CONCATENATE("#Metadata!", ADDRESS(INDEX($AI$2:$AI$1001,MATCH(ROWS($AG$2:AG550),$AG$2:$AG$1001,0),0), INDEX($AN$1004:$BO$1004,1,MATCH(COLUMNS($AN$1006:AT1006),$AN$1006:$BO$1006,0)))),"Fix")))</f>
        <v>0</v>
      </c>
      <c r="I550" s="4">
        <f>IF(OR(INDEX($AH$2:$AH$1001,MATCH(ROWS($AG$2:AG550),$AG$2:$AG$1001,0),1)&gt;=100000,INDEX($AN$1005:$BO$1005,1,MATCH(COLUMNS($AN$1006:AU1006),$AN$1006:$BO$1006,0))&gt;=100000), " ",IF(INDEX($AN$2:$BO$1001,MATCH(ROWS($AG$2:AG550),$AG$2:$AG$1001,0),MATCH(COLUMNS($AN$1006:AU1006),$AN$1006:$BO$1006,0)), HYPERLINK("#",""), HYPERLINK(CONCATENATE("#Metadata!", ADDRESS(INDEX($AI$2:$AI$1001,MATCH(ROWS($AG$2:AG550),$AG$2:$AG$1001,0),0), INDEX($AN$1004:$BO$1004,1,MATCH(COLUMNS($AN$1006:AU1006),$AN$1006:$BO$1006,0)))),"Fix")))</f>
        <v>0</v>
      </c>
      <c r="J550" s="4">
        <f>IF(OR(INDEX($AH$2:$AH$1001,MATCH(ROWS($AG$2:AG550),$AG$2:$AG$1001,0),1)&gt;=100000,INDEX($AN$1005:$BO$1005,1,MATCH(COLUMNS($AN$1006:AV1006),$AN$1006:$BO$1006,0))&gt;=100000), " ",IF(INDEX($AN$2:$BO$1001,MATCH(ROWS($AG$2:AG550),$AG$2:$AG$1001,0),MATCH(COLUMNS($AN$1006:AV1006),$AN$1006:$BO$1006,0)), HYPERLINK("#",""), HYPERLINK(CONCATENATE("#Metadata!", ADDRESS(INDEX($AI$2:$AI$1001,MATCH(ROWS($AG$2:AG550),$AG$2:$AG$1001,0),0), INDEX($AN$1004:$BO$1004,1,MATCH(COLUMNS($AN$1006:AV1006),$AN$1006:$BO$1006,0)))),"Fix")))</f>
        <v>0</v>
      </c>
      <c r="K550" s="4">
        <f>IF(OR(INDEX($AH$2:$AH$1001,MATCH(ROWS($AG$2:AG550),$AG$2:$AG$1001,0),1)&gt;=100000,INDEX($AN$1005:$BO$1005,1,MATCH(COLUMNS($AN$1006:AW1006),$AN$1006:$BO$1006,0))&gt;=100000), " ",IF(INDEX($AN$2:$BO$1001,MATCH(ROWS($AG$2:AG550),$AG$2:$AG$1001,0),MATCH(COLUMNS($AN$1006:AW1006),$AN$1006:$BO$1006,0)), HYPERLINK("#",""), HYPERLINK(CONCATENATE("#Metadata!", ADDRESS(INDEX($AI$2:$AI$1001,MATCH(ROWS($AG$2:AG550),$AG$2:$AG$1001,0),0), INDEX($AN$1004:$BO$1004,1,MATCH(COLUMNS($AN$1006:AW1006),$AN$1006:$BO$1006,0)))),"Fix")))</f>
        <v>0</v>
      </c>
      <c r="L550" s="4">
        <f>IF(OR(INDEX($AH$2:$AH$1001,MATCH(ROWS($AG$2:AG550),$AG$2:$AG$1001,0),1)&gt;=100000,INDEX($AN$1005:$BO$1005,1,MATCH(COLUMNS($AN$1006:AX1006),$AN$1006:$BO$1006,0))&gt;=100000), " ",IF(INDEX($AN$2:$BO$1001,MATCH(ROWS($AG$2:AG550),$AG$2:$AG$1001,0),MATCH(COLUMNS($AN$1006:AX1006),$AN$1006:$BO$1006,0)), HYPERLINK("#",""), HYPERLINK(CONCATENATE("#Metadata!", ADDRESS(INDEX($AI$2:$AI$1001,MATCH(ROWS($AG$2:AG550),$AG$2:$AG$1001,0),0), INDEX($AN$1004:$BO$1004,1,MATCH(COLUMNS($AN$1006:AX1006),$AN$1006:$BO$1006,0)))),"Fix")))</f>
        <v>0</v>
      </c>
      <c r="M550" s="4">
        <f>IF(OR(INDEX($AH$2:$AH$1001,MATCH(ROWS($AG$2:AG550),$AG$2:$AG$1001,0),1)&gt;=100000,INDEX($AN$1005:$BO$1005,1,MATCH(COLUMNS($AN$1006:AY1006),$AN$1006:$BO$1006,0))&gt;=100000), " ",IF(INDEX($AN$2:$BO$1001,MATCH(ROWS($AG$2:AG550),$AG$2:$AG$1001,0),MATCH(COLUMNS($AN$1006:AY1006),$AN$1006:$BO$1006,0)), HYPERLINK("#",""), HYPERLINK(CONCATENATE("#Metadata!", ADDRESS(INDEX($AI$2:$AI$1001,MATCH(ROWS($AG$2:AG550),$AG$2:$AG$1001,0),0), INDEX($AN$1004:$BO$1004,1,MATCH(COLUMNS($AN$1006:AY1006),$AN$1006:$BO$1006,0)))),"Fix")))</f>
        <v>0</v>
      </c>
      <c r="N550" s="4">
        <f>IF(OR(INDEX($AH$2:$AH$1001,MATCH(ROWS($AG$2:AG550),$AG$2:$AG$1001,0),1)&gt;=100000,INDEX($AN$1005:$BO$1005,1,MATCH(COLUMNS($AN$1006:AZ1006),$AN$1006:$BO$1006,0))&gt;=100000), " ",IF(INDEX($AN$2:$BO$1001,MATCH(ROWS($AG$2:AG550),$AG$2:$AG$1001,0),MATCH(COLUMNS($AN$1006:AZ1006),$AN$1006:$BO$1006,0)), HYPERLINK("#",""), HYPERLINK(CONCATENATE("#Metadata!", ADDRESS(INDEX($AI$2:$AI$1001,MATCH(ROWS($AG$2:AG550),$AG$2:$AG$1001,0),0), INDEX($AN$1004:$BO$1004,1,MATCH(COLUMNS($AN$1006:AZ1006),$AN$1006:$BO$1006,0)))),"Fix")))</f>
        <v>0</v>
      </c>
      <c r="O550" s="4">
        <f>IF(OR(INDEX($AH$2:$AH$1001,MATCH(ROWS($AG$2:AG550),$AG$2:$AG$1001,0),1)&gt;=100000,INDEX($AN$1005:$BO$1005,1,MATCH(COLUMNS($AN$1006:BA1006),$AN$1006:$BO$1006,0))&gt;=100000), " ",IF(INDEX($AN$2:$BO$1001,MATCH(ROWS($AG$2:AG550),$AG$2:$AG$1001,0),MATCH(COLUMNS($AN$1006:BA1006),$AN$1006:$BO$1006,0)), HYPERLINK("#",""), HYPERLINK(CONCATENATE("#Metadata!", ADDRESS(INDEX($AI$2:$AI$1001,MATCH(ROWS($AG$2:AG550),$AG$2:$AG$1001,0),0), INDEX($AN$1004:$BO$1004,1,MATCH(COLUMNS($AN$1006:BA1006),$AN$1006:$BO$1006,0)))),"Fix")))</f>
        <v>0</v>
      </c>
      <c r="P550" s="4">
        <f>IF(OR(INDEX($AH$2:$AH$1001,MATCH(ROWS($AG$2:AG550),$AG$2:$AG$1001,0),1)&gt;=100000,INDEX($AN$1005:$BO$1005,1,MATCH(COLUMNS($AN$1006:BB1006),$AN$1006:$BO$1006,0))&gt;=100000), " ",IF(INDEX($AN$2:$BO$1001,MATCH(ROWS($AG$2:AG550),$AG$2:$AG$1001,0),MATCH(COLUMNS($AN$1006:BB1006),$AN$1006:$BO$1006,0)), HYPERLINK("#",""), HYPERLINK(CONCATENATE("#Metadata!", ADDRESS(INDEX($AI$2:$AI$1001,MATCH(ROWS($AG$2:AG550),$AG$2:$AG$1001,0),0), INDEX($AN$1004:$BO$1004,1,MATCH(COLUMNS($AN$1006:BB1006),$AN$1006:$BO$1006,0)))),"Fix")))</f>
        <v>0</v>
      </c>
      <c r="Q550" s="4">
        <f>IF(OR(INDEX($AH$2:$AH$1001,MATCH(ROWS($AG$2:AG550),$AG$2:$AG$1001,0),1)&gt;=100000,INDEX($AN$1005:$BO$1005,1,MATCH(COLUMNS($AN$1006:BC1006),$AN$1006:$BO$1006,0))&gt;=100000), " ",IF(INDEX($AN$2:$BO$1001,MATCH(ROWS($AG$2:AG550),$AG$2:$AG$1001,0),MATCH(COLUMNS($AN$1006:BC1006),$AN$1006:$BO$1006,0)), HYPERLINK("#",""), HYPERLINK(CONCATENATE("#Metadata!", ADDRESS(INDEX($AI$2:$AI$1001,MATCH(ROWS($AG$2:AG550),$AG$2:$AG$1001,0),0), INDEX($AN$1004:$BO$1004,1,MATCH(COLUMNS($AN$1006:BC1006),$AN$1006:$BO$1006,0)))),"Fix")))</f>
        <v>0</v>
      </c>
      <c r="R550" s="4">
        <f>IF(OR(INDEX($AH$2:$AH$1001,MATCH(ROWS($AG$2:AG550),$AG$2:$AG$1001,0),1)&gt;=100000,INDEX($AN$1005:$BO$1005,1,MATCH(COLUMNS($AN$1006:BD1006),$AN$1006:$BO$1006,0))&gt;=100000), " ",IF(INDEX($AN$2:$BO$1001,MATCH(ROWS($AG$2:AG550),$AG$2:$AG$1001,0),MATCH(COLUMNS($AN$1006:BD1006),$AN$1006:$BO$1006,0)), HYPERLINK("#",""), HYPERLINK(CONCATENATE("#Metadata!", ADDRESS(INDEX($AI$2:$AI$1001,MATCH(ROWS($AG$2:AG550),$AG$2:$AG$1001,0),0), INDEX($AN$1004:$BO$1004,1,MATCH(COLUMNS($AN$1006:BD1006),$AN$1006:$BO$1006,0)))),"Fix")))</f>
        <v>0</v>
      </c>
      <c r="S550" s="4">
        <f>IF(OR(INDEX($AH$2:$AH$1001,MATCH(ROWS($AG$2:AG550),$AG$2:$AG$1001,0),1)&gt;=100000,INDEX($AN$1005:$BO$1005,1,MATCH(COLUMNS($AN$1006:BE1006),$AN$1006:$BO$1006,0))&gt;=100000), " ",IF(INDEX($AN$2:$BO$1001,MATCH(ROWS($AG$2:AG550),$AG$2:$AG$1001,0),MATCH(COLUMNS($AN$1006:BE1006),$AN$1006:$BO$1006,0)), HYPERLINK("#",""), HYPERLINK(CONCATENATE("#Metadata!", ADDRESS(INDEX($AI$2:$AI$1001,MATCH(ROWS($AG$2:AG550),$AG$2:$AG$1001,0),0), INDEX($AN$1004:$BO$1004,1,MATCH(COLUMNS($AN$1006:BE1006),$AN$1006:$BO$1006,0)))),"Fix")))</f>
        <v>0</v>
      </c>
      <c r="T550" s="4">
        <f>IF(OR(INDEX($AH$2:$AH$1001,MATCH(ROWS($AG$2:AG550),$AG$2:$AG$1001,0),1)&gt;=100000,INDEX($AN$1005:$BO$1005,1,MATCH(COLUMNS($AN$1006:BF1006),$AN$1006:$BO$1006,0))&gt;=100000), " ",IF(INDEX($AN$2:$BO$1001,MATCH(ROWS($AG$2:AG550),$AG$2:$AG$1001,0),MATCH(COLUMNS($AN$1006:BF1006),$AN$1006:$BO$1006,0)), HYPERLINK("#",""), HYPERLINK(CONCATENATE("#Metadata!", ADDRESS(INDEX($AI$2:$AI$1001,MATCH(ROWS($AG$2:AG550),$AG$2:$AG$1001,0),0), INDEX($AN$1004:$BO$1004,1,MATCH(COLUMNS($AN$1006:BF1006),$AN$1006:$BO$1006,0)))),"Fix")))</f>
        <v>0</v>
      </c>
      <c r="U550" s="4">
        <f>IF(OR(INDEX($AH$2:$AH$1001,MATCH(ROWS($AG$2:AG550),$AG$2:$AG$1001,0),1)&gt;=100000,INDEX($AN$1005:$BO$1005,1,MATCH(COLUMNS($AN$1006:BG1006),$AN$1006:$BO$1006,0))&gt;=100000), " ",IF(INDEX($AN$2:$BO$1001,MATCH(ROWS($AG$2:AG550),$AG$2:$AG$1001,0),MATCH(COLUMNS($AN$1006:BG1006),$AN$1006:$BO$1006,0)), HYPERLINK("#",""), HYPERLINK(CONCATENATE("#Metadata!", ADDRESS(INDEX($AI$2:$AI$1001,MATCH(ROWS($AG$2:AG550),$AG$2:$AG$1001,0),0), INDEX($AN$1004:$BO$1004,1,MATCH(COLUMNS($AN$1006:BG1006),$AN$1006:$BO$1006,0)))),"Fix")))</f>
        <v>0</v>
      </c>
      <c r="V550" s="4">
        <f>IF(OR(INDEX($AH$2:$AH$1001,MATCH(ROWS($AG$2:AG550),$AG$2:$AG$1001,0),1)&gt;=100000,INDEX($AN$1005:$BO$1005,1,MATCH(COLUMNS($AN$1006:BH1006),$AN$1006:$BO$1006,0))&gt;=100000), " ",IF(INDEX($AN$2:$BO$1001,MATCH(ROWS($AG$2:AG550),$AG$2:$AG$1001,0),MATCH(COLUMNS($AN$1006:BH1006),$AN$1006:$BO$1006,0)), HYPERLINK("#",""), HYPERLINK(CONCATENATE("#Metadata!", ADDRESS(INDEX($AI$2:$AI$1001,MATCH(ROWS($AG$2:AG550),$AG$2:$AG$1001,0),0), INDEX($AN$1004:$BO$1004,1,MATCH(COLUMNS($AN$1006:BH1006),$AN$1006:$BO$1006,0)))),"Fix")))</f>
        <v>0</v>
      </c>
      <c r="W550" s="4">
        <f>IF(OR(INDEX($AH$2:$AH$1001,MATCH(ROWS($AG$2:AG550),$AG$2:$AG$1001,0),1)&gt;=100000,INDEX($AN$1005:$BO$1005,1,MATCH(COLUMNS($AN$1006:BI1006),$AN$1006:$BO$1006,0))&gt;=100000), " ",IF(INDEX($AN$2:$BO$1001,MATCH(ROWS($AG$2:AG550),$AG$2:$AG$1001,0),MATCH(COLUMNS($AN$1006:BI1006),$AN$1006:$BO$1006,0)), HYPERLINK("#",""), HYPERLINK(CONCATENATE("#Metadata!", ADDRESS(INDEX($AI$2:$AI$1001,MATCH(ROWS($AG$2:AG550),$AG$2:$AG$1001,0),0), INDEX($AN$1004:$BO$1004,1,MATCH(COLUMNS($AN$1006:BI1006),$AN$1006:$BO$1006,0)))),"Fix")))</f>
        <v>0</v>
      </c>
      <c r="X550" s="4">
        <f>IF(OR(INDEX($AH$2:$AH$1001,MATCH(ROWS($AG$2:AG550),$AG$2:$AG$1001,0),1)&gt;=100000,INDEX($AN$1005:$BO$1005,1,MATCH(COLUMNS($AN$1006:BJ1006),$AN$1006:$BO$1006,0))&gt;=100000), " ",IF(INDEX($AN$2:$BO$1001,MATCH(ROWS($AG$2:AG550),$AG$2:$AG$1001,0),MATCH(COLUMNS($AN$1006:BJ1006),$AN$1006:$BO$1006,0)), HYPERLINK("#",""), HYPERLINK(CONCATENATE("#Metadata!", ADDRESS(INDEX($AI$2:$AI$1001,MATCH(ROWS($AG$2:AG550),$AG$2:$AG$1001,0),0), INDEX($AN$1004:$BO$1004,1,MATCH(COLUMNS($AN$1006:BJ1006),$AN$1006:$BO$1006,0)))),"Fix")))</f>
        <v>0</v>
      </c>
      <c r="Y550" s="4">
        <f>IF(OR(INDEX($AH$2:$AH$1001,MATCH(ROWS($AG$2:AG550),$AG$2:$AG$1001,0),1)&gt;=100000,INDEX($AN$1005:$BO$1005,1,MATCH(COLUMNS($AN$1006:BK1006),$AN$1006:$BO$1006,0))&gt;=100000), " ",IF(INDEX($AN$2:$BO$1001,MATCH(ROWS($AG$2:AG550),$AG$2:$AG$1001,0),MATCH(COLUMNS($AN$1006:BK1006),$AN$1006:$BO$1006,0)), HYPERLINK("#",""), HYPERLINK(CONCATENATE("#Metadata!", ADDRESS(INDEX($AI$2:$AI$1001,MATCH(ROWS($AG$2:AG550),$AG$2:$AG$1001,0),0), INDEX($AN$1004:$BO$1004,1,MATCH(COLUMNS($AN$1006:BK1006),$AN$1006:$BO$1006,0)))),"Fix")))</f>
        <v>0</v>
      </c>
      <c r="Z550" s="4">
        <f>IF(OR(INDEX($AH$2:$AH$1001,MATCH(ROWS($AG$2:AG550),$AG$2:$AG$1001,0),1)&gt;=100000,INDEX($AN$1005:$BO$1005,1,MATCH(COLUMNS($AN$1006:BL1006),$AN$1006:$BO$1006,0))&gt;=100000), " ",IF(INDEX($AN$2:$BO$1001,MATCH(ROWS($AG$2:AG550),$AG$2:$AG$1001,0),MATCH(COLUMNS($AN$1006:BL1006),$AN$1006:$BO$1006,0)), HYPERLINK("#",""), HYPERLINK(CONCATENATE("#Metadata!", ADDRESS(INDEX($AI$2:$AI$1001,MATCH(ROWS($AG$2:AG550),$AG$2:$AG$1001,0),0), INDEX($AN$1004:$BO$1004,1,MATCH(COLUMNS($AN$1006:BL1006),$AN$1006:$BO$1006,0)))),"Fix")))</f>
        <v>0</v>
      </c>
      <c r="AA550" s="4">
        <f>IF(OR(INDEX($AH$2:$AH$1001,MATCH(ROWS($AG$2:AG550),$AG$2:$AG$1001,0),1)&gt;=100000,INDEX($AN$1005:$BO$1005,1,MATCH(COLUMNS($AN$1006:BM1006),$AN$1006:$BO$1006,0))&gt;=100000), " ",IF(INDEX($AN$2:$BO$1001,MATCH(ROWS($AG$2:AG550),$AG$2:$AG$1001,0),MATCH(COLUMNS($AN$1006:BM1006),$AN$1006:$BO$1006,0)), HYPERLINK("#",""), HYPERLINK(CONCATENATE("#Metadata!", ADDRESS(INDEX($AI$2:$AI$1001,MATCH(ROWS($AG$2:AG550),$AG$2:$AG$1001,0),0), INDEX($AN$1004:$BO$1004,1,MATCH(COLUMNS($AN$1006:BM1006),$AN$1006:$BO$1006,0)))),"Fix")))</f>
        <v>0</v>
      </c>
      <c r="AB550" s="4">
        <f>IF(OR(INDEX($AH$2:$AH$1001,MATCH(ROWS($AG$2:AG550),$AG$2:$AG$1001,0),1)&gt;=100000,INDEX($AN$1005:$BO$1005,1,MATCH(COLUMNS($AN$1006:BN1006),$AN$1006:$BO$1006,0))&gt;=100000), " ",IF(INDEX($AN$2:$BO$1001,MATCH(ROWS($AG$2:AG550),$AG$2:$AG$1001,0),MATCH(COLUMNS($AN$1006:BN1006),$AN$1006:$BO$1006,0)), HYPERLINK("#",""), HYPERLINK(CONCATENATE("#Metadata!", ADDRESS(INDEX($AI$2:$AI$1001,MATCH(ROWS($AG$2:AG550),$AG$2:$AG$1001,0),0), INDEX($AN$1004:$BO$1004,1,MATCH(COLUMNS($AN$1006:BN1006),$AN$1006:$BO$1006,0)))),"Fix")))</f>
        <v>0</v>
      </c>
      <c r="AC550" s="4">
        <f>IF(OR(INDEX($AH$2:$AH$1001,MATCH(ROWS($AG$2:AG550),$AG$2:$AG$1001,0),1)&gt;=100000,INDEX($AN$1005:$BO$1005,1,MATCH(COLUMNS($AN$1006:BO1006),$AN$1006:$BO$1006,0))&gt;=100000), " ",IF(INDEX($AN$2:$BO$1001,MATCH(ROWS($AG$2:AG550),$AG$2:$AG$1001,0),MATCH(COLUMNS($AN$1006:BO1006),$AN$1006:$BO$1006,0)), HYPERLINK("#",""), HYPERLINK(CONCATENATE("#Metadata!", ADDRESS(INDEX($AI$2:$AI$1001,MATCH(ROWS($AG$2:AG550),$AG$2:$AG$1001,0),0), INDEX($AN$1004:$BO$1004,1,MATCH(COLUMNS($AN$1006:BO1006),$AN$1006:$BO$1006,0)))),"Fix")))</f>
        <v>0</v>
      </c>
      <c r="AG550">
        <v>0</v>
      </c>
      <c r="AH550">
        <v>0</v>
      </c>
      <c r="AI550">
        <v>0</v>
      </c>
      <c r="AJ550">
        <f>IF(AK550,TRUE,AND(AN550:BO550))</f>
        <v>0</v>
      </c>
      <c r="AK550">
        <f>COUNTBLANK(Metadata!B550:AC550)=COLUMNS(Metadata!B550:AC550)</f>
        <v>0</v>
      </c>
      <c r="AL550">
        <v>0</v>
      </c>
      <c r="AN550">
        <f>AND(IF(Metadata!B550="",FALSE,TRUE),COUNTIF(Metadata!B:B, Metadata!B550) = 1,NOT(ISERROR(SUMPRODUCT(SEARCH(MID(Metadata!B550,ROW(INDIRECT("1:"&amp;LEN(Metadata!B550))), 1),"0123456789abcdefghijklmnopqrstuvwxyzABCDEFGHIJKLMNOPQRSTUVWXYZ.")))))</f>
        <v>0</v>
      </c>
      <c r="AO550">
        <f>IF(Metadata!C550="",FALSE,TRUE)</f>
        <v>0</v>
      </c>
      <c r="AP550">
        <f>IF(Metadata!D550="",FALSE,TRUE)</f>
        <v>0</v>
      </c>
      <c r="AQ550">
        <f>OR(AND(IF(Metadata!E550="",FALSE,TRUE),OR(exact(Metadata!E550,"not collected"),exact(Metadata!E550,"not provided"),exact(Metadata!E550,"restricted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R550">
        <f>IF(Metadata!F550="",FALSE,TRUE)</f>
        <v>0</v>
      </c>
      <c r="AS550">
        <f>OR(AND(IF(Metadata!G550="",FALSE,TRUE),OR(exact(Metadata!G550,"not collected"),exact(Metadata!G550,"not provided"))),AND(IF(Metadata!G550="",FALSE,TRUE),OR(exact(Metadata!G550,"TRUE"),exact(Metadata!G550,"FALSE"))))</f>
        <v>0</v>
      </c>
      <c r="AT550">
        <f>OR(AND(IF(Metadata!H550="",FALSE,TRUE),OR(exact(Metadata!H550,"not collected"),exact(Metadata!H550,"not provided"),exact(Metadata!H550,"restricted access"))),AND(IF(Metadata!H550="",FALSE,ISNUMBER(VALUE(Metadata!H550))),Metadata!H550&gt;=-413.0))</f>
        <v>0</v>
      </c>
      <c r="AU550">
        <f>AND(IF(Metadata!I550="",FALSE,TRUE),exact(Metadata!I550,"meters"))</f>
        <v>0</v>
      </c>
      <c r="AV550">
        <f>AND(IF(Metadata!J550="",FALSE,TRUE),OR(exact(Metadata!J550,"Host-associated"),exact(Metadata!J550,"Free-living")))</f>
        <v>0</v>
      </c>
      <c r="AW550">
        <f>AND(IF(Metadata!K550="",FALSE,TRUE),OR(exact(Metadata!K550,"Animal"),exact(Metadata!K550,"Fungus"),exact(Metadata!K550,"Plant"),exact(Metadata!K550,"Saline"),exact(Metadata!K550,"Non-saline")))</f>
        <v>0</v>
      </c>
      <c r="AX550">
        <f>AND(IF(Metadata!L550="",FALSE,TRUE),OR(exact(Metadata!L550,"Plant secretion"),exact(Metadata!L550,"Plant rhizosphere"),exact(Metadata!L550,"Plant surface"),exact(Metadata!L550,"Plant corpus"),exact(Metadata!L550,"Fungus surface"),exact(Metadata!L550,"Fungus corpus"),exact(Metadata!L550,"Animal surface"),exact(Metadata!L550,"Animal proximal gut"),exact(Metadata!L550,"Animal corpus"),exact(Metadata!L550,"Animal distal gut"),exact(Metadata!L550,"Animal secretion"),exact(Metadata!L550,"Sub-surface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Y550">
        <f>IF(Metadata!M550="",FALSE,TRUE)</f>
        <v>0</v>
      </c>
      <c r="AZ550">
        <f>IF(Metadata!N550="",FALSE,TRUE)</f>
        <v>0</v>
      </c>
      <c r="BA550">
        <f>IF(Metadata!O550="",FALSE,TRUE)</f>
        <v>0</v>
      </c>
      <c r="BB550">
        <f>OR(AND(IF(Metadata!P550="",FALSE,TRUE),OR(exact(Metadata!P550,"not collected"),exact(Metadata!P550,"not provided"),exact(Metadata!P550,"restricted access"))),AND(IF(Metadata!P550="",FALSE,TRUE),OR(exact(Metadata!P550,"air"),exact(Metadata!P550,"built environment"),exact(Metadata!P550,"host-associated"),exact(Metadata!P550,"human-associated"),exact(Metadata!P550,"human-skin"),exact(Metadata!P550,"human-oral"),exact(Metadata!P550,"human-gut"),exact(Metadata!P550,"human-vaginal"),exact(Metadata!P550,"microbial mat/biofilm"),exact(Metadata!P550,"misc environment"),exact(Metadata!P550,"plant-associated"),exact(Metadata!P550,"sediment"),exact(Metadata!P550,"soil"),exact(Metadata!P550,"wastewater/sludge"),exact(Metadata!P550,"water"))))</f>
        <v>0</v>
      </c>
      <c r="BC550">
        <f>IF(Metadata!Q550="",FALSE,TRUE)</f>
        <v>0</v>
      </c>
      <c r="BD550">
        <f>IF(Metadata!R550="",FALSE,TRUE)</f>
        <v>0</v>
      </c>
      <c r="BE550">
        <f>OR(AND(IF(Metadata!S550="",FALSE,TRUE),OR(exact(Metadata!S550,"not collected"),exact(Metadata!S550,"not provided"),exact(Metadata!S550,"restricted access"))),AND(IF(Metadata!S550="",FALSE,ISNUMBER(VALUE(Metadata!S550))),Metadata!S550&gt;=-90.00,Metadata!S550&lt;=90.00))</f>
        <v>0</v>
      </c>
      <c r="BF550">
        <f>AND(IF(Metadata!T550="",FALSE,TRUE),exact(Metadata!T550,"Decimal degrees"))</f>
        <v>0</v>
      </c>
      <c r="BG550">
        <f>OR(AND(IF(Metadata!U550="",FALSE,TRUE),OR(exact(Metadata!U550,"not collected"),exact(Metadata!U550,"not provided"),exact(Metadata!U550,"restricted access"))),AND(IF(Metadata!U550="",FALSE,ISNUMBER(VALUE(Metadata!U550))),Metadata!U550&gt;=-180.00,Metadata!U550&lt;=180.00))</f>
        <v>0</v>
      </c>
      <c r="BH550">
        <f>AND(IF(Metadata!V550="",FALSE,TRUE),exact(Metadata!V550,"Decimal degrees"))</f>
        <v>0</v>
      </c>
      <c r="BI550">
        <f>IF(Metadata!W550="",FALSE,TRUE)</f>
        <v>0</v>
      </c>
      <c r="BJ550">
        <f>OR(AND(IF(Metadata!X550="",FALSE,TRUE),OR(exact(Metadata!X550,"not collected"),exact(Metadata!X550,"not provided"),exact(Metadata!X550,"restricted access"))),AND(IF(Metadata!X550="",FALSE,TRUE),OR(exact(Metadata!X550,"TRUE"),exact(Metadata!X550,"FALSE"))))</f>
        <v>0</v>
      </c>
      <c r="BK550">
        <f>AND(IF(Metadata!Y550="",FALSE,TRUE),exact(Metadata!Y550,"other"))</f>
        <v>0</v>
      </c>
      <c r="BL550">
        <f>IF(Metadata!Z550="",FALSE,TRUE)</f>
        <v>0</v>
      </c>
      <c r="BM550">
        <f>OR(AND(IF(Metadata!AA550="",FALSE,TRUE),OR(exact(Metadata!AA550,"not collected"),exact(Metadata!AA550,"not provided"))),AND(IF(Metadata!AA550="",FALSE,IF(ISERROR(INT(Metadata!AA550)),FALSE,INT(Metadata!AA550)=Metadata!AA550)),Metadata!AA550&gt;0))</f>
        <v>0</v>
      </c>
      <c r="BN550">
        <f>AND(IF(Metadata!AB550="",FALSE,TRUE),exact(Metadata!AB550,"Not applicable"))</f>
        <v>0</v>
      </c>
      <c r="BO550">
        <f>IF(Metadata!AC550="",FALSE,TRUE)</f>
        <v>0</v>
      </c>
    </row>
    <row r="551" spans="1:67">
      <c r="A551" s="5">
        <f>IF(B551=" "," ",HYPERLINK(CONCATENATE("#metadata!",ADDRESS(INDEX($AI$2:$AI$1001,MATCH(ROWS($AG$2:AG551),$AG$2:$AG$1001,0),0),1)),INDEX($AL$2:$AL$1001,MATCH(ROWS($AG$2:AG551),$AG$2:$AG$1001,0),0)))</f>
        <v>0</v>
      </c>
      <c r="B551" s="4">
        <f>IF(OR(INDEX($AH$2:$AH$1001,MATCH(ROWS($AG$2:AG551),$AG$2:$AG$1001,0),1)&gt;=100000,INDEX($AN$1005:$BO$1005,1,MATCH(COLUMNS($AN$1006:AN1006),$AN$1006:$BO$1006,0))&gt;=100000), " ",IF(INDEX($AN$2:$BO$1001,MATCH(ROWS($AG$2:AG551),$AG$2:$AG$1001,0),MATCH(COLUMNS($AN$1006:AN1006),$AN$1006:$BO$1006,0)), HYPERLINK("#",""), HYPERLINK(CONCATENATE("#Metadata!", ADDRESS(INDEX($AI$2:$AI$1001,MATCH(ROWS($AG$2:AG551),$AG$2:$AG$1001,0),0), INDEX($AN$1004:$BO$1004,1,MATCH(COLUMNS($AN$1006:AN1006),$AN$1006:$BO$1006,0)))),"Fix")))</f>
        <v>0</v>
      </c>
      <c r="C551" s="4">
        <f>IF(OR(INDEX($AH$2:$AH$1001,MATCH(ROWS($AG$2:AG551),$AG$2:$AG$1001,0),1)&gt;=100000,INDEX($AN$1005:$BO$1005,1,MATCH(COLUMNS($AN$1006:AO1006),$AN$1006:$BO$1006,0))&gt;=100000), " ",IF(INDEX($AN$2:$BO$1001,MATCH(ROWS($AG$2:AG551),$AG$2:$AG$1001,0),MATCH(COLUMNS($AN$1006:AO1006),$AN$1006:$BO$1006,0)), HYPERLINK("#",""), HYPERLINK(CONCATENATE("#Metadata!", ADDRESS(INDEX($AI$2:$AI$1001,MATCH(ROWS($AG$2:AG551),$AG$2:$AG$1001,0),0), INDEX($AN$1004:$BO$1004,1,MATCH(COLUMNS($AN$1006:AO1006),$AN$1006:$BO$1006,0)))),"Fix")))</f>
        <v>0</v>
      </c>
      <c r="D551" s="4">
        <f>IF(OR(INDEX($AH$2:$AH$1001,MATCH(ROWS($AG$2:AG551),$AG$2:$AG$1001,0),1)&gt;=100000,INDEX($AN$1005:$BO$1005,1,MATCH(COLUMNS($AN$1006:AP1006),$AN$1006:$BO$1006,0))&gt;=100000), " ",IF(INDEX($AN$2:$BO$1001,MATCH(ROWS($AG$2:AG551),$AG$2:$AG$1001,0),MATCH(COLUMNS($AN$1006:AP1006),$AN$1006:$BO$1006,0)), HYPERLINK("#",""), HYPERLINK(CONCATENATE("#Metadata!", ADDRESS(INDEX($AI$2:$AI$1001,MATCH(ROWS($AG$2:AG551),$AG$2:$AG$1001,0),0), INDEX($AN$1004:$BO$1004,1,MATCH(COLUMNS($AN$1006:AP1006),$AN$1006:$BO$1006,0)))),"Fix")))</f>
        <v>0</v>
      </c>
      <c r="E551" s="4">
        <f>IF(OR(INDEX($AH$2:$AH$1001,MATCH(ROWS($AG$2:AG551),$AG$2:$AG$1001,0),1)&gt;=100000,INDEX($AN$1005:$BO$1005,1,MATCH(COLUMNS($AN$1006:AQ1006),$AN$1006:$BO$1006,0))&gt;=100000), " ",IF(INDEX($AN$2:$BO$1001,MATCH(ROWS($AG$2:AG551),$AG$2:$AG$1001,0),MATCH(COLUMNS($AN$1006:AQ1006),$AN$1006:$BO$1006,0)), HYPERLINK("#",""), HYPERLINK(CONCATENATE("#Metadata!", ADDRESS(INDEX($AI$2:$AI$1001,MATCH(ROWS($AG$2:AG551),$AG$2:$AG$1001,0),0), INDEX($AN$1004:$BO$1004,1,MATCH(COLUMNS($AN$1006:AQ1006),$AN$1006:$BO$1006,0)))),"Fix")))</f>
        <v>0</v>
      </c>
      <c r="F551" s="4">
        <f>IF(OR(INDEX($AH$2:$AH$1001,MATCH(ROWS($AG$2:AG551),$AG$2:$AG$1001,0),1)&gt;=100000,INDEX($AN$1005:$BO$1005,1,MATCH(COLUMNS($AN$1006:AR1006),$AN$1006:$BO$1006,0))&gt;=100000), " ",IF(INDEX($AN$2:$BO$1001,MATCH(ROWS($AG$2:AG551),$AG$2:$AG$1001,0),MATCH(COLUMNS($AN$1006:AR1006),$AN$1006:$BO$1006,0)), HYPERLINK("#",""), HYPERLINK(CONCATENATE("#Metadata!", ADDRESS(INDEX($AI$2:$AI$1001,MATCH(ROWS($AG$2:AG551),$AG$2:$AG$1001,0),0), INDEX($AN$1004:$BO$1004,1,MATCH(COLUMNS($AN$1006:AR1006),$AN$1006:$BO$1006,0)))),"Fix")))</f>
        <v>0</v>
      </c>
      <c r="G551" s="4">
        <f>IF(OR(INDEX($AH$2:$AH$1001,MATCH(ROWS($AG$2:AG551),$AG$2:$AG$1001,0),1)&gt;=100000,INDEX($AN$1005:$BO$1005,1,MATCH(COLUMNS($AN$1006:AS1006),$AN$1006:$BO$1006,0))&gt;=100000), " ",IF(INDEX($AN$2:$BO$1001,MATCH(ROWS($AG$2:AG551),$AG$2:$AG$1001,0),MATCH(COLUMNS($AN$1006:AS1006),$AN$1006:$BO$1006,0)), HYPERLINK("#",""), HYPERLINK(CONCATENATE("#Metadata!", ADDRESS(INDEX($AI$2:$AI$1001,MATCH(ROWS($AG$2:AG551),$AG$2:$AG$1001,0),0), INDEX($AN$1004:$BO$1004,1,MATCH(COLUMNS($AN$1006:AS1006),$AN$1006:$BO$1006,0)))),"Fix")))</f>
        <v>0</v>
      </c>
      <c r="H551" s="4">
        <f>IF(OR(INDEX($AH$2:$AH$1001,MATCH(ROWS($AG$2:AG551),$AG$2:$AG$1001,0),1)&gt;=100000,INDEX($AN$1005:$BO$1005,1,MATCH(COLUMNS($AN$1006:AT1006),$AN$1006:$BO$1006,0))&gt;=100000), " ",IF(INDEX($AN$2:$BO$1001,MATCH(ROWS($AG$2:AG551),$AG$2:$AG$1001,0),MATCH(COLUMNS($AN$1006:AT1006),$AN$1006:$BO$1006,0)), HYPERLINK("#",""), HYPERLINK(CONCATENATE("#Metadata!", ADDRESS(INDEX($AI$2:$AI$1001,MATCH(ROWS($AG$2:AG551),$AG$2:$AG$1001,0),0), INDEX($AN$1004:$BO$1004,1,MATCH(COLUMNS($AN$1006:AT1006),$AN$1006:$BO$1006,0)))),"Fix")))</f>
        <v>0</v>
      </c>
      <c r="I551" s="4">
        <f>IF(OR(INDEX($AH$2:$AH$1001,MATCH(ROWS($AG$2:AG551),$AG$2:$AG$1001,0),1)&gt;=100000,INDEX($AN$1005:$BO$1005,1,MATCH(COLUMNS($AN$1006:AU1006),$AN$1006:$BO$1006,0))&gt;=100000), " ",IF(INDEX($AN$2:$BO$1001,MATCH(ROWS($AG$2:AG551),$AG$2:$AG$1001,0),MATCH(COLUMNS($AN$1006:AU1006),$AN$1006:$BO$1006,0)), HYPERLINK("#",""), HYPERLINK(CONCATENATE("#Metadata!", ADDRESS(INDEX($AI$2:$AI$1001,MATCH(ROWS($AG$2:AG551),$AG$2:$AG$1001,0),0), INDEX($AN$1004:$BO$1004,1,MATCH(COLUMNS($AN$1006:AU1006),$AN$1006:$BO$1006,0)))),"Fix")))</f>
        <v>0</v>
      </c>
      <c r="J551" s="4">
        <f>IF(OR(INDEX($AH$2:$AH$1001,MATCH(ROWS($AG$2:AG551),$AG$2:$AG$1001,0),1)&gt;=100000,INDEX($AN$1005:$BO$1005,1,MATCH(COLUMNS($AN$1006:AV1006),$AN$1006:$BO$1006,0))&gt;=100000), " ",IF(INDEX($AN$2:$BO$1001,MATCH(ROWS($AG$2:AG551),$AG$2:$AG$1001,0),MATCH(COLUMNS($AN$1006:AV1006),$AN$1006:$BO$1006,0)), HYPERLINK("#",""), HYPERLINK(CONCATENATE("#Metadata!", ADDRESS(INDEX($AI$2:$AI$1001,MATCH(ROWS($AG$2:AG551),$AG$2:$AG$1001,0),0), INDEX($AN$1004:$BO$1004,1,MATCH(COLUMNS($AN$1006:AV1006),$AN$1006:$BO$1006,0)))),"Fix")))</f>
        <v>0</v>
      </c>
      <c r="K551" s="4">
        <f>IF(OR(INDEX($AH$2:$AH$1001,MATCH(ROWS($AG$2:AG551),$AG$2:$AG$1001,0),1)&gt;=100000,INDEX($AN$1005:$BO$1005,1,MATCH(COLUMNS($AN$1006:AW1006),$AN$1006:$BO$1006,0))&gt;=100000), " ",IF(INDEX($AN$2:$BO$1001,MATCH(ROWS($AG$2:AG551),$AG$2:$AG$1001,0),MATCH(COLUMNS($AN$1006:AW1006),$AN$1006:$BO$1006,0)), HYPERLINK("#",""), HYPERLINK(CONCATENATE("#Metadata!", ADDRESS(INDEX($AI$2:$AI$1001,MATCH(ROWS($AG$2:AG551),$AG$2:$AG$1001,0),0), INDEX($AN$1004:$BO$1004,1,MATCH(COLUMNS($AN$1006:AW1006),$AN$1006:$BO$1006,0)))),"Fix")))</f>
        <v>0</v>
      </c>
      <c r="L551" s="4">
        <f>IF(OR(INDEX($AH$2:$AH$1001,MATCH(ROWS($AG$2:AG551),$AG$2:$AG$1001,0),1)&gt;=100000,INDEX($AN$1005:$BO$1005,1,MATCH(COLUMNS($AN$1006:AX1006),$AN$1006:$BO$1006,0))&gt;=100000), " ",IF(INDEX($AN$2:$BO$1001,MATCH(ROWS($AG$2:AG551),$AG$2:$AG$1001,0),MATCH(COLUMNS($AN$1006:AX1006),$AN$1006:$BO$1006,0)), HYPERLINK("#",""), HYPERLINK(CONCATENATE("#Metadata!", ADDRESS(INDEX($AI$2:$AI$1001,MATCH(ROWS($AG$2:AG551),$AG$2:$AG$1001,0),0), INDEX($AN$1004:$BO$1004,1,MATCH(COLUMNS($AN$1006:AX1006),$AN$1006:$BO$1006,0)))),"Fix")))</f>
        <v>0</v>
      </c>
      <c r="M551" s="4">
        <f>IF(OR(INDEX($AH$2:$AH$1001,MATCH(ROWS($AG$2:AG551),$AG$2:$AG$1001,0),1)&gt;=100000,INDEX($AN$1005:$BO$1005,1,MATCH(COLUMNS($AN$1006:AY1006),$AN$1006:$BO$1006,0))&gt;=100000), " ",IF(INDEX($AN$2:$BO$1001,MATCH(ROWS($AG$2:AG551),$AG$2:$AG$1001,0),MATCH(COLUMNS($AN$1006:AY1006),$AN$1006:$BO$1006,0)), HYPERLINK("#",""), HYPERLINK(CONCATENATE("#Metadata!", ADDRESS(INDEX($AI$2:$AI$1001,MATCH(ROWS($AG$2:AG551),$AG$2:$AG$1001,0),0), INDEX($AN$1004:$BO$1004,1,MATCH(COLUMNS($AN$1006:AY1006),$AN$1006:$BO$1006,0)))),"Fix")))</f>
        <v>0</v>
      </c>
      <c r="N551" s="4">
        <f>IF(OR(INDEX($AH$2:$AH$1001,MATCH(ROWS($AG$2:AG551),$AG$2:$AG$1001,0),1)&gt;=100000,INDEX($AN$1005:$BO$1005,1,MATCH(COLUMNS($AN$1006:AZ1006),$AN$1006:$BO$1006,0))&gt;=100000), " ",IF(INDEX($AN$2:$BO$1001,MATCH(ROWS($AG$2:AG551),$AG$2:$AG$1001,0),MATCH(COLUMNS($AN$1006:AZ1006),$AN$1006:$BO$1006,0)), HYPERLINK("#",""), HYPERLINK(CONCATENATE("#Metadata!", ADDRESS(INDEX($AI$2:$AI$1001,MATCH(ROWS($AG$2:AG551),$AG$2:$AG$1001,0),0), INDEX($AN$1004:$BO$1004,1,MATCH(COLUMNS($AN$1006:AZ1006),$AN$1006:$BO$1006,0)))),"Fix")))</f>
        <v>0</v>
      </c>
      <c r="O551" s="4">
        <f>IF(OR(INDEX($AH$2:$AH$1001,MATCH(ROWS($AG$2:AG551),$AG$2:$AG$1001,0),1)&gt;=100000,INDEX($AN$1005:$BO$1005,1,MATCH(COLUMNS($AN$1006:BA1006),$AN$1006:$BO$1006,0))&gt;=100000), " ",IF(INDEX($AN$2:$BO$1001,MATCH(ROWS($AG$2:AG551),$AG$2:$AG$1001,0),MATCH(COLUMNS($AN$1006:BA1006),$AN$1006:$BO$1006,0)), HYPERLINK("#",""), HYPERLINK(CONCATENATE("#Metadata!", ADDRESS(INDEX($AI$2:$AI$1001,MATCH(ROWS($AG$2:AG551),$AG$2:$AG$1001,0),0), INDEX($AN$1004:$BO$1004,1,MATCH(COLUMNS($AN$1006:BA1006),$AN$1006:$BO$1006,0)))),"Fix")))</f>
        <v>0</v>
      </c>
      <c r="P551" s="4">
        <f>IF(OR(INDEX($AH$2:$AH$1001,MATCH(ROWS($AG$2:AG551),$AG$2:$AG$1001,0),1)&gt;=100000,INDEX($AN$1005:$BO$1005,1,MATCH(COLUMNS($AN$1006:BB1006),$AN$1006:$BO$1006,0))&gt;=100000), " ",IF(INDEX($AN$2:$BO$1001,MATCH(ROWS($AG$2:AG551),$AG$2:$AG$1001,0),MATCH(COLUMNS($AN$1006:BB1006),$AN$1006:$BO$1006,0)), HYPERLINK("#",""), HYPERLINK(CONCATENATE("#Metadata!", ADDRESS(INDEX($AI$2:$AI$1001,MATCH(ROWS($AG$2:AG551),$AG$2:$AG$1001,0),0), INDEX($AN$1004:$BO$1004,1,MATCH(COLUMNS($AN$1006:BB1006),$AN$1006:$BO$1006,0)))),"Fix")))</f>
        <v>0</v>
      </c>
      <c r="Q551" s="4">
        <f>IF(OR(INDEX($AH$2:$AH$1001,MATCH(ROWS($AG$2:AG551),$AG$2:$AG$1001,0),1)&gt;=100000,INDEX($AN$1005:$BO$1005,1,MATCH(COLUMNS($AN$1006:BC1006),$AN$1006:$BO$1006,0))&gt;=100000), " ",IF(INDEX($AN$2:$BO$1001,MATCH(ROWS($AG$2:AG551),$AG$2:$AG$1001,0),MATCH(COLUMNS($AN$1006:BC1006),$AN$1006:$BO$1006,0)), HYPERLINK("#",""), HYPERLINK(CONCATENATE("#Metadata!", ADDRESS(INDEX($AI$2:$AI$1001,MATCH(ROWS($AG$2:AG551),$AG$2:$AG$1001,0),0), INDEX($AN$1004:$BO$1004,1,MATCH(COLUMNS($AN$1006:BC1006),$AN$1006:$BO$1006,0)))),"Fix")))</f>
        <v>0</v>
      </c>
      <c r="R551" s="4">
        <f>IF(OR(INDEX($AH$2:$AH$1001,MATCH(ROWS($AG$2:AG551),$AG$2:$AG$1001,0),1)&gt;=100000,INDEX($AN$1005:$BO$1005,1,MATCH(COLUMNS($AN$1006:BD1006),$AN$1006:$BO$1006,0))&gt;=100000), " ",IF(INDEX($AN$2:$BO$1001,MATCH(ROWS($AG$2:AG551),$AG$2:$AG$1001,0),MATCH(COLUMNS($AN$1006:BD1006),$AN$1006:$BO$1006,0)), HYPERLINK("#",""), HYPERLINK(CONCATENATE("#Metadata!", ADDRESS(INDEX($AI$2:$AI$1001,MATCH(ROWS($AG$2:AG551),$AG$2:$AG$1001,0),0), INDEX($AN$1004:$BO$1004,1,MATCH(COLUMNS($AN$1006:BD1006),$AN$1006:$BO$1006,0)))),"Fix")))</f>
        <v>0</v>
      </c>
      <c r="S551" s="4">
        <f>IF(OR(INDEX($AH$2:$AH$1001,MATCH(ROWS($AG$2:AG551),$AG$2:$AG$1001,0),1)&gt;=100000,INDEX($AN$1005:$BO$1005,1,MATCH(COLUMNS($AN$1006:BE1006),$AN$1006:$BO$1006,0))&gt;=100000), " ",IF(INDEX($AN$2:$BO$1001,MATCH(ROWS($AG$2:AG551),$AG$2:$AG$1001,0),MATCH(COLUMNS($AN$1006:BE1006),$AN$1006:$BO$1006,0)), HYPERLINK("#",""), HYPERLINK(CONCATENATE("#Metadata!", ADDRESS(INDEX($AI$2:$AI$1001,MATCH(ROWS($AG$2:AG551),$AG$2:$AG$1001,0),0), INDEX($AN$1004:$BO$1004,1,MATCH(COLUMNS($AN$1006:BE1006),$AN$1006:$BO$1006,0)))),"Fix")))</f>
        <v>0</v>
      </c>
      <c r="T551" s="4">
        <f>IF(OR(INDEX($AH$2:$AH$1001,MATCH(ROWS($AG$2:AG551),$AG$2:$AG$1001,0),1)&gt;=100000,INDEX($AN$1005:$BO$1005,1,MATCH(COLUMNS($AN$1006:BF1006),$AN$1006:$BO$1006,0))&gt;=100000), " ",IF(INDEX($AN$2:$BO$1001,MATCH(ROWS($AG$2:AG551),$AG$2:$AG$1001,0),MATCH(COLUMNS($AN$1006:BF1006),$AN$1006:$BO$1006,0)), HYPERLINK("#",""), HYPERLINK(CONCATENATE("#Metadata!", ADDRESS(INDEX($AI$2:$AI$1001,MATCH(ROWS($AG$2:AG551),$AG$2:$AG$1001,0),0), INDEX($AN$1004:$BO$1004,1,MATCH(COLUMNS($AN$1006:BF1006),$AN$1006:$BO$1006,0)))),"Fix")))</f>
        <v>0</v>
      </c>
      <c r="U551" s="4">
        <f>IF(OR(INDEX($AH$2:$AH$1001,MATCH(ROWS($AG$2:AG551),$AG$2:$AG$1001,0),1)&gt;=100000,INDEX($AN$1005:$BO$1005,1,MATCH(COLUMNS($AN$1006:BG1006),$AN$1006:$BO$1006,0))&gt;=100000), " ",IF(INDEX($AN$2:$BO$1001,MATCH(ROWS($AG$2:AG551),$AG$2:$AG$1001,0),MATCH(COLUMNS($AN$1006:BG1006),$AN$1006:$BO$1006,0)), HYPERLINK("#",""), HYPERLINK(CONCATENATE("#Metadata!", ADDRESS(INDEX($AI$2:$AI$1001,MATCH(ROWS($AG$2:AG551),$AG$2:$AG$1001,0),0), INDEX($AN$1004:$BO$1004,1,MATCH(COLUMNS($AN$1006:BG1006),$AN$1006:$BO$1006,0)))),"Fix")))</f>
        <v>0</v>
      </c>
      <c r="V551" s="4">
        <f>IF(OR(INDEX($AH$2:$AH$1001,MATCH(ROWS($AG$2:AG551),$AG$2:$AG$1001,0),1)&gt;=100000,INDEX($AN$1005:$BO$1005,1,MATCH(COLUMNS($AN$1006:BH1006),$AN$1006:$BO$1006,0))&gt;=100000), " ",IF(INDEX($AN$2:$BO$1001,MATCH(ROWS($AG$2:AG551),$AG$2:$AG$1001,0),MATCH(COLUMNS($AN$1006:BH1006),$AN$1006:$BO$1006,0)), HYPERLINK("#",""), HYPERLINK(CONCATENATE("#Metadata!", ADDRESS(INDEX($AI$2:$AI$1001,MATCH(ROWS($AG$2:AG551),$AG$2:$AG$1001,0),0), INDEX($AN$1004:$BO$1004,1,MATCH(COLUMNS($AN$1006:BH1006),$AN$1006:$BO$1006,0)))),"Fix")))</f>
        <v>0</v>
      </c>
      <c r="W551" s="4">
        <f>IF(OR(INDEX($AH$2:$AH$1001,MATCH(ROWS($AG$2:AG551),$AG$2:$AG$1001,0),1)&gt;=100000,INDEX($AN$1005:$BO$1005,1,MATCH(COLUMNS($AN$1006:BI1006),$AN$1006:$BO$1006,0))&gt;=100000), " ",IF(INDEX($AN$2:$BO$1001,MATCH(ROWS($AG$2:AG551),$AG$2:$AG$1001,0),MATCH(COLUMNS($AN$1006:BI1006),$AN$1006:$BO$1006,0)), HYPERLINK("#",""), HYPERLINK(CONCATENATE("#Metadata!", ADDRESS(INDEX($AI$2:$AI$1001,MATCH(ROWS($AG$2:AG551),$AG$2:$AG$1001,0),0), INDEX($AN$1004:$BO$1004,1,MATCH(COLUMNS($AN$1006:BI1006),$AN$1006:$BO$1006,0)))),"Fix")))</f>
        <v>0</v>
      </c>
      <c r="X551" s="4">
        <f>IF(OR(INDEX($AH$2:$AH$1001,MATCH(ROWS($AG$2:AG551),$AG$2:$AG$1001,0),1)&gt;=100000,INDEX($AN$1005:$BO$1005,1,MATCH(COLUMNS($AN$1006:BJ1006),$AN$1006:$BO$1006,0))&gt;=100000), " ",IF(INDEX($AN$2:$BO$1001,MATCH(ROWS($AG$2:AG551),$AG$2:$AG$1001,0),MATCH(COLUMNS($AN$1006:BJ1006),$AN$1006:$BO$1006,0)), HYPERLINK("#",""), HYPERLINK(CONCATENATE("#Metadata!", ADDRESS(INDEX($AI$2:$AI$1001,MATCH(ROWS($AG$2:AG551),$AG$2:$AG$1001,0),0), INDEX($AN$1004:$BO$1004,1,MATCH(COLUMNS($AN$1006:BJ1006),$AN$1006:$BO$1006,0)))),"Fix")))</f>
        <v>0</v>
      </c>
      <c r="Y551" s="4">
        <f>IF(OR(INDEX($AH$2:$AH$1001,MATCH(ROWS($AG$2:AG551),$AG$2:$AG$1001,0),1)&gt;=100000,INDEX($AN$1005:$BO$1005,1,MATCH(COLUMNS($AN$1006:BK1006),$AN$1006:$BO$1006,0))&gt;=100000), " ",IF(INDEX($AN$2:$BO$1001,MATCH(ROWS($AG$2:AG551),$AG$2:$AG$1001,0),MATCH(COLUMNS($AN$1006:BK1006),$AN$1006:$BO$1006,0)), HYPERLINK("#",""), HYPERLINK(CONCATENATE("#Metadata!", ADDRESS(INDEX($AI$2:$AI$1001,MATCH(ROWS($AG$2:AG551),$AG$2:$AG$1001,0),0), INDEX($AN$1004:$BO$1004,1,MATCH(COLUMNS($AN$1006:BK1006),$AN$1006:$BO$1006,0)))),"Fix")))</f>
        <v>0</v>
      </c>
      <c r="Z551" s="4">
        <f>IF(OR(INDEX($AH$2:$AH$1001,MATCH(ROWS($AG$2:AG551),$AG$2:$AG$1001,0),1)&gt;=100000,INDEX($AN$1005:$BO$1005,1,MATCH(COLUMNS($AN$1006:BL1006),$AN$1006:$BO$1006,0))&gt;=100000), " ",IF(INDEX($AN$2:$BO$1001,MATCH(ROWS($AG$2:AG551),$AG$2:$AG$1001,0),MATCH(COLUMNS($AN$1006:BL1006),$AN$1006:$BO$1006,0)), HYPERLINK("#",""), HYPERLINK(CONCATENATE("#Metadata!", ADDRESS(INDEX($AI$2:$AI$1001,MATCH(ROWS($AG$2:AG551),$AG$2:$AG$1001,0),0), INDEX($AN$1004:$BO$1004,1,MATCH(COLUMNS($AN$1006:BL1006),$AN$1006:$BO$1006,0)))),"Fix")))</f>
        <v>0</v>
      </c>
      <c r="AA551" s="4">
        <f>IF(OR(INDEX($AH$2:$AH$1001,MATCH(ROWS($AG$2:AG551),$AG$2:$AG$1001,0),1)&gt;=100000,INDEX($AN$1005:$BO$1005,1,MATCH(COLUMNS($AN$1006:BM1006),$AN$1006:$BO$1006,0))&gt;=100000), " ",IF(INDEX($AN$2:$BO$1001,MATCH(ROWS($AG$2:AG551),$AG$2:$AG$1001,0),MATCH(COLUMNS($AN$1006:BM1006),$AN$1006:$BO$1006,0)), HYPERLINK("#",""), HYPERLINK(CONCATENATE("#Metadata!", ADDRESS(INDEX($AI$2:$AI$1001,MATCH(ROWS($AG$2:AG551),$AG$2:$AG$1001,0),0), INDEX($AN$1004:$BO$1004,1,MATCH(COLUMNS($AN$1006:BM1006),$AN$1006:$BO$1006,0)))),"Fix")))</f>
        <v>0</v>
      </c>
      <c r="AB551" s="4">
        <f>IF(OR(INDEX($AH$2:$AH$1001,MATCH(ROWS($AG$2:AG551),$AG$2:$AG$1001,0),1)&gt;=100000,INDEX($AN$1005:$BO$1005,1,MATCH(COLUMNS($AN$1006:BN1006),$AN$1006:$BO$1006,0))&gt;=100000), " ",IF(INDEX($AN$2:$BO$1001,MATCH(ROWS($AG$2:AG551),$AG$2:$AG$1001,0),MATCH(COLUMNS($AN$1006:BN1006),$AN$1006:$BO$1006,0)), HYPERLINK("#",""), HYPERLINK(CONCATENATE("#Metadata!", ADDRESS(INDEX($AI$2:$AI$1001,MATCH(ROWS($AG$2:AG551),$AG$2:$AG$1001,0),0), INDEX($AN$1004:$BO$1004,1,MATCH(COLUMNS($AN$1006:BN1006),$AN$1006:$BO$1006,0)))),"Fix")))</f>
        <v>0</v>
      </c>
      <c r="AC551" s="4">
        <f>IF(OR(INDEX($AH$2:$AH$1001,MATCH(ROWS($AG$2:AG551),$AG$2:$AG$1001,0),1)&gt;=100000,INDEX($AN$1005:$BO$1005,1,MATCH(COLUMNS($AN$1006:BO1006),$AN$1006:$BO$1006,0))&gt;=100000), " ",IF(INDEX($AN$2:$BO$1001,MATCH(ROWS($AG$2:AG551),$AG$2:$AG$1001,0),MATCH(COLUMNS($AN$1006:BO1006),$AN$1006:$BO$1006,0)), HYPERLINK("#",""), HYPERLINK(CONCATENATE("#Metadata!", ADDRESS(INDEX($AI$2:$AI$1001,MATCH(ROWS($AG$2:AG551),$AG$2:$AG$1001,0),0), INDEX($AN$1004:$BO$1004,1,MATCH(COLUMNS($AN$1006:BO1006),$AN$1006:$BO$1006,0)))),"Fix")))</f>
        <v>0</v>
      </c>
      <c r="AG551">
        <v>0</v>
      </c>
      <c r="AH551">
        <v>0</v>
      </c>
      <c r="AI551">
        <v>0</v>
      </c>
      <c r="AJ551">
        <f>IF(AK551,TRUE,AND(AN551:BO551))</f>
        <v>0</v>
      </c>
      <c r="AK551">
        <f>COUNTBLANK(Metadata!B551:AC551)=COLUMNS(Metadata!B551:AC551)</f>
        <v>0</v>
      </c>
      <c r="AL551">
        <v>0</v>
      </c>
      <c r="AN551">
        <f>AND(IF(Metadata!B551="",FALSE,TRUE),COUNTIF(Metadata!B:B, Metadata!B551) = 1,NOT(ISERROR(SUMPRODUCT(SEARCH(MID(Metadata!B551,ROW(INDIRECT("1:"&amp;LEN(Metadata!B551))), 1),"0123456789abcdefghijklmnopqrstuvwxyzABCDEFGHIJKLMNOPQRSTUVWXYZ.")))))</f>
        <v>0</v>
      </c>
      <c r="AO551">
        <f>IF(Metadata!C551="",FALSE,TRUE)</f>
        <v>0</v>
      </c>
      <c r="AP551">
        <f>IF(Metadata!D551="",FALSE,TRUE)</f>
        <v>0</v>
      </c>
      <c r="AQ551">
        <f>OR(AND(IF(Metadata!E551="",FALSE,TRUE),OR(exact(Metadata!E551,"not collected"),exact(Metadata!E551,"not provided"),exact(Metadata!E551,"restricted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R551">
        <f>IF(Metadata!F551="",FALSE,TRUE)</f>
        <v>0</v>
      </c>
      <c r="AS551">
        <f>OR(AND(IF(Metadata!G551="",FALSE,TRUE),OR(exact(Metadata!G551,"not collected"),exact(Metadata!G551,"not provided"))),AND(IF(Metadata!G551="",FALSE,TRUE),OR(exact(Metadata!G551,"TRUE"),exact(Metadata!G551,"FALSE"))))</f>
        <v>0</v>
      </c>
      <c r="AT551">
        <f>OR(AND(IF(Metadata!H551="",FALSE,TRUE),OR(exact(Metadata!H551,"not collected"),exact(Metadata!H551,"not provided"),exact(Metadata!H551,"restricted access"))),AND(IF(Metadata!H551="",FALSE,ISNUMBER(VALUE(Metadata!H551))),Metadata!H551&gt;=-413.0))</f>
        <v>0</v>
      </c>
      <c r="AU551">
        <f>AND(IF(Metadata!I551="",FALSE,TRUE),exact(Metadata!I551,"meters"))</f>
        <v>0</v>
      </c>
      <c r="AV551">
        <f>AND(IF(Metadata!J551="",FALSE,TRUE),OR(exact(Metadata!J551,"Host-associated"),exact(Metadata!J551,"Free-living")))</f>
        <v>0</v>
      </c>
      <c r="AW551">
        <f>AND(IF(Metadata!K551="",FALSE,TRUE),OR(exact(Metadata!K551,"Animal"),exact(Metadata!K551,"Fungus"),exact(Metadata!K551,"Plant"),exact(Metadata!K551,"Saline"),exact(Metadata!K551,"Non-saline")))</f>
        <v>0</v>
      </c>
      <c r="AX551">
        <f>AND(IF(Metadata!L551="",FALSE,TRUE),OR(exact(Metadata!L551,"Plant secretion"),exact(Metadata!L551,"Plant rhizosphere"),exact(Metadata!L551,"Plant surface"),exact(Metadata!L551,"Plant corpus"),exact(Metadata!L551,"Fungus surface"),exact(Metadata!L551,"Fungus corpus"),exact(Metadata!L551,"Animal surface"),exact(Metadata!L551,"Animal proximal gut"),exact(Metadata!L551,"Animal corpus"),exact(Metadata!L551,"Animal distal gut"),exact(Metadata!L551,"Animal secretion"),exact(Metadata!L551,"Sub-surface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Y551">
        <f>IF(Metadata!M551="",FALSE,TRUE)</f>
        <v>0</v>
      </c>
      <c r="AZ551">
        <f>IF(Metadata!N551="",FALSE,TRUE)</f>
        <v>0</v>
      </c>
      <c r="BA551">
        <f>IF(Metadata!O551="",FALSE,TRUE)</f>
        <v>0</v>
      </c>
      <c r="BB551">
        <f>OR(AND(IF(Metadata!P551="",FALSE,TRUE),OR(exact(Metadata!P551,"not collected"),exact(Metadata!P551,"not provided"),exact(Metadata!P551,"restricted access"))),AND(IF(Metadata!P551="",FALSE,TRUE),OR(exact(Metadata!P551,"air"),exact(Metadata!P551,"built environment"),exact(Metadata!P551,"host-associated"),exact(Metadata!P551,"human-associated"),exact(Metadata!P551,"human-skin"),exact(Metadata!P551,"human-oral"),exact(Metadata!P551,"human-gut"),exact(Metadata!P551,"human-vaginal"),exact(Metadata!P551,"microbial mat/biofilm"),exact(Metadata!P551,"misc environment"),exact(Metadata!P551,"plant-associated"),exact(Metadata!P551,"sediment"),exact(Metadata!P551,"soil"),exact(Metadata!P551,"wastewater/sludge"),exact(Metadata!P551,"water"))))</f>
        <v>0</v>
      </c>
      <c r="BC551">
        <f>IF(Metadata!Q551="",FALSE,TRUE)</f>
        <v>0</v>
      </c>
      <c r="BD551">
        <f>IF(Metadata!R551="",FALSE,TRUE)</f>
        <v>0</v>
      </c>
      <c r="BE551">
        <f>OR(AND(IF(Metadata!S551="",FALSE,TRUE),OR(exact(Metadata!S551,"not collected"),exact(Metadata!S551,"not provided"),exact(Metadata!S551,"restricted access"))),AND(IF(Metadata!S551="",FALSE,ISNUMBER(VALUE(Metadata!S551))),Metadata!S551&gt;=-90.00,Metadata!S551&lt;=90.00))</f>
        <v>0</v>
      </c>
      <c r="BF551">
        <f>AND(IF(Metadata!T551="",FALSE,TRUE),exact(Metadata!T551,"Decimal degrees"))</f>
        <v>0</v>
      </c>
      <c r="BG551">
        <f>OR(AND(IF(Metadata!U551="",FALSE,TRUE),OR(exact(Metadata!U551,"not collected"),exact(Metadata!U551,"not provided"),exact(Metadata!U551,"restricted access"))),AND(IF(Metadata!U551="",FALSE,ISNUMBER(VALUE(Metadata!U551))),Metadata!U551&gt;=-180.00,Metadata!U551&lt;=180.00))</f>
        <v>0</v>
      </c>
      <c r="BH551">
        <f>AND(IF(Metadata!V551="",FALSE,TRUE),exact(Metadata!V551,"Decimal degrees"))</f>
        <v>0</v>
      </c>
      <c r="BI551">
        <f>IF(Metadata!W551="",FALSE,TRUE)</f>
        <v>0</v>
      </c>
      <c r="BJ551">
        <f>OR(AND(IF(Metadata!X551="",FALSE,TRUE),OR(exact(Metadata!X551,"not collected"),exact(Metadata!X551,"not provided"),exact(Metadata!X551,"restricted access"))),AND(IF(Metadata!X551="",FALSE,TRUE),OR(exact(Metadata!X551,"TRUE"),exact(Metadata!X551,"FALSE"))))</f>
        <v>0</v>
      </c>
      <c r="BK551">
        <f>AND(IF(Metadata!Y551="",FALSE,TRUE),exact(Metadata!Y551,"other"))</f>
        <v>0</v>
      </c>
      <c r="BL551">
        <f>IF(Metadata!Z551="",FALSE,TRUE)</f>
        <v>0</v>
      </c>
      <c r="BM551">
        <f>OR(AND(IF(Metadata!AA551="",FALSE,TRUE),OR(exact(Metadata!AA551,"not collected"),exact(Metadata!AA551,"not provided"))),AND(IF(Metadata!AA551="",FALSE,IF(ISERROR(INT(Metadata!AA551)),FALSE,INT(Metadata!AA551)=Metadata!AA551)),Metadata!AA551&gt;0))</f>
        <v>0</v>
      </c>
      <c r="BN551">
        <f>AND(IF(Metadata!AB551="",FALSE,TRUE),exact(Metadata!AB551,"Not applicable"))</f>
        <v>0</v>
      </c>
      <c r="BO551">
        <f>IF(Metadata!AC551="",FALSE,TRUE)</f>
        <v>0</v>
      </c>
    </row>
    <row r="552" spans="1:67">
      <c r="A552" s="5">
        <f>IF(B552=" "," ",HYPERLINK(CONCATENATE("#metadata!",ADDRESS(INDEX($AI$2:$AI$1001,MATCH(ROWS($AG$2:AG552),$AG$2:$AG$1001,0),0),1)),INDEX($AL$2:$AL$1001,MATCH(ROWS($AG$2:AG552),$AG$2:$AG$1001,0),0)))</f>
        <v>0</v>
      </c>
      <c r="B552" s="4">
        <f>IF(OR(INDEX($AH$2:$AH$1001,MATCH(ROWS($AG$2:AG552),$AG$2:$AG$1001,0),1)&gt;=100000,INDEX($AN$1005:$BO$1005,1,MATCH(COLUMNS($AN$1006:AN1006),$AN$1006:$BO$1006,0))&gt;=100000), " ",IF(INDEX($AN$2:$BO$1001,MATCH(ROWS($AG$2:AG552),$AG$2:$AG$1001,0),MATCH(COLUMNS($AN$1006:AN1006),$AN$1006:$BO$1006,0)), HYPERLINK("#",""), HYPERLINK(CONCATENATE("#Metadata!", ADDRESS(INDEX($AI$2:$AI$1001,MATCH(ROWS($AG$2:AG552),$AG$2:$AG$1001,0),0), INDEX($AN$1004:$BO$1004,1,MATCH(COLUMNS($AN$1006:AN1006),$AN$1006:$BO$1006,0)))),"Fix")))</f>
        <v>0</v>
      </c>
      <c r="C552" s="4">
        <f>IF(OR(INDEX($AH$2:$AH$1001,MATCH(ROWS($AG$2:AG552),$AG$2:$AG$1001,0),1)&gt;=100000,INDEX($AN$1005:$BO$1005,1,MATCH(COLUMNS($AN$1006:AO1006),$AN$1006:$BO$1006,0))&gt;=100000), " ",IF(INDEX($AN$2:$BO$1001,MATCH(ROWS($AG$2:AG552),$AG$2:$AG$1001,0),MATCH(COLUMNS($AN$1006:AO1006),$AN$1006:$BO$1006,0)), HYPERLINK("#",""), HYPERLINK(CONCATENATE("#Metadata!", ADDRESS(INDEX($AI$2:$AI$1001,MATCH(ROWS($AG$2:AG552),$AG$2:$AG$1001,0),0), INDEX($AN$1004:$BO$1004,1,MATCH(COLUMNS($AN$1006:AO1006),$AN$1006:$BO$1006,0)))),"Fix")))</f>
        <v>0</v>
      </c>
      <c r="D552" s="4">
        <f>IF(OR(INDEX($AH$2:$AH$1001,MATCH(ROWS($AG$2:AG552),$AG$2:$AG$1001,0),1)&gt;=100000,INDEX($AN$1005:$BO$1005,1,MATCH(COLUMNS($AN$1006:AP1006),$AN$1006:$BO$1006,0))&gt;=100000), " ",IF(INDEX($AN$2:$BO$1001,MATCH(ROWS($AG$2:AG552),$AG$2:$AG$1001,0),MATCH(COLUMNS($AN$1006:AP1006),$AN$1006:$BO$1006,0)), HYPERLINK("#",""), HYPERLINK(CONCATENATE("#Metadata!", ADDRESS(INDEX($AI$2:$AI$1001,MATCH(ROWS($AG$2:AG552),$AG$2:$AG$1001,0),0), INDEX($AN$1004:$BO$1004,1,MATCH(COLUMNS($AN$1006:AP1006),$AN$1006:$BO$1006,0)))),"Fix")))</f>
        <v>0</v>
      </c>
      <c r="E552" s="4">
        <f>IF(OR(INDEX($AH$2:$AH$1001,MATCH(ROWS($AG$2:AG552),$AG$2:$AG$1001,0),1)&gt;=100000,INDEX($AN$1005:$BO$1005,1,MATCH(COLUMNS($AN$1006:AQ1006),$AN$1006:$BO$1006,0))&gt;=100000), " ",IF(INDEX($AN$2:$BO$1001,MATCH(ROWS($AG$2:AG552),$AG$2:$AG$1001,0),MATCH(COLUMNS($AN$1006:AQ1006),$AN$1006:$BO$1006,0)), HYPERLINK("#",""), HYPERLINK(CONCATENATE("#Metadata!", ADDRESS(INDEX($AI$2:$AI$1001,MATCH(ROWS($AG$2:AG552),$AG$2:$AG$1001,0),0), INDEX($AN$1004:$BO$1004,1,MATCH(COLUMNS($AN$1006:AQ1006),$AN$1006:$BO$1006,0)))),"Fix")))</f>
        <v>0</v>
      </c>
      <c r="F552" s="4">
        <f>IF(OR(INDEX($AH$2:$AH$1001,MATCH(ROWS($AG$2:AG552),$AG$2:$AG$1001,0),1)&gt;=100000,INDEX($AN$1005:$BO$1005,1,MATCH(COLUMNS($AN$1006:AR1006),$AN$1006:$BO$1006,0))&gt;=100000), " ",IF(INDEX($AN$2:$BO$1001,MATCH(ROWS($AG$2:AG552),$AG$2:$AG$1001,0),MATCH(COLUMNS($AN$1006:AR1006),$AN$1006:$BO$1006,0)), HYPERLINK("#",""), HYPERLINK(CONCATENATE("#Metadata!", ADDRESS(INDEX($AI$2:$AI$1001,MATCH(ROWS($AG$2:AG552),$AG$2:$AG$1001,0),0), INDEX($AN$1004:$BO$1004,1,MATCH(COLUMNS($AN$1006:AR1006),$AN$1006:$BO$1006,0)))),"Fix")))</f>
        <v>0</v>
      </c>
      <c r="G552" s="4">
        <f>IF(OR(INDEX($AH$2:$AH$1001,MATCH(ROWS($AG$2:AG552),$AG$2:$AG$1001,0),1)&gt;=100000,INDEX($AN$1005:$BO$1005,1,MATCH(COLUMNS($AN$1006:AS1006),$AN$1006:$BO$1006,0))&gt;=100000), " ",IF(INDEX($AN$2:$BO$1001,MATCH(ROWS($AG$2:AG552),$AG$2:$AG$1001,0),MATCH(COLUMNS($AN$1006:AS1006),$AN$1006:$BO$1006,0)), HYPERLINK("#",""), HYPERLINK(CONCATENATE("#Metadata!", ADDRESS(INDEX($AI$2:$AI$1001,MATCH(ROWS($AG$2:AG552),$AG$2:$AG$1001,0),0), INDEX($AN$1004:$BO$1004,1,MATCH(COLUMNS($AN$1006:AS1006),$AN$1006:$BO$1006,0)))),"Fix")))</f>
        <v>0</v>
      </c>
      <c r="H552" s="4">
        <f>IF(OR(INDEX($AH$2:$AH$1001,MATCH(ROWS($AG$2:AG552),$AG$2:$AG$1001,0),1)&gt;=100000,INDEX($AN$1005:$BO$1005,1,MATCH(COLUMNS($AN$1006:AT1006),$AN$1006:$BO$1006,0))&gt;=100000), " ",IF(INDEX($AN$2:$BO$1001,MATCH(ROWS($AG$2:AG552),$AG$2:$AG$1001,0),MATCH(COLUMNS($AN$1006:AT1006),$AN$1006:$BO$1006,0)), HYPERLINK("#",""), HYPERLINK(CONCATENATE("#Metadata!", ADDRESS(INDEX($AI$2:$AI$1001,MATCH(ROWS($AG$2:AG552),$AG$2:$AG$1001,0),0), INDEX($AN$1004:$BO$1004,1,MATCH(COLUMNS($AN$1006:AT1006),$AN$1006:$BO$1006,0)))),"Fix")))</f>
        <v>0</v>
      </c>
      <c r="I552" s="4">
        <f>IF(OR(INDEX($AH$2:$AH$1001,MATCH(ROWS($AG$2:AG552),$AG$2:$AG$1001,0),1)&gt;=100000,INDEX($AN$1005:$BO$1005,1,MATCH(COLUMNS($AN$1006:AU1006),$AN$1006:$BO$1006,0))&gt;=100000), " ",IF(INDEX($AN$2:$BO$1001,MATCH(ROWS($AG$2:AG552),$AG$2:$AG$1001,0),MATCH(COLUMNS($AN$1006:AU1006),$AN$1006:$BO$1006,0)), HYPERLINK("#",""), HYPERLINK(CONCATENATE("#Metadata!", ADDRESS(INDEX($AI$2:$AI$1001,MATCH(ROWS($AG$2:AG552),$AG$2:$AG$1001,0),0), INDEX($AN$1004:$BO$1004,1,MATCH(COLUMNS($AN$1006:AU1006),$AN$1006:$BO$1006,0)))),"Fix")))</f>
        <v>0</v>
      </c>
      <c r="J552" s="4">
        <f>IF(OR(INDEX($AH$2:$AH$1001,MATCH(ROWS($AG$2:AG552),$AG$2:$AG$1001,0),1)&gt;=100000,INDEX($AN$1005:$BO$1005,1,MATCH(COLUMNS($AN$1006:AV1006),$AN$1006:$BO$1006,0))&gt;=100000), " ",IF(INDEX($AN$2:$BO$1001,MATCH(ROWS($AG$2:AG552),$AG$2:$AG$1001,0),MATCH(COLUMNS($AN$1006:AV1006),$AN$1006:$BO$1006,0)), HYPERLINK("#",""), HYPERLINK(CONCATENATE("#Metadata!", ADDRESS(INDEX($AI$2:$AI$1001,MATCH(ROWS($AG$2:AG552),$AG$2:$AG$1001,0),0), INDEX($AN$1004:$BO$1004,1,MATCH(COLUMNS($AN$1006:AV1006),$AN$1006:$BO$1006,0)))),"Fix")))</f>
        <v>0</v>
      </c>
      <c r="K552" s="4">
        <f>IF(OR(INDEX($AH$2:$AH$1001,MATCH(ROWS($AG$2:AG552),$AG$2:$AG$1001,0),1)&gt;=100000,INDEX($AN$1005:$BO$1005,1,MATCH(COLUMNS($AN$1006:AW1006),$AN$1006:$BO$1006,0))&gt;=100000), " ",IF(INDEX($AN$2:$BO$1001,MATCH(ROWS($AG$2:AG552),$AG$2:$AG$1001,0),MATCH(COLUMNS($AN$1006:AW1006),$AN$1006:$BO$1006,0)), HYPERLINK("#",""), HYPERLINK(CONCATENATE("#Metadata!", ADDRESS(INDEX($AI$2:$AI$1001,MATCH(ROWS($AG$2:AG552),$AG$2:$AG$1001,0),0), INDEX($AN$1004:$BO$1004,1,MATCH(COLUMNS($AN$1006:AW1006),$AN$1006:$BO$1006,0)))),"Fix")))</f>
        <v>0</v>
      </c>
      <c r="L552" s="4">
        <f>IF(OR(INDEX($AH$2:$AH$1001,MATCH(ROWS($AG$2:AG552),$AG$2:$AG$1001,0),1)&gt;=100000,INDEX($AN$1005:$BO$1005,1,MATCH(COLUMNS($AN$1006:AX1006),$AN$1006:$BO$1006,0))&gt;=100000), " ",IF(INDEX($AN$2:$BO$1001,MATCH(ROWS($AG$2:AG552),$AG$2:$AG$1001,0),MATCH(COLUMNS($AN$1006:AX1006),$AN$1006:$BO$1006,0)), HYPERLINK("#",""), HYPERLINK(CONCATENATE("#Metadata!", ADDRESS(INDEX($AI$2:$AI$1001,MATCH(ROWS($AG$2:AG552),$AG$2:$AG$1001,0),0), INDEX($AN$1004:$BO$1004,1,MATCH(COLUMNS($AN$1006:AX1006),$AN$1006:$BO$1006,0)))),"Fix")))</f>
        <v>0</v>
      </c>
      <c r="M552" s="4">
        <f>IF(OR(INDEX($AH$2:$AH$1001,MATCH(ROWS($AG$2:AG552),$AG$2:$AG$1001,0),1)&gt;=100000,INDEX($AN$1005:$BO$1005,1,MATCH(COLUMNS($AN$1006:AY1006),$AN$1006:$BO$1006,0))&gt;=100000), " ",IF(INDEX($AN$2:$BO$1001,MATCH(ROWS($AG$2:AG552),$AG$2:$AG$1001,0),MATCH(COLUMNS($AN$1006:AY1006),$AN$1006:$BO$1006,0)), HYPERLINK("#",""), HYPERLINK(CONCATENATE("#Metadata!", ADDRESS(INDEX($AI$2:$AI$1001,MATCH(ROWS($AG$2:AG552),$AG$2:$AG$1001,0),0), INDEX($AN$1004:$BO$1004,1,MATCH(COLUMNS($AN$1006:AY1006),$AN$1006:$BO$1006,0)))),"Fix")))</f>
        <v>0</v>
      </c>
      <c r="N552" s="4">
        <f>IF(OR(INDEX($AH$2:$AH$1001,MATCH(ROWS($AG$2:AG552),$AG$2:$AG$1001,0),1)&gt;=100000,INDEX($AN$1005:$BO$1005,1,MATCH(COLUMNS($AN$1006:AZ1006),$AN$1006:$BO$1006,0))&gt;=100000), " ",IF(INDEX($AN$2:$BO$1001,MATCH(ROWS($AG$2:AG552),$AG$2:$AG$1001,0),MATCH(COLUMNS($AN$1006:AZ1006),$AN$1006:$BO$1006,0)), HYPERLINK("#",""), HYPERLINK(CONCATENATE("#Metadata!", ADDRESS(INDEX($AI$2:$AI$1001,MATCH(ROWS($AG$2:AG552),$AG$2:$AG$1001,0),0), INDEX($AN$1004:$BO$1004,1,MATCH(COLUMNS($AN$1006:AZ1006),$AN$1006:$BO$1006,0)))),"Fix")))</f>
        <v>0</v>
      </c>
      <c r="O552" s="4">
        <f>IF(OR(INDEX($AH$2:$AH$1001,MATCH(ROWS($AG$2:AG552),$AG$2:$AG$1001,0),1)&gt;=100000,INDEX($AN$1005:$BO$1005,1,MATCH(COLUMNS($AN$1006:BA1006),$AN$1006:$BO$1006,0))&gt;=100000), " ",IF(INDEX($AN$2:$BO$1001,MATCH(ROWS($AG$2:AG552),$AG$2:$AG$1001,0),MATCH(COLUMNS($AN$1006:BA1006),$AN$1006:$BO$1006,0)), HYPERLINK("#",""), HYPERLINK(CONCATENATE("#Metadata!", ADDRESS(INDEX($AI$2:$AI$1001,MATCH(ROWS($AG$2:AG552),$AG$2:$AG$1001,0),0), INDEX($AN$1004:$BO$1004,1,MATCH(COLUMNS($AN$1006:BA1006),$AN$1006:$BO$1006,0)))),"Fix")))</f>
        <v>0</v>
      </c>
      <c r="P552" s="4">
        <f>IF(OR(INDEX($AH$2:$AH$1001,MATCH(ROWS($AG$2:AG552),$AG$2:$AG$1001,0),1)&gt;=100000,INDEX($AN$1005:$BO$1005,1,MATCH(COLUMNS($AN$1006:BB1006),$AN$1006:$BO$1006,0))&gt;=100000), " ",IF(INDEX($AN$2:$BO$1001,MATCH(ROWS($AG$2:AG552),$AG$2:$AG$1001,0),MATCH(COLUMNS($AN$1006:BB1006),$AN$1006:$BO$1006,0)), HYPERLINK("#",""), HYPERLINK(CONCATENATE("#Metadata!", ADDRESS(INDEX($AI$2:$AI$1001,MATCH(ROWS($AG$2:AG552),$AG$2:$AG$1001,0),0), INDEX($AN$1004:$BO$1004,1,MATCH(COLUMNS($AN$1006:BB1006),$AN$1006:$BO$1006,0)))),"Fix")))</f>
        <v>0</v>
      </c>
      <c r="Q552" s="4">
        <f>IF(OR(INDEX($AH$2:$AH$1001,MATCH(ROWS($AG$2:AG552),$AG$2:$AG$1001,0),1)&gt;=100000,INDEX($AN$1005:$BO$1005,1,MATCH(COLUMNS($AN$1006:BC1006),$AN$1006:$BO$1006,0))&gt;=100000), " ",IF(INDEX($AN$2:$BO$1001,MATCH(ROWS($AG$2:AG552),$AG$2:$AG$1001,0),MATCH(COLUMNS($AN$1006:BC1006),$AN$1006:$BO$1006,0)), HYPERLINK("#",""), HYPERLINK(CONCATENATE("#Metadata!", ADDRESS(INDEX($AI$2:$AI$1001,MATCH(ROWS($AG$2:AG552),$AG$2:$AG$1001,0),0), INDEX($AN$1004:$BO$1004,1,MATCH(COLUMNS($AN$1006:BC1006),$AN$1006:$BO$1006,0)))),"Fix")))</f>
        <v>0</v>
      </c>
      <c r="R552" s="4">
        <f>IF(OR(INDEX($AH$2:$AH$1001,MATCH(ROWS($AG$2:AG552),$AG$2:$AG$1001,0),1)&gt;=100000,INDEX($AN$1005:$BO$1005,1,MATCH(COLUMNS($AN$1006:BD1006),$AN$1006:$BO$1006,0))&gt;=100000), " ",IF(INDEX($AN$2:$BO$1001,MATCH(ROWS($AG$2:AG552),$AG$2:$AG$1001,0),MATCH(COLUMNS($AN$1006:BD1006),$AN$1006:$BO$1006,0)), HYPERLINK("#",""), HYPERLINK(CONCATENATE("#Metadata!", ADDRESS(INDEX($AI$2:$AI$1001,MATCH(ROWS($AG$2:AG552),$AG$2:$AG$1001,0),0), INDEX($AN$1004:$BO$1004,1,MATCH(COLUMNS($AN$1006:BD1006),$AN$1006:$BO$1006,0)))),"Fix")))</f>
        <v>0</v>
      </c>
      <c r="S552" s="4">
        <f>IF(OR(INDEX($AH$2:$AH$1001,MATCH(ROWS($AG$2:AG552),$AG$2:$AG$1001,0),1)&gt;=100000,INDEX($AN$1005:$BO$1005,1,MATCH(COLUMNS($AN$1006:BE1006),$AN$1006:$BO$1006,0))&gt;=100000), " ",IF(INDEX($AN$2:$BO$1001,MATCH(ROWS($AG$2:AG552),$AG$2:$AG$1001,0),MATCH(COLUMNS($AN$1006:BE1006),$AN$1006:$BO$1006,0)), HYPERLINK("#",""), HYPERLINK(CONCATENATE("#Metadata!", ADDRESS(INDEX($AI$2:$AI$1001,MATCH(ROWS($AG$2:AG552),$AG$2:$AG$1001,0),0), INDEX($AN$1004:$BO$1004,1,MATCH(COLUMNS($AN$1006:BE1006),$AN$1006:$BO$1006,0)))),"Fix")))</f>
        <v>0</v>
      </c>
      <c r="T552" s="4">
        <f>IF(OR(INDEX($AH$2:$AH$1001,MATCH(ROWS($AG$2:AG552),$AG$2:$AG$1001,0),1)&gt;=100000,INDEX($AN$1005:$BO$1005,1,MATCH(COLUMNS($AN$1006:BF1006),$AN$1006:$BO$1006,0))&gt;=100000), " ",IF(INDEX($AN$2:$BO$1001,MATCH(ROWS($AG$2:AG552),$AG$2:$AG$1001,0),MATCH(COLUMNS($AN$1006:BF1006),$AN$1006:$BO$1006,0)), HYPERLINK("#",""), HYPERLINK(CONCATENATE("#Metadata!", ADDRESS(INDEX($AI$2:$AI$1001,MATCH(ROWS($AG$2:AG552),$AG$2:$AG$1001,0),0), INDEX($AN$1004:$BO$1004,1,MATCH(COLUMNS($AN$1006:BF1006),$AN$1006:$BO$1006,0)))),"Fix")))</f>
        <v>0</v>
      </c>
      <c r="U552" s="4">
        <f>IF(OR(INDEX($AH$2:$AH$1001,MATCH(ROWS($AG$2:AG552),$AG$2:$AG$1001,0),1)&gt;=100000,INDEX($AN$1005:$BO$1005,1,MATCH(COLUMNS($AN$1006:BG1006),$AN$1006:$BO$1006,0))&gt;=100000), " ",IF(INDEX($AN$2:$BO$1001,MATCH(ROWS($AG$2:AG552),$AG$2:$AG$1001,0),MATCH(COLUMNS($AN$1006:BG1006),$AN$1006:$BO$1006,0)), HYPERLINK("#",""), HYPERLINK(CONCATENATE("#Metadata!", ADDRESS(INDEX($AI$2:$AI$1001,MATCH(ROWS($AG$2:AG552),$AG$2:$AG$1001,0),0), INDEX($AN$1004:$BO$1004,1,MATCH(COLUMNS($AN$1006:BG1006),$AN$1006:$BO$1006,0)))),"Fix")))</f>
        <v>0</v>
      </c>
      <c r="V552" s="4">
        <f>IF(OR(INDEX($AH$2:$AH$1001,MATCH(ROWS($AG$2:AG552),$AG$2:$AG$1001,0),1)&gt;=100000,INDEX($AN$1005:$BO$1005,1,MATCH(COLUMNS($AN$1006:BH1006),$AN$1006:$BO$1006,0))&gt;=100000), " ",IF(INDEX($AN$2:$BO$1001,MATCH(ROWS($AG$2:AG552),$AG$2:$AG$1001,0),MATCH(COLUMNS($AN$1006:BH1006),$AN$1006:$BO$1006,0)), HYPERLINK("#",""), HYPERLINK(CONCATENATE("#Metadata!", ADDRESS(INDEX($AI$2:$AI$1001,MATCH(ROWS($AG$2:AG552),$AG$2:$AG$1001,0),0), INDEX($AN$1004:$BO$1004,1,MATCH(COLUMNS($AN$1006:BH1006),$AN$1006:$BO$1006,0)))),"Fix")))</f>
        <v>0</v>
      </c>
      <c r="W552" s="4">
        <f>IF(OR(INDEX($AH$2:$AH$1001,MATCH(ROWS($AG$2:AG552),$AG$2:$AG$1001,0),1)&gt;=100000,INDEX($AN$1005:$BO$1005,1,MATCH(COLUMNS($AN$1006:BI1006),$AN$1006:$BO$1006,0))&gt;=100000), " ",IF(INDEX($AN$2:$BO$1001,MATCH(ROWS($AG$2:AG552),$AG$2:$AG$1001,0),MATCH(COLUMNS($AN$1006:BI1006),$AN$1006:$BO$1006,0)), HYPERLINK("#",""), HYPERLINK(CONCATENATE("#Metadata!", ADDRESS(INDEX($AI$2:$AI$1001,MATCH(ROWS($AG$2:AG552),$AG$2:$AG$1001,0),0), INDEX($AN$1004:$BO$1004,1,MATCH(COLUMNS($AN$1006:BI1006),$AN$1006:$BO$1006,0)))),"Fix")))</f>
        <v>0</v>
      </c>
      <c r="X552" s="4">
        <f>IF(OR(INDEX($AH$2:$AH$1001,MATCH(ROWS($AG$2:AG552),$AG$2:$AG$1001,0),1)&gt;=100000,INDEX($AN$1005:$BO$1005,1,MATCH(COLUMNS($AN$1006:BJ1006),$AN$1006:$BO$1006,0))&gt;=100000), " ",IF(INDEX($AN$2:$BO$1001,MATCH(ROWS($AG$2:AG552),$AG$2:$AG$1001,0),MATCH(COLUMNS($AN$1006:BJ1006),$AN$1006:$BO$1006,0)), HYPERLINK("#",""), HYPERLINK(CONCATENATE("#Metadata!", ADDRESS(INDEX($AI$2:$AI$1001,MATCH(ROWS($AG$2:AG552),$AG$2:$AG$1001,0),0), INDEX($AN$1004:$BO$1004,1,MATCH(COLUMNS($AN$1006:BJ1006),$AN$1006:$BO$1006,0)))),"Fix")))</f>
        <v>0</v>
      </c>
      <c r="Y552" s="4">
        <f>IF(OR(INDEX($AH$2:$AH$1001,MATCH(ROWS($AG$2:AG552),$AG$2:$AG$1001,0),1)&gt;=100000,INDEX($AN$1005:$BO$1005,1,MATCH(COLUMNS($AN$1006:BK1006),$AN$1006:$BO$1006,0))&gt;=100000), " ",IF(INDEX($AN$2:$BO$1001,MATCH(ROWS($AG$2:AG552),$AG$2:$AG$1001,0),MATCH(COLUMNS($AN$1006:BK1006),$AN$1006:$BO$1006,0)), HYPERLINK("#",""), HYPERLINK(CONCATENATE("#Metadata!", ADDRESS(INDEX($AI$2:$AI$1001,MATCH(ROWS($AG$2:AG552),$AG$2:$AG$1001,0),0), INDEX($AN$1004:$BO$1004,1,MATCH(COLUMNS($AN$1006:BK1006),$AN$1006:$BO$1006,0)))),"Fix")))</f>
        <v>0</v>
      </c>
      <c r="Z552" s="4">
        <f>IF(OR(INDEX($AH$2:$AH$1001,MATCH(ROWS($AG$2:AG552),$AG$2:$AG$1001,0),1)&gt;=100000,INDEX($AN$1005:$BO$1005,1,MATCH(COLUMNS($AN$1006:BL1006),$AN$1006:$BO$1006,0))&gt;=100000), " ",IF(INDEX($AN$2:$BO$1001,MATCH(ROWS($AG$2:AG552),$AG$2:$AG$1001,0),MATCH(COLUMNS($AN$1006:BL1006),$AN$1006:$BO$1006,0)), HYPERLINK("#",""), HYPERLINK(CONCATENATE("#Metadata!", ADDRESS(INDEX($AI$2:$AI$1001,MATCH(ROWS($AG$2:AG552),$AG$2:$AG$1001,0),0), INDEX($AN$1004:$BO$1004,1,MATCH(COLUMNS($AN$1006:BL1006),$AN$1006:$BO$1006,0)))),"Fix")))</f>
        <v>0</v>
      </c>
      <c r="AA552" s="4">
        <f>IF(OR(INDEX($AH$2:$AH$1001,MATCH(ROWS($AG$2:AG552),$AG$2:$AG$1001,0),1)&gt;=100000,INDEX($AN$1005:$BO$1005,1,MATCH(COLUMNS($AN$1006:BM1006),$AN$1006:$BO$1006,0))&gt;=100000), " ",IF(INDEX($AN$2:$BO$1001,MATCH(ROWS($AG$2:AG552),$AG$2:$AG$1001,0),MATCH(COLUMNS($AN$1006:BM1006),$AN$1006:$BO$1006,0)), HYPERLINK("#",""), HYPERLINK(CONCATENATE("#Metadata!", ADDRESS(INDEX($AI$2:$AI$1001,MATCH(ROWS($AG$2:AG552),$AG$2:$AG$1001,0),0), INDEX($AN$1004:$BO$1004,1,MATCH(COLUMNS($AN$1006:BM1006),$AN$1006:$BO$1006,0)))),"Fix")))</f>
        <v>0</v>
      </c>
      <c r="AB552" s="4">
        <f>IF(OR(INDEX($AH$2:$AH$1001,MATCH(ROWS($AG$2:AG552),$AG$2:$AG$1001,0),1)&gt;=100000,INDEX($AN$1005:$BO$1005,1,MATCH(COLUMNS($AN$1006:BN1006),$AN$1006:$BO$1006,0))&gt;=100000), " ",IF(INDEX($AN$2:$BO$1001,MATCH(ROWS($AG$2:AG552),$AG$2:$AG$1001,0),MATCH(COLUMNS($AN$1006:BN1006),$AN$1006:$BO$1006,0)), HYPERLINK("#",""), HYPERLINK(CONCATENATE("#Metadata!", ADDRESS(INDEX($AI$2:$AI$1001,MATCH(ROWS($AG$2:AG552),$AG$2:$AG$1001,0),0), INDEX($AN$1004:$BO$1004,1,MATCH(COLUMNS($AN$1006:BN1006),$AN$1006:$BO$1006,0)))),"Fix")))</f>
        <v>0</v>
      </c>
      <c r="AC552" s="4">
        <f>IF(OR(INDEX($AH$2:$AH$1001,MATCH(ROWS($AG$2:AG552),$AG$2:$AG$1001,0),1)&gt;=100000,INDEX($AN$1005:$BO$1005,1,MATCH(COLUMNS($AN$1006:BO1006),$AN$1006:$BO$1006,0))&gt;=100000), " ",IF(INDEX($AN$2:$BO$1001,MATCH(ROWS($AG$2:AG552),$AG$2:$AG$1001,0),MATCH(COLUMNS($AN$1006:BO1006),$AN$1006:$BO$1006,0)), HYPERLINK("#",""), HYPERLINK(CONCATENATE("#Metadata!", ADDRESS(INDEX($AI$2:$AI$1001,MATCH(ROWS($AG$2:AG552),$AG$2:$AG$1001,0),0), INDEX($AN$1004:$BO$1004,1,MATCH(COLUMNS($AN$1006:BO1006),$AN$1006:$BO$1006,0)))),"Fix")))</f>
        <v>0</v>
      </c>
      <c r="AG552">
        <v>0</v>
      </c>
      <c r="AH552">
        <v>0</v>
      </c>
      <c r="AI552">
        <v>0</v>
      </c>
      <c r="AJ552">
        <f>IF(AK552,TRUE,AND(AN552:BO552))</f>
        <v>0</v>
      </c>
      <c r="AK552">
        <f>COUNTBLANK(Metadata!B552:AC552)=COLUMNS(Metadata!B552:AC552)</f>
        <v>0</v>
      </c>
      <c r="AL552">
        <v>0</v>
      </c>
      <c r="AN552">
        <f>AND(IF(Metadata!B552="",FALSE,TRUE),COUNTIF(Metadata!B:B, Metadata!B552) = 1,NOT(ISERROR(SUMPRODUCT(SEARCH(MID(Metadata!B552,ROW(INDIRECT("1:"&amp;LEN(Metadata!B552))), 1),"0123456789abcdefghijklmnopqrstuvwxyzABCDEFGHIJKLMNOPQRSTUVWXYZ.")))))</f>
        <v>0</v>
      </c>
      <c r="AO552">
        <f>IF(Metadata!C552="",FALSE,TRUE)</f>
        <v>0</v>
      </c>
      <c r="AP552">
        <f>IF(Metadata!D552="",FALSE,TRUE)</f>
        <v>0</v>
      </c>
      <c r="AQ552">
        <f>OR(AND(IF(Metadata!E552="",FALSE,TRUE),OR(exact(Metadata!E552,"not collected"),exact(Metadata!E552,"not provided"),exact(Metadata!E552,"restricted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R552">
        <f>IF(Metadata!F552="",FALSE,TRUE)</f>
        <v>0</v>
      </c>
      <c r="AS552">
        <f>OR(AND(IF(Metadata!G552="",FALSE,TRUE),OR(exact(Metadata!G552,"not collected"),exact(Metadata!G552,"not provided"))),AND(IF(Metadata!G552="",FALSE,TRUE),OR(exact(Metadata!G552,"TRUE"),exact(Metadata!G552,"FALSE"))))</f>
        <v>0</v>
      </c>
      <c r="AT552">
        <f>OR(AND(IF(Metadata!H552="",FALSE,TRUE),OR(exact(Metadata!H552,"not collected"),exact(Metadata!H552,"not provided"),exact(Metadata!H552,"restricted access"))),AND(IF(Metadata!H552="",FALSE,ISNUMBER(VALUE(Metadata!H552))),Metadata!H552&gt;=-413.0))</f>
        <v>0</v>
      </c>
      <c r="AU552">
        <f>AND(IF(Metadata!I552="",FALSE,TRUE),exact(Metadata!I552,"meters"))</f>
        <v>0</v>
      </c>
      <c r="AV552">
        <f>AND(IF(Metadata!J552="",FALSE,TRUE),OR(exact(Metadata!J552,"Host-associated"),exact(Metadata!J552,"Free-living")))</f>
        <v>0</v>
      </c>
      <c r="AW552">
        <f>AND(IF(Metadata!K552="",FALSE,TRUE),OR(exact(Metadata!K552,"Animal"),exact(Metadata!K552,"Fungus"),exact(Metadata!K552,"Plant"),exact(Metadata!K552,"Saline"),exact(Metadata!K552,"Non-saline")))</f>
        <v>0</v>
      </c>
      <c r="AX552">
        <f>AND(IF(Metadata!L552="",FALSE,TRUE),OR(exact(Metadata!L552,"Plant secretion"),exact(Metadata!L552,"Plant rhizosphere"),exact(Metadata!L552,"Plant surface"),exact(Metadata!L552,"Plant corpus"),exact(Metadata!L552,"Fungus surface"),exact(Metadata!L552,"Fungus corpus"),exact(Metadata!L552,"Animal surface"),exact(Metadata!L552,"Animal proximal gut"),exact(Metadata!L552,"Animal corpus"),exact(Metadata!L552,"Animal distal gut"),exact(Metadata!L552,"Animal secretion"),exact(Metadata!L552,"Sub-surface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Y552">
        <f>IF(Metadata!M552="",FALSE,TRUE)</f>
        <v>0</v>
      </c>
      <c r="AZ552">
        <f>IF(Metadata!N552="",FALSE,TRUE)</f>
        <v>0</v>
      </c>
      <c r="BA552">
        <f>IF(Metadata!O552="",FALSE,TRUE)</f>
        <v>0</v>
      </c>
      <c r="BB552">
        <f>OR(AND(IF(Metadata!P552="",FALSE,TRUE),OR(exact(Metadata!P552,"not collected"),exact(Metadata!P552,"not provided"),exact(Metadata!P552,"restricted access"))),AND(IF(Metadata!P552="",FALSE,TRUE),OR(exact(Metadata!P552,"air"),exact(Metadata!P552,"built environment"),exact(Metadata!P552,"host-associated"),exact(Metadata!P552,"human-associated"),exact(Metadata!P552,"human-skin"),exact(Metadata!P552,"human-oral"),exact(Metadata!P552,"human-gut"),exact(Metadata!P552,"human-vaginal"),exact(Metadata!P552,"microbial mat/biofilm"),exact(Metadata!P552,"misc environment"),exact(Metadata!P552,"plant-associated"),exact(Metadata!P552,"sediment"),exact(Metadata!P552,"soil"),exact(Metadata!P552,"wastewater/sludge"),exact(Metadata!P552,"water"))))</f>
        <v>0</v>
      </c>
      <c r="BC552">
        <f>IF(Metadata!Q552="",FALSE,TRUE)</f>
        <v>0</v>
      </c>
      <c r="BD552">
        <f>IF(Metadata!R552="",FALSE,TRUE)</f>
        <v>0</v>
      </c>
      <c r="BE552">
        <f>OR(AND(IF(Metadata!S552="",FALSE,TRUE),OR(exact(Metadata!S552,"not collected"),exact(Metadata!S552,"not provided"),exact(Metadata!S552,"restricted access"))),AND(IF(Metadata!S552="",FALSE,ISNUMBER(VALUE(Metadata!S552))),Metadata!S552&gt;=-90.00,Metadata!S552&lt;=90.00))</f>
        <v>0</v>
      </c>
      <c r="BF552">
        <f>AND(IF(Metadata!T552="",FALSE,TRUE),exact(Metadata!T552,"Decimal degrees"))</f>
        <v>0</v>
      </c>
      <c r="BG552">
        <f>OR(AND(IF(Metadata!U552="",FALSE,TRUE),OR(exact(Metadata!U552,"not collected"),exact(Metadata!U552,"not provided"),exact(Metadata!U552,"restricted access"))),AND(IF(Metadata!U552="",FALSE,ISNUMBER(VALUE(Metadata!U552))),Metadata!U552&gt;=-180.00,Metadata!U552&lt;=180.00))</f>
        <v>0</v>
      </c>
      <c r="BH552">
        <f>AND(IF(Metadata!V552="",FALSE,TRUE),exact(Metadata!V552,"Decimal degrees"))</f>
        <v>0</v>
      </c>
      <c r="BI552">
        <f>IF(Metadata!W552="",FALSE,TRUE)</f>
        <v>0</v>
      </c>
      <c r="BJ552">
        <f>OR(AND(IF(Metadata!X552="",FALSE,TRUE),OR(exact(Metadata!X552,"not collected"),exact(Metadata!X552,"not provided"),exact(Metadata!X552,"restricted access"))),AND(IF(Metadata!X552="",FALSE,TRUE),OR(exact(Metadata!X552,"TRUE"),exact(Metadata!X552,"FALSE"))))</f>
        <v>0</v>
      </c>
      <c r="BK552">
        <f>AND(IF(Metadata!Y552="",FALSE,TRUE),exact(Metadata!Y552,"other"))</f>
        <v>0</v>
      </c>
      <c r="BL552">
        <f>IF(Metadata!Z552="",FALSE,TRUE)</f>
        <v>0</v>
      </c>
      <c r="BM552">
        <f>OR(AND(IF(Metadata!AA552="",FALSE,TRUE),OR(exact(Metadata!AA552,"not collected"),exact(Metadata!AA552,"not provided"))),AND(IF(Metadata!AA552="",FALSE,IF(ISERROR(INT(Metadata!AA552)),FALSE,INT(Metadata!AA552)=Metadata!AA552)),Metadata!AA552&gt;0))</f>
        <v>0</v>
      </c>
      <c r="BN552">
        <f>AND(IF(Metadata!AB552="",FALSE,TRUE),exact(Metadata!AB552,"Not applicable"))</f>
        <v>0</v>
      </c>
      <c r="BO552">
        <f>IF(Metadata!AC552="",FALSE,TRUE)</f>
        <v>0</v>
      </c>
    </row>
    <row r="553" spans="1:67">
      <c r="A553" s="5">
        <f>IF(B553=" "," ",HYPERLINK(CONCATENATE("#metadata!",ADDRESS(INDEX($AI$2:$AI$1001,MATCH(ROWS($AG$2:AG553),$AG$2:$AG$1001,0),0),1)),INDEX($AL$2:$AL$1001,MATCH(ROWS($AG$2:AG553),$AG$2:$AG$1001,0),0)))</f>
        <v>0</v>
      </c>
      <c r="B553" s="4">
        <f>IF(OR(INDEX($AH$2:$AH$1001,MATCH(ROWS($AG$2:AG553),$AG$2:$AG$1001,0),1)&gt;=100000,INDEX($AN$1005:$BO$1005,1,MATCH(COLUMNS($AN$1006:AN1006),$AN$1006:$BO$1006,0))&gt;=100000), " ",IF(INDEX($AN$2:$BO$1001,MATCH(ROWS($AG$2:AG553),$AG$2:$AG$1001,0),MATCH(COLUMNS($AN$1006:AN1006),$AN$1006:$BO$1006,0)), HYPERLINK("#",""), HYPERLINK(CONCATENATE("#Metadata!", ADDRESS(INDEX($AI$2:$AI$1001,MATCH(ROWS($AG$2:AG553),$AG$2:$AG$1001,0),0), INDEX($AN$1004:$BO$1004,1,MATCH(COLUMNS($AN$1006:AN1006),$AN$1006:$BO$1006,0)))),"Fix")))</f>
        <v>0</v>
      </c>
      <c r="C553" s="4">
        <f>IF(OR(INDEX($AH$2:$AH$1001,MATCH(ROWS($AG$2:AG553),$AG$2:$AG$1001,0),1)&gt;=100000,INDEX($AN$1005:$BO$1005,1,MATCH(COLUMNS($AN$1006:AO1006),$AN$1006:$BO$1006,0))&gt;=100000), " ",IF(INDEX($AN$2:$BO$1001,MATCH(ROWS($AG$2:AG553),$AG$2:$AG$1001,0),MATCH(COLUMNS($AN$1006:AO1006),$AN$1006:$BO$1006,0)), HYPERLINK("#",""), HYPERLINK(CONCATENATE("#Metadata!", ADDRESS(INDEX($AI$2:$AI$1001,MATCH(ROWS($AG$2:AG553),$AG$2:$AG$1001,0),0), INDEX($AN$1004:$BO$1004,1,MATCH(COLUMNS($AN$1006:AO1006),$AN$1006:$BO$1006,0)))),"Fix")))</f>
        <v>0</v>
      </c>
      <c r="D553" s="4">
        <f>IF(OR(INDEX($AH$2:$AH$1001,MATCH(ROWS($AG$2:AG553),$AG$2:$AG$1001,0),1)&gt;=100000,INDEX($AN$1005:$BO$1005,1,MATCH(COLUMNS($AN$1006:AP1006),$AN$1006:$BO$1006,0))&gt;=100000), " ",IF(INDEX($AN$2:$BO$1001,MATCH(ROWS($AG$2:AG553),$AG$2:$AG$1001,0),MATCH(COLUMNS($AN$1006:AP1006),$AN$1006:$BO$1006,0)), HYPERLINK("#",""), HYPERLINK(CONCATENATE("#Metadata!", ADDRESS(INDEX($AI$2:$AI$1001,MATCH(ROWS($AG$2:AG553),$AG$2:$AG$1001,0),0), INDEX($AN$1004:$BO$1004,1,MATCH(COLUMNS($AN$1006:AP1006),$AN$1006:$BO$1006,0)))),"Fix")))</f>
        <v>0</v>
      </c>
      <c r="E553" s="4">
        <f>IF(OR(INDEX($AH$2:$AH$1001,MATCH(ROWS($AG$2:AG553),$AG$2:$AG$1001,0),1)&gt;=100000,INDEX($AN$1005:$BO$1005,1,MATCH(COLUMNS($AN$1006:AQ1006),$AN$1006:$BO$1006,0))&gt;=100000), " ",IF(INDEX($AN$2:$BO$1001,MATCH(ROWS($AG$2:AG553),$AG$2:$AG$1001,0),MATCH(COLUMNS($AN$1006:AQ1006),$AN$1006:$BO$1006,0)), HYPERLINK("#",""), HYPERLINK(CONCATENATE("#Metadata!", ADDRESS(INDEX($AI$2:$AI$1001,MATCH(ROWS($AG$2:AG553),$AG$2:$AG$1001,0),0), INDEX($AN$1004:$BO$1004,1,MATCH(COLUMNS($AN$1006:AQ1006),$AN$1006:$BO$1006,0)))),"Fix")))</f>
        <v>0</v>
      </c>
      <c r="F553" s="4">
        <f>IF(OR(INDEX($AH$2:$AH$1001,MATCH(ROWS($AG$2:AG553),$AG$2:$AG$1001,0),1)&gt;=100000,INDEX($AN$1005:$BO$1005,1,MATCH(COLUMNS($AN$1006:AR1006),$AN$1006:$BO$1006,0))&gt;=100000), " ",IF(INDEX($AN$2:$BO$1001,MATCH(ROWS($AG$2:AG553),$AG$2:$AG$1001,0),MATCH(COLUMNS($AN$1006:AR1006),$AN$1006:$BO$1006,0)), HYPERLINK("#",""), HYPERLINK(CONCATENATE("#Metadata!", ADDRESS(INDEX($AI$2:$AI$1001,MATCH(ROWS($AG$2:AG553),$AG$2:$AG$1001,0),0), INDEX($AN$1004:$BO$1004,1,MATCH(COLUMNS($AN$1006:AR1006),$AN$1006:$BO$1006,0)))),"Fix")))</f>
        <v>0</v>
      </c>
      <c r="G553" s="4">
        <f>IF(OR(INDEX($AH$2:$AH$1001,MATCH(ROWS($AG$2:AG553),$AG$2:$AG$1001,0),1)&gt;=100000,INDEX($AN$1005:$BO$1005,1,MATCH(COLUMNS($AN$1006:AS1006),$AN$1006:$BO$1006,0))&gt;=100000), " ",IF(INDEX($AN$2:$BO$1001,MATCH(ROWS($AG$2:AG553),$AG$2:$AG$1001,0),MATCH(COLUMNS($AN$1006:AS1006),$AN$1006:$BO$1006,0)), HYPERLINK("#",""), HYPERLINK(CONCATENATE("#Metadata!", ADDRESS(INDEX($AI$2:$AI$1001,MATCH(ROWS($AG$2:AG553),$AG$2:$AG$1001,0),0), INDEX($AN$1004:$BO$1004,1,MATCH(COLUMNS($AN$1006:AS1006),$AN$1006:$BO$1006,0)))),"Fix")))</f>
        <v>0</v>
      </c>
      <c r="H553" s="4">
        <f>IF(OR(INDEX($AH$2:$AH$1001,MATCH(ROWS($AG$2:AG553),$AG$2:$AG$1001,0),1)&gt;=100000,INDEX($AN$1005:$BO$1005,1,MATCH(COLUMNS($AN$1006:AT1006),$AN$1006:$BO$1006,0))&gt;=100000), " ",IF(INDEX($AN$2:$BO$1001,MATCH(ROWS($AG$2:AG553),$AG$2:$AG$1001,0),MATCH(COLUMNS($AN$1006:AT1006),$AN$1006:$BO$1006,0)), HYPERLINK("#",""), HYPERLINK(CONCATENATE("#Metadata!", ADDRESS(INDEX($AI$2:$AI$1001,MATCH(ROWS($AG$2:AG553),$AG$2:$AG$1001,0),0), INDEX($AN$1004:$BO$1004,1,MATCH(COLUMNS($AN$1006:AT1006),$AN$1006:$BO$1006,0)))),"Fix")))</f>
        <v>0</v>
      </c>
      <c r="I553" s="4">
        <f>IF(OR(INDEX($AH$2:$AH$1001,MATCH(ROWS($AG$2:AG553),$AG$2:$AG$1001,0),1)&gt;=100000,INDEX($AN$1005:$BO$1005,1,MATCH(COLUMNS($AN$1006:AU1006),$AN$1006:$BO$1006,0))&gt;=100000), " ",IF(INDEX($AN$2:$BO$1001,MATCH(ROWS($AG$2:AG553),$AG$2:$AG$1001,0),MATCH(COLUMNS($AN$1006:AU1006),$AN$1006:$BO$1006,0)), HYPERLINK("#",""), HYPERLINK(CONCATENATE("#Metadata!", ADDRESS(INDEX($AI$2:$AI$1001,MATCH(ROWS($AG$2:AG553),$AG$2:$AG$1001,0),0), INDEX($AN$1004:$BO$1004,1,MATCH(COLUMNS($AN$1006:AU1006),$AN$1006:$BO$1006,0)))),"Fix")))</f>
        <v>0</v>
      </c>
      <c r="J553" s="4">
        <f>IF(OR(INDEX($AH$2:$AH$1001,MATCH(ROWS($AG$2:AG553),$AG$2:$AG$1001,0),1)&gt;=100000,INDEX($AN$1005:$BO$1005,1,MATCH(COLUMNS($AN$1006:AV1006),$AN$1006:$BO$1006,0))&gt;=100000), " ",IF(INDEX($AN$2:$BO$1001,MATCH(ROWS($AG$2:AG553),$AG$2:$AG$1001,0),MATCH(COLUMNS($AN$1006:AV1006),$AN$1006:$BO$1006,0)), HYPERLINK("#",""), HYPERLINK(CONCATENATE("#Metadata!", ADDRESS(INDEX($AI$2:$AI$1001,MATCH(ROWS($AG$2:AG553),$AG$2:$AG$1001,0),0), INDEX($AN$1004:$BO$1004,1,MATCH(COLUMNS($AN$1006:AV1006),$AN$1006:$BO$1006,0)))),"Fix")))</f>
        <v>0</v>
      </c>
      <c r="K553" s="4">
        <f>IF(OR(INDEX($AH$2:$AH$1001,MATCH(ROWS($AG$2:AG553),$AG$2:$AG$1001,0),1)&gt;=100000,INDEX($AN$1005:$BO$1005,1,MATCH(COLUMNS($AN$1006:AW1006),$AN$1006:$BO$1006,0))&gt;=100000), " ",IF(INDEX($AN$2:$BO$1001,MATCH(ROWS($AG$2:AG553),$AG$2:$AG$1001,0),MATCH(COLUMNS($AN$1006:AW1006),$AN$1006:$BO$1006,0)), HYPERLINK("#",""), HYPERLINK(CONCATENATE("#Metadata!", ADDRESS(INDEX($AI$2:$AI$1001,MATCH(ROWS($AG$2:AG553),$AG$2:$AG$1001,0),0), INDEX($AN$1004:$BO$1004,1,MATCH(COLUMNS($AN$1006:AW1006),$AN$1006:$BO$1006,0)))),"Fix")))</f>
        <v>0</v>
      </c>
      <c r="L553" s="4">
        <f>IF(OR(INDEX($AH$2:$AH$1001,MATCH(ROWS($AG$2:AG553),$AG$2:$AG$1001,0),1)&gt;=100000,INDEX($AN$1005:$BO$1005,1,MATCH(COLUMNS($AN$1006:AX1006),$AN$1006:$BO$1006,0))&gt;=100000), " ",IF(INDEX($AN$2:$BO$1001,MATCH(ROWS($AG$2:AG553),$AG$2:$AG$1001,0),MATCH(COLUMNS($AN$1006:AX1006),$AN$1006:$BO$1006,0)), HYPERLINK("#",""), HYPERLINK(CONCATENATE("#Metadata!", ADDRESS(INDEX($AI$2:$AI$1001,MATCH(ROWS($AG$2:AG553),$AG$2:$AG$1001,0),0), INDEX($AN$1004:$BO$1004,1,MATCH(COLUMNS($AN$1006:AX1006),$AN$1006:$BO$1006,0)))),"Fix")))</f>
        <v>0</v>
      </c>
      <c r="M553" s="4">
        <f>IF(OR(INDEX($AH$2:$AH$1001,MATCH(ROWS($AG$2:AG553),$AG$2:$AG$1001,0),1)&gt;=100000,INDEX($AN$1005:$BO$1005,1,MATCH(COLUMNS($AN$1006:AY1006),$AN$1006:$BO$1006,0))&gt;=100000), " ",IF(INDEX($AN$2:$BO$1001,MATCH(ROWS($AG$2:AG553),$AG$2:$AG$1001,0),MATCH(COLUMNS($AN$1006:AY1006),$AN$1006:$BO$1006,0)), HYPERLINK("#",""), HYPERLINK(CONCATENATE("#Metadata!", ADDRESS(INDEX($AI$2:$AI$1001,MATCH(ROWS($AG$2:AG553),$AG$2:$AG$1001,0),0), INDEX($AN$1004:$BO$1004,1,MATCH(COLUMNS($AN$1006:AY1006),$AN$1006:$BO$1006,0)))),"Fix")))</f>
        <v>0</v>
      </c>
      <c r="N553" s="4">
        <f>IF(OR(INDEX($AH$2:$AH$1001,MATCH(ROWS($AG$2:AG553),$AG$2:$AG$1001,0),1)&gt;=100000,INDEX($AN$1005:$BO$1005,1,MATCH(COLUMNS($AN$1006:AZ1006),$AN$1006:$BO$1006,0))&gt;=100000), " ",IF(INDEX($AN$2:$BO$1001,MATCH(ROWS($AG$2:AG553),$AG$2:$AG$1001,0),MATCH(COLUMNS($AN$1006:AZ1006),$AN$1006:$BO$1006,0)), HYPERLINK("#",""), HYPERLINK(CONCATENATE("#Metadata!", ADDRESS(INDEX($AI$2:$AI$1001,MATCH(ROWS($AG$2:AG553),$AG$2:$AG$1001,0),0), INDEX($AN$1004:$BO$1004,1,MATCH(COLUMNS($AN$1006:AZ1006),$AN$1006:$BO$1006,0)))),"Fix")))</f>
        <v>0</v>
      </c>
      <c r="O553" s="4">
        <f>IF(OR(INDEX($AH$2:$AH$1001,MATCH(ROWS($AG$2:AG553),$AG$2:$AG$1001,0),1)&gt;=100000,INDEX($AN$1005:$BO$1005,1,MATCH(COLUMNS($AN$1006:BA1006),$AN$1006:$BO$1006,0))&gt;=100000), " ",IF(INDEX($AN$2:$BO$1001,MATCH(ROWS($AG$2:AG553),$AG$2:$AG$1001,0),MATCH(COLUMNS($AN$1006:BA1006),$AN$1006:$BO$1006,0)), HYPERLINK("#",""), HYPERLINK(CONCATENATE("#Metadata!", ADDRESS(INDEX($AI$2:$AI$1001,MATCH(ROWS($AG$2:AG553),$AG$2:$AG$1001,0),0), INDEX($AN$1004:$BO$1004,1,MATCH(COLUMNS($AN$1006:BA1006),$AN$1006:$BO$1006,0)))),"Fix")))</f>
        <v>0</v>
      </c>
      <c r="P553" s="4">
        <f>IF(OR(INDEX($AH$2:$AH$1001,MATCH(ROWS($AG$2:AG553),$AG$2:$AG$1001,0),1)&gt;=100000,INDEX($AN$1005:$BO$1005,1,MATCH(COLUMNS($AN$1006:BB1006),$AN$1006:$BO$1006,0))&gt;=100000), " ",IF(INDEX($AN$2:$BO$1001,MATCH(ROWS($AG$2:AG553),$AG$2:$AG$1001,0),MATCH(COLUMNS($AN$1006:BB1006),$AN$1006:$BO$1006,0)), HYPERLINK("#",""), HYPERLINK(CONCATENATE("#Metadata!", ADDRESS(INDEX($AI$2:$AI$1001,MATCH(ROWS($AG$2:AG553),$AG$2:$AG$1001,0),0), INDEX($AN$1004:$BO$1004,1,MATCH(COLUMNS($AN$1006:BB1006),$AN$1006:$BO$1006,0)))),"Fix")))</f>
        <v>0</v>
      </c>
      <c r="Q553" s="4">
        <f>IF(OR(INDEX($AH$2:$AH$1001,MATCH(ROWS($AG$2:AG553),$AG$2:$AG$1001,0),1)&gt;=100000,INDEX($AN$1005:$BO$1005,1,MATCH(COLUMNS($AN$1006:BC1006),$AN$1006:$BO$1006,0))&gt;=100000), " ",IF(INDEX($AN$2:$BO$1001,MATCH(ROWS($AG$2:AG553),$AG$2:$AG$1001,0),MATCH(COLUMNS($AN$1006:BC1006),$AN$1006:$BO$1006,0)), HYPERLINK("#",""), HYPERLINK(CONCATENATE("#Metadata!", ADDRESS(INDEX($AI$2:$AI$1001,MATCH(ROWS($AG$2:AG553),$AG$2:$AG$1001,0),0), INDEX($AN$1004:$BO$1004,1,MATCH(COLUMNS($AN$1006:BC1006),$AN$1006:$BO$1006,0)))),"Fix")))</f>
        <v>0</v>
      </c>
      <c r="R553" s="4">
        <f>IF(OR(INDEX($AH$2:$AH$1001,MATCH(ROWS($AG$2:AG553),$AG$2:$AG$1001,0),1)&gt;=100000,INDEX($AN$1005:$BO$1005,1,MATCH(COLUMNS($AN$1006:BD1006),$AN$1006:$BO$1006,0))&gt;=100000), " ",IF(INDEX($AN$2:$BO$1001,MATCH(ROWS($AG$2:AG553),$AG$2:$AG$1001,0),MATCH(COLUMNS($AN$1006:BD1006),$AN$1006:$BO$1006,0)), HYPERLINK("#",""), HYPERLINK(CONCATENATE("#Metadata!", ADDRESS(INDEX($AI$2:$AI$1001,MATCH(ROWS($AG$2:AG553),$AG$2:$AG$1001,0),0), INDEX($AN$1004:$BO$1004,1,MATCH(COLUMNS($AN$1006:BD1006),$AN$1006:$BO$1006,0)))),"Fix")))</f>
        <v>0</v>
      </c>
      <c r="S553" s="4">
        <f>IF(OR(INDEX($AH$2:$AH$1001,MATCH(ROWS($AG$2:AG553),$AG$2:$AG$1001,0),1)&gt;=100000,INDEX($AN$1005:$BO$1005,1,MATCH(COLUMNS($AN$1006:BE1006),$AN$1006:$BO$1006,0))&gt;=100000), " ",IF(INDEX($AN$2:$BO$1001,MATCH(ROWS($AG$2:AG553),$AG$2:$AG$1001,0),MATCH(COLUMNS($AN$1006:BE1006),$AN$1006:$BO$1006,0)), HYPERLINK("#",""), HYPERLINK(CONCATENATE("#Metadata!", ADDRESS(INDEX($AI$2:$AI$1001,MATCH(ROWS($AG$2:AG553),$AG$2:$AG$1001,0),0), INDEX($AN$1004:$BO$1004,1,MATCH(COLUMNS($AN$1006:BE1006),$AN$1006:$BO$1006,0)))),"Fix")))</f>
        <v>0</v>
      </c>
      <c r="T553" s="4">
        <f>IF(OR(INDEX($AH$2:$AH$1001,MATCH(ROWS($AG$2:AG553),$AG$2:$AG$1001,0),1)&gt;=100000,INDEX($AN$1005:$BO$1005,1,MATCH(COLUMNS($AN$1006:BF1006),$AN$1006:$BO$1006,0))&gt;=100000), " ",IF(INDEX($AN$2:$BO$1001,MATCH(ROWS($AG$2:AG553),$AG$2:$AG$1001,0),MATCH(COLUMNS($AN$1006:BF1006),$AN$1006:$BO$1006,0)), HYPERLINK("#",""), HYPERLINK(CONCATENATE("#Metadata!", ADDRESS(INDEX($AI$2:$AI$1001,MATCH(ROWS($AG$2:AG553),$AG$2:$AG$1001,0),0), INDEX($AN$1004:$BO$1004,1,MATCH(COLUMNS($AN$1006:BF1006),$AN$1006:$BO$1006,0)))),"Fix")))</f>
        <v>0</v>
      </c>
      <c r="U553" s="4">
        <f>IF(OR(INDEX($AH$2:$AH$1001,MATCH(ROWS($AG$2:AG553),$AG$2:$AG$1001,0),1)&gt;=100000,INDEX($AN$1005:$BO$1005,1,MATCH(COLUMNS($AN$1006:BG1006),$AN$1006:$BO$1006,0))&gt;=100000), " ",IF(INDEX($AN$2:$BO$1001,MATCH(ROWS($AG$2:AG553),$AG$2:$AG$1001,0),MATCH(COLUMNS($AN$1006:BG1006),$AN$1006:$BO$1006,0)), HYPERLINK("#",""), HYPERLINK(CONCATENATE("#Metadata!", ADDRESS(INDEX($AI$2:$AI$1001,MATCH(ROWS($AG$2:AG553),$AG$2:$AG$1001,0),0), INDEX($AN$1004:$BO$1004,1,MATCH(COLUMNS($AN$1006:BG1006),$AN$1006:$BO$1006,0)))),"Fix")))</f>
        <v>0</v>
      </c>
      <c r="V553" s="4">
        <f>IF(OR(INDEX($AH$2:$AH$1001,MATCH(ROWS($AG$2:AG553),$AG$2:$AG$1001,0),1)&gt;=100000,INDEX($AN$1005:$BO$1005,1,MATCH(COLUMNS($AN$1006:BH1006),$AN$1006:$BO$1006,0))&gt;=100000), " ",IF(INDEX($AN$2:$BO$1001,MATCH(ROWS($AG$2:AG553),$AG$2:$AG$1001,0),MATCH(COLUMNS($AN$1006:BH1006),$AN$1006:$BO$1006,0)), HYPERLINK("#",""), HYPERLINK(CONCATENATE("#Metadata!", ADDRESS(INDEX($AI$2:$AI$1001,MATCH(ROWS($AG$2:AG553),$AG$2:$AG$1001,0),0), INDEX($AN$1004:$BO$1004,1,MATCH(COLUMNS($AN$1006:BH1006),$AN$1006:$BO$1006,0)))),"Fix")))</f>
        <v>0</v>
      </c>
      <c r="W553" s="4">
        <f>IF(OR(INDEX($AH$2:$AH$1001,MATCH(ROWS($AG$2:AG553),$AG$2:$AG$1001,0),1)&gt;=100000,INDEX($AN$1005:$BO$1005,1,MATCH(COLUMNS($AN$1006:BI1006),$AN$1006:$BO$1006,0))&gt;=100000), " ",IF(INDEX($AN$2:$BO$1001,MATCH(ROWS($AG$2:AG553),$AG$2:$AG$1001,0),MATCH(COLUMNS($AN$1006:BI1006),$AN$1006:$BO$1006,0)), HYPERLINK("#",""), HYPERLINK(CONCATENATE("#Metadata!", ADDRESS(INDEX($AI$2:$AI$1001,MATCH(ROWS($AG$2:AG553),$AG$2:$AG$1001,0),0), INDEX($AN$1004:$BO$1004,1,MATCH(COLUMNS($AN$1006:BI1006),$AN$1006:$BO$1006,0)))),"Fix")))</f>
        <v>0</v>
      </c>
      <c r="X553" s="4">
        <f>IF(OR(INDEX($AH$2:$AH$1001,MATCH(ROWS($AG$2:AG553),$AG$2:$AG$1001,0),1)&gt;=100000,INDEX($AN$1005:$BO$1005,1,MATCH(COLUMNS($AN$1006:BJ1006),$AN$1006:$BO$1006,0))&gt;=100000), " ",IF(INDEX($AN$2:$BO$1001,MATCH(ROWS($AG$2:AG553),$AG$2:$AG$1001,0),MATCH(COLUMNS($AN$1006:BJ1006),$AN$1006:$BO$1006,0)), HYPERLINK("#",""), HYPERLINK(CONCATENATE("#Metadata!", ADDRESS(INDEX($AI$2:$AI$1001,MATCH(ROWS($AG$2:AG553),$AG$2:$AG$1001,0),0), INDEX($AN$1004:$BO$1004,1,MATCH(COLUMNS($AN$1006:BJ1006),$AN$1006:$BO$1006,0)))),"Fix")))</f>
        <v>0</v>
      </c>
      <c r="Y553" s="4">
        <f>IF(OR(INDEX($AH$2:$AH$1001,MATCH(ROWS($AG$2:AG553),$AG$2:$AG$1001,0),1)&gt;=100000,INDEX($AN$1005:$BO$1005,1,MATCH(COLUMNS($AN$1006:BK1006),$AN$1006:$BO$1006,0))&gt;=100000), " ",IF(INDEX($AN$2:$BO$1001,MATCH(ROWS($AG$2:AG553),$AG$2:$AG$1001,0),MATCH(COLUMNS($AN$1006:BK1006),$AN$1006:$BO$1006,0)), HYPERLINK("#",""), HYPERLINK(CONCATENATE("#Metadata!", ADDRESS(INDEX($AI$2:$AI$1001,MATCH(ROWS($AG$2:AG553),$AG$2:$AG$1001,0),0), INDEX($AN$1004:$BO$1004,1,MATCH(COLUMNS($AN$1006:BK1006),$AN$1006:$BO$1006,0)))),"Fix")))</f>
        <v>0</v>
      </c>
      <c r="Z553" s="4">
        <f>IF(OR(INDEX($AH$2:$AH$1001,MATCH(ROWS($AG$2:AG553),$AG$2:$AG$1001,0),1)&gt;=100000,INDEX($AN$1005:$BO$1005,1,MATCH(COLUMNS($AN$1006:BL1006),$AN$1006:$BO$1006,0))&gt;=100000), " ",IF(INDEX($AN$2:$BO$1001,MATCH(ROWS($AG$2:AG553),$AG$2:$AG$1001,0),MATCH(COLUMNS($AN$1006:BL1006),$AN$1006:$BO$1006,0)), HYPERLINK("#",""), HYPERLINK(CONCATENATE("#Metadata!", ADDRESS(INDEX($AI$2:$AI$1001,MATCH(ROWS($AG$2:AG553),$AG$2:$AG$1001,0),0), INDEX($AN$1004:$BO$1004,1,MATCH(COLUMNS($AN$1006:BL1006),$AN$1006:$BO$1006,0)))),"Fix")))</f>
        <v>0</v>
      </c>
      <c r="AA553" s="4">
        <f>IF(OR(INDEX($AH$2:$AH$1001,MATCH(ROWS($AG$2:AG553),$AG$2:$AG$1001,0),1)&gt;=100000,INDEX($AN$1005:$BO$1005,1,MATCH(COLUMNS($AN$1006:BM1006),$AN$1006:$BO$1006,0))&gt;=100000), " ",IF(INDEX($AN$2:$BO$1001,MATCH(ROWS($AG$2:AG553),$AG$2:$AG$1001,0),MATCH(COLUMNS($AN$1006:BM1006),$AN$1006:$BO$1006,0)), HYPERLINK("#",""), HYPERLINK(CONCATENATE("#Metadata!", ADDRESS(INDEX($AI$2:$AI$1001,MATCH(ROWS($AG$2:AG553),$AG$2:$AG$1001,0),0), INDEX($AN$1004:$BO$1004,1,MATCH(COLUMNS($AN$1006:BM1006),$AN$1006:$BO$1006,0)))),"Fix")))</f>
        <v>0</v>
      </c>
      <c r="AB553" s="4">
        <f>IF(OR(INDEX($AH$2:$AH$1001,MATCH(ROWS($AG$2:AG553),$AG$2:$AG$1001,0),1)&gt;=100000,INDEX($AN$1005:$BO$1005,1,MATCH(COLUMNS($AN$1006:BN1006),$AN$1006:$BO$1006,0))&gt;=100000), " ",IF(INDEX($AN$2:$BO$1001,MATCH(ROWS($AG$2:AG553),$AG$2:$AG$1001,0),MATCH(COLUMNS($AN$1006:BN1006),$AN$1006:$BO$1006,0)), HYPERLINK("#",""), HYPERLINK(CONCATENATE("#Metadata!", ADDRESS(INDEX($AI$2:$AI$1001,MATCH(ROWS($AG$2:AG553),$AG$2:$AG$1001,0),0), INDEX($AN$1004:$BO$1004,1,MATCH(COLUMNS($AN$1006:BN1006),$AN$1006:$BO$1006,0)))),"Fix")))</f>
        <v>0</v>
      </c>
      <c r="AC553" s="4">
        <f>IF(OR(INDEX($AH$2:$AH$1001,MATCH(ROWS($AG$2:AG553),$AG$2:$AG$1001,0),1)&gt;=100000,INDEX($AN$1005:$BO$1005,1,MATCH(COLUMNS($AN$1006:BO1006),$AN$1006:$BO$1006,0))&gt;=100000), " ",IF(INDEX($AN$2:$BO$1001,MATCH(ROWS($AG$2:AG553),$AG$2:$AG$1001,0),MATCH(COLUMNS($AN$1006:BO1006),$AN$1006:$BO$1006,0)), HYPERLINK("#",""), HYPERLINK(CONCATENATE("#Metadata!", ADDRESS(INDEX($AI$2:$AI$1001,MATCH(ROWS($AG$2:AG553),$AG$2:$AG$1001,0),0), INDEX($AN$1004:$BO$1004,1,MATCH(COLUMNS($AN$1006:BO1006),$AN$1006:$BO$1006,0)))),"Fix")))</f>
        <v>0</v>
      </c>
      <c r="AG553">
        <v>0</v>
      </c>
      <c r="AH553">
        <v>0</v>
      </c>
      <c r="AI553">
        <v>0</v>
      </c>
      <c r="AJ553">
        <f>IF(AK553,TRUE,AND(AN553:BO553))</f>
        <v>0</v>
      </c>
      <c r="AK553">
        <f>COUNTBLANK(Metadata!B553:AC553)=COLUMNS(Metadata!B553:AC553)</f>
        <v>0</v>
      </c>
      <c r="AL553">
        <v>0</v>
      </c>
      <c r="AN553">
        <f>AND(IF(Metadata!B553="",FALSE,TRUE),COUNTIF(Metadata!B:B, Metadata!B553) = 1,NOT(ISERROR(SUMPRODUCT(SEARCH(MID(Metadata!B553,ROW(INDIRECT("1:"&amp;LEN(Metadata!B553))), 1),"0123456789abcdefghijklmnopqrstuvwxyzABCDEFGHIJKLMNOPQRSTUVWXYZ.")))))</f>
        <v>0</v>
      </c>
      <c r="AO553">
        <f>IF(Metadata!C553="",FALSE,TRUE)</f>
        <v>0</v>
      </c>
      <c r="AP553">
        <f>IF(Metadata!D553="",FALSE,TRUE)</f>
        <v>0</v>
      </c>
      <c r="AQ553">
        <f>OR(AND(IF(Metadata!E553="",FALSE,TRUE),OR(exact(Metadata!E553,"not collected"),exact(Metadata!E553,"not provided"),exact(Metadata!E553,"restricted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R553">
        <f>IF(Metadata!F553="",FALSE,TRUE)</f>
        <v>0</v>
      </c>
      <c r="AS553">
        <f>OR(AND(IF(Metadata!G553="",FALSE,TRUE),OR(exact(Metadata!G553,"not collected"),exact(Metadata!G553,"not provided"))),AND(IF(Metadata!G553="",FALSE,TRUE),OR(exact(Metadata!G553,"TRUE"),exact(Metadata!G553,"FALSE"))))</f>
        <v>0</v>
      </c>
      <c r="AT553">
        <f>OR(AND(IF(Metadata!H553="",FALSE,TRUE),OR(exact(Metadata!H553,"not collected"),exact(Metadata!H553,"not provided"),exact(Metadata!H553,"restricted access"))),AND(IF(Metadata!H553="",FALSE,ISNUMBER(VALUE(Metadata!H553))),Metadata!H553&gt;=-413.0))</f>
        <v>0</v>
      </c>
      <c r="AU553">
        <f>AND(IF(Metadata!I553="",FALSE,TRUE),exact(Metadata!I553,"meters"))</f>
        <v>0</v>
      </c>
      <c r="AV553">
        <f>AND(IF(Metadata!J553="",FALSE,TRUE),OR(exact(Metadata!J553,"Host-associated"),exact(Metadata!J553,"Free-living")))</f>
        <v>0</v>
      </c>
      <c r="AW553">
        <f>AND(IF(Metadata!K553="",FALSE,TRUE),OR(exact(Metadata!K553,"Animal"),exact(Metadata!K553,"Fungus"),exact(Metadata!K553,"Plant"),exact(Metadata!K553,"Saline"),exact(Metadata!K553,"Non-saline")))</f>
        <v>0</v>
      </c>
      <c r="AX553">
        <f>AND(IF(Metadata!L553="",FALSE,TRUE),OR(exact(Metadata!L553,"Plant secretion"),exact(Metadata!L553,"Plant rhizosphere"),exact(Metadata!L553,"Plant surface"),exact(Metadata!L553,"Plant corpus"),exact(Metadata!L553,"Fungus surface"),exact(Metadata!L553,"Fungus corpus"),exact(Metadata!L553,"Animal surface"),exact(Metadata!L553,"Animal proximal gut"),exact(Metadata!L553,"Animal corpus"),exact(Metadata!L553,"Animal distal gut"),exact(Metadata!L553,"Animal secretion"),exact(Metadata!L553,"Sub-surface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Y553">
        <f>IF(Metadata!M553="",FALSE,TRUE)</f>
        <v>0</v>
      </c>
      <c r="AZ553">
        <f>IF(Metadata!N553="",FALSE,TRUE)</f>
        <v>0</v>
      </c>
      <c r="BA553">
        <f>IF(Metadata!O553="",FALSE,TRUE)</f>
        <v>0</v>
      </c>
      <c r="BB553">
        <f>OR(AND(IF(Metadata!P553="",FALSE,TRUE),OR(exact(Metadata!P553,"not collected"),exact(Metadata!P553,"not provided"),exact(Metadata!P553,"restricted access"))),AND(IF(Metadata!P553="",FALSE,TRUE),OR(exact(Metadata!P553,"air"),exact(Metadata!P553,"built environment"),exact(Metadata!P553,"host-associated"),exact(Metadata!P553,"human-associated"),exact(Metadata!P553,"human-skin"),exact(Metadata!P553,"human-oral"),exact(Metadata!P553,"human-gut"),exact(Metadata!P553,"human-vaginal"),exact(Metadata!P553,"microbial mat/biofilm"),exact(Metadata!P553,"misc environment"),exact(Metadata!P553,"plant-associated"),exact(Metadata!P553,"sediment"),exact(Metadata!P553,"soil"),exact(Metadata!P553,"wastewater/sludge"),exact(Metadata!P553,"water"))))</f>
        <v>0</v>
      </c>
      <c r="BC553">
        <f>IF(Metadata!Q553="",FALSE,TRUE)</f>
        <v>0</v>
      </c>
      <c r="BD553">
        <f>IF(Metadata!R553="",FALSE,TRUE)</f>
        <v>0</v>
      </c>
      <c r="BE553">
        <f>OR(AND(IF(Metadata!S553="",FALSE,TRUE),OR(exact(Metadata!S553,"not collected"),exact(Metadata!S553,"not provided"),exact(Metadata!S553,"restricted access"))),AND(IF(Metadata!S553="",FALSE,ISNUMBER(VALUE(Metadata!S553))),Metadata!S553&gt;=-90.00,Metadata!S553&lt;=90.00))</f>
        <v>0</v>
      </c>
      <c r="BF553">
        <f>AND(IF(Metadata!T553="",FALSE,TRUE),exact(Metadata!T553,"Decimal degrees"))</f>
        <v>0</v>
      </c>
      <c r="BG553">
        <f>OR(AND(IF(Metadata!U553="",FALSE,TRUE),OR(exact(Metadata!U553,"not collected"),exact(Metadata!U553,"not provided"),exact(Metadata!U553,"restricted access"))),AND(IF(Metadata!U553="",FALSE,ISNUMBER(VALUE(Metadata!U553))),Metadata!U553&gt;=-180.00,Metadata!U553&lt;=180.00))</f>
        <v>0</v>
      </c>
      <c r="BH553">
        <f>AND(IF(Metadata!V553="",FALSE,TRUE),exact(Metadata!V553,"Decimal degrees"))</f>
        <v>0</v>
      </c>
      <c r="BI553">
        <f>IF(Metadata!W553="",FALSE,TRUE)</f>
        <v>0</v>
      </c>
      <c r="BJ553">
        <f>OR(AND(IF(Metadata!X553="",FALSE,TRUE),OR(exact(Metadata!X553,"not collected"),exact(Metadata!X553,"not provided"),exact(Metadata!X553,"restricted access"))),AND(IF(Metadata!X553="",FALSE,TRUE),OR(exact(Metadata!X553,"TRUE"),exact(Metadata!X553,"FALSE"))))</f>
        <v>0</v>
      </c>
      <c r="BK553">
        <f>AND(IF(Metadata!Y553="",FALSE,TRUE),exact(Metadata!Y553,"other"))</f>
        <v>0</v>
      </c>
      <c r="BL553">
        <f>IF(Metadata!Z553="",FALSE,TRUE)</f>
        <v>0</v>
      </c>
      <c r="BM553">
        <f>OR(AND(IF(Metadata!AA553="",FALSE,TRUE),OR(exact(Metadata!AA553,"not collected"),exact(Metadata!AA553,"not provided"))),AND(IF(Metadata!AA553="",FALSE,IF(ISERROR(INT(Metadata!AA553)),FALSE,INT(Metadata!AA553)=Metadata!AA553)),Metadata!AA553&gt;0))</f>
        <v>0</v>
      </c>
      <c r="BN553">
        <f>AND(IF(Metadata!AB553="",FALSE,TRUE),exact(Metadata!AB553,"Not applicable"))</f>
        <v>0</v>
      </c>
      <c r="BO553">
        <f>IF(Metadata!AC553="",FALSE,TRUE)</f>
        <v>0</v>
      </c>
    </row>
    <row r="554" spans="1:67">
      <c r="A554" s="5">
        <f>IF(B554=" "," ",HYPERLINK(CONCATENATE("#metadata!",ADDRESS(INDEX($AI$2:$AI$1001,MATCH(ROWS($AG$2:AG554),$AG$2:$AG$1001,0),0),1)),INDEX($AL$2:$AL$1001,MATCH(ROWS($AG$2:AG554),$AG$2:$AG$1001,0),0)))</f>
        <v>0</v>
      </c>
      <c r="B554" s="4">
        <f>IF(OR(INDEX($AH$2:$AH$1001,MATCH(ROWS($AG$2:AG554),$AG$2:$AG$1001,0),1)&gt;=100000,INDEX($AN$1005:$BO$1005,1,MATCH(COLUMNS($AN$1006:AN1006),$AN$1006:$BO$1006,0))&gt;=100000), " ",IF(INDEX($AN$2:$BO$1001,MATCH(ROWS($AG$2:AG554),$AG$2:$AG$1001,0),MATCH(COLUMNS($AN$1006:AN1006),$AN$1006:$BO$1006,0)), HYPERLINK("#",""), HYPERLINK(CONCATENATE("#Metadata!", ADDRESS(INDEX($AI$2:$AI$1001,MATCH(ROWS($AG$2:AG554),$AG$2:$AG$1001,0),0), INDEX($AN$1004:$BO$1004,1,MATCH(COLUMNS($AN$1006:AN1006),$AN$1006:$BO$1006,0)))),"Fix")))</f>
        <v>0</v>
      </c>
      <c r="C554" s="4">
        <f>IF(OR(INDEX($AH$2:$AH$1001,MATCH(ROWS($AG$2:AG554),$AG$2:$AG$1001,0),1)&gt;=100000,INDEX($AN$1005:$BO$1005,1,MATCH(COLUMNS($AN$1006:AO1006),$AN$1006:$BO$1006,0))&gt;=100000), " ",IF(INDEX($AN$2:$BO$1001,MATCH(ROWS($AG$2:AG554),$AG$2:$AG$1001,0),MATCH(COLUMNS($AN$1006:AO1006),$AN$1006:$BO$1006,0)), HYPERLINK("#",""), HYPERLINK(CONCATENATE("#Metadata!", ADDRESS(INDEX($AI$2:$AI$1001,MATCH(ROWS($AG$2:AG554),$AG$2:$AG$1001,0),0), INDEX($AN$1004:$BO$1004,1,MATCH(COLUMNS($AN$1006:AO1006),$AN$1006:$BO$1006,0)))),"Fix")))</f>
        <v>0</v>
      </c>
      <c r="D554" s="4">
        <f>IF(OR(INDEX($AH$2:$AH$1001,MATCH(ROWS($AG$2:AG554),$AG$2:$AG$1001,0),1)&gt;=100000,INDEX($AN$1005:$BO$1005,1,MATCH(COLUMNS($AN$1006:AP1006),$AN$1006:$BO$1006,0))&gt;=100000), " ",IF(INDEX($AN$2:$BO$1001,MATCH(ROWS($AG$2:AG554),$AG$2:$AG$1001,0),MATCH(COLUMNS($AN$1006:AP1006),$AN$1006:$BO$1006,0)), HYPERLINK("#",""), HYPERLINK(CONCATENATE("#Metadata!", ADDRESS(INDEX($AI$2:$AI$1001,MATCH(ROWS($AG$2:AG554),$AG$2:$AG$1001,0),0), INDEX($AN$1004:$BO$1004,1,MATCH(COLUMNS($AN$1006:AP1006),$AN$1006:$BO$1006,0)))),"Fix")))</f>
        <v>0</v>
      </c>
      <c r="E554" s="4">
        <f>IF(OR(INDEX($AH$2:$AH$1001,MATCH(ROWS($AG$2:AG554),$AG$2:$AG$1001,0),1)&gt;=100000,INDEX($AN$1005:$BO$1005,1,MATCH(COLUMNS($AN$1006:AQ1006),$AN$1006:$BO$1006,0))&gt;=100000), " ",IF(INDEX($AN$2:$BO$1001,MATCH(ROWS($AG$2:AG554),$AG$2:$AG$1001,0),MATCH(COLUMNS($AN$1006:AQ1006),$AN$1006:$BO$1006,0)), HYPERLINK("#",""), HYPERLINK(CONCATENATE("#Metadata!", ADDRESS(INDEX($AI$2:$AI$1001,MATCH(ROWS($AG$2:AG554),$AG$2:$AG$1001,0),0), INDEX($AN$1004:$BO$1004,1,MATCH(COLUMNS($AN$1006:AQ1006),$AN$1006:$BO$1006,0)))),"Fix")))</f>
        <v>0</v>
      </c>
      <c r="F554" s="4">
        <f>IF(OR(INDEX($AH$2:$AH$1001,MATCH(ROWS($AG$2:AG554),$AG$2:$AG$1001,0),1)&gt;=100000,INDEX($AN$1005:$BO$1005,1,MATCH(COLUMNS($AN$1006:AR1006),$AN$1006:$BO$1006,0))&gt;=100000), " ",IF(INDEX($AN$2:$BO$1001,MATCH(ROWS($AG$2:AG554),$AG$2:$AG$1001,0),MATCH(COLUMNS($AN$1006:AR1006),$AN$1006:$BO$1006,0)), HYPERLINK("#",""), HYPERLINK(CONCATENATE("#Metadata!", ADDRESS(INDEX($AI$2:$AI$1001,MATCH(ROWS($AG$2:AG554),$AG$2:$AG$1001,0),0), INDEX($AN$1004:$BO$1004,1,MATCH(COLUMNS($AN$1006:AR1006),$AN$1006:$BO$1006,0)))),"Fix")))</f>
        <v>0</v>
      </c>
      <c r="G554" s="4">
        <f>IF(OR(INDEX($AH$2:$AH$1001,MATCH(ROWS($AG$2:AG554),$AG$2:$AG$1001,0),1)&gt;=100000,INDEX($AN$1005:$BO$1005,1,MATCH(COLUMNS($AN$1006:AS1006),$AN$1006:$BO$1006,0))&gt;=100000), " ",IF(INDEX($AN$2:$BO$1001,MATCH(ROWS($AG$2:AG554),$AG$2:$AG$1001,0),MATCH(COLUMNS($AN$1006:AS1006),$AN$1006:$BO$1006,0)), HYPERLINK("#",""), HYPERLINK(CONCATENATE("#Metadata!", ADDRESS(INDEX($AI$2:$AI$1001,MATCH(ROWS($AG$2:AG554),$AG$2:$AG$1001,0),0), INDEX($AN$1004:$BO$1004,1,MATCH(COLUMNS($AN$1006:AS1006),$AN$1006:$BO$1006,0)))),"Fix")))</f>
        <v>0</v>
      </c>
      <c r="H554" s="4">
        <f>IF(OR(INDEX($AH$2:$AH$1001,MATCH(ROWS($AG$2:AG554),$AG$2:$AG$1001,0),1)&gt;=100000,INDEX($AN$1005:$BO$1005,1,MATCH(COLUMNS($AN$1006:AT1006),$AN$1006:$BO$1006,0))&gt;=100000), " ",IF(INDEX($AN$2:$BO$1001,MATCH(ROWS($AG$2:AG554),$AG$2:$AG$1001,0),MATCH(COLUMNS($AN$1006:AT1006),$AN$1006:$BO$1006,0)), HYPERLINK("#",""), HYPERLINK(CONCATENATE("#Metadata!", ADDRESS(INDEX($AI$2:$AI$1001,MATCH(ROWS($AG$2:AG554),$AG$2:$AG$1001,0),0), INDEX($AN$1004:$BO$1004,1,MATCH(COLUMNS($AN$1006:AT1006),$AN$1006:$BO$1006,0)))),"Fix")))</f>
        <v>0</v>
      </c>
      <c r="I554" s="4">
        <f>IF(OR(INDEX($AH$2:$AH$1001,MATCH(ROWS($AG$2:AG554),$AG$2:$AG$1001,0),1)&gt;=100000,INDEX($AN$1005:$BO$1005,1,MATCH(COLUMNS($AN$1006:AU1006),$AN$1006:$BO$1006,0))&gt;=100000), " ",IF(INDEX($AN$2:$BO$1001,MATCH(ROWS($AG$2:AG554),$AG$2:$AG$1001,0),MATCH(COLUMNS($AN$1006:AU1006),$AN$1006:$BO$1006,0)), HYPERLINK("#",""), HYPERLINK(CONCATENATE("#Metadata!", ADDRESS(INDEX($AI$2:$AI$1001,MATCH(ROWS($AG$2:AG554),$AG$2:$AG$1001,0),0), INDEX($AN$1004:$BO$1004,1,MATCH(COLUMNS($AN$1006:AU1006),$AN$1006:$BO$1006,0)))),"Fix")))</f>
        <v>0</v>
      </c>
      <c r="J554" s="4">
        <f>IF(OR(INDEX($AH$2:$AH$1001,MATCH(ROWS($AG$2:AG554),$AG$2:$AG$1001,0),1)&gt;=100000,INDEX($AN$1005:$BO$1005,1,MATCH(COLUMNS($AN$1006:AV1006),$AN$1006:$BO$1006,0))&gt;=100000), " ",IF(INDEX($AN$2:$BO$1001,MATCH(ROWS($AG$2:AG554),$AG$2:$AG$1001,0),MATCH(COLUMNS($AN$1006:AV1006),$AN$1006:$BO$1006,0)), HYPERLINK("#",""), HYPERLINK(CONCATENATE("#Metadata!", ADDRESS(INDEX($AI$2:$AI$1001,MATCH(ROWS($AG$2:AG554),$AG$2:$AG$1001,0),0), INDEX($AN$1004:$BO$1004,1,MATCH(COLUMNS($AN$1006:AV1006),$AN$1006:$BO$1006,0)))),"Fix")))</f>
        <v>0</v>
      </c>
      <c r="K554" s="4">
        <f>IF(OR(INDEX($AH$2:$AH$1001,MATCH(ROWS($AG$2:AG554),$AG$2:$AG$1001,0),1)&gt;=100000,INDEX($AN$1005:$BO$1005,1,MATCH(COLUMNS($AN$1006:AW1006),$AN$1006:$BO$1006,0))&gt;=100000), " ",IF(INDEX($AN$2:$BO$1001,MATCH(ROWS($AG$2:AG554),$AG$2:$AG$1001,0),MATCH(COLUMNS($AN$1006:AW1006),$AN$1006:$BO$1006,0)), HYPERLINK("#",""), HYPERLINK(CONCATENATE("#Metadata!", ADDRESS(INDEX($AI$2:$AI$1001,MATCH(ROWS($AG$2:AG554),$AG$2:$AG$1001,0),0), INDEX($AN$1004:$BO$1004,1,MATCH(COLUMNS($AN$1006:AW1006),$AN$1006:$BO$1006,0)))),"Fix")))</f>
        <v>0</v>
      </c>
      <c r="L554" s="4">
        <f>IF(OR(INDEX($AH$2:$AH$1001,MATCH(ROWS($AG$2:AG554),$AG$2:$AG$1001,0),1)&gt;=100000,INDEX($AN$1005:$BO$1005,1,MATCH(COLUMNS($AN$1006:AX1006),$AN$1006:$BO$1006,0))&gt;=100000), " ",IF(INDEX($AN$2:$BO$1001,MATCH(ROWS($AG$2:AG554),$AG$2:$AG$1001,0),MATCH(COLUMNS($AN$1006:AX1006),$AN$1006:$BO$1006,0)), HYPERLINK("#",""), HYPERLINK(CONCATENATE("#Metadata!", ADDRESS(INDEX($AI$2:$AI$1001,MATCH(ROWS($AG$2:AG554),$AG$2:$AG$1001,0),0), INDEX($AN$1004:$BO$1004,1,MATCH(COLUMNS($AN$1006:AX1006),$AN$1006:$BO$1006,0)))),"Fix")))</f>
        <v>0</v>
      </c>
      <c r="M554" s="4">
        <f>IF(OR(INDEX($AH$2:$AH$1001,MATCH(ROWS($AG$2:AG554),$AG$2:$AG$1001,0),1)&gt;=100000,INDEX($AN$1005:$BO$1005,1,MATCH(COLUMNS($AN$1006:AY1006),$AN$1006:$BO$1006,0))&gt;=100000), " ",IF(INDEX($AN$2:$BO$1001,MATCH(ROWS($AG$2:AG554),$AG$2:$AG$1001,0),MATCH(COLUMNS($AN$1006:AY1006),$AN$1006:$BO$1006,0)), HYPERLINK("#",""), HYPERLINK(CONCATENATE("#Metadata!", ADDRESS(INDEX($AI$2:$AI$1001,MATCH(ROWS($AG$2:AG554),$AG$2:$AG$1001,0),0), INDEX($AN$1004:$BO$1004,1,MATCH(COLUMNS($AN$1006:AY1006),$AN$1006:$BO$1006,0)))),"Fix")))</f>
        <v>0</v>
      </c>
      <c r="N554" s="4">
        <f>IF(OR(INDEX($AH$2:$AH$1001,MATCH(ROWS($AG$2:AG554),$AG$2:$AG$1001,0),1)&gt;=100000,INDEX($AN$1005:$BO$1005,1,MATCH(COLUMNS($AN$1006:AZ1006),$AN$1006:$BO$1006,0))&gt;=100000), " ",IF(INDEX($AN$2:$BO$1001,MATCH(ROWS($AG$2:AG554),$AG$2:$AG$1001,0),MATCH(COLUMNS($AN$1006:AZ1006),$AN$1006:$BO$1006,0)), HYPERLINK("#",""), HYPERLINK(CONCATENATE("#Metadata!", ADDRESS(INDEX($AI$2:$AI$1001,MATCH(ROWS($AG$2:AG554),$AG$2:$AG$1001,0),0), INDEX($AN$1004:$BO$1004,1,MATCH(COLUMNS($AN$1006:AZ1006),$AN$1006:$BO$1006,0)))),"Fix")))</f>
        <v>0</v>
      </c>
      <c r="O554" s="4">
        <f>IF(OR(INDEX($AH$2:$AH$1001,MATCH(ROWS($AG$2:AG554),$AG$2:$AG$1001,0),1)&gt;=100000,INDEX($AN$1005:$BO$1005,1,MATCH(COLUMNS($AN$1006:BA1006),$AN$1006:$BO$1006,0))&gt;=100000), " ",IF(INDEX($AN$2:$BO$1001,MATCH(ROWS($AG$2:AG554),$AG$2:$AG$1001,0),MATCH(COLUMNS($AN$1006:BA1006),$AN$1006:$BO$1006,0)), HYPERLINK("#",""), HYPERLINK(CONCATENATE("#Metadata!", ADDRESS(INDEX($AI$2:$AI$1001,MATCH(ROWS($AG$2:AG554),$AG$2:$AG$1001,0),0), INDEX($AN$1004:$BO$1004,1,MATCH(COLUMNS($AN$1006:BA1006),$AN$1006:$BO$1006,0)))),"Fix")))</f>
        <v>0</v>
      </c>
      <c r="P554" s="4">
        <f>IF(OR(INDEX($AH$2:$AH$1001,MATCH(ROWS($AG$2:AG554),$AG$2:$AG$1001,0),1)&gt;=100000,INDEX($AN$1005:$BO$1005,1,MATCH(COLUMNS($AN$1006:BB1006),$AN$1006:$BO$1006,0))&gt;=100000), " ",IF(INDEX($AN$2:$BO$1001,MATCH(ROWS($AG$2:AG554),$AG$2:$AG$1001,0),MATCH(COLUMNS($AN$1006:BB1006),$AN$1006:$BO$1006,0)), HYPERLINK("#",""), HYPERLINK(CONCATENATE("#Metadata!", ADDRESS(INDEX($AI$2:$AI$1001,MATCH(ROWS($AG$2:AG554),$AG$2:$AG$1001,0),0), INDEX($AN$1004:$BO$1004,1,MATCH(COLUMNS($AN$1006:BB1006),$AN$1006:$BO$1006,0)))),"Fix")))</f>
        <v>0</v>
      </c>
      <c r="Q554" s="4">
        <f>IF(OR(INDEX($AH$2:$AH$1001,MATCH(ROWS($AG$2:AG554),$AG$2:$AG$1001,0),1)&gt;=100000,INDEX($AN$1005:$BO$1005,1,MATCH(COLUMNS($AN$1006:BC1006),$AN$1006:$BO$1006,0))&gt;=100000), " ",IF(INDEX($AN$2:$BO$1001,MATCH(ROWS($AG$2:AG554),$AG$2:$AG$1001,0),MATCH(COLUMNS($AN$1006:BC1006),$AN$1006:$BO$1006,0)), HYPERLINK("#",""), HYPERLINK(CONCATENATE("#Metadata!", ADDRESS(INDEX($AI$2:$AI$1001,MATCH(ROWS($AG$2:AG554),$AG$2:$AG$1001,0),0), INDEX($AN$1004:$BO$1004,1,MATCH(COLUMNS($AN$1006:BC1006),$AN$1006:$BO$1006,0)))),"Fix")))</f>
        <v>0</v>
      </c>
      <c r="R554" s="4">
        <f>IF(OR(INDEX($AH$2:$AH$1001,MATCH(ROWS($AG$2:AG554),$AG$2:$AG$1001,0),1)&gt;=100000,INDEX($AN$1005:$BO$1005,1,MATCH(COLUMNS($AN$1006:BD1006),$AN$1006:$BO$1006,0))&gt;=100000), " ",IF(INDEX($AN$2:$BO$1001,MATCH(ROWS($AG$2:AG554),$AG$2:$AG$1001,0),MATCH(COLUMNS($AN$1006:BD1006),$AN$1006:$BO$1006,0)), HYPERLINK("#",""), HYPERLINK(CONCATENATE("#Metadata!", ADDRESS(INDEX($AI$2:$AI$1001,MATCH(ROWS($AG$2:AG554),$AG$2:$AG$1001,0),0), INDEX($AN$1004:$BO$1004,1,MATCH(COLUMNS($AN$1006:BD1006),$AN$1006:$BO$1006,0)))),"Fix")))</f>
        <v>0</v>
      </c>
      <c r="S554" s="4">
        <f>IF(OR(INDEX($AH$2:$AH$1001,MATCH(ROWS($AG$2:AG554),$AG$2:$AG$1001,0),1)&gt;=100000,INDEX($AN$1005:$BO$1005,1,MATCH(COLUMNS($AN$1006:BE1006),$AN$1006:$BO$1006,0))&gt;=100000), " ",IF(INDEX($AN$2:$BO$1001,MATCH(ROWS($AG$2:AG554),$AG$2:$AG$1001,0),MATCH(COLUMNS($AN$1006:BE1006),$AN$1006:$BO$1006,0)), HYPERLINK("#",""), HYPERLINK(CONCATENATE("#Metadata!", ADDRESS(INDEX($AI$2:$AI$1001,MATCH(ROWS($AG$2:AG554),$AG$2:$AG$1001,0),0), INDEX($AN$1004:$BO$1004,1,MATCH(COLUMNS($AN$1006:BE1006),$AN$1006:$BO$1006,0)))),"Fix")))</f>
        <v>0</v>
      </c>
      <c r="T554" s="4">
        <f>IF(OR(INDEX($AH$2:$AH$1001,MATCH(ROWS($AG$2:AG554),$AG$2:$AG$1001,0),1)&gt;=100000,INDEX($AN$1005:$BO$1005,1,MATCH(COLUMNS($AN$1006:BF1006),$AN$1006:$BO$1006,0))&gt;=100000), " ",IF(INDEX($AN$2:$BO$1001,MATCH(ROWS($AG$2:AG554),$AG$2:$AG$1001,0),MATCH(COLUMNS($AN$1006:BF1006),$AN$1006:$BO$1006,0)), HYPERLINK("#",""), HYPERLINK(CONCATENATE("#Metadata!", ADDRESS(INDEX($AI$2:$AI$1001,MATCH(ROWS($AG$2:AG554),$AG$2:$AG$1001,0),0), INDEX($AN$1004:$BO$1004,1,MATCH(COLUMNS($AN$1006:BF1006),$AN$1006:$BO$1006,0)))),"Fix")))</f>
        <v>0</v>
      </c>
      <c r="U554" s="4">
        <f>IF(OR(INDEX($AH$2:$AH$1001,MATCH(ROWS($AG$2:AG554),$AG$2:$AG$1001,0),1)&gt;=100000,INDEX($AN$1005:$BO$1005,1,MATCH(COLUMNS($AN$1006:BG1006),$AN$1006:$BO$1006,0))&gt;=100000), " ",IF(INDEX($AN$2:$BO$1001,MATCH(ROWS($AG$2:AG554),$AG$2:$AG$1001,0),MATCH(COLUMNS($AN$1006:BG1006),$AN$1006:$BO$1006,0)), HYPERLINK("#",""), HYPERLINK(CONCATENATE("#Metadata!", ADDRESS(INDEX($AI$2:$AI$1001,MATCH(ROWS($AG$2:AG554),$AG$2:$AG$1001,0),0), INDEX($AN$1004:$BO$1004,1,MATCH(COLUMNS($AN$1006:BG1006),$AN$1006:$BO$1006,0)))),"Fix")))</f>
        <v>0</v>
      </c>
      <c r="V554" s="4">
        <f>IF(OR(INDEX($AH$2:$AH$1001,MATCH(ROWS($AG$2:AG554),$AG$2:$AG$1001,0),1)&gt;=100000,INDEX($AN$1005:$BO$1005,1,MATCH(COLUMNS($AN$1006:BH1006),$AN$1006:$BO$1006,0))&gt;=100000), " ",IF(INDEX($AN$2:$BO$1001,MATCH(ROWS($AG$2:AG554),$AG$2:$AG$1001,0),MATCH(COLUMNS($AN$1006:BH1006),$AN$1006:$BO$1006,0)), HYPERLINK("#",""), HYPERLINK(CONCATENATE("#Metadata!", ADDRESS(INDEX($AI$2:$AI$1001,MATCH(ROWS($AG$2:AG554),$AG$2:$AG$1001,0),0), INDEX($AN$1004:$BO$1004,1,MATCH(COLUMNS($AN$1006:BH1006),$AN$1006:$BO$1006,0)))),"Fix")))</f>
        <v>0</v>
      </c>
      <c r="W554" s="4">
        <f>IF(OR(INDEX($AH$2:$AH$1001,MATCH(ROWS($AG$2:AG554),$AG$2:$AG$1001,0),1)&gt;=100000,INDEX($AN$1005:$BO$1005,1,MATCH(COLUMNS($AN$1006:BI1006),$AN$1006:$BO$1006,0))&gt;=100000), " ",IF(INDEX($AN$2:$BO$1001,MATCH(ROWS($AG$2:AG554),$AG$2:$AG$1001,0),MATCH(COLUMNS($AN$1006:BI1006),$AN$1006:$BO$1006,0)), HYPERLINK("#",""), HYPERLINK(CONCATENATE("#Metadata!", ADDRESS(INDEX($AI$2:$AI$1001,MATCH(ROWS($AG$2:AG554),$AG$2:$AG$1001,0),0), INDEX($AN$1004:$BO$1004,1,MATCH(COLUMNS($AN$1006:BI1006),$AN$1006:$BO$1006,0)))),"Fix")))</f>
        <v>0</v>
      </c>
      <c r="X554" s="4">
        <f>IF(OR(INDEX($AH$2:$AH$1001,MATCH(ROWS($AG$2:AG554),$AG$2:$AG$1001,0),1)&gt;=100000,INDEX($AN$1005:$BO$1005,1,MATCH(COLUMNS($AN$1006:BJ1006),$AN$1006:$BO$1006,0))&gt;=100000), " ",IF(INDEX($AN$2:$BO$1001,MATCH(ROWS($AG$2:AG554),$AG$2:$AG$1001,0),MATCH(COLUMNS($AN$1006:BJ1006),$AN$1006:$BO$1006,0)), HYPERLINK("#",""), HYPERLINK(CONCATENATE("#Metadata!", ADDRESS(INDEX($AI$2:$AI$1001,MATCH(ROWS($AG$2:AG554),$AG$2:$AG$1001,0),0), INDEX($AN$1004:$BO$1004,1,MATCH(COLUMNS($AN$1006:BJ1006),$AN$1006:$BO$1006,0)))),"Fix")))</f>
        <v>0</v>
      </c>
      <c r="Y554" s="4">
        <f>IF(OR(INDEX($AH$2:$AH$1001,MATCH(ROWS($AG$2:AG554),$AG$2:$AG$1001,0),1)&gt;=100000,INDEX($AN$1005:$BO$1005,1,MATCH(COLUMNS($AN$1006:BK1006),$AN$1006:$BO$1006,0))&gt;=100000), " ",IF(INDEX($AN$2:$BO$1001,MATCH(ROWS($AG$2:AG554),$AG$2:$AG$1001,0),MATCH(COLUMNS($AN$1006:BK1006),$AN$1006:$BO$1006,0)), HYPERLINK("#",""), HYPERLINK(CONCATENATE("#Metadata!", ADDRESS(INDEX($AI$2:$AI$1001,MATCH(ROWS($AG$2:AG554),$AG$2:$AG$1001,0),0), INDEX($AN$1004:$BO$1004,1,MATCH(COLUMNS($AN$1006:BK1006),$AN$1006:$BO$1006,0)))),"Fix")))</f>
        <v>0</v>
      </c>
      <c r="Z554" s="4">
        <f>IF(OR(INDEX($AH$2:$AH$1001,MATCH(ROWS($AG$2:AG554),$AG$2:$AG$1001,0),1)&gt;=100000,INDEX($AN$1005:$BO$1005,1,MATCH(COLUMNS($AN$1006:BL1006),$AN$1006:$BO$1006,0))&gt;=100000), " ",IF(INDEX($AN$2:$BO$1001,MATCH(ROWS($AG$2:AG554),$AG$2:$AG$1001,0),MATCH(COLUMNS($AN$1006:BL1006),$AN$1006:$BO$1006,0)), HYPERLINK("#",""), HYPERLINK(CONCATENATE("#Metadata!", ADDRESS(INDEX($AI$2:$AI$1001,MATCH(ROWS($AG$2:AG554),$AG$2:$AG$1001,0),0), INDEX($AN$1004:$BO$1004,1,MATCH(COLUMNS($AN$1006:BL1006),$AN$1006:$BO$1006,0)))),"Fix")))</f>
        <v>0</v>
      </c>
      <c r="AA554" s="4">
        <f>IF(OR(INDEX($AH$2:$AH$1001,MATCH(ROWS($AG$2:AG554),$AG$2:$AG$1001,0),1)&gt;=100000,INDEX($AN$1005:$BO$1005,1,MATCH(COLUMNS($AN$1006:BM1006),$AN$1006:$BO$1006,0))&gt;=100000), " ",IF(INDEX($AN$2:$BO$1001,MATCH(ROWS($AG$2:AG554),$AG$2:$AG$1001,0),MATCH(COLUMNS($AN$1006:BM1006),$AN$1006:$BO$1006,0)), HYPERLINK("#",""), HYPERLINK(CONCATENATE("#Metadata!", ADDRESS(INDEX($AI$2:$AI$1001,MATCH(ROWS($AG$2:AG554),$AG$2:$AG$1001,0),0), INDEX($AN$1004:$BO$1004,1,MATCH(COLUMNS($AN$1006:BM1006),$AN$1006:$BO$1006,0)))),"Fix")))</f>
        <v>0</v>
      </c>
      <c r="AB554" s="4">
        <f>IF(OR(INDEX($AH$2:$AH$1001,MATCH(ROWS($AG$2:AG554),$AG$2:$AG$1001,0),1)&gt;=100000,INDEX($AN$1005:$BO$1005,1,MATCH(COLUMNS($AN$1006:BN1006),$AN$1006:$BO$1006,0))&gt;=100000), " ",IF(INDEX($AN$2:$BO$1001,MATCH(ROWS($AG$2:AG554),$AG$2:$AG$1001,0),MATCH(COLUMNS($AN$1006:BN1006),$AN$1006:$BO$1006,0)), HYPERLINK("#",""), HYPERLINK(CONCATENATE("#Metadata!", ADDRESS(INDEX($AI$2:$AI$1001,MATCH(ROWS($AG$2:AG554),$AG$2:$AG$1001,0),0), INDEX($AN$1004:$BO$1004,1,MATCH(COLUMNS($AN$1006:BN1006),$AN$1006:$BO$1006,0)))),"Fix")))</f>
        <v>0</v>
      </c>
      <c r="AC554" s="4">
        <f>IF(OR(INDEX($AH$2:$AH$1001,MATCH(ROWS($AG$2:AG554),$AG$2:$AG$1001,0),1)&gt;=100000,INDEX($AN$1005:$BO$1005,1,MATCH(COLUMNS($AN$1006:BO1006),$AN$1006:$BO$1006,0))&gt;=100000), " ",IF(INDEX($AN$2:$BO$1001,MATCH(ROWS($AG$2:AG554),$AG$2:$AG$1001,0),MATCH(COLUMNS($AN$1006:BO1006),$AN$1006:$BO$1006,0)), HYPERLINK("#",""), HYPERLINK(CONCATENATE("#Metadata!", ADDRESS(INDEX($AI$2:$AI$1001,MATCH(ROWS($AG$2:AG554),$AG$2:$AG$1001,0),0), INDEX($AN$1004:$BO$1004,1,MATCH(COLUMNS($AN$1006:BO1006),$AN$1006:$BO$1006,0)))),"Fix")))</f>
        <v>0</v>
      </c>
      <c r="AG554">
        <v>0</v>
      </c>
      <c r="AH554">
        <v>0</v>
      </c>
      <c r="AI554">
        <v>0</v>
      </c>
      <c r="AJ554">
        <f>IF(AK554,TRUE,AND(AN554:BO554))</f>
        <v>0</v>
      </c>
      <c r="AK554">
        <f>COUNTBLANK(Metadata!B554:AC554)=COLUMNS(Metadata!B554:AC554)</f>
        <v>0</v>
      </c>
      <c r="AL554">
        <v>0</v>
      </c>
      <c r="AN554">
        <f>AND(IF(Metadata!B554="",FALSE,TRUE),COUNTIF(Metadata!B:B, Metadata!B554) = 1,NOT(ISERROR(SUMPRODUCT(SEARCH(MID(Metadata!B554,ROW(INDIRECT("1:"&amp;LEN(Metadata!B554))), 1),"0123456789abcdefghijklmnopqrstuvwxyzABCDEFGHIJKLMNOPQRSTUVWXYZ.")))))</f>
        <v>0</v>
      </c>
      <c r="AO554">
        <f>IF(Metadata!C554="",FALSE,TRUE)</f>
        <v>0</v>
      </c>
      <c r="AP554">
        <f>IF(Metadata!D554="",FALSE,TRUE)</f>
        <v>0</v>
      </c>
      <c r="AQ554">
        <f>OR(AND(IF(Metadata!E554="",FALSE,TRUE),OR(exact(Metadata!E554,"not collected"),exact(Metadata!E554,"not provided"),exact(Metadata!E554,"restricted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R554">
        <f>IF(Metadata!F554="",FALSE,TRUE)</f>
        <v>0</v>
      </c>
      <c r="AS554">
        <f>OR(AND(IF(Metadata!G554="",FALSE,TRUE),OR(exact(Metadata!G554,"not collected"),exact(Metadata!G554,"not provided"))),AND(IF(Metadata!G554="",FALSE,TRUE),OR(exact(Metadata!G554,"TRUE"),exact(Metadata!G554,"FALSE"))))</f>
        <v>0</v>
      </c>
      <c r="AT554">
        <f>OR(AND(IF(Metadata!H554="",FALSE,TRUE),OR(exact(Metadata!H554,"not collected"),exact(Metadata!H554,"not provided"),exact(Metadata!H554,"restricted access"))),AND(IF(Metadata!H554="",FALSE,ISNUMBER(VALUE(Metadata!H554))),Metadata!H554&gt;=-413.0))</f>
        <v>0</v>
      </c>
      <c r="AU554">
        <f>AND(IF(Metadata!I554="",FALSE,TRUE),exact(Metadata!I554,"meters"))</f>
        <v>0</v>
      </c>
      <c r="AV554">
        <f>AND(IF(Metadata!J554="",FALSE,TRUE),OR(exact(Metadata!J554,"Host-associated"),exact(Metadata!J554,"Free-living")))</f>
        <v>0</v>
      </c>
      <c r="AW554">
        <f>AND(IF(Metadata!K554="",FALSE,TRUE),OR(exact(Metadata!K554,"Animal"),exact(Metadata!K554,"Fungus"),exact(Metadata!K554,"Plant"),exact(Metadata!K554,"Saline"),exact(Metadata!K554,"Non-saline")))</f>
        <v>0</v>
      </c>
      <c r="AX554">
        <f>AND(IF(Metadata!L554="",FALSE,TRUE),OR(exact(Metadata!L554,"Plant secretion"),exact(Metadata!L554,"Plant rhizosphere"),exact(Metadata!L554,"Plant surface"),exact(Metadata!L554,"Plant corpus"),exact(Metadata!L554,"Fungus surface"),exact(Metadata!L554,"Fungus corpus"),exact(Metadata!L554,"Animal surface"),exact(Metadata!L554,"Animal proximal gut"),exact(Metadata!L554,"Animal corpus"),exact(Metadata!L554,"Animal distal gut"),exact(Metadata!L554,"Animal secretion"),exact(Metadata!L554,"Sub-surface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Y554">
        <f>IF(Metadata!M554="",FALSE,TRUE)</f>
        <v>0</v>
      </c>
      <c r="AZ554">
        <f>IF(Metadata!N554="",FALSE,TRUE)</f>
        <v>0</v>
      </c>
      <c r="BA554">
        <f>IF(Metadata!O554="",FALSE,TRUE)</f>
        <v>0</v>
      </c>
      <c r="BB554">
        <f>OR(AND(IF(Metadata!P554="",FALSE,TRUE),OR(exact(Metadata!P554,"not collected"),exact(Metadata!P554,"not provided"),exact(Metadata!P554,"restricted access"))),AND(IF(Metadata!P554="",FALSE,TRUE),OR(exact(Metadata!P554,"air"),exact(Metadata!P554,"built environment"),exact(Metadata!P554,"host-associated"),exact(Metadata!P554,"human-associated"),exact(Metadata!P554,"human-skin"),exact(Metadata!P554,"human-oral"),exact(Metadata!P554,"human-gut"),exact(Metadata!P554,"human-vaginal"),exact(Metadata!P554,"microbial mat/biofilm"),exact(Metadata!P554,"misc environment"),exact(Metadata!P554,"plant-associated"),exact(Metadata!P554,"sediment"),exact(Metadata!P554,"soil"),exact(Metadata!P554,"wastewater/sludge"),exact(Metadata!P554,"water"))))</f>
        <v>0</v>
      </c>
      <c r="BC554">
        <f>IF(Metadata!Q554="",FALSE,TRUE)</f>
        <v>0</v>
      </c>
      <c r="BD554">
        <f>IF(Metadata!R554="",FALSE,TRUE)</f>
        <v>0</v>
      </c>
      <c r="BE554">
        <f>OR(AND(IF(Metadata!S554="",FALSE,TRUE),OR(exact(Metadata!S554,"not collected"),exact(Metadata!S554,"not provided"),exact(Metadata!S554,"restricted access"))),AND(IF(Metadata!S554="",FALSE,ISNUMBER(VALUE(Metadata!S554))),Metadata!S554&gt;=-90.00,Metadata!S554&lt;=90.00))</f>
        <v>0</v>
      </c>
      <c r="BF554">
        <f>AND(IF(Metadata!T554="",FALSE,TRUE),exact(Metadata!T554,"Decimal degrees"))</f>
        <v>0</v>
      </c>
      <c r="BG554">
        <f>OR(AND(IF(Metadata!U554="",FALSE,TRUE),OR(exact(Metadata!U554,"not collected"),exact(Metadata!U554,"not provided"),exact(Metadata!U554,"restricted access"))),AND(IF(Metadata!U554="",FALSE,ISNUMBER(VALUE(Metadata!U554))),Metadata!U554&gt;=-180.00,Metadata!U554&lt;=180.00))</f>
        <v>0</v>
      </c>
      <c r="BH554">
        <f>AND(IF(Metadata!V554="",FALSE,TRUE),exact(Metadata!V554,"Decimal degrees"))</f>
        <v>0</v>
      </c>
      <c r="BI554">
        <f>IF(Metadata!W554="",FALSE,TRUE)</f>
        <v>0</v>
      </c>
      <c r="BJ554">
        <f>OR(AND(IF(Metadata!X554="",FALSE,TRUE),OR(exact(Metadata!X554,"not collected"),exact(Metadata!X554,"not provided"),exact(Metadata!X554,"restricted access"))),AND(IF(Metadata!X554="",FALSE,TRUE),OR(exact(Metadata!X554,"TRUE"),exact(Metadata!X554,"FALSE"))))</f>
        <v>0</v>
      </c>
      <c r="BK554">
        <f>AND(IF(Metadata!Y554="",FALSE,TRUE),exact(Metadata!Y554,"other"))</f>
        <v>0</v>
      </c>
      <c r="BL554">
        <f>IF(Metadata!Z554="",FALSE,TRUE)</f>
        <v>0</v>
      </c>
      <c r="BM554">
        <f>OR(AND(IF(Metadata!AA554="",FALSE,TRUE),OR(exact(Metadata!AA554,"not collected"),exact(Metadata!AA554,"not provided"))),AND(IF(Metadata!AA554="",FALSE,IF(ISERROR(INT(Metadata!AA554)),FALSE,INT(Metadata!AA554)=Metadata!AA554)),Metadata!AA554&gt;0))</f>
        <v>0</v>
      </c>
      <c r="BN554">
        <f>AND(IF(Metadata!AB554="",FALSE,TRUE),exact(Metadata!AB554,"Not applicable"))</f>
        <v>0</v>
      </c>
      <c r="BO554">
        <f>IF(Metadata!AC554="",FALSE,TRUE)</f>
        <v>0</v>
      </c>
    </row>
    <row r="555" spans="1:67">
      <c r="A555" s="5">
        <f>IF(B555=" "," ",HYPERLINK(CONCATENATE("#metadata!",ADDRESS(INDEX($AI$2:$AI$1001,MATCH(ROWS($AG$2:AG555),$AG$2:$AG$1001,0),0),1)),INDEX($AL$2:$AL$1001,MATCH(ROWS($AG$2:AG555),$AG$2:$AG$1001,0),0)))</f>
        <v>0</v>
      </c>
      <c r="B555" s="4">
        <f>IF(OR(INDEX($AH$2:$AH$1001,MATCH(ROWS($AG$2:AG555),$AG$2:$AG$1001,0),1)&gt;=100000,INDEX($AN$1005:$BO$1005,1,MATCH(COLUMNS($AN$1006:AN1006),$AN$1006:$BO$1006,0))&gt;=100000), " ",IF(INDEX($AN$2:$BO$1001,MATCH(ROWS($AG$2:AG555),$AG$2:$AG$1001,0),MATCH(COLUMNS($AN$1006:AN1006),$AN$1006:$BO$1006,0)), HYPERLINK("#",""), HYPERLINK(CONCATENATE("#Metadata!", ADDRESS(INDEX($AI$2:$AI$1001,MATCH(ROWS($AG$2:AG555),$AG$2:$AG$1001,0),0), INDEX($AN$1004:$BO$1004,1,MATCH(COLUMNS($AN$1006:AN1006),$AN$1006:$BO$1006,0)))),"Fix")))</f>
        <v>0</v>
      </c>
      <c r="C555" s="4">
        <f>IF(OR(INDEX($AH$2:$AH$1001,MATCH(ROWS($AG$2:AG555),$AG$2:$AG$1001,0),1)&gt;=100000,INDEX($AN$1005:$BO$1005,1,MATCH(COLUMNS($AN$1006:AO1006),$AN$1006:$BO$1006,0))&gt;=100000), " ",IF(INDEX($AN$2:$BO$1001,MATCH(ROWS($AG$2:AG555),$AG$2:$AG$1001,0),MATCH(COLUMNS($AN$1006:AO1006),$AN$1006:$BO$1006,0)), HYPERLINK("#",""), HYPERLINK(CONCATENATE("#Metadata!", ADDRESS(INDEX($AI$2:$AI$1001,MATCH(ROWS($AG$2:AG555),$AG$2:$AG$1001,0),0), INDEX($AN$1004:$BO$1004,1,MATCH(COLUMNS($AN$1006:AO1006),$AN$1006:$BO$1006,0)))),"Fix")))</f>
        <v>0</v>
      </c>
      <c r="D555" s="4">
        <f>IF(OR(INDEX($AH$2:$AH$1001,MATCH(ROWS($AG$2:AG555),$AG$2:$AG$1001,0),1)&gt;=100000,INDEX($AN$1005:$BO$1005,1,MATCH(COLUMNS($AN$1006:AP1006),$AN$1006:$BO$1006,0))&gt;=100000), " ",IF(INDEX($AN$2:$BO$1001,MATCH(ROWS($AG$2:AG555),$AG$2:$AG$1001,0),MATCH(COLUMNS($AN$1006:AP1006),$AN$1006:$BO$1006,0)), HYPERLINK("#",""), HYPERLINK(CONCATENATE("#Metadata!", ADDRESS(INDEX($AI$2:$AI$1001,MATCH(ROWS($AG$2:AG555),$AG$2:$AG$1001,0),0), INDEX($AN$1004:$BO$1004,1,MATCH(COLUMNS($AN$1006:AP1006),$AN$1006:$BO$1006,0)))),"Fix")))</f>
        <v>0</v>
      </c>
      <c r="E555" s="4">
        <f>IF(OR(INDEX($AH$2:$AH$1001,MATCH(ROWS($AG$2:AG555),$AG$2:$AG$1001,0),1)&gt;=100000,INDEX($AN$1005:$BO$1005,1,MATCH(COLUMNS($AN$1006:AQ1006),$AN$1006:$BO$1006,0))&gt;=100000), " ",IF(INDEX($AN$2:$BO$1001,MATCH(ROWS($AG$2:AG555),$AG$2:$AG$1001,0),MATCH(COLUMNS($AN$1006:AQ1006),$AN$1006:$BO$1006,0)), HYPERLINK("#",""), HYPERLINK(CONCATENATE("#Metadata!", ADDRESS(INDEX($AI$2:$AI$1001,MATCH(ROWS($AG$2:AG555),$AG$2:$AG$1001,0),0), INDEX($AN$1004:$BO$1004,1,MATCH(COLUMNS($AN$1006:AQ1006),$AN$1006:$BO$1006,0)))),"Fix")))</f>
        <v>0</v>
      </c>
      <c r="F555" s="4">
        <f>IF(OR(INDEX($AH$2:$AH$1001,MATCH(ROWS($AG$2:AG555),$AG$2:$AG$1001,0),1)&gt;=100000,INDEX($AN$1005:$BO$1005,1,MATCH(COLUMNS($AN$1006:AR1006),$AN$1006:$BO$1006,0))&gt;=100000), " ",IF(INDEX($AN$2:$BO$1001,MATCH(ROWS($AG$2:AG555),$AG$2:$AG$1001,0),MATCH(COLUMNS($AN$1006:AR1006),$AN$1006:$BO$1006,0)), HYPERLINK("#",""), HYPERLINK(CONCATENATE("#Metadata!", ADDRESS(INDEX($AI$2:$AI$1001,MATCH(ROWS($AG$2:AG555),$AG$2:$AG$1001,0),0), INDEX($AN$1004:$BO$1004,1,MATCH(COLUMNS($AN$1006:AR1006),$AN$1006:$BO$1006,0)))),"Fix")))</f>
        <v>0</v>
      </c>
      <c r="G555" s="4">
        <f>IF(OR(INDEX($AH$2:$AH$1001,MATCH(ROWS($AG$2:AG555),$AG$2:$AG$1001,0),1)&gt;=100000,INDEX($AN$1005:$BO$1005,1,MATCH(COLUMNS($AN$1006:AS1006),$AN$1006:$BO$1006,0))&gt;=100000), " ",IF(INDEX($AN$2:$BO$1001,MATCH(ROWS($AG$2:AG555),$AG$2:$AG$1001,0),MATCH(COLUMNS($AN$1006:AS1006),$AN$1006:$BO$1006,0)), HYPERLINK("#",""), HYPERLINK(CONCATENATE("#Metadata!", ADDRESS(INDEX($AI$2:$AI$1001,MATCH(ROWS($AG$2:AG555),$AG$2:$AG$1001,0),0), INDEX($AN$1004:$BO$1004,1,MATCH(COLUMNS($AN$1006:AS1006),$AN$1006:$BO$1006,0)))),"Fix")))</f>
        <v>0</v>
      </c>
      <c r="H555" s="4">
        <f>IF(OR(INDEX($AH$2:$AH$1001,MATCH(ROWS($AG$2:AG555),$AG$2:$AG$1001,0),1)&gt;=100000,INDEX($AN$1005:$BO$1005,1,MATCH(COLUMNS($AN$1006:AT1006),$AN$1006:$BO$1006,0))&gt;=100000), " ",IF(INDEX($AN$2:$BO$1001,MATCH(ROWS($AG$2:AG555),$AG$2:$AG$1001,0),MATCH(COLUMNS($AN$1006:AT1006),$AN$1006:$BO$1006,0)), HYPERLINK("#",""), HYPERLINK(CONCATENATE("#Metadata!", ADDRESS(INDEX($AI$2:$AI$1001,MATCH(ROWS($AG$2:AG555),$AG$2:$AG$1001,0),0), INDEX($AN$1004:$BO$1004,1,MATCH(COLUMNS($AN$1006:AT1006),$AN$1006:$BO$1006,0)))),"Fix")))</f>
        <v>0</v>
      </c>
      <c r="I555" s="4">
        <f>IF(OR(INDEX($AH$2:$AH$1001,MATCH(ROWS($AG$2:AG555),$AG$2:$AG$1001,0),1)&gt;=100000,INDEX($AN$1005:$BO$1005,1,MATCH(COLUMNS($AN$1006:AU1006),$AN$1006:$BO$1006,0))&gt;=100000), " ",IF(INDEX($AN$2:$BO$1001,MATCH(ROWS($AG$2:AG555),$AG$2:$AG$1001,0),MATCH(COLUMNS($AN$1006:AU1006),$AN$1006:$BO$1006,0)), HYPERLINK("#",""), HYPERLINK(CONCATENATE("#Metadata!", ADDRESS(INDEX($AI$2:$AI$1001,MATCH(ROWS($AG$2:AG555),$AG$2:$AG$1001,0),0), INDEX($AN$1004:$BO$1004,1,MATCH(COLUMNS($AN$1006:AU1006),$AN$1006:$BO$1006,0)))),"Fix")))</f>
        <v>0</v>
      </c>
      <c r="J555" s="4">
        <f>IF(OR(INDEX($AH$2:$AH$1001,MATCH(ROWS($AG$2:AG555),$AG$2:$AG$1001,0),1)&gt;=100000,INDEX($AN$1005:$BO$1005,1,MATCH(COLUMNS($AN$1006:AV1006),$AN$1006:$BO$1006,0))&gt;=100000), " ",IF(INDEX($AN$2:$BO$1001,MATCH(ROWS($AG$2:AG555),$AG$2:$AG$1001,0),MATCH(COLUMNS($AN$1006:AV1006),$AN$1006:$BO$1006,0)), HYPERLINK("#",""), HYPERLINK(CONCATENATE("#Metadata!", ADDRESS(INDEX($AI$2:$AI$1001,MATCH(ROWS($AG$2:AG555),$AG$2:$AG$1001,0),0), INDEX($AN$1004:$BO$1004,1,MATCH(COLUMNS($AN$1006:AV1006),$AN$1006:$BO$1006,0)))),"Fix")))</f>
        <v>0</v>
      </c>
      <c r="K555" s="4">
        <f>IF(OR(INDEX($AH$2:$AH$1001,MATCH(ROWS($AG$2:AG555),$AG$2:$AG$1001,0),1)&gt;=100000,INDEX($AN$1005:$BO$1005,1,MATCH(COLUMNS($AN$1006:AW1006),$AN$1006:$BO$1006,0))&gt;=100000), " ",IF(INDEX($AN$2:$BO$1001,MATCH(ROWS($AG$2:AG555),$AG$2:$AG$1001,0),MATCH(COLUMNS($AN$1006:AW1006),$AN$1006:$BO$1006,0)), HYPERLINK("#",""), HYPERLINK(CONCATENATE("#Metadata!", ADDRESS(INDEX($AI$2:$AI$1001,MATCH(ROWS($AG$2:AG555),$AG$2:$AG$1001,0),0), INDEX($AN$1004:$BO$1004,1,MATCH(COLUMNS($AN$1006:AW1006),$AN$1006:$BO$1006,0)))),"Fix")))</f>
        <v>0</v>
      </c>
      <c r="L555" s="4">
        <f>IF(OR(INDEX($AH$2:$AH$1001,MATCH(ROWS($AG$2:AG555),$AG$2:$AG$1001,0),1)&gt;=100000,INDEX($AN$1005:$BO$1005,1,MATCH(COLUMNS($AN$1006:AX1006),$AN$1006:$BO$1006,0))&gt;=100000), " ",IF(INDEX($AN$2:$BO$1001,MATCH(ROWS($AG$2:AG555),$AG$2:$AG$1001,0),MATCH(COLUMNS($AN$1006:AX1006),$AN$1006:$BO$1006,0)), HYPERLINK("#",""), HYPERLINK(CONCATENATE("#Metadata!", ADDRESS(INDEX($AI$2:$AI$1001,MATCH(ROWS($AG$2:AG555),$AG$2:$AG$1001,0),0), INDEX($AN$1004:$BO$1004,1,MATCH(COLUMNS($AN$1006:AX1006),$AN$1006:$BO$1006,0)))),"Fix")))</f>
        <v>0</v>
      </c>
      <c r="M555" s="4">
        <f>IF(OR(INDEX($AH$2:$AH$1001,MATCH(ROWS($AG$2:AG555),$AG$2:$AG$1001,0),1)&gt;=100000,INDEX($AN$1005:$BO$1005,1,MATCH(COLUMNS($AN$1006:AY1006),$AN$1006:$BO$1006,0))&gt;=100000), " ",IF(INDEX($AN$2:$BO$1001,MATCH(ROWS($AG$2:AG555),$AG$2:$AG$1001,0),MATCH(COLUMNS($AN$1006:AY1006),$AN$1006:$BO$1006,0)), HYPERLINK("#",""), HYPERLINK(CONCATENATE("#Metadata!", ADDRESS(INDEX($AI$2:$AI$1001,MATCH(ROWS($AG$2:AG555),$AG$2:$AG$1001,0),0), INDEX($AN$1004:$BO$1004,1,MATCH(COLUMNS($AN$1006:AY1006),$AN$1006:$BO$1006,0)))),"Fix")))</f>
        <v>0</v>
      </c>
      <c r="N555" s="4">
        <f>IF(OR(INDEX($AH$2:$AH$1001,MATCH(ROWS($AG$2:AG555),$AG$2:$AG$1001,0),1)&gt;=100000,INDEX($AN$1005:$BO$1005,1,MATCH(COLUMNS($AN$1006:AZ1006),$AN$1006:$BO$1006,0))&gt;=100000), " ",IF(INDEX($AN$2:$BO$1001,MATCH(ROWS($AG$2:AG555),$AG$2:$AG$1001,0),MATCH(COLUMNS($AN$1006:AZ1006),$AN$1006:$BO$1006,0)), HYPERLINK("#",""), HYPERLINK(CONCATENATE("#Metadata!", ADDRESS(INDEX($AI$2:$AI$1001,MATCH(ROWS($AG$2:AG555),$AG$2:$AG$1001,0),0), INDEX($AN$1004:$BO$1004,1,MATCH(COLUMNS($AN$1006:AZ1006),$AN$1006:$BO$1006,0)))),"Fix")))</f>
        <v>0</v>
      </c>
      <c r="O555" s="4">
        <f>IF(OR(INDEX($AH$2:$AH$1001,MATCH(ROWS($AG$2:AG555),$AG$2:$AG$1001,0),1)&gt;=100000,INDEX($AN$1005:$BO$1005,1,MATCH(COLUMNS($AN$1006:BA1006),$AN$1006:$BO$1006,0))&gt;=100000), " ",IF(INDEX($AN$2:$BO$1001,MATCH(ROWS($AG$2:AG555),$AG$2:$AG$1001,0),MATCH(COLUMNS($AN$1006:BA1006),$AN$1006:$BO$1006,0)), HYPERLINK("#",""), HYPERLINK(CONCATENATE("#Metadata!", ADDRESS(INDEX($AI$2:$AI$1001,MATCH(ROWS($AG$2:AG555),$AG$2:$AG$1001,0),0), INDEX($AN$1004:$BO$1004,1,MATCH(COLUMNS($AN$1006:BA1006),$AN$1006:$BO$1006,0)))),"Fix")))</f>
        <v>0</v>
      </c>
      <c r="P555" s="4">
        <f>IF(OR(INDEX($AH$2:$AH$1001,MATCH(ROWS($AG$2:AG555),$AG$2:$AG$1001,0),1)&gt;=100000,INDEX($AN$1005:$BO$1005,1,MATCH(COLUMNS($AN$1006:BB1006),$AN$1006:$BO$1006,0))&gt;=100000), " ",IF(INDEX($AN$2:$BO$1001,MATCH(ROWS($AG$2:AG555),$AG$2:$AG$1001,0),MATCH(COLUMNS($AN$1006:BB1006),$AN$1006:$BO$1006,0)), HYPERLINK("#",""), HYPERLINK(CONCATENATE("#Metadata!", ADDRESS(INDEX($AI$2:$AI$1001,MATCH(ROWS($AG$2:AG555),$AG$2:$AG$1001,0),0), INDEX($AN$1004:$BO$1004,1,MATCH(COLUMNS($AN$1006:BB1006),$AN$1006:$BO$1006,0)))),"Fix")))</f>
        <v>0</v>
      </c>
      <c r="Q555" s="4">
        <f>IF(OR(INDEX($AH$2:$AH$1001,MATCH(ROWS($AG$2:AG555),$AG$2:$AG$1001,0),1)&gt;=100000,INDEX($AN$1005:$BO$1005,1,MATCH(COLUMNS($AN$1006:BC1006),$AN$1006:$BO$1006,0))&gt;=100000), " ",IF(INDEX($AN$2:$BO$1001,MATCH(ROWS($AG$2:AG555),$AG$2:$AG$1001,0),MATCH(COLUMNS($AN$1006:BC1006),$AN$1006:$BO$1006,0)), HYPERLINK("#",""), HYPERLINK(CONCATENATE("#Metadata!", ADDRESS(INDEX($AI$2:$AI$1001,MATCH(ROWS($AG$2:AG555),$AG$2:$AG$1001,0),0), INDEX($AN$1004:$BO$1004,1,MATCH(COLUMNS($AN$1006:BC1006),$AN$1006:$BO$1006,0)))),"Fix")))</f>
        <v>0</v>
      </c>
      <c r="R555" s="4">
        <f>IF(OR(INDEX($AH$2:$AH$1001,MATCH(ROWS($AG$2:AG555),$AG$2:$AG$1001,0),1)&gt;=100000,INDEX($AN$1005:$BO$1005,1,MATCH(COLUMNS($AN$1006:BD1006),$AN$1006:$BO$1006,0))&gt;=100000), " ",IF(INDEX($AN$2:$BO$1001,MATCH(ROWS($AG$2:AG555),$AG$2:$AG$1001,0),MATCH(COLUMNS($AN$1006:BD1006),$AN$1006:$BO$1006,0)), HYPERLINK("#",""), HYPERLINK(CONCATENATE("#Metadata!", ADDRESS(INDEX($AI$2:$AI$1001,MATCH(ROWS($AG$2:AG555),$AG$2:$AG$1001,0),0), INDEX($AN$1004:$BO$1004,1,MATCH(COLUMNS($AN$1006:BD1006),$AN$1006:$BO$1006,0)))),"Fix")))</f>
        <v>0</v>
      </c>
      <c r="S555" s="4">
        <f>IF(OR(INDEX($AH$2:$AH$1001,MATCH(ROWS($AG$2:AG555),$AG$2:$AG$1001,0),1)&gt;=100000,INDEX($AN$1005:$BO$1005,1,MATCH(COLUMNS($AN$1006:BE1006),$AN$1006:$BO$1006,0))&gt;=100000), " ",IF(INDEX($AN$2:$BO$1001,MATCH(ROWS($AG$2:AG555),$AG$2:$AG$1001,0),MATCH(COLUMNS($AN$1006:BE1006),$AN$1006:$BO$1006,0)), HYPERLINK("#",""), HYPERLINK(CONCATENATE("#Metadata!", ADDRESS(INDEX($AI$2:$AI$1001,MATCH(ROWS($AG$2:AG555),$AG$2:$AG$1001,0),0), INDEX($AN$1004:$BO$1004,1,MATCH(COLUMNS($AN$1006:BE1006),$AN$1006:$BO$1006,0)))),"Fix")))</f>
        <v>0</v>
      </c>
      <c r="T555" s="4">
        <f>IF(OR(INDEX($AH$2:$AH$1001,MATCH(ROWS($AG$2:AG555),$AG$2:$AG$1001,0),1)&gt;=100000,INDEX($AN$1005:$BO$1005,1,MATCH(COLUMNS($AN$1006:BF1006),$AN$1006:$BO$1006,0))&gt;=100000), " ",IF(INDEX($AN$2:$BO$1001,MATCH(ROWS($AG$2:AG555),$AG$2:$AG$1001,0),MATCH(COLUMNS($AN$1006:BF1006),$AN$1006:$BO$1006,0)), HYPERLINK("#",""), HYPERLINK(CONCATENATE("#Metadata!", ADDRESS(INDEX($AI$2:$AI$1001,MATCH(ROWS($AG$2:AG555),$AG$2:$AG$1001,0),0), INDEX($AN$1004:$BO$1004,1,MATCH(COLUMNS($AN$1006:BF1006),$AN$1006:$BO$1006,0)))),"Fix")))</f>
        <v>0</v>
      </c>
      <c r="U555" s="4">
        <f>IF(OR(INDEX($AH$2:$AH$1001,MATCH(ROWS($AG$2:AG555),$AG$2:$AG$1001,0),1)&gt;=100000,INDEX($AN$1005:$BO$1005,1,MATCH(COLUMNS($AN$1006:BG1006),$AN$1006:$BO$1006,0))&gt;=100000), " ",IF(INDEX($AN$2:$BO$1001,MATCH(ROWS($AG$2:AG555),$AG$2:$AG$1001,0),MATCH(COLUMNS($AN$1006:BG1006),$AN$1006:$BO$1006,0)), HYPERLINK("#",""), HYPERLINK(CONCATENATE("#Metadata!", ADDRESS(INDEX($AI$2:$AI$1001,MATCH(ROWS($AG$2:AG555),$AG$2:$AG$1001,0),0), INDEX($AN$1004:$BO$1004,1,MATCH(COLUMNS($AN$1006:BG1006),$AN$1006:$BO$1006,0)))),"Fix")))</f>
        <v>0</v>
      </c>
      <c r="V555" s="4">
        <f>IF(OR(INDEX($AH$2:$AH$1001,MATCH(ROWS($AG$2:AG555),$AG$2:$AG$1001,0),1)&gt;=100000,INDEX($AN$1005:$BO$1005,1,MATCH(COLUMNS($AN$1006:BH1006),$AN$1006:$BO$1006,0))&gt;=100000), " ",IF(INDEX($AN$2:$BO$1001,MATCH(ROWS($AG$2:AG555),$AG$2:$AG$1001,0),MATCH(COLUMNS($AN$1006:BH1006),$AN$1006:$BO$1006,0)), HYPERLINK("#",""), HYPERLINK(CONCATENATE("#Metadata!", ADDRESS(INDEX($AI$2:$AI$1001,MATCH(ROWS($AG$2:AG555),$AG$2:$AG$1001,0),0), INDEX($AN$1004:$BO$1004,1,MATCH(COLUMNS($AN$1006:BH1006),$AN$1006:$BO$1006,0)))),"Fix")))</f>
        <v>0</v>
      </c>
      <c r="W555" s="4">
        <f>IF(OR(INDEX($AH$2:$AH$1001,MATCH(ROWS($AG$2:AG555),$AG$2:$AG$1001,0),1)&gt;=100000,INDEX($AN$1005:$BO$1005,1,MATCH(COLUMNS($AN$1006:BI1006),$AN$1006:$BO$1006,0))&gt;=100000), " ",IF(INDEX($AN$2:$BO$1001,MATCH(ROWS($AG$2:AG555),$AG$2:$AG$1001,0),MATCH(COLUMNS($AN$1006:BI1006),$AN$1006:$BO$1006,0)), HYPERLINK("#",""), HYPERLINK(CONCATENATE("#Metadata!", ADDRESS(INDEX($AI$2:$AI$1001,MATCH(ROWS($AG$2:AG555),$AG$2:$AG$1001,0),0), INDEX($AN$1004:$BO$1004,1,MATCH(COLUMNS($AN$1006:BI1006),$AN$1006:$BO$1006,0)))),"Fix")))</f>
        <v>0</v>
      </c>
      <c r="X555" s="4">
        <f>IF(OR(INDEX($AH$2:$AH$1001,MATCH(ROWS($AG$2:AG555),$AG$2:$AG$1001,0),1)&gt;=100000,INDEX($AN$1005:$BO$1005,1,MATCH(COLUMNS($AN$1006:BJ1006),$AN$1006:$BO$1006,0))&gt;=100000), " ",IF(INDEX($AN$2:$BO$1001,MATCH(ROWS($AG$2:AG555),$AG$2:$AG$1001,0),MATCH(COLUMNS($AN$1006:BJ1006),$AN$1006:$BO$1006,0)), HYPERLINK("#",""), HYPERLINK(CONCATENATE("#Metadata!", ADDRESS(INDEX($AI$2:$AI$1001,MATCH(ROWS($AG$2:AG555),$AG$2:$AG$1001,0),0), INDEX($AN$1004:$BO$1004,1,MATCH(COLUMNS($AN$1006:BJ1006),$AN$1006:$BO$1006,0)))),"Fix")))</f>
        <v>0</v>
      </c>
      <c r="Y555" s="4">
        <f>IF(OR(INDEX($AH$2:$AH$1001,MATCH(ROWS($AG$2:AG555),$AG$2:$AG$1001,0),1)&gt;=100000,INDEX($AN$1005:$BO$1005,1,MATCH(COLUMNS($AN$1006:BK1006),$AN$1006:$BO$1006,0))&gt;=100000), " ",IF(INDEX($AN$2:$BO$1001,MATCH(ROWS($AG$2:AG555),$AG$2:$AG$1001,0),MATCH(COLUMNS($AN$1006:BK1006),$AN$1006:$BO$1006,0)), HYPERLINK("#",""), HYPERLINK(CONCATENATE("#Metadata!", ADDRESS(INDEX($AI$2:$AI$1001,MATCH(ROWS($AG$2:AG555),$AG$2:$AG$1001,0),0), INDEX($AN$1004:$BO$1004,1,MATCH(COLUMNS($AN$1006:BK1006),$AN$1006:$BO$1006,0)))),"Fix")))</f>
        <v>0</v>
      </c>
      <c r="Z555" s="4">
        <f>IF(OR(INDEX($AH$2:$AH$1001,MATCH(ROWS($AG$2:AG555),$AG$2:$AG$1001,0),1)&gt;=100000,INDEX($AN$1005:$BO$1005,1,MATCH(COLUMNS($AN$1006:BL1006),$AN$1006:$BO$1006,0))&gt;=100000), " ",IF(INDEX($AN$2:$BO$1001,MATCH(ROWS($AG$2:AG555),$AG$2:$AG$1001,0),MATCH(COLUMNS($AN$1006:BL1006),$AN$1006:$BO$1006,0)), HYPERLINK("#",""), HYPERLINK(CONCATENATE("#Metadata!", ADDRESS(INDEX($AI$2:$AI$1001,MATCH(ROWS($AG$2:AG555),$AG$2:$AG$1001,0),0), INDEX($AN$1004:$BO$1004,1,MATCH(COLUMNS($AN$1006:BL1006),$AN$1006:$BO$1006,0)))),"Fix")))</f>
        <v>0</v>
      </c>
      <c r="AA555" s="4">
        <f>IF(OR(INDEX($AH$2:$AH$1001,MATCH(ROWS($AG$2:AG555),$AG$2:$AG$1001,0),1)&gt;=100000,INDEX($AN$1005:$BO$1005,1,MATCH(COLUMNS($AN$1006:BM1006),$AN$1006:$BO$1006,0))&gt;=100000), " ",IF(INDEX($AN$2:$BO$1001,MATCH(ROWS($AG$2:AG555),$AG$2:$AG$1001,0),MATCH(COLUMNS($AN$1006:BM1006),$AN$1006:$BO$1006,0)), HYPERLINK("#",""), HYPERLINK(CONCATENATE("#Metadata!", ADDRESS(INDEX($AI$2:$AI$1001,MATCH(ROWS($AG$2:AG555),$AG$2:$AG$1001,0),0), INDEX($AN$1004:$BO$1004,1,MATCH(COLUMNS($AN$1006:BM1006),$AN$1006:$BO$1006,0)))),"Fix")))</f>
        <v>0</v>
      </c>
      <c r="AB555" s="4">
        <f>IF(OR(INDEX($AH$2:$AH$1001,MATCH(ROWS($AG$2:AG555),$AG$2:$AG$1001,0),1)&gt;=100000,INDEX($AN$1005:$BO$1005,1,MATCH(COLUMNS($AN$1006:BN1006),$AN$1006:$BO$1006,0))&gt;=100000), " ",IF(INDEX($AN$2:$BO$1001,MATCH(ROWS($AG$2:AG555),$AG$2:$AG$1001,0),MATCH(COLUMNS($AN$1006:BN1006),$AN$1006:$BO$1006,0)), HYPERLINK("#",""), HYPERLINK(CONCATENATE("#Metadata!", ADDRESS(INDEX($AI$2:$AI$1001,MATCH(ROWS($AG$2:AG555),$AG$2:$AG$1001,0),0), INDEX($AN$1004:$BO$1004,1,MATCH(COLUMNS($AN$1006:BN1006),$AN$1006:$BO$1006,0)))),"Fix")))</f>
        <v>0</v>
      </c>
      <c r="AC555" s="4">
        <f>IF(OR(INDEX($AH$2:$AH$1001,MATCH(ROWS($AG$2:AG555),$AG$2:$AG$1001,0),1)&gt;=100000,INDEX($AN$1005:$BO$1005,1,MATCH(COLUMNS($AN$1006:BO1006),$AN$1006:$BO$1006,0))&gt;=100000), " ",IF(INDEX($AN$2:$BO$1001,MATCH(ROWS($AG$2:AG555),$AG$2:$AG$1001,0),MATCH(COLUMNS($AN$1006:BO1006),$AN$1006:$BO$1006,0)), HYPERLINK("#",""), HYPERLINK(CONCATENATE("#Metadata!", ADDRESS(INDEX($AI$2:$AI$1001,MATCH(ROWS($AG$2:AG555),$AG$2:$AG$1001,0),0), INDEX($AN$1004:$BO$1004,1,MATCH(COLUMNS($AN$1006:BO1006),$AN$1006:$BO$1006,0)))),"Fix")))</f>
        <v>0</v>
      </c>
      <c r="AG555">
        <v>0</v>
      </c>
      <c r="AH555">
        <v>0</v>
      </c>
      <c r="AI555">
        <v>0</v>
      </c>
      <c r="AJ555">
        <f>IF(AK555,TRUE,AND(AN555:BO555))</f>
        <v>0</v>
      </c>
      <c r="AK555">
        <f>COUNTBLANK(Metadata!B555:AC555)=COLUMNS(Metadata!B555:AC555)</f>
        <v>0</v>
      </c>
      <c r="AL555">
        <v>0</v>
      </c>
      <c r="AN555">
        <f>AND(IF(Metadata!B555="",FALSE,TRUE),COUNTIF(Metadata!B:B, Metadata!B555) = 1,NOT(ISERROR(SUMPRODUCT(SEARCH(MID(Metadata!B555,ROW(INDIRECT("1:"&amp;LEN(Metadata!B555))), 1),"0123456789abcdefghijklmnopqrstuvwxyzABCDEFGHIJKLMNOPQRSTUVWXYZ.")))))</f>
        <v>0</v>
      </c>
      <c r="AO555">
        <f>IF(Metadata!C555="",FALSE,TRUE)</f>
        <v>0</v>
      </c>
      <c r="AP555">
        <f>IF(Metadata!D555="",FALSE,TRUE)</f>
        <v>0</v>
      </c>
      <c r="AQ555">
        <f>OR(AND(IF(Metadata!E555="",FALSE,TRUE),OR(exact(Metadata!E555,"not collected"),exact(Metadata!E555,"not provided"),exact(Metadata!E555,"restricted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R555">
        <f>IF(Metadata!F555="",FALSE,TRUE)</f>
        <v>0</v>
      </c>
      <c r="AS555">
        <f>OR(AND(IF(Metadata!G555="",FALSE,TRUE),OR(exact(Metadata!G555,"not collected"),exact(Metadata!G555,"not provided"))),AND(IF(Metadata!G555="",FALSE,TRUE),OR(exact(Metadata!G555,"TRUE"),exact(Metadata!G555,"FALSE"))))</f>
        <v>0</v>
      </c>
      <c r="AT555">
        <f>OR(AND(IF(Metadata!H555="",FALSE,TRUE),OR(exact(Metadata!H555,"not collected"),exact(Metadata!H555,"not provided"),exact(Metadata!H555,"restricted access"))),AND(IF(Metadata!H555="",FALSE,ISNUMBER(VALUE(Metadata!H555))),Metadata!H555&gt;=-413.0))</f>
        <v>0</v>
      </c>
      <c r="AU555">
        <f>AND(IF(Metadata!I555="",FALSE,TRUE),exact(Metadata!I555,"meters"))</f>
        <v>0</v>
      </c>
      <c r="AV555">
        <f>AND(IF(Metadata!J555="",FALSE,TRUE),OR(exact(Metadata!J555,"Host-associated"),exact(Metadata!J555,"Free-living")))</f>
        <v>0</v>
      </c>
      <c r="AW555">
        <f>AND(IF(Metadata!K555="",FALSE,TRUE),OR(exact(Metadata!K555,"Animal"),exact(Metadata!K555,"Fungus"),exact(Metadata!K555,"Plant"),exact(Metadata!K555,"Saline"),exact(Metadata!K555,"Non-saline")))</f>
        <v>0</v>
      </c>
      <c r="AX555">
        <f>AND(IF(Metadata!L555="",FALSE,TRUE),OR(exact(Metadata!L555,"Plant secretion"),exact(Metadata!L555,"Plant rhizosphere"),exact(Metadata!L555,"Plant surface"),exact(Metadata!L555,"Plant corpus"),exact(Metadata!L555,"Fungus surface"),exact(Metadata!L555,"Fungus corpus"),exact(Metadata!L555,"Animal surface"),exact(Metadata!L555,"Animal proximal gut"),exact(Metadata!L555,"Animal corpus"),exact(Metadata!L555,"Animal distal gut"),exact(Metadata!L555,"Animal secretion"),exact(Metadata!L555,"Sub-surface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Y555">
        <f>IF(Metadata!M555="",FALSE,TRUE)</f>
        <v>0</v>
      </c>
      <c r="AZ555">
        <f>IF(Metadata!N555="",FALSE,TRUE)</f>
        <v>0</v>
      </c>
      <c r="BA555">
        <f>IF(Metadata!O555="",FALSE,TRUE)</f>
        <v>0</v>
      </c>
      <c r="BB555">
        <f>OR(AND(IF(Metadata!P555="",FALSE,TRUE),OR(exact(Metadata!P555,"not collected"),exact(Metadata!P555,"not provided"),exact(Metadata!P555,"restricted access"))),AND(IF(Metadata!P555="",FALSE,TRUE),OR(exact(Metadata!P555,"air"),exact(Metadata!P555,"built environment"),exact(Metadata!P555,"host-associated"),exact(Metadata!P555,"human-associated"),exact(Metadata!P555,"human-skin"),exact(Metadata!P555,"human-oral"),exact(Metadata!P555,"human-gut"),exact(Metadata!P555,"human-vaginal"),exact(Metadata!P555,"microbial mat/biofilm"),exact(Metadata!P555,"misc environment"),exact(Metadata!P555,"plant-associated"),exact(Metadata!P555,"sediment"),exact(Metadata!P555,"soil"),exact(Metadata!P555,"wastewater/sludge"),exact(Metadata!P555,"water"))))</f>
        <v>0</v>
      </c>
      <c r="BC555">
        <f>IF(Metadata!Q555="",FALSE,TRUE)</f>
        <v>0</v>
      </c>
      <c r="BD555">
        <f>IF(Metadata!R555="",FALSE,TRUE)</f>
        <v>0</v>
      </c>
      <c r="BE555">
        <f>OR(AND(IF(Metadata!S555="",FALSE,TRUE),OR(exact(Metadata!S555,"not collected"),exact(Metadata!S555,"not provided"),exact(Metadata!S555,"restricted access"))),AND(IF(Metadata!S555="",FALSE,ISNUMBER(VALUE(Metadata!S555))),Metadata!S555&gt;=-90.00,Metadata!S555&lt;=90.00))</f>
        <v>0</v>
      </c>
      <c r="BF555">
        <f>AND(IF(Metadata!T555="",FALSE,TRUE),exact(Metadata!T555,"Decimal degrees"))</f>
        <v>0</v>
      </c>
      <c r="BG555">
        <f>OR(AND(IF(Metadata!U555="",FALSE,TRUE),OR(exact(Metadata!U555,"not collected"),exact(Metadata!U555,"not provided"),exact(Metadata!U555,"restricted access"))),AND(IF(Metadata!U555="",FALSE,ISNUMBER(VALUE(Metadata!U555))),Metadata!U555&gt;=-180.00,Metadata!U555&lt;=180.00))</f>
        <v>0</v>
      </c>
      <c r="BH555">
        <f>AND(IF(Metadata!V555="",FALSE,TRUE),exact(Metadata!V555,"Decimal degrees"))</f>
        <v>0</v>
      </c>
      <c r="BI555">
        <f>IF(Metadata!W555="",FALSE,TRUE)</f>
        <v>0</v>
      </c>
      <c r="BJ555">
        <f>OR(AND(IF(Metadata!X555="",FALSE,TRUE),OR(exact(Metadata!X555,"not collected"),exact(Metadata!X555,"not provided"),exact(Metadata!X555,"restricted access"))),AND(IF(Metadata!X555="",FALSE,TRUE),OR(exact(Metadata!X555,"TRUE"),exact(Metadata!X555,"FALSE"))))</f>
        <v>0</v>
      </c>
      <c r="BK555">
        <f>AND(IF(Metadata!Y555="",FALSE,TRUE),exact(Metadata!Y555,"other"))</f>
        <v>0</v>
      </c>
      <c r="BL555">
        <f>IF(Metadata!Z555="",FALSE,TRUE)</f>
        <v>0</v>
      </c>
      <c r="BM555">
        <f>OR(AND(IF(Metadata!AA555="",FALSE,TRUE),OR(exact(Metadata!AA555,"not collected"),exact(Metadata!AA555,"not provided"))),AND(IF(Metadata!AA555="",FALSE,IF(ISERROR(INT(Metadata!AA555)),FALSE,INT(Metadata!AA555)=Metadata!AA555)),Metadata!AA555&gt;0))</f>
        <v>0</v>
      </c>
      <c r="BN555">
        <f>AND(IF(Metadata!AB555="",FALSE,TRUE),exact(Metadata!AB555,"Not applicable"))</f>
        <v>0</v>
      </c>
      <c r="BO555">
        <f>IF(Metadata!AC555="",FALSE,TRUE)</f>
        <v>0</v>
      </c>
    </row>
    <row r="556" spans="1:67">
      <c r="A556" s="5">
        <f>IF(B556=" "," ",HYPERLINK(CONCATENATE("#metadata!",ADDRESS(INDEX($AI$2:$AI$1001,MATCH(ROWS($AG$2:AG556),$AG$2:$AG$1001,0),0),1)),INDEX($AL$2:$AL$1001,MATCH(ROWS($AG$2:AG556),$AG$2:$AG$1001,0),0)))</f>
        <v>0</v>
      </c>
      <c r="B556" s="4">
        <f>IF(OR(INDEX($AH$2:$AH$1001,MATCH(ROWS($AG$2:AG556),$AG$2:$AG$1001,0),1)&gt;=100000,INDEX($AN$1005:$BO$1005,1,MATCH(COLUMNS($AN$1006:AN1006),$AN$1006:$BO$1006,0))&gt;=100000), " ",IF(INDEX($AN$2:$BO$1001,MATCH(ROWS($AG$2:AG556),$AG$2:$AG$1001,0),MATCH(COLUMNS($AN$1006:AN1006),$AN$1006:$BO$1006,0)), HYPERLINK("#",""), HYPERLINK(CONCATENATE("#Metadata!", ADDRESS(INDEX($AI$2:$AI$1001,MATCH(ROWS($AG$2:AG556),$AG$2:$AG$1001,0),0), INDEX($AN$1004:$BO$1004,1,MATCH(COLUMNS($AN$1006:AN1006),$AN$1006:$BO$1006,0)))),"Fix")))</f>
        <v>0</v>
      </c>
      <c r="C556" s="4">
        <f>IF(OR(INDEX($AH$2:$AH$1001,MATCH(ROWS($AG$2:AG556),$AG$2:$AG$1001,0),1)&gt;=100000,INDEX($AN$1005:$BO$1005,1,MATCH(COLUMNS($AN$1006:AO1006),$AN$1006:$BO$1006,0))&gt;=100000), " ",IF(INDEX($AN$2:$BO$1001,MATCH(ROWS($AG$2:AG556),$AG$2:$AG$1001,0),MATCH(COLUMNS($AN$1006:AO1006),$AN$1006:$BO$1006,0)), HYPERLINK("#",""), HYPERLINK(CONCATENATE("#Metadata!", ADDRESS(INDEX($AI$2:$AI$1001,MATCH(ROWS($AG$2:AG556),$AG$2:$AG$1001,0),0), INDEX($AN$1004:$BO$1004,1,MATCH(COLUMNS($AN$1006:AO1006),$AN$1006:$BO$1006,0)))),"Fix")))</f>
        <v>0</v>
      </c>
      <c r="D556" s="4">
        <f>IF(OR(INDEX($AH$2:$AH$1001,MATCH(ROWS($AG$2:AG556),$AG$2:$AG$1001,0),1)&gt;=100000,INDEX($AN$1005:$BO$1005,1,MATCH(COLUMNS($AN$1006:AP1006),$AN$1006:$BO$1006,0))&gt;=100000), " ",IF(INDEX($AN$2:$BO$1001,MATCH(ROWS($AG$2:AG556),$AG$2:$AG$1001,0),MATCH(COLUMNS($AN$1006:AP1006),$AN$1006:$BO$1006,0)), HYPERLINK("#",""), HYPERLINK(CONCATENATE("#Metadata!", ADDRESS(INDEX($AI$2:$AI$1001,MATCH(ROWS($AG$2:AG556),$AG$2:$AG$1001,0),0), INDEX($AN$1004:$BO$1004,1,MATCH(COLUMNS($AN$1006:AP1006),$AN$1006:$BO$1006,0)))),"Fix")))</f>
        <v>0</v>
      </c>
      <c r="E556" s="4">
        <f>IF(OR(INDEX($AH$2:$AH$1001,MATCH(ROWS($AG$2:AG556),$AG$2:$AG$1001,0),1)&gt;=100000,INDEX($AN$1005:$BO$1005,1,MATCH(COLUMNS($AN$1006:AQ1006),$AN$1006:$BO$1006,0))&gt;=100000), " ",IF(INDEX($AN$2:$BO$1001,MATCH(ROWS($AG$2:AG556),$AG$2:$AG$1001,0),MATCH(COLUMNS($AN$1006:AQ1006),$AN$1006:$BO$1006,0)), HYPERLINK("#",""), HYPERLINK(CONCATENATE("#Metadata!", ADDRESS(INDEX($AI$2:$AI$1001,MATCH(ROWS($AG$2:AG556),$AG$2:$AG$1001,0),0), INDEX($AN$1004:$BO$1004,1,MATCH(COLUMNS($AN$1006:AQ1006),$AN$1006:$BO$1006,0)))),"Fix")))</f>
        <v>0</v>
      </c>
      <c r="F556" s="4">
        <f>IF(OR(INDEX($AH$2:$AH$1001,MATCH(ROWS($AG$2:AG556),$AG$2:$AG$1001,0),1)&gt;=100000,INDEX($AN$1005:$BO$1005,1,MATCH(COLUMNS($AN$1006:AR1006),$AN$1006:$BO$1006,0))&gt;=100000), " ",IF(INDEX($AN$2:$BO$1001,MATCH(ROWS($AG$2:AG556),$AG$2:$AG$1001,0),MATCH(COLUMNS($AN$1006:AR1006),$AN$1006:$BO$1006,0)), HYPERLINK("#",""), HYPERLINK(CONCATENATE("#Metadata!", ADDRESS(INDEX($AI$2:$AI$1001,MATCH(ROWS($AG$2:AG556),$AG$2:$AG$1001,0),0), INDEX($AN$1004:$BO$1004,1,MATCH(COLUMNS($AN$1006:AR1006),$AN$1006:$BO$1006,0)))),"Fix")))</f>
        <v>0</v>
      </c>
      <c r="G556" s="4">
        <f>IF(OR(INDEX($AH$2:$AH$1001,MATCH(ROWS($AG$2:AG556),$AG$2:$AG$1001,0),1)&gt;=100000,INDEX($AN$1005:$BO$1005,1,MATCH(COLUMNS($AN$1006:AS1006),$AN$1006:$BO$1006,0))&gt;=100000), " ",IF(INDEX($AN$2:$BO$1001,MATCH(ROWS($AG$2:AG556),$AG$2:$AG$1001,0),MATCH(COLUMNS($AN$1006:AS1006),$AN$1006:$BO$1006,0)), HYPERLINK("#",""), HYPERLINK(CONCATENATE("#Metadata!", ADDRESS(INDEX($AI$2:$AI$1001,MATCH(ROWS($AG$2:AG556),$AG$2:$AG$1001,0),0), INDEX($AN$1004:$BO$1004,1,MATCH(COLUMNS($AN$1006:AS1006),$AN$1006:$BO$1006,0)))),"Fix")))</f>
        <v>0</v>
      </c>
      <c r="H556" s="4">
        <f>IF(OR(INDEX($AH$2:$AH$1001,MATCH(ROWS($AG$2:AG556),$AG$2:$AG$1001,0),1)&gt;=100000,INDEX($AN$1005:$BO$1005,1,MATCH(COLUMNS($AN$1006:AT1006),$AN$1006:$BO$1006,0))&gt;=100000), " ",IF(INDEX($AN$2:$BO$1001,MATCH(ROWS($AG$2:AG556),$AG$2:$AG$1001,0),MATCH(COLUMNS($AN$1006:AT1006),$AN$1006:$BO$1006,0)), HYPERLINK("#",""), HYPERLINK(CONCATENATE("#Metadata!", ADDRESS(INDEX($AI$2:$AI$1001,MATCH(ROWS($AG$2:AG556),$AG$2:$AG$1001,0),0), INDEX($AN$1004:$BO$1004,1,MATCH(COLUMNS($AN$1006:AT1006),$AN$1006:$BO$1006,0)))),"Fix")))</f>
        <v>0</v>
      </c>
      <c r="I556" s="4">
        <f>IF(OR(INDEX($AH$2:$AH$1001,MATCH(ROWS($AG$2:AG556),$AG$2:$AG$1001,0),1)&gt;=100000,INDEX($AN$1005:$BO$1005,1,MATCH(COLUMNS($AN$1006:AU1006),$AN$1006:$BO$1006,0))&gt;=100000), " ",IF(INDEX($AN$2:$BO$1001,MATCH(ROWS($AG$2:AG556),$AG$2:$AG$1001,0),MATCH(COLUMNS($AN$1006:AU1006),$AN$1006:$BO$1006,0)), HYPERLINK("#",""), HYPERLINK(CONCATENATE("#Metadata!", ADDRESS(INDEX($AI$2:$AI$1001,MATCH(ROWS($AG$2:AG556),$AG$2:$AG$1001,0),0), INDEX($AN$1004:$BO$1004,1,MATCH(COLUMNS($AN$1006:AU1006),$AN$1006:$BO$1006,0)))),"Fix")))</f>
        <v>0</v>
      </c>
      <c r="J556" s="4">
        <f>IF(OR(INDEX($AH$2:$AH$1001,MATCH(ROWS($AG$2:AG556),$AG$2:$AG$1001,0),1)&gt;=100000,INDEX($AN$1005:$BO$1005,1,MATCH(COLUMNS($AN$1006:AV1006),$AN$1006:$BO$1006,0))&gt;=100000), " ",IF(INDEX($AN$2:$BO$1001,MATCH(ROWS($AG$2:AG556),$AG$2:$AG$1001,0),MATCH(COLUMNS($AN$1006:AV1006),$AN$1006:$BO$1006,0)), HYPERLINK("#",""), HYPERLINK(CONCATENATE("#Metadata!", ADDRESS(INDEX($AI$2:$AI$1001,MATCH(ROWS($AG$2:AG556),$AG$2:$AG$1001,0),0), INDEX($AN$1004:$BO$1004,1,MATCH(COLUMNS($AN$1006:AV1006),$AN$1006:$BO$1006,0)))),"Fix")))</f>
        <v>0</v>
      </c>
      <c r="K556" s="4">
        <f>IF(OR(INDEX($AH$2:$AH$1001,MATCH(ROWS($AG$2:AG556),$AG$2:$AG$1001,0),1)&gt;=100000,INDEX($AN$1005:$BO$1005,1,MATCH(COLUMNS($AN$1006:AW1006),$AN$1006:$BO$1006,0))&gt;=100000), " ",IF(INDEX($AN$2:$BO$1001,MATCH(ROWS($AG$2:AG556),$AG$2:$AG$1001,0),MATCH(COLUMNS($AN$1006:AW1006),$AN$1006:$BO$1006,0)), HYPERLINK("#",""), HYPERLINK(CONCATENATE("#Metadata!", ADDRESS(INDEX($AI$2:$AI$1001,MATCH(ROWS($AG$2:AG556),$AG$2:$AG$1001,0),0), INDEX($AN$1004:$BO$1004,1,MATCH(COLUMNS($AN$1006:AW1006),$AN$1006:$BO$1006,0)))),"Fix")))</f>
        <v>0</v>
      </c>
      <c r="L556" s="4">
        <f>IF(OR(INDEX($AH$2:$AH$1001,MATCH(ROWS($AG$2:AG556),$AG$2:$AG$1001,0),1)&gt;=100000,INDEX($AN$1005:$BO$1005,1,MATCH(COLUMNS($AN$1006:AX1006),$AN$1006:$BO$1006,0))&gt;=100000), " ",IF(INDEX($AN$2:$BO$1001,MATCH(ROWS($AG$2:AG556),$AG$2:$AG$1001,0),MATCH(COLUMNS($AN$1006:AX1006),$AN$1006:$BO$1006,0)), HYPERLINK("#",""), HYPERLINK(CONCATENATE("#Metadata!", ADDRESS(INDEX($AI$2:$AI$1001,MATCH(ROWS($AG$2:AG556),$AG$2:$AG$1001,0),0), INDEX($AN$1004:$BO$1004,1,MATCH(COLUMNS($AN$1006:AX1006),$AN$1006:$BO$1006,0)))),"Fix")))</f>
        <v>0</v>
      </c>
      <c r="M556" s="4">
        <f>IF(OR(INDEX($AH$2:$AH$1001,MATCH(ROWS($AG$2:AG556),$AG$2:$AG$1001,0),1)&gt;=100000,INDEX($AN$1005:$BO$1005,1,MATCH(COLUMNS($AN$1006:AY1006),$AN$1006:$BO$1006,0))&gt;=100000), " ",IF(INDEX($AN$2:$BO$1001,MATCH(ROWS($AG$2:AG556),$AG$2:$AG$1001,0),MATCH(COLUMNS($AN$1006:AY1006),$AN$1006:$BO$1006,0)), HYPERLINK("#",""), HYPERLINK(CONCATENATE("#Metadata!", ADDRESS(INDEX($AI$2:$AI$1001,MATCH(ROWS($AG$2:AG556),$AG$2:$AG$1001,0),0), INDEX($AN$1004:$BO$1004,1,MATCH(COLUMNS($AN$1006:AY1006),$AN$1006:$BO$1006,0)))),"Fix")))</f>
        <v>0</v>
      </c>
      <c r="N556" s="4">
        <f>IF(OR(INDEX($AH$2:$AH$1001,MATCH(ROWS($AG$2:AG556),$AG$2:$AG$1001,0),1)&gt;=100000,INDEX($AN$1005:$BO$1005,1,MATCH(COLUMNS($AN$1006:AZ1006),$AN$1006:$BO$1006,0))&gt;=100000), " ",IF(INDEX($AN$2:$BO$1001,MATCH(ROWS($AG$2:AG556),$AG$2:$AG$1001,0),MATCH(COLUMNS($AN$1006:AZ1006),$AN$1006:$BO$1006,0)), HYPERLINK("#",""), HYPERLINK(CONCATENATE("#Metadata!", ADDRESS(INDEX($AI$2:$AI$1001,MATCH(ROWS($AG$2:AG556),$AG$2:$AG$1001,0),0), INDEX($AN$1004:$BO$1004,1,MATCH(COLUMNS($AN$1006:AZ1006),$AN$1006:$BO$1006,0)))),"Fix")))</f>
        <v>0</v>
      </c>
      <c r="O556" s="4">
        <f>IF(OR(INDEX($AH$2:$AH$1001,MATCH(ROWS($AG$2:AG556),$AG$2:$AG$1001,0),1)&gt;=100000,INDEX($AN$1005:$BO$1005,1,MATCH(COLUMNS($AN$1006:BA1006),$AN$1006:$BO$1006,0))&gt;=100000), " ",IF(INDEX($AN$2:$BO$1001,MATCH(ROWS($AG$2:AG556),$AG$2:$AG$1001,0),MATCH(COLUMNS($AN$1006:BA1006),$AN$1006:$BO$1006,0)), HYPERLINK("#",""), HYPERLINK(CONCATENATE("#Metadata!", ADDRESS(INDEX($AI$2:$AI$1001,MATCH(ROWS($AG$2:AG556),$AG$2:$AG$1001,0),0), INDEX($AN$1004:$BO$1004,1,MATCH(COLUMNS($AN$1006:BA1006),$AN$1006:$BO$1006,0)))),"Fix")))</f>
        <v>0</v>
      </c>
      <c r="P556" s="4">
        <f>IF(OR(INDEX($AH$2:$AH$1001,MATCH(ROWS($AG$2:AG556),$AG$2:$AG$1001,0),1)&gt;=100000,INDEX($AN$1005:$BO$1005,1,MATCH(COLUMNS($AN$1006:BB1006),$AN$1006:$BO$1006,0))&gt;=100000), " ",IF(INDEX($AN$2:$BO$1001,MATCH(ROWS($AG$2:AG556),$AG$2:$AG$1001,0),MATCH(COLUMNS($AN$1006:BB1006),$AN$1006:$BO$1006,0)), HYPERLINK("#",""), HYPERLINK(CONCATENATE("#Metadata!", ADDRESS(INDEX($AI$2:$AI$1001,MATCH(ROWS($AG$2:AG556),$AG$2:$AG$1001,0),0), INDEX($AN$1004:$BO$1004,1,MATCH(COLUMNS($AN$1006:BB1006),$AN$1006:$BO$1006,0)))),"Fix")))</f>
        <v>0</v>
      </c>
      <c r="Q556" s="4">
        <f>IF(OR(INDEX($AH$2:$AH$1001,MATCH(ROWS($AG$2:AG556),$AG$2:$AG$1001,0),1)&gt;=100000,INDEX($AN$1005:$BO$1005,1,MATCH(COLUMNS($AN$1006:BC1006),$AN$1006:$BO$1006,0))&gt;=100000), " ",IF(INDEX($AN$2:$BO$1001,MATCH(ROWS($AG$2:AG556),$AG$2:$AG$1001,0),MATCH(COLUMNS($AN$1006:BC1006),$AN$1006:$BO$1006,0)), HYPERLINK("#",""), HYPERLINK(CONCATENATE("#Metadata!", ADDRESS(INDEX($AI$2:$AI$1001,MATCH(ROWS($AG$2:AG556),$AG$2:$AG$1001,0),0), INDEX($AN$1004:$BO$1004,1,MATCH(COLUMNS($AN$1006:BC1006),$AN$1006:$BO$1006,0)))),"Fix")))</f>
        <v>0</v>
      </c>
      <c r="R556" s="4">
        <f>IF(OR(INDEX($AH$2:$AH$1001,MATCH(ROWS($AG$2:AG556),$AG$2:$AG$1001,0),1)&gt;=100000,INDEX($AN$1005:$BO$1005,1,MATCH(COLUMNS($AN$1006:BD1006),$AN$1006:$BO$1006,0))&gt;=100000), " ",IF(INDEX($AN$2:$BO$1001,MATCH(ROWS($AG$2:AG556),$AG$2:$AG$1001,0),MATCH(COLUMNS($AN$1006:BD1006),$AN$1006:$BO$1006,0)), HYPERLINK("#",""), HYPERLINK(CONCATENATE("#Metadata!", ADDRESS(INDEX($AI$2:$AI$1001,MATCH(ROWS($AG$2:AG556),$AG$2:$AG$1001,0),0), INDEX($AN$1004:$BO$1004,1,MATCH(COLUMNS($AN$1006:BD1006),$AN$1006:$BO$1006,0)))),"Fix")))</f>
        <v>0</v>
      </c>
      <c r="S556" s="4">
        <f>IF(OR(INDEX($AH$2:$AH$1001,MATCH(ROWS($AG$2:AG556),$AG$2:$AG$1001,0),1)&gt;=100000,INDEX($AN$1005:$BO$1005,1,MATCH(COLUMNS($AN$1006:BE1006),$AN$1006:$BO$1006,0))&gt;=100000), " ",IF(INDEX($AN$2:$BO$1001,MATCH(ROWS($AG$2:AG556),$AG$2:$AG$1001,0),MATCH(COLUMNS($AN$1006:BE1006),$AN$1006:$BO$1006,0)), HYPERLINK("#",""), HYPERLINK(CONCATENATE("#Metadata!", ADDRESS(INDEX($AI$2:$AI$1001,MATCH(ROWS($AG$2:AG556),$AG$2:$AG$1001,0),0), INDEX($AN$1004:$BO$1004,1,MATCH(COLUMNS($AN$1006:BE1006),$AN$1006:$BO$1006,0)))),"Fix")))</f>
        <v>0</v>
      </c>
      <c r="T556" s="4">
        <f>IF(OR(INDEX($AH$2:$AH$1001,MATCH(ROWS($AG$2:AG556),$AG$2:$AG$1001,0),1)&gt;=100000,INDEX($AN$1005:$BO$1005,1,MATCH(COLUMNS($AN$1006:BF1006),$AN$1006:$BO$1006,0))&gt;=100000), " ",IF(INDEX($AN$2:$BO$1001,MATCH(ROWS($AG$2:AG556),$AG$2:$AG$1001,0),MATCH(COLUMNS($AN$1006:BF1006),$AN$1006:$BO$1006,0)), HYPERLINK("#",""), HYPERLINK(CONCATENATE("#Metadata!", ADDRESS(INDEX($AI$2:$AI$1001,MATCH(ROWS($AG$2:AG556),$AG$2:$AG$1001,0),0), INDEX($AN$1004:$BO$1004,1,MATCH(COLUMNS($AN$1006:BF1006),$AN$1006:$BO$1006,0)))),"Fix")))</f>
        <v>0</v>
      </c>
      <c r="U556" s="4">
        <f>IF(OR(INDEX($AH$2:$AH$1001,MATCH(ROWS($AG$2:AG556),$AG$2:$AG$1001,0),1)&gt;=100000,INDEX($AN$1005:$BO$1005,1,MATCH(COLUMNS($AN$1006:BG1006),$AN$1006:$BO$1006,0))&gt;=100000), " ",IF(INDEX($AN$2:$BO$1001,MATCH(ROWS($AG$2:AG556),$AG$2:$AG$1001,0),MATCH(COLUMNS($AN$1006:BG1006),$AN$1006:$BO$1006,0)), HYPERLINK("#",""), HYPERLINK(CONCATENATE("#Metadata!", ADDRESS(INDEX($AI$2:$AI$1001,MATCH(ROWS($AG$2:AG556),$AG$2:$AG$1001,0),0), INDEX($AN$1004:$BO$1004,1,MATCH(COLUMNS($AN$1006:BG1006),$AN$1006:$BO$1006,0)))),"Fix")))</f>
        <v>0</v>
      </c>
      <c r="V556" s="4">
        <f>IF(OR(INDEX($AH$2:$AH$1001,MATCH(ROWS($AG$2:AG556),$AG$2:$AG$1001,0),1)&gt;=100000,INDEX($AN$1005:$BO$1005,1,MATCH(COLUMNS($AN$1006:BH1006),$AN$1006:$BO$1006,0))&gt;=100000), " ",IF(INDEX($AN$2:$BO$1001,MATCH(ROWS($AG$2:AG556),$AG$2:$AG$1001,0),MATCH(COLUMNS($AN$1006:BH1006),$AN$1006:$BO$1006,0)), HYPERLINK("#",""), HYPERLINK(CONCATENATE("#Metadata!", ADDRESS(INDEX($AI$2:$AI$1001,MATCH(ROWS($AG$2:AG556),$AG$2:$AG$1001,0),0), INDEX($AN$1004:$BO$1004,1,MATCH(COLUMNS($AN$1006:BH1006),$AN$1006:$BO$1006,0)))),"Fix")))</f>
        <v>0</v>
      </c>
      <c r="W556" s="4">
        <f>IF(OR(INDEX($AH$2:$AH$1001,MATCH(ROWS($AG$2:AG556),$AG$2:$AG$1001,0),1)&gt;=100000,INDEX($AN$1005:$BO$1005,1,MATCH(COLUMNS($AN$1006:BI1006),$AN$1006:$BO$1006,0))&gt;=100000), " ",IF(INDEX($AN$2:$BO$1001,MATCH(ROWS($AG$2:AG556),$AG$2:$AG$1001,0),MATCH(COLUMNS($AN$1006:BI1006),$AN$1006:$BO$1006,0)), HYPERLINK("#",""), HYPERLINK(CONCATENATE("#Metadata!", ADDRESS(INDEX($AI$2:$AI$1001,MATCH(ROWS($AG$2:AG556),$AG$2:$AG$1001,0),0), INDEX($AN$1004:$BO$1004,1,MATCH(COLUMNS($AN$1006:BI1006),$AN$1006:$BO$1006,0)))),"Fix")))</f>
        <v>0</v>
      </c>
      <c r="X556" s="4">
        <f>IF(OR(INDEX($AH$2:$AH$1001,MATCH(ROWS($AG$2:AG556),$AG$2:$AG$1001,0),1)&gt;=100000,INDEX($AN$1005:$BO$1005,1,MATCH(COLUMNS($AN$1006:BJ1006),$AN$1006:$BO$1006,0))&gt;=100000), " ",IF(INDEX($AN$2:$BO$1001,MATCH(ROWS($AG$2:AG556),$AG$2:$AG$1001,0),MATCH(COLUMNS($AN$1006:BJ1006),$AN$1006:$BO$1006,0)), HYPERLINK("#",""), HYPERLINK(CONCATENATE("#Metadata!", ADDRESS(INDEX($AI$2:$AI$1001,MATCH(ROWS($AG$2:AG556),$AG$2:$AG$1001,0),0), INDEX($AN$1004:$BO$1004,1,MATCH(COLUMNS($AN$1006:BJ1006),$AN$1006:$BO$1006,0)))),"Fix")))</f>
        <v>0</v>
      </c>
      <c r="Y556" s="4">
        <f>IF(OR(INDEX($AH$2:$AH$1001,MATCH(ROWS($AG$2:AG556),$AG$2:$AG$1001,0),1)&gt;=100000,INDEX($AN$1005:$BO$1005,1,MATCH(COLUMNS($AN$1006:BK1006),$AN$1006:$BO$1006,0))&gt;=100000), " ",IF(INDEX($AN$2:$BO$1001,MATCH(ROWS($AG$2:AG556),$AG$2:$AG$1001,0),MATCH(COLUMNS($AN$1006:BK1006),$AN$1006:$BO$1006,0)), HYPERLINK("#",""), HYPERLINK(CONCATENATE("#Metadata!", ADDRESS(INDEX($AI$2:$AI$1001,MATCH(ROWS($AG$2:AG556),$AG$2:$AG$1001,0),0), INDEX($AN$1004:$BO$1004,1,MATCH(COLUMNS($AN$1006:BK1006),$AN$1006:$BO$1006,0)))),"Fix")))</f>
        <v>0</v>
      </c>
      <c r="Z556" s="4">
        <f>IF(OR(INDEX($AH$2:$AH$1001,MATCH(ROWS($AG$2:AG556),$AG$2:$AG$1001,0),1)&gt;=100000,INDEX($AN$1005:$BO$1005,1,MATCH(COLUMNS($AN$1006:BL1006),$AN$1006:$BO$1006,0))&gt;=100000), " ",IF(INDEX($AN$2:$BO$1001,MATCH(ROWS($AG$2:AG556),$AG$2:$AG$1001,0),MATCH(COLUMNS($AN$1006:BL1006),$AN$1006:$BO$1006,0)), HYPERLINK("#",""), HYPERLINK(CONCATENATE("#Metadata!", ADDRESS(INDEX($AI$2:$AI$1001,MATCH(ROWS($AG$2:AG556),$AG$2:$AG$1001,0),0), INDEX($AN$1004:$BO$1004,1,MATCH(COLUMNS($AN$1006:BL1006),$AN$1006:$BO$1006,0)))),"Fix")))</f>
        <v>0</v>
      </c>
      <c r="AA556" s="4">
        <f>IF(OR(INDEX($AH$2:$AH$1001,MATCH(ROWS($AG$2:AG556),$AG$2:$AG$1001,0),1)&gt;=100000,INDEX($AN$1005:$BO$1005,1,MATCH(COLUMNS($AN$1006:BM1006),$AN$1006:$BO$1006,0))&gt;=100000), " ",IF(INDEX($AN$2:$BO$1001,MATCH(ROWS($AG$2:AG556),$AG$2:$AG$1001,0),MATCH(COLUMNS($AN$1006:BM1006),$AN$1006:$BO$1006,0)), HYPERLINK("#",""), HYPERLINK(CONCATENATE("#Metadata!", ADDRESS(INDEX($AI$2:$AI$1001,MATCH(ROWS($AG$2:AG556),$AG$2:$AG$1001,0),0), INDEX($AN$1004:$BO$1004,1,MATCH(COLUMNS($AN$1006:BM1006),$AN$1006:$BO$1006,0)))),"Fix")))</f>
        <v>0</v>
      </c>
      <c r="AB556" s="4">
        <f>IF(OR(INDEX($AH$2:$AH$1001,MATCH(ROWS($AG$2:AG556),$AG$2:$AG$1001,0),1)&gt;=100000,INDEX($AN$1005:$BO$1005,1,MATCH(COLUMNS($AN$1006:BN1006),$AN$1006:$BO$1006,0))&gt;=100000), " ",IF(INDEX($AN$2:$BO$1001,MATCH(ROWS($AG$2:AG556),$AG$2:$AG$1001,0),MATCH(COLUMNS($AN$1006:BN1006),$AN$1006:$BO$1006,0)), HYPERLINK("#",""), HYPERLINK(CONCATENATE("#Metadata!", ADDRESS(INDEX($AI$2:$AI$1001,MATCH(ROWS($AG$2:AG556),$AG$2:$AG$1001,0),0), INDEX($AN$1004:$BO$1004,1,MATCH(COLUMNS($AN$1006:BN1006),$AN$1006:$BO$1006,0)))),"Fix")))</f>
        <v>0</v>
      </c>
      <c r="AC556" s="4">
        <f>IF(OR(INDEX($AH$2:$AH$1001,MATCH(ROWS($AG$2:AG556),$AG$2:$AG$1001,0),1)&gt;=100000,INDEX($AN$1005:$BO$1005,1,MATCH(COLUMNS($AN$1006:BO1006),$AN$1006:$BO$1006,0))&gt;=100000), " ",IF(INDEX($AN$2:$BO$1001,MATCH(ROWS($AG$2:AG556),$AG$2:$AG$1001,0),MATCH(COLUMNS($AN$1006:BO1006),$AN$1006:$BO$1006,0)), HYPERLINK("#",""), HYPERLINK(CONCATENATE("#Metadata!", ADDRESS(INDEX($AI$2:$AI$1001,MATCH(ROWS($AG$2:AG556),$AG$2:$AG$1001,0),0), INDEX($AN$1004:$BO$1004,1,MATCH(COLUMNS($AN$1006:BO1006),$AN$1006:$BO$1006,0)))),"Fix")))</f>
        <v>0</v>
      </c>
      <c r="AG556">
        <v>0</v>
      </c>
      <c r="AH556">
        <v>0</v>
      </c>
      <c r="AI556">
        <v>0</v>
      </c>
      <c r="AJ556">
        <f>IF(AK556,TRUE,AND(AN556:BO556))</f>
        <v>0</v>
      </c>
      <c r="AK556">
        <f>COUNTBLANK(Metadata!B556:AC556)=COLUMNS(Metadata!B556:AC556)</f>
        <v>0</v>
      </c>
      <c r="AL556">
        <v>0</v>
      </c>
      <c r="AN556">
        <f>AND(IF(Metadata!B556="",FALSE,TRUE),COUNTIF(Metadata!B:B, Metadata!B556) = 1,NOT(ISERROR(SUMPRODUCT(SEARCH(MID(Metadata!B556,ROW(INDIRECT("1:"&amp;LEN(Metadata!B556))), 1),"0123456789abcdefghijklmnopqrstuvwxyzABCDEFGHIJKLMNOPQRSTUVWXYZ.")))))</f>
        <v>0</v>
      </c>
      <c r="AO556">
        <f>IF(Metadata!C556="",FALSE,TRUE)</f>
        <v>0</v>
      </c>
      <c r="AP556">
        <f>IF(Metadata!D556="",FALSE,TRUE)</f>
        <v>0</v>
      </c>
      <c r="AQ556">
        <f>OR(AND(IF(Metadata!E556="",FALSE,TRUE),OR(exact(Metadata!E556,"not collected"),exact(Metadata!E556,"not provided"),exact(Metadata!E556,"restricted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R556">
        <f>IF(Metadata!F556="",FALSE,TRUE)</f>
        <v>0</v>
      </c>
      <c r="AS556">
        <f>OR(AND(IF(Metadata!G556="",FALSE,TRUE),OR(exact(Metadata!G556,"not collected"),exact(Metadata!G556,"not provided"))),AND(IF(Metadata!G556="",FALSE,TRUE),OR(exact(Metadata!G556,"TRUE"),exact(Metadata!G556,"FALSE"))))</f>
        <v>0</v>
      </c>
      <c r="AT556">
        <f>OR(AND(IF(Metadata!H556="",FALSE,TRUE),OR(exact(Metadata!H556,"not collected"),exact(Metadata!H556,"not provided"),exact(Metadata!H556,"restricted access"))),AND(IF(Metadata!H556="",FALSE,ISNUMBER(VALUE(Metadata!H556))),Metadata!H556&gt;=-413.0))</f>
        <v>0</v>
      </c>
      <c r="AU556">
        <f>AND(IF(Metadata!I556="",FALSE,TRUE),exact(Metadata!I556,"meters"))</f>
        <v>0</v>
      </c>
      <c r="AV556">
        <f>AND(IF(Metadata!J556="",FALSE,TRUE),OR(exact(Metadata!J556,"Host-associated"),exact(Metadata!J556,"Free-living")))</f>
        <v>0</v>
      </c>
      <c r="AW556">
        <f>AND(IF(Metadata!K556="",FALSE,TRUE),OR(exact(Metadata!K556,"Animal"),exact(Metadata!K556,"Fungus"),exact(Metadata!K556,"Plant"),exact(Metadata!K556,"Saline"),exact(Metadata!K556,"Non-saline")))</f>
        <v>0</v>
      </c>
      <c r="AX556">
        <f>AND(IF(Metadata!L556="",FALSE,TRUE),OR(exact(Metadata!L556,"Plant secretion"),exact(Metadata!L556,"Plant rhizosphere"),exact(Metadata!L556,"Plant surface"),exact(Metadata!L556,"Plant corpus"),exact(Metadata!L556,"Fungus surface"),exact(Metadata!L556,"Fungus corpus"),exact(Metadata!L556,"Animal surface"),exact(Metadata!L556,"Animal proximal gut"),exact(Metadata!L556,"Animal corpus"),exact(Metadata!L556,"Animal distal gut"),exact(Metadata!L556,"Animal secretion"),exact(Metadata!L556,"Sub-surface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Y556">
        <f>IF(Metadata!M556="",FALSE,TRUE)</f>
        <v>0</v>
      </c>
      <c r="AZ556">
        <f>IF(Metadata!N556="",FALSE,TRUE)</f>
        <v>0</v>
      </c>
      <c r="BA556">
        <f>IF(Metadata!O556="",FALSE,TRUE)</f>
        <v>0</v>
      </c>
      <c r="BB556">
        <f>OR(AND(IF(Metadata!P556="",FALSE,TRUE),OR(exact(Metadata!P556,"not collected"),exact(Metadata!P556,"not provided"),exact(Metadata!P556,"restricted access"))),AND(IF(Metadata!P556="",FALSE,TRUE),OR(exact(Metadata!P556,"air"),exact(Metadata!P556,"built environment"),exact(Metadata!P556,"host-associated"),exact(Metadata!P556,"human-associated"),exact(Metadata!P556,"human-skin"),exact(Metadata!P556,"human-oral"),exact(Metadata!P556,"human-gut"),exact(Metadata!P556,"human-vaginal"),exact(Metadata!P556,"microbial mat/biofilm"),exact(Metadata!P556,"misc environment"),exact(Metadata!P556,"plant-associated"),exact(Metadata!P556,"sediment"),exact(Metadata!P556,"soil"),exact(Metadata!P556,"wastewater/sludge"),exact(Metadata!P556,"water"))))</f>
        <v>0</v>
      </c>
      <c r="BC556">
        <f>IF(Metadata!Q556="",FALSE,TRUE)</f>
        <v>0</v>
      </c>
      <c r="BD556">
        <f>IF(Metadata!R556="",FALSE,TRUE)</f>
        <v>0</v>
      </c>
      <c r="BE556">
        <f>OR(AND(IF(Metadata!S556="",FALSE,TRUE),OR(exact(Metadata!S556,"not collected"),exact(Metadata!S556,"not provided"),exact(Metadata!S556,"restricted access"))),AND(IF(Metadata!S556="",FALSE,ISNUMBER(VALUE(Metadata!S556))),Metadata!S556&gt;=-90.00,Metadata!S556&lt;=90.00))</f>
        <v>0</v>
      </c>
      <c r="BF556">
        <f>AND(IF(Metadata!T556="",FALSE,TRUE),exact(Metadata!T556,"Decimal degrees"))</f>
        <v>0</v>
      </c>
      <c r="BG556">
        <f>OR(AND(IF(Metadata!U556="",FALSE,TRUE),OR(exact(Metadata!U556,"not collected"),exact(Metadata!U556,"not provided"),exact(Metadata!U556,"restricted access"))),AND(IF(Metadata!U556="",FALSE,ISNUMBER(VALUE(Metadata!U556))),Metadata!U556&gt;=-180.00,Metadata!U556&lt;=180.00))</f>
        <v>0</v>
      </c>
      <c r="BH556">
        <f>AND(IF(Metadata!V556="",FALSE,TRUE),exact(Metadata!V556,"Decimal degrees"))</f>
        <v>0</v>
      </c>
      <c r="BI556">
        <f>IF(Metadata!W556="",FALSE,TRUE)</f>
        <v>0</v>
      </c>
      <c r="BJ556">
        <f>OR(AND(IF(Metadata!X556="",FALSE,TRUE),OR(exact(Metadata!X556,"not collected"),exact(Metadata!X556,"not provided"),exact(Metadata!X556,"restricted access"))),AND(IF(Metadata!X556="",FALSE,TRUE),OR(exact(Metadata!X556,"TRUE"),exact(Metadata!X556,"FALSE"))))</f>
        <v>0</v>
      </c>
      <c r="BK556">
        <f>AND(IF(Metadata!Y556="",FALSE,TRUE),exact(Metadata!Y556,"other"))</f>
        <v>0</v>
      </c>
      <c r="BL556">
        <f>IF(Metadata!Z556="",FALSE,TRUE)</f>
        <v>0</v>
      </c>
      <c r="BM556">
        <f>OR(AND(IF(Metadata!AA556="",FALSE,TRUE),OR(exact(Metadata!AA556,"not collected"),exact(Metadata!AA556,"not provided"))),AND(IF(Metadata!AA556="",FALSE,IF(ISERROR(INT(Metadata!AA556)),FALSE,INT(Metadata!AA556)=Metadata!AA556)),Metadata!AA556&gt;0))</f>
        <v>0</v>
      </c>
      <c r="BN556">
        <f>AND(IF(Metadata!AB556="",FALSE,TRUE),exact(Metadata!AB556,"Not applicable"))</f>
        <v>0</v>
      </c>
      <c r="BO556">
        <f>IF(Metadata!AC556="",FALSE,TRUE)</f>
        <v>0</v>
      </c>
    </row>
    <row r="557" spans="1:67">
      <c r="A557" s="5">
        <f>IF(B557=" "," ",HYPERLINK(CONCATENATE("#metadata!",ADDRESS(INDEX($AI$2:$AI$1001,MATCH(ROWS($AG$2:AG557),$AG$2:$AG$1001,0),0),1)),INDEX($AL$2:$AL$1001,MATCH(ROWS($AG$2:AG557),$AG$2:$AG$1001,0),0)))</f>
        <v>0</v>
      </c>
      <c r="B557" s="4">
        <f>IF(OR(INDEX($AH$2:$AH$1001,MATCH(ROWS($AG$2:AG557),$AG$2:$AG$1001,0),1)&gt;=100000,INDEX($AN$1005:$BO$1005,1,MATCH(COLUMNS($AN$1006:AN1006),$AN$1006:$BO$1006,0))&gt;=100000), " ",IF(INDEX($AN$2:$BO$1001,MATCH(ROWS($AG$2:AG557),$AG$2:$AG$1001,0),MATCH(COLUMNS($AN$1006:AN1006),$AN$1006:$BO$1006,0)), HYPERLINK("#",""), HYPERLINK(CONCATENATE("#Metadata!", ADDRESS(INDEX($AI$2:$AI$1001,MATCH(ROWS($AG$2:AG557),$AG$2:$AG$1001,0),0), INDEX($AN$1004:$BO$1004,1,MATCH(COLUMNS($AN$1006:AN1006),$AN$1006:$BO$1006,0)))),"Fix")))</f>
        <v>0</v>
      </c>
      <c r="C557" s="4">
        <f>IF(OR(INDEX($AH$2:$AH$1001,MATCH(ROWS($AG$2:AG557),$AG$2:$AG$1001,0),1)&gt;=100000,INDEX($AN$1005:$BO$1005,1,MATCH(COLUMNS($AN$1006:AO1006),$AN$1006:$BO$1006,0))&gt;=100000), " ",IF(INDEX($AN$2:$BO$1001,MATCH(ROWS($AG$2:AG557),$AG$2:$AG$1001,0),MATCH(COLUMNS($AN$1006:AO1006),$AN$1006:$BO$1006,0)), HYPERLINK("#",""), HYPERLINK(CONCATENATE("#Metadata!", ADDRESS(INDEX($AI$2:$AI$1001,MATCH(ROWS($AG$2:AG557),$AG$2:$AG$1001,0),0), INDEX($AN$1004:$BO$1004,1,MATCH(COLUMNS($AN$1006:AO1006),$AN$1006:$BO$1006,0)))),"Fix")))</f>
        <v>0</v>
      </c>
      <c r="D557" s="4">
        <f>IF(OR(INDEX($AH$2:$AH$1001,MATCH(ROWS($AG$2:AG557),$AG$2:$AG$1001,0),1)&gt;=100000,INDEX($AN$1005:$BO$1005,1,MATCH(COLUMNS($AN$1006:AP1006),$AN$1006:$BO$1006,0))&gt;=100000), " ",IF(INDEX($AN$2:$BO$1001,MATCH(ROWS($AG$2:AG557),$AG$2:$AG$1001,0),MATCH(COLUMNS($AN$1006:AP1006),$AN$1006:$BO$1006,0)), HYPERLINK("#",""), HYPERLINK(CONCATENATE("#Metadata!", ADDRESS(INDEX($AI$2:$AI$1001,MATCH(ROWS($AG$2:AG557),$AG$2:$AG$1001,0),0), INDEX($AN$1004:$BO$1004,1,MATCH(COLUMNS($AN$1006:AP1006),$AN$1006:$BO$1006,0)))),"Fix")))</f>
        <v>0</v>
      </c>
      <c r="E557" s="4">
        <f>IF(OR(INDEX($AH$2:$AH$1001,MATCH(ROWS($AG$2:AG557),$AG$2:$AG$1001,0),1)&gt;=100000,INDEX($AN$1005:$BO$1005,1,MATCH(COLUMNS($AN$1006:AQ1006),$AN$1006:$BO$1006,0))&gt;=100000), " ",IF(INDEX($AN$2:$BO$1001,MATCH(ROWS($AG$2:AG557),$AG$2:$AG$1001,0),MATCH(COLUMNS($AN$1006:AQ1006),$AN$1006:$BO$1006,0)), HYPERLINK("#",""), HYPERLINK(CONCATENATE("#Metadata!", ADDRESS(INDEX($AI$2:$AI$1001,MATCH(ROWS($AG$2:AG557),$AG$2:$AG$1001,0),0), INDEX($AN$1004:$BO$1004,1,MATCH(COLUMNS($AN$1006:AQ1006),$AN$1006:$BO$1006,0)))),"Fix")))</f>
        <v>0</v>
      </c>
      <c r="F557" s="4">
        <f>IF(OR(INDEX($AH$2:$AH$1001,MATCH(ROWS($AG$2:AG557),$AG$2:$AG$1001,0),1)&gt;=100000,INDEX($AN$1005:$BO$1005,1,MATCH(COLUMNS($AN$1006:AR1006),$AN$1006:$BO$1006,0))&gt;=100000), " ",IF(INDEX($AN$2:$BO$1001,MATCH(ROWS($AG$2:AG557),$AG$2:$AG$1001,0),MATCH(COLUMNS($AN$1006:AR1006),$AN$1006:$BO$1006,0)), HYPERLINK("#",""), HYPERLINK(CONCATENATE("#Metadata!", ADDRESS(INDEX($AI$2:$AI$1001,MATCH(ROWS($AG$2:AG557),$AG$2:$AG$1001,0),0), INDEX($AN$1004:$BO$1004,1,MATCH(COLUMNS($AN$1006:AR1006),$AN$1006:$BO$1006,0)))),"Fix")))</f>
        <v>0</v>
      </c>
      <c r="G557" s="4">
        <f>IF(OR(INDEX($AH$2:$AH$1001,MATCH(ROWS($AG$2:AG557),$AG$2:$AG$1001,0),1)&gt;=100000,INDEX($AN$1005:$BO$1005,1,MATCH(COLUMNS($AN$1006:AS1006),$AN$1006:$BO$1006,0))&gt;=100000), " ",IF(INDEX($AN$2:$BO$1001,MATCH(ROWS($AG$2:AG557),$AG$2:$AG$1001,0),MATCH(COLUMNS($AN$1006:AS1006),$AN$1006:$BO$1006,0)), HYPERLINK("#",""), HYPERLINK(CONCATENATE("#Metadata!", ADDRESS(INDEX($AI$2:$AI$1001,MATCH(ROWS($AG$2:AG557),$AG$2:$AG$1001,0),0), INDEX($AN$1004:$BO$1004,1,MATCH(COLUMNS($AN$1006:AS1006),$AN$1006:$BO$1006,0)))),"Fix")))</f>
        <v>0</v>
      </c>
      <c r="H557" s="4">
        <f>IF(OR(INDEX($AH$2:$AH$1001,MATCH(ROWS($AG$2:AG557),$AG$2:$AG$1001,0),1)&gt;=100000,INDEX($AN$1005:$BO$1005,1,MATCH(COLUMNS($AN$1006:AT1006),$AN$1006:$BO$1006,0))&gt;=100000), " ",IF(INDEX($AN$2:$BO$1001,MATCH(ROWS($AG$2:AG557),$AG$2:$AG$1001,0),MATCH(COLUMNS($AN$1006:AT1006),$AN$1006:$BO$1006,0)), HYPERLINK("#",""), HYPERLINK(CONCATENATE("#Metadata!", ADDRESS(INDEX($AI$2:$AI$1001,MATCH(ROWS($AG$2:AG557),$AG$2:$AG$1001,0),0), INDEX($AN$1004:$BO$1004,1,MATCH(COLUMNS($AN$1006:AT1006),$AN$1006:$BO$1006,0)))),"Fix")))</f>
        <v>0</v>
      </c>
      <c r="I557" s="4">
        <f>IF(OR(INDEX($AH$2:$AH$1001,MATCH(ROWS($AG$2:AG557),$AG$2:$AG$1001,0),1)&gt;=100000,INDEX($AN$1005:$BO$1005,1,MATCH(COLUMNS($AN$1006:AU1006),$AN$1006:$BO$1006,0))&gt;=100000), " ",IF(INDEX($AN$2:$BO$1001,MATCH(ROWS($AG$2:AG557),$AG$2:$AG$1001,0),MATCH(COLUMNS($AN$1006:AU1006),$AN$1006:$BO$1006,0)), HYPERLINK("#",""), HYPERLINK(CONCATENATE("#Metadata!", ADDRESS(INDEX($AI$2:$AI$1001,MATCH(ROWS($AG$2:AG557),$AG$2:$AG$1001,0),0), INDEX($AN$1004:$BO$1004,1,MATCH(COLUMNS($AN$1006:AU1006),$AN$1006:$BO$1006,0)))),"Fix")))</f>
        <v>0</v>
      </c>
      <c r="J557" s="4">
        <f>IF(OR(INDEX($AH$2:$AH$1001,MATCH(ROWS($AG$2:AG557),$AG$2:$AG$1001,0),1)&gt;=100000,INDEX($AN$1005:$BO$1005,1,MATCH(COLUMNS($AN$1006:AV1006),$AN$1006:$BO$1006,0))&gt;=100000), " ",IF(INDEX($AN$2:$BO$1001,MATCH(ROWS($AG$2:AG557),$AG$2:$AG$1001,0),MATCH(COLUMNS($AN$1006:AV1006),$AN$1006:$BO$1006,0)), HYPERLINK("#",""), HYPERLINK(CONCATENATE("#Metadata!", ADDRESS(INDEX($AI$2:$AI$1001,MATCH(ROWS($AG$2:AG557),$AG$2:$AG$1001,0),0), INDEX($AN$1004:$BO$1004,1,MATCH(COLUMNS($AN$1006:AV1006),$AN$1006:$BO$1006,0)))),"Fix")))</f>
        <v>0</v>
      </c>
      <c r="K557" s="4">
        <f>IF(OR(INDEX($AH$2:$AH$1001,MATCH(ROWS($AG$2:AG557),$AG$2:$AG$1001,0),1)&gt;=100000,INDEX($AN$1005:$BO$1005,1,MATCH(COLUMNS($AN$1006:AW1006),$AN$1006:$BO$1006,0))&gt;=100000), " ",IF(INDEX($AN$2:$BO$1001,MATCH(ROWS($AG$2:AG557),$AG$2:$AG$1001,0),MATCH(COLUMNS($AN$1006:AW1006),$AN$1006:$BO$1006,0)), HYPERLINK("#",""), HYPERLINK(CONCATENATE("#Metadata!", ADDRESS(INDEX($AI$2:$AI$1001,MATCH(ROWS($AG$2:AG557),$AG$2:$AG$1001,0),0), INDEX($AN$1004:$BO$1004,1,MATCH(COLUMNS($AN$1006:AW1006),$AN$1006:$BO$1006,0)))),"Fix")))</f>
        <v>0</v>
      </c>
      <c r="L557" s="4">
        <f>IF(OR(INDEX($AH$2:$AH$1001,MATCH(ROWS($AG$2:AG557),$AG$2:$AG$1001,0),1)&gt;=100000,INDEX($AN$1005:$BO$1005,1,MATCH(COLUMNS($AN$1006:AX1006),$AN$1006:$BO$1006,0))&gt;=100000), " ",IF(INDEX($AN$2:$BO$1001,MATCH(ROWS($AG$2:AG557),$AG$2:$AG$1001,0),MATCH(COLUMNS($AN$1006:AX1006),$AN$1006:$BO$1006,0)), HYPERLINK("#",""), HYPERLINK(CONCATENATE("#Metadata!", ADDRESS(INDEX($AI$2:$AI$1001,MATCH(ROWS($AG$2:AG557),$AG$2:$AG$1001,0),0), INDEX($AN$1004:$BO$1004,1,MATCH(COLUMNS($AN$1006:AX1006),$AN$1006:$BO$1006,0)))),"Fix")))</f>
        <v>0</v>
      </c>
      <c r="M557" s="4">
        <f>IF(OR(INDEX($AH$2:$AH$1001,MATCH(ROWS($AG$2:AG557),$AG$2:$AG$1001,0),1)&gt;=100000,INDEX($AN$1005:$BO$1005,1,MATCH(COLUMNS($AN$1006:AY1006),$AN$1006:$BO$1006,0))&gt;=100000), " ",IF(INDEX($AN$2:$BO$1001,MATCH(ROWS($AG$2:AG557),$AG$2:$AG$1001,0),MATCH(COLUMNS($AN$1006:AY1006),$AN$1006:$BO$1006,0)), HYPERLINK("#",""), HYPERLINK(CONCATENATE("#Metadata!", ADDRESS(INDEX($AI$2:$AI$1001,MATCH(ROWS($AG$2:AG557),$AG$2:$AG$1001,0),0), INDEX($AN$1004:$BO$1004,1,MATCH(COLUMNS($AN$1006:AY1006),$AN$1006:$BO$1006,0)))),"Fix")))</f>
        <v>0</v>
      </c>
      <c r="N557" s="4">
        <f>IF(OR(INDEX($AH$2:$AH$1001,MATCH(ROWS($AG$2:AG557),$AG$2:$AG$1001,0),1)&gt;=100000,INDEX($AN$1005:$BO$1005,1,MATCH(COLUMNS($AN$1006:AZ1006),$AN$1006:$BO$1006,0))&gt;=100000), " ",IF(INDEX($AN$2:$BO$1001,MATCH(ROWS($AG$2:AG557),$AG$2:$AG$1001,0),MATCH(COLUMNS($AN$1006:AZ1006),$AN$1006:$BO$1006,0)), HYPERLINK("#",""), HYPERLINK(CONCATENATE("#Metadata!", ADDRESS(INDEX($AI$2:$AI$1001,MATCH(ROWS($AG$2:AG557),$AG$2:$AG$1001,0),0), INDEX($AN$1004:$BO$1004,1,MATCH(COLUMNS($AN$1006:AZ1006),$AN$1006:$BO$1006,0)))),"Fix")))</f>
        <v>0</v>
      </c>
      <c r="O557" s="4">
        <f>IF(OR(INDEX($AH$2:$AH$1001,MATCH(ROWS($AG$2:AG557),$AG$2:$AG$1001,0),1)&gt;=100000,INDEX($AN$1005:$BO$1005,1,MATCH(COLUMNS($AN$1006:BA1006),$AN$1006:$BO$1006,0))&gt;=100000), " ",IF(INDEX($AN$2:$BO$1001,MATCH(ROWS($AG$2:AG557),$AG$2:$AG$1001,0),MATCH(COLUMNS($AN$1006:BA1006),$AN$1006:$BO$1006,0)), HYPERLINK("#",""), HYPERLINK(CONCATENATE("#Metadata!", ADDRESS(INDEX($AI$2:$AI$1001,MATCH(ROWS($AG$2:AG557),$AG$2:$AG$1001,0),0), INDEX($AN$1004:$BO$1004,1,MATCH(COLUMNS($AN$1006:BA1006),$AN$1006:$BO$1006,0)))),"Fix")))</f>
        <v>0</v>
      </c>
      <c r="P557" s="4">
        <f>IF(OR(INDEX($AH$2:$AH$1001,MATCH(ROWS($AG$2:AG557),$AG$2:$AG$1001,0),1)&gt;=100000,INDEX($AN$1005:$BO$1005,1,MATCH(COLUMNS($AN$1006:BB1006),$AN$1006:$BO$1006,0))&gt;=100000), " ",IF(INDEX($AN$2:$BO$1001,MATCH(ROWS($AG$2:AG557),$AG$2:$AG$1001,0),MATCH(COLUMNS($AN$1006:BB1006),$AN$1006:$BO$1006,0)), HYPERLINK("#",""), HYPERLINK(CONCATENATE("#Metadata!", ADDRESS(INDEX($AI$2:$AI$1001,MATCH(ROWS($AG$2:AG557),$AG$2:$AG$1001,0),0), INDEX($AN$1004:$BO$1004,1,MATCH(COLUMNS($AN$1006:BB1006),$AN$1006:$BO$1006,0)))),"Fix")))</f>
        <v>0</v>
      </c>
      <c r="Q557" s="4">
        <f>IF(OR(INDEX($AH$2:$AH$1001,MATCH(ROWS($AG$2:AG557),$AG$2:$AG$1001,0),1)&gt;=100000,INDEX($AN$1005:$BO$1005,1,MATCH(COLUMNS($AN$1006:BC1006),$AN$1006:$BO$1006,0))&gt;=100000), " ",IF(INDEX($AN$2:$BO$1001,MATCH(ROWS($AG$2:AG557),$AG$2:$AG$1001,0),MATCH(COLUMNS($AN$1006:BC1006),$AN$1006:$BO$1006,0)), HYPERLINK("#",""), HYPERLINK(CONCATENATE("#Metadata!", ADDRESS(INDEX($AI$2:$AI$1001,MATCH(ROWS($AG$2:AG557),$AG$2:$AG$1001,0),0), INDEX($AN$1004:$BO$1004,1,MATCH(COLUMNS($AN$1006:BC1006),$AN$1006:$BO$1006,0)))),"Fix")))</f>
        <v>0</v>
      </c>
      <c r="R557" s="4">
        <f>IF(OR(INDEX($AH$2:$AH$1001,MATCH(ROWS($AG$2:AG557),$AG$2:$AG$1001,0),1)&gt;=100000,INDEX($AN$1005:$BO$1005,1,MATCH(COLUMNS($AN$1006:BD1006),$AN$1006:$BO$1006,0))&gt;=100000), " ",IF(INDEX($AN$2:$BO$1001,MATCH(ROWS($AG$2:AG557),$AG$2:$AG$1001,0),MATCH(COLUMNS($AN$1006:BD1006),$AN$1006:$BO$1006,0)), HYPERLINK("#",""), HYPERLINK(CONCATENATE("#Metadata!", ADDRESS(INDEX($AI$2:$AI$1001,MATCH(ROWS($AG$2:AG557),$AG$2:$AG$1001,0),0), INDEX($AN$1004:$BO$1004,1,MATCH(COLUMNS($AN$1006:BD1006),$AN$1006:$BO$1006,0)))),"Fix")))</f>
        <v>0</v>
      </c>
      <c r="S557" s="4">
        <f>IF(OR(INDEX($AH$2:$AH$1001,MATCH(ROWS($AG$2:AG557),$AG$2:$AG$1001,0),1)&gt;=100000,INDEX($AN$1005:$BO$1005,1,MATCH(COLUMNS($AN$1006:BE1006),$AN$1006:$BO$1006,0))&gt;=100000), " ",IF(INDEX($AN$2:$BO$1001,MATCH(ROWS($AG$2:AG557),$AG$2:$AG$1001,0),MATCH(COLUMNS($AN$1006:BE1006),$AN$1006:$BO$1006,0)), HYPERLINK("#",""), HYPERLINK(CONCATENATE("#Metadata!", ADDRESS(INDEX($AI$2:$AI$1001,MATCH(ROWS($AG$2:AG557),$AG$2:$AG$1001,0),0), INDEX($AN$1004:$BO$1004,1,MATCH(COLUMNS($AN$1006:BE1006),$AN$1006:$BO$1006,0)))),"Fix")))</f>
        <v>0</v>
      </c>
      <c r="T557" s="4">
        <f>IF(OR(INDEX($AH$2:$AH$1001,MATCH(ROWS($AG$2:AG557),$AG$2:$AG$1001,0),1)&gt;=100000,INDEX($AN$1005:$BO$1005,1,MATCH(COLUMNS($AN$1006:BF1006),$AN$1006:$BO$1006,0))&gt;=100000), " ",IF(INDEX($AN$2:$BO$1001,MATCH(ROWS($AG$2:AG557),$AG$2:$AG$1001,0),MATCH(COLUMNS($AN$1006:BF1006),$AN$1006:$BO$1006,0)), HYPERLINK("#",""), HYPERLINK(CONCATENATE("#Metadata!", ADDRESS(INDEX($AI$2:$AI$1001,MATCH(ROWS($AG$2:AG557),$AG$2:$AG$1001,0),0), INDEX($AN$1004:$BO$1004,1,MATCH(COLUMNS($AN$1006:BF1006),$AN$1006:$BO$1006,0)))),"Fix")))</f>
        <v>0</v>
      </c>
      <c r="U557" s="4">
        <f>IF(OR(INDEX($AH$2:$AH$1001,MATCH(ROWS($AG$2:AG557),$AG$2:$AG$1001,0),1)&gt;=100000,INDEX($AN$1005:$BO$1005,1,MATCH(COLUMNS($AN$1006:BG1006),$AN$1006:$BO$1006,0))&gt;=100000), " ",IF(INDEX($AN$2:$BO$1001,MATCH(ROWS($AG$2:AG557),$AG$2:$AG$1001,0),MATCH(COLUMNS($AN$1006:BG1006),$AN$1006:$BO$1006,0)), HYPERLINK("#",""), HYPERLINK(CONCATENATE("#Metadata!", ADDRESS(INDEX($AI$2:$AI$1001,MATCH(ROWS($AG$2:AG557),$AG$2:$AG$1001,0),0), INDEX($AN$1004:$BO$1004,1,MATCH(COLUMNS($AN$1006:BG1006),$AN$1006:$BO$1006,0)))),"Fix")))</f>
        <v>0</v>
      </c>
      <c r="V557" s="4">
        <f>IF(OR(INDEX($AH$2:$AH$1001,MATCH(ROWS($AG$2:AG557),$AG$2:$AG$1001,0),1)&gt;=100000,INDEX($AN$1005:$BO$1005,1,MATCH(COLUMNS($AN$1006:BH1006),$AN$1006:$BO$1006,0))&gt;=100000), " ",IF(INDEX($AN$2:$BO$1001,MATCH(ROWS($AG$2:AG557),$AG$2:$AG$1001,0),MATCH(COLUMNS($AN$1006:BH1006),$AN$1006:$BO$1006,0)), HYPERLINK("#",""), HYPERLINK(CONCATENATE("#Metadata!", ADDRESS(INDEX($AI$2:$AI$1001,MATCH(ROWS($AG$2:AG557),$AG$2:$AG$1001,0),0), INDEX($AN$1004:$BO$1004,1,MATCH(COLUMNS($AN$1006:BH1006),$AN$1006:$BO$1006,0)))),"Fix")))</f>
        <v>0</v>
      </c>
      <c r="W557" s="4">
        <f>IF(OR(INDEX($AH$2:$AH$1001,MATCH(ROWS($AG$2:AG557),$AG$2:$AG$1001,0),1)&gt;=100000,INDEX($AN$1005:$BO$1005,1,MATCH(COLUMNS($AN$1006:BI1006),$AN$1006:$BO$1006,0))&gt;=100000), " ",IF(INDEX($AN$2:$BO$1001,MATCH(ROWS($AG$2:AG557),$AG$2:$AG$1001,0),MATCH(COLUMNS($AN$1006:BI1006),$AN$1006:$BO$1006,0)), HYPERLINK("#",""), HYPERLINK(CONCATENATE("#Metadata!", ADDRESS(INDEX($AI$2:$AI$1001,MATCH(ROWS($AG$2:AG557),$AG$2:$AG$1001,0),0), INDEX($AN$1004:$BO$1004,1,MATCH(COLUMNS($AN$1006:BI1006),$AN$1006:$BO$1006,0)))),"Fix")))</f>
        <v>0</v>
      </c>
      <c r="X557" s="4">
        <f>IF(OR(INDEX($AH$2:$AH$1001,MATCH(ROWS($AG$2:AG557),$AG$2:$AG$1001,0),1)&gt;=100000,INDEX($AN$1005:$BO$1005,1,MATCH(COLUMNS($AN$1006:BJ1006),$AN$1006:$BO$1006,0))&gt;=100000), " ",IF(INDEX($AN$2:$BO$1001,MATCH(ROWS($AG$2:AG557),$AG$2:$AG$1001,0),MATCH(COLUMNS($AN$1006:BJ1006),$AN$1006:$BO$1006,0)), HYPERLINK("#",""), HYPERLINK(CONCATENATE("#Metadata!", ADDRESS(INDEX($AI$2:$AI$1001,MATCH(ROWS($AG$2:AG557),$AG$2:$AG$1001,0),0), INDEX($AN$1004:$BO$1004,1,MATCH(COLUMNS($AN$1006:BJ1006),$AN$1006:$BO$1006,0)))),"Fix")))</f>
        <v>0</v>
      </c>
      <c r="Y557" s="4">
        <f>IF(OR(INDEX($AH$2:$AH$1001,MATCH(ROWS($AG$2:AG557),$AG$2:$AG$1001,0),1)&gt;=100000,INDEX($AN$1005:$BO$1005,1,MATCH(COLUMNS($AN$1006:BK1006),$AN$1006:$BO$1006,0))&gt;=100000), " ",IF(INDEX($AN$2:$BO$1001,MATCH(ROWS($AG$2:AG557),$AG$2:$AG$1001,0),MATCH(COLUMNS($AN$1006:BK1006),$AN$1006:$BO$1006,0)), HYPERLINK("#",""), HYPERLINK(CONCATENATE("#Metadata!", ADDRESS(INDEX($AI$2:$AI$1001,MATCH(ROWS($AG$2:AG557),$AG$2:$AG$1001,0),0), INDEX($AN$1004:$BO$1004,1,MATCH(COLUMNS($AN$1006:BK1006),$AN$1006:$BO$1006,0)))),"Fix")))</f>
        <v>0</v>
      </c>
      <c r="Z557" s="4">
        <f>IF(OR(INDEX($AH$2:$AH$1001,MATCH(ROWS($AG$2:AG557),$AG$2:$AG$1001,0),1)&gt;=100000,INDEX($AN$1005:$BO$1005,1,MATCH(COLUMNS($AN$1006:BL1006),$AN$1006:$BO$1006,0))&gt;=100000), " ",IF(INDEX($AN$2:$BO$1001,MATCH(ROWS($AG$2:AG557),$AG$2:$AG$1001,0),MATCH(COLUMNS($AN$1006:BL1006),$AN$1006:$BO$1006,0)), HYPERLINK("#",""), HYPERLINK(CONCATENATE("#Metadata!", ADDRESS(INDEX($AI$2:$AI$1001,MATCH(ROWS($AG$2:AG557),$AG$2:$AG$1001,0),0), INDEX($AN$1004:$BO$1004,1,MATCH(COLUMNS($AN$1006:BL1006),$AN$1006:$BO$1006,0)))),"Fix")))</f>
        <v>0</v>
      </c>
      <c r="AA557" s="4">
        <f>IF(OR(INDEX($AH$2:$AH$1001,MATCH(ROWS($AG$2:AG557),$AG$2:$AG$1001,0),1)&gt;=100000,INDEX($AN$1005:$BO$1005,1,MATCH(COLUMNS($AN$1006:BM1006),$AN$1006:$BO$1006,0))&gt;=100000), " ",IF(INDEX($AN$2:$BO$1001,MATCH(ROWS($AG$2:AG557),$AG$2:$AG$1001,0),MATCH(COLUMNS($AN$1006:BM1006),$AN$1006:$BO$1006,0)), HYPERLINK("#",""), HYPERLINK(CONCATENATE("#Metadata!", ADDRESS(INDEX($AI$2:$AI$1001,MATCH(ROWS($AG$2:AG557),$AG$2:$AG$1001,0),0), INDEX($AN$1004:$BO$1004,1,MATCH(COLUMNS($AN$1006:BM1006),$AN$1006:$BO$1006,0)))),"Fix")))</f>
        <v>0</v>
      </c>
      <c r="AB557" s="4">
        <f>IF(OR(INDEX($AH$2:$AH$1001,MATCH(ROWS($AG$2:AG557),$AG$2:$AG$1001,0),1)&gt;=100000,INDEX($AN$1005:$BO$1005,1,MATCH(COLUMNS($AN$1006:BN1006),$AN$1006:$BO$1006,0))&gt;=100000), " ",IF(INDEX($AN$2:$BO$1001,MATCH(ROWS($AG$2:AG557),$AG$2:$AG$1001,0),MATCH(COLUMNS($AN$1006:BN1006),$AN$1006:$BO$1006,0)), HYPERLINK("#",""), HYPERLINK(CONCATENATE("#Metadata!", ADDRESS(INDEX($AI$2:$AI$1001,MATCH(ROWS($AG$2:AG557),$AG$2:$AG$1001,0),0), INDEX($AN$1004:$BO$1004,1,MATCH(COLUMNS($AN$1006:BN1006),$AN$1006:$BO$1006,0)))),"Fix")))</f>
        <v>0</v>
      </c>
      <c r="AC557" s="4">
        <f>IF(OR(INDEX($AH$2:$AH$1001,MATCH(ROWS($AG$2:AG557),$AG$2:$AG$1001,0),1)&gt;=100000,INDEX($AN$1005:$BO$1005,1,MATCH(COLUMNS($AN$1006:BO1006),$AN$1006:$BO$1006,0))&gt;=100000), " ",IF(INDEX($AN$2:$BO$1001,MATCH(ROWS($AG$2:AG557),$AG$2:$AG$1001,0),MATCH(COLUMNS($AN$1006:BO1006),$AN$1006:$BO$1006,0)), HYPERLINK("#",""), HYPERLINK(CONCATENATE("#Metadata!", ADDRESS(INDEX($AI$2:$AI$1001,MATCH(ROWS($AG$2:AG557),$AG$2:$AG$1001,0),0), INDEX($AN$1004:$BO$1004,1,MATCH(COLUMNS($AN$1006:BO1006),$AN$1006:$BO$1006,0)))),"Fix")))</f>
        <v>0</v>
      </c>
      <c r="AG557">
        <v>0</v>
      </c>
      <c r="AH557">
        <v>0</v>
      </c>
      <c r="AI557">
        <v>0</v>
      </c>
      <c r="AJ557">
        <f>IF(AK557,TRUE,AND(AN557:BO557))</f>
        <v>0</v>
      </c>
      <c r="AK557">
        <f>COUNTBLANK(Metadata!B557:AC557)=COLUMNS(Metadata!B557:AC557)</f>
        <v>0</v>
      </c>
      <c r="AL557">
        <v>0</v>
      </c>
      <c r="AN557">
        <f>AND(IF(Metadata!B557="",FALSE,TRUE),COUNTIF(Metadata!B:B, Metadata!B557) = 1,NOT(ISERROR(SUMPRODUCT(SEARCH(MID(Metadata!B557,ROW(INDIRECT("1:"&amp;LEN(Metadata!B557))), 1),"0123456789abcdefghijklmnopqrstuvwxyzABCDEFGHIJKLMNOPQRSTUVWXYZ.")))))</f>
        <v>0</v>
      </c>
      <c r="AO557">
        <f>IF(Metadata!C557="",FALSE,TRUE)</f>
        <v>0</v>
      </c>
      <c r="AP557">
        <f>IF(Metadata!D557="",FALSE,TRUE)</f>
        <v>0</v>
      </c>
      <c r="AQ557">
        <f>OR(AND(IF(Metadata!E557="",FALSE,TRUE),OR(exact(Metadata!E557,"not collected"),exact(Metadata!E557,"not provided"),exact(Metadata!E557,"restricted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R557">
        <f>IF(Metadata!F557="",FALSE,TRUE)</f>
        <v>0</v>
      </c>
      <c r="AS557">
        <f>OR(AND(IF(Metadata!G557="",FALSE,TRUE),OR(exact(Metadata!G557,"not collected"),exact(Metadata!G557,"not provided"))),AND(IF(Metadata!G557="",FALSE,TRUE),OR(exact(Metadata!G557,"TRUE"),exact(Metadata!G557,"FALSE"))))</f>
        <v>0</v>
      </c>
      <c r="AT557">
        <f>OR(AND(IF(Metadata!H557="",FALSE,TRUE),OR(exact(Metadata!H557,"not collected"),exact(Metadata!H557,"not provided"),exact(Metadata!H557,"restricted access"))),AND(IF(Metadata!H557="",FALSE,ISNUMBER(VALUE(Metadata!H557))),Metadata!H557&gt;=-413.0))</f>
        <v>0</v>
      </c>
      <c r="AU557">
        <f>AND(IF(Metadata!I557="",FALSE,TRUE),exact(Metadata!I557,"meters"))</f>
        <v>0</v>
      </c>
      <c r="AV557">
        <f>AND(IF(Metadata!J557="",FALSE,TRUE),OR(exact(Metadata!J557,"Host-associated"),exact(Metadata!J557,"Free-living")))</f>
        <v>0</v>
      </c>
      <c r="AW557">
        <f>AND(IF(Metadata!K557="",FALSE,TRUE),OR(exact(Metadata!K557,"Animal"),exact(Metadata!K557,"Fungus"),exact(Metadata!K557,"Plant"),exact(Metadata!K557,"Saline"),exact(Metadata!K557,"Non-saline")))</f>
        <v>0</v>
      </c>
      <c r="AX557">
        <f>AND(IF(Metadata!L557="",FALSE,TRUE),OR(exact(Metadata!L557,"Plant secretion"),exact(Metadata!L557,"Plant rhizosphere"),exact(Metadata!L557,"Plant surface"),exact(Metadata!L557,"Plant corpus"),exact(Metadata!L557,"Fungus surface"),exact(Metadata!L557,"Fungus corpus"),exact(Metadata!L557,"Animal surface"),exact(Metadata!L557,"Animal proximal gut"),exact(Metadata!L557,"Animal corpus"),exact(Metadata!L557,"Animal distal gut"),exact(Metadata!L557,"Animal secretion"),exact(Metadata!L557,"Sub-surface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Y557">
        <f>IF(Metadata!M557="",FALSE,TRUE)</f>
        <v>0</v>
      </c>
      <c r="AZ557">
        <f>IF(Metadata!N557="",FALSE,TRUE)</f>
        <v>0</v>
      </c>
      <c r="BA557">
        <f>IF(Metadata!O557="",FALSE,TRUE)</f>
        <v>0</v>
      </c>
      <c r="BB557">
        <f>OR(AND(IF(Metadata!P557="",FALSE,TRUE),OR(exact(Metadata!P557,"not collected"),exact(Metadata!P557,"not provided"),exact(Metadata!P557,"restricted access"))),AND(IF(Metadata!P557="",FALSE,TRUE),OR(exact(Metadata!P557,"air"),exact(Metadata!P557,"built environment"),exact(Metadata!P557,"host-associated"),exact(Metadata!P557,"human-associated"),exact(Metadata!P557,"human-skin"),exact(Metadata!P557,"human-oral"),exact(Metadata!P557,"human-gut"),exact(Metadata!P557,"human-vaginal"),exact(Metadata!P557,"microbial mat/biofilm"),exact(Metadata!P557,"misc environment"),exact(Metadata!P557,"plant-associated"),exact(Metadata!P557,"sediment"),exact(Metadata!P557,"soil"),exact(Metadata!P557,"wastewater/sludge"),exact(Metadata!P557,"water"))))</f>
        <v>0</v>
      </c>
      <c r="BC557">
        <f>IF(Metadata!Q557="",FALSE,TRUE)</f>
        <v>0</v>
      </c>
      <c r="BD557">
        <f>IF(Metadata!R557="",FALSE,TRUE)</f>
        <v>0</v>
      </c>
      <c r="BE557">
        <f>OR(AND(IF(Metadata!S557="",FALSE,TRUE),OR(exact(Metadata!S557,"not collected"),exact(Metadata!S557,"not provided"),exact(Metadata!S557,"restricted access"))),AND(IF(Metadata!S557="",FALSE,ISNUMBER(VALUE(Metadata!S557))),Metadata!S557&gt;=-90.00,Metadata!S557&lt;=90.00))</f>
        <v>0</v>
      </c>
      <c r="BF557">
        <f>AND(IF(Metadata!T557="",FALSE,TRUE),exact(Metadata!T557,"Decimal degrees"))</f>
        <v>0</v>
      </c>
      <c r="BG557">
        <f>OR(AND(IF(Metadata!U557="",FALSE,TRUE),OR(exact(Metadata!U557,"not collected"),exact(Metadata!U557,"not provided"),exact(Metadata!U557,"restricted access"))),AND(IF(Metadata!U557="",FALSE,ISNUMBER(VALUE(Metadata!U557))),Metadata!U557&gt;=-180.00,Metadata!U557&lt;=180.00))</f>
        <v>0</v>
      </c>
      <c r="BH557">
        <f>AND(IF(Metadata!V557="",FALSE,TRUE),exact(Metadata!V557,"Decimal degrees"))</f>
        <v>0</v>
      </c>
      <c r="BI557">
        <f>IF(Metadata!W557="",FALSE,TRUE)</f>
        <v>0</v>
      </c>
      <c r="BJ557">
        <f>OR(AND(IF(Metadata!X557="",FALSE,TRUE),OR(exact(Metadata!X557,"not collected"),exact(Metadata!X557,"not provided"),exact(Metadata!X557,"restricted access"))),AND(IF(Metadata!X557="",FALSE,TRUE),OR(exact(Metadata!X557,"TRUE"),exact(Metadata!X557,"FALSE"))))</f>
        <v>0</v>
      </c>
      <c r="BK557">
        <f>AND(IF(Metadata!Y557="",FALSE,TRUE),exact(Metadata!Y557,"other"))</f>
        <v>0</v>
      </c>
      <c r="BL557">
        <f>IF(Metadata!Z557="",FALSE,TRUE)</f>
        <v>0</v>
      </c>
      <c r="BM557">
        <f>OR(AND(IF(Metadata!AA557="",FALSE,TRUE),OR(exact(Metadata!AA557,"not collected"),exact(Metadata!AA557,"not provided"))),AND(IF(Metadata!AA557="",FALSE,IF(ISERROR(INT(Metadata!AA557)),FALSE,INT(Metadata!AA557)=Metadata!AA557)),Metadata!AA557&gt;0))</f>
        <v>0</v>
      </c>
      <c r="BN557">
        <f>AND(IF(Metadata!AB557="",FALSE,TRUE),exact(Metadata!AB557,"Not applicable"))</f>
        <v>0</v>
      </c>
      <c r="BO557">
        <f>IF(Metadata!AC557="",FALSE,TRUE)</f>
        <v>0</v>
      </c>
    </row>
    <row r="558" spans="1:67">
      <c r="A558" s="5">
        <f>IF(B558=" "," ",HYPERLINK(CONCATENATE("#metadata!",ADDRESS(INDEX($AI$2:$AI$1001,MATCH(ROWS($AG$2:AG558),$AG$2:$AG$1001,0),0),1)),INDEX($AL$2:$AL$1001,MATCH(ROWS($AG$2:AG558),$AG$2:$AG$1001,0),0)))</f>
        <v>0</v>
      </c>
      <c r="B558" s="4">
        <f>IF(OR(INDEX($AH$2:$AH$1001,MATCH(ROWS($AG$2:AG558),$AG$2:$AG$1001,0),1)&gt;=100000,INDEX($AN$1005:$BO$1005,1,MATCH(COLUMNS($AN$1006:AN1006),$AN$1006:$BO$1006,0))&gt;=100000), " ",IF(INDEX($AN$2:$BO$1001,MATCH(ROWS($AG$2:AG558),$AG$2:$AG$1001,0),MATCH(COLUMNS($AN$1006:AN1006),$AN$1006:$BO$1006,0)), HYPERLINK("#",""), HYPERLINK(CONCATENATE("#Metadata!", ADDRESS(INDEX($AI$2:$AI$1001,MATCH(ROWS($AG$2:AG558),$AG$2:$AG$1001,0),0), INDEX($AN$1004:$BO$1004,1,MATCH(COLUMNS($AN$1006:AN1006),$AN$1006:$BO$1006,0)))),"Fix")))</f>
        <v>0</v>
      </c>
      <c r="C558" s="4">
        <f>IF(OR(INDEX($AH$2:$AH$1001,MATCH(ROWS($AG$2:AG558),$AG$2:$AG$1001,0),1)&gt;=100000,INDEX($AN$1005:$BO$1005,1,MATCH(COLUMNS($AN$1006:AO1006),$AN$1006:$BO$1006,0))&gt;=100000), " ",IF(INDEX($AN$2:$BO$1001,MATCH(ROWS($AG$2:AG558),$AG$2:$AG$1001,0),MATCH(COLUMNS($AN$1006:AO1006),$AN$1006:$BO$1006,0)), HYPERLINK("#",""), HYPERLINK(CONCATENATE("#Metadata!", ADDRESS(INDEX($AI$2:$AI$1001,MATCH(ROWS($AG$2:AG558),$AG$2:$AG$1001,0),0), INDEX($AN$1004:$BO$1004,1,MATCH(COLUMNS($AN$1006:AO1006),$AN$1006:$BO$1006,0)))),"Fix")))</f>
        <v>0</v>
      </c>
      <c r="D558" s="4">
        <f>IF(OR(INDEX($AH$2:$AH$1001,MATCH(ROWS($AG$2:AG558),$AG$2:$AG$1001,0),1)&gt;=100000,INDEX($AN$1005:$BO$1005,1,MATCH(COLUMNS($AN$1006:AP1006),$AN$1006:$BO$1006,0))&gt;=100000), " ",IF(INDEX($AN$2:$BO$1001,MATCH(ROWS($AG$2:AG558),$AG$2:$AG$1001,0),MATCH(COLUMNS($AN$1006:AP1006),$AN$1006:$BO$1006,0)), HYPERLINK("#",""), HYPERLINK(CONCATENATE("#Metadata!", ADDRESS(INDEX($AI$2:$AI$1001,MATCH(ROWS($AG$2:AG558),$AG$2:$AG$1001,0),0), INDEX($AN$1004:$BO$1004,1,MATCH(COLUMNS($AN$1006:AP1006),$AN$1006:$BO$1006,0)))),"Fix")))</f>
        <v>0</v>
      </c>
      <c r="E558" s="4">
        <f>IF(OR(INDEX($AH$2:$AH$1001,MATCH(ROWS($AG$2:AG558),$AG$2:$AG$1001,0),1)&gt;=100000,INDEX($AN$1005:$BO$1005,1,MATCH(COLUMNS($AN$1006:AQ1006),$AN$1006:$BO$1006,0))&gt;=100000), " ",IF(INDEX($AN$2:$BO$1001,MATCH(ROWS($AG$2:AG558),$AG$2:$AG$1001,0),MATCH(COLUMNS($AN$1006:AQ1006),$AN$1006:$BO$1006,0)), HYPERLINK("#",""), HYPERLINK(CONCATENATE("#Metadata!", ADDRESS(INDEX($AI$2:$AI$1001,MATCH(ROWS($AG$2:AG558),$AG$2:$AG$1001,0),0), INDEX($AN$1004:$BO$1004,1,MATCH(COLUMNS($AN$1006:AQ1006),$AN$1006:$BO$1006,0)))),"Fix")))</f>
        <v>0</v>
      </c>
      <c r="F558" s="4">
        <f>IF(OR(INDEX($AH$2:$AH$1001,MATCH(ROWS($AG$2:AG558),$AG$2:$AG$1001,0),1)&gt;=100000,INDEX($AN$1005:$BO$1005,1,MATCH(COLUMNS($AN$1006:AR1006),$AN$1006:$BO$1006,0))&gt;=100000), " ",IF(INDEX($AN$2:$BO$1001,MATCH(ROWS($AG$2:AG558),$AG$2:$AG$1001,0),MATCH(COLUMNS($AN$1006:AR1006),$AN$1006:$BO$1006,0)), HYPERLINK("#",""), HYPERLINK(CONCATENATE("#Metadata!", ADDRESS(INDEX($AI$2:$AI$1001,MATCH(ROWS($AG$2:AG558),$AG$2:$AG$1001,0),0), INDEX($AN$1004:$BO$1004,1,MATCH(COLUMNS($AN$1006:AR1006),$AN$1006:$BO$1006,0)))),"Fix")))</f>
        <v>0</v>
      </c>
      <c r="G558" s="4">
        <f>IF(OR(INDEX($AH$2:$AH$1001,MATCH(ROWS($AG$2:AG558),$AG$2:$AG$1001,0),1)&gt;=100000,INDEX($AN$1005:$BO$1005,1,MATCH(COLUMNS($AN$1006:AS1006),$AN$1006:$BO$1006,0))&gt;=100000), " ",IF(INDEX($AN$2:$BO$1001,MATCH(ROWS($AG$2:AG558),$AG$2:$AG$1001,0),MATCH(COLUMNS($AN$1006:AS1006),$AN$1006:$BO$1006,0)), HYPERLINK("#",""), HYPERLINK(CONCATENATE("#Metadata!", ADDRESS(INDEX($AI$2:$AI$1001,MATCH(ROWS($AG$2:AG558),$AG$2:$AG$1001,0),0), INDEX($AN$1004:$BO$1004,1,MATCH(COLUMNS($AN$1006:AS1006),$AN$1006:$BO$1006,0)))),"Fix")))</f>
        <v>0</v>
      </c>
      <c r="H558" s="4">
        <f>IF(OR(INDEX($AH$2:$AH$1001,MATCH(ROWS($AG$2:AG558),$AG$2:$AG$1001,0),1)&gt;=100000,INDEX($AN$1005:$BO$1005,1,MATCH(COLUMNS($AN$1006:AT1006),$AN$1006:$BO$1006,0))&gt;=100000), " ",IF(INDEX($AN$2:$BO$1001,MATCH(ROWS($AG$2:AG558),$AG$2:$AG$1001,0),MATCH(COLUMNS($AN$1006:AT1006),$AN$1006:$BO$1006,0)), HYPERLINK("#",""), HYPERLINK(CONCATENATE("#Metadata!", ADDRESS(INDEX($AI$2:$AI$1001,MATCH(ROWS($AG$2:AG558),$AG$2:$AG$1001,0),0), INDEX($AN$1004:$BO$1004,1,MATCH(COLUMNS($AN$1006:AT1006),$AN$1006:$BO$1006,0)))),"Fix")))</f>
        <v>0</v>
      </c>
      <c r="I558" s="4">
        <f>IF(OR(INDEX($AH$2:$AH$1001,MATCH(ROWS($AG$2:AG558),$AG$2:$AG$1001,0),1)&gt;=100000,INDEX($AN$1005:$BO$1005,1,MATCH(COLUMNS($AN$1006:AU1006),$AN$1006:$BO$1006,0))&gt;=100000), " ",IF(INDEX($AN$2:$BO$1001,MATCH(ROWS($AG$2:AG558),$AG$2:$AG$1001,0),MATCH(COLUMNS($AN$1006:AU1006),$AN$1006:$BO$1006,0)), HYPERLINK("#",""), HYPERLINK(CONCATENATE("#Metadata!", ADDRESS(INDEX($AI$2:$AI$1001,MATCH(ROWS($AG$2:AG558),$AG$2:$AG$1001,0),0), INDEX($AN$1004:$BO$1004,1,MATCH(COLUMNS($AN$1006:AU1006),$AN$1006:$BO$1006,0)))),"Fix")))</f>
        <v>0</v>
      </c>
      <c r="J558" s="4">
        <f>IF(OR(INDEX($AH$2:$AH$1001,MATCH(ROWS($AG$2:AG558),$AG$2:$AG$1001,0),1)&gt;=100000,INDEX($AN$1005:$BO$1005,1,MATCH(COLUMNS($AN$1006:AV1006),$AN$1006:$BO$1006,0))&gt;=100000), " ",IF(INDEX($AN$2:$BO$1001,MATCH(ROWS($AG$2:AG558),$AG$2:$AG$1001,0),MATCH(COLUMNS($AN$1006:AV1006),$AN$1006:$BO$1006,0)), HYPERLINK("#",""), HYPERLINK(CONCATENATE("#Metadata!", ADDRESS(INDEX($AI$2:$AI$1001,MATCH(ROWS($AG$2:AG558),$AG$2:$AG$1001,0),0), INDEX($AN$1004:$BO$1004,1,MATCH(COLUMNS($AN$1006:AV1006),$AN$1006:$BO$1006,0)))),"Fix")))</f>
        <v>0</v>
      </c>
      <c r="K558" s="4">
        <f>IF(OR(INDEX($AH$2:$AH$1001,MATCH(ROWS($AG$2:AG558),$AG$2:$AG$1001,0),1)&gt;=100000,INDEX($AN$1005:$BO$1005,1,MATCH(COLUMNS($AN$1006:AW1006),$AN$1006:$BO$1006,0))&gt;=100000), " ",IF(INDEX($AN$2:$BO$1001,MATCH(ROWS($AG$2:AG558),$AG$2:$AG$1001,0),MATCH(COLUMNS($AN$1006:AW1006),$AN$1006:$BO$1006,0)), HYPERLINK("#",""), HYPERLINK(CONCATENATE("#Metadata!", ADDRESS(INDEX($AI$2:$AI$1001,MATCH(ROWS($AG$2:AG558),$AG$2:$AG$1001,0),0), INDEX($AN$1004:$BO$1004,1,MATCH(COLUMNS($AN$1006:AW1006),$AN$1006:$BO$1006,0)))),"Fix")))</f>
        <v>0</v>
      </c>
      <c r="L558" s="4">
        <f>IF(OR(INDEX($AH$2:$AH$1001,MATCH(ROWS($AG$2:AG558),$AG$2:$AG$1001,0),1)&gt;=100000,INDEX($AN$1005:$BO$1005,1,MATCH(COLUMNS($AN$1006:AX1006),$AN$1006:$BO$1006,0))&gt;=100000), " ",IF(INDEX($AN$2:$BO$1001,MATCH(ROWS($AG$2:AG558),$AG$2:$AG$1001,0),MATCH(COLUMNS($AN$1006:AX1006),$AN$1006:$BO$1006,0)), HYPERLINK("#",""), HYPERLINK(CONCATENATE("#Metadata!", ADDRESS(INDEX($AI$2:$AI$1001,MATCH(ROWS($AG$2:AG558),$AG$2:$AG$1001,0),0), INDEX($AN$1004:$BO$1004,1,MATCH(COLUMNS($AN$1006:AX1006),$AN$1006:$BO$1006,0)))),"Fix")))</f>
        <v>0</v>
      </c>
      <c r="M558" s="4">
        <f>IF(OR(INDEX($AH$2:$AH$1001,MATCH(ROWS($AG$2:AG558),$AG$2:$AG$1001,0),1)&gt;=100000,INDEX($AN$1005:$BO$1005,1,MATCH(COLUMNS($AN$1006:AY1006),$AN$1006:$BO$1006,0))&gt;=100000), " ",IF(INDEX($AN$2:$BO$1001,MATCH(ROWS($AG$2:AG558),$AG$2:$AG$1001,0),MATCH(COLUMNS($AN$1006:AY1006),$AN$1006:$BO$1006,0)), HYPERLINK("#",""), HYPERLINK(CONCATENATE("#Metadata!", ADDRESS(INDEX($AI$2:$AI$1001,MATCH(ROWS($AG$2:AG558),$AG$2:$AG$1001,0),0), INDEX($AN$1004:$BO$1004,1,MATCH(COLUMNS($AN$1006:AY1006),$AN$1006:$BO$1006,0)))),"Fix")))</f>
        <v>0</v>
      </c>
      <c r="N558" s="4">
        <f>IF(OR(INDEX($AH$2:$AH$1001,MATCH(ROWS($AG$2:AG558),$AG$2:$AG$1001,0),1)&gt;=100000,INDEX($AN$1005:$BO$1005,1,MATCH(COLUMNS($AN$1006:AZ1006),$AN$1006:$BO$1006,0))&gt;=100000), " ",IF(INDEX($AN$2:$BO$1001,MATCH(ROWS($AG$2:AG558),$AG$2:$AG$1001,0),MATCH(COLUMNS($AN$1006:AZ1006),$AN$1006:$BO$1006,0)), HYPERLINK("#",""), HYPERLINK(CONCATENATE("#Metadata!", ADDRESS(INDEX($AI$2:$AI$1001,MATCH(ROWS($AG$2:AG558),$AG$2:$AG$1001,0),0), INDEX($AN$1004:$BO$1004,1,MATCH(COLUMNS($AN$1006:AZ1006),$AN$1006:$BO$1006,0)))),"Fix")))</f>
        <v>0</v>
      </c>
      <c r="O558" s="4">
        <f>IF(OR(INDEX($AH$2:$AH$1001,MATCH(ROWS($AG$2:AG558),$AG$2:$AG$1001,0),1)&gt;=100000,INDEX($AN$1005:$BO$1005,1,MATCH(COLUMNS($AN$1006:BA1006),$AN$1006:$BO$1006,0))&gt;=100000), " ",IF(INDEX($AN$2:$BO$1001,MATCH(ROWS($AG$2:AG558),$AG$2:$AG$1001,0),MATCH(COLUMNS($AN$1006:BA1006),$AN$1006:$BO$1006,0)), HYPERLINK("#",""), HYPERLINK(CONCATENATE("#Metadata!", ADDRESS(INDEX($AI$2:$AI$1001,MATCH(ROWS($AG$2:AG558),$AG$2:$AG$1001,0),0), INDEX($AN$1004:$BO$1004,1,MATCH(COLUMNS($AN$1006:BA1006),$AN$1006:$BO$1006,0)))),"Fix")))</f>
        <v>0</v>
      </c>
      <c r="P558" s="4">
        <f>IF(OR(INDEX($AH$2:$AH$1001,MATCH(ROWS($AG$2:AG558),$AG$2:$AG$1001,0),1)&gt;=100000,INDEX($AN$1005:$BO$1005,1,MATCH(COLUMNS($AN$1006:BB1006),$AN$1006:$BO$1006,0))&gt;=100000), " ",IF(INDEX($AN$2:$BO$1001,MATCH(ROWS($AG$2:AG558),$AG$2:$AG$1001,0),MATCH(COLUMNS($AN$1006:BB1006),$AN$1006:$BO$1006,0)), HYPERLINK("#",""), HYPERLINK(CONCATENATE("#Metadata!", ADDRESS(INDEX($AI$2:$AI$1001,MATCH(ROWS($AG$2:AG558),$AG$2:$AG$1001,0),0), INDEX($AN$1004:$BO$1004,1,MATCH(COLUMNS($AN$1006:BB1006),$AN$1006:$BO$1006,0)))),"Fix")))</f>
        <v>0</v>
      </c>
      <c r="Q558" s="4">
        <f>IF(OR(INDEX($AH$2:$AH$1001,MATCH(ROWS($AG$2:AG558),$AG$2:$AG$1001,0),1)&gt;=100000,INDEX($AN$1005:$BO$1005,1,MATCH(COLUMNS($AN$1006:BC1006),$AN$1006:$BO$1006,0))&gt;=100000), " ",IF(INDEX($AN$2:$BO$1001,MATCH(ROWS($AG$2:AG558),$AG$2:$AG$1001,0),MATCH(COLUMNS($AN$1006:BC1006),$AN$1006:$BO$1006,0)), HYPERLINK("#",""), HYPERLINK(CONCATENATE("#Metadata!", ADDRESS(INDEX($AI$2:$AI$1001,MATCH(ROWS($AG$2:AG558),$AG$2:$AG$1001,0),0), INDEX($AN$1004:$BO$1004,1,MATCH(COLUMNS($AN$1006:BC1006),$AN$1006:$BO$1006,0)))),"Fix")))</f>
        <v>0</v>
      </c>
      <c r="R558" s="4">
        <f>IF(OR(INDEX($AH$2:$AH$1001,MATCH(ROWS($AG$2:AG558),$AG$2:$AG$1001,0),1)&gt;=100000,INDEX($AN$1005:$BO$1005,1,MATCH(COLUMNS($AN$1006:BD1006),$AN$1006:$BO$1006,0))&gt;=100000), " ",IF(INDEX($AN$2:$BO$1001,MATCH(ROWS($AG$2:AG558),$AG$2:$AG$1001,0),MATCH(COLUMNS($AN$1006:BD1006),$AN$1006:$BO$1006,0)), HYPERLINK("#",""), HYPERLINK(CONCATENATE("#Metadata!", ADDRESS(INDEX($AI$2:$AI$1001,MATCH(ROWS($AG$2:AG558),$AG$2:$AG$1001,0),0), INDEX($AN$1004:$BO$1004,1,MATCH(COLUMNS($AN$1006:BD1006),$AN$1006:$BO$1006,0)))),"Fix")))</f>
        <v>0</v>
      </c>
      <c r="S558" s="4">
        <f>IF(OR(INDEX($AH$2:$AH$1001,MATCH(ROWS($AG$2:AG558),$AG$2:$AG$1001,0),1)&gt;=100000,INDEX($AN$1005:$BO$1005,1,MATCH(COLUMNS($AN$1006:BE1006),$AN$1006:$BO$1006,0))&gt;=100000), " ",IF(INDEX($AN$2:$BO$1001,MATCH(ROWS($AG$2:AG558),$AG$2:$AG$1001,0),MATCH(COLUMNS($AN$1006:BE1006),$AN$1006:$BO$1006,0)), HYPERLINK("#",""), HYPERLINK(CONCATENATE("#Metadata!", ADDRESS(INDEX($AI$2:$AI$1001,MATCH(ROWS($AG$2:AG558),$AG$2:$AG$1001,0),0), INDEX($AN$1004:$BO$1004,1,MATCH(COLUMNS($AN$1006:BE1006),$AN$1006:$BO$1006,0)))),"Fix")))</f>
        <v>0</v>
      </c>
      <c r="T558" s="4">
        <f>IF(OR(INDEX($AH$2:$AH$1001,MATCH(ROWS($AG$2:AG558),$AG$2:$AG$1001,0),1)&gt;=100000,INDEX($AN$1005:$BO$1005,1,MATCH(COLUMNS($AN$1006:BF1006),$AN$1006:$BO$1006,0))&gt;=100000), " ",IF(INDEX($AN$2:$BO$1001,MATCH(ROWS($AG$2:AG558),$AG$2:$AG$1001,0),MATCH(COLUMNS($AN$1006:BF1006),$AN$1006:$BO$1006,0)), HYPERLINK("#",""), HYPERLINK(CONCATENATE("#Metadata!", ADDRESS(INDEX($AI$2:$AI$1001,MATCH(ROWS($AG$2:AG558),$AG$2:$AG$1001,0),0), INDEX($AN$1004:$BO$1004,1,MATCH(COLUMNS($AN$1006:BF1006),$AN$1006:$BO$1006,0)))),"Fix")))</f>
        <v>0</v>
      </c>
      <c r="U558" s="4">
        <f>IF(OR(INDEX($AH$2:$AH$1001,MATCH(ROWS($AG$2:AG558),$AG$2:$AG$1001,0),1)&gt;=100000,INDEX($AN$1005:$BO$1005,1,MATCH(COLUMNS($AN$1006:BG1006),$AN$1006:$BO$1006,0))&gt;=100000), " ",IF(INDEX($AN$2:$BO$1001,MATCH(ROWS($AG$2:AG558),$AG$2:$AG$1001,0),MATCH(COLUMNS($AN$1006:BG1006),$AN$1006:$BO$1006,0)), HYPERLINK("#",""), HYPERLINK(CONCATENATE("#Metadata!", ADDRESS(INDEX($AI$2:$AI$1001,MATCH(ROWS($AG$2:AG558),$AG$2:$AG$1001,0),0), INDEX($AN$1004:$BO$1004,1,MATCH(COLUMNS($AN$1006:BG1006),$AN$1006:$BO$1006,0)))),"Fix")))</f>
        <v>0</v>
      </c>
      <c r="V558" s="4">
        <f>IF(OR(INDEX($AH$2:$AH$1001,MATCH(ROWS($AG$2:AG558),$AG$2:$AG$1001,0),1)&gt;=100000,INDEX($AN$1005:$BO$1005,1,MATCH(COLUMNS($AN$1006:BH1006),$AN$1006:$BO$1006,0))&gt;=100000), " ",IF(INDEX($AN$2:$BO$1001,MATCH(ROWS($AG$2:AG558),$AG$2:$AG$1001,0),MATCH(COLUMNS($AN$1006:BH1006),$AN$1006:$BO$1006,0)), HYPERLINK("#",""), HYPERLINK(CONCATENATE("#Metadata!", ADDRESS(INDEX($AI$2:$AI$1001,MATCH(ROWS($AG$2:AG558),$AG$2:$AG$1001,0),0), INDEX($AN$1004:$BO$1004,1,MATCH(COLUMNS($AN$1006:BH1006),$AN$1006:$BO$1006,0)))),"Fix")))</f>
        <v>0</v>
      </c>
      <c r="W558" s="4">
        <f>IF(OR(INDEX($AH$2:$AH$1001,MATCH(ROWS($AG$2:AG558),$AG$2:$AG$1001,0),1)&gt;=100000,INDEX($AN$1005:$BO$1005,1,MATCH(COLUMNS($AN$1006:BI1006),$AN$1006:$BO$1006,0))&gt;=100000), " ",IF(INDEX($AN$2:$BO$1001,MATCH(ROWS($AG$2:AG558),$AG$2:$AG$1001,0),MATCH(COLUMNS($AN$1006:BI1006),$AN$1006:$BO$1006,0)), HYPERLINK("#",""), HYPERLINK(CONCATENATE("#Metadata!", ADDRESS(INDEX($AI$2:$AI$1001,MATCH(ROWS($AG$2:AG558),$AG$2:$AG$1001,0),0), INDEX($AN$1004:$BO$1004,1,MATCH(COLUMNS($AN$1006:BI1006),$AN$1006:$BO$1006,0)))),"Fix")))</f>
        <v>0</v>
      </c>
      <c r="X558" s="4">
        <f>IF(OR(INDEX($AH$2:$AH$1001,MATCH(ROWS($AG$2:AG558),$AG$2:$AG$1001,0),1)&gt;=100000,INDEX($AN$1005:$BO$1005,1,MATCH(COLUMNS($AN$1006:BJ1006),$AN$1006:$BO$1006,0))&gt;=100000), " ",IF(INDEX($AN$2:$BO$1001,MATCH(ROWS($AG$2:AG558),$AG$2:$AG$1001,0),MATCH(COLUMNS($AN$1006:BJ1006),$AN$1006:$BO$1006,0)), HYPERLINK("#",""), HYPERLINK(CONCATENATE("#Metadata!", ADDRESS(INDEX($AI$2:$AI$1001,MATCH(ROWS($AG$2:AG558),$AG$2:$AG$1001,0),0), INDEX($AN$1004:$BO$1004,1,MATCH(COLUMNS($AN$1006:BJ1006),$AN$1006:$BO$1006,0)))),"Fix")))</f>
        <v>0</v>
      </c>
      <c r="Y558" s="4">
        <f>IF(OR(INDEX($AH$2:$AH$1001,MATCH(ROWS($AG$2:AG558),$AG$2:$AG$1001,0),1)&gt;=100000,INDEX($AN$1005:$BO$1005,1,MATCH(COLUMNS($AN$1006:BK1006),$AN$1006:$BO$1006,0))&gt;=100000), " ",IF(INDEX($AN$2:$BO$1001,MATCH(ROWS($AG$2:AG558),$AG$2:$AG$1001,0),MATCH(COLUMNS($AN$1006:BK1006),$AN$1006:$BO$1006,0)), HYPERLINK("#",""), HYPERLINK(CONCATENATE("#Metadata!", ADDRESS(INDEX($AI$2:$AI$1001,MATCH(ROWS($AG$2:AG558),$AG$2:$AG$1001,0),0), INDEX($AN$1004:$BO$1004,1,MATCH(COLUMNS($AN$1006:BK1006),$AN$1006:$BO$1006,0)))),"Fix")))</f>
        <v>0</v>
      </c>
      <c r="Z558" s="4">
        <f>IF(OR(INDEX($AH$2:$AH$1001,MATCH(ROWS($AG$2:AG558),$AG$2:$AG$1001,0),1)&gt;=100000,INDEX($AN$1005:$BO$1005,1,MATCH(COLUMNS($AN$1006:BL1006),$AN$1006:$BO$1006,0))&gt;=100000), " ",IF(INDEX($AN$2:$BO$1001,MATCH(ROWS($AG$2:AG558),$AG$2:$AG$1001,0),MATCH(COLUMNS($AN$1006:BL1006),$AN$1006:$BO$1006,0)), HYPERLINK("#",""), HYPERLINK(CONCATENATE("#Metadata!", ADDRESS(INDEX($AI$2:$AI$1001,MATCH(ROWS($AG$2:AG558),$AG$2:$AG$1001,0),0), INDEX($AN$1004:$BO$1004,1,MATCH(COLUMNS($AN$1006:BL1006),$AN$1006:$BO$1006,0)))),"Fix")))</f>
        <v>0</v>
      </c>
      <c r="AA558" s="4">
        <f>IF(OR(INDEX($AH$2:$AH$1001,MATCH(ROWS($AG$2:AG558),$AG$2:$AG$1001,0),1)&gt;=100000,INDEX($AN$1005:$BO$1005,1,MATCH(COLUMNS($AN$1006:BM1006),$AN$1006:$BO$1006,0))&gt;=100000), " ",IF(INDEX($AN$2:$BO$1001,MATCH(ROWS($AG$2:AG558),$AG$2:$AG$1001,0),MATCH(COLUMNS($AN$1006:BM1006),$AN$1006:$BO$1006,0)), HYPERLINK("#",""), HYPERLINK(CONCATENATE("#Metadata!", ADDRESS(INDEX($AI$2:$AI$1001,MATCH(ROWS($AG$2:AG558),$AG$2:$AG$1001,0),0), INDEX($AN$1004:$BO$1004,1,MATCH(COLUMNS($AN$1006:BM1006),$AN$1006:$BO$1006,0)))),"Fix")))</f>
        <v>0</v>
      </c>
      <c r="AB558" s="4">
        <f>IF(OR(INDEX($AH$2:$AH$1001,MATCH(ROWS($AG$2:AG558),$AG$2:$AG$1001,0),1)&gt;=100000,INDEX($AN$1005:$BO$1005,1,MATCH(COLUMNS($AN$1006:BN1006),$AN$1006:$BO$1006,0))&gt;=100000), " ",IF(INDEX($AN$2:$BO$1001,MATCH(ROWS($AG$2:AG558),$AG$2:$AG$1001,0),MATCH(COLUMNS($AN$1006:BN1006),$AN$1006:$BO$1006,0)), HYPERLINK("#",""), HYPERLINK(CONCATENATE("#Metadata!", ADDRESS(INDEX($AI$2:$AI$1001,MATCH(ROWS($AG$2:AG558),$AG$2:$AG$1001,0),0), INDEX($AN$1004:$BO$1004,1,MATCH(COLUMNS($AN$1006:BN1006),$AN$1006:$BO$1006,0)))),"Fix")))</f>
        <v>0</v>
      </c>
      <c r="AC558" s="4">
        <f>IF(OR(INDEX($AH$2:$AH$1001,MATCH(ROWS($AG$2:AG558),$AG$2:$AG$1001,0),1)&gt;=100000,INDEX($AN$1005:$BO$1005,1,MATCH(COLUMNS($AN$1006:BO1006),$AN$1006:$BO$1006,0))&gt;=100000), " ",IF(INDEX($AN$2:$BO$1001,MATCH(ROWS($AG$2:AG558),$AG$2:$AG$1001,0),MATCH(COLUMNS($AN$1006:BO1006),$AN$1006:$BO$1006,0)), HYPERLINK("#",""), HYPERLINK(CONCATENATE("#Metadata!", ADDRESS(INDEX($AI$2:$AI$1001,MATCH(ROWS($AG$2:AG558),$AG$2:$AG$1001,0),0), INDEX($AN$1004:$BO$1004,1,MATCH(COLUMNS($AN$1006:BO1006),$AN$1006:$BO$1006,0)))),"Fix")))</f>
        <v>0</v>
      </c>
      <c r="AG558">
        <v>0</v>
      </c>
      <c r="AH558">
        <v>0</v>
      </c>
      <c r="AI558">
        <v>0</v>
      </c>
      <c r="AJ558">
        <f>IF(AK558,TRUE,AND(AN558:BO558))</f>
        <v>0</v>
      </c>
      <c r="AK558">
        <f>COUNTBLANK(Metadata!B558:AC558)=COLUMNS(Metadata!B558:AC558)</f>
        <v>0</v>
      </c>
      <c r="AL558">
        <v>0</v>
      </c>
      <c r="AN558">
        <f>AND(IF(Metadata!B558="",FALSE,TRUE),COUNTIF(Metadata!B:B, Metadata!B558) = 1,NOT(ISERROR(SUMPRODUCT(SEARCH(MID(Metadata!B558,ROW(INDIRECT("1:"&amp;LEN(Metadata!B558))), 1),"0123456789abcdefghijklmnopqrstuvwxyzABCDEFGHIJKLMNOPQRSTUVWXYZ.")))))</f>
        <v>0</v>
      </c>
      <c r="AO558">
        <f>IF(Metadata!C558="",FALSE,TRUE)</f>
        <v>0</v>
      </c>
      <c r="AP558">
        <f>IF(Metadata!D558="",FALSE,TRUE)</f>
        <v>0</v>
      </c>
      <c r="AQ558">
        <f>OR(AND(IF(Metadata!E558="",FALSE,TRUE),OR(exact(Metadata!E558,"not collected"),exact(Metadata!E558,"not provided"),exact(Metadata!E558,"restricted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R558">
        <f>IF(Metadata!F558="",FALSE,TRUE)</f>
        <v>0</v>
      </c>
      <c r="AS558">
        <f>OR(AND(IF(Metadata!G558="",FALSE,TRUE),OR(exact(Metadata!G558,"not collected"),exact(Metadata!G558,"not provided"))),AND(IF(Metadata!G558="",FALSE,TRUE),OR(exact(Metadata!G558,"TRUE"),exact(Metadata!G558,"FALSE"))))</f>
        <v>0</v>
      </c>
      <c r="AT558">
        <f>OR(AND(IF(Metadata!H558="",FALSE,TRUE),OR(exact(Metadata!H558,"not collected"),exact(Metadata!H558,"not provided"),exact(Metadata!H558,"restricted access"))),AND(IF(Metadata!H558="",FALSE,ISNUMBER(VALUE(Metadata!H558))),Metadata!H558&gt;=-413.0))</f>
        <v>0</v>
      </c>
      <c r="AU558">
        <f>AND(IF(Metadata!I558="",FALSE,TRUE),exact(Metadata!I558,"meters"))</f>
        <v>0</v>
      </c>
      <c r="AV558">
        <f>AND(IF(Metadata!J558="",FALSE,TRUE),OR(exact(Metadata!J558,"Host-associated"),exact(Metadata!J558,"Free-living")))</f>
        <v>0</v>
      </c>
      <c r="AW558">
        <f>AND(IF(Metadata!K558="",FALSE,TRUE),OR(exact(Metadata!K558,"Animal"),exact(Metadata!K558,"Fungus"),exact(Metadata!K558,"Plant"),exact(Metadata!K558,"Saline"),exact(Metadata!K558,"Non-saline")))</f>
        <v>0</v>
      </c>
      <c r="AX558">
        <f>AND(IF(Metadata!L558="",FALSE,TRUE),OR(exact(Metadata!L558,"Plant secretion"),exact(Metadata!L558,"Plant rhizosphere"),exact(Metadata!L558,"Plant surface"),exact(Metadata!L558,"Plant corpus"),exact(Metadata!L558,"Fungus surface"),exact(Metadata!L558,"Fungus corpus"),exact(Metadata!L558,"Animal surface"),exact(Metadata!L558,"Animal proximal gut"),exact(Metadata!L558,"Animal corpus"),exact(Metadata!L558,"Animal distal gut"),exact(Metadata!L558,"Animal secretion"),exact(Metadata!L558,"Sub-surface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Y558">
        <f>IF(Metadata!M558="",FALSE,TRUE)</f>
        <v>0</v>
      </c>
      <c r="AZ558">
        <f>IF(Metadata!N558="",FALSE,TRUE)</f>
        <v>0</v>
      </c>
      <c r="BA558">
        <f>IF(Metadata!O558="",FALSE,TRUE)</f>
        <v>0</v>
      </c>
      <c r="BB558">
        <f>OR(AND(IF(Metadata!P558="",FALSE,TRUE),OR(exact(Metadata!P558,"not collected"),exact(Metadata!P558,"not provided"),exact(Metadata!P558,"restricted access"))),AND(IF(Metadata!P558="",FALSE,TRUE),OR(exact(Metadata!P558,"air"),exact(Metadata!P558,"built environment"),exact(Metadata!P558,"host-associated"),exact(Metadata!P558,"human-associated"),exact(Metadata!P558,"human-skin"),exact(Metadata!P558,"human-oral"),exact(Metadata!P558,"human-gut"),exact(Metadata!P558,"human-vaginal"),exact(Metadata!P558,"microbial mat/biofilm"),exact(Metadata!P558,"misc environment"),exact(Metadata!P558,"plant-associated"),exact(Metadata!P558,"sediment"),exact(Metadata!P558,"soil"),exact(Metadata!P558,"wastewater/sludge"),exact(Metadata!P558,"water"))))</f>
        <v>0</v>
      </c>
      <c r="BC558">
        <f>IF(Metadata!Q558="",FALSE,TRUE)</f>
        <v>0</v>
      </c>
      <c r="BD558">
        <f>IF(Metadata!R558="",FALSE,TRUE)</f>
        <v>0</v>
      </c>
      <c r="BE558">
        <f>OR(AND(IF(Metadata!S558="",FALSE,TRUE),OR(exact(Metadata!S558,"not collected"),exact(Metadata!S558,"not provided"),exact(Metadata!S558,"restricted access"))),AND(IF(Metadata!S558="",FALSE,ISNUMBER(VALUE(Metadata!S558))),Metadata!S558&gt;=-90.00,Metadata!S558&lt;=90.00))</f>
        <v>0</v>
      </c>
      <c r="BF558">
        <f>AND(IF(Metadata!T558="",FALSE,TRUE),exact(Metadata!T558,"Decimal degrees"))</f>
        <v>0</v>
      </c>
      <c r="BG558">
        <f>OR(AND(IF(Metadata!U558="",FALSE,TRUE),OR(exact(Metadata!U558,"not collected"),exact(Metadata!U558,"not provided"),exact(Metadata!U558,"restricted access"))),AND(IF(Metadata!U558="",FALSE,ISNUMBER(VALUE(Metadata!U558))),Metadata!U558&gt;=-180.00,Metadata!U558&lt;=180.00))</f>
        <v>0</v>
      </c>
      <c r="BH558">
        <f>AND(IF(Metadata!V558="",FALSE,TRUE),exact(Metadata!V558,"Decimal degrees"))</f>
        <v>0</v>
      </c>
      <c r="BI558">
        <f>IF(Metadata!W558="",FALSE,TRUE)</f>
        <v>0</v>
      </c>
      <c r="BJ558">
        <f>OR(AND(IF(Metadata!X558="",FALSE,TRUE),OR(exact(Metadata!X558,"not collected"),exact(Metadata!X558,"not provided"),exact(Metadata!X558,"restricted access"))),AND(IF(Metadata!X558="",FALSE,TRUE),OR(exact(Metadata!X558,"TRUE"),exact(Metadata!X558,"FALSE"))))</f>
        <v>0</v>
      </c>
      <c r="BK558">
        <f>AND(IF(Metadata!Y558="",FALSE,TRUE),exact(Metadata!Y558,"other"))</f>
        <v>0</v>
      </c>
      <c r="BL558">
        <f>IF(Metadata!Z558="",FALSE,TRUE)</f>
        <v>0</v>
      </c>
      <c r="BM558">
        <f>OR(AND(IF(Metadata!AA558="",FALSE,TRUE),OR(exact(Metadata!AA558,"not collected"),exact(Metadata!AA558,"not provided"))),AND(IF(Metadata!AA558="",FALSE,IF(ISERROR(INT(Metadata!AA558)),FALSE,INT(Metadata!AA558)=Metadata!AA558)),Metadata!AA558&gt;0))</f>
        <v>0</v>
      </c>
      <c r="BN558">
        <f>AND(IF(Metadata!AB558="",FALSE,TRUE),exact(Metadata!AB558,"Not applicable"))</f>
        <v>0</v>
      </c>
      <c r="BO558">
        <f>IF(Metadata!AC558="",FALSE,TRUE)</f>
        <v>0</v>
      </c>
    </row>
    <row r="559" spans="1:67">
      <c r="A559" s="5">
        <f>IF(B559=" "," ",HYPERLINK(CONCATENATE("#metadata!",ADDRESS(INDEX($AI$2:$AI$1001,MATCH(ROWS($AG$2:AG559),$AG$2:$AG$1001,0),0),1)),INDEX($AL$2:$AL$1001,MATCH(ROWS($AG$2:AG559),$AG$2:$AG$1001,0),0)))</f>
        <v>0</v>
      </c>
      <c r="B559" s="4">
        <f>IF(OR(INDEX($AH$2:$AH$1001,MATCH(ROWS($AG$2:AG559),$AG$2:$AG$1001,0),1)&gt;=100000,INDEX($AN$1005:$BO$1005,1,MATCH(COLUMNS($AN$1006:AN1006),$AN$1006:$BO$1006,0))&gt;=100000), " ",IF(INDEX($AN$2:$BO$1001,MATCH(ROWS($AG$2:AG559),$AG$2:$AG$1001,0),MATCH(COLUMNS($AN$1006:AN1006),$AN$1006:$BO$1006,0)), HYPERLINK("#",""), HYPERLINK(CONCATENATE("#Metadata!", ADDRESS(INDEX($AI$2:$AI$1001,MATCH(ROWS($AG$2:AG559),$AG$2:$AG$1001,0),0), INDEX($AN$1004:$BO$1004,1,MATCH(COLUMNS($AN$1006:AN1006),$AN$1006:$BO$1006,0)))),"Fix")))</f>
        <v>0</v>
      </c>
      <c r="C559" s="4">
        <f>IF(OR(INDEX($AH$2:$AH$1001,MATCH(ROWS($AG$2:AG559),$AG$2:$AG$1001,0),1)&gt;=100000,INDEX($AN$1005:$BO$1005,1,MATCH(COLUMNS($AN$1006:AO1006),$AN$1006:$BO$1006,0))&gt;=100000), " ",IF(INDEX($AN$2:$BO$1001,MATCH(ROWS($AG$2:AG559),$AG$2:$AG$1001,0),MATCH(COLUMNS($AN$1006:AO1006),$AN$1006:$BO$1006,0)), HYPERLINK("#",""), HYPERLINK(CONCATENATE("#Metadata!", ADDRESS(INDEX($AI$2:$AI$1001,MATCH(ROWS($AG$2:AG559),$AG$2:$AG$1001,0),0), INDEX($AN$1004:$BO$1004,1,MATCH(COLUMNS($AN$1006:AO1006),$AN$1006:$BO$1006,0)))),"Fix")))</f>
        <v>0</v>
      </c>
      <c r="D559" s="4">
        <f>IF(OR(INDEX($AH$2:$AH$1001,MATCH(ROWS($AG$2:AG559),$AG$2:$AG$1001,0),1)&gt;=100000,INDEX($AN$1005:$BO$1005,1,MATCH(COLUMNS($AN$1006:AP1006),$AN$1006:$BO$1006,0))&gt;=100000), " ",IF(INDEX($AN$2:$BO$1001,MATCH(ROWS($AG$2:AG559),$AG$2:$AG$1001,0),MATCH(COLUMNS($AN$1006:AP1006),$AN$1006:$BO$1006,0)), HYPERLINK("#",""), HYPERLINK(CONCATENATE("#Metadata!", ADDRESS(INDEX($AI$2:$AI$1001,MATCH(ROWS($AG$2:AG559),$AG$2:$AG$1001,0),0), INDEX($AN$1004:$BO$1004,1,MATCH(COLUMNS($AN$1006:AP1006),$AN$1006:$BO$1006,0)))),"Fix")))</f>
        <v>0</v>
      </c>
      <c r="E559" s="4">
        <f>IF(OR(INDEX($AH$2:$AH$1001,MATCH(ROWS($AG$2:AG559),$AG$2:$AG$1001,0),1)&gt;=100000,INDEX($AN$1005:$BO$1005,1,MATCH(COLUMNS($AN$1006:AQ1006),$AN$1006:$BO$1006,0))&gt;=100000), " ",IF(INDEX($AN$2:$BO$1001,MATCH(ROWS($AG$2:AG559),$AG$2:$AG$1001,0),MATCH(COLUMNS($AN$1006:AQ1006),$AN$1006:$BO$1006,0)), HYPERLINK("#",""), HYPERLINK(CONCATENATE("#Metadata!", ADDRESS(INDEX($AI$2:$AI$1001,MATCH(ROWS($AG$2:AG559),$AG$2:$AG$1001,0),0), INDEX($AN$1004:$BO$1004,1,MATCH(COLUMNS($AN$1006:AQ1006),$AN$1006:$BO$1006,0)))),"Fix")))</f>
        <v>0</v>
      </c>
      <c r="F559" s="4">
        <f>IF(OR(INDEX($AH$2:$AH$1001,MATCH(ROWS($AG$2:AG559),$AG$2:$AG$1001,0),1)&gt;=100000,INDEX($AN$1005:$BO$1005,1,MATCH(COLUMNS($AN$1006:AR1006),$AN$1006:$BO$1006,0))&gt;=100000), " ",IF(INDEX($AN$2:$BO$1001,MATCH(ROWS($AG$2:AG559),$AG$2:$AG$1001,0),MATCH(COLUMNS($AN$1006:AR1006),$AN$1006:$BO$1006,0)), HYPERLINK("#",""), HYPERLINK(CONCATENATE("#Metadata!", ADDRESS(INDEX($AI$2:$AI$1001,MATCH(ROWS($AG$2:AG559),$AG$2:$AG$1001,0),0), INDEX($AN$1004:$BO$1004,1,MATCH(COLUMNS($AN$1006:AR1006),$AN$1006:$BO$1006,0)))),"Fix")))</f>
        <v>0</v>
      </c>
      <c r="G559" s="4">
        <f>IF(OR(INDEX($AH$2:$AH$1001,MATCH(ROWS($AG$2:AG559),$AG$2:$AG$1001,0),1)&gt;=100000,INDEX($AN$1005:$BO$1005,1,MATCH(COLUMNS($AN$1006:AS1006),$AN$1006:$BO$1006,0))&gt;=100000), " ",IF(INDEX($AN$2:$BO$1001,MATCH(ROWS($AG$2:AG559),$AG$2:$AG$1001,0),MATCH(COLUMNS($AN$1006:AS1006),$AN$1006:$BO$1006,0)), HYPERLINK("#",""), HYPERLINK(CONCATENATE("#Metadata!", ADDRESS(INDEX($AI$2:$AI$1001,MATCH(ROWS($AG$2:AG559),$AG$2:$AG$1001,0),0), INDEX($AN$1004:$BO$1004,1,MATCH(COLUMNS($AN$1006:AS1006),$AN$1006:$BO$1006,0)))),"Fix")))</f>
        <v>0</v>
      </c>
      <c r="H559" s="4">
        <f>IF(OR(INDEX($AH$2:$AH$1001,MATCH(ROWS($AG$2:AG559),$AG$2:$AG$1001,0),1)&gt;=100000,INDEX($AN$1005:$BO$1005,1,MATCH(COLUMNS($AN$1006:AT1006),$AN$1006:$BO$1006,0))&gt;=100000), " ",IF(INDEX($AN$2:$BO$1001,MATCH(ROWS($AG$2:AG559),$AG$2:$AG$1001,0),MATCH(COLUMNS($AN$1006:AT1006),$AN$1006:$BO$1006,0)), HYPERLINK("#",""), HYPERLINK(CONCATENATE("#Metadata!", ADDRESS(INDEX($AI$2:$AI$1001,MATCH(ROWS($AG$2:AG559),$AG$2:$AG$1001,0),0), INDEX($AN$1004:$BO$1004,1,MATCH(COLUMNS($AN$1006:AT1006),$AN$1006:$BO$1006,0)))),"Fix")))</f>
        <v>0</v>
      </c>
      <c r="I559" s="4">
        <f>IF(OR(INDEX($AH$2:$AH$1001,MATCH(ROWS($AG$2:AG559),$AG$2:$AG$1001,0),1)&gt;=100000,INDEX($AN$1005:$BO$1005,1,MATCH(COLUMNS($AN$1006:AU1006),$AN$1006:$BO$1006,0))&gt;=100000), " ",IF(INDEX($AN$2:$BO$1001,MATCH(ROWS($AG$2:AG559),$AG$2:$AG$1001,0),MATCH(COLUMNS($AN$1006:AU1006),$AN$1006:$BO$1006,0)), HYPERLINK("#",""), HYPERLINK(CONCATENATE("#Metadata!", ADDRESS(INDEX($AI$2:$AI$1001,MATCH(ROWS($AG$2:AG559),$AG$2:$AG$1001,0),0), INDEX($AN$1004:$BO$1004,1,MATCH(COLUMNS($AN$1006:AU1006),$AN$1006:$BO$1006,0)))),"Fix")))</f>
        <v>0</v>
      </c>
      <c r="J559" s="4">
        <f>IF(OR(INDEX($AH$2:$AH$1001,MATCH(ROWS($AG$2:AG559),$AG$2:$AG$1001,0),1)&gt;=100000,INDEX($AN$1005:$BO$1005,1,MATCH(COLUMNS($AN$1006:AV1006),$AN$1006:$BO$1006,0))&gt;=100000), " ",IF(INDEX($AN$2:$BO$1001,MATCH(ROWS($AG$2:AG559),$AG$2:$AG$1001,0),MATCH(COLUMNS($AN$1006:AV1006),$AN$1006:$BO$1006,0)), HYPERLINK("#",""), HYPERLINK(CONCATENATE("#Metadata!", ADDRESS(INDEX($AI$2:$AI$1001,MATCH(ROWS($AG$2:AG559),$AG$2:$AG$1001,0),0), INDEX($AN$1004:$BO$1004,1,MATCH(COLUMNS($AN$1006:AV1006),$AN$1006:$BO$1006,0)))),"Fix")))</f>
        <v>0</v>
      </c>
      <c r="K559" s="4">
        <f>IF(OR(INDEX($AH$2:$AH$1001,MATCH(ROWS($AG$2:AG559),$AG$2:$AG$1001,0),1)&gt;=100000,INDEX($AN$1005:$BO$1005,1,MATCH(COLUMNS($AN$1006:AW1006),$AN$1006:$BO$1006,0))&gt;=100000), " ",IF(INDEX($AN$2:$BO$1001,MATCH(ROWS($AG$2:AG559),$AG$2:$AG$1001,0),MATCH(COLUMNS($AN$1006:AW1006),$AN$1006:$BO$1006,0)), HYPERLINK("#",""), HYPERLINK(CONCATENATE("#Metadata!", ADDRESS(INDEX($AI$2:$AI$1001,MATCH(ROWS($AG$2:AG559),$AG$2:$AG$1001,0),0), INDEX($AN$1004:$BO$1004,1,MATCH(COLUMNS($AN$1006:AW1006),$AN$1006:$BO$1006,0)))),"Fix")))</f>
        <v>0</v>
      </c>
      <c r="L559" s="4">
        <f>IF(OR(INDEX($AH$2:$AH$1001,MATCH(ROWS($AG$2:AG559),$AG$2:$AG$1001,0),1)&gt;=100000,INDEX($AN$1005:$BO$1005,1,MATCH(COLUMNS($AN$1006:AX1006),$AN$1006:$BO$1006,0))&gt;=100000), " ",IF(INDEX($AN$2:$BO$1001,MATCH(ROWS($AG$2:AG559),$AG$2:$AG$1001,0),MATCH(COLUMNS($AN$1006:AX1006),$AN$1006:$BO$1006,0)), HYPERLINK("#",""), HYPERLINK(CONCATENATE("#Metadata!", ADDRESS(INDEX($AI$2:$AI$1001,MATCH(ROWS($AG$2:AG559),$AG$2:$AG$1001,0),0), INDEX($AN$1004:$BO$1004,1,MATCH(COLUMNS($AN$1006:AX1006),$AN$1006:$BO$1006,0)))),"Fix")))</f>
        <v>0</v>
      </c>
      <c r="M559" s="4">
        <f>IF(OR(INDEX($AH$2:$AH$1001,MATCH(ROWS($AG$2:AG559),$AG$2:$AG$1001,0),1)&gt;=100000,INDEX($AN$1005:$BO$1005,1,MATCH(COLUMNS($AN$1006:AY1006),$AN$1006:$BO$1006,0))&gt;=100000), " ",IF(INDEX($AN$2:$BO$1001,MATCH(ROWS($AG$2:AG559),$AG$2:$AG$1001,0),MATCH(COLUMNS($AN$1006:AY1006),$AN$1006:$BO$1006,0)), HYPERLINK("#",""), HYPERLINK(CONCATENATE("#Metadata!", ADDRESS(INDEX($AI$2:$AI$1001,MATCH(ROWS($AG$2:AG559),$AG$2:$AG$1001,0),0), INDEX($AN$1004:$BO$1004,1,MATCH(COLUMNS($AN$1006:AY1006),$AN$1006:$BO$1006,0)))),"Fix")))</f>
        <v>0</v>
      </c>
      <c r="N559" s="4">
        <f>IF(OR(INDEX($AH$2:$AH$1001,MATCH(ROWS($AG$2:AG559),$AG$2:$AG$1001,0),1)&gt;=100000,INDEX($AN$1005:$BO$1005,1,MATCH(COLUMNS($AN$1006:AZ1006),$AN$1006:$BO$1006,0))&gt;=100000), " ",IF(INDEX($AN$2:$BO$1001,MATCH(ROWS($AG$2:AG559),$AG$2:$AG$1001,0),MATCH(COLUMNS($AN$1006:AZ1006),$AN$1006:$BO$1006,0)), HYPERLINK("#",""), HYPERLINK(CONCATENATE("#Metadata!", ADDRESS(INDEX($AI$2:$AI$1001,MATCH(ROWS($AG$2:AG559),$AG$2:$AG$1001,0),0), INDEX($AN$1004:$BO$1004,1,MATCH(COLUMNS($AN$1006:AZ1006),$AN$1006:$BO$1006,0)))),"Fix")))</f>
        <v>0</v>
      </c>
      <c r="O559" s="4">
        <f>IF(OR(INDEX($AH$2:$AH$1001,MATCH(ROWS($AG$2:AG559),$AG$2:$AG$1001,0),1)&gt;=100000,INDEX($AN$1005:$BO$1005,1,MATCH(COLUMNS($AN$1006:BA1006),$AN$1006:$BO$1006,0))&gt;=100000), " ",IF(INDEX($AN$2:$BO$1001,MATCH(ROWS($AG$2:AG559),$AG$2:$AG$1001,0),MATCH(COLUMNS($AN$1006:BA1006),$AN$1006:$BO$1006,0)), HYPERLINK("#",""), HYPERLINK(CONCATENATE("#Metadata!", ADDRESS(INDEX($AI$2:$AI$1001,MATCH(ROWS($AG$2:AG559),$AG$2:$AG$1001,0),0), INDEX($AN$1004:$BO$1004,1,MATCH(COLUMNS($AN$1006:BA1006),$AN$1006:$BO$1006,0)))),"Fix")))</f>
        <v>0</v>
      </c>
      <c r="P559" s="4">
        <f>IF(OR(INDEX($AH$2:$AH$1001,MATCH(ROWS($AG$2:AG559),$AG$2:$AG$1001,0),1)&gt;=100000,INDEX($AN$1005:$BO$1005,1,MATCH(COLUMNS($AN$1006:BB1006),$AN$1006:$BO$1006,0))&gt;=100000), " ",IF(INDEX($AN$2:$BO$1001,MATCH(ROWS($AG$2:AG559),$AG$2:$AG$1001,0),MATCH(COLUMNS($AN$1006:BB1006),$AN$1006:$BO$1006,0)), HYPERLINK("#",""), HYPERLINK(CONCATENATE("#Metadata!", ADDRESS(INDEX($AI$2:$AI$1001,MATCH(ROWS($AG$2:AG559),$AG$2:$AG$1001,0),0), INDEX($AN$1004:$BO$1004,1,MATCH(COLUMNS($AN$1006:BB1006),$AN$1006:$BO$1006,0)))),"Fix")))</f>
        <v>0</v>
      </c>
      <c r="Q559" s="4">
        <f>IF(OR(INDEX($AH$2:$AH$1001,MATCH(ROWS($AG$2:AG559),$AG$2:$AG$1001,0),1)&gt;=100000,INDEX($AN$1005:$BO$1005,1,MATCH(COLUMNS($AN$1006:BC1006),$AN$1006:$BO$1006,0))&gt;=100000), " ",IF(INDEX($AN$2:$BO$1001,MATCH(ROWS($AG$2:AG559),$AG$2:$AG$1001,0),MATCH(COLUMNS($AN$1006:BC1006),$AN$1006:$BO$1006,0)), HYPERLINK("#",""), HYPERLINK(CONCATENATE("#Metadata!", ADDRESS(INDEX($AI$2:$AI$1001,MATCH(ROWS($AG$2:AG559),$AG$2:$AG$1001,0),0), INDEX($AN$1004:$BO$1004,1,MATCH(COLUMNS($AN$1006:BC1006),$AN$1006:$BO$1006,0)))),"Fix")))</f>
        <v>0</v>
      </c>
      <c r="R559" s="4">
        <f>IF(OR(INDEX($AH$2:$AH$1001,MATCH(ROWS($AG$2:AG559),$AG$2:$AG$1001,0),1)&gt;=100000,INDEX($AN$1005:$BO$1005,1,MATCH(COLUMNS($AN$1006:BD1006),$AN$1006:$BO$1006,0))&gt;=100000), " ",IF(INDEX($AN$2:$BO$1001,MATCH(ROWS($AG$2:AG559),$AG$2:$AG$1001,0),MATCH(COLUMNS($AN$1006:BD1006),$AN$1006:$BO$1006,0)), HYPERLINK("#",""), HYPERLINK(CONCATENATE("#Metadata!", ADDRESS(INDEX($AI$2:$AI$1001,MATCH(ROWS($AG$2:AG559),$AG$2:$AG$1001,0),0), INDEX($AN$1004:$BO$1004,1,MATCH(COLUMNS($AN$1006:BD1006),$AN$1006:$BO$1006,0)))),"Fix")))</f>
        <v>0</v>
      </c>
      <c r="S559" s="4">
        <f>IF(OR(INDEX($AH$2:$AH$1001,MATCH(ROWS($AG$2:AG559),$AG$2:$AG$1001,0),1)&gt;=100000,INDEX($AN$1005:$BO$1005,1,MATCH(COLUMNS($AN$1006:BE1006),$AN$1006:$BO$1006,0))&gt;=100000), " ",IF(INDEX($AN$2:$BO$1001,MATCH(ROWS($AG$2:AG559),$AG$2:$AG$1001,0),MATCH(COLUMNS($AN$1006:BE1006),$AN$1006:$BO$1006,0)), HYPERLINK("#",""), HYPERLINK(CONCATENATE("#Metadata!", ADDRESS(INDEX($AI$2:$AI$1001,MATCH(ROWS($AG$2:AG559),$AG$2:$AG$1001,0),0), INDEX($AN$1004:$BO$1004,1,MATCH(COLUMNS($AN$1006:BE1006),$AN$1006:$BO$1006,0)))),"Fix")))</f>
        <v>0</v>
      </c>
      <c r="T559" s="4">
        <f>IF(OR(INDEX($AH$2:$AH$1001,MATCH(ROWS($AG$2:AG559),$AG$2:$AG$1001,0),1)&gt;=100000,INDEX($AN$1005:$BO$1005,1,MATCH(COLUMNS($AN$1006:BF1006),$AN$1006:$BO$1006,0))&gt;=100000), " ",IF(INDEX($AN$2:$BO$1001,MATCH(ROWS($AG$2:AG559),$AG$2:$AG$1001,0),MATCH(COLUMNS($AN$1006:BF1006),$AN$1006:$BO$1006,0)), HYPERLINK("#",""), HYPERLINK(CONCATENATE("#Metadata!", ADDRESS(INDEX($AI$2:$AI$1001,MATCH(ROWS($AG$2:AG559),$AG$2:$AG$1001,0),0), INDEX($AN$1004:$BO$1004,1,MATCH(COLUMNS($AN$1006:BF1006),$AN$1006:$BO$1006,0)))),"Fix")))</f>
        <v>0</v>
      </c>
      <c r="U559" s="4">
        <f>IF(OR(INDEX($AH$2:$AH$1001,MATCH(ROWS($AG$2:AG559),$AG$2:$AG$1001,0),1)&gt;=100000,INDEX($AN$1005:$BO$1005,1,MATCH(COLUMNS($AN$1006:BG1006),$AN$1006:$BO$1006,0))&gt;=100000), " ",IF(INDEX($AN$2:$BO$1001,MATCH(ROWS($AG$2:AG559),$AG$2:$AG$1001,0),MATCH(COLUMNS($AN$1006:BG1006),$AN$1006:$BO$1006,0)), HYPERLINK("#",""), HYPERLINK(CONCATENATE("#Metadata!", ADDRESS(INDEX($AI$2:$AI$1001,MATCH(ROWS($AG$2:AG559),$AG$2:$AG$1001,0),0), INDEX($AN$1004:$BO$1004,1,MATCH(COLUMNS($AN$1006:BG1006),$AN$1006:$BO$1006,0)))),"Fix")))</f>
        <v>0</v>
      </c>
      <c r="V559" s="4">
        <f>IF(OR(INDEX($AH$2:$AH$1001,MATCH(ROWS($AG$2:AG559),$AG$2:$AG$1001,0),1)&gt;=100000,INDEX($AN$1005:$BO$1005,1,MATCH(COLUMNS($AN$1006:BH1006),$AN$1006:$BO$1006,0))&gt;=100000), " ",IF(INDEX($AN$2:$BO$1001,MATCH(ROWS($AG$2:AG559),$AG$2:$AG$1001,0),MATCH(COLUMNS($AN$1006:BH1006),$AN$1006:$BO$1006,0)), HYPERLINK("#",""), HYPERLINK(CONCATENATE("#Metadata!", ADDRESS(INDEX($AI$2:$AI$1001,MATCH(ROWS($AG$2:AG559),$AG$2:$AG$1001,0),0), INDEX($AN$1004:$BO$1004,1,MATCH(COLUMNS($AN$1006:BH1006),$AN$1006:$BO$1006,0)))),"Fix")))</f>
        <v>0</v>
      </c>
      <c r="W559" s="4">
        <f>IF(OR(INDEX($AH$2:$AH$1001,MATCH(ROWS($AG$2:AG559),$AG$2:$AG$1001,0),1)&gt;=100000,INDEX($AN$1005:$BO$1005,1,MATCH(COLUMNS($AN$1006:BI1006),$AN$1006:$BO$1006,0))&gt;=100000), " ",IF(INDEX($AN$2:$BO$1001,MATCH(ROWS($AG$2:AG559),$AG$2:$AG$1001,0),MATCH(COLUMNS($AN$1006:BI1006),$AN$1006:$BO$1006,0)), HYPERLINK("#",""), HYPERLINK(CONCATENATE("#Metadata!", ADDRESS(INDEX($AI$2:$AI$1001,MATCH(ROWS($AG$2:AG559),$AG$2:$AG$1001,0),0), INDEX($AN$1004:$BO$1004,1,MATCH(COLUMNS($AN$1006:BI1006),$AN$1006:$BO$1006,0)))),"Fix")))</f>
        <v>0</v>
      </c>
      <c r="X559" s="4">
        <f>IF(OR(INDEX($AH$2:$AH$1001,MATCH(ROWS($AG$2:AG559),$AG$2:$AG$1001,0),1)&gt;=100000,INDEX($AN$1005:$BO$1005,1,MATCH(COLUMNS($AN$1006:BJ1006),$AN$1006:$BO$1006,0))&gt;=100000), " ",IF(INDEX($AN$2:$BO$1001,MATCH(ROWS($AG$2:AG559),$AG$2:$AG$1001,0),MATCH(COLUMNS($AN$1006:BJ1006),$AN$1006:$BO$1006,0)), HYPERLINK("#",""), HYPERLINK(CONCATENATE("#Metadata!", ADDRESS(INDEX($AI$2:$AI$1001,MATCH(ROWS($AG$2:AG559),$AG$2:$AG$1001,0),0), INDEX($AN$1004:$BO$1004,1,MATCH(COLUMNS($AN$1006:BJ1006),$AN$1006:$BO$1006,0)))),"Fix")))</f>
        <v>0</v>
      </c>
      <c r="Y559" s="4">
        <f>IF(OR(INDEX($AH$2:$AH$1001,MATCH(ROWS($AG$2:AG559),$AG$2:$AG$1001,0),1)&gt;=100000,INDEX($AN$1005:$BO$1005,1,MATCH(COLUMNS($AN$1006:BK1006),$AN$1006:$BO$1006,0))&gt;=100000), " ",IF(INDEX($AN$2:$BO$1001,MATCH(ROWS($AG$2:AG559),$AG$2:$AG$1001,0),MATCH(COLUMNS($AN$1006:BK1006),$AN$1006:$BO$1006,0)), HYPERLINK("#",""), HYPERLINK(CONCATENATE("#Metadata!", ADDRESS(INDEX($AI$2:$AI$1001,MATCH(ROWS($AG$2:AG559),$AG$2:$AG$1001,0),0), INDEX($AN$1004:$BO$1004,1,MATCH(COLUMNS($AN$1006:BK1006),$AN$1006:$BO$1006,0)))),"Fix")))</f>
        <v>0</v>
      </c>
      <c r="Z559" s="4">
        <f>IF(OR(INDEX($AH$2:$AH$1001,MATCH(ROWS($AG$2:AG559),$AG$2:$AG$1001,0),1)&gt;=100000,INDEX($AN$1005:$BO$1005,1,MATCH(COLUMNS($AN$1006:BL1006),$AN$1006:$BO$1006,0))&gt;=100000), " ",IF(INDEX($AN$2:$BO$1001,MATCH(ROWS($AG$2:AG559),$AG$2:$AG$1001,0),MATCH(COLUMNS($AN$1006:BL1006),$AN$1006:$BO$1006,0)), HYPERLINK("#",""), HYPERLINK(CONCATENATE("#Metadata!", ADDRESS(INDEX($AI$2:$AI$1001,MATCH(ROWS($AG$2:AG559),$AG$2:$AG$1001,0),0), INDEX($AN$1004:$BO$1004,1,MATCH(COLUMNS($AN$1006:BL1006),$AN$1006:$BO$1006,0)))),"Fix")))</f>
        <v>0</v>
      </c>
      <c r="AA559" s="4">
        <f>IF(OR(INDEX($AH$2:$AH$1001,MATCH(ROWS($AG$2:AG559),$AG$2:$AG$1001,0),1)&gt;=100000,INDEX($AN$1005:$BO$1005,1,MATCH(COLUMNS($AN$1006:BM1006),$AN$1006:$BO$1006,0))&gt;=100000), " ",IF(INDEX($AN$2:$BO$1001,MATCH(ROWS($AG$2:AG559),$AG$2:$AG$1001,0),MATCH(COLUMNS($AN$1006:BM1006),$AN$1006:$BO$1006,0)), HYPERLINK("#",""), HYPERLINK(CONCATENATE("#Metadata!", ADDRESS(INDEX($AI$2:$AI$1001,MATCH(ROWS($AG$2:AG559),$AG$2:$AG$1001,0),0), INDEX($AN$1004:$BO$1004,1,MATCH(COLUMNS($AN$1006:BM1006),$AN$1006:$BO$1006,0)))),"Fix")))</f>
        <v>0</v>
      </c>
      <c r="AB559" s="4">
        <f>IF(OR(INDEX($AH$2:$AH$1001,MATCH(ROWS($AG$2:AG559),$AG$2:$AG$1001,0),1)&gt;=100000,INDEX($AN$1005:$BO$1005,1,MATCH(COLUMNS($AN$1006:BN1006),$AN$1006:$BO$1006,0))&gt;=100000), " ",IF(INDEX($AN$2:$BO$1001,MATCH(ROWS($AG$2:AG559),$AG$2:$AG$1001,0),MATCH(COLUMNS($AN$1006:BN1006),$AN$1006:$BO$1006,0)), HYPERLINK("#",""), HYPERLINK(CONCATENATE("#Metadata!", ADDRESS(INDEX($AI$2:$AI$1001,MATCH(ROWS($AG$2:AG559),$AG$2:$AG$1001,0),0), INDEX($AN$1004:$BO$1004,1,MATCH(COLUMNS($AN$1006:BN1006),$AN$1006:$BO$1006,0)))),"Fix")))</f>
        <v>0</v>
      </c>
      <c r="AC559" s="4">
        <f>IF(OR(INDEX($AH$2:$AH$1001,MATCH(ROWS($AG$2:AG559),$AG$2:$AG$1001,0),1)&gt;=100000,INDEX($AN$1005:$BO$1005,1,MATCH(COLUMNS($AN$1006:BO1006),$AN$1006:$BO$1006,0))&gt;=100000), " ",IF(INDEX($AN$2:$BO$1001,MATCH(ROWS($AG$2:AG559),$AG$2:$AG$1001,0),MATCH(COLUMNS($AN$1006:BO1006),$AN$1006:$BO$1006,0)), HYPERLINK("#",""), HYPERLINK(CONCATENATE("#Metadata!", ADDRESS(INDEX($AI$2:$AI$1001,MATCH(ROWS($AG$2:AG559),$AG$2:$AG$1001,0),0), INDEX($AN$1004:$BO$1004,1,MATCH(COLUMNS($AN$1006:BO1006),$AN$1006:$BO$1006,0)))),"Fix")))</f>
        <v>0</v>
      </c>
      <c r="AG559">
        <v>0</v>
      </c>
      <c r="AH559">
        <v>0</v>
      </c>
      <c r="AI559">
        <v>0</v>
      </c>
      <c r="AJ559">
        <f>IF(AK559,TRUE,AND(AN559:BO559))</f>
        <v>0</v>
      </c>
      <c r="AK559">
        <f>COUNTBLANK(Metadata!B559:AC559)=COLUMNS(Metadata!B559:AC559)</f>
        <v>0</v>
      </c>
      <c r="AL559">
        <v>0</v>
      </c>
      <c r="AN559">
        <f>AND(IF(Metadata!B559="",FALSE,TRUE),COUNTIF(Metadata!B:B, Metadata!B559) = 1,NOT(ISERROR(SUMPRODUCT(SEARCH(MID(Metadata!B559,ROW(INDIRECT("1:"&amp;LEN(Metadata!B559))), 1),"0123456789abcdefghijklmnopqrstuvwxyzABCDEFGHIJKLMNOPQRSTUVWXYZ.")))))</f>
        <v>0</v>
      </c>
      <c r="AO559">
        <f>IF(Metadata!C559="",FALSE,TRUE)</f>
        <v>0</v>
      </c>
      <c r="AP559">
        <f>IF(Metadata!D559="",FALSE,TRUE)</f>
        <v>0</v>
      </c>
      <c r="AQ559">
        <f>OR(AND(IF(Metadata!E559="",FALSE,TRUE),OR(exact(Metadata!E559,"not collected"),exact(Metadata!E559,"not provided"),exact(Metadata!E559,"restricted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R559">
        <f>IF(Metadata!F559="",FALSE,TRUE)</f>
        <v>0</v>
      </c>
      <c r="AS559">
        <f>OR(AND(IF(Metadata!G559="",FALSE,TRUE),OR(exact(Metadata!G559,"not collected"),exact(Metadata!G559,"not provided"))),AND(IF(Metadata!G559="",FALSE,TRUE),OR(exact(Metadata!G559,"TRUE"),exact(Metadata!G559,"FALSE"))))</f>
        <v>0</v>
      </c>
      <c r="AT559">
        <f>OR(AND(IF(Metadata!H559="",FALSE,TRUE),OR(exact(Metadata!H559,"not collected"),exact(Metadata!H559,"not provided"),exact(Metadata!H559,"restricted access"))),AND(IF(Metadata!H559="",FALSE,ISNUMBER(VALUE(Metadata!H559))),Metadata!H559&gt;=-413.0))</f>
        <v>0</v>
      </c>
      <c r="AU559">
        <f>AND(IF(Metadata!I559="",FALSE,TRUE),exact(Metadata!I559,"meters"))</f>
        <v>0</v>
      </c>
      <c r="AV559">
        <f>AND(IF(Metadata!J559="",FALSE,TRUE),OR(exact(Metadata!J559,"Host-associated"),exact(Metadata!J559,"Free-living")))</f>
        <v>0</v>
      </c>
      <c r="AW559">
        <f>AND(IF(Metadata!K559="",FALSE,TRUE),OR(exact(Metadata!K559,"Animal"),exact(Metadata!K559,"Fungus"),exact(Metadata!K559,"Plant"),exact(Metadata!K559,"Saline"),exact(Metadata!K559,"Non-saline")))</f>
        <v>0</v>
      </c>
      <c r="AX559">
        <f>AND(IF(Metadata!L559="",FALSE,TRUE),OR(exact(Metadata!L559,"Plant secretion"),exact(Metadata!L559,"Plant rhizosphere"),exact(Metadata!L559,"Plant surface"),exact(Metadata!L559,"Plant corpus"),exact(Metadata!L559,"Fungus surface"),exact(Metadata!L559,"Fungus corpus"),exact(Metadata!L559,"Animal surface"),exact(Metadata!L559,"Animal proximal gut"),exact(Metadata!L559,"Animal corpus"),exact(Metadata!L559,"Animal distal gut"),exact(Metadata!L559,"Animal secretion"),exact(Metadata!L559,"Sub-surface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Y559">
        <f>IF(Metadata!M559="",FALSE,TRUE)</f>
        <v>0</v>
      </c>
      <c r="AZ559">
        <f>IF(Metadata!N559="",FALSE,TRUE)</f>
        <v>0</v>
      </c>
      <c r="BA559">
        <f>IF(Metadata!O559="",FALSE,TRUE)</f>
        <v>0</v>
      </c>
      <c r="BB559">
        <f>OR(AND(IF(Metadata!P559="",FALSE,TRUE),OR(exact(Metadata!P559,"not collected"),exact(Metadata!P559,"not provided"),exact(Metadata!P559,"restricted access"))),AND(IF(Metadata!P559="",FALSE,TRUE),OR(exact(Metadata!P559,"air"),exact(Metadata!P559,"built environment"),exact(Metadata!P559,"host-associated"),exact(Metadata!P559,"human-associated"),exact(Metadata!P559,"human-skin"),exact(Metadata!P559,"human-oral"),exact(Metadata!P559,"human-gut"),exact(Metadata!P559,"human-vaginal"),exact(Metadata!P559,"microbial mat/biofilm"),exact(Metadata!P559,"misc environment"),exact(Metadata!P559,"plant-associated"),exact(Metadata!P559,"sediment"),exact(Metadata!P559,"soil"),exact(Metadata!P559,"wastewater/sludge"),exact(Metadata!P559,"water"))))</f>
        <v>0</v>
      </c>
      <c r="BC559">
        <f>IF(Metadata!Q559="",FALSE,TRUE)</f>
        <v>0</v>
      </c>
      <c r="BD559">
        <f>IF(Metadata!R559="",FALSE,TRUE)</f>
        <v>0</v>
      </c>
      <c r="BE559">
        <f>OR(AND(IF(Metadata!S559="",FALSE,TRUE),OR(exact(Metadata!S559,"not collected"),exact(Metadata!S559,"not provided"),exact(Metadata!S559,"restricted access"))),AND(IF(Metadata!S559="",FALSE,ISNUMBER(VALUE(Metadata!S559))),Metadata!S559&gt;=-90.00,Metadata!S559&lt;=90.00))</f>
        <v>0</v>
      </c>
      <c r="BF559">
        <f>AND(IF(Metadata!T559="",FALSE,TRUE),exact(Metadata!T559,"Decimal degrees"))</f>
        <v>0</v>
      </c>
      <c r="BG559">
        <f>OR(AND(IF(Metadata!U559="",FALSE,TRUE),OR(exact(Metadata!U559,"not collected"),exact(Metadata!U559,"not provided"),exact(Metadata!U559,"restricted access"))),AND(IF(Metadata!U559="",FALSE,ISNUMBER(VALUE(Metadata!U559))),Metadata!U559&gt;=-180.00,Metadata!U559&lt;=180.00))</f>
        <v>0</v>
      </c>
      <c r="BH559">
        <f>AND(IF(Metadata!V559="",FALSE,TRUE),exact(Metadata!V559,"Decimal degrees"))</f>
        <v>0</v>
      </c>
      <c r="BI559">
        <f>IF(Metadata!W559="",FALSE,TRUE)</f>
        <v>0</v>
      </c>
      <c r="BJ559">
        <f>OR(AND(IF(Metadata!X559="",FALSE,TRUE),OR(exact(Metadata!X559,"not collected"),exact(Metadata!X559,"not provided"),exact(Metadata!X559,"restricted access"))),AND(IF(Metadata!X559="",FALSE,TRUE),OR(exact(Metadata!X559,"TRUE"),exact(Metadata!X559,"FALSE"))))</f>
        <v>0</v>
      </c>
      <c r="BK559">
        <f>AND(IF(Metadata!Y559="",FALSE,TRUE),exact(Metadata!Y559,"other"))</f>
        <v>0</v>
      </c>
      <c r="BL559">
        <f>IF(Metadata!Z559="",FALSE,TRUE)</f>
        <v>0</v>
      </c>
      <c r="BM559">
        <f>OR(AND(IF(Metadata!AA559="",FALSE,TRUE),OR(exact(Metadata!AA559,"not collected"),exact(Metadata!AA559,"not provided"))),AND(IF(Metadata!AA559="",FALSE,IF(ISERROR(INT(Metadata!AA559)),FALSE,INT(Metadata!AA559)=Metadata!AA559)),Metadata!AA559&gt;0))</f>
        <v>0</v>
      </c>
      <c r="BN559">
        <f>AND(IF(Metadata!AB559="",FALSE,TRUE),exact(Metadata!AB559,"Not applicable"))</f>
        <v>0</v>
      </c>
      <c r="BO559">
        <f>IF(Metadata!AC559="",FALSE,TRUE)</f>
        <v>0</v>
      </c>
    </row>
    <row r="560" spans="1:67">
      <c r="A560" s="5">
        <f>IF(B560=" "," ",HYPERLINK(CONCATENATE("#metadata!",ADDRESS(INDEX($AI$2:$AI$1001,MATCH(ROWS($AG$2:AG560),$AG$2:$AG$1001,0),0),1)),INDEX($AL$2:$AL$1001,MATCH(ROWS($AG$2:AG560),$AG$2:$AG$1001,0),0)))</f>
        <v>0</v>
      </c>
      <c r="B560" s="4">
        <f>IF(OR(INDEX($AH$2:$AH$1001,MATCH(ROWS($AG$2:AG560),$AG$2:$AG$1001,0),1)&gt;=100000,INDEX($AN$1005:$BO$1005,1,MATCH(COLUMNS($AN$1006:AN1006),$AN$1006:$BO$1006,0))&gt;=100000), " ",IF(INDEX($AN$2:$BO$1001,MATCH(ROWS($AG$2:AG560),$AG$2:$AG$1001,0),MATCH(COLUMNS($AN$1006:AN1006),$AN$1006:$BO$1006,0)), HYPERLINK("#",""), HYPERLINK(CONCATENATE("#Metadata!", ADDRESS(INDEX($AI$2:$AI$1001,MATCH(ROWS($AG$2:AG560),$AG$2:$AG$1001,0),0), INDEX($AN$1004:$BO$1004,1,MATCH(COLUMNS($AN$1006:AN1006),$AN$1006:$BO$1006,0)))),"Fix")))</f>
        <v>0</v>
      </c>
      <c r="C560" s="4">
        <f>IF(OR(INDEX($AH$2:$AH$1001,MATCH(ROWS($AG$2:AG560),$AG$2:$AG$1001,0),1)&gt;=100000,INDEX($AN$1005:$BO$1005,1,MATCH(COLUMNS($AN$1006:AO1006),$AN$1006:$BO$1006,0))&gt;=100000), " ",IF(INDEX($AN$2:$BO$1001,MATCH(ROWS($AG$2:AG560),$AG$2:$AG$1001,0),MATCH(COLUMNS($AN$1006:AO1006),$AN$1006:$BO$1006,0)), HYPERLINK("#",""), HYPERLINK(CONCATENATE("#Metadata!", ADDRESS(INDEX($AI$2:$AI$1001,MATCH(ROWS($AG$2:AG560),$AG$2:$AG$1001,0),0), INDEX($AN$1004:$BO$1004,1,MATCH(COLUMNS($AN$1006:AO1006),$AN$1006:$BO$1006,0)))),"Fix")))</f>
        <v>0</v>
      </c>
      <c r="D560" s="4">
        <f>IF(OR(INDEX($AH$2:$AH$1001,MATCH(ROWS($AG$2:AG560),$AG$2:$AG$1001,0),1)&gt;=100000,INDEX($AN$1005:$BO$1005,1,MATCH(COLUMNS($AN$1006:AP1006),$AN$1006:$BO$1006,0))&gt;=100000), " ",IF(INDEX($AN$2:$BO$1001,MATCH(ROWS($AG$2:AG560),$AG$2:$AG$1001,0),MATCH(COLUMNS($AN$1006:AP1006),$AN$1006:$BO$1006,0)), HYPERLINK("#",""), HYPERLINK(CONCATENATE("#Metadata!", ADDRESS(INDEX($AI$2:$AI$1001,MATCH(ROWS($AG$2:AG560),$AG$2:$AG$1001,0),0), INDEX($AN$1004:$BO$1004,1,MATCH(COLUMNS($AN$1006:AP1006),$AN$1006:$BO$1006,0)))),"Fix")))</f>
        <v>0</v>
      </c>
      <c r="E560" s="4">
        <f>IF(OR(INDEX($AH$2:$AH$1001,MATCH(ROWS($AG$2:AG560),$AG$2:$AG$1001,0),1)&gt;=100000,INDEX($AN$1005:$BO$1005,1,MATCH(COLUMNS($AN$1006:AQ1006),$AN$1006:$BO$1006,0))&gt;=100000), " ",IF(INDEX($AN$2:$BO$1001,MATCH(ROWS($AG$2:AG560),$AG$2:$AG$1001,0),MATCH(COLUMNS($AN$1006:AQ1006),$AN$1006:$BO$1006,0)), HYPERLINK("#",""), HYPERLINK(CONCATENATE("#Metadata!", ADDRESS(INDEX($AI$2:$AI$1001,MATCH(ROWS($AG$2:AG560),$AG$2:$AG$1001,0),0), INDEX($AN$1004:$BO$1004,1,MATCH(COLUMNS($AN$1006:AQ1006),$AN$1006:$BO$1006,0)))),"Fix")))</f>
        <v>0</v>
      </c>
      <c r="F560" s="4">
        <f>IF(OR(INDEX($AH$2:$AH$1001,MATCH(ROWS($AG$2:AG560),$AG$2:$AG$1001,0),1)&gt;=100000,INDEX($AN$1005:$BO$1005,1,MATCH(COLUMNS($AN$1006:AR1006),$AN$1006:$BO$1006,0))&gt;=100000), " ",IF(INDEX($AN$2:$BO$1001,MATCH(ROWS($AG$2:AG560),$AG$2:$AG$1001,0),MATCH(COLUMNS($AN$1006:AR1006),$AN$1006:$BO$1006,0)), HYPERLINK("#",""), HYPERLINK(CONCATENATE("#Metadata!", ADDRESS(INDEX($AI$2:$AI$1001,MATCH(ROWS($AG$2:AG560),$AG$2:$AG$1001,0),0), INDEX($AN$1004:$BO$1004,1,MATCH(COLUMNS($AN$1006:AR1006),$AN$1006:$BO$1006,0)))),"Fix")))</f>
        <v>0</v>
      </c>
      <c r="G560" s="4">
        <f>IF(OR(INDEX($AH$2:$AH$1001,MATCH(ROWS($AG$2:AG560),$AG$2:$AG$1001,0),1)&gt;=100000,INDEX($AN$1005:$BO$1005,1,MATCH(COLUMNS($AN$1006:AS1006),$AN$1006:$BO$1006,0))&gt;=100000), " ",IF(INDEX($AN$2:$BO$1001,MATCH(ROWS($AG$2:AG560),$AG$2:$AG$1001,0),MATCH(COLUMNS($AN$1006:AS1006),$AN$1006:$BO$1006,0)), HYPERLINK("#",""), HYPERLINK(CONCATENATE("#Metadata!", ADDRESS(INDEX($AI$2:$AI$1001,MATCH(ROWS($AG$2:AG560),$AG$2:$AG$1001,0),0), INDEX($AN$1004:$BO$1004,1,MATCH(COLUMNS($AN$1006:AS1006),$AN$1006:$BO$1006,0)))),"Fix")))</f>
        <v>0</v>
      </c>
      <c r="H560" s="4">
        <f>IF(OR(INDEX($AH$2:$AH$1001,MATCH(ROWS($AG$2:AG560),$AG$2:$AG$1001,0),1)&gt;=100000,INDEX($AN$1005:$BO$1005,1,MATCH(COLUMNS($AN$1006:AT1006),$AN$1006:$BO$1006,0))&gt;=100000), " ",IF(INDEX($AN$2:$BO$1001,MATCH(ROWS($AG$2:AG560),$AG$2:$AG$1001,0),MATCH(COLUMNS($AN$1006:AT1006),$AN$1006:$BO$1006,0)), HYPERLINK("#",""), HYPERLINK(CONCATENATE("#Metadata!", ADDRESS(INDEX($AI$2:$AI$1001,MATCH(ROWS($AG$2:AG560),$AG$2:$AG$1001,0),0), INDEX($AN$1004:$BO$1004,1,MATCH(COLUMNS($AN$1006:AT1006),$AN$1006:$BO$1006,0)))),"Fix")))</f>
        <v>0</v>
      </c>
      <c r="I560" s="4">
        <f>IF(OR(INDEX($AH$2:$AH$1001,MATCH(ROWS($AG$2:AG560),$AG$2:$AG$1001,0),1)&gt;=100000,INDEX($AN$1005:$BO$1005,1,MATCH(COLUMNS($AN$1006:AU1006),$AN$1006:$BO$1006,0))&gt;=100000), " ",IF(INDEX($AN$2:$BO$1001,MATCH(ROWS($AG$2:AG560),$AG$2:$AG$1001,0),MATCH(COLUMNS($AN$1006:AU1006),$AN$1006:$BO$1006,0)), HYPERLINK("#",""), HYPERLINK(CONCATENATE("#Metadata!", ADDRESS(INDEX($AI$2:$AI$1001,MATCH(ROWS($AG$2:AG560),$AG$2:$AG$1001,0),0), INDEX($AN$1004:$BO$1004,1,MATCH(COLUMNS($AN$1006:AU1006),$AN$1006:$BO$1006,0)))),"Fix")))</f>
        <v>0</v>
      </c>
      <c r="J560" s="4">
        <f>IF(OR(INDEX($AH$2:$AH$1001,MATCH(ROWS($AG$2:AG560),$AG$2:$AG$1001,0),1)&gt;=100000,INDEX($AN$1005:$BO$1005,1,MATCH(COLUMNS($AN$1006:AV1006),$AN$1006:$BO$1006,0))&gt;=100000), " ",IF(INDEX($AN$2:$BO$1001,MATCH(ROWS($AG$2:AG560),$AG$2:$AG$1001,0),MATCH(COLUMNS($AN$1006:AV1006),$AN$1006:$BO$1006,0)), HYPERLINK("#",""), HYPERLINK(CONCATENATE("#Metadata!", ADDRESS(INDEX($AI$2:$AI$1001,MATCH(ROWS($AG$2:AG560),$AG$2:$AG$1001,0),0), INDEX($AN$1004:$BO$1004,1,MATCH(COLUMNS($AN$1006:AV1006),$AN$1006:$BO$1006,0)))),"Fix")))</f>
        <v>0</v>
      </c>
      <c r="K560" s="4">
        <f>IF(OR(INDEX($AH$2:$AH$1001,MATCH(ROWS($AG$2:AG560),$AG$2:$AG$1001,0),1)&gt;=100000,INDEX($AN$1005:$BO$1005,1,MATCH(COLUMNS($AN$1006:AW1006),$AN$1006:$BO$1006,0))&gt;=100000), " ",IF(INDEX($AN$2:$BO$1001,MATCH(ROWS($AG$2:AG560),$AG$2:$AG$1001,0),MATCH(COLUMNS($AN$1006:AW1006),$AN$1006:$BO$1006,0)), HYPERLINK("#",""), HYPERLINK(CONCATENATE("#Metadata!", ADDRESS(INDEX($AI$2:$AI$1001,MATCH(ROWS($AG$2:AG560),$AG$2:$AG$1001,0),0), INDEX($AN$1004:$BO$1004,1,MATCH(COLUMNS($AN$1006:AW1006),$AN$1006:$BO$1006,0)))),"Fix")))</f>
        <v>0</v>
      </c>
      <c r="L560" s="4">
        <f>IF(OR(INDEX($AH$2:$AH$1001,MATCH(ROWS($AG$2:AG560),$AG$2:$AG$1001,0),1)&gt;=100000,INDEX($AN$1005:$BO$1005,1,MATCH(COLUMNS($AN$1006:AX1006),$AN$1006:$BO$1006,0))&gt;=100000), " ",IF(INDEX($AN$2:$BO$1001,MATCH(ROWS($AG$2:AG560),$AG$2:$AG$1001,0),MATCH(COLUMNS($AN$1006:AX1006),$AN$1006:$BO$1006,0)), HYPERLINK("#",""), HYPERLINK(CONCATENATE("#Metadata!", ADDRESS(INDEX($AI$2:$AI$1001,MATCH(ROWS($AG$2:AG560),$AG$2:$AG$1001,0),0), INDEX($AN$1004:$BO$1004,1,MATCH(COLUMNS($AN$1006:AX1006),$AN$1006:$BO$1006,0)))),"Fix")))</f>
        <v>0</v>
      </c>
      <c r="M560" s="4">
        <f>IF(OR(INDEX($AH$2:$AH$1001,MATCH(ROWS($AG$2:AG560),$AG$2:$AG$1001,0),1)&gt;=100000,INDEX($AN$1005:$BO$1005,1,MATCH(COLUMNS($AN$1006:AY1006),$AN$1006:$BO$1006,0))&gt;=100000), " ",IF(INDEX($AN$2:$BO$1001,MATCH(ROWS($AG$2:AG560),$AG$2:$AG$1001,0),MATCH(COLUMNS($AN$1006:AY1006),$AN$1006:$BO$1006,0)), HYPERLINK("#",""), HYPERLINK(CONCATENATE("#Metadata!", ADDRESS(INDEX($AI$2:$AI$1001,MATCH(ROWS($AG$2:AG560),$AG$2:$AG$1001,0),0), INDEX($AN$1004:$BO$1004,1,MATCH(COLUMNS($AN$1006:AY1006),$AN$1006:$BO$1006,0)))),"Fix")))</f>
        <v>0</v>
      </c>
      <c r="N560" s="4">
        <f>IF(OR(INDEX($AH$2:$AH$1001,MATCH(ROWS($AG$2:AG560),$AG$2:$AG$1001,0),1)&gt;=100000,INDEX($AN$1005:$BO$1005,1,MATCH(COLUMNS($AN$1006:AZ1006),$AN$1006:$BO$1006,0))&gt;=100000), " ",IF(INDEX($AN$2:$BO$1001,MATCH(ROWS($AG$2:AG560),$AG$2:$AG$1001,0),MATCH(COLUMNS($AN$1006:AZ1006),$AN$1006:$BO$1006,0)), HYPERLINK("#",""), HYPERLINK(CONCATENATE("#Metadata!", ADDRESS(INDEX($AI$2:$AI$1001,MATCH(ROWS($AG$2:AG560),$AG$2:$AG$1001,0),0), INDEX($AN$1004:$BO$1004,1,MATCH(COLUMNS($AN$1006:AZ1006),$AN$1006:$BO$1006,0)))),"Fix")))</f>
        <v>0</v>
      </c>
      <c r="O560" s="4">
        <f>IF(OR(INDEX($AH$2:$AH$1001,MATCH(ROWS($AG$2:AG560),$AG$2:$AG$1001,0),1)&gt;=100000,INDEX($AN$1005:$BO$1005,1,MATCH(COLUMNS($AN$1006:BA1006),$AN$1006:$BO$1006,0))&gt;=100000), " ",IF(INDEX($AN$2:$BO$1001,MATCH(ROWS($AG$2:AG560),$AG$2:$AG$1001,0),MATCH(COLUMNS($AN$1006:BA1006),$AN$1006:$BO$1006,0)), HYPERLINK("#",""), HYPERLINK(CONCATENATE("#Metadata!", ADDRESS(INDEX($AI$2:$AI$1001,MATCH(ROWS($AG$2:AG560),$AG$2:$AG$1001,0),0), INDEX($AN$1004:$BO$1004,1,MATCH(COLUMNS($AN$1006:BA1006),$AN$1006:$BO$1006,0)))),"Fix")))</f>
        <v>0</v>
      </c>
      <c r="P560" s="4">
        <f>IF(OR(INDEX($AH$2:$AH$1001,MATCH(ROWS($AG$2:AG560),$AG$2:$AG$1001,0),1)&gt;=100000,INDEX($AN$1005:$BO$1005,1,MATCH(COLUMNS($AN$1006:BB1006),$AN$1006:$BO$1006,0))&gt;=100000), " ",IF(INDEX($AN$2:$BO$1001,MATCH(ROWS($AG$2:AG560),$AG$2:$AG$1001,0),MATCH(COLUMNS($AN$1006:BB1006),$AN$1006:$BO$1006,0)), HYPERLINK("#",""), HYPERLINK(CONCATENATE("#Metadata!", ADDRESS(INDEX($AI$2:$AI$1001,MATCH(ROWS($AG$2:AG560),$AG$2:$AG$1001,0),0), INDEX($AN$1004:$BO$1004,1,MATCH(COLUMNS($AN$1006:BB1006),$AN$1006:$BO$1006,0)))),"Fix")))</f>
        <v>0</v>
      </c>
      <c r="Q560" s="4">
        <f>IF(OR(INDEX($AH$2:$AH$1001,MATCH(ROWS($AG$2:AG560),$AG$2:$AG$1001,0),1)&gt;=100000,INDEX($AN$1005:$BO$1005,1,MATCH(COLUMNS($AN$1006:BC1006),$AN$1006:$BO$1006,0))&gt;=100000), " ",IF(INDEX($AN$2:$BO$1001,MATCH(ROWS($AG$2:AG560),$AG$2:$AG$1001,0),MATCH(COLUMNS($AN$1006:BC1006),$AN$1006:$BO$1006,0)), HYPERLINK("#",""), HYPERLINK(CONCATENATE("#Metadata!", ADDRESS(INDEX($AI$2:$AI$1001,MATCH(ROWS($AG$2:AG560),$AG$2:$AG$1001,0),0), INDEX($AN$1004:$BO$1004,1,MATCH(COLUMNS($AN$1006:BC1006),$AN$1006:$BO$1006,0)))),"Fix")))</f>
        <v>0</v>
      </c>
      <c r="R560" s="4">
        <f>IF(OR(INDEX($AH$2:$AH$1001,MATCH(ROWS($AG$2:AG560),$AG$2:$AG$1001,0),1)&gt;=100000,INDEX($AN$1005:$BO$1005,1,MATCH(COLUMNS($AN$1006:BD1006),$AN$1006:$BO$1006,0))&gt;=100000), " ",IF(INDEX($AN$2:$BO$1001,MATCH(ROWS($AG$2:AG560),$AG$2:$AG$1001,0),MATCH(COLUMNS($AN$1006:BD1006),$AN$1006:$BO$1006,0)), HYPERLINK("#",""), HYPERLINK(CONCATENATE("#Metadata!", ADDRESS(INDEX($AI$2:$AI$1001,MATCH(ROWS($AG$2:AG560),$AG$2:$AG$1001,0),0), INDEX($AN$1004:$BO$1004,1,MATCH(COLUMNS($AN$1006:BD1006),$AN$1006:$BO$1006,0)))),"Fix")))</f>
        <v>0</v>
      </c>
      <c r="S560" s="4">
        <f>IF(OR(INDEX($AH$2:$AH$1001,MATCH(ROWS($AG$2:AG560),$AG$2:$AG$1001,0),1)&gt;=100000,INDEX($AN$1005:$BO$1005,1,MATCH(COLUMNS($AN$1006:BE1006),$AN$1006:$BO$1006,0))&gt;=100000), " ",IF(INDEX($AN$2:$BO$1001,MATCH(ROWS($AG$2:AG560),$AG$2:$AG$1001,0),MATCH(COLUMNS($AN$1006:BE1006),$AN$1006:$BO$1006,0)), HYPERLINK("#",""), HYPERLINK(CONCATENATE("#Metadata!", ADDRESS(INDEX($AI$2:$AI$1001,MATCH(ROWS($AG$2:AG560),$AG$2:$AG$1001,0),0), INDEX($AN$1004:$BO$1004,1,MATCH(COLUMNS($AN$1006:BE1006),$AN$1006:$BO$1006,0)))),"Fix")))</f>
        <v>0</v>
      </c>
      <c r="T560" s="4">
        <f>IF(OR(INDEX($AH$2:$AH$1001,MATCH(ROWS($AG$2:AG560),$AG$2:$AG$1001,0),1)&gt;=100000,INDEX($AN$1005:$BO$1005,1,MATCH(COLUMNS($AN$1006:BF1006),$AN$1006:$BO$1006,0))&gt;=100000), " ",IF(INDEX($AN$2:$BO$1001,MATCH(ROWS($AG$2:AG560),$AG$2:$AG$1001,0),MATCH(COLUMNS($AN$1006:BF1006),$AN$1006:$BO$1006,0)), HYPERLINK("#",""), HYPERLINK(CONCATENATE("#Metadata!", ADDRESS(INDEX($AI$2:$AI$1001,MATCH(ROWS($AG$2:AG560),$AG$2:$AG$1001,0),0), INDEX($AN$1004:$BO$1004,1,MATCH(COLUMNS($AN$1006:BF1006),$AN$1006:$BO$1006,0)))),"Fix")))</f>
        <v>0</v>
      </c>
      <c r="U560" s="4">
        <f>IF(OR(INDEX($AH$2:$AH$1001,MATCH(ROWS($AG$2:AG560),$AG$2:$AG$1001,0),1)&gt;=100000,INDEX($AN$1005:$BO$1005,1,MATCH(COLUMNS($AN$1006:BG1006),$AN$1006:$BO$1006,0))&gt;=100000), " ",IF(INDEX($AN$2:$BO$1001,MATCH(ROWS($AG$2:AG560),$AG$2:$AG$1001,0),MATCH(COLUMNS($AN$1006:BG1006),$AN$1006:$BO$1006,0)), HYPERLINK("#",""), HYPERLINK(CONCATENATE("#Metadata!", ADDRESS(INDEX($AI$2:$AI$1001,MATCH(ROWS($AG$2:AG560),$AG$2:$AG$1001,0),0), INDEX($AN$1004:$BO$1004,1,MATCH(COLUMNS($AN$1006:BG1006),$AN$1006:$BO$1006,0)))),"Fix")))</f>
        <v>0</v>
      </c>
      <c r="V560" s="4">
        <f>IF(OR(INDEX($AH$2:$AH$1001,MATCH(ROWS($AG$2:AG560),$AG$2:$AG$1001,0),1)&gt;=100000,INDEX($AN$1005:$BO$1005,1,MATCH(COLUMNS($AN$1006:BH1006),$AN$1006:$BO$1006,0))&gt;=100000), " ",IF(INDEX($AN$2:$BO$1001,MATCH(ROWS($AG$2:AG560),$AG$2:$AG$1001,0),MATCH(COLUMNS($AN$1006:BH1006),$AN$1006:$BO$1006,0)), HYPERLINK("#",""), HYPERLINK(CONCATENATE("#Metadata!", ADDRESS(INDEX($AI$2:$AI$1001,MATCH(ROWS($AG$2:AG560),$AG$2:$AG$1001,0),0), INDEX($AN$1004:$BO$1004,1,MATCH(COLUMNS($AN$1006:BH1006),$AN$1006:$BO$1006,0)))),"Fix")))</f>
        <v>0</v>
      </c>
      <c r="W560" s="4">
        <f>IF(OR(INDEX($AH$2:$AH$1001,MATCH(ROWS($AG$2:AG560),$AG$2:$AG$1001,0),1)&gt;=100000,INDEX($AN$1005:$BO$1005,1,MATCH(COLUMNS($AN$1006:BI1006),$AN$1006:$BO$1006,0))&gt;=100000), " ",IF(INDEX($AN$2:$BO$1001,MATCH(ROWS($AG$2:AG560),$AG$2:$AG$1001,0),MATCH(COLUMNS($AN$1006:BI1006),$AN$1006:$BO$1006,0)), HYPERLINK("#",""), HYPERLINK(CONCATENATE("#Metadata!", ADDRESS(INDEX($AI$2:$AI$1001,MATCH(ROWS($AG$2:AG560),$AG$2:$AG$1001,0),0), INDEX($AN$1004:$BO$1004,1,MATCH(COLUMNS($AN$1006:BI1006),$AN$1006:$BO$1006,0)))),"Fix")))</f>
        <v>0</v>
      </c>
      <c r="X560" s="4">
        <f>IF(OR(INDEX($AH$2:$AH$1001,MATCH(ROWS($AG$2:AG560),$AG$2:$AG$1001,0),1)&gt;=100000,INDEX($AN$1005:$BO$1005,1,MATCH(COLUMNS($AN$1006:BJ1006),$AN$1006:$BO$1006,0))&gt;=100000), " ",IF(INDEX($AN$2:$BO$1001,MATCH(ROWS($AG$2:AG560),$AG$2:$AG$1001,0),MATCH(COLUMNS($AN$1006:BJ1006),$AN$1006:$BO$1006,0)), HYPERLINK("#",""), HYPERLINK(CONCATENATE("#Metadata!", ADDRESS(INDEX($AI$2:$AI$1001,MATCH(ROWS($AG$2:AG560),$AG$2:$AG$1001,0),0), INDEX($AN$1004:$BO$1004,1,MATCH(COLUMNS($AN$1006:BJ1006),$AN$1006:$BO$1006,0)))),"Fix")))</f>
        <v>0</v>
      </c>
      <c r="Y560" s="4">
        <f>IF(OR(INDEX($AH$2:$AH$1001,MATCH(ROWS($AG$2:AG560),$AG$2:$AG$1001,0),1)&gt;=100000,INDEX($AN$1005:$BO$1005,1,MATCH(COLUMNS($AN$1006:BK1006),$AN$1006:$BO$1006,0))&gt;=100000), " ",IF(INDEX($AN$2:$BO$1001,MATCH(ROWS($AG$2:AG560),$AG$2:$AG$1001,0),MATCH(COLUMNS($AN$1006:BK1006),$AN$1006:$BO$1006,0)), HYPERLINK("#",""), HYPERLINK(CONCATENATE("#Metadata!", ADDRESS(INDEX($AI$2:$AI$1001,MATCH(ROWS($AG$2:AG560),$AG$2:$AG$1001,0),0), INDEX($AN$1004:$BO$1004,1,MATCH(COLUMNS($AN$1006:BK1006),$AN$1006:$BO$1006,0)))),"Fix")))</f>
        <v>0</v>
      </c>
      <c r="Z560" s="4">
        <f>IF(OR(INDEX($AH$2:$AH$1001,MATCH(ROWS($AG$2:AG560),$AG$2:$AG$1001,0),1)&gt;=100000,INDEX($AN$1005:$BO$1005,1,MATCH(COLUMNS($AN$1006:BL1006),$AN$1006:$BO$1006,0))&gt;=100000), " ",IF(INDEX($AN$2:$BO$1001,MATCH(ROWS($AG$2:AG560),$AG$2:$AG$1001,0),MATCH(COLUMNS($AN$1006:BL1006),$AN$1006:$BO$1006,0)), HYPERLINK("#",""), HYPERLINK(CONCATENATE("#Metadata!", ADDRESS(INDEX($AI$2:$AI$1001,MATCH(ROWS($AG$2:AG560),$AG$2:$AG$1001,0),0), INDEX($AN$1004:$BO$1004,1,MATCH(COLUMNS($AN$1006:BL1006),$AN$1006:$BO$1006,0)))),"Fix")))</f>
        <v>0</v>
      </c>
      <c r="AA560" s="4">
        <f>IF(OR(INDEX($AH$2:$AH$1001,MATCH(ROWS($AG$2:AG560),$AG$2:$AG$1001,0),1)&gt;=100000,INDEX($AN$1005:$BO$1005,1,MATCH(COLUMNS($AN$1006:BM1006),$AN$1006:$BO$1006,0))&gt;=100000), " ",IF(INDEX($AN$2:$BO$1001,MATCH(ROWS($AG$2:AG560),$AG$2:$AG$1001,0),MATCH(COLUMNS($AN$1006:BM1006),$AN$1006:$BO$1006,0)), HYPERLINK("#",""), HYPERLINK(CONCATENATE("#Metadata!", ADDRESS(INDEX($AI$2:$AI$1001,MATCH(ROWS($AG$2:AG560),$AG$2:$AG$1001,0),0), INDEX($AN$1004:$BO$1004,1,MATCH(COLUMNS($AN$1006:BM1006),$AN$1006:$BO$1006,0)))),"Fix")))</f>
        <v>0</v>
      </c>
      <c r="AB560" s="4">
        <f>IF(OR(INDEX($AH$2:$AH$1001,MATCH(ROWS($AG$2:AG560),$AG$2:$AG$1001,0),1)&gt;=100000,INDEX($AN$1005:$BO$1005,1,MATCH(COLUMNS($AN$1006:BN1006),$AN$1006:$BO$1006,0))&gt;=100000), " ",IF(INDEX($AN$2:$BO$1001,MATCH(ROWS($AG$2:AG560),$AG$2:$AG$1001,0),MATCH(COLUMNS($AN$1006:BN1006),$AN$1006:$BO$1006,0)), HYPERLINK("#",""), HYPERLINK(CONCATENATE("#Metadata!", ADDRESS(INDEX($AI$2:$AI$1001,MATCH(ROWS($AG$2:AG560),$AG$2:$AG$1001,0),0), INDEX($AN$1004:$BO$1004,1,MATCH(COLUMNS($AN$1006:BN1006),$AN$1006:$BO$1006,0)))),"Fix")))</f>
        <v>0</v>
      </c>
      <c r="AC560" s="4">
        <f>IF(OR(INDEX($AH$2:$AH$1001,MATCH(ROWS($AG$2:AG560),$AG$2:$AG$1001,0),1)&gt;=100000,INDEX($AN$1005:$BO$1005,1,MATCH(COLUMNS($AN$1006:BO1006),$AN$1006:$BO$1006,0))&gt;=100000), " ",IF(INDEX($AN$2:$BO$1001,MATCH(ROWS($AG$2:AG560),$AG$2:$AG$1001,0),MATCH(COLUMNS($AN$1006:BO1006),$AN$1006:$BO$1006,0)), HYPERLINK("#",""), HYPERLINK(CONCATENATE("#Metadata!", ADDRESS(INDEX($AI$2:$AI$1001,MATCH(ROWS($AG$2:AG560),$AG$2:$AG$1001,0),0), INDEX($AN$1004:$BO$1004,1,MATCH(COLUMNS($AN$1006:BO1006),$AN$1006:$BO$1006,0)))),"Fix")))</f>
        <v>0</v>
      </c>
      <c r="AG560">
        <v>0</v>
      </c>
      <c r="AH560">
        <v>0</v>
      </c>
      <c r="AI560">
        <v>0</v>
      </c>
      <c r="AJ560">
        <f>IF(AK560,TRUE,AND(AN560:BO560))</f>
        <v>0</v>
      </c>
      <c r="AK560">
        <f>COUNTBLANK(Metadata!B560:AC560)=COLUMNS(Metadata!B560:AC560)</f>
        <v>0</v>
      </c>
      <c r="AL560">
        <v>0</v>
      </c>
      <c r="AN560">
        <f>AND(IF(Metadata!B560="",FALSE,TRUE),COUNTIF(Metadata!B:B, Metadata!B560) = 1,NOT(ISERROR(SUMPRODUCT(SEARCH(MID(Metadata!B560,ROW(INDIRECT("1:"&amp;LEN(Metadata!B560))), 1),"0123456789abcdefghijklmnopqrstuvwxyzABCDEFGHIJKLMNOPQRSTUVWXYZ.")))))</f>
        <v>0</v>
      </c>
      <c r="AO560">
        <f>IF(Metadata!C560="",FALSE,TRUE)</f>
        <v>0</v>
      </c>
      <c r="AP560">
        <f>IF(Metadata!D560="",FALSE,TRUE)</f>
        <v>0</v>
      </c>
      <c r="AQ560">
        <f>OR(AND(IF(Metadata!E560="",FALSE,TRUE),OR(exact(Metadata!E560,"not collected"),exact(Metadata!E560,"not provided"),exact(Metadata!E560,"restricted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R560">
        <f>IF(Metadata!F560="",FALSE,TRUE)</f>
        <v>0</v>
      </c>
      <c r="AS560">
        <f>OR(AND(IF(Metadata!G560="",FALSE,TRUE),OR(exact(Metadata!G560,"not collected"),exact(Metadata!G560,"not provided"))),AND(IF(Metadata!G560="",FALSE,TRUE),OR(exact(Metadata!G560,"TRUE"),exact(Metadata!G560,"FALSE"))))</f>
        <v>0</v>
      </c>
      <c r="AT560">
        <f>OR(AND(IF(Metadata!H560="",FALSE,TRUE),OR(exact(Metadata!H560,"not collected"),exact(Metadata!H560,"not provided"),exact(Metadata!H560,"restricted access"))),AND(IF(Metadata!H560="",FALSE,ISNUMBER(VALUE(Metadata!H560))),Metadata!H560&gt;=-413.0))</f>
        <v>0</v>
      </c>
      <c r="AU560">
        <f>AND(IF(Metadata!I560="",FALSE,TRUE),exact(Metadata!I560,"meters"))</f>
        <v>0</v>
      </c>
      <c r="AV560">
        <f>AND(IF(Metadata!J560="",FALSE,TRUE),OR(exact(Metadata!J560,"Host-associated"),exact(Metadata!J560,"Free-living")))</f>
        <v>0</v>
      </c>
      <c r="AW560">
        <f>AND(IF(Metadata!K560="",FALSE,TRUE),OR(exact(Metadata!K560,"Animal"),exact(Metadata!K560,"Fungus"),exact(Metadata!K560,"Plant"),exact(Metadata!K560,"Saline"),exact(Metadata!K560,"Non-saline")))</f>
        <v>0</v>
      </c>
      <c r="AX560">
        <f>AND(IF(Metadata!L560="",FALSE,TRUE),OR(exact(Metadata!L560,"Plant secretion"),exact(Metadata!L560,"Plant rhizosphere"),exact(Metadata!L560,"Plant surface"),exact(Metadata!L560,"Plant corpus"),exact(Metadata!L560,"Fungus surface"),exact(Metadata!L560,"Fungus corpus"),exact(Metadata!L560,"Animal surface"),exact(Metadata!L560,"Animal proximal gut"),exact(Metadata!L560,"Animal corpus"),exact(Metadata!L560,"Animal distal gut"),exact(Metadata!L560,"Animal secretion"),exact(Metadata!L560,"Sub-surface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Y560">
        <f>IF(Metadata!M560="",FALSE,TRUE)</f>
        <v>0</v>
      </c>
      <c r="AZ560">
        <f>IF(Metadata!N560="",FALSE,TRUE)</f>
        <v>0</v>
      </c>
      <c r="BA560">
        <f>IF(Metadata!O560="",FALSE,TRUE)</f>
        <v>0</v>
      </c>
      <c r="BB560">
        <f>OR(AND(IF(Metadata!P560="",FALSE,TRUE),OR(exact(Metadata!P560,"not collected"),exact(Metadata!P560,"not provided"),exact(Metadata!P560,"restricted access"))),AND(IF(Metadata!P560="",FALSE,TRUE),OR(exact(Metadata!P560,"air"),exact(Metadata!P560,"built environment"),exact(Metadata!P560,"host-associated"),exact(Metadata!P560,"human-associated"),exact(Metadata!P560,"human-skin"),exact(Metadata!P560,"human-oral"),exact(Metadata!P560,"human-gut"),exact(Metadata!P560,"human-vaginal"),exact(Metadata!P560,"microbial mat/biofilm"),exact(Metadata!P560,"misc environment"),exact(Metadata!P560,"plant-associated"),exact(Metadata!P560,"sediment"),exact(Metadata!P560,"soil"),exact(Metadata!P560,"wastewater/sludge"),exact(Metadata!P560,"water"))))</f>
        <v>0</v>
      </c>
      <c r="BC560">
        <f>IF(Metadata!Q560="",FALSE,TRUE)</f>
        <v>0</v>
      </c>
      <c r="BD560">
        <f>IF(Metadata!R560="",FALSE,TRUE)</f>
        <v>0</v>
      </c>
      <c r="BE560">
        <f>OR(AND(IF(Metadata!S560="",FALSE,TRUE),OR(exact(Metadata!S560,"not collected"),exact(Metadata!S560,"not provided"),exact(Metadata!S560,"restricted access"))),AND(IF(Metadata!S560="",FALSE,ISNUMBER(VALUE(Metadata!S560))),Metadata!S560&gt;=-90.00,Metadata!S560&lt;=90.00))</f>
        <v>0</v>
      </c>
      <c r="BF560">
        <f>AND(IF(Metadata!T560="",FALSE,TRUE),exact(Metadata!T560,"Decimal degrees"))</f>
        <v>0</v>
      </c>
      <c r="BG560">
        <f>OR(AND(IF(Metadata!U560="",FALSE,TRUE),OR(exact(Metadata!U560,"not collected"),exact(Metadata!U560,"not provided"),exact(Metadata!U560,"restricted access"))),AND(IF(Metadata!U560="",FALSE,ISNUMBER(VALUE(Metadata!U560))),Metadata!U560&gt;=-180.00,Metadata!U560&lt;=180.00))</f>
        <v>0</v>
      </c>
      <c r="BH560">
        <f>AND(IF(Metadata!V560="",FALSE,TRUE),exact(Metadata!V560,"Decimal degrees"))</f>
        <v>0</v>
      </c>
      <c r="BI560">
        <f>IF(Metadata!W560="",FALSE,TRUE)</f>
        <v>0</v>
      </c>
      <c r="BJ560">
        <f>OR(AND(IF(Metadata!X560="",FALSE,TRUE),OR(exact(Metadata!X560,"not collected"),exact(Metadata!X560,"not provided"),exact(Metadata!X560,"restricted access"))),AND(IF(Metadata!X560="",FALSE,TRUE),OR(exact(Metadata!X560,"TRUE"),exact(Metadata!X560,"FALSE"))))</f>
        <v>0</v>
      </c>
      <c r="BK560">
        <f>AND(IF(Metadata!Y560="",FALSE,TRUE),exact(Metadata!Y560,"other"))</f>
        <v>0</v>
      </c>
      <c r="BL560">
        <f>IF(Metadata!Z560="",FALSE,TRUE)</f>
        <v>0</v>
      </c>
      <c r="BM560">
        <f>OR(AND(IF(Metadata!AA560="",FALSE,TRUE),OR(exact(Metadata!AA560,"not collected"),exact(Metadata!AA560,"not provided"))),AND(IF(Metadata!AA560="",FALSE,IF(ISERROR(INT(Metadata!AA560)),FALSE,INT(Metadata!AA560)=Metadata!AA560)),Metadata!AA560&gt;0))</f>
        <v>0</v>
      </c>
      <c r="BN560">
        <f>AND(IF(Metadata!AB560="",FALSE,TRUE),exact(Metadata!AB560,"Not applicable"))</f>
        <v>0</v>
      </c>
      <c r="BO560">
        <f>IF(Metadata!AC560="",FALSE,TRUE)</f>
        <v>0</v>
      </c>
    </row>
    <row r="561" spans="1:67">
      <c r="A561" s="5">
        <f>IF(B561=" "," ",HYPERLINK(CONCATENATE("#metadata!",ADDRESS(INDEX($AI$2:$AI$1001,MATCH(ROWS($AG$2:AG561),$AG$2:$AG$1001,0),0),1)),INDEX($AL$2:$AL$1001,MATCH(ROWS($AG$2:AG561),$AG$2:$AG$1001,0),0)))</f>
        <v>0</v>
      </c>
      <c r="B561" s="4">
        <f>IF(OR(INDEX($AH$2:$AH$1001,MATCH(ROWS($AG$2:AG561),$AG$2:$AG$1001,0),1)&gt;=100000,INDEX($AN$1005:$BO$1005,1,MATCH(COLUMNS($AN$1006:AN1006),$AN$1006:$BO$1006,0))&gt;=100000), " ",IF(INDEX($AN$2:$BO$1001,MATCH(ROWS($AG$2:AG561),$AG$2:$AG$1001,0),MATCH(COLUMNS($AN$1006:AN1006),$AN$1006:$BO$1006,0)), HYPERLINK("#",""), HYPERLINK(CONCATENATE("#Metadata!", ADDRESS(INDEX($AI$2:$AI$1001,MATCH(ROWS($AG$2:AG561),$AG$2:$AG$1001,0),0), INDEX($AN$1004:$BO$1004,1,MATCH(COLUMNS($AN$1006:AN1006),$AN$1006:$BO$1006,0)))),"Fix")))</f>
        <v>0</v>
      </c>
      <c r="C561" s="4">
        <f>IF(OR(INDEX($AH$2:$AH$1001,MATCH(ROWS($AG$2:AG561),$AG$2:$AG$1001,0),1)&gt;=100000,INDEX($AN$1005:$BO$1005,1,MATCH(COLUMNS($AN$1006:AO1006),$AN$1006:$BO$1006,0))&gt;=100000), " ",IF(INDEX($AN$2:$BO$1001,MATCH(ROWS($AG$2:AG561),$AG$2:$AG$1001,0),MATCH(COLUMNS($AN$1006:AO1006),$AN$1006:$BO$1006,0)), HYPERLINK("#",""), HYPERLINK(CONCATENATE("#Metadata!", ADDRESS(INDEX($AI$2:$AI$1001,MATCH(ROWS($AG$2:AG561),$AG$2:$AG$1001,0),0), INDEX($AN$1004:$BO$1004,1,MATCH(COLUMNS($AN$1006:AO1006),$AN$1006:$BO$1006,0)))),"Fix")))</f>
        <v>0</v>
      </c>
      <c r="D561" s="4">
        <f>IF(OR(INDEX($AH$2:$AH$1001,MATCH(ROWS($AG$2:AG561),$AG$2:$AG$1001,0),1)&gt;=100000,INDEX($AN$1005:$BO$1005,1,MATCH(COLUMNS($AN$1006:AP1006),$AN$1006:$BO$1006,0))&gt;=100000), " ",IF(INDEX($AN$2:$BO$1001,MATCH(ROWS($AG$2:AG561),$AG$2:$AG$1001,0),MATCH(COLUMNS($AN$1006:AP1006),$AN$1006:$BO$1006,0)), HYPERLINK("#",""), HYPERLINK(CONCATENATE("#Metadata!", ADDRESS(INDEX($AI$2:$AI$1001,MATCH(ROWS($AG$2:AG561),$AG$2:$AG$1001,0),0), INDEX($AN$1004:$BO$1004,1,MATCH(COLUMNS($AN$1006:AP1006),$AN$1006:$BO$1006,0)))),"Fix")))</f>
        <v>0</v>
      </c>
      <c r="E561" s="4">
        <f>IF(OR(INDEX($AH$2:$AH$1001,MATCH(ROWS($AG$2:AG561),$AG$2:$AG$1001,0),1)&gt;=100000,INDEX($AN$1005:$BO$1005,1,MATCH(COLUMNS($AN$1006:AQ1006),$AN$1006:$BO$1006,0))&gt;=100000), " ",IF(INDEX($AN$2:$BO$1001,MATCH(ROWS($AG$2:AG561),$AG$2:$AG$1001,0),MATCH(COLUMNS($AN$1006:AQ1006),$AN$1006:$BO$1006,0)), HYPERLINK("#",""), HYPERLINK(CONCATENATE("#Metadata!", ADDRESS(INDEX($AI$2:$AI$1001,MATCH(ROWS($AG$2:AG561),$AG$2:$AG$1001,0),0), INDEX($AN$1004:$BO$1004,1,MATCH(COLUMNS($AN$1006:AQ1006),$AN$1006:$BO$1006,0)))),"Fix")))</f>
        <v>0</v>
      </c>
      <c r="F561" s="4">
        <f>IF(OR(INDEX($AH$2:$AH$1001,MATCH(ROWS($AG$2:AG561),$AG$2:$AG$1001,0),1)&gt;=100000,INDEX($AN$1005:$BO$1005,1,MATCH(COLUMNS($AN$1006:AR1006),$AN$1006:$BO$1006,0))&gt;=100000), " ",IF(INDEX($AN$2:$BO$1001,MATCH(ROWS($AG$2:AG561),$AG$2:$AG$1001,0),MATCH(COLUMNS($AN$1006:AR1006),$AN$1006:$BO$1006,0)), HYPERLINK("#",""), HYPERLINK(CONCATENATE("#Metadata!", ADDRESS(INDEX($AI$2:$AI$1001,MATCH(ROWS($AG$2:AG561),$AG$2:$AG$1001,0),0), INDEX($AN$1004:$BO$1004,1,MATCH(COLUMNS($AN$1006:AR1006),$AN$1006:$BO$1006,0)))),"Fix")))</f>
        <v>0</v>
      </c>
      <c r="G561" s="4">
        <f>IF(OR(INDEX($AH$2:$AH$1001,MATCH(ROWS($AG$2:AG561),$AG$2:$AG$1001,0),1)&gt;=100000,INDEX($AN$1005:$BO$1005,1,MATCH(COLUMNS($AN$1006:AS1006),$AN$1006:$BO$1006,0))&gt;=100000), " ",IF(INDEX($AN$2:$BO$1001,MATCH(ROWS($AG$2:AG561),$AG$2:$AG$1001,0),MATCH(COLUMNS($AN$1006:AS1006),$AN$1006:$BO$1006,0)), HYPERLINK("#",""), HYPERLINK(CONCATENATE("#Metadata!", ADDRESS(INDEX($AI$2:$AI$1001,MATCH(ROWS($AG$2:AG561),$AG$2:$AG$1001,0),0), INDEX($AN$1004:$BO$1004,1,MATCH(COLUMNS($AN$1006:AS1006),$AN$1006:$BO$1006,0)))),"Fix")))</f>
        <v>0</v>
      </c>
      <c r="H561" s="4">
        <f>IF(OR(INDEX($AH$2:$AH$1001,MATCH(ROWS($AG$2:AG561),$AG$2:$AG$1001,0),1)&gt;=100000,INDEX($AN$1005:$BO$1005,1,MATCH(COLUMNS($AN$1006:AT1006),$AN$1006:$BO$1006,0))&gt;=100000), " ",IF(INDEX($AN$2:$BO$1001,MATCH(ROWS($AG$2:AG561),$AG$2:$AG$1001,0),MATCH(COLUMNS($AN$1006:AT1006),$AN$1006:$BO$1006,0)), HYPERLINK("#",""), HYPERLINK(CONCATENATE("#Metadata!", ADDRESS(INDEX($AI$2:$AI$1001,MATCH(ROWS($AG$2:AG561),$AG$2:$AG$1001,0),0), INDEX($AN$1004:$BO$1004,1,MATCH(COLUMNS($AN$1006:AT1006),$AN$1006:$BO$1006,0)))),"Fix")))</f>
        <v>0</v>
      </c>
      <c r="I561" s="4">
        <f>IF(OR(INDEX($AH$2:$AH$1001,MATCH(ROWS($AG$2:AG561),$AG$2:$AG$1001,0),1)&gt;=100000,INDEX($AN$1005:$BO$1005,1,MATCH(COLUMNS($AN$1006:AU1006),$AN$1006:$BO$1006,0))&gt;=100000), " ",IF(INDEX($AN$2:$BO$1001,MATCH(ROWS($AG$2:AG561),$AG$2:$AG$1001,0),MATCH(COLUMNS($AN$1006:AU1006),$AN$1006:$BO$1006,0)), HYPERLINK("#",""), HYPERLINK(CONCATENATE("#Metadata!", ADDRESS(INDEX($AI$2:$AI$1001,MATCH(ROWS($AG$2:AG561),$AG$2:$AG$1001,0),0), INDEX($AN$1004:$BO$1004,1,MATCH(COLUMNS($AN$1006:AU1006),$AN$1006:$BO$1006,0)))),"Fix")))</f>
        <v>0</v>
      </c>
      <c r="J561" s="4">
        <f>IF(OR(INDEX($AH$2:$AH$1001,MATCH(ROWS($AG$2:AG561),$AG$2:$AG$1001,0),1)&gt;=100000,INDEX($AN$1005:$BO$1005,1,MATCH(COLUMNS($AN$1006:AV1006),$AN$1006:$BO$1006,0))&gt;=100000), " ",IF(INDEX($AN$2:$BO$1001,MATCH(ROWS($AG$2:AG561),$AG$2:$AG$1001,0),MATCH(COLUMNS($AN$1006:AV1006),$AN$1006:$BO$1006,0)), HYPERLINK("#",""), HYPERLINK(CONCATENATE("#Metadata!", ADDRESS(INDEX($AI$2:$AI$1001,MATCH(ROWS($AG$2:AG561),$AG$2:$AG$1001,0),0), INDEX($AN$1004:$BO$1004,1,MATCH(COLUMNS($AN$1006:AV1006),$AN$1006:$BO$1006,0)))),"Fix")))</f>
        <v>0</v>
      </c>
      <c r="K561" s="4">
        <f>IF(OR(INDEX($AH$2:$AH$1001,MATCH(ROWS($AG$2:AG561),$AG$2:$AG$1001,0),1)&gt;=100000,INDEX($AN$1005:$BO$1005,1,MATCH(COLUMNS($AN$1006:AW1006),$AN$1006:$BO$1006,0))&gt;=100000), " ",IF(INDEX($AN$2:$BO$1001,MATCH(ROWS($AG$2:AG561),$AG$2:$AG$1001,0),MATCH(COLUMNS($AN$1006:AW1006),$AN$1006:$BO$1006,0)), HYPERLINK("#",""), HYPERLINK(CONCATENATE("#Metadata!", ADDRESS(INDEX($AI$2:$AI$1001,MATCH(ROWS($AG$2:AG561),$AG$2:$AG$1001,0),0), INDEX($AN$1004:$BO$1004,1,MATCH(COLUMNS($AN$1006:AW1006),$AN$1006:$BO$1006,0)))),"Fix")))</f>
        <v>0</v>
      </c>
      <c r="L561" s="4">
        <f>IF(OR(INDEX($AH$2:$AH$1001,MATCH(ROWS($AG$2:AG561),$AG$2:$AG$1001,0),1)&gt;=100000,INDEX($AN$1005:$BO$1005,1,MATCH(COLUMNS($AN$1006:AX1006),$AN$1006:$BO$1006,0))&gt;=100000), " ",IF(INDEX($AN$2:$BO$1001,MATCH(ROWS($AG$2:AG561),$AG$2:$AG$1001,0),MATCH(COLUMNS($AN$1006:AX1006),$AN$1006:$BO$1006,0)), HYPERLINK("#",""), HYPERLINK(CONCATENATE("#Metadata!", ADDRESS(INDEX($AI$2:$AI$1001,MATCH(ROWS($AG$2:AG561),$AG$2:$AG$1001,0),0), INDEX($AN$1004:$BO$1004,1,MATCH(COLUMNS($AN$1006:AX1006),$AN$1006:$BO$1006,0)))),"Fix")))</f>
        <v>0</v>
      </c>
      <c r="M561" s="4">
        <f>IF(OR(INDEX($AH$2:$AH$1001,MATCH(ROWS($AG$2:AG561),$AG$2:$AG$1001,0),1)&gt;=100000,INDEX($AN$1005:$BO$1005,1,MATCH(COLUMNS($AN$1006:AY1006),$AN$1006:$BO$1006,0))&gt;=100000), " ",IF(INDEX($AN$2:$BO$1001,MATCH(ROWS($AG$2:AG561),$AG$2:$AG$1001,0),MATCH(COLUMNS($AN$1006:AY1006),$AN$1006:$BO$1006,0)), HYPERLINK("#",""), HYPERLINK(CONCATENATE("#Metadata!", ADDRESS(INDEX($AI$2:$AI$1001,MATCH(ROWS($AG$2:AG561),$AG$2:$AG$1001,0),0), INDEX($AN$1004:$BO$1004,1,MATCH(COLUMNS($AN$1006:AY1006),$AN$1006:$BO$1006,0)))),"Fix")))</f>
        <v>0</v>
      </c>
      <c r="N561" s="4">
        <f>IF(OR(INDEX($AH$2:$AH$1001,MATCH(ROWS($AG$2:AG561),$AG$2:$AG$1001,0),1)&gt;=100000,INDEX($AN$1005:$BO$1005,1,MATCH(COLUMNS($AN$1006:AZ1006),$AN$1006:$BO$1006,0))&gt;=100000), " ",IF(INDEX($AN$2:$BO$1001,MATCH(ROWS($AG$2:AG561),$AG$2:$AG$1001,0),MATCH(COLUMNS($AN$1006:AZ1006),$AN$1006:$BO$1006,0)), HYPERLINK("#",""), HYPERLINK(CONCATENATE("#Metadata!", ADDRESS(INDEX($AI$2:$AI$1001,MATCH(ROWS($AG$2:AG561),$AG$2:$AG$1001,0),0), INDEX($AN$1004:$BO$1004,1,MATCH(COLUMNS($AN$1006:AZ1006),$AN$1006:$BO$1006,0)))),"Fix")))</f>
        <v>0</v>
      </c>
      <c r="O561" s="4">
        <f>IF(OR(INDEX($AH$2:$AH$1001,MATCH(ROWS($AG$2:AG561),$AG$2:$AG$1001,0),1)&gt;=100000,INDEX($AN$1005:$BO$1005,1,MATCH(COLUMNS($AN$1006:BA1006),$AN$1006:$BO$1006,0))&gt;=100000), " ",IF(INDEX($AN$2:$BO$1001,MATCH(ROWS($AG$2:AG561),$AG$2:$AG$1001,0),MATCH(COLUMNS($AN$1006:BA1006),$AN$1006:$BO$1006,0)), HYPERLINK("#",""), HYPERLINK(CONCATENATE("#Metadata!", ADDRESS(INDEX($AI$2:$AI$1001,MATCH(ROWS($AG$2:AG561),$AG$2:$AG$1001,0),0), INDEX($AN$1004:$BO$1004,1,MATCH(COLUMNS($AN$1006:BA1006),$AN$1006:$BO$1006,0)))),"Fix")))</f>
        <v>0</v>
      </c>
      <c r="P561" s="4">
        <f>IF(OR(INDEX($AH$2:$AH$1001,MATCH(ROWS($AG$2:AG561),$AG$2:$AG$1001,0),1)&gt;=100000,INDEX($AN$1005:$BO$1005,1,MATCH(COLUMNS($AN$1006:BB1006),$AN$1006:$BO$1006,0))&gt;=100000), " ",IF(INDEX($AN$2:$BO$1001,MATCH(ROWS($AG$2:AG561),$AG$2:$AG$1001,0),MATCH(COLUMNS($AN$1006:BB1006),$AN$1006:$BO$1006,0)), HYPERLINK("#",""), HYPERLINK(CONCATENATE("#Metadata!", ADDRESS(INDEX($AI$2:$AI$1001,MATCH(ROWS($AG$2:AG561),$AG$2:$AG$1001,0),0), INDEX($AN$1004:$BO$1004,1,MATCH(COLUMNS($AN$1006:BB1006),$AN$1006:$BO$1006,0)))),"Fix")))</f>
        <v>0</v>
      </c>
      <c r="Q561" s="4">
        <f>IF(OR(INDEX($AH$2:$AH$1001,MATCH(ROWS($AG$2:AG561),$AG$2:$AG$1001,0),1)&gt;=100000,INDEX($AN$1005:$BO$1005,1,MATCH(COLUMNS($AN$1006:BC1006),$AN$1006:$BO$1006,0))&gt;=100000), " ",IF(INDEX($AN$2:$BO$1001,MATCH(ROWS($AG$2:AG561),$AG$2:$AG$1001,0),MATCH(COLUMNS($AN$1006:BC1006),$AN$1006:$BO$1006,0)), HYPERLINK("#",""), HYPERLINK(CONCATENATE("#Metadata!", ADDRESS(INDEX($AI$2:$AI$1001,MATCH(ROWS($AG$2:AG561),$AG$2:$AG$1001,0),0), INDEX($AN$1004:$BO$1004,1,MATCH(COLUMNS($AN$1006:BC1006),$AN$1006:$BO$1006,0)))),"Fix")))</f>
        <v>0</v>
      </c>
      <c r="R561" s="4">
        <f>IF(OR(INDEX($AH$2:$AH$1001,MATCH(ROWS($AG$2:AG561),$AG$2:$AG$1001,0),1)&gt;=100000,INDEX($AN$1005:$BO$1005,1,MATCH(COLUMNS($AN$1006:BD1006),$AN$1006:$BO$1006,0))&gt;=100000), " ",IF(INDEX($AN$2:$BO$1001,MATCH(ROWS($AG$2:AG561),$AG$2:$AG$1001,0),MATCH(COLUMNS($AN$1006:BD1006),$AN$1006:$BO$1006,0)), HYPERLINK("#",""), HYPERLINK(CONCATENATE("#Metadata!", ADDRESS(INDEX($AI$2:$AI$1001,MATCH(ROWS($AG$2:AG561),$AG$2:$AG$1001,0),0), INDEX($AN$1004:$BO$1004,1,MATCH(COLUMNS($AN$1006:BD1006),$AN$1006:$BO$1006,0)))),"Fix")))</f>
        <v>0</v>
      </c>
      <c r="S561" s="4">
        <f>IF(OR(INDEX($AH$2:$AH$1001,MATCH(ROWS($AG$2:AG561),$AG$2:$AG$1001,0),1)&gt;=100000,INDEX($AN$1005:$BO$1005,1,MATCH(COLUMNS($AN$1006:BE1006),$AN$1006:$BO$1006,0))&gt;=100000), " ",IF(INDEX($AN$2:$BO$1001,MATCH(ROWS($AG$2:AG561),$AG$2:$AG$1001,0),MATCH(COLUMNS($AN$1006:BE1006),$AN$1006:$BO$1006,0)), HYPERLINK("#",""), HYPERLINK(CONCATENATE("#Metadata!", ADDRESS(INDEX($AI$2:$AI$1001,MATCH(ROWS($AG$2:AG561),$AG$2:$AG$1001,0),0), INDEX($AN$1004:$BO$1004,1,MATCH(COLUMNS($AN$1006:BE1006),$AN$1006:$BO$1006,0)))),"Fix")))</f>
        <v>0</v>
      </c>
      <c r="T561" s="4">
        <f>IF(OR(INDEX($AH$2:$AH$1001,MATCH(ROWS($AG$2:AG561),$AG$2:$AG$1001,0),1)&gt;=100000,INDEX($AN$1005:$BO$1005,1,MATCH(COLUMNS($AN$1006:BF1006),$AN$1006:$BO$1006,0))&gt;=100000), " ",IF(INDEX($AN$2:$BO$1001,MATCH(ROWS($AG$2:AG561),$AG$2:$AG$1001,0),MATCH(COLUMNS($AN$1006:BF1006),$AN$1006:$BO$1006,0)), HYPERLINK("#",""), HYPERLINK(CONCATENATE("#Metadata!", ADDRESS(INDEX($AI$2:$AI$1001,MATCH(ROWS($AG$2:AG561),$AG$2:$AG$1001,0),0), INDEX($AN$1004:$BO$1004,1,MATCH(COLUMNS($AN$1006:BF1006),$AN$1006:$BO$1006,0)))),"Fix")))</f>
        <v>0</v>
      </c>
      <c r="U561" s="4">
        <f>IF(OR(INDEX($AH$2:$AH$1001,MATCH(ROWS($AG$2:AG561),$AG$2:$AG$1001,0),1)&gt;=100000,INDEX($AN$1005:$BO$1005,1,MATCH(COLUMNS($AN$1006:BG1006),$AN$1006:$BO$1006,0))&gt;=100000), " ",IF(INDEX($AN$2:$BO$1001,MATCH(ROWS($AG$2:AG561),$AG$2:$AG$1001,0),MATCH(COLUMNS($AN$1006:BG1006),$AN$1006:$BO$1006,0)), HYPERLINK("#",""), HYPERLINK(CONCATENATE("#Metadata!", ADDRESS(INDEX($AI$2:$AI$1001,MATCH(ROWS($AG$2:AG561),$AG$2:$AG$1001,0),0), INDEX($AN$1004:$BO$1004,1,MATCH(COLUMNS($AN$1006:BG1006),$AN$1006:$BO$1006,0)))),"Fix")))</f>
        <v>0</v>
      </c>
      <c r="V561" s="4">
        <f>IF(OR(INDEX($AH$2:$AH$1001,MATCH(ROWS($AG$2:AG561),$AG$2:$AG$1001,0),1)&gt;=100000,INDEX($AN$1005:$BO$1005,1,MATCH(COLUMNS($AN$1006:BH1006),$AN$1006:$BO$1006,0))&gt;=100000), " ",IF(INDEX($AN$2:$BO$1001,MATCH(ROWS($AG$2:AG561),$AG$2:$AG$1001,0),MATCH(COLUMNS($AN$1006:BH1006),$AN$1006:$BO$1006,0)), HYPERLINK("#",""), HYPERLINK(CONCATENATE("#Metadata!", ADDRESS(INDEX($AI$2:$AI$1001,MATCH(ROWS($AG$2:AG561),$AG$2:$AG$1001,0),0), INDEX($AN$1004:$BO$1004,1,MATCH(COLUMNS($AN$1006:BH1006),$AN$1006:$BO$1006,0)))),"Fix")))</f>
        <v>0</v>
      </c>
      <c r="W561" s="4">
        <f>IF(OR(INDEX($AH$2:$AH$1001,MATCH(ROWS($AG$2:AG561),$AG$2:$AG$1001,0),1)&gt;=100000,INDEX($AN$1005:$BO$1005,1,MATCH(COLUMNS($AN$1006:BI1006),$AN$1006:$BO$1006,0))&gt;=100000), " ",IF(INDEX($AN$2:$BO$1001,MATCH(ROWS($AG$2:AG561),$AG$2:$AG$1001,0),MATCH(COLUMNS($AN$1006:BI1006),$AN$1006:$BO$1006,0)), HYPERLINK("#",""), HYPERLINK(CONCATENATE("#Metadata!", ADDRESS(INDEX($AI$2:$AI$1001,MATCH(ROWS($AG$2:AG561),$AG$2:$AG$1001,0),0), INDEX($AN$1004:$BO$1004,1,MATCH(COLUMNS($AN$1006:BI1006),$AN$1006:$BO$1006,0)))),"Fix")))</f>
        <v>0</v>
      </c>
      <c r="X561" s="4">
        <f>IF(OR(INDEX($AH$2:$AH$1001,MATCH(ROWS($AG$2:AG561),$AG$2:$AG$1001,0),1)&gt;=100000,INDEX($AN$1005:$BO$1005,1,MATCH(COLUMNS($AN$1006:BJ1006),$AN$1006:$BO$1006,0))&gt;=100000), " ",IF(INDEX($AN$2:$BO$1001,MATCH(ROWS($AG$2:AG561),$AG$2:$AG$1001,0),MATCH(COLUMNS($AN$1006:BJ1006),$AN$1006:$BO$1006,0)), HYPERLINK("#",""), HYPERLINK(CONCATENATE("#Metadata!", ADDRESS(INDEX($AI$2:$AI$1001,MATCH(ROWS($AG$2:AG561),$AG$2:$AG$1001,0),0), INDEX($AN$1004:$BO$1004,1,MATCH(COLUMNS($AN$1006:BJ1006),$AN$1006:$BO$1006,0)))),"Fix")))</f>
        <v>0</v>
      </c>
      <c r="Y561" s="4">
        <f>IF(OR(INDEX($AH$2:$AH$1001,MATCH(ROWS($AG$2:AG561),$AG$2:$AG$1001,0),1)&gt;=100000,INDEX($AN$1005:$BO$1005,1,MATCH(COLUMNS($AN$1006:BK1006),$AN$1006:$BO$1006,0))&gt;=100000), " ",IF(INDEX($AN$2:$BO$1001,MATCH(ROWS($AG$2:AG561),$AG$2:$AG$1001,0),MATCH(COLUMNS($AN$1006:BK1006),$AN$1006:$BO$1006,0)), HYPERLINK("#",""), HYPERLINK(CONCATENATE("#Metadata!", ADDRESS(INDEX($AI$2:$AI$1001,MATCH(ROWS($AG$2:AG561),$AG$2:$AG$1001,0),0), INDEX($AN$1004:$BO$1004,1,MATCH(COLUMNS($AN$1006:BK1006),$AN$1006:$BO$1006,0)))),"Fix")))</f>
        <v>0</v>
      </c>
      <c r="Z561" s="4">
        <f>IF(OR(INDEX($AH$2:$AH$1001,MATCH(ROWS($AG$2:AG561),$AG$2:$AG$1001,0),1)&gt;=100000,INDEX($AN$1005:$BO$1005,1,MATCH(COLUMNS($AN$1006:BL1006),$AN$1006:$BO$1006,0))&gt;=100000), " ",IF(INDEX($AN$2:$BO$1001,MATCH(ROWS($AG$2:AG561),$AG$2:$AG$1001,0),MATCH(COLUMNS($AN$1006:BL1006),$AN$1006:$BO$1006,0)), HYPERLINK("#",""), HYPERLINK(CONCATENATE("#Metadata!", ADDRESS(INDEX($AI$2:$AI$1001,MATCH(ROWS($AG$2:AG561),$AG$2:$AG$1001,0),0), INDEX($AN$1004:$BO$1004,1,MATCH(COLUMNS($AN$1006:BL1006),$AN$1006:$BO$1006,0)))),"Fix")))</f>
        <v>0</v>
      </c>
      <c r="AA561" s="4">
        <f>IF(OR(INDEX($AH$2:$AH$1001,MATCH(ROWS($AG$2:AG561),$AG$2:$AG$1001,0),1)&gt;=100000,INDEX($AN$1005:$BO$1005,1,MATCH(COLUMNS($AN$1006:BM1006),$AN$1006:$BO$1006,0))&gt;=100000), " ",IF(INDEX($AN$2:$BO$1001,MATCH(ROWS($AG$2:AG561),$AG$2:$AG$1001,0),MATCH(COLUMNS($AN$1006:BM1006),$AN$1006:$BO$1006,0)), HYPERLINK("#",""), HYPERLINK(CONCATENATE("#Metadata!", ADDRESS(INDEX($AI$2:$AI$1001,MATCH(ROWS($AG$2:AG561),$AG$2:$AG$1001,0),0), INDEX($AN$1004:$BO$1004,1,MATCH(COLUMNS($AN$1006:BM1006),$AN$1006:$BO$1006,0)))),"Fix")))</f>
        <v>0</v>
      </c>
      <c r="AB561" s="4">
        <f>IF(OR(INDEX($AH$2:$AH$1001,MATCH(ROWS($AG$2:AG561),$AG$2:$AG$1001,0),1)&gt;=100000,INDEX($AN$1005:$BO$1005,1,MATCH(COLUMNS($AN$1006:BN1006),$AN$1006:$BO$1006,0))&gt;=100000), " ",IF(INDEX($AN$2:$BO$1001,MATCH(ROWS($AG$2:AG561),$AG$2:$AG$1001,0),MATCH(COLUMNS($AN$1006:BN1006),$AN$1006:$BO$1006,0)), HYPERLINK("#",""), HYPERLINK(CONCATENATE("#Metadata!", ADDRESS(INDEX($AI$2:$AI$1001,MATCH(ROWS($AG$2:AG561),$AG$2:$AG$1001,0),0), INDEX($AN$1004:$BO$1004,1,MATCH(COLUMNS($AN$1006:BN1006),$AN$1006:$BO$1006,0)))),"Fix")))</f>
        <v>0</v>
      </c>
      <c r="AC561" s="4">
        <f>IF(OR(INDEX($AH$2:$AH$1001,MATCH(ROWS($AG$2:AG561),$AG$2:$AG$1001,0),1)&gt;=100000,INDEX($AN$1005:$BO$1005,1,MATCH(COLUMNS($AN$1006:BO1006),$AN$1006:$BO$1006,0))&gt;=100000), " ",IF(INDEX($AN$2:$BO$1001,MATCH(ROWS($AG$2:AG561),$AG$2:$AG$1001,0),MATCH(COLUMNS($AN$1006:BO1006),$AN$1006:$BO$1006,0)), HYPERLINK("#",""), HYPERLINK(CONCATENATE("#Metadata!", ADDRESS(INDEX($AI$2:$AI$1001,MATCH(ROWS($AG$2:AG561),$AG$2:$AG$1001,0),0), INDEX($AN$1004:$BO$1004,1,MATCH(COLUMNS($AN$1006:BO1006),$AN$1006:$BO$1006,0)))),"Fix")))</f>
        <v>0</v>
      </c>
      <c r="AG561">
        <v>0</v>
      </c>
      <c r="AH561">
        <v>0</v>
      </c>
      <c r="AI561">
        <v>0</v>
      </c>
      <c r="AJ561">
        <f>IF(AK561,TRUE,AND(AN561:BO561))</f>
        <v>0</v>
      </c>
      <c r="AK561">
        <f>COUNTBLANK(Metadata!B561:AC561)=COLUMNS(Metadata!B561:AC561)</f>
        <v>0</v>
      </c>
      <c r="AL561">
        <v>0</v>
      </c>
      <c r="AN561">
        <f>AND(IF(Metadata!B561="",FALSE,TRUE),COUNTIF(Metadata!B:B, Metadata!B561) = 1,NOT(ISERROR(SUMPRODUCT(SEARCH(MID(Metadata!B561,ROW(INDIRECT("1:"&amp;LEN(Metadata!B561))), 1),"0123456789abcdefghijklmnopqrstuvwxyzABCDEFGHIJKLMNOPQRSTUVWXYZ.")))))</f>
        <v>0</v>
      </c>
      <c r="AO561">
        <f>IF(Metadata!C561="",FALSE,TRUE)</f>
        <v>0</v>
      </c>
      <c r="AP561">
        <f>IF(Metadata!D561="",FALSE,TRUE)</f>
        <v>0</v>
      </c>
      <c r="AQ561">
        <f>OR(AND(IF(Metadata!E561="",FALSE,TRUE),OR(exact(Metadata!E561,"not collected"),exact(Metadata!E561,"not provided"),exact(Metadata!E561,"restricted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R561">
        <f>IF(Metadata!F561="",FALSE,TRUE)</f>
        <v>0</v>
      </c>
      <c r="AS561">
        <f>OR(AND(IF(Metadata!G561="",FALSE,TRUE),OR(exact(Metadata!G561,"not collected"),exact(Metadata!G561,"not provided"))),AND(IF(Metadata!G561="",FALSE,TRUE),OR(exact(Metadata!G561,"TRUE"),exact(Metadata!G561,"FALSE"))))</f>
        <v>0</v>
      </c>
      <c r="AT561">
        <f>OR(AND(IF(Metadata!H561="",FALSE,TRUE),OR(exact(Metadata!H561,"not collected"),exact(Metadata!H561,"not provided"),exact(Metadata!H561,"restricted access"))),AND(IF(Metadata!H561="",FALSE,ISNUMBER(VALUE(Metadata!H561))),Metadata!H561&gt;=-413.0))</f>
        <v>0</v>
      </c>
      <c r="AU561">
        <f>AND(IF(Metadata!I561="",FALSE,TRUE),exact(Metadata!I561,"meters"))</f>
        <v>0</v>
      </c>
      <c r="AV561">
        <f>AND(IF(Metadata!J561="",FALSE,TRUE),OR(exact(Metadata!J561,"Host-associated"),exact(Metadata!J561,"Free-living")))</f>
        <v>0</v>
      </c>
      <c r="AW561">
        <f>AND(IF(Metadata!K561="",FALSE,TRUE),OR(exact(Metadata!K561,"Animal"),exact(Metadata!K561,"Fungus"),exact(Metadata!K561,"Plant"),exact(Metadata!K561,"Saline"),exact(Metadata!K561,"Non-saline")))</f>
        <v>0</v>
      </c>
      <c r="AX561">
        <f>AND(IF(Metadata!L561="",FALSE,TRUE),OR(exact(Metadata!L561,"Plant secretion"),exact(Metadata!L561,"Plant rhizosphere"),exact(Metadata!L561,"Plant surface"),exact(Metadata!L561,"Plant corpus"),exact(Metadata!L561,"Fungus surface"),exact(Metadata!L561,"Fungus corpus"),exact(Metadata!L561,"Animal surface"),exact(Metadata!L561,"Animal proximal gut"),exact(Metadata!L561,"Animal corpus"),exact(Metadata!L561,"Animal distal gut"),exact(Metadata!L561,"Animal secretion"),exact(Metadata!L561,"Sub-surface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Y561">
        <f>IF(Metadata!M561="",FALSE,TRUE)</f>
        <v>0</v>
      </c>
      <c r="AZ561">
        <f>IF(Metadata!N561="",FALSE,TRUE)</f>
        <v>0</v>
      </c>
      <c r="BA561">
        <f>IF(Metadata!O561="",FALSE,TRUE)</f>
        <v>0</v>
      </c>
      <c r="BB561">
        <f>OR(AND(IF(Metadata!P561="",FALSE,TRUE),OR(exact(Metadata!P561,"not collected"),exact(Metadata!P561,"not provided"),exact(Metadata!P561,"restricted access"))),AND(IF(Metadata!P561="",FALSE,TRUE),OR(exact(Metadata!P561,"air"),exact(Metadata!P561,"built environment"),exact(Metadata!P561,"host-associated"),exact(Metadata!P561,"human-associated"),exact(Metadata!P561,"human-skin"),exact(Metadata!P561,"human-oral"),exact(Metadata!P561,"human-gut"),exact(Metadata!P561,"human-vaginal"),exact(Metadata!P561,"microbial mat/biofilm"),exact(Metadata!P561,"misc environment"),exact(Metadata!P561,"plant-associated"),exact(Metadata!P561,"sediment"),exact(Metadata!P561,"soil"),exact(Metadata!P561,"wastewater/sludge"),exact(Metadata!P561,"water"))))</f>
        <v>0</v>
      </c>
      <c r="BC561">
        <f>IF(Metadata!Q561="",FALSE,TRUE)</f>
        <v>0</v>
      </c>
      <c r="BD561">
        <f>IF(Metadata!R561="",FALSE,TRUE)</f>
        <v>0</v>
      </c>
      <c r="BE561">
        <f>OR(AND(IF(Metadata!S561="",FALSE,TRUE),OR(exact(Metadata!S561,"not collected"),exact(Metadata!S561,"not provided"),exact(Metadata!S561,"restricted access"))),AND(IF(Metadata!S561="",FALSE,ISNUMBER(VALUE(Metadata!S561))),Metadata!S561&gt;=-90.00,Metadata!S561&lt;=90.00))</f>
        <v>0</v>
      </c>
      <c r="BF561">
        <f>AND(IF(Metadata!T561="",FALSE,TRUE),exact(Metadata!T561,"Decimal degrees"))</f>
        <v>0</v>
      </c>
      <c r="BG561">
        <f>OR(AND(IF(Metadata!U561="",FALSE,TRUE),OR(exact(Metadata!U561,"not collected"),exact(Metadata!U561,"not provided"),exact(Metadata!U561,"restricted access"))),AND(IF(Metadata!U561="",FALSE,ISNUMBER(VALUE(Metadata!U561))),Metadata!U561&gt;=-180.00,Metadata!U561&lt;=180.00))</f>
        <v>0</v>
      </c>
      <c r="BH561">
        <f>AND(IF(Metadata!V561="",FALSE,TRUE),exact(Metadata!V561,"Decimal degrees"))</f>
        <v>0</v>
      </c>
      <c r="BI561">
        <f>IF(Metadata!W561="",FALSE,TRUE)</f>
        <v>0</v>
      </c>
      <c r="BJ561">
        <f>OR(AND(IF(Metadata!X561="",FALSE,TRUE),OR(exact(Metadata!X561,"not collected"),exact(Metadata!X561,"not provided"),exact(Metadata!X561,"restricted access"))),AND(IF(Metadata!X561="",FALSE,TRUE),OR(exact(Metadata!X561,"TRUE"),exact(Metadata!X561,"FALSE"))))</f>
        <v>0</v>
      </c>
      <c r="BK561">
        <f>AND(IF(Metadata!Y561="",FALSE,TRUE),exact(Metadata!Y561,"other"))</f>
        <v>0</v>
      </c>
      <c r="BL561">
        <f>IF(Metadata!Z561="",FALSE,TRUE)</f>
        <v>0</v>
      </c>
      <c r="BM561">
        <f>OR(AND(IF(Metadata!AA561="",FALSE,TRUE),OR(exact(Metadata!AA561,"not collected"),exact(Metadata!AA561,"not provided"))),AND(IF(Metadata!AA561="",FALSE,IF(ISERROR(INT(Metadata!AA561)),FALSE,INT(Metadata!AA561)=Metadata!AA561)),Metadata!AA561&gt;0))</f>
        <v>0</v>
      </c>
      <c r="BN561">
        <f>AND(IF(Metadata!AB561="",FALSE,TRUE),exact(Metadata!AB561,"Not applicable"))</f>
        <v>0</v>
      </c>
      <c r="BO561">
        <f>IF(Metadata!AC561="",FALSE,TRUE)</f>
        <v>0</v>
      </c>
    </row>
    <row r="562" spans="1:67">
      <c r="A562" s="5">
        <f>IF(B562=" "," ",HYPERLINK(CONCATENATE("#metadata!",ADDRESS(INDEX($AI$2:$AI$1001,MATCH(ROWS($AG$2:AG562),$AG$2:$AG$1001,0),0),1)),INDEX($AL$2:$AL$1001,MATCH(ROWS($AG$2:AG562),$AG$2:$AG$1001,0),0)))</f>
        <v>0</v>
      </c>
      <c r="B562" s="4">
        <f>IF(OR(INDEX($AH$2:$AH$1001,MATCH(ROWS($AG$2:AG562),$AG$2:$AG$1001,0),1)&gt;=100000,INDEX($AN$1005:$BO$1005,1,MATCH(COLUMNS($AN$1006:AN1006),$AN$1006:$BO$1006,0))&gt;=100000), " ",IF(INDEX($AN$2:$BO$1001,MATCH(ROWS($AG$2:AG562),$AG$2:$AG$1001,0),MATCH(COLUMNS($AN$1006:AN1006),$AN$1006:$BO$1006,0)), HYPERLINK("#",""), HYPERLINK(CONCATENATE("#Metadata!", ADDRESS(INDEX($AI$2:$AI$1001,MATCH(ROWS($AG$2:AG562),$AG$2:$AG$1001,0),0), INDEX($AN$1004:$BO$1004,1,MATCH(COLUMNS($AN$1006:AN1006),$AN$1006:$BO$1006,0)))),"Fix")))</f>
        <v>0</v>
      </c>
      <c r="C562" s="4">
        <f>IF(OR(INDEX($AH$2:$AH$1001,MATCH(ROWS($AG$2:AG562),$AG$2:$AG$1001,0),1)&gt;=100000,INDEX($AN$1005:$BO$1005,1,MATCH(COLUMNS($AN$1006:AO1006),$AN$1006:$BO$1006,0))&gt;=100000), " ",IF(INDEX($AN$2:$BO$1001,MATCH(ROWS($AG$2:AG562),$AG$2:$AG$1001,0),MATCH(COLUMNS($AN$1006:AO1006),$AN$1006:$BO$1006,0)), HYPERLINK("#",""), HYPERLINK(CONCATENATE("#Metadata!", ADDRESS(INDEX($AI$2:$AI$1001,MATCH(ROWS($AG$2:AG562),$AG$2:$AG$1001,0),0), INDEX($AN$1004:$BO$1004,1,MATCH(COLUMNS($AN$1006:AO1006),$AN$1006:$BO$1006,0)))),"Fix")))</f>
        <v>0</v>
      </c>
      <c r="D562" s="4">
        <f>IF(OR(INDEX($AH$2:$AH$1001,MATCH(ROWS($AG$2:AG562),$AG$2:$AG$1001,0),1)&gt;=100000,INDEX($AN$1005:$BO$1005,1,MATCH(COLUMNS($AN$1006:AP1006),$AN$1006:$BO$1006,0))&gt;=100000), " ",IF(INDEX($AN$2:$BO$1001,MATCH(ROWS($AG$2:AG562),$AG$2:$AG$1001,0),MATCH(COLUMNS($AN$1006:AP1006),$AN$1006:$BO$1006,0)), HYPERLINK("#",""), HYPERLINK(CONCATENATE("#Metadata!", ADDRESS(INDEX($AI$2:$AI$1001,MATCH(ROWS($AG$2:AG562),$AG$2:$AG$1001,0),0), INDEX($AN$1004:$BO$1004,1,MATCH(COLUMNS($AN$1006:AP1006),$AN$1006:$BO$1006,0)))),"Fix")))</f>
        <v>0</v>
      </c>
      <c r="E562" s="4">
        <f>IF(OR(INDEX($AH$2:$AH$1001,MATCH(ROWS($AG$2:AG562),$AG$2:$AG$1001,0),1)&gt;=100000,INDEX($AN$1005:$BO$1005,1,MATCH(COLUMNS($AN$1006:AQ1006),$AN$1006:$BO$1006,0))&gt;=100000), " ",IF(INDEX($AN$2:$BO$1001,MATCH(ROWS($AG$2:AG562),$AG$2:$AG$1001,0),MATCH(COLUMNS($AN$1006:AQ1006),$AN$1006:$BO$1006,0)), HYPERLINK("#",""), HYPERLINK(CONCATENATE("#Metadata!", ADDRESS(INDEX($AI$2:$AI$1001,MATCH(ROWS($AG$2:AG562),$AG$2:$AG$1001,0),0), INDEX($AN$1004:$BO$1004,1,MATCH(COLUMNS($AN$1006:AQ1006),$AN$1006:$BO$1006,0)))),"Fix")))</f>
        <v>0</v>
      </c>
      <c r="F562" s="4">
        <f>IF(OR(INDEX($AH$2:$AH$1001,MATCH(ROWS($AG$2:AG562),$AG$2:$AG$1001,0),1)&gt;=100000,INDEX($AN$1005:$BO$1005,1,MATCH(COLUMNS($AN$1006:AR1006),$AN$1006:$BO$1006,0))&gt;=100000), " ",IF(INDEX($AN$2:$BO$1001,MATCH(ROWS($AG$2:AG562),$AG$2:$AG$1001,0),MATCH(COLUMNS($AN$1006:AR1006),$AN$1006:$BO$1006,0)), HYPERLINK("#",""), HYPERLINK(CONCATENATE("#Metadata!", ADDRESS(INDEX($AI$2:$AI$1001,MATCH(ROWS($AG$2:AG562),$AG$2:$AG$1001,0),0), INDEX($AN$1004:$BO$1004,1,MATCH(COLUMNS($AN$1006:AR1006),$AN$1006:$BO$1006,0)))),"Fix")))</f>
        <v>0</v>
      </c>
      <c r="G562" s="4">
        <f>IF(OR(INDEX($AH$2:$AH$1001,MATCH(ROWS($AG$2:AG562),$AG$2:$AG$1001,0),1)&gt;=100000,INDEX($AN$1005:$BO$1005,1,MATCH(COLUMNS($AN$1006:AS1006),$AN$1006:$BO$1006,0))&gt;=100000), " ",IF(INDEX($AN$2:$BO$1001,MATCH(ROWS($AG$2:AG562),$AG$2:$AG$1001,0),MATCH(COLUMNS($AN$1006:AS1006),$AN$1006:$BO$1006,0)), HYPERLINK("#",""), HYPERLINK(CONCATENATE("#Metadata!", ADDRESS(INDEX($AI$2:$AI$1001,MATCH(ROWS($AG$2:AG562),$AG$2:$AG$1001,0),0), INDEX($AN$1004:$BO$1004,1,MATCH(COLUMNS($AN$1006:AS1006),$AN$1006:$BO$1006,0)))),"Fix")))</f>
        <v>0</v>
      </c>
      <c r="H562" s="4">
        <f>IF(OR(INDEX($AH$2:$AH$1001,MATCH(ROWS($AG$2:AG562),$AG$2:$AG$1001,0),1)&gt;=100000,INDEX($AN$1005:$BO$1005,1,MATCH(COLUMNS($AN$1006:AT1006),$AN$1006:$BO$1006,0))&gt;=100000), " ",IF(INDEX($AN$2:$BO$1001,MATCH(ROWS($AG$2:AG562),$AG$2:$AG$1001,0),MATCH(COLUMNS($AN$1006:AT1006),$AN$1006:$BO$1006,0)), HYPERLINK("#",""), HYPERLINK(CONCATENATE("#Metadata!", ADDRESS(INDEX($AI$2:$AI$1001,MATCH(ROWS($AG$2:AG562),$AG$2:$AG$1001,0),0), INDEX($AN$1004:$BO$1004,1,MATCH(COLUMNS($AN$1006:AT1006),$AN$1006:$BO$1006,0)))),"Fix")))</f>
        <v>0</v>
      </c>
      <c r="I562" s="4">
        <f>IF(OR(INDEX($AH$2:$AH$1001,MATCH(ROWS($AG$2:AG562),$AG$2:$AG$1001,0),1)&gt;=100000,INDEX($AN$1005:$BO$1005,1,MATCH(COLUMNS($AN$1006:AU1006),$AN$1006:$BO$1006,0))&gt;=100000), " ",IF(INDEX($AN$2:$BO$1001,MATCH(ROWS($AG$2:AG562),$AG$2:$AG$1001,0),MATCH(COLUMNS($AN$1006:AU1006),$AN$1006:$BO$1006,0)), HYPERLINK("#",""), HYPERLINK(CONCATENATE("#Metadata!", ADDRESS(INDEX($AI$2:$AI$1001,MATCH(ROWS($AG$2:AG562),$AG$2:$AG$1001,0),0), INDEX($AN$1004:$BO$1004,1,MATCH(COLUMNS($AN$1006:AU1006),$AN$1006:$BO$1006,0)))),"Fix")))</f>
        <v>0</v>
      </c>
      <c r="J562" s="4">
        <f>IF(OR(INDEX($AH$2:$AH$1001,MATCH(ROWS($AG$2:AG562),$AG$2:$AG$1001,0),1)&gt;=100000,INDEX($AN$1005:$BO$1005,1,MATCH(COLUMNS($AN$1006:AV1006),$AN$1006:$BO$1006,0))&gt;=100000), " ",IF(INDEX($AN$2:$BO$1001,MATCH(ROWS($AG$2:AG562),$AG$2:$AG$1001,0),MATCH(COLUMNS($AN$1006:AV1006),$AN$1006:$BO$1006,0)), HYPERLINK("#",""), HYPERLINK(CONCATENATE("#Metadata!", ADDRESS(INDEX($AI$2:$AI$1001,MATCH(ROWS($AG$2:AG562),$AG$2:$AG$1001,0),0), INDEX($AN$1004:$BO$1004,1,MATCH(COLUMNS($AN$1006:AV1006),$AN$1006:$BO$1006,0)))),"Fix")))</f>
        <v>0</v>
      </c>
      <c r="K562" s="4">
        <f>IF(OR(INDEX($AH$2:$AH$1001,MATCH(ROWS($AG$2:AG562),$AG$2:$AG$1001,0),1)&gt;=100000,INDEX($AN$1005:$BO$1005,1,MATCH(COLUMNS($AN$1006:AW1006),$AN$1006:$BO$1006,0))&gt;=100000), " ",IF(INDEX($AN$2:$BO$1001,MATCH(ROWS($AG$2:AG562),$AG$2:$AG$1001,0),MATCH(COLUMNS($AN$1006:AW1006),$AN$1006:$BO$1006,0)), HYPERLINK("#",""), HYPERLINK(CONCATENATE("#Metadata!", ADDRESS(INDEX($AI$2:$AI$1001,MATCH(ROWS($AG$2:AG562),$AG$2:$AG$1001,0),0), INDEX($AN$1004:$BO$1004,1,MATCH(COLUMNS($AN$1006:AW1006),$AN$1006:$BO$1006,0)))),"Fix")))</f>
        <v>0</v>
      </c>
      <c r="L562" s="4">
        <f>IF(OR(INDEX($AH$2:$AH$1001,MATCH(ROWS($AG$2:AG562),$AG$2:$AG$1001,0),1)&gt;=100000,INDEX($AN$1005:$BO$1005,1,MATCH(COLUMNS($AN$1006:AX1006),$AN$1006:$BO$1006,0))&gt;=100000), " ",IF(INDEX($AN$2:$BO$1001,MATCH(ROWS($AG$2:AG562),$AG$2:$AG$1001,0),MATCH(COLUMNS($AN$1006:AX1006),$AN$1006:$BO$1006,0)), HYPERLINK("#",""), HYPERLINK(CONCATENATE("#Metadata!", ADDRESS(INDEX($AI$2:$AI$1001,MATCH(ROWS($AG$2:AG562),$AG$2:$AG$1001,0),0), INDEX($AN$1004:$BO$1004,1,MATCH(COLUMNS($AN$1006:AX1006),$AN$1006:$BO$1006,0)))),"Fix")))</f>
        <v>0</v>
      </c>
      <c r="M562" s="4">
        <f>IF(OR(INDEX($AH$2:$AH$1001,MATCH(ROWS($AG$2:AG562),$AG$2:$AG$1001,0),1)&gt;=100000,INDEX($AN$1005:$BO$1005,1,MATCH(COLUMNS($AN$1006:AY1006),$AN$1006:$BO$1006,0))&gt;=100000), " ",IF(INDEX($AN$2:$BO$1001,MATCH(ROWS($AG$2:AG562),$AG$2:$AG$1001,0),MATCH(COLUMNS($AN$1006:AY1006),$AN$1006:$BO$1006,0)), HYPERLINK("#",""), HYPERLINK(CONCATENATE("#Metadata!", ADDRESS(INDEX($AI$2:$AI$1001,MATCH(ROWS($AG$2:AG562),$AG$2:$AG$1001,0),0), INDEX($AN$1004:$BO$1004,1,MATCH(COLUMNS($AN$1006:AY1006),$AN$1006:$BO$1006,0)))),"Fix")))</f>
        <v>0</v>
      </c>
      <c r="N562" s="4">
        <f>IF(OR(INDEX($AH$2:$AH$1001,MATCH(ROWS($AG$2:AG562),$AG$2:$AG$1001,0),1)&gt;=100000,INDEX($AN$1005:$BO$1005,1,MATCH(COLUMNS($AN$1006:AZ1006),$AN$1006:$BO$1006,0))&gt;=100000), " ",IF(INDEX($AN$2:$BO$1001,MATCH(ROWS($AG$2:AG562),$AG$2:$AG$1001,0),MATCH(COLUMNS($AN$1006:AZ1006),$AN$1006:$BO$1006,0)), HYPERLINK("#",""), HYPERLINK(CONCATENATE("#Metadata!", ADDRESS(INDEX($AI$2:$AI$1001,MATCH(ROWS($AG$2:AG562),$AG$2:$AG$1001,0),0), INDEX($AN$1004:$BO$1004,1,MATCH(COLUMNS($AN$1006:AZ1006),$AN$1006:$BO$1006,0)))),"Fix")))</f>
        <v>0</v>
      </c>
      <c r="O562" s="4">
        <f>IF(OR(INDEX($AH$2:$AH$1001,MATCH(ROWS($AG$2:AG562),$AG$2:$AG$1001,0),1)&gt;=100000,INDEX($AN$1005:$BO$1005,1,MATCH(COLUMNS($AN$1006:BA1006),$AN$1006:$BO$1006,0))&gt;=100000), " ",IF(INDEX($AN$2:$BO$1001,MATCH(ROWS($AG$2:AG562),$AG$2:$AG$1001,0),MATCH(COLUMNS($AN$1006:BA1006),$AN$1006:$BO$1006,0)), HYPERLINK("#",""), HYPERLINK(CONCATENATE("#Metadata!", ADDRESS(INDEX($AI$2:$AI$1001,MATCH(ROWS($AG$2:AG562),$AG$2:$AG$1001,0),0), INDEX($AN$1004:$BO$1004,1,MATCH(COLUMNS($AN$1006:BA1006),$AN$1006:$BO$1006,0)))),"Fix")))</f>
        <v>0</v>
      </c>
      <c r="P562" s="4">
        <f>IF(OR(INDEX($AH$2:$AH$1001,MATCH(ROWS($AG$2:AG562),$AG$2:$AG$1001,0),1)&gt;=100000,INDEX($AN$1005:$BO$1005,1,MATCH(COLUMNS($AN$1006:BB1006),$AN$1006:$BO$1006,0))&gt;=100000), " ",IF(INDEX($AN$2:$BO$1001,MATCH(ROWS($AG$2:AG562),$AG$2:$AG$1001,0),MATCH(COLUMNS($AN$1006:BB1006),$AN$1006:$BO$1006,0)), HYPERLINK("#",""), HYPERLINK(CONCATENATE("#Metadata!", ADDRESS(INDEX($AI$2:$AI$1001,MATCH(ROWS($AG$2:AG562),$AG$2:$AG$1001,0),0), INDEX($AN$1004:$BO$1004,1,MATCH(COLUMNS($AN$1006:BB1006),$AN$1006:$BO$1006,0)))),"Fix")))</f>
        <v>0</v>
      </c>
      <c r="Q562" s="4">
        <f>IF(OR(INDEX($AH$2:$AH$1001,MATCH(ROWS($AG$2:AG562),$AG$2:$AG$1001,0),1)&gt;=100000,INDEX($AN$1005:$BO$1005,1,MATCH(COLUMNS($AN$1006:BC1006),$AN$1006:$BO$1006,0))&gt;=100000), " ",IF(INDEX($AN$2:$BO$1001,MATCH(ROWS($AG$2:AG562),$AG$2:$AG$1001,0),MATCH(COLUMNS($AN$1006:BC1006),$AN$1006:$BO$1006,0)), HYPERLINK("#",""), HYPERLINK(CONCATENATE("#Metadata!", ADDRESS(INDEX($AI$2:$AI$1001,MATCH(ROWS($AG$2:AG562),$AG$2:$AG$1001,0),0), INDEX($AN$1004:$BO$1004,1,MATCH(COLUMNS($AN$1006:BC1006),$AN$1006:$BO$1006,0)))),"Fix")))</f>
        <v>0</v>
      </c>
      <c r="R562" s="4">
        <f>IF(OR(INDEX($AH$2:$AH$1001,MATCH(ROWS($AG$2:AG562),$AG$2:$AG$1001,0),1)&gt;=100000,INDEX($AN$1005:$BO$1005,1,MATCH(COLUMNS($AN$1006:BD1006),$AN$1006:$BO$1006,0))&gt;=100000), " ",IF(INDEX($AN$2:$BO$1001,MATCH(ROWS($AG$2:AG562),$AG$2:$AG$1001,0),MATCH(COLUMNS($AN$1006:BD1006),$AN$1006:$BO$1006,0)), HYPERLINK("#",""), HYPERLINK(CONCATENATE("#Metadata!", ADDRESS(INDEX($AI$2:$AI$1001,MATCH(ROWS($AG$2:AG562),$AG$2:$AG$1001,0),0), INDEX($AN$1004:$BO$1004,1,MATCH(COLUMNS($AN$1006:BD1006),$AN$1006:$BO$1006,0)))),"Fix")))</f>
        <v>0</v>
      </c>
      <c r="S562" s="4">
        <f>IF(OR(INDEX($AH$2:$AH$1001,MATCH(ROWS($AG$2:AG562),$AG$2:$AG$1001,0),1)&gt;=100000,INDEX($AN$1005:$BO$1005,1,MATCH(COLUMNS($AN$1006:BE1006),$AN$1006:$BO$1006,0))&gt;=100000), " ",IF(INDEX($AN$2:$BO$1001,MATCH(ROWS($AG$2:AG562),$AG$2:$AG$1001,0),MATCH(COLUMNS($AN$1006:BE1006),$AN$1006:$BO$1006,0)), HYPERLINK("#",""), HYPERLINK(CONCATENATE("#Metadata!", ADDRESS(INDEX($AI$2:$AI$1001,MATCH(ROWS($AG$2:AG562),$AG$2:$AG$1001,0),0), INDEX($AN$1004:$BO$1004,1,MATCH(COLUMNS($AN$1006:BE1006),$AN$1006:$BO$1006,0)))),"Fix")))</f>
        <v>0</v>
      </c>
      <c r="T562" s="4">
        <f>IF(OR(INDEX($AH$2:$AH$1001,MATCH(ROWS($AG$2:AG562),$AG$2:$AG$1001,0),1)&gt;=100000,INDEX($AN$1005:$BO$1005,1,MATCH(COLUMNS($AN$1006:BF1006),$AN$1006:$BO$1006,0))&gt;=100000), " ",IF(INDEX($AN$2:$BO$1001,MATCH(ROWS($AG$2:AG562),$AG$2:$AG$1001,0),MATCH(COLUMNS($AN$1006:BF1006),$AN$1006:$BO$1006,0)), HYPERLINK("#",""), HYPERLINK(CONCATENATE("#Metadata!", ADDRESS(INDEX($AI$2:$AI$1001,MATCH(ROWS($AG$2:AG562),$AG$2:$AG$1001,0),0), INDEX($AN$1004:$BO$1004,1,MATCH(COLUMNS($AN$1006:BF1006),$AN$1006:$BO$1006,0)))),"Fix")))</f>
        <v>0</v>
      </c>
      <c r="U562" s="4">
        <f>IF(OR(INDEX($AH$2:$AH$1001,MATCH(ROWS($AG$2:AG562),$AG$2:$AG$1001,0),1)&gt;=100000,INDEX($AN$1005:$BO$1005,1,MATCH(COLUMNS($AN$1006:BG1006),$AN$1006:$BO$1006,0))&gt;=100000), " ",IF(INDEX($AN$2:$BO$1001,MATCH(ROWS($AG$2:AG562),$AG$2:$AG$1001,0),MATCH(COLUMNS($AN$1006:BG1006),$AN$1006:$BO$1006,0)), HYPERLINK("#",""), HYPERLINK(CONCATENATE("#Metadata!", ADDRESS(INDEX($AI$2:$AI$1001,MATCH(ROWS($AG$2:AG562),$AG$2:$AG$1001,0),0), INDEX($AN$1004:$BO$1004,1,MATCH(COLUMNS($AN$1006:BG1006),$AN$1006:$BO$1006,0)))),"Fix")))</f>
        <v>0</v>
      </c>
      <c r="V562" s="4">
        <f>IF(OR(INDEX($AH$2:$AH$1001,MATCH(ROWS($AG$2:AG562),$AG$2:$AG$1001,0),1)&gt;=100000,INDEX($AN$1005:$BO$1005,1,MATCH(COLUMNS($AN$1006:BH1006),$AN$1006:$BO$1006,0))&gt;=100000), " ",IF(INDEX($AN$2:$BO$1001,MATCH(ROWS($AG$2:AG562),$AG$2:$AG$1001,0),MATCH(COLUMNS($AN$1006:BH1006),$AN$1006:$BO$1006,0)), HYPERLINK("#",""), HYPERLINK(CONCATENATE("#Metadata!", ADDRESS(INDEX($AI$2:$AI$1001,MATCH(ROWS($AG$2:AG562),$AG$2:$AG$1001,0),0), INDEX($AN$1004:$BO$1004,1,MATCH(COLUMNS($AN$1006:BH1006),$AN$1006:$BO$1006,0)))),"Fix")))</f>
        <v>0</v>
      </c>
      <c r="W562" s="4">
        <f>IF(OR(INDEX($AH$2:$AH$1001,MATCH(ROWS($AG$2:AG562),$AG$2:$AG$1001,0),1)&gt;=100000,INDEX($AN$1005:$BO$1005,1,MATCH(COLUMNS($AN$1006:BI1006),$AN$1006:$BO$1006,0))&gt;=100000), " ",IF(INDEX($AN$2:$BO$1001,MATCH(ROWS($AG$2:AG562),$AG$2:$AG$1001,0),MATCH(COLUMNS($AN$1006:BI1006),$AN$1006:$BO$1006,0)), HYPERLINK("#",""), HYPERLINK(CONCATENATE("#Metadata!", ADDRESS(INDEX($AI$2:$AI$1001,MATCH(ROWS($AG$2:AG562),$AG$2:$AG$1001,0),0), INDEX($AN$1004:$BO$1004,1,MATCH(COLUMNS($AN$1006:BI1006),$AN$1006:$BO$1006,0)))),"Fix")))</f>
        <v>0</v>
      </c>
      <c r="X562" s="4">
        <f>IF(OR(INDEX($AH$2:$AH$1001,MATCH(ROWS($AG$2:AG562),$AG$2:$AG$1001,0),1)&gt;=100000,INDEX($AN$1005:$BO$1005,1,MATCH(COLUMNS($AN$1006:BJ1006),$AN$1006:$BO$1006,0))&gt;=100000), " ",IF(INDEX($AN$2:$BO$1001,MATCH(ROWS($AG$2:AG562),$AG$2:$AG$1001,0),MATCH(COLUMNS($AN$1006:BJ1006),$AN$1006:$BO$1006,0)), HYPERLINK("#",""), HYPERLINK(CONCATENATE("#Metadata!", ADDRESS(INDEX($AI$2:$AI$1001,MATCH(ROWS($AG$2:AG562),$AG$2:$AG$1001,0),0), INDEX($AN$1004:$BO$1004,1,MATCH(COLUMNS($AN$1006:BJ1006),$AN$1006:$BO$1006,0)))),"Fix")))</f>
        <v>0</v>
      </c>
      <c r="Y562" s="4">
        <f>IF(OR(INDEX($AH$2:$AH$1001,MATCH(ROWS($AG$2:AG562),$AG$2:$AG$1001,0),1)&gt;=100000,INDEX($AN$1005:$BO$1005,1,MATCH(COLUMNS($AN$1006:BK1006),$AN$1006:$BO$1006,0))&gt;=100000), " ",IF(INDEX($AN$2:$BO$1001,MATCH(ROWS($AG$2:AG562),$AG$2:$AG$1001,0),MATCH(COLUMNS($AN$1006:BK1006),$AN$1006:$BO$1006,0)), HYPERLINK("#",""), HYPERLINK(CONCATENATE("#Metadata!", ADDRESS(INDEX($AI$2:$AI$1001,MATCH(ROWS($AG$2:AG562),$AG$2:$AG$1001,0),0), INDEX($AN$1004:$BO$1004,1,MATCH(COLUMNS($AN$1006:BK1006),$AN$1006:$BO$1006,0)))),"Fix")))</f>
        <v>0</v>
      </c>
      <c r="Z562" s="4">
        <f>IF(OR(INDEX($AH$2:$AH$1001,MATCH(ROWS($AG$2:AG562),$AG$2:$AG$1001,0),1)&gt;=100000,INDEX($AN$1005:$BO$1005,1,MATCH(COLUMNS($AN$1006:BL1006),$AN$1006:$BO$1006,0))&gt;=100000), " ",IF(INDEX($AN$2:$BO$1001,MATCH(ROWS($AG$2:AG562),$AG$2:$AG$1001,0),MATCH(COLUMNS($AN$1006:BL1006),$AN$1006:$BO$1006,0)), HYPERLINK("#",""), HYPERLINK(CONCATENATE("#Metadata!", ADDRESS(INDEX($AI$2:$AI$1001,MATCH(ROWS($AG$2:AG562),$AG$2:$AG$1001,0),0), INDEX($AN$1004:$BO$1004,1,MATCH(COLUMNS($AN$1006:BL1006),$AN$1006:$BO$1006,0)))),"Fix")))</f>
        <v>0</v>
      </c>
      <c r="AA562" s="4">
        <f>IF(OR(INDEX($AH$2:$AH$1001,MATCH(ROWS($AG$2:AG562),$AG$2:$AG$1001,0),1)&gt;=100000,INDEX($AN$1005:$BO$1005,1,MATCH(COLUMNS($AN$1006:BM1006),$AN$1006:$BO$1006,0))&gt;=100000), " ",IF(INDEX($AN$2:$BO$1001,MATCH(ROWS($AG$2:AG562),$AG$2:$AG$1001,0),MATCH(COLUMNS($AN$1006:BM1006),$AN$1006:$BO$1006,0)), HYPERLINK("#",""), HYPERLINK(CONCATENATE("#Metadata!", ADDRESS(INDEX($AI$2:$AI$1001,MATCH(ROWS($AG$2:AG562),$AG$2:$AG$1001,0),0), INDEX($AN$1004:$BO$1004,1,MATCH(COLUMNS($AN$1006:BM1006),$AN$1006:$BO$1006,0)))),"Fix")))</f>
        <v>0</v>
      </c>
      <c r="AB562" s="4">
        <f>IF(OR(INDEX($AH$2:$AH$1001,MATCH(ROWS($AG$2:AG562),$AG$2:$AG$1001,0),1)&gt;=100000,INDEX($AN$1005:$BO$1005,1,MATCH(COLUMNS($AN$1006:BN1006),$AN$1006:$BO$1006,0))&gt;=100000), " ",IF(INDEX($AN$2:$BO$1001,MATCH(ROWS($AG$2:AG562),$AG$2:$AG$1001,0),MATCH(COLUMNS($AN$1006:BN1006),$AN$1006:$BO$1006,0)), HYPERLINK("#",""), HYPERLINK(CONCATENATE("#Metadata!", ADDRESS(INDEX($AI$2:$AI$1001,MATCH(ROWS($AG$2:AG562),$AG$2:$AG$1001,0),0), INDEX($AN$1004:$BO$1004,1,MATCH(COLUMNS($AN$1006:BN1006),$AN$1006:$BO$1006,0)))),"Fix")))</f>
        <v>0</v>
      </c>
      <c r="AC562" s="4">
        <f>IF(OR(INDEX($AH$2:$AH$1001,MATCH(ROWS($AG$2:AG562),$AG$2:$AG$1001,0),1)&gt;=100000,INDEX($AN$1005:$BO$1005,1,MATCH(COLUMNS($AN$1006:BO1006),$AN$1006:$BO$1006,0))&gt;=100000), " ",IF(INDEX($AN$2:$BO$1001,MATCH(ROWS($AG$2:AG562),$AG$2:$AG$1001,0),MATCH(COLUMNS($AN$1006:BO1006),$AN$1006:$BO$1006,0)), HYPERLINK("#",""), HYPERLINK(CONCATENATE("#Metadata!", ADDRESS(INDEX($AI$2:$AI$1001,MATCH(ROWS($AG$2:AG562),$AG$2:$AG$1001,0),0), INDEX($AN$1004:$BO$1004,1,MATCH(COLUMNS($AN$1006:BO1006),$AN$1006:$BO$1006,0)))),"Fix")))</f>
        <v>0</v>
      </c>
      <c r="AG562">
        <v>0</v>
      </c>
      <c r="AH562">
        <v>0</v>
      </c>
      <c r="AI562">
        <v>0</v>
      </c>
      <c r="AJ562">
        <f>IF(AK562,TRUE,AND(AN562:BO562))</f>
        <v>0</v>
      </c>
      <c r="AK562">
        <f>COUNTBLANK(Metadata!B562:AC562)=COLUMNS(Metadata!B562:AC562)</f>
        <v>0</v>
      </c>
      <c r="AL562">
        <v>0</v>
      </c>
      <c r="AN562">
        <f>AND(IF(Metadata!B562="",FALSE,TRUE),COUNTIF(Metadata!B:B, Metadata!B562) = 1,NOT(ISERROR(SUMPRODUCT(SEARCH(MID(Metadata!B562,ROW(INDIRECT("1:"&amp;LEN(Metadata!B562))), 1),"0123456789abcdefghijklmnopqrstuvwxyzABCDEFGHIJKLMNOPQRSTUVWXYZ.")))))</f>
        <v>0</v>
      </c>
      <c r="AO562">
        <f>IF(Metadata!C562="",FALSE,TRUE)</f>
        <v>0</v>
      </c>
      <c r="AP562">
        <f>IF(Metadata!D562="",FALSE,TRUE)</f>
        <v>0</v>
      </c>
      <c r="AQ562">
        <f>OR(AND(IF(Metadata!E562="",FALSE,TRUE),OR(exact(Metadata!E562,"not collected"),exact(Metadata!E562,"not provided"),exact(Metadata!E562,"restricted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R562">
        <f>IF(Metadata!F562="",FALSE,TRUE)</f>
        <v>0</v>
      </c>
      <c r="AS562">
        <f>OR(AND(IF(Metadata!G562="",FALSE,TRUE),OR(exact(Metadata!G562,"not collected"),exact(Metadata!G562,"not provided"))),AND(IF(Metadata!G562="",FALSE,TRUE),OR(exact(Metadata!G562,"TRUE"),exact(Metadata!G562,"FALSE"))))</f>
        <v>0</v>
      </c>
      <c r="AT562">
        <f>OR(AND(IF(Metadata!H562="",FALSE,TRUE),OR(exact(Metadata!H562,"not collected"),exact(Metadata!H562,"not provided"),exact(Metadata!H562,"restricted access"))),AND(IF(Metadata!H562="",FALSE,ISNUMBER(VALUE(Metadata!H562))),Metadata!H562&gt;=-413.0))</f>
        <v>0</v>
      </c>
      <c r="AU562">
        <f>AND(IF(Metadata!I562="",FALSE,TRUE),exact(Metadata!I562,"meters"))</f>
        <v>0</v>
      </c>
      <c r="AV562">
        <f>AND(IF(Metadata!J562="",FALSE,TRUE),OR(exact(Metadata!J562,"Host-associated"),exact(Metadata!J562,"Free-living")))</f>
        <v>0</v>
      </c>
      <c r="AW562">
        <f>AND(IF(Metadata!K562="",FALSE,TRUE),OR(exact(Metadata!K562,"Animal"),exact(Metadata!K562,"Fungus"),exact(Metadata!K562,"Plant"),exact(Metadata!K562,"Saline"),exact(Metadata!K562,"Non-saline")))</f>
        <v>0</v>
      </c>
      <c r="AX562">
        <f>AND(IF(Metadata!L562="",FALSE,TRUE),OR(exact(Metadata!L562,"Plant secretion"),exact(Metadata!L562,"Plant rhizosphere"),exact(Metadata!L562,"Plant surface"),exact(Metadata!L562,"Plant corpus"),exact(Metadata!L562,"Fungus surface"),exact(Metadata!L562,"Fungus corpus"),exact(Metadata!L562,"Animal surface"),exact(Metadata!L562,"Animal proximal gut"),exact(Metadata!L562,"Animal corpus"),exact(Metadata!L562,"Animal distal gut"),exact(Metadata!L562,"Animal secretion"),exact(Metadata!L562,"Sub-surface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Y562">
        <f>IF(Metadata!M562="",FALSE,TRUE)</f>
        <v>0</v>
      </c>
      <c r="AZ562">
        <f>IF(Metadata!N562="",FALSE,TRUE)</f>
        <v>0</v>
      </c>
      <c r="BA562">
        <f>IF(Metadata!O562="",FALSE,TRUE)</f>
        <v>0</v>
      </c>
      <c r="BB562">
        <f>OR(AND(IF(Metadata!P562="",FALSE,TRUE),OR(exact(Metadata!P562,"not collected"),exact(Metadata!P562,"not provided"),exact(Metadata!P562,"restricted access"))),AND(IF(Metadata!P562="",FALSE,TRUE),OR(exact(Metadata!P562,"air"),exact(Metadata!P562,"built environment"),exact(Metadata!P562,"host-associated"),exact(Metadata!P562,"human-associated"),exact(Metadata!P562,"human-skin"),exact(Metadata!P562,"human-oral"),exact(Metadata!P562,"human-gut"),exact(Metadata!P562,"human-vaginal"),exact(Metadata!P562,"microbial mat/biofilm"),exact(Metadata!P562,"misc environment"),exact(Metadata!P562,"plant-associated"),exact(Metadata!P562,"sediment"),exact(Metadata!P562,"soil"),exact(Metadata!P562,"wastewater/sludge"),exact(Metadata!P562,"water"))))</f>
        <v>0</v>
      </c>
      <c r="BC562">
        <f>IF(Metadata!Q562="",FALSE,TRUE)</f>
        <v>0</v>
      </c>
      <c r="BD562">
        <f>IF(Metadata!R562="",FALSE,TRUE)</f>
        <v>0</v>
      </c>
      <c r="BE562">
        <f>OR(AND(IF(Metadata!S562="",FALSE,TRUE),OR(exact(Metadata!S562,"not collected"),exact(Metadata!S562,"not provided"),exact(Metadata!S562,"restricted access"))),AND(IF(Metadata!S562="",FALSE,ISNUMBER(VALUE(Metadata!S562))),Metadata!S562&gt;=-90.00,Metadata!S562&lt;=90.00))</f>
        <v>0</v>
      </c>
      <c r="BF562">
        <f>AND(IF(Metadata!T562="",FALSE,TRUE),exact(Metadata!T562,"Decimal degrees"))</f>
        <v>0</v>
      </c>
      <c r="BG562">
        <f>OR(AND(IF(Metadata!U562="",FALSE,TRUE),OR(exact(Metadata!U562,"not collected"),exact(Metadata!U562,"not provided"),exact(Metadata!U562,"restricted access"))),AND(IF(Metadata!U562="",FALSE,ISNUMBER(VALUE(Metadata!U562))),Metadata!U562&gt;=-180.00,Metadata!U562&lt;=180.00))</f>
        <v>0</v>
      </c>
      <c r="BH562">
        <f>AND(IF(Metadata!V562="",FALSE,TRUE),exact(Metadata!V562,"Decimal degrees"))</f>
        <v>0</v>
      </c>
      <c r="BI562">
        <f>IF(Metadata!W562="",FALSE,TRUE)</f>
        <v>0</v>
      </c>
      <c r="BJ562">
        <f>OR(AND(IF(Metadata!X562="",FALSE,TRUE),OR(exact(Metadata!X562,"not collected"),exact(Metadata!X562,"not provided"),exact(Metadata!X562,"restricted access"))),AND(IF(Metadata!X562="",FALSE,TRUE),OR(exact(Metadata!X562,"TRUE"),exact(Metadata!X562,"FALSE"))))</f>
        <v>0</v>
      </c>
      <c r="BK562">
        <f>AND(IF(Metadata!Y562="",FALSE,TRUE),exact(Metadata!Y562,"other"))</f>
        <v>0</v>
      </c>
      <c r="BL562">
        <f>IF(Metadata!Z562="",FALSE,TRUE)</f>
        <v>0</v>
      </c>
      <c r="BM562">
        <f>OR(AND(IF(Metadata!AA562="",FALSE,TRUE),OR(exact(Metadata!AA562,"not collected"),exact(Metadata!AA562,"not provided"))),AND(IF(Metadata!AA562="",FALSE,IF(ISERROR(INT(Metadata!AA562)),FALSE,INT(Metadata!AA562)=Metadata!AA562)),Metadata!AA562&gt;0))</f>
        <v>0</v>
      </c>
      <c r="BN562">
        <f>AND(IF(Metadata!AB562="",FALSE,TRUE),exact(Metadata!AB562,"Not applicable"))</f>
        <v>0</v>
      </c>
      <c r="BO562">
        <f>IF(Metadata!AC562="",FALSE,TRUE)</f>
        <v>0</v>
      </c>
    </row>
    <row r="563" spans="1:67">
      <c r="A563" s="5">
        <f>IF(B563=" "," ",HYPERLINK(CONCATENATE("#metadata!",ADDRESS(INDEX($AI$2:$AI$1001,MATCH(ROWS($AG$2:AG563),$AG$2:$AG$1001,0),0),1)),INDEX($AL$2:$AL$1001,MATCH(ROWS($AG$2:AG563),$AG$2:$AG$1001,0),0)))</f>
        <v>0</v>
      </c>
      <c r="B563" s="4">
        <f>IF(OR(INDEX($AH$2:$AH$1001,MATCH(ROWS($AG$2:AG563),$AG$2:$AG$1001,0),1)&gt;=100000,INDEX($AN$1005:$BO$1005,1,MATCH(COLUMNS($AN$1006:AN1006),$AN$1006:$BO$1006,0))&gt;=100000), " ",IF(INDEX($AN$2:$BO$1001,MATCH(ROWS($AG$2:AG563),$AG$2:$AG$1001,0),MATCH(COLUMNS($AN$1006:AN1006),$AN$1006:$BO$1006,0)), HYPERLINK("#",""), HYPERLINK(CONCATENATE("#Metadata!", ADDRESS(INDEX($AI$2:$AI$1001,MATCH(ROWS($AG$2:AG563),$AG$2:$AG$1001,0),0), INDEX($AN$1004:$BO$1004,1,MATCH(COLUMNS($AN$1006:AN1006),$AN$1006:$BO$1006,0)))),"Fix")))</f>
        <v>0</v>
      </c>
      <c r="C563" s="4">
        <f>IF(OR(INDEX($AH$2:$AH$1001,MATCH(ROWS($AG$2:AG563),$AG$2:$AG$1001,0),1)&gt;=100000,INDEX($AN$1005:$BO$1005,1,MATCH(COLUMNS($AN$1006:AO1006),$AN$1006:$BO$1006,0))&gt;=100000), " ",IF(INDEX($AN$2:$BO$1001,MATCH(ROWS($AG$2:AG563),$AG$2:$AG$1001,0),MATCH(COLUMNS($AN$1006:AO1006),$AN$1006:$BO$1006,0)), HYPERLINK("#",""), HYPERLINK(CONCATENATE("#Metadata!", ADDRESS(INDEX($AI$2:$AI$1001,MATCH(ROWS($AG$2:AG563),$AG$2:$AG$1001,0),0), INDEX($AN$1004:$BO$1004,1,MATCH(COLUMNS($AN$1006:AO1006),$AN$1006:$BO$1006,0)))),"Fix")))</f>
        <v>0</v>
      </c>
      <c r="D563" s="4">
        <f>IF(OR(INDEX($AH$2:$AH$1001,MATCH(ROWS($AG$2:AG563),$AG$2:$AG$1001,0),1)&gt;=100000,INDEX($AN$1005:$BO$1005,1,MATCH(COLUMNS($AN$1006:AP1006),$AN$1006:$BO$1006,0))&gt;=100000), " ",IF(INDEX($AN$2:$BO$1001,MATCH(ROWS($AG$2:AG563),$AG$2:$AG$1001,0),MATCH(COLUMNS($AN$1006:AP1006),$AN$1006:$BO$1006,0)), HYPERLINK("#",""), HYPERLINK(CONCATENATE("#Metadata!", ADDRESS(INDEX($AI$2:$AI$1001,MATCH(ROWS($AG$2:AG563),$AG$2:$AG$1001,0),0), INDEX($AN$1004:$BO$1004,1,MATCH(COLUMNS($AN$1006:AP1006),$AN$1006:$BO$1006,0)))),"Fix")))</f>
        <v>0</v>
      </c>
      <c r="E563" s="4">
        <f>IF(OR(INDEX($AH$2:$AH$1001,MATCH(ROWS($AG$2:AG563),$AG$2:$AG$1001,0),1)&gt;=100000,INDEX($AN$1005:$BO$1005,1,MATCH(COLUMNS($AN$1006:AQ1006),$AN$1006:$BO$1006,0))&gt;=100000), " ",IF(INDEX($AN$2:$BO$1001,MATCH(ROWS($AG$2:AG563),$AG$2:$AG$1001,0),MATCH(COLUMNS($AN$1006:AQ1006),$AN$1006:$BO$1006,0)), HYPERLINK("#",""), HYPERLINK(CONCATENATE("#Metadata!", ADDRESS(INDEX($AI$2:$AI$1001,MATCH(ROWS($AG$2:AG563),$AG$2:$AG$1001,0),0), INDEX($AN$1004:$BO$1004,1,MATCH(COLUMNS($AN$1006:AQ1006),$AN$1006:$BO$1006,0)))),"Fix")))</f>
        <v>0</v>
      </c>
      <c r="F563" s="4">
        <f>IF(OR(INDEX($AH$2:$AH$1001,MATCH(ROWS($AG$2:AG563),$AG$2:$AG$1001,0),1)&gt;=100000,INDEX($AN$1005:$BO$1005,1,MATCH(COLUMNS($AN$1006:AR1006),$AN$1006:$BO$1006,0))&gt;=100000), " ",IF(INDEX($AN$2:$BO$1001,MATCH(ROWS($AG$2:AG563),$AG$2:$AG$1001,0),MATCH(COLUMNS($AN$1006:AR1006),$AN$1006:$BO$1006,0)), HYPERLINK("#",""), HYPERLINK(CONCATENATE("#Metadata!", ADDRESS(INDEX($AI$2:$AI$1001,MATCH(ROWS($AG$2:AG563),$AG$2:$AG$1001,0),0), INDEX($AN$1004:$BO$1004,1,MATCH(COLUMNS($AN$1006:AR1006),$AN$1006:$BO$1006,0)))),"Fix")))</f>
        <v>0</v>
      </c>
      <c r="G563" s="4">
        <f>IF(OR(INDEX($AH$2:$AH$1001,MATCH(ROWS($AG$2:AG563),$AG$2:$AG$1001,0),1)&gt;=100000,INDEX($AN$1005:$BO$1005,1,MATCH(COLUMNS($AN$1006:AS1006),$AN$1006:$BO$1006,0))&gt;=100000), " ",IF(INDEX($AN$2:$BO$1001,MATCH(ROWS($AG$2:AG563),$AG$2:$AG$1001,0),MATCH(COLUMNS($AN$1006:AS1006),$AN$1006:$BO$1006,0)), HYPERLINK("#",""), HYPERLINK(CONCATENATE("#Metadata!", ADDRESS(INDEX($AI$2:$AI$1001,MATCH(ROWS($AG$2:AG563),$AG$2:$AG$1001,0),0), INDEX($AN$1004:$BO$1004,1,MATCH(COLUMNS($AN$1006:AS1006),$AN$1006:$BO$1006,0)))),"Fix")))</f>
        <v>0</v>
      </c>
      <c r="H563" s="4">
        <f>IF(OR(INDEX($AH$2:$AH$1001,MATCH(ROWS($AG$2:AG563),$AG$2:$AG$1001,0),1)&gt;=100000,INDEX($AN$1005:$BO$1005,1,MATCH(COLUMNS($AN$1006:AT1006),$AN$1006:$BO$1006,0))&gt;=100000), " ",IF(INDEX($AN$2:$BO$1001,MATCH(ROWS($AG$2:AG563),$AG$2:$AG$1001,0),MATCH(COLUMNS($AN$1006:AT1006),$AN$1006:$BO$1006,0)), HYPERLINK("#",""), HYPERLINK(CONCATENATE("#Metadata!", ADDRESS(INDEX($AI$2:$AI$1001,MATCH(ROWS($AG$2:AG563),$AG$2:$AG$1001,0),0), INDEX($AN$1004:$BO$1004,1,MATCH(COLUMNS($AN$1006:AT1006),$AN$1006:$BO$1006,0)))),"Fix")))</f>
        <v>0</v>
      </c>
      <c r="I563" s="4">
        <f>IF(OR(INDEX($AH$2:$AH$1001,MATCH(ROWS($AG$2:AG563),$AG$2:$AG$1001,0),1)&gt;=100000,INDEX($AN$1005:$BO$1005,1,MATCH(COLUMNS($AN$1006:AU1006),$AN$1006:$BO$1006,0))&gt;=100000), " ",IF(INDEX($AN$2:$BO$1001,MATCH(ROWS($AG$2:AG563),$AG$2:$AG$1001,0),MATCH(COLUMNS($AN$1006:AU1006),$AN$1006:$BO$1006,0)), HYPERLINK("#",""), HYPERLINK(CONCATENATE("#Metadata!", ADDRESS(INDEX($AI$2:$AI$1001,MATCH(ROWS($AG$2:AG563),$AG$2:$AG$1001,0),0), INDEX($AN$1004:$BO$1004,1,MATCH(COLUMNS($AN$1006:AU1006),$AN$1006:$BO$1006,0)))),"Fix")))</f>
        <v>0</v>
      </c>
      <c r="J563" s="4">
        <f>IF(OR(INDEX($AH$2:$AH$1001,MATCH(ROWS($AG$2:AG563),$AG$2:$AG$1001,0),1)&gt;=100000,INDEX($AN$1005:$BO$1005,1,MATCH(COLUMNS($AN$1006:AV1006),$AN$1006:$BO$1006,0))&gt;=100000), " ",IF(INDEX($AN$2:$BO$1001,MATCH(ROWS($AG$2:AG563),$AG$2:$AG$1001,0),MATCH(COLUMNS($AN$1006:AV1006),$AN$1006:$BO$1006,0)), HYPERLINK("#",""), HYPERLINK(CONCATENATE("#Metadata!", ADDRESS(INDEX($AI$2:$AI$1001,MATCH(ROWS($AG$2:AG563),$AG$2:$AG$1001,0),0), INDEX($AN$1004:$BO$1004,1,MATCH(COLUMNS($AN$1006:AV1006),$AN$1006:$BO$1006,0)))),"Fix")))</f>
        <v>0</v>
      </c>
      <c r="K563" s="4">
        <f>IF(OR(INDEX($AH$2:$AH$1001,MATCH(ROWS($AG$2:AG563),$AG$2:$AG$1001,0),1)&gt;=100000,INDEX($AN$1005:$BO$1005,1,MATCH(COLUMNS($AN$1006:AW1006),$AN$1006:$BO$1006,0))&gt;=100000), " ",IF(INDEX($AN$2:$BO$1001,MATCH(ROWS($AG$2:AG563),$AG$2:$AG$1001,0),MATCH(COLUMNS($AN$1006:AW1006),$AN$1006:$BO$1006,0)), HYPERLINK("#",""), HYPERLINK(CONCATENATE("#Metadata!", ADDRESS(INDEX($AI$2:$AI$1001,MATCH(ROWS($AG$2:AG563),$AG$2:$AG$1001,0),0), INDEX($AN$1004:$BO$1004,1,MATCH(COLUMNS($AN$1006:AW1006),$AN$1006:$BO$1006,0)))),"Fix")))</f>
        <v>0</v>
      </c>
      <c r="L563" s="4">
        <f>IF(OR(INDEX($AH$2:$AH$1001,MATCH(ROWS($AG$2:AG563),$AG$2:$AG$1001,0),1)&gt;=100000,INDEX($AN$1005:$BO$1005,1,MATCH(COLUMNS($AN$1006:AX1006),$AN$1006:$BO$1006,0))&gt;=100000), " ",IF(INDEX($AN$2:$BO$1001,MATCH(ROWS($AG$2:AG563),$AG$2:$AG$1001,0),MATCH(COLUMNS($AN$1006:AX1006),$AN$1006:$BO$1006,0)), HYPERLINK("#",""), HYPERLINK(CONCATENATE("#Metadata!", ADDRESS(INDEX($AI$2:$AI$1001,MATCH(ROWS($AG$2:AG563),$AG$2:$AG$1001,0),0), INDEX($AN$1004:$BO$1004,1,MATCH(COLUMNS($AN$1006:AX1006),$AN$1006:$BO$1006,0)))),"Fix")))</f>
        <v>0</v>
      </c>
      <c r="M563" s="4">
        <f>IF(OR(INDEX($AH$2:$AH$1001,MATCH(ROWS($AG$2:AG563),$AG$2:$AG$1001,0),1)&gt;=100000,INDEX($AN$1005:$BO$1005,1,MATCH(COLUMNS($AN$1006:AY1006),$AN$1006:$BO$1006,0))&gt;=100000), " ",IF(INDEX($AN$2:$BO$1001,MATCH(ROWS($AG$2:AG563),$AG$2:$AG$1001,0),MATCH(COLUMNS($AN$1006:AY1006),$AN$1006:$BO$1006,0)), HYPERLINK("#",""), HYPERLINK(CONCATENATE("#Metadata!", ADDRESS(INDEX($AI$2:$AI$1001,MATCH(ROWS($AG$2:AG563),$AG$2:$AG$1001,0),0), INDEX($AN$1004:$BO$1004,1,MATCH(COLUMNS($AN$1006:AY1006),$AN$1006:$BO$1006,0)))),"Fix")))</f>
        <v>0</v>
      </c>
      <c r="N563" s="4">
        <f>IF(OR(INDEX($AH$2:$AH$1001,MATCH(ROWS($AG$2:AG563),$AG$2:$AG$1001,0),1)&gt;=100000,INDEX($AN$1005:$BO$1005,1,MATCH(COLUMNS($AN$1006:AZ1006),$AN$1006:$BO$1006,0))&gt;=100000), " ",IF(INDEX($AN$2:$BO$1001,MATCH(ROWS($AG$2:AG563),$AG$2:$AG$1001,0),MATCH(COLUMNS($AN$1006:AZ1006),$AN$1006:$BO$1006,0)), HYPERLINK("#",""), HYPERLINK(CONCATENATE("#Metadata!", ADDRESS(INDEX($AI$2:$AI$1001,MATCH(ROWS($AG$2:AG563),$AG$2:$AG$1001,0),0), INDEX($AN$1004:$BO$1004,1,MATCH(COLUMNS($AN$1006:AZ1006),$AN$1006:$BO$1006,0)))),"Fix")))</f>
        <v>0</v>
      </c>
      <c r="O563" s="4">
        <f>IF(OR(INDEX($AH$2:$AH$1001,MATCH(ROWS($AG$2:AG563),$AG$2:$AG$1001,0),1)&gt;=100000,INDEX($AN$1005:$BO$1005,1,MATCH(COLUMNS($AN$1006:BA1006),$AN$1006:$BO$1006,0))&gt;=100000), " ",IF(INDEX($AN$2:$BO$1001,MATCH(ROWS($AG$2:AG563),$AG$2:$AG$1001,0),MATCH(COLUMNS($AN$1006:BA1006),$AN$1006:$BO$1006,0)), HYPERLINK("#",""), HYPERLINK(CONCATENATE("#Metadata!", ADDRESS(INDEX($AI$2:$AI$1001,MATCH(ROWS($AG$2:AG563),$AG$2:$AG$1001,0),0), INDEX($AN$1004:$BO$1004,1,MATCH(COLUMNS($AN$1006:BA1006),$AN$1006:$BO$1006,0)))),"Fix")))</f>
        <v>0</v>
      </c>
      <c r="P563" s="4">
        <f>IF(OR(INDEX($AH$2:$AH$1001,MATCH(ROWS($AG$2:AG563),$AG$2:$AG$1001,0),1)&gt;=100000,INDEX($AN$1005:$BO$1005,1,MATCH(COLUMNS($AN$1006:BB1006),$AN$1006:$BO$1006,0))&gt;=100000), " ",IF(INDEX($AN$2:$BO$1001,MATCH(ROWS($AG$2:AG563),$AG$2:$AG$1001,0),MATCH(COLUMNS($AN$1006:BB1006),$AN$1006:$BO$1006,0)), HYPERLINK("#",""), HYPERLINK(CONCATENATE("#Metadata!", ADDRESS(INDEX($AI$2:$AI$1001,MATCH(ROWS($AG$2:AG563),$AG$2:$AG$1001,0),0), INDEX($AN$1004:$BO$1004,1,MATCH(COLUMNS($AN$1006:BB1006),$AN$1006:$BO$1006,0)))),"Fix")))</f>
        <v>0</v>
      </c>
      <c r="Q563" s="4">
        <f>IF(OR(INDEX($AH$2:$AH$1001,MATCH(ROWS($AG$2:AG563),$AG$2:$AG$1001,0),1)&gt;=100000,INDEX($AN$1005:$BO$1005,1,MATCH(COLUMNS($AN$1006:BC1006),$AN$1006:$BO$1006,0))&gt;=100000), " ",IF(INDEX($AN$2:$BO$1001,MATCH(ROWS($AG$2:AG563),$AG$2:$AG$1001,0),MATCH(COLUMNS($AN$1006:BC1006),$AN$1006:$BO$1006,0)), HYPERLINK("#",""), HYPERLINK(CONCATENATE("#Metadata!", ADDRESS(INDEX($AI$2:$AI$1001,MATCH(ROWS($AG$2:AG563),$AG$2:$AG$1001,0),0), INDEX($AN$1004:$BO$1004,1,MATCH(COLUMNS($AN$1006:BC1006),$AN$1006:$BO$1006,0)))),"Fix")))</f>
        <v>0</v>
      </c>
      <c r="R563" s="4">
        <f>IF(OR(INDEX($AH$2:$AH$1001,MATCH(ROWS($AG$2:AG563),$AG$2:$AG$1001,0),1)&gt;=100000,INDEX($AN$1005:$BO$1005,1,MATCH(COLUMNS($AN$1006:BD1006),$AN$1006:$BO$1006,0))&gt;=100000), " ",IF(INDEX($AN$2:$BO$1001,MATCH(ROWS($AG$2:AG563),$AG$2:$AG$1001,0),MATCH(COLUMNS($AN$1006:BD1006),$AN$1006:$BO$1006,0)), HYPERLINK("#",""), HYPERLINK(CONCATENATE("#Metadata!", ADDRESS(INDEX($AI$2:$AI$1001,MATCH(ROWS($AG$2:AG563),$AG$2:$AG$1001,0),0), INDEX($AN$1004:$BO$1004,1,MATCH(COLUMNS($AN$1006:BD1006),$AN$1006:$BO$1006,0)))),"Fix")))</f>
        <v>0</v>
      </c>
      <c r="S563" s="4">
        <f>IF(OR(INDEX($AH$2:$AH$1001,MATCH(ROWS($AG$2:AG563),$AG$2:$AG$1001,0),1)&gt;=100000,INDEX($AN$1005:$BO$1005,1,MATCH(COLUMNS($AN$1006:BE1006),$AN$1006:$BO$1006,0))&gt;=100000), " ",IF(INDEX($AN$2:$BO$1001,MATCH(ROWS($AG$2:AG563),$AG$2:$AG$1001,0),MATCH(COLUMNS($AN$1006:BE1006),$AN$1006:$BO$1006,0)), HYPERLINK("#",""), HYPERLINK(CONCATENATE("#Metadata!", ADDRESS(INDEX($AI$2:$AI$1001,MATCH(ROWS($AG$2:AG563),$AG$2:$AG$1001,0),0), INDEX($AN$1004:$BO$1004,1,MATCH(COLUMNS($AN$1006:BE1006),$AN$1006:$BO$1006,0)))),"Fix")))</f>
        <v>0</v>
      </c>
      <c r="T563" s="4">
        <f>IF(OR(INDEX($AH$2:$AH$1001,MATCH(ROWS($AG$2:AG563),$AG$2:$AG$1001,0),1)&gt;=100000,INDEX($AN$1005:$BO$1005,1,MATCH(COLUMNS($AN$1006:BF1006),$AN$1006:$BO$1006,0))&gt;=100000), " ",IF(INDEX($AN$2:$BO$1001,MATCH(ROWS($AG$2:AG563),$AG$2:$AG$1001,0),MATCH(COLUMNS($AN$1006:BF1006),$AN$1006:$BO$1006,0)), HYPERLINK("#",""), HYPERLINK(CONCATENATE("#Metadata!", ADDRESS(INDEX($AI$2:$AI$1001,MATCH(ROWS($AG$2:AG563),$AG$2:$AG$1001,0),0), INDEX($AN$1004:$BO$1004,1,MATCH(COLUMNS($AN$1006:BF1006),$AN$1006:$BO$1006,0)))),"Fix")))</f>
        <v>0</v>
      </c>
      <c r="U563" s="4">
        <f>IF(OR(INDEX($AH$2:$AH$1001,MATCH(ROWS($AG$2:AG563),$AG$2:$AG$1001,0),1)&gt;=100000,INDEX($AN$1005:$BO$1005,1,MATCH(COLUMNS($AN$1006:BG1006),$AN$1006:$BO$1006,0))&gt;=100000), " ",IF(INDEX($AN$2:$BO$1001,MATCH(ROWS($AG$2:AG563),$AG$2:$AG$1001,0),MATCH(COLUMNS($AN$1006:BG1006),$AN$1006:$BO$1006,0)), HYPERLINK("#",""), HYPERLINK(CONCATENATE("#Metadata!", ADDRESS(INDEX($AI$2:$AI$1001,MATCH(ROWS($AG$2:AG563),$AG$2:$AG$1001,0),0), INDEX($AN$1004:$BO$1004,1,MATCH(COLUMNS($AN$1006:BG1006),$AN$1006:$BO$1006,0)))),"Fix")))</f>
        <v>0</v>
      </c>
      <c r="V563" s="4">
        <f>IF(OR(INDEX($AH$2:$AH$1001,MATCH(ROWS($AG$2:AG563),$AG$2:$AG$1001,0),1)&gt;=100000,INDEX($AN$1005:$BO$1005,1,MATCH(COLUMNS($AN$1006:BH1006),$AN$1006:$BO$1006,0))&gt;=100000), " ",IF(INDEX($AN$2:$BO$1001,MATCH(ROWS($AG$2:AG563),$AG$2:$AG$1001,0),MATCH(COLUMNS($AN$1006:BH1006),$AN$1006:$BO$1006,0)), HYPERLINK("#",""), HYPERLINK(CONCATENATE("#Metadata!", ADDRESS(INDEX($AI$2:$AI$1001,MATCH(ROWS($AG$2:AG563),$AG$2:$AG$1001,0),0), INDEX($AN$1004:$BO$1004,1,MATCH(COLUMNS($AN$1006:BH1006),$AN$1006:$BO$1006,0)))),"Fix")))</f>
        <v>0</v>
      </c>
      <c r="W563" s="4">
        <f>IF(OR(INDEX($AH$2:$AH$1001,MATCH(ROWS($AG$2:AG563),$AG$2:$AG$1001,0),1)&gt;=100000,INDEX($AN$1005:$BO$1005,1,MATCH(COLUMNS($AN$1006:BI1006),$AN$1006:$BO$1006,0))&gt;=100000), " ",IF(INDEX($AN$2:$BO$1001,MATCH(ROWS($AG$2:AG563),$AG$2:$AG$1001,0),MATCH(COLUMNS($AN$1006:BI1006),$AN$1006:$BO$1006,0)), HYPERLINK("#",""), HYPERLINK(CONCATENATE("#Metadata!", ADDRESS(INDEX($AI$2:$AI$1001,MATCH(ROWS($AG$2:AG563),$AG$2:$AG$1001,0),0), INDEX($AN$1004:$BO$1004,1,MATCH(COLUMNS($AN$1006:BI1006),$AN$1006:$BO$1006,0)))),"Fix")))</f>
        <v>0</v>
      </c>
      <c r="X563" s="4">
        <f>IF(OR(INDEX($AH$2:$AH$1001,MATCH(ROWS($AG$2:AG563),$AG$2:$AG$1001,0),1)&gt;=100000,INDEX($AN$1005:$BO$1005,1,MATCH(COLUMNS($AN$1006:BJ1006),$AN$1006:$BO$1006,0))&gt;=100000), " ",IF(INDEX($AN$2:$BO$1001,MATCH(ROWS($AG$2:AG563),$AG$2:$AG$1001,0),MATCH(COLUMNS($AN$1006:BJ1006),$AN$1006:$BO$1006,0)), HYPERLINK("#",""), HYPERLINK(CONCATENATE("#Metadata!", ADDRESS(INDEX($AI$2:$AI$1001,MATCH(ROWS($AG$2:AG563),$AG$2:$AG$1001,0),0), INDEX($AN$1004:$BO$1004,1,MATCH(COLUMNS($AN$1006:BJ1006),$AN$1006:$BO$1006,0)))),"Fix")))</f>
        <v>0</v>
      </c>
      <c r="Y563" s="4">
        <f>IF(OR(INDEX($AH$2:$AH$1001,MATCH(ROWS($AG$2:AG563),$AG$2:$AG$1001,0),1)&gt;=100000,INDEX($AN$1005:$BO$1005,1,MATCH(COLUMNS($AN$1006:BK1006),$AN$1006:$BO$1006,0))&gt;=100000), " ",IF(INDEX($AN$2:$BO$1001,MATCH(ROWS($AG$2:AG563),$AG$2:$AG$1001,0),MATCH(COLUMNS($AN$1006:BK1006),$AN$1006:$BO$1006,0)), HYPERLINK("#",""), HYPERLINK(CONCATENATE("#Metadata!", ADDRESS(INDEX($AI$2:$AI$1001,MATCH(ROWS($AG$2:AG563),$AG$2:$AG$1001,0),0), INDEX($AN$1004:$BO$1004,1,MATCH(COLUMNS($AN$1006:BK1006),$AN$1006:$BO$1006,0)))),"Fix")))</f>
        <v>0</v>
      </c>
      <c r="Z563" s="4">
        <f>IF(OR(INDEX($AH$2:$AH$1001,MATCH(ROWS($AG$2:AG563),$AG$2:$AG$1001,0),1)&gt;=100000,INDEX($AN$1005:$BO$1005,1,MATCH(COLUMNS($AN$1006:BL1006),$AN$1006:$BO$1006,0))&gt;=100000), " ",IF(INDEX($AN$2:$BO$1001,MATCH(ROWS($AG$2:AG563),$AG$2:$AG$1001,0),MATCH(COLUMNS($AN$1006:BL1006),$AN$1006:$BO$1006,0)), HYPERLINK("#",""), HYPERLINK(CONCATENATE("#Metadata!", ADDRESS(INDEX($AI$2:$AI$1001,MATCH(ROWS($AG$2:AG563),$AG$2:$AG$1001,0),0), INDEX($AN$1004:$BO$1004,1,MATCH(COLUMNS($AN$1006:BL1006),$AN$1006:$BO$1006,0)))),"Fix")))</f>
        <v>0</v>
      </c>
      <c r="AA563" s="4">
        <f>IF(OR(INDEX($AH$2:$AH$1001,MATCH(ROWS($AG$2:AG563),$AG$2:$AG$1001,0),1)&gt;=100000,INDEX($AN$1005:$BO$1005,1,MATCH(COLUMNS($AN$1006:BM1006),$AN$1006:$BO$1006,0))&gt;=100000), " ",IF(INDEX($AN$2:$BO$1001,MATCH(ROWS($AG$2:AG563),$AG$2:$AG$1001,0),MATCH(COLUMNS($AN$1006:BM1006),$AN$1006:$BO$1006,0)), HYPERLINK("#",""), HYPERLINK(CONCATENATE("#Metadata!", ADDRESS(INDEX($AI$2:$AI$1001,MATCH(ROWS($AG$2:AG563),$AG$2:$AG$1001,0),0), INDEX($AN$1004:$BO$1004,1,MATCH(COLUMNS($AN$1006:BM1006),$AN$1006:$BO$1006,0)))),"Fix")))</f>
        <v>0</v>
      </c>
      <c r="AB563" s="4">
        <f>IF(OR(INDEX($AH$2:$AH$1001,MATCH(ROWS($AG$2:AG563),$AG$2:$AG$1001,0),1)&gt;=100000,INDEX($AN$1005:$BO$1005,1,MATCH(COLUMNS($AN$1006:BN1006),$AN$1006:$BO$1006,0))&gt;=100000), " ",IF(INDEX($AN$2:$BO$1001,MATCH(ROWS($AG$2:AG563),$AG$2:$AG$1001,0),MATCH(COLUMNS($AN$1006:BN1006),$AN$1006:$BO$1006,0)), HYPERLINK("#",""), HYPERLINK(CONCATENATE("#Metadata!", ADDRESS(INDEX($AI$2:$AI$1001,MATCH(ROWS($AG$2:AG563),$AG$2:$AG$1001,0),0), INDEX($AN$1004:$BO$1004,1,MATCH(COLUMNS($AN$1006:BN1006),$AN$1006:$BO$1006,0)))),"Fix")))</f>
        <v>0</v>
      </c>
      <c r="AC563" s="4">
        <f>IF(OR(INDEX($AH$2:$AH$1001,MATCH(ROWS($AG$2:AG563),$AG$2:$AG$1001,0),1)&gt;=100000,INDEX($AN$1005:$BO$1005,1,MATCH(COLUMNS($AN$1006:BO1006),$AN$1006:$BO$1006,0))&gt;=100000), " ",IF(INDEX($AN$2:$BO$1001,MATCH(ROWS($AG$2:AG563),$AG$2:$AG$1001,0),MATCH(COLUMNS($AN$1006:BO1006),$AN$1006:$BO$1006,0)), HYPERLINK("#",""), HYPERLINK(CONCATENATE("#Metadata!", ADDRESS(INDEX($AI$2:$AI$1001,MATCH(ROWS($AG$2:AG563),$AG$2:$AG$1001,0),0), INDEX($AN$1004:$BO$1004,1,MATCH(COLUMNS($AN$1006:BO1006),$AN$1006:$BO$1006,0)))),"Fix")))</f>
        <v>0</v>
      </c>
      <c r="AG563">
        <v>0</v>
      </c>
      <c r="AH563">
        <v>0</v>
      </c>
      <c r="AI563">
        <v>0</v>
      </c>
      <c r="AJ563">
        <f>IF(AK563,TRUE,AND(AN563:BO563))</f>
        <v>0</v>
      </c>
      <c r="AK563">
        <f>COUNTBLANK(Metadata!B563:AC563)=COLUMNS(Metadata!B563:AC563)</f>
        <v>0</v>
      </c>
      <c r="AL563">
        <v>0</v>
      </c>
      <c r="AN563">
        <f>AND(IF(Metadata!B563="",FALSE,TRUE),COUNTIF(Metadata!B:B, Metadata!B563) = 1,NOT(ISERROR(SUMPRODUCT(SEARCH(MID(Metadata!B563,ROW(INDIRECT("1:"&amp;LEN(Metadata!B563))), 1),"0123456789abcdefghijklmnopqrstuvwxyzABCDEFGHIJKLMNOPQRSTUVWXYZ.")))))</f>
        <v>0</v>
      </c>
      <c r="AO563">
        <f>IF(Metadata!C563="",FALSE,TRUE)</f>
        <v>0</v>
      </c>
      <c r="AP563">
        <f>IF(Metadata!D563="",FALSE,TRUE)</f>
        <v>0</v>
      </c>
      <c r="AQ563">
        <f>OR(AND(IF(Metadata!E563="",FALSE,TRUE),OR(exact(Metadata!E563,"not collected"),exact(Metadata!E563,"not provided"),exact(Metadata!E563,"restricted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R563">
        <f>IF(Metadata!F563="",FALSE,TRUE)</f>
        <v>0</v>
      </c>
      <c r="AS563">
        <f>OR(AND(IF(Metadata!G563="",FALSE,TRUE),OR(exact(Metadata!G563,"not collected"),exact(Metadata!G563,"not provided"))),AND(IF(Metadata!G563="",FALSE,TRUE),OR(exact(Metadata!G563,"TRUE"),exact(Metadata!G563,"FALSE"))))</f>
        <v>0</v>
      </c>
      <c r="AT563">
        <f>OR(AND(IF(Metadata!H563="",FALSE,TRUE),OR(exact(Metadata!H563,"not collected"),exact(Metadata!H563,"not provided"),exact(Metadata!H563,"restricted access"))),AND(IF(Metadata!H563="",FALSE,ISNUMBER(VALUE(Metadata!H563))),Metadata!H563&gt;=-413.0))</f>
        <v>0</v>
      </c>
      <c r="AU563">
        <f>AND(IF(Metadata!I563="",FALSE,TRUE),exact(Metadata!I563,"meters"))</f>
        <v>0</v>
      </c>
      <c r="AV563">
        <f>AND(IF(Metadata!J563="",FALSE,TRUE),OR(exact(Metadata!J563,"Host-associated"),exact(Metadata!J563,"Free-living")))</f>
        <v>0</v>
      </c>
      <c r="AW563">
        <f>AND(IF(Metadata!K563="",FALSE,TRUE),OR(exact(Metadata!K563,"Animal"),exact(Metadata!K563,"Fungus"),exact(Metadata!K563,"Plant"),exact(Metadata!K563,"Saline"),exact(Metadata!K563,"Non-saline")))</f>
        <v>0</v>
      </c>
      <c r="AX563">
        <f>AND(IF(Metadata!L563="",FALSE,TRUE),OR(exact(Metadata!L563,"Plant secretion"),exact(Metadata!L563,"Plant rhizosphere"),exact(Metadata!L563,"Plant surface"),exact(Metadata!L563,"Plant corpus"),exact(Metadata!L563,"Fungus surface"),exact(Metadata!L563,"Fungus corpus"),exact(Metadata!L563,"Animal surface"),exact(Metadata!L563,"Animal proximal gut"),exact(Metadata!L563,"Animal corpus"),exact(Metadata!L563,"Animal distal gut"),exact(Metadata!L563,"Animal secretion"),exact(Metadata!L563,"Sub-surface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Y563">
        <f>IF(Metadata!M563="",FALSE,TRUE)</f>
        <v>0</v>
      </c>
      <c r="AZ563">
        <f>IF(Metadata!N563="",FALSE,TRUE)</f>
        <v>0</v>
      </c>
      <c r="BA563">
        <f>IF(Metadata!O563="",FALSE,TRUE)</f>
        <v>0</v>
      </c>
      <c r="BB563">
        <f>OR(AND(IF(Metadata!P563="",FALSE,TRUE),OR(exact(Metadata!P563,"not collected"),exact(Metadata!P563,"not provided"),exact(Metadata!P563,"restricted access"))),AND(IF(Metadata!P563="",FALSE,TRUE),OR(exact(Metadata!P563,"air"),exact(Metadata!P563,"built environment"),exact(Metadata!P563,"host-associated"),exact(Metadata!P563,"human-associated"),exact(Metadata!P563,"human-skin"),exact(Metadata!P563,"human-oral"),exact(Metadata!P563,"human-gut"),exact(Metadata!P563,"human-vaginal"),exact(Metadata!P563,"microbial mat/biofilm"),exact(Metadata!P563,"misc environment"),exact(Metadata!P563,"plant-associated"),exact(Metadata!P563,"sediment"),exact(Metadata!P563,"soil"),exact(Metadata!P563,"wastewater/sludge"),exact(Metadata!P563,"water"))))</f>
        <v>0</v>
      </c>
      <c r="BC563">
        <f>IF(Metadata!Q563="",FALSE,TRUE)</f>
        <v>0</v>
      </c>
      <c r="BD563">
        <f>IF(Metadata!R563="",FALSE,TRUE)</f>
        <v>0</v>
      </c>
      <c r="BE563">
        <f>OR(AND(IF(Metadata!S563="",FALSE,TRUE),OR(exact(Metadata!S563,"not collected"),exact(Metadata!S563,"not provided"),exact(Metadata!S563,"restricted access"))),AND(IF(Metadata!S563="",FALSE,ISNUMBER(VALUE(Metadata!S563))),Metadata!S563&gt;=-90.00,Metadata!S563&lt;=90.00))</f>
        <v>0</v>
      </c>
      <c r="BF563">
        <f>AND(IF(Metadata!T563="",FALSE,TRUE),exact(Metadata!T563,"Decimal degrees"))</f>
        <v>0</v>
      </c>
      <c r="BG563">
        <f>OR(AND(IF(Metadata!U563="",FALSE,TRUE),OR(exact(Metadata!U563,"not collected"),exact(Metadata!U563,"not provided"),exact(Metadata!U563,"restricted access"))),AND(IF(Metadata!U563="",FALSE,ISNUMBER(VALUE(Metadata!U563))),Metadata!U563&gt;=-180.00,Metadata!U563&lt;=180.00))</f>
        <v>0</v>
      </c>
      <c r="BH563">
        <f>AND(IF(Metadata!V563="",FALSE,TRUE),exact(Metadata!V563,"Decimal degrees"))</f>
        <v>0</v>
      </c>
      <c r="BI563">
        <f>IF(Metadata!W563="",FALSE,TRUE)</f>
        <v>0</v>
      </c>
      <c r="BJ563">
        <f>OR(AND(IF(Metadata!X563="",FALSE,TRUE),OR(exact(Metadata!X563,"not collected"),exact(Metadata!X563,"not provided"),exact(Metadata!X563,"restricted access"))),AND(IF(Metadata!X563="",FALSE,TRUE),OR(exact(Metadata!X563,"TRUE"),exact(Metadata!X563,"FALSE"))))</f>
        <v>0</v>
      </c>
      <c r="BK563">
        <f>AND(IF(Metadata!Y563="",FALSE,TRUE),exact(Metadata!Y563,"other"))</f>
        <v>0</v>
      </c>
      <c r="BL563">
        <f>IF(Metadata!Z563="",FALSE,TRUE)</f>
        <v>0</v>
      </c>
      <c r="BM563">
        <f>OR(AND(IF(Metadata!AA563="",FALSE,TRUE),OR(exact(Metadata!AA563,"not collected"),exact(Metadata!AA563,"not provided"))),AND(IF(Metadata!AA563="",FALSE,IF(ISERROR(INT(Metadata!AA563)),FALSE,INT(Metadata!AA563)=Metadata!AA563)),Metadata!AA563&gt;0))</f>
        <v>0</v>
      </c>
      <c r="BN563">
        <f>AND(IF(Metadata!AB563="",FALSE,TRUE),exact(Metadata!AB563,"Not applicable"))</f>
        <v>0</v>
      </c>
      <c r="BO563">
        <f>IF(Metadata!AC563="",FALSE,TRUE)</f>
        <v>0</v>
      </c>
    </row>
    <row r="564" spans="1:67">
      <c r="A564" s="5">
        <f>IF(B564=" "," ",HYPERLINK(CONCATENATE("#metadata!",ADDRESS(INDEX($AI$2:$AI$1001,MATCH(ROWS($AG$2:AG564),$AG$2:$AG$1001,0),0),1)),INDEX($AL$2:$AL$1001,MATCH(ROWS($AG$2:AG564),$AG$2:$AG$1001,0),0)))</f>
        <v>0</v>
      </c>
      <c r="B564" s="4">
        <f>IF(OR(INDEX($AH$2:$AH$1001,MATCH(ROWS($AG$2:AG564),$AG$2:$AG$1001,0),1)&gt;=100000,INDEX($AN$1005:$BO$1005,1,MATCH(COLUMNS($AN$1006:AN1006),$AN$1006:$BO$1006,0))&gt;=100000), " ",IF(INDEX($AN$2:$BO$1001,MATCH(ROWS($AG$2:AG564),$AG$2:$AG$1001,0),MATCH(COLUMNS($AN$1006:AN1006),$AN$1006:$BO$1006,0)), HYPERLINK("#",""), HYPERLINK(CONCATENATE("#Metadata!", ADDRESS(INDEX($AI$2:$AI$1001,MATCH(ROWS($AG$2:AG564),$AG$2:$AG$1001,0),0), INDEX($AN$1004:$BO$1004,1,MATCH(COLUMNS($AN$1006:AN1006),$AN$1006:$BO$1006,0)))),"Fix")))</f>
        <v>0</v>
      </c>
      <c r="C564" s="4">
        <f>IF(OR(INDEX($AH$2:$AH$1001,MATCH(ROWS($AG$2:AG564),$AG$2:$AG$1001,0),1)&gt;=100000,INDEX($AN$1005:$BO$1005,1,MATCH(COLUMNS($AN$1006:AO1006),$AN$1006:$BO$1006,0))&gt;=100000), " ",IF(INDEX($AN$2:$BO$1001,MATCH(ROWS($AG$2:AG564),$AG$2:$AG$1001,0),MATCH(COLUMNS($AN$1006:AO1006),$AN$1006:$BO$1006,0)), HYPERLINK("#",""), HYPERLINK(CONCATENATE("#Metadata!", ADDRESS(INDEX($AI$2:$AI$1001,MATCH(ROWS($AG$2:AG564),$AG$2:$AG$1001,0),0), INDEX($AN$1004:$BO$1004,1,MATCH(COLUMNS($AN$1006:AO1006),$AN$1006:$BO$1006,0)))),"Fix")))</f>
        <v>0</v>
      </c>
      <c r="D564" s="4">
        <f>IF(OR(INDEX($AH$2:$AH$1001,MATCH(ROWS($AG$2:AG564),$AG$2:$AG$1001,0),1)&gt;=100000,INDEX($AN$1005:$BO$1005,1,MATCH(COLUMNS($AN$1006:AP1006),$AN$1006:$BO$1006,0))&gt;=100000), " ",IF(INDEX($AN$2:$BO$1001,MATCH(ROWS($AG$2:AG564),$AG$2:$AG$1001,0),MATCH(COLUMNS($AN$1006:AP1006),$AN$1006:$BO$1006,0)), HYPERLINK("#",""), HYPERLINK(CONCATENATE("#Metadata!", ADDRESS(INDEX($AI$2:$AI$1001,MATCH(ROWS($AG$2:AG564),$AG$2:$AG$1001,0),0), INDEX($AN$1004:$BO$1004,1,MATCH(COLUMNS($AN$1006:AP1006),$AN$1006:$BO$1006,0)))),"Fix")))</f>
        <v>0</v>
      </c>
      <c r="E564" s="4">
        <f>IF(OR(INDEX($AH$2:$AH$1001,MATCH(ROWS($AG$2:AG564),$AG$2:$AG$1001,0),1)&gt;=100000,INDEX($AN$1005:$BO$1005,1,MATCH(COLUMNS($AN$1006:AQ1006),$AN$1006:$BO$1006,0))&gt;=100000), " ",IF(INDEX($AN$2:$BO$1001,MATCH(ROWS($AG$2:AG564),$AG$2:$AG$1001,0),MATCH(COLUMNS($AN$1006:AQ1006),$AN$1006:$BO$1006,0)), HYPERLINK("#",""), HYPERLINK(CONCATENATE("#Metadata!", ADDRESS(INDEX($AI$2:$AI$1001,MATCH(ROWS($AG$2:AG564),$AG$2:$AG$1001,0),0), INDEX($AN$1004:$BO$1004,1,MATCH(COLUMNS($AN$1006:AQ1006),$AN$1006:$BO$1006,0)))),"Fix")))</f>
        <v>0</v>
      </c>
      <c r="F564" s="4">
        <f>IF(OR(INDEX($AH$2:$AH$1001,MATCH(ROWS($AG$2:AG564),$AG$2:$AG$1001,0),1)&gt;=100000,INDEX($AN$1005:$BO$1005,1,MATCH(COLUMNS($AN$1006:AR1006),$AN$1006:$BO$1006,0))&gt;=100000), " ",IF(INDEX($AN$2:$BO$1001,MATCH(ROWS($AG$2:AG564),$AG$2:$AG$1001,0),MATCH(COLUMNS($AN$1006:AR1006),$AN$1006:$BO$1006,0)), HYPERLINK("#",""), HYPERLINK(CONCATENATE("#Metadata!", ADDRESS(INDEX($AI$2:$AI$1001,MATCH(ROWS($AG$2:AG564),$AG$2:$AG$1001,0),0), INDEX($AN$1004:$BO$1004,1,MATCH(COLUMNS($AN$1006:AR1006),$AN$1006:$BO$1006,0)))),"Fix")))</f>
        <v>0</v>
      </c>
      <c r="G564" s="4">
        <f>IF(OR(INDEX($AH$2:$AH$1001,MATCH(ROWS($AG$2:AG564),$AG$2:$AG$1001,0),1)&gt;=100000,INDEX($AN$1005:$BO$1005,1,MATCH(COLUMNS($AN$1006:AS1006),$AN$1006:$BO$1006,0))&gt;=100000), " ",IF(INDEX($AN$2:$BO$1001,MATCH(ROWS($AG$2:AG564),$AG$2:$AG$1001,0),MATCH(COLUMNS($AN$1006:AS1006),$AN$1006:$BO$1006,0)), HYPERLINK("#",""), HYPERLINK(CONCATENATE("#Metadata!", ADDRESS(INDEX($AI$2:$AI$1001,MATCH(ROWS($AG$2:AG564),$AG$2:$AG$1001,0),0), INDEX($AN$1004:$BO$1004,1,MATCH(COLUMNS($AN$1006:AS1006),$AN$1006:$BO$1006,0)))),"Fix")))</f>
        <v>0</v>
      </c>
      <c r="H564" s="4">
        <f>IF(OR(INDEX($AH$2:$AH$1001,MATCH(ROWS($AG$2:AG564),$AG$2:$AG$1001,0),1)&gt;=100000,INDEX($AN$1005:$BO$1005,1,MATCH(COLUMNS($AN$1006:AT1006),$AN$1006:$BO$1006,0))&gt;=100000), " ",IF(INDEX($AN$2:$BO$1001,MATCH(ROWS($AG$2:AG564),$AG$2:$AG$1001,0),MATCH(COLUMNS($AN$1006:AT1006),$AN$1006:$BO$1006,0)), HYPERLINK("#",""), HYPERLINK(CONCATENATE("#Metadata!", ADDRESS(INDEX($AI$2:$AI$1001,MATCH(ROWS($AG$2:AG564),$AG$2:$AG$1001,0),0), INDEX($AN$1004:$BO$1004,1,MATCH(COLUMNS($AN$1006:AT1006),$AN$1006:$BO$1006,0)))),"Fix")))</f>
        <v>0</v>
      </c>
      <c r="I564" s="4">
        <f>IF(OR(INDEX($AH$2:$AH$1001,MATCH(ROWS($AG$2:AG564),$AG$2:$AG$1001,0),1)&gt;=100000,INDEX($AN$1005:$BO$1005,1,MATCH(COLUMNS($AN$1006:AU1006),$AN$1006:$BO$1006,0))&gt;=100000), " ",IF(INDEX($AN$2:$BO$1001,MATCH(ROWS($AG$2:AG564),$AG$2:$AG$1001,0),MATCH(COLUMNS($AN$1006:AU1006),$AN$1006:$BO$1006,0)), HYPERLINK("#",""), HYPERLINK(CONCATENATE("#Metadata!", ADDRESS(INDEX($AI$2:$AI$1001,MATCH(ROWS($AG$2:AG564),$AG$2:$AG$1001,0),0), INDEX($AN$1004:$BO$1004,1,MATCH(COLUMNS($AN$1006:AU1006),$AN$1006:$BO$1006,0)))),"Fix")))</f>
        <v>0</v>
      </c>
      <c r="J564" s="4">
        <f>IF(OR(INDEX($AH$2:$AH$1001,MATCH(ROWS($AG$2:AG564),$AG$2:$AG$1001,0),1)&gt;=100000,INDEX($AN$1005:$BO$1005,1,MATCH(COLUMNS($AN$1006:AV1006),$AN$1006:$BO$1006,0))&gt;=100000), " ",IF(INDEX($AN$2:$BO$1001,MATCH(ROWS($AG$2:AG564),$AG$2:$AG$1001,0),MATCH(COLUMNS($AN$1006:AV1006),$AN$1006:$BO$1006,0)), HYPERLINK("#",""), HYPERLINK(CONCATENATE("#Metadata!", ADDRESS(INDEX($AI$2:$AI$1001,MATCH(ROWS($AG$2:AG564),$AG$2:$AG$1001,0),0), INDEX($AN$1004:$BO$1004,1,MATCH(COLUMNS($AN$1006:AV1006),$AN$1006:$BO$1006,0)))),"Fix")))</f>
        <v>0</v>
      </c>
      <c r="K564" s="4">
        <f>IF(OR(INDEX($AH$2:$AH$1001,MATCH(ROWS($AG$2:AG564),$AG$2:$AG$1001,0),1)&gt;=100000,INDEX($AN$1005:$BO$1005,1,MATCH(COLUMNS($AN$1006:AW1006),$AN$1006:$BO$1006,0))&gt;=100000), " ",IF(INDEX($AN$2:$BO$1001,MATCH(ROWS($AG$2:AG564),$AG$2:$AG$1001,0),MATCH(COLUMNS($AN$1006:AW1006),$AN$1006:$BO$1006,0)), HYPERLINK("#",""), HYPERLINK(CONCATENATE("#Metadata!", ADDRESS(INDEX($AI$2:$AI$1001,MATCH(ROWS($AG$2:AG564),$AG$2:$AG$1001,0),0), INDEX($AN$1004:$BO$1004,1,MATCH(COLUMNS($AN$1006:AW1006),$AN$1006:$BO$1006,0)))),"Fix")))</f>
        <v>0</v>
      </c>
      <c r="L564" s="4">
        <f>IF(OR(INDEX($AH$2:$AH$1001,MATCH(ROWS($AG$2:AG564),$AG$2:$AG$1001,0),1)&gt;=100000,INDEX($AN$1005:$BO$1005,1,MATCH(COLUMNS($AN$1006:AX1006),$AN$1006:$BO$1006,0))&gt;=100000), " ",IF(INDEX($AN$2:$BO$1001,MATCH(ROWS($AG$2:AG564),$AG$2:$AG$1001,0),MATCH(COLUMNS($AN$1006:AX1006),$AN$1006:$BO$1006,0)), HYPERLINK("#",""), HYPERLINK(CONCATENATE("#Metadata!", ADDRESS(INDEX($AI$2:$AI$1001,MATCH(ROWS($AG$2:AG564),$AG$2:$AG$1001,0),0), INDEX($AN$1004:$BO$1004,1,MATCH(COLUMNS($AN$1006:AX1006),$AN$1006:$BO$1006,0)))),"Fix")))</f>
        <v>0</v>
      </c>
      <c r="M564" s="4">
        <f>IF(OR(INDEX($AH$2:$AH$1001,MATCH(ROWS($AG$2:AG564),$AG$2:$AG$1001,0),1)&gt;=100000,INDEX($AN$1005:$BO$1005,1,MATCH(COLUMNS($AN$1006:AY1006),$AN$1006:$BO$1006,0))&gt;=100000), " ",IF(INDEX($AN$2:$BO$1001,MATCH(ROWS($AG$2:AG564),$AG$2:$AG$1001,0),MATCH(COLUMNS($AN$1006:AY1006),$AN$1006:$BO$1006,0)), HYPERLINK("#",""), HYPERLINK(CONCATENATE("#Metadata!", ADDRESS(INDEX($AI$2:$AI$1001,MATCH(ROWS($AG$2:AG564),$AG$2:$AG$1001,0),0), INDEX($AN$1004:$BO$1004,1,MATCH(COLUMNS($AN$1006:AY1006),$AN$1006:$BO$1006,0)))),"Fix")))</f>
        <v>0</v>
      </c>
      <c r="N564" s="4">
        <f>IF(OR(INDEX($AH$2:$AH$1001,MATCH(ROWS($AG$2:AG564),$AG$2:$AG$1001,0),1)&gt;=100000,INDEX($AN$1005:$BO$1005,1,MATCH(COLUMNS($AN$1006:AZ1006),$AN$1006:$BO$1006,0))&gt;=100000), " ",IF(INDEX($AN$2:$BO$1001,MATCH(ROWS($AG$2:AG564),$AG$2:$AG$1001,0),MATCH(COLUMNS($AN$1006:AZ1006),$AN$1006:$BO$1006,0)), HYPERLINK("#",""), HYPERLINK(CONCATENATE("#Metadata!", ADDRESS(INDEX($AI$2:$AI$1001,MATCH(ROWS($AG$2:AG564),$AG$2:$AG$1001,0),0), INDEX($AN$1004:$BO$1004,1,MATCH(COLUMNS($AN$1006:AZ1006),$AN$1006:$BO$1006,0)))),"Fix")))</f>
        <v>0</v>
      </c>
      <c r="O564" s="4">
        <f>IF(OR(INDEX($AH$2:$AH$1001,MATCH(ROWS($AG$2:AG564),$AG$2:$AG$1001,0),1)&gt;=100000,INDEX($AN$1005:$BO$1005,1,MATCH(COLUMNS($AN$1006:BA1006),$AN$1006:$BO$1006,0))&gt;=100000), " ",IF(INDEX($AN$2:$BO$1001,MATCH(ROWS($AG$2:AG564),$AG$2:$AG$1001,0),MATCH(COLUMNS($AN$1006:BA1006),$AN$1006:$BO$1006,0)), HYPERLINK("#",""), HYPERLINK(CONCATENATE("#Metadata!", ADDRESS(INDEX($AI$2:$AI$1001,MATCH(ROWS($AG$2:AG564),$AG$2:$AG$1001,0),0), INDEX($AN$1004:$BO$1004,1,MATCH(COLUMNS($AN$1006:BA1006),$AN$1006:$BO$1006,0)))),"Fix")))</f>
        <v>0</v>
      </c>
      <c r="P564" s="4">
        <f>IF(OR(INDEX($AH$2:$AH$1001,MATCH(ROWS($AG$2:AG564),$AG$2:$AG$1001,0),1)&gt;=100000,INDEX($AN$1005:$BO$1005,1,MATCH(COLUMNS($AN$1006:BB1006),$AN$1006:$BO$1006,0))&gt;=100000), " ",IF(INDEX($AN$2:$BO$1001,MATCH(ROWS($AG$2:AG564),$AG$2:$AG$1001,0),MATCH(COLUMNS($AN$1006:BB1006),$AN$1006:$BO$1006,0)), HYPERLINK("#",""), HYPERLINK(CONCATENATE("#Metadata!", ADDRESS(INDEX($AI$2:$AI$1001,MATCH(ROWS($AG$2:AG564),$AG$2:$AG$1001,0),0), INDEX($AN$1004:$BO$1004,1,MATCH(COLUMNS($AN$1006:BB1006),$AN$1006:$BO$1006,0)))),"Fix")))</f>
        <v>0</v>
      </c>
      <c r="Q564" s="4">
        <f>IF(OR(INDEX($AH$2:$AH$1001,MATCH(ROWS($AG$2:AG564),$AG$2:$AG$1001,0),1)&gt;=100000,INDEX($AN$1005:$BO$1005,1,MATCH(COLUMNS($AN$1006:BC1006),$AN$1006:$BO$1006,0))&gt;=100000), " ",IF(INDEX($AN$2:$BO$1001,MATCH(ROWS($AG$2:AG564),$AG$2:$AG$1001,0),MATCH(COLUMNS($AN$1006:BC1006),$AN$1006:$BO$1006,0)), HYPERLINK("#",""), HYPERLINK(CONCATENATE("#Metadata!", ADDRESS(INDEX($AI$2:$AI$1001,MATCH(ROWS($AG$2:AG564),$AG$2:$AG$1001,0),0), INDEX($AN$1004:$BO$1004,1,MATCH(COLUMNS($AN$1006:BC1006),$AN$1006:$BO$1006,0)))),"Fix")))</f>
        <v>0</v>
      </c>
      <c r="R564" s="4">
        <f>IF(OR(INDEX($AH$2:$AH$1001,MATCH(ROWS($AG$2:AG564),$AG$2:$AG$1001,0),1)&gt;=100000,INDEX($AN$1005:$BO$1005,1,MATCH(COLUMNS($AN$1006:BD1006),$AN$1006:$BO$1006,0))&gt;=100000), " ",IF(INDEX($AN$2:$BO$1001,MATCH(ROWS($AG$2:AG564),$AG$2:$AG$1001,0),MATCH(COLUMNS($AN$1006:BD1006),$AN$1006:$BO$1006,0)), HYPERLINK("#",""), HYPERLINK(CONCATENATE("#Metadata!", ADDRESS(INDEX($AI$2:$AI$1001,MATCH(ROWS($AG$2:AG564),$AG$2:$AG$1001,0),0), INDEX($AN$1004:$BO$1004,1,MATCH(COLUMNS($AN$1006:BD1006),$AN$1006:$BO$1006,0)))),"Fix")))</f>
        <v>0</v>
      </c>
      <c r="S564" s="4">
        <f>IF(OR(INDEX($AH$2:$AH$1001,MATCH(ROWS($AG$2:AG564),$AG$2:$AG$1001,0),1)&gt;=100000,INDEX($AN$1005:$BO$1005,1,MATCH(COLUMNS($AN$1006:BE1006),$AN$1006:$BO$1006,0))&gt;=100000), " ",IF(INDEX($AN$2:$BO$1001,MATCH(ROWS($AG$2:AG564),$AG$2:$AG$1001,0),MATCH(COLUMNS($AN$1006:BE1006),$AN$1006:$BO$1006,0)), HYPERLINK("#",""), HYPERLINK(CONCATENATE("#Metadata!", ADDRESS(INDEX($AI$2:$AI$1001,MATCH(ROWS($AG$2:AG564),$AG$2:$AG$1001,0),0), INDEX($AN$1004:$BO$1004,1,MATCH(COLUMNS($AN$1006:BE1006),$AN$1006:$BO$1006,0)))),"Fix")))</f>
        <v>0</v>
      </c>
      <c r="T564" s="4">
        <f>IF(OR(INDEX($AH$2:$AH$1001,MATCH(ROWS($AG$2:AG564),$AG$2:$AG$1001,0),1)&gt;=100000,INDEX($AN$1005:$BO$1005,1,MATCH(COLUMNS($AN$1006:BF1006),$AN$1006:$BO$1006,0))&gt;=100000), " ",IF(INDEX($AN$2:$BO$1001,MATCH(ROWS($AG$2:AG564),$AG$2:$AG$1001,0),MATCH(COLUMNS($AN$1006:BF1006),$AN$1006:$BO$1006,0)), HYPERLINK("#",""), HYPERLINK(CONCATENATE("#Metadata!", ADDRESS(INDEX($AI$2:$AI$1001,MATCH(ROWS($AG$2:AG564),$AG$2:$AG$1001,0),0), INDEX($AN$1004:$BO$1004,1,MATCH(COLUMNS($AN$1006:BF1006),$AN$1006:$BO$1006,0)))),"Fix")))</f>
        <v>0</v>
      </c>
      <c r="U564" s="4">
        <f>IF(OR(INDEX($AH$2:$AH$1001,MATCH(ROWS($AG$2:AG564),$AG$2:$AG$1001,0),1)&gt;=100000,INDEX($AN$1005:$BO$1005,1,MATCH(COLUMNS($AN$1006:BG1006),$AN$1006:$BO$1006,0))&gt;=100000), " ",IF(INDEX($AN$2:$BO$1001,MATCH(ROWS($AG$2:AG564),$AG$2:$AG$1001,0),MATCH(COLUMNS($AN$1006:BG1006),$AN$1006:$BO$1006,0)), HYPERLINK("#",""), HYPERLINK(CONCATENATE("#Metadata!", ADDRESS(INDEX($AI$2:$AI$1001,MATCH(ROWS($AG$2:AG564),$AG$2:$AG$1001,0),0), INDEX($AN$1004:$BO$1004,1,MATCH(COLUMNS($AN$1006:BG1006),$AN$1006:$BO$1006,0)))),"Fix")))</f>
        <v>0</v>
      </c>
      <c r="V564" s="4">
        <f>IF(OR(INDEX($AH$2:$AH$1001,MATCH(ROWS($AG$2:AG564),$AG$2:$AG$1001,0),1)&gt;=100000,INDEX($AN$1005:$BO$1005,1,MATCH(COLUMNS($AN$1006:BH1006),$AN$1006:$BO$1006,0))&gt;=100000), " ",IF(INDEX($AN$2:$BO$1001,MATCH(ROWS($AG$2:AG564),$AG$2:$AG$1001,0),MATCH(COLUMNS($AN$1006:BH1006),$AN$1006:$BO$1006,0)), HYPERLINK("#",""), HYPERLINK(CONCATENATE("#Metadata!", ADDRESS(INDEX($AI$2:$AI$1001,MATCH(ROWS($AG$2:AG564),$AG$2:$AG$1001,0),0), INDEX($AN$1004:$BO$1004,1,MATCH(COLUMNS($AN$1006:BH1006),$AN$1006:$BO$1006,0)))),"Fix")))</f>
        <v>0</v>
      </c>
      <c r="W564" s="4">
        <f>IF(OR(INDEX($AH$2:$AH$1001,MATCH(ROWS($AG$2:AG564),$AG$2:$AG$1001,0),1)&gt;=100000,INDEX($AN$1005:$BO$1005,1,MATCH(COLUMNS($AN$1006:BI1006),$AN$1006:$BO$1006,0))&gt;=100000), " ",IF(INDEX($AN$2:$BO$1001,MATCH(ROWS($AG$2:AG564),$AG$2:$AG$1001,0),MATCH(COLUMNS($AN$1006:BI1006),$AN$1006:$BO$1006,0)), HYPERLINK("#",""), HYPERLINK(CONCATENATE("#Metadata!", ADDRESS(INDEX($AI$2:$AI$1001,MATCH(ROWS($AG$2:AG564),$AG$2:$AG$1001,0),0), INDEX($AN$1004:$BO$1004,1,MATCH(COLUMNS($AN$1006:BI1006),$AN$1006:$BO$1006,0)))),"Fix")))</f>
        <v>0</v>
      </c>
      <c r="X564" s="4">
        <f>IF(OR(INDEX($AH$2:$AH$1001,MATCH(ROWS($AG$2:AG564),$AG$2:$AG$1001,0),1)&gt;=100000,INDEX($AN$1005:$BO$1005,1,MATCH(COLUMNS($AN$1006:BJ1006),$AN$1006:$BO$1006,0))&gt;=100000), " ",IF(INDEX($AN$2:$BO$1001,MATCH(ROWS($AG$2:AG564),$AG$2:$AG$1001,0),MATCH(COLUMNS($AN$1006:BJ1006),$AN$1006:$BO$1006,0)), HYPERLINK("#",""), HYPERLINK(CONCATENATE("#Metadata!", ADDRESS(INDEX($AI$2:$AI$1001,MATCH(ROWS($AG$2:AG564),$AG$2:$AG$1001,0),0), INDEX($AN$1004:$BO$1004,1,MATCH(COLUMNS($AN$1006:BJ1006),$AN$1006:$BO$1006,0)))),"Fix")))</f>
        <v>0</v>
      </c>
      <c r="Y564" s="4">
        <f>IF(OR(INDEX($AH$2:$AH$1001,MATCH(ROWS($AG$2:AG564),$AG$2:$AG$1001,0),1)&gt;=100000,INDEX($AN$1005:$BO$1005,1,MATCH(COLUMNS($AN$1006:BK1006),$AN$1006:$BO$1006,0))&gt;=100000), " ",IF(INDEX($AN$2:$BO$1001,MATCH(ROWS($AG$2:AG564),$AG$2:$AG$1001,0),MATCH(COLUMNS($AN$1006:BK1006),$AN$1006:$BO$1006,0)), HYPERLINK("#",""), HYPERLINK(CONCATENATE("#Metadata!", ADDRESS(INDEX($AI$2:$AI$1001,MATCH(ROWS($AG$2:AG564),$AG$2:$AG$1001,0),0), INDEX($AN$1004:$BO$1004,1,MATCH(COLUMNS($AN$1006:BK1006),$AN$1006:$BO$1006,0)))),"Fix")))</f>
        <v>0</v>
      </c>
      <c r="Z564" s="4">
        <f>IF(OR(INDEX($AH$2:$AH$1001,MATCH(ROWS($AG$2:AG564),$AG$2:$AG$1001,0),1)&gt;=100000,INDEX($AN$1005:$BO$1005,1,MATCH(COLUMNS($AN$1006:BL1006),$AN$1006:$BO$1006,0))&gt;=100000), " ",IF(INDEX($AN$2:$BO$1001,MATCH(ROWS($AG$2:AG564),$AG$2:$AG$1001,0),MATCH(COLUMNS($AN$1006:BL1006),$AN$1006:$BO$1006,0)), HYPERLINK("#",""), HYPERLINK(CONCATENATE("#Metadata!", ADDRESS(INDEX($AI$2:$AI$1001,MATCH(ROWS($AG$2:AG564),$AG$2:$AG$1001,0),0), INDEX($AN$1004:$BO$1004,1,MATCH(COLUMNS($AN$1006:BL1006),$AN$1006:$BO$1006,0)))),"Fix")))</f>
        <v>0</v>
      </c>
      <c r="AA564" s="4">
        <f>IF(OR(INDEX($AH$2:$AH$1001,MATCH(ROWS($AG$2:AG564),$AG$2:$AG$1001,0),1)&gt;=100000,INDEX($AN$1005:$BO$1005,1,MATCH(COLUMNS($AN$1006:BM1006),$AN$1006:$BO$1006,0))&gt;=100000), " ",IF(INDEX($AN$2:$BO$1001,MATCH(ROWS($AG$2:AG564),$AG$2:$AG$1001,0),MATCH(COLUMNS($AN$1006:BM1006),$AN$1006:$BO$1006,0)), HYPERLINK("#",""), HYPERLINK(CONCATENATE("#Metadata!", ADDRESS(INDEX($AI$2:$AI$1001,MATCH(ROWS($AG$2:AG564),$AG$2:$AG$1001,0),0), INDEX($AN$1004:$BO$1004,1,MATCH(COLUMNS($AN$1006:BM1006),$AN$1006:$BO$1006,0)))),"Fix")))</f>
        <v>0</v>
      </c>
      <c r="AB564" s="4">
        <f>IF(OR(INDEX($AH$2:$AH$1001,MATCH(ROWS($AG$2:AG564),$AG$2:$AG$1001,0),1)&gt;=100000,INDEX($AN$1005:$BO$1005,1,MATCH(COLUMNS($AN$1006:BN1006),$AN$1006:$BO$1006,0))&gt;=100000), " ",IF(INDEX($AN$2:$BO$1001,MATCH(ROWS($AG$2:AG564),$AG$2:$AG$1001,0),MATCH(COLUMNS($AN$1006:BN1006),$AN$1006:$BO$1006,0)), HYPERLINK("#",""), HYPERLINK(CONCATENATE("#Metadata!", ADDRESS(INDEX($AI$2:$AI$1001,MATCH(ROWS($AG$2:AG564),$AG$2:$AG$1001,0),0), INDEX($AN$1004:$BO$1004,1,MATCH(COLUMNS($AN$1006:BN1006),$AN$1006:$BO$1006,0)))),"Fix")))</f>
        <v>0</v>
      </c>
      <c r="AC564" s="4">
        <f>IF(OR(INDEX($AH$2:$AH$1001,MATCH(ROWS($AG$2:AG564),$AG$2:$AG$1001,0),1)&gt;=100000,INDEX($AN$1005:$BO$1005,1,MATCH(COLUMNS($AN$1006:BO1006),$AN$1006:$BO$1006,0))&gt;=100000), " ",IF(INDEX($AN$2:$BO$1001,MATCH(ROWS($AG$2:AG564),$AG$2:$AG$1001,0),MATCH(COLUMNS($AN$1006:BO1006),$AN$1006:$BO$1006,0)), HYPERLINK("#",""), HYPERLINK(CONCATENATE("#Metadata!", ADDRESS(INDEX($AI$2:$AI$1001,MATCH(ROWS($AG$2:AG564),$AG$2:$AG$1001,0),0), INDEX($AN$1004:$BO$1004,1,MATCH(COLUMNS($AN$1006:BO1006),$AN$1006:$BO$1006,0)))),"Fix")))</f>
        <v>0</v>
      </c>
      <c r="AG564">
        <v>0</v>
      </c>
      <c r="AH564">
        <v>0</v>
      </c>
      <c r="AI564">
        <v>0</v>
      </c>
      <c r="AJ564">
        <f>IF(AK564,TRUE,AND(AN564:BO564))</f>
        <v>0</v>
      </c>
      <c r="AK564">
        <f>COUNTBLANK(Metadata!B564:AC564)=COLUMNS(Metadata!B564:AC564)</f>
        <v>0</v>
      </c>
      <c r="AL564">
        <v>0</v>
      </c>
      <c r="AN564">
        <f>AND(IF(Metadata!B564="",FALSE,TRUE),COUNTIF(Metadata!B:B, Metadata!B564) = 1,NOT(ISERROR(SUMPRODUCT(SEARCH(MID(Metadata!B564,ROW(INDIRECT("1:"&amp;LEN(Metadata!B564))), 1),"0123456789abcdefghijklmnopqrstuvwxyzABCDEFGHIJKLMNOPQRSTUVWXYZ.")))))</f>
        <v>0</v>
      </c>
      <c r="AO564">
        <f>IF(Metadata!C564="",FALSE,TRUE)</f>
        <v>0</v>
      </c>
      <c r="AP564">
        <f>IF(Metadata!D564="",FALSE,TRUE)</f>
        <v>0</v>
      </c>
      <c r="AQ564">
        <f>OR(AND(IF(Metadata!E564="",FALSE,TRUE),OR(exact(Metadata!E564,"not collected"),exact(Metadata!E564,"not provided"),exact(Metadata!E564,"restricted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R564">
        <f>IF(Metadata!F564="",FALSE,TRUE)</f>
        <v>0</v>
      </c>
      <c r="AS564">
        <f>OR(AND(IF(Metadata!G564="",FALSE,TRUE),OR(exact(Metadata!G564,"not collected"),exact(Metadata!G564,"not provided"))),AND(IF(Metadata!G564="",FALSE,TRUE),OR(exact(Metadata!G564,"TRUE"),exact(Metadata!G564,"FALSE"))))</f>
        <v>0</v>
      </c>
      <c r="AT564">
        <f>OR(AND(IF(Metadata!H564="",FALSE,TRUE),OR(exact(Metadata!H564,"not collected"),exact(Metadata!H564,"not provided"),exact(Metadata!H564,"restricted access"))),AND(IF(Metadata!H564="",FALSE,ISNUMBER(VALUE(Metadata!H564))),Metadata!H564&gt;=-413.0))</f>
        <v>0</v>
      </c>
      <c r="AU564">
        <f>AND(IF(Metadata!I564="",FALSE,TRUE),exact(Metadata!I564,"meters"))</f>
        <v>0</v>
      </c>
      <c r="AV564">
        <f>AND(IF(Metadata!J564="",FALSE,TRUE),OR(exact(Metadata!J564,"Host-associated"),exact(Metadata!J564,"Free-living")))</f>
        <v>0</v>
      </c>
      <c r="AW564">
        <f>AND(IF(Metadata!K564="",FALSE,TRUE),OR(exact(Metadata!K564,"Animal"),exact(Metadata!K564,"Fungus"),exact(Metadata!K564,"Plant"),exact(Metadata!K564,"Saline"),exact(Metadata!K564,"Non-saline")))</f>
        <v>0</v>
      </c>
      <c r="AX564">
        <f>AND(IF(Metadata!L564="",FALSE,TRUE),OR(exact(Metadata!L564,"Plant secretion"),exact(Metadata!L564,"Plant rhizosphere"),exact(Metadata!L564,"Plant surface"),exact(Metadata!L564,"Plant corpus"),exact(Metadata!L564,"Fungus surface"),exact(Metadata!L564,"Fungus corpus"),exact(Metadata!L564,"Animal surface"),exact(Metadata!L564,"Animal proximal gut"),exact(Metadata!L564,"Animal corpus"),exact(Metadata!L564,"Animal distal gut"),exact(Metadata!L564,"Animal secretion"),exact(Metadata!L564,"Sub-surface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Y564">
        <f>IF(Metadata!M564="",FALSE,TRUE)</f>
        <v>0</v>
      </c>
      <c r="AZ564">
        <f>IF(Metadata!N564="",FALSE,TRUE)</f>
        <v>0</v>
      </c>
      <c r="BA564">
        <f>IF(Metadata!O564="",FALSE,TRUE)</f>
        <v>0</v>
      </c>
      <c r="BB564">
        <f>OR(AND(IF(Metadata!P564="",FALSE,TRUE),OR(exact(Metadata!P564,"not collected"),exact(Metadata!P564,"not provided"),exact(Metadata!P564,"restricted access"))),AND(IF(Metadata!P564="",FALSE,TRUE),OR(exact(Metadata!P564,"air"),exact(Metadata!P564,"built environment"),exact(Metadata!P564,"host-associated"),exact(Metadata!P564,"human-associated"),exact(Metadata!P564,"human-skin"),exact(Metadata!P564,"human-oral"),exact(Metadata!P564,"human-gut"),exact(Metadata!P564,"human-vaginal"),exact(Metadata!P564,"microbial mat/biofilm"),exact(Metadata!P564,"misc environment"),exact(Metadata!P564,"plant-associated"),exact(Metadata!P564,"sediment"),exact(Metadata!P564,"soil"),exact(Metadata!P564,"wastewater/sludge"),exact(Metadata!P564,"water"))))</f>
        <v>0</v>
      </c>
      <c r="BC564">
        <f>IF(Metadata!Q564="",FALSE,TRUE)</f>
        <v>0</v>
      </c>
      <c r="BD564">
        <f>IF(Metadata!R564="",FALSE,TRUE)</f>
        <v>0</v>
      </c>
      <c r="BE564">
        <f>OR(AND(IF(Metadata!S564="",FALSE,TRUE),OR(exact(Metadata!S564,"not collected"),exact(Metadata!S564,"not provided"),exact(Metadata!S564,"restricted access"))),AND(IF(Metadata!S564="",FALSE,ISNUMBER(VALUE(Metadata!S564))),Metadata!S564&gt;=-90.00,Metadata!S564&lt;=90.00))</f>
        <v>0</v>
      </c>
      <c r="BF564">
        <f>AND(IF(Metadata!T564="",FALSE,TRUE),exact(Metadata!T564,"Decimal degrees"))</f>
        <v>0</v>
      </c>
      <c r="BG564">
        <f>OR(AND(IF(Metadata!U564="",FALSE,TRUE),OR(exact(Metadata!U564,"not collected"),exact(Metadata!U564,"not provided"),exact(Metadata!U564,"restricted access"))),AND(IF(Metadata!U564="",FALSE,ISNUMBER(VALUE(Metadata!U564))),Metadata!U564&gt;=-180.00,Metadata!U564&lt;=180.00))</f>
        <v>0</v>
      </c>
      <c r="BH564">
        <f>AND(IF(Metadata!V564="",FALSE,TRUE),exact(Metadata!V564,"Decimal degrees"))</f>
        <v>0</v>
      </c>
      <c r="BI564">
        <f>IF(Metadata!W564="",FALSE,TRUE)</f>
        <v>0</v>
      </c>
      <c r="BJ564">
        <f>OR(AND(IF(Metadata!X564="",FALSE,TRUE),OR(exact(Metadata!X564,"not collected"),exact(Metadata!X564,"not provided"),exact(Metadata!X564,"restricted access"))),AND(IF(Metadata!X564="",FALSE,TRUE),OR(exact(Metadata!X564,"TRUE"),exact(Metadata!X564,"FALSE"))))</f>
        <v>0</v>
      </c>
      <c r="BK564">
        <f>AND(IF(Metadata!Y564="",FALSE,TRUE),exact(Metadata!Y564,"other"))</f>
        <v>0</v>
      </c>
      <c r="BL564">
        <f>IF(Metadata!Z564="",FALSE,TRUE)</f>
        <v>0</v>
      </c>
      <c r="BM564">
        <f>OR(AND(IF(Metadata!AA564="",FALSE,TRUE),OR(exact(Metadata!AA564,"not collected"),exact(Metadata!AA564,"not provided"))),AND(IF(Metadata!AA564="",FALSE,IF(ISERROR(INT(Metadata!AA564)),FALSE,INT(Metadata!AA564)=Metadata!AA564)),Metadata!AA564&gt;0))</f>
        <v>0</v>
      </c>
      <c r="BN564">
        <f>AND(IF(Metadata!AB564="",FALSE,TRUE),exact(Metadata!AB564,"Not applicable"))</f>
        <v>0</v>
      </c>
      <c r="BO564">
        <f>IF(Metadata!AC564="",FALSE,TRUE)</f>
        <v>0</v>
      </c>
    </row>
    <row r="565" spans="1:67">
      <c r="A565" s="5">
        <f>IF(B565=" "," ",HYPERLINK(CONCATENATE("#metadata!",ADDRESS(INDEX($AI$2:$AI$1001,MATCH(ROWS($AG$2:AG565),$AG$2:$AG$1001,0),0),1)),INDEX($AL$2:$AL$1001,MATCH(ROWS($AG$2:AG565),$AG$2:$AG$1001,0),0)))</f>
        <v>0</v>
      </c>
      <c r="B565" s="4">
        <f>IF(OR(INDEX($AH$2:$AH$1001,MATCH(ROWS($AG$2:AG565),$AG$2:$AG$1001,0),1)&gt;=100000,INDEX($AN$1005:$BO$1005,1,MATCH(COLUMNS($AN$1006:AN1006),$AN$1006:$BO$1006,0))&gt;=100000), " ",IF(INDEX($AN$2:$BO$1001,MATCH(ROWS($AG$2:AG565),$AG$2:$AG$1001,0),MATCH(COLUMNS($AN$1006:AN1006),$AN$1006:$BO$1006,0)), HYPERLINK("#",""), HYPERLINK(CONCATENATE("#Metadata!", ADDRESS(INDEX($AI$2:$AI$1001,MATCH(ROWS($AG$2:AG565),$AG$2:$AG$1001,0),0), INDEX($AN$1004:$BO$1004,1,MATCH(COLUMNS($AN$1006:AN1006),$AN$1006:$BO$1006,0)))),"Fix")))</f>
        <v>0</v>
      </c>
      <c r="C565" s="4">
        <f>IF(OR(INDEX($AH$2:$AH$1001,MATCH(ROWS($AG$2:AG565),$AG$2:$AG$1001,0),1)&gt;=100000,INDEX($AN$1005:$BO$1005,1,MATCH(COLUMNS($AN$1006:AO1006),$AN$1006:$BO$1006,0))&gt;=100000), " ",IF(INDEX($AN$2:$BO$1001,MATCH(ROWS($AG$2:AG565),$AG$2:$AG$1001,0),MATCH(COLUMNS($AN$1006:AO1006),$AN$1006:$BO$1006,0)), HYPERLINK("#",""), HYPERLINK(CONCATENATE("#Metadata!", ADDRESS(INDEX($AI$2:$AI$1001,MATCH(ROWS($AG$2:AG565),$AG$2:$AG$1001,0),0), INDEX($AN$1004:$BO$1004,1,MATCH(COLUMNS($AN$1006:AO1006),$AN$1006:$BO$1006,0)))),"Fix")))</f>
        <v>0</v>
      </c>
      <c r="D565" s="4">
        <f>IF(OR(INDEX($AH$2:$AH$1001,MATCH(ROWS($AG$2:AG565),$AG$2:$AG$1001,0),1)&gt;=100000,INDEX($AN$1005:$BO$1005,1,MATCH(COLUMNS($AN$1006:AP1006),$AN$1006:$BO$1006,0))&gt;=100000), " ",IF(INDEX($AN$2:$BO$1001,MATCH(ROWS($AG$2:AG565),$AG$2:$AG$1001,0),MATCH(COLUMNS($AN$1006:AP1006),$AN$1006:$BO$1006,0)), HYPERLINK("#",""), HYPERLINK(CONCATENATE("#Metadata!", ADDRESS(INDEX($AI$2:$AI$1001,MATCH(ROWS($AG$2:AG565),$AG$2:$AG$1001,0),0), INDEX($AN$1004:$BO$1004,1,MATCH(COLUMNS($AN$1006:AP1006),$AN$1006:$BO$1006,0)))),"Fix")))</f>
        <v>0</v>
      </c>
      <c r="E565" s="4">
        <f>IF(OR(INDEX($AH$2:$AH$1001,MATCH(ROWS($AG$2:AG565),$AG$2:$AG$1001,0),1)&gt;=100000,INDEX($AN$1005:$BO$1005,1,MATCH(COLUMNS($AN$1006:AQ1006),$AN$1006:$BO$1006,0))&gt;=100000), " ",IF(INDEX($AN$2:$BO$1001,MATCH(ROWS($AG$2:AG565),$AG$2:$AG$1001,0),MATCH(COLUMNS($AN$1006:AQ1006),$AN$1006:$BO$1006,0)), HYPERLINK("#",""), HYPERLINK(CONCATENATE("#Metadata!", ADDRESS(INDEX($AI$2:$AI$1001,MATCH(ROWS($AG$2:AG565),$AG$2:$AG$1001,0),0), INDEX($AN$1004:$BO$1004,1,MATCH(COLUMNS($AN$1006:AQ1006),$AN$1006:$BO$1006,0)))),"Fix")))</f>
        <v>0</v>
      </c>
      <c r="F565" s="4">
        <f>IF(OR(INDEX($AH$2:$AH$1001,MATCH(ROWS($AG$2:AG565),$AG$2:$AG$1001,0),1)&gt;=100000,INDEX($AN$1005:$BO$1005,1,MATCH(COLUMNS($AN$1006:AR1006),$AN$1006:$BO$1006,0))&gt;=100000), " ",IF(INDEX($AN$2:$BO$1001,MATCH(ROWS($AG$2:AG565),$AG$2:$AG$1001,0),MATCH(COLUMNS($AN$1006:AR1006),$AN$1006:$BO$1006,0)), HYPERLINK("#",""), HYPERLINK(CONCATENATE("#Metadata!", ADDRESS(INDEX($AI$2:$AI$1001,MATCH(ROWS($AG$2:AG565),$AG$2:$AG$1001,0),0), INDEX($AN$1004:$BO$1004,1,MATCH(COLUMNS($AN$1006:AR1006),$AN$1006:$BO$1006,0)))),"Fix")))</f>
        <v>0</v>
      </c>
      <c r="G565" s="4">
        <f>IF(OR(INDEX($AH$2:$AH$1001,MATCH(ROWS($AG$2:AG565),$AG$2:$AG$1001,0),1)&gt;=100000,INDEX($AN$1005:$BO$1005,1,MATCH(COLUMNS($AN$1006:AS1006),$AN$1006:$BO$1006,0))&gt;=100000), " ",IF(INDEX($AN$2:$BO$1001,MATCH(ROWS($AG$2:AG565),$AG$2:$AG$1001,0),MATCH(COLUMNS($AN$1006:AS1006),$AN$1006:$BO$1006,0)), HYPERLINK("#",""), HYPERLINK(CONCATENATE("#Metadata!", ADDRESS(INDEX($AI$2:$AI$1001,MATCH(ROWS($AG$2:AG565),$AG$2:$AG$1001,0),0), INDEX($AN$1004:$BO$1004,1,MATCH(COLUMNS($AN$1006:AS1006),$AN$1006:$BO$1006,0)))),"Fix")))</f>
        <v>0</v>
      </c>
      <c r="H565" s="4">
        <f>IF(OR(INDEX($AH$2:$AH$1001,MATCH(ROWS($AG$2:AG565),$AG$2:$AG$1001,0),1)&gt;=100000,INDEX($AN$1005:$BO$1005,1,MATCH(COLUMNS($AN$1006:AT1006),$AN$1006:$BO$1006,0))&gt;=100000), " ",IF(INDEX($AN$2:$BO$1001,MATCH(ROWS($AG$2:AG565),$AG$2:$AG$1001,0),MATCH(COLUMNS($AN$1006:AT1006),$AN$1006:$BO$1006,0)), HYPERLINK("#",""), HYPERLINK(CONCATENATE("#Metadata!", ADDRESS(INDEX($AI$2:$AI$1001,MATCH(ROWS($AG$2:AG565),$AG$2:$AG$1001,0),0), INDEX($AN$1004:$BO$1004,1,MATCH(COLUMNS($AN$1006:AT1006),$AN$1006:$BO$1006,0)))),"Fix")))</f>
        <v>0</v>
      </c>
      <c r="I565" s="4">
        <f>IF(OR(INDEX($AH$2:$AH$1001,MATCH(ROWS($AG$2:AG565),$AG$2:$AG$1001,0),1)&gt;=100000,INDEX($AN$1005:$BO$1005,1,MATCH(COLUMNS($AN$1006:AU1006),$AN$1006:$BO$1006,0))&gt;=100000), " ",IF(INDEX($AN$2:$BO$1001,MATCH(ROWS($AG$2:AG565),$AG$2:$AG$1001,0),MATCH(COLUMNS($AN$1006:AU1006),$AN$1006:$BO$1006,0)), HYPERLINK("#",""), HYPERLINK(CONCATENATE("#Metadata!", ADDRESS(INDEX($AI$2:$AI$1001,MATCH(ROWS($AG$2:AG565),$AG$2:$AG$1001,0),0), INDEX($AN$1004:$BO$1004,1,MATCH(COLUMNS($AN$1006:AU1006),$AN$1006:$BO$1006,0)))),"Fix")))</f>
        <v>0</v>
      </c>
      <c r="J565" s="4">
        <f>IF(OR(INDEX($AH$2:$AH$1001,MATCH(ROWS($AG$2:AG565),$AG$2:$AG$1001,0),1)&gt;=100000,INDEX($AN$1005:$BO$1005,1,MATCH(COLUMNS($AN$1006:AV1006),$AN$1006:$BO$1006,0))&gt;=100000), " ",IF(INDEX($AN$2:$BO$1001,MATCH(ROWS($AG$2:AG565),$AG$2:$AG$1001,0),MATCH(COLUMNS($AN$1006:AV1006),$AN$1006:$BO$1006,0)), HYPERLINK("#",""), HYPERLINK(CONCATENATE("#Metadata!", ADDRESS(INDEX($AI$2:$AI$1001,MATCH(ROWS($AG$2:AG565),$AG$2:$AG$1001,0),0), INDEX($AN$1004:$BO$1004,1,MATCH(COLUMNS($AN$1006:AV1006),$AN$1006:$BO$1006,0)))),"Fix")))</f>
        <v>0</v>
      </c>
      <c r="K565" s="4">
        <f>IF(OR(INDEX($AH$2:$AH$1001,MATCH(ROWS($AG$2:AG565),$AG$2:$AG$1001,0),1)&gt;=100000,INDEX($AN$1005:$BO$1005,1,MATCH(COLUMNS($AN$1006:AW1006),$AN$1006:$BO$1006,0))&gt;=100000), " ",IF(INDEX($AN$2:$BO$1001,MATCH(ROWS($AG$2:AG565),$AG$2:$AG$1001,0),MATCH(COLUMNS($AN$1006:AW1006),$AN$1006:$BO$1006,0)), HYPERLINK("#",""), HYPERLINK(CONCATENATE("#Metadata!", ADDRESS(INDEX($AI$2:$AI$1001,MATCH(ROWS($AG$2:AG565),$AG$2:$AG$1001,0),0), INDEX($AN$1004:$BO$1004,1,MATCH(COLUMNS($AN$1006:AW1006),$AN$1006:$BO$1006,0)))),"Fix")))</f>
        <v>0</v>
      </c>
      <c r="L565" s="4">
        <f>IF(OR(INDEX($AH$2:$AH$1001,MATCH(ROWS($AG$2:AG565),$AG$2:$AG$1001,0),1)&gt;=100000,INDEX($AN$1005:$BO$1005,1,MATCH(COLUMNS($AN$1006:AX1006),$AN$1006:$BO$1006,0))&gt;=100000), " ",IF(INDEX($AN$2:$BO$1001,MATCH(ROWS($AG$2:AG565),$AG$2:$AG$1001,0),MATCH(COLUMNS($AN$1006:AX1006),$AN$1006:$BO$1006,0)), HYPERLINK("#",""), HYPERLINK(CONCATENATE("#Metadata!", ADDRESS(INDEX($AI$2:$AI$1001,MATCH(ROWS($AG$2:AG565),$AG$2:$AG$1001,0),0), INDEX($AN$1004:$BO$1004,1,MATCH(COLUMNS($AN$1006:AX1006),$AN$1006:$BO$1006,0)))),"Fix")))</f>
        <v>0</v>
      </c>
      <c r="M565" s="4">
        <f>IF(OR(INDEX($AH$2:$AH$1001,MATCH(ROWS($AG$2:AG565),$AG$2:$AG$1001,0),1)&gt;=100000,INDEX($AN$1005:$BO$1005,1,MATCH(COLUMNS($AN$1006:AY1006),$AN$1006:$BO$1006,0))&gt;=100000), " ",IF(INDEX($AN$2:$BO$1001,MATCH(ROWS($AG$2:AG565),$AG$2:$AG$1001,0),MATCH(COLUMNS($AN$1006:AY1006),$AN$1006:$BO$1006,0)), HYPERLINK("#",""), HYPERLINK(CONCATENATE("#Metadata!", ADDRESS(INDEX($AI$2:$AI$1001,MATCH(ROWS($AG$2:AG565),$AG$2:$AG$1001,0),0), INDEX($AN$1004:$BO$1004,1,MATCH(COLUMNS($AN$1006:AY1006),$AN$1006:$BO$1006,0)))),"Fix")))</f>
        <v>0</v>
      </c>
      <c r="N565" s="4">
        <f>IF(OR(INDEX($AH$2:$AH$1001,MATCH(ROWS($AG$2:AG565),$AG$2:$AG$1001,0),1)&gt;=100000,INDEX($AN$1005:$BO$1005,1,MATCH(COLUMNS($AN$1006:AZ1006),$AN$1006:$BO$1006,0))&gt;=100000), " ",IF(INDEX($AN$2:$BO$1001,MATCH(ROWS($AG$2:AG565),$AG$2:$AG$1001,0),MATCH(COLUMNS($AN$1006:AZ1006),$AN$1006:$BO$1006,0)), HYPERLINK("#",""), HYPERLINK(CONCATENATE("#Metadata!", ADDRESS(INDEX($AI$2:$AI$1001,MATCH(ROWS($AG$2:AG565),$AG$2:$AG$1001,0),0), INDEX($AN$1004:$BO$1004,1,MATCH(COLUMNS($AN$1006:AZ1006),$AN$1006:$BO$1006,0)))),"Fix")))</f>
        <v>0</v>
      </c>
      <c r="O565" s="4">
        <f>IF(OR(INDEX($AH$2:$AH$1001,MATCH(ROWS($AG$2:AG565),$AG$2:$AG$1001,0),1)&gt;=100000,INDEX($AN$1005:$BO$1005,1,MATCH(COLUMNS($AN$1006:BA1006),$AN$1006:$BO$1006,0))&gt;=100000), " ",IF(INDEX($AN$2:$BO$1001,MATCH(ROWS($AG$2:AG565),$AG$2:$AG$1001,0),MATCH(COLUMNS($AN$1006:BA1006),$AN$1006:$BO$1006,0)), HYPERLINK("#",""), HYPERLINK(CONCATENATE("#Metadata!", ADDRESS(INDEX($AI$2:$AI$1001,MATCH(ROWS($AG$2:AG565),$AG$2:$AG$1001,0),0), INDEX($AN$1004:$BO$1004,1,MATCH(COLUMNS($AN$1006:BA1006),$AN$1006:$BO$1006,0)))),"Fix")))</f>
        <v>0</v>
      </c>
      <c r="P565" s="4">
        <f>IF(OR(INDEX($AH$2:$AH$1001,MATCH(ROWS($AG$2:AG565),$AG$2:$AG$1001,0),1)&gt;=100000,INDEX($AN$1005:$BO$1005,1,MATCH(COLUMNS($AN$1006:BB1006),$AN$1006:$BO$1006,0))&gt;=100000), " ",IF(INDEX($AN$2:$BO$1001,MATCH(ROWS($AG$2:AG565),$AG$2:$AG$1001,0),MATCH(COLUMNS($AN$1006:BB1006),$AN$1006:$BO$1006,0)), HYPERLINK("#",""), HYPERLINK(CONCATENATE("#Metadata!", ADDRESS(INDEX($AI$2:$AI$1001,MATCH(ROWS($AG$2:AG565),$AG$2:$AG$1001,0),0), INDEX($AN$1004:$BO$1004,1,MATCH(COLUMNS($AN$1006:BB1006),$AN$1006:$BO$1006,0)))),"Fix")))</f>
        <v>0</v>
      </c>
      <c r="Q565" s="4">
        <f>IF(OR(INDEX($AH$2:$AH$1001,MATCH(ROWS($AG$2:AG565),$AG$2:$AG$1001,0),1)&gt;=100000,INDEX($AN$1005:$BO$1005,1,MATCH(COLUMNS($AN$1006:BC1006),$AN$1006:$BO$1006,0))&gt;=100000), " ",IF(INDEX($AN$2:$BO$1001,MATCH(ROWS($AG$2:AG565),$AG$2:$AG$1001,0),MATCH(COLUMNS($AN$1006:BC1006),$AN$1006:$BO$1006,0)), HYPERLINK("#",""), HYPERLINK(CONCATENATE("#Metadata!", ADDRESS(INDEX($AI$2:$AI$1001,MATCH(ROWS($AG$2:AG565),$AG$2:$AG$1001,0),0), INDEX($AN$1004:$BO$1004,1,MATCH(COLUMNS($AN$1006:BC1006),$AN$1006:$BO$1006,0)))),"Fix")))</f>
        <v>0</v>
      </c>
      <c r="R565" s="4">
        <f>IF(OR(INDEX($AH$2:$AH$1001,MATCH(ROWS($AG$2:AG565),$AG$2:$AG$1001,0),1)&gt;=100000,INDEX($AN$1005:$BO$1005,1,MATCH(COLUMNS($AN$1006:BD1006),$AN$1006:$BO$1006,0))&gt;=100000), " ",IF(INDEX($AN$2:$BO$1001,MATCH(ROWS($AG$2:AG565),$AG$2:$AG$1001,0),MATCH(COLUMNS($AN$1006:BD1006),$AN$1006:$BO$1006,0)), HYPERLINK("#",""), HYPERLINK(CONCATENATE("#Metadata!", ADDRESS(INDEX($AI$2:$AI$1001,MATCH(ROWS($AG$2:AG565),$AG$2:$AG$1001,0),0), INDEX($AN$1004:$BO$1004,1,MATCH(COLUMNS($AN$1006:BD1006),$AN$1006:$BO$1006,0)))),"Fix")))</f>
        <v>0</v>
      </c>
      <c r="S565" s="4">
        <f>IF(OR(INDEX($AH$2:$AH$1001,MATCH(ROWS($AG$2:AG565),$AG$2:$AG$1001,0),1)&gt;=100000,INDEX($AN$1005:$BO$1005,1,MATCH(COLUMNS($AN$1006:BE1006),$AN$1006:$BO$1006,0))&gt;=100000), " ",IF(INDEX($AN$2:$BO$1001,MATCH(ROWS($AG$2:AG565),$AG$2:$AG$1001,0),MATCH(COLUMNS($AN$1006:BE1006),$AN$1006:$BO$1006,0)), HYPERLINK("#",""), HYPERLINK(CONCATENATE("#Metadata!", ADDRESS(INDEX($AI$2:$AI$1001,MATCH(ROWS($AG$2:AG565),$AG$2:$AG$1001,0),0), INDEX($AN$1004:$BO$1004,1,MATCH(COLUMNS($AN$1006:BE1006),$AN$1006:$BO$1006,0)))),"Fix")))</f>
        <v>0</v>
      </c>
      <c r="T565" s="4">
        <f>IF(OR(INDEX($AH$2:$AH$1001,MATCH(ROWS($AG$2:AG565),$AG$2:$AG$1001,0),1)&gt;=100000,INDEX($AN$1005:$BO$1005,1,MATCH(COLUMNS($AN$1006:BF1006),$AN$1006:$BO$1006,0))&gt;=100000), " ",IF(INDEX($AN$2:$BO$1001,MATCH(ROWS($AG$2:AG565),$AG$2:$AG$1001,0),MATCH(COLUMNS($AN$1006:BF1006),$AN$1006:$BO$1006,0)), HYPERLINK("#",""), HYPERLINK(CONCATENATE("#Metadata!", ADDRESS(INDEX($AI$2:$AI$1001,MATCH(ROWS($AG$2:AG565),$AG$2:$AG$1001,0),0), INDEX($AN$1004:$BO$1004,1,MATCH(COLUMNS($AN$1006:BF1006),$AN$1006:$BO$1006,0)))),"Fix")))</f>
        <v>0</v>
      </c>
      <c r="U565" s="4">
        <f>IF(OR(INDEX($AH$2:$AH$1001,MATCH(ROWS($AG$2:AG565),$AG$2:$AG$1001,0),1)&gt;=100000,INDEX($AN$1005:$BO$1005,1,MATCH(COLUMNS($AN$1006:BG1006),$AN$1006:$BO$1006,0))&gt;=100000), " ",IF(INDEX($AN$2:$BO$1001,MATCH(ROWS($AG$2:AG565),$AG$2:$AG$1001,0),MATCH(COLUMNS($AN$1006:BG1006),$AN$1006:$BO$1006,0)), HYPERLINK("#",""), HYPERLINK(CONCATENATE("#Metadata!", ADDRESS(INDEX($AI$2:$AI$1001,MATCH(ROWS($AG$2:AG565),$AG$2:$AG$1001,0),0), INDEX($AN$1004:$BO$1004,1,MATCH(COLUMNS($AN$1006:BG1006),$AN$1006:$BO$1006,0)))),"Fix")))</f>
        <v>0</v>
      </c>
      <c r="V565" s="4">
        <f>IF(OR(INDEX($AH$2:$AH$1001,MATCH(ROWS($AG$2:AG565),$AG$2:$AG$1001,0),1)&gt;=100000,INDEX($AN$1005:$BO$1005,1,MATCH(COLUMNS($AN$1006:BH1006),$AN$1006:$BO$1006,0))&gt;=100000), " ",IF(INDEX($AN$2:$BO$1001,MATCH(ROWS($AG$2:AG565),$AG$2:$AG$1001,0),MATCH(COLUMNS($AN$1006:BH1006),$AN$1006:$BO$1006,0)), HYPERLINK("#",""), HYPERLINK(CONCATENATE("#Metadata!", ADDRESS(INDEX($AI$2:$AI$1001,MATCH(ROWS($AG$2:AG565),$AG$2:$AG$1001,0),0), INDEX($AN$1004:$BO$1004,1,MATCH(COLUMNS($AN$1006:BH1006),$AN$1006:$BO$1006,0)))),"Fix")))</f>
        <v>0</v>
      </c>
      <c r="W565" s="4">
        <f>IF(OR(INDEX($AH$2:$AH$1001,MATCH(ROWS($AG$2:AG565),$AG$2:$AG$1001,0),1)&gt;=100000,INDEX($AN$1005:$BO$1005,1,MATCH(COLUMNS($AN$1006:BI1006),$AN$1006:$BO$1006,0))&gt;=100000), " ",IF(INDEX($AN$2:$BO$1001,MATCH(ROWS($AG$2:AG565),$AG$2:$AG$1001,0),MATCH(COLUMNS($AN$1006:BI1006),$AN$1006:$BO$1006,0)), HYPERLINK("#",""), HYPERLINK(CONCATENATE("#Metadata!", ADDRESS(INDEX($AI$2:$AI$1001,MATCH(ROWS($AG$2:AG565),$AG$2:$AG$1001,0),0), INDEX($AN$1004:$BO$1004,1,MATCH(COLUMNS($AN$1006:BI1006),$AN$1006:$BO$1006,0)))),"Fix")))</f>
        <v>0</v>
      </c>
      <c r="X565" s="4">
        <f>IF(OR(INDEX($AH$2:$AH$1001,MATCH(ROWS($AG$2:AG565),$AG$2:$AG$1001,0),1)&gt;=100000,INDEX($AN$1005:$BO$1005,1,MATCH(COLUMNS($AN$1006:BJ1006),$AN$1006:$BO$1006,0))&gt;=100000), " ",IF(INDEX($AN$2:$BO$1001,MATCH(ROWS($AG$2:AG565),$AG$2:$AG$1001,0),MATCH(COLUMNS($AN$1006:BJ1006),$AN$1006:$BO$1006,0)), HYPERLINK("#",""), HYPERLINK(CONCATENATE("#Metadata!", ADDRESS(INDEX($AI$2:$AI$1001,MATCH(ROWS($AG$2:AG565),$AG$2:$AG$1001,0),0), INDEX($AN$1004:$BO$1004,1,MATCH(COLUMNS($AN$1006:BJ1006),$AN$1006:$BO$1006,0)))),"Fix")))</f>
        <v>0</v>
      </c>
      <c r="Y565" s="4">
        <f>IF(OR(INDEX($AH$2:$AH$1001,MATCH(ROWS($AG$2:AG565),$AG$2:$AG$1001,0),1)&gt;=100000,INDEX($AN$1005:$BO$1005,1,MATCH(COLUMNS($AN$1006:BK1006),$AN$1006:$BO$1006,0))&gt;=100000), " ",IF(INDEX($AN$2:$BO$1001,MATCH(ROWS($AG$2:AG565),$AG$2:$AG$1001,0),MATCH(COLUMNS($AN$1006:BK1006),$AN$1006:$BO$1006,0)), HYPERLINK("#",""), HYPERLINK(CONCATENATE("#Metadata!", ADDRESS(INDEX($AI$2:$AI$1001,MATCH(ROWS($AG$2:AG565),$AG$2:$AG$1001,0),0), INDEX($AN$1004:$BO$1004,1,MATCH(COLUMNS($AN$1006:BK1006),$AN$1006:$BO$1006,0)))),"Fix")))</f>
        <v>0</v>
      </c>
      <c r="Z565" s="4">
        <f>IF(OR(INDEX($AH$2:$AH$1001,MATCH(ROWS($AG$2:AG565),$AG$2:$AG$1001,0),1)&gt;=100000,INDEX($AN$1005:$BO$1005,1,MATCH(COLUMNS($AN$1006:BL1006),$AN$1006:$BO$1006,0))&gt;=100000), " ",IF(INDEX($AN$2:$BO$1001,MATCH(ROWS($AG$2:AG565),$AG$2:$AG$1001,0),MATCH(COLUMNS($AN$1006:BL1006),$AN$1006:$BO$1006,0)), HYPERLINK("#",""), HYPERLINK(CONCATENATE("#Metadata!", ADDRESS(INDEX($AI$2:$AI$1001,MATCH(ROWS($AG$2:AG565),$AG$2:$AG$1001,0),0), INDEX($AN$1004:$BO$1004,1,MATCH(COLUMNS($AN$1006:BL1006),$AN$1006:$BO$1006,0)))),"Fix")))</f>
        <v>0</v>
      </c>
      <c r="AA565" s="4">
        <f>IF(OR(INDEX($AH$2:$AH$1001,MATCH(ROWS($AG$2:AG565),$AG$2:$AG$1001,0),1)&gt;=100000,INDEX($AN$1005:$BO$1005,1,MATCH(COLUMNS($AN$1006:BM1006),$AN$1006:$BO$1006,0))&gt;=100000), " ",IF(INDEX($AN$2:$BO$1001,MATCH(ROWS($AG$2:AG565),$AG$2:$AG$1001,0),MATCH(COLUMNS($AN$1006:BM1006),$AN$1006:$BO$1006,0)), HYPERLINK("#",""), HYPERLINK(CONCATENATE("#Metadata!", ADDRESS(INDEX($AI$2:$AI$1001,MATCH(ROWS($AG$2:AG565),$AG$2:$AG$1001,0),0), INDEX($AN$1004:$BO$1004,1,MATCH(COLUMNS($AN$1006:BM1006),$AN$1006:$BO$1006,0)))),"Fix")))</f>
        <v>0</v>
      </c>
      <c r="AB565" s="4">
        <f>IF(OR(INDEX($AH$2:$AH$1001,MATCH(ROWS($AG$2:AG565),$AG$2:$AG$1001,0),1)&gt;=100000,INDEX($AN$1005:$BO$1005,1,MATCH(COLUMNS($AN$1006:BN1006),$AN$1006:$BO$1006,0))&gt;=100000), " ",IF(INDEX($AN$2:$BO$1001,MATCH(ROWS($AG$2:AG565),$AG$2:$AG$1001,0),MATCH(COLUMNS($AN$1006:BN1006),$AN$1006:$BO$1006,0)), HYPERLINK("#",""), HYPERLINK(CONCATENATE("#Metadata!", ADDRESS(INDEX($AI$2:$AI$1001,MATCH(ROWS($AG$2:AG565),$AG$2:$AG$1001,0),0), INDEX($AN$1004:$BO$1004,1,MATCH(COLUMNS($AN$1006:BN1006),$AN$1006:$BO$1006,0)))),"Fix")))</f>
        <v>0</v>
      </c>
      <c r="AC565" s="4">
        <f>IF(OR(INDEX($AH$2:$AH$1001,MATCH(ROWS($AG$2:AG565),$AG$2:$AG$1001,0),1)&gt;=100000,INDEX($AN$1005:$BO$1005,1,MATCH(COLUMNS($AN$1006:BO1006),$AN$1006:$BO$1006,0))&gt;=100000), " ",IF(INDEX($AN$2:$BO$1001,MATCH(ROWS($AG$2:AG565),$AG$2:$AG$1001,0),MATCH(COLUMNS($AN$1006:BO1006),$AN$1006:$BO$1006,0)), HYPERLINK("#",""), HYPERLINK(CONCATENATE("#Metadata!", ADDRESS(INDEX($AI$2:$AI$1001,MATCH(ROWS($AG$2:AG565),$AG$2:$AG$1001,0),0), INDEX($AN$1004:$BO$1004,1,MATCH(COLUMNS($AN$1006:BO1006),$AN$1006:$BO$1006,0)))),"Fix")))</f>
        <v>0</v>
      </c>
      <c r="AG565">
        <v>0</v>
      </c>
      <c r="AH565">
        <v>0</v>
      </c>
      <c r="AI565">
        <v>0</v>
      </c>
      <c r="AJ565">
        <f>IF(AK565,TRUE,AND(AN565:BO565))</f>
        <v>0</v>
      </c>
      <c r="AK565">
        <f>COUNTBLANK(Metadata!B565:AC565)=COLUMNS(Metadata!B565:AC565)</f>
        <v>0</v>
      </c>
      <c r="AL565">
        <v>0</v>
      </c>
      <c r="AN565">
        <f>AND(IF(Metadata!B565="",FALSE,TRUE),COUNTIF(Metadata!B:B, Metadata!B565) = 1,NOT(ISERROR(SUMPRODUCT(SEARCH(MID(Metadata!B565,ROW(INDIRECT("1:"&amp;LEN(Metadata!B565))), 1),"0123456789abcdefghijklmnopqrstuvwxyzABCDEFGHIJKLMNOPQRSTUVWXYZ.")))))</f>
        <v>0</v>
      </c>
      <c r="AO565">
        <f>IF(Metadata!C565="",FALSE,TRUE)</f>
        <v>0</v>
      </c>
      <c r="AP565">
        <f>IF(Metadata!D565="",FALSE,TRUE)</f>
        <v>0</v>
      </c>
      <c r="AQ565">
        <f>OR(AND(IF(Metadata!E565="",FALSE,TRUE),OR(exact(Metadata!E565,"not collected"),exact(Metadata!E565,"not provided"),exact(Metadata!E565,"restricted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R565">
        <f>IF(Metadata!F565="",FALSE,TRUE)</f>
        <v>0</v>
      </c>
      <c r="AS565">
        <f>OR(AND(IF(Metadata!G565="",FALSE,TRUE),OR(exact(Metadata!G565,"not collected"),exact(Metadata!G565,"not provided"))),AND(IF(Metadata!G565="",FALSE,TRUE),OR(exact(Metadata!G565,"TRUE"),exact(Metadata!G565,"FALSE"))))</f>
        <v>0</v>
      </c>
      <c r="AT565">
        <f>OR(AND(IF(Metadata!H565="",FALSE,TRUE),OR(exact(Metadata!H565,"not collected"),exact(Metadata!H565,"not provided"),exact(Metadata!H565,"restricted access"))),AND(IF(Metadata!H565="",FALSE,ISNUMBER(VALUE(Metadata!H565))),Metadata!H565&gt;=-413.0))</f>
        <v>0</v>
      </c>
      <c r="AU565">
        <f>AND(IF(Metadata!I565="",FALSE,TRUE),exact(Metadata!I565,"meters"))</f>
        <v>0</v>
      </c>
      <c r="AV565">
        <f>AND(IF(Metadata!J565="",FALSE,TRUE),OR(exact(Metadata!J565,"Host-associated"),exact(Metadata!J565,"Free-living")))</f>
        <v>0</v>
      </c>
      <c r="AW565">
        <f>AND(IF(Metadata!K565="",FALSE,TRUE),OR(exact(Metadata!K565,"Animal"),exact(Metadata!K565,"Fungus"),exact(Metadata!K565,"Plant"),exact(Metadata!K565,"Saline"),exact(Metadata!K565,"Non-saline")))</f>
        <v>0</v>
      </c>
      <c r="AX565">
        <f>AND(IF(Metadata!L565="",FALSE,TRUE),OR(exact(Metadata!L565,"Plant secretion"),exact(Metadata!L565,"Plant rhizosphere"),exact(Metadata!L565,"Plant surface"),exact(Metadata!L565,"Plant corpus"),exact(Metadata!L565,"Fungus surface"),exact(Metadata!L565,"Fungus corpus"),exact(Metadata!L565,"Animal surface"),exact(Metadata!L565,"Animal proximal gut"),exact(Metadata!L565,"Animal corpus"),exact(Metadata!L565,"Animal distal gut"),exact(Metadata!L565,"Animal secretion"),exact(Metadata!L565,"Sub-surface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Y565">
        <f>IF(Metadata!M565="",FALSE,TRUE)</f>
        <v>0</v>
      </c>
      <c r="AZ565">
        <f>IF(Metadata!N565="",FALSE,TRUE)</f>
        <v>0</v>
      </c>
      <c r="BA565">
        <f>IF(Metadata!O565="",FALSE,TRUE)</f>
        <v>0</v>
      </c>
      <c r="BB565">
        <f>OR(AND(IF(Metadata!P565="",FALSE,TRUE),OR(exact(Metadata!P565,"not collected"),exact(Metadata!P565,"not provided"),exact(Metadata!P565,"restricted access"))),AND(IF(Metadata!P565="",FALSE,TRUE),OR(exact(Metadata!P565,"air"),exact(Metadata!P565,"built environment"),exact(Metadata!P565,"host-associated"),exact(Metadata!P565,"human-associated"),exact(Metadata!P565,"human-skin"),exact(Metadata!P565,"human-oral"),exact(Metadata!P565,"human-gut"),exact(Metadata!P565,"human-vaginal"),exact(Metadata!P565,"microbial mat/biofilm"),exact(Metadata!P565,"misc environment"),exact(Metadata!P565,"plant-associated"),exact(Metadata!P565,"sediment"),exact(Metadata!P565,"soil"),exact(Metadata!P565,"wastewater/sludge"),exact(Metadata!P565,"water"))))</f>
        <v>0</v>
      </c>
      <c r="BC565">
        <f>IF(Metadata!Q565="",FALSE,TRUE)</f>
        <v>0</v>
      </c>
      <c r="BD565">
        <f>IF(Metadata!R565="",FALSE,TRUE)</f>
        <v>0</v>
      </c>
      <c r="BE565">
        <f>OR(AND(IF(Metadata!S565="",FALSE,TRUE),OR(exact(Metadata!S565,"not collected"),exact(Metadata!S565,"not provided"),exact(Metadata!S565,"restricted access"))),AND(IF(Metadata!S565="",FALSE,ISNUMBER(VALUE(Metadata!S565))),Metadata!S565&gt;=-90.00,Metadata!S565&lt;=90.00))</f>
        <v>0</v>
      </c>
      <c r="BF565">
        <f>AND(IF(Metadata!T565="",FALSE,TRUE),exact(Metadata!T565,"Decimal degrees"))</f>
        <v>0</v>
      </c>
      <c r="BG565">
        <f>OR(AND(IF(Metadata!U565="",FALSE,TRUE),OR(exact(Metadata!U565,"not collected"),exact(Metadata!U565,"not provided"),exact(Metadata!U565,"restricted access"))),AND(IF(Metadata!U565="",FALSE,ISNUMBER(VALUE(Metadata!U565))),Metadata!U565&gt;=-180.00,Metadata!U565&lt;=180.00))</f>
        <v>0</v>
      </c>
      <c r="BH565">
        <f>AND(IF(Metadata!V565="",FALSE,TRUE),exact(Metadata!V565,"Decimal degrees"))</f>
        <v>0</v>
      </c>
      <c r="BI565">
        <f>IF(Metadata!W565="",FALSE,TRUE)</f>
        <v>0</v>
      </c>
      <c r="BJ565">
        <f>OR(AND(IF(Metadata!X565="",FALSE,TRUE),OR(exact(Metadata!X565,"not collected"),exact(Metadata!X565,"not provided"),exact(Metadata!X565,"restricted access"))),AND(IF(Metadata!X565="",FALSE,TRUE),OR(exact(Metadata!X565,"TRUE"),exact(Metadata!X565,"FALSE"))))</f>
        <v>0</v>
      </c>
      <c r="BK565">
        <f>AND(IF(Metadata!Y565="",FALSE,TRUE),exact(Metadata!Y565,"other"))</f>
        <v>0</v>
      </c>
      <c r="BL565">
        <f>IF(Metadata!Z565="",FALSE,TRUE)</f>
        <v>0</v>
      </c>
      <c r="BM565">
        <f>OR(AND(IF(Metadata!AA565="",FALSE,TRUE),OR(exact(Metadata!AA565,"not collected"),exact(Metadata!AA565,"not provided"))),AND(IF(Metadata!AA565="",FALSE,IF(ISERROR(INT(Metadata!AA565)),FALSE,INT(Metadata!AA565)=Metadata!AA565)),Metadata!AA565&gt;0))</f>
        <v>0</v>
      </c>
      <c r="BN565">
        <f>AND(IF(Metadata!AB565="",FALSE,TRUE),exact(Metadata!AB565,"Not applicable"))</f>
        <v>0</v>
      </c>
      <c r="BO565">
        <f>IF(Metadata!AC565="",FALSE,TRUE)</f>
        <v>0</v>
      </c>
    </row>
    <row r="566" spans="1:67">
      <c r="A566" s="5">
        <f>IF(B566=" "," ",HYPERLINK(CONCATENATE("#metadata!",ADDRESS(INDEX($AI$2:$AI$1001,MATCH(ROWS($AG$2:AG566),$AG$2:$AG$1001,0),0),1)),INDEX($AL$2:$AL$1001,MATCH(ROWS($AG$2:AG566),$AG$2:$AG$1001,0),0)))</f>
        <v>0</v>
      </c>
      <c r="B566" s="4">
        <f>IF(OR(INDEX($AH$2:$AH$1001,MATCH(ROWS($AG$2:AG566),$AG$2:$AG$1001,0),1)&gt;=100000,INDEX($AN$1005:$BO$1005,1,MATCH(COLUMNS($AN$1006:AN1006),$AN$1006:$BO$1006,0))&gt;=100000), " ",IF(INDEX($AN$2:$BO$1001,MATCH(ROWS($AG$2:AG566),$AG$2:$AG$1001,0),MATCH(COLUMNS($AN$1006:AN1006),$AN$1006:$BO$1006,0)), HYPERLINK("#",""), HYPERLINK(CONCATENATE("#Metadata!", ADDRESS(INDEX($AI$2:$AI$1001,MATCH(ROWS($AG$2:AG566),$AG$2:$AG$1001,0),0), INDEX($AN$1004:$BO$1004,1,MATCH(COLUMNS($AN$1006:AN1006),$AN$1006:$BO$1006,0)))),"Fix")))</f>
        <v>0</v>
      </c>
      <c r="C566" s="4">
        <f>IF(OR(INDEX($AH$2:$AH$1001,MATCH(ROWS($AG$2:AG566),$AG$2:$AG$1001,0),1)&gt;=100000,INDEX($AN$1005:$BO$1005,1,MATCH(COLUMNS($AN$1006:AO1006),$AN$1006:$BO$1006,0))&gt;=100000), " ",IF(INDEX($AN$2:$BO$1001,MATCH(ROWS($AG$2:AG566),$AG$2:$AG$1001,0),MATCH(COLUMNS($AN$1006:AO1006),$AN$1006:$BO$1006,0)), HYPERLINK("#",""), HYPERLINK(CONCATENATE("#Metadata!", ADDRESS(INDEX($AI$2:$AI$1001,MATCH(ROWS($AG$2:AG566),$AG$2:$AG$1001,0),0), INDEX($AN$1004:$BO$1004,1,MATCH(COLUMNS($AN$1006:AO1006),$AN$1006:$BO$1006,0)))),"Fix")))</f>
        <v>0</v>
      </c>
      <c r="D566" s="4">
        <f>IF(OR(INDEX($AH$2:$AH$1001,MATCH(ROWS($AG$2:AG566),$AG$2:$AG$1001,0),1)&gt;=100000,INDEX($AN$1005:$BO$1005,1,MATCH(COLUMNS($AN$1006:AP1006),$AN$1006:$BO$1006,0))&gt;=100000), " ",IF(INDEX($AN$2:$BO$1001,MATCH(ROWS($AG$2:AG566),$AG$2:$AG$1001,0),MATCH(COLUMNS($AN$1006:AP1006),$AN$1006:$BO$1006,0)), HYPERLINK("#",""), HYPERLINK(CONCATENATE("#Metadata!", ADDRESS(INDEX($AI$2:$AI$1001,MATCH(ROWS($AG$2:AG566),$AG$2:$AG$1001,0),0), INDEX($AN$1004:$BO$1004,1,MATCH(COLUMNS($AN$1006:AP1006),$AN$1006:$BO$1006,0)))),"Fix")))</f>
        <v>0</v>
      </c>
      <c r="E566" s="4">
        <f>IF(OR(INDEX($AH$2:$AH$1001,MATCH(ROWS($AG$2:AG566),$AG$2:$AG$1001,0),1)&gt;=100000,INDEX($AN$1005:$BO$1005,1,MATCH(COLUMNS($AN$1006:AQ1006),$AN$1006:$BO$1006,0))&gt;=100000), " ",IF(INDEX($AN$2:$BO$1001,MATCH(ROWS($AG$2:AG566),$AG$2:$AG$1001,0),MATCH(COLUMNS($AN$1006:AQ1006),$AN$1006:$BO$1006,0)), HYPERLINK("#",""), HYPERLINK(CONCATENATE("#Metadata!", ADDRESS(INDEX($AI$2:$AI$1001,MATCH(ROWS($AG$2:AG566),$AG$2:$AG$1001,0),0), INDEX($AN$1004:$BO$1004,1,MATCH(COLUMNS($AN$1006:AQ1006),$AN$1006:$BO$1006,0)))),"Fix")))</f>
        <v>0</v>
      </c>
      <c r="F566" s="4">
        <f>IF(OR(INDEX($AH$2:$AH$1001,MATCH(ROWS($AG$2:AG566),$AG$2:$AG$1001,0),1)&gt;=100000,INDEX($AN$1005:$BO$1005,1,MATCH(COLUMNS($AN$1006:AR1006),$AN$1006:$BO$1006,0))&gt;=100000), " ",IF(INDEX($AN$2:$BO$1001,MATCH(ROWS($AG$2:AG566),$AG$2:$AG$1001,0),MATCH(COLUMNS($AN$1006:AR1006),$AN$1006:$BO$1006,0)), HYPERLINK("#",""), HYPERLINK(CONCATENATE("#Metadata!", ADDRESS(INDEX($AI$2:$AI$1001,MATCH(ROWS($AG$2:AG566),$AG$2:$AG$1001,0),0), INDEX($AN$1004:$BO$1004,1,MATCH(COLUMNS($AN$1006:AR1006),$AN$1006:$BO$1006,0)))),"Fix")))</f>
        <v>0</v>
      </c>
      <c r="G566" s="4">
        <f>IF(OR(INDEX($AH$2:$AH$1001,MATCH(ROWS($AG$2:AG566),$AG$2:$AG$1001,0),1)&gt;=100000,INDEX($AN$1005:$BO$1005,1,MATCH(COLUMNS($AN$1006:AS1006),$AN$1006:$BO$1006,0))&gt;=100000), " ",IF(INDEX($AN$2:$BO$1001,MATCH(ROWS($AG$2:AG566),$AG$2:$AG$1001,0),MATCH(COLUMNS($AN$1006:AS1006),$AN$1006:$BO$1006,0)), HYPERLINK("#",""), HYPERLINK(CONCATENATE("#Metadata!", ADDRESS(INDEX($AI$2:$AI$1001,MATCH(ROWS($AG$2:AG566),$AG$2:$AG$1001,0),0), INDEX($AN$1004:$BO$1004,1,MATCH(COLUMNS($AN$1006:AS1006),$AN$1006:$BO$1006,0)))),"Fix")))</f>
        <v>0</v>
      </c>
      <c r="H566" s="4">
        <f>IF(OR(INDEX($AH$2:$AH$1001,MATCH(ROWS($AG$2:AG566),$AG$2:$AG$1001,0),1)&gt;=100000,INDEX($AN$1005:$BO$1005,1,MATCH(COLUMNS($AN$1006:AT1006),$AN$1006:$BO$1006,0))&gt;=100000), " ",IF(INDEX($AN$2:$BO$1001,MATCH(ROWS($AG$2:AG566),$AG$2:$AG$1001,0),MATCH(COLUMNS($AN$1006:AT1006),$AN$1006:$BO$1006,0)), HYPERLINK("#",""), HYPERLINK(CONCATENATE("#Metadata!", ADDRESS(INDEX($AI$2:$AI$1001,MATCH(ROWS($AG$2:AG566),$AG$2:$AG$1001,0),0), INDEX($AN$1004:$BO$1004,1,MATCH(COLUMNS($AN$1006:AT1006),$AN$1006:$BO$1006,0)))),"Fix")))</f>
        <v>0</v>
      </c>
      <c r="I566" s="4">
        <f>IF(OR(INDEX($AH$2:$AH$1001,MATCH(ROWS($AG$2:AG566),$AG$2:$AG$1001,0),1)&gt;=100000,INDEX($AN$1005:$BO$1005,1,MATCH(COLUMNS($AN$1006:AU1006),$AN$1006:$BO$1006,0))&gt;=100000), " ",IF(INDEX($AN$2:$BO$1001,MATCH(ROWS($AG$2:AG566),$AG$2:$AG$1001,0),MATCH(COLUMNS($AN$1006:AU1006),$AN$1006:$BO$1006,0)), HYPERLINK("#",""), HYPERLINK(CONCATENATE("#Metadata!", ADDRESS(INDEX($AI$2:$AI$1001,MATCH(ROWS($AG$2:AG566),$AG$2:$AG$1001,0),0), INDEX($AN$1004:$BO$1004,1,MATCH(COLUMNS($AN$1006:AU1006),$AN$1006:$BO$1006,0)))),"Fix")))</f>
        <v>0</v>
      </c>
      <c r="J566" s="4">
        <f>IF(OR(INDEX($AH$2:$AH$1001,MATCH(ROWS($AG$2:AG566),$AG$2:$AG$1001,0),1)&gt;=100000,INDEX($AN$1005:$BO$1005,1,MATCH(COLUMNS($AN$1006:AV1006),$AN$1006:$BO$1006,0))&gt;=100000), " ",IF(INDEX($AN$2:$BO$1001,MATCH(ROWS($AG$2:AG566),$AG$2:$AG$1001,0),MATCH(COLUMNS($AN$1006:AV1006),$AN$1006:$BO$1006,0)), HYPERLINK("#",""), HYPERLINK(CONCATENATE("#Metadata!", ADDRESS(INDEX($AI$2:$AI$1001,MATCH(ROWS($AG$2:AG566),$AG$2:$AG$1001,0),0), INDEX($AN$1004:$BO$1004,1,MATCH(COLUMNS($AN$1006:AV1006),$AN$1006:$BO$1006,0)))),"Fix")))</f>
        <v>0</v>
      </c>
      <c r="K566" s="4">
        <f>IF(OR(INDEX($AH$2:$AH$1001,MATCH(ROWS($AG$2:AG566),$AG$2:$AG$1001,0),1)&gt;=100000,INDEX($AN$1005:$BO$1005,1,MATCH(COLUMNS($AN$1006:AW1006),$AN$1006:$BO$1006,0))&gt;=100000), " ",IF(INDEX($AN$2:$BO$1001,MATCH(ROWS($AG$2:AG566),$AG$2:$AG$1001,0),MATCH(COLUMNS($AN$1006:AW1006),$AN$1006:$BO$1006,0)), HYPERLINK("#",""), HYPERLINK(CONCATENATE("#Metadata!", ADDRESS(INDEX($AI$2:$AI$1001,MATCH(ROWS($AG$2:AG566),$AG$2:$AG$1001,0),0), INDEX($AN$1004:$BO$1004,1,MATCH(COLUMNS($AN$1006:AW1006),$AN$1006:$BO$1006,0)))),"Fix")))</f>
        <v>0</v>
      </c>
      <c r="L566" s="4">
        <f>IF(OR(INDEX($AH$2:$AH$1001,MATCH(ROWS($AG$2:AG566),$AG$2:$AG$1001,0),1)&gt;=100000,INDEX($AN$1005:$BO$1005,1,MATCH(COLUMNS($AN$1006:AX1006),$AN$1006:$BO$1006,0))&gt;=100000), " ",IF(INDEX($AN$2:$BO$1001,MATCH(ROWS($AG$2:AG566),$AG$2:$AG$1001,0),MATCH(COLUMNS($AN$1006:AX1006),$AN$1006:$BO$1006,0)), HYPERLINK("#",""), HYPERLINK(CONCATENATE("#Metadata!", ADDRESS(INDEX($AI$2:$AI$1001,MATCH(ROWS($AG$2:AG566),$AG$2:$AG$1001,0),0), INDEX($AN$1004:$BO$1004,1,MATCH(COLUMNS($AN$1006:AX1006),$AN$1006:$BO$1006,0)))),"Fix")))</f>
        <v>0</v>
      </c>
      <c r="M566" s="4">
        <f>IF(OR(INDEX($AH$2:$AH$1001,MATCH(ROWS($AG$2:AG566),$AG$2:$AG$1001,0),1)&gt;=100000,INDEX($AN$1005:$BO$1005,1,MATCH(COLUMNS($AN$1006:AY1006),$AN$1006:$BO$1006,0))&gt;=100000), " ",IF(INDEX($AN$2:$BO$1001,MATCH(ROWS($AG$2:AG566),$AG$2:$AG$1001,0),MATCH(COLUMNS($AN$1006:AY1006),$AN$1006:$BO$1006,0)), HYPERLINK("#",""), HYPERLINK(CONCATENATE("#Metadata!", ADDRESS(INDEX($AI$2:$AI$1001,MATCH(ROWS($AG$2:AG566),$AG$2:$AG$1001,0),0), INDEX($AN$1004:$BO$1004,1,MATCH(COLUMNS($AN$1006:AY1006),$AN$1006:$BO$1006,0)))),"Fix")))</f>
        <v>0</v>
      </c>
      <c r="N566" s="4">
        <f>IF(OR(INDEX($AH$2:$AH$1001,MATCH(ROWS($AG$2:AG566),$AG$2:$AG$1001,0),1)&gt;=100000,INDEX($AN$1005:$BO$1005,1,MATCH(COLUMNS($AN$1006:AZ1006),$AN$1006:$BO$1006,0))&gt;=100000), " ",IF(INDEX($AN$2:$BO$1001,MATCH(ROWS($AG$2:AG566),$AG$2:$AG$1001,0),MATCH(COLUMNS($AN$1006:AZ1006),$AN$1006:$BO$1006,0)), HYPERLINK("#",""), HYPERLINK(CONCATENATE("#Metadata!", ADDRESS(INDEX($AI$2:$AI$1001,MATCH(ROWS($AG$2:AG566),$AG$2:$AG$1001,0),0), INDEX($AN$1004:$BO$1004,1,MATCH(COLUMNS($AN$1006:AZ1006),$AN$1006:$BO$1006,0)))),"Fix")))</f>
        <v>0</v>
      </c>
      <c r="O566" s="4">
        <f>IF(OR(INDEX($AH$2:$AH$1001,MATCH(ROWS($AG$2:AG566),$AG$2:$AG$1001,0),1)&gt;=100000,INDEX($AN$1005:$BO$1005,1,MATCH(COLUMNS($AN$1006:BA1006),$AN$1006:$BO$1006,0))&gt;=100000), " ",IF(INDEX($AN$2:$BO$1001,MATCH(ROWS($AG$2:AG566),$AG$2:$AG$1001,0),MATCH(COLUMNS($AN$1006:BA1006),$AN$1006:$BO$1006,0)), HYPERLINK("#",""), HYPERLINK(CONCATENATE("#Metadata!", ADDRESS(INDEX($AI$2:$AI$1001,MATCH(ROWS($AG$2:AG566),$AG$2:$AG$1001,0),0), INDEX($AN$1004:$BO$1004,1,MATCH(COLUMNS($AN$1006:BA1006),$AN$1006:$BO$1006,0)))),"Fix")))</f>
        <v>0</v>
      </c>
      <c r="P566" s="4">
        <f>IF(OR(INDEX($AH$2:$AH$1001,MATCH(ROWS($AG$2:AG566),$AG$2:$AG$1001,0),1)&gt;=100000,INDEX($AN$1005:$BO$1005,1,MATCH(COLUMNS($AN$1006:BB1006),$AN$1006:$BO$1006,0))&gt;=100000), " ",IF(INDEX($AN$2:$BO$1001,MATCH(ROWS($AG$2:AG566),$AG$2:$AG$1001,0),MATCH(COLUMNS($AN$1006:BB1006),$AN$1006:$BO$1006,0)), HYPERLINK("#",""), HYPERLINK(CONCATENATE("#Metadata!", ADDRESS(INDEX($AI$2:$AI$1001,MATCH(ROWS($AG$2:AG566),$AG$2:$AG$1001,0),0), INDEX($AN$1004:$BO$1004,1,MATCH(COLUMNS($AN$1006:BB1006),$AN$1006:$BO$1006,0)))),"Fix")))</f>
        <v>0</v>
      </c>
      <c r="Q566" s="4">
        <f>IF(OR(INDEX($AH$2:$AH$1001,MATCH(ROWS($AG$2:AG566),$AG$2:$AG$1001,0),1)&gt;=100000,INDEX($AN$1005:$BO$1005,1,MATCH(COLUMNS($AN$1006:BC1006),$AN$1006:$BO$1006,0))&gt;=100000), " ",IF(INDEX($AN$2:$BO$1001,MATCH(ROWS($AG$2:AG566),$AG$2:$AG$1001,0),MATCH(COLUMNS($AN$1006:BC1006),$AN$1006:$BO$1006,0)), HYPERLINK("#",""), HYPERLINK(CONCATENATE("#Metadata!", ADDRESS(INDEX($AI$2:$AI$1001,MATCH(ROWS($AG$2:AG566),$AG$2:$AG$1001,0),0), INDEX($AN$1004:$BO$1004,1,MATCH(COLUMNS($AN$1006:BC1006),$AN$1006:$BO$1006,0)))),"Fix")))</f>
        <v>0</v>
      </c>
      <c r="R566" s="4">
        <f>IF(OR(INDEX($AH$2:$AH$1001,MATCH(ROWS($AG$2:AG566),$AG$2:$AG$1001,0),1)&gt;=100000,INDEX($AN$1005:$BO$1005,1,MATCH(COLUMNS($AN$1006:BD1006),$AN$1006:$BO$1006,0))&gt;=100000), " ",IF(INDEX($AN$2:$BO$1001,MATCH(ROWS($AG$2:AG566),$AG$2:$AG$1001,0),MATCH(COLUMNS($AN$1006:BD1006),$AN$1006:$BO$1006,0)), HYPERLINK("#",""), HYPERLINK(CONCATENATE("#Metadata!", ADDRESS(INDEX($AI$2:$AI$1001,MATCH(ROWS($AG$2:AG566),$AG$2:$AG$1001,0),0), INDEX($AN$1004:$BO$1004,1,MATCH(COLUMNS($AN$1006:BD1006),$AN$1006:$BO$1006,0)))),"Fix")))</f>
        <v>0</v>
      </c>
      <c r="S566" s="4">
        <f>IF(OR(INDEX($AH$2:$AH$1001,MATCH(ROWS($AG$2:AG566),$AG$2:$AG$1001,0),1)&gt;=100000,INDEX($AN$1005:$BO$1005,1,MATCH(COLUMNS($AN$1006:BE1006),$AN$1006:$BO$1006,0))&gt;=100000), " ",IF(INDEX($AN$2:$BO$1001,MATCH(ROWS($AG$2:AG566),$AG$2:$AG$1001,0),MATCH(COLUMNS($AN$1006:BE1006),$AN$1006:$BO$1006,0)), HYPERLINK("#",""), HYPERLINK(CONCATENATE("#Metadata!", ADDRESS(INDEX($AI$2:$AI$1001,MATCH(ROWS($AG$2:AG566),$AG$2:$AG$1001,0),0), INDEX($AN$1004:$BO$1004,1,MATCH(COLUMNS($AN$1006:BE1006),$AN$1006:$BO$1006,0)))),"Fix")))</f>
        <v>0</v>
      </c>
      <c r="T566" s="4">
        <f>IF(OR(INDEX($AH$2:$AH$1001,MATCH(ROWS($AG$2:AG566),$AG$2:$AG$1001,0),1)&gt;=100000,INDEX($AN$1005:$BO$1005,1,MATCH(COLUMNS($AN$1006:BF1006),$AN$1006:$BO$1006,0))&gt;=100000), " ",IF(INDEX($AN$2:$BO$1001,MATCH(ROWS($AG$2:AG566),$AG$2:$AG$1001,0),MATCH(COLUMNS($AN$1006:BF1006),$AN$1006:$BO$1006,0)), HYPERLINK("#",""), HYPERLINK(CONCATENATE("#Metadata!", ADDRESS(INDEX($AI$2:$AI$1001,MATCH(ROWS($AG$2:AG566),$AG$2:$AG$1001,0),0), INDEX($AN$1004:$BO$1004,1,MATCH(COLUMNS($AN$1006:BF1006),$AN$1006:$BO$1006,0)))),"Fix")))</f>
        <v>0</v>
      </c>
      <c r="U566" s="4">
        <f>IF(OR(INDEX($AH$2:$AH$1001,MATCH(ROWS($AG$2:AG566),$AG$2:$AG$1001,0),1)&gt;=100000,INDEX($AN$1005:$BO$1005,1,MATCH(COLUMNS($AN$1006:BG1006),$AN$1006:$BO$1006,0))&gt;=100000), " ",IF(INDEX($AN$2:$BO$1001,MATCH(ROWS($AG$2:AG566),$AG$2:$AG$1001,0),MATCH(COLUMNS($AN$1006:BG1006),$AN$1006:$BO$1006,0)), HYPERLINK("#",""), HYPERLINK(CONCATENATE("#Metadata!", ADDRESS(INDEX($AI$2:$AI$1001,MATCH(ROWS($AG$2:AG566),$AG$2:$AG$1001,0),0), INDEX($AN$1004:$BO$1004,1,MATCH(COLUMNS($AN$1006:BG1006),$AN$1006:$BO$1006,0)))),"Fix")))</f>
        <v>0</v>
      </c>
      <c r="V566" s="4">
        <f>IF(OR(INDEX($AH$2:$AH$1001,MATCH(ROWS($AG$2:AG566),$AG$2:$AG$1001,0),1)&gt;=100000,INDEX($AN$1005:$BO$1005,1,MATCH(COLUMNS($AN$1006:BH1006),$AN$1006:$BO$1006,0))&gt;=100000), " ",IF(INDEX($AN$2:$BO$1001,MATCH(ROWS($AG$2:AG566),$AG$2:$AG$1001,0),MATCH(COLUMNS($AN$1006:BH1006),$AN$1006:$BO$1006,0)), HYPERLINK("#",""), HYPERLINK(CONCATENATE("#Metadata!", ADDRESS(INDEX($AI$2:$AI$1001,MATCH(ROWS($AG$2:AG566),$AG$2:$AG$1001,0),0), INDEX($AN$1004:$BO$1004,1,MATCH(COLUMNS($AN$1006:BH1006),$AN$1006:$BO$1006,0)))),"Fix")))</f>
        <v>0</v>
      </c>
      <c r="W566" s="4">
        <f>IF(OR(INDEX($AH$2:$AH$1001,MATCH(ROWS($AG$2:AG566),$AG$2:$AG$1001,0),1)&gt;=100000,INDEX($AN$1005:$BO$1005,1,MATCH(COLUMNS($AN$1006:BI1006),$AN$1006:$BO$1006,0))&gt;=100000), " ",IF(INDEX($AN$2:$BO$1001,MATCH(ROWS($AG$2:AG566),$AG$2:$AG$1001,0),MATCH(COLUMNS($AN$1006:BI1006),$AN$1006:$BO$1006,0)), HYPERLINK("#",""), HYPERLINK(CONCATENATE("#Metadata!", ADDRESS(INDEX($AI$2:$AI$1001,MATCH(ROWS($AG$2:AG566),$AG$2:$AG$1001,0),0), INDEX($AN$1004:$BO$1004,1,MATCH(COLUMNS($AN$1006:BI1006),$AN$1006:$BO$1006,0)))),"Fix")))</f>
        <v>0</v>
      </c>
      <c r="X566" s="4">
        <f>IF(OR(INDEX($AH$2:$AH$1001,MATCH(ROWS($AG$2:AG566),$AG$2:$AG$1001,0),1)&gt;=100000,INDEX($AN$1005:$BO$1005,1,MATCH(COLUMNS($AN$1006:BJ1006),$AN$1006:$BO$1006,0))&gt;=100000), " ",IF(INDEX($AN$2:$BO$1001,MATCH(ROWS($AG$2:AG566),$AG$2:$AG$1001,0),MATCH(COLUMNS($AN$1006:BJ1006),$AN$1006:$BO$1006,0)), HYPERLINK("#",""), HYPERLINK(CONCATENATE("#Metadata!", ADDRESS(INDEX($AI$2:$AI$1001,MATCH(ROWS($AG$2:AG566),$AG$2:$AG$1001,0),0), INDEX($AN$1004:$BO$1004,1,MATCH(COLUMNS($AN$1006:BJ1006),$AN$1006:$BO$1006,0)))),"Fix")))</f>
        <v>0</v>
      </c>
      <c r="Y566" s="4">
        <f>IF(OR(INDEX($AH$2:$AH$1001,MATCH(ROWS($AG$2:AG566),$AG$2:$AG$1001,0),1)&gt;=100000,INDEX($AN$1005:$BO$1005,1,MATCH(COLUMNS($AN$1006:BK1006),$AN$1006:$BO$1006,0))&gt;=100000), " ",IF(INDEX($AN$2:$BO$1001,MATCH(ROWS($AG$2:AG566),$AG$2:$AG$1001,0),MATCH(COLUMNS($AN$1006:BK1006),$AN$1006:$BO$1006,0)), HYPERLINK("#",""), HYPERLINK(CONCATENATE("#Metadata!", ADDRESS(INDEX($AI$2:$AI$1001,MATCH(ROWS($AG$2:AG566),$AG$2:$AG$1001,0),0), INDEX($AN$1004:$BO$1004,1,MATCH(COLUMNS($AN$1006:BK1006),$AN$1006:$BO$1006,0)))),"Fix")))</f>
        <v>0</v>
      </c>
      <c r="Z566" s="4">
        <f>IF(OR(INDEX($AH$2:$AH$1001,MATCH(ROWS($AG$2:AG566),$AG$2:$AG$1001,0),1)&gt;=100000,INDEX($AN$1005:$BO$1005,1,MATCH(COLUMNS($AN$1006:BL1006),$AN$1006:$BO$1006,0))&gt;=100000), " ",IF(INDEX($AN$2:$BO$1001,MATCH(ROWS($AG$2:AG566),$AG$2:$AG$1001,0),MATCH(COLUMNS($AN$1006:BL1006),$AN$1006:$BO$1006,0)), HYPERLINK("#",""), HYPERLINK(CONCATENATE("#Metadata!", ADDRESS(INDEX($AI$2:$AI$1001,MATCH(ROWS($AG$2:AG566),$AG$2:$AG$1001,0),0), INDEX($AN$1004:$BO$1004,1,MATCH(COLUMNS($AN$1006:BL1006),$AN$1006:$BO$1006,0)))),"Fix")))</f>
        <v>0</v>
      </c>
      <c r="AA566" s="4">
        <f>IF(OR(INDEX($AH$2:$AH$1001,MATCH(ROWS($AG$2:AG566),$AG$2:$AG$1001,0),1)&gt;=100000,INDEX($AN$1005:$BO$1005,1,MATCH(COLUMNS($AN$1006:BM1006),$AN$1006:$BO$1006,0))&gt;=100000), " ",IF(INDEX($AN$2:$BO$1001,MATCH(ROWS($AG$2:AG566),$AG$2:$AG$1001,0),MATCH(COLUMNS($AN$1006:BM1006),$AN$1006:$BO$1006,0)), HYPERLINK("#",""), HYPERLINK(CONCATENATE("#Metadata!", ADDRESS(INDEX($AI$2:$AI$1001,MATCH(ROWS($AG$2:AG566),$AG$2:$AG$1001,0),0), INDEX($AN$1004:$BO$1004,1,MATCH(COLUMNS($AN$1006:BM1006),$AN$1006:$BO$1006,0)))),"Fix")))</f>
        <v>0</v>
      </c>
      <c r="AB566" s="4">
        <f>IF(OR(INDEX($AH$2:$AH$1001,MATCH(ROWS($AG$2:AG566),$AG$2:$AG$1001,0),1)&gt;=100000,INDEX($AN$1005:$BO$1005,1,MATCH(COLUMNS($AN$1006:BN1006),$AN$1006:$BO$1006,0))&gt;=100000), " ",IF(INDEX($AN$2:$BO$1001,MATCH(ROWS($AG$2:AG566),$AG$2:$AG$1001,0),MATCH(COLUMNS($AN$1006:BN1006),$AN$1006:$BO$1006,0)), HYPERLINK("#",""), HYPERLINK(CONCATENATE("#Metadata!", ADDRESS(INDEX($AI$2:$AI$1001,MATCH(ROWS($AG$2:AG566),$AG$2:$AG$1001,0),0), INDEX($AN$1004:$BO$1004,1,MATCH(COLUMNS($AN$1006:BN1006),$AN$1006:$BO$1006,0)))),"Fix")))</f>
        <v>0</v>
      </c>
      <c r="AC566" s="4">
        <f>IF(OR(INDEX($AH$2:$AH$1001,MATCH(ROWS($AG$2:AG566),$AG$2:$AG$1001,0),1)&gt;=100000,INDEX($AN$1005:$BO$1005,1,MATCH(COLUMNS($AN$1006:BO1006),$AN$1006:$BO$1006,0))&gt;=100000), " ",IF(INDEX($AN$2:$BO$1001,MATCH(ROWS($AG$2:AG566),$AG$2:$AG$1001,0),MATCH(COLUMNS($AN$1006:BO1006),$AN$1006:$BO$1006,0)), HYPERLINK("#",""), HYPERLINK(CONCATENATE("#Metadata!", ADDRESS(INDEX($AI$2:$AI$1001,MATCH(ROWS($AG$2:AG566),$AG$2:$AG$1001,0),0), INDEX($AN$1004:$BO$1004,1,MATCH(COLUMNS($AN$1006:BO1006),$AN$1006:$BO$1006,0)))),"Fix")))</f>
        <v>0</v>
      </c>
      <c r="AG566">
        <v>0</v>
      </c>
      <c r="AH566">
        <v>0</v>
      </c>
      <c r="AI566">
        <v>0</v>
      </c>
      <c r="AJ566">
        <f>IF(AK566,TRUE,AND(AN566:BO566))</f>
        <v>0</v>
      </c>
      <c r="AK566">
        <f>COUNTBLANK(Metadata!B566:AC566)=COLUMNS(Metadata!B566:AC566)</f>
        <v>0</v>
      </c>
      <c r="AL566">
        <v>0</v>
      </c>
      <c r="AN566">
        <f>AND(IF(Metadata!B566="",FALSE,TRUE),COUNTIF(Metadata!B:B, Metadata!B566) = 1,NOT(ISERROR(SUMPRODUCT(SEARCH(MID(Metadata!B566,ROW(INDIRECT("1:"&amp;LEN(Metadata!B566))), 1),"0123456789abcdefghijklmnopqrstuvwxyzABCDEFGHIJKLMNOPQRSTUVWXYZ.")))))</f>
        <v>0</v>
      </c>
      <c r="AO566">
        <f>IF(Metadata!C566="",FALSE,TRUE)</f>
        <v>0</v>
      </c>
      <c r="AP566">
        <f>IF(Metadata!D566="",FALSE,TRUE)</f>
        <v>0</v>
      </c>
      <c r="AQ566">
        <f>OR(AND(IF(Metadata!E566="",FALSE,TRUE),OR(exact(Metadata!E566,"not collected"),exact(Metadata!E566,"not provided"),exact(Metadata!E566,"restricted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R566">
        <f>IF(Metadata!F566="",FALSE,TRUE)</f>
        <v>0</v>
      </c>
      <c r="AS566">
        <f>OR(AND(IF(Metadata!G566="",FALSE,TRUE),OR(exact(Metadata!G566,"not collected"),exact(Metadata!G566,"not provided"))),AND(IF(Metadata!G566="",FALSE,TRUE),OR(exact(Metadata!G566,"TRUE"),exact(Metadata!G566,"FALSE"))))</f>
        <v>0</v>
      </c>
      <c r="AT566">
        <f>OR(AND(IF(Metadata!H566="",FALSE,TRUE),OR(exact(Metadata!H566,"not collected"),exact(Metadata!H566,"not provided"),exact(Metadata!H566,"restricted access"))),AND(IF(Metadata!H566="",FALSE,ISNUMBER(VALUE(Metadata!H566))),Metadata!H566&gt;=-413.0))</f>
        <v>0</v>
      </c>
      <c r="AU566">
        <f>AND(IF(Metadata!I566="",FALSE,TRUE),exact(Metadata!I566,"meters"))</f>
        <v>0</v>
      </c>
      <c r="AV566">
        <f>AND(IF(Metadata!J566="",FALSE,TRUE),OR(exact(Metadata!J566,"Host-associated"),exact(Metadata!J566,"Free-living")))</f>
        <v>0</v>
      </c>
      <c r="AW566">
        <f>AND(IF(Metadata!K566="",FALSE,TRUE),OR(exact(Metadata!K566,"Animal"),exact(Metadata!K566,"Fungus"),exact(Metadata!K566,"Plant"),exact(Metadata!K566,"Saline"),exact(Metadata!K566,"Non-saline")))</f>
        <v>0</v>
      </c>
      <c r="AX566">
        <f>AND(IF(Metadata!L566="",FALSE,TRUE),OR(exact(Metadata!L566,"Plant secretion"),exact(Metadata!L566,"Plant rhizosphere"),exact(Metadata!L566,"Plant surface"),exact(Metadata!L566,"Plant corpus"),exact(Metadata!L566,"Fungus surface"),exact(Metadata!L566,"Fungus corpus"),exact(Metadata!L566,"Animal surface"),exact(Metadata!L566,"Animal proximal gut"),exact(Metadata!L566,"Animal corpus"),exact(Metadata!L566,"Animal distal gut"),exact(Metadata!L566,"Animal secretion"),exact(Metadata!L566,"Sub-surface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Y566">
        <f>IF(Metadata!M566="",FALSE,TRUE)</f>
        <v>0</v>
      </c>
      <c r="AZ566">
        <f>IF(Metadata!N566="",FALSE,TRUE)</f>
        <v>0</v>
      </c>
      <c r="BA566">
        <f>IF(Metadata!O566="",FALSE,TRUE)</f>
        <v>0</v>
      </c>
      <c r="BB566">
        <f>OR(AND(IF(Metadata!P566="",FALSE,TRUE),OR(exact(Metadata!P566,"not collected"),exact(Metadata!P566,"not provided"),exact(Metadata!P566,"restricted access"))),AND(IF(Metadata!P566="",FALSE,TRUE),OR(exact(Metadata!P566,"air"),exact(Metadata!P566,"built environment"),exact(Metadata!P566,"host-associated"),exact(Metadata!P566,"human-associated"),exact(Metadata!P566,"human-skin"),exact(Metadata!P566,"human-oral"),exact(Metadata!P566,"human-gut"),exact(Metadata!P566,"human-vaginal"),exact(Metadata!P566,"microbial mat/biofilm"),exact(Metadata!P566,"misc environment"),exact(Metadata!P566,"plant-associated"),exact(Metadata!P566,"sediment"),exact(Metadata!P566,"soil"),exact(Metadata!P566,"wastewater/sludge"),exact(Metadata!P566,"water"))))</f>
        <v>0</v>
      </c>
      <c r="BC566">
        <f>IF(Metadata!Q566="",FALSE,TRUE)</f>
        <v>0</v>
      </c>
      <c r="BD566">
        <f>IF(Metadata!R566="",FALSE,TRUE)</f>
        <v>0</v>
      </c>
      <c r="BE566">
        <f>OR(AND(IF(Metadata!S566="",FALSE,TRUE),OR(exact(Metadata!S566,"not collected"),exact(Metadata!S566,"not provided"),exact(Metadata!S566,"restricted access"))),AND(IF(Metadata!S566="",FALSE,ISNUMBER(VALUE(Metadata!S566))),Metadata!S566&gt;=-90.00,Metadata!S566&lt;=90.00))</f>
        <v>0</v>
      </c>
      <c r="BF566">
        <f>AND(IF(Metadata!T566="",FALSE,TRUE),exact(Metadata!T566,"Decimal degrees"))</f>
        <v>0</v>
      </c>
      <c r="BG566">
        <f>OR(AND(IF(Metadata!U566="",FALSE,TRUE),OR(exact(Metadata!U566,"not collected"),exact(Metadata!U566,"not provided"),exact(Metadata!U566,"restricted access"))),AND(IF(Metadata!U566="",FALSE,ISNUMBER(VALUE(Metadata!U566))),Metadata!U566&gt;=-180.00,Metadata!U566&lt;=180.00))</f>
        <v>0</v>
      </c>
      <c r="BH566">
        <f>AND(IF(Metadata!V566="",FALSE,TRUE),exact(Metadata!V566,"Decimal degrees"))</f>
        <v>0</v>
      </c>
      <c r="BI566">
        <f>IF(Metadata!W566="",FALSE,TRUE)</f>
        <v>0</v>
      </c>
      <c r="BJ566">
        <f>OR(AND(IF(Metadata!X566="",FALSE,TRUE),OR(exact(Metadata!X566,"not collected"),exact(Metadata!X566,"not provided"),exact(Metadata!X566,"restricted access"))),AND(IF(Metadata!X566="",FALSE,TRUE),OR(exact(Metadata!X566,"TRUE"),exact(Metadata!X566,"FALSE"))))</f>
        <v>0</v>
      </c>
      <c r="BK566">
        <f>AND(IF(Metadata!Y566="",FALSE,TRUE),exact(Metadata!Y566,"other"))</f>
        <v>0</v>
      </c>
      <c r="BL566">
        <f>IF(Metadata!Z566="",FALSE,TRUE)</f>
        <v>0</v>
      </c>
      <c r="BM566">
        <f>OR(AND(IF(Metadata!AA566="",FALSE,TRUE),OR(exact(Metadata!AA566,"not collected"),exact(Metadata!AA566,"not provided"))),AND(IF(Metadata!AA566="",FALSE,IF(ISERROR(INT(Metadata!AA566)),FALSE,INT(Metadata!AA566)=Metadata!AA566)),Metadata!AA566&gt;0))</f>
        <v>0</v>
      </c>
      <c r="BN566">
        <f>AND(IF(Metadata!AB566="",FALSE,TRUE),exact(Metadata!AB566,"Not applicable"))</f>
        <v>0</v>
      </c>
      <c r="BO566">
        <f>IF(Metadata!AC566="",FALSE,TRUE)</f>
        <v>0</v>
      </c>
    </row>
    <row r="567" spans="1:67">
      <c r="A567" s="5">
        <f>IF(B567=" "," ",HYPERLINK(CONCATENATE("#metadata!",ADDRESS(INDEX($AI$2:$AI$1001,MATCH(ROWS($AG$2:AG567),$AG$2:$AG$1001,0),0),1)),INDEX($AL$2:$AL$1001,MATCH(ROWS($AG$2:AG567),$AG$2:$AG$1001,0),0)))</f>
        <v>0</v>
      </c>
      <c r="B567" s="4">
        <f>IF(OR(INDEX($AH$2:$AH$1001,MATCH(ROWS($AG$2:AG567),$AG$2:$AG$1001,0),1)&gt;=100000,INDEX($AN$1005:$BO$1005,1,MATCH(COLUMNS($AN$1006:AN1006),$AN$1006:$BO$1006,0))&gt;=100000), " ",IF(INDEX($AN$2:$BO$1001,MATCH(ROWS($AG$2:AG567),$AG$2:$AG$1001,0),MATCH(COLUMNS($AN$1006:AN1006),$AN$1006:$BO$1006,0)), HYPERLINK("#",""), HYPERLINK(CONCATENATE("#Metadata!", ADDRESS(INDEX($AI$2:$AI$1001,MATCH(ROWS($AG$2:AG567),$AG$2:$AG$1001,0),0), INDEX($AN$1004:$BO$1004,1,MATCH(COLUMNS($AN$1006:AN1006),$AN$1006:$BO$1006,0)))),"Fix")))</f>
        <v>0</v>
      </c>
      <c r="C567" s="4">
        <f>IF(OR(INDEX($AH$2:$AH$1001,MATCH(ROWS($AG$2:AG567),$AG$2:$AG$1001,0),1)&gt;=100000,INDEX($AN$1005:$BO$1005,1,MATCH(COLUMNS($AN$1006:AO1006),$AN$1006:$BO$1006,0))&gt;=100000), " ",IF(INDEX($AN$2:$BO$1001,MATCH(ROWS($AG$2:AG567),$AG$2:$AG$1001,0),MATCH(COLUMNS($AN$1006:AO1006),$AN$1006:$BO$1006,0)), HYPERLINK("#",""), HYPERLINK(CONCATENATE("#Metadata!", ADDRESS(INDEX($AI$2:$AI$1001,MATCH(ROWS($AG$2:AG567),$AG$2:$AG$1001,0),0), INDEX($AN$1004:$BO$1004,1,MATCH(COLUMNS($AN$1006:AO1006),$AN$1006:$BO$1006,0)))),"Fix")))</f>
        <v>0</v>
      </c>
      <c r="D567" s="4">
        <f>IF(OR(INDEX($AH$2:$AH$1001,MATCH(ROWS($AG$2:AG567),$AG$2:$AG$1001,0),1)&gt;=100000,INDEX($AN$1005:$BO$1005,1,MATCH(COLUMNS($AN$1006:AP1006),$AN$1006:$BO$1006,0))&gt;=100000), " ",IF(INDEX($AN$2:$BO$1001,MATCH(ROWS($AG$2:AG567),$AG$2:$AG$1001,0),MATCH(COLUMNS($AN$1006:AP1006),$AN$1006:$BO$1006,0)), HYPERLINK("#",""), HYPERLINK(CONCATENATE("#Metadata!", ADDRESS(INDEX($AI$2:$AI$1001,MATCH(ROWS($AG$2:AG567),$AG$2:$AG$1001,0),0), INDEX($AN$1004:$BO$1004,1,MATCH(COLUMNS($AN$1006:AP1006),$AN$1006:$BO$1006,0)))),"Fix")))</f>
        <v>0</v>
      </c>
      <c r="E567" s="4">
        <f>IF(OR(INDEX($AH$2:$AH$1001,MATCH(ROWS($AG$2:AG567),$AG$2:$AG$1001,0),1)&gt;=100000,INDEX($AN$1005:$BO$1005,1,MATCH(COLUMNS($AN$1006:AQ1006),$AN$1006:$BO$1006,0))&gt;=100000), " ",IF(INDEX($AN$2:$BO$1001,MATCH(ROWS($AG$2:AG567),$AG$2:$AG$1001,0),MATCH(COLUMNS($AN$1006:AQ1006),$AN$1006:$BO$1006,0)), HYPERLINK("#",""), HYPERLINK(CONCATENATE("#Metadata!", ADDRESS(INDEX($AI$2:$AI$1001,MATCH(ROWS($AG$2:AG567),$AG$2:$AG$1001,0),0), INDEX($AN$1004:$BO$1004,1,MATCH(COLUMNS($AN$1006:AQ1006),$AN$1006:$BO$1006,0)))),"Fix")))</f>
        <v>0</v>
      </c>
      <c r="F567" s="4">
        <f>IF(OR(INDEX($AH$2:$AH$1001,MATCH(ROWS($AG$2:AG567),$AG$2:$AG$1001,0),1)&gt;=100000,INDEX($AN$1005:$BO$1005,1,MATCH(COLUMNS($AN$1006:AR1006),$AN$1006:$BO$1006,0))&gt;=100000), " ",IF(INDEX($AN$2:$BO$1001,MATCH(ROWS($AG$2:AG567),$AG$2:$AG$1001,0),MATCH(COLUMNS($AN$1006:AR1006),$AN$1006:$BO$1006,0)), HYPERLINK("#",""), HYPERLINK(CONCATENATE("#Metadata!", ADDRESS(INDEX($AI$2:$AI$1001,MATCH(ROWS($AG$2:AG567),$AG$2:$AG$1001,0),0), INDEX($AN$1004:$BO$1004,1,MATCH(COLUMNS($AN$1006:AR1006),$AN$1006:$BO$1006,0)))),"Fix")))</f>
        <v>0</v>
      </c>
      <c r="G567" s="4">
        <f>IF(OR(INDEX($AH$2:$AH$1001,MATCH(ROWS($AG$2:AG567),$AG$2:$AG$1001,0),1)&gt;=100000,INDEX($AN$1005:$BO$1005,1,MATCH(COLUMNS($AN$1006:AS1006),$AN$1006:$BO$1006,0))&gt;=100000), " ",IF(INDEX($AN$2:$BO$1001,MATCH(ROWS($AG$2:AG567),$AG$2:$AG$1001,0),MATCH(COLUMNS($AN$1006:AS1006),$AN$1006:$BO$1006,0)), HYPERLINK("#",""), HYPERLINK(CONCATENATE("#Metadata!", ADDRESS(INDEX($AI$2:$AI$1001,MATCH(ROWS($AG$2:AG567),$AG$2:$AG$1001,0),0), INDEX($AN$1004:$BO$1004,1,MATCH(COLUMNS($AN$1006:AS1006),$AN$1006:$BO$1006,0)))),"Fix")))</f>
        <v>0</v>
      </c>
      <c r="H567" s="4">
        <f>IF(OR(INDEX($AH$2:$AH$1001,MATCH(ROWS($AG$2:AG567),$AG$2:$AG$1001,0),1)&gt;=100000,INDEX($AN$1005:$BO$1005,1,MATCH(COLUMNS($AN$1006:AT1006),$AN$1006:$BO$1006,0))&gt;=100000), " ",IF(INDEX($AN$2:$BO$1001,MATCH(ROWS($AG$2:AG567),$AG$2:$AG$1001,0),MATCH(COLUMNS($AN$1006:AT1006),$AN$1006:$BO$1006,0)), HYPERLINK("#",""), HYPERLINK(CONCATENATE("#Metadata!", ADDRESS(INDEX($AI$2:$AI$1001,MATCH(ROWS($AG$2:AG567),$AG$2:$AG$1001,0),0), INDEX($AN$1004:$BO$1004,1,MATCH(COLUMNS($AN$1006:AT1006),$AN$1006:$BO$1006,0)))),"Fix")))</f>
        <v>0</v>
      </c>
      <c r="I567" s="4">
        <f>IF(OR(INDEX($AH$2:$AH$1001,MATCH(ROWS($AG$2:AG567),$AG$2:$AG$1001,0),1)&gt;=100000,INDEX($AN$1005:$BO$1005,1,MATCH(COLUMNS($AN$1006:AU1006),$AN$1006:$BO$1006,0))&gt;=100000), " ",IF(INDEX($AN$2:$BO$1001,MATCH(ROWS($AG$2:AG567),$AG$2:$AG$1001,0),MATCH(COLUMNS($AN$1006:AU1006),$AN$1006:$BO$1006,0)), HYPERLINK("#",""), HYPERLINK(CONCATENATE("#Metadata!", ADDRESS(INDEX($AI$2:$AI$1001,MATCH(ROWS($AG$2:AG567),$AG$2:$AG$1001,0),0), INDEX($AN$1004:$BO$1004,1,MATCH(COLUMNS($AN$1006:AU1006),$AN$1006:$BO$1006,0)))),"Fix")))</f>
        <v>0</v>
      </c>
      <c r="J567" s="4">
        <f>IF(OR(INDEX($AH$2:$AH$1001,MATCH(ROWS($AG$2:AG567),$AG$2:$AG$1001,0),1)&gt;=100000,INDEX($AN$1005:$BO$1005,1,MATCH(COLUMNS($AN$1006:AV1006),$AN$1006:$BO$1006,0))&gt;=100000), " ",IF(INDEX($AN$2:$BO$1001,MATCH(ROWS($AG$2:AG567),$AG$2:$AG$1001,0),MATCH(COLUMNS($AN$1006:AV1006),$AN$1006:$BO$1006,0)), HYPERLINK("#",""), HYPERLINK(CONCATENATE("#Metadata!", ADDRESS(INDEX($AI$2:$AI$1001,MATCH(ROWS($AG$2:AG567),$AG$2:$AG$1001,0),0), INDEX($AN$1004:$BO$1004,1,MATCH(COLUMNS($AN$1006:AV1006),$AN$1006:$BO$1006,0)))),"Fix")))</f>
        <v>0</v>
      </c>
      <c r="K567" s="4">
        <f>IF(OR(INDEX($AH$2:$AH$1001,MATCH(ROWS($AG$2:AG567),$AG$2:$AG$1001,0),1)&gt;=100000,INDEX($AN$1005:$BO$1005,1,MATCH(COLUMNS($AN$1006:AW1006),$AN$1006:$BO$1006,0))&gt;=100000), " ",IF(INDEX($AN$2:$BO$1001,MATCH(ROWS($AG$2:AG567),$AG$2:$AG$1001,0),MATCH(COLUMNS($AN$1006:AW1006),$AN$1006:$BO$1006,0)), HYPERLINK("#",""), HYPERLINK(CONCATENATE("#Metadata!", ADDRESS(INDEX($AI$2:$AI$1001,MATCH(ROWS($AG$2:AG567),$AG$2:$AG$1001,0),0), INDEX($AN$1004:$BO$1004,1,MATCH(COLUMNS($AN$1006:AW1006),$AN$1006:$BO$1006,0)))),"Fix")))</f>
        <v>0</v>
      </c>
      <c r="L567" s="4">
        <f>IF(OR(INDEX($AH$2:$AH$1001,MATCH(ROWS($AG$2:AG567),$AG$2:$AG$1001,0),1)&gt;=100000,INDEX($AN$1005:$BO$1005,1,MATCH(COLUMNS($AN$1006:AX1006),$AN$1006:$BO$1006,0))&gt;=100000), " ",IF(INDEX($AN$2:$BO$1001,MATCH(ROWS($AG$2:AG567),$AG$2:$AG$1001,0),MATCH(COLUMNS($AN$1006:AX1006),$AN$1006:$BO$1006,0)), HYPERLINK("#",""), HYPERLINK(CONCATENATE("#Metadata!", ADDRESS(INDEX($AI$2:$AI$1001,MATCH(ROWS($AG$2:AG567),$AG$2:$AG$1001,0),0), INDEX($AN$1004:$BO$1004,1,MATCH(COLUMNS($AN$1006:AX1006),$AN$1006:$BO$1006,0)))),"Fix")))</f>
        <v>0</v>
      </c>
      <c r="M567" s="4">
        <f>IF(OR(INDEX($AH$2:$AH$1001,MATCH(ROWS($AG$2:AG567),$AG$2:$AG$1001,0),1)&gt;=100000,INDEX($AN$1005:$BO$1005,1,MATCH(COLUMNS($AN$1006:AY1006),$AN$1006:$BO$1006,0))&gt;=100000), " ",IF(INDEX($AN$2:$BO$1001,MATCH(ROWS($AG$2:AG567),$AG$2:$AG$1001,0),MATCH(COLUMNS($AN$1006:AY1006),$AN$1006:$BO$1006,0)), HYPERLINK("#",""), HYPERLINK(CONCATENATE("#Metadata!", ADDRESS(INDEX($AI$2:$AI$1001,MATCH(ROWS($AG$2:AG567),$AG$2:$AG$1001,0),0), INDEX($AN$1004:$BO$1004,1,MATCH(COLUMNS($AN$1006:AY1006),$AN$1006:$BO$1006,0)))),"Fix")))</f>
        <v>0</v>
      </c>
      <c r="N567" s="4">
        <f>IF(OR(INDEX($AH$2:$AH$1001,MATCH(ROWS($AG$2:AG567),$AG$2:$AG$1001,0),1)&gt;=100000,INDEX($AN$1005:$BO$1005,1,MATCH(COLUMNS($AN$1006:AZ1006),$AN$1006:$BO$1006,0))&gt;=100000), " ",IF(INDEX($AN$2:$BO$1001,MATCH(ROWS($AG$2:AG567),$AG$2:$AG$1001,0),MATCH(COLUMNS($AN$1006:AZ1006),$AN$1006:$BO$1006,0)), HYPERLINK("#",""), HYPERLINK(CONCATENATE("#Metadata!", ADDRESS(INDEX($AI$2:$AI$1001,MATCH(ROWS($AG$2:AG567),$AG$2:$AG$1001,0),0), INDEX($AN$1004:$BO$1004,1,MATCH(COLUMNS($AN$1006:AZ1006),$AN$1006:$BO$1006,0)))),"Fix")))</f>
        <v>0</v>
      </c>
      <c r="O567" s="4">
        <f>IF(OR(INDEX($AH$2:$AH$1001,MATCH(ROWS($AG$2:AG567),$AG$2:$AG$1001,0),1)&gt;=100000,INDEX($AN$1005:$BO$1005,1,MATCH(COLUMNS($AN$1006:BA1006),$AN$1006:$BO$1006,0))&gt;=100000), " ",IF(INDEX($AN$2:$BO$1001,MATCH(ROWS($AG$2:AG567),$AG$2:$AG$1001,0),MATCH(COLUMNS($AN$1006:BA1006),$AN$1006:$BO$1006,0)), HYPERLINK("#",""), HYPERLINK(CONCATENATE("#Metadata!", ADDRESS(INDEX($AI$2:$AI$1001,MATCH(ROWS($AG$2:AG567),$AG$2:$AG$1001,0),0), INDEX($AN$1004:$BO$1004,1,MATCH(COLUMNS($AN$1006:BA1006),$AN$1006:$BO$1006,0)))),"Fix")))</f>
        <v>0</v>
      </c>
      <c r="P567" s="4">
        <f>IF(OR(INDEX($AH$2:$AH$1001,MATCH(ROWS($AG$2:AG567),$AG$2:$AG$1001,0),1)&gt;=100000,INDEX($AN$1005:$BO$1005,1,MATCH(COLUMNS($AN$1006:BB1006),$AN$1006:$BO$1006,0))&gt;=100000), " ",IF(INDEX($AN$2:$BO$1001,MATCH(ROWS($AG$2:AG567),$AG$2:$AG$1001,0),MATCH(COLUMNS($AN$1006:BB1006),$AN$1006:$BO$1006,0)), HYPERLINK("#",""), HYPERLINK(CONCATENATE("#Metadata!", ADDRESS(INDEX($AI$2:$AI$1001,MATCH(ROWS($AG$2:AG567),$AG$2:$AG$1001,0),0), INDEX($AN$1004:$BO$1004,1,MATCH(COLUMNS($AN$1006:BB1006),$AN$1006:$BO$1006,0)))),"Fix")))</f>
        <v>0</v>
      </c>
      <c r="Q567" s="4">
        <f>IF(OR(INDEX($AH$2:$AH$1001,MATCH(ROWS($AG$2:AG567),$AG$2:$AG$1001,0),1)&gt;=100000,INDEX($AN$1005:$BO$1005,1,MATCH(COLUMNS($AN$1006:BC1006),$AN$1006:$BO$1006,0))&gt;=100000), " ",IF(INDEX($AN$2:$BO$1001,MATCH(ROWS($AG$2:AG567),$AG$2:$AG$1001,0),MATCH(COLUMNS($AN$1006:BC1006),$AN$1006:$BO$1006,0)), HYPERLINK("#",""), HYPERLINK(CONCATENATE("#Metadata!", ADDRESS(INDEX($AI$2:$AI$1001,MATCH(ROWS($AG$2:AG567),$AG$2:$AG$1001,0),0), INDEX($AN$1004:$BO$1004,1,MATCH(COLUMNS($AN$1006:BC1006),$AN$1006:$BO$1006,0)))),"Fix")))</f>
        <v>0</v>
      </c>
      <c r="R567" s="4">
        <f>IF(OR(INDEX($AH$2:$AH$1001,MATCH(ROWS($AG$2:AG567),$AG$2:$AG$1001,0),1)&gt;=100000,INDEX($AN$1005:$BO$1005,1,MATCH(COLUMNS($AN$1006:BD1006),$AN$1006:$BO$1006,0))&gt;=100000), " ",IF(INDEX($AN$2:$BO$1001,MATCH(ROWS($AG$2:AG567),$AG$2:$AG$1001,0),MATCH(COLUMNS($AN$1006:BD1006),$AN$1006:$BO$1006,0)), HYPERLINK("#",""), HYPERLINK(CONCATENATE("#Metadata!", ADDRESS(INDEX($AI$2:$AI$1001,MATCH(ROWS($AG$2:AG567),$AG$2:$AG$1001,0),0), INDEX($AN$1004:$BO$1004,1,MATCH(COLUMNS($AN$1006:BD1006),$AN$1006:$BO$1006,0)))),"Fix")))</f>
        <v>0</v>
      </c>
      <c r="S567" s="4">
        <f>IF(OR(INDEX($AH$2:$AH$1001,MATCH(ROWS($AG$2:AG567),$AG$2:$AG$1001,0),1)&gt;=100000,INDEX($AN$1005:$BO$1005,1,MATCH(COLUMNS($AN$1006:BE1006),$AN$1006:$BO$1006,0))&gt;=100000), " ",IF(INDEX($AN$2:$BO$1001,MATCH(ROWS($AG$2:AG567),$AG$2:$AG$1001,0),MATCH(COLUMNS($AN$1006:BE1006),$AN$1006:$BO$1006,0)), HYPERLINK("#",""), HYPERLINK(CONCATENATE("#Metadata!", ADDRESS(INDEX($AI$2:$AI$1001,MATCH(ROWS($AG$2:AG567),$AG$2:$AG$1001,0),0), INDEX($AN$1004:$BO$1004,1,MATCH(COLUMNS($AN$1006:BE1006),$AN$1006:$BO$1006,0)))),"Fix")))</f>
        <v>0</v>
      </c>
      <c r="T567" s="4">
        <f>IF(OR(INDEX($AH$2:$AH$1001,MATCH(ROWS($AG$2:AG567),$AG$2:$AG$1001,0),1)&gt;=100000,INDEX($AN$1005:$BO$1005,1,MATCH(COLUMNS($AN$1006:BF1006),$AN$1006:$BO$1006,0))&gt;=100000), " ",IF(INDEX($AN$2:$BO$1001,MATCH(ROWS($AG$2:AG567),$AG$2:$AG$1001,0),MATCH(COLUMNS($AN$1006:BF1006),$AN$1006:$BO$1006,0)), HYPERLINK("#",""), HYPERLINK(CONCATENATE("#Metadata!", ADDRESS(INDEX($AI$2:$AI$1001,MATCH(ROWS($AG$2:AG567),$AG$2:$AG$1001,0),0), INDEX($AN$1004:$BO$1004,1,MATCH(COLUMNS($AN$1006:BF1006),$AN$1006:$BO$1006,0)))),"Fix")))</f>
        <v>0</v>
      </c>
      <c r="U567" s="4">
        <f>IF(OR(INDEX($AH$2:$AH$1001,MATCH(ROWS($AG$2:AG567),$AG$2:$AG$1001,0),1)&gt;=100000,INDEX($AN$1005:$BO$1005,1,MATCH(COLUMNS($AN$1006:BG1006),$AN$1006:$BO$1006,0))&gt;=100000), " ",IF(INDEX($AN$2:$BO$1001,MATCH(ROWS($AG$2:AG567),$AG$2:$AG$1001,0),MATCH(COLUMNS($AN$1006:BG1006),$AN$1006:$BO$1006,0)), HYPERLINK("#",""), HYPERLINK(CONCATENATE("#Metadata!", ADDRESS(INDEX($AI$2:$AI$1001,MATCH(ROWS($AG$2:AG567),$AG$2:$AG$1001,0),0), INDEX($AN$1004:$BO$1004,1,MATCH(COLUMNS($AN$1006:BG1006),$AN$1006:$BO$1006,0)))),"Fix")))</f>
        <v>0</v>
      </c>
      <c r="V567" s="4">
        <f>IF(OR(INDEX($AH$2:$AH$1001,MATCH(ROWS($AG$2:AG567),$AG$2:$AG$1001,0),1)&gt;=100000,INDEX($AN$1005:$BO$1005,1,MATCH(COLUMNS($AN$1006:BH1006),$AN$1006:$BO$1006,0))&gt;=100000), " ",IF(INDEX($AN$2:$BO$1001,MATCH(ROWS($AG$2:AG567),$AG$2:$AG$1001,0),MATCH(COLUMNS($AN$1006:BH1006),$AN$1006:$BO$1006,0)), HYPERLINK("#",""), HYPERLINK(CONCATENATE("#Metadata!", ADDRESS(INDEX($AI$2:$AI$1001,MATCH(ROWS($AG$2:AG567),$AG$2:$AG$1001,0),0), INDEX($AN$1004:$BO$1004,1,MATCH(COLUMNS($AN$1006:BH1006),$AN$1006:$BO$1006,0)))),"Fix")))</f>
        <v>0</v>
      </c>
      <c r="W567" s="4">
        <f>IF(OR(INDEX($AH$2:$AH$1001,MATCH(ROWS($AG$2:AG567),$AG$2:$AG$1001,0),1)&gt;=100000,INDEX($AN$1005:$BO$1005,1,MATCH(COLUMNS($AN$1006:BI1006),$AN$1006:$BO$1006,0))&gt;=100000), " ",IF(INDEX($AN$2:$BO$1001,MATCH(ROWS($AG$2:AG567),$AG$2:$AG$1001,0),MATCH(COLUMNS($AN$1006:BI1006),$AN$1006:$BO$1006,0)), HYPERLINK("#",""), HYPERLINK(CONCATENATE("#Metadata!", ADDRESS(INDEX($AI$2:$AI$1001,MATCH(ROWS($AG$2:AG567),$AG$2:$AG$1001,0),0), INDEX($AN$1004:$BO$1004,1,MATCH(COLUMNS($AN$1006:BI1006),$AN$1006:$BO$1006,0)))),"Fix")))</f>
        <v>0</v>
      </c>
      <c r="X567" s="4">
        <f>IF(OR(INDEX($AH$2:$AH$1001,MATCH(ROWS($AG$2:AG567),$AG$2:$AG$1001,0),1)&gt;=100000,INDEX($AN$1005:$BO$1005,1,MATCH(COLUMNS($AN$1006:BJ1006),$AN$1006:$BO$1006,0))&gt;=100000), " ",IF(INDEX($AN$2:$BO$1001,MATCH(ROWS($AG$2:AG567),$AG$2:$AG$1001,0),MATCH(COLUMNS($AN$1006:BJ1006),$AN$1006:$BO$1006,0)), HYPERLINK("#",""), HYPERLINK(CONCATENATE("#Metadata!", ADDRESS(INDEX($AI$2:$AI$1001,MATCH(ROWS($AG$2:AG567),$AG$2:$AG$1001,0),0), INDEX($AN$1004:$BO$1004,1,MATCH(COLUMNS($AN$1006:BJ1006),$AN$1006:$BO$1006,0)))),"Fix")))</f>
        <v>0</v>
      </c>
      <c r="Y567" s="4">
        <f>IF(OR(INDEX($AH$2:$AH$1001,MATCH(ROWS($AG$2:AG567),$AG$2:$AG$1001,0),1)&gt;=100000,INDEX($AN$1005:$BO$1005,1,MATCH(COLUMNS($AN$1006:BK1006),$AN$1006:$BO$1006,0))&gt;=100000), " ",IF(INDEX($AN$2:$BO$1001,MATCH(ROWS($AG$2:AG567),$AG$2:$AG$1001,0),MATCH(COLUMNS($AN$1006:BK1006),$AN$1006:$BO$1006,0)), HYPERLINK("#",""), HYPERLINK(CONCATENATE("#Metadata!", ADDRESS(INDEX($AI$2:$AI$1001,MATCH(ROWS($AG$2:AG567),$AG$2:$AG$1001,0),0), INDEX($AN$1004:$BO$1004,1,MATCH(COLUMNS($AN$1006:BK1006),$AN$1006:$BO$1006,0)))),"Fix")))</f>
        <v>0</v>
      </c>
      <c r="Z567" s="4">
        <f>IF(OR(INDEX($AH$2:$AH$1001,MATCH(ROWS($AG$2:AG567),$AG$2:$AG$1001,0),1)&gt;=100000,INDEX($AN$1005:$BO$1005,1,MATCH(COLUMNS($AN$1006:BL1006),$AN$1006:$BO$1006,0))&gt;=100000), " ",IF(INDEX($AN$2:$BO$1001,MATCH(ROWS($AG$2:AG567),$AG$2:$AG$1001,0),MATCH(COLUMNS($AN$1006:BL1006),$AN$1006:$BO$1006,0)), HYPERLINK("#",""), HYPERLINK(CONCATENATE("#Metadata!", ADDRESS(INDEX($AI$2:$AI$1001,MATCH(ROWS($AG$2:AG567),$AG$2:$AG$1001,0),0), INDEX($AN$1004:$BO$1004,1,MATCH(COLUMNS($AN$1006:BL1006),$AN$1006:$BO$1006,0)))),"Fix")))</f>
        <v>0</v>
      </c>
      <c r="AA567" s="4">
        <f>IF(OR(INDEX($AH$2:$AH$1001,MATCH(ROWS($AG$2:AG567),$AG$2:$AG$1001,0),1)&gt;=100000,INDEX($AN$1005:$BO$1005,1,MATCH(COLUMNS($AN$1006:BM1006),$AN$1006:$BO$1006,0))&gt;=100000), " ",IF(INDEX($AN$2:$BO$1001,MATCH(ROWS($AG$2:AG567),$AG$2:$AG$1001,0),MATCH(COLUMNS($AN$1006:BM1006),$AN$1006:$BO$1006,0)), HYPERLINK("#",""), HYPERLINK(CONCATENATE("#Metadata!", ADDRESS(INDEX($AI$2:$AI$1001,MATCH(ROWS($AG$2:AG567),$AG$2:$AG$1001,0),0), INDEX($AN$1004:$BO$1004,1,MATCH(COLUMNS($AN$1006:BM1006),$AN$1006:$BO$1006,0)))),"Fix")))</f>
        <v>0</v>
      </c>
      <c r="AB567" s="4">
        <f>IF(OR(INDEX($AH$2:$AH$1001,MATCH(ROWS($AG$2:AG567),$AG$2:$AG$1001,0),1)&gt;=100000,INDEX($AN$1005:$BO$1005,1,MATCH(COLUMNS($AN$1006:BN1006),$AN$1006:$BO$1006,0))&gt;=100000), " ",IF(INDEX($AN$2:$BO$1001,MATCH(ROWS($AG$2:AG567),$AG$2:$AG$1001,0),MATCH(COLUMNS($AN$1006:BN1006),$AN$1006:$BO$1006,0)), HYPERLINK("#",""), HYPERLINK(CONCATENATE("#Metadata!", ADDRESS(INDEX($AI$2:$AI$1001,MATCH(ROWS($AG$2:AG567),$AG$2:$AG$1001,0),0), INDEX($AN$1004:$BO$1004,1,MATCH(COLUMNS($AN$1006:BN1006),$AN$1006:$BO$1006,0)))),"Fix")))</f>
        <v>0</v>
      </c>
      <c r="AC567" s="4">
        <f>IF(OR(INDEX($AH$2:$AH$1001,MATCH(ROWS($AG$2:AG567),$AG$2:$AG$1001,0),1)&gt;=100000,INDEX($AN$1005:$BO$1005,1,MATCH(COLUMNS($AN$1006:BO1006),$AN$1006:$BO$1006,0))&gt;=100000), " ",IF(INDEX($AN$2:$BO$1001,MATCH(ROWS($AG$2:AG567),$AG$2:$AG$1001,0),MATCH(COLUMNS($AN$1006:BO1006),$AN$1006:$BO$1006,0)), HYPERLINK("#",""), HYPERLINK(CONCATENATE("#Metadata!", ADDRESS(INDEX($AI$2:$AI$1001,MATCH(ROWS($AG$2:AG567),$AG$2:$AG$1001,0),0), INDEX($AN$1004:$BO$1004,1,MATCH(COLUMNS($AN$1006:BO1006),$AN$1006:$BO$1006,0)))),"Fix")))</f>
        <v>0</v>
      </c>
      <c r="AG567">
        <v>0</v>
      </c>
      <c r="AH567">
        <v>0</v>
      </c>
      <c r="AI567">
        <v>0</v>
      </c>
      <c r="AJ567">
        <f>IF(AK567,TRUE,AND(AN567:BO567))</f>
        <v>0</v>
      </c>
      <c r="AK567">
        <f>COUNTBLANK(Metadata!B567:AC567)=COLUMNS(Metadata!B567:AC567)</f>
        <v>0</v>
      </c>
      <c r="AL567">
        <v>0</v>
      </c>
      <c r="AN567">
        <f>AND(IF(Metadata!B567="",FALSE,TRUE),COUNTIF(Metadata!B:B, Metadata!B567) = 1,NOT(ISERROR(SUMPRODUCT(SEARCH(MID(Metadata!B567,ROW(INDIRECT("1:"&amp;LEN(Metadata!B567))), 1),"0123456789abcdefghijklmnopqrstuvwxyzABCDEFGHIJKLMNOPQRSTUVWXYZ.")))))</f>
        <v>0</v>
      </c>
      <c r="AO567">
        <f>IF(Metadata!C567="",FALSE,TRUE)</f>
        <v>0</v>
      </c>
      <c r="AP567">
        <f>IF(Metadata!D567="",FALSE,TRUE)</f>
        <v>0</v>
      </c>
      <c r="AQ567">
        <f>OR(AND(IF(Metadata!E567="",FALSE,TRUE),OR(exact(Metadata!E567,"not collected"),exact(Metadata!E567,"not provided"),exact(Metadata!E567,"restricted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R567">
        <f>IF(Metadata!F567="",FALSE,TRUE)</f>
        <v>0</v>
      </c>
      <c r="AS567">
        <f>OR(AND(IF(Metadata!G567="",FALSE,TRUE),OR(exact(Metadata!G567,"not collected"),exact(Metadata!G567,"not provided"))),AND(IF(Metadata!G567="",FALSE,TRUE),OR(exact(Metadata!G567,"TRUE"),exact(Metadata!G567,"FALSE"))))</f>
        <v>0</v>
      </c>
      <c r="AT567">
        <f>OR(AND(IF(Metadata!H567="",FALSE,TRUE),OR(exact(Metadata!H567,"not collected"),exact(Metadata!H567,"not provided"),exact(Metadata!H567,"restricted access"))),AND(IF(Metadata!H567="",FALSE,ISNUMBER(VALUE(Metadata!H567))),Metadata!H567&gt;=-413.0))</f>
        <v>0</v>
      </c>
      <c r="AU567">
        <f>AND(IF(Metadata!I567="",FALSE,TRUE),exact(Metadata!I567,"meters"))</f>
        <v>0</v>
      </c>
      <c r="AV567">
        <f>AND(IF(Metadata!J567="",FALSE,TRUE),OR(exact(Metadata!J567,"Host-associated"),exact(Metadata!J567,"Free-living")))</f>
        <v>0</v>
      </c>
      <c r="AW567">
        <f>AND(IF(Metadata!K567="",FALSE,TRUE),OR(exact(Metadata!K567,"Animal"),exact(Metadata!K567,"Fungus"),exact(Metadata!K567,"Plant"),exact(Metadata!K567,"Saline"),exact(Metadata!K567,"Non-saline")))</f>
        <v>0</v>
      </c>
      <c r="AX567">
        <f>AND(IF(Metadata!L567="",FALSE,TRUE),OR(exact(Metadata!L567,"Plant secretion"),exact(Metadata!L567,"Plant rhizosphere"),exact(Metadata!L567,"Plant surface"),exact(Metadata!L567,"Plant corpus"),exact(Metadata!L567,"Fungus surface"),exact(Metadata!L567,"Fungus corpus"),exact(Metadata!L567,"Animal surface"),exact(Metadata!L567,"Animal proximal gut"),exact(Metadata!L567,"Animal corpus"),exact(Metadata!L567,"Animal distal gut"),exact(Metadata!L567,"Animal secretion"),exact(Metadata!L567,"Sub-surface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Y567">
        <f>IF(Metadata!M567="",FALSE,TRUE)</f>
        <v>0</v>
      </c>
      <c r="AZ567">
        <f>IF(Metadata!N567="",FALSE,TRUE)</f>
        <v>0</v>
      </c>
      <c r="BA567">
        <f>IF(Metadata!O567="",FALSE,TRUE)</f>
        <v>0</v>
      </c>
      <c r="BB567">
        <f>OR(AND(IF(Metadata!P567="",FALSE,TRUE),OR(exact(Metadata!P567,"not collected"),exact(Metadata!P567,"not provided"),exact(Metadata!P567,"restricted access"))),AND(IF(Metadata!P567="",FALSE,TRUE),OR(exact(Metadata!P567,"air"),exact(Metadata!P567,"built environment"),exact(Metadata!P567,"host-associated"),exact(Metadata!P567,"human-associated"),exact(Metadata!P567,"human-skin"),exact(Metadata!P567,"human-oral"),exact(Metadata!P567,"human-gut"),exact(Metadata!P567,"human-vaginal"),exact(Metadata!P567,"microbial mat/biofilm"),exact(Metadata!P567,"misc environment"),exact(Metadata!P567,"plant-associated"),exact(Metadata!P567,"sediment"),exact(Metadata!P567,"soil"),exact(Metadata!P567,"wastewater/sludge"),exact(Metadata!P567,"water"))))</f>
        <v>0</v>
      </c>
      <c r="BC567">
        <f>IF(Metadata!Q567="",FALSE,TRUE)</f>
        <v>0</v>
      </c>
      <c r="BD567">
        <f>IF(Metadata!R567="",FALSE,TRUE)</f>
        <v>0</v>
      </c>
      <c r="BE567">
        <f>OR(AND(IF(Metadata!S567="",FALSE,TRUE),OR(exact(Metadata!S567,"not collected"),exact(Metadata!S567,"not provided"),exact(Metadata!S567,"restricted access"))),AND(IF(Metadata!S567="",FALSE,ISNUMBER(VALUE(Metadata!S567))),Metadata!S567&gt;=-90.00,Metadata!S567&lt;=90.00))</f>
        <v>0</v>
      </c>
      <c r="BF567">
        <f>AND(IF(Metadata!T567="",FALSE,TRUE),exact(Metadata!T567,"Decimal degrees"))</f>
        <v>0</v>
      </c>
      <c r="BG567">
        <f>OR(AND(IF(Metadata!U567="",FALSE,TRUE),OR(exact(Metadata!U567,"not collected"),exact(Metadata!U567,"not provided"),exact(Metadata!U567,"restricted access"))),AND(IF(Metadata!U567="",FALSE,ISNUMBER(VALUE(Metadata!U567))),Metadata!U567&gt;=-180.00,Metadata!U567&lt;=180.00))</f>
        <v>0</v>
      </c>
      <c r="BH567">
        <f>AND(IF(Metadata!V567="",FALSE,TRUE),exact(Metadata!V567,"Decimal degrees"))</f>
        <v>0</v>
      </c>
      <c r="BI567">
        <f>IF(Metadata!W567="",FALSE,TRUE)</f>
        <v>0</v>
      </c>
      <c r="BJ567">
        <f>OR(AND(IF(Metadata!X567="",FALSE,TRUE),OR(exact(Metadata!X567,"not collected"),exact(Metadata!X567,"not provided"),exact(Metadata!X567,"restricted access"))),AND(IF(Metadata!X567="",FALSE,TRUE),OR(exact(Metadata!X567,"TRUE"),exact(Metadata!X567,"FALSE"))))</f>
        <v>0</v>
      </c>
      <c r="BK567">
        <f>AND(IF(Metadata!Y567="",FALSE,TRUE),exact(Metadata!Y567,"other"))</f>
        <v>0</v>
      </c>
      <c r="BL567">
        <f>IF(Metadata!Z567="",FALSE,TRUE)</f>
        <v>0</v>
      </c>
      <c r="BM567">
        <f>OR(AND(IF(Metadata!AA567="",FALSE,TRUE),OR(exact(Metadata!AA567,"not collected"),exact(Metadata!AA567,"not provided"))),AND(IF(Metadata!AA567="",FALSE,IF(ISERROR(INT(Metadata!AA567)),FALSE,INT(Metadata!AA567)=Metadata!AA567)),Metadata!AA567&gt;0))</f>
        <v>0</v>
      </c>
      <c r="BN567">
        <f>AND(IF(Metadata!AB567="",FALSE,TRUE),exact(Metadata!AB567,"Not applicable"))</f>
        <v>0</v>
      </c>
      <c r="BO567">
        <f>IF(Metadata!AC567="",FALSE,TRUE)</f>
        <v>0</v>
      </c>
    </row>
    <row r="568" spans="1:67">
      <c r="A568" s="5">
        <f>IF(B568=" "," ",HYPERLINK(CONCATENATE("#metadata!",ADDRESS(INDEX($AI$2:$AI$1001,MATCH(ROWS($AG$2:AG568),$AG$2:$AG$1001,0),0),1)),INDEX($AL$2:$AL$1001,MATCH(ROWS($AG$2:AG568),$AG$2:$AG$1001,0),0)))</f>
        <v>0</v>
      </c>
      <c r="B568" s="4">
        <f>IF(OR(INDEX($AH$2:$AH$1001,MATCH(ROWS($AG$2:AG568),$AG$2:$AG$1001,0),1)&gt;=100000,INDEX($AN$1005:$BO$1005,1,MATCH(COLUMNS($AN$1006:AN1006),$AN$1006:$BO$1006,0))&gt;=100000), " ",IF(INDEX($AN$2:$BO$1001,MATCH(ROWS($AG$2:AG568),$AG$2:$AG$1001,0),MATCH(COLUMNS($AN$1006:AN1006),$AN$1006:$BO$1006,0)), HYPERLINK("#",""), HYPERLINK(CONCATENATE("#Metadata!", ADDRESS(INDEX($AI$2:$AI$1001,MATCH(ROWS($AG$2:AG568),$AG$2:$AG$1001,0),0), INDEX($AN$1004:$BO$1004,1,MATCH(COLUMNS($AN$1006:AN1006),$AN$1006:$BO$1006,0)))),"Fix")))</f>
        <v>0</v>
      </c>
      <c r="C568" s="4">
        <f>IF(OR(INDEX($AH$2:$AH$1001,MATCH(ROWS($AG$2:AG568),$AG$2:$AG$1001,0),1)&gt;=100000,INDEX($AN$1005:$BO$1005,1,MATCH(COLUMNS($AN$1006:AO1006),$AN$1006:$BO$1006,0))&gt;=100000), " ",IF(INDEX($AN$2:$BO$1001,MATCH(ROWS($AG$2:AG568),$AG$2:$AG$1001,0),MATCH(COLUMNS($AN$1006:AO1006),$AN$1006:$BO$1006,0)), HYPERLINK("#",""), HYPERLINK(CONCATENATE("#Metadata!", ADDRESS(INDEX($AI$2:$AI$1001,MATCH(ROWS($AG$2:AG568),$AG$2:$AG$1001,0),0), INDEX($AN$1004:$BO$1004,1,MATCH(COLUMNS($AN$1006:AO1006),$AN$1006:$BO$1006,0)))),"Fix")))</f>
        <v>0</v>
      </c>
      <c r="D568" s="4">
        <f>IF(OR(INDEX($AH$2:$AH$1001,MATCH(ROWS($AG$2:AG568),$AG$2:$AG$1001,0),1)&gt;=100000,INDEX($AN$1005:$BO$1005,1,MATCH(COLUMNS($AN$1006:AP1006),$AN$1006:$BO$1006,0))&gt;=100000), " ",IF(INDEX($AN$2:$BO$1001,MATCH(ROWS($AG$2:AG568),$AG$2:$AG$1001,0),MATCH(COLUMNS($AN$1006:AP1006),$AN$1006:$BO$1006,0)), HYPERLINK("#",""), HYPERLINK(CONCATENATE("#Metadata!", ADDRESS(INDEX($AI$2:$AI$1001,MATCH(ROWS($AG$2:AG568),$AG$2:$AG$1001,0),0), INDEX($AN$1004:$BO$1004,1,MATCH(COLUMNS($AN$1006:AP1006),$AN$1006:$BO$1006,0)))),"Fix")))</f>
        <v>0</v>
      </c>
      <c r="E568" s="4">
        <f>IF(OR(INDEX($AH$2:$AH$1001,MATCH(ROWS($AG$2:AG568),$AG$2:$AG$1001,0),1)&gt;=100000,INDEX($AN$1005:$BO$1005,1,MATCH(COLUMNS($AN$1006:AQ1006),$AN$1006:$BO$1006,0))&gt;=100000), " ",IF(INDEX($AN$2:$BO$1001,MATCH(ROWS($AG$2:AG568),$AG$2:$AG$1001,0),MATCH(COLUMNS($AN$1006:AQ1006),$AN$1006:$BO$1006,0)), HYPERLINK("#",""), HYPERLINK(CONCATENATE("#Metadata!", ADDRESS(INDEX($AI$2:$AI$1001,MATCH(ROWS($AG$2:AG568),$AG$2:$AG$1001,0),0), INDEX($AN$1004:$BO$1004,1,MATCH(COLUMNS($AN$1006:AQ1006),$AN$1006:$BO$1006,0)))),"Fix")))</f>
        <v>0</v>
      </c>
      <c r="F568" s="4">
        <f>IF(OR(INDEX($AH$2:$AH$1001,MATCH(ROWS($AG$2:AG568),$AG$2:$AG$1001,0),1)&gt;=100000,INDEX($AN$1005:$BO$1005,1,MATCH(COLUMNS($AN$1006:AR1006),$AN$1006:$BO$1006,0))&gt;=100000), " ",IF(INDEX($AN$2:$BO$1001,MATCH(ROWS($AG$2:AG568),$AG$2:$AG$1001,0),MATCH(COLUMNS($AN$1006:AR1006),$AN$1006:$BO$1006,0)), HYPERLINK("#",""), HYPERLINK(CONCATENATE("#Metadata!", ADDRESS(INDEX($AI$2:$AI$1001,MATCH(ROWS($AG$2:AG568),$AG$2:$AG$1001,0),0), INDEX($AN$1004:$BO$1004,1,MATCH(COLUMNS($AN$1006:AR1006),$AN$1006:$BO$1006,0)))),"Fix")))</f>
        <v>0</v>
      </c>
      <c r="G568" s="4">
        <f>IF(OR(INDEX($AH$2:$AH$1001,MATCH(ROWS($AG$2:AG568),$AG$2:$AG$1001,0),1)&gt;=100000,INDEX($AN$1005:$BO$1005,1,MATCH(COLUMNS($AN$1006:AS1006),$AN$1006:$BO$1006,0))&gt;=100000), " ",IF(INDEX($AN$2:$BO$1001,MATCH(ROWS($AG$2:AG568),$AG$2:$AG$1001,0),MATCH(COLUMNS($AN$1006:AS1006),$AN$1006:$BO$1006,0)), HYPERLINK("#",""), HYPERLINK(CONCATENATE("#Metadata!", ADDRESS(INDEX($AI$2:$AI$1001,MATCH(ROWS($AG$2:AG568),$AG$2:$AG$1001,0),0), INDEX($AN$1004:$BO$1004,1,MATCH(COLUMNS($AN$1006:AS1006),$AN$1006:$BO$1006,0)))),"Fix")))</f>
        <v>0</v>
      </c>
      <c r="H568" s="4">
        <f>IF(OR(INDEX($AH$2:$AH$1001,MATCH(ROWS($AG$2:AG568),$AG$2:$AG$1001,0),1)&gt;=100000,INDEX($AN$1005:$BO$1005,1,MATCH(COLUMNS($AN$1006:AT1006),$AN$1006:$BO$1006,0))&gt;=100000), " ",IF(INDEX($AN$2:$BO$1001,MATCH(ROWS($AG$2:AG568),$AG$2:$AG$1001,0),MATCH(COLUMNS($AN$1006:AT1006),$AN$1006:$BO$1006,0)), HYPERLINK("#",""), HYPERLINK(CONCATENATE("#Metadata!", ADDRESS(INDEX($AI$2:$AI$1001,MATCH(ROWS($AG$2:AG568),$AG$2:$AG$1001,0),0), INDEX($AN$1004:$BO$1004,1,MATCH(COLUMNS($AN$1006:AT1006),$AN$1006:$BO$1006,0)))),"Fix")))</f>
        <v>0</v>
      </c>
      <c r="I568" s="4">
        <f>IF(OR(INDEX($AH$2:$AH$1001,MATCH(ROWS($AG$2:AG568),$AG$2:$AG$1001,0),1)&gt;=100000,INDEX($AN$1005:$BO$1005,1,MATCH(COLUMNS($AN$1006:AU1006),$AN$1006:$BO$1006,0))&gt;=100000), " ",IF(INDEX($AN$2:$BO$1001,MATCH(ROWS($AG$2:AG568),$AG$2:$AG$1001,0),MATCH(COLUMNS($AN$1006:AU1006),$AN$1006:$BO$1006,0)), HYPERLINK("#",""), HYPERLINK(CONCATENATE("#Metadata!", ADDRESS(INDEX($AI$2:$AI$1001,MATCH(ROWS($AG$2:AG568),$AG$2:$AG$1001,0),0), INDEX($AN$1004:$BO$1004,1,MATCH(COLUMNS($AN$1006:AU1006),$AN$1006:$BO$1006,0)))),"Fix")))</f>
        <v>0</v>
      </c>
      <c r="J568" s="4">
        <f>IF(OR(INDEX($AH$2:$AH$1001,MATCH(ROWS($AG$2:AG568),$AG$2:$AG$1001,0),1)&gt;=100000,INDEX($AN$1005:$BO$1005,1,MATCH(COLUMNS($AN$1006:AV1006),$AN$1006:$BO$1006,0))&gt;=100000), " ",IF(INDEX($AN$2:$BO$1001,MATCH(ROWS($AG$2:AG568),$AG$2:$AG$1001,0),MATCH(COLUMNS($AN$1006:AV1006),$AN$1006:$BO$1006,0)), HYPERLINK("#",""), HYPERLINK(CONCATENATE("#Metadata!", ADDRESS(INDEX($AI$2:$AI$1001,MATCH(ROWS($AG$2:AG568),$AG$2:$AG$1001,0),0), INDEX($AN$1004:$BO$1004,1,MATCH(COLUMNS($AN$1006:AV1006),$AN$1006:$BO$1006,0)))),"Fix")))</f>
        <v>0</v>
      </c>
      <c r="K568" s="4">
        <f>IF(OR(INDEX($AH$2:$AH$1001,MATCH(ROWS($AG$2:AG568),$AG$2:$AG$1001,0),1)&gt;=100000,INDEX($AN$1005:$BO$1005,1,MATCH(COLUMNS($AN$1006:AW1006),$AN$1006:$BO$1006,0))&gt;=100000), " ",IF(INDEX($AN$2:$BO$1001,MATCH(ROWS($AG$2:AG568),$AG$2:$AG$1001,0),MATCH(COLUMNS($AN$1006:AW1006),$AN$1006:$BO$1006,0)), HYPERLINK("#",""), HYPERLINK(CONCATENATE("#Metadata!", ADDRESS(INDEX($AI$2:$AI$1001,MATCH(ROWS($AG$2:AG568),$AG$2:$AG$1001,0),0), INDEX($AN$1004:$BO$1004,1,MATCH(COLUMNS($AN$1006:AW1006),$AN$1006:$BO$1006,0)))),"Fix")))</f>
        <v>0</v>
      </c>
      <c r="L568" s="4">
        <f>IF(OR(INDEX($AH$2:$AH$1001,MATCH(ROWS($AG$2:AG568),$AG$2:$AG$1001,0),1)&gt;=100000,INDEX($AN$1005:$BO$1005,1,MATCH(COLUMNS($AN$1006:AX1006),$AN$1006:$BO$1006,0))&gt;=100000), " ",IF(INDEX($AN$2:$BO$1001,MATCH(ROWS($AG$2:AG568),$AG$2:$AG$1001,0),MATCH(COLUMNS($AN$1006:AX1006),$AN$1006:$BO$1006,0)), HYPERLINK("#",""), HYPERLINK(CONCATENATE("#Metadata!", ADDRESS(INDEX($AI$2:$AI$1001,MATCH(ROWS($AG$2:AG568),$AG$2:$AG$1001,0),0), INDEX($AN$1004:$BO$1004,1,MATCH(COLUMNS($AN$1006:AX1006),$AN$1006:$BO$1006,0)))),"Fix")))</f>
        <v>0</v>
      </c>
      <c r="M568" s="4">
        <f>IF(OR(INDEX($AH$2:$AH$1001,MATCH(ROWS($AG$2:AG568),$AG$2:$AG$1001,0),1)&gt;=100000,INDEX($AN$1005:$BO$1005,1,MATCH(COLUMNS($AN$1006:AY1006),$AN$1006:$BO$1006,0))&gt;=100000), " ",IF(INDEX($AN$2:$BO$1001,MATCH(ROWS($AG$2:AG568),$AG$2:$AG$1001,0),MATCH(COLUMNS($AN$1006:AY1006),$AN$1006:$BO$1006,0)), HYPERLINK("#",""), HYPERLINK(CONCATENATE("#Metadata!", ADDRESS(INDEX($AI$2:$AI$1001,MATCH(ROWS($AG$2:AG568),$AG$2:$AG$1001,0),0), INDEX($AN$1004:$BO$1004,1,MATCH(COLUMNS($AN$1006:AY1006),$AN$1006:$BO$1006,0)))),"Fix")))</f>
        <v>0</v>
      </c>
      <c r="N568" s="4">
        <f>IF(OR(INDEX($AH$2:$AH$1001,MATCH(ROWS($AG$2:AG568),$AG$2:$AG$1001,0),1)&gt;=100000,INDEX($AN$1005:$BO$1005,1,MATCH(COLUMNS($AN$1006:AZ1006),$AN$1006:$BO$1006,0))&gt;=100000), " ",IF(INDEX($AN$2:$BO$1001,MATCH(ROWS($AG$2:AG568),$AG$2:$AG$1001,0),MATCH(COLUMNS($AN$1006:AZ1006),$AN$1006:$BO$1006,0)), HYPERLINK("#",""), HYPERLINK(CONCATENATE("#Metadata!", ADDRESS(INDEX($AI$2:$AI$1001,MATCH(ROWS($AG$2:AG568),$AG$2:$AG$1001,0),0), INDEX($AN$1004:$BO$1004,1,MATCH(COLUMNS($AN$1006:AZ1006),$AN$1006:$BO$1006,0)))),"Fix")))</f>
        <v>0</v>
      </c>
      <c r="O568" s="4">
        <f>IF(OR(INDEX($AH$2:$AH$1001,MATCH(ROWS($AG$2:AG568),$AG$2:$AG$1001,0),1)&gt;=100000,INDEX($AN$1005:$BO$1005,1,MATCH(COLUMNS($AN$1006:BA1006),$AN$1006:$BO$1006,0))&gt;=100000), " ",IF(INDEX($AN$2:$BO$1001,MATCH(ROWS($AG$2:AG568),$AG$2:$AG$1001,0),MATCH(COLUMNS($AN$1006:BA1006),$AN$1006:$BO$1006,0)), HYPERLINK("#",""), HYPERLINK(CONCATENATE("#Metadata!", ADDRESS(INDEX($AI$2:$AI$1001,MATCH(ROWS($AG$2:AG568),$AG$2:$AG$1001,0),0), INDEX($AN$1004:$BO$1004,1,MATCH(COLUMNS($AN$1006:BA1006),$AN$1006:$BO$1006,0)))),"Fix")))</f>
        <v>0</v>
      </c>
      <c r="P568" s="4">
        <f>IF(OR(INDEX($AH$2:$AH$1001,MATCH(ROWS($AG$2:AG568),$AG$2:$AG$1001,0),1)&gt;=100000,INDEX($AN$1005:$BO$1005,1,MATCH(COLUMNS($AN$1006:BB1006),$AN$1006:$BO$1006,0))&gt;=100000), " ",IF(INDEX($AN$2:$BO$1001,MATCH(ROWS($AG$2:AG568),$AG$2:$AG$1001,0),MATCH(COLUMNS($AN$1006:BB1006),$AN$1006:$BO$1006,0)), HYPERLINK("#",""), HYPERLINK(CONCATENATE("#Metadata!", ADDRESS(INDEX($AI$2:$AI$1001,MATCH(ROWS($AG$2:AG568),$AG$2:$AG$1001,0),0), INDEX($AN$1004:$BO$1004,1,MATCH(COLUMNS($AN$1006:BB1006),$AN$1006:$BO$1006,0)))),"Fix")))</f>
        <v>0</v>
      </c>
      <c r="Q568" s="4">
        <f>IF(OR(INDEX($AH$2:$AH$1001,MATCH(ROWS($AG$2:AG568),$AG$2:$AG$1001,0),1)&gt;=100000,INDEX($AN$1005:$BO$1005,1,MATCH(COLUMNS($AN$1006:BC1006),$AN$1006:$BO$1006,0))&gt;=100000), " ",IF(INDEX($AN$2:$BO$1001,MATCH(ROWS($AG$2:AG568),$AG$2:$AG$1001,0),MATCH(COLUMNS($AN$1006:BC1006),$AN$1006:$BO$1006,0)), HYPERLINK("#",""), HYPERLINK(CONCATENATE("#Metadata!", ADDRESS(INDEX($AI$2:$AI$1001,MATCH(ROWS($AG$2:AG568),$AG$2:$AG$1001,0),0), INDEX($AN$1004:$BO$1004,1,MATCH(COLUMNS($AN$1006:BC1006),$AN$1006:$BO$1006,0)))),"Fix")))</f>
        <v>0</v>
      </c>
      <c r="R568" s="4">
        <f>IF(OR(INDEX($AH$2:$AH$1001,MATCH(ROWS($AG$2:AG568),$AG$2:$AG$1001,0),1)&gt;=100000,INDEX($AN$1005:$BO$1005,1,MATCH(COLUMNS($AN$1006:BD1006),$AN$1006:$BO$1006,0))&gt;=100000), " ",IF(INDEX($AN$2:$BO$1001,MATCH(ROWS($AG$2:AG568),$AG$2:$AG$1001,0),MATCH(COLUMNS($AN$1006:BD1006),$AN$1006:$BO$1006,0)), HYPERLINK("#",""), HYPERLINK(CONCATENATE("#Metadata!", ADDRESS(INDEX($AI$2:$AI$1001,MATCH(ROWS($AG$2:AG568),$AG$2:$AG$1001,0),0), INDEX($AN$1004:$BO$1004,1,MATCH(COLUMNS($AN$1006:BD1006),$AN$1006:$BO$1006,0)))),"Fix")))</f>
        <v>0</v>
      </c>
      <c r="S568" s="4">
        <f>IF(OR(INDEX($AH$2:$AH$1001,MATCH(ROWS($AG$2:AG568),$AG$2:$AG$1001,0),1)&gt;=100000,INDEX($AN$1005:$BO$1005,1,MATCH(COLUMNS($AN$1006:BE1006),$AN$1006:$BO$1006,0))&gt;=100000), " ",IF(INDEX($AN$2:$BO$1001,MATCH(ROWS($AG$2:AG568),$AG$2:$AG$1001,0),MATCH(COLUMNS($AN$1006:BE1006),$AN$1006:$BO$1006,0)), HYPERLINK("#",""), HYPERLINK(CONCATENATE("#Metadata!", ADDRESS(INDEX($AI$2:$AI$1001,MATCH(ROWS($AG$2:AG568),$AG$2:$AG$1001,0),0), INDEX($AN$1004:$BO$1004,1,MATCH(COLUMNS($AN$1006:BE1006),$AN$1006:$BO$1006,0)))),"Fix")))</f>
        <v>0</v>
      </c>
      <c r="T568" s="4">
        <f>IF(OR(INDEX($AH$2:$AH$1001,MATCH(ROWS($AG$2:AG568),$AG$2:$AG$1001,0),1)&gt;=100000,INDEX($AN$1005:$BO$1005,1,MATCH(COLUMNS($AN$1006:BF1006),$AN$1006:$BO$1006,0))&gt;=100000), " ",IF(INDEX($AN$2:$BO$1001,MATCH(ROWS($AG$2:AG568),$AG$2:$AG$1001,0),MATCH(COLUMNS($AN$1006:BF1006),$AN$1006:$BO$1006,0)), HYPERLINK("#",""), HYPERLINK(CONCATENATE("#Metadata!", ADDRESS(INDEX($AI$2:$AI$1001,MATCH(ROWS($AG$2:AG568),$AG$2:$AG$1001,0),0), INDEX($AN$1004:$BO$1004,1,MATCH(COLUMNS($AN$1006:BF1006),$AN$1006:$BO$1006,0)))),"Fix")))</f>
        <v>0</v>
      </c>
      <c r="U568" s="4">
        <f>IF(OR(INDEX($AH$2:$AH$1001,MATCH(ROWS($AG$2:AG568),$AG$2:$AG$1001,0),1)&gt;=100000,INDEX($AN$1005:$BO$1005,1,MATCH(COLUMNS($AN$1006:BG1006),$AN$1006:$BO$1006,0))&gt;=100000), " ",IF(INDEX($AN$2:$BO$1001,MATCH(ROWS($AG$2:AG568),$AG$2:$AG$1001,0),MATCH(COLUMNS($AN$1006:BG1006),$AN$1006:$BO$1006,0)), HYPERLINK("#",""), HYPERLINK(CONCATENATE("#Metadata!", ADDRESS(INDEX($AI$2:$AI$1001,MATCH(ROWS($AG$2:AG568),$AG$2:$AG$1001,0),0), INDEX($AN$1004:$BO$1004,1,MATCH(COLUMNS($AN$1006:BG1006),$AN$1006:$BO$1006,0)))),"Fix")))</f>
        <v>0</v>
      </c>
      <c r="V568" s="4">
        <f>IF(OR(INDEX($AH$2:$AH$1001,MATCH(ROWS($AG$2:AG568),$AG$2:$AG$1001,0),1)&gt;=100000,INDEX($AN$1005:$BO$1005,1,MATCH(COLUMNS($AN$1006:BH1006),$AN$1006:$BO$1006,0))&gt;=100000), " ",IF(INDEX($AN$2:$BO$1001,MATCH(ROWS($AG$2:AG568),$AG$2:$AG$1001,0),MATCH(COLUMNS($AN$1006:BH1006),$AN$1006:$BO$1006,0)), HYPERLINK("#",""), HYPERLINK(CONCATENATE("#Metadata!", ADDRESS(INDEX($AI$2:$AI$1001,MATCH(ROWS($AG$2:AG568),$AG$2:$AG$1001,0),0), INDEX($AN$1004:$BO$1004,1,MATCH(COLUMNS($AN$1006:BH1006),$AN$1006:$BO$1006,0)))),"Fix")))</f>
        <v>0</v>
      </c>
      <c r="W568" s="4">
        <f>IF(OR(INDEX($AH$2:$AH$1001,MATCH(ROWS($AG$2:AG568),$AG$2:$AG$1001,0),1)&gt;=100000,INDEX($AN$1005:$BO$1005,1,MATCH(COLUMNS($AN$1006:BI1006),$AN$1006:$BO$1006,0))&gt;=100000), " ",IF(INDEX($AN$2:$BO$1001,MATCH(ROWS($AG$2:AG568),$AG$2:$AG$1001,0),MATCH(COLUMNS($AN$1006:BI1006),$AN$1006:$BO$1006,0)), HYPERLINK("#",""), HYPERLINK(CONCATENATE("#Metadata!", ADDRESS(INDEX($AI$2:$AI$1001,MATCH(ROWS($AG$2:AG568),$AG$2:$AG$1001,0),0), INDEX($AN$1004:$BO$1004,1,MATCH(COLUMNS($AN$1006:BI1006),$AN$1006:$BO$1006,0)))),"Fix")))</f>
        <v>0</v>
      </c>
      <c r="X568" s="4">
        <f>IF(OR(INDEX($AH$2:$AH$1001,MATCH(ROWS($AG$2:AG568),$AG$2:$AG$1001,0),1)&gt;=100000,INDEX($AN$1005:$BO$1005,1,MATCH(COLUMNS($AN$1006:BJ1006),$AN$1006:$BO$1006,0))&gt;=100000), " ",IF(INDEX($AN$2:$BO$1001,MATCH(ROWS($AG$2:AG568),$AG$2:$AG$1001,0),MATCH(COLUMNS($AN$1006:BJ1006),$AN$1006:$BO$1006,0)), HYPERLINK("#",""), HYPERLINK(CONCATENATE("#Metadata!", ADDRESS(INDEX($AI$2:$AI$1001,MATCH(ROWS($AG$2:AG568),$AG$2:$AG$1001,0),0), INDEX($AN$1004:$BO$1004,1,MATCH(COLUMNS($AN$1006:BJ1006),$AN$1006:$BO$1006,0)))),"Fix")))</f>
        <v>0</v>
      </c>
      <c r="Y568" s="4">
        <f>IF(OR(INDEX($AH$2:$AH$1001,MATCH(ROWS($AG$2:AG568),$AG$2:$AG$1001,0),1)&gt;=100000,INDEX($AN$1005:$BO$1005,1,MATCH(COLUMNS($AN$1006:BK1006),$AN$1006:$BO$1006,0))&gt;=100000), " ",IF(INDEX($AN$2:$BO$1001,MATCH(ROWS($AG$2:AG568),$AG$2:$AG$1001,0),MATCH(COLUMNS($AN$1006:BK1006),$AN$1006:$BO$1006,0)), HYPERLINK("#",""), HYPERLINK(CONCATENATE("#Metadata!", ADDRESS(INDEX($AI$2:$AI$1001,MATCH(ROWS($AG$2:AG568),$AG$2:$AG$1001,0),0), INDEX($AN$1004:$BO$1004,1,MATCH(COLUMNS($AN$1006:BK1006),$AN$1006:$BO$1006,0)))),"Fix")))</f>
        <v>0</v>
      </c>
      <c r="Z568" s="4">
        <f>IF(OR(INDEX($AH$2:$AH$1001,MATCH(ROWS($AG$2:AG568),$AG$2:$AG$1001,0),1)&gt;=100000,INDEX($AN$1005:$BO$1005,1,MATCH(COLUMNS($AN$1006:BL1006),$AN$1006:$BO$1006,0))&gt;=100000), " ",IF(INDEX($AN$2:$BO$1001,MATCH(ROWS($AG$2:AG568),$AG$2:$AG$1001,0),MATCH(COLUMNS($AN$1006:BL1006),$AN$1006:$BO$1006,0)), HYPERLINK("#",""), HYPERLINK(CONCATENATE("#Metadata!", ADDRESS(INDEX($AI$2:$AI$1001,MATCH(ROWS($AG$2:AG568),$AG$2:$AG$1001,0),0), INDEX($AN$1004:$BO$1004,1,MATCH(COLUMNS($AN$1006:BL1006),$AN$1006:$BO$1006,0)))),"Fix")))</f>
        <v>0</v>
      </c>
      <c r="AA568" s="4">
        <f>IF(OR(INDEX($AH$2:$AH$1001,MATCH(ROWS($AG$2:AG568),$AG$2:$AG$1001,0),1)&gt;=100000,INDEX($AN$1005:$BO$1005,1,MATCH(COLUMNS($AN$1006:BM1006),$AN$1006:$BO$1006,0))&gt;=100000), " ",IF(INDEX($AN$2:$BO$1001,MATCH(ROWS($AG$2:AG568),$AG$2:$AG$1001,0),MATCH(COLUMNS($AN$1006:BM1006),$AN$1006:$BO$1006,0)), HYPERLINK("#",""), HYPERLINK(CONCATENATE("#Metadata!", ADDRESS(INDEX($AI$2:$AI$1001,MATCH(ROWS($AG$2:AG568),$AG$2:$AG$1001,0),0), INDEX($AN$1004:$BO$1004,1,MATCH(COLUMNS($AN$1006:BM1006),$AN$1006:$BO$1006,0)))),"Fix")))</f>
        <v>0</v>
      </c>
      <c r="AB568" s="4">
        <f>IF(OR(INDEX($AH$2:$AH$1001,MATCH(ROWS($AG$2:AG568),$AG$2:$AG$1001,0),1)&gt;=100000,INDEX($AN$1005:$BO$1005,1,MATCH(COLUMNS($AN$1006:BN1006),$AN$1006:$BO$1006,0))&gt;=100000), " ",IF(INDEX($AN$2:$BO$1001,MATCH(ROWS($AG$2:AG568),$AG$2:$AG$1001,0),MATCH(COLUMNS($AN$1006:BN1006),$AN$1006:$BO$1006,0)), HYPERLINK("#",""), HYPERLINK(CONCATENATE("#Metadata!", ADDRESS(INDEX($AI$2:$AI$1001,MATCH(ROWS($AG$2:AG568),$AG$2:$AG$1001,0),0), INDEX($AN$1004:$BO$1004,1,MATCH(COLUMNS($AN$1006:BN1006),$AN$1006:$BO$1006,0)))),"Fix")))</f>
        <v>0</v>
      </c>
      <c r="AC568" s="4">
        <f>IF(OR(INDEX($AH$2:$AH$1001,MATCH(ROWS($AG$2:AG568),$AG$2:$AG$1001,0),1)&gt;=100000,INDEX($AN$1005:$BO$1005,1,MATCH(COLUMNS($AN$1006:BO1006),$AN$1006:$BO$1006,0))&gt;=100000), " ",IF(INDEX($AN$2:$BO$1001,MATCH(ROWS($AG$2:AG568),$AG$2:$AG$1001,0),MATCH(COLUMNS($AN$1006:BO1006),$AN$1006:$BO$1006,0)), HYPERLINK("#",""), HYPERLINK(CONCATENATE("#Metadata!", ADDRESS(INDEX($AI$2:$AI$1001,MATCH(ROWS($AG$2:AG568),$AG$2:$AG$1001,0),0), INDEX($AN$1004:$BO$1004,1,MATCH(COLUMNS($AN$1006:BO1006),$AN$1006:$BO$1006,0)))),"Fix")))</f>
        <v>0</v>
      </c>
      <c r="AG568">
        <v>0</v>
      </c>
      <c r="AH568">
        <v>0</v>
      </c>
      <c r="AI568">
        <v>0</v>
      </c>
      <c r="AJ568">
        <f>IF(AK568,TRUE,AND(AN568:BO568))</f>
        <v>0</v>
      </c>
      <c r="AK568">
        <f>COUNTBLANK(Metadata!B568:AC568)=COLUMNS(Metadata!B568:AC568)</f>
        <v>0</v>
      </c>
      <c r="AL568">
        <v>0</v>
      </c>
      <c r="AN568">
        <f>AND(IF(Metadata!B568="",FALSE,TRUE),COUNTIF(Metadata!B:B, Metadata!B568) = 1,NOT(ISERROR(SUMPRODUCT(SEARCH(MID(Metadata!B568,ROW(INDIRECT("1:"&amp;LEN(Metadata!B568))), 1),"0123456789abcdefghijklmnopqrstuvwxyzABCDEFGHIJKLMNOPQRSTUVWXYZ.")))))</f>
        <v>0</v>
      </c>
      <c r="AO568">
        <f>IF(Metadata!C568="",FALSE,TRUE)</f>
        <v>0</v>
      </c>
      <c r="AP568">
        <f>IF(Metadata!D568="",FALSE,TRUE)</f>
        <v>0</v>
      </c>
      <c r="AQ568">
        <f>OR(AND(IF(Metadata!E568="",FALSE,TRUE),OR(exact(Metadata!E568,"not collected"),exact(Metadata!E568,"not provided"),exact(Metadata!E568,"restricted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R568">
        <f>IF(Metadata!F568="",FALSE,TRUE)</f>
        <v>0</v>
      </c>
      <c r="AS568">
        <f>OR(AND(IF(Metadata!G568="",FALSE,TRUE),OR(exact(Metadata!G568,"not collected"),exact(Metadata!G568,"not provided"))),AND(IF(Metadata!G568="",FALSE,TRUE),OR(exact(Metadata!G568,"TRUE"),exact(Metadata!G568,"FALSE"))))</f>
        <v>0</v>
      </c>
      <c r="AT568">
        <f>OR(AND(IF(Metadata!H568="",FALSE,TRUE),OR(exact(Metadata!H568,"not collected"),exact(Metadata!H568,"not provided"),exact(Metadata!H568,"restricted access"))),AND(IF(Metadata!H568="",FALSE,ISNUMBER(VALUE(Metadata!H568))),Metadata!H568&gt;=-413.0))</f>
        <v>0</v>
      </c>
      <c r="AU568">
        <f>AND(IF(Metadata!I568="",FALSE,TRUE),exact(Metadata!I568,"meters"))</f>
        <v>0</v>
      </c>
      <c r="AV568">
        <f>AND(IF(Metadata!J568="",FALSE,TRUE),OR(exact(Metadata!J568,"Host-associated"),exact(Metadata!J568,"Free-living")))</f>
        <v>0</v>
      </c>
      <c r="AW568">
        <f>AND(IF(Metadata!K568="",FALSE,TRUE),OR(exact(Metadata!K568,"Animal"),exact(Metadata!K568,"Fungus"),exact(Metadata!K568,"Plant"),exact(Metadata!K568,"Saline"),exact(Metadata!K568,"Non-saline")))</f>
        <v>0</v>
      </c>
      <c r="AX568">
        <f>AND(IF(Metadata!L568="",FALSE,TRUE),OR(exact(Metadata!L568,"Plant secretion"),exact(Metadata!L568,"Plant rhizosphere"),exact(Metadata!L568,"Plant surface"),exact(Metadata!L568,"Plant corpus"),exact(Metadata!L568,"Fungus surface"),exact(Metadata!L568,"Fungus corpus"),exact(Metadata!L568,"Animal surface"),exact(Metadata!L568,"Animal proximal gut"),exact(Metadata!L568,"Animal corpus"),exact(Metadata!L568,"Animal distal gut"),exact(Metadata!L568,"Animal secretion"),exact(Metadata!L568,"Sub-surface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Y568">
        <f>IF(Metadata!M568="",FALSE,TRUE)</f>
        <v>0</v>
      </c>
      <c r="AZ568">
        <f>IF(Metadata!N568="",FALSE,TRUE)</f>
        <v>0</v>
      </c>
      <c r="BA568">
        <f>IF(Metadata!O568="",FALSE,TRUE)</f>
        <v>0</v>
      </c>
      <c r="BB568">
        <f>OR(AND(IF(Metadata!P568="",FALSE,TRUE),OR(exact(Metadata!P568,"not collected"),exact(Metadata!P568,"not provided"),exact(Metadata!P568,"restricted access"))),AND(IF(Metadata!P568="",FALSE,TRUE),OR(exact(Metadata!P568,"air"),exact(Metadata!P568,"built environment"),exact(Metadata!P568,"host-associated"),exact(Metadata!P568,"human-associated"),exact(Metadata!P568,"human-skin"),exact(Metadata!P568,"human-oral"),exact(Metadata!P568,"human-gut"),exact(Metadata!P568,"human-vaginal"),exact(Metadata!P568,"microbial mat/biofilm"),exact(Metadata!P568,"misc environment"),exact(Metadata!P568,"plant-associated"),exact(Metadata!P568,"sediment"),exact(Metadata!P568,"soil"),exact(Metadata!P568,"wastewater/sludge"),exact(Metadata!P568,"water"))))</f>
        <v>0</v>
      </c>
      <c r="BC568">
        <f>IF(Metadata!Q568="",FALSE,TRUE)</f>
        <v>0</v>
      </c>
      <c r="BD568">
        <f>IF(Metadata!R568="",FALSE,TRUE)</f>
        <v>0</v>
      </c>
      <c r="BE568">
        <f>OR(AND(IF(Metadata!S568="",FALSE,TRUE),OR(exact(Metadata!S568,"not collected"),exact(Metadata!S568,"not provided"),exact(Metadata!S568,"restricted access"))),AND(IF(Metadata!S568="",FALSE,ISNUMBER(VALUE(Metadata!S568))),Metadata!S568&gt;=-90.00,Metadata!S568&lt;=90.00))</f>
        <v>0</v>
      </c>
      <c r="BF568">
        <f>AND(IF(Metadata!T568="",FALSE,TRUE),exact(Metadata!T568,"Decimal degrees"))</f>
        <v>0</v>
      </c>
      <c r="BG568">
        <f>OR(AND(IF(Metadata!U568="",FALSE,TRUE),OR(exact(Metadata!U568,"not collected"),exact(Metadata!U568,"not provided"),exact(Metadata!U568,"restricted access"))),AND(IF(Metadata!U568="",FALSE,ISNUMBER(VALUE(Metadata!U568))),Metadata!U568&gt;=-180.00,Metadata!U568&lt;=180.00))</f>
        <v>0</v>
      </c>
      <c r="BH568">
        <f>AND(IF(Metadata!V568="",FALSE,TRUE),exact(Metadata!V568,"Decimal degrees"))</f>
        <v>0</v>
      </c>
      <c r="BI568">
        <f>IF(Metadata!W568="",FALSE,TRUE)</f>
        <v>0</v>
      </c>
      <c r="BJ568">
        <f>OR(AND(IF(Metadata!X568="",FALSE,TRUE),OR(exact(Metadata!X568,"not collected"),exact(Metadata!X568,"not provided"),exact(Metadata!X568,"restricted access"))),AND(IF(Metadata!X568="",FALSE,TRUE),OR(exact(Metadata!X568,"TRUE"),exact(Metadata!X568,"FALSE"))))</f>
        <v>0</v>
      </c>
      <c r="BK568">
        <f>AND(IF(Metadata!Y568="",FALSE,TRUE),exact(Metadata!Y568,"other"))</f>
        <v>0</v>
      </c>
      <c r="BL568">
        <f>IF(Metadata!Z568="",FALSE,TRUE)</f>
        <v>0</v>
      </c>
      <c r="BM568">
        <f>OR(AND(IF(Metadata!AA568="",FALSE,TRUE),OR(exact(Metadata!AA568,"not collected"),exact(Metadata!AA568,"not provided"))),AND(IF(Metadata!AA568="",FALSE,IF(ISERROR(INT(Metadata!AA568)),FALSE,INT(Metadata!AA568)=Metadata!AA568)),Metadata!AA568&gt;0))</f>
        <v>0</v>
      </c>
      <c r="BN568">
        <f>AND(IF(Metadata!AB568="",FALSE,TRUE),exact(Metadata!AB568,"Not applicable"))</f>
        <v>0</v>
      </c>
      <c r="BO568">
        <f>IF(Metadata!AC568="",FALSE,TRUE)</f>
        <v>0</v>
      </c>
    </row>
    <row r="569" spans="1:67">
      <c r="A569" s="5">
        <f>IF(B569=" "," ",HYPERLINK(CONCATENATE("#metadata!",ADDRESS(INDEX($AI$2:$AI$1001,MATCH(ROWS($AG$2:AG569),$AG$2:$AG$1001,0),0),1)),INDEX($AL$2:$AL$1001,MATCH(ROWS($AG$2:AG569),$AG$2:$AG$1001,0),0)))</f>
        <v>0</v>
      </c>
      <c r="B569" s="4">
        <f>IF(OR(INDEX($AH$2:$AH$1001,MATCH(ROWS($AG$2:AG569),$AG$2:$AG$1001,0),1)&gt;=100000,INDEX($AN$1005:$BO$1005,1,MATCH(COLUMNS($AN$1006:AN1006),$AN$1006:$BO$1006,0))&gt;=100000), " ",IF(INDEX($AN$2:$BO$1001,MATCH(ROWS($AG$2:AG569),$AG$2:$AG$1001,0),MATCH(COLUMNS($AN$1006:AN1006),$AN$1006:$BO$1006,0)), HYPERLINK("#",""), HYPERLINK(CONCATENATE("#Metadata!", ADDRESS(INDEX($AI$2:$AI$1001,MATCH(ROWS($AG$2:AG569),$AG$2:$AG$1001,0),0), INDEX($AN$1004:$BO$1004,1,MATCH(COLUMNS($AN$1006:AN1006),$AN$1006:$BO$1006,0)))),"Fix")))</f>
        <v>0</v>
      </c>
      <c r="C569" s="4">
        <f>IF(OR(INDEX($AH$2:$AH$1001,MATCH(ROWS($AG$2:AG569),$AG$2:$AG$1001,0),1)&gt;=100000,INDEX($AN$1005:$BO$1005,1,MATCH(COLUMNS($AN$1006:AO1006),$AN$1006:$BO$1006,0))&gt;=100000), " ",IF(INDEX($AN$2:$BO$1001,MATCH(ROWS($AG$2:AG569),$AG$2:$AG$1001,0),MATCH(COLUMNS($AN$1006:AO1006),$AN$1006:$BO$1006,0)), HYPERLINK("#",""), HYPERLINK(CONCATENATE("#Metadata!", ADDRESS(INDEX($AI$2:$AI$1001,MATCH(ROWS($AG$2:AG569),$AG$2:$AG$1001,0),0), INDEX($AN$1004:$BO$1004,1,MATCH(COLUMNS($AN$1006:AO1006),$AN$1006:$BO$1006,0)))),"Fix")))</f>
        <v>0</v>
      </c>
      <c r="D569" s="4">
        <f>IF(OR(INDEX($AH$2:$AH$1001,MATCH(ROWS($AG$2:AG569),$AG$2:$AG$1001,0),1)&gt;=100000,INDEX($AN$1005:$BO$1005,1,MATCH(COLUMNS($AN$1006:AP1006),$AN$1006:$BO$1006,0))&gt;=100000), " ",IF(INDEX($AN$2:$BO$1001,MATCH(ROWS($AG$2:AG569),$AG$2:$AG$1001,0),MATCH(COLUMNS($AN$1006:AP1006),$AN$1006:$BO$1006,0)), HYPERLINK("#",""), HYPERLINK(CONCATENATE("#Metadata!", ADDRESS(INDEX($AI$2:$AI$1001,MATCH(ROWS($AG$2:AG569),$AG$2:$AG$1001,0),0), INDEX($AN$1004:$BO$1004,1,MATCH(COLUMNS($AN$1006:AP1006),$AN$1006:$BO$1006,0)))),"Fix")))</f>
        <v>0</v>
      </c>
      <c r="E569" s="4">
        <f>IF(OR(INDEX($AH$2:$AH$1001,MATCH(ROWS($AG$2:AG569),$AG$2:$AG$1001,0),1)&gt;=100000,INDEX($AN$1005:$BO$1005,1,MATCH(COLUMNS($AN$1006:AQ1006),$AN$1006:$BO$1006,0))&gt;=100000), " ",IF(INDEX($AN$2:$BO$1001,MATCH(ROWS($AG$2:AG569),$AG$2:$AG$1001,0),MATCH(COLUMNS($AN$1006:AQ1006),$AN$1006:$BO$1006,0)), HYPERLINK("#",""), HYPERLINK(CONCATENATE("#Metadata!", ADDRESS(INDEX($AI$2:$AI$1001,MATCH(ROWS($AG$2:AG569),$AG$2:$AG$1001,0),0), INDEX($AN$1004:$BO$1004,1,MATCH(COLUMNS($AN$1006:AQ1006),$AN$1006:$BO$1006,0)))),"Fix")))</f>
        <v>0</v>
      </c>
      <c r="F569" s="4">
        <f>IF(OR(INDEX($AH$2:$AH$1001,MATCH(ROWS($AG$2:AG569),$AG$2:$AG$1001,0),1)&gt;=100000,INDEX($AN$1005:$BO$1005,1,MATCH(COLUMNS($AN$1006:AR1006),$AN$1006:$BO$1006,0))&gt;=100000), " ",IF(INDEX($AN$2:$BO$1001,MATCH(ROWS($AG$2:AG569),$AG$2:$AG$1001,0),MATCH(COLUMNS($AN$1006:AR1006),$AN$1006:$BO$1006,0)), HYPERLINK("#",""), HYPERLINK(CONCATENATE("#Metadata!", ADDRESS(INDEX($AI$2:$AI$1001,MATCH(ROWS($AG$2:AG569),$AG$2:$AG$1001,0),0), INDEX($AN$1004:$BO$1004,1,MATCH(COLUMNS($AN$1006:AR1006),$AN$1006:$BO$1006,0)))),"Fix")))</f>
        <v>0</v>
      </c>
      <c r="G569" s="4">
        <f>IF(OR(INDEX($AH$2:$AH$1001,MATCH(ROWS($AG$2:AG569),$AG$2:$AG$1001,0),1)&gt;=100000,INDEX($AN$1005:$BO$1005,1,MATCH(COLUMNS($AN$1006:AS1006),$AN$1006:$BO$1006,0))&gt;=100000), " ",IF(INDEX($AN$2:$BO$1001,MATCH(ROWS($AG$2:AG569),$AG$2:$AG$1001,0),MATCH(COLUMNS($AN$1006:AS1006),$AN$1006:$BO$1006,0)), HYPERLINK("#",""), HYPERLINK(CONCATENATE("#Metadata!", ADDRESS(INDEX($AI$2:$AI$1001,MATCH(ROWS($AG$2:AG569),$AG$2:$AG$1001,0),0), INDEX($AN$1004:$BO$1004,1,MATCH(COLUMNS($AN$1006:AS1006),$AN$1006:$BO$1006,0)))),"Fix")))</f>
        <v>0</v>
      </c>
      <c r="H569" s="4">
        <f>IF(OR(INDEX($AH$2:$AH$1001,MATCH(ROWS($AG$2:AG569),$AG$2:$AG$1001,0),1)&gt;=100000,INDEX($AN$1005:$BO$1005,1,MATCH(COLUMNS($AN$1006:AT1006),$AN$1006:$BO$1006,0))&gt;=100000), " ",IF(INDEX($AN$2:$BO$1001,MATCH(ROWS($AG$2:AG569),$AG$2:$AG$1001,0),MATCH(COLUMNS($AN$1006:AT1006),$AN$1006:$BO$1006,0)), HYPERLINK("#",""), HYPERLINK(CONCATENATE("#Metadata!", ADDRESS(INDEX($AI$2:$AI$1001,MATCH(ROWS($AG$2:AG569),$AG$2:$AG$1001,0),0), INDEX($AN$1004:$BO$1004,1,MATCH(COLUMNS($AN$1006:AT1006),$AN$1006:$BO$1006,0)))),"Fix")))</f>
        <v>0</v>
      </c>
      <c r="I569" s="4">
        <f>IF(OR(INDEX($AH$2:$AH$1001,MATCH(ROWS($AG$2:AG569),$AG$2:$AG$1001,0),1)&gt;=100000,INDEX($AN$1005:$BO$1005,1,MATCH(COLUMNS($AN$1006:AU1006),$AN$1006:$BO$1006,0))&gt;=100000), " ",IF(INDEX($AN$2:$BO$1001,MATCH(ROWS($AG$2:AG569),$AG$2:$AG$1001,0),MATCH(COLUMNS($AN$1006:AU1006),$AN$1006:$BO$1006,0)), HYPERLINK("#",""), HYPERLINK(CONCATENATE("#Metadata!", ADDRESS(INDEX($AI$2:$AI$1001,MATCH(ROWS($AG$2:AG569),$AG$2:$AG$1001,0),0), INDEX($AN$1004:$BO$1004,1,MATCH(COLUMNS($AN$1006:AU1006),$AN$1006:$BO$1006,0)))),"Fix")))</f>
        <v>0</v>
      </c>
      <c r="J569" s="4">
        <f>IF(OR(INDEX($AH$2:$AH$1001,MATCH(ROWS($AG$2:AG569),$AG$2:$AG$1001,0),1)&gt;=100000,INDEX($AN$1005:$BO$1005,1,MATCH(COLUMNS($AN$1006:AV1006),$AN$1006:$BO$1006,0))&gt;=100000), " ",IF(INDEX($AN$2:$BO$1001,MATCH(ROWS($AG$2:AG569),$AG$2:$AG$1001,0),MATCH(COLUMNS($AN$1006:AV1006),$AN$1006:$BO$1006,0)), HYPERLINK("#",""), HYPERLINK(CONCATENATE("#Metadata!", ADDRESS(INDEX($AI$2:$AI$1001,MATCH(ROWS($AG$2:AG569),$AG$2:$AG$1001,0),0), INDEX($AN$1004:$BO$1004,1,MATCH(COLUMNS($AN$1006:AV1006),$AN$1006:$BO$1006,0)))),"Fix")))</f>
        <v>0</v>
      </c>
      <c r="K569" s="4">
        <f>IF(OR(INDEX($AH$2:$AH$1001,MATCH(ROWS($AG$2:AG569),$AG$2:$AG$1001,0),1)&gt;=100000,INDEX($AN$1005:$BO$1005,1,MATCH(COLUMNS($AN$1006:AW1006),$AN$1006:$BO$1006,0))&gt;=100000), " ",IF(INDEX($AN$2:$BO$1001,MATCH(ROWS($AG$2:AG569),$AG$2:$AG$1001,0),MATCH(COLUMNS($AN$1006:AW1006),$AN$1006:$BO$1006,0)), HYPERLINK("#",""), HYPERLINK(CONCATENATE("#Metadata!", ADDRESS(INDEX($AI$2:$AI$1001,MATCH(ROWS($AG$2:AG569),$AG$2:$AG$1001,0),0), INDEX($AN$1004:$BO$1004,1,MATCH(COLUMNS($AN$1006:AW1006),$AN$1006:$BO$1006,0)))),"Fix")))</f>
        <v>0</v>
      </c>
      <c r="L569" s="4">
        <f>IF(OR(INDEX($AH$2:$AH$1001,MATCH(ROWS($AG$2:AG569),$AG$2:$AG$1001,0),1)&gt;=100000,INDEX($AN$1005:$BO$1005,1,MATCH(COLUMNS($AN$1006:AX1006),$AN$1006:$BO$1006,0))&gt;=100000), " ",IF(INDEX($AN$2:$BO$1001,MATCH(ROWS($AG$2:AG569),$AG$2:$AG$1001,0),MATCH(COLUMNS($AN$1006:AX1006),$AN$1006:$BO$1006,0)), HYPERLINK("#",""), HYPERLINK(CONCATENATE("#Metadata!", ADDRESS(INDEX($AI$2:$AI$1001,MATCH(ROWS($AG$2:AG569),$AG$2:$AG$1001,0),0), INDEX($AN$1004:$BO$1004,1,MATCH(COLUMNS($AN$1006:AX1006),$AN$1006:$BO$1006,0)))),"Fix")))</f>
        <v>0</v>
      </c>
      <c r="M569" s="4">
        <f>IF(OR(INDEX($AH$2:$AH$1001,MATCH(ROWS($AG$2:AG569),$AG$2:$AG$1001,0),1)&gt;=100000,INDEX($AN$1005:$BO$1005,1,MATCH(COLUMNS($AN$1006:AY1006),$AN$1006:$BO$1006,0))&gt;=100000), " ",IF(INDEX($AN$2:$BO$1001,MATCH(ROWS($AG$2:AG569),$AG$2:$AG$1001,0),MATCH(COLUMNS($AN$1006:AY1006),$AN$1006:$BO$1006,0)), HYPERLINK("#",""), HYPERLINK(CONCATENATE("#Metadata!", ADDRESS(INDEX($AI$2:$AI$1001,MATCH(ROWS($AG$2:AG569),$AG$2:$AG$1001,0),0), INDEX($AN$1004:$BO$1004,1,MATCH(COLUMNS($AN$1006:AY1006),$AN$1006:$BO$1006,0)))),"Fix")))</f>
        <v>0</v>
      </c>
      <c r="N569" s="4">
        <f>IF(OR(INDEX($AH$2:$AH$1001,MATCH(ROWS($AG$2:AG569),$AG$2:$AG$1001,0),1)&gt;=100000,INDEX($AN$1005:$BO$1005,1,MATCH(COLUMNS($AN$1006:AZ1006),$AN$1006:$BO$1006,0))&gt;=100000), " ",IF(INDEX($AN$2:$BO$1001,MATCH(ROWS($AG$2:AG569),$AG$2:$AG$1001,0),MATCH(COLUMNS($AN$1006:AZ1006),$AN$1006:$BO$1006,0)), HYPERLINK("#",""), HYPERLINK(CONCATENATE("#Metadata!", ADDRESS(INDEX($AI$2:$AI$1001,MATCH(ROWS($AG$2:AG569),$AG$2:$AG$1001,0),0), INDEX($AN$1004:$BO$1004,1,MATCH(COLUMNS($AN$1006:AZ1006),$AN$1006:$BO$1006,0)))),"Fix")))</f>
        <v>0</v>
      </c>
      <c r="O569" s="4">
        <f>IF(OR(INDEX($AH$2:$AH$1001,MATCH(ROWS($AG$2:AG569),$AG$2:$AG$1001,0),1)&gt;=100000,INDEX($AN$1005:$BO$1005,1,MATCH(COLUMNS($AN$1006:BA1006),$AN$1006:$BO$1006,0))&gt;=100000), " ",IF(INDEX($AN$2:$BO$1001,MATCH(ROWS($AG$2:AG569),$AG$2:$AG$1001,0),MATCH(COLUMNS($AN$1006:BA1006),$AN$1006:$BO$1006,0)), HYPERLINK("#",""), HYPERLINK(CONCATENATE("#Metadata!", ADDRESS(INDEX($AI$2:$AI$1001,MATCH(ROWS($AG$2:AG569),$AG$2:$AG$1001,0),0), INDEX($AN$1004:$BO$1004,1,MATCH(COLUMNS($AN$1006:BA1006),$AN$1006:$BO$1006,0)))),"Fix")))</f>
        <v>0</v>
      </c>
      <c r="P569" s="4">
        <f>IF(OR(INDEX($AH$2:$AH$1001,MATCH(ROWS($AG$2:AG569),$AG$2:$AG$1001,0),1)&gt;=100000,INDEX($AN$1005:$BO$1005,1,MATCH(COLUMNS($AN$1006:BB1006),$AN$1006:$BO$1006,0))&gt;=100000), " ",IF(INDEX($AN$2:$BO$1001,MATCH(ROWS($AG$2:AG569),$AG$2:$AG$1001,0),MATCH(COLUMNS($AN$1006:BB1006),$AN$1006:$BO$1006,0)), HYPERLINK("#",""), HYPERLINK(CONCATENATE("#Metadata!", ADDRESS(INDEX($AI$2:$AI$1001,MATCH(ROWS($AG$2:AG569),$AG$2:$AG$1001,0),0), INDEX($AN$1004:$BO$1004,1,MATCH(COLUMNS($AN$1006:BB1006),$AN$1006:$BO$1006,0)))),"Fix")))</f>
        <v>0</v>
      </c>
      <c r="Q569" s="4">
        <f>IF(OR(INDEX($AH$2:$AH$1001,MATCH(ROWS($AG$2:AG569),$AG$2:$AG$1001,0),1)&gt;=100000,INDEX($AN$1005:$BO$1005,1,MATCH(COLUMNS($AN$1006:BC1006),$AN$1006:$BO$1006,0))&gt;=100000), " ",IF(INDEX($AN$2:$BO$1001,MATCH(ROWS($AG$2:AG569),$AG$2:$AG$1001,0),MATCH(COLUMNS($AN$1006:BC1006),$AN$1006:$BO$1006,0)), HYPERLINK("#",""), HYPERLINK(CONCATENATE("#Metadata!", ADDRESS(INDEX($AI$2:$AI$1001,MATCH(ROWS($AG$2:AG569),$AG$2:$AG$1001,0),0), INDEX($AN$1004:$BO$1004,1,MATCH(COLUMNS($AN$1006:BC1006),$AN$1006:$BO$1006,0)))),"Fix")))</f>
        <v>0</v>
      </c>
      <c r="R569" s="4">
        <f>IF(OR(INDEX($AH$2:$AH$1001,MATCH(ROWS($AG$2:AG569),$AG$2:$AG$1001,0),1)&gt;=100000,INDEX($AN$1005:$BO$1005,1,MATCH(COLUMNS($AN$1006:BD1006),$AN$1006:$BO$1006,0))&gt;=100000), " ",IF(INDEX($AN$2:$BO$1001,MATCH(ROWS($AG$2:AG569),$AG$2:$AG$1001,0),MATCH(COLUMNS($AN$1006:BD1006),$AN$1006:$BO$1006,0)), HYPERLINK("#",""), HYPERLINK(CONCATENATE("#Metadata!", ADDRESS(INDEX($AI$2:$AI$1001,MATCH(ROWS($AG$2:AG569),$AG$2:$AG$1001,0),0), INDEX($AN$1004:$BO$1004,1,MATCH(COLUMNS($AN$1006:BD1006),$AN$1006:$BO$1006,0)))),"Fix")))</f>
        <v>0</v>
      </c>
      <c r="S569" s="4">
        <f>IF(OR(INDEX($AH$2:$AH$1001,MATCH(ROWS($AG$2:AG569),$AG$2:$AG$1001,0),1)&gt;=100000,INDEX($AN$1005:$BO$1005,1,MATCH(COLUMNS($AN$1006:BE1006),$AN$1006:$BO$1006,0))&gt;=100000), " ",IF(INDEX($AN$2:$BO$1001,MATCH(ROWS($AG$2:AG569),$AG$2:$AG$1001,0),MATCH(COLUMNS($AN$1006:BE1006),$AN$1006:$BO$1006,0)), HYPERLINK("#",""), HYPERLINK(CONCATENATE("#Metadata!", ADDRESS(INDEX($AI$2:$AI$1001,MATCH(ROWS($AG$2:AG569),$AG$2:$AG$1001,0),0), INDEX($AN$1004:$BO$1004,1,MATCH(COLUMNS($AN$1006:BE1006),$AN$1006:$BO$1006,0)))),"Fix")))</f>
        <v>0</v>
      </c>
      <c r="T569" s="4">
        <f>IF(OR(INDEX($AH$2:$AH$1001,MATCH(ROWS($AG$2:AG569),$AG$2:$AG$1001,0),1)&gt;=100000,INDEX($AN$1005:$BO$1005,1,MATCH(COLUMNS($AN$1006:BF1006),$AN$1006:$BO$1006,0))&gt;=100000), " ",IF(INDEX($AN$2:$BO$1001,MATCH(ROWS($AG$2:AG569),$AG$2:$AG$1001,0),MATCH(COLUMNS($AN$1006:BF1006),$AN$1006:$BO$1006,0)), HYPERLINK("#",""), HYPERLINK(CONCATENATE("#Metadata!", ADDRESS(INDEX($AI$2:$AI$1001,MATCH(ROWS($AG$2:AG569),$AG$2:$AG$1001,0),0), INDEX($AN$1004:$BO$1004,1,MATCH(COLUMNS($AN$1006:BF1006),$AN$1006:$BO$1006,0)))),"Fix")))</f>
        <v>0</v>
      </c>
      <c r="U569" s="4">
        <f>IF(OR(INDEX($AH$2:$AH$1001,MATCH(ROWS($AG$2:AG569),$AG$2:$AG$1001,0),1)&gt;=100000,INDEX($AN$1005:$BO$1005,1,MATCH(COLUMNS($AN$1006:BG1006),$AN$1006:$BO$1006,0))&gt;=100000), " ",IF(INDEX($AN$2:$BO$1001,MATCH(ROWS($AG$2:AG569),$AG$2:$AG$1001,0),MATCH(COLUMNS($AN$1006:BG1006),$AN$1006:$BO$1006,0)), HYPERLINK("#",""), HYPERLINK(CONCATENATE("#Metadata!", ADDRESS(INDEX($AI$2:$AI$1001,MATCH(ROWS($AG$2:AG569),$AG$2:$AG$1001,0),0), INDEX($AN$1004:$BO$1004,1,MATCH(COLUMNS($AN$1006:BG1006),$AN$1006:$BO$1006,0)))),"Fix")))</f>
        <v>0</v>
      </c>
      <c r="V569" s="4">
        <f>IF(OR(INDEX($AH$2:$AH$1001,MATCH(ROWS($AG$2:AG569),$AG$2:$AG$1001,0),1)&gt;=100000,INDEX($AN$1005:$BO$1005,1,MATCH(COLUMNS($AN$1006:BH1006),$AN$1006:$BO$1006,0))&gt;=100000), " ",IF(INDEX($AN$2:$BO$1001,MATCH(ROWS($AG$2:AG569),$AG$2:$AG$1001,0),MATCH(COLUMNS($AN$1006:BH1006),$AN$1006:$BO$1006,0)), HYPERLINK("#",""), HYPERLINK(CONCATENATE("#Metadata!", ADDRESS(INDEX($AI$2:$AI$1001,MATCH(ROWS($AG$2:AG569),$AG$2:$AG$1001,0),0), INDEX($AN$1004:$BO$1004,1,MATCH(COLUMNS($AN$1006:BH1006),$AN$1006:$BO$1006,0)))),"Fix")))</f>
        <v>0</v>
      </c>
      <c r="W569" s="4">
        <f>IF(OR(INDEX($AH$2:$AH$1001,MATCH(ROWS($AG$2:AG569),$AG$2:$AG$1001,0),1)&gt;=100000,INDEX($AN$1005:$BO$1005,1,MATCH(COLUMNS($AN$1006:BI1006),$AN$1006:$BO$1006,0))&gt;=100000), " ",IF(INDEX($AN$2:$BO$1001,MATCH(ROWS($AG$2:AG569),$AG$2:$AG$1001,0),MATCH(COLUMNS($AN$1006:BI1006),$AN$1006:$BO$1006,0)), HYPERLINK("#",""), HYPERLINK(CONCATENATE("#Metadata!", ADDRESS(INDEX($AI$2:$AI$1001,MATCH(ROWS($AG$2:AG569),$AG$2:$AG$1001,0),0), INDEX($AN$1004:$BO$1004,1,MATCH(COLUMNS($AN$1006:BI1006),$AN$1006:$BO$1006,0)))),"Fix")))</f>
        <v>0</v>
      </c>
      <c r="X569" s="4">
        <f>IF(OR(INDEX($AH$2:$AH$1001,MATCH(ROWS($AG$2:AG569),$AG$2:$AG$1001,0),1)&gt;=100000,INDEX($AN$1005:$BO$1005,1,MATCH(COLUMNS($AN$1006:BJ1006),$AN$1006:$BO$1006,0))&gt;=100000), " ",IF(INDEX($AN$2:$BO$1001,MATCH(ROWS($AG$2:AG569),$AG$2:$AG$1001,0),MATCH(COLUMNS($AN$1006:BJ1006),$AN$1006:$BO$1006,0)), HYPERLINK("#",""), HYPERLINK(CONCATENATE("#Metadata!", ADDRESS(INDEX($AI$2:$AI$1001,MATCH(ROWS($AG$2:AG569),$AG$2:$AG$1001,0),0), INDEX($AN$1004:$BO$1004,1,MATCH(COLUMNS($AN$1006:BJ1006),$AN$1006:$BO$1006,0)))),"Fix")))</f>
        <v>0</v>
      </c>
      <c r="Y569" s="4">
        <f>IF(OR(INDEX($AH$2:$AH$1001,MATCH(ROWS($AG$2:AG569),$AG$2:$AG$1001,0),1)&gt;=100000,INDEX($AN$1005:$BO$1005,1,MATCH(COLUMNS($AN$1006:BK1006),$AN$1006:$BO$1006,0))&gt;=100000), " ",IF(INDEX($AN$2:$BO$1001,MATCH(ROWS($AG$2:AG569),$AG$2:$AG$1001,0),MATCH(COLUMNS($AN$1006:BK1006),$AN$1006:$BO$1006,0)), HYPERLINK("#",""), HYPERLINK(CONCATENATE("#Metadata!", ADDRESS(INDEX($AI$2:$AI$1001,MATCH(ROWS($AG$2:AG569),$AG$2:$AG$1001,0),0), INDEX($AN$1004:$BO$1004,1,MATCH(COLUMNS($AN$1006:BK1006),$AN$1006:$BO$1006,0)))),"Fix")))</f>
        <v>0</v>
      </c>
      <c r="Z569" s="4">
        <f>IF(OR(INDEX($AH$2:$AH$1001,MATCH(ROWS($AG$2:AG569),$AG$2:$AG$1001,0),1)&gt;=100000,INDEX($AN$1005:$BO$1005,1,MATCH(COLUMNS($AN$1006:BL1006),$AN$1006:$BO$1006,0))&gt;=100000), " ",IF(INDEX($AN$2:$BO$1001,MATCH(ROWS($AG$2:AG569),$AG$2:$AG$1001,0),MATCH(COLUMNS($AN$1006:BL1006),$AN$1006:$BO$1006,0)), HYPERLINK("#",""), HYPERLINK(CONCATENATE("#Metadata!", ADDRESS(INDEX($AI$2:$AI$1001,MATCH(ROWS($AG$2:AG569),$AG$2:$AG$1001,0),0), INDEX($AN$1004:$BO$1004,1,MATCH(COLUMNS($AN$1006:BL1006),$AN$1006:$BO$1006,0)))),"Fix")))</f>
        <v>0</v>
      </c>
      <c r="AA569" s="4">
        <f>IF(OR(INDEX($AH$2:$AH$1001,MATCH(ROWS($AG$2:AG569),$AG$2:$AG$1001,0),1)&gt;=100000,INDEX($AN$1005:$BO$1005,1,MATCH(COLUMNS($AN$1006:BM1006),$AN$1006:$BO$1006,0))&gt;=100000), " ",IF(INDEX($AN$2:$BO$1001,MATCH(ROWS($AG$2:AG569),$AG$2:$AG$1001,0),MATCH(COLUMNS($AN$1006:BM1006),$AN$1006:$BO$1006,0)), HYPERLINK("#",""), HYPERLINK(CONCATENATE("#Metadata!", ADDRESS(INDEX($AI$2:$AI$1001,MATCH(ROWS($AG$2:AG569),$AG$2:$AG$1001,0),0), INDEX($AN$1004:$BO$1004,1,MATCH(COLUMNS($AN$1006:BM1006),$AN$1006:$BO$1006,0)))),"Fix")))</f>
        <v>0</v>
      </c>
      <c r="AB569" s="4">
        <f>IF(OR(INDEX($AH$2:$AH$1001,MATCH(ROWS($AG$2:AG569),$AG$2:$AG$1001,0),1)&gt;=100000,INDEX($AN$1005:$BO$1005,1,MATCH(COLUMNS($AN$1006:BN1006),$AN$1006:$BO$1006,0))&gt;=100000), " ",IF(INDEX($AN$2:$BO$1001,MATCH(ROWS($AG$2:AG569),$AG$2:$AG$1001,0),MATCH(COLUMNS($AN$1006:BN1006),$AN$1006:$BO$1006,0)), HYPERLINK("#",""), HYPERLINK(CONCATENATE("#Metadata!", ADDRESS(INDEX($AI$2:$AI$1001,MATCH(ROWS($AG$2:AG569),$AG$2:$AG$1001,0),0), INDEX($AN$1004:$BO$1004,1,MATCH(COLUMNS($AN$1006:BN1006),$AN$1006:$BO$1006,0)))),"Fix")))</f>
        <v>0</v>
      </c>
      <c r="AC569" s="4">
        <f>IF(OR(INDEX($AH$2:$AH$1001,MATCH(ROWS($AG$2:AG569),$AG$2:$AG$1001,0),1)&gt;=100000,INDEX($AN$1005:$BO$1005,1,MATCH(COLUMNS($AN$1006:BO1006),$AN$1006:$BO$1006,0))&gt;=100000), " ",IF(INDEX($AN$2:$BO$1001,MATCH(ROWS($AG$2:AG569),$AG$2:$AG$1001,0),MATCH(COLUMNS($AN$1006:BO1006),$AN$1006:$BO$1006,0)), HYPERLINK("#",""), HYPERLINK(CONCATENATE("#Metadata!", ADDRESS(INDEX($AI$2:$AI$1001,MATCH(ROWS($AG$2:AG569),$AG$2:$AG$1001,0),0), INDEX($AN$1004:$BO$1004,1,MATCH(COLUMNS($AN$1006:BO1006),$AN$1006:$BO$1006,0)))),"Fix")))</f>
        <v>0</v>
      </c>
      <c r="AG569">
        <v>0</v>
      </c>
      <c r="AH569">
        <v>0</v>
      </c>
      <c r="AI569">
        <v>0</v>
      </c>
      <c r="AJ569">
        <f>IF(AK569,TRUE,AND(AN569:BO569))</f>
        <v>0</v>
      </c>
      <c r="AK569">
        <f>COUNTBLANK(Metadata!B569:AC569)=COLUMNS(Metadata!B569:AC569)</f>
        <v>0</v>
      </c>
      <c r="AL569">
        <v>0</v>
      </c>
      <c r="AN569">
        <f>AND(IF(Metadata!B569="",FALSE,TRUE),COUNTIF(Metadata!B:B, Metadata!B569) = 1,NOT(ISERROR(SUMPRODUCT(SEARCH(MID(Metadata!B569,ROW(INDIRECT("1:"&amp;LEN(Metadata!B569))), 1),"0123456789abcdefghijklmnopqrstuvwxyzABCDEFGHIJKLMNOPQRSTUVWXYZ.")))))</f>
        <v>0</v>
      </c>
      <c r="AO569">
        <f>IF(Metadata!C569="",FALSE,TRUE)</f>
        <v>0</v>
      </c>
      <c r="AP569">
        <f>IF(Metadata!D569="",FALSE,TRUE)</f>
        <v>0</v>
      </c>
      <c r="AQ569">
        <f>OR(AND(IF(Metadata!E569="",FALSE,TRUE),OR(exact(Metadata!E569,"not collected"),exact(Metadata!E569,"not provided"),exact(Metadata!E569,"restricted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R569">
        <f>IF(Metadata!F569="",FALSE,TRUE)</f>
        <v>0</v>
      </c>
      <c r="AS569">
        <f>OR(AND(IF(Metadata!G569="",FALSE,TRUE),OR(exact(Metadata!G569,"not collected"),exact(Metadata!G569,"not provided"))),AND(IF(Metadata!G569="",FALSE,TRUE),OR(exact(Metadata!G569,"TRUE"),exact(Metadata!G569,"FALSE"))))</f>
        <v>0</v>
      </c>
      <c r="AT569">
        <f>OR(AND(IF(Metadata!H569="",FALSE,TRUE),OR(exact(Metadata!H569,"not collected"),exact(Metadata!H569,"not provided"),exact(Metadata!H569,"restricted access"))),AND(IF(Metadata!H569="",FALSE,ISNUMBER(VALUE(Metadata!H569))),Metadata!H569&gt;=-413.0))</f>
        <v>0</v>
      </c>
      <c r="AU569">
        <f>AND(IF(Metadata!I569="",FALSE,TRUE),exact(Metadata!I569,"meters"))</f>
        <v>0</v>
      </c>
      <c r="AV569">
        <f>AND(IF(Metadata!J569="",FALSE,TRUE),OR(exact(Metadata!J569,"Host-associated"),exact(Metadata!J569,"Free-living")))</f>
        <v>0</v>
      </c>
      <c r="AW569">
        <f>AND(IF(Metadata!K569="",FALSE,TRUE),OR(exact(Metadata!K569,"Animal"),exact(Metadata!K569,"Fungus"),exact(Metadata!K569,"Plant"),exact(Metadata!K569,"Saline"),exact(Metadata!K569,"Non-saline")))</f>
        <v>0</v>
      </c>
      <c r="AX569">
        <f>AND(IF(Metadata!L569="",FALSE,TRUE),OR(exact(Metadata!L569,"Plant secretion"),exact(Metadata!L569,"Plant rhizosphere"),exact(Metadata!L569,"Plant surface"),exact(Metadata!L569,"Plant corpus"),exact(Metadata!L569,"Fungus surface"),exact(Metadata!L569,"Fungus corpus"),exact(Metadata!L569,"Animal surface"),exact(Metadata!L569,"Animal proximal gut"),exact(Metadata!L569,"Animal corpus"),exact(Metadata!L569,"Animal distal gut"),exact(Metadata!L569,"Animal secretion"),exact(Metadata!L569,"Sub-surface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Y569">
        <f>IF(Metadata!M569="",FALSE,TRUE)</f>
        <v>0</v>
      </c>
      <c r="AZ569">
        <f>IF(Metadata!N569="",FALSE,TRUE)</f>
        <v>0</v>
      </c>
      <c r="BA569">
        <f>IF(Metadata!O569="",FALSE,TRUE)</f>
        <v>0</v>
      </c>
      <c r="BB569">
        <f>OR(AND(IF(Metadata!P569="",FALSE,TRUE),OR(exact(Metadata!P569,"not collected"),exact(Metadata!P569,"not provided"),exact(Metadata!P569,"restricted access"))),AND(IF(Metadata!P569="",FALSE,TRUE),OR(exact(Metadata!P569,"air"),exact(Metadata!P569,"built environment"),exact(Metadata!P569,"host-associated"),exact(Metadata!P569,"human-associated"),exact(Metadata!P569,"human-skin"),exact(Metadata!P569,"human-oral"),exact(Metadata!P569,"human-gut"),exact(Metadata!P569,"human-vaginal"),exact(Metadata!P569,"microbial mat/biofilm"),exact(Metadata!P569,"misc environment"),exact(Metadata!P569,"plant-associated"),exact(Metadata!P569,"sediment"),exact(Metadata!P569,"soil"),exact(Metadata!P569,"wastewater/sludge"),exact(Metadata!P569,"water"))))</f>
        <v>0</v>
      </c>
      <c r="BC569">
        <f>IF(Metadata!Q569="",FALSE,TRUE)</f>
        <v>0</v>
      </c>
      <c r="BD569">
        <f>IF(Metadata!R569="",FALSE,TRUE)</f>
        <v>0</v>
      </c>
      <c r="BE569">
        <f>OR(AND(IF(Metadata!S569="",FALSE,TRUE),OR(exact(Metadata!S569,"not collected"),exact(Metadata!S569,"not provided"),exact(Metadata!S569,"restricted access"))),AND(IF(Metadata!S569="",FALSE,ISNUMBER(VALUE(Metadata!S569))),Metadata!S569&gt;=-90.00,Metadata!S569&lt;=90.00))</f>
        <v>0</v>
      </c>
      <c r="BF569">
        <f>AND(IF(Metadata!T569="",FALSE,TRUE),exact(Metadata!T569,"Decimal degrees"))</f>
        <v>0</v>
      </c>
      <c r="BG569">
        <f>OR(AND(IF(Metadata!U569="",FALSE,TRUE),OR(exact(Metadata!U569,"not collected"),exact(Metadata!U569,"not provided"),exact(Metadata!U569,"restricted access"))),AND(IF(Metadata!U569="",FALSE,ISNUMBER(VALUE(Metadata!U569))),Metadata!U569&gt;=-180.00,Metadata!U569&lt;=180.00))</f>
        <v>0</v>
      </c>
      <c r="BH569">
        <f>AND(IF(Metadata!V569="",FALSE,TRUE),exact(Metadata!V569,"Decimal degrees"))</f>
        <v>0</v>
      </c>
      <c r="BI569">
        <f>IF(Metadata!W569="",FALSE,TRUE)</f>
        <v>0</v>
      </c>
      <c r="BJ569">
        <f>OR(AND(IF(Metadata!X569="",FALSE,TRUE),OR(exact(Metadata!X569,"not collected"),exact(Metadata!X569,"not provided"),exact(Metadata!X569,"restricted access"))),AND(IF(Metadata!X569="",FALSE,TRUE),OR(exact(Metadata!X569,"TRUE"),exact(Metadata!X569,"FALSE"))))</f>
        <v>0</v>
      </c>
      <c r="BK569">
        <f>AND(IF(Metadata!Y569="",FALSE,TRUE),exact(Metadata!Y569,"other"))</f>
        <v>0</v>
      </c>
      <c r="BL569">
        <f>IF(Metadata!Z569="",FALSE,TRUE)</f>
        <v>0</v>
      </c>
      <c r="BM569">
        <f>OR(AND(IF(Metadata!AA569="",FALSE,TRUE),OR(exact(Metadata!AA569,"not collected"),exact(Metadata!AA569,"not provided"))),AND(IF(Metadata!AA569="",FALSE,IF(ISERROR(INT(Metadata!AA569)),FALSE,INT(Metadata!AA569)=Metadata!AA569)),Metadata!AA569&gt;0))</f>
        <v>0</v>
      </c>
      <c r="BN569">
        <f>AND(IF(Metadata!AB569="",FALSE,TRUE),exact(Metadata!AB569,"Not applicable"))</f>
        <v>0</v>
      </c>
      <c r="BO569">
        <f>IF(Metadata!AC569="",FALSE,TRUE)</f>
        <v>0</v>
      </c>
    </row>
    <row r="570" spans="1:67">
      <c r="A570" s="5">
        <f>IF(B570=" "," ",HYPERLINK(CONCATENATE("#metadata!",ADDRESS(INDEX($AI$2:$AI$1001,MATCH(ROWS($AG$2:AG570),$AG$2:$AG$1001,0),0),1)),INDEX($AL$2:$AL$1001,MATCH(ROWS($AG$2:AG570),$AG$2:$AG$1001,0),0)))</f>
        <v>0</v>
      </c>
      <c r="B570" s="4">
        <f>IF(OR(INDEX($AH$2:$AH$1001,MATCH(ROWS($AG$2:AG570),$AG$2:$AG$1001,0),1)&gt;=100000,INDEX($AN$1005:$BO$1005,1,MATCH(COLUMNS($AN$1006:AN1006),$AN$1006:$BO$1006,0))&gt;=100000), " ",IF(INDEX($AN$2:$BO$1001,MATCH(ROWS($AG$2:AG570),$AG$2:$AG$1001,0),MATCH(COLUMNS($AN$1006:AN1006),$AN$1006:$BO$1006,0)), HYPERLINK("#",""), HYPERLINK(CONCATENATE("#Metadata!", ADDRESS(INDEX($AI$2:$AI$1001,MATCH(ROWS($AG$2:AG570),$AG$2:$AG$1001,0),0), INDEX($AN$1004:$BO$1004,1,MATCH(COLUMNS($AN$1006:AN1006),$AN$1006:$BO$1006,0)))),"Fix")))</f>
        <v>0</v>
      </c>
      <c r="C570" s="4">
        <f>IF(OR(INDEX($AH$2:$AH$1001,MATCH(ROWS($AG$2:AG570),$AG$2:$AG$1001,0),1)&gt;=100000,INDEX($AN$1005:$BO$1005,1,MATCH(COLUMNS($AN$1006:AO1006),$AN$1006:$BO$1006,0))&gt;=100000), " ",IF(INDEX($AN$2:$BO$1001,MATCH(ROWS($AG$2:AG570),$AG$2:$AG$1001,0),MATCH(COLUMNS($AN$1006:AO1006),$AN$1006:$BO$1006,0)), HYPERLINK("#",""), HYPERLINK(CONCATENATE("#Metadata!", ADDRESS(INDEX($AI$2:$AI$1001,MATCH(ROWS($AG$2:AG570),$AG$2:$AG$1001,0),0), INDEX($AN$1004:$BO$1004,1,MATCH(COLUMNS($AN$1006:AO1006),$AN$1006:$BO$1006,0)))),"Fix")))</f>
        <v>0</v>
      </c>
      <c r="D570" s="4">
        <f>IF(OR(INDEX($AH$2:$AH$1001,MATCH(ROWS($AG$2:AG570),$AG$2:$AG$1001,0),1)&gt;=100000,INDEX($AN$1005:$BO$1005,1,MATCH(COLUMNS($AN$1006:AP1006),$AN$1006:$BO$1006,0))&gt;=100000), " ",IF(INDEX($AN$2:$BO$1001,MATCH(ROWS($AG$2:AG570),$AG$2:$AG$1001,0),MATCH(COLUMNS($AN$1006:AP1006),$AN$1006:$BO$1006,0)), HYPERLINK("#",""), HYPERLINK(CONCATENATE("#Metadata!", ADDRESS(INDEX($AI$2:$AI$1001,MATCH(ROWS($AG$2:AG570),$AG$2:$AG$1001,0),0), INDEX($AN$1004:$BO$1004,1,MATCH(COLUMNS($AN$1006:AP1006),$AN$1006:$BO$1006,0)))),"Fix")))</f>
        <v>0</v>
      </c>
      <c r="E570" s="4">
        <f>IF(OR(INDEX($AH$2:$AH$1001,MATCH(ROWS($AG$2:AG570),$AG$2:$AG$1001,0),1)&gt;=100000,INDEX($AN$1005:$BO$1005,1,MATCH(COLUMNS($AN$1006:AQ1006),$AN$1006:$BO$1006,0))&gt;=100000), " ",IF(INDEX($AN$2:$BO$1001,MATCH(ROWS($AG$2:AG570),$AG$2:$AG$1001,0),MATCH(COLUMNS($AN$1006:AQ1006),$AN$1006:$BO$1006,0)), HYPERLINK("#",""), HYPERLINK(CONCATENATE("#Metadata!", ADDRESS(INDEX($AI$2:$AI$1001,MATCH(ROWS($AG$2:AG570),$AG$2:$AG$1001,0),0), INDEX($AN$1004:$BO$1004,1,MATCH(COLUMNS($AN$1006:AQ1006),$AN$1006:$BO$1006,0)))),"Fix")))</f>
        <v>0</v>
      </c>
      <c r="F570" s="4">
        <f>IF(OR(INDEX($AH$2:$AH$1001,MATCH(ROWS($AG$2:AG570),$AG$2:$AG$1001,0),1)&gt;=100000,INDEX($AN$1005:$BO$1005,1,MATCH(COLUMNS($AN$1006:AR1006),$AN$1006:$BO$1006,0))&gt;=100000), " ",IF(INDEX($AN$2:$BO$1001,MATCH(ROWS($AG$2:AG570),$AG$2:$AG$1001,0),MATCH(COLUMNS($AN$1006:AR1006),$AN$1006:$BO$1006,0)), HYPERLINK("#",""), HYPERLINK(CONCATENATE("#Metadata!", ADDRESS(INDEX($AI$2:$AI$1001,MATCH(ROWS($AG$2:AG570),$AG$2:$AG$1001,0),0), INDEX($AN$1004:$BO$1004,1,MATCH(COLUMNS($AN$1006:AR1006),$AN$1006:$BO$1006,0)))),"Fix")))</f>
        <v>0</v>
      </c>
      <c r="G570" s="4">
        <f>IF(OR(INDEX($AH$2:$AH$1001,MATCH(ROWS($AG$2:AG570),$AG$2:$AG$1001,0),1)&gt;=100000,INDEX($AN$1005:$BO$1005,1,MATCH(COLUMNS($AN$1006:AS1006),$AN$1006:$BO$1006,0))&gt;=100000), " ",IF(INDEX($AN$2:$BO$1001,MATCH(ROWS($AG$2:AG570),$AG$2:$AG$1001,0),MATCH(COLUMNS($AN$1006:AS1006),$AN$1006:$BO$1006,0)), HYPERLINK("#",""), HYPERLINK(CONCATENATE("#Metadata!", ADDRESS(INDEX($AI$2:$AI$1001,MATCH(ROWS($AG$2:AG570),$AG$2:$AG$1001,0),0), INDEX($AN$1004:$BO$1004,1,MATCH(COLUMNS($AN$1006:AS1006),$AN$1006:$BO$1006,0)))),"Fix")))</f>
        <v>0</v>
      </c>
      <c r="H570" s="4">
        <f>IF(OR(INDEX($AH$2:$AH$1001,MATCH(ROWS($AG$2:AG570),$AG$2:$AG$1001,0),1)&gt;=100000,INDEX($AN$1005:$BO$1005,1,MATCH(COLUMNS($AN$1006:AT1006),$AN$1006:$BO$1006,0))&gt;=100000), " ",IF(INDEX($AN$2:$BO$1001,MATCH(ROWS($AG$2:AG570),$AG$2:$AG$1001,0),MATCH(COLUMNS($AN$1006:AT1006),$AN$1006:$BO$1006,0)), HYPERLINK("#",""), HYPERLINK(CONCATENATE("#Metadata!", ADDRESS(INDEX($AI$2:$AI$1001,MATCH(ROWS($AG$2:AG570),$AG$2:$AG$1001,0),0), INDEX($AN$1004:$BO$1004,1,MATCH(COLUMNS($AN$1006:AT1006),$AN$1006:$BO$1006,0)))),"Fix")))</f>
        <v>0</v>
      </c>
      <c r="I570" s="4">
        <f>IF(OR(INDEX($AH$2:$AH$1001,MATCH(ROWS($AG$2:AG570),$AG$2:$AG$1001,0),1)&gt;=100000,INDEX($AN$1005:$BO$1005,1,MATCH(COLUMNS($AN$1006:AU1006),$AN$1006:$BO$1006,0))&gt;=100000), " ",IF(INDEX($AN$2:$BO$1001,MATCH(ROWS($AG$2:AG570),$AG$2:$AG$1001,0),MATCH(COLUMNS($AN$1006:AU1006),$AN$1006:$BO$1006,0)), HYPERLINK("#",""), HYPERLINK(CONCATENATE("#Metadata!", ADDRESS(INDEX($AI$2:$AI$1001,MATCH(ROWS($AG$2:AG570),$AG$2:$AG$1001,0),0), INDEX($AN$1004:$BO$1004,1,MATCH(COLUMNS($AN$1006:AU1006),$AN$1006:$BO$1006,0)))),"Fix")))</f>
        <v>0</v>
      </c>
      <c r="J570" s="4">
        <f>IF(OR(INDEX($AH$2:$AH$1001,MATCH(ROWS($AG$2:AG570),$AG$2:$AG$1001,0),1)&gt;=100000,INDEX($AN$1005:$BO$1005,1,MATCH(COLUMNS($AN$1006:AV1006),$AN$1006:$BO$1006,0))&gt;=100000), " ",IF(INDEX($AN$2:$BO$1001,MATCH(ROWS($AG$2:AG570),$AG$2:$AG$1001,0),MATCH(COLUMNS($AN$1006:AV1006),$AN$1006:$BO$1006,0)), HYPERLINK("#",""), HYPERLINK(CONCATENATE("#Metadata!", ADDRESS(INDEX($AI$2:$AI$1001,MATCH(ROWS($AG$2:AG570),$AG$2:$AG$1001,0),0), INDEX($AN$1004:$BO$1004,1,MATCH(COLUMNS($AN$1006:AV1006),$AN$1006:$BO$1006,0)))),"Fix")))</f>
        <v>0</v>
      </c>
      <c r="K570" s="4">
        <f>IF(OR(INDEX($AH$2:$AH$1001,MATCH(ROWS($AG$2:AG570),$AG$2:$AG$1001,0),1)&gt;=100000,INDEX($AN$1005:$BO$1005,1,MATCH(COLUMNS($AN$1006:AW1006),$AN$1006:$BO$1006,0))&gt;=100000), " ",IF(INDEX($AN$2:$BO$1001,MATCH(ROWS($AG$2:AG570),$AG$2:$AG$1001,0),MATCH(COLUMNS($AN$1006:AW1006),$AN$1006:$BO$1006,0)), HYPERLINK("#",""), HYPERLINK(CONCATENATE("#Metadata!", ADDRESS(INDEX($AI$2:$AI$1001,MATCH(ROWS($AG$2:AG570),$AG$2:$AG$1001,0),0), INDEX($AN$1004:$BO$1004,1,MATCH(COLUMNS($AN$1006:AW1006),$AN$1006:$BO$1006,0)))),"Fix")))</f>
        <v>0</v>
      </c>
      <c r="L570" s="4">
        <f>IF(OR(INDEX($AH$2:$AH$1001,MATCH(ROWS($AG$2:AG570),$AG$2:$AG$1001,0),1)&gt;=100000,INDEX($AN$1005:$BO$1005,1,MATCH(COLUMNS($AN$1006:AX1006),$AN$1006:$BO$1006,0))&gt;=100000), " ",IF(INDEX($AN$2:$BO$1001,MATCH(ROWS($AG$2:AG570),$AG$2:$AG$1001,0),MATCH(COLUMNS($AN$1006:AX1006),$AN$1006:$BO$1006,0)), HYPERLINK("#",""), HYPERLINK(CONCATENATE("#Metadata!", ADDRESS(INDEX($AI$2:$AI$1001,MATCH(ROWS($AG$2:AG570),$AG$2:$AG$1001,0),0), INDEX($AN$1004:$BO$1004,1,MATCH(COLUMNS($AN$1006:AX1006),$AN$1006:$BO$1006,0)))),"Fix")))</f>
        <v>0</v>
      </c>
      <c r="M570" s="4">
        <f>IF(OR(INDEX($AH$2:$AH$1001,MATCH(ROWS($AG$2:AG570),$AG$2:$AG$1001,0),1)&gt;=100000,INDEX($AN$1005:$BO$1005,1,MATCH(COLUMNS($AN$1006:AY1006),$AN$1006:$BO$1006,0))&gt;=100000), " ",IF(INDEX($AN$2:$BO$1001,MATCH(ROWS($AG$2:AG570),$AG$2:$AG$1001,0),MATCH(COLUMNS($AN$1006:AY1006),$AN$1006:$BO$1006,0)), HYPERLINK("#",""), HYPERLINK(CONCATENATE("#Metadata!", ADDRESS(INDEX($AI$2:$AI$1001,MATCH(ROWS($AG$2:AG570),$AG$2:$AG$1001,0),0), INDEX($AN$1004:$BO$1004,1,MATCH(COLUMNS($AN$1006:AY1006),$AN$1006:$BO$1006,0)))),"Fix")))</f>
        <v>0</v>
      </c>
      <c r="N570" s="4">
        <f>IF(OR(INDEX($AH$2:$AH$1001,MATCH(ROWS($AG$2:AG570),$AG$2:$AG$1001,0),1)&gt;=100000,INDEX($AN$1005:$BO$1005,1,MATCH(COLUMNS($AN$1006:AZ1006),$AN$1006:$BO$1006,0))&gt;=100000), " ",IF(INDEX($AN$2:$BO$1001,MATCH(ROWS($AG$2:AG570),$AG$2:$AG$1001,0),MATCH(COLUMNS($AN$1006:AZ1006),$AN$1006:$BO$1006,0)), HYPERLINK("#",""), HYPERLINK(CONCATENATE("#Metadata!", ADDRESS(INDEX($AI$2:$AI$1001,MATCH(ROWS($AG$2:AG570),$AG$2:$AG$1001,0),0), INDEX($AN$1004:$BO$1004,1,MATCH(COLUMNS($AN$1006:AZ1006),$AN$1006:$BO$1006,0)))),"Fix")))</f>
        <v>0</v>
      </c>
      <c r="O570" s="4">
        <f>IF(OR(INDEX($AH$2:$AH$1001,MATCH(ROWS($AG$2:AG570),$AG$2:$AG$1001,0),1)&gt;=100000,INDEX($AN$1005:$BO$1005,1,MATCH(COLUMNS($AN$1006:BA1006),$AN$1006:$BO$1006,0))&gt;=100000), " ",IF(INDEX($AN$2:$BO$1001,MATCH(ROWS($AG$2:AG570),$AG$2:$AG$1001,0),MATCH(COLUMNS($AN$1006:BA1006),$AN$1006:$BO$1006,0)), HYPERLINK("#",""), HYPERLINK(CONCATENATE("#Metadata!", ADDRESS(INDEX($AI$2:$AI$1001,MATCH(ROWS($AG$2:AG570),$AG$2:$AG$1001,0),0), INDEX($AN$1004:$BO$1004,1,MATCH(COLUMNS($AN$1006:BA1006),$AN$1006:$BO$1006,0)))),"Fix")))</f>
        <v>0</v>
      </c>
      <c r="P570" s="4">
        <f>IF(OR(INDEX($AH$2:$AH$1001,MATCH(ROWS($AG$2:AG570),$AG$2:$AG$1001,0),1)&gt;=100000,INDEX($AN$1005:$BO$1005,1,MATCH(COLUMNS($AN$1006:BB1006),$AN$1006:$BO$1006,0))&gt;=100000), " ",IF(INDEX($AN$2:$BO$1001,MATCH(ROWS($AG$2:AG570),$AG$2:$AG$1001,0),MATCH(COLUMNS($AN$1006:BB1006),$AN$1006:$BO$1006,0)), HYPERLINK("#",""), HYPERLINK(CONCATENATE("#Metadata!", ADDRESS(INDEX($AI$2:$AI$1001,MATCH(ROWS($AG$2:AG570),$AG$2:$AG$1001,0),0), INDEX($AN$1004:$BO$1004,1,MATCH(COLUMNS($AN$1006:BB1006),$AN$1006:$BO$1006,0)))),"Fix")))</f>
        <v>0</v>
      </c>
      <c r="Q570" s="4">
        <f>IF(OR(INDEX($AH$2:$AH$1001,MATCH(ROWS($AG$2:AG570),$AG$2:$AG$1001,0),1)&gt;=100000,INDEX($AN$1005:$BO$1005,1,MATCH(COLUMNS($AN$1006:BC1006),$AN$1006:$BO$1006,0))&gt;=100000), " ",IF(INDEX($AN$2:$BO$1001,MATCH(ROWS($AG$2:AG570),$AG$2:$AG$1001,0),MATCH(COLUMNS($AN$1006:BC1006),$AN$1006:$BO$1006,0)), HYPERLINK("#",""), HYPERLINK(CONCATENATE("#Metadata!", ADDRESS(INDEX($AI$2:$AI$1001,MATCH(ROWS($AG$2:AG570),$AG$2:$AG$1001,0),0), INDEX($AN$1004:$BO$1004,1,MATCH(COLUMNS($AN$1006:BC1006),$AN$1006:$BO$1006,0)))),"Fix")))</f>
        <v>0</v>
      </c>
      <c r="R570" s="4">
        <f>IF(OR(INDEX($AH$2:$AH$1001,MATCH(ROWS($AG$2:AG570),$AG$2:$AG$1001,0),1)&gt;=100000,INDEX($AN$1005:$BO$1005,1,MATCH(COLUMNS($AN$1006:BD1006),$AN$1006:$BO$1006,0))&gt;=100000), " ",IF(INDEX($AN$2:$BO$1001,MATCH(ROWS($AG$2:AG570),$AG$2:$AG$1001,0),MATCH(COLUMNS($AN$1006:BD1006),$AN$1006:$BO$1006,0)), HYPERLINK("#",""), HYPERLINK(CONCATENATE("#Metadata!", ADDRESS(INDEX($AI$2:$AI$1001,MATCH(ROWS($AG$2:AG570),$AG$2:$AG$1001,0),0), INDEX($AN$1004:$BO$1004,1,MATCH(COLUMNS($AN$1006:BD1006),$AN$1006:$BO$1006,0)))),"Fix")))</f>
        <v>0</v>
      </c>
      <c r="S570" s="4">
        <f>IF(OR(INDEX($AH$2:$AH$1001,MATCH(ROWS($AG$2:AG570),$AG$2:$AG$1001,0),1)&gt;=100000,INDEX($AN$1005:$BO$1005,1,MATCH(COLUMNS($AN$1006:BE1006),$AN$1006:$BO$1006,0))&gt;=100000), " ",IF(INDEX($AN$2:$BO$1001,MATCH(ROWS($AG$2:AG570),$AG$2:$AG$1001,0),MATCH(COLUMNS($AN$1006:BE1006),$AN$1006:$BO$1006,0)), HYPERLINK("#",""), HYPERLINK(CONCATENATE("#Metadata!", ADDRESS(INDEX($AI$2:$AI$1001,MATCH(ROWS($AG$2:AG570),$AG$2:$AG$1001,0),0), INDEX($AN$1004:$BO$1004,1,MATCH(COLUMNS($AN$1006:BE1006),$AN$1006:$BO$1006,0)))),"Fix")))</f>
        <v>0</v>
      </c>
      <c r="T570" s="4">
        <f>IF(OR(INDEX($AH$2:$AH$1001,MATCH(ROWS($AG$2:AG570),$AG$2:$AG$1001,0),1)&gt;=100000,INDEX($AN$1005:$BO$1005,1,MATCH(COLUMNS($AN$1006:BF1006),$AN$1006:$BO$1006,0))&gt;=100000), " ",IF(INDEX($AN$2:$BO$1001,MATCH(ROWS($AG$2:AG570),$AG$2:$AG$1001,0),MATCH(COLUMNS($AN$1006:BF1006),$AN$1006:$BO$1006,0)), HYPERLINK("#",""), HYPERLINK(CONCATENATE("#Metadata!", ADDRESS(INDEX($AI$2:$AI$1001,MATCH(ROWS($AG$2:AG570),$AG$2:$AG$1001,0),0), INDEX($AN$1004:$BO$1004,1,MATCH(COLUMNS($AN$1006:BF1006),$AN$1006:$BO$1006,0)))),"Fix")))</f>
        <v>0</v>
      </c>
      <c r="U570" s="4">
        <f>IF(OR(INDEX($AH$2:$AH$1001,MATCH(ROWS($AG$2:AG570),$AG$2:$AG$1001,0),1)&gt;=100000,INDEX($AN$1005:$BO$1005,1,MATCH(COLUMNS($AN$1006:BG1006),$AN$1006:$BO$1006,0))&gt;=100000), " ",IF(INDEX($AN$2:$BO$1001,MATCH(ROWS($AG$2:AG570),$AG$2:$AG$1001,0),MATCH(COLUMNS($AN$1006:BG1006),$AN$1006:$BO$1006,0)), HYPERLINK("#",""), HYPERLINK(CONCATENATE("#Metadata!", ADDRESS(INDEX($AI$2:$AI$1001,MATCH(ROWS($AG$2:AG570),$AG$2:$AG$1001,0),0), INDEX($AN$1004:$BO$1004,1,MATCH(COLUMNS($AN$1006:BG1006),$AN$1006:$BO$1006,0)))),"Fix")))</f>
        <v>0</v>
      </c>
      <c r="V570" s="4">
        <f>IF(OR(INDEX($AH$2:$AH$1001,MATCH(ROWS($AG$2:AG570),$AG$2:$AG$1001,0),1)&gt;=100000,INDEX($AN$1005:$BO$1005,1,MATCH(COLUMNS($AN$1006:BH1006),$AN$1006:$BO$1006,0))&gt;=100000), " ",IF(INDEX($AN$2:$BO$1001,MATCH(ROWS($AG$2:AG570),$AG$2:$AG$1001,0),MATCH(COLUMNS($AN$1006:BH1006),$AN$1006:$BO$1006,0)), HYPERLINK("#",""), HYPERLINK(CONCATENATE("#Metadata!", ADDRESS(INDEX($AI$2:$AI$1001,MATCH(ROWS($AG$2:AG570),$AG$2:$AG$1001,0),0), INDEX($AN$1004:$BO$1004,1,MATCH(COLUMNS($AN$1006:BH1006),$AN$1006:$BO$1006,0)))),"Fix")))</f>
        <v>0</v>
      </c>
      <c r="W570" s="4">
        <f>IF(OR(INDEX($AH$2:$AH$1001,MATCH(ROWS($AG$2:AG570),$AG$2:$AG$1001,0),1)&gt;=100000,INDEX($AN$1005:$BO$1005,1,MATCH(COLUMNS($AN$1006:BI1006),$AN$1006:$BO$1006,0))&gt;=100000), " ",IF(INDEX($AN$2:$BO$1001,MATCH(ROWS($AG$2:AG570),$AG$2:$AG$1001,0),MATCH(COLUMNS($AN$1006:BI1006),$AN$1006:$BO$1006,0)), HYPERLINK("#",""), HYPERLINK(CONCATENATE("#Metadata!", ADDRESS(INDEX($AI$2:$AI$1001,MATCH(ROWS($AG$2:AG570),$AG$2:$AG$1001,0),0), INDEX($AN$1004:$BO$1004,1,MATCH(COLUMNS($AN$1006:BI1006),$AN$1006:$BO$1006,0)))),"Fix")))</f>
        <v>0</v>
      </c>
      <c r="X570" s="4">
        <f>IF(OR(INDEX($AH$2:$AH$1001,MATCH(ROWS($AG$2:AG570),$AG$2:$AG$1001,0),1)&gt;=100000,INDEX($AN$1005:$BO$1005,1,MATCH(COLUMNS($AN$1006:BJ1006),$AN$1006:$BO$1006,0))&gt;=100000), " ",IF(INDEX($AN$2:$BO$1001,MATCH(ROWS($AG$2:AG570),$AG$2:$AG$1001,0),MATCH(COLUMNS($AN$1006:BJ1006),$AN$1006:$BO$1006,0)), HYPERLINK("#",""), HYPERLINK(CONCATENATE("#Metadata!", ADDRESS(INDEX($AI$2:$AI$1001,MATCH(ROWS($AG$2:AG570),$AG$2:$AG$1001,0),0), INDEX($AN$1004:$BO$1004,1,MATCH(COLUMNS($AN$1006:BJ1006),$AN$1006:$BO$1006,0)))),"Fix")))</f>
        <v>0</v>
      </c>
      <c r="Y570" s="4">
        <f>IF(OR(INDEX($AH$2:$AH$1001,MATCH(ROWS($AG$2:AG570),$AG$2:$AG$1001,0),1)&gt;=100000,INDEX($AN$1005:$BO$1005,1,MATCH(COLUMNS($AN$1006:BK1006),$AN$1006:$BO$1006,0))&gt;=100000), " ",IF(INDEX($AN$2:$BO$1001,MATCH(ROWS($AG$2:AG570),$AG$2:$AG$1001,0),MATCH(COLUMNS($AN$1006:BK1006),$AN$1006:$BO$1006,0)), HYPERLINK("#",""), HYPERLINK(CONCATENATE("#Metadata!", ADDRESS(INDEX($AI$2:$AI$1001,MATCH(ROWS($AG$2:AG570),$AG$2:$AG$1001,0),0), INDEX($AN$1004:$BO$1004,1,MATCH(COLUMNS($AN$1006:BK1006),$AN$1006:$BO$1006,0)))),"Fix")))</f>
        <v>0</v>
      </c>
      <c r="Z570" s="4">
        <f>IF(OR(INDEX($AH$2:$AH$1001,MATCH(ROWS($AG$2:AG570),$AG$2:$AG$1001,0),1)&gt;=100000,INDEX($AN$1005:$BO$1005,1,MATCH(COLUMNS($AN$1006:BL1006),$AN$1006:$BO$1006,0))&gt;=100000), " ",IF(INDEX($AN$2:$BO$1001,MATCH(ROWS($AG$2:AG570),$AG$2:$AG$1001,0),MATCH(COLUMNS($AN$1006:BL1006),$AN$1006:$BO$1006,0)), HYPERLINK("#",""), HYPERLINK(CONCATENATE("#Metadata!", ADDRESS(INDEX($AI$2:$AI$1001,MATCH(ROWS($AG$2:AG570),$AG$2:$AG$1001,0),0), INDEX($AN$1004:$BO$1004,1,MATCH(COLUMNS($AN$1006:BL1006),$AN$1006:$BO$1006,0)))),"Fix")))</f>
        <v>0</v>
      </c>
      <c r="AA570" s="4">
        <f>IF(OR(INDEX($AH$2:$AH$1001,MATCH(ROWS($AG$2:AG570),$AG$2:$AG$1001,0),1)&gt;=100000,INDEX($AN$1005:$BO$1005,1,MATCH(COLUMNS($AN$1006:BM1006),$AN$1006:$BO$1006,0))&gt;=100000), " ",IF(INDEX($AN$2:$BO$1001,MATCH(ROWS($AG$2:AG570),$AG$2:$AG$1001,0),MATCH(COLUMNS($AN$1006:BM1006),$AN$1006:$BO$1006,0)), HYPERLINK("#",""), HYPERLINK(CONCATENATE("#Metadata!", ADDRESS(INDEX($AI$2:$AI$1001,MATCH(ROWS($AG$2:AG570),$AG$2:$AG$1001,0),0), INDEX($AN$1004:$BO$1004,1,MATCH(COLUMNS($AN$1006:BM1006),$AN$1006:$BO$1006,0)))),"Fix")))</f>
        <v>0</v>
      </c>
      <c r="AB570" s="4">
        <f>IF(OR(INDEX($AH$2:$AH$1001,MATCH(ROWS($AG$2:AG570),$AG$2:$AG$1001,0),1)&gt;=100000,INDEX($AN$1005:$BO$1005,1,MATCH(COLUMNS($AN$1006:BN1006),$AN$1006:$BO$1006,0))&gt;=100000), " ",IF(INDEX($AN$2:$BO$1001,MATCH(ROWS($AG$2:AG570),$AG$2:$AG$1001,0),MATCH(COLUMNS($AN$1006:BN1006),$AN$1006:$BO$1006,0)), HYPERLINK("#",""), HYPERLINK(CONCATENATE("#Metadata!", ADDRESS(INDEX($AI$2:$AI$1001,MATCH(ROWS($AG$2:AG570),$AG$2:$AG$1001,0),0), INDEX($AN$1004:$BO$1004,1,MATCH(COLUMNS($AN$1006:BN1006),$AN$1006:$BO$1006,0)))),"Fix")))</f>
        <v>0</v>
      </c>
      <c r="AC570" s="4">
        <f>IF(OR(INDEX($AH$2:$AH$1001,MATCH(ROWS($AG$2:AG570),$AG$2:$AG$1001,0),1)&gt;=100000,INDEX($AN$1005:$BO$1005,1,MATCH(COLUMNS($AN$1006:BO1006),$AN$1006:$BO$1006,0))&gt;=100000), " ",IF(INDEX($AN$2:$BO$1001,MATCH(ROWS($AG$2:AG570),$AG$2:$AG$1001,0),MATCH(COLUMNS($AN$1006:BO1006),$AN$1006:$BO$1006,0)), HYPERLINK("#",""), HYPERLINK(CONCATENATE("#Metadata!", ADDRESS(INDEX($AI$2:$AI$1001,MATCH(ROWS($AG$2:AG570),$AG$2:$AG$1001,0),0), INDEX($AN$1004:$BO$1004,1,MATCH(COLUMNS($AN$1006:BO1006),$AN$1006:$BO$1006,0)))),"Fix")))</f>
        <v>0</v>
      </c>
      <c r="AG570">
        <v>0</v>
      </c>
      <c r="AH570">
        <v>0</v>
      </c>
      <c r="AI570">
        <v>0</v>
      </c>
      <c r="AJ570">
        <f>IF(AK570,TRUE,AND(AN570:BO570))</f>
        <v>0</v>
      </c>
      <c r="AK570">
        <f>COUNTBLANK(Metadata!B570:AC570)=COLUMNS(Metadata!B570:AC570)</f>
        <v>0</v>
      </c>
      <c r="AL570">
        <v>0</v>
      </c>
      <c r="AN570">
        <f>AND(IF(Metadata!B570="",FALSE,TRUE),COUNTIF(Metadata!B:B, Metadata!B570) = 1,NOT(ISERROR(SUMPRODUCT(SEARCH(MID(Metadata!B570,ROW(INDIRECT("1:"&amp;LEN(Metadata!B570))), 1),"0123456789abcdefghijklmnopqrstuvwxyzABCDEFGHIJKLMNOPQRSTUVWXYZ.")))))</f>
        <v>0</v>
      </c>
      <c r="AO570">
        <f>IF(Metadata!C570="",FALSE,TRUE)</f>
        <v>0</v>
      </c>
      <c r="AP570">
        <f>IF(Metadata!D570="",FALSE,TRUE)</f>
        <v>0</v>
      </c>
      <c r="AQ570">
        <f>OR(AND(IF(Metadata!E570="",FALSE,TRUE),OR(exact(Metadata!E570,"not collected"),exact(Metadata!E570,"not provided"),exact(Metadata!E570,"restricted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R570">
        <f>IF(Metadata!F570="",FALSE,TRUE)</f>
        <v>0</v>
      </c>
      <c r="AS570">
        <f>OR(AND(IF(Metadata!G570="",FALSE,TRUE),OR(exact(Metadata!G570,"not collected"),exact(Metadata!G570,"not provided"))),AND(IF(Metadata!G570="",FALSE,TRUE),OR(exact(Metadata!G570,"TRUE"),exact(Metadata!G570,"FALSE"))))</f>
        <v>0</v>
      </c>
      <c r="AT570">
        <f>OR(AND(IF(Metadata!H570="",FALSE,TRUE),OR(exact(Metadata!H570,"not collected"),exact(Metadata!H570,"not provided"),exact(Metadata!H570,"restricted access"))),AND(IF(Metadata!H570="",FALSE,ISNUMBER(VALUE(Metadata!H570))),Metadata!H570&gt;=-413.0))</f>
        <v>0</v>
      </c>
      <c r="AU570">
        <f>AND(IF(Metadata!I570="",FALSE,TRUE),exact(Metadata!I570,"meters"))</f>
        <v>0</v>
      </c>
      <c r="AV570">
        <f>AND(IF(Metadata!J570="",FALSE,TRUE),OR(exact(Metadata!J570,"Host-associated"),exact(Metadata!J570,"Free-living")))</f>
        <v>0</v>
      </c>
      <c r="AW570">
        <f>AND(IF(Metadata!K570="",FALSE,TRUE),OR(exact(Metadata!K570,"Animal"),exact(Metadata!K570,"Fungus"),exact(Metadata!K570,"Plant"),exact(Metadata!K570,"Saline"),exact(Metadata!K570,"Non-saline")))</f>
        <v>0</v>
      </c>
      <c r="AX570">
        <f>AND(IF(Metadata!L570="",FALSE,TRUE),OR(exact(Metadata!L570,"Plant secretion"),exact(Metadata!L570,"Plant rhizosphere"),exact(Metadata!L570,"Plant surface"),exact(Metadata!L570,"Plant corpus"),exact(Metadata!L570,"Fungus surface"),exact(Metadata!L570,"Fungus corpus"),exact(Metadata!L570,"Animal surface"),exact(Metadata!L570,"Animal proximal gut"),exact(Metadata!L570,"Animal corpus"),exact(Metadata!L570,"Animal distal gut"),exact(Metadata!L570,"Animal secretion"),exact(Metadata!L570,"Sub-surface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Y570">
        <f>IF(Metadata!M570="",FALSE,TRUE)</f>
        <v>0</v>
      </c>
      <c r="AZ570">
        <f>IF(Metadata!N570="",FALSE,TRUE)</f>
        <v>0</v>
      </c>
      <c r="BA570">
        <f>IF(Metadata!O570="",FALSE,TRUE)</f>
        <v>0</v>
      </c>
      <c r="BB570">
        <f>OR(AND(IF(Metadata!P570="",FALSE,TRUE),OR(exact(Metadata!P570,"not collected"),exact(Metadata!P570,"not provided"),exact(Metadata!P570,"restricted access"))),AND(IF(Metadata!P570="",FALSE,TRUE),OR(exact(Metadata!P570,"air"),exact(Metadata!P570,"built environment"),exact(Metadata!P570,"host-associated"),exact(Metadata!P570,"human-associated"),exact(Metadata!P570,"human-skin"),exact(Metadata!P570,"human-oral"),exact(Metadata!P570,"human-gut"),exact(Metadata!P570,"human-vaginal"),exact(Metadata!P570,"microbial mat/biofilm"),exact(Metadata!P570,"misc environment"),exact(Metadata!P570,"plant-associated"),exact(Metadata!P570,"sediment"),exact(Metadata!P570,"soil"),exact(Metadata!P570,"wastewater/sludge"),exact(Metadata!P570,"water"))))</f>
        <v>0</v>
      </c>
      <c r="BC570">
        <f>IF(Metadata!Q570="",FALSE,TRUE)</f>
        <v>0</v>
      </c>
      <c r="BD570">
        <f>IF(Metadata!R570="",FALSE,TRUE)</f>
        <v>0</v>
      </c>
      <c r="BE570">
        <f>OR(AND(IF(Metadata!S570="",FALSE,TRUE),OR(exact(Metadata!S570,"not collected"),exact(Metadata!S570,"not provided"),exact(Metadata!S570,"restricted access"))),AND(IF(Metadata!S570="",FALSE,ISNUMBER(VALUE(Metadata!S570))),Metadata!S570&gt;=-90.00,Metadata!S570&lt;=90.00))</f>
        <v>0</v>
      </c>
      <c r="BF570">
        <f>AND(IF(Metadata!T570="",FALSE,TRUE),exact(Metadata!T570,"Decimal degrees"))</f>
        <v>0</v>
      </c>
      <c r="BG570">
        <f>OR(AND(IF(Metadata!U570="",FALSE,TRUE),OR(exact(Metadata!U570,"not collected"),exact(Metadata!U570,"not provided"),exact(Metadata!U570,"restricted access"))),AND(IF(Metadata!U570="",FALSE,ISNUMBER(VALUE(Metadata!U570))),Metadata!U570&gt;=-180.00,Metadata!U570&lt;=180.00))</f>
        <v>0</v>
      </c>
      <c r="BH570">
        <f>AND(IF(Metadata!V570="",FALSE,TRUE),exact(Metadata!V570,"Decimal degrees"))</f>
        <v>0</v>
      </c>
      <c r="BI570">
        <f>IF(Metadata!W570="",FALSE,TRUE)</f>
        <v>0</v>
      </c>
      <c r="BJ570">
        <f>OR(AND(IF(Metadata!X570="",FALSE,TRUE),OR(exact(Metadata!X570,"not collected"),exact(Metadata!X570,"not provided"),exact(Metadata!X570,"restricted access"))),AND(IF(Metadata!X570="",FALSE,TRUE),OR(exact(Metadata!X570,"TRUE"),exact(Metadata!X570,"FALSE"))))</f>
        <v>0</v>
      </c>
      <c r="BK570">
        <f>AND(IF(Metadata!Y570="",FALSE,TRUE),exact(Metadata!Y570,"other"))</f>
        <v>0</v>
      </c>
      <c r="BL570">
        <f>IF(Metadata!Z570="",FALSE,TRUE)</f>
        <v>0</v>
      </c>
      <c r="BM570">
        <f>OR(AND(IF(Metadata!AA570="",FALSE,TRUE),OR(exact(Metadata!AA570,"not collected"),exact(Metadata!AA570,"not provided"))),AND(IF(Metadata!AA570="",FALSE,IF(ISERROR(INT(Metadata!AA570)),FALSE,INT(Metadata!AA570)=Metadata!AA570)),Metadata!AA570&gt;0))</f>
        <v>0</v>
      </c>
      <c r="BN570">
        <f>AND(IF(Metadata!AB570="",FALSE,TRUE),exact(Metadata!AB570,"Not applicable"))</f>
        <v>0</v>
      </c>
      <c r="BO570">
        <f>IF(Metadata!AC570="",FALSE,TRUE)</f>
        <v>0</v>
      </c>
    </row>
    <row r="571" spans="1:67">
      <c r="A571" s="5">
        <f>IF(B571=" "," ",HYPERLINK(CONCATENATE("#metadata!",ADDRESS(INDEX($AI$2:$AI$1001,MATCH(ROWS($AG$2:AG571),$AG$2:$AG$1001,0),0),1)),INDEX($AL$2:$AL$1001,MATCH(ROWS($AG$2:AG571),$AG$2:$AG$1001,0),0)))</f>
        <v>0</v>
      </c>
      <c r="B571" s="4">
        <f>IF(OR(INDEX($AH$2:$AH$1001,MATCH(ROWS($AG$2:AG571),$AG$2:$AG$1001,0),1)&gt;=100000,INDEX($AN$1005:$BO$1005,1,MATCH(COLUMNS($AN$1006:AN1006),$AN$1006:$BO$1006,0))&gt;=100000), " ",IF(INDEX($AN$2:$BO$1001,MATCH(ROWS($AG$2:AG571),$AG$2:$AG$1001,0),MATCH(COLUMNS($AN$1006:AN1006),$AN$1006:$BO$1006,0)), HYPERLINK("#",""), HYPERLINK(CONCATENATE("#Metadata!", ADDRESS(INDEX($AI$2:$AI$1001,MATCH(ROWS($AG$2:AG571),$AG$2:$AG$1001,0),0), INDEX($AN$1004:$BO$1004,1,MATCH(COLUMNS($AN$1006:AN1006),$AN$1006:$BO$1006,0)))),"Fix")))</f>
        <v>0</v>
      </c>
      <c r="C571" s="4">
        <f>IF(OR(INDEX($AH$2:$AH$1001,MATCH(ROWS($AG$2:AG571),$AG$2:$AG$1001,0),1)&gt;=100000,INDEX($AN$1005:$BO$1005,1,MATCH(COLUMNS($AN$1006:AO1006),$AN$1006:$BO$1006,0))&gt;=100000), " ",IF(INDEX($AN$2:$BO$1001,MATCH(ROWS($AG$2:AG571),$AG$2:$AG$1001,0),MATCH(COLUMNS($AN$1006:AO1006),$AN$1006:$BO$1006,0)), HYPERLINK("#",""), HYPERLINK(CONCATENATE("#Metadata!", ADDRESS(INDEX($AI$2:$AI$1001,MATCH(ROWS($AG$2:AG571),$AG$2:$AG$1001,0),0), INDEX($AN$1004:$BO$1004,1,MATCH(COLUMNS($AN$1006:AO1006),$AN$1006:$BO$1006,0)))),"Fix")))</f>
        <v>0</v>
      </c>
      <c r="D571" s="4">
        <f>IF(OR(INDEX($AH$2:$AH$1001,MATCH(ROWS($AG$2:AG571),$AG$2:$AG$1001,0),1)&gt;=100000,INDEX($AN$1005:$BO$1005,1,MATCH(COLUMNS($AN$1006:AP1006),$AN$1006:$BO$1006,0))&gt;=100000), " ",IF(INDEX($AN$2:$BO$1001,MATCH(ROWS($AG$2:AG571),$AG$2:$AG$1001,0),MATCH(COLUMNS($AN$1006:AP1006),$AN$1006:$BO$1006,0)), HYPERLINK("#",""), HYPERLINK(CONCATENATE("#Metadata!", ADDRESS(INDEX($AI$2:$AI$1001,MATCH(ROWS($AG$2:AG571),$AG$2:$AG$1001,0),0), INDEX($AN$1004:$BO$1004,1,MATCH(COLUMNS($AN$1006:AP1006),$AN$1006:$BO$1006,0)))),"Fix")))</f>
        <v>0</v>
      </c>
      <c r="E571" s="4">
        <f>IF(OR(INDEX($AH$2:$AH$1001,MATCH(ROWS($AG$2:AG571),$AG$2:$AG$1001,0),1)&gt;=100000,INDEX($AN$1005:$BO$1005,1,MATCH(COLUMNS($AN$1006:AQ1006),$AN$1006:$BO$1006,0))&gt;=100000), " ",IF(INDEX($AN$2:$BO$1001,MATCH(ROWS($AG$2:AG571),$AG$2:$AG$1001,0),MATCH(COLUMNS($AN$1006:AQ1006),$AN$1006:$BO$1006,0)), HYPERLINK("#",""), HYPERLINK(CONCATENATE("#Metadata!", ADDRESS(INDEX($AI$2:$AI$1001,MATCH(ROWS($AG$2:AG571),$AG$2:$AG$1001,0),0), INDEX($AN$1004:$BO$1004,1,MATCH(COLUMNS($AN$1006:AQ1006),$AN$1006:$BO$1006,0)))),"Fix")))</f>
        <v>0</v>
      </c>
      <c r="F571" s="4">
        <f>IF(OR(INDEX($AH$2:$AH$1001,MATCH(ROWS($AG$2:AG571),$AG$2:$AG$1001,0),1)&gt;=100000,INDEX($AN$1005:$BO$1005,1,MATCH(COLUMNS($AN$1006:AR1006),$AN$1006:$BO$1006,0))&gt;=100000), " ",IF(INDEX($AN$2:$BO$1001,MATCH(ROWS($AG$2:AG571),$AG$2:$AG$1001,0),MATCH(COLUMNS($AN$1006:AR1006),$AN$1006:$BO$1006,0)), HYPERLINK("#",""), HYPERLINK(CONCATENATE("#Metadata!", ADDRESS(INDEX($AI$2:$AI$1001,MATCH(ROWS($AG$2:AG571),$AG$2:$AG$1001,0),0), INDEX($AN$1004:$BO$1004,1,MATCH(COLUMNS($AN$1006:AR1006),$AN$1006:$BO$1006,0)))),"Fix")))</f>
        <v>0</v>
      </c>
      <c r="G571" s="4">
        <f>IF(OR(INDEX($AH$2:$AH$1001,MATCH(ROWS($AG$2:AG571),$AG$2:$AG$1001,0),1)&gt;=100000,INDEX($AN$1005:$BO$1005,1,MATCH(COLUMNS($AN$1006:AS1006),$AN$1006:$BO$1006,0))&gt;=100000), " ",IF(INDEX($AN$2:$BO$1001,MATCH(ROWS($AG$2:AG571),$AG$2:$AG$1001,0),MATCH(COLUMNS($AN$1006:AS1006),$AN$1006:$BO$1006,0)), HYPERLINK("#",""), HYPERLINK(CONCATENATE("#Metadata!", ADDRESS(INDEX($AI$2:$AI$1001,MATCH(ROWS($AG$2:AG571),$AG$2:$AG$1001,0),0), INDEX($AN$1004:$BO$1004,1,MATCH(COLUMNS($AN$1006:AS1006),$AN$1006:$BO$1006,0)))),"Fix")))</f>
        <v>0</v>
      </c>
      <c r="H571" s="4">
        <f>IF(OR(INDEX($AH$2:$AH$1001,MATCH(ROWS($AG$2:AG571),$AG$2:$AG$1001,0),1)&gt;=100000,INDEX($AN$1005:$BO$1005,1,MATCH(COLUMNS($AN$1006:AT1006),$AN$1006:$BO$1006,0))&gt;=100000), " ",IF(INDEX($AN$2:$BO$1001,MATCH(ROWS($AG$2:AG571),$AG$2:$AG$1001,0),MATCH(COLUMNS($AN$1006:AT1006),$AN$1006:$BO$1006,0)), HYPERLINK("#",""), HYPERLINK(CONCATENATE("#Metadata!", ADDRESS(INDEX($AI$2:$AI$1001,MATCH(ROWS($AG$2:AG571),$AG$2:$AG$1001,0),0), INDEX($AN$1004:$BO$1004,1,MATCH(COLUMNS($AN$1006:AT1006),$AN$1006:$BO$1006,0)))),"Fix")))</f>
        <v>0</v>
      </c>
      <c r="I571" s="4">
        <f>IF(OR(INDEX($AH$2:$AH$1001,MATCH(ROWS($AG$2:AG571),$AG$2:$AG$1001,0),1)&gt;=100000,INDEX($AN$1005:$BO$1005,1,MATCH(COLUMNS($AN$1006:AU1006),$AN$1006:$BO$1006,0))&gt;=100000), " ",IF(INDEX($AN$2:$BO$1001,MATCH(ROWS($AG$2:AG571),$AG$2:$AG$1001,0),MATCH(COLUMNS($AN$1006:AU1006),$AN$1006:$BO$1006,0)), HYPERLINK("#",""), HYPERLINK(CONCATENATE("#Metadata!", ADDRESS(INDEX($AI$2:$AI$1001,MATCH(ROWS($AG$2:AG571),$AG$2:$AG$1001,0),0), INDEX($AN$1004:$BO$1004,1,MATCH(COLUMNS($AN$1006:AU1006),$AN$1006:$BO$1006,0)))),"Fix")))</f>
        <v>0</v>
      </c>
      <c r="J571" s="4">
        <f>IF(OR(INDEX($AH$2:$AH$1001,MATCH(ROWS($AG$2:AG571),$AG$2:$AG$1001,0),1)&gt;=100000,INDEX($AN$1005:$BO$1005,1,MATCH(COLUMNS($AN$1006:AV1006),$AN$1006:$BO$1006,0))&gt;=100000), " ",IF(INDEX($AN$2:$BO$1001,MATCH(ROWS($AG$2:AG571),$AG$2:$AG$1001,0),MATCH(COLUMNS($AN$1006:AV1006),$AN$1006:$BO$1006,0)), HYPERLINK("#",""), HYPERLINK(CONCATENATE("#Metadata!", ADDRESS(INDEX($AI$2:$AI$1001,MATCH(ROWS($AG$2:AG571),$AG$2:$AG$1001,0),0), INDEX($AN$1004:$BO$1004,1,MATCH(COLUMNS($AN$1006:AV1006),$AN$1006:$BO$1006,0)))),"Fix")))</f>
        <v>0</v>
      </c>
      <c r="K571" s="4">
        <f>IF(OR(INDEX($AH$2:$AH$1001,MATCH(ROWS($AG$2:AG571),$AG$2:$AG$1001,0),1)&gt;=100000,INDEX($AN$1005:$BO$1005,1,MATCH(COLUMNS($AN$1006:AW1006),$AN$1006:$BO$1006,0))&gt;=100000), " ",IF(INDEX($AN$2:$BO$1001,MATCH(ROWS($AG$2:AG571),$AG$2:$AG$1001,0),MATCH(COLUMNS($AN$1006:AW1006),$AN$1006:$BO$1006,0)), HYPERLINK("#",""), HYPERLINK(CONCATENATE("#Metadata!", ADDRESS(INDEX($AI$2:$AI$1001,MATCH(ROWS($AG$2:AG571),$AG$2:$AG$1001,0),0), INDEX($AN$1004:$BO$1004,1,MATCH(COLUMNS($AN$1006:AW1006),$AN$1006:$BO$1006,0)))),"Fix")))</f>
        <v>0</v>
      </c>
      <c r="L571" s="4">
        <f>IF(OR(INDEX($AH$2:$AH$1001,MATCH(ROWS($AG$2:AG571),$AG$2:$AG$1001,0),1)&gt;=100000,INDEX($AN$1005:$BO$1005,1,MATCH(COLUMNS($AN$1006:AX1006),$AN$1006:$BO$1006,0))&gt;=100000), " ",IF(INDEX($AN$2:$BO$1001,MATCH(ROWS($AG$2:AG571),$AG$2:$AG$1001,0),MATCH(COLUMNS($AN$1006:AX1006),$AN$1006:$BO$1006,0)), HYPERLINK("#",""), HYPERLINK(CONCATENATE("#Metadata!", ADDRESS(INDEX($AI$2:$AI$1001,MATCH(ROWS($AG$2:AG571),$AG$2:$AG$1001,0),0), INDEX($AN$1004:$BO$1004,1,MATCH(COLUMNS($AN$1006:AX1006),$AN$1006:$BO$1006,0)))),"Fix")))</f>
        <v>0</v>
      </c>
      <c r="M571" s="4">
        <f>IF(OR(INDEX($AH$2:$AH$1001,MATCH(ROWS($AG$2:AG571),$AG$2:$AG$1001,0),1)&gt;=100000,INDEX($AN$1005:$BO$1005,1,MATCH(COLUMNS($AN$1006:AY1006),$AN$1006:$BO$1006,0))&gt;=100000), " ",IF(INDEX($AN$2:$BO$1001,MATCH(ROWS($AG$2:AG571),$AG$2:$AG$1001,0),MATCH(COLUMNS($AN$1006:AY1006),$AN$1006:$BO$1006,0)), HYPERLINK("#",""), HYPERLINK(CONCATENATE("#Metadata!", ADDRESS(INDEX($AI$2:$AI$1001,MATCH(ROWS($AG$2:AG571),$AG$2:$AG$1001,0),0), INDEX($AN$1004:$BO$1004,1,MATCH(COLUMNS($AN$1006:AY1006),$AN$1006:$BO$1006,0)))),"Fix")))</f>
        <v>0</v>
      </c>
      <c r="N571" s="4">
        <f>IF(OR(INDEX($AH$2:$AH$1001,MATCH(ROWS($AG$2:AG571),$AG$2:$AG$1001,0),1)&gt;=100000,INDEX($AN$1005:$BO$1005,1,MATCH(COLUMNS($AN$1006:AZ1006),$AN$1006:$BO$1006,0))&gt;=100000), " ",IF(INDEX($AN$2:$BO$1001,MATCH(ROWS($AG$2:AG571),$AG$2:$AG$1001,0),MATCH(COLUMNS($AN$1006:AZ1006),$AN$1006:$BO$1006,0)), HYPERLINK("#",""), HYPERLINK(CONCATENATE("#Metadata!", ADDRESS(INDEX($AI$2:$AI$1001,MATCH(ROWS($AG$2:AG571),$AG$2:$AG$1001,0),0), INDEX($AN$1004:$BO$1004,1,MATCH(COLUMNS($AN$1006:AZ1006),$AN$1006:$BO$1006,0)))),"Fix")))</f>
        <v>0</v>
      </c>
      <c r="O571" s="4">
        <f>IF(OR(INDEX($AH$2:$AH$1001,MATCH(ROWS($AG$2:AG571),$AG$2:$AG$1001,0),1)&gt;=100000,INDEX($AN$1005:$BO$1005,1,MATCH(COLUMNS($AN$1006:BA1006),$AN$1006:$BO$1006,0))&gt;=100000), " ",IF(INDEX($AN$2:$BO$1001,MATCH(ROWS($AG$2:AG571),$AG$2:$AG$1001,0),MATCH(COLUMNS($AN$1006:BA1006),$AN$1006:$BO$1006,0)), HYPERLINK("#",""), HYPERLINK(CONCATENATE("#Metadata!", ADDRESS(INDEX($AI$2:$AI$1001,MATCH(ROWS($AG$2:AG571),$AG$2:$AG$1001,0),0), INDEX($AN$1004:$BO$1004,1,MATCH(COLUMNS($AN$1006:BA1006),$AN$1006:$BO$1006,0)))),"Fix")))</f>
        <v>0</v>
      </c>
      <c r="P571" s="4">
        <f>IF(OR(INDEX($AH$2:$AH$1001,MATCH(ROWS($AG$2:AG571),$AG$2:$AG$1001,0),1)&gt;=100000,INDEX($AN$1005:$BO$1005,1,MATCH(COLUMNS($AN$1006:BB1006),$AN$1006:$BO$1006,0))&gt;=100000), " ",IF(INDEX($AN$2:$BO$1001,MATCH(ROWS($AG$2:AG571),$AG$2:$AG$1001,0),MATCH(COLUMNS($AN$1006:BB1006),$AN$1006:$BO$1006,0)), HYPERLINK("#",""), HYPERLINK(CONCATENATE("#Metadata!", ADDRESS(INDEX($AI$2:$AI$1001,MATCH(ROWS($AG$2:AG571),$AG$2:$AG$1001,0),0), INDEX($AN$1004:$BO$1004,1,MATCH(COLUMNS($AN$1006:BB1006),$AN$1006:$BO$1006,0)))),"Fix")))</f>
        <v>0</v>
      </c>
      <c r="Q571" s="4">
        <f>IF(OR(INDEX($AH$2:$AH$1001,MATCH(ROWS($AG$2:AG571),$AG$2:$AG$1001,0),1)&gt;=100000,INDEX($AN$1005:$BO$1005,1,MATCH(COLUMNS($AN$1006:BC1006),$AN$1006:$BO$1006,0))&gt;=100000), " ",IF(INDEX($AN$2:$BO$1001,MATCH(ROWS($AG$2:AG571),$AG$2:$AG$1001,0),MATCH(COLUMNS($AN$1006:BC1006),$AN$1006:$BO$1006,0)), HYPERLINK("#",""), HYPERLINK(CONCATENATE("#Metadata!", ADDRESS(INDEX($AI$2:$AI$1001,MATCH(ROWS($AG$2:AG571),$AG$2:$AG$1001,0),0), INDEX($AN$1004:$BO$1004,1,MATCH(COLUMNS($AN$1006:BC1006),$AN$1006:$BO$1006,0)))),"Fix")))</f>
        <v>0</v>
      </c>
      <c r="R571" s="4">
        <f>IF(OR(INDEX($AH$2:$AH$1001,MATCH(ROWS($AG$2:AG571),$AG$2:$AG$1001,0),1)&gt;=100000,INDEX($AN$1005:$BO$1005,1,MATCH(COLUMNS($AN$1006:BD1006),$AN$1006:$BO$1006,0))&gt;=100000), " ",IF(INDEX($AN$2:$BO$1001,MATCH(ROWS($AG$2:AG571),$AG$2:$AG$1001,0),MATCH(COLUMNS($AN$1006:BD1006),$AN$1006:$BO$1006,0)), HYPERLINK("#",""), HYPERLINK(CONCATENATE("#Metadata!", ADDRESS(INDEX($AI$2:$AI$1001,MATCH(ROWS($AG$2:AG571),$AG$2:$AG$1001,0),0), INDEX($AN$1004:$BO$1004,1,MATCH(COLUMNS($AN$1006:BD1006),$AN$1006:$BO$1006,0)))),"Fix")))</f>
        <v>0</v>
      </c>
      <c r="S571" s="4">
        <f>IF(OR(INDEX($AH$2:$AH$1001,MATCH(ROWS($AG$2:AG571),$AG$2:$AG$1001,0),1)&gt;=100000,INDEX($AN$1005:$BO$1005,1,MATCH(COLUMNS($AN$1006:BE1006),$AN$1006:$BO$1006,0))&gt;=100000), " ",IF(INDEX($AN$2:$BO$1001,MATCH(ROWS($AG$2:AG571),$AG$2:$AG$1001,0),MATCH(COLUMNS($AN$1006:BE1006),$AN$1006:$BO$1006,0)), HYPERLINK("#",""), HYPERLINK(CONCATENATE("#Metadata!", ADDRESS(INDEX($AI$2:$AI$1001,MATCH(ROWS($AG$2:AG571),$AG$2:$AG$1001,0),0), INDEX($AN$1004:$BO$1004,1,MATCH(COLUMNS($AN$1006:BE1006),$AN$1006:$BO$1006,0)))),"Fix")))</f>
        <v>0</v>
      </c>
      <c r="T571" s="4">
        <f>IF(OR(INDEX($AH$2:$AH$1001,MATCH(ROWS($AG$2:AG571),$AG$2:$AG$1001,0),1)&gt;=100000,INDEX($AN$1005:$BO$1005,1,MATCH(COLUMNS($AN$1006:BF1006),$AN$1006:$BO$1006,0))&gt;=100000), " ",IF(INDEX($AN$2:$BO$1001,MATCH(ROWS($AG$2:AG571),$AG$2:$AG$1001,0),MATCH(COLUMNS($AN$1006:BF1006),$AN$1006:$BO$1006,0)), HYPERLINK("#",""), HYPERLINK(CONCATENATE("#Metadata!", ADDRESS(INDEX($AI$2:$AI$1001,MATCH(ROWS($AG$2:AG571),$AG$2:$AG$1001,0),0), INDEX($AN$1004:$BO$1004,1,MATCH(COLUMNS($AN$1006:BF1006),$AN$1006:$BO$1006,0)))),"Fix")))</f>
        <v>0</v>
      </c>
      <c r="U571" s="4">
        <f>IF(OR(INDEX($AH$2:$AH$1001,MATCH(ROWS($AG$2:AG571),$AG$2:$AG$1001,0),1)&gt;=100000,INDEX($AN$1005:$BO$1005,1,MATCH(COLUMNS($AN$1006:BG1006),$AN$1006:$BO$1006,0))&gt;=100000), " ",IF(INDEX($AN$2:$BO$1001,MATCH(ROWS($AG$2:AG571),$AG$2:$AG$1001,0),MATCH(COLUMNS($AN$1006:BG1006),$AN$1006:$BO$1006,0)), HYPERLINK("#",""), HYPERLINK(CONCATENATE("#Metadata!", ADDRESS(INDEX($AI$2:$AI$1001,MATCH(ROWS($AG$2:AG571),$AG$2:$AG$1001,0),0), INDEX($AN$1004:$BO$1004,1,MATCH(COLUMNS($AN$1006:BG1006),$AN$1006:$BO$1006,0)))),"Fix")))</f>
        <v>0</v>
      </c>
      <c r="V571" s="4">
        <f>IF(OR(INDEX($AH$2:$AH$1001,MATCH(ROWS($AG$2:AG571),$AG$2:$AG$1001,0),1)&gt;=100000,INDEX($AN$1005:$BO$1005,1,MATCH(COLUMNS($AN$1006:BH1006),$AN$1006:$BO$1006,0))&gt;=100000), " ",IF(INDEX($AN$2:$BO$1001,MATCH(ROWS($AG$2:AG571),$AG$2:$AG$1001,0),MATCH(COLUMNS($AN$1006:BH1006),$AN$1006:$BO$1006,0)), HYPERLINK("#",""), HYPERLINK(CONCATENATE("#Metadata!", ADDRESS(INDEX($AI$2:$AI$1001,MATCH(ROWS($AG$2:AG571),$AG$2:$AG$1001,0),0), INDEX($AN$1004:$BO$1004,1,MATCH(COLUMNS($AN$1006:BH1006),$AN$1006:$BO$1006,0)))),"Fix")))</f>
        <v>0</v>
      </c>
      <c r="W571" s="4">
        <f>IF(OR(INDEX($AH$2:$AH$1001,MATCH(ROWS($AG$2:AG571),$AG$2:$AG$1001,0),1)&gt;=100000,INDEX($AN$1005:$BO$1005,1,MATCH(COLUMNS($AN$1006:BI1006),$AN$1006:$BO$1006,0))&gt;=100000), " ",IF(INDEX($AN$2:$BO$1001,MATCH(ROWS($AG$2:AG571),$AG$2:$AG$1001,0),MATCH(COLUMNS($AN$1006:BI1006),$AN$1006:$BO$1006,0)), HYPERLINK("#",""), HYPERLINK(CONCATENATE("#Metadata!", ADDRESS(INDEX($AI$2:$AI$1001,MATCH(ROWS($AG$2:AG571),$AG$2:$AG$1001,0),0), INDEX($AN$1004:$BO$1004,1,MATCH(COLUMNS($AN$1006:BI1006),$AN$1006:$BO$1006,0)))),"Fix")))</f>
        <v>0</v>
      </c>
      <c r="X571" s="4">
        <f>IF(OR(INDEX($AH$2:$AH$1001,MATCH(ROWS($AG$2:AG571),$AG$2:$AG$1001,0),1)&gt;=100000,INDEX($AN$1005:$BO$1005,1,MATCH(COLUMNS($AN$1006:BJ1006),$AN$1006:$BO$1006,0))&gt;=100000), " ",IF(INDEX($AN$2:$BO$1001,MATCH(ROWS($AG$2:AG571),$AG$2:$AG$1001,0),MATCH(COLUMNS($AN$1006:BJ1006),$AN$1006:$BO$1006,0)), HYPERLINK("#",""), HYPERLINK(CONCATENATE("#Metadata!", ADDRESS(INDEX($AI$2:$AI$1001,MATCH(ROWS($AG$2:AG571),$AG$2:$AG$1001,0),0), INDEX($AN$1004:$BO$1004,1,MATCH(COLUMNS($AN$1006:BJ1006),$AN$1006:$BO$1006,0)))),"Fix")))</f>
        <v>0</v>
      </c>
      <c r="Y571" s="4">
        <f>IF(OR(INDEX($AH$2:$AH$1001,MATCH(ROWS($AG$2:AG571),$AG$2:$AG$1001,0),1)&gt;=100000,INDEX($AN$1005:$BO$1005,1,MATCH(COLUMNS($AN$1006:BK1006),$AN$1006:$BO$1006,0))&gt;=100000), " ",IF(INDEX($AN$2:$BO$1001,MATCH(ROWS($AG$2:AG571),$AG$2:$AG$1001,0),MATCH(COLUMNS($AN$1006:BK1006),$AN$1006:$BO$1006,0)), HYPERLINK("#",""), HYPERLINK(CONCATENATE("#Metadata!", ADDRESS(INDEX($AI$2:$AI$1001,MATCH(ROWS($AG$2:AG571),$AG$2:$AG$1001,0),0), INDEX($AN$1004:$BO$1004,1,MATCH(COLUMNS($AN$1006:BK1006),$AN$1006:$BO$1006,0)))),"Fix")))</f>
        <v>0</v>
      </c>
      <c r="Z571" s="4">
        <f>IF(OR(INDEX($AH$2:$AH$1001,MATCH(ROWS($AG$2:AG571),$AG$2:$AG$1001,0),1)&gt;=100000,INDEX($AN$1005:$BO$1005,1,MATCH(COLUMNS($AN$1006:BL1006),$AN$1006:$BO$1006,0))&gt;=100000), " ",IF(INDEX($AN$2:$BO$1001,MATCH(ROWS($AG$2:AG571),$AG$2:$AG$1001,0),MATCH(COLUMNS($AN$1006:BL1006),$AN$1006:$BO$1006,0)), HYPERLINK("#",""), HYPERLINK(CONCATENATE("#Metadata!", ADDRESS(INDEX($AI$2:$AI$1001,MATCH(ROWS($AG$2:AG571),$AG$2:$AG$1001,0),0), INDEX($AN$1004:$BO$1004,1,MATCH(COLUMNS($AN$1006:BL1006),$AN$1006:$BO$1006,0)))),"Fix")))</f>
        <v>0</v>
      </c>
      <c r="AA571" s="4">
        <f>IF(OR(INDEX($AH$2:$AH$1001,MATCH(ROWS($AG$2:AG571),$AG$2:$AG$1001,0),1)&gt;=100000,INDEX($AN$1005:$BO$1005,1,MATCH(COLUMNS($AN$1006:BM1006),$AN$1006:$BO$1006,0))&gt;=100000), " ",IF(INDEX($AN$2:$BO$1001,MATCH(ROWS($AG$2:AG571),$AG$2:$AG$1001,0),MATCH(COLUMNS($AN$1006:BM1006),$AN$1006:$BO$1006,0)), HYPERLINK("#",""), HYPERLINK(CONCATENATE("#Metadata!", ADDRESS(INDEX($AI$2:$AI$1001,MATCH(ROWS($AG$2:AG571),$AG$2:$AG$1001,0),0), INDEX($AN$1004:$BO$1004,1,MATCH(COLUMNS($AN$1006:BM1006),$AN$1006:$BO$1006,0)))),"Fix")))</f>
        <v>0</v>
      </c>
      <c r="AB571" s="4">
        <f>IF(OR(INDEX($AH$2:$AH$1001,MATCH(ROWS($AG$2:AG571),$AG$2:$AG$1001,0),1)&gt;=100000,INDEX($AN$1005:$BO$1005,1,MATCH(COLUMNS($AN$1006:BN1006),$AN$1006:$BO$1006,0))&gt;=100000), " ",IF(INDEX($AN$2:$BO$1001,MATCH(ROWS($AG$2:AG571),$AG$2:$AG$1001,0),MATCH(COLUMNS($AN$1006:BN1006),$AN$1006:$BO$1006,0)), HYPERLINK("#",""), HYPERLINK(CONCATENATE("#Metadata!", ADDRESS(INDEX($AI$2:$AI$1001,MATCH(ROWS($AG$2:AG571),$AG$2:$AG$1001,0),0), INDEX($AN$1004:$BO$1004,1,MATCH(COLUMNS($AN$1006:BN1006),$AN$1006:$BO$1006,0)))),"Fix")))</f>
        <v>0</v>
      </c>
      <c r="AC571" s="4">
        <f>IF(OR(INDEX($AH$2:$AH$1001,MATCH(ROWS($AG$2:AG571),$AG$2:$AG$1001,0),1)&gt;=100000,INDEX($AN$1005:$BO$1005,1,MATCH(COLUMNS($AN$1006:BO1006),$AN$1006:$BO$1006,0))&gt;=100000), " ",IF(INDEX($AN$2:$BO$1001,MATCH(ROWS($AG$2:AG571),$AG$2:$AG$1001,0),MATCH(COLUMNS($AN$1006:BO1006),$AN$1006:$BO$1006,0)), HYPERLINK("#",""), HYPERLINK(CONCATENATE("#Metadata!", ADDRESS(INDEX($AI$2:$AI$1001,MATCH(ROWS($AG$2:AG571),$AG$2:$AG$1001,0),0), INDEX($AN$1004:$BO$1004,1,MATCH(COLUMNS($AN$1006:BO1006),$AN$1006:$BO$1006,0)))),"Fix")))</f>
        <v>0</v>
      </c>
      <c r="AG571">
        <v>0</v>
      </c>
      <c r="AH571">
        <v>0</v>
      </c>
      <c r="AI571">
        <v>0</v>
      </c>
      <c r="AJ571">
        <f>IF(AK571,TRUE,AND(AN571:BO571))</f>
        <v>0</v>
      </c>
      <c r="AK571">
        <f>COUNTBLANK(Metadata!B571:AC571)=COLUMNS(Metadata!B571:AC571)</f>
        <v>0</v>
      </c>
      <c r="AL571">
        <v>0</v>
      </c>
      <c r="AN571">
        <f>AND(IF(Metadata!B571="",FALSE,TRUE),COUNTIF(Metadata!B:B, Metadata!B571) = 1,NOT(ISERROR(SUMPRODUCT(SEARCH(MID(Metadata!B571,ROW(INDIRECT("1:"&amp;LEN(Metadata!B571))), 1),"0123456789abcdefghijklmnopqrstuvwxyzABCDEFGHIJKLMNOPQRSTUVWXYZ.")))))</f>
        <v>0</v>
      </c>
      <c r="AO571">
        <f>IF(Metadata!C571="",FALSE,TRUE)</f>
        <v>0</v>
      </c>
      <c r="AP571">
        <f>IF(Metadata!D571="",FALSE,TRUE)</f>
        <v>0</v>
      </c>
      <c r="AQ571">
        <f>OR(AND(IF(Metadata!E571="",FALSE,TRUE),OR(exact(Metadata!E571,"not collected"),exact(Metadata!E571,"not provided"),exact(Metadata!E571,"restricted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R571">
        <f>IF(Metadata!F571="",FALSE,TRUE)</f>
        <v>0</v>
      </c>
      <c r="AS571">
        <f>OR(AND(IF(Metadata!G571="",FALSE,TRUE),OR(exact(Metadata!G571,"not collected"),exact(Metadata!G571,"not provided"))),AND(IF(Metadata!G571="",FALSE,TRUE),OR(exact(Metadata!G571,"TRUE"),exact(Metadata!G571,"FALSE"))))</f>
        <v>0</v>
      </c>
      <c r="AT571">
        <f>OR(AND(IF(Metadata!H571="",FALSE,TRUE),OR(exact(Metadata!H571,"not collected"),exact(Metadata!H571,"not provided"),exact(Metadata!H571,"restricted access"))),AND(IF(Metadata!H571="",FALSE,ISNUMBER(VALUE(Metadata!H571))),Metadata!H571&gt;=-413.0))</f>
        <v>0</v>
      </c>
      <c r="AU571">
        <f>AND(IF(Metadata!I571="",FALSE,TRUE),exact(Metadata!I571,"meters"))</f>
        <v>0</v>
      </c>
      <c r="AV571">
        <f>AND(IF(Metadata!J571="",FALSE,TRUE),OR(exact(Metadata!J571,"Host-associated"),exact(Metadata!J571,"Free-living")))</f>
        <v>0</v>
      </c>
      <c r="AW571">
        <f>AND(IF(Metadata!K571="",FALSE,TRUE),OR(exact(Metadata!K571,"Animal"),exact(Metadata!K571,"Fungus"),exact(Metadata!K571,"Plant"),exact(Metadata!K571,"Saline"),exact(Metadata!K571,"Non-saline")))</f>
        <v>0</v>
      </c>
      <c r="AX571">
        <f>AND(IF(Metadata!L571="",FALSE,TRUE),OR(exact(Metadata!L571,"Plant secretion"),exact(Metadata!L571,"Plant rhizosphere"),exact(Metadata!L571,"Plant surface"),exact(Metadata!L571,"Plant corpus"),exact(Metadata!L571,"Fungus surface"),exact(Metadata!L571,"Fungus corpus"),exact(Metadata!L571,"Animal surface"),exact(Metadata!L571,"Animal proximal gut"),exact(Metadata!L571,"Animal corpus"),exact(Metadata!L571,"Animal distal gut"),exact(Metadata!L571,"Animal secretion"),exact(Metadata!L571,"Sub-surface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Y571">
        <f>IF(Metadata!M571="",FALSE,TRUE)</f>
        <v>0</v>
      </c>
      <c r="AZ571">
        <f>IF(Metadata!N571="",FALSE,TRUE)</f>
        <v>0</v>
      </c>
      <c r="BA571">
        <f>IF(Metadata!O571="",FALSE,TRUE)</f>
        <v>0</v>
      </c>
      <c r="BB571">
        <f>OR(AND(IF(Metadata!P571="",FALSE,TRUE),OR(exact(Metadata!P571,"not collected"),exact(Metadata!P571,"not provided"),exact(Metadata!P571,"restricted access"))),AND(IF(Metadata!P571="",FALSE,TRUE),OR(exact(Metadata!P571,"air"),exact(Metadata!P571,"built environment"),exact(Metadata!P571,"host-associated"),exact(Metadata!P571,"human-associated"),exact(Metadata!P571,"human-skin"),exact(Metadata!P571,"human-oral"),exact(Metadata!P571,"human-gut"),exact(Metadata!P571,"human-vaginal"),exact(Metadata!P571,"microbial mat/biofilm"),exact(Metadata!P571,"misc environment"),exact(Metadata!P571,"plant-associated"),exact(Metadata!P571,"sediment"),exact(Metadata!P571,"soil"),exact(Metadata!P571,"wastewater/sludge"),exact(Metadata!P571,"water"))))</f>
        <v>0</v>
      </c>
      <c r="BC571">
        <f>IF(Metadata!Q571="",FALSE,TRUE)</f>
        <v>0</v>
      </c>
      <c r="BD571">
        <f>IF(Metadata!R571="",FALSE,TRUE)</f>
        <v>0</v>
      </c>
      <c r="BE571">
        <f>OR(AND(IF(Metadata!S571="",FALSE,TRUE),OR(exact(Metadata!S571,"not collected"),exact(Metadata!S571,"not provided"),exact(Metadata!S571,"restricted access"))),AND(IF(Metadata!S571="",FALSE,ISNUMBER(VALUE(Metadata!S571))),Metadata!S571&gt;=-90.00,Metadata!S571&lt;=90.00))</f>
        <v>0</v>
      </c>
      <c r="BF571">
        <f>AND(IF(Metadata!T571="",FALSE,TRUE),exact(Metadata!T571,"Decimal degrees"))</f>
        <v>0</v>
      </c>
      <c r="BG571">
        <f>OR(AND(IF(Metadata!U571="",FALSE,TRUE),OR(exact(Metadata!U571,"not collected"),exact(Metadata!U571,"not provided"),exact(Metadata!U571,"restricted access"))),AND(IF(Metadata!U571="",FALSE,ISNUMBER(VALUE(Metadata!U571))),Metadata!U571&gt;=-180.00,Metadata!U571&lt;=180.00))</f>
        <v>0</v>
      </c>
      <c r="BH571">
        <f>AND(IF(Metadata!V571="",FALSE,TRUE),exact(Metadata!V571,"Decimal degrees"))</f>
        <v>0</v>
      </c>
      <c r="BI571">
        <f>IF(Metadata!W571="",FALSE,TRUE)</f>
        <v>0</v>
      </c>
      <c r="BJ571">
        <f>OR(AND(IF(Metadata!X571="",FALSE,TRUE),OR(exact(Metadata!X571,"not collected"),exact(Metadata!X571,"not provided"),exact(Metadata!X571,"restricted access"))),AND(IF(Metadata!X571="",FALSE,TRUE),OR(exact(Metadata!X571,"TRUE"),exact(Metadata!X571,"FALSE"))))</f>
        <v>0</v>
      </c>
      <c r="BK571">
        <f>AND(IF(Metadata!Y571="",FALSE,TRUE),exact(Metadata!Y571,"other"))</f>
        <v>0</v>
      </c>
      <c r="BL571">
        <f>IF(Metadata!Z571="",FALSE,TRUE)</f>
        <v>0</v>
      </c>
      <c r="BM571">
        <f>OR(AND(IF(Metadata!AA571="",FALSE,TRUE),OR(exact(Metadata!AA571,"not collected"),exact(Metadata!AA571,"not provided"))),AND(IF(Metadata!AA571="",FALSE,IF(ISERROR(INT(Metadata!AA571)),FALSE,INT(Metadata!AA571)=Metadata!AA571)),Metadata!AA571&gt;0))</f>
        <v>0</v>
      </c>
      <c r="BN571">
        <f>AND(IF(Metadata!AB571="",FALSE,TRUE),exact(Metadata!AB571,"Not applicable"))</f>
        <v>0</v>
      </c>
      <c r="BO571">
        <f>IF(Metadata!AC571="",FALSE,TRUE)</f>
        <v>0</v>
      </c>
    </row>
    <row r="572" spans="1:67">
      <c r="A572" s="5">
        <f>IF(B572=" "," ",HYPERLINK(CONCATENATE("#metadata!",ADDRESS(INDEX($AI$2:$AI$1001,MATCH(ROWS($AG$2:AG572),$AG$2:$AG$1001,0),0),1)),INDEX($AL$2:$AL$1001,MATCH(ROWS($AG$2:AG572),$AG$2:$AG$1001,0),0)))</f>
        <v>0</v>
      </c>
      <c r="B572" s="4">
        <f>IF(OR(INDEX($AH$2:$AH$1001,MATCH(ROWS($AG$2:AG572),$AG$2:$AG$1001,0),1)&gt;=100000,INDEX($AN$1005:$BO$1005,1,MATCH(COLUMNS($AN$1006:AN1006),$AN$1006:$BO$1006,0))&gt;=100000), " ",IF(INDEX($AN$2:$BO$1001,MATCH(ROWS($AG$2:AG572),$AG$2:$AG$1001,0),MATCH(COLUMNS($AN$1006:AN1006),$AN$1006:$BO$1006,0)), HYPERLINK("#",""), HYPERLINK(CONCATENATE("#Metadata!", ADDRESS(INDEX($AI$2:$AI$1001,MATCH(ROWS($AG$2:AG572),$AG$2:$AG$1001,0),0), INDEX($AN$1004:$BO$1004,1,MATCH(COLUMNS($AN$1006:AN1006),$AN$1006:$BO$1006,0)))),"Fix")))</f>
        <v>0</v>
      </c>
      <c r="C572" s="4">
        <f>IF(OR(INDEX($AH$2:$AH$1001,MATCH(ROWS($AG$2:AG572),$AG$2:$AG$1001,0),1)&gt;=100000,INDEX($AN$1005:$BO$1005,1,MATCH(COLUMNS($AN$1006:AO1006),$AN$1006:$BO$1006,0))&gt;=100000), " ",IF(INDEX($AN$2:$BO$1001,MATCH(ROWS($AG$2:AG572),$AG$2:$AG$1001,0),MATCH(COLUMNS($AN$1006:AO1006),$AN$1006:$BO$1006,0)), HYPERLINK("#",""), HYPERLINK(CONCATENATE("#Metadata!", ADDRESS(INDEX($AI$2:$AI$1001,MATCH(ROWS($AG$2:AG572),$AG$2:$AG$1001,0),0), INDEX($AN$1004:$BO$1004,1,MATCH(COLUMNS($AN$1006:AO1006),$AN$1006:$BO$1006,0)))),"Fix")))</f>
        <v>0</v>
      </c>
      <c r="D572" s="4">
        <f>IF(OR(INDEX($AH$2:$AH$1001,MATCH(ROWS($AG$2:AG572),$AG$2:$AG$1001,0),1)&gt;=100000,INDEX($AN$1005:$BO$1005,1,MATCH(COLUMNS($AN$1006:AP1006),$AN$1006:$BO$1006,0))&gt;=100000), " ",IF(INDEX($AN$2:$BO$1001,MATCH(ROWS($AG$2:AG572),$AG$2:$AG$1001,0),MATCH(COLUMNS($AN$1006:AP1006),$AN$1006:$BO$1006,0)), HYPERLINK("#",""), HYPERLINK(CONCATENATE("#Metadata!", ADDRESS(INDEX($AI$2:$AI$1001,MATCH(ROWS($AG$2:AG572),$AG$2:$AG$1001,0),0), INDEX($AN$1004:$BO$1004,1,MATCH(COLUMNS($AN$1006:AP1006),$AN$1006:$BO$1006,0)))),"Fix")))</f>
        <v>0</v>
      </c>
      <c r="E572" s="4">
        <f>IF(OR(INDEX($AH$2:$AH$1001,MATCH(ROWS($AG$2:AG572),$AG$2:$AG$1001,0),1)&gt;=100000,INDEX($AN$1005:$BO$1005,1,MATCH(COLUMNS($AN$1006:AQ1006),$AN$1006:$BO$1006,0))&gt;=100000), " ",IF(INDEX($AN$2:$BO$1001,MATCH(ROWS($AG$2:AG572),$AG$2:$AG$1001,0),MATCH(COLUMNS($AN$1006:AQ1006),$AN$1006:$BO$1006,0)), HYPERLINK("#",""), HYPERLINK(CONCATENATE("#Metadata!", ADDRESS(INDEX($AI$2:$AI$1001,MATCH(ROWS($AG$2:AG572),$AG$2:$AG$1001,0),0), INDEX($AN$1004:$BO$1004,1,MATCH(COLUMNS($AN$1006:AQ1006),$AN$1006:$BO$1006,0)))),"Fix")))</f>
        <v>0</v>
      </c>
      <c r="F572" s="4">
        <f>IF(OR(INDEX($AH$2:$AH$1001,MATCH(ROWS($AG$2:AG572),$AG$2:$AG$1001,0),1)&gt;=100000,INDEX($AN$1005:$BO$1005,1,MATCH(COLUMNS($AN$1006:AR1006),$AN$1006:$BO$1006,0))&gt;=100000), " ",IF(INDEX($AN$2:$BO$1001,MATCH(ROWS($AG$2:AG572),$AG$2:$AG$1001,0),MATCH(COLUMNS($AN$1006:AR1006),$AN$1006:$BO$1006,0)), HYPERLINK("#",""), HYPERLINK(CONCATENATE("#Metadata!", ADDRESS(INDEX($AI$2:$AI$1001,MATCH(ROWS($AG$2:AG572),$AG$2:$AG$1001,0),0), INDEX($AN$1004:$BO$1004,1,MATCH(COLUMNS($AN$1006:AR1006),$AN$1006:$BO$1006,0)))),"Fix")))</f>
        <v>0</v>
      </c>
      <c r="G572" s="4">
        <f>IF(OR(INDEX($AH$2:$AH$1001,MATCH(ROWS($AG$2:AG572),$AG$2:$AG$1001,0),1)&gt;=100000,INDEX($AN$1005:$BO$1005,1,MATCH(COLUMNS($AN$1006:AS1006),$AN$1006:$BO$1006,0))&gt;=100000), " ",IF(INDEX($AN$2:$BO$1001,MATCH(ROWS($AG$2:AG572),$AG$2:$AG$1001,0),MATCH(COLUMNS($AN$1006:AS1006),$AN$1006:$BO$1006,0)), HYPERLINK("#",""), HYPERLINK(CONCATENATE("#Metadata!", ADDRESS(INDEX($AI$2:$AI$1001,MATCH(ROWS($AG$2:AG572),$AG$2:$AG$1001,0),0), INDEX($AN$1004:$BO$1004,1,MATCH(COLUMNS($AN$1006:AS1006),$AN$1006:$BO$1006,0)))),"Fix")))</f>
        <v>0</v>
      </c>
      <c r="H572" s="4">
        <f>IF(OR(INDEX($AH$2:$AH$1001,MATCH(ROWS($AG$2:AG572),$AG$2:$AG$1001,0),1)&gt;=100000,INDEX($AN$1005:$BO$1005,1,MATCH(COLUMNS($AN$1006:AT1006),$AN$1006:$BO$1006,0))&gt;=100000), " ",IF(INDEX($AN$2:$BO$1001,MATCH(ROWS($AG$2:AG572),$AG$2:$AG$1001,0),MATCH(COLUMNS($AN$1006:AT1006),$AN$1006:$BO$1006,0)), HYPERLINK("#",""), HYPERLINK(CONCATENATE("#Metadata!", ADDRESS(INDEX($AI$2:$AI$1001,MATCH(ROWS($AG$2:AG572),$AG$2:$AG$1001,0),0), INDEX($AN$1004:$BO$1004,1,MATCH(COLUMNS($AN$1006:AT1006),$AN$1006:$BO$1006,0)))),"Fix")))</f>
        <v>0</v>
      </c>
      <c r="I572" s="4">
        <f>IF(OR(INDEX($AH$2:$AH$1001,MATCH(ROWS($AG$2:AG572),$AG$2:$AG$1001,0),1)&gt;=100000,INDEX($AN$1005:$BO$1005,1,MATCH(COLUMNS($AN$1006:AU1006),$AN$1006:$BO$1006,0))&gt;=100000), " ",IF(INDEX($AN$2:$BO$1001,MATCH(ROWS($AG$2:AG572),$AG$2:$AG$1001,0),MATCH(COLUMNS($AN$1006:AU1006),$AN$1006:$BO$1006,0)), HYPERLINK("#",""), HYPERLINK(CONCATENATE("#Metadata!", ADDRESS(INDEX($AI$2:$AI$1001,MATCH(ROWS($AG$2:AG572),$AG$2:$AG$1001,0),0), INDEX($AN$1004:$BO$1004,1,MATCH(COLUMNS($AN$1006:AU1006),$AN$1006:$BO$1006,0)))),"Fix")))</f>
        <v>0</v>
      </c>
      <c r="J572" s="4">
        <f>IF(OR(INDEX($AH$2:$AH$1001,MATCH(ROWS($AG$2:AG572),$AG$2:$AG$1001,0),1)&gt;=100000,INDEX($AN$1005:$BO$1005,1,MATCH(COLUMNS($AN$1006:AV1006),$AN$1006:$BO$1006,0))&gt;=100000), " ",IF(INDEX($AN$2:$BO$1001,MATCH(ROWS($AG$2:AG572),$AG$2:$AG$1001,0),MATCH(COLUMNS($AN$1006:AV1006),$AN$1006:$BO$1006,0)), HYPERLINK("#",""), HYPERLINK(CONCATENATE("#Metadata!", ADDRESS(INDEX($AI$2:$AI$1001,MATCH(ROWS($AG$2:AG572),$AG$2:$AG$1001,0),0), INDEX($AN$1004:$BO$1004,1,MATCH(COLUMNS($AN$1006:AV1006),$AN$1006:$BO$1006,0)))),"Fix")))</f>
        <v>0</v>
      </c>
      <c r="K572" s="4">
        <f>IF(OR(INDEX($AH$2:$AH$1001,MATCH(ROWS($AG$2:AG572),$AG$2:$AG$1001,0),1)&gt;=100000,INDEX($AN$1005:$BO$1005,1,MATCH(COLUMNS($AN$1006:AW1006),$AN$1006:$BO$1006,0))&gt;=100000), " ",IF(INDEX($AN$2:$BO$1001,MATCH(ROWS($AG$2:AG572),$AG$2:$AG$1001,0),MATCH(COLUMNS($AN$1006:AW1006),$AN$1006:$BO$1006,0)), HYPERLINK("#",""), HYPERLINK(CONCATENATE("#Metadata!", ADDRESS(INDEX($AI$2:$AI$1001,MATCH(ROWS($AG$2:AG572),$AG$2:$AG$1001,0),0), INDEX($AN$1004:$BO$1004,1,MATCH(COLUMNS($AN$1006:AW1006),$AN$1006:$BO$1006,0)))),"Fix")))</f>
        <v>0</v>
      </c>
      <c r="L572" s="4">
        <f>IF(OR(INDEX($AH$2:$AH$1001,MATCH(ROWS($AG$2:AG572),$AG$2:$AG$1001,0),1)&gt;=100000,INDEX($AN$1005:$BO$1005,1,MATCH(COLUMNS($AN$1006:AX1006),$AN$1006:$BO$1006,0))&gt;=100000), " ",IF(INDEX($AN$2:$BO$1001,MATCH(ROWS($AG$2:AG572),$AG$2:$AG$1001,0),MATCH(COLUMNS($AN$1006:AX1006),$AN$1006:$BO$1006,0)), HYPERLINK("#",""), HYPERLINK(CONCATENATE("#Metadata!", ADDRESS(INDEX($AI$2:$AI$1001,MATCH(ROWS($AG$2:AG572),$AG$2:$AG$1001,0),0), INDEX($AN$1004:$BO$1004,1,MATCH(COLUMNS($AN$1006:AX1006),$AN$1006:$BO$1006,0)))),"Fix")))</f>
        <v>0</v>
      </c>
      <c r="M572" s="4">
        <f>IF(OR(INDEX($AH$2:$AH$1001,MATCH(ROWS($AG$2:AG572),$AG$2:$AG$1001,0),1)&gt;=100000,INDEX($AN$1005:$BO$1005,1,MATCH(COLUMNS($AN$1006:AY1006),$AN$1006:$BO$1006,0))&gt;=100000), " ",IF(INDEX($AN$2:$BO$1001,MATCH(ROWS($AG$2:AG572),$AG$2:$AG$1001,0),MATCH(COLUMNS($AN$1006:AY1006),$AN$1006:$BO$1006,0)), HYPERLINK("#",""), HYPERLINK(CONCATENATE("#Metadata!", ADDRESS(INDEX($AI$2:$AI$1001,MATCH(ROWS($AG$2:AG572),$AG$2:$AG$1001,0),0), INDEX($AN$1004:$BO$1004,1,MATCH(COLUMNS($AN$1006:AY1006),$AN$1006:$BO$1006,0)))),"Fix")))</f>
        <v>0</v>
      </c>
      <c r="N572" s="4">
        <f>IF(OR(INDEX($AH$2:$AH$1001,MATCH(ROWS($AG$2:AG572),$AG$2:$AG$1001,0),1)&gt;=100000,INDEX($AN$1005:$BO$1005,1,MATCH(COLUMNS($AN$1006:AZ1006),$AN$1006:$BO$1006,0))&gt;=100000), " ",IF(INDEX($AN$2:$BO$1001,MATCH(ROWS($AG$2:AG572),$AG$2:$AG$1001,0),MATCH(COLUMNS($AN$1006:AZ1006),$AN$1006:$BO$1006,0)), HYPERLINK("#",""), HYPERLINK(CONCATENATE("#Metadata!", ADDRESS(INDEX($AI$2:$AI$1001,MATCH(ROWS($AG$2:AG572),$AG$2:$AG$1001,0),0), INDEX($AN$1004:$BO$1004,1,MATCH(COLUMNS($AN$1006:AZ1006),$AN$1006:$BO$1006,0)))),"Fix")))</f>
        <v>0</v>
      </c>
      <c r="O572" s="4">
        <f>IF(OR(INDEX($AH$2:$AH$1001,MATCH(ROWS($AG$2:AG572),$AG$2:$AG$1001,0),1)&gt;=100000,INDEX($AN$1005:$BO$1005,1,MATCH(COLUMNS($AN$1006:BA1006),$AN$1006:$BO$1006,0))&gt;=100000), " ",IF(INDEX($AN$2:$BO$1001,MATCH(ROWS($AG$2:AG572),$AG$2:$AG$1001,0),MATCH(COLUMNS($AN$1006:BA1006),$AN$1006:$BO$1006,0)), HYPERLINK("#",""), HYPERLINK(CONCATENATE("#Metadata!", ADDRESS(INDEX($AI$2:$AI$1001,MATCH(ROWS($AG$2:AG572),$AG$2:$AG$1001,0),0), INDEX($AN$1004:$BO$1004,1,MATCH(COLUMNS($AN$1006:BA1006),$AN$1006:$BO$1006,0)))),"Fix")))</f>
        <v>0</v>
      </c>
      <c r="P572" s="4">
        <f>IF(OR(INDEX($AH$2:$AH$1001,MATCH(ROWS($AG$2:AG572),$AG$2:$AG$1001,0),1)&gt;=100000,INDEX($AN$1005:$BO$1005,1,MATCH(COLUMNS($AN$1006:BB1006),$AN$1006:$BO$1006,0))&gt;=100000), " ",IF(INDEX($AN$2:$BO$1001,MATCH(ROWS($AG$2:AG572),$AG$2:$AG$1001,0),MATCH(COLUMNS($AN$1006:BB1006),$AN$1006:$BO$1006,0)), HYPERLINK("#",""), HYPERLINK(CONCATENATE("#Metadata!", ADDRESS(INDEX($AI$2:$AI$1001,MATCH(ROWS($AG$2:AG572),$AG$2:$AG$1001,0),0), INDEX($AN$1004:$BO$1004,1,MATCH(COLUMNS($AN$1006:BB1006),$AN$1006:$BO$1006,0)))),"Fix")))</f>
        <v>0</v>
      </c>
      <c r="Q572" s="4">
        <f>IF(OR(INDEX($AH$2:$AH$1001,MATCH(ROWS($AG$2:AG572),$AG$2:$AG$1001,0),1)&gt;=100000,INDEX($AN$1005:$BO$1005,1,MATCH(COLUMNS($AN$1006:BC1006),$AN$1006:$BO$1006,0))&gt;=100000), " ",IF(INDEX($AN$2:$BO$1001,MATCH(ROWS($AG$2:AG572),$AG$2:$AG$1001,0),MATCH(COLUMNS($AN$1006:BC1006),$AN$1006:$BO$1006,0)), HYPERLINK("#",""), HYPERLINK(CONCATENATE("#Metadata!", ADDRESS(INDEX($AI$2:$AI$1001,MATCH(ROWS($AG$2:AG572),$AG$2:$AG$1001,0),0), INDEX($AN$1004:$BO$1004,1,MATCH(COLUMNS($AN$1006:BC1006),$AN$1006:$BO$1006,0)))),"Fix")))</f>
        <v>0</v>
      </c>
      <c r="R572" s="4">
        <f>IF(OR(INDEX($AH$2:$AH$1001,MATCH(ROWS($AG$2:AG572),$AG$2:$AG$1001,0),1)&gt;=100000,INDEX($AN$1005:$BO$1005,1,MATCH(COLUMNS($AN$1006:BD1006),$AN$1006:$BO$1006,0))&gt;=100000), " ",IF(INDEX($AN$2:$BO$1001,MATCH(ROWS($AG$2:AG572),$AG$2:$AG$1001,0),MATCH(COLUMNS($AN$1006:BD1006),$AN$1006:$BO$1006,0)), HYPERLINK("#",""), HYPERLINK(CONCATENATE("#Metadata!", ADDRESS(INDEX($AI$2:$AI$1001,MATCH(ROWS($AG$2:AG572),$AG$2:$AG$1001,0),0), INDEX($AN$1004:$BO$1004,1,MATCH(COLUMNS($AN$1006:BD1006),$AN$1006:$BO$1006,0)))),"Fix")))</f>
        <v>0</v>
      </c>
      <c r="S572" s="4">
        <f>IF(OR(INDEX($AH$2:$AH$1001,MATCH(ROWS($AG$2:AG572),$AG$2:$AG$1001,0),1)&gt;=100000,INDEX($AN$1005:$BO$1005,1,MATCH(COLUMNS($AN$1006:BE1006),$AN$1006:$BO$1006,0))&gt;=100000), " ",IF(INDEX($AN$2:$BO$1001,MATCH(ROWS($AG$2:AG572),$AG$2:$AG$1001,0),MATCH(COLUMNS($AN$1006:BE1006),$AN$1006:$BO$1006,0)), HYPERLINK("#",""), HYPERLINK(CONCATENATE("#Metadata!", ADDRESS(INDEX($AI$2:$AI$1001,MATCH(ROWS($AG$2:AG572),$AG$2:$AG$1001,0),0), INDEX($AN$1004:$BO$1004,1,MATCH(COLUMNS($AN$1006:BE1006),$AN$1006:$BO$1006,0)))),"Fix")))</f>
        <v>0</v>
      </c>
      <c r="T572" s="4">
        <f>IF(OR(INDEX($AH$2:$AH$1001,MATCH(ROWS($AG$2:AG572),$AG$2:$AG$1001,0),1)&gt;=100000,INDEX($AN$1005:$BO$1005,1,MATCH(COLUMNS($AN$1006:BF1006),$AN$1006:$BO$1006,0))&gt;=100000), " ",IF(INDEX($AN$2:$BO$1001,MATCH(ROWS($AG$2:AG572),$AG$2:$AG$1001,0),MATCH(COLUMNS($AN$1006:BF1006),$AN$1006:$BO$1006,0)), HYPERLINK("#",""), HYPERLINK(CONCATENATE("#Metadata!", ADDRESS(INDEX($AI$2:$AI$1001,MATCH(ROWS($AG$2:AG572),$AG$2:$AG$1001,0),0), INDEX($AN$1004:$BO$1004,1,MATCH(COLUMNS($AN$1006:BF1006),$AN$1006:$BO$1006,0)))),"Fix")))</f>
        <v>0</v>
      </c>
      <c r="U572" s="4">
        <f>IF(OR(INDEX($AH$2:$AH$1001,MATCH(ROWS($AG$2:AG572),$AG$2:$AG$1001,0),1)&gt;=100000,INDEX($AN$1005:$BO$1005,1,MATCH(COLUMNS($AN$1006:BG1006),$AN$1006:$BO$1006,0))&gt;=100000), " ",IF(INDEX($AN$2:$BO$1001,MATCH(ROWS($AG$2:AG572),$AG$2:$AG$1001,0),MATCH(COLUMNS($AN$1006:BG1006),$AN$1006:$BO$1006,0)), HYPERLINK("#",""), HYPERLINK(CONCATENATE("#Metadata!", ADDRESS(INDEX($AI$2:$AI$1001,MATCH(ROWS($AG$2:AG572),$AG$2:$AG$1001,0),0), INDEX($AN$1004:$BO$1004,1,MATCH(COLUMNS($AN$1006:BG1006),$AN$1006:$BO$1006,0)))),"Fix")))</f>
        <v>0</v>
      </c>
      <c r="V572" s="4">
        <f>IF(OR(INDEX($AH$2:$AH$1001,MATCH(ROWS($AG$2:AG572),$AG$2:$AG$1001,0),1)&gt;=100000,INDEX($AN$1005:$BO$1005,1,MATCH(COLUMNS($AN$1006:BH1006),$AN$1006:$BO$1006,0))&gt;=100000), " ",IF(INDEX($AN$2:$BO$1001,MATCH(ROWS($AG$2:AG572),$AG$2:$AG$1001,0),MATCH(COLUMNS($AN$1006:BH1006),$AN$1006:$BO$1006,0)), HYPERLINK("#",""), HYPERLINK(CONCATENATE("#Metadata!", ADDRESS(INDEX($AI$2:$AI$1001,MATCH(ROWS($AG$2:AG572),$AG$2:$AG$1001,0),0), INDEX($AN$1004:$BO$1004,1,MATCH(COLUMNS($AN$1006:BH1006),$AN$1006:$BO$1006,0)))),"Fix")))</f>
        <v>0</v>
      </c>
      <c r="W572" s="4">
        <f>IF(OR(INDEX($AH$2:$AH$1001,MATCH(ROWS($AG$2:AG572),$AG$2:$AG$1001,0),1)&gt;=100000,INDEX($AN$1005:$BO$1005,1,MATCH(COLUMNS($AN$1006:BI1006),$AN$1006:$BO$1006,0))&gt;=100000), " ",IF(INDEX($AN$2:$BO$1001,MATCH(ROWS($AG$2:AG572),$AG$2:$AG$1001,0),MATCH(COLUMNS($AN$1006:BI1006),$AN$1006:$BO$1006,0)), HYPERLINK("#",""), HYPERLINK(CONCATENATE("#Metadata!", ADDRESS(INDEX($AI$2:$AI$1001,MATCH(ROWS($AG$2:AG572),$AG$2:$AG$1001,0),0), INDEX($AN$1004:$BO$1004,1,MATCH(COLUMNS($AN$1006:BI1006),$AN$1006:$BO$1006,0)))),"Fix")))</f>
        <v>0</v>
      </c>
      <c r="X572" s="4">
        <f>IF(OR(INDEX($AH$2:$AH$1001,MATCH(ROWS($AG$2:AG572),$AG$2:$AG$1001,0),1)&gt;=100000,INDEX($AN$1005:$BO$1005,1,MATCH(COLUMNS($AN$1006:BJ1006),$AN$1006:$BO$1006,0))&gt;=100000), " ",IF(INDEX($AN$2:$BO$1001,MATCH(ROWS($AG$2:AG572),$AG$2:$AG$1001,0),MATCH(COLUMNS($AN$1006:BJ1006),$AN$1006:$BO$1006,0)), HYPERLINK("#",""), HYPERLINK(CONCATENATE("#Metadata!", ADDRESS(INDEX($AI$2:$AI$1001,MATCH(ROWS($AG$2:AG572),$AG$2:$AG$1001,0),0), INDEX($AN$1004:$BO$1004,1,MATCH(COLUMNS($AN$1006:BJ1006),$AN$1006:$BO$1006,0)))),"Fix")))</f>
        <v>0</v>
      </c>
      <c r="Y572" s="4">
        <f>IF(OR(INDEX($AH$2:$AH$1001,MATCH(ROWS($AG$2:AG572),$AG$2:$AG$1001,0),1)&gt;=100000,INDEX($AN$1005:$BO$1005,1,MATCH(COLUMNS($AN$1006:BK1006),$AN$1006:$BO$1006,0))&gt;=100000), " ",IF(INDEX($AN$2:$BO$1001,MATCH(ROWS($AG$2:AG572),$AG$2:$AG$1001,0),MATCH(COLUMNS($AN$1006:BK1006),$AN$1006:$BO$1006,0)), HYPERLINK("#",""), HYPERLINK(CONCATENATE("#Metadata!", ADDRESS(INDEX($AI$2:$AI$1001,MATCH(ROWS($AG$2:AG572),$AG$2:$AG$1001,0),0), INDEX($AN$1004:$BO$1004,1,MATCH(COLUMNS($AN$1006:BK1006),$AN$1006:$BO$1006,0)))),"Fix")))</f>
        <v>0</v>
      </c>
      <c r="Z572" s="4">
        <f>IF(OR(INDEX($AH$2:$AH$1001,MATCH(ROWS($AG$2:AG572),$AG$2:$AG$1001,0),1)&gt;=100000,INDEX($AN$1005:$BO$1005,1,MATCH(COLUMNS($AN$1006:BL1006),$AN$1006:$BO$1006,0))&gt;=100000), " ",IF(INDEX($AN$2:$BO$1001,MATCH(ROWS($AG$2:AG572),$AG$2:$AG$1001,0),MATCH(COLUMNS($AN$1006:BL1006),$AN$1006:$BO$1006,0)), HYPERLINK("#",""), HYPERLINK(CONCATENATE("#Metadata!", ADDRESS(INDEX($AI$2:$AI$1001,MATCH(ROWS($AG$2:AG572),$AG$2:$AG$1001,0),0), INDEX($AN$1004:$BO$1004,1,MATCH(COLUMNS($AN$1006:BL1006),$AN$1006:$BO$1006,0)))),"Fix")))</f>
        <v>0</v>
      </c>
      <c r="AA572" s="4">
        <f>IF(OR(INDEX($AH$2:$AH$1001,MATCH(ROWS($AG$2:AG572),$AG$2:$AG$1001,0),1)&gt;=100000,INDEX($AN$1005:$BO$1005,1,MATCH(COLUMNS($AN$1006:BM1006),$AN$1006:$BO$1006,0))&gt;=100000), " ",IF(INDEX($AN$2:$BO$1001,MATCH(ROWS($AG$2:AG572),$AG$2:$AG$1001,0),MATCH(COLUMNS($AN$1006:BM1006),$AN$1006:$BO$1006,0)), HYPERLINK("#",""), HYPERLINK(CONCATENATE("#Metadata!", ADDRESS(INDEX($AI$2:$AI$1001,MATCH(ROWS($AG$2:AG572),$AG$2:$AG$1001,0),0), INDEX($AN$1004:$BO$1004,1,MATCH(COLUMNS($AN$1006:BM1006),$AN$1006:$BO$1006,0)))),"Fix")))</f>
        <v>0</v>
      </c>
      <c r="AB572" s="4">
        <f>IF(OR(INDEX($AH$2:$AH$1001,MATCH(ROWS($AG$2:AG572),$AG$2:$AG$1001,0),1)&gt;=100000,INDEX($AN$1005:$BO$1005,1,MATCH(COLUMNS($AN$1006:BN1006),$AN$1006:$BO$1006,0))&gt;=100000), " ",IF(INDEX($AN$2:$BO$1001,MATCH(ROWS($AG$2:AG572),$AG$2:$AG$1001,0),MATCH(COLUMNS($AN$1006:BN1006),$AN$1006:$BO$1006,0)), HYPERLINK("#",""), HYPERLINK(CONCATENATE("#Metadata!", ADDRESS(INDEX($AI$2:$AI$1001,MATCH(ROWS($AG$2:AG572),$AG$2:$AG$1001,0),0), INDEX($AN$1004:$BO$1004,1,MATCH(COLUMNS($AN$1006:BN1006),$AN$1006:$BO$1006,0)))),"Fix")))</f>
        <v>0</v>
      </c>
      <c r="AC572" s="4">
        <f>IF(OR(INDEX($AH$2:$AH$1001,MATCH(ROWS($AG$2:AG572),$AG$2:$AG$1001,0),1)&gt;=100000,INDEX($AN$1005:$BO$1005,1,MATCH(COLUMNS($AN$1006:BO1006),$AN$1006:$BO$1006,0))&gt;=100000), " ",IF(INDEX($AN$2:$BO$1001,MATCH(ROWS($AG$2:AG572),$AG$2:$AG$1001,0),MATCH(COLUMNS($AN$1006:BO1006),$AN$1006:$BO$1006,0)), HYPERLINK("#",""), HYPERLINK(CONCATENATE("#Metadata!", ADDRESS(INDEX($AI$2:$AI$1001,MATCH(ROWS($AG$2:AG572),$AG$2:$AG$1001,0),0), INDEX($AN$1004:$BO$1004,1,MATCH(COLUMNS($AN$1006:BO1006),$AN$1006:$BO$1006,0)))),"Fix")))</f>
        <v>0</v>
      </c>
      <c r="AG572">
        <v>0</v>
      </c>
      <c r="AH572">
        <v>0</v>
      </c>
      <c r="AI572">
        <v>0</v>
      </c>
      <c r="AJ572">
        <f>IF(AK572,TRUE,AND(AN572:BO572))</f>
        <v>0</v>
      </c>
      <c r="AK572">
        <f>COUNTBLANK(Metadata!B572:AC572)=COLUMNS(Metadata!B572:AC572)</f>
        <v>0</v>
      </c>
      <c r="AL572">
        <v>0</v>
      </c>
      <c r="AN572">
        <f>AND(IF(Metadata!B572="",FALSE,TRUE),COUNTIF(Metadata!B:B, Metadata!B572) = 1,NOT(ISERROR(SUMPRODUCT(SEARCH(MID(Metadata!B572,ROW(INDIRECT("1:"&amp;LEN(Metadata!B572))), 1),"0123456789abcdefghijklmnopqrstuvwxyzABCDEFGHIJKLMNOPQRSTUVWXYZ.")))))</f>
        <v>0</v>
      </c>
      <c r="AO572">
        <f>IF(Metadata!C572="",FALSE,TRUE)</f>
        <v>0</v>
      </c>
      <c r="AP572">
        <f>IF(Metadata!D572="",FALSE,TRUE)</f>
        <v>0</v>
      </c>
      <c r="AQ572">
        <f>OR(AND(IF(Metadata!E572="",FALSE,TRUE),OR(exact(Metadata!E572,"not collected"),exact(Metadata!E572,"not provided"),exact(Metadata!E572,"restricted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R572">
        <f>IF(Metadata!F572="",FALSE,TRUE)</f>
        <v>0</v>
      </c>
      <c r="AS572">
        <f>OR(AND(IF(Metadata!G572="",FALSE,TRUE),OR(exact(Metadata!G572,"not collected"),exact(Metadata!G572,"not provided"))),AND(IF(Metadata!G572="",FALSE,TRUE),OR(exact(Metadata!G572,"TRUE"),exact(Metadata!G572,"FALSE"))))</f>
        <v>0</v>
      </c>
      <c r="AT572">
        <f>OR(AND(IF(Metadata!H572="",FALSE,TRUE),OR(exact(Metadata!H572,"not collected"),exact(Metadata!H572,"not provided"),exact(Metadata!H572,"restricted access"))),AND(IF(Metadata!H572="",FALSE,ISNUMBER(VALUE(Metadata!H572))),Metadata!H572&gt;=-413.0))</f>
        <v>0</v>
      </c>
      <c r="AU572">
        <f>AND(IF(Metadata!I572="",FALSE,TRUE),exact(Metadata!I572,"meters"))</f>
        <v>0</v>
      </c>
      <c r="AV572">
        <f>AND(IF(Metadata!J572="",FALSE,TRUE),OR(exact(Metadata!J572,"Host-associated"),exact(Metadata!J572,"Free-living")))</f>
        <v>0</v>
      </c>
      <c r="AW572">
        <f>AND(IF(Metadata!K572="",FALSE,TRUE),OR(exact(Metadata!K572,"Animal"),exact(Metadata!K572,"Fungus"),exact(Metadata!K572,"Plant"),exact(Metadata!K572,"Saline"),exact(Metadata!K572,"Non-saline")))</f>
        <v>0</v>
      </c>
      <c r="AX572">
        <f>AND(IF(Metadata!L572="",FALSE,TRUE),OR(exact(Metadata!L572,"Plant secretion"),exact(Metadata!L572,"Plant rhizosphere"),exact(Metadata!L572,"Plant surface"),exact(Metadata!L572,"Plant corpus"),exact(Metadata!L572,"Fungus surface"),exact(Metadata!L572,"Fungus corpus"),exact(Metadata!L572,"Animal surface"),exact(Metadata!L572,"Animal proximal gut"),exact(Metadata!L572,"Animal corpus"),exact(Metadata!L572,"Animal distal gut"),exact(Metadata!L572,"Animal secretion"),exact(Metadata!L572,"Sub-surface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Y572">
        <f>IF(Metadata!M572="",FALSE,TRUE)</f>
        <v>0</v>
      </c>
      <c r="AZ572">
        <f>IF(Metadata!N572="",FALSE,TRUE)</f>
        <v>0</v>
      </c>
      <c r="BA572">
        <f>IF(Metadata!O572="",FALSE,TRUE)</f>
        <v>0</v>
      </c>
      <c r="BB572">
        <f>OR(AND(IF(Metadata!P572="",FALSE,TRUE),OR(exact(Metadata!P572,"not collected"),exact(Metadata!P572,"not provided"),exact(Metadata!P572,"restricted access"))),AND(IF(Metadata!P572="",FALSE,TRUE),OR(exact(Metadata!P572,"air"),exact(Metadata!P572,"built environment"),exact(Metadata!P572,"host-associated"),exact(Metadata!P572,"human-associated"),exact(Metadata!P572,"human-skin"),exact(Metadata!P572,"human-oral"),exact(Metadata!P572,"human-gut"),exact(Metadata!P572,"human-vaginal"),exact(Metadata!P572,"microbial mat/biofilm"),exact(Metadata!P572,"misc environment"),exact(Metadata!P572,"plant-associated"),exact(Metadata!P572,"sediment"),exact(Metadata!P572,"soil"),exact(Metadata!P572,"wastewater/sludge"),exact(Metadata!P572,"water"))))</f>
        <v>0</v>
      </c>
      <c r="BC572">
        <f>IF(Metadata!Q572="",FALSE,TRUE)</f>
        <v>0</v>
      </c>
      <c r="BD572">
        <f>IF(Metadata!R572="",FALSE,TRUE)</f>
        <v>0</v>
      </c>
      <c r="BE572">
        <f>OR(AND(IF(Metadata!S572="",FALSE,TRUE),OR(exact(Metadata!S572,"not collected"),exact(Metadata!S572,"not provided"),exact(Metadata!S572,"restricted access"))),AND(IF(Metadata!S572="",FALSE,ISNUMBER(VALUE(Metadata!S572))),Metadata!S572&gt;=-90.00,Metadata!S572&lt;=90.00))</f>
        <v>0</v>
      </c>
      <c r="BF572">
        <f>AND(IF(Metadata!T572="",FALSE,TRUE),exact(Metadata!T572,"Decimal degrees"))</f>
        <v>0</v>
      </c>
      <c r="BG572">
        <f>OR(AND(IF(Metadata!U572="",FALSE,TRUE),OR(exact(Metadata!U572,"not collected"),exact(Metadata!U572,"not provided"),exact(Metadata!U572,"restricted access"))),AND(IF(Metadata!U572="",FALSE,ISNUMBER(VALUE(Metadata!U572))),Metadata!U572&gt;=-180.00,Metadata!U572&lt;=180.00))</f>
        <v>0</v>
      </c>
      <c r="BH572">
        <f>AND(IF(Metadata!V572="",FALSE,TRUE),exact(Metadata!V572,"Decimal degrees"))</f>
        <v>0</v>
      </c>
      <c r="BI572">
        <f>IF(Metadata!W572="",FALSE,TRUE)</f>
        <v>0</v>
      </c>
      <c r="BJ572">
        <f>OR(AND(IF(Metadata!X572="",FALSE,TRUE),OR(exact(Metadata!X572,"not collected"),exact(Metadata!X572,"not provided"),exact(Metadata!X572,"restricted access"))),AND(IF(Metadata!X572="",FALSE,TRUE),OR(exact(Metadata!X572,"TRUE"),exact(Metadata!X572,"FALSE"))))</f>
        <v>0</v>
      </c>
      <c r="BK572">
        <f>AND(IF(Metadata!Y572="",FALSE,TRUE),exact(Metadata!Y572,"other"))</f>
        <v>0</v>
      </c>
      <c r="BL572">
        <f>IF(Metadata!Z572="",FALSE,TRUE)</f>
        <v>0</v>
      </c>
      <c r="BM572">
        <f>OR(AND(IF(Metadata!AA572="",FALSE,TRUE),OR(exact(Metadata!AA572,"not collected"),exact(Metadata!AA572,"not provided"))),AND(IF(Metadata!AA572="",FALSE,IF(ISERROR(INT(Metadata!AA572)),FALSE,INT(Metadata!AA572)=Metadata!AA572)),Metadata!AA572&gt;0))</f>
        <v>0</v>
      </c>
      <c r="BN572">
        <f>AND(IF(Metadata!AB572="",FALSE,TRUE),exact(Metadata!AB572,"Not applicable"))</f>
        <v>0</v>
      </c>
      <c r="BO572">
        <f>IF(Metadata!AC572="",FALSE,TRUE)</f>
        <v>0</v>
      </c>
    </row>
    <row r="573" spans="1:67">
      <c r="A573" s="5">
        <f>IF(B573=" "," ",HYPERLINK(CONCATENATE("#metadata!",ADDRESS(INDEX($AI$2:$AI$1001,MATCH(ROWS($AG$2:AG573),$AG$2:$AG$1001,0),0),1)),INDEX($AL$2:$AL$1001,MATCH(ROWS($AG$2:AG573),$AG$2:$AG$1001,0),0)))</f>
        <v>0</v>
      </c>
      <c r="B573" s="4">
        <f>IF(OR(INDEX($AH$2:$AH$1001,MATCH(ROWS($AG$2:AG573),$AG$2:$AG$1001,0),1)&gt;=100000,INDEX($AN$1005:$BO$1005,1,MATCH(COLUMNS($AN$1006:AN1006),$AN$1006:$BO$1006,0))&gt;=100000), " ",IF(INDEX($AN$2:$BO$1001,MATCH(ROWS($AG$2:AG573),$AG$2:$AG$1001,0),MATCH(COLUMNS($AN$1006:AN1006),$AN$1006:$BO$1006,0)), HYPERLINK("#",""), HYPERLINK(CONCATENATE("#Metadata!", ADDRESS(INDEX($AI$2:$AI$1001,MATCH(ROWS($AG$2:AG573),$AG$2:$AG$1001,0),0), INDEX($AN$1004:$BO$1004,1,MATCH(COLUMNS($AN$1006:AN1006),$AN$1006:$BO$1006,0)))),"Fix")))</f>
        <v>0</v>
      </c>
      <c r="C573" s="4">
        <f>IF(OR(INDEX($AH$2:$AH$1001,MATCH(ROWS($AG$2:AG573),$AG$2:$AG$1001,0),1)&gt;=100000,INDEX($AN$1005:$BO$1005,1,MATCH(COLUMNS($AN$1006:AO1006),$AN$1006:$BO$1006,0))&gt;=100000), " ",IF(INDEX($AN$2:$BO$1001,MATCH(ROWS($AG$2:AG573),$AG$2:$AG$1001,0),MATCH(COLUMNS($AN$1006:AO1006),$AN$1006:$BO$1006,0)), HYPERLINK("#",""), HYPERLINK(CONCATENATE("#Metadata!", ADDRESS(INDEX($AI$2:$AI$1001,MATCH(ROWS($AG$2:AG573),$AG$2:$AG$1001,0),0), INDEX($AN$1004:$BO$1004,1,MATCH(COLUMNS($AN$1006:AO1006),$AN$1006:$BO$1006,0)))),"Fix")))</f>
        <v>0</v>
      </c>
      <c r="D573" s="4">
        <f>IF(OR(INDEX($AH$2:$AH$1001,MATCH(ROWS($AG$2:AG573),$AG$2:$AG$1001,0),1)&gt;=100000,INDEX($AN$1005:$BO$1005,1,MATCH(COLUMNS($AN$1006:AP1006),$AN$1006:$BO$1006,0))&gt;=100000), " ",IF(INDEX($AN$2:$BO$1001,MATCH(ROWS($AG$2:AG573),$AG$2:$AG$1001,0),MATCH(COLUMNS($AN$1006:AP1006),$AN$1006:$BO$1006,0)), HYPERLINK("#",""), HYPERLINK(CONCATENATE("#Metadata!", ADDRESS(INDEX($AI$2:$AI$1001,MATCH(ROWS($AG$2:AG573),$AG$2:$AG$1001,0),0), INDEX($AN$1004:$BO$1004,1,MATCH(COLUMNS($AN$1006:AP1006),$AN$1006:$BO$1006,0)))),"Fix")))</f>
        <v>0</v>
      </c>
      <c r="E573" s="4">
        <f>IF(OR(INDEX($AH$2:$AH$1001,MATCH(ROWS($AG$2:AG573),$AG$2:$AG$1001,0),1)&gt;=100000,INDEX($AN$1005:$BO$1005,1,MATCH(COLUMNS($AN$1006:AQ1006),$AN$1006:$BO$1006,0))&gt;=100000), " ",IF(INDEX($AN$2:$BO$1001,MATCH(ROWS($AG$2:AG573),$AG$2:$AG$1001,0),MATCH(COLUMNS($AN$1006:AQ1006),$AN$1006:$BO$1006,0)), HYPERLINK("#",""), HYPERLINK(CONCATENATE("#Metadata!", ADDRESS(INDEX($AI$2:$AI$1001,MATCH(ROWS($AG$2:AG573),$AG$2:$AG$1001,0),0), INDEX($AN$1004:$BO$1004,1,MATCH(COLUMNS($AN$1006:AQ1006),$AN$1006:$BO$1006,0)))),"Fix")))</f>
        <v>0</v>
      </c>
      <c r="F573" s="4">
        <f>IF(OR(INDEX($AH$2:$AH$1001,MATCH(ROWS($AG$2:AG573),$AG$2:$AG$1001,0),1)&gt;=100000,INDEX($AN$1005:$BO$1005,1,MATCH(COLUMNS($AN$1006:AR1006),$AN$1006:$BO$1006,0))&gt;=100000), " ",IF(INDEX($AN$2:$BO$1001,MATCH(ROWS($AG$2:AG573),$AG$2:$AG$1001,0),MATCH(COLUMNS($AN$1006:AR1006),$AN$1006:$BO$1006,0)), HYPERLINK("#",""), HYPERLINK(CONCATENATE("#Metadata!", ADDRESS(INDEX($AI$2:$AI$1001,MATCH(ROWS($AG$2:AG573),$AG$2:$AG$1001,0),0), INDEX($AN$1004:$BO$1004,1,MATCH(COLUMNS($AN$1006:AR1006),$AN$1006:$BO$1006,0)))),"Fix")))</f>
        <v>0</v>
      </c>
      <c r="G573" s="4">
        <f>IF(OR(INDEX($AH$2:$AH$1001,MATCH(ROWS($AG$2:AG573),$AG$2:$AG$1001,0),1)&gt;=100000,INDEX($AN$1005:$BO$1005,1,MATCH(COLUMNS($AN$1006:AS1006),$AN$1006:$BO$1006,0))&gt;=100000), " ",IF(INDEX($AN$2:$BO$1001,MATCH(ROWS($AG$2:AG573),$AG$2:$AG$1001,0),MATCH(COLUMNS($AN$1006:AS1006),$AN$1006:$BO$1006,0)), HYPERLINK("#",""), HYPERLINK(CONCATENATE("#Metadata!", ADDRESS(INDEX($AI$2:$AI$1001,MATCH(ROWS($AG$2:AG573),$AG$2:$AG$1001,0),0), INDEX($AN$1004:$BO$1004,1,MATCH(COLUMNS($AN$1006:AS1006),$AN$1006:$BO$1006,0)))),"Fix")))</f>
        <v>0</v>
      </c>
      <c r="H573" s="4">
        <f>IF(OR(INDEX($AH$2:$AH$1001,MATCH(ROWS($AG$2:AG573),$AG$2:$AG$1001,0),1)&gt;=100000,INDEX($AN$1005:$BO$1005,1,MATCH(COLUMNS($AN$1006:AT1006),$AN$1006:$BO$1006,0))&gt;=100000), " ",IF(INDEX($AN$2:$BO$1001,MATCH(ROWS($AG$2:AG573),$AG$2:$AG$1001,0),MATCH(COLUMNS($AN$1006:AT1006),$AN$1006:$BO$1006,0)), HYPERLINK("#",""), HYPERLINK(CONCATENATE("#Metadata!", ADDRESS(INDEX($AI$2:$AI$1001,MATCH(ROWS($AG$2:AG573),$AG$2:$AG$1001,0),0), INDEX($AN$1004:$BO$1004,1,MATCH(COLUMNS($AN$1006:AT1006),$AN$1006:$BO$1006,0)))),"Fix")))</f>
        <v>0</v>
      </c>
      <c r="I573" s="4">
        <f>IF(OR(INDEX($AH$2:$AH$1001,MATCH(ROWS($AG$2:AG573),$AG$2:$AG$1001,0),1)&gt;=100000,INDEX($AN$1005:$BO$1005,1,MATCH(COLUMNS($AN$1006:AU1006),$AN$1006:$BO$1006,0))&gt;=100000), " ",IF(INDEX($AN$2:$BO$1001,MATCH(ROWS($AG$2:AG573),$AG$2:$AG$1001,0),MATCH(COLUMNS($AN$1006:AU1006),$AN$1006:$BO$1006,0)), HYPERLINK("#",""), HYPERLINK(CONCATENATE("#Metadata!", ADDRESS(INDEX($AI$2:$AI$1001,MATCH(ROWS($AG$2:AG573),$AG$2:$AG$1001,0),0), INDEX($AN$1004:$BO$1004,1,MATCH(COLUMNS($AN$1006:AU1006),$AN$1006:$BO$1006,0)))),"Fix")))</f>
        <v>0</v>
      </c>
      <c r="J573" s="4">
        <f>IF(OR(INDEX($AH$2:$AH$1001,MATCH(ROWS($AG$2:AG573),$AG$2:$AG$1001,0),1)&gt;=100000,INDEX($AN$1005:$BO$1005,1,MATCH(COLUMNS($AN$1006:AV1006),$AN$1006:$BO$1006,0))&gt;=100000), " ",IF(INDEX($AN$2:$BO$1001,MATCH(ROWS($AG$2:AG573),$AG$2:$AG$1001,0),MATCH(COLUMNS($AN$1006:AV1006),$AN$1006:$BO$1006,0)), HYPERLINK("#",""), HYPERLINK(CONCATENATE("#Metadata!", ADDRESS(INDEX($AI$2:$AI$1001,MATCH(ROWS($AG$2:AG573),$AG$2:$AG$1001,0),0), INDEX($AN$1004:$BO$1004,1,MATCH(COLUMNS($AN$1006:AV1006),$AN$1006:$BO$1006,0)))),"Fix")))</f>
        <v>0</v>
      </c>
      <c r="K573" s="4">
        <f>IF(OR(INDEX($AH$2:$AH$1001,MATCH(ROWS($AG$2:AG573),$AG$2:$AG$1001,0),1)&gt;=100000,INDEX($AN$1005:$BO$1005,1,MATCH(COLUMNS($AN$1006:AW1006),$AN$1006:$BO$1006,0))&gt;=100000), " ",IF(INDEX($AN$2:$BO$1001,MATCH(ROWS($AG$2:AG573),$AG$2:$AG$1001,0),MATCH(COLUMNS($AN$1006:AW1006),$AN$1006:$BO$1006,0)), HYPERLINK("#",""), HYPERLINK(CONCATENATE("#Metadata!", ADDRESS(INDEX($AI$2:$AI$1001,MATCH(ROWS($AG$2:AG573),$AG$2:$AG$1001,0),0), INDEX($AN$1004:$BO$1004,1,MATCH(COLUMNS($AN$1006:AW1006),$AN$1006:$BO$1006,0)))),"Fix")))</f>
        <v>0</v>
      </c>
      <c r="L573" s="4">
        <f>IF(OR(INDEX($AH$2:$AH$1001,MATCH(ROWS($AG$2:AG573),$AG$2:$AG$1001,0),1)&gt;=100000,INDEX($AN$1005:$BO$1005,1,MATCH(COLUMNS($AN$1006:AX1006),$AN$1006:$BO$1006,0))&gt;=100000), " ",IF(INDEX($AN$2:$BO$1001,MATCH(ROWS($AG$2:AG573),$AG$2:$AG$1001,0),MATCH(COLUMNS($AN$1006:AX1006),$AN$1006:$BO$1006,0)), HYPERLINK("#",""), HYPERLINK(CONCATENATE("#Metadata!", ADDRESS(INDEX($AI$2:$AI$1001,MATCH(ROWS($AG$2:AG573),$AG$2:$AG$1001,0),0), INDEX($AN$1004:$BO$1004,1,MATCH(COLUMNS($AN$1006:AX1006),$AN$1006:$BO$1006,0)))),"Fix")))</f>
        <v>0</v>
      </c>
      <c r="M573" s="4">
        <f>IF(OR(INDEX($AH$2:$AH$1001,MATCH(ROWS($AG$2:AG573),$AG$2:$AG$1001,0),1)&gt;=100000,INDEX($AN$1005:$BO$1005,1,MATCH(COLUMNS($AN$1006:AY1006),$AN$1006:$BO$1006,0))&gt;=100000), " ",IF(INDEX($AN$2:$BO$1001,MATCH(ROWS($AG$2:AG573),$AG$2:$AG$1001,0),MATCH(COLUMNS($AN$1006:AY1006),$AN$1006:$BO$1006,0)), HYPERLINK("#",""), HYPERLINK(CONCATENATE("#Metadata!", ADDRESS(INDEX($AI$2:$AI$1001,MATCH(ROWS($AG$2:AG573),$AG$2:$AG$1001,0),0), INDEX($AN$1004:$BO$1004,1,MATCH(COLUMNS($AN$1006:AY1006),$AN$1006:$BO$1006,0)))),"Fix")))</f>
        <v>0</v>
      </c>
      <c r="N573" s="4">
        <f>IF(OR(INDEX($AH$2:$AH$1001,MATCH(ROWS($AG$2:AG573),$AG$2:$AG$1001,0),1)&gt;=100000,INDEX($AN$1005:$BO$1005,1,MATCH(COLUMNS($AN$1006:AZ1006),$AN$1006:$BO$1006,0))&gt;=100000), " ",IF(INDEX($AN$2:$BO$1001,MATCH(ROWS($AG$2:AG573),$AG$2:$AG$1001,0),MATCH(COLUMNS($AN$1006:AZ1006),$AN$1006:$BO$1006,0)), HYPERLINK("#",""), HYPERLINK(CONCATENATE("#Metadata!", ADDRESS(INDEX($AI$2:$AI$1001,MATCH(ROWS($AG$2:AG573),$AG$2:$AG$1001,0),0), INDEX($AN$1004:$BO$1004,1,MATCH(COLUMNS($AN$1006:AZ1006),$AN$1006:$BO$1006,0)))),"Fix")))</f>
        <v>0</v>
      </c>
      <c r="O573" s="4">
        <f>IF(OR(INDEX($AH$2:$AH$1001,MATCH(ROWS($AG$2:AG573),$AG$2:$AG$1001,0),1)&gt;=100000,INDEX($AN$1005:$BO$1005,1,MATCH(COLUMNS($AN$1006:BA1006),$AN$1006:$BO$1006,0))&gt;=100000), " ",IF(INDEX($AN$2:$BO$1001,MATCH(ROWS($AG$2:AG573),$AG$2:$AG$1001,0),MATCH(COLUMNS($AN$1006:BA1006),$AN$1006:$BO$1006,0)), HYPERLINK("#",""), HYPERLINK(CONCATENATE("#Metadata!", ADDRESS(INDEX($AI$2:$AI$1001,MATCH(ROWS($AG$2:AG573),$AG$2:$AG$1001,0),0), INDEX($AN$1004:$BO$1004,1,MATCH(COLUMNS($AN$1006:BA1006),$AN$1006:$BO$1006,0)))),"Fix")))</f>
        <v>0</v>
      </c>
      <c r="P573" s="4">
        <f>IF(OR(INDEX($AH$2:$AH$1001,MATCH(ROWS($AG$2:AG573),$AG$2:$AG$1001,0),1)&gt;=100000,INDEX($AN$1005:$BO$1005,1,MATCH(COLUMNS($AN$1006:BB1006),$AN$1006:$BO$1006,0))&gt;=100000), " ",IF(INDEX($AN$2:$BO$1001,MATCH(ROWS($AG$2:AG573),$AG$2:$AG$1001,0),MATCH(COLUMNS($AN$1006:BB1006),$AN$1006:$BO$1006,0)), HYPERLINK("#",""), HYPERLINK(CONCATENATE("#Metadata!", ADDRESS(INDEX($AI$2:$AI$1001,MATCH(ROWS($AG$2:AG573),$AG$2:$AG$1001,0),0), INDEX($AN$1004:$BO$1004,1,MATCH(COLUMNS($AN$1006:BB1006),$AN$1006:$BO$1006,0)))),"Fix")))</f>
        <v>0</v>
      </c>
      <c r="Q573" s="4">
        <f>IF(OR(INDEX($AH$2:$AH$1001,MATCH(ROWS($AG$2:AG573),$AG$2:$AG$1001,0),1)&gt;=100000,INDEX($AN$1005:$BO$1005,1,MATCH(COLUMNS($AN$1006:BC1006),$AN$1006:$BO$1006,0))&gt;=100000), " ",IF(INDEX($AN$2:$BO$1001,MATCH(ROWS($AG$2:AG573),$AG$2:$AG$1001,0),MATCH(COLUMNS($AN$1006:BC1006),$AN$1006:$BO$1006,0)), HYPERLINK("#",""), HYPERLINK(CONCATENATE("#Metadata!", ADDRESS(INDEX($AI$2:$AI$1001,MATCH(ROWS($AG$2:AG573),$AG$2:$AG$1001,0),0), INDEX($AN$1004:$BO$1004,1,MATCH(COLUMNS($AN$1006:BC1006),$AN$1006:$BO$1006,0)))),"Fix")))</f>
        <v>0</v>
      </c>
      <c r="R573" s="4">
        <f>IF(OR(INDEX($AH$2:$AH$1001,MATCH(ROWS($AG$2:AG573),$AG$2:$AG$1001,0),1)&gt;=100000,INDEX($AN$1005:$BO$1005,1,MATCH(COLUMNS($AN$1006:BD1006),$AN$1006:$BO$1006,0))&gt;=100000), " ",IF(INDEX($AN$2:$BO$1001,MATCH(ROWS($AG$2:AG573),$AG$2:$AG$1001,0),MATCH(COLUMNS($AN$1006:BD1006),$AN$1006:$BO$1006,0)), HYPERLINK("#",""), HYPERLINK(CONCATENATE("#Metadata!", ADDRESS(INDEX($AI$2:$AI$1001,MATCH(ROWS($AG$2:AG573),$AG$2:$AG$1001,0),0), INDEX($AN$1004:$BO$1004,1,MATCH(COLUMNS($AN$1006:BD1006),$AN$1006:$BO$1006,0)))),"Fix")))</f>
        <v>0</v>
      </c>
      <c r="S573" s="4">
        <f>IF(OR(INDEX($AH$2:$AH$1001,MATCH(ROWS($AG$2:AG573),$AG$2:$AG$1001,0),1)&gt;=100000,INDEX($AN$1005:$BO$1005,1,MATCH(COLUMNS($AN$1006:BE1006),$AN$1006:$BO$1006,0))&gt;=100000), " ",IF(INDEX($AN$2:$BO$1001,MATCH(ROWS($AG$2:AG573),$AG$2:$AG$1001,0),MATCH(COLUMNS($AN$1006:BE1006),$AN$1006:$BO$1006,0)), HYPERLINK("#",""), HYPERLINK(CONCATENATE("#Metadata!", ADDRESS(INDEX($AI$2:$AI$1001,MATCH(ROWS($AG$2:AG573),$AG$2:$AG$1001,0),0), INDEX($AN$1004:$BO$1004,1,MATCH(COLUMNS($AN$1006:BE1006),$AN$1006:$BO$1006,0)))),"Fix")))</f>
        <v>0</v>
      </c>
      <c r="T573" s="4">
        <f>IF(OR(INDEX($AH$2:$AH$1001,MATCH(ROWS($AG$2:AG573),$AG$2:$AG$1001,0),1)&gt;=100000,INDEX($AN$1005:$BO$1005,1,MATCH(COLUMNS($AN$1006:BF1006),$AN$1006:$BO$1006,0))&gt;=100000), " ",IF(INDEX($AN$2:$BO$1001,MATCH(ROWS($AG$2:AG573),$AG$2:$AG$1001,0),MATCH(COLUMNS($AN$1006:BF1006),$AN$1006:$BO$1006,0)), HYPERLINK("#",""), HYPERLINK(CONCATENATE("#Metadata!", ADDRESS(INDEX($AI$2:$AI$1001,MATCH(ROWS($AG$2:AG573),$AG$2:$AG$1001,0),0), INDEX($AN$1004:$BO$1004,1,MATCH(COLUMNS($AN$1006:BF1006),$AN$1006:$BO$1006,0)))),"Fix")))</f>
        <v>0</v>
      </c>
      <c r="U573" s="4">
        <f>IF(OR(INDEX($AH$2:$AH$1001,MATCH(ROWS($AG$2:AG573),$AG$2:$AG$1001,0),1)&gt;=100000,INDEX($AN$1005:$BO$1005,1,MATCH(COLUMNS($AN$1006:BG1006),$AN$1006:$BO$1006,0))&gt;=100000), " ",IF(INDEX($AN$2:$BO$1001,MATCH(ROWS($AG$2:AG573),$AG$2:$AG$1001,0),MATCH(COLUMNS($AN$1006:BG1006),$AN$1006:$BO$1006,0)), HYPERLINK("#",""), HYPERLINK(CONCATENATE("#Metadata!", ADDRESS(INDEX($AI$2:$AI$1001,MATCH(ROWS($AG$2:AG573),$AG$2:$AG$1001,0),0), INDEX($AN$1004:$BO$1004,1,MATCH(COLUMNS($AN$1006:BG1006),$AN$1006:$BO$1006,0)))),"Fix")))</f>
        <v>0</v>
      </c>
      <c r="V573" s="4">
        <f>IF(OR(INDEX($AH$2:$AH$1001,MATCH(ROWS($AG$2:AG573),$AG$2:$AG$1001,0),1)&gt;=100000,INDEX($AN$1005:$BO$1005,1,MATCH(COLUMNS($AN$1006:BH1006),$AN$1006:$BO$1006,0))&gt;=100000), " ",IF(INDEX($AN$2:$BO$1001,MATCH(ROWS($AG$2:AG573),$AG$2:$AG$1001,0),MATCH(COLUMNS($AN$1006:BH1006),$AN$1006:$BO$1006,0)), HYPERLINK("#",""), HYPERLINK(CONCATENATE("#Metadata!", ADDRESS(INDEX($AI$2:$AI$1001,MATCH(ROWS($AG$2:AG573),$AG$2:$AG$1001,0),0), INDEX($AN$1004:$BO$1004,1,MATCH(COLUMNS($AN$1006:BH1006),$AN$1006:$BO$1006,0)))),"Fix")))</f>
        <v>0</v>
      </c>
      <c r="W573" s="4">
        <f>IF(OR(INDEX($AH$2:$AH$1001,MATCH(ROWS($AG$2:AG573),$AG$2:$AG$1001,0),1)&gt;=100000,INDEX($AN$1005:$BO$1005,1,MATCH(COLUMNS($AN$1006:BI1006),$AN$1006:$BO$1006,0))&gt;=100000), " ",IF(INDEX($AN$2:$BO$1001,MATCH(ROWS($AG$2:AG573),$AG$2:$AG$1001,0),MATCH(COLUMNS($AN$1006:BI1006),$AN$1006:$BO$1006,0)), HYPERLINK("#",""), HYPERLINK(CONCATENATE("#Metadata!", ADDRESS(INDEX($AI$2:$AI$1001,MATCH(ROWS($AG$2:AG573),$AG$2:$AG$1001,0),0), INDEX($AN$1004:$BO$1004,1,MATCH(COLUMNS($AN$1006:BI1006),$AN$1006:$BO$1006,0)))),"Fix")))</f>
        <v>0</v>
      </c>
      <c r="X573" s="4">
        <f>IF(OR(INDEX($AH$2:$AH$1001,MATCH(ROWS($AG$2:AG573),$AG$2:$AG$1001,0),1)&gt;=100000,INDEX($AN$1005:$BO$1005,1,MATCH(COLUMNS($AN$1006:BJ1006),$AN$1006:$BO$1006,0))&gt;=100000), " ",IF(INDEX($AN$2:$BO$1001,MATCH(ROWS($AG$2:AG573),$AG$2:$AG$1001,0),MATCH(COLUMNS($AN$1006:BJ1006),$AN$1006:$BO$1006,0)), HYPERLINK("#",""), HYPERLINK(CONCATENATE("#Metadata!", ADDRESS(INDEX($AI$2:$AI$1001,MATCH(ROWS($AG$2:AG573),$AG$2:$AG$1001,0),0), INDEX($AN$1004:$BO$1004,1,MATCH(COLUMNS($AN$1006:BJ1006),$AN$1006:$BO$1006,0)))),"Fix")))</f>
        <v>0</v>
      </c>
      <c r="Y573" s="4">
        <f>IF(OR(INDEX($AH$2:$AH$1001,MATCH(ROWS($AG$2:AG573),$AG$2:$AG$1001,0),1)&gt;=100000,INDEX($AN$1005:$BO$1005,1,MATCH(COLUMNS($AN$1006:BK1006),$AN$1006:$BO$1006,0))&gt;=100000), " ",IF(INDEX($AN$2:$BO$1001,MATCH(ROWS($AG$2:AG573),$AG$2:$AG$1001,0),MATCH(COLUMNS($AN$1006:BK1006),$AN$1006:$BO$1006,0)), HYPERLINK("#",""), HYPERLINK(CONCATENATE("#Metadata!", ADDRESS(INDEX($AI$2:$AI$1001,MATCH(ROWS($AG$2:AG573),$AG$2:$AG$1001,0),0), INDEX($AN$1004:$BO$1004,1,MATCH(COLUMNS($AN$1006:BK1006),$AN$1006:$BO$1006,0)))),"Fix")))</f>
        <v>0</v>
      </c>
      <c r="Z573" s="4">
        <f>IF(OR(INDEX($AH$2:$AH$1001,MATCH(ROWS($AG$2:AG573),$AG$2:$AG$1001,0),1)&gt;=100000,INDEX($AN$1005:$BO$1005,1,MATCH(COLUMNS($AN$1006:BL1006),$AN$1006:$BO$1006,0))&gt;=100000), " ",IF(INDEX($AN$2:$BO$1001,MATCH(ROWS($AG$2:AG573),$AG$2:$AG$1001,0),MATCH(COLUMNS($AN$1006:BL1006),$AN$1006:$BO$1006,0)), HYPERLINK("#",""), HYPERLINK(CONCATENATE("#Metadata!", ADDRESS(INDEX($AI$2:$AI$1001,MATCH(ROWS($AG$2:AG573),$AG$2:$AG$1001,0),0), INDEX($AN$1004:$BO$1004,1,MATCH(COLUMNS($AN$1006:BL1006),$AN$1006:$BO$1006,0)))),"Fix")))</f>
        <v>0</v>
      </c>
      <c r="AA573" s="4">
        <f>IF(OR(INDEX($AH$2:$AH$1001,MATCH(ROWS($AG$2:AG573),$AG$2:$AG$1001,0),1)&gt;=100000,INDEX($AN$1005:$BO$1005,1,MATCH(COLUMNS($AN$1006:BM1006),$AN$1006:$BO$1006,0))&gt;=100000), " ",IF(INDEX($AN$2:$BO$1001,MATCH(ROWS($AG$2:AG573),$AG$2:$AG$1001,0),MATCH(COLUMNS($AN$1006:BM1006),$AN$1006:$BO$1006,0)), HYPERLINK("#",""), HYPERLINK(CONCATENATE("#Metadata!", ADDRESS(INDEX($AI$2:$AI$1001,MATCH(ROWS($AG$2:AG573),$AG$2:$AG$1001,0),0), INDEX($AN$1004:$BO$1004,1,MATCH(COLUMNS($AN$1006:BM1006),$AN$1006:$BO$1006,0)))),"Fix")))</f>
        <v>0</v>
      </c>
      <c r="AB573" s="4">
        <f>IF(OR(INDEX($AH$2:$AH$1001,MATCH(ROWS($AG$2:AG573),$AG$2:$AG$1001,0),1)&gt;=100000,INDEX($AN$1005:$BO$1005,1,MATCH(COLUMNS($AN$1006:BN1006),$AN$1006:$BO$1006,0))&gt;=100000), " ",IF(INDEX($AN$2:$BO$1001,MATCH(ROWS($AG$2:AG573),$AG$2:$AG$1001,0),MATCH(COLUMNS($AN$1006:BN1006),$AN$1006:$BO$1006,0)), HYPERLINK("#",""), HYPERLINK(CONCATENATE("#Metadata!", ADDRESS(INDEX($AI$2:$AI$1001,MATCH(ROWS($AG$2:AG573),$AG$2:$AG$1001,0),0), INDEX($AN$1004:$BO$1004,1,MATCH(COLUMNS($AN$1006:BN1006),$AN$1006:$BO$1006,0)))),"Fix")))</f>
        <v>0</v>
      </c>
      <c r="AC573" s="4">
        <f>IF(OR(INDEX($AH$2:$AH$1001,MATCH(ROWS($AG$2:AG573),$AG$2:$AG$1001,0),1)&gt;=100000,INDEX($AN$1005:$BO$1005,1,MATCH(COLUMNS($AN$1006:BO1006),$AN$1006:$BO$1006,0))&gt;=100000), " ",IF(INDEX($AN$2:$BO$1001,MATCH(ROWS($AG$2:AG573),$AG$2:$AG$1001,0),MATCH(COLUMNS($AN$1006:BO1006),$AN$1006:$BO$1006,0)), HYPERLINK("#",""), HYPERLINK(CONCATENATE("#Metadata!", ADDRESS(INDEX($AI$2:$AI$1001,MATCH(ROWS($AG$2:AG573),$AG$2:$AG$1001,0),0), INDEX($AN$1004:$BO$1004,1,MATCH(COLUMNS($AN$1006:BO1006),$AN$1006:$BO$1006,0)))),"Fix")))</f>
        <v>0</v>
      </c>
      <c r="AG573">
        <v>0</v>
      </c>
      <c r="AH573">
        <v>0</v>
      </c>
      <c r="AI573">
        <v>0</v>
      </c>
      <c r="AJ573">
        <f>IF(AK573,TRUE,AND(AN573:BO573))</f>
        <v>0</v>
      </c>
      <c r="AK573">
        <f>COUNTBLANK(Metadata!B573:AC573)=COLUMNS(Metadata!B573:AC573)</f>
        <v>0</v>
      </c>
      <c r="AL573">
        <v>0</v>
      </c>
      <c r="AN573">
        <f>AND(IF(Metadata!B573="",FALSE,TRUE),COUNTIF(Metadata!B:B, Metadata!B573) = 1,NOT(ISERROR(SUMPRODUCT(SEARCH(MID(Metadata!B573,ROW(INDIRECT("1:"&amp;LEN(Metadata!B573))), 1),"0123456789abcdefghijklmnopqrstuvwxyzABCDEFGHIJKLMNOPQRSTUVWXYZ.")))))</f>
        <v>0</v>
      </c>
      <c r="AO573">
        <f>IF(Metadata!C573="",FALSE,TRUE)</f>
        <v>0</v>
      </c>
      <c r="AP573">
        <f>IF(Metadata!D573="",FALSE,TRUE)</f>
        <v>0</v>
      </c>
      <c r="AQ573">
        <f>OR(AND(IF(Metadata!E573="",FALSE,TRUE),OR(exact(Metadata!E573,"not collected"),exact(Metadata!E573,"not provided"),exact(Metadata!E573,"restricted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R573">
        <f>IF(Metadata!F573="",FALSE,TRUE)</f>
        <v>0</v>
      </c>
      <c r="AS573">
        <f>OR(AND(IF(Metadata!G573="",FALSE,TRUE),OR(exact(Metadata!G573,"not collected"),exact(Metadata!G573,"not provided"))),AND(IF(Metadata!G573="",FALSE,TRUE),OR(exact(Metadata!G573,"TRUE"),exact(Metadata!G573,"FALSE"))))</f>
        <v>0</v>
      </c>
      <c r="AT573">
        <f>OR(AND(IF(Metadata!H573="",FALSE,TRUE),OR(exact(Metadata!H573,"not collected"),exact(Metadata!H573,"not provided"),exact(Metadata!H573,"restricted access"))),AND(IF(Metadata!H573="",FALSE,ISNUMBER(VALUE(Metadata!H573))),Metadata!H573&gt;=-413.0))</f>
        <v>0</v>
      </c>
      <c r="AU573">
        <f>AND(IF(Metadata!I573="",FALSE,TRUE),exact(Metadata!I573,"meters"))</f>
        <v>0</v>
      </c>
      <c r="AV573">
        <f>AND(IF(Metadata!J573="",FALSE,TRUE),OR(exact(Metadata!J573,"Host-associated"),exact(Metadata!J573,"Free-living")))</f>
        <v>0</v>
      </c>
      <c r="AW573">
        <f>AND(IF(Metadata!K573="",FALSE,TRUE),OR(exact(Metadata!K573,"Animal"),exact(Metadata!K573,"Fungus"),exact(Metadata!K573,"Plant"),exact(Metadata!K573,"Saline"),exact(Metadata!K573,"Non-saline")))</f>
        <v>0</v>
      </c>
      <c r="AX573">
        <f>AND(IF(Metadata!L573="",FALSE,TRUE),OR(exact(Metadata!L573,"Plant secretion"),exact(Metadata!L573,"Plant rhizosphere"),exact(Metadata!L573,"Plant surface"),exact(Metadata!L573,"Plant corpus"),exact(Metadata!L573,"Fungus surface"),exact(Metadata!L573,"Fungus corpus"),exact(Metadata!L573,"Animal surface"),exact(Metadata!L573,"Animal proximal gut"),exact(Metadata!L573,"Animal corpus"),exact(Metadata!L573,"Animal distal gut"),exact(Metadata!L573,"Animal secretion"),exact(Metadata!L573,"Sub-surface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Y573">
        <f>IF(Metadata!M573="",FALSE,TRUE)</f>
        <v>0</v>
      </c>
      <c r="AZ573">
        <f>IF(Metadata!N573="",FALSE,TRUE)</f>
        <v>0</v>
      </c>
      <c r="BA573">
        <f>IF(Metadata!O573="",FALSE,TRUE)</f>
        <v>0</v>
      </c>
      <c r="BB573">
        <f>OR(AND(IF(Metadata!P573="",FALSE,TRUE),OR(exact(Metadata!P573,"not collected"),exact(Metadata!P573,"not provided"),exact(Metadata!P573,"restricted access"))),AND(IF(Metadata!P573="",FALSE,TRUE),OR(exact(Metadata!P573,"air"),exact(Metadata!P573,"built environment"),exact(Metadata!P573,"host-associated"),exact(Metadata!P573,"human-associated"),exact(Metadata!P573,"human-skin"),exact(Metadata!P573,"human-oral"),exact(Metadata!P573,"human-gut"),exact(Metadata!P573,"human-vaginal"),exact(Metadata!P573,"microbial mat/biofilm"),exact(Metadata!P573,"misc environment"),exact(Metadata!P573,"plant-associated"),exact(Metadata!P573,"sediment"),exact(Metadata!P573,"soil"),exact(Metadata!P573,"wastewater/sludge"),exact(Metadata!P573,"water"))))</f>
        <v>0</v>
      </c>
      <c r="BC573">
        <f>IF(Metadata!Q573="",FALSE,TRUE)</f>
        <v>0</v>
      </c>
      <c r="BD573">
        <f>IF(Metadata!R573="",FALSE,TRUE)</f>
        <v>0</v>
      </c>
      <c r="BE573">
        <f>OR(AND(IF(Metadata!S573="",FALSE,TRUE),OR(exact(Metadata!S573,"not collected"),exact(Metadata!S573,"not provided"),exact(Metadata!S573,"restricted access"))),AND(IF(Metadata!S573="",FALSE,ISNUMBER(VALUE(Metadata!S573))),Metadata!S573&gt;=-90.00,Metadata!S573&lt;=90.00))</f>
        <v>0</v>
      </c>
      <c r="BF573">
        <f>AND(IF(Metadata!T573="",FALSE,TRUE),exact(Metadata!T573,"Decimal degrees"))</f>
        <v>0</v>
      </c>
      <c r="BG573">
        <f>OR(AND(IF(Metadata!U573="",FALSE,TRUE),OR(exact(Metadata!U573,"not collected"),exact(Metadata!U573,"not provided"),exact(Metadata!U573,"restricted access"))),AND(IF(Metadata!U573="",FALSE,ISNUMBER(VALUE(Metadata!U573))),Metadata!U573&gt;=-180.00,Metadata!U573&lt;=180.00))</f>
        <v>0</v>
      </c>
      <c r="BH573">
        <f>AND(IF(Metadata!V573="",FALSE,TRUE),exact(Metadata!V573,"Decimal degrees"))</f>
        <v>0</v>
      </c>
      <c r="BI573">
        <f>IF(Metadata!W573="",FALSE,TRUE)</f>
        <v>0</v>
      </c>
      <c r="BJ573">
        <f>OR(AND(IF(Metadata!X573="",FALSE,TRUE),OR(exact(Metadata!X573,"not collected"),exact(Metadata!X573,"not provided"),exact(Metadata!X573,"restricted access"))),AND(IF(Metadata!X573="",FALSE,TRUE),OR(exact(Metadata!X573,"TRUE"),exact(Metadata!X573,"FALSE"))))</f>
        <v>0</v>
      </c>
      <c r="BK573">
        <f>AND(IF(Metadata!Y573="",FALSE,TRUE),exact(Metadata!Y573,"other"))</f>
        <v>0</v>
      </c>
      <c r="BL573">
        <f>IF(Metadata!Z573="",FALSE,TRUE)</f>
        <v>0</v>
      </c>
      <c r="BM573">
        <f>OR(AND(IF(Metadata!AA573="",FALSE,TRUE),OR(exact(Metadata!AA573,"not collected"),exact(Metadata!AA573,"not provided"))),AND(IF(Metadata!AA573="",FALSE,IF(ISERROR(INT(Metadata!AA573)),FALSE,INT(Metadata!AA573)=Metadata!AA573)),Metadata!AA573&gt;0))</f>
        <v>0</v>
      </c>
      <c r="BN573">
        <f>AND(IF(Metadata!AB573="",FALSE,TRUE),exact(Metadata!AB573,"Not applicable"))</f>
        <v>0</v>
      </c>
      <c r="BO573">
        <f>IF(Metadata!AC573="",FALSE,TRUE)</f>
        <v>0</v>
      </c>
    </row>
    <row r="574" spans="1:67">
      <c r="A574" s="5">
        <f>IF(B574=" "," ",HYPERLINK(CONCATENATE("#metadata!",ADDRESS(INDEX($AI$2:$AI$1001,MATCH(ROWS($AG$2:AG574),$AG$2:$AG$1001,0),0),1)),INDEX($AL$2:$AL$1001,MATCH(ROWS($AG$2:AG574),$AG$2:$AG$1001,0),0)))</f>
        <v>0</v>
      </c>
      <c r="B574" s="4">
        <f>IF(OR(INDEX($AH$2:$AH$1001,MATCH(ROWS($AG$2:AG574),$AG$2:$AG$1001,0),1)&gt;=100000,INDEX($AN$1005:$BO$1005,1,MATCH(COLUMNS($AN$1006:AN1006),$AN$1006:$BO$1006,0))&gt;=100000), " ",IF(INDEX($AN$2:$BO$1001,MATCH(ROWS($AG$2:AG574),$AG$2:$AG$1001,0),MATCH(COLUMNS($AN$1006:AN1006),$AN$1006:$BO$1006,0)), HYPERLINK("#",""), HYPERLINK(CONCATENATE("#Metadata!", ADDRESS(INDEX($AI$2:$AI$1001,MATCH(ROWS($AG$2:AG574),$AG$2:$AG$1001,0),0), INDEX($AN$1004:$BO$1004,1,MATCH(COLUMNS($AN$1006:AN1006),$AN$1006:$BO$1006,0)))),"Fix")))</f>
        <v>0</v>
      </c>
      <c r="C574" s="4">
        <f>IF(OR(INDEX($AH$2:$AH$1001,MATCH(ROWS($AG$2:AG574),$AG$2:$AG$1001,0),1)&gt;=100000,INDEX($AN$1005:$BO$1005,1,MATCH(COLUMNS($AN$1006:AO1006),$AN$1006:$BO$1006,0))&gt;=100000), " ",IF(INDEX($AN$2:$BO$1001,MATCH(ROWS($AG$2:AG574),$AG$2:$AG$1001,0),MATCH(COLUMNS($AN$1006:AO1006),$AN$1006:$BO$1006,0)), HYPERLINK("#",""), HYPERLINK(CONCATENATE("#Metadata!", ADDRESS(INDEX($AI$2:$AI$1001,MATCH(ROWS($AG$2:AG574),$AG$2:$AG$1001,0),0), INDEX($AN$1004:$BO$1004,1,MATCH(COLUMNS($AN$1006:AO1006),$AN$1006:$BO$1006,0)))),"Fix")))</f>
        <v>0</v>
      </c>
      <c r="D574" s="4">
        <f>IF(OR(INDEX($AH$2:$AH$1001,MATCH(ROWS($AG$2:AG574),$AG$2:$AG$1001,0),1)&gt;=100000,INDEX($AN$1005:$BO$1005,1,MATCH(COLUMNS($AN$1006:AP1006),$AN$1006:$BO$1006,0))&gt;=100000), " ",IF(INDEX($AN$2:$BO$1001,MATCH(ROWS($AG$2:AG574),$AG$2:$AG$1001,0),MATCH(COLUMNS($AN$1006:AP1006),$AN$1006:$BO$1006,0)), HYPERLINK("#",""), HYPERLINK(CONCATENATE("#Metadata!", ADDRESS(INDEX($AI$2:$AI$1001,MATCH(ROWS($AG$2:AG574),$AG$2:$AG$1001,0),0), INDEX($AN$1004:$BO$1004,1,MATCH(COLUMNS($AN$1006:AP1006),$AN$1006:$BO$1006,0)))),"Fix")))</f>
        <v>0</v>
      </c>
      <c r="E574" s="4">
        <f>IF(OR(INDEX($AH$2:$AH$1001,MATCH(ROWS($AG$2:AG574),$AG$2:$AG$1001,0),1)&gt;=100000,INDEX($AN$1005:$BO$1005,1,MATCH(COLUMNS($AN$1006:AQ1006),$AN$1006:$BO$1006,0))&gt;=100000), " ",IF(INDEX($AN$2:$BO$1001,MATCH(ROWS($AG$2:AG574),$AG$2:$AG$1001,0),MATCH(COLUMNS($AN$1006:AQ1006),$AN$1006:$BO$1006,0)), HYPERLINK("#",""), HYPERLINK(CONCATENATE("#Metadata!", ADDRESS(INDEX($AI$2:$AI$1001,MATCH(ROWS($AG$2:AG574),$AG$2:$AG$1001,0),0), INDEX($AN$1004:$BO$1004,1,MATCH(COLUMNS($AN$1006:AQ1006),$AN$1006:$BO$1006,0)))),"Fix")))</f>
        <v>0</v>
      </c>
      <c r="F574" s="4">
        <f>IF(OR(INDEX($AH$2:$AH$1001,MATCH(ROWS($AG$2:AG574),$AG$2:$AG$1001,0),1)&gt;=100000,INDEX($AN$1005:$BO$1005,1,MATCH(COLUMNS($AN$1006:AR1006),$AN$1006:$BO$1006,0))&gt;=100000), " ",IF(INDEX($AN$2:$BO$1001,MATCH(ROWS($AG$2:AG574),$AG$2:$AG$1001,0),MATCH(COLUMNS($AN$1006:AR1006),$AN$1006:$BO$1006,0)), HYPERLINK("#",""), HYPERLINK(CONCATENATE("#Metadata!", ADDRESS(INDEX($AI$2:$AI$1001,MATCH(ROWS($AG$2:AG574),$AG$2:$AG$1001,0),0), INDEX($AN$1004:$BO$1004,1,MATCH(COLUMNS($AN$1006:AR1006),$AN$1006:$BO$1006,0)))),"Fix")))</f>
        <v>0</v>
      </c>
      <c r="G574" s="4">
        <f>IF(OR(INDEX($AH$2:$AH$1001,MATCH(ROWS($AG$2:AG574),$AG$2:$AG$1001,0),1)&gt;=100000,INDEX($AN$1005:$BO$1005,1,MATCH(COLUMNS($AN$1006:AS1006),$AN$1006:$BO$1006,0))&gt;=100000), " ",IF(INDEX($AN$2:$BO$1001,MATCH(ROWS($AG$2:AG574),$AG$2:$AG$1001,0),MATCH(COLUMNS($AN$1006:AS1006),$AN$1006:$BO$1006,0)), HYPERLINK("#",""), HYPERLINK(CONCATENATE("#Metadata!", ADDRESS(INDEX($AI$2:$AI$1001,MATCH(ROWS($AG$2:AG574),$AG$2:$AG$1001,0),0), INDEX($AN$1004:$BO$1004,1,MATCH(COLUMNS($AN$1006:AS1006),$AN$1006:$BO$1006,0)))),"Fix")))</f>
        <v>0</v>
      </c>
      <c r="H574" s="4">
        <f>IF(OR(INDEX($AH$2:$AH$1001,MATCH(ROWS($AG$2:AG574),$AG$2:$AG$1001,0),1)&gt;=100000,INDEX($AN$1005:$BO$1005,1,MATCH(COLUMNS($AN$1006:AT1006),$AN$1006:$BO$1006,0))&gt;=100000), " ",IF(INDEX($AN$2:$BO$1001,MATCH(ROWS($AG$2:AG574),$AG$2:$AG$1001,0),MATCH(COLUMNS($AN$1006:AT1006),$AN$1006:$BO$1006,0)), HYPERLINK("#",""), HYPERLINK(CONCATENATE("#Metadata!", ADDRESS(INDEX($AI$2:$AI$1001,MATCH(ROWS($AG$2:AG574),$AG$2:$AG$1001,0),0), INDEX($AN$1004:$BO$1004,1,MATCH(COLUMNS($AN$1006:AT1006),$AN$1006:$BO$1006,0)))),"Fix")))</f>
        <v>0</v>
      </c>
      <c r="I574" s="4">
        <f>IF(OR(INDEX($AH$2:$AH$1001,MATCH(ROWS($AG$2:AG574),$AG$2:$AG$1001,0),1)&gt;=100000,INDEX($AN$1005:$BO$1005,1,MATCH(COLUMNS($AN$1006:AU1006),$AN$1006:$BO$1006,0))&gt;=100000), " ",IF(INDEX($AN$2:$BO$1001,MATCH(ROWS($AG$2:AG574),$AG$2:$AG$1001,0),MATCH(COLUMNS($AN$1006:AU1006),$AN$1006:$BO$1006,0)), HYPERLINK("#",""), HYPERLINK(CONCATENATE("#Metadata!", ADDRESS(INDEX($AI$2:$AI$1001,MATCH(ROWS($AG$2:AG574),$AG$2:$AG$1001,0),0), INDEX($AN$1004:$BO$1004,1,MATCH(COLUMNS($AN$1006:AU1006),$AN$1006:$BO$1006,0)))),"Fix")))</f>
        <v>0</v>
      </c>
      <c r="J574" s="4">
        <f>IF(OR(INDEX($AH$2:$AH$1001,MATCH(ROWS($AG$2:AG574),$AG$2:$AG$1001,0),1)&gt;=100000,INDEX($AN$1005:$BO$1005,1,MATCH(COLUMNS($AN$1006:AV1006),$AN$1006:$BO$1006,0))&gt;=100000), " ",IF(INDEX($AN$2:$BO$1001,MATCH(ROWS($AG$2:AG574),$AG$2:$AG$1001,0),MATCH(COLUMNS($AN$1006:AV1006),$AN$1006:$BO$1006,0)), HYPERLINK("#",""), HYPERLINK(CONCATENATE("#Metadata!", ADDRESS(INDEX($AI$2:$AI$1001,MATCH(ROWS($AG$2:AG574),$AG$2:$AG$1001,0),0), INDEX($AN$1004:$BO$1004,1,MATCH(COLUMNS($AN$1006:AV1006),$AN$1006:$BO$1006,0)))),"Fix")))</f>
        <v>0</v>
      </c>
      <c r="K574" s="4">
        <f>IF(OR(INDEX($AH$2:$AH$1001,MATCH(ROWS($AG$2:AG574),$AG$2:$AG$1001,0),1)&gt;=100000,INDEX($AN$1005:$BO$1005,1,MATCH(COLUMNS($AN$1006:AW1006),$AN$1006:$BO$1006,0))&gt;=100000), " ",IF(INDEX($AN$2:$BO$1001,MATCH(ROWS($AG$2:AG574),$AG$2:$AG$1001,0),MATCH(COLUMNS($AN$1006:AW1006),$AN$1006:$BO$1006,0)), HYPERLINK("#",""), HYPERLINK(CONCATENATE("#Metadata!", ADDRESS(INDEX($AI$2:$AI$1001,MATCH(ROWS($AG$2:AG574),$AG$2:$AG$1001,0),0), INDEX($AN$1004:$BO$1004,1,MATCH(COLUMNS($AN$1006:AW1006),$AN$1006:$BO$1006,0)))),"Fix")))</f>
        <v>0</v>
      </c>
      <c r="L574" s="4">
        <f>IF(OR(INDEX($AH$2:$AH$1001,MATCH(ROWS($AG$2:AG574),$AG$2:$AG$1001,0),1)&gt;=100000,INDEX($AN$1005:$BO$1005,1,MATCH(COLUMNS($AN$1006:AX1006),$AN$1006:$BO$1006,0))&gt;=100000), " ",IF(INDEX($AN$2:$BO$1001,MATCH(ROWS($AG$2:AG574),$AG$2:$AG$1001,0),MATCH(COLUMNS($AN$1006:AX1006),$AN$1006:$BO$1006,0)), HYPERLINK("#",""), HYPERLINK(CONCATENATE("#Metadata!", ADDRESS(INDEX($AI$2:$AI$1001,MATCH(ROWS($AG$2:AG574),$AG$2:$AG$1001,0),0), INDEX($AN$1004:$BO$1004,1,MATCH(COLUMNS($AN$1006:AX1006),$AN$1006:$BO$1006,0)))),"Fix")))</f>
        <v>0</v>
      </c>
      <c r="M574" s="4">
        <f>IF(OR(INDEX($AH$2:$AH$1001,MATCH(ROWS($AG$2:AG574),$AG$2:$AG$1001,0),1)&gt;=100000,INDEX($AN$1005:$BO$1005,1,MATCH(COLUMNS($AN$1006:AY1006),$AN$1006:$BO$1006,0))&gt;=100000), " ",IF(INDEX($AN$2:$BO$1001,MATCH(ROWS($AG$2:AG574),$AG$2:$AG$1001,0),MATCH(COLUMNS($AN$1006:AY1006),$AN$1006:$BO$1006,0)), HYPERLINK("#",""), HYPERLINK(CONCATENATE("#Metadata!", ADDRESS(INDEX($AI$2:$AI$1001,MATCH(ROWS($AG$2:AG574),$AG$2:$AG$1001,0),0), INDEX($AN$1004:$BO$1004,1,MATCH(COLUMNS($AN$1006:AY1006),$AN$1006:$BO$1006,0)))),"Fix")))</f>
        <v>0</v>
      </c>
      <c r="N574" s="4">
        <f>IF(OR(INDEX($AH$2:$AH$1001,MATCH(ROWS($AG$2:AG574),$AG$2:$AG$1001,0),1)&gt;=100000,INDEX($AN$1005:$BO$1005,1,MATCH(COLUMNS($AN$1006:AZ1006),$AN$1006:$BO$1006,0))&gt;=100000), " ",IF(INDEX($AN$2:$BO$1001,MATCH(ROWS($AG$2:AG574),$AG$2:$AG$1001,0),MATCH(COLUMNS($AN$1006:AZ1006),$AN$1006:$BO$1006,0)), HYPERLINK("#",""), HYPERLINK(CONCATENATE("#Metadata!", ADDRESS(INDEX($AI$2:$AI$1001,MATCH(ROWS($AG$2:AG574),$AG$2:$AG$1001,0),0), INDEX($AN$1004:$BO$1004,1,MATCH(COLUMNS($AN$1006:AZ1006),$AN$1006:$BO$1006,0)))),"Fix")))</f>
        <v>0</v>
      </c>
      <c r="O574" s="4">
        <f>IF(OR(INDEX($AH$2:$AH$1001,MATCH(ROWS($AG$2:AG574),$AG$2:$AG$1001,0),1)&gt;=100000,INDEX($AN$1005:$BO$1005,1,MATCH(COLUMNS($AN$1006:BA1006),$AN$1006:$BO$1006,0))&gt;=100000), " ",IF(INDEX($AN$2:$BO$1001,MATCH(ROWS($AG$2:AG574),$AG$2:$AG$1001,0),MATCH(COLUMNS($AN$1006:BA1006),$AN$1006:$BO$1006,0)), HYPERLINK("#",""), HYPERLINK(CONCATENATE("#Metadata!", ADDRESS(INDEX($AI$2:$AI$1001,MATCH(ROWS($AG$2:AG574),$AG$2:$AG$1001,0),0), INDEX($AN$1004:$BO$1004,1,MATCH(COLUMNS($AN$1006:BA1006),$AN$1006:$BO$1006,0)))),"Fix")))</f>
        <v>0</v>
      </c>
      <c r="P574" s="4">
        <f>IF(OR(INDEX($AH$2:$AH$1001,MATCH(ROWS($AG$2:AG574),$AG$2:$AG$1001,0),1)&gt;=100000,INDEX($AN$1005:$BO$1005,1,MATCH(COLUMNS($AN$1006:BB1006),$AN$1006:$BO$1006,0))&gt;=100000), " ",IF(INDEX($AN$2:$BO$1001,MATCH(ROWS($AG$2:AG574),$AG$2:$AG$1001,0),MATCH(COLUMNS($AN$1006:BB1006),$AN$1006:$BO$1006,0)), HYPERLINK("#",""), HYPERLINK(CONCATENATE("#Metadata!", ADDRESS(INDEX($AI$2:$AI$1001,MATCH(ROWS($AG$2:AG574),$AG$2:$AG$1001,0),0), INDEX($AN$1004:$BO$1004,1,MATCH(COLUMNS($AN$1006:BB1006),$AN$1006:$BO$1006,0)))),"Fix")))</f>
        <v>0</v>
      </c>
      <c r="Q574" s="4">
        <f>IF(OR(INDEX($AH$2:$AH$1001,MATCH(ROWS($AG$2:AG574),$AG$2:$AG$1001,0),1)&gt;=100000,INDEX($AN$1005:$BO$1005,1,MATCH(COLUMNS($AN$1006:BC1006),$AN$1006:$BO$1006,0))&gt;=100000), " ",IF(INDEX($AN$2:$BO$1001,MATCH(ROWS($AG$2:AG574),$AG$2:$AG$1001,0),MATCH(COLUMNS($AN$1006:BC1006),$AN$1006:$BO$1006,0)), HYPERLINK("#",""), HYPERLINK(CONCATENATE("#Metadata!", ADDRESS(INDEX($AI$2:$AI$1001,MATCH(ROWS($AG$2:AG574),$AG$2:$AG$1001,0),0), INDEX($AN$1004:$BO$1004,1,MATCH(COLUMNS($AN$1006:BC1006),$AN$1006:$BO$1006,0)))),"Fix")))</f>
        <v>0</v>
      </c>
      <c r="R574" s="4">
        <f>IF(OR(INDEX($AH$2:$AH$1001,MATCH(ROWS($AG$2:AG574),$AG$2:$AG$1001,0),1)&gt;=100000,INDEX($AN$1005:$BO$1005,1,MATCH(COLUMNS($AN$1006:BD1006),$AN$1006:$BO$1006,0))&gt;=100000), " ",IF(INDEX($AN$2:$BO$1001,MATCH(ROWS($AG$2:AG574),$AG$2:$AG$1001,0),MATCH(COLUMNS($AN$1006:BD1006),$AN$1006:$BO$1006,0)), HYPERLINK("#",""), HYPERLINK(CONCATENATE("#Metadata!", ADDRESS(INDEX($AI$2:$AI$1001,MATCH(ROWS($AG$2:AG574),$AG$2:$AG$1001,0),0), INDEX($AN$1004:$BO$1004,1,MATCH(COLUMNS($AN$1006:BD1006),$AN$1006:$BO$1006,0)))),"Fix")))</f>
        <v>0</v>
      </c>
      <c r="S574" s="4">
        <f>IF(OR(INDEX($AH$2:$AH$1001,MATCH(ROWS($AG$2:AG574),$AG$2:$AG$1001,0),1)&gt;=100000,INDEX($AN$1005:$BO$1005,1,MATCH(COLUMNS($AN$1006:BE1006),$AN$1006:$BO$1006,0))&gt;=100000), " ",IF(INDEX($AN$2:$BO$1001,MATCH(ROWS($AG$2:AG574),$AG$2:$AG$1001,0),MATCH(COLUMNS($AN$1006:BE1006),$AN$1006:$BO$1006,0)), HYPERLINK("#",""), HYPERLINK(CONCATENATE("#Metadata!", ADDRESS(INDEX($AI$2:$AI$1001,MATCH(ROWS($AG$2:AG574),$AG$2:$AG$1001,0),0), INDEX($AN$1004:$BO$1004,1,MATCH(COLUMNS($AN$1006:BE1006),$AN$1006:$BO$1006,0)))),"Fix")))</f>
        <v>0</v>
      </c>
      <c r="T574" s="4">
        <f>IF(OR(INDEX($AH$2:$AH$1001,MATCH(ROWS($AG$2:AG574),$AG$2:$AG$1001,0),1)&gt;=100000,INDEX($AN$1005:$BO$1005,1,MATCH(COLUMNS($AN$1006:BF1006),$AN$1006:$BO$1006,0))&gt;=100000), " ",IF(INDEX($AN$2:$BO$1001,MATCH(ROWS($AG$2:AG574),$AG$2:$AG$1001,0),MATCH(COLUMNS($AN$1006:BF1006),$AN$1006:$BO$1006,0)), HYPERLINK("#",""), HYPERLINK(CONCATENATE("#Metadata!", ADDRESS(INDEX($AI$2:$AI$1001,MATCH(ROWS($AG$2:AG574),$AG$2:$AG$1001,0),0), INDEX($AN$1004:$BO$1004,1,MATCH(COLUMNS($AN$1006:BF1006),$AN$1006:$BO$1006,0)))),"Fix")))</f>
        <v>0</v>
      </c>
      <c r="U574" s="4">
        <f>IF(OR(INDEX($AH$2:$AH$1001,MATCH(ROWS($AG$2:AG574),$AG$2:$AG$1001,0),1)&gt;=100000,INDEX($AN$1005:$BO$1005,1,MATCH(COLUMNS($AN$1006:BG1006),$AN$1006:$BO$1006,0))&gt;=100000), " ",IF(INDEX($AN$2:$BO$1001,MATCH(ROWS($AG$2:AG574),$AG$2:$AG$1001,0),MATCH(COLUMNS($AN$1006:BG1006),$AN$1006:$BO$1006,0)), HYPERLINK("#",""), HYPERLINK(CONCATENATE("#Metadata!", ADDRESS(INDEX($AI$2:$AI$1001,MATCH(ROWS($AG$2:AG574),$AG$2:$AG$1001,0),0), INDEX($AN$1004:$BO$1004,1,MATCH(COLUMNS($AN$1006:BG1006),$AN$1006:$BO$1006,0)))),"Fix")))</f>
        <v>0</v>
      </c>
      <c r="V574" s="4">
        <f>IF(OR(INDEX($AH$2:$AH$1001,MATCH(ROWS($AG$2:AG574),$AG$2:$AG$1001,0),1)&gt;=100000,INDEX($AN$1005:$BO$1005,1,MATCH(COLUMNS($AN$1006:BH1006),$AN$1006:$BO$1006,0))&gt;=100000), " ",IF(INDEX($AN$2:$BO$1001,MATCH(ROWS($AG$2:AG574),$AG$2:$AG$1001,0),MATCH(COLUMNS($AN$1006:BH1006),$AN$1006:$BO$1006,0)), HYPERLINK("#",""), HYPERLINK(CONCATENATE("#Metadata!", ADDRESS(INDEX($AI$2:$AI$1001,MATCH(ROWS($AG$2:AG574),$AG$2:$AG$1001,0),0), INDEX($AN$1004:$BO$1004,1,MATCH(COLUMNS($AN$1006:BH1006),$AN$1006:$BO$1006,0)))),"Fix")))</f>
        <v>0</v>
      </c>
      <c r="W574" s="4">
        <f>IF(OR(INDEX($AH$2:$AH$1001,MATCH(ROWS($AG$2:AG574),$AG$2:$AG$1001,0),1)&gt;=100000,INDEX($AN$1005:$BO$1005,1,MATCH(COLUMNS($AN$1006:BI1006),$AN$1006:$BO$1006,0))&gt;=100000), " ",IF(INDEX($AN$2:$BO$1001,MATCH(ROWS($AG$2:AG574),$AG$2:$AG$1001,0),MATCH(COLUMNS($AN$1006:BI1006),$AN$1006:$BO$1006,0)), HYPERLINK("#",""), HYPERLINK(CONCATENATE("#Metadata!", ADDRESS(INDEX($AI$2:$AI$1001,MATCH(ROWS($AG$2:AG574),$AG$2:$AG$1001,0),0), INDEX($AN$1004:$BO$1004,1,MATCH(COLUMNS($AN$1006:BI1006),$AN$1006:$BO$1006,0)))),"Fix")))</f>
        <v>0</v>
      </c>
      <c r="X574" s="4">
        <f>IF(OR(INDEX($AH$2:$AH$1001,MATCH(ROWS($AG$2:AG574),$AG$2:$AG$1001,0),1)&gt;=100000,INDEX($AN$1005:$BO$1005,1,MATCH(COLUMNS($AN$1006:BJ1006),$AN$1006:$BO$1006,0))&gt;=100000), " ",IF(INDEX($AN$2:$BO$1001,MATCH(ROWS($AG$2:AG574),$AG$2:$AG$1001,0),MATCH(COLUMNS($AN$1006:BJ1006),$AN$1006:$BO$1006,0)), HYPERLINK("#",""), HYPERLINK(CONCATENATE("#Metadata!", ADDRESS(INDEX($AI$2:$AI$1001,MATCH(ROWS($AG$2:AG574),$AG$2:$AG$1001,0),0), INDEX($AN$1004:$BO$1004,1,MATCH(COLUMNS($AN$1006:BJ1006),$AN$1006:$BO$1006,0)))),"Fix")))</f>
        <v>0</v>
      </c>
      <c r="Y574" s="4">
        <f>IF(OR(INDEX($AH$2:$AH$1001,MATCH(ROWS($AG$2:AG574),$AG$2:$AG$1001,0),1)&gt;=100000,INDEX($AN$1005:$BO$1005,1,MATCH(COLUMNS($AN$1006:BK1006),$AN$1006:$BO$1006,0))&gt;=100000), " ",IF(INDEX($AN$2:$BO$1001,MATCH(ROWS($AG$2:AG574),$AG$2:$AG$1001,0),MATCH(COLUMNS($AN$1006:BK1006),$AN$1006:$BO$1006,0)), HYPERLINK("#",""), HYPERLINK(CONCATENATE("#Metadata!", ADDRESS(INDEX($AI$2:$AI$1001,MATCH(ROWS($AG$2:AG574),$AG$2:$AG$1001,0),0), INDEX($AN$1004:$BO$1004,1,MATCH(COLUMNS($AN$1006:BK1006),$AN$1006:$BO$1006,0)))),"Fix")))</f>
        <v>0</v>
      </c>
      <c r="Z574" s="4">
        <f>IF(OR(INDEX($AH$2:$AH$1001,MATCH(ROWS($AG$2:AG574),$AG$2:$AG$1001,0),1)&gt;=100000,INDEX($AN$1005:$BO$1005,1,MATCH(COLUMNS($AN$1006:BL1006),$AN$1006:$BO$1006,0))&gt;=100000), " ",IF(INDEX($AN$2:$BO$1001,MATCH(ROWS($AG$2:AG574),$AG$2:$AG$1001,0),MATCH(COLUMNS($AN$1006:BL1006),$AN$1006:$BO$1006,0)), HYPERLINK("#",""), HYPERLINK(CONCATENATE("#Metadata!", ADDRESS(INDEX($AI$2:$AI$1001,MATCH(ROWS($AG$2:AG574),$AG$2:$AG$1001,0),0), INDEX($AN$1004:$BO$1004,1,MATCH(COLUMNS($AN$1006:BL1006),$AN$1006:$BO$1006,0)))),"Fix")))</f>
        <v>0</v>
      </c>
      <c r="AA574" s="4">
        <f>IF(OR(INDEX($AH$2:$AH$1001,MATCH(ROWS($AG$2:AG574),$AG$2:$AG$1001,0),1)&gt;=100000,INDEX($AN$1005:$BO$1005,1,MATCH(COLUMNS($AN$1006:BM1006),$AN$1006:$BO$1006,0))&gt;=100000), " ",IF(INDEX($AN$2:$BO$1001,MATCH(ROWS($AG$2:AG574),$AG$2:$AG$1001,0),MATCH(COLUMNS($AN$1006:BM1006),$AN$1006:$BO$1006,0)), HYPERLINK("#",""), HYPERLINK(CONCATENATE("#Metadata!", ADDRESS(INDEX($AI$2:$AI$1001,MATCH(ROWS($AG$2:AG574),$AG$2:$AG$1001,0),0), INDEX($AN$1004:$BO$1004,1,MATCH(COLUMNS($AN$1006:BM1006),$AN$1006:$BO$1006,0)))),"Fix")))</f>
        <v>0</v>
      </c>
      <c r="AB574" s="4">
        <f>IF(OR(INDEX($AH$2:$AH$1001,MATCH(ROWS($AG$2:AG574),$AG$2:$AG$1001,0),1)&gt;=100000,INDEX($AN$1005:$BO$1005,1,MATCH(COLUMNS($AN$1006:BN1006),$AN$1006:$BO$1006,0))&gt;=100000), " ",IF(INDEX($AN$2:$BO$1001,MATCH(ROWS($AG$2:AG574),$AG$2:$AG$1001,0),MATCH(COLUMNS($AN$1006:BN1006),$AN$1006:$BO$1006,0)), HYPERLINK("#",""), HYPERLINK(CONCATENATE("#Metadata!", ADDRESS(INDEX($AI$2:$AI$1001,MATCH(ROWS($AG$2:AG574),$AG$2:$AG$1001,0),0), INDEX($AN$1004:$BO$1004,1,MATCH(COLUMNS($AN$1006:BN1006),$AN$1006:$BO$1006,0)))),"Fix")))</f>
        <v>0</v>
      </c>
      <c r="AC574" s="4">
        <f>IF(OR(INDEX($AH$2:$AH$1001,MATCH(ROWS($AG$2:AG574),$AG$2:$AG$1001,0),1)&gt;=100000,INDEX($AN$1005:$BO$1005,1,MATCH(COLUMNS($AN$1006:BO1006),$AN$1006:$BO$1006,0))&gt;=100000), " ",IF(INDEX($AN$2:$BO$1001,MATCH(ROWS($AG$2:AG574),$AG$2:$AG$1001,0),MATCH(COLUMNS($AN$1006:BO1006),$AN$1006:$BO$1006,0)), HYPERLINK("#",""), HYPERLINK(CONCATENATE("#Metadata!", ADDRESS(INDEX($AI$2:$AI$1001,MATCH(ROWS($AG$2:AG574),$AG$2:$AG$1001,0),0), INDEX($AN$1004:$BO$1004,1,MATCH(COLUMNS($AN$1006:BO1006),$AN$1006:$BO$1006,0)))),"Fix")))</f>
        <v>0</v>
      </c>
      <c r="AG574">
        <v>0</v>
      </c>
      <c r="AH574">
        <v>0</v>
      </c>
      <c r="AI574">
        <v>0</v>
      </c>
      <c r="AJ574">
        <f>IF(AK574,TRUE,AND(AN574:BO574))</f>
        <v>0</v>
      </c>
      <c r="AK574">
        <f>COUNTBLANK(Metadata!B574:AC574)=COLUMNS(Metadata!B574:AC574)</f>
        <v>0</v>
      </c>
      <c r="AL574">
        <v>0</v>
      </c>
      <c r="AN574">
        <f>AND(IF(Metadata!B574="",FALSE,TRUE),COUNTIF(Metadata!B:B, Metadata!B574) = 1,NOT(ISERROR(SUMPRODUCT(SEARCH(MID(Metadata!B574,ROW(INDIRECT("1:"&amp;LEN(Metadata!B574))), 1),"0123456789abcdefghijklmnopqrstuvwxyzABCDEFGHIJKLMNOPQRSTUVWXYZ.")))))</f>
        <v>0</v>
      </c>
      <c r="AO574">
        <f>IF(Metadata!C574="",FALSE,TRUE)</f>
        <v>0</v>
      </c>
      <c r="AP574">
        <f>IF(Metadata!D574="",FALSE,TRUE)</f>
        <v>0</v>
      </c>
      <c r="AQ574">
        <f>OR(AND(IF(Metadata!E574="",FALSE,TRUE),OR(exact(Metadata!E574,"not collected"),exact(Metadata!E574,"not provided"),exact(Metadata!E574,"restricted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R574">
        <f>IF(Metadata!F574="",FALSE,TRUE)</f>
        <v>0</v>
      </c>
      <c r="AS574">
        <f>OR(AND(IF(Metadata!G574="",FALSE,TRUE),OR(exact(Metadata!G574,"not collected"),exact(Metadata!G574,"not provided"))),AND(IF(Metadata!G574="",FALSE,TRUE),OR(exact(Metadata!G574,"TRUE"),exact(Metadata!G574,"FALSE"))))</f>
        <v>0</v>
      </c>
      <c r="AT574">
        <f>OR(AND(IF(Metadata!H574="",FALSE,TRUE),OR(exact(Metadata!H574,"not collected"),exact(Metadata!H574,"not provided"),exact(Metadata!H574,"restricted access"))),AND(IF(Metadata!H574="",FALSE,ISNUMBER(VALUE(Metadata!H574))),Metadata!H574&gt;=-413.0))</f>
        <v>0</v>
      </c>
      <c r="AU574">
        <f>AND(IF(Metadata!I574="",FALSE,TRUE),exact(Metadata!I574,"meters"))</f>
        <v>0</v>
      </c>
      <c r="AV574">
        <f>AND(IF(Metadata!J574="",FALSE,TRUE),OR(exact(Metadata!J574,"Host-associated"),exact(Metadata!J574,"Free-living")))</f>
        <v>0</v>
      </c>
      <c r="AW574">
        <f>AND(IF(Metadata!K574="",FALSE,TRUE),OR(exact(Metadata!K574,"Animal"),exact(Metadata!K574,"Fungus"),exact(Metadata!K574,"Plant"),exact(Metadata!K574,"Saline"),exact(Metadata!K574,"Non-saline")))</f>
        <v>0</v>
      </c>
      <c r="AX574">
        <f>AND(IF(Metadata!L574="",FALSE,TRUE),OR(exact(Metadata!L574,"Plant secretion"),exact(Metadata!L574,"Plant rhizosphere"),exact(Metadata!L574,"Plant surface"),exact(Metadata!L574,"Plant corpus"),exact(Metadata!L574,"Fungus surface"),exact(Metadata!L574,"Fungus corpus"),exact(Metadata!L574,"Animal surface"),exact(Metadata!L574,"Animal proximal gut"),exact(Metadata!L574,"Animal corpus"),exact(Metadata!L574,"Animal distal gut"),exact(Metadata!L574,"Animal secretion"),exact(Metadata!L574,"Sub-surface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Y574">
        <f>IF(Metadata!M574="",FALSE,TRUE)</f>
        <v>0</v>
      </c>
      <c r="AZ574">
        <f>IF(Metadata!N574="",FALSE,TRUE)</f>
        <v>0</v>
      </c>
      <c r="BA574">
        <f>IF(Metadata!O574="",FALSE,TRUE)</f>
        <v>0</v>
      </c>
      <c r="BB574">
        <f>OR(AND(IF(Metadata!P574="",FALSE,TRUE),OR(exact(Metadata!P574,"not collected"),exact(Metadata!P574,"not provided"),exact(Metadata!P574,"restricted access"))),AND(IF(Metadata!P574="",FALSE,TRUE),OR(exact(Metadata!P574,"air"),exact(Metadata!P574,"built environment"),exact(Metadata!P574,"host-associated"),exact(Metadata!P574,"human-associated"),exact(Metadata!P574,"human-skin"),exact(Metadata!P574,"human-oral"),exact(Metadata!P574,"human-gut"),exact(Metadata!P574,"human-vaginal"),exact(Metadata!P574,"microbial mat/biofilm"),exact(Metadata!P574,"misc environment"),exact(Metadata!P574,"plant-associated"),exact(Metadata!P574,"sediment"),exact(Metadata!P574,"soil"),exact(Metadata!P574,"wastewater/sludge"),exact(Metadata!P574,"water"))))</f>
        <v>0</v>
      </c>
      <c r="BC574">
        <f>IF(Metadata!Q574="",FALSE,TRUE)</f>
        <v>0</v>
      </c>
      <c r="BD574">
        <f>IF(Metadata!R574="",FALSE,TRUE)</f>
        <v>0</v>
      </c>
      <c r="BE574">
        <f>OR(AND(IF(Metadata!S574="",FALSE,TRUE),OR(exact(Metadata!S574,"not collected"),exact(Metadata!S574,"not provided"),exact(Metadata!S574,"restricted access"))),AND(IF(Metadata!S574="",FALSE,ISNUMBER(VALUE(Metadata!S574))),Metadata!S574&gt;=-90.00,Metadata!S574&lt;=90.00))</f>
        <v>0</v>
      </c>
      <c r="BF574">
        <f>AND(IF(Metadata!T574="",FALSE,TRUE),exact(Metadata!T574,"Decimal degrees"))</f>
        <v>0</v>
      </c>
      <c r="BG574">
        <f>OR(AND(IF(Metadata!U574="",FALSE,TRUE),OR(exact(Metadata!U574,"not collected"),exact(Metadata!U574,"not provided"),exact(Metadata!U574,"restricted access"))),AND(IF(Metadata!U574="",FALSE,ISNUMBER(VALUE(Metadata!U574))),Metadata!U574&gt;=-180.00,Metadata!U574&lt;=180.00))</f>
        <v>0</v>
      </c>
      <c r="BH574">
        <f>AND(IF(Metadata!V574="",FALSE,TRUE),exact(Metadata!V574,"Decimal degrees"))</f>
        <v>0</v>
      </c>
      <c r="BI574">
        <f>IF(Metadata!W574="",FALSE,TRUE)</f>
        <v>0</v>
      </c>
      <c r="BJ574">
        <f>OR(AND(IF(Metadata!X574="",FALSE,TRUE),OR(exact(Metadata!X574,"not collected"),exact(Metadata!X574,"not provided"),exact(Metadata!X574,"restricted access"))),AND(IF(Metadata!X574="",FALSE,TRUE),OR(exact(Metadata!X574,"TRUE"),exact(Metadata!X574,"FALSE"))))</f>
        <v>0</v>
      </c>
      <c r="BK574">
        <f>AND(IF(Metadata!Y574="",FALSE,TRUE),exact(Metadata!Y574,"other"))</f>
        <v>0</v>
      </c>
      <c r="BL574">
        <f>IF(Metadata!Z574="",FALSE,TRUE)</f>
        <v>0</v>
      </c>
      <c r="BM574">
        <f>OR(AND(IF(Metadata!AA574="",FALSE,TRUE),OR(exact(Metadata!AA574,"not collected"),exact(Metadata!AA574,"not provided"))),AND(IF(Metadata!AA574="",FALSE,IF(ISERROR(INT(Metadata!AA574)),FALSE,INT(Metadata!AA574)=Metadata!AA574)),Metadata!AA574&gt;0))</f>
        <v>0</v>
      </c>
      <c r="BN574">
        <f>AND(IF(Metadata!AB574="",FALSE,TRUE),exact(Metadata!AB574,"Not applicable"))</f>
        <v>0</v>
      </c>
      <c r="BO574">
        <f>IF(Metadata!AC574="",FALSE,TRUE)</f>
        <v>0</v>
      </c>
    </row>
    <row r="575" spans="1:67">
      <c r="A575" s="5">
        <f>IF(B575=" "," ",HYPERLINK(CONCATENATE("#metadata!",ADDRESS(INDEX($AI$2:$AI$1001,MATCH(ROWS($AG$2:AG575),$AG$2:$AG$1001,0),0),1)),INDEX($AL$2:$AL$1001,MATCH(ROWS($AG$2:AG575),$AG$2:$AG$1001,0),0)))</f>
        <v>0</v>
      </c>
      <c r="B575" s="4">
        <f>IF(OR(INDEX($AH$2:$AH$1001,MATCH(ROWS($AG$2:AG575),$AG$2:$AG$1001,0),1)&gt;=100000,INDEX($AN$1005:$BO$1005,1,MATCH(COLUMNS($AN$1006:AN1006),$AN$1006:$BO$1006,0))&gt;=100000), " ",IF(INDEX($AN$2:$BO$1001,MATCH(ROWS($AG$2:AG575),$AG$2:$AG$1001,0),MATCH(COLUMNS($AN$1006:AN1006),$AN$1006:$BO$1006,0)), HYPERLINK("#",""), HYPERLINK(CONCATENATE("#Metadata!", ADDRESS(INDEX($AI$2:$AI$1001,MATCH(ROWS($AG$2:AG575),$AG$2:$AG$1001,0),0), INDEX($AN$1004:$BO$1004,1,MATCH(COLUMNS($AN$1006:AN1006),$AN$1006:$BO$1006,0)))),"Fix")))</f>
        <v>0</v>
      </c>
      <c r="C575" s="4">
        <f>IF(OR(INDEX($AH$2:$AH$1001,MATCH(ROWS($AG$2:AG575),$AG$2:$AG$1001,0),1)&gt;=100000,INDEX($AN$1005:$BO$1005,1,MATCH(COLUMNS($AN$1006:AO1006),$AN$1006:$BO$1006,0))&gt;=100000), " ",IF(INDEX($AN$2:$BO$1001,MATCH(ROWS($AG$2:AG575),$AG$2:$AG$1001,0),MATCH(COLUMNS($AN$1006:AO1006),$AN$1006:$BO$1006,0)), HYPERLINK("#",""), HYPERLINK(CONCATENATE("#Metadata!", ADDRESS(INDEX($AI$2:$AI$1001,MATCH(ROWS($AG$2:AG575),$AG$2:$AG$1001,0),0), INDEX($AN$1004:$BO$1004,1,MATCH(COLUMNS($AN$1006:AO1006),$AN$1006:$BO$1006,0)))),"Fix")))</f>
        <v>0</v>
      </c>
      <c r="D575" s="4">
        <f>IF(OR(INDEX($AH$2:$AH$1001,MATCH(ROWS($AG$2:AG575),$AG$2:$AG$1001,0),1)&gt;=100000,INDEX($AN$1005:$BO$1005,1,MATCH(COLUMNS($AN$1006:AP1006),$AN$1006:$BO$1006,0))&gt;=100000), " ",IF(INDEX($AN$2:$BO$1001,MATCH(ROWS($AG$2:AG575),$AG$2:$AG$1001,0),MATCH(COLUMNS($AN$1006:AP1006),$AN$1006:$BO$1006,0)), HYPERLINK("#",""), HYPERLINK(CONCATENATE("#Metadata!", ADDRESS(INDEX($AI$2:$AI$1001,MATCH(ROWS($AG$2:AG575),$AG$2:$AG$1001,0),0), INDEX($AN$1004:$BO$1004,1,MATCH(COLUMNS($AN$1006:AP1006),$AN$1006:$BO$1006,0)))),"Fix")))</f>
        <v>0</v>
      </c>
      <c r="E575" s="4">
        <f>IF(OR(INDEX($AH$2:$AH$1001,MATCH(ROWS($AG$2:AG575),$AG$2:$AG$1001,0),1)&gt;=100000,INDEX($AN$1005:$BO$1005,1,MATCH(COLUMNS($AN$1006:AQ1006),$AN$1006:$BO$1006,0))&gt;=100000), " ",IF(INDEX($AN$2:$BO$1001,MATCH(ROWS($AG$2:AG575),$AG$2:$AG$1001,0),MATCH(COLUMNS($AN$1006:AQ1006),$AN$1006:$BO$1006,0)), HYPERLINK("#",""), HYPERLINK(CONCATENATE("#Metadata!", ADDRESS(INDEX($AI$2:$AI$1001,MATCH(ROWS($AG$2:AG575),$AG$2:$AG$1001,0),0), INDEX($AN$1004:$BO$1004,1,MATCH(COLUMNS($AN$1006:AQ1006),$AN$1006:$BO$1006,0)))),"Fix")))</f>
        <v>0</v>
      </c>
      <c r="F575" s="4">
        <f>IF(OR(INDEX($AH$2:$AH$1001,MATCH(ROWS($AG$2:AG575),$AG$2:$AG$1001,0),1)&gt;=100000,INDEX($AN$1005:$BO$1005,1,MATCH(COLUMNS($AN$1006:AR1006),$AN$1006:$BO$1006,0))&gt;=100000), " ",IF(INDEX($AN$2:$BO$1001,MATCH(ROWS($AG$2:AG575),$AG$2:$AG$1001,0),MATCH(COLUMNS($AN$1006:AR1006),$AN$1006:$BO$1006,0)), HYPERLINK("#",""), HYPERLINK(CONCATENATE("#Metadata!", ADDRESS(INDEX($AI$2:$AI$1001,MATCH(ROWS($AG$2:AG575),$AG$2:$AG$1001,0),0), INDEX($AN$1004:$BO$1004,1,MATCH(COLUMNS($AN$1006:AR1006),$AN$1006:$BO$1006,0)))),"Fix")))</f>
        <v>0</v>
      </c>
      <c r="G575" s="4">
        <f>IF(OR(INDEX($AH$2:$AH$1001,MATCH(ROWS($AG$2:AG575),$AG$2:$AG$1001,0),1)&gt;=100000,INDEX($AN$1005:$BO$1005,1,MATCH(COLUMNS($AN$1006:AS1006),$AN$1006:$BO$1006,0))&gt;=100000), " ",IF(INDEX($AN$2:$BO$1001,MATCH(ROWS($AG$2:AG575),$AG$2:$AG$1001,0),MATCH(COLUMNS($AN$1006:AS1006),$AN$1006:$BO$1006,0)), HYPERLINK("#",""), HYPERLINK(CONCATENATE("#Metadata!", ADDRESS(INDEX($AI$2:$AI$1001,MATCH(ROWS($AG$2:AG575),$AG$2:$AG$1001,0),0), INDEX($AN$1004:$BO$1004,1,MATCH(COLUMNS($AN$1006:AS1006),$AN$1006:$BO$1006,0)))),"Fix")))</f>
        <v>0</v>
      </c>
      <c r="H575" s="4">
        <f>IF(OR(INDEX($AH$2:$AH$1001,MATCH(ROWS($AG$2:AG575),$AG$2:$AG$1001,0),1)&gt;=100000,INDEX($AN$1005:$BO$1005,1,MATCH(COLUMNS($AN$1006:AT1006),$AN$1006:$BO$1006,0))&gt;=100000), " ",IF(INDEX($AN$2:$BO$1001,MATCH(ROWS($AG$2:AG575),$AG$2:$AG$1001,0),MATCH(COLUMNS($AN$1006:AT1006),$AN$1006:$BO$1006,0)), HYPERLINK("#",""), HYPERLINK(CONCATENATE("#Metadata!", ADDRESS(INDEX($AI$2:$AI$1001,MATCH(ROWS($AG$2:AG575),$AG$2:$AG$1001,0),0), INDEX($AN$1004:$BO$1004,1,MATCH(COLUMNS($AN$1006:AT1006),$AN$1006:$BO$1006,0)))),"Fix")))</f>
        <v>0</v>
      </c>
      <c r="I575" s="4">
        <f>IF(OR(INDEX($AH$2:$AH$1001,MATCH(ROWS($AG$2:AG575),$AG$2:$AG$1001,0),1)&gt;=100000,INDEX($AN$1005:$BO$1005,1,MATCH(COLUMNS($AN$1006:AU1006),$AN$1006:$BO$1006,0))&gt;=100000), " ",IF(INDEX($AN$2:$BO$1001,MATCH(ROWS($AG$2:AG575),$AG$2:$AG$1001,0),MATCH(COLUMNS($AN$1006:AU1006),$AN$1006:$BO$1006,0)), HYPERLINK("#",""), HYPERLINK(CONCATENATE("#Metadata!", ADDRESS(INDEX($AI$2:$AI$1001,MATCH(ROWS($AG$2:AG575),$AG$2:$AG$1001,0),0), INDEX($AN$1004:$BO$1004,1,MATCH(COLUMNS($AN$1006:AU1006),$AN$1006:$BO$1006,0)))),"Fix")))</f>
        <v>0</v>
      </c>
      <c r="J575" s="4">
        <f>IF(OR(INDEX($AH$2:$AH$1001,MATCH(ROWS($AG$2:AG575),$AG$2:$AG$1001,0),1)&gt;=100000,INDEX($AN$1005:$BO$1005,1,MATCH(COLUMNS($AN$1006:AV1006),$AN$1006:$BO$1006,0))&gt;=100000), " ",IF(INDEX($AN$2:$BO$1001,MATCH(ROWS($AG$2:AG575),$AG$2:$AG$1001,0),MATCH(COLUMNS($AN$1006:AV1006),$AN$1006:$BO$1006,0)), HYPERLINK("#",""), HYPERLINK(CONCATENATE("#Metadata!", ADDRESS(INDEX($AI$2:$AI$1001,MATCH(ROWS($AG$2:AG575),$AG$2:$AG$1001,0),0), INDEX($AN$1004:$BO$1004,1,MATCH(COLUMNS($AN$1006:AV1006),$AN$1006:$BO$1006,0)))),"Fix")))</f>
        <v>0</v>
      </c>
      <c r="K575" s="4">
        <f>IF(OR(INDEX($AH$2:$AH$1001,MATCH(ROWS($AG$2:AG575),$AG$2:$AG$1001,0),1)&gt;=100000,INDEX($AN$1005:$BO$1005,1,MATCH(COLUMNS($AN$1006:AW1006),$AN$1006:$BO$1006,0))&gt;=100000), " ",IF(INDEX($AN$2:$BO$1001,MATCH(ROWS($AG$2:AG575),$AG$2:$AG$1001,0),MATCH(COLUMNS($AN$1006:AW1006),$AN$1006:$BO$1006,0)), HYPERLINK("#",""), HYPERLINK(CONCATENATE("#Metadata!", ADDRESS(INDEX($AI$2:$AI$1001,MATCH(ROWS($AG$2:AG575),$AG$2:$AG$1001,0),0), INDEX($AN$1004:$BO$1004,1,MATCH(COLUMNS($AN$1006:AW1006),$AN$1006:$BO$1006,0)))),"Fix")))</f>
        <v>0</v>
      </c>
      <c r="L575" s="4">
        <f>IF(OR(INDEX($AH$2:$AH$1001,MATCH(ROWS($AG$2:AG575),$AG$2:$AG$1001,0),1)&gt;=100000,INDEX($AN$1005:$BO$1005,1,MATCH(COLUMNS($AN$1006:AX1006),$AN$1006:$BO$1006,0))&gt;=100000), " ",IF(INDEX($AN$2:$BO$1001,MATCH(ROWS($AG$2:AG575),$AG$2:$AG$1001,0),MATCH(COLUMNS($AN$1006:AX1006),$AN$1006:$BO$1006,0)), HYPERLINK("#",""), HYPERLINK(CONCATENATE("#Metadata!", ADDRESS(INDEX($AI$2:$AI$1001,MATCH(ROWS($AG$2:AG575),$AG$2:$AG$1001,0),0), INDEX($AN$1004:$BO$1004,1,MATCH(COLUMNS($AN$1006:AX1006),$AN$1006:$BO$1006,0)))),"Fix")))</f>
        <v>0</v>
      </c>
      <c r="M575" s="4">
        <f>IF(OR(INDEX($AH$2:$AH$1001,MATCH(ROWS($AG$2:AG575),$AG$2:$AG$1001,0),1)&gt;=100000,INDEX($AN$1005:$BO$1005,1,MATCH(COLUMNS($AN$1006:AY1006),$AN$1006:$BO$1006,0))&gt;=100000), " ",IF(INDEX($AN$2:$BO$1001,MATCH(ROWS($AG$2:AG575),$AG$2:$AG$1001,0),MATCH(COLUMNS($AN$1006:AY1006),$AN$1006:$BO$1006,0)), HYPERLINK("#",""), HYPERLINK(CONCATENATE("#Metadata!", ADDRESS(INDEX($AI$2:$AI$1001,MATCH(ROWS($AG$2:AG575),$AG$2:$AG$1001,0),0), INDEX($AN$1004:$BO$1004,1,MATCH(COLUMNS($AN$1006:AY1006),$AN$1006:$BO$1006,0)))),"Fix")))</f>
        <v>0</v>
      </c>
      <c r="N575" s="4">
        <f>IF(OR(INDEX($AH$2:$AH$1001,MATCH(ROWS($AG$2:AG575),$AG$2:$AG$1001,0),1)&gt;=100000,INDEX($AN$1005:$BO$1005,1,MATCH(COLUMNS($AN$1006:AZ1006),$AN$1006:$BO$1006,0))&gt;=100000), " ",IF(INDEX($AN$2:$BO$1001,MATCH(ROWS($AG$2:AG575),$AG$2:$AG$1001,0),MATCH(COLUMNS($AN$1006:AZ1006),$AN$1006:$BO$1006,0)), HYPERLINK("#",""), HYPERLINK(CONCATENATE("#Metadata!", ADDRESS(INDEX($AI$2:$AI$1001,MATCH(ROWS($AG$2:AG575),$AG$2:$AG$1001,0),0), INDEX($AN$1004:$BO$1004,1,MATCH(COLUMNS($AN$1006:AZ1006),$AN$1006:$BO$1006,0)))),"Fix")))</f>
        <v>0</v>
      </c>
      <c r="O575" s="4">
        <f>IF(OR(INDEX($AH$2:$AH$1001,MATCH(ROWS($AG$2:AG575),$AG$2:$AG$1001,0),1)&gt;=100000,INDEX($AN$1005:$BO$1005,1,MATCH(COLUMNS($AN$1006:BA1006),$AN$1006:$BO$1006,0))&gt;=100000), " ",IF(INDEX($AN$2:$BO$1001,MATCH(ROWS($AG$2:AG575),$AG$2:$AG$1001,0),MATCH(COLUMNS($AN$1006:BA1006),$AN$1006:$BO$1006,0)), HYPERLINK("#",""), HYPERLINK(CONCATENATE("#Metadata!", ADDRESS(INDEX($AI$2:$AI$1001,MATCH(ROWS($AG$2:AG575),$AG$2:$AG$1001,0),0), INDEX($AN$1004:$BO$1004,1,MATCH(COLUMNS($AN$1006:BA1006),$AN$1006:$BO$1006,0)))),"Fix")))</f>
        <v>0</v>
      </c>
      <c r="P575" s="4">
        <f>IF(OR(INDEX($AH$2:$AH$1001,MATCH(ROWS($AG$2:AG575),$AG$2:$AG$1001,0),1)&gt;=100000,INDEX($AN$1005:$BO$1005,1,MATCH(COLUMNS($AN$1006:BB1006),$AN$1006:$BO$1006,0))&gt;=100000), " ",IF(INDEX($AN$2:$BO$1001,MATCH(ROWS($AG$2:AG575),$AG$2:$AG$1001,0),MATCH(COLUMNS($AN$1006:BB1006),$AN$1006:$BO$1006,0)), HYPERLINK("#",""), HYPERLINK(CONCATENATE("#Metadata!", ADDRESS(INDEX($AI$2:$AI$1001,MATCH(ROWS($AG$2:AG575),$AG$2:$AG$1001,0),0), INDEX($AN$1004:$BO$1004,1,MATCH(COLUMNS($AN$1006:BB1006),$AN$1006:$BO$1006,0)))),"Fix")))</f>
        <v>0</v>
      </c>
      <c r="Q575" s="4">
        <f>IF(OR(INDEX($AH$2:$AH$1001,MATCH(ROWS($AG$2:AG575),$AG$2:$AG$1001,0),1)&gt;=100000,INDEX($AN$1005:$BO$1005,1,MATCH(COLUMNS($AN$1006:BC1006),$AN$1006:$BO$1006,0))&gt;=100000), " ",IF(INDEX($AN$2:$BO$1001,MATCH(ROWS($AG$2:AG575),$AG$2:$AG$1001,0),MATCH(COLUMNS($AN$1006:BC1006),$AN$1006:$BO$1006,0)), HYPERLINK("#",""), HYPERLINK(CONCATENATE("#Metadata!", ADDRESS(INDEX($AI$2:$AI$1001,MATCH(ROWS($AG$2:AG575),$AG$2:$AG$1001,0),0), INDEX($AN$1004:$BO$1004,1,MATCH(COLUMNS($AN$1006:BC1006),$AN$1006:$BO$1006,0)))),"Fix")))</f>
        <v>0</v>
      </c>
      <c r="R575" s="4">
        <f>IF(OR(INDEX($AH$2:$AH$1001,MATCH(ROWS($AG$2:AG575),$AG$2:$AG$1001,0),1)&gt;=100000,INDEX($AN$1005:$BO$1005,1,MATCH(COLUMNS($AN$1006:BD1006),$AN$1006:$BO$1006,0))&gt;=100000), " ",IF(INDEX($AN$2:$BO$1001,MATCH(ROWS($AG$2:AG575),$AG$2:$AG$1001,0),MATCH(COLUMNS($AN$1006:BD1006),$AN$1006:$BO$1006,0)), HYPERLINK("#",""), HYPERLINK(CONCATENATE("#Metadata!", ADDRESS(INDEX($AI$2:$AI$1001,MATCH(ROWS($AG$2:AG575),$AG$2:$AG$1001,0),0), INDEX($AN$1004:$BO$1004,1,MATCH(COLUMNS($AN$1006:BD1006),$AN$1006:$BO$1006,0)))),"Fix")))</f>
        <v>0</v>
      </c>
      <c r="S575" s="4">
        <f>IF(OR(INDEX($AH$2:$AH$1001,MATCH(ROWS($AG$2:AG575),$AG$2:$AG$1001,0),1)&gt;=100000,INDEX($AN$1005:$BO$1005,1,MATCH(COLUMNS($AN$1006:BE1006),$AN$1006:$BO$1006,0))&gt;=100000), " ",IF(INDEX($AN$2:$BO$1001,MATCH(ROWS($AG$2:AG575),$AG$2:$AG$1001,0),MATCH(COLUMNS($AN$1006:BE1006),$AN$1006:$BO$1006,0)), HYPERLINK("#",""), HYPERLINK(CONCATENATE("#Metadata!", ADDRESS(INDEX($AI$2:$AI$1001,MATCH(ROWS($AG$2:AG575),$AG$2:$AG$1001,0),0), INDEX($AN$1004:$BO$1004,1,MATCH(COLUMNS($AN$1006:BE1006),$AN$1006:$BO$1006,0)))),"Fix")))</f>
        <v>0</v>
      </c>
      <c r="T575" s="4">
        <f>IF(OR(INDEX($AH$2:$AH$1001,MATCH(ROWS($AG$2:AG575),$AG$2:$AG$1001,0),1)&gt;=100000,INDEX($AN$1005:$BO$1005,1,MATCH(COLUMNS($AN$1006:BF1006),$AN$1006:$BO$1006,0))&gt;=100000), " ",IF(INDEX($AN$2:$BO$1001,MATCH(ROWS($AG$2:AG575),$AG$2:$AG$1001,0),MATCH(COLUMNS($AN$1006:BF1006),$AN$1006:$BO$1006,0)), HYPERLINK("#",""), HYPERLINK(CONCATENATE("#Metadata!", ADDRESS(INDEX($AI$2:$AI$1001,MATCH(ROWS($AG$2:AG575),$AG$2:$AG$1001,0),0), INDEX($AN$1004:$BO$1004,1,MATCH(COLUMNS($AN$1006:BF1006),$AN$1006:$BO$1006,0)))),"Fix")))</f>
        <v>0</v>
      </c>
      <c r="U575" s="4">
        <f>IF(OR(INDEX($AH$2:$AH$1001,MATCH(ROWS($AG$2:AG575),$AG$2:$AG$1001,0),1)&gt;=100000,INDEX($AN$1005:$BO$1005,1,MATCH(COLUMNS($AN$1006:BG1006),$AN$1006:$BO$1006,0))&gt;=100000), " ",IF(INDEX($AN$2:$BO$1001,MATCH(ROWS($AG$2:AG575),$AG$2:$AG$1001,0),MATCH(COLUMNS($AN$1006:BG1006),$AN$1006:$BO$1006,0)), HYPERLINK("#",""), HYPERLINK(CONCATENATE("#Metadata!", ADDRESS(INDEX($AI$2:$AI$1001,MATCH(ROWS($AG$2:AG575),$AG$2:$AG$1001,0),0), INDEX($AN$1004:$BO$1004,1,MATCH(COLUMNS($AN$1006:BG1006),$AN$1006:$BO$1006,0)))),"Fix")))</f>
        <v>0</v>
      </c>
      <c r="V575" s="4">
        <f>IF(OR(INDEX($AH$2:$AH$1001,MATCH(ROWS($AG$2:AG575),$AG$2:$AG$1001,0),1)&gt;=100000,INDEX($AN$1005:$BO$1005,1,MATCH(COLUMNS($AN$1006:BH1006),$AN$1006:$BO$1006,0))&gt;=100000), " ",IF(INDEX($AN$2:$BO$1001,MATCH(ROWS($AG$2:AG575),$AG$2:$AG$1001,0),MATCH(COLUMNS($AN$1006:BH1006),$AN$1006:$BO$1006,0)), HYPERLINK("#",""), HYPERLINK(CONCATENATE("#Metadata!", ADDRESS(INDEX($AI$2:$AI$1001,MATCH(ROWS($AG$2:AG575),$AG$2:$AG$1001,0),0), INDEX($AN$1004:$BO$1004,1,MATCH(COLUMNS($AN$1006:BH1006),$AN$1006:$BO$1006,0)))),"Fix")))</f>
        <v>0</v>
      </c>
      <c r="W575" s="4">
        <f>IF(OR(INDEX($AH$2:$AH$1001,MATCH(ROWS($AG$2:AG575),$AG$2:$AG$1001,0),1)&gt;=100000,INDEX($AN$1005:$BO$1005,1,MATCH(COLUMNS($AN$1006:BI1006),$AN$1006:$BO$1006,0))&gt;=100000), " ",IF(INDEX($AN$2:$BO$1001,MATCH(ROWS($AG$2:AG575),$AG$2:$AG$1001,0),MATCH(COLUMNS($AN$1006:BI1006),$AN$1006:$BO$1006,0)), HYPERLINK("#",""), HYPERLINK(CONCATENATE("#Metadata!", ADDRESS(INDEX($AI$2:$AI$1001,MATCH(ROWS($AG$2:AG575),$AG$2:$AG$1001,0),0), INDEX($AN$1004:$BO$1004,1,MATCH(COLUMNS($AN$1006:BI1006),$AN$1006:$BO$1006,0)))),"Fix")))</f>
        <v>0</v>
      </c>
      <c r="X575" s="4">
        <f>IF(OR(INDEX($AH$2:$AH$1001,MATCH(ROWS($AG$2:AG575),$AG$2:$AG$1001,0),1)&gt;=100000,INDEX($AN$1005:$BO$1005,1,MATCH(COLUMNS($AN$1006:BJ1006),$AN$1006:$BO$1006,0))&gt;=100000), " ",IF(INDEX($AN$2:$BO$1001,MATCH(ROWS($AG$2:AG575),$AG$2:$AG$1001,0),MATCH(COLUMNS($AN$1006:BJ1006),$AN$1006:$BO$1006,0)), HYPERLINK("#",""), HYPERLINK(CONCATENATE("#Metadata!", ADDRESS(INDEX($AI$2:$AI$1001,MATCH(ROWS($AG$2:AG575),$AG$2:$AG$1001,0),0), INDEX($AN$1004:$BO$1004,1,MATCH(COLUMNS($AN$1006:BJ1006),$AN$1006:$BO$1006,0)))),"Fix")))</f>
        <v>0</v>
      </c>
      <c r="Y575" s="4">
        <f>IF(OR(INDEX($AH$2:$AH$1001,MATCH(ROWS($AG$2:AG575),$AG$2:$AG$1001,0),1)&gt;=100000,INDEX($AN$1005:$BO$1005,1,MATCH(COLUMNS($AN$1006:BK1006),$AN$1006:$BO$1006,0))&gt;=100000), " ",IF(INDEX($AN$2:$BO$1001,MATCH(ROWS($AG$2:AG575),$AG$2:$AG$1001,0),MATCH(COLUMNS($AN$1006:BK1006),$AN$1006:$BO$1006,0)), HYPERLINK("#",""), HYPERLINK(CONCATENATE("#Metadata!", ADDRESS(INDEX($AI$2:$AI$1001,MATCH(ROWS($AG$2:AG575),$AG$2:$AG$1001,0),0), INDEX($AN$1004:$BO$1004,1,MATCH(COLUMNS($AN$1006:BK1006),$AN$1006:$BO$1006,0)))),"Fix")))</f>
        <v>0</v>
      </c>
      <c r="Z575" s="4">
        <f>IF(OR(INDEX($AH$2:$AH$1001,MATCH(ROWS($AG$2:AG575),$AG$2:$AG$1001,0),1)&gt;=100000,INDEX($AN$1005:$BO$1005,1,MATCH(COLUMNS($AN$1006:BL1006),$AN$1006:$BO$1006,0))&gt;=100000), " ",IF(INDEX($AN$2:$BO$1001,MATCH(ROWS($AG$2:AG575),$AG$2:$AG$1001,0),MATCH(COLUMNS($AN$1006:BL1006),$AN$1006:$BO$1006,0)), HYPERLINK("#",""), HYPERLINK(CONCATENATE("#Metadata!", ADDRESS(INDEX($AI$2:$AI$1001,MATCH(ROWS($AG$2:AG575),$AG$2:$AG$1001,0),0), INDEX($AN$1004:$BO$1004,1,MATCH(COLUMNS($AN$1006:BL1006),$AN$1006:$BO$1006,0)))),"Fix")))</f>
        <v>0</v>
      </c>
      <c r="AA575" s="4">
        <f>IF(OR(INDEX($AH$2:$AH$1001,MATCH(ROWS($AG$2:AG575),$AG$2:$AG$1001,0),1)&gt;=100000,INDEX($AN$1005:$BO$1005,1,MATCH(COLUMNS($AN$1006:BM1006),$AN$1006:$BO$1006,0))&gt;=100000), " ",IF(INDEX($AN$2:$BO$1001,MATCH(ROWS($AG$2:AG575),$AG$2:$AG$1001,0),MATCH(COLUMNS($AN$1006:BM1006),$AN$1006:$BO$1006,0)), HYPERLINK("#",""), HYPERLINK(CONCATENATE("#Metadata!", ADDRESS(INDEX($AI$2:$AI$1001,MATCH(ROWS($AG$2:AG575),$AG$2:$AG$1001,0),0), INDEX($AN$1004:$BO$1004,1,MATCH(COLUMNS($AN$1006:BM1006),$AN$1006:$BO$1006,0)))),"Fix")))</f>
        <v>0</v>
      </c>
      <c r="AB575" s="4">
        <f>IF(OR(INDEX($AH$2:$AH$1001,MATCH(ROWS($AG$2:AG575),$AG$2:$AG$1001,0),1)&gt;=100000,INDEX($AN$1005:$BO$1005,1,MATCH(COLUMNS($AN$1006:BN1006),$AN$1006:$BO$1006,0))&gt;=100000), " ",IF(INDEX($AN$2:$BO$1001,MATCH(ROWS($AG$2:AG575),$AG$2:$AG$1001,0),MATCH(COLUMNS($AN$1006:BN1006),$AN$1006:$BO$1006,0)), HYPERLINK("#",""), HYPERLINK(CONCATENATE("#Metadata!", ADDRESS(INDEX($AI$2:$AI$1001,MATCH(ROWS($AG$2:AG575),$AG$2:$AG$1001,0),0), INDEX($AN$1004:$BO$1004,1,MATCH(COLUMNS($AN$1006:BN1006),$AN$1006:$BO$1006,0)))),"Fix")))</f>
        <v>0</v>
      </c>
      <c r="AC575" s="4">
        <f>IF(OR(INDEX($AH$2:$AH$1001,MATCH(ROWS($AG$2:AG575),$AG$2:$AG$1001,0),1)&gt;=100000,INDEX($AN$1005:$BO$1005,1,MATCH(COLUMNS($AN$1006:BO1006),$AN$1006:$BO$1006,0))&gt;=100000), " ",IF(INDEX($AN$2:$BO$1001,MATCH(ROWS($AG$2:AG575),$AG$2:$AG$1001,0),MATCH(COLUMNS($AN$1006:BO1006),$AN$1006:$BO$1006,0)), HYPERLINK("#",""), HYPERLINK(CONCATENATE("#Metadata!", ADDRESS(INDEX($AI$2:$AI$1001,MATCH(ROWS($AG$2:AG575),$AG$2:$AG$1001,0),0), INDEX($AN$1004:$BO$1004,1,MATCH(COLUMNS($AN$1006:BO1006),$AN$1006:$BO$1006,0)))),"Fix")))</f>
        <v>0</v>
      </c>
      <c r="AG575">
        <v>0</v>
      </c>
      <c r="AH575">
        <v>0</v>
      </c>
      <c r="AI575">
        <v>0</v>
      </c>
      <c r="AJ575">
        <f>IF(AK575,TRUE,AND(AN575:BO575))</f>
        <v>0</v>
      </c>
      <c r="AK575">
        <f>COUNTBLANK(Metadata!B575:AC575)=COLUMNS(Metadata!B575:AC575)</f>
        <v>0</v>
      </c>
      <c r="AL575">
        <v>0</v>
      </c>
      <c r="AN575">
        <f>AND(IF(Metadata!B575="",FALSE,TRUE),COUNTIF(Metadata!B:B, Metadata!B575) = 1,NOT(ISERROR(SUMPRODUCT(SEARCH(MID(Metadata!B575,ROW(INDIRECT("1:"&amp;LEN(Metadata!B575))), 1),"0123456789abcdefghijklmnopqrstuvwxyzABCDEFGHIJKLMNOPQRSTUVWXYZ.")))))</f>
        <v>0</v>
      </c>
      <c r="AO575">
        <f>IF(Metadata!C575="",FALSE,TRUE)</f>
        <v>0</v>
      </c>
      <c r="AP575">
        <f>IF(Metadata!D575="",FALSE,TRUE)</f>
        <v>0</v>
      </c>
      <c r="AQ575">
        <f>OR(AND(IF(Metadata!E575="",FALSE,TRUE),OR(exact(Metadata!E575,"not collected"),exact(Metadata!E575,"not provided"),exact(Metadata!E575,"restricted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R575">
        <f>IF(Metadata!F575="",FALSE,TRUE)</f>
        <v>0</v>
      </c>
      <c r="AS575">
        <f>OR(AND(IF(Metadata!G575="",FALSE,TRUE),OR(exact(Metadata!G575,"not collected"),exact(Metadata!G575,"not provided"))),AND(IF(Metadata!G575="",FALSE,TRUE),OR(exact(Metadata!G575,"TRUE"),exact(Metadata!G575,"FALSE"))))</f>
        <v>0</v>
      </c>
      <c r="AT575">
        <f>OR(AND(IF(Metadata!H575="",FALSE,TRUE),OR(exact(Metadata!H575,"not collected"),exact(Metadata!H575,"not provided"),exact(Metadata!H575,"restricted access"))),AND(IF(Metadata!H575="",FALSE,ISNUMBER(VALUE(Metadata!H575))),Metadata!H575&gt;=-413.0))</f>
        <v>0</v>
      </c>
      <c r="AU575">
        <f>AND(IF(Metadata!I575="",FALSE,TRUE),exact(Metadata!I575,"meters"))</f>
        <v>0</v>
      </c>
      <c r="AV575">
        <f>AND(IF(Metadata!J575="",FALSE,TRUE),OR(exact(Metadata!J575,"Host-associated"),exact(Metadata!J575,"Free-living")))</f>
        <v>0</v>
      </c>
      <c r="AW575">
        <f>AND(IF(Metadata!K575="",FALSE,TRUE),OR(exact(Metadata!K575,"Animal"),exact(Metadata!K575,"Fungus"),exact(Metadata!K575,"Plant"),exact(Metadata!K575,"Saline"),exact(Metadata!K575,"Non-saline")))</f>
        <v>0</v>
      </c>
      <c r="AX575">
        <f>AND(IF(Metadata!L575="",FALSE,TRUE),OR(exact(Metadata!L575,"Plant secretion"),exact(Metadata!L575,"Plant rhizosphere"),exact(Metadata!L575,"Plant surface"),exact(Metadata!L575,"Plant corpus"),exact(Metadata!L575,"Fungus surface"),exact(Metadata!L575,"Fungus corpus"),exact(Metadata!L575,"Animal surface"),exact(Metadata!L575,"Animal proximal gut"),exact(Metadata!L575,"Animal corpus"),exact(Metadata!L575,"Animal distal gut"),exact(Metadata!L575,"Animal secretion"),exact(Metadata!L575,"Sub-surface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Y575">
        <f>IF(Metadata!M575="",FALSE,TRUE)</f>
        <v>0</v>
      </c>
      <c r="AZ575">
        <f>IF(Metadata!N575="",FALSE,TRUE)</f>
        <v>0</v>
      </c>
      <c r="BA575">
        <f>IF(Metadata!O575="",FALSE,TRUE)</f>
        <v>0</v>
      </c>
      <c r="BB575">
        <f>OR(AND(IF(Metadata!P575="",FALSE,TRUE),OR(exact(Metadata!P575,"not collected"),exact(Metadata!P575,"not provided"),exact(Metadata!P575,"restricted access"))),AND(IF(Metadata!P575="",FALSE,TRUE),OR(exact(Metadata!P575,"air"),exact(Metadata!P575,"built environment"),exact(Metadata!P575,"host-associated"),exact(Metadata!P575,"human-associated"),exact(Metadata!P575,"human-skin"),exact(Metadata!P575,"human-oral"),exact(Metadata!P575,"human-gut"),exact(Metadata!P575,"human-vaginal"),exact(Metadata!P575,"microbial mat/biofilm"),exact(Metadata!P575,"misc environment"),exact(Metadata!P575,"plant-associated"),exact(Metadata!P575,"sediment"),exact(Metadata!P575,"soil"),exact(Metadata!P575,"wastewater/sludge"),exact(Metadata!P575,"water"))))</f>
        <v>0</v>
      </c>
      <c r="BC575">
        <f>IF(Metadata!Q575="",FALSE,TRUE)</f>
        <v>0</v>
      </c>
      <c r="BD575">
        <f>IF(Metadata!R575="",FALSE,TRUE)</f>
        <v>0</v>
      </c>
      <c r="BE575">
        <f>OR(AND(IF(Metadata!S575="",FALSE,TRUE),OR(exact(Metadata!S575,"not collected"),exact(Metadata!S575,"not provided"),exact(Metadata!S575,"restricted access"))),AND(IF(Metadata!S575="",FALSE,ISNUMBER(VALUE(Metadata!S575))),Metadata!S575&gt;=-90.00,Metadata!S575&lt;=90.00))</f>
        <v>0</v>
      </c>
      <c r="BF575">
        <f>AND(IF(Metadata!T575="",FALSE,TRUE),exact(Metadata!T575,"Decimal degrees"))</f>
        <v>0</v>
      </c>
      <c r="BG575">
        <f>OR(AND(IF(Metadata!U575="",FALSE,TRUE),OR(exact(Metadata!U575,"not collected"),exact(Metadata!U575,"not provided"),exact(Metadata!U575,"restricted access"))),AND(IF(Metadata!U575="",FALSE,ISNUMBER(VALUE(Metadata!U575))),Metadata!U575&gt;=-180.00,Metadata!U575&lt;=180.00))</f>
        <v>0</v>
      </c>
      <c r="BH575">
        <f>AND(IF(Metadata!V575="",FALSE,TRUE),exact(Metadata!V575,"Decimal degrees"))</f>
        <v>0</v>
      </c>
      <c r="BI575">
        <f>IF(Metadata!W575="",FALSE,TRUE)</f>
        <v>0</v>
      </c>
      <c r="BJ575">
        <f>OR(AND(IF(Metadata!X575="",FALSE,TRUE),OR(exact(Metadata!X575,"not collected"),exact(Metadata!X575,"not provided"),exact(Metadata!X575,"restricted access"))),AND(IF(Metadata!X575="",FALSE,TRUE),OR(exact(Metadata!X575,"TRUE"),exact(Metadata!X575,"FALSE"))))</f>
        <v>0</v>
      </c>
      <c r="BK575">
        <f>AND(IF(Metadata!Y575="",FALSE,TRUE),exact(Metadata!Y575,"other"))</f>
        <v>0</v>
      </c>
      <c r="BL575">
        <f>IF(Metadata!Z575="",FALSE,TRUE)</f>
        <v>0</v>
      </c>
      <c r="BM575">
        <f>OR(AND(IF(Metadata!AA575="",FALSE,TRUE),OR(exact(Metadata!AA575,"not collected"),exact(Metadata!AA575,"not provided"))),AND(IF(Metadata!AA575="",FALSE,IF(ISERROR(INT(Metadata!AA575)),FALSE,INT(Metadata!AA575)=Metadata!AA575)),Metadata!AA575&gt;0))</f>
        <v>0</v>
      </c>
      <c r="BN575">
        <f>AND(IF(Metadata!AB575="",FALSE,TRUE),exact(Metadata!AB575,"Not applicable"))</f>
        <v>0</v>
      </c>
      <c r="BO575">
        <f>IF(Metadata!AC575="",FALSE,TRUE)</f>
        <v>0</v>
      </c>
    </row>
    <row r="576" spans="1:67">
      <c r="A576" s="5">
        <f>IF(B576=" "," ",HYPERLINK(CONCATENATE("#metadata!",ADDRESS(INDEX($AI$2:$AI$1001,MATCH(ROWS($AG$2:AG576),$AG$2:$AG$1001,0),0),1)),INDEX($AL$2:$AL$1001,MATCH(ROWS($AG$2:AG576),$AG$2:$AG$1001,0),0)))</f>
        <v>0</v>
      </c>
      <c r="B576" s="4">
        <f>IF(OR(INDEX($AH$2:$AH$1001,MATCH(ROWS($AG$2:AG576),$AG$2:$AG$1001,0),1)&gt;=100000,INDEX($AN$1005:$BO$1005,1,MATCH(COLUMNS($AN$1006:AN1006),$AN$1006:$BO$1006,0))&gt;=100000), " ",IF(INDEX($AN$2:$BO$1001,MATCH(ROWS($AG$2:AG576),$AG$2:$AG$1001,0),MATCH(COLUMNS($AN$1006:AN1006),$AN$1006:$BO$1006,0)), HYPERLINK("#",""), HYPERLINK(CONCATENATE("#Metadata!", ADDRESS(INDEX($AI$2:$AI$1001,MATCH(ROWS($AG$2:AG576),$AG$2:$AG$1001,0),0), INDEX($AN$1004:$BO$1004,1,MATCH(COLUMNS($AN$1006:AN1006),$AN$1006:$BO$1006,0)))),"Fix")))</f>
        <v>0</v>
      </c>
      <c r="C576" s="4">
        <f>IF(OR(INDEX($AH$2:$AH$1001,MATCH(ROWS($AG$2:AG576),$AG$2:$AG$1001,0),1)&gt;=100000,INDEX($AN$1005:$BO$1005,1,MATCH(COLUMNS($AN$1006:AO1006),$AN$1006:$BO$1006,0))&gt;=100000), " ",IF(INDEX($AN$2:$BO$1001,MATCH(ROWS($AG$2:AG576),$AG$2:$AG$1001,0),MATCH(COLUMNS($AN$1006:AO1006),$AN$1006:$BO$1006,0)), HYPERLINK("#",""), HYPERLINK(CONCATENATE("#Metadata!", ADDRESS(INDEX($AI$2:$AI$1001,MATCH(ROWS($AG$2:AG576),$AG$2:$AG$1001,0),0), INDEX($AN$1004:$BO$1004,1,MATCH(COLUMNS($AN$1006:AO1006),$AN$1006:$BO$1006,0)))),"Fix")))</f>
        <v>0</v>
      </c>
      <c r="D576" s="4">
        <f>IF(OR(INDEX($AH$2:$AH$1001,MATCH(ROWS($AG$2:AG576),$AG$2:$AG$1001,0),1)&gt;=100000,INDEX($AN$1005:$BO$1005,1,MATCH(COLUMNS($AN$1006:AP1006),$AN$1006:$BO$1006,0))&gt;=100000), " ",IF(INDEX($AN$2:$BO$1001,MATCH(ROWS($AG$2:AG576),$AG$2:$AG$1001,0),MATCH(COLUMNS($AN$1006:AP1006),$AN$1006:$BO$1006,0)), HYPERLINK("#",""), HYPERLINK(CONCATENATE("#Metadata!", ADDRESS(INDEX($AI$2:$AI$1001,MATCH(ROWS($AG$2:AG576),$AG$2:$AG$1001,0),0), INDEX($AN$1004:$BO$1004,1,MATCH(COLUMNS($AN$1006:AP1006),$AN$1006:$BO$1006,0)))),"Fix")))</f>
        <v>0</v>
      </c>
      <c r="E576" s="4">
        <f>IF(OR(INDEX($AH$2:$AH$1001,MATCH(ROWS($AG$2:AG576),$AG$2:$AG$1001,0),1)&gt;=100000,INDEX($AN$1005:$BO$1005,1,MATCH(COLUMNS($AN$1006:AQ1006),$AN$1006:$BO$1006,0))&gt;=100000), " ",IF(INDEX($AN$2:$BO$1001,MATCH(ROWS($AG$2:AG576),$AG$2:$AG$1001,0),MATCH(COLUMNS($AN$1006:AQ1006),$AN$1006:$BO$1006,0)), HYPERLINK("#",""), HYPERLINK(CONCATENATE("#Metadata!", ADDRESS(INDEX($AI$2:$AI$1001,MATCH(ROWS($AG$2:AG576),$AG$2:$AG$1001,0),0), INDEX($AN$1004:$BO$1004,1,MATCH(COLUMNS($AN$1006:AQ1006),$AN$1006:$BO$1006,0)))),"Fix")))</f>
        <v>0</v>
      </c>
      <c r="F576" s="4">
        <f>IF(OR(INDEX($AH$2:$AH$1001,MATCH(ROWS($AG$2:AG576),$AG$2:$AG$1001,0),1)&gt;=100000,INDEX($AN$1005:$BO$1005,1,MATCH(COLUMNS($AN$1006:AR1006),$AN$1006:$BO$1006,0))&gt;=100000), " ",IF(INDEX($AN$2:$BO$1001,MATCH(ROWS($AG$2:AG576),$AG$2:$AG$1001,0),MATCH(COLUMNS($AN$1006:AR1006),$AN$1006:$BO$1006,0)), HYPERLINK("#",""), HYPERLINK(CONCATENATE("#Metadata!", ADDRESS(INDEX($AI$2:$AI$1001,MATCH(ROWS($AG$2:AG576),$AG$2:$AG$1001,0),0), INDEX($AN$1004:$BO$1004,1,MATCH(COLUMNS($AN$1006:AR1006),$AN$1006:$BO$1006,0)))),"Fix")))</f>
        <v>0</v>
      </c>
      <c r="G576" s="4">
        <f>IF(OR(INDEX($AH$2:$AH$1001,MATCH(ROWS($AG$2:AG576),$AG$2:$AG$1001,0),1)&gt;=100000,INDEX($AN$1005:$BO$1005,1,MATCH(COLUMNS($AN$1006:AS1006),$AN$1006:$BO$1006,0))&gt;=100000), " ",IF(INDEX($AN$2:$BO$1001,MATCH(ROWS($AG$2:AG576),$AG$2:$AG$1001,0),MATCH(COLUMNS($AN$1006:AS1006),$AN$1006:$BO$1006,0)), HYPERLINK("#",""), HYPERLINK(CONCATENATE("#Metadata!", ADDRESS(INDEX($AI$2:$AI$1001,MATCH(ROWS($AG$2:AG576),$AG$2:$AG$1001,0),0), INDEX($AN$1004:$BO$1004,1,MATCH(COLUMNS($AN$1006:AS1006),$AN$1006:$BO$1006,0)))),"Fix")))</f>
        <v>0</v>
      </c>
      <c r="H576" s="4">
        <f>IF(OR(INDEX($AH$2:$AH$1001,MATCH(ROWS($AG$2:AG576),$AG$2:$AG$1001,0),1)&gt;=100000,INDEX($AN$1005:$BO$1005,1,MATCH(COLUMNS($AN$1006:AT1006),$AN$1006:$BO$1006,0))&gt;=100000), " ",IF(INDEX($AN$2:$BO$1001,MATCH(ROWS($AG$2:AG576),$AG$2:$AG$1001,0),MATCH(COLUMNS($AN$1006:AT1006),$AN$1006:$BO$1006,0)), HYPERLINK("#",""), HYPERLINK(CONCATENATE("#Metadata!", ADDRESS(INDEX($AI$2:$AI$1001,MATCH(ROWS($AG$2:AG576),$AG$2:$AG$1001,0),0), INDEX($AN$1004:$BO$1004,1,MATCH(COLUMNS($AN$1006:AT1006),$AN$1006:$BO$1006,0)))),"Fix")))</f>
        <v>0</v>
      </c>
      <c r="I576" s="4">
        <f>IF(OR(INDEX($AH$2:$AH$1001,MATCH(ROWS($AG$2:AG576),$AG$2:$AG$1001,0),1)&gt;=100000,INDEX($AN$1005:$BO$1005,1,MATCH(COLUMNS($AN$1006:AU1006),$AN$1006:$BO$1006,0))&gt;=100000), " ",IF(INDEX($AN$2:$BO$1001,MATCH(ROWS($AG$2:AG576),$AG$2:$AG$1001,0),MATCH(COLUMNS($AN$1006:AU1006),$AN$1006:$BO$1006,0)), HYPERLINK("#",""), HYPERLINK(CONCATENATE("#Metadata!", ADDRESS(INDEX($AI$2:$AI$1001,MATCH(ROWS($AG$2:AG576),$AG$2:$AG$1001,0),0), INDEX($AN$1004:$BO$1004,1,MATCH(COLUMNS($AN$1006:AU1006),$AN$1006:$BO$1006,0)))),"Fix")))</f>
        <v>0</v>
      </c>
      <c r="J576" s="4">
        <f>IF(OR(INDEX($AH$2:$AH$1001,MATCH(ROWS($AG$2:AG576),$AG$2:$AG$1001,0),1)&gt;=100000,INDEX($AN$1005:$BO$1005,1,MATCH(COLUMNS($AN$1006:AV1006),$AN$1006:$BO$1006,0))&gt;=100000), " ",IF(INDEX($AN$2:$BO$1001,MATCH(ROWS($AG$2:AG576),$AG$2:$AG$1001,0),MATCH(COLUMNS($AN$1006:AV1006),$AN$1006:$BO$1006,0)), HYPERLINK("#",""), HYPERLINK(CONCATENATE("#Metadata!", ADDRESS(INDEX($AI$2:$AI$1001,MATCH(ROWS($AG$2:AG576),$AG$2:$AG$1001,0),0), INDEX($AN$1004:$BO$1004,1,MATCH(COLUMNS($AN$1006:AV1006),$AN$1006:$BO$1006,0)))),"Fix")))</f>
        <v>0</v>
      </c>
      <c r="K576" s="4">
        <f>IF(OR(INDEX($AH$2:$AH$1001,MATCH(ROWS($AG$2:AG576),$AG$2:$AG$1001,0),1)&gt;=100000,INDEX($AN$1005:$BO$1005,1,MATCH(COLUMNS($AN$1006:AW1006),$AN$1006:$BO$1006,0))&gt;=100000), " ",IF(INDEX($AN$2:$BO$1001,MATCH(ROWS($AG$2:AG576),$AG$2:$AG$1001,0),MATCH(COLUMNS($AN$1006:AW1006),$AN$1006:$BO$1006,0)), HYPERLINK("#",""), HYPERLINK(CONCATENATE("#Metadata!", ADDRESS(INDEX($AI$2:$AI$1001,MATCH(ROWS($AG$2:AG576),$AG$2:$AG$1001,0),0), INDEX($AN$1004:$BO$1004,1,MATCH(COLUMNS($AN$1006:AW1006),$AN$1006:$BO$1006,0)))),"Fix")))</f>
        <v>0</v>
      </c>
      <c r="L576" s="4">
        <f>IF(OR(INDEX($AH$2:$AH$1001,MATCH(ROWS($AG$2:AG576),$AG$2:$AG$1001,0),1)&gt;=100000,INDEX($AN$1005:$BO$1005,1,MATCH(COLUMNS($AN$1006:AX1006),$AN$1006:$BO$1006,0))&gt;=100000), " ",IF(INDEX($AN$2:$BO$1001,MATCH(ROWS($AG$2:AG576),$AG$2:$AG$1001,0),MATCH(COLUMNS($AN$1006:AX1006),$AN$1006:$BO$1006,0)), HYPERLINK("#",""), HYPERLINK(CONCATENATE("#Metadata!", ADDRESS(INDEX($AI$2:$AI$1001,MATCH(ROWS($AG$2:AG576),$AG$2:$AG$1001,0),0), INDEX($AN$1004:$BO$1004,1,MATCH(COLUMNS($AN$1006:AX1006),$AN$1006:$BO$1006,0)))),"Fix")))</f>
        <v>0</v>
      </c>
      <c r="M576" s="4">
        <f>IF(OR(INDEX($AH$2:$AH$1001,MATCH(ROWS($AG$2:AG576),$AG$2:$AG$1001,0),1)&gt;=100000,INDEX($AN$1005:$BO$1005,1,MATCH(COLUMNS($AN$1006:AY1006),$AN$1006:$BO$1006,0))&gt;=100000), " ",IF(INDEX($AN$2:$BO$1001,MATCH(ROWS($AG$2:AG576),$AG$2:$AG$1001,0),MATCH(COLUMNS($AN$1006:AY1006),$AN$1006:$BO$1006,0)), HYPERLINK("#",""), HYPERLINK(CONCATENATE("#Metadata!", ADDRESS(INDEX($AI$2:$AI$1001,MATCH(ROWS($AG$2:AG576),$AG$2:$AG$1001,0),0), INDEX($AN$1004:$BO$1004,1,MATCH(COLUMNS($AN$1006:AY1006),$AN$1006:$BO$1006,0)))),"Fix")))</f>
        <v>0</v>
      </c>
      <c r="N576" s="4">
        <f>IF(OR(INDEX($AH$2:$AH$1001,MATCH(ROWS($AG$2:AG576),$AG$2:$AG$1001,0),1)&gt;=100000,INDEX($AN$1005:$BO$1005,1,MATCH(COLUMNS($AN$1006:AZ1006),$AN$1006:$BO$1006,0))&gt;=100000), " ",IF(INDEX($AN$2:$BO$1001,MATCH(ROWS($AG$2:AG576),$AG$2:$AG$1001,0),MATCH(COLUMNS($AN$1006:AZ1006),$AN$1006:$BO$1006,0)), HYPERLINK("#",""), HYPERLINK(CONCATENATE("#Metadata!", ADDRESS(INDEX($AI$2:$AI$1001,MATCH(ROWS($AG$2:AG576),$AG$2:$AG$1001,0),0), INDEX($AN$1004:$BO$1004,1,MATCH(COLUMNS($AN$1006:AZ1006),$AN$1006:$BO$1006,0)))),"Fix")))</f>
        <v>0</v>
      </c>
      <c r="O576" s="4">
        <f>IF(OR(INDEX($AH$2:$AH$1001,MATCH(ROWS($AG$2:AG576),$AG$2:$AG$1001,0),1)&gt;=100000,INDEX($AN$1005:$BO$1005,1,MATCH(COLUMNS($AN$1006:BA1006),$AN$1006:$BO$1006,0))&gt;=100000), " ",IF(INDEX($AN$2:$BO$1001,MATCH(ROWS($AG$2:AG576),$AG$2:$AG$1001,0),MATCH(COLUMNS($AN$1006:BA1006),$AN$1006:$BO$1006,0)), HYPERLINK("#",""), HYPERLINK(CONCATENATE("#Metadata!", ADDRESS(INDEX($AI$2:$AI$1001,MATCH(ROWS($AG$2:AG576),$AG$2:$AG$1001,0),0), INDEX($AN$1004:$BO$1004,1,MATCH(COLUMNS($AN$1006:BA1006),$AN$1006:$BO$1006,0)))),"Fix")))</f>
        <v>0</v>
      </c>
      <c r="P576" s="4">
        <f>IF(OR(INDEX($AH$2:$AH$1001,MATCH(ROWS($AG$2:AG576),$AG$2:$AG$1001,0),1)&gt;=100000,INDEX($AN$1005:$BO$1005,1,MATCH(COLUMNS($AN$1006:BB1006),$AN$1006:$BO$1006,0))&gt;=100000), " ",IF(INDEX($AN$2:$BO$1001,MATCH(ROWS($AG$2:AG576),$AG$2:$AG$1001,0),MATCH(COLUMNS($AN$1006:BB1006),$AN$1006:$BO$1006,0)), HYPERLINK("#",""), HYPERLINK(CONCATENATE("#Metadata!", ADDRESS(INDEX($AI$2:$AI$1001,MATCH(ROWS($AG$2:AG576),$AG$2:$AG$1001,0),0), INDEX($AN$1004:$BO$1004,1,MATCH(COLUMNS($AN$1006:BB1006),$AN$1006:$BO$1006,0)))),"Fix")))</f>
        <v>0</v>
      </c>
      <c r="Q576" s="4">
        <f>IF(OR(INDEX($AH$2:$AH$1001,MATCH(ROWS($AG$2:AG576),$AG$2:$AG$1001,0),1)&gt;=100000,INDEX($AN$1005:$BO$1005,1,MATCH(COLUMNS($AN$1006:BC1006),$AN$1006:$BO$1006,0))&gt;=100000), " ",IF(INDEX($AN$2:$BO$1001,MATCH(ROWS($AG$2:AG576),$AG$2:$AG$1001,0),MATCH(COLUMNS($AN$1006:BC1006),$AN$1006:$BO$1006,0)), HYPERLINK("#",""), HYPERLINK(CONCATENATE("#Metadata!", ADDRESS(INDEX($AI$2:$AI$1001,MATCH(ROWS($AG$2:AG576),$AG$2:$AG$1001,0),0), INDEX($AN$1004:$BO$1004,1,MATCH(COLUMNS($AN$1006:BC1006),$AN$1006:$BO$1006,0)))),"Fix")))</f>
        <v>0</v>
      </c>
      <c r="R576" s="4">
        <f>IF(OR(INDEX($AH$2:$AH$1001,MATCH(ROWS($AG$2:AG576),$AG$2:$AG$1001,0),1)&gt;=100000,INDEX($AN$1005:$BO$1005,1,MATCH(COLUMNS($AN$1006:BD1006),$AN$1006:$BO$1006,0))&gt;=100000), " ",IF(INDEX($AN$2:$BO$1001,MATCH(ROWS($AG$2:AG576),$AG$2:$AG$1001,0),MATCH(COLUMNS($AN$1006:BD1006),$AN$1006:$BO$1006,0)), HYPERLINK("#",""), HYPERLINK(CONCATENATE("#Metadata!", ADDRESS(INDEX($AI$2:$AI$1001,MATCH(ROWS($AG$2:AG576),$AG$2:$AG$1001,0),0), INDEX($AN$1004:$BO$1004,1,MATCH(COLUMNS($AN$1006:BD1006),$AN$1006:$BO$1006,0)))),"Fix")))</f>
        <v>0</v>
      </c>
      <c r="S576" s="4">
        <f>IF(OR(INDEX($AH$2:$AH$1001,MATCH(ROWS($AG$2:AG576),$AG$2:$AG$1001,0),1)&gt;=100000,INDEX($AN$1005:$BO$1005,1,MATCH(COLUMNS($AN$1006:BE1006),$AN$1006:$BO$1006,0))&gt;=100000), " ",IF(INDEX($AN$2:$BO$1001,MATCH(ROWS($AG$2:AG576),$AG$2:$AG$1001,0),MATCH(COLUMNS($AN$1006:BE1006),$AN$1006:$BO$1006,0)), HYPERLINK("#",""), HYPERLINK(CONCATENATE("#Metadata!", ADDRESS(INDEX($AI$2:$AI$1001,MATCH(ROWS($AG$2:AG576),$AG$2:$AG$1001,0),0), INDEX($AN$1004:$BO$1004,1,MATCH(COLUMNS($AN$1006:BE1006),$AN$1006:$BO$1006,0)))),"Fix")))</f>
        <v>0</v>
      </c>
      <c r="T576" s="4">
        <f>IF(OR(INDEX($AH$2:$AH$1001,MATCH(ROWS($AG$2:AG576),$AG$2:$AG$1001,0),1)&gt;=100000,INDEX($AN$1005:$BO$1005,1,MATCH(COLUMNS($AN$1006:BF1006),$AN$1006:$BO$1006,0))&gt;=100000), " ",IF(INDEX($AN$2:$BO$1001,MATCH(ROWS($AG$2:AG576),$AG$2:$AG$1001,0),MATCH(COLUMNS($AN$1006:BF1006),$AN$1006:$BO$1006,0)), HYPERLINK("#",""), HYPERLINK(CONCATENATE("#Metadata!", ADDRESS(INDEX($AI$2:$AI$1001,MATCH(ROWS($AG$2:AG576),$AG$2:$AG$1001,0),0), INDEX($AN$1004:$BO$1004,1,MATCH(COLUMNS($AN$1006:BF1006),$AN$1006:$BO$1006,0)))),"Fix")))</f>
        <v>0</v>
      </c>
      <c r="U576" s="4">
        <f>IF(OR(INDEX($AH$2:$AH$1001,MATCH(ROWS($AG$2:AG576),$AG$2:$AG$1001,0),1)&gt;=100000,INDEX($AN$1005:$BO$1005,1,MATCH(COLUMNS($AN$1006:BG1006),$AN$1006:$BO$1006,0))&gt;=100000), " ",IF(INDEX($AN$2:$BO$1001,MATCH(ROWS($AG$2:AG576),$AG$2:$AG$1001,0),MATCH(COLUMNS($AN$1006:BG1006),$AN$1006:$BO$1006,0)), HYPERLINK("#",""), HYPERLINK(CONCATENATE("#Metadata!", ADDRESS(INDEX($AI$2:$AI$1001,MATCH(ROWS($AG$2:AG576),$AG$2:$AG$1001,0),0), INDEX($AN$1004:$BO$1004,1,MATCH(COLUMNS($AN$1006:BG1006),$AN$1006:$BO$1006,0)))),"Fix")))</f>
        <v>0</v>
      </c>
      <c r="V576" s="4">
        <f>IF(OR(INDEX($AH$2:$AH$1001,MATCH(ROWS($AG$2:AG576),$AG$2:$AG$1001,0),1)&gt;=100000,INDEX($AN$1005:$BO$1005,1,MATCH(COLUMNS($AN$1006:BH1006),$AN$1006:$BO$1006,0))&gt;=100000), " ",IF(INDEX($AN$2:$BO$1001,MATCH(ROWS($AG$2:AG576),$AG$2:$AG$1001,0),MATCH(COLUMNS($AN$1006:BH1006),$AN$1006:$BO$1006,0)), HYPERLINK("#",""), HYPERLINK(CONCATENATE("#Metadata!", ADDRESS(INDEX($AI$2:$AI$1001,MATCH(ROWS($AG$2:AG576),$AG$2:$AG$1001,0),0), INDEX($AN$1004:$BO$1004,1,MATCH(COLUMNS($AN$1006:BH1006),$AN$1006:$BO$1006,0)))),"Fix")))</f>
        <v>0</v>
      </c>
      <c r="W576" s="4">
        <f>IF(OR(INDEX($AH$2:$AH$1001,MATCH(ROWS($AG$2:AG576),$AG$2:$AG$1001,0),1)&gt;=100000,INDEX($AN$1005:$BO$1005,1,MATCH(COLUMNS($AN$1006:BI1006),$AN$1006:$BO$1006,0))&gt;=100000), " ",IF(INDEX($AN$2:$BO$1001,MATCH(ROWS($AG$2:AG576),$AG$2:$AG$1001,0),MATCH(COLUMNS($AN$1006:BI1006),$AN$1006:$BO$1006,0)), HYPERLINK("#",""), HYPERLINK(CONCATENATE("#Metadata!", ADDRESS(INDEX($AI$2:$AI$1001,MATCH(ROWS($AG$2:AG576),$AG$2:$AG$1001,0),0), INDEX($AN$1004:$BO$1004,1,MATCH(COLUMNS($AN$1006:BI1006),$AN$1006:$BO$1006,0)))),"Fix")))</f>
        <v>0</v>
      </c>
      <c r="X576" s="4">
        <f>IF(OR(INDEX($AH$2:$AH$1001,MATCH(ROWS($AG$2:AG576),$AG$2:$AG$1001,0),1)&gt;=100000,INDEX($AN$1005:$BO$1005,1,MATCH(COLUMNS($AN$1006:BJ1006),$AN$1006:$BO$1006,0))&gt;=100000), " ",IF(INDEX($AN$2:$BO$1001,MATCH(ROWS($AG$2:AG576),$AG$2:$AG$1001,0),MATCH(COLUMNS($AN$1006:BJ1006),$AN$1006:$BO$1006,0)), HYPERLINK("#",""), HYPERLINK(CONCATENATE("#Metadata!", ADDRESS(INDEX($AI$2:$AI$1001,MATCH(ROWS($AG$2:AG576),$AG$2:$AG$1001,0),0), INDEX($AN$1004:$BO$1004,1,MATCH(COLUMNS($AN$1006:BJ1006),$AN$1006:$BO$1006,0)))),"Fix")))</f>
        <v>0</v>
      </c>
      <c r="Y576" s="4">
        <f>IF(OR(INDEX($AH$2:$AH$1001,MATCH(ROWS($AG$2:AG576),$AG$2:$AG$1001,0),1)&gt;=100000,INDEX($AN$1005:$BO$1005,1,MATCH(COLUMNS($AN$1006:BK1006),$AN$1006:$BO$1006,0))&gt;=100000), " ",IF(INDEX($AN$2:$BO$1001,MATCH(ROWS($AG$2:AG576),$AG$2:$AG$1001,0),MATCH(COLUMNS($AN$1006:BK1006),$AN$1006:$BO$1006,0)), HYPERLINK("#",""), HYPERLINK(CONCATENATE("#Metadata!", ADDRESS(INDEX($AI$2:$AI$1001,MATCH(ROWS($AG$2:AG576),$AG$2:$AG$1001,0),0), INDEX($AN$1004:$BO$1004,1,MATCH(COLUMNS($AN$1006:BK1006),$AN$1006:$BO$1006,0)))),"Fix")))</f>
        <v>0</v>
      </c>
      <c r="Z576" s="4">
        <f>IF(OR(INDEX($AH$2:$AH$1001,MATCH(ROWS($AG$2:AG576),$AG$2:$AG$1001,0),1)&gt;=100000,INDEX($AN$1005:$BO$1005,1,MATCH(COLUMNS($AN$1006:BL1006),$AN$1006:$BO$1006,0))&gt;=100000), " ",IF(INDEX($AN$2:$BO$1001,MATCH(ROWS($AG$2:AG576),$AG$2:$AG$1001,0),MATCH(COLUMNS($AN$1006:BL1006),$AN$1006:$BO$1006,0)), HYPERLINK("#",""), HYPERLINK(CONCATENATE("#Metadata!", ADDRESS(INDEX($AI$2:$AI$1001,MATCH(ROWS($AG$2:AG576),$AG$2:$AG$1001,0),0), INDEX($AN$1004:$BO$1004,1,MATCH(COLUMNS($AN$1006:BL1006),$AN$1006:$BO$1006,0)))),"Fix")))</f>
        <v>0</v>
      </c>
      <c r="AA576" s="4">
        <f>IF(OR(INDEX($AH$2:$AH$1001,MATCH(ROWS($AG$2:AG576),$AG$2:$AG$1001,0),1)&gt;=100000,INDEX($AN$1005:$BO$1005,1,MATCH(COLUMNS($AN$1006:BM1006),$AN$1006:$BO$1006,0))&gt;=100000), " ",IF(INDEX($AN$2:$BO$1001,MATCH(ROWS($AG$2:AG576),$AG$2:$AG$1001,0),MATCH(COLUMNS($AN$1006:BM1006),$AN$1006:$BO$1006,0)), HYPERLINK("#",""), HYPERLINK(CONCATENATE("#Metadata!", ADDRESS(INDEX($AI$2:$AI$1001,MATCH(ROWS($AG$2:AG576),$AG$2:$AG$1001,0),0), INDEX($AN$1004:$BO$1004,1,MATCH(COLUMNS($AN$1006:BM1006),$AN$1006:$BO$1006,0)))),"Fix")))</f>
        <v>0</v>
      </c>
      <c r="AB576" s="4">
        <f>IF(OR(INDEX($AH$2:$AH$1001,MATCH(ROWS($AG$2:AG576),$AG$2:$AG$1001,0),1)&gt;=100000,INDEX($AN$1005:$BO$1005,1,MATCH(COLUMNS($AN$1006:BN1006),$AN$1006:$BO$1006,0))&gt;=100000), " ",IF(INDEX($AN$2:$BO$1001,MATCH(ROWS($AG$2:AG576),$AG$2:$AG$1001,0),MATCH(COLUMNS($AN$1006:BN1006),$AN$1006:$BO$1006,0)), HYPERLINK("#",""), HYPERLINK(CONCATENATE("#Metadata!", ADDRESS(INDEX($AI$2:$AI$1001,MATCH(ROWS($AG$2:AG576),$AG$2:$AG$1001,0),0), INDEX($AN$1004:$BO$1004,1,MATCH(COLUMNS($AN$1006:BN1006),$AN$1006:$BO$1006,0)))),"Fix")))</f>
        <v>0</v>
      </c>
      <c r="AC576" s="4">
        <f>IF(OR(INDEX($AH$2:$AH$1001,MATCH(ROWS($AG$2:AG576),$AG$2:$AG$1001,0),1)&gt;=100000,INDEX($AN$1005:$BO$1005,1,MATCH(COLUMNS($AN$1006:BO1006),$AN$1006:$BO$1006,0))&gt;=100000), " ",IF(INDEX($AN$2:$BO$1001,MATCH(ROWS($AG$2:AG576),$AG$2:$AG$1001,0),MATCH(COLUMNS($AN$1006:BO1006),$AN$1006:$BO$1006,0)), HYPERLINK("#",""), HYPERLINK(CONCATENATE("#Metadata!", ADDRESS(INDEX($AI$2:$AI$1001,MATCH(ROWS($AG$2:AG576),$AG$2:$AG$1001,0),0), INDEX($AN$1004:$BO$1004,1,MATCH(COLUMNS($AN$1006:BO1006),$AN$1006:$BO$1006,0)))),"Fix")))</f>
        <v>0</v>
      </c>
      <c r="AG576">
        <v>0</v>
      </c>
      <c r="AH576">
        <v>0</v>
      </c>
      <c r="AI576">
        <v>0</v>
      </c>
      <c r="AJ576">
        <f>IF(AK576,TRUE,AND(AN576:BO576))</f>
        <v>0</v>
      </c>
      <c r="AK576">
        <f>COUNTBLANK(Metadata!B576:AC576)=COLUMNS(Metadata!B576:AC576)</f>
        <v>0</v>
      </c>
      <c r="AL576">
        <v>0</v>
      </c>
      <c r="AN576">
        <f>AND(IF(Metadata!B576="",FALSE,TRUE),COUNTIF(Metadata!B:B, Metadata!B576) = 1,NOT(ISERROR(SUMPRODUCT(SEARCH(MID(Metadata!B576,ROW(INDIRECT("1:"&amp;LEN(Metadata!B576))), 1),"0123456789abcdefghijklmnopqrstuvwxyzABCDEFGHIJKLMNOPQRSTUVWXYZ.")))))</f>
        <v>0</v>
      </c>
      <c r="AO576">
        <f>IF(Metadata!C576="",FALSE,TRUE)</f>
        <v>0</v>
      </c>
      <c r="AP576">
        <f>IF(Metadata!D576="",FALSE,TRUE)</f>
        <v>0</v>
      </c>
      <c r="AQ576">
        <f>OR(AND(IF(Metadata!E576="",FALSE,TRUE),OR(exact(Metadata!E576,"not collected"),exact(Metadata!E576,"not provided"),exact(Metadata!E576,"restricted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R576">
        <f>IF(Metadata!F576="",FALSE,TRUE)</f>
        <v>0</v>
      </c>
      <c r="AS576">
        <f>OR(AND(IF(Metadata!G576="",FALSE,TRUE),OR(exact(Metadata!G576,"not collected"),exact(Metadata!G576,"not provided"))),AND(IF(Metadata!G576="",FALSE,TRUE),OR(exact(Metadata!G576,"TRUE"),exact(Metadata!G576,"FALSE"))))</f>
        <v>0</v>
      </c>
      <c r="AT576">
        <f>OR(AND(IF(Metadata!H576="",FALSE,TRUE),OR(exact(Metadata!H576,"not collected"),exact(Metadata!H576,"not provided"),exact(Metadata!H576,"restricted access"))),AND(IF(Metadata!H576="",FALSE,ISNUMBER(VALUE(Metadata!H576))),Metadata!H576&gt;=-413.0))</f>
        <v>0</v>
      </c>
      <c r="AU576">
        <f>AND(IF(Metadata!I576="",FALSE,TRUE),exact(Metadata!I576,"meters"))</f>
        <v>0</v>
      </c>
      <c r="AV576">
        <f>AND(IF(Metadata!J576="",FALSE,TRUE),OR(exact(Metadata!J576,"Host-associated"),exact(Metadata!J576,"Free-living")))</f>
        <v>0</v>
      </c>
      <c r="AW576">
        <f>AND(IF(Metadata!K576="",FALSE,TRUE),OR(exact(Metadata!K576,"Animal"),exact(Metadata!K576,"Fungus"),exact(Metadata!K576,"Plant"),exact(Metadata!K576,"Saline"),exact(Metadata!K576,"Non-saline")))</f>
        <v>0</v>
      </c>
      <c r="AX576">
        <f>AND(IF(Metadata!L576="",FALSE,TRUE),OR(exact(Metadata!L576,"Plant secretion"),exact(Metadata!L576,"Plant rhizosphere"),exact(Metadata!L576,"Plant surface"),exact(Metadata!L576,"Plant corpus"),exact(Metadata!L576,"Fungus surface"),exact(Metadata!L576,"Fungus corpus"),exact(Metadata!L576,"Animal surface"),exact(Metadata!L576,"Animal proximal gut"),exact(Metadata!L576,"Animal corpus"),exact(Metadata!L576,"Animal distal gut"),exact(Metadata!L576,"Animal secretion"),exact(Metadata!L576,"Sub-surface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Y576">
        <f>IF(Metadata!M576="",FALSE,TRUE)</f>
        <v>0</v>
      </c>
      <c r="AZ576">
        <f>IF(Metadata!N576="",FALSE,TRUE)</f>
        <v>0</v>
      </c>
      <c r="BA576">
        <f>IF(Metadata!O576="",FALSE,TRUE)</f>
        <v>0</v>
      </c>
      <c r="BB576">
        <f>OR(AND(IF(Metadata!P576="",FALSE,TRUE),OR(exact(Metadata!P576,"not collected"),exact(Metadata!P576,"not provided"),exact(Metadata!P576,"restricted access"))),AND(IF(Metadata!P576="",FALSE,TRUE),OR(exact(Metadata!P576,"air"),exact(Metadata!P576,"built environment"),exact(Metadata!P576,"host-associated"),exact(Metadata!P576,"human-associated"),exact(Metadata!P576,"human-skin"),exact(Metadata!P576,"human-oral"),exact(Metadata!P576,"human-gut"),exact(Metadata!P576,"human-vaginal"),exact(Metadata!P576,"microbial mat/biofilm"),exact(Metadata!P576,"misc environment"),exact(Metadata!P576,"plant-associated"),exact(Metadata!P576,"sediment"),exact(Metadata!P576,"soil"),exact(Metadata!P576,"wastewater/sludge"),exact(Metadata!P576,"water"))))</f>
        <v>0</v>
      </c>
      <c r="BC576">
        <f>IF(Metadata!Q576="",FALSE,TRUE)</f>
        <v>0</v>
      </c>
      <c r="BD576">
        <f>IF(Metadata!R576="",FALSE,TRUE)</f>
        <v>0</v>
      </c>
      <c r="BE576">
        <f>OR(AND(IF(Metadata!S576="",FALSE,TRUE),OR(exact(Metadata!S576,"not collected"),exact(Metadata!S576,"not provided"),exact(Metadata!S576,"restricted access"))),AND(IF(Metadata!S576="",FALSE,ISNUMBER(VALUE(Metadata!S576))),Metadata!S576&gt;=-90.00,Metadata!S576&lt;=90.00))</f>
        <v>0</v>
      </c>
      <c r="BF576">
        <f>AND(IF(Metadata!T576="",FALSE,TRUE),exact(Metadata!T576,"Decimal degrees"))</f>
        <v>0</v>
      </c>
      <c r="BG576">
        <f>OR(AND(IF(Metadata!U576="",FALSE,TRUE),OR(exact(Metadata!U576,"not collected"),exact(Metadata!U576,"not provided"),exact(Metadata!U576,"restricted access"))),AND(IF(Metadata!U576="",FALSE,ISNUMBER(VALUE(Metadata!U576))),Metadata!U576&gt;=-180.00,Metadata!U576&lt;=180.00))</f>
        <v>0</v>
      </c>
      <c r="BH576">
        <f>AND(IF(Metadata!V576="",FALSE,TRUE),exact(Metadata!V576,"Decimal degrees"))</f>
        <v>0</v>
      </c>
      <c r="BI576">
        <f>IF(Metadata!W576="",FALSE,TRUE)</f>
        <v>0</v>
      </c>
      <c r="BJ576">
        <f>OR(AND(IF(Metadata!X576="",FALSE,TRUE),OR(exact(Metadata!X576,"not collected"),exact(Metadata!X576,"not provided"),exact(Metadata!X576,"restricted access"))),AND(IF(Metadata!X576="",FALSE,TRUE),OR(exact(Metadata!X576,"TRUE"),exact(Metadata!X576,"FALSE"))))</f>
        <v>0</v>
      </c>
      <c r="BK576">
        <f>AND(IF(Metadata!Y576="",FALSE,TRUE),exact(Metadata!Y576,"other"))</f>
        <v>0</v>
      </c>
      <c r="BL576">
        <f>IF(Metadata!Z576="",FALSE,TRUE)</f>
        <v>0</v>
      </c>
      <c r="BM576">
        <f>OR(AND(IF(Metadata!AA576="",FALSE,TRUE),OR(exact(Metadata!AA576,"not collected"),exact(Metadata!AA576,"not provided"))),AND(IF(Metadata!AA576="",FALSE,IF(ISERROR(INT(Metadata!AA576)),FALSE,INT(Metadata!AA576)=Metadata!AA576)),Metadata!AA576&gt;0))</f>
        <v>0</v>
      </c>
      <c r="BN576">
        <f>AND(IF(Metadata!AB576="",FALSE,TRUE),exact(Metadata!AB576,"Not applicable"))</f>
        <v>0</v>
      </c>
      <c r="BO576">
        <f>IF(Metadata!AC576="",FALSE,TRUE)</f>
        <v>0</v>
      </c>
    </row>
    <row r="577" spans="1:67">
      <c r="A577" s="5">
        <f>IF(B577=" "," ",HYPERLINK(CONCATENATE("#metadata!",ADDRESS(INDEX($AI$2:$AI$1001,MATCH(ROWS($AG$2:AG577),$AG$2:$AG$1001,0),0),1)),INDEX($AL$2:$AL$1001,MATCH(ROWS($AG$2:AG577),$AG$2:$AG$1001,0),0)))</f>
        <v>0</v>
      </c>
      <c r="B577" s="4">
        <f>IF(OR(INDEX($AH$2:$AH$1001,MATCH(ROWS($AG$2:AG577),$AG$2:$AG$1001,0),1)&gt;=100000,INDEX($AN$1005:$BO$1005,1,MATCH(COLUMNS($AN$1006:AN1006),$AN$1006:$BO$1006,0))&gt;=100000), " ",IF(INDEX($AN$2:$BO$1001,MATCH(ROWS($AG$2:AG577),$AG$2:$AG$1001,0),MATCH(COLUMNS($AN$1006:AN1006),$AN$1006:$BO$1006,0)), HYPERLINK("#",""), HYPERLINK(CONCATENATE("#Metadata!", ADDRESS(INDEX($AI$2:$AI$1001,MATCH(ROWS($AG$2:AG577),$AG$2:$AG$1001,0),0), INDEX($AN$1004:$BO$1004,1,MATCH(COLUMNS($AN$1006:AN1006),$AN$1006:$BO$1006,0)))),"Fix")))</f>
        <v>0</v>
      </c>
      <c r="C577" s="4">
        <f>IF(OR(INDEX($AH$2:$AH$1001,MATCH(ROWS($AG$2:AG577),$AG$2:$AG$1001,0),1)&gt;=100000,INDEX($AN$1005:$BO$1005,1,MATCH(COLUMNS($AN$1006:AO1006),$AN$1006:$BO$1006,0))&gt;=100000), " ",IF(INDEX($AN$2:$BO$1001,MATCH(ROWS($AG$2:AG577),$AG$2:$AG$1001,0),MATCH(COLUMNS($AN$1006:AO1006),$AN$1006:$BO$1006,0)), HYPERLINK("#",""), HYPERLINK(CONCATENATE("#Metadata!", ADDRESS(INDEX($AI$2:$AI$1001,MATCH(ROWS($AG$2:AG577),$AG$2:$AG$1001,0),0), INDEX($AN$1004:$BO$1004,1,MATCH(COLUMNS($AN$1006:AO1006),$AN$1006:$BO$1006,0)))),"Fix")))</f>
        <v>0</v>
      </c>
      <c r="D577" s="4">
        <f>IF(OR(INDEX($AH$2:$AH$1001,MATCH(ROWS($AG$2:AG577),$AG$2:$AG$1001,0),1)&gt;=100000,INDEX($AN$1005:$BO$1005,1,MATCH(COLUMNS($AN$1006:AP1006),$AN$1006:$BO$1006,0))&gt;=100000), " ",IF(INDEX($AN$2:$BO$1001,MATCH(ROWS($AG$2:AG577),$AG$2:$AG$1001,0),MATCH(COLUMNS($AN$1006:AP1006),$AN$1006:$BO$1006,0)), HYPERLINK("#",""), HYPERLINK(CONCATENATE("#Metadata!", ADDRESS(INDEX($AI$2:$AI$1001,MATCH(ROWS($AG$2:AG577),$AG$2:$AG$1001,0),0), INDEX($AN$1004:$BO$1004,1,MATCH(COLUMNS($AN$1006:AP1006),$AN$1006:$BO$1006,0)))),"Fix")))</f>
        <v>0</v>
      </c>
      <c r="E577" s="4">
        <f>IF(OR(INDEX($AH$2:$AH$1001,MATCH(ROWS($AG$2:AG577),$AG$2:$AG$1001,0),1)&gt;=100000,INDEX($AN$1005:$BO$1005,1,MATCH(COLUMNS($AN$1006:AQ1006),$AN$1006:$BO$1006,0))&gt;=100000), " ",IF(INDEX($AN$2:$BO$1001,MATCH(ROWS($AG$2:AG577),$AG$2:$AG$1001,0),MATCH(COLUMNS($AN$1006:AQ1006),$AN$1006:$BO$1006,0)), HYPERLINK("#",""), HYPERLINK(CONCATENATE("#Metadata!", ADDRESS(INDEX($AI$2:$AI$1001,MATCH(ROWS($AG$2:AG577),$AG$2:$AG$1001,0),0), INDEX($AN$1004:$BO$1004,1,MATCH(COLUMNS($AN$1006:AQ1006),$AN$1006:$BO$1006,0)))),"Fix")))</f>
        <v>0</v>
      </c>
      <c r="F577" s="4">
        <f>IF(OR(INDEX($AH$2:$AH$1001,MATCH(ROWS($AG$2:AG577),$AG$2:$AG$1001,0),1)&gt;=100000,INDEX($AN$1005:$BO$1005,1,MATCH(COLUMNS($AN$1006:AR1006),$AN$1006:$BO$1006,0))&gt;=100000), " ",IF(INDEX($AN$2:$BO$1001,MATCH(ROWS($AG$2:AG577),$AG$2:$AG$1001,0),MATCH(COLUMNS($AN$1006:AR1006),$AN$1006:$BO$1006,0)), HYPERLINK("#",""), HYPERLINK(CONCATENATE("#Metadata!", ADDRESS(INDEX($AI$2:$AI$1001,MATCH(ROWS($AG$2:AG577),$AG$2:$AG$1001,0),0), INDEX($AN$1004:$BO$1004,1,MATCH(COLUMNS($AN$1006:AR1006),$AN$1006:$BO$1006,0)))),"Fix")))</f>
        <v>0</v>
      </c>
      <c r="G577" s="4">
        <f>IF(OR(INDEX($AH$2:$AH$1001,MATCH(ROWS($AG$2:AG577),$AG$2:$AG$1001,0),1)&gt;=100000,INDEX($AN$1005:$BO$1005,1,MATCH(COLUMNS($AN$1006:AS1006),$AN$1006:$BO$1006,0))&gt;=100000), " ",IF(INDEX($AN$2:$BO$1001,MATCH(ROWS($AG$2:AG577),$AG$2:$AG$1001,0),MATCH(COLUMNS($AN$1006:AS1006),$AN$1006:$BO$1006,0)), HYPERLINK("#",""), HYPERLINK(CONCATENATE("#Metadata!", ADDRESS(INDEX($AI$2:$AI$1001,MATCH(ROWS($AG$2:AG577),$AG$2:$AG$1001,0),0), INDEX($AN$1004:$BO$1004,1,MATCH(COLUMNS($AN$1006:AS1006),$AN$1006:$BO$1006,0)))),"Fix")))</f>
        <v>0</v>
      </c>
      <c r="H577" s="4">
        <f>IF(OR(INDEX($AH$2:$AH$1001,MATCH(ROWS($AG$2:AG577),$AG$2:$AG$1001,0),1)&gt;=100000,INDEX($AN$1005:$BO$1005,1,MATCH(COLUMNS($AN$1006:AT1006),$AN$1006:$BO$1006,0))&gt;=100000), " ",IF(INDEX($AN$2:$BO$1001,MATCH(ROWS($AG$2:AG577),$AG$2:$AG$1001,0),MATCH(COLUMNS($AN$1006:AT1006),$AN$1006:$BO$1006,0)), HYPERLINK("#",""), HYPERLINK(CONCATENATE("#Metadata!", ADDRESS(INDEX($AI$2:$AI$1001,MATCH(ROWS($AG$2:AG577),$AG$2:$AG$1001,0),0), INDEX($AN$1004:$BO$1004,1,MATCH(COLUMNS($AN$1006:AT1006),$AN$1006:$BO$1006,0)))),"Fix")))</f>
        <v>0</v>
      </c>
      <c r="I577" s="4">
        <f>IF(OR(INDEX($AH$2:$AH$1001,MATCH(ROWS($AG$2:AG577),$AG$2:$AG$1001,0),1)&gt;=100000,INDEX($AN$1005:$BO$1005,1,MATCH(COLUMNS($AN$1006:AU1006),$AN$1006:$BO$1006,0))&gt;=100000), " ",IF(INDEX($AN$2:$BO$1001,MATCH(ROWS($AG$2:AG577),$AG$2:$AG$1001,0),MATCH(COLUMNS($AN$1006:AU1006),$AN$1006:$BO$1006,0)), HYPERLINK("#",""), HYPERLINK(CONCATENATE("#Metadata!", ADDRESS(INDEX($AI$2:$AI$1001,MATCH(ROWS($AG$2:AG577),$AG$2:$AG$1001,0),0), INDEX($AN$1004:$BO$1004,1,MATCH(COLUMNS($AN$1006:AU1006),$AN$1006:$BO$1006,0)))),"Fix")))</f>
        <v>0</v>
      </c>
      <c r="J577" s="4">
        <f>IF(OR(INDEX($AH$2:$AH$1001,MATCH(ROWS($AG$2:AG577),$AG$2:$AG$1001,0),1)&gt;=100000,INDEX($AN$1005:$BO$1005,1,MATCH(COLUMNS($AN$1006:AV1006),$AN$1006:$BO$1006,0))&gt;=100000), " ",IF(INDEX($AN$2:$BO$1001,MATCH(ROWS($AG$2:AG577),$AG$2:$AG$1001,0),MATCH(COLUMNS($AN$1006:AV1006),$AN$1006:$BO$1006,0)), HYPERLINK("#",""), HYPERLINK(CONCATENATE("#Metadata!", ADDRESS(INDEX($AI$2:$AI$1001,MATCH(ROWS($AG$2:AG577),$AG$2:$AG$1001,0),0), INDEX($AN$1004:$BO$1004,1,MATCH(COLUMNS($AN$1006:AV1006),$AN$1006:$BO$1006,0)))),"Fix")))</f>
        <v>0</v>
      </c>
      <c r="K577" s="4">
        <f>IF(OR(INDEX($AH$2:$AH$1001,MATCH(ROWS($AG$2:AG577),$AG$2:$AG$1001,0),1)&gt;=100000,INDEX($AN$1005:$BO$1005,1,MATCH(COLUMNS($AN$1006:AW1006),$AN$1006:$BO$1006,0))&gt;=100000), " ",IF(INDEX($AN$2:$BO$1001,MATCH(ROWS($AG$2:AG577),$AG$2:$AG$1001,0),MATCH(COLUMNS($AN$1006:AW1006),$AN$1006:$BO$1006,0)), HYPERLINK("#",""), HYPERLINK(CONCATENATE("#Metadata!", ADDRESS(INDEX($AI$2:$AI$1001,MATCH(ROWS($AG$2:AG577),$AG$2:$AG$1001,0),0), INDEX($AN$1004:$BO$1004,1,MATCH(COLUMNS($AN$1006:AW1006),$AN$1006:$BO$1006,0)))),"Fix")))</f>
        <v>0</v>
      </c>
      <c r="L577" s="4">
        <f>IF(OR(INDEX($AH$2:$AH$1001,MATCH(ROWS($AG$2:AG577),$AG$2:$AG$1001,0),1)&gt;=100000,INDEX($AN$1005:$BO$1005,1,MATCH(COLUMNS($AN$1006:AX1006),$AN$1006:$BO$1006,0))&gt;=100000), " ",IF(INDEX($AN$2:$BO$1001,MATCH(ROWS($AG$2:AG577),$AG$2:$AG$1001,0),MATCH(COLUMNS($AN$1006:AX1006),$AN$1006:$BO$1006,0)), HYPERLINK("#",""), HYPERLINK(CONCATENATE("#Metadata!", ADDRESS(INDEX($AI$2:$AI$1001,MATCH(ROWS($AG$2:AG577),$AG$2:$AG$1001,0),0), INDEX($AN$1004:$BO$1004,1,MATCH(COLUMNS($AN$1006:AX1006),$AN$1006:$BO$1006,0)))),"Fix")))</f>
        <v>0</v>
      </c>
      <c r="M577" s="4">
        <f>IF(OR(INDEX($AH$2:$AH$1001,MATCH(ROWS($AG$2:AG577),$AG$2:$AG$1001,0),1)&gt;=100000,INDEX($AN$1005:$BO$1005,1,MATCH(COLUMNS($AN$1006:AY1006),$AN$1006:$BO$1006,0))&gt;=100000), " ",IF(INDEX($AN$2:$BO$1001,MATCH(ROWS($AG$2:AG577),$AG$2:$AG$1001,0),MATCH(COLUMNS($AN$1006:AY1006),$AN$1006:$BO$1006,0)), HYPERLINK("#",""), HYPERLINK(CONCATENATE("#Metadata!", ADDRESS(INDEX($AI$2:$AI$1001,MATCH(ROWS($AG$2:AG577),$AG$2:$AG$1001,0),0), INDEX($AN$1004:$BO$1004,1,MATCH(COLUMNS($AN$1006:AY1006),$AN$1006:$BO$1006,0)))),"Fix")))</f>
        <v>0</v>
      </c>
      <c r="N577" s="4">
        <f>IF(OR(INDEX($AH$2:$AH$1001,MATCH(ROWS($AG$2:AG577),$AG$2:$AG$1001,0),1)&gt;=100000,INDEX($AN$1005:$BO$1005,1,MATCH(COLUMNS($AN$1006:AZ1006),$AN$1006:$BO$1006,0))&gt;=100000), " ",IF(INDEX($AN$2:$BO$1001,MATCH(ROWS($AG$2:AG577),$AG$2:$AG$1001,0),MATCH(COLUMNS($AN$1006:AZ1006),$AN$1006:$BO$1006,0)), HYPERLINK("#",""), HYPERLINK(CONCATENATE("#Metadata!", ADDRESS(INDEX($AI$2:$AI$1001,MATCH(ROWS($AG$2:AG577),$AG$2:$AG$1001,0),0), INDEX($AN$1004:$BO$1004,1,MATCH(COLUMNS($AN$1006:AZ1006),$AN$1006:$BO$1006,0)))),"Fix")))</f>
        <v>0</v>
      </c>
      <c r="O577" s="4">
        <f>IF(OR(INDEX($AH$2:$AH$1001,MATCH(ROWS($AG$2:AG577),$AG$2:$AG$1001,0),1)&gt;=100000,INDEX($AN$1005:$BO$1005,1,MATCH(COLUMNS($AN$1006:BA1006),$AN$1006:$BO$1006,0))&gt;=100000), " ",IF(INDEX($AN$2:$BO$1001,MATCH(ROWS($AG$2:AG577),$AG$2:$AG$1001,0),MATCH(COLUMNS($AN$1006:BA1006),$AN$1006:$BO$1006,0)), HYPERLINK("#",""), HYPERLINK(CONCATENATE("#Metadata!", ADDRESS(INDEX($AI$2:$AI$1001,MATCH(ROWS($AG$2:AG577),$AG$2:$AG$1001,0),0), INDEX($AN$1004:$BO$1004,1,MATCH(COLUMNS($AN$1006:BA1006),$AN$1006:$BO$1006,0)))),"Fix")))</f>
        <v>0</v>
      </c>
      <c r="P577" s="4">
        <f>IF(OR(INDEX($AH$2:$AH$1001,MATCH(ROWS($AG$2:AG577),$AG$2:$AG$1001,0),1)&gt;=100000,INDEX($AN$1005:$BO$1005,1,MATCH(COLUMNS($AN$1006:BB1006),$AN$1006:$BO$1006,0))&gt;=100000), " ",IF(INDEX($AN$2:$BO$1001,MATCH(ROWS($AG$2:AG577),$AG$2:$AG$1001,0),MATCH(COLUMNS($AN$1006:BB1006),$AN$1006:$BO$1006,0)), HYPERLINK("#",""), HYPERLINK(CONCATENATE("#Metadata!", ADDRESS(INDEX($AI$2:$AI$1001,MATCH(ROWS($AG$2:AG577),$AG$2:$AG$1001,0),0), INDEX($AN$1004:$BO$1004,1,MATCH(COLUMNS($AN$1006:BB1006),$AN$1006:$BO$1006,0)))),"Fix")))</f>
        <v>0</v>
      </c>
      <c r="Q577" s="4">
        <f>IF(OR(INDEX($AH$2:$AH$1001,MATCH(ROWS($AG$2:AG577),$AG$2:$AG$1001,0),1)&gt;=100000,INDEX($AN$1005:$BO$1005,1,MATCH(COLUMNS($AN$1006:BC1006),$AN$1006:$BO$1006,0))&gt;=100000), " ",IF(INDEX($AN$2:$BO$1001,MATCH(ROWS($AG$2:AG577),$AG$2:$AG$1001,0),MATCH(COLUMNS($AN$1006:BC1006),$AN$1006:$BO$1006,0)), HYPERLINK("#",""), HYPERLINK(CONCATENATE("#Metadata!", ADDRESS(INDEX($AI$2:$AI$1001,MATCH(ROWS($AG$2:AG577),$AG$2:$AG$1001,0),0), INDEX($AN$1004:$BO$1004,1,MATCH(COLUMNS($AN$1006:BC1006),$AN$1006:$BO$1006,0)))),"Fix")))</f>
        <v>0</v>
      </c>
      <c r="R577" s="4">
        <f>IF(OR(INDEX($AH$2:$AH$1001,MATCH(ROWS($AG$2:AG577),$AG$2:$AG$1001,0),1)&gt;=100000,INDEX($AN$1005:$BO$1005,1,MATCH(COLUMNS($AN$1006:BD1006),$AN$1006:$BO$1006,0))&gt;=100000), " ",IF(INDEX($AN$2:$BO$1001,MATCH(ROWS($AG$2:AG577),$AG$2:$AG$1001,0),MATCH(COLUMNS($AN$1006:BD1006),$AN$1006:$BO$1006,0)), HYPERLINK("#",""), HYPERLINK(CONCATENATE("#Metadata!", ADDRESS(INDEX($AI$2:$AI$1001,MATCH(ROWS($AG$2:AG577),$AG$2:$AG$1001,0),0), INDEX($AN$1004:$BO$1004,1,MATCH(COLUMNS($AN$1006:BD1006),$AN$1006:$BO$1006,0)))),"Fix")))</f>
        <v>0</v>
      </c>
      <c r="S577" s="4">
        <f>IF(OR(INDEX($AH$2:$AH$1001,MATCH(ROWS($AG$2:AG577),$AG$2:$AG$1001,0),1)&gt;=100000,INDEX($AN$1005:$BO$1005,1,MATCH(COLUMNS($AN$1006:BE1006),$AN$1006:$BO$1006,0))&gt;=100000), " ",IF(INDEX($AN$2:$BO$1001,MATCH(ROWS($AG$2:AG577),$AG$2:$AG$1001,0),MATCH(COLUMNS($AN$1006:BE1006),$AN$1006:$BO$1006,0)), HYPERLINK("#",""), HYPERLINK(CONCATENATE("#Metadata!", ADDRESS(INDEX($AI$2:$AI$1001,MATCH(ROWS($AG$2:AG577),$AG$2:$AG$1001,0),0), INDEX($AN$1004:$BO$1004,1,MATCH(COLUMNS($AN$1006:BE1006),$AN$1006:$BO$1006,0)))),"Fix")))</f>
        <v>0</v>
      </c>
      <c r="T577" s="4">
        <f>IF(OR(INDEX($AH$2:$AH$1001,MATCH(ROWS($AG$2:AG577),$AG$2:$AG$1001,0),1)&gt;=100000,INDEX($AN$1005:$BO$1005,1,MATCH(COLUMNS($AN$1006:BF1006),$AN$1006:$BO$1006,0))&gt;=100000), " ",IF(INDEX($AN$2:$BO$1001,MATCH(ROWS($AG$2:AG577),$AG$2:$AG$1001,0),MATCH(COLUMNS($AN$1006:BF1006),$AN$1006:$BO$1006,0)), HYPERLINK("#",""), HYPERLINK(CONCATENATE("#Metadata!", ADDRESS(INDEX($AI$2:$AI$1001,MATCH(ROWS($AG$2:AG577),$AG$2:$AG$1001,0),0), INDEX($AN$1004:$BO$1004,1,MATCH(COLUMNS($AN$1006:BF1006),$AN$1006:$BO$1006,0)))),"Fix")))</f>
        <v>0</v>
      </c>
      <c r="U577" s="4">
        <f>IF(OR(INDEX($AH$2:$AH$1001,MATCH(ROWS($AG$2:AG577),$AG$2:$AG$1001,0),1)&gt;=100000,INDEX($AN$1005:$BO$1005,1,MATCH(COLUMNS($AN$1006:BG1006),$AN$1006:$BO$1006,0))&gt;=100000), " ",IF(INDEX($AN$2:$BO$1001,MATCH(ROWS($AG$2:AG577),$AG$2:$AG$1001,0),MATCH(COLUMNS($AN$1006:BG1006),$AN$1006:$BO$1006,0)), HYPERLINK("#",""), HYPERLINK(CONCATENATE("#Metadata!", ADDRESS(INDEX($AI$2:$AI$1001,MATCH(ROWS($AG$2:AG577),$AG$2:$AG$1001,0),0), INDEX($AN$1004:$BO$1004,1,MATCH(COLUMNS($AN$1006:BG1006),$AN$1006:$BO$1006,0)))),"Fix")))</f>
        <v>0</v>
      </c>
      <c r="V577" s="4">
        <f>IF(OR(INDEX($AH$2:$AH$1001,MATCH(ROWS($AG$2:AG577),$AG$2:$AG$1001,0),1)&gt;=100000,INDEX($AN$1005:$BO$1005,1,MATCH(COLUMNS($AN$1006:BH1006),$AN$1006:$BO$1006,0))&gt;=100000), " ",IF(INDEX($AN$2:$BO$1001,MATCH(ROWS($AG$2:AG577),$AG$2:$AG$1001,0),MATCH(COLUMNS($AN$1006:BH1006),$AN$1006:$BO$1006,0)), HYPERLINK("#",""), HYPERLINK(CONCATENATE("#Metadata!", ADDRESS(INDEX($AI$2:$AI$1001,MATCH(ROWS($AG$2:AG577),$AG$2:$AG$1001,0),0), INDEX($AN$1004:$BO$1004,1,MATCH(COLUMNS($AN$1006:BH1006),$AN$1006:$BO$1006,0)))),"Fix")))</f>
        <v>0</v>
      </c>
      <c r="W577" s="4">
        <f>IF(OR(INDEX($AH$2:$AH$1001,MATCH(ROWS($AG$2:AG577),$AG$2:$AG$1001,0),1)&gt;=100000,INDEX($AN$1005:$BO$1005,1,MATCH(COLUMNS($AN$1006:BI1006),$AN$1006:$BO$1006,0))&gt;=100000), " ",IF(INDEX($AN$2:$BO$1001,MATCH(ROWS($AG$2:AG577),$AG$2:$AG$1001,0),MATCH(COLUMNS($AN$1006:BI1006),$AN$1006:$BO$1006,0)), HYPERLINK("#",""), HYPERLINK(CONCATENATE("#Metadata!", ADDRESS(INDEX($AI$2:$AI$1001,MATCH(ROWS($AG$2:AG577),$AG$2:$AG$1001,0),0), INDEX($AN$1004:$BO$1004,1,MATCH(COLUMNS($AN$1006:BI1006),$AN$1006:$BO$1006,0)))),"Fix")))</f>
        <v>0</v>
      </c>
      <c r="X577" s="4">
        <f>IF(OR(INDEX($AH$2:$AH$1001,MATCH(ROWS($AG$2:AG577),$AG$2:$AG$1001,0),1)&gt;=100000,INDEX($AN$1005:$BO$1005,1,MATCH(COLUMNS($AN$1006:BJ1006),$AN$1006:$BO$1006,0))&gt;=100000), " ",IF(INDEX($AN$2:$BO$1001,MATCH(ROWS($AG$2:AG577),$AG$2:$AG$1001,0),MATCH(COLUMNS($AN$1006:BJ1006),$AN$1006:$BO$1006,0)), HYPERLINK("#",""), HYPERLINK(CONCATENATE("#Metadata!", ADDRESS(INDEX($AI$2:$AI$1001,MATCH(ROWS($AG$2:AG577),$AG$2:$AG$1001,0),0), INDEX($AN$1004:$BO$1004,1,MATCH(COLUMNS($AN$1006:BJ1006),$AN$1006:$BO$1006,0)))),"Fix")))</f>
        <v>0</v>
      </c>
      <c r="Y577" s="4">
        <f>IF(OR(INDEX($AH$2:$AH$1001,MATCH(ROWS($AG$2:AG577),$AG$2:$AG$1001,0),1)&gt;=100000,INDEX($AN$1005:$BO$1005,1,MATCH(COLUMNS($AN$1006:BK1006),$AN$1006:$BO$1006,0))&gt;=100000), " ",IF(INDEX($AN$2:$BO$1001,MATCH(ROWS($AG$2:AG577),$AG$2:$AG$1001,0),MATCH(COLUMNS($AN$1006:BK1006),$AN$1006:$BO$1006,0)), HYPERLINK("#",""), HYPERLINK(CONCATENATE("#Metadata!", ADDRESS(INDEX($AI$2:$AI$1001,MATCH(ROWS($AG$2:AG577),$AG$2:$AG$1001,0),0), INDEX($AN$1004:$BO$1004,1,MATCH(COLUMNS($AN$1006:BK1006),$AN$1006:$BO$1006,0)))),"Fix")))</f>
        <v>0</v>
      </c>
      <c r="Z577" s="4">
        <f>IF(OR(INDEX($AH$2:$AH$1001,MATCH(ROWS($AG$2:AG577),$AG$2:$AG$1001,0),1)&gt;=100000,INDEX($AN$1005:$BO$1005,1,MATCH(COLUMNS($AN$1006:BL1006),$AN$1006:$BO$1006,0))&gt;=100000), " ",IF(INDEX($AN$2:$BO$1001,MATCH(ROWS($AG$2:AG577),$AG$2:$AG$1001,0),MATCH(COLUMNS($AN$1006:BL1006),$AN$1006:$BO$1006,0)), HYPERLINK("#",""), HYPERLINK(CONCATENATE("#Metadata!", ADDRESS(INDEX($AI$2:$AI$1001,MATCH(ROWS($AG$2:AG577),$AG$2:$AG$1001,0),0), INDEX($AN$1004:$BO$1004,1,MATCH(COLUMNS($AN$1006:BL1006),$AN$1006:$BO$1006,0)))),"Fix")))</f>
        <v>0</v>
      </c>
      <c r="AA577" s="4">
        <f>IF(OR(INDEX($AH$2:$AH$1001,MATCH(ROWS($AG$2:AG577),$AG$2:$AG$1001,0),1)&gt;=100000,INDEX($AN$1005:$BO$1005,1,MATCH(COLUMNS($AN$1006:BM1006),$AN$1006:$BO$1006,0))&gt;=100000), " ",IF(INDEX($AN$2:$BO$1001,MATCH(ROWS($AG$2:AG577),$AG$2:$AG$1001,0),MATCH(COLUMNS($AN$1006:BM1006),$AN$1006:$BO$1006,0)), HYPERLINK("#",""), HYPERLINK(CONCATENATE("#Metadata!", ADDRESS(INDEX($AI$2:$AI$1001,MATCH(ROWS($AG$2:AG577),$AG$2:$AG$1001,0),0), INDEX($AN$1004:$BO$1004,1,MATCH(COLUMNS($AN$1006:BM1006),$AN$1006:$BO$1006,0)))),"Fix")))</f>
        <v>0</v>
      </c>
      <c r="AB577" s="4">
        <f>IF(OR(INDEX($AH$2:$AH$1001,MATCH(ROWS($AG$2:AG577),$AG$2:$AG$1001,0),1)&gt;=100000,INDEX($AN$1005:$BO$1005,1,MATCH(COLUMNS($AN$1006:BN1006),$AN$1006:$BO$1006,0))&gt;=100000), " ",IF(INDEX($AN$2:$BO$1001,MATCH(ROWS($AG$2:AG577),$AG$2:$AG$1001,0),MATCH(COLUMNS($AN$1006:BN1006),$AN$1006:$BO$1006,0)), HYPERLINK("#",""), HYPERLINK(CONCATENATE("#Metadata!", ADDRESS(INDEX($AI$2:$AI$1001,MATCH(ROWS($AG$2:AG577),$AG$2:$AG$1001,0),0), INDEX($AN$1004:$BO$1004,1,MATCH(COLUMNS($AN$1006:BN1006),$AN$1006:$BO$1006,0)))),"Fix")))</f>
        <v>0</v>
      </c>
      <c r="AC577" s="4">
        <f>IF(OR(INDEX($AH$2:$AH$1001,MATCH(ROWS($AG$2:AG577),$AG$2:$AG$1001,0),1)&gt;=100000,INDEX($AN$1005:$BO$1005,1,MATCH(COLUMNS($AN$1006:BO1006),$AN$1006:$BO$1006,0))&gt;=100000), " ",IF(INDEX($AN$2:$BO$1001,MATCH(ROWS($AG$2:AG577),$AG$2:$AG$1001,0),MATCH(COLUMNS($AN$1006:BO1006),$AN$1006:$BO$1006,0)), HYPERLINK("#",""), HYPERLINK(CONCATENATE("#Metadata!", ADDRESS(INDEX($AI$2:$AI$1001,MATCH(ROWS($AG$2:AG577),$AG$2:$AG$1001,0),0), INDEX($AN$1004:$BO$1004,1,MATCH(COLUMNS($AN$1006:BO1006),$AN$1006:$BO$1006,0)))),"Fix")))</f>
        <v>0</v>
      </c>
      <c r="AG577">
        <v>0</v>
      </c>
      <c r="AH577">
        <v>0</v>
      </c>
      <c r="AI577">
        <v>0</v>
      </c>
      <c r="AJ577">
        <f>IF(AK577,TRUE,AND(AN577:BO577))</f>
        <v>0</v>
      </c>
      <c r="AK577">
        <f>COUNTBLANK(Metadata!B577:AC577)=COLUMNS(Metadata!B577:AC577)</f>
        <v>0</v>
      </c>
      <c r="AL577">
        <v>0</v>
      </c>
      <c r="AN577">
        <f>AND(IF(Metadata!B577="",FALSE,TRUE),COUNTIF(Metadata!B:B, Metadata!B577) = 1,NOT(ISERROR(SUMPRODUCT(SEARCH(MID(Metadata!B577,ROW(INDIRECT("1:"&amp;LEN(Metadata!B577))), 1),"0123456789abcdefghijklmnopqrstuvwxyzABCDEFGHIJKLMNOPQRSTUVWXYZ.")))))</f>
        <v>0</v>
      </c>
      <c r="AO577">
        <f>IF(Metadata!C577="",FALSE,TRUE)</f>
        <v>0</v>
      </c>
      <c r="AP577">
        <f>IF(Metadata!D577="",FALSE,TRUE)</f>
        <v>0</v>
      </c>
      <c r="AQ577">
        <f>OR(AND(IF(Metadata!E577="",FALSE,TRUE),OR(exact(Metadata!E577,"not collected"),exact(Metadata!E577,"not provided"),exact(Metadata!E577,"restricted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R577">
        <f>IF(Metadata!F577="",FALSE,TRUE)</f>
        <v>0</v>
      </c>
      <c r="AS577">
        <f>OR(AND(IF(Metadata!G577="",FALSE,TRUE),OR(exact(Metadata!G577,"not collected"),exact(Metadata!G577,"not provided"))),AND(IF(Metadata!G577="",FALSE,TRUE),OR(exact(Metadata!G577,"TRUE"),exact(Metadata!G577,"FALSE"))))</f>
        <v>0</v>
      </c>
      <c r="AT577">
        <f>OR(AND(IF(Metadata!H577="",FALSE,TRUE),OR(exact(Metadata!H577,"not collected"),exact(Metadata!H577,"not provided"),exact(Metadata!H577,"restricted access"))),AND(IF(Metadata!H577="",FALSE,ISNUMBER(VALUE(Metadata!H577))),Metadata!H577&gt;=-413.0))</f>
        <v>0</v>
      </c>
      <c r="AU577">
        <f>AND(IF(Metadata!I577="",FALSE,TRUE),exact(Metadata!I577,"meters"))</f>
        <v>0</v>
      </c>
      <c r="AV577">
        <f>AND(IF(Metadata!J577="",FALSE,TRUE),OR(exact(Metadata!J577,"Host-associated"),exact(Metadata!J577,"Free-living")))</f>
        <v>0</v>
      </c>
      <c r="AW577">
        <f>AND(IF(Metadata!K577="",FALSE,TRUE),OR(exact(Metadata!K577,"Animal"),exact(Metadata!K577,"Fungus"),exact(Metadata!K577,"Plant"),exact(Metadata!K577,"Saline"),exact(Metadata!K577,"Non-saline")))</f>
        <v>0</v>
      </c>
      <c r="AX577">
        <f>AND(IF(Metadata!L577="",FALSE,TRUE),OR(exact(Metadata!L577,"Plant secretion"),exact(Metadata!L577,"Plant rhizosphere"),exact(Metadata!L577,"Plant surface"),exact(Metadata!L577,"Plant corpus"),exact(Metadata!L577,"Fungus surface"),exact(Metadata!L577,"Fungus corpus"),exact(Metadata!L577,"Animal surface"),exact(Metadata!L577,"Animal proximal gut"),exact(Metadata!L577,"Animal corpus"),exact(Metadata!L577,"Animal distal gut"),exact(Metadata!L577,"Animal secretion"),exact(Metadata!L577,"Sub-surface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Y577">
        <f>IF(Metadata!M577="",FALSE,TRUE)</f>
        <v>0</v>
      </c>
      <c r="AZ577">
        <f>IF(Metadata!N577="",FALSE,TRUE)</f>
        <v>0</v>
      </c>
      <c r="BA577">
        <f>IF(Metadata!O577="",FALSE,TRUE)</f>
        <v>0</v>
      </c>
      <c r="BB577">
        <f>OR(AND(IF(Metadata!P577="",FALSE,TRUE),OR(exact(Metadata!P577,"not collected"),exact(Metadata!P577,"not provided"),exact(Metadata!P577,"restricted access"))),AND(IF(Metadata!P577="",FALSE,TRUE),OR(exact(Metadata!P577,"air"),exact(Metadata!P577,"built environment"),exact(Metadata!P577,"host-associated"),exact(Metadata!P577,"human-associated"),exact(Metadata!P577,"human-skin"),exact(Metadata!P577,"human-oral"),exact(Metadata!P577,"human-gut"),exact(Metadata!P577,"human-vaginal"),exact(Metadata!P577,"microbial mat/biofilm"),exact(Metadata!P577,"misc environment"),exact(Metadata!P577,"plant-associated"),exact(Metadata!P577,"sediment"),exact(Metadata!P577,"soil"),exact(Metadata!P577,"wastewater/sludge"),exact(Metadata!P577,"water"))))</f>
        <v>0</v>
      </c>
      <c r="BC577">
        <f>IF(Metadata!Q577="",FALSE,TRUE)</f>
        <v>0</v>
      </c>
      <c r="BD577">
        <f>IF(Metadata!R577="",FALSE,TRUE)</f>
        <v>0</v>
      </c>
      <c r="BE577">
        <f>OR(AND(IF(Metadata!S577="",FALSE,TRUE),OR(exact(Metadata!S577,"not collected"),exact(Metadata!S577,"not provided"),exact(Metadata!S577,"restricted access"))),AND(IF(Metadata!S577="",FALSE,ISNUMBER(VALUE(Metadata!S577))),Metadata!S577&gt;=-90.00,Metadata!S577&lt;=90.00))</f>
        <v>0</v>
      </c>
      <c r="BF577">
        <f>AND(IF(Metadata!T577="",FALSE,TRUE),exact(Metadata!T577,"Decimal degrees"))</f>
        <v>0</v>
      </c>
      <c r="BG577">
        <f>OR(AND(IF(Metadata!U577="",FALSE,TRUE),OR(exact(Metadata!U577,"not collected"),exact(Metadata!U577,"not provided"),exact(Metadata!U577,"restricted access"))),AND(IF(Metadata!U577="",FALSE,ISNUMBER(VALUE(Metadata!U577))),Metadata!U577&gt;=-180.00,Metadata!U577&lt;=180.00))</f>
        <v>0</v>
      </c>
      <c r="BH577">
        <f>AND(IF(Metadata!V577="",FALSE,TRUE),exact(Metadata!V577,"Decimal degrees"))</f>
        <v>0</v>
      </c>
      <c r="BI577">
        <f>IF(Metadata!W577="",FALSE,TRUE)</f>
        <v>0</v>
      </c>
      <c r="BJ577">
        <f>OR(AND(IF(Metadata!X577="",FALSE,TRUE),OR(exact(Metadata!X577,"not collected"),exact(Metadata!X577,"not provided"),exact(Metadata!X577,"restricted access"))),AND(IF(Metadata!X577="",FALSE,TRUE),OR(exact(Metadata!X577,"TRUE"),exact(Metadata!X577,"FALSE"))))</f>
        <v>0</v>
      </c>
      <c r="BK577">
        <f>AND(IF(Metadata!Y577="",FALSE,TRUE),exact(Metadata!Y577,"other"))</f>
        <v>0</v>
      </c>
      <c r="BL577">
        <f>IF(Metadata!Z577="",FALSE,TRUE)</f>
        <v>0</v>
      </c>
      <c r="BM577">
        <f>OR(AND(IF(Metadata!AA577="",FALSE,TRUE),OR(exact(Metadata!AA577,"not collected"),exact(Metadata!AA577,"not provided"))),AND(IF(Metadata!AA577="",FALSE,IF(ISERROR(INT(Metadata!AA577)),FALSE,INT(Metadata!AA577)=Metadata!AA577)),Metadata!AA577&gt;0))</f>
        <v>0</v>
      </c>
      <c r="BN577">
        <f>AND(IF(Metadata!AB577="",FALSE,TRUE),exact(Metadata!AB577,"Not applicable"))</f>
        <v>0</v>
      </c>
      <c r="BO577">
        <f>IF(Metadata!AC577="",FALSE,TRUE)</f>
        <v>0</v>
      </c>
    </row>
    <row r="578" spans="1:67">
      <c r="A578" s="5">
        <f>IF(B578=" "," ",HYPERLINK(CONCATENATE("#metadata!",ADDRESS(INDEX($AI$2:$AI$1001,MATCH(ROWS($AG$2:AG578),$AG$2:$AG$1001,0),0),1)),INDEX($AL$2:$AL$1001,MATCH(ROWS($AG$2:AG578),$AG$2:$AG$1001,0),0)))</f>
        <v>0</v>
      </c>
      <c r="B578" s="4">
        <f>IF(OR(INDEX($AH$2:$AH$1001,MATCH(ROWS($AG$2:AG578),$AG$2:$AG$1001,0),1)&gt;=100000,INDEX($AN$1005:$BO$1005,1,MATCH(COLUMNS($AN$1006:AN1006),$AN$1006:$BO$1006,0))&gt;=100000), " ",IF(INDEX($AN$2:$BO$1001,MATCH(ROWS($AG$2:AG578),$AG$2:$AG$1001,0),MATCH(COLUMNS($AN$1006:AN1006),$AN$1006:$BO$1006,0)), HYPERLINK("#",""), HYPERLINK(CONCATENATE("#Metadata!", ADDRESS(INDEX($AI$2:$AI$1001,MATCH(ROWS($AG$2:AG578),$AG$2:$AG$1001,0),0), INDEX($AN$1004:$BO$1004,1,MATCH(COLUMNS($AN$1006:AN1006),$AN$1006:$BO$1006,0)))),"Fix")))</f>
        <v>0</v>
      </c>
      <c r="C578" s="4">
        <f>IF(OR(INDEX($AH$2:$AH$1001,MATCH(ROWS($AG$2:AG578),$AG$2:$AG$1001,0),1)&gt;=100000,INDEX($AN$1005:$BO$1005,1,MATCH(COLUMNS($AN$1006:AO1006),$AN$1006:$BO$1006,0))&gt;=100000), " ",IF(INDEX($AN$2:$BO$1001,MATCH(ROWS($AG$2:AG578),$AG$2:$AG$1001,0),MATCH(COLUMNS($AN$1006:AO1006),$AN$1006:$BO$1006,0)), HYPERLINK("#",""), HYPERLINK(CONCATENATE("#Metadata!", ADDRESS(INDEX($AI$2:$AI$1001,MATCH(ROWS($AG$2:AG578),$AG$2:$AG$1001,0),0), INDEX($AN$1004:$BO$1004,1,MATCH(COLUMNS($AN$1006:AO1006),$AN$1006:$BO$1006,0)))),"Fix")))</f>
        <v>0</v>
      </c>
      <c r="D578" s="4">
        <f>IF(OR(INDEX($AH$2:$AH$1001,MATCH(ROWS($AG$2:AG578),$AG$2:$AG$1001,0),1)&gt;=100000,INDEX($AN$1005:$BO$1005,1,MATCH(COLUMNS($AN$1006:AP1006),$AN$1006:$BO$1006,0))&gt;=100000), " ",IF(INDEX($AN$2:$BO$1001,MATCH(ROWS($AG$2:AG578),$AG$2:$AG$1001,0),MATCH(COLUMNS($AN$1006:AP1006),$AN$1006:$BO$1006,0)), HYPERLINK("#",""), HYPERLINK(CONCATENATE("#Metadata!", ADDRESS(INDEX($AI$2:$AI$1001,MATCH(ROWS($AG$2:AG578),$AG$2:$AG$1001,0),0), INDEX($AN$1004:$BO$1004,1,MATCH(COLUMNS($AN$1006:AP1006),$AN$1006:$BO$1006,0)))),"Fix")))</f>
        <v>0</v>
      </c>
      <c r="E578" s="4">
        <f>IF(OR(INDEX($AH$2:$AH$1001,MATCH(ROWS($AG$2:AG578),$AG$2:$AG$1001,0),1)&gt;=100000,INDEX($AN$1005:$BO$1005,1,MATCH(COLUMNS($AN$1006:AQ1006),$AN$1006:$BO$1006,0))&gt;=100000), " ",IF(INDEX($AN$2:$BO$1001,MATCH(ROWS($AG$2:AG578),$AG$2:$AG$1001,0),MATCH(COLUMNS($AN$1006:AQ1006),$AN$1006:$BO$1006,0)), HYPERLINK("#",""), HYPERLINK(CONCATENATE("#Metadata!", ADDRESS(INDEX($AI$2:$AI$1001,MATCH(ROWS($AG$2:AG578),$AG$2:$AG$1001,0),0), INDEX($AN$1004:$BO$1004,1,MATCH(COLUMNS($AN$1006:AQ1006),$AN$1006:$BO$1006,0)))),"Fix")))</f>
        <v>0</v>
      </c>
      <c r="F578" s="4">
        <f>IF(OR(INDEX($AH$2:$AH$1001,MATCH(ROWS($AG$2:AG578),$AG$2:$AG$1001,0),1)&gt;=100000,INDEX($AN$1005:$BO$1005,1,MATCH(COLUMNS($AN$1006:AR1006),$AN$1006:$BO$1006,0))&gt;=100000), " ",IF(INDEX($AN$2:$BO$1001,MATCH(ROWS($AG$2:AG578),$AG$2:$AG$1001,0),MATCH(COLUMNS($AN$1006:AR1006),$AN$1006:$BO$1006,0)), HYPERLINK("#",""), HYPERLINK(CONCATENATE("#Metadata!", ADDRESS(INDEX($AI$2:$AI$1001,MATCH(ROWS($AG$2:AG578),$AG$2:$AG$1001,0),0), INDEX($AN$1004:$BO$1004,1,MATCH(COLUMNS($AN$1006:AR1006),$AN$1006:$BO$1006,0)))),"Fix")))</f>
        <v>0</v>
      </c>
      <c r="G578" s="4">
        <f>IF(OR(INDEX($AH$2:$AH$1001,MATCH(ROWS($AG$2:AG578),$AG$2:$AG$1001,0),1)&gt;=100000,INDEX($AN$1005:$BO$1005,1,MATCH(COLUMNS($AN$1006:AS1006),$AN$1006:$BO$1006,0))&gt;=100000), " ",IF(INDEX($AN$2:$BO$1001,MATCH(ROWS($AG$2:AG578),$AG$2:$AG$1001,0),MATCH(COLUMNS($AN$1006:AS1006),$AN$1006:$BO$1006,0)), HYPERLINK("#",""), HYPERLINK(CONCATENATE("#Metadata!", ADDRESS(INDEX($AI$2:$AI$1001,MATCH(ROWS($AG$2:AG578),$AG$2:$AG$1001,0),0), INDEX($AN$1004:$BO$1004,1,MATCH(COLUMNS($AN$1006:AS1006),$AN$1006:$BO$1006,0)))),"Fix")))</f>
        <v>0</v>
      </c>
      <c r="H578" s="4">
        <f>IF(OR(INDEX($AH$2:$AH$1001,MATCH(ROWS($AG$2:AG578),$AG$2:$AG$1001,0),1)&gt;=100000,INDEX($AN$1005:$BO$1005,1,MATCH(COLUMNS($AN$1006:AT1006),$AN$1006:$BO$1006,0))&gt;=100000), " ",IF(INDEX($AN$2:$BO$1001,MATCH(ROWS($AG$2:AG578),$AG$2:$AG$1001,0),MATCH(COLUMNS($AN$1006:AT1006),$AN$1006:$BO$1006,0)), HYPERLINK("#",""), HYPERLINK(CONCATENATE("#Metadata!", ADDRESS(INDEX($AI$2:$AI$1001,MATCH(ROWS($AG$2:AG578),$AG$2:$AG$1001,0),0), INDEX($AN$1004:$BO$1004,1,MATCH(COLUMNS($AN$1006:AT1006),$AN$1006:$BO$1006,0)))),"Fix")))</f>
        <v>0</v>
      </c>
      <c r="I578" s="4">
        <f>IF(OR(INDEX($AH$2:$AH$1001,MATCH(ROWS($AG$2:AG578),$AG$2:$AG$1001,0),1)&gt;=100000,INDEX($AN$1005:$BO$1005,1,MATCH(COLUMNS($AN$1006:AU1006),$AN$1006:$BO$1006,0))&gt;=100000), " ",IF(INDEX($AN$2:$BO$1001,MATCH(ROWS($AG$2:AG578),$AG$2:$AG$1001,0),MATCH(COLUMNS($AN$1006:AU1006),$AN$1006:$BO$1006,0)), HYPERLINK("#",""), HYPERLINK(CONCATENATE("#Metadata!", ADDRESS(INDEX($AI$2:$AI$1001,MATCH(ROWS($AG$2:AG578),$AG$2:$AG$1001,0),0), INDEX($AN$1004:$BO$1004,1,MATCH(COLUMNS($AN$1006:AU1006),$AN$1006:$BO$1006,0)))),"Fix")))</f>
        <v>0</v>
      </c>
      <c r="J578" s="4">
        <f>IF(OR(INDEX($AH$2:$AH$1001,MATCH(ROWS($AG$2:AG578),$AG$2:$AG$1001,0),1)&gt;=100000,INDEX($AN$1005:$BO$1005,1,MATCH(COLUMNS($AN$1006:AV1006),$AN$1006:$BO$1006,0))&gt;=100000), " ",IF(INDEX($AN$2:$BO$1001,MATCH(ROWS($AG$2:AG578),$AG$2:$AG$1001,0),MATCH(COLUMNS($AN$1006:AV1006),$AN$1006:$BO$1006,0)), HYPERLINK("#",""), HYPERLINK(CONCATENATE("#Metadata!", ADDRESS(INDEX($AI$2:$AI$1001,MATCH(ROWS($AG$2:AG578),$AG$2:$AG$1001,0),0), INDEX($AN$1004:$BO$1004,1,MATCH(COLUMNS($AN$1006:AV1006),$AN$1006:$BO$1006,0)))),"Fix")))</f>
        <v>0</v>
      </c>
      <c r="K578" s="4">
        <f>IF(OR(INDEX($AH$2:$AH$1001,MATCH(ROWS($AG$2:AG578),$AG$2:$AG$1001,0),1)&gt;=100000,INDEX($AN$1005:$BO$1005,1,MATCH(COLUMNS($AN$1006:AW1006),$AN$1006:$BO$1006,0))&gt;=100000), " ",IF(INDEX($AN$2:$BO$1001,MATCH(ROWS($AG$2:AG578),$AG$2:$AG$1001,0),MATCH(COLUMNS($AN$1006:AW1006),$AN$1006:$BO$1006,0)), HYPERLINK("#",""), HYPERLINK(CONCATENATE("#Metadata!", ADDRESS(INDEX($AI$2:$AI$1001,MATCH(ROWS($AG$2:AG578),$AG$2:$AG$1001,0),0), INDEX($AN$1004:$BO$1004,1,MATCH(COLUMNS($AN$1006:AW1006),$AN$1006:$BO$1006,0)))),"Fix")))</f>
        <v>0</v>
      </c>
      <c r="L578" s="4">
        <f>IF(OR(INDEX($AH$2:$AH$1001,MATCH(ROWS($AG$2:AG578),$AG$2:$AG$1001,0),1)&gt;=100000,INDEX($AN$1005:$BO$1005,1,MATCH(COLUMNS($AN$1006:AX1006),$AN$1006:$BO$1006,0))&gt;=100000), " ",IF(INDEX($AN$2:$BO$1001,MATCH(ROWS($AG$2:AG578),$AG$2:$AG$1001,0),MATCH(COLUMNS($AN$1006:AX1006),$AN$1006:$BO$1006,0)), HYPERLINK("#",""), HYPERLINK(CONCATENATE("#Metadata!", ADDRESS(INDEX($AI$2:$AI$1001,MATCH(ROWS($AG$2:AG578),$AG$2:$AG$1001,0),0), INDEX($AN$1004:$BO$1004,1,MATCH(COLUMNS($AN$1006:AX1006),$AN$1006:$BO$1006,0)))),"Fix")))</f>
        <v>0</v>
      </c>
      <c r="M578" s="4">
        <f>IF(OR(INDEX($AH$2:$AH$1001,MATCH(ROWS($AG$2:AG578),$AG$2:$AG$1001,0),1)&gt;=100000,INDEX($AN$1005:$BO$1005,1,MATCH(COLUMNS($AN$1006:AY1006),$AN$1006:$BO$1006,0))&gt;=100000), " ",IF(INDEX($AN$2:$BO$1001,MATCH(ROWS($AG$2:AG578),$AG$2:$AG$1001,0),MATCH(COLUMNS($AN$1006:AY1006),$AN$1006:$BO$1006,0)), HYPERLINK("#",""), HYPERLINK(CONCATENATE("#Metadata!", ADDRESS(INDEX($AI$2:$AI$1001,MATCH(ROWS($AG$2:AG578),$AG$2:$AG$1001,0),0), INDEX($AN$1004:$BO$1004,1,MATCH(COLUMNS($AN$1006:AY1006),$AN$1006:$BO$1006,0)))),"Fix")))</f>
        <v>0</v>
      </c>
      <c r="N578" s="4">
        <f>IF(OR(INDEX($AH$2:$AH$1001,MATCH(ROWS($AG$2:AG578),$AG$2:$AG$1001,0),1)&gt;=100000,INDEX($AN$1005:$BO$1005,1,MATCH(COLUMNS($AN$1006:AZ1006),$AN$1006:$BO$1006,0))&gt;=100000), " ",IF(INDEX($AN$2:$BO$1001,MATCH(ROWS($AG$2:AG578),$AG$2:$AG$1001,0),MATCH(COLUMNS($AN$1006:AZ1006),$AN$1006:$BO$1006,0)), HYPERLINK("#",""), HYPERLINK(CONCATENATE("#Metadata!", ADDRESS(INDEX($AI$2:$AI$1001,MATCH(ROWS($AG$2:AG578),$AG$2:$AG$1001,0),0), INDEX($AN$1004:$BO$1004,1,MATCH(COLUMNS($AN$1006:AZ1006),$AN$1006:$BO$1006,0)))),"Fix")))</f>
        <v>0</v>
      </c>
      <c r="O578" s="4">
        <f>IF(OR(INDEX($AH$2:$AH$1001,MATCH(ROWS($AG$2:AG578),$AG$2:$AG$1001,0),1)&gt;=100000,INDEX($AN$1005:$BO$1005,1,MATCH(COLUMNS($AN$1006:BA1006),$AN$1006:$BO$1006,0))&gt;=100000), " ",IF(INDEX($AN$2:$BO$1001,MATCH(ROWS($AG$2:AG578),$AG$2:$AG$1001,0),MATCH(COLUMNS($AN$1006:BA1006),$AN$1006:$BO$1006,0)), HYPERLINK("#",""), HYPERLINK(CONCATENATE("#Metadata!", ADDRESS(INDEX($AI$2:$AI$1001,MATCH(ROWS($AG$2:AG578),$AG$2:$AG$1001,0),0), INDEX($AN$1004:$BO$1004,1,MATCH(COLUMNS($AN$1006:BA1006),$AN$1006:$BO$1006,0)))),"Fix")))</f>
        <v>0</v>
      </c>
      <c r="P578" s="4">
        <f>IF(OR(INDEX($AH$2:$AH$1001,MATCH(ROWS($AG$2:AG578),$AG$2:$AG$1001,0),1)&gt;=100000,INDEX($AN$1005:$BO$1005,1,MATCH(COLUMNS($AN$1006:BB1006),$AN$1006:$BO$1006,0))&gt;=100000), " ",IF(INDEX($AN$2:$BO$1001,MATCH(ROWS($AG$2:AG578),$AG$2:$AG$1001,0),MATCH(COLUMNS($AN$1006:BB1006),$AN$1006:$BO$1006,0)), HYPERLINK("#",""), HYPERLINK(CONCATENATE("#Metadata!", ADDRESS(INDEX($AI$2:$AI$1001,MATCH(ROWS($AG$2:AG578),$AG$2:$AG$1001,0),0), INDEX($AN$1004:$BO$1004,1,MATCH(COLUMNS($AN$1006:BB1006),$AN$1006:$BO$1006,0)))),"Fix")))</f>
        <v>0</v>
      </c>
      <c r="Q578" s="4">
        <f>IF(OR(INDEX($AH$2:$AH$1001,MATCH(ROWS($AG$2:AG578),$AG$2:$AG$1001,0),1)&gt;=100000,INDEX($AN$1005:$BO$1005,1,MATCH(COLUMNS($AN$1006:BC1006),$AN$1006:$BO$1006,0))&gt;=100000), " ",IF(INDEX($AN$2:$BO$1001,MATCH(ROWS($AG$2:AG578),$AG$2:$AG$1001,0),MATCH(COLUMNS($AN$1006:BC1006),$AN$1006:$BO$1006,0)), HYPERLINK("#",""), HYPERLINK(CONCATENATE("#Metadata!", ADDRESS(INDEX($AI$2:$AI$1001,MATCH(ROWS($AG$2:AG578),$AG$2:$AG$1001,0),0), INDEX($AN$1004:$BO$1004,1,MATCH(COLUMNS($AN$1006:BC1006),$AN$1006:$BO$1006,0)))),"Fix")))</f>
        <v>0</v>
      </c>
      <c r="R578" s="4">
        <f>IF(OR(INDEX($AH$2:$AH$1001,MATCH(ROWS($AG$2:AG578),$AG$2:$AG$1001,0),1)&gt;=100000,INDEX($AN$1005:$BO$1005,1,MATCH(COLUMNS($AN$1006:BD1006),$AN$1006:$BO$1006,0))&gt;=100000), " ",IF(INDEX($AN$2:$BO$1001,MATCH(ROWS($AG$2:AG578),$AG$2:$AG$1001,0),MATCH(COLUMNS($AN$1006:BD1006),$AN$1006:$BO$1006,0)), HYPERLINK("#",""), HYPERLINK(CONCATENATE("#Metadata!", ADDRESS(INDEX($AI$2:$AI$1001,MATCH(ROWS($AG$2:AG578),$AG$2:$AG$1001,0),0), INDEX($AN$1004:$BO$1004,1,MATCH(COLUMNS($AN$1006:BD1006),$AN$1006:$BO$1006,0)))),"Fix")))</f>
        <v>0</v>
      </c>
      <c r="S578" s="4">
        <f>IF(OR(INDEX($AH$2:$AH$1001,MATCH(ROWS($AG$2:AG578),$AG$2:$AG$1001,0),1)&gt;=100000,INDEX($AN$1005:$BO$1005,1,MATCH(COLUMNS($AN$1006:BE1006),$AN$1006:$BO$1006,0))&gt;=100000), " ",IF(INDEX($AN$2:$BO$1001,MATCH(ROWS($AG$2:AG578),$AG$2:$AG$1001,0),MATCH(COLUMNS($AN$1006:BE1006),$AN$1006:$BO$1006,0)), HYPERLINK("#",""), HYPERLINK(CONCATENATE("#Metadata!", ADDRESS(INDEX($AI$2:$AI$1001,MATCH(ROWS($AG$2:AG578),$AG$2:$AG$1001,0),0), INDEX($AN$1004:$BO$1004,1,MATCH(COLUMNS($AN$1006:BE1006),$AN$1006:$BO$1006,0)))),"Fix")))</f>
        <v>0</v>
      </c>
      <c r="T578" s="4">
        <f>IF(OR(INDEX($AH$2:$AH$1001,MATCH(ROWS($AG$2:AG578),$AG$2:$AG$1001,0),1)&gt;=100000,INDEX($AN$1005:$BO$1005,1,MATCH(COLUMNS($AN$1006:BF1006),$AN$1006:$BO$1006,0))&gt;=100000), " ",IF(INDEX($AN$2:$BO$1001,MATCH(ROWS($AG$2:AG578),$AG$2:$AG$1001,0),MATCH(COLUMNS($AN$1006:BF1006),$AN$1006:$BO$1006,0)), HYPERLINK("#",""), HYPERLINK(CONCATENATE("#Metadata!", ADDRESS(INDEX($AI$2:$AI$1001,MATCH(ROWS($AG$2:AG578),$AG$2:$AG$1001,0),0), INDEX($AN$1004:$BO$1004,1,MATCH(COLUMNS($AN$1006:BF1006),$AN$1006:$BO$1006,0)))),"Fix")))</f>
        <v>0</v>
      </c>
      <c r="U578" s="4">
        <f>IF(OR(INDEX($AH$2:$AH$1001,MATCH(ROWS($AG$2:AG578),$AG$2:$AG$1001,0),1)&gt;=100000,INDEX($AN$1005:$BO$1005,1,MATCH(COLUMNS($AN$1006:BG1006),$AN$1006:$BO$1006,0))&gt;=100000), " ",IF(INDEX($AN$2:$BO$1001,MATCH(ROWS($AG$2:AG578),$AG$2:$AG$1001,0),MATCH(COLUMNS($AN$1006:BG1006),$AN$1006:$BO$1006,0)), HYPERLINK("#",""), HYPERLINK(CONCATENATE("#Metadata!", ADDRESS(INDEX($AI$2:$AI$1001,MATCH(ROWS($AG$2:AG578),$AG$2:$AG$1001,0),0), INDEX($AN$1004:$BO$1004,1,MATCH(COLUMNS($AN$1006:BG1006),$AN$1006:$BO$1006,0)))),"Fix")))</f>
        <v>0</v>
      </c>
      <c r="V578" s="4">
        <f>IF(OR(INDEX($AH$2:$AH$1001,MATCH(ROWS($AG$2:AG578),$AG$2:$AG$1001,0),1)&gt;=100000,INDEX($AN$1005:$BO$1005,1,MATCH(COLUMNS($AN$1006:BH1006),$AN$1006:$BO$1006,0))&gt;=100000), " ",IF(INDEX($AN$2:$BO$1001,MATCH(ROWS($AG$2:AG578),$AG$2:$AG$1001,0),MATCH(COLUMNS($AN$1006:BH1006),$AN$1006:$BO$1006,0)), HYPERLINK("#",""), HYPERLINK(CONCATENATE("#Metadata!", ADDRESS(INDEX($AI$2:$AI$1001,MATCH(ROWS($AG$2:AG578),$AG$2:$AG$1001,0),0), INDEX($AN$1004:$BO$1004,1,MATCH(COLUMNS($AN$1006:BH1006),$AN$1006:$BO$1006,0)))),"Fix")))</f>
        <v>0</v>
      </c>
      <c r="W578" s="4">
        <f>IF(OR(INDEX($AH$2:$AH$1001,MATCH(ROWS($AG$2:AG578),$AG$2:$AG$1001,0),1)&gt;=100000,INDEX($AN$1005:$BO$1005,1,MATCH(COLUMNS($AN$1006:BI1006),$AN$1006:$BO$1006,0))&gt;=100000), " ",IF(INDEX($AN$2:$BO$1001,MATCH(ROWS($AG$2:AG578),$AG$2:$AG$1001,0),MATCH(COLUMNS($AN$1006:BI1006),$AN$1006:$BO$1006,0)), HYPERLINK("#",""), HYPERLINK(CONCATENATE("#Metadata!", ADDRESS(INDEX($AI$2:$AI$1001,MATCH(ROWS($AG$2:AG578),$AG$2:$AG$1001,0),0), INDEX($AN$1004:$BO$1004,1,MATCH(COLUMNS($AN$1006:BI1006),$AN$1006:$BO$1006,0)))),"Fix")))</f>
        <v>0</v>
      </c>
      <c r="X578" s="4">
        <f>IF(OR(INDEX($AH$2:$AH$1001,MATCH(ROWS($AG$2:AG578),$AG$2:$AG$1001,0),1)&gt;=100000,INDEX($AN$1005:$BO$1005,1,MATCH(COLUMNS($AN$1006:BJ1006),$AN$1006:$BO$1006,0))&gt;=100000), " ",IF(INDEX($AN$2:$BO$1001,MATCH(ROWS($AG$2:AG578),$AG$2:$AG$1001,0),MATCH(COLUMNS($AN$1006:BJ1006),$AN$1006:$BO$1006,0)), HYPERLINK("#",""), HYPERLINK(CONCATENATE("#Metadata!", ADDRESS(INDEX($AI$2:$AI$1001,MATCH(ROWS($AG$2:AG578),$AG$2:$AG$1001,0),0), INDEX($AN$1004:$BO$1004,1,MATCH(COLUMNS($AN$1006:BJ1006),$AN$1006:$BO$1006,0)))),"Fix")))</f>
        <v>0</v>
      </c>
      <c r="Y578" s="4">
        <f>IF(OR(INDEX($AH$2:$AH$1001,MATCH(ROWS($AG$2:AG578),$AG$2:$AG$1001,0),1)&gt;=100000,INDEX($AN$1005:$BO$1005,1,MATCH(COLUMNS($AN$1006:BK1006),$AN$1006:$BO$1006,0))&gt;=100000), " ",IF(INDEX($AN$2:$BO$1001,MATCH(ROWS($AG$2:AG578),$AG$2:$AG$1001,0),MATCH(COLUMNS($AN$1006:BK1006),$AN$1006:$BO$1006,0)), HYPERLINK("#",""), HYPERLINK(CONCATENATE("#Metadata!", ADDRESS(INDEX($AI$2:$AI$1001,MATCH(ROWS($AG$2:AG578),$AG$2:$AG$1001,0),0), INDEX($AN$1004:$BO$1004,1,MATCH(COLUMNS($AN$1006:BK1006),$AN$1006:$BO$1006,0)))),"Fix")))</f>
        <v>0</v>
      </c>
      <c r="Z578" s="4">
        <f>IF(OR(INDEX($AH$2:$AH$1001,MATCH(ROWS($AG$2:AG578),$AG$2:$AG$1001,0),1)&gt;=100000,INDEX($AN$1005:$BO$1005,1,MATCH(COLUMNS($AN$1006:BL1006),$AN$1006:$BO$1006,0))&gt;=100000), " ",IF(INDEX($AN$2:$BO$1001,MATCH(ROWS($AG$2:AG578),$AG$2:$AG$1001,0),MATCH(COLUMNS($AN$1006:BL1006),$AN$1006:$BO$1006,0)), HYPERLINK("#",""), HYPERLINK(CONCATENATE("#Metadata!", ADDRESS(INDEX($AI$2:$AI$1001,MATCH(ROWS($AG$2:AG578),$AG$2:$AG$1001,0),0), INDEX($AN$1004:$BO$1004,1,MATCH(COLUMNS($AN$1006:BL1006),$AN$1006:$BO$1006,0)))),"Fix")))</f>
        <v>0</v>
      </c>
      <c r="AA578" s="4">
        <f>IF(OR(INDEX($AH$2:$AH$1001,MATCH(ROWS($AG$2:AG578),$AG$2:$AG$1001,0),1)&gt;=100000,INDEX($AN$1005:$BO$1005,1,MATCH(COLUMNS($AN$1006:BM1006),$AN$1006:$BO$1006,0))&gt;=100000), " ",IF(INDEX($AN$2:$BO$1001,MATCH(ROWS($AG$2:AG578),$AG$2:$AG$1001,0),MATCH(COLUMNS($AN$1006:BM1006),$AN$1006:$BO$1006,0)), HYPERLINK("#",""), HYPERLINK(CONCATENATE("#Metadata!", ADDRESS(INDEX($AI$2:$AI$1001,MATCH(ROWS($AG$2:AG578),$AG$2:$AG$1001,0),0), INDEX($AN$1004:$BO$1004,1,MATCH(COLUMNS($AN$1006:BM1006),$AN$1006:$BO$1006,0)))),"Fix")))</f>
        <v>0</v>
      </c>
      <c r="AB578" s="4">
        <f>IF(OR(INDEX($AH$2:$AH$1001,MATCH(ROWS($AG$2:AG578),$AG$2:$AG$1001,0),1)&gt;=100000,INDEX($AN$1005:$BO$1005,1,MATCH(COLUMNS($AN$1006:BN1006),$AN$1006:$BO$1006,0))&gt;=100000), " ",IF(INDEX($AN$2:$BO$1001,MATCH(ROWS($AG$2:AG578),$AG$2:$AG$1001,0),MATCH(COLUMNS($AN$1006:BN1006),$AN$1006:$BO$1006,0)), HYPERLINK("#",""), HYPERLINK(CONCATENATE("#Metadata!", ADDRESS(INDEX($AI$2:$AI$1001,MATCH(ROWS($AG$2:AG578),$AG$2:$AG$1001,0),0), INDEX($AN$1004:$BO$1004,1,MATCH(COLUMNS($AN$1006:BN1006),$AN$1006:$BO$1006,0)))),"Fix")))</f>
        <v>0</v>
      </c>
      <c r="AC578" s="4">
        <f>IF(OR(INDEX($AH$2:$AH$1001,MATCH(ROWS($AG$2:AG578),$AG$2:$AG$1001,0),1)&gt;=100000,INDEX($AN$1005:$BO$1005,1,MATCH(COLUMNS($AN$1006:BO1006),$AN$1006:$BO$1006,0))&gt;=100000), " ",IF(INDEX($AN$2:$BO$1001,MATCH(ROWS($AG$2:AG578),$AG$2:$AG$1001,0),MATCH(COLUMNS($AN$1006:BO1006),$AN$1006:$BO$1006,0)), HYPERLINK("#",""), HYPERLINK(CONCATENATE("#Metadata!", ADDRESS(INDEX($AI$2:$AI$1001,MATCH(ROWS($AG$2:AG578),$AG$2:$AG$1001,0),0), INDEX($AN$1004:$BO$1004,1,MATCH(COLUMNS($AN$1006:BO1006),$AN$1006:$BO$1006,0)))),"Fix")))</f>
        <v>0</v>
      </c>
      <c r="AG578">
        <v>0</v>
      </c>
      <c r="AH578">
        <v>0</v>
      </c>
      <c r="AI578">
        <v>0</v>
      </c>
      <c r="AJ578">
        <f>IF(AK578,TRUE,AND(AN578:BO578))</f>
        <v>0</v>
      </c>
      <c r="AK578">
        <f>COUNTBLANK(Metadata!B578:AC578)=COLUMNS(Metadata!B578:AC578)</f>
        <v>0</v>
      </c>
      <c r="AL578">
        <v>0</v>
      </c>
      <c r="AN578">
        <f>AND(IF(Metadata!B578="",FALSE,TRUE),COUNTIF(Metadata!B:B, Metadata!B578) = 1,NOT(ISERROR(SUMPRODUCT(SEARCH(MID(Metadata!B578,ROW(INDIRECT("1:"&amp;LEN(Metadata!B578))), 1),"0123456789abcdefghijklmnopqrstuvwxyzABCDEFGHIJKLMNOPQRSTUVWXYZ.")))))</f>
        <v>0</v>
      </c>
      <c r="AO578">
        <f>IF(Metadata!C578="",FALSE,TRUE)</f>
        <v>0</v>
      </c>
      <c r="AP578">
        <f>IF(Metadata!D578="",FALSE,TRUE)</f>
        <v>0</v>
      </c>
      <c r="AQ578">
        <f>OR(AND(IF(Metadata!E578="",FALSE,TRUE),OR(exact(Metadata!E578,"not collected"),exact(Metadata!E578,"not provided"),exact(Metadata!E578,"restricted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R578">
        <f>IF(Metadata!F578="",FALSE,TRUE)</f>
        <v>0</v>
      </c>
      <c r="AS578">
        <f>OR(AND(IF(Metadata!G578="",FALSE,TRUE),OR(exact(Metadata!G578,"not collected"),exact(Metadata!G578,"not provided"))),AND(IF(Metadata!G578="",FALSE,TRUE),OR(exact(Metadata!G578,"TRUE"),exact(Metadata!G578,"FALSE"))))</f>
        <v>0</v>
      </c>
      <c r="AT578">
        <f>OR(AND(IF(Metadata!H578="",FALSE,TRUE),OR(exact(Metadata!H578,"not collected"),exact(Metadata!H578,"not provided"),exact(Metadata!H578,"restricted access"))),AND(IF(Metadata!H578="",FALSE,ISNUMBER(VALUE(Metadata!H578))),Metadata!H578&gt;=-413.0))</f>
        <v>0</v>
      </c>
      <c r="AU578">
        <f>AND(IF(Metadata!I578="",FALSE,TRUE),exact(Metadata!I578,"meters"))</f>
        <v>0</v>
      </c>
      <c r="AV578">
        <f>AND(IF(Metadata!J578="",FALSE,TRUE),OR(exact(Metadata!J578,"Host-associated"),exact(Metadata!J578,"Free-living")))</f>
        <v>0</v>
      </c>
      <c r="AW578">
        <f>AND(IF(Metadata!K578="",FALSE,TRUE),OR(exact(Metadata!K578,"Animal"),exact(Metadata!K578,"Fungus"),exact(Metadata!K578,"Plant"),exact(Metadata!K578,"Saline"),exact(Metadata!K578,"Non-saline")))</f>
        <v>0</v>
      </c>
      <c r="AX578">
        <f>AND(IF(Metadata!L578="",FALSE,TRUE),OR(exact(Metadata!L578,"Plant secretion"),exact(Metadata!L578,"Plant rhizosphere"),exact(Metadata!L578,"Plant surface"),exact(Metadata!L578,"Plant corpus"),exact(Metadata!L578,"Fungus surface"),exact(Metadata!L578,"Fungus corpus"),exact(Metadata!L578,"Animal surface"),exact(Metadata!L578,"Animal proximal gut"),exact(Metadata!L578,"Animal corpus"),exact(Metadata!L578,"Animal distal gut"),exact(Metadata!L578,"Animal secretion"),exact(Metadata!L578,"Sub-surface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Y578">
        <f>IF(Metadata!M578="",FALSE,TRUE)</f>
        <v>0</v>
      </c>
      <c r="AZ578">
        <f>IF(Metadata!N578="",FALSE,TRUE)</f>
        <v>0</v>
      </c>
      <c r="BA578">
        <f>IF(Metadata!O578="",FALSE,TRUE)</f>
        <v>0</v>
      </c>
      <c r="BB578">
        <f>OR(AND(IF(Metadata!P578="",FALSE,TRUE),OR(exact(Metadata!P578,"not collected"),exact(Metadata!P578,"not provided"),exact(Metadata!P578,"restricted access"))),AND(IF(Metadata!P578="",FALSE,TRUE),OR(exact(Metadata!P578,"air"),exact(Metadata!P578,"built environment"),exact(Metadata!P578,"host-associated"),exact(Metadata!P578,"human-associated"),exact(Metadata!P578,"human-skin"),exact(Metadata!P578,"human-oral"),exact(Metadata!P578,"human-gut"),exact(Metadata!P578,"human-vaginal"),exact(Metadata!P578,"microbial mat/biofilm"),exact(Metadata!P578,"misc environment"),exact(Metadata!P578,"plant-associated"),exact(Metadata!P578,"sediment"),exact(Metadata!P578,"soil"),exact(Metadata!P578,"wastewater/sludge"),exact(Metadata!P578,"water"))))</f>
        <v>0</v>
      </c>
      <c r="BC578">
        <f>IF(Metadata!Q578="",FALSE,TRUE)</f>
        <v>0</v>
      </c>
      <c r="BD578">
        <f>IF(Metadata!R578="",FALSE,TRUE)</f>
        <v>0</v>
      </c>
      <c r="BE578">
        <f>OR(AND(IF(Metadata!S578="",FALSE,TRUE),OR(exact(Metadata!S578,"not collected"),exact(Metadata!S578,"not provided"),exact(Metadata!S578,"restricted access"))),AND(IF(Metadata!S578="",FALSE,ISNUMBER(VALUE(Metadata!S578))),Metadata!S578&gt;=-90.00,Metadata!S578&lt;=90.00))</f>
        <v>0</v>
      </c>
      <c r="BF578">
        <f>AND(IF(Metadata!T578="",FALSE,TRUE),exact(Metadata!T578,"Decimal degrees"))</f>
        <v>0</v>
      </c>
      <c r="BG578">
        <f>OR(AND(IF(Metadata!U578="",FALSE,TRUE),OR(exact(Metadata!U578,"not collected"),exact(Metadata!U578,"not provided"),exact(Metadata!U578,"restricted access"))),AND(IF(Metadata!U578="",FALSE,ISNUMBER(VALUE(Metadata!U578))),Metadata!U578&gt;=-180.00,Metadata!U578&lt;=180.00))</f>
        <v>0</v>
      </c>
      <c r="BH578">
        <f>AND(IF(Metadata!V578="",FALSE,TRUE),exact(Metadata!V578,"Decimal degrees"))</f>
        <v>0</v>
      </c>
      <c r="BI578">
        <f>IF(Metadata!W578="",FALSE,TRUE)</f>
        <v>0</v>
      </c>
      <c r="BJ578">
        <f>OR(AND(IF(Metadata!X578="",FALSE,TRUE),OR(exact(Metadata!X578,"not collected"),exact(Metadata!X578,"not provided"),exact(Metadata!X578,"restricted access"))),AND(IF(Metadata!X578="",FALSE,TRUE),OR(exact(Metadata!X578,"TRUE"),exact(Metadata!X578,"FALSE"))))</f>
        <v>0</v>
      </c>
      <c r="BK578">
        <f>AND(IF(Metadata!Y578="",FALSE,TRUE),exact(Metadata!Y578,"other"))</f>
        <v>0</v>
      </c>
      <c r="BL578">
        <f>IF(Metadata!Z578="",FALSE,TRUE)</f>
        <v>0</v>
      </c>
      <c r="BM578">
        <f>OR(AND(IF(Metadata!AA578="",FALSE,TRUE),OR(exact(Metadata!AA578,"not collected"),exact(Metadata!AA578,"not provided"))),AND(IF(Metadata!AA578="",FALSE,IF(ISERROR(INT(Metadata!AA578)),FALSE,INT(Metadata!AA578)=Metadata!AA578)),Metadata!AA578&gt;0))</f>
        <v>0</v>
      </c>
      <c r="BN578">
        <f>AND(IF(Metadata!AB578="",FALSE,TRUE),exact(Metadata!AB578,"Not applicable"))</f>
        <v>0</v>
      </c>
      <c r="BO578">
        <f>IF(Metadata!AC578="",FALSE,TRUE)</f>
        <v>0</v>
      </c>
    </row>
    <row r="579" spans="1:67">
      <c r="A579" s="5">
        <f>IF(B579=" "," ",HYPERLINK(CONCATENATE("#metadata!",ADDRESS(INDEX($AI$2:$AI$1001,MATCH(ROWS($AG$2:AG579),$AG$2:$AG$1001,0),0),1)),INDEX($AL$2:$AL$1001,MATCH(ROWS($AG$2:AG579),$AG$2:$AG$1001,0),0)))</f>
        <v>0</v>
      </c>
      <c r="B579" s="4">
        <f>IF(OR(INDEX($AH$2:$AH$1001,MATCH(ROWS($AG$2:AG579),$AG$2:$AG$1001,0),1)&gt;=100000,INDEX($AN$1005:$BO$1005,1,MATCH(COLUMNS($AN$1006:AN1006),$AN$1006:$BO$1006,0))&gt;=100000), " ",IF(INDEX($AN$2:$BO$1001,MATCH(ROWS($AG$2:AG579),$AG$2:$AG$1001,0),MATCH(COLUMNS($AN$1006:AN1006),$AN$1006:$BO$1006,0)), HYPERLINK("#",""), HYPERLINK(CONCATENATE("#Metadata!", ADDRESS(INDEX($AI$2:$AI$1001,MATCH(ROWS($AG$2:AG579),$AG$2:$AG$1001,0),0), INDEX($AN$1004:$BO$1004,1,MATCH(COLUMNS($AN$1006:AN1006),$AN$1006:$BO$1006,0)))),"Fix")))</f>
        <v>0</v>
      </c>
      <c r="C579" s="4">
        <f>IF(OR(INDEX($AH$2:$AH$1001,MATCH(ROWS($AG$2:AG579),$AG$2:$AG$1001,0),1)&gt;=100000,INDEX($AN$1005:$BO$1005,1,MATCH(COLUMNS($AN$1006:AO1006),$AN$1006:$BO$1006,0))&gt;=100000), " ",IF(INDEX($AN$2:$BO$1001,MATCH(ROWS($AG$2:AG579),$AG$2:$AG$1001,0),MATCH(COLUMNS($AN$1006:AO1006),$AN$1006:$BO$1006,0)), HYPERLINK("#",""), HYPERLINK(CONCATENATE("#Metadata!", ADDRESS(INDEX($AI$2:$AI$1001,MATCH(ROWS($AG$2:AG579),$AG$2:$AG$1001,0),0), INDEX($AN$1004:$BO$1004,1,MATCH(COLUMNS($AN$1006:AO1006),$AN$1006:$BO$1006,0)))),"Fix")))</f>
        <v>0</v>
      </c>
      <c r="D579" s="4">
        <f>IF(OR(INDEX($AH$2:$AH$1001,MATCH(ROWS($AG$2:AG579),$AG$2:$AG$1001,0),1)&gt;=100000,INDEX($AN$1005:$BO$1005,1,MATCH(COLUMNS($AN$1006:AP1006),$AN$1006:$BO$1006,0))&gt;=100000), " ",IF(INDEX($AN$2:$BO$1001,MATCH(ROWS($AG$2:AG579),$AG$2:$AG$1001,0),MATCH(COLUMNS($AN$1006:AP1006),$AN$1006:$BO$1006,0)), HYPERLINK("#",""), HYPERLINK(CONCATENATE("#Metadata!", ADDRESS(INDEX($AI$2:$AI$1001,MATCH(ROWS($AG$2:AG579),$AG$2:$AG$1001,0),0), INDEX($AN$1004:$BO$1004,1,MATCH(COLUMNS($AN$1006:AP1006),$AN$1006:$BO$1006,0)))),"Fix")))</f>
        <v>0</v>
      </c>
      <c r="E579" s="4">
        <f>IF(OR(INDEX($AH$2:$AH$1001,MATCH(ROWS($AG$2:AG579),$AG$2:$AG$1001,0),1)&gt;=100000,INDEX($AN$1005:$BO$1005,1,MATCH(COLUMNS($AN$1006:AQ1006),$AN$1006:$BO$1006,0))&gt;=100000), " ",IF(INDEX($AN$2:$BO$1001,MATCH(ROWS($AG$2:AG579),$AG$2:$AG$1001,0),MATCH(COLUMNS($AN$1006:AQ1006),$AN$1006:$BO$1006,0)), HYPERLINK("#",""), HYPERLINK(CONCATENATE("#Metadata!", ADDRESS(INDEX($AI$2:$AI$1001,MATCH(ROWS($AG$2:AG579),$AG$2:$AG$1001,0),0), INDEX($AN$1004:$BO$1004,1,MATCH(COLUMNS($AN$1006:AQ1006),$AN$1006:$BO$1006,0)))),"Fix")))</f>
        <v>0</v>
      </c>
      <c r="F579" s="4">
        <f>IF(OR(INDEX($AH$2:$AH$1001,MATCH(ROWS($AG$2:AG579),$AG$2:$AG$1001,0),1)&gt;=100000,INDEX($AN$1005:$BO$1005,1,MATCH(COLUMNS($AN$1006:AR1006),$AN$1006:$BO$1006,0))&gt;=100000), " ",IF(INDEX($AN$2:$BO$1001,MATCH(ROWS($AG$2:AG579),$AG$2:$AG$1001,0),MATCH(COLUMNS($AN$1006:AR1006),$AN$1006:$BO$1006,0)), HYPERLINK("#",""), HYPERLINK(CONCATENATE("#Metadata!", ADDRESS(INDEX($AI$2:$AI$1001,MATCH(ROWS($AG$2:AG579),$AG$2:$AG$1001,0),0), INDEX($AN$1004:$BO$1004,1,MATCH(COLUMNS($AN$1006:AR1006),$AN$1006:$BO$1006,0)))),"Fix")))</f>
        <v>0</v>
      </c>
      <c r="G579" s="4">
        <f>IF(OR(INDEX($AH$2:$AH$1001,MATCH(ROWS($AG$2:AG579),$AG$2:$AG$1001,0),1)&gt;=100000,INDEX($AN$1005:$BO$1005,1,MATCH(COLUMNS($AN$1006:AS1006),$AN$1006:$BO$1006,0))&gt;=100000), " ",IF(INDEX($AN$2:$BO$1001,MATCH(ROWS($AG$2:AG579),$AG$2:$AG$1001,0),MATCH(COLUMNS($AN$1006:AS1006),$AN$1006:$BO$1006,0)), HYPERLINK("#",""), HYPERLINK(CONCATENATE("#Metadata!", ADDRESS(INDEX($AI$2:$AI$1001,MATCH(ROWS($AG$2:AG579),$AG$2:$AG$1001,0),0), INDEX($AN$1004:$BO$1004,1,MATCH(COLUMNS($AN$1006:AS1006),$AN$1006:$BO$1006,0)))),"Fix")))</f>
        <v>0</v>
      </c>
      <c r="H579" s="4">
        <f>IF(OR(INDEX($AH$2:$AH$1001,MATCH(ROWS($AG$2:AG579),$AG$2:$AG$1001,0),1)&gt;=100000,INDEX($AN$1005:$BO$1005,1,MATCH(COLUMNS($AN$1006:AT1006),$AN$1006:$BO$1006,0))&gt;=100000), " ",IF(INDEX($AN$2:$BO$1001,MATCH(ROWS($AG$2:AG579),$AG$2:$AG$1001,0),MATCH(COLUMNS($AN$1006:AT1006),$AN$1006:$BO$1006,0)), HYPERLINK("#",""), HYPERLINK(CONCATENATE("#Metadata!", ADDRESS(INDEX($AI$2:$AI$1001,MATCH(ROWS($AG$2:AG579),$AG$2:$AG$1001,0),0), INDEX($AN$1004:$BO$1004,1,MATCH(COLUMNS($AN$1006:AT1006),$AN$1006:$BO$1006,0)))),"Fix")))</f>
        <v>0</v>
      </c>
      <c r="I579" s="4">
        <f>IF(OR(INDEX($AH$2:$AH$1001,MATCH(ROWS($AG$2:AG579),$AG$2:$AG$1001,0),1)&gt;=100000,INDEX($AN$1005:$BO$1005,1,MATCH(COLUMNS($AN$1006:AU1006),$AN$1006:$BO$1006,0))&gt;=100000), " ",IF(INDEX($AN$2:$BO$1001,MATCH(ROWS($AG$2:AG579),$AG$2:$AG$1001,0),MATCH(COLUMNS($AN$1006:AU1006),$AN$1006:$BO$1006,0)), HYPERLINK("#",""), HYPERLINK(CONCATENATE("#Metadata!", ADDRESS(INDEX($AI$2:$AI$1001,MATCH(ROWS($AG$2:AG579),$AG$2:$AG$1001,0),0), INDEX($AN$1004:$BO$1004,1,MATCH(COLUMNS($AN$1006:AU1006),$AN$1006:$BO$1006,0)))),"Fix")))</f>
        <v>0</v>
      </c>
      <c r="J579" s="4">
        <f>IF(OR(INDEX($AH$2:$AH$1001,MATCH(ROWS($AG$2:AG579),$AG$2:$AG$1001,0),1)&gt;=100000,INDEX($AN$1005:$BO$1005,1,MATCH(COLUMNS($AN$1006:AV1006),$AN$1006:$BO$1006,0))&gt;=100000), " ",IF(INDEX($AN$2:$BO$1001,MATCH(ROWS($AG$2:AG579),$AG$2:$AG$1001,0),MATCH(COLUMNS($AN$1006:AV1006),$AN$1006:$BO$1006,0)), HYPERLINK("#",""), HYPERLINK(CONCATENATE("#Metadata!", ADDRESS(INDEX($AI$2:$AI$1001,MATCH(ROWS($AG$2:AG579),$AG$2:$AG$1001,0),0), INDEX($AN$1004:$BO$1004,1,MATCH(COLUMNS($AN$1006:AV1006),$AN$1006:$BO$1006,0)))),"Fix")))</f>
        <v>0</v>
      </c>
      <c r="K579" s="4">
        <f>IF(OR(INDEX($AH$2:$AH$1001,MATCH(ROWS($AG$2:AG579),$AG$2:$AG$1001,0),1)&gt;=100000,INDEX($AN$1005:$BO$1005,1,MATCH(COLUMNS($AN$1006:AW1006),$AN$1006:$BO$1006,0))&gt;=100000), " ",IF(INDEX($AN$2:$BO$1001,MATCH(ROWS($AG$2:AG579),$AG$2:$AG$1001,0),MATCH(COLUMNS($AN$1006:AW1006),$AN$1006:$BO$1006,0)), HYPERLINK("#",""), HYPERLINK(CONCATENATE("#Metadata!", ADDRESS(INDEX($AI$2:$AI$1001,MATCH(ROWS($AG$2:AG579),$AG$2:$AG$1001,0),0), INDEX($AN$1004:$BO$1004,1,MATCH(COLUMNS($AN$1006:AW1006),$AN$1006:$BO$1006,0)))),"Fix")))</f>
        <v>0</v>
      </c>
      <c r="L579" s="4">
        <f>IF(OR(INDEX($AH$2:$AH$1001,MATCH(ROWS($AG$2:AG579),$AG$2:$AG$1001,0),1)&gt;=100000,INDEX($AN$1005:$BO$1005,1,MATCH(COLUMNS($AN$1006:AX1006),$AN$1006:$BO$1006,0))&gt;=100000), " ",IF(INDEX($AN$2:$BO$1001,MATCH(ROWS($AG$2:AG579),$AG$2:$AG$1001,0),MATCH(COLUMNS($AN$1006:AX1006),$AN$1006:$BO$1006,0)), HYPERLINK("#",""), HYPERLINK(CONCATENATE("#Metadata!", ADDRESS(INDEX($AI$2:$AI$1001,MATCH(ROWS($AG$2:AG579),$AG$2:$AG$1001,0),0), INDEX($AN$1004:$BO$1004,1,MATCH(COLUMNS($AN$1006:AX1006),$AN$1006:$BO$1006,0)))),"Fix")))</f>
        <v>0</v>
      </c>
      <c r="M579" s="4">
        <f>IF(OR(INDEX($AH$2:$AH$1001,MATCH(ROWS($AG$2:AG579),$AG$2:$AG$1001,0),1)&gt;=100000,INDEX($AN$1005:$BO$1005,1,MATCH(COLUMNS($AN$1006:AY1006),$AN$1006:$BO$1006,0))&gt;=100000), " ",IF(INDEX($AN$2:$BO$1001,MATCH(ROWS($AG$2:AG579),$AG$2:$AG$1001,0),MATCH(COLUMNS($AN$1006:AY1006),$AN$1006:$BO$1006,0)), HYPERLINK("#",""), HYPERLINK(CONCATENATE("#Metadata!", ADDRESS(INDEX($AI$2:$AI$1001,MATCH(ROWS($AG$2:AG579),$AG$2:$AG$1001,0),0), INDEX($AN$1004:$BO$1004,1,MATCH(COLUMNS($AN$1006:AY1006),$AN$1006:$BO$1006,0)))),"Fix")))</f>
        <v>0</v>
      </c>
      <c r="N579" s="4">
        <f>IF(OR(INDEX($AH$2:$AH$1001,MATCH(ROWS($AG$2:AG579),$AG$2:$AG$1001,0),1)&gt;=100000,INDEX($AN$1005:$BO$1005,1,MATCH(COLUMNS($AN$1006:AZ1006),$AN$1006:$BO$1006,0))&gt;=100000), " ",IF(INDEX($AN$2:$BO$1001,MATCH(ROWS($AG$2:AG579),$AG$2:$AG$1001,0),MATCH(COLUMNS($AN$1006:AZ1006),$AN$1006:$BO$1006,0)), HYPERLINK("#",""), HYPERLINK(CONCATENATE("#Metadata!", ADDRESS(INDEX($AI$2:$AI$1001,MATCH(ROWS($AG$2:AG579),$AG$2:$AG$1001,0),0), INDEX($AN$1004:$BO$1004,1,MATCH(COLUMNS($AN$1006:AZ1006),$AN$1006:$BO$1006,0)))),"Fix")))</f>
        <v>0</v>
      </c>
      <c r="O579" s="4">
        <f>IF(OR(INDEX($AH$2:$AH$1001,MATCH(ROWS($AG$2:AG579),$AG$2:$AG$1001,0),1)&gt;=100000,INDEX($AN$1005:$BO$1005,1,MATCH(COLUMNS($AN$1006:BA1006),$AN$1006:$BO$1006,0))&gt;=100000), " ",IF(INDEX($AN$2:$BO$1001,MATCH(ROWS($AG$2:AG579),$AG$2:$AG$1001,0),MATCH(COLUMNS($AN$1006:BA1006),$AN$1006:$BO$1006,0)), HYPERLINK("#",""), HYPERLINK(CONCATENATE("#Metadata!", ADDRESS(INDEX($AI$2:$AI$1001,MATCH(ROWS($AG$2:AG579),$AG$2:$AG$1001,0),0), INDEX($AN$1004:$BO$1004,1,MATCH(COLUMNS($AN$1006:BA1006),$AN$1006:$BO$1006,0)))),"Fix")))</f>
        <v>0</v>
      </c>
      <c r="P579" s="4">
        <f>IF(OR(INDEX($AH$2:$AH$1001,MATCH(ROWS($AG$2:AG579),$AG$2:$AG$1001,0),1)&gt;=100000,INDEX($AN$1005:$BO$1005,1,MATCH(COLUMNS($AN$1006:BB1006),$AN$1006:$BO$1006,0))&gt;=100000), " ",IF(INDEX($AN$2:$BO$1001,MATCH(ROWS($AG$2:AG579),$AG$2:$AG$1001,0),MATCH(COLUMNS($AN$1006:BB1006),$AN$1006:$BO$1006,0)), HYPERLINK("#",""), HYPERLINK(CONCATENATE("#Metadata!", ADDRESS(INDEX($AI$2:$AI$1001,MATCH(ROWS($AG$2:AG579),$AG$2:$AG$1001,0),0), INDEX($AN$1004:$BO$1004,1,MATCH(COLUMNS($AN$1006:BB1006),$AN$1006:$BO$1006,0)))),"Fix")))</f>
        <v>0</v>
      </c>
      <c r="Q579" s="4">
        <f>IF(OR(INDEX($AH$2:$AH$1001,MATCH(ROWS($AG$2:AG579),$AG$2:$AG$1001,0),1)&gt;=100000,INDEX($AN$1005:$BO$1005,1,MATCH(COLUMNS($AN$1006:BC1006),$AN$1006:$BO$1006,0))&gt;=100000), " ",IF(INDEX($AN$2:$BO$1001,MATCH(ROWS($AG$2:AG579),$AG$2:$AG$1001,0),MATCH(COLUMNS($AN$1006:BC1006),$AN$1006:$BO$1006,0)), HYPERLINK("#",""), HYPERLINK(CONCATENATE("#Metadata!", ADDRESS(INDEX($AI$2:$AI$1001,MATCH(ROWS($AG$2:AG579),$AG$2:$AG$1001,0),0), INDEX($AN$1004:$BO$1004,1,MATCH(COLUMNS($AN$1006:BC1006),$AN$1006:$BO$1006,0)))),"Fix")))</f>
        <v>0</v>
      </c>
      <c r="R579" s="4">
        <f>IF(OR(INDEX($AH$2:$AH$1001,MATCH(ROWS($AG$2:AG579),$AG$2:$AG$1001,0),1)&gt;=100000,INDEX($AN$1005:$BO$1005,1,MATCH(COLUMNS($AN$1006:BD1006),$AN$1006:$BO$1006,0))&gt;=100000), " ",IF(INDEX($AN$2:$BO$1001,MATCH(ROWS($AG$2:AG579),$AG$2:$AG$1001,0),MATCH(COLUMNS($AN$1006:BD1006),$AN$1006:$BO$1006,0)), HYPERLINK("#",""), HYPERLINK(CONCATENATE("#Metadata!", ADDRESS(INDEX($AI$2:$AI$1001,MATCH(ROWS($AG$2:AG579),$AG$2:$AG$1001,0),0), INDEX($AN$1004:$BO$1004,1,MATCH(COLUMNS($AN$1006:BD1006),$AN$1006:$BO$1006,0)))),"Fix")))</f>
        <v>0</v>
      </c>
      <c r="S579" s="4">
        <f>IF(OR(INDEX($AH$2:$AH$1001,MATCH(ROWS($AG$2:AG579),$AG$2:$AG$1001,0),1)&gt;=100000,INDEX($AN$1005:$BO$1005,1,MATCH(COLUMNS($AN$1006:BE1006),$AN$1006:$BO$1006,0))&gt;=100000), " ",IF(INDEX($AN$2:$BO$1001,MATCH(ROWS($AG$2:AG579),$AG$2:$AG$1001,0),MATCH(COLUMNS($AN$1006:BE1006),$AN$1006:$BO$1006,0)), HYPERLINK("#",""), HYPERLINK(CONCATENATE("#Metadata!", ADDRESS(INDEX($AI$2:$AI$1001,MATCH(ROWS($AG$2:AG579),$AG$2:$AG$1001,0),0), INDEX($AN$1004:$BO$1004,1,MATCH(COLUMNS($AN$1006:BE1006),$AN$1006:$BO$1006,0)))),"Fix")))</f>
        <v>0</v>
      </c>
      <c r="T579" s="4">
        <f>IF(OR(INDEX($AH$2:$AH$1001,MATCH(ROWS($AG$2:AG579),$AG$2:$AG$1001,0),1)&gt;=100000,INDEX($AN$1005:$BO$1005,1,MATCH(COLUMNS($AN$1006:BF1006),$AN$1006:$BO$1006,0))&gt;=100000), " ",IF(INDEX($AN$2:$BO$1001,MATCH(ROWS($AG$2:AG579),$AG$2:$AG$1001,0),MATCH(COLUMNS($AN$1006:BF1006),$AN$1006:$BO$1006,0)), HYPERLINK("#",""), HYPERLINK(CONCATENATE("#Metadata!", ADDRESS(INDEX($AI$2:$AI$1001,MATCH(ROWS($AG$2:AG579),$AG$2:$AG$1001,0),0), INDEX($AN$1004:$BO$1004,1,MATCH(COLUMNS($AN$1006:BF1006),$AN$1006:$BO$1006,0)))),"Fix")))</f>
        <v>0</v>
      </c>
      <c r="U579" s="4">
        <f>IF(OR(INDEX($AH$2:$AH$1001,MATCH(ROWS($AG$2:AG579),$AG$2:$AG$1001,0),1)&gt;=100000,INDEX($AN$1005:$BO$1005,1,MATCH(COLUMNS($AN$1006:BG1006),$AN$1006:$BO$1006,0))&gt;=100000), " ",IF(INDEX($AN$2:$BO$1001,MATCH(ROWS($AG$2:AG579),$AG$2:$AG$1001,0),MATCH(COLUMNS($AN$1006:BG1006),$AN$1006:$BO$1006,0)), HYPERLINK("#",""), HYPERLINK(CONCATENATE("#Metadata!", ADDRESS(INDEX($AI$2:$AI$1001,MATCH(ROWS($AG$2:AG579),$AG$2:$AG$1001,0),0), INDEX($AN$1004:$BO$1004,1,MATCH(COLUMNS($AN$1006:BG1006),$AN$1006:$BO$1006,0)))),"Fix")))</f>
        <v>0</v>
      </c>
      <c r="V579" s="4">
        <f>IF(OR(INDEX($AH$2:$AH$1001,MATCH(ROWS($AG$2:AG579),$AG$2:$AG$1001,0),1)&gt;=100000,INDEX($AN$1005:$BO$1005,1,MATCH(COLUMNS($AN$1006:BH1006),$AN$1006:$BO$1006,0))&gt;=100000), " ",IF(INDEX($AN$2:$BO$1001,MATCH(ROWS($AG$2:AG579),$AG$2:$AG$1001,0),MATCH(COLUMNS($AN$1006:BH1006),$AN$1006:$BO$1006,0)), HYPERLINK("#",""), HYPERLINK(CONCATENATE("#Metadata!", ADDRESS(INDEX($AI$2:$AI$1001,MATCH(ROWS($AG$2:AG579),$AG$2:$AG$1001,0),0), INDEX($AN$1004:$BO$1004,1,MATCH(COLUMNS($AN$1006:BH1006),$AN$1006:$BO$1006,0)))),"Fix")))</f>
        <v>0</v>
      </c>
      <c r="W579" s="4">
        <f>IF(OR(INDEX($AH$2:$AH$1001,MATCH(ROWS($AG$2:AG579),$AG$2:$AG$1001,0),1)&gt;=100000,INDEX($AN$1005:$BO$1005,1,MATCH(COLUMNS($AN$1006:BI1006),$AN$1006:$BO$1006,0))&gt;=100000), " ",IF(INDEX($AN$2:$BO$1001,MATCH(ROWS($AG$2:AG579),$AG$2:$AG$1001,0),MATCH(COLUMNS($AN$1006:BI1006),$AN$1006:$BO$1006,0)), HYPERLINK("#",""), HYPERLINK(CONCATENATE("#Metadata!", ADDRESS(INDEX($AI$2:$AI$1001,MATCH(ROWS($AG$2:AG579),$AG$2:$AG$1001,0),0), INDEX($AN$1004:$BO$1004,1,MATCH(COLUMNS($AN$1006:BI1006),$AN$1006:$BO$1006,0)))),"Fix")))</f>
        <v>0</v>
      </c>
      <c r="X579" s="4">
        <f>IF(OR(INDEX($AH$2:$AH$1001,MATCH(ROWS($AG$2:AG579),$AG$2:$AG$1001,0),1)&gt;=100000,INDEX($AN$1005:$BO$1005,1,MATCH(COLUMNS($AN$1006:BJ1006),$AN$1006:$BO$1006,0))&gt;=100000), " ",IF(INDEX($AN$2:$BO$1001,MATCH(ROWS($AG$2:AG579),$AG$2:$AG$1001,0),MATCH(COLUMNS($AN$1006:BJ1006),$AN$1006:$BO$1006,0)), HYPERLINK("#",""), HYPERLINK(CONCATENATE("#Metadata!", ADDRESS(INDEX($AI$2:$AI$1001,MATCH(ROWS($AG$2:AG579),$AG$2:$AG$1001,0),0), INDEX($AN$1004:$BO$1004,1,MATCH(COLUMNS($AN$1006:BJ1006),$AN$1006:$BO$1006,0)))),"Fix")))</f>
        <v>0</v>
      </c>
      <c r="Y579" s="4">
        <f>IF(OR(INDEX($AH$2:$AH$1001,MATCH(ROWS($AG$2:AG579),$AG$2:$AG$1001,0),1)&gt;=100000,INDEX($AN$1005:$BO$1005,1,MATCH(COLUMNS($AN$1006:BK1006),$AN$1006:$BO$1006,0))&gt;=100000), " ",IF(INDEX($AN$2:$BO$1001,MATCH(ROWS($AG$2:AG579),$AG$2:$AG$1001,0),MATCH(COLUMNS($AN$1006:BK1006),$AN$1006:$BO$1006,0)), HYPERLINK("#",""), HYPERLINK(CONCATENATE("#Metadata!", ADDRESS(INDEX($AI$2:$AI$1001,MATCH(ROWS($AG$2:AG579),$AG$2:$AG$1001,0),0), INDEX($AN$1004:$BO$1004,1,MATCH(COLUMNS($AN$1006:BK1006),$AN$1006:$BO$1006,0)))),"Fix")))</f>
        <v>0</v>
      </c>
      <c r="Z579" s="4">
        <f>IF(OR(INDEX($AH$2:$AH$1001,MATCH(ROWS($AG$2:AG579),$AG$2:$AG$1001,0),1)&gt;=100000,INDEX($AN$1005:$BO$1005,1,MATCH(COLUMNS($AN$1006:BL1006),$AN$1006:$BO$1006,0))&gt;=100000), " ",IF(INDEX($AN$2:$BO$1001,MATCH(ROWS($AG$2:AG579),$AG$2:$AG$1001,0),MATCH(COLUMNS($AN$1006:BL1006),$AN$1006:$BO$1006,0)), HYPERLINK("#",""), HYPERLINK(CONCATENATE("#Metadata!", ADDRESS(INDEX($AI$2:$AI$1001,MATCH(ROWS($AG$2:AG579),$AG$2:$AG$1001,0),0), INDEX($AN$1004:$BO$1004,1,MATCH(COLUMNS($AN$1006:BL1006),$AN$1006:$BO$1006,0)))),"Fix")))</f>
        <v>0</v>
      </c>
      <c r="AA579" s="4">
        <f>IF(OR(INDEX($AH$2:$AH$1001,MATCH(ROWS($AG$2:AG579),$AG$2:$AG$1001,0),1)&gt;=100000,INDEX($AN$1005:$BO$1005,1,MATCH(COLUMNS($AN$1006:BM1006),$AN$1006:$BO$1006,0))&gt;=100000), " ",IF(INDEX($AN$2:$BO$1001,MATCH(ROWS($AG$2:AG579),$AG$2:$AG$1001,0),MATCH(COLUMNS($AN$1006:BM1006),$AN$1006:$BO$1006,0)), HYPERLINK("#",""), HYPERLINK(CONCATENATE("#Metadata!", ADDRESS(INDEX($AI$2:$AI$1001,MATCH(ROWS($AG$2:AG579),$AG$2:$AG$1001,0),0), INDEX($AN$1004:$BO$1004,1,MATCH(COLUMNS($AN$1006:BM1006),$AN$1006:$BO$1006,0)))),"Fix")))</f>
        <v>0</v>
      </c>
      <c r="AB579" s="4">
        <f>IF(OR(INDEX($AH$2:$AH$1001,MATCH(ROWS($AG$2:AG579),$AG$2:$AG$1001,0),1)&gt;=100000,INDEX($AN$1005:$BO$1005,1,MATCH(COLUMNS($AN$1006:BN1006),$AN$1006:$BO$1006,0))&gt;=100000), " ",IF(INDEX($AN$2:$BO$1001,MATCH(ROWS($AG$2:AG579),$AG$2:$AG$1001,0),MATCH(COLUMNS($AN$1006:BN1006),$AN$1006:$BO$1006,0)), HYPERLINK("#",""), HYPERLINK(CONCATENATE("#Metadata!", ADDRESS(INDEX($AI$2:$AI$1001,MATCH(ROWS($AG$2:AG579),$AG$2:$AG$1001,0),0), INDEX($AN$1004:$BO$1004,1,MATCH(COLUMNS($AN$1006:BN1006),$AN$1006:$BO$1006,0)))),"Fix")))</f>
        <v>0</v>
      </c>
      <c r="AC579" s="4">
        <f>IF(OR(INDEX($AH$2:$AH$1001,MATCH(ROWS($AG$2:AG579),$AG$2:$AG$1001,0),1)&gt;=100000,INDEX($AN$1005:$BO$1005,1,MATCH(COLUMNS($AN$1006:BO1006),$AN$1006:$BO$1006,0))&gt;=100000), " ",IF(INDEX($AN$2:$BO$1001,MATCH(ROWS($AG$2:AG579),$AG$2:$AG$1001,0),MATCH(COLUMNS($AN$1006:BO1006),$AN$1006:$BO$1006,0)), HYPERLINK("#",""), HYPERLINK(CONCATENATE("#Metadata!", ADDRESS(INDEX($AI$2:$AI$1001,MATCH(ROWS($AG$2:AG579),$AG$2:$AG$1001,0),0), INDEX($AN$1004:$BO$1004,1,MATCH(COLUMNS($AN$1006:BO1006),$AN$1006:$BO$1006,0)))),"Fix")))</f>
        <v>0</v>
      </c>
      <c r="AG579">
        <v>0</v>
      </c>
      <c r="AH579">
        <v>0</v>
      </c>
      <c r="AI579">
        <v>0</v>
      </c>
      <c r="AJ579">
        <f>IF(AK579,TRUE,AND(AN579:BO579))</f>
        <v>0</v>
      </c>
      <c r="AK579">
        <f>COUNTBLANK(Metadata!B579:AC579)=COLUMNS(Metadata!B579:AC579)</f>
        <v>0</v>
      </c>
      <c r="AL579">
        <v>0</v>
      </c>
      <c r="AN579">
        <f>AND(IF(Metadata!B579="",FALSE,TRUE),COUNTIF(Metadata!B:B, Metadata!B579) = 1,NOT(ISERROR(SUMPRODUCT(SEARCH(MID(Metadata!B579,ROW(INDIRECT("1:"&amp;LEN(Metadata!B579))), 1),"0123456789abcdefghijklmnopqrstuvwxyzABCDEFGHIJKLMNOPQRSTUVWXYZ.")))))</f>
        <v>0</v>
      </c>
      <c r="AO579">
        <f>IF(Metadata!C579="",FALSE,TRUE)</f>
        <v>0</v>
      </c>
      <c r="AP579">
        <f>IF(Metadata!D579="",FALSE,TRUE)</f>
        <v>0</v>
      </c>
      <c r="AQ579">
        <f>OR(AND(IF(Metadata!E579="",FALSE,TRUE),OR(exact(Metadata!E579,"not collected"),exact(Metadata!E579,"not provided"),exact(Metadata!E579,"restricted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R579">
        <f>IF(Metadata!F579="",FALSE,TRUE)</f>
        <v>0</v>
      </c>
      <c r="AS579">
        <f>OR(AND(IF(Metadata!G579="",FALSE,TRUE),OR(exact(Metadata!G579,"not collected"),exact(Metadata!G579,"not provided"))),AND(IF(Metadata!G579="",FALSE,TRUE),OR(exact(Metadata!G579,"TRUE"),exact(Metadata!G579,"FALSE"))))</f>
        <v>0</v>
      </c>
      <c r="AT579">
        <f>OR(AND(IF(Metadata!H579="",FALSE,TRUE),OR(exact(Metadata!H579,"not collected"),exact(Metadata!H579,"not provided"),exact(Metadata!H579,"restricted access"))),AND(IF(Metadata!H579="",FALSE,ISNUMBER(VALUE(Metadata!H579))),Metadata!H579&gt;=-413.0))</f>
        <v>0</v>
      </c>
      <c r="AU579">
        <f>AND(IF(Metadata!I579="",FALSE,TRUE),exact(Metadata!I579,"meters"))</f>
        <v>0</v>
      </c>
      <c r="AV579">
        <f>AND(IF(Metadata!J579="",FALSE,TRUE),OR(exact(Metadata!J579,"Host-associated"),exact(Metadata!J579,"Free-living")))</f>
        <v>0</v>
      </c>
      <c r="AW579">
        <f>AND(IF(Metadata!K579="",FALSE,TRUE),OR(exact(Metadata!K579,"Animal"),exact(Metadata!K579,"Fungus"),exact(Metadata!K579,"Plant"),exact(Metadata!K579,"Saline"),exact(Metadata!K579,"Non-saline")))</f>
        <v>0</v>
      </c>
      <c r="AX579">
        <f>AND(IF(Metadata!L579="",FALSE,TRUE),OR(exact(Metadata!L579,"Plant secretion"),exact(Metadata!L579,"Plant rhizosphere"),exact(Metadata!L579,"Plant surface"),exact(Metadata!L579,"Plant corpus"),exact(Metadata!L579,"Fungus surface"),exact(Metadata!L579,"Fungus corpus"),exact(Metadata!L579,"Animal surface"),exact(Metadata!L579,"Animal proximal gut"),exact(Metadata!L579,"Animal corpus"),exact(Metadata!L579,"Animal distal gut"),exact(Metadata!L579,"Animal secretion"),exact(Metadata!L579,"Sub-surface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Y579">
        <f>IF(Metadata!M579="",FALSE,TRUE)</f>
        <v>0</v>
      </c>
      <c r="AZ579">
        <f>IF(Metadata!N579="",FALSE,TRUE)</f>
        <v>0</v>
      </c>
      <c r="BA579">
        <f>IF(Metadata!O579="",FALSE,TRUE)</f>
        <v>0</v>
      </c>
      <c r="BB579">
        <f>OR(AND(IF(Metadata!P579="",FALSE,TRUE),OR(exact(Metadata!P579,"not collected"),exact(Metadata!P579,"not provided"),exact(Metadata!P579,"restricted access"))),AND(IF(Metadata!P579="",FALSE,TRUE),OR(exact(Metadata!P579,"air"),exact(Metadata!P579,"built environment"),exact(Metadata!P579,"host-associated"),exact(Metadata!P579,"human-associated"),exact(Metadata!P579,"human-skin"),exact(Metadata!P579,"human-oral"),exact(Metadata!P579,"human-gut"),exact(Metadata!P579,"human-vaginal"),exact(Metadata!P579,"microbial mat/biofilm"),exact(Metadata!P579,"misc environment"),exact(Metadata!P579,"plant-associated"),exact(Metadata!P579,"sediment"),exact(Metadata!P579,"soil"),exact(Metadata!P579,"wastewater/sludge"),exact(Metadata!P579,"water"))))</f>
        <v>0</v>
      </c>
      <c r="BC579">
        <f>IF(Metadata!Q579="",FALSE,TRUE)</f>
        <v>0</v>
      </c>
      <c r="BD579">
        <f>IF(Metadata!R579="",FALSE,TRUE)</f>
        <v>0</v>
      </c>
      <c r="BE579">
        <f>OR(AND(IF(Metadata!S579="",FALSE,TRUE),OR(exact(Metadata!S579,"not collected"),exact(Metadata!S579,"not provided"),exact(Metadata!S579,"restricted access"))),AND(IF(Metadata!S579="",FALSE,ISNUMBER(VALUE(Metadata!S579))),Metadata!S579&gt;=-90.00,Metadata!S579&lt;=90.00))</f>
        <v>0</v>
      </c>
      <c r="BF579">
        <f>AND(IF(Metadata!T579="",FALSE,TRUE),exact(Metadata!T579,"Decimal degrees"))</f>
        <v>0</v>
      </c>
      <c r="BG579">
        <f>OR(AND(IF(Metadata!U579="",FALSE,TRUE),OR(exact(Metadata!U579,"not collected"),exact(Metadata!U579,"not provided"),exact(Metadata!U579,"restricted access"))),AND(IF(Metadata!U579="",FALSE,ISNUMBER(VALUE(Metadata!U579))),Metadata!U579&gt;=-180.00,Metadata!U579&lt;=180.00))</f>
        <v>0</v>
      </c>
      <c r="BH579">
        <f>AND(IF(Metadata!V579="",FALSE,TRUE),exact(Metadata!V579,"Decimal degrees"))</f>
        <v>0</v>
      </c>
      <c r="BI579">
        <f>IF(Metadata!W579="",FALSE,TRUE)</f>
        <v>0</v>
      </c>
      <c r="BJ579">
        <f>OR(AND(IF(Metadata!X579="",FALSE,TRUE),OR(exact(Metadata!X579,"not collected"),exact(Metadata!X579,"not provided"),exact(Metadata!X579,"restricted access"))),AND(IF(Metadata!X579="",FALSE,TRUE),OR(exact(Metadata!X579,"TRUE"),exact(Metadata!X579,"FALSE"))))</f>
        <v>0</v>
      </c>
      <c r="BK579">
        <f>AND(IF(Metadata!Y579="",FALSE,TRUE),exact(Metadata!Y579,"other"))</f>
        <v>0</v>
      </c>
      <c r="BL579">
        <f>IF(Metadata!Z579="",FALSE,TRUE)</f>
        <v>0</v>
      </c>
      <c r="BM579">
        <f>OR(AND(IF(Metadata!AA579="",FALSE,TRUE),OR(exact(Metadata!AA579,"not collected"),exact(Metadata!AA579,"not provided"))),AND(IF(Metadata!AA579="",FALSE,IF(ISERROR(INT(Metadata!AA579)),FALSE,INT(Metadata!AA579)=Metadata!AA579)),Metadata!AA579&gt;0))</f>
        <v>0</v>
      </c>
      <c r="BN579">
        <f>AND(IF(Metadata!AB579="",FALSE,TRUE),exact(Metadata!AB579,"Not applicable"))</f>
        <v>0</v>
      </c>
      <c r="BO579">
        <f>IF(Metadata!AC579="",FALSE,TRUE)</f>
        <v>0</v>
      </c>
    </row>
    <row r="580" spans="1:67">
      <c r="A580" s="5">
        <f>IF(B580=" "," ",HYPERLINK(CONCATENATE("#metadata!",ADDRESS(INDEX($AI$2:$AI$1001,MATCH(ROWS($AG$2:AG580),$AG$2:$AG$1001,0),0),1)),INDEX($AL$2:$AL$1001,MATCH(ROWS($AG$2:AG580),$AG$2:$AG$1001,0),0)))</f>
        <v>0</v>
      </c>
      <c r="B580" s="4">
        <f>IF(OR(INDEX($AH$2:$AH$1001,MATCH(ROWS($AG$2:AG580),$AG$2:$AG$1001,0),1)&gt;=100000,INDEX($AN$1005:$BO$1005,1,MATCH(COLUMNS($AN$1006:AN1006),$AN$1006:$BO$1006,0))&gt;=100000), " ",IF(INDEX($AN$2:$BO$1001,MATCH(ROWS($AG$2:AG580),$AG$2:$AG$1001,0),MATCH(COLUMNS($AN$1006:AN1006),$AN$1006:$BO$1006,0)), HYPERLINK("#",""), HYPERLINK(CONCATENATE("#Metadata!", ADDRESS(INDEX($AI$2:$AI$1001,MATCH(ROWS($AG$2:AG580),$AG$2:$AG$1001,0),0), INDEX($AN$1004:$BO$1004,1,MATCH(COLUMNS($AN$1006:AN1006),$AN$1006:$BO$1006,0)))),"Fix")))</f>
        <v>0</v>
      </c>
      <c r="C580" s="4">
        <f>IF(OR(INDEX($AH$2:$AH$1001,MATCH(ROWS($AG$2:AG580),$AG$2:$AG$1001,0),1)&gt;=100000,INDEX($AN$1005:$BO$1005,1,MATCH(COLUMNS($AN$1006:AO1006),$AN$1006:$BO$1006,0))&gt;=100000), " ",IF(INDEX($AN$2:$BO$1001,MATCH(ROWS($AG$2:AG580),$AG$2:$AG$1001,0),MATCH(COLUMNS($AN$1006:AO1006),$AN$1006:$BO$1006,0)), HYPERLINK("#",""), HYPERLINK(CONCATENATE("#Metadata!", ADDRESS(INDEX($AI$2:$AI$1001,MATCH(ROWS($AG$2:AG580),$AG$2:$AG$1001,0),0), INDEX($AN$1004:$BO$1004,1,MATCH(COLUMNS($AN$1006:AO1006),$AN$1006:$BO$1006,0)))),"Fix")))</f>
        <v>0</v>
      </c>
      <c r="D580" s="4">
        <f>IF(OR(INDEX($AH$2:$AH$1001,MATCH(ROWS($AG$2:AG580),$AG$2:$AG$1001,0),1)&gt;=100000,INDEX($AN$1005:$BO$1005,1,MATCH(COLUMNS($AN$1006:AP1006),$AN$1006:$BO$1006,0))&gt;=100000), " ",IF(INDEX($AN$2:$BO$1001,MATCH(ROWS($AG$2:AG580),$AG$2:$AG$1001,0),MATCH(COLUMNS($AN$1006:AP1006),$AN$1006:$BO$1006,0)), HYPERLINK("#",""), HYPERLINK(CONCATENATE("#Metadata!", ADDRESS(INDEX($AI$2:$AI$1001,MATCH(ROWS($AG$2:AG580),$AG$2:$AG$1001,0),0), INDEX($AN$1004:$BO$1004,1,MATCH(COLUMNS($AN$1006:AP1006),$AN$1006:$BO$1006,0)))),"Fix")))</f>
        <v>0</v>
      </c>
      <c r="E580" s="4">
        <f>IF(OR(INDEX($AH$2:$AH$1001,MATCH(ROWS($AG$2:AG580),$AG$2:$AG$1001,0),1)&gt;=100000,INDEX($AN$1005:$BO$1005,1,MATCH(COLUMNS($AN$1006:AQ1006),$AN$1006:$BO$1006,0))&gt;=100000), " ",IF(INDEX($AN$2:$BO$1001,MATCH(ROWS($AG$2:AG580),$AG$2:$AG$1001,0),MATCH(COLUMNS($AN$1006:AQ1006),$AN$1006:$BO$1006,0)), HYPERLINK("#",""), HYPERLINK(CONCATENATE("#Metadata!", ADDRESS(INDEX($AI$2:$AI$1001,MATCH(ROWS($AG$2:AG580),$AG$2:$AG$1001,0),0), INDEX($AN$1004:$BO$1004,1,MATCH(COLUMNS($AN$1006:AQ1006),$AN$1006:$BO$1006,0)))),"Fix")))</f>
        <v>0</v>
      </c>
      <c r="F580" s="4">
        <f>IF(OR(INDEX($AH$2:$AH$1001,MATCH(ROWS($AG$2:AG580),$AG$2:$AG$1001,0),1)&gt;=100000,INDEX($AN$1005:$BO$1005,1,MATCH(COLUMNS($AN$1006:AR1006),$AN$1006:$BO$1006,0))&gt;=100000), " ",IF(INDEX($AN$2:$BO$1001,MATCH(ROWS($AG$2:AG580),$AG$2:$AG$1001,0),MATCH(COLUMNS($AN$1006:AR1006),$AN$1006:$BO$1006,0)), HYPERLINK("#",""), HYPERLINK(CONCATENATE("#Metadata!", ADDRESS(INDEX($AI$2:$AI$1001,MATCH(ROWS($AG$2:AG580),$AG$2:$AG$1001,0),0), INDEX($AN$1004:$BO$1004,1,MATCH(COLUMNS($AN$1006:AR1006),$AN$1006:$BO$1006,0)))),"Fix")))</f>
        <v>0</v>
      </c>
      <c r="G580" s="4">
        <f>IF(OR(INDEX($AH$2:$AH$1001,MATCH(ROWS($AG$2:AG580),$AG$2:$AG$1001,0),1)&gt;=100000,INDEX($AN$1005:$BO$1005,1,MATCH(COLUMNS($AN$1006:AS1006),$AN$1006:$BO$1006,0))&gt;=100000), " ",IF(INDEX($AN$2:$BO$1001,MATCH(ROWS($AG$2:AG580),$AG$2:$AG$1001,0),MATCH(COLUMNS($AN$1006:AS1006),$AN$1006:$BO$1006,0)), HYPERLINK("#",""), HYPERLINK(CONCATENATE("#Metadata!", ADDRESS(INDEX($AI$2:$AI$1001,MATCH(ROWS($AG$2:AG580),$AG$2:$AG$1001,0),0), INDEX($AN$1004:$BO$1004,1,MATCH(COLUMNS($AN$1006:AS1006),$AN$1006:$BO$1006,0)))),"Fix")))</f>
        <v>0</v>
      </c>
      <c r="H580" s="4">
        <f>IF(OR(INDEX($AH$2:$AH$1001,MATCH(ROWS($AG$2:AG580),$AG$2:$AG$1001,0),1)&gt;=100000,INDEX($AN$1005:$BO$1005,1,MATCH(COLUMNS($AN$1006:AT1006),$AN$1006:$BO$1006,0))&gt;=100000), " ",IF(INDEX($AN$2:$BO$1001,MATCH(ROWS($AG$2:AG580),$AG$2:$AG$1001,0),MATCH(COLUMNS($AN$1006:AT1006),$AN$1006:$BO$1006,0)), HYPERLINK("#",""), HYPERLINK(CONCATENATE("#Metadata!", ADDRESS(INDEX($AI$2:$AI$1001,MATCH(ROWS($AG$2:AG580),$AG$2:$AG$1001,0),0), INDEX($AN$1004:$BO$1004,1,MATCH(COLUMNS($AN$1006:AT1006),$AN$1006:$BO$1006,0)))),"Fix")))</f>
        <v>0</v>
      </c>
      <c r="I580" s="4">
        <f>IF(OR(INDEX($AH$2:$AH$1001,MATCH(ROWS($AG$2:AG580),$AG$2:$AG$1001,0),1)&gt;=100000,INDEX($AN$1005:$BO$1005,1,MATCH(COLUMNS($AN$1006:AU1006),$AN$1006:$BO$1006,0))&gt;=100000), " ",IF(INDEX($AN$2:$BO$1001,MATCH(ROWS($AG$2:AG580),$AG$2:$AG$1001,0),MATCH(COLUMNS($AN$1006:AU1006),$AN$1006:$BO$1006,0)), HYPERLINK("#",""), HYPERLINK(CONCATENATE("#Metadata!", ADDRESS(INDEX($AI$2:$AI$1001,MATCH(ROWS($AG$2:AG580),$AG$2:$AG$1001,0),0), INDEX($AN$1004:$BO$1004,1,MATCH(COLUMNS($AN$1006:AU1006),$AN$1006:$BO$1006,0)))),"Fix")))</f>
        <v>0</v>
      </c>
      <c r="J580" s="4">
        <f>IF(OR(INDEX($AH$2:$AH$1001,MATCH(ROWS($AG$2:AG580),$AG$2:$AG$1001,0),1)&gt;=100000,INDEX($AN$1005:$BO$1005,1,MATCH(COLUMNS($AN$1006:AV1006),$AN$1006:$BO$1006,0))&gt;=100000), " ",IF(INDEX($AN$2:$BO$1001,MATCH(ROWS($AG$2:AG580),$AG$2:$AG$1001,0),MATCH(COLUMNS($AN$1006:AV1006),$AN$1006:$BO$1006,0)), HYPERLINK("#",""), HYPERLINK(CONCATENATE("#Metadata!", ADDRESS(INDEX($AI$2:$AI$1001,MATCH(ROWS($AG$2:AG580),$AG$2:$AG$1001,0),0), INDEX($AN$1004:$BO$1004,1,MATCH(COLUMNS($AN$1006:AV1006),$AN$1006:$BO$1006,0)))),"Fix")))</f>
        <v>0</v>
      </c>
      <c r="K580" s="4">
        <f>IF(OR(INDEX($AH$2:$AH$1001,MATCH(ROWS($AG$2:AG580),$AG$2:$AG$1001,0),1)&gt;=100000,INDEX($AN$1005:$BO$1005,1,MATCH(COLUMNS($AN$1006:AW1006),$AN$1006:$BO$1006,0))&gt;=100000), " ",IF(INDEX($AN$2:$BO$1001,MATCH(ROWS($AG$2:AG580),$AG$2:$AG$1001,0),MATCH(COLUMNS($AN$1006:AW1006),$AN$1006:$BO$1006,0)), HYPERLINK("#",""), HYPERLINK(CONCATENATE("#Metadata!", ADDRESS(INDEX($AI$2:$AI$1001,MATCH(ROWS($AG$2:AG580),$AG$2:$AG$1001,0),0), INDEX($AN$1004:$BO$1004,1,MATCH(COLUMNS($AN$1006:AW1006),$AN$1006:$BO$1006,0)))),"Fix")))</f>
        <v>0</v>
      </c>
      <c r="L580" s="4">
        <f>IF(OR(INDEX($AH$2:$AH$1001,MATCH(ROWS($AG$2:AG580),$AG$2:$AG$1001,0),1)&gt;=100000,INDEX($AN$1005:$BO$1005,1,MATCH(COLUMNS($AN$1006:AX1006),$AN$1006:$BO$1006,0))&gt;=100000), " ",IF(INDEX($AN$2:$BO$1001,MATCH(ROWS($AG$2:AG580),$AG$2:$AG$1001,0),MATCH(COLUMNS($AN$1006:AX1006),$AN$1006:$BO$1006,0)), HYPERLINK("#",""), HYPERLINK(CONCATENATE("#Metadata!", ADDRESS(INDEX($AI$2:$AI$1001,MATCH(ROWS($AG$2:AG580),$AG$2:$AG$1001,0),0), INDEX($AN$1004:$BO$1004,1,MATCH(COLUMNS($AN$1006:AX1006),$AN$1006:$BO$1006,0)))),"Fix")))</f>
        <v>0</v>
      </c>
      <c r="M580" s="4">
        <f>IF(OR(INDEX($AH$2:$AH$1001,MATCH(ROWS($AG$2:AG580),$AG$2:$AG$1001,0),1)&gt;=100000,INDEX($AN$1005:$BO$1005,1,MATCH(COLUMNS($AN$1006:AY1006),$AN$1006:$BO$1006,0))&gt;=100000), " ",IF(INDEX($AN$2:$BO$1001,MATCH(ROWS($AG$2:AG580),$AG$2:$AG$1001,0),MATCH(COLUMNS($AN$1006:AY1006),$AN$1006:$BO$1006,0)), HYPERLINK("#",""), HYPERLINK(CONCATENATE("#Metadata!", ADDRESS(INDEX($AI$2:$AI$1001,MATCH(ROWS($AG$2:AG580),$AG$2:$AG$1001,0),0), INDEX($AN$1004:$BO$1004,1,MATCH(COLUMNS($AN$1006:AY1006),$AN$1006:$BO$1006,0)))),"Fix")))</f>
        <v>0</v>
      </c>
      <c r="N580" s="4">
        <f>IF(OR(INDEX($AH$2:$AH$1001,MATCH(ROWS($AG$2:AG580),$AG$2:$AG$1001,0),1)&gt;=100000,INDEX($AN$1005:$BO$1005,1,MATCH(COLUMNS($AN$1006:AZ1006),$AN$1006:$BO$1006,0))&gt;=100000), " ",IF(INDEX($AN$2:$BO$1001,MATCH(ROWS($AG$2:AG580),$AG$2:$AG$1001,0),MATCH(COLUMNS($AN$1006:AZ1006),$AN$1006:$BO$1006,0)), HYPERLINK("#",""), HYPERLINK(CONCATENATE("#Metadata!", ADDRESS(INDEX($AI$2:$AI$1001,MATCH(ROWS($AG$2:AG580),$AG$2:$AG$1001,0),0), INDEX($AN$1004:$BO$1004,1,MATCH(COLUMNS($AN$1006:AZ1006),$AN$1006:$BO$1006,0)))),"Fix")))</f>
        <v>0</v>
      </c>
      <c r="O580" s="4">
        <f>IF(OR(INDEX($AH$2:$AH$1001,MATCH(ROWS($AG$2:AG580),$AG$2:$AG$1001,0),1)&gt;=100000,INDEX($AN$1005:$BO$1005,1,MATCH(COLUMNS($AN$1006:BA1006),$AN$1006:$BO$1006,0))&gt;=100000), " ",IF(INDEX($AN$2:$BO$1001,MATCH(ROWS($AG$2:AG580),$AG$2:$AG$1001,0),MATCH(COLUMNS($AN$1006:BA1006),$AN$1006:$BO$1006,0)), HYPERLINK("#",""), HYPERLINK(CONCATENATE("#Metadata!", ADDRESS(INDEX($AI$2:$AI$1001,MATCH(ROWS($AG$2:AG580),$AG$2:$AG$1001,0),0), INDEX($AN$1004:$BO$1004,1,MATCH(COLUMNS($AN$1006:BA1006),$AN$1006:$BO$1006,0)))),"Fix")))</f>
        <v>0</v>
      </c>
      <c r="P580" s="4">
        <f>IF(OR(INDEX($AH$2:$AH$1001,MATCH(ROWS($AG$2:AG580),$AG$2:$AG$1001,0),1)&gt;=100000,INDEX($AN$1005:$BO$1005,1,MATCH(COLUMNS($AN$1006:BB1006),$AN$1006:$BO$1006,0))&gt;=100000), " ",IF(INDEX($AN$2:$BO$1001,MATCH(ROWS($AG$2:AG580),$AG$2:$AG$1001,0),MATCH(COLUMNS($AN$1006:BB1006),$AN$1006:$BO$1006,0)), HYPERLINK("#",""), HYPERLINK(CONCATENATE("#Metadata!", ADDRESS(INDEX($AI$2:$AI$1001,MATCH(ROWS($AG$2:AG580),$AG$2:$AG$1001,0),0), INDEX($AN$1004:$BO$1004,1,MATCH(COLUMNS($AN$1006:BB1006),$AN$1006:$BO$1006,0)))),"Fix")))</f>
        <v>0</v>
      </c>
      <c r="Q580" s="4">
        <f>IF(OR(INDEX($AH$2:$AH$1001,MATCH(ROWS($AG$2:AG580),$AG$2:$AG$1001,0),1)&gt;=100000,INDEX($AN$1005:$BO$1005,1,MATCH(COLUMNS($AN$1006:BC1006),$AN$1006:$BO$1006,0))&gt;=100000), " ",IF(INDEX($AN$2:$BO$1001,MATCH(ROWS($AG$2:AG580),$AG$2:$AG$1001,0),MATCH(COLUMNS($AN$1006:BC1006),$AN$1006:$BO$1006,0)), HYPERLINK("#",""), HYPERLINK(CONCATENATE("#Metadata!", ADDRESS(INDEX($AI$2:$AI$1001,MATCH(ROWS($AG$2:AG580),$AG$2:$AG$1001,0),0), INDEX($AN$1004:$BO$1004,1,MATCH(COLUMNS($AN$1006:BC1006),$AN$1006:$BO$1006,0)))),"Fix")))</f>
        <v>0</v>
      </c>
      <c r="R580" s="4">
        <f>IF(OR(INDEX($AH$2:$AH$1001,MATCH(ROWS($AG$2:AG580),$AG$2:$AG$1001,0),1)&gt;=100000,INDEX($AN$1005:$BO$1005,1,MATCH(COLUMNS($AN$1006:BD1006),$AN$1006:$BO$1006,0))&gt;=100000), " ",IF(INDEX($AN$2:$BO$1001,MATCH(ROWS($AG$2:AG580),$AG$2:$AG$1001,0),MATCH(COLUMNS($AN$1006:BD1006),$AN$1006:$BO$1006,0)), HYPERLINK("#",""), HYPERLINK(CONCATENATE("#Metadata!", ADDRESS(INDEX($AI$2:$AI$1001,MATCH(ROWS($AG$2:AG580),$AG$2:$AG$1001,0),0), INDEX($AN$1004:$BO$1004,1,MATCH(COLUMNS($AN$1006:BD1006),$AN$1006:$BO$1006,0)))),"Fix")))</f>
        <v>0</v>
      </c>
      <c r="S580" s="4">
        <f>IF(OR(INDEX($AH$2:$AH$1001,MATCH(ROWS($AG$2:AG580),$AG$2:$AG$1001,0),1)&gt;=100000,INDEX($AN$1005:$BO$1005,1,MATCH(COLUMNS($AN$1006:BE1006),$AN$1006:$BO$1006,0))&gt;=100000), " ",IF(INDEX($AN$2:$BO$1001,MATCH(ROWS($AG$2:AG580),$AG$2:$AG$1001,0),MATCH(COLUMNS($AN$1006:BE1006),$AN$1006:$BO$1006,0)), HYPERLINK("#",""), HYPERLINK(CONCATENATE("#Metadata!", ADDRESS(INDEX($AI$2:$AI$1001,MATCH(ROWS($AG$2:AG580),$AG$2:$AG$1001,0),0), INDEX($AN$1004:$BO$1004,1,MATCH(COLUMNS($AN$1006:BE1006),$AN$1006:$BO$1006,0)))),"Fix")))</f>
        <v>0</v>
      </c>
      <c r="T580" s="4">
        <f>IF(OR(INDEX($AH$2:$AH$1001,MATCH(ROWS($AG$2:AG580),$AG$2:$AG$1001,0),1)&gt;=100000,INDEX($AN$1005:$BO$1005,1,MATCH(COLUMNS($AN$1006:BF1006),$AN$1006:$BO$1006,0))&gt;=100000), " ",IF(INDEX($AN$2:$BO$1001,MATCH(ROWS($AG$2:AG580),$AG$2:$AG$1001,0),MATCH(COLUMNS($AN$1006:BF1006),$AN$1006:$BO$1006,0)), HYPERLINK("#",""), HYPERLINK(CONCATENATE("#Metadata!", ADDRESS(INDEX($AI$2:$AI$1001,MATCH(ROWS($AG$2:AG580),$AG$2:$AG$1001,0),0), INDEX($AN$1004:$BO$1004,1,MATCH(COLUMNS($AN$1006:BF1006),$AN$1006:$BO$1006,0)))),"Fix")))</f>
        <v>0</v>
      </c>
      <c r="U580" s="4">
        <f>IF(OR(INDEX($AH$2:$AH$1001,MATCH(ROWS($AG$2:AG580),$AG$2:$AG$1001,0),1)&gt;=100000,INDEX($AN$1005:$BO$1005,1,MATCH(COLUMNS($AN$1006:BG1006),$AN$1006:$BO$1006,0))&gt;=100000), " ",IF(INDEX($AN$2:$BO$1001,MATCH(ROWS($AG$2:AG580),$AG$2:$AG$1001,0),MATCH(COLUMNS($AN$1006:BG1006),$AN$1006:$BO$1006,0)), HYPERLINK("#",""), HYPERLINK(CONCATENATE("#Metadata!", ADDRESS(INDEX($AI$2:$AI$1001,MATCH(ROWS($AG$2:AG580),$AG$2:$AG$1001,0),0), INDEX($AN$1004:$BO$1004,1,MATCH(COLUMNS($AN$1006:BG1006),$AN$1006:$BO$1006,0)))),"Fix")))</f>
        <v>0</v>
      </c>
      <c r="V580" s="4">
        <f>IF(OR(INDEX($AH$2:$AH$1001,MATCH(ROWS($AG$2:AG580),$AG$2:$AG$1001,0),1)&gt;=100000,INDEX($AN$1005:$BO$1005,1,MATCH(COLUMNS($AN$1006:BH1006),$AN$1006:$BO$1006,0))&gt;=100000), " ",IF(INDEX($AN$2:$BO$1001,MATCH(ROWS($AG$2:AG580),$AG$2:$AG$1001,0),MATCH(COLUMNS($AN$1006:BH1006),$AN$1006:$BO$1006,0)), HYPERLINK("#",""), HYPERLINK(CONCATENATE("#Metadata!", ADDRESS(INDEX($AI$2:$AI$1001,MATCH(ROWS($AG$2:AG580),$AG$2:$AG$1001,0),0), INDEX($AN$1004:$BO$1004,1,MATCH(COLUMNS($AN$1006:BH1006),$AN$1006:$BO$1006,0)))),"Fix")))</f>
        <v>0</v>
      </c>
      <c r="W580" s="4">
        <f>IF(OR(INDEX($AH$2:$AH$1001,MATCH(ROWS($AG$2:AG580),$AG$2:$AG$1001,0),1)&gt;=100000,INDEX($AN$1005:$BO$1005,1,MATCH(COLUMNS($AN$1006:BI1006),$AN$1006:$BO$1006,0))&gt;=100000), " ",IF(INDEX($AN$2:$BO$1001,MATCH(ROWS($AG$2:AG580),$AG$2:$AG$1001,0),MATCH(COLUMNS($AN$1006:BI1006),$AN$1006:$BO$1006,0)), HYPERLINK("#",""), HYPERLINK(CONCATENATE("#Metadata!", ADDRESS(INDEX($AI$2:$AI$1001,MATCH(ROWS($AG$2:AG580),$AG$2:$AG$1001,0),0), INDEX($AN$1004:$BO$1004,1,MATCH(COLUMNS($AN$1006:BI1006),$AN$1006:$BO$1006,0)))),"Fix")))</f>
        <v>0</v>
      </c>
      <c r="X580" s="4">
        <f>IF(OR(INDEX($AH$2:$AH$1001,MATCH(ROWS($AG$2:AG580),$AG$2:$AG$1001,0),1)&gt;=100000,INDEX($AN$1005:$BO$1005,1,MATCH(COLUMNS($AN$1006:BJ1006),$AN$1006:$BO$1006,0))&gt;=100000), " ",IF(INDEX($AN$2:$BO$1001,MATCH(ROWS($AG$2:AG580),$AG$2:$AG$1001,0),MATCH(COLUMNS($AN$1006:BJ1006),$AN$1006:$BO$1006,0)), HYPERLINK("#",""), HYPERLINK(CONCATENATE("#Metadata!", ADDRESS(INDEX($AI$2:$AI$1001,MATCH(ROWS($AG$2:AG580),$AG$2:$AG$1001,0),0), INDEX($AN$1004:$BO$1004,1,MATCH(COLUMNS($AN$1006:BJ1006),$AN$1006:$BO$1006,0)))),"Fix")))</f>
        <v>0</v>
      </c>
      <c r="Y580" s="4">
        <f>IF(OR(INDEX($AH$2:$AH$1001,MATCH(ROWS($AG$2:AG580),$AG$2:$AG$1001,0),1)&gt;=100000,INDEX($AN$1005:$BO$1005,1,MATCH(COLUMNS($AN$1006:BK1006),$AN$1006:$BO$1006,0))&gt;=100000), " ",IF(INDEX($AN$2:$BO$1001,MATCH(ROWS($AG$2:AG580),$AG$2:$AG$1001,0),MATCH(COLUMNS($AN$1006:BK1006),$AN$1006:$BO$1006,0)), HYPERLINK("#",""), HYPERLINK(CONCATENATE("#Metadata!", ADDRESS(INDEX($AI$2:$AI$1001,MATCH(ROWS($AG$2:AG580),$AG$2:$AG$1001,0),0), INDEX($AN$1004:$BO$1004,1,MATCH(COLUMNS($AN$1006:BK1006),$AN$1006:$BO$1006,0)))),"Fix")))</f>
        <v>0</v>
      </c>
      <c r="Z580" s="4">
        <f>IF(OR(INDEX($AH$2:$AH$1001,MATCH(ROWS($AG$2:AG580),$AG$2:$AG$1001,0),1)&gt;=100000,INDEX($AN$1005:$BO$1005,1,MATCH(COLUMNS($AN$1006:BL1006),$AN$1006:$BO$1006,0))&gt;=100000), " ",IF(INDEX($AN$2:$BO$1001,MATCH(ROWS($AG$2:AG580),$AG$2:$AG$1001,0),MATCH(COLUMNS($AN$1006:BL1006),$AN$1006:$BO$1006,0)), HYPERLINK("#",""), HYPERLINK(CONCATENATE("#Metadata!", ADDRESS(INDEX($AI$2:$AI$1001,MATCH(ROWS($AG$2:AG580),$AG$2:$AG$1001,0),0), INDEX($AN$1004:$BO$1004,1,MATCH(COLUMNS($AN$1006:BL1006),$AN$1006:$BO$1006,0)))),"Fix")))</f>
        <v>0</v>
      </c>
      <c r="AA580" s="4">
        <f>IF(OR(INDEX($AH$2:$AH$1001,MATCH(ROWS($AG$2:AG580),$AG$2:$AG$1001,0),1)&gt;=100000,INDEX($AN$1005:$BO$1005,1,MATCH(COLUMNS($AN$1006:BM1006),$AN$1006:$BO$1006,0))&gt;=100000), " ",IF(INDEX($AN$2:$BO$1001,MATCH(ROWS($AG$2:AG580),$AG$2:$AG$1001,0),MATCH(COLUMNS($AN$1006:BM1006),$AN$1006:$BO$1006,0)), HYPERLINK("#",""), HYPERLINK(CONCATENATE("#Metadata!", ADDRESS(INDEX($AI$2:$AI$1001,MATCH(ROWS($AG$2:AG580),$AG$2:$AG$1001,0),0), INDEX($AN$1004:$BO$1004,1,MATCH(COLUMNS($AN$1006:BM1006),$AN$1006:$BO$1006,0)))),"Fix")))</f>
        <v>0</v>
      </c>
      <c r="AB580" s="4">
        <f>IF(OR(INDEX($AH$2:$AH$1001,MATCH(ROWS($AG$2:AG580),$AG$2:$AG$1001,0),1)&gt;=100000,INDEX($AN$1005:$BO$1005,1,MATCH(COLUMNS($AN$1006:BN1006),$AN$1006:$BO$1006,0))&gt;=100000), " ",IF(INDEX($AN$2:$BO$1001,MATCH(ROWS($AG$2:AG580),$AG$2:$AG$1001,0),MATCH(COLUMNS($AN$1006:BN1006),$AN$1006:$BO$1006,0)), HYPERLINK("#",""), HYPERLINK(CONCATENATE("#Metadata!", ADDRESS(INDEX($AI$2:$AI$1001,MATCH(ROWS($AG$2:AG580),$AG$2:$AG$1001,0),0), INDEX($AN$1004:$BO$1004,1,MATCH(COLUMNS($AN$1006:BN1006),$AN$1006:$BO$1006,0)))),"Fix")))</f>
        <v>0</v>
      </c>
      <c r="AC580" s="4">
        <f>IF(OR(INDEX($AH$2:$AH$1001,MATCH(ROWS($AG$2:AG580),$AG$2:$AG$1001,0),1)&gt;=100000,INDEX($AN$1005:$BO$1005,1,MATCH(COLUMNS($AN$1006:BO1006),$AN$1006:$BO$1006,0))&gt;=100000), " ",IF(INDEX($AN$2:$BO$1001,MATCH(ROWS($AG$2:AG580),$AG$2:$AG$1001,0),MATCH(COLUMNS($AN$1006:BO1006),$AN$1006:$BO$1006,0)), HYPERLINK("#",""), HYPERLINK(CONCATENATE("#Metadata!", ADDRESS(INDEX($AI$2:$AI$1001,MATCH(ROWS($AG$2:AG580),$AG$2:$AG$1001,0),0), INDEX($AN$1004:$BO$1004,1,MATCH(COLUMNS($AN$1006:BO1006),$AN$1006:$BO$1006,0)))),"Fix")))</f>
        <v>0</v>
      </c>
      <c r="AG580">
        <v>0</v>
      </c>
      <c r="AH580">
        <v>0</v>
      </c>
      <c r="AI580">
        <v>0</v>
      </c>
      <c r="AJ580">
        <f>IF(AK580,TRUE,AND(AN580:BO580))</f>
        <v>0</v>
      </c>
      <c r="AK580">
        <f>COUNTBLANK(Metadata!B580:AC580)=COLUMNS(Metadata!B580:AC580)</f>
        <v>0</v>
      </c>
      <c r="AL580">
        <v>0</v>
      </c>
      <c r="AN580">
        <f>AND(IF(Metadata!B580="",FALSE,TRUE),COUNTIF(Metadata!B:B, Metadata!B580) = 1,NOT(ISERROR(SUMPRODUCT(SEARCH(MID(Metadata!B580,ROW(INDIRECT("1:"&amp;LEN(Metadata!B580))), 1),"0123456789abcdefghijklmnopqrstuvwxyzABCDEFGHIJKLMNOPQRSTUVWXYZ.")))))</f>
        <v>0</v>
      </c>
      <c r="AO580">
        <f>IF(Metadata!C580="",FALSE,TRUE)</f>
        <v>0</v>
      </c>
      <c r="AP580">
        <f>IF(Metadata!D580="",FALSE,TRUE)</f>
        <v>0</v>
      </c>
      <c r="AQ580">
        <f>OR(AND(IF(Metadata!E580="",FALSE,TRUE),OR(exact(Metadata!E580,"not collected"),exact(Metadata!E580,"not provided"),exact(Metadata!E580,"restricted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R580">
        <f>IF(Metadata!F580="",FALSE,TRUE)</f>
        <v>0</v>
      </c>
      <c r="AS580">
        <f>OR(AND(IF(Metadata!G580="",FALSE,TRUE),OR(exact(Metadata!G580,"not collected"),exact(Metadata!G580,"not provided"))),AND(IF(Metadata!G580="",FALSE,TRUE),OR(exact(Metadata!G580,"TRUE"),exact(Metadata!G580,"FALSE"))))</f>
        <v>0</v>
      </c>
      <c r="AT580">
        <f>OR(AND(IF(Metadata!H580="",FALSE,TRUE),OR(exact(Metadata!H580,"not collected"),exact(Metadata!H580,"not provided"),exact(Metadata!H580,"restricted access"))),AND(IF(Metadata!H580="",FALSE,ISNUMBER(VALUE(Metadata!H580))),Metadata!H580&gt;=-413.0))</f>
        <v>0</v>
      </c>
      <c r="AU580">
        <f>AND(IF(Metadata!I580="",FALSE,TRUE),exact(Metadata!I580,"meters"))</f>
        <v>0</v>
      </c>
      <c r="AV580">
        <f>AND(IF(Metadata!J580="",FALSE,TRUE),OR(exact(Metadata!J580,"Host-associated"),exact(Metadata!J580,"Free-living")))</f>
        <v>0</v>
      </c>
      <c r="AW580">
        <f>AND(IF(Metadata!K580="",FALSE,TRUE),OR(exact(Metadata!K580,"Animal"),exact(Metadata!K580,"Fungus"),exact(Metadata!K580,"Plant"),exact(Metadata!K580,"Saline"),exact(Metadata!K580,"Non-saline")))</f>
        <v>0</v>
      </c>
      <c r="AX580">
        <f>AND(IF(Metadata!L580="",FALSE,TRUE),OR(exact(Metadata!L580,"Plant secretion"),exact(Metadata!L580,"Plant rhizosphere"),exact(Metadata!L580,"Plant surface"),exact(Metadata!L580,"Plant corpus"),exact(Metadata!L580,"Fungus surface"),exact(Metadata!L580,"Fungus corpus"),exact(Metadata!L580,"Animal surface"),exact(Metadata!L580,"Animal proximal gut"),exact(Metadata!L580,"Animal corpus"),exact(Metadata!L580,"Animal distal gut"),exact(Metadata!L580,"Animal secretion"),exact(Metadata!L580,"Sub-surface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Y580">
        <f>IF(Metadata!M580="",FALSE,TRUE)</f>
        <v>0</v>
      </c>
      <c r="AZ580">
        <f>IF(Metadata!N580="",FALSE,TRUE)</f>
        <v>0</v>
      </c>
      <c r="BA580">
        <f>IF(Metadata!O580="",FALSE,TRUE)</f>
        <v>0</v>
      </c>
      <c r="BB580">
        <f>OR(AND(IF(Metadata!P580="",FALSE,TRUE),OR(exact(Metadata!P580,"not collected"),exact(Metadata!P580,"not provided"),exact(Metadata!P580,"restricted access"))),AND(IF(Metadata!P580="",FALSE,TRUE),OR(exact(Metadata!P580,"air"),exact(Metadata!P580,"built environment"),exact(Metadata!P580,"host-associated"),exact(Metadata!P580,"human-associated"),exact(Metadata!P580,"human-skin"),exact(Metadata!P580,"human-oral"),exact(Metadata!P580,"human-gut"),exact(Metadata!P580,"human-vaginal"),exact(Metadata!P580,"microbial mat/biofilm"),exact(Metadata!P580,"misc environment"),exact(Metadata!P580,"plant-associated"),exact(Metadata!P580,"sediment"),exact(Metadata!P580,"soil"),exact(Metadata!P580,"wastewater/sludge"),exact(Metadata!P580,"water"))))</f>
        <v>0</v>
      </c>
      <c r="BC580">
        <f>IF(Metadata!Q580="",FALSE,TRUE)</f>
        <v>0</v>
      </c>
      <c r="BD580">
        <f>IF(Metadata!R580="",FALSE,TRUE)</f>
        <v>0</v>
      </c>
      <c r="BE580">
        <f>OR(AND(IF(Metadata!S580="",FALSE,TRUE),OR(exact(Metadata!S580,"not collected"),exact(Metadata!S580,"not provided"),exact(Metadata!S580,"restricted access"))),AND(IF(Metadata!S580="",FALSE,ISNUMBER(VALUE(Metadata!S580))),Metadata!S580&gt;=-90.00,Metadata!S580&lt;=90.00))</f>
        <v>0</v>
      </c>
      <c r="BF580">
        <f>AND(IF(Metadata!T580="",FALSE,TRUE),exact(Metadata!T580,"Decimal degrees"))</f>
        <v>0</v>
      </c>
      <c r="BG580">
        <f>OR(AND(IF(Metadata!U580="",FALSE,TRUE),OR(exact(Metadata!U580,"not collected"),exact(Metadata!U580,"not provided"),exact(Metadata!U580,"restricted access"))),AND(IF(Metadata!U580="",FALSE,ISNUMBER(VALUE(Metadata!U580))),Metadata!U580&gt;=-180.00,Metadata!U580&lt;=180.00))</f>
        <v>0</v>
      </c>
      <c r="BH580">
        <f>AND(IF(Metadata!V580="",FALSE,TRUE),exact(Metadata!V580,"Decimal degrees"))</f>
        <v>0</v>
      </c>
      <c r="BI580">
        <f>IF(Metadata!W580="",FALSE,TRUE)</f>
        <v>0</v>
      </c>
      <c r="BJ580">
        <f>OR(AND(IF(Metadata!X580="",FALSE,TRUE),OR(exact(Metadata!X580,"not collected"),exact(Metadata!X580,"not provided"),exact(Metadata!X580,"restricted access"))),AND(IF(Metadata!X580="",FALSE,TRUE),OR(exact(Metadata!X580,"TRUE"),exact(Metadata!X580,"FALSE"))))</f>
        <v>0</v>
      </c>
      <c r="BK580">
        <f>AND(IF(Metadata!Y580="",FALSE,TRUE),exact(Metadata!Y580,"other"))</f>
        <v>0</v>
      </c>
      <c r="BL580">
        <f>IF(Metadata!Z580="",FALSE,TRUE)</f>
        <v>0</v>
      </c>
      <c r="BM580">
        <f>OR(AND(IF(Metadata!AA580="",FALSE,TRUE),OR(exact(Metadata!AA580,"not collected"),exact(Metadata!AA580,"not provided"))),AND(IF(Metadata!AA580="",FALSE,IF(ISERROR(INT(Metadata!AA580)),FALSE,INT(Metadata!AA580)=Metadata!AA580)),Metadata!AA580&gt;0))</f>
        <v>0</v>
      </c>
      <c r="BN580">
        <f>AND(IF(Metadata!AB580="",FALSE,TRUE),exact(Metadata!AB580,"Not applicable"))</f>
        <v>0</v>
      </c>
      <c r="BO580">
        <f>IF(Metadata!AC580="",FALSE,TRUE)</f>
        <v>0</v>
      </c>
    </row>
    <row r="581" spans="1:67">
      <c r="A581" s="5">
        <f>IF(B581=" "," ",HYPERLINK(CONCATENATE("#metadata!",ADDRESS(INDEX($AI$2:$AI$1001,MATCH(ROWS($AG$2:AG581),$AG$2:$AG$1001,0),0),1)),INDEX($AL$2:$AL$1001,MATCH(ROWS($AG$2:AG581),$AG$2:$AG$1001,0),0)))</f>
        <v>0</v>
      </c>
      <c r="B581" s="4">
        <f>IF(OR(INDEX($AH$2:$AH$1001,MATCH(ROWS($AG$2:AG581),$AG$2:$AG$1001,0),1)&gt;=100000,INDEX($AN$1005:$BO$1005,1,MATCH(COLUMNS($AN$1006:AN1006),$AN$1006:$BO$1006,0))&gt;=100000), " ",IF(INDEX($AN$2:$BO$1001,MATCH(ROWS($AG$2:AG581),$AG$2:$AG$1001,0),MATCH(COLUMNS($AN$1006:AN1006),$AN$1006:$BO$1006,0)), HYPERLINK("#",""), HYPERLINK(CONCATENATE("#Metadata!", ADDRESS(INDEX($AI$2:$AI$1001,MATCH(ROWS($AG$2:AG581),$AG$2:$AG$1001,0),0), INDEX($AN$1004:$BO$1004,1,MATCH(COLUMNS($AN$1006:AN1006),$AN$1006:$BO$1006,0)))),"Fix")))</f>
        <v>0</v>
      </c>
      <c r="C581" s="4">
        <f>IF(OR(INDEX($AH$2:$AH$1001,MATCH(ROWS($AG$2:AG581),$AG$2:$AG$1001,0),1)&gt;=100000,INDEX($AN$1005:$BO$1005,1,MATCH(COLUMNS($AN$1006:AO1006),$AN$1006:$BO$1006,0))&gt;=100000), " ",IF(INDEX($AN$2:$BO$1001,MATCH(ROWS($AG$2:AG581),$AG$2:$AG$1001,0),MATCH(COLUMNS($AN$1006:AO1006),$AN$1006:$BO$1006,0)), HYPERLINK("#",""), HYPERLINK(CONCATENATE("#Metadata!", ADDRESS(INDEX($AI$2:$AI$1001,MATCH(ROWS($AG$2:AG581),$AG$2:$AG$1001,0),0), INDEX($AN$1004:$BO$1004,1,MATCH(COLUMNS($AN$1006:AO1006),$AN$1006:$BO$1006,0)))),"Fix")))</f>
        <v>0</v>
      </c>
      <c r="D581" s="4">
        <f>IF(OR(INDEX($AH$2:$AH$1001,MATCH(ROWS($AG$2:AG581),$AG$2:$AG$1001,0),1)&gt;=100000,INDEX($AN$1005:$BO$1005,1,MATCH(COLUMNS($AN$1006:AP1006),$AN$1006:$BO$1006,0))&gt;=100000), " ",IF(INDEX($AN$2:$BO$1001,MATCH(ROWS($AG$2:AG581),$AG$2:$AG$1001,0),MATCH(COLUMNS($AN$1006:AP1006),$AN$1006:$BO$1006,0)), HYPERLINK("#",""), HYPERLINK(CONCATENATE("#Metadata!", ADDRESS(INDEX($AI$2:$AI$1001,MATCH(ROWS($AG$2:AG581),$AG$2:$AG$1001,0),0), INDEX($AN$1004:$BO$1004,1,MATCH(COLUMNS($AN$1006:AP1006),$AN$1006:$BO$1006,0)))),"Fix")))</f>
        <v>0</v>
      </c>
      <c r="E581" s="4">
        <f>IF(OR(INDEX($AH$2:$AH$1001,MATCH(ROWS($AG$2:AG581),$AG$2:$AG$1001,0),1)&gt;=100000,INDEX($AN$1005:$BO$1005,1,MATCH(COLUMNS($AN$1006:AQ1006),$AN$1006:$BO$1006,0))&gt;=100000), " ",IF(INDEX($AN$2:$BO$1001,MATCH(ROWS($AG$2:AG581),$AG$2:$AG$1001,0),MATCH(COLUMNS($AN$1006:AQ1006),$AN$1006:$BO$1006,0)), HYPERLINK("#",""), HYPERLINK(CONCATENATE("#Metadata!", ADDRESS(INDEX($AI$2:$AI$1001,MATCH(ROWS($AG$2:AG581),$AG$2:$AG$1001,0),0), INDEX($AN$1004:$BO$1004,1,MATCH(COLUMNS($AN$1006:AQ1006),$AN$1006:$BO$1006,0)))),"Fix")))</f>
        <v>0</v>
      </c>
      <c r="F581" s="4">
        <f>IF(OR(INDEX($AH$2:$AH$1001,MATCH(ROWS($AG$2:AG581),$AG$2:$AG$1001,0),1)&gt;=100000,INDEX($AN$1005:$BO$1005,1,MATCH(COLUMNS($AN$1006:AR1006),$AN$1006:$BO$1006,0))&gt;=100000), " ",IF(INDEX($AN$2:$BO$1001,MATCH(ROWS($AG$2:AG581),$AG$2:$AG$1001,0),MATCH(COLUMNS($AN$1006:AR1006),$AN$1006:$BO$1006,0)), HYPERLINK("#",""), HYPERLINK(CONCATENATE("#Metadata!", ADDRESS(INDEX($AI$2:$AI$1001,MATCH(ROWS($AG$2:AG581),$AG$2:$AG$1001,0),0), INDEX($AN$1004:$BO$1004,1,MATCH(COLUMNS($AN$1006:AR1006),$AN$1006:$BO$1006,0)))),"Fix")))</f>
        <v>0</v>
      </c>
      <c r="G581" s="4">
        <f>IF(OR(INDEX($AH$2:$AH$1001,MATCH(ROWS($AG$2:AG581),$AG$2:$AG$1001,0),1)&gt;=100000,INDEX($AN$1005:$BO$1005,1,MATCH(COLUMNS($AN$1006:AS1006),$AN$1006:$BO$1006,0))&gt;=100000), " ",IF(INDEX($AN$2:$BO$1001,MATCH(ROWS($AG$2:AG581),$AG$2:$AG$1001,0),MATCH(COLUMNS($AN$1006:AS1006),$AN$1006:$BO$1006,0)), HYPERLINK("#",""), HYPERLINK(CONCATENATE("#Metadata!", ADDRESS(INDEX($AI$2:$AI$1001,MATCH(ROWS($AG$2:AG581),$AG$2:$AG$1001,0),0), INDEX($AN$1004:$BO$1004,1,MATCH(COLUMNS($AN$1006:AS1006),$AN$1006:$BO$1006,0)))),"Fix")))</f>
        <v>0</v>
      </c>
      <c r="H581" s="4">
        <f>IF(OR(INDEX($AH$2:$AH$1001,MATCH(ROWS($AG$2:AG581),$AG$2:$AG$1001,0),1)&gt;=100000,INDEX($AN$1005:$BO$1005,1,MATCH(COLUMNS($AN$1006:AT1006),$AN$1006:$BO$1006,0))&gt;=100000), " ",IF(INDEX($AN$2:$BO$1001,MATCH(ROWS($AG$2:AG581),$AG$2:$AG$1001,0),MATCH(COLUMNS($AN$1006:AT1006),$AN$1006:$BO$1006,0)), HYPERLINK("#",""), HYPERLINK(CONCATENATE("#Metadata!", ADDRESS(INDEX($AI$2:$AI$1001,MATCH(ROWS($AG$2:AG581),$AG$2:$AG$1001,0),0), INDEX($AN$1004:$BO$1004,1,MATCH(COLUMNS($AN$1006:AT1006),$AN$1006:$BO$1006,0)))),"Fix")))</f>
        <v>0</v>
      </c>
      <c r="I581" s="4">
        <f>IF(OR(INDEX($AH$2:$AH$1001,MATCH(ROWS($AG$2:AG581),$AG$2:$AG$1001,0),1)&gt;=100000,INDEX($AN$1005:$BO$1005,1,MATCH(COLUMNS($AN$1006:AU1006),$AN$1006:$BO$1006,0))&gt;=100000), " ",IF(INDEX($AN$2:$BO$1001,MATCH(ROWS($AG$2:AG581),$AG$2:$AG$1001,0),MATCH(COLUMNS($AN$1006:AU1006),$AN$1006:$BO$1006,0)), HYPERLINK("#",""), HYPERLINK(CONCATENATE("#Metadata!", ADDRESS(INDEX($AI$2:$AI$1001,MATCH(ROWS($AG$2:AG581),$AG$2:$AG$1001,0),0), INDEX($AN$1004:$BO$1004,1,MATCH(COLUMNS($AN$1006:AU1006),$AN$1006:$BO$1006,0)))),"Fix")))</f>
        <v>0</v>
      </c>
      <c r="J581" s="4">
        <f>IF(OR(INDEX($AH$2:$AH$1001,MATCH(ROWS($AG$2:AG581),$AG$2:$AG$1001,0),1)&gt;=100000,INDEX($AN$1005:$BO$1005,1,MATCH(COLUMNS($AN$1006:AV1006),$AN$1006:$BO$1006,0))&gt;=100000), " ",IF(INDEX($AN$2:$BO$1001,MATCH(ROWS($AG$2:AG581),$AG$2:$AG$1001,0),MATCH(COLUMNS($AN$1006:AV1006),$AN$1006:$BO$1006,0)), HYPERLINK("#",""), HYPERLINK(CONCATENATE("#Metadata!", ADDRESS(INDEX($AI$2:$AI$1001,MATCH(ROWS($AG$2:AG581),$AG$2:$AG$1001,0),0), INDEX($AN$1004:$BO$1004,1,MATCH(COLUMNS($AN$1006:AV1006),$AN$1006:$BO$1006,0)))),"Fix")))</f>
        <v>0</v>
      </c>
      <c r="K581" s="4">
        <f>IF(OR(INDEX($AH$2:$AH$1001,MATCH(ROWS($AG$2:AG581),$AG$2:$AG$1001,0),1)&gt;=100000,INDEX($AN$1005:$BO$1005,1,MATCH(COLUMNS($AN$1006:AW1006),$AN$1006:$BO$1006,0))&gt;=100000), " ",IF(INDEX($AN$2:$BO$1001,MATCH(ROWS($AG$2:AG581),$AG$2:$AG$1001,0),MATCH(COLUMNS($AN$1006:AW1006),$AN$1006:$BO$1006,0)), HYPERLINK("#",""), HYPERLINK(CONCATENATE("#Metadata!", ADDRESS(INDEX($AI$2:$AI$1001,MATCH(ROWS($AG$2:AG581),$AG$2:$AG$1001,0),0), INDEX($AN$1004:$BO$1004,1,MATCH(COLUMNS($AN$1006:AW1006),$AN$1006:$BO$1006,0)))),"Fix")))</f>
        <v>0</v>
      </c>
      <c r="L581" s="4">
        <f>IF(OR(INDEX($AH$2:$AH$1001,MATCH(ROWS($AG$2:AG581),$AG$2:$AG$1001,0),1)&gt;=100000,INDEX($AN$1005:$BO$1005,1,MATCH(COLUMNS($AN$1006:AX1006),$AN$1006:$BO$1006,0))&gt;=100000), " ",IF(INDEX($AN$2:$BO$1001,MATCH(ROWS($AG$2:AG581),$AG$2:$AG$1001,0),MATCH(COLUMNS($AN$1006:AX1006),$AN$1006:$BO$1006,0)), HYPERLINK("#",""), HYPERLINK(CONCATENATE("#Metadata!", ADDRESS(INDEX($AI$2:$AI$1001,MATCH(ROWS($AG$2:AG581),$AG$2:$AG$1001,0),0), INDEX($AN$1004:$BO$1004,1,MATCH(COLUMNS($AN$1006:AX1006),$AN$1006:$BO$1006,0)))),"Fix")))</f>
        <v>0</v>
      </c>
      <c r="M581" s="4">
        <f>IF(OR(INDEX($AH$2:$AH$1001,MATCH(ROWS($AG$2:AG581),$AG$2:$AG$1001,0),1)&gt;=100000,INDEX($AN$1005:$BO$1005,1,MATCH(COLUMNS($AN$1006:AY1006),$AN$1006:$BO$1006,0))&gt;=100000), " ",IF(INDEX($AN$2:$BO$1001,MATCH(ROWS($AG$2:AG581),$AG$2:$AG$1001,0),MATCH(COLUMNS($AN$1006:AY1006),$AN$1006:$BO$1006,0)), HYPERLINK("#",""), HYPERLINK(CONCATENATE("#Metadata!", ADDRESS(INDEX($AI$2:$AI$1001,MATCH(ROWS($AG$2:AG581),$AG$2:$AG$1001,0),0), INDEX($AN$1004:$BO$1004,1,MATCH(COLUMNS($AN$1006:AY1006),$AN$1006:$BO$1006,0)))),"Fix")))</f>
        <v>0</v>
      </c>
      <c r="N581" s="4">
        <f>IF(OR(INDEX($AH$2:$AH$1001,MATCH(ROWS($AG$2:AG581),$AG$2:$AG$1001,0),1)&gt;=100000,INDEX($AN$1005:$BO$1005,1,MATCH(COLUMNS($AN$1006:AZ1006),$AN$1006:$BO$1006,0))&gt;=100000), " ",IF(INDEX($AN$2:$BO$1001,MATCH(ROWS($AG$2:AG581),$AG$2:$AG$1001,0),MATCH(COLUMNS($AN$1006:AZ1006),$AN$1006:$BO$1006,0)), HYPERLINK("#",""), HYPERLINK(CONCATENATE("#Metadata!", ADDRESS(INDEX($AI$2:$AI$1001,MATCH(ROWS($AG$2:AG581),$AG$2:$AG$1001,0),0), INDEX($AN$1004:$BO$1004,1,MATCH(COLUMNS($AN$1006:AZ1006),$AN$1006:$BO$1006,0)))),"Fix")))</f>
        <v>0</v>
      </c>
      <c r="O581" s="4">
        <f>IF(OR(INDEX($AH$2:$AH$1001,MATCH(ROWS($AG$2:AG581),$AG$2:$AG$1001,0),1)&gt;=100000,INDEX($AN$1005:$BO$1005,1,MATCH(COLUMNS($AN$1006:BA1006),$AN$1006:$BO$1006,0))&gt;=100000), " ",IF(INDEX($AN$2:$BO$1001,MATCH(ROWS($AG$2:AG581),$AG$2:$AG$1001,0),MATCH(COLUMNS($AN$1006:BA1006),$AN$1006:$BO$1006,0)), HYPERLINK("#",""), HYPERLINK(CONCATENATE("#Metadata!", ADDRESS(INDEX($AI$2:$AI$1001,MATCH(ROWS($AG$2:AG581),$AG$2:$AG$1001,0),0), INDEX($AN$1004:$BO$1004,1,MATCH(COLUMNS($AN$1006:BA1006),$AN$1006:$BO$1006,0)))),"Fix")))</f>
        <v>0</v>
      </c>
      <c r="P581" s="4">
        <f>IF(OR(INDEX($AH$2:$AH$1001,MATCH(ROWS($AG$2:AG581),$AG$2:$AG$1001,0),1)&gt;=100000,INDEX($AN$1005:$BO$1005,1,MATCH(COLUMNS($AN$1006:BB1006),$AN$1006:$BO$1006,0))&gt;=100000), " ",IF(INDEX($AN$2:$BO$1001,MATCH(ROWS($AG$2:AG581),$AG$2:$AG$1001,0),MATCH(COLUMNS($AN$1006:BB1006),$AN$1006:$BO$1006,0)), HYPERLINK("#",""), HYPERLINK(CONCATENATE("#Metadata!", ADDRESS(INDEX($AI$2:$AI$1001,MATCH(ROWS($AG$2:AG581),$AG$2:$AG$1001,0),0), INDEX($AN$1004:$BO$1004,1,MATCH(COLUMNS($AN$1006:BB1006),$AN$1006:$BO$1006,0)))),"Fix")))</f>
        <v>0</v>
      </c>
      <c r="Q581" s="4">
        <f>IF(OR(INDEX($AH$2:$AH$1001,MATCH(ROWS($AG$2:AG581),$AG$2:$AG$1001,0),1)&gt;=100000,INDEX($AN$1005:$BO$1005,1,MATCH(COLUMNS($AN$1006:BC1006),$AN$1006:$BO$1006,0))&gt;=100000), " ",IF(INDEX($AN$2:$BO$1001,MATCH(ROWS($AG$2:AG581),$AG$2:$AG$1001,0),MATCH(COLUMNS($AN$1006:BC1006),$AN$1006:$BO$1006,0)), HYPERLINK("#",""), HYPERLINK(CONCATENATE("#Metadata!", ADDRESS(INDEX($AI$2:$AI$1001,MATCH(ROWS($AG$2:AG581),$AG$2:$AG$1001,0),0), INDEX($AN$1004:$BO$1004,1,MATCH(COLUMNS($AN$1006:BC1006),$AN$1006:$BO$1006,0)))),"Fix")))</f>
        <v>0</v>
      </c>
      <c r="R581" s="4">
        <f>IF(OR(INDEX($AH$2:$AH$1001,MATCH(ROWS($AG$2:AG581),$AG$2:$AG$1001,0),1)&gt;=100000,INDEX($AN$1005:$BO$1005,1,MATCH(COLUMNS($AN$1006:BD1006),$AN$1006:$BO$1006,0))&gt;=100000), " ",IF(INDEX($AN$2:$BO$1001,MATCH(ROWS($AG$2:AG581),$AG$2:$AG$1001,0),MATCH(COLUMNS($AN$1006:BD1006),$AN$1006:$BO$1006,0)), HYPERLINK("#",""), HYPERLINK(CONCATENATE("#Metadata!", ADDRESS(INDEX($AI$2:$AI$1001,MATCH(ROWS($AG$2:AG581),$AG$2:$AG$1001,0),0), INDEX($AN$1004:$BO$1004,1,MATCH(COLUMNS($AN$1006:BD1006),$AN$1006:$BO$1006,0)))),"Fix")))</f>
        <v>0</v>
      </c>
      <c r="S581" s="4">
        <f>IF(OR(INDEX($AH$2:$AH$1001,MATCH(ROWS($AG$2:AG581),$AG$2:$AG$1001,0),1)&gt;=100000,INDEX($AN$1005:$BO$1005,1,MATCH(COLUMNS($AN$1006:BE1006),$AN$1006:$BO$1006,0))&gt;=100000), " ",IF(INDEX($AN$2:$BO$1001,MATCH(ROWS($AG$2:AG581),$AG$2:$AG$1001,0),MATCH(COLUMNS($AN$1006:BE1006),$AN$1006:$BO$1006,0)), HYPERLINK("#",""), HYPERLINK(CONCATENATE("#Metadata!", ADDRESS(INDEX($AI$2:$AI$1001,MATCH(ROWS($AG$2:AG581),$AG$2:$AG$1001,0),0), INDEX($AN$1004:$BO$1004,1,MATCH(COLUMNS($AN$1006:BE1006),$AN$1006:$BO$1006,0)))),"Fix")))</f>
        <v>0</v>
      </c>
      <c r="T581" s="4">
        <f>IF(OR(INDEX($AH$2:$AH$1001,MATCH(ROWS($AG$2:AG581),$AG$2:$AG$1001,0),1)&gt;=100000,INDEX($AN$1005:$BO$1005,1,MATCH(COLUMNS($AN$1006:BF1006),$AN$1006:$BO$1006,0))&gt;=100000), " ",IF(INDEX($AN$2:$BO$1001,MATCH(ROWS($AG$2:AG581),$AG$2:$AG$1001,0),MATCH(COLUMNS($AN$1006:BF1006),$AN$1006:$BO$1006,0)), HYPERLINK("#",""), HYPERLINK(CONCATENATE("#Metadata!", ADDRESS(INDEX($AI$2:$AI$1001,MATCH(ROWS($AG$2:AG581),$AG$2:$AG$1001,0),0), INDEX($AN$1004:$BO$1004,1,MATCH(COLUMNS($AN$1006:BF1006),$AN$1006:$BO$1006,0)))),"Fix")))</f>
        <v>0</v>
      </c>
      <c r="U581" s="4">
        <f>IF(OR(INDEX($AH$2:$AH$1001,MATCH(ROWS($AG$2:AG581),$AG$2:$AG$1001,0),1)&gt;=100000,INDEX($AN$1005:$BO$1005,1,MATCH(COLUMNS($AN$1006:BG1006),$AN$1006:$BO$1006,0))&gt;=100000), " ",IF(INDEX($AN$2:$BO$1001,MATCH(ROWS($AG$2:AG581),$AG$2:$AG$1001,0),MATCH(COLUMNS($AN$1006:BG1006),$AN$1006:$BO$1006,0)), HYPERLINK("#",""), HYPERLINK(CONCATENATE("#Metadata!", ADDRESS(INDEX($AI$2:$AI$1001,MATCH(ROWS($AG$2:AG581),$AG$2:$AG$1001,0),0), INDEX($AN$1004:$BO$1004,1,MATCH(COLUMNS($AN$1006:BG1006),$AN$1006:$BO$1006,0)))),"Fix")))</f>
        <v>0</v>
      </c>
      <c r="V581" s="4">
        <f>IF(OR(INDEX($AH$2:$AH$1001,MATCH(ROWS($AG$2:AG581),$AG$2:$AG$1001,0),1)&gt;=100000,INDEX($AN$1005:$BO$1005,1,MATCH(COLUMNS($AN$1006:BH1006),$AN$1006:$BO$1006,0))&gt;=100000), " ",IF(INDEX($AN$2:$BO$1001,MATCH(ROWS($AG$2:AG581),$AG$2:$AG$1001,0),MATCH(COLUMNS($AN$1006:BH1006),$AN$1006:$BO$1006,0)), HYPERLINK("#",""), HYPERLINK(CONCATENATE("#Metadata!", ADDRESS(INDEX($AI$2:$AI$1001,MATCH(ROWS($AG$2:AG581),$AG$2:$AG$1001,0),0), INDEX($AN$1004:$BO$1004,1,MATCH(COLUMNS($AN$1006:BH1006),$AN$1006:$BO$1006,0)))),"Fix")))</f>
        <v>0</v>
      </c>
      <c r="W581" s="4">
        <f>IF(OR(INDEX($AH$2:$AH$1001,MATCH(ROWS($AG$2:AG581),$AG$2:$AG$1001,0),1)&gt;=100000,INDEX($AN$1005:$BO$1005,1,MATCH(COLUMNS($AN$1006:BI1006),$AN$1006:$BO$1006,0))&gt;=100000), " ",IF(INDEX($AN$2:$BO$1001,MATCH(ROWS($AG$2:AG581),$AG$2:$AG$1001,0),MATCH(COLUMNS($AN$1006:BI1006),$AN$1006:$BO$1006,0)), HYPERLINK("#",""), HYPERLINK(CONCATENATE("#Metadata!", ADDRESS(INDEX($AI$2:$AI$1001,MATCH(ROWS($AG$2:AG581),$AG$2:$AG$1001,0),0), INDEX($AN$1004:$BO$1004,1,MATCH(COLUMNS($AN$1006:BI1006),$AN$1006:$BO$1006,0)))),"Fix")))</f>
        <v>0</v>
      </c>
      <c r="X581" s="4">
        <f>IF(OR(INDEX($AH$2:$AH$1001,MATCH(ROWS($AG$2:AG581),$AG$2:$AG$1001,0),1)&gt;=100000,INDEX($AN$1005:$BO$1005,1,MATCH(COLUMNS($AN$1006:BJ1006),$AN$1006:$BO$1006,0))&gt;=100000), " ",IF(INDEX($AN$2:$BO$1001,MATCH(ROWS($AG$2:AG581),$AG$2:$AG$1001,0),MATCH(COLUMNS($AN$1006:BJ1006),$AN$1006:$BO$1006,0)), HYPERLINK("#",""), HYPERLINK(CONCATENATE("#Metadata!", ADDRESS(INDEX($AI$2:$AI$1001,MATCH(ROWS($AG$2:AG581),$AG$2:$AG$1001,0),0), INDEX($AN$1004:$BO$1004,1,MATCH(COLUMNS($AN$1006:BJ1006),$AN$1006:$BO$1006,0)))),"Fix")))</f>
        <v>0</v>
      </c>
      <c r="Y581" s="4">
        <f>IF(OR(INDEX($AH$2:$AH$1001,MATCH(ROWS($AG$2:AG581),$AG$2:$AG$1001,0),1)&gt;=100000,INDEX($AN$1005:$BO$1005,1,MATCH(COLUMNS($AN$1006:BK1006),$AN$1006:$BO$1006,0))&gt;=100000), " ",IF(INDEX($AN$2:$BO$1001,MATCH(ROWS($AG$2:AG581),$AG$2:$AG$1001,0),MATCH(COLUMNS($AN$1006:BK1006),$AN$1006:$BO$1006,0)), HYPERLINK("#",""), HYPERLINK(CONCATENATE("#Metadata!", ADDRESS(INDEX($AI$2:$AI$1001,MATCH(ROWS($AG$2:AG581),$AG$2:$AG$1001,0),0), INDEX($AN$1004:$BO$1004,1,MATCH(COLUMNS($AN$1006:BK1006),$AN$1006:$BO$1006,0)))),"Fix")))</f>
        <v>0</v>
      </c>
      <c r="Z581" s="4">
        <f>IF(OR(INDEX($AH$2:$AH$1001,MATCH(ROWS($AG$2:AG581),$AG$2:$AG$1001,0),1)&gt;=100000,INDEX($AN$1005:$BO$1005,1,MATCH(COLUMNS($AN$1006:BL1006),$AN$1006:$BO$1006,0))&gt;=100000), " ",IF(INDEX($AN$2:$BO$1001,MATCH(ROWS($AG$2:AG581),$AG$2:$AG$1001,0),MATCH(COLUMNS($AN$1006:BL1006),$AN$1006:$BO$1006,0)), HYPERLINK("#",""), HYPERLINK(CONCATENATE("#Metadata!", ADDRESS(INDEX($AI$2:$AI$1001,MATCH(ROWS($AG$2:AG581),$AG$2:$AG$1001,0),0), INDEX($AN$1004:$BO$1004,1,MATCH(COLUMNS($AN$1006:BL1006),$AN$1006:$BO$1006,0)))),"Fix")))</f>
        <v>0</v>
      </c>
      <c r="AA581" s="4">
        <f>IF(OR(INDEX($AH$2:$AH$1001,MATCH(ROWS($AG$2:AG581),$AG$2:$AG$1001,0),1)&gt;=100000,INDEX($AN$1005:$BO$1005,1,MATCH(COLUMNS($AN$1006:BM1006),$AN$1006:$BO$1006,0))&gt;=100000), " ",IF(INDEX($AN$2:$BO$1001,MATCH(ROWS($AG$2:AG581),$AG$2:$AG$1001,0),MATCH(COLUMNS($AN$1006:BM1006),$AN$1006:$BO$1006,0)), HYPERLINK("#",""), HYPERLINK(CONCATENATE("#Metadata!", ADDRESS(INDEX($AI$2:$AI$1001,MATCH(ROWS($AG$2:AG581),$AG$2:$AG$1001,0),0), INDEX($AN$1004:$BO$1004,1,MATCH(COLUMNS($AN$1006:BM1006),$AN$1006:$BO$1006,0)))),"Fix")))</f>
        <v>0</v>
      </c>
      <c r="AB581" s="4">
        <f>IF(OR(INDEX($AH$2:$AH$1001,MATCH(ROWS($AG$2:AG581),$AG$2:$AG$1001,0),1)&gt;=100000,INDEX($AN$1005:$BO$1005,1,MATCH(COLUMNS($AN$1006:BN1006),$AN$1006:$BO$1006,0))&gt;=100000), " ",IF(INDEX($AN$2:$BO$1001,MATCH(ROWS($AG$2:AG581),$AG$2:$AG$1001,0),MATCH(COLUMNS($AN$1006:BN1006),$AN$1006:$BO$1006,0)), HYPERLINK("#",""), HYPERLINK(CONCATENATE("#Metadata!", ADDRESS(INDEX($AI$2:$AI$1001,MATCH(ROWS($AG$2:AG581),$AG$2:$AG$1001,0),0), INDEX($AN$1004:$BO$1004,1,MATCH(COLUMNS($AN$1006:BN1006),$AN$1006:$BO$1006,0)))),"Fix")))</f>
        <v>0</v>
      </c>
      <c r="AC581" s="4">
        <f>IF(OR(INDEX($AH$2:$AH$1001,MATCH(ROWS($AG$2:AG581),$AG$2:$AG$1001,0),1)&gt;=100000,INDEX($AN$1005:$BO$1005,1,MATCH(COLUMNS($AN$1006:BO1006),$AN$1006:$BO$1006,0))&gt;=100000), " ",IF(INDEX($AN$2:$BO$1001,MATCH(ROWS($AG$2:AG581),$AG$2:$AG$1001,0),MATCH(COLUMNS($AN$1006:BO1006),$AN$1006:$BO$1006,0)), HYPERLINK("#",""), HYPERLINK(CONCATENATE("#Metadata!", ADDRESS(INDEX($AI$2:$AI$1001,MATCH(ROWS($AG$2:AG581),$AG$2:$AG$1001,0),0), INDEX($AN$1004:$BO$1004,1,MATCH(COLUMNS($AN$1006:BO1006),$AN$1006:$BO$1006,0)))),"Fix")))</f>
        <v>0</v>
      </c>
      <c r="AG581">
        <v>0</v>
      </c>
      <c r="AH581">
        <v>0</v>
      </c>
      <c r="AI581">
        <v>0</v>
      </c>
      <c r="AJ581">
        <f>IF(AK581,TRUE,AND(AN581:BO581))</f>
        <v>0</v>
      </c>
      <c r="AK581">
        <f>COUNTBLANK(Metadata!B581:AC581)=COLUMNS(Metadata!B581:AC581)</f>
        <v>0</v>
      </c>
      <c r="AL581">
        <v>0</v>
      </c>
      <c r="AN581">
        <f>AND(IF(Metadata!B581="",FALSE,TRUE),COUNTIF(Metadata!B:B, Metadata!B581) = 1,NOT(ISERROR(SUMPRODUCT(SEARCH(MID(Metadata!B581,ROW(INDIRECT("1:"&amp;LEN(Metadata!B581))), 1),"0123456789abcdefghijklmnopqrstuvwxyzABCDEFGHIJKLMNOPQRSTUVWXYZ.")))))</f>
        <v>0</v>
      </c>
      <c r="AO581">
        <f>IF(Metadata!C581="",FALSE,TRUE)</f>
        <v>0</v>
      </c>
      <c r="AP581">
        <f>IF(Metadata!D581="",FALSE,TRUE)</f>
        <v>0</v>
      </c>
      <c r="AQ581">
        <f>OR(AND(IF(Metadata!E581="",FALSE,TRUE),OR(exact(Metadata!E581,"not collected"),exact(Metadata!E581,"not provided"),exact(Metadata!E581,"restricted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R581">
        <f>IF(Metadata!F581="",FALSE,TRUE)</f>
        <v>0</v>
      </c>
      <c r="AS581">
        <f>OR(AND(IF(Metadata!G581="",FALSE,TRUE),OR(exact(Metadata!G581,"not collected"),exact(Metadata!G581,"not provided"))),AND(IF(Metadata!G581="",FALSE,TRUE),OR(exact(Metadata!G581,"TRUE"),exact(Metadata!G581,"FALSE"))))</f>
        <v>0</v>
      </c>
      <c r="AT581">
        <f>OR(AND(IF(Metadata!H581="",FALSE,TRUE),OR(exact(Metadata!H581,"not collected"),exact(Metadata!H581,"not provided"),exact(Metadata!H581,"restricted access"))),AND(IF(Metadata!H581="",FALSE,ISNUMBER(VALUE(Metadata!H581))),Metadata!H581&gt;=-413.0))</f>
        <v>0</v>
      </c>
      <c r="AU581">
        <f>AND(IF(Metadata!I581="",FALSE,TRUE),exact(Metadata!I581,"meters"))</f>
        <v>0</v>
      </c>
      <c r="AV581">
        <f>AND(IF(Metadata!J581="",FALSE,TRUE),OR(exact(Metadata!J581,"Host-associated"),exact(Metadata!J581,"Free-living")))</f>
        <v>0</v>
      </c>
      <c r="AW581">
        <f>AND(IF(Metadata!K581="",FALSE,TRUE),OR(exact(Metadata!K581,"Animal"),exact(Metadata!K581,"Fungus"),exact(Metadata!K581,"Plant"),exact(Metadata!K581,"Saline"),exact(Metadata!K581,"Non-saline")))</f>
        <v>0</v>
      </c>
      <c r="AX581">
        <f>AND(IF(Metadata!L581="",FALSE,TRUE),OR(exact(Metadata!L581,"Plant secretion"),exact(Metadata!L581,"Plant rhizosphere"),exact(Metadata!L581,"Plant surface"),exact(Metadata!L581,"Plant corpus"),exact(Metadata!L581,"Fungus surface"),exact(Metadata!L581,"Fungus corpus"),exact(Metadata!L581,"Animal surface"),exact(Metadata!L581,"Animal proximal gut"),exact(Metadata!L581,"Animal corpus"),exact(Metadata!L581,"Animal distal gut"),exact(Metadata!L581,"Animal secretion"),exact(Metadata!L581,"Sub-surface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Y581">
        <f>IF(Metadata!M581="",FALSE,TRUE)</f>
        <v>0</v>
      </c>
      <c r="AZ581">
        <f>IF(Metadata!N581="",FALSE,TRUE)</f>
        <v>0</v>
      </c>
      <c r="BA581">
        <f>IF(Metadata!O581="",FALSE,TRUE)</f>
        <v>0</v>
      </c>
      <c r="BB581">
        <f>OR(AND(IF(Metadata!P581="",FALSE,TRUE),OR(exact(Metadata!P581,"not collected"),exact(Metadata!P581,"not provided"),exact(Metadata!P581,"restricted access"))),AND(IF(Metadata!P581="",FALSE,TRUE),OR(exact(Metadata!P581,"air"),exact(Metadata!P581,"built environment"),exact(Metadata!P581,"host-associated"),exact(Metadata!P581,"human-associated"),exact(Metadata!P581,"human-skin"),exact(Metadata!P581,"human-oral"),exact(Metadata!P581,"human-gut"),exact(Metadata!P581,"human-vaginal"),exact(Metadata!P581,"microbial mat/biofilm"),exact(Metadata!P581,"misc environment"),exact(Metadata!P581,"plant-associated"),exact(Metadata!P581,"sediment"),exact(Metadata!P581,"soil"),exact(Metadata!P581,"wastewater/sludge"),exact(Metadata!P581,"water"))))</f>
        <v>0</v>
      </c>
      <c r="BC581">
        <f>IF(Metadata!Q581="",FALSE,TRUE)</f>
        <v>0</v>
      </c>
      <c r="BD581">
        <f>IF(Metadata!R581="",FALSE,TRUE)</f>
        <v>0</v>
      </c>
      <c r="BE581">
        <f>OR(AND(IF(Metadata!S581="",FALSE,TRUE),OR(exact(Metadata!S581,"not collected"),exact(Metadata!S581,"not provided"),exact(Metadata!S581,"restricted access"))),AND(IF(Metadata!S581="",FALSE,ISNUMBER(VALUE(Metadata!S581))),Metadata!S581&gt;=-90.00,Metadata!S581&lt;=90.00))</f>
        <v>0</v>
      </c>
      <c r="BF581">
        <f>AND(IF(Metadata!T581="",FALSE,TRUE),exact(Metadata!T581,"Decimal degrees"))</f>
        <v>0</v>
      </c>
      <c r="BG581">
        <f>OR(AND(IF(Metadata!U581="",FALSE,TRUE),OR(exact(Metadata!U581,"not collected"),exact(Metadata!U581,"not provided"),exact(Metadata!U581,"restricted access"))),AND(IF(Metadata!U581="",FALSE,ISNUMBER(VALUE(Metadata!U581))),Metadata!U581&gt;=-180.00,Metadata!U581&lt;=180.00))</f>
        <v>0</v>
      </c>
      <c r="BH581">
        <f>AND(IF(Metadata!V581="",FALSE,TRUE),exact(Metadata!V581,"Decimal degrees"))</f>
        <v>0</v>
      </c>
      <c r="BI581">
        <f>IF(Metadata!W581="",FALSE,TRUE)</f>
        <v>0</v>
      </c>
      <c r="BJ581">
        <f>OR(AND(IF(Metadata!X581="",FALSE,TRUE),OR(exact(Metadata!X581,"not collected"),exact(Metadata!X581,"not provided"),exact(Metadata!X581,"restricted access"))),AND(IF(Metadata!X581="",FALSE,TRUE),OR(exact(Metadata!X581,"TRUE"),exact(Metadata!X581,"FALSE"))))</f>
        <v>0</v>
      </c>
      <c r="BK581">
        <f>AND(IF(Metadata!Y581="",FALSE,TRUE),exact(Metadata!Y581,"other"))</f>
        <v>0</v>
      </c>
      <c r="BL581">
        <f>IF(Metadata!Z581="",FALSE,TRUE)</f>
        <v>0</v>
      </c>
      <c r="BM581">
        <f>OR(AND(IF(Metadata!AA581="",FALSE,TRUE),OR(exact(Metadata!AA581,"not collected"),exact(Metadata!AA581,"not provided"))),AND(IF(Metadata!AA581="",FALSE,IF(ISERROR(INT(Metadata!AA581)),FALSE,INT(Metadata!AA581)=Metadata!AA581)),Metadata!AA581&gt;0))</f>
        <v>0</v>
      </c>
      <c r="BN581">
        <f>AND(IF(Metadata!AB581="",FALSE,TRUE),exact(Metadata!AB581,"Not applicable"))</f>
        <v>0</v>
      </c>
      <c r="BO581">
        <f>IF(Metadata!AC581="",FALSE,TRUE)</f>
        <v>0</v>
      </c>
    </row>
    <row r="582" spans="1:67">
      <c r="A582" s="5">
        <f>IF(B582=" "," ",HYPERLINK(CONCATENATE("#metadata!",ADDRESS(INDEX($AI$2:$AI$1001,MATCH(ROWS($AG$2:AG582),$AG$2:$AG$1001,0),0),1)),INDEX($AL$2:$AL$1001,MATCH(ROWS($AG$2:AG582),$AG$2:$AG$1001,0),0)))</f>
        <v>0</v>
      </c>
      <c r="B582" s="4">
        <f>IF(OR(INDEX($AH$2:$AH$1001,MATCH(ROWS($AG$2:AG582),$AG$2:$AG$1001,0),1)&gt;=100000,INDEX($AN$1005:$BO$1005,1,MATCH(COLUMNS($AN$1006:AN1006),$AN$1006:$BO$1006,0))&gt;=100000), " ",IF(INDEX($AN$2:$BO$1001,MATCH(ROWS($AG$2:AG582),$AG$2:$AG$1001,0),MATCH(COLUMNS($AN$1006:AN1006),$AN$1006:$BO$1006,0)), HYPERLINK("#",""), HYPERLINK(CONCATENATE("#Metadata!", ADDRESS(INDEX($AI$2:$AI$1001,MATCH(ROWS($AG$2:AG582),$AG$2:$AG$1001,0),0), INDEX($AN$1004:$BO$1004,1,MATCH(COLUMNS($AN$1006:AN1006),$AN$1006:$BO$1006,0)))),"Fix")))</f>
        <v>0</v>
      </c>
      <c r="C582" s="4">
        <f>IF(OR(INDEX($AH$2:$AH$1001,MATCH(ROWS($AG$2:AG582),$AG$2:$AG$1001,0),1)&gt;=100000,INDEX($AN$1005:$BO$1005,1,MATCH(COLUMNS($AN$1006:AO1006),$AN$1006:$BO$1006,0))&gt;=100000), " ",IF(INDEX($AN$2:$BO$1001,MATCH(ROWS($AG$2:AG582),$AG$2:$AG$1001,0),MATCH(COLUMNS($AN$1006:AO1006),$AN$1006:$BO$1006,0)), HYPERLINK("#",""), HYPERLINK(CONCATENATE("#Metadata!", ADDRESS(INDEX($AI$2:$AI$1001,MATCH(ROWS($AG$2:AG582),$AG$2:$AG$1001,0),0), INDEX($AN$1004:$BO$1004,1,MATCH(COLUMNS($AN$1006:AO1006),$AN$1006:$BO$1006,0)))),"Fix")))</f>
        <v>0</v>
      </c>
      <c r="D582" s="4">
        <f>IF(OR(INDEX($AH$2:$AH$1001,MATCH(ROWS($AG$2:AG582),$AG$2:$AG$1001,0),1)&gt;=100000,INDEX($AN$1005:$BO$1005,1,MATCH(COLUMNS($AN$1006:AP1006),$AN$1006:$BO$1006,0))&gt;=100000), " ",IF(INDEX($AN$2:$BO$1001,MATCH(ROWS($AG$2:AG582),$AG$2:$AG$1001,0),MATCH(COLUMNS($AN$1006:AP1006),$AN$1006:$BO$1006,0)), HYPERLINK("#",""), HYPERLINK(CONCATENATE("#Metadata!", ADDRESS(INDEX($AI$2:$AI$1001,MATCH(ROWS($AG$2:AG582),$AG$2:$AG$1001,0),0), INDEX($AN$1004:$BO$1004,1,MATCH(COLUMNS($AN$1006:AP1006),$AN$1006:$BO$1006,0)))),"Fix")))</f>
        <v>0</v>
      </c>
      <c r="E582" s="4">
        <f>IF(OR(INDEX($AH$2:$AH$1001,MATCH(ROWS($AG$2:AG582),$AG$2:$AG$1001,0),1)&gt;=100000,INDEX($AN$1005:$BO$1005,1,MATCH(COLUMNS($AN$1006:AQ1006),$AN$1006:$BO$1006,0))&gt;=100000), " ",IF(INDEX($AN$2:$BO$1001,MATCH(ROWS($AG$2:AG582),$AG$2:$AG$1001,0),MATCH(COLUMNS($AN$1006:AQ1006),$AN$1006:$BO$1006,0)), HYPERLINK("#",""), HYPERLINK(CONCATENATE("#Metadata!", ADDRESS(INDEX($AI$2:$AI$1001,MATCH(ROWS($AG$2:AG582),$AG$2:$AG$1001,0),0), INDEX($AN$1004:$BO$1004,1,MATCH(COLUMNS($AN$1006:AQ1006),$AN$1006:$BO$1006,0)))),"Fix")))</f>
        <v>0</v>
      </c>
      <c r="F582" s="4">
        <f>IF(OR(INDEX($AH$2:$AH$1001,MATCH(ROWS($AG$2:AG582),$AG$2:$AG$1001,0),1)&gt;=100000,INDEX($AN$1005:$BO$1005,1,MATCH(COLUMNS($AN$1006:AR1006),$AN$1006:$BO$1006,0))&gt;=100000), " ",IF(INDEX($AN$2:$BO$1001,MATCH(ROWS($AG$2:AG582),$AG$2:$AG$1001,0),MATCH(COLUMNS($AN$1006:AR1006),$AN$1006:$BO$1006,0)), HYPERLINK("#",""), HYPERLINK(CONCATENATE("#Metadata!", ADDRESS(INDEX($AI$2:$AI$1001,MATCH(ROWS($AG$2:AG582),$AG$2:$AG$1001,0),0), INDEX($AN$1004:$BO$1004,1,MATCH(COLUMNS($AN$1006:AR1006),$AN$1006:$BO$1006,0)))),"Fix")))</f>
        <v>0</v>
      </c>
      <c r="G582" s="4">
        <f>IF(OR(INDEX($AH$2:$AH$1001,MATCH(ROWS($AG$2:AG582),$AG$2:$AG$1001,0),1)&gt;=100000,INDEX($AN$1005:$BO$1005,1,MATCH(COLUMNS($AN$1006:AS1006),$AN$1006:$BO$1006,0))&gt;=100000), " ",IF(INDEX($AN$2:$BO$1001,MATCH(ROWS($AG$2:AG582),$AG$2:$AG$1001,0),MATCH(COLUMNS($AN$1006:AS1006),$AN$1006:$BO$1006,0)), HYPERLINK("#",""), HYPERLINK(CONCATENATE("#Metadata!", ADDRESS(INDEX($AI$2:$AI$1001,MATCH(ROWS($AG$2:AG582),$AG$2:$AG$1001,0),0), INDEX($AN$1004:$BO$1004,1,MATCH(COLUMNS($AN$1006:AS1006),$AN$1006:$BO$1006,0)))),"Fix")))</f>
        <v>0</v>
      </c>
      <c r="H582" s="4">
        <f>IF(OR(INDEX($AH$2:$AH$1001,MATCH(ROWS($AG$2:AG582),$AG$2:$AG$1001,0),1)&gt;=100000,INDEX($AN$1005:$BO$1005,1,MATCH(COLUMNS($AN$1006:AT1006),$AN$1006:$BO$1006,0))&gt;=100000), " ",IF(INDEX($AN$2:$BO$1001,MATCH(ROWS($AG$2:AG582),$AG$2:$AG$1001,0),MATCH(COLUMNS($AN$1006:AT1006),$AN$1006:$BO$1006,0)), HYPERLINK("#",""), HYPERLINK(CONCATENATE("#Metadata!", ADDRESS(INDEX($AI$2:$AI$1001,MATCH(ROWS($AG$2:AG582),$AG$2:$AG$1001,0),0), INDEX($AN$1004:$BO$1004,1,MATCH(COLUMNS($AN$1006:AT1006),$AN$1006:$BO$1006,0)))),"Fix")))</f>
        <v>0</v>
      </c>
      <c r="I582" s="4">
        <f>IF(OR(INDEX($AH$2:$AH$1001,MATCH(ROWS($AG$2:AG582),$AG$2:$AG$1001,0),1)&gt;=100000,INDEX($AN$1005:$BO$1005,1,MATCH(COLUMNS($AN$1006:AU1006),$AN$1006:$BO$1006,0))&gt;=100000), " ",IF(INDEX($AN$2:$BO$1001,MATCH(ROWS($AG$2:AG582),$AG$2:$AG$1001,0),MATCH(COLUMNS($AN$1006:AU1006),$AN$1006:$BO$1006,0)), HYPERLINK("#",""), HYPERLINK(CONCATENATE("#Metadata!", ADDRESS(INDEX($AI$2:$AI$1001,MATCH(ROWS($AG$2:AG582),$AG$2:$AG$1001,0),0), INDEX($AN$1004:$BO$1004,1,MATCH(COLUMNS($AN$1006:AU1006),$AN$1006:$BO$1006,0)))),"Fix")))</f>
        <v>0</v>
      </c>
      <c r="J582" s="4">
        <f>IF(OR(INDEX($AH$2:$AH$1001,MATCH(ROWS($AG$2:AG582),$AG$2:$AG$1001,0),1)&gt;=100000,INDEX($AN$1005:$BO$1005,1,MATCH(COLUMNS($AN$1006:AV1006),$AN$1006:$BO$1006,0))&gt;=100000), " ",IF(INDEX($AN$2:$BO$1001,MATCH(ROWS($AG$2:AG582),$AG$2:$AG$1001,0),MATCH(COLUMNS($AN$1006:AV1006),$AN$1006:$BO$1006,0)), HYPERLINK("#",""), HYPERLINK(CONCATENATE("#Metadata!", ADDRESS(INDEX($AI$2:$AI$1001,MATCH(ROWS($AG$2:AG582),$AG$2:$AG$1001,0),0), INDEX($AN$1004:$BO$1004,1,MATCH(COLUMNS($AN$1006:AV1006),$AN$1006:$BO$1006,0)))),"Fix")))</f>
        <v>0</v>
      </c>
      <c r="K582" s="4">
        <f>IF(OR(INDEX($AH$2:$AH$1001,MATCH(ROWS($AG$2:AG582),$AG$2:$AG$1001,0),1)&gt;=100000,INDEX($AN$1005:$BO$1005,1,MATCH(COLUMNS($AN$1006:AW1006),$AN$1006:$BO$1006,0))&gt;=100000), " ",IF(INDEX($AN$2:$BO$1001,MATCH(ROWS($AG$2:AG582),$AG$2:$AG$1001,0),MATCH(COLUMNS($AN$1006:AW1006),$AN$1006:$BO$1006,0)), HYPERLINK("#",""), HYPERLINK(CONCATENATE("#Metadata!", ADDRESS(INDEX($AI$2:$AI$1001,MATCH(ROWS($AG$2:AG582),$AG$2:$AG$1001,0),0), INDEX($AN$1004:$BO$1004,1,MATCH(COLUMNS($AN$1006:AW1006),$AN$1006:$BO$1006,0)))),"Fix")))</f>
        <v>0</v>
      </c>
      <c r="L582" s="4">
        <f>IF(OR(INDEX($AH$2:$AH$1001,MATCH(ROWS($AG$2:AG582),$AG$2:$AG$1001,0),1)&gt;=100000,INDEX($AN$1005:$BO$1005,1,MATCH(COLUMNS($AN$1006:AX1006),$AN$1006:$BO$1006,0))&gt;=100000), " ",IF(INDEX($AN$2:$BO$1001,MATCH(ROWS($AG$2:AG582),$AG$2:$AG$1001,0),MATCH(COLUMNS($AN$1006:AX1006),$AN$1006:$BO$1006,0)), HYPERLINK("#",""), HYPERLINK(CONCATENATE("#Metadata!", ADDRESS(INDEX($AI$2:$AI$1001,MATCH(ROWS($AG$2:AG582),$AG$2:$AG$1001,0),0), INDEX($AN$1004:$BO$1004,1,MATCH(COLUMNS($AN$1006:AX1006),$AN$1006:$BO$1006,0)))),"Fix")))</f>
        <v>0</v>
      </c>
      <c r="M582" s="4">
        <f>IF(OR(INDEX($AH$2:$AH$1001,MATCH(ROWS($AG$2:AG582),$AG$2:$AG$1001,0),1)&gt;=100000,INDEX($AN$1005:$BO$1005,1,MATCH(COLUMNS($AN$1006:AY1006),$AN$1006:$BO$1006,0))&gt;=100000), " ",IF(INDEX($AN$2:$BO$1001,MATCH(ROWS($AG$2:AG582),$AG$2:$AG$1001,0),MATCH(COLUMNS($AN$1006:AY1006),$AN$1006:$BO$1006,0)), HYPERLINK("#",""), HYPERLINK(CONCATENATE("#Metadata!", ADDRESS(INDEX($AI$2:$AI$1001,MATCH(ROWS($AG$2:AG582),$AG$2:$AG$1001,0),0), INDEX($AN$1004:$BO$1004,1,MATCH(COLUMNS($AN$1006:AY1006),$AN$1006:$BO$1006,0)))),"Fix")))</f>
        <v>0</v>
      </c>
      <c r="N582" s="4">
        <f>IF(OR(INDEX($AH$2:$AH$1001,MATCH(ROWS($AG$2:AG582),$AG$2:$AG$1001,0),1)&gt;=100000,INDEX($AN$1005:$BO$1005,1,MATCH(COLUMNS($AN$1006:AZ1006),$AN$1006:$BO$1006,0))&gt;=100000), " ",IF(INDEX($AN$2:$BO$1001,MATCH(ROWS($AG$2:AG582),$AG$2:$AG$1001,0),MATCH(COLUMNS($AN$1006:AZ1006),$AN$1006:$BO$1006,0)), HYPERLINK("#",""), HYPERLINK(CONCATENATE("#Metadata!", ADDRESS(INDEX($AI$2:$AI$1001,MATCH(ROWS($AG$2:AG582),$AG$2:$AG$1001,0),0), INDEX($AN$1004:$BO$1004,1,MATCH(COLUMNS($AN$1006:AZ1006),$AN$1006:$BO$1006,0)))),"Fix")))</f>
        <v>0</v>
      </c>
      <c r="O582" s="4">
        <f>IF(OR(INDEX($AH$2:$AH$1001,MATCH(ROWS($AG$2:AG582),$AG$2:$AG$1001,0),1)&gt;=100000,INDEX($AN$1005:$BO$1005,1,MATCH(COLUMNS($AN$1006:BA1006),$AN$1006:$BO$1006,0))&gt;=100000), " ",IF(INDEX($AN$2:$BO$1001,MATCH(ROWS($AG$2:AG582),$AG$2:$AG$1001,0),MATCH(COLUMNS($AN$1006:BA1006),$AN$1006:$BO$1006,0)), HYPERLINK("#",""), HYPERLINK(CONCATENATE("#Metadata!", ADDRESS(INDEX($AI$2:$AI$1001,MATCH(ROWS($AG$2:AG582),$AG$2:$AG$1001,0),0), INDEX($AN$1004:$BO$1004,1,MATCH(COLUMNS($AN$1006:BA1006),$AN$1006:$BO$1006,0)))),"Fix")))</f>
        <v>0</v>
      </c>
      <c r="P582" s="4">
        <f>IF(OR(INDEX($AH$2:$AH$1001,MATCH(ROWS($AG$2:AG582),$AG$2:$AG$1001,0),1)&gt;=100000,INDEX($AN$1005:$BO$1005,1,MATCH(COLUMNS($AN$1006:BB1006),$AN$1006:$BO$1006,0))&gt;=100000), " ",IF(INDEX($AN$2:$BO$1001,MATCH(ROWS($AG$2:AG582),$AG$2:$AG$1001,0),MATCH(COLUMNS($AN$1006:BB1006),$AN$1006:$BO$1006,0)), HYPERLINK("#",""), HYPERLINK(CONCATENATE("#Metadata!", ADDRESS(INDEX($AI$2:$AI$1001,MATCH(ROWS($AG$2:AG582),$AG$2:$AG$1001,0),0), INDEX($AN$1004:$BO$1004,1,MATCH(COLUMNS($AN$1006:BB1006),$AN$1006:$BO$1006,0)))),"Fix")))</f>
        <v>0</v>
      </c>
      <c r="Q582" s="4">
        <f>IF(OR(INDEX($AH$2:$AH$1001,MATCH(ROWS($AG$2:AG582),$AG$2:$AG$1001,0),1)&gt;=100000,INDEX($AN$1005:$BO$1005,1,MATCH(COLUMNS($AN$1006:BC1006),$AN$1006:$BO$1006,0))&gt;=100000), " ",IF(INDEX($AN$2:$BO$1001,MATCH(ROWS($AG$2:AG582),$AG$2:$AG$1001,0),MATCH(COLUMNS($AN$1006:BC1006),$AN$1006:$BO$1006,0)), HYPERLINK("#",""), HYPERLINK(CONCATENATE("#Metadata!", ADDRESS(INDEX($AI$2:$AI$1001,MATCH(ROWS($AG$2:AG582),$AG$2:$AG$1001,0),0), INDEX($AN$1004:$BO$1004,1,MATCH(COLUMNS($AN$1006:BC1006),$AN$1006:$BO$1006,0)))),"Fix")))</f>
        <v>0</v>
      </c>
      <c r="R582" s="4">
        <f>IF(OR(INDEX($AH$2:$AH$1001,MATCH(ROWS($AG$2:AG582),$AG$2:$AG$1001,0),1)&gt;=100000,INDEX($AN$1005:$BO$1005,1,MATCH(COLUMNS($AN$1006:BD1006),$AN$1006:$BO$1006,0))&gt;=100000), " ",IF(INDEX($AN$2:$BO$1001,MATCH(ROWS($AG$2:AG582),$AG$2:$AG$1001,0),MATCH(COLUMNS($AN$1006:BD1006),$AN$1006:$BO$1006,0)), HYPERLINK("#",""), HYPERLINK(CONCATENATE("#Metadata!", ADDRESS(INDEX($AI$2:$AI$1001,MATCH(ROWS($AG$2:AG582),$AG$2:$AG$1001,0),0), INDEX($AN$1004:$BO$1004,1,MATCH(COLUMNS($AN$1006:BD1006),$AN$1006:$BO$1006,0)))),"Fix")))</f>
        <v>0</v>
      </c>
      <c r="S582" s="4">
        <f>IF(OR(INDEX($AH$2:$AH$1001,MATCH(ROWS($AG$2:AG582),$AG$2:$AG$1001,0),1)&gt;=100000,INDEX($AN$1005:$BO$1005,1,MATCH(COLUMNS($AN$1006:BE1006),$AN$1006:$BO$1006,0))&gt;=100000), " ",IF(INDEX($AN$2:$BO$1001,MATCH(ROWS($AG$2:AG582),$AG$2:$AG$1001,0),MATCH(COLUMNS($AN$1006:BE1006),$AN$1006:$BO$1006,0)), HYPERLINK("#",""), HYPERLINK(CONCATENATE("#Metadata!", ADDRESS(INDEX($AI$2:$AI$1001,MATCH(ROWS($AG$2:AG582),$AG$2:$AG$1001,0),0), INDEX($AN$1004:$BO$1004,1,MATCH(COLUMNS($AN$1006:BE1006),$AN$1006:$BO$1006,0)))),"Fix")))</f>
        <v>0</v>
      </c>
      <c r="T582" s="4">
        <f>IF(OR(INDEX($AH$2:$AH$1001,MATCH(ROWS($AG$2:AG582),$AG$2:$AG$1001,0),1)&gt;=100000,INDEX($AN$1005:$BO$1005,1,MATCH(COLUMNS($AN$1006:BF1006),$AN$1006:$BO$1006,0))&gt;=100000), " ",IF(INDEX($AN$2:$BO$1001,MATCH(ROWS($AG$2:AG582),$AG$2:$AG$1001,0),MATCH(COLUMNS($AN$1006:BF1006),$AN$1006:$BO$1006,0)), HYPERLINK("#",""), HYPERLINK(CONCATENATE("#Metadata!", ADDRESS(INDEX($AI$2:$AI$1001,MATCH(ROWS($AG$2:AG582),$AG$2:$AG$1001,0),0), INDEX($AN$1004:$BO$1004,1,MATCH(COLUMNS($AN$1006:BF1006),$AN$1006:$BO$1006,0)))),"Fix")))</f>
        <v>0</v>
      </c>
      <c r="U582" s="4">
        <f>IF(OR(INDEX($AH$2:$AH$1001,MATCH(ROWS($AG$2:AG582),$AG$2:$AG$1001,0),1)&gt;=100000,INDEX($AN$1005:$BO$1005,1,MATCH(COLUMNS($AN$1006:BG1006),$AN$1006:$BO$1006,0))&gt;=100000), " ",IF(INDEX($AN$2:$BO$1001,MATCH(ROWS($AG$2:AG582),$AG$2:$AG$1001,0),MATCH(COLUMNS($AN$1006:BG1006),$AN$1006:$BO$1006,0)), HYPERLINK("#",""), HYPERLINK(CONCATENATE("#Metadata!", ADDRESS(INDEX($AI$2:$AI$1001,MATCH(ROWS($AG$2:AG582),$AG$2:$AG$1001,0),0), INDEX($AN$1004:$BO$1004,1,MATCH(COLUMNS($AN$1006:BG1006),$AN$1006:$BO$1006,0)))),"Fix")))</f>
        <v>0</v>
      </c>
      <c r="V582" s="4">
        <f>IF(OR(INDEX($AH$2:$AH$1001,MATCH(ROWS($AG$2:AG582),$AG$2:$AG$1001,0),1)&gt;=100000,INDEX($AN$1005:$BO$1005,1,MATCH(COLUMNS($AN$1006:BH1006),$AN$1006:$BO$1006,0))&gt;=100000), " ",IF(INDEX($AN$2:$BO$1001,MATCH(ROWS($AG$2:AG582),$AG$2:$AG$1001,0),MATCH(COLUMNS($AN$1006:BH1006),$AN$1006:$BO$1006,0)), HYPERLINK("#",""), HYPERLINK(CONCATENATE("#Metadata!", ADDRESS(INDEX($AI$2:$AI$1001,MATCH(ROWS($AG$2:AG582),$AG$2:$AG$1001,0),0), INDEX($AN$1004:$BO$1004,1,MATCH(COLUMNS($AN$1006:BH1006),$AN$1006:$BO$1006,0)))),"Fix")))</f>
        <v>0</v>
      </c>
      <c r="W582" s="4">
        <f>IF(OR(INDEX($AH$2:$AH$1001,MATCH(ROWS($AG$2:AG582),$AG$2:$AG$1001,0),1)&gt;=100000,INDEX($AN$1005:$BO$1005,1,MATCH(COLUMNS($AN$1006:BI1006),$AN$1006:$BO$1006,0))&gt;=100000), " ",IF(INDEX($AN$2:$BO$1001,MATCH(ROWS($AG$2:AG582),$AG$2:$AG$1001,0),MATCH(COLUMNS($AN$1006:BI1006),$AN$1006:$BO$1006,0)), HYPERLINK("#",""), HYPERLINK(CONCATENATE("#Metadata!", ADDRESS(INDEX($AI$2:$AI$1001,MATCH(ROWS($AG$2:AG582),$AG$2:$AG$1001,0),0), INDEX($AN$1004:$BO$1004,1,MATCH(COLUMNS($AN$1006:BI1006),$AN$1006:$BO$1006,0)))),"Fix")))</f>
        <v>0</v>
      </c>
      <c r="X582" s="4">
        <f>IF(OR(INDEX($AH$2:$AH$1001,MATCH(ROWS($AG$2:AG582),$AG$2:$AG$1001,0),1)&gt;=100000,INDEX($AN$1005:$BO$1005,1,MATCH(COLUMNS($AN$1006:BJ1006),$AN$1006:$BO$1006,0))&gt;=100000), " ",IF(INDEX($AN$2:$BO$1001,MATCH(ROWS($AG$2:AG582),$AG$2:$AG$1001,0),MATCH(COLUMNS($AN$1006:BJ1006),$AN$1006:$BO$1006,0)), HYPERLINK("#",""), HYPERLINK(CONCATENATE("#Metadata!", ADDRESS(INDEX($AI$2:$AI$1001,MATCH(ROWS($AG$2:AG582),$AG$2:$AG$1001,0),0), INDEX($AN$1004:$BO$1004,1,MATCH(COLUMNS($AN$1006:BJ1006),$AN$1006:$BO$1006,0)))),"Fix")))</f>
        <v>0</v>
      </c>
      <c r="Y582" s="4">
        <f>IF(OR(INDEX($AH$2:$AH$1001,MATCH(ROWS($AG$2:AG582),$AG$2:$AG$1001,0),1)&gt;=100000,INDEX($AN$1005:$BO$1005,1,MATCH(COLUMNS($AN$1006:BK1006),$AN$1006:$BO$1006,0))&gt;=100000), " ",IF(INDEX($AN$2:$BO$1001,MATCH(ROWS($AG$2:AG582),$AG$2:$AG$1001,0),MATCH(COLUMNS($AN$1006:BK1006),$AN$1006:$BO$1006,0)), HYPERLINK("#",""), HYPERLINK(CONCATENATE("#Metadata!", ADDRESS(INDEX($AI$2:$AI$1001,MATCH(ROWS($AG$2:AG582),$AG$2:$AG$1001,0),0), INDEX($AN$1004:$BO$1004,1,MATCH(COLUMNS($AN$1006:BK1006),$AN$1006:$BO$1006,0)))),"Fix")))</f>
        <v>0</v>
      </c>
      <c r="Z582" s="4">
        <f>IF(OR(INDEX($AH$2:$AH$1001,MATCH(ROWS($AG$2:AG582),$AG$2:$AG$1001,0),1)&gt;=100000,INDEX($AN$1005:$BO$1005,1,MATCH(COLUMNS($AN$1006:BL1006),$AN$1006:$BO$1006,0))&gt;=100000), " ",IF(INDEX($AN$2:$BO$1001,MATCH(ROWS($AG$2:AG582),$AG$2:$AG$1001,0),MATCH(COLUMNS($AN$1006:BL1006),$AN$1006:$BO$1006,0)), HYPERLINK("#",""), HYPERLINK(CONCATENATE("#Metadata!", ADDRESS(INDEX($AI$2:$AI$1001,MATCH(ROWS($AG$2:AG582),$AG$2:$AG$1001,0),0), INDEX($AN$1004:$BO$1004,1,MATCH(COLUMNS($AN$1006:BL1006),$AN$1006:$BO$1006,0)))),"Fix")))</f>
        <v>0</v>
      </c>
      <c r="AA582" s="4">
        <f>IF(OR(INDEX($AH$2:$AH$1001,MATCH(ROWS($AG$2:AG582),$AG$2:$AG$1001,0),1)&gt;=100000,INDEX($AN$1005:$BO$1005,1,MATCH(COLUMNS($AN$1006:BM1006),$AN$1006:$BO$1006,0))&gt;=100000), " ",IF(INDEX($AN$2:$BO$1001,MATCH(ROWS($AG$2:AG582),$AG$2:$AG$1001,0),MATCH(COLUMNS($AN$1006:BM1006),$AN$1006:$BO$1006,0)), HYPERLINK("#",""), HYPERLINK(CONCATENATE("#Metadata!", ADDRESS(INDEX($AI$2:$AI$1001,MATCH(ROWS($AG$2:AG582),$AG$2:$AG$1001,0),0), INDEX($AN$1004:$BO$1004,1,MATCH(COLUMNS($AN$1006:BM1006),$AN$1006:$BO$1006,0)))),"Fix")))</f>
        <v>0</v>
      </c>
      <c r="AB582" s="4">
        <f>IF(OR(INDEX($AH$2:$AH$1001,MATCH(ROWS($AG$2:AG582),$AG$2:$AG$1001,0),1)&gt;=100000,INDEX($AN$1005:$BO$1005,1,MATCH(COLUMNS($AN$1006:BN1006),$AN$1006:$BO$1006,0))&gt;=100000), " ",IF(INDEX($AN$2:$BO$1001,MATCH(ROWS($AG$2:AG582),$AG$2:$AG$1001,0),MATCH(COLUMNS($AN$1006:BN1006),$AN$1006:$BO$1006,0)), HYPERLINK("#",""), HYPERLINK(CONCATENATE("#Metadata!", ADDRESS(INDEX($AI$2:$AI$1001,MATCH(ROWS($AG$2:AG582),$AG$2:$AG$1001,0),0), INDEX($AN$1004:$BO$1004,1,MATCH(COLUMNS($AN$1006:BN1006),$AN$1006:$BO$1006,0)))),"Fix")))</f>
        <v>0</v>
      </c>
      <c r="AC582" s="4">
        <f>IF(OR(INDEX($AH$2:$AH$1001,MATCH(ROWS($AG$2:AG582),$AG$2:$AG$1001,0),1)&gt;=100000,INDEX($AN$1005:$BO$1005,1,MATCH(COLUMNS($AN$1006:BO1006),$AN$1006:$BO$1006,0))&gt;=100000), " ",IF(INDEX($AN$2:$BO$1001,MATCH(ROWS($AG$2:AG582),$AG$2:$AG$1001,0),MATCH(COLUMNS($AN$1006:BO1006),$AN$1006:$BO$1006,0)), HYPERLINK("#",""), HYPERLINK(CONCATENATE("#Metadata!", ADDRESS(INDEX($AI$2:$AI$1001,MATCH(ROWS($AG$2:AG582),$AG$2:$AG$1001,0),0), INDEX($AN$1004:$BO$1004,1,MATCH(COLUMNS($AN$1006:BO1006),$AN$1006:$BO$1006,0)))),"Fix")))</f>
        <v>0</v>
      </c>
      <c r="AG582">
        <v>0</v>
      </c>
      <c r="AH582">
        <v>0</v>
      </c>
      <c r="AI582">
        <v>0</v>
      </c>
      <c r="AJ582">
        <f>IF(AK582,TRUE,AND(AN582:BO582))</f>
        <v>0</v>
      </c>
      <c r="AK582">
        <f>COUNTBLANK(Metadata!B582:AC582)=COLUMNS(Metadata!B582:AC582)</f>
        <v>0</v>
      </c>
      <c r="AL582">
        <v>0</v>
      </c>
      <c r="AN582">
        <f>AND(IF(Metadata!B582="",FALSE,TRUE),COUNTIF(Metadata!B:B, Metadata!B582) = 1,NOT(ISERROR(SUMPRODUCT(SEARCH(MID(Metadata!B582,ROW(INDIRECT("1:"&amp;LEN(Metadata!B582))), 1),"0123456789abcdefghijklmnopqrstuvwxyzABCDEFGHIJKLMNOPQRSTUVWXYZ.")))))</f>
        <v>0</v>
      </c>
      <c r="AO582">
        <f>IF(Metadata!C582="",FALSE,TRUE)</f>
        <v>0</v>
      </c>
      <c r="AP582">
        <f>IF(Metadata!D582="",FALSE,TRUE)</f>
        <v>0</v>
      </c>
      <c r="AQ582">
        <f>OR(AND(IF(Metadata!E582="",FALSE,TRUE),OR(exact(Metadata!E582,"not collected"),exact(Metadata!E582,"not provided"),exact(Metadata!E582,"restricted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R582">
        <f>IF(Metadata!F582="",FALSE,TRUE)</f>
        <v>0</v>
      </c>
      <c r="AS582">
        <f>OR(AND(IF(Metadata!G582="",FALSE,TRUE),OR(exact(Metadata!G582,"not collected"),exact(Metadata!G582,"not provided"))),AND(IF(Metadata!G582="",FALSE,TRUE),OR(exact(Metadata!G582,"TRUE"),exact(Metadata!G582,"FALSE"))))</f>
        <v>0</v>
      </c>
      <c r="AT582">
        <f>OR(AND(IF(Metadata!H582="",FALSE,TRUE),OR(exact(Metadata!H582,"not collected"),exact(Metadata!H582,"not provided"),exact(Metadata!H582,"restricted access"))),AND(IF(Metadata!H582="",FALSE,ISNUMBER(VALUE(Metadata!H582))),Metadata!H582&gt;=-413.0))</f>
        <v>0</v>
      </c>
      <c r="AU582">
        <f>AND(IF(Metadata!I582="",FALSE,TRUE),exact(Metadata!I582,"meters"))</f>
        <v>0</v>
      </c>
      <c r="AV582">
        <f>AND(IF(Metadata!J582="",FALSE,TRUE),OR(exact(Metadata!J582,"Host-associated"),exact(Metadata!J582,"Free-living")))</f>
        <v>0</v>
      </c>
      <c r="AW582">
        <f>AND(IF(Metadata!K582="",FALSE,TRUE),OR(exact(Metadata!K582,"Animal"),exact(Metadata!K582,"Fungus"),exact(Metadata!K582,"Plant"),exact(Metadata!K582,"Saline"),exact(Metadata!K582,"Non-saline")))</f>
        <v>0</v>
      </c>
      <c r="AX582">
        <f>AND(IF(Metadata!L582="",FALSE,TRUE),OR(exact(Metadata!L582,"Plant secretion"),exact(Metadata!L582,"Plant rhizosphere"),exact(Metadata!L582,"Plant surface"),exact(Metadata!L582,"Plant corpus"),exact(Metadata!L582,"Fungus surface"),exact(Metadata!L582,"Fungus corpus"),exact(Metadata!L582,"Animal surface"),exact(Metadata!L582,"Animal proximal gut"),exact(Metadata!L582,"Animal corpus"),exact(Metadata!L582,"Animal distal gut"),exact(Metadata!L582,"Animal secretion"),exact(Metadata!L582,"Sub-surface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Y582">
        <f>IF(Metadata!M582="",FALSE,TRUE)</f>
        <v>0</v>
      </c>
      <c r="AZ582">
        <f>IF(Metadata!N582="",FALSE,TRUE)</f>
        <v>0</v>
      </c>
      <c r="BA582">
        <f>IF(Metadata!O582="",FALSE,TRUE)</f>
        <v>0</v>
      </c>
      <c r="BB582">
        <f>OR(AND(IF(Metadata!P582="",FALSE,TRUE),OR(exact(Metadata!P582,"not collected"),exact(Metadata!P582,"not provided"),exact(Metadata!P582,"restricted access"))),AND(IF(Metadata!P582="",FALSE,TRUE),OR(exact(Metadata!P582,"air"),exact(Metadata!P582,"built environment"),exact(Metadata!P582,"host-associated"),exact(Metadata!P582,"human-associated"),exact(Metadata!P582,"human-skin"),exact(Metadata!P582,"human-oral"),exact(Metadata!P582,"human-gut"),exact(Metadata!P582,"human-vaginal"),exact(Metadata!P582,"microbial mat/biofilm"),exact(Metadata!P582,"misc environment"),exact(Metadata!P582,"plant-associated"),exact(Metadata!P582,"sediment"),exact(Metadata!P582,"soil"),exact(Metadata!P582,"wastewater/sludge"),exact(Metadata!P582,"water"))))</f>
        <v>0</v>
      </c>
      <c r="BC582">
        <f>IF(Metadata!Q582="",FALSE,TRUE)</f>
        <v>0</v>
      </c>
      <c r="BD582">
        <f>IF(Metadata!R582="",FALSE,TRUE)</f>
        <v>0</v>
      </c>
      <c r="BE582">
        <f>OR(AND(IF(Metadata!S582="",FALSE,TRUE),OR(exact(Metadata!S582,"not collected"),exact(Metadata!S582,"not provided"),exact(Metadata!S582,"restricted access"))),AND(IF(Metadata!S582="",FALSE,ISNUMBER(VALUE(Metadata!S582))),Metadata!S582&gt;=-90.00,Metadata!S582&lt;=90.00))</f>
        <v>0</v>
      </c>
      <c r="BF582">
        <f>AND(IF(Metadata!T582="",FALSE,TRUE),exact(Metadata!T582,"Decimal degrees"))</f>
        <v>0</v>
      </c>
      <c r="BG582">
        <f>OR(AND(IF(Metadata!U582="",FALSE,TRUE),OR(exact(Metadata!U582,"not collected"),exact(Metadata!U582,"not provided"),exact(Metadata!U582,"restricted access"))),AND(IF(Metadata!U582="",FALSE,ISNUMBER(VALUE(Metadata!U582))),Metadata!U582&gt;=-180.00,Metadata!U582&lt;=180.00))</f>
        <v>0</v>
      </c>
      <c r="BH582">
        <f>AND(IF(Metadata!V582="",FALSE,TRUE),exact(Metadata!V582,"Decimal degrees"))</f>
        <v>0</v>
      </c>
      <c r="BI582">
        <f>IF(Metadata!W582="",FALSE,TRUE)</f>
        <v>0</v>
      </c>
      <c r="BJ582">
        <f>OR(AND(IF(Metadata!X582="",FALSE,TRUE),OR(exact(Metadata!X582,"not collected"),exact(Metadata!X582,"not provided"),exact(Metadata!X582,"restricted access"))),AND(IF(Metadata!X582="",FALSE,TRUE),OR(exact(Metadata!X582,"TRUE"),exact(Metadata!X582,"FALSE"))))</f>
        <v>0</v>
      </c>
      <c r="BK582">
        <f>AND(IF(Metadata!Y582="",FALSE,TRUE),exact(Metadata!Y582,"other"))</f>
        <v>0</v>
      </c>
      <c r="BL582">
        <f>IF(Metadata!Z582="",FALSE,TRUE)</f>
        <v>0</v>
      </c>
      <c r="BM582">
        <f>OR(AND(IF(Metadata!AA582="",FALSE,TRUE),OR(exact(Metadata!AA582,"not collected"),exact(Metadata!AA582,"not provided"))),AND(IF(Metadata!AA582="",FALSE,IF(ISERROR(INT(Metadata!AA582)),FALSE,INT(Metadata!AA582)=Metadata!AA582)),Metadata!AA582&gt;0))</f>
        <v>0</v>
      </c>
      <c r="BN582">
        <f>AND(IF(Metadata!AB582="",FALSE,TRUE),exact(Metadata!AB582,"Not applicable"))</f>
        <v>0</v>
      </c>
      <c r="BO582">
        <f>IF(Metadata!AC582="",FALSE,TRUE)</f>
        <v>0</v>
      </c>
    </row>
    <row r="583" spans="1:67">
      <c r="A583" s="5">
        <f>IF(B583=" "," ",HYPERLINK(CONCATENATE("#metadata!",ADDRESS(INDEX($AI$2:$AI$1001,MATCH(ROWS($AG$2:AG583),$AG$2:$AG$1001,0),0),1)),INDEX($AL$2:$AL$1001,MATCH(ROWS($AG$2:AG583),$AG$2:$AG$1001,0),0)))</f>
        <v>0</v>
      </c>
      <c r="B583" s="4">
        <f>IF(OR(INDEX($AH$2:$AH$1001,MATCH(ROWS($AG$2:AG583),$AG$2:$AG$1001,0),1)&gt;=100000,INDEX($AN$1005:$BO$1005,1,MATCH(COLUMNS($AN$1006:AN1006),$AN$1006:$BO$1006,0))&gt;=100000), " ",IF(INDEX($AN$2:$BO$1001,MATCH(ROWS($AG$2:AG583),$AG$2:$AG$1001,0),MATCH(COLUMNS($AN$1006:AN1006),$AN$1006:$BO$1006,0)), HYPERLINK("#",""), HYPERLINK(CONCATENATE("#Metadata!", ADDRESS(INDEX($AI$2:$AI$1001,MATCH(ROWS($AG$2:AG583),$AG$2:$AG$1001,0),0), INDEX($AN$1004:$BO$1004,1,MATCH(COLUMNS($AN$1006:AN1006),$AN$1006:$BO$1006,0)))),"Fix")))</f>
        <v>0</v>
      </c>
      <c r="C583" s="4">
        <f>IF(OR(INDEX($AH$2:$AH$1001,MATCH(ROWS($AG$2:AG583),$AG$2:$AG$1001,0),1)&gt;=100000,INDEX($AN$1005:$BO$1005,1,MATCH(COLUMNS($AN$1006:AO1006),$AN$1006:$BO$1006,0))&gt;=100000), " ",IF(INDEX($AN$2:$BO$1001,MATCH(ROWS($AG$2:AG583),$AG$2:$AG$1001,0),MATCH(COLUMNS($AN$1006:AO1006),$AN$1006:$BO$1006,0)), HYPERLINK("#",""), HYPERLINK(CONCATENATE("#Metadata!", ADDRESS(INDEX($AI$2:$AI$1001,MATCH(ROWS($AG$2:AG583),$AG$2:$AG$1001,0),0), INDEX($AN$1004:$BO$1004,1,MATCH(COLUMNS($AN$1006:AO1006),$AN$1006:$BO$1006,0)))),"Fix")))</f>
        <v>0</v>
      </c>
      <c r="D583" s="4">
        <f>IF(OR(INDEX($AH$2:$AH$1001,MATCH(ROWS($AG$2:AG583),$AG$2:$AG$1001,0),1)&gt;=100000,INDEX($AN$1005:$BO$1005,1,MATCH(COLUMNS($AN$1006:AP1006),$AN$1006:$BO$1006,0))&gt;=100000), " ",IF(INDEX($AN$2:$BO$1001,MATCH(ROWS($AG$2:AG583),$AG$2:$AG$1001,0),MATCH(COLUMNS($AN$1006:AP1006),$AN$1006:$BO$1006,0)), HYPERLINK("#",""), HYPERLINK(CONCATENATE("#Metadata!", ADDRESS(INDEX($AI$2:$AI$1001,MATCH(ROWS($AG$2:AG583),$AG$2:$AG$1001,0),0), INDEX($AN$1004:$BO$1004,1,MATCH(COLUMNS($AN$1006:AP1006),$AN$1006:$BO$1006,0)))),"Fix")))</f>
        <v>0</v>
      </c>
      <c r="E583" s="4">
        <f>IF(OR(INDEX($AH$2:$AH$1001,MATCH(ROWS($AG$2:AG583),$AG$2:$AG$1001,0),1)&gt;=100000,INDEX($AN$1005:$BO$1005,1,MATCH(COLUMNS($AN$1006:AQ1006),$AN$1006:$BO$1006,0))&gt;=100000), " ",IF(INDEX($AN$2:$BO$1001,MATCH(ROWS($AG$2:AG583),$AG$2:$AG$1001,0),MATCH(COLUMNS($AN$1006:AQ1006),$AN$1006:$BO$1006,0)), HYPERLINK("#",""), HYPERLINK(CONCATENATE("#Metadata!", ADDRESS(INDEX($AI$2:$AI$1001,MATCH(ROWS($AG$2:AG583),$AG$2:$AG$1001,0),0), INDEX($AN$1004:$BO$1004,1,MATCH(COLUMNS($AN$1006:AQ1006),$AN$1006:$BO$1006,0)))),"Fix")))</f>
        <v>0</v>
      </c>
      <c r="F583" s="4">
        <f>IF(OR(INDEX($AH$2:$AH$1001,MATCH(ROWS($AG$2:AG583),$AG$2:$AG$1001,0),1)&gt;=100000,INDEX($AN$1005:$BO$1005,1,MATCH(COLUMNS($AN$1006:AR1006),$AN$1006:$BO$1006,0))&gt;=100000), " ",IF(INDEX($AN$2:$BO$1001,MATCH(ROWS($AG$2:AG583),$AG$2:$AG$1001,0),MATCH(COLUMNS($AN$1006:AR1006),$AN$1006:$BO$1006,0)), HYPERLINK("#",""), HYPERLINK(CONCATENATE("#Metadata!", ADDRESS(INDEX($AI$2:$AI$1001,MATCH(ROWS($AG$2:AG583),$AG$2:$AG$1001,0),0), INDEX($AN$1004:$BO$1004,1,MATCH(COLUMNS($AN$1006:AR1006),$AN$1006:$BO$1006,0)))),"Fix")))</f>
        <v>0</v>
      </c>
      <c r="G583" s="4">
        <f>IF(OR(INDEX($AH$2:$AH$1001,MATCH(ROWS($AG$2:AG583),$AG$2:$AG$1001,0),1)&gt;=100000,INDEX($AN$1005:$BO$1005,1,MATCH(COLUMNS($AN$1006:AS1006),$AN$1006:$BO$1006,0))&gt;=100000), " ",IF(INDEX($AN$2:$BO$1001,MATCH(ROWS($AG$2:AG583),$AG$2:$AG$1001,0),MATCH(COLUMNS($AN$1006:AS1006),$AN$1006:$BO$1006,0)), HYPERLINK("#",""), HYPERLINK(CONCATENATE("#Metadata!", ADDRESS(INDEX($AI$2:$AI$1001,MATCH(ROWS($AG$2:AG583),$AG$2:$AG$1001,0),0), INDEX($AN$1004:$BO$1004,1,MATCH(COLUMNS($AN$1006:AS1006),$AN$1006:$BO$1006,0)))),"Fix")))</f>
        <v>0</v>
      </c>
      <c r="H583" s="4">
        <f>IF(OR(INDEX($AH$2:$AH$1001,MATCH(ROWS($AG$2:AG583),$AG$2:$AG$1001,0),1)&gt;=100000,INDEX($AN$1005:$BO$1005,1,MATCH(COLUMNS($AN$1006:AT1006),$AN$1006:$BO$1006,0))&gt;=100000), " ",IF(INDEX($AN$2:$BO$1001,MATCH(ROWS($AG$2:AG583),$AG$2:$AG$1001,0),MATCH(COLUMNS($AN$1006:AT1006),$AN$1006:$BO$1006,0)), HYPERLINK("#",""), HYPERLINK(CONCATENATE("#Metadata!", ADDRESS(INDEX($AI$2:$AI$1001,MATCH(ROWS($AG$2:AG583),$AG$2:$AG$1001,0),0), INDEX($AN$1004:$BO$1004,1,MATCH(COLUMNS($AN$1006:AT1006),$AN$1006:$BO$1006,0)))),"Fix")))</f>
        <v>0</v>
      </c>
      <c r="I583" s="4">
        <f>IF(OR(INDEX($AH$2:$AH$1001,MATCH(ROWS($AG$2:AG583),$AG$2:$AG$1001,0),1)&gt;=100000,INDEX($AN$1005:$BO$1005,1,MATCH(COLUMNS($AN$1006:AU1006),$AN$1006:$BO$1006,0))&gt;=100000), " ",IF(INDEX($AN$2:$BO$1001,MATCH(ROWS($AG$2:AG583),$AG$2:$AG$1001,0),MATCH(COLUMNS($AN$1006:AU1006),$AN$1006:$BO$1006,0)), HYPERLINK("#",""), HYPERLINK(CONCATENATE("#Metadata!", ADDRESS(INDEX($AI$2:$AI$1001,MATCH(ROWS($AG$2:AG583),$AG$2:$AG$1001,0),0), INDEX($AN$1004:$BO$1004,1,MATCH(COLUMNS($AN$1006:AU1006),$AN$1006:$BO$1006,0)))),"Fix")))</f>
        <v>0</v>
      </c>
      <c r="J583" s="4">
        <f>IF(OR(INDEX($AH$2:$AH$1001,MATCH(ROWS($AG$2:AG583),$AG$2:$AG$1001,0),1)&gt;=100000,INDEX($AN$1005:$BO$1005,1,MATCH(COLUMNS($AN$1006:AV1006),$AN$1006:$BO$1006,0))&gt;=100000), " ",IF(INDEX($AN$2:$BO$1001,MATCH(ROWS($AG$2:AG583),$AG$2:$AG$1001,0),MATCH(COLUMNS($AN$1006:AV1006),$AN$1006:$BO$1006,0)), HYPERLINK("#",""), HYPERLINK(CONCATENATE("#Metadata!", ADDRESS(INDEX($AI$2:$AI$1001,MATCH(ROWS($AG$2:AG583),$AG$2:$AG$1001,0),0), INDEX($AN$1004:$BO$1004,1,MATCH(COLUMNS($AN$1006:AV1006),$AN$1006:$BO$1006,0)))),"Fix")))</f>
        <v>0</v>
      </c>
      <c r="K583" s="4">
        <f>IF(OR(INDEX($AH$2:$AH$1001,MATCH(ROWS($AG$2:AG583),$AG$2:$AG$1001,0),1)&gt;=100000,INDEX($AN$1005:$BO$1005,1,MATCH(COLUMNS($AN$1006:AW1006),$AN$1006:$BO$1006,0))&gt;=100000), " ",IF(INDEX($AN$2:$BO$1001,MATCH(ROWS($AG$2:AG583),$AG$2:$AG$1001,0),MATCH(COLUMNS($AN$1006:AW1006),$AN$1006:$BO$1006,0)), HYPERLINK("#",""), HYPERLINK(CONCATENATE("#Metadata!", ADDRESS(INDEX($AI$2:$AI$1001,MATCH(ROWS($AG$2:AG583),$AG$2:$AG$1001,0),0), INDEX($AN$1004:$BO$1004,1,MATCH(COLUMNS($AN$1006:AW1006),$AN$1006:$BO$1006,0)))),"Fix")))</f>
        <v>0</v>
      </c>
      <c r="L583" s="4">
        <f>IF(OR(INDEX($AH$2:$AH$1001,MATCH(ROWS($AG$2:AG583),$AG$2:$AG$1001,0),1)&gt;=100000,INDEX($AN$1005:$BO$1005,1,MATCH(COLUMNS($AN$1006:AX1006),$AN$1006:$BO$1006,0))&gt;=100000), " ",IF(INDEX($AN$2:$BO$1001,MATCH(ROWS($AG$2:AG583),$AG$2:$AG$1001,0),MATCH(COLUMNS($AN$1006:AX1006),$AN$1006:$BO$1006,0)), HYPERLINK("#",""), HYPERLINK(CONCATENATE("#Metadata!", ADDRESS(INDEX($AI$2:$AI$1001,MATCH(ROWS($AG$2:AG583),$AG$2:$AG$1001,0),0), INDEX($AN$1004:$BO$1004,1,MATCH(COLUMNS($AN$1006:AX1006),$AN$1006:$BO$1006,0)))),"Fix")))</f>
        <v>0</v>
      </c>
      <c r="M583" s="4">
        <f>IF(OR(INDEX($AH$2:$AH$1001,MATCH(ROWS($AG$2:AG583),$AG$2:$AG$1001,0),1)&gt;=100000,INDEX($AN$1005:$BO$1005,1,MATCH(COLUMNS($AN$1006:AY1006),$AN$1006:$BO$1006,0))&gt;=100000), " ",IF(INDEX($AN$2:$BO$1001,MATCH(ROWS($AG$2:AG583),$AG$2:$AG$1001,0),MATCH(COLUMNS($AN$1006:AY1006),$AN$1006:$BO$1006,0)), HYPERLINK("#",""), HYPERLINK(CONCATENATE("#Metadata!", ADDRESS(INDEX($AI$2:$AI$1001,MATCH(ROWS($AG$2:AG583),$AG$2:$AG$1001,0),0), INDEX($AN$1004:$BO$1004,1,MATCH(COLUMNS($AN$1006:AY1006),$AN$1006:$BO$1006,0)))),"Fix")))</f>
        <v>0</v>
      </c>
      <c r="N583" s="4">
        <f>IF(OR(INDEX($AH$2:$AH$1001,MATCH(ROWS($AG$2:AG583),$AG$2:$AG$1001,0),1)&gt;=100000,INDEX($AN$1005:$BO$1005,1,MATCH(COLUMNS($AN$1006:AZ1006),$AN$1006:$BO$1006,0))&gt;=100000), " ",IF(INDEX($AN$2:$BO$1001,MATCH(ROWS($AG$2:AG583),$AG$2:$AG$1001,0),MATCH(COLUMNS($AN$1006:AZ1006),$AN$1006:$BO$1006,0)), HYPERLINK("#",""), HYPERLINK(CONCATENATE("#Metadata!", ADDRESS(INDEX($AI$2:$AI$1001,MATCH(ROWS($AG$2:AG583),$AG$2:$AG$1001,0),0), INDEX($AN$1004:$BO$1004,1,MATCH(COLUMNS($AN$1006:AZ1006),$AN$1006:$BO$1006,0)))),"Fix")))</f>
        <v>0</v>
      </c>
      <c r="O583" s="4">
        <f>IF(OR(INDEX($AH$2:$AH$1001,MATCH(ROWS($AG$2:AG583),$AG$2:$AG$1001,0),1)&gt;=100000,INDEX($AN$1005:$BO$1005,1,MATCH(COLUMNS($AN$1006:BA1006),$AN$1006:$BO$1006,0))&gt;=100000), " ",IF(INDEX($AN$2:$BO$1001,MATCH(ROWS($AG$2:AG583),$AG$2:$AG$1001,0),MATCH(COLUMNS($AN$1006:BA1006),$AN$1006:$BO$1006,0)), HYPERLINK("#",""), HYPERLINK(CONCATENATE("#Metadata!", ADDRESS(INDEX($AI$2:$AI$1001,MATCH(ROWS($AG$2:AG583),$AG$2:$AG$1001,0),0), INDEX($AN$1004:$BO$1004,1,MATCH(COLUMNS($AN$1006:BA1006),$AN$1006:$BO$1006,0)))),"Fix")))</f>
        <v>0</v>
      </c>
      <c r="P583" s="4">
        <f>IF(OR(INDEX($AH$2:$AH$1001,MATCH(ROWS($AG$2:AG583),$AG$2:$AG$1001,0),1)&gt;=100000,INDEX($AN$1005:$BO$1005,1,MATCH(COLUMNS($AN$1006:BB1006),$AN$1006:$BO$1006,0))&gt;=100000), " ",IF(INDEX($AN$2:$BO$1001,MATCH(ROWS($AG$2:AG583),$AG$2:$AG$1001,0),MATCH(COLUMNS($AN$1006:BB1006),$AN$1006:$BO$1006,0)), HYPERLINK("#",""), HYPERLINK(CONCATENATE("#Metadata!", ADDRESS(INDEX($AI$2:$AI$1001,MATCH(ROWS($AG$2:AG583),$AG$2:$AG$1001,0),0), INDEX($AN$1004:$BO$1004,1,MATCH(COLUMNS($AN$1006:BB1006),$AN$1006:$BO$1006,0)))),"Fix")))</f>
        <v>0</v>
      </c>
      <c r="Q583" s="4">
        <f>IF(OR(INDEX($AH$2:$AH$1001,MATCH(ROWS($AG$2:AG583),$AG$2:$AG$1001,0),1)&gt;=100000,INDEX($AN$1005:$BO$1005,1,MATCH(COLUMNS($AN$1006:BC1006),$AN$1006:$BO$1006,0))&gt;=100000), " ",IF(INDEX($AN$2:$BO$1001,MATCH(ROWS($AG$2:AG583),$AG$2:$AG$1001,0),MATCH(COLUMNS($AN$1006:BC1006),$AN$1006:$BO$1006,0)), HYPERLINK("#",""), HYPERLINK(CONCATENATE("#Metadata!", ADDRESS(INDEX($AI$2:$AI$1001,MATCH(ROWS($AG$2:AG583),$AG$2:$AG$1001,0),0), INDEX($AN$1004:$BO$1004,1,MATCH(COLUMNS($AN$1006:BC1006),$AN$1006:$BO$1006,0)))),"Fix")))</f>
        <v>0</v>
      </c>
      <c r="R583" s="4">
        <f>IF(OR(INDEX($AH$2:$AH$1001,MATCH(ROWS($AG$2:AG583),$AG$2:$AG$1001,0),1)&gt;=100000,INDEX($AN$1005:$BO$1005,1,MATCH(COLUMNS($AN$1006:BD1006),$AN$1006:$BO$1006,0))&gt;=100000), " ",IF(INDEX($AN$2:$BO$1001,MATCH(ROWS($AG$2:AG583),$AG$2:$AG$1001,0),MATCH(COLUMNS($AN$1006:BD1006),$AN$1006:$BO$1006,0)), HYPERLINK("#",""), HYPERLINK(CONCATENATE("#Metadata!", ADDRESS(INDEX($AI$2:$AI$1001,MATCH(ROWS($AG$2:AG583),$AG$2:$AG$1001,0),0), INDEX($AN$1004:$BO$1004,1,MATCH(COLUMNS($AN$1006:BD1006),$AN$1006:$BO$1006,0)))),"Fix")))</f>
        <v>0</v>
      </c>
      <c r="S583" s="4">
        <f>IF(OR(INDEX($AH$2:$AH$1001,MATCH(ROWS($AG$2:AG583),$AG$2:$AG$1001,0),1)&gt;=100000,INDEX($AN$1005:$BO$1005,1,MATCH(COLUMNS($AN$1006:BE1006),$AN$1006:$BO$1006,0))&gt;=100000), " ",IF(INDEX($AN$2:$BO$1001,MATCH(ROWS($AG$2:AG583),$AG$2:$AG$1001,0),MATCH(COLUMNS($AN$1006:BE1006),$AN$1006:$BO$1006,0)), HYPERLINK("#",""), HYPERLINK(CONCATENATE("#Metadata!", ADDRESS(INDEX($AI$2:$AI$1001,MATCH(ROWS($AG$2:AG583),$AG$2:$AG$1001,0),0), INDEX($AN$1004:$BO$1004,1,MATCH(COLUMNS($AN$1006:BE1006),$AN$1006:$BO$1006,0)))),"Fix")))</f>
        <v>0</v>
      </c>
      <c r="T583" s="4">
        <f>IF(OR(INDEX($AH$2:$AH$1001,MATCH(ROWS($AG$2:AG583),$AG$2:$AG$1001,0),1)&gt;=100000,INDEX($AN$1005:$BO$1005,1,MATCH(COLUMNS($AN$1006:BF1006),$AN$1006:$BO$1006,0))&gt;=100000), " ",IF(INDEX($AN$2:$BO$1001,MATCH(ROWS($AG$2:AG583),$AG$2:$AG$1001,0),MATCH(COLUMNS($AN$1006:BF1006),$AN$1006:$BO$1006,0)), HYPERLINK("#",""), HYPERLINK(CONCATENATE("#Metadata!", ADDRESS(INDEX($AI$2:$AI$1001,MATCH(ROWS($AG$2:AG583),$AG$2:$AG$1001,0),0), INDEX($AN$1004:$BO$1004,1,MATCH(COLUMNS($AN$1006:BF1006),$AN$1006:$BO$1006,0)))),"Fix")))</f>
        <v>0</v>
      </c>
      <c r="U583" s="4">
        <f>IF(OR(INDEX($AH$2:$AH$1001,MATCH(ROWS($AG$2:AG583),$AG$2:$AG$1001,0),1)&gt;=100000,INDEX($AN$1005:$BO$1005,1,MATCH(COLUMNS($AN$1006:BG1006),$AN$1006:$BO$1006,0))&gt;=100000), " ",IF(INDEX($AN$2:$BO$1001,MATCH(ROWS($AG$2:AG583),$AG$2:$AG$1001,0),MATCH(COLUMNS($AN$1006:BG1006),$AN$1006:$BO$1006,0)), HYPERLINK("#",""), HYPERLINK(CONCATENATE("#Metadata!", ADDRESS(INDEX($AI$2:$AI$1001,MATCH(ROWS($AG$2:AG583),$AG$2:$AG$1001,0),0), INDEX($AN$1004:$BO$1004,1,MATCH(COLUMNS($AN$1006:BG1006),$AN$1006:$BO$1006,0)))),"Fix")))</f>
        <v>0</v>
      </c>
      <c r="V583" s="4">
        <f>IF(OR(INDEX($AH$2:$AH$1001,MATCH(ROWS($AG$2:AG583),$AG$2:$AG$1001,0),1)&gt;=100000,INDEX($AN$1005:$BO$1005,1,MATCH(COLUMNS($AN$1006:BH1006),$AN$1006:$BO$1006,0))&gt;=100000), " ",IF(INDEX($AN$2:$BO$1001,MATCH(ROWS($AG$2:AG583),$AG$2:$AG$1001,0),MATCH(COLUMNS($AN$1006:BH1006),$AN$1006:$BO$1006,0)), HYPERLINK("#",""), HYPERLINK(CONCATENATE("#Metadata!", ADDRESS(INDEX($AI$2:$AI$1001,MATCH(ROWS($AG$2:AG583),$AG$2:$AG$1001,0),0), INDEX($AN$1004:$BO$1004,1,MATCH(COLUMNS($AN$1006:BH1006),$AN$1006:$BO$1006,0)))),"Fix")))</f>
        <v>0</v>
      </c>
      <c r="W583" s="4">
        <f>IF(OR(INDEX($AH$2:$AH$1001,MATCH(ROWS($AG$2:AG583),$AG$2:$AG$1001,0),1)&gt;=100000,INDEX($AN$1005:$BO$1005,1,MATCH(COLUMNS($AN$1006:BI1006),$AN$1006:$BO$1006,0))&gt;=100000), " ",IF(INDEX($AN$2:$BO$1001,MATCH(ROWS($AG$2:AG583),$AG$2:$AG$1001,0),MATCH(COLUMNS($AN$1006:BI1006),$AN$1006:$BO$1006,0)), HYPERLINK("#",""), HYPERLINK(CONCATENATE("#Metadata!", ADDRESS(INDEX($AI$2:$AI$1001,MATCH(ROWS($AG$2:AG583),$AG$2:$AG$1001,0),0), INDEX($AN$1004:$BO$1004,1,MATCH(COLUMNS($AN$1006:BI1006),$AN$1006:$BO$1006,0)))),"Fix")))</f>
        <v>0</v>
      </c>
      <c r="X583" s="4">
        <f>IF(OR(INDEX($AH$2:$AH$1001,MATCH(ROWS($AG$2:AG583),$AG$2:$AG$1001,0),1)&gt;=100000,INDEX($AN$1005:$BO$1005,1,MATCH(COLUMNS($AN$1006:BJ1006),$AN$1006:$BO$1006,0))&gt;=100000), " ",IF(INDEX($AN$2:$BO$1001,MATCH(ROWS($AG$2:AG583),$AG$2:$AG$1001,0),MATCH(COLUMNS($AN$1006:BJ1006),$AN$1006:$BO$1006,0)), HYPERLINK("#",""), HYPERLINK(CONCATENATE("#Metadata!", ADDRESS(INDEX($AI$2:$AI$1001,MATCH(ROWS($AG$2:AG583),$AG$2:$AG$1001,0),0), INDEX($AN$1004:$BO$1004,1,MATCH(COLUMNS($AN$1006:BJ1006),$AN$1006:$BO$1006,0)))),"Fix")))</f>
        <v>0</v>
      </c>
      <c r="Y583" s="4">
        <f>IF(OR(INDEX($AH$2:$AH$1001,MATCH(ROWS($AG$2:AG583),$AG$2:$AG$1001,0),1)&gt;=100000,INDEX($AN$1005:$BO$1005,1,MATCH(COLUMNS($AN$1006:BK1006),$AN$1006:$BO$1006,0))&gt;=100000), " ",IF(INDEX($AN$2:$BO$1001,MATCH(ROWS($AG$2:AG583),$AG$2:$AG$1001,0),MATCH(COLUMNS($AN$1006:BK1006),$AN$1006:$BO$1006,0)), HYPERLINK("#",""), HYPERLINK(CONCATENATE("#Metadata!", ADDRESS(INDEX($AI$2:$AI$1001,MATCH(ROWS($AG$2:AG583),$AG$2:$AG$1001,0),0), INDEX($AN$1004:$BO$1004,1,MATCH(COLUMNS($AN$1006:BK1006),$AN$1006:$BO$1006,0)))),"Fix")))</f>
        <v>0</v>
      </c>
      <c r="Z583" s="4">
        <f>IF(OR(INDEX($AH$2:$AH$1001,MATCH(ROWS($AG$2:AG583),$AG$2:$AG$1001,0),1)&gt;=100000,INDEX($AN$1005:$BO$1005,1,MATCH(COLUMNS($AN$1006:BL1006),$AN$1006:$BO$1006,0))&gt;=100000), " ",IF(INDEX($AN$2:$BO$1001,MATCH(ROWS($AG$2:AG583),$AG$2:$AG$1001,0),MATCH(COLUMNS($AN$1006:BL1006),$AN$1006:$BO$1006,0)), HYPERLINK("#",""), HYPERLINK(CONCATENATE("#Metadata!", ADDRESS(INDEX($AI$2:$AI$1001,MATCH(ROWS($AG$2:AG583),$AG$2:$AG$1001,0),0), INDEX($AN$1004:$BO$1004,1,MATCH(COLUMNS($AN$1006:BL1006),$AN$1006:$BO$1006,0)))),"Fix")))</f>
        <v>0</v>
      </c>
      <c r="AA583" s="4">
        <f>IF(OR(INDEX($AH$2:$AH$1001,MATCH(ROWS($AG$2:AG583),$AG$2:$AG$1001,0),1)&gt;=100000,INDEX($AN$1005:$BO$1005,1,MATCH(COLUMNS($AN$1006:BM1006),$AN$1006:$BO$1006,0))&gt;=100000), " ",IF(INDEX($AN$2:$BO$1001,MATCH(ROWS($AG$2:AG583),$AG$2:$AG$1001,0),MATCH(COLUMNS($AN$1006:BM1006),$AN$1006:$BO$1006,0)), HYPERLINK("#",""), HYPERLINK(CONCATENATE("#Metadata!", ADDRESS(INDEX($AI$2:$AI$1001,MATCH(ROWS($AG$2:AG583),$AG$2:$AG$1001,0),0), INDEX($AN$1004:$BO$1004,1,MATCH(COLUMNS($AN$1006:BM1006),$AN$1006:$BO$1006,0)))),"Fix")))</f>
        <v>0</v>
      </c>
      <c r="AB583" s="4">
        <f>IF(OR(INDEX($AH$2:$AH$1001,MATCH(ROWS($AG$2:AG583),$AG$2:$AG$1001,0),1)&gt;=100000,INDEX($AN$1005:$BO$1005,1,MATCH(COLUMNS($AN$1006:BN1006),$AN$1006:$BO$1006,0))&gt;=100000), " ",IF(INDEX($AN$2:$BO$1001,MATCH(ROWS($AG$2:AG583),$AG$2:$AG$1001,0),MATCH(COLUMNS($AN$1006:BN1006),$AN$1006:$BO$1006,0)), HYPERLINK("#",""), HYPERLINK(CONCATENATE("#Metadata!", ADDRESS(INDEX($AI$2:$AI$1001,MATCH(ROWS($AG$2:AG583),$AG$2:$AG$1001,0),0), INDEX($AN$1004:$BO$1004,1,MATCH(COLUMNS($AN$1006:BN1006),$AN$1006:$BO$1006,0)))),"Fix")))</f>
        <v>0</v>
      </c>
      <c r="AC583" s="4">
        <f>IF(OR(INDEX($AH$2:$AH$1001,MATCH(ROWS($AG$2:AG583),$AG$2:$AG$1001,0),1)&gt;=100000,INDEX($AN$1005:$BO$1005,1,MATCH(COLUMNS($AN$1006:BO1006),$AN$1006:$BO$1006,0))&gt;=100000), " ",IF(INDEX($AN$2:$BO$1001,MATCH(ROWS($AG$2:AG583),$AG$2:$AG$1001,0),MATCH(COLUMNS($AN$1006:BO1006),$AN$1006:$BO$1006,0)), HYPERLINK("#",""), HYPERLINK(CONCATENATE("#Metadata!", ADDRESS(INDEX($AI$2:$AI$1001,MATCH(ROWS($AG$2:AG583),$AG$2:$AG$1001,0),0), INDEX($AN$1004:$BO$1004,1,MATCH(COLUMNS($AN$1006:BO1006),$AN$1006:$BO$1006,0)))),"Fix")))</f>
        <v>0</v>
      </c>
      <c r="AG583">
        <v>0</v>
      </c>
      <c r="AH583">
        <v>0</v>
      </c>
      <c r="AI583">
        <v>0</v>
      </c>
      <c r="AJ583">
        <f>IF(AK583,TRUE,AND(AN583:BO583))</f>
        <v>0</v>
      </c>
      <c r="AK583">
        <f>COUNTBLANK(Metadata!B583:AC583)=COLUMNS(Metadata!B583:AC583)</f>
        <v>0</v>
      </c>
      <c r="AL583">
        <v>0</v>
      </c>
      <c r="AN583">
        <f>AND(IF(Metadata!B583="",FALSE,TRUE),COUNTIF(Metadata!B:B, Metadata!B583) = 1,NOT(ISERROR(SUMPRODUCT(SEARCH(MID(Metadata!B583,ROW(INDIRECT("1:"&amp;LEN(Metadata!B583))), 1),"0123456789abcdefghijklmnopqrstuvwxyzABCDEFGHIJKLMNOPQRSTUVWXYZ.")))))</f>
        <v>0</v>
      </c>
      <c r="AO583">
        <f>IF(Metadata!C583="",FALSE,TRUE)</f>
        <v>0</v>
      </c>
      <c r="AP583">
        <f>IF(Metadata!D583="",FALSE,TRUE)</f>
        <v>0</v>
      </c>
      <c r="AQ583">
        <f>OR(AND(IF(Metadata!E583="",FALSE,TRUE),OR(exact(Metadata!E583,"not collected"),exact(Metadata!E583,"not provided"),exact(Metadata!E583,"restricted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R583">
        <f>IF(Metadata!F583="",FALSE,TRUE)</f>
        <v>0</v>
      </c>
      <c r="AS583">
        <f>OR(AND(IF(Metadata!G583="",FALSE,TRUE),OR(exact(Metadata!G583,"not collected"),exact(Metadata!G583,"not provided"))),AND(IF(Metadata!G583="",FALSE,TRUE),OR(exact(Metadata!G583,"TRUE"),exact(Metadata!G583,"FALSE"))))</f>
        <v>0</v>
      </c>
      <c r="AT583">
        <f>OR(AND(IF(Metadata!H583="",FALSE,TRUE),OR(exact(Metadata!H583,"not collected"),exact(Metadata!H583,"not provided"),exact(Metadata!H583,"restricted access"))),AND(IF(Metadata!H583="",FALSE,ISNUMBER(VALUE(Metadata!H583))),Metadata!H583&gt;=-413.0))</f>
        <v>0</v>
      </c>
      <c r="AU583">
        <f>AND(IF(Metadata!I583="",FALSE,TRUE),exact(Metadata!I583,"meters"))</f>
        <v>0</v>
      </c>
      <c r="AV583">
        <f>AND(IF(Metadata!J583="",FALSE,TRUE),OR(exact(Metadata!J583,"Host-associated"),exact(Metadata!J583,"Free-living")))</f>
        <v>0</v>
      </c>
      <c r="AW583">
        <f>AND(IF(Metadata!K583="",FALSE,TRUE),OR(exact(Metadata!K583,"Animal"),exact(Metadata!K583,"Fungus"),exact(Metadata!K583,"Plant"),exact(Metadata!K583,"Saline"),exact(Metadata!K583,"Non-saline")))</f>
        <v>0</v>
      </c>
      <c r="AX583">
        <f>AND(IF(Metadata!L583="",FALSE,TRUE),OR(exact(Metadata!L583,"Plant secretion"),exact(Metadata!L583,"Plant rhizosphere"),exact(Metadata!L583,"Plant surface"),exact(Metadata!L583,"Plant corpus"),exact(Metadata!L583,"Fungus surface"),exact(Metadata!L583,"Fungus corpus"),exact(Metadata!L583,"Animal surface"),exact(Metadata!L583,"Animal proximal gut"),exact(Metadata!L583,"Animal corpus"),exact(Metadata!L583,"Animal distal gut"),exact(Metadata!L583,"Animal secretion"),exact(Metadata!L583,"Sub-surface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Y583">
        <f>IF(Metadata!M583="",FALSE,TRUE)</f>
        <v>0</v>
      </c>
      <c r="AZ583">
        <f>IF(Metadata!N583="",FALSE,TRUE)</f>
        <v>0</v>
      </c>
      <c r="BA583">
        <f>IF(Metadata!O583="",FALSE,TRUE)</f>
        <v>0</v>
      </c>
      <c r="BB583">
        <f>OR(AND(IF(Metadata!P583="",FALSE,TRUE),OR(exact(Metadata!P583,"not collected"),exact(Metadata!P583,"not provided"),exact(Metadata!P583,"restricted access"))),AND(IF(Metadata!P583="",FALSE,TRUE),OR(exact(Metadata!P583,"air"),exact(Metadata!P583,"built environment"),exact(Metadata!P583,"host-associated"),exact(Metadata!P583,"human-associated"),exact(Metadata!P583,"human-skin"),exact(Metadata!P583,"human-oral"),exact(Metadata!P583,"human-gut"),exact(Metadata!P583,"human-vaginal"),exact(Metadata!P583,"microbial mat/biofilm"),exact(Metadata!P583,"misc environment"),exact(Metadata!P583,"plant-associated"),exact(Metadata!P583,"sediment"),exact(Metadata!P583,"soil"),exact(Metadata!P583,"wastewater/sludge"),exact(Metadata!P583,"water"))))</f>
        <v>0</v>
      </c>
      <c r="BC583">
        <f>IF(Metadata!Q583="",FALSE,TRUE)</f>
        <v>0</v>
      </c>
      <c r="BD583">
        <f>IF(Metadata!R583="",FALSE,TRUE)</f>
        <v>0</v>
      </c>
      <c r="BE583">
        <f>OR(AND(IF(Metadata!S583="",FALSE,TRUE),OR(exact(Metadata!S583,"not collected"),exact(Metadata!S583,"not provided"),exact(Metadata!S583,"restricted access"))),AND(IF(Metadata!S583="",FALSE,ISNUMBER(VALUE(Metadata!S583))),Metadata!S583&gt;=-90.00,Metadata!S583&lt;=90.00))</f>
        <v>0</v>
      </c>
      <c r="BF583">
        <f>AND(IF(Metadata!T583="",FALSE,TRUE),exact(Metadata!T583,"Decimal degrees"))</f>
        <v>0</v>
      </c>
      <c r="BG583">
        <f>OR(AND(IF(Metadata!U583="",FALSE,TRUE),OR(exact(Metadata!U583,"not collected"),exact(Metadata!U583,"not provided"),exact(Metadata!U583,"restricted access"))),AND(IF(Metadata!U583="",FALSE,ISNUMBER(VALUE(Metadata!U583))),Metadata!U583&gt;=-180.00,Metadata!U583&lt;=180.00))</f>
        <v>0</v>
      </c>
      <c r="BH583">
        <f>AND(IF(Metadata!V583="",FALSE,TRUE),exact(Metadata!V583,"Decimal degrees"))</f>
        <v>0</v>
      </c>
      <c r="BI583">
        <f>IF(Metadata!W583="",FALSE,TRUE)</f>
        <v>0</v>
      </c>
      <c r="BJ583">
        <f>OR(AND(IF(Metadata!X583="",FALSE,TRUE),OR(exact(Metadata!X583,"not collected"),exact(Metadata!X583,"not provided"),exact(Metadata!X583,"restricted access"))),AND(IF(Metadata!X583="",FALSE,TRUE),OR(exact(Metadata!X583,"TRUE"),exact(Metadata!X583,"FALSE"))))</f>
        <v>0</v>
      </c>
      <c r="BK583">
        <f>AND(IF(Metadata!Y583="",FALSE,TRUE),exact(Metadata!Y583,"other"))</f>
        <v>0</v>
      </c>
      <c r="BL583">
        <f>IF(Metadata!Z583="",FALSE,TRUE)</f>
        <v>0</v>
      </c>
      <c r="BM583">
        <f>OR(AND(IF(Metadata!AA583="",FALSE,TRUE),OR(exact(Metadata!AA583,"not collected"),exact(Metadata!AA583,"not provided"))),AND(IF(Metadata!AA583="",FALSE,IF(ISERROR(INT(Metadata!AA583)),FALSE,INT(Metadata!AA583)=Metadata!AA583)),Metadata!AA583&gt;0))</f>
        <v>0</v>
      </c>
      <c r="BN583">
        <f>AND(IF(Metadata!AB583="",FALSE,TRUE),exact(Metadata!AB583,"Not applicable"))</f>
        <v>0</v>
      </c>
      <c r="BO583">
        <f>IF(Metadata!AC583="",FALSE,TRUE)</f>
        <v>0</v>
      </c>
    </row>
    <row r="584" spans="1:67">
      <c r="A584" s="5">
        <f>IF(B584=" "," ",HYPERLINK(CONCATENATE("#metadata!",ADDRESS(INDEX($AI$2:$AI$1001,MATCH(ROWS($AG$2:AG584),$AG$2:$AG$1001,0),0),1)),INDEX($AL$2:$AL$1001,MATCH(ROWS($AG$2:AG584),$AG$2:$AG$1001,0),0)))</f>
        <v>0</v>
      </c>
      <c r="B584" s="4">
        <f>IF(OR(INDEX($AH$2:$AH$1001,MATCH(ROWS($AG$2:AG584),$AG$2:$AG$1001,0),1)&gt;=100000,INDEX($AN$1005:$BO$1005,1,MATCH(COLUMNS($AN$1006:AN1006),$AN$1006:$BO$1006,0))&gt;=100000), " ",IF(INDEX($AN$2:$BO$1001,MATCH(ROWS($AG$2:AG584),$AG$2:$AG$1001,0),MATCH(COLUMNS($AN$1006:AN1006),$AN$1006:$BO$1006,0)), HYPERLINK("#",""), HYPERLINK(CONCATENATE("#Metadata!", ADDRESS(INDEX($AI$2:$AI$1001,MATCH(ROWS($AG$2:AG584),$AG$2:$AG$1001,0),0), INDEX($AN$1004:$BO$1004,1,MATCH(COLUMNS($AN$1006:AN1006),$AN$1006:$BO$1006,0)))),"Fix")))</f>
        <v>0</v>
      </c>
      <c r="C584" s="4">
        <f>IF(OR(INDEX($AH$2:$AH$1001,MATCH(ROWS($AG$2:AG584),$AG$2:$AG$1001,0),1)&gt;=100000,INDEX($AN$1005:$BO$1005,1,MATCH(COLUMNS($AN$1006:AO1006),$AN$1006:$BO$1006,0))&gt;=100000), " ",IF(INDEX($AN$2:$BO$1001,MATCH(ROWS($AG$2:AG584),$AG$2:$AG$1001,0),MATCH(COLUMNS($AN$1006:AO1006),$AN$1006:$BO$1006,0)), HYPERLINK("#",""), HYPERLINK(CONCATENATE("#Metadata!", ADDRESS(INDEX($AI$2:$AI$1001,MATCH(ROWS($AG$2:AG584),$AG$2:$AG$1001,0),0), INDEX($AN$1004:$BO$1004,1,MATCH(COLUMNS($AN$1006:AO1006),$AN$1006:$BO$1006,0)))),"Fix")))</f>
        <v>0</v>
      </c>
      <c r="D584" s="4">
        <f>IF(OR(INDEX($AH$2:$AH$1001,MATCH(ROWS($AG$2:AG584),$AG$2:$AG$1001,0),1)&gt;=100000,INDEX($AN$1005:$BO$1005,1,MATCH(COLUMNS($AN$1006:AP1006),$AN$1006:$BO$1006,0))&gt;=100000), " ",IF(INDEX($AN$2:$BO$1001,MATCH(ROWS($AG$2:AG584),$AG$2:$AG$1001,0),MATCH(COLUMNS($AN$1006:AP1006),$AN$1006:$BO$1006,0)), HYPERLINK("#",""), HYPERLINK(CONCATENATE("#Metadata!", ADDRESS(INDEX($AI$2:$AI$1001,MATCH(ROWS($AG$2:AG584),$AG$2:$AG$1001,0),0), INDEX($AN$1004:$BO$1004,1,MATCH(COLUMNS($AN$1006:AP1006),$AN$1006:$BO$1006,0)))),"Fix")))</f>
        <v>0</v>
      </c>
      <c r="E584" s="4">
        <f>IF(OR(INDEX($AH$2:$AH$1001,MATCH(ROWS($AG$2:AG584),$AG$2:$AG$1001,0),1)&gt;=100000,INDEX($AN$1005:$BO$1005,1,MATCH(COLUMNS($AN$1006:AQ1006),$AN$1006:$BO$1006,0))&gt;=100000), " ",IF(INDEX($AN$2:$BO$1001,MATCH(ROWS($AG$2:AG584),$AG$2:$AG$1001,0),MATCH(COLUMNS($AN$1006:AQ1006),$AN$1006:$BO$1006,0)), HYPERLINK("#",""), HYPERLINK(CONCATENATE("#Metadata!", ADDRESS(INDEX($AI$2:$AI$1001,MATCH(ROWS($AG$2:AG584),$AG$2:$AG$1001,0),0), INDEX($AN$1004:$BO$1004,1,MATCH(COLUMNS($AN$1006:AQ1006),$AN$1006:$BO$1006,0)))),"Fix")))</f>
        <v>0</v>
      </c>
      <c r="F584" s="4">
        <f>IF(OR(INDEX($AH$2:$AH$1001,MATCH(ROWS($AG$2:AG584),$AG$2:$AG$1001,0),1)&gt;=100000,INDEX($AN$1005:$BO$1005,1,MATCH(COLUMNS($AN$1006:AR1006),$AN$1006:$BO$1006,0))&gt;=100000), " ",IF(INDEX($AN$2:$BO$1001,MATCH(ROWS($AG$2:AG584),$AG$2:$AG$1001,0),MATCH(COLUMNS($AN$1006:AR1006),$AN$1006:$BO$1006,0)), HYPERLINK("#",""), HYPERLINK(CONCATENATE("#Metadata!", ADDRESS(INDEX($AI$2:$AI$1001,MATCH(ROWS($AG$2:AG584),$AG$2:$AG$1001,0),0), INDEX($AN$1004:$BO$1004,1,MATCH(COLUMNS($AN$1006:AR1006),$AN$1006:$BO$1006,0)))),"Fix")))</f>
        <v>0</v>
      </c>
      <c r="G584" s="4">
        <f>IF(OR(INDEX($AH$2:$AH$1001,MATCH(ROWS($AG$2:AG584),$AG$2:$AG$1001,0),1)&gt;=100000,INDEX($AN$1005:$BO$1005,1,MATCH(COLUMNS($AN$1006:AS1006),$AN$1006:$BO$1006,0))&gt;=100000), " ",IF(INDEX($AN$2:$BO$1001,MATCH(ROWS($AG$2:AG584),$AG$2:$AG$1001,0),MATCH(COLUMNS($AN$1006:AS1006),$AN$1006:$BO$1006,0)), HYPERLINK("#",""), HYPERLINK(CONCATENATE("#Metadata!", ADDRESS(INDEX($AI$2:$AI$1001,MATCH(ROWS($AG$2:AG584),$AG$2:$AG$1001,0),0), INDEX($AN$1004:$BO$1004,1,MATCH(COLUMNS($AN$1006:AS1006),$AN$1006:$BO$1006,0)))),"Fix")))</f>
        <v>0</v>
      </c>
      <c r="H584" s="4">
        <f>IF(OR(INDEX($AH$2:$AH$1001,MATCH(ROWS($AG$2:AG584),$AG$2:$AG$1001,0),1)&gt;=100000,INDEX($AN$1005:$BO$1005,1,MATCH(COLUMNS($AN$1006:AT1006),$AN$1006:$BO$1006,0))&gt;=100000), " ",IF(INDEX($AN$2:$BO$1001,MATCH(ROWS($AG$2:AG584),$AG$2:$AG$1001,0),MATCH(COLUMNS($AN$1006:AT1006),$AN$1006:$BO$1006,0)), HYPERLINK("#",""), HYPERLINK(CONCATENATE("#Metadata!", ADDRESS(INDEX($AI$2:$AI$1001,MATCH(ROWS($AG$2:AG584),$AG$2:$AG$1001,0),0), INDEX($AN$1004:$BO$1004,1,MATCH(COLUMNS($AN$1006:AT1006),$AN$1006:$BO$1006,0)))),"Fix")))</f>
        <v>0</v>
      </c>
      <c r="I584" s="4">
        <f>IF(OR(INDEX($AH$2:$AH$1001,MATCH(ROWS($AG$2:AG584),$AG$2:$AG$1001,0),1)&gt;=100000,INDEX($AN$1005:$BO$1005,1,MATCH(COLUMNS($AN$1006:AU1006),$AN$1006:$BO$1006,0))&gt;=100000), " ",IF(INDEX($AN$2:$BO$1001,MATCH(ROWS($AG$2:AG584),$AG$2:$AG$1001,0),MATCH(COLUMNS($AN$1006:AU1006),$AN$1006:$BO$1006,0)), HYPERLINK("#",""), HYPERLINK(CONCATENATE("#Metadata!", ADDRESS(INDEX($AI$2:$AI$1001,MATCH(ROWS($AG$2:AG584),$AG$2:$AG$1001,0),0), INDEX($AN$1004:$BO$1004,1,MATCH(COLUMNS($AN$1006:AU1006),$AN$1006:$BO$1006,0)))),"Fix")))</f>
        <v>0</v>
      </c>
      <c r="J584" s="4">
        <f>IF(OR(INDEX($AH$2:$AH$1001,MATCH(ROWS($AG$2:AG584),$AG$2:$AG$1001,0),1)&gt;=100000,INDEX($AN$1005:$BO$1005,1,MATCH(COLUMNS($AN$1006:AV1006),$AN$1006:$BO$1006,0))&gt;=100000), " ",IF(INDEX($AN$2:$BO$1001,MATCH(ROWS($AG$2:AG584),$AG$2:$AG$1001,0),MATCH(COLUMNS($AN$1006:AV1006),$AN$1006:$BO$1006,0)), HYPERLINK("#",""), HYPERLINK(CONCATENATE("#Metadata!", ADDRESS(INDEX($AI$2:$AI$1001,MATCH(ROWS($AG$2:AG584),$AG$2:$AG$1001,0),0), INDEX($AN$1004:$BO$1004,1,MATCH(COLUMNS($AN$1006:AV1006),$AN$1006:$BO$1006,0)))),"Fix")))</f>
        <v>0</v>
      </c>
      <c r="K584" s="4">
        <f>IF(OR(INDEX($AH$2:$AH$1001,MATCH(ROWS($AG$2:AG584),$AG$2:$AG$1001,0),1)&gt;=100000,INDEX($AN$1005:$BO$1005,1,MATCH(COLUMNS($AN$1006:AW1006),$AN$1006:$BO$1006,0))&gt;=100000), " ",IF(INDEX($AN$2:$BO$1001,MATCH(ROWS($AG$2:AG584),$AG$2:$AG$1001,0),MATCH(COLUMNS($AN$1006:AW1006),$AN$1006:$BO$1006,0)), HYPERLINK("#",""), HYPERLINK(CONCATENATE("#Metadata!", ADDRESS(INDEX($AI$2:$AI$1001,MATCH(ROWS($AG$2:AG584),$AG$2:$AG$1001,0),0), INDEX($AN$1004:$BO$1004,1,MATCH(COLUMNS($AN$1006:AW1006),$AN$1006:$BO$1006,0)))),"Fix")))</f>
        <v>0</v>
      </c>
      <c r="L584" s="4">
        <f>IF(OR(INDEX($AH$2:$AH$1001,MATCH(ROWS($AG$2:AG584),$AG$2:$AG$1001,0),1)&gt;=100000,INDEX($AN$1005:$BO$1005,1,MATCH(COLUMNS($AN$1006:AX1006),$AN$1006:$BO$1006,0))&gt;=100000), " ",IF(INDEX($AN$2:$BO$1001,MATCH(ROWS($AG$2:AG584),$AG$2:$AG$1001,0),MATCH(COLUMNS($AN$1006:AX1006),$AN$1006:$BO$1006,0)), HYPERLINK("#",""), HYPERLINK(CONCATENATE("#Metadata!", ADDRESS(INDEX($AI$2:$AI$1001,MATCH(ROWS($AG$2:AG584),$AG$2:$AG$1001,0),0), INDEX($AN$1004:$BO$1004,1,MATCH(COLUMNS($AN$1006:AX1006),$AN$1006:$BO$1006,0)))),"Fix")))</f>
        <v>0</v>
      </c>
      <c r="M584" s="4">
        <f>IF(OR(INDEX($AH$2:$AH$1001,MATCH(ROWS($AG$2:AG584),$AG$2:$AG$1001,0),1)&gt;=100000,INDEX($AN$1005:$BO$1005,1,MATCH(COLUMNS($AN$1006:AY1006),$AN$1006:$BO$1006,0))&gt;=100000), " ",IF(INDEX($AN$2:$BO$1001,MATCH(ROWS($AG$2:AG584),$AG$2:$AG$1001,0),MATCH(COLUMNS($AN$1006:AY1006),$AN$1006:$BO$1006,0)), HYPERLINK("#",""), HYPERLINK(CONCATENATE("#Metadata!", ADDRESS(INDEX($AI$2:$AI$1001,MATCH(ROWS($AG$2:AG584),$AG$2:$AG$1001,0),0), INDEX($AN$1004:$BO$1004,1,MATCH(COLUMNS($AN$1006:AY1006),$AN$1006:$BO$1006,0)))),"Fix")))</f>
        <v>0</v>
      </c>
      <c r="N584" s="4">
        <f>IF(OR(INDEX($AH$2:$AH$1001,MATCH(ROWS($AG$2:AG584),$AG$2:$AG$1001,0),1)&gt;=100000,INDEX($AN$1005:$BO$1005,1,MATCH(COLUMNS($AN$1006:AZ1006),$AN$1006:$BO$1006,0))&gt;=100000), " ",IF(INDEX($AN$2:$BO$1001,MATCH(ROWS($AG$2:AG584),$AG$2:$AG$1001,0),MATCH(COLUMNS($AN$1006:AZ1006),$AN$1006:$BO$1006,0)), HYPERLINK("#",""), HYPERLINK(CONCATENATE("#Metadata!", ADDRESS(INDEX($AI$2:$AI$1001,MATCH(ROWS($AG$2:AG584),$AG$2:$AG$1001,0),0), INDEX($AN$1004:$BO$1004,1,MATCH(COLUMNS($AN$1006:AZ1006),$AN$1006:$BO$1006,0)))),"Fix")))</f>
        <v>0</v>
      </c>
      <c r="O584" s="4">
        <f>IF(OR(INDEX($AH$2:$AH$1001,MATCH(ROWS($AG$2:AG584),$AG$2:$AG$1001,0),1)&gt;=100000,INDEX($AN$1005:$BO$1005,1,MATCH(COLUMNS($AN$1006:BA1006),$AN$1006:$BO$1006,0))&gt;=100000), " ",IF(INDEX($AN$2:$BO$1001,MATCH(ROWS($AG$2:AG584),$AG$2:$AG$1001,0),MATCH(COLUMNS($AN$1006:BA1006),$AN$1006:$BO$1006,0)), HYPERLINK("#",""), HYPERLINK(CONCATENATE("#Metadata!", ADDRESS(INDEX($AI$2:$AI$1001,MATCH(ROWS($AG$2:AG584),$AG$2:$AG$1001,0),0), INDEX($AN$1004:$BO$1004,1,MATCH(COLUMNS($AN$1006:BA1006),$AN$1006:$BO$1006,0)))),"Fix")))</f>
        <v>0</v>
      </c>
      <c r="P584" s="4">
        <f>IF(OR(INDEX($AH$2:$AH$1001,MATCH(ROWS($AG$2:AG584),$AG$2:$AG$1001,0),1)&gt;=100000,INDEX($AN$1005:$BO$1005,1,MATCH(COLUMNS($AN$1006:BB1006),$AN$1006:$BO$1006,0))&gt;=100000), " ",IF(INDEX($AN$2:$BO$1001,MATCH(ROWS($AG$2:AG584),$AG$2:$AG$1001,0),MATCH(COLUMNS($AN$1006:BB1006),$AN$1006:$BO$1006,0)), HYPERLINK("#",""), HYPERLINK(CONCATENATE("#Metadata!", ADDRESS(INDEX($AI$2:$AI$1001,MATCH(ROWS($AG$2:AG584),$AG$2:$AG$1001,0),0), INDEX($AN$1004:$BO$1004,1,MATCH(COLUMNS($AN$1006:BB1006),$AN$1006:$BO$1006,0)))),"Fix")))</f>
        <v>0</v>
      </c>
      <c r="Q584" s="4">
        <f>IF(OR(INDEX($AH$2:$AH$1001,MATCH(ROWS($AG$2:AG584),$AG$2:$AG$1001,0),1)&gt;=100000,INDEX($AN$1005:$BO$1005,1,MATCH(COLUMNS($AN$1006:BC1006),$AN$1006:$BO$1006,0))&gt;=100000), " ",IF(INDEX($AN$2:$BO$1001,MATCH(ROWS($AG$2:AG584),$AG$2:$AG$1001,0),MATCH(COLUMNS($AN$1006:BC1006),$AN$1006:$BO$1006,0)), HYPERLINK("#",""), HYPERLINK(CONCATENATE("#Metadata!", ADDRESS(INDEX($AI$2:$AI$1001,MATCH(ROWS($AG$2:AG584),$AG$2:$AG$1001,0),0), INDEX($AN$1004:$BO$1004,1,MATCH(COLUMNS($AN$1006:BC1006),$AN$1006:$BO$1006,0)))),"Fix")))</f>
        <v>0</v>
      </c>
      <c r="R584" s="4">
        <f>IF(OR(INDEX($AH$2:$AH$1001,MATCH(ROWS($AG$2:AG584),$AG$2:$AG$1001,0),1)&gt;=100000,INDEX($AN$1005:$BO$1005,1,MATCH(COLUMNS($AN$1006:BD1006),$AN$1006:$BO$1006,0))&gt;=100000), " ",IF(INDEX($AN$2:$BO$1001,MATCH(ROWS($AG$2:AG584),$AG$2:$AG$1001,0),MATCH(COLUMNS($AN$1006:BD1006),$AN$1006:$BO$1006,0)), HYPERLINK("#",""), HYPERLINK(CONCATENATE("#Metadata!", ADDRESS(INDEX($AI$2:$AI$1001,MATCH(ROWS($AG$2:AG584),$AG$2:$AG$1001,0),0), INDEX($AN$1004:$BO$1004,1,MATCH(COLUMNS($AN$1006:BD1006),$AN$1006:$BO$1006,0)))),"Fix")))</f>
        <v>0</v>
      </c>
      <c r="S584" s="4">
        <f>IF(OR(INDEX($AH$2:$AH$1001,MATCH(ROWS($AG$2:AG584),$AG$2:$AG$1001,0),1)&gt;=100000,INDEX($AN$1005:$BO$1005,1,MATCH(COLUMNS($AN$1006:BE1006),$AN$1006:$BO$1006,0))&gt;=100000), " ",IF(INDEX($AN$2:$BO$1001,MATCH(ROWS($AG$2:AG584),$AG$2:$AG$1001,0),MATCH(COLUMNS($AN$1006:BE1006),$AN$1006:$BO$1006,0)), HYPERLINK("#",""), HYPERLINK(CONCATENATE("#Metadata!", ADDRESS(INDEX($AI$2:$AI$1001,MATCH(ROWS($AG$2:AG584),$AG$2:$AG$1001,0),0), INDEX($AN$1004:$BO$1004,1,MATCH(COLUMNS($AN$1006:BE1006),$AN$1006:$BO$1006,0)))),"Fix")))</f>
        <v>0</v>
      </c>
      <c r="T584" s="4">
        <f>IF(OR(INDEX($AH$2:$AH$1001,MATCH(ROWS($AG$2:AG584),$AG$2:$AG$1001,0),1)&gt;=100000,INDEX($AN$1005:$BO$1005,1,MATCH(COLUMNS($AN$1006:BF1006),$AN$1006:$BO$1006,0))&gt;=100000), " ",IF(INDEX($AN$2:$BO$1001,MATCH(ROWS($AG$2:AG584),$AG$2:$AG$1001,0),MATCH(COLUMNS($AN$1006:BF1006),$AN$1006:$BO$1006,0)), HYPERLINK("#",""), HYPERLINK(CONCATENATE("#Metadata!", ADDRESS(INDEX($AI$2:$AI$1001,MATCH(ROWS($AG$2:AG584),$AG$2:$AG$1001,0),0), INDEX($AN$1004:$BO$1004,1,MATCH(COLUMNS($AN$1006:BF1006),$AN$1006:$BO$1006,0)))),"Fix")))</f>
        <v>0</v>
      </c>
      <c r="U584" s="4">
        <f>IF(OR(INDEX($AH$2:$AH$1001,MATCH(ROWS($AG$2:AG584),$AG$2:$AG$1001,0),1)&gt;=100000,INDEX($AN$1005:$BO$1005,1,MATCH(COLUMNS($AN$1006:BG1006),$AN$1006:$BO$1006,0))&gt;=100000), " ",IF(INDEX($AN$2:$BO$1001,MATCH(ROWS($AG$2:AG584),$AG$2:$AG$1001,0),MATCH(COLUMNS($AN$1006:BG1006),$AN$1006:$BO$1006,0)), HYPERLINK("#",""), HYPERLINK(CONCATENATE("#Metadata!", ADDRESS(INDEX($AI$2:$AI$1001,MATCH(ROWS($AG$2:AG584),$AG$2:$AG$1001,0),0), INDEX($AN$1004:$BO$1004,1,MATCH(COLUMNS($AN$1006:BG1006),$AN$1006:$BO$1006,0)))),"Fix")))</f>
        <v>0</v>
      </c>
      <c r="V584" s="4">
        <f>IF(OR(INDEX($AH$2:$AH$1001,MATCH(ROWS($AG$2:AG584),$AG$2:$AG$1001,0),1)&gt;=100000,INDEX($AN$1005:$BO$1005,1,MATCH(COLUMNS($AN$1006:BH1006),$AN$1006:$BO$1006,0))&gt;=100000), " ",IF(INDEX($AN$2:$BO$1001,MATCH(ROWS($AG$2:AG584),$AG$2:$AG$1001,0),MATCH(COLUMNS($AN$1006:BH1006),$AN$1006:$BO$1006,0)), HYPERLINK("#",""), HYPERLINK(CONCATENATE("#Metadata!", ADDRESS(INDEX($AI$2:$AI$1001,MATCH(ROWS($AG$2:AG584),$AG$2:$AG$1001,0),0), INDEX($AN$1004:$BO$1004,1,MATCH(COLUMNS($AN$1006:BH1006),$AN$1006:$BO$1006,0)))),"Fix")))</f>
        <v>0</v>
      </c>
      <c r="W584" s="4">
        <f>IF(OR(INDEX($AH$2:$AH$1001,MATCH(ROWS($AG$2:AG584),$AG$2:$AG$1001,0),1)&gt;=100000,INDEX($AN$1005:$BO$1005,1,MATCH(COLUMNS($AN$1006:BI1006),$AN$1006:$BO$1006,0))&gt;=100000), " ",IF(INDEX($AN$2:$BO$1001,MATCH(ROWS($AG$2:AG584),$AG$2:$AG$1001,0),MATCH(COLUMNS($AN$1006:BI1006),$AN$1006:$BO$1006,0)), HYPERLINK("#",""), HYPERLINK(CONCATENATE("#Metadata!", ADDRESS(INDEX($AI$2:$AI$1001,MATCH(ROWS($AG$2:AG584),$AG$2:$AG$1001,0),0), INDEX($AN$1004:$BO$1004,1,MATCH(COLUMNS($AN$1006:BI1006),$AN$1006:$BO$1006,0)))),"Fix")))</f>
        <v>0</v>
      </c>
      <c r="X584" s="4">
        <f>IF(OR(INDEX($AH$2:$AH$1001,MATCH(ROWS($AG$2:AG584),$AG$2:$AG$1001,0),1)&gt;=100000,INDEX($AN$1005:$BO$1005,1,MATCH(COLUMNS($AN$1006:BJ1006),$AN$1006:$BO$1006,0))&gt;=100000), " ",IF(INDEX($AN$2:$BO$1001,MATCH(ROWS($AG$2:AG584),$AG$2:$AG$1001,0),MATCH(COLUMNS($AN$1006:BJ1006),$AN$1006:$BO$1006,0)), HYPERLINK("#",""), HYPERLINK(CONCATENATE("#Metadata!", ADDRESS(INDEX($AI$2:$AI$1001,MATCH(ROWS($AG$2:AG584),$AG$2:$AG$1001,0),0), INDEX($AN$1004:$BO$1004,1,MATCH(COLUMNS($AN$1006:BJ1006),$AN$1006:$BO$1006,0)))),"Fix")))</f>
        <v>0</v>
      </c>
      <c r="Y584" s="4">
        <f>IF(OR(INDEX($AH$2:$AH$1001,MATCH(ROWS($AG$2:AG584),$AG$2:$AG$1001,0),1)&gt;=100000,INDEX($AN$1005:$BO$1005,1,MATCH(COLUMNS($AN$1006:BK1006),$AN$1006:$BO$1006,0))&gt;=100000), " ",IF(INDEX($AN$2:$BO$1001,MATCH(ROWS($AG$2:AG584),$AG$2:$AG$1001,0),MATCH(COLUMNS($AN$1006:BK1006),$AN$1006:$BO$1006,0)), HYPERLINK("#",""), HYPERLINK(CONCATENATE("#Metadata!", ADDRESS(INDEX($AI$2:$AI$1001,MATCH(ROWS($AG$2:AG584),$AG$2:$AG$1001,0),0), INDEX($AN$1004:$BO$1004,1,MATCH(COLUMNS($AN$1006:BK1006),$AN$1006:$BO$1006,0)))),"Fix")))</f>
        <v>0</v>
      </c>
      <c r="Z584" s="4">
        <f>IF(OR(INDEX($AH$2:$AH$1001,MATCH(ROWS($AG$2:AG584),$AG$2:$AG$1001,0),1)&gt;=100000,INDEX($AN$1005:$BO$1005,1,MATCH(COLUMNS($AN$1006:BL1006),$AN$1006:$BO$1006,0))&gt;=100000), " ",IF(INDEX($AN$2:$BO$1001,MATCH(ROWS($AG$2:AG584),$AG$2:$AG$1001,0),MATCH(COLUMNS($AN$1006:BL1006),$AN$1006:$BO$1006,0)), HYPERLINK("#",""), HYPERLINK(CONCATENATE("#Metadata!", ADDRESS(INDEX($AI$2:$AI$1001,MATCH(ROWS($AG$2:AG584),$AG$2:$AG$1001,0),0), INDEX($AN$1004:$BO$1004,1,MATCH(COLUMNS($AN$1006:BL1006),$AN$1006:$BO$1006,0)))),"Fix")))</f>
        <v>0</v>
      </c>
      <c r="AA584" s="4">
        <f>IF(OR(INDEX($AH$2:$AH$1001,MATCH(ROWS($AG$2:AG584),$AG$2:$AG$1001,0),1)&gt;=100000,INDEX($AN$1005:$BO$1005,1,MATCH(COLUMNS($AN$1006:BM1006),$AN$1006:$BO$1006,0))&gt;=100000), " ",IF(INDEX($AN$2:$BO$1001,MATCH(ROWS($AG$2:AG584),$AG$2:$AG$1001,0),MATCH(COLUMNS($AN$1006:BM1006),$AN$1006:$BO$1006,0)), HYPERLINK("#",""), HYPERLINK(CONCATENATE("#Metadata!", ADDRESS(INDEX($AI$2:$AI$1001,MATCH(ROWS($AG$2:AG584),$AG$2:$AG$1001,0),0), INDEX($AN$1004:$BO$1004,1,MATCH(COLUMNS($AN$1006:BM1006),$AN$1006:$BO$1006,0)))),"Fix")))</f>
        <v>0</v>
      </c>
      <c r="AB584" s="4">
        <f>IF(OR(INDEX($AH$2:$AH$1001,MATCH(ROWS($AG$2:AG584),$AG$2:$AG$1001,0),1)&gt;=100000,INDEX($AN$1005:$BO$1005,1,MATCH(COLUMNS($AN$1006:BN1006),$AN$1006:$BO$1006,0))&gt;=100000), " ",IF(INDEX($AN$2:$BO$1001,MATCH(ROWS($AG$2:AG584),$AG$2:$AG$1001,0),MATCH(COLUMNS($AN$1006:BN1006),$AN$1006:$BO$1006,0)), HYPERLINK("#",""), HYPERLINK(CONCATENATE("#Metadata!", ADDRESS(INDEX($AI$2:$AI$1001,MATCH(ROWS($AG$2:AG584),$AG$2:$AG$1001,0),0), INDEX($AN$1004:$BO$1004,1,MATCH(COLUMNS($AN$1006:BN1006),$AN$1006:$BO$1006,0)))),"Fix")))</f>
        <v>0</v>
      </c>
      <c r="AC584" s="4">
        <f>IF(OR(INDEX($AH$2:$AH$1001,MATCH(ROWS($AG$2:AG584),$AG$2:$AG$1001,0),1)&gt;=100000,INDEX($AN$1005:$BO$1005,1,MATCH(COLUMNS($AN$1006:BO1006),$AN$1006:$BO$1006,0))&gt;=100000), " ",IF(INDEX($AN$2:$BO$1001,MATCH(ROWS($AG$2:AG584),$AG$2:$AG$1001,0),MATCH(COLUMNS($AN$1006:BO1006),$AN$1006:$BO$1006,0)), HYPERLINK("#",""), HYPERLINK(CONCATENATE("#Metadata!", ADDRESS(INDEX($AI$2:$AI$1001,MATCH(ROWS($AG$2:AG584),$AG$2:$AG$1001,0),0), INDEX($AN$1004:$BO$1004,1,MATCH(COLUMNS($AN$1006:BO1006),$AN$1006:$BO$1006,0)))),"Fix")))</f>
        <v>0</v>
      </c>
      <c r="AG584">
        <v>0</v>
      </c>
      <c r="AH584">
        <v>0</v>
      </c>
      <c r="AI584">
        <v>0</v>
      </c>
      <c r="AJ584">
        <f>IF(AK584,TRUE,AND(AN584:BO584))</f>
        <v>0</v>
      </c>
      <c r="AK584">
        <f>COUNTBLANK(Metadata!B584:AC584)=COLUMNS(Metadata!B584:AC584)</f>
        <v>0</v>
      </c>
      <c r="AL584">
        <v>0</v>
      </c>
      <c r="AN584">
        <f>AND(IF(Metadata!B584="",FALSE,TRUE),COUNTIF(Metadata!B:B, Metadata!B584) = 1,NOT(ISERROR(SUMPRODUCT(SEARCH(MID(Metadata!B584,ROW(INDIRECT("1:"&amp;LEN(Metadata!B584))), 1),"0123456789abcdefghijklmnopqrstuvwxyzABCDEFGHIJKLMNOPQRSTUVWXYZ.")))))</f>
        <v>0</v>
      </c>
      <c r="AO584">
        <f>IF(Metadata!C584="",FALSE,TRUE)</f>
        <v>0</v>
      </c>
      <c r="AP584">
        <f>IF(Metadata!D584="",FALSE,TRUE)</f>
        <v>0</v>
      </c>
      <c r="AQ584">
        <f>OR(AND(IF(Metadata!E584="",FALSE,TRUE),OR(exact(Metadata!E584,"not collected"),exact(Metadata!E584,"not provided"),exact(Metadata!E584,"restricted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R584">
        <f>IF(Metadata!F584="",FALSE,TRUE)</f>
        <v>0</v>
      </c>
      <c r="AS584">
        <f>OR(AND(IF(Metadata!G584="",FALSE,TRUE),OR(exact(Metadata!G584,"not collected"),exact(Metadata!G584,"not provided"))),AND(IF(Metadata!G584="",FALSE,TRUE),OR(exact(Metadata!G584,"TRUE"),exact(Metadata!G584,"FALSE"))))</f>
        <v>0</v>
      </c>
      <c r="AT584">
        <f>OR(AND(IF(Metadata!H584="",FALSE,TRUE),OR(exact(Metadata!H584,"not collected"),exact(Metadata!H584,"not provided"),exact(Metadata!H584,"restricted access"))),AND(IF(Metadata!H584="",FALSE,ISNUMBER(VALUE(Metadata!H584))),Metadata!H584&gt;=-413.0))</f>
        <v>0</v>
      </c>
      <c r="AU584">
        <f>AND(IF(Metadata!I584="",FALSE,TRUE),exact(Metadata!I584,"meters"))</f>
        <v>0</v>
      </c>
      <c r="AV584">
        <f>AND(IF(Metadata!J584="",FALSE,TRUE),OR(exact(Metadata!J584,"Host-associated"),exact(Metadata!J584,"Free-living")))</f>
        <v>0</v>
      </c>
      <c r="AW584">
        <f>AND(IF(Metadata!K584="",FALSE,TRUE),OR(exact(Metadata!K584,"Animal"),exact(Metadata!K584,"Fungus"),exact(Metadata!K584,"Plant"),exact(Metadata!K584,"Saline"),exact(Metadata!K584,"Non-saline")))</f>
        <v>0</v>
      </c>
      <c r="AX584">
        <f>AND(IF(Metadata!L584="",FALSE,TRUE),OR(exact(Metadata!L584,"Plant secretion"),exact(Metadata!L584,"Plant rhizosphere"),exact(Metadata!L584,"Plant surface"),exact(Metadata!L584,"Plant corpus"),exact(Metadata!L584,"Fungus surface"),exact(Metadata!L584,"Fungus corpus"),exact(Metadata!L584,"Animal surface"),exact(Metadata!L584,"Animal proximal gut"),exact(Metadata!L584,"Animal corpus"),exact(Metadata!L584,"Animal distal gut"),exact(Metadata!L584,"Animal secretion"),exact(Metadata!L584,"Sub-surface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Y584">
        <f>IF(Metadata!M584="",FALSE,TRUE)</f>
        <v>0</v>
      </c>
      <c r="AZ584">
        <f>IF(Metadata!N584="",FALSE,TRUE)</f>
        <v>0</v>
      </c>
      <c r="BA584">
        <f>IF(Metadata!O584="",FALSE,TRUE)</f>
        <v>0</v>
      </c>
      <c r="BB584">
        <f>OR(AND(IF(Metadata!P584="",FALSE,TRUE),OR(exact(Metadata!P584,"not collected"),exact(Metadata!P584,"not provided"),exact(Metadata!P584,"restricted access"))),AND(IF(Metadata!P584="",FALSE,TRUE),OR(exact(Metadata!P584,"air"),exact(Metadata!P584,"built environment"),exact(Metadata!P584,"host-associated"),exact(Metadata!P584,"human-associated"),exact(Metadata!P584,"human-skin"),exact(Metadata!P584,"human-oral"),exact(Metadata!P584,"human-gut"),exact(Metadata!P584,"human-vaginal"),exact(Metadata!P584,"microbial mat/biofilm"),exact(Metadata!P584,"misc environment"),exact(Metadata!P584,"plant-associated"),exact(Metadata!P584,"sediment"),exact(Metadata!P584,"soil"),exact(Metadata!P584,"wastewater/sludge"),exact(Metadata!P584,"water"))))</f>
        <v>0</v>
      </c>
      <c r="BC584">
        <f>IF(Metadata!Q584="",FALSE,TRUE)</f>
        <v>0</v>
      </c>
      <c r="BD584">
        <f>IF(Metadata!R584="",FALSE,TRUE)</f>
        <v>0</v>
      </c>
      <c r="BE584">
        <f>OR(AND(IF(Metadata!S584="",FALSE,TRUE),OR(exact(Metadata!S584,"not collected"),exact(Metadata!S584,"not provided"),exact(Metadata!S584,"restricted access"))),AND(IF(Metadata!S584="",FALSE,ISNUMBER(VALUE(Metadata!S584))),Metadata!S584&gt;=-90.00,Metadata!S584&lt;=90.00))</f>
        <v>0</v>
      </c>
      <c r="BF584">
        <f>AND(IF(Metadata!T584="",FALSE,TRUE),exact(Metadata!T584,"Decimal degrees"))</f>
        <v>0</v>
      </c>
      <c r="BG584">
        <f>OR(AND(IF(Metadata!U584="",FALSE,TRUE),OR(exact(Metadata!U584,"not collected"),exact(Metadata!U584,"not provided"),exact(Metadata!U584,"restricted access"))),AND(IF(Metadata!U584="",FALSE,ISNUMBER(VALUE(Metadata!U584))),Metadata!U584&gt;=-180.00,Metadata!U584&lt;=180.00))</f>
        <v>0</v>
      </c>
      <c r="BH584">
        <f>AND(IF(Metadata!V584="",FALSE,TRUE),exact(Metadata!V584,"Decimal degrees"))</f>
        <v>0</v>
      </c>
      <c r="BI584">
        <f>IF(Metadata!W584="",FALSE,TRUE)</f>
        <v>0</v>
      </c>
      <c r="BJ584">
        <f>OR(AND(IF(Metadata!X584="",FALSE,TRUE),OR(exact(Metadata!X584,"not collected"),exact(Metadata!X584,"not provided"),exact(Metadata!X584,"restricted access"))),AND(IF(Metadata!X584="",FALSE,TRUE),OR(exact(Metadata!X584,"TRUE"),exact(Metadata!X584,"FALSE"))))</f>
        <v>0</v>
      </c>
      <c r="BK584">
        <f>AND(IF(Metadata!Y584="",FALSE,TRUE),exact(Metadata!Y584,"other"))</f>
        <v>0</v>
      </c>
      <c r="BL584">
        <f>IF(Metadata!Z584="",FALSE,TRUE)</f>
        <v>0</v>
      </c>
      <c r="BM584">
        <f>OR(AND(IF(Metadata!AA584="",FALSE,TRUE),OR(exact(Metadata!AA584,"not collected"),exact(Metadata!AA584,"not provided"))),AND(IF(Metadata!AA584="",FALSE,IF(ISERROR(INT(Metadata!AA584)),FALSE,INT(Metadata!AA584)=Metadata!AA584)),Metadata!AA584&gt;0))</f>
        <v>0</v>
      </c>
      <c r="BN584">
        <f>AND(IF(Metadata!AB584="",FALSE,TRUE),exact(Metadata!AB584,"Not applicable"))</f>
        <v>0</v>
      </c>
      <c r="BO584">
        <f>IF(Metadata!AC584="",FALSE,TRUE)</f>
        <v>0</v>
      </c>
    </row>
    <row r="585" spans="1:67">
      <c r="A585" s="5">
        <f>IF(B585=" "," ",HYPERLINK(CONCATENATE("#metadata!",ADDRESS(INDEX($AI$2:$AI$1001,MATCH(ROWS($AG$2:AG585),$AG$2:$AG$1001,0),0),1)),INDEX($AL$2:$AL$1001,MATCH(ROWS($AG$2:AG585),$AG$2:$AG$1001,0),0)))</f>
        <v>0</v>
      </c>
      <c r="B585" s="4">
        <f>IF(OR(INDEX($AH$2:$AH$1001,MATCH(ROWS($AG$2:AG585),$AG$2:$AG$1001,0),1)&gt;=100000,INDEX($AN$1005:$BO$1005,1,MATCH(COLUMNS($AN$1006:AN1006),$AN$1006:$BO$1006,0))&gt;=100000), " ",IF(INDEX($AN$2:$BO$1001,MATCH(ROWS($AG$2:AG585),$AG$2:$AG$1001,0),MATCH(COLUMNS($AN$1006:AN1006),$AN$1006:$BO$1006,0)), HYPERLINK("#",""), HYPERLINK(CONCATENATE("#Metadata!", ADDRESS(INDEX($AI$2:$AI$1001,MATCH(ROWS($AG$2:AG585),$AG$2:$AG$1001,0),0), INDEX($AN$1004:$BO$1004,1,MATCH(COLUMNS($AN$1006:AN1006),$AN$1006:$BO$1006,0)))),"Fix")))</f>
        <v>0</v>
      </c>
      <c r="C585" s="4">
        <f>IF(OR(INDEX($AH$2:$AH$1001,MATCH(ROWS($AG$2:AG585),$AG$2:$AG$1001,0),1)&gt;=100000,INDEX($AN$1005:$BO$1005,1,MATCH(COLUMNS($AN$1006:AO1006),$AN$1006:$BO$1006,0))&gt;=100000), " ",IF(INDEX($AN$2:$BO$1001,MATCH(ROWS($AG$2:AG585),$AG$2:$AG$1001,0),MATCH(COLUMNS($AN$1006:AO1006),$AN$1006:$BO$1006,0)), HYPERLINK("#",""), HYPERLINK(CONCATENATE("#Metadata!", ADDRESS(INDEX($AI$2:$AI$1001,MATCH(ROWS($AG$2:AG585),$AG$2:$AG$1001,0),0), INDEX($AN$1004:$BO$1004,1,MATCH(COLUMNS($AN$1006:AO1006),$AN$1006:$BO$1006,0)))),"Fix")))</f>
        <v>0</v>
      </c>
      <c r="D585" s="4">
        <f>IF(OR(INDEX($AH$2:$AH$1001,MATCH(ROWS($AG$2:AG585),$AG$2:$AG$1001,0),1)&gt;=100000,INDEX($AN$1005:$BO$1005,1,MATCH(COLUMNS($AN$1006:AP1006),$AN$1006:$BO$1006,0))&gt;=100000), " ",IF(INDEX($AN$2:$BO$1001,MATCH(ROWS($AG$2:AG585),$AG$2:$AG$1001,0),MATCH(COLUMNS($AN$1006:AP1006),$AN$1006:$BO$1006,0)), HYPERLINK("#",""), HYPERLINK(CONCATENATE("#Metadata!", ADDRESS(INDEX($AI$2:$AI$1001,MATCH(ROWS($AG$2:AG585),$AG$2:$AG$1001,0),0), INDEX($AN$1004:$BO$1004,1,MATCH(COLUMNS($AN$1006:AP1006),$AN$1006:$BO$1006,0)))),"Fix")))</f>
        <v>0</v>
      </c>
      <c r="E585" s="4">
        <f>IF(OR(INDEX($AH$2:$AH$1001,MATCH(ROWS($AG$2:AG585),$AG$2:$AG$1001,0),1)&gt;=100000,INDEX($AN$1005:$BO$1005,1,MATCH(COLUMNS($AN$1006:AQ1006),$AN$1006:$BO$1006,0))&gt;=100000), " ",IF(INDEX($AN$2:$BO$1001,MATCH(ROWS($AG$2:AG585),$AG$2:$AG$1001,0),MATCH(COLUMNS($AN$1006:AQ1006),$AN$1006:$BO$1006,0)), HYPERLINK("#",""), HYPERLINK(CONCATENATE("#Metadata!", ADDRESS(INDEX($AI$2:$AI$1001,MATCH(ROWS($AG$2:AG585),$AG$2:$AG$1001,0),0), INDEX($AN$1004:$BO$1004,1,MATCH(COLUMNS($AN$1006:AQ1006),$AN$1006:$BO$1006,0)))),"Fix")))</f>
        <v>0</v>
      </c>
      <c r="F585" s="4">
        <f>IF(OR(INDEX($AH$2:$AH$1001,MATCH(ROWS($AG$2:AG585),$AG$2:$AG$1001,0),1)&gt;=100000,INDEX($AN$1005:$BO$1005,1,MATCH(COLUMNS($AN$1006:AR1006),$AN$1006:$BO$1006,0))&gt;=100000), " ",IF(INDEX($AN$2:$BO$1001,MATCH(ROWS($AG$2:AG585),$AG$2:$AG$1001,0),MATCH(COLUMNS($AN$1006:AR1006),$AN$1006:$BO$1006,0)), HYPERLINK("#",""), HYPERLINK(CONCATENATE("#Metadata!", ADDRESS(INDEX($AI$2:$AI$1001,MATCH(ROWS($AG$2:AG585),$AG$2:$AG$1001,0),0), INDEX($AN$1004:$BO$1004,1,MATCH(COLUMNS($AN$1006:AR1006),$AN$1006:$BO$1006,0)))),"Fix")))</f>
        <v>0</v>
      </c>
      <c r="G585" s="4">
        <f>IF(OR(INDEX($AH$2:$AH$1001,MATCH(ROWS($AG$2:AG585),$AG$2:$AG$1001,0),1)&gt;=100000,INDEX($AN$1005:$BO$1005,1,MATCH(COLUMNS($AN$1006:AS1006),$AN$1006:$BO$1006,0))&gt;=100000), " ",IF(INDEX($AN$2:$BO$1001,MATCH(ROWS($AG$2:AG585),$AG$2:$AG$1001,0),MATCH(COLUMNS($AN$1006:AS1006),$AN$1006:$BO$1006,0)), HYPERLINK("#",""), HYPERLINK(CONCATENATE("#Metadata!", ADDRESS(INDEX($AI$2:$AI$1001,MATCH(ROWS($AG$2:AG585),$AG$2:$AG$1001,0),0), INDEX($AN$1004:$BO$1004,1,MATCH(COLUMNS($AN$1006:AS1006),$AN$1006:$BO$1006,0)))),"Fix")))</f>
        <v>0</v>
      </c>
      <c r="H585" s="4">
        <f>IF(OR(INDEX($AH$2:$AH$1001,MATCH(ROWS($AG$2:AG585),$AG$2:$AG$1001,0),1)&gt;=100000,INDEX($AN$1005:$BO$1005,1,MATCH(COLUMNS($AN$1006:AT1006),$AN$1006:$BO$1006,0))&gt;=100000), " ",IF(INDEX($AN$2:$BO$1001,MATCH(ROWS($AG$2:AG585),$AG$2:$AG$1001,0),MATCH(COLUMNS($AN$1006:AT1006),$AN$1006:$BO$1006,0)), HYPERLINK("#",""), HYPERLINK(CONCATENATE("#Metadata!", ADDRESS(INDEX($AI$2:$AI$1001,MATCH(ROWS($AG$2:AG585),$AG$2:$AG$1001,0),0), INDEX($AN$1004:$BO$1004,1,MATCH(COLUMNS($AN$1006:AT1006),$AN$1006:$BO$1006,0)))),"Fix")))</f>
        <v>0</v>
      </c>
      <c r="I585" s="4">
        <f>IF(OR(INDEX($AH$2:$AH$1001,MATCH(ROWS($AG$2:AG585),$AG$2:$AG$1001,0),1)&gt;=100000,INDEX($AN$1005:$BO$1005,1,MATCH(COLUMNS($AN$1006:AU1006),$AN$1006:$BO$1006,0))&gt;=100000), " ",IF(INDEX($AN$2:$BO$1001,MATCH(ROWS($AG$2:AG585),$AG$2:$AG$1001,0),MATCH(COLUMNS($AN$1006:AU1006),$AN$1006:$BO$1006,0)), HYPERLINK("#",""), HYPERLINK(CONCATENATE("#Metadata!", ADDRESS(INDEX($AI$2:$AI$1001,MATCH(ROWS($AG$2:AG585),$AG$2:$AG$1001,0),0), INDEX($AN$1004:$BO$1004,1,MATCH(COLUMNS($AN$1006:AU1006),$AN$1006:$BO$1006,0)))),"Fix")))</f>
        <v>0</v>
      </c>
      <c r="J585" s="4">
        <f>IF(OR(INDEX($AH$2:$AH$1001,MATCH(ROWS($AG$2:AG585),$AG$2:$AG$1001,0),1)&gt;=100000,INDEX($AN$1005:$BO$1005,1,MATCH(COLUMNS($AN$1006:AV1006),$AN$1006:$BO$1006,0))&gt;=100000), " ",IF(INDEX($AN$2:$BO$1001,MATCH(ROWS($AG$2:AG585),$AG$2:$AG$1001,0),MATCH(COLUMNS($AN$1006:AV1006),$AN$1006:$BO$1006,0)), HYPERLINK("#",""), HYPERLINK(CONCATENATE("#Metadata!", ADDRESS(INDEX($AI$2:$AI$1001,MATCH(ROWS($AG$2:AG585),$AG$2:$AG$1001,0),0), INDEX($AN$1004:$BO$1004,1,MATCH(COLUMNS($AN$1006:AV1006),$AN$1006:$BO$1006,0)))),"Fix")))</f>
        <v>0</v>
      </c>
      <c r="K585" s="4">
        <f>IF(OR(INDEX($AH$2:$AH$1001,MATCH(ROWS($AG$2:AG585),$AG$2:$AG$1001,0),1)&gt;=100000,INDEX($AN$1005:$BO$1005,1,MATCH(COLUMNS($AN$1006:AW1006),$AN$1006:$BO$1006,0))&gt;=100000), " ",IF(INDEX($AN$2:$BO$1001,MATCH(ROWS($AG$2:AG585),$AG$2:$AG$1001,0),MATCH(COLUMNS($AN$1006:AW1006),$AN$1006:$BO$1006,0)), HYPERLINK("#",""), HYPERLINK(CONCATENATE("#Metadata!", ADDRESS(INDEX($AI$2:$AI$1001,MATCH(ROWS($AG$2:AG585),$AG$2:$AG$1001,0),0), INDEX($AN$1004:$BO$1004,1,MATCH(COLUMNS($AN$1006:AW1006),$AN$1006:$BO$1006,0)))),"Fix")))</f>
        <v>0</v>
      </c>
      <c r="L585" s="4">
        <f>IF(OR(INDEX($AH$2:$AH$1001,MATCH(ROWS($AG$2:AG585),$AG$2:$AG$1001,0),1)&gt;=100000,INDEX($AN$1005:$BO$1005,1,MATCH(COLUMNS($AN$1006:AX1006),$AN$1006:$BO$1006,0))&gt;=100000), " ",IF(INDEX($AN$2:$BO$1001,MATCH(ROWS($AG$2:AG585),$AG$2:$AG$1001,0),MATCH(COLUMNS($AN$1006:AX1006),$AN$1006:$BO$1006,0)), HYPERLINK("#",""), HYPERLINK(CONCATENATE("#Metadata!", ADDRESS(INDEX($AI$2:$AI$1001,MATCH(ROWS($AG$2:AG585),$AG$2:$AG$1001,0),0), INDEX($AN$1004:$BO$1004,1,MATCH(COLUMNS($AN$1006:AX1006),$AN$1006:$BO$1006,0)))),"Fix")))</f>
        <v>0</v>
      </c>
      <c r="M585" s="4">
        <f>IF(OR(INDEX($AH$2:$AH$1001,MATCH(ROWS($AG$2:AG585),$AG$2:$AG$1001,0),1)&gt;=100000,INDEX($AN$1005:$BO$1005,1,MATCH(COLUMNS($AN$1006:AY1006),$AN$1006:$BO$1006,0))&gt;=100000), " ",IF(INDEX($AN$2:$BO$1001,MATCH(ROWS($AG$2:AG585),$AG$2:$AG$1001,0),MATCH(COLUMNS($AN$1006:AY1006),$AN$1006:$BO$1006,0)), HYPERLINK("#",""), HYPERLINK(CONCATENATE("#Metadata!", ADDRESS(INDEX($AI$2:$AI$1001,MATCH(ROWS($AG$2:AG585),$AG$2:$AG$1001,0),0), INDEX($AN$1004:$BO$1004,1,MATCH(COLUMNS($AN$1006:AY1006),$AN$1006:$BO$1006,0)))),"Fix")))</f>
        <v>0</v>
      </c>
      <c r="N585" s="4">
        <f>IF(OR(INDEX($AH$2:$AH$1001,MATCH(ROWS($AG$2:AG585),$AG$2:$AG$1001,0),1)&gt;=100000,INDEX($AN$1005:$BO$1005,1,MATCH(COLUMNS($AN$1006:AZ1006),$AN$1006:$BO$1006,0))&gt;=100000), " ",IF(INDEX($AN$2:$BO$1001,MATCH(ROWS($AG$2:AG585),$AG$2:$AG$1001,0),MATCH(COLUMNS($AN$1006:AZ1006),$AN$1006:$BO$1006,0)), HYPERLINK("#",""), HYPERLINK(CONCATENATE("#Metadata!", ADDRESS(INDEX($AI$2:$AI$1001,MATCH(ROWS($AG$2:AG585),$AG$2:$AG$1001,0),0), INDEX($AN$1004:$BO$1004,1,MATCH(COLUMNS($AN$1006:AZ1006),$AN$1006:$BO$1006,0)))),"Fix")))</f>
        <v>0</v>
      </c>
      <c r="O585" s="4">
        <f>IF(OR(INDEX($AH$2:$AH$1001,MATCH(ROWS($AG$2:AG585),$AG$2:$AG$1001,0),1)&gt;=100000,INDEX($AN$1005:$BO$1005,1,MATCH(COLUMNS($AN$1006:BA1006),$AN$1006:$BO$1006,0))&gt;=100000), " ",IF(INDEX($AN$2:$BO$1001,MATCH(ROWS($AG$2:AG585),$AG$2:$AG$1001,0),MATCH(COLUMNS($AN$1006:BA1006),$AN$1006:$BO$1006,0)), HYPERLINK("#",""), HYPERLINK(CONCATENATE("#Metadata!", ADDRESS(INDEX($AI$2:$AI$1001,MATCH(ROWS($AG$2:AG585),$AG$2:$AG$1001,0),0), INDEX($AN$1004:$BO$1004,1,MATCH(COLUMNS($AN$1006:BA1006),$AN$1006:$BO$1006,0)))),"Fix")))</f>
        <v>0</v>
      </c>
      <c r="P585" s="4">
        <f>IF(OR(INDEX($AH$2:$AH$1001,MATCH(ROWS($AG$2:AG585),$AG$2:$AG$1001,0),1)&gt;=100000,INDEX($AN$1005:$BO$1005,1,MATCH(COLUMNS($AN$1006:BB1006),$AN$1006:$BO$1006,0))&gt;=100000), " ",IF(INDEX($AN$2:$BO$1001,MATCH(ROWS($AG$2:AG585),$AG$2:$AG$1001,0),MATCH(COLUMNS($AN$1006:BB1006),$AN$1006:$BO$1006,0)), HYPERLINK("#",""), HYPERLINK(CONCATENATE("#Metadata!", ADDRESS(INDEX($AI$2:$AI$1001,MATCH(ROWS($AG$2:AG585),$AG$2:$AG$1001,0),0), INDEX($AN$1004:$BO$1004,1,MATCH(COLUMNS($AN$1006:BB1006),$AN$1006:$BO$1006,0)))),"Fix")))</f>
        <v>0</v>
      </c>
      <c r="Q585" s="4">
        <f>IF(OR(INDEX($AH$2:$AH$1001,MATCH(ROWS($AG$2:AG585),$AG$2:$AG$1001,0),1)&gt;=100000,INDEX($AN$1005:$BO$1005,1,MATCH(COLUMNS($AN$1006:BC1006),$AN$1006:$BO$1006,0))&gt;=100000), " ",IF(INDEX($AN$2:$BO$1001,MATCH(ROWS($AG$2:AG585),$AG$2:$AG$1001,0),MATCH(COLUMNS($AN$1006:BC1006),$AN$1006:$BO$1006,0)), HYPERLINK("#",""), HYPERLINK(CONCATENATE("#Metadata!", ADDRESS(INDEX($AI$2:$AI$1001,MATCH(ROWS($AG$2:AG585),$AG$2:$AG$1001,0),0), INDEX($AN$1004:$BO$1004,1,MATCH(COLUMNS($AN$1006:BC1006),$AN$1006:$BO$1006,0)))),"Fix")))</f>
        <v>0</v>
      </c>
      <c r="R585" s="4">
        <f>IF(OR(INDEX($AH$2:$AH$1001,MATCH(ROWS($AG$2:AG585),$AG$2:$AG$1001,0),1)&gt;=100000,INDEX($AN$1005:$BO$1005,1,MATCH(COLUMNS($AN$1006:BD1006),$AN$1006:$BO$1006,0))&gt;=100000), " ",IF(INDEX($AN$2:$BO$1001,MATCH(ROWS($AG$2:AG585),$AG$2:$AG$1001,0),MATCH(COLUMNS($AN$1006:BD1006),$AN$1006:$BO$1006,0)), HYPERLINK("#",""), HYPERLINK(CONCATENATE("#Metadata!", ADDRESS(INDEX($AI$2:$AI$1001,MATCH(ROWS($AG$2:AG585),$AG$2:$AG$1001,0),0), INDEX($AN$1004:$BO$1004,1,MATCH(COLUMNS($AN$1006:BD1006),$AN$1006:$BO$1006,0)))),"Fix")))</f>
        <v>0</v>
      </c>
      <c r="S585" s="4">
        <f>IF(OR(INDEX($AH$2:$AH$1001,MATCH(ROWS($AG$2:AG585),$AG$2:$AG$1001,0),1)&gt;=100000,INDEX($AN$1005:$BO$1005,1,MATCH(COLUMNS($AN$1006:BE1006),$AN$1006:$BO$1006,0))&gt;=100000), " ",IF(INDEX($AN$2:$BO$1001,MATCH(ROWS($AG$2:AG585),$AG$2:$AG$1001,0),MATCH(COLUMNS($AN$1006:BE1006),$AN$1006:$BO$1006,0)), HYPERLINK("#",""), HYPERLINK(CONCATENATE("#Metadata!", ADDRESS(INDEX($AI$2:$AI$1001,MATCH(ROWS($AG$2:AG585),$AG$2:$AG$1001,0),0), INDEX($AN$1004:$BO$1004,1,MATCH(COLUMNS($AN$1006:BE1006),$AN$1006:$BO$1006,0)))),"Fix")))</f>
        <v>0</v>
      </c>
      <c r="T585" s="4">
        <f>IF(OR(INDEX($AH$2:$AH$1001,MATCH(ROWS($AG$2:AG585),$AG$2:$AG$1001,0),1)&gt;=100000,INDEX($AN$1005:$BO$1005,1,MATCH(COLUMNS($AN$1006:BF1006),$AN$1006:$BO$1006,0))&gt;=100000), " ",IF(INDEX($AN$2:$BO$1001,MATCH(ROWS($AG$2:AG585),$AG$2:$AG$1001,0),MATCH(COLUMNS($AN$1006:BF1006),$AN$1006:$BO$1006,0)), HYPERLINK("#",""), HYPERLINK(CONCATENATE("#Metadata!", ADDRESS(INDEX($AI$2:$AI$1001,MATCH(ROWS($AG$2:AG585),$AG$2:$AG$1001,0),0), INDEX($AN$1004:$BO$1004,1,MATCH(COLUMNS($AN$1006:BF1006),$AN$1006:$BO$1006,0)))),"Fix")))</f>
        <v>0</v>
      </c>
      <c r="U585" s="4">
        <f>IF(OR(INDEX($AH$2:$AH$1001,MATCH(ROWS($AG$2:AG585),$AG$2:$AG$1001,0),1)&gt;=100000,INDEX($AN$1005:$BO$1005,1,MATCH(COLUMNS($AN$1006:BG1006),$AN$1006:$BO$1006,0))&gt;=100000), " ",IF(INDEX($AN$2:$BO$1001,MATCH(ROWS($AG$2:AG585),$AG$2:$AG$1001,0),MATCH(COLUMNS($AN$1006:BG1006),$AN$1006:$BO$1006,0)), HYPERLINK("#",""), HYPERLINK(CONCATENATE("#Metadata!", ADDRESS(INDEX($AI$2:$AI$1001,MATCH(ROWS($AG$2:AG585),$AG$2:$AG$1001,0),0), INDEX($AN$1004:$BO$1004,1,MATCH(COLUMNS($AN$1006:BG1006),$AN$1006:$BO$1006,0)))),"Fix")))</f>
        <v>0</v>
      </c>
      <c r="V585" s="4">
        <f>IF(OR(INDEX($AH$2:$AH$1001,MATCH(ROWS($AG$2:AG585),$AG$2:$AG$1001,0),1)&gt;=100000,INDEX($AN$1005:$BO$1005,1,MATCH(COLUMNS($AN$1006:BH1006),$AN$1006:$BO$1006,0))&gt;=100000), " ",IF(INDEX($AN$2:$BO$1001,MATCH(ROWS($AG$2:AG585),$AG$2:$AG$1001,0),MATCH(COLUMNS($AN$1006:BH1006),$AN$1006:$BO$1006,0)), HYPERLINK("#",""), HYPERLINK(CONCATENATE("#Metadata!", ADDRESS(INDEX($AI$2:$AI$1001,MATCH(ROWS($AG$2:AG585),$AG$2:$AG$1001,0),0), INDEX($AN$1004:$BO$1004,1,MATCH(COLUMNS($AN$1006:BH1006),$AN$1006:$BO$1006,0)))),"Fix")))</f>
        <v>0</v>
      </c>
      <c r="W585" s="4">
        <f>IF(OR(INDEX($AH$2:$AH$1001,MATCH(ROWS($AG$2:AG585),$AG$2:$AG$1001,0),1)&gt;=100000,INDEX($AN$1005:$BO$1005,1,MATCH(COLUMNS($AN$1006:BI1006),$AN$1006:$BO$1006,0))&gt;=100000), " ",IF(INDEX($AN$2:$BO$1001,MATCH(ROWS($AG$2:AG585),$AG$2:$AG$1001,0),MATCH(COLUMNS($AN$1006:BI1006),$AN$1006:$BO$1006,0)), HYPERLINK("#",""), HYPERLINK(CONCATENATE("#Metadata!", ADDRESS(INDEX($AI$2:$AI$1001,MATCH(ROWS($AG$2:AG585),$AG$2:$AG$1001,0),0), INDEX($AN$1004:$BO$1004,1,MATCH(COLUMNS($AN$1006:BI1006),$AN$1006:$BO$1006,0)))),"Fix")))</f>
        <v>0</v>
      </c>
      <c r="X585" s="4">
        <f>IF(OR(INDEX($AH$2:$AH$1001,MATCH(ROWS($AG$2:AG585),$AG$2:$AG$1001,0),1)&gt;=100000,INDEX($AN$1005:$BO$1005,1,MATCH(COLUMNS($AN$1006:BJ1006),$AN$1006:$BO$1006,0))&gt;=100000), " ",IF(INDEX($AN$2:$BO$1001,MATCH(ROWS($AG$2:AG585),$AG$2:$AG$1001,0),MATCH(COLUMNS($AN$1006:BJ1006),$AN$1006:$BO$1006,0)), HYPERLINK("#",""), HYPERLINK(CONCATENATE("#Metadata!", ADDRESS(INDEX($AI$2:$AI$1001,MATCH(ROWS($AG$2:AG585),$AG$2:$AG$1001,0),0), INDEX($AN$1004:$BO$1004,1,MATCH(COLUMNS($AN$1006:BJ1006),$AN$1006:$BO$1006,0)))),"Fix")))</f>
        <v>0</v>
      </c>
      <c r="Y585" s="4">
        <f>IF(OR(INDEX($AH$2:$AH$1001,MATCH(ROWS($AG$2:AG585),$AG$2:$AG$1001,0),1)&gt;=100000,INDEX($AN$1005:$BO$1005,1,MATCH(COLUMNS($AN$1006:BK1006),$AN$1006:$BO$1006,0))&gt;=100000), " ",IF(INDEX($AN$2:$BO$1001,MATCH(ROWS($AG$2:AG585),$AG$2:$AG$1001,0),MATCH(COLUMNS($AN$1006:BK1006),$AN$1006:$BO$1006,0)), HYPERLINK("#",""), HYPERLINK(CONCATENATE("#Metadata!", ADDRESS(INDEX($AI$2:$AI$1001,MATCH(ROWS($AG$2:AG585),$AG$2:$AG$1001,0),0), INDEX($AN$1004:$BO$1004,1,MATCH(COLUMNS($AN$1006:BK1006),$AN$1006:$BO$1006,0)))),"Fix")))</f>
        <v>0</v>
      </c>
      <c r="Z585" s="4">
        <f>IF(OR(INDEX($AH$2:$AH$1001,MATCH(ROWS($AG$2:AG585),$AG$2:$AG$1001,0),1)&gt;=100000,INDEX($AN$1005:$BO$1005,1,MATCH(COLUMNS($AN$1006:BL1006),$AN$1006:$BO$1006,0))&gt;=100000), " ",IF(INDEX($AN$2:$BO$1001,MATCH(ROWS($AG$2:AG585),$AG$2:$AG$1001,0),MATCH(COLUMNS($AN$1006:BL1006),$AN$1006:$BO$1006,0)), HYPERLINK("#",""), HYPERLINK(CONCATENATE("#Metadata!", ADDRESS(INDEX($AI$2:$AI$1001,MATCH(ROWS($AG$2:AG585),$AG$2:$AG$1001,0),0), INDEX($AN$1004:$BO$1004,1,MATCH(COLUMNS($AN$1006:BL1006),$AN$1006:$BO$1006,0)))),"Fix")))</f>
        <v>0</v>
      </c>
      <c r="AA585" s="4">
        <f>IF(OR(INDEX($AH$2:$AH$1001,MATCH(ROWS($AG$2:AG585),$AG$2:$AG$1001,0),1)&gt;=100000,INDEX($AN$1005:$BO$1005,1,MATCH(COLUMNS($AN$1006:BM1006),$AN$1006:$BO$1006,0))&gt;=100000), " ",IF(INDEX($AN$2:$BO$1001,MATCH(ROWS($AG$2:AG585),$AG$2:$AG$1001,0),MATCH(COLUMNS($AN$1006:BM1006),$AN$1006:$BO$1006,0)), HYPERLINK("#",""), HYPERLINK(CONCATENATE("#Metadata!", ADDRESS(INDEX($AI$2:$AI$1001,MATCH(ROWS($AG$2:AG585),$AG$2:$AG$1001,0),0), INDEX($AN$1004:$BO$1004,1,MATCH(COLUMNS($AN$1006:BM1006),$AN$1006:$BO$1006,0)))),"Fix")))</f>
        <v>0</v>
      </c>
      <c r="AB585" s="4">
        <f>IF(OR(INDEX($AH$2:$AH$1001,MATCH(ROWS($AG$2:AG585),$AG$2:$AG$1001,0),1)&gt;=100000,INDEX($AN$1005:$BO$1005,1,MATCH(COLUMNS($AN$1006:BN1006),$AN$1006:$BO$1006,0))&gt;=100000), " ",IF(INDEX($AN$2:$BO$1001,MATCH(ROWS($AG$2:AG585),$AG$2:$AG$1001,0),MATCH(COLUMNS($AN$1006:BN1006),$AN$1006:$BO$1006,0)), HYPERLINK("#",""), HYPERLINK(CONCATENATE("#Metadata!", ADDRESS(INDEX($AI$2:$AI$1001,MATCH(ROWS($AG$2:AG585),$AG$2:$AG$1001,0),0), INDEX($AN$1004:$BO$1004,1,MATCH(COLUMNS($AN$1006:BN1006),$AN$1006:$BO$1006,0)))),"Fix")))</f>
        <v>0</v>
      </c>
      <c r="AC585" s="4">
        <f>IF(OR(INDEX($AH$2:$AH$1001,MATCH(ROWS($AG$2:AG585),$AG$2:$AG$1001,0),1)&gt;=100000,INDEX($AN$1005:$BO$1005,1,MATCH(COLUMNS($AN$1006:BO1006),$AN$1006:$BO$1006,0))&gt;=100000), " ",IF(INDEX($AN$2:$BO$1001,MATCH(ROWS($AG$2:AG585),$AG$2:$AG$1001,0),MATCH(COLUMNS($AN$1006:BO1006),$AN$1006:$BO$1006,0)), HYPERLINK("#",""), HYPERLINK(CONCATENATE("#Metadata!", ADDRESS(INDEX($AI$2:$AI$1001,MATCH(ROWS($AG$2:AG585),$AG$2:$AG$1001,0),0), INDEX($AN$1004:$BO$1004,1,MATCH(COLUMNS($AN$1006:BO1006),$AN$1006:$BO$1006,0)))),"Fix")))</f>
        <v>0</v>
      </c>
      <c r="AG585">
        <v>0</v>
      </c>
      <c r="AH585">
        <v>0</v>
      </c>
      <c r="AI585">
        <v>0</v>
      </c>
      <c r="AJ585">
        <f>IF(AK585,TRUE,AND(AN585:BO585))</f>
        <v>0</v>
      </c>
      <c r="AK585">
        <f>COUNTBLANK(Metadata!B585:AC585)=COLUMNS(Metadata!B585:AC585)</f>
        <v>0</v>
      </c>
      <c r="AL585">
        <v>0</v>
      </c>
      <c r="AN585">
        <f>AND(IF(Metadata!B585="",FALSE,TRUE),COUNTIF(Metadata!B:B, Metadata!B585) = 1,NOT(ISERROR(SUMPRODUCT(SEARCH(MID(Metadata!B585,ROW(INDIRECT("1:"&amp;LEN(Metadata!B585))), 1),"0123456789abcdefghijklmnopqrstuvwxyzABCDEFGHIJKLMNOPQRSTUVWXYZ.")))))</f>
        <v>0</v>
      </c>
      <c r="AO585">
        <f>IF(Metadata!C585="",FALSE,TRUE)</f>
        <v>0</v>
      </c>
      <c r="AP585">
        <f>IF(Metadata!D585="",FALSE,TRUE)</f>
        <v>0</v>
      </c>
      <c r="AQ585">
        <f>OR(AND(IF(Metadata!E585="",FALSE,TRUE),OR(exact(Metadata!E585,"not collected"),exact(Metadata!E585,"not provided"),exact(Metadata!E585,"restricted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R585">
        <f>IF(Metadata!F585="",FALSE,TRUE)</f>
        <v>0</v>
      </c>
      <c r="AS585">
        <f>OR(AND(IF(Metadata!G585="",FALSE,TRUE),OR(exact(Metadata!G585,"not collected"),exact(Metadata!G585,"not provided"))),AND(IF(Metadata!G585="",FALSE,TRUE),OR(exact(Metadata!G585,"TRUE"),exact(Metadata!G585,"FALSE"))))</f>
        <v>0</v>
      </c>
      <c r="AT585">
        <f>OR(AND(IF(Metadata!H585="",FALSE,TRUE),OR(exact(Metadata!H585,"not collected"),exact(Metadata!H585,"not provided"),exact(Metadata!H585,"restricted access"))),AND(IF(Metadata!H585="",FALSE,ISNUMBER(VALUE(Metadata!H585))),Metadata!H585&gt;=-413.0))</f>
        <v>0</v>
      </c>
      <c r="AU585">
        <f>AND(IF(Metadata!I585="",FALSE,TRUE),exact(Metadata!I585,"meters"))</f>
        <v>0</v>
      </c>
      <c r="AV585">
        <f>AND(IF(Metadata!J585="",FALSE,TRUE),OR(exact(Metadata!J585,"Host-associated"),exact(Metadata!J585,"Free-living")))</f>
        <v>0</v>
      </c>
      <c r="AW585">
        <f>AND(IF(Metadata!K585="",FALSE,TRUE),OR(exact(Metadata!K585,"Animal"),exact(Metadata!K585,"Fungus"),exact(Metadata!K585,"Plant"),exact(Metadata!K585,"Saline"),exact(Metadata!K585,"Non-saline")))</f>
        <v>0</v>
      </c>
      <c r="AX585">
        <f>AND(IF(Metadata!L585="",FALSE,TRUE),OR(exact(Metadata!L585,"Plant secretion"),exact(Metadata!L585,"Plant rhizosphere"),exact(Metadata!L585,"Plant surface"),exact(Metadata!L585,"Plant corpus"),exact(Metadata!L585,"Fungus surface"),exact(Metadata!L585,"Fungus corpus"),exact(Metadata!L585,"Animal surface"),exact(Metadata!L585,"Animal proximal gut"),exact(Metadata!L585,"Animal corpus"),exact(Metadata!L585,"Animal distal gut"),exact(Metadata!L585,"Animal secretion"),exact(Metadata!L585,"Sub-surface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Y585">
        <f>IF(Metadata!M585="",FALSE,TRUE)</f>
        <v>0</v>
      </c>
      <c r="AZ585">
        <f>IF(Metadata!N585="",FALSE,TRUE)</f>
        <v>0</v>
      </c>
      <c r="BA585">
        <f>IF(Metadata!O585="",FALSE,TRUE)</f>
        <v>0</v>
      </c>
      <c r="BB585">
        <f>OR(AND(IF(Metadata!P585="",FALSE,TRUE),OR(exact(Metadata!P585,"not collected"),exact(Metadata!P585,"not provided"),exact(Metadata!P585,"restricted access"))),AND(IF(Metadata!P585="",FALSE,TRUE),OR(exact(Metadata!P585,"air"),exact(Metadata!P585,"built environment"),exact(Metadata!P585,"host-associated"),exact(Metadata!P585,"human-associated"),exact(Metadata!P585,"human-skin"),exact(Metadata!P585,"human-oral"),exact(Metadata!P585,"human-gut"),exact(Metadata!P585,"human-vaginal"),exact(Metadata!P585,"microbial mat/biofilm"),exact(Metadata!P585,"misc environment"),exact(Metadata!P585,"plant-associated"),exact(Metadata!P585,"sediment"),exact(Metadata!P585,"soil"),exact(Metadata!P585,"wastewater/sludge"),exact(Metadata!P585,"water"))))</f>
        <v>0</v>
      </c>
      <c r="BC585">
        <f>IF(Metadata!Q585="",FALSE,TRUE)</f>
        <v>0</v>
      </c>
      <c r="BD585">
        <f>IF(Metadata!R585="",FALSE,TRUE)</f>
        <v>0</v>
      </c>
      <c r="BE585">
        <f>OR(AND(IF(Metadata!S585="",FALSE,TRUE),OR(exact(Metadata!S585,"not collected"),exact(Metadata!S585,"not provided"),exact(Metadata!S585,"restricted access"))),AND(IF(Metadata!S585="",FALSE,ISNUMBER(VALUE(Metadata!S585))),Metadata!S585&gt;=-90.00,Metadata!S585&lt;=90.00))</f>
        <v>0</v>
      </c>
      <c r="BF585">
        <f>AND(IF(Metadata!T585="",FALSE,TRUE),exact(Metadata!T585,"Decimal degrees"))</f>
        <v>0</v>
      </c>
      <c r="BG585">
        <f>OR(AND(IF(Metadata!U585="",FALSE,TRUE),OR(exact(Metadata!U585,"not collected"),exact(Metadata!U585,"not provided"),exact(Metadata!U585,"restricted access"))),AND(IF(Metadata!U585="",FALSE,ISNUMBER(VALUE(Metadata!U585))),Metadata!U585&gt;=-180.00,Metadata!U585&lt;=180.00))</f>
        <v>0</v>
      </c>
      <c r="BH585">
        <f>AND(IF(Metadata!V585="",FALSE,TRUE),exact(Metadata!V585,"Decimal degrees"))</f>
        <v>0</v>
      </c>
      <c r="BI585">
        <f>IF(Metadata!W585="",FALSE,TRUE)</f>
        <v>0</v>
      </c>
      <c r="BJ585">
        <f>OR(AND(IF(Metadata!X585="",FALSE,TRUE),OR(exact(Metadata!X585,"not collected"),exact(Metadata!X585,"not provided"),exact(Metadata!X585,"restricted access"))),AND(IF(Metadata!X585="",FALSE,TRUE),OR(exact(Metadata!X585,"TRUE"),exact(Metadata!X585,"FALSE"))))</f>
        <v>0</v>
      </c>
      <c r="BK585">
        <f>AND(IF(Metadata!Y585="",FALSE,TRUE),exact(Metadata!Y585,"other"))</f>
        <v>0</v>
      </c>
      <c r="BL585">
        <f>IF(Metadata!Z585="",FALSE,TRUE)</f>
        <v>0</v>
      </c>
      <c r="BM585">
        <f>OR(AND(IF(Metadata!AA585="",FALSE,TRUE),OR(exact(Metadata!AA585,"not collected"),exact(Metadata!AA585,"not provided"))),AND(IF(Metadata!AA585="",FALSE,IF(ISERROR(INT(Metadata!AA585)),FALSE,INT(Metadata!AA585)=Metadata!AA585)),Metadata!AA585&gt;0))</f>
        <v>0</v>
      </c>
      <c r="BN585">
        <f>AND(IF(Metadata!AB585="",FALSE,TRUE),exact(Metadata!AB585,"Not applicable"))</f>
        <v>0</v>
      </c>
      <c r="BO585">
        <f>IF(Metadata!AC585="",FALSE,TRUE)</f>
        <v>0</v>
      </c>
    </row>
    <row r="586" spans="1:67">
      <c r="A586" s="5">
        <f>IF(B586=" "," ",HYPERLINK(CONCATENATE("#metadata!",ADDRESS(INDEX($AI$2:$AI$1001,MATCH(ROWS($AG$2:AG586),$AG$2:$AG$1001,0),0),1)),INDEX($AL$2:$AL$1001,MATCH(ROWS($AG$2:AG586),$AG$2:$AG$1001,0),0)))</f>
        <v>0</v>
      </c>
      <c r="B586" s="4">
        <f>IF(OR(INDEX($AH$2:$AH$1001,MATCH(ROWS($AG$2:AG586),$AG$2:$AG$1001,0),1)&gt;=100000,INDEX($AN$1005:$BO$1005,1,MATCH(COLUMNS($AN$1006:AN1006),$AN$1006:$BO$1006,0))&gt;=100000), " ",IF(INDEX($AN$2:$BO$1001,MATCH(ROWS($AG$2:AG586),$AG$2:$AG$1001,0),MATCH(COLUMNS($AN$1006:AN1006),$AN$1006:$BO$1006,0)), HYPERLINK("#",""), HYPERLINK(CONCATENATE("#Metadata!", ADDRESS(INDEX($AI$2:$AI$1001,MATCH(ROWS($AG$2:AG586),$AG$2:$AG$1001,0),0), INDEX($AN$1004:$BO$1004,1,MATCH(COLUMNS($AN$1006:AN1006),$AN$1006:$BO$1006,0)))),"Fix")))</f>
        <v>0</v>
      </c>
      <c r="C586" s="4">
        <f>IF(OR(INDEX($AH$2:$AH$1001,MATCH(ROWS($AG$2:AG586),$AG$2:$AG$1001,0),1)&gt;=100000,INDEX($AN$1005:$BO$1005,1,MATCH(COLUMNS($AN$1006:AO1006),$AN$1006:$BO$1006,0))&gt;=100000), " ",IF(INDEX($AN$2:$BO$1001,MATCH(ROWS($AG$2:AG586),$AG$2:$AG$1001,0),MATCH(COLUMNS($AN$1006:AO1006),$AN$1006:$BO$1006,0)), HYPERLINK("#",""), HYPERLINK(CONCATENATE("#Metadata!", ADDRESS(INDEX($AI$2:$AI$1001,MATCH(ROWS($AG$2:AG586),$AG$2:$AG$1001,0),0), INDEX($AN$1004:$BO$1004,1,MATCH(COLUMNS($AN$1006:AO1006),$AN$1006:$BO$1006,0)))),"Fix")))</f>
        <v>0</v>
      </c>
      <c r="D586" s="4">
        <f>IF(OR(INDEX($AH$2:$AH$1001,MATCH(ROWS($AG$2:AG586),$AG$2:$AG$1001,0),1)&gt;=100000,INDEX($AN$1005:$BO$1005,1,MATCH(COLUMNS($AN$1006:AP1006),$AN$1006:$BO$1006,0))&gt;=100000), " ",IF(INDEX($AN$2:$BO$1001,MATCH(ROWS($AG$2:AG586),$AG$2:$AG$1001,0),MATCH(COLUMNS($AN$1006:AP1006),$AN$1006:$BO$1006,0)), HYPERLINK("#",""), HYPERLINK(CONCATENATE("#Metadata!", ADDRESS(INDEX($AI$2:$AI$1001,MATCH(ROWS($AG$2:AG586),$AG$2:$AG$1001,0),0), INDEX($AN$1004:$BO$1004,1,MATCH(COLUMNS($AN$1006:AP1006),$AN$1006:$BO$1006,0)))),"Fix")))</f>
        <v>0</v>
      </c>
      <c r="E586" s="4">
        <f>IF(OR(INDEX($AH$2:$AH$1001,MATCH(ROWS($AG$2:AG586),$AG$2:$AG$1001,0),1)&gt;=100000,INDEX($AN$1005:$BO$1005,1,MATCH(COLUMNS($AN$1006:AQ1006),$AN$1006:$BO$1006,0))&gt;=100000), " ",IF(INDEX($AN$2:$BO$1001,MATCH(ROWS($AG$2:AG586),$AG$2:$AG$1001,0),MATCH(COLUMNS($AN$1006:AQ1006),$AN$1006:$BO$1006,0)), HYPERLINK("#",""), HYPERLINK(CONCATENATE("#Metadata!", ADDRESS(INDEX($AI$2:$AI$1001,MATCH(ROWS($AG$2:AG586),$AG$2:$AG$1001,0),0), INDEX($AN$1004:$BO$1004,1,MATCH(COLUMNS($AN$1006:AQ1006),$AN$1006:$BO$1006,0)))),"Fix")))</f>
        <v>0</v>
      </c>
      <c r="F586" s="4">
        <f>IF(OR(INDEX($AH$2:$AH$1001,MATCH(ROWS($AG$2:AG586),$AG$2:$AG$1001,0),1)&gt;=100000,INDEX($AN$1005:$BO$1005,1,MATCH(COLUMNS($AN$1006:AR1006),$AN$1006:$BO$1006,0))&gt;=100000), " ",IF(INDEX($AN$2:$BO$1001,MATCH(ROWS($AG$2:AG586),$AG$2:$AG$1001,0),MATCH(COLUMNS($AN$1006:AR1006),$AN$1006:$BO$1006,0)), HYPERLINK("#",""), HYPERLINK(CONCATENATE("#Metadata!", ADDRESS(INDEX($AI$2:$AI$1001,MATCH(ROWS($AG$2:AG586),$AG$2:$AG$1001,0),0), INDEX($AN$1004:$BO$1004,1,MATCH(COLUMNS($AN$1006:AR1006),$AN$1006:$BO$1006,0)))),"Fix")))</f>
        <v>0</v>
      </c>
      <c r="G586" s="4">
        <f>IF(OR(INDEX($AH$2:$AH$1001,MATCH(ROWS($AG$2:AG586),$AG$2:$AG$1001,0),1)&gt;=100000,INDEX($AN$1005:$BO$1005,1,MATCH(COLUMNS($AN$1006:AS1006),$AN$1006:$BO$1006,0))&gt;=100000), " ",IF(INDEX($AN$2:$BO$1001,MATCH(ROWS($AG$2:AG586),$AG$2:$AG$1001,0),MATCH(COLUMNS($AN$1006:AS1006),$AN$1006:$BO$1006,0)), HYPERLINK("#",""), HYPERLINK(CONCATENATE("#Metadata!", ADDRESS(INDEX($AI$2:$AI$1001,MATCH(ROWS($AG$2:AG586),$AG$2:$AG$1001,0),0), INDEX($AN$1004:$BO$1004,1,MATCH(COLUMNS($AN$1006:AS1006),$AN$1006:$BO$1006,0)))),"Fix")))</f>
        <v>0</v>
      </c>
      <c r="H586" s="4">
        <f>IF(OR(INDEX($AH$2:$AH$1001,MATCH(ROWS($AG$2:AG586),$AG$2:$AG$1001,0),1)&gt;=100000,INDEX($AN$1005:$BO$1005,1,MATCH(COLUMNS($AN$1006:AT1006),$AN$1006:$BO$1006,0))&gt;=100000), " ",IF(INDEX($AN$2:$BO$1001,MATCH(ROWS($AG$2:AG586),$AG$2:$AG$1001,0),MATCH(COLUMNS($AN$1006:AT1006),$AN$1006:$BO$1006,0)), HYPERLINK("#",""), HYPERLINK(CONCATENATE("#Metadata!", ADDRESS(INDEX($AI$2:$AI$1001,MATCH(ROWS($AG$2:AG586),$AG$2:$AG$1001,0),0), INDEX($AN$1004:$BO$1004,1,MATCH(COLUMNS($AN$1006:AT1006),$AN$1006:$BO$1006,0)))),"Fix")))</f>
        <v>0</v>
      </c>
      <c r="I586" s="4">
        <f>IF(OR(INDEX($AH$2:$AH$1001,MATCH(ROWS($AG$2:AG586),$AG$2:$AG$1001,0),1)&gt;=100000,INDEX($AN$1005:$BO$1005,1,MATCH(COLUMNS($AN$1006:AU1006),$AN$1006:$BO$1006,0))&gt;=100000), " ",IF(INDEX($AN$2:$BO$1001,MATCH(ROWS($AG$2:AG586),$AG$2:$AG$1001,0),MATCH(COLUMNS($AN$1006:AU1006),$AN$1006:$BO$1006,0)), HYPERLINK("#",""), HYPERLINK(CONCATENATE("#Metadata!", ADDRESS(INDEX($AI$2:$AI$1001,MATCH(ROWS($AG$2:AG586),$AG$2:$AG$1001,0),0), INDEX($AN$1004:$BO$1004,1,MATCH(COLUMNS($AN$1006:AU1006),$AN$1006:$BO$1006,0)))),"Fix")))</f>
        <v>0</v>
      </c>
      <c r="J586" s="4">
        <f>IF(OR(INDEX($AH$2:$AH$1001,MATCH(ROWS($AG$2:AG586),$AG$2:$AG$1001,0),1)&gt;=100000,INDEX($AN$1005:$BO$1005,1,MATCH(COLUMNS($AN$1006:AV1006),$AN$1006:$BO$1006,0))&gt;=100000), " ",IF(INDEX($AN$2:$BO$1001,MATCH(ROWS($AG$2:AG586),$AG$2:$AG$1001,0),MATCH(COLUMNS($AN$1006:AV1006),$AN$1006:$BO$1006,0)), HYPERLINK("#",""), HYPERLINK(CONCATENATE("#Metadata!", ADDRESS(INDEX($AI$2:$AI$1001,MATCH(ROWS($AG$2:AG586),$AG$2:$AG$1001,0),0), INDEX($AN$1004:$BO$1004,1,MATCH(COLUMNS($AN$1006:AV1006),$AN$1006:$BO$1006,0)))),"Fix")))</f>
        <v>0</v>
      </c>
      <c r="K586" s="4">
        <f>IF(OR(INDEX($AH$2:$AH$1001,MATCH(ROWS($AG$2:AG586),$AG$2:$AG$1001,0),1)&gt;=100000,INDEX($AN$1005:$BO$1005,1,MATCH(COLUMNS($AN$1006:AW1006),$AN$1006:$BO$1006,0))&gt;=100000), " ",IF(INDEX($AN$2:$BO$1001,MATCH(ROWS($AG$2:AG586),$AG$2:$AG$1001,0),MATCH(COLUMNS($AN$1006:AW1006),$AN$1006:$BO$1006,0)), HYPERLINK("#",""), HYPERLINK(CONCATENATE("#Metadata!", ADDRESS(INDEX($AI$2:$AI$1001,MATCH(ROWS($AG$2:AG586),$AG$2:$AG$1001,0),0), INDEX($AN$1004:$BO$1004,1,MATCH(COLUMNS($AN$1006:AW1006),$AN$1006:$BO$1006,0)))),"Fix")))</f>
        <v>0</v>
      </c>
      <c r="L586" s="4">
        <f>IF(OR(INDEX($AH$2:$AH$1001,MATCH(ROWS($AG$2:AG586),$AG$2:$AG$1001,0),1)&gt;=100000,INDEX($AN$1005:$BO$1005,1,MATCH(COLUMNS($AN$1006:AX1006),$AN$1006:$BO$1006,0))&gt;=100000), " ",IF(INDEX($AN$2:$BO$1001,MATCH(ROWS($AG$2:AG586),$AG$2:$AG$1001,0),MATCH(COLUMNS($AN$1006:AX1006),$AN$1006:$BO$1006,0)), HYPERLINK("#",""), HYPERLINK(CONCATENATE("#Metadata!", ADDRESS(INDEX($AI$2:$AI$1001,MATCH(ROWS($AG$2:AG586),$AG$2:$AG$1001,0),0), INDEX($AN$1004:$BO$1004,1,MATCH(COLUMNS($AN$1006:AX1006),$AN$1006:$BO$1006,0)))),"Fix")))</f>
        <v>0</v>
      </c>
      <c r="M586" s="4">
        <f>IF(OR(INDEX($AH$2:$AH$1001,MATCH(ROWS($AG$2:AG586),$AG$2:$AG$1001,0),1)&gt;=100000,INDEX($AN$1005:$BO$1005,1,MATCH(COLUMNS($AN$1006:AY1006),$AN$1006:$BO$1006,0))&gt;=100000), " ",IF(INDEX($AN$2:$BO$1001,MATCH(ROWS($AG$2:AG586),$AG$2:$AG$1001,0),MATCH(COLUMNS($AN$1006:AY1006),$AN$1006:$BO$1006,0)), HYPERLINK("#",""), HYPERLINK(CONCATENATE("#Metadata!", ADDRESS(INDEX($AI$2:$AI$1001,MATCH(ROWS($AG$2:AG586),$AG$2:$AG$1001,0),0), INDEX($AN$1004:$BO$1004,1,MATCH(COLUMNS($AN$1006:AY1006),$AN$1006:$BO$1006,0)))),"Fix")))</f>
        <v>0</v>
      </c>
      <c r="N586" s="4">
        <f>IF(OR(INDEX($AH$2:$AH$1001,MATCH(ROWS($AG$2:AG586),$AG$2:$AG$1001,0),1)&gt;=100000,INDEX($AN$1005:$BO$1005,1,MATCH(COLUMNS($AN$1006:AZ1006),$AN$1006:$BO$1006,0))&gt;=100000), " ",IF(INDEX($AN$2:$BO$1001,MATCH(ROWS($AG$2:AG586),$AG$2:$AG$1001,0),MATCH(COLUMNS($AN$1006:AZ1006),$AN$1006:$BO$1006,0)), HYPERLINK("#",""), HYPERLINK(CONCATENATE("#Metadata!", ADDRESS(INDEX($AI$2:$AI$1001,MATCH(ROWS($AG$2:AG586),$AG$2:$AG$1001,0),0), INDEX($AN$1004:$BO$1004,1,MATCH(COLUMNS($AN$1006:AZ1006),$AN$1006:$BO$1006,0)))),"Fix")))</f>
        <v>0</v>
      </c>
      <c r="O586" s="4">
        <f>IF(OR(INDEX($AH$2:$AH$1001,MATCH(ROWS($AG$2:AG586),$AG$2:$AG$1001,0),1)&gt;=100000,INDEX($AN$1005:$BO$1005,1,MATCH(COLUMNS($AN$1006:BA1006),$AN$1006:$BO$1006,0))&gt;=100000), " ",IF(INDEX($AN$2:$BO$1001,MATCH(ROWS($AG$2:AG586),$AG$2:$AG$1001,0),MATCH(COLUMNS($AN$1006:BA1006),$AN$1006:$BO$1006,0)), HYPERLINK("#",""), HYPERLINK(CONCATENATE("#Metadata!", ADDRESS(INDEX($AI$2:$AI$1001,MATCH(ROWS($AG$2:AG586),$AG$2:$AG$1001,0),0), INDEX($AN$1004:$BO$1004,1,MATCH(COLUMNS($AN$1006:BA1006),$AN$1006:$BO$1006,0)))),"Fix")))</f>
        <v>0</v>
      </c>
      <c r="P586" s="4">
        <f>IF(OR(INDEX($AH$2:$AH$1001,MATCH(ROWS($AG$2:AG586),$AG$2:$AG$1001,0),1)&gt;=100000,INDEX($AN$1005:$BO$1005,1,MATCH(COLUMNS($AN$1006:BB1006),$AN$1006:$BO$1006,0))&gt;=100000), " ",IF(INDEX($AN$2:$BO$1001,MATCH(ROWS($AG$2:AG586),$AG$2:$AG$1001,0),MATCH(COLUMNS($AN$1006:BB1006),$AN$1006:$BO$1006,0)), HYPERLINK("#",""), HYPERLINK(CONCATENATE("#Metadata!", ADDRESS(INDEX($AI$2:$AI$1001,MATCH(ROWS($AG$2:AG586),$AG$2:$AG$1001,0),0), INDEX($AN$1004:$BO$1004,1,MATCH(COLUMNS($AN$1006:BB1006),$AN$1006:$BO$1006,0)))),"Fix")))</f>
        <v>0</v>
      </c>
      <c r="Q586" s="4">
        <f>IF(OR(INDEX($AH$2:$AH$1001,MATCH(ROWS($AG$2:AG586),$AG$2:$AG$1001,0),1)&gt;=100000,INDEX($AN$1005:$BO$1005,1,MATCH(COLUMNS($AN$1006:BC1006),$AN$1006:$BO$1006,0))&gt;=100000), " ",IF(INDEX($AN$2:$BO$1001,MATCH(ROWS($AG$2:AG586),$AG$2:$AG$1001,0),MATCH(COLUMNS($AN$1006:BC1006),$AN$1006:$BO$1006,0)), HYPERLINK("#",""), HYPERLINK(CONCATENATE("#Metadata!", ADDRESS(INDEX($AI$2:$AI$1001,MATCH(ROWS($AG$2:AG586),$AG$2:$AG$1001,0),0), INDEX($AN$1004:$BO$1004,1,MATCH(COLUMNS($AN$1006:BC1006),$AN$1006:$BO$1006,0)))),"Fix")))</f>
        <v>0</v>
      </c>
      <c r="R586" s="4">
        <f>IF(OR(INDEX($AH$2:$AH$1001,MATCH(ROWS($AG$2:AG586),$AG$2:$AG$1001,0),1)&gt;=100000,INDEX($AN$1005:$BO$1005,1,MATCH(COLUMNS($AN$1006:BD1006),$AN$1006:$BO$1006,0))&gt;=100000), " ",IF(INDEX($AN$2:$BO$1001,MATCH(ROWS($AG$2:AG586),$AG$2:$AG$1001,0),MATCH(COLUMNS($AN$1006:BD1006),$AN$1006:$BO$1006,0)), HYPERLINK("#",""), HYPERLINK(CONCATENATE("#Metadata!", ADDRESS(INDEX($AI$2:$AI$1001,MATCH(ROWS($AG$2:AG586),$AG$2:$AG$1001,0),0), INDEX($AN$1004:$BO$1004,1,MATCH(COLUMNS($AN$1006:BD1006),$AN$1006:$BO$1006,0)))),"Fix")))</f>
        <v>0</v>
      </c>
      <c r="S586" s="4">
        <f>IF(OR(INDEX($AH$2:$AH$1001,MATCH(ROWS($AG$2:AG586),$AG$2:$AG$1001,0),1)&gt;=100000,INDEX($AN$1005:$BO$1005,1,MATCH(COLUMNS($AN$1006:BE1006),$AN$1006:$BO$1006,0))&gt;=100000), " ",IF(INDEX($AN$2:$BO$1001,MATCH(ROWS($AG$2:AG586),$AG$2:$AG$1001,0),MATCH(COLUMNS($AN$1006:BE1006),$AN$1006:$BO$1006,0)), HYPERLINK("#",""), HYPERLINK(CONCATENATE("#Metadata!", ADDRESS(INDEX($AI$2:$AI$1001,MATCH(ROWS($AG$2:AG586),$AG$2:$AG$1001,0),0), INDEX($AN$1004:$BO$1004,1,MATCH(COLUMNS($AN$1006:BE1006),$AN$1006:$BO$1006,0)))),"Fix")))</f>
        <v>0</v>
      </c>
      <c r="T586" s="4">
        <f>IF(OR(INDEX($AH$2:$AH$1001,MATCH(ROWS($AG$2:AG586),$AG$2:$AG$1001,0),1)&gt;=100000,INDEX($AN$1005:$BO$1005,1,MATCH(COLUMNS($AN$1006:BF1006),$AN$1006:$BO$1006,0))&gt;=100000), " ",IF(INDEX($AN$2:$BO$1001,MATCH(ROWS($AG$2:AG586),$AG$2:$AG$1001,0),MATCH(COLUMNS($AN$1006:BF1006),$AN$1006:$BO$1006,0)), HYPERLINK("#",""), HYPERLINK(CONCATENATE("#Metadata!", ADDRESS(INDEX($AI$2:$AI$1001,MATCH(ROWS($AG$2:AG586),$AG$2:$AG$1001,0),0), INDEX($AN$1004:$BO$1004,1,MATCH(COLUMNS($AN$1006:BF1006),$AN$1006:$BO$1006,0)))),"Fix")))</f>
        <v>0</v>
      </c>
      <c r="U586" s="4">
        <f>IF(OR(INDEX($AH$2:$AH$1001,MATCH(ROWS($AG$2:AG586),$AG$2:$AG$1001,0),1)&gt;=100000,INDEX($AN$1005:$BO$1005,1,MATCH(COLUMNS($AN$1006:BG1006),$AN$1006:$BO$1006,0))&gt;=100000), " ",IF(INDEX($AN$2:$BO$1001,MATCH(ROWS($AG$2:AG586),$AG$2:$AG$1001,0),MATCH(COLUMNS($AN$1006:BG1006),$AN$1006:$BO$1006,0)), HYPERLINK("#",""), HYPERLINK(CONCATENATE("#Metadata!", ADDRESS(INDEX($AI$2:$AI$1001,MATCH(ROWS($AG$2:AG586),$AG$2:$AG$1001,0),0), INDEX($AN$1004:$BO$1004,1,MATCH(COLUMNS($AN$1006:BG1006),$AN$1006:$BO$1006,0)))),"Fix")))</f>
        <v>0</v>
      </c>
      <c r="V586" s="4">
        <f>IF(OR(INDEX($AH$2:$AH$1001,MATCH(ROWS($AG$2:AG586),$AG$2:$AG$1001,0),1)&gt;=100000,INDEX($AN$1005:$BO$1005,1,MATCH(COLUMNS($AN$1006:BH1006),$AN$1006:$BO$1006,0))&gt;=100000), " ",IF(INDEX($AN$2:$BO$1001,MATCH(ROWS($AG$2:AG586),$AG$2:$AG$1001,0),MATCH(COLUMNS($AN$1006:BH1006),$AN$1006:$BO$1006,0)), HYPERLINK("#",""), HYPERLINK(CONCATENATE("#Metadata!", ADDRESS(INDEX($AI$2:$AI$1001,MATCH(ROWS($AG$2:AG586),$AG$2:$AG$1001,0),0), INDEX($AN$1004:$BO$1004,1,MATCH(COLUMNS($AN$1006:BH1006),$AN$1006:$BO$1006,0)))),"Fix")))</f>
        <v>0</v>
      </c>
      <c r="W586" s="4">
        <f>IF(OR(INDEX($AH$2:$AH$1001,MATCH(ROWS($AG$2:AG586),$AG$2:$AG$1001,0),1)&gt;=100000,INDEX($AN$1005:$BO$1005,1,MATCH(COLUMNS($AN$1006:BI1006),$AN$1006:$BO$1006,0))&gt;=100000), " ",IF(INDEX($AN$2:$BO$1001,MATCH(ROWS($AG$2:AG586),$AG$2:$AG$1001,0),MATCH(COLUMNS($AN$1006:BI1006),$AN$1006:$BO$1006,0)), HYPERLINK("#",""), HYPERLINK(CONCATENATE("#Metadata!", ADDRESS(INDEX($AI$2:$AI$1001,MATCH(ROWS($AG$2:AG586),$AG$2:$AG$1001,0),0), INDEX($AN$1004:$BO$1004,1,MATCH(COLUMNS($AN$1006:BI1006),$AN$1006:$BO$1006,0)))),"Fix")))</f>
        <v>0</v>
      </c>
      <c r="X586" s="4">
        <f>IF(OR(INDEX($AH$2:$AH$1001,MATCH(ROWS($AG$2:AG586),$AG$2:$AG$1001,0),1)&gt;=100000,INDEX($AN$1005:$BO$1005,1,MATCH(COLUMNS($AN$1006:BJ1006),$AN$1006:$BO$1006,0))&gt;=100000), " ",IF(INDEX($AN$2:$BO$1001,MATCH(ROWS($AG$2:AG586),$AG$2:$AG$1001,0),MATCH(COLUMNS($AN$1006:BJ1006),$AN$1006:$BO$1006,0)), HYPERLINK("#",""), HYPERLINK(CONCATENATE("#Metadata!", ADDRESS(INDEX($AI$2:$AI$1001,MATCH(ROWS($AG$2:AG586),$AG$2:$AG$1001,0),0), INDEX($AN$1004:$BO$1004,1,MATCH(COLUMNS($AN$1006:BJ1006),$AN$1006:$BO$1006,0)))),"Fix")))</f>
        <v>0</v>
      </c>
      <c r="Y586" s="4">
        <f>IF(OR(INDEX($AH$2:$AH$1001,MATCH(ROWS($AG$2:AG586),$AG$2:$AG$1001,0),1)&gt;=100000,INDEX($AN$1005:$BO$1005,1,MATCH(COLUMNS($AN$1006:BK1006),$AN$1006:$BO$1006,0))&gt;=100000), " ",IF(INDEX($AN$2:$BO$1001,MATCH(ROWS($AG$2:AG586),$AG$2:$AG$1001,0),MATCH(COLUMNS($AN$1006:BK1006),$AN$1006:$BO$1006,0)), HYPERLINK("#",""), HYPERLINK(CONCATENATE("#Metadata!", ADDRESS(INDEX($AI$2:$AI$1001,MATCH(ROWS($AG$2:AG586),$AG$2:$AG$1001,0),0), INDEX($AN$1004:$BO$1004,1,MATCH(COLUMNS($AN$1006:BK1006),$AN$1006:$BO$1006,0)))),"Fix")))</f>
        <v>0</v>
      </c>
      <c r="Z586" s="4">
        <f>IF(OR(INDEX($AH$2:$AH$1001,MATCH(ROWS($AG$2:AG586),$AG$2:$AG$1001,0),1)&gt;=100000,INDEX($AN$1005:$BO$1005,1,MATCH(COLUMNS($AN$1006:BL1006),$AN$1006:$BO$1006,0))&gt;=100000), " ",IF(INDEX($AN$2:$BO$1001,MATCH(ROWS($AG$2:AG586),$AG$2:$AG$1001,0),MATCH(COLUMNS($AN$1006:BL1006),$AN$1006:$BO$1006,0)), HYPERLINK("#",""), HYPERLINK(CONCATENATE("#Metadata!", ADDRESS(INDEX($AI$2:$AI$1001,MATCH(ROWS($AG$2:AG586),$AG$2:$AG$1001,0),0), INDEX($AN$1004:$BO$1004,1,MATCH(COLUMNS($AN$1006:BL1006),$AN$1006:$BO$1006,0)))),"Fix")))</f>
        <v>0</v>
      </c>
      <c r="AA586" s="4">
        <f>IF(OR(INDEX($AH$2:$AH$1001,MATCH(ROWS($AG$2:AG586),$AG$2:$AG$1001,0),1)&gt;=100000,INDEX($AN$1005:$BO$1005,1,MATCH(COLUMNS($AN$1006:BM1006),$AN$1006:$BO$1006,0))&gt;=100000), " ",IF(INDEX($AN$2:$BO$1001,MATCH(ROWS($AG$2:AG586),$AG$2:$AG$1001,0),MATCH(COLUMNS($AN$1006:BM1006),$AN$1006:$BO$1006,0)), HYPERLINK("#",""), HYPERLINK(CONCATENATE("#Metadata!", ADDRESS(INDEX($AI$2:$AI$1001,MATCH(ROWS($AG$2:AG586),$AG$2:$AG$1001,0),0), INDEX($AN$1004:$BO$1004,1,MATCH(COLUMNS($AN$1006:BM1006),$AN$1006:$BO$1006,0)))),"Fix")))</f>
        <v>0</v>
      </c>
      <c r="AB586" s="4">
        <f>IF(OR(INDEX($AH$2:$AH$1001,MATCH(ROWS($AG$2:AG586),$AG$2:$AG$1001,0),1)&gt;=100000,INDEX($AN$1005:$BO$1005,1,MATCH(COLUMNS($AN$1006:BN1006),$AN$1006:$BO$1006,0))&gt;=100000), " ",IF(INDEX($AN$2:$BO$1001,MATCH(ROWS($AG$2:AG586),$AG$2:$AG$1001,0),MATCH(COLUMNS($AN$1006:BN1006),$AN$1006:$BO$1006,0)), HYPERLINK("#",""), HYPERLINK(CONCATENATE("#Metadata!", ADDRESS(INDEX($AI$2:$AI$1001,MATCH(ROWS($AG$2:AG586),$AG$2:$AG$1001,0),0), INDEX($AN$1004:$BO$1004,1,MATCH(COLUMNS($AN$1006:BN1006),$AN$1006:$BO$1006,0)))),"Fix")))</f>
        <v>0</v>
      </c>
      <c r="AC586" s="4">
        <f>IF(OR(INDEX($AH$2:$AH$1001,MATCH(ROWS($AG$2:AG586),$AG$2:$AG$1001,0),1)&gt;=100000,INDEX($AN$1005:$BO$1005,1,MATCH(COLUMNS($AN$1006:BO1006),$AN$1006:$BO$1006,0))&gt;=100000), " ",IF(INDEX($AN$2:$BO$1001,MATCH(ROWS($AG$2:AG586),$AG$2:$AG$1001,0),MATCH(COLUMNS($AN$1006:BO1006),$AN$1006:$BO$1006,0)), HYPERLINK("#",""), HYPERLINK(CONCATENATE("#Metadata!", ADDRESS(INDEX($AI$2:$AI$1001,MATCH(ROWS($AG$2:AG586),$AG$2:$AG$1001,0),0), INDEX($AN$1004:$BO$1004,1,MATCH(COLUMNS($AN$1006:BO1006),$AN$1006:$BO$1006,0)))),"Fix")))</f>
        <v>0</v>
      </c>
      <c r="AG586">
        <v>0</v>
      </c>
      <c r="AH586">
        <v>0</v>
      </c>
      <c r="AI586">
        <v>0</v>
      </c>
      <c r="AJ586">
        <f>IF(AK586,TRUE,AND(AN586:BO586))</f>
        <v>0</v>
      </c>
      <c r="AK586">
        <f>COUNTBLANK(Metadata!B586:AC586)=COLUMNS(Metadata!B586:AC586)</f>
        <v>0</v>
      </c>
      <c r="AL586">
        <v>0</v>
      </c>
      <c r="AN586">
        <f>AND(IF(Metadata!B586="",FALSE,TRUE),COUNTIF(Metadata!B:B, Metadata!B586) = 1,NOT(ISERROR(SUMPRODUCT(SEARCH(MID(Metadata!B586,ROW(INDIRECT("1:"&amp;LEN(Metadata!B586))), 1),"0123456789abcdefghijklmnopqrstuvwxyzABCDEFGHIJKLMNOPQRSTUVWXYZ.")))))</f>
        <v>0</v>
      </c>
      <c r="AO586">
        <f>IF(Metadata!C586="",FALSE,TRUE)</f>
        <v>0</v>
      </c>
      <c r="AP586">
        <f>IF(Metadata!D586="",FALSE,TRUE)</f>
        <v>0</v>
      </c>
      <c r="AQ586">
        <f>OR(AND(IF(Metadata!E586="",FALSE,TRUE),OR(exact(Metadata!E586,"not collected"),exact(Metadata!E586,"not provided"),exact(Metadata!E586,"restricted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R586">
        <f>IF(Metadata!F586="",FALSE,TRUE)</f>
        <v>0</v>
      </c>
      <c r="AS586">
        <f>OR(AND(IF(Metadata!G586="",FALSE,TRUE),OR(exact(Metadata!G586,"not collected"),exact(Metadata!G586,"not provided"))),AND(IF(Metadata!G586="",FALSE,TRUE),OR(exact(Metadata!G586,"TRUE"),exact(Metadata!G586,"FALSE"))))</f>
        <v>0</v>
      </c>
      <c r="AT586">
        <f>OR(AND(IF(Metadata!H586="",FALSE,TRUE),OR(exact(Metadata!H586,"not collected"),exact(Metadata!H586,"not provided"),exact(Metadata!H586,"restricted access"))),AND(IF(Metadata!H586="",FALSE,ISNUMBER(VALUE(Metadata!H586))),Metadata!H586&gt;=-413.0))</f>
        <v>0</v>
      </c>
      <c r="AU586">
        <f>AND(IF(Metadata!I586="",FALSE,TRUE),exact(Metadata!I586,"meters"))</f>
        <v>0</v>
      </c>
      <c r="AV586">
        <f>AND(IF(Metadata!J586="",FALSE,TRUE),OR(exact(Metadata!J586,"Host-associated"),exact(Metadata!J586,"Free-living")))</f>
        <v>0</v>
      </c>
      <c r="AW586">
        <f>AND(IF(Metadata!K586="",FALSE,TRUE),OR(exact(Metadata!K586,"Animal"),exact(Metadata!K586,"Fungus"),exact(Metadata!K586,"Plant"),exact(Metadata!K586,"Saline"),exact(Metadata!K586,"Non-saline")))</f>
        <v>0</v>
      </c>
      <c r="AX586">
        <f>AND(IF(Metadata!L586="",FALSE,TRUE),OR(exact(Metadata!L586,"Plant secretion"),exact(Metadata!L586,"Plant rhizosphere"),exact(Metadata!L586,"Plant surface"),exact(Metadata!L586,"Plant corpus"),exact(Metadata!L586,"Fungus surface"),exact(Metadata!L586,"Fungus corpus"),exact(Metadata!L586,"Animal surface"),exact(Metadata!L586,"Animal proximal gut"),exact(Metadata!L586,"Animal corpus"),exact(Metadata!L586,"Animal distal gut"),exact(Metadata!L586,"Animal secretion"),exact(Metadata!L586,"Sub-surface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Y586">
        <f>IF(Metadata!M586="",FALSE,TRUE)</f>
        <v>0</v>
      </c>
      <c r="AZ586">
        <f>IF(Metadata!N586="",FALSE,TRUE)</f>
        <v>0</v>
      </c>
      <c r="BA586">
        <f>IF(Metadata!O586="",FALSE,TRUE)</f>
        <v>0</v>
      </c>
      <c r="BB586">
        <f>OR(AND(IF(Metadata!P586="",FALSE,TRUE),OR(exact(Metadata!P586,"not collected"),exact(Metadata!P586,"not provided"),exact(Metadata!P586,"restricted access"))),AND(IF(Metadata!P586="",FALSE,TRUE),OR(exact(Metadata!P586,"air"),exact(Metadata!P586,"built environment"),exact(Metadata!P586,"host-associated"),exact(Metadata!P586,"human-associated"),exact(Metadata!P586,"human-skin"),exact(Metadata!P586,"human-oral"),exact(Metadata!P586,"human-gut"),exact(Metadata!P586,"human-vaginal"),exact(Metadata!P586,"microbial mat/biofilm"),exact(Metadata!P586,"misc environment"),exact(Metadata!P586,"plant-associated"),exact(Metadata!P586,"sediment"),exact(Metadata!P586,"soil"),exact(Metadata!P586,"wastewater/sludge"),exact(Metadata!P586,"water"))))</f>
        <v>0</v>
      </c>
      <c r="BC586">
        <f>IF(Metadata!Q586="",FALSE,TRUE)</f>
        <v>0</v>
      </c>
      <c r="BD586">
        <f>IF(Metadata!R586="",FALSE,TRUE)</f>
        <v>0</v>
      </c>
      <c r="BE586">
        <f>OR(AND(IF(Metadata!S586="",FALSE,TRUE),OR(exact(Metadata!S586,"not collected"),exact(Metadata!S586,"not provided"),exact(Metadata!S586,"restricted access"))),AND(IF(Metadata!S586="",FALSE,ISNUMBER(VALUE(Metadata!S586))),Metadata!S586&gt;=-90.00,Metadata!S586&lt;=90.00))</f>
        <v>0</v>
      </c>
      <c r="BF586">
        <f>AND(IF(Metadata!T586="",FALSE,TRUE),exact(Metadata!T586,"Decimal degrees"))</f>
        <v>0</v>
      </c>
      <c r="BG586">
        <f>OR(AND(IF(Metadata!U586="",FALSE,TRUE),OR(exact(Metadata!U586,"not collected"),exact(Metadata!U586,"not provided"),exact(Metadata!U586,"restricted access"))),AND(IF(Metadata!U586="",FALSE,ISNUMBER(VALUE(Metadata!U586))),Metadata!U586&gt;=-180.00,Metadata!U586&lt;=180.00))</f>
        <v>0</v>
      </c>
      <c r="BH586">
        <f>AND(IF(Metadata!V586="",FALSE,TRUE),exact(Metadata!V586,"Decimal degrees"))</f>
        <v>0</v>
      </c>
      <c r="BI586">
        <f>IF(Metadata!W586="",FALSE,TRUE)</f>
        <v>0</v>
      </c>
      <c r="BJ586">
        <f>OR(AND(IF(Metadata!X586="",FALSE,TRUE),OR(exact(Metadata!X586,"not collected"),exact(Metadata!X586,"not provided"),exact(Metadata!X586,"restricted access"))),AND(IF(Metadata!X586="",FALSE,TRUE),OR(exact(Metadata!X586,"TRUE"),exact(Metadata!X586,"FALSE"))))</f>
        <v>0</v>
      </c>
      <c r="BK586">
        <f>AND(IF(Metadata!Y586="",FALSE,TRUE),exact(Metadata!Y586,"other"))</f>
        <v>0</v>
      </c>
      <c r="BL586">
        <f>IF(Metadata!Z586="",FALSE,TRUE)</f>
        <v>0</v>
      </c>
      <c r="BM586">
        <f>OR(AND(IF(Metadata!AA586="",FALSE,TRUE),OR(exact(Metadata!AA586,"not collected"),exact(Metadata!AA586,"not provided"))),AND(IF(Metadata!AA586="",FALSE,IF(ISERROR(INT(Metadata!AA586)),FALSE,INT(Metadata!AA586)=Metadata!AA586)),Metadata!AA586&gt;0))</f>
        <v>0</v>
      </c>
      <c r="BN586">
        <f>AND(IF(Metadata!AB586="",FALSE,TRUE),exact(Metadata!AB586,"Not applicable"))</f>
        <v>0</v>
      </c>
      <c r="BO586">
        <f>IF(Metadata!AC586="",FALSE,TRUE)</f>
        <v>0</v>
      </c>
    </row>
    <row r="587" spans="1:67">
      <c r="A587" s="5">
        <f>IF(B587=" "," ",HYPERLINK(CONCATENATE("#metadata!",ADDRESS(INDEX($AI$2:$AI$1001,MATCH(ROWS($AG$2:AG587),$AG$2:$AG$1001,0),0),1)),INDEX($AL$2:$AL$1001,MATCH(ROWS($AG$2:AG587),$AG$2:$AG$1001,0),0)))</f>
        <v>0</v>
      </c>
      <c r="B587" s="4">
        <f>IF(OR(INDEX($AH$2:$AH$1001,MATCH(ROWS($AG$2:AG587),$AG$2:$AG$1001,0),1)&gt;=100000,INDEX($AN$1005:$BO$1005,1,MATCH(COLUMNS($AN$1006:AN1006),$AN$1006:$BO$1006,0))&gt;=100000), " ",IF(INDEX($AN$2:$BO$1001,MATCH(ROWS($AG$2:AG587),$AG$2:$AG$1001,0),MATCH(COLUMNS($AN$1006:AN1006),$AN$1006:$BO$1006,0)), HYPERLINK("#",""), HYPERLINK(CONCATENATE("#Metadata!", ADDRESS(INDEX($AI$2:$AI$1001,MATCH(ROWS($AG$2:AG587),$AG$2:$AG$1001,0),0), INDEX($AN$1004:$BO$1004,1,MATCH(COLUMNS($AN$1006:AN1006),$AN$1006:$BO$1006,0)))),"Fix")))</f>
        <v>0</v>
      </c>
      <c r="C587" s="4">
        <f>IF(OR(INDEX($AH$2:$AH$1001,MATCH(ROWS($AG$2:AG587),$AG$2:$AG$1001,0),1)&gt;=100000,INDEX($AN$1005:$BO$1005,1,MATCH(COLUMNS($AN$1006:AO1006),$AN$1006:$BO$1006,0))&gt;=100000), " ",IF(INDEX($AN$2:$BO$1001,MATCH(ROWS($AG$2:AG587),$AG$2:$AG$1001,0),MATCH(COLUMNS($AN$1006:AO1006),$AN$1006:$BO$1006,0)), HYPERLINK("#",""), HYPERLINK(CONCATENATE("#Metadata!", ADDRESS(INDEX($AI$2:$AI$1001,MATCH(ROWS($AG$2:AG587),$AG$2:$AG$1001,0),0), INDEX($AN$1004:$BO$1004,1,MATCH(COLUMNS($AN$1006:AO1006),$AN$1006:$BO$1006,0)))),"Fix")))</f>
        <v>0</v>
      </c>
      <c r="D587" s="4">
        <f>IF(OR(INDEX($AH$2:$AH$1001,MATCH(ROWS($AG$2:AG587),$AG$2:$AG$1001,0),1)&gt;=100000,INDEX($AN$1005:$BO$1005,1,MATCH(COLUMNS($AN$1006:AP1006),$AN$1006:$BO$1006,0))&gt;=100000), " ",IF(INDEX($AN$2:$BO$1001,MATCH(ROWS($AG$2:AG587),$AG$2:$AG$1001,0),MATCH(COLUMNS($AN$1006:AP1006),$AN$1006:$BO$1006,0)), HYPERLINK("#",""), HYPERLINK(CONCATENATE("#Metadata!", ADDRESS(INDEX($AI$2:$AI$1001,MATCH(ROWS($AG$2:AG587),$AG$2:$AG$1001,0),0), INDEX($AN$1004:$BO$1004,1,MATCH(COLUMNS($AN$1006:AP1006),$AN$1006:$BO$1006,0)))),"Fix")))</f>
        <v>0</v>
      </c>
      <c r="E587" s="4">
        <f>IF(OR(INDEX($AH$2:$AH$1001,MATCH(ROWS($AG$2:AG587),$AG$2:$AG$1001,0),1)&gt;=100000,INDEX($AN$1005:$BO$1005,1,MATCH(COLUMNS($AN$1006:AQ1006),$AN$1006:$BO$1006,0))&gt;=100000), " ",IF(INDEX($AN$2:$BO$1001,MATCH(ROWS($AG$2:AG587),$AG$2:$AG$1001,0),MATCH(COLUMNS($AN$1006:AQ1006),$AN$1006:$BO$1006,0)), HYPERLINK("#",""), HYPERLINK(CONCATENATE("#Metadata!", ADDRESS(INDEX($AI$2:$AI$1001,MATCH(ROWS($AG$2:AG587),$AG$2:$AG$1001,0),0), INDEX($AN$1004:$BO$1004,1,MATCH(COLUMNS($AN$1006:AQ1006),$AN$1006:$BO$1006,0)))),"Fix")))</f>
        <v>0</v>
      </c>
      <c r="F587" s="4">
        <f>IF(OR(INDEX($AH$2:$AH$1001,MATCH(ROWS($AG$2:AG587),$AG$2:$AG$1001,0),1)&gt;=100000,INDEX($AN$1005:$BO$1005,1,MATCH(COLUMNS($AN$1006:AR1006),$AN$1006:$BO$1006,0))&gt;=100000), " ",IF(INDEX($AN$2:$BO$1001,MATCH(ROWS($AG$2:AG587),$AG$2:$AG$1001,0),MATCH(COLUMNS($AN$1006:AR1006),$AN$1006:$BO$1006,0)), HYPERLINK("#",""), HYPERLINK(CONCATENATE("#Metadata!", ADDRESS(INDEX($AI$2:$AI$1001,MATCH(ROWS($AG$2:AG587),$AG$2:$AG$1001,0),0), INDEX($AN$1004:$BO$1004,1,MATCH(COLUMNS($AN$1006:AR1006),$AN$1006:$BO$1006,0)))),"Fix")))</f>
        <v>0</v>
      </c>
      <c r="G587" s="4">
        <f>IF(OR(INDEX($AH$2:$AH$1001,MATCH(ROWS($AG$2:AG587),$AG$2:$AG$1001,0),1)&gt;=100000,INDEX($AN$1005:$BO$1005,1,MATCH(COLUMNS($AN$1006:AS1006),$AN$1006:$BO$1006,0))&gt;=100000), " ",IF(INDEX($AN$2:$BO$1001,MATCH(ROWS($AG$2:AG587),$AG$2:$AG$1001,0),MATCH(COLUMNS($AN$1006:AS1006),$AN$1006:$BO$1006,0)), HYPERLINK("#",""), HYPERLINK(CONCATENATE("#Metadata!", ADDRESS(INDEX($AI$2:$AI$1001,MATCH(ROWS($AG$2:AG587),$AG$2:$AG$1001,0),0), INDEX($AN$1004:$BO$1004,1,MATCH(COLUMNS($AN$1006:AS1006),$AN$1006:$BO$1006,0)))),"Fix")))</f>
        <v>0</v>
      </c>
      <c r="H587" s="4">
        <f>IF(OR(INDEX($AH$2:$AH$1001,MATCH(ROWS($AG$2:AG587),$AG$2:$AG$1001,0),1)&gt;=100000,INDEX($AN$1005:$BO$1005,1,MATCH(COLUMNS($AN$1006:AT1006),$AN$1006:$BO$1006,0))&gt;=100000), " ",IF(INDEX($AN$2:$BO$1001,MATCH(ROWS($AG$2:AG587),$AG$2:$AG$1001,0),MATCH(COLUMNS($AN$1006:AT1006),$AN$1006:$BO$1006,0)), HYPERLINK("#",""), HYPERLINK(CONCATENATE("#Metadata!", ADDRESS(INDEX($AI$2:$AI$1001,MATCH(ROWS($AG$2:AG587),$AG$2:$AG$1001,0),0), INDEX($AN$1004:$BO$1004,1,MATCH(COLUMNS($AN$1006:AT1006),$AN$1006:$BO$1006,0)))),"Fix")))</f>
        <v>0</v>
      </c>
      <c r="I587" s="4">
        <f>IF(OR(INDEX($AH$2:$AH$1001,MATCH(ROWS($AG$2:AG587),$AG$2:$AG$1001,0),1)&gt;=100000,INDEX($AN$1005:$BO$1005,1,MATCH(COLUMNS($AN$1006:AU1006),$AN$1006:$BO$1006,0))&gt;=100000), " ",IF(INDEX($AN$2:$BO$1001,MATCH(ROWS($AG$2:AG587),$AG$2:$AG$1001,0),MATCH(COLUMNS($AN$1006:AU1006),$AN$1006:$BO$1006,0)), HYPERLINK("#",""), HYPERLINK(CONCATENATE("#Metadata!", ADDRESS(INDEX($AI$2:$AI$1001,MATCH(ROWS($AG$2:AG587),$AG$2:$AG$1001,0),0), INDEX($AN$1004:$BO$1004,1,MATCH(COLUMNS($AN$1006:AU1006),$AN$1006:$BO$1006,0)))),"Fix")))</f>
        <v>0</v>
      </c>
      <c r="J587" s="4">
        <f>IF(OR(INDEX($AH$2:$AH$1001,MATCH(ROWS($AG$2:AG587),$AG$2:$AG$1001,0),1)&gt;=100000,INDEX($AN$1005:$BO$1005,1,MATCH(COLUMNS($AN$1006:AV1006),$AN$1006:$BO$1006,0))&gt;=100000), " ",IF(INDEX($AN$2:$BO$1001,MATCH(ROWS($AG$2:AG587),$AG$2:$AG$1001,0),MATCH(COLUMNS($AN$1006:AV1006),$AN$1006:$BO$1006,0)), HYPERLINK("#",""), HYPERLINK(CONCATENATE("#Metadata!", ADDRESS(INDEX($AI$2:$AI$1001,MATCH(ROWS($AG$2:AG587),$AG$2:$AG$1001,0),0), INDEX($AN$1004:$BO$1004,1,MATCH(COLUMNS($AN$1006:AV1006),$AN$1006:$BO$1006,0)))),"Fix")))</f>
        <v>0</v>
      </c>
      <c r="K587" s="4">
        <f>IF(OR(INDEX($AH$2:$AH$1001,MATCH(ROWS($AG$2:AG587),$AG$2:$AG$1001,0),1)&gt;=100000,INDEX($AN$1005:$BO$1005,1,MATCH(COLUMNS($AN$1006:AW1006),$AN$1006:$BO$1006,0))&gt;=100000), " ",IF(INDEX($AN$2:$BO$1001,MATCH(ROWS($AG$2:AG587),$AG$2:$AG$1001,0),MATCH(COLUMNS($AN$1006:AW1006),$AN$1006:$BO$1006,0)), HYPERLINK("#",""), HYPERLINK(CONCATENATE("#Metadata!", ADDRESS(INDEX($AI$2:$AI$1001,MATCH(ROWS($AG$2:AG587),$AG$2:$AG$1001,0),0), INDEX($AN$1004:$BO$1004,1,MATCH(COLUMNS($AN$1006:AW1006),$AN$1006:$BO$1006,0)))),"Fix")))</f>
        <v>0</v>
      </c>
      <c r="L587" s="4">
        <f>IF(OR(INDEX($AH$2:$AH$1001,MATCH(ROWS($AG$2:AG587),$AG$2:$AG$1001,0),1)&gt;=100000,INDEX($AN$1005:$BO$1005,1,MATCH(COLUMNS($AN$1006:AX1006),$AN$1006:$BO$1006,0))&gt;=100000), " ",IF(INDEX($AN$2:$BO$1001,MATCH(ROWS($AG$2:AG587),$AG$2:$AG$1001,0),MATCH(COLUMNS($AN$1006:AX1006),$AN$1006:$BO$1006,0)), HYPERLINK("#",""), HYPERLINK(CONCATENATE("#Metadata!", ADDRESS(INDEX($AI$2:$AI$1001,MATCH(ROWS($AG$2:AG587),$AG$2:$AG$1001,0),0), INDEX($AN$1004:$BO$1004,1,MATCH(COLUMNS($AN$1006:AX1006),$AN$1006:$BO$1006,0)))),"Fix")))</f>
        <v>0</v>
      </c>
      <c r="M587" s="4">
        <f>IF(OR(INDEX($AH$2:$AH$1001,MATCH(ROWS($AG$2:AG587),$AG$2:$AG$1001,0),1)&gt;=100000,INDEX($AN$1005:$BO$1005,1,MATCH(COLUMNS($AN$1006:AY1006),$AN$1006:$BO$1006,0))&gt;=100000), " ",IF(INDEX($AN$2:$BO$1001,MATCH(ROWS($AG$2:AG587),$AG$2:$AG$1001,0),MATCH(COLUMNS($AN$1006:AY1006),$AN$1006:$BO$1006,0)), HYPERLINK("#",""), HYPERLINK(CONCATENATE("#Metadata!", ADDRESS(INDEX($AI$2:$AI$1001,MATCH(ROWS($AG$2:AG587),$AG$2:$AG$1001,0),0), INDEX($AN$1004:$BO$1004,1,MATCH(COLUMNS($AN$1006:AY1006),$AN$1006:$BO$1006,0)))),"Fix")))</f>
        <v>0</v>
      </c>
      <c r="N587" s="4">
        <f>IF(OR(INDEX($AH$2:$AH$1001,MATCH(ROWS($AG$2:AG587),$AG$2:$AG$1001,0),1)&gt;=100000,INDEX($AN$1005:$BO$1005,1,MATCH(COLUMNS($AN$1006:AZ1006),$AN$1006:$BO$1006,0))&gt;=100000), " ",IF(INDEX($AN$2:$BO$1001,MATCH(ROWS($AG$2:AG587),$AG$2:$AG$1001,0),MATCH(COLUMNS($AN$1006:AZ1006),$AN$1006:$BO$1006,0)), HYPERLINK("#",""), HYPERLINK(CONCATENATE("#Metadata!", ADDRESS(INDEX($AI$2:$AI$1001,MATCH(ROWS($AG$2:AG587),$AG$2:$AG$1001,0),0), INDEX($AN$1004:$BO$1004,1,MATCH(COLUMNS($AN$1006:AZ1006),$AN$1006:$BO$1006,0)))),"Fix")))</f>
        <v>0</v>
      </c>
      <c r="O587" s="4">
        <f>IF(OR(INDEX($AH$2:$AH$1001,MATCH(ROWS($AG$2:AG587),$AG$2:$AG$1001,0),1)&gt;=100000,INDEX($AN$1005:$BO$1005,1,MATCH(COLUMNS($AN$1006:BA1006),$AN$1006:$BO$1006,0))&gt;=100000), " ",IF(INDEX($AN$2:$BO$1001,MATCH(ROWS($AG$2:AG587),$AG$2:$AG$1001,0),MATCH(COLUMNS($AN$1006:BA1006),$AN$1006:$BO$1006,0)), HYPERLINK("#",""), HYPERLINK(CONCATENATE("#Metadata!", ADDRESS(INDEX($AI$2:$AI$1001,MATCH(ROWS($AG$2:AG587),$AG$2:$AG$1001,0),0), INDEX($AN$1004:$BO$1004,1,MATCH(COLUMNS($AN$1006:BA1006),$AN$1006:$BO$1006,0)))),"Fix")))</f>
        <v>0</v>
      </c>
      <c r="P587" s="4">
        <f>IF(OR(INDEX($AH$2:$AH$1001,MATCH(ROWS($AG$2:AG587),$AG$2:$AG$1001,0),1)&gt;=100000,INDEX($AN$1005:$BO$1005,1,MATCH(COLUMNS($AN$1006:BB1006),$AN$1006:$BO$1006,0))&gt;=100000), " ",IF(INDEX($AN$2:$BO$1001,MATCH(ROWS($AG$2:AG587),$AG$2:$AG$1001,0),MATCH(COLUMNS($AN$1006:BB1006),$AN$1006:$BO$1006,0)), HYPERLINK("#",""), HYPERLINK(CONCATENATE("#Metadata!", ADDRESS(INDEX($AI$2:$AI$1001,MATCH(ROWS($AG$2:AG587),$AG$2:$AG$1001,0),0), INDEX($AN$1004:$BO$1004,1,MATCH(COLUMNS($AN$1006:BB1006),$AN$1006:$BO$1006,0)))),"Fix")))</f>
        <v>0</v>
      </c>
      <c r="Q587" s="4">
        <f>IF(OR(INDEX($AH$2:$AH$1001,MATCH(ROWS($AG$2:AG587),$AG$2:$AG$1001,0),1)&gt;=100000,INDEX($AN$1005:$BO$1005,1,MATCH(COLUMNS($AN$1006:BC1006),$AN$1006:$BO$1006,0))&gt;=100000), " ",IF(INDEX($AN$2:$BO$1001,MATCH(ROWS($AG$2:AG587),$AG$2:$AG$1001,0),MATCH(COLUMNS($AN$1006:BC1006),$AN$1006:$BO$1006,0)), HYPERLINK("#",""), HYPERLINK(CONCATENATE("#Metadata!", ADDRESS(INDEX($AI$2:$AI$1001,MATCH(ROWS($AG$2:AG587),$AG$2:$AG$1001,0),0), INDEX($AN$1004:$BO$1004,1,MATCH(COLUMNS($AN$1006:BC1006),$AN$1006:$BO$1006,0)))),"Fix")))</f>
        <v>0</v>
      </c>
      <c r="R587" s="4">
        <f>IF(OR(INDEX($AH$2:$AH$1001,MATCH(ROWS($AG$2:AG587),$AG$2:$AG$1001,0),1)&gt;=100000,INDEX($AN$1005:$BO$1005,1,MATCH(COLUMNS($AN$1006:BD1006),$AN$1006:$BO$1006,0))&gt;=100000), " ",IF(INDEX($AN$2:$BO$1001,MATCH(ROWS($AG$2:AG587),$AG$2:$AG$1001,0),MATCH(COLUMNS($AN$1006:BD1006),$AN$1006:$BO$1006,0)), HYPERLINK("#",""), HYPERLINK(CONCATENATE("#Metadata!", ADDRESS(INDEX($AI$2:$AI$1001,MATCH(ROWS($AG$2:AG587),$AG$2:$AG$1001,0),0), INDEX($AN$1004:$BO$1004,1,MATCH(COLUMNS($AN$1006:BD1006),$AN$1006:$BO$1006,0)))),"Fix")))</f>
        <v>0</v>
      </c>
      <c r="S587" s="4">
        <f>IF(OR(INDEX($AH$2:$AH$1001,MATCH(ROWS($AG$2:AG587),$AG$2:$AG$1001,0),1)&gt;=100000,INDEX($AN$1005:$BO$1005,1,MATCH(COLUMNS($AN$1006:BE1006),$AN$1006:$BO$1006,0))&gt;=100000), " ",IF(INDEX($AN$2:$BO$1001,MATCH(ROWS($AG$2:AG587),$AG$2:$AG$1001,0),MATCH(COLUMNS($AN$1006:BE1006),$AN$1006:$BO$1006,0)), HYPERLINK("#",""), HYPERLINK(CONCATENATE("#Metadata!", ADDRESS(INDEX($AI$2:$AI$1001,MATCH(ROWS($AG$2:AG587),$AG$2:$AG$1001,0),0), INDEX($AN$1004:$BO$1004,1,MATCH(COLUMNS($AN$1006:BE1006),$AN$1006:$BO$1006,0)))),"Fix")))</f>
        <v>0</v>
      </c>
      <c r="T587" s="4">
        <f>IF(OR(INDEX($AH$2:$AH$1001,MATCH(ROWS($AG$2:AG587),$AG$2:$AG$1001,0),1)&gt;=100000,INDEX($AN$1005:$BO$1005,1,MATCH(COLUMNS($AN$1006:BF1006),$AN$1006:$BO$1006,0))&gt;=100000), " ",IF(INDEX($AN$2:$BO$1001,MATCH(ROWS($AG$2:AG587),$AG$2:$AG$1001,0),MATCH(COLUMNS($AN$1006:BF1006),$AN$1006:$BO$1006,0)), HYPERLINK("#",""), HYPERLINK(CONCATENATE("#Metadata!", ADDRESS(INDEX($AI$2:$AI$1001,MATCH(ROWS($AG$2:AG587),$AG$2:$AG$1001,0),0), INDEX($AN$1004:$BO$1004,1,MATCH(COLUMNS($AN$1006:BF1006),$AN$1006:$BO$1006,0)))),"Fix")))</f>
        <v>0</v>
      </c>
      <c r="U587" s="4">
        <f>IF(OR(INDEX($AH$2:$AH$1001,MATCH(ROWS($AG$2:AG587),$AG$2:$AG$1001,0),1)&gt;=100000,INDEX($AN$1005:$BO$1005,1,MATCH(COLUMNS($AN$1006:BG1006),$AN$1006:$BO$1006,0))&gt;=100000), " ",IF(INDEX($AN$2:$BO$1001,MATCH(ROWS($AG$2:AG587),$AG$2:$AG$1001,0),MATCH(COLUMNS($AN$1006:BG1006),$AN$1006:$BO$1006,0)), HYPERLINK("#",""), HYPERLINK(CONCATENATE("#Metadata!", ADDRESS(INDEX($AI$2:$AI$1001,MATCH(ROWS($AG$2:AG587),$AG$2:$AG$1001,0),0), INDEX($AN$1004:$BO$1004,1,MATCH(COLUMNS($AN$1006:BG1006),$AN$1006:$BO$1006,0)))),"Fix")))</f>
        <v>0</v>
      </c>
      <c r="V587" s="4">
        <f>IF(OR(INDEX($AH$2:$AH$1001,MATCH(ROWS($AG$2:AG587),$AG$2:$AG$1001,0),1)&gt;=100000,INDEX($AN$1005:$BO$1005,1,MATCH(COLUMNS($AN$1006:BH1006),$AN$1006:$BO$1006,0))&gt;=100000), " ",IF(INDEX($AN$2:$BO$1001,MATCH(ROWS($AG$2:AG587),$AG$2:$AG$1001,0),MATCH(COLUMNS($AN$1006:BH1006),$AN$1006:$BO$1006,0)), HYPERLINK("#",""), HYPERLINK(CONCATENATE("#Metadata!", ADDRESS(INDEX($AI$2:$AI$1001,MATCH(ROWS($AG$2:AG587),$AG$2:$AG$1001,0),0), INDEX($AN$1004:$BO$1004,1,MATCH(COLUMNS($AN$1006:BH1006),$AN$1006:$BO$1006,0)))),"Fix")))</f>
        <v>0</v>
      </c>
      <c r="W587" s="4">
        <f>IF(OR(INDEX($AH$2:$AH$1001,MATCH(ROWS($AG$2:AG587),$AG$2:$AG$1001,0),1)&gt;=100000,INDEX($AN$1005:$BO$1005,1,MATCH(COLUMNS($AN$1006:BI1006),$AN$1006:$BO$1006,0))&gt;=100000), " ",IF(INDEX($AN$2:$BO$1001,MATCH(ROWS($AG$2:AG587),$AG$2:$AG$1001,0),MATCH(COLUMNS($AN$1006:BI1006),$AN$1006:$BO$1006,0)), HYPERLINK("#",""), HYPERLINK(CONCATENATE("#Metadata!", ADDRESS(INDEX($AI$2:$AI$1001,MATCH(ROWS($AG$2:AG587),$AG$2:$AG$1001,0),0), INDEX($AN$1004:$BO$1004,1,MATCH(COLUMNS($AN$1006:BI1006),$AN$1006:$BO$1006,0)))),"Fix")))</f>
        <v>0</v>
      </c>
      <c r="X587" s="4">
        <f>IF(OR(INDEX($AH$2:$AH$1001,MATCH(ROWS($AG$2:AG587),$AG$2:$AG$1001,0),1)&gt;=100000,INDEX($AN$1005:$BO$1005,1,MATCH(COLUMNS($AN$1006:BJ1006),$AN$1006:$BO$1006,0))&gt;=100000), " ",IF(INDEX($AN$2:$BO$1001,MATCH(ROWS($AG$2:AG587),$AG$2:$AG$1001,0),MATCH(COLUMNS($AN$1006:BJ1006),$AN$1006:$BO$1006,0)), HYPERLINK("#",""), HYPERLINK(CONCATENATE("#Metadata!", ADDRESS(INDEX($AI$2:$AI$1001,MATCH(ROWS($AG$2:AG587),$AG$2:$AG$1001,0),0), INDEX($AN$1004:$BO$1004,1,MATCH(COLUMNS($AN$1006:BJ1006),$AN$1006:$BO$1006,0)))),"Fix")))</f>
        <v>0</v>
      </c>
      <c r="Y587" s="4">
        <f>IF(OR(INDEX($AH$2:$AH$1001,MATCH(ROWS($AG$2:AG587),$AG$2:$AG$1001,0),1)&gt;=100000,INDEX($AN$1005:$BO$1005,1,MATCH(COLUMNS($AN$1006:BK1006),$AN$1006:$BO$1006,0))&gt;=100000), " ",IF(INDEX($AN$2:$BO$1001,MATCH(ROWS($AG$2:AG587),$AG$2:$AG$1001,0),MATCH(COLUMNS($AN$1006:BK1006),$AN$1006:$BO$1006,0)), HYPERLINK("#",""), HYPERLINK(CONCATENATE("#Metadata!", ADDRESS(INDEX($AI$2:$AI$1001,MATCH(ROWS($AG$2:AG587),$AG$2:$AG$1001,0),0), INDEX($AN$1004:$BO$1004,1,MATCH(COLUMNS($AN$1006:BK1006),$AN$1006:$BO$1006,0)))),"Fix")))</f>
        <v>0</v>
      </c>
      <c r="Z587" s="4">
        <f>IF(OR(INDEX($AH$2:$AH$1001,MATCH(ROWS($AG$2:AG587),$AG$2:$AG$1001,0),1)&gt;=100000,INDEX($AN$1005:$BO$1005,1,MATCH(COLUMNS($AN$1006:BL1006),$AN$1006:$BO$1006,0))&gt;=100000), " ",IF(INDEX($AN$2:$BO$1001,MATCH(ROWS($AG$2:AG587),$AG$2:$AG$1001,0),MATCH(COLUMNS($AN$1006:BL1006),$AN$1006:$BO$1006,0)), HYPERLINK("#",""), HYPERLINK(CONCATENATE("#Metadata!", ADDRESS(INDEX($AI$2:$AI$1001,MATCH(ROWS($AG$2:AG587),$AG$2:$AG$1001,0),0), INDEX($AN$1004:$BO$1004,1,MATCH(COLUMNS($AN$1006:BL1006),$AN$1006:$BO$1006,0)))),"Fix")))</f>
        <v>0</v>
      </c>
      <c r="AA587" s="4">
        <f>IF(OR(INDEX($AH$2:$AH$1001,MATCH(ROWS($AG$2:AG587),$AG$2:$AG$1001,0),1)&gt;=100000,INDEX($AN$1005:$BO$1005,1,MATCH(COLUMNS($AN$1006:BM1006),$AN$1006:$BO$1006,0))&gt;=100000), " ",IF(INDEX($AN$2:$BO$1001,MATCH(ROWS($AG$2:AG587),$AG$2:$AG$1001,0),MATCH(COLUMNS($AN$1006:BM1006),$AN$1006:$BO$1006,0)), HYPERLINK("#",""), HYPERLINK(CONCATENATE("#Metadata!", ADDRESS(INDEX($AI$2:$AI$1001,MATCH(ROWS($AG$2:AG587),$AG$2:$AG$1001,0),0), INDEX($AN$1004:$BO$1004,1,MATCH(COLUMNS($AN$1006:BM1006),$AN$1006:$BO$1006,0)))),"Fix")))</f>
        <v>0</v>
      </c>
      <c r="AB587" s="4">
        <f>IF(OR(INDEX($AH$2:$AH$1001,MATCH(ROWS($AG$2:AG587),$AG$2:$AG$1001,0),1)&gt;=100000,INDEX($AN$1005:$BO$1005,1,MATCH(COLUMNS($AN$1006:BN1006),$AN$1006:$BO$1006,0))&gt;=100000), " ",IF(INDEX($AN$2:$BO$1001,MATCH(ROWS($AG$2:AG587),$AG$2:$AG$1001,0),MATCH(COLUMNS($AN$1006:BN1006),$AN$1006:$BO$1006,0)), HYPERLINK("#",""), HYPERLINK(CONCATENATE("#Metadata!", ADDRESS(INDEX($AI$2:$AI$1001,MATCH(ROWS($AG$2:AG587),$AG$2:$AG$1001,0),0), INDEX($AN$1004:$BO$1004,1,MATCH(COLUMNS($AN$1006:BN1006),$AN$1006:$BO$1006,0)))),"Fix")))</f>
        <v>0</v>
      </c>
      <c r="AC587" s="4">
        <f>IF(OR(INDEX($AH$2:$AH$1001,MATCH(ROWS($AG$2:AG587),$AG$2:$AG$1001,0),1)&gt;=100000,INDEX($AN$1005:$BO$1005,1,MATCH(COLUMNS($AN$1006:BO1006),$AN$1006:$BO$1006,0))&gt;=100000), " ",IF(INDEX($AN$2:$BO$1001,MATCH(ROWS($AG$2:AG587),$AG$2:$AG$1001,0),MATCH(COLUMNS($AN$1006:BO1006),$AN$1006:$BO$1006,0)), HYPERLINK("#",""), HYPERLINK(CONCATENATE("#Metadata!", ADDRESS(INDEX($AI$2:$AI$1001,MATCH(ROWS($AG$2:AG587),$AG$2:$AG$1001,0),0), INDEX($AN$1004:$BO$1004,1,MATCH(COLUMNS($AN$1006:BO1006),$AN$1006:$BO$1006,0)))),"Fix")))</f>
        <v>0</v>
      </c>
      <c r="AG587">
        <v>0</v>
      </c>
      <c r="AH587">
        <v>0</v>
      </c>
      <c r="AI587">
        <v>0</v>
      </c>
      <c r="AJ587">
        <f>IF(AK587,TRUE,AND(AN587:BO587))</f>
        <v>0</v>
      </c>
      <c r="AK587">
        <f>COUNTBLANK(Metadata!B587:AC587)=COLUMNS(Metadata!B587:AC587)</f>
        <v>0</v>
      </c>
      <c r="AL587">
        <v>0</v>
      </c>
      <c r="AN587">
        <f>AND(IF(Metadata!B587="",FALSE,TRUE),COUNTIF(Metadata!B:B, Metadata!B587) = 1,NOT(ISERROR(SUMPRODUCT(SEARCH(MID(Metadata!B587,ROW(INDIRECT("1:"&amp;LEN(Metadata!B587))), 1),"0123456789abcdefghijklmnopqrstuvwxyzABCDEFGHIJKLMNOPQRSTUVWXYZ.")))))</f>
        <v>0</v>
      </c>
      <c r="AO587">
        <f>IF(Metadata!C587="",FALSE,TRUE)</f>
        <v>0</v>
      </c>
      <c r="AP587">
        <f>IF(Metadata!D587="",FALSE,TRUE)</f>
        <v>0</v>
      </c>
      <c r="AQ587">
        <f>OR(AND(IF(Metadata!E587="",FALSE,TRUE),OR(exact(Metadata!E587,"not collected"),exact(Metadata!E587,"not provided"),exact(Metadata!E587,"restricted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R587">
        <f>IF(Metadata!F587="",FALSE,TRUE)</f>
        <v>0</v>
      </c>
      <c r="AS587">
        <f>OR(AND(IF(Metadata!G587="",FALSE,TRUE),OR(exact(Metadata!G587,"not collected"),exact(Metadata!G587,"not provided"))),AND(IF(Metadata!G587="",FALSE,TRUE),OR(exact(Metadata!G587,"TRUE"),exact(Metadata!G587,"FALSE"))))</f>
        <v>0</v>
      </c>
      <c r="AT587">
        <f>OR(AND(IF(Metadata!H587="",FALSE,TRUE),OR(exact(Metadata!H587,"not collected"),exact(Metadata!H587,"not provided"),exact(Metadata!H587,"restricted access"))),AND(IF(Metadata!H587="",FALSE,ISNUMBER(VALUE(Metadata!H587))),Metadata!H587&gt;=-413.0))</f>
        <v>0</v>
      </c>
      <c r="AU587">
        <f>AND(IF(Metadata!I587="",FALSE,TRUE),exact(Metadata!I587,"meters"))</f>
        <v>0</v>
      </c>
      <c r="AV587">
        <f>AND(IF(Metadata!J587="",FALSE,TRUE),OR(exact(Metadata!J587,"Host-associated"),exact(Metadata!J587,"Free-living")))</f>
        <v>0</v>
      </c>
      <c r="AW587">
        <f>AND(IF(Metadata!K587="",FALSE,TRUE),OR(exact(Metadata!K587,"Animal"),exact(Metadata!K587,"Fungus"),exact(Metadata!K587,"Plant"),exact(Metadata!K587,"Saline"),exact(Metadata!K587,"Non-saline")))</f>
        <v>0</v>
      </c>
      <c r="AX587">
        <f>AND(IF(Metadata!L587="",FALSE,TRUE),OR(exact(Metadata!L587,"Plant secretion"),exact(Metadata!L587,"Plant rhizosphere"),exact(Metadata!L587,"Plant surface"),exact(Metadata!L587,"Plant corpus"),exact(Metadata!L587,"Fungus surface"),exact(Metadata!L587,"Fungus corpus"),exact(Metadata!L587,"Animal surface"),exact(Metadata!L587,"Animal proximal gut"),exact(Metadata!L587,"Animal corpus"),exact(Metadata!L587,"Animal distal gut"),exact(Metadata!L587,"Animal secretion"),exact(Metadata!L587,"Sub-surface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Y587">
        <f>IF(Metadata!M587="",FALSE,TRUE)</f>
        <v>0</v>
      </c>
      <c r="AZ587">
        <f>IF(Metadata!N587="",FALSE,TRUE)</f>
        <v>0</v>
      </c>
      <c r="BA587">
        <f>IF(Metadata!O587="",FALSE,TRUE)</f>
        <v>0</v>
      </c>
      <c r="BB587">
        <f>OR(AND(IF(Metadata!P587="",FALSE,TRUE),OR(exact(Metadata!P587,"not collected"),exact(Metadata!P587,"not provided"),exact(Metadata!P587,"restricted access"))),AND(IF(Metadata!P587="",FALSE,TRUE),OR(exact(Metadata!P587,"air"),exact(Metadata!P587,"built environment"),exact(Metadata!P587,"host-associated"),exact(Metadata!P587,"human-associated"),exact(Metadata!P587,"human-skin"),exact(Metadata!P587,"human-oral"),exact(Metadata!P587,"human-gut"),exact(Metadata!P587,"human-vaginal"),exact(Metadata!P587,"microbial mat/biofilm"),exact(Metadata!P587,"misc environment"),exact(Metadata!P587,"plant-associated"),exact(Metadata!P587,"sediment"),exact(Metadata!P587,"soil"),exact(Metadata!P587,"wastewater/sludge"),exact(Metadata!P587,"water"))))</f>
        <v>0</v>
      </c>
      <c r="BC587">
        <f>IF(Metadata!Q587="",FALSE,TRUE)</f>
        <v>0</v>
      </c>
      <c r="BD587">
        <f>IF(Metadata!R587="",FALSE,TRUE)</f>
        <v>0</v>
      </c>
      <c r="BE587">
        <f>OR(AND(IF(Metadata!S587="",FALSE,TRUE),OR(exact(Metadata!S587,"not collected"),exact(Metadata!S587,"not provided"),exact(Metadata!S587,"restricted access"))),AND(IF(Metadata!S587="",FALSE,ISNUMBER(VALUE(Metadata!S587))),Metadata!S587&gt;=-90.00,Metadata!S587&lt;=90.00))</f>
        <v>0</v>
      </c>
      <c r="BF587">
        <f>AND(IF(Metadata!T587="",FALSE,TRUE),exact(Metadata!T587,"Decimal degrees"))</f>
        <v>0</v>
      </c>
      <c r="BG587">
        <f>OR(AND(IF(Metadata!U587="",FALSE,TRUE),OR(exact(Metadata!U587,"not collected"),exact(Metadata!U587,"not provided"),exact(Metadata!U587,"restricted access"))),AND(IF(Metadata!U587="",FALSE,ISNUMBER(VALUE(Metadata!U587))),Metadata!U587&gt;=-180.00,Metadata!U587&lt;=180.00))</f>
        <v>0</v>
      </c>
      <c r="BH587">
        <f>AND(IF(Metadata!V587="",FALSE,TRUE),exact(Metadata!V587,"Decimal degrees"))</f>
        <v>0</v>
      </c>
      <c r="BI587">
        <f>IF(Metadata!W587="",FALSE,TRUE)</f>
        <v>0</v>
      </c>
      <c r="BJ587">
        <f>OR(AND(IF(Metadata!X587="",FALSE,TRUE),OR(exact(Metadata!X587,"not collected"),exact(Metadata!X587,"not provided"),exact(Metadata!X587,"restricted access"))),AND(IF(Metadata!X587="",FALSE,TRUE),OR(exact(Metadata!X587,"TRUE"),exact(Metadata!X587,"FALSE"))))</f>
        <v>0</v>
      </c>
      <c r="BK587">
        <f>AND(IF(Metadata!Y587="",FALSE,TRUE),exact(Metadata!Y587,"other"))</f>
        <v>0</v>
      </c>
      <c r="BL587">
        <f>IF(Metadata!Z587="",FALSE,TRUE)</f>
        <v>0</v>
      </c>
      <c r="BM587">
        <f>OR(AND(IF(Metadata!AA587="",FALSE,TRUE),OR(exact(Metadata!AA587,"not collected"),exact(Metadata!AA587,"not provided"))),AND(IF(Metadata!AA587="",FALSE,IF(ISERROR(INT(Metadata!AA587)),FALSE,INT(Metadata!AA587)=Metadata!AA587)),Metadata!AA587&gt;0))</f>
        <v>0</v>
      </c>
      <c r="BN587">
        <f>AND(IF(Metadata!AB587="",FALSE,TRUE),exact(Metadata!AB587,"Not applicable"))</f>
        <v>0</v>
      </c>
      <c r="BO587">
        <f>IF(Metadata!AC587="",FALSE,TRUE)</f>
        <v>0</v>
      </c>
    </row>
    <row r="588" spans="1:67">
      <c r="A588" s="5">
        <f>IF(B588=" "," ",HYPERLINK(CONCATENATE("#metadata!",ADDRESS(INDEX($AI$2:$AI$1001,MATCH(ROWS($AG$2:AG588),$AG$2:$AG$1001,0),0),1)),INDEX($AL$2:$AL$1001,MATCH(ROWS($AG$2:AG588),$AG$2:$AG$1001,0),0)))</f>
        <v>0</v>
      </c>
      <c r="B588" s="4">
        <f>IF(OR(INDEX($AH$2:$AH$1001,MATCH(ROWS($AG$2:AG588),$AG$2:$AG$1001,0),1)&gt;=100000,INDEX($AN$1005:$BO$1005,1,MATCH(COLUMNS($AN$1006:AN1006),$AN$1006:$BO$1006,0))&gt;=100000), " ",IF(INDEX($AN$2:$BO$1001,MATCH(ROWS($AG$2:AG588),$AG$2:$AG$1001,0),MATCH(COLUMNS($AN$1006:AN1006),$AN$1006:$BO$1006,0)), HYPERLINK("#",""), HYPERLINK(CONCATENATE("#Metadata!", ADDRESS(INDEX($AI$2:$AI$1001,MATCH(ROWS($AG$2:AG588),$AG$2:$AG$1001,0),0), INDEX($AN$1004:$BO$1004,1,MATCH(COLUMNS($AN$1006:AN1006),$AN$1006:$BO$1006,0)))),"Fix")))</f>
        <v>0</v>
      </c>
      <c r="C588" s="4">
        <f>IF(OR(INDEX($AH$2:$AH$1001,MATCH(ROWS($AG$2:AG588),$AG$2:$AG$1001,0),1)&gt;=100000,INDEX($AN$1005:$BO$1005,1,MATCH(COLUMNS($AN$1006:AO1006),$AN$1006:$BO$1006,0))&gt;=100000), " ",IF(INDEX($AN$2:$BO$1001,MATCH(ROWS($AG$2:AG588),$AG$2:$AG$1001,0),MATCH(COLUMNS($AN$1006:AO1006),$AN$1006:$BO$1006,0)), HYPERLINK("#",""), HYPERLINK(CONCATENATE("#Metadata!", ADDRESS(INDEX($AI$2:$AI$1001,MATCH(ROWS($AG$2:AG588),$AG$2:$AG$1001,0),0), INDEX($AN$1004:$BO$1004,1,MATCH(COLUMNS($AN$1006:AO1006),$AN$1006:$BO$1006,0)))),"Fix")))</f>
        <v>0</v>
      </c>
      <c r="D588" s="4">
        <f>IF(OR(INDEX($AH$2:$AH$1001,MATCH(ROWS($AG$2:AG588),$AG$2:$AG$1001,0),1)&gt;=100000,INDEX($AN$1005:$BO$1005,1,MATCH(COLUMNS($AN$1006:AP1006),$AN$1006:$BO$1006,0))&gt;=100000), " ",IF(INDEX($AN$2:$BO$1001,MATCH(ROWS($AG$2:AG588),$AG$2:$AG$1001,0),MATCH(COLUMNS($AN$1006:AP1006),$AN$1006:$BO$1006,0)), HYPERLINK("#",""), HYPERLINK(CONCATENATE("#Metadata!", ADDRESS(INDEX($AI$2:$AI$1001,MATCH(ROWS($AG$2:AG588),$AG$2:$AG$1001,0),0), INDEX($AN$1004:$BO$1004,1,MATCH(COLUMNS($AN$1006:AP1006),$AN$1006:$BO$1006,0)))),"Fix")))</f>
        <v>0</v>
      </c>
      <c r="E588" s="4">
        <f>IF(OR(INDEX($AH$2:$AH$1001,MATCH(ROWS($AG$2:AG588),$AG$2:$AG$1001,0),1)&gt;=100000,INDEX($AN$1005:$BO$1005,1,MATCH(COLUMNS($AN$1006:AQ1006),$AN$1006:$BO$1006,0))&gt;=100000), " ",IF(INDEX($AN$2:$BO$1001,MATCH(ROWS($AG$2:AG588),$AG$2:$AG$1001,0),MATCH(COLUMNS($AN$1006:AQ1006),$AN$1006:$BO$1006,0)), HYPERLINK("#",""), HYPERLINK(CONCATENATE("#Metadata!", ADDRESS(INDEX($AI$2:$AI$1001,MATCH(ROWS($AG$2:AG588),$AG$2:$AG$1001,0),0), INDEX($AN$1004:$BO$1004,1,MATCH(COLUMNS($AN$1006:AQ1006),$AN$1006:$BO$1006,0)))),"Fix")))</f>
        <v>0</v>
      </c>
      <c r="F588" s="4">
        <f>IF(OR(INDEX($AH$2:$AH$1001,MATCH(ROWS($AG$2:AG588),$AG$2:$AG$1001,0),1)&gt;=100000,INDEX($AN$1005:$BO$1005,1,MATCH(COLUMNS($AN$1006:AR1006),$AN$1006:$BO$1006,0))&gt;=100000), " ",IF(INDEX($AN$2:$BO$1001,MATCH(ROWS($AG$2:AG588),$AG$2:$AG$1001,0),MATCH(COLUMNS($AN$1006:AR1006),$AN$1006:$BO$1006,0)), HYPERLINK("#",""), HYPERLINK(CONCATENATE("#Metadata!", ADDRESS(INDEX($AI$2:$AI$1001,MATCH(ROWS($AG$2:AG588),$AG$2:$AG$1001,0),0), INDEX($AN$1004:$BO$1004,1,MATCH(COLUMNS($AN$1006:AR1006),$AN$1006:$BO$1006,0)))),"Fix")))</f>
        <v>0</v>
      </c>
      <c r="G588" s="4">
        <f>IF(OR(INDEX($AH$2:$AH$1001,MATCH(ROWS($AG$2:AG588),$AG$2:$AG$1001,0),1)&gt;=100000,INDEX($AN$1005:$BO$1005,1,MATCH(COLUMNS($AN$1006:AS1006),$AN$1006:$BO$1006,0))&gt;=100000), " ",IF(INDEX($AN$2:$BO$1001,MATCH(ROWS($AG$2:AG588),$AG$2:$AG$1001,0),MATCH(COLUMNS($AN$1006:AS1006),$AN$1006:$BO$1006,0)), HYPERLINK("#",""), HYPERLINK(CONCATENATE("#Metadata!", ADDRESS(INDEX($AI$2:$AI$1001,MATCH(ROWS($AG$2:AG588),$AG$2:$AG$1001,0),0), INDEX($AN$1004:$BO$1004,1,MATCH(COLUMNS($AN$1006:AS1006),$AN$1006:$BO$1006,0)))),"Fix")))</f>
        <v>0</v>
      </c>
      <c r="H588" s="4">
        <f>IF(OR(INDEX($AH$2:$AH$1001,MATCH(ROWS($AG$2:AG588),$AG$2:$AG$1001,0),1)&gt;=100000,INDEX($AN$1005:$BO$1005,1,MATCH(COLUMNS($AN$1006:AT1006),$AN$1006:$BO$1006,0))&gt;=100000), " ",IF(INDEX($AN$2:$BO$1001,MATCH(ROWS($AG$2:AG588),$AG$2:$AG$1001,0),MATCH(COLUMNS($AN$1006:AT1006),$AN$1006:$BO$1006,0)), HYPERLINK("#",""), HYPERLINK(CONCATENATE("#Metadata!", ADDRESS(INDEX($AI$2:$AI$1001,MATCH(ROWS($AG$2:AG588),$AG$2:$AG$1001,0),0), INDEX($AN$1004:$BO$1004,1,MATCH(COLUMNS($AN$1006:AT1006),$AN$1006:$BO$1006,0)))),"Fix")))</f>
        <v>0</v>
      </c>
      <c r="I588" s="4">
        <f>IF(OR(INDEX($AH$2:$AH$1001,MATCH(ROWS($AG$2:AG588),$AG$2:$AG$1001,0),1)&gt;=100000,INDEX($AN$1005:$BO$1005,1,MATCH(COLUMNS($AN$1006:AU1006),$AN$1006:$BO$1006,0))&gt;=100000), " ",IF(INDEX($AN$2:$BO$1001,MATCH(ROWS($AG$2:AG588),$AG$2:$AG$1001,0),MATCH(COLUMNS($AN$1006:AU1006),$AN$1006:$BO$1006,0)), HYPERLINK("#",""), HYPERLINK(CONCATENATE("#Metadata!", ADDRESS(INDEX($AI$2:$AI$1001,MATCH(ROWS($AG$2:AG588),$AG$2:$AG$1001,0),0), INDEX($AN$1004:$BO$1004,1,MATCH(COLUMNS($AN$1006:AU1006),$AN$1006:$BO$1006,0)))),"Fix")))</f>
        <v>0</v>
      </c>
      <c r="J588" s="4">
        <f>IF(OR(INDEX($AH$2:$AH$1001,MATCH(ROWS($AG$2:AG588),$AG$2:$AG$1001,0),1)&gt;=100000,INDEX($AN$1005:$BO$1005,1,MATCH(COLUMNS($AN$1006:AV1006),$AN$1006:$BO$1006,0))&gt;=100000), " ",IF(INDEX($AN$2:$BO$1001,MATCH(ROWS($AG$2:AG588),$AG$2:$AG$1001,0),MATCH(COLUMNS($AN$1006:AV1006),$AN$1006:$BO$1006,0)), HYPERLINK("#",""), HYPERLINK(CONCATENATE("#Metadata!", ADDRESS(INDEX($AI$2:$AI$1001,MATCH(ROWS($AG$2:AG588),$AG$2:$AG$1001,0),0), INDEX($AN$1004:$BO$1004,1,MATCH(COLUMNS($AN$1006:AV1006),$AN$1006:$BO$1006,0)))),"Fix")))</f>
        <v>0</v>
      </c>
      <c r="K588" s="4">
        <f>IF(OR(INDEX($AH$2:$AH$1001,MATCH(ROWS($AG$2:AG588),$AG$2:$AG$1001,0),1)&gt;=100000,INDEX($AN$1005:$BO$1005,1,MATCH(COLUMNS($AN$1006:AW1006),$AN$1006:$BO$1006,0))&gt;=100000), " ",IF(INDEX($AN$2:$BO$1001,MATCH(ROWS($AG$2:AG588),$AG$2:$AG$1001,0),MATCH(COLUMNS($AN$1006:AW1006),$AN$1006:$BO$1006,0)), HYPERLINK("#",""), HYPERLINK(CONCATENATE("#Metadata!", ADDRESS(INDEX($AI$2:$AI$1001,MATCH(ROWS($AG$2:AG588),$AG$2:$AG$1001,0),0), INDEX($AN$1004:$BO$1004,1,MATCH(COLUMNS($AN$1006:AW1006),$AN$1006:$BO$1006,0)))),"Fix")))</f>
        <v>0</v>
      </c>
      <c r="L588" s="4">
        <f>IF(OR(INDEX($AH$2:$AH$1001,MATCH(ROWS($AG$2:AG588),$AG$2:$AG$1001,0),1)&gt;=100000,INDEX($AN$1005:$BO$1005,1,MATCH(COLUMNS($AN$1006:AX1006),$AN$1006:$BO$1006,0))&gt;=100000), " ",IF(INDEX($AN$2:$BO$1001,MATCH(ROWS($AG$2:AG588),$AG$2:$AG$1001,0),MATCH(COLUMNS($AN$1006:AX1006),$AN$1006:$BO$1006,0)), HYPERLINK("#",""), HYPERLINK(CONCATENATE("#Metadata!", ADDRESS(INDEX($AI$2:$AI$1001,MATCH(ROWS($AG$2:AG588),$AG$2:$AG$1001,0),0), INDEX($AN$1004:$BO$1004,1,MATCH(COLUMNS($AN$1006:AX1006),$AN$1006:$BO$1006,0)))),"Fix")))</f>
        <v>0</v>
      </c>
      <c r="M588" s="4">
        <f>IF(OR(INDEX($AH$2:$AH$1001,MATCH(ROWS($AG$2:AG588),$AG$2:$AG$1001,0),1)&gt;=100000,INDEX($AN$1005:$BO$1005,1,MATCH(COLUMNS($AN$1006:AY1006),$AN$1006:$BO$1006,0))&gt;=100000), " ",IF(INDEX($AN$2:$BO$1001,MATCH(ROWS($AG$2:AG588),$AG$2:$AG$1001,0),MATCH(COLUMNS($AN$1006:AY1006),$AN$1006:$BO$1006,0)), HYPERLINK("#",""), HYPERLINK(CONCATENATE("#Metadata!", ADDRESS(INDEX($AI$2:$AI$1001,MATCH(ROWS($AG$2:AG588),$AG$2:$AG$1001,0),0), INDEX($AN$1004:$BO$1004,1,MATCH(COLUMNS($AN$1006:AY1006),$AN$1006:$BO$1006,0)))),"Fix")))</f>
        <v>0</v>
      </c>
      <c r="N588" s="4">
        <f>IF(OR(INDEX($AH$2:$AH$1001,MATCH(ROWS($AG$2:AG588),$AG$2:$AG$1001,0),1)&gt;=100000,INDEX($AN$1005:$BO$1005,1,MATCH(COLUMNS($AN$1006:AZ1006),$AN$1006:$BO$1006,0))&gt;=100000), " ",IF(INDEX($AN$2:$BO$1001,MATCH(ROWS($AG$2:AG588),$AG$2:$AG$1001,0),MATCH(COLUMNS($AN$1006:AZ1006),$AN$1006:$BO$1006,0)), HYPERLINK("#",""), HYPERLINK(CONCATENATE("#Metadata!", ADDRESS(INDEX($AI$2:$AI$1001,MATCH(ROWS($AG$2:AG588),$AG$2:$AG$1001,0),0), INDEX($AN$1004:$BO$1004,1,MATCH(COLUMNS($AN$1006:AZ1006),$AN$1006:$BO$1006,0)))),"Fix")))</f>
        <v>0</v>
      </c>
      <c r="O588" s="4">
        <f>IF(OR(INDEX($AH$2:$AH$1001,MATCH(ROWS($AG$2:AG588),$AG$2:$AG$1001,0),1)&gt;=100000,INDEX($AN$1005:$BO$1005,1,MATCH(COLUMNS($AN$1006:BA1006),$AN$1006:$BO$1006,0))&gt;=100000), " ",IF(INDEX($AN$2:$BO$1001,MATCH(ROWS($AG$2:AG588),$AG$2:$AG$1001,0),MATCH(COLUMNS($AN$1006:BA1006),$AN$1006:$BO$1006,0)), HYPERLINK("#",""), HYPERLINK(CONCATENATE("#Metadata!", ADDRESS(INDEX($AI$2:$AI$1001,MATCH(ROWS($AG$2:AG588),$AG$2:$AG$1001,0),0), INDEX($AN$1004:$BO$1004,1,MATCH(COLUMNS($AN$1006:BA1006),$AN$1006:$BO$1006,0)))),"Fix")))</f>
        <v>0</v>
      </c>
      <c r="P588" s="4">
        <f>IF(OR(INDEX($AH$2:$AH$1001,MATCH(ROWS($AG$2:AG588),$AG$2:$AG$1001,0),1)&gt;=100000,INDEX($AN$1005:$BO$1005,1,MATCH(COLUMNS($AN$1006:BB1006),$AN$1006:$BO$1006,0))&gt;=100000), " ",IF(INDEX($AN$2:$BO$1001,MATCH(ROWS($AG$2:AG588),$AG$2:$AG$1001,0),MATCH(COLUMNS($AN$1006:BB1006),$AN$1006:$BO$1006,0)), HYPERLINK("#",""), HYPERLINK(CONCATENATE("#Metadata!", ADDRESS(INDEX($AI$2:$AI$1001,MATCH(ROWS($AG$2:AG588),$AG$2:$AG$1001,0),0), INDEX($AN$1004:$BO$1004,1,MATCH(COLUMNS($AN$1006:BB1006),$AN$1006:$BO$1006,0)))),"Fix")))</f>
        <v>0</v>
      </c>
      <c r="Q588" s="4">
        <f>IF(OR(INDEX($AH$2:$AH$1001,MATCH(ROWS($AG$2:AG588),$AG$2:$AG$1001,0),1)&gt;=100000,INDEX($AN$1005:$BO$1005,1,MATCH(COLUMNS($AN$1006:BC1006),$AN$1006:$BO$1006,0))&gt;=100000), " ",IF(INDEX($AN$2:$BO$1001,MATCH(ROWS($AG$2:AG588),$AG$2:$AG$1001,0),MATCH(COLUMNS($AN$1006:BC1006),$AN$1006:$BO$1006,0)), HYPERLINK("#",""), HYPERLINK(CONCATENATE("#Metadata!", ADDRESS(INDEX($AI$2:$AI$1001,MATCH(ROWS($AG$2:AG588),$AG$2:$AG$1001,0),0), INDEX($AN$1004:$BO$1004,1,MATCH(COLUMNS($AN$1006:BC1006),$AN$1006:$BO$1006,0)))),"Fix")))</f>
        <v>0</v>
      </c>
      <c r="R588" s="4">
        <f>IF(OR(INDEX($AH$2:$AH$1001,MATCH(ROWS($AG$2:AG588),$AG$2:$AG$1001,0),1)&gt;=100000,INDEX($AN$1005:$BO$1005,1,MATCH(COLUMNS($AN$1006:BD1006),$AN$1006:$BO$1006,0))&gt;=100000), " ",IF(INDEX($AN$2:$BO$1001,MATCH(ROWS($AG$2:AG588),$AG$2:$AG$1001,0),MATCH(COLUMNS($AN$1006:BD1006),$AN$1006:$BO$1006,0)), HYPERLINK("#",""), HYPERLINK(CONCATENATE("#Metadata!", ADDRESS(INDEX($AI$2:$AI$1001,MATCH(ROWS($AG$2:AG588),$AG$2:$AG$1001,0),0), INDEX($AN$1004:$BO$1004,1,MATCH(COLUMNS($AN$1006:BD1006),$AN$1006:$BO$1006,0)))),"Fix")))</f>
        <v>0</v>
      </c>
      <c r="S588" s="4">
        <f>IF(OR(INDEX($AH$2:$AH$1001,MATCH(ROWS($AG$2:AG588),$AG$2:$AG$1001,0),1)&gt;=100000,INDEX($AN$1005:$BO$1005,1,MATCH(COLUMNS($AN$1006:BE1006),$AN$1006:$BO$1006,0))&gt;=100000), " ",IF(INDEX($AN$2:$BO$1001,MATCH(ROWS($AG$2:AG588),$AG$2:$AG$1001,0),MATCH(COLUMNS($AN$1006:BE1006),$AN$1006:$BO$1006,0)), HYPERLINK("#",""), HYPERLINK(CONCATENATE("#Metadata!", ADDRESS(INDEX($AI$2:$AI$1001,MATCH(ROWS($AG$2:AG588),$AG$2:$AG$1001,0),0), INDEX($AN$1004:$BO$1004,1,MATCH(COLUMNS($AN$1006:BE1006),$AN$1006:$BO$1006,0)))),"Fix")))</f>
        <v>0</v>
      </c>
      <c r="T588" s="4">
        <f>IF(OR(INDEX($AH$2:$AH$1001,MATCH(ROWS($AG$2:AG588),$AG$2:$AG$1001,0),1)&gt;=100000,INDEX($AN$1005:$BO$1005,1,MATCH(COLUMNS($AN$1006:BF1006),$AN$1006:$BO$1006,0))&gt;=100000), " ",IF(INDEX($AN$2:$BO$1001,MATCH(ROWS($AG$2:AG588),$AG$2:$AG$1001,0),MATCH(COLUMNS($AN$1006:BF1006),$AN$1006:$BO$1006,0)), HYPERLINK("#",""), HYPERLINK(CONCATENATE("#Metadata!", ADDRESS(INDEX($AI$2:$AI$1001,MATCH(ROWS($AG$2:AG588),$AG$2:$AG$1001,0),0), INDEX($AN$1004:$BO$1004,1,MATCH(COLUMNS($AN$1006:BF1006),$AN$1006:$BO$1006,0)))),"Fix")))</f>
        <v>0</v>
      </c>
      <c r="U588" s="4">
        <f>IF(OR(INDEX($AH$2:$AH$1001,MATCH(ROWS($AG$2:AG588),$AG$2:$AG$1001,0),1)&gt;=100000,INDEX($AN$1005:$BO$1005,1,MATCH(COLUMNS($AN$1006:BG1006),$AN$1006:$BO$1006,0))&gt;=100000), " ",IF(INDEX($AN$2:$BO$1001,MATCH(ROWS($AG$2:AG588),$AG$2:$AG$1001,0),MATCH(COLUMNS($AN$1006:BG1006),$AN$1006:$BO$1006,0)), HYPERLINK("#",""), HYPERLINK(CONCATENATE("#Metadata!", ADDRESS(INDEX($AI$2:$AI$1001,MATCH(ROWS($AG$2:AG588),$AG$2:$AG$1001,0),0), INDEX($AN$1004:$BO$1004,1,MATCH(COLUMNS($AN$1006:BG1006),$AN$1006:$BO$1006,0)))),"Fix")))</f>
        <v>0</v>
      </c>
      <c r="V588" s="4">
        <f>IF(OR(INDEX($AH$2:$AH$1001,MATCH(ROWS($AG$2:AG588),$AG$2:$AG$1001,0),1)&gt;=100000,INDEX($AN$1005:$BO$1005,1,MATCH(COLUMNS($AN$1006:BH1006),$AN$1006:$BO$1006,0))&gt;=100000), " ",IF(INDEX($AN$2:$BO$1001,MATCH(ROWS($AG$2:AG588),$AG$2:$AG$1001,0),MATCH(COLUMNS($AN$1006:BH1006),$AN$1006:$BO$1006,0)), HYPERLINK("#",""), HYPERLINK(CONCATENATE("#Metadata!", ADDRESS(INDEX($AI$2:$AI$1001,MATCH(ROWS($AG$2:AG588),$AG$2:$AG$1001,0),0), INDEX($AN$1004:$BO$1004,1,MATCH(COLUMNS($AN$1006:BH1006),$AN$1006:$BO$1006,0)))),"Fix")))</f>
        <v>0</v>
      </c>
      <c r="W588" s="4">
        <f>IF(OR(INDEX($AH$2:$AH$1001,MATCH(ROWS($AG$2:AG588),$AG$2:$AG$1001,0),1)&gt;=100000,INDEX($AN$1005:$BO$1005,1,MATCH(COLUMNS($AN$1006:BI1006),$AN$1006:$BO$1006,0))&gt;=100000), " ",IF(INDEX($AN$2:$BO$1001,MATCH(ROWS($AG$2:AG588),$AG$2:$AG$1001,0),MATCH(COLUMNS($AN$1006:BI1006),$AN$1006:$BO$1006,0)), HYPERLINK("#",""), HYPERLINK(CONCATENATE("#Metadata!", ADDRESS(INDEX($AI$2:$AI$1001,MATCH(ROWS($AG$2:AG588),$AG$2:$AG$1001,0),0), INDEX($AN$1004:$BO$1004,1,MATCH(COLUMNS($AN$1006:BI1006),$AN$1006:$BO$1006,0)))),"Fix")))</f>
        <v>0</v>
      </c>
      <c r="X588" s="4">
        <f>IF(OR(INDEX($AH$2:$AH$1001,MATCH(ROWS($AG$2:AG588),$AG$2:$AG$1001,0),1)&gt;=100000,INDEX($AN$1005:$BO$1005,1,MATCH(COLUMNS($AN$1006:BJ1006),$AN$1006:$BO$1006,0))&gt;=100000), " ",IF(INDEX($AN$2:$BO$1001,MATCH(ROWS($AG$2:AG588),$AG$2:$AG$1001,0),MATCH(COLUMNS($AN$1006:BJ1006),$AN$1006:$BO$1006,0)), HYPERLINK("#",""), HYPERLINK(CONCATENATE("#Metadata!", ADDRESS(INDEX($AI$2:$AI$1001,MATCH(ROWS($AG$2:AG588),$AG$2:$AG$1001,0),0), INDEX($AN$1004:$BO$1004,1,MATCH(COLUMNS($AN$1006:BJ1006),$AN$1006:$BO$1006,0)))),"Fix")))</f>
        <v>0</v>
      </c>
      <c r="Y588" s="4">
        <f>IF(OR(INDEX($AH$2:$AH$1001,MATCH(ROWS($AG$2:AG588),$AG$2:$AG$1001,0),1)&gt;=100000,INDEX($AN$1005:$BO$1005,1,MATCH(COLUMNS($AN$1006:BK1006),$AN$1006:$BO$1006,0))&gt;=100000), " ",IF(INDEX($AN$2:$BO$1001,MATCH(ROWS($AG$2:AG588),$AG$2:$AG$1001,0),MATCH(COLUMNS($AN$1006:BK1006),$AN$1006:$BO$1006,0)), HYPERLINK("#",""), HYPERLINK(CONCATENATE("#Metadata!", ADDRESS(INDEX($AI$2:$AI$1001,MATCH(ROWS($AG$2:AG588),$AG$2:$AG$1001,0),0), INDEX($AN$1004:$BO$1004,1,MATCH(COLUMNS($AN$1006:BK1006),$AN$1006:$BO$1006,0)))),"Fix")))</f>
        <v>0</v>
      </c>
      <c r="Z588" s="4">
        <f>IF(OR(INDEX($AH$2:$AH$1001,MATCH(ROWS($AG$2:AG588),$AG$2:$AG$1001,0),1)&gt;=100000,INDEX($AN$1005:$BO$1005,1,MATCH(COLUMNS($AN$1006:BL1006),$AN$1006:$BO$1006,0))&gt;=100000), " ",IF(INDEX($AN$2:$BO$1001,MATCH(ROWS($AG$2:AG588),$AG$2:$AG$1001,0),MATCH(COLUMNS($AN$1006:BL1006),$AN$1006:$BO$1006,0)), HYPERLINK("#",""), HYPERLINK(CONCATENATE("#Metadata!", ADDRESS(INDEX($AI$2:$AI$1001,MATCH(ROWS($AG$2:AG588),$AG$2:$AG$1001,0),0), INDEX($AN$1004:$BO$1004,1,MATCH(COLUMNS($AN$1006:BL1006),$AN$1006:$BO$1006,0)))),"Fix")))</f>
        <v>0</v>
      </c>
      <c r="AA588" s="4">
        <f>IF(OR(INDEX($AH$2:$AH$1001,MATCH(ROWS($AG$2:AG588),$AG$2:$AG$1001,0),1)&gt;=100000,INDEX($AN$1005:$BO$1005,1,MATCH(COLUMNS($AN$1006:BM1006),$AN$1006:$BO$1006,0))&gt;=100000), " ",IF(INDEX($AN$2:$BO$1001,MATCH(ROWS($AG$2:AG588),$AG$2:$AG$1001,0),MATCH(COLUMNS($AN$1006:BM1006),$AN$1006:$BO$1006,0)), HYPERLINK("#",""), HYPERLINK(CONCATENATE("#Metadata!", ADDRESS(INDEX($AI$2:$AI$1001,MATCH(ROWS($AG$2:AG588),$AG$2:$AG$1001,0),0), INDEX($AN$1004:$BO$1004,1,MATCH(COLUMNS($AN$1006:BM1006),$AN$1006:$BO$1006,0)))),"Fix")))</f>
        <v>0</v>
      </c>
      <c r="AB588" s="4">
        <f>IF(OR(INDEX($AH$2:$AH$1001,MATCH(ROWS($AG$2:AG588),$AG$2:$AG$1001,0),1)&gt;=100000,INDEX($AN$1005:$BO$1005,1,MATCH(COLUMNS($AN$1006:BN1006),$AN$1006:$BO$1006,0))&gt;=100000), " ",IF(INDEX($AN$2:$BO$1001,MATCH(ROWS($AG$2:AG588),$AG$2:$AG$1001,0),MATCH(COLUMNS($AN$1006:BN1006),$AN$1006:$BO$1006,0)), HYPERLINK("#",""), HYPERLINK(CONCATENATE("#Metadata!", ADDRESS(INDEX($AI$2:$AI$1001,MATCH(ROWS($AG$2:AG588),$AG$2:$AG$1001,0),0), INDEX($AN$1004:$BO$1004,1,MATCH(COLUMNS($AN$1006:BN1006),$AN$1006:$BO$1006,0)))),"Fix")))</f>
        <v>0</v>
      </c>
      <c r="AC588" s="4">
        <f>IF(OR(INDEX($AH$2:$AH$1001,MATCH(ROWS($AG$2:AG588),$AG$2:$AG$1001,0),1)&gt;=100000,INDEX($AN$1005:$BO$1005,1,MATCH(COLUMNS($AN$1006:BO1006),$AN$1006:$BO$1006,0))&gt;=100000), " ",IF(INDEX($AN$2:$BO$1001,MATCH(ROWS($AG$2:AG588),$AG$2:$AG$1001,0),MATCH(COLUMNS($AN$1006:BO1006),$AN$1006:$BO$1006,0)), HYPERLINK("#",""), HYPERLINK(CONCATENATE("#Metadata!", ADDRESS(INDEX($AI$2:$AI$1001,MATCH(ROWS($AG$2:AG588),$AG$2:$AG$1001,0),0), INDEX($AN$1004:$BO$1004,1,MATCH(COLUMNS($AN$1006:BO1006),$AN$1006:$BO$1006,0)))),"Fix")))</f>
        <v>0</v>
      </c>
      <c r="AG588">
        <v>0</v>
      </c>
      <c r="AH588">
        <v>0</v>
      </c>
      <c r="AI588">
        <v>0</v>
      </c>
      <c r="AJ588">
        <f>IF(AK588,TRUE,AND(AN588:BO588))</f>
        <v>0</v>
      </c>
      <c r="AK588">
        <f>COUNTBLANK(Metadata!B588:AC588)=COLUMNS(Metadata!B588:AC588)</f>
        <v>0</v>
      </c>
      <c r="AL588">
        <v>0</v>
      </c>
      <c r="AN588">
        <f>AND(IF(Metadata!B588="",FALSE,TRUE),COUNTIF(Metadata!B:B, Metadata!B588) = 1,NOT(ISERROR(SUMPRODUCT(SEARCH(MID(Metadata!B588,ROW(INDIRECT("1:"&amp;LEN(Metadata!B588))), 1),"0123456789abcdefghijklmnopqrstuvwxyzABCDEFGHIJKLMNOPQRSTUVWXYZ.")))))</f>
        <v>0</v>
      </c>
      <c r="AO588">
        <f>IF(Metadata!C588="",FALSE,TRUE)</f>
        <v>0</v>
      </c>
      <c r="AP588">
        <f>IF(Metadata!D588="",FALSE,TRUE)</f>
        <v>0</v>
      </c>
      <c r="AQ588">
        <f>OR(AND(IF(Metadata!E588="",FALSE,TRUE),OR(exact(Metadata!E588,"not collected"),exact(Metadata!E588,"not provided"),exact(Metadata!E588,"restricted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R588">
        <f>IF(Metadata!F588="",FALSE,TRUE)</f>
        <v>0</v>
      </c>
      <c r="AS588">
        <f>OR(AND(IF(Metadata!G588="",FALSE,TRUE),OR(exact(Metadata!G588,"not collected"),exact(Metadata!G588,"not provided"))),AND(IF(Metadata!G588="",FALSE,TRUE),OR(exact(Metadata!G588,"TRUE"),exact(Metadata!G588,"FALSE"))))</f>
        <v>0</v>
      </c>
      <c r="AT588">
        <f>OR(AND(IF(Metadata!H588="",FALSE,TRUE),OR(exact(Metadata!H588,"not collected"),exact(Metadata!H588,"not provided"),exact(Metadata!H588,"restricted access"))),AND(IF(Metadata!H588="",FALSE,ISNUMBER(VALUE(Metadata!H588))),Metadata!H588&gt;=-413.0))</f>
        <v>0</v>
      </c>
      <c r="AU588">
        <f>AND(IF(Metadata!I588="",FALSE,TRUE),exact(Metadata!I588,"meters"))</f>
        <v>0</v>
      </c>
      <c r="AV588">
        <f>AND(IF(Metadata!J588="",FALSE,TRUE),OR(exact(Metadata!J588,"Host-associated"),exact(Metadata!J588,"Free-living")))</f>
        <v>0</v>
      </c>
      <c r="AW588">
        <f>AND(IF(Metadata!K588="",FALSE,TRUE),OR(exact(Metadata!K588,"Animal"),exact(Metadata!K588,"Fungus"),exact(Metadata!K588,"Plant"),exact(Metadata!K588,"Saline"),exact(Metadata!K588,"Non-saline")))</f>
        <v>0</v>
      </c>
      <c r="AX588">
        <f>AND(IF(Metadata!L588="",FALSE,TRUE),OR(exact(Metadata!L588,"Plant secretion"),exact(Metadata!L588,"Plant rhizosphere"),exact(Metadata!L588,"Plant surface"),exact(Metadata!L588,"Plant corpus"),exact(Metadata!L588,"Fungus surface"),exact(Metadata!L588,"Fungus corpus"),exact(Metadata!L588,"Animal surface"),exact(Metadata!L588,"Animal proximal gut"),exact(Metadata!L588,"Animal corpus"),exact(Metadata!L588,"Animal distal gut"),exact(Metadata!L588,"Animal secretion"),exact(Metadata!L588,"Sub-surface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Y588">
        <f>IF(Metadata!M588="",FALSE,TRUE)</f>
        <v>0</v>
      </c>
      <c r="AZ588">
        <f>IF(Metadata!N588="",FALSE,TRUE)</f>
        <v>0</v>
      </c>
      <c r="BA588">
        <f>IF(Metadata!O588="",FALSE,TRUE)</f>
        <v>0</v>
      </c>
      <c r="BB588">
        <f>OR(AND(IF(Metadata!P588="",FALSE,TRUE),OR(exact(Metadata!P588,"not collected"),exact(Metadata!P588,"not provided"),exact(Metadata!P588,"restricted access"))),AND(IF(Metadata!P588="",FALSE,TRUE),OR(exact(Metadata!P588,"air"),exact(Metadata!P588,"built environment"),exact(Metadata!P588,"host-associated"),exact(Metadata!P588,"human-associated"),exact(Metadata!P588,"human-skin"),exact(Metadata!P588,"human-oral"),exact(Metadata!P588,"human-gut"),exact(Metadata!P588,"human-vaginal"),exact(Metadata!P588,"microbial mat/biofilm"),exact(Metadata!P588,"misc environment"),exact(Metadata!P588,"plant-associated"),exact(Metadata!P588,"sediment"),exact(Metadata!P588,"soil"),exact(Metadata!P588,"wastewater/sludge"),exact(Metadata!P588,"water"))))</f>
        <v>0</v>
      </c>
      <c r="BC588">
        <f>IF(Metadata!Q588="",FALSE,TRUE)</f>
        <v>0</v>
      </c>
      <c r="BD588">
        <f>IF(Metadata!R588="",FALSE,TRUE)</f>
        <v>0</v>
      </c>
      <c r="BE588">
        <f>OR(AND(IF(Metadata!S588="",FALSE,TRUE),OR(exact(Metadata!S588,"not collected"),exact(Metadata!S588,"not provided"),exact(Metadata!S588,"restricted access"))),AND(IF(Metadata!S588="",FALSE,ISNUMBER(VALUE(Metadata!S588))),Metadata!S588&gt;=-90.00,Metadata!S588&lt;=90.00))</f>
        <v>0</v>
      </c>
      <c r="BF588">
        <f>AND(IF(Metadata!T588="",FALSE,TRUE),exact(Metadata!T588,"Decimal degrees"))</f>
        <v>0</v>
      </c>
      <c r="BG588">
        <f>OR(AND(IF(Metadata!U588="",FALSE,TRUE),OR(exact(Metadata!U588,"not collected"),exact(Metadata!U588,"not provided"),exact(Metadata!U588,"restricted access"))),AND(IF(Metadata!U588="",FALSE,ISNUMBER(VALUE(Metadata!U588))),Metadata!U588&gt;=-180.00,Metadata!U588&lt;=180.00))</f>
        <v>0</v>
      </c>
      <c r="BH588">
        <f>AND(IF(Metadata!V588="",FALSE,TRUE),exact(Metadata!V588,"Decimal degrees"))</f>
        <v>0</v>
      </c>
      <c r="BI588">
        <f>IF(Metadata!W588="",FALSE,TRUE)</f>
        <v>0</v>
      </c>
      <c r="BJ588">
        <f>OR(AND(IF(Metadata!X588="",FALSE,TRUE),OR(exact(Metadata!X588,"not collected"),exact(Metadata!X588,"not provided"),exact(Metadata!X588,"restricted access"))),AND(IF(Metadata!X588="",FALSE,TRUE),OR(exact(Metadata!X588,"TRUE"),exact(Metadata!X588,"FALSE"))))</f>
        <v>0</v>
      </c>
      <c r="BK588">
        <f>AND(IF(Metadata!Y588="",FALSE,TRUE),exact(Metadata!Y588,"other"))</f>
        <v>0</v>
      </c>
      <c r="BL588">
        <f>IF(Metadata!Z588="",FALSE,TRUE)</f>
        <v>0</v>
      </c>
      <c r="BM588">
        <f>OR(AND(IF(Metadata!AA588="",FALSE,TRUE),OR(exact(Metadata!AA588,"not collected"),exact(Metadata!AA588,"not provided"))),AND(IF(Metadata!AA588="",FALSE,IF(ISERROR(INT(Metadata!AA588)),FALSE,INT(Metadata!AA588)=Metadata!AA588)),Metadata!AA588&gt;0))</f>
        <v>0</v>
      </c>
      <c r="BN588">
        <f>AND(IF(Metadata!AB588="",FALSE,TRUE),exact(Metadata!AB588,"Not applicable"))</f>
        <v>0</v>
      </c>
      <c r="BO588">
        <f>IF(Metadata!AC588="",FALSE,TRUE)</f>
        <v>0</v>
      </c>
    </row>
    <row r="589" spans="1:67">
      <c r="A589" s="5">
        <f>IF(B589=" "," ",HYPERLINK(CONCATENATE("#metadata!",ADDRESS(INDEX($AI$2:$AI$1001,MATCH(ROWS($AG$2:AG589),$AG$2:$AG$1001,0),0),1)),INDEX($AL$2:$AL$1001,MATCH(ROWS($AG$2:AG589),$AG$2:$AG$1001,0),0)))</f>
        <v>0</v>
      </c>
      <c r="B589" s="4">
        <f>IF(OR(INDEX($AH$2:$AH$1001,MATCH(ROWS($AG$2:AG589),$AG$2:$AG$1001,0),1)&gt;=100000,INDEX($AN$1005:$BO$1005,1,MATCH(COLUMNS($AN$1006:AN1006),$AN$1006:$BO$1006,0))&gt;=100000), " ",IF(INDEX($AN$2:$BO$1001,MATCH(ROWS($AG$2:AG589),$AG$2:$AG$1001,0),MATCH(COLUMNS($AN$1006:AN1006),$AN$1006:$BO$1006,0)), HYPERLINK("#",""), HYPERLINK(CONCATENATE("#Metadata!", ADDRESS(INDEX($AI$2:$AI$1001,MATCH(ROWS($AG$2:AG589),$AG$2:$AG$1001,0),0), INDEX($AN$1004:$BO$1004,1,MATCH(COLUMNS($AN$1006:AN1006),$AN$1006:$BO$1006,0)))),"Fix")))</f>
        <v>0</v>
      </c>
      <c r="C589" s="4">
        <f>IF(OR(INDEX($AH$2:$AH$1001,MATCH(ROWS($AG$2:AG589),$AG$2:$AG$1001,0),1)&gt;=100000,INDEX($AN$1005:$BO$1005,1,MATCH(COLUMNS($AN$1006:AO1006),$AN$1006:$BO$1006,0))&gt;=100000), " ",IF(INDEX($AN$2:$BO$1001,MATCH(ROWS($AG$2:AG589),$AG$2:$AG$1001,0),MATCH(COLUMNS($AN$1006:AO1006),$AN$1006:$BO$1006,0)), HYPERLINK("#",""), HYPERLINK(CONCATENATE("#Metadata!", ADDRESS(INDEX($AI$2:$AI$1001,MATCH(ROWS($AG$2:AG589),$AG$2:$AG$1001,0),0), INDEX($AN$1004:$BO$1004,1,MATCH(COLUMNS($AN$1006:AO1006),$AN$1006:$BO$1006,0)))),"Fix")))</f>
        <v>0</v>
      </c>
      <c r="D589" s="4">
        <f>IF(OR(INDEX($AH$2:$AH$1001,MATCH(ROWS($AG$2:AG589),$AG$2:$AG$1001,0),1)&gt;=100000,INDEX($AN$1005:$BO$1005,1,MATCH(COLUMNS($AN$1006:AP1006),$AN$1006:$BO$1006,0))&gt;=100000), " ",IF(INDEX($AN$2:$BO$1001,MATCH(ROWS($AG$2:AG589),$AG$2:$AG$1001,0),MATCH(COLUMNS($AN$1006:AP1006),$AN$1006:$BO$1006,0)), HYPERLINK("#",""), HYPERLINK(CONCATENATE("#Metadata!", ADDRESS(INDEX($AI$2:$AI$1001,MATCH(ROWS($AG$2:AG589),$AG$2:$AG$1001,0),0), INDEX($AN$1004:$BO$1004,1,MATCH(COLUMNS($AN$1006:AP1006),$AN$1006:$BO$1006,0)))),"Fix")))</f>
        <v>0</v>
      </c>
      <c r="E589" s="4">
        <f>IF(OR(INDEX($AH$2:$AH$1001,MATCH(ROWS($AG$2:AG589),$AG$2:$AG$1001,0),1)&gt;=100000,INDEX($AN$1005:$BO$1005,1,MATCH(COLUMNS($AN$1006:AQ1006),$AN$1006:$BO$1006,0))&gt;=100000), " ",IF(INDEX($AN$2:$BO$1001,MATCH(ROWS($AG$2:AG589),$AG$2:$AG$1001,0),MATCH(COLUMNS($AN$1006:AQ1006),$AN$1006:$BO$1006,0)), HYPERLINK("#",""), HYPERLINK(CONCATENATE("#Metadata!", ADDRESS(INDEX($AI$2:$AI$1001,MATCH(ROWS($AG$2:AG589),$AG$2:$AG$1001,0),0), INDEX($AN$1004:$BO$1004,1,MATCH(COLUMNS($AN$1006:AQ1006),$AN$1006:$BO$1006,0)))),"Fix")))</f>
        <v>0</v>
      </c>
      <c r="F589" s="4">
        <f>IF(OR(INDEX($AH$2:$AH$1001,MATCH(ROWS($AG$2:AG589),$AG$2:$AG$1001,0),1)&gt;=100000,INDEX($AN$1005:$BO$1005,1,MATCH(COLUMNS($AN$1006:AR1006),$AN$1006:$BO$1006,0))&gt;=100000), " ",IF(INDEX($AN$2:$BO$1001,MATCH(ROWS($AG$2:AG589),$AG$2:$AG$1001,0),MATCH(COLUMNS($AN$1006:AR1006),$AN$1006:$BO$1006,0)), HYPERLINK("#",""), HYPERLINK(CONCATENATE("#Metadata!", ADDRESS(INDEX($AI$2:$AI$1001,MATCH(ROWS($AG$2:AG589),$AG$2:$AG$1001,0),0), INDEX($AN$1004:$BO$1004,1,MATCH(COLUMNS($AN$1006:AR1006),$AN$1006:$BO$1006,0)))),"Fix")))</f>
        <v>0</v>
      </c>
      <c r="G589" s="4">
        <f>IF(OR(INDEX($AH$2:$AH$1001,MATCH(ROWS($AG$2:AG589),$AG$2:$AG$1001,0),1)&gt;=100000,INDEX($AN$1005:$BO$1005,1,MATCH(COLUMNS($AN$1006:AS1006),$AN$1006:$BO$1006,0))&gt;=100000), " ",IF(INDEX($AN$2:$BO$1001,MATCH(ROWS($AG$2:AG589),$AG$2:$AG$1001,0),MATCH(COLUMNS($AN$1006:AS1006),$AN$1006:$BO$1006,0)), HYPERLINK("#",""), HYPERLINK(CONCATENATE("#Metadata!", ADDRESS(INDEX($AI$2:$AI$1001,MATCH(ROWS($AG$2:AG589),$AG$2:$AG$1001,0),0), INDEX($AN$1004:$BO$1004,1,MATCH(COLUMNS($AN$1006:AS1006),$AN$1006:$BO$1006,0)))),"Fix")))</f>
        <v>0</v>
      </c>
      <c r="H589" s="4">
        <f>IF(OR(INDEX($AH$2:$AH$1001,MATCH(ROWS($AG$2:AG589),$AG$2:$AG$1001,0),1)&gt;=100000,INDEX($AN$1005:$BO$1005,1,MATCH(COLUMNS($AN$1006:AT1006),$AN$1006:$BO$1006,0))&gt;=100000), " ",IF(INDEX($AN$2:$BO$1001,MATCH(ROWS($AG$2:AG589),$AG$2:$AG$1001,0),MATCH(COLUMNS($AN$1006:AT1006),$AN$1006:$BO$1006,0)), HYPERLINK("#",""), HYPERLINK(CONCATENATE("#Metadata!", ADDRESS(INDEX($AI$2:$AI$1001,MATCH(ROWS($AG$2:AG589),$AG$2:$AG$1001,0),0), INDEX($AN$1004:$BO$1004,1,MATCH(COLUMNS($AN$1006:AT1006),$AN$1006:$BO$1006,0)))),"Fix")))</f>
        <v>0</v>
      </c>
      <c r="I589" s="4">
        <f>IF(OR(INDEX($AH$2:$AH$1001,MATCH(ROWS($AG$2:AG589),$AG$2:$AG$1001,0),1)&gt;=100000,INDEX($AN$1005:$BO$1005,1,MATCH(COLUMNS($AN$1006:AU1006),$AN$1006:$BO$1006,0))&gt;=100000), " ",IF(INDEX($AN$2:$BO$1001,MATCH(ROWS($AG$2:AG589),$AG$2:$AG$1001,0),MATCH(COLUMNS($AN$1006:AU1006),$AN$1006:$BO$1006,0)), HYPERLINK("#",""), HYPERLINK(CONCATENATE("#Metadata!", ADDRESS(INDEX($AI$2:$AI$1001,MATCH(ROWS($AG$2:AG589),$AG$2:$AG$1001,0),0), INDEX($AN$1004:$BO$1004,1,MATCH(COLUMNS($AN$1006:AU1006),$AN$1006:$BO$1006,0)))),"Fix")))</f>
        <v>0</v>
      </c>
      <c r="J589" s="4">
        <f>IF(OR(INDEX($AH$2:$AH$1001,MATCH(ROWS($AG$2:AG589),$AG$2:$AG$1001,0),1)&gt;=100000,INDEX($AN$1005:$BO$1005,1,MATCH(COLUMNS($AN$1006:AV1006),$AN$1006:$BO$1006,0))&gt;=100000), " ",IF(INDEX($AN$2:$BO$1001,MATCH(ROWS($AG$2:AG589),$AG$2:$AG$1001,0),MATCH(COLUMNS($AN$1006:AV1006),$AN$1006:$BO$1006,0)), HYPERLINK("#",""), HYPERLINK(CONCATENATE("#Metadata!", ADDRESS(INDEX($AI$2:$AI$1001,MATCH(ROWS($AG$2:AG589),$AG$2:$AG$1001,0),0), INDEX($AN$1004:$BO$1004,1,MATCH(COLUMNS($AN$1006:AV1006),$AN$1006:$BO$1006,0)))),"Fix")))</f>
        <v>0</v>
      </c>
      <c r="K589" s="4">
        <f>IF(OR(INDEX($AH$2:$AH$1001,MATCH(ROWS($AG$2:AG589),$AG$2:$AG$1001,0),1)&gt;=100000,INDEX($AN$1005:$BO$1005,1,MATCH(COLUMNS($AN$1006:AW1006),$AN$1006:$BO$1006,0))&gt;=100000), " ",IF(INDEX($AN$2:$BO$1001,MATCH(ROWS($AG$2:AG589),$AG$2:$AG$1001,0),MATCH(COLUMNS($AN$1006:AW1006),$AN$1006:$BO$1006,0)), HYPERLINK("#",""), HYPERLINK(CONCATENATE("#Metadata!", ADDRESS(INDEX($AI$2:$AI$1001,MATCH(ROWS($AG$2:AG589),$AG$2:$AG$1001,0),0), INDEX($AN$1004:$BO$1004,1,MATCH(COLUMNS($AN$1006:AW1006),$AN$1006:$BO$1006,0)))),"Fix")))</f>
        <v>0</v>
      </c>
      <c r="L589" s="4">
        <f>IF(OR(INDEX($AH$2:$AH$1001,MATCH(ROWS($AG$2:AG589),$AG$2:$AG$1001,0),1)&gt;=100000,INDEX($AN$1005:$BO$1005,1,MATCH(COLUMNS($AN$1006:AX1006),$AN$1006:$BO$1006,0))&gt;=100000), " ",IF(INDEX($AN$2:$BO$1001,MATCH(ROWS($AG$2:AG589),$AG$2:$AG$1001,0),MATCH(COLUMNS($AN$1006:AX1006),$AN$1006:$BO$1006,0)), HYPERLINK("#",""), HYPERLINK(CONCATENATE("#Metadata!", ADDRESS(INDEX($AI$2:$AI$1001,MATCH(ROWS($AG$2:AG589),$AG$2:$AG$1001,0),0), INDEX($AN$1004:$BO$1004,1,MATCH(COLUMNS($AN$1006:AX1006),$AN$1006:$BO$1006,0)))),"Fix")))</f>
        <v>0</v>
      </c>
      <c r="M589" s="4">
        <f>IF(OR(INDEX($AH$2:$AH$1001,MATCH(ROWS($AG$2:AG589),$AG$2:$AG$1001,0),1)&gt;=100000,INDEX($AN$1005:$BO$1005,1,MATCH(COLUMNS($AN$1006:AY1006),$AN$1006:$BO$1006,0))&gt;=100000), " ",IF(INDEX($AN$2:$BO$1001,MATCH(ROWS($AG$2:AG589),$AG$2:$AG$1001,0),MATCH(COLUMNS($AN$1006:AY1006),$AN$1006:$BO$1006,0)), HYPERLINK("#",""), HYPERLINK(CONCATENATE("#Metadata!", ADDRESS(INDEX($AI$2:$AI$1001,MATCH(ROWS($AG$2:AG589),$AG$2:$AG$1001,0),0), INDEX($AN$1004:$BO$1004,1,MATCH(COLUMNS($AN$1006:AY1006),$AN$1006:$BO$1006,0)))),"Fix")))</f>
        <v>0</v>
      </c>
      <c r="N589" s="4">
        <f>IF(OR(INDEX($AH$2:$AH$1001,MATCH(ROWS($AG$2:AG589),$AG$2:$AG$1001,0),1)&gt;=100000,INDEX($AN$1005:$BO$1005,1,MATCH(COLUMNS($AN$1006:AZ1006),$AN$1006:$BO$1006,0))&gt;=100000), " ",IF(INDEX($AN$2:$BO$1001,MATCH(ROWS($AG$2:AG589),$AG$2:$AG$1001,0),MATCH(COLUMNS($AN$1006:AZ1006),$AN$1006:$BO$1006,0)), HYPERLINK("#",""), HYPERLINK(CONCATENATE("#Metadata!", ADDRESS(INDEX($AI$2:$AI$1001,MATCH(ROWS($AG$2:AG589),$AG$2:$AG$1001,0),0), INDEX($AN$1004:$BO$1004,1,MATCH(COLUMNS($AN$1006:AZ1006),$AN$1006:$BO$1006,0)))),"Fix")))</f>
        <v>0</v>
      </c>
      <c r="O589" s="4">
        <f>IF(OR(INDEX($AH$2:$AH$1001,MATCH(ROWS($AG$2:AG589),$AG$2:$AG$1001,0),1)&gt;=100000,INDEX($AN$1005:$BO$1005,1,MATCH(COLUMNS($AN$1006:BA1006),$AN$1006:$BO$1006,0))&gt;=100000), " ",IF(INDEX($AN$2:$BO$1001,MATCH(ROWS($AG$2:AG589),$AG$2:$AG$1001,0),MATCH(COLUMNS($AN$1006:BA1006),$AN$1006:$BO$1006,0)), HYPERLINK("#",""), HYPERLINK(CONCATENATE("#Metadata!", ADDRESS(INDEX($AI$2:$AI$1001,MATCH(ROWS($AG$2:AG589),$AG$2:$AG$1001,0),0), INDEX($AN$1004:$BO$1004,1,MATCH(COLUMNS($AN$1006:BA1006),$AN$1006:$BO$1006,0)))),"Fix")))</f>
        <v>0</v>
      </c>
      <c r="P589" s="4">
        <f>IF(OR(INDEX($AH$2:$AH$1001,MATCH(ROWS($AG$2:AG589),$AG$2:$AG$1001,0),1)&gt;=100000,INDEX($AN$1005:$BO$1005,1,MATCH(COLUMNS($AN$1006:BB1006),$AN$1006:$BO$1006,0))&gt;=100000), " ",IF(INDEX($AN$2:$BO$1001,MATCH(ROWS($AG$2:AG589),$AG$2:$AG$1001,0),MATCH(COLUMNS($AN$1006:BB1006),$AN$1006:$BO$1006,0)), HYPERLINK("#",""), HYPERLINK(CONCATENATE("#Metadata!", ADDRESS(INDEX($AI$2:$AI$1001,MATCH(ROWS($AG$2:AG589),$AG$2:$AG$1001,0),0), INDEX($AN$1004:$BO$1004,1,MATCH(COLUMNS($AN$1006:BB1006),$AN$1006:$BO$1006,0)))),"Fix")))</f>
        <v>0</v>
      </c>
      <c r="Q589" s="4">
        <f>IF(OR(INDEX($AH$2:$AH$1001,MATCH(ROWS($AG$2:AG589),$AG$2:$AG$1001,0),1)&gt;=100000,INDEX($AN$1005:$BO$1005,1,MATCH(COLUMNS($AN$1006:BC1006),$AN$1006:$BO$1006,0))&gt;=100000), " ",IF(INDEX($AN$2:$BO$1001,MATCH(ROWS($AG$2:AG589),$AG$2:$AG$1001,0),MATCH(COLUMNS($AN$1006:BC1006),$AN$1006:$BO$1006,0)), HYPERLINK("#",""), HYPERLINK(CONCATENATE("#Metadata!", ADDRESS(INDEX($AI$2:$AI$1001,MATCH(ROWS($AG$2:AG589),$AG$2:$AG$1001,0),0), INDEX($AN$1004:$BO$1004,1,MATCH(COLUMNS($AN$1006:BC1006),$AN$1006:$BO$1006,0)))),"Fix")))</f>
        <v>0</v>
      </c>
      <c r="R589" s="4">
        <f>IF(OR(INDEX($AH$2:$AH$1001,MATCH(ROWS($AG$2:AG589),$AG$2:$AG$1001,0),1)&gt;=100000,INDEX($AN$1005:$BO$1005,1,MATCH(COLUMNS($AN$1006:BD1006),$AN$1006:$BO$1006,0))&gt;=100000), " ",IF(INDEX($AN$2:$BO$1001,MATCH(ROWS($AG$2:AG589),$AG$2:$AG$1001,0),MATCH(COLUMNS($AN$1006:BD1006),$AN$1006:$BO$1006,0)), HYPERLINK("#",""), HYPERLINK(CONCATENATE("#Metadata!", ADDRESS(INDEX($AI$2:$AI$1001,MATCH(ROWS($AG$2:AG589),$AG$2:$AG$1001,0),0), INDEX($AN$1004:$BO$1004,1,MATCH(COLUMNS($AN$1006:BD1006),$AN$1006:$BO$1006,0)))),"Fix")))</f>
        <v>0</v>
      </c>
      <c r="S589" s="4">
        <f>IF(OR(INDEX($AH$2:$AH$1001,MATCH(ROWS($AG$2:AG589),$AG$2:$AG$1001,0),1)&gt;=100000,INDEX($AN$1005:$BO$1005,1,MATCH(COLUMNS($AN$1006:BE1006),$AN$1006:$BO$1006,0))&gt;=100000), " ",IF(INDEX($AN$2:$BO$1001,MATCH(ROWS($AG$2:AG589),$AG$2:$AG$1001,0),MATCH(COLUMNS($AN$1006:BE1006),$AN$1006:$BO$1006,0)), HYPERLINK("#",""), HYPERLINK(CONCATENATE("#Metadata!", ADDRESS(INDEX($AI$2:$AI$1001,MATCH(ROWS($AG$2:AG589),$AG$2:$AG$1001,0),0), INDEX($AN$1004:$BO$1004,1,MATCH(COLUMNS($AN$1006:BE1006),$AN$1006:$BO$1006,0)))),"Fix")))</f>
        <v>0</v>
      </c>
      <c r="T589" s="4">
        <f>IF(OR(INDEX($AH$2:$AH$1001,MATCH(ROWS($AG$2:AG589),$AG$2:$AG$1001,0),1)&gt;=100000,INDEX($AN$1005:$BO$1005,1,MATCH(COLUMNS($AN$1006:BF1006),$AN$1006:$BO$1006,0))&gt;=100000), " ",IF(INDEX($AN$2:$BO$1001,MATCH(ROWS($AG$2:AG589),$AG$2:$AG$1001,0),MATCH(COLUMNS($AN$1006:BF1006),$AN$1006:$BO$1006,0)), HYPERLINK("#",""), HYPERLINK(CONCATENATE("#Metadata!", ADDRESS(INDEX($AI$2:$AI$1001,MATCH(ROWS($AG$2:AG589),$AG$2:$AG$1001,0),0), INDEX($AN$1004:$BO$1004,1,MATCH(COLUMNS($AN$1006:BF1006),$AN$1006:$BO$1006,0)))),"Fix")))</f>
        <v>0</v>
      </c>
      <c r="U589" s="4">
        <f>IF(OR(INDEX($AH$2:$AH$1001,MATCH(ROWS($AG$2:AG589),$AG$2:$AG$1001,0),1)&gt;=100000,INDEX($AN$1005:$BO$1005,1,MATCH(COLUMNS($AN$1006:BG1006),$AN$1006:$BO$1006,0))&gt;=100000), " ",IF(INDEX($AN$2:$BO$1001,MATCH(ROWS($AG$2:AG589),$AG$2:$AG$1001,0),MATCH(COLUMNS($AN$1006:BG1006),$AN$1006:$BO$1006,0)), HYPERLINK("#",""), HYPERLINK(CONCATENATE("#Metadata!", ADDRESS(INDEX($AI$2:$AI$1001,MATCH(ROWS($AG$2:AG589),$AG$2:$AG$1001,0),0), INDEX($AN$1004:$BO$1004,1,MATCH(COLUMNS($AN$1006:BG1006),$AN$1006:$BO$1006,0)))),"Fix")))</f>
        <v>0</v>
      </c>
      <c r="V589" s="4">
        <f>IF(OR(INDEX($AH$2:$AH$1001,MATCH(ROWS($AG$2:AG589),$AG$2:$AG$1001,0),1)&gt;=100000,INDEX($AN$1005:$BO$1005,1,MATCH(COLUMNS($AN$1006:BH1006),$AN$1006:$BO$1006,0))&gt;=100000), " ",IF(INDEX($AN$2:$BO$1001,MATCH(ROWS($AG$2:AG589),$AG$2:$AG$1001,0),MATCH(COLUMNS($AN$1006:BH1006),$AN$1006:$BO$1006,0)), HYPERLINK("#",""), HYPERLINK(CONCATENATE("#Metadata!", ADDRESS(INDEX($AI$2:$AI$1001,MATCH(ROWS($AG$2:AG589),$AG$2:$AG$1001,0),0), INDEX($AN$1004:$BO$1004,1,MATCH(COLUMNS($AN$1006:BH1006),$AN$1006:$BO$1006,0)))),"Fix")))</f>
        <v>0</v>
      </c>
      <c r="W589" s="4">
        <f>IF(OR(INDEX($AH$2:$AH$1001,MATCH(ROWS($AG$2:AG589),$AG$2:$AG$1001,0),1)&gt;=100000,INDEX($AN$1005:$BO$1005,1,MATCH(COLUMNS($AN$1006:BI1006),$AN$1006:$BO$1006,0))&gt;=100000), " ",IF(INDEX($AN$2:$BO$1001,MATCH(ROWS($AG$2:AG589),$AG$2:$AG$1001,0),MATCH(COLUMNS($AN$1006:BI1006),$AN$1006:$BO$1006,0)), HYPERLINK("#",""), HYPERLINK(CONCATENATE("#Metadata!", ADDRESS(INDEX($AI$2:$AI$1001,MATCH(ROWS($AG$2:AG589),$AG$2:$AG$1001,0),0), INDEX($AN$1004:$BO$1004,1,MATCH(COLUMNS($AN$1006:BI1006),$AN$1006:$BO$1006,0)))),"Fix")))</f>
        <v>0</v>
      </c>
      <c r="X589" s="4">
        <f>IF(OR(INDEX($AH$2:$AH$1001,MATCH(ROWS($AG$2:AG589),$AG$2:$AG$1001,0),1)&gt;=100000,INDEX($AN$1005:$BO$1005,1,MATCH(COLUMNS($AN$1006:BJ1006),$AN$1006:$BO$1006,0))&gt;=100000), " ",IF(INDEX($AN$2:$BO$1001,MATCH(ROWS($AG$2:AG589),$AG$2:$AG$1001,0),MATCH(COLUMNS($AN$1006:BJ1006),$AN$1006:$BO$1006,0)), HYPERLINK("#",""), HYPERLINK(CONCATENATE("#Metadata!", ADDRESS(INDEX($AI$2:$AI$1001,MATCH(ROWS($AG$2:AG589),$AG$2:$AG$1001,0),0), INDEX($AN$1004:$BO$1004,1,MATCH(COLUMNS($AN$1006:BJ1006),$AN$1006:$BO$1006,0)))),"Fix")))</f>
        <v>0</v>
      </c>
      <c r="Y589" s="4">
        <f>IF(OR(INDEX($AH$2:$AH$1001,MATCH(ROWS($AG$2:AG589),$AG$2:$AG$1001,0),1)&gt;=100000,INDEX($AN$1005:$BO$1005,1,MATCH(COLUMNS($AN$1006:BK1006),$AN$1006:$BO$1006,0))&gt;=100000), " ",IF(INDEX($AN$2:$BO$1001,MATCH(ROWS($AG$2:AG589),$AG$2:$AG$1001,0),MATCH(COLUMNS($AN$1006:BK1006),$AN$1006:$BO$1006,0)), HYPERLINK("#",""), HYPERLINK(CONCATENATE("#Metadata!", ADDRESS(INDEX($AI$2:$AI$1001,MATCH(ROWS($AG$2:AG589),$AG$2:$AG$1001,0),0), INDEX($AN$1004:$BO$1004,1,MATCH(COLUMNS($AN$1006:BK1006),$AN$1006:$BO$1006,0)))),"Fix")))</f>
        <v>0</v>
      </c>
      <c r="Z589" s="4">
        <f>IF(OR(INDEX($AH$2:$AH$1001,MATCH(ROWS($AG$2:AG589),$AG$2:$AG$1001,0),1)&gt;=100000,INDEX($AN$1005:$BO$1005,1,MATCH(COLUMNS($AN$1006:BL1006),$AN$1006:$BO$1006,0))&gt;=100000), " ",IF(INDEX($AN$2:$BO$1001,MATCH(ROWS($AG$2:AG589),$AG$2:$AG$1001,0),MATCH(COLUMNS($AN$1006:BL1006),$AN$1006:$BO$1006,0)), HYPERLINK("#",""), HYPERLINK(CONCATENATE("#Metadata!", ADDRESS(INDEX($AI$2:$AI$1001,MATCH(ROWS($AG$2:AG589),$AG$2:$AG$1001,0),0), INDEX($AN$1004:$BO$1004,1,MATCH(COLUMNS($AN$1006:BL1006),$AN$1006:$BO$1006,0)))),"Fix")))</f>
        <v>0</v>
      </c>
      <c r="AA589" s="4">
        <f>IF(OR(INDEX($AH$2:$AH$1001,MATCH(ROWS($AG$2:AG589),$AG$2:$AG$1001,0),1)&gt;=100000,INDEX($AN$1005:$BO$1005,1,MATCH(COLUMNS($AN$1006:BM1006),$AN$1006:$BO$1006,0))&gt;=100000), " ",IF(INDEX($AN$2:$BO$1001,MATCH(ROWS($AG$2:AG589),$AG$2:$AG$1001,0),MATCH(COLUMNS($AN$1006:BM1006),$AN$1006:$BO$1006,0)), HYPERLINK("#",""), HYPERLINK(CONCATENATE("#Metadata!", ADDRESS(INDEX($AI$2:$AI$1001,MATCH(ROWS($AG$2:AG589),$AG$2:$AG$1001,0),0), INDEX($AN$1004:$BO$1004,1,MATCH(COLUMNS($AN$1006:BM1006),$AN$1006:$BO$1006,0)))),"Fix")))</f>
        <v>0</v>
      </c>
      <c r="AB589" s="4">
        <f>IF(OR(INDEX($AH$2:$AH$1001,MATCH(ROWS($AG$2:AG589),$AG$2:$AG$1001,0),1)&gt;=100000,INDEX($AN$1005:$BO$1005,1,MATCH(COLUMNS($AN$1006:BN1006),$AN$1006:$BO$1006,0))&gt;=100000), " ",IF(INDEX($AN$2:$BO$1001,MATCH(ROWS($AG$2:AG589),$AG$2:$AG$1001,0),MATCH(COLUMNS($AN$1006:BN1006),$AN$1006:$BO$1006,0)), HYPERLINK("#",""), HYPERLINK(CONCATENATE("#Metadata!", ADDRESS(INDEX($AI$2:$AI$1001,MATCH(ROWS($AG$2:AG589),$AG$2:$AG$1001,0),0), INDEX($AN$1004:$BO$1004,1,MATCH(COLUMNS($AN$1006:BN1006),$AN$1006:$BO$1006,0)))),"Fix")))</f>
        <v>0</v>
      </c>
      <c r="AC589" s="4">
        <f>IF(OR(INDEX($AH$2:$AH$1001,MATCH(ROWS($AG$2:AG589),$AG$2:$AG$1001,0),1)&gt;=100000,INDEX($AN$1005:$BO$1005,1,MATCH(COLUMNS($AN$1006:BO1006),$AN$1006:$BO$1006,0))&gt;=100000), " ",IF(INDEX($AN$2:$BO$1001,MATCH(ROWS($AG$2:AG589),$AG$2:$AG$1001,0),MATCH(COLUMNS($AN$1006:BO1006),$AN$1006:$BO$1006,0)), HYPERLINK("#",""), HYPERLINK(CONCATENATE("#Metadata!", ADDRESS(INDEX($AI$2:$AI$1001,MATCH(ROWS($AG$2:AG589),$AG$2:$AG$1001,0),0), INDEX($AN$1004:$BO$1004,1,MATCH(COLUMNS($AN$1006:BO1006),$AN$1006:$BO$1006,0)))),"Fix")))</f>
        <v>0</v>
      </c>
      <c r="AG589">
        <v>0</v>
      </c>
      <c r="AH589">
        <v>0</v>
      </c>
      <c r="AI589">
        <v>0</v>
      </c>
      <c r="AJ589">
        <f>IF(AK589,TRUE,AND(AN589:BO589))</f>
        <v>0</v>
      </c>
      <c r="AK589">
        <f>COUNTBLANK(Metadata!B589:AC589)=COLUMNS(Metadata!B589:AC589)</f>
        <v>0</v>
      </c>
      <c r="AL589">
        <v>0</v>
      </c>
      <c r="AN589">
        <f>AND(IF(Metadata!B589="",FALSE,TRUE),COUNTIF(Metadata!B:B, Metadata!B589) = 1,NOT(ISERROR(SUMPRODUCT(SEARCH(MID(Metadata!B589,ROW(INDIRECT("1:"&amp;LEN(Metadata!B589))), 1),"0123456789abcdefghijklmnopqrstuvwxyzABCDEFGHIJKLMNOPQRSTUVWXYZ.")))))</f>
        <v>0</v>
      </c>
      <c r="AO589">
        <f>IF(Metadata!C589="",FALSE,TRUE)</f>
        <v>0</v>
      </c>
      <c r="AP589">
        <f>IF(Metadata!D589="",FALSE,TRUE)</f>
        <v>0</v>
      </c>
      <c r="AQ589">
        <f>OR(AND(IF(Metadata!E589="",FALSE,TRUE),OR(exact(Metadata!E589,"not collected"),exact(Metadata!E589,"not provided"),exact(Metadata!E589,"restricted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R589">
        <f>IF(Metadata!F589="",FALSE,TRUE)</f>
        <v>0</v>
      </c>
      <c r="AS589">
        <f>OR(AND(IF(Metadata!G589="",FALSE,TRUE),OR(exact(Metadata!G589,"not collected"),exact(Metadata!G589,"not provided"))),AND(IF(Metadata!G589="",FALSE,TRUE),OR(exact(Metadata!G589,"TRUE"),exact(Metadata!G589,"FALSE"))))</f>
        <v>0</v>
      </c>
      <c r="AT589">
        <f>OR(AND(IF(Metadata!H589="",FALSE,TRUE),OR(exact(Metadata!H589,"not collected"),exact(Metadata!H589,"not provided"),exact(Metadata!H589,"restricted access"))),AND(IF(Metadata!H589="",FALSE,ISNUMBER(VALUE(Metadata!H589))),Metadata!H589&gt;=-413.0))</f>
        <v>0</v>
      </c>
      <c r="AU589">
        <f>AND(IF(Metadata!I589="",FALSE,TRUE),exact(Metadata!I589,"meters"))</f>
        <v>0</v>
      </c>
      <c r="AV589">
        <f>AND(IF(Metadata!J589="",FALSE,TRUE),OR(exact(Metadata!J589,"Host-associated"),exact(Metadata!J589,"Free-living")))</f>
        <v>0</v>
      </c>
      <c r="AW589">
        <f>AND(IF(Metadata!K589="",FALSE,TRUE),OR(exact(Metadata!K589,"Animal"),exact(Metadata!K589,"Fungus"),exact(Metadata!K589,"Plant"),exact(Metadata!K589,"Saline"),exact(Metadata!K589,"Non-saline")))</f>
        <v>0</v>
      </c>
      <c r="AX589">
        <f>AND(IF(Metadata!L589="",FALSE,TRUE),OR(exact(Metadata!L589,"Plant secretion"),exact(Metadata!L589,"Plant rhizosphere"),exact(Metadata!L589,"Plant surface"),exact(Metadata!L589,"Plant corpus"),exact(Metadata!L589,"Fungus surface"),exact(Metadata!L589,"Fungus corpus"),exact(Metadata!L589,"Animal surface"),exact(Metadata!L589,"Animal proximal gut"),exact(Metadata!L589,"Animal corpus"),exact(Metadata!L589,"Animal distal gut"),exact(Metadata!L589,"Animal secretion"),exact(Metadata!L589,"Sub-surface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Y589">
        <f>IF(Metadata!M589="",FALSE,TRUE)</f>
        <v>0</v>
      </c>
      <c r="AZ589">
        <f>IF(Metadata!N589="",FALSE,TRUE)</f>
        <v>0</v>
      </c>
      <c r="BA589">
        <f>IF(Metadata!O589="",FALSE,TRUE)</f>
        <v>0</v>
      </c>
      <c r="BB589">
        <f>OR(AND(IF(Metadata!P589="",FALSE,TRUE),OR(exact(Metadata!P589,"not collected"),exact(Metadata!P589,"not provided"),exact(Metadata!P589,"restricted access"))),AND(IF(Metadata!P589="",FALSE,TRUE),OR(exact(Metadata!P589,"air"),exact(Metadata!P589,"built environment"),exact(Metadata!P589,"host-associated"),exact(Metadata!P589,"human-associated"),exact(Metadata!P589,"human-skin"),exact(Metadata!P589,"human-oral"),exact(Metadata!P589,"human-gut"),exact(Metadata!P589,"human-vaginal"),exact(Metadata!P589,"microbial mat/biofilm"),exact(Metadata!P589,"misc environment"),exact(Metadata!P589,"plant-associated"),exact(Metadata!P589,"sediment"),exact(Metadata!P589,"soil"),exact(Metadata!P589,"wastewater/sludge"),exact(Metadata!P589,"water"))))</f>
        <v>0</v>
      </c>
      <c r="BC589">
        <f>IF(Metadata!Q589="",FALSE,TRUE)</f>
        <v>0</v>
      </c>
      <c r="BD589">
        <f>IF(Metadata!R589="",FALSE,TRUE)</f>
        <v>0</v>
      </c>
      <c r="BE589">
        <f>OR(AND(IF(Metadata!S589="",FALSE,TRUE),OR(exact(Metadata!S589,"not collected"),exact(Metadata!S589,"not provided"),exact(Metadata!S589,"restricted access"))),AND(IF(Metadata!S589="",FALSE,ISNUMBER(VALUE(Metadata!S589))),Metadata!S589&gt;=-90.00,Metadata!S589&lt;=90.00))</f>
        <v>0</v>
      </c>
      <c r="BF589">
        <f>AND(IF(Metadata!T589="",FALSE,TRUE),exact(Metadata!T589,"Decimal degrees"))</f>
        <v>0</v>
      </c>
      <c r="BG589">
        <f>OR(AND(IF(Metadata!U589="",FALSE,TRUE),OR(exact(Metadata!U589,"not collected"),exact(Metadata!U589,"not provided"),exact(Metadata!U589,"restricted access"))),AND(IF(Metadata!U589="",FALSE,ISNUMBER(VALUE(Metadata!U589))),Metadata!U589&gt;=-180.00,Metadata!U589&lt;=180.00))</f>
        <v>0</v>
      </c>
      <c r="BH589">
        <f>AND(IF(Metadata!V589="",FALSE,TRUE),exact(Metadata!V589,"Decimal degrees"))</f>
        <v>0</v>
      </c>
      <c r="BI589">
        <f>IF(Metadata!W589="",FALSE,TRUE)</f>
        <v>0</v>
      </c>
      <c r="BJ589">
        <f>OR(AND(IF(Metadata!X589="",FALSE,TRUE),OR(exact(Metadata!X589,"not collected"),exact(Metadata!X589,"not provided"),exact(Metadata!X589,"restricted access"))),AND(IF(Metadata!X589="",FALSE,TRUE),OR(exact(Metadata!X589,"TRUE"),exact(Metadata!X589,"FALSE"))))</f>
        <v>0</v>
      </c>
      <c r="BK589">
        <f>AND(IF(Metadata!Y589="",FALSE,TRUE),exact(Metadata!Y589,"other"))</f>
        <v>0</v>
      </c>
      <c r="BL589">
        <f>IF(Metadata!Z589="",FALSE,TRUE)</f>
        <v>0</v>
      </c>
      <c r="BM589">
        <f>OR(AND(IF(Metadata!AA589="",FALSE,TRUE),OR(exact(Metadata!AA589,"not collected"),exact(Metadata!AA589,"not provided"))),AND(IF(Metadata!AA589="",FALSE,IF(ISERROR(INT(Metadata!AA589)),FALSE,INT(Metadata!AA589)=Metadata!AA589)),Metadata!AA589&gt;0))</f>
        <v>0</v>
      </c>
      <c r="BN589">
        <f>AND(IF(Metadata!AB589="",FALSE,TRUE),exact(Metadata!AB589,"Not applicable"))</f>
        <v>0</v>
      </c>
      <c r="BO589">
        <f>IF(Metadata!AC589="",FALSE,TRUE)</f>
        <v>0</v>
      </c>
    </row>
    <row r="590" spans="1:67">
      <c r="A590" s="5">
        <f>IF(B590=" "," ",HYPERLINK(CONCATENATE("#metadata!",ADDRESS(INDEX($AI$2:$AI$1001,MATCH(ROWS($AG$2:AG590),$AG$2:$AG$1001,0),0),1)),INDEX($AL$2:$AL$1001,MATCH(ROWS($AG$2:AG590),$AG$2:$AG$1001,0),0)))</f>
        <v>0</v>
      </c>
      <c r="B590" s="4">
        <f>IF(OR(INDEX($AH$2:$AH$1001,MATCH(ROWS($AG$2:AG590),$AG$2:$AG$1001,0),1)&gt;=100000,INDEX($AN$1005:$BO$1005,1,MATCH(COLUMNS($AN$1006:AN1006),$AN$1006:$BO$1006,0))&gt;=100000), " ",IF(INDEX($AN$2:$BO$1001,MATCH(ROWS($AG$2:AG590),$AG$2:$AG$1001,0),MATCH(COLUMNS($AN$1006:AN1006),$AN$1006:$BO$1006,0)), HYPERLINK("#",""), HYPERLINK(CONCATENATE("#Metadata!", ADDRESS(INDEX($AI$2:$AI$1001,MATCH(ROWS($AG$2:AG590),$AG$2:$AG$1001,0),0), INDEX($AN$1004:$BO$1004,1,MATCH(COLUMNS($AN$1006:AN1006),$AN$1006:$BO$1006,0)))),"Fix")))</f>
        <v>0</v>
      </c>
      <c r="C590" s="4">
        <f>IF(OR(INDEX($AH$2:$AH$1001,MATCH(ROWS($AG$2:AG590),$AG$2:$AG$1001,0),1)&gt;=100000,INDEX($AN$1005:$BO$1005,1,MATCH(COLUMNS($AN$1006:AO1006),$AN$1006:$BO$1006,0))&gt;=100000), " ",IF(INDEX($AN$2:$BO$1001,MATCH(ROWS($AG$2:AG590),$AG$2:$AG$1001,0),MATCH(COLUMNS($AN$1006:AO1006),$AN$1006:$BO$1006,0)), HYPERLINK("#",""), HYPERLINK(CONCATENATE("#Metadata!", ADDRESS(INDEX($AI$2:$AI$1001,MATCH(ROWS($AG$2:AG590),$AG$2:$AG$1001,0),0), INDEX($AN$1004:$BO$1004,1,MATCH(COLUMNS($AN$1006:AO1006),$AN$1006:$BO$1006,0)))),"Fix")))</f>
        <v>0</v>
      </c>
      <c r="D590" s="4">
        <f>IF(OR(INDEX($AH$2:$AH$1001,MATCH(ROWS($AG$2:AG590),$AG$2:$AG$1001,0),1)&gt;=100000,INDEX($AN$1005:$BO$1005,1,MATCH(COLUMNS($AN$1006:AP1006),$AN$1006:$BO$1006,0))&gt;=100000), " ",IF(INDEX($AN$2:$BO$1001,MATCH(ROWS($AG$2:AG590),$AG$2:$AG$1001,0),MATCH(COLUMNS($AN$1006:AP1006),$AN$1006:$BO$1006,0)), HYPERLINK("#",""), HYPERLINK(CONCATENATE("#Metadata!", ADDRESS(INDEX($AI$2:$AI$1001,MATCH(ROWS($AG$2:AG590),$AG$2:$AG$1001,0),0), INDEX($AN$1004:$BO$1004,1,MATCH(COLUMNS($AN$1006:AP1006),$AN$1006:$BO$1006,0)))),"Fix")))</f>
        <v>0</v>
      </c>
      <c r="E590" s="4">
        <f>IF(OR(INDEX($AH$2:$AH$1001,MATCH(ROWS($AG$2:AG590),$AG$2:$AG$1001,0),1)&gt;=100000,INDEX($AN$1005:$BO$1005,1,MATCH(COLUMNS($AN$1006:AQ1006),$AN$1006:$BO$1006,0))&gt;=100000), " ",IF(INDEX($AN$2:$BO$1001,MATCH(ROWS($AG$2:AG590),$AG$2:$AG$1001,0),MATCH(COLUMNS($AN$1006:AQ1006),$AN$1006:$BO$1006,0)), HYPERLINK("#",""), HYPERLINK(CONCATENATE("#Metadata!", ADDRESS(INDEX($AI$2:$AI$1001,MATCH(ROWS($AG$2:AG590),$AG$2:$AG$1001,0),0), INDEX($AN$1004:$BO$1004,1,MATCH(COLUMNS($AN$1006:AQ1006),$AN$1006:$BO$1006,0)))),"Fix")))</f>
        <v>0</v>
      </c>
      <c r="F590" s="4">
        <f>IF(OR(INDEX($AH$2:$AH$1001,MATCH(ROWS($AG$2:AG590),$AG$2:$AG$1001,0),1)&gt;=100000,INDEX($AN$1005:$BO$1005,1,MATCH(COLUMNS($AN$1006:AR1006),$AN$1006:$BO$1006,0))&gt;=100000), " ",IF(INDEX($AN$2:$BO$1001,MATCH(ROWS($AG$2:AG590),$AG$2:$AG$1001,0),MATCH(COLUMNS($AN$1006:AR1006),$AN$1006:$BO$1006,0)), HYPERLINK("#",""), HYPERLINK(CONCATENATE("#Metadata!", ADDRESS(INDEX($AI$2:$AI$1001,MATCH(ROWS($AG$2:AG590),$AG$2:$AG$1001,0),0), INDEX($AN$1004:$BO$1004,1,MATCH(COLUMNS($AN$1006:AR1006),$AN$1006:$BO$1006,0)))),"Fix")))</f>
        <v>0</v>
      </c>
      <c r="G590" s="4">
        <f>IF(OR(INDEX($AH$2:$AH$1001,MATCH(ROWS($AG$2:AG590),$AG$2:$AG$1001,0),1)&gt;=100000,INDEX($AN$1005:$BO$1005,1,MATCH(COLUMNS($AN$1006:AS1006),$AN$1006:$BO$1006,0))&gt;=100000), " ",IF(INDEX($AN$2:$BO$1001,MATCH(ROWS($AG$2:AG590),$AG$2:$AG$1001,0),MATCH(COLUMNS($AN$1006:AS1006),$AN$1006:$BO$1006,0)), HYPERLINK("#",""), HYPERLINK(CONCATENATE("#Metadata!", ADDRESS(INDEX($AI$2:$AI$1001,MATCH(ROWS($AG$2:AG590),$AG$2:$AG$1001,0),0), INDEX($AN$1004:$BO$1004,1,MATCH(COLUMNS($AN$1006:AS1006),$AN$1006:$BO$1006,0)))),"Fix")))</f>
        <v>0</v>
      </c>
      <c r="H590" s="4">
        <f>IF(OR(INDEX($AH$2:$AH$1001,MATCH(ROWS($AG$2:AG590),$AG$2:$AG$1001,0),1)&gt;=100000,INDEX($AN$1005:$BO$1005,1,MATCH(COLUMNS($AN$1006:AT1006),$AN$1006:$BO$1006,0))&gt;=100000), " ",IF(INDEX($AN$2:$BO$1001,MATCH(ROWS($AG$2:AG590),$AG$2:$AG$1001,0),MATCH(COLUMNS($AN$1006:AT1006),$AN$1006:$BO$1006,0)), HYPERLINK("#",""), HYPERLINK(CONCATENATE("#Metadata!", ADDRESS(INDEX($AI$2:$AI$1001,MATCH(ROWS($AG$2:AG590),$AG$2:$AG$1001,0),0), INDEX($AN$1004:$BO$1004,1,MATCH(COLUMNS($AN$1006:AT1006),$AN$1006:$BO$1006,0)))),"Fix")))</f>
        <v>0</v>
      </c>
      <c r="I590" s="4">
        <f>IF(OR(INDEX($AH$2:$AH$1001,MATCH(ROWS($AG$2:AG590),$AG$2:$AG$1001,0),1)&gt;=100000,INDEX($AN$1005:$BO$1005,1,MATCH(COLUMNS($AN$1006:AU1006),$AN$1006:$BO$1006,0))&gt;=100000), " ",IF(INDEX($AN$2:$BO$1001,MATCH(ROWS($AG$2:AG590),$AG$2:$AG$1001,0),MATCH(COLUMNS($AN$1006:AU1006),$AN$1006:$BO$1006,0)), HYPERLINK("#",""), HYPERLINK(CONCATENATE("#Metadata!", ADDRESS(INDEX($AI$2:$AI$1001,MATCH(ROWS($AG$2:AG590),$AG$2:$AG$1001,0),0), INDEX($AN$1004:$BO$1004,1,MATCH(COLUMNS($AN$1006:AU1006),$AN$1006:$BO$1006,0)))),"Fix")))</f>
        <v>0</v>
      </c>
      <c r="J590" s="4">
        <f>IF(OR(INDEX($AH$2:$AH$1001,MATCH(ROWS($AG$2:AG590),$AG$2:$AG$1001,0),1)&gt;=100000,INDEX($AN$1005:$BO$1005,1,MATCH(COLUMNS($AN$1006:AV1006),$AN$1006:$BO$1006,0))&gt;=100000), " ",IF(INDEX($AN$2:$BO$1001,MATCH(ROWS($AG$2:AG590),$AG$2:$AG$1001,0),MATCH(COLUMNS($AN$1006:AV1006),$AN$1006:$BO$1006,0)), HYPERLINK("#",""), HYPERLINK(CONCATENATE("#Metadata!", ADDRESS(INDEX($AI$2:$AI$1001,MATCH(ROWS($AG$2:AG590),$AG$2:$AG$1001,0),0), INDEX($AN$1004:$BO$1004,1,MATCH(COLUMNS($AN$1006:AV1006),$AN$1006:$BO$1006,0)))),"Fix")))</f>
        <v>0</v>
      </c>
      <c r="K590" s="4">
        <f>IF(OR(INDEX($AH$2:$AH$1001,MATCH(ROWS($AG$2:AG590),$AG$2:$AG$1001,0),1)&gt;=100000,INDEX($AN$1005:$BO$1005,1,MATCH(COLUMNS($AN$1006:AW1006),$AN$1006:$BO$1006,0))&gt;=100000), " ",IF(INDEX($AN$2:$BO$1001,MATCH(ROWS($AG$2:AG590),$AG$2:$AG$1001,0),MATCH(COLUMNS($AN$1006:AW1006),$AN$1006:$BO$1006,0)), HYPERLINK("#",""), HYPERLINK(CONCATENATE("#Metadata!", ADDRESS(INDEX($AI$2:$AI$1001,MATCH(ROWS($AG$2:AG590),$AG$2:$AG$1001,0),0), INDEX($AN$1004:$BO$1004,1,MATCH(COLUMNS($AN$1006:AW1006),$AN$1006:$BO$1006,0)))),"Fix")))</f>
        <v>0</v>
      </c>
      <c r="L590" s="4">
        <f>IF(OR(INDEX($AH$2:$AH$1001,MATCH(ROWS($AG$2:AG590),$AG$2:$AG$1001,0),1)&gt;=100000,INDEX($AN$1005:$BO$1005,1,MATCH(COLUMNS($AN$1006:AX1006),$AN$1006:$BO$1006,0))&gt;=100000), " ",IF(INDEX($AN$2:$BO$1001,MATCH(ROWS($AG$2:AG590),$AG$2:$AG$1001,0),MATCH(COLUMNS($AN$1006:AX1006),$AN$1006:$BO$1006,0)), HYPERLINK("#",""), HYPERLINK(CONCATENATE("#Metadata!", ADDRESS(INDEX($AI$2:$AI$1001,MATCH(ROWS($AG$2:AG590),$AG$2:$AG$1001,0),0), INDEX($AN$1004:$BO$1004,1,MATCH(COLUMNS($AN$1006:AX1006),$AN$1006:$BO$1006,0)))),"Fix")))</f>
        <v>0</v>
      </c>
      <c r="M590" s="4">
        <f>IF(OR(INDEX($AH$2:$AH$1001,MATCH(ROWS($AG$2:AG590),$AG$2:$AG$1001,0),1)&gt;=100000,INDEX($AN$1005:$BO$1005,1,MATCH(COLUMNS($AN$1006:AY1006),$AN$1006:$BO$1006,0))&gt;=100000), " ",IF(INDEX($AN$2:$BO$1001,MATCH(ROWS($AG$2:AG590),$AG$2:$AG$1001,0),MATCH(COLUMNS($AN$1006:AY1006),$AN$1006:$BO$1006,0)), HYPERLINK("#",""), HYPERLINK(CONCATENATE("#Metadata!", ADDRESS(INDEX($AI$2:$AI$1001,MATCH(ROWS($AG$2:AG590),$AG$2:$AG$1001,0),0), INDEX($AN$1004:$BO$1004,1,MATCH(COLUMNS($AN$1006:AY1006),$AN$1006:$BO$1006,0)))),"Fix")))</f>
        <v>0</v>
      </c>
      <c r="N590" s="4">
        <f>IF(OR(INDEX($AH$2:$AH$1001,MATCH(ROWS($AG$2:AG590),$AG$2:$AG$1001,0),1)&gt;=100000,INDEX($AN$1005:$BO$1005,1,MATCH(COLUMNS($AN$1006:AZ1006),$AN$1006:$BO$1006,0))&gt;=100000), " ",IF(INDEX($AN$2:$BO$1001,MATCH(ROWS($AG$2:AG590),$AG$2:$AG$1001,0),MATCH(COLUMNS($AN$1006:AZ1006),$AN$1006:$BO$1006,0)), HYPERLINK("#",""), HYPERLINK(CONCATENATE("#Metadata!", ADDRESS(INDEX($AI$2:$AI$1001,MATCH(ROWS($AG$2:AG590),$AG$2:$AG$1001,0),0), INDEX($AN$1004:$BO$1004,1,MATCH(COLUMNS($AN$1006:AZ1006),$AN$1006:$BO$1006,0)))),"Fix")))</f>
        <v>0</v>
      </c>
      <c r="O590" s="4">
        <f>IF(OR(INDEX($AH$2:$AH$1001,MATCH(ROWS($AG$2:AG590),$AG$2:$AG$1001,0),1)&gt;=100000,INDEX($AN$1005:$BO$1005,1,MATCH(COLUMNS($AN$1006:BA1006),$AN$1006:$BO$1006,0))&gt;=100000), " ",IF(INDEX($AN$2:$BO$1001,MATCH(ROWS($AG$2:AG590),$AG$2:$AG$1001,0),MATCH(COLUMNS($AN$1006:BA1006),$AN$1006:$BO$1006,0)), HYPERLINK("#",""), HYPERLINK(CONCATENATE("#Metadata!", ADDRESS(INDEX($AI$2:$AI$1001,MATCH(ROWS($AG$2:AG590),$AG$2:$AG$1001,0),0), INDEX($AN$1004:$BO$1004,1,MATCH(COLUMNS($AN$1006:BA1006),$AN$1006:$BO$1006,0)))),"Fix")))</f>
        <v>0</v>
      </c>
      <c r="P590" s="4">
        <f>IF(OR(INDEX($AH$2:$AH$1001,MATCH(ROWS($AG$2:AG590),$AG$2:$AG$1001,0),1)&gt;=100000,INDEX($AN$1005:$BO$1005,1,MATCH(COLUMNS($AN$1006:BB1006),$AN$1006:$BO$1006,0))&gt;=100000), " ",IF(INDEX($AN$2:$BO$1001,MATCH(ROWS($AG$2:AG590),$AG$2:$AG$1001,0),MATCH(COLUMNS($AN$1006:BB1006),$AN$1006:$BO$1006,0)), HYPERLINK("#",""), HYPERLINK(CONCATENATE("#Metadata!", ADDRESS(INDEX($AI$2:$AI$1001,MATCH(ROWS($AG$2:AG590),$AG$2:$AG$1001,0),0), INDEX($AN$1004:$BO$1004,1,MATCH(COLUMNS($AN$1006:BB1006),$AN$1006:$BO$1006,0)))),"Fix")))</f>
        <v>0</v>
      </c>
      <c r="Q590" s="4">
        <f>IF(OR(INDEX($AH$2:$AH$1001,MATCH(ROWS($AG$2:AG590),$AG$2:$AG$1001,0),1)&gt;=100000,INDEX($AN$1005:$BO$1005,1,MATCH(COLUMNS($AN$1006:BC1006),$AN$1006:$BO$1006,0))&gt;=100000), " ",IF(INDEX($AN$2:$BO$1001,MATCH(ROWS($AG$2:AG590),$AG$2:$AG$1001,0),MATCH(COLUMNS($AN$1006:BC1006),$AN$1006:$BO$1006,0)), HYPERLINK("#",""), HYPERLINK(CONCATENATE("#Metadata!", ADDRESS(INDEX($AI$2:$AI$1001,MATCH(ROWS($AG$2:AG590),$AG$2:$AG$1001,0),0), INDEX($AN$1004:$BO$1004,1,MATCH(COLUMNS($AN$1006:BC1006),$AN$1006:$BO$1006,0)))),"Fix")))</f>
        <v>0</v>
      </c>
      <c r="R590" s="4">
        <f>IF(OR(INDEX($AH$2:$AH$1001,MATCH(ROWS($AG$2:AG590),$AG$2:$AG$1001,0),1)&gt;=100000,INDEX($AN$1005:$BO$1005,1,MATCH(COLUMNS($AN$1006:BD1006),$AN$1006:$BO$1006,0))&gt;=100000), " ",IF(INDEX($AN$2:$BO$1001,MATCH(ROWS($AG$2:AG590),$AG$2:$AG$1001,0),MATCH(COLUMNS($AN$1006:BD1006),$AN$1006:$BO$1006,0)), HYPERLINK("#",""), HYPERLINK(CONCATENATE("#Metadata!", ADDRESS(INDEX($AI$2:$AI$1001,MATCH(ROWS($AG$2:AG590),$AG$2:$AG$1001,0),0), INDEX($AN$1004:$BO$1004,1,MATCH(COLUMNS($AN$1006:BD1006),$AN$1006:$BO$1006,0)))),"Fix")))</f>
        <v>0</v>
      </c>
      <c r="S590" s="4">
        <f>IF(OR(INDEX($AH$2:$AH$1001,MATCH(ROWS($AG$2:AG590),$AG$2:$AG$1001,0),1)&gt;=100000,INDEX($AN$1005:$BO$1005,1,MATCH(COLUMNS($AN$1006:BE1006),$AN$1006:$BO$1006,0))&gt;=100000), " ",IF(INDEX($AN$2:$BO$1001,MATCH(ROWS($AG$2:AG590),$AG$2:$AG$1001,0),MATCH(COLUMNS($AN$1006:BE1006),$AN$1006:$BO$1006,0)), HYPERLINK("#",""), HYPERLINK(CONCATENATE("#Metadata!", ADDRESS(INDEX($AI$2:$AI$1001,MATCH(ROWS($AG$2:AG590),$AG$2:$AG$1001,0),0), INDEX($AN$1004:$BO$1004,1,MATCH(COLUMNS($AN$1006:BE1006),$AN$1006:$BO$1006,0)))),"Fix")))</f>
        <v>0</v>
      </c>
      <c r="T590" s="4">
        <f>IF(OR(INDEX($AH$2:$AH$1001,MATCH(ROWS($AG$2:AG590),$AG$2:$AG$1001,0),1)&gt;=100000,INDEX($AN$1005:$BO$1005,1,MATCH(COLUMNS($AN$1006:BF1006),$AN$1006:$BO$1006,0))&gt;=100000), " ",IF(INDEX($AN$2:$BO$1001,MATCH(ROWS($AG$2:AG590),$AG$2:$AG$1001,0),MATCH(COLUMNS($AN$1006:BF1006),$AN$1006:$BO$1006,0)), HYPERLINK("#",""), HYPERLINK(CONCATENATE("#Metadata!", ADDRESS(INDEX($AI$2:$AI$1001,MATCH(ROWS($AG$2:AG590),$AG$2:$AG$1001,0),0), INDEX($AN$1004:$BO$1004,1,MATCH(COLUMNS($AN$1006:BF1006),$AN$1006:$BO$1006,0)))),"Fix")))</f>
        <v>0</v>
      </c>
      <c r="U590" s="4">
        <f>IF(OR(INDEX($AH$2:$AH$1001,MATCH(ROWS($AG$2:AG590),$AG$2:$AG$1001,0),1)&gt;=100000,INDEX($AN$1005:$BO$1005,1,MATCH(COLUMNS($AN$1006:BG1006),$AN$1006:$BO$1006,0))&gt;=100000), " ",IF(INDEX($AN$2:$BO$1001,MATCH(ROWS($AG$2:AG590),$AG$2:$AG$1001,0),MATCH(COLUMNS($AN$1006:BG1006),$AN$1006:$BO$1006,0)), HYPERLINK("#",""), HYPERLINK(CONCATENATE("#Metadata!", ADDRESS(INDEX($AI$2:$AI$1001,MATCH(ROWS($AG$2:AG590),$AG$2:$AG$1001,0),0), INDEX($AN$1004:$BO$1004,1,MATCH(COLUMNS($AN$1006:BG1006),$AN$1006:$BO$1006,0)))),"Fix")))</f>
        <v>0</v>
      </c>
      <c r="V590" s="4">
        <f>IF(OR(INDEX($AH$2:$AH$1001,MATCH(ROWS($AG$2:AG590),$AG$2:$AG$1001,0),1)&gt;=100000,INDEX($AN$1005:$BO$1005,1,MATCH(COLUMNS($AN$1006:BH1006),$AN$1006:$BO$1006,0))&gt;=100000), " ",IF(INDEX($AN$2:$BO$1001,MATCH(ROWS($AG$2:AG590),$AG$2:$AG$1001,0),MATCH(COLUMNS($AN$1006:BH1006),$AN$1006:$BO$1006,0)), HYPERLINK("#",""), HYPERLINK(CONCATENATE("#Metadata!", ADDRESS(INDEX($AI$2:$AI$1001,MATCH(ROWS($AG$2:AG590),$AG$2:$AG$1001,0),0), INDEX($AN$1004:$BO$1004,1,MATCH(COLUMNS($AN$1006:BH1006),$AN$1006:$BO$1006,0)))),"Fix")))</f>
        <v>0</v>
      </c>
      <c r="W590" s="4">
        <f>IF(OR(INDEX($AH$2:$AH$1001,MATCH(ROWS($AG$2:AG590),$AG$2:$AG$1001,0),1)&gt;=100000,INDEX($AN$1005:$BO$1005,1,MATCH(COLUMNS($AN$1006:BI1006),$AN$1006:$BO$1006,0))&gt;=100000), " ",IF(INDEX($AN$2:$BO$1001,MATCH(ROWS($AG$2:AG590),$AG$2:$AG$1001,0),MATCH(COLUMNS($AN$1006:BI1006),$AN$1006:$BO$1006,0)), HYPERLINK("#",""), HYPERLINK(CONCATENATE("#Metadata!", ADDRESS(INDEX($AI$2:$AI$1001,MATCH(ROWS($AG$2:AG590),$AG$2:$AG$1001,0),0), INDEX($AN$1004:$BO$1004,1,MATCH(COLUMNS($AN$1006:BI1006),$AN$1006:$BO$1006,0)))),"Fix")))</f>
        <v>0</v>
      </c>
      <c r="X590" s="4">
        <f>IF(OR(INDEX($AH$2:$AH$1001,MATCH(ROWS($AG$2:AG590),$AG$2:$AG$1001,0),1)&gt;=100000,INDEX($AN$1005:$BO$1005,1,MATCH(COLUMNS($AN$1006:BJ1006),$AN$1006:$BO$1006,0))&gt;=100000), " ",IF(INDEX($AN$2:$BO$1001,MATCH(ROWS($AG$2:AG590),$AG$2:$AG$1001,0),MATCH(COLUMNS($AN$1006:BJ1006),$AN$1006:$BO$1006,0)), HYPERLINK("#",""), HYPERLINK(CONCATENATE("#Metadata!", ADDRESS(INDEX($AI$2:$AI$1001,MATCH(ROWS($AG$2:AG590),$AG$2:$AG$1001,0),0), INDEX($AN$1004:$BO$1004,1,MATCH(COLUMNS($AN$1006:BJ1006),$AN$1006:$BO$1006,0)))),"Fix")))</f>
        <v>0</v>
      </c>
      <c r="Y590" s="4">
        <f>IF(OR(INDEX($AH$2:$AH$1001,MATCH(ROWS($AG$2:AG590),$AG$2:$AG$1001,0),1)&gt;=100000,INDEX($AN$1005:$BO$1005,1,MATCH(COLUMNS($AN$1006:BK1006),$AN$1006:$BO$1006,0))&gt;=100000), " ",IF(INDEX($AN$2:$BO$1001,MATCH(ROWS($AG$2:AG590),$AG$2:$AG$1001,0),MATCH(COLUMNS($AN$1006:BK1006),$AN$1006:$BO$1006,0)), HYPERLINK("#",""), HYPERLINK(CONCATENATE("#Metadata!", ADDRESS(INDEX($AI$2:$AI$1001,MATCH(ROWS($AG$2:AG590),$AG$2:$AG$1001,0),0), INDEX($AN$1004:$BO$1004,1,MATCH(COLUMNS($AN$1006:BK1006),$AN$1006:$BO$1006,0)))),"Fix")))</f>
        <v>0</v>
      </c>
      <c r="Z590" s="4">
        <f>IF(OR(INDEX($AH$2:$AH$1001,MATCH(ROWS($AG$2:AG590),$AG$2:$AG$1001,0),1)&gt;=100000,INDEX($AN$1005:$BO$1005,1,MATCH(COLUMNS($AN$1006:BL1006),$AN$1006:$BO$1006,0))&gt;=100000), " ",IF(INDEX($AN$2:$BO$1001,MATCH(ROWS($AG$2:AG590),$AG$2:$AG$1001,0),MATCH(COLUMNS($AN$1006:BL1006),$AN$1006:$BO$1006,0)), HYPERLINK("#",""), HYPERLINK(CONCATENATE("#Metadata!", ADDRESS(INDEX($AI$2:$AI$1001,MATCH(ROWS($AG$2:AG590),$AG$2:$AG$1001,0),0), INDEX($AN$1004:$BO$1004,1,MATCH(COLUMNS($AN$1006:BL1006),$AN$1006:$BO$1006,0)))),"Fix")))</f>
        <v>0</v>
      </c>
      <c r="AA590" s="4">
        <f>IF(OR(INDEX($AH$2:$AH$1001,MATCH(ROWS($AG$2:AG590),$AG$2:$AG$1001,0),1)&gt;=100000,INDEX($AN$1005:$BO$1005,1,MATCH(COLUMNS($AN$1006:BM1006),$AN$1006:$BO$1006,0))&gt;=100000), " ",IF(INDEX($AN$2:$BO$1001,MATCH(ROWS($AG$2:AG590),$AG$2:$AG$1001,0),MATCH(COLUMNS($AN$1006:BM1006),$AN$1006:$BO$1006,0)), HYPERLINK("#",""), HYPERLINK(CONCATENATE("#Metadata!", ADDRESS(INDEX($AI$2:$AI$1001,MATCH(ROWS($AG$2:AG590),$AG$2:$AG$1001,0),0), INDEX($AN$1004:$BO$1004,1,MATCH(COLUMNS($AN$1006:BM1006),$AN$1006:$BO$1006,0)))),"Fix")))</f>
        <v>0</v>
      </c>
      <c r="AB590" s="4">
        <f>IF(OR(INDEX($AH$2:$AH$1001,MATCH(ROWS($AG$2:AG590),$AG$2:$AG$1001,0),1)&gt;=100000,INDEX($AN$1005:$BO$1005,1,MATCH(COLUMNS($AN$1006:BN1006),$AN$1006:$BO$1006,0))&gt;=100000), " ",IF(INDEX($AN$2:$BO$1001,MATCH(ROWS($AG$2:AG590),$AG$2:$AG$1001,0),MATCH(COLUMNS($AN$1006:BN1006),$AN$1006:$BO$1006,0)), HYPERLINK("#",""), HYPERLINK(CONCATENATE("#Metadata!", ADDRESS(INDEX($AI$2:$AI$1001,MATCH(ROWS($AG$2:AG590),$AG$2:$AG$1001,0),0), INDEX($AN$1004:$BO$1004,1,MATCH(COLUMNS($AN$1006:BN1006),$AN$1006:$BO$1006,0)))),"Fix")))</f>
        <v>0</v>
      </c>
      <c r="AC590" s="4">
        <f>IF(OR(INDEX($AH$2:$AH$1001,MATCH(ROWS($AG$2:AG590),$AG$2:$AG$1001,0),1)&gt;=100000,INDEX($AN$1005:$BO$1005,1,MATCH(COLUMNS($AN$1006:BO1006),$AN$1006:$BO$1006,0))&gt;=100000), " ",IF(INDEX($AN$2:$BO$1001,MATCH(ROWS($AG$2:AG590),$AG$2:$AG$1001,0),MATCH(COLUMNS($AN$1006:BO1006),$AN$1006:$BO$1006,0)), HYPERLINK("#",""), HYPERLINK(CONCATENATE("#Metadata!", ADDRESS(INDEX($AI$2:$AI$1001,MATCH(ROWS($AG$2:AG590),$AG$2:$AG$1001,0),0), INDEX($AN$1004:$BO$1004,1,MATCH(COLUMNS($AN$1006:BO1006),$AN$1006:$BO$1006,0)))),"Fix")))</f>
        <v>0</v>
      </c>
      <c r="AG590">
        <v>0</v>
      </c>
      <c r="AH590">
        <v>0</v>
      </c>
      <c r="AI590">
        <v>0</v>
      </c>
      <c r="AJ590">
        <f>IF(AK590,TRUE,AND(AN590:BO590))</f>
        <v>0</v>
      </c>
      <c r="AK590">
        <f>COUNTBLANK(Metadata!B590:AC590)=COLUMNS(Metadata!B590:AC590)</f>
        <v>0</v>
      </c>
      <c r="AL590">
        <v>0</v>
      </c>
      <c r="AN590">
        <f>AND(IF(Metadata!B590="",FALSE,TRUE),COUNTIF(Metadata!B:B, Metadata!B590) = 1,NOT(ISERROR(SUMPRODUCT(SEARCH(MID(Metadata!B590,ROW(INDIRECT("1:"&amp;LEN(Metadata!B590))), 1),"0123456789abcdefghijklmnopqrstuvwxyzABCDEFGHIJKLMNOPQRSTUVWXYZ.")))))</f>
        <v>0</v>
      </c>
      <c r="AO590">
        <f>IF(Metadata!C590="",FALSE,TRUE)</f>
        <v>0</v>
      </c>
      <c r="AP590">
        <f>IF(Metadata!D590="",FALSE,TRUE)</f>
        <v>0</v>
      </c>
      <c r="AQ590">
        <f>OR(AND(IF(Metadata!E590="",FALSE,TRUE),OR(exact(Metadata!E590,"not collected"),exact(Metadata!E590,"not provided"),exact(Metadata!E590,"restricted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R590">
        <f>IF(Metadata!F590="",FALSE,TRUE)</f>
        <v>0</v>
      </c>
      <c r="AS590">
        <f>OR(AND(IF(Metadata!G590="",FALSE,TRUE),OR(exact(Metadata!G590,"not collected"),exact(Metadata!G590,"not provided"))),AND(IF(Metadata!G590="",FALSE,TRUE),OR(exact(Metadata!G590,"TRUE"),exact(Metadata!G590,"FALSE"))))</f>
        <v>0</v>
      </c>
      <c r="AT590">
        <f>OR(AND(IF(Metadata!H590="",FALSE,TRUE),OR(exact(Metadata!H590,"not collected"),exact(Metadata!H590,"not provided"),exact(Metadata!H590,"restricted access"))),AND(IF(Metadata!H590="",FALSE,ISNUMBER(VALUE(Metadata!H590))),Metadata!H590&gt;=-413.0))</f>
        <v>0</v>
      </c>
      <c r="AU590">
        <f>AND(IF(Metadata!I590="",FALSE,TRUE),exact(Metadata!I590,"meters"))</f>
        <v>0</v>
      </c>
      <c r="AV590">
        <f>AND(IF(Metadata!J590="",FALSE,TRUE),OR(exact(Metadata!J590,"Host-associated"),exact(Metadata!J590,"Free-living")))</f>
        <v>0</v>
      </c>
      <c r="AW590">
        <f>AND(IF(Metadata!K590="",FALSE,TRUE),OR(exact(Metadata!K590,"Animal"),exact(Metadata!K590,"Fungus"),exact(Metadata!K590,"Plant"),exact(Metadata!K590,"Saline"),exact(Metadata!K590,"Non-saline")))</f>
        <v>0</v>
      </c>
      <c r="AX590">
        <f>AND(IF(Metadata!L590="",FALSE,TRUE),OR(exact(Metadata!L590,"Plant secretion"),exact(Metadata!L590,"Plant rhizosphere"),exact(Metadata!L590,"Plant surface"),exact(Metadata!L590,"Plant corpus"),exact(Metadata!L590,"Fungus surface"),exact(Metadata!L590,"Fungus corpus"),exact(Metadata!L590,"Animal surface"),exact(Metadata!L590,"Animal proximal gut"),exact(Metadata!L590,"Animal corpus"),exact(Metadata!L590,"Animal distal gut"),exact(Metadata!L590,"Animal secretion"),exact(Metadata!L590,"Sub-surface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Y590">
        <f>IF(Metadata!M590="",FALSE,TRUE)</f>
        <v>0</v>
      </c>
      <c r="AZ590">
        <f>IF(Metadata!N590="",FALSE,TRUE)</f>
        <v>0</v>
      </c>
      <c r="BA590">
        <f>IF(Metadata!O590="",FALSE,TRUE)</f>
        <v>0</v>
      </c>
      <c r="BB590">
        <f>OR(AND(IF(Metadata!P590="",FALSE,TRUE),OR(exact(Metadata!P590,"not collected"),exact(Metadata!P590,"not provided"),exact(Metadata!P590,"restricted access"))),AND(IF(Metadata!P590="",FALSE,TRUE),OR(exact(Metadata!P590,"air"),exact(Metadata!P590,"built environment"),exact(Metadata!P590,"host-associated"),exact(Metadata!P590,"human-associated"),exact(Metadata!P590,"human-skin"),exact(Metadata!P590,"human-oral"),exact(Metadata!P590,"human-gut"),exact(Metadata!P590,"human-vaginal"),exact(Metadata!P590,"microbial mat/biofilm"),exact(Metadata!P590,"misc environment"),exact(Metadata!P590,"plant-associated"),exact(Metadata!P590,"sediment"),exact(Metadata!P590,"soil"),exact(Metadata!P590,"wastewater/sludge"),exact(Metadata!P590,"water"))))</f>
        <v>0</v>
      </c>
      <c r="BC590">
        <f>IF(Metadata!Q590="",FALSE,TRUE)</f>
        <v>0</v>
      </c>
      <c r="BD590">
        <f>IF(Metadata!R590="",FALSE,TRUE)</f>
        <v>0</v>
      </c>
      <c r="BE590">
        <f>OR(AND(IF(Metadata!S590="",FALSE,TRUE),OR(exact(Metadata!S590,"not collected"),exact(Metadata!S590,"not provided"),exact(Metadata!S590,"restricted access"))),AND(IF(Metadata!S590="",FALSE,ISNUMBER(VALUE(Metadata!S590))),Metadata!S590&gt;=-90.00,Metadata!S590&lt;=90.00))</f>
        <v>0</v>
      </c>
      <c r="BF590">
        <f>AND(IF(Metadata!T590="",FALSE,TRUE),exact(Metadata!T590,"Decimal degrees"))</f>
        <v>0</v>
      </c>
      <c r="BG590">
        <f>OR(AND(IF(Metadata!U590="",FALSE,TRUE),OR(exact(Metadata!U590,"not collected"),exact(Metadata!U590,"not provided"),exact(Metadata!U590,"restricted access"))),AND(IF(Metadata!U590="",FALSE,ISNUMBER(VALUE(Metadata!U590))),Metadata!U590&gt;=-180.00,Metadata!U590&lt;=180.00))</f>
        <v>0</v>
      </c>
      <c r="BH590">
        <f>AND(IF(Metadata!V590="",FALSE,TRUE),exact(Metadata!V590,"Decimal degrees"))</f>
        <v>0</v>
      </c>
      <c r="BI590">
        <f>IF(Metadata!W590="",FALSE,TRUE)</f>
        <v>0</v>
      </c>
      <c r="BJ590">
        <f>OR(AND(IF(Metadata!X590="",FALSE,TRUE),OR(exact(Metadata!X590,"not collected"),exact(Metadata!X590,"not provided"),exact(Metadata!X590,"restricted access"))),AND(IF(Metadata!X590="",FALSE,TRUE),OR(exact(Metadata!X590,"TRUE"),exact(Metadata!X590,"FALSE"))))</f>
        <v>0</v>
      </c>
      <c r="BK590">
        <f>AND(IF(Metadata!Y590="",FALSE,TRUE),exact(Metadata!Y590,"other"))</f>
        <v>0</v>
      </c>
      <c r="BL590">
        <f>IF(Metadata!Z590="",FALSE,TRUE)</f>
        <v>0</v>
      </c>
      <c r="BM590">
        <f>OR(AND(IF(Metadata!AA590="",FALSE,TRUE),OR(exact(Metadata!AA590,"not collected"),exact(Metadata!AA590,"not provided"))),AND(IF(Metadata!AA590="",FALSE,IF(ISERROR(INT(Metadata!AA590)),FALSE,INT(Metadata!AA590)=Metadata!AA590)),Metadata!AA590&gt;0))</f>
        <v>0</v>
      </c>
      <c r="BN590">
        <f>AND(IF(Metadata!AB590="",FALSE,TRUE),exact(Metadata!AB590,"Not applicable"))</f>
        <v>0</v>
      </c>
      <c r="BO590">
        <f>IF(Metadata!AC590="",FALSE,TRUE)</f>
        <v>0</v>
      </c>
    </row>
    <row r="591" spans="1:67">
      <c r="A591" s="5">
        <f>IF(B591=" "," ",HYPERLINK(CONCATENATE("#metadata!",ADDRESS(INDEX($AI$2:$AI$1001,MATCH(ROWS($AG$2:AG591),$AG$2:$AG$1001,0),0),1)),INDEX($AL$2:$AL$1001,MATCH(ROWS($AG$2:AG591),$AG$2:$AG$1001,0),0)))</f>
        <v>0</v>
      </c>
      <c r="B591" s="4">
        <f>IF(OR(INDEX($AH$2:$AH$1001,MATCH(ROWS($AG$2:AG591),$AG$2:$AG$1001,0),1)&gt;=100000,INDEX($AN$1005:$BO$1005,1,MATCH(COLUMNS($AN$1006:AN1006),$AN$1006:$BO$1006,0))&gt;=100000), " ",IF(INDEX($AN$2:$BO$1001,MATCH(ROWS($AG$2:AG591),$AG$2:$AG$1001,0),MATCH(COLUMNS($AN$1006:AN1006),$AN$1006:$BO$1006,0)), HYPERLINK("#",""), HYPERLINK(CONCATENATE("#Metadata!", ADDRESS(INDEX($AI$2:$AI$1001,MATCH(ROWS($AG$2:AG591),$AG$2:$AG$1001,0),0), INDEX($AN$1004:$BO$1004,1,MATCH(COLUMNS($AN$1006:AN1006),$AN$1006:$BO$1006,0)))),"Fix")))</f>
        <v>0</v>
      </c>
      <c r="C591" s="4">
        <f>IF(OR(INDEX($AH$2:$AH$1001,MATCH(ROWS($AG$2:AG591),$AG$2:$AG$1001,0),1)&gt;=100000,INDEX($AN$1005:$BO$1005,1,MATCH(COLUMNS($AN$1006:AO1006),$AN$1006:$BO$1006,0))&gt;=100000), " ",IF(INDEX($AN$2:$BO$1001,MATCH(ROWS($AG$2:AG591),$AG$2:$AG$1001,0),MATCH(COLUMNS($AN$1006:AO1006),$AN$1006:$BO$1006,0)), HYPERLINK("#",""), HYPERLINK(CONCATENATE("#Metadata!", ADDRESS(INDEX($AI$2:$AI$1001,MATCH(ROWS($AG$2:AG591),$AG$2:$AG$1001,0),0), INDEX($AN$1004:$BO$1004,1,MATCH(COLUMNS($AN$1006:AO1006),$AN$1006:$BO$1006,0)))),"Fix")))</f>
        <v>0</v>
      </c>
      <c r="D591" s="4">
        <f>IF(OR(INDEX($AH$2:$AH$1001,MATCH(ROWS($AG$2:AG591),$AG$2:$AG$1001,0),1)&gt;=100000,INDEX($AN$1005:$BO$1005,1,MATCH(COLUMNS($AN$1006:AP1006),$AN$1006:$BO$1006,0))&gt;=100000), " ",IF(INDEX($AN$2:$BO$1001,MATCH(ROWS($AG$2:AG591),$AG$2:$AG$1001,0),MATCH(COLUMNS($AN$1006:AP1006),$AN$1006:$BO$1006,0)), HYPERLINK("#",""), HYPERLINK(CONCATENATE("#Metadata!", ADDRESS(INDEX($AI$2:$AI$1001,MATCH(ROWS($AG$2:AG591),$AG$2:$AG$1001,0),0), INDEX($AN$1004:$BO$1004,1,MATCH(COLUMNS($AN$1006:AP1006),$AN$1006:$BO$1006,0)))),"Fix")))</f>
        <v>0</v>
      </c>
      <c r="E591" s="4">
        <f>IF(OR(INDEX($AH$2:$AH$1001,MATCH(ROWS($AG$2:AG591),$AG$2:$AG$1001,0),1)&gt;=100000,INDEX($AN$1005:$BO$1005,1,MATCH(COLUMNS($AN$1006:AQ1006),$AN$1006:$BO$1006,0))&gt;=100000), " ",IF(INDEX($AN$2:$BO$1001,MATCH(ROWS($AG$2:AG591),$AG$2:$AG$1001,0),MATCH(COLUMNS($AN$1006:AQ1006),$AN$1006:$BO$1006,0)), HYPERLINK("#",""), HYPERLINK(CONCATENATE("#Metadata!", ADDRESS(INDEX($AI$2:$AI$1001,MATCH(ROWS($AG$2:AG591),$AG$2:$AG$1001,0),0), INDEX($AN$1004:$BO$1004,1,MATCH(COLUMNS($AN$1006:AQ1006),$AN$1006:$BO$1006,0)))),"Fix")))</f>
        <v>0</v>
      </c>
      <c r="F591" s="4">
        <f>IF(OR(INDEX($AH$2:$AH$1001,MATCH(ROWS($AG$2:AG591),$AG$2:$AG$1001,0),1)&gt;=100000,INDEX($AN$1005:$BO$1005,1,MATCH(COLUMNS($AN$1006:AR1006),$AN$1006:$BO$1006,0))&gt;=100000), " ",IF(INDEX($AN$2:$BO$1001,MATCH(ROWS($AG$2:AG591),$AG$2:$AG$1001,0),MATCH(COLUMNS($AN$1006:AR1006),$AN$1006:$BO$1006,0)), HYPERLINK("#",""), HYPERLINK(CONCATENATE("#Metadata!", ADDRESS(INDEX($AI$2:$AI$1001,MATCH(ROWS($AG$2:AG591),$AG$2:$AG$1001,0),0), INDEX($AN$1004:$BO$1004,1,MATCH(COLUMNS($AN$1006:AR1006),$AN$1006:$BO$1006,0)))),"Fix")))</f>
        <v>0</v>
      </c>
      <c r="G591" s="4">
        <f>IF(OR(INDEX($AH$2:$AH$1001,MATCH(ROWS($AG$2:AG591),$AG$2:$AG$1001,0),1)&gt;=100000,INDEX($AN$1005:$BO$1005,1,MATCH(COLUMNS($AN$1006:AS1006),$AN$1006:$BO$1006,0))&gt;=100000), " ",IF(INDEX($AN$2:$BO$1001,MATCH(ROWS($AG$2:AG591),$AG$2:$AG$1001,0),MATCH(COLUMNS($AN$1006:AS1006),$AN$1006:$BO$1006,0)), HYPERLINK("#",""), HYPERLINK(CONCATENATE("#Metadata!", ADDRESS(INDEX($AI$2:$AI$1001,MATCH(ROWS($AG$2:AG591),$AG$2:$AG$1001,0),0), INDEX($AN$1004:$BO$1004,1,MATCH(COLUMNS($AN$1006:AS1006),$AN$1006:$BO$1006,0)))),"Fix")))</f>
        <v>0</v>
      </c>
      <c r="H591" s="4">
        <f>IF(OR(INDEX($AH$2:$AH$1001,MATCH(ROWS($AG$2:AG591),$AG$2:$AG$1001,0),1)&gt;=100000,INDEX($AN$1005:$BO$1005,1,MATCH(COLUMNS($AN$1006:AT1006),$AN$1006:$BO$1006,0))&gt;=100000), " ",IF(INDEX($AN$2:$BO$1001,MATCH(ROWS($AG$2:AG591),$AG$2:$AG$1001,0),MATCH(COLUMNS($AN$1006:AT1006),$AN$1006:$BO$1006,0)), HYPERLINK("#",""), HYPERLINK(CONCATENATE("#Metadata!", ADDRESS(INDEX($AI$2:$AI$1001,MATCH(ROWS($AG$2:AG591),$AG$2:$AG$1001,0),0), INDEX($AN$1004:$BO$1004,1,MATCH(COLUMNS($AN$1006:AT1006),$AN$1006:$BO$1006,0)))),"Fix")))</f>
        <v>0</v>
      </c>
      <c r="I591" s="4">
        <f>IF(OR(INDEX($AH$2:$AH$1001,MATCH(ROWS($AG$2:AG591),$AG$2:$AG$1001,0),1)&gt;=100000,INDEX($AN$1005:$BO$1005,1,MATCH(COLUMNS($AN$1006:AU1006),$AN$1006:$BO$1006,0))&gt;=100000), " ",IF(INDEX($AN$2:$BO$1001,MATCH(ROWS($AG$2:AG591),$AG$2:$AG$1001,0),MATCH(COLUMNS($AN$1006:AU1006),$AN$1006:$BO$1006,0)), HYPERLINK("#",""), HYPERLINK(CONCATENATE("#Metadata!", ADDRESS(INDEX($AI$2:$AI$1001,MATCH(ROWS($AG$2:AG591),$AG$2:$AG$1001,0),0), INDEX($AN$1004:$BO$1004,1,MATCH(COLUMNS($AN$1006:AU1006),$AN$1006:$BO$1006,0)))),"Fix")))</f>
        <v>0</v>
      </c>
      <c r="J591" s="4">
        <f>IF(OR(INDEX($AH$2:$AH$1001,MATCH(ROWS($AG$2:AG591),$AG$2:$AG$1001,0),1)&gt;=100000,INDEX($AN$1005:$BO$1005,1,MATCH(COLUMNS($AN$1006:AV1006),$AN$1006:$BO$1006,0))&gt;=100000), " ",IF(INDEX($AN$2:$BO$1001,MATCH(ROWS($AG$2:AG591),$AG$2:$AG$1001,0),MATCH(COLUMNS($AN$1006:AV1006),$AN$1006:$BO$1006,0)), HYPERLINK("#",""), HYPERLINK(CONCATENATE("#Metadata!", ADDRESS(INDEX($AI$2:$AI$1001,MATCH(ROWS($AG$2:AG591),$AG$2:$AG$1001,0),0), INDEX($AN$1004:$BO$1004,1,MATCH(COLUMNS($AN$1006:AV1006),$AN$1006:$BO$1006,0)))),"Fix")))</f>
        <v>0</v>
      </c>
      <c r="K591" s="4">
        <f>IF(OR(INDEX($AH$2:$AH$1001,MATCH(ROWS($AG$2:AG591),$AG$2:$AG$1001,0),1)&gt;=100000,INDEX($AN$1005:$BO$1005,1,MATCH(COLUMNS($AN$1006:AW1006),$AN$1006:$BO$1006,0))&gt;=100000), " ",IF(INDEX($AN$2:$BO$1001,MATCH(ROWS($AG$2:AG591),$AG$2:$AG$1001,0),MATCH(COLUMNS($AN$1006:AW1006),$AN$1006:$BO$1006,0)), HYPERLINK("#",""), HYPERLINK(CONCATENATE("#Metadata!", ADDRESS(INDEX($AI$2:$AI$1001,MATCH(ROWS($AG$2:AG591),$AG$2:$AG$1001,0),0), INDEX($AN$1004:$BO$1004,1,MATCH(COLUMNS($AN$1006:AW1006),$AN$1006:$BO$1006,0)))),"Fix")))</f>
        <v>0</v>
      </c>
      <c r="L591" s="4">
        <f>IF(OR(INDEX($AH$2:$AH$1001,MATCH(ROWS($AG$2:AG591),$AG$2:$AG$1001,0),1)&gt;=100000,INDEX($AN$1005:$BO$1005,1,MATCH(COLUMNS($AN$1006:AX1006),$AN$1006:$BO$1006,0))&gt;=100000), " ",IF(INDEX($AN$2:$BO$1001,MATCH(ROWS($AG$2:AG591),$AG$2:$AG$1001,0),MATCH(COLUMNS($AN$1006:AX1006),$AN$1006:$BO$1006,0)), HYPERLINK("#",""), HYPERLINK(CONCATENATE("#Metadata!", ADDRESS(INDEX($AI$2:$AI$1001,MATCH(ROWS($AG$2:AG591),$AG$2:$AG$1001,0),0), INDEX($AN$1004:$BO$1004,1,MATCH(COLUMNS($AN$1006:AX1006),$AN$1006:$BO$1006,0)))),"Fix")))</f>
        <v>0</v>
      </c>
      <c r="M591" s="4">
        <f>IF(OR(INDEX($AH$2:$AH$1001,MATCH(ROWS($AG$2:AG591),$AG$2:$AG$1001,0),1)&gt;=100000,INDEX($AN$1005:$BO$1005,1,MATCH(COLUMNS($AN$1006:AY1006),$AN$1006:$BO$1006,0))&gt;=100000), " ",IF(INDEX($AN$2:$BO$1001,MATCH(ROWS($AG$2:AG591),$AG$2:$AG$1001,0),MATCH(COLUMNS($AN$1006:AY1006),$AN$1006:$BO$1006,0)), HYPERLINK("#",""), HYPERLINK(CONCATENATE("#Metadata!", ADDRESS(INDEX($AI$2:$AI$1001,MATCH(ROWS($AG$2:AG591),$AG$2:$AG$1001,0),0), INDEX($AN$1004:$BO$1004,1,MATCH(COLUMNS($AN$1006:AY1006),$AN$1006:$BO$1006,0)))),"Fix")))</f>
        <v>0</v>
      </c>
      <c r="N591" s="4">
        <f>IF(OR(INDEX($AH$2:$AH$1001,MATCH(ROWS($AG$2:AG591),$AG$2:$AG$1001,0),1)&gt;=100000,INDEX($AN$1005:$BO$1005,1,MATCH(COLUMNS($AN$1006:AZ1006),$AN$1006:$BO$1006,0))&gt;=100000), " ",IF(INDEX($AN$2:$BO$1001,MATCH(ROWS($AG$2:AG591),$AG$2:$AG$1001,0),MATCH(COLUMNS($AN$1006:AZ1006),$AN$1006:$BO$1006,0)), HYPERLINK("#",""), HYPERLINK(CONCATENATE("#Metadata!", ADDRESS(INDEX($AI$2:$AI$1001,MATCH(ROWS($AG$2:AG591),$AG$2:$AG$1001,0),0), INDEX($AN$1004:$BO$1004,1,MATCH(COLUMNS($AN$1006:AZ1006),$AN$1006:$BO$1006,0)))),"Fix")))</f>
        <v>0</v>
      </c>
      <c r="O591" s="4">
        <f>IF(OR(INDEX($AH$2:$AH$1001,MATCH(ROWS($AG$2:AG591),$AG$2:$AG$1001,0),1)&gt;=100000,INDEX($AN$1005:$BO$1005,1,MATCH(COLUMNS($AN$1006:BA1006),$AN$1006:$BO$1006,0))&gt;=100000), " ",IF(INDEX($AN$2:$BO$1001,MATCH(ROWS($AG$2:AG591),$AG$2:$AG$1001,0),MATCH(COLUMNS($AN$1006:BA1006),$AN$1006:$BO$1006,0)), HYPERLINK("#",""), HYPERLINK(CONCATENATE("#Metadata!", ADDRESS(INDEX($AI$2:$AI$1001,MATCH(ROWS($AG$2:AG591),$AG$2:$AG$1001,0),0), INDEX($AN$1004:$BO$1004,1,MATCH(COLUMNS($AN$1006:BA1006),$AN$1006:$BO$1006,0)))),"Fix")))</f>
        <v>0</v>
      </c>
      <c r="P591" s="4">
        <f>IF(OR(INDEX($AH$2:$AH$1001,MATCH(ROWS($AG$2:AG591),$AG$2:$AG$1001,0),1)&gt;=100000,INDEX($AN$1005:$BO$1005,1,MATCH(COLUMNS($AN$1006:BB1006),$AN$1006:$BO$1006,0))&gt;=100000), " ",IF(INDEX($AN$2:$BO$1001,MATCH(ROWS($AG$2:AG591),$AG$2:$AG$1001,0),MATCH(COLUMNS($AN$1006:BB1006),$AN$1006:$BO$1006,0)), HYPERLINK("#",""), HYPERLINK(CONCATENATE("#Metadata!", ADDRESS(INDEX($AI$2:$AI$1001,MATCH(ROWS($AG$2:AG591),$AG$2:$AG$1001,0),0), INDEX($AN$1004:$BO$1004,1,MATCH(COLUMNS($AN$1006:BB1006),$AN$1006:$BO$1006,0)))),"Fix")))</f>
        <v>0</v>
      </c>
      <c r="Q591" s="4">
        <f>IF(OR(INDEX($AH$2:$AH$1001,MATCH(ROWS($AG$2:AG591),$AG$2:$AG$1001,0),1)&gt;=100000,INDEX($AN$1005:$BO$1005,1,MATCH(COLUMNS($AN$1006:BC1006),$AN$1006:$BO$1006,0))&gt;=100000), " ",IF(INDEX($AN$2:$BO$1001,MATCH(ROWS($AG$2:AG591),$AG$2:$AG$1001,0),MATCH(COLUMNS($AN$1006:BC1006),$AN$1006:$BO$1006,0)), HYPERLINK("#",""), HYPERLINK(CONCATENATE("#Metadata!", ADDRESS(INDEX($AI$2:$AI$1001,MATCH(ROWS($AG$2:AG591),$AG$2:$AG$1001,0),0), INDEX($AN$1004:$BO$1004,1,MATCH(COLUMNS($AN$1006:BC1006),$AN$1006:$BO$1006,0)))),"Fix")))</f>
        <v>0</v>
      </c>
      <c r="R591" s="4">
        <f>IF(OR(INDEX($AH$2:$AH$1001,MATCH(ROWS($AG$2:AG591),$AG$2:$AG$1001,0),1)&gt;=100000,INDEX($AN$1005:$BO$1005,1,MATCH(COLUMNS($AN$1006:BD1006),$AN$1006:$BO$1006,0))&gt;=100000), " ",IF(INDEX($AN$2:$BO$1001,MATCH(ROWS($AG$2:AG591),$AG$2:$AG$1001,0),MATCH(COLUMNS($AN$1006:BD1006),$AN$1006:$BO$1006,0)), HYPERLINK("#",""), HYPERLINK(CONCATENATE("#Metadata!", ADDRESS(INDEX($AI$2:$AI$1001,MATCH(ROWS($AG$2:AG591),$AG$2:$AG$1001,0),0), INDEX($AN$1004:$BO$1004,1,MATCH(COLUMNS($AN$1006:BD1006),$AN$1006:$BO$1006,0)))),"Fix")))</f>
        <v>0</v>
      </c>
      <c r="S591" s="4">
        <f>IF(OR(INDEX($AH$2:$AH$1001,MATCH(ROWS($AG$2:AG591),$AG$2:$AG$1001,0),1)&gt;=100000,INDEX($AN$1005:$BO$1005,1,MATCH(COLUMNS($AN$1006:BE1006),$AN$1006:$BO$1006,0))&gt;=100000), " ",IF(INDEX($AN$2:$BO$1001,MATCH(ROWS($AG$2:AG591),$AG$2:$AG$1001,0),MATCH(COLUMNS($AN$1006:BE1006),$AN$1006:$BO$1006,0)), HYPERLINK("#",""), HYPERLINK(CONCATENATE("#Metadata!", ADDRESS(INDEX($AI$2:$AI$1001,MATCH(ROWS($AG$2:AG591),$AG$2:$AG$1001,0),0), INDEX($AN$1004:$BO$1004,1,MATCH(COLUMNS($AN$1006:BE1006),$AN$1006:$BO$1006,0)))),"Fix")))</f>
        <v>0</v>
      </c>
      <c r="T591" s="4">
        <f>IF(OR(INDEX($AH$2:$AH$1001,MATCH(ROWS($AG$2:AG591),$AG$2:$AG$1001,0),1)&gt;=100000,INDEX($AN$1005:$BO$1005,1,MATCH(COLUMNS($AN$1006:BF1006),$AN$1006:$BO$1006,0))&gt;=100000), " ",IF(INDEX($AN$2:$BO$1001,MATCH(ROWS($AG$2:AG591),$AG$2:$AG$1001,0),MATCH(COLUMNS($AN$1006:BF1006),$AN$1006:$BO$1006,0)), HYPERLINK("#",""), HYPERLINK(CONCATENATE("#Metadata!", ADDRESS(INDEX($AI$2:$AI$1001,MATCH(ROWS($AG$2:AG591),$AG$2:$AG$1001,0),0), INDEX($AN$1004:$BO$1004,1,MATCH(COLUMNS($AN$1006:BF1006),$AN$1006:$BO$1006,0)))),"Fix")))</f>
        <v>0</v>
      </c>
      <c r="U591" s="4">
        <f>IF(OR(INDEX($AH$2:$AH$1001,MATCH(ROWS($AG$2:AG591),$AG$2:$AG$1001,0),1)&gt;=100000,INDEX($AN$1005:$BO$1005,1,MATCH(COLUMNS($AN$1006:BG1006),$AN$1006:$BO$1006,0))&gt;=100000), " ",IF(INDEX($AN$2:$BO$1001,MATCH(ROWS($AG$2:AG591),$AG$2:$AG$1001,0),MATCH(COLUMNS($AN$1006:BG1006),$AN$1006:$BO$1006,0)), HYPERLINK("#",""), HYPERLINK(CONCATENATE("#Metadata!", ADDRESS(INDEX($AI$2:$AI$1001,MATCH(ROWS($AG$2:AG591),$AG$2:$AG$1001,0),0), INDEX($AN$1004:$BO$1004,1,MATCH(COLUMNS($AN$1006:BG1006),$AN$1006:$BO$1006,0)))),"Fix")))</f>
        <v>0</v>
      </c>
      <c r="V591" s="4">
        <f>IF(OR(INDEX($AH$2:$AH$1001,MATCH(ROWS($AG$2:AG591),$AG$2:$AG$1001,0),1)&gt;=100000,INDEX($AN$1005:$BO$1005,1,MATCH(COLUMNS($AN$1006:BH1006),$AN$1006:$BO$1006,0))&gt;=100000), " ",IF(INDEX($AN$2:$BO$1001,MATCH(ROWS($AG$2:AG591),$AG$2:$AG$1001,0),MATCH(COLUMNS($AN$1006:BH1006),$AN$1006:$BO$1006,0)), HYPERLINK("#",""), HYPERLINK(CONCATENATE("#Metadata!", ADDRESS(INDEX($AI$2:$AI$1001,MATCH(ROWS($AG$2:AG591),$AG$2:$AG$1001,0),0), INDEX($AN$1004:$BO$1004,1,MATCH(COLUMNS($AN$1006:BH1006),$AN$1006:$BO$1006,0)))),"Fix")))</f>
        <v>0</v>
      </c>
      <c r="W591" s="4">
        <f>IF(OR(INDEX($AH$2:$AH$1001,MATCH(ROWS($AG$2:AG591),$AG$2:$AG$1001,0),1)&gt;=100000,INDEX($AN$1005:$BO$1005,1,MATCH(COLUMNS($AN$1006:BI1006),$AN$1006:$BO$1006,0))&gt;=100000), " ",IF(INDEX($AN$2:$BO$1001,MATCH(ROWS($AG$2:AG591),$AG$2:$AG$1001,0),MATCH(COLUMNS($AN$1006:BI1006),$AN$1006:$BO$1006,0)), HYPERLINK("#",""), HYPERLINK(CONCATENATE("#Metadata!", ADDRESS(INDEX($AI$2:$AI$1001,MATCH(ROWS($AG$2:AG591),$AG$2:$AG$1001,0),0), INDEX($AN$1004:$BO$1004,1,MATCH(COLUMNS($AN$1006:BI1006),$AN$1006:$BO$1006,0)))),"Fix")))</f>
        <v>0</v>
      </c>
      <c r="X591" s="4">
        <f>IF(OR(INDEX($AH$2:$AH$1001,MATCH(ROWS($AG$2:AG591),$AG$2:$AG$1001,0),1)&gt;=100000,INDEX($AN$1005:$BO$1005,1,MATCH(COLUMNS($AN$1006:BJ1006),$AN$1006:$BO$1006,0))&gt;=100000), " ",IF(INDEX($AN$2:$BO$1001,MATCH(ROWS($AG$2:AG591),$AG$2:$AG$1001,0),MATCH(COLUMNS($AN$1006:BJ1006),$AN$1006:$BO$1006,0)), HYPERLINK("#",""), HYPERLINK(CONCATENATE("#Metadata!", ADDRESS(INDEX($AI$2:$AI$1001,MATCH(ROWS($AG$2:AG591),$AG$2:$AG$1001,0),0), INDEX($AN$1004:$BO$1004,1,MATCH(COLUMNS($AN$1006:BJ1006),$AN$1006:$BO$1006,0)))),"Fix")))</f>
        <v>0</v>
      </c>
      <c r="Y591" s="4">
        <f>IF(OR(INDEX($AH$2:$AH$1001,MATCH(ROWS($AG$2:AG591),$AG$2:$AG$1001,0),1)&gt;=100000,INDEX($AN$1005:$BO$1005,1,MATCH(COLUMNS($AN$1006:BK1006),$AN$1006:$BO$1006,0))&gt;=100000), " ",IF(INDEX($AN$2:$BO$1001,MATCH(ROWS($AG$2:AG591),$AG$2:$AG$1001,0),MATCH(COLUMNS($AN$1006:BK1006),$AN$1006:$BO$1006,0)), HYPERLINK("#",""), HYPERLINK(CONCATENATE("#Metadata!", ADDRESS(INDEX($AI$2:$AI$1001,MATCH(ROWS($AG$2:AG591),$AG$2:$AG$1001,0),0), INDEX($AN$1004:$BO$1004,1,MATCH(COLUMNS($AN$1006:BK1006),$AN$1006:$BO$1006,0)))),"Fix")))</f>
        <v>0</v>
      </c>
      <c r="Z591" s="4">
        <f>IF(OR(INDEX($AH$2:$AH$1001,MATCH(ROWS($AG$2:AG591),$AG$2:$AG$1001,0),1)&gt;=100000,INDEX($AN$1005:$BO$1005,1,MATCH(COLUMNS($AN$1006:BL1006),$AN$1006:$BO$1006,0))&gt;=100000), " ",IF(INDEX($AN$2:$BO$1001,MATCH(ROWS($AG$2:AG591),$AG$2:$AG$1001,0),MATCH(COLUMNS($AN$1006:BL1006),$AN$1006:$BO$1006,0)), HYPERLINK("#",""), HYPERLINK(CONCATENATE("#Metadata!", ADDRESS(INDEX($AI$2:$AI$1001,MATCH(ROWS($AG$2:AG591),$AG$2:$AG$1001,0),0), INDEX($AN$1004:$BO$1004,1,MATCH(COLUMNS($AN$1006:BL1006),$AN$1006:$BO$1006,0)))),"Fix")))</f>
        <v>0</v>
      </c>
      <c r="AA591" s="4">
        <f>IF(OR(INDEX($AH$2:$AH$1001,MATCH(ROWS($AG$2:AG591),$AG$2:$AG$1001,0),1)&gt;=100000,INDEX($AN$1005:$BO$1005,1,MATCH(COLUMNS($AN$1006:BM1006),$AN$1006:$BO$1006,0))&gt;=100000), " ",IF(INDEX($AN$2:$BO$1001,MATCH(ROWS($AG$2:AG591),$AG$2:$AG$1001,0),MATCH(COLUMNS($AN$1006:BM1006),$AN$1006:$BO$1006,0)), HYPERLINK("#",""), HYPERLINK(CONCATENATE("#Metadata!", ADDRESS(INDEX($AI$2:$AI$1001,MATCH(ROWS($AG$2:AG591),$AG$2:$AG$1001,0),0), INDEX($AN$1004:$BO$1004,1,MATCH(COLUMNS($AN$1006:BM1006),$AN$1006:$BO$1006,0)))),"Fix")))</f>
        <v>0</v>
      </c>
      <c r="AB591" s="4">
        <f>IF(OR(INDEX($AH$2:$AH$1001,MATCH(ROWS($AG$2:AG591),$AG$2:$AG$1001,0),1)&gt;=100000,INDEX($AN$1005:$BO$1005,1,MATCH(COLUMNS($AN$1006:BN1006),$AN$1006:$BO$1006,0))&gt;=100000), " ",IF(INDEX($AN$2:$BO$1001,MATCH(ROWS($AG$2:AG591),$AG$2:$AG$1001,0),MATCH(COLUMNS($AN$1006:BN1006),$AN$1006:$BO$1006,0)), HYPERLINK("#",""), HYPERLINK(CONCATENATE("#Metadata!", ADDRESS(INDEX($AI$2:$AI$1001,MATCH(ROWS($AG$2:AG591),$AG$2:$AG$1001,0),0), INDEX($AN$1004:$BO$1004,1,MATCH(COLUMNS($AN$1006:BN1006),$AN$1006:$BO$1006,0)))),"Fix")))</f>
        <v>0</v>
      </c>
      <c r="AC591" s="4">
        <f>IF(OR(INDEX($AH$2:$AH$1001,MATCH(ROWS($AG$2:AG591),$AG$2:$AG$1001,0),1)&gt;=100000,INDEX($AN$1005:$BO$1005,1,MATCH(COLUMNS($AN$1006:BO1006),$AN$1006:$BO$1006,0))&gt;=100000), " ",IF(INDEX($AN$2:$BO$1001,MATCH(ROWS($AG$2:AG591),$AG$2:$AG$1001,0),MATCH(COLUMNS($AN$1006:BO1006),$AN$1006:$BO$1006,0)), HYPERLINK("#",""), HYPERLINK(CONCATENATE("#Metadata!", ADDRESS(INDEX($AI$2:$AI$1001,MATCH(ROWS($AG$2:AG591),$AG$2:$AG$1001,0),0), INDEX($AN$1004:$BO$1004,1,MATCH(COLUMNS($AN$1006:BO1006),$AN$1006:$BO$1006,0)))),"Fix")))</f>
        <v>0</v>
      </c>
      <c r="AG591">
        <v>0</v>
      </c>
      <c r="AH591">
        <v>0</v>
      </c>
      <c r="AI591">
        <v>0</v>
      </c>
      <c r="AJ591">
        <f>IF(AK591,TRUE,AND(AN591:BO591))</f>
        <v>0</v>
      </c>
      <c r="AK591">
        <f>COUNTBLANK(Metadata!B591:AC591)=COLUMNS(Metadata!B591:AC591)</f>
        <v>0</v>
      </c>
      <c r="AL591">
        <v>0</v>
      </c>
      <c r="AN591">
        <f>AND(IF(Metadata!B591="",FALSE,TRUE),COUNTIF(Metadata!B:B, Metadata!B591) = 1,NOT(ISERROR(SUMPRODUCT(SEARCH(MID(Metadata!B591,ROW(INDIRECT("1:"&amp;LEN(Metadata!B591))), 1),"0123456789abcdefghijklmnopqrstuvwxyzABCDEFGHIJKLMNOPQRSTUVWXYZ.")))))</f>
        <v>0</v>
      </c>
      <c r="AO591">
        <f>IF(Metadata!C591="",FALSE,TRUE)</f>
        <v>0</v>
      </c>
      <c r="AP591">
        <f>IF(Metadata!D591="",FALSE,TRUE)</f>
        <v>0</v>
      </c>
      <c r="AQ591">
        <f>OR(AND(IF(Metadata!E591="",FALSE,TRUE),OR(exact(Metadata!E591,"not collected"),exact(Metadata!E591,"not provided"),exact(Metadata!E591,"restricted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R591">
        <f>IF(Metadata!F591="",FALSE,TRUE)</f>
        <v>0</v>
      </c>
      <c r="AS591">
        <f>OR(AND(IF(Metadata!G591="",FALSE,TRUE),OR(exact(Metadata!G591,"not collected"),exact(Metadata!G591,"not provided"))),AND(IF(Metadata!G591="",FALSE,TRUE),OR(exact(Metadata!G591,"TRUE"),exact(Metadata!G591,"FALSE"))))</f>
        <v>0</v>
      </c>
      <c r="AT591">
        <f>OR(AND(IF(Metadata!H591="",FALSE,TRUE),OR(exact(Metadata!H591,"not collected"),exact(Metadata!H591,"not provided"),exact(Metadata!H591,"restricted access"))),AND(IF(Metadata!H591="",FALSE,ISNUMBER(VALUE(Metadata!H591))),Metadata!H591&gt;=-413.0))</f>
        <v>0</v>
      </c>
      <c r="AU591">
        <f>AND(IF(Metadata!I591="",FALSE,TRUE),exact(Metadata!I591,"meters"))</f>
        <v>0</v>
      </c>
      <c r="AV591">
        <f>AND(IF(Metadata!J591="",FALSE,TRUE),OR(exact(Metadata!J591,"Host-associated"),exact(Metadata!J591,"Free-living")))</f>
        <v>0</v>
      </c>
      <c r="AW591">
        <f>AND(IF(Metadata!K591="",FALSE,TRUE),OR(exact(Metadata!K591,"Animal"),exact(Metadata!K591,"Fungus"),exact(Metadata!K591,"Plant"),exact(Metadata!K591,"Saline"),exact(Metadata!K591,"Non-saline")))</f>
        <v>0</v>
      </c>
      <c r="AX591">
        <f>AND(IF(Metadata!L591="",FALSE,TRUE),OR(exact(Metadata!L591,"Plant secretion"),exact(Metadata!L591,"Plant rhizosphere"),exact(Metadata!L591,"Plant surface"),exact(Metadata!L591,"Plant corpus"),exact(Metadata!L591,"Fungus surface"),exact(Metadata!L591,"Fungus corpus"),exact(Metadata!L591,"Animal surface"),exact(Metadata!L591,"Animal proximal gut"),exact(Metadata!L591,"Animal corpus"),exact(Metadata!L591,"Animal distal gut"),exact(Metadata!L591,"Animal secretion"),exact(Metadata!L591,"Sub-surface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Y591">
        <f>IF(Metadata!M591="",FALSE,TRUE)</f>
        <v>0</v>
      </c>
      <c r="AZ591">
        <f>IF(Metadata!N591="",FALSE,TRUE)</f>
        <v>0</v>
      </c>
      <c r="BA591">
        <f>IF(Metadata!O591="",FALSE,TRUE)</f>
        <v>0</v>
      </c>
      <c r="BB591">
        <f>OR(AND(IF(Metadata!P591="",FALSE,TRUE),OR(exact(Metadata!P591,"not collected"),exact(Metadata!P591,"not provided"),exact(Metadata!P591,"restricted access"))),AND(IF(Metadata!P591="",FALSE,TRUE),OR(exact(Metadata!P591,"air"),exact(Metadata!P591,"built environment"),exact(Metadata!P591,"host-associated"),exact(Metadata!P591,"human-associated"),exact(Metadata!P591,"human-skin"),exact(Metadata!P591,"human-oral"),exact(Metadata!P591,"human-gut"),exact(Metadata!P591,"human-vaginal"),exact(Metadata!P591,"microbial mat/biofilm"),exact(Metadata!P591,"misc environment"),exact(Metadata!P591,"plant-associated"),exact(Metadata!P591,"sediment"),exact(Metadata!P591,"soil"),exact(Metadata!P591,"wastewater/sludge"),exact(Metadata!P591,"water"))))</f>
        <v>0</v>
      </c>
      <c r="BC591">
        <f>IF(Metadata!Q591="",FALSE,TRUE)</f>
        <v>0</v>
      </c>
      <c r="BD591">
        <f>IF(Metadata!R591="",FALSE,TRUE)</f>
        <v>0</v>
      </c>
      <c r="BE591">
        <f>OR(AND(IF(Metadata!S591="",FALSE,TRUE),OR(exact(Metadata!S591,"not collected"),exact(Metadata!S591,"not provided"),exact(Metadata!S591,"restricted access"))),AND(IF(Metadata!S591="",FALSE,ISNUMBER(VALUE(Metadata!S591))),Metadata!S591&gt;=-90.00,Metadata!S591&lt;=90.00))</f>
        <v>0</v>
      </c>
      <c r="BF591">
        <f>AND(IF(Metadata!T591="",FALSE,TRUE),exact(Metadata!T591,"Decimal degrees"))</f>
        <v>0</v>
      </c>
      <c r="BG591">
        <f>OR(AND(IF(Metadata!U591="",FALSE,TRUE),OR(exact(Metadata!U591,"not collected"),exact(Metadata!U591,"not provided"),exact(Metadata!U591,"restricted access"))),AND(IF(Metadata!U591="",FALSE,ISNUMBER(VALUE(Metadata!U591))),Metadata!U591&gt;=-180.00,Metadata!U591&lt;=180.00))</f>
        <v>0</v>
      </c>
      <c r="BH591">
        <f>AND(IF(Metadata!V591="",FALSE,TRUE),exact(Metadata!V591,"Decimal degrees"))</f>
        <v>0</v>
      </c>
      <c r="BI591">
        <f>IF(Metadata!W591="",FALSE,TRUE)</f>
        <v>0</v>
      </c>
      <c r="BJ591">
        <f>OR(AND(IF(Metadata!X591="",FALSE,TRUE),OR(exact(Metadata!X591,"not collected"),exact(Metadata!X591,"not provided"),exact(Metadata!X591,"restricted access"))),AND(IF(Metadata!X591="",FALSE,TRUE),OR(exact(Metadata!X591,"TRUE"),exact(Metadata!X591,"FALSE"))))</f>
        <v>0</v>
      </c>
      <c r="BK591">
        <f>AND(IF(Metadata!Y591="",FALSE,TRUE),exact(Metadata!Y591,"other"))</f>
        <v>0</v>
      </c>
      <c r="BL591">
        <f>IF(Metadata!Z591="",FALSE,TRUE)</f>
        <v>0</v>
      </c>
      <c r="BM591">
        <f>OR(AND(IF(Metadata!AA591="",FALSE,TRUE),OR(exact(Metadata!AA591,"not collected"),exact(Metadata!AA591,"not provided"))),AND(IF(Metadata!AA591="",FALSE,IF(ISERROR(INT(Metadata!AA591)),FALSE,INT(Metadata!AA591)=Metadata!AA591)),Metadata!AA591&gt;0))</f>
        <v>0</v>
      </c>
      <c r="BN591">
        <f>AND(IF(Metadata!AB591="",FALSE,TRUE),exact(Metadata!AB591,"Not applicable"))</f>
        <v>0</v>
      </c>
      <c r="BO591">
        <f>IF(Metadata!AC591="",FALSE,TRUE)</f>
        <v>0</v>
      </c>
    </row>
    <row r="592" spans="1:67">
      <c r="A592" s="5">
        <f>IF(B592=" "," ",HYPERLINK(CONCATENATE("#metadata!",ADDRESS(INDEX($AI$2:$AI$1001,MATCH(ROWS($AG$2:AG592),$AG$2:$AG$1001,0),0),1)),INDEX($AL$2:$AL$1001,MATCH(ROWS($AG$2:AG592),$AG$2:$AG$1001,0),0)))</f>
        <v>0</v>
      </c>
      <c r="B592" s="4">
        <f>IF(OR(INDEX($AH$2:$AH$1001,MATCH(ROWS($AG$2:AG592),$AG$2:$AG$1001,0),1)&gt;=100000,INDEX($AN$1005:$BO$1005,1,MATCH(COLUMNS($AN$1006:AN1006),$AN$1006:$BO$1006,0))&gt;=100000), " ",IF(INDEX($AN$2:$BO$1001,MATCH(ROWS($AG$2:AG592),$AG$2:$AG$1001,0),MATCH(COLUMNS($AN$1006:AN1006),$AN$1006:$BO$1006,0)), HYPERLINK("#",""), HYPERLINK(CONCATENATE("#Metadata!", ADDRESS(INDEX($AI$2:$AI$1001,MATCH(ROWS($AG$2:AG592),$AG$2:$AG$1001,0),0), INDEX($AN$1004:$BO$1004,1,MATCH(COLUMNS($AN$1006:AN1006),$AN$1006:$BO$1006,0)))),"Fix")))</f>
        <v>0</v>
      </c>
      <c r="C592" s="4">
        <f>IF(OR(INDEX($AH$2:$AH$1001,MATCH(ROWS($AG$2:AG592),$AG$2:$AG$1001,0),1)&gt;=100000,INDEX($AN$1005:$BO$1005,1,MATCH(COLUMNS($AN$1006:AO1006),$AN$1006:$BO$1006,0))&gt;=100000), " ",IF(INDEX($AN$2:$BO$1001,MATCH(ROWS($AG$2:AG592),$AG$2:$AG$1001,0),MATCH(COLUMNS($AN$1006:AO1006),$AN$1006:$BO$1006,0)), HYPERLINK("#",""), HYPERLINK(CONCATENATE("#Metadata!", ADDRESS(INDEX($AI$2:$AI$1001,MATCH(ROWS($AG$2:AG592),$AG$2:$AG$1001,0),0), INDEX($AN$1004:$BO$1004,1,MATCH(COLUMNS($AN$1006:AO1006),$AN$1006:$BO$1006,0)))),"Fix")))</f>
        <v>0</v>
      </c>
      <c r="D592" s="4">
        <f>IF(OR(INDEX($AH$2:$AH$1001,MATCH(ROWS($AG$2:AG592),$AG$2:$AG$1001,0),1)&gt;=100000,INDEX($AN$1005:$BO$1005,1,MATCH(COLUMNS($AN$1006:AP1006),$AN$1006:$BO$1006,0))&gt;=100000), " ",IF(INDEX($AN$2:$BO$1001,MATCH(ROWS($AG$2:AG592),$AG$2:$AG$1001,0),MATCH(COLUMNS($AN$1006:AP1006),$AN$1006:$BO$1006,0)), HYPERLINK("#",""), HYPERLINK(CONCATENATE("#Metadata!", ADDRESS(INDEX($AI$2:$AI$1001,MATCH(ROWS($AG$2:AG592),$AG$2:$AG$1001,0),0), INDEX($AN$1004:$BO$1004,1,MATCH(COLUMNS($AN$1006:AP1006),$AN$1006:$BO$1006,0)))),"Fix")))</f>
        <v>0</v>
      </c>
      <c r="E592" s="4">
        <f>IF(OR(INDEX($AH$2:$AH$1001,MATCH(ROWS($AG$2:AG592),$AG$2:$AG$1001,0),1)&gt;=100000,INDEX($AN$1005:$BO$1005,1,MATCH(COLUMNS($AN$1006:AQ1006),$AN$1006:$BO$1006,0))&gt;=100000), " ",IF(INDEX($AN$2:$BO$1001,MATCH(ROWS($AG$2:AG592),$AG$2:$AG$1001,0),MATCH(COLUMNS($AN$1006:AQ1006),$AN$1006:$BO$1006,0)), HYPERLINK("#",""), HYPERLINK(CONCATENATE("#Metadata!", ADDRESS(INDEX($AI$2:$AI$1001,MATCH(ROWS($AG$2:AG592),$AG$2:$AG$1001,0),0), INDEX($AN$1004:$BO$1004,1,MATCH(COLUMNS($AN$1006:AQ1006),$AN$1006:$BO$1006,0)))),"Fix")))</f>
        <v>0</v>
      </c>
      <c r="F592" s="4">
        <f>IF(OR(INDEX($AH$2:$AH$1001,MATCH(ROWS($AG$2:AG592),$AG$2:$AG$1001,0),1)&gt;=100000,INDEX($AN$1005:$BO$1005,1,MATCH(COLUMNS($AN$1006:AR1006),$AN$1006:$BO$1006,0))&gt;=100000), " ",IF(INDEX($AN$2:$BO$1001,MATCH(ROWS($AG$2:AG592),$AG$2:$AG$1001,0),MATCH(COLUMNS($AN$1006:AR1006),$AN$1006:$BO$1006,0)), HYPERLINK("#",""), HYPERLINK(CONCATENATE("#Metadata!", ADDRESS(INDEX($AI$2:$AI$1001,MATCH(ROWS($AG$2:AG592),$AG$2:$AG$1001,0),0), INDEX($AN$1004:$BO$1004,1,MATCH(COLUMNS($AN$1006:AR1006),$AN$1006:$BO$1006,0)))),"Fix")))</f>
        <v>0</v>
      </c>
      <c r="G592" s="4">
        <f>IF(OR(INDEX($AH$2:$AH$1001,MATCH(ROWS($AG$2:AG592),$AG$2:$AG$1001,0),1)&gt;=100000,INDEX($AN$1005:$BO$1005,1,MATCH(COLUMNS($AN$1006:AS1006),$AN$1006:$BO$1006,0))&gt;=100000), " ",IF(INDEX($AN$2:$BO$1001,MATCH(ROWS($AG$2:AG592),$AG$2:$AG$1001,0),MATCH(COLUMNS($AN$1006:AS1006),$AN$1006:$BO$1006,0)), HYPERLINK("#",""), HYPERLINK(CONCATENATE("#Metadata!", ADDRESS(INDEX($AI$2:$AI$1001,MATCH(ROWS($AG$2:AG592),$AG$2:$AG$1001,0),0), INDEX($AN$1004:$BO$1004,1,MATCH(COLUMNS($AN$1006:AS1006),$AN$1006:$BO$1006,0)))),"Fix")))</f>
        <v>0</v>
      </c>
      <c r="H592" s="4">
        <f>IF(OR(INDEX($AH$2:$AH$1001,MATCH(ROWS($AG$2:AG592),$AG$2:$AG$1001,0),1)&gt;=100000,INDEX($AN$1005:$BO$1005,1,MATCH(COLUMNS($AN$1006:AT1006),$AN$1006:$BO$1006,0))&gt;=100000), " ",IF(INDEX($AN$2:$BO$1001,MATCH(ROWS($AG$2:AG592),$AG$2:$AG$1001,0),MATCH(COLUMNS($AN$1006:AT1006),$AN$1006:$BO$1006,0)), HYPERLINK("#",""), HYPERLINK(CONCATENATE("#Metadata!", ADDRESS(INDEX($AI$2:$AI$1001,MATCH(ROWS($AG$2:AG592),$AG$2:$AG$1001,0),0), INDEX($AN$1004:$BO$1004,1,MATCH(COLUMNS($AN$1006:AT1006),$AN$1006:$BO$1006,0)))),"Fix")))</f>
        <v>0</v>
      </c>
      <c r="I592" s="4">
        <f>IF(OR(INDEX($AH$2:$AH$1001,MATCH(ROWS($AG$2:AG592),$AG$2:$AG$1001,0),1)&gt;=100000,INDEX($AN$1005:$BO$1005,1,MATCH(COLUMNS($AN$1006:AU1006),$AN$1006:$BO$1006,0))&gt;=100000), " ",IF(INDEX($AN$2:$BO$1001,MATCH(ROWS($AG$2:AG592),$AG$2:$AG$1001,0),MATCH(COLUMNS($AN$1006:AU1006),$AN$1006:$BO$1006,0)), HYPERLINK("#",""), HYPERLINK(CONCATENATE("#Metadata!", ADDRESS(INDEX($AI$2:$AI$1001,MATCH(ROWS($AG$2:AG592),$AG$2:$AG$1001,0),0), INDEX($AN$1004:$BO$1004,1,MATCH(COLUMNS($AN$1006:AU1006),$AN$1006:$BO$1006,0)))),"Fix")))</f>
        <v>0</v>
      </c>
      <c r="J592" s="4">
        <f>IF(OR(INDEX($AH$2:$AH$1001,MATCH(ROWS($AG$2:AG592),$AG$2:$AG$1001,0),1)&gt;=100000,INDEX($AN$1005:$BO$1005,1,MATCH(COLUMNS($AN$1006:AV1006),$AN$1006:$BO$1006,0))&gt;=100000), " ",IF(INDEX($AN$2:$BO$1001,MATCH(ROWS($AG$2:AG592),$AG$2:$AG$1001,0),MATCH(COLUMNS($AN$1006:AV1006),$AN$1006:$BO$1006,0)), HYPERLINK("#",""), HYPERLINK(CONCATENATE("#Metadata!", ADDRESS(INDEX($AI$2:$AI$1001,MATCH(ROWS($AG$2:AG592),$AG$2:$AG$1001,0),0), INDEX($AN$1004:$BO$1004,1,MATCH(COLUMNS($AN$1006:AV1006),$AN$1006:$BO$1006,0)))),"Fix")))</f>
        <v>0</v>
      </c>
      <c r="K592" s="4">
        <f>IF(OR(INDEX($AH$2:$AH$1001,MATCH(ROWS($AG$2:AG592),$AG$2:$AG$1001,0),1)&gt;=100000,INDEX($AN$1005:$BO$1005,1,MATCH(COLUMNS($AN$1006:AW1006),$AN$1006:$BO$1006,0))&gt;=100000), " ",IF(INDEX($AN$2:$BO$1001,MATCH(ROWS($AG$2:AG592),$AG$2:$AG$1001,0),MATCH(COLUMNS($AN$1006:AW1006),$AN$1006:$BO$1006,0)), HYPERLINK("#",""), HYPERLINK(CONCATENATE("#Metadata!", ADDRESS(INDEX($AI$2:$AI$1001,MATCH(ROWS($AG$2:AG592),$AG$2:$AG$1001,0),0), INDEX($AN$1004:$BO$1004,1,MATCH(COLUMNS($AN$1006:AW1006),$AN$1006:$BO$1006,0)))),"Fix")))</f>
        <v>0</v>
      </c>
      <c r="L592" s="4">
        <f>IF(OR(INDEX($AH$2:$AH$1001,MATCH(ROWS($AG$2:AG592),$AG$2:$AG$1001,0),1)&gt;=100000,INDEX($AN$1005:$BO$1005,1,MATCH(COLUMNS($AN$1006:AX1006),$AN$1006:$BO$1006,0))&gt;=100000), " ",IF(INDEX($AN$2:$BO$1001,MATCH(ROWS($AG$2:AG592),$AG$2:$AG$1001,0),MATCH(COLUMNS($AN$1006:AX1006),$AN$1006:$BO$1006,0)), HYPERLINK("#",""), HYPERLINK(CONCATENATE("#Metadata!", ADDRESS(INDEX($AI$2:$AI$1001,MATCH(ROWS($AG$2:AG592),$AG$2:$AG$1001,0),0), INDEX($AN$1004:$BO$1004,1,MATCH(COLUMNS($AN$1006:AX1006),$AN$1006:$BO$1006,0)))),"Fix")))</f>
        <v>0</v>
      </c>
      <c r="M592" s="4">
        <f>IF(OR(INDEX($AH$2:$AH$1001,MATCH(ROWS($AG$2:AG592),$AG$2:$AG$1001,0),1)&gt;=100000,INDEX($AN$1005:$BO$1005,1,MATCH(COLUMNS($AN$1006:AY1006),$AN$1006:$BO$1006,0))&gt;=100000), " ",IF(INDEX($AN$2:$BO$1001,MATCH(ROWS($AG$2:AG592),$AG$2:$AG$1001,0),MATCH(COLUMNS($AN$1006:AY1006),$AN$1006:$BO$1006,0)), HYPERLINK("#",""), HYPERLINK(CONCATENATE("#Metadata!", ADDRESS(INDEX($AI$2:$AI$1001,MATCH(ROWS($AG$2:AG592),$AG$2:$AG$1001,0),0), INDEX($AN$1004:$BO$1004,1,MATCH(COLUMNS($AN$1006:AY1006),$AN$1006:$BO$1006,0)))),"Fix")))</f>
        <v>0</v>
      </c>
      <c r="N592" s="4">
        <f>IF(OR(INDEX($AH$2:$AH$1001,MATCH(ROWS($AG$2:AG592),$AG$2:$AG$1001,0),1)&gt;=100000,INDEX($AN$1005:$BO$1005,1,MATCH(COLUMNS($AN$1006:AZ1006),$AN$1006:$BO$1006,0))&gt;=100000), " ",IF(INDEX($AN$2:$BO$1001,MATCH(ROWS($AG$2:AG592),$AG$2:$AG$1001,0),MATCH(COLUMNS($AN$1006:AZ1006),$AN$1006:$BO$1006,0)), HYPERLINK("#",""), HYPERLINK(CONCATENATE("#Metadata!", ADDRESS(INDEX($AI$2:$AI$1001,MATCH(ROWS($AG$2:AG592),$AG$2:$AG$1001,0),0), INDEX($AN$1004:$BO$1004,1,MATCH(COLUMNS($AN$1006:AZ1006),$AN$1006:$BO$1006,0)))),"Fix")))</f>
        <v>0</v>
      </c>
      <c r="O592" s="4">
        <f>IF(OR(INDEX($AH$2:$AH$1001,MATCH(ROWS($AG$2:AG592),$AG$2:$AG$1001,0),1)&gt;=100000,INDEX($AN$1005:$BO$1005,1,MATCH(COLUMNS($AN$1006:BA1006),$AN$1006:$BO$1006,0))&gt;=100000), " ",IF(INDEX($AN$2:$BO$1001,MATCH(ROWS($AG$2:AG592),$AG$2:$AG$1001,0),MATCH(COLUMNS($AN$1006:BA1006),$AN$1006:$BO$1006,0)), HYPERLINK("#",""), HYPERLINK(CONCATENATE("#Metadata!", ADDRESS(INDEX($AI$2:$AI$1001,MATCH(ROWS($AG$2:AG592),$AG$2:$AG$1001,0),0), INDEX($AN$1004:$BO$1004,1,MATCH(COLUMNS($AN$1006:BA1006),$AN$1006:$BO$1006,0)))),"Fix")))</f>
        <v>0</v>
      </c>
      <c r="P592" s="4">
        <f>IF(OR(INDEX($AH$2:$AH$1001,MATCH(ROWS($AG$2:AG592),$AG$2:$AG$1001,0),1)&gt;=100000,INDEX($AN$1005:$BO$1005,1,MATCH(COLUMNS($AN$1006:BB1006),$AN$1006:$BO$1006,0))&gt;=100000), " ",IF(INDEX($AN$2:$BO$1001,MATCH(ROWS($AG$2:AG592),$AG$2:$AG$1001,0),MATCH(COLUMNS($AN$1006:BB1006),$AN$1006:$BO$1006,0)), HYPERLINK("#",""), HYPERLINK(CONCATENATE("#Metadata!", ADDRESS(INDEX($AI$2:$AI$1001,MATCH(ROWS($AG$2:AG592),$AG$2:$AG$1001,0),0), INDEX($AN$1004:$BO$1004,1,MATCH(COLUMNS($AN$1006:BB1006),$AN$1006:$BO$1006,0)))),"Fix")))</f>
        <v>0</v>
      </c>
      <c r="Q592" s="4">
        <f>IF(OR(INDEX($AH$2:$AH$1001,MATCH(ROWS($AG$2:AG592),$AG$2:$AG$1001,0),1)&gt;=100000,INDEX($AN$1005:$BO$1005,1,MATCH(COLUMNS($AN$1006:BC1006),$AN$1006:$BO$1006,0))&gt;=100000), " ",IF(INDEX($AN$2:$BO$1001,MATCH(ROWS($AG$2:AG592),$AG$2:$AG$1001,0),MATCH(COLUMNS($AN$1006:BC1006),$AN$1006:$BO$1006,0)), HYPERLINK("#",""), HYPERLINK(CONCATENATE("#Metadata!", ADDRESS(INDEX($AI$2:$AI$1001,MATCH(ROWS($AG$2:AG592),$AG$2:$AG$1001,0),0), INDEX($AN$1004:$BO$1004,1,MATCH(COLUMNS($AN$1006:BC1006),$AN$1006:$BO$1006,0)))),"Fix")))</f>
        <v>0</v>
      </c>
      <c r="R592" s="4">
        <f>IF(OR(INDEX($AH$2:$AH$1001,MATCH(ROWS($AG$2:AG592),$AG$2:$AG$1001,0),1)&gt;=100000,INDEX($AN$1005:$BO$1005,1,MATCH(COLUMNS($AN$1006:BD1006),$AN$1006:$BO$1006,0))&gt;=100000), " ",IF(INDEX($AN$2:$BO$1001,MATCH(ROWS($AG$2:AG592),$AG$2:$AG$1001,0),MATCH(COLUMNS($AN$1006:BD1006),$AN$1006:$BO$1006,0)), HYPERLINK("#",""), HYPERLINK(CONCATENATE("#Metadata!", ADDRESS(INDEX($AI$2:$AI$1001,MATCH(ROWS($AG$2:AG592),$AG$2:$AG$1001,0),0), INDEX($AN$1004:$BO$1004,1,MATCH(COLUMNS($AN$1006:BD1006),$AN$1006:$BO$1006,0)))),"Fix")))</f>
        <v>0</v>
      </c>
      <c r="S592" s="4">
        <f>IF(OR(INDEX($AH$2:$AH$1001,MATCH(ROWS($AG$2:AG592),$AG$2:$AG$1001,0),1)&gt;=100000,INDEX($AN$1005:$BO$1005,1,MATCH(COLUMNS($AN$1006:BE1006),$AN$1006:$BO$1006,0))&gt;=100000), " ",IF(INDEX($AN$2:$BO$1001,MATCH(ROWS($AG$2:AG592),$AG$2:$AG$1001,0),MATCH(COLUMNS($AN$1006:BE1006),$AN$1006:$BO$1006,0)), HYPERLINK("#",""), HYPERLINK(CONCATENATE("#Metadata!", ADDRESS(INDEX($AI$2:$AI$1001,MATCH(ROWS($AG$2:AG592),$AG$2:$AG$1001,0),0), INDEX($AN$1004:$BO$1004,1,MATCH(COLUMNS($AN$1006:BE1006),$AN$1006:$BO$1006,0)))),"Fix")))</f>
        <v>0</v>
      </c>
      <c r="T592" s="4">
        <f>IF(OR(INDEX($AH$2:$AH$1001,MATCH(ROWS($AG$2:AG592),$AG$2:$AG$1001,0),1)&gt;=100000,INDEX($AN$1005:$BO$1005,1,MATCH(COLUMNS($AN$1006:BF1006),$AN$1006:$BO$1006,0))&gt;=100000), " ",IF(INDEX($AN$2:$BO$1001,MATCH(ROWS($AG$2:AG592),$AG$2:$AG$1001,0),MATCH(COLUMNS($AN$1006:BF1006),$AN$1006:$BO$1006,0)), HYPERLINK("#",""), HYPERLINK(CONCATENATE("#Metadata!", ADDRESS(INDEX($AI$2:$AI$1001,MATCH(ROWS($AG$2:AG592),$AG$2:$AG$1001,0),0), INDEX($AN$1004:$BO$1004,1,MATCH(COLUMNS($AN$1006:BF1006),$AN$1006:$BO$1006,0)))),"Fix")))</f>
        <v>0</v>
      </c>
      <c r="U592" s="4">
        <f>IF(OR(INDEX($AH$2:$AH$1001,MATCH(ROWS($AG$2:AG592),$AG$2:$AG$1001,0),1)&gt;=100000,INDEX($AN$1005:$BO$1005,1,MATCH(COLUMNS($AN$1006:BG1006),$AN$1006:$BO$1006,0))&gt;=100000), " ",IF(INDEX($AN$2:$BO$1001,MATCH(ROWS($AG$2:AG592),$AG$2:$AG$1001,0),MATCH(COLUMNS($AN$1006:BG1006),$AN$1006:$BO$1006,0)), HYPERLINK("#",""), HYPERLINK(CONCATENATE("#Metadata!", ADDRESS(INDEX($AI$2:$AI$1001,MATCH(ROWS($AG$2:AG592),$AG$2:$AG$1001,0),0), INDEX($AN$1004:$BO$1004,1,MATCH(COLUMNS($AN$1006:BG1006),$AN$1006:$BO$1006,0)))),"Fix")))</f>
        <v>0</v>
      </c>
      <c r="V592" s="4">
        <f>IF(OR(INDEX($AH$2:$AH$1001,MATCH(ROWS($AG$2:AG592),$AG$2:$AG$1001,0),1)&gt;=100000,INDEX($AN$1005:$BO$1005,1,MATCH(COLUMNS($AN$1006:BH1006),$AN$1006:$BO$1006,0))&gt;=100000), " ",IF(INDEX($AN$2:$BO$1001,MATCH(ROWS($AG$2:AG592),$AG$2:$AG$1001,0),MATCH(COLUMNS($AN$1006:BH1006),$AN$1006:$BO$1006,0)), HYPERLINK("#",""), HYPERLINK(CONCATENATE("#Metadata!", ADDRESS(INDEX($AI$2:$AI$1001,MATCH(ROWS($AG$2:AG592),$AG$2:$AG$1001,0),0), INDEX($AN$1004:$BO$1004,1,MATCH(COLUMNS($AN$1006:BH1006),$AN$1006:$BO$1006,0)))),"Fix")))</f>
        <v>0</v>
      </c>
      <c r="W592" s="4">
        <f>IF(OR(INDEX($AH$2:$AH$1001,MATCH(ROWS($AG$2:AG592),$AG$2:$AG$1001,0),1)&gt;=100000,INDEX($AN$1005:$BO$1005,1,MATCH(COLUMNS($AN$1006:BI1006),$AN$1006:$BO$1006,0))&gt;=100000), " ",IF(INDEX($AN$2:$BO$1001,MATCH(ROWS($AG$2:AG592),$AG$2:$AG$1001,0),MATCH(COLUMNS($AN$1006:BI1006),$AN$1006:$BO$1006,0)), HYPERLINK("#",""), HYPERLINK(CONCATENATE("#Metadata!", ADDRESS(INDEX($AI$2:$AI$1001,MATCH(ROWS($AG$2:AG592),$AG$2:$AG$1001,0),0), INDEX($AN$1004:$BO$1004,1,MATCH(COLUMNS($AN$1006:BI1006),$AN$1006:$BO$1006,0)))),"Fix")))</f>
        <v>0</v>
      </c>
      <c r="X592" s="4">
        <f>IF(OR(INDEX($AH$2:$AH$1001,MATCH(ROWS($AG$2:AG592),$AG$2:$AG$1001,0),1)&gt;=100000,INDEX($AN$1005:$BO$1005,1,MATCH(COLUMNS($AN$1006:BJ1006),$AN$1006:$BO$1006,0))&gt;=100000), " ",IF(INDEX($AN$2:$BO$1001,MATCH(ROWS($AG$2:AG592),$AG$2:$AG$1001,0),MATCH(COLUMNS($AN$1006:BJ1006),$AN$1006:$BO$1006,0)), HYPERLINK("#",""), HYPERLINK(CONCATENATE("#Metadata!", ADDRESS(INDEX($AI$2:$AI$1001,MATCH(ROWS($AG$2:AG592),$AG$2:$AG$1001,0),0), INDEX($AN$1004:$BO$1004,1,MATCH(COLUMNS($AN$1006:BJ1006),$AN$1006:$BO$1006,0)))),"Fix")))</f>
        <v>0</v>
      </c>
      <c r="Y592" s="4">
        <f>IF(OR(INDEX($AH$2:$AH$1001,MATCH(ROWS($AG$2:AG592),$AG$2:$AG$1001,0),1)&gt;=100000,INDEX($AN$1005:$BO$1005,1,MATCH(COLUMNS($AN$1006:BK1006),$AN$1006:$BO$1006,0))&gt;=100000), " ",IF(INDEX($AN$2:$BO$1001,MATCH(ROWS($AG$2:AG592),$AG$2:$AG$1001,0),MATCH(COLUMNS($AN$1006:BK1006),$AN$1006:$BO$1006,0)), HYPERLINK("#",""), HYPERLINK(CONCATENATE("#Metadata!", ADDRESS(INDEX($AI$2:$AI$1001,MATCH(ROWS($AG$2:AG592),$AG$2:$AG$1001,0),0), INDEX($AN$1004:$BO$1004,1,MATCH(COLUMNS($AN$1006:BK1006),$AN$1006:$BO$1006,0)))),"Fix")))</f>
        <v>0</v>
      </c>
      <c r="Z592" s="4">
        <f>IF(OR(INDEX($AH$2:$AH$1001,MATCH(ROWS($AG$2:AG592),$AG$2:$AG$1001,0),1)&gt;=100000,INDEX($AN$1005:$BO$1005,1,MATCH(COLUMNS($AN$1006:BL1006),$AN$1006:$BO$1006,0))&gt;=100000), " ",IF(INDEX($AN$2:$BO$1001,MATCH(ROWS($AG$2:AG592),$AG$2:$AG$1001,0),MATCH(COLUMNS($AN$1006:BL1006),$AN$1006:$BO$1006,0)), HYPERLINK("#",""), HYPERLINK(CONCATENATE("#Metadata!", ADDRESS(INDEX($AI$2:$AI$1001,MATCH(ROWS($AG$2:AG592),$AG$2:$AG$1001,0),0), INDEX($AN$1004:$BO$1004,1,MATCH(COLUMNS($AN$1006:BL1006),$AN$1006:$BO$1006,0)))),"Fix")))</f>
        <v>0</v>
      </c>
      <c r="AA592" s="4">
        <f>IF(OR(INDEX($AH$2:$AH$1001,MATCH(ROWS($AG$2:AG592),$AG$2:$AG$1001,0),1)&gt;=100000,INDEX($AN$1005:$BO$1005,1,MATCH(COLUMNS($AN$1006:BM1006),$AN$1006:$BO$1006,0))&gt;=100000), " ",IF(INDEX($AN$2:$BO$1001,MATCH(ROWS($AG$2:AG592),$AG$2:$AG$1001,0),MATCH(COLUMNS($AN$1006:BM1006),$AN$1006:$BO$1006,0)), HYPERLINK("#",""), HYPERLINK(CONCATENATE("#Metadata!", ADDRESS(INDEX($AI$2:$AI$1001,MATCH(ROWS($AG$2:AG592),$AG$2:$AG$1001,0),0), INDEX($AN$1004:$BO$1004,1,MATCH(COLUMNS($AN$1006:BM1006),$AN$1006:$BO$1006,0)))),"Fix")))</f>
        <v>0</v>
      </c>
      <c r="AB592" s="4">
        <f>IF(OR(INDEX($AH$2:$AH$1001,MATCH(ROWS($AG$2:AG592),$AG$2:$AG$1001,0),1)&gt;=100000,INDEX($AN$1005:$BO$1005,1,MATCH(COLUMNS($AN$1006:BN1006),$AN$1006:$BO$1006,0))&gt;=100000), " ",IF(INDEX($AN$2:$BO$1001,MATCH(ROWS($AG$2:AG592),$AG$2:$AG$1001,0),MATCH(COLUMNS($AN$1006:BN1006),$AN$1006:$BO$1006,0)), HYPERLINK("#",""), HYPERLINK(CONCATENATE("#Metadata!", ADDRESS(INDEX($AI$2:$AI$1001,MATCH(ROWS($AG$2:AG592),$AG$2:$AG$1001,0),0), INDEX($AN$1004:$BO$1004,1,MATCH(COLUMNS($AN$1006:BN1006),$AN$1006:$BO$1006,0)))),"Fix")))</f>
        <v>0</v>
      </c>
      <c r="AC592" s="4">
        <f>IF(OR(INDEX($AH$2:$AH$1001,MATCH(ROWS($AG$2:AG592),$AG$2:$AG$1001,0),1)&gt;=100000,INDEX($AN$1005:$BO$1005,1,MATCH(COLUMNS($AN$1006:BO1006),$AN$1006:$BO$1006,0))&gt;=100000), " ",IF(INDEX($AN$2:$BO$1001,MATCH(ROWS($AG$2:AG592),$AG$2:$AG$1001,0),MATCH(COLUMNS($AN$1006:BO1006),$AN$1006:$BO$1006,0)), HYPERLINK("#",""), HYPERLINK(CONCATENATE("#Metadata!", ADDRESS(INDEX($AI$2:$AI$1001,MATCH(ROWS($AG$2:AG592),$AG$2:$AG$1001,0),0), INDEX($AN$1004:$BO$1004,1,MATCH(COLUMNS($AN$1006:BO1006),$AN$1006:$BO$1006,0)))),"Fix")))</f>
        <v>0</v>
      </c>
      <c r="AG592">
        <v>0</v>
      </c>
      <c r="AH592">
        <v>0</v>
      </c>
      <c r="AI592">
        <v>0</v>
      </c>
      <c r="AJ592">
        <f>IF(AK592,TRUE,AND(AN592:BO592))</f>
        <v>0</v>
      </c>
      <c r="AK592">
        <f>COUNTBLANK(Metadata!B592:AC592)=COLUMNS(Metadata!B592:AC592)</f>
        <v>0</v>
      </c>
      <c r="AL592">
        <v>0</v>
      </c>
      <c r="AN592">
        <f>AND(IF(Metadata!B592="",FALSE,TRUE),COUNTIF(Metadata!B:B, Metadata!B592) = 1,NOT(ISERROR(SUMPRODUCT(SEARCH(MID(Metadata!B592,ROW(INDIRECT("1:"&amp;LEN(Metadata!B592))), 1),"0123456789abcdefghijklmnopqrstuvwxyzABCDEFGHIJKLMNOPQRSTUVWXYZ.")))))</f>
        <v>0</v>
      </c>
      <c r="AO592">
        <f>IF(Metadata!C592="",FALSE,TRUE)</f>
        <v>0</v>
      </c>
      <c r="AP592">
        <f>IF(Metadata!D592="",FALSE,TRUE)</f>
        <v>0</v>
      </c>
      <c r="AQ592">
        <f>OR(AND(IF(Metadata!E592="",FALSE,TRUE),OR(exact(Metadata!E592,"not collected"),exact(Metadata!E592,"not provided"),exact(Metadata!E592,"restricted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R592">
        <f>IF(Metadata!F592="",FALSE,TRUE)</f>
        <v>0</v>
      </c>
      <c r="AS592">
        <f>OR(AND(IF(Metadata!G592="",FALSE,TRUE),OR(exact(Metadata!G592,"not collected"),exact(Metadata!G592,"not provided"))),AND(IF(Metadata!G592="",FALSE,TRUE),OR(exact(Metadata!G592,"TRUE"),exact(Metadata!G592,"FALSE"))))</f>
        <v>0</v>
      </c>
      <c r="AT592">
        <f>OR(AND(IF(Metadata!H592="",FALSE,TRUE),OR(exact(Metadata!H592,"not collected"),exact(Metadata!H592,"not provided"),exact(Metadata!H592,"restricted access"))),AND(IF(Metadata!H592="",FALSE,ISNUMBER(VALUE(Metadata!H592))),Metadata!H592&gt;=-413.0))</f>
        <v>0</v>
      </c>
      <c r="AU592">
        <f>AND(IF(Metadata!I592="",FALSE,TRUE),exact(Metadata!I592,"meters"))</f>
        <v>0</v>
      </c>
      <c r="AV592">
        <f>AND(IF(Metadata!J592="",FALSE,TRUE),OR(exact(Metadata!J592,"Host-associated"),exact(Metadata!J592,"Free-living")))</f>
        <v>0</v>
      </c>
      <c r="AW592">
        <f>AND(IF(Metadata!K592="",FALSE,TRUE),OR(exact(Metadata!K592,"Animal"),exact(Metadata!K592,"Fungus"),exact(Metadata!K592,"Plant"),exact(Metadata!K592,"Saline"),exact(Metadata!K592,"Non-saline")))</f>
        <v>0</v>
      </c>
      <c r="AX592">
        <f>AND(IF(Metadata!L592="",FALSE,TRUE),OR(exact(Metadata!L592,"Plant secretion"),exact(Metadata!L592,"Plant rhizosphere"),exact(Metadata!L592,"Plant surface"),exact(Metadata!L592,"Plant corpus"),exact(Metadata!L592,"Fungus surface"),exact(Metadata!L592,"Fungus corpus"),exact(Metadata!L592,"Animal surface"),exact(Metadata!L592,"Animal proximal gut"),exact(Metadata!L592,"Animal corpus"),exact(Metadata!L592,"Animal distal gut"),exact(Metadata!L592,"Animal secretion"),exact(Metadata!L592,"Sub-surface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Y592">
        <f>IF(Metadata!M592="",FALSE,TRUE)</f>
        <v>0</v>
      </c>
      <c r="AZ592">
        <f>IF(Metadata!N592="",FALSE,TRUE)</f>
        <v>0</v>
      </c>
      <c r="BA592">
        <f>IF(Metadata!O592="",FALSE,TRUE)</f>
        <v>0</v>
      </c>
      <c r="BB592">
        <f>OR(AND(IF(Metadata!P592="",FALSE,TRUE),OR(exact(Metadata!P592,"not collected"),exact(Metadata!P592,"not provided"),exact(Metadata!P592,"restricted access"))),AND(IF(Metadata!P592="",FALSE,TRUE),OR(exact(Metadata!P592,"air"),exact(Metadata!P592,"built environment"),exact(Metadata!P592,"host-associated"),exact(Metadata!P592,"human-associated"),exact(Metadata!P592,"human-skin"),exact(Metadata!P592,"human-oral"),exact(Metadata!P592,"human-gut"),exact(Metadata!P592,"human-vaginal"),exact(Metadata!P592,"microbial mat/biofilm"),exact(Metadata!P592,"misc environment"),exact(Metadata!P592,"plant-associated"),exact(Metadata!P592,"sediment"),exact(Metadata!P592,"soil"),exact(Metadata!P592,"wastewater/sludge"),exact(Metadata!P592,"water"))))</f>
        <v>0</v>
      </c>
      <c r="BC592">
        <f>IF(Metadata!Q592="",FALSE,TRUE)</f>
        <v>0</v>
      </c>
      <c r="BD592">
        <f>IF(Metadata!R592="",FALSE,TRUE)</f>
        <v>0</v>
      </c>
      <c r="BE592">
        <f>OR(AND(IF(Metadata!S592="",FALSE,TRUE),OR(exact(Metadata!S592,"not collected"),exact(Metadata!S592,"not provided"),exact(Metadata!S592,"restricted access"))),AND(IF(Metadata!S592="",FALSE,ISNUMBER(VALUE(Metadata!S592))),Metadata!S592&gt;=-90.00,Metadata!S592&lt;=90.00))</f>
        <v>0</v>
      </c>
      <c r="BF592">
        <f>AND(IF(Metadata!T592="",FALSE,TRUE),exact(Metadata!T592,"Decimal degrees"))</f>
        <v>0</v>
      </c>
      <c r="BG592">
        <f>OR(AND(IF(Metadata!U592="",FALSE,TRUE),OR(exact(Metadata!U592,"not collected"),exact(Metadata!U592,"not provided"),exact(Metadata!U592,"restricted access"))),AND(IF(Metadata!U592="",FALSE,ISNUMBER(VALUE(Metadata!U592))),Metadata!U592&gt;=-180.00,Metadata!U592&lt;=180.00))</f>
        <v>0</v>
      </c>
      <c r="BH592">
        <f>AND(IF(Metadata!V592="",FALSE,TRUE),exact(Metadata!V592,"Decimal degrees"))</f>
        <v>0</v>
      </c>
      <c r="BI592">
        <f>IF(Metadata!W592="",FALSE,TRUE)</f>
        <v>0</v>
      </c>
      <c r="BJ592">
        <f>OR(AND(IF(Metadata!X592="",FALSE,TRUE),OR(exact(Metadata!X592,"not collected"),exact(Metadata!X592,"not provided"),exact(Metadata!X592,"restricted access"))),AND(IF(Metadata!X592="",FALSE,TRUE),OR(exact(Metadata!X592,"TRUE"),exact(Metadata!X592,"FALSE"))))</f>
        <v>0</v>
      </c>
      <c r="BK592">
        <f>AND(IF(Metadata!Y592="",FALSE,TRUE),exact(Metadata!Y592,"other"))</f>
        <v>0</v>
      </c>
      <c r="BL592">
        <f>IF(Metadata!Z592="",FALSE,TRUE)</f>
        <v>0</v>
      </c>
      <c r="BM592">
        <f>OR(AND(IF(Metadata!AA592="",FALSE,TRUE),OR(exact(Metadata!AA592,"not collected"),exact(Metadata!AA592,"not provided"))),AND(IF(Metadata!AA592="",FALSE,IF(ISERROR(INT(Metadata!AA592)),FALSE,INT(Metadata!AA592)=Metadata!AA592)),Metadata!AA592&gt;0))</f>
        <v>0</v>
      </c>
      <c r="BN592">
        <f>AND(IF(Metadata!AB592="",FALSE,TRUE),exact(Metadata!AB592,"Not applicable"))</f>
        <v>0</v>
      </c>
      <c r="BO592">
        <f>IF(Metadata!AC592="",FALSE,TRUE)</f>
        <v>0</v>
      </c>
    </row>
    <row r="593" spans="1:67">
      <c r="A593" s="5">
        <f>IF(B593=" "," ",HYPERLINK(CONCATENATE("#metadata!",ADDRESS(INDEX($AI$2:$AI$1001,MATCH(ROWS($AG$2:AG593),$AG$2:$AG$1001,0),0),1)),INDEX($AL$2:$AL$1001,MATCH(ROWS($AG$2:AG593),$AG$2:$AG$1001,0),0)))</f>
        <v>0</v>
      </c>
      <c r="B593" s="4">
        <f>IF(OR(INDEX($AH$2:$AH$1001,MATCH(ROWS($AG$2:AG593),$AG$2:$AG$1001,0),1)&gt;=100000,INDEX($AN$1005:$BO$1005,1,MATCH(COLUMNS($AN$1006:AN1006),$AN$1006:$BO$1006,0))&gt;=100000), " ",IF(INDEX($AN$2:$BO$1001,MATCH(ROWS($AG$2:AG593),$AG$2:$AG$1001,0),MATCH(COLUMNS($AN$1006:AN1006),$AN$1006:$BO$1006,0)), HYPERLINK("#",""), HYPERLINK(CONCATENATE("#Metadata!", ADDRESS(INDEX($AI$2:$AI$1001,MATCH(ROWS($AG$2:AG593),$AG$2:$AG$1001,0),0), INDEX($AN$1004:$BO$1004,1,MATCH(COLUMNS($AN$1006:AN1006),$AN$1006:$BO$1006,0)))),"Fix")))</f>
        <v>0</v>
      </c>
      <c r="C593" s="4">
        <f>IF(OR(INDEX($AH$2:$AH$1001,MATCH(ROWS($AG$2:AG593),$AG$2:$AG$1001,0),1)&gt;=100000,INDEX($AN$1005:$BO$1005,1,MATCH(COLUMNS($AN$1006:AO1006),$AN$1006:$BO$1006,0))&gt;=100000), " ",IF(INDEX($AN$2:$BO$1001,MATCH(ROWS($AG$2:AG593),$AG$2:$AG$1001,0),MATCH(COLUMNS($AN$1006:AO1006),$AN$1006:$BO$1006,0)), HYPERLINK("#",""), HYPERLINK(CONCATENATE("#Metadata!", ADDRESS(INDEX($AI$2:$AI$1001,MATCH(ROWS($AG$2:AG593),$AG$2:$AG$1001,0),0), INDEX($AN$1004:$BO$1004,1,MATCH(COLUMNS($AN$1006:AO1006),$AN$1006:$BO$1006,0)))),"Fix")))</f>
        <v>0</v>
      </c>
      <c r="D593" s="4">
        <f>IF(OR(INDEX($AH$2:$AH$1001,MATCH(ROWS($AG$2:AG593),$AG$2:$AG$1001,0),1)&gt;=100000,INDEX($AN$1005:$BO$1005,1,MATCH(COLUMNS($AN$1006:AP1006),$AN$1006:$BO$1006,0))&gt;=100000), " ",IF(INDEX($AN$2:$BO$1001,MATCH(ROWS($AG$2:AG593),$AG$2:$AG$1001,0),MATCH(COLUMNS($AN$1006:AP1006),$AN$1006:$BO$1006,0)), HYPERLINK("#",""), HYPERLINK(CONCATENATE("#Metadata!", ADDRESS(INDEX($AI$2:$AI$1001,MATCH(ROWS($AG$2:AG593),$AG$2:$AG$1001,0),0), INDEX($AN$1004:$BO$1004,1,MATCH(COLUMNS($AN$1006:AP1006),$AN$1006:$BO$1006,0)))),"Fix")))</f>
        <v>0</v>
      </c>
      <c r="E593" s="4">
        <f>IF(OR(INDEX($AH$2:$AH$1001,MATCH(ROWS($AG$2:AG593),$AG$2:$AG$1001,0),1)&gt;=100000,INDEX($AN$1005:$BO$1005,1,MATCH(COLUMNS($AN$1006:AQ1006),$AN$1006:$BO$1006,0))&gt;=100000), " ",IF(INDEX($AN$2:$BO$1001,MATCH(ROWS($AG$2:AG593),$AG$2:$AG$1001,0),MATCH(COLUMNS($AN$1006:AQ1006),$AN$1006:$BO$1006,0)), HYPERLINK("#",""), HYPERLINK(CONCATENATE("#Metadata!", ADDRESS(INDEX($AI$2:$AI$1001,MATCH(ROWS($AG$2:AG593),$AG$2:$AG$1001,0),0), INDEX($AN$1004:$BO$1004,1,MATCH(COLUMNS($AN$1006:AQ1006),$AN$1006:$BO$1006,0)))),"Fix")))</f>
        <v>0</v>
      </c>
      <c r="F593" s="4">
        <f>IF(OR(INDEX($AH$2:$AH$1001,MATCH(ROWS($AG$2:AG593),$AG$2:$AG$1001,0),1)&gt;=100000,INDEX($AN$1005:$BO$1005,1,MATCH(COLUMNS($AN$1006:AR1006),$AN$1006:$BO$1006,0))&gt;=100000), " ",IF(INDEX($AN$2:$BO$1001,MATCH(ROWS($AG$2:AG593),$AG$2:$AG$1001,0),MATCH(COLUMNS($AN$1006:AR1006),$AN$1006:$BO$1006,0)), HYPERLINK("#",""), HYPERLINK(CONCATENATE("#Metadata!", ADDRESS(INDEX($AI$2:$AI$1001,MATCH(ROWS($AG$2:AG593),$AG$2:$AG$1001,0),0), INDEX($AN$1004:$BO$1004,1,MATCH(COLUMNS($AN$1006:AR1006),$AN$1006:$BO$1006,0)))),"Fix")))</f>
        <v>0</v>
      </c>
      <c r="G593" s="4">
        <f>IF(OR(INDEX($AH$2:$AH$1001,MATCH(ROWS($AG$2:AG593),$AG$2:$AG$1001,0),1)&gt;=100000,INDEX($AN$1005:$BO$1005,1,MATCH(COLUMNS($AN$1006:AS1006),$AN$1006:$BO$1006,0))&gt;=100000), " ",IF(INDEX($AN$2:$BO$1001,MATCH(ROWS($AG$2:AG593),$AG$2:$AG$1001,0),MATCH(COLUMNS($AN$1006:AS1006),$AN$1006:$BO$1006,0)), HYPERLINK("#",""), HYPERLINK(CONCATENATE("#Metadata!", ADDRESS(INDEX($AI$2:$AI$1001,MATCH(ROWS($AG$2:AG593),$AG$2:$AG$1001,0),0), INDEX($AN$1004:$BO$1004,1,MATCH(COLUMNS($AN$1006:AS1006),$AN$1006:$BO$1006,0)))),"Fix")))</f>
        <v>0</v>
      </c>
      <c r="H593" s="4">
        <f>IF(OR(INDEX($AH$2:$AH$1001,MATCH(ROWS($AG$2:AG593),$AG$2:$AG$1001,0),1)&gt;=100000,INDEX($AN$1005:$BO$1005,1,MATCH(COLUMNS($AN$1006:AT1006),$AN$1006:$BO$1006,0))&gt;=100000), " ",IF(INDEX($AN$2:$BO$1001,MATCH(ROWS($AG$2:AG593),$AG$2:$AG$1001,0),MATCH(COLUMNS($AN$1006:AT1006),$AN$1006:$BO$1006,0)), HYPERLINK("#",""), HYPERLINK(CONCATENATE("#Metadata!", ADDRESS(INDEX($AI$2:$AI$1001,MATCH(ROWS($AG$2:AG593),$AG$2:$AG$1001,0),0), INDEX($AN$1004:$BO$1004,1,MATCH(COLUMNS($AN$1006:AT1006),$AN$1006:$BO$1006,0)))),"Fix")))</f>
        <v>0</v>
      </c>
      <c r="I593" s="4">
        <f>IF(OR(INDEX($AH$2:$AH$1001,MATCH(ROWS($AG$2:AG593),$AG$2:$AG$1001,0),1)&gt;=100000,INDEX($AN$1005:$BO$1005,1,MATCH(COLUMNS($AN$1006:AU1006),$AN$1006:$BO$1006,0))&gt;=100000), " ",IF(INDEX($AN$2:$BO$1001,MATCH(ROWS($AG$2:AG593),$AG$2:$AG$1001,0),MATCH(COLUMNS($AN$1006:AU1006),$AN$1006:$BO$1006,0)), HYPERLINK("#",""), HYPERLINK(CONCATENATE("#Metadata!", ADDRESS(INDEX($AI$2:$AI$1001,MATCH(ROWS($AG$2:AG593),$AG$2:$AG$1001,0),0), INDEX($AN$1004:$BO$1004,1,MATCH(COLUMNS($AN$1006:AU1006),$AN$1006:$BO$1006,0)))),"Fix")))</f>
        <v>0</v>
      </c>
      <c r="J593" s="4">
        <f>IF(OR(INDEX($AH$2:$AH$1001,MATCH(ROWS($AG$2:AG593),$AG$2:$AG$1001,0),1)&gt;=100000,INDEX($AN$1005:$BO$1005,1,MATCH(COLUMNS($AN$1006:AV1006),$AN$1006:$BO$1006,0))&gt;=100000), " ",IF(INDEX($AN$2:$BO$1001,MATCH(ROWS($AG$2:AG593),$AG$2:$AG$1001,0),MATCH(COLUMNS($AN$1006:AV1006),$AN$1006:$BO$1006,0)), HYPERLINK("#",""), HYPERLINK(CONCATENATE("#Metadata!", ADDRESS(INDEX($AI$2:$AI$1001,MATCH(ROWS($AG$2:AG593),$AG$2:$AG$1001,0),0), INDEX($AN$1004:$BO$1004,1,MATCH(COLUMNS($AN$1006:AV1006),$AN$1006:$BO$1006,0)))),"Fix")))</f>
        <v>0</v>
      </c>
      <c r="K593" s="4">
        <f>IF(OR(INDEX($AH$2:$AH$1001,MATCH(ROWS($AG$2:AG593),$AG$2:$AG$1001,0),1)&gt;=100000,INDEX($AN$1005:$BO$1005,1,MATCH(COLUMNS($AN$1006:AW1006),$AN$1006:$BO$1006,0))&gt;=100000), " ",IF(INDEX($AN$2:$BO$1001,MATCH(ROWS($AG$2:AG593),$AG$2:$AG$1001,0),MATCH(COLUMNS($AN$1006:AW1006),$AN$1006:$BO$1006,0)), HYPERLINK("#",""), HYPERLINK(CONCATENATE("#Metadata!", ADDRESS(INDEX($AI$2:$AI$1001,MATCH(ROWS($AG$2:AG593),$AG$2:$AG$1001,0),0), INDEX($AN$1004:$BO$1004,1,MATCH(COLUMNS($AN$1006:AW1006),$AN$1006:$BO$1006,0)))),"Fix")))</f>
        <v>0</v>
      </c>
      <c r="L593" s="4">
        <f>IF(OR(INDEX($AH$2:$AH$1001,MATCH(ROWS($AG$2:AG593),$AG$2:$AG$1001,0),1)&gt;=100000,INDEX($AN$1005:$BO$1005,1,MATCH(COLUMNS($AN$1006:AX1006),$AN$1006:$BO$1006,0))&gt;=100000), " ",IF(INDEX($AN$2:$BO$1001,MATCH(ROWS($AG$2:AG593),$AG$2:$AG$1001,0),MATCH(COLUMNS($AN$1006:AX1006),$AN$1006:$BO$1006,0)), HYPERLINK("#",""), HYPERLINK(CONCATENATE("#Metadata!", ADDRESS(INDEX($AI$2:$AI$1001,MATCH(ROWS($AG$2:AG593),$AG$2:$AG$1001,0),0), INDEX($AN$1004:$BO$1004,1,MATCH(COLUMNS($AN$1006:AX1006),$AN$1006:$BO$1006,0)))),"Fix")))</f>
        <v>0</v>
      </c>
      <c r="M593" s="4">
        <f>IF(OR(INDEX($AH$2:$AH$1001,MATCH(ROWS($AG$2:AG593),$AG$2:$AG$1001,0),1)&gt;=100000,INDEX($AN$1005:$BO$1005,1,MATCH(COLUMNS($AN$1006:AY1006),$AN$1006:$BO$1006,0))&gt;=100000), " ",IF(INDEX($AN$2:$BO$1001,MATCH(ROWS($AG$2:AG593),$AG$2:$AG$1001,0),MATCH(COLUMNS($AN$1006:AY1006),$AN$1006:$BO$1006,0)), HYPERLINK("#",""), HYPERLINK(CONCATENATE("#Metadata!", ADDRESS(INDEX($AI$2:$AI$1001,MATCH(ROWS($AG$2:AG593),$AG$2:$AG$1001,0),0), INDEX($AN$1004:$BO$1004,1,MATCH(COLUMNS($AN$1006:AY1006),$AN$1006:$BO$1006,0)))),"Fix")))</f>
        <v>0</v>
      </c>
      <c r="N593" s="4">
        <f>IF(OR(INDEX($AH$2:$AH$1001,MATCH(ROWS($AG$2:AG593),$AG$2:$AG$1001,0),1)&gt;=100000,INDEX($AN$1005:$BO$1005,1,MATCH(COLUMNS($AN$1006:AZ1006),$AN$1006:$BO$1006,0))&gt;=100000), " ",IF(INDEX($AN$2:$BO$1001,MATCH(ROWS($AG$2:AG593),$AG$2:$AG$1001,0),MATCH(COLUMNS($AN$1006:AZ1006),$AN$1006:$BO$1006,0)), HYPERLINK("#",""), HYPERLINK(CONCATENATE("#Metadata!", ADDRESS(INDEX($AI$2:$AI$1001,MATCH(ROWS($AG$2:AG593),$AG$2:$AG$1001,0),0), INDEX($AN$1004:$BO$1004,1,MATCH(COLUMNS($AN$1006:AZ1006),$AN$1006:$BO$1006,0)))),"Fix")))</f>
        <v>0</v>
      </c>
      <c r="O593" s="4">
        <f>IF(OR(INDEX($AH$2:$AH$1001,MATCH(ROWS($AG$2:AG593),$AG$2:$AG$1001,0),1)&gt;=100000,INDEX($AN$1005:$BO$1005,1,MATCH(COLUMNS($AN$1006:BA1006),$AN$1006:$BO$1006,0))&gt;=100000), " ",IF(INDEX($AN$2:$BO$1001,MATCH(ROWS($AG$2:AG593),$AG$2:$AG$1001,0),MATCH(COLUMNS($AN$1006:BA1006),$AN$1006:$BO$1006,0)), HYPERLINK("#",""), HYPERLINK(CONCATENATE("#Metadata!", ADDRESS(INDEX($AI$2:$AI$1001,MATCH(ROWS($AG$2:AG593),$AG$2:$AG$1001,0),0), INDEX($AN$1004:$BO$1004,1,MATCH(COLUMNS($AN$1006:BA1006),$AN$1006:$BO$1006,0)))),"Fix")))</f>
        <v>0</v>
      </c>
      <c r="P593" s="4">
        <f>IF(OR(INDEX($AH$2:$AH$1001,MATCH(ROWS($AG$2:AG593),$AG$2:$AG$1001,0),1)&gt;=100000,INDEX($AN$1005:$BO$1005,1,MATCH(COLUMNS($AN$1006:BB1006),$AN$1006:$BO$1006,0))&gt;=100000), " ",IF(INDEX($AN$2:$BO$1001,MATCH(ROWS($AG$2:AG593),$AG$2:$AG$1001,0),MATCH(COLUMNS($AN$1006:BB1006),$AN$1006:$BO$1006,0)), HYPERLINK("#",""), HYPERLINK(CONCATENATE("#Metadata!", ADDRESS(INDEX($AI$2:$AI$1001,MATCH(ROWS($AG$2:AG593),$AG$2:$AG$1001,0),0), INDEX($AN$1004:$BO$1004,1,MATCH(COLUMNS($AN$1006:BB1006),$AN$1006:$BO$1006,0)))),"Fix")))</f>
        <v>0</v>
      </c>
      <c r="Q593" s="4">
        <f>IF(OR(INDEX($AH$2:$AH$1001,MATCH(ROWS($AG$2:AG593),$AG$2:$AG$1001,0),1)&gt;=100000,INDEX($AN$1005:$BO$1005,1,MATCH(COLUMNS($AN$1006:BC1006),$AN$1006:$BO$1006,0))&gt;=100000), " ",IF(INDEX($AN$2:$BO$1001,MATCH(ROWS($AG$2:AG593),$AG$2:$AG$1001,0),MATCH(COLUMNS($AN$1006:BC1006),$AN$1006:$BO$1006,0)), HYPERLINK("#",""), HYPERLINK(CONCATENATE("#Metadata!", ADDRESS(INDEX($AI$2:$AI$1001,MATCH(ROWS($AG$2:AG593),$AG$2:$AG$1001,0),0), INDEX($AN$1004:$BO$1004,1,MATCH(COLUMNS($AN$1006:BC1006),$AN$1006:$BO$1006,0)))),"Fix")))</f>
        <v>0</v>
      </c>
      <c r="R593" s="4">
        <f>IF(OR(INDEX($AH$2:$AH$1001,MATCH(ROWS($AG$2:AG593),$AG$2:$AG$1001,0),1)&gt;=100000,INDEX($AN$1005:$BO$1005,1,MATCH(COLUMNS($AN$1006:BD1006),$AN$1006:$BO$1006,0))&gt;=100000), " ",IF(INDEX($AN$2:$BO$1001,MATCH(ROWS($AG$2:AG593),$AG$2:$AG$1001,0),MATCH(COLUMNS($AN$1006:BD1006),$AN$1006:$BO$1006,0)), HYPERLINK("#",""), HYPERLINK(CONCATENATE("#Metadata!", ADDRESS(INDEX($AI$2:$AI$1001,MATCH(ROWS($AG$2:AG593),$AG$2:$AG$1001,0),0), INDEX($AN$1004:$BO$1004,1,MATCH(COLUMNS($AN$1006:BD1006),$AN$1006:$BO$1006,0)))),"Fix")))</f>
        <v>0</v>
      </c>
      <c r="S593" s="4">
        <f>IF(OR(INDEX($AH$2:$AH$1001,MATCH(ROWS($AG$2:AG593),$AG$2:$AG$1001,0),1)&gt;=100000,INDEX($AN$1005:$BO$1005,1,MATCH(COLUMNS($AN$1006:BE1006),$AN$1006:$BO$1006,0))&gt;=100000), " ",IF(INDEX($AN$2:$BO$1001,MATCH(ROWS($AG$2:AG593),$AG$2:$AG$1001,0),MATCH(COLUMNS($AN$1006:BE1006),$AN$1006:$BO$1006,0)), HYPERLINK("#",""), HYPERLINK(CONCATENATE("#Metadata!", ADDRESS(INDEX($AI$2:$AI$1001,MATCH(ROWS($AG$2:AG593),$AG$2:$AG$1001,0),0), INDEX($AN$1004:$BO$1004,1,MATCH(COLUMNS($AN$1006:BE1006),$AN$1006:$BO$1006,0)))),"Fix")))</f>
        <v>0</v>
      </c>
      <c r="T593" s="4">
        <f>IF(OR(INDEX($AH$2:$AH$1001,MATCH(ROWS($AG$2:AG593),$AG$2:$AG$1001,0),1)&gt;=100000,INDEX($AN$1005:$BO$1005,1,MATCH(COLUMNS($AN$1006:BF1006),$AN$1006:$BO$1006,0))&gt;=100000), " ",IF(INDEX($AN$2:$BO$1001,MATCH(ROWS($AG$2:AG593),$AG$2:$AG$1001,0),MATCH(COLUMNS($AN$1006:BF1006),$AN$1006:$BO$1006,0)), HYPERLINK("#",""), HYPERLINK(CONCATENATE("#Metadata!", ADDRESS(INDEX($AI$2:$AI$1001,MATCH(ROWS($AG$2:AG593),$AG$2:$AG$1001,0),0), INDEX($AN$1004:$BO$1004,1,MATCH(COLUMNS($AN$1006:BF1006),$AN$1006:$BO$1006,0)))),"Fix")))</f>
        <v>0</v>
      </c>
      <c r="U593" s="4">
        <f>IF(OR(INDEX($AH$2:$AH$1001,MATCH(ROWS($AG$2:AG593),$AG$2:$AG$1001,0),1)&gt;=100000,INDEX($AN$1005:$BO$1005,1,MATCH(COLUMNS($AN$1006:BG1006),$AN$1006:$BO$1006,0))&gt;=100000), " ",IF(INDEX($AN$2:$BO$1001,MATCH(ROWS($AG$2:AG593),$AG$2:$AG$1001,0),MATCH(COLUMNS($AN$1006:BG1006),$AN$1006:$BO$1006,0)), HYPERLINK("#",""), HYPERLINK(CONCATENATE("#Metadata!", ADDRESS(INDEX($AI$2:$AI$1001,MATCH(ROWS($AG$2:AG593),$AG$2:$AG$1001,0),0), INDEX($AN$1004:$BO$1004,1,MATCH(COLUMNS($AN$1006:BG1006),$AN$1006:$BO$1006,0)))),"Fix")))</f>
        <v>0</v>
      </c>
      <c r="V593" s="4">
        <f>IF(OR(INDEX($AH$2:$AH$1001,MATCH(ROWS($AG$2:AG593),$AG$2:$AG$1001,0),1)&gt;=100000,INDEX($AN$1005:$BO$1005,1,MATCH(COLUMNS($AN$1006:BH1006),$AN$1006:$BO$1006,0))&gt;=100000), " ",IF(INDEX($AN$2:$BO$1001,MATCH(ROWS($AG$2:AG593),$AG$2:$AG$1001,0),MATCH(COLUMNS($AN$1006:BH1006),$AN$1006:$BO$1006,0)), HYPERLINK("#",""), HYPERLINK(CONCATENATE("#Metadata!", ADDRESS(INDEX($AI$2:$AI$1001,MATCH(ROWS($AG$2:AG593),$AG$2:$AG$1001,0),0), INDEX($AN$1004:$BO$1004,1,MATCH(COLUMNS($AN$1006:BH1006),$AN$1006:$BO$1006,0)))),"Fix")))</f>
        <v>0</v>
      </c>
      <c r="W593" s="4">
        <f>IF(OR(INDEX($AH$2:$AH$1001,MATCH(ROWS($AG$2:AG593),$AG$2:$AG$1001,0),1)&gt;=100000,INDEX($AN$1005:$BO$1005,1,MATCH(COLUMNS($AN$1006:BI1006),$AN$1006:$BO$1006,0))&gt;=100000), " ",IF(INDEX($AN$2:$BO$1001,MATCH(ROWS($AG$2:AG593),$AG$2:$AG$1001,0),MATCH(COLUMNS($AN$1006:BI1006),$AN$1006:$BO$1006,0)), HYPERLINK("#",""), HYPERLINK(CONCATENATE("#Metadata!", ADDRESS(INDEX($AI$2:$AI$1001,MATCH(ROWS($AG$2:AG593),$AG$2:$AG$1001,0),0), INDEX($AN$1004:$BO$1004,1,MATCH(COLUMNS($AN$1006:BI1006),$AN$1006:$BO$1006,0)))),"Fix")))</f>
        <v>0</v>
      </c>
      <c r="X593" s="4">
        <f>IF(OR(INDEX($AH$2:$AH$1001,MATCH(ROWS($AG$2:AG593),$AG$2:$AG$1001,0),1)&gt;=100000,INDEX($AN$1005:$BO$1005,1,MATCH(COLUMNS($AN$1006:BJ1006),$AN$1006:$BO$1006,0))&gt;=100000), " ",IF(INDEX($AN$2:$BO$1001,MATCH(ROWS($AG$2:AG593),$AG$2:$AG$1001,0),MATCH(COLUMNS($AN$1006:BJ1006),$AN$1006:$BO$1006,0)), HYPERLINK("#",""), HYPERLINK(CONCATENATE("#Metadata!", ADDRESS(INDEX($AI$2:$AI$1001,MATCH(ROWS($AG$2:AG593),$AG$2:$AG$1001,0),0), INDEX($AN$1004:$BO$1004,1,MATCH(COLUMNS($AN$1006:BJ1006),$AN$1006:$BO$1006,0)))),"Fix")))</f>
        <v>0</v>
      </c>
      <c r="Y593" s="4">
        <f>IF(OR(INDEX($AH$2:$AH$1001,MATCH(ROWS($AG$2:AG593),$AG$2:$AG$1001,0),1)&gt;=100000,INDEX($AN$1005:$BO$1005,1,MATCH(COLUMNS($AN$1006:BK1006),$AN$1006:$BO$1006,0))&gt;=100000), " ",IF(INDEX($AN$2:$BO$1001,MATCH(ROWS($AG$2:AG593),$AG$2:$AG$1001,0),MATCH(COLUMNS($AN$1006:BK1006),$AN$1006:$BO$1006,0)), HYPERLINK("#",""), HYPERLINK(CONCATENATE("#Metadata!", ADDRESS(INDEX($AI$2:$AI$1001,MATCH(ROWS($AG$2:AG593),$AG$2:$AG$1001,0),0), INDEX($AN$1004:$BO$1004,1,MATCH(COLUMNS($AN$1006:BK1006),$AN$1006:$BO$1006,0)))),"Fix")))</f>
        <v>0</v>
      </c>
      <c r="Z593" s="4">
        <f>IF(OR(INDEX($AH$2:$AH$1001,MATCH(ROWS($AG$2:AG593),$AG$2:$AG$1001,0),1)&gt;=100000,INDEX($AN$1005:$BO$1005,1,MATCH(COLUMNS($AN$1006:BL1006),$AN$1006:$BO$1006,0))&gt;=100000), " ",IF(INDEX($AN$2:$BO$1001,MATCH(ROWS($AG$2:AG593),$AG$2:$AG$1001,0),MATCH(COLUMNS($AN$1006:BL1006),$AN$1006:$BO$1006,0)), HYPERLINK("#",""), HYPERLINK(CONCATENATE("#Metadata!", ADDRESS(INDEX($AI$2:$AI$1001,MATCH(ROWS($AG$2:AG593),$AG$2:$AG$1001,0),0), INDEX($AN$1004:$BO$1004,1,MATCH(COLUMNS($AN$1006:BL1006),$AN$1006:$BO$1006,0)))),"Fix")))</f>
        <v>0</v>
      </c>
      <c r="AA593" s="4">
        <f>IF(OR(INDEX($AH$2:$AH$1001,MATCH(ROWS($AG$2:AG593),$AG$2:$AG$1001,0),1)&gt;=100000,INDEX($AN$1005:$BO$1005,1,MATCH(COLUMNS($AN$1006:BM1006),$AN$1006:$BO$1006,0))&gt;=100000), " ",IF(INDEX($AN$2:$BO$1001,MATCH(ROWS($AG$2:AG593),$AG$2:$AG$1001,0),MATCH(COLUMNS($AN$1006:BM1006),$AN$1006:$BO$1006,0)), HYPERLINK("#",""), HYPERLINK(CONCATENATE("#Metadata!", ADDRESS(INDEX($AI$2:$AI$1001,MATCH(ROWS($AG$2:AG593),$AG$2:$AG$1001,0),0), INDEX($AN$1004:$BO$1004,1,MATCH(COLUMNS($AN$1006:BM1006),$AN$1006:$BO$1006,0)))),"Fix")))</f>
        <v>0</v>
      </c>
      <c r="AB593" s="4">
        <f>IF(OR(INDEX($AH$2:$AH$1001,MATCH(ROWS($AG$2:AG593),$AG$2:$AG$1001,0),1)&gt;=100000,INDEX($AN$1005:$BO$1005,1,MATCH(COLUMNS($AN$1006:BN1006),$AN$1006:$BO$1006,0))&gt;=100000), " ",IF(INDEX($AN$2:$BO$1001,MATCH(ROWS($AG$2:AG593),$AG$2:$AG$1001,0),MATCH(COLUMNS($AN$1006:BN1006),$AN$1006:$BO$1006,0)), HYPERLINK("#",""), HYPERLINK(CONCATENATE("#Metadata!", ADDRESS(INDEX($AI$2:$AI$1001,MATCH(ROWS($AG$2:AG593),$AG$2:$AG$1001,0),0), INDEX($AN$1004:$BO$1004,1,MATCH(COLUMNS($AN$1006:BN1006),$AN$1006:$BO$1006,0)))),"Fix")))</f>
        <v>0</v>
      </c>
      <c r="AC593" s="4">
        <f>IF(OR(INDEX($AH$2:$AH$1001,MATCH(ROWS($AG$2:AG593),$AG$2:$AG$1001,0),1)&gt;=100000,INDEX($AN$1005:$BO$1005,1,MATCH(COLUMNS($AN$1006:BO1006),$AN$1006:$BO$1006,0))&gt;=100000), " ",IF(INDEX($AN$2:$BO$1001,MATCH(ROWS($AG$2:AG593),$AG$2:$AG$1001,0),MATCH(COLUMNS($AN$1006:BO1006),$AN$1006:$BO$1006,0)), HYPERLINK("#",""), HYPERLINK(CONCATENATE("#Metadata!", ADDRESS(INDEX($AI$2:$AI$1001,MATCH(ROWS($AG$2:AG593),$AG$2:$AG$1001,0),0), INDEX($AN$1004:$BO$1004,1,MATCH(COLUMNS($AN$1006:BO1006),$AN$1006:$BO$1006,0)))),"Fix")))</f>
        <v>0</v>
      </c>
      <c r="AG593">
        <v>0</v>
      </c>
      <c r="AH593">
        <v>0</v>
      </c>
      <c r="AI593">
        <v>0</v>
      </c>
      <c r="AJ593">
        <f>IF(AK593,TRUE,AND(AN593:BO593))</f>
        <v>0</v>
      </c>
      <c r="AK593">
        <f>COUNTBLANK(Metadata!B593:AC593)=COLUMNS(Metadata!B593:AC593)</f>
        <v>0</v>
      </c>
      <c r="AL593">
        <v>0</v>
      </c>
      <c r="AN593">
        <f>AND(IF(Metadata!B593="",FALSE,TRUE),COUNTIF(Metadata!B:B, Metadata!B593) = 1,NOT(ISERROR(SUMPRODUCT(SEARCH(MID(Metadata!B593,ROW(INDIRECT("1:"&amp;LEN(Metadata!B593))), 1),"0123456789abcdefghijklmnopqrstuvwxyzABCDEFGHIJKLMNOPQRSTUVWXYZ.")))))</f>
        <v>0</v>
      </c>
      <c r="AO593">
        <f>IF(Metadata!C593="",FALSE,TRUE)</f>
        <v>0</v>
      </c>
      <c r="AP593">
        <f>IF(Metadata!D593="",FALSE,TRUE)</f>
        <v>0</v>
      </c>
      <c r="AQ593">
        <f>OR(AND(IF(Metadata!E593="",FALSE,TRUE),OR(exact(Metadata!E593,"not collected"),exact(Metadata!E593,"not provided"),exact(Metadata!E593,"restricted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R593">
        <f>IF(Metadata!F593="",FALSE,TRUE)</f>
        <v>0</v>
      </c>
      <c r="AS593">
        <f>OR(AND(IF(Metadata!G593="",FALSE,TRUE),OR(exact(Metadata!G593,"not collected"),exact(Metadata!G593,"not provided"))),AND(IF(Metadata!G593="",FALSE,TRUE),OR(exact(Metadata!G593,"TRUE"),exact(Metadata!G593,"FALSE"))))</f>
        <v>0</v>
      </c>
      <c r="AT593">
        <f>OR(AND(IF(Metadata!H593="",FALSE,TRUE),OR(exact(Metadata!H593,"not collected"),exact(Metadata!H593,"not provided"),exact(Metadata!H593,"restricted access"))),AND(IF(Metadata!H593="",FALSE,ISNUMBER(VALUE(Metadata!H593))),Metadata!H593&gt;=-413.0))</f>
        <v>0</v>
      </c>
      <c r="AU593">
        <f>AND(IF(Metadata!I593="",FALSE,TRUE),exact(Metadata!I593,"meters"))</f>
        <v>0</v>
      </c>
      <c r="AV593">
        <f>AND(IF(Metadata!J593="",FALSE,TRUE),OR(exact(Metadata!J593,"Host-associated"),exact(Metadata!J593,"Free-living")))</f>
        <v>0</v>
      </c>
      <c r="AW593">
        <f>AND(IF(Metadata!K593="",FALSE,TRUE),OR(exact(Metadata!K593,"Animal"),exact(Metadata!K593,"Fungus"),exact(Metadata!K593,"Plant"),exact(Metadata!K593,"Saline"),exact(Metadata!K593,"Non-saline")))</f>
        <v>0</v>
      </c>
      <c r="AX593">
        <f>AND(IF(Metadata!L593="",FALSE,TRUE),OR(exact(Metadata!L593,"Plant secretion"),exact(Metadata!L593,"Plant rhizosphere"),exact(Metadata!L593,"Plant surface"),exact(Metadata!L593,"Plant corpus"),exact(Metadata!L593,"Fungus surface"),exact(Metadata!L593,"Fungus corpus"),exact(Metadata!L593,"Animal surface"),exact(Metadata!L593,"Animal proximal gut"),exact(Metadata!L593,"Animal corpus"),exact(Metadata!L593,"Animal distal gut"),exact(Metadata!L593,"Animal secretion"),exact(Metadata!L593,"Sub-surface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Y593">
        <f>IF(Metadata!M593="",FALSE,TRUE)</f>
        <v>0</v>
      </c>
      <c r="AZ593">
        <f>IF(Metadata!N593="",FALSE,TRUE)</f>
        <v>0</v>
      </c>
      <c r="BA593">
        <f>IF(Metadata!O593="",FALSE,TRUE)</f>
        <v>0</v>
      </c>
      <c r="BB593">
        <f>OR(AND(IF(Metadata!P593="",FALSE,TRUE),OR(exact(Metadata!P593,"not collected"),exact(Metadata!P593,"not provided"),exact(Metadata!P593,"restricted access"))),AND(IF(Metadata!P593="",FALSE,TRUE),OR(exact(Metadata!P593,"air"),exact(Metadata!P593,"built environment"),exact(Metadata!P593,"host-associated"),exact(Metadata!P593,"human-associated"),exact(Metadata!P593,"human-skin"),exact(Metadata!P593,"human-oral"),exact(Metadata!P593,"human-gut"),exact(Metadata!P593,"human-vaginal"),exact(Metadata!P593,"microbial mat/biofilm"),exact(Metadata!P593,"misc environment"),exact(Metadata!P593,"plant-associated"),exact(Metadata!P593,"sediment"),exact(Metadata!P593,"soil"),exact(Metadata!P593,"wastewater/sludge"),exact(Metadata!P593,"water"))))</f>
        <v>0</v>
      </c>
      <c r="BC593">
        <f>IF(Metadata!Q593="",FALSE,TRUE)</f>
        <v>0</v>
      </c>
      <c r="BD593">
        <f>IF(Metadata!R593="",FALSE,TRUE)</f>
        <v>0</v>
      </c>
      <c r="BE593">
        <f>OR(AND(IF(Metadata!S593="",FALSE,TRUE),OR(exact(Metadata!S593,"not collected"),exact(Metadata!S593,"not provided"),exact(Metadata!S593,"restricted access"))),AND(IF(Metadata!S593="",FALSE,ISNUMBER(VALUE(Metadata!S593))),Metadata!S593&gt;=-90.00,Metadata!S593&lt;=90.00))</f>
        <v>0</v>
      </c>
      <c r="BF593">
        <f>AND(IF(Metadata!T593="",FALSE,TRUE),exact(Metadata!T593,"Decimal degrees"))</f>
        <v>0</v>
      </c>
      <c r="BG593">
        <f>OR(AND(IF(Metadata!U593="",FALSE,TRUE),OR(exact(Metadata!U593,"not collected"),exact(Metadata!U593,"not provided"),exact(Metadata!U593,"restricted access"))),AND(IF(Metadata!U593="",FALSE,ISNUMBER(VALUE(Metadata!U593))),Metadata!U593&gt;=-180.00,Metadata!U593&lt;=180.00))</f>
        <v>0</v>
      </c>
      <c r="BH593">
        <f>AND(IF(Metadata!V593="",FALSE,TRUE),exact(Metadata!V593,"Decimal degrees"))</f>
        <v>0</v>
      </c>
      <c r="BI593">
        <f>IF(Metadata!W593="",FALSE,TRUE)</f>
        <v>0</v>
      </c>
      <c r="BJ593">
        <f>OR(AND(IF(Metadata!X593="",FALSE,TRUE),OR(exact(Metadata!X593,"not collected"),exact(Metadata!X593,"not provided"),exact(Metadata!X593,"restricted access"))),AND(IF(Metadata!X593="",FALSE,TRUE),OR(exact(Metadata!X593,"TRUE"),exact(Metadata!X593,"FALSE"))))</f>
        <v>0</v>
      </c>
      <c r="BK593">
        <f>AND(IF(Metadata!Y593="",FALSE,TRUE),exact(Metadata!Y593,"other"))</f>
        <v>0</v>
      </c>
      <c r="BL593">
        <f>IF(Metadata!Z593="",FALSE,TRUE)</f>
        <v>0</v>
      </c>
      <c r="BM593">
        <f>OR(AND(IF(Metadata!AA593="",FALSE,TRUE),OR(exact(Metadata!AA593,"not collected"),exact(Metadata!AA593,"not provided"))),AND(IF(Metadata!AA593="",FALSE,IF(ISERROR(INT(Metadata!AA593)),FALSE,INT(Metadata!AA593)=Metadata!AA593)),Metadata!AA593&gt;0))</f>
        <v>0</v>
      </c>
      <c r="BN593">
        <f>AND(IF(Metadata!AB593="",FALSE,TRUE),exact(Metadata!AB593,"Not applicable"))</f>
        <v>0</v>
      </c>
      <c r="BO593">
        <f>IF(Metadata!AC593="",FALSE,TRUE)</f>
        <v>0</v>
      </c>
    </row>
    <row r="594" spans="1:67">
      <c r="A594" s="5">
        <f>IF(B594=" "," ",HYPERLINK(CONCATENATE("#metadata!",ADDRESS(INDEX($AI$2:$AI$1001,MATCH(ROWS($AG$2:AG594),$AG$2:$AG$1001,0),0),1)),INDEX($AL$2:$AL$1001,MATCH(ROWS($AG$2:AG594),$AG$2:$AG$1001,0),0)))</f>
        <v>0</v>
      </c>
      <c r="B594" s="4">
        <f>IF(OR(INDEX($AH$2:$AH$1001,MATCH(ROWS($AG$2:AG594),$AG$2:$AG$1001,0),1)&gt;=100000,INDEX($AN$1005:$BO$1005,1,MATCH(COLUMNS($AN$1006:AN1006),$AN$1006:$BO$1006,0))&gt;=100000), " ",IF(INDEX($AN$2:$BO$1001,MATCH(ROWS($AG$2:AG594),$AG$2:$AG$1001,0),MATCH(COLUMNS($AN$1006:AN1006),$AN$1006:$BO$1006,0)), HYPERLINK("#",""), HYPERLINK(CONCATENATE("#Metadata!", ADDRESS(INDEX($AI$2:$AI$1001,MATCH(ROWS($AG$2:AG594),$AG$2:$AG$1001,0),0), INDEX($AN$1004:$BO$1004,1,MATCH(COLUMNS($AN$1006:AN1006),$AN$1006:$BO$1006,0)))),"Fix")))</f>
        <v>0</v>
      </c>
      <c r="C594" s="4">
        <f>IF(OR(INDEX($AH$2:$AH$1001,MATCH(ROWS($AG$2:AG594),$AG$2:$AG$1001,0),1)&gt;=100000,INDEX($AN$1005:$BO$1005,1,MATCH(COLUMNS($AN$1006:AO1006),$AN$1006:$BO$1006,0))&gt;=100000), " ",IF(INDEX($AN$2:$BO$1001,MATCH(ROWS($AG$2:AG594),$AG$2:$AG$1001,0),MATCH(COLUMNS($AN$1006:AO1006),$AN$1006:$BO$1006,0)), HYPERLINK("#",""), HYPERLINK(CONCATENATE("#Metadata!", ADDRESS(INDEX($AI$2:$AI$1001,MATCH(ROWS($AG$2:AG594),$AG$2:$AG$1001,0),0), INDEX($AN$1004:$BO$1004,1,MATCH(COLUMNS($AN$1006:AO1006),$AN$1006:$BO$1006,0)))),"Fix")))</f>
        <v>0</v>
      </c>
      <c r="D594" s="4">
        <f>IF(OR(INDEX($AH$2:$AH$1001,MATCH(ROWS($AG$2:AG594),$AG$2:$AG$1001,0),1)&gt;=100000,INDEX($AN$1005:$BO$1005,1,MATCH(COLUMNS($AN$1006:AP1006),$AN$1006:$BO$1006,0))&gt;=100000), " ",IF(INDEX($AN$2:$BO$1001,MATCH(ROWS($AG$2:AG594),$AG$2:$AG$1001,0),MATCH(COLUMNS($AN$1006:AP1006),$AN$1006:$BO$1006,0)), HYPERLINK("#",""), HYPERLINK(CONCATENATE("#Metadata!", ADDRESS(INDEX($AI$2:$AI$1001,MATCH(ROWS($AG$2:AG594),$AG$2:$AG$1001,0),0), INDEX($AN$1004:$BO$1004,1,MATCH(COLUMNS($AN$1006:AP1006),$AN$1006:$BO$1006,0)))),"Fix")))</f>
        <v>0</v>
      </c>
      <c r="E594" s="4">
        <f>IF(OR(INDEX($AH$2:$AH$1001,MATCH(ROWS($AG$2:AG594),$AG$2:$AG$1001,0),1)&gt;=100000,INDEX($AN$1005:$BO$1005,1,MATCH(COLUMNS($AN$1006:AQ1006),$AN$1006:$BO$1006,0))&gt;=100000), " ",IF(INDEX($AN$2:$BO$1001,MATCH(ROWS($AG$2:AG594),$AG$2:$AG$1001,0),MATCH(COLUMNS($AN$1006:AQ1006),$AN$1006:$BO$1006,0)), HYPERLINK("#",""), HYPERLINK(CONCATENATE("#Metadata!", ADDRESS(INDEX($AI$2:$AI$1001,MATCH(ROWS($AG$2:AG594),$AG$2:$AG$1001,0),0), INDEX($AN$1004:$BO$1004,1,MATCH(COLUMNS($AN$1006:AQ1006),$AN$1006:$BO$1006,0)))),"Fix")))</f>
        <v>0</v>
      </c>
      <c r="F594" s="4">
        <f>IF(OR(INDEX($AH$2:$AH$1001,MATCH(ROWS($AG$2:AG594),$AG$2:$AG$1001,0),1)&gt;=100000,INDEX($AN$1005:$BO$1005,1,MATCH(COLUMNS($AN$1006:AR1006),$AN$1006:$BO$1006,0))&gt;=100000), " ",IF(INDEX($AN$2:$BO$1001,MATCH(ROWS($AG$2:AG594),$AG$2:$AG$1001,0),MATCH(COLUMNS($AN$1006:AR1006),$AN$1006:$BO$1006,0)), HYPERLINK("#",""), HYPERLINK(CONCATENATE("#Metadata!", ADDRESS(INDEX($AI$2:$AI$1001,MATCH(ROWS($AG$2:AG594),$AG$2:$AG$1001,0),0), INDEX($AN$1004:$BO$1004,1,MATCH(COLUMNS($AN$1006:AR1006),$AN$1006:$BO$1006,0)))),"Fix")))</f>
        <v>0</v>
      </c>
      <c r="G594" s="4">
        <f>IF(OR(INDEX($AH$2:$AH$1001,MATCH(ROWS($AG$2:AG594),$AG$2:$AG$1001,0),1)&gt;=100000,INDEX($AN$1005:$BO$1005,1,MATCH(COLUMNS($AN$1006:AS1006),$AN$1006:$BO$1006,0))&gt;=100000), " ",IF(INDEX($AN$2:$BO$1001,MATCH(ROWS($AG$2:AG594),$AG$2:$AG$1001,0),MATCH(COLUMNS($AN$1006:AS1006),$AN$1006:$BO$1006,0)), HYPERLINK("#",""), HYPERLINK(CONCATENATE("#Metadata!", ADDRESS(INDEX($AI$2:$AI$1001,MATCH(ROWS($AG$2:AG594),$AG$2:$AG$1001,0),0), INDEX($AN$1004:$BO$1004,1,MATCH(COLUMNS($AN$1006:AS1006),$AN$1006:$BO$1006,0)))),"Fix")))</f>
        <v>0</v>
      </c>
      <c r="H594" s="4">
        <f>IF(OR(INDEX($AH$2:$AH$1001,MATCH(ROWS($AG$2:AG594),$AG$2:$AG$1001,0),1)&gt;=100000,INDEX($AN$1005:$BO$1005,1,MATCH(COLUMNS($AN$1006:AT1006),$AN$1006:$BO$1006,0))&gt;=100000), " ",IF(INDEX($AN$2:$BO$1001,MATCH(ROWS($AG$2:AG594),$AG$2:$AG$1001,0),MATCH(COLUMNS($AN$1006:AT1006),$AN$1006:$BO$1006,0)), HYPERLINK("#",""), HYPERLINK(CONCATENATE("#Metadata!", ADDRESS(INDEX($AI$2:$AI$1001,MATCH(ROWS($AG$2:AG594),$AG$2:$AG$1001,0),0), INDEX($AN$1004:$BO$1004,1,MATCH(COLUMNS($AN$1006:AT1006),$AN$1006:$BO$1006,0)))),"Fix")))</f>
        <v>0</v>
      </c>
      <c r="I594" s="4">
        <f>IF(OR(INDEX($AH$2:$AH$1001,MATCH(ROWS($AG$2:AG594),$AG$2:$AG$1001,0),1)&gt;=100000,INDEX($AN$1005:$BO$1005,1,MATCH(COLUMNS($AN$1006:AU1006),$AN$1006:$BO$1006,0))&gt;=100000), " ",IF(INDEX($AN$2:$BO$1001,MATCH(ROWS($AG$2:AG594),$AG$2:$AG$1001,0),MATCH(COLUMNS($AN$1006:AU1006),$AN$1006:$BO$1006,0)), HYPERLINK("#",""), HYPERLINK(CONCATENATE("#Metadata!", ADDRESS(INDEX($AI$2:$AI$1001,MATCH(ROWS($AG$2:AG594),$AG$2:$AG$1001,0),0), INDEX($AN$1004:$BO$1004,1,MATCH(COLUMNS($AN$1006:AU1006),$AN$1006:$BO$1006,0)))),"Fix")))</f>
        <v>0</v>
      </c>
      <c r="J594" s="4">
        <f>IF(OR(INDEX($AH$2:$AH$1001,MATCH(ROWS($AG$2:AG594),$AG$2:$AG$1001,0),1)&gt;=100000,INDEX($AN$1005:$BO$1005,1,MATCH(COLUMNS($AN$1006:AV1006),$AN$1006:$BO$1006,0))&gt;=100000), " ",IF(INDEX($AN$2:$BO$1001,MATCH(ROWS($AG$2:AG594),$AG$2:$AG$1001,0),MATCH(COLUMNS($AN$1006:AV1006),$AN$1006:$BO$1006,0)), HYPERLINK("#",""), HYPERLINK(CONCATENATE("#Metadata!", ADDRESS(INDEX($AI$2:$AI$1001,MATCH(ROWS($AG$2:AG594),$AG$2:$AG$1001,0),0), INDEX($AN$1004:$BO$1004,1,MATCH(COLUMNS($AN$1006:AV1006),$AN$1006:$BO$1006,0)))),"Fix")))</f>
        <v>0</v>
      </c>
      <c r="K594" s="4">
        <f>IF(OR(INDEX($AH$2:$AH$1001,MATCH(ROWS($AG$2:AG594),$AG$2:$AG$1001,0),1)&gt;=100000,INDEX($AN$1005:$BO$1005,1,MATCH(COLUMNS($AN$1006:AW1006),$AN$1006:$BO$1006,0))&gt;=100000), " ",IF(INDEX($AN$2:$BO$1001,MATCH(ROWS($AG$2:AG594),$AG$2:$AG$1001,0),MATCH(COLUMNS($AN$1006:AW1006),$AN$1006:$BO$1006,0)), HYPERLINK("#",""), HYPERLINK(CONCATENATE("#Metadata!", ADDRESS(INDEX($AI$2:$AI$1001,MATCH(ROWS($AG$2:AG594),$AG$2:$AG$1001,0),0), INDEX($AN$1004:$BO$1004,1,MATCH(COLUMNS($AN$1006:AW1006),$AN$1006:$BO$1006,0)))),"Fix")))</f>
        <v>0</v>
      </c>
      <c r="L594" s="4">
        <f>IF(OR(INDEX($AH$2:$AH$1001,MATCH(ROWS($AG$2:AG594),$AG$2:$AG$1001,0),1)&gt;=100000,INDEX($AN$1005:$BO$1005,1,MATCH(COLUMNS($AN$1006:AX1006),$AN$1006:$BO$1006,0))&gt;=100000), " ",IF(INDEX($AN$2:$BO$1001,MATCH(ROWS($AG$2:AG594),$AG$2:$AG$1001,0),MATCH(COLUMNS($AN$1006:AX1006),$AN$1006:$BO$1006,0)), HYPERLINK("#",""), HYPERLINK(CONCATENATE("#Metadata!", ADDRESS(INDEX($AI$2:$AI$1001,MATCH(ROWS($AG$2:AG594),$AG$2:$AG$1001,0),0), INDEX($AN$1004:$BO$1004,1,MATCH(COLUMNS($AN$1006:AX1006),$AN$1006:$BO$1006,0)))),"Fix")))</f>
        <v>0</v>
      </c>
      <c r="M594" s="4">
        <f>IF(OR(INDEX($AH$2:$AH$1001,MATCH(ROWS($AG$2:AG594),$AG$2:$AG$1001,0),1)&gt;=100000,INDEX($AN$1005:$BO$1005,1,MATCH(COLUMNS($AN$1006:AY1006),$AN$1006:$BO$1006,0))&gt;=100000), " ",IF(INDEX($AN$2:$BO$1001,MATCH(ROWS($AG$2:AG594),$AG$2:$AG$1001,0),MATCH(COLUMNS($AN$1006:AY1006),$AN$1006:$BO$1006,0)), HYPERLINK("#",""), HYPERLINK(CONCATENATE("#Metadata!", ADDRESS(INDEX($AI$2:$AI$1001,MATCH(ROWS($AG$2:AG594),$AG$2:$AG$1001,0),0), INDEX($AN$1004:$BO$1004,1,MATCH(COLUMNS($AN$1006:AY1006),$AN$1006:$BO$1006,0)))),"Fix")))</f>
        <v>0</v>
      </c>
      <c r="N594" s="4">
        <f>IF(OR(INDEX($AH$2:$AH$1001,MATCH(ROWS($AG$2:AG594),$AG$2:$AG$1001,0),1)&gt;=100000,INDEX($AN$1005:$BO$1005,1,MATCH(COLUMNS($AN$1006:AZ1006),$AN$1006:$BO$1006,0))&gt;=100000), " ",IF(INDEX($AN$2:$BO$1001,MATCH(ROWS($AG$2:AG594),$AG$2:$AG$1001,0),MATCH(COLUMNS($AN$1006:AZ1006),$AN$1006:$BO$1006,0)), HYPERLINK("#",""), HYPERLINK(CONCATENATE("#Metadata!", ADDRESS(INDEX($AI$2:$AI$1001,MATCH(ROWS($AG$2:AG594),$AG$2:$AG$1001,0),0), INDEX($AN$1004:$BO$1004,1,MATCH(COLUMNS($AN$1006:AZ1006),$AN$1006:$BO$1006,0)))),"Fix")))</f>
        <v>0</v>
      </c>
      <c r="O594" s="4">
        <f>IF(OR(INDEX($AH$2:$AH$1001,MATCH(ROWS($AG$2:AG594),$AG$2:$AG$1001,0),1)&gt;=100000,INDEX($AN$1005:$BO$1005,1,MATCH(COLUMNS($AN$1006:BA1006),$AN$1006:$BO$1006,0))&gt;=100000), " ",IF(INDEX($AN$2:$BO$1001,MATCH(ROWS($AG$2:AG594),$AG$2:$AG$1001,0),MATCH(COLUMNS($AN$1006:BA1006),$AN$1006:$BO$1006,0)), HYPERLINK("#",""), HYPERLINK(CONCATENATE("#Metadata!", ADDRESS(INDEX($AI$2:$AI$1001,MATCH(ROWS($AG$2:AG594),$AG$2:$AG$1001,0),0), INDEX($AN$1004:$BO$1004,1,MATCH(COLUMNS($AN$1006:BA1006),$AN$1006:$BO$1006,0)))),"Fix")))</f>
        <v>0</v>
      </c>
      <c r="P594" s="4">
        <f>IF(OR(INDEX($AH$2:$AH$1001,MATCH(ROWS($AG$2:AG594),$AG$2:$AG$1001,0),1)&gt;=100000,INDEX($AN$1005:$BO$1005,1,MATCH(COLUMNS($AN$1006:BB1006),$AN$1006:$BO$1006,0))&gt;=100000), " ",IF(INDEX($AN$2:$BO$1001,MATCH(ROWS($AG$2:AG594),$AG$2:$AG$1001,0),MATCH(COLUMNS($AN$1006:BB1006),$AN$1006:$BO$1006,0)), HYPERLINK("#",""), HYPERLINK(CONCATENATE("#Metadata!", ADDRESS(INDEX($AI$2:$AI$1001,MATCH(ROWS($AG$2:AG594),$AG$2:$AG$1001,0),0), INDEX($AN$1004:$BO$1004,1,MATCH(COLUMNS($AN$1006:BB1006),$AN$1006:$BO$1006,0)))),"Fix")))</f>
        <v>0</v>
      </c>
      <c r="Q594" s="4">
        <f>IF(OR(INDEX($AH$2:$AH$1001,MATCH(ROWS($AG$2:AG594),$AG$2:$AG$1001,0),1)&gt;=100000,INDEX($AN$1005:$BO$1005,1,MATCH(COLUMNS($AN$1006:BC1006),$AN$1006:$BO$1006,0))&gt;=100000), " ",IF(INDEX($AN$2:$BO$1001,MATCH(ROWS($AG$2:AG594),$AG$2:$AG$1001,0),MATCH(COLUMNS($AN$1006:BC1006),$AN$1006:$BO$1006,0)), HYPERLINK("#",""), HYPERLINK(CONCATENATE("#Metadata!", ADDRESS(INDEX($AI$2:$AI$1001,MATCH(ROWS($AG$2:AG594),$AG$2:$AG$1001,0),0), INDEX($AN$1004:$BO$1004,1,MATCH(COLUMNS($AN$1006:BC1006),$AN$1006:$BO$1006,0)))),"Fix")))</f>
        <v>0</v>
      </c>
      <c r="R594" s="4">
        <f>IF(OR(INDEX($AH$2:$AH$1001,MATCH(ROWS($AG$2:AG594),$AG$2:$AG$1001,0),1)&gt;=100000,INDEX($AN$1005:$BO$1005,1,MATCH(COLUMNS($AN$1006:BD1006),$AN$1006:$BO$1006,0))&gt;=100000), " ",IF(INDEX($AN$2:$BO$1001,MATCH(ROWS($AG$2:AG594),$AG$2:$AG$1001,0),MATCH(COLUMNS($AN$1006:BD1006),$AN$1006:$BO$1006,0)), HYPERLINK("#",""), HYPERLINK(CONCATENATE("#Metadata!", ADDRESS(INDEX($AI$2:$AI$1001,MATCH(ROWS($AG$2:AG594),$AG$2:$AG$1001,0),0), INDEX($AN$1004:$BO$1004,1,MATCH(COLUMNS($AN$1006:BD1006),$AN$1006:$BO$1006,0)))),"Fix")))</f>
        <v>0</v>
      </c>
      <c r="S594" s="4">
        <f>IF(OR(INDEX($AH$2:$AH$1001,MATCH(ROWS($AG$2:AG594),$AG$2:$AG$1001,0),1)&gt;=100000,INDEX($AN$1005:$BO$1005,1,MATCH(COLUMNS($AN$1006:BE1006),$AN$1006:$BO$1006,0))&gt;=100000), " ",IF(INDEX($AN$2:$BO$1001,MATCH(ROWS($AG$2:AG594),$AG$2:$AG$1001,0),MATCH(COLUMNS($AN$1006:BE1006),$AN$1006:$BO$1006,0)), HYPERLINK("#",""), HYPERLINK(CONCATENATE("#Metadata!", ADDRESS(INDEX($AI$2:$AI$1001,MATCH(ROWS($AG$2:AG594),$AG$2:$AG$1001,0),0), INDEX($AN$1004:$BO$1004,1,MATCH(COLUMNS($AN$1006:BE1006),$AN$1006:$BO$1006,0)))),"Fix")))</f>
        <v>0</v>
      </c>
      <c r="T594" s="4">
        <f>IF(OR(INDEX($AH$2:$AH$1001,MATCH(ROWS($AG$2:AG594),$AG$2:$AG$1001,0),1)&gt;=100000,INDEX($AN$1005:$BO$1005,1,MATCH(COLUMNS($AN$1006:BF1006),$AN$1006:$BO$1006,0))&gt;=100000), " ",IF(INDEX($AN$2:$BO$1001,MATCH(ROWS($AG$2:AG594),$AG$2:$AG$1001,0),MATCH(COLUMNS($AN$1006:BF1006),$AN$1006:$BO$1006,0)), HYPERLINK("#",""), HYPERLINK(CONCATENATE("#Metadata!", ADDRESS(INDEX($AI$2:$AI$1001,MATCH(ROWS($AG$2:AG594),$AG$2:$AG$1001,0),0), INDEX($AN$1004:$BO$1004,1,MATCH(COLUMNS($AN$1006:BF1006),$AN$1006:$BO$1006,0)))),"Fix")))</f>
        <v>0</v>
      </c>
      <c r="U594" s="4">
        <f>IF(OR(INDEX($AH$2:$AH$1001,MATCH(ROWS($AG$2:AG594),$AG$2:$AG$1001,0),1)&gt;=100000,INDEX($AN$1005:$BO$1005,1,MATCH(COLUMNS($AN$1006:BG1006),$AN$1006:$BO$1006,0))&gt;=100000), " ",IF(INDEX($AN$2:$BO$1001,MATCH(ROWS($AG$2:AG594),$AG$2:$AG$1001,0),MATCH(COLUMNS($AN$1006:BG1006),$AN$1006:$BO$1006,0)), HYPERLINK("#",""), HYPERLINK(CONCATENATE("#Metadata!", ADDRESS(INDEX($AI$2:$AI$1001,MATCH(ROWS($AG$2:AG594),$AG$2:$AG$1001,0),0), INDEX($AN$1004:$BO$1004,1,MATCH(COLUMNS($AN$1006:BG1006),$AN$1006:$BO$1006,0)))),"Fix")))</f>
        <v>0</v>
      </c>
      <c r="V594" s="4">
        <f>IF(OR(INDEX($AH$2:$AH$1001,MATCH(ROWS($AG$2:AG594),$AG$2:$AG$1001,0),1)&gt;=100000,INDEX($AN$1005:$BO$1005,1,MATCH(COLUMNS($AN$1006:BH1006),$AN$1006:$BO$1006,0))&gt;=100000), " ",IF(INDEX($AN$2:$BO$1001,MATCH(ROWS($AG$2:AG594),$AG$2:$AG$1001,0),MATCH(COLUMNS($AN$1006:BH1006),$AN$1006:$BO$1006,0)), HYPERLINK("#",""), HYPERLINK(CONCATENATE("#Metadata!", ADDRESS(INDEX($AI$2:$AI$1001,MATCH(ROWS($AG$2:AG594),$AG$2:$AG$1001,0),0), INDEX($AN$1004:$BO$1004,1,MATCH(COLUMNS($AN$1006:BH1006),$AN$1006:$BO$1006,0)))),"Fix")))</f>
        <v>0</v>
      </c>
      <c r="W594" s="4">
        <f>IF(OR(INDEX($AH$2:$AH$1001,MATCH(ROWS($AG$2:AG594),$AG$2:$AG$1001,0),1)&gt;=100000,INDEX($AN$1005:$BO$1005,1,MATCH(COLUMNS($AN$1006:BI1006),$AN$1006:$BO$1006,0))&gt;=100000), " ",IF(INDEX($AN$2:$BO$1001,MATCH(ROWS($AG$2:AG594),$AG$2:$AG$1001,0),MATCH(COLUMNS($AN$1006:BI1006),$AN$1006:$BO$1006,0)), HYPERLINK("#",""), HYPERLINK(CONCATENATE("#Metadata!", ADDRESS(INDEX($AI$2:$AI$1001,MATCH(ROWS($AG$2:AG594),$AG$2:$AG$1001,0),0), INDEX($AN$1004:$BO$1004,1,MATCH(COLUMNS($AN$1006:BI1006),$AN$1006:$BO$1006,0)))),"Fix")))</f>
        <v>0</v>
      </c>
      <c r="X594" s="4">
        <f>IF(OR(INDEX($AH$2:$AH$1001,MATCH(ROWS($AG$2:AG594),$AG$2:$AG$1001,0),1)&gt;=100000,INDEX($AN$1005:$BO$1005,1,MATCH(COLUMNS($AN$1006:BJ1006),$AN$1006:$BO$1006,0))&gt;=100000), " ",IF(INDEX($AN$2:$BO$1001,MATCH(ROWS($AG$2:AG594),$AG$2:$AG$1001,0),MATCH(COLUMNS($AN$1006:BJ1006),$AN$1006:$BO$1006,0)), HYPERLINK("#",""), HYPERLINK(CONCATENATE("#Metadata!", ADDRESS(INDEX($AI$2:$AI$1001,MATCH(ROWS($AG$2:AG594),$AG$2:$AG$1001,0),0), INDEX($AN$1004:$BO$1004,1,MATCH(COLUMNS($AN$1006:BJ1006),$AN$1006:$BO$1006,0)))),"Fix")))</f>
        <v>0</v>
      </c>
      <c r="Y594" s="4">
        <f>IF(OR(INDEX($AH$2:$AH$1001,MATCH(ROWS($AG$2:AG594),$AG$2:$AG$1001,0),1)&gt;=100000,INDEX($AN$1005:$BO$1005,1,MATCH(COLUMNS($AN$1006:BK1006),$AN$1006:$BO$1006,0))&gt;=100000), " ",IF(INDEX($AN$2:$BO$1001,MATCH(ROWS($AG$2:AG594),$AG$2:$AG$1001,0),MATCH(COLUMNS($AN$1006:BK1006),$AN$1006:$BO$1006,0)), HYPERLINK("#",""), HYPERLINK(CONCATENATE("#Metadata!", ADDRESS(INDEX($AI$2:$AI$1001,MATCH(ROWS($AG$2:AG594),$AG$2:$AG$1001,0),0), INDEX($AN$1004:$BO$1004,1,MATCH(COLUMNS($AN$1006:BK1006),$AN$1006:$BO$1006,0)))),"Fix")))</f>
        <v>0</v>
      </c>
      <c r="Z594" s="4">
        <f>IF(OR(INDEX($AH$2:$AH$1001,MATCH(ROWS($AG$2:AG594),$AG$2:$AG$1001,0),1)&gt;=100000,INDEX($AN$1005:$BO$1005,1,MATCH(COLUMNS($AN$1006:BL1006),$AN$1006:$BO$1006,0))&gt;=100000), " ",IF(INDEX($AN$2:$BO$1001,MATCH(ROWS($AG$2:AG594),$AG$2:$AG$1001,0),MATCH(COLUMNS($AN$1006:BL1006),$AN$1006:$BO$1006,0)), HYPERLINK("#",""), HYPERLINK(CONCATENATE("#Metadata!", ADDRESS(INDEX($AI$2:$AI$1001,MATCH(ROWS($AG$2:AG594),$AG$2:$AG$1001,0),0), INDEX($AN$1004:$BO$1004,1,MATCH(COLUMNS($AN$1006:BL1006),$AN$1006:$BO$1006,0)))),"Fix")))</f>
        <v>0</v>
      </c>
      <c r="AA594" s="4">
        <f>IF(OR(INDEX($AH$2:$AH$1001,MATCH(ROWS($AG$2:AG594),$AG$2:$AG$1001,0),1)&gt;=100000,INDEX($AN$1005:$BO$1005,1,MATCH(COLUMNS($AN$1006:BM1006),$AN$1006:$BO$1006,0))&gt;=100000), " ",IF(INDEX($AN$2:$BO$1001,MATCH(ROWS($AG$2:AG594),$AG$2:$AG$1001,0),MATCH(COLUMNS($AN$1006:BM1006),$AN$1006:$BO$1006,0)), HYPERLINK("#",""), HYPERLINK(CONCATENATE("#Metadata!", ADDRESS(INDEX($AI$2:$AI$1001,MATCH(ROWS($AG$2:AG594),$AG$2:$AG$1001,0),0), INDEX($AN$1004:$BO$1004,1,MATCH(COLUMNS($AN$1006:BM1006),$AN$1006:$BO$1006,0)))),"Fix")))</f>
        <v>0</v>
      </c>
      <c r="AB594" s="4">
        <f>IF(OR(INDEX($AH$2:$AH$1001,MATCH(ROWS($AG$2:AG594),$AG$2:$AG$1001,0),1)&gt;=100000,INDEX($AN$1005:$BO$1005,1,MATCH(COLUMNS($AN$1006:BN1006),$AN$1006:$BO$1006,0))&gt;=100000), " ",IF(INDEX($AN$2:$BO$1001,MATCH(ROWS($AG$2:AG594),$AG$2:$AG$1001,0),MATCH(COLUMNS($AN$1006:BN1006),$AN$1006:$BO$1006,0)), HYPERLINK("#",""), HYPERLINK(CONCATENATE("#Metadata!", ADDRESS(INDEX($AI$2:$AI$1001,MATCH(ROWS($AG$2:AG594),$AG$2:$AG$1001,0),0), INDEX($AN$1004:$BO$1004,1,MATCH(COLUMNS($AN$1006:BN1006),$AN$1006:$BO$1006,0)))),"Fix")))</f>
        <v>0</v>
      </c>
      <c r="AC594" s="4">
        <f>IF(OR(INDEX($AH$2:$AH$1001,MATCH(ROWS($AG$2:AG594),$AG$2:$AG$1001,0),1)&gt;=100000,INDEX($AN$1005:$BO$1005,1,MATCH(COLUMNS($AN$1006:BO1006),$AN$1006:$BO$1006,0))&gt;=100000), " ",IF(INDEX($AN$2:$BO$1001,MATCH(ROWS($AG$2:AG594),$AG$2:$AG$1001,0),MATCH(COLUMNS($AN$1006:BO1006),$AN$1006:$BO$1006,0)), HYPERLINK("#",""), HYPERLINK(CONCATENATE("#Metadata!", ADDRESS(INDEX($AI$2:$AI$1001,MATCH(ROWS($AG$2:AG594),$AG$2:$AG$1001,0),0), INDEX($AN$1004:$BO$1004,1,MATCH(COLUMNS($AN$1006:BO1006),$AN$1006:$BO$1006,0)))),"Fix")))</f>
        <v>0</v>
      </c>
      <c r="AG594">
        <v>0</v>
      </c>
      <c r="AH594">
        <v>0</v>
      </c>
      <c r="AI594">
        <v>0</v>
      </c>
      <c r="AJ594">
        <f>IF(AK594,TRUE,AND(AN594:BO594))</f>
        <v>0</v>
      </c>
      <c r="AK594">
        <f>COUNTBLANK(Metadata!B594:AC594)=COLUMNS(Metadata!B594:AC594)</f>
        <v>0</v>
      </c>
      <c r="AL594">
        <v>0</v>
      </c>
      <c r="AN594">
        <f>AND(IF(Metadata!B594="",FALSE,TRUE),COUNTIF(Metadata!B:B, Metadata!B594) = 1,NOT(ISERROR(SUMPRODUCT(SEARCH(MID(Metadata!B594,ROW(INDIRECT("1:"&amp;LEN(Metadata!B594))), 1),"0123456789abcdefghijklmnopqrstuvwxyzABCDEFGHIJKLMNOPQRSTUVWXYZ.")))))</f>
        <v>0</v>
      </c>
      <c r="AO594">
        <f>IF(Metadata!C594="",FALSE,TRUE)</f>
        <v>0</v>
      </c>
      <c r="AP594">
        <f>IF(Metadata!D594="",FALSE,TRUE)</f>
        <v>0</v>
      </c>
      <c r="AQ594">
        <f>OR(AND(IF(Metadata!E594="",FALSE,TRUE),OR(exact(Metadata!E594,"not collected"),exact(Metadata!E594,"not provided"),exact(Metadata!E594,"restricted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R594">
        <f>IF(Metadata!F594="",FALSE,TRUE)</f>
        <v>0</v>
      </c>
      <c r="AS594">
        <f>OR(AND(IF(Metadata!G594="",FALSE,TRUE),OR(exact(Metadata!G594,"not collected"),exact(Metadata!G594,"not provided"))),AND(IF(Metadata!G594="",FALSE,TRUE),OR(exact(Metadata!G594,"TRUE"),exact(Metadata!G594,"FALSE"))))</f>
        <v>0</v>
      </c>
      <c r="AT594">
        <f>OR(AND(IF(Metadata!H594="",FALSE,TRUE),OR(exact(Metadata!H594,"not collected"),exact(Metadata!H594,"not provided"),exact(Metadata!H594,"restricted access"))),AND(IF(Metadata!H594="",FALSE,ISNUMBER(VALUE(Metadata!H594))),Metadata!H594&gt;=-413.0))</f>
        <v>0</v>
      </c>
      <c r="AU594">
        <f>AND(IF(Metadata!I594="",FALSE,TRUE),exact(Metadata!I594,"meters"))</f>
        <v>0</v>
      </c>
      <c r="AV594">
        <f>AND(IF(Metadata!J594="",FALSE,TRUE),OR(exact(Metadata!J594,"Host-associated"),exact(Metadata!J594,"Free-living")))</f>
        <v>0</v>
      </c>
      <c r="AW594">
        <f>AND(IF(Metadata!K594="",FALSE,TRUE),OR(exact(Metadata!K594,"Animal"),exact(Metadata!K594,"Fungus"),exact(Metadata!K594,"Plant"),exact(Metadata!K594,"Saline"),exact(Metadata!K594,"Non-saline")))</f>
        <v>0</v>
      </c>
      <c r="AX594">
        <f>AND(IF(Metadata!L594="",FALSE,TRUE),OR(exact(Metadata!L594,"Plant secretion"),exact(Metadata!L594,"Plant rhizosphere"),exact(Metadata!L594,"Plant surface"),exact(Metadata!L594,"Plant corpus"),exact(Metadata!L594,"Fungus surface"),exact(Metadata!L594,"Fungus corpus"),exact(Metadata!L594,"Animal surface"),exact(Metadata!L594,"Animal proximal gut"),exact(Metadata!L594,"Animal corpus"),exact(Metadata!L594,"Animal distal gut"),exact(Metadata!L594,"Animal secretion"),exact(Metadata!L594,"Sub-surface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Y594">
        <f>IF(Metadata!M594="",FALSE,TRUE)</f>
        <v>0</v>
      </c>
      <c r="AZ594">
        <f>IF(Metadata!N594="",FALSE,TRUE)</f>
        <v>0</v>
      </c>
      <c r="BA594">
        <f>IF(Metadata!O594="",FALSE,TRUE)</f>
        <v>0</v>
      </c>
      <c r="BB594">
        <f>OR(AND(IF(Metadata!P594="",FALSE,TRUE),OR(exact(Metadata!P594,"not collected"),exact(Metadata!P594,"not provided"),exact(Metadata!P594,"restricted access"))),AND(IF(Metadata!P594="",FALSE,TRUE),OR(exact(Metadata!P594,"air"),exact(Metadata!P594,"built environment"),exact(Metadata!P594,"host-associated"),exact(Metadata!P594,"human-associated"),exact(Metadata!P594,"human-skin"),exact(Metadata!P594,"human-oral"),exact(Metadata!P594,"human-gut"),exact(Metadata!P594,"human-vaginal"),exact(Metadata!P594,"microbial mat/biofilm"),exact(Metadata!P594,"misc environment"),exact(Metadata!P594,"plant-associated"),exact(Metadata!P594,"sediment"),exact(Metadata!P594,"soil"),exact(Metadata!P594,"wastewater/sludge"),exact(Metadata!P594,"water"))))</f>
        <v>0</v>
      </c>
      <c r="BC594">
        <f>IF(Metadata!Q594="",FALSE,TRUE)</f>
        <v>0</v>
      </c>
      <c r="BD594">
        <f>IF(Metadata!R594="",FALSE,TRUE)</f>
        <v>0</v>
      </c>
      <c r="BE594">
        <f>OR(AND(IF(Metadata!S594="",FALSE,TRUE),OR(exact(Metadata!S594,"not collected"),exact(Metadata!S594,"not provided"),exact(Metadata!S594,"restricted access"))),AND(IF(Metadata!S594="",FALSE,ISNUMBER(VALUE(Metadata!S594))),Metadata!S594&gt;=-90.00,Metadata!S594&lt;=90.00))</f>
        <v>0</v>
      </c>
      <c r="BF594">
        <f>AND(IF(Metadata!T594="",FALSE,TRUE),exact(Metadata!T594,"Decimal degrees"))</f>
        <v>0</v>
      </c>
      <c r="BG594">
        <f>OR(AND(IF(Metadata!U594="",FALSE,TRUE),OR(exact(Metadata!U594,"not collected"),exact(Metadata!U594,"not provided"),exact(Metadata!U594,"restricted access"))),AND(IF(Metadata!U594="",FALSE,ISNUMBER(VALUE(Metadata!U594))),Metadata!U594&gt;=-180.00,Metadata!U594&lt;=180.00))</f>
        <v>0</v>
      </c>
      <c r="BH594">
        <f>AND(IF(Metadata!V594="",FALSE,TRUE),exact(Metadata!V594,"Decimal degrees"))</f>
        <v>0</v>
      </c>
      <c r="BI594">
        <f>IF(Metadata!W594="",FALSE,TRUE)</f>
        <v>0</v>
      </c>
      <c r="BJ594">
        <f>OR(AND(IF(Metadata!X594="",FALSE,TRUE),OR(exact(Metadata!X594,"not collected"),exact(Metadata!X594,"not provided"),exact(Metadata!X594,"restricted access"))),AND(IF(Metadata!X594="",FALSE,TRUE),OR(exact(Metadata!X594,"TRUE"),exact(Metadata!X594,"FALSE"))))</f>
        <v>0</v>
      </c>
      <c r="BK594">
        <f>AND(IF(Metadata!Y594="",FALSE,TRUE),exact(Metadata!Y594,"other"))</f>
        <v>0</v>
      </c>
      <c r="BL594">
        <f>IF(Metadata!Z594="",FALSE,TRUE)</f>
        <v>0</v>
      </c>
      <c r="BM594">
        <f>OR(AND(IF(Metadata!AA594="",FALSE,TRUE),OR(exact(Metadata!AA594,"not collected"),exact(Metadata!AA594,"not provided"))),AND(IF(Metadata!AA594="",FALSE,IF(ISERROR(INT(Metadata!AA594)),FALSE,INT(Metadata!AA594)=Metadata!AA594)),Metadata!AA594&gt;0))</f>
        <v>0</v>
      </c>
      <c r="BN594">
        <f>AND(IF(Metadata!AB594="",FALSE,TRUE),exact(Metadata!AB594,"Not applicable"))</f>
        <v>0</v>
      </c>
      <c r="BO594">
        <f>IF(Metadata!AC594="",FALSE,TRUE)</f>
        <v>0</v>
      </c>
    </row>
    <row r="595" spans="1:67">
      <c r="A595" s="5">
        <f>IF(B595=" "," ",HYPERLINK(CONCATENATE("#metadata!",ADDRESS(INDEX($AI$2:$AI$1001,MATCH(ROWS($AG$2:AG595),$AG$2:$AG$1001,0),0),1)),INDEX($AL$2:$AL$1001,MATCH(ROWS($AG$2:AG595),$AG$2:$AG$1001,0),0)))</f>
        <v>0</v>
      </c>
      <c r="B595" s="4">
        <f>IF(OR(INDEX($AH$2:$AH$1001,MATCH(ROWS($AG$2:AG595),$AG$2:$AG$1001,0),1)&gt;=100000,INDEX($AN$1005:$BO$1005,1,MATCH(COLUMNS($AN$1006:AN1006),$AN$1006:$BO$1006,0))&gt;=100000), " ",IF(INDEX($AN$2:$BO$1001,MATCH(ROWS($AG$2:AG595),$AG$2:$AG$1001,0),MATCH(COLUMNS($AN$1006:AN1006),$AN$1006:$BO$1006,0)), HYPERLINK("#",""), HYPERLINK(CONCATENATE("#Metadata!", ADDRESS(INDEX($AI$2:$AI$1001,MATCH(ROWS($AG$2:AG595),$AG$2:$AG$1001,0),0), INDEX($AN$1004:$BO$1004,1,MATCH(COLUMNS($AN$1006:AN1006),$AN$1006:$BO$1006,0)))),"Fix")))</f>
        <v>0</v>
      </c>
      <c r="C595" s="4">
        <f>IF(OR(INDEX($AH$2:$AH$1001,MATCH(ROWS($AG$2:AG595),$AG$2:$AG$1001,0),1)&gt;=100000,INDEX($AN$1005:$BO$1005,1,MATCH(COLUMNS($AN$1006:AO1006),$AN$1006:$BO$1006,0))&gt;=100000), " ",IF(INDEX($AN$2:$BO$1001,MATCH(ROWS($AG$2:AG595),$AG$2:$AG$1001,0),MATCH(COLUMNS($AN$1006:AO1006),$AN$1006:$BO$1006,0)), HYPERLINK("#",""), HYPERLINK(CONCATENATE("#Metadata!", ADDRESS(INDEX($AI$2:$AI$1001,MATCH(ROWS($AG$2:AG595),$AG$2:$AG$1001,0),0), INDEX($AN$1004:$BO$1004,1,MATCH(COLUMNS($AN$1006:AO1006),$AN$1006:$BO$1006,0)))),"Fix")))</f>
        <v>0</v>
      </c>
      <c r="D595" s="4">
        <f>IF(OR(INDEX($AH$2:$AH$1001,MATCH(ROWS($AG$2:AG595),$AG$2:$AG$1001,0),1)&gt;=100000,INDEX($AN$1005:$BO$1005,1,MATCH(COLUMNS($AN$1006:AP1006),$AN$1006:$BO$1006,0))&gt;=100000), " ",IF(INDEX($AN$2:$BO$1001,MATCH(ROWS($AG$2:AG595),$AG$2:$AG$1001,0),MATCH(COLUMNS($AN$1006:AP1006),$AN$1006:$BO$1006,0)), HYPERLINK("#",""), HYPERLINK(CONCATENATE("#Metadata!", ADDRESS(INDEX($AI$2:$AI$1001,MATCH(ROWS($AG$2:AG595),$AG$2:$AG$1001,0),0), INDEX($AN$1004:$BO$1004,1,MATCH(COLUMNS($AN$1006:AP1006),$AN$1006:$BO$1006,0)))),"Fix")))</f>
        <v>0</v>
      </c>
      <c r="E595" s="4">
        <f>IF(OR(INDEX($AH$2:$AH$1001,MATCH(ROWS($AG$2:AG595),$AG$2:$AG$1001,0),1)&gt;=100000,INDEX($AN$1005:$BO$1005,1,MATCH(COLUMNS($AN$1006:AQ1006),$AN$1006:$BO$1006,0))&gt;=100000), " ",IF(INDEX($AN$2:$BO$1001,MATCH(ROWS($AG$2:AG595),$AG$2:$AG$1001,0),MATCH(COLUMNS($AN$1006:AQ1006),$AN$1006:$BO$1006,0)), HYPERLINK("#",""), HYPERLINK(CONCATENATE("#Metadata!", ADDRESS(INDEX($AI$2:$AI$1001,MATCH(ROWS($AG$2:AG595),$AG$2:$AG$1001,0),0), INDEX($AN$1004:$BO$1004,1,MATCH(COLUMNS($AN$1006:AQ1006),$AN$1006:$BO$1006,0)))),"Fix")))</f>
        <v>0</v>
      </c>
      <c r="F595" s="4">
        <f>IF(OR(INDEX($AH$2:$AH$1001,MATCH(ROWS($AG$2:AG595),$AG$2:$AG$1001,0),1)&gt;=100000,INDEX($AN$1005:$BO$1005,1,MATCH(COLUMNS($AN$1006:AR1006),$AN$1006:$BO$1006,0))&gt;=100000), " ",IF(INDEX($AN$2:$BO$1001,MATCH(ROWS($AG$2:AG595),$AG$2:$AG$1001,0),MATCH(COLUMNS($AN$1006:AR1006),$AN$1006:$BO$1006,0)), HYPERLINK("#",""), HYPERLINK(CONCATENATE("#Metadata!", ADDRESS(INDEX($AI$2:$AI$1001,MATCH(ROWS($AG$2:AG595),$AG$2:$AG$1001,0),0), INDEX($AN$1004:$BO$1004,1,MATCH(COLUMNS($AN$1006:AR1006),$AN$1006:$BO$1006,0)))),"Fix")))</f>
        <v>0</v>
      </c>
      <c r="G595" s="4">
        <f>IF(OR(INDEX($AH$2:$AH$1001,MATCH(ROWS($AG$2:AG595),$AG$2:$AG$1001,0),1)&gt;=100000,INDEX($AN$1005:$BO$1005,1,MATCH(COLUMNS($AN$1006:AS1006),$AN$1006:$BO$1006,0))&gt;=100000), " ",IF(INDEX($AN$2:$BO$1001,MATCH(ROWS($AG$2:AG595),$AG$2:$AG$1001,0),MATCH(COLUMNS($AN$1006:AS1006),$AN$1006:$BO$1006,0)), HYPERLINK("#",""), HYPERLINK(CONCATENATE("#Metadata!", ADDRESS(INDEX($AI$2:$AI$1001,MATCH(ROWS($AG$2:AG595),$AG$2:$AG$1001,0),0), INDEX($AN$1004:$BO$1004,1,MATCH(COLUMNS($AN$1006:AS1006),$AN$1006:$BO$1006,0)))),"Fix")))</f>
        <v>0</v>
      </c>
      <c r="H595" s="4">
        <f>IF(OR(INDEX($AH$2:$AH$1001,MATCH(ROWS($AG$2:AG595),$AG$2:$AG$1001,0),1)&gt;=100000,INDEX($AN$1005:$BO$1005,1,MATCH(COLUMNS($AN$1006:AT1006),$AN$1006:$BO$1006,0))&gt;=100000), " ",IF(INDEX($AN$2:$BO$1001,MATCH(ROWS($AG$2:AG595),$AG$2:$AG$1001,0),MATCH(COLUMNS($AN$1006:AT1006),$AN$1006:$BO$1006,0)), HYPERLINK("#",""), HYPERLINK(CONCATENATE("#Metadata!", ADDRESS(INDEX($AI$2:$AI$1001,MATCH(ROWS($AG$2:AG595),$AG$2:$AG$1001,0),0), INDEX($AN$1004:$BO$1004,1,MATCH(COLUMNS($AN$1006:AT1006),$AN$1006:$BO$1006,0)))),"Fix")))</f>
        <v>0</v>
      </c>
      <c r="I595" s="4">
        <f>IF(OR(INDEX($AH$2:$AH$1001,MATCH(ROWS($AG$2:AG595),$AG$2:$AG$1001,0),1)&gt;=100000,INDEX($AN$1005:$BO$1005,1,MATCH(COLUMNS($AN$1006:AU1006),$AN$1006:$BO$1006,0))&gt;=100000), " ",IF(INDEX($AN$2:$BO$1001,MATCH(ROWS($AG$2:AG595),$AG$2:$AG$1001,0),MATCH(COLUMNS($AN$1006:AU1006),$AN$1006:$BO$1006,0)), HYPERLINK("#",""), HYPERLINK(CONCATENATE("#Metadata!", ADDRESS(INDEX($AI$2:$AI$1001,MATCH(ROWS($AG$2:AG595),$AG$2:$AG$1001,0),0), INDEX($AN$1004:$BO$1004,1,MATCH(COLUMNS($AN$1006:AU1006),$AN$1006:$BO$1006,0)))),"Fix")))</f>
        <v>0</v>
      </c>
      <c r="J595" s="4">
        <f>IF(OR(INDEX($AH$2:$AH$1001,MATCH(ROWS($AG$2:AG595),$AG$2:$AG$1001,0),1)&gt;=100000,INDEX($AN$1005:$BO$1005,1,MATCH(COLUMNS($AN$1006:AV1006),$AN$1006:$BO$1006,0))&gt;=100000), " ",IF(INDEX($AN$2:$BO$1001,MATCH(ROWS($AG$2:AG595),$AG$2:$AG$1001,0),MATCH(COLUMNS($AN$1006:AV1006),$AN$1006:$BO$1006,0)), HYPERLINK("#",""), HYPERLINK(CONCATENATE("#Metadata!", ADDRESS(INDEX($AI$2:$AI$1001,MATCH(ROWS($AG$2:AG595),$AG$2:$AG$1001,0),0), INDEX($AN$1004:$BO$1004,1,MATCH(COLUMNS($AN$1006:AV1006),$AN$1006:$BO$1006,0)))),"Fix")))</f>
        <v>0</v>
      </c>
      <c r="K595" s="4">
        <f>IF(OR(INDEX($AH$2:$AH$1001,MATCH(ROWS($AG$2:AG595),$AG$2:$AG$1001,0),1)&gt;=100000,INDEX($AN$1005:$BO$1005,1,MATCH(COLUMNS($AN$1006:AW1006),$AN$1006:$BO$1006,0))&gt;=100000), " ",IF(INDEX($AN$2:$BO$1001,MATCH(ROWS($AG$2:AG595),$AG$2:$AG$1001,0),MATCH(COLUMNS($AN$1006:AW1006),$AN$1006:$BO$1006,0)), HYPERLINK("#",""), HYPERLINK(CONCATENATE("#Metadata!", ADDRESS(INDEX($AI$2:$AI$1001,MATCH(ROWS($AG$2:AG595),$AG$2:$AG$1001,0),0), INDEX($AN$1004:$BO$1004,1,MATCH(COLUMNS($AN$1006:AW1006),$AN$1006:$BO$1006,0)))),"Fix")))</f>
        <v>0</v>
      </c>
      <c r="L595" s="4">
        <f>IF(OR(INDEX($AH$2:$AH$1001,MATCH(ROWS($AG$2:AG595),$AG$2:$AG$1001,0),1)&gt;=100000,INDEX($AN$1005:$BO$1005,1,MATCH(COLUMNS($AN$1006:AX1006),$AN$1006:$BO$1006,0))&gt;=100000), " ",IF(INDEX($AN$2:$BO$1001,MATCH(ROWS($AG$2:AG595),$AG$2:$AG$1001,0),MATCH(COLUMNS($AN$1006:AX1006),$AN$1006:$BO$1006,0)), HYPERLINK("#",""), HYPERLINK(CONCATENATE("#Metadata!", ADDRESS(INDEX($AI$2:$AI$1001,MATCH(ROWS($AG$2:AG595),$AG$2:$AG$1001,0),0), INDEX($AN$1004:$BO$1004,1,MATCH(COLUMNS($AN$1006:AX1006),$AN$1006:$BO$1006,0)))),"Fix")))</f>
        <v>0</v>
      </c>
      <c r="M595" s="4">
        <f>IF(OR(INDEX($AH$2:$AH$1001,MATCH(ROWS($AG$2:AG595),$AG$2:$AG$1001,0),1)&gt;=100000,INDEX($AN$1005:$BO$1005,1,MATCH(COLUMNS($AN$1006:AY1006),$AN$1006:$BO$1006,0))&gt;=100000), " ",IF(INDEX($AN$2:$BO$1001,MATCH(ROWS($AG$2:AG595),$AG$2:$AG$1001,0),MATCH(COLUMNS($AN$1006:AY1006),$AN$1006:$BO$1006,0)), HYPERLINK("#",""), HYPERLINK(CONCATENATE("#Metadata!", ADDRESS(INDEX($AI$2:$AI$1001,MATCH(ROWS($AG$2:AG595),$AG$2:$AG$1001,0),0), INDEX($AN$1004:$BO$1004,1,MATCH(COLUMNS($AN$1006:AY1006),$AN$1006:$BO$1006,0)))),"Fix")))</f>
        <v>0</v>
      </c>
      <c r="N595" s="4">
        <f>IF(OR(INDEX($AH$2:$AH$1001,MATCH(ROWS($AG$2:AG595),$AG$2:$AG$1001,0),1)&gt;=100000,INDEX($AN$1005:$BO$1005,1,MATCH(COLUMNS($AN$1006:AZ1006),$AN$1006:$BO$1006,0))&gt;=100000), " ",IF(INDEX($AN$2:$BO$1001,MATCH(ROWS($AG$2:AG595),$AG$2:$AG$1001,0),MATCH(COLUMNS($AN$1006:AZ1006),$AN$1006:$BO$1006,0)), HYPERLINK("#",""), HYPERLINK(CONCATENATE("#Metadata!", ADDRESS(INDEX($AI$2:$AI$1001,MATCH(ROWS($AG$2:AG595),$AG$2:$AG$1001,0),0), INDEX($AN$1004:$BO$1004,1,MATCH(COLUMNS($AN$1006:AZ1006),$AN$1006:$BO$1006,0)))),"Fix")))</f>
        <v>0</v>
      </c>
      <c r="O595" s="4">
        <f>IF(OR(INDEX($AH$2:$AH$1001,MATCH(ROWS($AG$2:AG595),$AG$2:$AG$1001,0),1)&gt;=100000,INDEX($AN$1005:$BO$1005,1,MATCH(COLUMNS($AN$1006:BA1006),$AN$1006:$BO$1006,0))&gt;=100000), " ",IF(INDEX($AN$2:$BO$1001,MATCH(ROWS($AG$2:AG595),$AG$2:$AG$1001,0),MATCH(COLUMNS($AN$1006:BA1006),$AN$1006:$BO$1006,0)), HYPERLINK("#",""), HYPERLINK(CONCATENATE("#Metadata!", ADDRESS(INDEX($AI$2:$AI$1001,MATCH(ROWS($AG$2:AG595),$AG$2:$AG$1001,0),0), INDEX($AN$1004:$BO$1004,1,MATCH(COLUMNS($AN$1006:BA1006),$AN$1006:$BO$1006,0)))),"Fix")))</f>
        <v>0</v>
      </c>
      <c r="P595" s="4">
        <f>IF(OR(INDEX($AH$2:$AH$1001,MATCH(ROWS($AG$2:AG595),$AG$2:$AG$1001,0),1)&gt;=100000,INDEX($AN$1005:$BO$1005,1,MATCH(COLUMNS($AN$1006:BB1006),$AN$1006:$BO$1006,0))&gt;=100000), " ",IF(INDEX($AN$2:$BO$1001,MATCH(ROWS($AG$2:AG595),$AG$2:$AG$1001,0),MATCH(COLUMNS($AN$1006:BB1006),$AN$1006:$BO$1006,0)), HYPERLINK("#",""), HYPERLINK(CONCATENATE("#Metadata!", ADDRESS(INDEX($AI$2:$AI$1001,MATCH(ROWS($AG$2:AG595),$AG$2:$AG$1001,0),0), INDEX($AN$1004:$BO$1004,1,MATCH(COLUMNS($AN$1006:BB1006),$AN$1006:$BO$1006,0)))),"Fix")))</f>
        <v>0</v>
      </c>
      <c r="Q595" s="4">
        <f>IF(OR(INDEX($AH$2:$AH$1001,MATCH(ROWS($AG$2:AG595),$AG$2:$AG$1001,0),1)&gt;=100000,INDEX($AN$1005:$BO$1005,1,MATCH(COLUMNS($AN$1006:BC1006),$AN$1006:$BO$1006,0))&gt;=100000), " ",IF(INDEX($AN$2:$BO$1001,MATCH(ROWS($AG$2:AG595),$AG$2:$AG$1001,0),MATCH(COLUMNS($AN$1006:BC1006),$AN$1006:$BO$1006,0)), HYPERLINK("#",""), HYPERLINK(CONCATENATE("#Metadata!", ADDRESS(INDEX($AI$2:$AI$1001,MATCH(ROWS($AG$2:AG595),$AG$2:$AG$1001,0),0), INDEX($AN$1004:$BO$1004,1,MATCH(COLUMNS($AN$1006:BC1006),$AN$1006:$BO$1006,0)))),"Fix")))</f>
        <v>0</v>
      </c>
      <c r="R595" s="4">
        <f>IF(OR(INDEX($AH$2:$AH$1001,MATCH(ROWS($AG$2:AG595),$AG$2:$AG$1001,0),1)&gt;=100000,INDEX($AN$1005:$BO$1005,1,MATCH(COLUMNS($AN$1006:BD1006),$AN$1006:$BO$1006,0))&gt;=100000), " ",IF(INDEX($AN$2:$BO$1001,MATCH(ROWS($AG$2:AG595),$AG$2:$AG$1001,0),MATCH(COLUMNS($AN$1006:BD1006),$AN$1006:$BO$1006,0)), HYPERLINK("#",""), HYPERLINK(CONCATENATE("#Metadata!", ADDRESS(INDEX($AI$2:$AI$1001,MATCH(ROWS($AG$2:AG595),$AG$2:$AG$1001,0),0), INDEX($AN$1004:$BO$1004,1,MATCH(COLUMNS($AN$1006:BD1006),$AN$1006:$BO$1006,0)))),"Fix")))</f>
        <v>0</v>
      </c>
      <c r="S595" s="4">
        <f>IF(OR(INDEX($AH$2:$AH$1001,MATCH(ROWS($AG$2:AG595),$AG$2:$AG$1001,0),1)&gt;=100000,INDEX($AN$1005:$BO$1005,1,MATCH(COLUMNS($AN$1006:BE1006),$AN$1006:$BO$1006,0))&gt;=100000), " ",IF(INDEX($AN$2:$BO$1001,MATCH(ROWS($AG$2:AG595),$AG$2:$AG$1001,0),MATCH(COLUMNS($AN$1006:BE1006),$AN$1006:$BO$1006,0)), HYPERLINK("#",""), HYPERLINK(CONCATENATE("#Metadata!", ADDRESS(INDEX($AI$2:$AI$1001,MATCH(ROWS($AG$2:AG595),$AG$2:$AG$1001,0),0), INDEX($AN$1004:$BO$1004,1,MATCH(COLUMNS($AN$1006:BE1006),$AN$1006:$BO$1006,0)))),"Fix")))</f>
        <v>0</v>
      </c>
      <c r="T595" s="4">
        <f>IF(OR(INDEX($AH$2:$AH$1001,MATCH(ROWS($AG$2:AG595),$AG$2:$AG$1001,0),1)&gt;=100000,INDEX($AN$1005:$BO$1005,1,MATCH(COLUMNS($AN$1006:BF1006),$AN$1006:$BO$1006,0))&gt;=100000), " ",IF(INDEX($AN$2:$BO$1001,MATCH(ROWS($AG$2:AG595),$AG$2:$AG$1001,0),MATCH(COLUMNS($AN$1006:BF1006),$AN$1006:$BO$1006,0)), HYPERLINK("#",""), HYPERLINK(CONCATENATE("#Metadata!", ADDRESS(INDEX($AI$2:$AI$1001,MATCH(ROWS($AG$2:AG595),$AG$2:$AG$1001,0),0), INDEX($AN$1004:$BO$1004,1,MATCH(COLUMNS($AN$1006:BF1006),$AN$1006:$BO$1006,0)))),"Fix")))</f>
        <v>0</v>
      </c>
      <c r="U595" s="4">
        <f>IF(OR(INDEX($AH$2:$AH$1001,MATCH(ROWS($AG$2:AG595),$AG$2:$AG$1001,0),1)&gt;=100000,INDEX($AN$1005:$BO$1005,1,MATCH(COLUMNS($AN$1006:BG1006),$AN$1006:$BO$1006,0))&gt;=100000), " ",IF(INDEX($AN$2:$BO$1001,MATCH(ROWS($AG$2:AG595),$AG$2:$AG$1001,0),MATCH(COLUMNS($AN$1006:BG1006),$AN$1006:$BO$1006,0)), HYPERLINK("#",""), HYPERLINK(CONCATENATE("#Metadata!", ADDRESS(INDEX($AI$2:$AI$1001,MATCH(ROWS($AG$2:AG595),$AG$2:$AG$1001,0),0), INDEX($AN$1004:$BO$1004,1,MATCH(COLUMNS($AN$1006:BG1006),$AN$1006:$BO$1006,0)))),"Fix")))</f>
        <v>0</v>
      </c>
      <c r="V595" s="4">
        <f>IF(OR(INDEX($AH$2:$AH$1001,MATCH(ROWS($AG$2:AG595),$AG$2:$AG$1001,0),1)&gt;=100000,INDEX($AN$1005:$BO$1005,1,MATCH(COLUMNS($AN$1006:BH1006),$AN$1006:$BO$1006,0))&gt;=100000), " ",IF(INDEX($AN$2:$BO$1001,MATCH(ROWS($AG$2:AG595),$AG$2:$AG$1001,0),MATCH(COLUMNS($AN$1006:BH1006),$AN$1006:$BO$1006,0)), HYPERLINK("#",""), HYPERLINK(CONCATENATE("#Metadata!", ADDRESS(INDEX($AI$2:$AI$1001,MATCH(ROWS($AG$2:AG595),$AG$2:$AG$1001,0),0), INDEX($AN$1004:$BO$1004,1,MATCH(COLUMNS($AN$1006:BH1006),$AN$1006:$BO$1006,0)))),"Fix")))</f>
        <v>0</v>
      </c>
      <c r="W595" s="4">
        <f>IF(OR(INDEX($AH$2:$AH$1001,MATCH(ROWS($AG$2:AG595),$AG$2:$AG$1001,0),1)&gt;=100000,INDEX($AN$1005:$BO$1005,1,MATCH(COLUMNS($AN$1006:BI1006),$AN$1006:$BO$1006,0))&gt;=100000), " ",IF(INDEX($AN$2:$BO$1001,MATCH(ROWS($AG$2:AG595),$AG$2:$AG$1001,0),MATCH(COLUMNS($AN$1006:BI1006),$AN$1006:$BO$1006,0)), HYPERLINK("#",""), HYPERLINK(CONCATENATE("#Metadata!", ADDRESS(INDEX($AI$2:$AI$1001,MATCH(ROWS($AG$2:AG595),$AG$2:$AG$1001,0),0), INDEX($AN$1004:$BO$1004,1,MATCH(COLUMNS($AN$1006:BI1006),$AN$1006:$BO$1006,0)))),"Fix")))</f>
        <v>0</v>
      </c>
      <c r="X595" s="4">
        <f>IF(OR(INDEX($AH$2:$AH$1001,MATCH(ROWS($AG$2:AG595),$AG$2:$AG$1001,0),1)&gt;=100000,INDEX($AN$1005:$BO$1005,1,MATCH(COLUMNS($AN$1006:BJ1006),$AN$1006:$BO$1006,0))&gt;=100000), " ",IF(INDEX($AN$2:$BO$1001,MATCH(ROWS($AG$2:AG595),$AG$2:$AG$1001,0),MATCH(COLUMNS($AN$1006:BJ1006),$AN$1006:$BO$1006,0)), HYPERLINK("#",""), HYPERLINK(CONCATENATE("#Metadata!", ADDRESS(INDEX($AI$2:$AI$1001,MATCH(ROWS($AG$2:AG595),$AG$2:$AG$1001,0),0), INDEX($AN$1004:$BO$1004,1,MATCH(COLUMNS($AN$1006:BJ1006),$AN$1006:$BO$1006,0)))),"Fix")))</f>
        <v>0</v>
      </c>
      <c r="Y595" s="4">
        <f>IF(OR(INDEX($AH$2:$AH$1001,MATCH(ROWS($AG$2:AG595),$AG$2:$AG$1001,0),1)&gt;=100000,INDEX($AN$1005:$BO$1005,1,MATCH(COLUMNS($AN$1006:BK1006),$AN$1006:$BO$1006,0))&gt;=100000), " ",IF(INDEX($AN$2:$BO$1001,MATCH(ROWS($AG$2:AG595),$AG$2:$AG$1001,0),MATCH(COLUMNS($AN$1006:BK1006),$AN$1006:$BO$1006,0)), HYPERLINK("#",""), HYPERLINK(CONCATENATE("#Metadata!", ADDRESS(INDEX($AI$2:$AI$1001,MATCH(ROWS($AG$2:AG595),$AG$2:$AG$1001,0),0), INDEX($AN$1004:$BO$1004,1,MATCH(COLUMNS($AN$1006:BK1006),$AN$1006:$BO$1006,0)))),"Fix")))</f>
        <v>0</v>
      </c>
      <c r="Z595" s="4">
        <f>IF(OR(INDEX($AH$2:$AH$1001,MATCH(ROWS($AG$2:AG595),$AG$2:$AG$1001,0),1)&gt;=100000,INDEX($AN$1005:$BO$1005,1,MATCH(COLUMNS($AN$1006:BL1006),$AN$1006:$BO$1006,0))&gt;=100000), " ",IF(INDEX($AN$2:$BO$1001,MATCH(ROWS($AG$2:AG595),$AG$2:$AG$1001,0),MATCH(COLUMNS($AN$1006:BL1006),$AN$1006:$BO$1006,0)), HYPERLINK("#",""), HYPERLINK(CONCATENATE("#Metadata!", ADDRESS(INDEX($AI$2:$AI$1001,MATCH(ROWS($AG$2:AG595),$AG$2:$AG$1001,0),0), INDEX($AN$1004:$BO$1004,1,MATCH(COLUMNS($AN$1006:BL1006),$AN$1006:$BO$1006,0)))),"Fix")))</f>
        <v>0</v>
      </c>
      <c r="AA595" s="4">
        <f>IF(OR(INDEX($AH$2:$AH$1001,MATCH(ROWS($AG$2:AG595),$AG$2:$AG$1001,0),1)&gt;=100000,INDEX($AN$1005:$BO$1005,1,MATCH(COLUMNS($AN$1006:BM1006),$AN$1006:$BO$1006,0))&gt;=100000), " ",IF(INDEX($AN$2:$BO$1001,MATCH(ROWS($AG$2:AG595),$AG$2:$AG$1001,0),MATCH(COLUMNS($AN$1006:BM1006),$AN$1006:$BO$1006,0)), HYPERLINK("#",""), HYPERLINK(CONCATENATE("#Metadata!", ADDRESS(INDEX($AI$2:$AI$1001,MATCH(ROWS($AG$2:AG595),$AG$2:$AG$1001,0),0), INDEX($AN$1004:$BO$1004,1,MATCH(COLUMNS($AN$1006:BM1006),$AN$1006:$BO$1006,0)))),"Fix")))</f>
        <v>0</v>
      </c>
      <c r="AB595" s="4">
        <f>IF(OR(INDEX($AH$2:$AH$1001,MATCH(ROWS($AG$2:AG595),$AG$2:$AG$1001,0),1)&gt;=100000,INDEX($AN$1005:$BO$1005,1,MATCH(COLUMNS($AN$1006:BN1006),$AN$1006:$BO$1006,0))&gt;=100000), " ",IF(INDEX($AN$2:$BO$1001,MATCH(ROWS($AG$2:AG595),$AG$2:$AG$1001,0),MATCH(COLUMNS($AN$1006:BN1006),$AN$1006:$BO$1006,0)), HYPERLINK("#",""), HYPERLINK(CONCATENATE("#Metadata!", ADDRESS(INDEX($AI$2:$AI$1001,MATCH(ROWS($AG$2:AG595),$AG$2:$AG$1001,0),0), INDEX($AN$1004:$BO$1004,1,MATCH(COLUMNS($AN$1006:BN1006),$AN$1006:$BO$1006,0)))),"Fix")))</f>
        <v>0</v>
      </c>
      <c r="AC595" s="4">
        <f>IF(OR(INDEX($AH$2:$AH$1001,MATCH(ROWS($AG$2:AG595),$AG$2:$AG$1001,0),1)&gt;=100000,INDEX($AN$1005:$BO$1005,1,MATCH(COLUMNS($AN$1006:BO1006),$AN$1006:$BO$1006,0))&gt;=100000), " ",IF(INDEX($AN$2:$BO$1001,MATCH(ROWS($AG$2:AG595),$AG$2:$AG$1001,0),MATCH(COLUMNS($AN$1006:BO1006),$AN$1006:$BO$1006,0)), HYPERLINK("#",""), HYPERLINK(CONCATENATE("#Metadata!", ADDRESS(INDEX($AI$2:$AI$1001,MATCH(ROWS($AG$2:AG595),$AG$2:$AG$1001,0),0), INDEX($AN$1004:$BO$1004,1,MATCH(COLUMNS($AN$1006:BO1006),$AN$1006:$BO$1006,0)))),"Fix")))</f>
        <v>0</v>
      </c>
      <c r="AG595">
        <v>0</v>
      </c>
      <c r="AH595">
        <v>0</v>
      </c>
      <c r="AI595">
        <v>0</v>
      </c>
      <c r="AJ595">
        <f>IF(AK595,TRUE,AND(AN595:BO595))</f>
        <v>0</v>
      </c>
      <c r="AK595">
        <f>COUNTBLANK(Metadata!B595:AC595)=COLUMNS(Metadata!B595:AC595)</f>
        <v>0</v>
      </c>
      <c r="AL595">
        <v>0</v>
      </c>
      <c r="AN595">
        <f>AND(IF(Metadata!B595="",FALSE,TRUE),COUNTIF(Metadata!B:B, Metadata!B595) = 1,NOT(ISERROR(SUMPRODUCT(SEARCH(MID(Metadata!B595,ROW(INDIRECT("1:"&amp;LEN(Metadata!B595))), 1),"0123456789abcdefghijklmnopqrstuvwxyzABCDEFGHIJKLMNOPQRSTUVWXYZ.")))))</f>
        <v>0</v>
      </c>
      <c r="AO595">
        <f>IF(Metadata!C595="",FALSE,TRUE)</f>
        <v>0</v>
      </c>
      <c r="AP595">
        <f>IF(Metadata!D595="",FALSE,TRUE)</f>
        <v>0</v>
      </c>
      <c r="AQ595">
        <f>OR(AND(IF(Metadata!E595="",FALSE,TRUE),OR(exact(Metadata!E595,"not collected"),exact(Metadata!E595,"not provided"),exact(Metadata!E595,"restricted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R595">
        <f>IF(Metadata!F595="",FALSE,TRUE)</f>
        <v>0</v>
      </c>
      <c r="AS595">
        <f>OR(AND(IF(Metadata!G595="",FALSE,TRUE),OR(exact(Metadata!G595,"not collected"),exact(Metadata!G595,"not provided"))),AND(IF(Metadata!G595="",FALSE,TRUE),OR(exact(Metadata!G595,"TRUE"),exact(Metadata!G595,"FALSE"))))</f>
        <v>0</v>
      </c>
      <c r="AT595">
        <f>OR(AND(IF(Metadata!H595="",FALSE,TRUE),OR(exact(Metadata!H595,"not collected"),exact(Metadata!H595,"not provided"),exact(Metadata!H595,"restricted access"))),AND(IF(Metadata!H595="",FALSE,ISNUMBER(VALUE(Metadata!H595))),Metadata!H595&gt;=-413.0))</f>
        <v>0</v>
      </c>
      <c r="AU595">
        <f>AND(IF(Metadata!I595="",FALSE,TRUE),exact(Metadata!I595,"meters"))</f>
        <v>0</v>
      </c>
      <c r="AV595">
        <f>AND(IF(Metadata!J595="",FALSE,TRUE),OR(exact(Metadata!J595,"Host-associated"),exact(Metadata!J595,"Free-living")))</f>
        <v>0</v>
      </c>
      <c r="AW595">
        <f>AND(IF(Metadata!K595="",FALSE,TRUE),OR(exact(Metadata!K595,"Animal"),exact(Metadata!K595,"Fungus"),exact(Metadata!K595,"Plant"),exact(Metadata!K595,"Saline"),exact(Metadata!K595,"Non-saline")))</f>
        <v>0</v>
      </c>
      <c r="AX595">
        <f>AND(IF(Metadata!L595="",FALSE,TRUE),OR(exact(Metadata!L595,"Plant secretion"),exact(Metadata!L595,"Plant rhizosphere"),exact(Metadata!L595,"Plant surface"),exact(Metadata!L595,"Plant corpus"),exact(Metadata!L595,"Fungus surface"),exact(Metadata!L595,"Fungus corpus"),exact(Metadata!L595,"Animal surface"),exact(Metadata!L595,"Animal proximal gut"),exact(Metadata!L595,"Animal corpus"),exact(Metadata!L595,"Animal distal gut"),exact(Metadata!L595,"Animal secretion"),exact(Metadata!L595,"Sub-surface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Y595">
        <f>IF(Metadata!M595="",FALSE,TRUE)</f>
        <v>0</v>
      </c>
      <c r="AZ595">
        <f>IF(Metadata!N595="",FALSE,TRUE)</f>
        <v>0</v>
      </c>
      <c r="BA595">
        <f>IF(Metadata!O595="",FALSE,TRUE)</f>
        <v>0</v>
      </c>
      <c r="BB595">
        <f>OR(AND(IF(Metadata!P595="",FALSE,TRUE),OR(exact(Metadata!P595,"not collected"),exact(Metadata!P595,"not provided"),exact(Metadata!P595,"restricted access"))),AND(IF(Metadata!P595="",FALSE,TRUE),OR(exact(Metadata!P595,"air"),exact(Metadata!P595,"built environment"),exact(Metadata!P595,"host-associated"),exact(Metadata!P595,"human-associated"),exact(Metadata!P595,"human-skin"),exact(Metadata!P595,"human-oral"),exact(Metadata!P595,"human-gut"),exact(Metadata!P595,"human-vaginal"),exact(Metadata!P595,"microbial mat/biofilm"),exact(Metadata!P595,"misc environment"),exact(Metadata!P595,"plant-associated"),exact(Metadata!P595,"sediment"),exact(Metadata!P595,"soil"),exact(Metadata!P595,"wastewater/sludge"),exact(Metadata!P595,"water"))))</f>
        <v>0</v>
      </c>
      <c r="BC595">
        <f>IF(Metadata!Q595="",FALSE,TRUE)</f>
        <v>0</v>
      </c>
      <c r="BD595">
        <f>IF(Metadata!R595="",FALSE,TRUE)</f>
        <v>0</v>
      </c>
      <c r="BE595">
        <f>OR(AND(IF(Metadata!S595="",FALSE,TRUE),OR(exact(Metadata!S595,"not collected"),exact(Metadata!S595,"not provided"),exact(Metadata!S595,"restricted access"))),AND(IF(Metadata!S595="",FALSE,ISNUMBER(VALUE(Metadata!S595))),Metadata!S595&gt;=-90.00,Metadata!S595&lt;=90.00))</f>
        <v>0</v>
      </c>
      <c r="BF595">
        <f>AND(IF(Metadata!T595="",FALSE,TRUE),exact(Metadata!T595,"Decimal degrees"))</f>
        <v>0</v>
      </c>
      <c r="BG595">
        <f>OR(AND(IF(Metadata!U595="",FALSE,TRUE),OR(exact(Metadata!U595,"not collected"),exact(Metadata!U595,"not provided"),exact(Metadata!U595,"restricted access"))),AND(IF(Metadata!U595="",FALSE,ISNUMBER(VALUE(Metadata!U595))),Metadata!U595&gt;=-180.00,Metadata!U595&lt;=180.00))</f>
        <v>0</v>
      </c>
      <c r="BH595">
        <f>AND(IF(Metadata!V595="",FALSE,TRUE),exact(Metadata!V595,"Decimal degrees"))</f>
        <v>0</v>
      </c>
      <c r="BI595">
        <f>IF(Metadata!W595="",FALSE,TRUE)</f>
        <v>0</v>
      </c>
      <c r="BJ595">
        <f>OR(AND(IF(Metadata!X595="",FALSE,TRUE),OR(exact(Metadata!X595,"not collected"),exact(Metadata!X595,"not provided"),exact(Metadata!X595,"restricted access"))),AND(IF(Metadata!X595="",FALSE,TRUE),OR(exact(Metadata!X595,"TRUE"),exact(Metadata!X595,"FALSE"))))</f>
        <v>0</v>
      </c>
      <c r="BK595">
        <f>AND(IF(Metadata!Y595="",FALSE,TRUE),exact(Metadata!Y595,"other"))</f>
        <v>0</v>
      </c>
      <c r="BL595">
        <f>IF(Metadata!Z595="",FALSE,TRUE)</f>
        <v>0</v>
      </c>
      <c r="BM595">
        <f>OR(AND(IF(Metadata!AA595="",FALSE,TRUE),OR(exact(Metadata!AA595,"not collected"),exact(Metadata!AA595,"not provided"))),AND(IF(Metadata!AA595="",FALSE,IF(ISERROR(INT(Metadata!AA595)),FALSE,INT(Metadata!AA595)=Metadata!AA595)),Metadata!AA595&gt;0))</f>
        <v>0</v>
      </c>
      <c r="BN595">
        <f>AND(IF(Metadata!AB595="",FALSE,TRUE),exact(Metadata!AB595,"Not applicable"))</f>
        <v>0</v>
      </c>
      <c r="BO595">
        <f>IF(Metadata!AC595="",FALSE,TRUE)</f>
        <v>0</v>
      </c>
    </row>
    <row r="596" spans="1:67">
      <c r="A596" s="5">
        <f>IF(B596=" "," ",HYPERLINK(CONCATENATE("#metadata!",ADDRESS(INDEX($AI$2:$AI$1001,MATCH(ROWS($AG$2:AG596),$AG$2:$AG$1001,0),0),1)),INDEX($AL$2:$AL$1001,MATCH(ROWS($AG$2:AG596),$AG$2:$AG$1001,0),0)))</f>
        <v>0</v>
      </c>
      <c r="B596" s="4">
        <f>IF(OR(INDEX($AH$2:$AH$1001,MATCH(ROWS($AG$2:AG596),$AG$2:$AG$1001,0),1)&gt;=100000,INDEX($AN$1005:$BO$1005,1,MATCH(COLUMNS($AN$1006:AN1006),$AN$1006:$BO$1006,0))&gt;=100000), " ",IF(INDEX($AN$2:$BO$1001,MATCH(ROWS($AG$2:AG596),$AG$2:$AG$1001,0),MATCH(COLUMNS($AN$1006:AN1006),$AN$1006:$BO$1006,0)), HYPERLINK("#",""), HYPERLINK(CONCATENATE("#Metadata!", ADDRESS(INDEX($AI$2:$AI$1001,MATCH(ROWS($AG$2:AG596),$AG$2:$AG$1001,0),0), INDEX($AN$1004:$BO$1004,1,MATCH(COLUMNS($AN$1006:AN1006),$AN$1006:$BO$1006,0)))),"Fix")))</f>
        <v>0</v>
      </c>
      <c r="C596" s="4">
        <f>IF(OR(INDEX($AH$2:$AH$1001,MATCH(ROWS($AG$2:AG596),$AG$2:$AG$1001,0),1)&gt;=100000,INDEX($AN$1005:$BO$1005,1,MATCH(COLUMNS($AN$1006:AO1006),$AN$1006:$BO$1006,0))&gt;=100000), " ",IF(INDEX($AN$2:$BO$1001,MATCH(ROWS($AG$2:AG596),$AG$2:$AG$1001,0),MATCH(COLUMNS($AN$1006:AO1006),$AN$1006:$BO$1006,0)), HYPERLINK("#",""), HYPERLINK(CONCATENATE("#Metadata!", ADDRESS(INDEX($AI$2:$AI$1001,MATCH(ROWS($AG$2:AG596),$AG$2:$AG$1001,0),0), INDEX($AN$1004:$BO$1004,1,MATCH(COLUMNS($AN$1006:AO1006),$AN$1006:$BO$1006,0)))),"Fix")))</f>
        <v>0</v>
      </c>
      <c r="D596" s="4">
        <f>IF(OR(INDEX($AH$2:$AH$1001,MATCH(ROWS($AG$2:AG596),$AG$2:$AG$1001,0),1)&gt;=100000,INDEX($AN$1005:$BO$1005,1,MATCH(COLUMNS($AN$1006:AP1006),$AN$1006:$BO$1006,0))&gt;=100000), " ",IF(INDEX($AN$2:$BO$1001,MATCH(ROWS($AG$2:AG596),$AG$2:$AG$1001,0),MATCH(COLUMNS($AN$1006:AP1006),$AN$1006:$BO$1006,0)), HYPERLINK("#",""), HYPERLINK(CONCATENATE("#Metadata!", ADDRESS(INDEX($AI$2:$AI$1001,MATCH(ROWS($AG$2:AG596),$AG$2:$AG$1001,0),0), INDEX($AN$1004:$BO$1004,1,MATCH(COLUMNS($AN$1006:AP1006),$AN$1006:$BO$1006,0)))),"Fix")))</f>
        <v>0</v>
      </c>
      <c r="E596" s="4">
        <f>IF(OR(INDEX($AH$2:$AH$1001,MATCH(ROWS($AG$2:AG596),$AG$2:$AG$1001,0),1)&gt;=100000,INDEX($AN$1005:$BO$1005,1,MATCH(COLUMNS($AN$1006:AQ1006),$AN$1006:$BO$1006,0))&gt;=100000), " ",IF(INDEX($AN$2:$BO$1001,MATCH(ROWS($AG$2:AG596),$AG$2:$AG$1001,0),MATCH(COLUMNS($AN$1006:AQ1006),$AN$1006:$BO$1006,0)), HYPERLINK("#",""), HYPERLINK(CONCATENATE("#Metadata!", ADDRESS(INDEX($AI$2:$AI$1001,MATCH(ROWS($AG$2:AG596),$AG$2:$AG$1001,0),0), INDEX($AN$1004:$BO$1004,1,MATCH(COLUMNS($AN$1006:AQ1006),$AN$1006:$BO$1006,0)))),"Fix")))</f>
        <v>0</v>
      </c>
      <c r="F596" s="4">
        <f>IF(OR(INDEX($AH$2:$AH$1001,MATCH(ROWS($AG$2:AG596),$AG$2:$AG$1001,0),1)&gt;=100000,INDEX($AN$1005:$BO$1005,1,MATCH(COLUMNS($AN$1006:AR1006),$AN$1006:$BO$1006,0))&gt;=100000), " ",IF(INDEX($AN$2:$BO$1001,MATCH(ROWS($AG$2:AG596),$AG$2:$AG$1001,0),MATCH(COLUMNS($AN$1006:AR1006),$AN$1006:$BO$1006,0)), HYPERLINK("#",""), HYPERLINK(CONCATENATE("#Metadata!", ADDRESS(INDEX($AI$2:$AI$1001,MATCH(ROWS($AG$2:AG596),$AG$2:$AG$1001,0),0), INDEX($AN$1004:$BO$1004,1,MATCH(COLUMNS($AN$1006:AR1006),$AN$1006:$BO$1006,0)))),"Fix")))</f>
        <v>0</v>
      </c>
      <c r="G596" s="4">
        <f>IF(OR(INDEX($AH$2:$AH$1001,MATCH(ROWS($AG$2:AG596),$AG$2:$AG$1001,0),1)&gt;=100000,INDEX($AN$1005:$BO$1005,1,MATCH(COLUMNS($AN$1006:AS1006),$AN$1006:$BO$1006,0))&gt;=100000), " ",IF(INDEX($AN$2:$BO$1001,MATCH(ROWS($AG$2:AG596),$AG$2:$AG$1001,0),MATCH(COLUMNS($AN$1006:AS1006),$AN$1006:$BO$1006,0)), HYPERLINK("#",""), HYPERLINK(CONCATENATE("#Metadata!", ADDRESS(INDEX($AI$2:$AI$1001,MATCH(ROWS($AG$2:AG596),$AG$2:$AG$1001,0),0), INDEX($AN$1004:$BO$1004,1,MATCH(COLUMNS($AN$1006:AS1006),$AN$1006:$BO$1006,0)))),"Fix")))</f>
        <v>0</v>
      </c>
      <c r="H596" s="4">
        <f>IF(OR(INDEX($AH$2:$AH$1001,MATCH(ROWS($AG$2:AG596),$AG$2:$AG$1001,0),1)&gt;=100000,INDEX($AN$1005:$BO$1005,1,MATCH(COLUMNS($AN$1006:AT1006),$AN$1006:$BO$1006,0))&gt;=100000), " ",IF(INDEX($AN$2:$BO$1001,MATCH(ROWS($AG$2:AG596),$AG$2:$AG$1001,0),MATCH(COLUMNS($AN$1006:AT1006),$AN$1006:$BO$1006,0)), HYPERLINK("#",""), HYPERLINK(CONCATENATE("#Metadata!", ADDRESS(INDEX($AI$2:$AI$1001,MATCH(ROWS($AG$2:AG596),$AG$2:$AG$1001,0),0), INDEX($AN$1004:$BO$1004,1,MATCH(COLUMNS($AN$1006:AT1006),$AN$1006:$BO$1006,0)))),"Fix")))</f>
        <v>0</v>
      </c>
      <c r="I596" s="4">
        <f>IF(OR(INDEX($AH$2:$AH$1001,MATCH(ROWS($AG$2:AG596),$AG$2:$AG$1001,0),1)&gt;=100000,INDEX($AN$1005:$BO$1005,1,MATCH(COLUMNS($AN$1006:AU1006),$AN$1006:$BO$1006,0))&gt;=100000), " ",IF(INDEX($AN$2:$BO$1001,MATCH(ROWS($AG$2:AG596),$AG$2:$AG$1001,0),MATCH(COLUMNS($AN$1006:AU1006),$AN$1006:$BO$1006,0)), HYPERLINK("#",""), HYPERLINK(CONCATENATE("#Metadata!", ADDRESS(INDEX($AI$2:$AI$1001,MATCH(ROWS($AG$2:AG596),$AG$2:$AG$1001,0),0), INDEX($AN$1004:$BO$1004,1,MATCH(COLUMNS($AN$1006:AU1006),$AN$1006:$BO$1006,0)))),"Fix")))</f>
        <v>0</v>
      </c>
      <c r="J596" s="4">
        <f>IF(OR(INDEX($AH$2:$AH$1001,MATCH(ROWS($AG$2:AG596),$AG$2:$AG$1001,0),1)&gt;=100000,INDEX($AN$1005:$BO$1005,1,MATCH(COLUMNS($AN$1006:AV1006),$AN$1006:$BO$1006,0))&gt;=100000), " ",IF(INDEX($AN$2:$BO$1001,MATCH(ROWS($AG$2:AG596),$AG$2:$AG$1001,0),MATCH(COLUMNS($AN$1006:AV1006),$AN$1006:$BO$1006,0)), HYPERLINK("#",""), HYPERLINK(CONCATENATE("#Metadata!", ADDRESS(INDEX($AI$2:$AI$1001,MATCH(ROWS($AG$2:AG596),$AG$2:$AG$1001,0),0), INDEX($AN$1004:$BO$1004,1,MATCH(COLUMNS($AN$1006:AV1006),$AN$1006:$BO$1006,0)))),"Fix")))</f>
        <v>0</v>
      </c>
      <c r="K596" s="4">
        <f>IF(OR(INDEX($AH$2:$AH$1001,MATCH(ROWS($AG$2:AG596),$AG$2:$AG$1001,0),1)&gt;=100000,INDEX($AN$1005:$BO$1005,1,MATCH(COLUMNS($AN$1006:AW1006),$AN$1006:$BO$1006,0))&gt;=100000), " ",IF(INDEX($AN$2:$BO$1001,MATCH(ROWS($AG$2:AG596),$AG$2:$AG$1001,0),MATCH(COLUMNS($AN$1006:AW1006),$AN$1006:$BO$1006,0)), HYPERLINK("#",""), HYPERLINK(CONCATENATE("#Metadata!", ADDRESS(INDEX($AI$2:$AI$1001,MATCH(ROWS($AG$2:AG596),$AG$2:$AG$1001,0),0), INDEX($AN$1004:$BO$1004,1,MATCH(COLUMNS($AN$1006:AW1006),$AN$1006:$BO$1006,0)))),"Fix")))</f>
        <v>0</v>
      </c>
      <c r="L596" s="4">
        <f>IF(OR(INDEX($AH$2:$AH$1001,MATCH(ROWS($AG$2:AG596),$AG$2:$AG$1001,0),1)&gt;=100000,INDEX($AN$1005:$BO$1005,1,MATCH(COLUMNS($AN$1006:AX1006),$AN$1006:$BO$1006,0))&gt;=100000), " ",IF(INDEX($AN$2:$BO$1001,MATCH(ROWS($AG$2:AG596),$AG$2:$AG$1001,0),MATCH(COLUMNS($AN$1006:AX1006),$AN$1006:$BO$1006,0)), HYPERLINK("#",""), HYPERLINK(CONCATENATE("#Metadata!", ADDRESS(INDEX($AI$2:$AI$1001,MATCH(ROWS($AG$2:AG596),$AG$2:$AG$1001,0),0), INDEX($AN$1004:$BO$1004,1,MATCH(COLUMNS($AN$1006:AX1006),$AN$1006:$BO$1006,0)))),"Fix")))</f>
        <v>0</v>
      </c>
      <c r="M596" s="4">
        <f>IF(OR(INDEX($AH$2:$AH$1001,MATCH(ROWS($AG$2:AG596),$AG$2:$AG$1001,0),1)&gt;=100000,INDEX($AN$1005:$BO$1005,1,MATCH(COLUMNS($AN$1006:AY1006),$AN$1006:$BO$1006,0))&gt;=100000), " ",IF(INDEX($AN$2:$BO$1001,MATCH(ROWS($AG$2:AG596),$AG$2:$AG$1001,0),MATCH(COLUMNS($AN$1006:AY1006),$AN$1006:$BO$1006,0)), HYPERLINK("#",""), HYPERLINK(CONCATENATE("#Metadata!", ADDRESS(INDEX($AI$2:$AI$1001,MATCH(ROWS($AG$2:AG596),$AG$2:$AG$1001,0),0), INDEX($AN$1004:$BO$1004,1,MATCH(COLUMNS($AN$1006:AY1006),$AN$1006:$BO$1006,0)))),"Fix")))</f>
        <v>0</v>
      </c>
      <c r="N596" s="4">
        <f>IF(OR(INDEX($AH$2:$AH$1001,MATCH(ROWS($AG$2:AG596),$AG$2:$AG$1001,0),1)&gt;=100000,INDEX($AN$1005:$BO$1005,1,MATCH(COLUMNS($AN$1006:AZ1006),$AN$1006:$BO$1006,0))&gt;=100000), " ",IF(INDEX($AN$2:$BO$1001,MATCH(ROWS($AG$2:AG596),$AG$2:$AG$1001,0),MATCH(COLUMNS($AN$1006:AZ1006),$AN$1006:$BO$1006,0)), HYPERLINK("#",""), HYPERLINK(CONCATENATE("#Metadata!", ADDRESS(INDEX($AI$2:$AI$1001,MATCH(ROWS($AG$2:AG596),$AG$2:$AG$1001,0),0), INDEX($AN$1004:$BO$1004,1,MATCH(COLUMNS($AN$1006:AZ1006),$AN$1006:$BO$1006,0)))),"Fix")))</f>
        <v>0</v>
      </c>
      <c r="O596" s="4">
        <f>IF(OR(INDEX($AH$2:$AH$1001,MATCH(ROWS($AG$2:AG596),$AG$2:$AG$1001,0),1)&gt;=100000,INDEX($AN$1005:$BO$1005,1,MATCH(COLUMNS($AN$1006:BA1006),$AN$1006:$BO$1006,0))&gt;=100000), " ",IF(INDEX($AN$2:$BO$1001,MATCH(ROWS($AG$2:AG596),$AG$2:$AG$1001,0),MATCH(COLUMNS($AN$1006:BA1006),$AN$1006:$BO$1006,0)), HYPERLINK("#",""), HYPERLINK(CONCATENATE("#Metadata!", ADDRESS(INDEX($AI$2:$AI$1001,MATCH(ROWS($AG$2:AG596),$AG$2:$AG$1001,0),0), INDEX($AN$1004:$BO$1004,1,MATCH(COLUMNS($AN$1006:BA1006),$AN$1006:$BO$1006,0)))),"Fix")))</f>
        <v>0</v>
      </c>
      <c r="P596" s="4">
        <f>IF(OR(INDEX($AH$2:$AH$1001,MATCH(ROWS($AG$2:AG596),$AG$2:$AG$1001,0),1)&gt;=100000,INDEX($AN$1005:$BO$1005,1,MATCH(COLUMNS($AN$1006:BB1006),$AN$1006:$BO$1006,0))&gt;=100000), " ",IF(INDEX($AN$2:$BO$1001,MATCH(ROWS($AG$2:AG596),$AG$2:$AG$1001,0),MATCH(COLUMNS($AN$1006:BB1006),$AN$1006:$BO$1006,0)), HYPERLINK("#",""), HYPERLINK(CONCATENATE("#Metadata!", ADDRESS(INDEX($AI$2:$AI$1001,MATCH(ROWS($AG$2:AG596),$AG$2:$AG$1001,0),0), INDEX($AN$1004:$BO$1004,1,MATCH(COLUMNS($AN$1006:BB1006),$AN$1006:$BO$1006,0)))),"Fix")))</f>
        <v>0</v>
      </c>
      <c r="Q596" s="4">
        <f>IF(OR(INDEX($AH$2:$AH$1001,MATCH(ROWS($AG$2:AG596),$AG$2:$AG$1001,0),1)&gt;=100000,INDEX($AN$1005:$BO$1005,1,MATCH(COLUMNS($AN$1006:BC1006),$AN$1006:$BO$1006,0))&gt;=100000), " ",IF(INDEX($AN$2:$BO$1001,MATCH(ROWS($AG$2:AG596),$AG$2:$AG$1001,0),MATCH(COLUMNS($AN$1006:BC1006),$AN$1006:$BO$1006,0)), HYPERLINK("#",""), HYPERLINK(CONCATENATE("#Metadata!", ADDRESS(INDEX($AI$2:$AI$1001,MATCH(ROWS($AG$2:AG596),$AG$2:$AG$1001,0),0), INDEX($AN$1004:$BO$1004,1,MATCH(COLUMNS($AN$1006:BC1006),$AN$1006:$BO$1006,0)))),"Fix")))</f>
        <v>0</v>
      </c>
      <c r="R596" s="4">
        <f>IF(OR(INDEX($AH$2:$AH$1001,MATCH(ROWS($AG$2:AG596),$AG$2:$AG$1001,0),1)&gt;=100000,INDEX($AN$1005:$BO$1005,1,MATCH(COLUMNS($AN$1006:BD1006),$AN$1006:$BO$1006,0))&gt;=100000), " ",IF(INDEX($AN$2:$BO$1001,MATCH(ROWS($AG$2:AG596),$AG$2:$AG$1001,0),MATCH(COLUMNS($AN$1006:BD1006),$AN$1006:$BO$1006,0)), HYPERLINK("#",""), HYPERLINK(CONCATENATE("#Metadata!", ADDRESS(INDEX($AI$2:$AI$1001,MATCH(ROWS($AG$2:AG596),$AG$2:$AG$1001,0),0), INDEX($AN$1004:$BO$1004,1,MATCH(COLUMNS($AN$1006:BD1006),$AN$1006:$BO$1006,0)))),"Fix")))</f>
        <v>0</v>
      </c>
      <c r="S596" s="4">
        <f>IF(OR(INDEX($AH$2:$AH$1001,MATCH(ROWS($AG$2:AG596),$AG$2:$AG$1001,0),1)&gt;=100000,INDEX($AN$1005:$BO$1005,1,MATCH(COLUMNS($AN$1006:BE1006),$AN$1006:$BO$1006,0))&gt;=100000), " ",IF(INDEX($AN$2:$BO$1001,MATCH(ROWS($AG$2:AG596),$AG$2:$AG$1001,0),MATCH(COLUMNS($AN$1006:BE1006),$AN$1006:$BO$1006,0)), HYPERLINK("#",""), HYPERLINK(CONCATENATE("#Metadata!", ADDRESS(INDEX($AI$2:$AI$1001,MATCH(ROWS($AG$2:AG596),$AG$2:$AG$1001,0),0), INDEX($AN$1004:$BO$1004,1,MATCH(COLUMNS($AN$1006:BE1006),$AN$1006:$BO$1006,0)))),"Fix")))</f>
        <v>0</v>
      </c>
      <c r="T596" s="4">
        <f>IF(OR(INDEX($AH$2:$AH$1001,MATCH(ROWS($AG$2:AG596),$AG$2:$AG$1001,0),1)&gt;=100000,INDEX($AN$1005:$BO$1005,1,MATCH(COLUMNS($AN$1006:BF1006),$AN$1006:$BO$1006,0))&gt;=100000), " ",IF(INDEX($AN$2:$BO$1001,MATCH(ROWS($AG$2:AG596),$AG$2:$AG$1001,0),MATCH(COLUMNS($AN$1006:BF1006),$AN$1006:$BO$1006,0)), HYPERLINK("#",""), HYPERLINK(CONCATENATE("#Metadata!", ADDRESS(INDEX($AI$2:$AI$1001,MATCH(ROWS($AG$2:AG596),$AG$2:$AG$1001,0),0), INDEX($AN$1004:$BO$1004,1,MATCH(COLUMNS($AN$1006:BF1006),$AN$1006:$BO$1006,0)))),"Fix")))</f>
        <v>0</v>
      </c>
      <c r="U596" s="4">
        <f>IF(OR(INDEX($AH$2:$AH$1001,MATCH(ROWS($AG$2:AG596),$AG$2:$AG$1001,0),1)&gt;=100000,INDEX($AN$1005:$BO$1005,1,MATCH(COLUMNS($AN$1006:BG1006),$AN$1006:$BO$1006,0))&gt;=100000), " ",IF(INDEX($AN$2:$BO$1001,MATCH(ROWS($AG$2:AG596),$AG$2:$AG$1001,0),MATCH(COLUMNS($AN$1006:BG1006),$AN$1006:$BO$1006,0)), HYPERLINK("#",""), HYPERLINK(CONCATENATE("#Metadata!", ADDRESS(INDEX($AI$2:$AI$1001,MATCH(ROWS($AG$2:AG596),$AG$2:$AG$1001,0),0), INDEX($AN$1004:$BO$1004,1,MATCH(COLUMNS($AN$1006:BG1006),$AN$1006:$BO$1006,0)))),"Fix")))</f>
        <v>0</v>
      </c>
      <c r="V596" s="4">
        <f>IF(OR(INDEX($AH$2:$AH$1001,MATCH(ROWS($AG$2:AG596),$AG$2:$AG$1001,0),1)&gt;=100000,INDEX($AN$1005:$BO$1005,1,MATCH(COLUMNS($AN$1006:BH1006),$AN$1006:$BO$1006,0))&gt;=100000), " ",IF(INDEX($AN$2:$BO$1001,MATCH(ROWS($AG$2:AG596),$AG$2:$AG$1001,0),MATCH(COLUMNS($AN$1006:BH1006),$AN$1006:$BO$1006,0)), HYPERLINK("#",""), HYPERLINK(CONCATENATE("#Metadata!", ADDRESS(INDEX($AI$2:$AI$1001,MATCH(ROWS($AG$2:AG596),$AG$2:$AG$1001,0),0), INDEX($AN$1004:$BO$1004,1,MATCH(COLUMNS($AN$1006:BH1006),$AN$1006:$BO$1006,0)))),"Fix")))</f>
        <v>0</v>
      </c>
      <c r="W596" s="4">
        <f>IF(OR(INDEX($AH$2:$AH$1001,MATCH(ROWS($AG$2:AG596),$AG$2:$AG$1001,0),1)&gt;=100000,INDEX($AN$1005:$BO$1005,1,MATCH(COLUMNS($AN$1006:BI1006),$AN$1006:$BO$1006,0))&gt;=100000), " ",IF(INDEX($AN$2:$BO$1001,MATCH(ROWS($AG$2:AG596),$AG$2:$AG$1001,0),MATCH(COLUMNS($AN$1006:BI1006),$AN$1006:$BO$1006,0)), HYPERLINK("#",""), HYPERLINK(CONCATENATE("#Metadata!", ADDRESS(INDEX($AI$2:$AI$1001,MATCH(ROWS($AG$2:AG596),$AG$2:$AG$1001,0),0), INDEX($AN$1004:$BO$1004,1,MATCH(COLUMNS($AN$1006:BI1006),$AN$1006:$BO$1006,0)))),"Fix")))</f>
        <v>0</v>
      </c>
      <c r="X596" s="4">
        <f>IF(OR(INDEX($AH$2:$AH$1001,MATCH(ROWS($AG$2:AG596),$AG$2:$AG$1001,0),1)&gt;=100000,INDEX($AN$1005:$BO$1005,1,MATCH(COLUMNS($AN$1006:BJ1006),$AN$1006:$BO$1006,0))&gt;=100000), " ",IF(INDEX($AN$2:$BO$1001,MATCH(ROWS($AG$2:AG596),$AG$2:$AG$1001,0),MATCH(COLUMNS($AN$1006:BJ1006),$AN$1006:$BO$1006,0)), HYPERLINK("#",""), HYPERLINK(CONCATENATE("#Metadata!", ADDRESS(INDEX($AI$2:$AI$1001,MATCH(ROWS($AG$2:AG596),$AG$2:$AG$1001,0),0), INDEX($AN$1004:$BO$1004,1,MATCH(COLUMNS($AN$1006:BJ1006),$AN$1006:$BO$1006,0)))),"Fix")))</f>
        <v>0</v>
      </c>
      <c r="Y596" s="4">
        <f>IF(OR(INDEX($AH$2:$AH$1001,MATCH(ROWS($AG$2:AG596),$AG$2:$AG$1001,0),1)&gt;=100000,INDEX($AN$1005:$BO$1005,1,MATCH(COLUMNS($AN$1006:BK1006),$AN$1006:$BO$1006,0))&gt;=100000), " ",IF(INDEX($AN$2:$BO$1001,MATCH(ROWS($AG$2:AG596),$AG$2:$AG$1001,0),MATCH(COLUMNS($AN$1006:BK1006),$AN$1006:$BO$1006,0)), HYPERLINK("#",""), HYPERLINK(CONCATENATE("#Metadata!", ADDRESS(INDEX($AI$2:$AI$1001,MATCH(ROWS($AG$2:AG596),$AG$2:$AG$1001,0),0), INDEX($AN$1004:$BO$1004,1,MATCH(COLUMNS($AN$1006:BK1006),$AN$1006:$BO$1006,0)))),"Fix")))</f>
        <v>0</v>
      </c>
      <c r="Z596" s="4">
        <f>IF(OR(INDEX($AH$2:$AH$1001,MATCH(ROWS($AG$2:AG596),$AG$2:$AG$1001,0),1)&gt;=100000,INDEX($AN$1005:$BO$1005,1,MATCH(COLUMNS($AN$1006:BL1006),$AN$1006:$BO$1006,0))&gt;=100000), " ",IF(INDEX($AN$2:$BO$1001,MATCH(ROWS($AG$2:AG596),$AG$2:$AG$1001,0),MATCH(COLUMNS($AN$1006:BL1006),$AN$1006:$BO$1006,0)), HYPERLINK("#",""), HYPERLINK(CONCATENATE("#Metadata!", ADDRESS(INDEX($AI$2:$AI$1001,MATCH(ROWS($AG$2:AG596),$AG$2:$AG$1001,0),0), INDEX($AN$1004:$BO$1004,1,MATCH(COLUMNS($AN$1006:BL1006),$AN$1006:$BO$1006,0)))),"Fix")))</f>
        <v>0</v>
      </c>
      <c r="AA596" s="4">
        <f>IF(OR(INDEX($AH$2:$AH$1001,MATCH(ROWS($AG$2:AG596),$AG$2:$AG$1001,0),1)&gt;=100000,INDEX($AN$1005:$BO$1005,1,MATCH(COLUMNS($AN$1006:BM1006),$AN$1006:$BO$1006,0))&gt;=100000), " ",IF(INDEX($AN$2:$BO$1001,MATCH(ROWS($AG$2:AG596),$AG$2:$AG$1001,0),MATCH(COLUMNS($AN$1006:BM1006),$AN$1006:$BO$1006,0)), HYPERLINK("#",""), HYPERLINK(CONCATENATE("#Metadata!", ADDRESS(INDEX($AI$2:$AI$1001,MATCH(ROWS($AG$2:AG596),$AG$2:$AG$1001,0),0), INDEX($AN$1004:$BO$1004,1,MATCH(COLUMNS($AN$1006:BM1006),$AN$1006:$BO$1006,0)))),"Fix")))</f>
        <v>0</v>
      </c>
      <c r="AB596" s="4">
        <f>IF(OR(INDEX($AH$2:$AH$1001,MATCH(ROWS($AG$2:AG596),$AG$2:$AG$1001,0),1)&gt;=100000,INDEX($AN$1005:$BO$1005,1,MATCH(COLUMNS($AN$1006:BN1006),$AN$1006:$BO$1006,0))&gt;=100000), " ",IF(INDEX($AN$2:$BO$1001,MATCH(ROWS($AG$2:AG596),$AG$2:$AG$1001,0),MATCH(COLUMNS($AN$1006:BN1006),$AN$1006:$BO$1006,0)), HYPERLINK("#",""), HYPERLINK(CONCATENATE("#Metadata!", ADDRESS(INDEX($AI$2:$AI$1001,MATCH(ROWS($AG$2:AG596),$AG$2:$AG$1001,0),0), INDEX($AN$1004:$BO$1004,1,MATCH(COLUMNS($AN$1006:BN1006),$AN$1006:$BO$1006,0)))),"Fix")))</f>
        <v>0</v>
      </c>
      <c r="AC596" s="4">
        <f>IF(OR(INDEX($AH$2:$AH$1001,MATCH(ROWS($AG$2:AG596),$AG$2:$AG$1001,0),1)&gt;=100000,INDEX($AN$1005:$BO$1005,1,MATCH(COLUMNS($AN$1006:BO1006),$AN$1006:$BO$1006,0))&gt;=100000), " ",IF(INDEX($AN$2:$BO$1001,MATCH(ROWS($AG$2:AG596),$AG$2:$AG$1001,0),MATCH(COLUMNS($AN$1006:BO1006),$AN$1006:$BO$1006,0)), HYPERLINK("#",""), HYPERLINK(CONCATENATE("#Metadata!", ADDRESS(INDEX($AI$2:$AI$1001,MATCH(ROWS($AG$2:AG596),$AG$2:$AG$1001,0),0), INDEX($AN$1004:$BO$1004,1,MATCH(COLUMNS($AN$1006:BO1006),$AN$1006:$BO$1006,0)))),"Fix")))</f>
        <v>0</v>
      </c>
      <c r="AG596">
        <v>0</v>
      </c>
      <c r="AH596">
        <v>0</v>
      </c>
      <c r="AI596">
        <v>0</v>
      </c>
      <c r="AJ596">
        <f>IF(AK596,TRUE,AND(AN596:BO596))</f>
        <v>0</v>
      </c>
      <c r="AK596">
        <f>COUNTBLANK(Metadata!B596:AC596)=COLUMNS(Metadata!B596:AC596)</f>
        <v>0</v>
      </c>
      <c r="AL596">
        <v>0</v>
      </c>
      <c r="AN596">
        <f>AND(IF(Metadata!B596="",FALSE,TRUE),COUNTIF(Metadata!B:B, Metadata!B596) = 1,NOT(ISERROR(SUMPRODUCT(SEARCH(MID(Metadata!B596,ROW(INDIRECT("1:"&amp;LEN(Metadata!B596))), 1),"0123456789abcdefghijklmnopqrstuvwxyzABCDEFGHIJKLMNOPQRSTUVWXYZ.")))))</f>
        <v>0</v>
      </c>
      <c r="AO596">
        <f>IF(Metadata!C596="",FALSE,TRUE)</f>
        <v>0</v>
      </c>
      <c r="AP596">
        <f>IF(Metadata!D596="",FALSE,TRUE)</f>
        <v>0</v>
      </c>
      <c r="AQ596">
        <f>OR(AND(IF(Metadata!E596="",FALSE,TRUE),OR(exact(Metadata!E596,"not collected"),exact(Metadata!E596,"not provided"),exact(Metadata!E596,"restricted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R596">
        <f>IF(Metadata!F596="",FALSE,TRUE)</f>
        <v>0</v>
      </c>
      <c r="AS596">
        <f>OR(AND(IF(Metadata!G596="",FALSE,TRUE),OR(exact(Metadata!G596,"not collected"),exact(Metadata!G596,"not provided"))),AND(IF(Metadata!G596="",FALSE,TRUE),OR(exact(Metadata!G596,"TRUE"),exact(Metadata!G596,"FALSE"))))</f>
        <v>0</v>
      </c>
      <c r="AT596">
        <f>OR(AND(IF(Metadata!H596="",FALSE,TRUE),OR(exact(Metadata!H596,"not collected"),exact(Metadata!H596,"not provided"),exact(Metadata!H596,"restricted access"))),AND(IF(Metadata!H596="",FALSE,ISNUMBER(VALUE(Metadata!H596))),Metadata!H596&gt;=-413.0))</f>
        <v>0</v>
      </c>
      <c r="AU596">
        <f>AND(IF(Metadata!I596="",FALSE,TRUE),exact(Metadata!I596,"meters"))</f>
        <v>0</v>
      </c>
      <c r="AV596">
        <f>AND(IF(Metadata!J596="",FALSE,TRUE),OR(exact(Metadata!J596,"Host-associated"),exact(Metadata!J596,"Free-living")))</f>
        <v>0</v>
      </c>
      <c r="AW596">
        <f>AND(IF(Metadata!K596="",FALSE,TRUE),OR(exact(Metadata!K596,"Animal"),exact(Metadata!K596,"Fungus"),exact(Metadata!K596,"Plant"),exact(Metadata!K596,"Saline"),exact(Metadata!K596,"Non-saline")))</f>
        <v>0</v>
      </c>
      <c r="AX596">
        <f>AND(IF(Metadata!L596="",FALSE,TRUE),OR(exact(Metadata!L596,"Plant secretion"),exact(Metadata!L596,"Plant rhizosphere"),exact(Metadata!L596,"Plant surface"),exact(Metadata!L596,"Plant corpus"),exact(Metadata!L596,"Fungus surface"),exact(Metadata!L596,"Fungus corpus"),exact(Metadata!L596,"Animal surface"),exact(Metadata!L596,"Animal proximal gut"),exact(Metadata!L596,"Animal corpus"),exact(Metadata!L596,"Animal distal gut"),exact(Metadata!L596,"Animal secretion"),exact(Metadata!L596,"Sub-surface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Y596">
        <f>IF(Metadata!M596="",FALSE,TRUE)</f>
        <v>0</v>
      </c>
      <c r="AZ596">
        <f>IF(Metadata!N596="",FALSE,TRUE)</f>
        <v>0</v>
      </c>
      <c r="BA596">
        <f>IF(Metadata!O596="",FALSE,TRUE)</f>
        <v>0</v>
      </c>
      <c r="BB596">
        <f>OR(AND(IF(Metadata!P596="",FALSE,TRUE),OR(exact(Metadata!P596,"not collected"),exact(Metadata!P596,"not provided"),exact(Metadata!P596,"restricted access"))),AND(IF(Metadata!P596="",FALSE,TRUE),OR(exact(Metadata!P596,"air"),exact(Metadata!P596,"built environment"),exact(Metadata!P596,"host-associated"),exact(Metadata!P596,"human-associated"),exact(Metadata!P596,"human-skin"),exact(Metadata!P596,"human-oral"),exact(Metadata!P596,"human-gut"),exact(Metadata!P596,"human-vaginal"),exact(Metadata!P596,"microbial mat/biofilm"),exact(Metadata!P596,"misc environment"),exact(Metadata!P596,"plant-associated"),exact(Metadata!P596,"sediment"),exact(Metadata!P596,"soil"),exact(Metadata!P596,"wastewater/sludge"),exact(Metadata!P596,"water"))))</f>
        <v>0</v>
      </c>
      <c r="BC596">
        <f>IF(Metadata!Q596="",FALSE,TRUE)</f>
        <v>0</v>
      </c>
      <c r="BD596">
        <f>IF(Metadata!R596="",FALSE,TRUE)</f>
        <v>0</v>
      </c>
      <c r="BE596">
        <f>OR(AND(IF(Metadata!S596="",FALSE,TRUE),OR(exact(Metadata!S596,"not collected"),exact(Metadata!S596,"not provided"),exact(Metadata!S596,"restricted access"))),AND(IF(Metadata!S596="",FALSE,ISNUMBER(VALUE(Metadata!S596))),Metadata!S596&gt;=-90.00,Metadata!S596&lt;=90.00))</f>
        <v>0</v>
      </c>
      <c r="BF596">
        <f>AND(IF(Metadata!T596="",FALSE,TRUE),exact(Metadata!T596,"Decimal degrees"))</f>
        <v>0</v>
      </c>
      <c r="BG596">
        <f>OR(AND(IF(Metadata!U596="",FALSE,TRUE),OR(exact(Metadata!U596,"not collected"),exact(Metadata!U596,"not provided"),exact(Metadata!U596,"restricted access"))),AND(IF(Metadata!U596="",FALSE,ISNUMBER(VALUE(Metadata!U596))),Metadata!U596&gt;=-180.00,Metadata!U596&lt;=180.00))</f>
        <v>0</v>
      </c>
      <c r="BH596">
        <f>AND(IF(Metadata!V596="",FALSE,TRUE),exact(Metadata!V596,"Decimal degrees"))</f>
        <v>0</v>
      </c>
      <c r="BI596">
        <f>IF(Metadata!W596="",FALSE,TRUE)</f>
        <v>0</v>
      </c>
      <c r="BJ596">
        <f>OR(AND(IF(Metadata!X596="",FALSE,TRUE),OR(exact(Metadata!X596,"not collected"),exact(Metadata!X596,"not provided"),exact(Metadata!X596,"restricted access"))),AND(IF(Metadata!X596="",FALSE,TRUE),OR(exact(Metadata!X596,"TRUE"),exact(Metadata!X596,"FALSE"))))</f>
        <v>0</v>
      </c>
      <c r="BK596">
        <f>AND(IF(Metadata!Y596="",FALSE,TRUE),exact(Metadata!Y596,"other"))</f>
        <v>0</v>
      </c>
      <c r="BL596">
        <f>IF(Metadata!Z596="",FALSE,TRUE)</f>
        <v>0</v>
      </c>
      <c r="BM596">
        <f>OR(AND(IF(Metadata!AA596="",FALSE,TRUE),OR(exact(Metadata!AA596,"not collected"),exact(Metadata!AA596,"not provided"))),AND(IF(Metadata!AA596="",FALSE,IF(ISERROR(INT(Metadata!AA596)),FALSE,INT(Metadata!AA596)=Metadata!AA596)),Metadata!AA596&gt;0))</f>
        <v>0</v>
      </c>
      <c r="BN596">
        <f>AND(IF(Metadata!AB596="",FALSE,TRUE),exact(Metadata!AB596,"Not applicable"))</f>
        <v>0</v>
      </c>
      <c r="BO596">
        <f>IF(Metadata!AC596="",FALSE,TRUE)</f>
        <v>0</v>
      </c>
    </row>
    <row r="597" spans="1:67">
      <c r="A597" s="5">
        <f>IF(B597=" "," ",HYPERLINK(CONCATENATE("#metadata!",ADDRESS(INDEX($AI$2:$AI$1001,MATCH(ROWS($AG$2:AG597),$AG$2:$AG$1001,0),0),1)),INDEX($AL$2:$AL$1001,MATCH(ROWS($AG$2:AG597),$AG$2:$AG$1001,0),0)))</f>
        <v>0</v>
      </c>
      <c r="B597" s="4">
        <f>IF(OR(INDEX($AH$2:$AH$1001,MATCH(ROWS($AG$2:AG597),$AG$2:$AG$1001,0),1)&gt;=100000,INDEX($AN$1005:$BO$1005,1,MATCH(COLUMNS($AN$1006:AN1006),$AN$1006:$BO$1006,0))&gt;=100000), " ",IF(INDEX($AN$2:$BO$1001,MATCH(ROWS($AG$2:AG597),$AG$2:$AG$1001,0),MATCH(COLUMNS($AN$1006:AN1006),$AN$1006:$BO$1006,0)), HYPERLINK("#",""), HYPERLINK(CONCATENATE("#Metadata!", ADDRESS(INDEX($AI$2:$AI$1001,MATCH(ROWS($AG$2:AG597),$AG$2:$AG$1001,0),0), INDEX($AN$1004:$BO$1004,1,MATCH(COLUMNS($AN$1006:AN1006),$AN$1006:$BO$1006,0)))),"Fix")))</f>
        <v>0</v>
      </c>
      <c r="C597" s="4">
        <f>IF(OR(INDEX($AH$2:$AH$1001,MATCH(ROWS($AG$2:AG597),$AG$2:$AG$1001,0),1)&gt;=100000,INDEX($AN$1005:$BO$1005,1,MATCH(COLUMNS($AN$1006:AO1006),$AN$1006:$BO$1006,0))&gt;=100000), " ",IF(INDEX($AN$2:$BO$1001,MATCH(ROWS($AG$2:AG597),$AG$2:$AG$1001,0),MATCH(COLUMNS($AN$1006:AO1006),$AN$1006:$BO$1006,0)), HYPERLINK("#",""), HYPERLINK(CONCATENATE("#Metadata!", ADDRESS(INDEX($AI$2:$AI$1001,MATCH(ROWS($AG$2:AG597),$AG$2:$AG$1001,0),0), INDEX($AN$1004:$BO$1004,1,MATCH(COLUMNS($AN$1006:AO1006),$AN$1006:$BO$1006,0)))),"Fix")))</f>
        <v>0</v>
      </c>
      <c r="D597" s="4">
        <f>IF(OR(INDEX($AH$2:$AH$1001,MATCH(ROWS($AG$2:AG597),$AG$2:$AG$1001,0),1)&gt;=100000,INDEX($AN$1005:$BO$1005,1,MATCH(COLUMNS($AN$1006:AP1006),$AN$1006:$BO$1006,0))&gt;=100000), " ",IF(INDEX($AN$2:$BO$1001,MATCH(ROWS($AG$2:AG597),$AG$2:$AG$1001,0),MATCH(COLUMNS($AN$1006:AP1006),$AN$1006:$BO$1006,0)), HYPERLINK("#",""), HYPERLINK(CONCATENATE("#Metadata!", ADDRESS(INDEX($AI$2:$AI$1001,MATCH(ROWS($AG$2:AG597),$AG$2:$AG$1001,0),0), INDEX($AN$1004:$BO$1004,1,MATCH(COLUMNS($AN$1006:AP1006),$AN$1006:$BO$1006,0)))),"Fix")))</f>
        <v>0</v>
      </c>
      <c r="E597" s="4">
        <f>IF(OR(INDEX($AH$2:$AH$1001,MATCH(ROWS($AG$2:AG597),$AG$2:$AG$1001,0),1)&gt;=100000,INDEX($AN$1005:$BO$1005,1,MATCH(COLUMNS($AN$1006:AQ1006),$AN$1006:$BO$1006,0))&gt;=100000), " ",IF(INDEX($AN$2:$BO$1001,MATCH(ROWS($AG$2:AG597),$AG$2:$AG$1001,0),MATCH(COLUMNS($AN$1006:AQ1006),$AN$1006:$BO$1006,0)), HYPERLINK("#",""), HYPERLINK(CONCATENATE("#Metadata!", ADDRESS(INDEX($AI$2:$AI$1001,MATCH(ROWS($AG$2:AG597),$AG$2:$AG$1001,0),0), INDEX($AN$1004:$BO$1004,1,MATCH(COLUMNS($AN$1006:AQ1006),$AN$1006:$BO$1006,0)))),"Fix")))</f>
        <v>0</v>
      </c>
      <c r="F597" s="4">
        <f>IF(OR(INDEX($AH$2:$AH$1001,MATCH(ROWS($AG$2:AG597),$AG$2:$AG$1001,0),1)&gt;=100000,INDEX($AN$1005:$BO$1005,1,MATCH(COLUMNS($AN$1006:AR1006),$AN$1006:$BO$1006,0))&gt;=100000), " ",IF(INDEX($AN$2:$BO$1001,MATCH(ROWS($AG$2:AG597),$AG$2:$AG$1001,0),MATCH(COLUMNS($AN$1006:AR1006),$AN$1006:$BO$1006,0)), HYPERLINK("#",""), HYPERLINK(CONCATENATE("#Metadata!", ADDRESS(INDEX($AI$2:$AI$1001,MATCH(ROWS($AG$2:AG597),$AG$2:$AG$1001,0),0), INDEX($AN$1004:$BO$1004,1,MATCH(COLUMNS($AN$1006:AR1006),$AN$1006:$BO$1006,0)))),"Fix")))</f>
        <v>0</v>
      </c>
      <c r="G597" s="4">
        <f>IF(OR(INDEX($AH$2:$AH$1001,MATCH(ROWS($AG$2:AG597),$AG$2:$AG$1001,0),1)&gt;=100000,INDEX($AN$1005:$BO$1005,1,MATCH(COLUMNS($AN$1006:AS1006),$AN$1006:$BO$1006,0))&gt;=100000), " ",IF(INDEX($AN$2:$BO$1001,MATCH(ROWS($AG$2:AG597),$AG$2:$AG$1001,0),MATCH(COLUMNS($AN$1006:AS1006),$AN$1006:$BO$1006,0)), HYPERLINK("#",""), HYPERLINK(CONCATENATE("#Metadata!", ADDRESS(INDEX($AI$2:$AI$1001,MATCH(ROWS($AG$2:AG597),$AG$2:$AG$1001,0),0), INDEX($AN$1004:$BO$1004,1,MATCH(COLUMNS($AN$1006:AS1006),$AN$1006:$BO$1006,0)))),"Fix")))</f>
        <v>0</v>
      </c>
      <c r="H597" s="4">
        <f>IF(OR(INDEX($AH$2:$AH$1001,MATCH(ROWS($AG$2:AG597),$AG$2:$AG$1001,0),1)&gt;=100000,INDEX($AN$1005:$BO$1005,1,MATCH(COLUMNS($AN$1006:AT1006),$AN$1006:$BO$1006,0))&gt;=100000), " ",IF(INDEX($AN$2:$BO$1001,MATCH(ROWS($AG$2:AG597),$AG$2:$AG$1001,0),MATCH(COLUMNS($AN$1006:AT1006),$AN$1006:$BO$1006,0)), HYPERLINK("#",""), HYPERLINK(CONCATENATE("#Metadata!", ADDRESS(INDEX($AI$2:$AI$1001,MATCH(ROWS($AG$2:AG597),$AG$2:$AG$1001,0),0), INDEX($AN$1004:$BO$1004,1,MATCH(COLUMNS($AN$1006:AT1006),$AN$1006:$BO$1006,0)))),"Fix")))</f>
        <v>0</v>
      </c>
      <c r="I597" s="4">
        <f>IF(OR(INDEX($AH$2:$AH$1001,MATCH(ROWS($AG$2:AG597),$AG$2:$AG$1001,0),1)&gt;=100000,INDEX($AN$1005:$BO$1005,1,MATCH(COLUMNS($AN$1006:AU1006),$AN$1006:$BO$1006,0))&gt;=100000), " ",IF(INDEX($AN$2:$BO$1001,MATCH(ROWS($AG$2:AG597),$AG$2:$AG$1001,0),MATCH(COLUMNS($AN$1006:AU1006),$AN$1006:$BO$1006,0)), HYPERLINK("#",""), HYPERLINK(CONCATENATE("#Metadata!", ADDRESS(INDEX($AI$2:$AI$1001,MATCH(ROWS($AG$2:AG597),$AG$2:$AG$1001,0),0), INDEX($AN$1004:$BO$1004,1,MATCH(COLUMNS($AN$1006:AU1006),$AN$1006:$BO$1006,0)))),"Fix")))</f>
        <v>0</v>
      </c>
      <c r="J597" s="4">
        <f>IF(OR(INDEX($AH$2:$AH$1001,MATCH(ROWS($AG$2:AG597),$AG$2:$AG$1001,0),1)&gt;=100000,INDEX($AN$1005:$BO$1005,1,MATCH(COLUMNS($AN$1006:AV1006),$AN$1006:$BO$1006,0))&gt;=100000), " ",IF(INDEX($AN$2:$BO$1001,MATCH(ROWS($AG$2:AG597),$AG$2:$AG$1001,0),MATCH(COLUMNS($AN$1006:AV1006),$AN$1006:$BO$1006,0)), HYPERLINK("#",""), HYPERLINK(CONCATENATE("#Metadata!", ADDRESS(INDEX($AI$2:$AI$1001,MATCH(ROWS($AG$2:AG597),$AG$2:$AG$1001,0),0), INDEX($AN$1004:$BO$1004,1,MATCH(COLUMNS($AN$1006:AV1006),$AN$1006:$BO$1006,0)))),"Fix")))</f>
        <v>0</v>
      </c>
      <c r="K597" s="4">
        <f>IF(OR(INDEX($AH$2:$AH$1001,MATCH(ROWS($AG$2:AG597),$AG$2:$AG$1001,0),1)&gt;=100000,INDEX($AN$1005:$BO$1005,1,MATCH(COLUMNS($AN$1006:AW1006),$AN$1006:$BO$1006,0))&gt;=100000), " ",IF(INDEX($AN$2:$BO$1001,MATCH(ROWS($AG$2:AG597),$AG$2:$AG$1001,0),MATCH(COLUMNS($AN$1006:AW1006),$AN$1006:$BO$1006,0)), HYPERLINK("#",""), HYPERLINK(CONCATENATE("#Metadata!", ADDRESS(INDEX($AI$2:$AI$1001,MATCH(ROWS($AG$2:AG597),$AG$2:$AG$1001,0),0), INDEX($AN$1004:$BO$1004,1,MATCH(COLUMNS($AN$1006:AW1006),$AN$1006:$BO$1006,0)))),"Fix")))</f>
        <v>0</v>
      </c>
      <c r="L597" s="4">
        <f>IF(OR(INDEX($AH$2:$AH$1001,MATCH(ROWS($AG$2:AG597),$AG$2:$AG$1001,0),1)&gt;=100000,INDEX($AN$1005:$BO$1005,1,MATCH(COLUMNS($AN$1006:AX1006),$AN$1006:$BO$1006,0))&gt;=100000), " ",IF(INDEX($AN$2:$BO$1001,MATCH(ROWS($AG$2:AG597),$AG$2:$AG$1001,0),MATCH(COLUMNS($AN$1006:AX1006),$AN$1006:$BO$1006,0)), HYPERLINK("#",""), HYPERLINK(CONCATENATE("#Metadata!", ADDRESS(INDEX($AI$2:$AI$1001,MATCH(ROWS($AG$2:AG597),$AG$2:$AG$1001,0),0), INDEX($AN$1004:$BO$1004,1,MATCH(COLUMNS($AN$1006:AX1006),$AN$1006:$BO$1006,0)))),"Fix")))</f>
        <v>0</v>
      </c>
      <c r="M597" s="4">
        <f>IF(OR(INDEX($AH$2:$AH$1001,MATCH(ROWS($AG$2:AG597),$AG$2:$AG$1001,0),1)&gt;=100000,INDEX($AN$1005:$BO$1005,1,MATCH(COLUMNS($AN$1006:AY1006),$AN$1006:$BO$1006,0))&gt;=100000), " ",IF(INDEX($AN$2:$BO$1001,MATCH(ROWS($AG$2:AG597),$AG$2:$AG$1001,0),MATCH(COLUMNS($AN$1006:AY1006),$AN$1006:$BO$1006,0)), HYPERLINK("#",""), HYPERLINK(CONCATENATE("#Metadata!", ADDRESS(INDEX($AI$2:$AI$1001,MATCH(ROWS($AG$2:AG597),$AG$2:$AG$1001,0),0), INDEX($AN$1004:$BO$1004,1,MATCH(COLUMNS($AN$1006:AY1006),$AN$1006:$BO$1006,0)))),"Fix")))</f>
        <v>0</v>
      </c>
      <c r="N597" s="4">
        <f>IF(OR(INDEX($AH$2:$AH$1001,MATCH(ROWS($AG$2:AG597),$AG$2:$AG$1001,0),1)&gt;=100000,INDEX($AN$1005:$BO$1005,1,MATCH(COLUMNS($AN$1006:AZ1006),$AN$1006:$BO$1006,0))&gt;=100000), " ",IF(INDEX($AN$2:$BO$1001,MATCH(ROWS($AG$2:AG597),$AG$2:$AG$1001,0),MATCH(COLUMNS($AN$1006:AZ1006),$AN$1006:$BO$1006,0)), HYPERLINK("#",""), HYPERLINK(CONCATENATE("#Metadata!", ADDRESS(INDEX($AI$2:$AI$1001,MATCH(ROWS($AG$2:AG597),$AG$2:$AG$1001,0),0), INDEX($AN$1004:$BO$1004,1,MATCH(COLUMNS($AN$1006:AZ1006),$AN$1006:$BO$1006,0)))),"Fix")))</f>
        <v>0</v>
      </c>
      <c r="O597" s="4">
        <f>IF(OR(INDEX($AH$2:$AH$1001,MATCH(ROWS($AG$2:AG597),$AG$2:$AG$1001,0),1)&gt;=100000,INDEX($AN$1005:$BO$1005,1,MATCH(COLUMNS($AN$1006:BA1006),$AN$1006:$BO$1006,0))&gt;=100000), " ",IF(INDEX($AN$2:$BO$1001,MATCH(ROWS($AG$2:AG597),$AG$2:$AG$1001,0),MATCH(COLUMNS($AN$1006:BA1006),$AN$1006:$BO$1006,0)), HYPERLINK("#",""), HYPERLINK(CONCATENATE("#Metadata!", ADDRESS(INDEX($AI$2:$AI$1001,MATCH(ROWS($AG$2:AG597),$AG$2:$AG$1001,0),0), INDEX($AN$1004:$BO$1004,1,MATCH(COLUMNS($AN$1006:BA1006),$AN$1006:$BO$1006,0)))),"Fix")))</f>
        <v>0</v>
      </c>
      <c r="P597" s="4">
        <f>IF(OR(INDEX($AH$2:$AH$1001,MATCH(ROWS($AG$2:AG597),$AG$2:$AG$1001,0),1)&gt;=100000,INDEX($AN$1005:$BO$1005,1,MATCH(COLUMNS($AN$1006:BB1006),$AN$1006:$BO$1006,0))&gt;=100000), " ",IF(INDEX($AN$2:$BO$1001,MATCH(ROWS($AG$2:AG597),$AG$2:$AG$1001,0),MATCH(COLUMNS($AN$1006:BB1006),$AN$1006:$BO$1006,0)), HYPERLINK("#",""), HYPERLINK(CONCATENATE("#Metadata!", ADDRESS(INDEX($AI$2:$AI$1001,MATCH(ROWS($AG$2:AG597),$AG$2:$AG$1001,0),0), INDEX($AN$1004:$BO$1004,1,MATCH(COLUMNS($AN$1006:BB1006),$AN$1006:$BO$1006,0)))),"Fix")))</f>
        <v>0</v>
      </c>
      <c r="Q597" s="4">
        <f>IF(OR(INDEX($AH$2:$AH$1001,MATCH(ROWS($AG$2:AG597),$AG$2:$AG$1001,0),1)&gt;=100000,INDEX($AN$1005:$BO$1005,1,MATCH(COLUMNS($AN$1006:BC1006),$AN$1006:$BO$1006,0))&gt;=100000), " ",IF(INDEX($AN$2:$BO$1001,MATCH(ROWS($AG$2:AG597),$AG$2:$AG$1001,0),MATCH(COLUMNS($AN$1006:BC1006),$AN$1006:$BO$1006,0)), HYPERLINK("#",""), HYPERLINK(CONCATENATE("#Metadata!", ADDRESS(INDEX($AI$2:$AI$1001,MATCH(ROWS($AG$2:AG597),$AG$2:$AG$1001,0),0), INDEX($AN$1004:$BO$1004,1,MATCH(COLUMNS($AN$1006:BC1006),$AN$1006:$BO$1006,0)))),"Fix")))</f>
        <v>0</v>
      </c>
      <c r="R597" s="4">
        <f>IF(OR(INDEX($AH$2:$AH$1001,MATCH(ROWS($AG$2:AG597),$AG$2:$AG$1001,0),1)&gt;=100000,INDEX($AN$1005:$BO$1005,1,MATCH(COLUMNS($AN$1006:BD1006),$AN$1006:$BO$1006,0))&gt;=100000), " ",IF(INDEX($AN$2:$BO$1001,MATCH(ROWS($AG$2:AG597),$AG$2:$AG$1001,0),MATCH(COLUMNS($AN$1006:BD1006),$AN$1006:$BO$1006,0)), HYPERLINK("#",""), HYPERLINK(CONCATENATE("#Metadata!", ADDRESS(INDEX($AI$2:$AI$1001,MATCH(ROWS($AG$2:AG597),$AG$2:$AG$1001,0),0), INDEX($AN$1004:$BO$1004,1,MATCH(COLUMNS($AN$1006:BD1006),$AN$1006:$BO$1006,0)))),"Fix")))</f>
        <v>0</v>
      </c>
      <c r="S597" s="4">
        <f>IF(OR(INDEX($AH$2:$AH$1001,MATCH(ROWS($AG$2:AG597),$AG$2:$AG$1001,0),1)&gt;=100000,INDEX($AN$1005:$BO$1005,1,MATCH(COLUMNS($AN$1006:BE1006),$AN$1006:$BO$1006,0))&gt;=100000), " ",IF(INDEX($AN$2:$BO$1001,MATCH(ROWS($AG$2:AG597),$AG$2:$AG$1001,0),MATCH(COLUMNS($AN$1006:BE1006),$AN$1006:$BO$1006,0)), HYPERLINK("#",""), HYPERLINK(CONCATENATE("#Metadata!", ADDRESS(INDEX($AI$2:$AI$1001,MATCH(ROWS($AG$2:AG597),$AG$2:$AG$1001,0),0), INDEX($AN$1004:$BO$1004,1,MATCH(COLUMNS($AN$1006:BE1006),$AN$1006:$BO$1006,0)))),"Fix")))</f>
        <v>0</v>
      </c>
      <c r="T597" s="4">
        <f>IF(OR(INDEX($AH$2:$AH$1001,MATCH(ROWS($AG$2:AG597),$AG$2:$AG$1001,0),1)&gt;=100000,INDEX($AN$1005:$BO$1005,1,MATCH(COLUMNS($AN$1006:BF1006),$AN$1006:$BO$1006,0))&gt;=100000), " ",IF(INDEX($AN$2:$BO$1001,MATCH(ROWS($AG$2:AG597),$AG$2:$AG$1001,0),MATCH(COLUMNS($AN$1006:BF1006),$AN$1006:$BO$1006,0)), HYPERLINK("#",""), HYPERLINK(CONCATENATE("#Metadata!", ADDRESS(INDEX($AI$2:$AI$1001,MATCH(ROWS($AG$2:AG597),$AG$2:$AG$1001,0),0), INDEX($AN$1004:$BO$1004,1,MATCH(COLUMNS($AN$1006:BF1006),$AN$1006:$BO$1006,0)))),"Fix")))</f>
        <v>0</v>
      </c>
      <c r="U597" s="4">
        <f>IF(OR(INDEX($AH$2:$AH$1001,MATCH(ROWS($AG$2:AG597),$AG$2:$AG$1001,0),1)&gt;=100000,INDEX($AN$1005:$BO$1005,1,MATCH(COLUMNS($AN$1006:BG1006),$AN$1006:$BO$1006,0))&gt;=100000), " ",IF(INDEX($AN$2:$BO$1001,MATCH(ROWS($AG$2:AG597),$AG$2:$AG$1001,0),MATCH(COLUMNS($AN$1006:BG1006),$AN$1006:$BO$1006,0)), HYPERLINK("#",""), HYPERLINK(CONCATENATE("#Metadata!", ADDRESS(INDEX($AI$2:$AI$1001,MATCH(ROWS($AG$2:AG597),$AG$2:$AG$1001,0),0), INDEX($AN$1004:$BO$1004,1,MATCH(COLUMNS($AN$1006:BG1006),$AN$1006:$BO$1006,0)))),"Fix")))</f>
        <v>0</v>
      </c>
      <c r="V597" s="4">
        <f>IF(OR(INDEX($AH$2:$AH$1001,MATCH(ROWS($AG$2:AG597),$AG$2:$AG$1001,0),1)&gt;=100000,INDEX($AN$1005:$BO$1005,1,MATCH(COLUMNS($AN$1006:BH1006),$AN$1006:$BO$1006,0))&gt;=100000), " ",IF(INDEX($AN$2:$BO$1001,MATCH(ROWS($AG$2:AG597),$AG$2:$AG$1001,0),MATCH(COLUMNS($AN$1006:BH1006),$AN$1006:$BO$1006,0)), HYPERLINK("#",""), HYPERLINK(CONCATENATE("#Metadata!", ADDRESS(INDEX($AI$2:$AI$1001,MATCH(ROWS($AG$2:AG597),$AG$2:$AG$1001,0),0), INDEX($AN$1004:$BO$1004,1,MATCH(COLUMNS($AN$1006:BH1006),$AN$1006:$BO$1006,0)))),"Fix")))</f>
        <v>0</v>
      </c>
      <c r="W597" s="4">
        <f>IF(OR(INDEX($AH$2:$AH$1001,MATCH(ROWS($AG$2:AG597),$AG$2:$AG$1001,0),1)&gt;=100000,INDEX($AN$1005:$BO$1005,1,MATCH(COLUMNS($AN$1006:BI1006),$AN$1006:$BO$1006,0))&gt;=100000), " ",IF(INDEX($AN$2:$BO$1001,MATCH(ROWS($AG$2:AG597),$AG$2:$AG$1001,0),MATCH(COLUMNS($AN$1006:BI1006),$AN$1006:$BO$1006,0)), HYPERLINK("#",""), HYPERLINK(CONCATENATE("#Metadata!", ADDRESS(INDEX($AI$2:$AI$1001,MATCH(ROWS($AG$2:AG597),$AG$2:$AG$1001,0),0), INDEX($AN$1004:$BO$1004,1,MATCH(COLUMNS($AN$1006:BI1006),$AN$1006:$BO$1006,0)))),"Fix")))</f>
        <v>0</v>
      </c>
      <c r="X597" s="4">
        <f>IF(OR(INDEX($AH$2:$AH$1001,MATCH(ROWS($AG$2:AG597),$AG$2:$AG$1001,0),1)&gt;=100000,INDEX($AN$1005:$BO$1005,1,MATCH(COLUMNS($AN$1006:BJ1006),$AN$1006:$BO$1006,0))&gt;=100000), " ",IF(INDEX($AN$2:$BO$1001,MATCH(ROWS($AG$2:AG597),$AG$2:$AG$1001,0),MATCH(COLUMNS($AN$1006:BJ1006),$AN$1006:$BO$1006,0)), HYPERLINK("#",""), HYPERLINK(CONCATENATE("#Metadata!", ADDRESS(INDEX($AI$2:$AI$1001,MATCH(ROWS($AG$2:AG597),$AG$2:$AG$1001,0),0), INDEX($AN$1004:$BO$1004,1,MATCH(COLUMNS($AN$1006:BJ1006),$AN$1006:$BO$1006,0)))),"Fix")))</f>
        <v>0</v>
      </c>
      <c r="Y597" s="4">
        <f>IF(OR(INDEX($AH$2:$AH$1001,MATCH(ROWS($AG$2:AG597),$AG$2:$AG$1001,0),1)&gt;=100000,INDEX($AN$1005:$BO$1005,1,MATCH(COLUMNS($AN$1006:BK1006),$AN$1006:$BO$1006,0))&gt;=100000), " ",IF(INDEX($AN$2:$BO$1001,MATCH(ROWS($AG$2:AG597),$AG$2:$AG$1001,0),MATCH(COLUMNS($AN$1006:BK1006),$AN$1006:$BO$1006,0)), HYPERLINK("#",""), HYPERLINK(CONCATENATE("#Metadata!", ADDRESS(INDEX($AI$2:$AI$1001,MATCH(ROWS($AG$2:AG597),$AG$2:$AG$1001,0),0), INDEX($AN$1004:$BO$1004,1,MATCH(COLUMNS($AN$1006:BK1006),$AN$1006:$BO$1006,0)))),"Fix")))</f>
        <v>0</v>
      </c>
      <c r="Z597" s="4">
        <f>IF(OR(INDEX($AH$2:$AH$1001,MATCH(ROWS($AG$2:AG597),$AG$2:$AG$1001,0),1)&gt;=100000,INDEX($AN$1005:$BO$1005,1,MATCH(COLUMNS($AN$1006:BL1006),$AN$1006:$BO$1006,0))&gt;=100000), " ",IF(INDEX($AN$2:$BO$1001,MATCH(ROWS($AG$2:AG597),$AG$2:$AG$1001,0),MATCH(COLUMNS($AN$1006:BL1006),$AN$1006:$BO$1006,0)), HYPERLINK("#",""), HYPERLINK(CONCATENATE("#Metadata!", ADDRESS(INDEX($AI$2:$AI$1001,MATCH(ROWS($AG$2:AG597),$AG$2:$AG$1001,0),0), INDEX($AN$1004:$BO$1004,1,MATCH(COLUMNS($AN$1006:BL1006),$AN$1006:$BO$1006,0)))),"Fix")))</f>
        <v>0</v>
      </c>
      <c r="AA597" s="4">
        <f>IF(OR(INDEX($AH$2:$AH$1001,MATCH(ROWS($AG$2:AG597),$AG$2:$AG$1001,0),1)&gt;=100000,INDEX($AN$1005:$BO$1005,1,MATCH(COLUMNS($AN$1006:BM1006),$AN$1006:$BO$1006,0))&gt;=100000), " ",IF(INDEX($AN$2:$BO$1001,MATCH(ROWS($AG$2:AG597),$AG$2:$AG$1001,0),MATCH(COLUMNS($AN$1006:BM1006),$AN$1006:$BO$1006,0)), HYPERLINK("#",""), HYPERLINK(CONCATENATE("#Metadata!", ADDRESS(INDEX($AI$2:$AI$1001,MATCH(ROWS($AG$2:AG597),$AG$2:$AG$1001,0),0), INDEX($AN$1004:$BO$1004,1,MATCH(COLUMNS($AN$1006:BM1006),$AN$1006:$BO$1006,0)))),"Fix")))</f>
        <v>0</v>
      </c>
      <c r="AB597" s="4">
        <f>IF(OR(INDEX($AH$2:$AH$1001,MATCH(ROWS($AG$2:AG597),$AG$2:$AG$1001,0),1)&gt;=100000,INDEX($AN$1005:$BO$1005,1,MATCH(COLUMNS($AN$1006:BN1006),$AN$1006:$BO$1006,0))&gt;=100000), " ",IF(INDEX($AN$2:$BO$1001,MATCH(ROWS($AG$2:AG597),$AG$2:$AG$1001,0),MATCH(COLUMNS($AN$1006:BN1006),$AN$1006:$BO$1006,0)), HYPERLINK("#",""), HYPERLINK(CONCATENATE("#Metadata!", ADDRESS(INDEX($AI$2:$AI$1001,MATCH(ROWS($AG$2:AG597),$AG$2:$AG$1001,0),0), INDEX($AN$1004:$BO$1004,1,MATCH(COLUMNS($AN$1006:BN1006),$AN$1006:$BO$1006,0)))),"Fix")))</f>
        <v>0</v>
      </c>
      <c r="AC597" s="4">
        <f>IF(OR(INDEX($AH$2:$AH$1001,MATCH(ROWS($AG$2:AG597),$AG$2:$AG$1001,0),1)&gt;=100000,INDEX($AN$1005:$BO$1005,1,MATCH(COLUMNS($AN$1006:BO1006),$AN$1006:$BO$1006,0))&gt;=100000), " ",IF(INDEX($AN$2:$BO$1001,MATCH(ROWS($AG$2:AG597),$AG$2:$AG$1001,0),MATCH(COLUMNS($AN$1006:BO1006),$AN$1006:$BO$1006,0)), HYPERLINK("#",""), HYPERLINK(CONCATENATE("#Metadata!", ADDRESS(INDEX($AI$2:$AI$1001,MATCH(ROWS($AG$2:AG597),$AG$2:$AG$1001,0),0), INDEX($AN$1004:$BO$1004,1,MATCH(COLUMNS($AN$1006:BO1006),$AN$1006:$BO$1006,0)))),"Fix")))</f>
        <v>0</v>
      </c>
      <c r="AG597">
        <v>0</v>
      </c>
      <c r="AH597">
        <v>0</v>
      </c>
      <c r="AI597">
        <v>0</v>
      </c>
      <c r="AJ597">
        <f>IF(AK597,TRUE,AND(AN597:BO597))</f>
        <v>0</v>
      </c>
      <c r="AK597">
        <f>COUNTBLANK(Metadata!B597:AC597)=COLUMNS(Metadata!B597:AC597)</f>
        <v>0</v>
      </c>
      <c r="AL597">
        <v>0</v>
      </c>
      <c r="AN597">
        <f>AND(IF(Metadata!B597="",FALSE,TRUE),COUNTIF(Metadata!B:B, Metadata!B597) = 1,NOT(ISERROR(SUMPRODUCT(SEARCH(MID(Metadata!B597,ROW(INDIRECT("1:"&amp;LEN(Metadata!B597))), 1),"0123456789abcdefghijklmnopqrstuvwxyzABCDEFGHIJKLMNOPQRSTUVWXYZ.")))))</f>
        <v>0</v>
      </c>
      <c r="AO597">
        <f>IF(Metadata!C597="",FALSE,TRUE)</f>
        <v>0</v>
      </c>
      <c r="AP597">
        <f>IF(Metadata!D597="",FALSE,TRUE)</f>
        <v>0</v>
      </c>
      <c r="AQ597">
        <f>OR(AND(IF(Metadata!E597="",FALSE,TRUE),OR(exact(Metadata!E597,"not collected"),exact(Metadata!E597,"not provided"),exact(Metadata!E597,"restricted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R597">
        <f>IF(Metadata!F597="",FALSE,TRUE)</f>
        <v>0</v>
      </c>
      <c r="AS597">
        <f>OR(AND(IF(Metadata!G597="",FALSE,TRUE),OR(exact(Metadata!G597,"not collected"),exact(Metadata!G597,"not provided"))),AND(IF(Metadata!G597="",FALSE,TRUE),OR(exact(Metadata!G597,"TRUE"),exact(Metadata!G597,"FALSE"))))</f>
        <v>0</v>
      </c>
      <c r="AT597">
        <f>OR(AND(IF(Metadata!H597="",FALSE,TRUE),OR(exact(Metadata!H597,"not collected"),exact(Metadata!H597,"not provided"),exact(Metadata!H597,"restricted access"))),AND(IF(Metadata!H597="",FALSE,ISNUMBER(VALUE(Metadata!H597))),Metadata!H597&gt;=-413.0))</f>
        <v>0</v>
      </c>
      <c r="AU597">
        <f>AND(IF(Metadata!I597="",FALSE,TRUE),exact(Metadata!I597,"meters"))</f>
        <v>0</v>
      </c>
      <c r="AV597">
        <f>AND(IF(Metadata!J597="",FALSE,TRUE),OR(exact(Metadata!J597,"Host-associated"),exact(Metadata!J597,"Free-living")))</f>
        <v>0</v>
      </c>
      <c r="AW597">
        <f>AND(IF(Metadata!K597="",FALSE,TRUE),OR(exact(Metadata!K597,"Animal"),exact(Metadata!K597,"Fungus"),exact(Metadata!K597,"Plant"),exact(Metadata!K597,"Saline"),exact(Metadata!K597,"Non-saline")))</f>
        <v>0</v>
      </c>
      <c r="AX597">
        <f>AND(IF(Metadata!L597="",FALSE,TRUE),OR(exact(Metadata!L597,"Plant secretion"),exact(Metadata!L597,"Plant rhizosphere"),exact(Metadata!L597,"Plant surface"),exact(Metadata!L597,"Plant corpus"),exact(Metadata!L597,"Fungus surface"),exact(Metadata!L597,"Fungus corpus"),exact(Metadata!L597,"Animal surface"),exact(Metadata!L597,"Animal proximal gut"),exact(Metadata!L597,"Animal corpus"),exact(Metadata!L597,"Animal distal gut"),exact(Metadata!L597,"Animal secretion"),exact(Metadata!L597,"Sub-surface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Y597">
        <f>IF(Metadata!M597="",FALSE,TRUE)</f>
        <v>0</v>
      </c>
      <c r="AZ597">
        <f>IF(Metadata!N597="",FALSE,TRUE)</f>
        <v>0</v>
      </c>
      <c r="BA597">
        <f>IF(Metadata!O597="",FALSE,TRUE)</f>
        <v>0</v>
      </c>
      <c r="BB597">
        <f>OR(AND(IF(Metadata!P597="",FALSE,TRUE),OR(exact(Metadata!P597,"not collected"),exact(Metadata!P597,"not provided"),exact(Metadata!P597,"restricted access"))),AND(IF(Metadata!P597="",FALSE,TRUE),OR(exact(Metadata!P597,"air"),exact(Metadata!P597,"built environment"),exact(Metadata!P597,"host-associated"),exact(Metadata!P597,"human-associated"),exact(Metadata!P597,"human-skin"),exact(Metadata!P597,"human-oral"),exact(Metadata!P597,"human-gut"),exact(Metadata!P597,"human-vaginal"),exact(Metadata!P597,"microbial mat/biofilm"),exact(Metadata!P597,"misc environment"),exact(Metadata!P597,"plant-associated"),exact(Metadata!P597,"sediment"),exact(Metadata!P597,"soil"),exact(Metadata!P597,"wastewater/sludge"),exact(Metadata!P597,"water"))))</f>
        <v>0</v>
      </c>
      <c r="BC597">
        <f>IF(Metadata!Q597="",FALSE,TRUE)</f>
        <v>0</v>
      </c>
      <c r="BD597">
        <f>IF(Metadata!R597="",FALSE,TRUE)</f>
        <v>0</v>
      </c>
      <c r="BE597">
        <f>OR(AND(IF(Metadata!S597="",FALSE,TRUE),OR(exact(Metadata!S597,"not collected"),exact(Metadata!S597,"not provided"),exact(Metadata!S597,"restricted access"))),AND(IF(Metadata!S597="",FALSE,ISNUMBER(VALUE(Metadata!S597))),Metadata!S597&gt;=-90.00,Metadata!S597&lt;=90.00))</f>
        <v>0</v>
      </c>
      <c r="BF597">
        <f>AND(IF(Metadata!T597="",FALSE,TRUE),exact(Metadata!T597,"Decimal degrees"))</f>
        <v>0</v>
      </c>
      <c r="BG597">
        <f>OR(AND(IF(Metadata!U597="",FALSE,TRUE),OR(exact(Metadata!U597,"not collected"),exact(Metadata!U597,"not provided"),exact(Metadata!U597,"restricted access"))),AND(IF(Metadata!U597="",FALSE,ISNUMBER(VALUE(Metadata!U597))),Metadata!U597&gt;=-180.00,Metadata!U597&lt;=180.00))</f>
        <v>0</v>
      </c>
      <c r="BH597">
        <f>AND(IF(Metadata!V597="",FALSE,TRUE),exact(Metadata!V597,"Decimal degrees"))</f>
        <v>0</v>
      </c>
      <c r="BI597">
        <f>IF(Metadata!W597="",FALSE,TRUE)</f>
        <v>0</v>
      </c>
      <c r="BJ597">
        <f>OR(AND(IF(Metadata!X597="",FALSE,TRUE),OR(exact(Metadata!X597,"not collected"),exact(Metadata!X597,"not provided"),exact(Metadata!X597,"restricted access"))),AND(IF(Metadata!X597="",FALSE,TRUE),OR(exact(Metadata!X597,"TRUE"),exact(Metadata!X597,"FALSE"))))</f>
        <v>0</v>
      </c>
      <c r="BK597">
        <f>AND(IF(Metadata!Y597="",FALSE,TRUE),exact(Metadata!Y597,"other"))</f>
        <v>0</v>
      </c>
      <c r="BL597">
        <f>IF(Metadata!Z597="",FALSE,TRUE)</f>
        <v>0</v>
      </c>
      <c r="BM597">
        <f>OR(AND(IF(Metadata!AA597="",FALSE,TRUE),OR(exact(Metadata!AA597,"not collected"),exact(Metadata!AA597,"not provided"))),AND(IF(Metadata!AA597="",FALSE,IF(ISERROR(INT(Metadata!AA597)),FALSE,INT(Metadata!AA597)=Metadata!AA597)),Metadata!AA597&gt;0))</f>
        <v>0</v>
      </c>
      <c r="BN597">
        <f>AND(IF(Metadata!AB597="",FALSE,TRUE),exact(Metadata!AB597,"Not applicable"))</f>
        <v>0</v>
      </c>
      <c r="BO597">
        <f>IF(Metadata!AC597="",FALSE,TRUE)</f>
        <v>0</v>
      </c>
    </row>
    <row r="598" spans="1:67">
      <c r="A598" s="5">
        <f>IF(B598=" "," ",HYPERLINK(CONCATENATE("#metadata!",ADDRESS(INDEX($AI$2:$AI$1001,MATCH(ROWS($AG$2:AG598),$AG$2:$AG$1001,0),0),1)),INDEX($AL$2:$AL$1001,MATCH(ROWS($AG$2:AG598),$AG$2:$AG$1001,0),0)))</f>
        <v>0</v>
      </c>
      <c r="B598" s="4">
        <f>IF(OR(INDEX($AH$2:$AH$1001,MATCH(ROWS($AG$2:AG598),$AG$2:$AG$1001,0),1)&gt;=100000,INDEX($AN$1005:$BO$1005,1,MATCH(COLUMNS($AN$1006:AN1006),$AN$1006:$BO$1006,0))&gt;=100000), " ",IF(INDEX($AN$2:$BO$1001,MATCH(ROWS($AG$2:AG598),$AG$2:$AG$1001,0),MATCH(COLUMNS($AN$1006:AN1006),$AN$1006:$BO$1006,0)), HYPERLINK("#",""), HYPERLINK(CONCATENATE("#Metadata!", ADDRESS(INDEX($AI$2:$AI$1001,MATCH(ROWS($AG$2:AG598),$AG$2:$AG$1001,0),0), INDEX($AN$1004:$BO$1004,1,MATCH(COLUMNS($AN$1006:AN1006),$AN$1006:$BO$1006,0)))),"Fix")))</f>
        <v>0</v>
      </c>
      <c r="C598" s="4">
        <f>IF(OR(INDEX($AH$2:$AH$1001,MATCH(ROWS($AG$2:AG598),$AG$2:$AG$1001,0),1)&gt;=100000,INDEX($AN$1005:$BO$1005,1,MATCH(COLUMNS($AN$1006:AO1006),$AN$1006:$BO$1006,0))&gt;=100000), " ",IF(INDEX($AN$2:$BO$1001,MATCH(ROWS($AG$2:AG598),$AG$2:$AG$1001,0),MATCH(COLUMNS($AN$1006:AO1006),$AN$1006:$BO$1006,0)), HYPERLINK("#",""), HYPERLINK(CONCATENATE("#Metadata!", ADDRESS(INDEX($AI$2:$AI$1001,MATCH(ROWS($AG$2:AG598),$AG$2:$AG$1001,0),0), INDEX($AN$1004:$BO$1004,1,MATCH(COLUMNS($AN$1006:AO1006),$AN$1006:$BO$1006,0)))),"Fix")))</f>
        <v>0</v>
      </c>
      <c r="D598" s="4">
        <f>IF(OR(INDEX($AH$2:$AH$1001,MATCH(ROWS($AG$2:AG598),$AG$2:$AG$1001,0),1)&gt;=100000,INDEX($AN$1005:$BO$1005,1,MATCH(COLUMNS($AN$1006:AP1006),$AN$1006:$BO$1006,0))&gt;=100000), " ",IF(INDEX($AN$2:$BO$1001,MATCH(ROWS($AG$2:AG598),$AG$2:$AG$1001,0),MATCH(COLUMNS($AN$1006:AP1006),$AN$1006:$BO$1006,0)), HYPERLINK("#",""), HYPERLINK(CONCATENATE("#Metadata!", ADDRESS(INDEX($AI$2:$AI$1001,MATCH(ROWS($AG$2:AG598),$AG$2:$AG$1001,0),0), INDEX($AN$1004:$BO$1004,1,MATCH(COLUMNS($AN$1006:AP1006),$AN$1006:$BO$1006,0)))),"Fix")))</f>
        <v>0</v>
      </c>
      <c r="E598" s="4">
        <f>IF(OR(INDEX($AH$2:$AH$1001,MATCH(ROWS($AG$2:AG598),$AG$2:$AG$1001,0),1)&gt;=100000,INDEX($AN$1005:$BO$1005,1,MATCH(COLUMNS($AN$1006:AQ1006),$AN$1006:$BO$1006,0))&gt;=100000), " ",IF(INDEX($AN$2:$BO$1001,MATCH(ROWS($AG$2:AG598),$AG$2:$AG$1001,0),MATCH(COLUMNS($AN$1006:AQ1006),$AN$1006:$BO$1006,0)), HYPERLINK("#",""), HYPERLINK(CONCATENATE("#Metadata!", ADDRESS(INDEX($AI$2:$AI$1001,MATCH(ROWS($AG$2:AG598),$AG$2:$AG$1001,0),0), INDEX($AN$1004:$BO$1004,1,MATCH(COLUMNS($AN$1006:AQ1006),$AN$1006:$BO$1006,0)))),"Fix")))</f>
        <v>0</v>
      </c>
      <c r="F598" s="4">
        <f>IF(OR(INDEX($AH$2:$AH$1001,MATCH(ROWS($AG$2:AG598),$AG$2:$AG$1001,0),1)&gt;=100000,INDEX($AN$1005:$BO$1005,1,MATCH(COLUMNS($AN$1006:AR1006),$AN$1006:$BO$1006,0))&gt;=100000), " ",IF(INDEX($AN$2:$BO$1001,MATCH(ROWS($AG$2:AG598),$AG$2:$AG$1001,0),MATCH(COLUMNS($AN$1006:AR1006),$AN$1006:$BO$1006,0)), HYPERLINK("#",""), HYPERLINK(CONCATENATE("#Metadata!", ADDRESS(INDEX($AI$2:$AI$1001,MATCH(ROWS($AG$2:AG598),$AG$2:$AG$1001,0),0), INDEX($AN$1004:$BO$1004,1,MATCH(COLUMNS($AN$1006:AR1006),$AN$1006:$BO$1006,0)))),"Fix")))</f>
        <v>0</v>
      </c>
      <c r="G598" s="4">
        <f>IF(OR(INDEX($AH$2:$AH$1001,MATCH(ROWS($AG$2:AG598),$AG$2:$AG$1001,0),1)&gt;=100000,INDEX($AN$1005:$BO$1005,1,MATCH(COLUMNS($AN$1006:AS1006),$AN$1006:$BO$1006,0))&gt;=100000), " ",IF(INDEX($AN$2:$BO$1001,MATCH(ROWS($AG$2:AG598),$AG$2:$AG$1001,0),MATCH(COLUMNS($AN$1006:AS1006),$AN$1006:$BO$1006,0)), HYPERLINK("#",""), HYPERLINK(CONCATENATE("#Metadata!", ADDRESS(INDEX($AI$2:$AI$1001,MATCH(ROWS($AG$2:AG598),$AG$2:$AG$1001,0),0), INDEX($AN$1004:$BO$1004,1,MATCH(COLUMNS($AN$1006:AS1006),$AN$1006:$BO$1006,0)))),"Fix")))</f>
        <v>0</v>
      </c>
      <c r="H598" s="4">
        <f>IF(OR(INDEX($AH$2:$AH$1001,MATCH(ROWS($AG$2:AG598),$AG$2:$AG$1001,0),1)&gt;=100000,INDEX($AN$1005:$BO$1005,1,MATCH(COLUMNS($AN$1006:AT1006),$AN$1006:$BO$1006,0))&gt;=100000), " ",IF(INDEX($AN$2:$BO$1001,MATCH(ROWS($AG$2:AG598),$AG$2:$AG$1001,0),MATCH(COLUMNS($AN$1006:AT1006),$AN$1006:$BO$1006,0)), HYPERLINK("#",""), HYPERLINK(CONCATENATE("#Metadata!", ADDRESS(INDEX($AI$2:$AI$1001,MATCH(ROWS($AG$2:AG598),$AG$2:$AG$1001,0),0), INDEX($AN$1004:$BO$1004,1,MATCH(COLUMNS($AN$1006:AT1006),$AN$1006:$BO$1006,0)))),"Fix")))</f>
        <v>0</v>
      </c>
      <c r="I598" s="4">
        <f>IF(OR(INDEX($AH$2:$AH$1001,MATCH(ROWS($AG$2:AG598),$AG$2:$AG$1001,0),1)&gt;=100000,INDEX($AN$1005:$BO$1005,1,MATCH(COLUMNS($AN$1006:AU1006),$AN$1006:$BO$1006,0))&gt;=100000), " ",IF(INDEX($AN$2:$BO$1001,MATCH(ROWS($AG$2:AG598),$AG$2:$AG$1001,0),MATCH(COLUMNS($AN$1006:AU1006),$AN$1006:$BO$1006,0)), HYPERLINK("#",""), HYPERLINK(CONCATENATE("#Metadata!", ADDRESS(INDEX($AI$2:$AI$1001,MATCH(ROWS($AG$2:AG598),$AG$2:$AG$1001,0),0), INDEX($AN$1004:$BO$1004,1,MATCH(COLUMNS($AN$1006:AU1006),$AN$1006:$BO$1006,0)))),"Fix")))</f>
        <v>0</v>
      </c>
      <c r="J598" s="4">
        <f>IF(OR(INDEX($AH$2:$AH$1001,MATCH(ROWS($AG$2:AG598),$AG$2:$AG$1001,0),1)&gt;=100000,INDEX($AN$1005:$BO$1005,1,MATCH(COLUMNS($AN$1006:AV1006),$AN$1006:$BO$1006,0))&gt;=100000), " ",IF(INDEX($AN$2:$BO$1001,MATCH(ROWS($AG$2:AG598),$AG$2:$AG$1001,0),MATCH(COLUMNS($AN$1006:AV1006),$AN$1006:$BO$1006,0)), HYPERLINK("#",""), HYPERLINK(CONCATENATE("#Metadata!", ADDRESS(INDEX($AI$2:$AI$1001,MATCH(ROWS($AG$2:AG598),$AG$2:$AG$1001,0),0), INDEX($AN$1004:$BO$1004,1,MATCH(COLUMNS($AN$1006:AV1006),$AN$1006:$BO$1006,0)))),"Fix")))</f>
        <v>0</v>
      </c>
      <c r="K598" s="4">
        <f>IF(OR(INDEX($AH$2:$AH$1001,MATCH(ROWS($AG$2:AG598),$AG$2:$AG$1001,0),1)&gt;=100000,INDEX($AN$1005:$BO$1005,1,MATCH(COLUMNS($AN$1006:AW1006),$AN$1006:$BO$1006,0))&gt;=100000), " ",IF(INDEX($AN$2:$BO$1001,MATCH(ROWS($AG$2:AG598),$AG$2:$AG$1001,0),MATCH(COLUMNS($AN$1006:AW1006),$AN$1006:$BO$1006,0)), HYPERLINK("#",""), HYPERLINK(CONCATENATE("#Metadata!", ADDRESS(INDEX($AI$2:$AI$1001,MATCH(ROWS($AG$2:AG598),$AG$2:$AG$1001,0),0), INDEX($AN$1004:$BO$1004,1,MATCH(COLUMNS($AN$1006:AW1006),$AN$1006:$BO$1006,0)))),"Fix")))</f>
        <v>0</v>
      </c>
      <c r="L598" s="4">
        <f>IF(OR(INDEX($AH$2:$AH$1001,MATCH(ROWS($AG$2:AG598),$AG$2:$AG$1001,0),1)&gt;=100000,INDEX($AN$1005:$BO$1005,1,MATCH(COLUMNS($AN$1006:AX1006),$AN$1006:$BO$1006,0))&gt;=100000), " ",IF(INDEX($AN$2:$BO$1001,MATCH(ROWS($AG$2:AG598),$AG$2:$AG$1001,0),MATCH(COLUMNS($AN$1006:AX1006),$AN$1006:$BO$1006,0)), HYPERLINK("#",""), HYPERLINK(CONCATENATE("#Metadata!", ADDRESS(INDEX($AI$2:$AI$1001,MATCH(ROWS($AG$2:AG598),$AG$2:$AG$1001,0),0), INDEX($AN$1004:$BO$1004,1,MATCH(COLUMNS($AN$1006:AX1006),$AN$1006:$BO$1006,0)))),"Fix")))</f>
        <v>0</v>
      </c>
      <c r="M598" s="4">
        <f>IF(OR(INDEX($AH$2:$AH$1001,MATCH(ROWS($AG$2:AG598),$AG$2:$AG$1001,0),1)&gt;=100000,INDEX($AN$1005:$BO$1005,1,MATCH(COLUMNS($AN$1006:AY1006),$AN$1006:$BO$1006,0))&gt;=100000), " ",IF(INDEX($AN$2:$BO$1001,MATCH(ROWS($AG$2:AG598),$AG$2:$AG$1001,0),MATCH(COLUMNS($AN$1006:AY1006),$AN$1006:$BO$1006,0)), HYPERLINK("#",""), HYPERLINK(CONCATENATE("#Metadata!", ADDRESS(INDEX($AI$2:$AI$1001,MATCH(ROWS($AG$2:AG598),$AG$2:$AG$1001,0),0), INDEX($AN$1004:$BO$1004,1,MATCH(COLUMNS($AN$1006:AY1006),$AN$1006:$BO$1006,0)))),"Fix")))</f>
        <v>0</v>
      </c>
      <c r="N598" s="4">
        <f>IF(OR(INDEX($AH$2:$AH$1001,MATCH(ROWS($AG$2:AG598),$AG$2:$AG$1001,0),1)&gt;=100000,INDEX($AN$1005:$BO$1005,1,MATCH(COLUMNS($AN$1006:AZ1006),$AN$1006:$BO$1006,0))&gt;=100000), " ",IF(INDEX($AN$2:$BO$1001,MATCH(ROWS($AG$2:AG598),$AG$2:$AG$1001,0),MATCH(COLUMNS($AN$1006:AZ1006),$AN$1006:$BO$1006,0)), HYPERLINK("#",""), HYPERLINK(CONCATENATE("#Metadata!", ADDRESS(INDEX($AI$2:$AI$1001,MATCH(ROWS($AG$2:AG598),$AG$2:$AG$1001,0),0), INDEX($AN$1004:$BO$1004,1,MATCH(COLUMNS($AN$1006:AZ1006),$AN$1006:$BO$1006,0)))),"Fix")))</f>
        <v>0</v>
      </c>
      <c r="O598" s="4">
        <f>IF(OR(INDEX($AH$2:$AH$1001,MATCH(ROWS($AG$2:AG598),$AG$2:$AG$1001,0),1)&gt;=100000,INDEX($AN$1005:$BO$1005,1,MATCH(COLUMNS($AN$1006:BA1006),$AN$1006:$BO$1006,0))&gt;=100000), " ",IF(INDEX($AN$2:$BO$1001,MATCH(ROWS($AG$2:AG598),$AG$2:$AG$1001,0),MATCH(COLUMNS($AN$1006:BA1006),$AN$1006:$BO$1006,0)), HYPERLINK("#",""), HYPERLINK(CONCATENATE("#Metadata!", ADDRESS(INDEX($AI$2:$AI$1001,MATCH(ROWS($AG$2:AG598),$AG$2:$AG$1001,0),0), INDEX($AN$1004:$BO$1004,1,MATCH(COLUMNS($AN$1006:BA1006),$AN$1006:$BO$1006,0)))),"Fix")))</f>
        <v>0</v>
      </c>
      <c r="P598" s="4">
        <f>IF(OR(INDEX($AH$2:$AH$1001,MATCH(ROWS($AG$2:AG598),$AG$2:$AG$1001,0),1)&gt;=100000,INDEX($AN$1005:$BO$1005,1,MATCH(COLUMNS($AN$1006:BB1006),$AN$1006:$BO$1006,0))&gt;=100000), " ",IF(INDEX($AN$2:$BO$1001,MATCH(ROWS($AG$2:AG598),$AG$2:$AG$1001,0),MATCH(COLUMNS($AN$1006:BB1006),$AN$1006:$BO$1006,0)), HYPERLINK("#",""), HYPERLINK(CONCATENATE("#Metadata!", ADDRESS(INDEX($AI$2:$AI$1001,MATCH(ROWS($AG$2:AG598),$AG$2:$AG$1001,0),0), INDEX($AN$1004:$BO$1004,1,MATCH(COLUMNS($AN$1006:BB1006),$AN$1006:$BO$1006,0)))),"Fix")))</f>
        <v>0</v>
      </c>
      <c r="Q598" s="4">
        <f>IF(OR(INDEX($AH$2:$AH$1001,MATCH(ROWS($AG$2:AG598),$AG$2:$AG$1001,0),1)&gt;=100000,INDEX($AN$1005:$BO$1005,1,MATCH(COLUMNS($AN$1006:BC1006),$AN$1006:$BO$1006,0))&gt;=100000), " ",IF(INDEX($AN$2:$BO$1001,MATCH(ROWS($AG$2:AG598),$AG$2:$AG$1001,0),MATCH(COLUMNS($AN$1006:BC1006),$AN$1006:$BO$1006,0)), HYPERLINK("#",""), HYPERLINK(CONCATENATE("#Metadata!", ADDRESS(INDEX($AI$2:$AI$1001,MATCH(ROWS($AG$2:AG598),$AG$2:$AG$1001,0),0), INDEX($AN$1004:$BO$1004,1,MATCH(COLUMNS($AN$1006:BC1006),$AN$1006:$BO$1006,0)))),"Fix")))</f>
        <v>0</v>
      </c>
      <c r="R598" s="4">
        <f>IF(OR(INDEX($AH$2:$AH$1001,MATCH(ROWS($AG$2:AG598),$AG$2:$AG$1001,0),1)&gt;=100000,INDEX($AN$1005:$BO$1005,1,MATCH(COLUMNS($AN$1006:BD1006),$AN$1006:$BO$1006,0))&gt;=100000), " ",IF(INDEX($AN$2:$BO$1001,MATCH(ROWS($AG$2:AG598),$AG$2:$AG$1001,0),MATCH(COLUMNS($AN$1006:BD1006),$AN$1006:$BO$1006,0)), HYPERLINK("#",""), HYPERLINK(CONCATENATE("#Metadata!", ADDRESS(INDEX($AI$2:$AI$1001,MATCH(ROWS($AG$2:AG598),$AG$2:$AG$1001,0),0), INDEX($AN$1004:$BO$1004,1,MATCH(COLUMNS($AN$1006:BD1006),$AN$1006:$BO$1006,0)))),"Fix")))</f>
        <v>0</v>
      </c>
      <c r="S598" s="4">
        <f>IF(OR(INDEX($AH$2:$AH$1001,MATCH(ROWS($AG$2:AG598),$AG$2:$AG$1001,0),1)&gt;=100000,INDEX($AN$1005:$BO$1005,1,MATCH(COLUMNS($AN$1006:BE1006),$AN$1006:$BO$1006,0))&gt;=100000), " ",IF(INDEX($AN$2:$BO$1001,MATCH(ROWS($AG$2:AG598),$AG$2:$AG$1001,0),MATCH(COLUMNS($AN$1006:BE1006),$AN$1006:$BO$1006,0)), HYPERLINK("#",""), HYPERLINK(CONCATENATE("#Metadata!", ADDRESS(INDEX($AI$2:$AI$1001,MATCH(ROWS($AG$2:AG598),$AG$2:$AG$1001,0),0), INDEX($AN$1004:$BO$1004,1,MATCH(COLUMNS($AN$1006:BE1006),$AN$1006:$BO$1006,0)))),"Fix")))</f>
        <v>0</v>
      </c>
      <c r="T598" s="4">
        <f>IF(OR(INDEX($AH$2:$AH$1001,MATCH(ROWS($AG$2:AG598),$AG$2:$AG$1001,0),1)&gt;=100000,INDEX($AN$1005:$BO$1005,1,MATCH(COLUMNS($AN$1006:BF1006),$AN$1006:$BO$1006,0))&gt;=100000), " ",IF(INDEX($AN$2:$BO$1001,MATCH(ROWS($AG$2:AG598),$AG$2:$AG$1001,0),MATCH(COLUMNS($AN$1006:BF1006),$AN$1006:$BO$1006,0)), HYPERLINK("#",""), HYPERLINK(CONCATENATE("#Metadata!", ADDRESS(INDEX($AI$2:$AI$1001,MATCH(ROWS($AG$2:AG598),$AG$2:$AG$1001,0),0), INDEX($AN$1004:$BO$1004,1,MATCH(COLUMNS($AN$1006:BF1006),$AN$1006:$BO$1006,0)))),"Fix")))</f>
        <v>0</v>
      </c>
      <c r="U598" s="4">
        <f>IF(OR(INDEX($AH$2:$AH$1001,MATCH(ROWS($AG$2:AG598),$AG$2:$AG$1001,0),1)&gt;=100000,INDEX($AN$1005:$BO$1005,1,MATCH(COLUMNS($AN$1006:BG1006),$AN$1006:$BO$1006,0))&gt;=100000), " ",IF(INDEX($AN$2:$BO$1001,MATCH(ROWS($AG$2:AG598),$AG$2:$AG$1001,0),MATCH(COLUMNS($AN$1006:BG1006),$AN$1006:$BO$1006,0)), HYPERLINK("#",""), HYPERLINK(CONCATENATE("#Metadata!", ADDRESS(INDEX($AI$2:$AI$1001,MATCH(ROWS($AG$2:AG598),$AG$2:$AG$1001,0),0), INDEX($AN$1004:$BO$1004,1,MATCH(COLUMNS($AN$1006:BG1006),$AN$1006:$BO$1006,0)))),"Fix")))</f>
        <v>0</v>
      </c>
      <c r="V598" s="4">
        <f>IF(OR(INDEX($AH$2:$AH$1001,MATCH(ROWS($AG$2:AG598),$AG$2:$AG$1001,0),1)&gt;=100000,INDEX($AN$1005:$BO$1005,1,MATCH(COLUMNS($AN$1006:BH1006),$AN$1006:$BO$1006,0))&gt;=100000), " ",IF(INDEX($AN$2:$BO$1001,MATCH(ROWS($AG$2:AG598),$AG$2:$AG$1001,0),MATCH(COLUMNS($AN$1006:BH1006),$AN$1006:$BO$1006,0)), HYPERLINK("#",""), HYPERLINK(CONCATENATE("#Metadata!", ADDRESS(INDEX($AI$2:$AI$1001,MATCH(ROWS($AG$2:AG598),$AG$2:$AG$1001,0),0), INDEX($AN$1004:$BO$1004,1,MATCH(COLUMNS($AN$1006:BH1006),$AN$1006:$BO$1006,0)))),"Fix")))</f>
        <v>0</v>
      </c>
      <c r="W598" s="4">
        <f>IF(OR(INDEX($AH$2:$AH$1001,MATCH(ROWS($AG$2:AG598),$AG$2:$AG$1001,0),1)&gt;=100000,INDEX($AN$1005:$BO$1005,1,MATCH(COLUMNS($AN$1006:BI1006),$AN$1006:$BO$1006,0))&gt;=100000), " ",IF(INDEX($AN$2:$BO$1001,MATCH(ROWS($AG$2:AG598),$AG$2:$AG$1001,0),MATCH(COLUMNS($AN$1006:BI1006),$AN$1006:$BO$1006,0)), HYPERLINK("#",""), HYPERLINK(CONCATENATE("#Metadata!", ADDRESS(INDEX($AI$2:$AI$1001,MATCH(ROWS($AG$2:AG598),$AG$2:$AG$1001,0),0), INDEX($AN$1004:$BO$1004,1,MATCH(COLUMNS($AN$1006:BI1006),$AN$1006:$BO$1006,0)))),"Fix")))</f>
        <v>0</v>
      </c>
      <c r="X598" s="4">
        <f>IF(OR(INDEX($AH$2:$AH$1001,MATCH(ROWS($AG$2:AG598),$AG$2:$AG$1001,0),1)&gt;=100000,INDEX($AN$1005:$BO$1005,1,MATCH(COLUMNS($AN$1006:BJ1006),$AN$1006:$BO$1006,0))&gt;=100000), " ",IF(INDEX($AN$2:$BO$1001,MATCH(ROWS($AG$2:AG598),$AG$2:$AG$1001,0),MATCH(COLUMNS($AN$1006:BJ1006),$AN$1006:$BO$1006,0)), HYPERLINK("#",""), HYPERLINK(CONCATENATE("#Metadata!", ADDRESS(INDEX($AI$2:$AI$1001,MATCH(ROWS($AG$2:AG598),$AG$2:$AG$1001,0),0), INDEX($AN$1004:$BO$1004,1,MATCH(COLUMNS($AN$1006:BJ1006),$AN$1006:$BO$1006,0)))),"Fix")))</f>
        <v>0</v>
      </c>
      <c r="Y598" s="4">
        <f>IF(OR(INDEX($AH$2:$AH$1001,MATCH(ROWS($AG$2:AG598),$AG$2:$AG$1001,0),1)&gt;=100000,INDEX($AN$1005:$BO$1005,1,MATCH(COLUMNS($AN$1006:BK1006),$AN$1006:$BO$1006,0))&gt;=100000), " ",IF(INDEX($AN$2:$BO$1001,MATCH(ROWS($AG$2:AG598),$AG$2:$AG$1001,0),MATCH(COLUMNS($AN$1006:BK1006),$AN$1006:$BO$1006,0)), HYPERLINK("#",""), HYPERLINK(CONCATENATE("#Metadata!", ADDRESS(INDEX($AI$2:$AI$1001,MATCH(ROWS($AG$2:AG598),$AG$2:$AG$1001,0),0), INDEX($AN$1004:$BO$1004,1,MATCH(COLUMNS($AN$1006:BK1006),$AN$1006:$BO$1006,0)))),"Fix")))</f>
        <v>0</v>
      </c>
      <c r="Z598" s="4">
        <f>IF(OR(INDEX($AH$2:$AH$1001,MATCH(ROWS($AG$2:AG598),$AG$2:$AG$1001,0),1)&gt;=100000,INDEX($AN$1005:$BO$1005,1,MATCH(COLUMNS($AN$1006:BL1006),$AN$1006:$BO$1006,0))&gt;=100000), " ",IF(INDEX($AN$2:$BO$1001,MATCH(ROWS($AG$2:AG598),$AG$2:$AG$1001,0),MATCH(COLUMNS($AN$1006:BL1006),$AN$1006:$BO$1006,0)), HYPERLINK("#",""), HYPERLINK(CONCATENATE("#Metadata!", ADDRESS(INDEX($AI$2:$AI$1001,MATCH(ROWS($AG$2:AG598),$AG$2:$AG$1001,0),0), INDEX($AN$1004:$BO$1004,1,MATCH(COLUMNS($AN$1006:BL1006),$AN$1006:$BO$1006,0)))),"Fix")))</f>
        <v>0</v>
      </c>
      <c r="AA598" s="4">
        <f>IF(OR(INDEX($AH$2:$AH$1001,MATCH(ROWS($AG$2:AG598),$AG$2:$AG$1001,0),1)&gt;=100000,INDEX($AN$1005:$BO$1005,1,MATCH(COLUMNS($AN$1006:BM1006),$AN$1006:$BO$1006,0))&gt;=100000), " ",IF(INDEX($AN$2:$BO$1001,MATCH(ROWS($AG$2:AG598),$AG$2:$AG$1001,0),MATCH(COLUMNS($AN$1006:BM1006),$AN$1006:$BO$1006,0)), HYPERLINK("#",""), HYPERLINK(CONCATENATE("#Metadata!", ADDRESS(INDEX($AI$2:$AI$1001,MATCH(ROWS($AG$2:AG598),$AG$2:$AG$1001,0),0), INDEX($AN$1004:$BO$1004,1,MATCH(COLUMNS($AN$1006:BM1006),$AN$1006:$BO$1006,0)))),"Fix")))</f>
        <v>0</v>
      </c>
      <c r="AB598" s="4">
        <f>IF(OR(INDEX($AH$2:$AH$1001,MATCH(ROWS($AG$2:AG598),$AG$2:$AG$1001,0),1)&gt;=100000,INDEX($AN$1005:$BO$1005,1,MATCH(COLUMNS($AN$1006:BN1006),$AN$1006:$BO$1006,0))&gt;=100000), " ",IF(INDEX($AN$2:$BO$1001,MATCH(ROWS($AG$2:AG598),$AG$2:$AG$1001,0),MATCH(COLUMNS($AN$1006:BN1006),$AN$1006:$BO$1006,0)), HYPERLINK("#",""), HYPERLINK(CONCATENATE("#Metadata!", ADDRESS(INDEX($AI$2:$AI$1001,MATCH(ROWS($AG$2:AG598),$AG$2:$AG$1001,0),0), INDEX($AN$1004:$BO$1004,1,MATCH(COLUMNS($AN$1006:BN1006),$AN$1006:$BO$1006,0)))),"Fix")))</f>
        <v>0</v>
      </c>
      <c r="AC598" s="4">
        <f>IF(OR(INDEX($AH$2:$AH$1001,MATCH(ROWS($AG$2:AG598),$AG$2:$AG$1001,0),1)&gt;=100000,INDEX($AN$1005:$BO$1005,1,MATCH(COLUMNS($AN$1006:BO1006),$AN$1006:$BO$1006,0))&gt;=100000), " ",IF(INDEX($AN$2:$BO$1001,MATCH(ROWS($AG$2:AG598),$AG$2:$AG$1001,0),MATCH(COLUMNS($AN$1006:BO1006),$AN$1006:$BO$1006,0)), HYPERLINK("#",""), HYPERLINK(CONCATENATE("#Metadata!", ADDRESS(INDEX($AI$2:$AI$1001,MATCH(ROWS($AG$2:AG598),$AG$2:$AG$1001,0),0), INDEX($AN$1004:$BO$1004,1,MATCH(COLUMNS($AN$1006:BO1006),$AN$1006:$BO$1006,0)))),"Fix")))</f>
        <v>0</v>
      </c>
      <c r="AG598">
        <v>0</v>
      </c>
      <c r="AH598">
        <v>0</v>
      </c>
      <c r="AI598">
        <v>0</v>
      </c>
      <c r="AJ598">
        <f>IF(AK598,TRUE,AND(AN598:BO598))</f>
        <v>0</v>
      </c>
      <c r="AK598">
        <f>COUNTBLANK(Metadata!B598:AC598)=COLUMNS(Metadata!B598:AC598)</f>
        <v>0</v>
      </c>
      <c r="AL598">
        <v>0</v>
      </c>
      <c r="AN598">
        <f>AND(IF(Metadata!B598="",FALSE,TRUE),COUNTIF(Metadata!B:B, Metadata!B598) = 1,NOT(ISERROR(SUMPRODUCT(SEARCH(MID(Metadata!B598,ROW(INDIRECT("1:"&amp;LEN(Metadata!B598))), 1),"0123456789abcdefghijklmnopqrstuvwxyzABCDEFGHIJKLMNOPQRSTUVWXYZ.")))))</f>
        <v>0</v>
      </c>
      <c r="AO598">
        <f>IF(Metadata!C598="",FALSE,TRUE)</f>
        <v>0</v>
      </c>
      <c r="AP598">
        <f>IF(Metadata!D598="",FALSE,TRUE)</f>
        <v>0</v>
      </c>
      <c r="AQ598">
        <f>OR(AND(IF(Metadata!E598="",FALSE,TRUE),OR(exact(Metadata!E598,"not collected"),exact(Metadata!E598,"not provided"),exact(Metadata!E598,"restricted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R598">
        <f>IF(Metadata!F598="",FALSE,TRUE)</f>
        <v>0</v>
      </c>
      <c r="AS598">
        <f>OR(AND(IF(Metadata!G598="",FALSE,TRUE),OR(exact(Metadata!G598,"not collected"),exact(Metadata!G598,"not provided"))),AND(IF(Metadata!G598="",FALSE,TRUE),OR(exact(Metadata!G598,"TRUE"),exact(Metadata!G598,"FALSE"))))</f>
        <v>0</v>
      </c>
      <c r="AT598">
        <f>OR(AND(IF(Metadata!H598="",FALSE,TRUE),OR(exact(Metadata!H598,"not collected"),exact(Metadata!H598,"not provided"),exact(Metadata!H598,"restricted access"))),AND(IF(Metadata!H598="",FALSE,ISNUMBER(VALUE(Metadata!H598))),Metadata!H598&gt;=-413.0))</f>
        <v>0</v>
      </c>
      <c r="AU598">
        <f>AND(IF(Metadata!I598="",FALSE,TRUE),exact(Metadata!I598,"meters"))</f>
        <v>0</v>
      </c>
      <c r="AV598">
        <f>AND(IF(Metadata!J598="",FALSE,TRUE),OR(exact(Metadata!J598,"Host-associated"),exact(Metadata!J598,"Free-living")))</f>
        <v>0</v>
      </c>
      <c r="AW598">
        <f>AND(IF(Metadata!K598="",FALSE,TRUE),OR(exact(Metadata!K598,"Animal"),exact(Metadata!K598,"Fungus"),exact(Metadata!K598,"Plant"),exact(Metadata!K598,"Saline"),exact(Metadata!K598,"Non-saline")))</f>
        <v>0</v>
      </c>
      <c r="AX598">
        <f>AND(IF(Metadata!L598="",FALSE,TRUE),OR(exact(Metadata!L598,"Plant secretion"),exact(Metadata!L598,"Plant rhizosphere"),exact(Metadata!L598,"Plant surface"),exact(Metadata!L598,"Plant corpus"),exact(Metadata!L598,"Fungus surface"),exact(Metadata!L598,"Fungus corpus"),exact(Metadata!L598,"Animal surface"),exact(Metadata!L598,"Animal proximal gut"),exact(Metadata!L598,"Animal corpus"),exact(Metadata!L598,"Animal distal gut"),exact(Metadata!L598,"Animal secretion"),exact(Metadata!L598,"Sub-surface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Y598">
        <f>IF(Metadata!M598="",FALSE,TRUE)</f>
        <v>0</v>
      </c>
      <c r="AZ598">
        <f>IF(Metadata!N598="",FALSE,TRUE)</f>
        <v>0</v>
      </c>
      <c r="BA598">
        <f>IF(Metadata!O598="",FALSE,TRUE)</f>
        <v>0</v>
      </c>
      <c r="BB598">
        <f>OR(AND(IF(Metadata!P598="",FALSE,TRUE),OR(exact(Metadata!P598,"not collected"),exact(Metadata!P598,"not provided"),exact(Metadata!P598,"restricted access"))),AND(IF(Metadata!P598="",FALSE,TRUE),OR(exact(Metadata!P598,"air"),exact(Metadata!P598,"built environment"),exact(Metadata!P598,"host-associated"),exact(Metadata!P598,"human-associated"),exact(Metadata!P598,"human-skin"),exact(Metadata!P598,"human-oral"),exact(Metadata!P598,"human-gut"),exact(Metadata!P598,"human-vaginal"),exact(Metadata!P598,"microbial mat/biofilm"),exact(Metadata!P598,"misc environment"),exact(Metadata!P598,"plant-associated"),exact(Metadata!P598,"sediment"),exact(Metadata!P598,"soil"),exact(Metadata!P598,"wastewater/sludge"),exact(Metadata!P598,"water"))))</f>
        <v>0</v>
      </c>
      <c r="BC598">
        <f>IF(Metadata!Q598="",FALSE,TRUE)</f>
        <v>0</v>
      </c>
      <c r="BD598">
        <f>IF(Metadata!R598="",FALSE,TRUE)</f>
        <v>0</v>
      </c>
      <c r="BE598">
        <f>OR(AND(IF(Metadata!S598="",FALSE,TRUE),OR(exact(Metadata!S598,"not collected"),exact(Metadata!S598,"not provided"),exact(Metadata!S598,"restricted access"))),AND(IF(Metadata!S598="",FALSE,ISNUMBER(VALUE(Metadata!S598))),Metadata!S598&gt;=-90.00,Metadata!S598&lt;=90.00))</f>
        <v>0</v>
      </c>
      <c r="BF598">
        <f>AND(IF(Metadata!T598="",FALSE,TRUE),exact(Metadata!T598,"Decimal degrees"))</f>
        <v>0</v>
      </c>
      <c r="BG598">
        <f>OR(AND(IF(Metadata!U598="",FALSE,TRUE),OR(exact(Metadata!U598,"not collected"),exact(Metadata!U598,"not provided"),exact(Metadata!U598,"restricted access"))),AND(IF(Metadata!U598="",FALSE,ISNUMBER(VALUE(Metadata!U598))),Metadata!U598&gt;=-180.00,Metadata!U598&lt;=180.00))</f>
        <v>0</v>
      </c>
      <c r="BH598">
        <f>AND(IF(Metadata!V598="",FALSE,TRUE),exact(Metadata!V598,"Decimal degrees"))</f>
        <v>0</v>
      </c>
      <c r="BI598">
        <f>IF(Metadata!W598="",FALSE,TRUE)</f>
        <v>0</v>
      </c>
      <c r="BJ598">
        <f>OR(AND(IF(Metadata!X598="",FALSE,TRUE),OR(exact(Metadata!X598,"not collected"),exact(Metadata!X598,"not provided"),exact(Metadata!X598,"restricted access"))),AND(IF(Metadata!X598="",FALSE,TRUE),OR(exact(Metadata!X598,"TRUE"),exact(Metadata!X598,"FALSE"))))</f>
        <v>0</v>
      </c>
      <c r="BK598">
        <f>AND(IF(Metadata!Y598="",FALSE,TRUE),exact(Metadata!Y598,"other"))</f>
        <v>0</v>
      </c>
      <c r="BL598">
        <f>IF(Metadata!Z598="",FALSE,TRUE)</f>
        <v>0</v>
      </c>
      <c r="BM598">
        <f>OR(AND(IF(Metadata!AA598="",FALSE,TRUE),OR(exact(Metadata!AA598,"not collected"),exact(Metadata!AA598,"not provided"))),AND(IF(Metadata!AA598="",FALSE,IF(ISERROR(INT(Metadata!AA598)),FALSE,INT(Metadata!AA598)=Metadata!AA598)),Metadata!AA598&gt;0))</f>
        <v>0</v>
      </c>
      <c r="BN598">
        <f>AND(IF(Metadata!AB598="",FALSE,TRUE),exact(Metadata!AB598,"Not applicable"))</f>
        <v>0</v>
      </c>
      <c r="BO598">
        <f>IF(Metadata!AC598="",FALSE,TRUE)</f>
        <v>0</v>
      </c>
    </row>
    <row r="599" spans="1:67">
      <c r="A599" s="5">
        <f>IF(B599=" "," ",HYPERLINK(CONCATENATE("#metadata!",ADDRESS(INDEX($AI$2:$AI$1001,MATCH(ROWS($AG$2:AG599),$AG$2:$AG$1001,0),0),1)),INDEX($AL$2:$AL$1001,MATCH(ROWS($AG$2:AG599),$AG$2:$AG$1001,0),0)))</f>
        <v>0</v>
      </c>
      <c r="B599" s="4">
        <f>IF(OR(INDEX($AH$2:$AH$1001,MATCH(ROWS($AG$2:AG599),$AG$2:$AG$1001,0),1)&gt;=100000,INDEX($AN$1005:$BO$1005,1,MATCH(COLUMNS($AN$1006:AN1006),$AN$1006:$BO$1006,0))&gt;=100000), " ",IF(INDEX($AN$2:$BO$1001,MATCH(ROWS($AG$2:AG599),$AG$2:$AG$1001,0),MATCH(COLUMNS($AN$1006:AN1006),$AN$1006:$BO$1006,0)), HYPERLINK("#",""), HYPERLINK(CONCATENATE("#Metadata!", ADDRESS(INDEX($AI$2:$AI$1001,MATCH(ROWS($AG$2:AG599),$AG$2:$AG$1001,0),0), INDEX($AN$1004:$BO$1004,1,MATCH(COLUMNS($AN$1006:AN1006),$AN$1006:$BO$1006,0)))),"Fix")))</f>
        <v>0</v>
      </c>
      <c r="C599" s="4">
        <f>IF(OR(INDEX($AH$2:$AH$1001,MATCH(ROWS($AG$2:AG599),$AG$2:$AG$1001,0),1)&gt;=100000,INDEX($AN$1005:$BO$1005,1,MATCH(COLUMNS($AN$1006:AO1006),$AN$1006:$BO$1006,0))&gt;=100000), " ",IF(INDEX($AN$2:$BO$1001,MATCH(ROWS($AG$2:AG599),$AG$2:$AG$1001,0),MATCH(COLUMNS($AN$1006:AO1006),$AN$1006:$BO$1006,0)), HYPERLINK("#",""), HYPERLINK(CONCATENATE("#Metadata!", ADDRESS(INDEX($AI$2:$AI$1001,MATCH(ROWS($AG$2:AG599),$AG$2:$AG$1001,0),0), INDEX($AN$1004:$BO$1004,1,MATCH(COLUMNS($AN$1006:AO1006),$AN$1006:$BO$1006,0)))),"Fix")))</f>
        <v>0</v>
      </c>
      <c r="D599" s="4">
        <f>IF(OR(INDEX($AH$2:$AH$1001,MATCH(ROWS($AG$2:AG599),$AG$2:$AG$1001,0),1)&gt;=100000,INDEX($AN$1005:$BO$1005,1,MATCH(COLUMNS($AN$1006:AP1006),$AN$1006:$BO$1006,0))&gt;=100000), " ",IF(INDEX($AN$2:$BO$1001,MATCH(ROWS($AG$2:AG599),$AG$2:$AG$1001,0),MATCH(COLUMNS($AN$1006:AP1006),$AN$1006:$BO$1006,0)), HYPERLINK("#",""), HYPERLINK(CONCATENATE("#Metadata!", ADDRESS(INDEX($AI$2:$AI$1001,MATCH(ROWS($AG$2:AG599),$AG$2:$AG$1001,0),0), INDEX($AN$1004:$BO$1004,1,MATCH(COLUMNS($AN$1006:AP1006),$AN$1006:$BO$1006,0)))),"Fix")))</f>
        <v>0</v>
      </c>
      <c r="E599" s="4">
        <f>IF(OR(INDEX($AH$2:$AH$1001,MATCH(ROWS($AG$2:AG599),$AG$2:$AG$1001,0),1)&gt;=100000,INDEX($AN$1005:$BO$1005,1,MATCH(COLUMNS($AN$1006:AQ1006),$AN$1006:$BO$1006,0))&gt;=100000), " ",IF(INDEX($AN$2:$BO$1001,MATCH(ROWS($AG$2:AG599),$AG$2:$AG$1001,0),MATCH(COLUMNS($AN$1006:AQ1006),$AN$1006:$BO$1006,0)), HYPERLINK("#",""), HYPERLINK(CONCATENATE("#Metadata!", ADDRESS(INDEX($AI$2:$AI$1001,MATCH(ROWS($AG$2:AG599),$AG$2:$AG$1001,0),0), INDEX($AN$1004:$BO$1004,1,MATCH(COLUMNS($AN$1006:AQ1006),$AN$1006:$BO$1006,0)))),"Fix")))</f>
        <v>0</v>
      </c>
      <c r="F599" s="4">
        <f>IF(OR(INDEX($AH$2:$AH$1001,MATCH(ROWS($AG$2:AG599),$AG$2:$AG$1001,0),1)&gt;=100000,INDEX($AN$1005:$BO$1005,1,MATCH(COLUMNS($AN$1006:AR1006),$AN$1006:$BO$1006,0))&gt;=100000), " ",IF(INDEX($AN$2:$BO$1001,MATCH(ROWS($AG$2:AG599),$AG$2:$AG$1001,0),MATCH(COLUMNS($AN$1006:AR1006),$AN$1006:$BO$1006,0)), HYPERLINK("#",""), HYPERLINK(CONCATENATE("#Metadata!", ADDRESS(INDEX($AI$2:$AI$1001,MATCH(ROWS($AG$2:AG599),$AG$2:$AG$1001,0),0), INDEX($AN$1004:$BO$1004,1,MATCH(COLUMNS($AN$1006:AR1006),$AN$1006:$BO$1006,0)))),"Fix")))</f>
        <v>0</v>
      </c>
      <c r="G599" s="4">
        <f>IF(OR(INDEX($AH$2:$AH$1001,MATCH(ROWS($AG$2:AG599),$AG$2:$AG$1001,0),1)&gt;=100000,INDEX($AN$1005:$BO$1005,1,MATCH(COLUMNS($AN$1006:AS1006),$AN$1006:$BO$1006,0))&gt;=100000), " ",IF(INDEX($AN$2:$BO$1001,MATCH(ROWS($AG$2:AG599),$AG$2:$AG$1001,0),MATCH(COLUMNS($AN$1006:AS1006),$AN$1006:$BO$1006,0)), HYPERLINK("#",""), HYPERLINK(CONCATENATE("#Metadata!", ADDRESS(INDEX($AI$2:$AI$1001,MATCH(ROWS($AG$2:AG599),$AG$2:$AG$1001,0),0), INDEX($AN$1004:$BO$1004,1,MATCH(COLUMNS($AN$1006:AS1006),$AN$1006:$BO$1006,0)))),"Fix")))</f>
        <v>0</v>
      </c>
      <c r="H599" s="4">
        <f>IF(OR(INDEX($AH$2:$AH$1001,MATCH(ROWS($AG$2:AG599),$AG$2:$AG$1001,0),1)&gt;=100000,INDEX($AN$1005:$BO$1005,1,MATCH(COLUMNS($AN$1006:AT1006),$AN$1006:$BO$1006,0))&gt;=100000), " ",IF(INDEX($AN$2:$BO$1001,MATCH(ROWS($AG$2:AG599),$AG$2:$AG$1001,0),MATCH(COLUMNS($AN$1006:AT1006),$AN$1006:$BO$1006,0)), HYPERLINK("#",""), HYPERLINK(CONCATENATE("#Metadata!", ADDRESS(INDEX($AI$2:$AI$1001,MATCH(ROWS($AG$2:AG599),$AG$2:$AG$1001,0),0), INDEX($AN$1004:$BO$1004,1,MATCH(COLUMNS($AN$1006:AT1006),$AN$1006:$BO$1006,0)))),"Fix")))</f>
        <v>0</v>
      </c>
      <c r="I599" s="4">
        <f>IF(OR(INDEX($AH$2:$AH$1001,MATCH(ROWS($AG$2:AG599),$AG$2:$AG$1001,0),1)&gt;=100000,INDEX($AN$1005:$BO$1005,1,MATCH(COLUMNS($AN$1006:AU1006),$AN$1006:$BO$1006,0))&gt;=100000), " ",IF(INDEX($AN$2:$BO$1001,MATCH(ROWS($AG$2:AG599),$AG$2:$AG$1001,0),MATCH(COLUMNS($AN$1006:AU1006),$AN$1006:$BO$1006,0)), HYPERLINK("#",""), HYPERLINK(CONCATENATE("#Metadata!", ADDRESS(INDEX($AI$2:$AI$1001,MATCH(ROWS($AG$2:AG599),$AG$2:$AG$1001,0),0), INDEX($AN$1004:$BO$1004,1,MATCH(COLUMNS($AN$1006:AU1006),$AN$1006:$BO$1006,0)))),"Fix")))</f>
        <v>0</v>
      </c>
      <c r="J599" s="4">
        <f>IF(OR(INDEX($AH$2:$AH$1001,MATCH(ROWS($AG$2:AG599),$AG$2:$AG$1001,0),1)&gt;=100000,INDEX($AN$1005:$BO$1005,1,MATCH(COLUMNS($AN$1006:AV1006),$AN$1006:$BO$1006,0))&gt;=100000), " ",IF(INDEX($AN$2:$BO$1001,MATCH(ROWS($AG$2:AG599),$AG$2:$AG$1001,0),MATCH(COLUMNS($AN$1006:AV1006),$AN$1006:$BO$1006,0)), HYPERLINK("#",""), HYPERLINK(CONCATENATE("#Metadata!", ADDRESS(INDEX($AI$2:$AI$1001,MATCH(ROWS($AG$2:AG599),$AG$2:$AG$1001,0),0), INDEX($AN$1004:$BO$1004,1,MATCH(COLUMNS($AN$1006:AV1006),$AN$1006:$BO$1006,0)))),"Fix")))</f>
        <v>0</v>
      </c>
      <c r="K599" s="4">
        <f>IF(OR(INDEX($AH$2:$AH$1001,MATCH(ROWS($AG$2:AG599),$AG$2:$AG$1001,0),1)&gt;=100000,INDEX($AN$1005:$BO$1005,1,MATCH(COLUMNS($AN$1006:AW1006),$AN$1006:$BO$1006,0))&gt;=100000), " ",IF(INDEX($AN$2:$BO$1001,MATCH(ROWS($AG$2:AG599),$AG$2:$AG$1001,0),MATCH(COLUMNS($AN$1006:AW1006),$AN$1006:$BO$1006,0)), HYPERLINK("#",""), HYPERLINK(CONCATENATE("#Metadata!", ADDRESS(INDEX($AI$2:$AI$1001,MATCH(ROWS($AG$2:AG599),$AG$2:$AG$1001,0),0), INDEX($AN$1004:$BO$1004,1,MATCH(COLUMNS($AN$1006:AW1006),$AN$1006:$BO$1006,0)))),"Fix")))</f>
        <v>0</v>
      </c>
      <c r="L599" s="4">
        <f>IF(OR(INDEX($AH$2:$AH$1001,MATCH(ROWS($AG$2:AG599),$AG$2:$AG$1001,0),1)&gt;=100000,INDEX($AN$1005:$BO$1005,1,MATCH(COLUMNS($AN$1006:AX1006),$AN$1006:$BO$1006,0))&gt;=100000), " ",IF(INDEX($AN$2:$BO$1001,MATCH(ROWS($AG$2:AG599),$AG$2:$AG$1001,0),MATCH(COLUMNS($AN$1006:AX1006),$AN$1006:$BO$1006,0)), HYPERLINK("#",""), HYPERLINK(CONCATENATE("#Metadata!", ADDRESS(INDEX($AI$2:$AI$1001,MATCH(ROWS($AG$2:AG599),$AG$2:$AG$1001,0),0), INDEX($AN$1004:$BO$1004,1,MATCH(COLUMNS($AN$1006:AX1006),$AN$1006:$BO$1006,0)))),"Fix")))</f>
        <v>0</v>
      </c>
      <c r="M599" s="4">
        <f>IF(OR(INDEX($AH$2:$AH$1001,MATCH(ROWS($AG$2:AG599),$AG$2:$AG$1001,0),1)&gt;=100000,INDEX($AN$1005:$BO$1005,1,MATCH(COLUMNS($AN$1006:AY1006),$AN$1006:$BO$1006,0))&gt;=100000), " ",IF(INDEX($AN$2:$BO$1001,MATCH(ROWS($AG$2:AG599),$AG$2:$AG$1001,0),MATCH(COLUMNS($AN$1006:AY1006),$AN$1006:$BO$1006,0)), HYPERLINK("#",""), HYPERLINK(CONCATENATE("#Metadata!", ADDRESS(INDEX($AI$2:$AI$1001,MATCH(ROWS($AG$2:AG599),$AG$2:$AG$1001,0),0), INDEX($AN$1004:$BO$1004,1,MATCH(COLUMNS($AN$1006:AY1006),$AN$1006:$BO$1006,0)))),"Fix")))</f>
        <v>0</v>
      </c>
      <c r="N599" s="4">
        <f>IF(OR(INDEX($AH$2:$AH$1001,MATCH(ROWS($AG$2:AG599),$AG$2:$AG$1001,0),1)&gt;=100000,INDEX($AN$1005:$BO$1005,1,MATCH(COLUMNS($AN$1006:AZ1006),$AN$1006:$BO$1006,0))&gt;=100000), " ",IF(INDEX($AN$2:$BO$1001,MATCH(ROWS($AG$2:AG599),$AG$2:$AG$1001,0),MATCH(COLUMNS($AN$1006:AZ1006),$AN$1006:$BO$1006,0)), HYPERLINK("#",""), HYPERLINK(CONCATENATE("#Metadata!", ADDRESS(INDEX($AI$2:$AI$1001,MATCH(ROWS($AG$2:AG599),$AG$2:$AG$1001,0),0), INDEX($AN$1004:$BO$1004,1,MATCH(COLUMNS($AN$1006:AZ1006),$AN$1006:$BO$1006,0)))),"Fix")))</f>
        <v>0</v>
      </c>
      <c r="O599" s="4">
        <f>IF(OR(INDEX($AH$2:$AH$1001,MATCH(ROWS($AG$2:AG599),$AG$2:$AG$1001,0),1)&gt;=100000,INDEX($AN$1005:$BO$1005,1,MATCH(COLUMNS($AN$1006:BA1006),$AN$1006:$BO$1006,0))&gt;=100000), " ",IF(INDEX($AN$2:$BO$1001,MATCH(ROWS($AG$2:AG599),$AG$2:$AG$1001,0),MATCH(COLUMNS($AN$1006:BA1006),$AN$1006:$BO$1006,0)), HYPERLINK("#",""), HYPERLINK(CONCATENATE("#Metadata!", ADDRESS(INDEX($AI$2:$AI$1001,MATCH(ROWS($AG$2:AG599),$AG$2:$AG$1001,0),0), INDEX($AN$1004:$BO$1004,1,MATCH(COLUMNS($AN$1006:BA1006),$AN$1006:$BO$1006,0)))),"Fix")))</f>
        <v>0</v>
      </c>
      <c r="P599" s="4">
        <f>IF(OR(INDEX($AH$2:$AH$1001,MATCH(ROWS($AG$2:AG599),$AG$2:$AG$1001,0),1)&gt;=100000,INDEX($AN$1005:$BO$1005,1,MATCH(COLUMNS($AN$1006:BB1006),$AN$1006:$BO$1006,0))&gt;=100000), " ",IF(INDEX($AN$2:$BO$1001,MATCH(ROWS($AG$2:AG599),$AG$2:$AG$1001,0),MATCH(COLUMNS($AN$1006:BB1006),$AN$1006:$BO$1006,0)), HYPERLINK("#",""), HYPERLINK(CONCATENATE("#Metadata!", ADDRESS(INDEX($AI$2:$AI$1001,MATCH(ROWS($AG$2:AG599),$AG$2:$AG$1001,0),0), INDEX($AN$1004:$BO$1004,1,MATCH(COLUMNS($AN$1006:BB1006),$AN$1006:$BO$1006,0)))),"Fix")))</f>
        <v>0</v>
      </c>
      <c r="Q599" s="4">
        <f>IF(OR(INDEX($AH$2:$AH$1001,MATCH(ROWS($AG$2:AG599),$AG$2:$AG$1001,0),1)&gt;=100000,INDEX($AN$1005:$BO$1005,1,MATCH(COLUMNS($AN$1006:BC1006),$AN$1006:$BO$1006,0))&gt;=100000), " ",IF(INDEX($AN$2:$BO$1001,MATCH(ROWS($AG$2:AG599),$AG$2:$AG$1001,0),MATCH(COLUMNS($AN$1006:BC1006),$AN$1006:$BO$1006,0)), HYPERLINK("#",""), HYPERLINK(CONCATENATE("#Metadata!", ADDRESS(INDEX($AI$2:$AI$1001,MATCH(ROWS($AG$2:AG599),$AG$2:$AG$1001,0),0), INDEX($AN$1004:$BO$1004,1,MATCH(COLUMNS($AN$1006:BC1006),$AN$1006:$BO$1006,0)))),"Fix")))</f>
        <v>0</v>
      </c>
      <c r="R599" s="4">
        <f>IF(OR(INDEX($AH$2:$AH$1001,MATCH(ROWS($AG$2:AG599),$AG$2:$AG$1001,0),1)&gt;=100000,INDEX($AN$1005:$BO$1005,1,MATCH(COLUMNS($AN$1006:BD1006),$AN$1006:$BO$1006,0))&gt;=100000), " ",IF(INDEX($AN$2:$BO$1001,MATCH(ROWS($AG$2:AG599),$AG$2:$AG$1001,0),MATCH(COLUMNS($AN$1006:BD1006),$AN$1006:$BO$1006,0)), HYPERLINK("#",""), HYPERLINK(CONCATENATE("#Metadata!", ADDRESS(INDEX($AI$2:$AI$1001,MATCH(ROWS($AG$2:AG599),$AG$2:$AG$1001,0),0), INDEX($AN$1004:$BO$1004,1,MATCH(COLUMNS($AN$1006:BD1006),$AN$1006:$BO$1006,0)))),"Fix")))</f>
        <v>0</v>
      </c>
      <c r="S599" s="4">
        <f>IF(OR(INDEX($AH$2:$AH$1001,MATCH(ROWS($AG$2:AG599),$AG$2:$AG$1001,0),1)&gt;=100000,INDEX($AN$1005:$BO$1005,1,MATCH(COLUMNS($AN$1006:BE1006),$AN$1006:$BO$1006,0))&gt;=100000), " ",IF(INDEX($AN$2:$BO$1001,MATCH(ROWS($AG$2:AG599),$AG$2:$AG$1001,0),MATCH(COLUMNS($AN$1006:BE1006),$AN$1006:$BO$1006,0)), HYPERLINK("#",""), HYPERLINK(CONCATENATE("#Metadata!", ADDRESS(INDEX($AI$2:$AI$1001,MATCH(ROWS($AG$2:AG599),$AG$2:$AG$1001,0),0), INDEX($AN$1004:$BO$1004,1,MATCH(COLUMNS($AN$1006:BE1006),$AN$1006:$BO$1006,0)))),"Fix")))</f>
        <v>0</v>
      </c>
      <c r="T599" s="4">
        <f>IF(OR(INDEX($AH$2:$AH$1001,MATCH(ROWS($AG$2:AG599),$AG$2:$AG$1001,0),1)&gt;=100000,INDEX($AN$1005:$BO$1005,1,MATCH(COLUMNS($AN$1006:BF1006),$AN$1006:$BO$1006,0))&gt;=100000), " ",IF(INDEX($AN$2:$BO$1001,MATCH(ROWS($AG$2:AG599),$AG$2:$AG$1001,0),MATCH(COLUMNS($AN$1006:BF1006),$AN$1006:$BO$1006,0)), HYPERLINK("#",""), HYPERLINK(CONCATENATE("#Metadata!", ADDRESS(INDEX($AI$2:$AI$1001,MATCH(ROWS($AG$2:AG599),$AG$2:$AG$1001,0),0), INDEX($AN$1004:$BO$1004,1,MATCH(COLUMNS($AN$1006:BF1006),$AN$1006:$BO$1006,0)))),"Fix")))</f>
        <v>0</v>
      </c>
      <c r="U599" s="4">
        <f>IF(OR(INDEX($AH$2:$AH$1001,MATCH(ROWS($AG$2:AG599),$AG$2:$AG$1001,0),1)&gt;=100000,INDEX($AN$1005:$BO$1005,1,MATCH(COLUMNS($AN$1006:BG1006),$AN$1006:$BO$1006,0))&gt;=100000), " ",IF(INDEX($AN$2:$BO$1001,MATCH(ROWS($AG$2:AG599),$AG$2:$AG$1001,0),MATCH(COLUMNS($AN$1006:BG1006),$AN$1006:$BO$1006,0)), HYPERLINK("#",""), HYPERLINK(CONCATENATE("#Metadata!", ADDRESS(INDEX($AI$2:$AI$1001,MATCH(ROWS($AG$2:AG599),$AG$2:$AG$1001,0),0), INDEX($AN$1004:$BO$1004,1,MATCH(COLUMNS($AN$1006:BG1006),$AN$1006:$BO$1006,0)))),"Fix")))</f>
        <v>0</v>
      </c>
      <c r="V599" s="4">
        <f>IF(OR(INDEX($AH$2:$AH$1001,MATCH(ROWS($AG$2:AG599),$AG$2:$AG$1001,0),1)&gt;=100000,INDEX($AN$1005:$BO$1005,1,MATCH(COLUMNS($AN$1006:BH1006),$AN$1006:$BO$1006,0))&gt;=100000), " ",IF(INDEX($AN$2:$BO$1001,MATCH(ROWS($AG$2:AG599),$AG$2:$AG$1001,0),MATCH(COLUMNS($AN$1006:BH1006),$AN$1006:$BO$1006,0)), HYPERLINK("#",""), HYPERLINK(CONCATENATE("#Metadata!", ADDRESS(INDEX($AI$2:$AI$1001,MATCH(ROWS($AG$2:AG599),$AG$2:$AG$1001,0),0), INDEX($AN$1004:$BO$1004,1,MATCH(COLUMNS($AN$1006:BH1006),$AN$1006:$BO$1006,0)))),"Fix")))</f>
        <v>0</v>
      </c>
      <c r="W599" s="4">
        <f>IF(OR(INDEX($AH$2:$AH$1001,MATCH(ROWS($AG$2:AG599),$AG$2:$AG$1001,0),1)&gt;=100000,INDEX($AN$1005:$BO$1005,1,MATCH(COLUMNS($AN$1006:BI1006),$AN$1006:$BO$1006,0))&gt;=100000), " ",IF(INDEX($AN$2:$BO$1001,MATCH(ROWS($AG$2:AG599),$AG$2:$AG$1001,0),MATCH(COLUMNS($AN$1006:BI1006),$AN$1006:$BO$1006,0)), HYPERLINK("#",""), HYPERLINK(CONCATENATE("#Metadata!", ADDRESS(INDEX($AI$2:$AI$1001,MATCH(ROWS($AG$2:AG599),$AG$2:$AG$1001,0),0), INDEX($AN$1004:$BO$1004,1,MATCH(COLUMNS($AN$1006:BI1006),$AN$1006:$BO$1006,0)))),"Fix")))</f>
        <v>0</v>
      </c>
      <c r="X599" s="4">
        <f>IF(OR(INDEX($AH$2:$AH$1001,MATCH(ROWS($AG$2:AG599),$AG$2:$AG$1001,0),1)&gt;=100000,INDEX($AN$1005:$BO$1005,1,MATCH(COLUMNS($AN$1006:BJ1006),$AN$1006:$BO$1006,0))&gt;=100000), " ",IF(INDEX($AN$2:$BO$1001,MATCH(ROWS($AG$2:AG599),$AG$2:$AG$1001,0),MATCH(COLUMNS($AN$1006:BJ1006),$AN$1006:$BO$1006,0)), HYPERLINK("#",""), HYPERLINK(CONCATENATE("#Metadata!", ADDRESS(INDEX($AI$2:$AI$1001,MATCH(ROWS($AG$2:AG599),$AG$2:$AG$1001,0),0), INDEX($AN$1004:$BO$1004,1,MATCH(COLUMNS($AN$1006:BJ1006),$AN$1006:$BO$1006,0)))),"Fix")))</f>
        <v>0</v>
      </c>
      <c r="Y599" s="4">
        <f>IF(OR(INDEX($AH$2:$AH$1001,MATCH(ROWS($AG$2:AG599),$AG$2:$AG$1001,0),1)&gt;=100000,INDEX($AN$1005:$BO$1005,1,MATCH(COLUMNS($AN$1006:BK1006),$AN$1006:$BO$1006,0))&gt;=100000), " ",IF(INDEX($AN$2:$BO$1001,MATCH(ROWS($AG$2:AG599),$AG$2:$AG$1001,0),MATCH(COLUMNS($AN$1006:BK1006),$AN$1006:$BO$1006,0)), HYPERLINK("#",""), HYPERLINK(CONCATENATE("#Metadata!", ADDRESS(INDEX($AI$2:$AI$1001,MATCH(ROWS($AG$2:AG599),$AG$2:$AG$1001,0),0), INDEX($AN$1004:$BO$1004,1,MATCH(COLUMNS($AN$1006:BK1006),$AN$1006:$BO$1006,0)))),"Fix")))</f>
        <v>0</v>
      </c>
      <c r="Z599" s="4">
        <f>IF(OR(INDEX($AH$2:$AH$1001,MATCH(ROWS($AG$2:AG599),$AG$2:$AG$1001,0),1)&gt;=100000,INDEX($AN$1005:$BO$1005,1,MATCH(COLUMNS($AN$1006:BL1006),$AN$1006:$BO$1006,0))&gt;=100000), " ",IF(INDEX($AN$2:$BO$1001,MATCH(ROWS($AG$2:AG599),$AG$2:$AG$1001,0),MATCH(COLUMNS($AN$1006:BL1006),$AN$1006:$BO$1006,0)), HYPERLINK("#",""), HYPERLINK(CONCATENATE("#Metadata!", ADDRESS(INDEX($AI$2:$AI$1001,MATCH(ROWS($AG$2:AG599),$AG$2:$AG$1001,0),0), INDEX($AN$1004:$BO$1004,1,MATCH(COLUMNS($AN$1006:BL1006),$AN$1006:$BO$1006,0)))),"Fix")))</f>
        <v>0</v>
      </c>
      <c r="AA599" s="4">
        <f>IF(OR(INDEX($AH$2:$AH$1001,MATCH(ROWS($AG$2:AG599),$AG$2:$AG$1001,0),1)&gt;=100000,INDEX($AN$1005:$BO$1005,1,MATCH(COLUMNS($AN$1006:BM1006),$AN$1006:$BO$1006,0))&gt;=100000), " ",IF(INDEX($AN$2:$BO$1001,MATCH(ROWS($AG$2:AG599),$AG$2:$AG$1001,0),MATCH(COLUMNS($AN$1006:BM1006),$AN$1006:$BO$1006,0)), HYPERLINK("#",""), HYPERLINK(CONCATENATE("#Metadata!", ADDRESS(INDEX($AI$2:$AI$1001,MATCH(ROWS($AG$2:AG599),$AG$2:$AG$1001,0),0), INDEX($AN$1004:$BO$1004,1,MATCH(COLUMNS($AN$1006:BM1006),$AN$1006:$BO$1006,0)))),"Fix")))</f>
        <v>0</v>
      </c>
      <c r="AB599" s="4">
        <f>IF(OR(INDEX($AH$2:$AH$1001,MATCH(ROWS($AG$2:AG599),$AG$2:$AG$1001,0),1)&gt;=100000,INDEX($AN$1005:$BO$1005,1,MATCH(COLUMNS($AN$1006:BN1006),$AN$1006:$BO$1006,0))&gt;=100000), " ",IF(INDEX($AN$2:$BO$1001,MATCH(ROWS($AG$2:AG599),$AG$2:$AG$1001,0),MATCH(COLUMNS($AN$1006:BN1006),$AN$1006:$BO$1006,0)), HYPERLINK("#",""), HYPERLINK(CONCATENATE("#Metadata!", ADDRESS(INDEX($AI$2:$AI$1001,MATCH(ROWS($AG$2:AG599),$AG$2:$AG$1001,0),0), INDEX($AN$1004:$BO$1004,1,MATCH(COLUMNS($AN$1006:BN1006),$AN$1006:$BO$1006,0)))),"Fix")))</f>
        <v>0</v>
      </c>
      <c r="AC599" s="4">
        <f>IF(OR(INDEX($AH$2:$AH$1001,MATCH(ROWS($AG$2:AG599),$AG$2:$AG$1001,0),1)&gt;=100000,INDEX($AN$1005:$BO$1005,1,MATCH(COLUMNS($AN$1006:BO1006),$AN$1006:$BO$1006,0))&gt;=100000), " ",IF(INDEX($AN$2:$BO$1001,MATCH(ROWS($AG$2:AG599),$AG$2:$AG$1001,0),MATCH(COLUMNS($AN$1006:BO1006),$AN$1006:$BO$1006,0)), HYPERLINK("#",""), HYPERLINK(CONCATENATE("#Metadata!", ADDRESS(INDEX($AI$2:$AI$1001,MATCH(ROWS($AG$2:AG599),$AG$2:$AG$1001,0),0), INDEX($AN$1004:$BO$1004,1,MATCH(COLUMNS($AN$1006:BO1006),$AN$1006:$BO$1006,0)))),"Fix")))</f>
        <v>0</v>
      </c>
      <c r="AG599">
        <v>0</v>
      </c>
      <c r="AH599">
        <v>0</v>
      </c>
      <c r="AI599">
        <v>0</v>
      </c>
      <c r="AJ599">
        <f>IF(AK599,TRUE,AND(AN599:BO599))</f>
        <v>0</v>
      </c>
      <c r="AK599">
        <f>COUNTBLANK(Metadata!B599:AC599)=COLUMNS(Metadata!B599:AC599)</f>
        <v>0</v>
      </c>
      <c r="AL599">
        <v>0</v>
      </c>
      <c r="AN599">
        <f>AND(IF(Metadata!B599="",FALSE,TRUE),COUNTIF(Metadata!B:B, Metadata!B599) = 1,NOT(ISERROR(SUMPRODUCT(SEARCH(MID(Metadata!B599,ROW(INDIRECT("1:"&amp;LEN(Metadata!B599))), 1),"0123456789abcdefghijklmnopqrstuvwxyzABCDEFGHIJKLMNOPQRSTUVWXYZ.")))))</f>
        <v>0</v>
      </c>
      <c r="AO599">
        <f>IF(Metadata!C599="",FALSE,TRUE)</f>
        <v>0</v>
      </c>
      <c r="AP599">
        <f>IF(Metadata!D599="",FALSE,TRUE)</f>
        <v>0</v>
      </c>
      <c r="AQ599">
        <f>OR(AND(IF(Metadata!E599="",FALSE,TRUE),OR(exact(Metadata!E599,"not collected"),exact(Metadata!E599,"not provided"),exact(Metadata!E599,"restricted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R599">
        <f>IF(Metadata!F599="",FALSE,TRUE)</f>
        <v>0</v>
      </c>
      <c r="AS599">
        <f>OR(AND(IF(Metadata!G599="",FALSE,TRUE),OR(exact(Metadata!G599,"not collected"),exact(Metadata!G599,"not provided"))),AND(IF(Metadata!G599="",FALSE,TRUE),OR(exact(Metadata!G599,"TRUE"),exact(Metadata!G599,"FALSE"))))</f>
        <v>0</v>
      </c>
      <c r="AT599">
        <f>OR(AND(IF(Metadata!H599="",FALSE,TRUE),OR(exact(Metadata!H599,"not collected"),exact(Metadata!H599,"not provided"),exact(Metadata!H599,"restricted access"))),AND(IF(Metadata!H599="",FALSE,ISNUMBER(VALUE(Metadata!H599))),Metadata!H599&gt;=-413.0))</f>
        <v>0</v>
      </c>
      <c r="AU599">
        <f>AND(IF(Metadata!I599="",FALSE,TRUE),exact(Metadata!I599,"meters"))</f>
        <v>0</v>
      </c>
      <c r="AV599">
        <f>AND(IF(Metadata!J599="",FALSE,TRUE),OR(exact(Metadata!J599,"Host-associated"),exact(Metadata!J599,"Free-living")))</f>
        <v>0</v>
      </c>
      <c r="AW599">
        <f>AND(IF(Metadata!K599="",FALSE,TRUE),OR(exact(Metadata!K599,"Animal"),exact(Metadata!K599,"Fungus"),exact(Metadata!K599,"Plant"),exact(Metadata!K599,"Saline"),exact(Metadata!K599,"Non-saline")))</f>
        <v>0</v>
      </c>
      <c r="AX599">
        <f>AND(IF(Metadata!L599="",FALSE,TRUE),OR(exact(Metadata!L599,"Plant secretion"),exact(Metadata!L599,"Plant rhizosphere"),exact(Metadata!L599,"Plant surface"),exact(Metadata!L599,"Plant corpus"),exact(Metadata!L599,"Fungus surface"),exact(Metadata!L599,"Fungus corpus"),exact(Metadata!L599,"Animal surface"),exact(Metadata!L599,"Animal proximal gut"),exact(Metadata!L599,"Animal corpus"),exact(Metadata!L599,"Animal distal gut"),exact(Metadata!L599,"Animal secretion"),exact(Metadata!L599,"Sub-surface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Y599">
        <f>IF(Metadata!M599="",FALSE,TRUE)</f>
        <v>0</v>
      </c>
      <c r="AZ599">
        <f>IF(Metadata!N599="",FALSE,TRUE)</f>
        <v>0</v>
      </c>
      <c r="BA599">
        <f>IF(Metadata!O599="",FALSE,TRUE)</f>
        <v>0</v>
      </c>
      <c r="BB599">
        <f>OR(AND(IF(Metadata!P599="",FALSE,TRUE),OR(exact(Metadata!P599,"not collected"),exact(Metadata!P599,"not provided"),exact(Metadata!P599,"restricted access"))),AND(IF(Metadata!P599="",FALSE,TRUE),OR(exact(Metadata!P599,"air"),exact(Metadata!P599,"built environment"),exact(Metadata!P599,"host-associated"),exact(Metadata!P599,"human-associated"),exact(Metadata!P599,"human-skin"),exact(Metadata!P599,"human-oral"),exact(Metadata!P599,"human-gut"),exact(Metadata!P599,"human-vaginal"),exact(Metadata!P599,"microbial mat/biofilm"),exact(Metadata!P599,"misc environment"),exact(Metadata!P599,"plant-associated"),exact(Metadata!P599,"sediment"),exact(Metadata!P599,"soil"),exact(Metadata!P599,"wastewater/sludge"),exact(Metadata!P599,"water"))))</f>
        <v>0</v>
      </c>
      <c r="BC599">
        <f>IF(Metadata!Q599="",FALSE,TRUE)</f>
        <v>0</v>
      </c>
      <c r="BD599">
        <f>IF(Metadata!R599="",FALSE,TRUE)</f>
        <v>0</v>
      </c>
      <c r="BE599">
        <f>OR(AND(IF(Metadata!S599="",FALSE,TRUE),OR(exact(Metadata!S599,"not collected"),exact(Metadata!S599,"not provided"),exact(Metadata!S599,"restricted access"))),AND(IF(Metadata!S599="",FALSE,ISNUMBER(VALUE(Metadata!S599))),Metadata!S599&gt;=-90.00,Metadata!S599&lt;=90.00))</f>
        <v>0</v>
      </c>
      <c r="BF599">
        <f>AND(IF(Metadata!T599="",FALSE,TRUE),exact(Metadata!T599,"Decimal degrees"))</f>
        <v>0</v>
      </c>
      <c r="BG599">
        <f>OR(AND(IF(Metadata!U599="",FALSE,TRUE),OR(exact(Metadata!U599,"not collected"),exact(Metadata!U599,"not provided"),exact(Metadata!U599,"restricted access"))),AND(IF(Metadata!U599="",FALSE,ISNUMBER(VALUE(Metadata!U599))),Metadata!U599&gt;=-180.00,Metadata!U599&lt;=180.00))</f>
        <v>0</v>
      </c>
      <c r="BH599">
        <f>AND(IF(Metadata!V599="",FALSE,TRUE),exact(Metadata!V599,"Decimal degrees"))</f>
        <v>0</v>
      </c>
      <c r="BI599">
        <f>IF(Metadata!W599="",FALSE,TRUE)</f>
        <v>0</v>
      </c>
      <c r="BJ599">
        <f>OR(AND(IF(Metadata!X599="",FALSE,TRUE),OR(exact(Metadata!X599,"not collected"),exact(Metadata!X599,"not provided"),exact(Metadata!X599,"restricted access"))),AND(IF(Metadata!X599="",FALSE,TRUE),OR(exact(Metadata!X599,"TRUE"),exact(Metadata!X599,"FALSE"))))</f>
        <v>0</v>
      </c>
      <c r="BK599">
        <f>AND(IF(Metadata!Y599="",FALSE,TRUE),exact(Metadata!Y599,"other"))</f>
        <v>0</v>
      </c>
      <c r="BL599">
        <f>IF(Metadata!Z599="",FALSE,TRUE)</f>
        <v>0</v>
      </c>
      <c r="BM599">
        <f>OR(AND(IF(Metadata!AA599="",FALSE,TRUE),OR(exact(Metadata!AA599,"not collected"),exact(Metadata!AA599,"not provided"))),AND(IF(Metadata!AA599="",FALSE,IF(ISERROR(INT(Metadata!AA599)),FALSE,INT(Metadata!AA599)=Metadata!AA599)),Metadata!AA599&gt;0))</f>
        <v>0</v>
      </c>
      <c r="BN599">
        <f>AND(IF(Metadata!AB599="",FALSE,TRUE),exact(Metadata!AB599,"Not applicable"))</f>
        <v>0</v>
      </c>
      <c r="BO599">
        <f>IF(Metadata!AC599="",FALSE,TRUE)</f>
        <v>0</v>
      </c>
    </row>
    <row r="600" spans="1:67">
      <c r="A600" s="5">
        <f>IF(B600=" "," ",HYPERLINK(CONCATENATE("#metadata!",ADDRESS(INDEX($AI$2:$AI$1001,MATCH(ROWS($AG$2:AG600),$AG$2:$AG$1001,0),0),1)),INDEX($AL$2:$AL$1001,MATCH(ROWS($AG$2:AG600),$AG$2:$AG$1001,0),0)))</f>
        <v>0</v>
      </c>
      <c r="B600" s="4">
        <f>IF(OR(INDEX($AH$2:$AH$1001,MATCH(ROWS($AG$2:AG600),$AG$2:$AG$1001,0),1)&gt;=100000,INDEX($AN$1005:$BO$1005,1,MATCH(COLUMNS($AN$1006:AN1006),$AN$1006:$BO$1006,0))&gt;=100000), " ",IF(INDEX($AN$2:$BO$1001,MATCH(ROWS($AG$2:AG600),$AG$2:$AG$1001,0),MATCH(COLUMNS($AN$1006:AN1006),$AN$1006:$BO$1006,0)), HYPERLINK("#",""), HYPERLINK(CONCATENATE("#Metadata!", ADDRESS(INDEX($AI$2:$AI$1001,MATCH(ROWS($AG$2:AG600),$AG$2:$AG$1001,0),0), INDEX($AN$1004:$BO$1004,1,MATCH(COLUMNS($AN$1006:AN1006),$AN$1006:$BO$1006,0)))),"Fix")))</f>
        <v>0</v>
      </c>
      <c r="C600" s="4">
        <f>IF(OR(INDEX($AH$2:$AH$1001,MATCH(ROWS($AG$2:AG600),$AG$2:$AG$1001,0),1)&gt;=100000,INDEX($AN$1005:$BO$1005,1,MATCH(COLUMNS($AN$1006:AO1006),$AN$1006:$BO$1006,0))&gt;=100000), " ",IF(INDEX($AN$2:$BO$1001,MATCH(ROWS($AG$2:AG600),$AG$2:$AG$1001,0),MATCH(COLUMNS($AN$1006:AO1006),$AN$1006:$BO$1006,0)), HYPERLINK("#",""), HYPERLINK(CONCATENATE("#Metadata!", ADDRESS(INDEX($AI$2:$AI$1001,MATCH(ROWS($AG$2:AG600),$AG$2:$AG$1001,0),0), INDEX($AN$1004:$BO$1004,1,MATCH(COLUMNS($AN$1006:AO1006),$AN$1006:$BO$1006,0)))),"Fix")))</f>
        <v>0</v>
      </c>
      <c r="D600" s="4">
        <f>IF(OR(INDEX($AH$2:$AH$1001,MATCH(ROWS($AG$2:AG600),$AG$2:$AG$1001,0),1)&gt;=100000,INDEX($AN$1005:$BO$1005,1,MATCH(COLUMNS($AN$1006:AP1006),$AN$1006:$BO$1006,0))&gt;=100000), " ",IF(INDEX($AN$2:$BO$1001,MATCH(ROWS($AG$2:AG600),$AG$2:$AG$1001,0),MATCH(COLUMNS($AN$1006:AP1006),$AN$1006:$BO$1006,0)), HYPERLINK("#",""), HYPERLINK(CONCATENATE("#Metadata!", ADDRESS(INDEX($AI$2:$AI$1001,MATCH(ROWS($AG$2:AG600),$AG$2:$AG$1001,0),0), INDEX($AN$1004:$BO$1004,1,MATCH(COLUMNS($AN$1006:AP1006),$AN$1006:$BO$1006,0)))),"Fix")))</f>
        <v>0</v>
      </c>
      <c r="E600" s="4">
        <f>IF(OR(INDEX($AH$2:$AH$1001,MATCH(ROWS($AG$2:AG600),$AG$2:$AG$1001,0),1)&gt;=100000,INDEX($AN$1005:$BO$1005,1,MATCH(COLUMNS($AN$1006:AQ1006),$AN$1006:$BO$1006,0))&gt;=100000), " ",IF(INDEX($AN$2:$BO$1001,MATCH(ROWS($AG$2:AG600),$AG$2:$AG$1001,0),MATCH(COLUMNS($AN$1006:AQ1006),$AN$1006:$BO$1006,0)), HYPERLINK("#",""), HYPERLINK(CONCATENATE("#Metadata!", ADDRESS(INDEX($AI$2:$AI$1001,MATCH(ROWS($AG$2:AG600),$AG$2:$AG$1001,0),0), INDEX($AN$1004:$BO$1004,1,MATCH(COLUMNS($AN$1006:AQ1006),$AN$1006:$BO$1006,0)))),"Fix")))</f>
        <v>0</v>
      </c>
      <c r="F600" s="4">
        <f>IF(OR(INDEX($AH$2:$AH$1001,MATCH(ROWS($AG$2:AG600),$AG$2:$AG$1001,0),1)&gt;=100000,INDEX($AN$1005:$BO$1005,1,MATCH(COLUMNS($AN$1006:AR1006),$AN$1006:$BO$1006,0))&gt;=100000), " ",IF(INDEX($AN$2:$BO$1001,MATCH(ROWS($AG$2:AG600),$AG$2:$AG$1001,0),MATCH(COLUMNS($AN$1006:AR1006),$AN$1006:$BO$1006,0)), HYPERLINK("#",""), HYPERLINK(CONCATENATE("#Metadata!", ADDRESS(INDEX($AI$2:$AI$1001,MATCH(ROWS($AG$2:AG600),$AG$2:$AG$1001,0),0), INDEX($AN$1004:$BO$1004,1,MATCH(COLUMNS($AN$1006:AR1006),$AN$1006:$BO$1006,0)))),"Fix")))</f>
        <v>0</v>
      </c>
      <c r="G600" s="4">
        <f>IF(OR(INDEX($AH$2:$AH$1001,MATCH(ROWS($AG$2:AG600),$AG$2:$AG$1001,0),1)&gt;=100000,INDEX($AN$1005:$BO$1005,1,MATCH(COLUMNS($AN$1006:AS1006),$AN$1006:$BO$1006,0))&gt;=100000), " ",IF(INDEX($AN$2:$BO$1001,MATCH(ROWS($AG$2:AG600),$AG$2:$AG$1001,0),MATCH(COLUMNS($AN$1006:AS1006),$AN$1006:$BO$1006,0)), HYPERLINK("#",""), HYPERLINK(CONCATENATE("#Metadata!", ADDRESS(INDEX($AI$2:$AI$1001,MATCH(ROWS($AG$2:AG600),$AG$2:$AG$1001,0),0), INDEX($AN$1004:$BO$1004,1,MATCH(COLUMNS($AN$1006:AS1006),$AN$1006:$BO$1006,0)))),"Fix")))</f>
        <v>0</v>
      </c>
      <c r="H600" s="4">
        <f>IF(OR(INDEX($AH$2:$AH$1001,MATCH(ROWS($AG$2:AG600),$AG$2:$AG$1001,0),1)&gt;=100000,INDEX($AN$1005:$BO$1005,1,MATCH(COLUMNS($AN$1006:AT1006),$AN$1006:$BO$1006,0))&gt;=100000), " ",IF(INDEX($AN$2:$BO$1001,MATCH(ROWS($AG$2:AG600),$AG$2:$AG$1001,0),MATCH(COLUMNS($AN$1006:AT1006),$AN$1006:$BO$1006,0)), HYPERLINK("#",""), HYPERLINK(CONCATENATE("#Metadata!", ADDRESS(INDEX($AI$2:$AI$1001,MATCH(ROWS($AG$2:AG600),$AG$2:$AG$1001,0),0), INDEX($AN$1004:$BO$1004,1,MATCH(COLUMNS($AN$1006:AT1006),$AN$1006:$BO$1006,0)))),"Fix")))</f>
        <v>0</v>
      </c>
      <c r="I600" s="4">
        <f>IF(OR(INDEX($AH$2:$AH$1001,MATCH(ROWS($AG$2:AG600),$AG$2:$AG$1001,0),1)&gt;=100000,INDEX($AN$1005:$BO$1005,1,MATCH(COLUMNS($AN$1006:AU1006),$AN$1006:$BO$1006,0))&gt;=100000), " ",IF(INDEX($AN$2:$BO$1001,MATCH(ROWS($AG$2:AG600),$AG$2:$AG$1001,0),MATCH(COLUMNS($AN$1006:AU1006),$AN$1006:$BO$1006,0)), HYPERLINK("#",""), HYPERLINK(CONCATENATE("#Metadata!", ADDRESS(INDEX($AI$2:$AI$1001,MATCH(ROWS($AG$2:AG600),$AG$2:$AG$1001,0),0), INDEX($AN$1004:$BO$1004,1,MATCH(COLUMNS($AN$1006:AU1006),$AN$1006:$BO$1006,0)))),"Fix")))</f>
        <v>0</v>
      </c>
      <c r="J600" s="4">
        <f>IF(OR(INDEX($AH$2:$AH$1001,MATCH(ROWS($AG$2:AG600),$AG$2:$AG$1001,0),1)&gt;=100000,INDEX($AN$1005:$BO$1005,1,MATCH(COLUMNS($AN$1006:AV1006),$AN$1006:$BO$1006,0))&gt;=100000), " ",IF(INDEX($AN$2:$BO$1001,MATCH(ROWS($AG$2:AG600),$AG$2:$AG$1001,0),MATCH(COLUMNS($AN$1006:AV1006),$AN$1006:$BO$1006,0)), HYPERLINK("#",""), HYPERLINK(CONCATENATE("#Metadata!", ADDRESS(INDEX($AI$2:$AI$1001,MATCH(ROWS($AG$2:AG600),$AG$2:$AG$1001,0),0), INDEX($AN$1004:$BO$1004,1,MATCH(COLUMNS($AN$1006:AV1006),$AN$1006:$BO$1006,0)))),"Fix")))</f>
        <v>0</v>
      </c>
      <c r="K600" s="4">
        <f>IF(OR(INDEX($AH$2:$AH$1001,MATCH(ROWS($AG$2:AG600),$AG$2:$AG$1001,0),1)&gt;=100000,INDEX($AN$1005:$BO$1005,1,MATCH(COLUMNS($AN$1006:AW1006),$AN$1006:$BO$1006,0))&gt;=100000), " ",IF(INDEX($AN$2:$BO$1001,MATCH(ROWS($AG$2:AG600),$AG$2:$AG$1001,0),MATCH(COLUMNS($AN$1006:AW1006),$AN$1006:$BO$1006,0)), HYPERLINK("#",""), HYPERLINK(CONCATENATE("#Metadata!", ADDRESS(INDEX($AI$2:$AI$1001,MATCH(ROWS($AG$2:AG600),$AG$2:$AG$1001,0),0), INDEX($AN$1004:$BO$1004,1,MATCH(COLUMNS($AN$1006:AW1006),$AN$1006:$BO$1006,0)))),"Fix")))</f>
        <v>0</v>
      </c>
      <c r="L600" s="4">
        <f>IF(OR(INDEX($AH$2:$AH$1001,MATCH(ROWS($AG$2:AG600),$AG$2:$AG$1001,0),1)&gt;=100000,INDEX($AN$1005:$BO$1005,1,MATCH(COLUMNS($AN$1006:AX1006),$AN$1006:$BO$1006,0))&gt;=100000), " ",IF(INDEX($AN$2:$BO$1001,MATCH(ROWS($AG$2:AG600),$AG$2:$AG$1001,0),MATCH(COLUMNS($AN$1006:AX1006),$AN$1006:$BO$1006,0)), HYPERLINK("#",""), HYPERLINK(CONCATENATE("#Metadata!", ADDRESS(INDEX($AI$2:$AI$1001,MATCH(ROWS($AG$2:AG600),$AG$2:$AG$1001,0),0), INDEX($AN$1004:$BO$1004,1,MATCH(COLUMNS($AN$1006:AX1006),$AN$1006:$BO$1006,0)))),"Fix")))</f>
        <v>0</v>
      </c>
      <c r="M600" s="4">
        <f>IF(OR(INDEX($AH$2:$AH$1001,MATCH(ROWS($AG$2:AG600),$AG$2:$AG$1001,0),1)&gt;=100000,INDEX($AN$1005:$BO$1005,1,MATCH(COLUMNS($AN$1006:AY1006),$AN$1006:$BO$1006,0))&gt;=100000), " ",IF(INDEX($AN$2:$BO$1001,MATCH(ROWS($AG$2:AG600),$AG$2:$AG$1001,0),MATCH(COLUMNS($AN$1006:AY1006),$AN$1006:$BO$1006,0)), HYPERLINK("#",""), HYPERLINK(CONCATENATE("#Metadata!", ADDRESS(INDEX($AI$2:$AI$1001,MATCH(ROWS($AG$2:AG600),$AG$2:$AG$1001,0),0), INDEX($AN$1004:$BO$1004,1,MATCH(COLUMNS($AN$1006:AY1006),$AN$1006:$BO$1006,0)))),"Fix")))</f>
        <v>0</v>
      </c>
      <c r="N600" s="4">
        <f>IF(OR(INDEX($AH$2:$AH$1001,MATCH(ROWS($AG$2:AG600),$AG$2:$AG$1001,0),1)&gt;=100000,INDEX($AN$1005:$BO$1005,1,MATCH(COLUMNS($AN$1006:AZ1006),$AN$1006:$BO$1006,0))&gt;=100000), " ",IF(INDEX($AN$2:$BO$1001,MATCH(ROWS($AG$2:AG600),$AG$2:$AG$1001,0),MATCH(COLUMNS($AN$1006:AZ1006),$AN$1006:$BO$1006,0)), HYPERLINK("#",""), HYPERLINK(CONCATENATE("#Metadata!", ADDRESS(INDEX($AI$2:$AI$1001,MATCH(ROWS($AG$2:AG600),$AG$2:$AG$1001,0),0), INDEX($AN$1004:$BO$1004,1,MATCH(COLUMNS($AN$1006:AZ1006),$AN$1006:$BO$1006,0)))),"Fix")))</f>
        <v>0</v>
      </c>
      <c r="O600" s="4">
        <f>IF(OR(INDEX($AH$2:$AH$1001,MATCH(ROWS($AG$2:AG600),$AG$2:$AG$1001,0),1)&gt;=100000,INDEX($AN$1005:$BO$1005,1,MATCH(COLUMNS($AN$1006:BA1006),$AN$1006:$BO$1006,0))&gt;=100000), " ",IF(INDEX($AN$2:$BO$1001,MATCH(ROWS($AG$2:AG600),$AG$2:$AG$1001,0),MATCH(COLUMNS($AN$1006:BA1006),$AN$1006:$BO$1006,0)), HYPERLINK("#",""), HYPERLINK(CONCATENATE("#Metadata!", ADDRESS(INDEX($AI$2:$AI$1001,MATCH(ROWS($AG$2:AG600),$AG$2:$AG$1001,0),0), INDEX($AN$1004:$BO$1004,1,MATCH(COLUMNS($AN$1006:BA1006),$AN$1006:$BO$1006,0)))),"Fix")))</f>
        <v>0</v>
      </c>
      <c r="P600" s="4">
        <f>IF(OR(INDEX($AH$2:$AH$1001,MATCH(ROWS($AG$2:AG600),$AG$2:$AG$1001,0),1)&gt;=100000,INDEX($AN$1005:$BO$1005,1,MATCH(COLUMNS($AN$1006:BB1006),$AN$1006:$BO$1006,0))&gt;=100000), " ",IF(INDEX($AN$2:$BO$1001,MATCH(ROWS($AG$2:AG600),$AG$2:$AG$1001,0),MATCH(COLUMNS($AN$1006:BB1006),$AN$1006:$BO$1006,0)), HYPERLINK("#",""), HYPERLINK(CONCATENATE("#Metadata!", ADDRESS(INDEX($AI$2:$AI$1001,MATCH(ROWS($AG$2:AG600),$AG$2:$AG$1001,0),0), INDEX($AN$1004:$BO$1004,1,MATCH(COLUMNS($AN$1006:BB1006),$AN$1006:$BO$1006,0)))),"Fix")))</f>
        <v>0</v>
      </c>
      <c r="Q600" s="4">
        <f>IF(OR(INDEX($AH$2:$AH$1001,MATCH(ROWS($AG$2:AG600),$AG$2:$AG$1001,0),1)&gt;=100000,INDEX($AN$1005:$BO$1005,1,MATCH(COLUMNS($AN$1006:BC1006),$AN$1006:$BO$1006,0))&gt;=100000), " ",IF(INDEX($AN$2:$BO$1001,MATCH(ROWS($AG$2:AG600),$AG$2:$AG$1001,0),MATCH(COLUMNS($AN$1006:BC1006),$AN$1006:$BO$1006,0)), HYPERLINK("#",""), HYPERLINK(CONCATENATE("#Metadata!", ADDRESS(INDEX($AI$2:$AI$1001,MATCH(ROWS($AG$2:AG600),$AG$2:$AG$1001,0),0), INDEX($AN$1004:$BO$1004,1,MATCH(COLUMNS($AN$1006:BC1006),$AN$1006:$BO$1006,0)))),"Fix")))</f>
        <v>0</v>
      </c>
      <c r="R600" s="4">
        <f>IF(OR(INDEX($AH$2:$AH$1001,MATCH(ROWS($AG$2:AG600),$AG$2:$AG$1001,0),1)&gt;=100000,INDEX($AN$1005:$BO$1005,1,MATCH(COLUMNS($AN$1006:BD1006),$AN$1006:$BO$1006,0))&gt;=100000), " ",IF(INDEX($AN$2:$BO$1001,MATCH(ROWS($AG$2:AG600),$AG$2:$AG$1001,0),MATCH(COLUMNS($AN$1006:BD1006),$AN$1006:$BO$1006,0)), HYPERLINK("#",""), HYPERLINK(CONCATENATE("#Metadata!", ADDRESS(INDEX($AI$2:$AI$1001,MATCH(ROWS($AG$2:AG600),$AG$2:$AG$1001,0),0), INDEX($AN$1004:$BO$1004,1,MATCH(COLUMNS($AN$1006:BD1006),$AN$1006:$BO$1006,0)))),"Fix")))</f>
        <v>0</v>
      </c>
      <c r="S600" s="4">
        <f>IF(OR(INDEX($AH$2:$AH$1001,MATCH(ROWS($AG$2:AG600),$AG$2:$AG$1001,0),1)&gt;=100000,INDEX($AN$1005:$BO$1005,1,MATCH(COLUMNS($AN$1006:BE1006),$AN$1006:$BO$1006,0))&gt;=100000), " ",IF(INDEX($AN$2:$BO$1001,MATCH(ROWS($AG$2:AG600),$AG$2:$AG$1001,0),MATCH(COLUMNS($AN$1006:BE1006),$AN$1006:$BO$1006,0)), HYPERLINK("#",""), HYPERLINK(CONCATENATE("#Metadata!", ADDRESS(INDEX($AI$2:$AI$1001,MATCH(ROWS($AG$2:AG600),$AG$2:$AG$1001,0),0), INDEX($AN$1004:$BO$1004,1,MATCH(COLUMNS($AN$1006:BE1006),$AN$1006:$BO$1006,0)))),"Fix")))</f>
        <v>0</v>
      </c>
      <c r="T600" s="4">
        <f>IF(OR(INDEX($AH$2:$AH$1001,MATCH(ROWS($AG$2:AG600),$AG$2:$AG$1001,0),1)&gt;=100000,INDEX($AN$1005:$BO$1005,1,MATCH(COLUMNS($AN$1006:BF1006),$AN$1006:$BO$1006,0))&gt;=100000), " ",IF(INDEX($AN$2:$BO$1001,MATCH(ROWS($AG$2:AG600),$AG$2:$AG$1001,0),MATCH(COLUMNS($AN$1006:BF1006),$AN$1006:$BO$1006,0)), HYPERLINK("#",""), HYPERLINK(CONCATENATE("#Metadata!", ADDRESS(INDEX($AI$2:$AI$1001,MATCH(ROWS($AG$2:AG600),$AG$2:$AG$1001,0),0), INDEX($AN$1004:$BO$1004,1,MATCH(COLUMNS($AN$1006:BF1006),$AN$1006:$BO$1006,0)))),"Fix")))</f>
        <v>0</v>
      </c>
      <c r="U600" s="4">
        <f>IF(OR(INDEX($AH$2:$AH$1001,MATCH(ROWS($AG$2:AG600),$AG$2:$AG$1001,0),1)&gt;=100000,INDEX($AN$1005:$BO$1005,1,MATCH(COLUMNS($AN$1006:BG1006),$AN$1006:$BO$1006,0))&gt;=100000), " ",IF(INDEX($AN$2:$BO$1001,MATCH(ROWS($AG$2:AG600),$AG$2:$AG$1001,0),MATCH(COLUMNS($AN$1006:BG1006),$AN$1006:$BO$1006,0)), HYPERLINK("#",""), HYPERLINK(CONCATENATE("#Metadata!", ADDRESS(INDEX($AI$2:$AI$1001,MATCH(ROWS($AG$2:AG600),$AG$2:$AG$1001,0),0), INDEX($AN$1004:$BO$1004,1,MATCH(COLUMNS($AN$1006:BG1006),$AN$1006:$BO$1006,0)))),"Fix")))</f>
        <v>0</v>
      </c>
      <c r="V600" s="4">
        <f>IF(OR(INDEX($AH$2:$AH$1001,MATCH(ROWS($AG$2:AG600),$AG$2:$AG$1001,0),1)&gt;=100000,INDEX($AN$1005:$BO$1005,1,MATCH(COLUMNS($AN$1006:BH1006),$AN$1006:$BO$1006,0))&gt;=100000), " ",IF(INDEX($AN$2:$BO$1001,MATCH(ROWS($AG$2:AG600),$AG$2:$AG$1001,0),MATCH(COLUMNS($AN$1006:BH1006),$AN$1006:$BO$1006,0)), HYPERLINK("#",""), HYPERLINK(CONCATENATE("#Metadata!", ADDRESS(INDEX($AI$2:$AI$1001,MATCH(ROWS($AG$2:AG600),$AG$2:$AG$1001,0),0), INDEX($AN$1004:$BO$1004,1,MATCH(COLUMNS($AN$1006:BH1006),$AN$1006:$BO$1006,0)))),"Fix")))</f>
        <v>0</v>
      </c>
      <c r="W600" s="4">
        <f>IF(OR(INDEX($AH$2:$AH$1001,MATCH(ROWS($AG$2:AG600),$AG$2:$AG$1001,0),1)&gt;=100000,INDEX($AN$1005:$BO$1005,1,MATCH(COLUMNS($AN$1006:BI1006),$AN$1006:$BO$1006,0))&gt;=100000), " ",IF(INDEX($AN$2:$BO$1001,MATCH(ROWS($AG$2:AG600),$AG$2:$AG$1001,0),MATCH(COLUMNS($AN$1006:BI1006),$AN$1006:$BO$1006,0)), HYPERLINK("#",""), HYPERLINK(CONCATENATE("#Metadata!", ADDRESS(INDEX($AI$2:$AI$1001,MATCH(ROWS($AG$2:AG600),$AG$2:$AG$1001,0),0), INDEX($AN$1004:$BO$1004,1,MATCH(COLUMNS($AN$1006:BI1006),$AN$1006:$BO$1006,0)))),"Fix")))</f>
        <v>0</v>
      </c>
      <c r="X600" s="4">
        <f>IF(OR(INDEX($AH$2:$AH$1001,MATCH(ROWS($AG$2:AG600),$AG$2:$AG$1001,0),1)&gt;=100000,INDEX($AN$1005:$BO$1005,1,MATCH(COLUMNS($AN$1006:BJ1006),$AN$1006:$BO$1006,0))&gt;=100000), " ",IF(INDEX($AN$2:$BO$1001,MATCH(ROWS($AG$2:AG600),$AG$2:$AG$1001,0),MATCH(COLUMNS($AN$1006:BJ1006),$AN$1006:$BO$1006,0)), HYPERLINK("#",""), HYPERLINK(CONCATENATE("#Metadata!", ADDRESS(INDEX($AI$2:$AI$1001,MATCH(ROWS($AG$2:AG600),$AG$2:$AG$1001,0),0), INDEX($AN$1004:$BO$1004,1,MATCH(COLUMNS($AN$1006:BJ1006),$AN$1006:$BO$1006,0)))),"Fix")))</f>
        <v>0</v>
      </c>
      <c r="Y600" s="4">
        <f>IF(OR(INDEX($AH$2:$AH$1001,MATCH(ROWS($AG$2:AG600),$AG$2:$AG$1001,0),1)&gt;=100000,INDEX($AN$1005:$BO$1005,1,MATCH(COLUMNS($AN$1006:BK1006),$AN$1006:$BO$1006,0))&gt;=100000), " ",IF(INDEX($AN$2:$BO$1001,MATCH(ROWS($AG$2:AG600),$AG$2:$AG$1001,0),MATCH(COLUMNS($AN$1006:BK1006),$AN$1006:$BO$1006,0)), HYPERLINK("#",""), HYPERLINK(CONCATENATE("#Metadata!", ADDRESS(INDEX($AI$2:$AI$1001,MATCH(ROWS($AG$2:AG600),$AG$2:$AG$1001,0),0), INDEX($AN$1004:$BO$1004,1,MATCH(COLUMNS($AN$1006:BK1006),$AN$1006:$BO$1006,0)))),"Fix")))</f>
        <v>0</v>
      </c>
      <c r="Z600" s="4">
        <f>IF(OR(INDEX($AH$2:$AH$1001,MATCH(ROWS($AG$2:AG600),$AG$2:$AG$1001,0),1)&gt;=100000,INDEX($AN$1005:$BO$1005,1,MATCH(COLUMNS($AN$1006:BL1006),$AN$1006:$BO$1006,0))&gt;=100000), " ",IF(INDEX($AN$2:$BO$1001,MATCH(ROWS($AG$2:AG600),$AG$2:$AG$1001,0),MATCH(COLUMNS($AN$1006:BL1006),$AN$1006:$BO$1006,0)), HYPERLINK("#",""), HYPERLINK(CONCATENATE("#Metadata!", ADDRESS(INDEX($AI$2:$AI$1001,MATCH(ROWS($AG$2:AG600),$AG$2:$AG$1001,0),0), INDEX($AN$1004:$BO$1004,1,MATCH(COLUMNS($AN$1006:BL1006),$AN$1006:$BO$1006,0)))),"Fix")))</f>
        <v>0</v>
      </c>
      <c r="AA600" s="4">
        <f>IF(OR(INDEX($AH$2:$AH$1001,MATCH(ROWS($AG$2:AG600),$AG$2:$AG$1001,0),1)&gt;=100000,INDEX($AN$1005:$BO$1005,1,MATCH(COLUMNS($AN$1006:BM1006),$AN$1006:$BO$1006,0))&gt;=100000), " ",IF(INDEX($AN$2:$BO$1001,MATCH(ROWS($AG$2:AG600),$AG$2:$AG$1001,0),MATCH(COLUMNS($AN$1006:BM1006),$AN$1006:$BO$1006,0)), HYPERLINK("#",""), HYPERLINK(CONCATENATE("#Metadata!", ADDRESS(INDEX($AI$2:$AI$1001,MATCH(ROWS($AG$2:AG600),$AG$2:$AG$1001,0),0), INDEX($AN$1004:$BO$1004,1,MATCH(COLUMNS($AN$1006:BM1006),$AN$1006:$BO$1006,0)))),"Fix")))</f>
        <v>0</v>
      </c>
      <c r="AB600" s="4">
        <f>IF(OR(INDEX($AH$2:$AH$1001,MATCH(ROWS($AG$2:AG600),$AG$2:$AG$1001,0),1)&gt;=100000,INDEX($AN$1005:$BO$1005,1,MATCH(COLUMNS($AN$1006:BN1006),$AN$1006:$BO$1006,0))&gt;=100000), " ",IF(INDEX($AN$2:$BO$1001,MATCH(ROWS($AG$2:AG600),$AG$2:$AG$1001,0),MATCH(COLUMNS($AN$1006:BN1006),$AN$1006:$BO$1006,0)), HYPERLINK("#",""), HYPERLINK(CONCATENATE("#Metadata!", ADDRESS(INDEX($AI$2:$AI$1001,MATCH(ROWS($AG$2:AG600),$AG$2:$AG$1001,0),0), INDEX($AN$1004:$BO$1004,1,MATCH(COLUMNS($AN$1006:BN1006),$AN$1006:$BO$1006,0)))),"Fix")))</f>
        <v>0</v>
      </c>
      <c r="AC600" s="4">
        <f>IF(OR(INDEX($AH$2:$AH$1001,MATCH(ROWS($AG$2:AG600),$AG$2:$AG$1001,0),1)&gt;=100000,INDEX($AN$1005:$BO$1005,1,MATCH(COLUMNS($AN$1006:BO1006),$AN$1006:$BO$1006,0))&gt;=100000), " ",IF(INDEX($AN$2:$BO$1001,MATCH(ROWS($AG$2:AG600),$AG$2:$AG$1001,0),MATCH(COLUMNS($AN$1006:BO1006),$AN$1006:$BO$1006,0)), HYPERLINK("#",""), HYPERLINK(CONCATENATE("#Metadata!", ADDRESS(INDEX($AI$2:$AI$1001,MATCH(ROWS($AG$2:AG600),$AG$2:$AG$1001,0),0), INDEX($AN$1004:$BO$1004,1,MATCH(COLUMNS($AN$1006:BO1006),$AN$1006:$BO$1006,0)))),"Fix")))</f>
        <v>0</v>
      </c>
      <c r="AG600">
        <v>0</v>
      </c>
      <c r="AH600">
        <v>0</v>
      </c>
      <c r="AI600">
        <v>0</v>
      </c>
      <c r="AJ600">
        <f>IF(AK600,TRUE,AND(AN600:BO600))</f>
        <v>0</v>
      </c>
      <c r="AK600">
        <f>COUNTBLANK(Metadata!B600:AC600)=COLUMNS(Metadata!B600:AC600)</f>
        <v>0</v>
      </c>
      <c r="AL600">
        <v>0</v>
      </c>
      <c r="AN600">
        <f>AND(IF(Metadata!B600="",FALSE,TRUE),COUNTIF(Metadata!B:B, Metadata!B600) = 1,NOT(ISERROR(SUMPRODUCT(SEARCH(MID(Metadata!B600,ROW(INDIRECT("1:"&amp;LEN(Metadata!B600))), 1),"0123456789abcdefghijklmnopqrstuvwxyzABCDEFGHIJKLMNOPQRSTUVWXYZ.")))))</f>
        <v>0</v>
      </c>
      <c r="AO600">
        <f>IF(Metadata!C600="",FALSE,TRUE)</f>
        <v>0</v>
      </c>
      <c r="AP600">
        <f>IF(Metadata!D600="",FALSE,TRUE)</f>
        <v>0</v>
      </c>
      <c r="AQ600">
        <f>OR(AND(IF(Metadata!E600="",FALSE,TRUE),OR(exact(Metadata!E600,"not collected"),exact(Metadata!E600,"not provided"),exact(Metadata!E600,"restricted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R600">
        <f>IF(Metadata!F600="",FALSE,TRUE)</f>
        <v>0</v>
      </c>
      <c r="AS600">
        <f>OR(AND(IF(Metadata!G600="",FALSE,TRUE),OR(exact(Metadata!G600,"not collected"),exact(Metadata!G600,"not provided"))),AND(IF(Metadata!G600="",FALSE,TRUE),OR(exact(Metadata!G600,"TRUE"),exact(Metadata!G600,"FALSE"))))</f>
        <v>0</v>
      </c>
      <c r="AT600">
        <f>OR(AND(IF(Metadata!H600="",FALSE,TRUE),OR(exact(Metadata!H600,"not collected"),exact(Metadata!H600,"not provided"),exact(Metadata!H600,"restricted access"))),AND(IF(Metadata!H600="",FALSE,ISNUMBER(VALUE(Metadata!H600))),Metadata!H600&gt;=-413.0))</f>
        <v>0</v>
      </c>
      <c r="AU600">
        <f>AND(IF(Metadata!I600="",FALSE,TRUE),exact(Metadata!I600,"meters"))</f>
        <v>0</v>
      </c>
      <c r="AV600">
        <f>AND(IF(Metadata!J600="",FALSE,TRUE),OR(exact(Metadata!J600,"Host-associated"),exact(Metadata!J600,"Free-living")))</f>
        <v>0</v>
      </c>
      <c r="AW600">
        <f>AND(IF(Metadata!K600="",FALSE,TRUE),OR(exact(Metadata!K600,"Animal"),exact(Metadata!K600,"Fungus"),exact(Metadata!K600,"Plant"),exact(Metadata!K600,"Saline"),exact(Metadata!K600,"Non-saline")))</f>
        <v>0</v>
      </c>
      <c r="AX600">
        <f>AND(IF(Metadata!L600="",FALSE,TRUE),OR(exact(Metadata!L600,"Plant secretion"),exact(Metadata!L600,"Plant rhizosphere"),exact(Metadata!L600,"Plant surface"),exact(Metadata!L600,"Plant corpus"),exact(Metadata!L600,"Fungus surface"),exact(Metadata!L600,"Fungus corpus"),exact(Metadata!L600,"Animal surface"),exact(Metadata!L600,"Animal proximal gut"),exact(Metadata!L600,"Animal corpus"),exact(Metadata!L600,"Animal distal gut"),exact(Metadata!L600,"Animal secretion"),exact(Metadata!L600,"Sub-surface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Y600">
        <f>IF(Metadata!M600="",FALSE,TRUE)</f>
        <v>0</v>
      </c>
      <c r="AZ600">
        <f>IF(Metadata!N600="",FALSE,TRUE)</f>
        <v>0</v>
      </c>
      <c r="BA600">
        <f>IF(Metadata!O600="",FALSE,TRUE)</f>
        <v>0</v>
      </c>
      <c r="BB600">
        <f>OR(AND(IF(Metadata!P600="",FALSE,TRUE),OR(exact(Metadata!P600,"not collected"),exact(Metadata!P600,"not provided"),exact(Metadata!P600,"restricted access"))),AND(IF(Metadata!P600="",FALSE,TRUE),OR(exact(Metadata!P600,"air"),exact(Metadata!P600,"built environment"),exact(Metadata!P600,"host-associated"),exact(Metadata!P600,"human-associated"),exact(Metadata!P600,"human-skin"),exact(Metadata!P600,"human-oral"),exact(Metadata!P600,"human-gut"),exact(Metadata!P600,"human-vaginal"),exact(Metadata!P600,"microbial mat/biofilm"),exact(Metadata!P600,"misc environment"),exact(Metadata!P600,"plant-associated"),exact(Metadata!P600,"sediment"),exact(Metadata!P600,"soil"),exact(Metadata!P600,"wastewater/sludge"),exact(Metadata!P600,"water"))))</f>
        <v>0</v>
      </c>
      <c r="BC600">
        <f>IF(Metadata!Q600="",FALSE,TRUE)</f>
        <v>0</v>
      </c>
      <c r="BD600">
        <f>IF(Metadata!R600="",FALSE,TRUE)</f>
        <v>0</v>
      </c>
      <c r="BE600">
        <f>OR(AND(IF(Metadata!S600="",FALSE,TRUE),OR(exact(Metadata!S600,"not collected"),exact(Metadata!S600,"not provided"),exact(Metadata!S600,"restricted access"))),AND(IF(Metadata!S600="",FALSE,ISNUMBER(VALUE(Metadata!S600))),Metadata!S600&gt;=-90.00,Metadata!S600&lt;=90.00))</f>
        <v>0</v>
      </c>
      <c r="BF600">
        <f>AND(IF(Metadata!T600="",FALSE,TRUE),exact(Metadata!T600,"Decimal degrees"))</f>
        <v>0</v>
      </c>
      <c r="BG600">
        <f>OR(AND(IF(Metadata!U600="",FALSE,TRUE),OR(exact(Metadata!U600,"not collected"),exact(Metadata!U600,"not provided"),exact(Metadata!U600,"restricted access"))),AND(IF(Metadata!U600="",FALSE,ISNUMBER(VALUE(Metadata!U600))),Metadata!U600&gt;=-180.00,Metadata!U600&lt;=180.00))</f>
        <v>0</v>
      </c>
      <c r="BH600">
        <f>AND(IF(Metadata!V600="",FALSE,TRUE),exact(Metadata!V600,"Decimal degrees"))</f>
        <v>0</v>
      </c>
      <c r="BI600">
        <f>IF(Metadata!W600="",FALSE,TRUE)</f>
        <v>0</v>
      </c>
      <c r="BJ600">
        <f>OR(AND(IF(Metadata!X600="",FALSE,TRUE),OR(exact(Metadata!X600,"not collected"),exact(Metadata!X600,"not provided"),exact(Metadata!X600,"restricted access"))),AND(IF(Metadata!X600="",FALSE,TRUE),OR(exact(Metadata!X600,"TRUE"),exact(Metadata!X600,"FALSE"))))</f>
        <v>0</v>
      </c>
      <c r="BK600">
        <f>AND(IF(Metadata!Y600="",FALSE,TRUE),exact(Metadata!Y600,"other"))</f>
        <v>0</v>
      </c>
      <c r="BL600">
        <f>IF(Metadata!Z600="",FALSE,TRUE)</f>
        <v>0</v>
      </c>
      <c r="BM600">
        <f>OR(AND(IF(Metadata!AA600="",FALSE,TRUE),OR(exact(Metadata!AA600,"not collected"),exact(Metadata!AA600,"not provided"))),AND(IF(Metadata!AA600="",FALSE,IF(ISERROR(INT(Metadata!AA600)),FALSE,INT(Metadata!AA600)=Metadata!AA600)),Metadata!AA600&gt;0))</f>
        <v>0</v>
      </c>
      <c r="BN600">
        <f>AND(IF(Metadata!AB600="",FALSE,TRUE),exact(Metadata!AB600,"Not applicable"))</f>
        <v>0</v>
      </c>
      <c r="BO600">
        <f>IF(Metadata!AC600="",FALSE,TRUE)</f>
        <v>0</v>
      </c>
    </row>
    <row r="601" spans="1:67">
      <c r="A601" s="5">
        <f>IF(B601=" "," ",HYPERLINK(CONCATENATE("#metadata!",ADDRESS(INDEX($AI$2:$AI$1001,MATCH(ROWS($AG$2:AG601),$AG$2:$AG$1001,0),0),1)),INDEX($AL$2:$AL$1001,MATCH(ROWS($AG$2:AG601),$AG$2:$AG$1001,0),0)))</f>
        <v>0</v>
      </c>
      <c r="B601" s="4">
        <f>IF(OR(INDEX($AH$2:$AH$1001,MATCH(ROWS($AG$2:AG601),$AG$2:$AG$1001,0),1)&gt;=100000,INDEX($AN$1005:$BO$1005,1,MATCH(COLUMNS($AN$1006:AN1006),$AN$1006:$BO$1006,0))&gt;=100000), " ",IF(INDEX($AN$2:$BO$1001,MATCH(ROWS($AG$2:AG601),$AG$2:$AG$1001,0),MATCH(COLUMNS($AN$1006:AN1006),$AN$1006:$BO$1006,0)), HYPERLINK("#",""), HYPERLINK(CONCATENATE("#Metadata!", ADDRESS(INDEX($AI$2:$AI$1001,MATCH(ROWS($AG$2:AG601),$AG$2:$AG$1001,0),0), INDEX($AN$1004:$BO$1004,1,MATCH(COLUMNS($AN$1006:AN1006),$AN$1006:$BO$1006,0)))),"Fix")))</f>
        <v>0</v>
      </c>
      <c r="C601" s="4">
        <f>IF(OR(INDEX($AH$2:$AH$1001,MATCH(ROWS($AG$2:AG601),$AG$2:$AG$1001,0),1)&gt;=100000,INDEX($AN$1005:$BO$1005,1,MATCH(COLUMNS($AN$1006:AO1006),$AN$1006:$BO$1006,0))&gt;=100000), " ",IF(INDEX($AN$2:$BO$1001,MATCH(ROWS($AG$2:AG601),$AG$2:$AG$1001,0),MATCH(COLUMNS($AN$1006:AO1006),$AN$1006:$BO$1006,0)), HYPERLINK("#",""), HYPERLINK(CONCATENATE("#Metadata!", ADDRESS(INDEX($AI$2:$AI$1001,MATCH(ROWS($AG$2:AG601),$AG$2:$AG$1001,0),0), INDEX($AN$1004:$BO$1004,1,MATCH(COLUMNS($AN$1006:AO1006),$AN$1006:$BO$1006,0)))),"Fix")))</f>
        <v>0</v>
      </c>
      <c r="D601" s="4">
        <f>IF(OR(INDEX($AH$2:$AH$1001,MATCH(ROWS($AG$2:AG601),$AG$2:$AG$1001,0),1)&gt;=100000,INDEX($AN$1005:$BO$1005,1,MATCH(COLUMNS($AN$1006:AP1006),$AN$1006:$BO$1006,0))&gt;=100000), " ",IF(INDEX($AN$2:$BO$1001,MATCH(ROWS($AG$2:AG601),$AG$2:$AG$1001,0),MATCH(COLUMNS($AN$1006:AP1006),$AN$1006:$BO$1006,0)), HYPERLINK("#",""), HYPERLINK(CONCATENATE("#Metadata!", ADDRESS(INDEX($AI$2:$AI$1001,MATCH(ROWS($AG$2:AG601),$AG$2:$AG$1001,0),0), INDEX($AN$1004:$BO$1004,1,MATCH(COLUMNS($AN$1006:AP1006),$AN$1006:$BO$1006,0)))),"Fix")))</f>
        <v>0</v>
      </c>
      <c r="E601" s="4">
        <f>IF(OR(INDEX($AH$2:$AH$1001,MATCH(ROWS($AG$2:AG601),$AG$2:$AG$1001,0),1)&gt;=100000,INDEX($AN$1005:$BO$1005,1,MATCH(COLUMNS($AN$1006:AQ1006),$AN$1006:$BO$1006,0))&gt;=100000), " ",IF(INDEX($AN$2:$BO$1001,MATCH(ROWS($AG$2:AG601),$AG$2:$AG$1001,0),MATCH(COLUMNS($AN$1006:AQ1006),$AN$1006:$BO$1006,0)), HYPERLINK("#",""), HYPERLINK(CONCATENATE("#Metadata!", ADDRESS(INDEX($AI$2:$AI$1001,MATCH(ROWS($AG$2:AG601),$AG$2:$AG$1001,0),0), INDEX($AN$1004:$BO$1004,1,MATCH(COLUMNS($AN$1006:AQ1006),$AN$1006:$BO$1006,0)))),"Fix")))</f>
        <v>0</v>
      </c>
      <c r="F601" s="4">
        <f>IF(OR(INDEX($AH$2:$AH$1001,MATCH(ROWS($AG$2:AG601),$AG$2:$AG$1001,0),1)&gt;=100000,INDEX($AN$1005:$BO$1005,1,MATCH(COLUMNS($AN$1006:AR1006),$AN$1006:$BO$1006,0))&gt;=100000), " ",IF(INDEX($AN$2:$BO$1001,MATCH(ROWS($AG$2:AG601),$AG$2:$AG$1001,0),MATCH(COLUMNS($AN$1006:AR1006),$AN$1006:$BO$1006,0)), HYPERLINK("#",""), HYPERLINK(CONCATENATE("#Metadata!", ADDRESS(INDEX($AI$2:$AI$1001,MATCH(ROWS($AG$2:AG601),$AG$2:$AG$1001,0),0), INDEX($AN$1004:$BO$1004,1,MATCH(COLUMNS($AN$1006:AR1006),$AN$1006:$BO$1006,0)))),"Fix")))</f>
        <v>0</v>
      </c>
      <c r="G601" s="4">
        <f>IF(OR(INDEX($AH$2:$AH$1001,MATCH(ROWS($AG$2:AG601),$AG$2:$AG$1001,0),1)&gt;=100000,INDEX($AN$1005:$BO$1005,1,MATCH(COLUMNS($AN$1006:AS1006),$AN$1006:$BO$1006,0))&gt;=100000), " ",IF(INDEX($AN$2:$BO$1001,MATCH(ROWS($AG$2:AG601),$AG$2:$AG$1001,0),MATCH(COLUMNS($AN$1006:AS1006),$AN$1006:$BO$1006,0)), HYPERLINK("#",""), HYPERLINK(CONCATENATE("#Metadata!", ADDRESS(INDEX($AI$2:$AI$1001,MATCH(ROWS($AG$2:AG601),$AG$2:$AG$1001,0),0), INDEX($AN$1004:$BO$1004,1,MATCH(COLUMNS($AN$1006:AS1006),$AN$1006:$BO$1006,0)))),"Fix")))</f>
        <v>0</v>
      </c>
      <c r="H601" s="4">
        <f>IF(OR(INDEX($AH$2:$AH$1001,MATCH(ROWS($AG$2:AG601),$AG$2:$AG$1001,0),1)&gt;=100000,INDEX($AN$1005:$BO$1005,1,MATCH(COLUMNS($AN$1006:AT1006),$AN$1006:$BO$1006,0))&gt;=100000), " ",IF(INDEX($AN$2:$BO$1001,MATCH(ROWS($AG$2:AG601),$AG$2:$AG$1001,0),MATCH(COLUMNS($AN$1006:AT1006),$AN$1006:$BO$1006,0)), HYPERLINK("#",""), HYPERLINK(CONCATENATE("#Metadata!", ADDRESS(INDEX($AI$2:$AI$1001,MATCH(ROWS($AG$2:AG601),$AG$2:$AG$1001,0),0), INDEX($AN$1004:$BO$1004,1,MATCH(COLUMNS($AN$1006:AT1006),$AN$1006:$BO$1006,0)))),"Fix")))</f>
        <v>0</v>
      </c>
      <c r="I601" s="4">
        <f>IF(OR(INDEX($AH$2:$AH$1001,MATCH(ROWS($AG$2:AG601),$AG$2:$AG$1001,0),1)&gt;=100000,INDEX($AN$1005:$BO$1005,1,MATCH(COLUMNS($AN$1006:AU1006),$AN$1006:$BO$1006,0))&gt;=100000), " ",IF(INDEX($AN$2:$BO$1001,MATCH(ROWS($AG$2:AG601),$AG$2:$AG$1001,0),MATCH(COLUMNS($AN$1006:AU1006),$AN$1006:$BO$1006,0)), HYPERLINK("#",""), HYPERLINK(CONCATENATE("#Metadata!", ADDRESS(INDEX($AI$2:$AI$1001,MATCH(ROWS($AG$2:AG601),$AG$2:$AG$1001,0),0), INDEX($AN$1004:$BO$1004,1,MATCH(COLUMNS($AN$1006:AU1006),$AN$1006:$BO$1006,0)))),"Fix")))</f>
        <v>0</v>
      </c>
      <c r="J601" s="4">
        <f>IF(OR(INDEX($AH$2:$AH$1001,MATCH(ROWS($AG$2:AG601),$AG$2:$AG$1001,0),1)&gt;=100000,INDEX($AN$1005:$BO$1005,1,MATCH(COLUMNS($AN$1006:AV1006),$AN$1006:$BO$1006,0))&gt;=100000), " ",IF(INDEX($AN$2:$BO$1001,MATCH(ROWS($AG$2:AG601),$AG$2:$AG$1001,0),MATCH(COLUMNS($AN$1006:AV1006),$AN$1006:$BO$1006,0)), HYPERLINK("#",""), HYPERLINK(CONCATENATE("#Metadata!", ADDRESS(INDEX($AI$2:$AI$1001,MATCH(ROWS($AG$2:AG601),$AG$2:$AG$1001,0),0), INDEX($AN$1004:$BO$1004,1,MATCH(COLUMNS($AN$1006:AV1006),$AN$1006:$BO$1006,0)))),"Fix")))</f>
        <v>0</v>
      </c>
      <c r="K601" s="4">
        <f>IF(OR(INDEX($AH$2:$AH$1001,MATCH(ROWS($AG$2:AG601),$AG$2:$AG$1001,0),1)&gt;=100000,INDEX($AN$1005:$BO$1005,1,MATCH(COLUMNS($AN$1006:AW1006),$AN$1006:$BO$1006,0))&gt;=100000), " ",IF(INDEX($AN$2:$BO$1001,MATCH(ROWS($AG$2:AG601),$AG$2:$AG$1001,0),MATCH(COLUMNS($AN$1006:AW1006),$AN$1006:$BO$1006,0)), HYPERLINK("#",""), HYPERLINK(CONCATENATE("#Metadata!", ADDRESS(INDEX($AI$2:$AI$1001,MATCH(ROWS($AG$2:AG601),$AG$2:$AG$1001,0),0), INDEX($AN$1004:$BO$1004,1,MATCH(COLUMNS($AN$1006:AW1006),$AN$1006:$BO$1006,0)))),"Fix")))</f>
        <v>0</v>
      </c>
      <c r="L601" s="4">
        <f>IF(OR(INDEX($AH$2:$AH$1001,MATCH(ROWS($AG$2:AG601),$AG$2:$AG$1001,0),1)&gt;=100000,INDEX($AN$1005:$BO$1005,1,MATCH(COLUMNS($AN$1006:AX1006),$AN$1006:$BO$1006,0))&gt;=100000), " ",IF(INDEX($AN$2:$BO$1001,MATCH(ROWS($AG$2:AG601),$AG$2:$AG$1001,0),MATCH(COLUMNS($AN$1006:AX1006),$AN$1006:$BO$1006,0)), HYPERLINK("#",""), HYPERLINK(CONCATENATE("#Metadata!", ADDRESS(INDEX($AI$2:$AI$1001,MATCH(ROWS($AG$2:AG601),$AG$2:$AG$1001,0),0), INDEX($AN$1004:$BO$1004,1,MATCH(COLUMNS($AN$1006:AX1006),$AN$1006:$BO$1006,0)))),"Fix")))</f>
        <v>0</v>
      </c>
      <c r="M601" s="4">
        <f>IF(OR(INDEX($AH$2:$AH$1001,MATCH(ROWS($AG$2:AG601),$AG$2:$AG$1001,0),1)&gt;=100000,INDEX($AN$1005:$BO$1005,1,MATCH(COLUMNS($AN$1006:AY1006),$AN$1006:$BO$1006,0))&gt;=100000), " ",IF(INDEX($AN$2:$BO$1001,MATCH(ROWS($AG$2:AG601),$AG$2:$AG$1001,0),MATCH(COLUMNS($AN$1006:AY1006),$AN$1006:$BO$1006,0)), HYPERLINK("#",""), HYPERLINK(CONCATENATE("#Metadata!", ADDRESS(INDEX($AI$2:$AI$1001,MATCH(ROWS($AG$2:AG601),$AG$2:$AG$1001,0),0), INDEX($AN$1004:$BO$1004,1,MATCH(COLUMNS($AN$1006:AY1006),$AN$1006:$BO$1006,0)))),"Fix")))</f>
        <v>0</v>
      </c>
      <c r="N601" s="4">
        <f>IF(OR(INDEX($AH$2:$AH$1001,MATCH(ROWS($AG$2:AG601),$AG$2:$AG$1001,0),1)&gt;=100000,INDEX($AN$1005:$BO$1005,1,MATCH(COLUMNS($AN$1006:AZ1006),$AN$1006:$BO$1006,0))&gt;=100000), " ",IF(INDEX($AN$2:$BO$1001,MATCH(ROWS($AG$2:AG601),$AG$2:$AG$1001,0),MATCH(COLUMNS($AN$1006:AZ1006),$AN$1006:$BO$1006,0)), HYPERLINK("#",""), HYPERLINK(CONCATENATE("#Metadata!", ADDRESS(INDEX($AI$2:$AI$1001,MATCH(ROWS($AG$2:AG601),$AG$2:$AG$1001,0),0), INDEX($AN$1004:$BO$1004,1,MATCH(COLUMNS($AN$1006:AZ1006),$AN$1006:$BO$1006,0)))),"Fix")))</f>
        <v>0</v>
      </c>
      <c r="O601" s="4">
        <f>IF(OR(INDEX($AH$2:$AH$1001,MATCH(ROWS($AG$2:AG601),$AG$2:$AG$1001,0),1)&gt;=100000,INDEX($AN$1005:$BO$1005,1,MATCH(COLUMNS($AN$1006:BA1006),$AN$1006:$BO$1006,0))&gt;=100000), " ",IF(INDEX($AN$2:$BO$1001,MATCH(ROWS($AG$2:AG601),$AG$2:$AG$1001,0),MATCH(COLUMNS($AN$1006:BA1006),$AN$1006:$BO$1006,0)), HYPERLINK("#",""), HYPERLINK(CONCATENATE("#Metadata!", ADDRESS(INDEX($AI$2:$AI$1001,MATCH(ROWS($AG$2:AG601),$AG$2:$AG$1001,0),0), INDEX($AN$1004:$BO$1004,1,MATCH(COLUMNS($AN$1006:BA1006),$AN$1006:$BO$1006,0)))),"Fix")))</f>
        <v>0</v>
      </c>
      <c r="P601" s="4">
        <f>IF(OR(INDEX($AH$2:$AH$1001,MATCH(ROWS($AG$2:AG601),$AG$2:$AG$1001,0),1)&gt;=100000,INDEX($AN$1005:$BO$1005,1,MATCH(COLUMNS($AN$1006:BB1006),$AN$1006:$BO$1006,0))&gt;=100000), " ",IF(INDEX($AN$2:$BO$1001,MATCH(ROWS($AG$2:AG601),$AG$2:$AG$1001,0),MATCH(COLUMNS($AN$1006:BB1006),$AN$1006:$BO$1006,0)), HYPERLINK("#",""), HYPERLINK(CONCATENATE("#Metadata!", ADDRESS(INDEX($AI$2:$AI$1001,MATCH(ROWS($AG$2:AG601),$AG$2:$AG$1001,0),0), INDEX($AN$1004:$BO$1004,1,MATCH(COLUMNS($AN$1006:BB1006),$AN$1006:$BO$1006,0)))),"Fix")))</f>
        <v>0</v>
      </c>
      <c r="Q601" s="4">
        <f>IF(OR(INDEX($AH$2:$AH$1001,MATCH(ROWS($AG$2:AG601),$AG$2:$AG$1001,0),1)&gt;=100000,INDEX($AN$1005:$BO$1005,1,MATCH(COLUMNS($AN$1006:BC1006),$AN$1006:$BO$1006,0))&gt;=100000), " ",IF(INDEX($AN$2:$BO$1001,MATCH(ROWS($AG$2:AG601),$AG$2:$AG$1001,0),MATCH(COLUMNS($AN$1006:BC1006),$AN$1006:$BO$1006,0)), HYPERLINK("#",""), HYPERLINK(CONCATENATE("#Metadata!", ADDRESS(INDEX($AI$2:$AI$1001,MATCH(ROWS($AG$2:AG601),$AG$2:$AG$1001,0),0), INDEX($AN$1004:$BO$1004,1,MATCH(COLUMNS($AN$1006:BC1006),$AN$1006:$BO$1006,0)))),"Fix")))</f>
        <v>0</v>
      </c>
      <c r="R601" s="4">
        <f>IF(OR(INDEX($AH$2:$AH$1001,MATCH(ROWS($AG$2:AG601),$AG$2:$AG$1001,0),1)&gt;=100000,INDEX($AN$1005:$BO$1005,1,MATCH(COLUMNS($AN$1006:BD1006),$AN$1006:$BO$1006,0))&gt;=100000), " ",IF(INDEX($AN$2:$BO$1001,MATCH(ROWS($AG$2:AG601),$AG$2:$AG$1001,0),MATCH(COLUMNS($AN$1006:BD1006),$AN$1006:$BO$1006,0)), HYPERLINK("#",""), HYPERLINK(CONCATENATE("#Metadata!", ADDRESS(INDEX($AI$2:$AI$1001,MATCH(ROWS($AG$2:AG601),$AG$2:$AG$1001,0),0), INDEX($AN$1004:$BO$1004,1,MATCH(COLUMNS($AN$1006:BD1006),$AN$1006:$BO$1006,0)))),"Fix")))</f>
        <v>0</v>
      </c>
      <c r="S601" s="4">
        <f>IF(OR(INDEX($AH$2:$AH$1001,MATCH(ROWS($AG$2:AG601),$AG$2:$AG$1001,0),1)&gt;=100000,INDEX($AN$1005:$BO$1005,1,MATCH(COLUMNS($AN$1006:BE1006),$AN$1006:$BO$1006,0))&gt;=100000), " ",IF(INDEX($AN$2:$BO$1001,MATCH(ROWS($AG$2:AG601),$AG$2:$AG$1001,0),MATCH(COLUMNS($AN$1006:BE1006),$AN$1006:$BO$1006,0)), HYPERLINK("#",""), HYPERLINK(CONCATENATE("#Metadata!", ADDRESS(INDEX($AI$2:$AI$1001,MATCH(ROWS($AG$2:AG601),$AG$2:$AG$1001,0),0), INDEX($AN$1004:$BO$1004,1,MATCH(COLUMNS($AN$1006:BE1006),$AN$1006:$BO$1006,0)))),"Fix")))</f>
        <v>0</v>
      </c>
      <c r="T601" s="4">
        <f>IF(OR(INDEX($AH$2:$AH$1001,MATCH(ROWS($AG$2:AG601),$AG$2:$AG$1001,0),1)&gt;=100000,INDEX($AN$1005:$BO$1005,1,MATCH(COLUMNS($AN$1006:BF1006),$AN$1006:$BO$1006,0))&gt;=100000), " ",IF(INDEX($AN$2:$BO$1001,MATCH(ROWS($AG$2:AG601),$AG$2:$AG$1001,0),MATCH(COLUMNS($AN$1006:BF1006),$AN$1006:$BO$1006,0)), HYPERLINK("#",""), HYPERLINK(CONCATENATE("#Metadata!", ADDRESS(INDEX($AI$2:$AI$1001,MATCH(ROWS($AG$2:AG601),$AG$2:$AG$1001,0),0), INDEX($AN$1004:$BO$1004,1,MATCH(COLUMNS($AN$1006:BF1006),$AN$1006:$BO$1006,0)))),"Fix")))</f>
        <v>0</v>
      </c>
      <c r="U601" s="4">
        <f>IF(OR(INDEX($AH$2:$AH$1001,MATCH(ROWS($AG$2:AG601),$AG$2:$AG$1001,0),1)&gt;=100000,INDEX($AN$1005:$BO$1005,1,MATCH(COLUMNS($AN$1006:BG1006),$AN$1006:$BO$1006,0))&gt;=100000), " ",IF(INDEX($AN$2:$BO$1001,MATCH(ROWS($AG$2:AG601),$AG$2:$AG$1001,0),MATCH(COLUMNS($AN$1006:BG1006),$AN$1006:$BO$1006,0)), HYPERLINK("#",""), HYPERLINK(CONCATENATE("#Metadata!", ADDRESS(INDEX($AI$2:$AI$1001,MATCH(ROWS($AG$2:AG601),$AG$2:$AG$1001,0),0), INDEX($AN$1004:$BO$1004,1,MATCH(COLUMNS($AN$1006:BG1006),$AN$1006:$BO$1006,0)))),"Fix")))</f>
        <v>0</v>
      </c>
      <c r="V601" s="4">
        <f>IF(OR(INDEX($AH$2:$AH$1001,MATCH(ROWS($AG$2:AG601),$AG$2:$AG$1001,0),1)&gt;=100000,INDEX($AN$1005:$BO$1005,1,MATCH(COLUMNS($AN$1006:BH1006),$AN$1006:$BO$1006,0))&gt;=100000), " ",IF(INDEX($AN$2:$BO$1001,MATCH(ROWS($AG$2:AG601),$AG$2:$AG$1001,0),MATCH(COLUMNS($AN$1006:BH1006),$AN$1006:$BO$1006,0)), HYPERLINK("#",""), HYPERLINK(CONCATENATE("#Metadata!", ADDRESS(INDEX($AI$2:$AI$1001,MATCH(ROWS($AG$2:AG601),$AG$2:$AG$1001,0),0), INDEX($AN$1004:$BO$1004,1,MATCH(COLUMNS($AN$1006:BH1006),$AN$1006:$BO$1006,0)))),"Fix")))</f>
        <v>0</v>
      </c>
      <c r="W601" s="4">
        <f>IF(OR(INDEX($AH$2:$AH$1001,MATCH(ROWS($AG$2:AG601),$AG$2:$AG$1001,0),1)&gt;=100000,INDEX($AN$1005:$BO$1005,1,MATCH(COLUMNS($AN$1006:BI1006),$AN$1006:$BO$1006,0))&gt;=100000), " ",IF(INDEX($AN$2:$BO$1001,MATCH(ROWS($AG$2:AG601),$AG$2:$AG$1001,0),MATCH(COLUMNS($AN$1006:BI1006),$AN$1006:$BO$1006,0)), HYPERLINK("#",""), HYPERLINK(CONCATENATE("#Metadata!", ADDRESS(INDEX($AI$2:$AI$1001,MATCH(ROWS($AG$2:AG601),$AG$2:$AG$1001,0),0), INDEX($AN$1004:$BO$1004,1,MATCH(COLUMNS($AN$1006:BI1006),$AN$1006:$BO$1006,0)))),"Fix")))</f>
        <v>0</v>
      </c>
      <c r="X601" s="4">
        <f>IF(OR(INDEX($AH$2:$AH$1001,MATCH(ROWS($AG$2:AG601),$AG$2:$AG$1001,0),1)&gt;=100000,INDEX($AN$1005:$BO$1005,1,MATCH(COLUMNS($AN$1006:BJ1006),$AN$1006:$BO$1006,0))&gt;=100000), " ",IF(INDEX($AN$2:$BO$1001,MATCH(ROWS($AG$2:AG601),$AG$2:$AG$1001,0),MATCH(COLUMNS($AN$1006:BJ1006),$AN$1006:$BO$1006,0)), HYPERLINK("#",""), HYPERLINK(CONCATENATE("#Metadata!", ADDRESS(INDEX($AI$2:$AI$1001,MATCH(ROWS($AG$2:AG601),$AG$2:$AG$1001,0),0), INDEX($AN$1004:$BO$1004,1,MATCH(COLUMNS($AN$1006:BJ1006),$AN$1006:$BO$1006,0)))),"Fix")))</f>
        <v>0</v>
      </c>
      <c r="Y601" s="4">
        <f>IF(OR(INDEX($AH$2:$AH$1001,MATCH(ROWS($AG$2:AG601),$AG$2:$AG$1001,0),1)&gt;=100000,INDEX($AN$1005:$BO$1005,1,MATCH(COLUMNS($AN$1006:BK1006),$AN$1006:$BO$1006,0))&gt;=100000), " ",IF(INDEX($AN$2:$BO$1001,MATCH(ROWS($AG$2:AG601),$AG$2:$AG$1001,0),MATCH(COLUMNS($AN$1006:BK1006),$AN$1006:$BO$1006,0)), HYPERLINK("#",""), HYPERLINK(CONCATENATE("#Metadata!", ADDRESS(INDEX($AI$2:$AI$1001,MATCH(ROWS($AG$2:AG601),$AG$2:$AG$1001,0),0), INDEX($AN$1004:$BO$1004,1,MATCH(COLUMNS($AN$1006:BK1006),$AN$1006:$BO$1006,0)))),"Fix")))</f>
        <v>0</v>
      </c>
      <c r="Z601" s="4">
        <f>IF(OR(INDEX($AH$2:$AH$1001,MATCH(ROWS($AG$2:AG601),$AG$2:$AG$1001,0),1)&gt;=100000,INDEX($AN$1005:$BO$1005,1,MATCH(COLUMNS($AN$1006:BL1006),$AN$1006:$BO$1006,0))&gt;=100000), " ",IF(INDEX($AN$2:$BO$1001,MATCH(ROWS($AG$2:AG601),$AG$2:$AG$1001,0),MATCH(COLUMNS($AN$1006:BL1006),$AN$1006:$BO$1006,0)), HYPERLINK("#",""), HYPERLINK(CONCATENATE("#Metadata!", ADDRESS(INDEX($AI$2:$AI$1001,MATCH(ROWS($AG$2:AG601),$AG$2:$AG$1001,0),0), INDEX($AN$1004:$BO$1004,1,MATCH(COLUMNS($AN$1006:BL1006),$AN$1006:$BO$1006,0)))),"Fix")))</f>
        <v>0</v>
      </c>
      <c r="AA601" s="4">
        <f>IF(OR(INDEX($AH$2:$AH$1001,MATCH(ROWS($AG$2:AG601),$AG$2:$AG$1001,0),1)&gt;=100000,INDEX($AN$1005:$BO$1005,1,MATCH(COLUMNS($AN$1006:BM1006),$AN$1006:$BO$1006,0))&gt;=100000), " ",IF(INDEX($AN$2:$BO$1001,MATCH(ROWS($AG$2:AG601),$AG$2:$AG$1001,0),MATCH(COLUMNS($AN$1006:BM1006),$AN$1006:$BO$1006,0)), HYPERLINK("#",""), HYPERLINK(CONCATENATE("#Metadata!", ADDRESS(INDEX($AI$2:$AI$1001,MATCH(ROWS($AG$2:AG601),$AG$2:$AG$1001,0),0), INDEX($AN$1004:$BO$1004,1,MATCH(COLUMNS($AN$1006:BM1006),$AN$1006:$BO$1006,0)))),"Fix")))</f>
        <v>0</v>
      </c>
      <c r="AB601" s="4">
        <f>IF(OR(INDEX($AH$2:$AH$1001,MATCH(ROWS($AG$2:AG601),$AG$2:$AG$1001,0),1)&gt;=100000,INDEX($AN$1005:$BO$1005,1,MATCH(COLUMNS($AN$1006:BN1006),$AN$1006:$BO$1006,0))&gt;=100000), " ",IF(INDEX($AN$2:$BO$1001,MATCH(ROWS($AG$2:AG601),$AG$2:$AG$1001,0),MATCH(COLUMNS($AN$1006:BN1006),$AN$1006:$BO$1006,0)), HYPERLINK("#",""), HYPERLINK(CONCATENATE("#Metadata!", ADDRESS(INDEX($AI$2:$AI$1001,MATCH(ROWS($AG$2:AG601),$AG$2:$AG$1001,0),0), INDEX($AN$1004:$BO$1004,1,MATCH(COLUMNS($AN$1006:BN1006),$AN$1006:$BO$1006,0)))),"Fix")))</f>
        <v>0</v>
      </c>
      <c r="AC601" s="4">
        <f>IF(OR(INDEX($AH$2:$AH$1001,MATCH(ROWS($AG$2:AG601),$AG$2:$AG$1001,0),1)&gt;=100000,INDEX($AN$1005:$BO$1005,1,MATCH(COLUMNS($AN$1006:BO1006),$AN$1006:$BO$1006,0))&gt;=100000), " ",IF(INDEX($AN$2:$BO$1001,MATCH(ROWS($AG$2:AG601),$AG$2:$AG$1001,0),MATCH(COLUMNS($AN$1006:BO1006),$AN$1006:$BO$1006,0)), HYPERLINK("#",""), HYPERLINK(CONCATENATE("#Metadata!", ADDRESS(INDEX($AI$2:$AI$1001,MATCH(ROWS($AG$2:AG601),$AG$2:$AG$1001,0),0), INDEX($AN$1004:$BO$1004,1,MATCH(COLUMNS($AN$1006:BO1006),$AN$1006:$BO$1006,0)))),"Fix")))</f>
        <v>0</v>
      </c>
      <c r="AG601">
        <v>0</v>
      </c>
      <c r="AH601">
        <v>0</v>
      </c>
      <c r="AI601">
        <v>0</v>
      </c>
      <c r="AJ601">
        <f>IF(AK601,TRUE,AND(AN601:BO601))</f>
        <v>0</v>
      </c>
      <c r="AK601">
        <f>COUNTBLANK(Metadata!B601:AC601)=COLUMNS(Metadata!B601:AC601)</f>
        <v>0</v>
      </c>
      <c r="AL601">
        <v>0</v>
      </c>
      <c r="AN601">
        <f>AND(IF(Metadata!B601="",FALSE,TRUE),COUNTIF(Metadata!B:B, Metadata!B601) = 1,NOT(ISERROR(SUMPRODUCT(SEARCH(MID(Metadata!B601,ROW(INDIRECT("1:"&amp;LEN(Metadata!B601))), 1),"0123456789abcdefghijklmnopqrstuvwxyzABCDEFGHIJKLMNOPQRSTUVWXYZ.")))))</f>
        <v>0</v>
      </c>
      <c r="AO601">
        <f>IF(Metadata!C601="",FALSE,TRUE)</f>
        <v>0</v>
      </c>
      <c r="AP601">
        <f>IF(Metadata!D601="",FALSE,TRUE)</f>
        <v>0</v>
      </c>
      <c r="AQ601">
        <f>OR(AND(IF(Metadata!E601="",FALSE,TRUE),OR(exact(Metadata!E601,"not collected"),exact(Metadata!E601,"not provided"),exact(Metadata!E601,"restricted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R601">
        <f>IF(Metadata!F601="",FALSE,TRUE)</f>
        <v>0</v>
      </c>
      <c r="AS601">
        <f>OR(AND(IF(Metadata!G601="",FALSE,TRUE),OR(exact(Metadata!G601,"not collected"),exact(Metadata!G601,"not provided"))),AND(IF(Metadata!G601="",FALSE,TRUE),OR(exact(Metadata!G601,"TRUE"),exact(Metadata!G601,"FALSE"))))</f>
        <v>0</v>
      </c>
      <c r="AT601">
        <f>OR(AND(IF(Metadata!H601="",FALSE,TRUE),OR(exact(Metadata!H601,"not collected"),exact(Metadata!H601,"not provided"),exact(Metadata!H601,"restricted access"))),AND(IF(Metadata!H601="",FALSE,ISNUMBER(VALUE(Metadata!H601))),Metadata!H601&gt;=-413.0))</f>
        <v>0</v>
      </c>
      <c r="AU601">
        <f>AND(IF(Metadata!I601="",FALSE,TRUE),exact(Metadata!I601,"meters"))</f>
        <v>0</v>
      </c>
      <c r="AV601">
        <f>AND(IF(Metadata!J601="",FALSE,TRUE),OR(exact(Metadata!J601,"Host-associated"),exact(Metadata!J601,"Free-living")))</f>
        <v>0</v>
      </c>
      <c r="AW601">
        <f>AND(IF(Metadata!K601="",FALSE,TRUE),OR(exact(Metadata!K601,"Animal"),exact(Metadata!K601,"Fungus"),exact(Metadata!K601,"Plant"),exact(Metadata!K601,"Saline"),exact(Metadata!K601,"Non-saline")))</f>
        <v>0</v>
      </c>
      <c r="AX601">
        <f>AND(IF(Metadata!L601="",FALSE,TRUE),OR(exact(Metadata!L601,"Plant secretion"),exact(Metadata!L601,"Plant rhizosphere"),exact(Metadata!L601,"Plant surface"),exact(Metadata!L601,"Plant corpus"),exact(Metadata!L601,"Fungus surface"),exact(Metadata!L601,"Fungus corpus"),exact(Metadata!L601,"Animal surface"),exact(Metadata!L601,"Animal proximal gut"),exact(Metadata!L601,"Animal corpus"),exact(Metadata!L601,"Animal distal gut"),exact(Metadata!L601,"Animal secretion"),exact(Metadata!L601,"Sub-surface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Y601">
        <f>IF(Metadata!M601="",FALSE,TRUE)</f>
        <v>0</v>
      </c>
      <c r="AZ601">
        <f>IF(Metadata!N601="",FALSE,TRUE)</f>
        <v>0</v>
      </c>
      <c r="BA601">
        <f>IF(Metadata!O601="",FALSE,TRUE)</f>
        <v>0</v>
      </c>
      <c r="BB601">
        <f>OR(AND(IF(Metadata!P601="",FALSE,TRUE),OR(exact(Metadata!P601,"not collected"),exact(Metadata!P601,"not provided"),exact(Metadata!P601,"restricted access"))),AND(IF(Metadata!P601="",FALSE,TRUE),OR(exact(Metadata!P601,"air"),exact(Metadata!P601,"built environment"),exact(Metadata!P601,"host-associated"),exact(Metadata!P601,"human-associated"),exact(Metadata!P601,"human-skin"),exact(Metadata!P601,"human-oral"),exact(Metadata!P601,"human-gut"),exact(Metadata!P601,"human-vaginal"),exact(Metadata!P601,"microbial mat/biofilm"),exact(Metadata!P601,"misc environment"),exact(Metadata!P601,"plant-associated"),exact(Metadata!P601,"sediment"),exact(Metadata!P601,"soil"),exact(Metadata!P601,"wastewater/sludge"),exact(Metadata!P601,"water"))))</f>
        <v>0</v>
      </c>
      <c r="BC601">
        <f>IF(Metadata!Q601="",FALSE,TRUE)</f>
        <v>0</v>
      </c>
      <c r="BD601">
        <f>IF(Metadata!R601="",FALSE,TRUE)</f>
        <v>0</v>
      </c>
      <c r="BE601">
        <f>OR(AND(IF(Metadata!S601="",FALSE,TRUE),OR(exact(Metadata!S601,"not collected"),exact(Metadata!S601,"not provided"),exact(Metadata!S601,"restricted access"))),AND(IF(Metadata!S601="",FALSE,ISNUMBER(VALUE(Metadata!S601))),Metadata!S601&gt;=-90.00,Metadata!S601&lt;=90.00))</f>
        <v>0</v>
      </c>
      <c r="BF601">
        <f>AND(IF(Metadata!T601="",FALSE,TRUE),exact(Metadata!T601,"Decimal degrees"))</f>
        <v>0</v>
      </c>
      <c r="BG601">
        <f>OR(AND(IF(Metadata!U601="",FALSE,TRUE),OR(exact(Metadata!U601,"not collected"),exact(Metadata!U601,"not provided"),exact(Metadata!U601,"restricted access"))),AND(IF(Metadata!U601="",FALSE,ISNUMBER(VALUE(Metadata!U601))),Metadata!U601&gt;=-180.00,Metadata!U601&lt;=180.00))</f>
        <v>0</v>
      </c>
      <c r="BH601">
        <f>AND(IF(Metadata!V601="",FALSE,TRUE),exact(Metadata!V601,"Decimal degrees"))</f>
        <v>0</v>
      </c>
      <c r="BI601">
        <f>IF(Metadata!W601="",FALSE,TRUE)</f>
        <v>0</v>
      </c>
      <c r="BJ601">
        <f>OR(AND(IF(Metadata!X601="",FALSE,TRUE),OR(exact(Metadata!X601,"not collected"),exact(Metadata!X601,"not provided"),exact(Metadata!X601,"restricted access"))),AND(IF(Metadata!X601="",FALSE,TRUE),OR(exact(Metadata!X601,"TRUE"),exact(Metadata!X601,"FALSE"))))</f>
        <v>0</v>
      </c>
      <c r="BK601">
        <f>AND(IF(Metadata!Y601="",FALSE,TRUE),exact(Metadata!Y601,"other"))</f>
        <v>0</v>
      </c>
      <c r="BL601">
        <f>IF(Metadata!Z601="",FALSE,TRUE)</f>
        <v>0</v>
      </c>
      <c r="BM601">
        <f>OR(AND(IF(Metadata!AA601="",FALSE,TRUE),OR(exact(Metadata!AA601,"not collected"),exact(Metadata!AA601,"not provided"))),AND(IF(Metadata!AA601="",FALSE,IF(ISERROR(INT(Metadata!AA601)),FALSE,INT(Metadata!AA601)=Metadata!AA601)),Metadata!AA601&gt;0))</f>
        <v>0</v>
      </c>
      <c r="BN601">
        <f>AND(IF(Metadata!AB601="",FALSE,TRUE),exact(Metadata!AB601,"Not applicable"))</f>
        <v>0</v>
      </c>
      <c r="BO601">
        <f>IF(Metadata!AC601="",FALSE,TRUE)</f>
        <v>0</v>
      </c>
    </row>
    <row r="602" spans="1:67">
      <c r="A602" s="5">
        <f>IF(B602=" "," ",HYPERLINK(CONCATENATE("#metadata!",ADDRESS(INDEX($AI$2:$AI$1001,MATCH(ROWS($AG$2:AG602),$AG$2:$AG$1001,0),0),1)),INDEX($AL$2:$AL$1001,MATCH(ROWS($AG$2:AG602),$AG$2:$AG$1001,0),0)))</f>
        <v>0</v>
      </c>
      <c r="B602" s="4">
        <f>IF(OR(INDEX($AH$2:$AH$1001,MATCH(ROWS($AG$2:AG602),$AG$2:$AG$1001,0),1)&gt;=100000,INDEX($AN$1005:$BO$1005,1,MATCH(COLUMNS($AN$1006:AN1006),$AN$1006:$BO$1006,0))&gt;=100000), " ",IF(INDEX($AN$2:$BO$1001,MATCH(ROWS($AG$2:AG602),$AG$2:$AG$1001,0),MATCH(COLUMNS($AN$1006:AN1006),$AN$1006:$BO$1006,0)), HYPERLINK("#",""), HYPERLINK(CONCATENATE("#Metadata!", ADDRESS(INDEX($AI$2:$AI$1001,MATCH(ROWS($AG$2:AG602),$AG$2:$AG$1001,0),0), INDEX($AN$1004:$BO$1004,1,MATCH(COLUMNS($AN$1006:AN1006),$AN$1006:$BO$1006,0)))),"Fix")))</f>
        <v>0</v>
      </c>
      <c r="C602" s="4">
        <f>IF(OR(INDEX($AH$2:$AH$1001,MATCH(ROWS($AG$2:AG602),$AG$2:$AG$1001,0),1)&gt;=100000,INDEX($AN$1005:$BO$1005,1,MATCH(COLUMNS($AN$1006:AO1006),$AN$1006:$BO$1006,0))&gt;=100000), " ",IF(INDEX($AN$2:$BO$1001,MATCH(ROWS($AG$2:AG602),$AG$2:$AG$1001,0),MATCH(COLUMNS($AN$1006:AO1006),$AN$1006:$BO$1006,0)), HYPERLINK("#",""), HYPERLINK(CONCATENATE("#Metadata!", ADDRESS(INDEX($AI$2:$AI$1001,MATCH(ROWS($AG$2:AG602),$AG$2:$AG$1001,0),0), INDEX($AN$1004:$BO$1004,1,MATCH(COLUMNS($AN$1006:AO1006),$AN$1006:$BO$1006,0)))),"Fix")))</f>
        <v>0</v>
      </c>
      <c r="D602" s="4">
        <f>IF(OR(INDEX($AH$2:$AH$1001,MATCH(ROWS($AG$2:AG602),$AG$2:$AG$1001,0),1)&gt;=100000,INDEX($AN$1005:$BO$1005,1,MATCH(COLUMNS($AN$1006:AP1006),$AN$1006:$BO$1006,0))&gt;=100000), " ",IF(INDEX($AN$2:$BO$1001,MATCH(ROWS($AG$2:AG602),$AG$2:$AG$1001,0),MATCH(COLUMNS($AN$1006:AP1006),$AN$1006:$BO$1006,0)), HYPERLINK("#",""), HYPERLINK(CONCATENATE("#Metadata!", ADDRESS(INDEX($AI$2:$AI$1001,MATCH(ROWS($AG$2:AG602),$AG$2:$AG$1001,0),0), INDEX($AN$1004:$BO$1004,1,MATCH(COLUMNS($AN$1006:AP1006),$AN$1006:$BO$1006,0)))),"Fix")))</f>
        <v>0</v>
      </c>
      <c r="E602" s="4">
        <f>IF(OR(INDEX($AH$2:$AH$1001,MATCH(ROWS($AG$2:AG602),$AG$2:$AG$1001,0),1)&gt;=100000,INDEX($AN$1005:$BO$1005,1,MATCH(COLUMNS($AN$1006:AQ1006),$AN$1006:$BO$1006,0))&gt;=100000), " ",IF(INDEX($AN$2:$BO$1001,MATCH(ROWS($AG$2:AG602),$AG$2:$AG$1001,0),MATCH(COLUMNS($AN$1006:AQ1006),$AN$1006:$BO$1006,0)), HYPERLINK("#",""), HYPERLINK(CONCATENATE("#Metadata!", ADDRESS(INDEX($AI$2:$AI$1001,MATCH(ROWS($AG$2:AG602),$AG$2:$AG$1001,0),0), INDEX($AN$1004:$BO$1004,1,MATCH(COLUMNS($AN$1006:AQ1006),$AN$1006:$BO$1006,0)))),"Fix")))</f>
        <v>0</v>
      </c>
      <c r="F602" s="4">
        <f>IF(OR(INDEX($AH$2:$AH$1001,MATCH(ROWS($AG$2:AG602),$AG$2:$AG$1001,0),1)&gt;=100000,INDEX($AN$1005:$BO$1005,1,MATCH(COLUMNS($AN$1006:AR1006),$AN$1006:$BO$1006,0))&gt;=100000), " ",IF(INDEX($AN$2:$BO$1001,MATCH(ROWS($AG$2:AG602),$AG$2:$AG$1001,0),MATCH(COLUMNS($AN$1006:AR1006),$AN$1006:$BO$1006,0)), HYPERLINK("#",""), HYPERLINK(CONCATENATE("#Metadata!", ADDRESS(INDEX($AI$2:$AI$1001,MATCH(ROWS($AG$2:AG602),$AG$2:$AG$1001,0),0), INDEX($AN$1004:$BO$1004,1,MATCH(COLUMNS($AN$1006:AR1006),$AN$1006:$BO$1006,0)))),"Fix")))</f>
        <v>0</v>
      </c>
      <c r="G602" s="4">
        <f>IF(OR(INDEX($AH$2:$AH$1001,MATCH(ROWS($AG$2:AG602),$AG$2:$AG$1001,0),1)&gt;=100000,INDEX($AN$1005:$BO$1005,1,MATCH(COLUMNS($AN$1006:AS1006),$AN$1006:$BO$1006,0))&gt;=100000), " ",IF(INDEX($AN$2:$BO$1001,MATCH(ROWS($AG$2:AG602),$AG$2:$AG$1001,0),MATCH(COLUMNS($AN$1006:AS1006),$AN$1006:$BO$1006,0)), HYPERLINK("#",""), HYPERLINK(CONCATENATE("#Metadata!", ADDRESS(INDEX($AI$2:$AI$1001,MATCH(ROWS($AG$2:AG602),$AG$2:$AG$1001,0),0), INDEX($AN$1004:$BO$1004,1,MATCH(COLUMNS($AN$1006:AS1006),$AN$1006:$BO$1006,0)))),"Fix")))</f>
        <v>0</v>
      </c>
      <c r="H602" s="4">
        <f>IF(OR(INDEX($AH$2:$AH$1001,MATCH(ROWS($AG$2:AG602),$AG$2:$AG$1001,0),1)&gt;=100000,INDEX($AN$1005:$BO$1005,1,MATCH(COLUMNS($AN$1006:AT1006),$AN$1006:$BO$1006,0))&gt;=100000), " ",IF(INDEX($AN$2:$BO$1001,MATCH(ROWS($AG$2:AG602),$AG$2:$AG$1001,0),MATCH(COLUMNS($AN$1006:AT1006),$AN$1006:$BO$1006,0)), HYPERLINK("#",""), HYPERLINK(CONCATENATE("#Metadata!", ADDRESS(INDEX($AI$2:$AI$1001,MATCH(ROWS($AG$2:AG602),$AG$2:$AG$1001,0),0), INDEX($AN$1004:$BO$1004,1,MATCH(COLUMNS($AN$1006:AT1006),$AN$1006:$BO$1006,0)))),"Fix")))</f>
        <v>0</v>
      </c>
      <c r="I602" s="4">
        <f>IF(OR(INDEX($AH$2:$AH$1001,MATCH(ROWS($AG$2:AG602),$AG$2:$AG$1001,0),1)&gt;=100000,INDEX($AN$1005:$BO$1005,1,MATCH(COLUMNS($AN$1006:AU1006),$AN$1006:$BO$1006,0))&gt;=100000), " ",IF(INDEX($AN$2:$BO$1001,MATCH(ROWS($AG$2:AG602),$AG$2:$AG$1001,0),MATCH(COLUMNS($AN$1006:AU1006),$AN$1006:$BO$1006,0)), HYPERLINK("#",""), HYPERLINK(CONCATENATE("#Metadata!", ADDRESS(INDEX($AI$2:$AI$1001,MATCH(ROWS($AG$2:AG602),$AG$2:$AG$1001,0),0), INDEX($AN$1004:$BO$1004,1,MATCH(COLUMNS($AN$1006:AU1006),$AN$1006:$BO$1006,0)))),"Fix")))</f>
        <v>0</v>
      </c>
      <c r="J602" s="4">
        <f>IF(OR(INDEX($AH$2:$AH$1001,MATCH(ROWS($AG$2:AG602),$AG$2:$AG$1001,0),1)&gt;=100000,INDEX($AN$1005:$BO$1005,1,MATCH(COLUMNS($AN$1006:AV1006),$AN$1006:$BO$1006,0))&gt;=100000), " ",IF(INDEX($AN$2:$BO$1001,MATCH(ROWS($AG$2:AG602),$AG$2:$AG$1001,0),MATCH(COLUMNS($AN$1006:AV1006),$AN$1006:$BO$1006,0)), HYPERLINK("#",""), HYPERLINK(CONCATENATE("#Metadata!", ADDRESS(INDEX($AI$2:$AI$1001,MATCH(ROWS($AG$2:AG602),$AG$2:$AG$1001,0),0), INDEX($AN$1004:$BO$1004,1,MATCH(COLUMNS($AN$1006:AV1006),$AN$1006:$BO$1006,0)))),"Fix")))</f>
        <v>0</v>
      </c>
      <c r="K602" s="4">
        <f>IF(OR(INDEX($AH$2:$AH$1001,MATCH(ROWS($AG$2:AG602),$AG$2:$AG$1001,0),1)&gt;=100000,INDEX($AN$1005:$BO$1005,1,MATCH(COLUMNS($AN$1006:AW1006),$AN$1006:$BO$1006,0))&gt;=100000), " ",IF(INDEX($AN$2:$BO$1001,MATCH(ROWS($AG$2:AG602),$AG$2:$AG$1001,0),MATCH(COLUMNS($AN$1006:AW1006),$AN$1006:$BO$1006,0)), HYPERLINK("#",""), HYPERLINK(CONCATENATE("#Metadata!", ADDRESS(INDEX($AI$2:$AI$1001,MATCH(ROWS($AG$2:AG602),$AG$2:$AG$1001,0),0), INDEX($AN$1004:$BO$1004,1,MATCH(COLUMNS($AN$1006:AW1006),$AN$1006:$BO$1006,0)))),"Fix")))</f>
        <v>0</v>
      </c>
      <c r="L602" s="4">
        <f>IF(OR(INDEX($AH$2:$AH$1001,MATCH(ROWS($AG$2:AG602),$AG$2:$AG$1001,0),1)&gt;=100000,INDEX($AN$1005:$BO$1005,1,MATCH(COLUMNS($AN$1006:AX1006),$AN$1006:$BO$1006,0))&gt;=100000), " ",IF(INDEX($AN$2:$BO$1001,MATCH(ROWS($AG$2:AG602),$AG$2:$AG$1001,0),MATCH(COLUMNS($AN$1006:AX1006),$AN$1006:$BO$1006,0)), HYPERLINK("#",""), HYPERLINK(CONCATENATE("#Metadata!", ADDRESS(INDEX($AI$2:$AI$1001,MATCH(ROWS($AG$2:AG602),$AG$2:$AG$1001,0),0), INDEX($AN$1004:$BO$1004,1,MATCH(COLUMNS($AN$1006:AX1006),$AN$1006:$BO$1006,0)))),"Fix")))</f>
        <v>0</v>
      </c>
      <c r="M602" s="4">
        <f>IF(OR(INDEX($AH$2:$AH$1001,MATCH(ROWS($AG$2:AG602),$AG$2:$AG$1001,0),1)&gt;=100000,INDEX($AN$1005:$BO$1005,1,MATCH(COLUMNS($AN$1006:AY1006),$AN$1006:$BO$1006,0))&gt;=100000), " ",IF(INDEX($AN$2:$BO$1001,MATCH(ROWS($AG$2:AG602),$AG$2:$AG$1001,0),MATCH(COLUMNS($AN$1006:AY1006),$AN$1006:$BO$1006,0)), HYPERLINK("#",""), HYPERLINK(CONCATENATE("#Metadata!", ADDRESS(INDEX($AI$2:$AI$1001,MATCH(ROWS($AG$2:AG602),$AG$2:$AG$1001,0),0), INDEX($AN$1004:$BO$1004,1,MATCH(COLUMNS($AN$1006:AY1006),$AN$1006:$BO$1006,0)))),"Fix")))</f>
        <v>0</v>
      </c>
      <c r="N602" s="4">
        <f>IF(OR(INDEX($AH$2:$AH$1001,MATCH(ROWS($AG$2:AG602),$AG$2:$AG$1001,0),1)&gt;=100000,INDEX($AN$1005:$BO$1005,1,MATCH(COLUMNS($AN$1006:AZ1006),$AN$1006:$BO$1006,0))&gt;=100000), " ",IF(INDEX($AN$2:$BO$1001,MATCH(ROWS($AG$2:AG602),$AG$2:$AG$1001,0),MATCH(COLUMNS($AN$1006:AZ1006),$AN$1006:$BO$1006,0)), HYPERLINK("#",""), HYPERLINK(CONCATENATE("#Metadata!", ADDRESS(INDEX($AI$2:$AI$1001,MATCH(ROWS($AG$2:AG602),$AG$2:$AG$1001,0),0), INDEX($AN$1004:$BO$1004,1,MATCH(COLUMNS($AN$1006:AZ1006),$AN$1006:$BO$1006,0)))),"Fix")))</f>
        <v>0</v>
      </c>
      <c r="O602" s="4">
        <f>IF(OR(INDEX($AH$2:$AH$1001,MATCH(ROWS($AG$2:AG602),$AG$2:$AG$1001,0),1)&gt;=100000,INDEX($AN$1005:$BO$1005,1,MATCH(COLUMNS($AN$1006:BA1006),$AN$1006:$BO$1006,0))&gt;=100000), " ",IF(INDEX($AN$2:$BO$1001,MATCH(ROWS($AG$2:AG602),$AG$2:$AG$1001,0),MATCH(COLUMNS($AN$1006:BA1006),$AN$1006:$BO$1006,0)), HYPERLINK("#",""), HYPERLINK(CONCATENATE("#Metadata!", ADDRESS(INDEX($AI$2:$AI$1001,MATCH(ROWS($AG$2:AG602),$AG$2:$AG$1001,0),0), INDEX($AN$1004:$BO$1004,1,MATCH(COLUMNS($AN$1006:BA1006),$AN$1006:$BO$1006,0)))),"Fix")))</f>
        <v>0</v>
      </c>
      <c r="P602" s="4">
        <f>IF(OR(INDEX($AH$2:$AH$1001,MATCH(ROWS($AG$2:AG602),$AG$2:$AG$1001,0),1)&gt;=100000,INDEX($AN$1005:$BO$1005,1,MATCH(COLUMNS($AN$1006:BB1006),$AN$1006:$BO$1006,0))&gt;=100000), " ",IF(INDEX($AN$2:$BO$1001,MATCH(ROWS($AG$2:AG602),$AG$2:$AG$1001,0),MATCH(COLUMNS($AN$1006:BB1006),$AN$1006:$BO$1006,0)), HYPERLINK("#",""), HYPERLINK(CONCATENATE("#Metadata!", ADDRESS(INDEX($AI$2:$AI$1001,MATCH(ROWS($AG$2:AG602),$AG$2:$AG$1001,0),0), INDEX($AN$1004:$BO$1004,1,MATCH(COLUMNS($AN$1006:BB1006),$AN$1006:$BO$1006,0)))),"Fix")))</f>
        <v>0</v>
      </c>
      <c r="Q602" s="4">
        <f>IF(OR(INDEX($AH$2:$AH$1001,MATCH(ROWS($AG$2:AG602),$AG$2:$AG$1001,0),1)&gt;=100000,INDEX($AN$1005:$BO$1005,1,MATCH(COLUMNS($AN$1006:BC1006),$AN$1006:$BO$1006,0))&gt;=100000), " ",IF(INDEX($AN$2:$BO$1001,MATCH(ROWS($AG$2:AG602),$AG$2:$AG$1001,0),MATCH(COLUMNS($AN$1006:BC1006),$AN$1006:$BO$1006,0)), HYPERLINK("#",""), HYPERLINK(CONCATENATE("#Metadata!", ADDRESS(INDEX($AI$2:$AI$1001,MATCH(ROWS($AG$2:AG602),$AG$2:$AG$1001,0),0), INDEX($AN$1004:$BO$1004,1,MATCH(COLUMNS($AN$1006:BC1006),$AN$1006:$BO$1006,0)))),"Fix")))</f>
        <v>0</v>
      </c>
      <c r="R602" s="4">
        <f>IF(OR(INDEX($AH$2:$AH$1001,MATCH(ROWS($AG$2:AG602),$AG$2:$AG$1001,0),1)&gt;=100000,INDEX($AN$1005:$BO$1005,1,MATCH(COLUMNS($AN$1006:BD1006),$AN$1006:$BO$1006,0))&gt;=100000), " ",IF(INDEX($AN$2:$BO$1001,MATCH(ROWS($AG$2:AG602),$AG$2:$AG$1001,0),MATCH(COLUMNS($AN$1006:BD1006),$AN$1006:$BO$1006,0)), HYPERLINK("#",""), HYPERLINK(CONCATENATE("#Metadata!", ADDRESS(INDEX($AI$2:$AI$1001,MATCH(ROWS($AG$2:AG602),$AG$2:$AG$1001,0),0), INDEX($AN$1004:$BO$1004,1,MATCH(COLUMNS($AN$1006:BD1006),$AN$1006:$BO$1006,0)))),"Fix")))</f>
        <v>0</v>
      </c>
      <c r="S602" s="4">
        <f>IF(OR(INDEX($AH$2:$AH$1001,MATCH(ROWS($AG$2:AG602),$AG$2:$AG$1001,0),1)&gt;=100000,INDEX($AN$1005:$BO$1005,1,MATCH(COLUMNS($AN$1006:BE1006),$AN$1006:$BO$1006,0))&gt;=100000), " ",IF(INDEX($AN$2:$BO$1001,MATCH(ROWS($AG$2:AG602),$AG$2:$AG$1001,0),MATCH(COLUMNS($AN$1006:BE1006),$AN$1006:$BO$1006,0)), HYPERLINK("#",""), HYPERLINK(CONCATENATE("#Metadata!", ADDRESS(INDEX($AI$2:$AI$1001,MATCH(ROWS($AG$2:AG602),$AG$2:$AG$1001,0),0), INDEX($AN$1004:$BO$1004,1,MATCH(COLUMNS($AN$1006:BE1006),$AN$1006:$BO$1006,0)))),"Fix")))</f>
        <v>0</v>
      </c>
      <c r="T602" s="4">
        <f>IF(OR(INDEX($AH$2:$AH$1001,MATCH(ROWS($AG$2:AG602),$AG$2:$AG$1001,0),1)&gt;=100000,INDEX($AN$1005:$BO$1005,1,MATCH(COLUMNS($AN$1006:BF1006),$AN$1006:$BO$1006,0))&gt;=100000), " ",IF(INDEX($AN$2:$BO$1001,MATCH(ROWS($AG$2:AG602),$AG$2:$AG$1001,0),MATCH(COLUMNS($AN$1006:BF1006),$AN$1006:$BO$1006,0)), HYPERLINK("#",""), HYPERLINK(CONCATENATE("#Metadata!", ADDRESS(INDEX($AI$2:$AI$1001,MATCH(ROWS($AG$2:AG602),$AG$2:$AG$1001,0),0), INDEX($AN$1004:$BO$1004,1,MATCH(COLUMNS($AN$1006:BF1006),$AN$1006:$BO$1006,0)))),"Fix")))</f>
        <v>0</v>
      </c>
      <c r="U602" s="4">
        <f>IF(OR(INDEX($AH$2:$AH$1001,MATCH(ROWS($AG$2:AG602),$AG$2:$AG$1001,0),1)&gt;=100000,INDEX($AN$1005:$BO$1005,1,MATCH(COLUMNS($AN$1006:BG1006),$AN$1006:$BO$1006,0))&gt;=100000), " ",IF(INDEX($AN$2:$BO$1001,MATCH(ROWS($AG$2:AG602),$AG$2:$AG$1001,0),MATCH(COLUMNS($AN$1006:BG1006),$AN$1006:$BO$1006,0)), HYPERLINK("#",""), HYPERLINK(CONCATENATE("#Metadata!", ADDRESS(INDEX($AI$2:$AI$1001,MATCH(ROWS($AG$2:AG602),$AG$2:$AG$1001,0),0), INDEX($AN$1004:$BO$1004,1,MATCH(COLUMNS($AN$1006:BG1006),$AN$1006:$BO$1006,0)))),"Fix")))</f>
        <v>0</v>
      </c>
      <c r="V602" s="4">
        <f>IF(OR(INDEX($AH$2:$AH$1001,MATCH(ROWS($AG$2:AG602),$AG$2:$AG$1001,0),1)&gt;=100000,INDEX($AN$1005:$BO$1005,1,MATCH(COLUMNS($AN$1006:BH1006),$AN$1006:$BO$1006,0))&gt;=100000), " ",IF(INDEX($AN$2:$BO$1001,MATCH(ROWS($AG$2:AG602),$AG$2:$AG$1001,0),MATCH(COLUMNS($AN$1006:BH1006),$AN$1006:$BO$1006,0)), HYPERLINK("#",""), HYPERLINK(CONCATENATE("#Metadata!", ADDRESS(INDEX($AI$2:$AI$1001,MATCH(ROWS($AG$2:AG602),$AG$2:$AG$1001,0),0), INDEX($AN$1004:$BO$1004,1,MATCH(COLUMNS($AN$1006:BH1006),$AN$1006:$BO$1006,0)))),"Fix")))</f>
        <v>0</v>
      </c>
      <c r="W602" s="4">
        <f>IF(OR(INDEX($AH$2:$AH$1001,MATCH(ROWS($AG$2:AG602),$AG$2:$AG$1001,0),1)&gt;=100000,INDEX($AN$1005:$BO$1005,1,MATCH(COLUMNS($AN$1006:BI1006),$AN$1006:$BO$1006,0))&gt;=100000), " ",IF(INDEX($AN$2:$BO$1001,MATCH(ROWS($AG$2:AG602),$AG$2:$AG$1001,0),MATCH(COLUMNS($AN$1006:BI1006),$AN$1006:$BO$1006,0)), HYPERLINK("#",""), HYPERLINK(CONCATENATE("#Metadata!", ADDRESS(INDEX($AI$2:$AI$1001,MATCH(ROWS($AG$2:AG602),$AG$2:$AG$1001,0),0), INDEX($AN$1004:$BO$1004,1,MATCH(COLUMNS($AN$1006:BI1006),$AN$1006:$BO$1006,0)))),"Fix")))</f>
        <v>0</v>
      </c>
      <c r="X602" s="4">
        <f>IF(OR(INDEX($AH$2:$AH$1001,MATCH(ROWS($AG$2:AG602),$AG$2:$AG$1001,0),1)&gt;=100000,INDEX($AN$1005:$BO$1005,1,MATCH(COLUMNS($AN$1006:BJ1006),$AN$1006:$BO$1006,0))&gt;=100000), " ",IF(INDEX($AN$2:$BO$1001,MATCH(ROWS($AG$2:AG602),$AG$2:$AG$1001,0),MATCH(COLUMNS($AN$1006:BJ1006),$AN$1006:$BO$1006,0)), HYPERLINK("#",""), HYPERLINK(CONCATENATE("#Metadata!", ADDRESS(INDEX($AI$2:$AI$1001,MATCH(ROWS($AG$2:AG602),$AG$2:$AG$1001,0),0), INDEX($AN$1004:$BO$1004,1,MATCH(COLUMNS($AN$1006:BJ1006),$AN$1006:$BO$1006,0)))),"Fix")))</f>
        <v>0</v>
      </c>
      <c r="Y602" s="4">
        <f>IF(OR(INDEX($AH$2:$AH$1001,MATCH(ROWS($AG$2:AG602),$AG$2:$AG$1001,0),1)&gt;=100000,INDEX($AN$1005:$BO$1005,1,MATCH(COLUMNS($AN$1006:BK1006),$AN$1006:$BO$1006,0))&gt;=100000), " ",IF(INDEX($AN$2:$BO$1001,MATCH(ROWS($AG$2:AG602),$AG$2:$AG$1001,0),MATCH(COLUMNS($AN$1006:BK1006),$AN$1006:$BO$1006,0)), HYPERLINK("#",""), HYPERLINK(CONCATENATE("#Metadata!", ADDRESS(INDEX($AI$2:$AI$1001,MATCH(ROWS($AG$2:AG602),$AG$2:$AG$1001,0),0), INDEX($AN$1004:$BO$1004,1,MATCH(COLUMNS($AN$1006:BK1006),$AN$1006:$BO$1006,0)))),"Fix")))</f>
        <v>0</v>
      </c>
      <c r="Z602" s="4">
        <f>IF(OR(INDEX($AH$2:$AH$1001,MATCH(ROWS($AG$2:AG602),$AG$2:$AG$1001,0),1)&gt;=100000,INDEX($AN$1005:$BO$1005,1,MATCH(COLUMNS($AN$1006:BL1006),$AN$1006:$BO$1006,0))&gt;=100000), " ",IF(INDEX($AN$2:$BO$1001,MATCH(ROWS($AG$2:AG602),$AG$2:$AG$1001,0),MATCH(COLUMNS($AN$1006:BL1006),$AN$1006:$BO$1006,0)), HYPERLINK("#",""), HYPERLINK(CONCATENATE("#Metadata!", ADDRESS(INDEX($AI$2:$AI$1001,MATCH(ROWS($AG$2:AG602),$AG$2:$AG$1001,0),0), INDEX($AN$1004:$BO$1004,1,MATCH(COLUMNS($AN$1006:BL1006),$AN$1006:$BO$1006,0)))),"Fix")))</f>
        <v>0</v>
      </c>
      <c r="AA602" s="4">
        <f>IF(OR(INDEX($AH$2:$AH$1001,MATCH(ROWS($AG$2:AG602),$AG$2:$AG$1001,0),1)&gt;=100000,INDEX($AN$1005:$BO$1005,1,MATCH(COLUMNS($AN$1006:BM1006),$AN$1006:$BO$1006,0))&gt;=100000), " ",IF(INDEX($AN$2:$BO$1001,MATCH(ROWS($AG$2:AG602),$AG$2:$AG$1001,0),MATCH(COLUMNS($AN$1006:BM1006),$AN$1006:$BO$1006,0)), HYPERLINK("#",""), HYPERLINK(CONCATENATE("#Metadata!", ADDRESS(INDEX($AI$2:$AI$1001,MATCH(ROWS($AG$2:AG602),$AG$2:$AG$1001,0),0), INDEX($AN$1004:$BO$1004,1,MATCH(COLUMNS($AN$1006:BM1006),$AN$1006:$BO$1006,0)))),"Fix")))</f>
        <v>0</v>
      </c>
      <c r="AB602" s="4">
        <f>IF(OR(INDEX($AH$2:$AH$1001,MATCH(ROWS($AG$2:AG602),$AG$2:$AG$1001,0),1)&gt;=100000,INDEX($AN$1005:$BO$1005,1,MATCH(COLUMNS($AN$1006:BN1006),$AN$1006:$BO$1006,0))&gt;=100000), " ",IF(INDEX($AN$2:$BO$1001,MATCH(ROWS($AG$2:AG602),$AG$2:$AG$1001,0),MATCH(COLUMNS($AN$1006:BN1006),$AN$1006:$BO$1006,0)), HYPERLINK("#",""), HYPERLINK(CONCATENATE("#Metadata!", ADDRESS(INDEX($AI$2:$AI$1001,MATCH(ROWS($AG$2:AG602),$AG$2:$AG$1001,0),0), INDEX($AN$1004:$BO$1004,1,MATCH(COLUMNS($AN$1006:BN1006),$AN$1006:$BO$1006,0)))),"Fix")))</f>
        <v>0</v>
      </c>
      <c r="AC602" s="4">
        <f>IF(OR(INDEX($AH$2:$AH$1001,MATCH(ROWS($AG$2:AG602),$AG$2:$AG$1001,0),1)&gt;=100000,INDEX($AN$1005:$BO$1005,1,MATCH(COLUMNS($AN$1006:BO1006),$AN$1006:$BO$1006,0))&gt;=100000), " ",IF(INDEX($AN$2:$BO$1001,MATCH(ROWS($AG$2:AG602),$AG$2:$AG$1001,0),MATCH(COLUMNS($AN$1006:BO1006),$AN$1006:$BO$1006,0)), HYPERLINK("#",""), HYPERLINK(CONCATENATE("#Metadata!", ADDRESS(INDEX($AI$2:$AI$1001,MATCH(ROWS($AG$2:AG602),$AG$2:$AG$1001,0),0), INDEX($AN$1004:$BO$1004,1,MATCH(COLUMNS($AN$1006:BO1006),$AN$1006:$BO$1006,0)))),"Fix")))</f>
        <v>0</v>
      </c>
      <c r="AG602">
        <v>0</v>
      </c>
      <c r="AH602">
        <v>0</v>
      </c>
      <c r="AI602">
        <v>0</v>
      </c>
      <c r="AJ602">
        <f>IF(AK602,TRUE,AND(AN602:BO602))</f>
        <v>0</v>
      </c>
      <c r="AK602">
        <f>COUNTBLANK(Metadata!B602:AC602)=COLUMNS(Metadata!B602:AC602)</f>
        <v>0</v>
      </c>
      <c r="AL602">
        <v>0</v>
      </c>
      <c r="AN602">
        <f>AND(IF(Metadata!B602="",FALSE,TRUE),COUNTIF(Metadata!B:B, Metadata!B602) = 1,NOT(ISERROR(SUMPRODUCT(SEARCH(MID(Metadata!B602,ROW(INDIRECT("1:"&amp;LEN(Metadata!B602))), 1),"0123456789abcdefghijklmnopqrstuvwxyzABCDEFGHIJKLMNOPQRSTUVWXYZ.")))))</f>
        <v>0</v>
      </c>
      <c r="AO602">
        <f>IF(Metadata!C602="",FALSE,TRUE)</f>
        <v>0</v>
      </c>
      <c r="AP602">
        <f>IF(Metadata!D602="",FALSE,TRUE)</f>
        <v>0</v>
      </c>
      <c r="AQ602">
        <f>OR(AND(IF(Metadata!E602="",FALSE,TRUE),OR(exact(Metadata!E602,"not collected"),exact(Metadata!E602,"not provided"),exact(Metadata!E602,"restricted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R602">
        <f>IF(Metadata!F602="",FALSE,TRUE)</f>
        <v>0</v>
      </c>
      <c r="AS602">
        <f>OR(AND(IF(Metadata!G602="",FALSE,TRUE),OR(exact(Metadata!G602,"not collected"),exact(Metadata!G602,"not provided"))),AND(IF(Metadata!G602="",FALSE,TRUE),OR(exact(Metadata!G602,"TRUE"),exact(Metadata!G602,"FALSE"))))</f>
        <v>0</v>
      </c>
      <c r="AT602">
        <f>OR(AND(IF(Metadata!H602="",FALSE,TRUE),OR(exact(Metadata!H602,"not collected"),exact(Metadata!H602,"not provided"),exact(Metadata!H602,"restricted access"))),AND(IF(Metadata!H602="",FALSE,ISNUMBER(VALUE(Metadata!H602))),Metadata!H602&gt;=-413.0))</f>
        <v>0</v>
      </c>
      <c r="AU602">
        <f>AND(IF(Metadata!I602="",FALSE,TRUE),exact(Metadata!I602,"meters"))</f>
        <v>0</v>
      </c>
      <c r="AV602">
        <f>AND(IF(Metadata!J602="",FALSE,TRUE),OR(exact(Metadata!J602,"Host-associated"),exact(Metadata!J602,"Free-living")))</f>
        <v>0</v>
      </c>
      <c r="AW602">
        <f>AND(IF(Metadata!K602="",FALSE,TRUE),OR(exact(Metadata!K602,"Animal"),exact(Metadata!K602,"Fungus"),exact(Metadata!K602,"Plant"),exact(Metadata!K602,"Saline"),exact(Metadata!K602,"Non-saline")))</f>
        <v>0</v>
      </c>
      <c r="AX602">
        <f>AND(IF(Metadata!L602="",FALSE,TRUE),OR(exact(Metadata!L602,"Plant secretion"),exact(Metadata!L602,"Plant rhizosphere"),exact(Metadata!L602,"Plant surface"),exact(Metadata!L602,"Plant corpus"),exact(Metadata!L602,"Fungus surface"),exact(Metadata!L602,"Fungus corpus"),exact(Metadata!L602,"Animal surface"),exact(Metadata!L602,"Animal proximal gut"),exact(Metadata!L602,"Animal corpus"),exact(Metadata!L602,"Animal distal gut"),exact(Metadata!L602,"Animal secretion"),exact(Metadata!L602,"Sub-surface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Y602">
        <f>IF(Metadata!M602="",FALSE,TRUE)</f>
        <v>0</v>
      </c>
      <c r="AZ602">
        <f>IF(Metadata!N602="",FALSE,TRUE)</f>
        <v>0</v>
      </c>
      <c r="BA602">
        <f>IF(Metadata!O602="",FALSE,TRUE)</f>
        <v>0</v>
      </c>
      <c r="BB602">
        <f>OR(AND(IF(Metadata!P602="",FALSE,TRUE),OR(exact(Metadata!P602,"not collected"),exact(Metadata!P602,"not provided"),exact(Metadata!P602,"restricted access"))),AND(IF(Metadata!P602="",FALSE,TRUE),OR(exact(Metadata!P602,"air"),exact(Metadata!P602,"built environment"),exact(Metadata!P602,"host-associated"),exact(Metadata!P602,"human-associated"),exact(Metadata!P602,"human-skin"),exact(Metadata!P602,"human-oral"),exact(Metadata!P602,"human-gut"),exact(Metadata!P602,"human-vaginal"),exact(Metadata!P602,"microbial mat/biofilm"),exact(Metadata!P602,"misc environment"),exact(Metadata!P602,"plant-associated"),exact(Metadata!P602,"sediment"),exact(Metadata!P602,"soil"),exact(Metadata!P602,"wastewater/sludge"),exact(Metadata!P602,"water"))))</f>
        <v>0</v>
      </c>
      <c r="BC602">
        <f>IF(Metadata!Q602="",FALSE,TRUE)</f>
        <v>0</v>
      </c>
      <c r="BD602">
        <f>IF(Metadata!R602="",FALSE,TRUE)</f>
        <v>0</v>
      </c>
      <c r="BE602">
        <f>OR(AND(IF(Metadata!S602="",FALSE,TRUE),OR(exact(Metadata!S602,"not collected"),exact(Metadata!S602,"not provided"),exact(Metadata!S602,"restricted access"))),AND(IF(Metadata!S602="",FALSE,ISNUMBER(VALUE(Metadata!S602))),Metadata!S602&gt;=-90.00,Metadata!S602&lt;=90.00))</f>
        <v>0</v>
      </c>
      <c r="BF602">
        <f>AND(IF(Metadata!T602="",FALSE,TRUE),exact(Metadata!T602,"Decimal degrees"))</f>
        <v>0</v>
      </c>
      <c r="BG602">
        <f>OR(AND(IF(Metadata!U602="",FALSE,TRUE),OR(exact(Metadata!U602,"not collected"),exact(Metadata!U602,"not provided"),exact(Metadata!U602,"restricted access"))),AND(IF(Metadata!U602="",FALSE,ISNUMBER(VALUE(Metadata!U602))),Metadata!U602&gt;=-180.00,Metadata!U602&lt;=180.00))</f>
        <v>0</v>
      </c>
      <c r="BH602">
        <f>AND(IF(Metadata!V602="",FALSE,TRUE),exact(Metadata!V602,"Decimal degrees"))</f>
        <v>0</v>
      </c>
      <c r="BI602">
        <f>IF(Metadata!W602="",FALSE,TRUE)</f>
        <v>0</v>
      </c>
      <c r="BJ602">
        <f>OR(AND(IF(Metadata!X602="",FALSE,TRUE),OR(exact(Metadata!X602,"not collected"),exact(Metadata!X602,"not provided"),exact(Metadata!X602,"restricted access"))),AND(IF(Metadata!X602="",FALSE,TRUE),OR(exact(Metadata!X602,"TRUE"),exact(Metadata!X602,"FALSE"))))</f>
        <v>0</v>
      </c>
      <c r="BK602">
        <f>AND(IF(Metadata!Y602="",FALSE,TRUE),exact(Metadata!Y602,"other"))</f>
        <v>0</v>
      </c>
      <c r="BL602">
        <f>IF(Metadata!Z602="",FALSE,TRUE)</f>
        <v>0</v>
      </c>
      <c r="BM602">
        <f>OR(AND(IF(Metadata!AA602="",FALSE,TRUE),OR(exact(Metadata!AA602,"not collected"),exact(Metadata!AA602,"not provided"))),AND(IF(Metadata!AA602="",FALSE,IF(ISERROR(INT(Metadata!AA602)),FALSE,INT(Metadata!AA602)=Metadata!AA602)),Metadata!AA602&gt;0))</f>
        <v>0</v>
      </c>
      <c r="BN602">
        <f>AND(IF(Metadata!AB602="",FALSE,TRUE),exact(Metadata!AB602,"Not applicable"))</f>
        <v>0</v>
      </c>
      <c r="BO602">
        <f>IF(Metadata!AC602="",FALSE,TRUE)</f>
        <v>0</v>
      </c>
    </row>
    <row r="603" spans="1:67">
      <c r="A603" s="5">
        <f>IF(B603=" "," ",HYPERLINK(CONCATENATE("#metadata!",ADDRESS(INDEX($AI$2:$AI$1001,MATCH(ROWS($AG$2:AG603),$AG$2:$AG$1001,0),0),1)),INDEX($AL$2:$AL$1001,MATCH(ROWS($AG$2:AG603),$AG$2:$AG$1001,0),0)))</f>
        <v>0</v>
      </c>
      <c r="B603" s="4">
        <f>IF(OR(INDEX($AH$2:$AH$1001,MATCH(ROWS($AG$2:AG603),$AG$2:$AG$1001,0),1)&gt;=100000,INDEX($AN$1005:$BO$1005,1,MATCH(COLUMNS($AN$1006:AN1006),$AN$1006:$BO$1006,0))&gt;=100000), " ",IF(INDEX($AN$2:$BO$1001,MATCH(ROWS($AG$2:AG603),$AG$2:$AG$1001,0),MATCH(COLUMNS($AN$1006:AN1006),$AN$1006:$BO$1006,0)), HYPERLINK("#",""), HYPERLINK(CONCATENATE("#Metadata!", ADDRESS(INDEX($AI$2:$AI$1001,MATCH(ROWS($AG$2:AG603),$AG$2:$AG$1001,0),0), INDEX($AN$1004:$BO$1004,1,MATCH(COLUMNS($AN$1006:AN1006),$AN$1006:$BO$1006,0)))),"Fix")))</f>
        <v>0</v>
      </c>
      <c r="C603" s="4">
        <f>IF(OR(INDEX($AH$2:$AH$1001,MATCH(ROWS($AG$2:AG603),$AG$2:$AG$1001,0),1)&gt;=100000,INDEX($AN$1005:$BO$1005,1,MATCH(COLUMNS($AN$1006:AO1006),$AN$1006:$BO$1006,0))&gt;=100000), " ",IF(INDEX($AN$2:$BO$1001,MATCH(ROWS($AG$2:AG603),$AG$2:$AG$1001,0),MATCH(COLUMNS($AN$1006:AO1006),$AN$1006:$BO$1006,0)), HYPERLINK("#",""), HYPERLINK(CONCATENATE("#Metadata!", ADDRESS(INDEX($AI$2:$AI$1001,MATCH(ROWS($AG$2:AG603),$AG$2:$AG$1001,0),0), INDEX($AN$1004:$BO$1004,1,MATCH(COLUMNS($AN$1006:AO1006),$AN$1006:$BO$1006,0)))),"Fix")))</f>
        <v>0</v>
      </c>
      <c r="D603" s="4">
        <f>IF(OR(INDEX($AH$2:$AH$1001,MATCH(ROWS($AG$2:AG603),$AG$2:$AG$1001,0),1)&gt;=100000,INDEX($AN$1005:$BO$1005,1,MATCH(COLUMNS($AN$1006:AP1006),$AN$1006:$BO$1006,0))&gt;=100000), " ",IF(INDEX($AN$2:$BO$1001,MATCH(ROWS($AG$2:AG603),$AG$2:$AG$1001,0),MATCH(COLUMNS($AN$1006:AP1006),$AN$1006:$BO$1006,0)), HYPERLINK("#",""), HYPERLINK(CONCATENATE("#Metadata!", ADDRESS(INDEX($AI$2:$AI$1001,MATCH(ROWS($AG$2:AG603),$AG$2:$AG$1001,0),0), INDEX($AN$1004:$BO$1004,1,MATCH(COLUMNS($AN$1006:AP1006),$AN$1006:$BO$1006,0)))),"Fix")))</f>
        <v>0</v>
      </c>
      <c r="E603" s="4">
        <f>IF(OR(INDEX($AH$2:$AH$1001,MATCH(ROWS($AG$2:AG603),$AG$2:$AG$1001,0),1)&gt;=100000,INDEX($AN$1005:$BO$1005,1,MATCH(COLUMNS($AN$1006:AQ1006),$AN$1006:$BO$1006,0))&gt;=100000), " ",IF(INDEX($AN$2:$BO$1001,MATCH(ROWS($AG$2:AG603),$AG$2:$AG$1001,0),MATCH(COLUMNS($AN$1006:AQ1006),$AN$1006:$BO$1006,0)), HYPERLINK("#",""), HYPERLINK(CONCATENATE("#Metadata!", ADDRESS(INDEX($AI$2:$AI$1001,MATCH(ROWS($AG$2:AG603),$AG$2:$AG$1001,0),0), INDEX($AN$1004:$BO$1004,1,MATCH(COLUMNS($AN$1006:AQ1006),$AN$1006:$BO$1006,0)))),"Fix")))</f>
        <v>0</v>
      </c>
      <c r="F603" s="4">
        <f>IF(OR(INDEX($AH$2:$AH$1001,MATCH(ROWS($AG$2:AG603),$AG$2:$AG$1001,0),1)&gt;=100000,INDEX($AN$1005:$BO$1005,1,MATCH(COLUMNS($AN$1006:AR1006),$AN$1006:$BO$1006,0))&gt;=100000), " ",IF(INDEX($AN$2:$BO$1001,MATCH(ROWS($AG$2:AG603),$AG$2:$AG$1001,0),MATCH(COLUMNS($AN$1006:AR1006),$AN$1006:$BO$1006,0)), HYPERLINK("#",""), HYPERLINK(CONCATENATE("#Metadata!", ADDRESS(INDEX($AI$2:$AI$1001,MATCH(ROWS($AG$2:AG603),$AG$2:$AG$1001,0),0), INDEX($AN$1004:$BO$1004,1,MATCH(COLUMNS($AN$1006:AR1006),$AN$1006:$BO$1006,0)))),"Fix")))</f>
        <v>0</v>
      </c>
      <c r="G603" s="4">
        <f>IF(OR(INDEX($AH$2:$AH$1001,MATCH(ROWS($AG$2:AG603),$AG$2:$AG$1001,0),1)&gt;=100000,INDEX($AN$1005:$BO$1005,1,MATCH(COLUMNS($AN$1006:AS1006),$AN$1006:$BO$1006,0))&gt;=100000), " ",IF(INDEX($AN$2:$BO$1001,MATCH(ROWS($AG$2:AG603),$AG$2:$AG$1001,0),MATCH(COLUMNS($AN$1006:AS1006),$AN$1006:$BO$1006,0)), HYPERLINK("#",""), HYPERLINK(CONCATENATE("#Metadata!", ADDRESS(INDEX($AI$2:$AI$1001,MATCH(ROWS($AG$2:AG603),$AG$2:$AG$1001,0),0), INDEX($AN$1004:$BO$1004,1,MATCH(COLUMNS($AN$1006:AS1006),$AN$1006:$BO$1006,0)))),"Fix")))</f>
        <v>0</v>
      </c>
      <c r="H603" s="4">
        <f>IF(OR(INDEX($AH$2:$AH$1001,MATCH(ROWS($AG$2:AG603),$AG$2:$AG$1001,0),1)&gt;=100000,INDEX($AN$1005:$BO$1005,1,MATCH(COLUMNS($AN$1006:AT1006),$AN$1006:$BO$1006,0))&gt;=100000), " ",IF(INDEX($AN$2:$BO$1001,MATCH(ROWS($AG$2:AG603),$AG$2:$AG$1001,0),MATCH(COLUMNS($AN$1006:AT1006),$AN$1006:$BO$1006,0)), HYPERLINK("#",""), HYPERLINK(CONCATENATE("#Metadata!", ADDRESS(INDEX($AI$2:$AI$1001,MATCH(ROWS($AG$2:AG603),$AG$2:$AG$1001,0),0), INDEX($AN$1004:$BO$1004,1,MATCH(COLUMNS($AN$1006:AT1006),$AN$1006:$BO$1006,0)))),"Fix")))</f>
        <v>0</v>
      </c>
      <c r="I603" s="4">
        <f>IF(OR(INDEX($AH$2:$AH$1001,MATCH(ROWS($AG$2:AG603),$AG$2:$AG$1001,0),1)&gt;=100000,INDEX($AN$1005:$BO$1005,1,MATCH(COLUMNS($AN$1006:AU1006),$AN$1006:$BO$1006,0))&gt;=100000), " ",IF(INDEX($AN$2:$BO$1001,MATCH(ROWS($AG$2:AG603),$AG$2:$AG$1001,0),MATCH(COLUMNS($AN$1006:AU1006),$AN$1006:$BO$1006,0)), HYPERLINK("#",""), HYPERLINK(CONCATENATE("#Metadata!", ADDRESS(INDEX($AI$2:$AI$1001,MATCH(ROWS($AG$2:AG603),$AG$2:$AG$1001,0),0), INDEX($AN$1004:$BO$1004,1,MATCH(COLUMNS($AN$1006:AU1006),$AN$1006:$BO$1006,0)))),"Fix")))</f>
        <v>0</v>
      </c>
      <c r="J603" s="4">
        <f>IF(OR(INDEX($AH$2:$AH$1001,MATCH(ROWS($AG$2:AG603),$AG$2:$AG$1001,0),1)&gt;=100000,INDEX($AN$1005:$BO$1005,1,MATCH(COLUMNS($AN$1006:AV1006),$AN$1006:$BO$1006,0))&gt;=100000), " ",IF(INDEX($AN$2:$BO$1001,MATCH(ROWS($AG$2:AG603),$AG$2:$AG$1001,0),MATCH(COLUMNS($AN$1006:AV1006),$AN$1006:$BO$1006,0)), HYPERLINK("#",""), HYPERLINK(CONCATENATE("#Metadata!", ADDRESS(INDEX($AI$2:$AI$1001,MATCH(ROWS($AG$2:AG603),$AG$2:$AG$1001,0),0), INDEX($AN$1004:$BO$1004,1,MATCH(COLUMNS($AN$1006:AV1006),$AN$1006:$BO$1006,0)))),"Fix")))</f>
        <v>0</v>
      </c>
      <c r="K603" s="4">
        <f>IF(OR(INDEX($AH$2:$AH$1001,MATCH(ROWS($AG$2:AG603),$AG$2:$AG$1001,0),1)&gt;=100000,INDEX($AN$1005:$BO$1005,1,MATCH(COLUMNS($AN$1006:AW1006),$AN$1006:$BO$1006,0))&gt;=100000), " ",IF(INDEX($AN$2:$BO$1001,MATCH(ROWS($AG$2:AG603),$AG$2:$AG$1001,0),MATCH(COLUMNS($AN$1006:AW1006),$AN$1006:$BO$1006,0)), HYPERLINK("#",""), HYPERLINK(CONCATENATE("#Metadata!", ADDRESS(INDEX($AI$2:$AI$1001,MATCH(ROWS($AG$2:AG603),$AG$2:$AG$1001,0),0), INDEX($AN$1004:$BO$1004,1,MATCH(COLUMNS($AN$1006:AW1006),$AN$1006:$BO$1006,0)))),"Fix")))</f>
        <v>0</v>
      </c>
      <c r="L603" s="4">
        <f>IF(OR(INDEX($AH$2:$AH$1001,MATCH(ROWS($AG$2:AG603),$AG$2:$AG$1001,0),1)&gt;=100000,INDEX($AN$1005:$BO$1005,1,MATCH(COLUMNS($AN$1006:AX1006),$AN$1006:$BO$1006,0))&gt;=100000), " ",IF(INDEX($AN$2:$BO$1001,MATCH(ROWS($AG$2:AG603),$AG$2:$AG$1001,0),MATCH(COLUMNS($AN$1006:AX1006),$AN$1006:$BO$1006,0)), HYPERLINK("#",""), HYPERLINK(CONCATENATE("#Metadata!", ADDRESS(INDEX($AI$2:$AI$1001,MATCH(ROWS($AG$2:AG603),$AG$2:$AG$1001,0),0), INDEX($AN$1004:$BO$1004,1,MATCH(COLUMNS($AN$1006:AX1006),$AN$1006:$BO$1006,0)))),"Fix")))</f>
        <v>0</v>
      </c>
      <c r="M603" s="4">
        <f>IF(OR(INDEX($AH$2:$AH$1001,MATCH(ROWS($AG$2:AG603),$AG$2:$AG$1001,0),1)&gt;=100000,INDEX($AN$1005:$BO$1005,1,MATCH(COLUMNS($AN$1006:AY1006),$AN$1006:$BO$1006,0))&gt;=100000), " ",IF(INDEX($AN$2:$BO$1001,MATCH(ROWS($AG$2:AG603),$AG$2:$AG$1001,0),MATCH(COLUMNS($AN$1006:AY1006),$AN$1006:$BO$1006,0)), HYPERLINK("#",""), HYPERLINK(CONCATENATE("#Metadata!", ADDRESS(INDEX($AI$2:$AI$1001,MATCH(ROWS($AG$2:AG603),$AG$2:$AG$1001,0),0), INDEX($AN$1004:$BO$1004,1,MATCH(COLUMNS($AN$1006:AY1006),$AN$1006:$BO$1006,0)))),"Fix")))</f>
        <v>0</v>
      </c>
      <c r="N603" s="4">
        <f>IF(OR(INDEX($AH$2:$AH$1001,MATCH(ROWS($AG$2:AG603),$AG$2:$AG$1001,0),1)&gt;=100000,INDEX($AN$1005:$BO$1005,1,MATCH(COLUMNS($AN$1006:AZ1006),$AN$1006:$BO$1006,0))&gt;=100000), " ",IF(INDEX($AN$2:$BO$1001,MATCH(ROWS($AG$2:AG603),$AG$2:$AG$1001,0),MATCH(COLUMNS($AN$1006:AZ1006),$AN$1006:$BO$1006,0)), HYPERLINK("#",""), HYPERLINK(CONCATENATE("#Metadata!", ADDRESS(INDEX($AI$2:$AI$1001,MATCH(ROWS($AG$2:AG603),$AG$2:$AG$1001,0),0), INDEX($AN$1004:$BO$1004,1,MATCH(COLUMNS($AN$1006:AZ1006),$AN$1006:$BO$1006,0)))),"Fix")))</f>
        <v>0</v>
      </c>
      <c r="O603" s="4">
        <f>IF(OR(INDEX($AH$2:$AH$1001,MATCH(ROWS($AG$2:AG603),$AG$2:$AG$1001,0),1)&gt;=100000,INDEX($AN$1005:$BO$1005,1,MATCH(COLUMNS($AN$1006:BA1006),$AN$1006:$BO$1006,0))&gt;=100000), " ",IF(INDEX($AN$2:$BO$1001,MATCH(ROWS($AG$2:AG603),$AG$2:$AG$1001,0),MATCH(COLUMNS($AN$1006:BA1006),$AN$1006:$BO$1006,0)), HYPERLINK("#",""), HYPERLINK(CONCATENATE("#Metadata!", ADDRESS(INDEX($AI$2:$AI$1001,MATCH(ROWS($AG$2:AG603),$AG$2:$AG$1001,0),0), INDEX($AN$1004:$BO$1004,1,MATCH(COLUMNS($AN$1006:BA1006),$AN$1006:$BO$1006,0)))),"Fix")))</f>
        <v>0</v>
      </c>
      <c r="P603" s="4">
        <f>IF(OR(INDEX($AH$2:$AH$1001,MATCH(ROWS($AG$2:AG603),$AG$2:$AG$1001,0),1)&gt;=100000,INDEX($AN$1005:$BO$1005,1,MATCH(COLUMNS($AN$1006:BB1006),$AN$1006:$BO$1006,0))&gt;=100000), " ",IF(INDEX($AN$2:$BO$1001,MATCH(ROWS($AG$2:AG603),$AG$2:$AG$1001,0),MATCH(COLUMNS($AN$1006:BB1006),$AN$1006:$BO$1006,0)), HYPERLINK("#",""), HYPERLINK(CONCATENATE("#Metadata!", ADDRESS(INDEX($AI$2:$AI$1001,MATCH(ROWS($AG$2:AG603),$AG$2:$AG$1001,0),0), INDEX($AN$1004:$BO$1004,1,MATCH(COLUMNS($AN$1006:BB1006),$AN$1006:$BO$1006,0)))),"Fix")))</f>
        <v>0</v>
      </c>
      <c r="Q603" s="4">
        <f>IF(OR(INDEX($AH$2:$AH$1001,MATCH(ROWS($AG$2:AG603),$AG$2:$AG$1001,0),1)&gt;=100000,INDEX($AN$1005:$BO$1005,1,MATCH(COLUMNS($AN$1006:BC1006),$AN$1006:$BO$1006,0))&gt;=100000), " ",IF(INDEX($AN$2:$BO$1001,MATCH(ROWS($AG$2:AG603),$AG$2:$AG$1001,0),MATCH(COLUMNS($AN$1006:BC1006),$AN$1006:$BO$1006,0)), HYPERLINK("#",""), HYPERLINK(CONCATENATE("#Metadata!", ADDRESS(INDEX($AI$2:$AI$1001,MATCH(ROWS($AG$2:AG603),$AG$2:$AG$1001,0),0), INDEX($AN$1004:$BO$1004,1,MATCH(COLUMNS($AN$1006:BC1006),$AN$1006:$BO$1006,0)))),"Fix")))</f>
        <v>0</v>
      </c>
      <c r="R603" s="4">
        <f>IF(OR(INDEX($AH$2:$AH$1001,MATCH(ROWS($AG$2:AG603),$AG$2:$AG$1001,0),1)&gt;=100000,INDEX($AN$1005:$BO$1005,1,MATCH(COLUMNS($AN$1006:BD1006),$AN$1006:$BO$1006,0))&gt;=100000), " ",IF(INDEX($AN$2:$BO$1001,MATCH(ROWS($AG$2:AG603),$AG$2:$AG$1001,0),MATCH(COLUMNS($AN$1006:BD1006),$AN$1006:$BO$1006,0)), HYPERLINK("#",""), HYPERLINK(CONCATENATE("#Metadata!", ADDRESS(INDEX($AI$2:$AI$1001,MATCH(ROWS($AG$2:AG603),$AG$2:$AG$1001,0),0), INDEX($AN$1004:$BO$1004,1,MATCH(COLUMNS($AN$1006:BD1006),$AN$1006:$BO$1006,0)))),"Fix")))</f>
        <v>0</v>
      </c>
      <c r="S603" s="4">
        <f>IF(OR(INDEX($AH$2:$AH$1001,MATCH(ROWS($AG$2:AG603),$AG$2:$AG$1001,0),1)&gt;=100000,INDEX($AN$1005:$BO$1005,1,MATCH(COLUMNS($AN$1006:BE1006),$AN$1006:$BO$1006,0))&gt;=100000), " ",IF(INDEX($AN$2:$BO$1001,MATCH(ROWS($AG$2:AG603),$AG$2:$AG$1001,0),MATCH(COLUMNS($AN$1006:BE1006),$AN$1006:$BO$1006,0)), HYPERLINK("#",""), HYPERLINK(CONCATENATE("#Metadata!", ADDRESS(INDEX($AI$2:$AI$1001,MATCH(ROWS($AG$2:AG603),$AG$2:$AG$1001,0),0), INDEX($AN$1004:$BO$1004,1,MATCH(COLUMNS($AN$1006:BE1006),$AN$1006:$BO$1006,0)))),"Fix")))</f>
        <v>0</v>
      </c>
      <c r="T603" s="4">
        <f>IF(OR(INDEX($AH$2:$AH$1001,MATCH(ROWS($AG$2:AG603),$AG$2:$AG$1001,0),1)&gt;=100000,INDEX($AN$1005:$BO$1005,1,MATCH(COLUMNS($AN$1006:BF1006),$AN$1006:$BO$1006,0))&gt;=100000), " ",IF(INDEX($AN$2:$BO$1001,MATCH(ROWS($AG$2:AG603),$AG$2:$AG$1001,0),MATCH(COLUMNS($AN$1006:BF1006),$AN$1006:$BO$1006,0)), HYPERLINK("#",""), HYPERLINK(CONCATENATE("#Metadata!", ADDRESS(INDEX($AI$2:$AI$1001,MATCH(ROWS($AG$2:AG603),$AG$2:$AG$1001,0),0), INDEX($AN$1004:$BO$1004,1,MATCH(COLUMNS($AN$1006:BF1006),$AN$1006:$BO$1006,0)))),"Fix")))</f>
        <v>0</v>
      </c>
      <c r="U603" s="4">
        <f>IF(OR(INDEX($AH$2:$AH$1001,MATCH(ROWS($AG$2:AG603),$AG$2:$AG$1001,0),1)&gt;=100000,INDEX($AN$1005:$BO$1005,1,MATCH(COLUMNS($AN$1006:BG1006),$AN$1006:$BO$1006,0))&gt;=100000), " ",IF(INDEX($AN$2:$BO$1001,MATCH(ROWS($AG$2:AG603),$AG$2:$AG$1001,0),MATCH(COLUMNS($AN$1006:BG1006),$AN$1006:$BO$1006,0)), HYPERLINK("#",""), HYPERLINK(CONCATENATE("#Metadata!", ADDRESS(INDEX($AI$2:$AI$1001,MATCH(ROWS($AG$2:AG603),$AG$2:$AG$1001,0),0), INDEX($AN$1004:$BO$1004,1,MATCH(COLUMNS($AN$1006:BG1006),$AN$1006:$BO$1006,0)))),"Fix")))</f>
        <v>0</v>
      </c>
      <c r="V603" s="4">
        <f>IF(OR(INDEX($AH$2:$AH$1001,MATCH(ROWS($AG$2:AG603),$AG$2:$AG$1001,0),1)&gt;=100000,INDEX($AN$1005:$BO$1005,1,MATCH(COLUMNS($AN$1006:BH1006),$AN$1006:$BO$1006,0))&gt;=100000), " ",IF(INDEX($AN$2:$BO$1001,MATCH(ROWS($AG$2:AG603),$AG$2:$AG$1001,0),MATCH(COLUMNS($AN$1006:BH1006),$AN$1006:$BO$1006,0)), HYPERLINK("#",""), HYPERLINK(CONCATENATE("#Metadata!", ADDRESS(INDEX($AI$2:$AI$1001,MATCH(ROWS($AG$2:AG603),$AG$2:$AG$1001,0),0), INDEX($AN$1004:$BO$1004,1,MATCH(COLUMNS($AN$1006:BH1006),$AN$1006:$BO$1006,0)))),"Fix")))</f>
        <v>0</v>
      </c>
      <c r="W603" s="4">
        <f>IF(OR(INDEX($AH$2:$AH$1001,MATCH(ROWS($AG$2:AG603),$AG$2:$AG$1001,0),1)&gt;=100000,INDEX($AN$1005:$BO$1005,1,MATCH(COLUMNS($AN$1006:BI1006),$AN$1006:$BO$1006,0))&gt;=100000), " ",IF(INDEX($AN$2:$BO$1001,MATCH(ROWS($AG$2:AG603),$AG$2:$AG$1001,0),MATCH(COLUMNS($AN$1006:BI1006),$AN$1006:$BO$1006,0)), HYPERLINK("#",""), HYPERLINK(CONCATENATE("#Metadata!", ADDRESS(INDEX($AI$2:$AI$1001,MATCH(ROWS($AG$2:AG603),$AG$2:$AG$1001,0),0), INDEX($AN$1004:$BO$1004,1,MATCH(COLUMNS($AN$1006:BI1006),$AN$1006:$BO$1006,0)))),"Fix")))</f>
        <v>0</v>
      </c>
      <c r="X603" s="4">
        <f>IF(OR(INDEX($AH$2:$AH$1001,MATCH(ROWS($AG$2:AG603),$AG$2:$AG$1001,0),1)&gt;=100000,INDEX($AN$1005:$BO$1005,1,MATCH(COLUMNS($AN$1006:BJ1006),$AN$1006:$BO$1006,0))&gt;=100000), " ",IF(INDEX($AN$2:$BO$1001,MATCH(ROWS($AG$2:AG603),$AG$2:$AG$1001,0),MATCH(COLUMNS($AN$1006:BJ1006),$AN$1006:$BO$1006,0)), HYPERLINK("#",""), HYPERLINK(CONCATENATE("#Metadata!", ADDRESS(INDEX($AI$2:$AI$1001,MATCH(ROWS($AG$2:AG603),$AG$2:$AG$1001,0),0), INDEX($AN$1004:$BO$1004,1,MATCH(COLUMNS($AN$1006:BJ1006),$AN$1006:$BO$1006,0)))),"Fix")))</f>
        <v>0</v>
      </c>
      <c r="Y603" s="4">
        <f>IF(OR(INDEX($AH$2:$AH$1001,MATCH(ROWS($AG$2:AG603),$AG$2:$AG$1001,0),1)&gt;=100000,INDEX($AN$1005:$BO$1005,1,MATCH(COLUMNS($AN$1006:BK1006),$AN$1006:$BO$1006,0))&gt;=100000), " ",IF(INDEX($AN$2:$BO$1001,MATCH(ROWS($AG$2:AG603),$AG$2:$AG$1001,0),MATCH(COLUMNS($AN$1006:BK1006),$AN$1006:$BO$1006,0)), HYPERLINK("#",""), HYPERLINK(CONCATENATE("#Metadata!", ADDRESS(INDEX($AI$2:$AI$1001,MATCH(ROWS($AG$2:AG603),$AG$2:$AG$1001,0),0), INDEX($AN$1004:$BO$1004,1,MATCH(COLUMNS($AN$1006:BK1006),$AN$1006:$BO$1006,0)))),"Fix")))</f>
        <v>0</v>
      </c>
      <c r="Z603" s="4">
        <f>IF(OR(INDEX($AH$2:$AH$1001,MATCH(ROWS($AG$2:AG603),$AG$2:$AG$1001,0),1)&gt;=100000,INDEX($AN$1005:$BO$1005,1,MATCH(COLUMNS($AN$1006:BL1006),$AN$1006:$BO$1006,0))&gt;=100000), " ",IF(INDEX($AN$2:$BO$1001,MATCH(ROWS($AG$2:AG603),$AG$2:$AG$1001,0),MATCH(COLUMNS($AN$1006:BL1006),$AN$1006:$BO$1006,0)), HYPERLINK("#",""), HYPERLINK(CONCATENATE("#Metadata!", ADDRESS(INDEX($AI$2:$AI$1001,MATCH(ROWS($AG$2:AG603),$AG$2:$AG$1001,0),0), INDEX($AN$1004:$BO$1004,1,MATCH(COLUMNS($AN$1006:BL1006),$AN$1006:$BO$1006,0)))),"Fix")))</f>
        <v>0</v>
      </c>
      <c r="AA603" s="4">
        <f>IF(OR(INDEX($AH$2:$AH$1001,MATCH(ROWS($AG$2:AG603),$AG$2:$AG$1001,0),1)&gt;=100000,INDEX($AN$1005:$BO$1005,1,MATCH(COLUMNS($AN$1006:BM1006),$AN$1006:$BO$1006,0))&gt;=100000), " ",IF(INDEX($AN$2:$BO$1001,MATCH(ROWS($AG$2:AG603),$AG$2:$AG$1001,0),MATCH(COLUMNS($AN$1006:BM1006),$AN$1006:$BO$1006,0)), HYPERLINK("#",""), HYPERLINK(CONCATENATE("#Metadata!", ADDRESS(INDEX($AI$2:$AI$1001,MATCH(ROWS($AG$2:AG603),$AG$2:$AG$1001,0),0), INDEX($AN$1004:$BO$1004,1,MATCH(COLUMNS($AN$1006:BM1006),$AN$1006:$BO$1006,0)))),"Fix")))</f>
        <v>0</v>
      </c>
      <c r="AB603" s="4">
        <f>IF(OR(INDEX($AH$2:$AH$1001,MATCH(ROWS($AG$2:AG603),$AG$2:$AG$1001,0),1)&gt;=100000,INDEX($AN$1005:$BO$1005,1,MATCH(COLUMNS($AN$1006:BN1006),$AN$1006:$BO$1006,0))&gt;=100000), " ",IF(INDEX($AN$2:$BO$1001,MATCH(ROWS($AG$2:AG603),$AG$2:$AG$1001,0),MATCH(COLUMNS($AN$1006:BN1006),$AN$1006:$BO$1006,0)), HYPERLINK("#",""), HYPERLINK(CONCATENATE("#Metadata!", ADDRESS(INDEX($AI$2:$AI$1001,MATCH(ROWS($AG$2:AG603),$AG$2:$AG$1001,0),0), INDEX($AN$1004:$BO$1004,1,MATCH(COLUMNS($AN$1006:BN1006),$AN$1006:$BO$1006,0)))),"Fix")))</f>
        <v>0</v>
      </c>
      <c r="AC603" s="4">
        <f>IF(OR(INDEX($AH$2:$AH$1001,MATCH(ROWS($AG$2:AG603),$AG$2:$AG$1001,0),1)&gt;=100000,INDEX($AN$1005:$BO$1005,1,MATCH(COLUMNS($AN$1006:BO1006),$AN$1006:$BO$1006,0))&gt;=100000), " ",IF(INDEX($AN$2:$BO$1001,MATCH(ROWS($AG$2:AG603),$AG$2:$AG$1001,0),MATCH(COLUMNS($AN$1006:BO1006),$AN$1006:$BO$1006,0)), HYPERLINK("#",""), HYPERLINK(CONCATENATE("#Metadata!", ADDRESS(INDEX($AI$2:$AI$1001,MATCH(ROWS($AG$2:AG603),$AG$2:$AG$1001,0),0), INDEX($AN$1004:$BO$1004,1,MATCH(COLUMNS($AN$1006:BO1006),$AN$1006:$BO$1006,0)))),"Fix")))</f>
        <v>0</v>
      </c>
      <c r="AG603">
        <v>0</v>
      </c>
      <c r="AH603">
        <v>0</v>
      </c>
      <c r="AI603">
        <v>0</v>
      </c>
      <c r="AJ603">
        <f>IF(AK603,TRUE,AND(AN603:BO603))</f>
        <v>0</v>
      </c>
      <c r="AK603">
        <f>COUNTBLANK(Metadata!B603:AC603)=COLUMNS(Metadata!B603:AC603)</f>
        <v>0</v>
      </c>
      <c r="AL603">
        <v>0</v>
      </c>
      <c r="AN603">
        <f>AND(IF(Metadata!B603="",FALSE,TRUE),COUNTIF(Metadata!B:B, Metadata!B603) = 1,NOT(ISERROR(SUMPRODUCT(SEARCH(MID(Metadata!B603,ROW(INDIRECT("1:"&amp;LEN(Metadata!B603))), 1),"0123456789abcdefghijklmnopqrstuvwxyzABCDEFGHIJKLMNOPQRSTUVWXYZ.")))))</f>
        <v>0</v>
      </c>
      <c r="AO603">
        <f>IF(Metadata!C603="",FALSE,TRUE)</f>
        <v>0</v>
      </c>
      <c r="AP603">
        <f>IF(Metadata!D603="",FALSE,TRUE)</f>
        <v>0</v>
      </c>
      <c r="AQ603">
        <f>OR(AND(IF(Metadata!E603="",FALSE,TRUE),OR(exact(Metadata!E603,"not collected"),exact(Metadata!E603,"not provided"),exact(Metadata!E603,"restricted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R603">
        <f>IF(Metadata!F603="",FALSE,TRUE)</f>
        <v>0</v>
      </c>
      <c r="AS603">
        <f>OR(AND(IF(Metadata!G603="",FALSE,TRUE),OR(exact(Metadata!G603,"not collected"),exact(Metadata!G603,"not provided"))),AND(IF(Metadata!G603="",FALSE,TRUE),OR(exact(Metadata!G603,"TRUE"),exact(Metadata!G603,"FALSE"))))</f>
        <v>0</v>
      </c>
      <c r="AT603">
        <f>OR(AND(IF(Metadata!H603="",FALSE,TRUE),OR(exact(Metadata!H603,"not collected"),exact(Metadata!H603,"not provided"),exact(Metadata!H603,"restricted access"))),AND(IF(Metadata!H603="",FALSE,ISNUMBER(VALUE(Metadata!H603))),Metadata!H603&gt;=-413.0))</f>
        <v>0</v>
      </c>
      <c r="AU603">
        <f>AND(IF(Metadata!I603="",FALSE,TRUE),exact(Metadata!I603,"meters"))</f>
        <v>0</v>
      </c>
      <c r="AV603">
        <f>AND(IF(Metadata!J603="",FALSE,TRUE),OR(exact(Metadata!J603,"Host-associated"),exact(Metadata!J603,"Free-living")))</f>
        <v>0</v>
      </c>
      <c r="AW603">
        <f>AND(IF(Metadata!K603="",FALSE,TRUE),OR(exact(Metadata!K603,"Animal"),exact(Metadata!K603,"Fungus"),exact(Metadata!K603,"Plant"),exact(Metadata!K603,"Saline"),exact(Metadata!K603,"Non-saline")))</f>
        <v>0</v>
      </c>
      <c r="AX603">
        <f>AND(IF(Metadata!L603="",FALSE,TRUE),OR(exact(Metadata!L603,"Plant secretion"),exact(Metadata!L603,"Plant rhizosphere"),exact(Metadata!L603,"Plant surface"),exact(Metadata!L603,"Plant corpus"),exact(Metadata!L603,"Fungus surface"),exact(Metadata!L603,"Fungus corpus"),exact(Metadata!L603,"Animal surface"),exact(Metadata!L603,"Animal proximal gut"),exact(Metadata!L603,"Animal corpus"),exact(Metadata!L603,"Animal distal gut"),exact(Metadata!L603,"Animal secretion"),exact(Metadata!L603,"Sub-surface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Y603">
        <f>IF(Metadata!M603="",FALSE,TRUE)</f>
        <v>0</v>
      </c>
      <c r="AZ603">
        <f>IF(Metadata!N603="",FALSE,TRUE)</f>
        <v>0</v>
      </c>
      <c r="BA603">
        <f>IF(Metadata!O603="",FALSE,TRUE)</f>
        <v>0</v>
      </c>
      <c r="BB603">
        <f>OR(AND(IF(Metadata!P603="",FALSE,TRUE),OR(exact(Metadata!P603,"not collected"),exact(Metadata!P603,"not provided"),exact(Metadata!P603,"restricted access"))),AND(IF(Metadata!P603="",FALSE,TRUE),OR(exact(Metadata!P603,"air"),exact(Metadata!P603,"built environment"),exact(Metadata!P603,"host-associated"),exact(Metadata!P603,"human-associated"),exact(Metadata!P603,"human-skin"),exact(Metadata!P603,"human-oral"),exact(Metadata!P603,"human-gut"),exact(Metadata!P603,"human-vaginal"),exact(Metadata!P603,"microbial mat/biofilm"),exact(Metadata!P603,"misc environment"),exact(Metadata!P603,"plant-associated"),exact(Metadata!P603,"sediment"),exact(Metadata!P603,"soil"),exact(Metadata!P603,"wastewater/sludge"),exact(Metadata!P603,"water"))))</f>
        <v>0</v>
      </c>
      <c r="BC603">
        <f>IF(Metadata!Q603="",FALSE,TRUE)</f>
        <v>0</v>
      </c>
      <c r="BD603">
        <f>IF(Metadata!R603="",FALSE,TRUE)</f>
        <v>0</v>
      </c>
      <c r="BE603">
        <f>OR(AND(IF(Metadata!S603="",FALSE,TRUE),OR(exact(Metadata!S603,"not collected"),exact(Metadata!S603,"not provided"),exact(Metadata!S603,"restricted access"))),AND(IF(Metadata!S603="",FALSE,ISNUMBER(VALUE(Metadata!S603))),Metadata!S603&gt;=-90.00,Metadata!S603&lt;=90.00))</f>
        <v>0</v>
      </c>
      <c r="BF603">
        <f>AND(IF(Metadata!T603="",FALSE,TRUE),exact(Metadata!T603,"Decimal degrees"))</f>
        <v>0</v>
      </c>
      <c r="BG603">
        <f>OR(AND(IF(Metadata!U603="",FALSE,TRUE),OR(exact(Metadata!U603,"not collected"),exact(Metadata!U603,"not provided"),exact(Metadata!U603,"restricted access"))),AND(IF(Metadata!U603="",FALSE,ISNUMBER(VALUE(Metadata!U603))),Metadata!U603&gt;=-180.00,Metadata!U603&lt;=180.00))</f>
        <v>0</v>
      </c>
      <c r="BH603">
        <f>AND(IF(Metadata!V603="",FALSE,TRUE),exact(Metadata!V603,"Decimal degrees"))</f>
        <v>0</v>
      </c>
      <c r="BI603">
        <f>IF(Metadata!W603="",FALSE,TRUE)</f>
        <v>0</v>
      </c>
      <c r="BJ603">
        <f>OR(AND(IF(Metadata!X603="",FALSE,TRUE),OR(exact(Metadata!X603,"not collected"),exact(Metadata!X603,"not provided"),exact(Metadata!X603,"restricted access"))),AND(IF(Metadata!X603="",FALSE,TRUE),OR(exact(Metadata!X603,"TRUE"),exact(Metadata!X603,"FALSE"))))</f>
        <v>0</v>
      </c>
      <c r="BK603">
        <f>AND(IF(Metadata!Y603="",FALSE,TRUE),exact(Metadata!Y603,"other"))</f>
        <v>0</v>
      </c>
      <c r="BL603">
        <f>IF(Metadata!Z603="",FALSE,TRUE)</f>
        <v>0</v>
      </c>
      <c r="BM603">
        <f>OR(AND(IF(Metadata!AA603="",FALSE,TRUE),OR(exact(Metadata!AA603,"not collected"),exact(Metadata!AA603,"not provided"))),AND(IF(Metadata!AA603="",FALSE,IF(ISERROR(INT(Metadata!AA603)),FALSE,INT(Metadata!AA603)=Metadata!AA603)),Metadata!AA603&gt;0))</f>
        <v>0</v>
      </c>
      <c r="BN603">
        <f>AND(IF(Metadata!AB603="",FALSE,TRUE),exact(Metadata!AB603,"Not applicable"))</f>
        <v>0</v>
      </c>
      <c r="BO603">
        <f>IF(Metadata!AC603="",FALSE,TRUE)</f>
        <v>0</v>
      </c>
    </row>
    <row r="604" spans="1:67">
      <c r="A604" s="5">
        <f>IF(B604=" "," ",HYPERLINK(CONCATENATE("#metadata!",ADDRESS(INDEX($AI$2:$AI$1001,MATCH(ROWS($AG$2:AG604),$AG$2:$AG$1001,0),0),1)),INDEX($AL$2:$AL$1001,MATCH(ROWS($AG$2:AG604),$AG$2:$AG$1001,0),0)))</f>
        <v>0</v>
      </c>
      <c r="B604" s="4">
        <f>IF(OR(INDEX($AH$2:$AH$1001,MATCH(ROWS($AG$2:AG604),$AG$2:$AG$1001,0),1)&gt;=100000,INDEX($AN$1005:$BO$1005,1,MATCH(COLUMNS($AN$1006:AN1006),$AN$1006:$BO$1006,0))&gt;=100000), " ",IF(INDEX($AN$2:$BO$1001,MATCH(ROWS($AG$2:AG604),$AG$2:$AG$1001,0),MATCH(COLUMNS($AN$1006:AN1006),$AN$1006:$BO$1006,0)), HYPERLINK("#",""), HYPERLINK(CONCATENATE("#Metadata!", ADDRESS(INDEX($AI$2:$AI$1001,MATCH(ROWS($AG$2:AG604),$AG$2:$AG$1001,0),0), INDEX($AN$1004:$BO$1004,1,MATCH(COLUMNS($AN$1006:AN1006),$AN$1006:$BO$1006,0)))),"Fix")))</f>
        <v>0</v>
      </c>
      <c r="C604" s="4">
        <f>IF(OR(INDEX($AH$2:$AH$1001,MATCH(ROWS($AG$2:AG604),$AG$2:$AG$1001,0),1)&gt;=100000,INDEX($AN$1005:$BO$1005,1,MATCH(COLUMNS($AN$1006:AO1006),$AN$1006:$BO$1006,0))&gt;=100000), " ",IF(INDEX($AN$2:$BO$1001,MATCH(ROWS($AG$2:AG604),$AG$2:$AG$1001,0),MATCH(COLUMNS($AN$1006:AO1006),$AN$1006:$BO$1006,0)), HYPERLINK("#",""), HYPERLINK(CONCATENATE("#Metadata!", ADDRESS(INDEX($AI$2:$AI$1001,MATCH(ROWS($AG$2:AG604),$AG$2:$AG$1001,0),0), INDEX($AN$1004:$BO$1004,1,MATCH(COLUMNS($AN$1006:AO1006),$AN$1006:$BO$1006,0)))),"Fix")))</f>
        <v>0</v>
      </c>
      <c r="D604" s="4">
        <f>IF(OR(INDEX($AH$2:$AH$1001,MATCH(ROWS($AG$2:AG604),$AG$2:$AG$1001,0),1)&gt;=100000,INDEX($AN$1005:$BO$1005,1,MATCH(COLUMNS($AN$1006:AP1006),$AN$1006:$BO$1006,0))&gt;=100000), " ",IF(INDEX($AN$2:$BO$1001,MATCH(ROWS($AG$2:AG604),$AG$2:$AG$1001,0),MATCH(COLUMNS($AN$1006:AP1006),$AN$1006:$BO$1006,0)), HYPERLINK("#",""), HYPERLINK(CONCATENATE("#Metadata!", ADDRESS(INDEX($AI$2:$AI$1001,MATCH(ROWS($AG$2:AG604),$AG$2:$AG$1001,0),0), INDEX($AN$1004:$BO$1004,1,MATCH(COLUMNS($AN$1006:AP1006),$AN$1006:$BO$1006,0)))),"Fix")))</f>
        <v>0</v>
      </c>
      <c r="E604" s="4">
        <f>IF(OR(INDEX($AH$2:$AH$1001,MATCH(ROWS($AG$2:AG604),$AG$2:$AG$1001,0),1)&gt;=100000,INDEX($AN$1005:$BO$1005,1,MATCH(COLUMNS($AN$1006:AQ1006),$AN$1006:$BO$1006,0))&gt;=100000), " ",IF(INDEX($AN$2:$BO$1001,MATCH(ROWS($AG$2:AG604),$AG$2:$AG$1001,0),MATCH(COLUMNS($AN$1006:AQ1006),$AN$1006:$BO$1006,0)), HYPERLINK("#",""), HYPERLINK(CONCATENATE("#Metadata!", ADDRESS(INDEX($AI$2:$AI$1001,MATCH(ROWS($AG$2:AG604),$AG$2:$AG$1001,0),0), INDEX($AN$1004:$BO$1004,1,MATCH(COLUMNS($AN$1006:AQ1006),$AN$1006:$BO$1006,0)))),"Fix")))</f>
        <v>0</v>
      </c>
      <c r="F604" s="4">
        <f>IF(OR(INDEX($AH$2:$AH$1001,MATCH(ROWS($AG$2:AG604),$AG$2:$AG$1001,0),1)&gt;=100000,INDEX($AN$1005:$BO$1005,1,MATCH(COLUMNS($AN$1006:AR1006),$AN$1006:$BO$1006,0))&gt;=100000), " ",IF(INDEX($AN$2:$BO$1001,MATCH(ROWS($AG$2:AG604),$AG$2:$AG$1001,0),MATCH(COLUMNS($AN$1006:AR1006),$AN$1006:$BO$1006,0)), HYPERLINK("#",""), HYPERLINK(CONCATENATE("#Metadata!", ADDRESS(INDEX($AI$2:$AI$1001,MATCH(ROWS($AG$2:AG604),$AG$2:$AG$1001,0),0), INDEX($AN$1004:$BO$1004,1,MATCH(COLUMNS($AN$1006:AR1006),$AN$1006:$BO$1006,0)))),"Fix")))</f>
        <v>0</v>
      </c>
      <c r="G604" s="4">
        <f>IF(OR(INDEX($AH$2:$AH$1001,MATCH(ROWS($AG$2:AG604),$AG$2:$AG$1001,0),1)&gt;=100000,INDEX($AN$1005:$BO$1005,1,MATCH(COLUMNS($AN$1006:AS1006),$AN$1006:$BO$1006,0))&gt;=100000), " ",IF(INDEX($AN$2:$BO$1001,MATCH(ROWS($AG$2:AG604),$AG$2:$AG$1001,0),MATCH(COLUMNS($AN$1006:AS1006),$AN$1006:$BO$1006,0)), HYPERLINK("#",""), HYPERLINK(CONCATENATE("#Metadata!", ADDRESS(INDEX($AI$2:$AI$1001,MATCH(ROWS($AG$2:AG604),$AG$2:$AG$1001,0),0), INDEX($AN$1004:$BO$1004,1,MATCH(COLUMNS($AN$1006:AS1006),$AN$1006:$BO$1006,0)))),"Fix")))</f>
        <v>0</v>
      </c>
      <c r="H604" s="4">
        <f>IF(OR(INDEX($AH$2:$AH$1001,MATCH(ROWS($AG$2:AG604),$AG$2:$AG$1001,0),1)&gt;=100000,INDEX($AN$1005:$BO$1005,1,MATCH(COLUMNS($AN$1006:AT1006),$AN$1006:$BO$1006,0))&gt;=100000), " ",IF(INDEX($AN$2:$BO$1001,MATCH(ROWS($AG$2:AG604),$AG$2:$AG$1001,0),MATCH(COLUMNS($AN$1006:AT1006),$AN$1006:$BO$1006,0)), HYPERLINK("#",""), HYPERLINK(CONCATENATE("#Metadata!", ADDRESS(INDEX($AI$2:$AI$1001,MATCH(ROWS($AG$2:AG604),$AG$2:$AG$1001,0),0), INDEX($AN$1004:$BO$1004,1,MATCH(COLUMNS($AN$1006:AT1006),$AN$1006:$BO$1006,0)))),"Fix")))</f>
        <v>0</v>
      </c>
      <c r="I604" s="4">
        <f>IF(OR(INDEX($AH$2:$AH$1001,MATCH(ROWS($AG$2:AG604),$AG$2:$AG$1001,0),1)&gt;=100000,INDEX($AN$1005:$BO$1005,1,MATCH(COLUMNS($AN$1006:AU1006),$AN$1006:$BO$1006,0))&gt;=100000), " ",IF(INDEX($AN$2:$BO$1001,MATCH(ROWS($AG$2:AG604),$AG$2:$AG$1001,0),MATCH(COLUMNS($AN$1006:AU1006),$AN$1006:$BO$1006,0)), HYPERLINK("#",""), HYPERLINK(CONCATENATE("#Metadata!", ADDRESS(INDEX($AI$2:$AI$1001,MATCH(ROWS($AG$2:AG604),$AG$2:$AG$1001,0),0), INDEX($AN$1004:$BO$1004,1,MATCH(COLUMNS($AN$1006:AU1006),$AN$1006:$BO$1006,0)))),"Fix")))</f>
        <v>0</v>
      </c>
      <c r="J604" s="4">
        <f>IF(OR(INDEX($AH$2:$AH$1001,MATCH(ROWS($AG$2:AG604),$AG$2:$AG$1001,0),1)&gt;=100000,INDEX($AN$1005:$BO$1005,1,MATCH(COLUMNS($AN$1006:AV1006),$AN$1006:$BO$1006,0))&gt;=100000), " ",IF(INDEX($AN$2:$BO$1001,MATCH(ROWS($AG$2:AG604),$AG$2:$AG$1001,0),MATCH(COLUMNS($AN$1006:AV1006),$AN$1006:$BO$1006,0)), HYPERLINK("#",""), HYPERLINK(CONCATENATE("#Metadata!", ADDRESS(INDEX($AI$2:$AI$1001,MATCH(ROWS($AG$2:AG604),$AG$2:$AG$1001,0),0), INDEX($AN$1004:$BO$1004,1,MATCH(COLUMNS($AN$1006:AV1006),$AN$1006:$BO$1006,0)))),"Fix")))</f>
        <v>0</v>
      </c>
      <c r="K604" s="4">
        <f>IF(OR(INDEX($AH$2:$AH$1001,MATCH(ROWS($AG$2:AG604),$AG$2:$AG$1001,0),1)&gt;=100000,INDEX($AN$1005:$BO$1005,1,MATCH(COLUMNS($AN$1006:AW1006),$AN$1006:$BO$1006,0))&gt;=100000), " ",IF(INDEX($AN$2:$BO$1001,MATCH(ROWS($AG$2:AG604),$AG$2:$AG$1001,0),MATCH(COLUMNS($AN$1006:AW1006),$AN$1006:$BO$1006,0)), HYPERLINK("#",""), HYPERLINK(CONCATENATE("#Metadata!", ADDRESS(INDEX($AI$2:$AI$1001,MATCH(ROWS($AG$2:AG604),$AG$2:$AG$1001,0),0), INDEX($AN$1004:$BO$1004,1,MATCH(COLUMNS($AN$1006:AW1006),$AN$1006:$BO$1006,0)))),"Fix")))</f>
        <v>0</v>
      </c>
      <c r="L604" s="4">
        <f>IF(OR(INDEX($AH$2:$AH$1001,MATCH(ROWS($AG$2:AG604),$AG$2:$AG$1001,0),1)&gt;=100000,INDEX($AN$1005:$BO$1005,1,MATCH(COLUMNS($AN$1006:AX1006),$AN$1006:$BO$1006,0))&gt;=100000), " ",IF(INDEX($AN$2:$BO$1001,MATCH(ROWS($AG$2:AG604),$AG$2:$AG$1001,0),MATCH(COLUMNS($AN$1006:AX1006),$AN$1006:$BO$1006,0)), HYPERLINK("#",""), HYPERLINK(CONCATENATE("#Metadata!", ADDRESS(INDEX($AI$2:$AI$1001,MATCH(ROWS($AG$2:AG604),$AG$2:$AG$1001,0),0), INDEX($AN$1004:$BO$1004,1,MATCH(COLUMNS($AN$1006:AX1006),$AN$1006:$BO$1006,0)))),"Fix")))</f>
        <v>0</v>
      </c>
      <c r="M604" s="4">
        <f>IF(OR(INDEX($AH$2:$AH$1001,MATCH(ROWS($AG$2:AG604),$AG$2:$AG$1001,0),1)&gt;=100000,INDEX($AN$1005:$BO$1005,1,MATCH(COLUMNS($AN$1006:AY1006),$AN$1006:$BO$1006,0))&gt;=100000), " ",IF(INDEX($AN$2:$BO$1001,MATCH(ROWS($AG$2:AG604),$AG$2:$AG$1001,0),MATCH(COLUMNS($AN$1006:AY1006),$AN$1006:$BO$1006,0)), HYPERLINK("#",""), HYPERLINK(CONCATENATE("#Metadata!", ADDRESS(INDEX($AI$2:$AI$1001,MATCH(ROWS($AG$2:AG604),$AG$2:$AG$1001,0),0), INDEX($AN$1004:$BO$1004,1,MATCH(COLUMNS($AN$1006:AY1006),$AN$1006:$BO$1006,0)))),"Fix")))</f>
        <v>0</v>
      </c>
      <c r="N604" s="4">
        <f>IF(OR(INDEX($AH$2:$AH$1001,MATCH(ROWS($AG$2:AG604),$AG$2:$AG$1001,0),1)&gt;=100000,INDEX($AN$1005:$BO$1005,1,MATCH(COLUMNS($AN$1006:AZ1006),$AN$1006:$BO$1006,0))&gt;=100000), " ",IF(INDEX($AN$2:$BO$1001,MATCH(ROWS($AG$2:AG604),$AG$2:$AG$1001,0),MATCH(COLUMNS($AN$1006:AZ1006),$AN$1006:$BO$1006,0)), HYPERLINK("#",""), HYPERLINK(CONCATENATE("#Metadata!", ADDRESS(INDEX($AI$2:$AI$1001,MATCH(ROWS($AG$2:AG604),$AG$2:$AG$1001,0),0), INDEX($AN$1004:$BO$1004,1,MATCH(COLUMNS($AN$1006:AZ1006),$AN$1006:$BO$1006,0)))),"Fix")))</f>
        <v>0</v>
      </c>
      <c r="O604" s="4">
        <f>IF(OR(INDEX($AH$2:$AH$1001,MATCH(ROWS($AG$2:AG604),$AG$2:$AG$1001,0),1)&gt;=100000,INDEX($AN$1005:$BO$1005,1,MATCH(COLUMNS($AN$1006:BA1006),$AN$1006:$BO$1006,0))&gt;=100000), " ",IF(INDEX($AN$2:$BO$1001,MATCH(ROWS($AG$2:AG604),$AG$2:$AG$1001,0),MATCH(COLUMNS($AN$1006:BA1006),$AN$1006:$BO$1006,0)), HYPERLINK("#",""), HYPERLINK(CONCATENATE("#Metadata!", ADDRESS(INDEX($AI$2:$AI$1001,MATCH(ROWS($AG$2:AG604),$AG$2:$AG$1001,0),0), INDEX($AN$1004:$BO$1004,1,MATCH(COLUMNS($AN$1006:BA1006),$AN$1006:$BO$1006,0)))),"Fix")))</f>
        <v>0</v>
      </c>
      <c r="P604" s="4">
        <f>IF(OR(INDEX($AH$2:$AH$1001,MATCH(ROWS($AG$2:AG604),$AG$2:$AG$1001,0),1)&gt;=100000,INDEX($AN$1005:$BO$1005,1,MATCH(COLUMNS($AN$1006:BB1006),$AN$1006:$BO$1006,0))&gt;=100000), " ",IF(INDEX($AN$2:$BO$1001,MATCH(ROWS($AG$2:AG604),$AG$2:$AG$1001,0),MATCH(COLUMNS($AN$1006:BB1006),$AN$1006:$BO$1006,0)), HYPERLINK("#",""), HYPERLINK(CONCATENATE("#Metadata!", ADDRESS(INDEX($AI$2:$AI$1001,MATCH(ROWS($AG$2:AG604),$AG$2:$AG$1001,0),0), INDEX($AN$1004:$BO$1004,1,MATCH(COLUMNS($AN$1006:BB1006),$AN$1006:$BO$1006,0)))),"Fix")))</f>
        <v>0</v>
      </c>
      <c r="Q604" s="4">
        <f>IF(OR(INDEX($AH$2:$AH$1001,MATCH(ROWS($AG$2:AG604),$AG$2:$AG$1001,0),1)&gt;=100000,INDEX($AN$1005:$BO$1005,1,MATCH(COLUMNS($AN$1006:BC1006),$AN$1006:$BO$1006,0))&gt;=100000), " ",IF(INDEX($AN$2:$BO$1001,MATCH(ROWS($AG$2:AG604),$AG$2:$AG$1001,0),MATCH(COLUMNS($AN$1006:BC1006),$AN$1006:$BO$1006,0)), HYPERLINK("#",""), HYPERLINK(CONCATENATE("#Metadata!", ADDRESS(INDEX($AI$2:$AI$1001,MATCH(ROWS($AG$2:AG604),$AG$2:$AG$1001,0),0), INDEX($AN$1004:$BO$1004,1,MATCH(COLUMNS($AN$1006:BC1006),$AN$1006:$BO$1006,0)))),"Fix")))</f>
        <v>0</v>
      </c>
      <c r="R604" s="4">
        <f>IF(OR(INDEX($AH$2:$AH$1001,MATCH(ROWS($AG$2:AG604),$AG$2:$AG$1001,0),1)&gt;=100000,INDEX($AN$1005:$BO$1005,1,MATCH(COLUMNS($AN$1006:BD1006),$AN$1006:$BO$1006,0))&gt;=100000), " ",IF(INDEX($AN$2:$BO$1001,MATCH(ROWS($AG$2:AG604),$AG$2:$AG$1001,0),MATCH(COLUMNS($AN$1006:BD1006),$AN$1006:$BO$1006,0)), HYPERLINK("#",""), HYPERLINK(CONCATENATE("#Metadata!", ADDRESS(INDEX($AI$2:$AI$1001,MATCH(ROWS($AG$2:AG604),$AG$2:$AG$1001,0),0), INDEX($AN$1004:$BO$1004,1,MATCH(COLUMNS($AN$1006:BD1006),$AN$1006:$BO$1006,0)))),"Fix")))</f>
        <v>0</v>
      </c>
      <c r="S604" s="4">
        <f>IF(OR(INDEX($AH$2:$AH$1001,MATCH(ROWS($AG$2:AG604),$AG$2:$AG$1001,0),1)&gt;=100000,INDEX($AN$1005:$BO$1005,1,MATCH(COLUMNS($AN$1006:BE1006),$AN$1006:$BO$1006,0))&gt;=100000), " ",IF(INDEX($AN$2:$BO$1001,MATCH(ROWS($AG$2:AG604),$AG$2:$AG$1001,0),MATCH(COLUMNS($AN$1006:BE1006),$AN$1006:$BO$1006,0)), HYPERLINK("#",""), HYPERLINK(CONCATENATE("#Metadata!", ADDRESS(INDEX($AI$2:$AI$1001,MATCH(ROWS($AG$2:AG604),$AG$2:$AG$1001,0),0), INDEX($AN$1004:$BO$1004,1,MATCH(COLUMNS($AN$1006:BE1006),$AN$1006:$BO$1006,0)))),"Fix")))</f>
        <v>0</v>
      </c>
      <c r="T604" s="4">
        <f>IF(OR(INDEX($AH$2:$AH$1001,MATCH(ROWS($AG$2:AG604),$AG$2:$AG$1001,0),1)&gt;=100000,INDEX($AN$1005:$BO$1005,1,MATCH(COLUMNS($AN$1006:BF1006),$AN$1006:$BO$1006,0))&gt;=100000), " ",IF(INDEX($AN$2:$BO$1001,MATCH(ROWS($AG$2:AG604),$AG$2:$AG$1001,0),MATCH(COLUMNS($AN$1006:BF1006),$AN$1006:$BO$1006,0)), HYPERLINK("#",""), HYPERLINK(CONCATENATE("#Metadata!", ADDRESS(INDEX($AI$2:$AI$1001,MATCH(ROWS($AG$2:AG604),$AG$2:$AG$1001,0),0), INDEX($AN$1004:$BO$1004,1,MATCH(COLUMNS($AN$1006:BF1006),$AN$1006:$BO$1006,0)))),"Fix")))</f>
        <v>0</v>
      </c>
      <c r="U604" s="4">
        <f>IF(OR(INDEX($AH$2:$AH$1001,MATCH(ROWS($AG$2:AG604),$AG$2:$AG$1001,0),1)&gt;=100000,INDEX($AN$1005:$BO$1005,1,MATCH(COLUMNS($AN$1006:BG1006),$AN$1006:$BO$1006,0))&gt;=100000), " ",IF(INDEX($AN$2:$BO$1001,MATCH(ROWS($AG$2:AG604),$AG$2:$AG$1001,0),MATCH(COLUMNS($AN$1006:BG1006),$AN$1006:$BO$1006,0)), HYPERLINK("#",""), HYPERLINK(CONCATENATE("#Metadata!", ADDRESS(INDEX($AI$2:$AI$1001,MATCH(ROWS($AG$2:AG604),$AG$2:$AG$1001,0),0), INDEX($AN$1004:$BO$1004,1,MATCH(COLUMNS($AN$1006:BG1006),$AN$1006:$BO$1006,0)))),"Fix")))</f>
        <v>0</v>
      </c>
      <c r="V604" s="4">
        <f>IF(OR(INDEX($AH$2:$AH$1001,MATCH(ROWS($AG$2:AG604),$AG$2:$AG$1001,0),1)&gt;=100000,INDEX($AN$1005:$BO$1005,1,MATCH(COLUMNS($AN$1006:BH1006),$AN$1006:$BO$1006,0))&gt;=100000), " ",IF(INDEX($AN$2:$BO$1001,MATCH(ROWS($AG$2:AG604),$AG$2:$AG$1001,0),MATCH(COLUMNS($AN$1006:BH1006),$AN$1006:$BO$1006,0)), HYPERLINK("#",""), HYPERLINK(CONCATENATE("#Metadata!", ADDRESS(INDEX($AI$2:$AI$1001,MATCH(ROWS($AG$2:AG604),$AG$2:$AG$1001,0),0), INDEX($AN$1004:$BO$1004,1,MATCH(COLUMNS($AN$1006:BH1006),$AN$1006:$BO$1006,0)))),"Fix")))</f>
        <v>0</v>
      </c>
      <c r="W604" s="4">
        <f>IF(OR(INDEX($AH$2:$AH$1001,MATCH(ROWS($AG$2:AG604),$AG$2:$AG$1001,0),1)&gt;=100000,INDEX($AN$1005:$BO$1005,1,MATCH(COLUMNS($AN$1006:BI1006),$AN$1006:$BO$1006,0))&gt;=100000), " ",IF(INDEX($AN$2:$BO$1001,MATCH(ROWS($AG$2:AG604),$AG$2:$AG$1001,0),MATCH(COLUMNS($AN$1006:BI1006),$AN$1006:$BO$1006,0)), HYPERLINK("#",""), HYPERLINK(CONCATENATE("#Metadata!", ADDRESS(INDEX($AI$2:$AI$1001,MATCH(ROWS($AG$2:AG604),$AG$2:$AG$1001,0),0), INDEX($AN$1004:$BO$1004,1,MATCH(COLUMNS($AN$1006:BI1006),$AN$1006:$BO$1006,0)))),"Fix")))</f>
        <v>0</v>
      </c>
      <c r="X604" s="4">
        <f>IF(OR(INDEX($AH$2:$AH$1001,MATCH(ROWS($AG$2:AG604),$AG$2:$AG$1001,0),1)&gt;=100000,INDEX($AN$1005:$BO$1005,1,MATCH(COLUMNS($AN$1006:BJ1006),$AN$1006:$BO$1006,0))&gt;=100000), " ",IF(INDEX($AN$2:$BO$1001,MATCH(ROWS($AG$2:AG604),$AG$2:$AG$1001,0),MATCH(COLUMNS($AN$1006:BJ1006),$AN$1006:$BO$1006,0)), HYPERLINK("#",""), HYPERLINK(CONCATENATE("#Metadata!", ADDRESS(INDEX($AI$2:$AI$1001,MATCH(ROWS($AG$2:AG604),$AG$2:$AG$1001,0),0), INDEX($AN$1004:$BO$1004,1,MATCH(COLUMNS($AN$1006:BJ1006),$AN$1006:$BO$1006,0)))),"Fix")))</f>
        <v>0</v>
      </c>
      <c r="Y604" s="4">
        <f>IF(OR(INDEX($AH$2:$AH$1001,MATCH(ROWS($AG$2:AG604),$AG$2:$AG$1001,0),1)&gt;=100000,INDEX($AN$1005:$BO$1005,1,MATCH(COLUMNS($AN$1006:BK1006),$AN$1006:$BO$1006,0))&gt;=100000), " ",IF(INDEX($AN$2:$BO$1001,MATCH(ROWS($AG$2:AG604),$AG$2:$AG$1001,0),MATCH(COLUMNS($AN$1006:BK1006),$AN$1006:$BO$1006,0)), HYPERLINK("#",""), HYPERLINK(CONCATENATE("#Metadata!", ADDRESS(INDEX($AI$2:$AI$1001,MATCH(ROWS($AG$2:AG604),$AG$2:$AG$1001,0),0), INDEX($AN$1004:$BO$1004,1,MATCH(COLUMNS($AN$1006:BK1006),$AN$1006:$BO$1006,0)))),"Fix")))</f>
        <v>0</v>
      </c>
      <c r="Z604" s="4">
        <f>IF(OR(INDEX($AH$2:$AH$1001,MATCH(ROWS($AG$2:AG604),$AG$2:$AG$1001,0),1)&gt;=100000,INDEX($AN$1005:$BO$1005,1,MATCH(COLUMNS($AN$1006:BL1006),$AN$1006:$BO$1006,0))&gt;=100000), " ",IF(INDEX($AN$2:$BO$1001,MATCH(ROWS($AG$2:AG604),$AG$2:$AG$1001,0),MATCH(COLUMNS($AN$1006:BL1006),$AN$1006:$BO$1006,0)), HYPERLINK("#",""), HYPERLINK(CONCATENATE("#Metadata!", ADDRESS(INDEX($AI$2:$AI$1001,MATCH(ROWS($AG$2:AG604),$AG$2:$AG$1001,0),0), INDEX($AN$1004:$BO$1004,1,MATCH(COLUMNS($AN$1006:BL1006),$AN$1006:$BO$1006,0)))),"Fix")))</f>
        <v>0</v>
      </c>
      <c r="AA604" s="4">
        <f>IF(OR(INDEX($AH$2:$AH$1001,MATCH(ROWS($AG$2:AG604),$AG$2:$AG$1001,0),1)&gt;=100000,INDEX($AN$1005:$BO$1005,1,MATCH(COLUMNS($AN$1006:BM1006),$AN$1006:$BO$1006,0))&gt;=100000), " ",IF(INDEX($AN$2:$BO$1001,MATCH(ROWS($AG$2:AG604),$AG$2:$AG$1001,0),MATCH(COLUMNS($AN$1006:BM1006),$AN$1006:$BO$1006,0)), HYPERLINK("#",""), HYPERLINK(CONCATENATE("#Metadata!", ADDRESS(INDEX($AI$2:$AI$1001,MATCH(ROWS($AG$2:AG604),$AG$2:$AG$1001,0),0), INDEX($AN$1004:$BO$1004,1,MATCH(COLUMNS($AN$1006:BM1006),$AN$1006:$BO$1006,0)))),"Fix")))</f>
        <v>0</v>
      </c>
      <c r="AB604" s="4">
        <f>IF(OR(INDEX($AH$2:$AH$1001,MATCH(ROWS($AG$2:AG604),$AG$2:$AG$1001,0),1)&gt;=100000,INDEX($AN$1005:$BO$1005,1,MATCH(COLUMNS($AN$1006:BN1006),$AN$1006:$BO$1006,0))&gt;=100000), " ",IF(INDEX($AN$2:$BO$1001,MATCH(ROWS($AG$2:AG604),$AG$2:$AG$1001,0),MATCH(COLUMNS($AN$1006:BN1006),$AN$1006:$BO$1006,0)), HYPERLINK("#",""), HYPERLINK(CONCATENATE("#Metadata!", ADDRESS(INDEX($AI$2:$AI$1001,MATCH(ROWS($AG$2:AG604),$AG$2:$AG$1001,0),0), INDEX($AN$1004:$BO$1004,1,MATCH(COLUMNS($AN$1006:BN1006),$AN$1006:$BO$1006,0)))),"Fix")))</f>
        <v>0</v>
      </c>
      <c r="AC604" s="4">
        <f>IF(OR(INDEX($AH$2:$AH$1001,MATCH(ROWS($AG$2:AG604),$AG$2:$AG$1001,0),1)&gt;=100000,INDEX($AN$1005:$BO$1005,1,MATCH(COLUMNS($AN$1006:BO1006),$AN$1006:$BO$1006,0))&gt;=100000), " ",IF(INDEX($AN$2:$BO$1001,MATCH(ROWS($AG$2:AG604),$AG$2:$AG$1001,0),MATCH(COLUMNS($AN$1006:BO1006),$AN$1006:$BO$1006,0)), HYPERLINK("#",""), HYPERLINK(CONCATENATE("#Metadata!", ADDRESS(INDEX($AI$2:$AI$1001,MATCH(ROWS($AG$2:AG604),$AG$2:$AG$1001,0),0), INDEX($AN$1004:$BO$1004,1,MATCH(COLUMNS($AN$1006:BO1006),$AN$1006:$BO$1006,0)))),"Fix")))</f>
        <v>0</v>
      </c>
      <c r="AG604">
        <v>0</v>
      </c>
      <c r="AH604">
        <v>0</v>
      </c>
      <c r="AI604">
        <v>0</v>
      </c>
      <c r="AJ604">
        <f>IF(AK604,TRUE,AND(AN604:BO604))</f>
        <v>0</v>
      </c>
      <c r="AK604">
        <f>COUNTBLANK(Metadata!B604:AC604)=COLUMNS(Metadata!B604:AC604)</f>
        <v>0</v>
      </c>
      <c r="AL604">
        <v>0</v>
      </c>
      <c r="AN604">
        <f>AND(IF(Metadata!B604="",FALSE,TRUE),COUNTIF(Metadata!B:B, Metadata!B604) = 1,NOT(ISERROR(SUMPRODUCT(SEARCH(MID(Metadata!B604,ROW(INDIRECT("1:"&amp;LEN(Metadata!B604))), 1),"0123456789abcdefghijklmnopqrstuvwxyzABCDEFGHIJKLMNOPQRSTUVWXYZ.")))))</f>
        <v>0</v>
      </c>
      <c r="AO604">
        <f>IF(Metadata!C604="",FALSE,TRUE)</f>
        <v>0</v>
      </c>
      <c r="AP604">
        <f>IF(Metadata!D604="",FALSE,TRUE)</f>
        <v>0</v>
      </c>
      <c r="AQ604">
        <f>OR(AND(IF(Metadata!E604="",FALSE,TRUE),OR(exact(Metadata!E604,"not collected"),exact(Metadata!E604,"not provided"),exact(Metadata!E604,"restricted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R604">
        <f>IF(Metadata!F604="",FALSE,TRUE)</f>
        <v>0</v>
      </c>
      <c r="AS604">
        <f>OR(AND(IF(Metadata!G604="",FALSE,TRUE),OR(exact(Metadata!G604,"not collected"),exact(Metadata!G604,"not provided"))),AND(IF(Metadata!G604="",FALSE,TRUE),OR(exact(Metadata!G604,"TRUE"),exact(Metadata!G604,"FALSE"))))</f>
        <v>0</v>
      </c>
      <c r="AT604">
        <f>OR(AND(IF(Metadata!H604="",FALSE,TRUE),OR(exact(Metadata!H604,"not collected"),exact(Metadata!H604,"not provided"),exact(Metadata!H604,"restricted access"))),AND(IF(Metadata!H604="",FALSE,ISNUMBER(VALUE(Metadata!H604))),Metadata!H604&gt;=-413.0))</f>
        <v>0</v>
      </c>
      <c r="AU604">
        <f>AND(IF(Metadata!I604="",FALSE,TRUE),exact(Metadata!I604,"meters"))</f>
        <v>0</v>
      </c>
      <c r="AV604">
        <f>AND(IF(Metadata!J604="",FALSE,TRUE),OR(exact(Metadata!J604,"Host-associated"),exact(Metadata!J604,"Free-living")))</f>
        <v>0</v>
      </c>
      <c r="AW604">
        <f>AND(IF(Metadata!K604="",FALSE,TRUE),OR(exact(Metadata!K604,"Animal"),exact(Metadata!K604,"Fungus"),exact(Metadata!K604,"Plant"),exact(Metadata!K604,"Saline"),exact(Metadata!K604,"Non-saline")))</f>
        <v>0</v>
      </c>
      <c r="AX604">
        <f>AND(IF(Metadata!L604="",FALSE,TRUE),OR(exact(Metadata!L604,"Plant secretion"),exact(Metadata!L604,"Plant rhizosphere"),exact(Metadata!L604,"Plant surface"),exact(Metadata!L604,"Plant corpus"),exact(Metadata!L604,"Fungus surface"),exact(Metadata!L604,"Fungus corpus"),exact(Metadata!L604,"Animal surface"),exact(Metadata!L604,"Animal proximal gut"),exact(Metadata!L604,"Animal corpus"),exact(Metadata!L604,"Animal distal gut"),exact(Metadata!L604,"Animal secretion"),exact(Metadata!L604,"Sub-surface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Y604">
        <f>IF(Metadata!M604="",FALSE,TRUE)</f>
        <v>0</v>
      </c>
      <c r="AZ604">
        <f>IF(Metadata!N604="",FALSE,TRUE)</f>
        <v>0</v>
      </c>
      <c r="BA604">
        <f>IF(Metadata!O604="",FALSE,TRUE)</f>
        <v>0</v>
      </c>
      <c r="BB604">
        <f>OR(AND(IF(Metadata!P604="",FALSE,TRUE),OR(exact(Metadata!P604,"not collected"),exact(Metadata!P604,"not provided"),exact(Metadata!P604,"restricted access"))),AND(IF(Metadata!P604="",FALSE,TRUE),OR(exact(Metadata!P604,"air"),exact(Metadata!P604,"built environment"),exact(Metadata!P604,"host-associated"),exact(Metadata!P604,"human-associated"),exact(Metadata!P604,"human-skin"),exact(Metadata!P604,"human-oral"),exact(Metadata!P604,"human-gut"),exact(Metadata!P604,"human-vaginal"),exact(Metadata!P604,"microbial mat/biofilm"),exact(Metadata!P604,"misc environment"),exact(Metadata!P604,"plant-associated"),exact(Metadata!P604,"sediment"),exact(Metadata!P604,"soil"),exact(Metadata!P604,"wastewater/sludge"),exact(Metadata!P604,"water"))))</f>
        <v>0</v>
      </c>
      <c r="BC604">
        <f>IF(Metadata!Q604="",FALSE,TRUE)</f>
        <v>0</v>
      </c>
      <c r="BD604">
        <f>IF(Metadata!R604="",FALSE,TRUE)</f>
        <v>0</v>
      </c>
      <c r="BE604">
        <f>OR(AND(IF(Metadata!S604="",FALSE,TRUE),OR(exact(Metadata!S604,"not collected"),exact(Metadata!S604,"not provided"),exact(Metadata!S604,"restricted access"))),AND(IF(Metadata!S604="",FALSE,ISNUMBER(VALUE(Metadata!S604))),Metadata!S604&gt;=-90.00,Metadata!S604&lt;=90.00))</f>
        <v>0</v>
      </c>
      <c r="BF604">
        <f>AND(IF(Metadata!T604="",FALSE,TRUE),exact(Metadata!T604,"Decimal degrees"))</f>
        <v>0</v>
      </c>
      <c r="BG604">
        <f>OR(AND(IF(Metadata!U604="",FALSE,TRUE),OR(exact(Metadata!U604,"not collected"),exact(Metadata!U604,"not provided"),exact(Metadata!U604,"restricted access"))),AND(IF(Metadata!U604="",FALSE,ISNUMBER(VALUE(Metadata!U604))),Metadata!U604&gt;=-180.00,Metadata!U604&lt;=180.00))</f>
        <v>0</v>
      </c>
      <c r="BH604">
        <f>AND(IF(Metadata!V604="",FALSE,TRUE),exact(Metadata!V604,"Decimal degrees"))</f>
        <v>0</v>
      </c>
      <c r="BI604">
        <f>IF(Metadata!W604="",FALSE,TRUE)</f>
        <v>0</v>
      </c>
      <c r="BJ604">
        <f>OR(AND(IF(Metadata!X604="",FALSE,TRUE),OR(exact(Metadata!X604,"not collected"),exact(Metadata!X604,"not provided"),exact(Metadata!X604,"restricted access"))),AND(IF(Metadata!X604="",FALSE,TRUE),OR(exact(Metadata!X604,"TRUE"),exact(Metadata!X604,"FALSE"))))</f>
        <v>0</v>
      </c>
      <c r="BK604">
        <f>AND(IF(Metadata!Y604="",FALSE,TRUE),exact(Metadata!Y604,"other"))</f>
        <v>0</v>
      </c>
      <c r="BL604">
        <f>IF(Metadata!Z604="",FALSE,TRUE)</f>
        <v>0</v>
      </c>
      <c r="BM604">
        <f>OR(AND(IF(Metadata!AA604="",FALSE,TRUE),OR(exact(Metadata!AA604,"not collected"),exact(Metadata!AA604,"not provided"))),AND(IF(Metadata!AA604="",FALSE,IF(ISERROR(INT(Metadata!AA604)),FALSE,INT(Metadata!AA604)=Metadata!AA604)),Metadata!AA604&gt;0))</f>
        <v>0</v>
      </c>
      <c r="BN604">
        <f>AND(IF(Metadata!AB604="",FALSE,TRUE),exact(Metadata!AB604,"Not applicable"))</f>
        <v>0</v>
      </c>
      <c r="BO604">
        <f>IF(Metadata!AC604="",FALSE,TRUE)</f>
        <v>0</v>
      </c>
    </row>
    <row r="605" spans="1:67">
      <c r="A605" s="5">
        <f>IF(B605=" "," ",HYPERLINK(CONCATENATE("#metadata!",ADDRESS(INDEX($AI$2:$AI$1001,MATCH(ROWS($AG$2:AG605),$AG$2:$AG$1001,0),0),1)),INDEX($AL$2:$AL$1001,MATCH(ROWS($AG$2:AG605),$AG$2:$AG$1001,0),0)))</f>
        <v>0</v>
      </c>
      <c r="B605" s="4">
        <f>IF(OR(INDEX($AH$2:$AH$1001,MATCH(ROWS($AG$2:AG605),$AG$2:$AG$1001,0),1)&gt;=100000,INDEX($AN$1005:$BO$1005,1,MATCH(COLUMNS($AN$1006:AN1006),$AN$1006:$BO$1006,0))&gt;=100000), " ",IF(INDEX($AN$2:$BO$1001,MATCH(ROWS($AG$2:AG605),$AG$2:$AG$1001,0),MATCH(COLUMNS($AN$1006:AN1006),$AN$1006:$BO$1006,0)), HYPERLINK("#",""), HYPERLINK(CONCATENATE("#Metadata!", ADDRESS(INDEX($AI$2:$AI$1001,MATCH(ROWS($AG$2:AG605),$AG$2:$AG$1001,0),0), INDEX($AN$1004:$BO$1004,1,MATCH(COLUMNS($AN$1006:AN1006),$AN$1006:$BO$1006,0)))),"Fix")))</f>
        <v>0</v>
      </c>
      <c r="C605" s="4">
        <f>IF(OR(INDEX($AH$2:$AH$1001,MATCH(ROWS($AG$2:AG605),$AG$2:$AG$1001,0),1)&gt;=100000,INDEX($AN$1005:$BO$1005,1,MATCH(COLUMNS($AN$1006:AO1006),$AN$1006:$BO$1006,0))&gt;=100000), " ",IF(INDEX($AN$2:$BO$1001,MATCH(ROWS($AG$2:AG605),$AG$2:$AG$1001,0),MATCH(COLUMNS($AN$1006:AO1006),$AN$1006:$BO$1006,0)), HYPERLINK("#",""), HYPERLINK(CONCATENATE("#Metadata!", ADDRESS(INDEX($AI$2:$AI$1001,MATCH(ROWS($AG$2:AG605),$AG$2:$AG$1001,0),0), INDEX($AN$1004:$BO$1004,1,MATCH(COLUMNS($AN$1006:AO1006),$AN$1006:$BO$1006,0)))),"Fix")))</f>
        <v>0</v>
      </c>
      <c r="D605" s="4">
        <f>IF(OR(INDEX($AH$2:$AH$1001,MATCH(ROWS($AG$2:AG605),$AG$2:$AG$1001,0),1)&gt;=100000,INDEX($AN$1005:$BO$1005,1,MATCH(COLUMNS($AN$1006:AP1006),$AN$1006:$BO$1006,0))&gt;=100000), " ",IF(INDEX($AN$2:$BO$1001,MATCH(ROWS($AG$2:AG605),$AG$2:$AG$1001,0),MATCH(COLUMNS($AN$1006:AP1006),$AN$1006:$BO$1006,0)), HYPERLINK("#",""), HYPERLINK(CONCATENATE("#Metadata!", ADDRESS(INDEX($AI$2:$AI$1001,MATCH(ROWS($AG$2:AG605),$AG$2:$AG$1001,0),0), INDEX($AN$1004:$BO$1004,1,MATCH(COLUMNS($AN$1006:AP1006),$AN$1006:$BO$1006,0)))),"Fix")))</f>
        <v>0</v>
      </c>
      <c r="E605" s="4">
        <f>IF(OR(INDEX($AH$2:$AH$1001,MATCH(ROWS($AG$2:AG605),$AG$2:$AG$1001,0),1)&gt;=100000,INDEX($AN$1005:$BO$1005,1,MATCH(COLUMNS($AN$1006:AQ1006),$AN$1006:$BO$1006,0))&gt;=100000), " ",IF(INDEX($AN$2:$BO$1001,MATCH(ROWS($AG$2:AG605),$AG$2:$AG$1001,0),MATCH(COLUMNS($AN$1006:AQ1006),$AN$1006:$BO$1006,0)), HYPERLINK("#",""), HYPERLINK(CONCATENATE("#Metadata!", ADDRESS(INDEX($AI$2:$AI$1001,MATCH(ROWS($AG$2:AG605),$AG$2:$AG$1001,0),0), INDEX($AN$1004:$BO$1004,1,MATCH(COLUMNS($AN$1006:AQ1006),$AN$1006:$BO$1006,0)))),"Fix")))</f>
        <v>0</v>
      </c>
      <c r="F605" s="4">
        <f>IF(OR(INDEX($AH$2:$AH$1001,MATCH(ROWS($AG$2:AG605),$AG$2:$AG$1001,0),1)&gt;=100000,INDEX($AN$1005:$BO$1005,1,MATCH(COLUMNS($AN$1006:AR1006),$AN$1006:$BO$1006,0))&gt;=100000), " ",IF(INDEX($AN$2:$BO$1001,MATCH(ROWS($AG$2:AG605),$AG$2:$AG$1001,0),MATCH(COLUMNS($AN$1006:AR1006),$AN$1006:$BO$1006,0)), HYPERLINK("#",""), HYPERLINK(CONCATENATE("#Metadata!", ADDRESS(INDEX($AI$2:$AI$1001,MATCH(ROWS($AG$2:AG605),$AG$2:$AG$1001,0),0), INDEX($AN$1004:$BO$1004,1,MATCH(COLUMNS($AN$1006:AR1006),$AN$1006:$BO$1006,0)))),"Fix")))</f>
        <v>0</v>
      </c>
      <c r="G605" s="4">
        <f>IF(OR(INDEX($AH$2:$AH$1001,MATCH(ROWS($AG$2:AG605),$AG$2:$AG$1001,0),1)&gt;=100000,INDEX($AN$1005:$BO$1005,1,MATCH(COLUMNS($AN$1006:AS1006),$AN$1006:$BO$1006,0))&gt;=100000), " ",IF(INDEX($AN$2:$BO$1001,MATCH(ROWS($AG$2:AG605),$AG$2:$AG$1001,0),MATCH(COLUMNS($AN$1006:AS1006),$AN$1006:$BO$1006,0)), HYPERLINK("#",""), HYPERLINK(CONCATENATE("#Metadata!", ADDRESS(INDEX($AI$2:$AI$1001,MATCH(ROWS($AG$2:AG605),$AG$2:$AG$1001,0),0), INDEX($AN$1004:$BO$1004,1,MATCH(COLUMNS($AN$1006:AS1006),$AN$1006:$BO$1006,0)))),"Fix")))</f>
        <v>0</v>
      </c>
      <c r="H605" s="4">
        <f>IF(OR(INDEX($AH$2:$AH$1001,MATCH(ROWS($AG$2:AG605),$AG$2:$AG$1001,0),1)&gt;=100000,INDEX($AN$1005:$BO$1005,1,MATCH(COLUMNS($AN$1006:AT1006),$AN$1006:$BO$1006,0))&gt;=100000), " ",IF(INDEX($AN$2:$BO$1001,MATCH(ROWS($AG$2:AG605),$AG$2:$AG$1001,0),MATCH(COLUMNS($AN$1006:AT1006),$AN$1006:$BO$1006,0)), HYPERLINK("#",""), HYPERLINK(CONCATENATE("#Metadata!", ADDRESS(INDEX($AI$2:$AI$1001,MATCH(ROWS($AG$2:AG605),$AG$2:$AG$1001,0),0), INDEX($AN$1004:$BO$1004,1,MATCH(COLUMNS($AN$1006:AT1006),$AN$1006:$BO$1006,0)))),"Fix")))</f>
        <v>0</v>
      </c>
      <c r="I605" s="4">
        <f>IF(OR(INDEX($AH$2:$AH$1001,MATCH(ROWS($AG$2:AG605),$AG$2:$AG$1001,0),1)&gt;=100000,INDEX($AN$1005:$BO$1005,1,MATCH(COLUMNS($AN$1006:AU1006),$AN$1006:$BO$1006,0))&gt;=100000), " ",IF(INDEX($AN$2:$BO$1001,MATCH(ROWS($AG$2:AG605),$AG$2:$AG$1001,0),MATCH(COLUMNS($AN$1006:AU1006),$AN$1006:$BO$1006,0)), HYPERLINK("#",""), HYPERLINK(CONCATENATE("#Metadata!", ADDRESS(INDEX($AI$2:$AI$1001,MATCH(ROWS($AG$2:AG605),$AG$2:$AG$1001,0),0), INDEX($AN$1004:$BO$1004,1,MATCH(COLUMNS($AN$1006:AU1006),$AN$1006:$BO$1006,0)))),"Fix")))</f>
        <v>0</v>
      </c>
      <c r="J605" s="4">
        <f>IF(OR(INDEX($AH$2:$AH$1001,MATCH(ROWS($AG$2:AG605),$AG$2:$AG$1001,0),1)&gt;=100000,INDEX($AN$1005:$BO$1005,1,MATCH(COLUMNS($AN$1006:AV1006),$AN$1006:$BO$1006,0))&gt;=100000), " ",IF(INDEX($AN$2:$BO$1001,MATCH(ROWS($AG$2:AG605),$AG$2:$AG$1001,0),MATCH(COLUMNS($AN$1006:AV1006),$AN$1006:$BO$1006,0)), HYPERLINK("#",""), HYPERLINK(CONCATENATE("#Metadata!", ADDRESS(INDEX($AI$2:$AI$1001,MATCH(ROWS($AG$2:AG605),$AG$2:$AG$1001,0),0), INDEX($AN$1004:$BO$1004,1,MATCH(COLUMNS($AN$1006:AV1006),$AN$1006:$BO$1006,0)))),"Fix")))</f>
        <v>0</v>
      </c>
      <c r="K605" s="4">
        <f>IF(OR(INDEX($AH$2:$AH$1001,MATCH(ROWS($AG$2:AG605),$AG$2:$AG$1001,0),1)&gt;=100000,INDEX($AN$1005:$BO$1005,1,MATCH(COLUMNS($AN$1006:AW1006),$AN$1006:$BO$1006,0))&gt;=100000), " ",IF(INDEX($AN$2:$BO$1001,MATCH(ROWS($AG$2:AG605),$AG$2:$AG$1001,0),MATCH(COLUMNS($AN$1006:AW1006),$AN$1006:$BO$1006,0)), HYPERLINK("#",""), HYPERLINK(CONCATENATE("#Metadata!", ADDRESS(INDEX($AI$2:$AI$1001,MATCH(ROWS($AG$2:AG605),$AG$2:$AG$1001,0),0), INDEX($AN$1004:$BO$1004,1,MATCH(COLUMNS($AN$1006:AW1006),$AN$1006:$BO$1006,0)))),"Fix")))</f>
        <v>0</v>
      </c>
      <c r="L605" s="4">
        <f>IF(OR(INDEX($AH$2:$AH$1001,MATCH(ROWS($AG$2:AG605),$AG$2:$AG$1001,0),1)&gt;=100000,INDEX($AN$1005:$BO$1005,1,MATCH(COLUMNS($AN$1006:AX1006),$AN$1006:$BO$1006,0))&gt;=100000), " ",IF(INDEX($AN$2:$BO$1001,MATCH(ROWS($AG$2:AG605),$AG$2:$AG$1001,0),MATCH(COLUMNS($AN$1006:AX1006),$AN$1006:$BO$1006,0)), HYPERLINK("#",""), HYPERLINK(CONCATENATE("#Metadata!", ADDRESS(INDEX($AI$2:$AI$1001,MATCH(ROWS($AG$2:AG605),$AG$2:$AG$1001,0),0), INDEX($AN$1004:$BO$1004,1,MATCH(COLUMNS($AN$1006:AX1006),$AN$1006:$BO$1006,0)))),"Fix")))</f>
        <v>0</v>
      </c>
      <c r="M605" s="4">
        <f>IF(OR(INDEX($AH$2:$AH$1001,MATCH(ROWS($AG$2:AG605),$AG$2:$AG$1001,0),1)&gt;=100000,INDEX($AN$1005:$BO$1005,1,MATCH(COLUMNS($AN$1006:AY1006),$AN$1006:$BO$1006,0))&gt;=100000), " ",IF(INDEX($AN$2:$BO$1001,MATCH(ROWS($AG$2:AG605),$AG$2:$AG$1001,0),MATCH(COLUMNS($AN$1006:AY1006),$AN$1006:$BO$1006,0)), HYPERLINK("#",""), HYPERLINK(CONCATENATE("#Metadata!", ADDRESS(INDEX($AI$2:$AI$1001,MATCH(ROWS($AG$2:AG605),$AG$2:$AG$1001,0),0), INDEX($AN$1004:$BO$1004,1,MATCH(COLUMNS($AN$1006:AY1006),$AN$1006:$BO$1006,0)))),"Fix")))</f>
        <v>0</v>
      </c>
      <c r="N605" s="4">
        <f>IF(OR(INDEX($AH$2:$AH$1001,MATCH(ROWS($AG$2:AG605),$AG$2:$AG$1001,0),1)&gt;=100000,INDEX($AN$1005:$BO$1005,1,MATCH(COLUMNS($AN$1006:AZ1006),$AN$1006:$BO$1006,0))&gt;=100000), " ",IF(INDEX($AN$2:$BO$1001,MATCH(ROWS($AG$2:AG605),$AG$2:$AG$1001,0),MATCH(COLUMNS($AN$1006:AZ1006),$AN$1006:$BO$1006,0)), HYPERLINK("#",""), HYPERLINK(CONCATENATE("#Metadata!", ADDRESS(INDEX($AI$2:$AI$1001,MATCH(ROWS($AG$2:AG605),$AG$2:$AG$1001,0),0), INDEX($AN$1004:$BO$1004,1,MATCH(COLUMNS($AN$1006:AZ1006),$AN$1006:$BO$1006,0)))),"Fix")))</f>
        <v>0</v>
      </c>
      <c r="O605" s="4">
        <f>IF(OR(INDEX($AH$2:$AH$1001,MATCH(ROWS($AG$2:AG605),$AG$2:$AG$1001,0),1)&gt;=100000,INDEX($AN$1005:$BO$1005,1,MATCH(COLUMNS($AN$1006:BA1006),$AN$1006:$BO$1006,0))&gt;=100000), " ",IF(INDEX($AN$2:$BO$1001,MATCH(ROWS($AG$2:AG605),$AG$2:$AG$1001,0),MATCH(COLUMNS($AN$1006:BA1006),$AN$1006:$BO$1006,0)), HYPERLINK("#",""), HYPERLINK(CONCATENATE("#Metadata!", ADDRESS(INDEX($AI$2:$AI$1001,MATCH(ROWS($AG$2:AG605),$AG$2:$AG$1001,0),0), INDEX($AN$1004:$BO$1004,1,MATCH(COLUMNS($AN$1006:BA1006),$AN$1006:$BO$1006,0)))),"Fix")))</f>
        <v>0</v>
      </c>
      <c r="P605" s="4">
        <f>IF(OR(INDEX($AH$2:$AH$1001,MATCH(ROWS($AG$2:AG605),$AG$2:$AG$1001,0),1)&gt;=100000,INDEX($AN$1005:$BO$1005,1,MATCH(COLUMNS($AN$1006:BB1006),$AN$1006:$BO$1006,0))&gt;=100000), " ",IF(INDEX($AN$2:$BO$1001,MATCH(ROWS($AG$2:AG605),$AG$2:$AG$1001,0),MATCH(COLUMNS($AN$1006:BB1006),$AN$1006:$BO$1006,0)), HYPERLINK("#",""), HYPERLINK(CONCATENATE("#Metadata!", ADDRESS(INDEX($AI$2:$AI$1001,MATCH(ROWS($AG$2:AG605),$AG$2:$AG$1001,0),0), INDEX($AN$1004:$BO$1004,1,MATCH(COLUMNS($AN$1006:BB1006),$AN$1006:$BO$1006,0)))),"Fix")))</f>
        <v>0</v>
      </c>
      <c r="Q605" s="4">
        <f>IF(OR(INDEX($AH$2:$AH$1001,MATCH(ROWS($AG$2:AG605),$AG$2:$AG$1001,0),1)&gt;=100000,INDEX($AN$1005:$BO$1005,1,MATCH(COLUMNS($AN$1006:BC1006),$AN$1006:$BO$1006,0))&gt;=100000), " ",IF(INDEX($AN$2:$BO$1001,MATCH(ROWS($AG$2:AG605),$AG$2:$AG$1001,0),MATCH(COLUMNS($AN$1006:BC1006),$AN$1006:$BO$1006,0)), HYPERLINK("#",""), HYPERLINK(CONCATENATE("#Metadata!", ADDRESS(INDEX($AI$2:$AI$1001,MATCH(ROWS($AG$2:AG605),$AG$2:$AG$1001,0),0), INDEX($AN$1004:$BO$1004,1,MATCH(COLUMNS($AN$1006:BC1006),$AN$1006:$BO$1006,0)))),"Fix")))</f>
        <v>0</v>
      </c>
      <c r="R605" s="4">
        <f>IF(OR(INDEX($AH$2:$AH$1001,MATCH(ROWS($AG$2:AG605),$AG$2:$AG$1001,0),1)&gt;=100000,INDEX($AN$1005:$BO$1005,1,MATCH(COLUMNS($AN$1006:BD1006),$AN$1006:$BO$1006,0))&gt;=100000), " ",IF(INDEX($AN$2:$BO$1001,MATCH(ROWS($AG$2:AG605),$AG$2:$AG$1001,0),MATCH(COLUMNS($AN$1006:BD1006),$AN$1006:$BO$1006,0)), HYPERLINK("#",""), HYPERLINK(CONCATENATE("#Metadata!", ADDRESS(INDEX($AI$2:$AI$1001,MATCH(ROWS($AG$2:AG605),$AG$2:$AG$1001,0),0), INDEX($AN$1004:$BO$1004,1,MATCH(COLUMNS($AN$1006:BD1006),$AN$1006:$BO$1006,0)))),"Fix")))</f>
        <v>0</v>
      </c>
      <c r="S605" s="4">
        <f>IF(OR(INDEX($AH$2:$AH$1001,MATCH(ROWS($AG$2:AG605),$AG$2:$AG$1001,0),1)&gt;=100000,INDEX($AN$1005:$BO$1005,1,MATCH(COLUMNS($AN$1006:BE1006),$AN$1006:$BO$1006,0))&gt;=100000), " ",IF(INDEX($AN$2:$BO$1001,MATCH(ROWS($AG$2:AG605),$AG$2:$AG$1001,0),MATCH(COLUMNS($AN$1006:BE1006),$AN$1006:$BO$1006,0)), HYPERLINK("#",""), HYPERLINK(CONCATENATE("#Metadata!", ADDRESS(INDEX($AI$2:$AI$1001,MATCH(ROWS($AG$2:AG605),$AG$2:$AG$1001,0),0), INDEX($AN$1004:$BO$1004,1,MATCH(COLUMNS($AN$1006:BE1006),$AN$1006:$BO$1006,0)))),"Fix")))</f>
        <v>0</v>
      </c>
      <c r="T605" s="4">
        <f>IF(OR(INDEX($AH$2:$AH$1001,MATCH(ROWS($AG$2:AG605),$AG$2:$AG$1001,0),1)&gt;=100000,INDEX($AN$1005:$BO$1005,1,MATCH(COLUMNS($AN$1006:BF1006),$AN$1006:$BO$1006,0))&gt;=100000), " ",IF(INDEX($AN$2:$BO$1001,MATCH(ROWS($AG$2:AG605),$AG$2:$AG$1001,0),MATCH(COLUMNS($AN$1006:BF1006),$AN$1006:$BO$1006,0)), HYPERLINK("#",""), HYPERLINK(CONCATENATE("#Metadata!", ADDRESS(INDEX($AI$2:$AI$1001,MATCH(ROWS($AG$2:AG605),$AG$2:$AG$1001,0),0), INDEX($AN$1004:$BO$1004,1,MATCH(COLUMNS($AN$1006:BF1006),$AN$1006:$BO$1006,0)))),"Fix")))</f>
        <v>0</v>
      </c>
      <c r="U605" s="4">
        <f>IF(OR(INDEX($AH$2:$AH$1001,MATCH(ROWS($AG$2:AG605),$AG$2:$AG$1001,0),1)&gt;=100000,INDEX($AN$1005:$BO$1005,1,MATCH(COLUMNS($AN$1006:BG1006),$AN$1006:$BO$1006,0))&gt;=100000), " ",IF(INDEX($AN$2:$BO$1001,MATCH(ROWS($AG$2:AG605),$AG$2:$AG$1001,0),MATCH(COLUMNS($AN$1006:BG1006),$AN$1006:$BO$1006,0)), HYPERLINK("#",""), HYPERLINK(CONCATENATE("#Metadata!", ADDRESS(INDEX($AI$2:$AI$1001,MATCH(ROWS($AG$2:AG605),$AG$2:$AG$1001,0),0), INDEX($AN$1004:$BO$1004,1,MATCH(COLUMNS($AN$1006:BG1006),$AN$1006:$BO$1006,0)))),"Fix")))</f>
        <v>0</v>
      </c>
      <c r="V605" s="4">
        <f>IF(OR(INDEX($AH$2:$AH$1001,MATCH(ROWS($AG$2:AG605),$AG$2:$AG$1001,0),1)&gt;=100000,INDEX($AN$1005:$BO$1005,1,MATCH(COLUMNS($AN$1006:BH1006),$AN$1006:$BO$1006,0))&gt;=100000), " ",IF(INDEX($AN$2:$BO$1001,MATCH(ROWS($AG$2:AG605),$AG$2:$AG$1001,0),MATCH(COLUMNS($AN$1006:BH1006),$AN$1006:$BO$1006,0)), HYPERLINK("#",""), HYPERLINK(CONCATENATE("#Metadata!", ADDRESS(INDEX($AI$2:$AI$1001,MATCH(ROWS($AG$2:AG605),$AG$2:$AG$1001,0),0), INDEX($AN$1004:$BO$1004,1,MATCH(COLUMNS($AN$1006:BH1006),$AN$1006:$BO$1006,0)))),"Fix")))</f>
        <v>0</v>
      </c>
      <c r="W605" s="4">
        <f>IF(OR(INDEX($AH$2:$AH$1001,MATCH(ROWS($AG$2:AG605),$AG$2:$AG$1001,0),1)&gt;=100000,INDEX($AN$1005:$BO$1005,1,MATCH(COLUMNS($AN$1006:BI1006),$AN$1006:$BO$1006,0))&gt;=100000), " ",IF(INDEX($AN$2:$BO$1001,MATCH(ROWS($AG$2:AG605),$AG$2:$AG$1001,0),MATCH(COLUMNS($AN$1006:BI1006),$AN$1006:$BO$1006,0)), HYPERLINK("#",""), HYPERLINK(CONCATENATE("#Metadata!", ADDRESS(INDEX($AI$2:$AI$1001,MATCH(ROWS($AG$2:AG605),$AG$2:$AG$1001,0),0), INDEX($AN$1004:$BO$1004,1,MATCH(COLUMNS($AN$1006:BI1006),$AN$1006:$BO$1006,0)))),"Fix")))</f>
        <v>0</v>
      </c>
      <c r="X605" s="4">
        <f>IF(OR(INDEX($AH$2:$AH$1001,MATCH(ROWS($AG$2:AG605),$AG$2:$AG$1001,0),1)&gt;=100000,INDEX($AN$1005:$BO$1005,1,MATCH(COLUMNS($AN$1006:BJ1006),$AN$1006:$BO$1006,0))&gt;=100000), " ",IF(INDEX($AN$2:$BO$1001,MATCH(ROWS($AG$2:AG605),$AG$2:$AG$1001,0),MATCH(COLUMNS($AN$1006:BJ1006),$AN$1006:$BO$1006,0)), HYPERLINK("#",""), HYPERLINK(CONCATENATE("#Metadata!", ADDRESS(INDEX($AI$2:$AI$1001,MATCH(ROWS($AG$2:AG605),$AG$2:$AG$1001,0),0), INDEX($AN$1004:$BO$1004,1,MATCH(COLUMNS($AN$1006:BJ1006),$AN$1006:$BO$1006,0)))),"Fix")))</f>
        <v>0</v>
      </c>
      <c r="Y605" s="4">
        <f>IF(OR(INDEX($AH$2:$AH$1001,MATCH(ROWS($AG$2:AG605),$AG$2:$AG$1001,0),1)&gt;=100000,INDEX($AN$1005:$BO$1005,1,MATCH(COLUMNS($AN$1006:BK1006),$AN$1006:$BO$1006,0))&gt;=100000), " ",IF(INDEX($AN$2:$BO$1001,MATCH(ROWS($AG$2:AG605),$AG$2:$AG$1001,0),MATCH(COLUMNS($AN$1006:BK1006),$AN$1006:$BO$1006,0)), HYPERLINK("#",""), HYPERLINK(CONCATENATE("#Metadata!", ADDRESS(INDEX($AI$2:$AI$1001,MATCH(ROWS($AG$2:AG605),$AG$2:$AG$1001,0),0), INDEX($AN$1004:$BO$1004,1,MATCH(COLUMNS($AN$1006:BK1006),$AN$1006:$BO$1006,0)))),"Fix")))</f>
        <v>0</v>
      </c>
      <c r="Z605" s="4">
        <f>IF(OR(INDEX($AH$2:$AH$1001,MATCH(ROWS($AG$2:AG605),$AG$2:$AG$1001,0),1)&gt;=100000,INDEX($AN$1005:$BO$1005,1,MATCH(COLUMNS($AN$1006:BL1006),$AN$1006:$BO$1006,0))&gt;=100000), " ",IF(INDEX($AN$2:$BO$1001,MATCH(ROWS($AG$2:AG605),$AG$2:$AG$1001,0),MATCH(COLUMNS($AN$1006:BL1006),$AN$1006:$BO$1006,0)), HYPERLINK("#",""), HYPERLINK(CONCATENATE("#Metadata!", ADDRESS(INDEX($AI$2:$AI$1001,MATCH(ROWS($AG$2:AG605),$AG$2:$AG$1001,0),0), INDEX($AN$1004:$BO$1004,1,MATCH(COLUMNS($AN$1006:BL1006),$AN$1006:$BO$1006,0)))),"Fix")))</f>
        <v>0</v>
      </c>
      <c r="AA605" s="4">
        <f>IF(OR(INDEX($AH$2:$AH$1001,MATCH(ROWS($AG$2:AG605),$AG$2:$AG$1001,0),1)&gt;=100000,INDEX($AN$1005:$BO$1005,1,MATCH(COLUMNS($AN$1006:BM1006),$AN$1006:$BO$1006,0))&gt;=100000), " ",IF(INDEX($AN$2:$BO$1001,MATCH(ROWS($AG$2:AG605),$AG$2:$AG$1001,0),MATCH(COLUMNS($AN$1006:BM1006),$AN$1006:$BO$1006,0)), HYPERLINK("#",""), HYPERLINK(CONCATENATE("#Metadata!", ADDRESS(INDEX($AI$2:$AI$1001,MATCH(ROWS($AG$2:AG605),$AG$2:$AG$1001,0),0), INDEX($AN$1004:$BO$1004,1,MATCH(COLUMNS($AN$1006:BM1006),$AN$1006:$BO$1006,0)))),"Fix")))</f>
        <v>0</v>
      </c>
      <c r="AB605" s="4">
        <f>IF(OR(INDEX($AH$2:$AH$1001,MATCH(ROWS($AG$2:AG605),$AG$2:$AG$1001,0),1)&gt;=100000,INDEX($AN$1005:$BO$1005,1,MATCH(COLUMNS($AN$1006:BN1006),$AN$1006:$BO$1006,0))&gt;=100000), " ",IF(INDEX($AN$2:$BO$1001,MATCH(ROWS($AG$2:AG605),$AG$2:$AG$1001,0),MATCH(COLUMNS($AN$1006:BN1006),$AN$1006:$BO$1006,0)), HYPERLINK("#",""), HYPERLINK(CONCATENATE("#Metadata!", ADDRESS(INDEX($AI$2:$AI$1001,MATCH(ROWS($AG$2:AG605),$AG$2:$AG$1001,0),0), INDEX($AN$1004:$BO$1004,1,MATCH(COLUMNS($AN$1006:BN1006),$AN$1006:$BO$1006,0)))),"Fix")))</f>
        <v>0</v>
      </c>
      <c r="AC605" s="4">
        <f>IF(OR(INDEX($AH$2:$AH$1001,MATCH(ROWS($AG$2:AG605),$AG$2:$AG$1001,0),1)&gt;=100000,INDEX($AN$1005:$BO$1005,1,MATCH(COLUMNS($AN$1006:BO1006),$AN$1006:$BO$1006,0))&gt;=100000), " ",IF(INDEX($AN$2:$BO$1001,MATCH(ROWS($AG$2:AG605),$AG$2:$AG$1001,0),MATCH(COLUMNS($AN$1006:BO1006),$AN$1006:$BO$1006,0)), HYPERLINK("#",""), HYPERLINK(CONCATENATE("#Metadata!", ADDRESS(INDEX($AI$2:$AI$1001,MATCH(ROWS($AG$2:AG605),$AG$2:$AG$1001,0),0), INDEX($AN$1004:$BO$1004,1,MATCH(COLUMNS($AN$1006:BO1006),$AN$1006:$BO$1006,0)))),"Fix")))</f>
        <v>0</v>
      </c>
      <c r="AG605">
        <v>0</v>
      </c>
      <c r="AH605">
        <v>0</v>
      </c>
      <c r="AI605">
        <v>0</v>
      </c>
      <c r="AJ605">
        <f>IF(AK605,TRUE,AND(AN605:BO605))</f>
        <v>0</v>
      </c>
      <c r="AK605">
        <f>COUNTBLANK(Metadata!B605:AC605)=COLUMNS(Metadata!B605:AC605)</f>
        <v>0</v>
      </c>
      <c r="AL605">
        <v>0</v>
      </c>
      <c r="AN605">
        <f>AND(IF(Metadata!B605="",FALSE,TRUE),COUNTIF(Metadata!B:B, Metadata!B605) = 1,NOT(ISERROR(SUMPRODUCT(SEARCH(MID(Metadata!B605,ROW(INDIRECT("1:"&amp;LEN(Metadata!B605))), 1),"0123456789abcdefghijklmnopqrstuvwxyzABCDEFGHIJKLMNOPQRSTUVWXYZ.")))))</f>
        <v>0</v>
      </c>
      <c r="AO605">
        <f>IF(Metadata!C605="",FALSE,TRUE)</f>
        <v>0</v>
      </c>
      <c r="AP605">
        <f>IF(Metadata!D605="",FALSE,TRUE)</f>
        <v>0</v>
      </c>
      <c r="AQ605">
        <f>OR(AND(IF(Metadata!E605="",FALSE,TRUE),OR(exact(Metadata!E605,"not collected"),exact(Metadata!E605,"not provided"),exact(Metadata!E605,"restricted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R605">
        <f>IF(Metadata!F605="",FALSE,TRUE)</f>
        <v>0</v>
      </c>
      <c r="AS605">
        <f>OR(AND(IF(Metadata!G605="",FALSE,TRUE),OR(exact(Metadata!G605,"not collected"),exact(Metadata!G605,"not provided"))),AND(IF(Metadata!G605="",FALSE,TRUE),OR(exact(Metadata!G605,"TRUE"),exact(Metadata!G605,"FALSE"))))</f>
        <v>0</v>
      </c>
      <c r="AT605">
        <f>OR(AND(IF(Metadata!H605="",FALSE,TRUE),OR(exact(Metadata!H605,"not collected"),exact(Metadata!H605,"not provided"),exact(Metadata!H605,"restricted access"))),AND(IF(Metadata!H605="",FALSE,ISNUMBER(VALUE(Metadata!H605))),Metadata!H605&gt;=-413.0))</f>
        <v>0</v>
      </c>
      <c r="AU605">
        <f>AND(IF(Metadata!I605="",FALSE,TRUE),exact(Metadata!I605,"meters"))</f>
        <v>0</v>
      </c>
      <c r="AV605">
        <f>AND(IF(Metadata!J605="",FALSE,TRUE),OR(exact(Metadata!J605,"Host-associated"),exact(Metadata!J605,"Free-living")))</f>
        <v>0</v>
      </c>
      <c r="AW605">
        <f>AND(IF(Metadata!K605="",FALSE,TRUE),OR(exact(Metadata!K605,"Animal"),exact(Metadata!K605,"Fungus"),exact(Metadata!K605,"Plant"),exact(Metadata!K605,"Saline"),exact(Metadata!K605,"Non-saline")))</f>
        <v>0</v>
      </c>
      <c r="AX605">
        <f>AND(IF(Metadata!L605="",FALSE,TRUE),OR(exact(Metadata!L605,"Plant secretion"),exact(Metadata!L605,"Plant rhizosphere"),exact(Metadata!L605,"Plant surface"),exact(Metadata!L605,"Plant corpus"),exact(Metadata!L605,"Fungus surface"),exact(Metadata!L605,"Fungus corpus"),exact(Metadata!L605,"Animal surface"),exact(Metadata!L605,"Animal proximal gut"),exact(Metadata!L605,"Animal corpus"),exact(Metadata!L605,"Animal distal gut"),exact(Metadata!L605,"Animal secretion"),exact(Metadata!L605,"Sub-surface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Y605">
        <f>IF(Metadata!M605="",FALSE,TRUE)</f>
        <v>0</v>
      </c>
      <c r="AZ605">
        <f>IF(Metadata!N605="",FALSE,TRUE)</f>
        <v>0</v>
      </c>
      <c r="BA605">
        <f>IF(Metadata!O605="",FALSE,TRUE)</f>
        <v>0</v>
      </c>
      <c r="BB605">
        <f>OR(AND(IF(Metadata!P605="",FALSE,TRUE),OR(exact(Metadata!P605,"not collected"),exact(Metadata!P605,"not provided"),exact(Metadata!P605,"restricted access"))),AND(IF(Metadata!P605="",FALSE,TRUE),OR(exact(Metadata!P605,"air"),exact(Metadata!P605,"built environment"),exact(Metadata!P605,"host-associated"),exact(Metadata!P605,"human-associated"),exact(Metadata!P605,"human-skin"),exact(Metadata!P605,"human-oral"),exact(Metadata!P605,"human-gut"),exact(Metadata!P605,"human-vaginal"),exact(Metadata!P605,"microbial mat/biofilm"),exact(Metadata!P605,"misc environment"),exact(Metadata!P605,"plant-associated"),exact(Metadata!P605,"sediment"),exact(Metadata!P605,"soil"),exact(Metadata!P605,"wastewater/sludge"),exact(Metadata!P605,"water"))))</f>
        <v>0</v>
      </c>
      <c r="BC605">
        <f>IF(Metadata!Q605="",FALSE,TRUE)</f>
        <v>0</v>
      </c>
      <c r="BD605">
        <f>IF(Metadata!R605="",FALSE,TRUE)</f>
        <v>0</v>
      </c>
      <c r="BE605">
        <f>OR(AND(IF(Metadata!S605="",FALSE,TRUE),OR(exact(Metadata!S605,"not collected"),exact(Metadata!S605,"not provided"),exact(Metadata!S605,"restricted access"))),AND(IF(Metadata!S605="",FALSE,ISNUMBER(VALUE(Metadata!S605))),Metadata!S605&gt;=-90.00,Metadata!S605&lt;=90.00))</f>
        <v>0</v>
      </c>
      <c r="BF605">
        <f>AND(IF(Metadata!T605="",FALSE,TRUE),exact(Metadata!T605,"Decimal degrees"))</f>
        <v>0</v>
      </c>
      <c r="BG605">
        <f>OR(AND(IF(Metadata!U605="",FALSE,TRUE),OR(exact(Metadata!U605,"not collected"),exact(Metadata!U605,"not provided"),exact(Metadata!U605,"restricted access"))),AND(IF(Metadata!U605="",FALSE,ISNUMBER(VALUE(Metadata!U605))),Metadata!U605&gt;=-180.00,Metadata!U605&lt;=180.00))</f>
        <v>0</v>
      </c>
      <c r="BH605">
        <f>AND(IF(Metadata!V605="",FALSE,TRUE),exact(Metadata!V605,"Decimal degrees"))</f>
        <v>0</v>
      </c>
      <c r="BI605">
        <f>IF(Metadata!W605="",FALSE,TRUE)</f>
        <v>0</v>
      </c>
      <c r="BJ605">
        <f>OR(AND(IF(Metadata!X605="",FALSE,TRUE),OR(exact(Metadata!X605,"not collected"),exact(Metadata!X605,"not provided"),exact(Metadata!X605,"restricted access"))),AND(IF(Metadata!X605="",FALSE,TRUE),OR(exact(Metadata!X605,"TRUE"),exact(Metadata!X605,"FALSE"))))</f>
        <v>0</v>
      </c>
      <c r="BK605">
        <f>AND(IF(Metadata!Y605="",FALSE,TRUE),exact(Metadata!Y605,"other"))</f>
        <v>0</v>
      </c>
      <c r="BL605">
        <f>IF(Metadata!Z605="",FALSE,TRUE)</f>
        <v>0</v>
      </c>
      <c r="BM605">
        <f>OR(AND(IF(Metadata!AA605="",FALSE,TRUE),OR(exact(Metadata!AA605,"not collected"),exact(Metadata!AA605,"not provided"))),AND(IF(Metadata!AA605="",FALSE,IF(ISERROR(INT(Metadata!AA605)),FALSE,INT(Metadata!AA605)=Metadata!AA605)),Metadata!AA605&gt;0))</f>
        <v>0</v>
      </c>
      <c r="BN605">
        <f>AND(IF(Metadata!AB605="",FALSE,TRUE),exact(Metadata!AB605,"Not applicable"))</f>
        <v>0</v>
      </c>
      <c r="BO605">
        <f>IF(Metadata!AC605="",FALSE,TRUE)</f>
        <v>0</v>
      </c>
    </row>
    <row r="606" spans="1:67">
      <c r="A606" s="5">
        <f>IF(B606=" "," ",HYPERLINK(CONCATENATE("#metadata!",ADDRESS(INDEX($AI$2:$AI$1001,MATCH(ROWS($AG$2:AG606),$AG$2:$AG$1001,0),0),1)),INDEX($AL$2:$AL$1001,MATCH(ROWS($AG$2:AG606),$AG$2:$AG$1001,0),0)))</f>
        <v>0</v>
      </c>
      <c r="B606" s="4">
        <f>IF(OR(INDEX($AH$2:$AH$1001,MATCH(ROWS($AG$2:AG606),$AG$2:$AG$1001,0),1)&gt;=100000,INDEX($AN$1005:$BO$1005,1,MATCH(COLUMNS($AN$1006:AN1006),$AN$1006:$BO$1006,0))&gt;=100000), " ",IF(INDEX($AN$2:$BO$1001,MATCH(ROWS($AG$2:AG606),$AG$2:$AG$1001,0),MATCH(COLUMNS($AN$1006:AN1006),$AN$1006:$BO$1006,0)), HYPERLINK("#",""), HYPERLINK(CONCATENATE("#Metadata!", ADDRESS(INDEX($AI$2:$AI$1001,MATCH(ROWS($AG$2:AG606),$AG$2:$AG$1001,0),0), INDEX($AN$1004:$BO$1004,1,MATCH(COLUMNS($AN$1006:AN1006),$AN$1006:$BO$1006,0)))),"Fix")))</f>
        <v>0</v>
      </c>
      <c r="C606" s="4">
        <f>IF(OR(INDEX($AH$2:$AH$1001,MATCH(ROWS($AG$2:AG606),$AG$2:$AG$1001,0),1)&gt;=100000,INDEX($AN$1005:$BO$1005,1,MATCH(COLUMNS($AN$1006:AO1006),$AN$1006:$BO$1006,0))&gt;=100000), " ",IF(INDEX($AN$2:$BO$1001,MATCH(ROWS($AG$2:AG606),$AG$2:$AG$1001,0),MATCH(COLUMNS($AN$1006:AO1006),$AN$1006:$BO$1006,0)), HYPERLINK("#",""), HYPERLINK(CONCATENATE("#Metadata!", ADDRESS(INDEX($AI$2:$AI$1001,MATCH(ROWS($AG$2:AG606),$AG$2:$AG$1001,0),0), INDEX($AN$1004:$BO$1004,1,MATCH(COLUMNS($AN$1006:AO1006),$AN$1006:$BO$1006,0)))),"Fix")))</f>
        <v>0</v>
      </c>
      <c r="D606" s="4">
        <f>IF(OR(INDEX($AH$2:$AH$1001,MATCH(ROWS($AG$2:AG606),$AG$2:$AG$1001,0),1)&gt;=100000,INDEX($AN$1005:$BO$1005,1,MATCH(COLUMNS($AN$1006:AP1006),$AN$1006:$BO$1006,0))&gt;=100000), " ",IF(INDEX($AN$2:$BO$1001,MATCH(ROWS($AG$2:AG606),$AG$2:$AG$1001,0),MATCH(COLUMNS($AN$1006:AP1006),$AN$1006:$BO$1006,0)), HYPERLINK("#",""), HYPERLINK(CONCATENATE("#Metadata!", ADDRESS(INDEX($AI$2:$AI$1001,MATCH(ROWS($AG$2:AG606),$AG$2:$AG$1001,0),0), INDEX($AN$1004:$BO$1004,1,MATCH(COLUMNS($AN$1006:AP1006),$AN$1006:$BO$1006,0)))),"Fix")))</f>
        <v>0</v>
      </c>
      <c r="E606" s="4">
        <f>IF(OR(INDEX($AH$2:$AH$1001,MATCH(ROWS($AG$2:AG606),$AG$2:$AG$1001,0),1)&gt;=100000,INDEX($AN$1005:$BO$1005,1,MATCH(COLUMNS($AN$1006:AQ1006),$AN$1006:$BO$1006,0))&gt;=100000), " ",IF(INDEX($AN$2:$BO$1001,MATCH(ROWS($AG$2:AG606),$AG$2:$AG$1001,0),MATCH(COLUMNS($AN$1006:AQ1006),$AN$1006:$BO$1006,0)), HYPERLINK("#",""), HYPERLINK(CONCATENATE("#Metadata!", ADDRESS(INDEX($AI$2:$AI$1001,MATCH(ROWS($AG$2:AG606),$AG$2:$AG$1001,0),0), INDEX($AN$1004:$BO$1004,1,MATCH(COLUMNS($AN$1006:AQ1006),$AN$1006:$BO$1006,0)))),"Fix")))</f>
        <v>0</v>
      </c>
      <c r="F606" s="4">
        <f>IF(OR(INDEX($AH$2:$AH$1001,MATCH(ROWS($AG$2:AG606),$AG$2:$AG$1001,0),1)&gt;=100000,INDEX($AN$1005:$BO$1005,1,MATCH(COLUMNS($AN$1006:AR1006),$AN$1006:$BO$1006,0))&gt;=100000), " ",IF(INDEX($AN$2:$BO$1001,MATCH(ROWS($AG$2:AG606),$AG$2:$AG$1001,0),MATCH(COLUMNS($AN$1006:AR1006),$AN$1006:$BO$1006,0)), HYPERLINK("#",""), HYPERLINK(CONCATENATE("#Metadata!", ADDRESS(INDEX($AI$2:$AI$1001,MATCH(ROWS($AG$2:AG606),$AG$2:$AG$1001,0),0), INDEX($AN$1004:$BO$1004,1,MATCH(COLUMNS($AN$1006:AR1006),$AN$1006:$BO$1006,0)))),"Fix")))</f>
        <v>0</v>
      </c>
      <c r="G606" s="4">
        <f>IF(OR(INDEX($AH$2:$AH$1001,MATCH(ROWS($AG$2:AG606),$AG$2:$AG$1001,0),1)&gt;=100000,INDEX($AN$1005:$BO$1005,1,MATCH(COLUMNS($AN$1006:AS1006),$AN$1006:$BO$1006,0))&gt;=100000), " ",IF(INDEX($AN$2:$BO$1001,MATCH(ROWS($AG$2:AG606),$AG$2:$AG$1001,0),MATCH(COLUMNS($AN$1006:AS1006),$AN$1006:$BO$1006,0)), HYPERLINK("#",""), HYPERLINK(CONCATENATE("#Metadata!", ADDRESS(INDEX($AI$2:$AI$1001,MATCH(ROWS($AG$2:AG606),$AG$2:$AG$1001,0),0), INDEX($AN$1004:$BO$1004,1,MATCH(COLUMNS($AN$1006:AS1006),$AN$1006:$BO$1006,0)))),"Fix")))</f>
        <v>0</v>
      </c>
      <c r="H606" s="4">
        <f>IF(OR(INDEX($AH$2:$AH$1001,MATCH(ROWS($AG$2:AG606),$AG$2:$AG$1001,0),1)&gt;=100000,INDEX($AN$1005:$BO$1005,1,MATCH(COLUMNS($AN$1006:AT1006),$AN$1006:$BO$1006,0))&gt;=100000), " ",IF(INDEX($AN$2:$BO$1001,MATCH(ROWS($AG$2:AG606),$AG$2:$AG$1001,0),MATCH(COLUMNS($AN$1006:AT1006),$AN$1006:$BO$1006,0)), HYPERLINK("#",""), HYPERLINK(CONCATENATE("#Metadata!", ADDRESS(INDEX($AI$2:$AI$1001,MATCH(ROWS($AG$2:AG606),$AG$2:$AG$1001,0),0), INDEX($AN$1004:$BO$1004,1,MATCH(COLUMNS($AN$1006:AT1006),$AN$1006:$BO$1006,0)))),"Fix")))</f>
        <v>0</v>
      </c>
      <c r="I606" s="4">
        <f>IF(OR(INDEX($AH$2:$AH$1001,MATCH(ROWS($AG$2:AG606),$AG$2:$AG$1001,0),1)&gt;=100000,INDEX($AN$1005:$BO$1005,1,MATCH(COLUMNS($AN$1006:AU1006),$AN$1006:$BO$1006,0))&gt;=100000), " ",IF(INDEX($AN$2:$BO$1001,MATCH(ROWS($AG$2:AG606),$AG$2:$AG$1001,0),MATCH(COLUMNS($AN$1006:AU1006),$AN$1006:$BO$1006,0)), HYPERLINK("#",""), HYPERLINK(CONCATENATE("#Metadata!", ADDRESS(INDEX($AI$2:$AI$1001,MATCH(ROWS($AG$2:AG606),$AG$2:$AG$1001,0),0), INDEX($AN$1004:$BO$1004,1,MATCH(COLUMNS($AN$1006:AU1006),$AN$1006:$BO$1006,0)))),"Fix")))</f>
        <v>0</v>
      </c>
      <c r="J606" s="4">
        <f>IF(OR(INDEX($AH$2:$AH$1001,MATCH(ROWS($AG$2:AG606),$AG$2:$AG$1001,0),1)&gt;=100000,INDEX($AN$1005:$BO$1005,1,MATCH(COLUMNS($AN$1006:AV1006),$AN$1006:$BO$1006,0))&gt;=100000), " ",IF(INDEX($AN$2:$BO$1001,MATCH(ROWS($AG$2:AG606),$AG$2:$AG$1001,0),MATCH(COLUMNS($AN$1006:AV1006),$AN$1006:$BO$1006,0)), HYPERLINK("#",""), HYPERLINK(CONCATENATE("#Metadata!", ADDRESS(INDEX($AI$2:$AI$1001,MATCH(ROWS($AG$2:AG606),$AG$2:$AG$1001,0),0), INDEX($AN$1004:$BO$1004,1,MATCH(COLUMNS($AN$1006:AV1006),$AN$1006:$BO$1006,0)))),"Fix")))</f>
        <v>0</v>
      </c>
      <c r="K606" s="4">
        <f>IF(OR(INDEX($AH$2:$AH$1001,MATCH(ROWS($AG$2:AG606),$AG$2:$AG$1001,0),1)&gt;=100000,INDEX($AN$1005:$BO$1005,1,MATCH(COLUMNS($AN$1006:AW1006),$AN$1006:$BO$1006,0))&gt;=100000), " ",IF(INDEX($AN$2:$BO$1001,MATCH(ROWS($AG$2:AG606),$AG$2:$AG$1001,0),MATCH(COLUMNS($AN$1006:AW1006),$AN$1006:$BO$1006,0)), HYPERLINK("#",""), HYPERLINK(CONCATENATE("#Metadata!", ADDRESS(INDEX($AI$2:$AI$1001,MATCH(ROWS($AG$2:AG606),$AG$2:$AG$1001,0),0), INDEX($AN$1004:$BO$1004,1,MATCH(COLUMNS($AN$1006:AW1006),$AN$1006:$BO$1006,0)))),"Fix")))</f>
        <v>0</v>
      </c>
      <c r="L606" s="4">
        <f>IF(OR(INDEX($AH$2:$AH$1001,MATCH(ROWS($AG$2:AG606),$AG$2:$AG$1001,0),1)&gt;=100000,INDEX($AN$1005:$BO$1005,1,MATCH(COLUMNS($AN$1006:AX1006),$AN$1006:$BO$1006,0))&gt;=100000), " ",IF(INDEX($AN$2:$BO$1001,MATCH(ROWS($AG$2:AG606),$AG$2:$AG$1001,0),MATCH(COLUMNS($AN$1006:AX1006),$AN$1006:$BO$1006,0)), HYPERLINK("#",""), HYPERLINK(CONCATENATE("#Metadata!", ADDRESS(INDEX($AI$2:$AI$1001,MATCH(ROWS($AG$2:AG606),$AG$2:$AG$1001,0),0), INDEX($AN$1004:$BO$1004,1,MATCH(COLUMNS($AN$1006:AX1006),$AN$1006:$BO$1006,0)))),"Fix")))</f>
        <v>0</v>
      </c>
      <c r="M606" s="4">
        <f>IF(OR(INDEX($AH$2:$AH$1001,MATCH(ROWS($AG$2:AG606),$AG$2:$AG$1001,0),1)&gt;=100000,INDEX($AN$1005:$BO$1005,1,MATCH(COLUMNS($AN$1006:AY1006),$AN$1006:$BO$1006,0))&gt;=100000), " ",IF(INDEX($AN$2:$BO$1001,MATCH(ROWS($AG$2:AG606),$AG$2:$AG$1001,0),MATCH(COLUMNS($AN$1006:AY1006),$AN$1006:$BO$1006,0)), HYPERLINK("#",""), HYPERLINK(CONCATENATE("#Metadata!", ADDRESS(INDEX($AI$2:$AI$1001,MATCH(ROWS($AG$2:AG606),$AG$2:$AG$1001,0),0), INDEX($AN$1004:$BO$1004,1,MATCH(COLUMNS($AN$1006:AY1006),$AN$1006:$BO$1006,0)))),"Fix")))</f>
        <v>0</v>
      </c>
      <c r="N606" s="4">
        <f>IF(OR(INDEX($AH$2:$AH$1001,MATCH(ROWS($AG$2:AG606),$AG$2:$AG$1001,0),1)&gt;=100000,INDEX($AN$1005:$BO$1005,1,MATCH(COLUMNS($AN$1006:AZ1006),$AN$1006:$BO$1006,0))&gt;=100000), " ",IF(INDEX($AN$2:$BO$1001,MATCH(ROWS($AG$2:AG606),$AG$2:$AG$1001,0),MATCH(COLUMNS($AN$1006:AZ1006),$AN$1006:$BO$1006,0)), HYPERLINK("#",""), HYPERLINK(CONCATENATE("#Metadata!", ADDRESS(INDEX($AI$2:$AI$1001,MATCH(ROWS($AG$2:AG606),$AG$2:$AG$1001,0),0), INDEX($AN$1004:$BO$1004,1,MATCH(COLUMNS($AN$1006:AZ1006),$AN$1006:$BO$1006,0)))),"Fix")))</f>
        <v>0</v>
      </c>
      <c r="O606" s="4">
        <f>IF(OR(INDEX($AH$2:$AH$1001,MATCH(ROWS($AG$2:AG606),$AG$2:$AG$1001,0),1)&gt;=100000,INDEX($AN$1005:$BO$1005,1,MATCH(COLUMNS($AN$1006:BA1006),$AN$1006:$BO$1006,0))&gt;=100000), " ",IF(INDEX($AN$2:$BO$1001,MATCH(ROWS($AG$2:AG606),$AG$2:$AG$1001,0),MATCH(COLUMNS($AN$1006:BA1006),$AN$1006:$BO$1006,0)), HYPERLINK("#",""), HYPERLINK(CONCATENATE("#Metadata!", ADDRESS(INDEX($AI$2:$AI$1001,MATCH(ROWS($AG$2:AG606),$AG$2:$AG$1001,0),0), INDEX($AN$1004:$BO$1004,1,MATCH(COLUMNS($AN$1006:BA1006),$AN$1006:$BO$1006,0)))),"Fix")))</f>
        <v>0</v>
      </c>
      <c r="P606" s="4">
        <f>IF(OR(INDEX($AH$2:$AH$1001,MATCH(ROWS($AG$2:AG606),$AG$2:$AG$1001,0),1)&gt;=100000,INDEX($AN$1005:$BO$1005,1,MATCH(COLUMNS($AN$1006:BB1006),$AN$1006:$BO$1006,0))&gt;=100000), " ",IF(INDEX($AN$2:$BO$1001,MATCH(ROWS($AG$2:AG606),$AG$2:$AG$1001,0),MATCH(COLUMNS($AN$1006:BB1006),$AN$1006:$BO$1006,0)), HYPERLINK("#",""), HYPERLINK(CONCATENATE("#Metadata!", ADDRESS(INDEX($AI$2:$AI$1001,MATCH(ROWS($AG$2:AG606),$AG$2:$AG$1001,0),0), INDEX($AN$1004:$BO$1004,1,MATCH(COLUMNS($AN$1006:BB1006),$AN$1006:$BO$1006,0)))),"Fix")))</f>
        <v>0</v>
      </c>
      <c r="Q606" s="4">
        <f>IF(OR(INDEX($AH$2:$AH$1001,MATCH(ROWS($AG$2:AG606),$AG$2:$AG$1001,0),1)&gt;=100000,INDEX($AN$1005:$BO$1005,1,MATCH(COLUMNS($AN$1006:BC1006),$AN$1006:$BO$1006,0))&gt;=100000), " ",IF(INDEX($AN$2:$BO$1001,MATCH(ROWS($AG$2:AG606),$AG$2:$AG$1001,0),MATCH(COLUMNS($AN$1006:BC1006),$AN$1006:$BO$1006,0)), HYPERLINK("#",""), HYPERLINK(CONCATENATE("#Metadata!", ADDRESS(INDEX($AI$2:$AI$1001,MATCH(ROWS($AG$2:AG606),$AG$2:$AG$1001,0),0), INDEX($AN$1004:$BO$1004,1,MATCH(COLUMNS($AN$1006:BC1006),$AN$1006:$BO$1006,0)))),"Fix")))</f>
        <v>0</v>
      </c>
      <c r="R606" s="4">
        <f>IF(OR(INDEX($AH$2:$AH$1001,MATCH(ROWS($AG$2:AG606),$AG$2:$AG$1001,0),1)&gt;=100000,INDEX($AN$1005:$BO$1005,1,MATCH(COLUMNS($AN$1006:BD1006),$AN$1006:$BO$1006,0))&gt;=100000), " ",IF(INDEX($AN$2:$BO$1001,MATCH(ROWS($AG$2:AG606),$AG$2:$AG$1001,0),MATCH(COLUMNS($AN$1006:BD1006),$AN$1006:$BO$1006,0)), HYPERLINK("#",""), HYPERLINK(CONCATENATE("#Metadata!", ADDRESS(INDEX($AI$2:$AI$1001,MATCH(ROWS($AG$2:AG606),$AG$2:$AG$1001,0),0), INDEX($AN$1004:$BO$1004,1,MATCH(COLUMNS($AN$1006:BD1006),$AN$1006:$BO$1006,0)))),"Fix")))</f>
        <v>0</v>
      </c>
      <c r="S606" s="4">
        <f>IF(OR(INDEX($AH$2:$AH$1001,MATCH(ROWS($AG$2:AG606),$AG$2:$AG$1001,0),1)&gt;=100000,INDEX($AN$1005:$BO$1005,1,MATCH(COLUMNS($AN$1006:BE1006),$AN$1006:$BO$1006,0))&gt;=100000), " ",IF(INDEX($AN$2:$BO$1001,MATCH(ROWS($AG$2:AG606),$AG$2:$AG$1001,0),MATCH(COLUMNS($AN$1006:BE1006),$AN$1006:$BO$1006,0)), HYPERLINK("#",""), HYPERLINK(CONCATENATE("#Metadata!", ADDRESS(INDEX($AI$2:$AI$1001,MATCH(ROWS($AG$2:AG606),$AG$2:$AG$1001,0),0), INDEX($AN$1004:$BO$1004,1,MATCH(COLUMNS($AN$1006:BE1006),$AN$1006:$BO$1006,0)))),"Fix")))</f>
        <v>0</v>
      </c>
      <c r="T606" s="4">
        <f>IF(OR(INDEX($AH$2:$AH$1001,MATCH(ROWS($AG$2:AG606),$AG$2:$AG$1001,0),1)&gt;=100000,INDEX($AN$1005:$BO$1005,1,MATCH(COLUMNS($AN$1006:BF1006),$AN$1006:$BO$1006,0))&gt;=100000), " ",IF(INDEX($AN$2:$BO$1001,MATCH(ROWS($AG$2:AG606),$AG$2:$AG$1001,0),MATCH(COLUMNS($AN$1006:BF1006),$AN$1006:$BO$1006,0)), HYPERLINK("#",""), HYPERLINK(CONCATENATE("#Metadata!", ADDRESS(INDEX($AI$2:$AI$1001,MATCH(ROWS($AG$2:AG606),$AG$2:$AG$1001,0),0), INDEX($AN$1004:$BO$1004,1,MATCH(COLUMNS($AN$1006:BF1006),$AN$1006:$BO$1006,0)))),"Fix")))</f>
        <v>0</v>
      </c>
      <c r="U606" s="4">
        <f>IF(OR(INDEX($AH$2:$AH$1001,MATCH(ROWS($AG$2:AG606),$AG$2:$AG$1001,0),1)&gt;=100000,INDEX($AN$1005:$BO$1005,1,MATCH(COLUMNS($AN$1006:BG1006),$AN$1006:$BO$1006,0))&gt;=100000), " ",IF(INDEX($AN$2:$BO$1001,MATCH(ROWS($AG$2:AG606),$AG$2:$AG$1001,0),MATCH(COLUMNS($AN$1006:BG1006),$AN$1006:$BO$1006,0)), HYPERLINK("#",""), HYPERLINK(CONCATENATE("#Metadata!", ADDRESS(INDEX($AI$2:$AI$1001,MATCH(ROWS($AG$2:AG606),$AG$2:$AG$1001,0),0), INDEX($AN$1004:$BO$1004,1,MATCH(COLUMNS($AN$1006:BG1006),$AN$1006:$BO$1006,0)))),"Fix")))</f>
        <v>0</v>
      </c>
      <c r="V606" s="4">
        <f>IF(OR(INDEX($AH$2:$AH$1001,MATCH(ROWS($AG$2:AG606),$AG$2:$AG$1001,0),1)&gt;=100000,INDEX($AN$1005:$BO$1005,1,MATCH(COLUMNS($AN$1006:BH1006),$AN$1006:$BO$1006,0))&gt;=100000), " ",IF(INDEX($AN$2:$BO$1001,MATCH(ROWS($AG$2:AG606),$AG$2:$AG$1001,0),MATCH(COLUMNS($AN$1006:BH1006),$AN$1006:$BO$1006,0)), HYPERLINK("#",""), HYPERLINK(CONCATENATE("#Metadata!", ADDRESS(INDEX($AI$2:$AI$1001,MATCH(ROWS($AG$2:AG606),$AG$2:$AG$1001,0),0), INDEX($AN$1004:$BO$1004,1,MATCH(COLUMNS($AN$1006:BH1006),$AN$1006:$BO$1006,0)))),"Fix")))</f>
        <v>0</v>
      </c>
      <c r="W606" s="4">
        <f>IF(OR(INDEX($AH$2:$AH$1001,MATCH(ROWS($AG$2:AG606),$AG$2:$AG$1001,0),1)&gt;=100000,INDEX($AN$1005:$BO$1005,1,MATCH(COLUMNS($AN$1006:BI1006),$AN$1006:$BO$1006,0))&gt;=100000), " ",IF(INDEX($AN$2:$BO$1001,MATCH(ROWS($AG$2:AG606),$AG$2:$AG$1001,0),MATCH(COLUMNS($AN$1006:BI1006),$AN$1006:$BO$1006,0)), HYPERLINK("#",""), HYPERLINK(CONCATENATE("#Metadata!", ADDRESS(INDEX($AI$2:$AI$1001,MATCH(ROWS($AG$2:AG606),$AG$2:$AG$1001,0),0), INDEX($AN$1004:$BO$1004,1,MATCH(COLUMNS($AN$1006:BI1006),$AN$1006:$BO$1006,0)))),"Fix")))</f>
        <v>0</v>
      </c>
      <c r="X606" s="4">
        <f>IF(OR(INDEX($AH$2:$AH$1001,MATCH(ROWS($AG$2:AG606),$AG$2:$AG$1001,0),1)&gt;=100000,INDEX($AN$1005:$BO$1005,1,MATCH(COLUMNS($AN$1006:BJ1006),$AN$1006:$BO$1006,0))&gt;=100000), " ",IF(INDEX($AN$2:$BO$1001,MATCH(ROWS($AG$2:AG606),$AG$2:$AG$1001,0),MATCH(COLUMNS($AN$1006:BJ1006),$AN$1006:$BO$1006,0)), HYPERLINK("#",""), HYPERLINK(CONCATENATE("#Metadata!", ADDRESS(INDEX($AI$2:$AI$1001,MATCH(ROWS($AG$2:AG606),$AG$2:$AG$1001,0),0), INDEX($AN$1004:$BO$1004,1,MATCH(COLUMNS($AN$1006:BJ1006),$AN$1006:$BO$1006,0)))),"Fix")))</f>
        <v>0</v>
      </c>
      <c r="Y606" s="4">
        <f>IF(OR(INDEX($AH$2:$AH$1001,MATCH(ROWS($AG$2:AG606),$AG$2:$AG$1001,0),1)&gt;=100000,INDEX($AN$1005:$BO$1005,1,MATCH(COLUMNS($AN$1006:BK1006),$AN$1006:$BO$1006,0))&gt;=100000), " ",IF(INDEX($AN$2:$BO$1001,MATCH(ROWS($AG$2:AG606),$AG$2:$AG$1001,0),MATCH(COLUMNS($AN$1006:BK1006),$AN$1006:$BO$1006,0)), HYPERLINK("#",""), HYPERLINK(CONCATENATE("#Metadata!", ADDRESS(INDEX($AI$2:$AI$1001,MATCH(ROWS($AG$2:AG606),$AG$2:$AG$1001,0),0), INDEX($AN$1004:$BO$1004,1,MATCH(COLUMNS($AN$1006:BK1006),$AN$1006:$BO$1006,0)))),"Fix")))</f>
        <v>0</v>
      </c>
      <c r="Z606" s="4">
        <f>IF(OR(INDEX($AH$2:$AH$1001,MATCH(ROWS($AG$2:AG606),$AG$2:$AG$1001,0),1)&gt;=100000,INDEX($AN$1005:$BO$1005,1,MATCH(COLUMNS($AN$1006:BL1006),$AN$1006:$BO$1006,0))&gt;=100000), " ",IF(INDEX($AN$2:$BO$1001,MATCH(ROWS($AG$2:AG606),$AG$2:$AG$1001,0),MATCH(COLUMNS($AN$1006:BL1006),$AN$1006:$BO$1006,0)), HYPERLINK("#",""), HYPERLINK(CONCATENATE("#Metadata!", ADDRESS(INDEX($AI$2:$AI$1001,MATCH(ROWS($AG$2:AG606),$AG$2:$AG$1001,0),0), INDEX($AN$1004:$BO$1004,1,MATCH(COLUMNS($AN$1006:BL1006),$AN$1006:$BO$1006,0)))),"Fix")))</f>
        <v>0</v>
      </c>
      <c r="AA606" s="4">
        <f>IF(OR(INDEX($AH$2:$AH$1001,MATCH(ROWS($AG$2:AG606),$AG$2:$AG$1001,0),1)&gt;=100000,INDEX($AN$1005:$BO$1005,1,MATCH(COLUMNS($AN$1006:BM1006),$AN$1006:$BO$1006,0))&gt;=100000), " ",IF(INDEX($AN$2:$BO$1001,MATCH(ROWS($AG$2:AG606),$AG$2:$AG$1001,0),MATCH(COLUMNS($AN$1006:BM1006),$AN$1006:$BO$1006,0)), HYPERLINK("#",""), HYPERLINK(CONCATENATE("#Metadata!", ADDRESS(INDEX($AI$2:$AI$1001,MATCH(ROWS($AG$2:AG606),$AG$2:$AG$1001,0),0), INDEX($AN$1004:$BO$1004,1,MATCH(COLUMNS($AN$1006:BM1006),$AN$1006:$BO$1006,0)))),"Fix")))</f>
        <v>0</v>
      </c>
      <c r="AB606" s="4">
        <f>IF(OR(INDEX($AH$2:$AH$1001,MATCH(ROWS($AG$2:AG606),$AG$2:$AG$1001,0),1)&gt;=100000,INDEX($AN$1005:$BO$1005,1,MATCH(COLUMNS($AN$1006:BN1006),$AN$1006:$BO$1006,0))&gt;=100000), " ",IF(INDEX($AN$2:$BO$1001,MATCH(ROWS($AG$2:AG606),$AG$2:$AG$1001,0),MATCH(COLUMNS($AN$1006:BN1006),$AN$1006:$BO$1006,0)), HYPERLINK("#",""), HYPERLINK(CONCATENATE("#Metadata!", ADDRESS(INDEX($AI$2:$AI$1001,MATCH(ROWS($AG$2:AG606),$AG$2:$AG$1001,0),0), INDEX($AN$1004:$BO$1004,1,MATCH(COLUMNS($AN$1006:BN1006),$AN$1006:$BO$1006,0)))),"Fix")))</f>
        <v>0</v>
      </c>
      <c r="AC606" s="4">
        <f>IF(OR(INDEX($AH$2:$AH$1001,MATCH(ROWS($AG$2:AG606),$AG$2:$AG$1001,0),1)&gt;=100000,INDEX($AN$1005:$BO$1005,1,MATCH(COLUMNS($AN$1006:BO1006),$AN$1006:$BO$1006,0))&gt;=100000), " ",IF(INDEX($AN$2:$BO$1001,MATCH(ROWS($AG$2:AG606),$AG$2:$AG$1001,0),MATCH(COLUMNS($AN$1006:BO1006),$AN$1006:$BO$1006,0)), HYPERLINK("#",""), HYPERLINK(CONCATENATE("#Metadata!", ADDRESS(INDEX($AI$2:$AI$1001,MATCH(ROWS($AG$2:AG606),$AG$2:$AG$1001,0),0), INDEX($AN$1004:$BO$1004,1,MATCH(COLUMNS($AN$1006:BO1006),$AN$1006:$BO$1006,0)))),"Fix")))</f>
        <v>0</v>
      </c>
      <c r="AG606">
        <v>0</v>
      </c>
      <c r="AH606">
        <v>0</v>
      </c>
      <c r="AI606">
        <v>0</v>
      </c>
      <c r="AJ606">
        <f>IF(AK606,TRUE,AND(AN606:BO606))</f>
        <v>0</v>
      </c>
      <c r="AK606">
        <f>COUNTBLANK(Metadata!B606:AC606)=COLUMNS(Metadata!B606:AC606)</f>
        <v>0</v>
      </c>
      <c r="AL606">
        <v>0</v>
      </c>
      <c r="AN606">
        <f>AND(IF(Metadata!B606="",FALSE,TRUE),COUNTIF(Metadata!B:B, Metadata!B606) = 1,NOT(ISERROR(SUMPRODUCT(SEARCH(MID(Metadata!B606,ROW(INDIRECT("1:"&amp;LEN(Metadata!B606))), 1),"0123456789abcdefghijklmnopqrstuvwxyzABCDEFGHIJKLMNOPQRSTUVWXYZ.")))))</f>
        <v>0</v>
      </c>
      <c r="AO606">
        <f>IF(Metadata!C606="",FALSE,TRUE)</f>
        <v>0</v>
      </c>
      <c r="AP606">
        <f>IF(Metadata!D606="",FALSE,TRUE)</f>
        <v>0</v>
      </c>
      <c r="AQ606">
        <f>OR(AND(IF(Metadata!E606="",FALSE,TRUE),OR(exact(Metadata!E606,"not collected"),exact(Metadata!E606,"not provided"),exact(Metadata!E606,"restricted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R606">
        <f>IF(Metadata!F606="",FALSE,TRUE)</f>
        <v>0</v>
      </c>
      <c r="AS606">
        <f>OR(AND(IF(Metadata!G606="",FALSE,TRUE),OR(exact(Metadata!G606,"not collected"),exact(Metadata!G606,"not provided"))),AND(IF(Metadata!G606="",FALSE,TRUE),OR(exact(Metadata!G606,"TRUE"),exact(Metadata!G606,"FALSE"))))</f>
        <v>0</v>
      </c>
      <c r="AT606">
        <f>OR(AND(IF(Metadata!H606="",FALSE,TRUE),OR(exact(Metadata!H606,"not collected"),exact(Metadata!H606,"not provided"),exact(Metadata!H606,"restricted access"))),AND(IF(Metadata!H606="",FALSE,ISNUMBER(VALUE(Metadata!H606))),Metadata!H606&gt;=-413.0))</f>
        <v>0</v>
      </c>
      <c r="AU606">
        <f>AND(IF(Metadata!I606="",FALSE,TRUE),exact(Metadata!I606,"meters"))</f>
        <v>0</v>
      </c>
      <c r="AV606">
        <f>AND(IF(Metadata!J606="",FALSE,TRUE),OR(exact(Metadata!J606,"Host-associated"),exact(Metadata!J606,"Free-living")))</f>
        <v>0</v>
      </c>
      <c r="AW606">
        <f>AND(IF(Metadata!K606="",FALSE,TRUE),OR(exact(Metadata!K606,"Animal"),exact(Metadata!K606,"Fungus"),exact(Metadata!K606,"Plant"),exact(Metadata!K606,"Saline"),exact(Metadata!K606,"Non-saline")))</f>
        <v>0</v>
      </c>
      <c r="AX606">
        <f>AND(IF(Metadata!L606="",FALSE,TRUE),OR(exact(Metadata!L606,"Plant secretion"),exact(Metadata!L606,"Plant rhizosphere"),exact(Metadata!L606,"Plant surface"),exact(Metadata!L606,"Plant corpus"),exact(Metadata!L606,"Fungus surface"),exact(Metadata!L606,"Fungus corpus"),exact(Metadata!L606,"Animal surface"),exact(Metadata!L606,"Animal proximal gut"),exact(Metadata!L606,"Animal corpus"),exact(Metadata!L606,"Animal distal gut"),exact(Metadata!L606,"Animal secretion"),exact(Metadata!L606,"Sub-surface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Y606">
        <f>IF(Metadata!M606="",FALSE,TRUE)</f>
        <v>0</v>
      </c>
      <c r="AZ606">
        <f>IF(Metadata!N606="",FALSE,TRUE)</f>
        <v>0</v>
      </c>
      <c r="BA606">
        <f>IF(Metadata!O606="",FALSE,TRUE)</f>
        <v>0</v>
      </c>
      <c r="BB606">
        <f>OR(AND(IF(Metadata!P606="",FALSE,TRUE),OR(exact(Metadata!P606,"not collected"),exact(Metadata!P606,"not provided"),exact(Metadata!P606,"restricted access"))),AND(IF(Metadata!P606="",FALSE,TRUE),OR(exact(Metadata!P606,"air"),exact(Metadata!P606,"built environment"),exact(Metadata!P606,"host-associated"),exact(Metadata!P606,"human-associated"),exact(Metadata!P606,"human-skin"),exact(Metadata!P606,"human-oral"),exact(Metadata!P606,"human-gut"),exact(Metadata!P606,"human-vaginal"),exact(Metadata!P606,"microbial mat/biofilm"),exact(Metadata!P606,"misc environment"),exact(Metadata!P606,"plant-associated"),exact(Metadata!P606,"sediment"),exact(Metadata!P606,"soil"),exact(Metadata!P606,"wastewater/sludge"),exact(Metadata!P606,"water"))))</f>
        <v>0</v>
      </c>
      <c r="BC606">
        <f>IF(Metadata!Q606="",FALSE,TRUE)</f>
        <v>0</v>
      </c>
      <c r="BD606">
        <f>IF(Metadata!R606="",FALSE,TRUE)</f>
        <v>0</v>
      </c>
      <c r="BE606">
        <f>OR(AND(IF(Metadata!S606="",FALSE,TRUE),OR(exact(Metadata!S606,"not collected"),exact(Metadata!S606,"not provided"),exact(Metadata!S606,"restricted access"))),AND(IF(Metadata!S606="",FALSE,ISNUMBER(VALUE(Metadata!S606))),Metadata!S606&gt;=-90.00,Metadata!S606&lt;=90.00))</f>
        <v>0</v>
      </c>
      <c r="BF606">
        <f>AND(IF(Metadata!T606="",FALSE,TRUE),exact(Metadata!T606,"Decimal degrees"))</f>
        <v>0</v>
      </c>
      <c r="BG606">
        <f>OR(AND(IF(Metadata!U606="",FALSE,TRUE),OR(exact(Metadata!U606,"not collected"),exact(Metadata!U606,"not provided"),exact(Metadata!U606,"restricted access"))),AND(IF(Metadata!U606="",FALSE,ISNUMBER(VALUE(Metadata!U606))),Metadata!U606&gt;=-180.00,Metadata!U606&lt;=180.00))</f>
        <v>0</v>
      </c>
      <c r="BH606">
        <f>AND(IF(Metadata!V606="",FALSE,TRUE),exact(Metadata!V606,"Decimal degrees"))</f>
        <v>0</v>
      </c>
      <c r="BI606">
        <f>IF(Metadata!W606="",FALSE,TRUE)</f>
        <v>0</v>
      </c>
      <c r="BJ606">
        <f>OR(AND(IF(Metadata!X606="",FALSE,TRUE),OR(exact(Metadata!X606,"not collected"),exact(Metadata!X606,"not provided"),exact(Metadata!X606,"restricted access"))),AND(IF(Metadata!X606="",FALSE,TRUE),OR(exact(Metadata!X606,"TRUE"),exact(Metadata!X606,"FALSE"))))</f>
        <v>0</v>
      </c>
      <c r="BK606">
        <f>AND(IF(Metadata!Y606="",FALSE,TRUE),exact(Metadata!Y606,"other"))</f>
        <v>0</v>
      </c>
      <c r="BL606">
        <f>IF(Metadata!Z606="",FALSE,TRUE)</f>
        <v>0</v>
      </c>
      <c r="BM606">
        <f>OR(AND(IF(Metadata!AA606="",FALSE,TRUE),OR(exact(Metadata!AA606,"not collected"),exact(Metadata!AA606,"not provided"))),AND(IF(Metadata!AA606="",FALSE,IF(ISERROR(INT(Metadata!AA606)),FALSE,INT(Metadata!AA606)=Metadata!AA606)),Metadata!AA606&gt;0))</f>
        <v>0</v>
      </c>
      <c r="BN606">
        <f>AND(IF(Metadata!AB606="",FALSE,TRUE),exact(Metadata!AB606,"Not applicable"))</f>
        <v>0</v>
      </c>
      <c r="BO606">
        <f>IF(Metadata!AC606="",FALSE,TRUE)</f>
        <v>0</v>
      </c>
    </row>
    <row r="607" spans="1:67">
      <c r="A607" s="5">
        <f>IF(B607=" "," ",HYPERLINK(CONCATENATE("#metadata!",ADDRESS(INDEX($AI$2:$AI$1001,MATCH(ROWS($AG$2:AG607),$AG$2:$AG$1001,0),0),1)),INDEX($AL$2:$AL$1001,MATCH(ROWS($AG$2:AG607),$AG$2:$AG$1001,0),0)))</f>
        <v>0</v>
      </c>
      <c r="B607" s="4">
        <f>IF(OR(INDEX($AH$2:$AH$1001,MATCH(ROWS($AG$2:AG607),$AG$2:$AG$1001,0),1)&gt;=100000,INDEX($AN$1005:$BO$1005,1,MATCH(COLUMNS($AN$1006:AN1006),$AN$1006:$BO$1006,0))&gt;=100000), " ",IF(INDEX($AN$2:$BO$1001,MATCH(ROWS($AG$2:AG607),$AG$2:$AG$1001,0),MATCH(COLUMNS($AN$1006:AN1006),$AN$1006:$BO$1006,0)), HYPERLINK("#",""), HYPERLINK(CONCATENATE("#Metadata!", ADDRESS(INDEX($AI$2:$AI$1001,MATCH(ROWS($AG$2:AG607),$AG$2:$AG$1001,0),0), INDEX($AN$1004:$BO$1004,1,MATCH(COLUMNS($AN$1006:AN1006),$AN$1006:$BO$1006,0)))),"Fix")))</f>
        <v>0</v>
      </c>
      <c r="C607" s="4">
        <f>IF(OR(INDEX($AH$2:$AH$1001,MATCH(ROWS($AG$2:AG607),$AG$2:$AG$1001,0),1)&gt;=100000,INDEX($AN$1005:$BO$1005,1,MATCH(COLUMNS($AN$1006:AO1006),$AN$1006:$BO$1006,0))&gt;=100000), " ",IF(INDEX($AN$2:$BO$1001,MATCH(ROWS($AG$2:AG607),$AG$2:$AG$1001,0),MATCH(COLUMNS($AN$1006:AO1006),$AN$1006:$BO$1006,0)), HYPERLINK("#",""), HYPERLINK(CONCATENATE("#Metadata!", ADDRESS(INDEX($AI$2:$AI$1001,MATCH(ROWS($AG$2:AG607),$AG$2:$AG$1001,0),0), INDEX($AN$1004:$BO$1004,1,MATCH(COLUMNS($AN$1006:AO1006),$AN$1006:$BO$1006,0)))),"Fix")))</f>
        <v>0</v>
      </c>
      <c r="D607" s="4">
        <f>IF(OR(INDEX($AH$2:$AH$1001,MATCH(ROWS($AG$2:AG607),$AG$2:$AG$1001,0),1)&gt;=100000,INDEX($AN$1005:$BO$1005,1,MATCH(COLUMNS($AN$1006:AP1006),$AN$1006:$BO$1006,0))&gt;=100000), " ",IF(INDEX($AN$2:$BO$1001,MATCH(ROWS($AG$2:AG607),$AG$2:$AG$1001,0),MATCH(COLUMNS($AN$1006:AP1006),$AN$1006:$BO$1006,0)), HYPERLINK("#",""), HYPERLINK(CONCATENATE("#Metadata!", ADDRESS(INDEX($AI$2:$AI$1001,MATCH(ROWS($AG$2:AG607),$AG$2:$AG$1001,0),0), INDEX($AN$1004:$BO$1004,1,MATCH(COLUMNS($AN$1006:AP1006),$AN$1006:$BO$1006,0)))),"Fix")))</f>
        <v>0</v>
      </c>
      <c r="E607" s="4">
        <f>IF(OR(INDEX($AH$2:$AH$1001,MATCH(ROWS($AG$2:AG607),$AG$2:$AG$1001,0),1)&gt;=100000,INDEX($AN$1005:$BO$1005,1,MATCH(COLUMNS($AN$1006:AQ1006),$AN$1006:$BO$1006,0))&gt;=100000), " ",IF(INDEX($AN$2:$BO$1001,MATCH(ROWS($AG$2:AG607),$AG$2:$AG$1001,0),MATCH(COLUMNS($AN$1006:AQ1006),$AN$1006:$BO$1006,0)), HYPERLINK("#",""), HYPERLINK(CONCATENATE("#Metadata!", ADDRESS(INDEX($AI$2:$AI$1001,MATCH(ROWS($AG$2:AG607),$AG$2:$AG$1001,0),0), INDEX($AN$1004:$BO$1004,1,MATCH(COLUMNS($AN$1006:AQ1006),$AN$1006:$BO$1006,0)))),"Fix")))</f>
        <v>0</v>
      </c>
      <c r="F607" s="4">
        <f>IF(OR(INDEX($AH$2:$AH$1001,MATCH(ROWS($AG$2:AG607),$AG$2:$AG$1001,0),1)&gt;=100000,INDEX($AN$1005:$BO$1005,1,MATCH(COLUMNS($AN$1006:AR1006),$AN$1006:$BO$1006,0))&gt;=100000), " ",IF(INDEX($AN$2:$BO$1001,MATCH(ROWS($AG$2:AG607),$AG$2:$AG$1001,0),MATCH(COLUMNS($AN$1006:AR1006),$AN$1006:$BO$1006,0)), HYPERLINK("#",""), HYPERLINK(CONCATENATE("#Metadata!", ADDRESS(INDEX($AI$2:$AI$1001,MATCH(ROWS($AG$2:AG607),$AG$2:$AG$1001,0),0), INDEX($AN$1004:$BO$1004,1,MATCH(COLUMNS($AN$1006:AR1006),$AN$1006:$BO$1006,0)))),"Fix")))</f>
        <v>0</v>
      </c>
      <c r="G607" s="4">
        <f>IF(OR(INDEX($AH$2:$AH$1001,MATCH(ROWS($AG$2:AG607),$AG$2:$AG$1001,0),1)&gt;=100000,INDEX($AN$1005:$BO$1005,1,MATCH(COLUMNS($AN$1006:AS1006),$AN$1006:$BO$1006,0))&gt;=100000), " ",IF(INDEX($AN$2:$BO$1001,MATCH(ROWS($AG$2:AG607),$AG$2:$AG$1001,0),MATCH(COLUMNS($AN$1006:AS1006),$AN$1006:$BO$1006,0)), HYPERLINK("#",""), HYPERLINK(CONCATENATE("#Metadata!", ADDRESS(INDEX($AI$2:$AI$1001,MATCH(ROWS($AG$2:AG607),$AG$2:$AG$1001,0),0), INDEX($AN$1004:$BO$1004,1,MATCH(COLUMNS($AN$1006:AS1006),$AN$1006:$BO$1006,0)))),"Fix")))</f>
        <v>0</v>
      </c>
      <c r="H607" s="4">
        <f>IF(OR(INDEX($AH$2:$AH$1001,MATCH(ROWS($AG$2:AG607),$AG$2:$AG$1001,0),1)&gt;=100000,INDEX($AN$1005:$BO$1005,1,MATCH(COLUMNS($AN$1006:AT1006),$AN$1006:$BO$1006,0))&gt;=100000), " ",IF(INDEX($AN$2:$BO$1001,MATCH(ROWS($AG$2:AG607),$AG$2:$AG$1001,0),MATCH(COLUMNS($AN$1006:AT1006),$AN$1006:$BO$1006,0)), HYPERLINK("#",""), HYPERLINK(CONCATENATE("#Metadata!", ADDRESS(INDEX($AI$2:$AI$1001,MATCH(ROWS($AG$2:AG607),$AG$2:$AG$1001,0),0), INDEX($AN$1004:$BO$1004,1,MATCH(COLUMNS($AN$1006:AT1006),$AN$1006:$BO$1006,0)))),"Fix")))</f>
        <v>0</v>
      </c>
      <c r="I607" s="4">
        <f>IF(OR(INDEX($AH$2:$AH$1001,MATCH(ROWS($AG$2:AG607),$AG$2:$AG$1001,0),1)&gt;=100000,INDEX($AN$1005:$BO$1005,1,MATCH(COLUMNS($AN$1006:AU1006),$AN$1006:$BO$1006,0))&gt;=100000), " ",IF(INDEX($AN$2:$BO$1001,MATCH(ROWS($AG$2:AG607),$AG$2:$AG$1001,0),MATCH(COLUMNS($AN$1006:AU1006),$AN$1006:$BO$1006,0)), HYPERLINK("#",""), HYPERLINK(CONCATENATE("#Metadata!", ADDRESS(INDEX($AI$2:$AI$1001,MATCH(ROWS($AG$2:AG607),$AG$2:$AG$1001,0),0), INDEX($AN$1004:$BO$1004,1,MATCH(COLUMNS($AN$1006:AU1006),$AN$1006:$BO$1006,0)))),"Fix")))</f>
        <v>0</v>
      </c>
      <c r="J607" s="4">
        <f>IF(OR(INDEX($AH$2:$AH$1001,MATCH(ROWS($AG$2:AG607),$AG$2:$AG$1001,0),1)&gt;=100000,INDEX($AN$1005:$BO$1005,1,MATCH(COLUMNS($AN$1006:AV1006),$AN$1006:$BO$1006,0))&gt;=100000), " ",IF(INDEX($AN$2:$BO$1001,MATCH(ROWS($AG$2:AG607),$AG$2:$AG$1001,0),MATCH(COLUMNS($AN$1006:AV1006),$AN$1006:$BO$1006,0)), HYPERLINK("#",""), HYPERLINK(CONCATENATE("#Metadata!", ADDRESS(INDEX($AI$2:$AI$1001,MATCH(ROWS($AG$2:AG607),$AG$2:$AG$1001,0),0), INDEX($AN$1004:$BO$1004,1,MATCH(COLUMNS($AN$1006:AV1006),$AN$1006:$BO$1006,0)))),"Fix")))</f>
        <v>0</v>
      </c>
      <c r="K607" s="4">
        <f>IF(OR(INDEX($AH$2:$AH$1001,MATCH(ROWS($AG$2:AG607),$AG$2:$AG$1001,0),1)&gt;=100000,INDEX($AN$1005:$BO$1005,1,MATCH(COLUMNS($AN$1006:AW1006),$AN$1006:$BO$1006,0))&gt;=100000), " ",IF(INDEX($AN$2:$BO$1001,MATCH(ROWS($AG$2:AG607),$AG$2:$AG$1001,0),MATCH(COLUMNS($AN$1006:AW1006),$AN$1006:$BO$1006,0)), HYPERLINK("#",""), HYPERLINK(CONCATENATE("#Metadata!", ADDRESS(INDEX($AI$2:$AI$1001,MATCH(ROWS($AG$2:AG607),$AG$2:$AG$1001,0),0), INDEX($AN$1004:$BO$1004,1,MATCH(COLUMNS($AN$1006:AW1006),$AN$1006:$BO$1006,0)))),"Fix")))</f>
        <v>0</v>
      </c>
      <c r="L607" s="4">
        <f>IF(OR(INDEX($AH$2:$AH$1001,MATCH(ROWS($AG$2:AG607),$AG$2:$AG$1001,0),1)&gt;=100000,INDEX($AN$1005:$BO$1005,1,MATCH(COLUMNS($AN$1006:AX1006),$AN$1006:$BO$1006,0))&gt;=100000), " ",IF(INDEX($AN$2:$BO$1001,MATCH(ROWS($AG$2:AG607),$AG$2:$AG$1001,0),MATCH(COLUMNS($AN$1006:AX1006),$AN$1006:$BO$1006,0)), HYPERLINK("#",""), HYPERLINK(CONCATENATE("#Metadata!", ADDRESS(INDEX($AI$2:$AI$1001,MATCH(ROWS($AG$2:AG607),$AG$2:$AG$1001,0),0), INDEX($AN$1004:$BO$1004,1,MATCH(COLUMNS($AN$1006:AX1006),$AN$1006:$BO$1006,0)))),"Fix")))</f>
        <v>0</v>
      </c>
      <c r="M607" s="4">
        <f>IF(OR(INDEX($AH$2:$AH$1001,MATCH(ROWS($AG$2:AG607),$AG$2:$AG$1001,0),1)&gt;=100000,INDEX($AN$1005:$BO$1005,1,MATCH(COLUMNS($AN$1006:AY1006),$AN$1006:$BO$1006,0))&gt;=100000), " ",IF(INDEX($AN$2:$BO$1001,MATCH(ROWS($AG$2:AG607),$AG$2:$AG$1001,0),MATCH(COLUMNS($AN$1006:AY1006),$AN$1006:$BO$1006,0)), HYPERLINK("#",""), HYPERLINK(CONCATENATE("#Metadata!", ADDRESS(INDEX($AI$2:$AI$1001,MATCH(ROWS($AG$2:AG607),$AG$2:$AG$1001,0),0), INDEX($AN$1004:$BO$1004,1,MATCH(COLUMNS($AN$1006:AY1006),$AN$1006:$BO$1006,0)))),"Fix")))</f>
        <v>0</v>
      </c>
      <c r="N607" s="4">
        <f>IF(OR(INDEX($AH$2:$AH$1001,MATCH(ROWS($AG$2:AG607),$AG$2:$AG$1001,0),1)&gt;=100000,INDEX($AN$1005:$BO$1005,1,MATCH(COLUMNS($AN$1006:AZ1006),$AN$1006:$BO$1006,0))&gt;=100000), " ",IF(INDEX($AN$2:$BO$1001,MATCH(ROWS($AG$2:AG607),$AG$2:$AG$1001,0),MATCH(COLUMNS($AN$1006:AZ1006),$AN$1006:$BO$1006,0)), HYPERLINK("#",""), HYPERLINK(CONCATENATE("#Metadata!", ADDRESS(INDEX($AI$2:$AI$1001,MATCH(ROWS($AG$2:AG607),$AG$2:$AG$1001,0),0), INDEX($AN$1004:$BO$1004,1,MATCH(COLUMNS($AN$1006:AZ1006),$AN$1006:$BO$1006,0)))),"Fix")))</f>
        <v>0</v>
      </c>
      <c r="O607" s="4">
        <f>IF(OR(INDEX($AH$2:$AH$1001,MATCH(ROWS($AG$2:AG607),$AG$2:$AG$1001,0),1)&gt;=100000,INDEX($AN$1005:$BO$1005,1,MATCH(COLUMNS($AN$1006:BA1006),$AN$1006:$BO$1006,0))&gt;=100000), " ",IF(INDEX($AN$2:$BO$1001,MATCH(ROWS($AG$2:AG607),$AG$2:$AG$1001,0),MATCH(COLUMNS($AN$1006:BA1006),$AN$1006:$BO$1006,0)), HYPERLINK("#",""), HYPERLINK(CONCATENATE("#Metadata!", ADDRESS(INDEX($AI$2:$AI$1001,MATCH(ROWS($AG$2:AG607),$AG$2:$AG$1001,0),0), INDEX($AN$1004:$BO$1004,1,MATCH(COLUMNS($AN$1006:BA1006),$AN$1006:$BO$1006,0)))),"Fix")))</f>
        <v>0</v>
      </c>
      <c r="P607" s="4">
        <f>IF(OR(INDEX($AH$2:$AH$1001,MATCH(ROWS($AG$2:AG607),$AG$2:$AG$1001,0),1)&gt;=100000,INDEX($AN$1005:$BO$1005,1,MATCH(COLUMNS($AN$1006:BB1006),$AN$1006:$BO$1006,0))&gt;=100000), " ",IF(INDEX($AN$2:$BO$1001,MATCH(ROWS($AG$2:AG607),$AG$2:$AG$1001,0),MATCH(COLUMNS($AN$1006:BB1006),$AN$1006:$BO$1006,0)), HYPERLINK("#",""), HYPERLINK(CONCATENATE("#Metadata!", ADDRESS(INDEX($AI$2:$AI$1001,MATCH(ROWS($AG$2:AG607),$AG$2:$AG$1001,0),0), INDEX($AN$1004:$BO$1004,1,MATCH(COLUMNS($AN$1006:BB1006),$AN$1006:$BO$1006,0)))),"Fix")))</f>
        <v>0</v>
      </c>
      <c r="Q607" s="4">
        <f>IF(OR(INDEX($AH$2:$AH$1001,MATCH(ROWS($AG$2:AG607),$AG$2:$AG$1001,0),1)&gt;=100000,INDEX($AN$1005:$BO$1005,1,MATCH(COLUMNS($AN$1006:BC1006),$AN$1006:$BO$1006,0))&gt;=100000), " ",IF(INDEX($AN$2:$BO$1001,MATCH(ROWS($AG$2:AG607),$AG$2:$AG$1001,0),MATCH(COLUMNS($AN$1006:BC1006),$AN$1006:$BO$1006,0)), HYPERLINK("#",""), HYPERLINK(CONCATENATE("#Metadata!", ADDRESS(INDEX($AI$2:$AI$1001,MATCH(ROWS($AG$2:AG607),$AG$2:$AG$1001,0),0), INDEX($AN$1004:$BO$1004,1,MATCH(COLUMNS($AN$1006:BC1006),$AN$1006:$BO$1006,0)))),"Fix")))</f>
        <v>0</v>
      </c>
      <c r="R607" s="4">
        <f>IF(OR(INDEX($AH$2:$AH$1001,MATCH(ROWS($AG$2:AG607),$AG$2:$AG$1001,0),1)&gt;=100000,INDEX($AN$1005:$BO$1005,1,MATCH(COLUMNS($AN$1006:BD1006),$AN$1006:$BO$1006,0))&gt;=100000), " ",IF(INDEX($AN$2:$BO$1001,MATCH(ROWS($AG$2:AG607),$AG$2:$AG$1001,0),MATCH(COLUMNS($AN$1006:BD1006),$AN$1006:$BO$1006,0)), HYPERLINK("#",""), HYPERLINK(CONCATENATE("#Metadata!", ADDRESS(INDEX($AI$2:$AI$1001,MATCH(ROWS($AG$2:AG607),$AG$2:$AG$1001,0),0), INDEX($AN$1004:$BO$1004,1,MATCH(COLUMNS($AN$1006:BD1006),$AN$1006:$BO$1006,0)))),"Fix")))</f>
        <v>0</v>
      </c>
      <c r="S607" s="4">
        <f>IF(OR(INDEX($AH$2:$AH$1001,MATCH(ROWS($AG$2:AG607),$AG$2:$AG$1001,0),1)&gt;=100000,INDEX($AN$1005:$BO$1005,1,MATCH(COLUMNS($AN$1006:BE1006),$AN$1006:$BO$1006,0))&gt;=100000), " ",IF(INDEX($AN$2:$BO$1001,MATCH(ROWS($AG$2:AG607),$AG$2:$AG$1001,0),MATCH(COLUMNS($AN$1006:BE1006),$AN$1006:$BO$1006,0)), HYPERLINK("#",""), HYPERLINK(CONCATENATE("#Metadata!", ADDRESS(INDEX($AI$2:$AI$1001,MATCH(ROWS($AG$2:AG607),$AG$2:$AG$1001,0),0), INDEX($AN$1004:$BO$1004,1,MATCH(COLUMNS($AN$1006:BE1006),$AN$1006:$BO$1006,0)))),"Fix")))</f>
        <v>0</v>
      </c>
      <c r="T607" s="4">
        <f>IF(OR(INDEX($AH$2:$AH$1001,MATCH(ROWS($AG$2:AG607),$AG$2:$AG$1001,0),1)&gt;=100000,INDEX($AN$1005:$BO$1005,1,MATCH(COLUMNS($AN$1006:BF1006),$AN$1006:$BO$1006,0))&gt;=100000), " ",IF(INDEX($AN$2:$BO$1001,MATCH(ROWS($AG$2:AG607),$AG$2:$AG$1001,0),MATCH(COLUMNS($AN$1006:BF1006),$AN$1006:$BO$1006,0)), HYPERLINK("#",""), HYPERLINK(CONCATENATE("#Metadata!", ADDRESS(INDEX($AI$2:$AI$1001,MATCH(ROWS($AG$2:AG607),$AG$2:$AG$1001,0),0), INDEX($AN$1004:$BO$1004,1,MATCH(COLUMNS($AN$1006:BF1006),$AN$1006:$BO$1006,0)))),"Fix")))</f>
        <v>0</v>
      </c>
      <c r="U607" s="4">
        <f>IF(OR(INDEX($AH$2:$AH$1001,MATCH(ROWS($AG$2:AG607),$AG$2:$AG$1001,0),1)&gt;=100000,INDEX($AN$1005:$BO$1005,1,MATCH(COLUMNS($AN$1006:BG1006),$AN$1006:$BO$1006,0))&gt;=100000), " ",IF(INDEX($AN$2:$BO$1001,MATCH(ROWS($AG$2:AG607),$AG$2:$AG$1001,0),MATCH(COLUMNS($AN$1006:BG1006),$AN$1006:$BO$1006,0)), HYPERLINK("#",""), HYPERLINK(CONCATENATE("#Metadata!", ADDRESS(INDEX($AI$2:$AI$1001,MATCH(ROWS($AG$2:AG607),$AG$2:$AG$1001,0),0), INDEX($AN$1004:$BO$1004,1,MATCH(COLUMNS($AN$1006:BG1006),$AN$1006:$BO$1006,0)))),"Fix")))</f>
        <v>0</v>
      </c>
      <c r="V607" s="4">
        <f>IF(OR(INDEX($AH$2:$AH$1001,MATCH(ROWS($AG$2:AG607),$AG$2:$AG$1001,0),1)&gt;=100000,INDEX($AN$1005:$BO$1005,1,MATCH(COLUMNS($AN$1006:BH1006),$AN$1006:$BO$1006,0))&gt;=100000), " ",IF(INDEX($AN$2:$BO$1001,MATCH(ROWS($AG$2:AG607),$AG$2:$AG$1001,0),MATCH(COLUMNS($AN$1006:BH1006),$AN$1006:$BO$1006,0)), HYPERLINK("#",""), HYPERLINK(CONCATENATE("#Metadata!", ADDRESS(INDEX($AI$2:$AI$1001,MATCH(ROWS($AG$2:AG607),$AG$2:$AG$1001,0),0), INDEX($AN$1004:$BO$1004,1,MATCH(COLUMNS($AN$1006:BH1006),$AN$1006:$BO$1006,0)))),"Fix")))</f>
        <v>0</v>
      </c>
      <c r="W607" s="4">
        <f>IF(OR(INDEX($AH$2:$AH$1001,MATCH(ROWS($AG$2:AG607),$AG$2:$AG$1001,0),1)&gt;=100000,INDEX($AN$1005:$BO$1005,1,MATCH(COLUMNS($AN$1006:BI1006),$AN$1006:$BO$1006,0))&gt;=100000), " ",IF(INDEX($AN$2:$BO$1001,MATCH(ROWS($AG$2:AG607),$AG$2:$AG$1001,0),MATCH(COLUMNS($AN$1006:BI1006),$AN$1006:$BO$1006,0)), HYPERLINK("#",""), HYPERLINK(CONCATENATE("#Metadata!", ADDRESS(INDEX($AI$2:$AI$1001,MATCH(ROWS($AG$2:AG607),$AG$2:$AG$1001,0),0), INDEX($AN$1004:$BO$1004,1,MATCH(COLUMNS($AN$1006:BI1006),$AN$1006:$BO$1006,0)))),"Fix")))</f>
        <v>0</v>
      </c>
      <c r="X607" s="4">
        <f>IF(OR(INDEX($AH$2:$AH$1001,MATCH(ROWS($AG$2:AG607),$AG$2:$AG$1001,0),1)&gt;=100000,INDEX($AN$1005:$BO$1005,1,MATCH(COLUMNS($AN$1006:BJ1006),$AN$1006:$BO$1006,0))&gt;=100000), " ",IF(INDEX($AN$2:$BO$1001,MATCH(ROWS($AG$2:AG607),$AG$2:$AG$1001,0),MATCH(COLUMNS($AN$1006:BJ1006),$AN$1006:$BO$1006,0)), HYPERLINK("#",""), HYPERLINK(CONCATENATE("#Metadata!", ADDRESS(INDEX($AI$2:$AI$1001,MATCH(ROWS($AG$2:AG607),$AG$2:$AG$1001,0),0), INDEX($AN$1004:$BO$1004,1,MATCH(COLUMNS($AN$1006:BJ1006),$AN$1006:$BO$1006,0)))),"Fix")))</f>
        <v>0</v>
      </c>
      <c r="Y607" s="4">
        <f>IF(OR(INDEX($AH$2:$AH$1001,MATCH(ROWS($AG$2:AG607),$AG$2:$AG$1001,0),1)&gt;=100000,INDEX($AN$1005:$BO$1005,1,MATCH(COLUMNS($AN$1006:BK1006),$AN$1006:$BO$1006,0))&gt;=100000), " ",IF(INDEX($AN$2:$BO$1001,MATCH(ROWS($AG$2:AG607),$AG$2:$AG$1001,0),MATCH(COLUMNS($AN$1006:BK1006),$AN$1006:$BO$1006,0)), HYPERLINK("#",""), HYPERLINK(CONCATENATE("#Metadata!", ADDRESS(INDEX($AI$2:$AI$1001,MATCH(ROWS($AG$2:AG607),$AG$2:$AG$1001,0),0), INDEX($AN$1004:$BO$1004,1,MATCH(COLUMNS($AN$1006:BK1006),$AN$1006:$BO$1006,0)))),"Fix")))</f>
        <v>0</v>
      </c>
      <c r="Z607" s="4">
        <f>IF(OR(INDEX($AH$2:$AH$1001,MATCH(ROWS($AG$2:AG607),$AG$2:$AG$1001,0),1)&gt;=100000,INDEX($AN$1005:$BO$1005,1,MATCH(COLUMNS($AN$1006:BL1006),$AN$1006:$BO$1006,0))&gt;=100000), " ",IF(INDEX($AN$2:$BO$1001,MATCH(ROWS($AG$2:AG607),$AG$2:$AG$1001,0),MATCH(COLUMNS($AN$1006:BL1006),$AN$1006:$BO$1006,0)), HYPERLINK("#",""), HYPERLINK(CONCATENATE("#Metadata!", ADDRESS(INDEX($AI$2:$AI$1001,MATCH(ROWS($AG$2:AG607),$AG$2:$AG$1001,0),0), INDEX($AN$1004:$BO$1004,1,MATCH(COLUMNS($AN$1006:BL1006),$AN$1006:$BO$1006,0)))),"Fix")))</f>
        <v>0</v>
      </c>
      <c r="AA607" s="4">
        <f>IF(OR(INDEX($AH$2:$AH$1001,MATCH(ROWS($AG$2:AG607),$AG$2:$AG$1001,0),1)&gt;=100000,INDEX($AN$1005:$BO$1005,1,MATCH(COLUMNS($AN$1006:BM1006),$AN$1006:$BO$1006,0))&gt;=100000), " ",IF(INDEX($AN$2:$BO$1001,MATCH(ROWS($AG$2:AG607),$AG$2:$AG$1001,0),MATCH(COLUMNS($AN$1006:BM1006),$AN$1006:$BO$1006,0)), HYPERLINK("#",""), HYPERLINK(CONCATENATE("#Metadata!", ADDRESS(INDEX($AI$2:$AI$1001,MATCH(ROWS($AG$2:AG607),$AG$2:$AG$1001,0),0), INDEX($AN$1004:$BO$1004,1,MATCH(COLUMNS($AN$1006:BM1006),$AN$1006:$BO$1006,0)))),"Fix")))</f>
        <v>0</v>
      </c>
      <c r="AB607" s="4">
        <f>IF(OR(INDEX($AH$2:$AH$1001,MATCH(ROWS($AG$2:AG607),$AG$2:$AG$1001,0),1)&gt;=100000,INDEX($AN$1005:$BO$1005,1,MATCH(COLUMNS($AN$1006:BN1006),$AN$1006:$BO$1006,0))&gt;=100000), " ",IF(INDEX($AN$2:$BO$1001,MATCH(ROWS($AG$2:AG607),$AG$2:$AG$1001,0),MATCH(COLUMNS($AN$1006:BN1006),$AN$1006:$BO$1006,0)), HYPERLINK("#",""), HYPERLINK(CONCATENATE("#Metadata!", ADDRESS(INDEX($AI$2:$AI$1001,MATCH(ROWS($AG$2:AG607),$AG$2:$AG$1001,0),0), INDEX($AN$1004:$BO$1004,1,MATCH(COLUMNS($AN$1006:BN1006),$AN$1006:$BO$1006,0)))),"Fix")))</f>
        <v>0</v>
      </c>
      <c r="AC607" s="4">
        <f>IF(OR(INDEX($AH$2:$AH$1001,MATCH(ROWS($AG$2:AG607),$AG$2:$AG$1001,0),1)&gt;=100000,INDEX($AN$1005:$BO$1005,1,MATCH(COLUMNS($AN$1006:BO1006),$AN$1006:$BO$1006,0))&gt;=100000), " ",IF(INDEX($AN$2:$BO$1001,MATCH(ROWS($AG$2:AG607),$AG$2:$AG$1001,0),MATCH(COLUMNS($AN$1006:BO1006),$AN$1006:$BO$1006,0)), HYPERLINK("#",""), HYPERLINK(CONCATENATE("#Metadata!", ADDRESS(INDEX($AI$2:$AI$1001,MATCH(ROWS($AG$2:AG607),$AG$2:$AG$1001,0),0), INDEX($AN$1004:$BO$1004,1,MATCH(COLUMNS($AN$1006:BO1006),$AN$1006:$BO$1006,0)))),"Fix")))</f>
        <v>0</v>
      </c>
      <c r="AG607">
        <v>0</v>
      </c>
      <c r="AH607">
        <v>0</v>
      </c>
      <c r="AI607">
        <v>0</v>
      </c>
      <c r="AJ607">
        <f>IF(AK607,TRUE,AND(AN607:BO607))</f>
        <v>0</v>
      </c>
      <c r="AK607">
        <f>COUNTBLANK(Metadata!B607:AC607)=COLUMNS(Metadata!B607:AC607)</f>
        <v>0</v>
      </c>
      <c r="AL607">
        <v>0</v>
      </c>
      <c r="AN607">
        <f>AND(IF(Metadata!B607="",FALSE,TRUE),COUNTIF(Metadata!B:B, Metadata!B607) = 1,NOT(ISERROR(SUMPRODUCT(SEARCH(MID(Metadata!B607,ROW(INDIRECT("1:"&amp;LEN(Metadata!B607))), 1),"0123456789abcdefghijklmnopqrstuvwxyzABCDEFGHIJKLMNOPQRSTUVWXYZ.")))))</f>
        <v>0</v>
      </c>
      <c r="AO607">
        <f>IF(Metadata!C607="",FALSE,TRUE)</f>
        <v>0</v>
      </c>
      <c r="AP607">
        <f>IF(Metadata!D607="",FALSE,TRUE)</f>
        <v>0</v>
      </c>
      <c r="AQ607">
        <f>OR(AND(IF(Metadata!E607="",FALSE,TRUE),OR(exact(Metadata!E607,"not collected"),exact(Metadata!E607,"not provided"),exact(Metadata!E607,"restricted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R607">
        <f>IF(Metadata!F607="",FALSE,TRUE)</f>
        <v>0</v>
      </c>
      <c r="AS607">
        <f>OR(AND(IF(Metadata!G607="",FALSE,TRUE),OR(exact(Metadata!G607,"not collected"),exact(Metadata!G607,"not provided"))),AND(IF(Metadata!G607="",FALSE,TRUE),OR(exact(Metadata!G607,"TRUE"),exact(Metadata!G607,"FALSE"))))</f>
        <v>0</v>
      </c>
      <c r="AT607">
        <f>OR(AND(IF(Metadata!H607="",FALSE,TRUE),OR(exact(Metadata!H607,"not collected"),exact(Metadata!H607,"not provided"),exact(Metadata!H607,"restricted access"))),AND(IF(Metadata!H607="",FALSE,ISNUMBER(VALUE(Metadata!H607))),Metadata!H607&gt;=-413.0))</f>
        <v>0</v>
      </c>
      <c r="AU607">
        <f>AND(IF(Metadata!I607="",FALSE,TRUE),exact(Metadata!I607,"meters"))</f>
        <v>0</v>
      </c>
      <c r="AV607">
        <f>AND(IF(Metadata!J607="",FALSE,TRUE),OR(exact(Metadata!J607,"Host-associated"),exact(Metadata!J607,"Free-living")))</f>
        <v>0</v>
      </c>
      <c r="AW607">
        <f>AND(IF(Metadata!K607="",FALSE,TRUE),OR(exact(Metadata!K607,"Animal"),exact(Metadata!K607,"Fungus"),exact(Metadata!K607,"Plant"),exact(Metadata!K607,"Saline"),exact(Metadata!K607,"Non-saline")))</f>
        <v>0</v>
      </c>
      <c r="AX607">
        <f>AND(IF(Metadata!L607="",FALSE,TRUE),OR(exact(Metadata!L607,"Plant secretion"),exact(Metadata!L607,"Plant rhizosphere"),exact(Metadata!L607,"Plant surface"),exact(Metadata!L607,"Plant corpus"),exact(Metadata!L607,"Fungus surface"),exact(Metadata!L607,"Fungus corpus"),exact(Metadata!L607,"Animal surface"),exact(Metadata!L607,"Animal proximal gut"),exact(Metadata!L607,"Animal corpus"),exact(Metadata!L607,"Animal distal gut"),exact(Metadata!L607,"Animal secretion"),exact(Metadata!L607,"Sub-surface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Y607">
        <f>IF(Metadata!M607="",FALSE,TRUE)</f>
        <v>0</v>
      </c>
      <c r="AZ607">
        <f>IF(Metadata!N607="",FALSE,TRUE)</f>
        <v>0</v>
      </c>
      <c r="BA607">
        <f>IF(Metadata!O607="",FALSE,TRUE)</f>
        <v>0</v>
      </c>
      <c r="BB607">
        <f>OR(AND(IF(Metadata!P607="",FALSE,TRUE),OR(exact(Metadata!P607,"not collected"),exact(Metadata!P607,"not provided"),exact(Metadata!P607,"restricted access"))),AND(IF(Metadata!P607="",FALSE,TRUE),OR(exact(Metadata!P607,"air"),exact(Metadata!P607,"built environment"),exact(Metadata!P607,"host-associated"),exact(Metadata!P607,"human-associated"),exact(Metadata!P607,"human-skin"),exact(Metadata!P607,"human-oral"),exact(Metadata!P607,"human-gut"),exact(Metadata!P607,"human-vaginal"),exact(Metadata!P607,"microbial mat/biofilm"),exact(Metadata!P607,"misc environment"),exact(Metadata!P607,"plant-associated"),exact(Metadata!P607,"sediment"),exact(Metadata!P607,"soil"),exact(Metadata!P607,"wastewater/sludge"),exact(Metadata!P607,"water"))))</f>
        <v>0</v>
      </c>
      <c r="BC607">
        <f>IF(Metadata!Q607="",FALSE,TRUE)</f>
        <v>0</v>
      </c>
      <c r="BD607">
        <f>IF(Metadata!R607="",FALSE,TRUE)</f>
        <v>0</v>
      </c>
      <c r="BE607">
        <f>OR(AND(IF(Metadata!S607="",FALSE,TRUE),OR(exact(Metadata!S607,"not collected"),exact(Metadata!S607,"not provided"),exact(Metadata!S607,"restricted access"))),AND(IF(Metadata!S607="",FALSE,ISNUMBER(VALUE(Metadata!S607))),Metadata!S607&gt;=-90.00,Metadata!S607&lt;=90.00))</f>
        <v>0</v>
      </c>
      <c r="BF607">
        <f>AND(IF(Metadata!T607="",FALSE,TRUE),exact(Metadata!T607,"Decimal degrees"))</f>
        <v>0</v>
      </c>
      <c r="BG607">
        <f>OR(AND(IF(Metadata!U607="",FALSE,TRUE),OR(exact(Metadata!U607,"not collected"),exact(Metadata!U607,"not provided"),exact(Metadata!U607,"restricted access"))),AND(IF(Metadata!U607="",FALSE,ISNUMBER(VALUE(Metadata!U607))),Metadata!U607&gt;=-180.00,Metadata!U607&lt;=180.00))</f>
        <v>0</v>
      </c>
      <c r="BH607">
        <f>AND(IF(Metadata!V607="",FALSE,TRUE),exact(Metadata!V607,"Decimal degrees"))</f>
        <v>0</v>
      </c>
      <c r="BI607">
        <f>IF(Metadata!W607="",FALSE,TRUE)</f>
        <v>0</v>
      </c>
      <c r="BJ607">
        <f>OR(AND(IF(Metadata!X607="",FALSE,TRUE),OR(exact(Metadata!X607,"not collected"),exact(Metadata!X607,"not provided"),exact(Metadata!X607,"restricted access"))),AND(IF(Metadata!X607="",FALSE,TRUE),OR(exact(Metadata!X607,"TRUE"),exact(Metadata!X607,"FALSE"))))</f>
        <v>0</v>
      </c>
      <c r="BK607">
        <f>AND(IF(Metadata!Y607="",FALSE,TRUE),exact(Metadata!Y607,"other"))</f>
        <v>0</v>
      </c>
      <c r="BL607">
        <f>IF(Metadata!Z607="",FALSE,TRUE)</f>
        <v>0</v>
      </c>
      <c r="BM607">
        <f>OR(AND(IF(Metadata!AA607="",FALSE,TRUE),OR(exact(Metadata!AA607,"not collected"),exact(Metadata!AA607,"not provided"))),AND(IF(Metadata!AA607="",FALSE,IF(ISERROR(INT(Metadata!AA607)),FALSE,INT(Metadata!AA607)=Metadata!AA607)),Metadata!AA607&gt;0))</f>
        <v>0</v>
      </c>
      <c r="BN607">
        <f>AND(IF(Metadata!AB607="",FALSE,TRUE),exact(Metadata!AB607,"Not applicable"))</f>
        <v>0</v>
      </c>
      <c r="BO607">
        <f>IF(Metadata!AC607="",FALSE,TRUE)</f>
        <v>0</v>
      </c>
    </row>
    <row r="608" spans="1:67">
      <c r="A608" s="5">
        <f>IF(B608=" "," ",HYPERLINK(CONCATENATE("#metadata!",ADDRESS(INDEX($AI$2:$AI$1001,MATCH(ROWS($AG$2:AG608),$AG$2:$AG$1001,0),0),1)),INDEX($AL$2:$AL$1001,MATCH(ROWS($AG$2:AG608),$AG$2:$AG$1001,0),0)))</f>
        <v>0</v>
      </c>
      <c r="B608" s="4">
        <f>IF(OR(INDEX($AH$2:$AH$1001,MATCH(ROWS($AG$2:AG608),$AG$2:$AG$1001,0),1)&gt;=100000,INDEX($AN$1005:$BO$1005,1,MATCH(COLUMNS($AN$1006:AN1006),$AN$1006:$BO$1006,0))&gt;=100000), " ",IF(INDEX($AN$2:$BO$1001,MATCH(ROWS($AG$2:AG608),$AG$2:$AG$1001,0),MATCH(COLUMNS($AN$1006:AN1006),$AN$1006:$BO$1006,0)), HYPERLINK("#",""), HYPERLINK(CONCATENATE("#Metadata!", ADDRESS(INDEX($AI$2:$AI$1001,MATCH(ROWS($AG$2:AG608),$AG$2:$AG$1001,0),0), INDEX($AN$1004:$BO$1004,1,MATCH(COLUMNS($AN$1006:AN1006),$AN$1006:$BO$1006,0)))),"Fix")))</f>
        <v>0</v>
      </c>
      <c r="C608" s="4">
        <f>IF(OR(INDEX($AH$2:$AH$1001,MATCH(ROWS($AG$2:AG608),$AG$2:$AG$1001,0),1)&gt;=100000,INDEX($AN$1005:$BO$1005,1,MATCH(COLUMNS($AN$1006:AO1006),$AN$1006:$BO$1006,0))&gt;=100000), " ",IF(INDEX($AN$2:$BO$1001,MATCH(ROWS($AG$2:AG608),$AG$2:$AG$1001,0),MATCH(COLUMNS($AN$1006:AO1006),$AN$1006:$BO$1006,0)), HYPERLINK("#",""), HYPERLINK(CONCATENATE("#Metadata!", ADDRESS(INDEX($AI$2:$AI$1001,MATCH(ROWS($AG$2:AG608),$AG$2:$AG$1001,0),0), INDEX($AN$1004:$BO$1004,1,MATCH(COLUMNS($AN$1006:AO1006),$AN$1006:$BO$1006,0)))),"Fix")))</f>
        <v>0</v>
      </c>
      <c r="D608" s="4">
        <f>IF(OR(INDEX($AH$2:$AH$1001,MATCH(ROWS($AG$2:AG608),$AG$2:$AG$1001,0),1)&gt;=100000,INDEX($AN$1005:$BO$1005,1,MATCH(COLUMNS($AN$1006:AP1006),$AN$1006:$BO$1006,0))&gt;=100000), " ",IF(INDEX($AN$2:$BO$1001,MATCH(ROWS($AG$2:AG608),$AG$2:$AG$1001,0),MATCH(COLUMNS($AN$1006:AP1006),$AN$1006:$BO$1006,0)), HYPERLINK("#",""), HYPERLINK(CONCATENATE("#Metadata!", ADDRESS(INDEX($AI$2:$AI$1001,MATCH(ROWS($AG$2:AG608),$AG$2:$AG$1001,0),0), INDEX($AN$1004:$BO$1004,1,MATCH(COLUMNS($AN$1006:AP1006),$AN$1006:$BO$1006,0)))),"Fix")))</f>
        <v>0</v>
      </c>
      <c r="E608" s="4">
        <f>IF(OR(INDEX($AH$2:$AH$1001,MATCH(ROWS($AG$2:AG608),$AG$2:$AG$1001,0),1)&gt;=100000,INDEX($AN$1005:$BO$1005,1,MATCH(COLUMNS($AN$1006:AQ1006),$AN$1006:$BO$1006,0))&gt;=100000), " ",IF(INDEX($AN$2:$BO$1001,MATCH(ROWS($AG$2:AG608),$AG$2:$AG$1001,0),MATCH(COLUMNS($AN$1006:AQ1006),$AN$1006:$BO$1006,0)), HYPERLINK("#",""), HYPERLINK(CONCATENATE("#Metadata!", ADDRESS(INDEX($AI$2:$AI$1001,MATCH(ROWS($AG$2:AG608),$AG$2:$AG$1001,0),0), INDEX($AN$1004:$BO$1004,1,MATCH(COLUMNS($AN$1006:AQ1006),$AN$1006:$BO$1006,0)))),"Fix")))</f>
        <v>0</v>
      </c>
      <c r="F608" s="4">
        <f>IF(OR(INDEX($AH$2:$AH$1001,MATCH(ROWS($AG$2:AG608),$AG$2:$AG$1001,0),1)&gt;=100000,INDEX($AN$1005:$BO$1005,1,MATCH(COLUMNS($AN$1006:AR1006),$AN$1006:$BO$1006,0))&gt;=100000), " ",IF(INDEX($AN$2:$BO$1001,MATCH(ROWS($AG$2:AG608),$AG$2:$AG$1001,0),MATCH(COLUMNS($AN$1006:AR1006),$AN$1006:$BO$1006,0)), HYPERLINK("#",""), HYPERLINK(CONCATENATE("#Metadata!", ADDRESS(INDEX($AI$2:$AI$1001,MATCH(ROWS($AG$2:AG608),$AG$2:$AG$1001,0),0), INDEX($AN$1004:$BO$1004,1,MATCH(COLUMNS($AN$1006:AR1006),$AN$1006:$BO$1006,0)))),"Fix")))</f>
        <v>0</v>
      </c>
      <c r="G608" s="4">
        <f>IF(OR(INDEX($AH$2:$AH$1001,MATCH(ROWS($AG$2:AG608),$AG$2:$AG$1001,0),1)&gt;=100000,INDEX($AN$1005:$BO$1005,1,MATCH(COLUMNS($AN$1006:AS1006),$AN$1006:$BO$1006,0))&gt;=100000), " ",IF(INDEX($AN$2:$BO$1001,MATCH(ROWS($AG$2:AG608),$AG$2:$AG$1001,0),MATCH(COLUMNS($AN$1006:AS1006),$AN$1006:$BO$1006,0)), HYPERLINK("#",""), HYPERLINK(CONCATENATE("#Metadata!", ADDRESS(INDEX($AI$2:$AI$1001,MATCH(ROWS($AG$2:AG608),$AG$2:$AG$1001,0),0), INDEX($AN$1004:$BO$1004,1,MATCH(COLUMNS($AN$1006:AS1006),$AN$1006:$BO$1006,0)))),"Fix")))</f>
        <v>0</v>
      </c>
      <c r="H608" s="4">
        <f>IF(OR(INDEX($AH$2:$AH$1001,MATCH(ROWS($AG$2:AG608),$AG$2:$AG$1001,0),1)&gt;=100000,INDEX($AN$1005:$BO$1005,1,MATCH(COLUMNS($AN$1006:AT1006),$AN$1006:$BO$1006,0))&gt;=100000), " ",IF(INDEX($AN$2:$BO$1001,MATCH(ROWS($AG$2:AG608),$AG$2:$AG$1001,0),MATCH(COLUMNS($AN$1006:AT1006),$AN$1006:$BO$1006,0)), HYPERLINK("#",""), HYPERLINK(CONCATENATE("#Metadata!", ADDRESS(INDEX($AI$2:$AI$1001,MATCH(ROWS($AG$2:AG608),$AG$2:$AG$1001,0),0), INDEX($AN$1004:$BO$1004,1,MATCH(COLUMNS($AN$1006:AT1006),$AN$1006:$BO$1006,0)))),"Fix")))</f>
        <v>0</v>
      </c>
      <c r="I608" s="4">
        <f>IF(OR(INDEX($AH$2:$AH$1001,MATCH(ROWS($AG$2:AG608),$AG$2:$AG$1001,0),1)&gt;=100000,INDEX($AN$1005:$BO$1005,1,MATCH(COLUMNS($AN$1006:AU1006),$AN$1006:$BO$1006,0))&gt;=100000), " ",IF(INDEX($AN$2:$BO$1001,MATCH(ROWS($AG$2:AG608),$AG$2:$AG$1001,0),MATCH(COLUMNS($AN$1006:AU1006),$AN$1006:$BO$1006,0)), HYPERLINK("#",""), HYPERLINK(CONCATENATE("#Metadata!", ADDRESS(INDEX($AI$2:$AI$1001,MATCH(ROWS($AG$2:AG608),$AG$2:$AG$1001,0),0), INDEX($AN$1004:$BO$1004,1,MATCH(COLUMNS($AN$1006:AU1006),$AN$1006:$BO$1006,0)))),"Fix")))</f>
        <v>0</v>
      </c>
      <c r="J608" s="4">
        <f>IF(OR(INDEX($AH$2:$AH$1001,MATCH(ROWS($AG$2:AG608),$AG$2:$AG$1001,0),1)&gt;=100000,INDEX($AN$1005:$BO$1005,1,MATCH(COLUMNS($AN$1006:AV1006),$AN$1006:$BO$1006,0))&gt;=100000), " ",IF(INDEX($AN$2:$BO$1001,MATCH(ROWS($AG$2:AG608),$AG$2:$AG$1001,0),MATCH(COLUMNS($AN$1006:AV1006),$AN$1006:$BO$1006,0)), HYPERLINK("#",""), HYPERLINK(CONCATENATE("#Metadata!", ADDRESS(INDEX($AI$2:$AI$1001,MATCH(ROWS($AG$2:AG608),$AG$2:$AG$1001,0),0), INDEX($AN$1004:$BO$1004,1,MATCH(COLUMNS($AN$1006:AV1006),$AN$1006:$BO$1006,0)))),"Fix")))</f>
        <v>0</v>
      </c>
      <c r="K608" s="4">
        <f>IF(OR(INDEX($AH$2:$AH$1001,MATCH(ROWS($AG$2:AG608),$AG$2:$AG$1001,0),1)&gt;=100000,INDEX($AN$1005:$BO$1005,1,MATCH(COLUMNS($AN$1006:AW1006),$AN$1006:$BO$1006,0))&gt;=100000), " ",IF(INDEX($AN$2:$BO$1001,MATCH(ROWS($AG$2:AG608),$AG$2:$AG$1001,0),MATCH(COLUMNS($AN$1006:AW1006),$AN$1006:$BO$1006,0)), HYPERLINK("#",""), HYPERLINK(CONCATENATE("#Metadata!", ADDRESS(INDEX($AI$2:$AI$1001,MATCH(ROWS($AG$2:AG608),$AG$2:$AG$1001,0),0), INDEX($AN$1004:$BO$1004,1,MATCH(COLUMNS($AN$1006:AW1006),$AN$1006:$BO$1006,0)))),"Fix")))</f>
        <v>0</v>
      </c>
      <c r="L608" s="4">
        <f>IF(OR(INDEX($AH$2:$AH$1001,MATCH(ROWS($AG$2:AG608),$AG$2:$AG$1001,0),1)&gt;=100000,INDEX($AN$1005:$BO$1005,1,MATCH(COLUMNS($AN$1006:AX1006),$AN$1006:$BO$1006,0))&gt;=100000), " ",IF(INDEX($AN$2:$BO$1001,MATCH(ROWS($AG$2:AG608),$AG$2:$AG$1001,0),MATCH(COLUMNS($AN$1006:AX1006),$AN$1006:$BO$1006,0)), HYPERLINK("#",""), HYPERLINK(CONCATENATE("#Metadata!", ADDRESS(INDEX($AI$2:$AI$1001,MATCH(ROWS($AG$2:AG608),$AG$2:$AG$1001,0),0), INDEX($AN$1004:$BO$1004,1,MATCH(COLUMNS($AN$1006:AX1006),$AN$1006:$BO$1006,0)))),"Fix")))</f>
        <v>0</v>
      </c>
      <c r="M608" s="4">
        <f>IF(OR(INDEX($AH$2:$AH$1001,MATCH(ROWS($AG$2:AG608),$AG$2:$AG$1001,0),1)&gt;=100000,INDEX($AN$1005:$BO$1005,1,MATCH(COLUMNS($AN$1006:AY1006),$AN$1006:$BO$1006,0))&gt;=100000), " ",IF(INDEX($AN$2:$BO$1001,MATCH(ROWS($AG$2:AG608),$AG$2:$AG$1001,0),MATCH(COLUMNS($AN$1006:AY1006),$AN$1006:$BO$1006,0)), HYPERLINK("#",""), HYPERLINK(CONCATENATE("#Metadata!", ADDRESS(INDEX($AI$2:$AI$1001,MATCH(ROWS($AG$2:AG608),$AG$2:$AG$1001,0),0), INDEX($AN$1004:$BO$1004,1,MATCH(COLUMNS($AN$1006:AY1006),$AN$1006:$BO$1006,0)))),"Fix")))</f>
        <v>0</v>
      </c>
      <c r="N608" s="4">
        <f>IF(OR(INDEX($AH$2:$AH$1001,MATCH(ROWS($AG$2:AG608),$AG$2:$AG$1001,0),1)&gt;=100000,INDEX($AN$1005:$BO$1005,1,MATCH(COLUMNS($AN$1006:AZ1006),$AN$1006:$BO$1006,0))&gt;=100000), " ",IF(INDEX($AN$2:$BO$1001,MATCH(ROWS($AG$2:AG608),$AG$2:$AG$1001,0),MATCH(COLUMNS($AN$1006:AZ1006),$AN$1006:$BO$1006,0)), HYPERLINK("#",""), HYPERLINK(CONCATENATE("#Metadata!", ADDRESS(INDEX($AI$2:$AI$1001,MATCH(ROWS($AG$2:AG608),$AG$2:$AG$1001,0),0), INDEX($AN$1004:$BO$1004,1,MATCH(COLUMNS($AN$1006:AZ1006),$AN$1006:$BO$1006,0)))),"Fix")))</f>
        <v>0</v>
      </c>
      <c r="O608" s="4">
        <f>IF(OR(INDEX($AH$2:$AH$1001,MATCH(ROWS($AG$2:AG608),$AG$2:$AG$1001,0),1)&gt;=100000,INDEX($AN$1005:$BO$1005,1,MATCH(COLUMNS($AN$1006:BA1006),$AN$1006:$BO$1006,0))&gt;=100000), " ",IF(INDEX($AN$2:$BO$1001,MATCH(ROWS($AG$2:AG608),$AG$2:$AG$1001,0),MATCH(COLUMNS($AN$1006:BA1006),$AN$1006:$BO$1006,0)), HYPERLINK("#",""), HYPERLINK(CONCATENATE("#Metadata!", ADDRESS(INDEX($AI$2:$AI$1001,MATCH(ROWS($AG$2:AG608),$AG$2:$AG$1001,0),0), INDEX($AN$1004:$BO$1004,1,MATCH(COLUMNS($AN$1006:BA1006),$AN$1006:$BO$1006,0)))),"Fix")))</f>
        <v>0</v>
      </c>
      <c r="P608" s="4">
        <f>IF(OR(INDEX($AH$2:$AH$1001,MATCH(ROWS($AG$2:AG608),$AG$2:$AG$1001,0),1)&gt;=100000,INDEX($AN$1005:$BO$1005,1,MATCH(COLUMNS($AN$1006:BB1006),$AN$1006:$BO$1006,0))&gt;=100000), " ",IF(INDEX($AN$2:$BO$1001,MATCH(ROWS($AG$2:AG608),$AG$2:$AG$1001,0),MATCH(COLUMNS($AN$1006:BB1006),$AN$1006:$BO$1006,0)), HYPERLINK("#",""), HYPERLINK(CONCATENATE("#Metadata!", ADDRESS(INDEX($AI$2:$AI$1001,MATCH(ROWS($AG$2:AG608),$AG$2:$AG$1001,0),0), INDEX($AN$1004:$BO$1004,1,MATCH(COLUMNS($AN$1006:BB1006),$AN$1006:$BO$1006,0)))),"Fix")))</f>
        <v>0</v>
      </c>
      <c r="Q608" s="4">
        <f>IF(OR(INDEX($AH$2:$AH$1001,MATCH(ROWS($AG$2:AG608),$AG$2:$AG$1001,0),1)&gt;=100000,INDEX($AN$1005:$BO$1005,1,MATCH(COLUMNS($AN$1006:BC1006),$AN$1006:$BO$1006,0))&gt;=100000), " ",IF(INDEX($AN$2:$BO$1001,MATCH(ROWS($AG$2:AG608),$AG$2:$AG$1001,0),MATCH(COLUMNS($AN$1006:BC1006),$AN$1006:$BO$1006,0)), HYPERLINK("#",""), HYPERLINK(CONCATENATE("#Metadata!", ADDRESS(INDEX($AI$2:$AI$1001,MATCH(ROWS($AG$2:AG608),$AG$2:$AG$1001,0),0), INDEX($AN$1004:$BO$1004,1,MATCH(COLUMNS($AN$1006:BC1006),$AN$1006:$BO$1006,0)))),"Fix")))</f>
        <v>0</v>
      </c>
      <c r="R608" s="4">
        <f>IF(OR(INDEX($AH$2:$AH$1001,MATCH(ROWS($AG$2:AG608),$AG$2:$AG$1001,0),1)&gt;=100000,INDEX($AN$1005:$BO$1005,1,MATCH(COLUMNS($AN$1006:BD1006),$AN$1006:$BO$1006,0))&gt;=100000), " ",IF(INDEX($AN$2:$BO$1001,MATCH(ROWS($AG$2:AG608),$AG$2:$AG$1001,0),MATCH(COLUMNS($AN$1006:BD1006),$AN$1006:$BO$1006,0)), HYPERLINK("#",""), HYPERLINK(CONCATENATE("#Metadata!", ADDRESS(INDEX($AI$2:$AI$1001,MATCH(ROWS($AG$2:AG608),$AG$2:$AG$1001,0),0), INDEX($AN$1004:$BO$1004,1,MATCH(COLUMNS($AN$1006:BD1006),$AN$1006:$BO$1006,0)))),"Fix")))</f>
        <v>0</v>
      </c>
      <c r="S608" s="4">
        <f>IF(OR(INDEX($AH$2:$AH$1001,MATCH(ROWS($AG$2:AG608),$AG$2:$AG$1001,0),1)&gt;=100000,INDEX($AN$1005:$BO$1005,1,MATCH(COLUMNS($AN$1006:BE1006),$AN$1006:$BO$1006,0))&gt;=100000), " ",IF(INDEX($AN$2:$BO$1001,MATCH(ROWS($AG$2:AG608),$AG$2:$AG$1001,0),MATCH(COLUMNS($AN$1006:BE1006),$AN$1006:$BO$1006,0)), HYPERLINK("#",""), HYPERLINK(CONCATENATE("#Metadata!", ADDRESS(INDEX($AI$2:$AI$1001,MATCH(ROWS($AG$2:AG608),$AG$2:$AG$1001,0),0), INDEX($AN$1004:$BO$1004,1,MATCH(COLUMNS($AN$1006:BE1006),$AN$1006:$BO$1006,0)))),"Fix")))</f>
        <v>0</v>
      </c>
      <c r="T608" s="4">
        <f>IF(OR(INDEX($AH$2:$AH$1001,MATCH(ROWS($AG$2:AG608),$AG$2:$AG$1001,0),1)&gt;=100000,INDEX($AN$1005:$BO$1005,1,MATCH(COLUMNS($AN$1006:BF1006),$AN$1006:$BO$1006,0))&gt;=100000), " ",IF(INDEX($AN$2:$BO$1001,MATCH(ROWS($AG$2:AG608),$AG$2:$AG$1001,0),MATCH(COLUMNS($AN$1006:BF1006),$AN$1006:$BO$1006,0)), HYPERLINK("#",""), HYPERLINK(CONCATENATE("#Metadata!", ADDRESS(INDEX($AI$2:$AI$1001,MATCH(ROWS($AG$2:AG608),$AG$2:$AG$1001,0),0), INDEX($AN$1004:$BO$1004,1,MATCH(COLUMNS($AN$1006:BF1006),$AN$1006:$BO$1006,0)))),"Fix")))</f>
        <v>0</v>
      </c>
      <c r="U608" s="4">
        <f>IF(OR(INDEX($AH$2:$AH$1001,MATCH(ROWS($AG$2:AG608),$AG$2:$AG$1001,0),1)&gt;=100000,INDEX($AN$1005:$BO$1005,1,MATCH(COLUMNS($AN$1006:BG1006),$AN$1006:$BO$1006,0))&gt;=100000), " ",IF(INDEX($AN$2:$BO$1001,MATCH(ROWS($AG$2:AG608),$AG$2:$AG$1001,0),MATCH(COLUMNS($AN$1006:BG1006),$AN$1006:$BO$1006,0)), HYPERLINK("#",""), HYPERLINK(CONCATENATE("#Metadata!", ADDRESS(INDEX($AI$2:$AI$1001,MATCH(ROWS($AG$2:AG608),$AG$2:$AG$1001,0),0), INDEX($AN$1004:$BO$1004,1,MATCH(COLUMNS($AN$1006:BG1006),$AN$1006:$BO$1006,0)))),"Fix")))</f>
        <v>0</v>
      </c>
      <c r="V608" s="4">
        <f>IF(OR(INDEX($AH$2:$AH$1001,MATCH(ROWS($AG$2:AG608),$AG$2:$AG$1001,0),1)&gt;=100000,INDEX($AN$1005:$BO$1005,1,MATCH(COLUMNS($AN$1006:BH1006),$AN$1006:$BO$1006,0))&gt;=100000), " ",IF(INDEX($AN$2:$BO$1001,MATCH(ROWS($AG$2:AG608),$AG$2:$AG$1001,0),MATCH(COLUMNS($AN$1006:BH1006),$AN$1006:$BO$1006,0)), HYPERLINK("#",""), HYPERLINK(CONCATENATE("#Metadata!", ADDRESS(INDEX($AI$2:$AI$1001,MATCH(ROWS($AG$2:AG608),$AG$2:$AG$1001,0),0), INDEX($AN$1004:$BO$1004,1,MATCH(COLUMNS($AN$1006:BH1006),$AN$1006:$BO$1006,0)))),"Fix")))</f>
        <v>0</v>
      </c>
      <c r="W608" s="4">
        <f>IF(OR(INDEX($AH$2:$AH$1001,MATCH(ROWS($AG$2:AG608),$AG$2:$AG$1001,0),1)&gt;=100000,INDEX($AN$1005:$BO$1005,1,MATCH(COLUMNS($AN$1006:BI1006),$AN$1006:$BO$1006,0))&gt;=100000), " ",IF(INDEX($AN$2:$BO$1001,MATCH(ROWS($AG$2:AG608),$AG$2:$AG$1001,0),MATCH(COLUMNS($AN$1006:BI1006),$AN$1006:$BO$1006,0)), HYPERLINK("#",""), HYPERLINK(CONCATENATE("#Metadata!", ADDRESS(INDEX($AI$2:$AI$1001,MATCH(ROWS($AG$2:AG608),$AG$2:$AG$1001,0),0), INDEX($AN$1004:$BO$1004,1,MATCH(COLUMNS($AN$1006:BI1006),$AN$1006:$BO$1006,0)))),"Fix")))</f>
        <v>0</v>
      </c>
      <c r="X608" s="4">
        <f>IF(OR(INDEX($AH$2:$AH$1001,MATCH(ROWS($AG$2:AG608),$AG$2:$AG$1001,0),1)&gt;=100000,INDEX($AN$1005:$BO$1005,1,MATCH(COLUMNS($AN$1006:BJ1006),$AN$1006:$BO$1006,0))&gt;=100000), " ",IF(INDEX($AN$2:$BO$1001,MATCH(ROWS($AG$2:AG608),$AG$2:$AG$1001,0),MATCH(COLUMNS($AN$1006:BJ1006),$AN$1006:$BO$1006,0)), HYPERLINK("#",""), HYPERLINK(CONCATENATE("#Metadata!", ADDRESS(INDEX($AI$2:$AI$1001,MATCH(ROWS($AG$2:AG608),$AG$2:$AG$1001,0),0), INDEX($AN$1004:$BO$1004,1,MATCH(COLUMNS($AN$1006:BJ1006),$AN$1006:$BO$1006,0)))),"Fix")))</f>
        <v>0</v>
      </c>
      <c r="Y608" s="4">
        <f>IF(OR(INDEX($AH$2:$AH$1001,MATCH(ROWS($AG$2:AG608),$AG$2:$AG$1001,0),1)&gt;=100000,INDEX($AN$1005:$BO$1005,1,MATCH(COLUMNS($AN$1006:BK1006),$AN$1006:$BO$1006,0))&gt;=100000), " ",IF(INDEX($AN$2:$BO$1001,MATCH(ROWS($AG$2:AG608),$AG$2:$AG$1001,0),MATCH(COLUMNS($AN$1006:BK1006),$AN$1006:$BO$1006,0)), HYPERLINK("#",""), HYPERLINK(CONCATENATE("#Metadata!", ADDRESS(INDEX($AI$2:$AI$1001,MATCH(ROWS($AG$2:AG608),$AG$2:$AG$1001,0),0), INDEX($AN$1004:$BO$1004,1,MATCH(COLUMNS($AN$1006:BK1006),$AN$1006:$BO$1006,0)))),"Fix")))</f>
        <v>0</v>
      </c>
      <c r="Z608" s="4">
        <f>IF(OR(INDEX($AH$2:$AH$1001,MATCH(ROWS($AG$2:AG608),$AG$2:$AG$1001,0),1)&gt;=100000,INDEX($AN$1005:$BO$1005,1,MATCH(COLUMNS($AN$1006:BL1006),$AN$1006:$BO$1006,0))&gt;=100000), " ",IF(INDEX($AN$2:$BO$1001,MATCH(ROWS($AG$2:AG608),$AG$2:$AG$1001,0),MATCH(COLUMNS($AN$1006:BL1006),$AN$1006:$BO$1006,0)), HYPERLINK("#",""), HYPERLINK(CONCATENATE("#Metadata!", ADDRESS(INDEX($AI$2:$AI$1001,MATCH(ROWS($AG$2:AG608),$AG$2:$AG$1001,0),0), INDEX($AN$1004:$BO$1004,1,MATCH(COLUMNS($AN$1006:BL1006),$AN$1006:$BO$1006,0)))),"Fix")))</f>
        <v>0</v>
      </c>
      <c r="AA608" s="4">
        <f>IF(OR(INDEX($AH$2:$AH$1001,MATCH(ROWS($AG$2:AG608),$AG$2:$AG$1001,0),1)&gt;=100000,INDEX($AN$1005:$BO$1005,1,MATCH(COLUMNS($AN$1006:BM1006),$AN$1006:$BO$1006,0))&gt;=100000), " ",IF(INDEX($AN$2:$BO$1001,MATCH(ROWS($AG$2:AG608),$AG$2:$AG$1001,0),MATCH(COLUMNS($AN$1006:BM1006),$AN$1006:$BO$1006,0)), HYPERLINK("#",""), HYPERLINK(CONCATENATE("#Metadata!", ADDRESS(INDEX($AI$2:$AI$1001,MATCH(ROWS($AG$2:AG608),$AG$2:$AG$1001,0),0), INDEX($AN$1004:$BO$1004,1,MATCH(COLUMNS($AN$1006:BM1006),$AN$1006:$BO$1006,0)))),"Fix")))</f>
        <v>0</v>
      </c>
      <c r="AB608" s="4">
        <f>IF(OR(INDEX($AH$2:$AH$1001,MATCH(ROWS($AG$2:AG608),$AG$2:$AG$1001,0),1)&gt;=100000,INDEX($AN$1005:$BO$1005,1,MATCH(COLUMNS($AN$1006:BN1006),$AN$1006:$BO$1006,0))&gt;=100000), " ",IF(INDEX($AN$2:$BO$1001,MATCH(ROWS($AG$2:AG608),$AG$2:$AG$1001,0),MATCH(COLUMNS($AN$1006:BN1006),$AN$1006:$BO$1006,0)), HYPERLINK("#",""), HYPERLINK(CONCATENATE("#Metadata!", ADDRESS(INDEX($AI$2:$AI$1001,MATCH(ROWS($AG$2:AG608),$AG$2:$AG$1001,0),0), INDEX($AN$1004:$BO$1004,1,MATCH(COLUMNS($AN$1006:BN1006),$AN$1006:$BO$1006,0)))),"Fix")))</f>
        <v>0</v>
      </c>
      <c r="AC608" s="4">
        <f>IF(OR(INDEX($AH$2:$AH$1001,MATCH(ROWS($AG$2:AG608),$AG$2:$AG$1001,0),1)&gt;=100000,INDEX($AN$1005:$BO$1005,1,MATCH(COLUMNS($AN$1006:BO1006),$AN$1006:$BO$1006,0))&gt;=100000), " ",IF(INDEX($AN$2:$BO$1001,MATCH(ROWS($AG$2:AG608),$AG$2:$AG$1001,0),MATCH(COLUMNS($AN$1006:BO1006),$AN$1006:$BO$1006,0)), HYPERLINK("#",""), HYPERLINK(CONCATENATE("#Metadata!", ADDRESS(INDEX($AI$2:$AI$1001,MATCH(ROWS($AG$2:AG608),$AG$2:$AG$1001,0),0), INDEX($AN$1004:$BO$1004,1,MATCH(COLUMNS($AN$1006:BO1006),$AN$1006:$BO$1006,0)))),"Fix")))</f>
        <v>0</v>
      </c>
      <c r="AG608">
        <v>0</v>
      </c>
      <c r="AH608">
        <v>0</v>
      </c>
      <c r="AI608">
        <v>0</v>
      </c>
      <c r="AJ608">
        <f>IF(AK608,TRUE,AND(AN608:BO608))</f>
        <v>0</v>
      </c>
      <c r="AK608">
        <f>COUNTBLANK(Metadata!B608:AC608)=COLUMNS(Metadata!B608:AC608)</f>
        <v>0</v>
      </c>
      <c r="AL608">
        <v>0</v>
      </c>
      <c r="AN608">
        <f>AND(IF(Metadata!B608="",FALSE,TRUE),COUNTIF(Metadata!B:B, Metadata!B608) = 1,NOT(ISERROR(SUMPRODUCT(SEARCH(MID(Metadata!B608,ROW(INDIRECT("1:"&amp;LEN(Metadata!B608))), 1),"0123456789abcdefghijklmnopqrstuvwxyzABCDEFGHIJKLMNOPQRSTUVWXYZ.")))))</f>
        <v>0</v>
      </c>
      <c r="AO608">
        <f>IF(Metadata!C608="",FALSE,TRUE)</f>
        <v>0</v>
      </c>
      <c r="AP608">
        <f>IF(Metadata!D608="",FALSE,TRUE)</f>
        <v>0</v>
      </c>
      <c r="AQ608">
        <f>OR(AND(IF(Metadata!E608="",FALSE,TRUE),OR(exact(Metadata!E608,"not collected"),exact(Metadata!E608,"not provided"),exact(Metadata!E608,"restricted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R608">
        <f>IF(Metadata!F608="",FALSE,TRUE)</f>
        <v>0</v>
      </c>
      <c r="AS608">
        <f>OR(AND(IF(Metadata!G608="",FALSE,TRUE),OR(exact(Metadata!G608,"not collected"),exact(Metadata!G608,"not provided"))),AND(IF(Metadata!G608="",FALSE,TRUE),OR(exact(Metadata!G608,"TRUE"),exact(Metadata!G608,"FALSE"))))</f>
        <v>0</v>
      </c>
      <c r="AT608">
        <f>OR(AND(IF(Metadata!H608="",FALSE,TRUE),OR(exact(Metadata!H608,"not collected"),exact(Metadata!H608,"not provided"),exact(Metadata!H608,"restricted access"))),AND(IF(Metadata!H608="",FALSE,ISNUMBER(VALUE(Metadata!H608))),Metadata!H608&gt;=-413.0))</f>
        <v>0</v>
      </c>
      <c r="AU608">
        <f>AND(IF(Metadata!I608="",FALSE,TRUE),exact(Metadata!I608,"meters"))</f>
        <v>0</v>
      </c>
      <c r="AV608">
        <f>AND(IF(Metadata!J608="",FALSE,TRUE),OR(exact(Metadata!J608,"Host-associated"),exact(Metadata!J608,"Free-living")))</f>
        <v>0</v>
      </c>
      <c r="AW608">
        <f>AND(IF(Metadata!K608="",FALSE,TRUE),OR(exact(Metadata!K608,"Animal"),exact(Metadata!K608,"Fungus"),exact(Metadata!K608,"Plant"),exact(Metadata!K608,"Saline"),exact(Metadata!K608,"Non-saline")))</f>
        <v>0</v>
      </c>
      <c r="AX608">
        <f>AND(IF(Metadata!L608="",FALSE,TRUE),OR(exact(Metadata!L608,"Plant secretion"),exact(Metadata!L608,"Plant rhizosphere"),exact(Metadata!L608,"Plant surface"),exact(Metadata!L608,"Plant corpus"),exact(Metadata!L608,"Fungus surface"),exact(Metadata!L608,"Fungus corpus"),exact(Metadata!L608,"Animal surface"),exact(Metadata!L608,"Animal proximal gut"),exact(Metadata!L608,"Animal corpus"),exact(Metadata!L608,"Animal distal gut"),exact(Metadata!L608,"Animal secretion"),exact(Metadata!L608,"Sub-surface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Y608">
        <f>IF(Metadata!M608="",FALSE,TRUE)</f>
        <v>0</v>
      </c>
      <c r="AZ608">
        <f>IF(Metadata!N608="",FALSE,TRUE)</f>
        <v>0</v>
      </c>
      <c r="BA608">
        <f>IF(Metadata!O608="",FALSE,TRUE)</f>
        <v>0</v>
      </c>
      <c r="BB608">
        <f>OR(AND(IF(Metadata!P608="",FALSE,TRUE),OR(exact(Metadata!P608,"not collected"),exact(Metadata!P608,"not provided"),exact(Metadata!P608,"restricted access"))),AND(IF(Metadata!P608="",FALSE,TRUE),OR(exact(Metadata!P608,"air"),exact(Metadata!P608,"built environment"),exact(Metadata!P608,"host-associated"),exact(Metadata!P608,"human-associated"),exact(Metadata!P608,"human-skin"),exact(Metadata!P608,"human-oral"),exact(Metadata!P608,"human-gut"),exact(Metadata!P608,"human-vaginal"),exact(Metadata!P608,"microbial mat/biofilm"),exact(Metadata!P608,"misc environment"),exact(Metadata!P608,"plant-associated"),exact(Metadata!P608,"sediment"),exact(Metadata!P608,"soil"),exact(Metadata!P608,"wastewater/sludge"),exact(Metadata!P608,"water"))))</f>
        <v>0</v>
      </c>
      <c r="BC608">
        <f>IF(Metadata!Q608="",FALSE,TRUE)</f>
        <v>0</v>
      </c>
      <c r="BD608">
        <f>IF(Metadata!R608="",FALSE,TRUE)</f>
        <v>0</v>
      </c>
      <c r="BE608">
        <f>OR(AND(IF(Metadata!S608="",FALSE,TRUE),OR(exact(Metadata!S608,"not collected"),exact(Metadata!S608,"not provided"),exact(Metadata!S608,"restricted access"))),AND(IF(Metadata!S608="",FALSE,ISNUMBER(VALUE(Metadata!S608))),Metadata!S608&gt;=-90.00,Metadata!S608&lt;=90.00))</f>
        <v>0</v>
      </c>
      <c r="BF608">
        <f>AND(IF(Metadata!T608="",FALSE,TRUE),exact(Metadata!T608,"Decimal degrees"))</f>
        <v>0</v>
      </c>
      <c r="BG608">
        <f>OR(AND(IF(Metadata!U608="",FALSE,TRUE),OR(exact(Metadata!U608,"not collected"),exact(Metadata!U608,"not provided"),exact(Metadata!U608,"restricted access"))),AND(IF(Metadata!U608="",FALSE,ISNUMBER(VALUE(Metadata!U608))),Metadata!U608&gt;=-180.00,Metadata!U608&lt;=180.00))</f>
        <v>0</v>
      </c>
      <c r="BH608">
        <f>AND(IF(Metadata!V608="",FALSE,TRUE),exact(Metadata!V608,"Decimal degrees"))</f>
        <v>0</v>
      </c>
      <c r="BI608">
        <f>IF(Metadata!W608="",FALSE,TRUE)</f>
        <v>0</v>
      </c>
      <c r="BJ608">
        <f>OR(AND(IF(Metadata!X608="",FALSE,TRUE),OR(exact(Metadata!X608,"not collected"),exact(Metadata!X608,"not provided"),exact(Metadata!X608,"restricted access"))),AND(IF(Metadata!X608="",FALSE,TRUE),OR(exact(Metadata!X608,"TRUE"),exact(Metadata!X608,"FALSE"))))</f>
        <v>0</v>
      </c>
      <c r="BK608">
        <f>AND(IF(Metadata!Y608="",FALSE,TRUE),exact(Metadata!Y608,"other"))</f>
        <v>0</v>
      </c>
      <c r="BL608">
        <f>IF(Metadata!Z608="",FALSE,TRUE)</f>
        <v>0</v>
      </c>
      <c r="BM608">
        <f>OR(AND(IF(Metadata!AA608="",FALSE,TRUE),OR(exact(Metadata!AA608,"not collected"),exact(Metadata!AA608,"not provided"))),AND(IF(Metadata!AA608="",FALSE,IF(ISERROR(INT(Metadata!AA608)),FALSE,INT(Metadata!AA608)=Metadata!AA608)),Metadata!AA608&gt;0))</f>
        <v>0</v>
      </c>
      <c r="BN608">
        <f>AND(IF(Metadata!AB608="",FALSE,TRUE),exact(Metadata!AB608,"Not applicable"))</f>
        <v>0</v>
      </c>
      <c r="BO608">
        <f>IF(Metadata!AC608="",FALSE,TRUE)</f>
        <v>0</v>
      </c>
    </row>
    <row r="609" spans="1:67">
      <c r="A609" s="5">
        <f>IF(B609=" "," ",HYPERLINK(CONCATENATE("#metadata!",ADDRESS(INDEX($AI$2:$AI$1001,MATCH(ROWS($AG$2:AG609),$AG$2:$AG$1001,0),0),1)),INDEX($AL$2:$AL$1001,MATCH(ROWS($AG$2:AG609),$AG$2:$AG$1001,0),0)))</f>
        <v>0</v>
      </c>
      <c r="B609" s="4">
        <f>IF(OR(INDEX($AH$2:$AH$1001,MATCH(ROWS($AG$2:AG609),$AG$2:$AG$1001,0),1)&gt;=100000,INDEX($AN$1005:$BO$1005,1,MATCH(COLUMNS($AN$1006:AN1006),$AN$1006:$BO$1006,0))&gt;=100000), " ",IF(INDEX($AN$2:$BO$1001,MATCH(ROWS($AG$2:AG609),$AG$2:$AG$1001,0),MATCH(COLUMNS($AN$1006:AN1006),$AN$1006:$BO$1006,0)), HYPERLINK("#",""), HYPERLINK(CONCATENATE("#Metadata!", ADDRESS(INDEX($AI$2:$AI$1001,MATCH(ROWS($AG$2:AG609),$AG$2:$AG$1001,0),0), INDEX($AN$1004:$BO$1004,1,MATCH(COLUMNS($AN$1006:AN1006),$AN$1006:$BO$1006,0)))),"Fix")))</f>
        <v>0</v>
      </c>
      <c r="C609" s="4">
        <f>IF(OR(INDEX($AH$2:$AH$1001,MATCH(ROWS($AG$2:AG609),$AG$2:$AG$1001,0),1)&gt;=100000,INDEX($AN$1005:$BO$1005,1,MATCH(COLUMNS($AN$1006:AO1006),$AN$1006:$BO$1006,0))&gt;=100000), " ",IF(INDEX($AN$2:$BO$1001,MATCH(ROWS($AG$2:AG609),$AG$2:$AG$1001,0),MATCH(COLUMNS($AN$1006:AO1006),$AN$1006:$BO$1006,0)), HYPERLINK("#",""), HYPERLINK(CONCATENATE("#Metadata!", ADDRESS(INDEX($AI$2:$AI$1001,MATCH(ROWS($AG$2:AG609),$AG$2:$AG$1001,0),0), INDEX($AN$1004:$BO$1004,1,MATCH(COLUMNS($AN$1006:AO1006),$AN$1006:$BO$1006,0)))),"Fix")))</f>
        <v>0</v>
      </c>
      <c r="D609" s="4">
        <f>IF(OR(INDEX($AH$2:$AH$1001,MATCH(ROWS($AG$2:AG609),$AG$2:$AG$1001,0),1)&gt;=100000,INDEX($AN$1005:$BO$1005,1,MATCH(COLUMNS($AN$1006:AP1006),$AN$1006:$BO$1006,0))&gt;=100000), " ",IF(INDEX($AN$2:$BO$1001,MATCH(ROWS($AG$2:AG609),$AG$2:$AG$1001,0),MATCH(COLUMNS($AN$1006:AP1006),$AN$1006:$BO$1006,0)), HYPERLINK("#",""), HYPERLINK(CONCATENATE("#Metadata!", ADDRESS(INDEX($AI$2:$AI$1001,MATCH(ROWS($AG$2:AG609),$AG$2:$AG$1001,0),0), INDEX($AN$1004:$BO$1004,1,MATCH(COLUMNS($AN$1006:AP1006),$AN$1006:$BO$1006,0)))),"Fix")))</f>
        <v>0</v>
      </c>
      <c r="E609" s="4">
        <f>IF(OR(INDEX($AH$2:$AH$1001,MATCH(ROWS($AG$2:AG609),$AG$2:$AG$1001,0),1)&gt;=100000,INDEX($AN$1005:$BO$1005,1,MATCH(COLUMNS($AN$1006:AQ1006),$AN$1006:$BO$1006,0))&gt;=100000), " ",IF(INDEX($AN$2:$BO$1001,MATCH(ROWS($AG$2:AG609),$AG$2:$AG$1001,0),MATCH(COLUMNS($AN$1006:AQ1006),$AN$1006:$BO$1006,0)), HYPERLINK("#",""), HYPERLINK(CONCATENATE("#Metadata!", ADDRESS(INDEX($AI$2:$AI$1001,MATCH(ROWS($AG$2:AG609),$AG$2:$AG$1001,0),0), INDEX($AN$1004:$BO$1004,1,MATCH(COLUMNS($AN$1006:AQ1006),$AN$1006:$BO$1006,0)))),"Fix")))</f>
        <v>0</v>
      </c>
      <c r="F609" s="4">
        <f>IF(OR(INDEX($AH$2:$AH$1001,MATCH(ROWS($AG$2:AG609),$AG$2:$AG$1001,0),1)&gt;=100000,INDEX($AN$1005:$BO$1005,1,MATCH(COLUMNS($AN$1006:AR1006),$AN$1006:$BO$1006,0))&gt;=100000), " ",IF(INDEX($AN$2:$BO$1001,MATCH(ROWS($AG$2:AG609),$AG$2:$AG$1001,0),MATCH(COLUMNS($AN$1006:AR1006),$AN$1006:$BO$1006,0)), HYPERLINK("#",""), HYPERLINK(CONCATENATE("#Metadata!", ADDRESS(INDEX($AI$2:$AI$1001,MATCH(ROWS($AG$2:AG609),$AG$2:$AG$1001,0),0), INDEX($AN$1004:$BO$1004,1,MATCH(COLUMNS($AN$1006:AR1006),$AN$1006:$BO$1006,0)))),"Fix")))</f>
        <v>0</v>
      </c>
      <c r="G609" s="4">
        <f>IF(OR(INDEX($AH$2:$AH$1001,MATCH(ROWS($AG$2:AG609),$AG$2:$AG$1001,0),1)&gt;=100000,INDEX($AN$1005:$BO$1005,1,MATCH(COLUMNS($AN$1006:AS1006),$AN$1006:$BO$1006,0))&gt;=100000), " ",IF(INDEX($AN$2:$BO$1001,MATCH(ROWS($AG$2:AG609),$AG$2:$AG$1001,0),MATCH(COLUMNS($AN$1006:AS1006),$AN$1006:$BO$1006,0)), HYPERLINK("#",""), HYPERLINK(CONCATENATE("#Metadata!", ADDRESS(INDEX($AI$2:$AI$1001,MATCH(ROWS($AG$2:AG609),$AG$2:$AG$1001,0),0), INDEX($AN$1004:$BO$1004,1,MATCH(COLUMNS($AN$1006:AS1006),$AN$1006:$BO$1006,0)))),"Fix")))</f>
        <v>0</v>
      </c>
      <c r="H609" s="4">
        <f>IF(OR(INDEX($AH$2:$AH$1001,MATCH(ROWS($AG$2:AG609),$AG$2:$AG$1001,0),1)&gt;=100000,INDEX($AN$1005:$BO$1005,1,MATCH(COLUMNS($AN$1006:AT1006),$AN$1006:$BO$1006,0))&gt;=100000), " ",IF(INDEX($AN$2:$BO$1001,MATCH(ROWS($AG$2:AG609),$AG$2:$AG$1001,0),MATCH(COLUMNS($AN$1006:AT1006),$AN$1006:$BO$1006,0)), HYPERLINK("#",""), HYPERLINK(CONCATENATE("#Metadata!", ADDRESS(INDEX($AI$2:$AI$1001,MATCH(ROWS($AG$2:AG609),$AG$2:$AG$1001,0),0), INDEX($AN$1004:$BO$1004,1,MATCH(COLUMNS($AN$1006:AT1006),$AN$1006:$BO$1006,0)))),"Fix")))</f>
        <v>0</v>
      </c>
      <c r="I609" s="4">
        <f>IF(OR(INDEX($AH$2:$AH$1001,MATCH(ROWS($AG$2:AG609),$AG$2:$AG$1001,0),1)&gt;=100000,INDEX($AN$1005:$BO$1005,1,MATCH(COLUMNS($AN$1006:AU1006),$AN$1006:$BO$1006,0))&gt;=100000), " ",IF(INDEX($AN$2:$BO$1001,MATCH(ROWS($AG$2:AG609),$AG$2:$AG$1001,0),MATCH(COLUMNS($AN$1006:AU1006),$AN$1006:$BO$1006,0)), HYPERLINK("#",""), HYPERLINK(CONCATENATE("#Metadata!", ADDRESS(INDEX($AI$2:$AI$1001,MATCH(ROWS($AG$2:AG609),$AG$2:$AG$1001,0),0), INDEX($AN$1004:$BO$1004,1,MATCH(COLUMNS($AN$1006:AU1006),$AN$1006:$BO$1006,0)))),"Fix")))</f>
        <v>0</v>
      </c>
      <c r="J609" s="4">
        <f>IF(OR(INDEX($AH$2:$AH$1001,MATCH(ROWS($AG$2:AG609),$AG$2:$AG$1001,0),1)&gt;=100000,INDEX($AN$1005:$BO$1005,1,MATCH(COLUMNS($AN$1006:AV1006),$AN$1006:$BO$1006,0))&gt;=100000), " ",IF(INDEX($AN$2:$BO$1001,MATCH(ROWS($AG$2:AG609),$AG$2:$AG$1001,0),MATCH(COLUMNS($AN$1006:AV1006),$AN$1006:$BO$1006,0)), HYPERLINK("#",""), HYPERLINK(CONCATENATE("#Metadata!", ADDRESS(INDEX($AI$2:$AI$1001,MATCH(ROWS($AG$2:AG609),$AG$2:$AG$1001,0),0), INDEX($AN$1004:$BO$1004,1,MATCH(COLUMNS($AN$1006:AV1006),$AN$1006:$BO$1006,0)))),"Fix")))</f>
        <v>0</v>
      </c>
      <c r="K609" s="4">
        <f>IF(OR(INDEX($AH$2:$AH$1001,MATCH(ROWS($AG$2:AG609),$AG$2:$AG$1001,0),1)&gt;=100000,INDEX($AN$1005:$BO$1005,1,MATCH(COLUMNS($AN$1006:AW1006),$AN$1006:$BO$1006,0))&gt;=100000), " ",IF(INDEX($AN$2:$BO$1001,MATCH(ROWS($AG$2:AG609),$AG$2:$AG$1001,0),MATCH(COLUMNS($AN$1006:AW1006),$AN$1006:$BO$1006,0)), HYPERLINK("#",""), HYPERLINK(CONCATENATE("#Metadata!", ADDRESS(INDEX($AI$2:$AI$1001,MATCH(ROWS($AG$2:AG609),$AG$2:$AG$1001,0),0), INDEX($AN$1004:$BO$1004,1,MATCH(COLUMNS($AN$1006:AW1006),$AN$1006:$BO$1006,0)))),"Fix")))</f>
        <v>0</v>
      </c>
      <c r="L609" s="4">
        <f>IF(OR(INDEX($AH$2:$AH$1001,MATCH(ROWS($AG$2:AG609),$AG$2:$AG$1001,0),1)&gt;=100000,INDEX($AN$1005:$BO$1005,1,MATCH(COLUMNS($AN$1006:AX1006),$AN$1006:$BO$1006,0))&gt;=100000), " ",IF(INDEX($AN$2:$BO$1001,MATCH(ROWS($AG$2:AG609),$AG$2:$AG$1001,0),MATCH(COLUMNS($AN$1006:AX1006),$AN$1006:$BO$1006,0)), HYPERLINK("#",""), HYPERLINK(CONCATENATE("#Metadata!", ADDRESS(INDEX($AI$2:$AI$1001,MATCH(ROWS($AG$2:AG609),$AG$2:$AG$1001,0),0), INDEX($AN$1004:$BO$1004,1,MATCH(COLUMNS($AN$1006:AX1006),$AN$1006:$BO$1006,0)))),"Fix")))</f>
        <v>0</v>
      </c>
      <c r="M609" s="4">
        <f>IF(OR(INDEX($AH$2:$AH$1001,MATCH(ROWS($AG$2:AG609),$AG$2:$AG$1001,0),1)&gt;=100000,INDEX($AN$1005:$BO$1005,1,MATCH(COLUMNS($AN$1006:AY1006),$AN$1006:$BO$1006,0))&gt;=100000), " ",IF(INDEX($AN$2:$BO$1001,MATCH(ROWS($AG$2:AG609),$AG$2:$AG$1001,0),MATCH(COLUMNS($AN$1006:AY1006),$AN$1006:$BO$1006,0)), HYPERLINK("#",""), HYPERLINK(CONCATENATE("#Metadata!", ADDRESS(INDEX($AI$2:$AI$1001,MATCH(ROWS($AG$2:AG609),$AG$2:$AG$1001,0),0), INDEX($AN$1004:$BO$1004,1,MATCH(COLUMNS($AN$1006:AY1006),$AN$1006:$BO$1006,0)))),"Fix")))</f>
        <v>0</v>
      </c>
      <c r="N609" s="4">
        <f>IF(OR(INDEX($AH$2:$AH$1001,MATCH(ROWS($AG$2:AG609),$AG$2:$AG$1001,0),1)&gt;=100000,INDEX($AN$1005:$BO$1005,1,MATCH(COLUMNS($AN$1006:AZ1006),$AN$1006:$BO$1006,0))&gt;=100000), " ",IF(INDEX($AN$2:$BO$1001,MATCH(ROWS($AG$2:AG609),$AG$2:$AG$1001,0),MATCH(COLUMNS($AN$1006:AZ1006),$AN$1006:$BO$1006,0)), HYPERLINK("#",""), HYPERLINK(CONCATENATE("#Metadata!", ADDRESS(INDEX($AI$2:$AI$1001,MATCH(ROWS($AG$2:AG609),$AG$2:$AG$1001,0),0), INDEX($AN$1004:$BO$1004,1,MATCH(COLUMNS($AN$1006:AZ1006),$AN$1006:$BO$1006,0)))),"Fix")))</f>
        <v>0</v>
      </c>
      <c r="O609" s="4">
        <f>IF(OR(INDEX($AH$2:$AH$1001,MATCH(ROWS($AG$2:AG609),$AG$2:$AG$1001,0),1)&gt;=100000,INDEX($AN$1005:$BO$1005,1,MATCH(COLUMNS($AN$1006:BA1006),$AN$1006:$BO$1006,0))&gt;=100000), " ",IF(INDEX($AN$2:$BO$1001,MATCH(ROWS($AG$2:AG609),$AG$2:$AG$1001,0),MATCH(COLUMNS($AN$1006:BA1006),$AN$1006:$BO$1006,0)), HYPERLINK("#",""), HYPERLINK(CONCATENATE("#Metadata!", ADDRESS(INDEX($AI$2:$AI$1001,MATCH(ROWS($AG$2:AG609),$AG$2:$AG$1001,0),0), INDEX($AN$1004:$BO$1004,1,MATCH(COLUMNS($AN$1006:BA1006),$AN$1006:$BO$1006,0)))),"Fix")))</f>
        <v>0</v>
      </c>
      <c r="P609" s="4">
        <f>IF(OR(INDEX($AH$2:$AH$1001,MATCH(ROWS($AG$2:AG609),$AG$2:$AG$1001,0),1)&gt;=100000,INDEX($AN$1005:$BO$1005,1,MATCH(COLUMNS($AN$1006:BB1006),$AN$1006:$BO$1006,0))&gt;=100000), " ",IF(INDEX($AN$2:$BO$1001,MATCH(ROWS($AG$2:AG609),$AG$2:$AG$1001,0),MATCH(COLUMNS($AN$1006:BB1006),$AN$1006:$BO$1006,0)), HYPERLINK("#",""), HYPERLINK(CONCATENATE("#Metadata!", ADDRESS(INDEX($AI$2:$AI$1001,MATCH(ROWS($AG$2:AG609),$AG$2:$AG$1001,0),0), INDEX($AN$1004:$BO$1004,1,MATCH(COLUMNS($AN$1006:BB1006),$AN$1006:$BO$1006,0)))),"Fix")))</f>
        <v>0</v>
      </c>
      <c r="Q609" s="4">
        <f>IF(OR(INDEX($AH$2:$AH$1001,MATCH(ROWS($AG$2:AG609),$AG$2:$AG$1001,0),1)&gt;=100000,INDEX($AN$1005:$BO$1005,1,MATCH(COLUMNS($AN$1006:BC1006),$AN$1006:$BO$1006,0))&gt;=100000), " ",IF(INDEX($AN$2:$BO$1001,MATCH(ROWS($AG$2:AG609),$AG$2:$AG$1001,0),MATCH(COLUMNS($AN$1006:BC1006),$AN$1006:$BO$1006,0)), HYPERLINK("#",""), HYPERLINK(CONCATENATE("#Metadata!", ADDRESS(INDEX($AI$2:$AI$1001,MATCH(ROWS($AG$2:AG609),$AG$2:$AG$1001,0),0), INDEX($AN$1004:$BO$1004,1,MATCH(COLUMNS($AN$1006:BC1006),$AN$1006:$BO$1006,0)))),"Fix")))</f>
        <v>0</v>
      </c>
      <c r="R609" s="4">
        <f>IF(OR(INDEX($AH$2:$AH$1001,MATCH(ROWS($AG$2:AG609),$AG$2:$AG$1001,0),1)&gt;=100000,INDEX($AN$1005:$BO$1005,1,MATCH(COLUMNS($AN$1006:BD1006),$AN$1006:$BO$1006,0))&gt;=100000), " ",IF(INDEX($AN$2:$BO$1001,MATCH(ROWS($AG$2:AG609),$AG$2:$AG$1001,0),MATCH(COLUMNS($AN$1006:BD1006),$AN$1006:$BO$1006,0)), HYPERLINK("#",""), HYPERLINK(CONCATENATE("#Metadata!", ADDRESS(INDEX($AI$2:$AI$1001,MATCH(ROWS($AG$2:AG609),$AG$2:$AG$1001,0),0), INDEX($AN$1004:$BO$1004,1,MATCH(COLUMNS($AN$1006:BD1006),$AN$1006:$BO$1006,0)))),"Fix")))</f>
        <v>0</v>
      </c>
      <c r="S609" s="4">
        <f>IF(OR(INDEX($AH$2:$AH$1001,MATCH(ROWS($AG$2:AG609),$AG$2:$AG$1001,0),1)&gt;=100000,INDEX($AN$1005:$BO$1005,1,MATCH(COLUMNS($AN$1006:BE1006),$AN$1006:$BO$1006,0))&gt;=100000), " ",IF(INDEX($AN$2:$BO$1001,MATCH(ROWS($AG$2:AG609),$AG$2:$AG$1001,0),MATCH(COLUMNS($AN$1006:BE1006),$AN$1006:$BO$1006,0)), HYPERLINK("#",""), HYPERLINK(CONCATENATE("#Metadata!", ADDRESS(INDEX($AI$2:$AI$1001,MATCH(ROWS($AG$2:AG609),$AG$2:$AG$1001,0),0), INDEX($AN$1004:$BO$1004,1,MATCH(COLUMNS($AN$1006:BE1006),$AN$1006:$BO$1006,0)))),"Fix")))</f>
        <v>0</v>
      </c>
      <c r="T609" s="4">
        <f>IF(OR(INDEX($AH$2:$AH$1001,MATCH(ROWS($AG$2:AG609),$AG$2:$AG$1001,0),1)&gt;=100000,INDEX($AN$1005:$BO$1005,1,MATCH(COLUMNS($AN$1006:BF1006),$AN$1006:$BO$1006,0))&gt;=100000), " ",IF(INDEX($AN$2:$BO$1001,MATCH(ROWS($AG$2:AG609),$AG$2:$AG$1001,0),MATCH(COLUMNS($AN$1006:BF1006),$AN$1006:$BO$1006,0)), HYPERLINK("#",""), HYPERLINK(CONCATENATE("#Metadata!", ADDRESS(INDEX($AI$2:$AI$1001,MATCH(ROWS($AG$2:AG609),$AG$2:$AG$1001,0),0), INDEX($AN$1004:$BO$1004,1,MATCH(COLUMNS($AN$1006:BF1006),$AN$1006:$BO$1006,0)))),"Fix")))</f>
        <v>0</v>
      </c>
      <c r="U609" s="4">
        <f>IF(OR(INDEX($AH$2:$AH$1001,MATCH(ROWS($AG$2:AG609),$AG$2:$AG$1001,0),1)&gt;=100000,INDEX($AN$1005:$BO$1005,1,MATCH(COLUMNS($AN$1006:BG1006),$AN$1006:$BO$1006,0))&gt;=100000), " ",IF(INDEX($AN$2:$BO$1001,MATCH(ROWS($AG$2:AG609),$AG$2:$AG$1001,0),MATCH(COLUMNS($AN$1006:BG1006),$AN$1006:$BO$1006,0)), HYPERLINK("#",""), HYPERLINK(CONCATENATE("#Metadata!", ADDRESS(INDEX($AI$2:$AI$1001,MATCH(ROWS($AG$2:AG609),$AG$2:$AG$1001,0),0), INDEX($AN$1004:$BO$1004,1,MATCH(COLUMNS($AN$1006:BG1006),$AN$1006:$BO$1006,0)))),"Fix")))</f>
        <v>0</v>
      </c>
      <c r="V609" s="4">
        <f>IF(OR(INDEX($AH$2:$AH$1001,MATCH(ROWS($AG$2:AG609),$AG$2:$AG$1001,0),1)&gt;=100000,INDEX($AN$1005:$BO$1005,1,MATCH(COLUMNS($AN$1006:BH1006),$AN$1006:$BO$1006,0))&gt;=100000), " ",IF(INDEX($AN$2:$BO$1001,MATCH(ROWS($AG$2:AG609),$AG$2:$AG$1001,0),MATCH(COLUMNS($AN$1006:BH1006),$AN$1006:$BO$1006,0)), HYPERLINK("#",""), HYPERLINK(CONCATENATE("#Metadata!", ADDRESS(INDEX($AI$2:$AI$1001,MATCH(ROWS($AG$2:AG609),$AG$2:$AG$1001,0),0), INDEX($AN$1004:$BO$1004,1,MATCH(COLUMNS($AN$1006:BH1006),$AN$1006:$BO$1006,0)))),"Fix")))</f>
        <v>0</v>
      </c>
      <c r="W609" s="4">
        <f>IF(OR(INDEX($AH$2:$AH$1001,MATCH(ROWS($AG$2:AG609),$AG$2:$AG$1001,0),1)&gt;=100000,INDEX($AN$1005:$BO$1005,1,MATCH(COLUMNS($AN$1006:BI1006),$AN$1006:$BO$1006,0))&gt;=100000), " ",IF(INDEX($AN$2:$BO$1001,MATCH(ROWS($AG$2:AG609),$AG$2:$AG$1001,0),MATCH(COLUMNS($AN$1006:BI1006),$AN$1006:$BO$1006,0)), HYPERLINK("#",""), HYPERLINK(CONCATENATE("#Metadata!", ADDRESS(INDEX($AI$2:$AI$1001,MATCH(ROWS($AG$2:AG609),$AG$2:$AG$1001,0),0), INDEX($AN$1004:$BO$1004,1,MATCH(COLUMNS($AN$1006:BI1006),$AN$1006:$BO$1006,0)))),"Fix")))</f>
        <v>0</v>
      </c>
      <c r="X609" s="4">
        <f>IF(OR(INDEX($AH$2:$AH$1001,MATCH(ROWS($AG$2:AG609),$AG$2:$AG$1001,0),1)&gt;=100000,INDEX($AN$1005:$BO$1005,1,MATCH(COLUMNS($AN$1006:BJ1006),$AN$1006:$BO$1006,0))&gt;=100000), " ",IF(INDEX($AN$2:$BO$1001,MATCH(ROWS($AG$2:AG609),$AG$2:$AG$1001,0),MATCH(COLUMNS($AN$1006:BJ1006),$AN$1006:$BO$1006,0)), HYPERLINK("#",""), HYPERLINK(CONCATENATE("#Metadata!", ADDRESS(INDEX($AI$2:$AI$1001,MATCH(ROWS($AG$2:AG609),$AG$2:$AG$1001,0),0), INDEX($AN$1004:$BO$1004,1,MATCH(COLUMNS($AN$1006:BJ1006),$AN$1006:$BO$1006,0)))),"Fix")))</f>
        <v>0</v>
      </c>
      <c r="Y609" s="4">
        <f>IF(OR(INDEX($AH$2:$AH$1001,MATCH(ROWS($AG$2:AG609),$AG$2:$AG$1001,0),1)&gt;=100000,INDEX($AN$1005:$BO$1005,1,MATCH(COLUMNS($AN$1006:BK1006),$AN$1006:$BO$1006,0))&gt;=100000), " ",IF(INDEX($AN$2:$BO$1001,MATCH(ROWS($AG$2:AG609),$AG$2:$AG$1001,0),MATCH(COLUMNS($AN$1006:BK1006),$AN$1006:$BO$1006,0)), HYPERLINK("#",""), HYPERLINK(CONCATENATE("#Metadata!", ADDRESS(INDEX($AI$2:$AI$1001,MATCH(ROWS($AG$2:AG609),$AG$2:$AG$1001,0),0), INDEX($AN$1004:$BO$1004,1,MATCH(COLUMNS($AN$1006:BK1006),$AN$1006:$BO$1006,0)))),"Fix")))</f>
        <v>0</v>
      </c>
      <c r="Z609" s="4">
        <f>IF(OR(INDEX($AH$2:$AH$1001,MATCH(ROWS($AG$2:AG609),$AG$2:$AG$1001,0),1)&gt;=100000,INDEX($AN$1005:$BO$1005,1,MATCH(COLUMNS($AN$1006:BL1006),$AN$1006:$BO$1006,0))&gt;=100000), " ",IF(INDEX($AN$2:$BO$1001,MATCH(ROWS($AG$2:AG609),$AG$2:$AG$1001,0),MATCH(COLUMNS($AN$1006:BL1006),$AN$1006:$BO$1006,0)), HYPERLINK("#",""), HYPERLINK(CONCATENATE("#Metadata!", ADDRESS(INDEX($AI$2:$AI$1001,MATCH(ROWS($AG$2:AG609),$AG$2:$AG$1001,0),0), INDEX($AN$1004:$BO$1004,1,MATCH(COLUMNS($AN$1006:BL1006),$AN$1006:$BO$1006,0)))),"Fix")))</f>
        <v>0</v>
      </c>
      <c r="AA609" s="4">
        <f>IF(OR(INDEX($AH$2:$AH$1001,MATCH(ROWS($AG$2:AG609),$AG$2:$AG$1001,0),1)&gt;=100000,INDEX($AN$1005:$BO$1005,1,MATCH(COLUMNS($AN$1006:BM1006),$AN$1006:$BO$1006,0))&gt;=100000), " ",IF(INDEX($AN$2:$BO$1001,MATCH(ROWS($AG$2:AG609),$AG$2:$AG$1001,0),MATCH(COLUMNS($AN$1006:BM1006),$AN$1006:$BO$1006,0)), HYPERLINK("#",""), HYPERLINK(CONCATENATE("#Metadata!", ADDRESS(INDEX($AI$2:$AI$1001,MATCH(ROWS($AG$2:AG609),$AG$2:$AG$1001,0),0), INDEX($AN$1004:$BO$1004,1,MATCH(COLUMNS($AN$1006:BM1006),$AN$1006:$BO$1006,0)))),"Fix")))</f>
        <v>0</v>
      </c>
      <c r="AB609" s="4">
        <f>IF(OR(INDEX($AH$2:$AH$1001,MATCH(ROWS($AG$2:AG609),$AG$2:$AG$1001,0),1)&gt;=100000,INDEX($AN$1005:$BO$1005,1,MATCH(COLUMNS($AN$1006:BN1006),$AN$1006:$BO$1006,0))&gt;=100000), " ",IF(INDEX($AN$2:$BO$1001,MATCH(ROWS($AG$2:AG609),$AG$2:$AG$1001,0),MATCH(COLUMNS($AN$1006:BN1006),$AN$1006:$BO$1006,0)), HYPERLINK("#",""), HYPERLINK(CONCATENATE("#Metadata!", ADDRESS(INDEX($AI$2:$AI$1001,MATCH(ROWS($AG$2:AG609),$AG$2:$AG$1001,0),0), INDEX($AN$1004:$BO$1004,1,MATCH(COLUMNS($AN$1006:BN1006),$AN$1006:$BO$1006,0)))),"Fix")))</f>
        <v>0</v>
      </c>
      <c r="AC609" s="4">
        <f>IF(OR(INDEX($AH$2:$AH$1001,MATCH(ROWS($AG$2:AG609),$AG$2:$AG$1001,0),1)&gt;=100000,INDEX($AN$1005:$BO$1005,1,MATCH(COLUMNS($AN$1006:BO1006),$AN$1006:$BO$1006,0))&gt;=100000), " ",IF(INDEX($AN$2:$BO$1001,MATCH(ROWS($AG$2:AG609),$AG$2:$AG$1001,0),MATCH(COLUMNS($AN$1006:BO1006),$AN$1006:$BO$1006,0)), HYPERLINK("#",""), HYPERLINK(CONCATENATE("#Metadata!", ADDRESS(INDEX($AI$2:$AI$1001,MATCH(ROWS($AG$2:AG609),$AG$2:$AG$1001,0),0), INDEX($AN$1004:$BO$1004,1,MATCH(COLUMNS($AN$1006:BO1006),$AN$1006:$BO$1006,0)))),"Fix")))</f>
        <v>0</v>
      </c>
      <c r="AG609">
        <v>0</v>
      </c>
      <c r="AH609">
        <v>0</v>
      </c>
      <c r="AI609">
        <v>0</v>
      </c>
      <c r="AJ609">
        <f>IF(AK609,TRUE,AND(AN609:BO609))</f>
        <v>0</v>
      </c>
      <c r="AK609">
        <f>COUNTBLANK(Metadata!B609:AC609)=COLUMNS(Metadata!B609:AC609)</f>
        <v>0</v>
      </c>
      <c r="AL609">
        <v>0</v>
      </c>
      <c r="AN609">
        <f>AND(IF(Metadata!B609="",FALSE,TRUE),COUNTIF(Metadata!B:B, Metadata!B609) = 1,NOT(ISERROR(SUMPRODUCT(SEARCH(MID(Metadata!B609,ROW(INDIRECT("1:"&amp;LEN(Metadata!B609))), 1),"0123456789abcdefghijklmnopqrstuvwxyzABCDEFGHIJKLMNOPQRSTUVWXYZ.")))))</f>
        <v>0</v>
      </c>
      <c r="AO609">
        <f>IF(Metadata!C609="",FALSE,TRUE)</f>
        <v>0</v>
      </c>
      <c r="AP609">
        <f>IF(Metadata!D609="",FALSE,TRUE)</f>
        <v>0</v>
      </c>
      <c r="AQ609">
        <f>OR(AND(IF(Metadata!E609="",FALSE,TRUE),OR(exact(Metadata!E609,"not collected"),exact(Metadata!E609,"not provided"),exact(Metadata!E609,"restricted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R609">
        <f>IF(Metadata!F609="",FALSE,TRUE)</f>
        <v>0</v>
      </c>
      <c r="AS609">
        <f>OR(AND(IF(Metadata!G609="",FALSE,TRUE),OR(exact(Metadata!G609,"not collected"),exact(Metadata!G609,"not provided"))),AND(IF(Metadata!G609="",FALSE,TRUE),OR(exact(Metadata!G609,"TRUE"),exact(Metadata!G609,"FALSE"))))</f>
        <v>0</v>
      </c>
      <c r="AT609">
        <f>OR(AND(IF(Metadata!H609="",FALSE,TRUE),OR(exact(Metadata!H609,"not collected"),exact(Metadata!H609,"not provided"),exact(Metadata!H609,"restricted access"))),AND(IF(Metadata!H609="",FALSE,ISNUMBER(VALUE(Metadata!H609))),Metadata!H609&gt;=-413.0))</f>
        <v>0</v>
      </c>
      <c r="AU609">
        <f>AND(IF(Metadata!I609="",FALSE,TRUE),exact(Metadata!I609,"meters"))</f>
        <v>0</v>
      </c>
      <c r="AV609">
        <f>AND(IF(Metadata!J609="",FALSE,TRUE),OR(exact(Metadata!J609,"Host-associated"),exact(Metadata!J609,"Free-living")))</f>
        <v>0</v>
      </c>
      <c r="AW609">
        <f>AND(IF(Metadata!K609="",FALSE,TRUE),OR(exact(Metadata!K609,"Animal"),exact(Metadata!K609,"Fungus"),exact(Metadata!K609,"Plant"),exact(Metadata!K609,"Saline"),exact(Metadata!K609,"Non-saline")))</f>
        <v>0</v>
      </c>
      <c r="AX609">
        <f>AND(IF(Metadata!L609="",FALSE,TRUE),OR(exact(Metadata!L609,"Plant secretion"),exact(Metadata!L609,"Plant rhizosphere"),exact(Metadata!L609,"Plant surface"),exact(Metadata!L609,"Plant corpus"),exact(Metadata!L609,"Fungus surface"),exact(Metadata!L609,"Fungus corpus"),exact(Metadata!L609,"Animal surface"),exact(Metadata!L609,"Animal proximal gut"),exact(Metadata!L609,"Animal corpus"),exact(Metadata!L609,"Animal distal gut"),exact(Metadata!L609,"Animal secretion"),exact(Metadata!L609,"Sub-surface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Y609">
        <f>IF(Metadata!M609="",FALSE,TRUE)</f>
        <v>0</v>
      </c>
      <c r="AZ609">
        <f>IF(Metadata!N609="",FALSE,TRUE)</f>
        <v>0</v>
      </c>
      <c r="BA609">
        <f>IF(Metadata!O609="",FALSE,TRUE)</f>
        <v>0</v>
      </c>
      <c r="BB609">
        <f>OR(AND(IF(Metadata!P609="",FALSE,TRUE),OR(exact(Metadata!P609,"not collected"),exact(Metadata!P609,"not provided"),exact(Metadata!P609,"restricted access"))),AND(IF(Metadata!P609="",FALSE,TRUE),OR(exact(Metadata!P609,"air"),exact(Metadata!P609,"built environment"),exact(Metadata!P609,"host-associated"),exact(Metadata!P609,"human-associated"),exact(Metadata!P609,"human-skin"),exact(Metadata!P609,"human-oral"),exact(Metadata!P609,"human-gut"),exact(Metadata!P609,"human-vaginal"),exact(Metadata!P609,"microbial mat/biofilm"),exact(Metadata!P609,"misc environment"),exact(Metadata!P609,"plant-associated"),exact(Metadata!P609,"sediment"),exact(Metadata!P609,"soil"),exact(Metadata!P609,"wastewater/sludge"),exact(Metadata!P609,"water"))))</f>
        <v>0</v>
      </c>
      <c r="BC609">
        <f>IF(Metadata!Q609="",FALSE,TRUE)</f>
        <v>0</v>
      </c>
      <c r="BD609">
        <f>IF(Metadata!R609="",FALSE,TRUE)</f>
        <v>0</v>
      </c>
      <c r="BE609">
        <f>OR(AND(IF(Metadata!S609="",FALSE,TRUE),OR(exact(Metadata!S609,"not collected"),exact(Metadata!S609,"not provided"),exact(Metadata!S609,"restricted access"))),AND(IF(Metadata!S609="",FALSE,ISNUMBER(VALUE(Metadata!S609))),Metadata!S609&gt;=-90.00,Metadata!S609&lt;=90.00))</f>
        <v>0</v>
      </c>
      <c r="BF609">
        <f>AND(IF(Metadata!T609="",FALSE,TRUE),exact(Metadata!T609,"Decimal degrees"))</f>
        <v>0</v>
      </c>
      <c r="BG609">
        <f>OR(AND(IF(Metadata!U609="",FALSE,TRUE),OR(exact(Metadata!U609,"not collected"),exact(Metadata!U609,"not provided"),exact(Metadata!U609,"restricted access"))),AND(IF(Metadata!U609="",FALSE,ISNUMBER(VALUE(Metadata!U609))),Metadata!U609&gt;=-180.00,Metadata!U609&lt;=180.00))</f>
        <v>0</v>
      </c>
      <c r="BH609">
        <f>AND(IF(Metadata!V609="",FALSE,TRUE),exact(Metadata!V609,"Decimal degrees"))</f>
        <v>0</v>
      </c>
      <c r="BI609">
        <f>IF(Metadata!W609="",FALSE,TRUE)</f>
        <v>0</v>
      </c>
      <c r="BJ609">
        <f>OR(AND(IF(Metadata!X609="",FALSE,TRUE),OR(exact(Metadata!X609,"not collected"),exact(Metadata!X609,"not provided"),exact(Metadata!X609,"restricted access"))),AND(IF(Metadata!X609="",FALSE,TRUE),OR(exact(Metadata!X609,"TRUE"),exact(Metadata!X609,"FALSE"))))</f>
        <v>0</v>
      </c>
      <c r="BK609">
        <f>AND(IF(Metadata!Y609="",FALSE,TRUE),exact(Metadata!Y609,"other"))</f>
        <v>0</v>
      </c>
      <c r="BL609">
        <f>IF(Metadata!Z609="",FALSE,TRUE)</f>
        <v>0</v>
      </c>
      <c r="BM609">
        <f>OR(AND(IF(Metadata!AA609="",FALSE,TRUE),OR(exact(Metadata!AA609,"not collected"),exact(Metadata!AA609,"not provided"))),AND(IF(Metadata!AA609="",FALSE,IF(ISERROR(INT(Metadata!AA609)),FALSE,INT(Metadata!AA609)=Metadata!AA609)),Metadata!AA609&gt;0))</f>
        <v>0</v>
      </c>
      <c r="BN609">
        <f>AND(IF(Metadata!AB609="",FALSE,TRUE),exact(Metadata!AB609,"Not applicable"))</f>
        <v>0</v>
      </c>
      <c r="BO609">
        <f>IF(Metadata!AC609="",FALSE,TRUE)</f>
        <v>0</v>
      </c>
    </row>
    <row r="610" spans="1:67">
      <c r="A610" s="5">
        <f>IF(B610=" "," ",HYPERLINK(CONCATENATE("#metadata!",ADDRESS(INDEX($AI$2:$AI$1001,MATCH(ROWS($AG$2:AG610),$AG$2:$AG$1001,0),0),1)),INDEX($AL$2:$AL$1001,MATCH(ROWS($AG$2:AG610),$AG$2:$AG$1001,0),0)))</f>
        <v>0</v>
      </c>
      <c r="B610" s="4">
        <f>IF(OR(INDEX($AH$2:$AH$1001,MATCH(ROWS($AG$2:AG610),$AG$2:$AG$1001,0),1)&gt;=100000,INDEX($AN$1005:$BO$1005,1,MATCH(COLUMNS($AN$1006:AN1006),$AN$1006:$BO$1006,0))&gt;=100000), " ",IF(INDEX($AN$2:$BO$1001,MATCH(ROWS($AG$2:AG610),$AG$2:$AG$1001,0),MATCH(COLUMNS($AN$1006:AN1006),$AN$1006:$BO$1006,0)), HYPERLINK("#",""), HYPERLINK(CONCATENATE("#Metadata!", ADDRESS(INDEX($AI$2:$AI$1001,MATCH(ROWS($AG$2:AG610),$AG$2:$AG$1001,0),0), INDEX($AN$1004:$BO$1004,1,MATCH(COLUMNS($AN$1006:AN1006),$AN$1006:$BO$1006,0)))),"Fix")))</f>
        <v>0</v>
      </c>
      <c r="C610" s="4">
        <f>IF(OR(INDEX($AH$2:$AH$1001,MATCH(ROWS($AG$2:AG610),$AG$2:$AG$1001,0),1)&gt;=100000,INDEX($AN$1005:$BO$1005,1,MATCH(COLUMNS($AN$1006:AO1006),$AN$1006:$BO$1006,0))&gt;=100000), " ",IF(INDEX($AN$2:$BO$1001,MATCH(ROWS($AG$2:AG610),$AG$2:$AG$1001,0),MATCH(COLUMNS($AN$1006:AO1006),$AN$1006:$BO$1006,0)), HYPERLINK("#",""), HYPERLINK(CONCATENATE("#Metadata!", ADDRESS(INDEX($AI$2:$AI$1001,MATCH(ROWS($AG$2:AG610),$AG$2:$AG$1001,0),0), INDEX($AN$1004:$BO$1004,1,MATCH(COLUMNS($AN$1006:AO1006),$AN$1006:$BO$1006,0)))),"Fix")))</f>
        <v>0</v>
      </c>
      <c r="D610" s="4">
        <f>IF(OR(INDEX($AH$2:$AH$1001,MATCH(ROWS($AG$2:AG610),$AG$2:$AG$1001,0),1)&gt;=100000,INDEX($AN$1005:$BO$1005,1,MATCH(COLUMNS($AN$1006:AP1006),$AN$1006:$BO$1006,0))&gt;=100000), " ",IF(INDEX($AN$2:$BO$1001,MATCH(ROWS($AG$2:AG610),$AG$2:$AG$1001,0),MATCH(COLUMNS($AN$1006:AP1006),$AN$1006:$BO$1006,0)), HYPERLINK("#",""), HYPERLINK(CONCATENATE("#Metadata!", ADDRESS(INDEX($AI$2:$AI$1001,MATCH(ROWS($AG$2:AG610),$AG$2:$AG$1001,0),0), INDEX($AN$1004:$BO$1004,1,MATCH(COLUMNS($AN$1006:AP1006),$AN$1006:$BO$1006,0)))),"Fix")))</f>
        <v>0</v>
      </c>
      <c r="E610" s="4">
        <f>IF(OR(INDEX($AH$2:$AH$1001,MATCH(ROWS($AG$2:AG610),$AG$2:$AG$1001,0),1)&gt;=100000,INDEX($AN$1005:$BO$1005,1,MATCH(COLUMNS($AN$1006:AQ1006),$AN$1006:$BO$1006,0))&gt;=100000), " ",IF(INDEX($AN$2:$BO$1001,MATCH(ROWS($AG$2:AG610),$AG$2:$AG$1001,0),MATCH(COLUMNS($AN$1006:AQ1006),$AN$1006:$BO$1006,0)), HYPERLINK("#",""), HYPERLINK(CONCATENATE("#Metadata!", ADDRESS(INDEX($AI$2:$AI$1001,MATCH(ROWS($AG$2:AG610),$AG$2:$AG$1001,0),0), INDEX($AN$1004:$BO$1004,1,MATCH(COLUMNS($AN$1006:AQ1006),$AN$1006:$BO$1006,0)))),"Fix")))</f>
        <v>0</v>
      </c>
      <c r="F610" s="4">
        <f>IF(OR(INDEX($AH$2:$AH$1001,MATCH(ROWS($AG$2:AG610),$AG$2:$AG$1001,0),1)&gt;=100000,INDEX($AN$1005:$BO$1005,1,MATCH(COLUMNS($AN$1006:AR1006),$AN$1006:$BO$1006,0))&gt;=100000), " ",IF(INDEX($AN$2:$BO$1001,MATCH(ROWS($AG$2:AG610),$AG$2:$AG$1001,0),MATCH(COLUMNS($AN$1006:AR1006),$AN$1006:$BO$1006,0)), HYPERLINK("#",""), HYPERLINK(CONCATENATE("#Metadata!", ADDRESS(INDEX($AI$2:$AI$1001,MATCH(ROWS($AG$2:AG610),$AG$2:$AG$1001,0),0), INDEX($AN$1004:$BO$1004,1,MATCH(COLUMNS($AN$1006:AR1006),$AN$1006:$BO$1006,0)))),"Fix")))</f>
        <v>0</v>
      </c>
      <c r="G610" s="4">
        <f>IF(OR(INDEX($AH$2:$AH$1001,MATCH(ROWS($AG$2:AG610),$AG$2:$AG$1001,0),1)&gt;=100000,INDEX($AN$1005:$BO$1005,1,MATCH(COLUMNS($AN$1006:AS1006),$AN$1006:$BO$1006,0))&gt;=100000), " ",IF(INDEX($AN$2:$BO$1001,MATCH(ROWS($AG$2:AG610),$AG$2:$AG$1001,0),MATCH(COLUMNS($AN$1006:AS1006),$AN$1006:$BO$1006,0)), HYPERLINK("#",""), HYPERLINK(CONCATENATE("#Metadata!", ADDRESS(INDEX($AI$2:$AI$1001,MATCH(ROWS($AG$2:AG610),$AG$2:$AG$1001,0),0), INDEX($AN$1004:$BO$1004,1,MATCH(COLUMNS($AN$1006:AS1006),$AN$1006:$BO$1006,0)))),"Fix")))</f>
        <v>0</v>
      </c>
      <c r="H610" s="4">
        <f>IF(OR(INDEX($AH$2:$AH$1001,MATCH(ROWS($AG$2:AG610),$AG$2:$AG$1001,0),1)&gt;=100000,INDEX($AN$1005:$BO$1005,1,MATCH(COLUMNS($AN$1006:AT1006),$AN$1006:$BO$1006,0))&gt;=100000), " ",IF(INDEX($AN$2:$BO$1001,MATCH(ROWS($AG$2:AG610),$AG$2:$AG$1001,0),MATCH(COLUMNS($AN$1006:AT1006),$AN$1006:$BO$1006,0)), HYPERLINK("#",""), HYPERLINK(CONCATENATE("#Metadata!", ADDRESS(INDEX($AI$2:$AI$1001,MATCH(ROWS($AG$2:AG610),$AG$2:$AG$1001,0),0), INDEX($AN$1004:$BO$1004,1,MATCH(COLUMNS($AN$1006:AT1006),$AN$1006:$BO$1006,0)))),"Fix")))</f>
        <v>0</v>
      </c>
      <c r="I610" s="4">
        <f>IF(OR(INDEX($AH$2:$AH$1001,MATCH(ROWS($AG$2:AG610),$AG$2:$AG$1001,0),1)&gt;=100000,INDEX($AN$1005:$BO$1005,1,MATCH(COLUMNS($AN$1006:AU1006),$AN$1006:$BO$1006,0))&gt;=100000), " ",IF(INDEX($AN$2:$BO$1001,MATCH(ROWS($AG$2:AG610),$AG$2:$AG$1001,0),MATCH(COLUMNS($AN$1006:AU1006),$AN$1006:$BO$1006,0)), HYPERLINK("#",""), HYPERLINK(CONCATENATE("#Metadata!", ADDRESS(INDEX($AI$2:$AI$1001,MATCH(ROWS($AG$2:AG610),$AG$2:$AG$1001,0),0), INDEX($AN$1004:$BO$1004,1,MATCH(COLUMNS($AN$1006:AU1006),$AN$1006:$BO$1006,0)))),"Fix")))</f>
        <v>0</v>
      </c>
      <c r="J610" s="4">
        <f>IF(OR(INDEX($AH$2:$AH$1001,MATCH(ROWS($AG$2:AG610),$AG$2:$AG$1001,0),1)&gt;=100000,INDEX($AN$1005:$BO$1005,1,MATCH(COLUMNS($AN$1006:AV1006),$AN$1006:$BO$1006,0))&gt;=100000), " ",IF(INDEX($AN$2:$BO$1001,MATCH(ROWS($AG$2:AG610),$AG$2:$AG$1001,0),MATCH(COLUMNS($AN$1006:AV1006),$AN$1006:$BO$1006,0)), HYPERLINK("#",""), HYPERLINK(CONCATENATE("#Metadata!", ADDRESS(INDEX($AI$2:$AI$1001,MATCH(ROWS($AG$2:AG610),$AG$2:$AG$1001,0),0), INDEX($AN$1004:$BO$1004,1,MATCH(COLUMNS($AN$1006:AV1006),$AN$1006:$BO$1006,0)))),"Fix")))</f>
        <v>0</v>
      </c>
      <c r="K610" s="4">
        <f>IF(OR(INDEX($AH$2:$AH$1001,MATCH(ROWS($AG$2:AG610),$AG$2:$AG$1001,0),1)&gt;=100000,INDEX($AN$1005:$BO$1005,1,MATCH(COLUMNS($AN$1006:AW1006),$AN$1006:$BO$1006,0))&gt;=100000), " ",IF(INDEX($AN$2:$BO$1001,MATCH(ROWS($AG$2:AG610),$AG$2:$AG$1001,0),MATCH(COLUMNS($AN$1006:AW1006),$AN$1006:$BO$1006,0)), HYPERLINK("#",""), HYPERLINK(CONCATENATE("#Metadata!", ADDRESS(INDEX($AI$2:$AI$1001,MATCH(ROWS($AG$2:AG610),$AG$2:$AG$1001,0),0), INDEX($AN$1004:$BO$1004,1,MATCH(COLUMNS($AN$1006:AW1006),$AN$1006:$BO$1006,0)))),"Fix")))</f>
        <v>0</v>
      </c>
      <c r="L610" s="4">
        <f>IF(OR(INDEX($AH$2:$AH$1001,MATCH(ROWS($AG$2:AG610),$AG$2:$AG$1001,0),1)&gt;=100000,INDEX($AN$1005:$BO$1005,1,MATCH(COLUMNS($AN$1006:AX1006),$AN$1006:$BO$1006,0))&gt;=100000), " ",IF(INDEX($AN$2:$BO$1001,MATCH(ROWS($AG$2:AG610),$AG$2:$AG$1001,0),MATCH(COLUMNS($AN$1006:AX1006),$AN$1006:$BO$1006,0)), HYPERLINK("#",""), HYPERLINK(CONCATENATE("#Metadata!", ADDRESS(INDEX($AI$2:$AI$1001,MATCH(ROWS($AG$2:AG610),$AG$2:$AG$1001,0),0), INDEX($AN$1004:$BO$1004,1,MATCH(COLUMNS($AN$1006:AX1006),$AN$1006:$BO$1006,0)))),"Fix")))</f>
        <v>0</v>
      </c>
      <c r="M610" s="4">
        <f>IF(OR(INDEX($AH$2:$AH$1001,MATCH(ROWS($AG$2:AG610),$AG$2:$AG$1001,0),1)&gt;=100000,INDEX($AN$1005:$BO$1005,1,MATCH(COLUMNS($AN$1006:AY1006),$AN$1006:$BO$1006,0))&gt;=100000), " ",IF(INDEX($AN$2:$BO$1001,MATCH(ROWS($AG$2:AG610),$AG$2:$AG$1001,0),MATCH(COLUMNS($AN$1006:AY1006),$AN$1006:$BO$1006,0)), HYPERLINK("#",""), HYPERLINK(CONCATENATE("#Metadata!", ADDRESS(INDEX($AI$2:$AI$1001,MATCH(ROWS($AG$2:AG610),$AG$2:$AG$1001,0),0), INDEX($AN$1004:$BO$1004,1,MATCH(COLUMNS($AN$1006:AY1006),$AN$1006:$BO$1006,0)))),"Fix")))</f>
        <v>0</v>
      </c>
      <c r="N610" s="4">
        <f>IF(OR(INDEX($AH$2:$AH$1001,MATCH(ROWS($AG$2:AG610),$AG$2:$AG$1001,0),1)&gt;=100000,INDEX($AN$1005:$BO$1005,1,MATCH(COLUMNS($AN$1006:AZ1006),$AN$1006:$BO$1006,0))&gt;=100000), " ",IF(INDEX($AN$2:$BO$1001,MATCH(ROWS($AG$2:AG610),$AG$2:$AG$1001,0),MATCH(COLUMNS($AN$1006:AZ1006),$AN$1006:$BO$1006,0)), HYPERLINK("#",""), HYPERLINK(CONCATENATE("#Metadata!", ADDRESS(INDEX($AI$2:$AI$1001,MATCH(ROWS($AG$2:AG610),$AG$2:$AG$1001,0),0), INDEX($AN$1004:$BO$1004,1,MATCH(COLUMNS($AN$1006:AZ1006),$AN$1006:$BO$1006,0)))),"Fix")))</f>
        <v>0</v>
      </c>
      <c r="O610" s="4">
        <f>IF(OR(INDEX($AH$2:$AH$1001,MATCH(ROWS($AG$2:AG610),$AG$2:$AG$1001,0),1)&gt;=100000,INDEX($AN$1005:$BO$1005,1,MATCH(COLUMNS($AN$1006:BA1006),$AN$1006:$BO$1006,0))&gt;=100000), " ",IF(INDEX($AN$2:$BO$1001,MATCH(ROWS($AG$2:AG610),$AG$2:$AG$1001,0),MATCH(COLUMNS($AN$1006:BA1006),$AN$1006:$BO$1006,0)), HYPERLINK("#",""), HYPERLINK(CONCATENATE("#Metadata!", ADDRESS(INDEX($AI$2:$AI$1001,MATCH(ROWS($AG$2:AG610),$AG$2:$AG$1001,0),0), INDEX($AN$1004:$BO$1004,1,MATCH(COLUMNS($AN$1006:BA1006),$AN$1006:$BO$1006,0)))),"Fix")))</f>
        <v>0</v>
      </c>
      <c r="P610" s="4">
        <f>IF(OR(INDEX($AH$2:$AH$1001,MATCH(ROWS($AG$2:AG610),$AG$2:$AG$1001,0),1)&gt;=100000,INDEX($AN$1005:$BO$1005,1,MATCH(COLUMNS($AN$1006:BB1006),$AN$1006:$BO$1006,0))&gt;=100000), " ",IF(INDEX($AN$2:$BO$1001,MATCH(ROWS($AG$2:AG610),$AG$2:$AG$1001,0),MATCH(COLUMNS($AN$1006:BB1006),$AN$1006:$BO$1006,0)), HYPERLINK("#",""), HYPERLINK(CONCATENATE("#Metadata!", ADDRESS(INDEX($AI$2:$AI$1001,MATCH(ROWS($AG$2:AG610),$AG$2:$AG$1001,0),0), INDEX($AN$1004:$BO$1004,1,MATCH(COLUMNS($AN$1006:BB1006),$AN$1006:$BO$1006,0)))),"Fix")))</f>
        <v>0</v>
      </c>
      <c r="Q610" s="4">
        <f>IF(OR(INDEX($AH$2:$AH$1001,MATCH(ROWS($AG$2:AG610),$AG$2:$AG$1001,0),1)&gt;=100000,INDEX($AN$1005:$BO$1005,1,MATCH(COLUMNS($AN$1006:BC1006),$AN$1006:$BO$1006,0))&gt;=100000), " ",IF(INDEX($AN$2:$BO$1001,MATCH(ROWS($AG$2:AG610),$AG$2:$AG$1001,0),MATCH(COLUMNS($AN$1006:BC1006),$AN$1006:$BO$1006,0)), HYPERLINK("#",""), HYPERLINK(CONCATENATE("#Metadata!", ADDRESS(INDEX($AI$2:$AI$1001,MATCH(ROWS($AG$2:AG610),$AG$2:$AG$1001,0),0), INDEX($AN$1004:$BO$1004,1,MATCH(COLUMNS($AN$1006:BC1006),$AN$1006:$BO$1006,0)))),"Fix")))</f>
        <v>0</v>
      </c>
      <c r="R610" s="4">
        <f>IF(OR(INDEX($AH$2:$AH$1001,MATCH(ROWS($AG$2:AG610),$AG$2:$AG$1001,0),1)&gt;=100000,INDEX($AN$1005:$BO$1005,1,MATCH(COLUMNS($AN$1006:BD1006),$AN$1006:$BO$1006,0))&gt;=100000), " ",IF(INDEX($AN$2:$BO$1001,MATCH(ROWS($AG$2:AG610),$AG$2:$AG$1001,0),MATCH(COLUMNS($AN$1006:BD1006),$AN$1006:$BO$1006,0)), HYPERLINK("#",""), HYPERLINK(CONCATENATE("#Metadata!", ADDRESS(INDEX($AI$2:$AI$1001,MATCH(ROWS($AG$2:AG610),$AG$2:$AG$1001,0),0), INDEX($AN$1004:$BO$1004,1,MATCH(COLUMNS($AN$1006:BD1006),$AN$1006:$BO$1006,0)))),"Fix")))</f>
        <v>0</v>
      </c>
      <c r="S610" s="4">
        <f>IF(OR(INDEX($AH$2:$AH$1001,MATCH(ROWS($AG$2:AG610),$AG$2:$AG$1001,0),1)&gt;=100000,INDEX($AN$1005:$BO$1005,1,MATCH(COLUMNS($AN$1006:BE1006),$AN$1006:$BO$1006,0))&gt;=100000), " ",IF(INDEX($AN$2:$BO$1001,MATCH(ROWS($AG$2:AG610),$AG$2:$AG$1001,0),MATCH(COLUMNS($AN$1006:BE1006),$AN$1006:$BO$1006,0)), HYPERLINK("#",""), HYPERLINK(CONCATENATE("#Metadata!", ADDRESS(INDEX($AI$2:$AI$1001,MATCH(ROWS($AG$2:AG610),$AG$2:$AG$1001,0),0), INDEX($AN$1004:$BO$1004,1,MATCH(COLUMNS($AN$1006:BE1006),$AN$1006:$BO$1006,0)))),"Fix")))</f>
        <v>0</v>
      </c>
      <c r="T610" s="4">
        <f>IF(OR(INDEX($AH$2:$AH$1001,MATCH(ROWS($AG$2:AG610),$AG$2:$AG$1001,0),1)&gt;=100000,INDEX($AN$1005:$BO$1005,1,MATCH(COLUMNS($AN$1006:BF1006),$AN$1006:$BO$1006,0))&gt;=100000), " ",IF(INDEX($AN$2:$BO$1001,MATCH(ROWS($AG$2:AG610),$AG$2:$AG$1001,0),MATCH(COLUMNS($AN$1006:BF1006),$AN$1006:$BO$1006,0)), HYPERLINK("#",""), HYPERLINK(CONCATENATE("#Metadata!", ADDRESS(INDEX($AI$2:$AI$1001,MATCH(ROWS($AG$2:AG610),$AG$2:$AG$1001,0),0), INDEX($AN$1004:$BO$1004,1,MATCH(COLUMNS($AN$1006:BF1006),$AN$1006:$BO$1006,0)))),"Fix")))</f>
        <v>0</v>
      </c>
      <c r="U610" s="4">
        <f>IF(OR(INDEX($AH$2:$AH$1001,MATCH(ROWS($AG$2:AG610),$AG$2:$AG$1001,0),1)&gt;=100000,INDEX($AN$1005:$BO$1005,1,MATCH(COLUMNS($AN$1006:BG1006),$AN$1006:$BO$1006,0))&gt;=100000), " ",IF(INDEX($AN$2:$BO$1001,MATCH(ROWS($AG$2:AG610),$AG$2:$AG$1001,0),MATCH(COLUMNS($AN$1006:BG1006),$AN$1006:$BO$1006,0)), HYPERLINK("#",""), HYPERLINK(CONCATENATE("#Metadata!", ADDRESS(INDEX($AI$2:$AI$1001,MATCH(ROWS($AG$2:AG610),$AG$2:$AG$1001,0),0), INDEX($AN$1004:$BO$1004,1,MATCH(COLUMNS($AN$1006:BG1006),$AN$1006:$BO$1006,0)))),"Fix")))</f>
        <v>0</v>
      </c>
      <c r="V610" s="4">
        <f>IF(OR(INDEX($AH$2:$AH$1001,MATCH(ROWS($AG$2:AG610),$AG$2:$AG$1001,0),1)&gt;=100000,INDEX($AN$1005:$BO$1005,1,MATCH(COLUMNS($AN$1006:BH1006),$AN$1006:$BO$1006,0))&gt;=100000), " ",IF(INDEX($AN$2:$BO$1001,MATCH(ROWS($AG$2:AG610),$AG$2:$AG$1001,0),MATCH(COLUMNS($AN$1006:BH1006),$AN$1006:$BO$1006,0)), HYPERLINK("#",""), HYPERLINK(CONCATENATE("#Metadata!", ADDRESS(INDEX($AI$2:$AI$1001,MATCH(ROWS($AG$2:AG610),$AG$2:$AG$1001,0),0), INDEX($AN$1004:$BO$1004,1,MATCH(COLUMNS($AN$1006:BH1006),$AN$1006:$BO$1006,0)))),"Fix")))</f>
        <v>0</v>
      </c>
      <c r="W610" s="4">
        <f>IF(OR(INDEX($AH$2:$AH$1001,MATCH(ROWS($AG$2:AG610),$AG$2:$AG$1001,0),1)&gt;=100000,INDEX($AN$1005:$BO$1005,1,MATCH(COLUMNS($AN$1006:BI1006),$AN$1006:$BO$1006,0))&gt;=100000), " ",IF(INDEX($AN$2:$BO$1001,MATCH(ROWS($AG$2:AG610),$AG$2:$AG$1001,0),MATCH(COLUMNS($AN$1006:BI1006),$AN$1006:$BO$1006,0)), HYPERLINK("#",""), HYPERLINK(CONCATENATE("#Metadata!", ADDRESS(INDEX($AI$2:$AI$1001,MATCH(ROWS($AG$2:AG610),$AG$2:$AG$1001,0),0), INDEX($AN$1004:$BO$1004,1,MATCH(COLUMNS($AN$1006:BI1006),$AN$1006:$BO$1006,0)))),"Fix")))</f>
        <v>0</v>
      </c>
      <c r="X610" s="4">
        <f>IF(OR(INDEX($AH$2:$AH$1001,MATCH(ROWS($AG$2:AG610),$AG$2:$AG$1001,0),1)&gt;=100000,INDEX($AN$1005:$BO$1005,1,MATCH(COLUMNS($AN$1006:BJ1006),$AN$1006:$BO$1006,0))&gt;=100000), " ",IF(INDEX($AN$2:$BO$1001,MATCH(ROWS($AG$2:AG610),$AG$2:$AG$1001,0),MATCH(COLUMNS($AN$1006:BJ1006),$AN$1006:$BO$1006,0)), HYPERLINK("#",""), HYPERLINK(CONCATENATE("#Metadata!", ADDRESS(INDEX($AI$2:$AI$1001,MATCH(ROWS($AG$2:AG610),$AG$2:$AG$1001,0),0), INDEX($AN$1004:$BO$1004,1,MATCH(COLUMNS($AN$1006:BJ1006),$AN$1006:$BO$1006,0)))),"Fix")))</f>
        <v>0</v>
      </c>
      <c r="Y610" s="4">
        <f>IF(OR(INDEX($AH$2:$AH$1001,MATCH(ROWS($AG$2:AG610),$AG$2:$AG$1001,0),1)&gt;=100000,INDEX($AN$1005:$BO$1005,1,MATCH(COLUMNS($AN$1006:BK1006),$AN$1006:$BO$1006,0))&gt;=100000), " ",IF(INDEX($AN$2:$BO$1001,MATCH(ROWS($AG$2:AG610),$AG$2:$AG$1001,0),MATCH(COLUMNS($AN$1006:BK1006),$AN$1006:$BO$1006,0)), HYPERLINK("#",""), HYPERLINK(CONCATENATE("#Metadata!", ADDRESS(INDEX($AI$2:$AI$1001,MATCH(ROWS($AG$2:AG610),$AG$2:$AG$1001,0),0), INDEX($AN$1004:$BO$1004,1,MATCH(COLUMNS($AN$1006:BK1006),$AN$1006:$BO$1006,0)))),"Fix")))</f>
        <v>0</v>
      </c>
      <c r="Z610" s="4">
        <f>IF(OR(INDEX($AH$2:$AH$1001,MATCH(ROWS($AG$2:AG610),$AG$2:$AG$1001,0),1)&gt;=100000,INDEX($AN$1005:$BO$1005,1,MATCH(COLUMNS($AN$1006:BL1006),$AN$1006:$BO$1006,0))&gt;=100000), " ",IF(INDEX($AN$2:$BO$1001,MATCH(ROWS($AG$2:AG610),$AG$2:$AG$1001,0),MATCH(COLUMNS($AN$1006:BL1006),$AN$1006:$BO$1006,0)), HYPERLINK("#",""), HYPERLINK(CONCATENATE("#Metadata!", ADDRESS(INDEX($AI$2:$AI$1001,MATCH(ROWS($AG$2:AG610),$AG$2:$AG$1001,0),0), INDEX($AN$1004:$BO$1004,1,MATCH(COLUMNS($AN$1006:BL1006),$AN$1006:$BO$1006,0)))),"Fix")))</f>
        <v>0</v>
      </c>
      <c r="AA610" s="4">
        <f>IF(OR(INDEX($AH$2:$AH$1001,MATCH(ROWS($AG$2:AG610),$AG$2:$AG$1001,0),1)&gt;=100000,INDEX($AN$1005:$BO$1005,1,MATCH(COLUMNS($AN$1006:BM1006),$AN$1006:$BO$1006,0))&gt;=100000), " ",IF(INDEX($AN$2:$BO$1001,MATCH(ROWS($AG$2:AG610),$AG$2:$AG$1001,0),MATCH(COLUMNS($AN$1006:BM1006),$AN$1006:$BO$1006,0)), HYPERLINK("#",""), HYPERLINK(CONCATENATE("#Metadata!", ADDRESS(INDEX($AI$2:$AI$1001,MATCH(ROWS($AG$2:AG610),$AG$2:$AG$1001,0),0), INDEX($AN$1004:$BO$1004,1,MATCH(COLUMNS($AN$1006:BM1006),$AN$1006:$BO$1006,0)))),"Fix")))</f>
        <v>0</v>
      </c>
      <c r="AB610" s="4">
        <f>IF(OR(INDEX($AH$2:$AH$1001,MATCH(ROWS($AG$2:AG610),$AG$2:$AG$1001,0),1)&gt;=100000,INDEX($AN$1005:$BO$1005,1,MATCH(COLUMNS($AN$1006:BN1006),$AN$1006:$BO$1006,0))&gt;=100000), " ",IF(INDEX($AN$2:$BO$1001,MATCH(ROWS($AG$2:AG610),$AG$2:$AG$1001,0),MATCH(COLUMNS($AN$1006:BN1006),$AN$1006:$BO$1006,0)), HYPERLINK("#",""), HYPERLINK(CONCATENATE("#Metadata!", ADDRESS(INDEX($AI$2:$AI$1001,MATCH(ROWS($AG$2:AG610),$AG$2:$AG$1001,0),0), INDEX($AN$1004:$BO$1004,1,MATCH(COLUMNS($AN$1006:BN1006),$AN$1006:$BO$1006,0)))),"Fix")))</f>
        <v>0</v>
      </c>
      <c r="AC610" s="4">
        <f>IF(OR(INDEX($AH$2:$AH$1001,MATCH(ROWS($AG$2:AG610),$AG$2:$AG$1001,0),1)&gt;=100000,INDEX($AN$1005:$BO$1005,1,MATCH(COLUMNS($AN$1006:BO1006),$AN$1006:$BO$1006,0))&gt;=100000), " ",IF(INDEX($AN$2:$BO$1001,MATCH(ROWS($AG$2:AG610),$AG$2:$AG$1001,0),MATCH(COLUMNS($AN$1006:BO1006),$AN$1006:$BO$1006,0)), HYPERLINK("#",""), HYPERLINK(CONCATENATE("#Metadata!", ADDRESS(INDEX($AI$2:$AI$1001,MATCH(ROWS($AG$2:AG610),$AG$2:$AG$1001,0),0), INDEX($AN$1004:$BO$1004,1,MATCH(COLUMNS($AN$1006:BO1006),$AN$1006:$BO$1006,0)))),"Fix")))</f>
        <v>0</v>
      </c>
      <c r="AG610">
        <v>0</v>
      </c>
      <c r="AH610">
        <v>0</v>
      </c>
      <c r="AI610">
        <v>0</v>
      </c>
      <c r="AJ610">
        <f>IF(AK610,TRUE,AND(AN610:BO610))</f>
        <v>0</v>
      </c>
      <c r="AK610">
        <f>COUNTBLANK(Metadata!B610:AC610)=COLUMNS(Metadata!B610:AC610)</f>
        <v>0</v>
      </c>
      <c r="AL610">
        <v>0</v>
      </c>
      <c r="AN610">
        <f>AND(IF(Metadata!B610="",FALSE,TRUE),COUNTIF(Metadata!B:B, Metadata!B610) = 1,NOT(ISERROR(SUMPRODUCT(SEARCH(MID(Metadata!B610,ROW(INDIRECT("1:"&amp;LEN(Metadata!B610))), 1),"0123456789abcdefghijklmnopqrstuvwxyzABCDEFGHIJKLMNOPQRSTUVWXYZ.")))))</f>
        <v>0</v>
      </c>
      <c r="AO610">
        <f>IF(Metadata!C610="",FALSE,TRUE)</f>
        <v>0</v>
      </c>
      <c r="AP610">
        <f>IF(Metadata!D610="",FALSE,TRUE)</f>
        <v>0</v>
      </c>
      <c r="AQ610">
        <f>OR(AND(IF(Metadata!E610="",FALSE,TRUE),OR(exact(Metadata!E610,"not collected"),exact(Metadata!E610,"not provided"),exact(Metadata!E610,"restricted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R610">
        <f>IF(Metadata!F610="",FALSE,TRUE)</f>
        <v>0</v>
      </c>
      <c r="AS610">
        <f>OR(AND(IF(Metadata!G610="",FALSE,TRUE),OR(exact(Metadata!G610,"not collected"),exact(Metadata!G610,"not provided"))),AND(IF(Metadata!G610="",FALSE,TRUE),OR(exact(Metadata!G610,"TRUE"),exact(Metadata!G610,"FALSE"))))</f>
        <v>0</v>
      </c>
      <c r="AT610">
        <f>OR(AND(IF(Metadata!H610="",FALSE,TRUE),OR(exact(Metadata!H610,"not collected"),exact(Metadata!H610,"not provided"),exact(Metadata!H610,"restricted access"))),AND(IF(Metadata!H610="",FALSE,ISNUMBER(VALUE(Metadata!H610))),Metadata!H610&gt;=-413.0))</f>
        <v>0</v>
      </c>
      <c r="AU610">
        <f>AND(IF(Metadata!I610="",FALSE,TRUE),exact(Metadata!I610,"meters"))</f>
        <v>0</v>
      </c>
      <c r="AV610">
        <f>AND(IF(Metadata!J610="",FALSE,TRUE),OR(exact(Metadata!J610,"Host-associated"),exact(Metadata!J610,"Free-living")))</f>
        <v>0</v>
      </c>
      <c r="AW610">
        <f>AND(IF(Metadata!K610="",FALSE,TRUE),OR(exact(Metadata!K610,"Animal"),exact(Metadata!K610,"Fungus"),exact(Metadata!K610,"Plant"),exact(Metadata!K610,"Saline"),exact(Metadata!K610,"Non-saline")))</f>
        <v>0</v>
      </c>
      <c r="AX610">
        <f>AND(IF(Metadata!L610="",FALSE,TRUE),OR(exact(Metadata!L610,"Plant secretion"),exact(Metadata!L610,"Plant rhizosphere"),exact(Metadata!L610,"Plant surface"),exact(Metadata!L610,"Plant corpus"),exact(Metadata!L610,"Fungus surface"),exact(Metadata!L610,"Fungus corpus"),exact(Metadata!L610,"Animal surface"),exact(Metadata!L610,"Animal proximal gut"),exact(Metadata!L610,"Animal corpus"),exact(Metadata!L610,"Animal distal gut"),exact(Metadata!L610,"Animal secretion"),exact(Metadata!L610,"Sub-surface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Y610">
        <f>IF(Metadata!M610="",FALSE,TRUE)</f>
        <v>0</v>
      </c>
      <c r="AZ610">
        <f>IF(Metadata!N610="",FALSE,TRUE)</f>
        <v>0</v>
      </c>
      <c r="BA610">
        <f>IF(Metadata!O610="",FALSE,TRUE)</f>
        <v>0</v>
      </c>
      <c r="BB610">
        <f>OR(AND(IF(Metadata!P610="",FALSE,TRUE),OR(exact(Metadata!P610,"not collected"),exact(Metadata!P610,"not provided"),exact(Metadata!P610,"restricted access"))),AND(IF(Metadata!P610="",FALSE,TRUE),OR(exact(Metadata!P610,"air"),exact(Metadata!P610,"built environment"),exact(Metadata!P610,"host-associated"),exact(Metadata!P610,"human-associated"),exact(Metadata!P610,"human-skin"),exact(Metadata!P610,"human-oral"),exact(Metadata!P610,"human-gut"),exact(Metadata!P610,"human-vaginal"),exact(Metadata!P610,"microbial mat/biofilm"),exact(Metadata!P610,"misc environment"),exact(Metadata!P610,"plant-associated"),exact(Metadata!P610,"sediment"),exact(Metadata!P610,"soil"),exact(Metadata!P610,"wastewater/sludge"),exact(Metadata!P610,"water"))))</f>
        <v>0</v>
      </c>
      <c r="BC610">
        <f>IF(Metadata!Q610="",FALSE,TRUE)</f>
        <v>0</v>
      </c>
      <c r="BD610">
        <f>IF(Metadata!R610="",FALSE,TRUE)</f>
        <v>0</v>
      </c>
      <c r="BE610">
        <f>OR(AND(IF(Metadata!S610="",FALSE,TRUE),OR(exact(Metadata!S610,"not collected"),exact(Metadata!S610,"not provided"),exact(Metadata!S610,"restricted access"))),AND(IF(Metadata!S610="",FALSE,ISNUMBER(VALUE(Metadata!S610))),Metadata!S610&gt;=-90.00,Metadata!S610&lt;=90.00))</f>
        <v>0</v>
      </c>
      <c r="BF610">
        <f>AND(IF(Metadata!T610="",FALSE,TRUE),exact(Metadata!T610,"Decimal degrees"))</f>
        <v>0</v>
      </c>
      <c r="BG610">
        <f>OR(AND(IF(Metadata!U610="",FALSE,TRUE),OR(exact(Metadata!U610,"not collected"),exact(Metadata!U610,"not provided"),exact(Metadata!U610,"restricted access"))),AND(IF(Metadata!U610="",FALSE,ISNUMBER(VALUE(Metadata!U610))),Metadata!U610&gt;=-180.00,Metadata!U610&lt;=180.00))</f>
        <v>0</v>
      </c>
      <c r="BH610">
        <f>AND(IF(Metadata!V610="",FALSE,TRUE),exact(Metadata!V610,"Decimal degrees"))</f>
        <v>0</v>
      </c>
      <c r="BI610">
        <f>IF(Metadata!W610="",FALSE,TRUE)</f>
        <v>0</v>
      </c>
      <c r="BJ610">
        <f>OR(AND(IF(Metadata!X610="",FALSE,TRUE),OR(exact(Metadata!X610,"not collected"),exact(Metadata!X610,"not provided"),exact(Metadata!X610,"restricted access"))),AND(IF(Metadata!X610="",FALSE,TRUE),OR(exact(Metadata!X610,"TRUE"),exact(Metadata!X610,"FALSE"))))</f>
        <v>0</v>
      </c>
      <c r="BK610">
        <f>AND(IF(Metadata!Y610="",FALSE,TRUE),exact(Metadata!Y610,"other"))</f>
        <v>0</v>
      </c>
      <c r="BL610">
        <f>IF(Metadata!Z610="",FALSE,TRUE)</f>
        <v>0</v>
      </c>
      <c r="BM610">
        <f>OR(AND(IF(Metadata!AA610="",FALSE,TRUE),OR(exact(Metadata!AA610,"not collected"),exact(Metadata!AA610,"not provided"))),AND(IF(Metadata!AA610="",FALSE,IF(ISERROR(INT(Metadata!AA610)),FALSE,INT(Metadata!AA610)=Metadata!AA610)),Metadata!AA610&gt;0))</f>
        <v>0</v>
      </c>
      <c r="BN610">
        <f>AND(IF(Metadata!AB610="",FALSE,TRUE),exact(Metadata!AB610,"Not applicable"))</f>
        <v>0</v>
      </c>
      <c r="BO610">
        <f>IF(Metadata!AC610="",FALSE,TRUE)</f>
        <v>0</v>
      </c>
    </row>
    <row r="611" spans="1:67">
      <c r="A611" s="5">
        <f>IF(B611=" "," ",HYPERLINK(CONCATENATE("#metadata!",ADDRESS(INDEX($AI$2:$AI$1001,MATCH(ROWS($AG$2:AG611),$AG$2:$AG$1001,0),0),1)),INDEX($AL$2:$AL$1001,MATCH(ROWS($AG$2:AG611),$AG$2:$AG$1001,0),0)))</f>
        <v>0</v>
      </c>
      <c r="B611" s="4">
        <f>IF(OR(INDEX($AH$2:$AH$1001,MATCH(ROWS($AG$2:AG611),$AG$2:$AG$1001,0),1)&gt;=100000,INDEX($AN$1005:$BO$1005,1,MATCH(COLUMNS($AN$1006:AN1006),$AN$1006:$BO$1006,0))&gt;=100000), " ",IF(INDEX($AN$2:$BO$1001,MATCH(ROWS($AG$2:AG611),$AG$2:$AG$1001,0),MATCH(COLUMNS($AN$1006:AN1006),$AN$1006:$BO$1006,0)), HYPERLINK("#",""), HYPERLINK(CONCATENATE("#Metadata!", ADDRESS(INDEX($AI$2:$AI$1001,MATCH(ROWS($AG$2:AG611),$AG$2:$AG$1001,0),0), INDEX($AN$1004:$BO$1004,1,MATCH(COLUMNS($AN$1006:AN1006),$AN$1006:$BO$1006,0)))),"Fix")))</f>
        <v>0</v>
      </c>
      <c r="C611" s="4">
        <f>IF(OR(INDEX($AH$2:$AH$1001,MATCH(ROWS($AG$2:AG611),$AG$2:$AG$1001,0),1)&gt;=100000,INDEX($AN$1005:$BO$1005,1,MATCH(COLUMNS($AN$1006:AO1006),$AN$1006:$BO$1006,0))&gt;=100000), " ",IF(INDEX($AN$2:$BO$1001,MATCH(ROWS($AG$2:AG611),$AG$2:$AG$1001,0),MATCH(COLUMNS($AN$1006:AO1006),$AN$1006:$BO$1006,0)), HYPERLINK("#",""), HYPERLINK(CONCATENATE("#Metadata!", ADDRESS(INDEX($AI$2:$AI$1001,MATCH(ROWS($AG$2:AG611),$AG$2:$AG$1001,0),0), INDEX($AN$1004:$BO$1004,1,MATCH(COLUMNS($AN$1006:AO1006),$AN$1006:$BO$1006,0)))),"Fix")))</f>
        <v>0</v>
      </c>
      <c r="D611" s="4">
        <f>IF(OR(INDEX($AH$2:$AH$1001,MATCH(ROWS($AG$2:AG611),$AG$2:$AG$1001,0),1)&gt;=100000,INDEX($AN$1005:$BO$1005,1,MATCH(COLUMNS($AN$1006:AP1006),$AN$1006:$BO$1006,0))&gt;=100000), " ",IF(INDEX($AN$2:$BO$1001,MATCH(ROWS($AG$2:AG611),$AG$2:$AG$1001,0),MATCH(COLUMNS($AN$1006:AP1006),$AN$1006:$BO$1006,0)), HYPERLINK("#",""), HYPERLINK(CONCATENATE("#Metadata!", ADDRESS(INDEX($AI$2:$AI$1001,MATCH(ROWS($AG$2:AG611),$AG$2:$AG$1001,0),0), INDEX($AN$1004:$BO$1004,1,MATCH(COLUMNS($AN$1006:AP1006),$AN$1006:$BO$1006,0)))),"Fix")))</f>
        <v>0</v>
      </c>
      <c r="E611" s="4">
        <f>IF(OR(INDEX($AH$2:$AH$1001,MATCH(ROWS($AG$2:AG611),$AG$2:$AG$1001,0),1)&gt;=100000,INDEX($AN$1005:$BO$1005,1,MATCH(COLUMNS($AN$1006:AQ1006),$AN$1006:$BO$1006,0))&gt;=100000), " ",IF(INDEX($AN$2:$BO$1001,MATCH(ROWS($AG$2:AG611),$AG$2:$AG$1001,0),MATCH(COLUMNS($AN$1006:AQ1006),$AN$1006:$BO$1006,0)), HYPERLINK("#",""), HYPERLINK(CONCATENATE("#Metadata!", ADDRESS(INDEX($AI$2:$AI$1001,MATCH(ROWS($AG$2:AG611),$AG$2:$AG$1001,0),0), INDEX($AN$1004:$BO$1004,1,MATCH(COLUMNS($AN$1006:AQ1006),$AN$1006:$BO$1006,0)))),"Fix")))</f>
        <v>0</v>
      </c>
      <c r="F611" s="4">
        <f>IF(OR(INDEX($AH$2:$AH$1001,MATCH(ROWS($AG$2:AG611),$AG$2:$AG$1001,0),1)&gt;=100000,INDEX($AN$1005:$BO$1005,1,MATCH(COLUMNS($AN$1006:AR1006),$AN$1006:$BO$1006,0))&gt;=100000), " ",IF(INDEX($AN$2:$BO$1001,MATCH(ROWS($AG$2:AG611),$AG$2:$AG$1001,0),MATCH(COLUMNS($AN$1006:AR1006),$AN$1006:$BO$1006,0)), HYPERLINK("#",""), HYPERLINK(CONCATENATE("#Metadata!", ADDRESS(INDEX($AI$2:$AI$1001,MATCH(ROWS($AG$2:AG611),$AG$2:$AG$1001,0),0), INDEX($AN$1004:$BO$1004,1,MATCH(COLUMNS($AN$1006:AR1006),$AN$1006:$BO$1006,0)))),"Fix")))</f>
        <v>0</v>
      </c>
      <c r="G611" s="4">
        <f>IF(OR(INDEX($AH$2:$AH$1001,MATCH(ROWS($AG$2:AG611),$AG$2:$AG$1001,0),1)&gt;=100000,INDEX($AN$1005:$BO$1005,1,MATCH(COLUMNS($AN$1006:AS1006),$AN$1006:$BO$1006,0))&gt;=100000), " ",IF(INDEX($AN$2:$BO$1001,MATCH(ROWS($AG$2:AG611),$AG$2:$AG$1001,0),MATCH(COLUMNS($AN$1006:AS1006),$AN$1006:$BO$1006,0)), HYPERLINK("#",""), HYPERLINK(CONCATENATE("#Metadata!", ADDRESS(INDEX($AI$2:$AI$1001,MATCH(ROWS($AG$2:AG611),$AG$2:$AG$1001,0),0), INDEX($AN$1004:$BO$1004,1,MATCH(COLUMNS($AN$1006:AS1006),$AN$1006:$BO$1006,0)))),"Fix")))</f>
        <v>0</v>
      </c>
      <c r="H611" s="4">
        <f>IF(OR(INDEX($AH$2:$AH$1001,MATCH(ROWS($AG$2:AG611),$AG$2:$AG$1001,0),1)&gt;=100000,INDEX($AN$1005:$BO$1005,1,MATCH(COLUMNS($AN$1006:AT1006),$AN$1006:$BO$1006,0))&gt;=100000), " ",IF(INDEX($AN$2:$BO$1001,MATCH(ROWS($AG$2:AG611),$AG$2:$AG$1001,0),MATCH(COLUMNS($AN$1006:AT1006),$AN$1006:$BO$1006,0)), HYPERLINK("#",""), HYPERLINK(CONCATENATE("#Metadata!", ADDRESS(INDEX($AI$2:$AI$1001,MATCH(ROWS($AG$2:AG611),$AG$2:$AG$1001,0),0), INDEX($AN$1004:$BO$1004,1,MATCH(COLUMNS($AN$1006:AT1006),$AN$1006:$BO$1006,0)))),"Fix")))</f>
        <v>0</v>
      </c>
      <c r="I611" s="4">
        <f>IF(OR(INDEX($AH$2:$AH$1001,MATCH(ROWS($AG$2:AG611),$AG$2:$AG$1001,0),1)&gt;=100000,INDEX($AN$1005:$BO$1005,1,MATCH(COLUMNS($AN$1006:AU1006),$AN$1006:$BO$1006,0))&gt;=100000), " ",IF(INDEX($AN$2:$BO$1001,MATCH(ROWS($AG$2:AG611),$AG$2:$AG$1001,0),MATCH(COLUMNS($AN$1006:AU1006),$AN$1006:$BO$1006,0)), HYPERLINK("#",""), HYPERLINK(CONCATENATE("#Metadata!", ADDRESS(INDEX($AI$2:$AI$1001,MATCH(ROWS($AG$2:AG611),$AG$2:$AG$1001,0),0), INDEX($AN$1004:$BO$1004,1,MATCH(COLUMNS($AN$1006:AU1006),$AN$1006:$BO$1006,0)))),"Fix")))</f>
        <v>0</v>
      </c>
      <c r="J611" s="4">
        <f>IF(OR(INDEX($AH$2:$AH$1001,MATCH(ROWS($AG$2:AG611),$AG$2:$AG$1001,0),1)&gt;=100000,INDEX($AN$1005:$BO$1005,1,MATCH(COLUMNS($AN$1006:AV1006),$AN$1006:$BO$1006,0))&gt;=100000), " ",IF(INDEX($AN$2:$BO$1001,MATCH(ROWS($AG$2:AG611),$AG$2:$AG$1001,0),MATCH(COLUMNS($AN$1006:AV1006),$AN$1006:$BO$1006,0)), HYPERLINK("#",""), HYPERLINK(CONCATENATE("#Metadata!", ADDRESS(INDEX($AI$2:$AI$1001,MATCH(ROWS($AG$2:AG611),$AG$2:$AG$1001,0),0), INDEX($AN$1004:$BO$1004,1,MATCH(COLUMNS($AN$1006:AV1006),$AN$1006:$BO$1006,0)))),"Fix")))</f>
        <v>0</v>
      </c>
      <c r="K611" s="4">
        <f>IF(OR(INDEX($AH$2:$AH$1001,MATCH(ROWS($AG$2:AG611),$AG$2:$AG$1001,0),1)&gt;=100000,INDEX($AN$1005:$BO$1005,1,MATCH(COLUMNS($AN$1006:AW1006),$AN$1006:$BO$1006,0))&gt;=100000), " ",IF(INDEX($AN$2:$BO$1001,MATCH(ROWS($AG$2:AG611),$AG$2:$AG$1001,0),MATCH(COLUMNS($AN$1006:AW1006),$AN$1006:$BO$1006,0)), HYPERLINK("#",""), HYPERLINK(CONCATENATE("#Metadata!", ADDRESS(INDEX($AI$2:$AI$1001,MATCH(ROWS($AG$2:AG611),$AG$2:$AG$1001,0),0), INDEX($AN$1004:$BO$1004,1,MATCH(COLUMNS($AN$1006:AW1006),$AN$1006:$BO$1006,0)))),"Fix")))</f>
        <v>0</v>
      </c>
      <c r="L611" s="4">
        <f>IF(OR(INDEX($AH$2:$AH$1001,MATCH(ROWS($AG$2:AG611),$AG$2:$AG$1001,0),1)&gt;=100000,INDEX($AN$1005:$BO$1005,1,MATCH(COLUMNS($AN$1006:AX1006),$AN$1006:$BO$1006,0))&gt;=100000), " ",IF(INDEX($AN$2:$BO$1001,MATCH(ROWS($AG$2:AG611),$AG$2:$AG$1001,0),MATCH(COLUMNS($AN$1006:AX1006),$AN$1006:$BO$1006,0)), HYPERLINK("#",""), HYPERLINK(CONCATENATE("#Metadata!", ADDRESS(INDEX($AI$2:$AI$1001,MATCH(ROWS($AG$2:AG611),$AG$2:$AG$1001,0),0), INDEX($AN$1004:$BO$1004,1,MATCH(COLUMNS($AN$1006:AX1006),$AN$1006:$BO$1006,0)))),"Fix")))</f>
        <v>0</v>
      </c>
      <c r="M611" s="4">
        <f>IF(OR(INDEX($AH$2:$AH$1001,MATCH(ROWS($AG$2:AG611),$AG$2:$AG$1001,0),1)&gt;=100000,INDEX($AN$1005:$BO$1005,1,MATCH(COLUMNS($AN$1006:AY1006),$AN$1006:$BO$1006,0))&gt;=100000), " ",IF(INDEX($AN$2:$BO$1001,MATCH(ROWS($AG$2:AG611),$AG$2:$AG$1001,0),MATCH(COLUMNS($AN$1006:AY1006),$AN$1006:$BO$1006,0)), HYPERLINK("#",""), HYPERLINK(CONCATENATE("#Metadata!", ADDRESS(INDEX($AI$2:$AI$1001,MATCH(ROWS($AG$2:AG611),$AG$2:$AG$1001,0),0), INDEX($AN$1004:$BO$1004,1,MATCH(COLUMNS($AN$1006:AY1006),$AN$1006:$BO$1006,0)))),"Fix")))</f>
        <v>0</v>
      </c>
      <c r="N611" s="4">
        <f>IF(OR(INDEX($AH$2:$AH$1001,MATCH(ROWS($AG$2:AG611),$AG$2:$AG$1001,0),1)&gt;=100000,INDEX($AN$1005:$BO$1005,1,MATCH(COLUMNS($AN$1006:AZ1006),$AN$1006:$BO$1006,0))&gt;=100000), " ",IF(INDEX($AN$2:$BO$1001,MATCH(ROWS($AG$2:AG611),$AG$2:$AG$1001,0),MATCH(COLUMNS($AN$1006:AZ1006),$AN$1006:$BO$1006,0)), HYPERLINK("#",""), HYPERLINK(CONCATENATE("#Metadata!", ADDRESS(INDEX($AI$2:$AI$1001,MATCH(ROWS($AG$2:AG611),$AG$2:$AG$1001,0),0), INDEX($AN$1004:$BO$1004,1,MATCH(COLUMNS($AN$1006:AZ1006),$AN$1006:$BO$1006,0)))),"Fix")))</f>
        <v>0</v>
      </c>
      <c r="O611" s="4">
        <f>IF(OR(INDEX($AH$2:$AH$1001,MATCH(ROWS($AG$2:AG611),$AG$2:$AG$1001,0),1)&gt;=100000,INDEX($AN$1005:$BO$1005,1,MATCH(COLUMNS($AN$1006:BA1006),$AN$1006:$BO$1006,0))&gt;=100000), " ",IF(INDEX($AN$2:$BO$1001,MATCH(ROWS($AG$2:AG611),$AG$2:$AG$1001,0),MATCH(COLUMNS($AN$1006:BA1006),$AN$1006:$BO$1006,0)), HYPERLINK("#",""), HYPERLINK(CONCATENATE("#Metadata!", ADDRESS(INDEX($AI$2:$AI$1001,MATCH(ROWS($AG$2:AG611),$AG$2:$AG$1001,0),0), INDEX($AN$1004:$BO$1004,1,MATCH(COLUMNS($AN$1006:BA1006),$AN$1006:$BO$1006,0)))),"Fix")))</f>
        <v>0</v>
      </c>
      <c r="P611" s="4">
        <f>IF(OR(INDEX($AH$2:$AH$1001,MATCH(ROWS($AG$2:AG611),$AG$2:$AG$1001,0),1)&gt;=100000,INDEX($AN$1005:$BO$1005,1,MATCH(COLUMNS($AN$1006:BB1006),$AN$1006:$BO$1006,0))&gt;=100000), " ",IF(INDEX($AN$2:$BO$1001,MATCH(ROWS($AG$2:AG611),$AG$2:$AG$1001,0),MATCH(COLUMNS($AN$1006:BB1006),$AN$1006:$BO$1006,0)), HYPERLINK("#",""), HYPERLINK(CONCATENATE("#Metadata!", ADDRESS(INDEX($AI$2:$AI$1001,MATCH(ROWS($AG$2:AG611),$AG$2:$AG$1001,0),0), INDEX($AN$1004:$BO$1004,1,MATCH(COLUMNS($AN$1006:BB1006),$AN$1006:$BO$1006,0)))),"Fix")))</f>
        <v>0</v>
      </c>
      <c r="Q611" s="4">
        <f>IF(OR(INDEX($AH$2:$AH$1001,MATCH(ROWS($AG$2:AG611),$AG$2:$AG$1001,0),1)&gt;=100000,INDEX($AN$1005:$BO$1005,1,MATCH(COLUMNS($AN$1006:BC1006),$AN$1006:$BO$1006,0))&gt;=100000), " ",IF(INDEX($AN$2:$BO$1001,MATCH(ROWS($AG$2:AG611),$AG$2:$AG$1001,0),MATCH(COLUMNS($AN$1006:BC1006),$AN$1006:$BO$1006,0)), HYPERLINK("#",""), HYPERLINK(CONCATENATE("#Metadata!", ADDRESS(INDEX($AI$2:$AI$1001,MATCH(ROWS($AG$2:AG611),$AG$2:$AG$1001,0),0), INDEX($AN$1004:$BO$1004,1,MATCH(COLUMNS($AN$1006:BC1006),$AN$1006:$BO$1006,0)))),"Fix")))</f>
        <v>0</v>
      </c>
      <c r="R611" s="4">
        <f>IF(OR(INDEX($AH$2:$AH$1001,MATCH(ROWS($AG$2:AG611),$AG$2:$AG$1001,0),1)&gt;=100000,INDEX($AN$1005:$BO$1005,1,MATCH(COLUMNS($AN$1006:BD1006),$AN$1006:$BO$1006,0))&gt;=100000), " ",IF(INDEX($AN$2:$BO$1001,MATCH(ROWS($AG$2:AG611),$AG$2:$AG$1001,0),MATCH(COLUMNS($AN$1006:BD1006),$AN$1006:$BO$1006,0)), HYPERLINK("#",""), HYPERLINK(CONCATENATE("#Metadata!", ADDRESS(INDEX($AI$2:$AI$1001,MATCH(ROWS($AG$2:AG611),$AG$2:$AG$1001,0),0), INDEX($AN$1004:$BO$1004,1,MATCH(COLUMNS($AN$1006:BD1006),$AN$1006:$BO$1006,0)))),"Fix")))</f>
        <v>0</v>
      </c>
      <c r="S611" s="4">
        <f>IF(OR(INDEX($AH$2:$AH$1001,MATCH(ROWS($AG$2:AG611),$AG$2:$AG$1001,0),1)&gt;=100000,INDEX($AN$1005:$BO$1005,1,MATCH(COLUMNS($AN$1006:BE1006),$AN$1006:$BO$1006,0))&gt;=100000), " ",IF(INDEX($AN$2:$BO$1001,MATCH(ROWS($AG$2:AG611),$AG$2:$AG$1001,0),MATCH(COLUMNS($AN$1006:BE1006),$AN$1006:$BO$1006,0)), HYPERLINK("#",""), HYPERLINK(CONCATENATE("#Metadata!", ADDRESS(INDEX($AI$2:$AI$1001,MATCH(ROWS($AG$2:AG611),$AG$2:$AG$1001,0),0), INDEX($AN$1004:$BO$1004,1,MATCH(COLUMNS($AN$1006:BE1006),$AN$1006:$BO$1006,0)))),"Fix")))</f>
        <v>0</v>
      </c>
      <c r="T611" s="4">
        <f>IF(OR(INDEX($AH$2:$AH$1001,MATCH(ROWS($AG$2:AG611),$AG$2:$AG$1001,0),1)&gt;=100000,INDEX($AN$1005:$BO$1005,1,MATCH(COLUMNS($AN$1006:BF1006),$AN$1006:$BO$1006,0))&gt;=100000), " ",IF(INDEX($AN$2:$BO$1001,MATCH(ROWS($AG$2:AG611),$AG$2:$AG$1001,0),MATCH(COLUMNS($AN$1006:BF1006),$AN$1006:$BO$1006,0)), HYPERLINK("#",""), HYPERLINK(CONCATENATE("#Metadata!", ADDRESS(INDEX($AI$2:$AI$1001,MATCH(ROWS($AG$2:AG611),$AG$2:$AG$1001,0),0), INDEX($AN$1004:$BO$1004,1,MATCH(COLUMNS($AN$1006:BF1006),$AN$1006:$BO$1006,0)))),"Fix")))</f>
        <v>0</v>
      </c>
      <c r="U611" s="4">
        <f>IF(OR(INDEX($AH$2:$AH$1001,MATCH(ROWS($AG$2:AG611),$AG$2:$AG$1001,0),1)&gt;=100000,INDEX($AN$1005:$BO$1005,1,MATCH(COLUMNS($AN$1006:BG1006),$AN$1006:$BO$1006,0))&gt;=100000), " ",IF(INDEX($AN$2:$BO$1001,MATCH(ROWS($AG$2:AG611),$AG$2:$AG$1001,0),MATCH(COLUMNS($AN$1006:BG1006),$AN$1006:$BO$1006,0)), HYPERLINK("#",""), HYPERLINK(CONCATENATE("#Metadata!", ADDRESS(INDEX($AI$2:$AI$1001,MATCH(ROWS($AG$2:AG611),$AG$2:$AG$1001,0),0), INDEX($AN$1004:$BO$1004,1,MATCH(COLUMNS($AN$1006:BG1006),$AN$1006:$BO$1006,0)))),"Fix")))</f>
        <v>0</v>
      </c>
      <c r="V611" s="4">
        <f>IF(OR(INDEX($AH$2:$AH$1001,MATCH(ROWS($AG$2:AG611),$AG$2:$AG$1001,0),1)&gt;=100000,INDEX($AN$1005:$BO$1005,1,MATCH(COLUMNS($AN$1006:BH1006),$AN$1006:$BO$1006,0))&gt;=100000), " ",IF(INDEX($AN$2:$BO$1001,MATCH(ROWS($AG$2:AG611),$AG$2:$AG$1001,0),MATCH(COLUMNS($AN$1006:BH1006),$AN$1006:$BO$1006,0)), HYPERLINK("#",""), HYPERLINK(CONCATENATE("#Metadata!", ADDRESS(INDEX($AI$2:$AI$1001,MATCH(ROWS($AG$2:AG611),$AG$2:$AG$1001,0),0), INDEX($AN$1004:$BO$1004,1,MATCH(COLUMNS($AN$1006:BH1006),$AN$1006:$BO$1006,0)))),"Fix")))</f>
        <v>0</v>
      </c>
      <c r="W611" s="4">
        <f>IF(OR(INDEX($AH$2:$AH$1001,MATCH(ROWS($AG$2:AG611),$AG$2:$AG$1001,0),1)&gt;=100000,INDEX($AN$1005:$BO$1005,1,MATCH(COLUMNS($AN$1006:BI1006),$AN$1006:$BO$1006,0))&gt;=100000), " ",IF(INDEX($AN$2:$BO$1001,MATCH(ROWS($AG$2:AG611),$AG$2:$AG$1001,0),MATCH(COLUMNS($AN$1006:BI1006),$AN$1006:$BO$1006,0)), HYPERLINK("#",""), HYPERLINK(CONCATENATE("#Metadata!", ADDRESS(INDEX($AI$2:$AI$1001,MATCH(ROWS($AG$2:AG611),$AG$2:$AG$1001,0),0), INDEX($AN$1004:$BO$1004,1,MATCH(COLUMNS($AN$1006:BI1006),$AN$1006:$BO$1006,0)))),"Fix")))</f>
        <v>0</v>
      </c>
      <c r="X611" s="4">
        <f>IF(OR(INDEX($AH$2:$AH$1001,MATCH(ROWS($AG$2:AG611),$AG$2:$AG$1001,0),1)&gt;=100000,INDEX($AN$1005:$BO$1005,1,MATCH(COLUMNS($AN$1006:BJ1006),$AN$1006:$BO$1006,0))&gt;=100000), " ",IF(INDEX($AN$2:$BO$1001,MATCH(ROWS($AG$2:AG611),$AG$2:$AG$1001,0),MATCH(COLUMNS($AN$1006:BJ1006),$AN$1006:$BO$1006,0)), HYPERLINK("#",""), HYPERLINK(CONCATENATE("#Metadata!", ADDRESS(INDEX($AI$2:$AI$1001,MATCH(ROWS($AG$2:AG611),$AG$2:$AG$1001,0),0), INDEX($AN$1004:$BO$1004,1,MATCH(COLUMNS($AN$1006:BJ1006),$AN$1006:$BO$1006,0)))),"Fix")))</f>
        <v>0</v>
      </c>
      <c r="Y611" s="4">
        <f>IF(OR(INDEX($AH$2:$AH$1001,MATCH(ROWS($AG$2:AG611),$AG$2:$AG$1001,0),1)&gt;=100000,INDEX($AN$1005:$BO$1005,1,MATCH(COLUMNS($AN$1006:BK1006),$AN$1006:$BO$1006,0))&gt;=100000), " ",IF(INDEX($AN$2:$BO$1001,MATCH(ROWS($AG$2:AG611),$AG$2:$AG$1001,0),MATCH(COLUMNS($AN$1006:BK1006),$AN$1006:$BO$1006,0)), HYPERLINK("#",""), HYPERLINK(CONCATENATE("#Metadata!", ADDRESS(INDEX($AI$2:$AI$1001,MATCH(ROWS($AG$2:AG611),$AG$2:$AG$1001,0),0), INDEX($AN$1004:$BO$1004,1,MATCH(COLUMNS($AN$1006:BK1006),$AN$1006:$BO$1006,0)))),"Fix")))</f>
        <v>0</v>
      </c>
      <c r="Z611" s="4">
        <f>IF(OR(INDEX($AH$2:$AH$1001,MATCH(ROWS($AG$2:AG611),$AG$2:$AG$1001,0),1)&gt;=100000,INDEX($AN$1005:$BO$1005,1,MATCH(COLUMNS($AN$1006:BL1006),$AN$1006:$BO$1006,0))&gt;=100000), " ",IF(INDEX($AN$2:$BO$1001,MATCH(ROWS($AG$2:AG611),$AG$2:$AG$1001,0),MATCH(COLUMNS($AN$1006:BL1006),$AN$1006:$BO$1006,0)), HYPERLINK("#",""), HYPERLINK(CONCATENATE("#Metadata!", ADDRESS(INDEX($AI$2:$AI$1001,MATCH(ROWS($AG$2:AG611),$AG$2:$AG$1001,0),0), INDEX($AN$1004:$BO$1004,1,MATCH(COLUMNS($AN$1006:BL1006),$AN$1006:$BO$1006,0)))),"Fix")))</f>
        <v>0</v>
      </c>
      <c r="AA611" s="4">
        <f>IF(OR(INDEX($AH$2:$AH$1001,MATCH(ROWS($AG$2:AG611),$AG$2:$AG$1001,0),1)&gt;=100000,INDEX($AN$1005:$BO$1005,1,MATCH(COLUMNS($AN$1006:BM1006),$AN$1006:$BO$1006,0))&gt;=100000), " ",IF(INDEX($AN$2:$BO$1001,MATCH(ROWS($AG$2:AG611),$AG$2:$AG$1001,0),MATCH(COLUMNS($AN$1006:BM1006),$AN$1006:$BO$1006,0)), HYPERLINK("#",""), HYPERLINK(CONCATENATE("#Metadata!", ADDRESS(INDEX($AI$2:$AI$1001,MATCH(ROWS($AG$2:AG611),$AG$2:$AG$1001,0),0), INDEX($AN$1004:$BO$1004,1,MATCH(COLUMNS($AN$1006:BM1006),$AN$1006:$BO$1006,0)))),"Fix")))</f>
        <v>0</v>
      </c>
      <c r="AB611" s="4">
        <f>IF(OR(INDEX($AH$2:$AH$1001,MATCH(ROWS($AG$2:AG611),$AG$2:$AG$1001,0),1)&gt;=100000,INDEX($AN$1005:$BO$1005,1,MATCH(COLUMNS($AN$1006:BN1006),$AN$1006:$BO$1006,0))&gt;=100000), " ",IF(INDEX($AN$2:$BO$1001,MATCH(ROWS($AG$2:AG611),$AG$2:$AG$1001,0),MATCH(COLUMNS($AN$1006:BN1006),$AN$1006:$BO$1006,0)), HYPERLINK("#",""), HYPERLINK(CONCATENATE("#Metadata!", ADDRESS(INDEX($AI$2:$AI$1001,MATCH(ROWS($AG$2:AG611),$AG$2:$AG$1001,0),0), INDEX($AN$1004:$BO$1004,1,MATCH(COLUMNS($AN$1006:BN1006),$AN$1006:$BO$1006,0)))),"Fix")))</f>
        <v>0</v>
      </c>
      <c r="AC611" s="4">
        <f>IF(OR(INDEX($AH$2:$AH$1001,MATCH(ROWS($AG$2:AG611),$AG$2:$AG$1001,0),1)&gt;=100000,INDEX($AN$1005:$BO$1005,1,MATCH(COLUMNS($AN$1006:BO1006),$AN$1006:$BO$1006,0))&gt;=100000), " ",IF(INDEX($AN$2:$BO$1001,MATCH(ROWS($AG$2:AG611),$AG$2:$AG$1001,0),MATCH(COLUMNS($AN$1006:BO1006),$AN$1006:$BO$1006,0)), HYPERLINK("#",""), HYPERLINK(CONCATENATE("#Metadata!", ADDRESS(INDEX($AI$2:$AI$1001,MATCH(ROWS($AG$2:AG611),$AG$2:$AG$1001,0),0), INDEX($AN$1004:$BO$1004,1,MATCH(COLUMNS($AN$1006:BO1006),$AN$1006:$BO$1006,0)))),"Fix")))</f>
        <v>0</v>
      </c>
      <c r="AG611">
        <v>0</v>
      </c>
      <c r="AH611">
        <v>0</v>
      </c>
      <c r="AI611">
        <v>0</v>
      </c>
      <c r="AJ611">
        <f>IF(AK611,TRUE,AND(AN611:BO611))</f>
        <v>0</v>
      </c>
      <c r="AK611">
        <f>COUNTBLANK(Metadata!B611:AC611)=COLUMNS(Metadata!B611:AC611)</f>
        <v>0</v>
      </c>
      <c r="AL611">
        <v>0</v>
      </c>
      <c r="AN611">
        <f>AND(IF(Metadata!B611="",FALSE,TRUE),COUNTIF(Metadata!B:B, Metadata!B611) = 1,NOT(ISERROR(SUMPRODUCT(SEARCH(MID(Metadata!B611,ROW(INDIRECT("1:"&amp;LEN(Metadata!B611))), 1),"0123456789abcdefghijklmnopqrstuvwxyzABCDEFGHIJKLMNOPQRSTUVWXYZ.")))))</f>
        <v>0</v>
      </c>
      <c r="AO611">
        <f>IF(Metadata!C611="",FALSE,TRUE)</f>
        <v>0</v>
      </c>
      <c r="AP611">
        <f>IF(Metadata!D611="",FALSE,TRUE)</f>
        <v>0</v>
      </c>
      <c r="AQ611">
        <f>OR(AND(IF(Metadata!E611="",FALSE,TRUE),OR(exact(Metadata!E611,"not collected"),exact(Metadata!E611,"not provided"),exact(Metadata!E611,"restricted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R611">
        <f>IF(Metadata!F611="",FALSE,TRUE)</f>
        <v>0</v>
      </c>
      <c r="AS611">
        <f>OR(AND(IF(Metadata!G611="",FALSE,TRUE),OR(exact(Metadata!G611,"not collected"),exact(Metadata!G611,"not provided"))),AND(IF(Metadata!G611="",FALSE,TRUE),OR(exact(Metadata!G611,"TRUE"),exact(Metadata!G611,"FALSE"))))</f>
        <v>0</v>
      </c>
      <c r="AT611">
        <f>OR(AND(IF(Metadata!H611="",FALSE,TRUE),OR(exact(Metadata!H611,"not collected"),exact(Metadata!H611,"not provided"),exact(Metadata!H611,"restricted access"))),AND(IF(Metadata!H611="",FALSE,ISNUMBER(VALUE(Metadata!H611))),Metadata!H611&gt;=-413.0))</f>
        <v>0</v>
      </c>
      <c r="AU611">
        <f>AND(IF(Metadata!I611="",FALSE,TRUE),exact(Metadata!I611,"meters"))</f>
        <v>0</v>
      </c>
      <c r="AV611">
        <f>AND(IF(Metadata!J611="",FALSE,TRUE),OR(exact(Metadata!J611,"Host-associated"),exact(Metadata!J611,"Free-living")))</f>
        <v>0</v>
      </c>
      <c r="AW611">
        <f>AND(IF(Metadata!K611="",FALSE,TRUE),OR(exact(Metadata!K611,"Animal"),exact(Metadata!K611,"Fungus"),exact(Metadata!K611,"Plant"),exact(Metadata!K611,"Saline"),exact(Metadata!K611,"Non-saline")))</f>
        <v>0</v>
      </c>
      <c r="AX611">
        <f>AND(IF(Metadata!L611="",FALSE,TRUE),OR(exact(Metadata!L611,"Plant secretion"),exact(Metadata!L611,"Plant rhizosphere"),exact(Metadata!L611,"Plant surface"),exact(Metadata!L611,"Plant corpus"),exact(Metadata!L611,"Fungus surface"),exact(Metadata!L611,"Fungus corpus"),exact(Metadata!L611,"Animal surface"),exact(Metadata!L611,"Animal proximal gut"),exact(Metadata!L611,"Animal corpus"),exact(Metadata!L611,"Animal distal gut"),exact(Metadata!L611,"Animal secretion"),exact(Metadata!L611,"Sub-surface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Y611">
        <f>IF(Metadata!M611="",FALSE,TRUE)</f>
        <v>0</v>
      </c>
      <c r="AZ611">
        <f>IF(Metadata!N611="",FALSE,TRUE)</f>
        <v>0</v>
      </c>
      <c r="BA611">
        <f>IF(Metadata!O611="",FALSE,TRUE)</f>
        <v>0</v>
      </c>
      <c r="BB611">
        <f>OR(AND(IF(Metadata!P611="",FALSE,TRUE),OR(exact(Metadata!P611,"not collected"),exact(Metadata!P611,"not provided"),exact(Metadata!P611,"restricted access"))),AND(IF(Metadata!P611="",FALSE,TRUE),OR(exact(Metadata!P611,"air"),exact(Metadata!P611,"built environment"),exact(Metadata!P611,"host-associated"),exact(Metadata!P611,"human-associated"),exact(Metadata!P611,"human-skin"),exact(Metadata!P611,"human-oral"),exact(Metadata!P611,"human-gut"),exact(Metadata!P611,"human-vaginal"),exact(Metadata!P611,"microbial mat/biofilm"),exact(Metadata!P611,"misc environment"),exact(Metadata!P611,"plant-associated"),exact(Metadata!P611,"sediment"),exact(Metadata!P611,"soil"),exact(Metadata!P611,"wastewater/sludge"),exact(Metadata!P611,"water"))))</f>
        <v>0</v>
      </c>
      <c r="BC611">
        <f>IF(Metadata!Q611="",FALSE,TRUE)</f>
        <v>0</v>
      </c>
      <c r="BD611">
        <f>IF(Metadata!R611="",FALSE,TRUE)</f>
        <v>0</v>
      </c>
      <c r="BE611">
        <f>OR(AND(IF(Metadata!S611="",FALSE,TRUE),OR(exact(Metadata!S611,"not collected"),exact(Metadata!S611,"not provided"),exact(Metadata!S611,"restricted access"))),AND(IF(Metadata!S611="",FALSE,ISNUMBER(VALUE(Metadata!S611))),Metadata!S611&gt;=-90.00,Metadata!S611&lt;=90.00))</f>
        <v>0</v>
      </c>
      <c r="BF611">
        <f>AND(IF(Metadata!T611="",FALSE,TRUE),exact(Metadata!T611,"Decimal degrees"))</f>
        <v>0</v>
      </c>
      <c r="BG611">
        <f>OR(AND(IF(Metadata!U611="",FALSE,TRUE),OR(exact(Metadata!U611,"not collected"),exact(Metadata!U611,"not provided"),exact(Metadata!U611,"restricted access"))),AND(IF(Metadata!U611="",FALSE,ISNUMBER(VALUE(Metadata!U611))),Metadata!U611&gt;=-180.00,Metadata!U611&lt;=180.00))</f>
        <v>0</v>
      </c>
      <c r="BH611">
        <f>AND(IF(Metadata!V611="",FALSE,TRUE),exact(Metadata!V611,"Decimal degrees"))</f>
        <v>0</v>
      </c>
      <c r="BI611">
        <f>IF(Metadata!W611="",FALSE,TRUE)</f>
        <v>0</v>
      </c>
      <c r="BJ611">
        <f>OR(AND(IF(Metadata!X611="",FALSE,TRUE),OR(exact(Metadata!X611,"not collected"),exact(Metadata!X611,"not provided"),exact(Metadata!X611,"restricted access"))),AND(IF(Metadata!X611="",FALSE,TRUE),OR(exact(Metadata!X611,"TRUE"),exact(Metadata!X611,"FALSE"))))</f>
        <v>0</v>
      </c>
      <c r="BK611">
        <f>AND(IF(Metadata!Y611="",FALSE,TRUE),exact(Metadata!Y611,"other"))</f>
        <v>0</v>
      </c>
      <c r="BL611">
        <f>IF(Metadata!Z611="",FALSE,TRUE)</f>
        <v>0</v>
      </c>
      <c r="BM611">
        <f>OR(AND(IF(Metadata!AA611="",FALSE,TRUE),OR(exact(Metadata!AA611,"not collected"),exact(Metadata!AA611,"not provided"))),AND(IF(Metadata!AA611="",FALSE,IF(ISERROR(INT(Metadata!AA611)),FALSE,INT(Metadata!AA611)=Metadata!AA611)),Metadata!AA611&gt;0))</f>
        <v>0</v>
      </c>
      <c r="BN611">
        <f>AND(IF(Metadata!AB611="",FALSE,TRUE),exact(Metadata!AB611,"Not applicable"))</f>
        <v>0</v>
      </c>
      <c r="BO611">
        <f>IF(Metadata!AC611="",FALSE,TRUE)</f>
        <v>0</v>
      </c>
    </row>
    <row r="612" spans="1:67">
      <c r="A612" s="5">
        <f>IF(B612=" "," ",HYPERLINK(CONCATENATE("#metadata!",ADDRESS(INDEX($AI$2:$AI$1001,MATCH(ROWS($AG$2:AG612),$AG$2:$AG$1001,0),0),1)),INDEX($AL$2:$AL$1001,MATCH(ROWS($AG$2:AG612),$AG$2:$AG$1001,0),0)))</f>
        <v>0</v>
      </c>
      <c r="B612" s="4">
        <f>IF(OR(INDEX($AH$2:$AH$1001,MATCH(ROWS($AG$2:AG612),$AG$2:$AG$1001,0),1)&gt;=100000,INDEX($AN$1005:$BO$1005,1,MATCH(COLUMNS($AN$1006:AN1006),$AN$1006:$BO$1006,0))&gt;=100000), " ",IF(INDEX($AN$2:$BO$1001,MATCH(ROWS($AG$2:AG612),$AG$2:$AG$1001,0),MATCH(COLUMNS($AN$1006:AN1006),$AN$1006:$BO$1006,0)), HYPERLINK("#",""), HYPERLINK(CONCATENATE("#Metadata!", ADDRESS(INDEX($AI$2:$AI$1001,MATCH(ROWS($AG$2:AG612),$AG$2:$AG$1001,0),0), INDEX($AN$1004:$BO$1004,1,MATCH(COLUMNS($AN$1006:AN1006),$AN$1006:$BO$1006,0)))),"Fix")))</f>
        <v>0</v>
      </c>
      <c r="C612" s="4">
        <f>IF(OR(INDEX($AH$2:$AH$1001,MATCH(ROWS($AG$2:AG612),$AG$2:$AG$1001,0),1)&gt;=100000,INDEX($AN$1005:$BO$1005,1,MATCH(COLUMNS($AN$1006:AO1006),$AN$1006:$BO$1006,0))&gt;=100000), " ",IF(INDEX($AN$2:$BO$1001,MATCH(ROWS($AG$2:AG612),$AG$2:$AG$1001,0),MATCH(COLUMNS($AN$1006:AO1006),$AN$1006:$BO$1006,0)), HYPERLINK("#",""), HYPERLINK(CONCATENATE("#Metadata!", ADDRESS(INDEX($AI$2:$AI$1001,MATCH(ROWS($AG$2:AG612),$AG$2:$AG$1001,0),0), INDEX($AN$1004:$BO$1004,1,MATCH(COLUMNS($AN$1006:AO1006),$AN$1006:$BO$1006,0)))),"Fix")))</f>
        <v>0</v>
      </c>
      <c r="D612" s="4">
        <f>IF(OR(INDEX($AH$2:$AH$1001,MATCH(ROWS($AG$2:AG612),$AG$2:$AG$1001,0),1)&gt;=100000,INDEX($AN$1005:$BO$1005,1,MATCH(COLUMNS($AN$1006:AP1006),$AN$1006:$BO$1006,0))&gt;=100000), " ",IF(INDEX($AN$2:$BO$1001,MATCH(ROWS($AG$2:AG612),$AG$2:$AG$1001,0),MATCH(COLUMNS($AN$1006:AP1006),$AN$1006:$BO$1006,0)), HYPERLINK("#",""), HYPERLINK(CONCATENATE("#Metadata!", ADDRESS(INDEX($AI$2:$AI$1001,MATCH(ROWS($AG$2:AG612),$AG$2:$AG$1001,0),0), INDEX($AN$1004:$BO$1004,1,MATCH(COLUMNS($AN$1006:AP1006),$AN$1006:$BO$1006,0)))),"Fix")))</f>
        <v>0</v>
      </c>
      <c r="E612" s="4">
        <f>IF(OR(INDEX($AH$2:$AH$1001,MATCH(ROWS($AG$2:AG612),$AG$2:$AG$1001,0),1)&gt;=100000,INDEX($AN$1005:$BO$1005,1,MATCH(COLUMNS($AN$1006:AQ1006),$AN$1006:$BO$1006,0))&gt;=100000), " ",IF(INDEX($AN$2:$BO$1001,MATCH(ROWS($AG$2:AG612),$AG$2:$AG$1001,0),MATCH(COLUMNS($AN$1006:AQ1006),$AN$1006:$BO$1006,0)), HYPERLINK("#",""), HYPERLINK(CONCATENATE("#Metadata!", ADDRESS(INDEX($AI$2:$AI$1001,MATCH(ROWS($AG$2:AG612),$AG$2:$AG$1001,0),0), INDEX($AN$1004:$BO$1004,1,MATCH(COLUMNS($AN$1006:AQ1006),$AN$1006:$BO$1006,0)))),"Fix")))</f>
        <v>0</v>
      </c>
      <c r="F612" s="4">
        <f>IF(OR(INDEX($AH$2:$AH$1001,MATCH(ROWS($AG$2:AG612),$AG$2:$AG$1001,0),1)&gt;=100000,INDEX($AN$1005:$BO$1005,1,MATCH(COLUMNS($AN$1006:AR1006),$AN$1006:$BO$1006,0))&gt;=100000), " ",IF(INDEX($AN$2:$BO$1001,MATCH(ROWS($AG$2:AG612),$AG$2:$AG$1001,0),MATCH(COLUMNS($AN$1006:AR1006),$AN$1006:$BO$1006,0)), HYPERLINK("#",""), HYPERLINK(CONCATENATE("#Metadata!", ADDRESS(INDEX($AI$2:$AI$1001,MATCH(ROWS($AG$2:AG612),$AG$2:$AG$1001,0),0), INDEX($AN$1004:$BO$1004,1,MATCH(COLUMNS($AN$1006:AR1006),$AN$1006:$BO$1006,0)))),"Fix")))</f>
        <v>0</v>
      </c>
      <c r="G612" s="4">
        <f>IF(OR(INDEX($AH$2:$AH$1001,MATCH(ROWS($AG$2:AG612),$AG$2:$AG$1001,0),1)&gt;=100000,INDEX($AN$1005:$BO$1005,1,MATCH(COLUMNS($AN$1006:AS1006),$AN$1006:$BO$1006,0))&gt;=100000), " ",IF(INDEX($AN$2:$BO$1001,MATCH(ROWS($AG$2:AG612),$AG$2:$AG$1001,0),MATCH(COLUMNS($AN$1006:AS1006),$AN$1006:$BO$1006,0)), HYPERLINK("#",""), HYPERLINK(CONCATENATE("#Metadata!", ADDRESS(INDEX($AI$2:$AI$1001,MATCH(ROWS($AG$2:AG612),$AG$2:$AG$1001,0),0), INDEX($AN$1004:$BO$1004,1,MATCH(COLUMNS($AN$1006:AS1006),$AN$1006:$BO$1006,0)))),"Fix")))</f>
        <v>0</v>
      </c>
      <c r="H612" s="4">
        <f>IF(OR(INDEX($AH$2:$AH$1001,MATCH(ROWS($AG$2:AG612),$AG$2:$AG$1001,0),1)&gt;=100000,INDEX($AN$1005:$BO$1005,1,MATCH(COLUMNS($AN$1006:AT1006),$AN$1006:$BO$1006,0))&gt;=100000), " ",IF(INDEX($AN$2:$BO$1001,MATCH(ROWS($AG$2:AG612),$AG$2:$AG$1001,0),MATCH(COLUMNS($AN$1006:AT1006),$AN$1006:$BO$1006,0)), HYPERLINK("#",""), HYPERLINK(CONCATENATE("#Metadata!", ADDRESS(INDEX($AI$2:$AI$1001,MATCH(ROWS($AG$2:AG612),$AG$2:$AG$1001,0),0), INDEX($AN$1004:$BO$1004,1,MATCH(COLUMNS($AN$1006:AT1006),$AN$1006:$BO$1006,0)))),"Fix")))</f>
        <v>0</v>
      </c>
      <c r="I612" s="4">
        <f>IF(OR(INDEX($AH$2:$AH$1001,MATCH(ROWS($AG$2:AG612),$AG$2:$AG$1001,0),1)&gt;=100000,INDEX($AN$1005:$BO$1005,1,MATCH(COLUMNS($AN$1006:AU1006),$AN$1006:$BO$1006,0))&gt;=100000), " ",IF(INDEX($AN$2:$BO$1001,MATCH(ROWS($AG$2:AG612),$AG$2:$AG$1001,0),MATCH(COLUMNS($AN$1006:AU1006),$AN$1006:$BO$1006,0)), HYPERLINK("#",""), HYPERLINK(CONCATENATE("#Metadata!", ADDRESS(INDEX($AI$2:$AI$1001,MATCH(ROWS($AG$2:AG612),$AG$2:$AG$1001,0),0), INDEX($AN$1004:$BO$1004,1,MATCH(COLUMNS($AN$1006:AU1006),$AN$1006:$BO$1006,0)))),"Fix")))</f>
        <v>0</v>
      </c>
      <c r="J612" s="4">
        <f>IF(OR(INDEX($AH$2:$AH$1001,MATCH(ROWS($AG$2:AG612),$AG$2:$AG$1001,0),1)&gt;=100000,INDEX($AN$1005:$BO$1005,1,MATCH(COLUMNS($AN$1006:AV1006),$AN$1006:$BO$1006,0))&gt;=100000), " ",IF(INDEX($AN$2:$BO$1001,MATCH(ROWS($AG$2:AG612),$AG$2:$AG$1001,0),MATCH(COLUMNS($AN$1006:AV1006),$AN$1006:$BO$1006,0)), HYPERLINK("#",""), HYPERLINK(CONCATENATE("#Metadata!", ADDRESS(INDEX($AI$2:$AI$1001,MATCH(ROWS($AG$2:AG612),$AG$2:$AG$1001,0),0), INDEX($AN$1004:$BO$1004,1,MATCH(COLUMNS($AN$1006:AV1006),$AN$1006:$BO$1006,0)))),"Fix")))</f>
        <v>0</v>
      </c>
      <c r="K612" s="4">
        <f>IF(OR(INDEX($AH$2:$AH$1001,MATCH(ROWS($AG$2:AG612),$AG$2:$AG$1001,0),1)&gt;=100000,INDEX($AN$1005:$BO$1005,1,MATCH(COLUMNS($AN$1006:AW1006),$AN$1006:$BO$1006,0))&gt;=100000), " ",IF(INDEX($AN$2:$BO$1001,MATCH(ROWS($AG$2:AG612),$AG$2:$AG$1001,0),MATCH(COLUMNS($AN$1006:AW1006),$AN$1006:$BO$1006,0)), HYPERLINK("#",""), HYPERLINK(CONCATENATE("#Metadata!", ADDRESS(INDEX($AI$2:$AI$1001,MATCH(ROWS($AG$2:AG612),$AG$2:$AG$1001,0),0), INDEX($AN$1004:$BO$1004,1,MATCH(COLUMNS($AN$1006:AW1006),$AN$1006:$BO$1006,0)))),"Fix")))</f>
        <v>0</v>
      </c>
      <c r="L612" s="4">
        <f>IF(OR(INDEX($AH$2:$AH$1001,MATCH(ROWS($AG$2:AG612),$AG$2:$AG$1001,0),1)&gt;=100000,INDEX($AN$1005:$BO$1005,1,MATCH(COLUMNS($AN$1006:AX1006),$AN$1006:$BO$1006,0))&gt;=100000), " ",IF(INDEX($AN$2:$BO$1001,MATCH(ROWS($AG$2:AG612),$AG$2:$AG$1001,0),MATCH(COLUMNS($AN$1006:AX1006),$AN$1006:$BO$1006,0)), HYPERLINK("#",""), HYPERLINK(CONCATENATE("#Metadata!", ADDRESS(INDEX($AI$2:$AI$1001,MATCH(ROWS($AG$2:AG612),$AG$2:$AG$1001,0),0), INDEX($AN$1004:$BO$1004,1,MATCH(COLUMNS($AN$1006:AX1006),$AN$1006:$BO$1006,0)))),"Fix")))</f>
        <v>0</v>
      </c>
      <c r="M612" s="4">
        <f>IF(OR(INDEX($AH$2:$AH$1001,MATCH(ROWS($AG$2:AG612),$AG$2:$AG$1001,0),1)&gt;=100000,INDEX($AN$1005:$BO$1005,1,MATCH(COLUMNS($AN$1006:AY1006),$AN$1006:$BO$1006,0))&gt;=100000), " ",IF(INDEX($AN$2:$BO$1001,MATCH(ROWS($AG$2:AG612),$AG$2:$AG$1001,0),MATCH(COLUMNS($AN$1006:AY1006),$AN$1006:$BO$1006,0)), HYPERLINK("#",""), HYPERLINK(CONCATENATE("#Metadata!", ADDRESS(INDEX($AI$2:$AI$1001,MATCH(ROWS($AG$2:AG612),$AG$2:$AG$1001,0),0), INDEX($AN$1004:$BO$1004,1,MATCH(COLUMNS($AN$1006:AY1006),$AN$1006:$BO$1006,0)))),"Fix")))</f>
        <v>0</v>
      </c>
      <c r="N612" s="4">
        <f>IF(OR(INDEX($AH$2:$AH$1001,MATCH(ROWS($AG$2:AG612),$AG$2:$AG$1001,0),1)&gt;=100000,INDEX($AN$1005:$BO$1005,1,MATCH(COLUMNS($AN$1006:AZ1006),$AN$1006:$BO$1006,0))&gt;=100000), " ",IF(INDEX($AN$2:$BO$1001,MATCH(ROWS($AG$2:AG612),$AG$2:$AG$1001,0),MATCH(COLUMNS($AN$1006:AZ1006),$AN$1006:$BO$1006,0)), HYPERLINK("#",""), HYPERLINK(CONCATENATE("#Metadata!", ADDRESS(INDEX($AI$2:$AI$1001,MATCH(ROWS($AG$2:AG612),$AG$2:$AG$1001,0),0), INDEX($AN$1004:$BO$1004,1,MATCH(COLUMNS($AN$1006:AZ1006),$AN$1006:$BO$1006,0)))),"Fix")))</f>
        <v>0</v>
      </c>
      <c r="O612" s="4">
        <f>IF(OR(INDEX($AH$2:$AH$1001,MATCH(ROWS($AG$2:AG612),$AG$2:$AG$1001,0),1)&gt;=100000,INDEX($AN$1005:$BO$1005,1,MATCH(COLUMNS($AN$1006:BA1006),$AN$1006:$BO$1006,0))&gt;=100000), " ",IF(INDEX($AN$2:$BO$1001,MATCH(ROWS($AG$2:AG612),$AG$2:$AG$1001,0),MATCH(COLUMNS($AN$1006:BA1006),$AN$1006:$BO$1006,0)), HYPERLINK("#",""), HYPERLINK(CONCATENATE("#Metadata!", ADDRESS(INDEX($AI$2:$AI$1001,MATCH(ROWS($AG$2:AG612),$AG$2:$AG$1001,0),0), INDEX($AN$1004:$BO$1004,1,MATCH(COLUMNS($AN$1006:BA1006),$AN$1006:$BO$1006,0)))),"Fix")))</f>
        <v>0</v>
      </c>
      <c r="P612" s="4">
        <f>IF(OR(INDEX($AH$2:$AH$1001,MATCH(ROWS($AG$2:AG612),$AG$2:$AG$1001,0),1)&gt;=100000,INDEX($AN$1005:$BO$1005,1,MATCH(COLUMNS($AN$1006:BB1006),$AN$1006:$BO$1006,0))&gt;=100000), " ",IF(INDEX($AN$2:$BO$1001,MATCH(ROWS($AG$2:AG612),$AG$2:$AG$1001,0),MATCH(COLUMNS($AN$1006:BB1006),$AN$1006:$BO$1006,0)), HYPERLINK("#",""), HYPERLINK(CONCATENATE("#Metadata!", ADDRESS(INDEX($AI$2:$AI$1001,MATCH(ROWS($AG$2:AG612),$AG$2:$AG$1001,0),0), INDEX($AN$1004:$BO$1004,1,MATCH(COLUMNS($AN$1006:BB1006),$AN$1006:$BO$1006,0)))),"Fix")))</f>
        <v>0</v>
      </c>
      <c r="Q612" s="4">
        <f>IF(OR(INDEX($AH$2:$AH$1001,MATCH(ROWS($AG$2:AG612),$AG$2:$AG$1001,0),1)&gt;=100000,INDEX($AN$1005:$BO$1005,1,MATCH(COLUMNS($AN$1006:BC1006),$AN$1006:$BO$1006,0))&gt;=100000), " ",IF(INDEX($AN$2:$BO$1001,MATCH(ROWS($AG$2:AG612),$AG$2:$AG$1001,0),MATCH(COLUMNS($AN$1006:BC1006),$AN$1006:$BO$1006,0)), HYPERLINK("#",""), HYPERLINK(CONCATENATE("#Metadata!", ADDRESS(INDEX($AI$2:$AI$1001,MATCH(ROWS($AG$2:AG612),$AG$2:$AG$1001,0),0), INDEX($AN$1004:$BO$1004,1,MATCH(COLUMNS($AN$1006:BC1006),$AN$1006:$BO$1006,0)))),"Fix")))</f>
        <v>0</v>
      </c>
      <c r="R612" s="4">
        <f>IF(OR(INDEX($AH$2:$AH$1001,MATCH(ROWS($AG$2:AG612),$AG$2:$AG$1001,0),1)&gt;=100000,INDEX($AN$1005:$BO$1005,1,MATCH(COLUMNS($AN$1006:BD1006),$AN$1006:$BO$1006,0))&gt;=100000), " ",IF(INDEX($AN$2:$BO$1001,MATCH(ROWS($AG$2:AG612),$AG$2:$AG$1001,0),MATCH(COLUMNS($AN$1006:BD1006),$AN$1006:$BO$1006,0)), HYPERLINK("#",""), HYPERLINK(CONCATENATE("#Metadata!", ADDRESS(INDEX($AI$2:$AI$1001,MATCH(ROWS($AG$2:AG612),$AG$2:$AG$1001,0),0), INDEX($AN$1004:$BO$1004,1,MATCH(COLUMNS($AN$1006:BD1006),$AN$1006:$BO$1006,0)))),"Fix")))</f>
        <v>0</v>
      </c>
      <c r="S612" s="4">
        <f>IF(OR(INDEX($AH$2:$AH$1001,MATCH(ROWS($AG$2:AG612),$AG$2:$AG$1001,0),1)&gt;=100000,INDEX($AN$1005:$BO$1005,1,MATCH(COLUMNS($AN$1006:BE1006),$AN$1006:$BO$1006,0))&gt;=100000), " ",IF(INDEX($AN$2:$BO$1001,MATCH(ROWS($AG$2:AG612),$AG$2:$AG$1001,0),MATCH(COLUMNS($AN$1006:BE1006),$AN$1006:$BO$1006,0)), HYPERLINK("#",""), HYPERLINK(CONCATENATE("#Metadata!", ADDRESS(INDEX($AI$2:$AI$1001,MATCH(ROWS($AG$2:AG612),$AG$2:$AG$1001,0),0), INDEX($AN$1004:$BO$1004,1,MATCH(COLUMNS($AN$1006:BE1006),$AN$1006:$BO$1006,0)))),"Fix")))</f>
        <v>0</v>
      </c>
      <c r="T612" s="4">
        <f>IF(OR(INDEX($AH$2:$AH$1001,MATCH(ROWS($AG$2:AG612),$AG$2:$AG$1001,0),1)&gt;=100000,INDEX($AN$1005:$BO$1005,1,MATCH(COLUMNS($AN$1006:BF1006),$AN$1006:$BO$1006,0))&gt;=100000), " ",IF(INDEX($AN$2:$BO$1001,MATCH(ROWS($AG$2:AG612),$AG$2:$AG$1001,0),MATCH(COLUMNS($AN$1006:BF1006),$AN$1006:$BO$1006,0)), HYPERLINK("#",""), HYPERLINK(CONCATENATE("#Metadata!", ADDRESS(INDEX($AI$2:$AI$1001,MATCH(ROWS($AG$2:AG612),$AG$2:$AG$1001,0),0), INDEX($AN$1004:$BO$1004,1,MATCH(COLUMNS($AN$1006:BF1006),$AN$1006:$BO$1006,0)))),"Fix")))</f>
        <v>0</v>
      </c>
      <c r="U612" s="4">
        <f>IF(OR(INDEX($AH$2:$AH$1001,MATCH(ROWS($AG$2:AG612),$AG$2:$AG$1001,0),1)&gt;=100000,INDEX($AN$1005:$BO$1005,1,MATCH(COLUMNS($AN$1006:BG1006),$AN$1006:$BO$1006,0))&gt;=100000), " ",IF(INDEX($AN$2:$BO$1001,MATCH(ROWS($AG$2:AG612),$AG$2:$AG$1001,0),MATCH(COLUMNS($AN$1006:BG1006),$AN$1006:$BO$1006,0)), HYPERLINK("#",""), HYPERLINK(CONCATENATE("#Metadata!", ADDRESS(INDEX($AI$2:$AI$1001,MATCH(ROWS($AG$2:AG612),$AG$2:$AG$1001,0),0), INDEX($AN$1004:$BO$1004,1,MATCH(COLUMNS($AN$1006:BG1006),$AN$1006:$BO$1006,0)))),"Fix")))</f>
        <v>0</v>
      </c>
      <c r="V612" s="4">
        <f>IF(OR(INDEX($AH$2:$AH$1001,MATCH(ROWS($AG$2:AG612),$AG$2:$AG$1001,0),1)&gt;=100000,INDEX($AN$1005:$BO$1005,1,MATCH(COLUMNS($AN$1006:BH1006),$AN$1006:$BO$1006,0))&gt;=100000), " ",IF(INDEX($AN$2:$BO$1001,MATCH(ROWS($AG$2:AG612),$AG$2:$AG$1001,0),MATCH(COLUMNS($AN$1006:BH1006),$AN$1006:$BO$1006,0)), HYPERLINK("#",""), HYPERLINK(CONCATENATE("#Metadata!", ADDRESS(INDEX($AI$2:$AI$1001,MATCH(ROWS($AG$2:AG612),$AG$2:$AG$1001,0),0), INDEX($AN$1004:$BO$1004,1,MATCH(COLUMNS($AN$1006:BH1006),$AN$1006:$BO$1006,0)))),"Fix")))</f>
        <v>0</v>
      </c>
      <c r="W612" s="4">
        <f>IF(OR(INDEX($AH$2:$AH$1001,MATCH(ROWS($AG$2:AG612),$AG$2:$AG$1001,0),1)&gt;=100000,INDEX($AN$1005:$BO$1005,1,MATCH(COLUMNS($AN$1006:BI1006),$AN$1006:$BO$1006,0))&gt;=100000), " ",IF(INDEX($AN$2:$BO$1001,MATCH(ROWS($AG$2:AG612),$AG$2:$AG$1001,0),MATCH(COLUMNS($AN$1006:BI1006),$AN$1006:$BO$1006,0)), HYPERLINK("#",""), HYPERLINK(CONCATENATE("#Metadata!", ADDRESS(INDEX($AI$2:$AI$1001,MATCH(ROWS($AG$2:AG612),$AG$2:$AG$1001,0),0), INDEX($AN$1004:$BO$1004,1,MATCH(COLUMNS($AN$1006:BI1006),$AN$1006:$BO$1006,0)))),"Fix")))</f>
        <v>0</v>
      </c>
      <c r="X612" s="4">
        <f>IF(OR(INDEX($AH$2:$AH$1001,MATCH(ROWS($AG$2:AG612),$AG$2:$AG$1001,0),1)&gt;=100000,INDEX($AN$1005:$BO$1005,1,MATCH(COLUMNS($AN$1006:BJ1006),$AN$1006:$BO$1006,0))&gt;=100000), " ",IF(INDEX($AN$2:$BO$1001,MATCH(ROWS($AG$2:AG612),$AG$2:$AG$1001,0),MATCH(COLUMNS($AN$1006:BJ1006),$AN$1006:$BO$1006,0)), HYPERLINK("#",""), HYPERLINK(CONCATENATE("#Metadata!", ADDRESS(INDEX($AI$2:$AI$1001,MATCH(ROWS($AG$2:AG612),$AG$2:$AG$1001,0),0), INDEX($AN$1004:$BO$1004,1,MATCH(COLUMNS($AN$1006:BJ1006),$AN$1006:$BO$1006,0)))),"Fix")))</f>
        <v>0</v>
      </c>
      <c r="Y612" s="4">
        <f>IF(OR(INDEX($AH$2:$AH$1001,MATCH(ROWS($AG$2:AG612),$AG$2:$AG$1001,0),1)&gt;=100000,INDEX($AN$1005:$BO$1005,1,MATCH(COLUMNS($AN$1006:BK1006),$AN$1006:$BO$1006,0))&gt;=100000), " ",IF(INDEX($AN$2:$BO$1001,MATCH(ROWS($AG$2:AG612),$AG$2:$AG$1001,0),MATCH(COLUMNS($AN$1006:BK1006),$AN$1006:$BO$1006,0)), HYPERLINK("#",""), HYPERLINK(CONCATENATE("#Metadata!", ADDRESS(INDEX($AI$2:$AI$1001,MATCH(ROWS($AG$2:AG612),$AG$2:$AG$1001,0),0), INDEX($AN$1004:$BO$1004,1,MATCH(COLUMNS($AN$1006:BK1006),$AN$1006:$BO$1006,0)))),"Fix")))</f>
        <v>0</v>
      </c>
      <c r="Z612" s="4">
        <f>IF(OR(INDEX($AH$2:$AH$1001,MATCH(ROWS($AG$2:AG612),$AG$2:$AG$1001,0),1)&gt;=100000,INDEX($AN$1005:$BO$1005,1,MATCH(COLUMNS($AN$1006:BL1006),$AN$1006:$BO$1006,0))&gt;=100000), " ",IF(INDEX($AN$2:$BO$1001,MATCH(ROWS($AG$2:AG612),$AG$2:$AG$1001,0),MATCH(COLUMNS($AN$1006:BL1006),$AN$1006:$BO$1006,0)), HYPERLINK("#",""), HYPERLINK(CONCATENATE("#Metadata!", ADDRESS(INDEX($AI$2:$AI$1001,MATCH(ROWS($AG$2:AG612),$AG$2:$AG$1001,0),0), INDEX($AN$1004:$BO$1004,1,MATCH(COLUMNS($AN$1006:BL1006),$AN$1006:$BO$1006,0)))),"Fix")))</f>
        <v>0</v>
      </c>
      <c r="AA612" s="4">
        <f>IF(OR(INDEX($AH$2:$AH$1001,MATCH(ROWS($AG$2:AG612),$AG$2:$AG$1001,0),1)&gt;=100000,INDEX($AN$1005:$BO$1005,1,MATCH(COLUMNS($AN$1006:BM1006),$AN$1006:$BO$1006,0))&gt;=100000), " ",IF(INDEX($AN$2:$BO$1001,MATCH(ROWS($AG$2:AG612),$AG$2:$AG$1001,0),MATCH(COLUMNS($AN$1006:BM1006),$AN$1006:$BO$1006,0)), HYPERLINK("#",""), HYPERLINK(CONCATENATE("#Metadata!", ADDRESS(INDEX($AI$2:$AI$1001,MATCH(ROWS($AG$2:AG612),$AG$2:$AG$1001,0),0), INDEX($AN$1004:$BO$1004,1,MATCH(COLUMNS($AN$1006:BM1006),$AN$1006:$BO$1006,0)))),"Fix")))</f>
        <v>0</v>
      </c>
      <c r="AB612" s="4">
        <f>IF(OR(INDEX($AH$2:$AH$1001,MATCH(ROWS($AG$2:AG612),$AG$2:$AG$1001,0),1)&gt;=100000,INDEX($AN$1005:$BO$1005,1,MATCH(COLUMNS($AN$1006:BN1006),$AN$1006:$BO$1006,0))&gt;=100000), " ",IF(INDEX($AN$2:$BO$1001,MATCH(ROWS($AG$2:AG612),$AG$2:$AG$1001,0),MATCH(COLUMNS($AN$1006:BN1006),$AN$1006:$BO$1006,0)), HYPERLINK("#",""), HYPERLINK(CONCATENATE("#Metadata!", ADDRESS(INDEX($AI$2:$AI$1001,MATCH(ROWS($AG$2:AG612),$AG$2:$AG$1001,0),0), INDEX($AN$1004:$BO$1004,1,MATCH(COLUMNS($AN$1006:BN1006),$AN$1006:$BO$1006,0)))),"Fix")))</f>
        <v>0</v>
      </c>
      <c r="AC612" s="4">
        <f>IF(OR(INDEX($AH$2:$AH$1001,MATCH(ROWS($AG$2:AG612),$AG$2:$AG$1001,0),1)&gt;=100000,INDEX($AN$1005:$BO$1005,1,MATCH(COLUMNS($AN$1006:BO1006),$AN$1006:$BO$1006,0))&gt;=100000), " ",IF(INDEX($AN$2:$BO$1001,MATCH(ROWS($AG$2:AG612),$AG$2:$AG$1001,0),MATCH(COLUMNS($AN$1006:BO1006),$AN$1006:$BO$1006,0)), HYPERLINK("#",""), HYPERLINK(CONCATENATE("#Metadata!", ADDRESS(INDEX($AI$2:$AI$1001,MATCH(ROWS($AG$2:AG612),$AG$2:$AG$1001,0),0), INDEX($AN$1004:$BO$1004,1,MATCH(COLUMNS($AN$1006:BO1006),$AN$1006:$BO$1006,0)))),"Fix")))</f>
        <v>0</v>
      </c>
      <c r="AG612">
        <v>0</v>
      </c>
      <c r="AH612">
        <v>0</v>
      </c>
      <c r="AI612">
        <v>0</v>
      </c>
      <c r="AJ612">
        <f>IF(AK612,TRUE,AND(AN612:BO612))</f>
        <v>0</v>
      </c>
      <c r="AK612">
        <f>COUNTBLANK(Metadata!B612:AC612)=COLUMNS(Metadata!B612:AC612)</f>
        <v>0</v>
      </c>
      <c r="AL612">
        <v>0</v>
      </c>
      <c r="AN612">
        <f>AND(IF(Metadata!B612="",FALSE,TRUE),COUNTIF(Metadata!B:B, Metadata!B612) = 1,NOT(ISERROR(SUMPRODUCT(SEARCH(MID(Metadata!B612,ROW(INDIRECT("1:"&amp;LEN(Metadata!B612))), 1),"0123456789abcdefghijklmnopqrstuvwxyzABCDEFGHIJKLMNOPQRSTUVWXYZ.")))))</f>
        <v>0</v>
      </c>
      <c r="AO612">
        <f>IF(Metadata!C612="",FALSE,TRUE)</f>
        <v>0</v>
      </c>
      <c r="AP612">
        <f>IF(Metadata!D612="",FALSE,TRUE)</f>
        <v>0</v>
      </c>
      <c r="AQ612">
        <f>OR(AND(IF(Metadata!E612="",FALSE,TRUE),OR(exact(Metadata!E612,"not collected"),exact(Metadata!E612,"not provided"),exact(Metadata!E612,"restricted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R612">
        <f>IF(Metadata!F612="",FALSE,TRUE)</f>
        <v>0</v>
      </c>
      <c r="AS612">
        <f>OR(AND(IF(Metadata!G612="",FALSE,TRUE),OR(exact(Metadata!G612,"not collected"),exact(Metadata!G612,"not provided"))),AND(IF(Metadata!G612="",FALSE,TRUE),OR(exact(Metadata!G612,"TRUE"),exact(Metadata!G612,"FALSE"))))</f>
        <v>0</v>
      </c>
      <c r="AT612">
        <f>OR(AND(IF(Metadata!H612="",FALSE,TRUE),OR(exact(Metadata!H612,"not collected"),exact(Metadata!H612,"not provided"),exact(Metadata!H612,"restricted access"))),AND(IF(Metadata!H612="",FALSE,ISNUMBER(VALUE(Metadata!H612))),Metadata!H612&gt;=-413.0))</f>
        <v>0</v>
      </c>
      <c r="AU612">
        <f>AND(IF(Metadata!I612="",FALSE,TRUE),exact(Metadata!I612,"meters"))</f>
        <v>0</v>
      </c>
      <c r="AV612">
        <f>AND(IF(Metadata!J612="",FALSE,TRUE),OR(exact(Metadata!J612,"Host-associated"),exact(Metadata!J612,"Free-living")))</f>
        <v>0</v>
      </c>
      <c r="AW612">
        <f>AND(IF(Metadata!K612="",FALSE,TRUE),OR(exact(Metadata!K612,"Animal"),exact(Metadata!K612,"Fungus"),exact(Metadata!K612,"Plant"),exact(Metadata!K612,"Saline"),exact(Metadata!K612,"Non-saline")))</f>
        <v>0</v>
      </c>
      <c r="AX612">
        <f>AND(IF(Metadata!L612="",FALSE,TRUE),OR(exact(Metadata!L612,"Plant secretion"),exact(Metadata!L612,"Plant rhizosphere"),exact(Metadata!L612,"Plant surface"),exact(Metadata!L612,"Plant corpus"),exact(Metadata!L612,"Fungus surface"),exact(Metadata!L612,"Fungus corpus"),exact(Metadata!L612,"Animal surface"),exact(Metadata!L612,"Animal proximal gut"),exact(Metadata!L612,"Animal corpus"),exact(Metadata!L612,"Animal distal gut"),exact(Metadata!L612,"Animal secretion"),exact(Metadata!L612,"Sub-surface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Y612">
        <f>IF(Metadata!M612="",FALSE,TRUE)</f>
        <v>0</v>
      </c>
      <c r="AZ612">
        <f>IF(Metadata!N612="",FALSE,TRUE)</f>
        <v>0</v>
      </c>
      <c r="BA612">
        <f>IF(Metadata!O612="",FALSE,TRUE)</f>
        <v>0</v>
      </c>
      <c r="BB612">
        <f>OR(AND(IF(Metadata!P612="",FALSE,TRUE),OR(exact(Metadata!P612,"not collected"),exact(Metadata!P612,"not provided"),exact(Metadata!P612,"restricted access"))),AND(IF(Metadata!P612="",FALSE,TRUE),OR(exact(Metadata!P612,"air"),exact(Metadata!P612,"built environment"),exact(Metadata!P612,"host-associated"),exact(Metadata!P612,"human-associated"),exact(Metadata!P612,"human-skin"),exact(Metadata!P612,"human-oral"),exact(Metadata!P612,"human-gut"),exact(Metadata!P612,"human-vaginal"),exact(Metadata!P612,"microbial mat/biofilm"),exact(Metadata!P612,"misc environment"),exact(Metadata!P612,"plant-associated"),exact(Metadata!P612,"sediment"),exact(Metadata!P612,"soil"),exact(Metadata!P612,"wastewater/sludge"),exact(Metadata!P612,"water"))))</f>
        <v>0</v>
      </c>
      <c r="BC612">
        <f>IF(Metadata!Q612="",FALSE,TRUE)</f>
        <v>0</v>
      </c>
      <c r="BD612">
        <f>IF(Metadata!R612="",FALSE,TRUE)</f>
        <v>0</v>
      </c>
      <c r="BE612">
        <f>OR(AND(IF(Metadata!S612="",FALSE,TRUE),OR(exact(Metadata!S612,"not collected"),exact(Metadata!S612,"not provided"),exact(Metadata!S612,"restricted access"))),AND(IF(Metadata!S612="",FALSE,ISNUMBER(VALUE(Metadata!S612))),Metadata!S612&gt;=-90.00,Metadata!S612&lt;=90.00))</f>
        <v>0</v>
      </c>
      <c r="BF612">
        <f>AND(IF(Metadata!T612="",FALSE,TRUE),exact(Metadata!T612,"Decimal degrees"))</f>
        <v>0</v>
      </c>
      <c r="BG612">
        <f>OR(AND(IF(Metadata!U612="",FALSE,TRUE),OR(exact(Metadata!U612,"not collected"),exact(Metadata!U612,"not provided"),exact(Metadata!U612,"restricted access"))),AND(IF(Metadata!U612="",FALSE,ISNUMBER(VALUE(Metadata!U612))),Metadata!U612&gt;=-180.00,Metadata!U612&lt;=180.00))</f>
        <v>0</v>
      </c>
      <c r="BH612">
        <f>AND(IF(Metadata!V612="",FALSE,TRUE),exact(Metadata!V612,"Decimal degrees"))</f>
        <v>0</v>
      </c>
      <c r="BI612">
        <f>IF(Metadata!W612="",FALSE,TRUE)</f>
        <v>0</v>
      </c>
      <c r="BJ612">
        <f>OR(AND(IF(Metadata!X612="",FALSE,TRUE),OR(exact(Metadata!X612,"not collected"),exact(Metadata!X612,"not provided"),exact(Metadata!X612,"restricted access"))),AND(IF(Metadata!X612="",FALSE,TRUE),OR(exact(Metadata!X612,"TRUE"),exact(Metadata!X612,"FALSE"))))</f>
        <v>0</v>
      </c>
      <c r="BK612">
        <f>AND(IF(Metadata!Y612="",FALSE,TRUE),exact(Metadata!Y612,"other"))</f>
        <v>0</v>
      </c>
      <c r="BL612">
        <f>IF(Metadata!Z612="",FALSE,TRUE)</f>
        <v>0</v>
      </c>
      <c r="BM612">
        <f>OR(AND(IF(Metadata!AA612="",FALSE,TRUE),OR(exact(Metadata!AA612,"not collected"),exact(Metadata!AA612,"not provided"))),AND(IF(Metadata!AA612="",FALSE,IF(ISERROR(INT(Metadata!AA612)),FALSE,INT(Metadata!AA612)=Metadata!AA612)),Metadata!AA612&gt;0))</f>
        <v>0</v>
      </c>
      <c r="BN612">
        <f>AND(IF(Metadata!AB612="",FALSE,TRUE),exact(Metadata!AB612,"Not applicable"))</f>
        <v>0</v>
      </c>
      <c r="BO612">
        <f>IF(Metadata!AC612="",FALSE,TRUE)</f>
        <v>0</v>
      </c>
    </row>
    <row r="613" spans="1:67">
      <c r="A613" s="5">
        <f>IF(B613=" "," ",HYPERLINK(CONCATENATE("#metadata!",ADDRESS(INDEX($AI$2:$AI$1001,MATCH(ROWS($AG$2:AG613),$AG$2:$AG$1001,0),0),1)),INDEX($AL$2:$AL$1001,MATCH(ROWS($AG$2:AG613),$AG$2:$AG$1001,0),0)))</f>
        <v>0</v>
      </c>
      <c r="B613" s="4">
        <f>IF(OR(INDEX($AH$2:$AH$1001,MATCH(ROWS($AG$2:AG613),$AG$2:$AG$1001,0),1)&gt;=100000,INDEX($AN$1005:$BO$1005,1,MATCH(COLUMNS($AN$1006:AN1006),$AN$1006:$BO$1006,0))&gt;=100000), " ",IF(INDEX($AN$2:$BO$1001,MATCH(ROWS($AG$2:AG613),$AG$2:$AG$1001,0),MATCH(COLUMNS($AN$1006:AN1006),$AN$1006:$BO$1006,0)), HYPERLINK("#",""), HYPERLINK(CONCATENATE("#Metadata!", ADDRESS(INDEX($AI$2:$AI$1001,MATCH(ROWS($AG$2:AG613),$AG$2:$AG$1001,0),0), INDEX($AN$1004:$BO$1004,1,MATCH(COLUMNS($AN$1006:AN1006),$AN$1006:$BO$1006,0)))),"Fix")))</f>
        <v>0</v>
      </c>
      <c r="C613" s="4">
        <f>IF(OR(INDEX($AH$2:$AH$1001,MATCH(ROWS($AG$2:AG613),$AG$2:$AG$1001,0),1)&gt;=100000,INDEX($AN$1005:$BO$1005,1,MATCH(COLUMNS($AN$1006:AO1006),$AN$1006:$BO$1006,0))&gt;=100000), " ",IF(INDEX($AN$2:$BO$1001,MATCH(ROWS($AG$2:AG613),$AG$2:$AG$1001,0),MATCH(COLUMNS($AN$1006:AO1006),$AN$1006:$BO$1006,0)), HYPERLINK("#",""), HYPERLINK(CONCATENATE("#Metadata!", ADDRESS(INDEX($AI$2:$AI$1001,MATCH(ROWS($AG$2:AG613),$AG$2:$AG$1001,0),0), INDEX($AN$1004:$BO$1004,1,MATCH(COLUMNS($AN$1006:AO1006),$AN$1006:$BO$1006,0)))),"Fix")))</f>
        <v>0</v>
      </c>
      <c r="D613" s="4">
        <f>IF(OR(INDEX($AH$2:$AH$1001,MATCH(ROWS($AG$2:AG613),$AG$2:$AG$1001,0),1)&gt;=100000,INDEX($AN$1005:$BO$1005,1,MATCH(COLUMNS($AN$1006:AP1006),$AN$1006:$BO$1006,0))&gt;=100000), " ",IF(INDEX($AN$2:$BO$1001,MATCH(ROWS($AG$2:AG613),$AG$2:$AG$1001,0),MATCH(COLUMNS($AN$1006:AP1006),$AN$1006:$BO$1006,0)), HYPERLINK("#",""), HYPERLINK(CONCATENATE("#Metadata!", ADDRESS(INDEX($AI$2:$AI$1001,MATCH(ROWS($AG$2:AG613),$AG$2:$AG$1001,0),0), INDEX($AN$1004:$BO$1004,1,MATCH(COLUMNS($AN$1006:AP1006),$AN$1006:$BO$1006,0)))),"Fix")))</f>
        <v>0</v>
      </c>
      <c r="E613" s="4">
        <f>IF(OR(INDEX($AH$2:$AH$1001,MATCH(ROWS($AG$2:AG613),$AG$2:$AG$1001,0),1)&gt;=100000,INDEX($AN$1005:$BO$1005,1,MATCH(COLUMNS($AN$1006:AQ1006),$AN$1006:$BO$1006,0))&gt;=100000), " ",IF(INDEX($AN$2:$BO$1001,MATCH(ROWS($AG$2:AG613),$AG$2:$AG$1001,0),MATCH(COLUMNS($AN$1006:AQ1006),$AN$1006:$BO$1006,0)), HYPERLINK("#",""), HYPERLINK(CONCATENATE("#Metadata!", ADDRESS(INDEX($AI$2:$AI$1001,MATCH(ROWS($AG$2:AG613),$AG$2:$AG$1001,0),0), INDEX($AN$1004:$BO$1004,1,MATCH(COLUMNS($AN$1006:AQ1006),$AN$1006:$BO$1006,0)))),"Fix")))</f>
        <v>0</v>
      </c>
      <c r="F613" s="4">
        <f>IF(OR(INDEX($AH$2:$AH$1001,MATCH(ROWS($AG$2:AG613),$AG$2:$AG$1001,0),1)&gt;=100000,INDEX($AN$1005:$BO$1005,1,MATCH(COLUMNS($AN$1006:AR1006),$AN$1006:$BO$1006,0))&gt;=100000), " ",IF(INDEX($AN$2:$BO$1001,MATCH(ROWS($AG$2:AG613),$AG$2:$AG$1001,0),MATCH(COLUMNS($AN$1006:AR1006),$AN$1006:$BO$1006,0)), HYPERLINK("#",""), HYPERLINK(CONCATENATE("#Metadata!", ADDRESS(INDEX($AI$2:$AI$1001,MATCH(ROWS($AG$2:AG613),$AG$2:$AG$1001,0),0), INDEX($AN$1004:$BO$1004,1,MATCH(COLUMNS($AN$1006:AR1006),$AN$1006:$BO$1006,0)))),"Fix")))</f>
        <v>0</v>
      </c>
      <c r="G613" s="4">
        <f>IF(OR(INDEX($AH$2:$AH$1001,MATCH(ROWS($AG$2:AG613),$AG$2:$AG$1001,0),1)&gt;=100000,INDEX($AN$1005:$BO$1005,1,MATCH(COLUMNS($AN$1006:AS1006),$AN$1006:$BO$1006,0))&gt;=100000), " ",IF(INDEX($AN$2:$BO$1001,MATCH(ROWS($AG$2:AG613),$AG$2:$AG$1001,0),MATCH(COLUMNS($AN$1006:AS1006),$AN$1006:$BO$1006,0)), HYPERLINK("#",""), HYPERLINK(CONCATENATE("#Metadata!", ADDRESS(INDEX($AI$2:$AI$1001,MATCH(ROWS($AG$2:AG613),$AG$2:$AG$1001,0),0), INDEX($AN$1004:$BO$1004,1,MATCH(COLUMNS($AN$1006:AS1006),$AN$1006:$BO$1006,0)))),"Fix")))</f>
        <v>0</v>
      </c>
      <c r="H613" s="4">
        <f>IF(OR(INDEX($AH$2:$AH$1001,MATCH(ROWS($AG$2:AG613),$AG$2:$AG$1001,0),1)&gt;=100000,INDEX($AN$1005:$BO$1005,1,MATCH(COLUMNS($AN$1006:AT1006),$AN$1006:$BO$1006,0))&gt;=100000), " ",IF(INDEX($AN$2:$BO$1001,MATCH(ROWS($AG$2:AG613),$AG$2:$AG$1001,0),MATCH(COLUMNS($AN$1006:AT1006),$AN$1006:$BO$1006,0)), HYPERLINK("#",""), HYPERLINK(CONCATENATE("#Metadata!", ADDRESS(INDEX($AI$2:$AI$1001,MATCH(ROWS($AG$2:AG613),$AG$2:$AG$1001,0),0), INDEX($AN$1004:$BO$1004,1,MATCH(COLUMNS($AN$1006:AT1006),$AN$1006:$BO$1006,0)))),"Fix")))</f>
        <v>0</v>
      </c>
      <c r="I613" s="4">
        <f>IF(OR(INDEX($AH$2:$AH$1001,MATCH(ROWS($AG$2:AG613),$AG$2:$AG$1001,0),1)&gt;=100000,INDEX($AN$1005:$BO$1005,1,MATCH(COLUMNS($AN$1006:AU1006),$AN$1006:$BO$1006,0))&gt;=100000), " ",IF(INDEX($AN$2:$BO$1001,MATCH(ROWS($AG$2:AG613),$AG$2:$AG$1001,0),MATCH(COLUMNS($AN$1006:AU1006),$AN$1006:$BO$1006,0)), HYPERLINK("#",""), HYPERLINK(CONCATENATE("#Metadata!", ADDRESS(INDEX($AI$2:$AI$1001,MATCH(ROWS($AG$2:AG613),$AG$2:$AG$1001,0),0), INDEX($AN$1004:$BO$1004,1,MATCH(COLUMNS($AN$1006:AU1006),$AN$1006:$BO$1006,0)))),"Fix")))</f>
        <v>0</v>
      </c>
      <c r="J613" s="4">
        <f>IF(OR(INDEX($AH$2:$AH$1001,MATCH(ROWS($AG$2:AG613),$AG$2:$AG$1001,0),1)&gt;=100000,INDEX($AN$1005:$BO$1005,1,MATCH(COLUMNS($AN$1006:AV1006),$AN$1006:$BO$1006,0))&gt;=100000), " ",IF(INDEX($AN$2:$BO$1001,MATCH(ROWS($AG$2:AG613),$AG$2:$AG$1001,0),MATCH(COLUMNS($AN$1006:AV1006),$AN$1006:$BO$1006,0)), HYPERLINK("#",""), HYPERLINK(CONCATENATE("#Metadata!", ADDRESS(INDEX($AI$2:$AI$1001,MATCH(ROWS($AG$2:AG613),$AG$2:$AG$1001,0),0), INDEX($AN$1004:$BO$1004,1,MATCH(COLUMNS($AN$1006:AV1006),$AN$1006:$BO$1006,0)))),"Fix")))</f>
        <v>0</v>
      </c>
      <c r="K613" s="4">
        <f>IF(OR(INDEX($AH$2:$AH$1001,MATCH(ROWS($AG$2:AG613),$AG$2:$AG$1001,0),1)&gt;=100000,INDEX($AN$1005:$BO$1005,1,MATCH(COLUMNS($AN$1006:AW1006),$AN$1006:$BO$1006,0))&gt;=100000), " ",IF(INDEX($AN$2:$BO$1001,MATCH(ROWS($AG$2:AG613),$AG$2:$AG$1001,0),MATCH(COLUMNS($AN$1006:AW1006),$AN$1006:$BO$1006,0)), HYPERLINK("#",""), HYPERLINK(CONCATENATE("#Metadata!", ADDRESS(INDEX($AI$2:$AI$1001,MATCH(ROWS($AG$2:AG613),$AG$2:$AG$1001,0),0), INDEX($AN$1004:$BO$1004,1,MATCH(COLUMNS($AN$1006:AW1006),$AN$1006:$BO$1006,0)))),"Fix")))</f>
        <v>0</v>
      </c>
      <c r="L613" s="4">
        <f>IF(OR(INDEX($AH$2:$AH$1001,MATCH(ROWS($AG$2:AG613),$AG$2:$AG$1001,0),1)&gt;=100000,INDEX($AN$1005:$BO$1005,1,MATCH(COLUMNS($AN$1006:AX1006),$AN$1006:$BO$1006,0))&gt;=100000), " ",IF(INDEX($AN$2:$BO$1001,MATCH(ROWS($AG$2:AG613),$AG$2:$AG$1001,0),MATCH(COLUMNS($AN$1006:AX1006),$AN$1006:$BO$1006,0)), HYPERLINK("#",""), HYPERLINK(CONCATENATE("#Metadata!", ADDRESS(INDEX($AI$2:$AI$1001,MATCH(ROWS($AG$2:AG613),$AG$2:$AG$1001,0),0), INDEX($AN$1004:$BO$1004,1,MATCH(COLUMNS($AN$1006:AX1006),$AN$1006:$BO$1006,0)))),"Fix")))</f>
        <v>0</v>
      </c>
      <c r="M613" s="4">
        <f>IF(OR(INDEX($AH$2:$AH$1001,MATCH(ROWS($AG$2:AG613),$AG$2:$AG$1001,0),1)&gt;=100000,INDEX($AN$1005:$BO$1005,1,MATCH(COLUMNS($AN$1006:AY1006),$AN$1006:$BO$1006,0))&gt;=100000), " ",IF(INDEX($AN$2:$BO$1001,MATCH(ROWS($AG$2:AG613),$AG$2:$AG$1001,0),MATCH(COLUMNS($AN$1006:AY1006),$AN$1006:$BO$1006,0)), HYPERLINK("#",""), HYPERLINK(CONCATENATE("#Metadata!", ADDRESS(INDEX($AI$2:$AI$1001,MATCH(ROWS($AG$2:AG613),$AG$2:$AG$1001,0),0), INDEX($AN$1004:$BO$1004,1,MATCH(COLUMNS($AN$1006:AY1006),$AN$1006:$BO$1006,0)))),"Fix")))</f>
        <v>0</v>
      </c>
      <c r="N613" s="4">
        <f>IF(OR(INDEX($AH$2:$AH$1001,MATCH(ROWS($AG$2:AG613),$AG$2:$AG$1001,0),1)&gt;=100000,INDEX($AN$1005:$BO$1005,1,MATCH(COLUMNS($AN$1006:AZ1006),$AN$1006:$BO$1006,0))&gt;=100000), " ",IF(INDEX($AN$2:$BO$1001,MATCH(ROWS($AG$2:AG613),$AG$2:$AG$1001,0),MATCH(COLUMNS($AN$1006:AZ1006),$AN$1006:$BO$1006,0)), HYPERLINK("#",""), HYPERLINK(CONCATENATE("#Metadata!", ADDRESS(INDEX($AI$2:$AI$1001,MATCH(ROWS($AG$2:AG613),$AG$2:$AG$1001,0),0), INDEX($AN$1004:$BO$1004,1,MATCH(COLUMNS($AN$1006:AZ1006),$AN$1006:$BO$1006,0)))),"Fix")))</f>
        <v>0</v>
      </c>
      <c r="O613" s="4">
        <f>IF(OR(INDEX($AH$2:$AH$1001,MATCH(ROWS($AG$2:AG613),$AG$2:$AG$1001,0),1)&gt;=100000,INDEX($AN$1005:$BO$1005,1,MATCH(COLUMNS($AN$1006:BA1006),$AN$1006:$BO$1006,0))&gt;=100000), " ",IF(INDEX($AN$2:$BO$1001,MATCH(ROWS($AG$2:AG613),$AG$2:$AG$1001,0),MATCH(COLUMNS($AN$1006:BA1006),$AN$1006:$BO$1006,0)), HYPERLINK("#",""), HYPERLINK(CONCATENATE("#Metadata!", ADDRESS(INDEX($AI$2:$AI$1001,MATCH(ROWS($AG$2:AG613),$AG$2:$AG$1001,0),0), INDEX($AN$1004:$BO$1004,1,MATCH(COLUMNS($AN$1006:BA1006),$AN$1006:$BO$1006,0)))),"Fix")))</f>
        <v>0</v>
      </c>
      <c r="P613" s="4">
        <f>IF(OR(INDEX($AH$2:$AH$1001,MATCH(ROWS($AG$2:AG613),$AG$2:$AG$1001,0),1)&gt;=100000,INDEX($AN$1005:$BO$1005,1,MATCH(COLUMNS($AN$1006:BB1006),$AN$1006:$BO$1006,0))&gt;=100000), " ",IF(INDEX($AN$2:$BO$1001,MATCH(ROWS($AG$2:AG613),$AG$2:$AG$1001,0),MATCH(COLUMNS($AN$1006:BB1006),$AN$1006:$BO$1006,0)), HYPERLINK("#",""), HYPERLINK(CONCATENATE("#Metadata!", ADDRESS(INDEX($AI$2:$AI$1001,MATCH(ROWS($AG$2:AG613),$AG$2:$AG$1001,0),0), INDEX($AN$1004:$BO$1004,1,MATCH(COLUMNS($AN$1006:BB1006),$AN$1006:$BO$1006,0)))),"Fix")))</f>
        <v>0</v>
      </c>
      <c r="Q613" s="4">
        <f>IF(OR(INDEX($AH$2:$AH$1001,MATCH(ROWS($AG$2:AG613),$AG$2:$AG$1001,0),1)&gt;=100000,INDEX($AN$1005:$BO$1005,1,MATCH(COLUMNS($AN$1006:BC1006),$AN$1006:$BO$1006,0))&gt;=100000), " ",IF(INDEX($AN$2:$BO$1001,MATCH(ROWS($AG$2:AG613),$AG$2:$AG$1001,0),MATCH(COLUMNS($AN$1006:BC1006),$AN$1006:$BO$1006,0)), HYPERLINK("#",""), HYPERLINK(CONCATENATE("#Metadata!", ADDRESS(INDEX($AI$2:$AI$1001,MATCH(ROWS($AG$2:AG613),$AG$2:$AG$1001,0),0), INDEX($AN$1004:$BO$1004,1,MATCH(COLUMNS($AN$1006:BC1006),$AN$1006:$BO$1006,0)))),"Fix")))</f>
        <v>0</v>
      </c>
      <c r="R613" s="4">
        <f>IF(OR(INDEX($AH$2:$AH$1001,MATCH(ROWS($AG$2:AG613),$AG$2:$AG$1001,0),1)&gt;=100000,INDEX($AN$1005:$BO$1005,1,MATCH(COLUMNS($AN$1006:BD1006),$AN$1006:$BO$1006,0))&gt;=100000), " ",IF(INDEX($AN$2:$BO$1001,MATCH(ROWS($AG$2:AG613),$AG$2:$AG$1001,0),MATCH(COLUMNS($AN$1006:BD1006),$AN$1006:$BO$1006,0)), HYPERLINK("#",""), HYPERLINK(CONCATENATE("#Metadata!", ADDRESS(INDEX($AI$2:$AI$1001,MATCH(ROWS($AG$2:AG613),$AG$2:$AG$1001,0),0), INDEX($AN$1004:$BO$1004,1,MATCH(COLUMNS($AN$1006:BD1006),$AN$1006:$BO$1006,0)))),"Fix")))</f>
        <v>0</v>
      </c>
      <c r="S613" s="4">
        <f>IF(OR(INDEX($AH$2:$AH$1001,MATCH(ROWS($AG$2:AG613),$AG$2:$AG$1001,0),1)&gt;=100000,INDEX($AN$1005:$BO$1005,1,MATCH(COLUMNS($AN$1006:BE1006),$AN$1006:$BO$1006,0))&gt;=100000), " ",IF(INDEX($AN$2:$BO$1001,MATCH(ROWS($AG$2:AG613),$AG$2:$AG$1001,0),MATCH(COLUMNS($AN$1006:BE1006),$AN$1006:$BO$1006,0)), HYPERLINK("#",""), HYPERLINK(CONCATENATE("#Metadata!", ADDRESS(INDEX($AI$2:$AI$1001,MATCH(ROWS($AG$2:AG613),$AG$2:$AG$1001,0),0), INDEX($AN$1004:$BO$1004,1,MATCH(COLUMNS($AN$1006:BE1006),$AN$1006:$BO$1006,0)))),"Fix")))</f>
        <v>0</v>
      </c>
      <c r="T613" s="4">
        <f>IF(OR(INDEX($AH$2:$AH$1001,MATCH(ROWS($AG$2:AG613),$AG$2:$AG$1001,0),1)&gt;=100000,INDEX($AN$1005:$BO$1005,1,MATCH(COLUMNS($AN$1006:BF1006),$AN$1006:$BO$1006,0))&gt;=100000), " ",IF(INDEX($AN$2:$BO$1001,MATCH(ROWS($AG$2:AG613),$AG$2:$AG$1001,0),MATCH(COLUMNS($AN$1006:BF1006),$AN$1006:$BO$1006,0)), HYPERLINK("#",""), HYPERLINK(CONCATENATE("#Metadata!", ADDRESS(INDEX($AI$2:$AI$1001,MATCH(ROWS($AG$2:AG613),$AG$2:$AG$1001,0),0), INDEX($AN$1004:$BO$1004,1,MATCH(COLUMNS($AN$1006:BF1006),$AN$1006:$BO$1006,0)))),"Fix")))</f>
        <v>0</v>
      </c>
      <c r="U613" s="4">
        <f>IF(OR(INDEX($AH$2:$AH$1001,MATCH(ROWS($AG$2:AG613),$AG$2:$AG$1001,0),1)&gt;=100000,INDEX($AN$1005:$BO$1005,1,MATCH(COLUMNS($AN$1006:BG1006),$AN$1006:$BO$1006,0))&gt;=100000), " ",IF(INDEX($AN$2:$BO$1001,MATCH(ROWS($AG$2:AG613),$AG$2:$AG$1001,0),MATCH(COLUMNS($AN$1006:BG1006),$AN$1006:$BO$1006,0)), HYPERLINK("#",""), HYPERLINK(CONCATENATE("#Metadata!", ADDRESS(INDEX($AI$2:$AI$1001,MATCH(ROWS($AG$2:AG613),$AG$2:$AG$1001,0),0), INDEX($AN$1004:$BO$1004,1,MATCH(COLUMNS($AN$1006:BG1006),$AN$1006:$BO$1006,0)))),"Fix")))</f>
        <v>0</v>
      </c>
      <c r="V613" s="4">
        <f>IF(OR(INDEX($AH$2:$AH$1001,MATCH(ROWS($AG$2:AG613),$AG$2:$AG$1001,0),1)&gt;=100000,INDEX($AN$1005:$BO$1005,1,MATCH(COLUMNS($AN$1006:BH1006),$AN$1006:$BO$1006,0))&gt;=100000), " ",IF(INDEX($AN$2:$BO$1001,MATCH(ROWS($AG$2:AG613),$AG$2:$AG$1001,0),MATCH(COLUMNS($AN$1006:BH1006),$AN$1006:$BO$1006,0)), HYPERLINK("#",""), HYPERLINK(CONCATENATE("#Metadata!", ADDRESS(INDEX($AI$2:$AI$1001,MATCH(ROWS($AG$2:AG613),$AG$2:$AG$1001,0),0), INDEX($AN$1004:$BO$1004,1,MATCH(COLUMNS($AN$1006:BH1006),$AN$1006:$BO$1006,0)))),"Fix")))</f>
        <v>0</v>
      </c>
      <c r="W613" s="4">
        <f>IF(OR(INDEX($AH$2:$AH$1001,MATCH(ROWS($AG$2:AG613),$AG$2:$AG$1001,0),1)&gt;=100000,INDEX($AN$1005:$BO$1005,1,MATCH(COLUMNS($AN$1006:BI1006),$AN$1006:$BO$1006,0))&gt;=100000), " ",IF(INDEX($AN$2:$BO$1001,MATCH(ROWS($AG$2:AG613),$AG$2:$AG$1001,0),MATCH(COLUMNS($AN$1006:BI1006),$AN$1006:$BO$1006,0)), HYPERLINK("#",""), HYPERLINK(CONCATENATE("#Metadata!", ADDRESS(INDEX($AI$2:$AI$1001,MATCH(ROWS($AG$2:AG613),$AG$2:$AG$1001,0),0), INDEX($AN$1004:$BO$1004,1,MATCH(COLUMNS($AN$1006:BI1006),$AN$1006:$BO$1006,0)))),"Fix")))</f>
        <v>0</v>
      </c>
      <c r="X613" s="4">
        <f>IF(OR(INDEX($AH$2:$AH$1001,MATCH(ROWS($AG$2:AG613),$AG$2:$AG$1001,0),1)&gt;=100000,INDEX($AN$1005:$BO$1005,1,MATCH(COLUMNS($AN$1006:BJ1006),$AN$1006:$BO$1006,0))&gt;=100000), " ",IF(INDEX($AN$2:$BO$1001,MATCH(ROWS($AG$2:AG613),$AG$2:$AG$1001,0),MATCH(COLUMNS($AN$1006:BJ1006),$AN$1006:$BO$1006,0)), HYPERLINK("#",""), HYPERLINK(CONCATENATE("#Metadata!", ADDRESS(INDEX($AI$2:$AI$1001,MATCH(ROWS($AG$2:AG613),$AG$2:$AG$1001,0),0), INDEX($AN$1004:$BO$1004,1,MATCH(COLUMNS($AN$1006:BJ1006),$AN$1006:$BO$1006,0)))),"Fix")))</f>
        <v>0</v>
      </c>
      <c r="Y613" s="4">
        <f>IF(OR(INDEX($AH$2:$AH$1001,MATCH(ROWS($AG$2:AG613),$AG$2:$AG$1001,0),1)&gt;=100000,INDEX($AN$1005:$BO$1005,1,MATCH(COLUMNS($AN$1006:BK1006),$AN$1006:$BO$1006,0))&gt;=100000), " ",IF(INDEX($AN$2:$BO$1001,MATCH(ROWS($AG$2:AG613),$AG$2:$AG$1001,0),MATCH(COLUMNS($AN$1006:BK1006),$AN$1006:$BO$1006,0)), HYPERLINK("#",""), HYPERLINK(CONCATENATE("#Metadata!", ADDRESS(INDEX($AI$2:$AI$1001,MATCH(ROWS($AG$2:AG613),$AG$2:$AG$1001,0),0), INDEX($AN$1004:$BO$1004,1,MATCH(COLUMNS($AN$1006:BK1006),$AN$1006:$BO$1006,0)))),"Fix")))</f>
        <v>0</v>
      </c>
      <c r="Z613" s="4">
        <f>IF(OR(INDEX($AH$2:$AH$1001,MATCH(ROWS($AG$2:AG613),$AG$2:$AG$1001,0),1)&gt;=100000,INDEX($AN$1005:$BO$1005,1,MATCH(COLUMNS($AN$1006:BL1006),$AN$1006:$BO$1006,0))&gt;=100000), " ",IF(INDEX($AN$2:$BO$1001,MATCH(ROWS($AG$2:AG613),$AG$2:$AG$1001,0),MATCH(COLUMNS($AN$1006:BL1006),$AN$1006:$BO$1006,0)), HYPERLINK("#",""), HYPERLINK(CONCATENATE("#Metadata!", ADDRESS(INDEX($AI$2:$AI$1001,MATCH(ROWS($AG$2:AG613),$AG$2:$AG$1001,0),0), INDEX($AN$1004:$BO$1004,1,MATCH(COLUMNS($AN$1006:BL1006),$AN$1006:$BO$1006,0)))),"Fix")))</f>
        <v>0</v>
      </c>
      <c r="AA613" s="4">
        <f>IF(OR(INDEX($AH$2:$AH$1001,MATCH(ROWS($AG$2:AG613),$AG$2:$AG$1001,0),1)&gt;=100000,INDEX($AN$1005:$BO$1005,1,MATCH(COLUMNS($AN$1006:BM1006),$AN$1006:$BO$1006,0))&gt;=100000), " ",IF(INDEX($AN$2:$BO$1001,MATCH(ROWS($AG$2:AG613),$AG$2:$AG$1001,0),MATCH(COLUMNS($AN$1006:BM1006),$AN$1006:$BO$1006,0)), HYPERLINK("#",""), HYPERLINK(CONCATENATE("#Metadata!", ADDRESS(INDEX($AI$2:$AI$1001,MATCH(ROWS($AG$2:AG613),$AG$2:$AG$1001,0),0), INDEX($AN$1004:$BO$1004,1,MATCH(COLUMNS($AN$1006:BM1006),$AN$1006:$BO$1006,0)))),"Fix")))</f>
        <v>0</v>
      </c>
      <c r="AB613" s="4">
        <f>IF(OR(INDEX($AH$2:$AH$1001,MATCH(ROWS($AG$2:AG613),$AG$2:$AG$1001,0),1)&gt;=100000,INDEX($AN$1005:$BO$1005,1,MATCH(COLUMNS($AN$1006:BN1006),$AN$1006:$BO$1006,0))&gt;=100000), " ",IF(INDEX($AN$2:$BO$1001,MATCH(ROWS($AG$2:AG613),$AG$2:$AG$1001,0),MATCH(COLUMNS($AN$1006:BN1006),$AN$1006:$BO$1006,0)), HYPERLINK("#",""), HYPERLINK(CONCATENATE("#Metadata!", ADDRESS(INDEX($AI$2:$AI$1001,MATCH(ROWS($AG$2:AG613),$AG$2:$AG$1001,0),0), INDEX($AN$1004:$BO$1004,1,MATCH(COLUMNS($AN$1006:BN1006),$AN$1006:$BO$1006,0)))),"Fix")))</f>
        <v>0</v>
      </c>
      <c r="AC613" s="4">
        <f>IF(OR(INDEX($AH$2:$AH$1001,MATCH(ROWS($AG$2:AG613),$AG$2:$AG$1001,0),1)&gt;=100000,INDEX($AN$1005:$BO$1005,1,MATCH(COLUMNS($AN$1006:BO1006),$AN$1006:$BO$1006,0))&gt;=100000), " ",IF(INDEX($AN$2:$BO$1001,MATCH(ROWS($AG$2:AG613),$AG$2:$AG$1001,0),MATCH(COLUMNS($AN$1006:BO1006),$AN$1006:$BO$1006,0)), HYPERLINK("#",""), HYPERLINK(CONCATENATE("#Metadata!", ADDRESS(INDEX($AI$2:$AI$1001,MATCH(ROWS($AG$2:AG613),$AG$2:$AG$1001,0),0), INDEX($AN$1004:$BO$1004,1,MATCH(COLUMNS($AN$1006:BO1006),$AN$1006:$BO$1006,0)))),"Fix")))</f>
        <v>0</v>
      </c>
      <c r="AG613">
        <v>0</v>
      </c>
      <c r="AH613">
        <v>0</v>
      </c>
      <c r="AI613">
        <v>0</v>
      </c>
      <c r="AJ613">
        <f>IF(AK613,TRUE,AND(AN613:BO613))</f>
        <v>0</v>
      </c>
      <c r="AK613">
        <f>COUNTBLANK(Metadata!B613:AC613)=COLUMNS(Metadata!B613:AC613)</f>
        <v>0</v>
      </c>
      <c r="AL613">
        <v>0</v>
      </c>
      <c r="AN613">
        <f>AND(IF(Metadata!B613="",FALSE,TRUE),COUNTIF(Metadata!B:B, Metadata!B613) = 1,NOT(ISERROR(SUMPRODUCT(SEARCH(MID(Metadata!B613,ROW(INDIRECT("1:"&amp;LEN(Metadata!B613))), 1),"0123456789abcdefghijklmnopqrstuvwxyzABCDEFGHIJKLMNOPQRSTUVWXYZ.")))))</f>
        <v>0</v>
      </c>
      <c r="AO613">
        <f>IF(Metadata!C613="",FALSE,TRUE)</f>
        <v>0</v>
      </c>
      <c r="AP613">
        <f>IF(Metadata!D613="",FALSE,TRUE)</f>
        <v>0</v>
      </c>
      <c r="AQ613">
        <f>OR(AND(IF(Metadata!E613="",FALSE,TRUE),OR(exact(Metadata!E613,"not collected"),exact(Metadata!E613,"not provided"),exact(Metadata!E613,"restricted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R613">
        <f>IF(Metadata!F613="",FALSE,TRUE)</f>
        <v>0</v>
      </c>
      <c r="AS613">
        <f>OR(AND(IF(Metadata!G613="",FALSE,TRUE),OR(exact(Metadata!G613,"not collected"),exact(Metadata!G613,"not provided"))),AND(IF(Metadata!G613="",FALSE,TRUE),OR(exact(Metadata!G613,"TRUE"),exact(Metadata!G613,"FALSE"))))</f>
        <v>0</v>
      </c>
      <c r="AT613">
        <f>OR(AND(IF(Metadata!H613="",FALSE,TRUE),OR(exact(Metadata!H613,"not collected"),exact(Metadata!H613,"not provided"),exact(Metadata!H613,"restricted access"))),AND(IF(Metadata!H613="",FALSE,ISNUMBER(VALUE(Metadata!H613))),Metadata!H613&gt;=-413.0))</f>
        <v>0</v>
      </c>
      <c r="AU613">
        <f>AND(IF(Metadata!I613="",FALSE,TRUE),exact(Metadata!I613,"meters"))</f>
        <v>0</v>
      </c>
      <c r="AV613">
        <f>AND(IF(Metadata!J613="",FALSE,TRUE),OR(exact(Metadata!J613,"Host-associated"),exact(Metadata!J613,"Free-living")))</f>
        <v>0</v>
      </c>
      <c r="AW613">
        <f>AND(IF(Metadata!K613="",FALSE,TRUE),OR(exact(Metadata!K613,"Animal"),exact(Metadata!K613,"Fungus"),exact(Metadata!K613,"Plant"),exact(Metadata!K613,"Saline"),exact(Metadata!K613,"Non-saline")))</f>
        <v>0</v>
      </c>
      <c r="AX613">
        <f>AND(IF(Metadata!L613="",FALSE,TRUE),OR(exact(Metadata!L613,"Plant secretion"),exact(Metadata!L613,"Plant rhizosphere"),exact(Metadata!L613,"Plant surface"),exact(Metadata!L613,"Plant corpus"),exact(Metadata!L613,"Fungus surface"),exact(Metadata!L613,"Fungus corpus"),exact(Metadata!L613,"Animal surface"),exact(Metadata!L613,"Animal proximal gut"),exact(Metadata!L613,"Animal corpus"),exact(Metadata!L613,"Animal distal gut"),exact(Metadata!L613,"Animal secretion"),exact(Metadata!L613,"Sub-surface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Y613">
        <f>IF(Metadata!M613="",FALSE,TRUE)</f>
        <v>0</v>
      </c>
      <c r="AZ613">
        <f>IF(Metadata!N613="",FALSE,TRUE)</f>
        <v>0</v>
      </c>
      <c r="BA613">
        <f>IF(Metadata!O613="",FALSE,TRUE)</f>
        <v>0</v>
      </c>
      <c r="BB613">
        <f>OR(AND(IF(Metadata!P613="",FALSE,TRUE),OR(exact(Metadata!P613,"not collected"),exact(Metadata!P613,"not provided"),exact(Metadata!P613,"restricted access"))),AND(IF(Metadata!P613="",FALSE,TRUE),OR(exact(Metadata!P613,"air"),exact(Metadata!P613,"built environment"),exact(Metadata!P613,"host-associated"),exact(Metadata!P613,"human-associated"),exact(Metadata!P613,"human-skin"),exact(Metadata!P613,"human-oral"),exact(Metadata!P613,"human-gut"),exact(Metadata!P613,"human-vaginal"),exact(Metadata!P613,"microbial mat/biofilm"),exact(Metadata!P613,"misc environment"),exact(Metadata!P613,"plant-associated"),exact(Metadata!P613,"sediment"),exact(Metadata!P613,"soil"),exact(Metadata!P613,"wastewater/sludge"),exact(Metadata!P613,"water"))))</f>
        <v>0</v>
      </c>
      <c r="BC613">
        <f>IF(Metadata!Q613="",FALSE,TRUE)</f>
        <v>0</v>
      </c>
      <c r="BD613">
        <f>IF(Metadata!R613="",FALSE,TRUE)</f>
        <v>0</v>
      </c>
      <c r="BE613">
        <f>OR(AND(IF(Metadata!S613="",FALSE,TRUE),OR(exact(Metadata!S613,"not collected"),exact(Metadata!S613,"not provided"),exact(Metadata!S613,"restricted access"))),AND(IF(Metadata!S613="",FALSE,ISNUMBER(VALUE(Metadata!S613))),Metadata!S613&gt;=-90.00,Metadata!S613&lt;=90.00))</f>
        <v>0</v>
      </c>
      <c r="BF613">
        <f>AND(IF(Metadata!T613="",FALSE,TRUE),exact(Metadata!T613,"Decimal degrees"))</f>
        <v>0</v>
      </c>
      <c r="BG613">
        <f>OR(AND(IF(Metadata!U613="",FALSE,TRUE),OR(exact(Metadata!U613,"not collected"),exact(Metadata!U613,"not provided"),exact(Metadata!U613,"restricted access"))),AND(IF(Metadata!U613="",FALSE,ISNUMBER(VALUE(Metadata!U613))),Metadata!U613&gt;=-180.00,Metadata!U613&lt;=180.00))</f>
        <v>0</v>
      </c>
      <c r="BH613">
        <f>AND(IF(Metadata!V613="",FALSE,TRUE),exact(Metadata!V613,"Decimal degrees"))</f>
        <v>0</v>
      </c>
      <c r="BI613">
        <f>IF(Metadata!W613="",FALSE,TRUE)</f>
        <v>0</v>
      </c>
      <c r="BJ613">
        <f>OR(AND(IF(Metadata!X613="",FALSE,TRUE),OR(exact(Metadata!X613,"not collected"),exact(Metadata!X613,"not provided"),exact(Metadata!X613,"restricted access"))),AND(IF(Metadata!X613="",FALSE,TRUE),OR(exact(Metadata!X613,"TRUE"),exact(Metadata!X613,"FALSE"))))</f>
        <v>0</v>
      </c>
      <c r="BK613">
        <f>AND(IF(Metadata!Y613="",FALSE,TRUE),exact(Metadata!Y613,"other"))</f>
        <v>0</v>
      </c>
      <c r="BL613">
        <f>IF(Metadata!Z613="",FALSE,TRUE)</f>
        <v>0</v>
      </c>
      <c r="BM613">
        <f>OR(AND(IF(Metadata!AA613="",FALSE,TRUE),OR(exact(Metadata!AA613,"not collected"),exact(Metadata!AA613,"not provided"))),AND(IF(Metadata!AA613="",FALSE,IF(ISERROR(INT(Metadata!AA613)),FALSE,INT(Metadata!AA613)=Metadata!AA613)),Metadata!AA613&gt;0))</f>
        <v>0</v>
      </c>
      <c r="BN613">
        <f>AND(IF(Metadata!AB613="",FALSE,TRUE),exact(Metadata!AB613,"Not applicable"))</f>
        <v>0</v>
      </c>
      <c r="BO613">
        <f>IF(Metadata!AC613="",FALSE,TRUE)</f>
        <v>0</v>
      </c>
    </row>
    <row r="614" spans="1:67">
      <c r="A614" s="5">
        <f>IF(B614=" "," ",HYPERLINK(CONCATENATE("#metadata!",ADDRESS(INDEX($AI$2:$AI$1001,MATCH(ROWS($AG$2:AG614),$AG$2:$AG$1001,0),0),1)),INDEX($AL$2:$AL$1001,MATCH(ROWS($AG$2:AG614),$AG$2:$AG$1001,0),0)))</f>
        <v>0</v>
      </c>
      <c r="B614" s="4">
        <f>IF(OR(INDEX($AH$2:$AH$1001,MATCH(ROWS($AG$2:AG614),$AG$2:$AG$1001,0),1)&gt;=100000,INDEX($AN$1005:$BO$1005,1,MATCH(COLUMNS($AN$1006:AN1006),$AN$1006:$BO$1006,0))&gt;=100000), " ",IF(INDEX($AN$2:$BO$1001,MATCH(ROWS($AG$2:AG614),$AG$2:$AG$1001,0),MATCH(COLUMNS($AN$1006:AN1006),$AN$1006:$BO$1006,0)), HYPERLINK("#",""), HYPERLINK(CONCATENATE("#Metadata!", ADDRESS(INDEX($AI$2:$AI$1001,MATCH(ROWS($AG$2:AG614),$AG$2:$AG$1001,0),0), INDEX($AN$1004:$BO$1004,1,MATCH(COLUMNS($AN$1006:AN1006),$AN$1006:$BO$1006,0)))),"Fix")))</f>
        <v>0</v>
      </c>
      <c r="C614" s="4">
        <f>IF(OR(INDEX($AH$2:$AH$1001,MATCH(ROWS($AG$2:AG614),$AG$2:$AG$1001,0),1)&gt;=100000,INDEX($AN$1005:$BO$1005,1,MATCH(COLUMNS($AN$1006:AO1006),$AN$1006:$BO$1006,0))&gt;=100000), " ",IF(INDEX($AN$2:$BO$1001,MATCH(ROWS($AG$2:AG614),$AG$2:$AG$1001,0),MATCH(COLUMNS($AN$1006:AO1006),$AN$1006:$BO$1006,0)), HYPERLINK("#",""), HYPERLINK(CONCATENATE("#Metadata!", ADDRESS(INDEX($AI$2:$AI$1001,MATCH(ROWS($AG$2:AG614),$AG$2:$AG$1001,0),0), INDEX($AN$1004:$BO$1004,1,MATCH(COLUMNS($AN$1006:AO1006),$AN$1006:$BO$1006,0)))),"Fix")))</f>
        <v>0</v>
      </c>
      <c r="D614" s="4">
        <f>IF(OR(INDEX($AH$2:$AH$1001,MATCH(ROWS($AG$2:AG614),$AG$2:$AG$1001,0),1)&gt;=100000,INDEX($AN$1005:$BO$1005,1,MATCH(COLUMNS($AN$1006:AP1006),$AN$1006:$BO$1006,0))&gt;=100000), " ",IF(INDEX($AN$2:$BO$1001,MATCH(ROWS($AG$2:AG614),$AG$2:$AG$1001,0),MATCH(COLUMNS($AN$1006:AP1006),$AN$1006:$BO$1006,0)), HYPERLINK("#",""), HYPERLINK(CONCATENATE("#Metadata!", ADDRESS(INDEX($AI$2:$AI$1001,MATCH(ROWS($AG$2:AG614),$AG$2:$AG$1001,0),0), INDEX($AN$1004:$BO$1004,1,MATCH(COLUMNS($AN$1006:AP1006),$AN$1006:$BO$1006,0)))),"Fix")))</f>
        <v>0</v>
      </c>
      <c r="E614" s="4">
        <f>IF(OR(INDEX($AH$2:$AH$1001,MATCH(ROWS($AG$2:AG614),$AG$2:$AG$1001,0),1)&gt;=100000,INDEX($AN$1005:$BO$1005,1,MATCH(COLUMNS($AN$1006:AQ1006),$AN$1006:$BO$1006,0))&gt;=100000), " ",IF(INDEX($AN$2:$BO$1001,MATCH(ROWS($AG$2:AG614),$AG$2:$AG$1001,0),MATCH(COLUMNS($AN$1006:AQ1006),$AN$1006:$BO$1006,0)), HYPERLINK("#",""), HYPERLINK(CONCATENATE("#Metadata!", ADDRESS(INDEX($AI$2:$AI$1001,MATCH(ROWS($AG$2:AG614),$AG$2:$AG$1001,0),0), INDEX($AN$1004:$BO$1004,1,MATCH(COLUMNS($AN$1006:AQ1006),$AN$1006:$BO$1006,0)))),"Fix")))</f>
        <v>0</v>
      </c>
      <c r="F614" s="4">
        <f>IF(OR(INDEX($AH$2:$AH$1001,MATCH(ROWS($AG$2:AG614),$AG$2:$AG$1001,0),1)&gt;=100000,INDEX($AN$1005:$BO$1005,1,MATCH(COLUMNS($AN$1006:AR1006),$AN$1006:$BO$1006,0))&gt;=100000), " ",IF(INDEX($AN$2:$BO$1001,MATCH(ROWS($AG$2:AG614),$AG$2:$AG$1001,0),MATCH(COLUMNS($AN$1006:AR1006),$AN$1006:$BO$1006,0)), HYPERLINK("#",""), HYPERLINK(CONCATENATE("#Metadata!", ADDRESS(INDEX($AI$2:$AI$1001,MATCH(ROWS($AG$2:AG614),$AG$2:$AG$1001,0),0), INDEX($AN$1004:$BO$1004,1,MATCH(COLUMNS($AN$1006:AR1006),$AN$1006:$BO$1006,0)))),"Fix")))</f>
        <v>0</v>
      </c>
      <c r="G614" s="4">
        <f>IF(OR(INDEX($AH$2:$AH$1001,MATCH(ROWS($AG$2:AG614),$AG$2:$AG$1001,0),1)&gt;=100000,INDEX($AN$1005:$BO$1005,1,MATCH(COLUMNS($AN$1006:AS1006),$AN$1006:$BO$1006,0))&gt;=100000), " ",IF(INDEX($AN$2:$BO$1001,MATCH(ROWS($AG$2:AG614),$AG$2:$AG$1001,0),MATCH(COLUMNS($AN$1006:AS1006),$AN$1006:$BO$1006,0)), HYPERLINK("#",""), HYPERLINK(CONCATENATE("#Metadata!", ADDRESS(INDEX($AI$2:$AI$1001,MATCH(ROWS($AG$2:AG614),$AG$2:$AG$1001,0),0), INDEX($AN$1004:$BO$1004,1,MATCH(COLUMNS($AN$1006:AS1006),$AN$1006:$BO$1006,0)))),"Fix")))</f>
        <v>0</v>
      </c>
      <c r="H614" s="4">
        <f>IF(OR(INDEX($AH$2:$AH$1001,MATCH(ROWS($AG$2:AG614),$AG$2:$AG$1001,0),1)&gt;=100000,INDEX($AN$1005:$BO$1005,1,MATCH(COLUMNS($AN$1006:AT1006),$AN$1006:$BO$1006,0))&gt;=100000), " ",IF(INDEX($AN$2:$BO$1001,MATCH(ROWS($AG$2:AG614),$AG$2:$AG$1001,0),MATCH(COLUMNS($AN$1006:AT1006),$AN$1006:$BO$1006,0)), HYPERLINK("#",""), HYPERLINK(CONCATENATE("#Metadata!", ADDRESS(INDEX($AI$2:$AI$1001,MATCH(ROWS($AG$2:AG614),$AG$2:$AG$1001,0),0), INDEX($AN$1004:$BO$1004,1,MATCH(COLUMNS($AN$1006:AT1006),$AN$1006:$BO$1006,0)))),"Fix")))</f>
        <v>0</v>
      </c>
      <c r="I614" s="4">
        <f>IF(OR(INDEX($AH$2:$AH$1001,MATCH(ROWS($AG$2:AG614),$AG$2:$AG$1001,0),1)&gt;=100000,INDEX($AN$1005:$BO$1005,1,MATCH(COLUMNS($AN$1006:AU1006),$AN$1006:$BO$1006,0))&gt;=100000), " ",IF(INDEX($AN$2:$BO$1001,MATCH(ROWS($AG$2:AG614),$AG$2:$AG$1001,0),MATCH(COLUMNS($AN$1006:AU1006),$AN$1006:$BO$1006,0)), HYPERLINK("#",""), HYPERLINK(CONCATENATE("#Metadata!", ADDRESS(INDEX($AI$2:$AI$1001,MATCH(ROWS($AG$2:AG614),$AG$2:$AG$1001,0),0), INDEX($AN$1004:$BO$1004,1,MATCH(COLUMNS($AN$1006:AU1006),$AN$1006:$BO$1006,0)))),"Fix")))</f>
        <v>0</v>
      </c>
      <c r="J614" s="4">
        <f>IF(OR(INDEX($AH$2:$AH$1001,MATCH(ROWS($AG$2:AG614),$AG$2:$AG$1001,0),1)&gt;=100000,INDEX($AN$1005:$BO$1005,1,MATCH(COLUMNS($AN$1006:AV1006),$AN$1006:$BO$1006,0))&gt;=100000), " ",IF(INDEX($AN$2:$BO$1001,MATCH(ROWS($AG$2:AG614),$AG$2:$AG$1001,0),MATCH(COLUMNS($AN$1006:AV1006),$AN$1006:$BO$1006,0)), HYPERLINK("#",""), HYPERLINK(CONCATENATE("#Metadata!", ADDRESS(INDEX($AI$2:$AI$1001,MATCH(ROWS($AG$2:AG614),$AG$2:$AG$1001,0),0), INDEX($AN$1004:$BO$1004,1,MATCH(COLUMNS($AN$1006:AV1006),$AN$1006:$BO$1006,0)))),"Fix")))</f>
        <v>0</v>
      </c>
      <c r="K614" s="4">
        <f>IF(OR(INDEX($AH$2:$AH$1001,MATCH(ROWS($AG$2:AG614),$AG$2:$AG$1001,0),1)&gt;=100000,INDEX($AN$1005:$BO$1005,1,MATCH(COLUMNS($AN$1006:AW1006),$AN$1006:$BO$1006,0))&gt;=100000), " ",IF(INDEX($AN$2:$BO$1001,MATCH(ROWS($AG$2:AG614),$AG$2:$AG$1001,0),MATCH(COLUMNS($AN$1006:AW1006),$AN$1006:$BO$1006,0)), HYPERLINK("#",""), HYPERLINK(CONCATENATE("#Metadata!", ADDRESS(INDEX($AI$2:$AI$1001,MATCH(ROWS($AG$2:AG614),$AG$2:$AG$1001,0),0), INDEX($AN$1004:$BO$1004,1,MATCH(COLUMNS($AN$1006:AW1006),$AN$1006:$BO$1006,0)))),"Fix")))</f>
        <v>0</v>
      </c>
      <c r="L614" s="4">
        <f>IF(OR(INDEX($AH$2:$AH$1001,MATCH(ROWS($AG$2:AG614),$AG$2:$AG$1001,0),1)&gt;=100000,INDEX($AN$1005:$BO$1005,1,MATCH(COLUMNS($AN$1006:AX1006),$AN$1006:$BO$1006,0))&gt;=100000), " ",IF(INDEX($AN$2:$BO$1001,MATCH(ROWS($AG$2:AG614),$AG$2:$AG$1001,0),MATCH(COLUMNS($AN$1006:AX1006),$AN$1006:$BO$1006,0)), HYPERLINK("#",""), HYPERLINK(CONCATENATE("#Metadata!", ADDRESS(INDEX($AI$2:$AI$1001,MATCH(ROWS($AG$2:AG614),$AG$2:$AG$1001,0),0), INDEX($AN$1004:$BO$1004,1,MATCH(COLUMNS($AN$1006:AX1006),$AN$1006:$BO$1006,0)))),"Fix")))</f>
        <v>0</v>
      </c>
      <c r="M614" s="4">
        <f>IF(OR(INDEX($AH$2:$AH$1001,MATCH(ROWS($AG$2:AG614),$AG$2:$AG$1001,0),1)&gt;=100000,INDEX($AN$1005:$BO$1005,1,MATCH(COLUMNS($AN$1006:AY1006),$AN$1006:$BO$1006,0))&gt;=100000), " ",IF(INDEX($AN$2:$BO$1001,MATCH(ROWS($AG$2:AG614),$AG$2:$AG$1001,0),MATCH(COLUMNS($AN$1006:AY1006),$AN$1006:$BO$1006,0)), HYPERLINK("#",""), HYPERLINK(CONCATENATE("#Metadata!", ADDRESS(INDEX($AI$2:$AI$1001,MATCH(ROWS($AG$2:AG614),$AG$2:$AG$1001,0),0), INDEX($AN$1004:$BO$1004,1,MATCH(COLUMNS($AN$1006:AY1006),$AN$1006:$BO$1006,0)))),"Fix")))</f>
        <v>0</v>
      </c>
      <c r="N614" s="4">
        <f>IF(OR(INDEX($AH$2:$AH$1001,MATCH(ROWS($AG$2:AG614),$AG$2:$AG$1001,0),1)&gt;=100000,INDEX($AN$1005:$BO$1005,1,MATCH(COLUMNS($AN$1006:AZ1006),$AN$1006:$BO$1006,0))&gt;=100000), " ",IF(INDEX($AN$2:$BO$1001,MATCH(ROWS($AG$2:AG614),$AG$2:$AG$1001,0),MATCH(COLUMNS($AN$1006:AZ1006),$AN$1006:$BO$1006,0)), HYPERLINK("#",""), HYPERLINK(CONCATENATE("#Metadata!", ADDRESS(INDEX($AI$2:$AI$1001,MATCH(ROWS($AG$2:AG614),$AG$2:$AG$1001,0),0), INDEX($AN$1004:$BO$1004,1,MATCH(COLUMNS($AN$1006:AZ1006),$AN$1006:$BO$1006,0)))),"Fix")))</f>
        <v>0</v>
      </c>
      <c r="O614" s="4">
        <f>IF(OR(INDEX($AH$2:$AH$1001,MATCH(ROWS($AG$2:AG614),$AG$2:$AG$1001,0),1)&gt;=100000,INDEX($AN$1005:$BO$1005,1,MATCH(COLUMNS($AN$1006:BA1006),$AN$1006:$BO$1006,0))&gt;=100000), " ",IF(INDEX($AN$2:$BO$1001,MATCH(ROWS($AG$2:AG614),$AG$2:$AG$1001,0),MATCH(COLUMNS($AN$1006:BA1006),$AN$1006:$BO$1006,0)), HYPERLINK("#",""), HYPERLINK(CONCATENATE("#Metadata!", ADDRESS(INDEX($AI$2:$AI$1001,MATCH(ROWS($AG$2:AG614),$AG$2:$AG$1001,0),0), INDEX($AN$1004:$BO$1004,1,MATCH(COLUMNS($AN$1006:BA1006),$AN$1006:$BO$1006,0)))),"Fix")))</f>
        <v>0</v>
      </c>
      <c r="P614" s="4">
        <f>IF(OR(INDEX($AH$2:$AH$1001,MATCH(ROWS($AG$2:AG614),$AG$2:$AG$1001,0),1)&gt;=100000,INDEX($AN$1005:$BO$1005,1,MATCH(COLUMNS($AN$1006:BB1006),$AN$1006:$BO$1006,0))&gt;=100000), " ",IF(INDEX($AN$2:$BO$1001,MATCH(ROWS($AG$2:AG614),$AG$2:$AG$1001,0),MATCH(COLUMNS($AN$1006:BB1006),$AN$1006:$BO$1006,0)), HYPERLINK("#",""), HYPERLINK(CONCATENATE("#Metadata!", ADDRESS(INDEX($AI$2:$AI$1001,MATCH(ROWS($AG$2:AG614),$AG$2:$AG$1001,0),0), INDEX($AN$1004:$BO$1004,1,MATCH(COLUMNS($AN$1006:BB1006),$AN$1006:$BO$1006,0)))),"Fix")))</f>
        <v>0</v>
      </c>
      <c r="Q614" s="4">
        <f>IF(OR(INDEX($AH$2:$AH$1001,MATCH(ROWS($AG$2:AG614),$AG$2:$AG$1001,0),1)&gt;=100000,INDEX($AN$1005:$BO$1005,1,MATCH(COLUMNS($AN$1006:BC1006),$AN$1006:$BO$1006,0))&gt;=100000), " ",IF(INDEX($AN$2:$BO$1001,MATCH(ROWS($AG$2:AG614),$AG$2:$AG$1001,0),MATCH(COLUMNS($AN$1006:BC1006),$AN$1006:$BO$1006,0)), HYPERLINK("#",""), HYPERLINK(CONCATENATE("#Metadata!", ADDRESS(INDEX($AI$2:$AI$1001,MATCH(ROWS($AG$2:AG614),$AG$2:$AG$1001,0),0), INDEX($AN$1004:$BO$1004,1,MATCH(COLUMNS($AN$1006:BC1006),$AN$1006:$BO$1006,0)))),"Fix")))</f>
        <v>0</v>
      </c>
      <c r="R614" s="4">
        <f>IF(OR(INDEX($AH$2:$AH$1001,MATCH(ROWS($AG$2:AG614),$AG$2:$AG$1001,0),1)&gt;=100000,INDEX($AN$1005:$BO$1005,1,MATCH(COLUMNS($AN$1006:BD1006),$AN$1006:$BO$1006,0))&gt;=100000), " ",IF(INDEX($AN$2:$BO$1001,MATCH(ROWS($AG$2:AG614),$AG$2:$AG$1001,0),MATCH(COLUMNS($AN$1006:BD1006),$AN$1006:$BO$1006,0)), HYPERLINK("#",""), HYPERLINK(CONCATENATE("#Metadata!", ADDRESS(INDEX($AI$2:$AI$1001,MATCH(ROWS($AG$2:AG614),$AG$2:$AG$1001,0),0), INDEX($AN$1004:$BO$1004,1,MATCH(COLUMNS($AN$1006:BD1006),$AN$1006:$BO$1006,0)))),"Fix")))</f>
        <v>0</v>
      </c>
      <c r="S614" s="4">
        <f>IF(OR(INDEX($AH$2:$AH$1001,MATCH(ROWS($AG$2:AG614),$AG$2:$AG$1001,0),1)&gt;=100000,INDEX($AN$1005:$BO$1005,1,MATCH(COLUMNS($AN$1006:BE1006),$AN$1006:$BO$1006,0))&gt;=100000), " ",IF(INDEX($AN$2:$BO$1001,MATCH(ROWS($AG$2:AG614),$AG$2:$AG$1001,0),MATCH(COLUMNS($AN$1006:BE1006),$AN$1006:$BO$1006,0)), HYPERLINK("#",""), HYPERLINK(CONCATENATE("#Metadata!", ADDRESS(INDEX($AI$2:$AI$1001,MATCH(ROWS($AG$2:AG614),$AG$2:$AG$1001,0),0), INDEX($AN$1004:$BO$1004,1,MATCH(COLUMNS($AN$1006:BE1006),$AN$1006:$BO$1006,0)))),"Fix")))</f>
        <v>0</v>
      </c>
      <c r="T614" s="4">
        <f>IF(OR(INDEX($AH$2:$AH$1001,MATCH(ROWS($AG$2:AG614),$AG$2:$AG$1001,0),1)&gt;=100000,INDEX($AN$1005:$BO$1005,1,MATCH(COLUMNS($AN$1006:BF1006),$AN$1006:$BO$1006,0))&gt;=100000), " ",IF(INDEX($AN$2:$BO$1001,MATCH(ROWS($AG$2:AG614),$AG$2:$AG$1001,0),MATCH(COLUMNS($AN$1006:BF1006),$AN$1006:$BO$1006,0)), HYPERLINK("#",""), HYPERLINK(CONCATENATE("#Metadata!", ADDRESS(INDEX($AI$2:$AI$1001,MATCH(ROWS($AG$2:AG614),$AG$2:$AG$1001,0),0), INDEX($AN$1004:$BO$1004,1,MATCH(COLUMNS($AN$1006:BF1006),$AN$1006:$BO$1006,0)))),"Fix")))</f>
        <v>0</v>
      </c>
      <c r="U614" s="4">
        <f>IF(OR(INDEX($AH$2:$AH$1001,MATCH(ROWS($AG$2:AG614),$AG$2:$AG$1001,0),1)&gt;=100000,INDEX($AN$1005:$BO$1005,1,MATCH(COLUMNS($AN$1006:BG1006),$AN$1006:$BO$1006,0))&gt;=100000), " ",IF(INDEX($AN$2:$BO$1001,MATCH(ROWS($AG$2:AG614),$AG$2:$AG$1001,0),MATCH(COLUMNS($AN$1006:BG1006),$AN$1006:$BO$1006,0)), HYPERLINK("#",""), HYPERLINK(CONCATENATE("#Metadata!", ADDRESS(INDEX($AI$2:$AI$1001,MATCH(ROWS($AG$2:AG614),$AG$2:$AG$1001,0),0), INDEX($AN$1004:$BO$1004,1,MATCH(COLUMNS($AN$1006:BG1006),$AN$1006:$BO$1006,0)))),"Fix")))</f>
        <v>0</v>
      </c>
      <c r="V614" s="4">
        <f>IF(OR(INDEX($AH$2:$AH$1001,MATCH(ROWS($AG$2:AG614),$AG$2:$AG$1001,0),1)&gt;=100000,INDEX($AN$1005:$BO$1005,1,MATCH(COLUMNS($AN$1006:BH1006),$AN$1006:$BO$1006,0))&gt;=100000), " ",IF(INDEX($AN$2:$BO$1001,MATCH(ROWS($AG$2:AG614),$AG$2:$AG$1001,0),MATCH(COLUMNS($AN$1006:BH1006),$AN$1006:$BO$1006,0)), HYPERLINK("#",""), HYPERLINK(CONCATENATE("#Metadata!", ADDRESS(INDEX($AI$2:$AI$1001,MATCH(ROWS($AG$2:AG614),$AG$2:$AG$1001,0),0), INDEX($AN$1004:$BO$1004,1,MATCH(COLUMNS($AN$1006:BH1006),$AN$1006:$BO$1006,0)))),"Fix")))</f>
        <v>0</v>
      </c>
      <c r="W614" s="4">
        <f>IF(OR(INDEX($AH$2:$AH$1001,MATCH(ROWS($AG$2:AG614),$AG$2:$AG$1001,0),1)&gt;=100000,INDEX($AN$1005:$BO$1005,1,MATCH(COLUMNS($AN$1006:BI1006),$AN$1006:$BO$1006,0))&gt;=100000), " ",IF(INDEX($AN$2:$BO$1001,MATCH(ROWS($AG$2:AG614),$AG$2:$AG$1001,0),MATCH(COLUMNS($AN$1006:BI1006),$AN$1006:$BO$1006,0)), HYPERLINK("#",""), HYPERLINK(CONCATENATE("#Metadata!", ADDRESS(INDEX($AI$2:$AI$1001,MATCH(ROWS($AG$2:AG614),$AG$2:$AG$1001,0),0), INDEX($AN$1004:$BO$1004,1,MATCH(COLUMNS($AN$1006:BI1006),$AN$1006:$BO$1006,0)))),"Fix")))</f>
        <v>0</v>
      </c>
      <c r="X614" s="4">
        <f>IF(OR(INDEX($AH$2:$AH$1001,MATCH(ROWS($AG$2:AG614),$AG$2:$AG$1001,0),1)&gt;=100000,INDEX($AN$1005:$BO$1005,1,MATCH(COLUMNS($AN$1006:BJ1006),$AN$1006:$BO$1006,0))&gt;=100000), " ",IF(INDEX($AN$2:$BO$1001,MATCH(ROWS($AG$2:AG614),$AG$2:$AG$1001,0),MATCH(COLUMNS($AN$1006:BJ1006),$AN$1006:$BO$1006,0)), HYPERLINK("#",""), HYPERLINK(CONCATENATE("#Metadata!", ADDRESS(INDEX($AI$2:$AI$1001,MATCH(ROWS($AG$2:AG614),$AG$2:$AG$1001,0),0), INDEX($AN$1004:$BO$1004,1,MATCH(COLUMNS($AN$1006:BJ1006),$AN$1006:$BO$1006,0)))),"Fix")))</f>
        <v>0</v>
      </c>
      <c r="Y614" s="4">
        <f>IF(OR(INDEX($AH$2:$AH$1001,MATCH(ROWS($AG$2:AG614),$AG$2:$AG$1001,0),1)&gt;=100000,INDEX($AN$1005:$BO$1005,1,MATCH(COLUMNS($AN$1006:BK1006),$AN$1006:$BO$1006,0))&gt;=100000), " ",IF(INDEX($AN$2:$BO$1001,MATCH(ROWS($AG$2:AG614),$AG$2:$AG$1001,0),MATCH(COLUMNS($AN$1006:BK1006),$AN$1006:$BO$1006,0)), HYPERLINK("#",""), HYPERLINK(CONCATENATE("#Metadata!", ADDRESS(INDEX($AI$2:$AI$1001,MATCH(ROWS($AG$2:AG614),$AG$2:$AG$1001,0),0), INDEX($AN$1004:$BO$1004,1,MATCH(COLUMNS($AN$1006:BK1006),$AN$1006:$BO$1006,0)))),"Fix")))</f>
        <v>0</v>
      </c>
      <c r="Z614" s="4">
        <f>IF(OR(INDEX($AH$2:$AH$1001,MATCH(ROWS($AG$2:AG614),$AG$2:$AG$1001,0),1)&gt;=100000,INDEX($AN$1005:$BO$1005,1,MATCH(COLUMNS($AN$1006:BL1006),$AN$1006:$BO$1006,0))&gt;=100000), " ",IF(INDEX($AN$2:$BO$1001,MATCH(ROWS($AG$2:AG614),$AG$2:$AG$1001,0),MATCH(COLUMNS($AN$1006:BL1006),$AN$1006:$BO$1006,0)), HYPERLINK("#",""), HYPERLINK(CONCATENATE("#Metadata!", ADDRESS(INDEX($AI$2:$AI$1001,MATCH(ROWS($AG$2:AG614),$AG$2:$AG$1001,0),0), INDEX($AN$1004:$BO$1004,1,MATCH(COLUMNS($AN$1006:BL1006),$AN$1006:$BO$1006,0)))),"Fix")))</f>
        <v>0</v>
      </c>
      <c r="AA614" s="4">
        <f>IF(OR(INDEX($AH$2:$AH$1001,MATCH(ROWS($AG$2:AG614),$AG$2:$AG$1001,0),1)&gt;=100000,INDEX($AN$1005:$BO$1005,1,MATCH(COLUMNS($AN$1006:BM1006),$AN$1006:$BO$1006,0))&gt;=100000), " ",IF(INDEX($AN$2:$BO$1001,MATCH(ROWS($AG$2:AG614),$AG$2:$AG$1001,0),MATCH(COLUMNS($AN$1006:BM1006),$AN$1006:$BO$1006,0)), HYPERLINK("#",""), HYPERLINK(CONCATENATE("#Metadata!", ADDRESS(INDEX($AI$2:$AI$1001,MATCH(ROWS($AG$2:AG614),$AG$2:$AG$1001,0),0), INDEX($AN$1004:$BO$1004,1,MATCH(COLUMNS($AN$1006:BM1006),$AN$1006:$BO$1006,0)))),"Fix")))</f>
        <v>0</v>
      </c>
      <c r="AB614" s="4">
        <f>IF(OR(INDEX($AH$2:$AH$1001,MATCH(ROWS($AG$2:AG614),$AG$2:$AG$1001,0),1)&gt;=100000,INDEX($AN$1005:$BO$1005,1,MATCH(COLUMNS($AN$1006:BN1006),$AN$1006:$BO$1006,0))&gt;=100000), " ",IF(INDEX($AN$2:$BO$1001,MATCH(ROWS($AG$2:AG614),$AG$2:$AG$1001,0),MATCH(COLUMNS($AN$1006:BN1006),$AN$1006:$BO$1006,0)), HYPERLINK("#",""), HYPERLINK(CONCATENATE("#Metadata!", ADDRESS(INDEX($AI$2:$AI$1001,MATCH(ROWS($AG$2:AG614),$AG$2:$AG$1001,0),0), INDEX($AN$1004:$BO$1004,1,MATCH(COLUMNS($AN$1006:BN1006),$AN$1006:$BO$1006,0)))),"Fix")))</f>
        <v>0</v>
      </c>
      <c r="AC614" s="4">
        <f>IF(OR(INDEX($AH$2:$AH$1001,MATCH(ROWS($AG$2:AG614),$AG$2:$AG$1001,0),1)&gt;=100000,INDEX($AN$1005:$BO$1005,1,MATCH(COLUMNS($AN$1006:BO1006),$AN$1006:$BO$1006,0))&gt;=100000), " ",IF(INDEX($AN$2:$BO$1001,MATCH(ROWS($AG$2:AG614),$AG$2:$AG$1001,0),MATCH(COLUMNS($AN$1006:BO1006),$AN$1006:$BO$1006,0)), HYPERLINK("#",""), HYPERLINK(CONCATENATE("#Metadata!", ADDRESS(INDEX($AI$2:$AI$1001,MATCH(ROWS($AG$2:AG614),$AG$2:$AG$1001,0),0), INDEX($AN$1004:$BO$1004,1,MATCH(COLUMNS($AN$1006:BO1006),$AN$1006:$BO$1006,0)))),"Fix")))</f>
        <v>0</v>
      </c>
      <c r="AG614">
        <v>0</v>
      </c>
      <c r="AH614">
        <v>0</v>
      </c>
      <c r="AI614">
        <v>0</v>
      </c>
      <c r="AJ614">
        <f>IF(AK614,TRUE,AND(AN614:BO614))</f>
        <v>0</v>
      </c>
      <c r="AK614">
        <f>COUNTBLANK(Metadata!B614:AC614)=COLUMNS(Metadata!B614:AC614)</f>
        <v>0</v>
      </c>
      <c r="AL614">
        <v>0</v>
      </c>
      <c r="AN614">
        <f>AND(IF(Metadata!B614="",FALSE,TRUE),COUNTIF(Metadata!B:B, Metadata!B614) = 1,NOT(ISERROR(SUMPRODUCT(SEARCH(MID(Metadata!B614,ROW(INDIRECT("1:"&amp;LEN(Metadata!B614))), 1),"0123456789abcdefghijklmnopqrstuvwxyzABCDEFGHIJKLMNOPQRSTUVWXYZ.")))))</f>
        <v>0</v>
      </c>
      <c r="AO614">
        <f>IF(Metadata!C614="",FALSE,TRUE)</f>
        <v>0</v>
      </c>
      <c r="AP614">
        <f>IF(Metadata!D614="",FALSE,TRUE)</f>
        <v>0</v>
      </c>
      <c r="AQ614">
        <f>OR(AND(IF(Metadata!E614="",FALSE,TRUE),OR(exact(Metadata!E614,"not collected"),exact(Metadata!E614,"not provided"),exact(Metadata!E614,"restricted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R614">
        <f>IF(Metadata!F614="",FALSE,TRUE)</f>
        <v>0</v>
      </c>
      <c r="AS614">
        <f>OR(AND(IF(Metadata!G614="",FALSE,TRUE),OR(exact(Metadata!G614,"not collected"),exact(Metadata!G614,"not provided"))),AND(IF(Metadata!G614="",FALSE,TRUE),OR(exact(Metadata!G614,"TRUE"),exact(Metadata!G614,"FALSE"))))</f>
        <v>0</v>
      </c>
      <c r="AT614">
        <f>OR(AND(IF(Metadata!H614="",FALSE,TRUE),OR(exact(Metadata!H614,"not collected"),exact(Metadata!H614,"not provided"),exact(Metadata!H614,"restricted access"))),AND(IF(Metadata!H614="",FALSE,ISNUMBER(VALUE(Metadata!H614))),Metadata!H614&gt;=-413.0))</f>
        <v>0</v>
      </c>
      <c r="AU614">
        <f>AND(IF(Metadata!I614="",FALSE,TRUE),exact(Metadata!I614,"meters"))</f>
        <v>0</v>
      </c>
      <c r="AV614">
        <f>AND(IF(Metadata!J614="",FALSE,TRUE),OR(exact(Metadata!J614,"Host-associated"),exact(Metadata!J614,"Free-living")))</f>
        <v>0</v>
      </c>
      <c r="AW614">
        <f>AND(IF(Metadata!K614="",FALSE,TRUE),OR(exact(Metadata!K614,"Animal"),exact(Metadata!K614,"Fungus"),exact(Metadata!K614,"Plant"),exact(Metadata!K614,"Saline"),exact(Metadata!K614,"Non-saline")))</f>
        <v>0</v>
      </c>
      <c r="AX614">
        <f>AND(IF(Metadata!L614="",FALSE,TRUE),OR(exact(Metadata!L614,"Plant secretion"),exact(Metadata!L614,"Plant rhizosphere"),exact(Metadata!L614,"Plant surface"),exact(Metadata!L614,"Plant corpus"),exact(Metadata!L614,"Fungus surface"),exact(Metadata!L614,"Fungus corpus"),exact(Metadata!L614,"Animal surface"),exact(Metadata!L614,"Animal proximal gut"),exact(Metadata!L614,"Animal corpus"),exact(Metadata!L614,"Animal distal gut"),exact(Metadata!L614,"Animal secretion"),exact(Metadata!L614,"Sub-surface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Y614">
        <f>IF(Metadata!M614="",FALSE,TRUE)</f>
        <v>0</v>
      </c>
      <c r="AZ614">
        <f>IF(Metadata!N614="",FALSE,TRUE)</f>
        <v>0</v>
      </c>
      <c r="BA614">
        <f>IF(Metadata!O614="",FALSE,TRUE)</f>
        <v>0</v>
      </c>
      <c r="BB614">
        <f>OR(AND(IF(Metadata!P614="",FALSE,TRUE),OR(exact(Metadata!P614,"not collected"),exact(Metadata!P614,"not provided"),exact(Metadata!P614,"restricted access"))),AND(IF(Metadata!P614="",FALSE,TRUE),OR(exact(Metadata!P614,"air"),exact(Metadata!P614,"built environment"),exact(Metadata!P614,"host-associated"),exact(Metadata!P614,"human-associated"),exact(Metadata!P614,"human-skin"),exact(Metadata!P614,"human-oral"),exact(Metadata!P614,"human-gut"),exact(Metadata!P614,"human-vaginal"),exact(Metadata!P614,"microbial mat/biofilm"),exact(Metadata!P614,"misc environment"),exact(Metadata!P614,"plant-associated"),exact(Metadata!P614,"sediment"),exact(Metadata!P614,"soil"),exact(Metadata!P614,"wastewater/sludge"),exact(Metadata!P614,"water"))))</f>
        <v>0</v>
      </c>
      <c r="BC614">
        <f>IF(Metadata!Q614="",FALSE,TRUE)</f>
        <v>0</v>
      </c>
      <c r="BD614">
        <f>IF(Metadata!R614="",FALSE,TRUE)</f>
        <v>0</v>
      </c>
      <c r="BE614">
        <f>OR(AND(IF(Metadata!S614="",FALSE,TRUE),OR(exact(Metadata!S614,"not collected"),exact(Metadata!S614,"not provided"),exact(Metadata!S614,"restricted access"))),AND(IF(Metadata!S614="",FALSE,ISNUMBER(VALUE(Metadata!S614))),Metadata!S614&gt;=-90.00,Metadata!S614&lt;=90.00))</f>
        <v>0</v>
      </c>
      <c r="BF614">
        <f>AND(IF(Metadata!T614="",FALSE,TRUE),exact(Metadata!T614,"Decimal degrees"))</f>
        <v>0</v>
      </c>
      <c r="BG614">
        <f>OR(AND(IF(Metadata!U614="",FALSE,TRUE),OR(exact(Metadata!U614,"not collected"),exact(Metadata!U614,"not provided"),exact(Metadata!U614,"restricted access"))),AND(IF(Metadata!U614="",FALSE,ISNUMBER(VALUE(Metadata!U614))),Metadata!U614&gt;=-180.00,Metadata!U614&lt;=180.00))</f>
        <v>0</v>
      </c>
      <c r="BH614">
        <f>AND(IF(Metadata!V614="",FALSE,TRUE),exact(Metadata!V614,"Decimal degrees"))</f>
        <v>0</v>
      </c>
      <c r="BI614">
        <f>IF(Metadata!W614="",FALSE,TRUE)</f>
        <v>0</v>
      </c>
      <c r="BJ614">
        <f>OR(AND(IF(Metadata!X614="",FALSE,TRUE),OR(exact(Metadata!X614,"not collected"),exact(Metadata!X614,"not provided"),exact(Metadata!X614,"restricted access"))),AND(IF(Metadata!X614="",FALSE,TRUE),OR(exact(Metadata!X614,"TRUE"),exact(Metadata!X614,"FALSE"))))</f>
        <v>0</v>
      </c>
      <c r="BK614">
        <f>AND(IF(Metadata!Y614="",FALSE,TRUE),exact(Metadata!Y614,"other"))</f>
        <v>0</v>
      </c>
      <c r="BL614">
        <f>IF(Metadata!Z614="",FALSE,TRUE)</f>
        <v>0</v>
      </c>
      <c r="BM614">
        <f>OR(AND(IF(Metadata!AA614="",FALSE,TRUE),OR(exact(Metadata!AA614,"not collected"),exact(Metadata!AA614,"not provided"))),AND(IF(Metadata!AA614="",FALSE,IF(ISERROR(INT(Metadata!AA614)),FALSE,INT(Metadata!AA614)=Metadata!AA614)),Metadata!AA614&gt;0))</f>
        <v>0</v>
      </c>
      <c r="BN614">
        <f>AND(IF(Metadata!AB614="",FALSE,TRUE),exact(Metadata!AB614,"Not applicable"))</f>
        <v>0</v>
      </c>
      <c r="BO614">
        <f>IF(Metadata!AC614="",FALSE,TRUE)</f>
        <v>0</v>
      </c>
    </row>
    <row r="615" spans="1:67">
      <c r="A615" s="5">
        <f>IF(B615=" "," ",HYPERLINK(CONCATENATE("#metadata!",ADDRESS(INDEX($AI$2:$AI$1001,MATCH(ROWS($AG$2:AG615),$AG$2:$AG$1001,0),0),1)),INDEX($AL$2:$AL$1001,MATCH(ROWS($AG$2:AG615),$AG$2:$AG$1001,0),0)))</f>
        <v>0</v>
      </c>
      <c r="B615" s="4">
        <f>IF(OR(INDEX($AH$2:$AH$1001,MATCH(ROWS($AG$2:AG615),$AG$2:$AG$1001,0),1)&gt;=100000,INDEX($AN$1005:$BO$1005,1,MATCH(COLUMNS($AN$1006:AN1006),$AN$1006:$BO$1006,0))&gt;=100000), " ",IF(INDEX($AN$2:$BO$1001,MATCH(ROWS($AG$2:AG615),$AG$2:$AG$1001,0),MATCH(COLUMNS($AN$1006:AN1006),$AN$1006:$BO$1006,0)), HYPERLINK("#",""), HYPERLINK(CONCATENATE("#Metadata!", ADDRESS(INDEX($AI$2:$AI$1001,MATCH(ROWS($AG$2:AG615),$AG$2:$AG$1001,0),0), INDEX($AN$1004:$BO$1004,1,MATCH(COLUMNS($AN$1006:AN1006),$AN$1006:$BO$1006,0)))),"Fix")))</f>
        <v>0</v>
      </c>
      <c r="C615" s="4">
        <f>IF(OR(INDEX($AH$2:$AH$1001,MATCH(ROWS($AG$2:AG615),$AG$2:$AG$1001,0),1)&gt;=100000,INDEX($AN$1005:$BO$1005,1,MATCH(COLUMNS($AN$1006:AO1006),$AN$1006:$BO$1006,0))&gt;=100000), " ",IF(INDEX($AN$2:$BO$1001,MATCH(ROWS($AG$2:AG615),$AG$2:$AG$1001,0),MATCH(COLUMNS($AN$1006:AO1006),$AN$1006:$BO$1006,0)), HYPERLINK("#",""), HYPERLINK(CONCATENATE("#Metadata!", ADDRESS(INDEX($AI$2:$AI$1001,MATCH(ROWS($AG$2:AG615),$AG$2:$AG$1001,0),0), INDEX($AN$1004:$BO$1004,1,MATCH(COLUMNS($AN$1006:AO1006),$AN$1006:$BO$1006,0)))),"Fix")))</f>
        <v>0</v>
      </c>
      <c r="D615" s="4">
        <f>IF(OR(INDEX($AH$2:$AH$1001,MATCH(ROWS($AG$2:AG615),$AG$2:$AG$1001,0),1)&gt;=100000,INDEX($AN$1005:$BO$1005,1,MATCH(COLUMNS($AN$1006:AP1006),$AN$1006:$BO$1006,0))&gt;=100000), " ",IF(INDEX($AN$2:$BO$1001,MATCH(ROWS($AG$2:AG615),$AG$2:$AG$1001,0),MATCH(COLUMNS($AN$1006:AP1006),$AN$1006:$BO$1006,0)), HYPERLINK("#",""), HYPERLINK(CONCATENATE("#Metadata!", ADDRESS(INDEX($AI$2:$AI$1001,MATCH(ROWS($AG$2:AG615),$AG$2:$AG$1001,0),0), INDEX($AN$1004:$BO$1004,1,MATCH(COLUMNS($AN$1006:AP1006),$AN$1006:$BO$1006,0)))),"Fix")))</f>
        <v>0</v>
      </c>
      <c r="E615" s="4">
        <f>IF(OR(INDEX($AH$2:$AH$1001,MATCH(ROWS($AG$2:AG615),$AG$2:$AG$1001,0),1)&gt;=100000,INDEX($AN$1005:$BO$1005,1,MATCH(COLUMNS($AN$1006:AQ1006),$AN$1006:$BO$1006,0))&gt;=100000), " ",IF(INDEX($AN$2:$BO$1001,MATCH(ROWS($AG$2:AG615),$AG$2:$AG$1001,0),MATCH(COLUMNS($AN$1006:AQ1006),$AN$1006:$BO$1006,0)), HYPERLINK("#",""), HYPERLINK(CONCATENATE("#Metadata!", ADDRESS(INDEX($AI$2:$AI$1001,MATCH(ROWS($AG$2:AG615),$AG$2:$AG$1001,0),0), INDEX($AN$1004:$BO$1004,1,MATCH(COLUMNS($AN$1006:AQ1006),$AN$1006:$BO$1006,0)))),"Fix")))</f>
        <v>0</v>
      </c>
      <c r="F615" s="4">
        <f>IF(OR(INDEX($AH$2:$AH$1001,MATCH(ROWS($AG$2:AG615),$AG$2:$AG$1001,0),1)&gt;=100000,INDEX($AN$1005:$BO$1005,1,MATCH(COLUMNS($AN$1006:AR1006),$AN$1006:$BO$1006,0))&gt;=100000), " ",IF(INDEX($AN$2:$BO$1001,MATCH(ROWS($AG$2:AG615),$AG$2:$AG$1001,0),MATCH(COLUMNS($AN$1006:AR1006),$AN$1006:$BO$1006,0)), HYPERLINK("#",""), HYPERLINK(CONCATENATE("#Metadata!", ADDRESS(INDEX($AI$2:$AI$1001,MATCH(ROWS($AG$2:AG615),$AG$2:$AG$1001,0),0), INDEX($AN$1004:$BO$1004,1,MATCH(COLUMNS($AN$1006:AR1006),$AN$1006:$BO$1006,0)))),"Fix")))</f>
        <v>0</v>
      </c>
      <c r="G615" s="4">
        <f>IF(OR(INDEX($AH$2:$AH$1001,MATCH(ROWS($AG$2:AG615),$AG$2:$AG$1001,0),1)&gt;=100000,INDEX($AN$1005:$BO$1005,1,MATCH(COLUMNS($AN$1006:AS1006),$AN$1006:$BO$1006,0))&gt;=100000), " ",IF(INDEX($AN$2:$BO$1001,MATCH(ROWS($AG$2:AG615),$AG$2:$AG$1001,0),MATCH(COLUMNS($AN$1006:AS1006),$AN$1006:$BO$1006,0)), HYPERLINK("#",""), HYPERLINK(CONCATENATE("#Metadata!", ADDRESS(INDEX($AI$2:$AI$1001,MATCH(ROWS($AG$2:AG615),$AG$2:$AG$1001,0),0), INDEX($AN$1004:$BO$1004,1,MATCH(COLUMNS($AN$1006:AS1006),$AN$1006:$BO$1006,0)))),"Fix")))</f>
        <v>0</v>
      </c>
      <c r="H615" s="4">
        <f>IF(OR(INDEX($AH$2:$AH$1001,MATCH(ROWS($AG$2:AG615),$AG$2:$AG$1001,0),1)&gt;=100000,INDEX($AN$1005:$BO$1005,1,MATCH(COLUMNS($AN$1006:AT1006),$AN$1006:$BO$1006,0))&gt;=100000), " ",IF(INDEX($AN$2:$BO$1001,MATCH(ROWS($AG$2:AG615),$AG$2:$AG$1001,0),MATCH(COLUMNS($AN$1006:AT1006),$AN$1006:$BO$1006,0)), HYPERLINK("#",""), HYPERLINK(CONCATENATE("#Metadata!", ADDRESS(INDEX($AI$2:$AI$1001,MATCH(ROWS($AG$2:AG615),$AG$2:$AG$1001,0),0), INDEX($AN$1004:$BO$1004,1,MATCH(COLUMNS($AN$1006:AT1006),$AN$1006:$BO$1006,0)))),"Fix")))</f>
        <v>0</v>
      </c>
      <c r="I615" s="4">
        <f>IF(OR(INDEX($AH$2:$AH$1001,MATCH(ROWS($AG$2:AG615),$AG$2:$AG$1001,0),1)&gt;=100000,INDEX($AN$1005:$BO$1005,1,MATCH(COLUMNS($AN$1006:AU1006),$AN$1006:$BO$1006,0))&gt;=100000), " ",IF(INDEX($AN$2:$BO$1001,MATCH(ROWS($AG$2:AG615),$AG$2:$AG$1001,0),MATCH(COLUMNS($AN$1006:AU1006),$AN$1006:$BO$1006,0)), HYPERLINK("#",""), HYPERLINK(CONCATENATE("#Metadata!", ADDRESS(INDEX($AI$2:$AI$1001,MATCH(ROWS($AG$2:AG615),$AG$2:$AG$1001,0),0), INDEX($AN$1004:$BO$1004,1,MATCH(COLUMNS($AN$1006:AU1006),$AN$1006:$BO$1006,0)))),"Fix")))</f>
        <v>0</v>
      </c>
      <c r="J615" s="4">
        <f>IF(OR(INDEX($AH$2:$AH$1001,MATCH(ROWS($AG$2:AG615),$AG$2:$AG$1001,0),1)&gt;=100000,INDEX($AN$1005:$BO$1005,1,MATCH(COLUMNS($AN$1006:AV1006),$AN$1006:$BO$1006,0))&gt;=100000), " ",IF(INDEX($AN$2:$BO$1001,MATCH(ROWS($AG$2:AG615),$AG$2:$AG$1001,0),MATCH(COLUMNS($AN$1006:AV1006),$AN$1006:$BO$1006,0)), HYPERLINK("#",""), HYPERLINK(CONCATENATE("#Metadata!", ADDRESS(INDEX($AI$2:$AI$1001,MATCH(ROWS($AG$2:AG615),$AG$2:$AG$1001,0),0), INDEX($AN$1004:$BO$1004,1,MATCH(COLUMNS($AN$1006:AV1006),$AN$1006:$BO$1006,0)))),"Fix")))</f>
        <v>0</v>
      </c>
      <c r="K615" s="4">
        <f>IF(OR(INDEX($AH$2:$AH$1001,MATCH(ROWS($AG$2:AG615),$AG$2:$AG$1001,0),1)&gt;=100000,INDEX($AN$1005:$BO$1005,1,MATCH(COLUMNS($AN$1006:AW1006),$AN$1006:$BO$1006,0))&gt;=100000), " ",IF(INDEX($AN$2:$BO$1001,MATCH(ROWS($AG$2:AG615),$AG$2:$AG$1001,0),MATCH(COLUMNS($AN$1006:AW1006),$AN$1006:$BO$1006,0)), HYPERLINK("#",""), HYPERLINK(CONCATENATE("#Metadata!", ADDRESS(INDEX($AI$2:$AI$1001,MATCH(ROWS($AG$2:AG615),$AG$2:$AG$1001,0),0), INDEX($AN$1004:$BO$1004,1,MATCH(COLUMNS($AN$1006:AW1006),$AN$1006:$BO$1006,0)))),"Fix")))</f>
        <v>0</v>
      </c>
      <c r="L615" s="4">
        <f>IF(OR(INDEX($AH$2:$AH$1001,MATCH(ROWS($AG$2:AG615),$AG$2:$AG$1001,0),1)&gt;=100000,INDEX($AN$1005:$BO$1005,1,MATCH(COLUMNS($AN$1006:AX1006),$AN$1006:$BO$1006,0))&gt;=100000), " ",IF(INDEX($AN$2:$BO$1001,MATCH(ROWS($AG$2:AG615),$AG$2:$AG$1001,0),MATCH(COLUMNS($AN$1006:AX1006),$AN$1006:$BO$1006,0)), HYPERLINK("#",""), HYPERLINK(CONCATENATE("#Metadata!", ADDRESS(INDEX($AI$2:$AI$1001,MATCH(ROWS($AG$2:AG615),$AG$2:$AG$1001,0),0), INDEX($AN$1004:$BO$1004,1,MATCH(COLUMNS($AN$1006:AX1006),$AN$1006:$BO$1006,0)))),"Fix")))</f>
        <v>0</v>
      </c>
      <c r="M615" s="4">
        <f>IF(OR(INDEX($AH$2:$AH$1001,MATCH(ROWS($AG$2:AG615),$AG$2:$AG$1001,0),1)&gt;=100000,INDEX($AN$1005:$BO$1005,1,MATCH(COLUMNS($AN$1006:AY1006),$AN$1006:$BO$1006,0))&gt;=100000), " ",IF(INDEX($AN$2:$BO$1001,MATCH(ROWS($AG$2:AG615),$AG$2:$AG$1001,0),MATCH(COLUMNS($AN$1006:AY1006),$AN$1006:$BO$1006,0)), HYPERLINK("#",""), HYPERLINK(CONCATENATE("#Metadata!", ADDRESS(INDEX($AI$2:$AI$1001,MATCH(ROWS($AG$2:AG615),$AG$2:$AG$1001,0),0), INDEX($AN$1004:$BO$1004,1,MATCH(COLUMNS($AN$1006:AY1006),$AN$1006:$BO$1006,0)))),"Fix")))</f>
        <v>0</v>
      </c>
      <c r="N615" s="4">
        <f>IF(OR(INDEX($AH$2:$AH$1001,MATCH(ROWS($AG$2:AG615),$AG$2:$AG$1001,0),1)&gt;=100000,INDEX($AN$1005:$BO$1005,1,MATCH(COLUMNS($AN$1006:AZ1006),$AN$1006:$BO$1006,0))&gt;=100000), " ",IF(INDEX($AN$2:$BO$1001,MATCH(ROWS($AG$2:AG615),$AG$2:$AG$1001,0),MATCH(COLUMNS($AN$1006:AZ1006),$AN$1006:$BO$1006,0)), HYPERLINK("#",""), HYPERLINK(CONCATENATE("#Metadata!", ADDRESS(INDEX($AI$2:$AI$1001,MATCH(ROWS($AG$2:AG615),$AG$2:$AG$1001,0),0), INDEX($AN$1004:$BO$1004,1,MATCH(COLUMNS($AN$1006:AZ1006),$AN$1006:$BO$1006,0)))),"Fix")))</f>
        <v>0</v>
      </c>
      <c r="O615" s="4">
        <f>IF(OR(INDEX($AH$2:$AH$1001,MATCH(ROWS($AG$2:AG615),$AG$2:$AG$1001,0),1)&gt;=100000,INDEX($AN$1005:$BO$1005,1,MATCH(COLUMNS($AN$1006:BA1006),$AN$1006:$BO$1006,0))&gt;=100000), " ",IF(INDEX($AN$2:$BO$1001,MATCH(ROWS($AG$2:AG615),$AG$2:$AG$1001,0),MATCH(COLUMNS($AN$1006:BA1006),$AN$1006:$BO$1006,0)), HYPERLINK("#",""), HYPERLINK(CONCATENATE("#Metadata!", ADDRESS(INDEX($AI$2:$AI$1001,MATCH(ROWS($AG$2:AG615),$AG$2:$AG$1001,0),0), INDEX($AN$1004:$BO$1004,1,MATCH(COLUMNS($AN$1006:BA1006),$AN$1006:$BO$1006,0)))),"Fix")))</f>
        <v>0</v>
      </c>
      <c r="P615" s="4">
        <f>IF(OR(INDEX($AH$2:$AH$1001,MATCH(ROWS($AG$2:AG615),$AG$2:$AG$1001,0),1)&gt;=100000,INDEX($AN$1005:$BO$1005,1,MATCH(COLUMNS($AN$1006:BB1006),$AN$1006:$BO$1006,0))&gt;=100000), " ",IF(INDEX($AN$2:$BO$1001,MATCH(ROWS($AG$2:AG615),$AG$2:$AG$1001,0),MATCH(COLUMNS($AN$1006:BB1006),$AN$1006:$BO$1006,0)), HYPERLINK("#",""), HYPERLINK(CONCATENATE("#Metadata!", ADDRESS(INDEX($AI$2:$AI$1001,MATCH(ROWS($AG$2:AG615),$AG$2:$AG$1001,0),0), INDEX($AN$1004:$BO$1004,1,MATCH(COLUMNS($AN$1006:BB1006),$AN$1006:$BO$1006,0)))),"Fix")))</f>
        <v>0</v>
      </c>
      <c r="Q615" s="4">
        <f>IF(OR(INDEX($AH$2:$AH$1001,MATCH(ROWS($AG$2:AG615),$AG$2:$AG$1001,0),1)&gt;=100000,INDEX($AN$1005:$BO$1005,1,MATCH(COLUMNS($AN$1006:BC1006),$AN$1006:$BO$1006,0))&gt;=100000), " ",IF(INDEX($AN$2:$BO$1001,MATCH(ROWS($AG$2:AG615),$AG$2:$AG$1001,0),MATCH(COLUMNS($AN$1006:BC1006),$AN$1006:$BO$1006,0)), HYPERLINK("#",""), HYPERLINK(CONCATENATE("#Metadata!", ADDRESS(INDEX($AI$2:$AI$1001,MATCH(ROWS($AG$2:AG615),$AG$2:$AG$1001,0),0), INDEX($AN$1004:$BO$1004,1,MATCH(COLUMNS($AN$1006:BC1006),$AN$1006:$BO$1006,0)))),"Fix")))</f>
        <v>0</v>
      </c>
      <c r="R615" s="4">
        <f>IF(OR(INDEX($AH$2:$AH$1001,MATCH(ROWS($AG$2:AG615),$AG$2:$AG$1001,0),1)&gt;=100000,INDEX($AN$1005:$BO$1005,1,MATCH(COLUMNS($AN$1006:BD1006),$AN$1006:$BO$1006,0))&gt;=100000), " ",IF(INDEX($AN$2:$BO$1001,MATCH(ROWS($AG$2:AG615),$AG$2:$AG$1001,0),MATCH(COLUMNS($AN$1006:BD1006),$AN$1006:$BO$1006,0)), HYPERLINK("#",""), HYPERLINK(CONCATENATE("#Metadata!", ADDRESS(INDEX($AI$2:$AI$1001,MATCH(ROWS($AG$2:AG615),$AG$2:$AG$1001,0),0), INDEX($AN$1004:$BO$1004,1,MATCH(COLUMNS($AN$1006:BD1006),$AN$1006:$BO$1006,0)))),"Fix")))</f>
        <v>0</v>
      </c>
      <c r="S615" s="4">
        <f>IF(OR(INDEX($AH$2:$AH$1001,MATCH(ROWS($AG$2:AG615),$AG$2:$AG$1001,0),1)&gt;=100000,INDEX($AN$1005:$BO$1005,1,MATCH(COLUMNS($AN$1006:BE1006),$AN$1006:$BO$1006,0))&gt;=100000), " ",IF(INDEX($AN$2:$BO$1001,MATCH(ROWS($AG$2:AG615),$AG$2:$AG$1001,0),MATCH(COLUMNS($AN$1006:BE1006),$AN$1006:$BO$1006,0)), HYPERLINK("#",""), HYPERLINK(CONCATENATE("#Metadata!", ADDRESS(INDEX($AI$2:$AI$1001,MATCH(ROWS($AG$2:AG615),$AG$2:$AG$1001,0),0), INDEX($AN$1004:$BO$1004,1,MATCH(COLUMNS($AN$1006:BE1006),$AN$1006:$BO$1006,0)))),"Fix")))</f>
        <v>0</v>
      </c>
      <c r="T615" s="4">
        <f>IF(OR(INDEX($AH$2:$AH$1001,MATCH(ROWS($AG$2:AG615),$AG$2:$AG$1001,0),1)&gt;=100000,INDEX($AN$1005:$BO$1005,1,MATCH(COLUMNS($AN$1006:BF1006),$AN$1006:$BO$1006,0))&gt;=100000), " ",IF(INDEX($AN$2:$BO$1001,MATCH(ROWS($AG$2:AG615),$AG$2:$AG$1001,0),MATCH(COLUMNS($AN$1006:BF1006),$AN$1006:$BO$1006,0)), HYPERLINK("#",""), HYPERLINK(CONCATENATE("#Metadata!", ADDRESS(INDEX($AI$2:$AI$1001,MATCH(ROWS($AG$2:AG615),$AG$2:$AG$1001,0),0), INDEX($AN$1004:$BO$1004,1,MATCH(COLUMNS($AN$1006:BF1006),$AN$1006:$BO$1006,0)))),"Fix")))</f>
        <v>0</v>
      </c>
      <c r="U615" s="4">
        <f>IF(OR(INDEX($AH$2:$AH$1001,MATCH(ROWS($AG$2:AG615),$AG$2:$AG$1001,0),1)&gt;=100000,INDEX($AN$1005:$BO$1005,1,MATCH(COLUMNS($AN$1006:BG1006),$AN$1006:$BO$1006,0))&gt;=100000), " ",IF(INDEX($AN$2:$BO$1001,MATCH(ROWS($AG$2:AG615),$AG$2:$AG$1001,0),MATCH(COLUMNS($AN$1006:BG1006),$AN$1006:$BO$1006,0)), HYPERLINK("#",""), HYPERLINK(CONCATENATE("#Metadata!", ADDRESS(INDEX($AI$2:$AI$1001,MATCH(ROWS($AG$2:AG615),$AG$2:$AG$1001,0),0), INDEX($AN$1004:$BO$1004,1,MATCH(COLUMNS($AN$1006:BG1006),$AN$1006:$BO$1006,0)))),"Fix")))</f>
        <v>0</v>
      </c>
      <c r="V615" s="4">
        <f>IF(OR(INDEX($AH$2:$AH$1001,MATCH(ROWS($AG$2:AG615),$AG$2:$AG$1001,0),1)&gt;=100000,INDEX($AN$1005:$BO$1005,1,MATCH(COLUMNS($AN$1006:BH1006),$AN$1006:$BO$1006,0))&gt;=100000), " ",IF(INDEX($AN$2:$BO$1001,MATCH(ROWS($AG$2:AG615),$AG$2:$AG$1001,0),MATCH(COLUMNS($AN$1006:BH1006),$AN$1006:$BO$1006,0)), HYPERLINK("#",""), HYPERLINK(CONCATENATE("#Metadata!", ADDRESS(INDEX($AI$2:$AI$1001,MATCH(ROWS($AG$2:AG615),$AG$2:$AG$1001,0),0), INDEX($AN$1004:$BO$1004,1,MATCH(COLUMNS($AN$1006:BH1006),$AN$1006:$BO$1006,0)))),"Fix")))</f>
        <v>0</v>
      </c>
      <c r="W615" s="4">
        <f>IF(OR(INDEX($AH$2:$AH$1001,MATCH(ROWS($AG$2:AG615),$AG$2:$AG$1001,0),1)&gt;=100000,INDEX($AN$1005:$BO$1005,1,MATCH(COLUMNS($AN$1006:BI1006),$AN$1006:$BO$1006,0))&gt;=100000), " ",IF(INDEX($AN$2:$BO$1001,MATCH(ROWS($AG$2:AG615),$AG$2:$AG$1001,0),MATCH(COLUMNS($AN$1006:BI1006),$AN$1006:$BO$1006,0)), HYPERLINK("#",""), HYPERLINK(CONCATENATE("#Metadata!", ADDRESS(INDEX($AI$2:$AI$1001,MATCH(ROWS($AG$2:AG615),$AG$2:$AG$1001,0),0), INDEX($AN$1004:$BO$1004,1,MATCH(COLUMNS($AN$1006:BI1006),$AN$1006:$BO$1006,0)))),"Fix")))</f>
        <v>0</v>
      </c>
      <c r="X615" s="4">
        <f>IF(OR(INDEX($AH$2:$AH$1001,MATCH(ROWS($AG$2:AG615),$AG$2:$AG$1001,0),1)&gt;=100000,INDEX($AN$1005:$BO$1005,1,MATCH(COLUMNS($AN$1006:BJ1006),$AN$1006:$BO$1006,0))&gt;=100000), " ",IF(INDEX($AN$2:$BO$1001,MATCH(ROWS($AG$2:AG615),$AG$2:$AG$1001,0),MATCH(COLUMNS($AN$1006:BJ1006),$AN$1006:$BO$1006,0)), HYPERLINK("#",""), HYPERLINK(CONCATENATE("#Metadata!", ADDRESS(INDEX($AI$2:$AI$1001,MATCH(ROWS($AG$2:AG615),$AG$2:$AG$1001,0),0), INDEX($AN$1004:$BO$1004,1,MATCH(COLUMNS($AN$1006:BJ1006),$AN$1006:$BO$1006,0)))),"Fix")))</f>
        <v>0</v>
      </c>
      <c r="Y615" s="4">
        <f>IF(OR(INDEX($AH$2:$AH$1001,MATCH(ROWS($AG$2:AG615),$AG$2:$AG$1001,0),1)&gt;=100000,INDEX($AN$1005:$BO$1005,1,MATCH(COLUMNS($AN$1006:BK1006),$AN$1006:$BO$1006,0))&gt;=100000), " ",IF(INDEX($AN$2:$BO$1001,MATCH(ROWS($AG$2:AG615),$AG$2:$AG$1001,0),MATCH(COLUMNS($AN$1006:BK1006),$AN$1006:$BO$1006,0)), HYPERLINK("#",""), HYPERLINK(CONCATENATE("#Metadata!", ADDRESS(INDEX($AI$2:$AI$1001,MATCH(ROWS($AG$2:AG615),$AG$2:$AG$1001,0),0), INDEX($AN$1004:$BO$1004,1,MATCH(COLUMNS($AN$1006:BK1006),$AN$1006:$BO$1006,0)))),"Fix")))</f>
        <v>0</v>
      </c>
      <c r="Z615" s="4">
        <f>IF(OR(INDEX($AH$2:$AH$1001,MATCH(ROWS($AG$2:AG615),$AG$2:$AG$1001,0),1)&gt;=100000,INDEX($AN$1005:$BO$1005,1,MATCH(COLUMNS($AN$1006:BL1006),$AN$1006:$BO$1006,0))&gt;=100000), " ",IF(INDEX($AN$2:$BO$1001,MATCH(ROWS($AG$2:AG615),$AG$2:$AG$1001,0),MATCH(COLUMNS($AN$1006:BL1006),$AN$1006:$BO$1006,0)), HYPERLINK("#",""), HYPERLINK(CONCATENATE("#Metadata!", ADDRESS(INDEX($AI$2:$AI$1001,MATCH(ROWS($AG$2:AG615),$AG$2:$AG$1001,0),0), INDEX($AN$1004:$BO$1004,1,MATCH(COLUMNS($AN$1006:BL1006),$AN$1006:$BO$1006,0)))),"Fix")))</f>
        <v>0</v>
      </c>
      <c r="AA615" s="4">
        <f>IF(OR(INDEX($AH$2:$AH$1001,MATCH(ROWS($AG$2:AG615),$AG$2:$AG$1001,0),1)&gt;=100000,INDEX($AN$1005:$BO$1005,1,MATCH(COLUMNS($AN$1006:BM1006),$AN$1006:$BO$1006,0))&gt;=100000), " ",IF(INDEX($AN$2:$BO$1001,MATCH(ROWS($AG$2:AG615),$AG$2:$AG$1001,0),MATCH(COLUMNS($AN$1006:BM1006),$AN$1006:$BO$1006,0)), HYPERLINK("#",""), HYPERLINK(CONCATENATE("#Metadata!", ADDRESS(INDEX($AI$2:$AI$1001,MATCH(ROWS($AG$2:AG615),$AG$2:$AG$1001,0),0), INDEX($AN$1004:$BO$1004,1,MATCH(COLUMNS($AN$1006:BM1006),$AN$1006:$BO$1006,0)))),"Fix")))</f>
        <v>0</v>
      </c>
      <c r="AB615" s="4">
        <f>IF(OR(INDEX($AH$2:$AH$1001,MATCH(ROWS($AG$2:AG615),$AG$2:$AG$1001,0),1)&gt;=100000,INDEX($AN$1005:$BO$1005,1,MATCH(COLUMNS($AN$1006:BN1006),$AN$1006:$BO$1006,0))&gt;=100000), " ",IF(INDEX($AN$2:$BO$1001,MATCH(ROWS($AG$2:AG615),$AG$2:$AG$1001,0),MATCH(COLUMNS($AN$1006:BN1006),$AN$1006:$BO$1006,0)), HYPERLINK("#",""), HYPERLINK(CONCATENATE("#Metadata!", ADDRESS(INDEX($AI$2:$AI$1001,MATCH(ROWS($AG$2:AG615),$AG$2:$AG$1001,0),0), INDEX($AN$1004:$BO$1004,1,MATCH(COLUMNS($AN$1006:BN1006),$AN$1006:$BO$1006,0)))),"Fix")))</f>
        <v>0</v>
      </c>
      <c r="AC615" s="4">
        <f>IF(OR(INDEX($AH$2:$AH$1001,MATCH(ROWS($AG$2:AG615),$AG$2:$AG$1001,0),1)&gt;=100000,INDEX($AN$1005:$BO$1005,1,MATCH(COLUMNS($AN$1006:BO1006),$AN$1006:$BO$1006,0))&gt;=100000), " ",IF(INDEX($AN$2:$BO$1001,MATCH(ROWS($AG$2:AG615),$AG$2:$AG$1001,0),MATCH(COLUMNS($AN$1006:BO1006),$AN$1006:$BO$1006,0)), HYPERLINK("#",""), HYPERLINK(CONCATENATE("#Metadata!", ADDRESS(INDEX($AI$2:$AI$1001,MATCH(ROWS($AG$2:AG615),$AG$2:$AG$1001,0),0), INDEX($AN$1004:$BO$1004,1,MATCH(COLUMNS($AN$1006:BO1006),$AN$1006:$BO$1006,0)))),"Fix")))</f>
        <v>0</v>
      </c>
      <c r="AG615">
        <v>0</v>
      </c>
      <c r="AH615">
        <v>0</v>
      </c>
      <c r="AI615">
        <v>0</v>
      </c>
      <c r="AJ615">
        <f>IF(AK615,TRUE,AND(AN615:BO615))</f>
        <v>0</v>
      </c>
      <c r="AK615">
        <f>COUNTBLANK(Metadata!B615:AC615)=COLUMNS(Metadata!B615:AC615)</f>
        <v>0</v>
      </c>
      <c r="AL615">
        <v>0</v>
      </c>
      <c r="AN615">
        <f>AND(IF(Metadata!B615="",FALSE,TRUE),COUNTIF(Metadata!B:B, Metadata!B615) = 1,NOT(ISERROR(SUMPRODUCT(SEARCH(MID(Metadata!B615,ROW(INDIRECT("1:"&amp;LEN(Metadata!B615))), 1),"0123456789abcdefghijklmnopqrstuvwxyzABCDEFGHIJKLMNOPQRSTUVWXYZ.")))))</f>
        <v>0</v>
      </c>
      <c r="AO615">
        <f>IF(Metadata!C615="",FALSE,TRUE)</f>
        <v>0</v>
      </c>
      <c r="AP615">
        <f>IF(Metadata!D615="",FALSE,TRUE)</f>
        <v>0</v>
      </c>
      <c r="AQ615">
        <f>OR(AND(IF(Metadata!E615="",FALSE,TRUE),OR(exact(Metadata!E615,"not collected"),exact(Metadata!E615,"not provided"),exact(Metadata!E615,"restricted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R615">
        <f>IF(Metadata!F615="",FALSE,TRUE)</f>
        <v>0</v>
      </c>
      <c r="AS615">
        <f>OR(AND(IF(Metadata!G615="",FALSE,TRUE),OR(exact(Metadata!G615,"not collected"),exact(Metadata!G615,"not provided"))),AND(IF(Metadata!G615="",FALSE,TRUE),OR(exact(Metadata!G615,"TRUE"),exact(Metadata!G615,"FALSE"))))</f>
        <v>0</v>
      </c>
      <c r="AT615">
        <f>OR(AND(IF(Metadata!H615="",FALSE,TRUE),OR(exact(Metadata!H615,"not collected"),exact(Metadata!H615,"not provided"),exact(Metadata!H615,"restricted access"))),AND(IF(Metadata!H615="",FALSE,ISNUMBER(VALUE(Metadata!H615))),Metadata!H615&gt;=-413.0))</f>
        <v>0</v>
      </c>
      <c r="AU615">
        <f>AND(IF(Metadata!I615="",FALSE,TRUE),exact(Metadata!I615,"meters"))</f>
        <v>0</v>
      </c>
      <c r="AV615">
        <f>AND(IF(Metadata!J615="",FALSE,TRUE),OR(exact(Metadata!J615,"Host-associated"),exact(Metadata!J615,"Free-living")))</f>
        <v>0</v>
      </c>
      <c r="AW615">
        <f>AND(IF(Metadata!K615="",FALSE,TRUE),OR(exact(Metadata!K615,"Animal"),exact(Metadata!K615,"Fungus"),exact(Metadata!K615,"Plant"),exact(Metadata!K615,"Saline"),exact(Metadata!K615,"Non-saline")))</f>
        <v>0</v>
      </c>
      <c r="AX615">
        <f>AND(IF(Metadata!L615="",FALSE,TRUE),OR(exact(Metadata!L615,"Plant secretion"),exact(Metadata!L615,"Plant rhizosphere"),exact(Metadata!L615,"Plant surface"),exact(Metadata!L615,"Plant corpus"),exact(Metadata!L615,"Fungus surface"),exact(Metadata!L615,"Fungus corpus"),exact(Metadata!L615,"Animal surface"),exact(Metadata!L615,"Animal proximal gut"),exact(Metadata!L615,"Animal corpus"),exact(Metadata!L615,"Animal distal gut"),exact(Metadata!L615,"Animal secretion"),exact(Metadata!L615,"Sub-surface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Y615">
        <f>IF(Metadata!M615="",FALSE,TRUE)</f>
        <v>0</v>
      </c>
      <c r="AZ615">
        <f>IF(Metadata!N615="",FALSE,TRUE)</f>
        <v>0</v>
      </c>
      <c r="BA615">
        <f>IF(Metadata!O615="",FALSE,TRUE)</f>
        <v>0</v>
      </c>
      <c r="BB615">
        <f>OR(AND(IF(Metadata!P615="",FALSE,TRUE),OR(exact(Metadata!P615,"not collected"),exact(Metadata!P615,"not provided"),exact(Metadata!P615,"restricted access"))),AND(IF(Metadata!P615="",FALSE,TRUE),OR(exact(Metadata!P615,"air"),exact(Metadata!P615,"built environment"),exact(Metadata!P615,"host-associated"),exact(Metadata!P615,"human-associated"),exact(Metadata!P615,"human-skin"),exact(Metadata!P615,"human-oral"),exact(Metadata!P615,"human-gut"),exact(Metadata!P615,"human-vaginal"),exact(Metadata!P615,"microbial mat/biofilm"),exact(Metadata!P615,"misc environment"),exact(Metadata!P615,"plant-associated"),exact(Metadata!P615,"sediment"),exact(Metadata!P615,"soil"),exact(Metadata!P615,"wastewater/sludge"),exact(Metadata!P615,"water"))))</f>
        <v>0</v>
      </c>
      <c r="BC615">
        <f>IF(Metadata!Q615="",FALSE,TRUE)</f>
        <v>0</v>
      </c>
      <c r="BD615">
        <f>IF(Metadata!R615="",FALSE,TRUE)</f>
        <v>0</v>
      </c>
      <c r="BE615">
        <f>OR(AND(IF(Metadata!S615="",FALSE,TRUE),OR(exact(Metadata!S615,"not collected"),exact(Metadata!S615,"not provided"),exact(Metadata!S615,"restricted access"))),AND(IF(Metadata!S615="",FALSE,ISNUMBER(VALUE(Metadata!S615))),Metadata!S615&gt;=-90.00,Metadata!S615&lt;=90.00))</f>
        <v>0</v>
      </c>
      <c r="BF615">
        <f>AND(IF(Metadata!T615="",FALSE,TRUE),exact(Metadata!T615,"Decimal degrees"))</f>
        <v>0</v>
      </c>
      <c r="BG615">
        <f>OR(AND(IF(Metadata!U615="",FALSE,TRUE),OR(exact(Metadata!U615,"not collected"),exact(Metadata!U615,"not provided"),exact(Metadata!U615,"restricted access"))),AND(IF(Metadata!U615="",FALSE,ISNUMBER(VALUE(Metadata!U615))),Metadata!U615&gt;=-180.00,Metadata!U615&lt;=180.00))</f>
        <v>0</v>
      </c>
      <c r="BH615">
        <f>AND(IF(Metadata!V615="",FALSE,TRUE),exact(Metadata!V615,"Decimal degrees"))</f>
        <v>0</v>
      </c>
      <c r="BI615">
        <f>IF(Metadata!W615="",FALSE,TRUE)</f>
        <v>0</v>
      </c>
      <c r="BJ615">
        <f>OR(AND(IF(Metadata!X615="",FALSE,TRUE),OR(exact(Metadata!X615,"not collected"),exact(Metadata!X615,"not provided"),exact(Metadata!X615,"restricted access"))),AND(IF(Metadata!X615="",FALSE,TRUE),OR(exact(Metadata!X615,"TRUE"),exact(Metadata!X615,"FALSE"))))</f>
        <v>0</v>
      </c>
      <c r="BK615">
        <f>AND(IF(Metadata!Y615="",FALSE,TRUE),exact(Metadata!Y615,"other"))</f>
        <v>0</v>
      </c>
      <c r="BL615">
        <f>IF(Metadata!Z615="",FALSE,TRUE)</f>
        <v>0</v>
      </c>
      <c r="BM615">
        <f>OR(AND(IF(Metadata!AA615="",FALSE,TRUE),OR(exact(Metadata!AA615,"not collected"),exact(Metadata!AA615,"not provided"))),AND(IF(Metadata!AA615="",FALSE,IF(ISERROR(INT(Metadata!AA615)),FALSE,INT(Metadata!AA615)=Metadata!AA615)),Metadata!AA615&gt;0))</f>
        <v>0</v>
      </c>
      <c r="BN615">
        <f>AND(IF(Metadata!AB615="",FALSE,TRUE),exact(Metadata!AB615,"Not applicable"))</f>
        <v>0</v>
      </c>
      <c r="BO615">
        <f>IF(Metadata!AC615="",FALSE,TRUE)</f>
        <v>0</v>
      </c>
    </row>
    <row r="616" spans="1:67">
      <c r="A616" s="5">
        <f>IF(B616=" "," ",HYPERLINK(CONCATENATE("#metadata!",ADDRESS(INDEX($AI$2:$AI$1001,MATCH(ROWS($AG$2:AG616),$AG$2:$AG$1001,0),0),1)),INDEX($AL$2:$AL$1001,MATCH(ROWS($AG$2:AG616),$AG$2:$AG$1001,0),0)))</f>
        <v>0</v>
      </c>
      <c r="B616" s="4">
        <f>IF(OR(INDEX($AH$2:$AH$1001,MATCH(ROWS($AG$2:AG616),$AG$2:$AG$1001,0),1)&gt;=100000,INDEX($AN$1005:$BO$1005,1,MATCH(COLUMNS($AN$1006:AN1006),$AN$1006:$BO$1006,0))&gt;=100000), " ",IF(INDEX($AN$2:$BO$1001,MATCH(ROWS($AG$2:AG616),$AG$2:$AG$1001,0),MATCH(COLUMNS($AN$1006:AN1006),$AN$1006:$BO$1006,0)), HYPERLINK("#",""), HYPERLINK(CONCATENATE("#Metadata!", ADDRESS(INDEX($AI$2:$AI$1001,MATCH(ROWS($AG$2:AG616),$AG$2:$AG$1001,0),0), INDEX($AN$1004:$BO$1004,1,MATCH(COLUMNS($AN$1006:AN1006),$AN$1006:$BO$1006,0)))),"Fix")))</f>
        <v>0</v>
      </c>
      <c r="C616" s="4">
        <f>IF(OR(INDEX($AH$2:$AH$1001,MATCH(ROWS($AG$2:AG616),$AG$2:$AG$1001,0),1)&gt;=100000,INDEX($AN$1005:$BO$1005,1,MATCH(COLUMNS($AN$1006:AO1006),$AN$1006:$BO$1006,0))&gt;=100000), " ",IF(INDEX($AN$2:$BO$1001,MATCH(ROWS($AG$2:AG616),$AG$2:$AG$1001,0),MATCH(COLUMNS($AN$1006:AO1006),$AN$1006:$BO$1006,0)), HYPERLINK("#",""), HYPERLINK(CONCATENATE("#Metadata!", ADDRESS(INDEX($AI$2:$AI$1001,MATCH(ROWS($AG$2:AG616),$AG$2:$AG$1001,0),0), INDEX($AN$1004:$BO$1004,1,MATCH(COLUMNS($AN$1006:AO1006),$AN$1006:$BO$1006,0)))),"Fix")))</f>
        <v>0</v>
      </c>
      <c r="D616" s="4">
        <f>IF(OR(INDEX($AH$2:$AH$1001,MATCH(ROWS($AG$2:AG616),$AG$2:$AG$1001,0),1)&gt;=100000,INDEX($AN$1005:$BO$1005,1,MATCH(COLUMNS($AN$1006:AP1006),$AN$1006:$BO$1006,0))&gt;=100000), " ",IF(INDEX($AN$2:$BO$1001,MATCH(ROWS($AG$2:AG616),$AG$2:$AG$1001,0),MATCH(COLUMNS($AN$1006:AP1006),$AN$1006:$BO$1006,0)), HYPERLINK("#",""), HYPERLINK(CONCATENATE("#Metadata!", ADDRESS(INDEX($AI$2:$AI$1001,MATCH(ROWS($AG$2:AG616),$AG$2:$AG$1001,0),0), INDEX($AN$1004:$BO$1004,1,MATCH(COLUMNS($AN$1006:AP1006),$AN$1006:$BO$1006,0)))),"Fix")))</f>
        <v>0</v>
      </c>
      <c r="E616" s="4">
        <f>IF(OR(INDEX($AH$2:$AH$1001,MATCH(ROWS($AG$2:AG616),$AG$2:$AG$1001,0),1)&gt;=100000,INDEX($AN$1005:$BO$1005,1,MATCH(COLUMNS($AN$1006:AQ1006),$AN$1006:$BO$1006,0))&gt;=100000), " ",IF(INDEX($AN$2:$BO$1001,MATCH(ROWS($AG$2:AG616),$AG$2:$AG$1001,0),MATCH(COLUMNS($AN$1006:AQ1006),$AN$1006:$BO$1006,0)), HYPERLINK("#",""), HYPERLINK(CONCATENATE("#Metadata!", ADDRESS(INDEX($AI$2:$AI$1001,MATCH(ROWS($AG$2:AG616),$AG$2:$AG$1001,0),0), INDEX($AN$1004:$BO$1004,1,MATCH(COLUMNS($AN$1006:AQ1006),$AN$1006:$BO$1006,0)))),"Fix")))</f>
        <v>0</v>
      </c>
      <c r="F616" s="4">
        <f>IF(OR(INDEX($AH$2:$AH$1001,MATCH(ROWS($AG$2:AG616),$AG$2:$AG$1001,0),1)&gt;=100000,INDEX($AN$1005:$BO$1005,1,MATCH(COLUMNS($AN$1006:AR1006),$AN$1006:$BO$1006,0))&gt;=100000), " ",IF(INDEX($AN$2:$BO$1001,MATCH(ROWS($AG$2:AG616),$AG$2:$AG$1001,0),MATCH(COLUMNS($AN$1006:AR1006),$AN$1006:$BO$1006,0)), HYPERLINK("#",""), HYPERLINK(CONCATENATE("#Metadata!", ADDRESS(INDEX($AI$2:$AI$1001,MATCH(ROWS($AG$2:AG616),$AG$2:$AG$1001,0),0), INDEX($AN$1004:$BO$1004,1,MATCH(COLUMNS($AN$1006:AR1006),$AN$1006:$BO$1006,0)))),"Fix")))</f>
        <v>0</v>
      </c>
      <c r="G616" s="4">
        <f>IF(OR(INDEX($AH$2:$AH$1001,MATCH(ROWS($AG$2:AG616),$AG$2:$AG$1001,0),1)&gt;=100000,INDEX($AN$1005:$BO$1005,1,MATCH(COLUMNS($AN$1006:AS1006),$AN$1006:$BO$1006,0))&gt;=100000), " ",IF(INDEX($AN$2:$BO$1001,MATCH(ROWS($AG$2:AG616),$AG$2:$AG$1001,0),MATCH(COLUMNS($AN$1006:AS1006),$AN$1006:$BO$1006,0)), HYPERLINK("#",""), HYPERLINK(CONCATENATE("#Metadata!", ADDRESS(INDEX($AI$2:$AI$1001,MATCH(ROWS($AG$2:AG616),$AG$2:$AG$1001,0),0), INDEX($AN$1004:$BO$1004,1,MATCH(COLUMNS($AN$1006:AS1006),$AN$1006:$BO$1006,0)))),"Fix")))</f>
        <v>0</v>
      </c>
      <c r="H616" s="4">
        <f>IF(OR(INDEX($AH$2:$AH$1001,MATCH(ROWS($AG$2:AG616),$AG$2:$AG$1001,0),1)&gt;=100000,INDEX($AN$1005:$BO$1005,1,MATCH(COLUMNS($AN$1006:AT1006),$AN$1006:$BO$1006,0))&gt;=100000), " ",IF(INDEX($AN$2:$BO$1001,MATCH(ROWS($AG$2:AG616),$AG$2:$AG$1001,0),MATCH(COLUMNS($AN$1006:AT1006),$AN$1006:$BO$1006,0)), HYPERLINK("#",""), HYPERLINK(CONCATENATE("#Metadata!", ADDRESS(INDEX($AI$2:$AI$1001,MATCH(ROWS($AG$2:AG616),$AG$2:$AG$1001,0),0), INDEX($AN$1004:$BO$1004,1,MATCH(COLUMNS($AN$1006:AT1006),$AN$1006:$BO$1006,0)))),"Fix")))</f>
        <v>0</v>
      </c>
      <c r="I616" s="4">
        <f>IF(OR(INDEX($AH$2:$AH$1001,MATCH(ROWS($AG$2:AG616),$AG$2:$AG$1001,0),1)&gt;=100000,INDEX($AN$1005:$BO$1005,1,MATCH(COLUMNS($AN$1006:AU1006),$AN$1006:$BO$1006,0))&gt;=100000), " ",IF(INDEX($AN$2:$BO$1001,MATCH(ROWS($AG$2:AG616),$AG$2:$AG$1001,0),MATCH(COLUMNS($AN$1006:AU1006),$AN$1006:$BO$1006,0)), HYPERLINK("#",""), HYPERLINK(CONCATENATE("#Metadata!", ADDRESS(INDEX($AI$2:$AI$1001,MATCH(ROWS($AG$2:AG616),$AG$2:$AG$1001,0),0), INDEX($AN$1004:$BO$1004,1,MATCH(COLUMNS($AN$1006:AU1006),$AN$1006:$BO$1006,0)))),"Fix")))</f>
        <v>0</v>
      </c>
      <c r="J616" s="4">
        <f>IF(OR(INDEX($AH$2:$AH$1001,MATCH(ROWS($AG$2:AG616),$AG$2:$AG$1001,0),1)&gt;=100000,INDEX($AN$1005:$BO$1005,1,MATCH(COLUMNS($AN$1006:AV1006),$AN$1006:$BO$1006,0))&gt;=100000), " ",IF(INDEX($AN$2:$BO$1001,MATCH(ROWS($AG$2:AG616),$AG$2:$AG$1001,0),MATCH(COLUMNS($AN$1006:AV1006),$AN$1006:$BO$1006,0)), HYPERLINK("#",""), HYPERLINK(CONCATENATE("#Metadata!", ADDRESS(INDEX($AI$2:$AI$1001,MATCH(ROWS($AG$2:AG616),$AG$2:$AG$1001,0),0), INDEX($AN$1004:$BO$1004,1,MATCH(COLUMNS($AN$1006:AV1006),$AN$1006:$BO$1006,0)))),"Fix")))</f>
        <v>0</v>
      </c>
      <c r="K616" s="4">
        <f>IF(OR(INDEX($AH$2:$AH$1001,MATCH(ROWS($AG$2:AG616),$AG$2:$AG$1001,0),1)&gt;=100000,INDEX($AN$1005:$BO$1005,1,MATCH(COLUMNS($AN$1006:AW1006),$AN$1006:$BO$1006,0))&gt;=100000), " ",IF(INDEX($AN$2:$BO$1001,MATCH(ROWS($AG$2:AG616),$AG$2:$AG$1001,0),MATCH(COLUMNS($AN$1006:AW1006),$AN$1006:$BO$1006,0)), HYPERLINK("#",""), HYPERLINK(CONCATENATE("#Metadata!", ADDRESS(INDEX($AI$2:$AI$1001,MATCH(ROWS($AG$2:AG616),$AG$2:$AG$1001,0),0), INDEX($AN$1004:$BO$1004,1,MATCH(COLUMNS($AN$1006:AW1006),$AN$1006:$BO$1006,0)))),"Fix")))</f>
        <v>0</v>
      </c>
      <c r="L616" s="4">
        <f>IF(OR(INDEX($AH$2:$AH$1001,MATCH(ROWS($AG$2:AG616),$AG$2:$AG$1001,0),1)&gt;=100000,INDEX($AN$1005:$BO$1005,1,MATCH(COLUMNS($AN$1006:AX1006),$AN$1006:$BO$1006,0))&gt;=100000), " ",IF(INDEX($AN$2:$BO$1001,MATCH(ROWS($AG$2:AG616),$AG$2:$AG$1001,0),MATCH(COLUMNS($AN$1006:AX1006),$AN$1006:$BO$1006,0)), HYPERLINK("#",""), HYPERLINK(CONCATENATE("#Metadata!", ADDRESS(INDEX($AI$2:$AI$1001,MATCH(ROWS($AG$2:AG616),$AG$2:$AG$1001,0),0), INDEX($AN$1004:$BO$1004,1,MATCH(COLUMNS($AN$1006:AX1006),$AN$1006:$BO$1006,0)))),"Fix")))</f>
        <v>0</v>
      </c>
      <c r="M616" s="4">
        <f>IF(OR(INDEX($AH$2:$AH$1001,MATCH(ROWS($AG$2:AG616),$AG$2:$AG$1001,0),1)&gt;=100000,INDEX($AN$1005:$BO$1005,1,MATCH(COLUMNS($AN$1006:AY1006),$AN$1006:$BO$1006,0))&gt;=100000), " ",IF(INDEX($AN$2:$BO$1001,MATCH(ROWS($AG$2:AG616),$AG$2:$AG$1001,0),MATCH(COLUMNS($AN$1006:AY1006),$AN$1006:$BO$1006,0)), HYPERLINK("#",""), HYPERLINK(CONCATENATE("#Metadata!", ADDRESS(INDEX($AI$2:$AI$1001,MATCH(ROWS($AG$2:AG616),$AG$2:$AG$1001,0),0), INDEX($AN$1004:$BO$1004,1,MATCH(COLUMNS($AN$1006:AY1006),$AN$1006:$BO$1006,0)))),"Fix")))</f>
        <v>0</v>
      </c>
      <c r="N616" s="4">
        <f>IF(OR(INDEX($AH$2:$AH$1001,MATCH(ROWS($AG$2:AG616),$AG$2:$AG$1001,0),1)&gt;=100000,INDEX($AN$1005:$BO$1005,1,MATCH(COLUMNS($AN$1006:AZ1006),$AN$1006:$BO$1006,0))&gt;=100000), " ",IF(INDEX($AN$2:$BO$1001,MATCH(ROWS($AG$2:AG616),$AG$2:$AG$1001,0),MATCH(COLUMNS($AN$1006:AZ1006),$AN$1006:$BO$1006,0)), HYPERLINK("#",""), HYPERLINK(CONCATENATE("#Metadata!", ADDRESS(INDEX($AI$2:$AI$1001,MATCH(ROWS($AG$2:AG616),$AG$2:$AG$1001,0),0), INDEX($AN$1004:$BO$1004,1,MATCH(COLUMNS($AN$1006:AZ1006),$AN$1006:$BO$1006,0)))),"Fix")))</f>
        <v>0</v>
      </c>
      <c r="O616" s="4">
        <f>IF(OR(INDEX($AH$2:$AH$1001,MATCH(ROWS($AG$2:AG616),$AG$2:$AG$1001,0),1)&gt;=100000,INDEX($AN$1005:$BO$1005,1,MATCH(COLUMNS($AN$1006:BA1006),$AN$1006:$BO$1006,0))&gt;=100000), " ",IF(INDEX($AN$2:$BO$1001,MATCH(ROWS($AG$2:AG616),$AG$2:$AG$1001,0),MATCH(COLUMNS($AN$1006:BA1006),$AN$1006:$BO$1006,0)), HYPERLINK("#",""), HYPERLINK(CONCATENATE("#Metadata!", ADDRESS(INDEX($AI$2:$AI$1001,MATCH(ROWS($AG$2:AG616),$AG$2:$AG$1001,0),0), INDEX($AN$1004:$BO$1004,1,MATCH(COLUMNS($AN$1006:BA1006),$AN$1006:$BO$1006,0)))),"Fix")))</f>
        <v>0</v>
      </c>
      <c r="P616" s="4">
        <f>IF(OR(INDEX($AH$2:$AH$1001,MATCH(ROWS($AG$2:AG616),$AG$2:$AG$1001,0),1)&gt;=100000,INDEX($AN$1005:$BO$1005,1,MATCH(COLUMNS($AN$1006:BB1006),$AN$1006:$BO$1006,0))&gt;=100000), " ",IF(INDEX($AN$2:$BO$1001,MATCH(ROWS($AG$2:AG616),$AG$2:$AG$1001,0),MATCH(COLUMNS($AN$1006:BB1006),$AN$1006:$BO$1006,0)), HYPERLINK("#",""), HYPERLINK(CONCATENATE("#Metadata!", ADDRESS(INDEX($AI$2:$AI$1001,MATCH(ROWS($AG$2:AG616),$AG$2:$AG$1001,0),0), INDEX($AN$1004:$BO$1004,1,MATCH(COLUMNS($AN$1006:BB1006),$AN$1006:$BO$1006,0)))),"Fix")))</f>
        <v>0</v>
      </c>
      <c r="Q616" s="4">
        <f>IF(OR(INDEX($AH$2:$AH$1001,MATCH(ROWS($AG$2:AG616),$AG$2:$AG$1001,0),1)&gt;=100000,INDEX($AN$1005:$BO$1005,1,MATCH(COLUMNS($AN$1006:BC1006),$AN$1006:$BO$1006,0))&gt;=100000), " ",IF(INDEX($AN$2:$BO$1001,MATCH(ROWS($AG$2:AG616),$AG$2:$AG$1001,0),MATCH(COLUMNS($AN$1006:BC1006),$AN$1006:$BO$1006,0)), HYPERLINK("#",""), HYPERLINK(CONCATENATE("#Metadata!", ADDRESS(INDEX($AI$2:$AI$1001,MATCH(ROWS($AG$2:AG616),$AG$2:$AG$1001,0),0), INDEX($AN$1004:$BO$1004,1,MATCH(COLUMNS($AN$1006:BC1006),$AN$1006:$BO$1006,0)))),"Fix")))</f>
        <v>0</v>
      </c>
      <c r="R616" s="4">
        <f>IF(OR(INDEX($AH$2:$AH$1001,MATCH(ROWS($AG$2:AG616),$AG$2:$AG$1001,0),1)&gt;=100000,INDEX($AN$1005:$BO$1005,1,MATCH(COLUMNS($AN$1006:BD1006),$AN$1006:$BO$1006,0))&gt;=100000), " ",IF(INDEX($AN$2:$BO$1001,MATCH(ROWS($AG$2:AG616),$AG$2:$AG$1001,0),MATCH(COLUMNS($AN$1006:BD1006),$AN$1006:$BO$1006,0)), HYPERLINK("#",""), HYPERLINK(CONCATENATE("#Metadata!", ADDRESS(INDEX($AI$2:$AI$1001,MATCH(ROWS($AG$2:AG616),$AG$2:$AG$1001,0),0), INDEX($AN$1004:$BO$1004,1,MATCH(COLUMNS($AN$1006:BD1006),$AN$1006:$BO$1006,0)))),"Fix")))</f>
        <v>0</v>
      </c>
      <c r="S616" s="4">
        <f>IF(OR(INDEX($AH$2:$AH$1001,MATCH(ROWS($AG$2:AG616),$AG$2:$AG$1001,0),1)&gt;=100000,INDEX($AN$1005:$BO$1005,1,MATCH(COLUMNS($AN$1006:BE1006),$AN$1006:$BO$1006,0))&gt;=100000), " ",IF(INDEX($AN$2:$BO$1001,MATCH(ROWS($AG$2:AG616),$AG$2:$AG$1001,0),MATCH(COLUMNS($AN$1006:BE1006),$AN$1006:$BO$1006,0)), HYPERLINK("#",""), HYPERLINK(CONCATENATE("#Metadata!", ADDRESS(INDEX($AI$2:$AI$1001,MATCH(ROWS($AG$2:AG616),$AG$2:$AG$1001,0),0), INDEX($AN$1004:$BO$1004,1,MATCH(COLUMNS($AN$1006:BE1006),$AN$1006:$BO$1006,0)))),"Fix")))</f>
        <v>0</v>
      </c>
      <c r="T616" s="4">
        <f>IF(OR(INDEX($AH$2:$AH$1001,MATCH(ROWS($AG$2:AG616),$AG$2:$AG$1001,0),1)&gt;=100000,INDEX($AN$1005:$BO$1005,1,MATCH(COLUMNS($AN$1006:BF1006),$AN$1006:$BO$1006,0))&gt;=100000), " ",IF(INDEX($AN$2:$BO$1001,MATCH(ROWS($AG$2:AG616),$AG$2:$AG$1001,0),MATCH(COLUMNS($AN$1006:BF1006),$AN$1006:$BO$1006,0)), HYPERLINK("#",""), HYPERLINK(CONCATENATE("#Metadata!", ADDRESS(INDEX($AI$2:$AI$1001,MATCH(ROWS($AG$2:AG616),$AG$2:$AG$1001,0),0), INDEX($AN$1004:$BO$1004,1,MATCH(COLUMNS($AN$1006:BF1006),$AN$1006:$BO$1006,0)))),"Fix")))</f>
        <v>0</v>
      </c>
      <c r="U616" s="4">
        <f>IF(OR(INDEX($AH$2:$AH$1001,MATCH(ROWS($AG$2:AG616),$AG$2:$AG$1001,0),1)&gt;=100000,INDEX($AN$1005:$BO$1005,1,MATCH(COLUMNS($AN$1006:BG1006),$AN$1006:$BO$1006,0))&gt;=100000), " ",IF(INDEX($AN$2:$BO$1001,MATCH(ROWS($AG$2:AG616),$AG$2:$AG$1001,0),MATCH(COLUMNS($AN$1006:BG1006),$AN$1006:$BO$1006,0)), HYPERLINK("#",""), HYPERLINK(CONCATENATE("#Metadata!", ADDRESS(INDEX($AI$2:$AI$1001,MATCH(ROWS($AG$2:AG616),$AG$2:$AG$1001,0),0), INDEX($AN$1004:$BO$1004,1,MATCH(COLUMNS($AN$1006:BG1006),$AN$1006:$BO$1006,0)))),"Fix")))</f>
        <v>0</v>
      </c>
      <c r="V616" s="4">
        <f>IF(OR(INDEX($AH$2:$AH$1001,MATCH(ROWS($AG$2:AG616),$AG$2:$AG$1001,0),1)&gt;=100000,INDEX($AN$1005:$BO$1005,1,MATCH(COLUMNS($AN$1006:BH1006),$AN$1006:$BO$1006,0))&gt;=100000), " ",IF(INDEX($AN$2:$BO$1001,MATCH(ROWS($AG$2:AG616),$AG$2:$AG$1001,0),MATCH(COLUMNS($AN$1006:BH1006),$AN$1006:$BO$1006,0)), HYPERLINK("#",""), HYPERLINK(CONCATENATE("#Metadata!", ADDRESS(INDEX($AI$2:$AI$1001,MATCH(ROWS($AG$2:AG616),$AG$2:$AG$1001,0),0), INDEX($AN$1004:$BO$1004,1,MATCH(COLUMNS($AN$1006:BH1006),$AN$1006:$BO$1006,0)))),"Fix")))</f>
        <v>0</v>
      </c>
      <c r="W616" s="4">
        <f>IF(OR(INDEX($AH$2:$AH$1001,MATCH(ROWS($AG$2:AG616),$AG$2:$AG$1001,0),1)&gt;=100000,INDEX($AN$1005:$BO$1005,1,MATCH(COLUMNS($AN$1006:BI1006),$AN$1006:$BO$1006,0))&gt;=100000), " ",IF(INDEX($AN$2:$BO$1001,MATCH(ROWS($AG$2:AG616),$AG$2:$AG$1001,0),MATCH(COLUMNS($AN$1006:BI1006),$AN$1006:$BO$1006,0)), HYPERLINK("#",""), HYPERLINK(CONCATENATE("#Metadata!", ADDRESS(INDEX($AI$2:$AI$1001,MATCH(ROWS($AG$2:AG616),$AG$2:$AG$1001,0),0), INDEX($AN$1004:$BO$1004,1,MATCH(COLUMNS($AN$1006:BI1006),$AN$1006:$BO$1006,0)))),"Fix")))</f>
        <v>0</v>
      </c>
      <c r="X616" s="4">
        <f>IF(OR(INDEX($AH$2:$AH$1001,MATCH(ROWS($AG$2:AG616),$AG$2:$AG$1001,0),1)&gt;=100000,INDEX($AN$1005:$BO$1005,1,MATCH(COLUMNS($AN$1006:BJ1006),$AN$1006:$BO$1006,0))&gt;=100000), " ",IF(INDEX($AN$2:$BO$1001,MATCH(ROWS($AG$2:AG616),$AG$2:$AG$1001,0),MATCH(COLUMNS($AN$1006:BJ1006),$AN$1006:$BO$1006,0)), HYPERLINK("#",""), HYPERLINK(CONCATENATE("#Metadata!", ADDRESS(INDEX($AI$2:$AI$1001,MATCH(ROWS($AG$2:AG616),$AG$2:$AG$1001,0),0), INDEX($AN$1004:$BO$1004,1,MATCH(COLUMNS($AN$1006:BJ1006),$AN$1006:$BO$1006,0)))),"Fix")))</f>
        <v>0</v>
      </c>
      <c r="Y616" s="4">
        <f>IF(OR(INDEX($AH$2:$AH$1001,MATCH(ROWS($AG$2:AG616),$AG$2:$AG$1001,0),1)&gt;=100000,INDEX($AN$1005:$BO$1005,1,MATCH(COLUMNS($AN$1006:BK1006),$AN$1006:$BO$1006,0))&gt;=100000), " ",IF(INDEX($AN$2:$BO$1001,MATCH(ROWS($AG$2:AG616),$AG$2:$AG$1001,0),MATCH(COLUMNS($AN$1006:BK1006),$AN$1006:$BO$1006,0)), HYPERLINK("#",""), HYPERLINK(CONCATENATE("#Metadata!", ADDRESS(INDEX($AI$2:$AI$1001,MATCH(ROWS($AG$2:AG616),$AG$2:$AG$1001,0),0), INDEX($AN$1004:$BO$1004,1,MATCH(COLUMNS($AN$1006:BK1006),$AN$1006:$BO$1006,0)))),"Fix")))</f>
        <v>0</v>
      </c>
      <c r="Z616" s="4">
        <f>IF(OR(INDEX($AH$2:$AH$1001,MATCH(ROWS($AG$2:AG616),$AG$2:$AG$1001,0),1)&gt;=100000,INDEX($AN$1005:$BO$1005,1,MATCH(COLUMNS($AN$1006:BL1006),$AN$1006:$BO$1006,0))&gt;=100000), " ",IF(INDEX($AN$2:$BO$1001,MATCH(ROWS($AG$2:AG616),$AG$2:$AG$1001,0),MATCH(COLUMNS($AN$1006:BL1006),$AN$1006:$BO$1006,0)), HYPERLINK("#",""), HYPERLINK(CONCATENATE("#Metadata!", ADDRESS(INDEX($AI$2:$AI$1001,MATCH(ROWS($AG$2:AG616),$AG$2:$AG$1001,0),0), INDEX($AN$1004:$BO$1004,1,MATCH(COLUMNS($AN$1006:BL1006),$AN$1006:$BO$1006,0)))),"Fix")))</f>
        <v>0</v>
      </c>
      <c r="AA616" s="4">
        <f>IF(OR(INDEX($AH$2:$AH$1001,MATCH(ROWS($AG$2:AG616),$AG$2:$AG$1001,0),1)&gt;=100000,INDEX($AN$1005:$BO$1005,1,MATCH(COLUMNS($AN$1006:BM1006),$AN$1006:$BO$1006,0))&gt;=100000), " ",IF(INDEX($AN$2:$BO$1001,MATCH(ROWS($AG$2:AG616),$AG$2:$AG$1001,0),MATCH(COLUMNS($AN$1006:BM1006),$AN$1006:$BO$1006,0)), HYPERLINK("#",""), HYPERLINK(CONCATENATE("#Metadata!", ADDRESS(INDEX($AI$2:$AI$1001,MATCH(ROWS($AG$2:AG616),$AG$2:$AG$1001,0),0), INDEX($AN$1004:$BO$1004,1,MATCH(COLUMNS($AN$1006:BM1006),$AN$1006:$BO$1006,0)))),"Fix")))</f>
        <v>0</v>
      </c>
      <c r="AB616" s="4">
        <f>IF(OR(INDEX($AH$2:$AH$1001,MATCH(ROWS($AG$2:AG616),$AG$2:$AG$1001,0),1)&gt;=100000,INDEX($AN$1005:$BO$1005,1,MATCH(COLUMNS($AN$1006:BN1006),$AN$1006:$BO$1006,0))&gt;=100000), " ",IF(INDEX($AN$2:$BO$1001,MATCH(ROWS($AG$2:AG616),$AG$2:$AG$1001,0),MATCH(COLUMNS($AN$1006:BN1006),$AN$1006:$BO$1006,0)), HYPERLINK("#",""), HYPERLINK(CONCATENATE("#Metadata!", ADDRESS(INDEX($AI$2:$AI$1001,MATCH(ROWS($AG$2:AG616),$AG$2:$AG$1001,0),0), INDEX($AN$1004:$BO$1004,1,MATCH(COLUMNS($AN$1006:BN1006),$AN$1006:$BO$1006,0)))),"Fix")))</f>
        <v>0</v>
      </c>
      <c r="AC616" s="4">
        <f>IF(OR(INDEX($AH$2:$AH$1001,MATCH(ROWS($AG$2:AG616),$AG$2:$AG$1001,0),1)&gt;=100000,INDEX($AN$1005:$BO$1005,1,MATCH(COLUMNS($AN$1006:BO1006),$AN$1006:$BO$1006,0))&gt;=100000), " ",IF(INDEX($AN$2:$BO$1001,MATCH(ROWS($AG$2:AG616),$AG$2:$AG$1001,0),MATCH(COLUMNS($AN$1006:BO1006),$AN$1006:$BO$1006,0)), HYPERLINK("#",""), HYPERLINK(CONCATENATE("#Metadata!", ADDRESS(INDEX($AI$2:$AI$1001,MATCH(ROWS($AG$2:AG616),$AG$2:$AG$1001,0),0), INDEX($AN$1004:$BO$1004,1,MATCH(COLUMNS($AN$1006:BO1006),$AN$1006:$BO$1006,0)))),"Fix")))</f>
        <v>0</v>
      </c>
      <c r="AG616">
        <v>0</v>
      </c>
      <c r="AH616">
        <v>0</v>
      </c>
      <c r="AI616">
        <v>0</v>
      </c>
      <c r="AJ616">
        <f>IF(AK616,TRUE,AND(AN616:BO616))</f>
        <v>0</v>
      </c>
      <c r="AK616">
        <f>COUNTBLANK(Metadata!B616:AC616)=COLUMNS(Metadata!B616:AC616)</f>
        <v>0</v>
      </c>
      <c r="AL616">
        <v>0</v>
      </c>
      <c r="AN616">
        <f>AND(IF(Metadata!B616="",FALSE,TRUE),COUNTIF(Metadata!B:B, Metadata!B616) = 1,NOT(ISERROR(SUMPRODUCT(SEARCH(MID(Metadata!B616,ROW(INDIRECT("1:"&amp;LEN(Metadata!B616))), 1),"0123456789abcdefghijklmnopqrstuvwxyzABCDEFGHIJKLMNOPQRSTUVWXYZ.")))))</f>
        <v>0</v>
      </c>
      <c r="AO616">
        <f>IF(Metadata!C616="",FALSE,TRUE)</f>
        <v>0</v>
      </c>
      <c r="AP616">
        <f>IF(Metadata!D616="",FALSE,TRUE)</f>
        <v>0</v>
      </c>
      <c r="AQ616">
        <f>OR(AND(IF(Metadata!E616="",FALSE,TRUE),OR(exact(Metadata!E616,"not collected"),exact(Metadata!E616,"not provided"),exact(Metadata!E616,"restricted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R616">
        <f>IF(Metadata!F616="",FALSE,TRUE)</f>
        <v>0</v>
      </c>
      <c r="AS616">
        <f>OR(AND(IF(Metadata!G616="",FALSE,TRUE),OR(exact(Metadata!G616,"not collected"),exact(Metadata!G616,"not provided"))),AND(IF(Metadata!G616="",FALSE,TRUE),OR(exact(Metadata!G616,"TRUE"),exact(Metadata!G616,"FALSE"))))</f>
        <v>0</v>
      </c>
      <c r="AT616">
        <f>OR(AND(IF(Metadata!H616="",FALSE,TRUE),OR(exact(Metadata!H616,"not collected"),exact(Metadata!H616,"not provided"),exact(Metadata!H616,"restricted access"))),AND(IF(Metadata!H616="",FALSE,ISNUMBER(VALUE(Metadata!H616))),Metadata!H616&gt;=-413.0))</f>
        <v>0</v>
      </c>
      <c r="AU616">
        <f>AND(IF(Metadata!I616="",FALSE,TRUE),exact(Metadata!I616,"meters"))</f>
        <v>0</v>
      </c>
      <c r="AV616">
        <f>AND(IF(Metadata!J616="",FALSE,TRUE),OR(exact(Metadata!J616,"Host-associated"),exact(Metadata!J616,"Free-living")))</f>
        <v>0</v>
      </c>
      <c r="AW616">
        <f>AND(IF(Metadata!K616="",FALSE,TRUE),OR(exact(Metadata!K616,"Animal"),exact(Metadata!K616,"Fungus"),exact(Metadata!K616,"Plant"),exact(Metadata!K616,"Saline"),exact(Metadata!K616,"Non-saline")))</f>
        <v>0</v>
      </c>
      <c r="AX616">
        <f>AND(IF(Metadata!L616="",FALSE,TRUE),OR(exact(Metadata!L616,"Plant secretion"),exact(Metadata!L616,"Plant rhizosphere"),exact(Metadata!L616,"Plant surface"),exact(Metadata!L616,"Plant corpus"),exact(Metadata!L616,"Fungus surface"),exact(Metadata!L616,"Fungus corpus"),exact(Metadata!L616,"Animal surface"),exact(Metadata!L616,"Animal proximal gut"),exact(Metadata!L616,"Animal corpus"),exact(Metadata!L616,"Animal distal gut"),exact(Metadata!L616,"Animal secretion"),exact(Metadata!L616,"Sub-surface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Y616">
        <f>IF(Metadata!M616="",FALSE,TRUE)</f>
        <v>0</v>
      </c>
      <c r="AZ616">
        <f>IF(Metadata!N616="",FALSE,TRUE)</f>
        <v>0</v>
      </c>
      <c r="BA616">
        <f>IF(Metadata!O616="",FALSE,TRUE)</f>
        <v>0</v>
      </c>
      <c r="BB616">
        <f>OR(AND(IF(Metadata!P616="",FALSE,TRUE),OR(exact(Metadata!P616,"not collected"),exact(Metadata!P616,"not provided"),exact(Metadata!P616,"restricted access"))),AND(IF(Metadata!P616="",FALSE,TRUE),OR(exact(Metadata!P616,"air"),exact(Metadata!P616,"built environment"),exact(Metadata!P616,"host-associated"),exact(Metadata!P616,"human-associated"),exact(Metadata!P616,"human-skin"),exact(Metadata!P616,"human-oral"),exact(Metadata!P616,"human-gut"),exact(Metadata!P616,"human-vaginal"),exact(Metadata!P616,"microbial mat/biofilm"),exact(Metadata!P616,"misc environment"),exact(Metadata!P616,"plant-associated"),exact(Metadata!P616,"sediment"),exact(Metadata!P616,"soil"),exact(Metadata!P616,"wastewater/sludge"),exact(Metadata!P616,"water"))))</f>
        <v>0</v>
      </c>
      <c r="BC616">
        <f>IF(Metadata!Q616="",FALSE,TRUE)</f>
        <v>0</v>
      </c>
      <c r="BD616">
        <f>IF(Metadata!R616="",FALSE,TRUE)</f>
        <v>0</v>
      </c>
      <c r="BE616">
        <f>OR(AND(IF(Metadata!S616="",FALSE,TRUE),OR(exact(Metadata!S616,"not collected"),exact(Metadata!S616,"not provided"),exact(Metadata!S616,"restricted access"))),AND(IF(Metadata!S616="",FALSE,ISNUMBER(VALUE(Metadata!S616))),Metadata!S616&gt;=-90.00,Metadata!S616&lt;=90.00))</f>
        <v>0</v>
      </c>
      <c r="BF616">
        <f>AND(IF(Metadata!T616="",FALSE,TRUE),exact(Metadata!T616,"Decimal degrees"))</f>
        <v>0</v>
      </c>
      <c r="BG616">
        <f>OR(AND(IF(Metadata!U616="",FALSE,TRUE),OR(exact(Metadata!U616,"not collected"),exact(Metadata!U616,"not provided"),exact(Metadata!U616,"restricted access"))),AND(IF(Metadata!U616="",FALSE,ISNUMBER(VALUE(Metadata!U616))),Metadata!U616&gt;=-180.00,Metadata!U616&lt;=180.00))</f>
        <v>0</v>
      </c>
      <c r="BH616">
        <f>AND(IF(Metadata!V616="",FALSE,TRUE),exact(Metadata!V616,"Decimal degrees"))</f>
        <v>0</v>
      </c>
      <c r="BI616">
        <f>IF(Metadata!W616="",FALSE,TRUE)</f>
        <v>0</v>
      </c>
      <c r="BJ616">
        <f>OR(AND(IF(Metadata!X616="",FALSE,TRUE),OR(exact(Metadata!X616,"not collected"),exact(Metadata!X616,"not provided"),exact(Metadata!X616,"restricted access"))),AND(IF(Metadata!X616="",FALSE,TRUE),OR(exact(Metadata!X616,"TRUE"),exact(Metadata!X616,"FALSE"))))</f>
        <v>0</v>
      </c>
      <c r="BK616">
        <f>AND(IF(Metadata!Y616="",FALSE,TRUE),exact(Metadata!Y616,"other"))</f>
        <v>0</v>
      </c>
      <c r="BL616">
        <f>IF(Metadata!Z616="",FALSE,TRUE)</f>
        <v>0</v>
      </c>
      <c r="BM616">
        <f>OR(AND(IF(Metadata!AA616="",FALSE,TRUE),OR(exact(Metadata!AA616,"not collected"),exact(Metadata!AA616,"not provided"))),AND(IF(Metadata!AA616="",FALSE,IF(ISERROR(INT(Metadata!AA616)),FALSE,INT(Metadata!AA616)=Metadata!AA616)),Metadata!AA616&gt;0))</f>
        <v>0</v>
      </c>
      <c r="BN616">
        <f>AND(IF(Metadata!AB616="",FALSE,TRUE),exact(Metadata!AB616,"Not applicable"))</f>
        <v>0</v>
      </c>
      <c r="BO616">
        <f>IF(Metadata!AC616="",FALSE,TRUE)</f>
        <v>0</v>
      </c>
    </row>
    <row r="617" spans="1:67">
      <c r="A617" s="5">
        <f>IF(B617=" "," ",HYPERLINK(CONCATENATE("#metadata!",ADDRESS(INDEX($AI$2:$AI$1001,MATCH(ROWS($AG$2:AG617),$AG$2:$AG$1001,0),0),1)),INDEX($AL$2:$AL$1001,MATCH(ROWS($AG$2:AG617),$AG$2:$AG$1001,0),0)))</f>
        <v>0</v>
      </c>
      <c r="B617" s="4">
        <f>IF(OR(INDEX($AH$2:$AH$1001,MATCH(ROWS($AG$2:AG617),$AG$2:$AG$1001,0),1)&gt;=100000,INDEX($AN$1005:$BO$1005,1,MATCH(COLUMNS($AN$1006:AN1006),$AN$1006:$BO$1006,0))&gt;=100000), " ",IF(INDEX($AN$2:$BO$1001,MATCH(ROWS($AG$2:AG617),$AG$2:$AG$1001,0),MATCH(COLUMNS($AN$1006:AN1006),$AN$1006:$BO$1006,0)), HYPERLINK("#",""), HYPERLINK(CONCATENATE("#Metadata!", ADDRESS(INDEX($AI$2:$AI$1001,MATCH(ROWS($AG$2:AG617),$AG$2:$AG$1001,0),0), INDEX($AN$1004:$BO$1004,1,MATCH(COLUMNS($AN$1006:AN1006),$AN$1006:$BO$1006,0)))),"Fix")))</f>
        <v>0</v>
      </c>
      <c r="C617" s="4">
        <f>IF(OR(INDEX($AH$2:$AH$1001,MATCH(ROWS($AG$2:AG617),$AG$2:$AG$1001,0),1)&gt;=100000,INDEX($AN$1005:$BO$1005,1,MATCH(COLUMNS($AN$1006:AO1006),$AN$1006:$BO$1006,0))&gt;=100000), " ",IF(INDEX($AN$2:$BO$1001,MATCH(ROWS($AG$2:AG617),$AG$2:$AG$1001,0),MATCH(COLUMNS($AN$1006:AO1006),$AN$1006:$BO$1006,0)), HYPERLINK("#",""), HYPERLINK(CONCATENATE("#Metadata!", ADDRESS(INDEX($AI$2:$AI$1001,MATCH(ROWS($AG$2:AG617),$AG$2:$AG$1001,0),0), INDEX($AN$1004:$BO$1004,1,MATCH(COLUMNS($AN$1006:AO1006),$AN$1006:$BO$1006,0)))),"Fix")))</f>
        <v>0</v>
      </c>
      <c r="D617" s="4">
        <f>IF(OR(INDEX($AH$2:$AH$1001,MATCH(ROWS($AG$2:AG617),$AG$2:$AG$1001,0),1)&gt;=100000,INDEX($AN$1005:$BO$1005,1,MATCH(COLUMNS($AN$1006:AP1006),$AN$1006:$BO$1006,0))&gt;=100000), " ",IF(INDEX($AN$2:$BO$1001,MATCH(ROWS($AG$2:AG617),$AG$2:$AG$1001,0),MATCH(COLUMNS($AN$1006:AP1006),$AN$1006:$BO$1006,0)), HYPERLINK("#",""), HYPERLINK(CONCATENATE("#Metadata!", ADDRESS(INDEX($AI$2:$AI$1001,MATCH(ROWS($AG$2:AG617),$AG$2:$AG$1001,0),0), INDEX($AN$1004:$BO$1004,1,MATCH(COLUMNS($AN$1006:AP1006),$AN$1006:$BO$1006,0)))),"Fix")))</f>
        <v>0</v>
      </c>
      <c r="E617" s="4">
        <f>IF(OR(INDEX($AH$2:$AH$1001,MATCH(ROWS($AG$2:AG617),$AG$2:$AG$1001,0),1)&gt;=100000,INDEX($AN$1005:$BO$1005,1,MATCH(COLUMNS($AN$1006:AQ1006),$AN$1006:$BO$1006,0))&gt;=100000), " ",IF(INDEX($AN$2:$BO$1001,MATCH(ROWS($AG$2:AG617),$AG$2:$AG$1001,0),MATCH(COLUMNS($AN$1006:AQ1006),$AN$1006:$BO$1006,0)), HYPERLINK("#",""), HYPERLINK(CONCATENATE("#Metadata!", ADDRESS(INDEX($AI$2:$AI$1001,MATCH(ROWS($AG$2:AG617),$AG$2:$AG$1001,0),0), INDEX($AN$1004:$BO$1004,1,MATCH(COLUMNS($AN$1006:AQ1006),$AN$1006:$BO$1006,0)))),"Fix")))</f>
        <v>0</v>
      </c>
      <c r="F617" s="4">
        <f>IF(OR(INDEX($AH$2:$AH$1001,MATCH(ROWS($AG$2:AG617),$AG$2:$AG$1001,0),1)&gt;=100000,INDEX($AN$1005:$BO$1005,1,MATCH(COLUMNS($AN$1006:AR1006),$AN$1006:$BO$1006,0))&gt;=100000), " ",IF(INDEX($AN$2:$BO$1001,MATCH(ROWS($AG$2:AG617),$AG$2:$AG$1001,0),MATCH(COLUMNS($AN$1006:AR1006),$AN$1006:$BO$1006,0)), HYPERLINK("#",""), HYPERLINK(CONCATENATE("#Metadata!", ADDRESS(INDEX($AI$2:$AI$1001,MATCH(ROWS($AG$2:AG617),$AG$2:$AG$1001,0),0), INDEX($AN$1004:$BO$1004,1,MATCH(COLUMNS($AN$1006:AR1006),$AN$1006:$BO$1006,0)))),"Fix")))</f>
        <v>0</v>
      </c>
      <c r="G617" s="4">
        <f>IF(OR(INDEX($AH$2:$AH$1001,MATCH(ROWS($AG$2:AG617),$AG$2:$AG$1001,0),1)&gt;=100000,INDEX($AN$1005:$BO$1005,1,MATCH(COLUMNS($AN$1006:AS1006),$AN$1006:$BO$1006,0))&gt;=100000), " ",IF(INDEX($AN$2:$BO$1001,MATCH(ROWS($AG$2:AG617),$AG$2:$AG$1001,0),MATCH(COLUMNS($AN$1006:AS1006),$AN$1006:$BO$1006,0)), HYPERLINK("#",""), HYPERLINK(CONCATENATE("#Metadata!", ADDRESS(INDEX($AI$2:$AI$1001,MATCH(ROWS($AG$2:AG617),$AG$2:$AG$1001,0),0), INDEX($AN$1004:$BO$1004,1,MATCH(COLUMNS($AN$1006:AS1006),$AN$1006:$BO$1006,0)))),"Fix")))</f>
        <v>0</v>
      </c>
      <c r="H617" s="4">
        <f>IF(OR(INDEX($AH$2:$AH$1001,MATCH(ROWS($AG$2:AG617),$AG$2:$AG$1001,0),1)&gt;=100000,INDEX($AN$1005:$BO$1005,1,MATCH(COLUMNS($AN$1006:AT1006),$AN$1006:$BO$1006,0))&gt;=100000), " ",IF(INDEX($AN$2:$BO$1001,MATCH(ROWS($AG$2:AG617),$AG$2:$AG$1001,0),MATCH(COLUMNS($AN$1006:AT1006),$AN$1006:$BO$1006,0)), HYPERLINK("#",""), HYPERLINK(CONCATENATE("#Metadata!", ADDRESS(INDEX($AI$2:$AI$1001,MATCH(ROWS($AG$2:AG617),$AG$2:$AG$1001,0),0), INDEX($AN$1004:$BO$1004,1,MATCH(COLUMNS($AN$1006:AT1006),$AN$1006:$BO$1006,0)))),"Fix")))</f>
        <v>0</v>
      </c>
      <c r="I617" s="4">
        <f>IF(OR(INDEX($AH$2:$AH$1001,MATCH(ROWS($AG$2:AG617),$AG$2:$AG$1001,0),1)&gt;=100000,INDEX($AN$1005:$BO$1005,1,MATCH(COLUMNS($AN$1006:AU1006),$AN$1006:$BO$1006,0))&gt;=100000), " ",IF(INDEX($AN$2:$BO$1001,MATCH(ROWS($AG$2:AG617),$AG$2:$AG$1001,0),MATCH(COLUMNS($AN$1006:AU1006),$AN$1006:$BO$1006,0)), HYPERLINK("#",""), HYPERLINK(CONCATENATE("#Metadata!", ADDRESS(INDEX($AI$2:$AI$1001,MATCH(ROWS($AG$2:AG617),$AG$2:$AG$1001,0),0), INDEX($AN$1004:$BO$1004,1,MATCH(COLUMNS($AN$1006:AU1006),$AN$1006:$BO$1006,0)))),"Fix")))</f>
        <v>0</v>
      </c>
      <c r="J617" s="4">
        <f>IF(OR(INDEX($AH$2:$AH$1001,MATCH(ROWS($AG$2:AG617),$AG$2:$AG$1001,0),1)&gt;=100000,INDEX($AN$1005:$BO$1005,1,MATCH(COLUMNS($AN$1006:AV1006),$AN$1006:$BO$1006,0))&gt;=100000), " ",IF(INDEX($AN$2:$BO$1001,MATCH(ROWS($AG$2:AG617),$AG$2:$AG$1001,0),MATCH(COLUMNS($AN$1006:AV1006),$AN$1006:$BO$1006,0)), HYPERLINK("#",""), HYPERLINK(CONCATENATE("#Metadata!", ADDRESS(INDEX($AI$2:$AI$1001,MATCH(ROWS($AG$2:AG617),$AG$2:$AG$1001,0),0), INDEX($AN$1004:$BO$1004,1,MATCH(COLUMNS($AN$1006:AV1006),$AN$1006:$BO$1006,0)))),"Fix")))</f>
        <v>0</v>
      </c>
      <c r="K617" s="4">
        <f>IF(OR(INDEX($AH$2:$AH$1001,MATCH(ROWS($AG$2:AG617),$AG$2:$AG$1001,0),1)&gt;=100000,INDEX($AN$1005:$BO$1005,1,MATCH(COLUMNS($AN$1006:AW1006),$AN$1006:$BO$1006,0))&gt;=100000), " ",IF(INDEX($AN$2:$BO$1001,MATCH(ROWS($AG$2:AG617),$AG$2:$AG$1001,0),MATCH(COLUMNS($AN$1006:AW1006),$AN$1006:$BO$1006,0)), HYPERLINK("#",""), HYPERLINK(CONCATENATE("#Metadata!", ADDRESS(INDEX($AI$2:$AI$1001,MATCH(ROWS($AG$2:AG617),$AG$2:$AG$1001,0),0), INDEX($AN$1004:$BO$1004,1,MATCH(COLUMNS($AN$1006:AW1006),$AN$1006:$BO$1006,0)))),"Fix")))</f>
        <v>0</v>
      </c>
      <c r="L617" s="4">
        <f>IF(OR(INDEX($AH$2:$AH$1001,MATCH(ROWS($AG$2:AG617),$AG$2:$AG$1001,0),1)&gt;=100000,INDEX($AN$1005:$BO$1005,1,MATCH(COLUMNS($AN$1006:AX1006),$AN$1006:$BO$1006,0))&gt;=100000), " ",IF(INDEX($AN$2:$BO$1001,MATCH(ROWS($AG$2:AG617),$AG$2:$AG$1001,0),MATCH(COLUMNS($AN$1006:AX1006),$AN$1006:$BO$1006,0)), HYPERLINK("#",""), HYPERLINK(CONCATENATE("#Metadata!", ADDRESS(INDEX($AI$2:$AI$1001,MATCH(ROWS($AG$2:AG617),$AG$2:$AG$1001,0),0), INDEX($AN$1004:$BO$1004,1,MATCH(COLUMNS($AN$1006:AX1006),$AN$1006:$BO$1006,0)))),"Fix")))</f>
        <v>0</v>
      </c>
      <c r="M617" s="4">
        <f>IF(OR(INDEX($AH$2:$AH$1001,MATCH(ROWS($AG$2:AG617),$AG$2:$AG$1001,0),1)&gt;=100000,INDEX($AN$1005:$BO$1005,1,MATCH(COLUMNS($AN$1006:AY1006),$AN$1006:$BO$1006,0))&gt;=100000), " ",IF(INDEX($AN$2:$BO$1001,MATCH(ROWS($AG$2:AG617),$AG$2:$AG$1001,0),MATCH(COLUMNS($AN$1006:AY1006),$AN$1006:$BO$1006,0)), HYPERLINK("#",""), HYPERLINK(CONCATENATE("#Metadata!", ADDRESS(INDEX($AI$2:$AI$1001,MATCH(ROWS($AG$2:AG617),$AG$2:$AG$1001,0),0), INDEX($AN$1004:$BO$1004,1,MATCH(COLUMNS($AN$1006:AY1006),$AN$1006:$BO$1006,0)))),"Fix")))</f>
        <v>0</v>
      </c>
      <c r="N617" s="4">
        <f>IF(OR(INDEX($AH$2:$AH$1001,MATCH(ROWS($AG$2:AG617),$AG$2:$AG$1001,0),1)&gt;=100000,INDEX($AN$1005:$BO$1005,1,MATCH(COLUMNS($AN$1006:AZ1006),$AN$1006:$BO$1006,0))&gt;=100000), " ",IF(INDEX($AN$2:$BO$1001,MATCH(ROWS($AG$2:AG617),$AG$2:$AG$1001,0),MATCH(COLUMNS($AN$1006:AZ1006),$AN$1006:$BO$1006,0)), HYPERLINK("#",""), HYPERLINK(CONCATENATE("#Metadata!", ADDRESS(INDEX($AI$2:$AI$1001,MATCH(ROWS($AG$2:AG617),$AG$2:$AG$1001,0),0), INDEX($AN$1004:$BO$1004,1,MATCH(COLUMNS($AN$1006:AZ1006),$AN$1006:$BO$1006,0)))),"Fix")))</f>
        <v>0</v>
      </c>
      <c r="O617" s="4">
        <f>IF(OR(INDEX($AH$2:$AH$1001,MATCH(ROWS($AG$2:AG617),$AG$2:$AG$1001,0),1)&gt;=100000,INDEX($AN$1005:$BO$1005,1,MATCH(COLUMNS($AN$1006:BA1006),$AN$1006:$BO$1006,0))&gt;=100000), " ",IF(INDEX($AN$2:$BO$1001,MATCH(ROWS($AG$2:AG617),$AG$2:$AG$1001,0),MATCH(COLUMNS($AN$1006:BA1006),$AN$1006:$BO$1006,0)), HYPERLINK("#",""), HYPERLINK(CONCATENATE("#Metadata!", ADDRESS(INDEX($AI$2:$AI$1001,MATCH(ROWS($AG$2:AG617),$AG$2:$AG$1001,0),0), INDEX($AN$1004:$BO$1004,1,MATCH(COLUMNS($AN$1006:BA1006),$AN$1006:$BO$1006,0)))),"Fix")))</f>
        <v>0</v>
      </c>
      <c r="P617" s="4">
        <f>IF(OR(INDEX($AH$2:$AH$1001,MATCH(ROWS($AG$2:AG617),$AG$2:$AG$1001,0),1)&gt;=100000,INDEX($AN$1005:$BO$1005,1,MATCH(COLUMNS($AN$1006:BB1006),$AN$1006:$BO$1006,0))&gt;=100000), " ",IF(INDEX($AN$2:$BO$1001,MATCH(ROWS($AG$2:AG617),$AG$2:$AG$1001,0),MATCH(COLUMNS($AN$1006:BB1006),$AN$1006:$BO$1006,0)), HYPERLINK("#",""), HYPERLINK(CONCATENATE("#Metadata!", ADDRESS(INDEX($AI$2:$AI$1001,MATCH(ROWS($AG$2:AG617),$AG$2:$AG$1001,0),0), INDEX($AN$1004:$BO$1004,1,MATCH(COLUMNS($AN$1006:BB1006),$AN$1006:$BO$1006,0)))),"Fix")))</f>
        <v>0</v>
      </c>
      <c r="Q617" s="4">
        <f>IF(OR(INDEX($AH$2:$AH$1001,MATCH(ROWS($AG$2:AG617),$AG$2:$AG$1001,0),1)&gt;=100000,INDEX($AN$1005:$BO$1005,1,MATCH(COLUMNS($AN$1006:BC1006),$AN$1006:$BO$1006,0))&gt;=100000), " ",IF(INDEX($AN$2:$BO$1001,MATCH(ROWS($AG$2:AG617),$AG$2:$AG$1001,0),MATCH(COLUMNS($AN$1006:BC1006),$AN$1006:$BO$1006,0)), HYPERLINK("#",""), HYPERLINK(CONCATENATE("#Metadata!", ADDRESS(INDEX($AI$2:$AI$1001,MATCH(ROWS($AG$2:AG617),$AG$2:$AG$1001,0),0), INDEX($AN$1004:$BO$1004,1,MATCH(COLUMNS($AN$1006:BC1006),$AN$1006:$BO$1006,0)))),"Fix")))</f>
        <v>0</v>
      </c>
      <c r="R617" s="4">
        <f>IF(OR(INDEX($AH$2:$AH$1001,MATCH(ROWS($AG$2:AG617),$AG$2:$AG$1001,0),1)&gt;=100000,INDEX($AN$1005:$BO$1005,1,MATCH(COLUMNS($AN$1006:BD1006),$AN$1006:$BO$1006,0))&gt;=100000), " ",IF(INDEX($AN$2:$BO$1001,MATCH(ROWS($AG$2:AG617),$AG$2:$AG$1001,0),MATCH(COLUMNS($AN$1006:BD1006),$AN$1006:$BO$1006,0)), HYPERLINK("#",""), HYPERLINK(CONCATENATE("#Metadata!", ADDRESS(INDEX($AI$2:$AI$1001,MATCH(ROWS($AG$2:AG617),$AG$2:$AG$1001,0),0), INDEX($AN$1004:$BO$1004,1,MATCH(COLUMNS($AN$1006:BD1006),$AN$1006:$BO$1006,0)))),"Fix")))</f>
        <v>0</v>
      </c>
      <c r="S617" s="4">
        <f>IF(OR(INDEX($AH$2:$AH$1001,MATCH(ROWS($AG$2:AG617),$AG$2:$AG$1001,0),1)&gt;=100000,INDEX($AN$1005:$BO$1005,1,MATCH(COLUMNS($AN$1006:BE1006),$AN$1006:$BO$1006,0))&gt;=100000), " ",IF(INDEX($AN$2:$BO$1001,MATCH(ROWS($AG$2:AG617),$AG$2:$AG$1001,0),MATCH(COLUMNS($AN$1006:BE1006),$AN$1006:$BO$1006,0)), HYPERLINK("#",""), HYPERLINK(CONCATENATE("#Metadata!", ADDRESS(INDEX($AI$2:$AI$1001,MATCH(ROWS($AG$2:AG617),$AG$2:$AG$1001,0),0), INDEX($AN$1004:$BO$1004,1,MATCH(COLUMNS($AN$1006:BE1006),$AN$1006:$BO$1006,0)))),"Fix")))</f>
        <v>0</v>
      </c>
      <c r="T617" s="4">
        <f>IF(OR(INDEX($AH$2:$AH$1001,MATCH(ROWS($AG$2:AG617),$AG$2:$AG$1001,0),1)&gt;=100000,INDEX($AN$1005:$BO$1005,1,MATCH(COLUMNS($AN$1006:BF1006),$AN$1006:$BO$1006,0))&gt;=100000), " ",IF(INDEX($AN$2:$BO$1001,MATCH(ROWS($AG$2:AG617),$AG$2:$AG$1001,0),MATCH(COLUMNS($AN$1006:BF1006),$AN$1006:$BO$1006,0)), HYPERLINK("#",""), HYPERLINK(CONCATENATE("#Metadata!", ADDRESS(INDEX($AI$2:$AI$1001,MATCH(ROWS($AG$2:AG617),$AG$2:$AG$1001,0),0), INDEX($AN$1004:$BO$1004,1,MATCH(COLUMNS($AN$1006:BF1006),$AN$1006:$BO$1006,0)))),"Fix")))</f>
        <v>0</v>
      </c>
      <c r="U617" s="4">
        <f>IF(OR(INDEX($AH$2:$AH$1001,MATCH(ROWS($AG$2:AG617),$AG$2:$AG$1001,0),1)&gt;=100000,INDEX($AN$1005:$BO$1005,1,MATCH(COLUMNS($AN$1006:BG1006),$AN$1006:$BO$1006,0))&gt;=100000), " ",IF(INDEX($AN$2:$BO$1001,MATCH(ROWS($AG$2:AG617),$AG$2:$AG$1001,0),MATCH(COLUMNS($AN$1006:BG1006),$AN$1006:$BO$1006,0)), HYPERLINK("#",""), HYPERLINK(CONCATENATE("#Metadata!", ADDRESS(INDEX($AI$2:$AI$1001,MATCH(ROWS($AG$2:AG617),$AG$2:$AG$1001,0),0), INDEX($AN$1004:$BO$1004,1,MATCH(COLUMNS($AN$1006:BG1006),$AN$1006:$BO$1006,0)))),"Fix")))</f>
        <v>0</v>
      </c>
      <c r="V617" s="4">
        <f>IF(OR(INDEX($AH$2:$AH$1001,MATCH(ROWS($AG$2:AG617),$AG$2:$AG$1001,0),1)&gt;=100000,INDEX($AN$1005:$BO$1005,1,MATCH(COLUMNS($AN$1006:BH1006),$AN$1006:$BO$1006,0))&gt;=100000), " ",IF(INDEX($AN$2:$BO$1001,MATCH(ROWS($AG$2:AG617),$AG$2:$AG$1001,0),MATCH(COLUMNS($AN$1006:BH1006),$AN$1006:$BO$1006,0)), HYPERLINK("#",""), HYPERLINK(CONCATENATE("#Metadata!", ADDRESS(INDEX($AI$2:$AI$1001,MATCH(ROWS($AG$2:AG617),$AG$2:$AG$1001,0),0), INDEX($AN$1004:$BO$1004,1,MATCH(COLUMNS($AN$1006:BH1006),$AN$1006:$BO$1006,0)))),"Fix")))</f>
        <v>0</v>
      </c>
      <c r="W617" s="4">
        <f>IF(OR(INDEX($AH$2:$AH$1001,MATCH(ROWS($AG$2:AG617),$AG$2:$AG$1001,0),1)&gt;=100000,INDEX($AN$1005:$BO$1005,1,MATCH(COLUMNS($AN$1006:BI1006),$AN$1006:$BO$1006,0))&gt;=100000), " ",IF(INDEX($AN$2:$BO$1001,MATCH(ROWS($AG$2:AG617),$AG$2:$AG$1001,0),MATCH(COLUMNS($AN$1006:BI1006),$AN$1006:$BO$1006,0)), HYPERLINK("#",""), HYPERLINK(CONCATENATE("#Metadata!", ADDRESS(INDEX($AI$2:$AI$1001,MATCH(ROWS($AG$2:AG617),$AG$2:$AG$1001,0),0), INDEX($AN$1004:$BO$1004,1,MATCH(COLUMNS($AN$1006:BI1006),$AN$1006:$BO$1006,0)))),"Fix")))</f>
        <v>0</v>
      </c>
      <c r="X617" s="4">
        <f>IF(OR(INDEX($AH$2:$AH$1001,MATCH(ROWS($AG$2:AG617),$AG$2:$AG$1001,0),1)&gt;=100000,INDEX($AN$1005:$BO$1005,1,MATCH(COLUMNS($AN$1006:BJ1006),$AN$1006:$BO$1006,0))&gt;=100000), " ",IF(INDEX($AN$2:$BO$1001,MATCH(ROWS($AG$2:AG617),$AG$2:$AG$1001,0),MATCH(COLUMNS($AN$1006:BJ1006),$AN$1006:$BO$1006,0)), HYPERLINK("#",""), HYPERLINK(CONCATENATE("#Metadata!", ADDRESS(INDEX($AI$2:$AI$1001,MATCH(ROWS($AG$2:AG617),$AG$2:$AG$1001,0),0), INDEX($AN$1004:$BO$1004,1,MATCH(COLUMNS($AN$1006:BJ1006),$AN$1006:$BO$1006,0)))),"Fix")))</f>
        <v>0</v>
      </c>
      <c r="Y617" s="4">
        <f>IF(OR(INDEX($AH$2:$AH$1001,MATCH(ROWS($AG$2:AG617),$AG$2:$AG$1001,0),1)&gt;=100000,INDEX($AN$1005:$BO$1005,1,MATCH(COLUMNS($AN$1006:BK1006),$AN$1006:$BO$1006,0))&gt;=100000), " ",IF(INDEX($AN$2:$BO$1001,MATCH(ROWS($AG$2:AG617),$AG$2:$AG$1001,0),MATCH(COLUMNS($AN$1006:BK1006),$AN$1006:$BO$1006,0)), HYPERLINK("#",""), HYPERLINK(CONCATENATE("#Metadata!", ADDRESS(INDEX($AI$2:$AI$1001,MATCH(ROWS($AG$2:AG617),$AG$2:$AG$1001,0),0), INDEX($AN$1004:$BO$1004,1,MATCH(COLUMNS($AN$1006:BK1006),$AN$1006:$BO$1006,0)))),"Fix")))</f>
        <v>0</v>
      </c>
      <c r="Z617" s="4">
        <f>IF(OR(INDEX($AH$2:$AH$1001,MATCH(ROWS($AG$2:AG617),$AG$2:$AG$1001,0),1)&gt;=100000,INDEX($AN$1005:$BO$1005,1,MATCH(COLUMNS($AN$1006:BL1006),$AN$1006:$BO$1006,0))&gt;=100000), " ",IF(INDEX($AN$2:$BO$1001,MATCH(ROWS($AG$2:AG617),$AG$2:$AG$1001,0),MATCH(COLUMNS($AN$1006:BL1006),$AN$1006:$BO$1006,0)), HYPERLINK("#",""), HYPERLINK(CONCATENATE("#Metadata!", ADDRESS(INDEX($AI$2:$AI$1001,MATCH(ROWS($AG$2:AG617),$AG$2:$AG$1001,0),0), INDEX($AN$1004:$BO$1004,1,MATCH(COLUMNS($AN$1006:BL1006),$AN$1006:$BO$1006,0)))),"Fix")))</f>
        <v>0</v>
      </c>
      <c r="AA617" s="4">
        <f>IF(OR(INDEX($AH$2:$AH$1001,MATCH(ROWS($AG$2:AG617),$AG$2:$AG$1001,0),1)&gt;=100000,INDEX($AN$1005:$BO$1005,1,MATCH(COLUMNS($AN$1006:BM1006),$AN$1006:$BO$1006,0))&gt;=100000), " ",IF(INDEX($AN$2:$BO$1001,MATCH(ROWS($AG$2:AG617),$AG$2:$AG$1001,0),MATCH(COLUMNS($AN$1006:BM1006),$AN$1006:$BO$1006,0)), HYPERLINK("#",""), HYPERLINK(CONCATENATE("#Metadata!", ADDRESS(INDEX($AI$2:$AI$1001,MATCH(ROWS($AG$2:AG617),$AG$2:$AG$1001,0),0), INDEX($AN$1004:$BO$1004,1,MATCH(COLUMNS($AN$1006:BM1006),$AN$1006:$BO$1006,0)))),"Fix")))</f>
        <v>0</v>
      </c>
      <c r="AB617" s="4">
        <f>IF(OR(INDEX($AH$2:$AH$1001,MATCH(ROWS($AG$2:AG617),$AG$2:$AG$1001,0),1)&gt;=100000,INDEX($AN$1005:$BO$1005,1,MATCH(COLUMNS($AN$1006:BN1006),$AN$1006:$BO$1006,0))&gt;=100000), " ",IF(INDEX($AN$2:$BO$1001,MATCH(ROWS($AG$2:AG617),$AG$2:$AG$1001,0),MATCH(COLUMNS($AN$1006:BN1006),$AN$1006:$BO$1006,0)), HYPERLINK("#",""), HYPERLINK(CONCATENATE("#Metadata!", ADDRESS(INDEX($AI$2:$AI$1001,MATCH(ROWS($AG$2:AG617),$AG$2:$AG$1001,0),0), INDEX($AN$1004:$BO$1004,1,MATCH(COLUMNS($AN$1006:BN1006),$AN$1006:$BO$1006,0)))),"Fix")))</f>
        <v>0</v>
      </c>
      <c r="AC617" s="4">
        <f>IF(OR(INDEX($AH$2:$AH$1001,MATCH(ROWS($AG$2:AG617),$AG$2:$AG$1001,0),1)&gt;=100000,INDEX($AN$1005:$BO$1005,1,MATCH(COLUMNS($AN$1006:BO1006),$AN$1006:$BO$1006,0))&gt;=100000), " ",IF(INDEX($AN$2:$BO$1001,MATCH(ROWS($AG$2:AG617),$AG$2:$AG$1001,0),MATCH(COLUMNS($AN$1006:BO1006),$AN$1006:$BO$1006,0)), HYPERLINK("#",""), HYPERLINK(CONCATENATE("#Metadata!", ADDRESS(INDEX($AI$2:$AI$1001,MATCH(ROWS($AG$2:AG617),$AG$2:$AG$1001,0),0), INDEX($AN$1004:$BO$1004,1,MATCH(COLUMNS($AN$1006:BO1006),$AN$1006:$BO$1006,0)))),"Fix")))</f>
        <v>0</v>
      </c>
      <c r="AG617">
        <v>0</v>
      </c>
      <c r="AH617">
        <v>0</v>
      </c>
      <c r="AI617">
        <v>0</v>
      </c>
      <c r="AJ617">
        <f>IF(AK617,TRUE,AND(AN617:BO617))</f>
        <v>0</v>
      </c>
      <c r="AK617">
        <f>COUNTBLANK(Metadata!B617:AC617)=COLUMNS(Metadata!B617:AC617)</f>
        <v>0</v>
      </c>
      <c r="AL617">
        <v>0</v>
      </c>
      <c r="AN617">
        <f>AND(IF(Metadata!B617="",FALSE,TRUE),COUNTIF(Metadata!B:B, Metadata!B617) = 1,NOT(ISERROR(SUMPRODUCT(SEARCH(MID(Metadata!B617,ROW(INDIRECT("1:"&amp;LEN(Metadata!B617))), 1),"0123456789abcdefghijklmnopqrstuvwxyzABCDEFGHIJKLMNOPQRSTUVWXYZ.")))))</f>
        <v>0</v>
      </c>
      <c r="AO617">
        <f>IF(Metadata!C617="",FALSE,TRUE)</f>
        <v>0</v>
      </c>
      <c r="AP617">
        <f>IF(Metadata!D617="",FALSE,TRUE)</f>
        <v>0</v>
      </c>
      <c r="AQ617">
        <f>OR(AND(IF(Metadata!E617="",FALSE,TRUE),OR(exact(Metadata!E617,"not collected"),exact(Metadata!E617,"not provided"),exact(Metadata!E617,"restricted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R617">
        <f>IF(Metadata!F617="",FALSE,TRUE)</f>
        <v>0</v>
      </c>
      <c r="AS617">
        <f>OR(AND(IF(Metadata!G617="",FALSE,TRUE),OR(exact(Metadata!G617,"not collected"),exact(Metadata!G617,"not provided"))),AND(IF(Metadata!G617="",FALSE,TRUE),OR(exact(Metadata!G617,"TRUE"),exact(Metadata!G617,"FALSE"))))</f>
        <v>0</v>
      </c>
      <c r="AT617">
        <f>OR(AND(IF(Metadata!H617="",FALSE,TRUE),OR(exact(Metadata!H617,"not collected"),exact(Metadata!H617,"not provided"),exact(Metadata!H617,"restricted access"))),AND(IF(Metadata!H617="",FALSE,ISNUMBER(VALUE(Metadata!H617))),Metadata!H617&gt;=-413.0))</f>
        <v>0</v>
      </c>
      <c r="AU617">
        <f>AND(IF(Metadata!I617="",FALSE,TRUE),exact(Metadata!I617,"meters"))</f>
        <v>0</v>
      </c>
      <c r="AV617">
        <f>AND(IF(Metadata!J617="",FALSE,TRUE),OR(exact(Metadata!J617,"Host-associated"),exact(Metadata!J617,"Free-living")))</f>
        <v>0</v>
      </c>
      <c r="AW617">
        <f>AND(IF(Metadata!K617="",FALSE,TRUE),OR(exact(Metadata!K617,"Animal"),exact(Metadata!K617,"Fungus"),exact(Metadata!K617,"Plant"),exact(Metadata!K617,"Saline"),exact(Metadata!K617,"Non-saline")))</f>
        <v>0</v>
      </c>
      <c r="AX617">
        <f>AND(IF(Metadata!L617="",FALSE,TRUE),OR(exact(Metadata!L617,"Plant secretion"),exact(Metadata!L617,"Plant rhizosphere"),exact(Metadata!L617,"Plant surface"),exact(Metadata!L617,"Plant corpus"),exact(Metadata!L617,"Fungus surface"),exact(Metadata!L617,"Fungus corpus"),exact(Metadata!L617,"Animal surface"),exact(Metadata!L617,"Animal proximal gut"),exact(Metadata!L617,"Animal corpus"),exact(Metadata!L617,"Animal distal gut"),exact(Metadata!L617,"Animal secretion"),exact(Metadata!L617,"Sub-surface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Y617">
        <f>IF(Metadata!M617="",FALSE,TRUE)</f>
        <v>0</v>
      </c>
      <c r="AZ617">
        <f>IF(Metadata!N617="",FALSE,TRUE)</f>
        <v>0</v>
      </c>
      <c r="BA617">
        <f>IF(Metadata!O617="",FALSE,TRUE)</f>
        <v>0</v>
      </c>
      <c r="BB617">
        <f>OR(AND(IF(Metadata!P617="",FALSE,TRUE),OR(exact(Metadata!P617,"not collected"),exact(Metadata!P617,"not provided"),exact(Metadata!P617,"restricted access"))),AND(IF(Metadata!P617="",FALSE,TRUE),OR(exact(Metadata!P617,"air"),exact(Metadata!P617,"built environment"),exact(Metadata!P617,"host-associated"),exact(Metadata!P617,"human-associated"),exact(Metadata!P617,"human-skin"),exact(Metadata!P617,"human-oral"),exact(Metadata!P617,"human-gut"),exact(Metadata!P617,"human-vaginal"),exact(Metadata!P617,"microbial mat/biofilm"),exact(Metadata!P617,"misc environment"),exact(Metadata!P617,"plant-associated"),exact(Metadata!P617,"sediment"),exact(Metadata!P617,"soil"),exact(Metadata!P617,"wastewater/sludge"),exact(Metadata!P617,"water"))))</f>
        <v>0</v>
      </c>
      <c r="BC617">
        <f>IF(Metadata!Q617="",FALSE,TRUE)</f>
        <v>0</v>
      </c>
      <c r="BD617">
        <f>IF(Metadata!R617="",FALSE,TRUE)</f>
        <v>0</v>
      </c>
      <c r="BE617">
        <f>OR(AND(IF(Metadata!S617="",FALSE,TRUE),OR(exact(Metadata!S617,"not collected"),exact(Metadata!S617,"not provided"),exact(Metadata!S617,"restricted access"))),AND(IF(Metadata!S617="",FALSE,ISNUMBER(VALUE(Metadata!S617))),Metadata!S617&gt;=-90.00,Metadata!S617&lt;=90.00))</f>
        <v>0</v>
      </c>
      <c r="BF617">
        <f>AND(IF(Metadata!T617="",FALSE,TRUE),exact(Metadata!T617,"Decimal degrees"))</f>
        <v>0</v>
      </c>
      <c r="BG617">
        <f>OR(AND(IF(Metadata!U617="",FALSE,TRUE),OR(exact(Metadata!U617,"not collected"),exact(Metadata!U617,"not provided"),exact(Metadata!U617,"restricted access"))),AND(IF(Metadata!U617="",FALSE,ISNUMBER(VALUE(Metadata!U617))),Metadata!U617&gt;=-180.00,Metadata!U617&lt;=180.00))</f>
        <v>0</v>
      </c>
      <c r="BH617">
        <f>AND(IF(Metadata!V617="",FALSE,TRUE),exact(Metadata!V617,"Decimal degrees"))</f>
        <v>0</v>
      </c>
      <c r="BI617">
        <f>IF(Metadata!W617="",FALSE,TRUE)</f>
        <v>0</v>
      </c>
      <c r="BJ617">
        <f>OR(AND(IF(Metadata!X617="",FALSE,TRUE),OR(exact(Metadata!X617,"not collected"),exact(Metadata!X617,"not provided"),exact(Metadata!X617,"restricted access"))),AND(IF(Metadata!X617="",FALSE,TRUE),OR(exact(Metadata!X617,"TRUE"),exact(Metadata!X617,"FALSE"))))</f>
        <v>0</v>
      </c>
      <c r="BK617">
        <f>AND(IF(Metadata!Y617="",FALSE,TRUE),exact(Metadata!Y617,"other"))</f>
        <v>0</v>
      </c>
      <c r="BL617">
        <f>IF(Metadata!Z617="",FALSE,TRUE)</f>
        <v>0</v>
      </c>
      <c r="BM617">
        <f>OR(AND(IF(Metadata!AA617="",FALSE,TRUE),OR(exact(Metadata!AA617,"not collected"),exact(Metadata!AA617,"not provided"))),AND(IF(Metadata!AA617="",FALSE,IF(ISERROR(INT(Metadata!AA617)),FALSE,INT(Metadata!AA617)=Metadata!AA617)),Metadata!AA617&gt;0))</f>
        <v>0</v>
      </c>
      <c r="BN617">
        <f>AND(IF(Metadata!AB617="",FALSE,TRUE),exact(Metadata!AB617,"Not applicable"))</f>
        <v>0</v>
      </c>
      <c r="BO617">
        <f>IF(Metadata!AC617="",FALSE,TRUE)</f>
        <v>0</v>
      </c>
    </row>
    <row r="618" spans="1:67">
      <c r="A618" s="5">
        <f>IF(B618=" "," ",HYPERLINK(CONCATENATE("#metadata!",ADDRESS(INDEX($AI$2:$AI$1001,MATCH(ROWS($AG$2:AG618),$AG$2:$AG$1001,0),0),1)),INDEX($AL$2:$AL$1001,MATCH(ROWS($AG$2:AG618),$AG$2:$AG$1001,0),0)))</f>
        <v>0</v>
      </c>
      <c r="B618" s="4">
        <f>IF(OR(INDEX($AH$2:$AH$1001,MATCH(ROWS($AG$2:AG618),$AG$2:$AG$1001,0),1)&gt;=100000,INDEX($AN$1005:$BO$1005,1,MATCH(COLUMNS($AN$1006:AN1006),$AN$1006:$BO$1006,0))&gt;=100000), " ",IF(INDEX($AN$2:$BO$1001,MATCH(ROWS($AG$2:AG618),$AG$2:$AG$1001,0),MATCH(COLUMNS($AN$1006:AN1006),$AN$1006:$BO$1006,0)), HYPERLINK("#",""), HYPERLINK(CONCATENATE("#Metadata!", ADDRESS(INDEX($AI$2:$AI$1001,MATCH(ROWS($AG$2:AG618),$AG$2:$AG$1001,0),0), INDEX($AN$1004:$BO$1004,1,MATCH(COLUMNS($AN$1006:AN1006),$AN$1006:$BO$1006,0)))),"Fix")))</f>
        <v>0</v>
      </c>
      <c r="C618" s="4">
        <f>IF(OR(INDEX($AH$2:$AH$1001,MATCH(ROWS($AG$2:AG618),$AG$2:$AG$1001,0),1)&gt;=100000,INDEX($AN$1005:$BO$1005,1,MATCH(COLUMNS($AN$1006:AO1006),$AN$1006:$BO$1006,0))&gt;=100000), " ",IF(INDEX($AN$2:$BO$1001,MATCH(ROWS($AG$2:AG618),$AG$2:$AG$1001,0),MATCH(COLUMNS($AN$1006:AO1006),$AN$1006:$BO$1006,0)), HYPERLINK("#",""), HYPERLINK(CONCATENATE("#Metadata!", ADDRESS(INDEX($AI$2:$AI$1001,MATCH(ROWS($AG$2:AG618),$AG$2:$AG$1001,0),0), INDEX($AN$1004:$BO$1004,1,MATCH(COLUMNS($AN$1006:AO1006),$AN$1006:$BO$1006,0)))),"Fix")))</f>
        <v>0</v>
      </c>
      <c r="D618" s="4">
        <f>IF(OR(INDEX($AH$2:$AH$1001,MATCH(ROWS($AG$2:AG618),$AG$2:$AG$1001,0),1)&gt;=100000,INDEX($AN$1005:$BO$1005,1,MATCH(COLUMNS($AN$1006:AP1006),$AN$1006:$BO$1006,0))&gt;=100000), " ",IF(INDEX($AN$2:$BO$1001,MATCH(ROWS($AG$2:AG618),$AG$2:$AG$1001,0),MATCH(COLUMNS($AN$1006:AP1006),$AN$1006:$BO$1006,0)), HYPERLINK("#",""), HYPERLINK(CONCATENATE("#Metadata!", ADDRESS(INDEX($AI$2:$AI$1001,MATCH(ROWS($AG$2:AG618),$AG$2:$AG$1001,0),0), INDEX($AN$1004:$BO$1004,1,MATCH(COLUMNS($AN$1006:AP1006),$AN$1006:$BO$1006,0)))),"Fix")))</f>
        <v>0</v>
      </c>
      <c r="E618" s="4">
        <f>IF(OR(INDEX($AH$2:$AH$1001,MATCH(ROWS($AG$2:AG618),$AG$2:$AG$1001,0),1)&gt;=100000,INDEX($AN$1005:$BO$1005,1,MATCH(COLUMNS($AN$1006:AQ1006),$AN$1006:$BO$1006,0))&gt;=100000), " ",IF(INDEX($AN$2:$BO$1001,MATCH(ROWS($AG$2:AG618),$AG$2:$AG$1001,0),MATCH(COLUMNS($AN$1006:AQ1006),$AN$1006:$BO$1006,0)), HYPERLINK("#",""), HYPERLINK(CONCATENATE("#Metadata!", ADDRESS(INDEX($AI$2:$AI$1001,MATCH(ROWS($AG$2:AG618),$AG$2:$AG$1001,0),0), INDEX($AN$1004:$BO$1004,1,MATCH(COLUMNS($AN$1006:AQ1006),$AN$1006:$BO$1006,0)))),"Fix")))</f>
        <v>0</v>
      </c>
      <c r="F618" s="4">
        <f>IF(OR(INDEX($AH$2:$AH$1001,MATCH(ROWS($AG$2:AG618),$AG$2:$AG$1001,0),1)&gt;=100000,INDEX($AN$1005:$BO$1005,1,MATCH(COLUMNS($AN$1006:AR1006),$AN$1006:$BO$1006,0))&gt;=100000), " ",IF(INDEX($AN$2:$BO$1001,MATCH(ROWS($AG$2:AG618),$AG$2:$AG$1001,0),MATCH(COLUMNS($AN$1006:AR1006),$AN$1006:$BO$1006,0)), HYPERLINK("#",""), HYPERLINK(CONCATENATE("#Metadata!", ADDRESS(INDEX($AI$2:$AI$1001,MATCH(ROWS($AG$2:AG618),$AG$2:$AG$1001,0),0), INDEX($AN$1004:$BO$1004,1,MATCH(COLUMNS($AN$1006:AR1006),$AN$1006:$BO$1006,0)))),"Fix")))</f>
        <v>0</v>
      </c>
      <c r="G618" s="4">
        <f>IF(OR(INDEX($AH$2:$AH$1001,MATCH(ROWS($AG$2:AG618),$AG$2:$AG$1001,0),1)&gt;=100000,INDEX($AN$1005:$BO$1005,1,MATCH(COLUMNS($AN$1006:AS1006),$AN$1006:$BO$1006,0))&gt;=100000), " ",IF(INDEX($AN$2:$BO$1001,MATCH(ROWS($AG$2:AG618),$AG$2:$AG$1001,0),MATCH(COLUMNS($AN$1006:AS1006),$AN$1006:$BO$1006,0)), HYPERLINK("#",""), HYPERLINK(CONCATENATE("#Metadata!", ADDRESS(INDEX($AI$2:$AI$1001,MATCH(ROWS($AG$2:AG618),$AG$2:$AG$1001,0),0), INDEX($AN$1004:$BO$1004,1,MATCH(COLUMNS($AN$1006:AS1006),$AN$1006:$BO$1006,0)))),"Fix")))</f>
        <v>0</v>
      </c>
      <c r="H618" s="4">
        <f>IF(OR(INDEX($AH$2:$AH$1001,MATCH(ROWS($AG$2:AG618),$AG$2:$AG$1001,0),1)&gt;=100000,INDEX($AN$1005:$BO$1005,1,MATCH(COLUMNS($AN$1006:AT1006),$AN$1006:$BO$1006,0))&gt;=100000), " ",IF(INDEX($AN$2:$BO$1001,MATCH(ROWS($AG$2:AG618),$AG$2:$AG$1001,0),MATCH(COLUMNS($AN$1006:AT1006),$AN$1006:$BO$1006,0)), HYPERLINK("#",""), HYPERLINK(CONCATENATE("#Metadata!", ADDRESS(INDEX($AI$2:$AI$1001,MATCH(ROWS($AG$2:AG618),$AG$2:$AG$1001,0),0), INDEX($AN$1004:$BO$1004,1,MATCH(COLUMNS($AN$1006:AT1006),$AN$1006:$BO$1006,0)))),"Fix")))</f>
        <v>0</v>
      </c>
      <c r="I618" s="4">
        <f>IF(OR(INDEX($AH$2:$AH$1001,MATCH(ROWS($AG$2:AG618),$AG$2:$AG$1001,0),1)&gt;=100000,INDEX($AN$1005:$BO$1005,1,MATCH(COLUMNS($AN$1006:AU1006),$AN$1006:$BO$1006,0))&gt;=100000), " ",IF(INDEX($AN$2:$BO$1001,MATCH(ROWS($AG$2:AG618),$AG$2:$AG$1001,0),MATCH(COLUMNS($AN$1006:AU1006),$AN$1006:$BO$1006,0)), HYPERLINK("#",""), HYPERLINK(CONCATENATE("#Metadata!", ADDRESS(INDEX($AI$2:$AI$1001,MATCH(ROWS($AG$2:AG618),$AG$2:$AG$1001,0),0), INDEX($AN$1004:$BO$1004,1,MATCH(COLUMNS($AN$1006:AU1006),$AN$1006:$BO$1006,0)))),"Fix")))</f>
        <v>0</v>
      </c>
      <c r="J618" s="4">
        <f>IF(OR(INDEX($AH$2:$AH$1001,MATCH(ROWS($AG$2:AG618),$AG$2:$AG$1001,0),1)&gt;=100000,INDEX($AN$1005:$BO$1005,1,MATCH(COLUMNS($AN$1006:AV1006),$AN$1006:$BO$1006,0))&gt;=100000), " ",IF(INDEX($AN$2:$BO$1001,MATCH(ROWS($AG$2:AG618),$AG$2:$AG$1001,0),MATCH(COLUMNS($AN$1006:AV1006),$AN$1006:$BO$1006,0)), HYPERLINK("#",""), HYPERLINK(CONCATENATE("#Metadata!", ADDRESS(INDEX($AI$2:$AI$1001,MATCH(ROWS($AG$2:AG618),$AG$2:$AG$1001,0),0), INDEX($AN$1004:$BO$1004,1,MATCH(COLUMNS($AN$1006:AV1006),$AN$1006:$BO$1006,0)))),"Fix")))</f>
        <v>0</v>
      </c>
      <c r="K618" s="4">
        <f>IF(OR(INDEX($AH$2:$AH$1001,MATCH(ROWS($AG$2:AG618),$AG$2:$AG$1001,0),1)&gt;=100000,INDEX($AN$1005:$BO$1005,1,MATCH(COLUMNS($AN$1006:AW1006),$AN$1006:$BO$1006,0))&gt;=100000), " ",IF(INDEX($AN$2:$BO$1001,MATCH(ROWS($AG$2:AG618),$AG$2:$AG$1001,0),MATCH(COLUMNS($AN$1006:AW1006),$AN$1006:$BO$1006,0)), HYPERLINK("#",""), HYPERLINK(CONCATENATE("#Metadata!", ADDRESS(INDEX($AI$2:$AI$1001,MATCH(ROWS($AG$2:AG618),$AG$2:$AG$1001,0),0), INDEX($AN$1004:$BO$1004,1,MATCH(COLUMNS($AN$1006:AW1006),$AN$1006:$BO$1006,0)))),"Fix")))</f>
        <v>0</v>
      </c>
      <c r="L618" s="4">
        <f>IF(OR(INDEX($AH$2:$AH$1001,MATCH(ROWS($AG$2:AG618),$AG$2:$AG$1001,0),1)&gt;=100000,INDEX($AN$1005:$BO$1005,1,MATCH(COLUMNS($AN$1006:AX1006),$AN$1006:$BO$1006,0))&gt;=100000), " ",IF(INDEX($AN$2:$BO$1001,MATCH(ROWS($AG$2:AG618),$AG$2:$AG$1001,0),MATCH(COLUMNS($AN$1006:AX1006),$AN$1006:$BO$1006,0)), HYPERLINK("#",""), HYPERLINK(CONCATENATE("#Metadata!", ADDRESS(INDEX($AI$2:$AI$1001,MATCH(ROWS($AG$2:AG618),$AG$2:$AG$1001,0),0), INDEX($AN$1004:$BO$1004,1,MATCH(COLUMNS($AN$1006:AX1006),$AN$1006:$BO$1006,0)))),"Fix")))</f>
        <v>0</v>
      </c>
      <c r="M618" s="4">
        <f>IF(OR(INDEX($AH$2:$AH$1001,MATCH(ROWS($AG$2:AG618),$AG$2:$AG$1001,0),1)&gt;=100000,INDEX($AN$1005:$BO$1005,1,MATCH(COLUMNS($AN$1006:AY1006),$AN$1006:$BO$1006,0))&gt;=100000), " ",IF(INDEX($AN$2:$BO$1001,MATCH(ROWS($AG$2:AG618),$AG$2:$AG$1001,0),MATCH(COLUMNS($AN$1006:AY1006),$AN$1006:$BO$1006,0)), HYPERLINK("#",""), HYPERLINK(CONCATENATE("#Metadata!", ADDRESS(INDEX($AI$2:$AI$1001,MATCH(ROWS($AG$2:AG618),$AG$2:$AG$1001,0),0), INDEX($AN$1004:$BO$1004,1,MATCH(COLUMNS($AN$1006:AY1006),$AN$1006:$BO$1006,0)))),"Fix")))</f>
        <v>0</v>
      </c>
      <c r="N618" s="4">
        <f>IF(OR(INDEX($AH$2:$AH$1001,MATCH(ROWS($AG$2:AG618),$AG$2:$AG$1001,0),1)&gt;=100000,INDEX($AN$1005:$BO$1005,1,MATCH(COLUMNS($AN$1006:AZ1006),$AN$1006:$BO$1006,0))&gt;=100000), " ",IF(INDEX($AN$2:$BO$1001,MATCH(ROWS($AG$2:AG618),$AG$2:$AG$1001,0),MATCH(COLUMNS($AN$1006:AZ1006),$AN$1006:$BO$1006,0)), HYPERLINK("#",""), HYPERLINK(CONCATENATE("#Metadata!", ADDRESS(INDEX($AI$2:$AI$1001,MATCH(ROWS($AG$2:AG618),$AG$2:$AG$1001,0),0), INDEX($AN$1004:$BO$1004,1,MATCH(COLUMNS($AN$1006:AZ1006),$AN$1006:$BO$1006,0)))),"Fix")))</f>
        <v>0</v>
      </c>
      <c r="O618" s="4">
        <f>IF(OR(INDEX($AH$2:$AH$1001,MATCH(ROWS($AG$2:AG618),$AG$2:$AG$1001,0),1)&gt;=100000,INDEX($AN$1005:$BO$1005,1,MATCH(COLUMNS($AN$1006:BA1006),$AN$1006:$BO$1006,0))&gt;=100000), " ",IF(INDEX($AN$2:$BO$1001,MATCH(ROWS($AG$2:AG618),$AG$2:$AG$1001,0),MATCH(COLUMNS($AN$1006:BA1006),$AN$1006:$BO$1006,0)), HYPERLINK("#",""), HYPERLINK(CONCATENATE("#Metadata!", ADDRESS(INDEX($AI$2:$AI$1001,MATCH(ROWS($AG$2:AG618),$AG$2:$AG$1001,0),0), INDEX($AN$1004:$BO$1004,1,MATCH(COLUMNS($AN$1006:BA1006),$AN$1006:$BO$1006,0)))),"Fix")))</f>
        <v>0</v>
      </c>
      <c r="P618" s="4">
        <f>IF(OR(INDEX($AH$2:$AH$1001,MATCH(ROWS($AG$2:AG618),$AG$2:$AG$1001,0),1)&gt;=100000,INDEX($AN$1005:$BO$1005,1,MATCH(COLUMNS($AN$1006:BB1006),$AN$1006:$BO$1006,0))&gt;=100000), " ",IF(INDEX($AN$2:$BO$1001,MATCH(ROWS($AG$2:AG618),$AG$2:$AG$1001,0),MATCH(COLUMNS($AN$1006:BB1006),$AN$1006:$BO$1006,0)), HYPERLINK("#",""), HYPERLINK(CONCATENATE("#Metadata!", ADDRESS(INDEX($AI$2:$AI$1001,MATCH(ROWS($AG$2:AG618),$AG$2:$AG$1001,0),0), INDEX($AN$1004:$BO$1004,1,MATCH(COLUMNS($AN$1006:BB1006),$AN$1006:$BO$1006,0)))),"Fix")))</f>
        <v>0</v>
      </c>
      <c r="Q618" s="4">
        <f>IF(OR(INDEX($AH$2:$AH$1001,MATCH(ROWS($AG$2:AG618),$AG$2:$AG$1001,0),1)&gt;=100000,INDEX($AN$1005:$BO$1005,1,MATCH(COLUMNS($AN$1006:BC1006),$AN$1006:$BO$1006,0))&gt;=100000), " ",IF(INDEX($AN$2:$BO$1001,MATCH(ROWS($AG$2:AG618),$AG$2:$AG$1001,0),MATCH(COLUMNS($AN$1006:BC1006),$AN$1006:$BO$1006,0)), HYPERLINK("#",""), HYPERLINK(CONCATENATE("#Metadata!", ADDRESS(INDEX($AI$2:$AI$1001,MATCH(ROWS($AG$2:AG618),$AG$2:$AG$1001,0),0), INDEX($AN$1004:$BO$1004,1,MATCH(COLUMNS($AN$1006:BC1006),$AN$1006:$BO$1006,0)))),"Fix")))</f>
        <v>0</v>
      </c>
      <c r="R618" s="4">
        <f>IF(OR(INDEX($AH$2:$AH$1001,MATCH(ROWS($AG$2:AG618),$AG$2:$AG$1001,0),1)&gt;=100000,INDEX($AN$1005:$BO$1005,1,MATCH(COLUMNS($AN$1006:BD1006),$AN$1006:$BO$1006,0))&gt;=100000), " ",IF(INDEX($AN$2:$BO$1001,MATCH(ROWS($AG$2:AG618),$AG$2:$AG$1001,0),MATCH(COLUMNS($AN$1006:BD1006),$AN$1006:$BO$1006,0)), HYPERLINK("#",""), HYPERLINK(CONCATENATE("#Metadata!", ADDRESS(INDEX($AI$2:$AI$1001,MATCH(ROWS($AG$2:AG618),$AG$2:$AG$1001,0),0), INDEX($AN$1004:$BO$1004,1,MATCH(COLUMNS($AN$1006:BD1006),$AN$1006:$BO$1006,0)))),"Fix")))</f>
        <v>0</v>
      </c>
      <c r="S618" s="4">
        <f>IF(OR(INDEX($AH$2:$AH$1001,MATCH(ROWS($AG$2:AG618),$AG$2:$AG$1001,0),1)&gt;=100000,INDEX($AN$1005:$BO$1005,1,MATCH(COLUMNS($AN$1006:BE1006),$AN$1006:$BO$1006,0))&gt;=100000), " ",IF(INDEX($AN$2:$BO$1001,MATCH(ROWS($AG$2:AG618),$AG$2:$AG$1001,0),MATCH(COLUMNS($AN$1006:BE1006),$AN$1006:$BO$1006,0)), HYPERLINK("#",""), HYPERLINK(CONCATENATE("#Metadata!", ADDRESS(INDEX($AI$2:$AI$1001,MATCH(ROWS($AG$2:AG618),$AG$2:$AG$1001,0),0), INDEX($AN$1004:$BO$1004,1,MATCH(COLUMNS($AN$1006:BE1006),$AN$1006:$BO$1006,0)))),"Fix")))</f>
        <v>0</v>
      </c>
      <c r="T618" s="4">
        <f>IF(OR(INDEX($AH$2:$AH$1001,MATCH(ROWS($AG$2:AG618),$AG$2:$AG$1001,0),1)&gt;=100000,INDEX($AN$1005:$BO$1005,1,MATCH(COLUMNS($AN$1006:BF1006),$AN$1006:$BO$1006,0))&gt;=100000), " ",IF(INDEX($AN$2:$BO$1001,MATCH(ROWS($AG$2:AG618),$AG$2:$AG$1001,0),MATCH(COLUMNS($AN$1006:BF1006),$AN$1006:$BO$1006,0)), HYPERLINK("#",""), HYPERLINK(CONCATENATE("#Metadata!", ADDRESS(INDEX($AI$2:$AI$1001,MATCH(ROWS($AG$2:AG618),$AG$2:$AG$1001,0),0), INDEX($AN$1004:$BO$1004,1,MATCH(COLUMNS($AN$1006:BF1006),$AN$1006:$BO$1006,0)))),"Fix")))</f>
        <v>0</v>
      </c>
      <c r="U618" s="4">
        <f>IF(OR(INDEX($AH$2:$AH$1001,MATCH(ROWS($AG$2:AG618),$AG$2:$AG$1001,0),1)&gt;=100000,INDEX($AN$1005:$BO$1005,1,MATCH(COLUMNS($AN$1006:BG1006),$AN$1006:$BO$1006,0))&gt;=100000), " ",IF(INDEX($AN$2:$BO$1001,MATCH(ROWS($AG$2:AG618),$AG$2:$AG$1001,0),MATCH(COLUMNS($AN$1006:BG1006),$AN$1006:$BO$1006,0)), HYPERLINK("#",""), HYPERLINK(CONCATENATE("#Metadata!", ADDRESS(INDEX($AI$2:$AI$1001,MATCH(ROWS($AG$2:AG618),$AG$2:$AG$1001,0),0), INDEX($AN$1004:$BO$1004,1,MATCH(COLUMNS($AN$1006:BG1006),$AN$1006:$BO$1006,0)))),"Fix")))</f>
        <v>0</v>
      </c>
      <c r="V618" s="4">
        <f>IF(OR(INDEX($AH$2:$AH$1001,MATCH(ROWS($AG$2:AG618),$AG$2:$AG$1001,0),1)&gt;=100000,INDEX($AN$1005:$BO$1005,1,MATCH(COLUMNS($AN$1006:BH1006),$AN$1006:$BO$1006,0))&gt;=100000), " ",IF(INDEX($AN$2:$BO$1001,MATCH(ROWS($AG$2:AG618),$AG$2:$AG$1001,0),MATCH(COLUMNS($AN$1006:BH1006),$AN$1006:$BO$1006,0)), HYPERLINK("#",""), HYPERLINK(CONCATENATE("#Metadata!", ADDRESS(INDEX($AI$2:$AI$1001,MATCH(ROWS($AG$2:AG618),$AG$2:$AG$1001,0),0), INDEX($AN$1004:$BO$1004,1,MATCH(COLUMNS($AN$1006:BH1006),$AN$1006:$BO$1006,0)))),"Fix")))</f>
        <v>0</v>
      </c>
      <c r="W618" s="4">
        <f>IF(OR(INDEX($AH$2:$AH$1001,MATCH(ROWS($AG$2:AG618),$AG$2:$AG$1001,0),1)&gt;=100000,INDEX($AN$1005:$BO$1005,1,MATCH(COLUMNS($AN$1006:BI1006),$AN$1006:$BO$1006,0))&gt;=100000), " ",IF(INDEX($AN$2:$BO$1001,MATCH(ROWS($AG$2:AG618),$AG$2:$AG$1001,0),MATCH(COLUMNS($AN$1006:BI1006),$AN$1006:$BO$1006,0)), HYPERLINK("#",""), HYPERLINK(CONCATENATE("#Metadata!", ADDRESS(INDEX($AI$2:$AI$1001,MATCH(ROWS($AG$2:AG618),$AG$2:$AG$1001,0),0), INDEX($AN$1004:$BO$1004,1,MATCH(COLUMNS($AN$1006:BI1006),$AN$1006:$BO$1006,0)))),"Fix")))</f>
        <v>0</v>
      </c>
      <c r="X618" s="4">
        <f>IF(OR(INDEX($AH$2:$AH$1001,MATCH(ROWS($AG$2:AG618),$AG$2:$AG$1001,0),1)&gt;=100000,INDEX($AN$1005:$BO$1005,1,MATCH(COLUMNS($AN$1006:BJ1006),$AN$1006:$BO$1006,0))&gt;=100000), " ",IF(INDEX($AN$2:$BO$1001,MATCH(ROWS($AG$2:AG618),$AG$2:$AG$1001,0),MATCH(COLUMNS($AN$1006:BJ1006),$AN$1006:$BO$1006,0)), HYPERLINK("#",""), HYPERLINK(CONCATENATE("#Metadata!", ADDRESS(INDEX($AI$2:$AI$1001,MATCH(ROWS($AG$2:AG618),$AG$2:$AG$1001,0),0), INDEX($AN$1004:$BO$1004,1,MATCH(COLUMNS($AN$1006:BJ1006),$AN$1006:$BO$1006,0)))),"Fix")))</f>
        <v>0</v>
      </c>
      <c r="Y618" s="4">
        <f>IF(OR(INDEX($AH$2:$AH$1001,MATCH(ROWS($AG$2:AG618),$AG$2:$AG$1001,0),1)&gt;=100000,INDEX($AN$1005:$BO$1005,1,MATCH(COLUMNS($AN$1006:BK1006),$AN$1006:$BO$1006,0))&gt;=100000), " ",IF(INDEX($AN$2:$BO$1001,MATCH(ROWS($AG$2:AG618),$AG$2:$AG$1001,0),MATCH(COLUMNS($AN$1006:BK1006),$AN$1006:$BO$1006,0)), HYPERLINK("#",""), HYPERLINK(CONCATENATE("#Metadata!", ADDRESS(INDEX($AI$2:$AI$1001,MATCH(ROWS($AG$2:AG618),$AG$2:$AG$1001,0),0), INDEX($AN$1004:$BO$1004,1,MATCH(COLUMNS($AN$1006:BK1006),$AN$1006:$BO$1006,0)))),"Fix")))</f>
        <v>0</v>
      </c>
      <c r="Z618" s="4">
        <f>IF(OR(INDEX($AH$2:$AH$1001,MATCH(ROWS($AG$2:AG618),$AG$2:$AG$1001,0),1)&gt;=100000,INDEX($AN$1005:$BO$1005,1,MATCH(COLUMNS($AN$1006:BL1006),$AN$1006:$BO$1006,0))&gt;=100000), " ",IF(INDEX($AN$2:$BO$1001,MATCH(ROWS($AG$2:AG618),$AG$2:$AG$1001,0),MATCH(COLUMNS($AN$1006:BL1006),$AN$1006:$BO$1006,0)), HYPERLINK("#",""), HYPERLINK(CONCATENATE("#Metadata!", ADDRESS(INDEX($AI$2:$AI$1001,MATCH(ROWS($AG$2:AG618),$AG$2:$AG$1001,0),0), INDEX($AN$1004:$BO$1004,1,MATCH(COLUMNS($AN$1006:BL1006),$AN$1006:$BO$1006,0)))),"Fix")))</f>
        <v>0</v>
      </c>
      <c r="AA618" s="4">
        <f>IF(OR(INDEX($AH$2:$AH$1001,MATCH(ROWS($AG$2:AG618),$AG$2:$AG$1001,0),1)&gt;=100000,INDEX($AN$1005:$BO$1005,1,MATCH(COLUMNS($AN$1006:BM1006),$AN$1006:$BO$1006,0))&gt;=100000), " ",IF(INDEX($AN$2:$BO$1001,MATCH(ROWS($AG$2:AG618),$AG$2:$AG$1001,0),MATCH(COLUMNS($AN$1006:BM1006),$AN$1006:$BO$1006,0)), HYPERLINK("#",""), HYPERLINK(CONCATENATE("#Metadata!", ADDRESS(INDEX($AI$2:$AI$1001,MATCH(ROWS($AG$2:AG618),$AG$2:$AG$1001,0),0), INDEX($AN$1004:$BO$1004,1,MATCH(COLUMNS($AN$1006:BM1006),$AN$1006:$BO$1006,0)))),"Fix")))</f>
        <v>0</v>
      </c>
      <c r="AB618" s="4">
        <f>IF(OR(INDEX($AH$2:$AH$1001,MATCH(ROWS($AG$2:AG618),$AG$2:$AG$1001,0),1)&gt;=100000,INDEX($AN$1005:$BO$1005,1,MATCH(COLUMNS($AN$1006:BN1006),$AN$1006:$BO$1006,0))&gt;=100000), " ",IF(INDEX($AN$2:$BO$1001,MATCH(ROWS($AG$2:AG618),$AG$2:$AG$1001,0),MATCH(COLUMNS($AN$1006:BN1006),$AN$1006:$BO$1006,0)), HYPERLINK("#",""), HYPERLINK(CONCATENATE("#Metadata!", ADDRESS(INDEX($AI$2:$AI$1001,MATCH(ROWS($AG$2:AG618),$AG$2:$AG$1001,0),0), INDEX($AN$1004:$BO$1004,1,MATCH(COLUMNS($AN$1006:BN1006),$AN$1006:$BO$1006,0)))),"Fix")))</f>
        <v>0</v>
      </c>
      <c r="AC618" s="4">
        <f>IF(OR(INDEX($AH$2:$AH$1001,MATCH(ROWS($AG$2:AG618),$AG$2:$AG$1001,0),1)&gt;=100000,INDEX($AN$1005:$BO$1005,1,MATCH(COLUMNS($AN$1006:BO1006),$AN$1006:$BO$1006,0))&gt;=100000), " ",IF(INDEX($AN$2:$BO$1001,MATCH(ROWS($AG$2:AG618),$AG$2:$AG$1001,0),MATCH(COLUMNS($AN$1006:BO1006),$AN$1006:$BO$1006,0)), HYPERLINK("#",""), HYPERLINK(CONCATENATE("#Metadata!", ADDRESS(INDEX($AI$2:$AI$1001,MATCH(ROWS($AG$2:AG618),$AG$2:$AG$1001,0),0), INDEX($AN$1004:$BO$1004,1,MATCH(COLUMNS($AN$1006:BO1006),$AN$1006:$BO$1006,0)))),"Fix")))</f>
        <v>0</v>
      </c>
      <c r="AG618">
        <v>0</v>
      </c>
      <c r="AH618">
        <v>0</v>
      </c>
      <c r="AI618">
        <v>0</v>
      </c>
      <c r="AJ618">
        <f>IF(AK618,TRUE,AND(AN618:BO618))</f>
        <v>0</v>
      </c>
      <c r="AK618">
        <f>COUNTBLANK(Metadata!B618:AC618)=COLUMNS(Metadata!B618:AC618)</f>
        <v>0</v>
      </c>
      <c r="AL618">
        <v>0</v>
      </c>
      <c r="AN618">
        <f>AND(IF(Metadata!B618="",FALSE,TRUE),COUNTIF(Metadata!B:B, Metadata!B618) = 1,NOT(ISERROR(SUMPRODUCT(SEARCH(MID(Metadata!B618,ROW(INDIRECT("1:"&amp;LEN(Metadata!B618))), 1),"0123456789abcdefghijklmnopqrstuvwxyzABCDEFGHIJKLMNOPQRSTUVWXYZ.")))))</f>
        <v>0</v>
      </c>
      <c r="AO618">
        <f>IF(Metadata!C618="",FALSE,TRUE)</f>
        <v>0</v>
      </c>
      <c r="AP618">
        <f>IF(Metadata!D618="",FALSE,TRUE)</f>
        <v>0</v>
      </c>
      <c r="AQ618">
        <f>OR(AND(IF(Metadata!E618="",FALSE,TRUE),OR(exact(Metadata!E618,"not collected"),exact(Metadata!E618,"not provided"),exact(Metadata!E618,"restricted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R618">
        <f>IF(Metadata!F618="",FALSE,TRUE)</f>
        <v>0</v>
      </c>
      <c r="AS618">
        <f>OR(AND(IF(Metadata!G618="",FALSE,TRUE),OR(exact(Metadata!G618,"not collected"),exact(Metadata!G618,"not provided"))),AND(IF(Metadata!G618="",FALSE,TRUE),OR(exact(Metadata!G618,"TRUE"),exact(Metadata!G618,"FALSE"))))</f>
        <v>0</v>
      </c>
      <c r="AT618">
        <f>OR(AND(IF(Metadata!H618="",FALSE,TRUE),OR(exact(Metadata!H618,"not collected"),exact(Metadata!H618,"not provided"),exact(Metadata!H618,"restricted access"))),AND(IF(Metadata!H618="",FALSE,ISNUMBER(VALUE(Metadata!H618))),Metadata!H618&gt;=-413.0))</f>
        <v>0</v>
      </c>
      <c r="AU618">
        <f>AND(IF(Metadata!I618="",FALSE,TRUE),exact(Metadata!I618,"meters"))</f>
        <v>0</v>
      </c>
      <c r="AV618">
        <f>AND(IF(Metadata!J618="",FALSE,TRUE),OR(exact(Metadata!J618,"Host-associated"),exact(Metadata!J618,"Free-living")))</f>
        <v>0</v>
      </c>
      <c r="AW618">
        <f>AND(IF(Metadata!K618="",FALSE,TRUE),OR(exact(Metadata!K618,"Animal"),exact(Metadata!K618,"Fungus"),exact(Metadata!K618,"Plant"),exact(Metadata!K618,"Saline"),exact(Metadata!K618,"Non-saline")))</f>
        <v>0</v>
      </c>
      <c r="AX618">
        <f>AND(IF(Metadata!L618="",FALSE,TRUE),OR(exact(Metadata!L618,"Plant secretion"),exact(Metadata!L618,"Plant rhizosphere"),exact(Metadata!L618,"Plant surface"),exact(Metadata!L618,"Plant corpus"),exact(Metadata!L618,"Fungus surface"),exact(Metadata!L618,"Fungus corpus"),exact(Metadata!L618,"Animal surface"),exact(Metadata!L618,"Animal proximal gut"),exact(Metadata!L618,"Animal corpus"),exact(Metadata!L618,"Animal distal gut"),exact(Metadata!L618,"Animal secretion"),exact(Metadata!L618,"Sub-surface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Y618">
        <f>IF(Metadata!M618="",FALSE,TRUE)</f>
        <v>0</v>
      </c>
      <c r="AZ618">
        <f>IF(Metadata!N618="",FALSE,TRUE)</f>
        <v>0</v>
      </c>
      <c r="BA618">
        <f>IF(Metadata!O618="",FALSE,TRUE)</f>
        <v>0</v>
      </c>
      <c r="BB618">
        <f>OR(AND(IF(Metadata!P618="",FALSE,TRUE),OR(exact(Metadata!P618,"not collected"),exact(Metadata!P618,"not provided"),exact(Metadata!P618,"restricted access"))),AND(IF(Metadata!P618="",FALSE,TRUE),OR(exact(Metadata!P618,"air"),exact(Metadata!P618,"built environment"),exact(Metadata!P618,"host-associated"),exact(Metadata!P618,"human-associated"),exact(Metadata!P618,"human-skin"),exact(Metadata!P618,"human-oral"),exact(Metadata!P618,"human-gut"),exact(Metadata!P618,"human-vaginal"),exact(Metadata!P618,"microbial mat/biofilm"),exact(Metadata!P618,"misc environment"),exact(Metadata!P618,"plant-associated"),exact(Metadata!P618,"sediment"),exact(Metadata!P618,"soil"),exact(Metadata!P618,"wastewater/sludge"),exact(Metadata!P618,"water"))))</f>
        <v>0</v>
      </c>
      <c r="BC618">
        <f>IF(Metadata!Q618="",FALSE,TRUE)</f>
        <v>0</v>
      </c>
      <c r="BD618">
        <f>IF(Metadata!R618="",FALSE,TRUE)</f>
        <v>0</v>
      </c>
      <c r="BE618">
        <f>OR(AND(IF(Metadata!S618="",FALSE,TRUE),OR(exact(Metadata!S618,"not collected"),exact(Metadata!S618,"not provided"),exact(Metadata!S618,"restricted access"))),AND(IF(Metadata!S618="",FALSE,ISNUMBER(VALUE(Metadata!S618))),Metadata!S618&gt;=-90.00,Metadata!S618&lt;=90.00))</f>
        <v>0</v>
      </c>
      <c r="BF618">
        <f>AND(IF(Metadata!T618="",FALSE,TRUE),exact(Metadata!T618,"Decimal degrees"))</f>
        <v>0</v>
      </c>
      <c r="BG618">
        <f>OR(AND(IF(Metadata!U618="",FALSE,TRUE),OR(exact(Metadata!U618,"not collected"),exact(Metadata!U618,"not provided"),exact(Metadata!U618,"restricted access"))),AND(IF(Metadata!U618="",FALSE,ISNUMBER(VALUE(Metadata!U618))),Metadata!U618&gt;=-180.00,Metadata!U618&lt;=180.00))</f>
        <v>0</v>
      </c>
      <c r="BH618">
        <f>AND(IF(Metadata!V618="",FALSE,TRUE),exact(Metadata!V618,"Decimal degrees"))</f>
        <v>0</v>
      </c>
      <c r="BI618">
        <f>IF(Metadata!W618="",FALSE,TRUE)</f>
        <v>0</v>
      </c>
      <c r="BJ618">
        <f>OR(AND(IF(Metadata!X618="",FALSE,TRUE),OR(exact(Metadata!X618,"not collected"),exact(Metadata!X618,"not provided"),exact(Metadata!X618,"restricted access"))),AND(IF(Metadata!X618="",FALSE,TRUE),OR(exact(Metadata!X618,"TRUE"),exact(Metadata!X618,"FALSE"))))</f>
        <v>0</v>
      </c>
      <c r="BK618">
        <f>AND(IF(Metadata!Y618="",FALSE,TRUE),exact(Metadata!Y618,"other"))</f>
        <v>0</v>
      </c>
      <c r="BL618">
        <f>IF(Metadata!Z618="",FALSE,TRUE)</f>
        <v>0</v>
      </c>
      <c r="BM618">
        <f>OR(AND(IF(Metadata!AA618="",FALSE,TRUE),OR(exact(Metadata!AA618,"not collected"),exact(Metadata!AA618,"not provided"))),AND(IF(Metadata!AA618="",FALSE,IF(ISERROR(INT(Metadata!AA618)),FALSE,INT(Metadata!AA618)=Metadata!AA618)),Metadata!AA618&gt;0))</f>
        <v>0</v>
      </c>
      <c r="BN618">
        <f>AND(IF(Metadata!AB618="",FALSE,TRUE),exact(Metadata!AB618,"Not applicable"))</f>
        <v>0</v>
      </c>
      <c r="BO618">
        <f>IF(Metadata!AC618="",FALSE,TRUE)</f>
        <v>0</v>
      </c>
    </row>
    <row r="619" spans="1:67">
      <c r="A619" s="5">
        <f>IF(B619=" "," ",HYPERLINK(CONCATENATE("#metadata!",ADDRESS(INDEX($AI$2:$AI$1001,MATCH(ROWS($AG$2:AG619),$AG$2:$AG$1001,0),0),1)),INDEX($AL$2:$AL$1001,MATCH(ROWS($AG$2:AG619),$AG$2:$AG$1001,0),0)))</f>
        <v>0</v>
      </c>
      <c r="B619" s="4">
        <f>IF(OR(INDEX($AH$2:$AH$1001,MATCH(ROWS($AG$2:AG619),$AG$2:$AG$1001,0),1)&gt;=100000,INDEX($AN$1005:$BO$1005,1,MATCH(COLUMNS($AN$1006:AN1006),$AN$1006:$BO$1006,0))&gt;=100000), " ",IF(INDEX($AN$2:$BO$1001,MATCH(ROWS($AG$2:AG619),$AG$2:$AG$1001,0),MATCH(COLUMNS($AN$1006:AN1006),$AN$1006:$BO$1006,0)), HYPERLINK("#",""), HYPERLINK(CONCATENATE("#Metadata!", ADDRESS(INDEX($AI$2:$AI$1001,MATCH(ROWS($AG$2:AG619),$AG$2:$AG$1001,0),0), INDEX($AN$1004:$BO$1004,1,MATCH(COLUMNS($AN$1006:AN1006),$AN$1006:$BO$1006,0)))),"Fix")))</f>
        <v>0</v>
      </c>
      <c r="C619" s="4">
        <f>IF(OR(INDEX($AH$2:$AH$1001,MATCH(ROWS($AG$2:AG619),$AG$2:$AG$1001,0),1)&gt;=100000,INDEX($AN$1005:$BO$1005,1,MATCH(COLUMNS($AN$1006:AO1006),$AN$1006:$BO$1006,0))&gt;=100000), " ",IF(INDEX($AN$2:$BO$1001,MATCH(ROWS($AG$2:AG619),$AG$2:$AG$1001,0),MATCH(COLUMNS($AN$1006:AO1006),$AN$1006:$BO$1006,0)), HYPERLINK("#",""), HYPERLINK(CONCATENATE("#Metadata!", ADDRESS(INDEX($AI$2:$AI$1001,MATCH(ROWS($AG$2:AG619),$AG$2:$AG$1001,0),0), INDEX($AN$1004:$BO$1004,1,MATCH(COLUMNS($AN$1006:AO1006),$AN$1006:$BO$1006,0)))),"Fix")))</f>
        <v>0</v>
      </c>
      <c r="D619" s="4">
        <f>IF(OR(INDEX($AH$2:$AH$1001,MATCH(ROWS($AG$2:AG619),$AG$2:$AG$1001,0),1)&gt;=100000,INDEX($AN$1005:$BO$1005,1,MATCH(COLUMNS($AN$1006:AP1006),$AN$1006:$BO$1006,0))&gt;=100000), " ",IF(INDEX($AN$2:$BO$1001,MATCH(ROWS($AG$2:AG619),$AG$2:$AG$1001,0),MATCH(COLUMNS($AN$1006:AP1006),$AN$1006:$BO$1006,0)), HYPERLINK("#",""), HYPERLINK(CONCATENATE("#Metadata!", ADDRESS(INDEX($AI$2:$AI$1001,MATCH(ROWS($AG$2:AG619),$AG$2:$AG$1001,0),0), INDEX($AN$1004:$BO$1004,1,MATCH(COLUMNS($AN$1006:AP1006),$AN$1006:$BO$1006,0)))),"Fix")))</f>
        <v>0</v>
      </c>
      <c r="E619" s="4">
        <f>IF(OR(INDEX($AH$2:$AH$1001,MATCH(ROWS($AG$2:AG619),$AG$2:$AG$1001,0),1)&gt;=100000,INDEX($AN$1005:$BO$1005,1,MATCH(COLUMNS($AN$1006:AQ1006),$AN$1006:$BO$1006,0))&gt;=100000), " ",IF(INDEX($AN$2:$BO$1001,MATCH(ROWS($AG$2:AG619),$AG$2:$AG$1001,0),MATCH(COLUMNS($AN$1006:AQ1006),$AN$1006:$BO$1006,0)), HYPERLINK("#",""), HYPERLINK(CONCATENATE("#Metadata!", ADDRESS(INDEX($AI$2:$AI$1001,MATCH(ROWS($AG$2:AG619),$AG$2:$AG$1001,0),0), INDEX($AN$1004:$BO$1004,1,MATCH(COLUMNS($AN$1006:AQ1006),$AN$1006:$BO$1006,0)))),"Fix")))</f>
        <v>0</v>
      </c>
      <c r="F619" s="4">
        <f>IF(OR(INDEX($AH$2:$AH$1001,MATCH(ROWS($AG$2:AG619),$AG$2:$AG$1001,0),1)&gt;=100000,INDEX($AN$1005:$BO$1005,1,MATCH(COLUMNS($AN$1006:AR1006),$AN$1006:$BO$1006,0))&gt;=100000), " ",IF(INDEX($AN$2:$BO$1001,MATCH(ROWS($AG$2:AG619),$AG$2:$AG$1001,0),MATCH(COLUMNS($AN$1006:AR1006),$AN$1006:$BO$1006,0)), HYPERLINK("#",""), HYPERLINK(CONCATENATE("#Metadata!", ADDRESS(INDEX($AI$2:$AI$1001,MATCH(ROWS($AG$2:AG619),$AG$2:$AG$1001,0),0), INDEX($AN$1004:$BO$1004,1,MATCH(COLUMNS($AN$1006:AR1006),$AN$1006:$BO$1006,0)))),"Fix")))</f>
        <v>0</v>
      </c>
      <c r="G619" s="4">
        <f>IF(OR(INDEX($AH$2:$AH$1001,MATCH(ROWS($AG$2:AG619),$AG$2:$AG$1001,0),1)&gt;=100000,INDEX($AN$1005:$BO$1005,1,MATCH(COLUMNS($AN$1006:AS1006),$AN$1006:$BO$1006,0))&gt;=100000), " ",IF(INDEX($AN$2:$BO$1001,MATCH(ROWS($AG$2:AG619),$AG$2:$AG$1001,0),MATCH(COLUMNS($AN$1006:AS1006),$AN$1006:$BO$1006,0)), HYPERLINK("#",""), HYPERLINK(CONCATENATE("#Metadata!", ADDRESS(INDEX($AI$2:$AI$1001,MATCH(ROWS($AG$2:AG619),$AG$2:$AG$1001,0),0), INDEX($AN$1004:$BO$1004,1,MATCH(COLUMNS($AN$1006:AS1006),$AN$1006:$BO$1006,0)))),"Fix")))</f>
        <v>0</v>
      </c>
      <c r="H619" s="4">
        <f>IF(OR(INDEX($AH$2:$AH$1001,MATCH(ROWS($AG$2:AG619),$AG$2:$AG$1001,0),1)&gt;=100000,INDEX($AN$1005:$BO$1005,1,MATCH(COLUMNS($AN$1006:AT1006),$AN$1006:$BO$1006,0))&gt;=100000), " ",IF(INDEX($AN$2:$BO$1001,MATCH(ROWS($AG$2:AG619),$AG$2:$AG$1001,0),MATCH(COLUMNS($AN$1006:AT1006),$AN$1006:$BO$1006,0)), HYPERLINK("#",""), HYPERLINK(CONCATENATE("#Metadata!", ADDRESS(INDEX($AI$2:$AI$1001,MATCH(ROWS($AG$2:AG619),$AG$2:$AG$1001,0),0), INDEX($AN$1004:$BO$1004,1,MATCH(COLUMNS($AN$1006:AT1006),$AN$1006:$BO$1006,0)))),"Fix")))</f>
        <v>0</v>
      </c>
      <c r="I619" s="4">
        <f>IF(OR(INDEX($AH$2:$AH$1001,MATCH(ROWS($AG$2:AG619),$AG$2:$AG$1001,0),1)&gt;=100000,INDEX($AN$1005:$BO$1005,1,MATCH(COLUMNS($AN$1006:AU1006),$AN$1006:$BO$1006,0))&gt;=100000), " ",IF(INDEX($AN$2:$BO$1001,MATCH(ROWS($AG$2:AG619),$AG$2:$AG$1001,0),MATCH(COLUMNS($AN$1006:AU1006),$AN$1006:$BO$1006,0)), HYPERLINK("#",""), HYPERLINK(CONCATENATE("#Metadata!", ADDRESS(INDEX($AI$2:$AI$1001,MATCH(ROWS($AG$2:AG619),$AG$2:$AG$1001,0),0), INDEX($AN$1004:$BO$1004,1,MATCH(COLUMNS($AN$1006:AU1006),$AN$1006:$BO$1006,0)))),"Fix")))</f>
        <v>0</v>
      </c>
      <c r="J619" s="4">
        <f>IF(OR(INDEX($AH$2:$AH$1001,MATCH(ROWS($AG$2:AG619),$AG$2:$AG$1001,0),1)&gt;=100000,INDEX($AN$1005:$BO$1005,1,MATCH(COLUMNS($AN$1006:AV1006),$AN$1006:$BO$1006,0))&gt;=100000), " ",IF(INDEX($AN$2:$BO$1001,MATCH(ROWS($AG$2:AG619),$AG$2:$AG$1001,0),MATCH(COLUMNS($AN$1006:AV1006),$AN$1006:$BO$1006,0)), HYPERLINK("#",""), HYPERLINK(CONCATENATE("#Metadata!", ADDRESS(INDEX($AI$2:$AI$1001,MATCH(ROWS($AG$2:AG619),$AG$2:$AG$1001,0),0), INDEX($AN$1004:$BO$1004,1,MATCH(COLUMNS($AN$1006:AV1006),$AN$1006:$BO$1006,0)))),"Fix")))</f>
        <v>0</v>
      </c>
      <c r="K619" s="4">
        <f>IF(OR(INDEX($AH$2:$AH$1001,MATCH(ROWS($AG$2:AG619),$AG$2:$AG$1001,0),1)&gt;=100000,INDEX($AN$1005:$BO$1005,1,MATCH(COLUMNS($AN$1006:AW1006),$AN$1006:$BO$1006,0))&gt;=100000), " ",IF(INDEX($AN$2:$BO$1001,MATCH(ROWS($AG$2:AG619),$AG$2:$AG$1001,0),MATCH(COLUMNS($AN$1006:AW1006),$AN$1006:$BO$1006,0)), HYPERLINK("#",""), HYPERLINK(CONCATENATE("#Metadata!", ADDRESS(INDEX($AI$2:$AI$1001,MATCH(ROWS($AG$2:AG619),$AG$2:$AG$1001,0),0), INDEX($AN$1004:$BO$1004,1,MATCH(COLUMNS($AN$1006:AW1006),$AN$1006:$BO$1006,0)))),"Fix")))</f>
        <v>0</v>
      </c>
      <c r="L619" s="4">
        <f>IF(OR(INDEX($AH$2:$AH$1001,MATCH(ROWS($AG$2:AG619),$AG$2:$AG$1001,0),1)&gt;=100000,INDEX($AN$1005:$BO$1005,1,MATCH(COLUMNS($AN$1006:AX1006),$AN$1006:$BO$1006,0))&gt;=100000), " ",IF(INDEX($AN$2:$BO$1001,MATCH(ROWS($AG$2:AG619),$AG$2:$AG$1001,0),MATCH(COLUMNS($AN$1006:AX1006),$AN$1006:$BO$1006,0)), HYPERLINK("#",""), HYPERLINK(CONCATENATE("#Metadata!", ADDRESS(INDEX($AI$2:$AI$1001,MATCH(ROWS($AG$2:AG619),$AG$2:$AG$1001,0),0), INDEX($AN$1004:$BO$1004,1,MATCH(COLUMNS($AN$1006:AX1006),$AN$1006:$BO$1006,0)))),"Fix")))</f>
        <v>0</v>
      </c>
      <c r="M619" s="4">
        <f>IF(OR(INDEX($AH$2:$AH$1001,MATCH(ROWS($AG$2:AG619),$AG$2:$AG$1001,0),1)&gt;=100000,INDEX($AN$1005:$BO$1005,1,MATCH(COLUMNS($AN$1006:AY1006),$AN$1006:$BO$1006,0))&gt;=100000), " ",IF(INDEX($AN$2:$BO$1001,MATCH(ROWS($AG$2:AG619),$AG$2:$AG$1001,0),MATCH(COLUMNS($AN$1006:AY1006),$AN$1006:$BO$1006,0)), HYPERLINK("#",""), HYPERLINK(CONCATENATE("#Metadata!", ADDRESS(INDEX($AI$2:$AI$1001,MATCH(ROWS($AG$2:AG619),$AG$2:$AG$1001,0),0), INDEX($AN$1004:$BO$1004,1,MATCH(COLUMNS($AN$1006:AY1006),$AN$1006:$BO$1006,0)))),"Fix")))</f>
        <v>0</v>
      </c>
      <c r="N619" s="4">
        <f>IF(OR(INDEX($AH$2:$AH$1001,MATCH(ROWS($AG$2:AG619),$AG$2:$AG$1001,0),1)&gt;=100000,INDEX($AN$1005:$BO$1005,1,MATCH(COLUMNS($AN$1006:AZ1006),$AN$1006:$BO$1006,0))&gt;=100000), " ",IF(INDEX($AN$2:$BO$1001,MATCH(ROWS($AG$2:AG619),$AG$2:$AG$1001,0),MATCH(COLUMNS($AN$1006:AZ1006),$AN$1006:$BO$1006,0)), HYPERLINK("#",""), HYPERLINK(CONCATENATE("#Metadata!", ADDRESS(INDEX($AI$2:$AI$1001,MATCH(ROWS($AG$2:AG619),$AG$2:$AG$1001,0),0), INDEX($AN$1004:$BO$1004,1,MATCH(COLUMNS($AN$1006:AZ1006),$AN$1006:$BO$1006,0)))),"Fix")))</f>
        <v>0</v>
      </c>
      <c r="O619" s="4">
        <f>IF(OR(INDEX($AH$2:$AH$1001,MATCH(ROWS($AG$2:AG619),$AG$2:$AG$1001,0),1)&gt;=100000,INDEX($AN$1005:$BO$1005,1,MATCH(COLUMNS($AN$1006:BA1006),$AN$1006:$BO$1006,0))&gt;=100000), " ",IF(INDEX($AN$2:$BO$1001,MATCH(ROWS($AG$2:AG619),$AG$2:$AG$1001,0),MATCH(COLUMNS($AN$1006:BA1006),$AN$1006:$BO$1006,0)), HYPERLINK("#",""), HYPERLINK(CONCATENATE("#Metadata!", ADDRESS(INDEX($AI$2:$AI$1001,MATCH(ROWS($AG$2:AG619),$AG$2:$AG$1001,0),0), INDEX($AN$1004:$BO$1004,1,MATCH(COLUMNS($AN$1006:BA1006),$AN$1006:$BO$1006,0)))),"Fix")))</f>
        <v>0</v>
      </c>
      <c r="P619" s="4">
        <f>IF(OR(INDEX($AH$2:$AH$1001,MATCH(ROWS($AG$2:AG619),$AG$2:$AG$1001,0),1)&gt;=100000,INDEX($AN$1005:$BO$1005,1,MATCH(COLUMNS($AN$1006:BB1006),$AN$1006:$BO$1006,0))&gt;=100000), " ",IF(INDEX($AN$2:$BO$1001,MATCH(ROWS($AG$2:AG619),$AG$2:$AG$1001,0),MATCH(COLUMNS($AN$1006:BB1006),$AN$1006:$BO$1006,0)), HYPERLINK("#",""), HYPERLINK(CONCATENATE("#Metadata!", ADDRESS(INDEX($AI$2:$AI$1001,MATCH(ROWS($AG$2:AG619),$AG$2:$AG$1001,0),0), INDEX($AN$1004:$BO$1004,1,MATCH(COLUMNS($AN$1006:BB1006),$AN$1006:$BO$1006,0)))),"Fix")))</f>
        <v>0</v>
      </c>
      <c r="Q619" s="4">
        <f>IF(OR(INDEX($AH$2:$AH$1001,MATCH(ROWS($AG$2:AG619),$AG$2:$AG$1001,0),1)&gt;=100000,INDEX($AN$1005:$BO$1005,1,MATCH(COLUMNS($AN$1006:BC1006),$AN$1006:$BO$1006,0))&gt;=100000), " ",IF(INDEX($AN$2:$BO$1001,MATCH(ROWS($AG$2:AG619),$AG$2:$AG$1001,0),MATCH(COLUMNS($AN$1006:BC1006),$AN$1006:$BO$1006,0)), HYPERLINK("#",""), HYPERLINK(CONCATENATE("#Metadata!", ADDRESS(INDEX($AI$2:$AI$1001,MATCH(ROWS($AG$2:AG619),$AG$2:$AG$1001,0),0), INDEX($AN$1004:$BO$1004,1,MATCH(COLUMNS($AN$1006:BC1006),$AN$1006:$BO$1006,0)))),"Fix")))</f>
        <v>0</v>
      </c>
      <c r="R619" s="4">
        <f>IF(OR(INDEX($AH$2:$AH$1001,MATCH(ROWS($AG$2:AG619),$AG$2:$AG$1001,0),1)&gt;=100000,INDEX($AN$1005:$BO$1005,1,MATCH(COLUMNS($AN$1006:BD1006),$AN$1006:$BO$1006,0))&gt;=100000), " ",IF(INDEX($AN$2:$BO$1001,MATCH(ROWS($AG$2:AG619),$AG$2:$AG$1001,0),MATCH(COLUMNS($AN$1006:BD1006),$AN$1006:$BO$1006,0)), HYPERLINK("#",""), HYPERLINK(CONCATENATE("#Metadata!", ADDRESS(INDEX($AI$2:$AI$1001,MATCH(ROWS($AG$2:AG619),$AG$2:$AG$1001,0),0), INDEX($AN$1004:$BO$1004,1,MATCH(COLUMNS($AN$1006:BD1006),$AN$1006:$BO$1006,0)))),"Fix")))</f>
        <v>0</v>
      </c>
      <c r="S619" s="4">
        <f>IF(OR(INDEX($AH$2:$AH$1001,MATCH(ROWS($AG$2:AG619),$AG$2:$AG$1001,0),1)&gt;=100000,INDEX($AN$1005:$BO$1005,1,MATCH(COLUMNS($AN$1006:BE1006),$AN$1006:$BO$1006,0))&gt;=100000), " ",IF(INDEX($AN$2:$BO$1001,MATCH(ROWS($AG$2:AG619),$AG$2:$AG$1001,0),MATCH(COLUMNS($AN$1006:BE1006),$AN$1006:$BO$1006,0)), HYPERLINK("#",""), HYPERLINK(CONCATENATE("#Metadata!", ADDRESS(INDEX($AI$2:$AI$1001,MATCH(ROWS($AG$2:AG619),$AG$2:$AG$1001,0),0), INDEX($AN$1004:$BO$1004,1,MATCH(COLUMNS($AN$1006:BE1006),$AN$1006:$BO$1006,0)))),"Fix")))</f>
        <v>0</v>
      </c>
      <c r="T619" s="4">
        <f>IF(OR(INDEX($AH$2:$AH$1001,MATCH(ROWS($AG$2:AG619),$AG$2:$AG$1001,0),1)&gt;=100000,INDEX($AN$1005:$BO$1005,1,MATCH(COLUMNS($AN$1006:BF1006),$AN$1006:$BO$1006,0))&gt;=100000), " ",IF(INDEX($AN$2:$BO$1001,MATCH(ROWS($AG$2:AG619),$AG$2:$AG$1001,0),MATCH(COLUMNS($AN$1006:BF1006),$AN$1006:$BO$1006,0)), HYPERLINK("#",""), HYPERLINK(CONCATENATE("#Metadata!", ADDRESS(INDEX($AI$2:$AI$1001,MATCH(ROWS($AG$2:AG619),$AG$2:$AG$1001,0),0), INDEX($AN$1004:$BO$1004,1,MATCH(COLUMNS($AN$1006:BF1006),$AN$1006:$BO$1006,0)))),"Fix")))</f>
        <v>0</v>
      </c>
      <c r="U619" s="4">
        <f>IF(OR(INDEX($AH$2:$AH$1001,MATCH(ROWS($AG$2:AG619),$AG$2:$AG$1001,0),1)&gt;=100000,INDEX($AN$1005:$BO$1005,1,MATCH(COLUMNS($AN$1006:BG1006),$AN$1006:$BO$1006,0))&gt;=100000), " ",IF(INDEX($AN$2:$BO$1001,MATCH(ROWS($AG$2:AG619),$AG$2:$AG$1001,0),MATCH(COLUMNS($AN$1006:BG1006),$AN$1006:$BO$1006,0)), HYPERLINK("#",""), HYPERLINK(CONCATENATE("#Metadata!", ADDRESS(INDEX($AI$2:$AI$1001,MATCH(ROWS($AG$2:AG619),$AG$2:$AG$1001,0),0), INDEX($AN$1004:$BO$1004,1,MATCH(COLUMNS($AN$1006:BG1006),$AN$1006:$BO$1006,0)))),"Fix")))</f>
        <v>0</v>
      </c>
      <c r="V619" s="4">
        <f>IF(OR(INDEX($AH$2:$AH$1001,MATCH(ROWS($AG$2:AG619),$AG$2:$AG$1001,0),1)&gt;=100000,INDEX($AN$1005:$BO$1005,1,MATCH(COLUMNS($AN$1006:BH1006),$AN$1006:$BO$1006,0))&gt;=100000), " ",IF(INDEX($AN$2:$BO$1001,MATCH(ROWS($AG$2:AG619),$AG$2:$AG$1001,0),MATCH(COLUMNS($AN$1006:BH1006),$AN$1006:$BO$1006,0)), HYPERLINK("#",""), HYPERLINK(CONCATENATE("#Metadata!", ADDRESS(INDEX($AI$2:$AI$1001,MATCH(ROWS($AG$2:AG619),$AG$2:$AG$1001,0),0), INDEX($AN$1004:$BO$1004,1,MATCH(COLUMNS($AN$1006:BH1006),$AN$1006:$BO$1006,0)))),"Fix")))</f>
        <v>0</v>
      </c>
      <c r="W619" s="4">
        <f>IF(OR(INDEX($AH$2:$AH$1001,MATCH(ROWS($AG$2:AG619),$AG$2:$AG$1001,0),1)&gt;=100000,INDEX($AN$1005:$BO$1005,1,MATCH(COLUMNS($AN$1006:BI1006),$AN$1006:$BO$1006,0))&gt;=100000), " ",IF(INDEX($AN$2:$BO$1001,MATCH(ROWS($AG$2:AG619),$AG$2:$AG$1001,0),MATCH(COLUMNS($AN$1006:BI1006),$AN$1006:$BO$1006,0)), HYPERLINK("#",""), HYPERLINK(CONCATENATE("#Metadata!", ADDRESS(INDEX($AI$2:$AI$1001,MATCH(ROWS($AG$2:AG619),$AG$2:$AG$1001,0),0), INDEX($AN$1004:$BO$1004,1,MATCH(COLUMNS($AN$1006:BI1006),$AN$1006:$BO$1006,0)))),"Fix")))</f>
        <v>0</v>
      </c>
      <c r="X619" s="4">
        <f>IF(OR(INDEX($AH$2:$AH$1001,MATCH(ROWS($AG$2:AG619),$AG$2:$AG$1001,0),1)&gt;=100000,INDEX($AN$1005:$BO$1005,1,MATCH(COLUMNS($AN$1006:BJ1006),$AN$1006:$BO$1006,0))&gt;=100000), " ",IF(INDEX($AN$2:$BO$1001,MATCH(ROWS($AG$2:AG619),$AG$2:$AG$1001,0),MATCH(COLUMNS($AN$1006:BJ1006),$AN$1006:$BO$1006,0)), HYPERLINK("#",""), HYPERLINK(CONCATENATE("#Metadata!", ADDRESS(INDEX($AI$2:$AI$1001,MATCH(ROWS($AG$2:AG619),$AG$2:$AG$1001,0),0), INDEX($AN$1004:$BO$1004,1,MATCH(COLUMNS($AN$1006:BJ1006),$AN$1006:$BO$1006,0)))),"Fix")))</f>
        <v>0</v>
      </c>
      <c r="Y619" s="4">
        <f>IF(OR(INDEX($AH$2:$AH$1001,MATCH(ROWS($AG$2:AG619),$AG$2:$AG$1001,0),1)&gt;=100000,INDEX($AN$1005:$BO$1005,1,MATCH(COLUMNS($AN$1006:BK1006),$AN$1006:$BO$1006,0))&gt;=100000), " ",IF(INDEX($AN$2:$BO$1001,MATCH(ROWS($AG$2:AG619),$AG$2:$AG$1001,0),MATCH(COLUMNS($AN$1006:BK1006),$AN$1006:$BO$1006,0)), HYPERLINK("#",""), HYPERLINK(CONCATENATE("#Metadata!", ADDRESS(INDEX($AI$2:$AI$1001,MATCH(ROWS($AG$2:AG619),$AG$2:$AG$1001,0),0), INDEX($AN$1004:$BO$1004,1,MATCH(COLUMNS($AN$1006:BK1006),$AN$1006:$BO$1006,0)))),"Fix")))</f>
        <v>0</v>
      </c>
      <c r="Z619" s="4">
        <f>IF(OR(INDEX($AH$2:$AH$1001,MATCH(ROWS($AG$2:AG619),$AG$2:$AG$1001,0),1)&gt;=100000,INDEX($AN$1005:$BO$1005,1,MATCH(COLUMNS($AN$1006:BL1006),$AN$1006:$BO$1006,0))&gt;=100000), " ",IF(INDEX($AN$2:$BO$1001,MATCH(ROWS($AG$2:AG619),$AG$2:$AG$1001,0),MATCH(COLUMNS($AN$1006:BL1006),$AN$1006:$BO$1006,0)), HYPERLINK("#",""), HYPERLINK(CONCATENATE("#Metadata!", ADDRESS(INDEX($AI$2:$AI$1001,MATCH(ROWS($AG$2:AG619),$AG$2:$AG$1001,0),0), INDEX($AN$1004:$BO$1004,1,MATCH(COLUMNS($AN$1006:BL1006),$AN$1006:$BO$1006,0)))),"Fix")))</f>
        <v>0</v>
      </c>
      <c r="AA619" s="4">
        <f>IF(OR(INDEX($AH$2:$AH$1001,MATCH(ROWS($AG$2:AG619),$AG$2:$AG$1001,0),1)&gt;=100000,INDEX($AN$1005:$BO$1005,1,MATCH(COLUMNS($AN$1006:BM1006),$AN$1006:$BO$1006,0))&gt;=100000), " ",IF(INDEX($AN$2:$BO$1001,MATCH(ROWS($AG$2:AG619),$AG$2:$AG$1001,0),MATCH(COLUMNS($AN$1006:BM1006),$AN$1006:$BO$1006,0)), HYPERLINK("#",""), HYPERLINK(CONCATENATE("#Metadata!", ADDRESS(INDEX($AI$2:$AI$1001,MATCH(ROWS($AG$2:AG619),$AG$2:$AG$1001,0),0), INDEX($AN$1004:$BO$1004,1,MATCH(COLUMNS($AN$1006:BM1006),$AN$1006:$BO$1006,0)))),"Fix")))</f>
        <v>0</v>
      </c>
      <c r="AB619" s="4">
        <f>IF(OR(INDEX($AH$2:$AH$1001,MATCH(ROWS($AG$2:AG619),$AG$2:$AG$1001,0),1)&gt;=100000,INDEX($AN$1005:$BO$1005,1,MATCH(COLUMNS($AN$1006:BN1006),$AN$1006:$BO$1006,0))&gt;=100000), " ",IF(INDEX($AN$2:$BO$1001,MATCH(ROWS($AG$2:AG619),$AG$2:$AG$1001,0),MATCH(COLUMNS($AN$1006:BN1006),$AN$1006:$BO$1006,0)), HYPERLINK("#",""), HYPERLINK(CONCATENATE("#Metadata!", ADDRESS(INDEX($AI$2:$AI$1001,MATCH(ROWS($AG$2:AG619),$AG$2:$AG$1001,0),0), INDEX($AN$1004:$BO$1004,1,MATCH(COLUMNS($AN$1006:BN1006),$AN$1006:$BO$1006,0)))),"Fix")))</f>
        <v>0</v>
      </c>
      <c r="AC619" s="4">
        <f>IF(OR(INDEX($AH$2:$AH$1001,MATCH(ROWS($AG$2:AG619),$AG$2:$AG$1001,0),1)&gt;=100000,INDEX($AN$1005:$BO$1005,1,MATCH(COLUMNS($AN$1006:BO1006),$AN$1006:$BO$1006,0))&gt;=100000), " ",IF(INDEX($AN$2:$BO$1001,MATCH(ROWS($AG$2:AG619),$AG$2:$AG$1001,0),MATCH(COLUMNS($AN$1006:BO1006),$AN$1006:$BO$1006,0)), HYPERLINK("#",""), HYPERLINK(CONCATENATE("#Metadata!", ADDRESS(INDEX($AI$2:$AI$1001,MATCH(ROWS($AG$2:AG619),$AG$2:$AG$1001,0),0), INDEX($AN$1004:$BO$1004,1,MATCH(COLUMNS($AN$1006:BO1006),$AN$1006:$BO$1006,0)))),"Fix")))</f>
        <v>0</v>
      </c>
      <c r="AG619">
        <v>0</v>
      </c>
      <c r="AH619">
        <v>0</v>
      </c>
      <c r="AI619">
        <v>0</v>
      </c>
      <c r="AJ619">
        <f>IF(AK619,TRUE,AND(AN619:BO619))</f>
        <v>0</v>
      </c>
      <c r="AK619">
        <f>COUNTBLANK(Metadata!B619:AC619)=COLUMNS(Metadata!B619:AC619)</f>
        <v>0</v>
      </c>
      <c r="AL619">
        <v>0</v>
      </c>
      <c r="AN619">
        <f>AND(IF(Metadata!B619="",FALSE,TRUE),COUNTIF(Metadata!B:B, Metadata!B619) = 1,NOT(ISERROR(SUMPRODUCT(SEARCH(MID(Metadata!B619,ROW(INDIRECT("1:"&amp;LEN(Metadata!B619))), 1),"0123456789abcdefghijklmnopqrstuvwxyzABCDEFGHIJKLMNOPQRSTUVWXYZ.")))))</f>
        <v>0</v>
      </c>
      <c r="AO619">
        <f>IF(Metadata!C619="",FALSE,TRUE)</f>
        <v>0</v>
      </c>
      <c r="AP619">
        <f>IF(Metadata!D619="",FALSE,TRUE)</f>
        <v>0</v>
      </c>
      <c r="AQ619">
        <f>OR(AND(IF(Metadata!E619="",FALSE,TRUE),OR(exact(Metadata!E619,"not collected"),exact(Metadata!E619,"not provided"),exact(Metadata!E619,"restricted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R619">
        <f>IF(Metadata!F619="",FALSE,TRUE)</f>
        <v>0</v>
      </c>
      <c r="AS619">
        <f>OR(AND(IF(Metadata!G619="",FALSE,TRUE),OR(exact(Metadata!G619,"not collected"),exact(Metadata!G619,"not provided"))),AND(IF(Metadata!G619="",FALSE,TRUE),OR(exact(Metadata!G619,"TRUE"),exact(Metadata!G619,"FALSE"))))</f>
        <v>0</v>
      </c>
      <c r="AT619">
        <f>OR(AND(IF(Metadata!H619="",FALSE,TRUE),OR(exact(Metadata!H619,"not collected"),exact(Metadata!H619,"not provided"),exact(Metadata!H619,"restricted access"))),AND(IF(Metadata!H619="",FALSE,ISNUMBER(VALUE(Metadata!H619))),Metadata!H619&gt;=-413.0))</f>
        <v>0</v>
      </c>
      <c r="AU619">
        <f>AND(IF(Metadata!I619="",FALSE,TRUE),exact(Metadata!I619,"meters"))</f>
        <v>0</v>
      </c>
      <c r="AV619">
        <f>AND(IF(Metadata!J619="",FALSE,TRUE),OR(exact(Metadata!J619,"Host-associated"),exact(Metadata!J619,"Free-living")))</f>
        <v>0</v>
      </c>
      <c r="AW619">
        <f>AND(IF(Metadata!K619="",FALSE,TRUE),OR(exact(Metadata!K619,"Animal"),exact(Metadata!K619,"Fungus"),exact(Metadata!K619,"Plant"),exact(Metadata!K619,"Saline"),exact(Metadata!K619,"Non-saline")))</f>
        <v>0</v>
      </c>
      <c r="AX619">
        <f>AND(IF(Metadata!L619="",FALSE,TRUE),OR(exact(Metadata!L619,"Plant secretion"),exact(Metadata!L619,"Plant rhizosphere"),exact(Metadata!L619,"Plant surface"),exact(Metadata!L619,"Plant corpus"),exact(Metadata!L619,"Fungus surface"),exact(Metadata!L619,"Fungus corpus"),exact(Metadata!L619,"Animal surface"),exact(Metadata!L619,"Animal proximal gut"),exact(Metadata!L619,"Animal corpus"),exact(Metadata!L619,"Animal distal gut"),exact(Metadata!L619,"Animal secretion"),exact(Metadata!L619,"Sub-surface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Y619">
        <f>IF(Metadata!M619="",FALSE,TRUE)</f>
        <v>0</v>
      </c>
      <c r="AZ619">
        <f>IF(Metadata!N619="",FALSE,TRUE)</f>
        <v>0</v>
      </c>
      <c r="BA619">
        <f>IF(Metadata!O619="",FALSE,TRUE)</f>
        <v>0</v>
      </c>
      <c r="BB619">
        <f>OR(AND(IF(Metadata!P619="",FALSE,TRUE),OR(exact(Metadata!P619,"not collected"),exact(Metadata!P619,"not provided"),exact(Metadata!P619,"restricted access"))),AND(IF(Metadata!P619="",FALSE,TRUE),OR(exact(Metadata!P619,"air"),exact(Metadata!P619,"built environment"),exact(Metadata!P619,"host-associated"),exact(Metadata!P619,"human-associated"),exact(Metadata!P619,"human-skin"),exact(Metadata!P619,"human-oral"),exact(Metadata!P619,"human-gut"),exact(Metadata!P619,"human-vaginal"),exact(Metadata!P619,"microbial mat/biofilm"),exact(Metadata!P619,"misc environment"),exact(Metadata!P619,"plant-associated"),exact(Metadata!P619,"sediment"),exact(Metadata!P619,"soil"),exact(Metadata!P619,"wastewater/sludge"),exact(Metadata!P619,"water"))))</f>
        <v>0</v>
      </c>
      <c r="BC619">
        <f>IF(Metadata!Q619="",FALSE,TRUE)</f>
        <v>0</v>
      </c>
      <c r="BD619">
        <f>IF(Metadata!R619="",FALSE,TRUE)</f>
        <v>0</v>
      </c>
      <c r="BE619">
        <f>OR(AND(IF(Metadata!S619="",FALSE,TRUE),OR(exact(Metadata!S619,"not collected"),exact(Metadata!S619,"not provided"),exact(Metadata!S619,"restricted access"))),AND(IF(Metadata!S619="",FALSE,ISNUMBER(VALUE(Metadata!S619))),Metadata!S619&gt;=-90.00,Metadata!S619&lt;=90.00))</f>
        <v>0</v>
      </c>
      <c r="BF619">
        <f>AND(IF(Metadata!T619="",FALSE,TRUE),exact(Metadata!T619,"Decimal degrees"))</f>
        <v>0</v>
      </c>
      <c r="BG619">
        <f>OR(AND(IF(Metadata!U619="",FALSE,TRUE),OR(exact(Metadata!U619,"not collected"),exact(Metadata!U619,"not provided"),exact(Metadata!U619,"restricted access"))),AND(IF(Metadata!U619="",FALSE,ISNUMBER(VALUE(Metadata!U619))),Metadata!U619&gt;=-180.00,Metadata!U619&lt;=180.00))</f>
        <v>0</v>
      </c>
      <c r="BH619">
        <f>AND(IF(Metadata!V619="",FALSE,TRUE),exact(Metadata!V619,"Decimal degrees"))</f>
        <v>0</v>
      </c>
      <c r="BI619">
        <f>IF(Metadata!W619="",FALSE,TRUE)</f>
        <v>0</v>
      </c>
      <c r="BJ619">
        <f>OR(AND(IF(Metadata!X619="",FALSE,TRUE),OR(exact(Metadata!X619,"not collected"),exact(Metadata!X619,"not provided"),exact(Metadata!X619,"restricted access"))),AND(IF(Metadata!X619="",FALSE,TRUE),OR(exact(Metadata!X619,"TRUE"),exact(Metadata!X619,"FALSE"))))</f>
        <v>0</v>
      </c>
      <c r="BK619">
        <f>AND(IF(Metadata!Y619="",FALSE,TRUE),exact(Metadata!Y619,"other"))</f>
        <v>0</v>
      </c>
      <c r="BL619">
        <f>IF(Metadata!Z619="",FALSE,TRUE)</f>
        <v>0</v>
      </c>
      <c r="BM619">
        <f>OR(AND(IF(Metadata!AA619="",FALSE,TRUE),OR(exact(Metadata!AA619,"not collected"),exact(Metadata!AA619,"not provided"))),AND(IF(Metadata!AA619="",FALSE,IF(ISERROR(INT(Metadata!AA619)),FALSE,INT(Metadata!AA619)=Metadata!AA619)),Metadata!AA619&gt;0))</f>
        <v>0</v>
      </c>
      <c r="BN619">
        <f>AND(IF(Metadata!AB619="",FALSE,TRUE),exact(Metadata!AB619,"Not applicable"))</f>
        <v>0</v>
      </c>
      <c r="BO619">
        <f>IF(Metadata!AC619="",FALSE,TRUE)</f>
        <v>0</v>
      </c>
    </row>
    <row r="620" spans="1:67">
      <c r="A620" s="5">
        <f>IF(B620=" "," ",HYPERLINK(CONCATENATE("#metadata!",ADDRESS(INDEX($AI$2:$AI$1001,MATCH(ROWS($AG$2:AG620),$AG$2:$AG$1001,0),0),1)),INDEX($AL$2:$AL$1001,MATCH(ROWS($AG$2:AG620),$AG$2:$AG$1001,0),0)))</f>
        <v>0</v>
      </c>
      <c r="B620" s="4">
        <f>IF(OR(INDEX($AH$2:$AH$1001,MATCH(ROWS($AG$2:AG620),$AG$2:$AG$1001,0),1)&gt;=100000,INDEX($AN$1005:$BO$1005,1,MATCH(COLUMNS($AN$1006:AN1006),$AN$1006:$BO$1006,0))&gt;=100000), " ",IF(INDEX($AN$2:$BO$1001,MATCH(ROWS($AG$2:AG620),$AG$2:$AG$1001,0),MATCH(COLUMNS($AN$1006:AN1006),$AN$1006:$BO$1006,0)), HYPERLINK("#",""), HYPERLINK(CONCATENATE("#Metadata!", ADDRESS(INDEX($AI$2:$AI$1001,MATCH(ROWS($AG$2:AG620),$AG$2:$AG$1001,0),0), INDEX($AN$1004:$BO$1004,1,MATCH(COLUMNS($AN$1006:AN1006),$AN$1006:$BO$1006,0)))),"Fix")))</f>
        <v>0</v>
      </c>
      <c r="C620" s="4">
        <f>IF(OR(INDEX($AH$2:$AH$1001,MATCH(ROWS($AG$2:AG620),$AG$2:$AG$1001,0),1)&gt;=100000,INDEX($AN$1005:$BO$1005,1,MATCH(COLUMNS($AN$1006:AO1006),$AN$1006:$BO$1006,0))&gt;=100000), " ",IF(INDEX($AN$2:$BO$1001,MATCH(ROWS($AG$2:AG620),$AG$2:$AG$1001,0),MATCH(COLUMNS($AN$1006:AO1006),$AN$1006:$BO$1006,0)), HYPERLINK("#",""), HYPERLINK(CONCATENATE("#Metadata!", ADDRESS(INDEX($AI$2:$AI$1001,MATCH(ROWS($AG$2:AG620),$AG$2:$AG$1001,0),0), INDEX($AN$1004:$BO$1004,1,MATCH(COLUMNS($AN$1006:AO1006),$AN$1006:$BO$1006,0)))),"Fix")))</f>
        <v>0</v>
      </c>
      <c r="D620" s="4">
        <f>IF(OR(INDEX($AH$2:$AH$1001,MATCH(ROWS($AG$2:AG620),$AG$2:$AG$1001,0),1)&gt;=100000,INDEX($AN$1005:$BO$1005,1,MATCH(COLUMNS($AN$1006:AP1006),$AN$1006:$BO$1006,0))&gt;=100000), " ",IF(INDEX($AN$2:$BO$1001,MATCH(ROWS($AG$2:AG620),$AG$2:$AG$1001,0),MATCH(COLUMNS($AN$1006:AP1006),$AN$1006:$BO$1006,0)), HYPERLINK("#",""), HYPERLINK(CONCATENATE("#Metadata!", ADDRESS(INDEX($AI$2:$AI$1001,MATCH(ROWS($AG$2:AG620),$AG$2:$AG$1001,0),0), INDEX($AN$1004:$BO$1004,1,MATCH(COLUMNS($AN$1006:AP1006),$AN$1006:$BO$1006,0)))),"Fix")))</f>
        <v>0</v>
      </c>
      <c r="E620" s="4">
        <f>IF(OR(INDEX($AH$2:$AH$1001,MATCH(ROWS($AG$2:AG620),$AG$2:$AG$1001,0),1)&gt;=100000,INDEX($AN$1005:$BO$1005,1,MATCH(COLUMNS($AN$1006:AQ1006),$AN$1006:$BO$1006,0))&gt;=100000), " ",IF(INDEX($AN$2:$BO$1001,MATCH(ROWS($AG$2:AG620),$AG$2:$AG$1001,0),MATCH(COLUMNS($AN$1006:AQ1006),$AN$1006:$BO$1006,0)), HYPERLINK("#",""), HYPERLINK(CONCATENATE("#Metadata!", ADDRESS(INDEX($AI$2:$AI$1001,MATCH(ROWS($AG$2:AG620),$AG$2:$AG$1001,0),0), INDEX($AN$1004:$BO$1004,1,MATCH(COLUMNS($AN$1006:AQ1006),$AN$1006:$BO$1006,0)))),"Fix")))</f>
        <v>0</v>
      </c>
      <c r="F620" s="4">
        <f>IF(OR(INDEX($AH$2:$AH$1001,MATCH(ROWS($AG$2:AG620),$AG$2:$AG$1001,0),1)&gt;=100000,INDEX($AN$1005:$BO$1005,1,MATCH(COLUMNS($AN$1006:AR1006),$AN$1006:$BO$1006,0))&gt;=100000), " ",IF(INDEX($AN$2:$BO$1001,MATCH(ROWS($AG$2:AG620),$AG$2:$AG$1001,0),MATCH(COLUMNS($AN$1006:AR1006),$AN$1006:$BO$1006,0)), HYPERLINK("#",""), HYPERLINK(CONCATENATE("#Metadata!", ADDRESS(INDEX($AI$2:$AI$1001,MATCH(ROWS($AG$2:AG620),$AG$2:$AG$1001,0),0), INDEX($AN$1004:$BO$1004,1,MATCH(COLUMNS($AN$1006:AR1006),$AN$1006:$BO$1006,0)))),"Fix")))</f>
        <v>0</v>
      </c>
      <c r="G620" s="4">
        <f>IF(OR(INDEX($AH$2:$AH$1001,MATCH(ROWS($AG$2:AG620),$AG$2:$AG$1001,0),1)&gt;=100000,INDEX($AN$1005:$BO$1005,1,MATCH(COLUMNS($AN$1006:AS1006),$AN$1006:$BO$1006,0))&gt;=100000), " ",IF(INDEX($AN$2:$BO$1001,MATCH(ROWS($AG$2:AG620),$AG$2:$AG$1001,0),MATCH(COLUMNS($AN$1006:AS1006),$AN$1006:$BO$1006,0)), HYPERLINK("#",""), HYPERLINK(CONCATENATE("#Metadata!", ADDRESS(INDEX($AI$2:$AI$1001,MATCH(ROWS($AG$2:AG620),$AG$2:$AG$1001,0),0), INDEX($AN$1004:$BO$1004,1,MATCH(COLUMNS($AN$1006:AS1006),$AN$1006:$BO$1006,0)))),"Fix")))</f>
        <v>0</v>
      </c>
      <c r="H620" s="4">
        <f>IF(OR(INDEX($AH$2:$AH$1001,MATCH(ROWS($AG$2:AG620),$AG$2:$AG$1001,0),1)&gt;=100000,INDEX($AN$1005:$BO$1005,1,MATCH(COLUMNS($AN$1006:AT1006),$AN$1006:$BO$1006,0))&gt;=100000), " ",IF(INDEX($AN$2:$BO$1001,MATCH(ROWS($AG$2:AG620),$AG$2:$AG$1001,0),MATCH(COLUMNS($AN$1006:AT1006),$AN$1006:$BO$1006,0)), HYPERLINK("#",""), HYPERLINK(CONCATENATE("#Metadata!", ADDRESS(INDEX($AI$2:$AI$1001,MATCH(ROWS($AG$2:AG620),$AG$2:$AG$1001,0),0), INDEX($AN$1004:$BO$1004,1,MATCH(COLUMNS($AN$1006:AT1006),$AN$1006:$BO$1006,0)))),"Fix")))</f>
        <v>0</v>
      </c>
      <c r="I620" s="4">
        <f>IF(OR(INDEX($AH$2:$AH$1001,MATCH(ROWS($AG$2:AG620),$AG$2:$AG$1001,0),1)&gt;=100000,INDEX($AN$1005:$BO$1005,1,MATCH(COLUMNS($AN$1006:AU1006),$AN$1006:$BO$1006,0))&gt;=100000), " ",IF(INDEX($AN$2:$BO$1001,MATCH(ROWS($AG$2:AG620),$AG$2:$AG$1001,0),MATCH(COLUMNS($AN$1006:AU1006),$AN$1006:$BO$1006,0)), HYPERLINK("#",""), HYPERLINK(CONCATENATE("#Metadata!", ADDRESS(INDEX($AI$2:$AI$1001,MATCH(ROWS($AG$2:AG620),$AG$2:$AG$1001,0),0), INDEX($AN$1004:$BO$1004,1,MATCH(COLUMNS($AN$1006:AU1006),$AN$1006:$BO$1006,0)))),"Fix")))</f>
        <v>0</v>
      </c>
      <c r="J620" s="4">
        <f>IF(OR(INDEX($AH$2:$AH$1001,MATCH(ROWS($AG$2:AG620),$AG$2:$AG$1001,0),1)&gt;=100000,INDEX($AN$1005:$BO$1005,1,MATCH(COLUMNS($AN$1006:AV1006),$AN$1006:$BO$1006,0))&gt;=100000), " ",IF(INDEX($AN$2:$BO$1001,MATCH(ROWS($AG$2:AG620),$AG$2:$AG$1001,0),MATCH(COLUMNS($AN$1006:AV1006),$AN$1006:$BO$1006,0)), HYPERLINK("#",""), HYPERLINK(CONCATENATE("#Metadata!", ADDRESS(INDEX($AI$2:$AI$1001,MATCH(ROWS($AG$2:AG620),$AG$2:$AG$1001,0),0), INDEX($AN$1004:$BO$1004,1,MATCH(COLUMNS($AN$1006:AV1006),$AN$1006:$BO$1006,0)))),"Fix")))</f>
        <v>0</v>
      </c>
      <c r="K620" s="4">
        <f>IF(OR(INDEX($AH$2:$AH$1001,MATCH(ROWS($AG$2:AG620),$AG$2:$AG$1001,0),1)&gt;=100000,INDEX($AN$1005:$BO$1005,1,MATCH(COLUMNS($AN$1006:AW1006),$AN$1006:$BO$1006,0))&gt;=100000), " ",IF(INDEX($AN$2:$BO$1001,MATCH(ROWS($AG$2:AG620),$AG$2:$AG$1001,0),MATCH(COLUMNS($AN$1006:AW1006),$AN$1006:$BO$1006,0)), HYPERLINK("#",""), HYPERLINK(CONCATENATE("#Metadata!", ADDRESS(INDEX($AI$2:$AI$1001,MATCH(ROWS($AG$2:AG620),$AG$2:$AG$1001,0),0), INDEX($AN$1004:$BO$1004,1,MATCH(COLUMNS($AN$1006:AW1006),$AN$1006:$BO$1006,0)))),"Fix")))</f>
        <v>0</v>
      </c>
      <c r="L620" s="4">
        <f>IF(OR(INDEX($AH$2:$AH$1001,MATCH(ROWS($AG$2:AG620),$AG$2:$AG$1001,0),1)&gt;=100000,INDEX($AN$1005:$BO$1005,1,MATCH(COLUMNS($AN$1006:AX1006),$AN$1006:$BO$1006,0))&gt;=100000), " ",IF(INDEX($AN$2:$BO$1001,MATCH(ROWS($AG$2:AG620),$AG$2:$AG$1001,0),MATCH(COLUMNS($AN$1006:AX1006),$AN$1006:$BO$1006,0)), HYPERLINK("#",""), HYPERLINK(CONCATENATE("#Metadata!", ADDRESS(INDEX($AI$2:$AI$1001,MATCH(ROWS($AG$2:AG620),$AG$2:$AG$1001,0),0), INDEX($AN$1004:$BO$1004,1,MATCH(COLUMNS($AN$1006:AX1006),$AN$1006:$BO$1006,0)))),"Fix")))</f>
        <v>0</v>
      </c>
      <c r="M620" s="4">
        <f>IF(OR(INDEX($AH$2:$AH$1001,MATCH(ROWS($AG$2:AG620),$AG$2:$AG$1001,0),1)&gt;=100000,INDEX($AN$1005:$BO$1005,1,MATCH(COLUMNS($AN$1006:AY1006),$AN$1006:$BO$1006,0))&gt;=100000), " ",IF(INDEX($AN$2:$BO$1001,MATCH(ROWS($AG$2:AG620),$AG$2:$AG$1001,0),MATCH(COLUMNS($AN$1006:AY1006),$AN$1006:$BO$1006,0)), HYPERLINK("#",""), HYPERLINK(CONCATENATE("#Metadata!", ADDRESS(INDEX($AI$2:$AI$1001,MATCH(ROWS($AG$2:AG620),$AG$2:$AG$1001,0),0), INDEX($AN$1004:$BO$1004,1,MATCH(COLUMNS($AN$1006:AY1006),$AN$1006:$BO$1006,0)))),"Fix")))</f>
        <v>0</v>
      </c>
      <c r="N620" s="4">
        <f>IF(OR(INDEX($AH$2:$AH$1001,MATCH(ROWS($AG$2:AG620),$AG$2:$AG$1001,0),1)&gt;=100000,INDEX($AN$1005:$BO$1005,1,MATCH(COLUMNS($AN$1006:AZ1006),$AN$1006:$BO$1006,0))&gt;=100000), " ",IF(INDEX($AN$2:$BO$1001,MATCH(ROWS($AG$2:AG620),$AG$2:$AG$1001,0),MATCH(COLUMNS($AN$1006:AZ1006),$AN$1006:$BO$1006,0)), HYPERLINK("#",""), HYPERLINK(CONCATENATE("#Metadata!", ADDRESS(INDEX($AI$2:$AI$1001,MATCH(ROWS($AG$2:AG620),$AG$2:$AG$1001,0),0), INDEX($AN$1004:$BO$1004,1,MATCH(COLUMNS($AN$1006:AZ1006),$AN$1006:$BO$1006,0)))),"Fix")))</f>
        <v>0</v>
      </c>
      <c r="O620" s="4">
        <f>IF(OR(INDEX($AH$2:$AH$1001,MATCH(ROWS($AG$2:AG620),$AG$2:$AG$1001,0),1)&gt;=100000,INDEX($AN$1005:$BO$1005,1,MATCH(COLUMNS($AN$1006:BA1006),$AN$1006:$BO$1006,0))&gt;=100000), " ",IF(INDEX($AN$2:$BO$1001,MATCH(ROWS($AG$2:AG620),$AG$2:$AG$1001,0),MATCH(COLUMNS($AN$1006:BA1006),$AN$1006:$BO$1006,0)), HYPERLINK("#",""), HYPERLINK(CONCATENATE("#Metadata!", ADDRESS(INDEX($AI$2:$AI$1001,MATCH(ROWS($AG$2:AG620),$AG$2:$AG$1001,0),0), INDEX($AN$1004:$BO$1004,1,MATCH(COLUMNS($AN$1006:BA1006),$AN$1006:$BO$1006,0)))),"Fix")))</f>
        <v>0</v>
      </c>
      <c r="P620" s="4">
        <f>IF(OR(INDEX($AH$2:$AH$1001,MATCH(ROWS($AG$2:AG620),$AG$2:$AG$1001,0),1)&gt;=100000,INDEX($AN$1005:$BO$1005,1,MATCH(COLUMNS($AN$1006:BB1006),$AN$1006:$BO$1006,0))&gt;=100000), " ",IF(INDEX($AN$2:$BO$1001,MATCH(ROWS($AG$2:AG620),$AG$2:$AG$1001,0),MATCH(COLUMNS($AN$1006:BB1006),$AN$1006:$BO$1006,0)), HYPERLINK("#",""), HYPERLINK(CONCATENATE("#Metadata!", ADDRESS(INDEX($AI$2:$AI$1001,MATCH(ROWS($AG$2:AG620),$AG$2:$AG$1001,0),0), INDEX($AN$1004:$BO$1004,1,MATCH(COLUMNS($AN$1006:BB1006),$AN$1006:$BO$1006,0)))),"Fix")))</f>
        <v>0</v>
      </c>
      <c r="Q620" s="4">
        <f>IF(OR(INDEX($AH$2:$AH$1001,MATCH(ROWS($AG$2:AG620),$AG$2:$AG$1001,0),1)&gt;=100000,INDEX($AN$1005:$BO$1005,1,MATCH(COLUMNS($AN$1006:BC1006),$AN$1006:$BO$1006,0))&gt;=100000), " ",IF(INDEX($AN$2:$BO$1001,MATCH(ROWS($AG$2:AG620),$AG$2:$AG$1001,0),MATCH(COLUMNS($AN$1006:BC1006),$AN$1006:$BO$1006,0)), HYPERLINK("#",""), HYPERLINK(CONCATENATE("#Metadata!", ADDRESS(INDEX($AI$2:$AI$1001,MATCH(ROWS($AG$2:AG620),$AG$2:$AG$1001,0),0), INDEX($AN$1004:$BO$1004,1,MATCH(COLUMNS($AN$1006:BC1006),$AN$1006:$BO$1006,0)))),"Fix")))</f>
        <v>0</v>
      </c>
      <c r="R620" s="4">
        <f>IF(OR(INDEX($AH$2:$AH$1001,MATCH(ROWS($AG$2:AG620),$AG$2:$AG$1001,0),1)&gt;=100000,INDEX($AN$1005:$BO$1005,1,MATCH(COLUMNS($AN$1006:BD1006),$AN$1006:$BO$1006,0))&gt;=100000), " ",IF(INDEX($AN$2:$BO$1001,MATCH(ROWS($AG$2:AG620),$AG$2:$AG$1001,0),MATCH(COLUMNS($AN$1006:BD1006),$AN$1006:$BO$1006,0)), HYPERLINK("#",""), HYPERLINK(CONCATENATE("#Metadata!", ADDRESS(INDEX($AI$2:$AI$1001,MATCH(ROWS($AG$2:AG620),$AG$2:$AG$1001,0),0), INDEX($AN$1004:$BO$1004,1,MATCH(COLUMNS($AN$1006:BD1006),$AN$1006:$BO$1006,0)))),"Fix")))</f>
        <v>0</v>
      </c>
      <c r="S620" s="4">
        <f>IF(OR(INDEX($AH$2:$AH$1001,MATCH(ROWS($AG$2:AG620),$AG$2:$AG$1001,0),1)&gt;=100000,INDEX($AN$1005:$BO$1005,1,MATCH(COLUMNS($AN$1006:BE1006),$AN$1006:$BO$1006,0))&gt;=100000), " ",IF(INDEX($AN$2:$BO$1001,MATCH(ROWS($AG$2:AG620),$AG$2:$AG$1001,0),MATCH(COLUMNS($AN$1006:BE1006),$AN$1006:$BO$1006,0)), HYPERLINK("#",""), HYPERLINK(CONCATENATE("#Metadata!", ADDRESS(INDEX($AI$2:$AI$1001,MATCH(ROWS($AG$2:AG620),$AG$2:$AG$1001,0),0), INDEX($AN$1004:$BO$1004,1,MATCH(COLUMNS($AN$1006:BE1006),$AN$1006:$BO$1006,0)))),"Fix")))</f>
        <v>0</v>
      </c>
      <c r="T620" s="4">
        <f>IF(OR(INDEX($AH$2:$AH$1001,MATCH(ROWS($AG$2:AG620),$AG$2:$AG$1001,0),1)&gt;=100000,INDEX($AN$1005:$BO$1005,1,MATCH(COLUMNS($AN$1006:BF1006),$AN$1006:$BO$1006,0))&gt;=100000), " ",IF(INDEX($AN$2:$BO$1001,MATCH(ROWS($AG$2:AG620),$AG$2:$AG$1001,0),MATCH(COLUMNS($AN$1006:BF1006),$AN$1006:$BO$1006,0)), HYPERLINK("#",""), HYPERLINK(CONCATENATE("#Metadata!", ADDRESS(INDEX($AI$2:$AI$1001,MATCH(ROWS($AG$2:AG620),$AG$2:$AG$1001,0),0), INDEX($AN$1004:$BO$1004,1,MATCH(COLUMNS($AN$1006:BF1006),$AN$1006:$BO$1006,0)))),"Fix")))</f>
        <v>0</v>
      </c>
      <c r="U620" s="4">
        <f>IF(OR(INDEX($AH$2:$AH$1001,MATCH(ROWS($AG$2:AG620),$AG$2:$AG$1001,0),1)&gt;=100000,INDEX($AN$1005:$BO$1005,1,MATCH(COLUMNS($AN$1006:BG1006),$AN$1006:$BO$1006,0))&gt;=100000), " ",IF(INDEX($AN$2:$BO$1001,MATCH(ROWS($AG$2:AG620),$AG$2:$AG$1001,0),MATCH(COLUMNS($AN$1006:BG1006),$AN$1006:$BO$1006,0)), HYPERLINK("#",""), HYPERLINK(CONCATENATE("#Metadata!", ADDRESS(INDEX($AI$2:$AI$1001,MATCH(ROWS($AG$2:AG620),$AG$2:$AG$1001,0),0), INDEX($AN$1004:$BO$1004,1,MATCH(COLUMNS($AN$1006:BG1006),$AN$1006:$BO$1006,0)))),"Fix")))</f>
        <v>0</v>
      </c>
      <c r="V620" s="4">
        <f>IF(OR(INDEX($AH$2:$AH$1001,MATCH(ROWS($AG$2:AG620),$AG$2:$AG$1001,0),1)&gt;=100000,INDEX($AN$1005:$BO$1005,1,MATCH(COLUMNS($AN$1006:BH1006),$AN$1006:$BO$1006,0))&gt;=100000), " ",IF(INDEX($AN$2:$BO$1001,MATCH(ROWS($AG$2:AG620),$AG$2:$AG$1001,0),MATCH(COLUMNS($AN$1006:BH1006),$AN$1006:$BO$1006,0)), HYPERLINK("#",""), HYPERLINK(CONCATENATE("#Metadata!", ADDRESS(INDEX($AI$2:$AI$1001,MATCH(ROWS($AG$2:AG620),$AG$2:$AG$1001,0),0), INDEX($AN$1004:$BO$1004,1,MATCH(COLUMNS($AN$1006:BH1006),$AN$1006:$BO$1006,0)))),"Fix")))</f>
        <v>0</v>
      </c>
      <c r="W620" s="4">
        <f>IF(OR(INDEX($AH$2:$AH$1001,MATCH(ROWS($AG$2:AG620),$AG$2:$AG$1001,0),1)&gt;=100000,INDEX($AN$1005:$BO$1005,1,MATCH(COLUMNS($AN$1006:BI1006),$AN$1006:$BO$1006,0))&gt;=100000), " ",IF(INDEX($AN$2:$BO$1001,MATCH(ROWS($AG$2:AG620),$AG$2:$AG$1001,0),MATCH(COLUMNS($AN$1006:BI1006),$AN$1006:$BO$1006,0)), HYPERLINK("#",""), HYPERLINK(CONCATENATE("#Metadata!", ADDRESS(INDEX($AI$2:$AI$1001,MATCH(ROWS($AG$2:AG620),$AG$2:$AG$1001,0),0), INDEX($AN$1004:$BO$1004,1,MATCH(COLUMNS($AN$1006:BI1006),$AN$1006:$BO$1006,0)))),"Fix")))</f>
        <v>0</v>
      </c>
      <c r="X620" s="4">
        <f>IF(OR(INDEX($AH$2:$AH$1001,MATCH(ROWS($AG$2:AG620),$AG$2:$AG$1001,0),1)&gt;=100000,INDEX($AN$1005:$BO$1005,1,MATCH(COLUMNS($AN$1006:BJ1006),$AN$1006:$BO$1006,0))&gt;=100000), " ",IF(INDEX($AN$2:$BO$1001,MATCH(ROWS($AG$2:AG620),$AG$2:$AG$1001,0),MATCH(COLUMNS($AN$1006:BJ1006),$AN$1006:$BO$1006,0)), HYPERLINK("#",""), HYPERLINK(CONCATENATE("#Metadata!", ADDRESS(INDEX($AI$2:$AI$1001,MATCH(ROWS($AG$2:AG620),$AG$2:$AG$1001,0),0), INDEX($AN$1004:$BO$1004,1,MATCH(COLUMNS($AN$1006:BJ1006),$AN$1006:$BO$1006,0)))),"Fix")))</f>
        <v>0</v>
      </c>
      <c r="Y620" s="4">
        <f>IF(OR(INDEX($AH$2:$AH$1001,MATCH(ROWS($AG$2:AG620),$AG$2:$AG$1001,0),1)&gt;=100000,INDEX($AN$1005:$BO$1005,1,MATCH(COLUMNS($AN$1006:BK1006),$AN$1006:$BO$1006,0))&gt;=100000), " ",IF(INDEX($AN$2:$BO$1001,MATCH(ROWS($AG$2:AG620),$AG$2:$AG$1001,0),MATCH(COLUMNS($AN$1006:BK1006),$AN$1006:$BO$1006,0)), HYPERLINK("#",""), HYPERLINK(CONCATENATE("#Metadata!", ADDRESS(INDEX($AI$2:$AI$1001,MATCH(ROWS($AG$2:AG620),$AG$2:$AG$1001,0),0), INDEX($AN$1004:$BO$1004,1,MATCH(COLUMNS($AN$1006:BK1006),$AN$1006:$BO$1006,0)))),"Fix")))</f>
        <v>0</v>
      </c>
      <c r="Z620" s="4">
        <f>IF(OR(INDEX($AH$2:$AH$1001,MATCH(ROWS($AG$2:AG620),$AG$2:$AG$1001,0),1)&gt;=100000,INDEX($AN$1005:$BO$1005,1,MATCH(COLUMNS($AN$1006:BL1006),$AN$1006:$BO$1006,0))&gt;=100000), " ",IF(INDEX($AN$2:$BO$1001,MATCH(ROWS($AG$2:AG620),$AG$2:$AG$1001,0),MATCH(COLUMNS($AN$1006:BL1006),$AN$1006:$BO$1006,0)), HYPERLINK("#",""), HYPERLINK(CONCATENATE("#Metadata!", ADDRESS(INDEX($AI$2:$AI$1001,MATCH(ROWS($AG$2:AG620),$AG$2:$AG$1001,0),0), INDEX($AN$1004:$BO$1004,1,MATCH(COLUMNS($AN$1006:BL1006),$AN$1006:$BO$1006,0)))),"Fix")))</f>
        <v>0</v>
      </c>
      <c r="AA620" s="4">
        <f>IF(OR(INDEX($AH$2:$AH$1001,MATCH(ROWS($AG$2:AG620),$AG$2:$AG$1001,0),1)&gt;=100000,INDEX($AN$1005:$BO$1005,1,MATCH(COLUMNS($AN$1006:BM1006),$AN$1006:$BO$1006,0))&gt;=100000), " ",IF(INDEX($AN$2:$BO$1001,MATCH(ROWS($AG$2:AG620),$AG$2:$AG$1001,0),MATCH(COLUMNS($AN$1006:BM1006),$AN$1006:$BO$1006,0)), HYPERLINK("#",""), HYPERLINK(CONCATENATE("#Metadata!", ADDRESS(INDEX($AI$2:$AI$1001,MATCH(ROWS($AG$2:AG620),$AG$2:$AG$1001,0),0), INDEX($AN$1004:$BO$1004,1,MATCH(COLUMNS($AN$1006:BM1006),$AN$1006:$BO$1006,0)))),"Fix")))</f>
        <v>0</v>
      </c>
      <c r="AB620" s="4">
        <f>IF(OR(INDEX($AH$2:$AH$1001,MATCH(ROWS($AG$2:AG620),$AG$2:$AG$1001,0),1)&gt;=100000,INDEX($AN$1005:$BO$1005,1,MATCH(COLUMNS($AN$1006:BN1006),$AN$1006:$BO$1006,0))&gt;=100000), " ",IF(INDEX($AN$2:$BO$1001,MATCH(ROWS($AG$2:AG620),$AG$2:$AG$1001,0),MATCH(COLUMNS($AN$1006:BN1006),$AN$1006:$BO$1006,0)), HYPERLINK("#",""), HYPERLINK(CONCATENATE("#Metadata!", ADDRESS(INDEX($AI$2:$AI$1001,MATCH(ROWS($AG$2:AG620),$AG$2:$AG$1001,0),0), INDEX($AN$1004:$BO$1004,1,MATCH(COLUMNS($AN$1006:BN1006),$AN$1006:$BO$1006,0)))),"Fix")))</f>
        <v>0</v>
      </c>
      <c r="AC620" s="4">
        <f>IF(OR(INDEX($AH$2:$AH$1001,MATCH(ROWS($AG$2:AG620),$AG$2:$AG$1001,0),1)&gt;=100000,INDEX($AN$1005:$BO$1005,1,MATCH(COLUMNS($AN$1006:BO1006),$AN$1006:$BO$1006,0))&gt;=100000), " ",IF(INDEX($AN$2:$BO$1001,MATCH(ROWS($AG$2:AG620),$AG$2:$AG$1001,0),MATCH(COLUMNS($AN$1006:BO1006),$AN$1006:$BO$1006,0)), HYPERLINK("#",""), HYPERLINK(CONCATENATE("#Metadata!", ADDRESS(INDEX($AI$2:$AI$1001,MATCH(ROWS($AG$2:AG620),$AG$2:$AG$1001,0),0), INDEX($AN$1004:$BO$1004,1,MATCH(COLUMNS($AN$1006:BO1006),$AN$1006:$BO$1006,0)))),"Fix")))</f>
        <v>0</v>
      </c>
      <c r="AG620">
        <v>0</v>
      </c>
      <c r="AH620">
        <v>0</v>
      </c>
      <c r="AI620">
        <v>0</v>
      </c>
      <c r="AJ620">
        <f>IF(AK620,TRUE,AND(AN620:BO620))</f>
        <v>0</v>
      </c>
      <c r="AK620">
        <f>COUNTBLANK(Metadata!B620:AC620)=COLUMNS(Metadata!B620:AC620)</f>
        <v>0</v>
      </c>
      <c r="AL620">
        <v>0</v>
      </c>
      <c r="AN620">
        <f>AND(IF(Metadata!B620="",FALSE,TRUE),COUNTIF(Metadata!B:B, Metadata!B620) = 1,NOT(ISERROR(SUMPRODUCT(SEARCH(MID(Metadata!B620,ROW(INDIRECT("1:"&amp;LEN(Metadata!B620))), 1),"0123456789abcdefghijklmnopqrstuvwxyzABCDEFGHIJKLMNOPQRSTUVWXYZ.")))))</f>
        <v>0</v>
      </c>
      <c r="AO620">
        <f>IF(Metadata!C620="",FALSE,TRUE)</f>
        <v>0</v>
      </c>
      <c r="AP620">
        <f>IF(Metadata!D620="",FALSE,TRUE)</f>
        <v>0</v>
      </c>
      <c r="AQ620">
        <f>OR(AND(IF(Metadata!E620="",FALSE,TRUE),OR(exact(Metadata!E620,"not collected"),exact(Metadata!E620,"not provided"),exact(Metadata!E620,"restricted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R620">
        <f>IF(Metadata!F620="",FALSE,TRUE)</f>
        <v>0</v>
      </c>
      <c r="AS620">
        <f>OR(AND(IF(Metadata!G620="",FALSE,TRUE),OR(exact(Metadata!G620,"not collected"),exact(Metadata!G620,"not provided"))),AND(IF(Metadata!G620="",FALSE,TRUE),OR(exact(Metadata!G620,"TRUE"),exact(Metadata!G620,"FALSE"))))</f>
        <v>0</v>
      </c>
      <c r="AT620">
        <f>OR(AND(IF(Metadata!H620="",FALSE,TRUE),OR(exact(Metadata!H620,"not collected"),exact(Metadata!H620,"not provided"),exact(Metadata!H620,"restricted access"))),AND(IF(Metadata!H620="",FALSE,ISNUMBER(VALUE(Metadata!H620))),Metadata!H620&gt;=-413.0))</f>
        <v>0</v>
      </c>
      <c r="AU620">
        <f>AND(IF(Metadata!I620="",FALSE,TRUE),exact(Metadata!I620,"meters"))</f>
        <v>0</v>
      </c>
      <c r="AV620">
        <f>AND(IF(Metadata!J620="",FALSE,TRUE),OR(exact(Metadata!J620,"Host-associated"),exact(Metadata!J620,"Free-living")))</f>
        <v>0</v>
      </c>
      <c r="AW620">
        <f>AND(IF(Metadata!K620="",FALSE,TRUE),OR(exact(Metadata!K620,"Animal"),exact(Metadata!K620,"Fungus"),exact(Metadata!K620,"Plant"),exact(Metadata!K620,"Saline"),exact(Metadata!K620,"Non-saline")))</f>
        <v>0</v>
      </c>
      <c r="AX620">
        <f>AND(IF(Metadata!L620="",FALSE,TRUE),OR(exact(Metadata!L620,"Plant secretion"),exact(Metadata!L620,"Plant rhizosphere"),exact(Metadata!L620,"Plant surface"),exact(Metadata!L620,"Plant corpus"),exact(Metadata!L620,"Fungus surface"),exact(Metadata!L620,"Fungus corpus"),exact(Metadata!L620,"Animal surface"),exact(Metadata!L620,"Animal proximal gut"),exact(Metadata!L620,"Animal corpus"),exact(Metadata!L620,"Animal distal gut"),exact(Metadata!L620,"Animal secretion"),exact(Metadata!L620,"Sub-surface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Y620">
        <f>IF(Metadata!M620="",FALSE,TRUE)</f>
        <v>0</v>
      </c>
      <c r="AZ620">
        <f>IF(Metadata!N620="",FALSE,TRUE)</f>
        <v>0</v>
      </c>
      <c r="BA620">
        <f>IF(Metadata!O620="",FALSE,TRUE)</f>
        <v>0</v>
      </c>
      <c r="BB620">
        <f>OR(AND(IF(Metadata!P620="",FALSE,TRUE),OR(exact(Metadata!P620,"not collected"),exact(Metadata!P620,"not provided"),exact(Metadata!P620,"restricted access"))),AND(IF(Metadata!P620="",FALSE,TRUE),OR(exact(Metadata!P620,"air"),exact(Metadata!P620,"built environment"),exact(Metadata!P620,"host-associated"),exact(Metadata!P620,"human-associated"),exact(Metadata!P620,"human-skin"),exact(Metadata!P620,"human-oral"),exact(Metadata!P620,"human-gut"),exact(Metadata!P620,"human-vaginal"),exact(Metadata!P620,"microbial mat/biofilm"),exact(Metadata!P620,"misc environment"),exact(Metadata!P620,"plant-associated"),exact(Metadata!P620,"sediment"),exact(Metadata!P620,"soil"),exact(Metadata!P620,"wastewater/sludge"),exact(Metadata!P620,"water"))))</f>
        <v>0</v>
      </c>
      <c r="BC620">
        <f>IF(Metadata!Q620="",FALSE,TRUE)</f>
        <v>0</v>
      </c>
      <c r="BD620">
        <f>IF(Metadata!R620="",FALSE,TRUE)</f>
        <v>0</v>
      </c>
      <c r="BE620">
        <f>OR(AND(IF(Metadata!S620="",FALSE,TRUE),OR(exact(Metadata!S620,"not collected"),exact(Metadata!S620,"not provided"),exact(Metadata!S620,"restricted access"))),AND(IF(Metadata!S620="",FALSE,ISNUMBER(VALUE(Metadata!S620))),Metadata!S620&gt;=-90.00,Metadata!S620&lt;=90.00))</f>
        <v>0</v>
      </c>
      <c r="BF620">
        <f>AND(IF(Metadata!T620="",FALSE,TRUE),exact(Metadata!T620,"Decimal degrees"))</f>
        <v>0</v>
      </c>
      <c r="BG620">
        <f>OR(AND(IF(Metadata!U620="",FALSE,TRUE),OR(exact(Metadata!U620,"not collected"),exact(Metadata!U620,"not provided"),exact(Metadata!U620,"restricted access"))),AND(IF(Metadata!U620="",FALSE,ISNUMBER(VALUE(Metadata!U620))),Metadata!U620&gt;=-180.00,Metadata!U620&lt;=180.00))</f>
        <v>0</v>
      </c>
      <c r="BH620">
        <f>AND(IF(Metadata!V620="",FALSE,TRUE),exact(Metadata!V620,"Decimal degrees"))</f>
        <v>0</v>
      </c>
      <c r="BI620">
        <f>IF(Metadata!W620="",FALSE,TRUE)</f>
        <v>0</v>
      </c>
      <c r="BJ620">
        <f>OR(AND(IF(Metadata!X620="",FALSE,TRUE),OR(exact(Metadata!X620,"not collected"),exact(Metadata!X620,"not provided"),exact(Metadata!X620,"restricted access"))),AND(IF(Metadata!X620="",FALSE,TRUE),OR(exact(Metadata!X620,"TRUE"),exact(Metadata!X620,"FALSE"))))</f>
        <v>0</v>
      </c>
      <c r="BK620">
        <f>AND(IF(Metadata!Y620="",FALSE,TRUE),exact(Metadata!Y620,"other"))</f>
        <v>0</v>
      </c>
      <c r="BL620">
        <f>IF(Metadata!Z620="",FALSE,TRUE)</f>
        <v>0</v>
      </c>
      <c r="BM620">
        <f>OR(AND(IF(Metadata!AA620="",FALSE,TRUE),OR(exact(Metadata!AA620,"not collected"),exact(Metadata!AA620,"not provided"))),AND(IF(Metadata!AA620="",FALSE,IF(ISERROR(INT(Metadata!AA620)),FALSE,INT(Metadata!AA620)=Metadata!AA620)),Metadata!AA620&gt;0))</f>
        <v>0</v>
      </c>
      <c r="BN620">
        <f>AND(IF(Metadata!AB620="",FALSE,TRUE),exact(Metadata!AB620,"Not applicable"))</f>
        <v>0</v>
      </c>
      <c r="BO620">
        <f>IF(Metadata!AC620="",FALSE,TRUE)</f>
        <v>0</v>
      </c>
    </row>
    <row r="621" spans="1:67">
      <c r="A621" s="5">
        <f>IF(B621=" "," ",HYPERLINK(CONCATENATE("#metadata!",ADDRESS(INDEX($AI$2:$AI$1001,MATCH(ROWS($AG$2:AG621),$AG$2:$AG$1001,0),0),1)),INDEX($AL$2:$AL$1001,MATCH(ROWS($AG$2:AG621),$AG$2:$AG$1001,0),0)))</f>
        <v>0</v>
      </c>
      <c r="B621" s="4">
        <f>IF(OR(INDEX($AH$2:$AH$1001,MATCH(ROWS($AG$2:AG621),$AG$2:$AG$1001,0),1)&gt;=100000,INDEX($AN$1005:$BO$1005,1,MATCH(COLUMNS($AN$1006:AN1006),$AN$1006:$BO$1006,0))&gt;=100000), " ",IF(INDEX($AN$2:$BO$1001,MATCH(ROWS($AG$2:AG621),$AG$2:$AG$1001,0),MATCH(COLUMNS($AN$1006:AN1006),$AN$1006:$BO$1006,0)), HYPERLINK("#",""), HYPERLINK(CONCATENATE("#Metadata!", ADDRESS(INDEX($AI$2:$AI$1001,MATCH(ROWS($AG$2:AG621),$AG$2:$AG$1001,0),0), INDEX($AN$1004:$BO$1004,1,MATCH(COLUMNS($AN$1006:AN1006),$AN$1006:$BO$1006,0)))),"Fix")))</f>
        <v>0</v>
      </c>
      <c r="C621" s="4">
        <f>IF(OR(INDEX($AH$2:$AH$1001,MATCH(ROWS($AG$2:AG621),$AG$2:$AG$1001,0),1)&gt;=100000,INDEX($AN$1005:$BO$1005,1,MATCH(COLUMNS($AN$1006:AO1006),$AN$1006:$BO$1006,0))&gt;=100000), " ",IF(INDEX($AN$2:$BO$1001,MATCH(ROWS($AG$2:AG621),$AG$2:$AG$1001,0),MATCH(COLUMNS($AN$1006:AO1006),$AN$1006:$BO$1006,0)), HYPERLINK("#",""), HYPERLINK(CONCATENATE("#Metadata!", ADDRESS(INDEX($AI$2:$AI$1001,MATCH(ROWS($AG$2:AG621),$AG$2:$AG$1001,0),0), INDEX($AN$1004:$BO$1004,1,MATCH(COLUMNS($AN$1006:AO1006),$AN$1006:$BO$1006,0)))),"Fix")))</f>
        <v>0</v>
      </c>
      <c r="D621" s="4">
        <f>IF(OR(INDEX($AH$2:$AH$1001,MATCH(ROWS($AG$2:AG621),$AG$2:$AG$1001,0),1)&gt;=100000,INDEX($AN$1005:$BO$1005,1,MATCH(COLUMNS($AN$1006:AP1006),$AN$1006:$BO$1006,0))&gt;=100000), " ",IF(INDEX($AN$2:$BO$1001,MATCH(ROWS($AG$2:AG621),$AG$2:$AG$1001,0),MATCH(COLUMNS($AN$1006:AP1006),$AN$1006:$BO$1006,0)), HYPERLINK("#",""), HYPERLINK(CONCATENATE("#Metadata!", ADDRESS(INDEX($AI$2:$AI$1001,MATCH(ROWS($AG$2:AG621),$AG$2:$AG$1001,0),0), INDEX($AN$1004:$BO$1004,1,MATCH(COLUMNS($AN$1006:AP1006),$AN$1006:$BO$1006,0)))),"Fix")))</f>
        <v>0</v>
      </c>
      <c r="E621" s="4">
        <f>IF(OR(INDEX($AH$2:$AH$1001,MATCH(ROWS($AG$2:AG621),$AG$2:$AG$1001,0),1)&gt;=100000,INDEX($AN$1005:$BO$1005,1,MATCH(COLUMNS($AN$1006:AQ1006),$AN$1006:$BO$1006,0))&gt;=100000), " ",IF(INDEX($AN$2:$BO$1001,MATCH(ROWS($AG$2:AG621),$AG$2:$AG$1001,0),MATCH(COLUMNS($AN$1006:AQ1006),$AN$1006:$BO$1006,0)), HYPERLINK("#",""), HYPERLINK(CONCATENATE("#Metadata!", ADDRESS(INDEX($AI$2:$AI$1001,MATCH(ROWS($AG$2:AG621),$AG$2:$AG$1001,0),0), INDEX($AN$1004:$BO$1004,1,MATCH(COLUMNS($AN$1006:AQ1006),$AN$1006:$BO$1006,0)))),"Fix")))</f>
        <v>0</v>
      </c>
      <c r="F621" s="4">
        <f>IF(OR(INDEX($AH$2:$AH$1001,MATCH(ROWS($AG$2:AG621),$AG$2:$AG$1001,0),1)&gt;=100000,INDEX($AN$1005:$BO$1005,1,MATCH(COLUMNS($AN$1006:AR1006),$AN$1006:$BO$1006,0))&gt;=100000), " ",IF(INDEX($AN$2:$BO$1001,MATCH(ROWS($AG$2:AG621),$AG$2:$AG$1001,0),MATCH(COLUMNS($AN$1006:AR1006),$AN$1006:$BO$1006,0)), HYPERLINK("#",""), HYPERLINK(CONCATENATE("#Metadata!", ADDRESS(INDEX($AI$2:$AI$1001,MATCH(ROWS($AG$2:AG621),$AG$2:$AG$1001,0),0), INDEX($AN$1004:$BO$1004,1,MATCH(COLUMNS($AN$1006:AR1006),$AN$1006:$BO$1006,0)))),"Fix")))</f>
        <v>0</v>
      </c>
      <c r="G621" s="4">
        <f>IF(OR(INDEX($AH$2:$AH$1001,MATCH(ROWS($AG$2:AG621),$AG$2:$AG$1001,0),1)&gt;=100000,INDEX($AN$1005:$BO$1005,1,MATCH(COLUMNS($AN$1006:AS1006),$AN$1006:$BO$1006,0))&gt;=100000), " ",IF(INDEX($AN$2:$BO$1001,MATCH(ROWS($AG$2:AG621),$AG$2:$AG$1001,0),MATCH(COLUMNS($AN$1006:AS1006),$AN$1006:$BO$1006,0)), HYPERLINK("#",""), HYPERLINK(CONCATENATE("#Metadata!", ADDRESS(INDEX($AI$2:$AI$1001,MATCH(ROWS($AG$2:AG621),$AG$2:$AG$1001,0),0), INDEX($AN$1004:$BO$1004,1,MATCH(COLUMNS($AN$1006:AS1006),$AN$1006:$BO$1006,0)))),"Fix")))</f>
        <v>0</v>
      </c>
      <c r="H621" s="4">
        <f>IF(OR(INDEX($AH$2:$AH$1001,MATCH(ROWS($AG$2:AG621),$AG$2:$AG$1001,0),1)&gt;=100000,INDEX($AN$1005:$BO$1005,1,MATCH(COLUMNS($AN$1006:AT1006),$AN$1006:$BO$1006,0))&gt;=100000), " ",IF(INDEX($AN$2:$BO$1001,MATCH(ROWS($AG$2:AG621),$AG$2:$AG$1001,0),MATCH(COLUMNS($AN$1006:AT1006),$AN$1006:$BO$1006,0)), HYPERLINK("#",""), HYPERLINK(CONCATENATE("#Metadata!", ADDRESS(INDEX($AI$2:$AI$1001,MATCH(ROWS($AG$2:AG621),$AG$2:$AG$1001,0),0), INDEX($AN$1004:$BO$1004,1,MATCH(COLUMNS($AN$1006:AT1006),$AN$1006:$BO$1006,0)))),"Fix")))</f>
        <v>0</v>
      </c>
      <c r="I621" s="4">
        <f>IF(OR(INDEX($AH$2:$AH$1001,MATCH(ROWS($AG$2:AG621),$AG$2:$AG$1001,0),1)&gt;=100000,INDEX($AN$1005:$BO$1005,1,MATCH(COLUMNS($AN$1006:AU1006),$AN$1006:$BO$1006,0))&gt;=100000), " ",IF(INDEX($AN$2:$BO$1001,MATCH(ROWS($AG$2:AG621),$AG$2:$AG$1001,0),MATCH(COLUMNS($AN$1006:AU1006),$AN$1006:$BO$1006,0)), HYPERLINK("#",""), HYPERLINK(CONCATENATE("#Metadata!", ADDRESS(INDEX($AI$2:$AI$1001,MATCH(ROWS($AG$2:AG621),$AG$2:$AG$1001,0),0), INDEX($AN$1004:$BO$1004,1,MATCH(COLUMNS($AN$1006:AU1006),$AN$1006:$BO$1006,0)))),"Fix")))</f>
        <v>0</v>
      </c>
      <c r="J621" s="4">
        <f>IF(OR(INDEX($AH$2:$AH$1001,MATCH(ROWS($AG$2:AG621),$AG$2:$AG$1001,0),1)&gt;=100000,INDEX($AN$1005:$BO$1005,1,MATCH(COLUMNS($AN$1006:AV1006),$AN$1006:$BO$1006,0))&gt;=100000), " ",IF(INDEX($AN$2:$BO$1001,MATCH(ROWS($AG$2:AG621),$AG$2:$AG$1001,0),MATCH(COLUMNS($AN$1006:AV1006),$AN$1006:$BO$1006,0)), HYPERLINK("#",""), HYPERLINK(CONCATENATE("#Metadata!", ADDRESS(INDEX($AI$2:$AI$1001,MATCH(ROWS($AG$2:AG621),$AG$2:$AG$1001,0),0), INDEX($AN$1004:$BO$1004,1,MATCH(COLUMNS($AN$1006:AV1006),$AN$1006:$BO$1006,0)))),"Fix")))</f>
        <v>0</v>
      </c>
      <c r="K621" s="4">
        <f>IF(OR(INDEX($AH$2:$AH$1001,MATCH(ROWS($AG$2:AG621),$AG$2:$AG$1001,0),1)&gt;=100000,INDEX($AN$1005:$BO$1005,1,MATCH(COLUMNS($AN$1006:AW1006),$AN$1006:$BO$1006,0))&gt;=100000), " ",IF(INDEX($AN$2:$BO$1001,MATCH(ROWS($AG$2:AG621),$AG$2:$AG$1001,0),MATCH(COLUMNS($AN$1006:AW1006),$AN$1006:$BO$1006,0)), HYPERLINK("#",""), HYPERLINK(CONCATENATE("#Metadata!", ADDRESS(INDEX($AI$2:$AI$1001,MATCH(ROWS($AG$2:AG621),$AG$2:$AG$1001,0),0), INDEX($AN$1004:$BO$1004,1,MATCH(COLUMNS($AN$1006:AW1006),$AN$1006:$BO$1006,0)))),"Fix")))</f>
        <v>0</v>
      </c>
      <c r="L621" s="4">
        <f>IF(OR(INDEX($AH$2:$AH$1001,MATCH(ROWS($AG$2:AG621),$AG$2:$AG$1001,0),1)&gt;=100000,INDEX($AN$1005:$BO$1005,1,MATCH(COLUMNS($AN$1006:AX1006),$AN$1006:$BO$1006,0))&gt;=100000), " ",IF(INDEX($AN$2:$BO$1001,MATCH(ROWS($AG$2:AG621),$AG$2:$AG$1001,0),MATCH(COLUMNS($AN$1006:AX1006),$AN$1006:$BO$1006,0)), HYPERLINK("#",""), HYPERLINK(CONCATENATE("#Metadata!", ADDRESS(INDEX($AI$2:$AI$1001,MATCH(ROWS($AG$2:AG621),$AG$2:$AG$1001,0),0), INDEX($AN$1004:$BO$1004,1,MATCH(COLUMNS($AN$1006:AX1006),$AN$1006:$BO$1006,0)))),"Fix")))</f>
        <v>0</v>
      </c>
      <c r="M621" s="4">
        <f>IF(OR(INDEX($AH$2:$AH$1001,MATCH(ROWS($AG$2:AG621),$AG$2:$AG$1001,0),1)&gt;=100000,INDEX($AN$1005:$BO$1005,1,MATCH(COLUMNS($AN$1006:AY1006),$AN$1006:$BO$1006,0))&gt;=100000), " ",IF(INDEX($AN$2:$BO$1001,MATCH(ROWS($AG$2:AG621),$AG$2:$AG$1001,0),MATCH(COLUMNS($AN$1006:AY1006),$AN$1006:$BO$1006,0)), HYPERLINK("#",""), HYPERLINK(CONCATENATE("#Metadata!", ADDRESS(INDEX($AI$2:$AI$1001,MATCH(ROWS($AG$2:AG621),$AG$2:$AG$1001,0),0), INDEX($AN$1004:$BO$1004,1,MATCH(COLUMNS($AN$1006:AY1006),$AN$1006:$BO$1006,0)))),"Fix")))</f>
        <v>0</v>
      </c>
      <c r="N621" s="4">
        <f>IF(OR(INDEX($AH$2:$AH$1001,MATCH(ROWS($AG$2:AG621),$AG$2:$AG$1001,0),1)&gt;=100000,INDEX($AN$1005:$BO$1005,1,MATCH(COLUMNS($AN$1006:AZ1006),$AN$1006:$BO$1006,0))&gt;=100000), " ",IF(INDEX($AN$2:$BO$1001,MATCH(ROWS($AG$2:AG621),$AG$2:$AG$1001,0),MATCH(COLUMNS($AN$1006:AZ1006),$AN$1006:$BO$1006,0)), HYPERLINK("#",""), HYPERLINK(CONCATENATE("#Metadata!", ADDRESS(INDEX($AI$2:$AI$1001,MATCH(ROWS($AG$2:AG621),$AG$2:$AG$1001,0),0), INDEX($AN$1004:$BO$1004,1,MATCH(COLUMNS($AN$1006:AZ1006),$AN$1006:$BO$1006,0)))),"Fix")))</f>
        <v>0</v>
      </c>
      <c r="O621" s="4">
        <f>IF(OR(INDEX($AH$2:$AH$1001,MATCH(ROWS($AG$2:AG621),$AG$2:$AG$1001,0),1)&gt;=100000,INDEX($AN$1005:$BO$1005,1,MATCH(COLUMNS($AN$1006:BA1006),$AN$1006:$BO$1006,0))&gt;=100000), " ",IF(INDEX($AN$2:$BO$1001,MATCH(ROWS($AG$2:AG621),$AG$2:$AG$1001,0),MATCH(COLUMNS($AN$1006:BA1006),$AN$1006:$BO$1006,0)), HYPERLINK("#",""), HYPERLINK(CONCATENATE("#Metadata!", ADDRESS(INDEX($AI$2:$AI$1001,MATCH(ROWS($AG$2:AG621),$AG$2:$AG$1001,0),0), INDEX($AN$1004:$BO$1004,1,MATCH(COLUMNS($AN$1006:BA1006),$AN$1006:$BO$1006,0)))),"Fix")))</f>
        <v>0</v>
      </c>
      <c r="P621" s="4">
        <f>IF(OR(INDEX($AH$2:$AH$1001,MATCH(ROWS($AG$2:AG621),$AG$2:$AG$1001,0),1)&gt;=100000,INDEX($AN$1005:$BO$1005,1,MATCH(COLUMNS($AN$1006:BB1006),$AN$1006:$BO$1006,0))&gt;=100000), " ",IF(INDEX($AN$2:$BO$1001,MATCH(ROWS($AG$2:AG621),$AG$2:$AG$1001,0),MATCH(COLUMNS($AN$1006:BB1006),$AN$1006:$BO$1006,0)), HYPERLINK("#",""), HYPERLINK(CONCATENATE("#Metadata!", ADDRESS(INDEX($AI$2:$AI$1001,MATCH(ROWS($AG$2:AG621),$AG$2:$AG$1001,0),0), INDEX($AN$1004:$BO$1004,1,MATCH(COLUMNS($AN$1006:BB1006),$AN$1006:$BO$1006,0)))),"Fix")))</f>
        <v>0</v>
      </c>
      <c r="Q621" s="4">
        <f>IF(OR(INDEX($AH$2:$AH$1001,MATCH(ROWS($AG$2:AG621),$AG$2:$AG$1001,0),1)&gt;=100000,INDEX($AN$1005:$BO$1005,1,MATCH(COLUMNS($AN$1006:BC1006),$AN$1006:$BO$1006,0))&gt;=100000), " ",IF(INDEX($AN$2:$BO$1001,MATCH(ROWS($AG$2:AG621),$AG$2:$AG$1001,0),MATCH(COLUMNS($AN$1006:BC1006),$AN$1006:$BO$1006,0)), HYPERLINK("#",""), HYPERLINK(CONCATENATE("#Metadata!", ADDRESS(INDEX($AI$2:$AI$1001,MATCH(ROWS($AG$2:AG621),$AG$2:$AG$1001,0),0), INDEX($AN$1004:$BO$1004,1,MATCH(COLUMNS($AN$1006:BC1006),$AN$1006:$BO$1006,0)))),"Fix")))</f>
        <v>0</v>
      </c>
      <c r="R621" s="4">
        <f>IF(OR(INDEX($AH$2:$AH$1001,MATCH(ROWS($AG$2:AG621),$AG$2:$AG$1001,0),1)&gt;=100000,INDEX($AN$1005:$BO$1005,1,MATCH(COLUMNS($AN$1006:BD1006),$AN$1006:$BO$1006,0))&gt;=100000), " ",IF(INDEX($AN$2:$BO$1001,MATCH(ROWS($AG$2:AG621),$AG$2:$AG$1001,0),MATCH(COLUMNS($AN$1006:BD1006),$AN$1006:$BO$1006,0)), HYPERLINK("#",""), HYPERLINK(CONCATENATE("#Metadata!", ADDRESS(INDEX($AI$2:$AI$1001,MATCH(ROWS($AG$2:AG621),$AG$2:$AG$1001,0),0), INDEX($AN$1004:$BO$1004,1,MATCH(COLUMNS($AN$1006:BD1006),$AN$1006:$BO$1006,0)))),"Fix")))</f>
        <v>0</v>
      </c>
      <c r="S621" s="4">
        <f>IF(OR(INDEX($AH$2:$AH$1001,MATCH(ROWS($AG$2:AG621),$AG$2:$AG$1001,0),1)&gt;=100000,INDEX($AN$1005:$BO$1005,1,MATCH(COLUMNS($AN$1006:BE1006),$AN$1006:$BO$1006,0))&gt;=100000), " ",IF(INDEX($AN$2:$BO$1001,MATCH(ROWS($AG$2:AG621),$AG$2:$AG$1001,0),MATCH(COLUMNS($AN$1006:BE1006),$AN$1006:$BO$1006,0)), HYPERLINK("#",""), HYPERLINK(CONCATENATE("#Metadata!", ADDRESS(INDEX($AI$2:$AI$1001,MATCH(ROWS($AG$2:AG621),$AG$2:$AG$1001,0),0), INDEX($AN$1004:$BO$1004,1,MATCH(COLUMNS($AN$1006:BE1006),$AN$1006:$BO$1006,0)))),"Fix")))</f>
        <v>0</v>
      </c>
      <c r="T621" s="4">
        <f>IF(OR(INDEX($AH$2:$AH$1001,MATCH(ROWS($AG$2:AG621),$AG$2:$AG$1001,0),1)&gt;=100000,INDEX($AN$1005:$BO$1005,1,MATCH(COLUMNS($AN$1006:BF1006),$AN$1006:$BO$1006,0))&gt;=100000), " ",IF(INDEX($AN$2:$BO$1001,MATCH(ROWS($AG$2:AG621),$AG$2:$AG$1001,0),MATCH(COLUMNS($AN$1006:BF1006),$AN$1006:$BO$1006,0)), HYPERLINK("#",""), HYPERLINK(CONCATENATE("#Metadata!", ADDRESS(INDEX($AI$2:$AI$1001,MATCH(ROWS($AG$2:AG621),$AG$2:$AG$1001,0),0), INDEX($AN$1004:$BO$1004,1,MATCH(COLUMNS($AN$1006:BF1006),$AN$1006:$BO$1006,0)))),"Fix")))</f>
        <v>0</v>
      </c>
      <c r="U621" s="4">
        <f>IF(OR(INDEX($AH$2:$AH$1001,MATCH(ROWS($AG$2:AG621),$AG$2:$AG$1001,0),1)&gt;=100000,INDEX($AN$1005:$BO$1005,1,MATCH(COLUMNS($AN$1006:BG1006),$AN$1006:$BO$1006,0))&gt;=100000), " ",IF(INDEX($AN$2:$BO$1001,MATCH(ROWS($AG$2:AG621),$AG$2:$AG$1001,0),MATCH(COLUMNS($AN$1006:BG1006),$AN$1006:$BO$1006,0)), HYPERLINK("#",""), HYPERLINK(CONCATENATE("#Metadata!", ADDRESS(INDEX($AI$2:$AI$1001,MATCH(ROWS($AG$2:AG621),$AG$2:$AG$1001,0),0), INDEX($AN$1004:$BO$1004,1,MATCH(COLUMNS($AN$1006:BG1006),$AN$1006:$BO$1006,0)))),"Fix")))</f>
        <v>0</v>
      </c>
      <c r="V621" s="4">
        <f>IF(OR(INDEX($AH$2:$AH$1001,MATCH(ROWS($AG$2:AG621),$AG$2:$AG$1001,0),1)&gt;=100000,INDEX($AN$1005:$BO$1005,1,MATCH(COLUMNS($AN$1006:BH1006),$AN$1006:$BO$1006,0))&gt;=100000), " ",IF(INDEX($AN$2:$BO$1001,MATCH(ROWS($AG$2:AG621),$AG$2:$AG$1001,0),MATCH(COLUMNS($AN$1006:BH1006),$AN$1006:$BO$1006,0)), HYPERLINK("#",""), HYPERLINK(CONCATENATE("#Metadata!", ADDRESS(INDEX($AI$2:$AI$1001,MATCH(ROWS($AG$2:AG621),$AG$2:$AG$1001,0),0), INDEX($AN$1004:$BO$1004,1,MATCH(COLUMNS($AN$1006:BH1006),$AN$1006:$BO$1006,0)))),"Fix")))</f>
        <v>0</v>
      </c>
      <c r="W621" s="4">
        <f>IF(OR(INDEX($AH$2:$AH$1001,MATCH(ROWS($AG$2:AG621),$AG$2:$AG$1001,0),1)&gt;=100000,INDEX($AN$1005:$BO$1005,1,MATCH(COLUMNS($AN$1006:BI1006),$AN$1006:$BO$1006,0))&gt;=100000), " ",IF(INDEX($AN$2:$BO$1001,MATCH(ROWS($AG$2:AG621),$AG$2:$AG$1001,0),MATCH(COLUMNS($AN$1006:BI1006),$AN$1006:$BO$1006,0)), HYPERLINK("#",""), HYPERLINK(CONCATENATE("#Metadata!", ADDRESS(INDEX($AI$2:$AI$1001,MATCH(ROWS($AG$2:AG621),$AG$2:$AG$1001,0),0), INDEX($AN$1004:$BO$1004,1,MATCH(COLUMNS($AN$1006:BI1006),$AN$1006:$BO$1006,0)))),"Fix")))</f>
        <v>0</v>
      </c>
      <c r="X621" s="4">
        <f>IF(OR(INDEX($AH$2:$AH$1001,MATCH(ROWS($AG$2:AG621),$AG$2:$AG$1001,0),1)&gt;=100000,INDEX($AN$1005:$BO$1005,1,MATCH(COLUMNS($AN$1006:BJ1006),$AN$1006:$BO$1006,0))&gt;=100000), " ",IF(INDEX($AN$2:$BO$1001,MATCH(ROWS($AG$2:AG621),$AG$2:$AG$1001,0),MATCH(COLUMNS($AN$1006:BJ1006),$AN$1006:$BO$1006,0)), HYPERLINK("#",""), HYPERLINK(CONCATENATE("#Metadata!", ADDRESS(INDEX($AI$2:$AI$1001,MATCH(ROWS($AG$2:AG621),$AG$2:$AG$1001,0),0), INDEX($AN$1004:$BO$1004,1,MATCH(COLUMNS($AN$1006:BJ1006),$AN$1006:$BO$1006,0)))),"Fix")))</f>
        <v>0</v>
      </c>
      <c r="Y621" s="4">
        <f>IF(OR(INDEX($AH$2:$AH$1001,MATCH(ROWS($AG$2:AG621),$AG$2:$AG$1001,0),1)&gt;=100000,INDEX($AN$1005:$BO$1005,1,MATCH(COLUMNS($AN$1006:BK1006),$AN$1006:$BO$1006,0))&gt;=100000), " ",IF(INDEX($AN$2:$BO$1001,MATCH(ROWS($AG$2:AG621),$AG$2:$AG$1001,0),MATCH(COLUMNS($AN$1006:BK1006),$AN$1006:$BO$1006,0)), HYPERLINK("#",""), HYPERLINK(CONCATENATE("#Metadata!", ADDRESS(INDEX($AI$2:$AI$1001,MATCH(ROWS($AG$2:AG621),$AG$2:$AG$1001,0),0), INDEX($AN$1004:$BO$1004,1,MATCH(COLUMNS($AN$1006:BK1006),$AN$1006:$BO$1006,0)))),"Fix")))</f>
        <v>0</v>
      </c>
      <c r="Z621" s="4">
        <f>IF(OR(INDEX($AH$2:$AH$1001,MATCH(ROWS($AG$2:AG621),$AG$2:$AG$1001,0),1)&gt;=100000,INDEX($AN$1005:$BO$1005,1,MATCH(COLUMNS($AN$1006:BL1006),$AN$1006:$BO$1006,0))&gt;=100000), " ",IF(INDEX($AN$2:$BO$1001,MATCH(ROWS($AG$2:AG621),$AG$2:$AG$1001,0),MATCH(COLUMNS($AN$1006:BL1006),$AN$1006:$BO$1006,0)), HYPERLINK("#",""), HYPERLINK(CONCATENATE("#Metadata!", ADDRESS(INDEX($AI$2:$AI$1001,MATCH(ROWS($AG$2:AG621),$AG$2:$AG$1001,0),0), INDEX($AN$1004:$BO$1004,1,MATCH(COLUMNS($AN$1006:BL1006),$AN$1006:$BO$1006,0)))),"Fix")))</f>
        <v>0</v>
      </c>
      <c r="AA621" s="4">
        <f>IF(OR(INDEX($AH$2:$AH$1001,MATCH(ROWS($AG$2:AG621),$AG$2:$AG$1001,0),1)&gt;=100000,INDEX($AN$1005:$BO$1005,1,MATCH(COLUMNS($AN$1006:BM1006),$AN$1006:$BO$1006,0))&gt;=100000), " ",IF(INDEX($AN$2:$BO$1001,MATCH(ROWS($AG$2:AG621),$AG$2:$AG$1001,0),MATCH(COLUMNS($AN$1006:BM1006),$AN$1006:$BO$1006,0)), HYPERLINK("#",""), HYPERLINK(CONCATENATE("#Metadata!", ADDRESS(INDEX($AI$2:$AI$1001,MATCH(ROWS($AG$2:AG621),$AG$2:$AG$1001,0),0), INDEX($AN$1004:$BO$1004,1,MATCH(COLUMNS($AN$1006:BM1006),$AN$1006:$BO$1006,0)))),"Fix")))</f>
        <v>0</v>
      </c>
      <c r="AB621" s="4">
        <f>IF(OR(INDEX($AH$2:$AH$1001,MATCH(ROWS($AG$2:AG621),$AG$2:$AG$1001,0),1)&gt;=100000,INDEX($AN$1005:$BO$1005,1,MATCH(COLUMNS($AN$1006:BN1006),$AN$1006:$BO$1006,0))&gt;=100000), " ",IF(INDEX($AN$2:$BO$1001,MATCH(ROWS($AG$2:AG621),$AG$2:$AG$1001,0),MATCH(COLUMNS($AN$1006:BN1006),$AN$1006:$BO$1006,0)), HYPERLINK("#",""), HYPERLINK(CONCATENATE("#Metadata!", ADDRESS(INDEX($AI$2:$AI$1001,MATCH(ROWS($AG$2:AG621),$AG$2:$AG$1001,0),0), INDEX($AN$1004:$BO$1004,1,MATCH(COLUMNS($AN$1006:BN1006),$AN$1006:$BO$1006,0)))),"Fix")))</f>
        <v>0</v>
      </c>
      <c r="AC621" s="4">
        <f>IF(OR(INDEX($AH$2:$AH$1001,MATCH(ROWS($AG$2:AG621),$AG$2:$AG$1001,0),1)&gt;=100000,INDEX($AN$1005:$BO$1005,1,MATCH(COLUMNS($AN$1006:BO1006),$AN$1006:$BO$1006,0))&gt;=100000), " ",IF(INDEX($AN$2:$BO$1001,MATCH(ROWS($AG$2:AG621),$AG$2:$AG$1001,0),MATCH(COLUMNS($AN$1006:BO1006),$AN$1006:$BO$1006,0)), HYPERLINK("#",""), HYPERLINK(CONCATENATE("#Metadata!", ADDRESS(INDEX($AI$2:$AI$1001,MATCH(ROWS($AG$2:AG621),$AG$2:$AG$1001,0),0), INDEX($AN$1004:$BO$1004,1,MATCH(COLUMNS($AN$1006:BO1006),$AN$1006:$BO$1006,0)))),"Fix")))</f>
        <v>0</v>
      </c>
      <c r="AG621">
        <v>0</v>
      </c>
      <c r="AH621">
        <v>0</v>
      </c>
      <c r="AI621">
        <v>0</v>
      </c>
      <c r="AJ621">
        <f>IF(AK621,TRUE,AND(AN621:BO621))</f>
        <v>0</v>
      </c>
      <c r="AK621">
        <f>COUNTBLANK(Metadata!B621:AC621)=COLUMNS(Metadata!B621:AC621)</f>
        <v>0</v>
      </c>
      <c r="AL621">
        <v>0</v>
      </c>
      <c r="AN621">
        <f>AND(IF(Metadata!B621="",FALSE,TRUE),COUNTIF(Metadata!B:B, Metadata!B621) = 1,NOT(ISERROR(SUMPRODUCT(SEARCH(MID(Metadata!B621,ROW(INDIRECT("1:"&amp;LEN(Metadata!B621))), 1),"0123456789abcdefghijklmnopqrstuvwxyzABCDEFGHIJKLMNOPQRSTUVWXYZ.")))))</f>
        <v>0</v>
      </c>
      <c r="AO621">
        <f>IF(Metadata!C621="",FALSE,TRUE)</f>
        <v>0</v>
      </c>
      <c r="AP621">
        <f>IF(Metadata!D621="",FALSE,TRUE)</f>
        <v>0</v>
      </c>
      <c r="AQ621">
        <f>OR(AND(IF(Metadata!E621="",FALSE,TRUE),OR(exact(Metadata!E621,"not collected"),exact(Metadata!E621,"not provided"),exact(Metadata!E621,"restricted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R621">
        <f>IF(Metadata!F621="",FALSE,TRUE)</f>
        <v>0</v>
      </c>
      <c r="AS621">
        <f>OR(AND(IF(Metadata!G621="",FALSE,TRUE),OR(exact(Metadata!G621,"not collected"),exact(Metadata!G621,"not provided"))),AND(IF(Metadata!G621="",FALSE,TRUE),OR(exact(Metadata!G621,"TRUE"),exact(Metadata!G621,"FALSE"))))</f>
        <v>0</v>
      </c>
      <c r="AT621">
        <f>OR(AND(IF(Metadata!H621="",FALSE,TRUE),OR(exact(Metadata!H621,"not collected"),exact(Metadata!H621,"not provided"),exact(Metadata!H621,"restricted access"))),AND(IF(Metadata!H621="",FALSE,ISNUMBER(VALUE(Metadata!H621))),Metadata!H621&gt;=-413.0))</f>
        <v>0</v>
      </c>
      <c r="AU621">
        <f>AND(IF(Metadata!I621="",FALSE,TRUE),exact(Metadata!I621,"meters"))</f>
        <v>0</v>
      </c>
      <c r="AV621">
        <f>AND(IF(Metadata!J621="",FALSE,TRUE),OR(exact(Metadata!J621,"Host-associated"),exact(Metadata!J621,"Free-living")))</f>
        <v>0</v>
      </c>
      <c r="AW621">
        <f>AND(IF(Metadata!K621="",FALSE,TRUE),OR(exact(Metadata!K621,"Animal"),exact(Metadata!K621,"Fungus"),exact(Metadata!K621,"Plant"),exact(Metadata!K621,"Saline"),exact(Metadata!K621,"Non-saline")))</f>
        <v>0</v>
      </c>
      <c r="AX621">
        <f>AND(IF(Metadata!L621="",FALSE,TRUE),OR(exact(Metadata!L621,"Plant secretion"),exact(Metadata!L621,"Plant rhizosphere"),exact(Metadata!L621,"Plant surface"),exact(Metadata!L621,"Plant corpus"),exact(Metadata!L621,"Fungus surface"),exact(Metadata!L621,"Fungus corpus"),exact(Metadata!L621,"Animal surface"),exact(Metadata!L621,"Animal proximal gut"),exact(Metadata!L621,"Animal corpus"),exact(Metadata!L621,"Animal distal gut"),exact(Metadata!L621,"Animal secretion"),exact(Metadata!L621,"Sub-surface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Y621">
        <f>IF(Metadata!M621="",FALSE,TRUE)</f>
        <v>0</v>
      </c>
      <c r="AZ621">
        <f>IF(Metadata!N621="",FALSE,TRUE)</f>
        <v>0</v>
      </c>
      <c r="BA621">
        <f>IF(Metadata!O621="",FALSE,TRUE)</f>
        <v>0</v>
      </c>
      <c r="BB621">
        <f>OR(AND(IF(Metadata!P621="",FALSE,TRUE),OR(exact(Metadata!P621,"not collected"),exact(Metadata!P621,"not provided"),exact(Metadata!P621,"restricted access"))),AND(IF(Metadata!P621="",FALSE,TRUE),OR(exact(Metadata!P621,"air"),exact(Metadata!P621,"built environment"),exact(Metadata!P621,"host-associated"),exact(Metadata!P621,"human-associated"),exact(Metadata!P621,"human-skin"),exact(Metadata!P621,"human-oral"),exact(Metadata!P621,"human-gut"),exact(Metadata!P621,"human-vaginal"),exact(Metadata!P621,"microbial mat/biofilm"),exact(Metadata!P621,"misc environment"),exact(Metadata!P621,"plant-associated"),exact(Metadata!P621,"sediment"),exact(Metadata!P621,"soil"),exact(Metadata!P621,"wastewater/sludge"),exact(Metadata!P621,"water"))))</f>
        <v>0</v>
      </c>
      <c r="BC621">
        <f>IF(Metadata!Q621="",FALSE,TRUE)</f>
        <v>0</v>
      </c>
      <c r="BD621">
        <f>IF(Metadata!R621="",FALSE,TRUE)</f>
        <v>0</v>
      </c>
      <c r="BE621">
        <f>OR(AND(IF(Metadata!S621="",FALSE,TRUE),OR(exact(Metadata!S621,"not collected"),exact(Metadata!S621,"not provided"),exact(Metadata!S621,"restricted access"))),AND(IF(Metadata!S621="",FALSE,ISNUMBER(VALUE(Metadata!S621))),Metadata!S621&gt;=-90.00,Metadata!S621&lt;=90.00))</f>
        <v>0</v>
      </c>
      <c r="BF621">
        <f>AND(IF(Metadata!T621="",FALSE,TRUE),exact(Metadata!T621,"Decimal degrees"))</f>
        <v>0</v>
      </c>
      <c r="BG621">
        <f>OR(AND(IF(Metadata!U621="",FALSE,TRUE),OR(exact(Metadata!U621,"not collected"),exact(Metadata!U621,"not provided"),exact(Metadata!U621,"restricted access"))),AND(IF(Metadata!U621="",FALSE,ISNUMBER(VALUE(Metadata!U621))),Metadata!U621&gt;=-180.00,Metadata!U621&lt;=180.00))</f>
        <v>0</v>
      </c>
      <c r="BH621">
        <f>AND(IF(Metadata!V621="",FALSE,TRUE),exact(Metadata!V621,"Decimal degrees"))</f>
        <v>0</v>
      </c>
      <c r="BI621">
        <f>IF(Metadata!W621="",FALSE,TRUE)</f>
        <v>0</v>
      </c>
      <c r="BJ621">
        <f>OR(AND(IF(Metadata!X621="",FALSE,TRUE),OR(exact(Metadata!X621,"not collected"),exact(Metadata!X621,"not provided"),exact(Metadata!X621,"restricted access"))),AND(IF(Metadata!X621="",FALSE,TRUE),OR(exact(Metadata!X621,"TRUE"),exact(Metadata!X621,"FALSE"))))</f>
        <v>0</v>
      </c>
      <c r="BK621">
        <f>AND(IF(Metadata!Y621="",FALSE,TRUE),exact(Metadata!Y621,"other"))</f>
        <v>0</v>
      </c>
      <c r="BL621">
        <f>IF(Metadata!Z621="",FALSE,TRUE)</f>
        <v>0</v>
      </c>
      <c r="BM621">
        <f>OR(AND(IF(Metadata!AA621="",FALSE,TRUE),OR(exact(Metadata!AA621,"not collected"),exact(Metadata!AA621,"not provided"))),AND(IF(Metadata!AA621="",FALSE,IF(ISERROR(INT(Metadata!AA621)),FALSE,INT(Metadata!AA621)=Metadata!AA621)),Metadata!AA621&gt;0))</f>
        <v>0</v>
      </c>
      <c r="BN621">
        <f>AND(IF(Metadata!AB621="",FALSE,TRUE),exact(Metadata!AB621,"Not applicable"))</f>
        <v>0</v>
      </c>
      <c r="BO621">
        <f>IF(Metadata!AC621="",FALSE,TRUE)</f>
        <v>0</v>
      </c>
    </row>
    <row r="622" spans="1:67">
      <c r="A622" s="5">
        <f>IF(B622=" "," ",HYPERLINK(CONCATENATE("#metadata!",ADDRESS(INDEX($AI$2:$AI$1001,MATCH(ROWS($AG$2:AG622),$AG$2:$AG$1001,0),0),1)),INDEX($AL$2:$AL$1001,MATCH(ROWS($AG$2:AG622),$AG$2:$AG$1001,0),0)))</f>
        <v>0</v>
      </c>
      <c r="B622" s="4">
        <f>IF(OR(INDEX($AH$2:$AH$1001,MATCH(ROWS($AG$2:AG622),$AG$2:$AG$1001,0),1)&gt;=100000,INDEX($AN$1005:$BO$1005,1,MATCH(COLUMNS($AN$1006:AN1006),$AN$1006:$BO$1006,0))&gt;=100000), " ",IF(INDEX($AN$2:$BO$1001,MATCH(ROWS($AG$2:AG622),$AG$2:$AG$1001,0),MATCH(COLUMNS($AN$1006:AN1006),$AN$1006:$BO$1006,0)), HYPERLINK("#",""), HYPERLINK(CONCATENATE("#Metadata!", ADDRESS(INDEX($AI$2:$AI$1001,MATCH(ROWS($AG$2:AG622),$AG$2:$AG$1001,0),0), INDEX($AN$1004:$BO$1004,1,MATCH(COLUMNS($AN$1006:AN1006),$AN$1006:$BO$1006,0)))),"Fix")))</f>
        <v>0</v>
      </c>
      <c r="C622" s="4">
        <f>IF(OR(INDEX($AH$2:$AH$1001,MATCH(ROWS($AG$2:AG622),$AG$2:$AG$1001,0),1)&gt;=100000,INDEX($AN$1005:$BO$1005,1,MATCH(COLUMNS($AN$1006:AO1006),$AN$1006:$BO$1006,0))&gt;=100000), " ",IF(INDEX($AN$2:$BO$1001,MATCH(ROWS($AG$2:AG622),$AG$2:$AG$1001,0),MATCH(COLUMNS($AN$1006:AO1006),$AN$1006:$BO$1006,0)), HYPERLINK("#",""), HYPERLINK(CONCATENATE("#Metadata!", ADDRESS(INDEX($AI$2:$AI$1001,MATCH(ROWS($AG$2:AG622),$AG$2:$AG$1001,0),0), INDEX($AN$1004:$BO$1004,1,MATCH(COLUMNS($AN$1006:AO1006),$AN$1006:$BO$1006,0)))),"Fix")))</f>
        <v>0</v>
      </c>
      <c r="D622" s="4">
        <f>IF(OR(INDEX($AH$2:$AH$1001,MATCH(ROWS($AG$2:AG622),$AG$2:$AG$1001,0),1)&gt;=100000,INDEX($AN$1005:$BO$1005,1,MATCH(COLUMNS($AN$1006:AP1006),$AN$1006:$BO$1006,0))&gt;=100000), " ",IF(INDEX($AN$2:$BO$1001,MATCH(ROWS($AG$2:AG622),$AG$2:$AG$1001,0),MATCH(COLUMNS($AN$1006:AP1006),$AN$1006:$BO$1006,0)), HYPERLINK("#",""), HYPERLINK(CONCATENATE("#Metadata!", ADDRESS(INDEX($AI$2:$AI$1001,MATCH(ROWS($AG$2:AG622),$AG$2:$AG$1001,0),0), INDEX($AN$1004:$BO$1004,1,MATCH(COLUMNS($AN$1006:AP1006),$AN$1006:$BO$1006,0)))),"Fix")))</f>
        <v>0</v>
      </c>
      <c r="E622" s="4">
        <f>IF(OR(INDEX($AH$2:$AH$1001,MATCH(ROWS($AG$2:AG622),$AG$2:$AG$1001,0),1)&gt;=100000,INDEX($AN$1005:$BO$1005,1,MATCH(COLUMNS($AN$1006:AQ1006),$AN$1006:$BO$1006,0))&gt;=100000), " ",IF(INDEX($AN$2:$BO$1001,MATCH(ROWS($AG$2:AG622),$AG$2:$AG$1001,0),MATCH(COLUMNS($AN$1006:AQ1006),$AN$1006:$BO$1006,0)), HYPERLINK("#",""), HYPERLINK(CONCATENATE("#Metadata!", ADDRESS(INDEX($AI$2:$AI$1001,MATCH(ROWS($AG$2:AG622),$AG$2:$AG$1001,0),0), INDEX($AN$1004:$BO$1004,1,MATCH(COLUMNS($AN$1006:AQ1006),$AN$1006:$BO$1006,0)))),"Fix")))</f>
        <v>0</v>
      </c>
      <c r="F622" s="4">
        <f>IF(OR(INDEX($AH$2:$AH$1001,MATCH(ROWS($AG$2:AG622),$AG$2:$AG$1001,0),1)&gt;=100000,INDEX($AN$1005:$BO$1005,1,MATCH(COLUMNS($AN$1006:AR1006),$AN$1006:$BO$1006,0))&gt;=100000), " ",IF(INDEX($AN$2:$BO$1001,MATCH(ROWS($AG$2:AG622),$AG$2:$AG$1001,0),MATCH(COLUMNS($AN$1006:AR1006),$AN$1006:$BO$1006,0)), HYPERLINK("#",""), HYPERLINK(CONCATENATE("#Metadata!", ADDRESS(INDEX($AI$2:$AI$1001,MATCH(ROWS($AG$2:AG622),$AG$2:$AG$1001,0),0), INDEX($AN$1004:$BO$1004,1,MATCH(COLUMNS($AN$1006:AR1006),$AN$1006:$BO$1006,0)))),"Fix")))</f>
        <v>0</v>
      </c>
      <c r="G622" s="4">
        <f>IF(OR(INDEX($AH$2:$AH$1001,MATCH(ROWS($AG$2:AG622),$AG$2:$AG$1001,0),1)&gt;=100000,INDEX($AN$1005:$BO$1005,1,MATCH(COLUMNS($AN$1006:AS1006),$AN$1006:$BO$1006,0))&gt;=100000), " ",IF(INDEX($AN$2:$BO$1001,MATCH(ROWS($AG$2:AG622),$AG$2:$AG$1001,0),MATCH(COLUMNS($AN$1006:AS1006),$AN$1006:$BO$1006,0)), HYPERLINK("#",""), HYPERLINK(CONCATENATE("#Metadata!", ADDRESS(INDEX($AI$2:$AI$1001,MATCH(ROWS($AG$2:AG622),$AG$2:$AG$1001,0),0), INDEX($AN$1004:$BO$1004,1,MATCH(COLUMNS($AN$1006:AS1006),$AN$1006:$BO$1006,0)))),"Fix")))</f>
        <v>0</v>
      </c>
      <c r="H622" s="4">
        <f>IF(OR(INDEX($AH$2:$AH$1001,MATCH(ROWS($AG$2:AG622),$AG$2:$AG$1001,0),1)&gt;=100000,INDEX($AN$1005:$BO$1005,1,MATCH(COLUMNS($AN$1006:AT1006),$AN$1006:$BO$1006,0))&gt;=100000), " ",IF(INDEX($AN$2:$BO$1001,MATCH(ROWS($AG$2:AG622),$AG$2:$AG$1001,0),MATCH(COLUMNS($AN$1006:AT1006),$AN$1006:$BO$1006,0)), HYPERLINK("#",""), HYPERLINK(CONCATENATE("#Metadata!", ADDRESS(INDEX($AI$2:$AI$1001,MATCH(ROWS($AG$2:AG622),$AG$2:$AG$1001,0),0), INDEX($AN$1004:$BO$1004,1,MATCH(COLUMNS($AN$1006:AT1006),$AN$1006:$BO$1006,0)))),"Fix")))</f>
        <v>0</v>
      </c>
      <c r="I622" s="4">
        <f>IF(OR(INDEX($AH$2:$AH$1001,MATCH(ROWS($AG$2:AG622),$AG$2:$AG$1001,0),1)&gt;=100000,INDEX($AN$1005:$BO$1005,1,MATCH(COLUMNS($AN$1006:AU1006),$AN$1006:$BO$1006,0))&gt;=100000), " ",IF(INDEX($AN$2:$BO$1001,MATCH(ROWS($AG$2:AG622),$AG$2:$AG$1001,0),MATCH(COLUMNS($AN$1006:AU1006),$AN$1006:$BO$1006,0)), HYPERLINK("#",""), HYPERLINK(CONCATENATE("#Metadata!", ADDRESS(INDEX($AI$2:$AI$1001,MATCH(ROWS($AG$2:AG622),$AG$2:$AG$1001,0),0), INDEX($AN$1004:$BO$1004,1,MATCH(COLUMNS($AN$1006:AU1006),$AN$1006:$BO$1006,0)))),"Fix")))</f>
        <v>0</v>
      </c>
      <c r="J622" s="4">
        <f>IF(OR(INDEX($AH$2:$AH$1001,MATCH(ROWS($AG$2:AG622),$AG$2:$AG$1001,0),1)&gt;=100000,INDEX($AN$1005:$BO$1005,1,MATCH(COLUMNS($AN$1006:AV1006),$AN$1006:$BO$1006,0))&gt;=100000), " ",IF(INDEX($AN$2:$BO$1001,MATCH(ROWS($AG$2:AG622),$AG$2:$AG$1001,0),MATCH(COLUMNS($AN$1006:AV1006),$AN$1006:$BO$1006,0)), HYPERLINK("#",""), HYPERLINK(CONCATENATE("#Metadata!", ADDRESS(INDEX($AI$2:$AI$1001,MATCH(ROWS($AG$2:AG622),$AG$2:$AG$1001,0),0), INDEX($AN$1004:$BO$1004,1,MATCH(COLUMNS($AN$1006:AV1006),$AN$1006:$BO$1006,0)))),"Fix")))</f>
        <v>0</v>
      </c>
      <c r="K622" s="4">
        <f>IF(OR(INDEX($AH$2:$AH$1001,MATCH(ROWS($AG$2:AG622),$AG$2:$AG$1001,0),1)&gt;=100000,INDEX($AN$1005:$BO$1005,1,MATCH(COLUMNS($AN$1006:AW1006),$AN$1006:$BO$1006,0))&gt;=100000), " ",IF(INDEX($AN$2:$BO$1001,MATCH(ROWS($AG$2:AG622),$AG$2:$AG$1001,0),MATCH(COLUMNS($AN$1006:AW1006),$AN$1006:$BO$1006,0)), HYPERLINK("#",""), HYPERLINK(CONCATENATE("#Metadata!", ADDRESS(INDEX($AI$2:$AI$1001,MATCH(ROWS($AG$2:AG622),$AG$2:$AG$1001,0),0), INDEX($AN$1004:$BO$1004,1,MATCH(COLUMNS($AN$1006:AW1006),$AN$1006:$BO$1006,0)))),"Fix")))</f>
        <v>0</v>
      </c>
      <c r="L622" s="4">
        <f>IF(OR(INDEX($AH$2:$AH$1001,MATCH(ROWS($AG$2:AG622),$AG$2:$AG$1001,0),1)&gt;=100000,INDEX($AN$1005:$BO$1005,1,MATCH(COLUMNS($AN$1006:AX1006),$AN$1006:$BO$1006,0))&gt;=100000), " ",IF(INDEX($AN$2:$BO$1001,MATCH(ROWS($AG$2:AG622),$AG$2:$AG$1001,0),MATCH(COLUMNS($AN$1006:AX1006),$AN$1006:$BO$1006,0)), HYPERLINK("#",""), HYPERLINK(CONCATENATE("#Metadata!", ADDRESS(INDEX($AI$2:$AI$1001,MATCH(ROWS($AG$2:AG622),$AG$2:$AG$1001,0),0), INDEX($AN$1004:$BO$1004,1,MATCH(COLUMNS($AN$1006:AX1006),$AN$1006:$BO$1006,0)))),"Fix")))</f>
        <v>0</v>
      </c>
      <c r="M622" s="4">
        <f>IF(OR(INDEX($AH$2:$AH$1001,MATCH(ROWS($AG$2:AG622),$AG$2:$AG$1001,0),1)&gt;=100000,INDEX($AN$1005:$BO$1005,1,MATCH(COLUMNS($AN$1006:AY1006),$AN$1006:$BO$1006,0))&gt;=100000), " ",IF(INDEX($AN$2:$BO$1001,MATCH(ROWS($AG$2:AG622),$AG$2:$AG$1001,0),MATCH(COLUMNS($AN$1006:AY1006),$AN$1006:$BO$1006,0)), HYPERLINK("#",""), HYPERLINK(CONCATENATE("#Metadata!", ADDRESS(INDEX($AI$2:$AI$1001,MATCH(ROWS($AG$2:AG622),$AG$2:$AG$1001,0),0), INDEX($AN$1004:$BO$1004,1,MATCH(COLUMNS($AN$1006:AY1006),$AN$1006:$BO$1006,0)))),"Fix")))</f>
        <v>0</v>
      </c>
      <c r="N622" s="4">
        <f>IF(OR(INDEX($AH$2:$AH$1001,MATCH(ROWS($AG$2:AG622),$AG$2:$AG$1001,0),1)&gt;=100000,INDEX($AN$1005:$BO$1005,1,MATCH(COLUMNS($AN$1006:AZ1006),$AN$1006:$BO$1006,0))&gt;=100000), " ",IF(INDEX($AN$2:$BO$1001,MATCH(ROWS($AG$2:AG622),$AG$2:$AG$1001,0),MATCH(COLUMNS($AN$1006:AZ1006),$AN$1006:$BO$1006,0)), HYPERLINK("#",""), HYPERLINK(CONCATENATE("#Metadata!", ADDRESS(INDEX($AI$2:$AI$1001,MATCH(ROWS($AG$2:AG622),$AG$2:$AG$1001,0),0), INDEX($AN$1004:$BO$1004,1,MATCH(COLUMNS($AN$1006:AZ1006),$AN$1006:$BO$1006,0)))),"Fix")))</f>
        <v>0</v>
      </c>
      <c r="O622" s="4">
        <f>IF(OR(INDEX($AH$2:$AH$1001,MATCH(ROWS($AG$2:AG622),$AG$2:$AG$1001,0),1)&gt;=100000,INDEX($AN$1005:$BO$1005,1,MATCH(COLUMNS($AN$1006:BA1006),$AN$1006:$BO$1006,0))&gt;=100000), " ",IF(INDEX($AN$2:$BO$1001,MATCH(ROWS($AG$2:AG622),$AG$2:$AG$1001,0),MATCH(COLUMNS($AN$1006:BA1006),$AN$1006:$BO$1006,0)), HYPERLINK("#",""), HYPERLINK(CONCATENATE("#Metadata!", ADDRESS(INDEX($AI$2:$AI$1001,MATCH(ROWS($AG$2:AG622),$AG$2:$AG$1001,0),0), INDEX($AN$1004:$BO$1004,1,MATCH(COLUMNS($AN$1006:BA1006),$AN$1006:$BO$1006,0)))),"Fix")))</f>
        <v>0</v>
      </c>
      <c r="P622" s="4">
        <f>IF(OR(INDEX($AH$2:$AH$1001,MATCH(ROWS($AG$2:AG622),$AG$2:$AG$1001,0),1)&gt;=100000,INDEX($AN$1005:$BO$1005,1,MATCH(COLUMNS($AN$1006:BB1006),$AN$1006:$BO$1006,0))&gt;=100000), " ",IF(INDEX($AN$2:$BO$1001,MATCH(ROWS($AG$2:AG622),$AG$2:$AG$1001,0),MATCH(COLUMNS($AN$1006:BB1006),$AN$1006:$BO$1006,0)), HYPERLINK("#",""), HYPERLINK(CONCATENATE("#Metadata!", ADDRESS(INDEX($AI$2:$AI$1001,MATCH(ROWS($AG$2:AG622),$AG$2:$AG$1001,0),0), INDEX($AN$1004:$BO$1004,1,MATCH(COLUMNS($AN$1006:BB1006),$AN$1006:$BO$1006,0)))),"Fix")))</f>
        <v>0</v>
      </c>
      <c r="Q622" s="4">
        <f>IF(OR(INDEX($AH$2:$AH$1001,MATCH(ROWS($AG$2:AG622),$AG$2:$AG$1001,0),1)&gt;=100000,INDEX($AN$1005:$BO$1005,1,MATCH(COLUMNS($AN$1006:BC1006),$AN$1006:$BO$1006,0))&gt;=100000), " ",IF(INDEX($AN$2:$BO$1001,MATCH(ROWS($AG$2:AG622),$AG$2:$AG$1001,0),MATCH(COLUMNS($AN$1006:BC1006),$AN$1006:$BO$1006,0)), HYPERLINK("#",""), HYPERLINK(CONCATENATE("#Metadata!", ADDRESS(INDEX($AI$2:$AI$1001,MATCH(ROWS($AG$2:AG622),$AG$2:$AG$1001,0),0), INDEX($AN$1004:$BO$1004,1,MATCH(COLUMNS($AN$1006:BC1006),$AN$1006:$BO$1006,0)))),"Fix")))</f>
        <v>0</v>
      </c>
      <c r="R622" s="4">
        <f>IF(OR(INDEX($AH$2:$AH$1001,MATCH(ROWS($AG$2:AG622),$AG$2:$AG$1001,0),1)&gt;=100000,INDEX($AN$1005:$BO$1005,1,MATCH(COLUMNS($AN$1006:BD1006),$AN$1006:$BO$1006,0))&gt;=100000), " ",IF(INDEX($AN$2:$BO$1001,MATCH(ROWS($AG$2:AG622),$AG$2:$AG$1001,0),MATCH(COLUMNS($AN$1006:BD1006),$AN$1006:$BO$1006,0)), HYPERLINK("#",""), HYPERLINK(CONCATENATE("#Metadata!", ADDRESS(INDEX($AI$2:$AI$1001,MATCH(ROWS($AG$2:AG622),$AG$2:$AG$1001,0),0), INDEX($AN$1004:$BO$1004,1,MATCH(COLUMNS($AN$1006:BD1006),$AN$1006:$BO$1006,0)))),"Fix")))</f>
        <v>0</v>
      </c>
      <c r="S622" s="4">
        <f>IF(OR(INDEX($AH$2:$AH$1001,MATCH(ROWS($AG$2:AG622),$AG$2:$AG$1001,0),1)&gt;=100000,INDEX($AN$1005:$BO$1005,1,MATCH(COLUMNS($AN$1006:BE1006),$AN$1006:$BO$1006,0))&gt;=100000), " ",IF(INDEX($AN$2:$BO$1001,MATCH(ROWS($AG$2:AG622),$AG$2:$AG$1001,0),MATCH(COLUMNS($AN$1006:BE1006),$AN$1006:$BO$1006,0)), HYPERLINK("#",""), HYPERLINK(CONCATENATE("#Metadata!", ADDRESS(INDEX($AI$2:$AI$1001,MATCH(ROWS($AG$2:AG622),$AG$2:$AG$1001,0),0), INDEX($AN$1004:$BO$1004,1,MATCH(COLUMNS($AN$1006:BE1006),$AN$1006:$BO$1006,0)))),"Fix")))</f>
        <v>0</v>
      </c>
      <c r="T622" s="4">
        <f>IF(OR(INDEX($AH$2:$AH$1001,MATCH(ROWS($AG$2:AG622),$AG$2:$AG$1001,0),1)&gt;=100000,INDEX($AN$1005:$BO$1005,1,MATCH(COLUMNS($AN$1006:BF1006),$AN$1006:$BO$1006,0))&gt;=100000), " ",IF(INDEX($AN$2:$BO$1001,MATCH(ROWS($AG$2:AG622),$AG$2:$AG$1001,0),MATCH(COLUMNS($AN$1006:BF1006),$AN$1006:$BO$1006,0)), HYPERLINK("#",""), HYPERLINK(CONCATENATE("#Metadata!", ADDRESS(INDEX($AI$2:$AI$1001,MATCH(ROWS($AG$2:AG622),$AG$2:$AG$1001,0),0), INDEX($AN$1004:$BO$1004,1,MATCH(COLUMNS($AN$1006:BF1006),$AN$1006:$BO$1006,0)))),"Fix")))</f>
        <v>0</v>
      </c>
      <c r="U622" s="4">
        <f>IF(OR(INDEX($AH$2:$AH$1001,MATCH(ROWS($AG$2:AG622),$AG$2:$AG$1001,0),1)&gt;=100000,INDEX($AN$1005:$BO$1005,1,MATCH(COLUMNS($AN$1006:BG1006),$AN$1006:$BO$1006,0))&gt;=100000), " ",IF(INDEX($AN$2:$BO$1001,MATCH(ROWS($AG$2:AG622),$AG$2:$AG$1001,0),MATCH(COLUMNS($AN$1006:BG1006),$AN$1006:$BO$1006,0)), HYPERLINK("#",""), HYPERLINK(CONCATENATE("#Metadata!", ADDRESS(INDEX($AI$2:$AI$1001,MATCH(ROWS($AG$2:AG622),$AG$2:$AG$1001,0),0), INDEX($AN$1004:$BO$1004,1,MATCH(COLUMNS($AN$1006:BG1006),$AN$1006:$BO$1006,0)))),"Fix")))</f>
        <v>0</v>
      </c>
      <c r="V622" s="4">
        <f>IF(OR(INDEX($AH$2:$AH$1001,MATCH(ROWS($AG$2:AG622),$AG$2:$AG$1001,0),1)&gt;=100000,INDEX($AN$1005:$BO$1005,1,MATCH(COLUMNS($AN$1006:BH1006),$AN$1006:$BO$1006,0))&gt;=100000), " ",IF(INDEX($AN$2:$BO$1001,MATCH(ROWS($AG$2:AG622),$AG$2:$AG$1001,0),MATCH(COLUMNS($AN$1006:BH1006),$AN$1006:$BO$1006,0)), HYPERLINK("#",""), HYPERLINK(CONCATENATE("#Metadata!", ADDRESS(INDEX($AI$2:$AI$1001,MATCH(ROWS($AG$2:AG622),$AG$2:$AG$1001,0),0), INDEX($AN$1004:$BO$1004,1,MATCH(COLUMNS($AN$1006:BH1006),$AN$1006:$BO$1006,0)))),"Fix")))</f>
        <v>0</v>
      </c>
      <c r="W622" s="4">
        <f>IF(OR(INDEX($AH$2:$AH$1001,MATCH(ROWS($AG$2:AG622),$AG$2:$AG$1001,0),1)&gt;=100000,INDEX($AN$1005:$BO$1005,1,MATCH(COLUMNS($AN$1006:BI1006),$AN$1006:$BO$1006,0))&gt;=100000), " ",IF(INDEX($AN$2:$BO$1001,MATCH(ROWS($AG$2:AG622),$AG$2:$AG$1001,0),MATCH(COLUMNS($AN$1006:BI1006),$AN$1006:$BO$1006,0)), HYPERLINK("#",""), HYPERLINK(CONCATENATE("#Metadata!", ADDRESS(INDEX($AI$2:$AI$1001,MATCH(ROWS($AG$2:AG622),$AG$2:$AG$1001,0),0), INDEX($AN$1004:$BO$1004,1,MATCH(COLUMNS($AN$1006:BI1006),$AN$1006:$BO$1006,0)))),"Fix")))</f>
        <v>0</v>
      </c>
      <c r="X622" s="4">
        <f>IF(OR(INDEX($AH$2:$AH$1001,MATCH(ROWS($AG$2:AG622),$AG$2:$AG$1001,0),1)&gt;=100000,INDEX($AN$1005:$BO$1005,1,MATCH(COLUMNS($AN$1006:BJ1006),$AN$1006:$BO$1006,0))&gt;=100000), " ",IF(INDEX($AN$2:$BO$1001,MATCH(ROWS($AG$2:AG622),$AG$2:$AG$1001,0),MATCH(COLUMNS($AN$1006:BJ1006),$AN$1006:$BO$1006,0)), HYPERLINK("#",""), HYPERLINK(CONCATENATE("#Metadata!", ADDRESS(INDEX($AI$2:$AI$1001,MATCH(ROWS($AG$2:AG622),$AG$2:$AG$1001,0),0), INDEX($AN$1004:$BO$1004,1,MATCH(COLUMNS($AN$1006:BJ1006),$AN$1006:$BO$1006,0)))),"Fix")))</f>
        <v>0</v>
      </c>
      <c r="Y622" s="4">
        <f>IF(OR(INDEX($AH$2:$AH$1001,MATCH(ROWS($AG$2:AG622),$AG$2:$AG$1001,0),1)&gt;=100000,INDEX($AN$1005:$BO$1005,1,MATCH(COLUMNS($AN$1006:BK1006),$AN$1006:$BO$1006,0))&gt;=100000), " ",IF(INDEX($AN$2:$BO$1001,MATCH(ROWS($AG$2:AG622),$AG$2:$AG$1001,0),MATCH(COLUMNS($AN$1006:BK1006),$AN$1006:$BO$1006,0)), HYPERLINK("#",""), HYPERLINK(CONCATENATE("#Metadata!", ADDRESS(INDEX($AI$2:$AI$1001,MATCH(ROWS($AG$2:AG622),$AG$2:$AG$1001,0),0), INDEX($AN$1004:$BO$1004,1,MATCH(COLUMNS($AN$1006:BK1006),$AN$1006:$BO$1006,0)))),"Fix")))</f>
        <v>0</v>
      </c>
      <c r="Z622" s="4">
        <f>IF(OR(INDEX($AH$2:$AH$1001,MATCH(ROWS($AG$2:AG622),$AG$2:$AG$1001,0),1)&gt;=100000,INDEX($AN$1005:$BO$1005,1,MATCH(COLUMNS($AN$1006:BL1006),$AN$1006:$BO$1006,0))&gt;=100000), " ",IF(INDEX($AN$2:$BO$1001,MATCH(ROWS($AG$2:AG622),$AG$2:$AG$1001,0),MATCH(COLUMNS($AN$1006:BL1006),$AN$1006:$BO$1006,0)), HYPERLINK("#",""), HYPERLINK(CONCATENATE("#Metadata!", ADDRESS(INDEX($AI$2:$AI$1001,MATCH(ROWS($AG$2:AG622),$AG$2:$AG$1001,0),0), INDEX($AN$1004:$BO$1004,1,MATCH(COLUMNS($AN$1006:BL1006),$AN$1006:$BO$1006,0)))),"Fix")))</f>
        <v>0</v>
      </c>
      <c r="AA622" s="4">
        <f>IF(OR(INDEX($AH$2:$AH$1001,MATCH(ROWS($AG$2:AG622),$AG$2:$AG$1001,0),1)&gt;=100000,INDEX($AN$1005:$BO$1005,1,MATCH(COLUMNS($AN$1006:BM1006),$AN$1006:$BO$1006,0))&gt;=100000), " ",IF(INDEX($AN$2:$BO$1001,MATCH(ROWS($AG$2:AG622),$AG$2:$AG$1001,0),MATCH(COLUMNS($AN$1006:BM1006),$AN$1006:$BO$1006,0)), HYPERLINK("#",""), HYPERLINK(CONCATENATE("#Metadata!", ADDRESS(INDEX($AI$2:$AI$1001,MATCH(ROWS($AG$2:AG622),$AG$2:$AG$1001,0),0), INDEX($AN$1004:$BO$1004,1,MATCH(COLUMNS($AN$1006:BM1006),$AN$1006:$BO$1006,0)))),"Fix")))</f>
        <v>0</v>
      </c>
      <c r="AB622" s="4">
        <f>IF(OR(INDEX($AH$2:$AH$1001,MATCH(ROWS($AG$2:AG622),$AG$2:$AG$1001,0),1)&gt;=100000,INDEX($AN$1005:$BO$1005,1,MATCH(COLUMNS($AN$1006:BN1006),$AN$1006:$BO$1006,0))&gt;=100000), " ",IF(INDEX($AN$2:$BO$1001,MATCH(ROWS($AG$2:AG622),$AG$2:$AG$1001,0),MATCH(COLUMNS($AN$1006:BN1006),$AN$1006:$BO$1006,0)), HYPERLINK("#",""), HYPERLINK(CONCATENATE("#Metadata!", ADDRESS(INDEX($AI$2:$AI$1001,MATCH(ROWS($AG$2:AG622),$AG$2:$AG$1001,0),0), INDEX($AN$1004:$BO$1004,1,MATCH(COLUMNS($AN$1006:BN1006),$AN$1006:$BO$1006,0)))),"Fix")))</f>
        <v>0</v>
      </c>
      <c r="AC622" s="4">
        <f>IF(OR(INDEX($AH$2:$AH$1001,MATCH(ROWS($AG$2:AG622),$AG$2:$AG$1001,0),1)&gt;=100000,INDEX($AN$1005:$BO$1005,1,MATCH(COLUMNS($AN$1006:BO1006),$AN$1006:$BO$1006,0))&gt;=100000), " ",IF(INDEX($AN$2:$BO$1001,MATCH(ROWS($AG$2:AG622),$AG$2:$AG$1001,0),MATCH(COLUMNS($AN$1006:BO1006),$AN$1006:$BO$1006,0)), HYPERLINK("#",""), HYPERLINK(CONCATENATE("#Metadata!", ADDRESS(INDEX($AI$2:$AI$1001,MATCH(ROWS($AG$2:AG622),$AG$2:$AG$1001,0),0), INDEX($AN$1004:$BO$1004,1,MATCH(COLUMNS($AN$1006:BO1006),$AN$1006:$BO$1006,0)))),"Fix")))</f>
        <v>0</v>
      </c>
      <c r="AG622">
        <v>0</v>
      </c>
      <c r="AH622">
        <v>0</v>
      </c>
      <c r="AI622">
        <v>0</v>
      </c>
      <c r="AJ622">
        <f>IF(AK622,TRUE,AND(AN622:BO622))</f>
        <v>0</v>
      </c>
      <c r="AK622">
        <f>COUNTBLANK(Metadata!B622:AC622)=COLUMNS(Metadata!B622:AC622)</f>
        <v>0</v>
      </c>
      <c r="AL622">
        <v>0</v>
      </c>
      <c r="AN622">
        <f>AND(IF(Metadata!B622="",FALSE,TRUE),COUNTIF(Metadata!B:B, Metadata!B622) = 1,NOT(ISERROR(SUMPRODUCT(SEARCH(MID(Metadata!B622,ROW(INDIRECT("1:"&amp;LEN(Metadata!B622))), 1),"0123456789abcdefghijklmnopqrstuvwxyzABCDEFGHIJKLMNOPQRSTUVWXYZ.")))))</f>
        <v>0</v>
      </c>
      <c r="AO622">
        <f>IF(Metadata!C622="",FALSE,TRUE)</f>
        <v>0</v>
      </c>
      <c r="AP622">
        <f>IF(Metadata!D622="",FALSE,TRUE)</f>
        <v>0</v>
      </c>
      <c r="AQ622">
        <f>OR(AND(IF(Metadata!E622="",FALSE,TRUE),OR(exact(Metadata!E622,"not collected"),exact(Metadata!E622,"not provided"),exact(Metadata!E622,"restricted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R622">
        <f>IF(Metadata!F622="",FALSE,TRUE)</f>
        <v>0</v>
      </c>
      <c r="AS622">
        <f>OR(AND(IF(Metadata!G622="",FALSE,TRUE),OR(exact(Metadata!G622,"not collected"),exact(Metadata!G622,"not provided"))),AND(IF(Metadata!G622="",FALSE,TRUE),OR(exact(Metadata!G622,"TRUE"),exact(Metadata!G622,"FALSE"))))</f>
        <v>0</v>
      </c>
      <c r="AT622">
        <f>OR(AND(IF(Metadata!H622="",FALSE,TRUE),OR(exact(Metadata!H622,"not collected"),exact(Metadata!H622,"not provided"),exact(Metadata!H622,"restricted access"))),AND(IF(Metadata!H622="",FALSE,ISNUMBER(VALUE(Metadata!H622))),Metadata!H622&gt;=-413.0))</f>
        <v>0</v>
      </c>
      <c r="AU622">
        <f>AND(IF(Metadata!I622="",FALSE,TRUE),exact(Metadata!I622,"meters"))</f>
        <v>0</v>
      </c>
      <c r="AV622">
        <f>AND(IF(Metadata!J622="",FALSE,TRUE),OR(exact(Metadata!J622,"Host-associated"),exact(Metadata!J622,"Free-living")))</f>
        <v>0</v>
      </c>
      <c r="AW622">
        <f>AND(IF(Metadata!K622="",FALSE,TRUE),OR(exact(Metadata!K622,"Animal"),exact(Metadata!K622,"Fungus"),exact(Metadata!K622,"Plant"),exact(Metadata!K622,"Saline"),exact(Metadata!K622,"Non-saline")))</f>
        <v>0</v>
      </c>
      <c r="AX622">
        <f>AND(IF(Metadata!L622="",FALSE,TRUE),OR(exact(Metadata!L622,"Plant secretion"),exact(Metadata!L622,"Plant rhizosphere"),exact(Metadata!L622,"Plant surface"),exact(Metadata!L622,"Plant corpus"),exact(Metadata!L622,"Fungus surface"),exact(Metadata!L622,"Fungus corpus"),exact(Metadata!L622,"Animal surface"),exact(Metadata!L622,"Animal proximal gut"),exact(Metadata!L622,"Animal corpus"),exact(Metadata!L622,"Animal distal gut"),exact(Metadata!L622,"Animal secretion"),exact(Metadata!L622,"Sub-surface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Y622">
        <f>IF(Metadata!M622="",FALSE,TRUE)</f>
        <v>0</v>
      </c>
      <c r="AZ622">
        <f>IF(Metadata!N622="",FALSE,TRUE)</f>
        <v>0</v>
      </c>
      <c r="BA622">
        <f>IF(Metadata!O622="",FALSE,TRUE)</f>
        <v>0</v>
      </c>
      <c r="BB622">
        <f>OR(AND(IF(Metadata!P622="",FALSE,TRUE),OR(exact(Metadata!P622,"not collected"),exact(Metadata!P622,"not provided"),exact(Metadata!P622,"restricted access"))),AND(IF(Metadata!P622="",FALSE,TRUE),OR(exact(Metadata!P622,"air"),exact(Metadata!P622,"built environment"),exact(Metadata!P622,"host-associated"),exact(Metadata!P622,"human-associated"),exact(Metadata!P622,"human-skin"),exact(Metadata!P622,"human-oral"),exact(Metadata!P622,"human-gut"),exact(Metadata!P622,"human-vaginal"),exact(Metadata!P622,"microbial mat/biofilm"),exact(Metadata!P622,"misc environment"),exact(Metadata!P622,"plant-associated"),exact(Metadata!P622,"sediment"),exact(Metadata!P622,"soil"),exact(Metadata!P622,"wastewater/sludge"),exact(Metadata!P622,"water"))))</f>
        <v>0</v>
      </c>
      <c r="BC622">
        <f>IF(Metadata!Q622="",FALSE,TRUE)</f>
        <v>0</v>
      </c>
      <c r="BD622">
        <f>IF(Metadata!R622="",FALSE,TRUE)</f>
        <v>0</v>
      </c>
      <c r="BE622">
        <f>OR(AND(IF(Metadata!S622="",FALSE,TRUE),OR(exact(Metadata!S622,"not collected"),exact(Metadata!S622,"not provided"),exact(Metadata!S622,"restricted access"))),AND(IF(Metadata!S622="",FALSE,ISNUMBER(VALUE(Metadata!S622))),Metadata!S622&gt;=-90.00,Metadata!S622&lt;=90.00))</f>
        <v>0</v>
      </c>
      <c r="BF622">
        <f>AND(IF(Metadata!T622="",FALSE,TRUE),exact(Metadata!T622,"Decimal degrees"))</f>
        <v>0</v>
      </c>
      <c r="BG622">
        <f>OR(AND(IF(Metadata!U622="",FALSE,TRUE),OR(exact(Metadata!U622,"not collected"),exact(Metadata!U622,"not provided"),exact(Metadata!U622,"restricted access"))),AND(IF(Metadata!U622="",FALSE,ISNUMBER(VALUE(Metadata!U622))),Metadata!U622&gt;=-180.00,Metadata!U622&lt;=180.00))</f>
        <v>0</v>
      </c>
      <c r="BH622">
        <f>AND(IF(Metadata!V622="",FALSE,TRUE),exact(Metadata!V622,"Decimal degrees"))</f>
        <v>0</v>
      </c>
      <c r="BI622">
        <f>IF(Metadata!W622="",FALSE,TRUE)</f>
        <v>0</v>
      </c>
      <c r="BJ622">
        <f>OR(AND(IF(Metadata!X622="",FALSE,TRUE),OR(exact(Metadata!X622,"not collected"),exact(Metadata!X622,"not provided"),exact(Metadata!X622,"restricted access"))),AND(IF(Metadata!X622="",FALSE,TRUE),OR(exact(Metadata!X622,"TRUE"),exact(Metadata!X622,"FALSE"))))</f>
        <v>0</v>
      </c>
      <c r="BK622">
        <f>AND(IF(Metadata!Y622="",FALSE,TRUE),exact(Metadata!Y622,"other"))</f>
        <v>0</v>
      </c>
      <c r="BL622">
        <f>IF(Metadata!Z622="",FALSE,TRUE)</f>
        <v>0</v>
      </c>
      <c r="BM622">
        <f>OR(AND(IF(Metadata!AA622="",FALSE,TRUE),OR(exact(Metadata!AA622,"not collected"),exact(Metadata!AA622,"not provided"))),AND(IF(Metadata!AA622="",FALSE,IF(ISERROR(INT(Metadata!AA622)),FALSE,INT(Metadata!AA622)=Metadata!AA622)),Metadata!AA622&gt;0))</f>
        <v>0</v>
      </c>
      <c r="BN622">
        <f>AND(IF(Metadata!AB622="",FALSE,TRUE),exact(Metadata!AB622,"Not applicable"))</f>
        <v>0</v>
      </c>
      <c r="BO622">
        <f>IF(Metadata!AC622="",FALSE,TRUE)</f>
        <v>0</v>
      </c>
    </row>
    <row r="623" spans="1:67">
      <c r="A623" s="5">
        <f>IF(B623=" "," ",HYPERLINK(CONCATENATE("#metadata!",ADDRESS(INDEX($AI$2:$AI$1001,MATCH(ROWS($AG$2:AG623),$AG$2:$AG$1001,0),0),1)),INDEX($AL$2:$AL$1001,MATCH(ROWS($AG$2:AG623),$AG$2:$AG$1001,0),0)))</f>
        <v>0</v>
      </c>
      <c r="B623" s="4">
        <f>IF(OR(INDEX($AH$2:$AH$1001,MATCH(ROWS($AG$2:AG623),$AG$2:$AG$1001,0),1)&gt;=100000,INDEX($AN$1005:$BO$1005,1,MATCH(COLUMNS($AN$1006:AN1006),$AN$1006:$BO$1006,0))&gt;=100000), " ",IF(INDEX($AN$2:$BO$1001,MATCH(ROWS($AG$2:AG623),$AG$2:$AG$1001,0),MATCH(COLUMNS($AN$1006:AN1006),$AN$1006:$BO$1006,0)), HYPERLINK("#",""), HYPERLINK(CONCATENATE("#Metadata!", ADDRESS(INDEX($AI$2:$AI$1001,MATCH(ROWS($AG$2:AG623),$AG$2:$AG$1001,0),0), INDEX($AN$1004:$BO$1004,1,MATCH(COLUMNS($AN$1006:AN1006),$AN$1006:$BO$1006,0)))),"Fix")))</f>
        <v>0</v>
      </c>
      <c r="C623" s="4">
        <f>IF(OR(INDEX($AH$2:$AH$1001,MATCH(ROWS($AG$2:AG623),$AG$2:$AG$1001,0),1)&gt;=100000,INDEX($AN$1005:$BO$1005,1,MATCH(COLUMNS($AN$1006:AO1006),$AN$1006:$BO$1006,0))&gt;=100000), " ",IF(INDEX($AN$2:$BO$1001,MATCH(ROWS($AG$2:AG623),$AG$2:$AG$1001,0),MATCH(COLUMNS($AN$1006:AO1006),$AN$1006:$BO$1006,0)), HYPERLINK("#",""), HYPERLINK(CONCATENATE("#Metadata!", ADDRESS(INDEX($AI$2:$AI$1001,MATCH(ROWS($AG$2:AG623),$AG$2:$AG$1001,0),0), INDEX($AN$1004:$BO$1004,1,MATCH(COLUMNS($AN$1006:AO1006),$AN$1006:$BO$1006,0)))),"Fix")))</f>
        <v>0</v>
      </c>
      <c r="D623" s="4">
        <f>IF(OR(INDEX($AH$2:$AH$1001,MATCH(ROWS($AG$2:AG623),$AG$2:$AG$1001,0),1)&gt;=100000,INDEX($AN$1005:$BO$1005,1,MATCH(COLUMNS($AN$1006:AP1006),$AN$1006:$BO$1006,0))&gt;=100000), " ",IF(INDEX($AN$2:$BO$1001,MATCH(ROWS($AG$2:AG623),$AG$2:$AG$1001,0),MATCH(COLUMNS($AN$1006:AP1006),$AN$1006:$BO$1006,0)), HYPERLINK("#",""), HYPERLINK(CONCATENATE("#Metadata!", ADDRESS(INDEX($AI$2:$AI$1001,MATCH(ROWS($AG$2:AG623),$AG$2:$AG$1001,0),0), INDEX($AN$1004:$BO$1004,1,MATCH(COLUMNS($AN$1006:AP1006),$AN$1006:$BO$1006,0)))),"Fix")))</f>
        <v>0</v>
      </c>
      <c r="E623" s="4">
        <f>IF(OR(INDEX($AH$2:$AH$1001,MATCH(ROWS($AG$2:AG623),$AG$2:$AG$1001,0),1)&gt;=100000,INDEX($AN$1005:$BO$1005,1,MATCH(COLUMNS($AN$1006:AQ1006),$AN$1006:$BO$1006,0))&gt;=100000), " ",IF(INDEX($AN$2:$BO$1001,MATCH(ROWS($AG$2:AG623),$AG$2:$AG$1001,0),MATCH(COLUMNS($AN$1006:AQ1006),$AN$1006:$BO$1006,0)), HYPERLINK("#",""), HYPERLINK(CONCATENATE("#Metadata!", ADDRESS(INDEX($AI$2:$AI$1001,MATCH(ROWS($AG$2:AG623),$AG$2:$AG$1001,0),0), INDEX($AN$1004:$BO$1004,1,MATCH(COLUMNS($AN$1006:AQ1006),$AN$1006:$BO$1006,0)))),"Fix")))</f>
        <v>0</v>
      </c>
      <c r="F623" s="4">
        <f>IF(OR(INDEX($AH$2:$AH$1001,MATCH(ROWS($AG$2:AG623),$AG$2:$AG$1001,0),1)&gt;=100000,INDEX($AN$1005:$BO$1005,1,MATCH(COLUMNS($AN$1006:AR1006),$AN$1006:$BO$1006,0))&gt;=100000), " ",IF(INDEX($AN$2:$BO$1001,MATCH(ROWS($AG$2:AG623),$AG$2:$AG$1001,0),MATCH(COLUMNS($AN$1006:AR1006),$AN$1006:$BO$1006,0)), HYPERLINK("#",""), HYPERLINK(CONCATENATE("#Metadata!", ADDRESS(INDEX($AI$2:$AI$1001,MATCH(ROWS($AG$2:AG623),$AG$2:$AG$1001,0),0), INDEX($AN$1004:$BO$1004,1,MATCH(COLUMNS($AN$1006:AR1006),$AN$1006:$BO$1006,0)))),"Fix")))</f>
        <v>0</v>
      </c>
      <c r="G623" s="4">
        <f>IF(OR(INDEX($AH$2:$AH$1001,MATCH(ROWS($AG$2:AG623),$AG$2:$AG$1001,0),1)&gt;=100000,INDEX($AN$1005:$BO$1005,1,MATCH(COLUMNS($AN$1006:AS1006),$AN$1006:$BO$1006,0))&gt;=100000), " ",IF(INDEX($AN$2:$BO$1001,MATCH(ROWS($AG$2:AG623),$AG$2:$AG$1001,0),MATCH(COLUMNS($AN$1006:AS1006),$AN$1006:$BO$1006,0)), HYPERLINK("#",""), HYPERLINK(CONCATENATE("#Metadata!", ADDRESS(INDEX($AI$2:$AI$1001,MATCH(ROWS($AG$2:AG623),$AG$2:$AG$1001,0),0), INDEX($AN$1004:$BO$1004,1,MATCH(COLUMNS($AN$1006:AS1006),$AN$1006:$BO$1006,0)))),"Fix")))</f>
        <v>0</v>
      </c>
      <c r="H623" s="4">
        <f>IF(OR(INDEX($AH$2:$AH$1001,MATCH(ROWS($AG$2:AG623),$AG$2:$AG$1001,0),1)&gt;=100000,INDEX($AN$1005:$BO$1005,1,MATCH(COLUMNS($AN$1006:AT1006),$AN$1006:$BO$1006,0))&gt;=100000), " ",IF(INDEX($AN$2:$BO$1001,MATCH(ROWS($AG$2:AG623),$AG$2:$AG$1001,0),MATCH(COLUMNS($AN$1006:AT1006),$AN$1006:$BO$1006,0)), HYPERLINK("#",""), HYPERLINK(CONCATENATE("#Metadata!", ADDRESS(INDEX($AI$2:$AI$1001,MATCH(ROWS($AG$2:AG623),$AG$2:$AG$1001,0),0), INDEX($AN$1004:$BO$1004,1,MATCH(COLUMNS($AN$1006:AT1006),$AN$1006:$BO$1006,0)))),"Fix")))</f>
        <v>0</v>
      </c>
      <c r="I623" s="4">
        <f>IF(OR(INDEX($AH$2:$AH$1001,MATCH(ROWS($AG$2:AG623),$AG$2:$AG$1001,0),1)&gt;=100000,INDEX($AN$1005:$BO$1005,1,MATCH(COLUMNS($AN$1006:AU1006),$AN$1006:$BO$1006,0))&gt;=100000), " ",IF(INDEX($AN$2:$BO$1001,MATCH(ROWS($AG$2:AG623),$AG$2:$AG$1001,0),MATCH(COLUMNS($AN$1006:AU1006),$AN$1006:$BO$1006,0)), HYPERLINK("#",""), HYPERLINK(CONCATENATE("#Metadata!", ADDRESS(INDEX($AI$2:$AI$1001,MATCH(ROWS($AG$2:AG623),$AG$2:$AG$1001,0),0), INDEX($AN$1004:$BO$1004,1,MATCH(COLUMNS($AN$1006:AU1006),$AN$1006:$BO$1006,0)))),"Fix")))</f>
        <v>0</v>
      </c>
      <c r="J623" s="4">
        <f>IF(OR(INDEX($AH$2:$AH$1001,MATCH(ROWS($AG$2:AG623),$AG$2:$AG$1001,0),1)&gt;=100000,INDEX($AN$1005:$BO$1005,1,MATCH(COLUMNS($AN$1006:AV1006),$AN$1006:$BO$1006,0))&gt;=100000), " ",IF(INDEX($AN$2:$BO$1001,MATCH(ROWS($AG$2:AG623),$AG$2:$AG$1001,0),MATCH(COLUMNS($AN$1006:AV1006),$AN$1006:$BO$1006,0)), HYPERLINK("#",""), HYPERLINK(CONCATENATE("#Metadata!", ADDRESS(INDEX($AI$2:$AI$1001,MATCH(ROWS($AG$2:AG623),$AG$2:$AG$1001,0),0), INDEX($AN$1004:$BO$1004,1,MATCH(COLUMNS($AN$1006:AV1006),$AN$1006:$BO$1006,0)))),"Fix")))</f>
        <v>0</v>
      </c>
      <c r="K623" s="4">
        <f>IF(OR(INDEX($AH$2:$AH$1001,MATCH(ROWS($AG$2:AG623),$AG$2:$AG$1001,0),1)&gt;=100000,INDEX($AN$1005:$BO$1005,1,MATCH(COLUMNS($AN$1006:AW1006),$AN$1006:$BO$1006,0))&gt;=100000), " ",IF(INDEX($AN$2:$BO$1001,MATCH(ROWS($AG$2:AG623),$AG$2:$AG$1001,0),MATCH(COLUMNS($AN$1006:AW1006),$AN$1006:$BO$1006,0)), HYPERLINK("#",""), HYPERLINK(CONCATENATE("#Metadata!", ADDRESS(INDEX($AI$2:$AI$1001,MATCH(ROWS($AG$2:AG623),$AG$2:$AG$1001,0),0), INDEX($AN$1004:$BO$1004,1,MATCH(COLUMNS($AN$1006:AW1006),$AN$1006:$BO$1006,0)))),"Fix")))</f>
        <v>0</v>
      </c>
      <c r="L623" s="4">
        <f>IF(OR(INDEX($AH$2:$AH$1001,MATCH(ROWS($AG$2:AG623),$AG$2:$AG$1001,0),1)&gt;=100000,INDEX($AN$1005:$BO$1005,1,MATCH(COLUMNS($AN$1006:AX1006),$AN$1006:$BO$1006,0))&gt;=100000), " ",IF(INDEX($AN$2:$BO$1001,MATCH(ROWS($AG$2:AG623),$AG$2:$AG$1001,0),MATCH(COLUMNS($AN$1006:AX1006),$AN$1006:$BO$1006,0)), HYPERLINK("#",""), HYPERLINK(CONCATENATE("#Metadata!", ADDRESS(INDEX($AI$2:$AI$1001,MATCH(ROWS($AG$2:AG623),$AG$2:$AG$1001,0),0), INDEX($AN$1004:$BO$1004,1,MATCH(COLUMNS($AN$1006:AX1006),$AN$1006:$BO$1006,0)))),"Fix")))</f>
        <v>0</v>
      </c>
      <c r="M623" s="4">
        <f>IF(OR(INDEX($AH$2:$AH$1001,MATCH(ROWS($AG$2:AG623),$AG$2:$AG$1001,0),1)&gt;=100000,INDEX($AN$1005:$BO$1005,1,MATCH(COLUMNS($AN$1006:AY1006),$AN$1006:$BO$1006,0))&gt;=100000), " ",IF(INDEX($AN$2:$BO$1001,MATCH(ROWS($AG$2:AG623),$AG$2:$AG$1001,0),MATCH(COLUMNS($AN$1006:AY1006),$AN$1006:$BO$1006,0)), HYPERLINK("#",""), HYPERLINK(CONCATENATE("#Metadata!", ADDRESS(INDEX($AI$2:$AI$1001,MATCH(ROWS($AG$2:AG623),$AG$2:$AG$1001,0),0), INDEX($AN$1004:$BO$1004,1,MATCH(COLUMNS($AN$1006:AY1006),$AN$1006:$BO$1006,0)))),"Fix")))</f>
        <v>0</v>
      </c>
      <c r="N623" s="4">
        <f>IF(OR(INDEX($AH$2:$AH$1001,MATCH(ROWS($AG$2:AG623),$AG$2:$AG$1001,0),1)&gt;=100000,INDEX($AN$1005:$BO$1005,1,MATCH(COLUMNS($AN$1006:AZ1006),$AN$1006:$BO$1006,0))&gt;=100000), " ",IF(INDEX($AN$2:$BO$1001,MATCH(ROWS($AG$2:AG623),$AG$2:$AG$1001,0),MATCH(COLUMNS($AN$1006:AZ1006),$AN$1006:$BO$1006,0)), HYPERLINK("#",""), HYPERLINK(CONCATENATE("#Metadata!", ADDRESS(INDEX($AI$2:$AI$1001,MATCH(ROWS($AG$2:AG623),$AG$2:$AG$1001,0),0), INDEX($AN$1004:$BO$1004,1,MATCH(COLUMNS($AN$1006:AZ1006),$AN$1006:$BO$1006,0)))),"Fix")))</f>
        <v>0</v>
      </c>
      <c r="O623" s="4">
        <f>IF(OR(INDEX($AH$2:$AH$1001,MATCH(ROWS($AG$2:AG623),$AG$2:$AG$1001,0),1)&gt;=100000,INDEX($AN$1005:$BO$1005,1,MATCH(COLUMNS($AN$1006:BA1006),$AN$1006:$BO$1006,0))&gt;=100000), " ",IF(INDEX($AN$2:$BO$1001,MATCH(ROWS($AG$2:AG623),$AG$2:$AG$1001,0),MATCH(COLUMNS($AN$1006:BA1006),$AN$1006:$BO$1006,0)), HYPERLINK("#",""), HYPERLINK(CONCATENATE("#Metadata!", ADDRESS(INDEX($AI$2:$AI$1001,MATCH(ROWS($AG$2:AG623),$AG$2:$AG$1001,0),0), INDEX($AN$1004:$BO$1004,1,MATCH(COLUMNS($AN$1006:BA1006),$AN$1006:$BO$1006,0)))),"Fix")))</f>
        <v>0</v>
      </c>
      <c r="P623" s="4">
        <f>IF(OR(INDEX($AH$2:$AH$1001,MATCH(ROWS($AG$2:AG623),$AG$2:$AG$1001,0),1)&gt;=100000,INDEX($AN$1005:$BO$1005,1,MATCH(COLUMNS($AN$1006:BB1006),$AN$1006:$BO$1006,0))&gt;=100000), " ",IF(INDEX($AN$2:$BO$1001,MATCH(ROWS($AG$2:AG623),$AG$2:$AG$1001,0),MATCH(COLUMNS($AN$1006:BB1006),$AN$1006:$BO$1006,0)), HYPERLINK("#",""), HYPERLINK(CONCATENATE("#Metadata!", ADDRESS(INDEX($AI$2:$AI$1001,MATCH(ROWS($AG$2:AG623),$AG$2:$AG$1001,0),0), INDEX($AN$1004:$BO$1004,1,MATCH(COLUMNS($AN$1006:BB1006),$AN$1006:$BO$1006,0)))),"Fix")))</f>
        <v>0</v>
      </c>
      <c r="Q623" s="4">
        <f>IF(OR(INDEX($AH$2:$AH$1001,MATCH(ROWS($AG$2:AG623),$AG$2:$AG$1001,0),1)&gt;=100000,INDEX($AN$1005:$BO$1005,1,MATCH(COLUMNS($AN$1006:BC1006),$AN$1006:$BO$1006,0))&gt;=100000), " ",IF(INDEX($AN$2:$BO$1001,MATCH(ROWS($AG$2:AG623),$AG$2:$AG$1001,0),MATCH(COLUMNS($AN$1006:BC1006),$AN$1006:$BO$1006,0)), HYPERLINK("#",""), HYPERLINK(CONCATENATE("#Metadata!", ADDRESS(INDEX($AI$2:$AI$1001,MATCH(ROWS($AG$2:AG623),$AG$2:$AG$1001,0),0), INDEX($AN$1004:$BO$1004,1,MATCH(COLUMNS($AN$1006:BC1006),$AN$1006:$BO$1006,0)))),"Fix")))</f>
        <v>0</v>
      </c>
      <c r="R623" s="4">
        <f>IF(OR(INDEX($AH$2:$AH$1001,MATCH(ROWS($AG$2:AG623),$AG$2:$AG$1001,0),1)&gt;=100000,INDEX($AN$1005:$BO$1005,1,MATCH(COLUMNS($AN$1006:BD1006),$AN$1006:$BO$1006,0))&gt;=100000), " ",IF(INDEX($AN$2:$BO$1001,MATCH(ROWS($AG$2:AG623),$AG$2:$AG$1001,0),MATCH(COLUMNS($AN$1006:BD1006),$AN$1006:$BO$1006,0)), HYPERLINK("#",""), HYPERLINK(CONCATENATE("#Metadata!", ADDRESS(INDEX($AI$2:$AI$1001,MATCH(ROWS($AG$2:AG623),$AG$2:$AG$1001,0),0), INDEX($AN$1004:$BO$1004,1,MATCH(COLUMNS($AN$1006:BD1006),$AN$1006:$BO$1006,0)))),"Fix")))</f>
        <v>0</v>
      </c>
      <c r="S623" s="4">
        <f>IF(OR(INDEX($AH$2:$AH$1001,MATCH(ROWS($AG$2:AG623),$AG$2:$AG$1001,0),1)&gt;=100000,INDEX($AN$1005:$BO$1005,1,MATCH(COLUMNS($AN$1006:BE1006),$AN$1006:$BO$1006,0))&gt;=100000), " ",IF(INDEX($AN$2:$BO$1001,MATCH(ROWS($AG$2:AG623),$AG$2:$AG$1001,0),MATCH(COLUMNS($AN$1006:BE1006),$AN$1006:$BO$1006,0)), HYPERLINK("#",""), HYPERLINK(CONCATENATE("#Metadata!", ADDRESS(INDEX($AI$2:$AI$1001,MATCH(ROWS($AG$2:AG623),$AG$2:$AG$1001,0),0), INDEX($AN$1004:$BO$1004,1,MATCH(COLUMNS($AN$1006:BE1006),$AN$1006:$BO$1006,0)))),"Fix")))</f>
        <v>0</v>
      </c>
      <c r="T623" s="4">
        <f>IF(OR(INDEX($AH$2:$AH$1001,MATCH(ROWS($AG$2:AG623),$AG$2:$AG$1001,0),1)&gt;=100000,INDEX($AN$1005:$BO$1005,1,MATCH(COLUMNS($AN$1006:BF1006),$AN$1006:$BO$1006,0))&gt;=100000), " ",IF(INDEX($AN$2:$BO$1001,MATCH(ROWS($AG$2:AG623),$AG$2:$AG$1001,0),MATCH(COLUMNS($AN$1006:BF1006),$AN$1006:$BO$1006,0)), HYPERLINK("#",""), HYPERLINK(CONCATENATE("#Metadata!", ADDRESS(INDEX($AI$2:$AI$1001,MATCH(ROWS($AG$2:AG623),$AG$2:$AG$1001,0),0), INDEX($AN$1004:$BO$1004,1,MATCH(COLUMNS($AN$1006:BF1006),$AN$1006:$BO$1006,0)))),"Fix")))</f>
        <v>0</v>
      </c>
      <c r="U623" s="4">
        <f>IF(OR(INDEX($AH$2:$AH$1001,MATCH(ROWS($AG$2:AG623),$AG$2:$AG$1001,0),1)&gt;=100000,INDEX($AN$1005:$BO$1005,1,MATCH(COLUMNS($AN$1006:BG1006),$AN$1006:$BO$1006,0))&gt;=100000), " ",IF(INDEX($AN$2:$BO$1001,MATCH(ROWS($AG$2:AG623),$AG$2:$AG$1001,0),MATCH(COLUMNS($AN$1006:BG1006),$AN$1006:$BO$1006,0)), HYPERLINK("#",""), HYPERLINK(CONCATENATE("#Metadata!", ADDRESS(INDEX($AI$2:$AI$1001,MATCH(ROWS($AG$2:AG623),$AG$2:$AG$1001,0),0), INDEX($AN$1004:$BO$1004,1,MATCH(COLUMNS($AN$1006:BG1006),$AN$1006:$BO$1006,0)))),"Fix")))</f>
        <v>0</v>
      </c>
      <c r="V623" s="4">
        <f>IF(OR(INDEX($AH$2:$AH$1001,MATCH(ROWS($AG$2:AG623),$AG$2:$AG$1001,0),1)&gt;=100000,INDEX($AN$1005:$BO$1005,1,MATCH(COLUMNS($AN$1006:BH1006),$AN$1006:$BO$1006,0))&gt;=100000), " ",IF(INDEX($AN$2:$BO$1001,MATCH(ROWS($AG$2:AG623),$AG$2:$AG$1001,0),MATCH(COLUMNS($AN$1006:BH1006),$AN$1006:$BO$1006,0)), HYPERLINK("#",""), HYPERLINK(CONCATENATE("#Metadata!", ADDRESS(INDEX($AI$2:$AI$1001,MATCH(ROWS($AG$2:AG623),$AG$2:$AG$1001,0),0), INDEX($AN$1004:$BO$1004,1,MATCH(COLUMNS($AN$1006:BH1006),$AN$1006:$BO$1006,0)))),"Fix")))</f>
        <v>0</v>
      </c>
      <c r="W623" s="4">
        <f>IF(OR(INDEX($AH$2:$AH$1001,MATCH(ROWS($AG$2:AG623),$AG$2:$AG$1001,0),1)&gt;=100000,INDEX($AN$1005:$BO$1005,1,MATCH(COLUMNS($AN$1006:BI1006),$AN$1006:$BO$1006,0))&gt;=100000), " ",IF(INDEX($AN$2:$BO$1001,MATCH(ROWS($AG$2:AG623),$AG$2:$AG$1001,0),MATCH(COLUMNS($AN$1006:BI1006),$AN$1006:$BO$1006,0)), HYPERLINK("#",""), HYPERLINK(CONCATENATE("#Metadata!", ADDRESS(INDEX($AI$2:$AI$1001,MATCH(ROWS($AG$2:AG623),$AG$2:$AG$1001,0),0), INDEX($AN$1004:$BO$1004,1,MATCH(COLUMNS($AN$1006:BI1006),$AN$1006:$BO$1006,0)))),"Fix")))</f>
        <v>0</v>
      </c>
      <c r="X623" s="4">
        <f>IF(OR(INDEX($AH$2:$AH$1001,MATCH(ROWS($AG$2:AG623),$AG$2:$AG$1001,0),1)&gt;=100000,INDEX($AN$1005:$BO$1005,1,MATCH(COLUMNS($AN$1006:BJ1006),$AN$1006:$BO$1006,0))&gt;=100000), " ",IF(INDEX($AN$2:$BO$1001,MATCH(ROWS($AG$2:AG623),$AG$2:$AG$1001,0),MATCH(COLUMNS($AN$1006:BJ1006),$AN$1006:$BO$1006,0)), HYPERLINK("#",""), HYPERLINK(CONCATENATE("#Metadata!", ADDRESS(INDEX($AI$2:$AI$1001,MATCH(ROWS($AG$2:AG623),$AG$2:$AG$1001,0),0), INDEX($AN$1004:$BO$1004,1,MATCH(COLUMNS($AN$1006:BJ1006),$AN$1006:$BO$1006,0)))),"Fix")))</f>
        <v>0</v>
      </c>
      <c r="Y623" s="4">
        <f>IF(OR(INDEX($AH$2:$AH$1001,MATCH(ROWS($AG$2:AG623),$AG$2:$AG$1001,0),1)&gt;=100000,INDEX($AN$1005:$BO$1005,1,MATCH(COLUMNS($AN$1006:BK1006),$AN$1006:$BO$1006,0))&gt;=100000), " ",IF(INDEX($AN$2:$BO$1001,MATCH(ROWS($AG$2:AG623),$AG$2:$AG$1001,0),MATCH(COLUMNS($AN$1006:BK1006),$AN$1006:$BO$1006,0)), HYPERLINK("#",""), HYPERLINK(CONCATENATE("#Metadata!", ADDRESS(INDEX($AI$2:$AI$1001,MATCH(ROWS($AG$2:AG623),$AG$2:$AG$1001,0),0), INDEX($AN$1004:$BO$1004,1,MATCH(COLUMNS($AN$1006:BK1006),$AN$1006:$BO$1006,0)))),"Fix")))</f>
        <v>0</v>
      </c>
      <c r="Z623" s="4">
        <f>IF(OR(INDEX($AH$2:$AH$1001,MATCH(ROWS($AG$2:AG623),$AG$2:$AG$1001,0),1)&gt;=100000,INDEX($AN$1005:$BO$1005,1,MATCH(COLUMNS($AN$1006:BL1006),$AN$1006:$BO$1006,0))&gt;=100000), " ",IF(INDEX($AN$2:$BO$1001,MATCH(ROWS($AG$2:AG623),$AG$2:$AG$1001,0),MATCH(COLUMNS($AN$1006:BL1006),$AN$1006:$BO$1006,0)), HYPERLINK("#",""), HYPERLINK(CONCATENATE("#Metadata!", ADDRESS(INDEX($AI$2:$AI$1001,MATCH(ROWS($AG$2:AG623),$AG$2:$AG$1001,0),0), INDEX($AN$1004:$BO$1004,1,MATCH(COLUMNS($AN$1006:BL1006),$AN$1006:$BO$1006,0)))),"Fix")))</f>
        <v>0</v>
      </c>
      <c r="AA623" s="4">
        <f>IF(OR(INDEX($AH$2:$AH$1001,MATCH(ROWS($AG$2:AG623),$AG$2:$AG$1001,0),1)&gt;=100000,INDEX($AN$1005:$BO$1005,1,MATCH(COLUMNS($AN$1006:BM1006),$AN$1006:$BO$1006,0))&gt;=100000), " ",IF(INDEX($AN$2:$BO$1001,MATCH(ROWS($AG$2:AG623),$AG$2:$AG$1001,0),MATCH(COLUMNS($AN$1006:BM1006),$AN$1006:$BO$1006,0)), HYPERLINK("#",""), HYPERLINK(CONCATENATE("#Metadata!", ADDRESS(INDEX($AI$2:$AI$1001,MATCH(ROWS($AG$2:AG623),$AG$2:$AG$1001,0),0), INDEX($AN$1004:$BO$1004,1,MATCH(COLUMNS($AN$1006:BM1006),$AN$1006:$BO$1006,0)))),"Fix")))</f>
        <v>0</v>
      </c>
      <c r="AB623" s="4">
        <f>IF(OR(INDEX($AH$2:$AH$1001,MATCH(ROWS($AG$2:AG623),$AG$2:$AG$1001,0),1)&gt;=100000,INDEX($AN$1005:$BO$1005,1,MATCH(COLUMNS($AN$1006:BN1006),$AN$1006:$BO$1006,0))&gt;=100000), " ",IF(INDEX($AN$2:$BO$1001,MATCH(ROWS($AG$2:AG623),$AG$2:$AG$1001,0),MATCH(COLUMNS($AN$1006:BN1006),$AN$1006:$BO$1006,0)), HYPERLINK("#",""), HYPERLINK(CONCATENATE("#Metadata!", ADDRESS(INDEX($AI$2:$AI$1001,MATCH(ROWS($AG$2:AG623),$AG$2:$AG$1001,0),0), INDEX($AN$1004:$BO$1004,1,MATCH(COLUMNS($AN$1006:BN1006),$AN$1006:$BO$1006,0)))),"Fix")))</f>
        <v>0</v>
      </c>
      <c r="AC623" s="4">
        <f>IF(OR(INDEX($AH$2:$AH$1001,MATCH(ROWS($AG$2:AG623),$AG$2:$AG$1001,0),1)&gt;=100000,INDEX($AN$1005:$BO$1005,1,MATCH(COLUMNS($AN$1006:BO1006),$AN$1006:$BO$1006,0))&gt;=100000), " ",IF(INDEX($AN$2:$BO$1001,MATCH(ROWS($AG$2:AG623),$AG$2:$AG$1001,0),MATCH(COLUMNS($AN$1006:BO1006),$AN$1006:$BO$1006,0)), HYPERLINK("#",""), HYPERLINK(CONCATENATE("#Metadata!", ADDRESS(INDEX($AI$2:$AI$1001,MATCH(ROWS($AG$2:AG623),$AG$2:$AG$1001,0),0), INDEX($AN$1004:$BO$1004,1,MATCH(COLUMNS($AN$1006:BO1006),$AN$1006:$BO$1006,0)))),"Fix")))</f>
        <v>0</v>
      </c>
      <c r="AG623">
        <v>0</v>
      </c>
      <c r="AH623">
        <v>0</v>
      </c>
      <c r="AI623">
        <v>0</v>
      </c>
      <c r="AJ623">
        <f>IF(AK623,TRUE,AND(AN623:BO623))</f>
        <v>0</v>
      </c>
      <c r="AK623">
        <f>COUNTBLANK(Metadata!B623:AC623)=COLUMNS(Metadata!B623:AC623)</f>
        <v>0</v>
      </c>
      <c r="AL623">
        <v>0</v>
      </c>
      <c r="AN623">
        <f>AND(IF(Metadata!B623="",FALSE,TRUE),COUNTIF(Metadata!B:B, Metadata!B623) = 1,NOT(ISERROR(SUMPRODUCT(SEARCH(MID(Metadata!B623,ROW(INDIRECT("1:"&amp;LEN(Metadata!B623))), 1),"0123456789abcdefghijklmnopqrstuvwxyzABCDEFGHIJKLMNOPQRSTUVWXYZ.")))))</f>
        <v>0</v>
      </c>
      <c r="AO623">
        <f>IF(Metadata!C623="",FALSE,TRUE)</f>
        <v>0</v>
      </c>
      <c r="AP623">
        <f>IF(Metadata!D623="",FALSE,TRUE)</f>
        <v>0</v>
      </c>
      <c r="AQ623">
        <f>OR(AND(IF(Metadata!E623="",FALSE,TRUE),OR(exact(Metadata!E623,"not collected"),exact(Metadata!E623,"not provided"),exact(Metadata!E623,"restricted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R623">
        <f>IF(Metadata!F623="",FALSE,TRUE)</f>
        <v>0</v>
      </c>
      <c r="AS623">
        <f>OR(AND(IF(Metadata!G623="",FALSE,TRUE),OR(exact(Metadata!G623,"not collected"),exact(Metadata!G623,"not provided"))),AND(IF(Metadata!G623="",FALSE,TRUE),OR(exact(Metadata!G623,"TRUE"),exact(Metadata!G623,"FALSE"))))</f>
        <v>0</v>
      </c>
      <c r="AT623">
        <f>OR(AND(IF(Metadata!H623="",FALSE,TRUE),OR(exact(Metadata!H623,"not collected"),exact(Metadata!H623,"not provided"),exact(Metadata!H623,"restricted access"))),AND(IF(Metadata!H623="",FALSE,ISNUMBER(VALUE(Metadata!H623))),Metadata!H623&gt;=-413.0))</f>
        <v>0</v>
      </c>
      <c r="AU623">
        <f>AND(IF(Metadata!I623="",FALSE,TRUE),exact(Metadata!I623,"meters"))</f>
        <v>0</v>
      </c>
      <c r="AV623">
        <f>AND(IF(Metadata!J623="",FALSE,TRUE),OR(exact(Metadata!J623,"Host-associated"),exact(Metadata!J623,"Free-living")))</f>
        <v>0</v>
      </c>
      <c r="AW623">
        <f>AND(IF(Metadata!K623="",FALSE,TRUE),OR(exact(Metadata!K623,"Animal"),exact(Metadata!K623,"Fungus"),exact(Metadata!K623,"Plant"),exact(Metadata!K623,"Saline"),exact(Metadata!K623,"Non-saline")))</f>
        <v>0</v>
      </c>
      <c r="AX623">
        <f>AND(IF(Metadata!L623="",FALSE,TRUE),OR(exact(Metadata!L623,"Plant secretion"),exact(Metadata!L623,"Plant rhizosphere"),exact(Metadata!L623,"Plant surface"),exact(Metadata!L623,"Plant corpus"),exact(Metadata!L623,"Fungus surface"),exact(Metadata!L623,"Fungus corpus"),exact(Metadata!L623,"Animal surface"),exact(Metadata!L623,"Animal proximal gut"),exact(Metadata!L623,"Animal corpus"),exact(Metadata!L623,"Animal distal gut"),exact(Metadata!L623,"Animal secretion"),exact(Metadata!L623,"Sub-surface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Y623">
        <f>IF(Metadata!M623="",FALSE,TRUE)</f>
        <v>0</v>
      </c>
      <c r="AZ623">
        <f>IF(Metadata!N623="",FALSE,TRUE)</f>
        <v>0</v>
      </c>
      <c r="BA623">
        <f>IF(Metadata!O623="",FALSE,TRUE)</f>
        <v>0</v>
      </c>
      <c r="BB623">
        <f>OR(AND(IF(Metadata!P623="",FALSE,TRUE),OR(exact(Metadata!P623,"not collected"),exact(Metadata!P623,"not provided"),exact(Metadata!P623,"restricted access"))),AND(IF(Metadata!P623="",FALSE,TRUE),OR(exact(Metadata!P623,"air"),exact(Metadata!P623,"built environment"),exact(Metadata!P623,"host-associated"),exact(Metadata!P623,"human-associated"),exact(Metadata!P623,"human-skin"),exact(Metadata!P623,"human-oral"),exact(Metadata!P623,"human-gut"),exact(Metadata!P623,"human-vaginal"),exact(Metadata!P623,"microbial mat/biofilm"),exact(Metadata!P623,"misc environment"),exact(Metadata!P623,"plant-associated"),exact(Metadata!P623,"sediment"),exact(Metadata!P623,"soil"),exact(Metadata!P623,"wastewater/sludge"),exact(Metadata!P623,"water"))))</f>
        <v>0</v>
      </c>
      <c r="BC623">
        <f>IF(Metadata!Q623="",FALSE,TRUE)</f>
        <v>0</v>
      </c>
      <c r="BD623">
        <f>IF(Metadata!R623="",FALSE,TRUE)</f>
        <v>0</v>
      </c>
      <c r="BE623">
        <f>OR(AND(IF(Metadata!S623="",FALSE,TRUE),OR(exact(Metadata!S623,"not collected"),exact(Metadata!S623,"not provided"),exact(Metadata!S623,"restricted access"))),AND(IF(Metadata!S623="",FALSE,ISNUMBER(VALUE(Metadata!S623))),Metadata!S623&gt;=-90.00,Metadata!S623&lt;=90.00))</f>
        <v>0</v>
      </c>
      <c r="BF623">
        <f>AND(IF(Metadata!T623="",FALSE,TRUE),exact(Metadata!T623,"Decimal degrees"))</f>
        <v>0</v>
      </c>
      <c r="BG623">
        <f>OR(AND(IF(Metadata!U623="",FALSE,TRUE),OR(exact(Metadata!U623,"not collected"),exact(Metadata!U623,"not provided"),exact(Metadata!U623,"restricted access"))),AND(IF(Metadata!U623="",FALSE,ISNUMBER(VALUE(Metadata!U623))),Metadata!U623&gt;=-180.00,Metadata!U623&lt;=180.00))</f>
        <v>0</v>
      </c>
      <c r="BH623">
        <f>AND(IF(Metadata!V623="",FALSE,TRUE),exact(Metadata!V623,"Decimal degrees"))</f>
        <v>0</v>
      </c>
      <c r="BI623">
        <f>IF(Metadata!W623="",FALSE,TRUE)</f>
        <v>0</v>
      </c>
      <c r="BJ623">
        <f>OR(AND(IF(Metadata!X623="",FALSE,TRUE),OR(exact(Metadata!X623,"not collected"),exact(Metadata!X623,"not provided"),exact(Metadata!X623,"restricted access"))),AND(IF(Metadata!X623="",FALSE,TRUE),OR(exact(Metadata!X623,"TRUE"),exact(Metadata!X623,"FALSE"))))</f>
        <v>0</v>
      </c>
      <c r="BK623">
        <f>AND(IF(Metadata!Y623="",FALSE,TRUE),exact(Metadata!Y623,"other"))</f>
        <v>0</v>
      </c>
      <c r="BL623">
        <f>IF(Metadata!Z623="",FALSE,TRUE)</f>
        <v>0</v>
      </c>
      <c r="BM623">
        <f>OR(AND(IF(Metadata!AA623="",FALSE,TRUE),OR(exact(Metadata!AA623,"not collected"),exact(Metadata!AA623,"not provided"))),AND(IF(Metadata!AA623="",FALSE,IF(ISERROR(INT(Metadata!AA623)),FALSE,INT(Metadata!AA623)=Metadata!AA623)),Metadata!AA623&gt;0))</f>
        <v>0</v>
      </c>
      <c r="BN623">
        <f>AND(IF(Metadata!AB623="",FALSE,TRUE),exact(Metadata!AB623,"Not applicable"))</f>
        <v>0</v>
      </c>
      <c r="BO623">
        <f>IF(Metadata!AC623="",FALSE,TRUE)</f>
        <v>0</v>
      </c>
    </row>
    <row r="624" spans="1:67">
      <c r="A624" s="5">
        <f>IF(B624=" "," ",HYPERLINK(CONCATENATE("#metadata!",ADDRESS(INDEX($AI$2:$AI$1001,MATCH(ROWS($AG$2:AG624),$AG$2:$AG$1001,0),0),1)),INDEX($AL$2:$AL$1001,MATCH(ROWS($AG$2:AG624),$AG$2:$AG$1001,0),0)))</f>
        <v>0</v>
      </c>
      <c r="B624" s="4">
        <f>IF(OR(INDEX($AH$2:$AH$1001,MATCH(ROWS($AG$2:AG624),$AG$2:$AG$1001,0),1)&gt;=100000,INDEX($AN$1005:$BO$1005,1,MATCH(COLUMNS($AN$1006:AN1006),$AN$1006:$BO$1006,0))&gt;=100000), " ",IF(INDEX($AN$2:$BO$1001,MATCH(ROWS($AG$2:AG624),$AG$2:$AG$1001,0),MATCH(COLUMNS($AN$1006:AN1006),$AN$1006:$BO$1006,0)), HYPERLINK("#",""), HYPERLINK(CONCATENATE("#Metadata!", ADDRESS(INDEX($AI$2:$AI$1001,MATCH(ROWS($AG$2:AG624),$AG$2:$AG$1001,0),0), INDEX($AN$1004:$BO$1004,1,MATCH(COLUMNS($AN$1006:AN1006),$AN$1006:$BO$1006,0)))),"Fix")))</f>
        <v>0</v>
      </c>
      <c r="C624" s="4">
        <f>IF(OR(INDEX($AH$2:$AH$1001,MATCH(ROWS($AG$2:AG624),$AG$2:$AG$1001,0),1)&gt;=100000,INDEX($AN$1005:$BO$1005,1,MATCH(COLUMNS($AN$1006:AO1006),$AN$1006:$BO$1006,0))&gt;=100000), " ",IF(INDEX($AN$2:$BO$1001,MATCH(ROWS($AG$2:AG624),$AG$2:$AG$1001,0),MATCH(COLUMNS($AN$1006:AO1006),$AN$1006:$BO$1006,0)), HYPERLINK("#",""), HYPERLINK(CONCATENATE("#Metadata!", ADDRESS(INDEX($AI$2:$AI$1001,MATCH(ROWS($AG$2:AG624),$AG$2:$AG$1001,0),0), INDEX($AN$1004:$BO$1004,1,MATCH(COLUMNS($AN$1006:AO1006),$AN$1006:$BO$1006,0)))),"Fix")))</f>
        <v>0</v>
      </c>
      <c r="D624" s="4">
        <f>IF(OR(INDEX($AH$2:$AH$1001,MATCH(ROWS($AG$2:AG624),$AG$2:$AG$1001,0),1)&gt;=100000,INDEX($AN$1005:$BO$1005,1,MATCH(COLUMNS($AN$1006:AP1006),$AN$1006:$BO$1006,0))&gt;=100000), " ",IF(INDEX($AN$2:$BO$1001,MATCH(ROWS($AG$2:AG624),$AG$2:$AG$1001,0),MATCH(COLUMNS($AN$1006:AP1006),$AN$1006:$BO$1006,0)), HYPERLINK("#",""), HYPERLINK(CONCATENATE("#Metadata!", ADDRESS(INDEX($AI$2:$AI$1001,MATCH(ROWS($AG$2:AG624),$AG$2:$AG$1001,0),0), INDEX($AN$1004:$BO$1004,1,MATCH(COLUMNS($AN$1006:AP1006),$AN$1006:$BO$1006,0)))),"Fix")))</f>
        <v>0</v>
      </c>
      <c r="E624" s="4">
        <f>IF(OR(INDEX($AH$2:$AH$1001,MATCH(ROWS($AG$2:AG624),$AG$2:$AG$1001,0),1)&gt;=100000,INDEX($AN$1005:$BO$1005,1,MATCH(COLUMNS($AN$1006:AQ1006),$AN$1006:$BO$1006,0))&gt;=100000), " ",IF(INDEX($AN$2:$BO$1001,MATCH(ROWS($AG$2:AG624),$AG$2:$AG$1001,0),MATCH(COLUMNS($AN$1006:AQ1006),$AN$1006:$BO$1006,0)), HYPERLINK("#",""), HYPERLINK(CONCATENATE("#Metadata!", ADDRESS(INDEX($AI$2:$AI$1001,MATCH(ROWS($AG$2:AG624),$AG$2:$AG$1001,0),0), INDEX($AN$1004:$BO$1004,1,MATCH(COLUMNS($AN$1006:AQ1006),$AN$1006:$BO$1006,0)))),"Fix")))</f>
        <v>0</v>
      </c>
      <c r="F624" s="4">
        <f>IF(OR(INDEX($AH$2:$AH$1001,MATCH(ROWS($AG$2:AG624),$AG$2:$AG$1001,0),1)&gt;=100000,INDEX($AN$1005:$BO$1005,1,MATCH(COLUMNS($AN$1006:AR1006),$AN$1006:$BO$1006,0))&gt;=100000), " ",IF(INDEX($AN$2:$BO$1001,MATCH(ROWS($AG$2:AG624),$AG$2:$AG$1001,0),MATCH(COLUMNS($AN$1006:AR1006),$AN$1006:$BO$1006,0)), HYPERLINK("#",""), HYPERLINK(CONCATENATE("#Metadata!", ADDRESS(INDEX($AI$2:$AI$1001,MATCH(ROWS($AG$2:AG624),$AG$2:$AG$1001,0),0), INDEX($AN$1004:$BO$1004,1,MATCH(COLUMNS($AN$1006:AR1006),$AN$1006:$BO$1006,0)))),"Fix")))</f>
        <v>0</v>
      </c>
      <c r="G624" s="4">
        <f>IF(OR(INDEX($AH$2:$AH$1001,MATCH(ROWS($AG$2:AG624),$AG$2:$AG$1001,0),1)&gt;=100000,INDEX($AN$1005:$BO$1005,1,MATCH(COLUMNS($AN$1006:AS1006),$AN$1006:$BO$1006,0))&gt;=100000), " ",IF(INDEX($AN$2:$BO$1001,MATCH(ROWS($AG$2:AG624),$AG$2:$AG$1001,0),MATCH(COLUMNS($AN$1006:AS1006),$AN$1006:$BO$1006,0)), HYPERLINK("#",""), HYPERLINK(CONCATENATE("#Metadata!", ADDRESS(INDEX($AI$2:$AI$1001,MATCH(ROWS($AG$2:AG624),$AG$2:$AG$1001,0),0), INDEX($AN$1004:$BO$1004,1,MATCH(COLUMNS($AN$1006:AS1006),$AN$1006:$BO$1006,0)))),"Fix")))</f>
        <v>0</v>
      </c>
      <c r="H624" s="4">
        <f>IF(OR(INDEX($AH$2:$AH$1001,MATCH(ROWS($AG$2:AG624),$AG$2:$AG$1001,0),1)&gt;=100000,INDEX($AN$1005:$BO$1005,1,MATCH(COLUMNS($AN$1006:AT1006),$AN$1006:$BO$1006,0))&gt;=100000), " ",IF(INDEX($AN$2:$BO$1001,MATCH(ROWS($AG$2:AG624),$AG$2:$AG$1001,0),MATCH(COLUMNS($AN$1006:AT1006),$AN$1006:$BO$1006,0)), HYPERLINK("#",""), HYPERLINK(CONCATENATE("#Metadata!", ADDRESS(INDEX($AI$2:$AI$1001,MATCH(ROWS($AG$2:AG624),$AG$2:$AG$1001,0),0), INDEX($AN$1004:$BO$1004,1,MATCH(COLUMNS($AN$1006:AT1006),$AN$1006:$BO$1006,0)))),"Fix")))</f>
        <v>0</v>
      </c>
      <c r="I624" s="4">
        <f>IF(OR(INDEX($AH$2:$AH$1001,MATCH(ROWS($AG$2:AG624),$AG$2:$AG$1001,0),1)&gt;=100000,INDEX($AN$1005:$BO$1005,1,MATCH(COLUMNS($AN$1006:AU1006),$AN$1006:$BO$1006,0))&gt;=100000), " ",IF(INDEX($AN$2:$BO$1001,MATCH(ROWS($AG$2:AG624),$AG$2:$AG$1001,0),MATCH(COLUMNS($AN$1006:AU1006),$AN$1006:$BO$1006,0)), HYPERLINK("#",""), HYPERLINK(CONCATENATE("#Metadata!", ADDRESS(INDEX($AI$2:$AI$1001,MATCH(ROWS($AG$2:AG624),$AG$2:$AG$1001,0),0), INDEX($AN$1004:$BO$1004,1,MATCH(COLUMNS($AN$1006:AU1006),$AN$1006:$BO$1006,0)))),"Fix")))</f>
        <v>0</v>
      </c>
      <c r="J624" s="4">
        <f>IF(OR(INDEX($AH$2:$AH$1001,MATCH(ROWS($AG$2:AG624),$AG$2:$AG$1001,0),1)&gt;=100000,INDEX($AN$1005:$BO$1005,1,MATCH(COLUMNS($AN$1006:AV1006),$AN$1006:$BO$1006,0))&gt;=100000), " ",IF(INDEX($AN$2:$BO$1001,MATCH(ROWS($AG$2:AG624),$AG$2:$AG$1001,0),MATCH(COLUMNS($AN$1006:AV1006),$AN$1006:$BO$1006,0)), HYPERLINK("#",""), HYPERLINK(CONCATENATE("#Metadata!", ADDRESS(INDEX($AI$2:$AI$1001,MATCH(ROWS($AG$2:AG624),$AG$2:$AG$1001,0),0), INDEX($AN$1004:$BO$1004,1,MATCH(COLUMNS($AN$1006:AV1006),$AN$1006:$BO$1006,0)))),"Fix")))</f>
        <v>0</v>
      </c>
      <c r="K624" s="4">
        <f>IF(OR(INDEX($AH$2:$AH$1001,MATCH(ROWS($AG$2:AG624),$AG$2:$AG$1001,0),1)&gt;=100000,INDEX($AN$1005:$BO$1005,1,MATCH(COLUMNS($AN$1006:AW1006),$AN$1006:$BO$1006,0))&gt;=100000), " ",IF(INDEX($AN$2:$BO$1001,MATCH(ROWS($AG$2:AG624),$AG$2:$AG$1001,0),MATCH(COLUMNS($AN$1006:AW1006),$AN$1006:$BO$1006,0)), HYPERLINK("#",""), HYPERLINK(CONCATENATE("#Metadata!", ADDRESS(INDEX($AI$2:$AI$1001,MATCH(ROWS($AG$2:AG624),$AG$2:$AG$1001,0),0), INDEX($AN$1004:$BO$1004,1,MATCH(COLUMNS($AN$1006:AW1006),$AN$1006:$BO$1006,0)))),"Fix")))</f>
        <v>0</v>
      </c>
      <c r="L624" s="4">
        <f>IF(OR(INDEX($AH$2:$AH$1001,MATCH(ROWS($AG$2:AG624),$AG$2:$AG$1001,0),1)&gt;=100000,INDEX($AN$1005:$BO$1005,1,MATCH(COLUMNS($AN$1006:AX1006),$AN$1006:$BO$1006,0))&gt;=100000), " ",IF(INDEX($AN$2:$BO$1001,MATCH(ROWS($AG$2:AG624),$AG$2:$AG$1001,0),MATCH(COLUMNS($AN$1006:AX1006),$AN$1006:$BO$1006,0)), HYPERLINK("#",""), HYPERLINK(CONCATENATE("#Metadata!", ADDRESS(INDEX($AI$2:$AI$1001,MATCH(ROWS($AG$2:AG624),$AG$2:$AG$1001,0),0), INDEX($AN$1004:$BO$1004,1,MATCH(COLUMNS($AN$1006:AX1006),$AN$1006:$BO$1006,0)))),"Fix")))</f>
        <v>0</v>
      </c>
      <c r="M624" s="4">
        <f>IF(OR(INDEX($AH$2:$AH$1001,MATCH(ROWS($AG$2:AG624),$AG$2:$AG$1001,0),1)&gt;=100000,INDEX($AN$1005:$BO$1005,1,MATCH(COLUMNS($AN$1006:AY1006),$AN$1006:$BO$1006,0))&gt;=100000), " ",IF(INDEX($AN$2:$BO$1001,MATCH(ROWS($AG$2:AG624),$AG$2:$AG$1001,0),MATCH(COLUMNS($AN$1006:AY1006),$AN$1006:$BO$1006,0)), HYPERLINK("#",""), HYPERLINK(CONCATENATE("#Metadata!", ADDRESS(INDEX($AI$2:$AI$1001,MATCH(ROWS($AG$2:AG624),$AG$2:$AG$1001,0),0), INDEX($AN$1004:$BO$1004,1,MATCH(COLUMNS($AN$1006:AY1006),$AN$1006:$BO$1006,0)))),"Fix")))</f>
        <v>0</v>
      </c>
      <c r="N624" s="4">
        <f>IF(OR(INDEX($AH$2:$AH$1001,MATCH(ROWS($AG$2:AG624),$AG$2:$AG$1001,0),1)&gt;=100000,INDEX($AN$1005:$BO$1005,1,MATCH(COLUMNS($AN$1006:AZ1006),$AN$1006:$BO$1006,0))&gt;=100000), " ",IF(INDEX($AN$2:$BO$1001,MATCH(ROWS($AG$2:AG624),$AG$2:$AG$1001,0),MATCH(COLUMNS($AN$1006:AZ1006),$AN$1006:$BO$1006,0)), HYPERLINK("#",""), HYPERLINK(CONCATENATE("#Metadata!", ADDRESS(INDEX($AI$2:$AI$1001,MATCH(ROWS($AG$2:AG624),$AG$2:$AG$1001,0),0), INDEX($AN$1004:$BO$1004,1,MATCH(COLUMNS($AN$1006:AZ1006),$AN$1006:$BO$1006,0)))),"Fix")))</f>
        <v>0</v>
      </c>
      <c r="O624" s="4">
        <f>IF(OR(INDEX($AH$2:$AH$1001,MATCH(ROWS($AG$2:AG624),$AG$2:$AG$1001,0),1)&gt;=100000,INDEX($AN$1005:$BO$1005,1,MATCH(COLUMNS($AN$1006:BA1006),$AN$1006:$BO$1006,0))&gt;=100000), " ",IF(INDEX($AN$2:$BO$1001,MATCH(ROWS($AG$2:AG624),$AG$2:$AG$1001,0),MATCH(COLUMNS($AN$1006:BA1006),$AN$1006:$BO$1006,0)), HYPERLINK("#",""), HYPERLINK(CONCATENATE("#Metadata!", ADDRESS(INDEX($AI$2:$AI$1001,MATCH(ROWS($AG$2:AG624),$AG$2:$AG$1001,0),0), INDEX($AN$1004:$BO$1004,1,MATCH(COLUMNS($AN$1006:BA1006),$AN$1006:$BO$1006,0)))),"Fix")))</f>
        <v>0</v>
      </c>
      <c r="P624" s="4">
        <f>IF(OR(INDEX($AH$2:$AH$1001,MATCH(ROWS($AG$2:AG624),$AG$2:$AG$1001,0),1)&gt;=100000,INDEX($AN$1005:$BO$1005,1,MATCH(COLUMNS($AN$1006:BB1006),$AN$1006:$BO$1006,0))&gt;=100000), " ",IF(INDEX($AN$2:$BO$1001,MATCH(ROWS($AG$2:AG624),$AG$2:$AG$1001,0),MATCH(COLUMNS($AN$1006:BB1006),$AN$1006:$BO$1006,0)), HYPERLINK("#",""), HYPERLINK(CONCATENATE("#Metadata!", ADDRESS(INDEX($AI$2:$AI$1001,MATCH(ROWS($AG$2:AG624),$AG$2:$AG$1001,0),0), INDEX($AN$1004:$BO$1004,1,MATCH(COLUMNS($AN$1006:BB1006),$AN$1006:$BO$1006,0)))),"Fix")))</f>
        <v>0</v>
      </c>
      <c r="Q624" s="4">
        <f>IF(OR(INDEX($AH$2:$AH$1001,MATCH(ROWS($AG$2:AG624),$AG$2:$AG$1001,0),1)&gt;=100000,INDEX($AN$1005:$BO$1005,1,MATCH(COLUMNS($AN$1006:BC1006),$AN$1006:$BO$1006,0))&gt;=100000), " ",IF(INDEX($AN$2:$BO$1001,MATCH(ROWS($AG$2:AG624),$AG$2:$AG$1001,0),MATCH(COLUMNS($AN$1006:BC1006),$AN$1006:$BO$1006,0)), HYPERLINK("#",""), HYPERLINK(CONCATENATE("#Metadata!", ADDRESS(INDEX($AI$2:$AI$1001,MATCH(ROWS($AG$2:AG624),$AG$2:$AG$1001,0),0), INDEX($AN$1004:$BO$1004,1,MATCH(COLUMNS($AN$1006:BC1006),$AN$1006:$BO$1006,0)))),"Fix")))</f>
        <v>0</v>
      </c>
      <c r="R624" s="4">
        <f>IF(OR(INDEX($AH$2:$AH$1001,MATCH(ROWS($AG$2:AG624),$AG$2:$AG$1001,0),1)&gt;=100000,INDEX($AN$1005:$BO$1005,1,MATCH(COLUMNS($AN$1006:BD1006),$AN$1006:$BO$1006,0))&gt;=100000), " ",IF(INDEX($AN$2:$BO$1001,MATCH(ROWS($AG$2:AG624),$AG$2:$AG$1001,0),MATCH(COLUMNS($AN$1006:BD1006),$AN$1006:$BO$1006,0)), HYPERLINK("#",""), HYPERLINK(CONCATENATE("#Metadata!", ADDRESS(INDEX($AI$2:$AI$1001,MATCH(ROWS($AG$2:AG624),$AG$2:$AG$1001,0),0), INDEX($AN$1004:$BO$1004,1,MATCH(COLUMNS($AN$1006:BD1006),$AN$1006:$BO$1006,0)))),"Fix")))</f>
        <v>0</v>
      </c>
      <c r="S624" s="4">
        <f>IF(OR(INDEX($AH$2:$AH$1001,MATCH(ROWS($AG$2:AG624),$AG$2:$AG$1001,0),1)&gt;=100000,INDEX($AN$1005:$BO$1005,1,MATCH(COLUMNS($AN$1006:BE1006),$AN$1006:$BO$1006,0))&gt;=100000), " ",IF(INDEX($AN$2:$BO$1001,MATCH(ROWS($AG$2:AG624),$AG$2:$AG$1001,0),MATCH(COLUMNS($AN$1006:BE1006),$AN$1006:$BO$1006,0)), HYPERLINK("#",""), HYPERLINK(CONCATENATE("#Metadata!", ADDRESS(INDEX($AI$2:$AI$1001,MATCH(ROWS($AG$2:AG624),$AG$2:$AG$1001,0),0), INDEX($AN$1004:$BO$1004,1,MATCH(COLUMNS($AN$1006:BE1006),$AN$1006:$BO$1006,0)))),"Fix")))</f>
        <v>0</v>
      </c>
      <c r="T624" s="4">
        <f>IF(OR(INDEX($AH$2:$AH$1001,MATCH(ROWS($AG$2:AG624),$AG$2:$AG$1001,0),1)&gt;=100000,INDEX($AN$1005:$BO$1005,1,MATCH(COLUMNS($AN$1006:BF1006),$AN$1006:$BO$1006,0))&gt;=100000), " ",IF(INDEX($AN$2:$BO$1001,MATCH(ROWS($AG$2:AG624),$AG$2:$AG$1001,0),MATCH(COLUMNS($AN$1006:BF1006),$AN$1006:$BO$1006,0)), HYPERLINK("#",""), HYPERLINK(CONCATENATE("#Metadata!", ADDRESS(INDEX($AI$2:$AI$1001,MATCH(ROWS($AG$2:AG624),$AG$2:$AG$1001,0),0), INDEX($AN$1004:$BO$1004,1,MATCH(COLUMNS($AN$1006:BF1006),$AN$1006:$BO$1006,0)))),"Fix")))</f>
        <v>0</v>
      </c>
      <c r="U624" s="4">
        <f>IF(OR(INDEX($AH$2:$AH$1001,MATCH(ROWS($AG$2:AG624),$AG$2:$AG$1001,0),1)&gt;=100000,INDEX($AN$1005:$BO$1005,1,MATCH(COLUMNS($AN$1006:BG1006),$AN$1006:$BO$1006,0))&gt;=100000), " ",IF(INDEX($AN$2:$BO$1001,MATCH(ROWS($AG$2:AG624),$AG$2:$AG$1001,0),MATCH(COLUMNS($AN$1006:BG1006),$AN$1006:$BO$1006,0)), HYPERLINK("#",""), HYPERLINK(CONCATENATE("#Metadata!", ADDRESS(INDEX($AI$2:$AI$1001,MATCH(ROWS($AG$2:AG624),$AG$2:$AG$1001,0),0), INDEX($AN$1004:$BO$1004,1,MATCH(COLUMNS($AN$1006:BG1006),$AN$1006:$BO$1006,0)))),"Fix")))</f>
        <v>0</v>
      </c>
      <c r="V624" s="4">
        <f>IF(OR(INDEX($AH$2:$AH$1001,MATCH(ROWS($AG$2:AG624),$AG$2:$AG$1001,0),1)&gt;=100000,INDEX($AN$1005:$BO$1005,1,MATCH(COLUMNS($AN$1006:BH1006),$AN$1006:$BO$1006,0))&gt;=100000), " ",IF(INDEX($AN$2:$BO$1001,MATCH(ROWS($AG$2:AG624),$AG$2:$AG$1001,0),MATCH(COLUMNS($AN$1006:BH1006),$AN$1006:$BO$1006,0)), HYPERLINK("#",""), HYPERLINK(CONCATENATE("#Metadata!", ADDRESS(INDEX($AI$2:$AI$1001,MATCH(ROWS($AG$2:AG624),$AG$2:$AG$1001,0),0), INDEX($AN$1004:$BO$1004,1,MATCH(COLUMNS($AN$1006:BH1006),$AN$1006:$BO$1006,0)))),"Fix")))</f>
        <v>0</v>
      </c>
      <c r="W624" s="4">
        <f>IF(OR(INDEX($AH$2:$AH$1001,MATCH(ROWS($AG$2:AG624),$AG$2:$AG$1001,0),1)&gt;=100000,INDEX($AN$1005:$BO$1005,1,MATCH(COLUMNS($AN$1006:BI1006),$AN$1006:$BO$1006,0))&gt;=100000), " ",IF(INDEX($AN$2:$BO$1001,MATCH(ROWS($AG$2:AG624),$AG$2:$AG$1001,0),MATCH(COLUMNS($AN$1006:BI1006),$AN$1006:$BO$1006,0)), HYPERLINK("#",""), HYPERLINK(CONCATENATE("#Metadata!", ADDRESS(INDEX($AI$2:$AI$1001,MATCH(ROWS($AG$2:AG624),$AG$2:$AG$1001,0),0), INDEX($AN$1004:$BO$1004,1,MATCH(COLUMNS($AN$1006:BI1006),$AN$1006:$BO$1006,0)))),"Fix")))</f>
        <v>0</v>
      </c>
      <c r="X624" s="4">
        <f>IF(OR(INDEX($AH$2:$AH$1001,MATCH(ROWS($AG$2:AG624),$AG$2:$AG$1001,0),1)&gt;=100000,INDEX($AN$1005:$BO$1005,1,MATCH(COLUMNS($AN$1006:BJ1006),$AN$1006:$BO$1006,0))&gt;=100000), " ",IF(INDEX($AN$2:$BO$1001,MATCH(ROWS($AG$2:AG624),$AG$2:$AG$1001,0),MATCH(COLUMNS($AN$1006:BJ1006),$AN$1006:$BO$1006,0)), HYPERLINK("#",""), HYPERLINK(CONCATENATE("#Metadata!", ADDRESS(INDEX($AI$2:$AI$1001,MATCH(ROWS($AG$2:AG624),$AG$2:$AG$1001,0),0), INDEX($AN$1004:$BO$1004,1,MATCH(COLUMNS($AN$1006:BJ1006),$AN$1006:$BO$1006,0)))),"Fix")))</f>
        <v>0</v>
      </c>
      <c r="Y624" s="4">
        <f>IF(OR(INDEX($AH$2:$AH$1001,MATCH(ROWS($AG$2:AG624),$AG$2:$AG$1001,0),1)&gt;=100000,INDEX($AN$1005:$BO$1005,1,MATCH(COLUMNS($AN$1006:BK1006),$AN$1006:$BO$1006,0))&gt;=100000), " ",IF(INDEX($AN$2:$BO$1001,MATCH(ROWS($AG$2:AG624),$AG$2:$AG$1001,0),MATCH(COLUMNS($AN$1006:BK1006),$AN$1006:$BO$1006,0)), HYPERLINK("#",""), HYPERLINK(CONCATENATE("#Metadata!", ADDRESS(INDEX($AI$2:$AI$1001,MATCH(ROWS($AG$2:AG624),$AG$2:$AG$1001,0),0), INDEX($AN$1004:$BO$1004,1,MATCH(COLUMNS($AN$1006:BK1006),$AN$1006:$BO$1006,0)))),"Fix")))</f>
        <v>0</v>
      </c>
      <c r="Z624" s="4">
        <f>IF(OR(INDEX($AH$2:$AH$1001,MATCH(ROWS($AG$2:AG624),$AG$2:$AG$1001,0),1)&gt;=100000,INDEX($AN$1005:$BO$1005,1,MATCH(COLUMNS($AN$1006:BL1006),$AN$1006:$BO$1006,0))&gt;=100000), " ",IF(INDEX($AN$2:$BO$1001,MATCH(ROWS($AG$2:AG624),$AG$2:$AG$1001,0),MATCH(COLUMNS($AN$1006:BL1006),$AN$1006:$BO$1006,0)), HYPERLINK("#",""), HYPERLINK(CONCATENATE("#Metadata!", ADDRESS(INDEX($AI$2:$AI$1001,MATCH(ROWS($AG$2:AG624),$AG$2:$AG$1001,0),0), INDEX($AN$1004:$BO$1004,1,MATCH(COLUMNS($AN$1006:BL1006),$AN$1006:$BO$1006,0)))),"Fix")))</f>
        <v>0</v>
      </c>
      <c r="AA624" s="4">
        <f>IF(OR(INDEX($AH$2:$AH$1001,MATCH(ROWS($AG$2:AG624),$AG$2:$AG$1001,0),1)&gt;=100000,INDEX($AN$1005:$BO$1005,1,MATCH(COLUMNS($AN$1006:BM1006),$AN$1006:$BO$1006,0))&gt;=100000), " ",IF(INDEX($AN$2:$BO$1001,MATCH(ROWS($AG$2:AG624),$AG$2:$AG$1001,0),MATCH(COLUMNS($AN$1006:BM1006),$AN$1006:$BO$1006,0)), HYPERLINK("#",""), HYPERLINK(CONCATENATE("#Metadata!", ADDRESS(INDEX($AI$2:$AI$1001,MATCH(ROWS($AG$2:AG624),$AG$2:$AG$1001,0),0), INDEX($AN$1004:$BO$1004,1,MATCH(COLUMNS($AN$1006:BM1006),$AN$1006:$BO$1006,0)))),"Fix")))</f>
        <v>0</v>
      </c>
      <c r="AB624" s="4">
        <f>IF(OR(INDEX($AH$2:$AH$1001,MATCH(ROWS($AG$2:AG624),$AG$2:$AG$1001,0),1)&gt;=100000,INDEX($AN$1005:$BO$1005,1,MATCH(COLUMNS($AN$1006:BN1006),$AN$1006:$BO$1006,0))&gt;=100000), " ",IF(INDEX($AN$2:$BO$1001,MATCH(ROWS($AG$2:AG624),$AG$2:$AG$1001,0),MATCH(COLUMNS($AN$1006:BN1006),$AN$1006:$BO$1006,0)), HYPERLINK("#",""), HYPERLINK(CONCATENATE("#Metadata!", ADDRESS(INDEX($AI$2:$AI$1001,MATCH(ROWS($AG$2:AG624),$AG$2:$AG$1001,0),0), INDEX($AN$1004:$BO$1004,1,MATCH(COLUMNS($AN$1006:BN1006),$AN$1006:$BO$1006,0)))),"Fix")))</f>
        <v>0</v>
      </c>
      <c r="AC624" s="4">
        <f>IF(OR(INDEX($AH$2:$AH$1001,MATCH(ROWS($AG$2:AG624),$AG$2:$AG$1001,0),1)&gt;=100000,INDEX($AN$1005:$BO$1005,1,MATCH(COLUMNS($AN$1006:BO1006),$AN$1006:$BO$1006,0))&gt;=100000), " ",IF(INDEX($AN$2:$BO$1001,MATCH(ROWS($AG$2:AG624),$AG$2:$AG$1001,0),MATCH(COLUMNS($AN$1006:BO1006),$AN$1006:$BO$1006,0)), HYPERLINK("#",""), HYPERLINK(CONCATENATE("#Metadata!", ADDRESS(INDEX($AI$2:$AI$1001,MATCH(ROWS($AG$2:AG624),$AG$2:$AG$1001,0),0), INDEX($AN$1004:$BO$1004,1,MATCH(COLUMNS($AN$1006:BO1006),$AN$1006:$BO$1006,0)))),"Fix")))</f>
        <v>0</v>
      </c>
      <c r="AG624">
        <v>0</v>
      </c>
      <c r="AH624">
        <v>0</v>
      </c>
      <c r="AI624">
        <v>0</v>
      </c>
      <c r="AJ624">
        <f>IF(AK624,TRUE,AND(AN624:BO624))</f>
        <v>0</v>
      </c>
      <c r="AK624">
        <f>COUNTBLANK(Metadata!B624:AC624)=COLUMNS(Metadata!B624:AC624)</f>
        <v>0</v>
      </c>
      <c r="AL624">
        <v>0</v>
      </c>
      <c r="AN624">
        <f>AND(IF(Metadata!B624="",FALSE,TRUE),COUNTIF(Metadata!B:B, Metadata!B624) = 1,NOT(ISERROR(SUMPRODUCT(SEARCH(MID(Metadata!B624,ROW(INDIRECT("1:"&amp;LEN(Metadata!B624))), 1),"0123456789abcdefghijklmnopqrstuvwxyzABCDEFGHIJKLMNOPQRSTUVWXYZ.")))))</f>
        <v>0</v>
      </c>
      <c r="AO624">
        <f>IF(Metadata!C624="",FALSE,TRUE)</f>
        <v>0</v>
      </c>
      <c r="AP624">
        <f>IF(Metadata!D624="",FALSE,TRUE)</f>
        <v>0</v>
      </c>
      <c r="AQ624">
        <f>OR(AND(IF(Metadata!E624="",FALSE,TRUE),OR(exact(Metadata!E624,"not collected"),exact(Metadata!E624,"not provided"),exact(Metadata!E624,"restricted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R624">
        <f>IF(Metadata!F624="",FALSE,TRUE)</f>
        <v>0</v>
      </c>
      <c r="AS624">
        <f>OR(AND(IF(Metadata!G624="",FALSE,TRUE),OR(exact(Metadata!G624,"not collected"),exact(Metadata!G624,"not provided"))),AND(IF(Metadata!G624="",FALSE,TRUE),OR(exact(Metadata!G624,"TRUE"),exact(Metadata!G624,"FALSE"))))</f>
        <v>0</v>
      </c>
      <c r="AT624">
        <f>OR(AND(IF(Metadata!H624="",FALSE,TRUE),OR(exact(Metadata!H624,"not collected"),exact(Metadata!H624,"not provided"),exact(Metadata!H624,"restricted access"))),AND(IF(Metadata!H624="",FALSE,ISNUMBER(VALUE(Metadata!H624))),Metadata!H624&gt;=-413.0))</f>
        <v>0</v>
      </c>
      <c r="AU624">
        <f>AND(IF(Metadata!I624="",FALSE,TRUE),exact(Metadata!I624,"meters"))</f>
        <v>0</v>
      </c>
      <c r="AV624">
        <f>AND(IF(Metadata!J624="",FALSE,TRUE),OR(exact(Metadata!J624,"Host-associated"),exact(Metadata!J624,"Free-living")))</f>
        <v>0</v>
      </c>
      <c r="AW624">
        <f>AND(IF(Metadata!K624="",FALSE,TRUE),OR(exact(Metadata!K624,"Animal"),exact(Metadata!K624,"Fungus"),exact(Metadata!K624,"Plant"),exact(Metadata!K624,"Saline"),exact(Metadata!K624,"Non-saline")))</f>
        <v>0</v>
      </c>
      <c r="AX624">
        <f>AND(IF(Metadata!L624="",FALSE,TRUE),OR(exact(Metadata!L624,"Plant secretion"),exact(Metadata!L624,"Plant rhizosphere"),exact(Metadata!L624,"Plant surface"),exact(Metadata!L624,"Plant corpus"),exact(Metadata!L624,"Fungus surface"),exact(Metadata!L624,"Fungus corpus"),exact(Metadata!L624,"Animal surface"),exact(Metadata!L624,"Animal proximal gut"),exact(Metadata!L624,"Animal corpus"),exact(Metadata!L624,"Animal distal gut"),exact(Metadata!L624,"Animal secretion"),exact(Metadata!L624,"Sub-surface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Y624">
        <f>IF(Metadata!M624="",FALSE,TRUE)</f>
        <v>0</v>
      </c>
      <c r="AZ624">
        <f>IF(Metadata!N624="",FALSE,TRUE)</f>
        <v>0</v>
      </c>
      <c r="BA624">
        <f>IF(Metadata!O624="",FALSE,TRUE)</f>
        <v>0</v>
      </c>
      <c r="BB624">
        <f>OR(AND(IF(Metadata!P624="",FALSE,TRUE),OR(exact(Metadata!P624,"not collected"),exact(Metadata!P624,"not provided"),exact(Metadata!P624,"restricted access"))),AND(IF(Metadata!P624="",FALSE,TRUE),OR(exact(Metadata!P624,"air"),exact(Metadata!P624,"built environment"),exact(Metadata!P624,"host-associated"),exact(Metadata!P624,"human-associated"),exact(Metadata!P624,"human-skin"),exact(Metadata!P624,"human-oral"),exact(Metadata!P624,"human-gut"),exact(Metadata!P624,"human-vaginal"),exact(Metadata!P624,"microbial mat/biofilm"),exact(Metadata!P624,"misc environment"),exact(Metadata!P624,"plant-associated"),exact(Metadata!P624,"sediment"),exact(Metadata!P624,"soil"),exact(Metadata!P624,"wastewater/sludge"),exact(Metadata!P624,"water"))))</f>
        <v>0</v>
      </c>
      <c r="BC624">
        <f>IF(Metadata!Q624="",FALSE,TRUE)</f>
        <v>0</v>
      </c>
      <c r="BD624">
        <f>IF(Metadata!R624="",FALSE,TRUE)</f>
        <v>0</v>
      </c>
      <c r="BE624">
        <f>OR(AND(IF(Metadata!S624="",FALSE,TRUE),OR(exact(Metadata!S624,"not collected"),exact(Metadata!S624,"not provided"),exact(Metadata!S624,"restricted access"))),AND(IF(Metadata!S624="",FALSE,ISNUMBER(VALUE(Metadata!S624))),Metadata!S624&gt;=-90.00,Metadata!S624&lt;=90.00))</f>
        <v>0</v>
      </c>
      <c r="BF624">
        <f>AND(IF(Metadata!T624="",FALSE,TRUE),exact(Metadata!T624,"Decimal degrees"))</f>
        <v>0</v>
      </c>
      <c r="BG624">
        <f>OR(AND(IF(Metadata!U624="",FALSE,TRUE),OR(exact(Metadata!U624,"not collected"),exact(Metadata!U624,"not provided"),exact(Metadata!U624,"restricted access"))),AND(IF(Metadata!U624="",FALSE,ISNUMBER(VALUE(Metadata!U624))),Metadata!U624&gt;=-180.00,Metadata!U624&lt;=180.00))</f>
        <v>0</v>
      </c>
      <c r="BH624">
        <f>AND(IF(Metadata!V624="",FALSE,TRUE),exact(Metadata!V624,"Decimal degrees"))</f>
        <v>0</v>
      </c>
      <c r="BI624">
        <f>IF(Metadata!W624="",FALSE,TRUE)</f>
        <v>0</v>
      </c>
      <c r="BJ624">
        <f>OR(AND(IF(Metadata!X624="",FALSE,TRUE),OR(exact(Metadata!X624,"not collected"),exact(Metadata!X624,"not provided"),exact(Metadata!X624,"restricted access"))),AND(IF(Metadata!X624="",FALSE,TRUE),OR(exact(Metadata!X624,"TRUE"),exact(Metadata!X624,"FALSE"))))</f>
        <v>0</v>
      </c>
      <c r="BK624">
        <f>AND(IF(Metadata!Y624="",FALSE,TRUE),exact(Metadata!Y624,"other"))</f>
        <v>0</v>
      </c>
      <c r="BL624">
        <f>IF(Metadata!Z624="",FALSE,TRUE)</f>
        <v>0</v>
      </c>
      <c r="BM624">
        <f>OR(AND(IF(Metadata!AA624="",FALSE,TRUE),OR(exact(Metadata!AA624,"not collected"),exact(Metadata!AA624,"not provided"))),AND(IF(Metadata!AA624="",FALSE,IF(ISERROR(INT(Metadata!AA624)),FALSE,INT(Metadata!AA624)=Metadata!AA624)),Metadata!AA624&gt;0))</f>
        <v>0</v>
      </c>
      <c r="BN624">
        <f>AND(IF(Metadata!AB624="",FALSE,TRUE),exact(Metadata!AB624,"Not applicable"))</f>
        <v>0</v>
      </c>
      <c r="BO624">
        <f>IF(Metadata!AC624="",FALSE,TRUE)</f>
        <v>0</v>
      </c>
    </row>
    <row r="625" spans="1:67">
      <c r="A625" s="5">
        <f>IF(B625=" "," ",HYPERLINK(CONCATENATE("#metadata!",ADDRESS(INDEX($AI$2:$AI$1001,MATCH(ROWS($AG$2:AG625),$AG$2:$AG$1001,0),0),1)),INDEX($AL$2:$AL$1001,MATCH(ROWS($AG$2:AG625),$AG$2:$AG$1001,0),0)))</f>
        <v>0</v>
      </c>
      <c r="B625" s="4">
        <f>IF(OR(INDEX($AH$2:$AH$1001,MATCH(ROWS($AG$2:AG625),$AG$2:$AG$1001,0),1)&gt;=100000,INDEX($AN$1005:$BO$1005,1,MATCH(COLUMNS($AN$1006:AN1006),$AN$1006:$BO$1006,0))&gt;=100000), " ",IF(INDEX($AN$2:$BO$1001,MATCH(ROWS($AG$2:AG625),$AG$2:$AG$1001,0),MATCH(COLUMNS($AN$1006:AN1006),$AN$1006:$BO$1006,0)), HYPERLINK("#",""), HYPERLINK(CONCATENATE("#Metadata!", ADDRESS(INDEX($AI$2:$AI$1001,MATCH(ROWS($AG$2:AG625),$AG$2:$AG$1001,0),0), INDEX($AN$1004:$BO$1004,1,MATCH(COLUMNS($AN$1006:AN1006),$AN$1006:$BO$1006,0)))),"Fix")))</f>
        <v>0</v>
      </c>
      <c r="C625" s="4">
        <f>IF(OR(INDEX($AH$2:$AH$1001,MATCH(ROWS($AG$2:AG625),$AG$2:$AG$1001,0),1)&gt;=100000,INDEX($AN$1005:$BO$1005,1,MATCH(COLUMNS($AN$1006:AO1006),$AN$1006:$BO$1006,0))&gt;=100000), " ",IF(INDEX($AN$2:$BO$1001,MATCH(ROWS($AG$2:AG625),$AG$2:$AG$1001,0),MATCH(COLUMNS($AN$1006:AO1006),$AN$1006:$BO$1006,0)), HYPERLINK("#",""), HYPERLINK(CONCATENATE("#Metadata!", ADDRESS(INDEX($AI$2:$AI$1001,MATCH(ROWS($AG$2:AG625),$AG$2:$AG$1001,0),0), INDEX($AN$1004:$BO$1004,1,MATCH(COLUMNS($AN$1006:AO1006),$AN$1006:$BO$1006,0)))),"Fix")))</f>
        <v>0</v>
      </c>
      <c r="D625" s="4">
        <f>IF(OR(INDEX($AH$2:$AH$1001,MATCH(ROWS($AG$2:AG625),$AG$2:$AG$1001,0),1)&gt;=100000,INDEX($AN$1005:$BO$1005,1,MATCH(COLUMNS($AN$1006:AP1006),$AN$1006:$BO$1006,0))&gt;=100000), " ",IF(INDEX($AN$2:$BO$1001,MATCH(ROWS($AG$2:AG625),$AG$2:$AG$1001,0),MATCH(COLUMNS($AN$1006:AP1006),$AN$1006:$BO$1006,0)), HYPERLINK("#",""), HYPERLINK(CONCATENATE("#Metadata!", ADDRESS(INDEX($AI$2:$AI$1001,MATCH(ROWS($AG$2:AG625),$AG$2:$AG$1001,0),0), INDEX($AN$1004:$BO$1004,1,MATCH(COLUMNS($AN$1006:AP1006),$AN$1006:$BO$1006,0)))),"Fix")))</f>
        <v>0</v>
      </c>
      <c r="E625" s="4">
        <f>IF(OR(INDEX($AH$2:$AH$1001,MATCH(ROWS($AG$2:AG625),$AG$2:$AG$1001,0),1)&gt;=100000,INDEX($AN$1005:$BO$1005,1,MATCH(COLUMNS($AN$1006:AQ1006),$AN$1006:$BO$1006,0))&gt;=100000), " ",IF(INDEX($AN$2:$BO$1001,MATCH(ROWS($AG$2:AG625),$AG$2:$AG$1001,0),MATCH(COLUMNS($AN$1006:AQ1006),$AN$1006:$BO$1006,0)), HYPERLINK("#",""), HYPERLINK(CONCATENATE("#Metadata!", ADDRESS(INDEX($AI$2:$AI$1001,MATCH(ROWS($AG$2:AG625),$AG$2:$AG$1001,0),0), INDEX($AN$1004:$BO$1004,1,MATCH(COLUMNS($AN$1006:AQ1006),$AN$1006:$BO$1006,0)))),"Fix")))</f>
        <v>0</v>
      </c>
      <c r="F625" s="4">
        <f>IF(OR(INDEX($AH$2:$AH$1001,MATCH(ROWS($AG$2:AG625),$AG$2:$AG$1001,0),1)&gt;=100000,INDEX($AN$1005:$BO$1005,1,MATCH(COLUMNS($AN$1006:AR1006),$AN$1006:$BO$1006,0))&gt;=100000), " ",IF(INDEX($AN$2:$BO$1001,MATCH(ROWS($AG$2:AG625),$AG$2:$AG$1001,0),MATCH(COLUMNS($AN$1006:AR1006),$AN$1006:$BO$1006,0)), HYPERLINK("#",""), HYPERLINK(CONCATENATE("#Metadata!", ADDRESS(INDEX($AI$2:$AI$1001,MATCH(ROWS($AG$2:AG625),$AG$2:$AG$1001,0),0), INDEX($AN$1004:$BO$1004,1,MATCH(COLUMNS($AN$1006:AR1006),$AN$1006:$BO$1006,0)))),"Fix")))</f>
        <v>0</v>
      </c>
      <c r="G625" s="4">
        <f>IF(OR(INDEX($AH$2:$AH$1001,MATCH(ROWS($AG$2:AG625),$AG$2:$AG$1001,0),1)&gt;=100000,INDEX($AN$1005:$BO$1005,1,MATCH(COLUMNS($AN$1006:AS1006),$AN$1006:$BO$1006,0))&gt;=100000), " ",IF(INDEX($AN$2:$BO$1001,MATCH(ROWS($AG$2:AG625),$AG$2:$AG$1001,0),MATCH(COLUMNS($AN$1006:AS1006),$AN$1006:$BO$1006,0)), HYPERLINK("#",""), HYPERLINK(CONCATENATE("#Metadata!", ADDRESS(INDEX($AI$2:$AI$1001,MATCH(ROWS($AG$2:AG625),$AG$2:$AG$1001,0),0), INDEX($AN$1004:$BO$1004,1,MATCH(COLUMNS($AN$1006:AS1006),$AN$1006:$BO$1006,0)))),"Fix")))</f>
        <v>0</v>
      </c>
      <c r="H625" s="4">
        <f>IF(OR(INDEX($AH$2:$AH$1001,MATCH(ROWS($AG$2:AG625),$AG$2:$AG$1001,0),1)&gt;=100000,INDEX($AN$1005:$BO$1005,1,MATCH(COLUMNS($AN$1006:AT1006),$AN$1006:$BO$1006,0))&gt;=100000), " ",IF(INDEX($AN$2:$BO$1001,MATCH(ROWS($AG$2:AG625),$AG$2:$AG$1001,0),MATCH(COLUMNS($AN$1006:AT1006),$AN$1006:$BO$1006,0)), HYPERLINK("#",""), HYPERLINK(CONCATENATE("#Metadata!", ADDRESS(INDEX($AI$2:$AI$1001,MATCH(ROWS($AG$2:AG625),$AG$2:$AG$1001,0),0), INDEX($AN$1004:$BO$1004,1,MATCH(COLUMNS($AN$1006:AT1006),$AN$1006:$BO$1006,0)))),"Fix")))</f>
        <v>0</v>
      </c>
      <c r="I625" s="4">
        <f>IF(OR(INDEX($AH$2:$AH$1001,MATCH(ROWS($AG$2:AG625),$AG$2:$AG$1001,0),1)&gt;=100000,INDEX($AN$1005:$BO$1005,1,MATCH(COLUMNS($AN$1006:AU1006),$AN$1006:$BO$1006,0))&gt;=100000), " ",IF(INDEX($AN$2:$BO$1001,MATCH(ROWS($AG$2:AG625),$AG$2:$AG$1001,0),MATCH(COLUMNS($AN$1006:AU1006),$AN$1006:$BO$1006,0)), HYPERLINK("#",""), HYPERLINK(CONCATENATE("#Metadata!", ADDRESS(INDEX($AI$2:$AI$1001,MATCH(ROWS($AG$2:AG625),$AG$2:$AG$1001,0),0), INDEX($AN$1004:$BO$1004,1,MATCH(COLUMNS($AN$1006:AU1006),$AN$1006:$BO$1006,0)))),"Fix")))</f>
        <v>0</v>
      </c>
      <c r="J625" s="4">
        <f>IF(OR(INDEX($AH$2:$AH$1001,MATCH(ROWS($AG$2:AG625),$AG$2:$AG$1001,0),1)&gt;=100000,INDEX($AN$1005:$BO$1005,1,MATCH(COLUMNS($AN$1006:AV1006),$AN$1006:$BO$1006,0))&gt;=100000), " ",IF(INDEX($AN$2:$BO$1001,MATCH(ROWS($AG$2:AG625),$AG$2:$AG$1001,0),MATCH(COLUMNS($AN$1006:AV1006),$AN$1006:$BO$1006,0)), HYPERLINK("#",""), HYPERLINK(CONCATENATE("#Metadata!", ADDRESS(INDEX($AI$2:$AI$1001,MATCH(ROWS($AG$2:AG625),$AG$2:$AG$1001,0),0), INDEX($AN$1004:$BO$1004,1,MATCH(COLUMNS($AN$1006:AV1006),$AN$1006:$BO$1006,0)))),"Fix")))</f>
        <v>0</v>
      </c>
      <c r="K625" s="4">
        <f>IF(OR(INDEX($AH$2:$AH$1001,MATCH(ROWS($AG$2:AG625),$AG$2:$AG$1001,0),1)&gt;=100000,INDEX($AN$1005:$BO$1005,1,MATCH(COLUMNS($AN$1006:AW1006),$AN$1006:$BO$1006,0))&gt;=100000), " ",IF(INDEX($AN$2:$BO$1001,MATCH(ROWS($AG$2:AG625),$AG$2:$AG$1001,0),MATCH(COLUMNS($AN$1006:AW1006),$AN$1006:$BO$1006,0)), HYPERLINK("#",""), HYPERLINK(CONCATENATE("#Metadata!", ADDRESS(INDEX($AI$2:$AI$1001,MATCH(ROWS($AG$2:AG625),$AG$2:$AG$1001,0),0), INDEX($AN$1004:$BO$1004,1,MATCH(COLUMNS($AN$1006:AW1006),$AN$1006:$BO$1006,0)))),"Fix")))</f>
        <v>0</v>
      </c>
      <c r="L625" s="4">
        <f>IF(OR(INDEX($AH$2:$AH$1001,MATCH(ROWS($AG$2:AG625),$AG$2:$AG$1001,0),1)&gt;=100000,INDEX($AN$1005:$BO$1005,1,MATCH(COLUMNS($AN$1006:AX1006),$AN$1006:$BO$1006,0))&gt;=100000), " ",IF(INDEX($AN$2:$BO$1001,MATCH(ROWS($AG$2:AG625),$AG$2:$AG$1001,0),MATCH(COLUMNS($AN$1006:AX1006),$AN$1006:$BO$1006,0)), HYPERLINK("#",""), HYPERLINK(CONCATENATE("#Metadata!", ADDRESS(INDEX($AI$2:$AI$1001,MATCH(ROWS($AG$2:AG625),$AG$2:$AG$1001,0),0), INDEX($AN$1004:$BO$1004,1,MATCH(COLUMNS($AN$1006:AX1006),$AN$1006:$BO$1006,0)))),"Fix")))</f>
        <v>0</v>
      </c>
      <c r="M625" s="4">
        <f>IF(OR(INDEX($AH$2:$AH$1001,MATCH(ROWS($AG$2:AG625),$AG$2:$AG$1001,0),1)&gt;=100000,INDEX($AN$1005:$BO$1005,1,MATCH(COLUMNS($AN$1006:AY1006),$AN$1006:$BO$1006,0))&gt;=100000), " ",IF(INDEX($AN$2:$BO$1001,MATCH(ROWS($AG$2:AG625),$AG$2:$AG$1001,0),MATCH(COLUMNS($AN$1006:AY1006),$AN$1006:$BO$1006,0)), HYPERLINK("#",""), HYPERLINK(CONCATENATE("#Metadata!", ADDRESS(INDEX($AI$2:$AI$1001,MATCH(ROWS($AG$2:AG625),$AG$2:$AG$1001,0),0), INDEX($AN$1004:$BO$1004,1,MATCH(COLUMNS($AN$1006:AY1006),$AN$1006:$BO$1006,0)))),"Fix")))</f>
        <v>0</v>
      </c>
      <c r="N625" s="4">
        <f>IF(OR(INDEX($AH$2:$AH$1001,MATCH(ROWS($AG$2:AG625),$AG$2:$AG$1001,0),1)&gt;=100000,INDEX($AN$1005:$BO$1005,1,MATCH(COLUMNS($AN$1006:AZ1006),$AN$1006:$BO$1006,0))&gt;=100000), " ",IF(INDEX($AN$2:$BO$1001,MATCH(ROWS($AG$2:AG625),$AG$2:$AG$1001,0),MATCH(COLUMNS($AN$1006:AZ1006),$AN$1006:$BO$1006,0)), HYPERLINK("#",""), HYPERLINK(CONCATENATE("#Metadata!", ADDRESS(INDEX($AI$2:$AI$1001,MATCH(ROWS($AG$2:AG625),$AG$2:$AG$1001,0),0), INDEX($AN$1004:$BO$1004,1,MATCH(COLUMNS($AN$1006:AZ1006),$AN$1006:$BO$1006,0)))),"Fix")))</f>
        <v>0</v>
      </c>
      <c r="O625" s="4">
        <f>IF(OR(INDEX($AH$2:$AH$1001,MATCH(ROWS($AG$2:AG625),$AG$2:$AG$1001,0),1)&gt;=100000,INDEX($AN$1005:$BO$1005,1,MATCH(COLUMNS($AN$1006:BA1006),$AN$1006:$BO$1006,0))&gt;=100000), " ",IF(INDEX($AN$2:$BO$1001,MATCH(ROWS($AG$2:AG625),$AG$2:$AG$1001,0),MATCH(COLUMNS($AN$1006:BA1006),$AN$1006:$BO$1006,0)), HYPERLINK("#",""), HYPERLINK(CONCATENATE("#Metadata!", ADDRESS(INDEX($AI$2:$AI$1001,MATCH(ROWS($AG$2:AG625),$AG$2:$AG$1001,0),0), INDEX($AN$1004:$BO$1004,1,MATCH(COLUMNS($AN$1006:BA1006),$AN$1006:$BO$1006,0)))),"Fix")))</f>
        <v>0</v>
      </c>
      <c r="P625" s="4">
        <f>IF(OR(INDEX($AH$2:$AH$1001,MATCH(ROWS($AG$2:AG625),$AG$2:$AG$1001,0),1)&gt;=100000,INDEX($AN$1005:$BO$1005,1,MATCH(COLUMNS($AN$1006:BB1006),$AN$1006:$BO$1006,0))&gt;=100000), " ",IF(INDEX($AN$2:$BO$1001,MATCH(ROWS($AG$2:AG625),$AG$2:$AG$1001,0),MATCH(COLUMNS($AN$1006:BB1006),$AN$1006:$BO$1006,0)), HYPERLINK("#",""), HYPERLINK(CONCATENATE("#Metadata!", ADDRESS(INDEX($AI$2:$AI$1001,MATCH(ROWS($AG$2:AG625),$AG$2:$AG$1001,0),0), INDEX($AN$1004:$BO$1004,1,MATCH(COLUMNS($AN$1006:BB1006),$AN$1006:$BO$1006,0)))),"Fix")))</f>
        <v>0</v>
      </c>
      <c r="Q625" s="4">
        <f>IF(OR(INDEX($AH$2:$AH$1001,MATCH(ROWS($AG$2:AG625),$AG$2:$AG$1001,0),1)&gt;=100000,INDEX($AN$1005:$BO$1005,1,MATCH(COLUMNS($AN$1006:BC1006),$AN$1006:$BO$1006,0))&gt;=100000), " ",IF(INDEX($AN$2:$BO$1001,MATCH(ROWS($AG$2:AG625),$AG$2:$AG$1001,0),MATCH(COLUMNS($AN$1006:BC1006),$AN$1006:$BO$1006,0)), HYPERLINK("#",""), HYPERLINK(CONCATENATE("#Metadata!", ADDRESS(INDEX($AI$2:$AI$1001,MATCH(ROWS($AG$2:AG625),$AG$2:$AG$1001,0),0), INDEX($AN$1004:$BO$1004,1,MATCH(COLUMNS($AN$1006:BC1006),$AN$1006:$BO$1006,0)))),"Fix")))</f>
        <v>0</v>
      </c>
      <c r="R625" s="4">
        <f>IF(OR(INDEX($AH$2:$AH$1001,MATCH(ROWS($AG$2:AG625),$AG$2:$AG$1001,0),1)&gt;=100000,INDEX($AN$1005:$BO$1005,1,MATCH(COLUMNS($AN$1006:BD1006),$AN$1006:$BO$1006,0))&gt;=100000), " ",IF(INDEX($AN$2:$BO$1001,MATCH(ROWS($AG$2:AG625),$AG$2:$AG$1001,0),MATCH(COLUMNS($AN$1006:BD1006),$AN$1006:$BO$1006,0)), HYPERLINK("#",""), HYPERLINK(CONCATENATE("#Metadata!", ADDRESS(INDEX($AI$2:$AI$1001,MATCH(ROWS($AG$2:AG625),$AG$2:$AG$1001,0),0), INDEX($AN$1004:$BO$1004,1,MATCH(COLUMNS($AN$1006:BD1006),$AN$1006:$BO$1006,0)))),"Fix")))</f>
        <v>0</v>
      </c>
      <c r="S625" s="4">
        <f>IF(OR(INDEX($AH$2:$AH$1001,MATCH(ROWS($AG$2:AG625),$AG$2:$AG$1001,0),1)&gt;=100000,INDEX($AN$1005:$BO$1005,1,MATCH(COLUMNS($AN$1006:BE1006),$AN$1006:$BO$1006,0))&gt;=100000), " ",IF(INDEX($AN$2:$BO$1001,MATCH(ROWS($AG$2:AG625),$AG$2:$AG$1001,0),MATCH(COLUMNS($AN$1006:BE1006),$AN$1006:$BO$1006,0)), HYPERLINK("#",""), HYPERLINK(CONCATENATE("#Metadata!", ADDRESS(INDEX($AI$2:$AI$1001,MATCH(ROWS($AG$2:AG625),$AG$2:$AG$1001,0),0), INDEX($AN$1004:$BO$1004,1,MATCH(COLUMNS($AN$1006:BE1006),$AN$1006:$BO$1006,0)))),"Fix")))</f>
        <v>0</v>
      </c>
      <c r="T625" s="4">
        <f>IF(OR(INDEX($AH$2:$AH$1001,MATCH(ROWS($AG$2:AG625),$AG$2:$AG$1001,0),1)&gt;=100000,INDEX($AN$1005:$BO$1005,1,MATCH(COLUMNS($AN$1006:BF1006),$AN$1006:$BO$1006,0))&gt;=100000), " ",IF(INDEX($AN$2:$BO$1001,MATCH(ROWS($AG$2:AG625),$AG$2:$AG$1001,0),MATCH(COLUMNS($AN$1006:BF1006),$AN$1006:$BO$1006,0)), HYPERLINK("#",""), HYPERLINK(CONCATENATE("#Metadata!", ADDRESS(INDEX($AI$2:$AI$1001,MATCH(ROWS($AG$2:AG625),$AG$2:$AG$1001,0),0), INDEX($AN$1004:$BO$1004,1,MATCH(COLUMNS($AN$1006:BF1006),$AN$1006:$BO$1006,0)))),"Fix")))</f>
        <v>0</v>
      </c>
      <c r="U625" s="4">
        <f>IF(OR(INDEX($AH$2:$AH$1001,MATCH(ROWS($AG$2:AG625),$AG$2:$AG$1001,0),1)&gt;=100000,INDEX($AN$1005:$BO$1005,1,MATCH(COLUMNS($AN$1006:BG1006),$AN$1006:$BO$1006,0))&gt;=100000), " ",IF(INDEX($AN$2:$BO$1001,MATCH(ROWS($AG$2:AG625),$AG$2:$AG$1001,0),MATCH(COLUMNS($AN$1006:BG1006),$AN$1006:$BO$1006,0)), HYPERLINK("#",""), HYPERLINK(CONCATENATE("#Metadata!", ADDRESS(INDEX($AI$2:$AI$1001,MATCH(ROWS($AG$2:AG625),$AG$2:$AG$1001,0),0), INDEX($AN$1004:$BO$1004,1,MATCH(COLUMNS($AN$1006:BG1006),$AN$1006:$BO$1006,0)))),"Fix")))</f>
        <v>0</v>
      </c>
      <c r="V625" s="4">
        <f>IF(OR(INDEX($AH$2:$AH$1001,MATCH(ROWS($AG$2:AG625),$AG$2:$AG$1001,0),1)&gt;=100000,INDEX($AN$1005:$BO$1005,1,MATCH(COLUMNS($AN$1006:BH1006),$AN$1006:$BO$1006,0))&gt;=100000), " ",IF(INDEX($AN$2:$BO$1001,MATCH(ROWS($AG$2:AG625),$AG$2:$AG$1001,0),MATCH(COLUMNS($AN$1006:BH1006),$AN$1006:$BO$1006,0)), HYPERLINK("#",""), HYPERLINK(CONCATENATE("#Metadata!", ADDRESS(INDEX($AI$2:$AI$1001,MATCH(ROWS($AG$2:AG625),$AG$2:$AG$1001,0),0), INDEX($AN$1004:$BO$1004,1,MATCH(COLUMNS($AN$1006:BH1006),$AN$1006:$BO$1006,0)))),"Fix")))</f>
        <v>0</v>
      </c>
      <c r="W625" s="4">
        <f>IF(OR(INDEX($AH$2:$AH$1001,MATCH(ROWS($AG$2:AG625),$AG$2:$AG$1001,0),1)&gt;=100000,INDEX($AN$1005:$BO$1005,1,MATCH(COLUMNS($AN$1006:BI1006),$AN$1006:$BO$1006,0))&gt;=100000), " ",IF(INDEX($AN$2:$BO$1001,MATCH(ROWS($AG$2:AG625),$AG$2:$AG$1001,0),MATCH(COLUMNS($AN$1006:BI1006),$AN$1006:$BO$1006,0)), HYPERLINK("#",""), HYPERLINK(CONCATENATE("#Metadata!", ADDRESS(INDEX($AI$2:$AI$1001,MATCH(ROWS($AG$2:AG625),$AG$2:$AG$1001,0),0), INDEX($AN$1004:$BO$1004,1,MATCH(COLUMNS($AN$1006:BI1006),$AN$1006:$BO$1006,0)))),"Fix")))</f>
        <v>0</v>
      </c>
      <c r="X625" s="4">
        <f>IF(OR(INDEX($AH$2:$AH$1001,MATCH(ROWS($AG$2:AG625),$AG$2:$AG$1001,0),1)&gt;=100000,INDEX($AN$1005:$BO$1005,1,MATCH(COLUMNS($AN$1006:BJ1006),$AN$1006:$BO$1006,0))&gt;=100000), " ",IF(INDEX($AN$2:$BO$1001,MATCH(ROWS($AG$2:AG625),$AG$2:$AG$1001,0),MATCH(COLUMNS($AN$1006:BJ1006),$AN$1006:$BO$1006,0)), HYPERLINK("#",""), HYPERLINK(CONCATENATE("#Metadata!", ADDRESS(INDEX($AI$2:$AI$1001,MATCH(ROWS($AG$2:AG625),$AG$2:$AG$1001,0),0), INDEX($AN$1004:$BO$1004,1,MATCH(COLUMNS($AN$1006:BJ1006),$AN$1006:$BO$1006,0)))),"Fix")))</f>
        <v>0</v>
      </c>
      <c r="Y625" s="4">
        <f>IF(OR(INDEX($AH$2:$AH$1001,MATCH(ROWS($AG$2:AG625),$AG$2:$AG$1001,0),1)&gt;=100000,INDEX($AN$1005:$BO$1005,1,MATCH(COLUMNS($AN$1006:BK1006),$AN$1006:$BO$1006,0))&gt;=100000), " ",IF(INDEX($AN$2:$BO$1001,MATCH(ROWS($AG$2:AG625),$AG$2:$AG$1001,0),MATCH(COLUMNS($AN$1006:BK1006),$AN$1006:$BO$1006,0)), HYPERLINK("#",""), HYPERLINK(CONCATENATE("#Metadata!", ADDRESS(INDEX($AI$2:$AI$1001,MATCH(ROWS($AG$2:AG625),$AG$2:$AG$1001,0),0), INDEX($AN$1004:$BO$1004,1,MATCH(COLUMNS($AN$1006:BK1006),$AN$1006:$BO$1006,0)))),"Fix")))</f>
        <v>0</v>
      </c>
      <c r="Z625" s="4">
        <f>IF(OR(INDEX($AH$2:$AH$1001,MATCH(ROWS($AG$2:AG625),$AG$2:$AG$1001,0),1)&gt;=100000,INDEX($AN$1005:$BO$1005,1,MATCH(COLUMNS($AN$1006:BL1006),$AN$1006:$BO$1006,0))&gt;=100000), " ",IF(INDEX($AN$2:$BO$1001,MATCH(ROWS($AG$2:AG625),$AG$2:$AG$1001,0),MATCH(COLUMNS($AN$1006:BL1006),$AN$1006:$BO$1006,0)), HYPERLINK("#",""), HYPERLINK(CONCATENATE("#Metadata!", ADDRESS(INDEX($AI$2:$AI$1001,MATCH(ROWS($AG$2:AG625),$AG$2:$AG$1001,0),0), INDEX($AN$1004:$BO$1004,1,MATCH(COLUMNS($AN$1006:BL1006),$AN$1006:$BO$1006,0)))),"Fix")))</f>
        <v>0</v>
      </c>
      <c r="AA625" s="4">
        <f>IF(OR(INDEX($AH$2:$AH$1001,MATCH(ROWS($AG$2:AG625),$AG$2:$AG$1001,0),1)&gt;=100000,INDEX($AN$1005:$BO$1005,1,MATCH(COLUMNS($AN$1006:BM1006),$AN$1006:$BO$1006,0))&gt;=100000), " ",IF(INDEX($AN$2:$BO$1001,MATCH(ROWS($AG$2:AG625),$AG$2:$AG$1001,0),MATCH(COLUMNS($AN$1006:BM1006),$AN$1006:$BO$1006,0)), HYPERLINK("#",""), HYPERLINK(CONCATENATE("#Metadata!", ADDRESS(INDEX($AI$2:$AI$1001,MATCH(ROWS($AG$2:AG625),$AG$2:$AG$1001,0),0), INDEX($AN$1004:$BO$1004,1,MATCH(COLUMNS($AN$1006:BM1006),$AN$1006:$BO$1006,0)))),"Fix")))</f>
        <v>0</v>
      </c>
      <c r="AB625" s="4">
        <f>IF(OR(INDEX($AH$2:$AH$1001,MATCH(ROWS($AG$2:AG625),$AG$2:$AG$1001,0),1)&gt;=100000,INDEX($AN$1005:$BO$1005,1,MATCH(COLUMNS($AN$1006:BN1006),$AN$1006:$BO$1006,0))&gt;=100000), " ",IF(INDEX($AN$2:$BO$1001,MATCH(ROWS($AG$2:AG625),$AG$2:$AG$1001,0),MATCH(COLUMNS($AN$1006:BN1006),$AN$1006:$BO$1006,0)), HYPERLINK("#",""), HYPERLINK(CONCATENATE("#Metadata!", ADDRESS(INDEX($AI$2:$AI$1001,MATCH(ROWS($AG$2:AG625),$AG$2:$AG$1001,0),0), INDEX($AN$1004:$BO$1004,1,MATCH(COLUMNS($AN$1006:BN1006),$AN$1006:$BO$1006,0)))),"Fix")))</f>
        <v>0</v>
      </c>
      <c r="AC625" s="4">
        <f>IF(OR(INDEX($AH$2:$AH$1001,MATCH(ROWS($AG$2:AG625),$AG$2:$AG$1001,0),1)&gt;=100000,INDEX($AN$1005:$BO$1005,1,MATCH(COLUMNS($AN$1006:BO1006),$AN$1006:$BO$1006,0))&gt;=100000), " ",IF(INDEX($AN$2:$BO$1001,MATCH(ROWS($AG$2:AG625),$AG$2:$AG$1001,0),MATCH(COLUMNS($AN$1006:BO1006),$AN$1006:$BO$1006,0)), HYPERLINK("#",""), HYPERLINK(CONCATENATE("#Metadata!", ADDRESS(INDEX($AI$2:$AI$1001,MATCH(ROWS($AG$2:AG625),$AG$2:$AG$1001,0),0), INDEX($AN$1004:$BO$1004,1,MATCH(COLUMNS($AN$1006:BO1006),$AN$1006:$BO$1006,0)))),"Fix")))</f>
        <v>0</v>
      </c>
      <c r="AG625">
        <v>0</v>
      </c>
      <c r="AH625">
        <v>0</v>
      </c>
      <c r="AI625">
        <v>0</v>
      </c>
      <c r="AJ625">
        <f>IF(AK625,TRUE,AND(AN625:BO625))</f>
        <v>0</v>
      </c>
      <c r="AK625">
        <f>COUNTBLANK(Metadata!B625:AC625)=COLUMNS(Metadata!B625:AC625)</f>
        <v>0</v>
      </c>
      <c r="AL625">
        <v>0</v>
      </c>
      <c r="AN625">
        <f>AND(IF(Metadata!B625="",FALSE,TRUE),COUNTIF(Metadata!B:B, Metadata!B625) = 1,NOT(ISERROR(SUMPRODUCT(SEARCH(MID(Metadata!B625,ROW(INDIRECT("1:"&amp;LEN(Metadata!B625))), 1),"0123456789abcdefghijklmnopqrstuvwxyzABCDEFGHIJKLMNOPQRSTUVWXYZ.")))))</f>
        <v>0</v>
      </c>
      <c r="AO625">
        <f>IF(Metadata!C625="",FALSE,TRUE)</f>
        <v>0</v>
      </c>
      <c r="AP625">
        <f>IF(Metadata!D625="",FALSE,TRUE)</f>
        <v>0</v>
      </c>
      <c r="AQ625">
        <f>OR(AND(IF(Metadata!E625="",FALSE,TRUE),OR(exact(Metadata!E625,"not collected"),exact(Metadata!E625,"not provided"),exact(Metadata!E625,"restricted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R625">
        <f>IF(Metadata!F625="",FALSE,TRUE)</f>
        <v>0</v>
      </c>
      <c r="AS625">
        <f>OR(AND(IF(Metadata!G625="",FALSE,TRUE),OR(exact(Metadata!G625,"not collected"),exact(Metadata!G625,"not provided"))),AND(IF(Metadata!G625="",FALSE,TRUE),OR(exact(Metadata!G625,"TRUE"),exact(Metadata!G625,"FALSE"))))</f>
        <v>0</v>
      </c>
      <c r="AT625">
        <f>OR(AND(IF(Metadata!H625="",FALSE,TRUE),OR(exact(Metadata!H625,"not collected"),exact(Metadata!H625,"not provided"),exact(Metadata!H625,"restricted access"))),AND(IF(Metadata!H625="",FALSE,ISNUMBER(VALUE(Metadata!H625))),Metadata!H625&gt;=-413.0))</f>
        <v>0</v>
      </c>
      <c r="AU625">
        <f>AND(IF(Metadata!I625="",FALSE,TRUE),exact(Metadata!I625,"meters"))</f>
        <v>0</v>
      </c>
      <c r="AV625">
        <f>AND(IF(Metadata!J625="",FALSE,TRUE),OR(exact(Metadata!J625,"Host-associated"),exact(Metadata!J625,"Free-living")))</f>
        <v>0</v>
      </c>
      <c r="AW625">
        <f>AND(IF(Metadata!K625="",FALSE,TRUE),OR(exact(Metadata!K625,"Animal"),exact(Metadata!K625,"Fungus"),exact(Metadata!K625,"Plant"),exact(Metadata!K625,"Saline"),exact(Metadata!K625,"Non-saline")))</f>
        <v>0</v>
      </c>
      <c r="AX625">
        <f>AND(IF(Metadata!L625="",FALSE,TRUE),OR(exact(Metadata!L625,"Plant secretion"),exact(Metadata!L625,"Plant rhizosphere"),exact(Metadata!L625,"Plant surface"),exact(Metadata!L625,"Plant corpus"),exact(Metadata!L625,"Fungus surface"),exact(Metadata!L625,"Fungus corpus"),exact(Metadata!L625,"Animal surface"),exact(Metadata!L625,"Animal proximal gut"),exact(Metadata!L625,"Animal corpus"),exact(Metadata!L625,"Animal distal gut"),exact(Metadata!L625,"Animal secretion"),exact(Metadata!L625,"Sub-surface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Y625">
        <f>IF(Metadata!M625="",FALSE,TRUE)</f>
        <v>0</v>
      </c>
      <c r="AZ625">
        <f>IF(Metadata!N625="",FALSE,TRUE)</f>
        <v>0</v>
      </c>
      <c r="BA625">
        <f>IF(Metadata!O625="",FALSE,TRUE)</f>
        <v>0</v>
      </c>
      <c r="BB625">
        <f>OR(AND(IF(Metadata!P625="",FALSE,TRUE),OR(exact(Metadata!P625,"not collected"),exact(Metadata!P625,"not provided"),exact(Metadata!P625,"restricted access"))),AND(IF(Metadata!P625="",FALSE,TRUE),OR(exact(Metadata!P625,"air"),exact(Metadata!P625,"built environment"),exact(Metadata!P625,"host-associated"),exact(Metadata!P625,"human-associated"),exact(Metadata!P625,"human-skin"),exact(Metadata!P625,"human-oral"),exact(Metadata!P625,"human-gut"),exact(Metadata!P625,"human-vaginal"),exact(Metadata!P625,"microbial mat/biofilm"),exact(Metadata!P625,"misc environment"),exact(Metadata!P625,"plant-associated"),exact(Metadata!P625,"sediment"),exact(Metadata!P625,"soil"),exact(Metadata!P625,"wastewater/sludge"),exact(Metadata!P625,"water"))))</f>
        <v>0</v>
      </c>
      <c r="BC625">
        <f>IF(Metadata!Q625="",FALSE,TRUE)</f>
        <v>0</v>
      </c>
      <c r="BD625">
        <f>IF(Metadata!R625="",FALSE,TRUE)</f>
        <v>0</v>
      </c>
      <c r="BE625">
        <f>OR(AND(IF(Metadata!S625="",FALSE,TRUE),OR(exact(Metadata!S625,"not collected"),exact(Metadata!S625,"not provided"),exact(Metadata!S625,"restricted access"))),AND(IF(Metadata!S625="",FALSE,ISNUMBER(VALUE(Metadata!S625))),Metadata!S625&gt;=-90.00,Metadata!S625&lt;=90.00))</f>
        <v>0</v>
      </c>
      <c r="BF625">
        <f>AND(IF(Metadata!T625="",FALSE,TRUE),exact(Metadata!T625,"Decimal degrees"))</f>
        <v>0</v>
      </c>
      <c r="BG625">
        <f>OR(AND(IF(Metadata!U625="",FALSE,TRUE),OR(exact(Metadata!U625,"not collected"),exact(Metadata!U625,"not provided"),exact(Metadata!U625,"restricted access"))),AND(IF(Metadata!U625="",FALSE,ISNUMBER(VALUE(Metadata!U625))),Metadata!U625&gt;=-180.00,Metadata!U625&lt;=180.00))</f>
        <v>0</v>
      </c>
      <c r="BH625">
        <f>AND(IF(Metadata!V625="",FALSE,TRUE),exact(Metadata!V625,"Decimal degrees"))</f>
        <v>0</v>
      </c>
      <c r="BI625">
        <f>IF(Metadata!W625="",FALSE,TRUE)</f>
        <v>0</v>
      </c>
      <c r="BJ625">
        <f>OR(AND(IF(Metadata!X625="",FALSE,TRUE),OR(exact(Metadata!X625,"not collected"),exact(Metadata!X625,"not provided"),exact(Metadata!X625,"restricted access"))),AND(IF(Metadata!X625="",FALSE,TRUE),OR(exact(Metadata!X625,"TRUE"),exact(Metadata!X625,"FALSE"))))</f>
        <v>0</v>
      </c>
      <c r="BK625">
        <f>AND(IF(Metadata!Y625="",FALSE,TRUE),exact(Metadata!Y625,"other"))</f>
        <v>0</v>
      </c>
      <c r="BL625">
        <f>IF(Metadata!Z625="",FALSE,TRUE)</f>
        <v>0</v>
      </c>
      <c r="BM625">
        <f>OR(AND(IF(Metadata!AA625="",FALSE,TRUE),OR(exact(Metadata!AA625,"not collected"),exact(Metadata!AA625,"not provided"))),AND(IF(Metadata!AA625="",FALSE,IF(ISERROR(INT(Metadata!AA625)),FALSE,INT(Metadata!AA625)=Metadata!AA625)),Metadata!AA625&gt;0))</f>
        <v>0</v>
      </c>
      <c r="BN625">
        <f>AND(IF(Metadata!AB625="",FALSE,TRUE),exact(Metadata!AB625,"Not applicable"))</f>
        <v>0</v>
      </c>
      <c r="BO625">
        <f>IF(Metadata!AC625="",FALSE,TRUE)</f>
        <v>0</v>
      </c>
    </row>
    <row r="626" spans="1:67">
      <c r="A626" s="5">
        <f>IF(B626=" "," ",HYPERLINK(CONCATENATE("#metadata!",ADDRESS(INDEX($AI$2:$AI$1001,MATCH(ROWS($AG$2:AG626),$AG$2:$AG$1001,0),0),1)),INDEX($AL$2:$AL$1001,MATCH(ROWS($AG$2:AG626),$AG$2:$AG$1001,0),0)))</f>
        <v>0</v>
      </c>
      <c r="B626" s="4">
        <f>IF(OR(INDEX($AH$2:$AH$1001,MATCH(ROWS($AG$2:AG626),$AG$2:$AG$1001,0),1)&gt;=100000,INDEX($AN$1005:$BO$1005,1,MATCH(COLUMNS($AN$1006:AN1006),$AN$1006:$BO$1006,0))&gt;=100000), " ",IF(INDEX($AN$2:$BO$1001,MATCH(ROWS($AG$2:AG626),$AG$2:$AG$1001,0),MATCH(COLUMNS($AN$1006:AN1006),$AN$1006:$BO$1006,0)), HYPERLINK("#",""), HYPERLINK(CONCATENATE("#Metadata!", ADDRESS(INDEX($AI$2:$AI$1001,MATCH(ROWS($AG$2:AG626),$AG$2:$AG$1001,0),0), INDEX($AN$1004:$BO$1004,1,MATCH(COLUMNS($AN$1006:AN1006),$AN$1006:$BO$1006,0)))),"Fix")))</f>
        <v>0</v>
      </c>
      <c r="C626" s="4">
        <f>IF(OR(INDEX($AH$2:$AH$1001,MATCH(ROWS($AG$2:AG626),$AG$2:$AG$1001,0),1)&gt;=100000,INDEX($AN$1005:$BO$1005,1,MATCH(COLUMNS($AN$1006:AO1006),$AN$1006:$BO$1006,0))&gt;=100000), " ",IF(INDEX($AN$2:$BO$1001,MATCH(ROWS($AG$2:AG626),$AG$2:$AG$1001,0),MATCH(COLUMNS($AN$1006:AO1006),$AN$1006:$BO$1006,0)), HYPERLINK("#",""), HYPERLINK(CONCATENATE("#Metadata!", ADDRESS(INDEX($AI$2:$AI$1001,MATCH(ROWS($AG$2:AG626),$AG$2:$AG$1001,0),0), INDEX($AN$1004:$BO$1004,1,MATCH(COLUMNS($AN$1006:AO1006),$AN$1006:$BO$1006,0)))),"Fix")))</f>
        <v>0</v>
      </c>
      <c r="D626" s="4">
        <f>IF(OR(INDEX($AH$2:$AH$1001,MATCH(ROWS($AG$2:AG626),$AG$2:$AG$1001,0),1)&gt;=100000,INDEX($AN$1005:$BO$1005,1,MATCH(COLUMNS($AN$1006:AP1006),$AN$1006:$BO$1006,0))&gt;=100000), " ",IF(INDEX($AN$2:$BO$1001,MATCH(ROWS($AG$2:AG626),$AG$2:$AG$1001,0),MATCH(COLUMNS($AN$1006:AP1006),$AN$1006:$BO$1006,0)), HYPERLINK("#",""), HYPERLINK(CONCATENATE("#Metadata!", ADDRESS(INDEX($AI$2:$AI$1001,MATCH(ROWS($AG$2:AG626),$AG$2:$AG$1001,0),0), INDEX($AN$1004:$BO$1004,1,MATCH(COLUMNS($AN$1006:AP1006),$AN$1006:$BO$1006,0)))),"Fix")))</f>
        <v>0</v>
      </c>
      <c r="E626" s="4">
        <f>IF(OR(INDEX($AH$2:$AH$1001,MATCH(ROWS($AG$2:AG626),$AG$2:$AG$1001,0),1)&gt;=100000,INDEX($AN$1005:$BO$1005,1,MATCH(COLUMNS($AN$1006:AQ1006),$AN$1006:$BO$1006,0))&gt;=100000), " ",IF(INDEX($AN$2:$BO$1001,MATCH(ROWS($AG$2:AG626),$AG$2:$AG$1001,0),MATCH(COLUMNS($AN$1006:AQ1006),$AN$1006:$BO$1006,0)), HYPERLINK("#",""), HYPERLINK(CONCATENATE("#Metadata!", ADDRESS(INDEX($AI$2:$AI$1001,MATCH(ROWS($AG$2:AG626),$AG$2:$AG$1001,0),0), INDEX($AN$1004:$BO$1004,1,MATCH(COLUMNS($AN$1006:AQ1006),$AN$1006:$BO$1006,0)))),"Fix")))</f>
        <v>0</v>
      </c>
      <c r="F626" s="4">
        <f>IF(OR(INDEX($AH$2:$AH$1001,MATCH(ROWS($AG$2:AG626),$AG$2:$AG$1001,0),1)&gt;=100000,INDEX($AN$1005:$BO$1005,1,MATCH(COLUMNS($AN$1006:AR1006),$AN$1006:$BO$1006,0))&gt;=100000), " ",IF(INDEX($AN$2:$BO$1001,MATCH(ROWS($AG$2:AG626),$AG$2:$AG$1001,0),MATCH(COLUMNS($AN$1006:AR1006),$AN$1006:$BO$1006,0)), HYPERLINK("#",""), HYPERLINK(CONCATENATE("#Metadata!", ADDRESS(INDEX($AI$2:$AI$1001,MATCH(ROWS($AG$2:AG626),$AG$2:$AG$1001,0),0), INDEX($AN$1004:$BO$1004,1,MATCH(COLUMNS($AN$1006:AR1006),$AN$1006:$BO$1006,0)))),"Fix")))</f>
        <v>0</v>
      </c>
      <c r="G626" s="4">
        <f>IF(OR(INDEX($AH$2:$AH$1001,MATCH(ROWS($AG$2:AG626),$AG$2:$AG$1001,0),1)&gt;=100000,INDEX($AN$1005:$BO$1005,1,MATCH(COLUMNS($AN$1006:AS1006),$AN$1006:$BO$1006,0))&gt;=100000), " ",IF(INDEX($AN$2:$BO$1001,MATCH(ROWS($AG$2:AG626),$AG$2:$AG$1001,0),MATCH(COLUMNS($AN$1006:AS1006),$AN$1006:$BO$1006,0)), HYPERLINK("#",""), HYPERLINK(CONCATENATE("#Metadata!", ADDRESS(INDEX($AI$2:$AI$1001,MATCH(ROWS($AG$2:AG626),$AG$2:$AG$1001,0),0), INDEX($AN$1004:$BO$1004,1,MATCH(COLUMNS($AN$1006:AS1006),$AN$1006:$BO$1006,0)))),"Fix")))</f>
        <v>0</v>
      </c>
      <c r="H626" s="4">
        <f>IF(OR(INDEX($AH$2:$AH$1001,MATCH(ROWS($AG$2:AG626),$AG$2:$AG$1001,0),1)&gt;=100000,INDEX($AN$1005:$BO$1005,1,MATCH(COLUMNS($AN$1006:AT1006),$AN$1006:$BO$1006,0))&gt;=100000), " ",IF(INDEX($AN$2:$BO$1001,MATCH(ROWS($AG$2:AG626),$AG$2:$AG$1001,0),MATCH(COLUMNS($AN$1006:AT1006),$AN$1006:$BO$1006,0)), HYPERLINK("#",""), HYPERLINK(CONCATENATE("#Metadata!", ADDRESS(INDEX($AI$2:$AI$1001,MATCH(ROWS($AG$2:AG626),$AG$2:$AG$1001,0),0), INDEX($AN$1004:$BO$1004,1,MATCH(COLUMNS($AN$1006:AT1006),$AN$1006:$BO$1006,0)))),"Fix")))</f>
        <v>0</v>
      </c>
      <c r="I626" s="4">
        <f>IF(OR(INDEX($AH$2:$AH$1001,MATCH(ROWS($AG$2:AG626),$AG$2:$AG$1001,0),1)&gt;=100000,INDEX($AN$1005:$BO$1005,1,MATCH(COLUMNS($AN$1006:AU1006),$AN$1006:$BO$1006,0))&gt;=100000), " ",IF(INDEX($AN$2:$BO$1001,MATCH(ROWS($AG$2:AG626),$AG$2:$AG$1001,0),MATCH(COLUMNS($AN$1006:AU1006),$AN$1006:$BO$1006,0)), HYPERLINK("#",""), HYPERLINK(CONCATENATE("#Metadata!", ADDRESS(INDEX($AI$2:$AI$1001,MATCH(ROWS($AG$2:AG626),$AG$2:$AG$1001,0),0), INDEX($AN$1004:$BO$1004,1,MATCH(COLUMNS($AN$1006:AU1006),$AN$1006:$BO$1006,0)))),"Fix")))</f>
        <v>0</v>
      </c>
      <c r="J626" s="4">
        <f>IF(OR(INDEX($AH$2:$AH$1001,MATCH(ROWS($AG$2:AG626),$AG$2:$AG$1001,0),1)&gt;=100000,INDEX($AN$1005:$BO$1005,1,MATCH(COLUMNS($AN$1006:AV1006),$AN$1006:$BO$1006,0))&gt;=100000), " ",IF(INDEX($AN$2:$BO$1001,MATCH(ROWS($AG$2:AG626),$AG$2:$AG$1001,0),MATCH(COLUMNS($AN$1006:AV1006),$AN$1006:$BO$1006,0)), HYPERLINK("#",""), HYPERLINK(CONCATENATE("#Metadata!", ADDRESS(INDEX($AI$2:$AI$1001,MATCH(ROWS($AG$2:AG626),$AG$2:$AG$1001,0),0), INDEX($AN$1004:$BO$1004,1,MATCH(COLUMNS($AN$1006:AV1006),$AN$1006:$BO$1006,0)))),"Fix")))</f>
        <v>0</v>
      </c>
      <c r="K626" s="4">
        <f>IF(OR(INDEX($AH$2:$AH$1001,MATCH(ROWS($AG$2:AG626),$AG$2:$AG$1001,0),1)&gt;=100000,INDEX($AN$1005:$BO$1005,1,MATCH(COLUMNS($AN$1006:AW1006),$AN$1006:$BO$1006,0))&gt;=100000), " ",IF(INDEX($AN$2:$BO$1001,MATCH(ROWS($AG$2:AG626),$AG$2:$AG$1001,0),MATCH(COLUMNS($AN$1006:AW1006),$AN$1006:$BO$1006,0)), HYPERLINK("#",""), HYPERLINK(CONCATENATE("#Metadata!", ADDRESS(INDEX($AI$2:$AI$1001,MATCH(ROWS($AG$2:AG626),$AG$2:$AG$1001,0),0), INDEX($AN$1004:$BO$1004,1,MATCH(COLUMNS($AN$1006:AW1006),$AN$1006:$BO$1006,0)))),"Fix")))</f>
        <v>0</v>
      </c>
      <c r="L626" s="4">
        <f>IF(OR(INDEX($AH$2:$AH$1001,MATCH(ROWS($AG$2:AG626),$AG$2:$AG$1001,0),1)&gt;=100000,INDEX($AN$1005:$BO$1005,1,MATCH(COLUMNS($AN$1006:AX1006),$AN$1006:$BO$1006,0))&gt;=100000), " ",IF(INDEX($AN$2:$BO$1001,MATCH(ROWS($AG$2:AG626),$AG$2:$AG$1001,0),MATCH(COLUMNS($AN$1006:AX1006),$AN$1006:$BO$1006,0)), HYPERLINK("#",""), HYPERLINK(CONCATENATE("#Metadata!", ADDRESS(INDEX($AI$2:$AI$1001,MATCH(ROWS($AG$2:AG626),$AG$2:$AG$1001,0),0), INDEX($AN$1004:$BO$1004,1,MATCH(COLUMNS($AN$1006:AX1006),$AN$1006:$BO$1006,0)))),"Fix")))</f>
        <v>0</v>
      </c>
      <c r="M626" s="4">
        <f>IF(OR(INDEX($AH$2:$AH$1001,MATCH(ROWS($AG$2:AG626),$AG$2:$AG$1001,0),1)&gt;=100000,INDEX($AN$1005:$BO$1005,1,MATCH(COLUMNS($AN$1006:AY1006),$AN$1006:$BO$1006,0))&gt;=100000), " ",IF(INDEX($AN$2:$BO$1001,MATCH(ROWS($AG$2:AG626),$AG$2:$AG$1001,0),MATCH(COLUMNS($AN$1006:AY1006),$AN$1006:$BO$1006,0)), HYPERLINK("#",""), HYPERLINK(CONCATENATE("#Metadata!", ADDRESS(INDEX($AI$2:$AI$1001,MATCH(ROWS($AG$2:AG626),$AG$2:$AG$1001,0),0), INDEX($AN$1004:$BO$1004,1,MATCH(COLUMNS($AN$1006:AY1006),$AN$1006:$BO$1006,0)))),"Fix")))</f>
        <v>0</v>
      </c>
      <c r="N626" s="4">
        <f>IF(OR(INDEX($AH$2:$AH$1001,MATCH(ROWS($AG$2:AG626),$AG$2:$AG$1001,0),1)&gt;=100000,INDEX($AN$1005:$BO$1005,1,MATCH(COLUMNS($AN$1006:AZ1006),$AN$1006:$BO$1006,0))&gt;=100000), " ",IF(INDEX($AN$2:$BO$1001,MATCH(ROWS($AG$2:AG626),$AG$2:$AG$1001,0),MATCH(COLUMNS($AN$1006:AZ1006),$AN$1006:$BO$1006,0)), HYPERLINK("#",""), HYPERLINK(CONCATENATE("#Metadata!", ADDRESS(INDEX($AI$2:$AI$1001,MATCH(ROWS($AG$2:AG626),$AG$2:$AG$1001,0),0), INDEX($AN$1004:$BO$1004,1,MATCH(COLUMNS($AN$1006:AZ1006),$AN$1006:$BO$1006,0)))),"Fix")))</f>
        <v>0</v>
      </c>
      <c r="O626" s="4">
        <f>IF(OR(INDEX($AH$2:$AH$1001,MATCH(ROWS($AG$2:AG626),$AG$2:$AG$1001,0),1)&gt;=100000,INDEX($AN$1005:$BO$1005,1,MATCH(COLUMNS($AN$1006:BA1006),$AN$1006:$BO$1006,0))&gt;=100000), " ",IF(INDEX($AN$2:$BO$1001,MATCH(ROWS($AG$2:AG626),$AG$2:$AG$1001,0),MATCH(COLUMNS($AN$1006:BA1006),$AN$1006:$BO$1006,0)), HYPERLINK("#",""), HYPERLINK(CONCATENATE("#Metadata!", ADDRESS(INDEX($AI$2:$AI$1001,MATCH(ROWS($AG$2:AG626),$AG$2:$AG$1001,0),0), INDEX($AN$1004:$BO$1004,1,MATCH(COLUMNS($AN$1006:BA1006),$AN$1006:$BO$1006,0)))),"Fix")))</f>
        <v>0</v>
      </c>
      <c r="P626" s="4">
        <f>IF(OR(INDEX($AH$2:$AH$1001,MATCH(ROWS($AG$2:AG626),$AG$2:$AG$1001,0),1)&gt;=100000,INDEX($AN$1005:$BO$1005,1,MATCH(COLUMNS($AN$1006:BB1006),$AN$1006:$BO$1006,0))&gt;=100000), " ",IF(INDEX($AN$2:$BO$1001,MATCH(ROWS($AG$2:AG626),$AG$2:$AG$1001,0),MATCH(COLUMNS($AN$1006:BB1006),$AN$1006:$BO$1006,0)), HYPERLINK("#",""), HYPERLINK(CONCATENATE("#Metadata!", ADDRESS(INDEX($AI$2:$AI$1001,MATCH(ROWS($AG$2:AG626),$AG$2:$AG$1001,0),0), INDEX($AN$1004:$BO$1004,1,MATCH(COLUMNS($AN$1006:BB1006),$AN$1006:$BO$1006,0)))),"Fix")))</f>
        <v>0</v>
      </c>
      <c r="Q626" s="4">
        <f>IF(OR(INDEX($AH$2:$AH$1001,MATCH(ROWS($AG$2:AG626),$AG$2:$AG$1001,0),1)&gt;=100000,INDEX($AN$1005:$BO$1005,1,MATCH(COLUMNS($AN$1006:BC1006),$AN$1006:$BO$1006,0))&gt;=100000), " ",IF(INDEX($AN$2:$BO$1001,MATCH(ROWS($AG$2:AG626),$AG$2:$AG$1001,0),MATCH(COLUMNS($AN$1006:BC1006),$AN$1006:$BO$1006,0)), HYPERLINK("#",""), HYPERLINK(CONCATENATE("#Metadata!", ADDRESS(INDEX($AI$2:$AI$1001,MATCH(ROWS($AG$2:AG626),$AG$2:$AG$1001,0),0), INDEX($AN$1004:$BO$1004,1,MATCH(COLUMNS($AN$1006:BC1006),$AN$1006:$BO$1006,0)))),"Fix")))</f>
        <v>0</v>
      </c>
      <c r="R626" s="4">
        <f>IF(OR(INDEX($AH$2:$AH$1001,MATCH(ROWS($AG$2:AG626),$AG$2:$AG$1001,0),1)&gt;=100000,INDEX($AN$1005:$BO$1005,1,MATCH(COLUMNS($AN$1006:BD1006),$AN$1006:$BO$1006,0))&gt;=100000), " ",IF(INDEX($AN$2:$BO$1001,MATCH(ROWS($AG$2:AG626),$AG$2:$AG$1001,0),MATCH(COLUMNS($AN$1006:BD1006),$AN$1006:$BO$1006,0)), HYPERLINK("#",""), HYPERLINK(CONCATENATE("#Metadata!", ADDRESS(INDEX($AI$2:$AI$1001,MATCH(ROWS($AG$2:AG626),$AG$2:$AG$1001,0),0), INDEX($AN$1004:$BO$1004,1,MATCH(COLUMNS($AN$1006:BD1006),$AN$1006:$BO$1006,0)))),"Fix")))</f>
        <v>0</v>
      </c>
      <c r="S626" s="4">
        <f>IF(OR(INDEX($AH$2:$AH$1001,MATCH(ROWS($AG$2:AG626),$AG$2:$AG$1001,0),1)&gt;=100000,INDEX($AN$1005:$BO$1005,1,MATCH(COLUMNS($AN$1006:BE1006),$AN$1006:$BO$1006,0))&gt;=100000), " ",IF(INDEX($AN$2:$BO$1001,MATCH(ROWS($AG$2:AG626),$AG$2:$AG$1001,0),MATCH(COLUMNS($AN$1006:BE1006),$AN$1006:$BO$1006,0)), HYPERLINK("#",""), HYPERLINK(CONCATENATE("#Metadata!", ADDRESS(INDEX($AI$2:$AI$1001,MATCH(ROWS($AG$2:AG626),$AG$2:$AG$1001,0),0), INDEX($AN$1004:$BO$1004,1,MATCH(COLUMNS($AN$1006:BE1006),$AN$1006:$BO$1006,0)))),"Fix")))</f>
        <v>0</v>
      </c>
      <c r="T626" s="4">
        <f>IF(OR(INDEX($AH$2:$AH$1001,MATCH(ROWS($AG$2:AG626),$AG$2:$AG$1001,0),1)&gt;=100000,INDEX($AN$1005:$BO$1005,1,MATCH(COLUMNS($AN$1006:BF1006),$AN$1006:$BO$1006,0))&gt;=100000), " ",IF(INDEX($AN$2:$BO$1001,MATCH(ROWS($AG$2:AG626),$AG$2:$AG$1001,0),MATCH(COLUMNS($AN$1006:BF1006),$AN$1006:$BO$1006,0)), HYPERLINK("#",""), HYPERLINK(CONCATENATE("#Metadata!", ADDRESS(INDEX($AI$2:$AI$1001,MATCH(ROWS($AG$2:AG626),$AG$2:$AG$1001,0),0), INDEX($AN$1004:$BO$1004,1,MATCH(COLUMNS($AN$1006:BF1006),$AN$1006:$BO$1006,0)))),"Fix")))</f>
        <v>0</v>
      </c>
      <c r="U626" s="4">
        <f>IF(OR(INDEX($AH$2:$AH$1001,MATCH(ROWS($AG$2:AG626),$AG$2:$AG$1001,0),1)&gt;=100000,INDEX($AN$1005:$BO$1005,1,MATCH(COLUMNS($AN$1006:BG1006),$AN$1006:$BO$1006,0))&gt;=100000), " ",IF(INDEX($AN$2:$BO$1001,MATCH(ROWS($AG$2:AG626),$AG$2:$AG$1001,0),MATCH(COLUMNS($AN$1006:BG1006),$AN$1006:$BO$1006,0)), HYPERLINK("#",""), HYPERLINK(CONCATENATE("#Metadata!", ADDRESS(INDEX($AI$2:$AI$1001,MATCH(ROWS($AG$2:AG626),$AG$2:$AG$1001,0),0), INDEX($AN$1004:$BO$1004,1,MATCH(COLUMNS($AN$1006:BG1006),$AN$1006:$BO$1006,0)))),"Fix")))</f>
        <v>0</v>
      </c>
      <c r="V626" s="4">
        <f>IF(OR(INDEX($AH$2:$AH$1001,MATCH(ROWS($AG$2:AG626),$AG$2:$AG$1001,0),1)&gt;=100000,INDEX($AN$1005:$BO$1005,1,MATCH(COLUMNS($AN$1006:BH1006),$AN$1006:$BO$1006,0))&gt;=100000), " ",IF(INDEX($AN$2:$BO$1001,MATCH(ROWS($AG$2:AG626),$AG$2:$AG$1001,0),MATCH(COLUMNS($AN$1006:BH1006),$AN$1006:$BO$1006,0)), HYPERLINK("#",""), HYPERLINK(CONCATENATE("#Metadata!", ADDRESS(INDEX($AI$2:$AI$1001,MATCH(ROWS($AG$2:AG626),$AG$2:$AG$1001,0),0), INDEX($AN$1004:$BO$1004,1,MATCH(COLUMNS($AN$1006:BH1006),$AN$1006:$BO$1006,0)))),"Fix")))</f>
        <v>0</v>
      </c>
      <c r="W626" s="4">
        <f>IF(OR(INDEX($AH$2:$AH$1001,MATCH(ROWS($AG$2:AG626),$AG$2:$AG$1001,0),1)&gt;=100000,INDEX($AN$1005:$BO$1005,1,MATCH(COLUMNS($AN$1006:BI1006),$AN$1006:$BO$1006,0))&gt;=100000), " ",IF(INDEX($AN$2:$BO$1001,MATCH(ROWS($AG$2:AG626),$AG$2:$AG$1001,0),MATCH(COLUMNS($AN$1006:BI1006),$AN$1006:$BO$1006,0)), HYPERLINK("#",""), HYPERLINK(CONCATENATE("#Metadata!", ADDRESS(INDEX($AI$2:$AI$1001,MATCH(ROWS($AG$2:AG626),$AG$2:$AG$1001,0),0), INDEX($AN$1004:$BO$1004,1,MATCH(COLUMNS($AN$1006:BI1006),$AN$1006:$BO$1006,0)))),"Fix")))</f>
        <v>0</v>
      </c>
      <c r="X626" s="4">
        <f>IF(OR(INDEX($AH$2:$AH$1001,MATCH(ROWS($AG$2:AG626),$AG$2:$AG$1001,0),1)&gt;=100000,INDEX($AN$1005:$BO$1005,1,MATCH(COLUMNS($AN$1006:BJ1006),$AN$1006:$BO$1006,0))&gt;=100000), " ",IF(INDEX($AN$2:$BO$1001,MATCH(ROWS($AG$2:AG626),$AG$2:$AG$1001,0),MATCH(COLUMNS($AN$1006:BJ1006),$AN$1006:$BO$1006,0)), HYPERLINK("#",""), HYPERLINK(CONCATENATE("#Metadata!", ADDRESS(INDEX($AI$2:$AI$1001,MATCH(ROWS($AG$2:AG626),$AG$2:$AG$1001,0),0), INDEX($AN$1004:$BO$1004,1,MATCH(COLUMNS($AN$1006:BJ1006),$AN$1006:$BO$1006,0)))),"Fix")))</f>
        <v>0</v>
      </c>
      <c r="Y626" s="4">
        <f>IF(OR(INDEX($AH$2:$AH$1001,MATCH(ROWS($AG$2:AG626),$AG$2:$AG$1001,0),1)&gt;=100000,INDEX($AN$1005:$BO$1005,1,MATCH(COLUMNS($AN$1006:BK1006),$AN$1006:$BO$1006,0))&gt;=100000), " ",IF(INDEX($AN$2:$BO$1001,MATCH(ROWS($AG$2:AG626),$AG$2:$AG$1001,0),MATCH(COLUMNS($AN$1006:BK1006),$AN$1006:$BO$1006,0)), HYPERLINK("#",""), HYPERLINK(CONCATENATE("#Metadata!", ADDRESS(INDEX($AI$2:$AI$1001,MATCH(ROWS($AG$2:AG626),$AG$2:$AG$1001,0),0), INDEX($AN$1004:$BO$1004,1,MATCH(COLUMNS($AN$1006:BK1006),$AN$1006:$BO$1006,0)))),"Fix")))</f>
        <v>0</v>
      </c>
      <c r="Z626" s="4">
        <f>IF(OR(INDEX($AH$2:$AH$1001,MATCH(ROWS($AG$2:AG626),$AG$2:$AG$1001,0),1)&gt;=100000,INDEX($AN$1005:$BO$1005,1,MATCH(COLUMNS($AN$1006:BL1006),$AN$1006:$BO$1006,0))&gt;=100000), " ",IF(INDEX($AN$2:$BO$1001,MATCH(ROWS($AG$2:AG626),$AG$2:$AG$1001,0),MATCH(COLUMNS($AN$1006:BL1006),$AN$1006:$BO$1006,0)), HYPERLINK("#",""), HYPERLINK(CONCATENATE("#Metadata!", ADDRESS(INDEX($AI$2:$AI$1001,MATCH(ROWS($AG$2:AG626),$AG$2:$AG$1001,0),0), INDEX($AN$1004:$BO$1004,1,MATCH(COLUMNS($AN$1006:BL1006),$AN$1006:$BO$1006,0)))),"Fix")))</f>
        <v>0</v>
      </c>
      <c r="AA626" s="4">
        <f>IF(OR(INDEX($AH$2:$AH$1001,MATCH(ROWS($AG$2:AG626),$AG$2:$AG$1001,0),1)&gt;=100000,INDEX($AN$1005:$BO$1005,1,MATCH(COLUMNS($AN$1006:BM1006),$AN$1006:$BO$1006,0))&gt;=100000), " ",IF(INDEX($AN$2:$BO$1001,MATCH(ROWS($AG$2:AG626),$AG$2:$AG$1001,0),MATCH(COLUMNS($AN$1006:BM1006),$AN$1006:$BO$1006,0)), HYPERLINK("#",""), HYPERLINK(CONCATENATE("#Metadata!", ADDRESS(INDEX($AI$2:$AI$1001,MATCH(ROWS($AG$2:AG626),$AG$2:$AG$1001,0),0), INDEX($AN$1004:$BO$1004,1,MATCH(COLUMNS($AN$1006:BM1006),$AN$1006:$BO$1006,0)))),"Fix")))</f>
        <v>0</v>
      </c>
      <c r="AB626" s="4">
        <f>IF(OR(INDEX($AH$2:$AH$1001,MATCH(ROWS($AG$2:AG626),$AG$2:$AG$1001,0),1)&gt;=100000,INDEX($AN$1005:$BO$1005,1,MATCH(COLUMNS($AN$1006:BN1006),$AN$1006:$BO$1006,0))&gt;=100000), " ",IF(INDEX($AN$2:$BO$1001,MATCH(ROWS($AG$2:AG626),$AG$2:$AG$1001,0),MATCH(COLUMNS($AN$1006:BN1006),$AN$1006:$BO$1006,0)), HYPERLINK("#",""), HYPERLINK(CONCATENATE("#Metadata!", ADDRESS(INDEX($AI$2:$AI$1001,MATCH(ROWS($AG$2:AG626),$AG$2:$AG$1001,0),0), INDEX($AN$1004:$BO$1004,1,MATCH(COLUMNS($AN$1006:BN1006),$AN$1006:$BO$1006,0)))),"Fix")))</f>
        <v>0</v>
      </c>
      <c r="AC626" s="4">
        <f>IF(OR(INDEX($AH$2:$AH$1001,MATCH(ROWS($AG$2:AG626),$AG$2:$AG$1001,0),1)&gt;=100000,INDEX($AN$1005:$BO$1005,1,MATCH(COLUMNS($AN$1006:BO1006),$AN$1006:$BO$1006,0))&gt;=100000), " ",IF(INDEX($AN$2:$BO$1001,MATCH(ROWS($AG$2:AG626),$AG$2:$AG$1001,0),MATCH(COLUMNS($AN$1006:BO1006),$AN$1006:$BO$1006,0)), HYPERLINK("#",""), HYPERLINK(CONCATENATE("#Metadata!", ADDRESS(INDEX($AI$2:$AI$1001,MATCH(ROWS($AG$2:AG626),$AG$2:$AG$1001,0),0), INDEX($AN$1004:$BO$1004,1,MATCH(COLUMNS($AN$1006:BO1006),$AN$1006:$BO$1006,0)))),"Fix")))</f>
        <v>0</v>
      </c>
      <c r="AG626">
        <v>0</v>
      </c>
      <c r="AH626">
        <v>0</v>
      </c>
      <c r="AI626">
        <v>0</v>
      </c>
      <c r="AJ626">
        <f>IF(AK626,TRUE,AND(AN626:BO626))</f>
        <v>0</v>
      </c>
      <c r="AK626">
        <f>COUNTBLANK(Metadata!B626:AC626)=COLUMNS(Metadata!B626:AC626)</f>
        <v>0</v>
      </c>
      <c r="AL626">
        <v>0</v>
      </c>
      <c r="AN626">
        <f>AND(IF(Metadata!B626="",FALSE,TRUE),COUNTIF(Metadata!B:B, Metadata!B626) = 1,NOT(ISERROR(SUMPRODUCT(SEARCH(MID(Metadata!B626,ROW(INDIRECT("1:"&amp;LEN(Metadata!B626))), 1),"0123456789abcdefghijklmnopqrstuvwxyzABCDEFGHIJKLMNOPQRSTUVWXYZ.")))))</f>
        <v>0</v>
      </c>
      <c r="AO626">
        <f>IF(Metadata!C626="",FALSE,TRUE)</f>
        <v>0</v>
      </c>
      <c r="AP626">
        <f>IF(Metadata!D626="",FALSE,TRUE)</f>
        <v>0</v>
      </c>
      <c r="AQ626">
        <f>OR(AND(IF(Metadata!E626="",FALSE,TRUE),OR(exact(Metadata!E626,"not collected"),exact(Metadata!E626,"not provided"),exact(Metadata!E626,"restricted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R626">
        <f>IF(Metadata!F626="",FALSE,TRUE)</f>
        <v>0</v>
      </c>
      <c r="AS626">
        <f>OR(AND(IF(Metadata!G626="",FALSE,TRUE),OR(exact(Metadata!G626,"not collected"),exact(Metadata!G626,"not provided"))),AND(IF(Metadata!G626="",FALSE,TRUE),OR(exact(Metadata!G626,"TRUE"),exact(Metadata!G626,"FALSE"))))</f>
        <v>0</v>
      </c>
      <c r="AT626">
        <f>OR(AND(IF(Metadata!H626="",FALSE,TRUE),OR(exact(Metadata!H626,"not collected"),exact(Metadata!H626,"not provided"),exact(Metadata!H626,"restricted access"))),AND(IF(Metadata!H626="",FALSE,ISNUMBER(VALUE(Metadata!H626))),Metadata!H626&gt;=-413.0))</f>
        <v>0</v>
      </c>
      <c r="AU626">
        <f>AND(IF(Metadata!I626="",FALSE,TRUE),exact(Metadata!I626,"meters"))</f>
        <v>0</v>
      </c>
      <c r="AV626">
        <f>AND(IF(Metadata!J626="",FALSE,TRUE),OR(exact(Metadata!J626,"Host-associated"),exact(Metadata!J626,"Free-living")))</f>
        <v>0</v>
      </c>
      <c r="AW626">
        <f>AND(IF(Metadata!K626="",FALSE,TRUE),OR(exact(Metadata!K626,"Animal"),exact(Metadata!K626,"Fungus"),exact(Metadata!K626,"Plant"),exact(Metadata!K626,"Saline"),exact(Metadata!K626,"Non-saline")))</f>
        <v>0</v>
      </c>
      <c r="AX626">
        <f>AND(IF(Metadata!L626="",FALSE,TRUE),OR(exact(Metadata!L626,"Plant secretion"),exact(Metadata!L626,"Plant rhizosphere"),exact(Metadata!L626,"Plant surface"),exact(Metadata!L626,"Plant corpus"),exact(Metadata!L626,"Fungus surface"),exact(Metadata!L626,"Fungus corpus"),exact(Metadata!L626,"Animal surface"),exact(Metadata!L626,"Animal proximal gut"),exact(Metadata!L626,"Animal corpus"),exact(Metadata!L626,"Animal distal gut"),exact(Metadata!L626,"Animal secretion"),exact(Metadata!L626,"Sub-surface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Y626">
        <f>IF(Metadata!M626="",FALSE,TRUE)</f>
        <v>0</v>
      </c>
      <c r="AZ626">
        <f>IF(Metadata!N626="",FALSE,TRUE)</f>
        <v>0</v>
      </c>
      <c r="BA626">
        <f>IF(Metadata!O626="",FALSE,TRUE)</f>
        <v>0</v>
      </c>
      <c r="BB626">
        <f>OR(AND(IF(Metadata!P626="",FALSE,TRUE),OR(exact(Metadata!P626,"not collected"),exact(Metadata!P626,"not provided"),exact(Metadata!P626,"restricted access"))),AND(IF(Metadata!P626="",FALSE,TRUE),OR(exact(Metadata!P626,"air"),exact(Metadata!P626,"built environment"),exact(Metadata!P626,"host-associated"),exact(Metadata!P626,"human-associated"),exact(Metadata!P626,"human-skin"),exact(Metadata!P626,"human-oral"),exact(Metadata!P626,"human-gut"),exact(Metadata!P626,"human-vaginal"),exact(Metadata!P626,"microbial mat/biofilm"),exact(Metadata!P626,"misc environment"),exact(Metadata!P626,"plant-associated"),exact(Metadata!P626,"sediment"),exact(Metadata!P626,"soil"),exact(Metadata!P626,"wastewater/sludge"),exact(Metadata!P626,"water"))))</f>
        <v>0</v>
      </c>
      <c r="BC626">
        <f>IF(Metadata!Q626="",FALSE,TRUE)</f>
        <v>0</v>
      </c>
      <c r="BD626">
        <f>IF(Metadata!R626="",FALSE,TRUE)</f>
        <v>0</v>
      </c>
      <c r="BE626">
        <f>OR(AND(IF(Metadata!S626="",FALSE,TRUE),OR(exact(Metadata!S626,"not collected"),exact(Metadata!S626,"not provided"),exact(Metadata!S626,"restricted access"))),AND(IF(Metadata!S626="",FALSE,ISNUMBER(VALUE(Metadata!S626))),Metadata!S626&gt;=-90.00,Metadata!S626&lt;=90.00))</f>
        <v>0</v>
      </c>
      <c r="BF626">
        <f>AND(IF(Metadata!T626="",FALSE,TRUE),exact(Metadata!T626,"Decimal degrees"))</f>
        <v>0</v>
      </c>
      <c r="BG626">
        <f>OR(AND(IF(Metadata!U626="",FALSE,TRUE),OR(exact(Metadata!U626,"not collected"),exact(Metadata!U626,"not provided"),exact(Metadata!U626,"restricted access"))),AND(IF(Metadata!U626="",FALSE,ISNUMBER(VALUE(Metadata!U626))),Metadata!U626&gt;=-180.00,Metadata!U626&lt;=180.00))</f>
        <v>0</v>
      </c>
      <c r="BH626">
        <f>AND(IF(Metadata!V626="",FALSE,TRUE),exact(Metadata!V626,"Decimal degrees"))</f>
        <v>0</v>
      </c>
      <c r="BI626">
        <f>IF(Metadata!W626="",FALSE,TRUE)</f>
        <v>0</v>
      </c>
      <c r="BJ626">
        <f>OR(AND(IF(Metadata!X626="",FALSE,TRUE),OR(exact(Metadata!X626,"not collected"),exact(Metadata!X626,"not provided"),exact(Metadata!X626,"restricted access"))),AND(IF(Metadata!X626="",FALSE,TRUE),OR(exact(Metadata!X626,"TRUE"),exact(Metadata!X626,"FALSE"))))</f>
        <v>0</v>
      </c>
      <c r="BK626">
        <f>AND(IF(Metadata!Y626="",FALSE,TRUE),exact(Metadata!Y626,"other"))</f>
        <v>0</v>
      </c>
      <c r="BL626">
        <f>IF(Metadata!Z626="",FALSE,TRUE)</f>
        <v>0</v>
      </c>
      <c r="BM626">
        <f>OR(AND(IF(Metadata!AA626="",FALSE,TRUE),OR(exact(Metadata!AA626,"not collected"),exact(Metadata!AA626,"not provided"))),AND(IF(Metadata!AA626="",FALSE,IF(ISERROR(INT(Metadata!AA626)),FALSE,INT(Metadata!AA626)=Metadata!AA626)),Metadata!AA626&gt;0))</f>
        <v>0</v>
      </c>
      <c r="BN626">
        <f>AND(IF(Metadata!AB626="",FALSE,TRUE),exact(Metadata!AB626,"Not applicable"))</f>
        <v>0</v>
      </c>
      <c r="BO626">
        <f>IF(Metadata!AC626="",FALSE,TRUE)</f>
        <v>0</v>
      </c>
    </row>
    <row r="627" spans="1:67">
      <c r="A627" s="5">
        <f>IF(B627=" "," ",HYPERLINK(CONCATENATE("#metadata!",ADDRESS(INDEX($AI$2:$AI$1001,MATCH(ROWS($AG$2:AG627),$AG$2:$AG$1001,0),0),1)),INDEX($AL$2:$AL$1001,MATCH(ROWS($AG$2:AG627),$AG$2:$AG$1001,0),0)))</f>
        <v>0</v>
      </c>
      <c r="B627" s="4">
        <f>IF(OR(INDEX($AH$2:$AH$1001,MATCH(ROWS($AG$2:AG627),$AG$2:$AG$1001,0),1)&gt;=100000,INDEX($AN$1005:$BO$1005,1,MATCH(COLUMNS($AN$1006:AN1006),$AN$1006:$BO$1006,0))&gt;=100000), " ",IF(INDEX($AN$2:$BO$1001,MATCH(ROWS($AG$2:AG627),$AG$2:$AG$1001,0),MATCH(COLUMNS($AN$1006:AN1006),$AN$1006:$BO$1006,0)), HYPERLINK("#",""), HYPERLINK(CONCATENATE("#Metadata!", ADDRESS(INDEX($AI$2:$AI$1001,MATCH(ROWS($AG$2:AG627),$AG$2:$AG$1001,0),0), INDEX($AN$1004:$BO$1004,1,MATCH(COLUMNS($AN$1006:AN1006),$AN$1006:$BO$1006,0)))),"Fix")))</f>
        <v>0</v>
      </c>
      <c r="C627" s="4">
        <f>IF(OR(INDEX($AH$2:$AH$1001,MATCH(ROWS($AG$2:AG627),$AG$2:$AG$1001,0),1)&gt;=100000,INDEX($AN$1005:$BO$1005,1,MATCH(COLUMNS($AN$1006:AO1006),$AN$1006:$BO$1006,0))&gt;=100000), " ",IF(INDEX($AN$2:$BO$1001,MATCH(ROWS($AG$2:AG627),$AG$2:$AG$1001,0),MATCH(COLUMNS($AN$1006:AO1006),$AN$1006:$BO$1006,0)), HYPERLINK("#",""), HYPERLINK(CONCATENATE("#Metadata!", ADDRESS(INDEX($AI$2:$AI$1001,MATCH(ROWS($AG$2:AG627),$AG$2:$AG$1001,0),0), INDEX($AN$1004:$BO$1004,1,MATCH(COLUMNS($AN$1006:AO1006),$AN$1006:$BO$1006,0)))),"Fix")))</f>
        <v>0</v>
      </c>
      <c r="D627" s="4">
        <f>IF(OR(INDEX($AH$2:$AH$1001,MATCH(ROWS($AG$2:AG627),$AG$2:$AG$1001,0),1)&gt;=100000,INDEX($AN$1005:$BO$1005,1,MATCH(COLUMNS($AN$1006:AP1006),$AN$1006:$BO$1006,0))&gt;=100000), " ",IF(INDEX($AN$2:$BO$1001,MATCH(ROWS($AG$2:AG627),$AG$2:$AG$1001,0),MATCH(COLUMNS($AN$1006:AP1006),$AN$1006:$BO$1006,0)), HYPERLINK("#",""), HYPERLINK(CONCATENATE("#Metadata!", ADDRESS(INDEX($AI$2:$AI$1001,MATCH(ROWS($AG$2:AG627),$AG$2:$AG$1001,0),0), INDEX($AN$1004:$BO$1004,1,MATCH(COLUMNS($AN$1006:AP1006),$AN$1006:$BO$1006,0)))),"Fix")))</f>
        <v>0</v>
      </c>
      <c r="E627" s="4">
        <f>IF(OR(INDEX($AH$2:$AH$1001,MATCH(ROWS($AG$2:AG627),$AG$2:$AG$1001,0),1)&gt;=100000,INDEX($AN$1005:$BO$1005,1,MATCH(COLUMNS($AN$1006:AQ1006),$AN$1006:$BO$1006,0))&gt;=100000), " ",IF(INDEX($AN$2:$BO$1001,MATCH(ROWS($AG$2:AG627),$AG$2:$AG$1001,0),MATCH(COLUMNS($AN$1006:AQ1006),$AN$1006:$BO$1006,0)), HYPERLINK("#",""), HYPERLINK(CONCATENATE("#Metadata!", ADDRESS(INDEX($AI$2:$AI$1001,MATCH(ROWS($AG$2:AG627),$AG$2:$AG$1001,0),0), INDEX($AN$1004:$BO$1004,1,MATCH(COLUMNS($AN$1006:AQ1006),$AN$1006:$BO$1006,0)))),"Fix")))</f>
        <v>0</v>
      </c>
      <c r="F627" s="4">
        <f>IF(OR(INDEX($AH$2:$AH$1001,MATCH(ROWS($AG$2:AG627),$AG$2:$AG$1001,0),1)&gt;=100000,INDEX($AN$1005:$BO$1005,1,MATCH(COLUMNS($AN$1006:AR1006),$AN$1006:$BO$1006,0))&gt;=100000), " ",IF(INDEX($AN$2:$BO$1001,MATCH(ROWS($AG$2:AG627),$AG$2:$AG$1001,0),MATCH(COLUMNS($AN$1006:AR1006),$AN$1006:$BO$1006,0)), HYPERLINK("#",""), HYPERLINK(CONCATENATE("#Metadata!", ADDRESS(INDEX($AI$2:$AI$1001,MATCH(ROWS($AG$2:AG627),$AG$2:$AG$1001,0),0), INDEX($AN$1004:$BO$1004,1,MATCH(COLUMNS($AN$1006:AR1006),$AN$1006:$BO$1006,0)))),"Fix")))</f>
        <v>0</v>
      </c>
      <c r="G627" s="4">
        <f>IF(OR(INDEX($AH$2:$AH$1001,MATCH(ROWS($AG$2:AG627),$AG$2:$AG$1001,0),1)&gt;=100000,INDEX($AN$1005:$BO$1005,1,MATCH(COLUMNS($AN$1006:AS1006),$AN$1006:$BO$1006,0))&gt;=100000), " ",IF(INDEX($AN$2:$BO$1001,MATCH(ROWS($AG$2:AG627),$AG$2:$AG$1001,0),MATCH(COLUMNS($AN$1006:AS1006),$AN$1006:$BO$1006,0)), HYPERLINK("#",""), HYPERLINK(CONCATENATE("#Metadata!", ADDRESS(INDEX($AI$2:$AI$1001,MATCH(ROWS($AG$2:AG627),$AG$2:$AG$1001,0),0), INDEX($AN$1004:$BO$1004,1,MATCH(COLUMNS($AN$1006:AS1006),$AN$1006:$BO$1006,0)))),"Fix")))</f>
        <v>0</v>
      </c>
      <c r="H627" s="4">
        <f>IF(OR(INDEX($AH$2:$AH$1001,MATCH(ROWS($AG$2:AG627),$AG$2:$AG$1001,0),1)&gt;=100000,INDEX($AN$1005:$BO$1005,1,MATCH(COLUMNS($AN$1006:AT1006),$AN$1006:$BO$1006,0))&gt;=100000), " ",IF(INDEX($AN$2:$BO$1001,MATCH(ROWS($AG$2:AG627),$AG$2:$AG$1001,0),MATCH(COLUMNS($AN$1006:AT1006),$AN$1006:$BO$1006,0)), HYPERLINK("#",""), HYPERLINK(CONCATENATE("#Metadata!", ADDRESS(INDEX($AI$2:$AI$1001,MATCH(ROWS($AG$2:AG627),$AG$2:$AG$1001,0),0), INDEX($AN$1004:$BO$1004,1,MATCH(COLUMNS($AN$1006:AT1006),$AN$1006:$BO$1006,0)))),"Fix")))</f>
        <v>0</v>
      </c>
      <c r="I627" s="4">
        <f>IF(OR(INDEX($AH$2:$AH$1001,MATCH(ROWS($AG$2:AG627),$AG$2:$AG$1001,0),1)&gt;=100000,INDEX($AN$1005:$BO$1005,1,MATCH(COLUMNS($AN$1006:AU1006),$AN$1006:$BO$1006,0))&gt;=100000), " ",IF(INDEX($AN$2:$BO$1001,MATCH(ROWS($AG$2:AG627),$AG$2:$AG$1001,0),MATCH(COLUMNS($AN$1006:AU1006),$AN$1006:$BO$1006,0)), HYPERLINK("#",""), HYPERLINK(CONCATENATE("#Metadata!", ADDRESS(INDEX($AI$2:$AI$1001,MATCH(ROWS($AG$2:AG627),$AG$2:$AG$1001,0),0), INDEX($AN$1004:$BO$1004,1,MATCH(COLUMNS($AN$1006:AU1006),$AN$1006:$BO$1006,0)))),"Fix")))</f>
        <v>0</v>
      </c>
      <c r="J627" s="4">
        <f>IF(OR(INDEX($AH$2:$AH$1001,MATCH(ROWS($AG$2:AG627),$AG$2:$AG$1001,0),1)&gt;=100000,INDEX($AN$1005:$BO$1005,1,MATCH(COLUMNS($AN$1006:AV1006),$AN$1006:$BO$1006,0))&gt;=100000), " ",IF(INDEX($AN$2:$BO$1001,MATCH(ROWS($AG$2:AG627),$AG$2:$AG$1001,0),MATCH(COLUMNS($AN$1006:AV1006),$AN$1006:$BO$1006,0)), HYPERLINK("#",""), HYPERLINK(CONCATENATE("#Metadata!", ADDRESS(INDEX($AI$2:$AI$1001,MATCH(ROWS($AG$2:AG627),$AG$2:$AG$1001,0),0), INDEX($AN$1004:$BO$1004,1,MATCH(COLUMNS($AN$1006:AV1006),$AN$1006:$BO$1006,0)))),"Fix")))</f>
        <v>0</v>
      </c>
      <c r="K627" s="4">
        <f>IF(OR(INDEX($AH$2:$AH$1001,MATCH(ROWS($AG$2:AG627),$AG$2:$AG$1001,0),1)&gt;=100000,INDEX($AN$1005:$BO$1005,1,MATCH(COLUMNS($AN$1006:AW1006),$AN$1006:$BO$1006,0))&gt;=100000), " ",IF(INDEX($AN$2:$BO$1001,MATCH(ROWS($AG$2:AG627),$AG$2:$AG$1001,0),MATCH(COLUMNS($AN$1006:AW1006),$AN$1006:$BO$1006,0)), HYPERLINK("#",""), HYPERLINK(CONCATENATE("#Metadata!", ADDRESS(INDEX($AI$2:$AI$1001,MATCH(ROWS($AG$2:AG627),$AG$2:$AG$1001,0),0), INDEX($AN$1004:$BO$1004,1,MATCH(COLUMNS($AN$1006:AW1006),$AN$1006:$BO$1006,0)))),"Fix")))</f>
        <v>0</v>
      </c>
      <c r="L627" s="4">
        <f>IF(OR(INDEX($AH$2:$AH$1001,MATCH(ROWS($AG$2:AG627),$AG$2:$AG$1001,0),1)&gt;=100000,INDEX($AN$1005:$BO$1005,1,MATCH(COLUMNS($AN$1006:AX1006),$AN$1006:$BO$1006,0))&gt;=100000), " ",IF(INDEX($AN$2:$BO$1001,MATCH(ROWS($AG$2:AG627),$AG$2:$AG$1001,0),MATCH(COLUMNS($AN$1006:AX1006),$AN$1006:$BO$1006,0)), HYPERLINK("#",""), HYPERLINK(CONCATENATE("#Metadata!", ADDRESS(INDEX($AI$2:$AI$1001,MATCH(ROWS($AG$2:AG627),$AG$2:$AG$1001,0),0), INDEX($AN$1004:$BO$1004,1,MATCH(COLUMNS($AN$1006:AX1006),$AN$1006:$BO$1006,0)))),"Fix")))</f>
        <v>0</v>
      </c>
      <c r="M627" s="4">
        <f>IF(OR(INDEX($AH$2:$AH$1001,MATCH(ROWS($AG$2:AG627),$AG$2:$AG$1001,0),1)&gt;=100000,INDEX($AN$1005:$BO$1005,1,MATCH(COLUMNS($AN$1006:AY1006),$AN$1006:$BO$1006,0))&gt;=100000), " ",IF(INDEX($AN$2:$BO$1001,MATCH(ROWS($AG$2:AG627),$AG$2:$AG$1001,0),MATCH(COLUMNS($AN$1006:AY1006),$AN$1006:$BO$1006,0)), HYPERLINK("#",""), HYPERLINK(CONCATENATE("#Metadata!", ADDRESS(INDEX($AI$2:$AI$1001,MATCH(ROWS($AG$2:AG627),$AG$2:$AG$1001,0),0), INDEX($AN$1004:$BO$1004,1,MATCH(COLUMNS($AN$1006:AY1006),$AN$1006:$BO$1006,0)))),"Fix")))</f>
        <v>0</v>
      </c>
      <c r="N627" s="4">
        <f>IF(OR(INDEX($AH$2:$AH$1001,MATCH(ROWS($AG$2:AG627),$AG$2:$AG$1001,0),1)&gt;=100000,INDEX($AN$1005:$BO$1005,1,MATCH(COLUMNS($AN$1006:AZ1006),$AN$1006:$BO$1006,0))&gt;=100000), " ",IF(INDEX($AN$2:$BO$1001,MATCH(ROWS($AG$2:AG627),$AG$2:$AG$1001,0),MATCH(COLUMNS($AN$1006:AZ1006),$AN$1006:$BO$1006,0)), HYPERLINK("#",""), HYPERLINK(CONCATENATE("#Metadata!", ADDRESS(INDEX($AI$2:$AI$1001,MATCH(ROWS($AG$2:AG627),$AG$2:$AG$1001,0),0), INDEX($AN$1004:$BO$1004,1,MATCH(COLUMNS($AN$1006:AZ1006),$AN$1006:$BO$1006,0)))),"Fix")))</f>
        <v>0</v>
      </c>
      <c r="O627" s="4">
        <f>IF(OR(INDEX($AH$2:$AH$1001,MATCH(ROWS($AG$2:AG627),$AG$2:$AG$1001,0),1)&gt;=100000,INDEX($AN$1005:$BO$1005,1,MATCH(COLUMNS($AN$1006:BA1006),$AN$1006:$BO$1006,0))&gt;=100000), " ",IF(INDEX($AN$2:$BO$1001,MATCH(ROWS($AG$2:AG627),$AG$2:$AG$1001,0),MATCH(COLUMNS($AN$1006:BA1006),$AN$1006:$BO$1006,0)), HYPERLINK("#",""), HYPERLINK(CONCATENATE("#Metadata!", ADDRESS(INDEX($AI$2:$AI$1001,MATCH(ROWS($AG$2:AG627),$AG$2:$AG$1001,0),0), INDEX($AN$1004:$BO$1004,1,MATCH(COLUMNS($AN$1006:BA1006),$AN$1006:$BO$1006,0)))),"Fix")))</f>
        <v>0</v>
      </c>
      <c r="P627" s="4">
        <f>IF(OR(INDEX($AH$2:$AH$1001,MATCH(ROWS($AG$2:AG627),$AG$2:$AG$1001,0),1)&gt;=100000,INDEX($AN$1005:$BO$1005,1,MATCH(COLUMNS($AN$1006:BB1006),$AN$1006:$BO$1006,0))&gt;=100000), " ",IF(INDEX($AN$2:$BO$1001,MATCH(ROWS($AG$2:AG627),$AG$2:$AG$1001,0),MATCH(COLUMNS($AN$1006:BB1006),$AN$1006:$BO$1006,0)), HYPERLINK("#",""), HYPERLINK(CONCATENATE("#Metadata!", ADDRESS(INDEX($AI$2:$AI$1001,MATCH(ROWS($AG$2:AG627),$AG$2:$AG$1001,0),0), INDEX($AN$1004:$BO$1004,1,MATCH(COLUMNS($AN$1006:BB1006),$AN$1006:$BO$1006,0)))),"Fix")))</f>
        <v>0</v>
      </c>
      <c r="Q627" s="4">
        <f>IF(OR(INDEX($AH$2:$AH$1001,MATCH(ROWS($AG$2:AG627),$AG$2:$AG$1001,0),1)&gt;=100000,INDEX($AN$1005:$BO$1005,1,MATCH(COLUMNS($AN$1006:BC1006),$AN$1006:$BO$1006,0))&gt;=100000), " ",IF(INDEX($AN$2:$BO$1001,MATCH(ROWS($AG$2:AG627),$AG$2:$AG$1001,0),MATCH(COLUMNS($AN$1006:BC1006),$AN$1006:$BO$1006,0)), HYPERLINK("#",""), HYPERLINK(CONCATENATE("#Metadata!", ADDRESS(INDEX($AI$2:$AI$1001,MATCH(ROWS($AG$2:AG627),$AG$2:$AG$1001,0),0), INDEX($AN$1004:$BO$1004,1,MATCH(COLUMNS($AN$1006:BC1006),$AN$1006:$BO$1006,0)))),"Fix")))</f>
        <v>0</v>
      </c>
      <c r="R627" s="4">
        <f>IF(OR(INDEX($AH$2:$AH$1001,MATCH(ROWS($AG$2:AG627),$AG$2:$AG$1001,0),1)&gt;=100000,INDEX($AN$1005:$BO$1005,1,MATCH(COLUMNS($AN$1006:BD1006),$AN$1006:$BO$1006,0))&gt;=100000), " ",IF(INDEX($AN$2:$BO$1001,MATCH(ROWS($AG$2:AG627),$AG$2:$AG$1001,0),MATCH(COLUMNS($AN$1006:BD1006),$AN$1006:$BO$1006,0)), HYPERLINK("#",""), HYPERLINK(CONCATENATE("#Metadata!", ADDRESS(INDEX($AI$2:$AI$1001,MATCH(ROWS($AG$2:AG627),$AG$2:$AG$1001,0),0), INDEX($AN$1004:$BO$1004,1,MATCH(COLUMNS($AN$1006:BD1006),$AN$1006:$BO$1006,0)))),"Fix")))</f>
        <v>0</v>
      </c>
      <c r="S627" s="4">
        <f>IF(OR(INDEX($AH$2:$AH$1001,MATCH(ROWS($AG$2:AG627),$AG$2:$AG$1001,0),1)&gt;=100000,INDEX($AN$1005:$BO$1005,1,MATCH(COLUMNS($AN$1006:BE1006),$AN$1006:$BO$1006,0))&gt;=100000), " ",IF(INDEX($AN$2:$BO$1001,MATCH(ROWS($AG$2:AG627),$AG$2:$AG$1001,0),MATCH(COLUMNS($AN$1006:BE1006),$AN$1006:$BO$1006,0)), HYPERLINK("#",""), HYPERLINK(CONCATENATE("#Metadata!", ADDRESS(INDEX($AI$2:$AI$1001,MATCH(ROWS($AG$2:AG627),$AG$2:$AG$1001,0),0), INDEX($AN$1004:$BO$1004,1,MATCH(COLUMNS($AN$1006:BE1006),$AN$1006:$BO$1006,0)))),"Fix")))</f>
        <v>0</v>
      </c>
      <c r="T627" s="4">
        <f>IF(OR(INDEX($AH$2:$AH$1001,MATCH(ROWS($AG$2:AG627),$AG$2:$AG$1001,0),1)&gt;=100000,INDEX($AN$1005:$BO$1005,1,MATCH(COLUMNS($AN$1006:BF1006),$AN$1006:$BO$1006,0))&gt;=100000), " ",IF(INDEX($AN$2:$BO$1001,MATCH(ROWS($AG$2:AG627),$AG$2:$AG$1001,0),MATCH(COLUMNS($AN$1006:BF1006),$AN$1006:$BO$1006,0)), HYPERLINK("#",""), HYPERLINK(CONCATENATE("#Metadata!", ADDRESS(INDEX($AI$2:$AI$1001,MATCH(ROWS($AG$2:AG627),$AG$2:$AG$1001,0),0), INDEX($AN$1004:$BO$1004,1,MATCH(COLUMNS($AN$1006:BF1006),$AN$1006:$BO$1006,0)))),"Fix")))</f>
        <v>0</v>
      </c>
      <c r="U627" s="4">
        <f>IF(OR(INDEX($AH$2:$AH$1001,MATCH(ROWS($AG$2:AG627),$AG$2:$AG$1001,0),1)&gt;=100000,INDEX($AN$1005:$BO$1005,1,MATCH(COLUMNS($AN$1006:BG1006),$AN$1006:$BO$1006,0))&gt;=100000), " ",IF(INDEX($AN$2:$BO$1001,MATCH(ROWS($AG$2:AG627),$AG$2:$AG$1001,0),MATCH(COLUMNS($AN$1006:BG1006),$AN$1006:$BO$1006,0)), HYPERLINK("#",""), HYPERLINK(CONCATENATE("#Metadata!", ADDRESS(INDEX($AI$2:$AI$1001,MATCH(ROWS($AG$2:AG627),$AG$2:$AG$1001,0),0), INDEX($AN$1004:$BO$1004,1,MATCH(COLUMNS($AN$1006:BG1006),$AN$1006:$BO$1006,0)))),"Fix")))</f>
        <v>0</v>
      </c>
      <c r="V627" s="4">
        <f>IF(OR(INDEX($AH$2:$AH$1001,MATCH(ROWS($AG$2:AG627),$AG$2:$AG$1001,0),1)&gt;=100000,INDEX($AN$1005:$BO$1005,1,MATCH(COLUMNS($AN$1006:BH1006),$AN$1006:$BO$1006,0))&gt;=100000), " ",IF(INDEX($AN$2:$BO$1001,MATCH(ROWS($AG$2:AG627),$AG$2:$AG$1001,0),MATCH(COLUMNS($AN$1006:BH1006),$AN$1006:$BO$1006,0)), HYPERLINK("#",""), HYPERLINK(CONCATENATE("#Metadata!", ADDRESS(INDEX($AI$2:$AI$1001,MATCH(ROWS($AG$2:AG627),$AG$2:$AG$1001,0),0), INDEX($AN$1004:$BO$1004,1,MATCH(COLUMNS($AN$1006:BH1006),$AN$1006:$BO$1006,0)))),"Fix")))</f>
        <v>0</v>
      </c>
      <c r="W627" s="4">
        <f>IF(OR(INDEX($AH$2:$AH$1001,MATCH(ROWS($AG$2:AG627),$AG$2:$AG$1001,0),1)&gt;=100000,INDEX($AN$1005:$BO$1005,1,MATCH(COLUMNS($AN$1006:BI1006),$AN$1006:$BO$1006,0))&gt;=100000), " ",IF(INDEX($AN$2:$BO$1001,MATCH(ROWS($AG$2:AG627),$AG$2:$AG$1001,0),MATCH(COLUMNS($AN$1006:BI1006),$AN$1006:$BO$1006,0)), HYPERLINK("#",""), HYPERLINK(CONCATENATE("#Metadata!", ADDRESS(INDEX($AI$2:$AI$1001,MATCH(ROWS($AG$2:AG627),$AG$2:$AG$1001,0),0), INDEX($AN$1004:$BO$1004,1,MATCH(COLUMNS($AN$1006:BI1006),$AN$1006:$BO$1006,0)))),"Fix")))</f>
        <v>0</v>
      </c>
      <c r="X627" s="4">
        <f>IF(OR(INDEX($AH$2:$AH$1001,MATCH(ROWS($AG$2:AG627),$AG$2:$AG$1001,0),1)&gt;=100000,INDEX($AN$1005:$BO$1005,1,MATCH(COLUMNS($AN$1006:BJ1006),$AN$1006:$BO$1006,0))&gt;=100000), " ",IF(INDEX($AN$2:$BO$1001,MATCH(ROWS($AG$2:AG627),$AG$2:$AG$1001,0),MATCH(COLUMNS($AN$1006:BJ1006),$AN$1006:$BO$1006,0)), HYPERLINK("#",""), HYPERLINK(CONCATENATE("#Metadata!", ADDRESS(INDEX($AI$2:$AI$1001,MATCH(ROWS($AG$2:AG627),$AG$2:$AG$1001,0),0), INDEX($AN$1004:$BO$1004,1,MATCH(COLUMNS($AN$1006:BJ1006),$AN$1006:$BO$1006,0)))),"Fix")))</f>
        <v>0</v>
      </c>
      <c r="Y627" s="4">
        <f>IF(OR(INDEX($AH$2:$AH$1001,MATCH(ROWS($AG$2:AG627),$AG$2:$AG$1001,0),1)&gt;=100000,INDEX($AN$1005:$BO$1005,1,MATCH(COLUMNS($AN$1006:BK1006),$AN$1006:$BO$1006,0))&gt;=100000), " ",IF(INDEX($AN$2:$BO$1001,MATCH(ROWS($AG$2:AG627),$AG$2:$AG$1001,0),MATCH(COLUMNS($AN$1006:BK1006),$AN$1006:$BO$1006,0)), HYPERLINK("#",""), HYPERLINK(CONCATENATE("#Metadata!", ADDRESS(INDEX($AI$2:$AI$1001,MATCH(ROWS($AG$2:AG627),$AG$2:$AG$1001,0),0), INDEX($AN$1004:$BO$1004,1,MATCH(COLUMNS($AN$1006:BK1006),$AN$1006:$BO$1006,0)))),"Fix")))</f>
        <v>0</v>
      </c>
      <c r="Z627" s="4">
        <f>IF(OR(INDEX($AH$2:$AH$1001,MATCH(ROWS($AG$2:AG627),$AG$2:$AG$1001,0),1)&gt;=100000,INDEX($AN$1005:$BO$1005,1,MATCH(COLUMNS($AN$1006:BL1006),$AN$1006:$BO$1006,0))&gt;=100000), " ",IF(INDEX($AN$2:$BO$1001,MATCH(ROWS($AG$2:AG627),$AG$2:$AG$1001,0),MATCH(COLUMNS($AN$1006:BL1006),$AN$1006:$BO$1006,0)), HYPERLINK("#",""), HYPERLINK(CONCATENATE("#Metadata!", ADDRESS(INDEX($AI$2:$AI$1001,MATCH(ROWS($AG$2:AG627),$AG$2:$AG$1001,0),0), INDEX($AN$1004:$BO$1004,1,MATCH(COLUMNS($AN$1006:BL1006),$AN$1006:$BO$1006,0)))),"Fix")))</f>
        <v>0</v>
      </c>
      <c r="AA627" s="4">
        <f>IF(OR(INDEX($AH$2:$AH$1001,MATCH(ROWS($AG$2:AG627),$AG$2:$AG$1001,0),1)&gt;=100000,INDEX($AN$1005:$BO$1005,1,MATCH(COLUMNS($AN$1006:BM1006),$AN$1006:$BO$1006,0))&gt;=100000), " ",IF(INDEX($AN$2:$BO$1001,MATCH(ROWS($AG$2:AG627),$AG$2:$AG$1001,0),MATCH(COLUMNS($AN$1006:BM1006),$AN$1006:$BO$1006,0)), HYPERLINK("#",""), HYPERLINK(CONCATENATE("#Metadata!", ADDRESS(INDEX($AI$2:$AI$1001,MATCH(ROWS($AG$2:AG627),$AG$2:$AG$1001,0),0), INDEX($AN$1004:$BO$1004,1,MATCH(COLUMNS($AN$1006:BM1006),$AN$1006:$BO$1006,0)))),"Fix")))</f>
        <v>0</v>
      </c>
      <c r="AB627" s="4">
        <f>IF(OR(INDEX($AH$2:$AH$1001,MATCH(ROWS($AG$2:AG627),$AG$2:$AG$1001,0),1)&gt;=100000,INDEX($AN$1005:$BO$1005,1,MATCH(COLUMNS($AN$1006:BN1006),$AN$1006:$BO$1006,0))&gt;=100000), " ",IF(INDEX($AN$2:$BO$1001,MATCH(ROWS($AG$2:AG627),$AG$2:$AG$1001,0),MATCH(COLUMNS($AN$1006:BN1006),$AN$1006:$BO$1006,0)), HYPERLINK("#",""), HYPERLINK(CONCATENATE("#Metadata!", ADDRESS(INDEX($AI$2:$AI$1001,MATCH(ROWS($AG$2:AG627),$AG$2:$AG$1001,0),0), INDEX($AN$1004:$BO$1004,1,MATCH(COLUMNS($AN$1006:BN1006),$AN$1006:$BO$1006,0)))),"Fix")))</f>
        <v>0</v>
      </c>
      <c r="AC627" s="4">
        <f>IF(OR(INDEX($AH$2:$AH$1001,MATCH(ROWS($AG$2:AG627),$AG$2:$AG$1001,0),1)&gt;=100000,INDEX($AN$1005:$BO$1005,1,MATCH(COLUMNS($AN$1006:BO1006),$AN$1006:$BO$1006,0))&gt;=100000), " ",IF(INDEX($AN$2:$BO$1001,MATCH(ROWS($AG$2:AG627),$AG$2:$AG$1001,0),MATCH(COLUMNS($AN$1006:BO1006),$AN$1006:$BO$1006,0)), HYPERLINK("#",""), HYPERLINK(CONCATENATE("#Metadata!", ADDRESS(INDEX($AI$2:$AI$1001,MATCH(ROWS($AG$2:AG627),$AG$2:$AG$1001,0),0), INDEX($AN$1004:$BO$1004,1,MATCH(COLUMNS($AN$1006:BO1006),$AN$1006:$BO$1006,0)))),"Fix")))</f>
        <v>0</v>
      </c>
      <c r="AG627">
        <v>0</v>
      </c>
      <c r="AH627">
        <v>0</v>
      </c>
      <c r="AI627">
        <v>0</v>
      </c>
      <c r="AJ627">
        <f>IF(AK627,TRUE,AND(AN627:BO627))</f>
        <v>0</v>
      </c>
      <c r="AK627">
        <f>COUNTBLANK(Metadata!B627:AC627)=COLUMNS(Metadata!B627:AC627)</f>
        <v>0</v>
      </c>
      <c r="AL627">
        <v>0</v>
      </c>
      <c r="AN627">
        <f>AND(IF(Metadata!B627="",FALSE,TRUE),COUNTIF(Metadata!B:B, Metadata!B627) = 1,NOT(ISERROR(SUMPRODUCT(SEARCH(MID(Metadata!B627,ROW(INDIRECT("1:"&amp;LEN(Metadata!B627))), 1),"0123456789abcdefghijklmnopqrstuvwxyzABCDEFGHIJKLMNOPQRSTUVWXYZ.")))))</f>
        <v>0</v>
      </c>
      <c r="AO627">
        <f>IF(Metadata!C627="",FALSE,TRUE)</f>
        <v>0</v>
      </c>
      <c r="AP627">
        <f>IF(Metadata!D627="",FALSE,TRUE)</f>
        <v>0</v>
      </c>
      <c r="AQ627">
        <f>OR(AND(IF(Metadata!E627="",FALSE,TRUE),OR(exact(Metadata!E627,"not collected"),exact(Metadata!E627,"not provided"),exact(Metadata!E627,"restricted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R627">
        <f>IF(Metadata!F627="",FALSE,TRUE)</f>
        <v>0</v>
      </c>
      <c r="AS627">
        <f>OR(AND(IF(Metadata!G627="",FALSE,TRUE),OR(exact(Metadata!G627,"not collected"),exact(Metadata!G627,"not provided"))),AND(IF(Metadata!G627="",FALSE,TRUE),OR(exact(Metadata!G627,"TRUE"),exact(Metadata!G627,"FALSE"))))</f>
        <v>0</v>
      </c>
      <c r="AT627">
        <f>OR(AND(IF(Metadata!H627="",FALSE,TRUE),OR(exact(Metadata!H627,"not collected"),exact(Metadata!H627,"not provided"),exact(Metadata!H627,"restricted access"))),AND(IF(Metadata!H627="",FALSE,ISNUMBER(VALUE(Metadata!H627))),Metadata!H627&gt;=-413.0))</f>
        <v>0</v>
      </c>
      <c r="AU627">
        <f>AND(IF(Metadata!I627="",FALSE,TRUE),exact(Metadata!I627,"meters"))</f>
        <v>0</v>
      </c>
      <c r="AV627">
        <f>AND(IF(Metadata!J627="",FALSE,TRUE),OR(exact(Metadata!J627,"Host-associated"),exact(Metadata!J627,"Free-living")))</f>
        <v>0</v>
      </c>
      <c r="AW627">
        <f>AND(IF(Metadata!K627="",FALSE,TRUE),OR(exact(Metadata!K627,"Animal"),exact(Metadata!K627,"Fungus"),exact(Metadata!K627,"Plant"),exact(Metadata!K627,"Saline"),exact(Metadata!K627,"Non-saline")))</f>
        <v>0</v>
      </c>
      <c r="AX627">
        <f>AND(IF(Metadata!L627="",FALSE,TRUE),OR(exact(Metadata!L627,"Plant secretion"),exact(Metadata!L627,"Plant rhizosphere"),exact(Metadata!L627,"Plant surface"),exact(Metadata!L627,"Plant corpus"),exact(Metadata!L627,"Fungus surface"),exact(Metadata!L627,"Fungus corpus"),exact(Metadata!L627,"Animal surface"),exact(Metadata!L627,"Animal proximal gut"),exact(Metadata!L627,"Animal corpus"),exact(Metadata!L627,"Animal distal gut"),exact(Metadata!L627,"Animal secretion"),exact(Metadata!L627,"Sub-surface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Y627">
        <f>IF(Metadata!M627="",FALSE,TRUE)</f>
        <v>0</v>
      </c>
      <c r="AZ627">
        <f>IF(Metadata!N627="",FALSE,TRUE)</f>
        <v>0</v>
      </c>
      <c r="BA627">
        <f>IF(Metadata!O627="",FALSE,TRUE)</f>
        <v>0</v>
      </c>
      <c r="BB627">
        <f>OR(AND(IF(Metadata!P627="",FALSE,TRUE),OR(exact(Metadata!P627,"not collected"),exact(Metadata!P627,"not provided"),exact(Metadata!P627,"restricted access"))),AND(IF(Metadata!P627="",FALSE,TRUE),OR(exact(Metadata!P627,"air"),exact(Metadata!P627,"built environment"),exact(Metadata!P627,"host-associated"),exact(Metadata!P627,"human-associated"),exact(Metadata!P627,"human-skin"),exact(Metadata!P627,"human-oral"),exact(Metadata!P627,"human-gut"),exact(Metadata!P627,"human-vaginal"),exact(Metadata!P627,"microbial mat/biofilm"),exact(Metadata!P627,"misc environment"),exact(Metadata!P627,"plant-associated"),exact(Metadata!P627,"sediment"),exact(Metadata!P627,"soil"),exact(Metadata!P627,"wastewater/sludge"),exact(Metadata!P627,"water"))))</f>
        <v>0</v>
      </c>
      <c r="BC627">
        <f>IF(Metadata!Q627="",FALSE,TRUE)</f>
        <v>0</v>
      </c>
      <c r="BD627">
        <f>IF(Metadata!R627="",FALSE,TRUE)</f>
        <v>0</v>
      </c>
      <c r="BE627">
        <f>OR(AND(IF(Metadata!S627="",FALSE,TRUE),OR(exact(Metadata!S627,"not collected"),exact(Metadata!S627,"not provided"),exact(Metadata!S627,"restricted access"))),AND(IF(Metadata!S627="",FALSE,ISNUMBER(VALUE(Metadata!S627))),Metadata!S627&gt;=-90.00,Metadata!S627&lt;=90.00))</f>
        <v>0</v>
      </c>
      <c r="BF627">
        <f>AND(IF(Metadata!T627="",FALSE,TRUE),exact(Metadata!T627,"Decimal degrees"))</f>
        <v>0</v>
      </c>
      <c r="BG627">
        <f>OR(AND(IF(Metadata!U627="",FALSE,TRUE),OR(exact(Metadata!U627,"not collected"),exact(Metadata!U627,"not provided"),exact(Metadata!U627,"restricted access"))),AND(IF(Metadata!U627="",FALSE,ISNUMBER(VALUE(Metadata!U627))),Metadata!U627&gt;=-180.00,Metadata!U627&lt;=180.00))</f>
        <v>0</v>
      </c>
      <c r="BH627">
        <f>AND(IF(Metadata!V627="",FALSE,TRUE),exact(Metadata!V627,"Decimal degrees"))</f>
        <v>0</v>
      </c>
      <c r="BI627">
        <f>IF(Metadata!W627="",FALSE,TRUE)</f>
        <v>0</v>
      </c>
      <c r="BJ627">
        <f>OR(AND(IF(Metadata!X627="",FALSE,TRUE),OR(exact(Metadata!X627,"not collected"),exact(Metadata!X627,"not provided"),exact(Metadata!X627,"restricted access"))),AND(IF(Metadata!X627="",FALSE,TRUE),OR(exact(Metadata!X627,"TRUE"),exact(Metadata!X627,"FALSE"))))</f>
        <v>0</v>
      </c>
      <c r="BK627">
        <f>AND(IF(Metadata!Y627="",FALSE,TRUE),exact(Metadata!Y627,"other"))</f>
        <v>0</v>
      </c>
      <c r="BL627">
        <f>IF(Metadata!Z627="",FALSE,TRUE)</f>
        <v>0</v>
      </c>
      <c r="BM627">
        <f>OR(AND(IF(Metadata!AA627="",FALSE,TRUE),OR(exact(Metadata!AA627,"not collected"),exact(Metadata!AA627,"not provided"))),AND(IF(Metadata!AA627="",FALSE,IF(ISERROR(INT(Metadata!AA627)),FALSE,INT(Metadata!AA627)=Metadata!AA627)),Metadata!AA627&gt;0))</f>
        <v>0</v>
      </c>
      <c r="BN627">
        <f>AND(IF(Metadata!AB627="",FALSE,TRUE),exact(Metadata!AB627,"Not applicable"))</f>
        <v>0</v>
      </c>
      <c r="BO627">
        <f>IF(Metadata!AC627="",FALSE,TRUE)</f>
        <v>0</v>
      </c>
    </row>
    <row r="628" spans="1:67">
      <c r="A628" s="5">
        <f>IF(B628=" "," ",HYPERLINK(CONCATENATE("#metadata!",ADDRESS(INDEX($AI$2:$AI$1001,MATCH(ROWS($AG$2:AG628),$AG$2:$AG$1001,0),0),1)),INDEX($AL$2:$AL$1001,MATCH(ROWS($AG$2:AG628),$AG$2:$AG$1001,0),0)))</f>
        <v>0</v>
      </c>
      <c r="B628" s="4">
        <f>IF(OR(INDEX($AH$2:$AH$1001,MATCH(ROWS($AG$2:AG628),$AG$2:$AG$1001,0),1)&gt;=100000,INDEX($AN$1005:$BO$1005,1,MATCH(COLUMNS($AN$1006:AN1006),$AN$1006:$BO$1006,0))&gt;=100000), " ",IF(INDEX($AN$2:$BO$1001,MATCH(ROWS($AG$2:AG628),$AG$2:$AG$1001,0),MATCH(COLUMNS($AN$1006:AN1006),$AN$1006:$BO$1006,0)), HYPERLINK("#",""), HYPERLINK(CONCATENATE("#Metadata!", ADDRESS(INDEX($AI$2:$AI$1001,MATCH(ROWS($AG$2:AG628),$AG$2:$AG$1001,0),0), INDEX($AN$1004:$BO$1004,1,MATCH(COLUMNS($AN$1006:AN1006),$AN$1006:$BO$1006,0)))),"Fix")))</f>
        <v>0</v>
      </c>
      <c r="C628" s="4">
        <f>IF(OR(INDEX($AH$2:$AH$1001,MATCH(ROWS($AG$2:AG628),$AG$2:$AG$1001,0),1)&gt;=100000,INDEX($AN$1005:$BO$1005,1,MATCH(COLUMNS($AN$1006:AO1006),$AN$1006:$BO$1006,0))&gt;=100000), " ",IF(INDEX($AN$2:$BO$1001,MATCH(ROWS($AG$2:AG628),$AG$2:$AG$1001,0),MATCH(COLUMNS($AN$1006:AO1006),$AN$1006:$BO$1006,0)), HYPERLINK("#",""), HYPERLINK(CONCATENATE("#Metadata!", ADDRESS(INDEX($AI$2:$AI$1001,MATCH(ROWS($AG$2:AG628),$AG$2:$AG$1001,0),0), INDEX($AN$1004:$BO$1004,1,MATCH(COLUMNS($AN$1006:AO1006),$AN$1006:$BO$1006,0)))),"Fix")))</f>
        <v>0</v>
      </c>
      <c r="D628" s="4">
        <f>IF(OR(INDEX($AH$2:$AH$1001,MATCH(ROWS($AG$2:AG628),$AG$2:$AG$1001,0),1)&gt;=100000,INDEX($AN$1005:$BO$1005,1,MATCH(COLUMNS($AN$1006:AP1006),$AN$1006:$BO$1006,0))&gt;=100000), " ",IF(INDEX($AN$2:$BO$1001,MATCH(ROWS($AG$2:AG628),$AG$2:$AG$1001,0),MATCH(COLUMNS($AN$1006:AP1006),$AN$1006:$BO$1006,0)), HYPERLINK("#",""), HYPERLINK(CONCATENATE("#Metadata!", ADDRESS(INDEX($AI$2:$AI$1001,MATCH(ROWS($AG$2:AG628),$AG$2:$AG$1001,0),0), INDEX($AN$1004:$BO$1004,1,MATCH(COLUMNS($AN$1006:AP1006),$AN$1006:$BO$1006,0)))),"Fix")))</f>
        <v>0</v>
      </c>
      <c r="E628" s="4">
        <f>IF(OR(INDEX($AH$2:$AH$1001,MATCH(ROWS($AG$2:AG628),$AG$2:$AG$1001,0),1)&gt;=100000,INDEX($AN$1005:$BO$1005,1,MATCH(COLUMNS($AN$1006:AQ1006),$AN$1006:$BO$1006,0))&gt;=100000), " ",IF(INDEX($AN$2:$BO$1001,MATCH(ROWS($AG$2:AG628),$AG$2:$AG$1001,0),MATCH(COLUMNS($AN$1006:AQ1006),$AN$1006:$BO$1006,0)), HYPERLINK("#",""), HYPERLINK(CONCATENATE("#Metadata!", ADDRESS(INDEX($AI$2:$AI$1001,MATCH(ROWS($AG$2:AG628),$AG$2:$AG$1001,0),0), INDEX($AN$1004:$BO$1004,1,MATCH(COLUMNS($AN$1006:AQ1006),$AN$1006:$BO$1006,0)))),"Fix")))</f>
        <v>0</v>
      </c>
      <c r="F628" s="4">
        <f>IF(OR(INDEX($AH$2:$AH$1001,MATCH(ROWS($AG$2:AG628),$AG$2:$AG$1001,0),1)&gt;=100000,INDEX($AN$1005:$BO$1005,1,MATCH(COLUMNS($AN$1006:AR1006),$AN$1006:$BO$1006,0))&gt;=100000), " ",IF(INDEX($AN$2:$BO$1001,MATCH(ROWS($AG$2:AG628),$AG$2:$AG$1001,0),MATCH(COLUMNS($AN$1006:AR1006),$AN$1006:$BO$1006,0)), HYPERLINK("#",""), HYPERLINK(CONCATENATE("#Metadata!", ADDRESS(INDEX($AI$2:$AI$1001,MATCH(ROWS($AG$2:AG628),$AG$2:$AG$1001,0),0), INDEX($AN$1004:$BO$1004,1,MATCH(COLUMNS($AN$1006:AR1006),$AN$1006:$BO$1006,0)))),"Fix")))</f>
        <v>0</v>
      </c>
      <c r="G628" s="4">
        <f>IF(OR(INDEX($AH$2:$AH$1001,MATCH(ROWS($AG$2:AG628),$AG$2:$AG$1001,0),1)&gt;=100000,INDEX($AN$1005:$BO$1005,1,MATCH(COLUMNS($AN$1006:AS1006),$AN$1006:$BO$1006,0))&gt;=100000), " ",IF(INDEX($AN$2:$BO$1001,MATCH(ROWS($AG$2:AG628),$AG$2:$AG$1001,0),MATCH(COLUMNS($AN$1006:AS1006),$AN$1006:$BO$1006,0)), HYPERLINK("#",""), HYPERLINK(CONCATENATE("#Metadata!", ADDRESS(INDEX($AI$2:$AI$1001,MATCH(ROWS($AG$2:AG628),$AG$2:$AG$1001,0),0), INDEX($AN$1004:$BO$1004,1,MATCH(COLUMNS($AN$1006:AS1006),$AN$1006:$BO$1006,0)))),"Fix")))</f>
        <v>0</v>
      </c>
      <c r="H628" s="4">
        <f>IF(OR(INDEX($AH$2:$AH$1001,MATCH(ROWS($AG$2:AG628),$AG$2:$AG$1001,0),1)&gt;=100000,INDEX($AN$1005:$BO$1005,1,MATCH(COLUMNS($AN$1006:AT1006),$AN$1006:$BO$1006,0))&gt;=100000), " ",IF(INDEX($AN$2:$BO$1001,MATCH(ROWS($AG$2:AG628),$AG$2:$AG$1001,0),MATCH(COLUMNS($AN$1006:AT1006),$AN$1006:$BO$1006,0)), HYPERLINK("#",""), HYPERLINK(CONCATENATE("#Metadata!", ADDRESS(INDEX($AI$2:$AI$1001,MATCH(ROWS($AG$2:AG628),$AG$2:$AG$1001,0),0), INDEX($AN$1004:$BO$1004,1,MATCH(COLUMNS($AN$1006:AT1006),$AN$1006:$BO$1006,0)))),"Fix")))</f>
        <v>0</v>
      </c>
      <c r="I628" s="4">
        <f>IF(OR(INDEX($AH$2:$AH$1001,MATCH(ROWS($AG$2:AG628),$AG$2:$AG$1001,0),1)&gt;=100000,INDEX($AN$1005:$BO$1005,1,MATCH(COLUMNS($AN$1006:AU1006),$AN$1006:$BO$1006,0))&gt;=100000), " ",IF(INDEX($AN$2:$BO$1001,MATCH(ROWS($AG$2:AG628),$AG$2:$AG$1001,0),MATCH(COLUMNS($AN$1006:AU1006),$AN$1006:$BO$1006,0)), HYPERLINK("#",""), HYPERLINK(CONCATENATE("#Metadata!", ADDRESS(INDEX($AI$2:$AI$1001,MATCH(ROWS($AG$2:AG628),$AG$2:$AG$1001,0),0), INDEX($AN$1004:$BO$1004,1,MATCH(COLUMNS($AN$1006:AU1006),$AN$1006:$BO$1006,0)))),"Fix")))</f>
        <v>0</v>
      </c>
      <c r="J628" s="4">
        <f>IF(OR(INDEX($AH$2:$AH$1001,MATCH(ROWS($AG$2:AG628),$AG$2:$AG$1001,0),1)&gt;=100000,INDEX($AN$1005:$BO$1005,1,MATCH(COLUMNS($AN$1006:AV1006),$AN$1006:$BO$1006,0))&gt;=100000), " ",IF(INDEX($AN$2:$BO$1001,MATCH(ROWS($AG$2:AG628),$AG$2:$AG$1001,0),MATCH(COLUMNS($AN$1006:AV1006),$AN$1006:$BO$1006,0)), HYPERLINK("#",""), HYPERLINK(CONCATENATE("#Metadata!", ADDRESS(INDEX($AI$2:$AI$1001,MATCH(ROWS($AG$2:AG628),$AG$2:$AG$1001,0),0), INDEX($AN$1004:$BO$1004,1,MATCH(COLUMNS($AN$1006:AV1006),$AN$1006:$BO$1006,0)))),"Fix")))</f>
        <v>0</v>
      </c>
      <c r="K628" s="4">
        <f>IF(OR(INDEX($AH$2:$AH$1001,MATCH(ROWS($AG$2:AG628),$AG$2:$AG$1001,0),1)&gt;=100000,INDEX($AN$1005:$BO$1005,1,MATCH(COLUMNS($AN$1006:AW1006),$AN$1006:$BO$1006,0))&gt;=100000), " ",IF(INDEX($AN$2:$BO$1001,MATCH(ROWS($AG$2:AG628),$AG$2:$AG$1001,0),MATCH(COLUMNS($AN$1006:AW1006),$AN$1006:$BO$1006,0)), HYPERLINK("#",""), HYPERLINK(CONCATENATE("#Metadata!", ADDRESS(INDEX($AI$2:$AI$1001,MATCH(ROWS($AG$2:AG628),$AG$2:$AG$1001,0),0), INDEX($AN$1004:$BO$1004,1,MATCH(COLUMNS($AN$1006:AW1006),$AN$1006:$BO$1006,0)))),"Fix")))</f>
        <v>0</v>
      </c>
      <c r="L628" s="4">
        <f>IF(OR(INDEX($AH$2:$AH$1001,MATCH(ROWS($AG$2:AG628),$AG$2:$AG$1001,0),1)&gt;=100000,INDEX($AN$1005:$BO$1005,1,MATCH(COLUMNS($AN$1006:AX1006),$AN$1006:$BO$1006,0))&gt;=100000), " ",IF(INDEX($AN$2:$BO$1001,MATCH(ROWS($AG$2:AG628),$AG$2:$AG$1001,0),MATCH(COLUMNS($AN$1006:AX1006),$AN$1006:$BO$1006,0)), HYPERLINK("#",""), HYPERLINK(CONCATENATE("#Metadata!", ADDRESS(INDEX($AI$2:$AI$1001,MATCH(ROWS($AG$2:AG628),$AG$2:$AG$1001,0),0), INDEX($AN$1004:$BO$1004,1,MATCH(COLUMNS($AN$1006:AX1006),$AN$1006:$BO$1006,0)))),"Fix")))</f>
        <v>0</v>
      </c>
      <c r="M628" s="4">
        <f>IF(OR(INDEX($AH$2:$AH$1001,MATCH(ROWS($AG$2:AG628),$AG$2:$AG$1001,0),1)&gt;=100000,INDEX($AN$1005:$BO$1005,1,MATCH(COLUMNS($AN$1006:AY1006),$AN$1006:$BO$1006,0))&gt;=100000), " ",IF(INDEX($AN$2:$BO$1001,MATCH(ROWS($AG$2:AG628),$AG$2:$AG$1001,0),MATCH(COLUMNS($AN$1006:AY1006),$AN$1006:$BO$1006,0)), HYPERLINK("#",""), HYPERLINK(CONCATENATE("#Metadata!", ADDRESS(INDEX($AI$2:$AI$1001,MATCH(ROWS($AG$2:AG628),$AG$2:$AG$1001,0),0), INDEX($AN$1004:$BO$1004,1,MATCH(COLUMNS($AN$1006:AY1006),$AN$1006:$BO$1006,0)))),"Fix")))</f>
        <v>0</v>
      </c>
      <c r="N628" s="4">
        <f>IF(OR(INDEX($AH$2:$AH$1001,MATCH(ROWS($AG$2:AG628),$AG$2:$AG$1001,0),1)&gt;=100000,INDEX($AN$1005:$BO$1005,1,MATCH(COLUMNS($AN$1006:AZ1006),$AN$1006:$BO$1006,0))&gt;=100000), " ",IF(INDEX($AN$2:$BO$1001,MATCH(ROWS($AG$2:AG628),$AG$2:$AG$1001,0),MATCH(COLUMNS($AN$1006:AZ1006),$AN$1006:$BO$1006,0)), HYPERLINK("#",""), HYPERLINK(CONCATENATE("#Metadata!", ADDRESS(INDEX($AI$2:$AI$1001,MATCH(ROWS($AG$2:AG628),$AG$2:$AG$1001,0),0), INDEX($AN$1004:$BO$1004,1,MATCH(COLUMNS($AN$1006:AZ1006),$AN$1006:$BO$1006,0)))),"Fix")))</f>
        <v>0</v>
      </c>
      <c r="O628" s="4">
        <f>IF(OR(INDEX($AH$2:$AH$1001,MATCH(ROWS($AG$2:AG628),$AG$2:$AG$1001,0),1)&gt;=100000,INDEX($AN$1005:$BO$1005,1,MATCH(COLUMNS($AN$1006:BA1006),$AN$1006:$BO$1006,0))&gt;=100000), " ",IF(INDEX($AN$2:$BO$1001,MATCH(ROWS($AG$2:AG628),$AG$2:$AG$1001,0),MATCH(COLUMNS($AN$1006:BA1006),$AN$1006:$BO$1006,0)), HYPERLINK("#",""), HYPERLINK(CONCATENATE("#Metadata!", ADDRESS(INDEX($AI$2:$AI$1001,MATCH(ROWS($AG$2:AG628),$AG$2:$AG$1001,0),0), INDEX($AN$1004:$BO$1004,1,MATCH(COLUMNS($AN$1006:BA1006),$AN$1006:$BO$1006,0)))),"Fix")))</f>
        <v>0</v>
      </c>
      <c r="P628" s="4">
        <f>IF(OR(INDEX($AH$2:$AH$1001,MATCH(ROWS($AG$2:AG628),$AG$2:$AG$1001,0),1)&gt;=100000,INDEX($AN$1005:$BO$1005,1,MATCH(COLUMNS($AN$1006:BB1006),$AN$1006:$BO$1006,0))&gt;=100000), " ",IF(INDEX($AN$2:$BO$1001,MATCH(ROWS($AG$2:AG628),$AG$2:$AG$1001,0),MATCH(COLUMNS($AN$1006:BB1006),$AN$1006:$BO$1006,0)), HYPERLINK("#",""), HYPERLINK(CONCATENATE("#Metadata!", ADDRESS(INDEX($AI$2:$AI$1001,MATCH(ROWS($AG$2:AG628),$AG$2:$AG$1001,0),0), INDEX($AN$1004:$BO$1004,1,MATCH(COLUMNS($AN$1006:BB1006),$AN$1006:$BO$1006,0)))),"Fix")))</f>
        <v>0</v>
      </c>
      <c r="Q628" s="4">
        <f>IF(OR(INDEX($AH$2:$AH$1001,MATCH(ROWS($AG$2:AG628),$AG$2:$AG$1001,0),1)&gt;=100000,INDEX($AN$1005:$BO$1005,1,MATCH(COLUMNS($AN$1006:BC1006),$AN$1006:$BO$1006,0))&gt;=100000), " ",IF(INDEX($AN$2:$BO$1001,MATCH(ROWS($AG$2:AG628),$AG$2:$AG$1001,0),MATCH(COLUMNS($AN$1006:BC1006),$AN$1006:$BO$1006,0)), HYPERLINK("#",""), HYPERLINK(CONCATENATE("#Metadata!", ADDRESS(INDEX($AI$2:$AI$1001,MATCH(ROWS($AG$2:AG628),$AG$2:$AG$1001,0),0), INDEX($AN$1004:$BO$1004,1,MATCH(COLUMNS($AN$1006:BC1006),$AN$1006:$BO$1006,0)))),"Fix")))</f>
        <v>0</v>
      </c>
      <c r="R628" s="4">
        <f>IF(OR(INDEX($AH$2:$AH$1001,MATCH(ROWS($AG$2:AG628),$AG$2:$AG$1001,0),1)&gt;=100000,INDEX($AN$1005:$BO$1005,1,MATCH(COLUMNS($AN$1006:BD1006),$AN$1006:$BO$1006,0))&gt;=100000), " ",IF(INDEX($AN$2:$BO$1001,MATCH(ROWS($AG$2:AG628),$AG$2:$AG$1001,0),MATCH(COLUMNS($AN$1006:BD1006),$AN$1006:$BO$1006,0)), HYPERLINK("#",""), HYPERLINK(CONCATENATE("#Metadata!", ADDRESS(INDEX($AI$2:$AI$1001,MATCH(ROWS($AG$2:AG628),$AG$2:$AG$1001,0),0), INDEX($AN$1004:$BO$1004,1,MATCH(COLUMNS($AN$1006:BD1006),$AN$1006:$BO$1006,0)))),"Fix")))</f>
        <v>0</v>
      </c>
      <c r="S628" s="4">
        <f>IF(OR(INDEX($AH$2:$AH$1001,MATCH(ROWS($AG$2:AG628),$AG$2:$AG$1001,0),1)&gt;=100000,INDEX($AN$1005:$BO$1005,1,MATCH(COLUMNS($AN$1006:BE1006),$AN$1006:$BO$1006,0))&gt;=100000), " ",IF(INDEX($AN$2:$BO$1001,MATCH(ROWS($AG$2:AG628),$AG$2:$AG$1001,0),MATCH(COLUMNS($AN$1006:BE1006),$AN$1006:$BO$1006,0)), HYPERLINK("#",""), HYPERLINK(CONCATENATE("#Metadata!", ADDRESS(INDEX($AI$2:$AI$1001,MATCH(ROWS($AG$2:AG628),$AG$2:$AG$1001,0),0), INDEX($AN$1004:$BO$1004,1,MATCH(COLUMNS($AN$1006:BE1006),$AN$1006:$BO$1006,0)))),"Fix")))</f>
        <v>0</v>
      </c>
      <c r="T628" s="4">
        <f>IF(OR(INDEX($AH$2:$AH$1001,MATCH(ROWS($AG$2:AG628),$AG$2:$AG$1001,0),1)&gt;=100000,INDEX($AN$1005:$BO$1005,1,MATCH(COLUMNS($AN$1006:BF1006),$AN$1006:$BO$1006,0))&gt;=100000), " ",IF(INDEX($AN$2:$BO$1001,MATCH(ROWS($AG$2:AG628),$AG$2:$AG$1001,0),MATCH(COLUMNS($AN$1006:BF1006),$AN$1006:$BO$1006,0)), HYPERLINK("#",""), HYPERLINK(CONCATENATE("#Metadata!", ADDRESS(INDEX($AI$2:$AI$1001,MATCH(ROWS($AG$2:AG628),$AG$2:$AG$1001,0),0), INDEX($AN$1004:$BO$1004,1,MATCH(COLUMNS($AN$1006:BF1006),$AN$1006:$BO$1006,0)))),"Fix")))</f>
        <v>0</v>
      </c>
      <c r="U628" s="4">
        <f>IF(OR(INDEX($AH$2:$AH$1001,MATCH(ROWS($AG$2:AG628),$AG$2:$AG$1001,0),1)&gt;=100000,INDEX($AN$1005:$BO$1005,1,MATCH(COLUMNS($AN$1006:BG1006),$AN$1006:$BO$1006,0))&gt;=100000), " ",IF(INDEX($AN$2:$BO$1001,MATCH(ROWS($AG$2:AG628),$AG$2:$AG$1001,0),MATCH(COLUMNS($AN$1006:BG1006),$AN$1006:$BO$1006,0)), HYPERLINK("#",""), HYPERLINK(CONCATENATE("#Metadata!", ADDRESS(INDEX($AI$2:$AI$1001,MATCH(ROWS($AG$2:AG628),$AG$2:$AG$1001,0),0), INDEX($AN$1004:$BO$1004,1,MATCH(COLUMNS($AN$1006:BG1006),$AN$1006:$BO$1006,0)))),"Fix")))</f>
        <v>0</v>
      </c>
      <c r="V628" s="4">
        <f>IF(OR(INDEX($AH$2:$AH$1001,MATCH(ROWS($AG$2:AG628),$AG$2:$AG$1001,0),1)&gt;=100000,INDEX($AN$1005:$BO$1005,1,MATCH(COLUMNS($AN$1006:BH1006),$AN$1006:$BO$1006,0))&gt;=100000), " ",IF(INDEX($AN$2:$BO$1001,MATCH(ROWS($AG$2:AG628),$AG$2:$AG$1001,0),MATCH(COLUMNS($AN$1006:BH1006),$AN$1006:$BO$1006,0)), HYPERLINK("#",""), HYPERLINK(CONCATENATE("#Metadata!", ADDRESS(INDEX($AI$2:$AI$1001,MATCH(ROWS($AG$2:AG628),$AG$2:$AG$1001,0),0), INDEX($AN$1004:$BO$1004,1,MATCH(COLUMNS($AN$1006:BH1006),$AN$1006:$BO$1006,0)))),"Fix")))</f>
        <v>0</v>
      </c>
      <c r="W628" s="4">
        <f>IF(OR(INDEX($AH$2:$AH$1001,MATCH(ROWS($AG$2:AG628),$AG$2:$AG$1001,0),1)&gt;=100000,INDEX($AN$1005:$BO$1005,1,MATCH(COLUMNS($AN$1006:BI1006),$AN$1006:$BO$1006,0))&gt;=100000), " ",IF(INDEX($AN$2:$BO$1001,MATCH(ROWS($AG$2:AG628),$AG$2:$AG$1001,0),MATCH(COLUMNS($AN$1006:BI1006),$AN$1006:$BO$1006,0)), HYPERLINK("#",""), HYPERLINK(CONCATENATE("#Metadata!", ADDRESS(INDEX($AI$2:$AI$1001,MATCH(ROWS($AG$2:AG628),$AG$2:$AG$1001,0),0), INDEX($AN$1004:$BO$1004,1,MATCH(COLUMNS($AN$1006:BI1006),$AN$1006:$BO$1006,0)))),"Fix")))</f>
        <v>0</v>
      </c>
      <c r="X628" s="4">
        <f>IF(OR(INDEX($AH$2:$AH$1001,MATCH(ROWS($AG$2:AG628),$AG$2:$AG$1001,0),1)&gt;=100000,INDEX($AN$1005:$BO$1005,1,MATCH(COLUMNS($AN$1006:BJ1006),$AN$1006:$BO$1006,0))&gt;=100000), " ",IF(INDEX($AN$2:$BO$1001,MATCH(ROWS($AG$2:AG628),$AG$2:$AG$1001,0),MATCH(COLUMNS($AN$1006:BJ1006),$AN$1006:$BO$1006,0)), HYPERLINK("#",""), HYPERLINK(CONCATENATE("#Metadata!", ADDRESS(INDEX($AI$2:$AI$1001,MATCH(ROWS($AG$2:AG628),$AG$2:$AG$1001,0),0), INDEX($AN$1004:$BO$1004,1,MATCH(COLUMNS($AN$1006:BJ1006),$AN$1006:$BO$1006,0)))),"Fix")))</f>
        <v>0</v>
      </c>
      <c r="Y628" s="4">
        <f>IF(OR(INDEX($AH$2:$AH$1001,MATCH(ROWS($AG$2:AG628),$AG$2:$AG$1001,0),1)&gt;=100000,INDEX($AN$1005:$BO$1005,1,MATCH(COLUMNS($AN$1006:BK1006),$AN$1006:$BO$1006,0))&gt;=100000), " ",IF(INDEX($AN$2:$BO$1001,MATCH(ROWS($AG$2:AG628),$AG$2:$AG$1001,0),MATCH(COLUMNS($AN$1006:BK1006),$AN$1006:$BO$1006,0)), HYPERLINK("#",""), HYPERLINK(CONCATENATE("#Metadata!", ADDRESS(INDEX($AI$2:$AI$1001,MATCH(ROWS($AG$2:AG628),$AG$2:$AG$1001,0),0), INDEX($AN$1004:$BO$1004,1,MATCH(COLUMNS($AN$1006:BK1006),$AN$1006:$BO$1006,0)))),"Fix")))</f>
        <v>0</v>
      </c>
      <c r="Z628" s="4">
        <f>IF(OR(INDEX($AH$2:$AH$1001,MATCH(ROWS($AG$2:AG628),$AG$2:$AG$1001,0),1)&gt;=100000,INDEX($AN$1005:$BO$1005,1,MATCH(COLUMNS($AN$1006:BL1006),$AN$1006:$BO$1006,0))&gt;=100000), " ",IF(INDEX($AN$2:$BO$1001,MATCH(ROWS($AG$2:AG628),$AG$2:$AG$1001,0),MATCH(COLUMNS($AN$1006:BL1006),$AN$1006:$BO$1006,0)), HYPERLINK("#",""), HYPERLINK(CONCATENATE("#Metadata!", ADDRESS(INDEX($AI$2:$AI$1001,MATCH(ROWS($AG$2:AG628),$AG$2:$AG$1001,0),0), INDEX($AN$1004:$BO$1004,1,MATCH(COLUMNS($AN$1006:BL1006),$AN$1006:$BO$1006,0)))),"Fix")))</f>
        <v>0</v>
      </c>
      <c r="AA628" s="4">
        <f>IF(OR(INDEX($AH$2:$AH$1001,MATCH(ROWS($AG$2:AG628),$AG$2:$AG$1001,0),1)&gt;=100000,INDEX($AN$1005:$BO$1005,1,MATCH(COLUMNS($AN$1006:BM1006),$AN$1006:$BO$1006,0))&gt;=100000), " ",IF(INDEX($AN$2:$BO$1001,MATCH(ROWS($AG$2:AG628),$AG$2:$AG$1001,0),MATCH(COLUMNS($AN$1006:BM1006),$AN$1006:$BO$1006,0)), HYPERLINK("#",""), HYPERLINK(CONCATENATE("#Metadata!", ADDRESS(INDEX($AI$2:$AI$1001,MATCH(ROWS($AG$2:AG628),$AG$2:$AG$1001,0),0), INDEX($AN$1004:$BO$1004,1,MATCH(COLUMNS($AN$1006:BM1006),$AN$1006:$BO$1006,0)))),"Fix")))</f>
        <v>0</v>
      </c>
      <c r="AB628" s="4">
        <f>IF(OR(INDEX($AH$2:$AH$1001,MATCH(ROWS($AG$2:AG628),$AG$2:$AG$1001,0),1)&gt;=100000,INDEX($AN$1005:$BO$1005,1,MATCH(COLUMNS($AN$1006:BN1006),$AN$1006:$BO$1006,0))&gt;=100000), " ",IF(INDEX($AN$2:$BO$1001,MATCH(ROWS($AG$2:AG628),$AG$2:$AG$1001,0),MATCH(COLUMNS($AN$1006:BN1006),$AN$1006:$BO$1006,0)), HYPERLINK("#",""), HYPERLINK(CONCATENATE("#Metadata!", ADDRESS(INDEX($AI$2:$AI$1001,MATCH(ROWS($AG$2:AG628),$AG$2:$AG$1001,0),0), INDEX($AN$1004:$BO$1004,1,MATCH(COLUMNS($AN$1006:BN1006),$AN$1006:$BO$1006,0)))),"Fix")))</f>
        <v>0</v>
      </c>
      <c r="AC628" s="4">
        <f>IF(OR(INDEX($AH$2:$AH$1001,MATCH(ROWS($AG$2:AG628),$AG$2:$AG$1001,0),1)&gt;=100000,INDEX($AN$1005:$BO$1005,1,MATCH(COLUMNS($AN$1006:BO1006),$AN$1006:$BO$1006,0))&gt;=100000), " ",IF(INDEX($AN$2:$BO$1001,MATCH(ROWS($AG$2:AG628),$AG$2:$AG$1001,0),MATCH(COLUMNS($AN$1006:BO1006),$AN$1006:$BO$1006,0)), HYPERLINK("#",""), HYPERLINK(CONCATENATE("#Metadata!", ADDRESS(INDEX($AI$2:$AI$1001,MATCH(ROWS($AG$2:AG628),$AG$2:$AG$1001,0),0), INDEX($AN$1004:$BO$1004,1,MATCH(COLUMNS($AN$1006:BO1006),$AN$1006:$BO$1006,0)))),"Fix")))</f>
        <v>0</v>
      </c>
      <c r="AG628">
        <v>0</v>
      </c>
      <c r="AH628">
        <v>0</v>
      </c>
      <c r="AI628">
        <v>0</v>
      </c>
      <c r="AJ628">
        <f>IF(AK628,TRUE,AND(AN628:BO628))</f>
        <v>0</v>
      </c>
      <c r="AK628">
        <f>COUNTBLANK(Metadata!B628:AC628)=COLUMNS(Metadata!B628:AC628)</f>
        <v>0</v>
      </c>
      <c r="AL628">
        <v>0</v>
      </c>
      <c r="AN628">
        <f>AND(IF(Metadata!B628="",FALSE,TRUE),COUNTIF(Metadata!B:B, Metadata!B628) = 1,NOT(ISERROR(SUMPRODUCT(SEARCH(MID(Metadata!B628,ROW(INDIRECT("1:"&amp;LEN(Metadata!B628))), 1),"0123456789abcdefghijklmnopqrstuvwxyzABCDEFGHIJKLMNOPQRSTUVWXYZ.")))))</f>
        <v>0</v>
      </c>
      <c r="AO628">
        <f>IF(Metadata!C628="",FALSE,TRUE)</f>
        <v>0</v>
      </c>
      <c r="AP628">
        <f>IF(Metadata!D628="",FALSE,TRUE)</f>
        <v>0</v>
      </c>
      <c r="AQ628">
        <f>OR(AND(IF(Metadata!E628="",FALSE,TRUE),OR(exact(Metadata!E628,"not collected"),exact(Metadata!E628,"not provided"),exact(Metadata!E628,"restricted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R628">
        <f>IF(Metadata!F628="",FALSE,TRUE)</f>
        <v>0</v>
      </c>
      <c r="AS628">
        <f>OR(AND(IF(Metadata!G628="",FALSE,TRUE),OR(exact(Metadata!G628,"not collected"),exact(Metadata!G628,"not provided"))),AND(IF(Metadata!G628="",FALSE,TRUE),OR(exact(Metadata!G628,"TRUE"),exact(Metadata!G628,"FALSE"))))</f>
        <v>0</v>
      </c>
      <c r="AT628">
        <f>OR(AND(IF(Metadata!H628="",FALSE,TRUE),OR(exact(Metadata!H628,"not collected"),exact(Metadata!H628,"not provided"),exact(Metadata!H628,"restricted access"))),AND(IF(Metadata!H628="",FALSE,ISNUMBER(VALUE(Metadata!H628))),Metadata!H628&gt;=-413.0))</f>
        <v>0</v>
      </c>
      <c r="AU628">
        <f>AND(IF(Metadata!I628="",FALSE,TRUE),exact(Metadata!I628,"meters"))</f>
        <v>0</v>
      </c>
      <c r="AV628">
        <f>AND(IF(Metadata!J628="",FALSE,TRUE),OR(exact(Metadata!J628,"Host-associated"),exact(Metadata!J628,"Free-living")))</f>
        <v>0</v>
      </c>
      <c r="AW628">
        <f>AND(IF(Metadata!K628="",FALSE,TRUE),OR(exact(Metadata!K628,"Animal"),exact(Metadata!K628,"Fungus"),exact(Metadata!K628,"Plant"),exact(Metadata!K628,"Saline"),exact(Metadata!K628,"Non-saline")))</f>
        <v>0</v>
      </c>
      <c r="AX628">
        <f>AND(IF(Metadata!L628="",FALSE,TRUE),OR(exact(Metadata!L628,"Plant secretion"),exact(Metadata!L628,"Plant rhizosphere"),exact(Metadata!L628,"Plant surface"),exact(Metadata!L628,"Plant corpus"),exact(Metadata!L628,"Fungus surface"),exact(Metadata!L628,"Fungus corpus"),exact(Metadata!L628,"Animal surface"),exact(Metadata!L628,"Animal proximal gut"),exact(Metadata!L628,"Animal corpus"),exact(Metadata!L628,"Animal distal gut"),exact(Metadata!L628,"Animal secretion"),exact(Metadata!L628,"Sub-surface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Y628">
        <f>IF(Metadata!M628="",FALSE,TRUE)</f>
        <v>0</v>
      </c>
      <c r="AZ628">
        <f>IF(Metadata!N628="",FALSE,TRUE)</f>
        <v>0</v>
      </c>
      <c r="BA628">
        <f>IF(Metadata!O628="",FALSE,TRUE)</f>
        <v>0</v>
      </c>
      <c r="BB628">
        <f>OR(AND(IF(Metadata!P628="",FALSE,TRUE),OR(exact(Metadata!P628,"not collected"),exact(Metadata!P628,"not provided"),exact(Metadata!P628,"restricted access"))),AND(IF(Metadata!P628="",FALSE,TRUE),OR(exact(Metadata!P628,"air"),exact(Metadata!P628,"built environment"),exact(Metadata!P628,"host-associated"),exact(Metadata!P628,"human-associated"),exact(Metadata!P628,"human-skin"),exact(Metadata!P628,"human-oral"),exact(Metadata!P628,"human-gut"),exact(Metadata!P628,"human-vaginal"),exact(Metadata!P628,"microbial mat/biofilm"),exact(Metadata!P628,"misc environment"),exact(Metadata!P628,"plant-associated"),exact(Metadata!P628,"sediment"),exact(Metadata!P628,"soil"),exact(Metadata!P628,"wastewater/sludge"),exact(Metadata!P628,"water"))))</f>
        <v>0</v>
      </c>
      <c r="BC628">
        <f>IF(Metadata!Q628="",FALSE,TRUE)</f>
        <v>0</v>
      </c>
      <c r="BD628">
        <f>IF(Metadata!R628="",FALSE,TRUE)</f>
        <v>0</v>
      </c>
      <c r="BE628">
        <f>OR(AND(IF(Metadata!S628="",FALSE,TRUE),OR(exact(Metadata!S628,"not collected"),exact(Metadata!S628,"not provided"),exact(Metadata!S628,"restricted access"))),AND(IF(Metadata!S628="",FALSE,ISNUMBER(VALUE(Metadata!S628))),Metadata!S628&gt;=-90.00,Metadata!S628&lt;=90.00))</f>
        <v>0</v>
      </c>
      <c r="BF628">
        <f>AND(IF(Metadata!T628="",FALSE,TRUE),exact(Metadata!T628,"Decimal degrees"))</f>
        <v>0</v>
      </c>
      <c r="BG628">
        <f>OR(AND(IF(Metadata!U628="",FALSE,TRUE),OR(exact(Metadata!U628,"not collected"),exact(Metadata!U628,"not provided"),exact(Metadata!U628,"restricted access"))),AND(IF(Metadata!U628="",FALSE,ISNUMBER(VALUE(Metadata!U628))),Metadata!U628&gt;=-180.00,Metadata!U628&lt;=180.00))</f>
        <v>0</v>
      </c>
      <c r="BH628">
        <f>AND(IF(Metadata!V628="",FALSE,TRUE),exact(Metadata!V628,"Decimal degrees"))</f>
        <v>0</v>
      </c>
      <c r="BI628">
        <f>IF(Metadata!W628="",FALSE,TRUE)</f>
        <v>0</v>
      </c>
      <c r="BJ628">
        <f>OR(AND(IF(Metadata!X628="",FALSE,TRUE),OR(exact(Metadata!X628,"not collected"),exact(Metadata!X628,"not provided"),exact(Metadata!X628,"restricted access"))),AND(IF(Metadata!X628="",FALSE,TRUE),OR(exact(Metadata!X628,"TRUE"),exact(Metadata!X628,"FALSE"))))</f>
        <v>0</v>
      </c>
      <c r="BK628">
        <f>AND(IF(Metadata!Y628="",FALSE,TRUE),exact(Metadata!Y628,"other"))</f>
        <v>0</v>
      </c>
      <c r="BL628">
        <f>IF(Metadata!Z628="",FALSE,TRUE)</f>
        <v>0</v>
      </c>
      <c r="BM628">
        <f>OR(AND(IF(Metadata!AA628="",FALSE,TRUE),OR(exact(Metadata!AA628,"not collected"),exact(Metadata!AA628,"not provided"))),AND(IF(Metadata!AA628="",FALSE,IF(ISERROR(INT(Metadata!AA628)),FALSE,INT(Metadata!AA628)=Metadata!AA628)),Metadata!AA628&gt;0))</f>
        <v>0</v>
      </c>
      <c r="BN628">
        <f>AND(IF(Metadata!AB628="",FALSE,TRUE),exact(Metadata!AB628,"Not applicable"))</f>
        <v>0</v>
      </c>
      <c r="BO628">
        <f>IF(Metadata!AC628="",FALSE,TRUE)</f>
        <v>0</v>
      </c>
    </row>
    <row r="629" spans="1:67">
      <c r="A629" s="5">
        <f>IF(B629=" "," ",HYPERLINK(CONCATENATE("#metadata!",ADDRESS(INDEX($AI$2:$AI$1001,MATCH(ROWS($AG$2:AG629),$AG$2:$AG$1001,0),0),1)),INDEX($AL$2:$AL$1001,MATCH(ROWS($AG$2:AG629),$AG$2:$AG$1001,0),0)))</f>
        <v>0</v>
      </c>
      <c r="B629" s="4">
        <f>IF(OR(INDEX($AH$2:$AH$1001,MATCH(ROWS($AG$2:AG629),$AG$2:$AG$1001,0),1)&gt;=100000,INDEX($AN$1005:$BO$1005,1,MATCH(COLUMNS($AN$1006:AN1006),$AN$1006:$BO$1006,0))&gt;=100000), " ",IF(INDEX($AN$2:$BO$1001,MATCH(ROWS($AG$2:AG629),$AG$2:$AG$1001,0),MATCH(COLUMNS($AN$1006:AN1006),$AN$1006:$BO$1006,0)), HYPERLINK("#",""), HYPERLINK(CONCATENATE("#Metadata!", ADDRESS(INDEX($AI$2:$AI$1001,MATCH(ROWS($AG$2:AG629),$AG$2:$AG$1001,0),0), INDEX($AN$1004:$BO$1004,1,MATCH(COLUMNS($AN$1006:AN1006),$AN$1006:$BO$1006,0)))),"Fix")))</f>
        <v>0</v>
      </c>
      <c r="C629" s="4">
        <f>IF(OR(INDEX($AH$2:$AH$1001,MATCH(ROWS($AG$2:AG629),$AG$2:$AG$1001,0),1)&gt;=100000,INDEX($AN$1005:$BO$1005,1,MATCH(COLUMNS($AN$1006:AO1006),$AN$1006:$BO$1006,0))&gt;=100000), " ",IF(INDEX($AN$2:$BO$1001,MATCH(ROWS($AG$2:AG629),$AG$2:$AG$1001,0),MATCH(COLUMNS($AN$1006:AO1006),$AN$1006:$BO$1006,0)), HYPERLINK("#",""), HYPERLINK(CONCATENATE("#Metadata!", ADDRESS(INDEX($AI$2:$AI$1001,MATCH(ROWS($AG$2:AG629),$AG$2:$AG$1001,0),0), INDEX($AN$1004:$BO$1004,1,MATCH(COLUMNS($AN$1006:AO1006),$AN$1006:$BO$1006,0)))),"Fix")))</f>
        <v>0</v>
      </c>
      <c r="D629" s="4">
        <f>IF(OR(INDEX($AH$2:$AH$1001,MATCH(ROWS($AG$2:AG629),$AG$2:$AG$1001,0),1)&gt;=100000,INDEX($AN$1005:$BO$1005,1,MATCH(COLUMNS($AN$1006:AP1006),$AN$1006:$BO$1006,0))&gt;=100000), " ",IF(INDEX($AN$2:$BO$1001,MATCH(ROWS($AG$2:AG629),$AG$2:$AG$1001,0),MATCH(COLUMNS($AN$1006:AP1006),$AN$1006:$BO$1006,0)), HYPERLINK("#",""), HYPERLINK(CONCATENATE("#Metadata!", ADDRESS(INDEX($AI$2:$AI$1001,MATCH(ROWS($AG$2:AG629),$AG$2:$AG$1001,0),0), INDEX($AN$1004:$BO$1004,1,MATCH(COLUMNS($AN$1006:AP1006),$AN$1006:$BO$1006,0)))),"Fix")))</f>
        <v>0</v>
      </c>
      <c r="E629" s="4">
        <f>IF(OR(INDEX($AH$2:$AH$1001,MATCH(ROWS($AG$2:AG629),$AG$2:$AG$1001,0),1)&gt;=100000,INDEX($AN$1005:$BO$1005,1,MATCH(COLUMNS($AN$1006:AQ1006),$AN$1006:$BO$1006,0))&gt;=100000), " ",IF(INDEX($AN$2:$BO$1001,MATCH(ROWS($AG$2:AG629),$AG$2:$AG$1001,0),MATCH(COLUMNS($AN$1006:AQ1006),$AN$1006:$BO$1006,0)), HYPERLINK("#",""), HYPERLINK(CONCATENATE("#Metadata!", ADDRESS(INDEX($AI$2:$AI$1001,MATCH(ROWS($AG$2:AG629),$AG$2:$AG$1001,0),0), INDEX($AN$1004:$BO$1004,1,MATCH(COLUMNS($AN$1006:AQ1006),$AN$1006:$BO$1006,0)))),"Fix")))</f>
        <v>0</v>
      </c>
      <c r="F629" s="4">
        <f>IF(OR(INDEX($AH$2:$AH$1001,MATCH(ROWS($AG$2:AG629),$AG$2:$AG$1001,0),1)&gt;=100000,INDEX($AN$1005:$BO$1005,1,MATCH(COLUMNS($AN$1006:AR1006),$AN$1006:$BO$1006,0))&gt;=100000), " ",IF(INDEX($AN$2:$BO$1001,MATCH(ROWS($AG$2:AG629),$AG$2:$AG$1001,0),MATCH(COLUMNS($AN$1006:AR1006),$AN$1006:$BO$1006,0)), HYPERLINK("#",""), HYPERLINK(CONCATENATE("#Metadata!", ADDRESS(INDEX($AI$2:$AI$1001,MATCH(ROWS($AG$2:AG629),$AG$2:$AG$1001,0),0), INDEX($AN$1004:$BO$1004,1,MATCH(COLUMNS($AN$1006:AR1006),$AN$1006:$BO$1006,0)))),"Fix")))</f>
        <v>0</v>
      </c>
      <c r="G629" s="4">
        <f>IF(OR(INDEX($AH$2:$AH$1001,MATCH(ROWS($AG$2:AG629),$AG$2:$AG$1001,0),1)&gt;=100000,INDEX($AN$1005:$BO$1005,1,MATCH(COLUMNS($AN$1006:AS1006),$AN$1006:$BO$1006,0))&gt;=100000), " ",IF(INDEX($AN$2:$BO$1001,MATCH(ROWS($AG$2:AG629),$AG$2:$AG$1001,0),MATCH(COLUMNS($AN$1006:AS1006),$AN$1006:$BO$1006,0)), HYPERLINK("#",""), HYPERLINK(CONCATENATE("#Metadata!", ADDRESS(INDEX($AI$2:$AI$1001,MATCH(ROWS($AG$2:AG629),$AG$2:$AG$1001,0),0), INDEX($AN$1004:$BO$1004,1,MATCH(COLUMNS($AN$1006:AS1006),$AN$1006:$BO$1006,0)))),"Fix")))</f>
        <v>0</v>
      </c>
      <c r="H629" s="4">
        <f>IF(OR(INDEX($AH$2:$AH$1001,MATCH(ROWS($AG$2:AG629),$AG$2:$AG$1001,0),1)&gt;=100000,INDEX($AN$1005:$BO$1005,1,MATCH(COLUMNS($AN$1006:AT1006),$AN$1006:$BO$1006,0))&gt;=100000), " ",IF(INDEX($AN$2:$BO$1001,MATCH(ROWS($AG$2:AG629),$AG$2:$AG$1001,0),MATCH(COLUMNS($AN$1006:AT1006),$AN$1006:$BO$1006,0)), HYPERLINK("#",""), HYPERLINK(CONCATENATE("#Metadata!", ADDRESS(INDEX($AI$2:$AI$1001,MATCH(ROWS($AG$2:AG629),$AG$2:$AG$1001,0),0), INDEX($AN$1004:$BO$1004,1,MATCH(COLUMNS($AN$1006:AT1006),$AN$1006:$BO$1006,0)))),"Fix")))</f>
        <v>0</v>
      </c>
      <c r="I629" s="4">
        <f>IF(OR(INDEX($AH$2:$AH$1001,MATCH(ROWS($AG$2:AG629),$AG$2:$AG$1001,0),1)&gt;=100000,INDEX($AN$1005:$BO$1005,1,MATCH(COLUMNS($AN$1006:AU1006),$AN$1006:$BO$1006,0))&gt;=100000), " ",IF(INDEX($AN$2:$BO$1001,MATCH(ROWS($AG$2:AG629),$AG$2:$AG$1001,0),MATCH(COLUMNS($AN$1006:AU1006),$AN$1006:$BO$1006,0)), HYPERLINK("#",""), HYPERLINK(CONCATENATE("#Metadata!", ADDRESS(INDEX($AI$2:$AI$1001,MATCH(ROWS($AG$2:AG629),$AG$2:$AG$1001,0),0), INDEX($AN$1004:$BO$1004,1,MATCH(COLUMNS($AN$1006:AU1006),$AN$1006:$BO$1006,0)))),"Fix")))</f>
        <v>0</v>
      </c>
      <c r="J629" s="4">
        <f>IF(OR(INDEX($AH$2:$AH$1001,MATCH(ROWS($AG$2:AG629),$AG$2:$AG$1001,0),1)&gt;=100000,INDEX($AN$1005:$BO$1005,1,MATCH(COLUMNS($AN$1006:AV1006),$AN$1006:$BO$1006,0))&gt;=100000), " ",IF(INDEX($AN$2:$BO$1001,MATCH(ROWS($AG$2:AG629),$AG$2:$AG$1001,0),MATCH(COLUMNS($AN$1006:AV1006),$AN$1006:$BO$1006,0)), HYPERLINK("#",""), HYPERLINK(CONCATENATE("#Metadata!", ADDRESS(INDEX($AI$2:$AI$1001,MATCH(ROWS($AG$2:AG629),$AG$2:$AG$1001,0),0), INDEX($AN$1004:$BO$1004,1,MATCH(COLUMNS($AN$1006:AV1006),$AN$1006:$BO$1006,0)))),"Fix")))</f>
        <v>0</v>
      </c>
      <c r="K629" s="4">
        <f>IF(OR(INDEX($AH$2:$AH$1001,MATCH(ROWS($AG$2:AG629),$AG$2:$AG$1001,0),1)&gt;=100000,INDEX($AN$1005:$BO$1005,1,MATCH(COLUMNS($AN$1006:AW1006),$AN$1006:$BO$1006,0))&gt;=100000), " ",IF(INDEX($AN$2:$BO$1001,MATCH(ROWS($AG$2:AG629),$AG$2:$AG$1001,0),MATCH(COLUMNS($AN$1006:AW1006),$AN$1006:$BO$1006,0)), HYPERLINK("#",""), HYPERLINK(CONCATENATE("#Metadata!", ADDRESS(INDEX($AI$2:$AI$1001,MATCH(ROWS($AG$2:AG629),$AG$2:$AG$1001,0),0), INDEX($AN$1004:$BO$1004,1,MATCH(COLUMNS($AN$1006:AW1006),$AN$1006:$BO$1006,0)))),"Fix")))</f>
        <v>0</v>
      </c>
      <c r="L629" s="4">
        <f>IF(OR(INDEX($AH$2:$AH$1001,MATCH(ROWS($AG$2:AG629),$AG$2:$AG$1001,0),1)&gt;=100000,INDEX($AN$1005:$BO$1005,1,MATCH(COLUMNS($AN$1006:AX1006),$AN$1006:$BO$1006,0))&gt;=100000), " ",IF(INDEX($AN$2:$BO$1001,MATCH(ROWS($AG$2:AG629),$AG$2:$AG$1001,0),MATCH(COLUMNS($AN$1006:AX1006),$AN$1006:$BO$1006,0)), HYPERLINK("#",""), HYPERLINK(CONCATENATE("#Metadata!", ADDRESS(INDEX($AI$2:$AI$1001,MATCH(ROWS($AG$2:AG629),$AG$2:$AG$1001,0),0), INDEX($AN$1004:$BO$1004,1,MATCH(COLUMNS($AN$1006:AX1006),$AN$1006:$BO$1006,0)))),"Fix")))</f>
        <v>0</v>
      </c>
      <c r="M629" s="4">
        <f>IF(OR(INDEX($AH$2:$AH$1001,MATCH(ROWS($AG$2:AG629),$AG$2:$AG$1001,0),1)&gt;=100000,INDEX($AN$1005:$BO$1005,1,MATCH(COLUMNS($AN$1006:AY1006),$AN$1006:$BO$1006,0))&gt;=100000), " ",IF(INDEX($AN$2:$BO$1001,MATCH(ROWS($AG$2:AG629),$AG$2:$AG$1001,0),MATCH(COLUMNS($AN$1006:AY1006),$AN$1006:$BO$1006,0)), HYPERLINK("#",""), HYPERLINK(CONCATENATE("#Metadata!", ADDRESS(INDEX($AI$2:$AI$1001,MATCH(ROWS($AG$2:AG629),$AG$2:$AG$1001,0),0), INDEX($AN$1004:$BO$1004,1,MATCH(COLUMNS($AN$1006:AY1006),$AN$1006:$BO$1006,0)))),"Fix")))</f>
        <v>0</v>
      </c>
      <c r="N629" s="4">
        <f>IF(OR(INDEX($AH$2:$AH$1001,MATCH(ROWS($AG$2:AG629),$AG$2:$AG$1001,0),1)&gt;=100000,INDEX($AN$1005:$BO$1005,1,MATCH(COLUMNS($AN$1006:AZ1006),$AN$1006:$BO$1006,0))&gt;=100000), " ",IF(INDEX($AN$2:$BO$1001,MATCH(ROWS($AG$2:AG629),$AG$2:$AG$1001,0),MATCH(COLUMNS($AN$1006:AZ1006),$AN$1006:$BO$1006,0)), HYPERLINK("#",""), HYPERLINK(CONCATENATE("#Metadata!", ADDRESS(INDEX($AI$2:$AI$1001,MATCH(ROWS($AG$2:AG629),$AG$2:$AG$1001,0),0), INDEX($AN$1004:$BO$1004,1,MATCH(COLUMNS($AN$1006:AZ1006),$AN$1006:$BO$1006,0)))),"Fix")))</f>
        <v>0</v>
      </c>
      <c r="O629" s="4">
        <f>IF(OR(INDEX($AH$2:$AH$1001,MATCH(ROWS($AG$2:AG629),$AG$2:$AG$1001,0),1)&gt;=100000,INDEX($AN$1005:$BO$1005,1,MATCH(COLUMNS($AN$1006:BA1006),$AN$1006:$BO$1006,0))&gt;=100000), " ",IF(INDEX($AN$2:$BO$1001,MATCH(ROWS($AG$2:AG629),$AG$2:$AG$1001,0),MATCH(COLUMNS($AN$1006:BA1006),$AN$1006:$BO$1006,0)), HYPERLINK("#",""), HYPERLINK(CONCATENATE("#Metadata!", ADDRESS(INDEX($AI$2:$AI$1001,MATCH(ROWS($AG$2:AG629),$AG$2:$AG$1001,0),0), INDEX($AN$1004:$BO$1004,1,MATCH(COLUMNS($AN$1006:BA1006),$AN$1006:$BO$1006,0)))),"Fix")))</f>
        <v>0</v>
      </c>
      <c r="P629" s="4">
        <f>IF(OR(INDEX($AH$2:$AH$1001,MATCH(ROWS($AG$2:AG629),$AG$2:$AG$1001,0),1)&gt;=100000,INDEX($AN$1005:$BO$1005,1,MATCH(COLUMNS($AN$1006:BB1006),$AN$1006:$BO$1006,0))&gt;=100000), " ",IF(INDEX($AN$2:$BO$1001,MATCH(ROWS($AG$2:AG629),$AG$2:$AG$1001,0),MATCH(COLUMNS($AN$1006:BB1006),$AN$1006:$BO$1006,0)), HYPERLINK("#",""), HYPERLINK(CONCATENATE("#Metadata!", ADDRESS(INDEX($AI$2:$AI$1001,MATCH(ROWS($AG$2:AG629),$AG$2:$AG$1001,0),0), INDEX($AN$1004:$BO$1004,1,MATCH(COLUMNS($AN$1006:BB1006),$AN$1006:$BO$1006,0)))),"Fix")))</f>
        <v>0</v>
      </c>
      <c r="Q629" s="4">
        <f>IF(OR(INDEX($AH$2:$AH$1001,MATCH(ROWS($AG$2:AG629),$AG$2:$AG$1001,0),1)&gt;=100000,INDEX($AN$1005:$BO$1005,1,MATCH(COLUMNS($AN$1006:BC1006),$AN$1006:$BO$1006,0))&gt;=100000), " ",IF(INDEX($AN$2:$BO$1001,MATCH(ROWS($AG$2:AG629),$AG$2:$AG$1001,0),MATCH(COLUMNS($AN$1006:BC1006),$AN$1006:$BO$1006,0)), HYPERLINK("#",""), HYPERLINK(CONCATENATE("#Metadata!", ADDRESS(INDEX($AI$2:$AI$1001,MATCH(ROWS($AG$2:AG629),$AG$2:$AG$1001,0),0), INDEX($AN$1004:$BO$1004,1,MATCH(COLUMNS($AN$1006:BC1006),$AN$1006:$BO$1006,0)))),"Fix")))</f>
        <v>0</v>
      </c>
      <c r="R629" s="4">
        <f>IF(OR(INDEX($AH$2:$AH$1001,MATCH(ROWS($AG$2:AG629),$AG$2:$AG$1001,0),1)&gt;=100000,INDEX($AN$1005:$BO$1005,1,MATCH(COLUMNS($AN$1006:BD1006),$AN$1006:$BO$1006,0))&gt;=100000), " ",IF(INDEX($AN$2:$BO$1001,MATCH(ROWS($AG$2:AG629),$AG$2:$AG$1001,0),MATCH(COLUMNS($AN$1006:BD1006),$AN$1006:$BO$1006,0)), HYPERLINK("#",""), HYPERLINK(CONCATENATE("#Metadata!", ADDRESS(INDEX($AI$2:$AI$1001,MATCH(ROWS($AG$2:AG629),$AG$2:$AG$1001,0),0), INDEX($AN$1004:$BO$1004,1,MATCH(COLUMNS($AN$1006:BD1006),$AN$1006:$BO$1006,0)))),"Fix")))</f>
        <v>0</v>
      </c>
      <c r="S629" s="4">
        <f>IF(OR(INDEX($AH$2:$AH$1001,MATCH(ROWS($AG$2:AG629),$AG$2:$AG$1001,0),1)&gt;=100000,INDEX($AN$1005:$BO$1005,1,MATCH(COLUMNS($AN$1006:BE1006),$AN$1006:$BO$1006,0))&gt;=100000), " ",IF(INDEX($AN$2:$BO$1001,MATCH(ROWS($AG$2:AG629),$AG$2:$AG$1001,0),MATCH(COLUMNS($AN$1006:BE1006),$AN$1006:$BO$1006,0)), HYPERLINK("#",""), HYPERLINK(CONCATENATE("#Metadata!", ADDRESS(INDEX($AI$2:$AI$1001,MATCH(ROWS($AG$2:AG629),$AG$2:$AG$1001,0),0), INDEX($AN$1004:$BO$1004,1,MATCH(COLUMNS($AN$1006:BE1006),$AN$1006:$BO$1006,0)))),"Fix")))</f>
        <v>0</v>
      </c>
      <c r="T629" s="4">
        <f>IF(OR(INDEX($AH$2:$AH$1001,MATCH(ROWS($AG$2:AG629),$AG$2:$AG$1001,0),1)&gt;=100000,INDEX($AN$1005:$BO$1005,1,MATCH(COLUMNS($AN$1006:BF1006),$AN$1006:$BO$1006,0))&gt;=100000), " ",IF(INDEX($AN$2:$BO$1001,MATCH(ROWS($AG$2:AG629),$AG$2:$AG$1001,0),MATCH(COLUMNS($AN$1006:BF1006),$AN$1006:$BO$1006,0)), HYPERLINK("#",""), HYPERLINK(CONCATENATE("#Metadata!", ADDRESS(INDEX($AI$2:$AI$1001,MATCH(ROWS($AG$2:AG629),$AG$2:$AG$1001,0),0), INDEX($AN$1004:$BO$1004,1,MATCH(COLUMNS($AN$1006:BF1006),$AN$1006:$BO$1006,0)))),"Fix")))</f>
        <v>0</v>
      </c>
      <c r="U629" s="4">
        <f>IF(OR(INDEX($AH$2:$AH$1001,MATCH(ROWS($AG$2:AG629),$AG$2:$AG$1001,0),1)&gt;=100000,INDEX($AN$1005:$BO$1005,1,MATCH(COLUMNS($AN$1006:BG1006),$AN$1006:$BO$1006,0))&gt;=100000), " ",IF(INDEX($AN$2:$BO$1001,MATCH(ROWS($AG$2:AG629),$AG$2:$AG$1001,0),MATCH(COLUMNS($AN$1006:BG1006),$AN$1006:$BO$1006,0)), HYPERLINK("#",""), HYPERLINK(CONCATENATE("#Metadata!", ADDRESS(INDEX($AI$2:$AI$1001,MATCH(ROWS($AG$2:AG629),$AG$2:$AG$1001,0),0), INDEX($AN$1004:$BO$1004,1,MATCH(COLUMNS($AN$1006:BG1006),$AN$1006:$BO$1006,0)))),"Fix")))</f>
        <v>0</v>
      </c>
      <c r="V629" s="4">
        <f>IF(OR(INDEX($AH$2:$AH$1001,MATCH(ROWS($AG$2:AG629),$AG$2:$AG$1001,0),1)&gt;=100000,INDEX($AN$1005:$BO$1005,1,MATCH(COLUMNS($AN$1006:BH1006),$AN$1006:$BO$1006,0))&gt;=100000), " ",IF(INDEX($AN$2:$BO$1001,MATCH(ROWS($AG$2:AG629),$AG$2:$AG$1001,0),MATCH(COLUMNS($AN$1006:BH1006),$AN$1006:$BO$1006,0)), HYPERLINK("#",""), HYPERLINK(CONCATENATE("#Metadata!", ADDRESS(INDEX($AI$2:$AI$1001,MATCH(ROWS($AG$2:AG629),$AG$2:$AG$1001,0),0), INDEX($AN$1004:$BO$1004,1,MATCH(COLUMNS($AN$1006:BH1006),$AN$1006:$BO$1006,0)))),"Fix")))</f>
        <v>0</v>
      </c>
      <c r="W629" s="4">
        <f>IF(OR(INDEX($AH$2:$AH$1001,MATCH(ROWS($AG$2:AG629),$AG$2:$AG$1001,0),1)&gt;=100000,INDEX($AN$1005:$BO$1005,1,MATCH(COLUMNS($AN$1006:BI1006),$AN$1006:$BO$1006,0))&gt;=100000), " ",IF(INDEX($AN$2:$BO$1001,MATCH(ROWS($AG$2:AG629),$AG$2:$AG$1001,0),MATCH(COLUMNS($AN$1006:BI1006),$AN$1006:$BO$1006,0)), HYPERLINK("#",""), HYPERLINK(CONCATENATE("#Metadata!", ADDRESS(INDEX($AI$2:$AI$1001,MATCH(ROWS($AG$2:AG629),$AG$2:$AG$1001,0),0), INDEX($AN$1004:$BO$1004,1,MATCH(COLUMNS($AN$1006:BI1006),$AN$1006:$BO$1006,0)))),"Fix")))</f>
        <v>0</v>
      </c>
      <c r="X629" s="4">
        <f>IF(OR(INDEX($AH$2:$AH$1001,MATCH(ROWS($AG$2:AG629),$AG$2:$AG$1001,0),1)&gt;=100000,INDEX($AN$1005:$BO$1005,1,MATCH(COLUMNS($AN$1006:BJ1006),$AN$1006:$BO$1006,0))&gt;=100000), " ",IF(INDEX($AN$2:$BO$1001,MATCH(ROWS($AG$2:AG629),$AG$2:$AG$1001,0),MATCH(COLUMNS($AN$1006:BJ1006),$AN$1006:$BO$1006,0)), HYPERLINK("#",""), HYPERLINK(CONCATENATE("#Metadata!", ADDRESS(INDEX($AI$2:$AI$1001,MATCH(ROWS($AG$2:AG629),$AG$2:$AG$1001,0),0), INDEX($AN$1004:$BO$1004,1,MATCH(COLUMNS($AN$1006:BJ1006),$AN$1006:$BO$1006,0)))),"Fix")))</f>
        <v>0</v>
      </c>
      <c r="Y629" s="4">
        <f>IF(OR(INDEX($AH$2:$AH$1001,MATCH(ROWS($AG$2:AG629),$AG$2:$AG$1001,0),1)&gt;=100000,INDEX($AN$1005:$BO$1005,1,MATCH(COLUMNS($AN$1006:BK1006),$AN$1006:$BO$1006,0))&gt;=100000), " ",IF(INDEX($AN$2:$BO$1001,MATCH(ROWS($AG$2:AG629),$AG$2:$AG$1001,0),MATCH(COLUMNS($AN$1006:BK1006),$AN$1006:$BO$1006,0)), HYPERLINK("#",""), HYPERLINK(CONCATENATE("#Metadata!", ADDRESS(INDEX($AI$2:$AI$1001,MATCH(ROWS($AG$2:AG629),$AG$2:$AG$1001,0),0), INDEX($AN$1004:$BO$1004,1,MATCH(COLUMNS($AN$1006:BK1006),$AN$1006:$BO$1006,0)))),"Fix")))</f>
        <v>0</v>
      </c>
      <c r="Z629" s="4">
        <f>IF(OR(INDEX($AH$2:$AH$1001,MATCH(ROWS($AG$2:AG629),$AG$2:$AG$1001,0),1)&gt;=100000,INDEX($AN$1005:$BO$1005,1,MATCH(COLUMNS($AN$1006:BL1006),$AN$1006:$BO$1006,0))&gt;=100000), " ",IF(INDEX($AN$2:$BO$1001,MATCH(ROWS($AG$2:AG629),$AG$2:$AG$1001,0),MATCH(COLUMNS($AN$1006:BL1006),$AN$1006:$BO$1006,0)), HYPERLINK("#",""), HYPERLINK(CONCATENATE("#Metadata!", ADDRESS(INDEX($AI$2:$AI$1001,MATCH(ROWS($AG$2:AG629),$AG$2:$AG$1001,0),0), INDEX($AN$1004:$BO$1004,1,MATCH(COLUMNS($AN$1006:BL1006),$AN$1006:$BO$1006,0)))),"Fix")))</f>
        <v>0</v>
      </c>
      <c r="AA629" s="4">
        <f>IF(OR(INDEX($AH$2:$AH$1001,MATCH(ROWS($AG$2:AG629),$AG$2:$AG$1001,0),1)&gt;=100000,INDEX($AN$1005:$BO$1005,1,MATCH(COLUMNS($AN$1006:BM1006),$AN$1006:$BO$1006,0))&gt;=100000), " ",IF(INDEX($AN$2:$BO$1001,MATCH(ROWS($AG$2:AG629),$AG$2:$AG$1001,0),MATCH(COLUMNS($AN$1006:BM1006),$AN$1006:$BO$1006,0)), HYPERLINK("#",""), HYPERLINK(CONCATENATE("#Metadata!", ADDRESS(INDEX($AI$2:$AI$1001,MATCH(ROWS($AG$2:AG629),$AG$2:$AG$1001,0),0), INDEX($AN$1004:$BO$1004,1,MATCH(COLUMNS($AN$1006:BM1006),$AN$1006:$BO$1006,0)))),"Fix")))</f>
        <v>0</v>
      </c>
      <c r="AB629" s="4">
        <f>IF(OR(INDEX($AH$2:$AH$1001,MATCH(ROWS($AG$2:AG629),$AG$2:$AG$1001,0),1)&gt;=100000,INDEX($AN$1005:$BO$1005,1,MATCH(COLUMNS($AN$1006:BN1006),$AN$1006:$BO$1006,0))&gt;=100000), " ",IF(INDEX($AN$2:$BO$1001,MATCH(ROWS($AG$2:AG629),$AG$2:$AG$1001,0),MATCH(COLUMNS($AN$1006:BN1006),$AN$1006:$BO$1006,0)), HYPERLINK("#",""), HYPERLINK(CONCATENATE("#Metadata!", ADDRESS(INDEX($AI$2:$AI$1001,MATCH(ROWS($AG$2:AG629),$AG$2:$AG$1001,0),0), INDEX($AN$1004:$BO$1004,1,MATCH(COLUMNS($AN$1006:BN1006),$AN$1006:$BO$1006,0)))),"Fix")))</f>
        <v>0</v>
      </c>
      <c r="AC629" s="4">
        <f>IF(OR(INDEX($AH$2:$AH$1001,MATCH(ROWS($AG$2:AG629),$AG$2:$AG$1001,0),1)&gt;=100000,INDEX($AN$1005:$BO$1005,1,MATCH(COLUMNS($AN$1006:BO1006),$AN$1006:$BO$1006,0))&gt;=100000), " ",IF(INDEX($AN$2:$BO$1001,MATCH(ROWS($AG$2:AG629),$AG$2:$AG$1001,0),MATCH(COLUMNS($AN$1006:BO1006),$AN$1006:$BO$1006,0)), HYPERLINK("#",""), HYPERLINK(CONCATENATE("#Metadata!", ADDRESS(INDEX($AI$2:$AI$1001,MATCH(ROWS($AG$2:AG629),$AG$2:$AG$1001,0),0), INDEX($AN$1004:$BO$1004,1,MATCH(COLUMNS($AN$1006:BO1006),$AN$1006:$BO$1006,0)))),"Fix")))</f>
        <v>0</v>
      </c>
      <c r="AG629">
        <v>0</v>
      </c>
      <c r="AH629">
        <v>0</v>
      </c>
      <c r="AI629">
        <v>0</v>
      </c>
      <c r="AJ629">
        <f>IF(AK629,TRUE,AND(AN629:BO629))</f>
        <v>0</v>
      </c>
      <c r="AK629">
        <f>COUNTBLANK(Metadata!B629:AC629)=COLUMNS(Metadata!B629:AC629)</f>
        <v>0</v>
      </c>
      <c r="AL629">
        <v>0</v>
      </c>
      <c r="AN629">
        <f>AND(IF(Metadata!B629="",FALSE,TRUE),COUNTIF(Metadata!B:B, Metadata!B629) = 1,NOT(ISERROR(SUMPRODUCT(SEARCH(MID(Metadata!B629,ROW(INDIRECT("1:"&amp;LEN(Metadata!B629))), 1),"0123456789abcdefghijklmnopqrstuvwxyzABCDEFGHIJKLMNOPQRSTUVWXYZ.")))))</f>
        <v>0</v>
      </c>
      <c r="AO629">
        <f>IF(Metadata!C629="",FALSE,TRUE)</f>
        <v>0</v>
      </c>
      <c r="AP629">
        <f>IF(Metadata!D629="",FALSE,TRUE)</f>
        <v>0</v>
      </c>
      <c r="AQ629">
        <f>OR(AND(IF(Metadata!E629="",FALSE,TRUE),OR(exact(Metadata!E629,"not collected"),exact(Metadata!E629,"not provided"),exact(Metadata!E629,"restricted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R629">
        <f>IF(Metadata!F629="",FALSE,TRUE)</f>
        <v>0</v>
      </c>
      <c r="AS629">
        <f>OR(AND(IF(Metadata!G629="",FALSE,TRUE),OR(exact(Metadata!G629,"not collected"),exact(Metadata!G629,"not provided"))),AND(IF(Metadata!G629="",FALSE,TRUE),OR(exact(Metadata!G629,"TRUE"),exact(Metadata!G629,"FALSE"))))</f>
        <v>0</v>
      </c>
      <c r="AT629">
        <f>OR(AND(IF(Metadata!H629="",FALSE,TRUE),OR(exact(Metadata!H629,"not collected"),exact(Metadata!H629,"not provided"),exact(Metadata!H629,"restricted access"))),AND(IF(Metadata!H629="",FALSE,ISNUMBER(VALUE(Metadata!H629))),Metadata!H629&gt;=-413.0))</f>
        <v>0</v>
      </c>
      <c r="AU629">
        <f>AND(IF(Metadata!I629="",FALSE,TRUE),exact(Metadata!I629,"meters"))</f>
        <v>0</v>
      </c>
      <c r="AV629">
        <f>AND(IF(Metadata!J629="",FALSE,TRUE),OR(exact(Metadata!J629,"Host-associated"),exact(Metadata!J629,"Free-living")))</f>
        <v>0</v>
      </c>
      <c r="AW629">
        <f>AND(IF(Metadata!K629="",FALSE,TRUE),OR(exact(Metadata!K629,"Animal"),exact(Metadata!K629,"Fungus"),exact(Metadata!K629,"Plant"),exact(Metadata!K629,"Saline"),exact(Metadata!K629,"Non-saline")))</f>
        <v>0</v>
      </c>
      <c r="AX629">
        <f>AND(IF(Metadata!L629="",FALSE,TRUE),OR(exact(Metadata!L629,"Plant secretion"),exact(Metadata!L629,"Plant rhizosphere"),exact(Metadata!L629,"Plant surface"),exact(Metadata!L629,"Plant corpus"),exact(Metadata!L629,"Fungus surface"),exact(Metadata!L629,"Fungus corpus"),exact(Metadata!L629,"Animal surface"),exact(Metadata!L629,"Animal proximal gut"),exact(Metadata!L629,"Animal corpus"),exact(Metadata!L629,"Animal distal gut"),exact(Metadata!L629,"Animal secretion"),exact(Metadata!L629,"Sub-surface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Y629">
        <f>IF(Metadata!M629="",FALSE,TRUE)</f>
        <v>0</v>
      </c>
      <c r="AZ629">
        <f>IF(Metadata!N629="",FALSE,TRUE)</f>
        <v>0</v>
      </c>
      <c r="BA629">
        <f>IF(Metadata!O629="",FALSE,TRUE)</f>
        <v>0</v>
      </c>
      <c r="BB629">
        <f>OR(AND(IF(Metadata!P629="",FALSE,TRUE),OR(exact(Metadata!P629,"not collected"),exact(Metadata!P629,"not provided"),exact(Metadata!P629,"restricted access"))),AND(IF(Metadata!P629="",FALSE,TRUE),OR(exact(Metadata!P629,"air"),exact(Metadata!P629,"built environment"),exact(Metadata!P629,"host-associated"),exact(Metadata!P629,"human-associated"),exact(Metadata!P629,"human-skin"),exact(Metadata!P629,"human-oral"),exact(Metadata!P629,"human-gut"),exact(Metadata!P629,"human-vaginal"),exact(Metadata!P629,"microbial mat/biofilm"),exact(Metadata!P629,"misc environment"),exact(Metadata!P629,"plant-associated"),exact(Metadata!P629,"sediment"),exact(Metadata!P629,"soil"),exact(Metadata!P629,"wastewater/sludge"),exact(Metadata!P629,"water"))))</f>
        <v>0</v>
      </c>
      <c r="BC629">
        <f>IF(Metadata!Q629="",FALSE,TRUE)</f>
        <v>0</v>
      </c>
      <c r="BD629">
        <f>IF(Metadata!R629="",FALSE,TRUE)</f>
        <v>0</v>
      </c>
      <c r="BE629">
        <f>OR(AND(IF(Metadata!S629="",FALSE,TRUE),OR(exact(Metadata!S629,"not collected"),exact(Metadata!S629,"not provided"),exact(Metadata!S629,"restricted access"))),AND(IF(Metadata!S629="",FALSE,ISNUMBER(VALUE(Metadata!S629))),Metadata!S629&gt;=-90.00,Metadata!S629&lt;=90.00))</f>
        <v>0</v>
      </c>
      <c r="BF629">
        <f>AND(IF(Metadata!T629="",FALSE,TRUE),exact(Metadata!T629,"Decimal degrees"))</f>
        <v>0</v>
      </c>
      <c r="BG629">
        <f>OR(AND(IF(Metadata!U629="",FALSE,TRUE),OR(exact(Metadata!U629,"not collected"),exact(Metadata!U629,"not provided"),exact(Metadata!U629,"restricted access"))),AND(IF(Metadata!U629="",FALSE,ISNUMBER(VALUE(Metadata!U629))),Metadata!U629&gt;=-180.00,Metadata!U629&lt;=180.00))</f>
        <v>0</v>
      </c>
      <c r="BH629">
        <f>AND(IF(Metadata!V629="",FALSE,TRUE),exact(Metadata!V629,"Decimal degrees"))</f>
        <v>0</v>
      </c>
      <c r="BI629">
        <f>IF(Metadata!W629="",FALSE,TRUE)</f>
        <v>0</v>
      </c>
      <c r="BJ629">
        <f>OR(AND(IF(Metadata!X629="",FALSE,TRUE),OR(exact(Metadata!X629,"not collected"),exact(Metadata!X629,"not provided"),exact(Metadata!X629,"restricted access"))),AND(IF(Metadata!X629="",FALSE,TRUE),OR(exact(Metadata!X629,"TRUE"),exact(Metadata!X629,"FALSE"))))</f>
        <v>0</v>
      </c>
      <c r="BK629">
        <f>AND(IF(Metadata!Y629="",FALSE,TRUE),exact(Metadata!Y629,"other"))</f>
        <v>0</v>
      </c>
      <c r="BL629">
        <f>IF(Metadata!Z629="",FALSE,TRUE)</f>
        <v>0</v>
      </c>
      <c r="BM629">
        <f>OR(AND(IF(Metadata!AA629="",FALSE,TRUE),OR(exact(Metadata!AA629,"not collected"),exact(Metadata!AA629,"not provided"))),AND(IF(Metadata!AA629="",FALSE,IF(ISERROR(INT(Metadata!AA629)),FALSE,INT(Metadata!AA629)=Metadata!AA629)),Metadata!AA629&gt;0))</f>
        <v>0</v>
      </c>
      <c r="BN629">
        <f>AND(IF(Metadata!AB629="",FALSE,TRUE),exact(Metadata!AB629,"Not applicable"))</f>
        <v>0</v>
      </c>
      <c r="BO629">
        <f>IF(Metadata!AC629="",FALSE,TRUE)</f>
        <v>0</v>
      </c>
    </row>
    <row r="630" spans="1:67">
      <c r="A630" s="5">
        <f>IF(B630=" "," ",HYPERLINK(CONCATENATE("#metadata!",ADDRESS(INDEX($AI$2:$AI$1001,MATCH(ROWS($AG$2:AG630),$AG$2:$AG$1001,0),0),1)),INDEX($AL$2:$AL$1001,MATCH(ROWS($AG$2:AG630),$AG$2:$AG$1001,0),0)))</f>
        <v>0</v>
      </c>
      <c r="B630" s="4">
        <f>IF(OR(INDEX($AH$2:$AH$1001,MATCH(ROWS($AG$2:AG630),$AG$2:$AG$1001,0),1)&gt;=100000,INDEX($AN$1005:$BO$1005,1,MATCH(COLUMNS($AN$1006:AN1006),$AN$1006:$BO$1006,0))&gt;=100000), " ",IF(INDEX($AN$2:$BO$1001,MATCH(ROWS($AG$2:AG630),$AG$2:$AG$1001,0),MATCH(COLUMNS($AN$1006:AN1006),$AN$1006:$BO$1006,0)), HYPERLINK("#",""), HYPERLINK(CONCATENATE("#Metadata!", ADDRESS(INDEX($AI$2:$AI$1001,MATCH(ROWS($AG$2:AG630),$AG$2:$AG$1001,0),0), INDEX($AN$1004:$BO$1004,1,MATCH(COLUMNS($AN$1006:AN1006),$AN$1006:$BO$1006,0)))),"Fix")))</f>
        <v>0</v>
      </c>
      <c r="C630" s="4">
        <f>IF(OR(INDEX($AH$2:$AH$1001,MATCH(ROWS($AG$2:AG630),$AG$2:$AG$1001,0),1)&gt;=100000,INDEX($AN$1005:$BO$1005,1,MATCH(COLUMNS($AN$1006:AO1006),$AN$1006:$BO$1006,0))&gt;=100000), " ",IF(INDEX($AN$2:$BO$1001,MATCH(ROWS($AG$2:AG630),$AG$2:$AG$1001,0),MATCH(COLUMNS($AN$1006:AO1006),$AN$1006:$BO$1006,0)), HYPERLINK("#",""), HYPERLINK(CONCATENATE("#Metadata!", ADDRESS(INDEX($AI$2:$AI$1001,MATCH(ROWS($AG$2:AG630),$AG$2:$AG$1001,0),0), INDEX($AN$1004:$BO$1004,1,MATCH(COLUMNS($AN$1006:AO1006),$AN$1006:$BO$1006,0)))),"Fix")))</f>
        <v>0</v>
      </c>
      <c r="D630" s="4">
        <f>IF(OR(INDEX($AH$2:$AH$1001,MATCH(ROWS($AG$2:AG630),$AG$2:$AG$1001,0),1)&gt;=100000,INDEX($AN$1005:$BO$1005,1,MATCH(COLUMNS($AN$1006:AP1006),$AN$1006:$BO$1006,0))&gt;=100000), " ",IF(INDEX($AN$2:$BO$1001,MATCH(ROWS($AG$2:AG630),$AG$2:$AG$1001,0),MATCH(COLUMNS($AN$1006:AP1006),$AN$1006:$BO$1006,0)), HYPERLINK("#",""), HYPERLINK(CONCATENATE("#Metadata!", ADDRESS(INDEX($AI$2:$AI$1001,MATCH(ROWS($AG$2:AG630),$AG$2:$AG$1001,0),0), INDEX($AN$1004:$BO$1004,1,MATCH(COLUMNS($AN$1006:AP1006),$AN$1006:$BO$1006,0)))),"Fix")))</f>
        <v>0</v>
      </c>
      <c r="E630" s="4">
        <f>IF(OR(INDEX($AH$2:$AH$1001,MATCH(ROWS($AG$2:AG630),$AG$2:$AG$1001,0),1)&gt;=100000,INDEX($AN$1005:$BO$1005,1,MATCH(COLUMNS($AN$1006:AQ1006),$AN$1006:$BO$1006,0))&gt;=100000), " ",IF(INDEX($AN$2:$BO$1001,MATCH(ROWS($AG$2:AG630),$AG$2:$AG$1001,0),MATCH(COLUMNS($AN$1006:AQ1006),$AN$1006:$BO$1006,0)), HYPERLINK("#",""), HYPERLINK(CONCATENATE("#Metadata!", ADDRESS(INDEX($AI$2:$AI$1001,MATCH(ROWS($AG$2:AG630),$AG$2:$AG$1001,0),0), INDEX($AN$1004:$BO$1004,1,MATCH(COLUMNS($AN$1006:AQ1006),$AN$1006:$BO$1006,0)))),"Fix")))</f>
        <v>0</v>
      </c>
      <c r="F630" s="4">
        <f>IF(OR(INDEX($AH$2:$AH$1001,MATCH(ROWS($AG$2:AG630),$AG$2:$AG$1001,0),1)&gt;=100000,INDEX($AN$1005:$BO$1005,1,MATCH(COLUMNS($AN$1006:AR1006),$AN$1006:$BO$1006,0))&gt;=100000), " ",IF(INDEX($AN$2:$BO$1001,MATCH(ROWS($AG$2:AG630),$AG$2:$AG$1001,0),MATCH(COLUMNS($AN$1006:AR1006),$AN$1006:$BO$1006,0)), HYPERLINK("#",""), HYPERLINK(CONCATENATE("#Metadata!", ADDRESS(INDEX($AI$2:$AI$1001,MATCH(ROWS($AG$2:AG630),$AG$2:$AG$1001,0),0), INDEX($AN$1004:$BO$1004,1,MATCH(COLUMNS($AN$1006:AR1006),$AN$1006:$BO$1006,0)))),"Fix")))</f>
        <v>0</v>
      </c>
      <c r="G630" s="4">
        <f>IF(OR(INDEX($AH$2:$AH$1001,MATCH(ROWS($AG$2:AG630),$AG$2:$AG$1001,0),1)&gt;=100000,INDEX($AN$1005:$BO$1005,1,MATCH(COLUMNS($AN$1006:AS1006),$AN$1006:$BO$1006,0))&gt;=100000), " ",IF(INDEX($AN$2:$BO$1001,MATCH(ROWS($AG$2:AG630),$AG$2:$AG$1001,0),MATCH(COLUMNS($AN$1006:AS1006),$AN$1006:$BO$1006,0)), HYPERLINK("#",""), HYPERLINK(CONCATENATE("#Metadata!", ADDRESS(INDEX($AI$2:$AI$1001,MATCH(ROWS($AG$2:AG630),$AG$2:$AG$1001,0),0), INDEX($AN$1004:$BO$1004,1,MATCH(COLUMNS($AN$1006:AS1006),$AN$1006:$BO$1006,0)))),"Fix")))</f>
        <v>0</v>
      </c>
      <c r="H630" s="4">
        <f>IF(OR(INDEX($AH$2:$AH$1001,MATCH(ROWS($AG$2:AG630),$AG$2:$AG$1001,0),1)&gt;=100000,INDEX($AN$1005:$BO$1005,1,MATCH(COLUMNS($AN$1006:AT1006),$AN$1006:$BO$1006,0))&gt;=100000), " ",IF(INDEX($AN$2:$BO$1001,MATCH(ROWS($AG$2:AG630),$AG$2:$AG$1001,0),MATCH(COLUMNS($AN$1006:AT1006),$AN$1006:$BO$1006,0)), HYPERLINK("#",""), HYPERLINK(CONCATENATE("#Metadata!", ADDRESS(INDEX($AI$2:$AI$1001,MATCH(ROWS($AG$2:AG630),$AG$2:$AG$1001,0),0), INDEX($AN$1004:$BO$1004,1,MATCH(COLUMNS($AN$1006:AT1006),$AN$1006:$BO$1006,0)))),"Fix")))</f>
        <v>0</v>
      </c>
      <c r="I630" s="4">
        <f>IF(OR(INDEX($AH$2:$AH$1001,MATCH(ROWS($AG$2:AG630),$AG$2:$AG$1001,0),1)&gt;=100000,INDEX($AN$1005:$BO$1005,1,MATCH(COLUMNS($AN$1006:AU1006),$AN$1006:$BO$1006,0))&gt;=100000), " ",IF(INDEX($AN$2:$BO$1001,MATCH(ROWS($AG$2:AG630),$AG$2:$AG$1001,0),MATCH(COLUMNS($AN$1006:AU1006),$AN$1006:$BO$1006,0)), HYPERLINK("#",""), HYPERLINK(CONCATENATE("#Metadata!", ADDRESS(INDEX($AI$2:$AI$1001,MATCH(ROWS($AG$2:AG630),$AG$2:$AG$1001,0),0), INDEX($AN$1004:$BO$1004,1,MATCH(COLUMNS($AN$1006:AU1006),$AN$1006:$BO$1006,0)))),"Fix")))</f>
        <v>0</v>
      </c>
      <c r="J630" s="4">
        <f>IF(OR(INDEX($AH$2:$AH$1001,MATCH(ROWS($AG$2:AG630),$AG$2:$AG$1001,0),1)&gt;=100000,INDEX($AN$1005:$BO$1005,1,MATCH(COLUMNS($AN$1006:AV1006),$AN$1006:$BO$1006,0))&gt;=100000), " ",IF(INDEX($AN$2:$BO$1001,MATCH(ROWS($AG$2:AG630),$AG$2:$AG$1001,0),MATCH(COLUMNS($AN$1006:AV1006),$AN$1006:$BO$1006,0)), HYPERLINK("#",""), HYPERLINK(CONCATENATE("#Metadata!", ADDRESS(INDEX($AI$2:$AI$1001,MATCH(ROWS($AG$2:AG630),$AG$2:$AG$1001,0),0), INDEX($AN$1004:$BO$1004,1,MATCH(COLUMNS($AN$1006:AV1006),$AN$1006:$BO$1006,0)))),"Fix")))</f>
        <v>0</v>
      </c>
      <c r="K630" s="4">
        <f>IF(OR(INDEX($AH$2:$AH$1001,MATCH(ROWS($AG$2:AG630),$AG$2:$AG$1001,0),1)&gt;=100000,INDEX($AN$1005:$BO$1005,1,MATCH(COLUMNS($AN$1006:AW1006),$AN$1006:$BO$1006,0))&gt;=100000), " ",IF(INDEX($AN$2:$BO$1001,MATCH(ROWS($AG$2:AG630),$AG$2:$AG$1001,0),MATCH(COLUMNS($AN$1006:AW1006),$AN$1006:$BO$1006,0)), HYPERLINK("#",""), HYPERLINK(CONCATENATE("#Metadata!", ADDRESS(INDEX($AI$2:$AI$1001,MATCH(ROWS($AG$2:AG630),$AG$2:$AG$1001,0),0), INDEX($AN$1004:$BO$1004,1,MATCH(COLUMNS($AN$1006:AW1006),$AN$1006:$BO$1006,0)))),"Fix")))</f>
        <v>0</v>
      </c>
      <c r="L630" s="4">
        <f>IF(OR(INDEX($AH$2:$AH$1001,MATCH(ROWS($AG$2:AG630),$AG$2:$AG$1001,0),1)&gt;=100000,INDEX($AN$1005:$BO$1005,1,MATCH(COLUMNS($AN$1006:AX1006),$AN$1006:$BO$1006,0))&gt;=100000), " ",IF(INDEX($AN$2:$BO$1001,MATCH(ROWS($AG$2:AG630),$AG$2:$AG$1001,0),MATCH(COLUMNS($AN$1006:AX1006),$AN$1006:$BO$1006,0)), HYPERLINK("#",""), HYPERLINK(CONCATENATE("#Metadata!", ADDRESS(INDEX($AI$2:$AI$1001,MATCH(ROWS($AG$2:AG630),$AG$2:$AG$1001,0),0), INDEX($AN$1004:$BO$1004,1,MATCH(COLUMNS($AN$1006:AX1006),$AN$1006:$BO$1006,0)))),"Fix")))</f>
        <v>0</v>
      </c>
      <c r="M630" s="4">
        <f>IF(OR(INDEX($AH$2:$AH$1001,MATCH(ROWS($AG$2:AG630),$AG$2:$AG$1001,0),1)&gt;=100000,INDEX($AN$1005:$BO$1005,1,MATCH(COLUMNS($AN$1006:AY1006),$AN$1006:$BO$1006,0))&gt;=100000), " ",IF(INDEX($AN$2:$BO$1001,MATCH(ROWS($AG$2:AG630),$AG$2:$AG$1001,0),MATCH(COLUMNS($AN$1006:AY1006),$AN$1006:$BO$1006,0)), HYPERLINK("#",""), HYPERLINK(CONCATENATE("#Metadata!", ADDRESS(INDEX($AI$2:$AI$1001,MATCH(ROWS($AG$2:AG630),$AG$2:$AG$1001,0),0), INDEX($AN$1004:$BO$1004,1,MATCH(COLUMNS($AN$1006:AY1006),$AN$1006:$BO$1006,0)))),"Fix")))</f>
        <v>0</v>
      </c>
      <c r="N630" s="4">
        <f>IF(OR(INDEX($AH$2:$AH$1001,MATCH(ROWS($AG$2:AG630),$AG$2:$AG$1001,0),1)&gt;=100000,INDEX($AN$1005:$BO$1005,1,MATCH(COLUMNS($AN$1006:AZ1006),$AN$1006:$BO$1006,0))&gt;=100000), " ",IF(INDEX($AN$2:$BO$1001,MATCH(ROWS($AG$2:AG630),$AG$2:$AG$1001,0),MATCH(COLUMNS($AN$1006:AZ1006),$AN$1006:$BO$1006,0)), HYPERLINK("#",""), HYPERLINK(CONCATENATE("#Metadata!", ADDRESS(INDEX($AI$2:$AI$1001,MATCH(ROWS($AG$2:AG630),$AG$2:$AG$1001,0),0), INDEX($AN$1004:$BO$1004,1,MATCH(COLUMNS($AN$1006:AZ1006),$AN$1006:$BO$1006,0)))),"Fix")))</f>
        <v>0</v>
      </c>
      <c r="O630" s="4">
        <f>IF(OR(INDEX($AH$2:$AH$1001,MATCH(ROWS($AG$2:AG630),$AG$2:$AG$1001,0),1)&gt;=100000,INDEX($AN$1005:$BO$1005,1,MATCH(COLUMNS($AN$1006:BA1006),$AN$1006:$BO$1006,0))&gt;=100000), " ",IF(INDEX($AN$2:$BO$1001,MATCH(ROWS($AG$2:AG630),$AG$2:$AG$1001,0),MATCH(COLUMNS($AN$1006:BA1006),$AN$1006:$BO$1006,0)), HYPERLINK("#",""), HYPERLINK(CONCATENATE("#Metadata!", ADDRESS(INDEX($AI$2:$AI$1001,MATCH(ROWS($AG$2:AG630),$AG$2:$AG$1001,0),0), INDEX($AN$1004:$BO$1004,1,MATCH(COLUMNS($AN$1006:BA1006),$AN$1006:$BO$1006,0)))),"Fix")))</f>
        <v>0</v>
      </c>
      <c r="P630" s="4">
        <f>IF(OR(INDEX($AH$2:$AH$1001,MATCH(ROWS($AG$2:AG630),$AG$2:$AG$1001,0),1)&gt;=100000,INDEX($AN$1005:$BO$1005,1,MATCH(COLUMNS($AN$1006:BB1006),$AN$1006:$BO$1006,0))&gt;=100000), " ",IF(INDEX($AN$2:$BO$1001,MATCH(ROWS($AG$2:AG630),$AG$2:$AG$1001,0),MATCH(COLUMNS($AN$1006:BB1006),$AN$1006:$BO$1006,0)), HYPERLINK("#",""), HYPERLINK(CONCATENATE("#Metadata!", ADDRESS(INDEX($AI$2:$AI$1001,MATCH(ROWS($AG$2:AG630),$AG$2:$AG$1001,0),0), INDEX($AN$1004:$BO$1004,1,MATCH(COLUMNS($AN$1006:BB1006),$AN$1006:$BO$1006,0)))),"Fix")))</f>
        <v>0</v>
      </c>
      <c r="Q630" s="4">
        <f>IF(OR(INDEX($AH$2:$AH$1001,MATCH(ROWS($AG$2:AG630),$AG$2:$AG$1001,0),1)&gt;=100000,INDEX($AN$1005:$BO$1005,1,MATCH(COLUMNS($AN$1006:BC1006),$AN$1006:$BO$1006,0))&gt;=100000), " ",IF(INDEX($AN$2:$BO$1001,MATCH(ROWS($AG$2:AG630),$AG$2:$AG$1001,0),MATCH(COLUMNS($AN$1006:BC1006),$AN$1006:$BO$1006,0)), HYPERLINK("#",""), HYPERLINK(CONCATENATE("#Metadata!", ADDRESS(INDEX($AI$2:$AI$1001,MATCH(ROWS($AG$2:AG630),$AG$2:$AG$1001,0),0), INDEX($AN$1004:$BO$1004,1,MATCH(COLUMNS($AN$1006:BC1006),$AN$1006:$BO$1006,0)))),"Fix")))</f>
        <v>0</v>
      </c>
      <c r="R630" s="4">
        <f>IF(OR(INDEX($AH$2:$AH$1001,MATCH(ROWS($AG$2:AG630),$AG$2:$AG$1001,0),1)&gt;=100000,INDEX($AN$1005:$BO$1005,1,MATCH(COLUMNS($AN$1006:BD1006),$AN$1006:$BO$1006,0))&gt;=100000), " ",IF(INDEX($AN$2:$BO$1001,MATCH(ROWS($AG$2:AG630),$AG$2:$AG$1001,0),MATCH(COLUMNS($AN$1006:BD1006),$AN$1006:$BO$1006,0)), HYPERLINK("#",""), HYPERLINK(CONCATENATE("#Metadata!", ADDRESS(INDEX($AI$2:$AI$1001,MATCH(ROWS($AG$2:AG630),$AG$2:$AG$1001,0),0), INDEX($AN$1004:$BO$1004,1,MATCH(COLUMNS($AN$1006:BD1006),$AN$1006:$BO$1006,0)))),"Fix")))</f>
        <v>0</v>
      </c>
      <c r="S630" s="4">
        <f>IF(OR(INDEX($AH$2:$AH$1001,MATCH(ROWS($AG$2:AG630),$AG$2:$AG$1001,0),1)&gt;=100000,INDEX($AN$1005:$BO$1005,1,MATCH(COLUMNS($AN$1006:BE1006),$AN$1006:$BO$1006,0))&gt;=100000), " ",IF(INDEX($AN$2:$BO$1001,MATCH(ROWS($AG$2:AG630),$AG$2:$AG$1001,0),MATCH(COLUMNS($AN$1006:BE1006),$AN$1006:$BO$1006,0)), HYPERLINK("#",""), HYPERLINK(CONCATENATE("#Metadata!", ADDRESS(INDEX($AI$2:$AI$1001,MATCH(ROWS($AG$2:AG630),$AG$2:$AG$1001,0),0), INDEX($AN$1004:$BO$1004,1,MATCH(COLUMNS($AN$1006:BE1006),$AN$1006:$BO$1006,0)))),"Fix")))</f>
        <v>0</v>
      </c>
      <c r="T630" s="4">
        <f>IF(OR(INDEX($AH$2:$AH$1001,MATCH(ROWS($AG$2:AG630),$AG$2:$AG$1001,0),1)&gt;=100000,INDEX($AN$1005:$BO$1005,1,MATCH(COLUMNS($AN$1006:BF1006),$AN$1006:$BO$1006,0))&gt;=100000), " ",IF(INDEX($AN$2:$BO$1001,MATCH(ROWS($AG$2:AG630),$AG$2:$AG$1001,0),MATCH(COLUMNS($AN$1006:BF1006),$AN$1006:$BO$1006,0)), HYPERLINK("#",""), HYPERLINK(CONCATENATE("#Metadata!", ADDRESS(INDEX($AI$2:$AI$1001,MATCH(ROWS($AG$2:AG630),$AG$2:$AG$1001,0),0), INDEX($AN$1004:$BO$1004,1,MATCH(COLUMNS($AN$1006:BF1006),$AN$1006:$BO$1006,0)))),"Fix")))</f>
        <v>0</v>
      </c>
      <c r="U630" s="4">
        <f>IF(OR(INDEX($AH$2:$AH$1001,MATCH(ROWS($AG$2:AG630),$AG$2:$AG$1001,0),1)&gt;=100000,INDEX($AN$1005:$BO$1005,1,MATCH(COLUMNS($AN$1006:BG1006),$AN$1006:$BO$1006,0))&gt;=100000), " ",IF(INDEX($AN$2:$BO$1001,MATCH(ROWS($AG$2:AG630),$AG$2:$AG$1001,0),MATCH(COLUMNS($AN$1006:BG1006),$AN$1006:$BO$1006,0)), HYPERLINK("#",""), HYPERLINK(CONCATENATE("#Metadata!", ADDRESS(INDEX($AI$2:$AI$1001,MATCH(ROWS($AG$2:AG630),$AG$2:$AG$1001,0),0), INDEX($AN$1004:$BO$1004,1,MATCH(COLUMNS($AN$1006:BG1006),$AN$1006:$BO$1006,0)))),"Fix")))</f>
        <v>0</v>
      </c>
      <c r="V630" s="4">
        <f>IF(OR(INDEX($AH$2:$AH$1001,MATCH(ROWS($AG$2:AG630),$AG$2:$AG$1001,0),1)&gt;=100000,INDEX($AN$1005:$BO$1005,1,MATCH(COLUMNS($AN$1006:BH1006),$AN$1006:$BO$1006,0))&gt;=100000), " ",IF(INDEX($AN$2:$BO$1001,MATCH(ROWS($AG$2:AG630),$AG$2:$AG$1001,0),MATCH(COLUMNS($AN$1006:BH1006),$AN$1006:$BO$1006,0)), HYPERLINK("#",""), HYPERLINK(CONCATENATE("#Metadata!", ADDRESS(INDEX($AI$2:$AI$1001,MATCH(ROWS($AG$2:AG630),$AG$2:$AG$1001,0),0), INDEX($AN$1004:$BO$1004,1,MATCH(COLUMNS($AN$1006:BH1006),$AN$1006:$BO$1006,0)))),"Fix")))</f>
        <v>0</v>
      </c>
      <c r="W630" s="4">
        <f>IF(OR(INDEX($AH$2:$AH$1001,MATCH(ROWS($AG$2:AG630),$AG$2:$AG$1001,0),1)&gt;=100000,INDEX($AN$1005:$BO$1005,1,MATCH(COLUMNS($AN$1006:BI1006),$AN$1006:$BO$1006,0))&gt;=100000), " ",IF(INDEX($AN$2:$BO$1001,MATCH(ROWS($AG$2:AG630),$AG$2:$AG$1001,0),MATCH(COLUMNS($AN$1006:BI1006),$AN$1006:$BO$1006,0)), HYPERLINK("#",""), HYPERLINK(CONCATENATE("#Metadata!", ADDRESS(INDEX($AI$2:$AI$1001,MATCH(ROWS($AG$2:AG630),$AG$2:$AG$1001,0),0), INDEX($AN$1004:$BO$1004,1,MATCH(COLUMNS($AN$1006:BI1006),$AN$1006:$BO$1006,0)))),"Fix")))</f>
        <v>0</v>
      </c>
      <c r="X630" s="4">
        <f>IF(OR(INDEX($AH$2:$AH$1001,MATCH(ROWS($AG$2:AG630),$AG$2:$AG$1001,0),1)&gt;=100000,INDEX($AN$1005:$BO$1005,1,MATCH(COLUMNS($AN$1006:BJ1006),$AN$1006:$BO$1006,0))&gt;=100000), " ",IF(INDEX($AN$2:$BO$1001,MATCH(ROWS($AG$2:AG630),$AG$2:$AG$1001,0),MATCH(COLUMNS($AN$1006:BJ1006),$AN$1006:$BO$1006,0)), HYPERLINK("#",""), HYPERLINK(CONCATENATE("#Metadata!", ADDRESS(INDEX($AI$2:$AI$1001,MATCH(ROWS($AG$2:AG630),$AG$2:$AG$1001,0),0), INDEX($AN$1004:$BO$1004,1,MATCH(COLUMNS($AN$1006:BJ1006),$AN$1006:$BO$1006,0)))),"Fix")))</f>
        <v>0</v>
      </c>
      <c r="Y630" s="4">
        <f>IF(OR(INDEX($AH$2:$AH$1001,MATCH(ROWS($AG$2:AG630),$AG$2:$AG$1001,0),1)&gt;=100000,INDEX($AN$1005:$BO$1005,1,MATCH(COLUMNS($AN$1006:BK1006),$AN$1006:$BO$1006,0))&gt;=100000), " ",IF(INDEX($AN$2:$BO$1001,MATCH(ROWS($AG$2:AG630),$AG$2:$AG$1001,0),MATCH(COLUMNS($AN$1006:BK1006),$AN$1006:$BO$1006,0)), HYPERLINK("#",""), HYPERLINK(CONCATENATE("#Metadata!", ADDRESS(INDEX($AI$2:$AI$1001,MATCH(ROWS($AG$2:AG630),$AG$2:$AG$1001,0),0), INDEX($AN$1004:$BO$1004,1,MATCH(COLUMNS($AN$1006:BK1006),$AN$1006:$BO$1006,0)))),"Fix")))</f>
        <v>0</v>
      </c>
      <c r="Z630" s="4">
        <f>IF(OR(INDEX($AH$2:$AH$1001,MATCH(ROWS($AG$2:AG630),$AG$2:$AG$1001,0),1)&gt;=100000,INDEX($AN$1005:$BO$1005,1,MATCH(COLUMNS($AN$1006:BL1006),$AN$1006:$BO$1006,0))&gt;=100000), " ",IF(INDEX($AN$2:$BO$1001,MATCH(ROWS($AG$2:AG630),$AG$2:$AG$1001,0),MATCH(COLUMNS($AN$1006:BL1006),$AN$1006:$BO$1006,0)), HYPERLINK("#",""), HYPERLINK(CONCATENATE("#Metadata!", ADDRESS(INDEX($AI$2:$AI$1001,MATCH(ROWS($AG$2:AG630),$AG$2:$AG$1001,0),0), INDEX($AN$1004:$BO$1004,1,MATCH(COLUMNS($AN$1006:BL1006),$AN$1006:$BO$1006,0)))),"Fix")))</f>
        <v>0</v>
      </c>
      <c r="AA630" s="4">
        <f>IF(OR(INDEX($AH$2:$AH$1001,MATCH(ROWS($AG$2:AG630),$AG$2:$AG$1001,0),1)&gt;=100000,INDEX($AN$1005:$BO$1005,1,MATCH(COLUMNS($AN$1006:BM1006),$AN$1006:$BO$1006,0))&gt;=100000), " ",IF(INDEX($AN$2:$BO$1001,MATCH(ROWS($AG$2:AG630),$AG$2:$AG$1001,0),MATCH(COLUMNS($AN$1006:BM1006),$AN$1006:$BO$1006,0)), HYPERLINK("#",""), HYPERLINK(CONCATENATE("#Metadata!", ADDRESS(INDEX($AI$2:$AI$1001,MATCH(ROWS($AG$2:AG630),$AG$2:$AG$1001,0),0), INDEX($AN$1004:$BO$1004,1,MATCH(COLUMNS($AN$1006:BM1006),$AN$1006:$BO$1006,0)))),"Fix")))</f>
        <v>0</v>
      </c>
      <c r="AB630" s="4">
        <f>IF(OR(INDEX($AH$2:$AH$1001,MATCH(ROWS($AG$2:AG630),$AG$2:$AG$1001,0),1)&gt;=100000,INDEX($AN$1005:$BO$1005,1,MATCH(COLUMNS($AN$1006:BN1006),$AN$1006:$BO$1006,0))&gt;=100000), " ",IF(INDEX($AN$2:$BO$1001,MATCH(ROWS($AG$2:AG630),$AG$2:$AG$1001,0),MATCH(COLUMNS($AN$1006:BN1006),$AN$1006:$BO$1006,0)), HYPERLINK("#",""), HYPERLINK(CONCATENATE("#Metadata!", ADDRESS(INDEX($AI$2:$AI$1001,MATCH(ROWS($AG$2:AG630),$AG$2:$AG$1001,0),0), INDEX($AN$1004:$BO$1004,1,MATCH(COLUMNS($AN$1006:BN1006),$AN$1006:$BO$1006,0)))),"Fix")))</f>
        <v>0</v>
      </c>
      <c r="AC630" s="4">
        <f>IF(OR(INDEX($AH$2:$AH$1001,MATCH(ROWS($AG$2:AG630),$AG$2:$AG$1001,0),1)&gt;=100000,INDEX($AN$1005:$BO$1005,1,MATCH(COLUMNS($AN$1006:BO1006),$AN$1006:$BO$1006,0))&gt;=100000), " ",IF(INDEX($AN$2:$BO$1001,MATCH(ROWS($AG$2:AG630),$AG$2:$AG$1001,0),MATCH(COLUMNS($AN$1006:BO1006),$AN$1006:$BO$1006,0)), HYPERLINK("#",""), HYPERLINK(CONCATENATE("#Metadata!", ADDRESS(INDEX($AI$2:$AI$1001,MATCH(ROWS($AG$2:AG630),$AG$2:$AG$1001,0),0), INDEX($AN$1004:$BO$1004,1,MATCH(COLUMNS($AN$1006:BO1006),$AN$1006:$BO$1006,0)))),"Fix")))</f>
        <v>0</v>
      </c>
      <c r="AG630">
        <v>0</v>
      </c>
      <c r="AH630">
        <v>0</v>
      </c>
      <c r="AI630">
        <v>0</v>
      </c>
      <c r="AJ630">
        <f>IF(AK630,TRUE,AND(AN630:BO630))</f>
        <v>0</v>
      </c>
      <c r="AK630">
        <f>COUNTBLANK(Metadata!B630:AC630)=COLUMNS(Metadata!B630:AC630)</f>
        <v>0</v>
      </c>
      <c r="AL630">
        <v>0</v>
      </c>
      <c r="AN630">
        <f>AND(IF(Metadata!B630="",FALSE,TRUE),COUNTIF(Metadata!B:B, Metadata!B630) = 1,NOT(ISERROR(SUMPRODUCT(SEARCH(MID(Metadata!B630,ROW(INDIRECT("1:"&amp;LEN(Metadata!B630))), 1),"0123456789abcdefghijklmnopqrstuvwxyzABCDEFGHIJKLMNOPQRSTUVWXYZ.")))))</f>
        <v>0</v>
      </c>
      <c r="AO630">
        <f>IF(Metadata!C630="",FALSE,TRUE)</f>
        <v>0</v>
      </c>
      <c r="AP630">
        <f>IF(Metadata!D630="",FALSE,TRUE)</f>
        <v>0</v>
      </c>
      <c r="AQ630">
        <f>OR(AND(IF(Metadata!E630="",FALSE,TRUE),OR(exact(Metadata!E630,"not collected"),exact(Metadata!E630,"not provided"),exact(Metadata!E630,"restricted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R630">
        <f>IF(Metadata!F630="",FALSE,TRUE)</f>
        <v>0</v>
      </c>
      <c r="AS630">
        <f>OR(AND(IF(Metadata!G630="",FALSE,TRUE),OR(exact(Metadata!G630,"not collected"),exact(Metadata!G630,"not provided"))),AND(IF(Metadata!G630="",FALSE,TRUE),OR(exact(Metadata!G630,"TRUE"),exact(Metadata!G630,"FALSE"))))</f>
        <v>0</v>
      </c>
      <c r="AT630">
        <f>OR(AND(IF(Metadata!H630="",FALSE,TRUE),OR(exact(Metadata!H630,"not collected"),exact(Metadata!H630,"not provided"),exact(Metadata!H630,"restricted access"))),AND(IF(Metadata!H630="",FALSE,ISNUMBER(VALUE(Metadata!H630))),Metadata!H630&gt;=-413.0))</f>
        <v>0</v>
      </c>
      <c r="AU630">
        <f>AND(IF(Metadata!I630="",FALSE,TRUE),exact(Metadata!I630,"meters"))</f>
        <v>0</v>
      </c>
      <c r="AV630">
        <f>AND(IF(Metadata!J630="",FALSE,TRUE),OR(exact(Metadata!J630,"Host-associated"),exact(Metadata!J630,"Free-living")))</f>
        <v>0</v>
      </c>
      <c r="AW630">
        <f>AND(IF(Metadata!K630="",FALSE,TRUE),OR(exact(Metadata!K630,"Animal"),exact(Metadata!K630,"Fungus"),exact(Metadata!K630,"Plant"),exact(Metadata!K630,"Saline"),exact(Metadata!K630,"Non-saline")))</f>
        <v>0</v>
      </c>
      <c r="AX630">
        <f>AND(IF(Metadata!L630="",FALSE,TRUE),OR(exact(Metadata!L630,"Plant secretion"),exact(Metadata!L630,"Plant rhizosphere"),exact(Metadata!L630,"Plant surface"),exact(Metadata!L630,"Plant corpus"),exact(Metadata!L630,"Fungus surface"),exact(Metadata!L630,"Fungus corpus"),exact(Metadata!L630,"Animal surface"),exact(Metadata!L630,"Animal proximal gut"),exact(Metadata!L630,"Animal corpus"),exact(Metadata!L630,"Animal distal gut"),exact(Metadata!L630,"Animal secretion"),exact(Metadata!L630,"Sub-surface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Y630">
        <f>IF(Metadata!M630="",FALSE,TRUE)</f>
        <v>0</v>
      </c>
      <c r="AZ630">
        <f>IF(Metadata!N630="",FALSE,TRUE)</f>
        <v>0</v>
      </c>
      <c r="BA630">
        <f>IF(Metadata!O630="",FALSE,TRUE)</f>
        <v>0</v>
      </c>
      <c r="BB630">
        <f>OR(AND(IF(Metadata!P630="",FALSE,TRUE),OR(exact(Metadata!P630,"not collected"),exact(Metadata!P630,"not provided"),exact(Metadata!P630,"restricted access"))),AND(IF(Metadata!P630="",FALSE,TRUE),OR(exact(Metadata!P630,"air"),exact(Metadata!P630,"built environment"),exact(Metadata!P630,"host-associated"),exact(Metadata!P630,"human-associated"),exact(Metadata!P630,"human-skin"),exact(Metadata!P630,"human-oral"),exact(Metadata!P630,"human-gut"),exact(Metadata!P630,"human-vaginal"),exact(Metadata!P630,"microbial mat/biofilm"),exact(Metadata!P630,"misc environment"),exact(Metadata!P630,"plant-associated"),exact(Metadata!P630,"sediment"),exact(Metadata!P630,"soil"),exact(Metadata!P630,"wastewater/sludge"),exact(Metadata!P630,"water"))))</f>
        <v>0</v>
      </c>
      <c r="BC630">
        <f>IF(Metadata!Q630="",FALSE,TRUE)</f>
        <v>0</v>
      </c>
      <c r="BD630">
        <f>IF(Metadata!R630="",FALSE,TRUE)</f>
        <v>0</v>
      </c>
      <c r="BE630">
        <f>OR(AND(IF(Metadata!S630="",FALSE,TRUE),OR(exact(Metadata!S630,"not collected"),exact(Metadata!S630,"not provided"),exact(Metadata!S630,"restricted access"))),AND(IF(Metadata!S630="",FALSE,ISNUMBER(VALUE(Metadata!S630))),Metadata!S630&gt;=-90.00,Metadata!S630&lt;=90.00))</f>
        <v>0</v>
      </c>
      <c r="BF630">
        <f>AND(IF(Metadata!T630="",FALSE,TRUE),exact(Metadata!T630,"Decimal degrees"))</f>
        <v>0</v>
      </c>
      <c r="BG630">
        <f>OR(AND(IF(Metadata!U630="",FALSE,TRUE),OR(exact(Metadata!U630,"not collected"),exact(Metadata!U630,"not provided"),exact(Metadata!U630,"restricted access"))),AND(IF(Metadata!U630="",FALSE,ISNUMBER(VALUE(Metadata!U630))),Metadata!U630&gt;=-180.00,Metadata!U630&lt;=180.00))</f>
        <v>0</v>
      </c>
      <c r="BH630">
        <f>AND(IF(Metadata!V630="",FALSE,TRUE),exact(Metadata!V630,"Decimal degrees"))</f>
        <v>0</v>
      </c>
      <c r="BI630">
        <f>IF(Metadata!W630="",FALSE,TRUE)</f>
        <v>0</v>
      </c>
      <c r="BJ630">
        <f>OR(AND(IF(Metadata!X630="",FALSE,TRUE),OR(exact(Metadata!X630,"not collected"),exact(Metadata!X630,"not provided"),exact(Metadata!X630,"restricted access"))),AND(IF(Metadata!X630="",FALSE,TRUE),OR(exact(Metadata!X630,"TRUE"),exact(Metadata!X630,"FALSE"))))</f>
        <v>0</v>
      </c>
      <c r="BK630">
        <f>AND(IF(Metadata!Y630="",FALSE,TRUE),exact(Metadata!Y630,"other"))</f>
        <v>0</v>
      </c>
      <c r="BL630">
        <f>IF(Metadata!Z630="",FALSE,TRUE)</f>
        <v>0</v>
      </c>
      <c r="BM630">
        <f>OR(AND(IF(Metadata!AA630="",FALSE,TRUE),OR(exact(Metadata!AA630,"not collected"),exact(Metadata!AA630,"not provided"))),AND(IF(Metadata!AA630="",FALSE,IF(ISERROR(INT(Metadata!AA630)),FALSE,INT(Metadata!AA630)=Metadata!AA630)),Metadata!AA630&gt;0))</f>
        <v>0</v>
      </c>
      <c r="BN630">
        <f>AND(IF(Metadata!AB630="",FALSE,TRUE),exact(Metadata!AB630,"Not applicable"))</f>
        <v>0</v>
      </c>
      <c r="BO630">
        <f>IF(Metadata!AC630="",FALSE,TRUE)</f>
        <v>0</v>
      </c>
    </row>
    <row r="631" spans="1:67">
      <c r="A631" s="5">
        <f>IF(B631=" "," ",HYPERLINK(CONCATENATE("#metadata!",ADDRESS(INDEX($AI$2:$AI$1001,MATCH(ROWS($AG$2:AG631),$AG$2:$AG$1001,0),0),1)),INDEX($AL$2:$AL$1001,MATCH(ROWS($AG$2:AG631),$AG$2:$AG$1001,0),0)))</f>
        <v>0</v>
      </c>
      <c r="B631" s="4">
        <f>IF(OR(INDEX($AH$2:$AH$1001,MATCH(ROWS($AG$2:AG631),$AG$2:$AG$1001,0),1)&gt;=100000,INDEX($AN$1005:$BO$1005,1,MATCH(COLUMNS($AN$1006:AN1006),$AN$1006:$BO$1006,0))&gt;=100000), " ",IF(INDEX($AN$2:$BO$1001,MATCH(ROWS($AG$2:AG631),$AG$2:$AG$1001,0),MATCH(COLUMNS($AN$1006:AN1006),$AN$1006:$BO$1006,0)), HYPERLINK("#",""), HYPERLINK(CONCATENATE("#Metadata!", ADDRESS(INDEX($AI$2:$AI$1001,MATCH(ROWS($AG$2:AG631),$AG$2:$AG$1001,0),0), INDEX($AN$1004:$BO$1004,1,MATCH(COLUMNS($AN$1006:AN1006),$AN$1006:$BO$1006,0)))),"Fix")))</f>
        <v>0</v>
      </c>
      <c r="C631" s="4">
        <f>IF(OR(INDEX($AH$2:$AH$1001,MATCH(ROWS($AG$2:AG631),$AG$2:$AG$1001,0),1)&gt;=100000,INDEX($AN$1005:$BO$1005,1,MATCH(COLUMNS($AN$1006:AO1006),$AN$1006:$BO$1006,0))&gt;=100000), " ",IF(INDEX($AN$2:$BO$1001,MATCH(ROWS($AG$2:AG631),$AG$2:$AG$1001,0),MATCH(COLUMNS($AN$1006:AO1006),$AN$1006:$BO$1006,0)), HYPERLINK("#",""), HYPERLINK(CONCATENATE("#Metadata!", ADDRESS(INDEX($AI$2:$AI$1001,MATCH(ROWS($AG$2:AG631),$AG$2:$AG$1001,0),0), INDEX($AN$1004:$BO$1004,1,MATCH(COLUMNS($AN$1006:AO1006),$AN$1006:$BO$1006,0)))),"Fix")))</f>
        <v>0</v>
      </c>
      <c r="D631" s="4">
        <f>IF(OR(INDEX($AH$2:$AH$1001,MATCH(ROWS($AG$2:AG631),$AG$2:$AG$1001,0),1)&gt;=100000,INDEX($AN$1005:$BO$1005,1,MATCH(COLUMNS($AN$1006:AP1006),$AN$1006:$BO$1006,0))&gt;=100000), " ",IF(INDEX($AN$2:$BO$1001,MATCH(ROWS($AG$2:AG631),$AG$2:$AG$1001,0),MATCH(COLUMNS($AN$1006:AP1006),$AN$1006:$BO$1006,0)), HYPERLINK("#",""), HYPERLINK(CONCATENATE("#Metadata!", ADDRESS(INDEX($AI$2:$AI$1001,MATCH(ROWS($AG$2:AG631),$AG$2:$AG$1001,0),0), INDEX($AN$1004:$BO$1004,1,MATCH(COLUMNS($AN$1006:AP1006),$AN$1006:$BO$1006,0)))),"Fix")))</f>
        <v>0</v>
      </c>
      <c r="E631" s="4">
        <f>IF(OR(INDEX($AH$2:$AH$1001,MATCH(ROWS($AG$2:AG631),$AG$2:$AG$1001,0),1)&gt;=100000,INDEX($AN$1005:$BO$1005,1,MATCH(COLUMNS($AN$1006:AQ1006),$AN$1006:$BO$1006,0))&gt;=100000), " ",IF(INDEX($AN$2:$BO$1001,MATCH(ROWS($AG$2:AG631),$AG$2:$AG$1001,0),MATCH(COLUMNS($AN$1006:AQ1006),$AN$1006:$BO$1006,0)), HYPERLINK("#",""), HYPERLINK(CONCATENATE("#Metadata!", ADDRESS(INDEX($AI$2:$AI$1001,MATCH(ROWS($AG$2:AG631),$AG$2:$AG$1001,0),0), INDEX($AN$1004:$BO$1004,1,MATCH(COLUMNS($AN$1006:AQ1006),$AN$1006:$BO$1006,0)))),"Fix")))</f>
        <v>0</v>
      </c>
      <c r="F631" s="4">
        <f>IF(OR(INDEX($AH$2:$AH$1001,MATCH(ROWS($AG$2:AG631),$AG$2:$AG$1001,0),1)&gt;=100000,INDEX($AN$1005:$BO$1005,1,MATCH(COLUMNS($AN$1006:AR1006),$AN$1006:$BO$1006,0))&gt;=100000), " ",IF(INDEX($AN$2:$BO$1001,MATCH(ROWS($AG$2:AG631),$AG$2:$AG$1001,0),MATCH(COLUMNS($AN$1006:AR1006),$AN$1006:$BO$1006,0)), HYPERLINK("#",""), HYPERLINK(CONCATENATE("#Metadata!", ADDRESS(INDEX($AI$2:$AI$1001,MATCH(ROWS($AG$2:AG631),$AG$2:$AG$1001,0),0), INDEX($AN$1004:$BO$1004,1,MATCH(COLUMNS($AN$1006:AR1006),$AN$1006:$BO$1006,0)))),"Fix")))</f>
        <v>0</v>
      </c>
      <c r="G631" s="4">
        <f>IF(OR(INDEX($AH$2:$AH$1001,MATCH(ROWS($AG$2:AG631),$AG$2:$AG$1001,0),1)&gt;=100000,INDEX($AN$1005:$BO$1005,1,MATCH(COLUMNS($AN$1006:AS1006),$AN$1006:$BO$1006,0))&gt;=100000), " ",IF(INDEX($AN$2:$BO$1001,MATCH(ROWS($AG$2:AG631),$AG$2:$AG$1001,0),MATCH(COLUMNS($AN$1006:AS1006),$AN$1006:$BO$1006,0)), HYPERLINK("#",""), HYPERLINK(CONCATENATE("#Metadata!", ADDRESS(INDEX($AI$2:$AI$1001,MATCH(ROWS($AG$2:AG631),$AG$2:$AG$1001,0),0), INDEX($AN$1004:$BO$1004,1,MATCH(COLUMNS($AN$1006:AS1006),$AN$1006:$BO$1006,0)))),"Fix")))</f>
        <v>0</v>
      </c>
      <c r="H631" s="4">
        <f>IF(OR(INDEX($AH$2:$AH$1001,MATCH(ROWS($AG$2:AG631),$AG$2:$AG$1001,0),1)&gt;=100000,INDEX($AN$1005:$BO$1005,1,MATCH(COLUMNS($AN$1006:AT1006),$AN$1006:$BO$1006,0))&gt;=100000), " ",IF(INDEX($AN$2:$BO$1001,MATCH(ROWS($AG$2:AG631),$AG$2:$AG$1001,0),MATCH(COLUMNS($AN$1006:AT1006),$AN$1006:$BO$1006,0)), HYPERLINK("#",""), HYPERLINK(CONCATENATE("#Metadata!", ADDRESS(INDEX($AI$2:$AI$1001,MATCH(ROWS($AG$2:AG631),$AG$2:$AG$1001,0),0), INDEX($AN$1004:$BO$1004,1,MATCH(COLUMNS($AN$1006:AT1006),$AN$1006:$BO$1006,0)))),"Fix")))</f>
        <v>0</v>
      </c>
      <c r="I631" s="4">
        <f>IF(OR(INDEX($AH$2:$AH$1001,MATCH(ROWS($AG$2:AG631),$AG$2:$AG$1001,0),1)&gt;=100000,INDEX($AN$1005:$BO$1005,1,MATCH(COLUMNS($AN$1006:AU1006),$AN$1006:$BO$1006,0))&gt;=100000), " ",IF(INDEX($AN$2:$BO$1001,MATCH(ROWS($AG$2:AG631),$AG$2:$AG$1001,0),MATCH(COLUMNS($AN$1006:AU1006),$AN$1006:$BO$1006,0)), HYPERLINK("#",""), HYPERLINK(CONCATENATE("#Metadata!", ADDRESS(INDEX($AI$2:$AI$1001,MATCH(ROWS($AG$2:AG631),$AG$2:$AG$1001,0),0), INDEX($AN$1004:$BO$1004,1,MATCH(COLUMNS($AN$1006:AU1006),$AN$1006:$BO$1006,0)))),"Fix")))</f>
        <v>0</v>
      </c>
      <c r="J631" s="4">
        <f>IF(OR(INDEX($AH$2:$AH$1001,MATCH(ROWS($AG$2:AG631),$AG$2:$AG$1001,0),1)&gt;=100000,INDEX($AN$1005:$BO$1005,1,MATCH(COLUMNS($AN$1006:AV1006),$AN$1006:$BO$1006,0))&gt;=100000), " ",IF(INDEX($AN$2:$BO$1001,MATCH(ROWS($AG$2:AG631),$AG$2:$AG$1001,0),MATCH(COLUMNS($AN$1006:AV1006),$AN$1006:$BO$1006,0)), HYPERLINK("#",""), HYPERLINK(CONCATENATE("#Metadata!", ADDRESS(INDEX($AI$2:$AI$1001,MATCH(ROWS($AG$2:AG631),$AG$2:$AG$1001,0),0), INDEX($AN$1004:$BO$1004,1,MATCH(COLUMNS($AN$1006:AV1006),$AN$1006:$BO$1006,0)))),"Fix")))</f>
        <v>0</v>
      </c>
      <c r="K631" s="4">
        <f>IF(OR(INDEX($AH$2:$AH$1001,MATCH(ROWS($AG$2:AG631),$AG$2:$AG$1001,0),1)&gt;=100000,INDEX($AN$1005:$BO$1005,1,MATCH(COLUMNS($AN$1006:AW1006),$AN$1006:$BO$1006,0))&gt;=100000), " ",IF(INDEX($AN$2:$BO$1001,MATCH(ROWS($AG$2:AG631),$AG$2:$AG$1001,0),MATCH(COLUMNS($AN$1006:AW1006),$AN$1006:$BO$1006,0)), HYPERLINK("#",""), HYPERLINK(CONCATENATE("#Metadata!", ADDRESS(INDEX($AI$2:$AI$1001,MATCH(ROWS($AG$2:AG631),$AG$2:$AG$1001,0),0), INDEX($AN$1004:$BO$1004,1,MATCH(COLUMNS($AN$1006:AW1006),$AN$1006:$BO$1006,0)))),"Fix")))</f>
        <v>0</v>
      </c>
      <c r="L631" s="4">
        <f>IF(OR(INDEX($AH$2:$AH$1001,MATCH(ROWS($AG$2:AG631),$AG$2:$AG$1001,0),1)&gt;=100000,INDEX($AN$1005:$BO$1005,1,MATCH(COLUMNS($AN$1006:AX1006),$AN$1006:$BO$1006,0))&gt;=100000), " ",IF(INDEX($AN$2:$BO$1001,MATCH(ROWS($AG$2:AG631),$AG$2:$AG$1001,0),MATCH(COLUMNS($AN$1006:AX1006),$AN$1006:$BO$1006,0)), HYPERLINK("#",""), HYPERLINK(CONCATENATE("#Metadata!", ADDRESS(INDEX($AI$2:$AI$1001,MATCH(ROWS($AG$2:AG631),$AG$2:$AG$1001,0),0), INDEX($AN$1004:$BO$1004,1,MATCH(COLUMNS($AN$1006:AX1006),$AN$1006:$BO$1006,0)))),"Fix")))</f>
        <v>0</v>
      </c>
      <c r="M631" s="4">
        <f>IF(OR(INDEX($AH$2:$AH$1001,MATCH(ROWS($AG$2:AG631),$AG$2:$AG$1001,0),1)&gt;=100000,INDEX($AN$1005:$BO$1005,1,MATCH(COLUMNS($AN$1006:AY1006),$AN$1006:$BO$1006,0))&gt;=100000), " ",IF(INDEX($AN$2:$BO$1001,MATCH(ROWS($AG$2:AG631),$AG$2:$AG$1001,0),MATCH(COLUMNS($AN$1006:AY1006),$AN$1006:$BO$1006,0)), HYPERLINK("#",""), HYPERLINK(CONCATENATE("#Metadata!", ADDRESS(INDEX($AI$2:$AI$1001,MATCH(ROWS($AG$2:AG631),$AG$2:$AG$1001,0),0), INDEX($AN$1004:$BO$1004,1,MATCH(COLUMNS($AN$1006:AY1006),$AN$1006:$BO$1006,0)))),"Fix")))</f>
        <v>0</v>
      </c>
      <c r="N631" s="4">
        <f>IF(OR(INDEX($AH$2:$AH$1001,MATCH(ROWS($AG$2:AG631),$AG$2:$AG$1001,0),1)&gt;=100000,INDEX($AN$1005:$BO$1005,1,MATCH(COLUMNS($AN$1006:AZ1006),$AN$1006:$BO$1006,0))&gt;=100000), " ",IF(INDEX($AN$2:$BO$1001,MATCH(ROWS($AG$2:AG631),$AG$2:$AG$1001,0),MATCH(COLUMNS($AN$1006:AZ1006),$AN$1006:$BO$1006,0)), HYPERLINK("#",""), HYPERLINK(CONCATENATE("#Metadata!", ADDRESS(INDEX($AI$2:$AI$1001,MATCH(ROWS($AG$2:AG631),$AG$2:$AG$1001,0),0), INDEX($AN$1004:$BO$1004,1,MATCH(COLUMNS($AN$1006:AZ1006),$AN$1006:$BO$1006,0)))),"Fix")))</f>
        <v>0</v>
      </c>
      <c r="O631" s="4">
        <f>IF(OR(INDEX($AH$2:$AH$1001,MATCH(ROWS($AG$2:AG631),$AG$2:$AG$1001,0),1)&gt;=100000,INDEX($AN$1005:$BO$1005,1,MATCH(COLUMNS($AN$1006:BA1006),$AN$1006:$BO$1006,0))&gt;=100000), " ",IF(INDEX($AN$2:$BO$1001,MATCH(ROWS($AG$2:AG631),$AG$2:$AG$1001,0),MATCH(COLUMNS($AN$1006:BA1006),$AN$1006:$BO$1006,0)), HYPERLINK("#",""), HYPERLINK(CONCATENATE("#Metadata!", ADDRESS(INDEX($AI$2:$AI$1001,MATCH(ROWS($AG$2:AG631),$AG$2:$AG$1001,0),0), INDEX($AN$1004:$BO$1004,1,MATCH(COLUMNS($AN$1006:BA1006),$AN$1006:$BO$1006,0)))),"Fix")))</f>
        <v>0</v>
      </c>
      <c r="P631" s="4">
        <f>IF(OR(INDEX($AH$2:$AH$1001,MATCH(ROWS($AG$2:AG631),$AG$2:$AG$1001,0),1)&gt;=100000,INDEX($AN$1005:$BO$1005,1,MATCH(COLUMNS($AN$1006:BB1006),$AN$1006:$BO$1006,0))&gt;=100000), " ",IF(INDEX($AN$2:$BO$1001,MATCH(ROWS($AG$2:AG631),$AG$2:$AG$1001,0),MATCH(COLUMNS($AN$1006:BB1006),$AN$1006:$BO$1006,0)), HYPERLINK("#",""), HYPERLINK(CONCATENATE("#Metadata!", ADDRESS(INDEX($AI$2:$AI$1001,MATCH(ROWS($AG$2:AG631),$AG$2:$AG$1001,0),0), INDEX($AN$1004:$BO$1004,1,MATCH(COLUMNS($AN$1006:BB1006),$AN$1006:$BO$1006,0)))),"Fix")))</f>
        <v>0</v>
      </c>
      <c r="Q631" s="4">
        <f>IF(OR(INDEX($AH$2:$AH$1001,MATCH(ROWS($AG$2:AG631),$AG$2:$AG$1001,0),1)&gt;=100000,INDEX($AN$1005:$BO$1005,1,MATCH(COLUMNS($AN$1006:BC1006),$AN$1006:$BO$1006,0))&gt;=100000), " ",IF(INDEX($AN$2:$BO$1001,MATCH(ROWS($AG$2:AG631),$AG$2:$AG$1001,0),MATCH(COLUMNS($AN$1006:BC1006),$AN$1006:$BO$1006,0)), HYPERLINK("#",""), HYPERLINK(CONCATENATE("#Metadata!", ADDRESS(INDEX($AI$2:$AI$1001,MATCH(ROWS($AG$2:AG631),$AG$2:$AG$1001,0),0), INDEX($AN$1004:$BO$1004,1,MATCH(COLUMNS($AN$1006:BC1006),$AN$1006:$BO$1006,0)))),"Fix")))</f>
        <v>0</v>
      </c>
      <c r="R631" s="4">
        <f>IF(OR(INDEX($AH$2:$AH$1001,MATCH(ROWS($AG$2:AG631),$AG$2:$AG$1001,0),1)&gt;=100000,INDEX($AN$1005:$BO$1005,1,MATCH(COLUMNS($AN$1006:BD1006),$AN$1006:$BO$1006,0))&gt;=100000), " ",IF(INDEX($AN$2:$BO$1001,MATCH(ROWS($AG$2:AG631),$AG$2:$AG$1001,0),MATCH(COLUMNS($AN$1006:BD1006),$AN$1006:$BO$1006,0)), HYPERLINK("#",""), HYPERLINK(CONCATENATE("#Metadata!", ADDRESS(INDEX($AI$2:$AI$1001,MATCH(ROWS($AG$2:AG631),$AG$2:$AG$1001,0),0), INDEX($AN$1004:$BO$1004,1,MATCH(COLUMNS($AN$1006:BD1006),$AN$1006:$BO$1006,0)))),"Fix")))</f>
        <v>0</v>
      </c>
      <c r="S631" s="4">
        <f>IF(OR(INDEX($AH$2:$AH$1001,MATCH(ROWS($AG$2:AG631),$AG$2:$AG$1001,0),1)&gt;=100000,INDEX($AN$1005:$BO$1005,1,MATCH(COLUMNS($AN$1006:BE1006),$AN$1006:$BO$1006,0))&gt;=100000), " ",IF(INDEX($AN$2:$BO$1001,MATCH(ROWS($AG$2:AG631),$AG$2:$AG$1001,0),MATCH(COLUMNS($AN$1006:BE1006),$AN$1006:$BO$1006,0)), HYPERLINK("#",""), HYPERLINK(CONCATENATE("#Metadata!", ADDRESS(INDEX($AI$2:$AI$1001,MATCH(ROWS($AG$2:AG631),$AG$2:$AG$1001,0),0), INDEX($AN$1004:$BO$1004,1,MATCH(COLUMNS($AN$1006:BE1006),$AN$1006:$BO$1006,0)))),"Fix")))</f>
        <v>0</v>
      </c>
      <c r="T631" s="4">
        <f>IF(OR(INDEX($AH$2:$AH$1001,MATCH(ROWS($AG$2:AG631),$AG$2:$AG$1001,0),1)&gt;=100000,INDEX($AN$1005:$BO$1005,1,MATCH(COLUMNS($AN$1006:BF1006),$AN$1006:$BO$1006,0))&gt;=100000), " ",IF(INDEX($AN$2:$BO$1001,MATCH(ROWS($AG$2:AG631),$AG$2:$AG$1001,0),MATCH(COLUMNS($AN$1006:BF1006),$AN$1006:$BO$1006,0)), HYPERLINK("#",""), HYPERLINK(CONCATENATE("#Metadata!", ADDRESS(INDEX($AI$2:$AI$1001,MATCH(ROWS($AG$2:AG631),$AG$2:$AG$1001,0),0), INDEX($AN$1004:$BO$1004,1,MATCH(COLUMNS($AN$1006:BF1006),$AN$1006:$BO$1006,0)))),"Fix")))</f>
        <v>0</v>
      </c>
      <c r="U631" s="4">
        <f>IF(OR(INDEX($AH$2:$AH$1001,MATCH(ROWS($AG$2:AG631),$AG$2:$AG$1001,0),1)&gt;=100000,INDEX($AN$1005:$BO$1005,1,MATCH(COLUMNS($AN$1006:BG1006),$AN$1006:$BO$1006,0))&gt;=100000), " ",IF(INDEX($AN$2:$BO$1001,MATCH(ROWS($AG$2:AG631),$AG$2:$AG$1001,0),MATCH(COLUMNS($AN$1006:BG1006),$AN$1006:$BO$1006,0)), HYPERLINK("#",""), HYPERLINK(CONCATENATE("#Metadata!", ADDRESS(INDEX($AI$2:$AI$1001,MATCH(ROWS($AG$2:AG631),$AG$2:$AG$1001,0),0), INDEX($AN$1004:$BO$1004,1,MATCH(COLUMNS($AN$1006:BG1006),$AN$1006:$BO$1006,0)))),"Fix")))</f>
        <v>0</v>
      </c>
      <c r="V631" s="4">
        <f>IF(OR(INDEX($AH$2:$AH$1001,MATCH(ROWS($AG$2:AG631),$AG$2:$AG$1001,0),1)&gt;=100000,INDEX($AN$1005:$BO$1005,1,MATCH(COLUMNS($AN$1006:BH1006),$AN$1006:$BO$1006,0))&gt;=100000), " ",IF(INDEX($AN$2:$BO$1001,MATCH(ROWS($AG$2:AG631),$AG$2:$AG$1001,0),MATCH(COLUMNS($AN$1006:BH1006),$AN$1006:$BO$1006,0)), HYPERLINK("#",""), HYPERLINK(CONCATENATE("#Metadata!", ADDRESS(INDEX($AI$2:$AI$1001,MATCH(ROWS($AG$2:AG631),$AG$2:$AG$1001,0),0), INDEX($AN$1004:$BO$1004,1,MATCH(COLUMNS($AN$1006:BH1006),$AN$1006:$BO$1006,0)))),"Fix")))</f>
        <v>0</v>
      </c>
      <c r="W631" s="4">
        <f>IF(OR(INDEX($AH$2:$AH$1001,MATCH(ROWS($AG$2:AG631),$AG$2:$AG$1001,0),1)&gt;=100000,INDEX($AN$1005:$BO$1005,1,MATCH(COLUMNS($AN$1006:BI1006),$AN$1006:$BO$1006,0))&gt;=100000), " ",IF(INDEX($AN$2:$BO$1001,MATCH(ROWS($AG$2:AG631),$AG$2:$AG$1001,0),MATCH(COLUMNS($AN$1006:BI1006),$AN$1006:$BO$1006,0)), HYPERLINK("#",""), HYPERLINK(CONCATENATE("#Metadata!", ADDRESS(INDEX($AI$2:$AI$1001,MATCH(ROWS($AG$2:AG631),$AG$2:$AG$1001,0),0), INDEX($AN$1004:$BO$1004,1,MATCH(COLUMNS($AN$1006:BI1006),$AN$1006:$BO$1006,0)))),"Fix")))</f>
        <v>0</v>
      </c>
      <c r="X631" s="4">
        <f>IF(OR(INDEX($AH$2:$AH$1001,MATCH(ROWS($AG$2:AG631),$AG$2:$AG$1001,0),1)&gt;=100000,INDEX($AN$1005:$BO$1005,1,MATCH(COLUMNS($AN$1006:BJ1006),$AN$1006:$BO$1006,0))&gt;=100000), " ",IF(INDEX($AN$2:$BO$1001,MATCH(ROWS($AG$2:AG631),$AG$2:$AG$1001,0),MATCH(COLUMNS($AN$1006:BJ1006),$AN$1006:$BO$1006,0)), HYPERLINK("#",""), HYPERLINK(CONCATENATE("#Metadata!", ADDRESS(INDEX($AI$2:$AI$1001,MATCH(ROWS($AG$2:AG631),$AG$2:$AG$1001,0),0), INDEX($AN$1004:$BO$1004,1,MATCH(COLUMNS($AN$1006:BJ1006),$AN$1006:$BO$1006,0)))),"Fix")))</f>
        <v>0</v>
      </c>
      <c r="Y631" s="4">
        <f>IF(OR(INDEX($AH$2:$AH$1001,MATCH(ROWS($AG$2:AG631),$AG$2:$AG$1001,0),1)&gt;=100000,INDEX($AN$1005:$BO$1005,1,MATCH(COLUMNS($AN$1006:BK1006),$AN$1006:$BO$1006,0))&gt;=100000), " ",IF(INDEX($AN$2:$BO$1001,MATCH(ROWS($AG$2:AG631),$AG$2:$AG$1001,0),MATCH(COLUMNS($AN$1006:BK1006),$AN$1006:$BO$1006,0)), HYPERLINK("#",""), HYPERLINK(CONCATENATE("#Metadata!", ADDRESS(INDEX($AI$2:$AI$1001,MATCH(ROWS($AG$2:AG631),$AG$2:$AG$1001,0),0), INDEX($AN$1004:$BO$1004,1,MATCH(COLUMNS($AN$1006:BK1006),$AN$1006:$BO$1006,0)))),"Fix")))</f>
        <v>0</v>
      </c>
      <c r="Z631" s="4">
        <f>IF(OR(INDEX($AH$2:$AH$1001,MATCH(ROWS($AG$2:AG631),$AG$2:$AG$1001,0),1)&gt;=100000,INDEX($AN$1005:$BO$1005,1,MATCH(COLUMNS($AN$1006:BL1006),$AN$1006:$BO$1006,0))&gt;=100000), " ",IF(INDEX($AN$2:$BO$1001,MATCH(ROWS($AG$2:AG631),$AG$2:$AG$1001,0),MATCH(COLUMNS($AN$1006:BL1006),$AN$1006:$BO$1006,0)), HYPERLINK("#",""), HYPERLINK(CONCATENATE("#Metadata!", ADDRESS(INDEX($AI$2:$AI$1001,MATCH(ROWS($AG$2:AG631),$AG$2:$AG$1001,0),0), INDEX($AN$1004:$BO$1004,1,MATCH(COLUMNS($AN$1006:BL1006),$AN$1006:$BO$1006,0)))),"Fix")))</f>
        <v>0</v>
      </c>
      <c r="AA631" s="4">
        <f>IF(OR(INDEX($AH$2:$AH$1001,MATCH(ROWS($AG$2:AG631),$AG$2:$AG$1001,0),1)&gt;=100000,INDEX($AN$1005:$BO$1005,1,MATCH(COLUMNS($AN$1006:BM1006),$AN$1006:$BO$1006,0))&gt;=100000), " ",IF(INDEX($AN$2:$BO$1001,MATCH(ROWS($AG$2:AG631),$AG$2:$AG$1001,0),MATCH(COLUMNS($AN$1006:BM1006),$AN$1006:$BO$1006,0)), HYPERLINK("#",""), HYPERLINK(CONCATENATE("#Metadata!", ADDRESS(INDEX($AI$2:$AI$1001,MATCH(ROWS($AG$2:AG631),$AG$2:$AG$1001,0),0), INDEX($AN$1004:$BO$1004,1,MATCH(COLUMNS($AN$1006:BM1006),$AN$1006:$BO$1006,0)))),"Fix")))</f>
        <v>0</v>
      </c>
      <c r="AB631" s="4">
        <f>IF(OR(INDEX($AH$2:$AH$1001,MATCH(ROWS($AG$2:AG631),$AG$2:$AG$1001,0),1)&gt;=100000,INDEX($AN$1005:$BO$1005,1,MATCH(COLUMNS($AN$1006:BN1006),$AN$1006:$BO$1006,0))&gt;=100000), " ",IF(INDEX($AN$2:$BO$1001,MATCH(ROWS($AG$2:AG631),$AG$2:$AG$1001,0),MATCH(COLUMNS($AN$1006:BN1006),$AN$1006:$BO$1006,0)), HYPERLINK("#",""), HYPERLINK(CONCATENATE("#Metadata!", ADDRESS(INDEX($AI$2:$AI$1001,MATCH(ROWS($AG$2:AG631),$AG$2:$AG$1001,0),0), INDEX($AN$1004:$BO$1004,1,MATCH(COLUMNS($AN$1006:BN1006),$AN$1006:$BO$1006,0)))),"Fix")))</f>
        <v>0</v>
      </c>
      <c r="AC631" s="4">
        <f>IF(OR(INDEX($AH$2:$AH$1001,MATCH(ROWS($AG$2:AG631),$AG$2:$AG$1001,0),1)&gt;=100000,INDEX($AN$1005:$BO$1005,1,MATCH(COLUMNS($AN$1006:BO1006),$AN$1006:$BO$1006,0))&gt;=100000), " ",IF(INDEX($AN$2:$BO$1001,MATCH(ROWS($AG$2:AG631),$AG$2:$AG$1001,0),MATCH(COLUMNS($AN$1006:BO1006),$AN$1006:$BO$1006,0)), HYPERLINK("#",""), HYPERLINK(CONCATENATE("#Metadata!", ADDRESS(INDEX($AI$2:$AI$1001,MATCH(ROWS($AG$2:AG631),$AG$2:$AG$1001,0),0), INDEX($AN$1004:$BO$1004,1,MATCH(COLUMNS($AN$1006:BO1006),$AN$1006:$BO$1006,0)))),"Fix")))</f>
        <v>0</v>
      </c>
      <c r="AG631">
        <v>0</v>
      </c>
      <c r="AH631">
        <v>0</v>
      </c>
      <c r="AI631">
        <v>0</v>
      </c>
      <c r="AJ631">
        <f>IF(AK631,TRUE,AND(AN631:BO631))</f>
        <v>0</v>
      </c>
      <c r="AK631">
        <f>COUNTBLANK(Metadata!B631:AC631)=COLUMNS(Metadata!B631:AC631)</f>
        <v>0</v>
      </c>
      <c r="AL631">
        <v>0</v>
      </c>
      <c r="AN631">
        <f>AND(IF(Metadata!B631="",FALSE,TRUE),COUNTIF(Metadata!B:B, Metadata!B631) = 1,NOT(ISERROR(SUMPRODUCT(SEARCH(MID(Metadata!B631,ROW(INDIRECT("1:"&amp;LEN(Metadata!B631))), 1),"0123456789abcdefghijklmnopqrstuvwxyzABCDEFGHIJKLMNOPQRSTUVWXYZ.")))))</f>
        <v>0</v>
      </c>
      <c r="AO631">
        <f>IF(Metadata!C631="",FALSE,TRUE)</f>
        <v>0</v>
      </c>
      <c r="AP631">
        <f>IF(Metadata!D631="",FALSE,TRUE)</f>
        <v>0</v>
      </c>
      <c r="AQ631">
        <f>OR(AND(IF(Metadata!E631="",FALSE,TRUE),OR(exact(Metadata!E631,"not collected"),exact(Metadata!E631,"not provided"),exact(Metadata!E631,"restricted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R631">
        <f>IF(Metadata!F631="",FALSE,TRUE)</f>
        <v>0</v>
      </c>
      <c r="AS631">
        <f>OR(AND(IF(Metadata!G631="",FALSE,TRUE),OR(exact(Metadata!G631,"not collected"),exact(Metadata!G631,"not provided"))),AND(IF(Metadata!G631="",FALSE,TRUE),OR(exact(Metadata!G631,"TRUE"),exact(Metadata!G631,"FALSE"))))</f>
        <v>0</v>
      </c>
      <c r="AT631">
        <f>OR(AND(IF(Metadata!H631="",FALSE,TRUE),OR(exact(Metadata!H631,"not collected"),exact(Metadata!H631,"not provided"),exact(Metadata!H631,"restricted access"))),AND(IF(Metadata!H631="",FALSE,ISNUMBER(VALUE(Metadata!H631))),Metadata!H631&gt;=-413.0))</f>
        <v>0</v>
      </c>
      <c r="AU631">
        <f>AND(IF(Metadata!I631="",FALSE,TRUE),exact(Metadata!I631,"meters"))</f>
        <v>0</v>
      </c>
      <c r="AV631">
        <f>AND(IF(Metadata!J631="",FALSE,TRUE),OR(exact(Metadata!J631,"Host-associated"),exact(Metadata!J631,"Free-living")))</f>
        <v>0</v>
      </c>
      <c r="AW631">
        <f>AND(IF(Metadata!K631="",FALSE,TRUE),OR(exact(Metadata!K631,"Animal"),exact(Metadata!K631,"Fungus"),exact(Metadata!K631,"Plant"),exact(Metadata!K631,"Saline"),exact(Metadata!K631,"Non-saline")))</f>
        <v>0</v>
      </c>
      <c r="AX631">
        <f>AND(IF(Metadata!L631="",FALSE,TRUE),OR(exact(Metadata!L631,"Plant secretion"),exact(Metadata!L631,"Plant rhizosphere"),exact(Metadata!L631,"Plant surface"),exact(Metadata!L631,"Plant corpus"),exact(Metadata!L631,"Fungus surface"),exact(Metadata!L631,"Fungus corpus"),exact(Metadata!L631,"Animal surface"),exact(Metadata!L631,"Animal proximal gut"),exact(Metadata!L631,"Animal corpus"),exact(Metadata!L631,"Animal distal gut"),exact(Metadata!L631,"Animal secretion"),exact(Metadata!L631,"Sub-surface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Y631">
        <f>IF(Metadata!M631="",FALSE,TRUE)</f>
        <v>0</v>
      </c>
      <c r="AZ631">
        <f>IF(Metadata!N631="",FALSE,TRUE)</f>
        <v>0</v>
      </c>
      <c r="BA631">
        <f>IF(Metadata!O631="",FALSE,TRUE)</f>
        <v>0</v>
      </c>
      <c r="BB631">
        <f>OR(AND(IF(Metadata!P631="",FALSE,TRUE),OR(exact(Metadata!P631,"not collected"),exact(Metadata!P631,"not provided"),exact(Metadata!P631,"restricted access"))),AND(IF(Metadata!P631="",FALSE,TRUE),OR(exact(Metadata!P631,"air"),exact(Metadata!P631,"built environment"),exact(Metadata!P631,"host-associated"),exact(Metadata!P631,"human-associated"),exact(Metadata!P631,"human-skin"),exact(Metadata!P631,"human-oral"),exact(Metadata!P631,"human-gut"),exact(Metadata!P631,"human-vaginal"),exact(Metadata!P631,"microbial mat/biofilm"),exact(Metadata!P631,"misc environment"),exact(Metadata!P631,"plant-associated"),exact(Metadata!P631,"sediment"),exact(Metadata!P631,"soil"),exact(Metadata!P631,"wastewater/sludge"),exact(Metadata!P631,"water"))))</f>
        <v>0</v>
      </c>
      <c r="BC631">
        <f>IF(Metadata!Q631="",FALSE,TRUE)</f>
        <v>0</v>
      </c>
      <c r="BD631">
        <f>IF(Metadata!R631="",FALSE,TRUE)</f>
        <v>0</v>
      </c>
      <c r="BE631">
        <f>OR(AND(IF(Metadata!S631="",FALSE,TRUE),OR(exact(Metadata!S631,"not collected"),exact(Metadata!S631,"not provided"),exact(Metadata!S631,"restricted access"))),AND(IF(Metadata!S631="",FALSE,ISNUMBER(VALUE(Metadata!S631))),Metadata!S631&gt;=-90.00,Metadata!S631&lt;=90.00))</f>
        <v>0</v>
      </c>
      <c r="BF631">
        <f>AND(IF(Metadata!T631="",FALSE,TRUE),exact(Metadata!T631,"Decimal degrees"))</f>
        <v>0</v>
      </c>
      <c r="BG631">
        <f>OR(AND(IF(Metadata!U631="",FALSE,TRUE),OR(exact(Metadata!U631,"not collected"),exact(Metadata!U631,"not provided"),exact(Metadata!U631,"restricted access"))),AND(IF(Metadata!U631="",FALSE,ISNUMBER(VALUE(Metadata!U631))),Metadata!U631&gt;=-180.00,Metadata!U631&lt;=180.00))</f>
        <v>0</v>
      </c>
      <c r="BH631">
        <f>AND(IF(Metadata!V631="",FALSE,TRUE),exact(Metadata!V631,"Decimal degrees"))</f>
        <v>0</v>
      </c>
      <c r="BI631">
        <f>IF(Metadata!W631="",FALSE,TRUE)</f>
        <v>0</v>
      </c>
      <c r="BJ631">
        <f>OR(AND(IF(Metadata!X631="",FALSE,TRUE),OR(exact(Metadata!X631,"not collected"),exact(Metadata!X631,"not provided"),exact(Metadata!X631,"restricted access"))),AND(IF(Metadata!X631="",FALSE,TRUE),OR(exact(Metadata!X631,"TRUE"),exact(Metadata!X631,"FALSE"))))</f>
        <v>0</v>
      </c>
      <c r="BK631">
        <f>AND(IF(Metadata!Y631="",FALSE,TRUE),exact(Metadata!Y631,"other"))</f>
        <v>0</v>
      </c>
      <c r="BL631">
        <f>IF(Metadata!Z631="",FALSE,TRUE)</f>
        <v>0</v>
      </c>
      <c r="BM631">
        <f>OR(AND(IF(Metadata!AA631="",FALSE,TRUE),OR(exact(Metadata!AA631,"not collected"),exact(Metadata!AA631,"not provided"))),AND(IF(Metadata!AA631="",FALSE,IF(ISERROR(INT(Metadata!AA631)),FALSE,INT(Metadata!AA631)=Metadata!AA631)),Metadata!AA631&gt;0))</f>
        <v>0</v>
      </c>
      <c r="BN631">
        <f>AND(IF(Metadata!AB631="",FALSE,TRUE),exact(Metadata!AB631,"Not applicable"))</f>
        <v>0</v>
      </c>
      <c r="BO631">
        <f>IF(Metadata!AC631="",FALSE,TRUE)</f>
        <v>0</v>
      </c>
    </row>
    <row r="632" spans="1:67">
      <c r="A632" s="5">
        <f>IF(B632=" "," ",HYPERLINK(CONCATENATE("#metadata!",ADDRESS(INDEX($AI$2:$AI$1001,MATCH(ROWS($AG$2:AG632),$AG$2:$AG$1001,0),0),1)),INDEX($AL$2:$AL$1001,MATCH(ROWS($AG$2:AG632),$AG$2:$AG$1001,0),0)))</f>
        <v>0</v>
      </c>
      <c r="B632" s="4">
        <f>IF(OR(INDEX($AH$2:$AH$1001,MATCH(ROWS($AG$2:AG632),$AG$2:$AG$1001,0),1)&gt;=100000,INDEX($AN$1005:$BO$1005,1,MATCH(COLUMNS($AN$1006:AN1006),$AN$1006:$BO$1006,0))&gt;=100000), " ",IF(INDEX($AN$2:$BO$1001,MATCH(ROWS($AG$2:AG632),$AG$2:$AG$1001,0),MATCH(COLUMNS($AN$1006:AN1006),$AN$1006:$BO$1006,0)), HYPERLINK("#",""), HYPERLINK(CONCATENATE("#Metadata!", ADDRESS(INDEX($AI$2:$AI$1001,MATCH(ROWS($AG$2:AG632),$AG$2:$AG$1001,0),0), INDEX($AN$1004:$BO$1004,1,MATCH(COLUMNS($AN$1006:AN1006),$AN$1006:$BO$1006,0)))),"Fix")))</f>
        <v>0</v>
      </c>
      <c r="C632" s="4">
        <f>IF(OR(INDEX($AH$2:$AH$1001,MATCH(ROWS($AG$2:AG632),$AG$2:$AG$1001,0),1)&gt;=100000,INDEX($AN$1005:$BO$1005,1,MATCH(COLUMNS($AN$1006:AO1006),$AN$1006:$BO$1006,0))&gt;=100000), " ",IF(INDEX($AN$2:$BO$1001,MATCH(ROWS($AG$2:AG632),$AG$2:$AG$1001,0),MATCH(COLUMNS($AN$1006:AO1006),$AN$1006:$BO$1006,0)), HYPERLINK("#",""), HYPERLINK(CONCATENATE("#Metadata!", ADDRESS(INDEX($AI$2:$AI$1001,MATCH(ROWS($AG$2:AG632),$AG$2:$AG$1001,0),0), INDEX($AN$1004:$BO$1004,1,MATCH(COLUMNS($AN$1006:AO1006),$AN$1006:$BO$1006,0)))),"Fix")))</f>
        <v>0</v>
      </c>
      <c r="D632" s="4">
        <f>IF(OR(INDEX($AH$2:$AH$1001,MATCH(ROWS($AG$2:AG632),$AG$2:$AG$1001,0),1)&gt;=100000,INDEX($AN$1005:$BO$1005,1,MATCH(COLUMNS($AN$1006:AP1006),$AN$1006:$BO$1006,0))&gt;=100000), " ",IF(INDEX($AN$2:$BO$1001,MATCH(ROWS($AG$2:AG632),$AG$2:$AG$1001,0),MATCH(COLUMNS($AN$1006:AP1006),$AN$1006:$BO$1006,0)), HYPERLINK("#",""), HYPERLINK(CONCATENATE("#Metadata!", ADDRESS(INDEX($AI$2:$AI$1001,MATCH(ROWS($AG$2:AG632),$AG$2:$AG$1001,0),0), INDEX($AN$1004:$BO$1004,1,MATCH(COLUMNS($AN$1006:AP1006),$AN$1006:$BO$1006,0)))),"Fix")))</f>
        <v>0</v>
      </c>
      <c r="E632" s="4">
        <f>IF(OR(INDEX($AH$2:$AH$1001,MATCH(ROWS($AG$2:AG632),$AG$2:$AG$1001,0),1)&gt;=100000,INDEX($AN$1005:$BO$1005,1,MATCH(COLUMNS($AN$1006:AQ1006),$AN$1006:$BO$1006,0))&gt;=100000), " ",IF(INDEX($AN$2:$BO$1001,MATCH(ROWS($AG$2:AG632),$AG$2:$AG$1001,0),MATCH(COLUMNS($AN$1006:AQ1006),$AN$1006:$BO$1006,0)), HYPERLINK("#",""), HYPERLINK(CONCATENATE("#Metadata!", ADDRESS(INDEX($AI$2:$AI$1001,MATCH(ROWS($AG$2:AG632),$AG$2:$AG$1001,0),0), INDEX($AN$1004:$BO$1004,1,MATCH(COLUMNS($AN$1006:AQ1006),$AN$1006:$BO$1006,0)))),"Fix")))</f>
        <v>0</v>
      </c>
      <c r="F632" s="4">
        <f>IF(OR(INDEX($AH$2:$AH$1001,MATCH(ROWS($AG$2:AG632),$AG$2:$AG$1001,0),1)&gt;=100000,INDEX($AN$1005:$BO$1005,1,MATCH(COLUMNS($AN$1006:AR1006),$AN$1006:$BO$1006,0))&gt;=100000), " ",IF(INDEX($AN$2:$BO$1001,MATCH(ROWS($AG$2:AG632),$AG$2:$AG$1001,0),MATCH(COLUMNS($AN$1006:AR1006),$AN$1006:$BO$1006,0)), HYPERLINK("#",""), HYPERLINK(CONCATENATE("#Metadata!", ADDRESS(INDEX($AI$2:$AI$1001,MATCH(ROWS($AG$2:AG632),$AG$2:$AG$1001,0),0), INDEX($AN$1004:$BO$1004,1,MATCH(COLUMNS($AN$1006:AR1006),$AN$1006:$BO$1006,0)))),"Fix")))</f>
        <v>0</v>
      </c>
      <c r="G632" s="4">
        <f>IF(OR(INDEX($AH$2:$AH$1001,MATCH(ROWS($AG$2:AG632),$AG$2:$AG$1001,0),1)&gt;=100000,INDEX($AN$1005:$BO$1005,1,MATCH(COLUMNS($AN$1006:AS1006),$AN$1006:$BO$1006,0))&gt;=100000), " ",IF(INDEX($AN$2:$BO$1001,MATCH(ROWS($AG$2:AG632),$AG$2:$AG$1001,0),MATCH(COLUMNS($AN$1006:AS1006),$AN$1006:$BO$1006,0)), HYPERLINK("#",""), HYPERLINK(CONCATENATE("#Metadata!", ADDRESS(INDEX($AI$2:$AI$1001,MATCH(ROWS($AG$2:AG632),$AG$2:$AG$1001,0),0), INDEX($AN$1004:$BO$1004,1,MATCH(COLUMNS($AN$1006:AS1006),$AN$1006:$BO$1006,0)))),"Fix")))</f>
        <v>0</v>
      </c>
      <c r="H632" s="4">
        <f>IF(OR(INDEX($AH$2:$AH$1001,MATCH(ROWS($AG$2:AG632),$AG$2:$AG$1001,0),1)&gt;=100000,INDEX($AN$1005:$BO$1005,1,MATCH(COLUMNS($AN$1006:AT1006),$AN$1006:$BO$1006,0))&gt;=100000), " ",IF(INDEX($AN$2:$BO$1001,MATCH(ROWS($AG$2:AG632),$AG$2:$AG$1001,0),MATCH(COLUMNS($AN$1006:AT1006),$AN$1006:$BO$1006,0)), HYPERLINK("#",""), HYPERLINK(CONCATENATE("#Metadata!", ADDRESS(INDEX($AI$2:$AI$1001,MATCH(ROWS($AG$2:AG632),$AG$2:$AG$1001,0),0), INDEX($AN$1004:$BO$1004,1,MATCH(COLUMNS($AN$1006:AT1006),$AN$1006:$BO$1006,0)))),"Fix")))</f>
        <v>0</v>
      </c>
      <c r="I632" s="4">
        <f>IF(OR(INDEX($AH$2:$AH$1001,MATCH(ROWS($AG$2:AG632),$AG$2:$AG$1001,0),1)&gt;=100000,INDEX($AN$1005:$BO$1005,1,MATCH(COLUMNS($AN$1006:AU1006),$AN$1006:$BO$1006,0))&gt;=100000), " ",IF(INDEX($AN$2:$BO$1001,MATCH(ROWS($AG$2:AG632),$AG$2:$AG$1001,0),MATCH(COLUMNS($AN$1006:AU1006),$AN$1006:$BO$1006,0)), HYPERLINK("#",""), HYPERLINK(CONCATENATE("#Metadata!", ADDRESS(INDEX($AI$2:$AI$1001,MATCH(ROWS($AG$2:AG632),$AG$2:$AG$1001,0),0), INDEX($AN$1004:$BO$1004,1,MATCH(COLUMNS($AN$1006:AU1006),$AN$1006:$BO$1006,0)))),"Fix")))</f>
        <v>0</v>
      </c>
      <c r="J632" s="4">
        <f>IF(OR(INDEX($AH$2:$AH$1001,MATCH(ROWS($AG$2:AG632),$AG$2:$AG$1001,0),1)&gt;=100000,INDEX($AN$1005:$BO$1005,1,MATCH(COLUMNS($AN$1006:AV1006),$AN$1006:$BO$1006,0))&gt;=100000), " ",IF(INDEX($AN$2:$BO$1001,MATCH(ROWS($AG$2:AG632),$AG$2:$AG$1001,0),MATCH(COLUMNS($AN$1006:AV1006),$AN$1006:$BO$1006,0)), HYPERLINK("#",""), HYPERLINK(CONCATENATE("#Metadata!", ADDRESS(INDEX($AI$2:$AI$1001,MATCH(ROWS($AG$2:AG632),$AG$2:$AG$1001,0),0), INDEX($AN$1004:$BO$1004,1,MATCH(COLUMNS($AN$1006:AV1006),$AN$1006:$BO$1006,0)))),"Fix")))</f>
        <v>0</v>
      </c>
      <c r="K632" s="4">
        <f>IF(OR(INDEX($AH$2:$AH$1001,MATCH(ROWS($AG$2:AG632),$AG$2:$AG$1001,0),1)&gt;=100000,INDEX($AN$1005:$BO$1005,1,MATCH(COLUMNS($AN$1006:AW1006),$AN$1006:$BO$1006,0))&gt;=100000), " ",IF(INDEX($AN$2:$BO$1001,MATCH(ROWS($AG$2:AG632),$AG$2:$AG$1001,0),MATCH(COLUMNS($AN$1006:AW1006),$AN$1006:$BO$1006,0)), HYPERLINK("#",""), HYPERLINK(CONCATENATE("#Metadata!", ADDRESS(INDEX($AI$2:$AI$1001,MATCH(ROWS($AG$2:AG632),$AG$2:$AG$1001,0),0), INDEX($AN$1004:$BO$1004,1,MATCH(COLUMNS($AN$1006:AW1006),$AN$1006:$BO$1006,0)))),"Fix")))</f>
        <v>0</v>
      </c>
      <c r="L632" s="4">
        <f>IF(OR(INDEX($AH$2:$AH$1001,MATCH(ROWS($AG$2:AG632),$AG$2:$AG$1001,0),1)&gt;=100000,INDEX($AN$1005:$BO$1005,1,MATCH(COLUMNS($AN$1006:AX1006),$AN$1006:$BO$1006,0))&gt;=100000), " ",IF(INDEX($AN$2:$BO$1001,MATCH(ROWS($AG$2:AG632),$AG$2:$AG$1001,0),MATCH(COLUMNS($AN$1006:AX1006),$AN$1006:$BO$1006,0)), HYPERLINK("#",""), HYPERLINK(CONCATENATE("#Metadata!", ADDRESS(INDEX($AI$2:$AI$1001,MATCH(ROWS($AG$2:AG632),$AG$2:$AG$1001,0),0), INDEX($AN$1004:$BO$1004,1,MATCH(COLUMNS($AN$1006:AX1006),$AN$1006:$BO$1006,0)))),"Fix")))</f>
        <v>0</v>
      </c>
      <c r="M632" s="4">
        <f>IF(OR(INDEX($AH$2:$AH$1001,MATCH(ROWS($AG$2:AG632),$AG$2:$AG$1001,0),1)&gt;=100000,INDEX($AN$1005:$BO$1005,1,MATCH(COLUMNS($AN$1006:AY1006),$AN$1006:$BO$1006,0))&gt;=100000), " ",IF(INDEX($AN$2:$BO$1001,MATCH(ROWS($AG$2:AG632),$AG$2:$AG$1001,0),MATCH(COLUMNS($AN$1006:AY1006),$AN$1006:$BO$1006,0)), HYPERLINK("#",""), HYPERLINK(CONCATENATE("#Metadata!", ADDRESS(INDEX($AI$2:$AI$1001,MATCH(ROWS($AG$2:AG632),$AG$2:$AG$1001,0),0), INDEX($AN$1004:$BO$1004,1,MATCH(COLUMNS($AN$1006:AY1006),$AN$1006:$BO$1006,0)))),"Fix")))</f>
        <v>0</v>
      </c>
      <c r="N632" s="4">
        <f>IF(OR(INDEX($AH$2:$AH$1001,MATCH(ROWS($AG$2:AG632),$AG$2:$AG$1001,0),1)&gt;=100000,INDEX($AN$1005:$BO$1005,1,MATCH(COLUMNS($AN$1006:AZ1006),$AN$1006:$BO$1006,0))&gt;=100000), " ",IF(INDEX($AN$2:$BO$1001,MATCH(ROWS($AG$2:AG632),$AG$2:$AG$1001,0),MATCH(COLUMNS($AN$1006:AZ1006),$AN$1006:$BO$1006,0)), HYPERLINK("#",""), HYPERLINK(CONCATENATE("#Metadata!", ADDRESS(INDEX($AI$2:$AI$1001,MATCH(ROWS($AG$2:AG632),$AG$2:$AG$1001,0),0), INDEX($AN$1004:$BO$1004,1,MATCH(COLUMNS($AN$1006:AZ1006),$AN$1006:$BO$1006,0)))),"Fix")))</f>
        <v>0</v>
      </c>
      <c r="O632" s="4">
        <f>IF(OR(INDEX($AH$2:$AH$1001,MATCH(ROWS($AG$2:AG632),$AG$2:$AG$1001,0),1)&gt;=100000,INDEX($AN$1005:$BO$1005,1,MATCH(COLUMNS($AN$1006:BA1006),$AN$1006:$BO$1006,0))&gt;=100000), " ",IF(INDEX($AN$2:$BO$1001,MATCH(ROWS($AG$2:AG632),$AG$2:$AG$1001,0),MATCH(COLUMNS($AN$1006:BA1006),$AN$1006:$BO$1006,0)), HYPERLINK("#",""), HYPERLINK(CONCATENATE("#Metadata!", ADDRESS(INDEX($AI$2:$AI$1001,MATCH(ROWS($AG$2:AG632),$AG$2:$AG$1001,0),0), INDEX($AN$1004:$BO$1004,1,MATCH(COLUMNS($AN$1006:BA1006),$AN$1006:$BO$1006,0)))),"Fix")))</f>
        <v>0</v>
      </c>
      <c r="P632" s="4">
        <f>IF(OR(INDEX($AH$2:$AH$1001,MATCH(ROWS($AG$2:AG632),$AG$2:$AG$1001,0),1)&gt;=100000,INDEX($AN$1005:$BO$1005,1,MATCH(COLUMNS($AN$1006:BB1006),$AN$1006:$BO$1006,0))&gt;=100000), " ",IF(INDEX($AN$2:$BO$1001,MATCH(ROWS($AG$2:AG632),$AG$2:$AG$1001,0),MATCH(COLUMNS($AN$1006:BB1006),$AN$1006:$BO$1006,0)), HYPERLINK("#",""), HYPERLINK(CONCATENATE("#Metadata!", ADDRESS(INDEX($AI$2:$AI$1001,MATCH(ROWS($AG$2:AG632),$AG$2:$AG$1001,0),0), INDEX($AN$1004:$BO$1004,1,MATCH(COLUMNS($AN$1006:BB1006),$AN$1006:$BO$1006,0)))),"Fix")))</f>
        <v>0</v>
      </c>
      <c r="Q632" s="4">
        <f>IF(OR(INDEX($AH$2:$AH$1001,MATCH(ROWS($AG$2:AG632),$AG$2:$AG$1001,0),1)&gt;=100000,INDEX($AN$1005:$BO$1005,1,MATCH(COLUMNS($AN$1006:BC1006),$AN$1006:$BO$1006,0))&gt;=100000), " ",IF(INDEX($AN$2:$BO$1001,MATCH(ROWS($AG$2:AG632),$AG$2:$AG$1001,0),MATCH(COLUMNS($AN$1006:BC1006),$AN$1006:$BO$1006,0)), HYPERLINK("#",""), HYPERLINK(CONCATENATE("#Metadata!", ADDRESS(INDEX($AI$2:$AI$1001,MATCH(ROWS($AG$2:AG632),$AG$2:$AG$1001,0),0), INDEX($AN$1004:$BO$1004,1,MATCH(COLUMNS($AN$1006:BC1006),$AN$1006:$BO$1006,0)))),"Fix")))</f>
        <v>0</v>
      </c>
      <c r="R632" s="4">
        <f>IF(OR(INDEX($AH$2:$AH$1001,MATCH(ROWS($AG$2:AG632),$AG$2:$AG$1001,0),1)&gt;=100000,INDEX($AN$1005:$BO$1005,1,MATCH(COLUMNS($AN$1006:BD1006),$AN$1006:$BO$1006,0))&gt;=100000), " ",IF(INDEX($AN$2:$BO$1001,MATCH(ROWS($AG$2:AG632),$AG$2:$AG$1001,0),MATCH(COLUMNS($AN$1006:BD1006),$AN$1006:$BO$1006,0)), HYPERLINK("#",""), HYPERLINK(CONCATENATE("#Metadata!", ADDRESS(INDEX($AI$2:$AI$1001,MATCH(ROWS($AG$2:AG632),$AG$2:$AG$1001,0),0), INDEX($AN$1004:$BO$1004,1,MATCH(COLUMNS($AN$1006:BD1006),$AN$1006:$BO$1006,0)))),"Fix")))</f>
        <v>0</v>
      </c>
      <c r="S632" s="4">
        <f>IF(OR(INDEX($AH$2:$AH$1001,MATCH(ROWS($AG$2:AG632),$AG$2:$AG$1001,0),1)&gt;=100000,INDEX($AN$1005:$BO$1005,1,MATCH(COLUMNS($AN$1006:BE1006),$AN$1006:$BO$1006,0))&gt;=100000), " ",IF(INDEX($AN$2:$BO$1001,MATCH(ROWS($AG$2:AG632),$AG$2:$AG$1001,0),MATCH(COLUMNS($AN$1006:BE1006),$AN$1006:$BO$1006,0)), HYPERLINK("#",""), HYPERLINK(CONCATENATE("#Metadata!", ADDRESS(INDEX($AI$2:$AI$1001,MATCH(ROWS($AG$2:AG632),$AG$2:$AG$1001,0),0), INDEX($AN$1004:$BO$1004,1,MATCH(COLUMNS($AN$1006:BE1006),$AN$1006:$BO$1006,0)))),"Fix")))</f>
        <v>0</v>
      </c>
      <c r="T632" s="4">
        <f>IF(OR(INDEX($AH$2:$AH$1001,MATCH(ROWS($AG$2:AG632),$AG$2:$AG$1001,0),1)&gt;=100000,INDEX($AN$1005:$BO$1005,1,MATCH(COLUMNS($AN$1006:BF1006),$AN$1006:$BO$1006,0))&gt;=100000), " ",IF(INDEX($AN$2:$BO$1001,MATCH(ROWS($AG$2:AG632),$AG$2:$AG$1001,0),MATCH(COLUMNS($AN$1006:BF1006),$AN$1006:$BO$1006,0)), HYPERLINK("#",""), HYPERLINK(CONCATENATE("#Metadata!", ADDRESS(INDEX($AI$2:$AI$1001,MATCH(ROWS($AG$2:AG632),$AG$2:$AG$1001,0),0), INDEX($AN$1004:$BO$1004,1,MATCH(COLUMNS($AN$1006:BF1006),$AN$1006:$BO$1006,0)))),"Fix")))</f>
        <v>0</v>
      </c>
      <c r="U632" s="4">
        <f>IF(OR(INDEX($AH$2:$AH$1001,MATCH(ROWS($AG$2:AG632),$AG$2:$AG$1001,0),1)&gt;=100000,INDEX($AN$1005:$BO$1005,1,MATCH(COLUMNS($AN$1006:BG1006),$AN$1006:$BO$1006,0))&gt;=100000), " ",IF(INDEX($AN$2:$BO$1001,MATCH(ROWS($AG$2:AG632),$AG$2:$AG$1001,0),MATCH(COLUMNS($AN$1006:BG1006),$AN$1006:$BO$1006,0)), HYPERLINK("#",""), HYPERLINK(CONCATENATE("#Metadata!", ADDRESS(INDEX($AI$2:$AI$1001,MATCH(ROWS($AG$2:AG632),$AG$2:$AG$1001,0),0), INDEX($AN$1004:$BO$1004,1,MATCH(COLUMNS($AN$1006:BG1006),$AN$1006:$BO$1006,0)))),"Fix")))</f>
        <v>0</v>
      </c>
      <c r="V632" s="4">
        <f>IF(OR(INDEX($AH$2:$AH$1001,MATCH(ROWS($AG$2:AG632),$AG$2:$AG$1001,0),1)&gt;=100000,INDEX($AN$1005:$BO$1005,1,MATCH(COLUMNS($AN$1006:BH1006),$AN$1006:$BO$1006,0))&gt;=100000), " ",IF(INDEX($AN$2:$BO$1001,MATCH(ROWS($AG$2:AG632),$AG$2:$AG$1001,0),MATCH(COLUMNS($AN$1006:BH1006),$AN$1006:$BO$1006,0)), HYPERLINK("#",""), HYPERLINK(CONCATENATE("#Metadata!", ADDRESS(INDEX($AI$2:$AI$1001,MATCH(ROWS($AG$2:AG632),$AG$2:$AG$1001,0),0), INDEX($AN$1004:$BO$1004,1,MATCH(COLUMNS($AN$1006:BH1006),$AN$1006:$BO$1006,0)))),"Fix")))</f>
        <v>0</v>
      </c>
      <c r="W632" s="4">
        <f>IF(OR(INDEX($AH$2:$AH$1001,MATCH(ROWS($AG$2:AG632),$AG$2:$AG$1001,0),1)&gt;=100000,INDEX($AN$1005:$BO$1005,1,MATCH(COLUMNS($AN$1006:BI1006),$AN$1006:$BO$1006,0))&gt;=100000), " ",IF(INDEX($AN$2:$BO$1001,MATCH(ROWS($AG$2:AG632),$AG$2:$AG$1001,0),MATCH(COLUMNS($AN$1006:BI1006),$AN$1006:$BO$1006,0)), HYPERLINK("#",""), HYPERLINK(CONCATENATE("#Metadata!", ADDRESS(INDEX($AI$2:$AI$1001,MATCH(ROWS($AG$2:AG632),$AG$2:$AG$1001,0),0), INDEX($AN$1004:$BO$1004,1,MATCH(COLUMNS($AN$1006:BI1006),$AN$1006:$BO$1006,0)))),"Fix")))</f>
        <v>0</v>
      </c>
      <c r="X632" s="4">
        <f>IF(OR(INDEX($AH$2:$AH$1001,MATCH(ROWS($AG$2:AG632),$AG$2:$AG$1001,0),1)&gt;=100000,INDEX($AN$1005:$BO$1005,1,MATCH(COLUMNS($AN$1006:BJ1006),$AN$1006:$BO$1006,0))&gt;=100000), " ",IF(INDEX($AN$2:$BO$1001,MATCH(ROWS($AG$2:AG632),$AG$2:$AG$1001,0),MATCH(COLUMNS($AN$1006:BJ1006),$AN$1006:$BO$1006,0)), HYPERLINK("#",""), HYPERLINK(CONCATENATE("#Metadata!", ADDRESS(INDEX($AI$2:$AI$1001,MATCH(ROWS($AG$2:AG632),$AG$2:$AG$1001,0),0), INDEX($AN$1004:$BO$1004,1,MATCH(COLUMNS($AN$1006:BJ1006),$AN$1006:$BO$1006,0)))),"Fix")))</f>
        <v>0</v>
      </c>
      <c r="Y632" s="4">
        <f>IF(OR(INDEX($AH$2:$AH$1001,MATCH(ROWS($AG$2:AG632),$AG$2:$AG$1001,0),1)&gt;=100000,INDEX($AN$1005:$BO$1005,1,MATCH(COLUMNS($AN$1006:BK1006),$AN$1006:$BO$1006,0))&gt;=100000), " ",IF(INDEX($AN$2:$BO$1001,MATCH(ROWS($AG$2:AG632),$AG$2:$AG$1001,0),MATCH(COLUMNS($AN$1006:BK1006),$AN$1006:$BO$1006,0)), HYPERLINK("#",""), HYPERLINK(CONCATENATE("#Metadata!", ADDRESS(INDEX($AI$2:$AI$1001,MATCH(ROWS($AG$2:AG632),$AG$2:$AG$1001,0),0), INDEX($AN$1004:$BO$1004,1,MATCH(COLUMNS($AN$1006:BK1006),$AN$1006:$BO$1006,0)))),"Fix")))</f>
        <v>0</v>
      </c>
      <c r="Z632" s="4">
        <f>IF(OR(INDEX($AH$2:$AH$1001,MATCH(ROWS($AG$2:AG632),$AG$2:$AG$1001,0),1)&gt;=100000,INDEX($AN$1005:$BO$1005,1,MATCH(COLUMNS($AN$1006:BL1006),$AN$1006:$BO$1006,0))&gt;=100000), " ",IF(INDEX($AN$2:$BO$1001,MATCH(ROWS($AG$2:AG632),$AG$2:$AG$1001,0),MATCH(COLUMNS($AN$1006:BL1006),$AN$1006:$BO$1006,0)), HYPERLINK("#",""), HYPERLINK(CONCATENATE("#Metadata!", ADDRESS(INDEX($AI$2:$AI$1001,MATCH(ROWS($AG$2:AG632),$AG$2:$AG$1001,0),0), INDEX($AN$1004:$BO$1004,1,MATCH(COLUMNS($AN$1006:BL1006),$AN$1006:$BO$1006,0)))),"Fix")))</f>
        <v>0</v>
      </c>
      <c r="AA632" s="4">
        <f>IF(OR(INDEX($AH$2:$AH$1001,MATCH(ROWS($AG$2:AG632),$AG$2:$AG$1001,0),1)&gt;=100000,INDEX($AN$1005:$BO$1005,1,MATCH(COLUMNS($AN$1006:BM1006),$AN$1006:$BO$1006,0))&gt;=100000), " ",IF(INDEX($AN$2:$BO$1001,MATCH(ROWS($AG$2:AG632),$AG$2:$AG$1001,0),MATCH(COLUMNS($AN$1006:BM1006),$AN$1006:$BO$1006,0)), HYPERLINK("#",""), HYPERLINK(CONCATENATE("#Metadata!", ADDRESS(INDEX($AI$2:$AI$1001,MATCH(ROWS($AG$2:AG632),$AG$2:$AG$1001,0),0), INDEX($AN$1004:$BO$1004,1,MATCH(COLUMNS($AN$1006:BM1006),$AN$1006:$BO$1006,0)))),"Fix")))</f>
        <v>0</v>
      </c>
      <c r="AB632" s="4">
        <f>IF(OR(INDEX($AH$2:$AH$1001,MATCH(ROWS($AG$2:AG632),$AG$2:$AG$1001,0),1)&gt;=100000,INDEX($AN$1005:$BO$1005,1,MATCH(COLUMNS($AN$1006:BN1006),$AN$1006:$BO$1006,0))&gt;=100000), " ",IF(INDEX($AN$2:$BO$1001,MATCH(ROWS($AG$2:AG632),$AG$2:$AG$1001,0),MATCH(COLUMNS($AN$1006:BN1006),$AN$1006:$BO$1006,0)), HYPERLINK("#",""), HYPERLINK(CONCATENATE("#Metadata!", ADDRESS(INDEX($AI$2:$AI$1001,MATCH(ROWS($AG$2:AG632),$AG$2:$AG$1001,0),0), INDEX($AN$1004:$BO$1004,1,MATCH(COLUMNS($AN$1006:BN1006),$AN$1006:$BO$1006,0)))),"Fix")))</f>
        <v>0</v>
      </c>
      <c r="AC632" s="4">
        <f>IF(OR(INDEX($AH$2:$AH$1001,MATCH(ROWS($AG$2:AG632),$AG$2:$AG$1001,0),1)&gt;=100000,INDEX($AN$1005:$BO$1005,1,MATCH(COLUMNS($AN$1006:BO1006),$AN$1006:$BO$1006,0))&gt;=100000), " ",IF(INDEX($AN$2:$BO$1001,MATCH(ROWS($AG$2:AG632),$AG$2:$AG$1001,0),MATCH(COLUMNS($AN$1006:BO1006),$AN$1006:$BO$1006,0)), HYPERLINK("#",""), HYPERLINK(CONCATENATE("#Metadata!", ADDRESS(INDEX($AI$2:$AI$1001,MATCH(ROWS($AG$2:AG632),$AG$2:$AG$1001,0),0), INDEX($AN$1004:$BO$1004,1,MATCH(COLUMNS($AN$1006:BO1006),$AN$1006:$BO$1006,0)))),"Fix")))</f>
        <v>0</v>
      </c>
      <c r="AG632">
        <v>0</v>
      </c>
      <c r="AH632">
        <v>0</v>
      </c>
      <c r="AI632">
        <v>0</v>
      </c>
      <c r="AJ632">
        <f>IF(AK632,TRUE,AND(AN632:BO632))</f>
        <v>0</v>
      </c>
      <c r="AK632">
        <f>COUNTBLANK(Metadata!B632:AC632)=COLUMNS(Metadata!B632:AC632)</f>
        <v>0</v>
      </c>
      <c r="AL632">
        <v>0</v>
      </c>
      <c r="AN632">
        <f>AND(IF(Metadata!B632="",FALSE,TRUE),COUNTIF(Metadata!B:B, Metadata!B632) = 1,NOT(ISERROR(SUMPRODUCT(SEARCH(MID(Metadata!B632,ROW(INDIRECT("1:"&amp;LEN(Metadata!B632))), 1),"0123456789abcdefghijklmnopqrstuvwxyzABCDEFGHIJKLMNOPQRSTUVWXYZ.")))))</f>
        <v>0</v>
      </c>
      <c r="AO632">
        <f>IF(Metadata!C632="",FALSE,TRUE)</f>
        <v>0</v>
      </c>
      <c r="AP632">
        <f>IF(Metadata!D632="",FALSE,TRUE)</f>
        <v>0</v>
      </c>
      <c r="AQ632">
        <f>OR(AND(IF(Metadata!E632="",FALSE,TRUE),OR(exact(Metadata!E632,"not collected"),exact(Metadata!E632,"not provided"),exact(Metadata!E632,"restricted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R632">
        <f>IF(Metadata!F632="",FALSE,TRUE)</f>
        <v>0</v>
      </c>
      <c r="AS632">
        <f>OR(AND(IF(Metadata!G632="",FALSE,TRUE),OR(exact(Metadata!G632,"not collected"),exact(Metadata!G632,"not provided"))),AND(IF(Metadata!G632="",FALSE,TRUE),OR(exact(Metadata!G632,"TRUE"),exact(Metadata!G632,"FALSE"))))</f>
        <v>0</v>
      </c>
      <c r="AT632">
        <f>OR(AND(IF(Metadata!H632="",FALSE,TRUE),OR(exact(Metadata!H632,"not collected"),exact(Metadata!H632,"not provided"),exact(Metadata!H632,"restricted access"))),AND(IF(Metadata!H632="",FALSE,ISNUMBER(VALUE(Metadata!H632))),Metadata!H632&gt;=-413.0))</f>
        <v>0</v>
      </c>
      <c r="AU632">
        <f>AND(IF(Metadata!I632="",FALSE,TRUE),exact(Metadata!I632,"meters"))</f>
        <v>0</v>
      </c>
      <c r="AV632">
        <f>AND(IF(Metadata!J632="",FALSE,TRUE),OR(exact(Metadata!J632,"Host-associated"),exact(Metadata!J632,"Free-living")))</f>
        <v>0</v>
      </c>
      <c r="AW632">
        <f>AND(IF(Metadata!K632="",FALSE,TRUE),OR(exact(Metadata!K632,"Animal"),exact(Metadata!K632,"Fungus"),exact(Metadata!K632,"Plant"),exact(Metadata!K632,"Saline"),exact(Metadata!K632,"Non-saline")))</f>
        <v>0</v>
      </c>
      <c r="AX632">
        <f>AND(IF(Metadata!L632="",FALSE,TRUE),OR(exact(Metadata!L632,"Plant secretion"),exact(Metadata!L632,"Plant rhizosphere"),exact(Metadata!L632,"Plant surface"),exact(Metadata!L632,"Plant corpus"),exact(Metadata!L632,"Fungus surface"),exact(Metadata!L632,"Fungus corpus"),exact(Metadata!L632,"Animal surface"),exact(Metadata!L632,"Animal proximal gut"),exact(Metadata!L632,"Animal corpus"),exact(Metadata!L632,"Animal distal gut"),exact(Metadata!L632,"Animal secretion"),exact(Metadata!L632,"Sub-surface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Y632">
        <f>IF(Metadata!M632="",FALSE,TRUE)</f>
        <v>0</v>
      </c>
      <c r="AZ632">
        <f>IF(Metadata!N632="",FALSE,TRUE)</f>
        <v>0</v>
      </c>
      <c r="BA632">
        <f>IF(Metadata!O632="",FALSE,TRUE)</f>
        <v>0</v>
      </c>
      <c r="BB632">
        <f>OR(AND(IF(Metadata!P632="",FALSE,TRUE),OR(exact(Metadata!P632,"not collected"),exact(Metadata!P632,"not provided"),exact(Metadata!P632,"restricted access"))),AND(IF(Metadata!P632="",FALSE,TRUE),OR(exact(Metadata!P632,"air"),exact(Metadata!P632,"built environment"),exact(Metadata!P632,"host-associated"),exact(Metadata!P632,"human-associated"),exact(Metadata!P632,"human-skin"),exact(Metadata!P632,"human-oral"),exact(Metadata!P632,"human-gut"),exact(Metadata!P632,"human-vaginal"),exact(Metadata!P632,"microbial mat/biofilm"),exact(Metadata!P632,"misc environment"),exact(Metadata!P632,"plant-associated"),exact(Metadata!P632,"sediment"),exact(Metadata!P632,"soil"),exact(Metadata!P632,"wastewater/sludge"),exact(Metadata!P632,"water"))))</f>
        <v>0</v>
      </c>
      <c r="BC632">
        <f>IF(Metadata!Q632="",FALSE,TRUE)</f>
        <v>0</v>
      </c>
      <c r="BD632">
        <f>IF(Metadata!R632="",FALSE,TRUE)</f>
        <v>0</v>
      </c>
      <c r="BE632">
        <f>OR(AND(IF(Metadata!S632="",FALSE,TRUE),OR(exact(Metadata!S632,"not collected"),exact(Metadata!S632,"not provided"),exact(Metadata!S632,"restricted access"))),AND(IF(Metadata!S632="",FALSE,ISNUMBER(VALUE(Metadata!S632))),Metadata!S632&gt;=-90.00,Metadata!S632&lt;=90.00))</f>
        <v>0</v>
      </c>
      <c r="BF632">
        <f>AND(IF(Metadata!T632="",FALSE,TRUE),exact(Metadata!T632,"Decimal degrees"))</f>
        <v>0</v>
      </c>
      <c r="BG632">
        <f>OR(AND(IF(Metadata!U632="",FALSE,TRUE),OR(exact(Metadata!U632,"not collected"),exact(Metadata!U632,"not provided"),exact(Metadata!U632,"restricted access"))),AND(IF(Metadata!U632="",FALSE,ISNUMBER(VALUE(Metadata!U632))),Metadata!U632&gt;=-180.00,Metadata!U632&lt;=180.00))</f>
        <v>0</v>
      </c>
      <c r="BH632">
        <f>AND(IF(Metadata!V632="",FALSE,TRUE),exact(Metadata!V632,"Decimal degrees"))</f>
        <v>0</v>
      </c>
      <c r="BI632">
        <f>IF(Metadata!W632="",FALSE,TRUE)</f>
        <v>0</v>
      </c>
      <c r="BJ632">
        <f>OR(AND(IF(Metadata!X632="",FALSE,TRUE),OR(exact(Metadata!X632,"not collected"),exact(Metadata!X632,"not provided"),exact(Metadata!X632,"restricted access"))),AND(IF(Metadata!X632="",FALSE,TRUE),OR(exact(Metadata!X632,"TRUE"),exact(Metadata!X632,"FALSE"))))</f>
        <v>0</v>
      </c>
      <c r="BK632">
        <f>AND(IF(Metadata!Y632="",FALSE,TRUE),exact(Metadata!Y632,"other"))</f>
        <v>0</v>
      </c>
      <c r="BL632">
        <f>IF(Metadata!Z632="",FALSE,TRUE)</f>
        <v>0</v>
      </c>
      <c r="BM632">
        <f>OR(AND(IF(Metadata!AA632="",FALSE,TRUE),OR(exact(Metadata!AA632,"not collected"),exact(Metadata!AA632,"not provided"))),AND(IF(Metadata!AA632="",FALSE,IF(ISERROR(INT(Metadata!AA632)),FALSE,INT(Metadata!AA632)=Metadata!AA632)),Metadata!AA632&gt;0))</f>
        <v>0</v>
      </c>
      <c r="BN632">
        <f>AND(IF(Metadata!AB632="",FALSE,TRUE),exact(Metadata!AB632,"Not applicable"))</f>
        <v>0</v>
      </c>
      <c r="BO632">
        <f>IF(Metadata!AC632="",FALSE,TRUE)</f>
        <v>0</v>
      </c>
    </row>
    <row r="633" spans="1:67">
      <c r="A633" s="5">
        <f>IF(B633=" "," ",HYPERLINK(CONCATENATE("#metadata!",ADDRESS(INDEX($AI$2:$AI$1001,MATCH(ROWS($AG$2:AG633),$AG$2:$AG$1001,0),0),1)),INDEX($AL$2:$AL$1001,MATCH(ROWS($AG$2:AG633),$AG$2:$AG$1001,0),0)))</f>
        <v>0</v>
      </c>
      <c r="B633" s="4">
        <f>IF(OR(INDEX($AH$2:$AH$1001,MATCH(ROWS($AG$2:AG633),$AG$2:$AG$1001,0),1)&gt;=100000,INDEX($AN$1005:$BO$1005,1,MATCH(COLUMNS($AN$1006:AN1006),$AN$1006:$BO$1006,0))&gt;=100000), " ",IF(INDEX($AN$2:$BO$1001,MATCH(ROWS($AG$2:AG633),$AG$2:$AG$1001,0),MATCH(COLUMNS($AN$1006:AN1006),$AN$1006:$BO$1006,0)), HYPERLINK("#",""), HYPERLINK(CONCATENATE("#Metadata!", ADDRESS(INDEX($AI$2:$AI$1001,MATCH(ROWS($AG$2:AG633),$AG$2:$AG$1001,0),0), INDEX($AN$1004:$BO$1004,1,MATCH(COLUMNS($AN$1006:AN1006),$AN$1006:$BO$1006,0)))),"Fix")))</f>
        <v>0</v>
      </c>
      <c r="C633" s="4">
        <f>IF(OR(INDEX($AH$2:$AH$1001,MATCH(ROWS($AG$2:AG633),$AG$2:$AG$1001,0),1)&gt;=100000,INDEX($AN$1005:$BO$1005,1,MATCH(COLUMNS($AN$1006:AO1006),$AN$1006:$BO$1006,0))&gt;=100000), " ",IF(INDEX($AN$2:$BO$1001,MATCH(ROWS($AG$2:AG633),$AG$2:$AG$1001,0),MATCH(COLUMNS($AN$1006:AO1006),$AN$1006:$BO$1006,0)), HYPERLINK("#",""), HYPERLINK(CONCATENATE("#Metadata!", ADDRESS(INDEX($AI$2:$AI$1001,MATCH(ROWS($AG$2:AG633),$AG$2:$AG$1001,0),0), INDEX($AN$1004:$BO$1004,1,MATCH(COLUMNS($AN$1006:AO1006),$AN$1006:$BO$1006,0)))),"Fix")))</f>
        <v>0</v>
      </c>
      <c r="D633" s="4">
        <f>IF(OR(INDEX($AH$2:$AH$1001,MATCH(ROWS($AG$2:AG633),$AG$2:$AG$1001,0),1)&gt;=100000,INDEX($AN$1005:$BO$1005,1,MATCH(COLUMNS($AN$1006:AP1006),$AN$1006:$BO$1006,0))&gt;=100000), " ",IF(INDEX($AN$2:$BO$1001,MATCH(ROWS($AG$2:AG633),$AG$2:$AG$1001,0),MATCH(COLUMNS($AN$1006:AP1006),$AN$1006:$BO$1006,0)), HYPERLINK("#",""), HYPERLINK(CONCATENATE("#Metadata!", ADDRESS(INDEX($AI$2:$AI$1001,MATCH(ROWS($AG$2:AG633),$AG$2:$AG$1001,0),0), INDEX($AN$1004:$BO$1004,1,MATCH(COLUMNS($AN$1006:AP1006),$AN$1006:$BO$1006,0)))),"Fix")))</f>
        <v>0</v>
      </c>
      <c r="E633" s="4">
        <f>IF(OR(INDEX($AH$2:$AH$1001,MATCH(ROWS($AG$2:AG633),$AG$2:$AG$1001,0),1)&gt;=100000,INDEX($AN$1005:$BO$1005,1,MATCH(COLUMNS($AN$1006:AQ1006),$AN$1006:$BO$1006,0))&gt;=100000), " ",IF(INDEX($AN$2:$BO$1001,MATCH(ROWS($AG$2:AG633),$AG$2:$AG$1001,0),MATCH(COLUMNS($AN$1006:AQ1006),$AN$1006:$BO$1006,0)), HYPERLINK("#",""), HYPERLINK(CONCATENATE("#Metadata!", ADDRESS(INDEX($AI$2:$AI$1001,MATCH(ROWS($AG$2:AG633),$AG$2:$AG$1001,0),0), INDEX($AN$1004:$BO$1004,1,MATCH(COLUMNS($AN$1006:AQ1006),$AN$1006:$BO$1006,0)))),"Fix")))</f>
        <v>0</v>
      </c>
      <c r="F633" s="4">
        <f>IF(OR(INDEX($AH$2:$AH$1001,MATCH(ROWS($AG$2:AG633),$AG$2:$AG$1001,0),1)&gt;=100000,INDEX($AN$1005:$BO$1005,1,MATCH(COLUMNS($AN$1006:AR1006),$AN$1006:$BO$1006,0))&gt;=100000), " ",IF(INDEX($AN$2:$BO$1001,MATCH(ROWS($AG$2:AG633),$AG$2:$AG$1001,0),MATCH(COLUMNS($AN$1006:AR1006),$AN$1006:$BO$1006,0)), HYPERLINK("#",""), HYPERLINK(CONCATENATE("#Metadata!", ADDRESS(INDEX($AI$2:$AI$1001,MATCH(ROWS($AG$2:AG633),$AG$2:$AG$1001,0),0), INDEX($AN$1004:$BO$1004,1,MATCH(COLUMNS($AN$1006:AR1006),$AN$1006:$BO$1006,0)))),"Fix")))</f>
        <v>0</v>
      </c>
      <c r="G633" s="4">
        <f>IF(OR(INDEX($AH$2:$AH$1001,MATCH(ROWS($AG$2:AG633),$AG$2:$AG$1001,0),1)&gt;=100000,INDEX($AN$1005:$BO$1005,1,MATCH(COLUMNS($AN$1006:AS1006),$AN$1006:$BO$1006,0))&gt;=100000), " ",IF(INDEX($AN$2:$BO$1001,MATCH(ROWS($AG$2:AG633),$AG$2:$AG$1001,0),MATCH(COLUMNS($AN$1006:AS1006),$AN$1006:$BO$1006,0)), HYPERLINK("#",""), HYPERLINK(CONCATENATE("#Metadata!", ADDRESS(INDEX($AI$2:$AI$1001,MATCH(ROWS($AG$2:AG633),$AG$2:$AG$1001,0),0), INDEX($AN$1004:$BO$1004,1,MATCH(COLUMNS($AN$1006:AS1006),$AN$1006:$BO$1006,0)))),"Fix")))</f>
        <v>0</v>
      </c>
      <c r="H633" s="4">
        <f>IF(OR(INDEX($AH$2:$AH$1001,MATCH(ROWS($AG$2:AG633),$AG$2:$AG$1001,0),1)&gt;=100000,INDEX($AN$1005:$BO$1005,1,MATCH(COLUMNS($AN$1006:AT1006),$AN$1006:$BO$1006,0))&gt;=100000), " ",IF(INDEX($AN$2:$BO$1001,MATCH(ROWS($AG$2:AG633),$AG$2:$AG$1001,0),MATCH(COLUMNS($AN$1006:AT1006),$AN$1006:$BO$1006,0)), HYPERLINK("#",""), HYPERLINK(CONCATENATE("#Metadata!", ADDRESS(INDEX($AI$2:$AI$1001,MATCH(ROWS($AG$2:AG633),$AG$2:$AG$1001,0),0), INDEX($AN$1004:$BO$1004,1,MATCH(COLUMNS($AN$1006:AT1006),$AN$1006:$BO$1006,0)))),"Fix")))</f>
        <v>0</v>
      </c>
      <c r="I633" s="4">
        <f>IF(OR(INDEX($AH$2:$AH$1001,MATCH(ROWS($AG$2:AG633),$AG$2:$AG$1001,0),1)&gt;=100000,INDEX($AN$1005:$BO$1005,1,MATCH(COLUMNS($AN$1006:AU1006),$AN$1006:$BO$1006,0))&gt;=100000), " ",IF(INDEX($AN$2:$BO$1001,MATCH(ROWS($AG$2:AG633),$AG$2:$AG$1001,0),MATCH(COLUMNS($AN$1006:AU1006),$AN$1006:$BO$1006,0)), HYPERLINK("#",""), HYPERLINK(CONCATENATE("#Metadata!", ADDRESS(INDEX($AI$2:$AI$1001,MATCH(ROWS($AG$2:AG633),$AG$2:$AG$1001,0),0), INDEX($AN$1004:$BO$1004,1,MATCH(COLUMNS($AN$1006:AU1006),$AN$1006:$BO$1006,0)))),"Fix")))</f>
        <v>0</v>
      </c>
      <c r="J633" s="4">
        <f>IF(OR(INDEX($AH$2:$AH$1001,MATCH(ROWS($AG$2:AG633),$AG$2:$AG$1001,0),1)&gt;=100000,INDEX($AN$1005:$BO$1005,1,MATCH(COLUMNS($AN$1006:AV1006),$AN$1006:$BO$1006,0))&gt;=100000), " ",IF(INDEX($AN$2:$BO$1001,MATCH(ROWS($AG$2:AG633),$AG$2:$AG$1001,0),MATCH(COLUMNS($AN$1006:AV1006),$AN$1006:$BO$1006,0)), HYPERLINK("#",""), HYPERLINK(CONCATENATE("#Metadata!", ADDRESS(INDEX($AI$2:$AI$1001,MATCH(ROWS($AG$2:AG633),$AG$2:$AG$1001,0),0), INDEX($AN$1004:$BO$1004,1,MATCH(COLUMNS($AN$1006:AV1006),$AN$1006:$BO$1006,0)))),"Fix")))</f>
        <v>0</v>
      </c>
      <c r="K633" s="4">
        <f>IF(OR(INDEX($AH$2:$AH$1001,MATCH(ROWS($AG$2:AG633),$AG$2:$AG$1001,0),1)&gt;=100000,INDEX($AN$1005:$BO$1005,1,MATCH(COLUMNS($AN$1006:AW1006),$AN$1006:$BO$1006,0))&gt;=100000), " ",IF(INDEX($AN$2:$BO$1001,MATCH(ROWS($AG$2:AG633),$AG$2:$AG$1001,0),MATCH(COLUMNS($AN$1006:AW1006),$AN$1006:$BO$1006,0)), HYPERLINK("#",""), HYPERLINK(CONCATENATE("#Metadata!", ADDRESS(INDEX($AI$2:$AI$1001,MATCH(ROWS($AG$2:AG633),$AG$2:$AG$1001,0),0), INDEX($AN$1004:$BO$1004,1,MATCH(COLUMNS($AN$1006:AW1006),$AN$1006:$BO$1006,0)))),"Fix")))</f>
        <v>0</v>
      </c>
      <c r="L633" s="4">
        <f>IF(OR(INDEX($AH$2:$AH$1001,MATCH(ROWS($AG$2:AG633),$AG$2:$AG$1001,0),1)&gt;=100000,INDEX($AN$1005:$BO$1005,1,MATCH(COLUMNS($AN$1006:AX1006),$AN$1006:$BO$1006,0))&gt;=100000), " ",IF(INDEX($AN$2:$BO$1001,MATCH(ROWS($AG$2:AG633),$AG$2:$AG$1001,0),MATCH(COLUMNS($AN$1006:AX1006),$AN$1006:$BO$1006,0)), HYPERLINK("#",""), HYPERLINK(CONCATENATE("#Metadata!", ADDRESS(INDEX($AI$2:$AI$1001,MATCH(ROWS($AG$2:AG633),$AG$2:$AG$1001,0),0), INDEX($AN$1004:$BO$1004,1,MATCH(COLUMNS($AN$1006:AX1006),$AN$1006:$BO$1006,0)))),"Fix")))</f>
        <v>0</v>
      </c>
      <c r="M633" s="4">
        <f>IF(OR(INDEX($AH$2:$AH$1001,MATCH(ROWS($AG$2:AG633),$AG$2:$AG$1001,0),1)&gt;=100000,INDEX($AN$1005:$BO$1005,1,MATCH(COLUMNS($AN$1006:AY1006),$AN$1006:$BO$1006,0))&gt;=100000), " ",IF(INDEX($AN$2:$BO$1001,MATCH(ROWS($AG$2:AG633),$AG$2:$AG$1001,0),MATCH(COLUMNS($AN$1006:AY1006),$AN$1006:$BO$1006,0)), HYPERLINK("#",""), HYPERLINK(CONCATENATE("#Metadata!", ADDRESS(INDEX($AI$2:$AI$1001,MATCH(ROWS($AG$2:AG633),$AG$2:$AG$1001,0),0), INDEX($AN$1004:$BO$1004,1,MATCH(COLUMNS($AN$1006:AY1006),$AN$1006:$BO$1006,0)))),"Fix")))</f>
        <v>0</v>
      </c>
      <c r="N633" s="4">
        <f>IF(OR(INDEX($AH$2:$AH$1001,MATCH(ROWS($AG$2:AG633),$AG$2:$AG$1001,0),1)&gt;=100000,INDEX($AN$1005:$BO$1005,1,MATCH(COLUMNS($AN$1006:AZ1006),$AN$1006:$BO$1006,0))&gt;=100000), " ",IF(INDEX($AN$2:$BO$1001,MATCH(ROWS($AG$2:AG633),$AG$2:$AG$1001,0),MATCH(COLUMNS($AN$1006:AZ1006),$AN$1006:$BO$1006,0)), HYPERLINK("#",""), HYPERLINK(CONCATENATE("#Metadata!", ADDRESS(INDEX($AI$2:$AI$1001,MATCH(ROWS($AG$2:AG633),$AG$2:$AG$1001,0),0), INDEX($AN$1004:$BO$1004,1,MATCH(COLUMNS($AN$1006:AZ1006),$AN$1006:$BO$1006,0)))),"Fix")))</f>
        <v>0</v>
      </c>
      <c r="O633" s="4">
        <f>IF(OR(INDEX($AH$2:$AH$1001,MATCH(ROWS($AG$2:AG633),$AG$2:$AG$1001,0),1)&gt;=100000,INDEX($AN$1005:$BO$1005,1,MATCH(COLUMNS($AN$1006:BA1006),$AN$1006:$BO$1006,0))&gt;=100000), " ",IF(INDEX($AN$2:$BO$1001,MATCH(ROWS($AG$2:AG633),$AG$2:$AG$1001,0),MATCH(COLUMNS($AN$1006:BA1006),$AN$1006:$BO$1006,0)), HYPERLINK("#",""), HYPERLINK(CONCATENATE("#Metadata!", ADDRESS(INDEX($AI$2:$AI$1001,MATCH(ROWS($AG$2:AG633),$AG$2:$AG$1001,0),0), INDEX($AN$1004:$BO$1004,1,MATCH(COLUMNS($AN$1006:BA1006),$AN$1006:$BO$1006,0)))),"Fix")))</f>
        <v>0</v>
      </c>
      <c r="P633" s="4">
        <f>IF(OR(INDEX($AH$2:$AH$1001,MATCH(ROWS($AG$2:AG633),$AG$2:$AG$1001,0),1)&gt;=100000,INDEX($AN$1005:$BO$1005,1,MATCH(COLUMNS($AN$1006:BB1006),$AN$1006:$BO$1006,0))&gt;=100000), " ",IF(INDEX($AN$2:$BO$1001,MATCH(ROWS($AG$2:AG633),$AG$2:$AG$1001,0),MATCH(COLUMNS($AN$1006:BB1006),$AN$1006:$BO$1006,0)), HYPERLINK("#",""), HYPERLINK(CONCATENATE("#Metadata!", ADDRESS(INDEX($AI$2:$AI$1001,MATCH(ROWS($AG$2:AG633),$AG$2:$AG$1001,0),0), INDEX($AN$1004:$BO$1004,1,MATCH(COLUMNS($AN$1006:BB1006),$AN$1006:$BO$1006,0)))),"Fix")))</f>
        <v>0</v>
      </c>
      <c r="Q633" s="4">
        <f>IF(OR(INDEX($AH$2:$AH$1001,MATCH(ROWS($AG$2:AG633),$AG$2:$AG$1001,0),1)&gt;=100000,INDEX($AN$1005:$BO$1005,1,MATCH(COLUMNS($AN$1006:BC1006),$AN$1006:$BO$1006,0))&gt;=100000), " ",IF(INDEX($AN$2:$BO$1001,MATCH(ROWS($AG$2:AG633),$AG$2:$AG$1001,0),MATCH(COLUMNS($AN$1006:BC1006),$AN$1006:$BO$1006,0)), HYPERLINK("#",""), HYPERLINK(CONCATENATE("#Metadata!", ADDRESS(INDEX($AI$2:$AI$1001,MATCH(ROWS($AG$2:AG633),$AG$2:$AG$1001,0),0), INDEX($AN$1004:$BO$1004,1,MATCH(COLUMNS($AN$1006:BC1006),$AN$1006:$BO$1006,0)))),"Fix")))</f>
        <v>0</v>
      </c>
      <c r="R633" s="4">
        <f>IF(OR(INDEX($AH$2:$AH$1001,MATCH(ROWS($AG$2:AG633),$AG$2:$AG$1001,0),1)&gt;=100000,INDEX($AN$1005:$BO$1005,1,MATCH(COLUMNS($AN$1006:BD1006),$AN$1006:$BO$1006,0))&gt;=100000), " ",IF(INDEX($AN$2:$BO$1001,MATCH(ROWS($AG$2:AG633),$AG$2:$AG$1001,0),MATCH(COLUMNS($AN$1006:BD1006),$AN$1006:$BO$1006,0)), HYPERLINK("#",""), HYPERLINK(CONCATENATE("#Metadata!", ADDRESS(INDEX($AI$2:$AI$1001,MATCH(ROWS($AG$2:AG633),$AG$2:$AG$1001,0),0), INDEX($AN$1004:$BO$1004,1,MATCH(COLUMNS($AN$1006:BD1006),$AN$1006:$BO$1006,0)))),"Fix")))</f>
        <v>0</v>
      </c>
      <c r="S633" s="4">
        <f>IF(OR(INDEX($AH$2:$AH$1001,MATCH(ROWS($AG$2:AG633),$AG$2:$AG$1001,0),1)&gt;=100000,INDEX($AN$1005:$BO$1005,1,MATCH(COLUMNS($AN$1006:BE1006),$AN$1006:$BO$1006,0))&gt;=100000), " ",IF(INDEX($AN$2:$BO$1001,MATCH(ROWS($AG$2:AG633),$AG$2:$AG$1001,0),MATCH(COLUMNS($AN$1006:BE1006),$AN$1006:$BO$1006,0)), HYPERLINK("#",""), HYPERLINK(CONCATENATE("#Metadata!", ADDRESS(INDEX($AI$2:$AI$1001,MATCH(ROWS($AG$2:AG633),$AG$2:$AG$1001,0),0), INDEX($AN$1004:$BO$1004,1,MATCH(COLUMNS($AN$1006:BE1006),$AN$1006:$BO$1006,0)))),"Fix")))</f>
        <v>0</v>
      </c>
      <c r="T633" s="4">
        <f>IF(OR(INDEX($AH$2:$AH$1001,MATCH(ROWS($AG$2:AG633),$AG$2:$AG$1001,0),1)&gt;=100000,INDEX($AN$1005:$BO$1005,1,MATCH(COLUMNS($AN$1006:BF1006),$AN$1006:$BO$1006,0))&gt;=100000), " ",IF(INDEX($AN$2:$BO$1001,MATCH(ROWS($AG$2:AG633),$AG$2:$AG$1001,0),MATCH(COLUMNS($AN$1006:BF1006),$AN$1006:$BO$1006,0)), HYPERLINK("#",""), HYPERLINK(CONCATENATE("#Metadata!", ADDRESS(INDEX($AI$2:$AI$1001,MATCH(ROWS($AG$2:AG633),$AG$2:$AG$1001,0),0), INDEX($AN$1004:$BO$1004,1,MATCH(COLUMNS($AN$1006:BF1006),$AN$1006:$BO$1006,0)))),"Fix")))</f>
        <v>0</v>
      </c>
      <c r="U633" s="4">
        <f>IF(OR(INDEX($AH$2:$AH$1001,MATCH(ROWS($AG$2:AG633),$AG$2:$AG$1001,0),1)&gt;=100000,INDEX($AN$1005:$BO$1005,1,MATCH(COLUMNS($AN$1006:BG1006),$AN$1006:$BO$1006,0))&gt;=100000), " ",IF(INDEX($AN$2:$BO$1001,MATCH(ROWS($AG$2:AG633),$AG$2:$AG$1001,0),MATCH(COLUMNS($AN$1006:BG1006),$AN$1006:$BO$1006,0)), HYPERLINK("#",""), HYPERLINK(CONCATENATE("#Metadata!", ADDRESS(INDEX($AI$2:$AI$1001,MATCH(ROWS($AG$2:AG633),$AG$2:$AG$1001,0),0), INDEX($AN$1004:$BO$1004,1,MATCH(COLUMNS($AN$1006:BG1006),$AN$1006:$BO$1006,0)))),"Fix")))</f>
        <v>0</v>
      </c>
      <c r="V633" s="4">
        <f>IF(OR(INDEX($AH$2:$AH$1001,MATCH(ROWS($AG$2:AG633),$AG$2:$AG$1001,0),1)&gt;=100000,INDEX($AN$1005:$BO$1005,1,MATCH(COLUMNS($AN$1006:BH1006),$AN$1006:$BO$1006,0))&gt;=100000), " ",IF(INDEX($AN$2:$BO$1001,MATCH(ROWS($AG$2:AG633),$AG$2:$AG$1001,0),MATCH(COLUMNS($AN$1006:BH1006),$AN$1006:$BO$1006,0)), HYPERLINK("#",""), HYPERLINK(CONCATENATE("#Metadata!", ADDRESS(INDEX($AI$2:$AI$1001,MATCH(ROWS($AG$2:AG633),$AG$2:$AG$1001,0),0), INDEX($AN$1004:$BO$1004,1,MATCH(COLUMNS($AN$1006:BH1006),$AN$1006:$BO$1006,0)))),"Fix")))</f>
        <v>0</v>
      </c>
      <c r="W633" s="4">
        <f>IF(OR(INDEX($AH$2:$AH$1001,MATCH(ROWS($AG$2:AG633),$AG$2:$AG$1001,0),1)&gt;=100000,INDEX($AN$1005:$BO$1005,1,MATCH(COLUMNS($AN$1006:BI1006),$AN$1006:$BO$1006,0))&gt;=100000), " ",IF(INDEX($AN$2:$BO$1001,MATCH(ROWS($AG$2:AG633),$AG$2:$AG$1001,0),MATCH(COLUMNS($AN$1006:BI1006),$AN$1006:$BO$1006,0)), HYPERLINK("#",""), HYPERLINK(CONCATENATE("#Metadata!", ADDRESS(INDEX($AI$2:$AI$1001,MATCH(ROWS($AG$2:AG633),$AG$2:$AG$1001,0),0), INDEX($AN$1004:$BO$1004,1,MATCH(COLUMNS($AN$1006:BI1006),$AN$1006:$BO$1006,0)))),"Fix")))</f>
        <v>0</v>
      </c>
      <c r="X633" s="4">
        <f>IF(OR(INDEX($AH$2:$AH$1001,MATCH(ROWS($AG$2:AG633),$AG$2:$AG$1001,0),1)&gt;=100000,INDEX($AN$1005:$BO$1005,1,MATCH(COLUMNS($AN$1006:BJ1006),$AN$1006:$BO$1006,0))&gt;=100000), " ",IF(INDEX($AN$2:$BO$1001,MATCH(ROWS($AG$2:AG633),$AG$2:$AG$1001,0),MATCH(COLUMNS($AN$1006:BJ1006),$AN$1006:$BO$1006,0)), HYPERLINK("#",""), HYPERLINK(CONCATENATE("#Metadata!", ADDRESS(INDEX($AI$2:$AI$1001,MATCH(ROWS($AG$2:AG633),$AG$2:$AG$1001,0),0), INDEX($AN$1004:$BO$1004,1,MATCH(COLUMNS($AN$1006:BJ1006),$AN$1006:$BO$1006,0)))),"Fix")))</f>
        <v>0</v>
      </c>
      <c r="Y633" s="4">
        <f>IF(OR(INDEX($AH$2:$AH$1001,MATCH(ROWS($AG$2:AG633),$AG$2:$AG$1001,0),1)&gt;=100000,INDEX($AN$1005:$BO$1005,1,MATCH(COLUMNS($AN$1006:BK1006),$AN$1006:$BO$1006,0))&gt;=100000), " ",IF(INDEX($AN$2:$BO$1001,MATCH(ROWS($AG$2:AG633),$AG$2:$AG$1001,0),MATCH(COLUMNS($AN$1006:BK1006),$AN$1006:$BO$1006,0)), HYPERLINK("#",""), HYPERLINK(CONCATENATE("#Metadata!", ADDRESS(INDEX($AI$2:$AI$1001,MATCH(ROWS($AG$2:AG633),$AG$2:$AG$1001,0),0), INDEX($AN$1004:$BO$1004,1,MATCH(COLUMNS($AN$1006:BK1006),$AN$1006:$BO$1006,0)))),"Fix")))</f>
        <v>0</v>
      </c>
      <c r="Z633" s="4">
        <f>IF(OR(INDEX($AH$2:$AH$1001,MATCH(ROWS($AG$2:AG633),$AG$2:$AG$1001,0),1)&gt;=100000,INDEX($AN$1005:$BO$1005,1,MATCH(COLUMNS($AN$1006:BL1006),$AN$1006:$BO$1006,0))&gt;=100000), " ",IF(INDEX($AN$2:$BO$1001,MATCH(ROWS($AG$2:AG633),$AG$2:$AG$1001,0),MATCH(COLUMNS($AN$1006:BL1006),$AN$1006:$BO$1006,0)), HYPERLINK("#",""), HYPERLINK(CONCATENATE("#Metadata!", ADDRESS(INDEX($AI$2:$AI$1001,MATCH(ROWS($AG$2:AG633),$AG$2:$AG$1001,0),0), INDEX($AN$1004:$BO$1004,1,MATCH(COLUMNS($AN$1006:BL1006),$AN$1006:$BO$1006,0)))),"Fix")))</f>
        <v>0</v>
      </c>
      <c r="AA633" s="4">
        <f>IF(OR(INDEX($AH$2:$AH$1001,MATCH(ROWS($AG$2:AG633),$AG$2:$AG$1001,0),1)&gt;=100000,INDEX($AN$1005:$BO$1005,1,MATCH(COLUMNS($AN$1006:BM1006),$AN$1006:$BO$1006,0))&gt;=100000), " ",IF(INDEX($AN$2:$BO$1001,MATCH(ROWS($AG$2:AG633),$AG$2:$AG$1001,0),MATCH(COLUMNS($AN$1006:BM1006),$AN$1006:$BO$1006,0)), HYPERLINK("#",""), HYPERLINK(CONCATENATE("#Metadata!", ADDRESS(INDEX($AI$2:$AI$1001,MATCH(ROWS($AG$2:AG633),$AG$2:$AG$1001,0),0), INDEX($AN$1004:$BO$1004,1,MATCH(COLUMNS($AN$1006:BM1006),$AN$1006:$BO$1006,0)))),"Fix")))</f>
        <v>0</v>
      </c>
      <c r="AB633" s="4">
        <f>IF(OR(INDEX($AH$2:$AH$1001,MATCH(ROWS($AG$2:AG633),$AG$2:$AG$1001,0),1)&gt;=100000,INDEX($AN$1005:$BO$1005,1,MATCH(COLUMNS($AN$1006:BN1006),$AN$1006:$BO$1006,0))&gt;=100000), " ",IF(INDEX($AN$2:$BO$1001,MATCH(ROWS($AG$2:AG633),$AG$2:$AG$1001,0),MATCH(COLUMNS($AN$1006:BN1006),$AN$1006:$BO$1006,0)), HYPERLINK("#",""), HYPERLINK(CONCATENATE("#Metadata!", ADDRESS(INDEX($AI$2:$AI$1001,MATCH(ROWS($AG$2:AG633),$AG$2:$AG$1001,0),0), INDEX($AN$1004:$BO$1004,1,MATCH(COLUMNS($AN$1006:BN1006),$AN$1006:$BO$1006,0)))),"Fix")))</f>
        <v>0</v>
      </c>
      <c r="AC633" s="4">
        <f>IF(OR(INDEX($AH$2:$AH$1001,MATCH(ROWS($AG$2:AG633),$AG$2:$AG$1001,0),1)&gt;=100000,INDEX($AN$1005:$BO$1005,1,MATCH(COLUMNS($AN$1006:BO1006),$AN$1006:$BO$1006,0))&gt;=100000), " ",IF(INDEX($AN$2:$BO$1001,MATCH(ROWS($AG$2:AG633),$AG$2:$AG$1001,0),MATCH(COLUMNS($AN$1006:BO1006),$AN$1006:$BO$1006,0)), HYPERLINK("#",""), HYPERLINK(CONCATENATE("#Metadata!", ADDRESS(INDEX($AI$2:$AI$1001,MATCH(ROWS($AG$2:AG633),$AG$2:$AG$1001,0),0), INDEX($AN$1004:$BO$1004,1,MATCH(COLUMNS($AN$1006:BO1006),$AN$1006:$BO$1006,0)))),"Fix")))</f>
        <v>0</v>
      </c>
      <c r="AG633">
        <v>0</v>
      </c>
      <c r="AH633">
        <v>0</v>
      </c>
      <c r="AI633">
        <v>0</v>
      </c>
      <c r="AJ633">
        <f>IF(AK633,TRUE,AND(AN633:BO633))</f>
        <v>0</v>
      </c>
      <c r="AK633">
        <f>COUNTBLANK(Metadata!B633:AC633)=COLUMNS(Metadata!B633:AC633)</f>
        <v>0</v>
      </c>
      <c r="AL633">
        <v>0</v>
      </c>
      <c r="AN633">
        <f>AND(IF(Metadata!B633="",FALSE,TRUE),COUNTIF(Metadata!B:B, Metadata!B633) = 1,NOT(ISERROR(SUMPRODUCT(SEARCH(MID(Metadata!B633,ROW(INDIRECT("1:"&amp;LEN(Metadata!B633))), 1),"0123456789abcdefghijklmnopqrstuvwxyzABCDEFGHIJKLMNOPQRSTUVWXYZ.")))))</f>
        <v>0</v>
      </c>
      <c r="AO633">
        <f>IF(Metadata!C633="",FALSE,TRUE)</f>
        <v>0</v>
      </c>
      <c r="AP633">
        <f>IF(Metadata!D633="",FALSE,TRUE)</f>
        <v>0</v>
      </c>
      <c r="AQ633">
        <f>OR(AND(IF(Metadata!E633="",FALSE,TRUE),OR(exact(Metadata!E633,"not collected"),exact(Metadata!E633,"not provided"),exact(Metadata!E633,"restricted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R633">
        <f>IF(Metadata!F633="",FALSE,TRUE)</f>
        <v>0</v>
      </c>
      <c r="AS633">
        <f>OR(AND(IF(Metadata!G633="",FALSE,TRUE),OR(exact(Metadata!G633,"not collected"),exact(Metadata!G633,"not provided"))),AND(IF(Metadata!G633="",FALSE,TRUE),OR(exact(Metadata!G633,"TRUE"),exact(Metadata!G633,"FALSE"))))</f>
        <v>0</v>
      </c>
      <c r="AT633">
        <f>OR(AND(IF(Metadata!H633="",FALSE,TRUE),OR(exact(Metadata!H633,"not collected"),exact(Metadata!H633,"not provided"),exact(Metadata!H633,"restricted access"))),AND(IF(Metadata!H633="",FALSE,ISNUMBER(VALUE(Metadata!H633))),Metadata!H633&gt;=-413.0))</f>
        <v>0</v>
      </c>
      <c r="AU633">
        <f>AND(IF(Metadata!I633="",FALSE,TRUE),exact(Metadata!I633,"meters"))</f>
        <v>0</v>
      </c>
      <c r="AV633">
        <f>AND(IF(Metadata!J633="",FALSE,TRUE),OR(exact(Metadata!J633,"Host-associated"),exact(Metadata!J633,"Free-living")))</f>
        <v>0</v>
      </c>
      <c r="AW633">
        <f>AND(IF(Metadata!K633="",FALSE,TRUE),OR(exact(Metadata!K633,"Animal"),exact(Metadata!K633,"Fungus"),exact(Metadata!K633,"Plant"),exact(Metadata!K633,"Saline"),exact(Metadata!K633,"Non-saline")))</f>
        <v>0</v>
      </c>
      <c r="AX633">
        <f>AND(IF(Metadata!L633="",FALSE,TRUE),OR(exact(Metadata!L633,"Plant secretion"),exact(Metadata!L633,"Plant rhizosphere"),exact(Metadata!L633,"Plant surface"),exact(Metadata!L633,"Plant corpus"),exact(Metadata!L633,"Fungus surface"),exact(Metadata!L633,"Fungus corpus"),exact(Metadata!L633,"Animal surface"),exact(Metadata!L633,"Animal proximal gut"),exact(Metadata!L633,"Animal corpus"),exact(Metadata!L633,"Animal distal gut"),exact(Metadata!L633,"Animal secretion"),exact(Metadata!L633,"Sub-surface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Y633">
        <f>IF(Metadata!M633="",FALSE,TRUE)</f>
        <v>0</v>
      </c>
      <c r="AZ633">
        <f>IF(Metadata!N633="",FALSE,TRUE)</f>
        <v>0</v>
      </c>
      <c r="BA633">
        <f>IF(Metadata!O633="",FALSE,TRUE)</f>
        <v>0</v>
      </c>
      <c r="BB633">
        <f>OR(AND(IF(Metadata!P633="",FALSE,TRUE),OR(exact(Metadata!P633,"not collected"),exact(Metadata!P633,"not provided"),exact(Metadata!P633,"restricted access"))),AND(IF(Metadata!P633="",FALSE,TRUE),OR(exact(Metadata!P633,"air"),exact(Metadata!P633,"built environment"),exact(Metadata!P633,"host-associated"),exact(Metadata!P633,"human-associated"),exact(Metadata!P633,"human-skin"),exact(Metadata!P633,"human-oral"),exact(Metadata!P633,"human-gut"),exact(Metadata!P633,"human-vaginal"),exact(Metadata!P633,"microbial mat/biofilm"),exact(Metadata!P633,"misc environment"),exact(Metadata!P633,"plant-associated"),exact(Metadata!P633,"sediment"),exact(Metadata!P633,"soil"),exact(Metadata!P633,"wastewater/sludge"),exact(Metadata!P633,"water"))))</f>
        <v>0</v>
      </c>
      <c r="BC633">
        <f>IF(Metadata!Q633="",FALSE,TRUE)</f>
        <v>0</v>
      </c>
      <c r="BD633">
        <f>IF(Metadata!R633="",FALSE,TRUE)</f>
        <v>0</v>
      </c>
      <c r="BE633">
        <f>OR(AND(IF(Metadata!S633="",FALSE,TRUE),OR(exact(Metadata!S633,"not collected"),exact(Metadata!S633,"not provided"),exact(Metadata!S633,"restricted access"))),AND(IF(Metadata!S633="",FALSE,ISNUMBER(VALUE(Metadata!S633))),Metadata!S633&gt;=-90.00,Metadata!S633&lt;=90.00))</f>
        <v>0</v>
      </c>
      <c r="BF633">
        <f>AND(IF(Metadata!T633="",FALSE,TRUE),exact(Metadata!T633,"Decimal degrees"))</f>
        <v>0</v>
      </c>
      <c r="BG633">
        <f>OR(AND(IF(Metadata!U633="",FALSE,TRUE),OR(exact(Metadata!U633,"not collected"),exact(Metadata!U633,"not provided"),exact(Metadata!U633,"restricted access"))),AND(IF(Metadata!U633="",FALSE,ISNUMBER(VALUE(Metadata!U633))),Metadata!U633&gt;=-180.00,Metadata!U633&lt;=180.00))</f>
        <v>0</v>
      </c>
      <c r="BH633">
        <f>AND(IF(Metadata!V633="",FALSE,TRUE),exact(Metadata!V633,"Decimal degrees"))</f>
        <v>0</v>
      </c>
      <c r="BI633">
        <f>IF(Metadata!W633="",FALSE,TRUE)</f>
        <v>0</v>
      </c>
      <c r="BJ633">
        <f>OR(AND(IF(Metadata!X633="",FALSE,TRUE),OR(exact(Metadata!X633,"not collected"),exact(Metadata!X633,"not provided"),exact(Metadata!X633,"restricted access"))),AND(IF(Metadata!X633="",FALSE,TRUE),OR(exact(Metadata!X633,"TRUE"),exact(Metadata!X633,"FALSE"))))</f>
        <v>0</v>
      </c>
      <c r="BK633">
        <f>AND(IF(Metadata!Y633="",FALSE,TRUE),exact(Metadata!Y633,"other"))</f>
        <v>0</v>
      </c>
      <c r="BL633">
        <f>IF(Metadata!Z633="",FALSE,TRUE)</f>
        <v>0</v>
      </c>
      <c r="BM633">
        <f>OR(AND(IF(Metadata!AA633="",FALSE,TRUE),OR(exact(Metadata!AA633,"not collected"),exact(Metadata!AA633,"not provided"))),AND(IF(Metadata!AA633="",FALSE,IF(ISERROR(INT(Metadata!AA633)),FALSE,INT(Metadata!AA633)=Metadata!AA633)),Metadata!AA633&gt;0))</f>
        <v>0</v>
      </c>
      <c r="BN633">
        <f>AND(IF(Metadata!AB633="",FALSE,TRUE),exact(Metadata!AB633,"Not applicable"))</f>
        <v>0</v>
      </c>
      <c r="BO633">
        <f>IF(Metadata!AC633="",FALSE,TRUE)</f>
        <v>0</v>
      </c>
    </row>
    <row r="634" spans="1:67">
      <c r="A634" s="5">
        <f>IF(B634=" "," ",HYPERLINK(CONCATENATE("#metadata!",ADDRESS(INDEX($AI$2:$AI$1001,MATCH(ROWS($AG$2:AG634),$AG$2:$AG$1001,0),0),1)),INDEX($AL$2:$AL$1001,MATCH(ROWS($AG$2:AG634),$AG$2:$AG$1001,0),0)))</f>
        <v>0</v>
      </c>
      <c r="B634" s="4">
        <f>IF(OR(INDEX($AH$2:$AH$1001,MATCH(ROWS($AG$2:AG634),$AG$2:$AG$1001,0),1)&gt;=100000,INDEX($AN$1005:$BO$1005,1,MATCH(COLUMNS($AN$1006:AN1006),$AN$1006:$BO$1006,0))&gt;=100000), " ",IF(INDEX($AN$2:$BO$1001,MATCH(ROWS($AG$2:AG634),$AG$2:$AG$1001,0),MATCH(COLUMNS($AN$1006:AN1006),$AN$1006:$BO$1006,0)), HYPERLINK("#",""), HYPERLINK(CONCATENATE("#Metadata!", ADDRESS(INDEX($AI$2:$AI$1001,MATCH(ROWS($AG$2:AG634),$AG$2:$AG$1001,0),0), INDEX($AN$1004:$BO$1004,1,MATCH(COLUMNS($AN$1006:AN1006),$AN$1006:$BO$1006,0)))),"Fix")))</f>
        <v>0</v>
      </c>
      <c r="C634" s="4">
        <f>IF(OR(INDEX($AH$2:$AH$1001,MATCH(ROWS($AG$2:AG634),$AG$2:$AG$1001,0),1)&gt;=100000,INDEX($AN$1005:$BO$1005,1,MATCH(COLUMNS($AN$1006:AO1006),$AN$1006:$BO$1006,0))&gt;=100000), " ",IF(INDEX($AN$2:$BO$1001,MATCH(ROWS($AG$2:AG634),$AG$2:$AG$1001,0),MATCH(COLUMNS($AN$1006:AO1006),$AN$1006:$BO$1006,0)), HYPERLINK("#",""), HYPERLINK(CONCATENATE("#Metadata!", ADDRESS(INDEX($AI$2:$AI$1001,MATCH(ROWS($AG$2:AG634),$AG$2:$AG$1001,0),0), INDEX($AN$1004:$BO$1004,1,MATCH(COLUMNS($AN$1006:AO1006),$AN$1006:$BO$1006,0)))),"Fix")))</f>
        <v>0</v>
      </c>
      <c r="D634" s="4">
        <f>IF(OR(INDEX($AH$2:$AH$1001,MATCH(ROWS($AG$2:AG634),$AG$2:$AG$1001,0),1)&gt;=100000,INDEX($AN$1005:$BO$1005,1,MATCH(COLUMNS($AN$1006:AP1006),$AN$1006:$BO$1006,0))&gt;=100000), " ",IF(INDEX($AN$2:$BO$1001,MATCH(ROWS($AG$2:AG634),$AG$2:$AG$1001,0),MATCH(COLUMNS($AN$1006:AP1006),$AN$1006:$BO$1006,0)), HYPERLINK("#",""), HYPERLINK(CONCATENATE("#Metadata!", ADDRESS(INDEX($AI$2:$AI$1001,MATCH(ROWS($AG$2:AG634),$AG$2:$AG$1001,0),0), INDEX($AN$1004:$BO$1004,1,MATCH(COLUMNS($AN$1006:AP1006),$AN$1006:$BO$1006,0)))),"Fix")))</f>
        <v>0</v>
      </c>
      <c r="E634" s="4">
        <f>IF(OR(INDEX($AH$2:$AH$1001,MATCH(ROWS($AG$2:AG634),$AG$2:$AG$1001,0),1)&gt;=100000,INDEX($AN$1005:$BO$1005,1,MATCH(COLUMNS($AN$1006:AQ1006),$AN$1006:$BO$1006,0))&gt;=100000), " ",IF(INDEX($AN$2:$BO$1001,MATCH(ROWS($AG$2:AG634),$AG$2:$AG$1001,0),MATCH(COLUMNS($AN$1006:AQ1006),$AN$1006:$BO$1006,0)), HYPERLINK("#",""), HYPERLINK(CONCATENATE("#Metadata!", ADDRESS(INDEX($AI$2:$AI$1001,MATCH(ROWS($AG$2:AG634),$AG$2:$AG$1001,0),0), INDEX($AN$1004:$BO$1004,1,MATCH(COLUMNS($AN$1006:AQ1006),$AN$1006:$BO$1006,0)))),"Fix")))</f>
        <v>0</v>
      </c>
      <c r="F634" s="4">
        <f>IF(OR(INDEX($AH$2:$AH$1001,MATCH(ROWS($AG$2:AG634),$AG$2:$AG$1001,0),1)&gt;=100000,INDEX($AN$1005:$BO$1005,1,MATCH(COLUMNS($AN$1006:AR1006),$AN$1006:$BO$1006,0))&gt;=100000), " ",IF(INDEX($AN$2:$BO$1001,MATCH(ROWS($AG$2:AG634),$AG$2:$AG$1001,0),MATCH(COLUMNS($AN$1006:AR1006),$AN$1006:$BO$1006,0)), HYPERLINK("#",""), HYPERLINK(CONCATENATE("#Metadata!", ADDRESS(INDEX($AI$2:$AI$1001,MATCH(ROWS($AG$2:AG634),$AG$2:$AG$1001,0),0), INDEX($AN$1004:$BO$1004,1,MATCH(COLUMNS($AN$1006:AR1006),$AN$1006:$BO$1006,0)))),"Fix")))</f>
        <v>0</v>
      </c>
      <c r="G634" s="4">
        <f>IF(OR(INDEX($AH$2:$AH$1001,MATCH(ROWS($AG$2:AG634),$AG$2:$AG$1001,0),1)&gt;=100000,INDEX($AN$1005:$BO$1005,1,MATCH(COLUMNS($AN$1006:AS1006),$AN$1006:$BO$1006,0))&gt;=100000), " ",IF(INDEX($AN$2:$BO$1001,MATCH(ROWS($AG$2:AG634),$AG$2:$AG$1001,0),MATCH(COLUMNS($AN$1006:AS1006),$AN$1006:$BO$1006,0)), HYPERLINK("#",""), HYPERLINK(CONCATENATE("#Metadata!", ADDRESS(INDEX($AI$2:$AI$1001,MATCH(ROWS($AG$2:AG634),$AG$2:$AG$1001,0),0), INDEX($AN$1004:$BO$1004,1,MATCH(COLUMNS($AN$1006:AS1006),$AN$1006:$BO$1006,0)))),"Fix")))</f>
        <v>0</v>
      </c>
      <c r="H634" s="4">
        <f>IF(OR(INDEX($AH$2:$AH$1001,MATCH(ROWS($AG$2:AG634),$AG$2:$AG$1001,0),1)&gt;=100000,INDEX($AN$1005:$BO$1005,1,MATCH(COLUMNS($AN$1006:AT1006),$AN$1006:$BO$1006,0))&gt;=100000), " ",IF(INDEX($AN$2:$BO$1001,MATCH(ROWS($AG$2:AG634),$AG$2:$AG$1001,0),MATCH(COLUMNS($AN$1006:AT1006),$AN$1006:$BO$1006,0)), HYPERLINK("#",""), HYPERLINK(CONCATENATE("#Metadata!", ADDRESS(INDEX($AI$2:$AI$1001,MATCH(ROWS($AG$2:AG634),$AG$2:$AG$1001,0),0), INDEX($AN$1004:$BO$1004,1,MATCH(COLUMNS($AN$1006:AT1006),$AN$1006:$BO$1006,0)))),"Fix")))</f>
        <v>0</v>
      </c>
      <c r="I634" s="4">
        <f>IF(OR(INDEX($AH$2:$AH$1001,MATCH(ROWS($AG$2:AG634),$AG$2:$AG$1001,0),1)&gt;=100000,INDEX($AN$1005:$BO$1005,1,MATCH(COLUMNS($AN$1006:AU1006),$AN$1006:$BO$1006,0))&gt;=100000), " ",IF(INDEX($AN$2:$BO$1001,MATCH(ROWS($AG$2:AG634),$AG$2:$AG$1001,0),MATCH(COLUMNS($AN$1006:AU1006),$AN$1006:$BO$1006,0)), HYPERLINK("#",""), HYPERLINK(CONCATENATE("#Metadata!", ADDRESS(INDEX($AI$2:$AI$1001,MATCH(ROWS($AG$2:AG634),$AG$2:$AG$1001,0),0), INDEX($AN$1004:$BO$1004,1,MATCH(COLUMNS($AN$1006:AU1006),$AN$1006:$BO$1006,0)))),"Fix")))</f>
        <v>0</v>
      </c>
      <c r="J634" s="4">
        <f>IF(OR(INDEX($AH$2:$AH$1001,MATCH(ROWS($AG$2:AG634),$AG$2:$AG$1001,0),1)&gt;=100000,INDEX($AN$1005:$BO$1005,1,MATCH(COLUMNS($AN$1006:AV1006),$AN$1006:$BO$1006,0))&gt;=100000), " ",IF(INDEX($AN$2:$BO$1001,MATCH(ROWS($AG$2:AG634),$AG$2:$AG$1001,0),MATCH(COLUMNS($AN$1006:AV1006),$AN$1006:$BO$1006,0)), HYPERLINK("#",""), HYPERLINK(CONCATENATE("#Metadata!", ADDRESS(INDEX($AI$2:$AI$1001,MATCH(ROWS($AG$2:AG634),$AG$2:$AG$1001,0),0), INDEX($AN$1004:$BO$1004,1,MATCH(COLUMNS($AN$1006:AV1006),$AN$1006:$BO$1006,0)))),"Fix")))</f>
        <v>0</v>
      </c>
      <c r="K634" s="4">
        <f>IF(OR(INDEX($AH$2:$AH$1001,MATCH(ROWS($AG$2:AG634),$AG$2:$AG$1001,0),1)&gt;=100000,INDEX($AN$1005:$BO$1005,1,MATCH(COLUMNS($AN$1006:AW1006),$AN$1006:$BO$1006,0))&gt;=100000), " ",IF(INDEX($AN$2:$BO$1001,MATCH(ROWS($AG$2:AG634),$AG$2:$AG$1001,0),MATCH(COLUMNS($AN$1006:AW1006),$AN$1006:$BO$1006,0)), HYPERLINK("#",""), HYPERLINK(CONCATENATE("#Metadata!", ADDRESS(INDEX($AI$2:$AI$1001,MATCH(ROWS($AG$2:AG634),$AG$2:$AG$1001,0),0), INDEX($AN$1004:$BO$1004,1,MATCH(COLUMNS($AN$1006:AW1006),$AN$1006:$BO$1006,0)))),"Fix")))</f>
        <v>0</v>
      </c>
      <c r="L634" s="4">
        <f>IF(OR(INDEX($AH$2:$AH$1001,MATCH(ROWS($AG$2:AG634),$AG$2:$AG$1001,0),1)&gt;=100000,INDEX($AN$1005:$BO$1005,1,MATCH(COLUMNS($AN$1006:AX1006),$AN$1006:$BO$1006,0))&gt;=100000), " ",IF(INDEX($AN$2:$BO$1001,MATCH(ROWS($AG$2:AG634),$AG$2:$AG$1001,0),MATCH(COLUMNS($AN$1006:AX1006),$AN$1006:$BO$1006,0)), HYPERLINK("#",""), HYPERLINK(CONCATENATE("#Metadata!", ADDRESS(INDEX($AI$2:$AI$1001,MATCH(ROWS($AG$2:AG634),$AG$2:$AG$1001,0),0), INDEX($AN$1004:$BO$1004,1,MATCH(COLUMNS($AN$1006:AX1006),$AN$1006:$BO$1006,0)))),"Fix")))</f>
        <v>0</v>
      </c>
      <c r="M634" s="4">
        <f>IF(OR(INDEX($AH$2:$AH$1001,MATCH(ROWS($AG$2:AG634),$AG$2:$AG$1001,0),1)&gt;=100000,INDEX($AN$1005:$BO$1005,1,MATCH(COLUMNS($AN$1006:AY1006),$AN$1006:$BO$1006,0))&gt;=100000), " ",IF(INDEX($AN$2:$BO$1001,MATCH(ROWS($AG$2:AG634),$AG$2:$AG$1001,0),MATCH(COLUMNS($AN$1006:AY1006),$AN$1006:$BO$1006,0)), HYPERLINK("#",""), HYPERLINK(CONCATENATE("#Metadata!", ADDRESS(INDEX($AI$2:$AI$1001,MATCH(ROWS($AG$2:AG634),$AG$2:$AG$1001,0),0), INDEX($AN$1004:$BO$1004,1,MATCH(COLUMNS($AN$1006:AY1006),$AN$1006:$BO$1006,0)))),"Fix")))</f>
        <v>0</v>
      </c>
      <c r="N634" s="4">
        <f>IF(OR(INDEX($AH$2:$AH$1001,MATCH(ROWS($AG$2:AG634),$AG$2:$AG$1001,0),1)&gt;=100000,INDEX($AN$1005:$BO$1005,1,MATCH(COLUMNS($AN$1006:AZ1006),$AN$1006:$BO$1006,0))&gt;=100000), " ",IF(INDEX($AN$2:$BO$1001,MATCH(ROWS($AG$2:AG634),$AG$2:$AG$1001,0),MATCH(COLUMNS($AN$1006:AZ1006),$AN$1006:$BO$1006,0)), HYPERLINK("#",""), HYPERLINK(CONCATENATE("#Metadata!", ADDRESS(INDEX($AI$2:$AI$1001,MATCH(ROWS($AG$2:AG634),$AG$2:$AG$1001,0),0), INDEX($AN$1004:$BO$1004,1,MATCH(COLUMNS($AN$1006:AZ1006),$AN$1006:$BO$1006,0)))),"Fix")))</f>
        <v>0</v>
      </c>
      <c r="O634" s="4">
        <f>IF(OR(INDEX($AH$2:$AH$1001,MATCH(ROWS($AG$2:AG634),$AG$2:$AG$1001,0),1)&gt;=100000,INDEX($AN$1005:$BO$1005,1,MATCH(COLUMNS($AN$1006:BA1006),$AN$1006:$BO$1006,0))&gt;=100000), " ",IF(INDEX($AN$2:$BO$1001,MATCH(ROWS($AG$2:AG634),$AG$2:$AG$1001,0),MATCH(COLUMNS($AN$1006:BA1006),$AN$1006:$BO$1006,0)), HYPERLINK("#",""), HYPERLINK(CONCATENATE("#Metadata!", ADDRESS(INDEX($AI$2:$AI$1001,MATCH(ROWS($AG$2:AG634),$AG$2:$AG$1001,0),0), INDEX($AN$1004:$BO$1004,1,MATCH(COLUMNS($AN$1006:BA1006),$AN$1006:$BO$1006,0)))),"Fix")))</f>
        <v>0</v>
      </c>
      <c r="P634" s="4">
        <f>IF(OR(INDEX($AH$2:$AH$1001,MATCH(ROWS($AG$2:AG634),$AG$2:$AG$1001,0),1)&gt;=100000,INDEX($AN$1005:$BO$1005,1,MATCH(COLUMNS($AN$1006:BB1006),$AN$1006:$BO$1006,0))&gt;=100000), " ",IF(INDEX($AN$2:$BO$1001,MATCH(ROWS($AG$2:AG634),$AG$2:$AG$1001,0),MATCH(COLUMNS($AN$1006:BB1006),$AN$1006:$BO$1006,0)), HYPERLINK("#",""), HYPERLINK(CONCATENATE("#Metadata!", ADDRESS(INDEX($AI$2:$AI$1001,MATCH(ROWS($AG$2:AG634),$AG$2:$AG$1001,0),0), INDEX($AN$1004:$BO$1004,1,MATCH(COLUMNS($AN$1006:BB1006),$AN$1006:$BO$1006,0)))),"Fix")))</f>
        <v>0</v>
      </c>
      <c r="Q634" s="4">
        <f>IF(OR(INDEX($AH$2:$AH$1001,MATCH(ROWS($AG$2:AG634),$AG$2:$AG$1001,0),1)&gt;=100000,INDEX($AN$1005:$BO$1005,1,MATCH(COLUMNS($AN$1006:BC1006),$AN$1006:$BO$1006,0))&gt;=100000), " ",IF(INDEX($AN$2:$BO$1001,MATCH(ROWS($AG$2:AG634),$AG$2:$AG$1001,0),MATCH(COLUMNS($AN$1006:BC1006),$AN$1006:$BO$1006,0)), HYPERLINK("#",""), HYPERLINK(CONCATENATE("#Metadata!", ADDRESS(INDEX($AI$2:$AI$1001,MATCH(ROWS($AG$2:AG634),$AG$2:$AG$1001,0),0), INDEX($AN$1004:$BO$1004,1,MATCH(COLUMNS($AN$1006:BC1006),$AN$1006:$BO$1006,0)))),"Fix")))</f>
        <v>0</v>
      </c>
      <c r="R634" s="4">
        <f>IF(OR(INDEX($AH$2:$AH$1001,MATCH(ROWS($AG$2:AG634),$AG$2:$AG$1001,0),1)&gt;=100000,INDEX($AN$1005:$BO$1005,1,MATCH(COLUMNS($AN$1006:BD1006),$AN$1006:$BO$1006,0))&gt;=100000), " ",IF(INDEX($AN$2:$BO$1001,MATCH(ROWS($AG$2:AG634),$AG$2:$AG$1001,0),MATCH(COLUMNS($AN$1006:BD1006),$AN$1006:$BO$1006,0)), HYPERLINK("#",""), HYPERLINK(CONCATENATE("#Metadata!", ADDRESS(INDEX($AI$2:$AI$1001,MATCH(ROWS($AG$2:AG634),$AG$2:$AG$1001,0),0), INDEX($AN$1004:$BO$1004,1,MATCH(COLUMNS($AN$1006:BD1006),$AN$1006:$BO$1006,0)))),"Fix")))</f>
        <v>0</v>
      </c>
      <c r="S634" s="4">
        <f>IF(OR(INDEX($AH$2:$AH$1001,MATCH(ROWS($AG$2:AG634),$AG$2:$AG$1001,0),1)&gt;=100000,INDEX($AN$1005:$BO$1005,1,MATCH(COLUMNS($AN$1006:BE1006),$AN$1006:$BO$1006,0))&gt;=100000), " ",IF(INDEX($AN$2:$BO$1001,MATCH(ROWS($AG$2:AG634),$AG$2:$AG$1001,0),MATCH(COLUMNS($AN$1006:BE1006),$AN$1006:$BO$1006,0)), HYPERLINK("#",""), HYPERLINK(CONCATENATE("#Metadata!", ADDRESS(INDEX($AI$2:$AI$1001,MATCH(ROWS($AG$2:AG634),$AG$2:$AG$1001,0),0), INDEX($AN$1004:$BO$1004,1,MATCH(COLUMNS($AN$1006:BE1006),$AN$1006:$BO$1006,0)))),"Fix")))</f>
        <v>0</v>
      </c>
      <c r="T634" s="4">
        <f>IF(OR(INDEX($AH$2:$AH$1001,MATCH(ROWS($AG$2:AG634),$AG$2:$AG$1001,0),1)&gt;=100000,INDEX($AN$1005:$BO$1005,1,MATCH(COLUMNS($AN$1006:BF1006),$AN$1006:$BO$1006,0))&gt;=100000), " ",IF(INDEX($AN$2:$BO$1001,MATCH(ROWS($AG$2:AG634),$AG$2:$AG$1001,0),MATCH(COLUMNS($AN$1006:BF1006),$AN$1006:$BO$1006,0)), HYPERLINK("#",""), HYPERLINK(CONCATENATE("#Metadata!", ADDRESS(INDEX($AI$2:$AI$1001,MATCH(ROWS($AG$2:AG634),$AG$2:$AG$1001,0),0), INDEX($AN$1004:$BO$1004,1,MATCH(COLUMNS($AN$1006:BF1006),$AN$1006:$BO$1006,0)))),"Fix")))</f>
        <v>0</v>
      </c>
      <c r="U634" s="4">
        <f>IF(OR(INDEX($AH$2:$AH$1001,MATCH(ROWS($AG$2:AG634),$AG$2:$AG$1001,0),1)&gt;=100000,INDEX($AN$1005:$BO$1005,1,MATCH(COLUMNS($AN$1006:BG1006),$AN$1006:$BO$1006,0))&gt;=100000), " ",IF(INDEX($AN$2:$BO$1001,MATCH(ROWS($AG$2:AG634),$AG$2:$AG$1001,0),MATCH(COLUMNS($AN$1006:BG1006),$AN$1006:$BO$1006,0)), HYPERLINK("#",""), HYPERLINK(CONCATENATE("#Metadata!", ADDRESS(INDEX($AI$2:$AI$1001,MATCH(ROWS($AG$2:AG634),$AG$2:$AG$1001,0),0), INDEX($AN$1004:$BO$1004,1,MATCH(COLUMNS($AN$1006:BG1006),$AN$1006:$BO$1006,0)))),"Fix")))</f>
        <v>0</v>
      </c>
      <c r="V634" s="4">
        <f>IF(OR(INDEX($AH$2:$AH$1001,MATCH(ROWS($AG$2:AG634),$AG$2:$AG$1001,0),1)&gt;=100000,INDEX($AN$1005:$BO$1005,1,MATCH(COLUMNS($AN$1006:BH1006),$AN$1006:$BO$1006,0))&gt;=100000), " ",IF(INDEX($AN$2:$BO$1001,MATCH(ROWS($AG$2:AG634),$AG$2:$AG$1001,0),MATCH(COLUMNS($AN$1006:BH1006),$AN$1006:$BO$1006,0)), HYPERLINK("#",""), HYPERLINK(CONCATENATE("#Metadata!", ADDRESS(INDEX($AI$2:$AI$1001,MATCH(ROWS($AG$2:AG634),$AG$2:$AG$1001,0),0), INDEX($AN$1004:$BO$1004,1,MATCH(COLUMNS($AN$1006:BH1006),$AN$1006:$BO$1006,0)))),"Fix")))</f>
        <v>0</v>
      </c>
      <c r="W634" s="4">
        <f>IF(OR(INDEX($AH$2:$AH$1001,MATCH(ROWS($AG$2:AG634),$AG$2:$AG$1001,0),1)&gt;=100000,INDEX($AN$1005:$BO$1005,1,MATCH(COLUMNS($AN$1006:BI1006),$AN$1006:$BO$1006,0))&gt;=100000), " ",IF(INDEX($AN$2:$BO$1001,MATCH(ROWS($AG$2:AG634),$AG$2:$AG$1001,0),MATCH(COLUMNS($AN$1006:BI1006),$AN$1006:$BO$1006,0)), HYPERLINK("#",""), HYPERLINK(CONCATENATE("#Metadata!", ADDRESS(INDEX($AI$2:$AI$1001,MATCH(ROWS($AG$2:AG634),$AG$2:$AG$1001,0),0), INDEX($AN$1004:$BO$1004,1,MATCH(COLUMNS($AN$1006:BI1006),$AN$1006:$BO$1006,0)))),"Fix")))</f>
        <v>0</v>
      </c>
      <c r="X634" s="4">
        <f>IF(OR(INDEX($AH$2:$AH$1001,MATCH(ROWS($AG$2:AG634),$AG$2:$AG$1001,0),1)&gt;=100000,INDEX($AN$1005:$BO$1005,1,MATCH(COLUMNS($AN$1006:BJ1006),$AN$1006:$BO$1006,0))&gt;=100000), " ",IF(INDEX($AN$2:$BO$1001,MATCH(ROWS($AG$2:AG634),$AG$2:$AG$1001,0),MATCH(COLUMNS($AN$1006:BJ1006),$AN$1006:$BO$1006,0)), HYPERLINK("#",""), HYPERLINK(CONCATENATE("#Metadata!", ADDRESS(INDEX($AI$2:$AI$1001,MATCH(ROWS($AG$2:AG634),$AG$2:$AG$1001,0),0), INDEX($AN$1004:$BO$1004,1,MATCH(COLUMNS($AN$1006:BJ1006),$AN$1006:$BO$1006,0)))),"Fix")))</f>
        <v>0</v>
      </c>
      <c r="Y634" s="4">
        <f>IF(OR(INDEX($AH$2:$AH$1001,MATCH(ROWS($AG$2:AG634),$AG$2:$AG$1001,0),1)&gt;=100000,INDEX($AN$1005:$BO$1005,1,MATCH(COLUMNS($AN$1006:BK1006),$AN$1006:$BO$1006,0))&gt;=100000), " ",IF(INDEX($AN$2:$BO$1001,MATCH(ROWS($AG$2:AG634),$AG$2:$AG$1001,0),MATCH(COLUMNS($AN$1006:BK1006),$AN$1006:$BO$1006,0)), HYPERLINK("#",""), HYPERLINK(CONCATENATE("#Metadata!", ADDRESS(INDEX($AI$2:$AI$1001,MATCH(ROWS($AG$2:AG634),$AG$2:$AG$1001,0),0), INDEX($AN$1004:$BO$1004,1,MATCH(COLUMNS($AN$1006:BK1006),$AN$1006:$BO$1006,0)))),"Fix")))</f>
        <v>0</v>
      </c>
      <c r="Z634" s="4">
        <f>IF(OR(INDEX($AH$2:$AH$1001,MATCH(ROWS($AG$2:AG634),$AG$2:$AG$1001,0),1)&gt;=100000,INDEX($AN$1005:$BO$1005,1,MATCH(COLUMNS($AN$1006:BL1006),$AN$1006:$BO$1006,0))&gt;=100000), " ",IF(INDEX($AN$2:$BO$1001,MATCH(ROWS($AG$2:AG634),$AG$2:$AG$1001,0),MATCH(COLUMNS($AN$1006:BL1006),$AN$1006:$BO$1006,0)), HYPERLINK("#",""), HYPERLINK(CONCATENATE("#Metadata!", ADDRESS(INDEX($AI$2:$AI$1001,MATCH(ROWS($AG$2:AG634),$AG$2:$AG$1001,0),0), INDEX($AN$1004:$BO$1004,1,MATCH(COLUMNS($AN$1006:BL1006),$AN$1006:$BO$1006,0)))),"Fix")))</f>
        <v>0</v>
      </c>
      <c r="AA634" s="4">
        <f>IF(OR(INDEX($AH$2:$AH$1001,MATCH(ROWS($AG$2:AG634),$AG$2:$AG$1001,0),1)&gt;=100000,INDEX($AN$1005:$BO$1005,1,MATCH(COLUMNS($AN$1006:BM1006),$AN$1006:$BO$1006,0))&gt;=100000), " ",IF(INDEX($AN$2:$BO$1001,MATCH(ROWS($AG$2:AG634),$AG$2:$AG$1001,0),MATCH(COLUMNS($AN$1006:BM1006),$AN$1006:$BO$1006,0)), HYPERLINK("#",""), HYPERLINK(CONCATENATE("#Metadata!", ADDRESS(INDEX($AI$2:$AI$1001,MATCH(ROWS($AG$2:AG634),$AG$2:$AG$1001,0),0), INDEX($AN$1004:$BO$1004,1,MATCH(COLUMNS($AN$1006:BM1006),$AN$1006:$BO$1006,0)))),"Fix")))</f>
        <v>0</v>
      </c>
      <c r="AB634" s="4">
        <f>IF(OR(INDEX($AH$2:$AH$1001,MATCH(ROWS($AG$2:AG634),$AG$2:$AG$1001,0),1)&gt;=100000,INDEX($AN$1005:$BO$1005,1,MATCH(COLUMNS($AN$1006:BN1006),$AN$1006:$BO$1006,0))&gt;=100000), " ",IF(INDEX($AN$2:$BO$1001,MATCH(ROWS($AG$2:AG634),$AG$2:$AG$1001,0),MATCH(COLUMNS($AN$1006:BN1006),$AN$1006:$BO$1006,0)), HYPERLINK("#",""), HYPERLINK(CONCATENATE("#Metadata!", ADDRESS(INDEX($AI$2:$AI$1001,MATCH(ROWS($AG$2:AG634),$AG$2:$AG$1001,0),0), INDEX($AN$1004:$BO$1004,1,MATCH(COLUMNS($AN$1006:BN1006),$AN$1006:$BO$1006,0)))),"Fix")))</f>
        <v>0</v>
      </c>
      <c r="AC634" s="4">
        <f>IF(OR(INDEX($AH$2:$AH$1001,MATCH(ROWS($AG$2:AG634),$AG$2:$AG$1001,0),1)&gt;=100000,INDEX($AN$1005:$BO$1005,1,MATCH(COLUMNS($AN$1006:BO1006),$AN$1006:$BO$1006,0))&gt;=100000), " ",IF(INDEX($AN$2:$BO$1001,MATCH(ROWS($AG$2:AG634),$AG$2:$AG$1001,0),MATCH(COLUMNS($AN$1006:BO1006),$AN$1006:$BO$1006,0)), HYPERLINK("#",""), HYPERLINK(CONCATENATE("#Metadata!", ADDRESS(INDEX($AI$2:$AI$1001,MATCH(ROWS($AG$2:AG634),$AG$2:$AG$1001,0),0), INDEX($AN$1004:$BO$1004,1,MATCH(COLUMNS($AN$1006:BO1006),$AN$1006:$BO$1006,0)))),"Fix")))</f>
        <v>0</v>
      </c>
      <c r="AG634">
        <v>0</v>
      </c>
      <c r="AH634">
        <v>0</v>
      </c>
      <c r="AI634">
        <v>0</v>
      </c>
      <c r="AJ634">
        <f>IF(AK634,TRUE,AND(AN634:BO634))</f>
        <v>0</v>
      </c>
      <c r="AK634">
        <f>COUNTBLANK(Metadata!B634:AC634)=COLUMNS(Metadata!B634:AC634)</f>
        <v>0</v>
      </c>
      <c r="AL634">
        <v>0</v>
      </c>
      <c r="AN634">
        <f>AND(IF(Metadata!B634="",FALSE,TRUE),COUNTIF(Metadata!B:B, Metadata!B634) = 1,NOT(ISERROR(SUMPRODUCT(SEARCH(MID(Metadata!B634,ROW(INDIRECT("1:"&amp;LEN(Metadata!B634))), 1),"0123456789abcdefghijklmnopqrstuvwxyzABCDEFGHIJKLMNOPQRSTUVWXYZ.")))))</f>
        <v>0</v>
      </c>
      <c r="AO634">
        <f>IF(Metadata!C634="",FALSE,TRUE)</f>
        <v>0</v>
      </c>
      <c r="AP634">
        <f>IF(Metadata!D634="",FALSE,TRUE)</f>
        <v>0</v>
      </c>
      <c r="AQ634">
        <f>OR(AND(IF(Metadata!E634="",FALSE,TRUE),OR(exact(Metadata!E634,"not collected"),exact(Metadata!E634,"not provided"),exact(Metadata!E634,"restricted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R634">
        <f>IF(Metadata!F634="",FALSE,TRUE)</f>
        <v>0</v>
      </c>
      <c r="AS634">
        <f>OR(AND(IF(Metadata!G634="",FALSE,TRUE),OR(exact(Metadata!G634,"not collected"),exact(Metadata!G634,"not provided"))),AND(IF(Metadata!G634="",FALSE,TRUE),OR(exact(Metadata!G634,"TRUE"),exact(Metadata!G634,"FALSE"))))</f>
        <v>0</v>
      </c>
      <c r="AT634">
        <f>OR(AND(IF(Metadata!H634="",FALSE,TRUE),OR(exact(Metadata!H634,"not collected"),exact(Metadata!H634,"not provided"),exact(Metadata!H634,"restricted access"))),AND(IF(Metadata!H634="",FALSE,ISNUMBER(VALUE(Metadata!H634))),Metadata!H634&gt;=-413.0))</f>
        <v>0</v>
      </c>
      <c r="AU634">
        <f>AND(IF(Metadata!I634="",FALSE,TRUE),exact(Metadata!I634,"meters"))</f>
        <v>0</v>
      </c>
      <c r="AV634">
        <f>AND(IF(Metadata!J634="",FALSE,TRUE),OR(exact(Metadata!J634,"Host-associated"),exact(Metadata!J634,"Free-living")))</f>
        <v>0</v>
      </c>
      <c r="AW634">
        <f>AND(IF(Metadata!K634="",FALSE,TRUE),OR(exact(Metadata!K634,"Animal"),exact(Metadata!K634,"Fungus"),exact(Metadata!K634,"Plant"),exact(Metadata!K634,"Saline"),exact(Metadata!K634,"Non-saline")))</f>
        <v>0</v>
      </c>
      <c r="AX634">
        <f>AND(IF(Metadata!L634="",FALSE,TRUE),OR(exact(Metadata!L634,"Plant secretion"),exact(Metadata!L634,"Plant rhizosphere"),exact(Metadata!L634,"Plant surface"),exact(Metadata!L634,"Plant corpus"),exact(Metadata!L634,"Fungus surface"),exact(Metadata!L634,"Fungus corpus"),exact(Metadata!L634,"Animal surface"),exact(Metadata!L634,"Animal proximal gut"),exact(Metadata!L634,"Animal corpus"),exact(Metadata!L634,"Animal distal gut"),exact(Metadata!L634,"Animal secretion"),exact(Metadata!L634,"Sub-surface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Y634">
        <f>IF(Metadata!M634="",FALSE,TRUE)</f>
        <v>0</v>
      </c>
      <c r="AZ634">
        <f>IF(Metadata!N634="",FALSE,TRUE)</f>
        <v>0</v>
      </c>
      <c r="BA634">
        <f>IF(Metadata!O634="",FALSE,TRUE)</f>
        <v>0</v>
      </c>
      <c r="BB634">
        <f>OR(AND(IF(Metadata!P634="",FALSE,TRUE),OR(exact(Metadata!P634,"not collected"),exact(Metadata!P634,"not provided"),exact(Metadata!P634,"restricted access"))),AND(IF(Metadata!P634="",FALSE,TRUE),OR(exact(Metadata!P634,"air"),exact(Metadata!P634,"built environment"),exact(Metadata!P634,"host-associated"),exact(Metadata!P634,"human-associated"),exact(Metadata!P634,"human-skin"),exact(Metadata!P634,"human-oral"),exact(Metadata!P634,"human-gut"),exact(Metadata!P634,"human-vaginal"),exact(Metadata!P634,"microbial mat/biofilm"),exact(Metadata!P634,"misc environment"),exact(Metadata!P634,"plant-associated"),exact(Metadata!P634,"sediment"),exact(Metadata!P634,"soil"),exact(Metadata!P634,"wastewater/sludge"),exact(Metadata!P634,"water"))))</f>
        <v>0</v>
      </c>
      <c r="BC634">
        <f>IF(Metadata!Q634="",FALSE,TRUE)</f>
        <v>0</v>
      </c>
      <c r="BD634">
        <f>IF(Metadata!R634="",FALSE,TRUE)</f>
        <v>0</v>
      </c>
      <c r="BE634">
        <f>OR(AND(IF(Metadata!S634="",FALSE,TRUE),OR(exact(Metadata!S634,"not collected"),exact(Metadata!S634,"not provided"),exact(Metadata!S634,"restricted access"))),AND(IF(Metadata!S634="",FALSE,ISNUMBER(VALUE(Metadata!S634))),Metadata!S634&gt;=-90.00,Metadata!S634&lt;=90.00))</f>
        <v>0</v>
      </c>
      <c r="BF634">
        <f>AND(IF(Metadata!T634="",FALSE,TRUE),exact(Metadata!T634,"Decimal degrees"))</f>
        <v>0</v>
      </c>
      <c r="BG634">
        <f>OR(AND(IF(Metadata!U634="",FALSE,TRUE),OR(exact(Metadata!U634,"not collected"),exact(Metadata!U634,"not provided"),exact(Metadata!U634,"restricted access"))),AND(IF(Metadata!U634="",FALSE,ISNUMBER(VALUE(Metadata!U634))),Metadata!U634&gt;=-180.00,Metadata!U634&lt;=180.00))</f>
        <v>0</v>
      </c>
      <c r="BH634">
        <f>AND(IF(Metadata!V634="",FALSE,TRUE),exact(Metadata!V634,"Decimal degrees"))</f>
        <v>0</v>
      </c>
      <c r="BI634">
        <f>IF(Metadata!W634="",FALSE,TRUE)</f>
        <v>0</v>
      </c>
      <c r="BJ634">
        <f>OR(AND(IF(Metadata!X634="",FALSE,TRUE),OR(exact(Metadata!X634,"not collected"),exact(Metadata!X634,"not provided"),exact(Metadata!X634,"restricted access"))),AND(IF(Metadata!X634="",FALSE,TRUE),OR(exact(Metadata!X634,"TRUE"),exact(Metadata!X634,"FALSE"))))</f>
        <v>0</v>
      </c>
      <c r="BK634">
        <f>AND(IF(Metadata!Y634="",FALSE,TRUE),exact(Metadata!Y634,"other"))</f>
        <v>0</v>
      </c>
      <c r="BL634">
        <f>IF(Metadata!Z634="",FALSE,TRUE)</f>
        <v>0</v>
      </c>
      <c r="BM634">
        <f>OR(AND(IF(Metadata!AA634="",FALSE,TRUE),OR(exact(Metadata!AA634,"not collected"),exact(Metadata!AA634,"not provided"))),AND(IF(Metadata!AA634="",FALSE,IF(ISERROR(INT(Metadata!AA634)),FALSE,INT(Metadata!AA634)=Metadata!AA634)),Metadata!AA634&gt;0))</f>
        <v>0</v>
      </c>
      <c r="BN634">
        <f>AND(IF(Metadata!AB634="",FALSE,TRUE),exact(Metadata!AB634,"Not applicable"))</f>
        <v>0</v>
      </c>
      <c r="BO634">
        <f>IF(Metadata!AC634="",FALSE,TRUE)</f>
        <v>0</v>
      </c>
    </row>
    <row r="635" spans="1:67">
      <c r="A635" s="5">
        <f>IF(B635=" "," ",HYPERLINK(CONCATENATE("#metadata!",ADDRESS(INDEX($AI$2:$AI$1001,MATCH(ROWS($AG$2:AG635),$AG$2:$AG$1001,0),0),1)),INDEX($AL$2:$AL$1001,MATCH(ROWS($AG$2:AG635),$AG$2:$AG$1001,0),0)))</f>
        <v>0</v>
      </c>
      <c r="B635" s="4">
        <f>IF(OR(INDEX($AH$2:$AH$1001,MATCH(ROWS($AG$2:AG635),$AG$2:$AG$1001,0),1)&gt;=100000,INDEX($AN$1005:$BO$1005,1,MATCH(COLUMNS($AN$1006:AN1006),$AN$1006:$BO$1006,0))&gt;=100000), " ",IF(INDEX($AN$2:$BO$1001,MATCH(ROWS($AG$2:AG635),$AG$2:$AG$1001,0),MATCH(COLUMNS($AN$1006:AN1006),$AN$1006:$BO$1006,0)), HYPERLINK("#",""), HYPERLINK(CONCATENATE("#Metadata!", ADDRESS(INDEX($AI$2:$AI$1001,MATCH(ROWS($AG$2:AG635),$AG$2:$AG$1001,0),0), INDEX($AN$1004:$BO$1004,1,MATCH(COLUMNS($AN$1006:AN1006),$AN$1006:$BO$1006,0)))),"Fix")))</f>
        <v>0</v>
      </c>
      <c r="C635" s="4">
        <f>IF(OR(INDEX($AH$2:$AH$1001,MATCH(ROWS($AG$2:AG635),$AG$2:$AG$1001,0),1)&gt;=100000,INDEX($AN$1005:$BO$1005,1,MATCH(COLUMNS($AN$1006:AO1006),$AN$1006:$BO$1006,0))&gt;=100000), " ",IF(INDEX($AN$2:$BO$1001,MATCH(ROWS($AG$2:AG635),$AG$2:$AG$1001,0),MATCH(COLUMNS($AN$1006:AO1006),$AN$1006:$BO$1006,0)), HYPERLINK("#",""), HYPERLINK(CONCATENATE("#Metadata!", ADDRESS(INDEX($AI$2:$AI$1001,MATCH(ROWS($AG$2:AG635),$AG$2:$AG$1001,0),0), INDEX($AN$1004:$BO$1004,1,MATCH(COLUMNS($AN$1006:AO1006),$AN$1006:$BO$1006,0)))),"Fix")))</f>
        <v>0</v>
      </c>
      <c r="D635" s="4">
        <f>IF(OR(INDEX($AH$2:$AH$1001,MATCH(ROWS($AG$2:AG635),$AG$2:$AG$1001,0),1)&gt;=100000,INDEX($AN$1005:$BO$1005,1,MATCH(COLUMNS($AN$1006:AP1006),$AN$1006:$BO$1006,0))&gt;=100000), " ",IF(INDEX($AN$2:$BO$1001,MATCH(ROWS($AG$2:AG635),$AG$2:$AG$1001,0),MATCH(COLUMNS($AN$1006:AP1006),$AN$1006:$BO$1006,0)), HYPERLINK("#",""), HYPERLINK(CONCATENATE("#Metadata!", ADDRESS(INDEX($AI$2:$AI$1001,MATCH(ROWS($AG$2:AG635),$AG$2:$AG$1001,0),0), INDEX($AN$1004:$BO$1004,1,MATCH(COLUMNS($AN$1006:AP1006),$AN$1006:$BO$1006,0)))),"Fix")))</f>
        <v>0</v>
      </c>
      <c r="E635" s="4">
        <f>IF(OR(INDEX($AH$2:$AH$1001,MATCH(ROWS($AG$2:AG635),$AG$2:$AG$1001,0),1)&gt;=100000,INDEX($AN$1005:$BO$1005,1,MATCH(COLUMNS($AN$1006:AQ1006),$AN$1006:$BO$1006,0))&gt;=100000), " ",IF(INDEX($AN$2:$BO$1001,MATCH(ROWS($AG$2:AG635),$AG$2:$AG$1001,0),MATCH(COLUMNS($AN$1006:AQ1006),$AN$1006:$BO$1006,0)), HYPERLINK("#",""), HYPERLINK(CONCATENATE("#Metadata!", ADDRESS(INDEX($AI$2:$AI$1001,MATCH(ROWS($AG$2:AG635),$AG$2:$AG$1001,0),0), INDEX($AN$1004:$BO$1004,1,MATCH(COLUMNS($AN$1006:AQ1006),$AN$1006:$BO$1006,0)))),"Fix")))</f>
        <v>0</v>
      </c>
      <c r="F635" s="4">
        <f>IF(OR(INDEX($AH$2:$AH$1001,MATCH(ROWS($AG$2:AG635),$AG$2:$AG$1001,0),1)&gt;=100000,INDEX($AN$1005:$BO$1005,1,MATCH(COLUMNS($AN$1006:AR1006),$AN$1006:$BO$1006,0))&gt;=100000), " ",IF(INDEX($AN$2:$BO$1001,MATCH(ROWS($AG$2:AG635),$AG$2:$AG$1001,0),MATCH(COLUMNS($AN$1006:AR1006),$AN$1006:$BO$1006,0)), HYPERLINK("#",""), HYPERLINK(CONCATENATE("#Metadata!", ADDRESS(INDEX($AI$2:$AI$1001,MATCH(ROWS($AG$2:AG635),$AG$2:$AG$1001,0),0), INDEX($AN$1004:$BO$1004,1,MATCH(COLUMNS($AN$1006:AR1006),$AN$1006:$BO$1006,0)))),"Fix")))</f>
        <v>0</v>
      </c>
      <c r="G635" s="4">
        <f>IF(OR(INDEX($AH$2:$AH$1001,MATCH(ROWS($AG$2:AG635),$AG$2:$AG$1001,0),1)&gt;=100000,INDEX($AN$1005:$BO$1005,1,MATCH(COLUMNS($AN$1006:AS1006),$AN$1006:$BO$1006,0))&gt;=100000), " ",IF(INDEX($AN$2:$BO$1001,MATCH(ROWS($AG$2:AG635),$AG$2:$AG$1001,0),MATCH(COLUMNS($AN$1006:AS1006),$AN$1006:$BO$1006,0)), HYPERLINK("#",""), HYPERLINK(CONCATENATE("#Metadata!", ADDRESS(INDEX($AI$2:$AI$1001,MATCH(ROWS($AG$2:AG635),$AG$2:$AG$1001,0),0), INDEX($AN$1004:$BO$1004,1,MATCH(COLUMNS($AN$1006:AS1006),$AN$1006:$BO$1006,0)))),"Fix")))</f>
        <v>0</v>
      </c>
      <c r="H635" s="4">
        <f>IF(OR(INDEX($AH$2:$AH$1001,MATCH(ROWS($AG$2:AG635),$AG$2:$AG$1001,0),1)&gt;=100000,INDEX($AN$1005:$BO$1005,1,MATCH(COLUMNS($AN$1006:AT1006),$AN$1006:$BO$1006,0))&gt;=100000), " ",IF(INDEX($AN$2:$BO$1001,MATCH(ROWS($AG$2:AG635),$AG$2:$AG$1001,0),MATCH(COLUMNS($AN$1006:AT1006),$AN$1006:$BO$1006,0)), HYPERLINK("#",""), HYPERLINK(CONCATENATE("#Metadata!", ADDRESS(INDEX($AI$2:$AI$1001,MATCH(ROWS($AG$2:AG635),$AG$2:$AG$1001,0),0), INDEX($AN$1004:$BO$1004,1,MATCH(COLUMNS($AN$1006:AT1006),$AN$1006:$BO$1006,0)))),"Fix")))</f>
        <v>0</v>
      </c>
      <c r="I635" s="4">
        <f>IF(OR(INDEX($AH$2:$AH$1001,MATCH(ROWS($AG$2:AG635),$AG$2:$AG$1001,0),1)&gt;=100000,INDEX($AN$1005:$BO$1005,1,MATCH(COLUMNS($AN$1006:AU1006),$AN$1006:$BO$1006,0))&gt;=100000), " ",IF(INDEX($AN$2:$BO$1001,MATCH(ROWS($AG$2:AG635),$AG$2:$AG$1001,0),MATCH(COLUMNS($AN$1006:AU1006),$AN$1006:$BO$1006,0)), HYPERLINK("#",""), HYPERLINK(CONCATENATE("#Metadata!", ADDRESS(INDEX($AI$2:$AI$1001,MATCH(ROWS($AG$2:AG635),$AG$2:$AG$1001,0),0), INDEX($AN$1004:$BO$1004,1,MATCH(COLUMNS($AN$1006:AU1006),$AN$1006:$BO$1006,0)))),"Fix")))</f>
        <v>0</v>
      </c>
      <c r="J635" s="4">
        <f>IF(OR(INDEX($AH$2:$AH$1001,MATCH(ROWS($AG$2:AG635),$AG$2:$AG$1001,0),1)&gt;=100000,INDEX($AN$1005:$BO$1005,1,MATCH(COLUMNS($AN$1006:AV1006),$AN$1006:$BO$1006,0))&gt;=100000), " ",IF(INDEX($AN$2:$BO$1001,MATCH(ROWS($AG$2:AG635),$AG$2:$AG$1001,0),MATCH(COLUMNS($AN$1006:AV1006),$AN$1006:$BO$1006,0)), HYPERLINK("#",""), HYPERLINK(CONCATENATE("#Metadata!", ADDRESS(INDEX($AI$2:$AI$1001,MATCH(ROWS($AG$2:AG635),$AG$2:$AG$1001,0),0), INDEX($AN$1004:$BO$1004,1,MATCH(COLUMNS($AN$1006:AV1006),$AN$1006:$BO$1006,0)))),"Fix")))</f>
        <v>0</v>
      </c>
      <c r="K635" s="4">
        <f>IF(OR(INDEX($AH$2:$AH$1001,MATCH(ROWS($AG$2:AG635),$AG$2:$AG$1001,0),1)&gt;=100000,INDEX($AN$1005:$BO$1005,1,MATCH(COLUMNS($AN$1006:AW1006),$AN$1006:$BO$1006,0))&gt;=100000), " ",IF(INDEX($AN$2:$BO$1001,MATCH(ROWS($AG$2:AG635),$AG$2:$AG$1001,0),MATCH(COLUMNS($AN$1006:AW1006),$AN$1006:$BO$1006,0)), HYPERLINK("#",""), HYPERLINK(CONCATENATE("#Metadata!", ADDRESS(INDEX($AI$2:$AI$1001,MATCH(ROWS($AG$2:AG635),$AG$2:$AG$1001,0),0), INDEX($AN$1004:$BO$1004,1,MATCH(COLUMNS($AN$1006:AW1006),$AN$1006:$BO$1006,0)))),"Fix")))</f>
        <v>0</v>
      </c>
      <c r="L635" s="4">
        <f>IF(OR(INDEX($AH$2:$AH$1001,MATCH(ROWS($AG$2:AG635),$AG$2:$AG$1001,0),1)&gt;=100000,INDEX($AN$1005:$BO$1005,1,MATCH(COLUMNS($AN$1006:AX1006),$AN$1006:$BO$1006,0))&gt;=100000), " ",IF(INDEX($AN$2:$BO$1001,MATCH(ROWS($AG$2:AG635),$AG$2:$AG$1001,0),MATCH(COLUMNS($AN$1006:AX1006),$AN$1006:$BO$1006,0)), HYPERLINK("#",""), HYPERLINK(CONCATENATE("#Metadata!", ADDRESS(INDEX($AI$2:$AI$1001,MATCH(ROWS($AG$2:AG635),$AG$2:$AG$1001,0),0), INDEX($AN$1004:$BO$1004,1,MATCH(COLUMNS($AN$1006:AX1006),$AN$1006:$BO$1006,0)))),"Fix")))</f>
        <v>0</v>
      </c>
      <c r="M635" s="4">
        <f>IF(OR(INDEX($AH$2:$AH$1001,MATCH(ROWS($AG$2:AG635),$AG$2:$AG$1001,0),1)&gt;=100000,INDEX($AN$1005:$BO$1005,1,MATCH(COLUMNS($AN$1006:AY1006),$AN$1006:$BO$1006,0))&gt;=100000), " ",IF(INDEX($AN$2:$BO$1001,MATCH(ROWS($AG$2:AG635),$AG$2:$AG$1001,0),MATCH(COLUMNS($AN$1006:AY1006),$AN$1006:$BO$1006,0)), HYPERLINK("#",""), HYPERLINK(CONCATENATE("#Metadata!", ADDRESS(INDEX($AI$2:$AI$1001,MATCH(ROWS($AG$2:AG635),$AG$2:$AG$1001,0),0), INDEX($AN$1004:$BO$1004,1,MATCH(COLUMNS($AN$1006:AY1006),$AN$1006:$BO$1006,0)))),"Fix")))</f>
        <v>0</v>
      </c>
      <c r="N635" s="4">
        <f>IF(OR(INDEX($AH$2:$AH$1001,MATCH(ROWS($AG$2:AG635),$AG$2:$AG$1001,0),1)&gt;=100000,INDEX($AN$1005:$BO$1005,1,MATCH(COLUMNS($AN$1006:AZ1006),$AN$1006:$BO$1006,0))&gt;=100000), " ",IF(INDEX($AN$2:$BO$1001,MATCH(ROWS($AG$2:AG635),$AG$2:$AG$1001,0),MATCH(COLUMNS($AN$1006:AZ1006),$AN$1006:$BO$1006,0)), HYPERLINK("#",""), HYPERLINK(CONCATENATE("#Metadata!", ADDRESS(INDEX($AI$2:$AI$1001,MATCH(ROWS($AG$2:AG635),$AG$2:$AG$1001,0),0), INDEX($AN$1004:$BO$1004,1,MATCH(COLUMNS($AN$1006:AZ1006),$AN$1006:$BO$1006,0)))),"Fix")))</f>
        <v>0</v>
      </c>
      <c r="O635" s="4">
        <f>IF(OR(INDEX($AH$2:$AH$1001,MATCH(ROWS($AG$2:AG635),$AG$2:$AG$1001,0),1)&gt;=100000,INDEX($AN$1005:$BO$1005,1,MATCH(COLUMNS($AN$1006:BA1006),$AN$1006:$BO$1006,0))&gt;=100000), " ",IF(INDEX($AN$2:$BO$1001,MATCH(ROWS($AG$2:AG635),$AG$2:$AG$1001,0),MATCH(COLUMNS($AN$1006:BA1006),$AN$1006:$BO$1006,0)), HYPERLINK("#",""), HYPERLINK(CONCATENATE("#Metadata!", ADDRESS(INDEX($AI$2:$AI$1001,MATCH(ROWS($AG$2:AG635),$AG$2:$AG$1001,0),0), INDEX($AN$1004:$BO$1004,1,MATCH(COLUMNS($AN$1006:BA1006),$AN$1006:$BO$1006,0)))),"Fix")))</f>
        <v>0</v>
      </c>
      <c r="P635" s="4">
        <f>IF(OR(INDEX($AH$2:$AH$1001,MATCH(ROWS($AG$2:AG635),$AG$2:$AG$1001,0),1)&gt;=100000,INDEX($AN$1005:$BO$1005,1,MATCH(COLUMNS($AN$1006:BB1006),$AN$1006:$BO$1006,0))&gt;=100000), " ",IF(INDEX($AN$2:$BO$1001,MATCH(ROWS($AG$2:AG635),$AG$2:$AG$1001,0),MATCH(COLUMNS($AN$1006:BB1006),$AN$1006:$BO$1006,0)), HYPERLINK("#",""), HYPERLINK(CONCATENATE("#Metadata!", ADDRESS(INDEX($AI$2:$AI$1001,MATCH(ROWS($AG$2:AG635),$AG$2:$AG$1001,0),0), INDEX($AN$1004:$BO$1004,1,MATCH(COLUMNS($AN$1006:BB1006),$AN$1006:$BO$1006,0)))),"Fix")))</f>
        <v>0</v>
      </c>
      <c r="Q635" s="4">
        <f>IF(OR(INDEX($AH$2:$AH$1001,MATCH(ROWS($AG$2:AG635),$AG$2:$AG$1001,0),1)&gt;=100000,INDEX($AN$1005:$BO$1005,1,MATCH(COLUMNS($AN$1006:BC1006),$AN$1006:$BO$1006,0))&gt;=100000), " ",IF(INDEX($AN$2:$BO$1001,MATCH(ROWS($AG$2:AG635),$AG$2:$AG$1001,0),MATCH(COLUMNS($AN$1006:BC1006),$AN$1006:$BO$1006,0)), HYPERLINK("#",""), HYPERLINK(CONCATENATE("#Metadata!", ADDRESS(INDEX($AI$2:$AI$1001,MATCH(ROWS($AG$2:AG635),$AG$2:$AG$1001,0),0), INDEX($AN$1004:$BO$1004,1,MATCH(COLUMNS($AN$1006:BC1006),$AN$1006:$BO$1006,0)))),"Fix")))</f>
        <v>0</v>
      </c>
      <c r="R635" s="4">
        <f>IF(OR(INDEX($AH$2:$AH$1001,MATCH(ROWS($AG$2:AG635),$AG$2:$AG$1001,0),1)&gt;=100000,INDEX($AN$1005:$BO$1005,1,MATCH(COLUMNS($AN$1006:BD1006),$AN$1006:$BO$1006,0))&gt;=100000), " ",IF(INDEX($AN$2:$BO$1001,MATCH(ROWS($AG$2:AG635),$AG$2:$AG$1001,0),MATCH(COLUMNS($AN$1006:BD1006),$AN$1006:$BO$1006,0)), HYPERLINK("#",""), HYPERLINK(CONCATENATE("#Metadata!", ADDRESS(INDEX($AI$2:$AI$1001,MATCH(ROWS($AG$2:AG635),$AG$2:$AG$1001,0),0), INDEX($AN$1004:$BO$1004,1,MATCH(COLUMNS($AN$1006:BD1006),$AN$1006:$BO$1006,0)))),"Fix")))</f>
        <v>0</v>
      </c>
      <c r="S635" s="4">
        <f>IF(OR(INDEX($AH$2:$AH$1001,MATCH(ROWS($AG$2:AG635),$AG$2:$AG$1001,0),1)&gt;=100000,INDEX($AN$1005:$BO$1005,1,MATCH(COLUMNS($AN$1006:BE1006),$AN$1006:$BO$1006,0))&gt;=100000), " ",IF(INDEX($AN$2:$BO$1001,MATCH(ROWS($AG$2:AG635),$AG$2:$AG$1001,0),MATCH(COLUMNS($AN$1006:BE1006),$AN$1006:$BO$1006,0)), HYPERLINK("#",""), HYPERLINK(CONCATENATE("#Metadata!", ADDRESS(INDEX($AI$2:$AI$1001,MATCH(ROWS($AG$2:AG635),$AG$2:$AG$1001,0),0), INDEX($AN$1004:$BO$1004,1,MATCH(COLUMNS($AN$1006:BE1006),$AN$1006:$BO$1006,0)))),"Fix")))</f>
        <v>0</v>
      </c>
      <c r="T635" s="4">
        <f>IF(OR(INDEX($AH$2:$AH$1001,MATCH(ROWS($AG$2:AG635),$AG$2:$AG$1001,0),1)&gt;=100000,INDEX($AN$1005:$BO$1005,1,MATCH(COLUMNS($AN$1006:BF1006),$AN$1006:$BO$1006,0))&gt;=100000), " ",IF(INDEX($AN$2:$BO$1001,MATCH(ROWS($AG$2:AG635),$AG$2:$AG$1001,0),MATCH(COLUMNS($AN$1006:BF1006),$AN$1006:$BO$1006,0)), HYPERLINK("#",""), HYPERLINK(CONCATENATE("#Metadata!", ADDRESS(INDEX($AI$2:$AI$1001,MATCH(ROWS($AG$2:AG635),$AG$2:$AG$1001,0),0), INDEX($AN$1004:$BO$1004,1,MATCH(COLUMNS($AN$1006:BF1006),$AN$1006:$BO$1006,0)))),"Fix")))</f>
        <v>0</v>
      </c>
      <c r="U635" s="4">
        <f>IF(OR(INDEX($AH$2:$AH$1001,MATCH(ROWS($AG$2:AG635),$AG$2:$AG$1001,0),1)&gt;=100000,INDEX($AN$1005:$BO$1005,1,MATCH(COLUMNS($AN$1006:BG1006),$AN$1006:$BO$1006,0))&gt;=100000), " ",IF(INDEX($AN$2:$BO$1001,MATCH(ROWS($AG$2:AG635),$AG$2:$AG$1001,0),MATCH(COLUMNS($AN$1006:BG1006),$AN$1006:$BO$1006,0)), HYPERLINK("#",""), HYPERLINK(CONCATENATE("#Metadata!", ADDRESS(INDEX($AI$2:$AI$1001,MATCH(ROWS($AG$2:AG635),$AG$2:$AG$1001,0),0), INDEX($AN$1004:$BO$1004,1,MATCH(COLUMNS($AN$1006:BG1006),$AN$1006:$BO$1006,0)))),"Fix")))</f>
        <v>0</v>
      </c>
      <c r="V635" s="4">
        <f>IF(OR(INDEX($AH$2:$AH$1001,MATCH(ROWS($AG$2:AG635),$AG$2:$AG$1001,0),1)&gt;=100000,INDEX($AN$1005:$BO$1005,1,MATCH(COLUMNS($AN$1006:BH1006),$AN$1006:$BO$1006,0))&gt;=100000), " ",IF(INDEX($AN$2:$BO$1001,MATCH(ROWS($AG$2:AG635),$AG$2:$AG$1001,0),MATCH(COLUMNS($AN$1006:BH1006),$AN$1006:$BO$1006,0)), HYPERLINK("#",""), HYPERLINK(CONCATENATE("#Metadata!", ADDRESS(INDEX($AI$2:$AI$1001,MATCH(ROWS($AG$2:AG635),$AG$2:$AG$1001,0),0), INDEX($AN$1004:$BO$1004,1,MATCH(COLUMNS($AN$1006:BH1006),$AN$1006:$BO$1006,0)))),"Fix")))</f>
        <v>0</v>
      </c>
      <c r="W635" s="4">
        <f>IF(OR(INDEX($AH$2:$AH$1001,MATCH(ROWS($AG$2:AG635),$AG$2:$AG$1001,0),1)&gt;=100000,INDEX($AN$1005:$BO$1005,1,MATCH(COLUMNS($AN$1006:BI1006),$AN$1006:$BO$1006,0))&gt;=100000), " ",IF(INDEX($AN$2:$BO$1001,MATCH(ROWS($AG$2:AG635),$AG$2:$AG$1001,0),MATCH(COLUMNS($AN$1006:BI1006),$AN$1006:$BO$1006,0)), HYPERLINK("#",""), HYPERLINK(CONCATENATE("#Metadata!", ADDRESS(INDEX($AI$2:$AI$1001,MATCH(ROWS($AG$2:AG635),$AG$2:$AG$1001,0),0), INDEX($AN$1004:$BO$1004,1,MATCH(COLUMNS($AN$1006:BI1006),$AN$1006:$BO$1006,0)))),"Fix")))</f>
        <v>0</v>
      </c>
      <c r="X635" s="4">
        <f>IF(OR(INDEX($AH$2:$AH$1001,MATCH(ROWS($AG$2:AG635),$AG$2:$AG$1001,0),1)&gt;=100000,INDEX($AN$1005:$BO$1005,1,MATCH(COLUMNS($AN$1006:BJ1006),$AN$1006:$BO$1006,0))&gt;=100000), " ",IF(INDEX($AN$2:$BO$1001,MATCH(ROWS($AG$2:AG635),$AG$2:$AG$1001,0),MATCH(COLUMNS($AN$1006:BJ1006),$AN$1006:$BO$1006,0)), HYPERLINK("#",""), HYPERLINK(CONCATENATE("#Metadata!", ADDRESS(INDEX($AI$2:$AI$1001,MATCH(ROWS($AG$2:AG635),$AG$2:$AG$1001,0),0), INDEX($AN$1004:$BO$1004,1,MATCH(COLUMNS($AN$1006:BJ1006),$AN$1006:$BO$1006,0)))),"Fix")))</f>
        <v>0</v>
      </c>
      <c r="Y635" s="4">
        <f>IF(OR(INDEX($AH$2:$AH$1001,MATCH(ROWS($AG$2:AG635),$AG$2:$AG$1001,0),1)&gt;=100000,INDEX($AN$1005:$BO$1005,1,MATCH(COLUMNS($AN$1006:BK1006),$AN$1006:$BO$1006,0))&gt;=100000), " ",IF(INDEX($AN$2:$BO$1001,MATCH(ROWS($AG$2:AG635),$AG$2:$AG$1001,0),MATCH(COLUMNS($AN$1006:BK1006),$AN$1006:$BO$1006,0)), HYPERLINK("#",""), HYPERLINK(CONCATENATE("#Metadata!", ADDRESS(INDEX($AI$2:$AI$1001,MATCH(ROWS($AG$2:AG635),$AG$2:$AG$1001,0),0), INDEX($AN$1004:$BO$1004,1,MATCH(COLUMNS($AN$1006:BK1006),$AN$1006:$BO$1006,0)))),"Fix")))</f>
        <v>0</v>
      </c>
      <c r="Z635" s="4">
        <f>IF(OR(INDEX($AH$2:$AH$1001,MATCH(ROWS($AG$2:AG635),$AG$2:$AG$1001,0),1)&gt;=100000,INDEX($AN$1005:$BO$1005,1,MATCH(COLUMNS($AN$1006:BL1006),$AN$1006:$BO$1006,0))&gt;=100000), " ",IF(INDEX($AN$2:$BO$1001,MATCH(ROWS($AG$2:AG635),$AG$2:$AG$1001,0),MATCH(COLUMNS($AN$1006:BL1006),$AN$1006:$BO$1006,0)), HYPERLINK("#",""), HYPERLINK(CONCATENATE("#Metadata!", ADDRESS(INDEX($AI$2:$AI$1001,MATCH(ROWS($AG$2:AG635),$AG$2:$AG$1001,0),0), INDEX($AN$1004:$BO$1004,1,MATCH(COLUMNS($AN$1006:BL1006),$AN$1006:$BO$1006,0)))),"Fix")))</f>
        <v>0</v>
      </c>
      <c r="AA635" s="4">
        <f>IF(OR(INDEX($AH$2:$AH$1001,MATCH(ROWS($AG$2:AG635),$AG$2:$AG$1001,0),1)&gt;=100000,INDEX($AN$1005:$BO$1005,1,MATCH(COLUMNS($AN$1006:BM1006),$AN$1006:$BO$1006,0))&gt;=100000), " ",IF(INDEX($AN$2:$BO$1001,MATCH(ROWS($AG$2:AG635),$AG$2:$AG$1001,0),MATCH(COLUMNS($AN$1006:BM1006),$AN$1006:$BO$1006,0)), HYPERLINK("#",""), HYPERLINK(CONCATENATE("#Metadata!", ADDRESS(INDEX($AI$2:$AI$1001,MATCH(ROWS($AG$2:AG635),$AG$2:$AG$1001,0),0), INDEX($AN$1004:$BO$1004,1,MATCH(COLUMNS($AN$1006:BM1006),$AN$1006:$BO$1006,0)))),"Fix")))</f>
        <v>0</v>
      </c>
      <c r="AB635" s="4">
        <f>IF(OR(INDEX($AH$2:$AH$1001,MATCH(ROWS($AG$2:AG635),$AG$2:$AG$1001,0),1)&gt;=100000,INDEX($AN$1005:$BO$1005,1,MATCH(COLUMNS($AN$1006:BN1006),$AN$1006:$BO$1006,0))&gt;=100000), " ",IF(INDEX($AN$2:$BO$1001,MATCH(ROWS($AG$2:AG635),$AG$2:$AG$1001,0),MATCH(COLUMNS($AN$1006:BN1006),$AN$1006:$BO$1006,0)), HYPERLINK("#",""), HYPERLINK(CONCATENATE("#Metadata!", ADDRESS(INDEX($AI$2:$AI$1001,MATCH(ROWS($AG$2:AG635),$AG$2:$AG$1001,0),0), INDEX($AN$1004:$BO$1004,1,MATCH(COLUMNS($AN$1006:BN1006),$AN$1006:$BO$1006,0)))),"Fix")))</f>
        <v>0</v>
      </c>
      <c r="AC635" s="4">
        <f>IF(OR(INDEX($AH$2:$AH$1001,MATCH(ROWS($AG$2:AG635),$AG$2:$AG$1001,0),1)&gt;=100000,INDEX($AN$1005:$BO$1005,1,MATCH(COLUMNS($AN$1006:BO1006),$AN$1006:$BO$1006,0))&gt;=100000), " ",IF(INDEX($AN$2:$BO$1001,MATCH(ROWS($AG$2:AG635),$AG$2:$AG$1001,0),MATCH(COLUMNS($AN$1006:BO1006),$AN$1006:$BO$1006,0)), HYPERLINK("#",""), HYPERLINK(CONCATENATE("#Metadata!", ADDRESS(INDEX($AI$2:$AI$1001,MATCH(ROWS($AG$2:AG635),$AG$2:$AG$1001,0),0), INDEX($AN$1004:$BO$1004,1,MATCH(COLUMNS($AN$1006:BO1006),$AN$1006:$BO$1006,0)))),"Fix")))</f>
        <v>0</v>
      </c>
      <c r="AG635">
        <v>0</v>
      </c>
      <c r="AH635">
        <v>0</v>
      </c>
      <c r="AI635">
        <v>0</v>
      </c>
      <c r="AJ635">
        <f>IF(AK635,TRUE,AND(AN635:BO635))</f>
        <v>0</v>
      </c>
      <c r="AK635">
        <f>COUNTBLANK(Metadata!B635:AC635)=COLUMNS(Metadata!B635:AC635)</f>
        <v>0</v>
      </c>
      <c r="AL635">
        <v>0</v>
      </c>
      <c r="AN635">
        <f>AND(IF(Metadata!B635="",FALSE,TRUE),COUNTIF(Metadata!B:B, Metadata!B635) = 1,NOT(ISERROR(SUMPRODUCT(SEARCH(MID(Metadata!B635,ROW(INDIRECT("1:"&amp;LEN(Metadata!B635))), 1),"0123456789abcdefghijklmnopqrstuvwxyzABCDEFGHIJKLMNOPQRSTUVWXYZ.")))))</f>
        <v>0</v>
      </c>
      <c r="AO635">
        <f>IF(Metadata!C635="",FALSE,TRUE)</f>
        <v>0</v>
      </c>
      <c r="AP635">
        <f>IF(Metadata!D635="",FALSE,TRUE)</f>
        <v>0</v>
      </c>
      <c r="AQ635">
        <f>OR(AND(IF(Metadata!E635="",FALSE,TRUE),OR(exact(Metadata!E635,"not collected"),exact(Metadata!E635,"not provided"),exact(Metadata!E635,"restricted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R635">
        <f>IF(Metadata!F635="",FALSE,TRUE)</f>
        <v>0</v>
      </c>
      <c r="AS635">
        <f>OR(AND(IF(Metadata!G635="",FALSE,TRUE),OR(exact(Metadata!G635,"not collected"),exact(Metadata!G635,"not provided"))),AND(IF(Metadata!G635="",FALSE,TRUE),OR(exact(Metadata!G635,"TRUE"),exact(Metadata!G635,"FALSE"))))</f>
        <v>0</v>
      </c>
      <c r="AT635">
        <f>OR(AND(IF(Metadata!H635="",FALSE,TRUE),OR(exact(Metadata!H635,"not collected"),exact(Metadata!H635,"not provided"),exact(Metadata!H635,"restricted access"))),AND(IF(Metadata!H635="",FALSE,ISNUMBER(VALUE(Metadata!H635))),Metadata!H635&gt;=-413.0))</f>
        <v>0</v>
      </c>
      <c r="AU635">
        <f>AND(IF(Metadata!I635="",FALSE,TRUE),exact(Metadata!I635,"meters"))</f>
        <v>0</v>
      </c>
      <c r="AV635">
        <f>AND(IF(Metadata!J635="",FALSE,TRUE),OR(exact(Metadata!J635,"Host-associated"),exact(Metadata!J635,"Free-living")))</f>
        <v>0</v>
      </c>
      <c r="AW635">
        <f>AND(IF(Metadata!K635="",FALSE,TRUE),OR(exact(Metadata!K635,"Animal"),exact(Metadata!K635,"Fungus"),exact(Metadata!K635,"Plant"),exact(Metadata!K635,"Saline"),exact(Metadata!K635,"Non-saline")))</f>
        <v>0</v>
      </c>
      <c r="AX635">
        <f>AND(IF(Metadata!L635="",FALSE,TRUE),OR(exact(Metadata!L635,"Plant secretion"),exact(Metadata!L635,"Plant rhizosphere"),exact(Metadata!L635,"Plant surface"),exact(Metadata!L635,"Plant corpus"),exact(Metadata!L635,"Fungus surface"),exact(Metadata!L635,"Fungus corpus"),exact(Metadata!L635,"Animal surface"),exact(Metadata!L635,"Animal proximal gut"),exact(Metadata!L635,"Animal corpus"),exact(Metadata!L635,"Animal distal gut"),exact(Metadata!L635,"Animal secretion"),exact(Metadata!L635,"Sub-surface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Y635">
        <f>IF(Metadata!M635="",FALSE,TRUE)</f>
        <v>0</v>
      </c>
      <c r="AZ635">
        <f>IF(Metadata!N635="",FALSE,TRUE)</f>
        <v>0</v>
      </c>
      <c r="BA635">
        <f>IF(Metadata!O635="",FALSE,TRUE)</f>
        <v>0</v>
      </c>
      <c r="BB635">
        <f>OR(AND(IF(Metadata!P635="",FALSE,TRUE),OR(exact(Metadata!P635,"not collected"),exact(Metadata!P635,"not provided"),exact(Metadata!P635,"restricted access"))),AND(IF(Metadata!P635="",FALSE,TRUE),OR(exact(Metadata!P635,"air"),exact(Metadata!P635,"built environment"),exact(Metadata!P635,"host-associated"),exact(Metadata!P635,"human-associated"),exact(Metadata!P635,"human-skin"),exact(Metadata!P635,"human-oral"),exact(Metadata!P635,"human-gut"),exact(Metadata!P635,"human-vaginal"),exact(Metadata!P635,"microbial mat/biofilm"),exact(Metadata!P635,"misc environment"),exact(Metadata!P635,"plant-associated"),exact(Metadata!P635,"sediment"),exact(Metadata!P635,"soil"),exact(Metadata!P635,"wastewater/sludge"),exact(Metadata!P635,"water"))))</f>
        <v>0</v>
      </c>
      <c r="BC635">
        <f>IF(Metadata!Q635="",FALSE,TRUE)</f>
        <v>0</v>
      </c>
      <c r="BD635">
        <f>IF(Metadata!R635="",FALSE,TRUE)</f>
        <v>0</v>
      </c>
      <c r="BE635">
        <f>OR(AND(IF(Metadata!S635="",FALSE,TRUE),OR(exact(Metadata!S635,"not collected"),exact(Metadata!S635,"not provided"),exact(Metadata!S635,"restricted access"))),AND(IF(Metadata!S635="",FALSE,ISNUMBER(VALUE(Metadata!S635))),Metadata!S635&gt;=-90.00,Metadata!S635&lt;=90.00))</f>
        <v>0</v>
      </c>
      <c r="BF635">
        <f>AND(IF(Metadata!T635="",FALSE,TRUE),exact(Metadata!T635,"Decimal degrees"))</f>
        <v>0</v>
      </c>
      <c r="BG635">
        <f>OR(AND(IF(Metadata!U635="",FALSE,TRUE),OR(exact(Metadata!U635,"not collected"),exact(Metadata!U635,"not provided"),exact(Metadata!U635,"restricted access"))),AND(IF(Metadata!U635="",FALSE,ISNUMBER(VALUE(Metadata!U635))),Metadata!U635&gt;=-180.00,Metadata!U635&lt;=180.00))</f>
        <v>0</v>
      </c>
      <c r="BH635">
        <f>AND(IF(Metadata!V635="",FALSE,TRUE),exact(Metadata!V635,"Decimal degrees"))</f>
        <v>0</v>
      </c>
      <c r="BI635">
        <f>IF(Metadata!W635="",FALSE,TRUE)</f>
        <v>0</v>
      </c>
      <c r="BJ635">
        <f>OR(AND(IF(Metadata!X635="",FALSE,TRUE),OR(exact(Metadata!X635,"not collected"),exact(Metadata!X635,"not provided"),exact(Metadata!X635,"restricted access"))),AND(IF(Metadata!X635="",FALSE,TRUE),OR(exact(Metadata!X635,"TRUE"),exact(Metadata!X635,"FALSE"))))</f>
        <v>0</v>
      </c>
      <c r="BK635">
        <f>AND(IF(Metadata!Y635="",FALSE,TRUE),exact(Metadata!Y635,"other"))</f>
        <v>0</v>
      </c>
      <c r="BL635">
        <f>IF(Metadata!Z635="",FALSE,TRUE)</f>
        <v>0</v>
      </c>
      <c r="BM635">
        <f>OR(AND(IF(Metadata!AA635="",FALSE,TRUE),OR(exact(Metadata!AA635,"not collected"),exact(Metadata!AA635,"not provided"))),AND(IF(Metadata!AA635="",FALSE,IF(ISERROR(INT(Metadata!AA635)),FALSE,INT(Metadata!AA635)=Metadata!AA635)),Metadata!AA635&gt;0))</f>
        <v>0</v>
      </c>
      <c r="BN635">
        <f>AND(IF(Metadata!AB635="",FALSE,TRUE),exact(Metadata!AB635,"Not applicable"))</f>
        <v>0</v>
      </c>
      <c r="BO635">
        <f>IF(Metadata!AC635="",FALSE,TRUE)</f>
        <v>0</v>
      </c>
    </row>
    <row r="636" spans="1:67">
      <c r="A636" s="5">
        <f>IF(B636=" "," ",HYPERLINK(CONCATENATE("#metadata!",ADDRESS(INDEX($AI$2:$AI$1001,MATCH(ROWS($AG$2:AG636),$AG$2:$AG$1001,0),0),1)),INDEX($AL$2:$AL$1001,MATCH(ROWS($AG$2:AG636),$AG$2:$AG$1001,0),0)))</f>
        <v>0</v>
      </c>
      <c r="B636" s="4">
        <f>IF(OR(INDEX($AH$2:$AH$1001,MATCH(ROWS($AG$2:AG636),$AG$2:$AG$1001,0),1)&gt;=100000,INDEX($AN$1005:$BO$1005,1,MATCH(COLUMNS($AN$1006:AN1006),$AN$1006:$BO$1006,0))&gt;=100000), " ",IF(INDEX($AN$2:$BO$1001,MATCH(ROWS($AG$2:AG636),$AG$2:$AG$1001,0),MATCH(COLUMNS($AN$1006:AN1006),$AN$1006:$BO$1006,0)), HYPERLINK("#",""), HYPERLINK(CONCATENATE("#Metadata!", ADDRESS(INDEX($AI$2:$AI$1001,MATCH(ROWS($AG$2:AG636),$AG$2:$AG$1001,0),0), INDEX($AN$1004:$BO$1004,1,MATCH(COLUMNS($AN$1006:AN1006),$AN$1006:$BO$1006,0)))),"Fix")))</f>
        <v>0</v>
      </c>
      <c r="C636" s="4">
        <f>IF(OR(INDEX($AH$2:$AH$1001,MATCH(ROWS($AG$2:AG636),$AG$2:$AG$1001,0),1)&gt;=100000,INDEX($AN$1005:$BO$1005,1,MATCH(COLUMNS($AN$1006:AO1006),$AN$1006:$BO$1006,0))&gt;=100000), " ",IF(INDEX($AN$2:$BO$1001,MATCH(ROWS($AG$2:AG636),$AG$2:$AG$1001,0),MATCH(COLUMNS($AN$1006:AO1006),$AN$1006:$BO$1006,0)), HYPERLINK("#",""), HYPERLINK(CONCATENATE("#Metadata!", ADDRESS(INDEX($AI$2:$AI$1001,MATCH(ROWS($AG$2:AG636),$AG$2:$AG$1001,0),0), INDEX($AN$1004:$BO$1004,1,MATCH(COLUMNS($AN$1006:AO1006),$AN$1006:$BO$1006,0)))),"Fix")))</f>
        <v>0</v>
      </c>
      <c r="D636" s="4">
        <f>IF(OR(INDEX($AH$2:$AH$1001,MATCH(ROWS($AG$2:AG636),$AG$2:$AG$1001,0),1)&gt;=100000,INDEX($AN$1005:$BO$1005,1,MATCH(COLUMNS($AN$1006:AP1006),$AN$1006:$BO$1006,0))&gt;=100000), " ",IF(INDEX($AN$2:$BO$1001,MATCH(ROWS($AG$2:AG636),$AG$2:$AG$1001,0),MATCH(COLUMNS($AN$1006:AP1006),$AN$1006:$BO$1006,0)), HYPERLINK("#",""), HYPERLINK(CONCATENATE("#Metadata!", ADDRESS(INDEX($AI$2:$AI$1001,MATCH(ROWS($AG$2:AG636),$AG$2:$AG$1001,0),0), INDEX($AN$1004:$BO$1004,1,MATCH(COLUMNS($AN$1006:AP1006),$AN$1006:$BO$1006,0)))),"Fix")))</f>
        <v>0</v>
      </c>
      <c r="E636" s="4">
        <f>IF(OR(INDEX($AH$2:$AH$1001,MATCH(ROWS($AG$2:AG636),$AG$2:$AG$1001,0),1)&gt;=100000,INDEX($AN$1005:$BO$1005,1,MATCH(COLUMNS($AN$1006:AQ1006),$AN$1006:$BO$1006,0))&gt;=100000), " ",IF(INDEX($AN$2:$BO$1001,MATCH(ROWS($AG$2:AG636),$AG$2:$AG$1001,0),MATCH(COLUMNS($AN$1006:AQ1006),$AN$1006:$BO$1006,0)), HYPERLINK("#",""), HYPERLINK(CONCATENATE("#Metadata!", ADDRESS(INDEX($AI$2:$AI$1001,MATCH(ROWS($AG$2:AG636),$AG$2:$AG$1001,0),0), INDEX($AN$1004:$BO$1004,1,MATCH(COLUMNS($AN$1006:AQ1006),$AN$1006:$BO$1006,0)))),"Fix")))</f>
        <v>0</v>
      </c>
      <c r="F636" s="4">
        <f>IF(OR(INDEX($AH$2:$AH$1001,MATCH(ROWS($AG$2:AG636),$AG$2:$AG$1001,0),1)&gt;=100000,INDEX($AN$1005:$BO$1005,1,MATCH(COLUMNS($AN$1006:AR1006),$AN$1006:$BO$1006,0))&gt;=100000), " ",IF(INDEX($AN$2:$BO$1001,MATCH(ROWS($AG$2:AG636),$AG$2:$AG$1001,0),MATCH(COLUMNS($AN$1006:AR1006),$AN$1006:$BO$1006,0)), HYPERLINK("#",""), HYPERLINK(CONCATENATE("#Metadata!", ADDRESS(INDEX($AI$2:$AI$1001,MATCH(ROWS($AG$2:AG636),$AG$2:$AG$1001,0),0), INDEX($AN$1004:$BO$1004,1,MATCH(COLUMNS($AN$1006:AR1006),$AN$1006:$BO$1006,0)))),"Fix")))</f>
        <v>0</v>
      </c>
      <c r="G636" s="4">
        <f>IF(OR(INDEX($AH$2:$AH$1001,MATCH(ROWS($AG$2:AG636),$AG$2:$AG$1001,0),1)&gt;=100000,INDEX($AN$1005:$BO$1005,1,MATCH(COLUMNS($AN$1006:AS1006),$AN$1006:$BO$1006,0))&gt;=100000), " ",IF(INDEX($AN$2:$BO$1001,MATCH(ROWS($AG$2:AG636),$AG$2:$AG$1001,0),MATCH(COLUMNS($AN$1006:AS1006),$AN$1006:$BO$1006,0)), HYPERLINK("#",""), HYPERLINK(CONCATENATE("#Metadata!", ADDRESS(INDEX($AI$2:$AI$1001,MATCH(ROWS($AG$2:AG636),$AG$2:$AG$1001,0),0), INDEX($AN$1004:$BO$1004,1,MATCH(COLUMNS($AN$1006:AS1006),$AN$1006:$BO$1006,0)))),"Fix")))</f>
        <v>0</v>
      </c>
      <c r="H636" s="4">
        <f>IF(OR(INDEX($AH$2:$AH$1001,MATCH(ROWS($AG$2:AG636),$AG$2:$AG$1001,0),1)&gt;=100000,INDEX($AN$1005:$BO$1005,1,MATCH(COLUMNS($AN$1006:AT1006),$AN$1006:$BO$1006,0))&gt;=100000), " ",IF(INDEX($AN$2:$BO$1001,MATCH(ROWS($AG$2:AG636),$AG$2:$AG$1001,0),MATCH(COLUMNS($AN$1006:AT1006),$AN$1006:$BO$1006,0)), HYPERLINK("#",""), HYPERLINK(CONCATENATE("#Metadata!", ADDRESS(INDEX($AI$2:$AI$1001,MATCH(ROWS($AG$2:AG636),$AG$2:$AG$1001,0),0), INDEX($AN$1004:$BO$1004,1,MATCH(COLUMNS($AN$1006:AT1006),$AN$1006:$BO$1006,0)))),"Fix")))</f>
        <v>0</v>
      </c>
      <c r="I636" s="4">
        <f>IF(OR(INDEX($AH$2:$AH$1001,MATCH(ROWS($AG$2:AG636),$AG$2:$AG$1001,0),1)&gt;=100000,INDEX($AN$1005:$BO$1005,1,MATCH(COLUMNS($AN$1006:AU1006),$AN$1006:$BO$1006,0))&gt;=100000), " ",IF(INDEX($AN$2:$BO$1001,MATCH(ROWS($AG$2:AG636),$AG$2:$AG$1001,0),MATCH(COLUMNS($AN$1006:AU1006),$AN$1006:$BO$1006,0)), HYPERLINK("#",""), HYPERLINK(CONCATENATE("#Metadata!", ADDRESS(INDEX($AI$2:$AI$1001,MATCH(ROWS($AG$2:AG636),$AG$2:$AG$1001,0),0), INDEX($AN$1004:$BO$1004,1,MATCH(COLUMNS($AN$1006:AU1006),$AN$1006:$BO$1006,0)))),"Fix")))</f>
        <v>0</v>
      </c>
      <c r="J636" s="4">
        <f>IF(OR(INDEX($AH$2:$AH$1001,MATCH(ROWS($AG$2:AG636),$AG$2:$AG$1001,0),1)&gt;=100000,INDEX($AN$1005:$BO$1005,1,MATCH(COLUMNS($AN$1006:AV1006),$AN$1006:$BO$1006,0))&gt;=100000), " ",IF(INDEX($AN$2:$BO$1001,MATCH(ROWS($AG$2:AG636),$AG$2:$AG$1001,0),MATCH(COLUMNS($AN$1006:AV1006),$AN$1006:$BO$1006,0)), HYPERLINK("#",""), HYPERLINK(CONCATENATE("#Metadata!", ADDRESS(INDEX($AI$2:$AI$1001,MATCH(ROWS($AG$2:AG636),$AG$2:$AG$1001,0),0), INDEX($AN$1004:$BO$1004,1,MATCH(COLUMNS($AN$1006:AV1006),$AN$1006:$BO$1006,0)))),"Fix")))</f>
        <v>0</v>
      </c>
      <c r="K636" s="4">
        <f>IF(OR(INDEX($AH$2:$AH$1001,MATCH(ROWS($AG$2:AG636),$AG$2:$AG$1001,0),1)&gt;=100000,INDEX($AN$1005:$BO$1005,1,MATCH(COLUMNS($AN$1006:AW1006),$AN$1006:$BO$1006,0))&gt;=100000), " ",IF(INDEX($AN$2:$BO$1001,MATCH(ROWS($AG$2:AG636),$AG$2:$AG$1001,0),MATCH(COLUMNS($AN$1006:AW1006),$AN$1006:$BO$1006,0)), HYPERLINK("#",""), HYPERLINK(CONCATENATE("#Metadata!", ADDRESS(INDEX($AI$2:$AI$1001,MATCH(ROWS($AG$2:AG636),$AG$2:$AG$1001,0),0), INDEX($AN$1004:$BO$1004,1,MATCH(COLUMNS($AN$1006:AW1006),$AN$1006:$BO$1006,0)))),"Fix")))</f>
        <v>0</v>
      </c>
      <c r="L636" s="4">
        <f>IF(OR(INDEX($AH$2:$AH$1001,MATCH(ROWS($AG$2:AG636),$AG$2:$AG$1001,0),1)&gt;=100000,INDEX($AN$1005:$BO$1005,1,MATCH(COLUMNS($AN$1006:AX1006),$AN$1006:$BO$1006,0))&gt;=100000), " ",IF(INDEX($AN$2:$BO$1001,MATCH(ROWS($AG$2:AG636),$AG$2:$AG$1001,0),MATCH(COLUMNS($AN$1006:AX1006),$AN$1006:$BO$1006,0)), HYPERLINK("#",""), HYPERLINK(CONCATENATE("#Metadata!", ADDRESS(INDEX($AI$2:$AI$1001,MATCH(ROWS($AG$2:AG636),$AG$2:$AG$1001,0),0), INDEX($AN$1004:$BO$1004,1,MATCH(COLUMNS($AN$1006:AX1006),$AN$1006:$BO$1006,0)))),"Fix")))</f>
        <v>0</v>
      </c>
      <c r="M636" s="4">
        <f>IF(OR(INDEX($AH$2:$AH$1001,MATCH(ROWS($AG$2:AG636),$AG$2:$AG$1001,0),1)&gt;=100000,INDEX($AN$1005:$BO$1005,1,MATCH(COLUMNS($AN$1006:AY1006),$AN$1006:$BO$1006,0))&gt;=100000), " ",IF(INDEX($AN$2:$BO$1001,MATCH(ROWS($AG$2:AG636),$AG$2:$AG$1001,0),MATCH(COLUMNS($AN$1006:AY1006),$AN$1006:$BO$1006,0)), HYPERLINK("#",""), HYPERLINK(CONCATENATE("#Metadata!", ADDRESS(INDEX($AI$2:$AI$1001,MATCH(ROWS($AG$2:AG636),$AG$2:$AG$1001,0),0), INDEX($AN$1004:$BO$1004,1,MATCH(COLUMNS($AN$1006:AY1006),$AN$1006:$BO$1006,0)))),"Fix")))</f>
        <v>0</v>
      </c>
      <c r="N636" s="4">
        <f>IF(OR(INDEX($AH$2:$AH$1001,MATCH(ROWS($AG$2:AG636),$AG$2:$AG$1001,0),1)&gt;=100000,INDEX($AN$1005:$BO$1005,1,MATCH(COLUMNS($AN$1006:AZ1006),$AN$1006:$BO$1006,0))&gt;=100000), " ",IF(INDEX($AN$2:$BO$1001,MATCH(ROWS($AG$2:AG636),$AG$2:$AG$1001,0),MATCH(COLUMNS($AN$1006:AZ1006),$AN$1006:$BO$1006,0)), HYPERLINK("#",""), HYPERLINK(CONCATENATE("#Metadata!", ADDRESS(INDEX($AI$2:$AI$1001,MATCH(ROWS($AG$2:AG636),$AG$2:$AG$1001,0),0), INDEX($AN$1004:$BO$1004,1,MATCH(COLUMNS($AN$1006:AZ1006),$AN$1006:$BO$1006,0)))),"Fix")))</f>
        <v>0</v>
      </c>
      <c r="O636" s="4">
        <f>IF(OR(INDEX($AH$2:$AH$1001,MATCH(ROWS($AG$2:AG636),$AG$2:$AG$1001,0),1)&gt;=100000,INDEX($AN$1005:$BO$1005,1,MATCH(COLUMNS($AN$1006:BA1006),$AN$1006:$BO$1006,0))&gt;=100000), " ",IF(INDEX($AN$2:$BO$1001,MATCH(ROWS($AG$2:AG636),$AG$2:$AG$1001,0),MATCH(COLUMNS($AN$1006:BA1006),$AN$1006:$BO$1006,0)), HYPERLINK("#",""), HYPERLINK(CONCATENATE("#Metadata!", ADDRESS(INDEX($AI$2:$AI$1001,MATCH(ROWS($AG$2:AG636),$AG$2:$AG$1001,0),0), INDEX($AN$1004:$BO$1004,1,MATCH(COLUMNS($AN$1006:BA1006),$AN$1006:$BO$1006,0)))),"Fix")))</f>
        <v>0</v>
      </c>
      <c r="P636" s="4">
        <f>IF(OR(INDEX($AH$2:$AH$1001,MATCH(ROWS($AG$2:AG636),$AG$2:$AG$1001,0),1)&gt;=100000,INDEX($AN$1005:$BO$1005,1,MATCH(COLUMNS($AN$1006:BB1006),$AN$1006:$BO$1006,0))&gt;=100000), " ",IF(INDEX($AN$2:$BO$1001,MATCH(ROWS($AG$2:AG636),$AG$2:$AG$1001,0),MATCH(COLUMNS($AN$1006:BB1006),$AN$1006:$BO$1006,0)), HYPERLINK("#",""), HYPERLINK(CONCATENATE("#Metadata!", ADDRESS(INDEX($AI$2:$AI$1001,MATCH(ROWS($AG$2:AG636),$AG$2:$AG$1001,0),0), INDEX($AN$1004:$BO$1004,1,MATCH(COLUMNS($AN$1006:BB1006),$AN$1006:$BO$1006,0)))),"Fix")))</f>
        <v>0</v>
      </c>
      <c r="Q636" s="4">
        <f>IF(OR(INDEX($AH$2:$AH$1001,MATCH(ROWS($AG$2:AG636),$AG$2:$AG$1001,0),1)&gt;=100000,INDEX($AN$1005:$BO$1005,1,MATCH(COLUMNS($AN$1006:BC1006),$AN$1006:$BO$1006,0))&gt;=100000), " ",IF(INDEX($AN$2:$BO$1001,MATCH(ROWS($AG$2:AG636),$AG$2:$AG$1001,0),MATCH(COLUMNS($AN$1006:BC1006),$AN$1006:$BO$1006,0)), HYPERLINK("#",""), HYPERLINK(CONCATENATE("#Metadata!", ADDRESS(INDEX($AI$2:$AI$1001,MATCH(ROWS($AG$2:AG636),$AG$2:$AG$1001,0),0), INDEX($AN$1004:$BO$1004,1,MATCH(COLUMNS($AN$1006:BC1006),$AN$1006:$BO$1006,0)))),"Fix")))</f>
        <v>0</v>
      </c>
      <c r="R636" s="4">
        <f>IF(OR(INDEX($AH$2:$AH$1001,MATCH(ROWS($AG$2:AG636),$AG$2:$AG$1001,0),1)&gt;=100000,INDEX($AN$1005:$BO$1005,1,MATCH(COLUMNS($AN$1006:BD1006),$AN$1006:$BO$1006,0))&gt;=100000), " ",IF(INDEX($AN$2:$BO$1001,MATCH(ROWS($AG$2:AG636),$AG$2:$AG$1001,0),MATCH(COLUMNS($AN$1006:BD1006),$AN$1006:$BO$1006,0)), HYPERLINK("#",""), HYPERLINK(CONCATENATE("#Metadata!", ADDRESS(INDEX($AI$2:$AI$1001,MATCH(ROWS($AG$2:AG636),$AG$2:$AG$1001,0),0), INDEX($AN$1004:$BO$1004,1,MATCH(COLUMNS($AN$1006:BD1006),$AN$1006:$BO$1006,0)))),"Fix")))</f>
        <v>0</v>
      </c>
      <c r="S636" s="4">
        <f>IF(OR(INDEX($AH$2:$AH$1001,MATCH(ROWS($AG$2:AG636),$AG$2:$AG$1001,0),1)&gt;=100000,INDEX($AN$1005:$BO$1005,1,MATCH(COLUMNS($AN$1006:BE1006),$AN$1006:$BO$1006,0))&gt;=100000), " ",IF(INDEX($AN$2:$BO$1001,MATCH(ROWS($AG$2:AG636),$AG$2:$AG$1001,0),MATCH(COLUMNS($AN$1006:BE1006),$AN$1006:$BO$1006,0)), HYPERLINK("#",""), HYPERLINK(CONCATENATE("#Metadata!", ADDRESS(INDEX($AI$2:$AI$1001,MATCH(ROWS($AG$2:AG636),$AG$2:$AG$1001,0),0), INDEX($AN$1004:$BO$1004,1,MATCH(COLUMNS($AN$1006:BE1006),$AN$1006:$BO$1006,0)))),"Fix")))</f>
        <v>0</v>
      </c>
      <c r="T636" s="4">
        <f>IF(OR(INDEX($AH$2:$AH$1001,MATCH(ROWS($AG$2:AG636),$AG$2:$AG$1001,0),1)&gt;=100000,INDEX($AN$1005:$BO$1005,1,MATCH(COLUMNS($AN$1006:BF1006),$AN$1006:$BO$1006,0))&gt;=100000), " ",IF(INDEX($AN$2:$BO$1001,MATCH(ROWS($AG$2:AG636),$AG$2:$AG$1001,0),MATCH(COLUMNS($AN$1006:BF1006),$AN$1006:$BO$1006,0)), HYPERLINK("#",""), HYPERLINK(CONCATENATE("#Metadata!", ADDRESS(INDEX($AI$2:$AI$1001,MATCH(ROWS($AG$2:AG636),$AG$2:$AG$1001,0),0), INDEX($AN$1004:$BO$1004,1,MATCH(COLUMNS($AN$1006:BF1006),$AN$1006:$BO$1006,0)))),"Fix")))</f>
        <v>0</v>
      </c>
      <c r="U636" s="4">
        <f>IF(OR(INDEX($AH$2:$AH$1001,MATCH(ROWS($AG$2:AG636),$AG$2:$AG$1001,0),1)&gt;=100000,INDEX($AN$1005:$BO$1005,1,MATCH(COLUMNS($AN$1006:BG1006),$AN$1006:$BO$1006,0))&gt;=100000), " ",IF(INDEX($AN$2:$BO$1001,MATCH(ROWS($AG$2:AG636),$AG$2:$AG$1001,0),MATCH(COLUMNS($AN$1006:BG1006),$AN$1006:$BO$1006,0)), HYPERLINK("#",""), HYPERLINK(CONCATENATE("#Metadata!", ADDRESS(INDEX($AI$2:$AI$1001,MATCH(ROWS($AG$2:AG636),$AG$2:$AG$1001,0),0), INDEX($AN$1004:$BO$1004,1,MATCH(COLUMNS($AN$1006:BG1006),$AN$1006:$BO$1006,0)))),"Fix")))</f>
        <v>0</v>
      </c>
      <c r="V636" s="4">
        <f>IF(OR(INDEX($AH$2:$AH$1001,MATCH(ROWS($AG$2:AG636),$AG$2:$AG$1001,0),1)&gt;=100000,INDEX($AN$1005:$BO$1005,1,MATCH(COLUMNS($AN$1006:BH1006),$AN$1006:$BO$1006,0))&gt;=100000), " ",IF(INDEX($AN$2:$BO$1001,MATCH(ROWS($AG$2:AG636),$AG$2:$AG$1001,0),MATCH(COLUMNS($AN$1006:BH1006),$AN$1006:$BO$1006,0)), HYPERLINK("#",""), HYPERLINK(CONCATENATE("#Metadata!", ADDRESS(INDEX($AI$2:$AI$1001,MATCH(ROWS($AG$2:AG636),$AG$2:$AG$1001,0),0), INDEX($AN$1004:$BO$1004,1,MATCH(COLUMNS($AN$1006:BH1006),$AN$1006:$BO$1006,0)))),"Fix")))</f>
        <v>0</v>
      </c>
      <c r="W636" s="4">
        <f>IF(OR(INDEX($AH$2:$AH$1001,MATCH(ROWS($AG$2:AG636),$AG$2:$AG$1001,0),1)&gt;=100000,INDEX($AN$1005:$BO$1005,1,MATCH(COLUMNS($AN$1006:BI1006),$AN$1006:$BO$1006,0))&gt;=100000), " ",IF(INDEX($AN$2:$BO$1001,MATCH(ROWS($AG$2:AG636),$AG$2:$AG$1001,0),MATCH(COLUMNS($AN$1006:BI1006),$AN$1006:$BO$1006,0)), HYPERLINK("#",""), HYPERLINK(CONCATENATE("#Metadata!", ADDRESS(INDEX($AI$2:$AI$1001,MATCH(ROWS($AG$2:AG636),$AG$2:$AG$1001,0),0), INDEX($AN$1004:$BO$1004,1,MATCH(COLUMNS($AN$1006:BI1006),$AN$1006:$BO$1006,0)))),"Fix")))</f>
        <v>0</v>
      </c>
      <c r="X636" s="4">
        <f>IF(OR(INDEX($AH$2:$AH$1001,MATCH(ROWS($AG$2:AG636),$AG$2:$AG$1001,0),1)&gt;=100000,INDEX($AN$1005:$BO$1005,1,MATCH(COLUMNS($AN$1006:BJ1006),$AN$1006:$BO$1006,0))&gt;=100000), " ",IF(INDEX($AN$2:$BO$1001,MATCH(ROWS($AG$2:AG636),$AG$2:$AG$1001,0),MATCH(COLUMNS($AN$1006:BJ1006),$AN$1006:$BO$1006,0)), HYPERLINK("#",""), HYPERLINK(CONCATENATE("#Metadata!", ADDRESS(INDEX($AI$2:$AI$1001,MATCH(ROWS($AG$2:AG636),$AG$2:$AG$1001,0),0), INDEX($AN$1004:$BO$1004,1,MATCH(COLUMNS($AN$1006:BJ1006),$AN$1006:$BO$1006,0)))),"Fix")))</f>
        <v>0</v>
      </c>
      <c r="Y636" s="4">
        <f>IF(OR(INDEX($AH$2:$AH$1001,MATCH(ROWS($AG$2:AG636),$AG$2:$AG$1001,0),1)&gt;=100000,INDEX($AN$1005:$BO$1005,1,MATCH(COLUMNS($AN$1006:BK1006),$AN$1006:$BO$1006,0))&gt;=100000), " ",IF(INDEX($AN$2:$BO$1001,MATCH(ROWS($AG$2:AG636),$AG$2:$AG$1001,0),MATCH(COLUMNS($AN$1006:BK1006),$AN$1006:$BO$1006,0)), HYPERLINK("#",""), HYPERLINK(CONCATENATE("#Metadata!", ADDRESS(INDEX($AI$2:$AI$1001,MATCH(ROWS($AG$2:AG636),$AG$2:$AG$1001,0),0), INDEX($AN$1004:$BO$1004,1,MATCH(COLUMNS($AN$1006:BK1006),$AN$1006:$BO$1006,0)))),"Fix")))</f>
        <v>0</v>
      </c>
      <c r="Z636" s="4">
        <f>IF(OR(INDEX($AH$2:$AH$1001,MATCH(ROWS($AG$2:AG636),$AG$2:$AG$1001,0),1)&gt;=100000,INDEX($AN$1005:$BO$1005,1,MATCH(COLUMNS($AN$1006:BL1006),$AN$1006:$BO$1006,0))&gt;=100000), " ",IF(INDEX($AN$2:$BO$1001,MATCH(ROWS($AG$2:AG636),$AG$2:$AG$1001,0),MATCH(COLUMNS($AN$1006:BL1006),$AN$1006:$BO$1006,0)), HYPERLINK("#",""), HYPERLINK(CONCATENATE("#Metadata!", ADDRESS(INDEX($AI$2:$AI$1001,MATCH(ROWS($AG$2:AG636),$AG$2:$AG$1001,0),0), INDEX($AN$1004:$BO$1004,1,MATCH(COLUMNS($AN$1006:BL1006),$AN$1006:$BO$1006,0)))),"Fix")))</f>
        <v>0</v>
      </c>
      <c r="AA636" s="4">
        <f>IF(OR(INDEX($AH$2:$AH$1001,MATCH(ROWS($AG$2:AG636),$AG$2:$AG$1001,0),1)&gt;=100000,INDEX($AN$1005:$BO$1005,1,MATCH(COLUMNS($AN$1006:BM1006),$AN$1006:$BO$1006,0))&gt;=100000), " ",IF(INDEX($AN$2:$BO$1001,MATCH(ROWS($AG$2:AG636),$AG$2:$AG$1001,0),MATCH(COLUMNS($AN$1006:BM1006),$AN$1006:$BO$1006,0)), HYPERLINK("#",""), HYPERLINK(CONCATENATE("#Metadata!", ADDRESS(INDEX($AI$2:$AI$1001,MATCH(ROWS($AG$2:AG636),$AG$2:$AG$1001,0),0), INDEX($AN$1004:$BO$1004,1,MATCH(COLUMNS($AN$1006:BM1006),$AN$1006:$BO$1006,0)))),"Fix")))</f>
        <v>0</v>
      </c>
      <c r="AB636" s="4">
        <f>IF(OR(INDEX($AH$2:$AH$1001,MATCH(ROWS($AG$2:AG636),$AG$2:$AG$1001,0),1)&gt;=100000,INDEX($AN$1005:$BO$1005,1,MATCH(COLUMNS($AN$1006:BN1006),$AN$1006:$BO$1006,0))&gt;=100000), " ",IF(INDEX($AN$2:$BO$1001,MATCH(ROWS($AG$2:AG636),$AG$2:$AG$1001,0),MATCH(COLUMNS($AN$1006:BN1006),$AN$1006:$BO$1006,0)), HYPERLINK("#",""), HYPERLINK(CONCATENATE("#Metadata!", ADDRESS(INDEX($AI$2:$AI$1001,MATCH(ROWS($AG$2:AG636),$AG$2:$AG$1001,0),0), INDEX($AN$1004:$BO$1004,1,MATCH(COLUMNS($AN$1006:BN1006),$AN$1006:$BO$1006,0)))),"Fix")))</f>
        <v>0</v>
      </c>
      <c r="AC636" s="4">
        <f>IF(OR(INDEX($AH$2:$AH$1001,MATCH(ROWS($AG$2:AG636),$AG$2:$AG$1001,0),1)&gt;=100000,INDEX($AN$1005:$BO$1005,1,MATCH(COLUMNS($AN$1006:BO1006),$AN$1006:$BO$1006,0))&gt;=100000), " ",IF(INDEX($AN$2:$BO$1001,MATCH(ROWS($AG$2:AG636),$AG$2:$AG$1001,0),MATCH(COLUMNS($AN$1006:BO1006),$AN$1006:$BO$1006,0)), HYPERLINK("#",""), HYPERLINK(CONCATENATE("#Metadata!", ADDRESS(INDEX($AI$2:$AI$1001,MATCH(ROWS($AG$2:AG636),$AG$2:$AG$1001,0),0), INDEX($AN$1004:$BO$1004,1,MATCH(COLUMNS($AN$1006:BO1006),$AN$1006:$BO$1006,0)))),"Fix")))</f>
        <v>0</v>
      </c>
      <c r="AG636">
        <v>0</v>
      </c>
      <c r="AH636">
        <v>0</v>
      </c>
      <c r="AI636">
        <v>0</v>
      </c>
      <c r="AJ636">
        <f>IF(AK636,TRUE,AND(AN636:BO636))</f>
        <v>0</v>
      </c>
      <c r="AK636">
        <f>COUNTBLANK(Metadata!B636:AC636)=COLUMNS(Metadata!B636:AC636)</f>
        <v>0</v>
      </c>
      <c r="AL636">
        <v>0</v>
      </c>
      <c r="AN636">
        <f>AND(IF(Metadata!B636="",FALSE,TRUE),COUNTIF(Metadata!B:B, Metadata!B636) = 1,NOT(ISERROR(SUMPRODUCT(SEARCH(MID(Metadata!B636,ROW(INDIRECT("1:"&amp;LEN(Metadata!B636))), 1),"0123456789abcdefghijklmnopqrstuvwxyzABCDEFGHIJKLMNOPQRSTUVWXYZ.")))))</f>
        <v>0</v>
      </c>
      <c r="AO636">
        <f>IF(Metadata!C636="",FALSE,TRUE)</f>
        <v>0</v>
      </c>
      <c r="AP636">
        <f>IF(Metadata!D636="",FALSE,TRUE)</f>
        <v>0</v>
      </c>
      <c r="AQ636">
        <f>OR(AND(IF(Metadata!E636="",FALSE,TRUE),OR(exact(Metadata!E636,"not collected"),exact(Metadata!E636,"not provided"),exact(Metadata!E636,"restricted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R636">
        <f>IF(Metadata!F636="",FALSE,TRUE)</f>
        <v>0</v>
      </c>
      <c r="AS636">
        <f>OR(AND(IF(Metadata!G636="",FALSE,TRUE),OR(exact(Metadata!G636,"not collected"),exact(Metadata!G636,"not provided"))),AND(IF(Metadata!G636="",FALSE,TRUE),OR(exact(Metadata!G636,"TRUE"),exact(Metadata!G636,"FALSE"))))</f>
        <v>0</v>
      </c>
      <c r="AT636">
        <f>OR(AND(IF(Metadata!H636="",FALSE,TRUE),OR(exact(Metadata!H636,"not collected"),exact(Metadata!H636,"not provided"),exact(Metadata!H636,"restricted access"))),AND(IF(Metadata!H636="",FALSE,ISNUMBER(VALUE(Metadata!H636))),Metadata!H636&gt;=-413.0))</f>
        <v>0</v>
      </c>
      <c r="AU636">
        <f>AND(IF(Metadata!I636="",FALSE,TRUE),exact(Metadata!I636,"meters"))</f>
        <v>0</v>
      </c>
      <c r="AV636">
        <f>AND(IF(Metadata!J636="",FALSE,TRUE),OR(exact(Metadata!J636,"Host-associated"),exact(Metadata!J636,"Free-living")))</f>
        <v>0</v>
      </c>
      <c r="AW636">
        <f>AND(IF(Metadata!K636="",FALSE,TRUE),OR(exact(Metadata!K636,"Animal"),exact(Metadata!K636,"Fungus"),exact(Metadata!K636,"Plant"),exact(Metadata!K636,"Saline"),exact(Metadata!K636,"Non-saline")))</f>
        <v>0</v>
      </c>
      <c r="AX636">
        <f>AND(IF(Metadata!L636="",FALSE,TRUE),OR(exact(Metadata!L636,"Plant secretion"),exact(Metadata!L636,"Plant rhizosphere"),exact(Metadata!L636,"Plant surface"),exact(Metadata!L636,"Plant corpus"),exact(Metadata!L636,"Fungus surface"),exact(Metadata!L636,"Fungus corpus"),exact(Metadata!L636,"Animal surface"),exact(Metadata!L636,"Animal proximal gut"),exact(Metadata!L636,"Animal corpus"),exact(Metadata!L636,"Animal distal gut"),exact(Metadata!L636,"Animal secretion"),exact(Metadata!L636,"Sub-surface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Y636">
        <f>IF(Metadata!M636="",FALSE,TRUE)</f>
        <v>0</v>
      </c>
      <c r="AZ636">
        <f>IF(Metadata!N636="",FALSE,TRUE)</f>
        <v>0</v>
      </c>
      <c r="BA636">
        <f>IF(Metadata!O636="",FALSE,TRUE)</f>
        <v>0</v>
      </c>
      <c r="BB636">
        <f>OR(AND(IF(Metadata!P636="",FALSE,TRUE),OR(exact(Metadata!P636,"not collected"),exact(Metadata!P636,"not provided"),exact(Metadata!P636,"restricted access"))),AND(IF(Metadata!P636="",FALSE,TRUE),OR(exact(Metadata!P636,"air"),exact(Metadata!P636,"built environment"),exact(Metadata!P636,"host-associated"),exact(Metadata!P636,"human-associated"),exact(Metadata!P636,"human-skin"),exact(Metadata!P636,"human-oral"),exact(Metadata!P636,"human-gut"),exact(Metadata!P636,"human-vaginal"),exact(Metadata!P636,"microbial mat/biofilm"),exact(Metadata!P636,"misc environment"),exact(Metadata!P636,"plant-associated"),exact(Metadata!P636,"sediment"),exact(Metadata!P636,"soil"),exact(Metadata!P636,"wastewater/sludge"),exact(Metadata!P636,"water"))))</f>
        <v>0</v>
      </c>
      <c r="BC636">
        <f>IF(Metadata!Q636="",FALSE,TRUE)</f>
        <v>0</v>
      </c>
      <c r="BD636">
        <f>IF(Metadata!R636="",FALSE,TRUE)</f>
        <v>0</v>
      </c>
      <c r="BE636">
        <f>OR(AND(IF(Metadata!S636="",FALSE,TRUE),OR(exact(Metadata!S636,"not collected"),exact(Metadata!S636,"not provided"),exact(Metadata!S636,"restricted access"))),AND(IF(Metadata!S636="",FALSE,ISNUMBER(VALUE(Metadata!S636))),Metadata!S636&gt;=-90.00,Metadata!S636&lt;=90.00))</f>
        <v>0</v>
      </c>
      <c r="BF636">
        <f>AND(IF(Metadata!T636="",FALSE,TRUE),exact(Metadata!T636,"Decimal degrees"))</f>
        <v>0</v>
      </c>
      <c r="BG636">
        <f>OR(AND(IF(Metadata!U636="",FALSE,TRUE),OR(exact(Metadata!U636,"not collected"),exact(Metadata!U636,"not provided"),exact(Metadata!U636,"restricted access"))),AND(IF(Metadata!U636="",FALSE,ISNUMBER(VALUE(Metadata!U636))),Metadata!U636&gt;=-180.00,Metadata!U636&lt;=180.00))</f>
        <v>0</v>
      </c>
      <c r="BH636">
        <f>AND(IF(Metadata!V636="",FALSE,TRUE),exact(Metadata!V636,"Decimal degrees"))</f>
        <v>0</v>
      </c>
      <c r="BI636">
        <f>IF(Metadata!W636="",FALSE,TRUE)</f>
        <v>0</v>
      </c>
      <c r="BJ636">
        <f>OR(AND(IF(Metadata!X636="",FALSE,TRUE),OR(exact(Metadata!X636,"not collected"),exact(Metadata!X636,"not provided"),exact(Metadata!X636,"restricted access"))),AND(IF(Metadata!X636="",FALSE,TRUE),OR(exact(Metadata!X636,"TRUE"),exact(Metadata!X636,"FALSE"))))</f>
        <v>0</v>
      </c>
      <c r="BK636">
        <f>AND(IF(Metadata!Y636="",FALSE,TRUE),exact(Metadata!Y636,"other"))</f>
        <v>0</v>
      </c>
      <c r="BL636">
        <f>IF(Metadata!Z636="",FALSE,TRUE)</f>
        <v>0</v>
      </c>
      <c r="BM636">
        <f>OR(AND(IF(Metadata!AA636="",FALSE,TRUE),OR(exact(Metadata!AA636,"not collected"),exact(Metadata!AA636,"not provided"))),AND(IF(Metadata!AA636="",FALSE,IF(ISERROR(INT(Metadata!AA636)),FALSE,INT(Metadata!AA636)=Metadata!AA636)),Metadata!AA636&gt;0))</f>
        <v>0</v>
      </c>
      <c r="BN636">
        <f>AND(IF(Metadata!AB636="",FALSE,TRUE),exact(Metadata!AB636,"Not applicable"))</f>
        <v>0</v>
      </c>
      <c r="BO636">
        <f>IF(Metadata!AC636="",FALSE,TRUE)</f>
        <v>0</v>
      </c>
    </row>
    <row r="637" spans="1:67">
      <c r="A637" s="5">
        <f>IF(B637=" "," ",HYPERLINK(CONCATENATE("#metadata!",ADDRESS(INDEX($AI$2:$AI$1001,MATCH(ROWS($AG$2:AG637),$AG$2:$AG$1001,0),0),1)),INDEX($AL$2:$AL$1001,MATCH(ROWS($AG$2:AG637),$AG$2:$AG$1001,0),0)))</f>
        <v>0</v>
      </c>
      <c r="B637" s="4">
        <f>IF(OR(INDEX($AH$2:$AH$1001,MATCH(ROWS($AG$2:AG637),$AG$2:$AG$1001,0),1)&gt;=100000,INDEX($AN$1005:$BO$1005,1,MATCH(COLUMNS($AN$1006:AN1006),$AN$1006:$BO$1006,0))&gt;=100000), " ",IF(INDEX($AN$2:$BO$1001,MATCH(ROWS($AG$2:AG637),$AG$2:$AG$1001,0),MATCH(COLUMNS($AN$1006:AN1006),$AN$1006:$BO$1006,0)), HYPERLINK("#",""), HYPERLINK(CONCATENATE("#Metadata!", ADDRESS(INDEX($AI$2:$AI$1001,MATCH(ROWS($AG$2:AG637),$AG$2:$AG$1001,0),0), INDEX($AN$1004:$BO$1004,1,MATCH(COLUMNS($AN$1006:AN1006),$AN$1006:$BO$1006,0)))),"Fix")))</f>
        <v>0</v>
      </c>
      <c r="C637" s="4">
        <f>IF(OR(INDEX($AH$2:$AH$1001,MATCH(ROWS($AG$2:AG637),$AG$2:$AG$1001,0),1)&gt;=100000,INDEX($AN$1005:$BO$1005,1,MATCH(COLUMNS($AN$1006:AO1006),$AN$1006:$BO$1006,0))&gt;=100000), " ",IF(INDEX($AN$2:$BO$1001,MATCH(ROWS($AG$2:AG637),$AG$2:$AG$1001,0),MATCH(COLUMNS($AN$1006:AO1006),$AN$1006:$BO$1006,0)), HYPERLINK("#",""), HYPERLINK(CONCATENATE("#Metadata!", ADDRESS(INDEX($AI$2:$AI$1001,MATCH(ROWS($AG$2:AG637),$AG$2:$AG$1001,0),0), INDEX($AN$1004:$BO$1004,1,MATCH(COLUMNS($AN$1006:AO1006),$AN$1006:$BO$1006,0)))),"Fix")))</f>
        <v>0</v>
      </c>
      <c r="D637" s="4">
        <f>IF(OR(INDEX($AH$2:$AH$1001,MATCH(ROWS($AG$2:AG637),$AG$2:$AG$1001,0),1)&gt;=100000,INDEX($AN$1005:$BO$1005,1,MATCH(COLUMNS($AN$1006:AP1006),$AN$1006:$BO$1006,0))&gt;=100000), " ",IF(INDEX($AN$2:$BO$1001,MATCH(ROWS($AG$2:AG637),$AG$2:$AG$1001,0),MATCH(COLUMNS($AN$1006:AP1006),$AN$1006:$BO$1006,0)), HYPERLINK("#",""), HYPERLINK(CONCATENATE("#Metadata!", ADDRESS(INDEX($AI$2:$AI$1001,MATCH(ROWS($AG$2:AG637),$AG$2:$AG$1001,0),0), INDEX($AN$1004:$BO$1004,1,MATCH(COLUMNS($AN$1006:AP1006),$AN$1006:$BO$1006,0)))),"Fix")))</f>
        <v>0</v>
      </c>
      <c r="E637" s="4">
        <f>IF(OR(INDEX($AH$2:$AH$1001,MATCH(ROWS($AG$2:AG637),$AG$2:$AG$1001,0),1)&gt;=100000,INDEX($AN$1005:$BO$1005,1,MATCH(COLUMNS($AN$1006:AQ1006),$AN$1006:$BO$1006,0))&gt;=100000), " ",IF(INDEX($AN$2:$BO$1001,MATCH(ROWS($AG$2:AG637),$AG$2:$AG$1001,0),MATCH(COLUMNS($AN$1006:AQ1006),$AN$1006:$BO$1006,0)), HYPERLINK("#",""), HYPERLINK(CONCATENATE("#Metadata!", ADDRESS(INDEX($AI$2:$AI$1001,MATCH(ROWS($AG$2:AG637),$AG$2:$AG$1001,0),0), INDEX($AN$1004:$BO$1004,1,MATCH(COLUMNS($AN$1006:AQ1006),$AN$1006:$BO$1006,0)))),"Fix")))</f>
        <v>0</v>
      </c>
      <c r="F637" s="4">
        <f>IF(OR(INDEX($AH$2:$AH$1001,MATCH(ROWS($AG$2:AG637),$AG$2:$AG$1001,0),1)&gt;=100000,INDEX($AN$1005:$BO$1005,1,MATCH(COLUMNS($AN$1006:AR1006),$AN$1006:$BO$1006,0))&gt;=100000), " ",IF(INDEX($AN$2:$BO$1001,MATCH(ROWS($AG$2:AG637),$AG$2:$AG$1001,0),MATCH(COLUMNS($AN$1006:AR1006),$AN$1006:$BO$1006,0)), HYPERLINK("#",""), HYPERLINK(CONCATENATE("#Metadata!", ADDRESS(INDEX($AI$2:$AI$1001,MATCH(ROWS($AG$2:AG637),$AG$2:$AG$1001,0),0), INDEX($AN$1004:$BO$1004,1,MATCH(COLUMNS($AN$1006:AR1006),$AN$1006:$BO$1006,0)))),"Fix")))</f>
        <v>0</v>
      </c>
      <c r="G637" s="4">
        <f>IF(OR(INDEX($AH$2:$AH$1001,MATCH(ROWS($AG$2:AG637),$AG$2:$AG$1001,0),1)&gt;=100000,INDEX($AN$1005:$BO$1005,1,MATCH(COLUMNS($AN$1006:AS1006),$AN$1006:$BO$1006,0))&gt;=100000), " ",IF(INDEX($AN$2:$BO$1001,MATCH(ROWS($AG$2:AG637),$AG$2:$AG$1001,0),MATCH(COLUMNS($AN$1006:AS1006),$AN$1006:$BO$1006,0)), HYPERLINK("#",""), HYPERLINK(CONCATENATE("#Metadata!", ADDRESS(INDEX($AI$2:$AI$1001,MATCH(ROWS($AG$2:AG637),$AG$2:$AG$1001,0),0), INDEX($AN$1004:$BO$1004,1,MATCH(COLUMNS($AN$1006:AS1006),$AN$1006:$BO$1006,0)))),"Fix")))</f>
        <v>0</v>
      </c>
      <c r="H637" s="4">
        <f>IF(OR(INDEX($AH$2:$AH$1001,MATCH(ROWS($AG$2:AG637),$AG$2:$AG$1001,0),1)&gt;=100000,INDEX($AN$1005:$BO$1005,1,MATCH(COLUMNS($AN$1006:AT1006),$AN$1006:$BO$1006,0))&gt;=100000), " ",IF(INDEX($AN$2:$BO$1001,MATCH(ROWS($AG$2:AG637),$AG$2:$AG$1001,0),MATCH(COLUMNS($AN$1006:AT1006),$AN$1006:$BO$1006,0)), HYPERLINK("#",""), HYPERLINK(CONCATENATE("#Metadata!", ADDRESS(INDEX($AI$2:$AI$1001,MATCH(ROWS($AG$2:AG637),$AG$2:$AG$1001,0),0), INDEX($AN$1004:$BO$1004,1,MATCH(COLUMNS($AN$1006:AT1006),$AN$1006:$BO$1006,0)))),"Fix")))</f>
        <v>0</v>
      </c>
      <c r="I637" s="4">
        <f>IF(OR(INDEX($AH$2:$AH$1001,MATCH(ROWS($AG$2:AG637),$AG$2:$AG$1001,0),1)&gt;=100000,INDEX($AN$1005:$BO$1005,1,MATCH(COLUMNS($AN$1006:AU1006),$AN$1006:$BO$1006,0))&gt;=100000), " ",IF(INDEX($AN$2:$BO$1001,MATCH(ROWS($AG$2:AG637),$AG$2:$AG$1001,0),MATCH(COLUMNS($AN$1006:AU1006),$AN$1006:$BO$1006,0)), HYPERLINK("#",""), HYPERLINK(CONCATENATE("#Metadata!", ADDRESS(INDEX($AI$2:$AI$1001,MATCH(ROWS($AG$2:AG637),$AG$2:$AG$1001,0),0), INDEX($AN$1004:$BO$1004,1,MATCH(COLUMNS($AN$1006:AU1006),$AN$1006:$BO$1006,0)))),"Fix")))</f>
        <v>0</v>
      </c>
      <c r="J637" s="4">
        <f>IF(OR(INDEX($AH$2:$AH$1001,MATCH(ROWS($AG$2:AG637),$AG$2:$AG$1001,0),1)&gt;=100000,INDEX($AN$1005:$BO$1005,1,MATCH(COLUMNS($AN$1006:AV1006),$AN$1006:$BO$1006,0))&gt;=100000), " ",IF(INDEX($AN$2:$BO$1001,MATCH(ROWS($AG$2:AG637),$AG$2:$AG$1001,0),MATCH(COLUMNS($AN$1006:AV1006),$AN$1006:$BO$1006,0)), HYPERLINK("#",""), HYPERLINK(CONCATENATE("#Metadata!", ADDRESS(INDEX($AI$2:$AI$1001,MATCH(ROWS($AG$2:AG637),$AG$2:$AG$1001,0),0), INDEX($AN$1004:$BO$1004,1,MATCH(COLUMNS($AN$1006:AV1006),$AN$1006:$BO$1006,0)))),"Fix")))</f>
        <v>0</v>
      </c>
      <c r="K637" s="4">
        <f>IF(OR(INDEX($AH$2:$AH$1001,MATCH(ROWS($AG$2:AG637),$AG$2:$AG$1001,0),1)&gt;=100000,INDEX($AN$1005:$BO$1005,1,MATCH(COLUMNS($AN$1006:AW1006),$AN$1006:$BO$1006,0))&gt;=100000), " ",IF(INDEX($AN$2:$BO$1001,MATCH(ROWS($AG$2:AG637),$AG$2:$AG$1001,0),MATCH(COLUMNS($AN$1006:AW1006),$AN$1006:$BO$1006,0)), HYPERLINK("#",""), HYPERLINK(CONCATENATE("#Metadata!", ADDRESS(INDEX($AI$2:$AI$1001,MATCH(ROWS($AG$2:AG637),$AG$2:$AG$1001,0),0), INDEX($AN$1004:$BO$1004,1,MATCH(COLUMNS($AN$1006:AW1006),$AN$1006:$BO$1006,0)))),"Fix")))</f>
        <v>0</v>
      </c>
      <c r="L637" s="4">
        <f>IF(OR(INDEX($AH$2:$AH$1001,MATCH(ROWS($AG$2:AG637),$AG$2:$AG$1001,0),1)&gt;=100000,INDEX($AN$1005:$BO$1005,1,MATCH(COLUMNS($AN$1006:AX1006),$AN$1006:$BO$1006,0))&gt;=100000), " ",IF(INDEX($AN$2:$BO$1001,MATCH(ROWS($AG$2:AG637),$AG$2:$AG$1001,0),MATCH(COLUMNS($AN$1006:AX1006),$AN$1006:$BO$1006,0)), HYPERLINK("#",""), HYPERLINK(CONCATENATE("#Metadata!", ADDRESS(INDEX($AI$2:$AI$1001,MATCH(ROWS($AG$2:AG637),$AG$2:$AG$1001,0),0), INDEX($AN$1004:$BO$1004,1,MATCH(COLUMNS($AN$1006:AX1006),$AN$1006:$BO$1006,0)))),"Fix")))</f>
        <v>0</v>
      </c>
      <c r="M637" s="4">
        <f>IF(OR(INDEX($AH$2:$AH$1001,MATCH(ROWS($AG$2:AG637),$AG$2:$AG$1001,0),1)&gt;=100000,INDEX($AN$1005:$BO$1005,1,MATCH(COLUMNS($AN$1006:AY1006),$AN$1006:$BO$1006,0))&gt;=100000), " ",IF(INDEX($AN$2:$BO$1001,MATCH(ROWS($AG$2:AG637),$AG$2:$AG$1001,0),MATCH(COLUMNS($AN$1006:AY1006),$AN$1006:$BO$1006,0)), HYPERLINK("#",""), HYPERLINK(CONCATENATE("#Metadata!", ADDRESS(INDEX($AI$2:$AI$1001,MATCH(ROWS($AG$2:AG637),$AG$2:$AG$1001,0),0), INDEX($AN$1004:$BO$1004,1,MATCH(COLUMNS($AN$1006:AY1006),$AN$1006:$BO$1006,0)))),"Fix")))</f>
        <v>0</v>
      </c>
      <c r="N637" s="4">
        <f>IF(OR(INDEX($AH$2:$AH$1001,MATCH(ROWS($AG$2:AG637),$AG$2:$AG$1001,0),1)&gt;=100000,INDEX($AN$1005:$BO$1005,1,MATCH(COLUMNS($AN$1006:AZ1006),$AN$1006:$BO$1006,0))&gt;=100000), " ",IF(INDEX($AN$2:$BO$1001,MATCH(ROWS($AG$2:AG637),$AG$2:$AG$1001,0),MATCH(COLUMNS($AN$1006:AZ1006),$AN$1006:$BO$1006,0)), HYPERLINK("#",""), HYPERLINK(CONCATENATE("#Metadata!", ADDRESS(INDEX($AI$2:$AI$1001,MATCH(ROWS($AG$2:AG637),$AG$2:$AG$1001,0),0), INDEX($AN$1004:$BO$1004,1,MATCH(COLUMNS($AN$1006:AZ1006),$AN$1006:$BO$1006,0)))),"Fix")))</f>
        <v>0</v>
      </c>
      <c r="O637" s="4">
        <f>IF(OR(INDEX($AH$2:$AH$1001,MATCH(ROWS($AG$2:AG637),$AG$2:$AG$1001,0),1)&gt;=100000,INDEX($AN$1005:$BO$1005,1,MATCH(COLUMNS($AN$1006:BA1006),$AN$1006:$BO$1006,0))&gt;=100000), " ",IF(INDEX($AN$2:$BO$1001,MATCH(ROWS($AG$2:AG637),$AG$2:$AG$1001,0),MATCH(COLUMNS($AN$1006:BA1006),$AN$1006:$BO$1006,0)), HYPERLINK("#",""), HYPERLINK(CONCATENATE("#Metadata!", ADDRESS(INDEX($AI$2:$AI$1001,MATCH(ROWS($AG$2:AG637),$AG$2:$AG$1001,0),0), INDEX($AN$1004:$BO$1004,1,MATCH(COLUMNS($AN$1006:BA1006),$AN$1006:$BO$1006,0)))),"Fix")))</f>
        <v>0</v>
      </c>
      <c r="P637" s="4">
        <f>IF(OR(INDEX($AH$2:$AH$1001,MATCH(ROWS($AG$2:AG637),$AG$2:$AG$1001,0),1)&gt;=100000,INDEX($AN$1005:$BO$1005,1,MATCH(COLUMNS($AN$1006:BB1006),$AN$1006:$BO$1006,0))&gt;=100000), " ",IF(INDEX($AN$2:$BO$1001,MATCH(ROWS($AG$2:AG637),$AG$2:$AG$1001,0),MATCH(COLUMNS($AN$1006:BB1006),$AN$1006:$BO$1006,0)), HYPERLINK("#",""), HYPERLINK(CONCATENATE("#Metadata!", ADDRESS(INDEX($AI$2:$AI$1001,MATCH(ROWS($AG$2:AG637),$AG$2:$AG$1001,0),0), INDEX($AN$1004:$BO$1004,1,MATCH(COLUMNS($AN$1006:BB1006),$AN$1006:$BO$1006,0)))),"Fix")))</f>
        <v>0</v>
      </c>
      <c r="Q637" s="4">
        <f>IF(OR(INDEX($AH$2:$AH$1001,MATCH(ROWS($AG$2:AG637),$AG$2:$AG$1001,0),1)&gt;=100000,INDEX($AN$1005:$BO$1005,1,MATCH(COLUMNS($AN$1006:BC1006),$AN$1006:$BO$1006,0))&gt;=100000), " ",IF(INDEX($AN$2:$BO$1001,MATCH(ROWS($AG$2:AG637),$AG$2:$AG$1001,0),MATCH(COLUMNS($AN$1006:BC1006),$AN$1006:$BO$1006,0)), HYPERLINK("#",""), HYPERLINK(CONCATENATE("#Metadata!", ADDRESS(INDEX($AI$2:$AI$1001,MATCH(ROWS($AG$2:AG637),$AG$2:$AG$1001,0),0), INDEX($AN$1004:$BO$1004,1,MATCH(COLUMNS($AN$1006:BC1006),$AN$1006:$BO$1006,0)))),"Fix")))</f>
        <v>0</v>
      </c>
      <c r="R637" s="4">
        <f>IF(OR(INDEX($AH$2:$AH$1001,MATCH(ROWS($AG$2:AG637),$AG$2:$AG$1001,0),1)&gt;=100000,INDEX($AN$1005:$BO$1005,1,MATCH(COLUMNS($AN$1006:BD1006),$AN$1006:$BO$1006,0))&gt;=100000), " ",IF(INDEX($AN$2:$BO$1001,MATCH(ROWS($AG$2:AG637),$AG$2:$AG$1001,0),MATCH(COLUMNS($AN$1006:BD1006),$AN$1006:$BO$1006,0)), HYPERLINK("#",""), HYPERLINK(CONCATENATE("#Metadata!", ADDRESS(INDEX($AI$2:$AI$1001,MATCH(ROWS($AG$2:AG637),$AG$2:$AG$1001,0),0), INDEX($AN$1004:$BO$1004,1,MATCH(COLUMNS($AN$1006:BD1006),$AN$1006:$BO$1006,0)))),"Fix")))</f>
        <v>0</v>
      </c>
      <c r="S637" s="4">
        <f>IF(OR(INDEX($AH$2:$AH$1001,MATCH(ROWS($AG$2:AG637),$AG$2:$AG$1001,0),1)&gt;=100000,INDEX($AN$1005:$BO$1005,1,MATCH(COLUMNS($AN$1006:BE1006),$AN$1006:$BO$1006,0))&gt;=100000), " ",IF(INDEX($AN$2:$BO$1001,MATCH(ROWS($AG$2:AG637),$AG$2:$AG$1001,0),MATCH(COLUMNS($AN$1006:BE1006),$AN$1006:$BO$1006,0)), HYPERLINK("#",""), HYPERLINK(CONCATENATE("#Metadata!", ADDRESS(INDEX($AI$2:$AI$1001,MATCH(ROWS($AG$2:AG637),$AG$2:$AG$1001,0),0), INDEX($AN$1004:$BO$1004,1,MATCH(COLUMNS($AN$1006:BE1006),$AN$1006:$BO$1006,0)))),"Fix")))</f>
        <v>0</v>
      </c>
      <c r="T637" s="4">
        <f>IF(OR(INDEX($AH$2:$AH$1001,MATCH(ROWS($AG$2:AG637),$AG$2:$AG$1001,0),1)&gt;=100000,INDEX($AN$1005:$BO$1005,1,MATCH(COLUMNS($AN$1006:BF1006),$AN$1006:$BO$1006,0))&gt;=100000), " ",IF(INDEX($AN$2:$BO$1001,MATCH(ROWS($AG$2:AG637),$AG$2:$AG$1001,0),MATCH(COLUMNS($AN$1006:BF1006),$AN$1006:$BO$1006,0)), HYPERLINK("#",""), HYPERLINK(CONCATENATE("#Metadata!", ADDRESS(INDEX($AI$2:$AI$1001,MATCH(ROWS($AG$2:AG637),$AG$2:$AG$1001,0),0), INDEX($AN$1004:$BO$1004,1,MATCH(COLUMNS($AN$1006:BF1006),$AN$1006:$BO$1006,0)))),"Fix")))</f>
        <v>0</v>
      </c>
      <c r="U637" s="4">
        <f>IF(OR(INDEX($AH$2:$AH$1001,MATCH(ROWS($AG$2:AG637),$AG$2:$AG$1001,0),1)&gt;=100000,INDEX($AN$1005:$BO$1005,1,MATCH(COLUMNS($AN$1006:BG1006),$AN$1006:$BO$1006,0))&gt;=100000), " ",IF(INDEX($AN$2:$BO$1001,MATCH(ROWS($AG$2:AG637),$AG$2:$AG$1001,0),MATCH(COLUMNS($AN$1006:BG1006),$AN$1006:$BO$1006,0)), HYPERLINK("#",""), HYPERLINK(CONCATENATE("#Metadata!", ADDRESS(INDEX($AI$2:$AI$1001,MATCH(ROWS($AG$2:AG637),$AG$2:$AG$1001,0),0), INDEX($AN$1004:$BO$1004,1,MATCH(COLUMNS($AN$1006:BG1006),$AN$1006:$BO$1006,0)))),"Fix")))</f>
        <v>0</v>
      </c>
      <c r="V637" s="4">
        <f>IF(OR(INDEX($AH$2:$AH$1001,MATCH(ROWS($AG$2:AG637),$AG$2:$AG$1001,0),1)&gt;=100000,INDEX($AN$1005:$BO$1005,1,MATCH(COLUMNS($AN$1006:BH1006),$AN$1006:$BO$1006,0))&gt;=100000), " ",IF(INDEX($AN$2:$BO$1001,MATCH(ROWS($AG$2:AG637),$AG$2:$AG$1001,0),MATCH(COLUMNS($AN$1006:BH1006),$AN$1006:$BO$1006,0)), HYPERLINK("#",""), HYPERLINK(CONCATENATE("#Metadata!", ADDRESS(INDEX($AI$2:$AI$1001,MATCH(ROWS($AG$2:AG637),$AG$2:$AG$1001,0),0), INDEX($AN$1004:$BO$1004,1,MATCH(COLUMNS($AN$1006:BH1006),$AN$1006:$BO$1006,0)))),"Fix")))</f>
        <v>0</v>
      </c>
      <c r="W637" s="4">
        <f>IF(OR(INDEX($AH$2:$AH$1001,MATCH(ROWS($AG$2:AG637),$AG$2:$AG$1001,0),1)&gt;=100000,INDEX($AN$1005:$BO$1005,1,MATCH(COLUMNS($AN$1006:BI1006),$AN$1006:$BO$1006,0))&gt;=100000), " ",IF(INDEX($AN$2:$BO$1001,MATCH(ROWS($AG$2:AG637),$AG$2:$AG$1001,0),MATCH(COLUMNS($AN$1006:BI1006),$AN$1006:$BO$1006,0)), HYPERLINK("#",""), HYPERLINK(CONCATENATE("#Metadata!", ADDRESS(INDEX($AI$2:$AI$1001,MATCH(ROWS($AG$2:AG637),$AG$2:$AG$1001,0),0), INDEX($AN$1004:$BO$1004,1,MATCH(COLUMNS($AN$1006:BI1006),$AN$1006:$BO$1006,0)))),"Fix")))</f>
        <v>0</v>
      </c>
      <c r="X637" s="4">
        <f>IF(OR(INDEX($AH$2:$AH$1001,MATCH(ROWS($AG$2:AG637),$AG$2:$AG$1001,0),1)&gt;=100000,INDEX($AN$1005:$BO$1005,1,MATCH(COLUMNS($AN$1006:BJ1006),$AN$1006:$BO$1006,0))&gt;=100000), " ",IF(INDEX($AN$2:$BO$1001,MATCH(ROWS($AG$2:AG637),$AG$2:$AG$1001,0),MATCH(COLUMNS($AN$1006:BJ1006),$AN$1006:$BO$1006,0)), HYPERLINK("#",""), HYPERLINK(CONCATENATE("#Metadata!", ADDRESS(INDEX($AI$2:$AI$1001,MATCH(ROWS($AG$2:AG637),$AG$2:$AG$1001,0),0), INDEX($AN$1004:$BO$1004,1,MATCH(COLUMNS($AN$1006:BJ1006),$AN$1006:$BO$1006,0)))),"Fix")))</f>
        <v>0</v>
      </c>
      <c r="Y637" s="4">
        <f>IF(OR(INDEX($AH$2:$AH$1001,MATCH(ROWS($AG$2:AG637),$AG$2:$AG$1001,0),1)&gt;=100000,INDEX($AN$1005:$BO$1005,1,MATCH(COLUMNS($AN$1006:BK1006),$AN$1006:$BO$1006,0))&gt;=100000), " ",IF(INDEX($AN$2:$BO$1001,MATCH(ROWS($AG$2:AG637),$AG$2:$AG$1001,0),MATCH(COLUMNS($AN$1006:BK1006),$AN$1006:$BO$1006,0)), HYPERLINK("#",""), HYPERLINK(CONCATENATE("#Metadata!", ADDRESS(INDEX($AI$2:$AI$1001,MATCH(ROWS($AG$2:AG637),$AG$2:$AG$1001,0),0), INDEX($AN$1004:$BO$1004,1,MATCH(COLUMNS($AN$1006:BK1006),$AN$1006:$BO$1006,0)))),"Fix")))</f>
        <v>0</v>
      </c>
      <c r="Z637" s="4">
        <f>IF(OR(INDEX($AH$2:$AH$1001,MATCH(ROWS($AG$2:AG637),$AG$2:$AG$1001,0),1)&gt;=100000,INDEX($AN$1005:$BO$1005,1,MATCH(COLUMNS($AN$1006:BL1006),$AN$1006:$BO$1006,0))&gt;=100000), " ",IF(INDEX($AN$2:$BO$1001,MATCH(ROWS($AG$2:AG637),$AG$2:$AG$1001,0),MATCH(COLUMNS($AN$1006:BL1006),$AN$1006:$BO$1006,0)), HYPERLINK("#",""), HYPERLINK(CONCATENATE("#Metadata!", ADDRESS(INDEX($AI$2:$AI$1001,MATCH(ROWS($AG$2:AG637),$AG$2:$AG$1001,0),0), INDEX($AN$1004:$BO$1004,1,MATCH(COLUMNS($AN$1006:BL1006),$AN$1006:$BO$1006,0)))),"Fix")))</f>
        <v>0</v>
      </c>
      <c r="AA637" s="4">
        <f>IF(OR(INDEX($AH$2:$AH$1001,MATCH(ROWS($AG$2:AG637),$AG$2:$AG$1001,0),1)&gt;=100000,INDEX($AN$1005:$BO$1005,1,MATCH(COLUMNS($AN$1006:BM1006),$AN$1006:$BO$1006,0))&gt;=100000), " ",IF(INDEX($AN$2:$BO$1001,MATCH(ROWS($AG$2:AG637),$AG$2:$AG$1001,0),MATCH(COLUMNS($AN$1006:BM1006),$AN$1006:$BO$1006,0)), HYPERLINK("#",""), HYPERLINK(CONCATENATE("#Metadata!", ADDRESS(INDEX($AI$2:$AI$1001,MATCH(ROWS($AG$2:AG637),$AG$2:$AG$1001,0),0), INDEX($AN$1004:$BO$1004,1,MATCH(COLUMNS($AN$1006:BM1006),$AN$1006:$BO$1006,0)))),"Fix")))</f>
        <v>0</v>
      </c>
      <c r="AB637" s="4">
        <f>IF(OR(INDEX($AH$2:$AH$1001,MATCH(ROWS($AG$2:AG637),$AG$2:$AG$1001,0),1)&gt;=100000,INDEX($AN$1005:$BO$1005,1,MATCH(COLUMNS($AN$1006:BN1006),$AN$1006:$BO$1006,0))&gt;=100000), " ",IF(INDEX($AN$2:$BO$1001,MATCH(ROWS($AG$2:AG637),$AG$2:$AG$1001,0),MATCH(COLUMNS($AN$1006:BN1006),$AN$1006:$BO$1006,0)), HYPERLINK("#",""), HYPERLINK(CONCATENATE("#Metadata!", ADDRESS(INDEX($AI$2:$AI$1001,MATCH(ROWS($AG$2:AG637),$AG$2:$AG$1001,0),0), INDEX($AN$1004:$BO$1004,1,MATCH(COLUMNS($AN$1006:BN1006),$AN$1006:$BO$1006,0)))),"Fix")))</f>
        <v>0</v>
      </c>
      <c r="AC637" s="4">
        <f>IF(OR(INDEX($AH$2:$AH$1001,MATCH(ROWS($AG$2:AG637),$AG$2:$AG$1001,0),1)&gt;=100000,INDEX($AN$1005:$BO$1005,1,MATCH(COLUMNS($AN$1006:BO1006),$AN$1006:$BO$1006,0))&gt;=100000), " ",IF(INDEX($AN$2:$BO$1001,MATCH(ROWS($AG$2:AG637),$AG$2:$AG$1001,0),MATCH(COLUMNS($AN$1006:BO1006),$AN$1006:$BO$1006,0)), HYPERLINK("#",""), HYPERLINK(CONCATENATE("#Metadata!", ADDRESS(INDEX($AI$2:$AI$1001,MATCH(ROWS($AG$2:AG637),$AG$2:$AG$1001,0),0), INDEX($AN$1004:$BO$1004,1,MATCH(COLUMNS($AN$1006:BO1006),$AN$1006:$BO$1006,0)))),"Fix")))</f>
        <v>0</v>
      </c>
      <c r="AG637">
        <v>0</v>
      </c>
      <c r="AH637">
        <v>0</v>
      </c>
      <c r="AI637">
        <v>0</v>
      </c>
      <c r="AJ637">
        <f>IF(AK637,TRUE,AND(AN637:BO637))</f>
        <v>0</v>
      </c>
      <c r="AK637">
        <f>COUNTBLANK(Metadata!B637:AC637)=COLUMNS(Metadata!B637:AC637)</f>
        <v>0</v>
      </c>
      <c r="AL637">
        <v>0</v>
      </c>
      <c r="AN637">
        <f>AND(IF(Metadata!B637="",FALSE,TRUE),COUNTIF(Metadata!B:B, Metadata!B637) = 1,NOT(ISERROR(SUMPRODUCT(SEARCH(MID(Metadata!B637,ROW(INDIRECT("1:"&amp;LEN(Metadata!B637))), 1),"0123456789abcdefghijklmnopqrstuvwxyzABCDEFGHIJKLMNOPQRSTUVWXYZ.")))))</f>
        <v>0</v>
      </c>
      <c r="AO637">
        <f>IF(Metadata!C637="",FALSE,TRUE)</f>
        <v>0</v>
      </c>
      <c r="AP637">
        <f>IF(Metadata!D637="",FALSE,TRUE)</f>
        <v>0</v>
      </c>
      <c r="AQ637">
        <f>OR(AND(IF(Metadata!E637="",FALSE,TRUE),OR(exact(Metadata!E637,"not collected"),exact(Metadata!E637,"not provided"),exact(Metadata!E637,"restricted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R637">
        <f>IF(Metadata!F637="",FALSE,TRUE)</f>
        <v>0</v>
      </c>
      <c r="AS637">
        <f>OR(AND(IF(Metadata!G637="",FALSE,TRUE),OR(exact(Metadata!G637,"not collected"),exact(Metadata!G637,"not provided"))),AND(IF(Metadata!G637="",FALSE,TRUE),OR(exact(Metadata!G637,"TRUE"),exact(Metadata!G637,"FALSE"))))</f>
        <v>0</v>
      </c>
      <c r="AT637">
        <f>OR(AND(IF(Metadata!H637="",FALSE,TRUE),OR(exact(Metadata!H637,"not collected"),exact(Metadata!H637,"not provided"),exact(Metadata!H637,"restricted access"))),AND(IF(Metadata!H637="",FALSE,ISNUMBER(VALUE(Metadata!H637))),Metadata!H637&gt;=-413.0))</f>
        <v>0</v>
      </c>
      <c r="AU637">
        <f>AND(IF(Metadata!I637="",FALSE,TRUE),exact(Metadata!I637,"meters"))</f>
        <v>0</v>
      </c>
      <c r="AV637">
        <f>AND(IF(Metadata!J637="",FALSE,TRUE),OR(exact(Metadata!J637,"Host-associated"),exact(Metadata!J637,"Free-living")))</f>
        <v>0</v>
      </c>
      <c r="AW637">
        <f>AND(IF(Metadata!K637="",FALSE,TRUE),OR(exact(Metadata!K637,"Animal"),exact(Metadata!K637,"Fungus"),exact(Metadata!K637,"Plant"),exact(Metadata!K637,"Saline"),exact(Metadata!K637,"Non-saline")))</f>
        <v>0</v>
      </c>
      <c r="AX637">
        <f>AND(IF(Metadata!L637="",FALSE,TRUE),OR(exact(Metadata!L637,"Plant secretion"),exact(Metadata!L637,"Plant rhizosphere"),exact(Metadata!L637,"Plant surface"),exact(Metadata!L637,"Plant corpus"),exact(Metadata!L637,"Fungus surface"),exact(Metadata!L637,"Fungus corpus"),exact(Metadata!L637,"Animal surface"),exact(Metadata!L637,"Animal proximal gut"),exact(Metadata!L637,"Animal corpus"),exact(Metadata!L637,"Animal distal gut"),exact(Metadata!L637,"Animal secretion"),exact(Metadata!L637,"Sub-surface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Y637">
        <f>IF(Metadata!M637="",FALSE,TRUE)</f>
        <v>0</v>
      </c>
      <c r="AZ637">
        <f>IF(Metadata!N637="",FALSE,TRUE)</f>
        <v>0</v>
      </c>
      <c r="BA637">
        <f>IF(Metadata!O637="",FALSE,TRUE)</f>
        <v>0</v>
      </c>
      <c r="BB637">
        <f>OR(AND(IF(Metadata!P637="",FALSE,TRUE),OR(exact(Metadata!P637,"not collected"),exact(Metadata!P637,"not provided"),exact(Metadata!P637,"restricted access"))),AND(IF(Metadata!P637="",FALSE,TRUE),OR(exact(Metadata!P637,"air"),exact(Metadata!P637,"built environment"),exact(Metadata!P637,"host-associated"),exact(Metadata!P637,"human-associated"),exact(Metadata!P637,"human-skin"),exact(Metadata!P637,"human-oral"),exact(Metadata!P637,"human-gut"),exact(Metadata!P637,"human-vaginal"),exact(Metadata!P637,"microbial mat/biofilm"),exact(Metadata!P637,"misc environment"),exact(Metadata!P637,"plant-associated"),exact(Metadata!P637,"sediment"),exact(Metadata!P637,"soil"),exact(Metadata!P637,"wastewater/sludge"),exact(Metadata!P637,"water"))))</f>
        <v>0</v>
      </c>
      <c r="BC637">
        <f>IF(Metadata!Q637="",FALSE,TRUE)</f>
        <v>0</v>
      </c>
      <c r="BD637">
        <f>IF(Metadata!R637="",FALSE,TRUE)</f>
        <v>0</v>
      </c>
      <c r="BE637">
        <f>OR(AND(IF(Metadata!S637="",FALSE,TRUE),OR(exact(Metadata!S637,"not collected"),exact(Metadata!S637,"not provided"),exact(Metadata!S637,"restricted access"))),AND(IF(Metadata!S637="",FALSE,ISNUMBER(VALUE(Metadata!S637))),Metadata!S637&gt;=-90.00,Metadata!S637&lt;=90.00))</f>
        <v>0</v>
      </c>
      <c r="BF637">
        <f>AND(IF(Metadata!T637="",FALSE,TRUE),exact(Metadata!T637,"Decimal degrees"))</f>
        <v>0</v>
      </c>
      <c r="BG637">
        <f>OR(AND(IF(Metadata!U637="",FALSE,TRUE),OR(exact(Metadata!U637,"not collected"),exact(Metadata!U637,"not provided"),exact(Metadata!U637,"restricted access"))),AND(IF(Metadata!U637="",FALSE,ISNUMBER(VALUE(Metadata!U637))),Metadata!U637&gt;=-180.00,Metadata!U637&lt;=180.00))</f>
        <v>0</v>
      </c>
      <c r="BH637">
        <f>AND(IF(Metadata!V637="",FALSE,TRUE),exact(Metadata!V637,"Decimal degrees"))</f>
        <v>0</v>
      </c>
      <c r="BI637">
        <f>IF(Metadata!W637="",FALSE,TRUE)</f>
        <v>0</v>
      </c>
      <c r="BJ637">
        <f>OR(AND(IF(Metadata!X637="",FALSE,TRUE),OR(exact(Metadata!X637,"not collected"),exact(Metadata!X637,"not provided"),exact(Metadata!X637,"restricted access"))),AND(IF(Metadata!X637="",FALSE,TRUE),OR(exact(Metadata!X637,"TRUE"),exact(Metadata!X637,"FALSE"))))</f>
        <v>0</v>
      </c>
      <c r="BK637">
        <f>AND(IF(Metadata!Y637="",FALSE,TRUE),exact(Metadata!Y637,"other"))</f>
        <v>0</v>
      </c>
      <c r="BL637">
        <f>IF(Metadata!Z637="",FALSE,TRUE)</f>
        <v>0</v>
      </c>
      <c r="BM637">
        <f>OR(AND(IF(Metadata!AA637="",FALSE,TRUE),OR(exact(Metadata!AA637,"not collected"),exact(Metadata!AA637,"not provided"))),AND(IF(Metadata!AA637="",FALSE,IF(ISERROR(INT(Metadata!AA637)),FALSE,INT(Metadata!AA637)=Metadata!AA637)),Metadata!AA637&gt;0))</f>
        <v>0</v>
      </c>
      <c r="BN637">
        <f>AND(IF(Metadata!AB637="",FALSE,TRUE),exact(Metadata!AB637,"Not applicable"))</f>
        <v>0</v>
      </c>
      <c r="BO637">
        <f>IF(Metadata!AC637="",FALSE,TRUE)</f>
        <v>0</v>
      </c>
    </row>
    <row r="638" spans="1:67">
      <c r="A638" s="5">
        <f>IF(B638=" "," ",HYPERLINK(CONCATENATE("#metadata!",ADDRESS(INDEX($AI$2:$AI$1001,MATCH(ROWS($AG$2:AG638),$AG$2:$AG$1001,0),0),1)),INDEX($AL$2:$AL$1001,MATCH(ROWS($AG$2:AG638),$AG$2:$AG$1001,0),0)))</f>
        <v>0</v>
      </c>
      <c r="B638" s="4">
        <f>IF(OR(INDEX($AH$2:$AH$1001,MATCH(ROWS($AG$2:AG638),$AG$2:$AG$1001,0),1)&gt;=100000,INDEX($AN$1005:$BO$1005,1,MATCH(COLUMNS($AN$1006:AN1006),$AN$1006:$BO$1006,0))&gt;=100000), " ",IF(INDEX($AN$2:$BO$1001,MATCH(ROWS($AG$2:AG638),$AG$2:$AG$1001,0),MATCH(COLUMNS($AN$1006:AN1006),$AN$1006:$BO$1006,0)), HYPERLINK("#",""), HYPERLINK(CONCATENATE("#Metadata!", ADDRESS(INDEX($AI$2:$AI$1001,MATCH(ROWS($AG$2:AG638),$AG$2:$AG$1001,0),0), INDEX($AN$1004:$BO$1004,1,MATCH(COLUMNS($AN$1006:AN1006),$AN$1006:$BO$1006,0)))),"Fix")))</f>
        <v>0</v>
      </c>
      <c r="C638" s="4">
        <f>IF(OR(INDEX($AH$2:$AH$1001,MATCH(ROWS($AG$2:AG638),$AG$2:$AG$1001,0),1)&gt;=100000,INDEX($AN$1005:$BO$1005,1,MATCH(COLUMNS($AN$1006:AO1006),$AN$1006:$BO$1006,0))&gt;=100000), " ",IF(INDEX($AN$2:$BO$1001,MATCH(ROWS($AG$2:AG638),$AG$2:$AG$1001,0),MATCH(COLUMNS($AN$1006:AO1006),$AN$1006:$BO$1006,0)), HYPERLINK("#",""), HYPERLINK(CONCATENATE("#Metadata!", ADDRESS(INDEX($AI$2:$AI$1001,MATCH(ROWS($AG$2:AG638),$AG$2:$AG$1001,0),0), INDEX($AN$1004:$BO$1004,1,MATCH(COLUMNS($AN$1006:AO1006),$AN$1006:$BO$1006,0)))),"Fix")))</f>
        <v>0</v>
      </c>
      <c r="D638" s="4">
        <f>IF(OR(INDEX($AH$2:$AH$1001,MATCH(ROWS($AG$2:AG638),$AG$2:$AG$1001,0),1)&gt;=100000,INDEX($AN$1005:$BO$1005,1,MATCH(COLUMNS($AN$1006:AP1006),$AN$1006:$BO$1006,0))&gt;=100000), " ",IF(INDEX($AN$2:$BO$1001,MATCH(ROWS($AG$2:AG638),$AG$2:$AG$1001,0),MATCH(COLUMNS($AN$1006:AP1006),$AN$1006:$BO$1006,0)), HYPERLINK("#",""), HYPERLINK(CONCATENATE("#Metadata!", ADDRESS(INDEX($AI$2:$AI$1001,MATCH(ROWS($AG$2:AG638),$AG$2:$AG$1001,0),0), INDEX($AN$1004:$BO$1004,1,MATCH(COLUMNS($AN$1006:AP1006),$AN$1006:$BO$1006,0)))),"Fix")))</f>
        <v>0</v>
      </c>
      <c r="E638" s="4">
        <f>IF(OR(INDEX($AH$2:$AH$1001,MATCH(ROWS($AG$2:AG638),$AG$2:$AG$1001,0),1)&gt;=100000,INDEX($AN$1005:$BO$1005,1,MATCH(COLUMNS($AN$1006:AQ1006),$AN$1006:$BO$1006,0))&gt;=100000), " ",IF(INDEX($AN$2:$BO$1001,MATCH(ROWS($AG$2:AG638),$AG$2:$AG$1001,0),MATCH(COLUMNS($AN$1006:AQ1006),$AN$1006:$BO$1006,0)), HYPERLINK("#",""), HYPERLINK(CONCATENATE("#Metadata!", ADDRESS(INDEX($AI$2:$AI$1001,MATCH(ROWS($AG$2:AG638),$AG$2:$AG$1001,0),0), INDEX($AN$1004:$BO$1004,1,MATCH(COLUMNS($AN$1006:AQ1006),$AN$1006:$BO$1006,0)))),"Fix")))</f>
        <v>0</v>
      </c>
      <c r="F638" s="4">
        <f>IF(OR(INDEX($AH$2:$AH$1001,MATCH(ROWS($AG$2:AG638),$AG$2:$AG$1001,0),1)&gt;=100000,INDEX($AN$1005:$BO$1005,1,MATCH(COLUMNS($AN$1006:AR1006),$AN$1006:$BO$1006,0))&gt;=100000), " ",IF(INDEX($AN$2:$BO$1001,MATCH(ROWS($AG$2:AG638),$AG$2:$AG$1001,0),MATCH(COLUMNS($AN$1006:AR1006),$AN$1006:$BO$1006,0)), HYPERLINK("#",""), HYPERLINK(CONCATENATE("#Metadata!", ADDRESS(INDEX($AI$2:$AI$1001,MATCH(ROWS($AG$2:AG638),$AG$2:$AG$1001,0),0), INDEX($AN$1004:$BO$1004,1,MATCH(COLUMNS($AN$1006:AR1006),$AN$1006:$BO$1006,0)))),"Fix")))</f>
        <v>0</v>
      </c>
      <c r="G638" s="4">
        <f>IF(OR(INDEX($AH$2:$AH$1001,MATCH(ROWS($AG$2:AG638),$AG$2:$AG$1001,0),1)&gt;=100000,INDEX($AN$1005:$BO$1005,1,MATCH(COLUMNS($AN$1006:AS1006),$AN$1006:$BO$1006,0))&gt;=100000), " ",IF(INDEX($AN$2:$BO$1001,MATCH(ROWS($AG$2:AG638),$AG$2:$AG$1001,0),MATCH(COLUMNS($AN$1006:AS1006),$AN$1006:$BO$1006,0)), HYPERLINK("#",""), HYPERLINK(CONCATENATE("#Metadata!", ADDRESS(INDEX($AI$2:$AI$1001,MATCH(ROWS($AG$2:AG638),$AG$2:$AG$1001,0),0), INDEX($AN$1004:$BO$1004,1,MATCH(COLUMNS($AN$1006:AS1006),$AN$1006:$BO$1006,0)))),"Fix")))</f>
        <v>0</v>
      </c>
      <c r="H638" s="4">
        <f>IF(OR(INDEX($AH$2:$AH$1001,MATCH(ROWS($AG$2:AG638),$AG$2:$AG$1001,0),1)&gt;=100000,INDEX($AN$1005:$BO$1005,1,MATCH(COLUMNS($AN$1006:AT1006),$AN$1006:$BO$1006,0))&gt;=100000), " ",IF(INDEX($AN$2:$BO$1001,MATCH(ROWS($AG$2:AG638),$AG$2:$AG$1001,0),MATCH(COLUMNS($AN$1006:AT1006),$AN$1006:$BO$1006,0)), HYPERLINK("#",""), HYPERLINK(CONCATENATE("#Metadata!", ADDRESS(INDEX($AI$2:$AI$1001,MATCH(ROWS($AG$2:AG638),$AG$2:$AG$1001,0),0), INDEX($AN$1004:$BO$1004,1,MATCH(COLUMNS($AN$1006:AT1006),$AN$1006:$BO$1006,0)))),"Fix")))</f>
        <v>0</v>
      </c>
      <c r="I638" s="4">
        <f>IF(OR(INDEX($AH$2:$AH$1001,MATCH(ROWS($AG$2:AG638),$AG$2:$AG$1001,0),1)&gt;=100000,INDEX($AN$1005:$BO$1005,1,MATCH(COLUMNS($AN$1006:AU1006),$AN$1006:$BO$1006,0))&gt;=100000), " ",IF(INDEX($AN$2:$BO$1001,MATCH(ROWS($AG$2:AG638),$AG$2:$AG$1001,0),MATCH(COLUMNS($AN$1006:AU1006),$AN$1006:$BO$1006,0)), HYPERLINK("#",""), HYPERLINK(CONCATENATE("#Metadata!", ADDRESS(INDEX($AI$2:$AI$1001,MATCH(ROWS($AG$2:AG638),$AG$2:$AG$1001,0),0), INDEX($AN$1004:$BO$1004,1,MATCH(COLUMNS($AN$1006:AU1006),$AN$1006:$BO$1006,0)))),"Fix")))</f>
        <v>0</v>
      </c>
      <c r="J638" s="4">
        <f>IF(OR(INDEX($AH$2:$AH$1001,MATCH(ROWS($AG$2:AG638),$AG$2:$AG$1001,0),1)&gt;=100000,INDEX($AN$1005:$BO$1005,1,MATCH(COLUMNS($AN$1006:AV1006),$AN$1006:$BO$1006,0))&gt;=100000), " ",IF(INDEX($AN$2:$BO$1001,MATCH(ROWS($AG$2:AG638),$AG$2:$AG$1001,0),MATCH(COLUMNS($AN$1006:AV1006),$AN$1006:$BO$1006,0)), HYPERLINK("#",""), HYPERLINK(CONCATENATE("#Metadata!", ADDRESS(INDEX($AI$2:$AI$1001,MATCH(ROWS($AG$2:AG638),$AG$2:$AG$1001,0),0), INDEX($AN$1004:$BO$1004,1,MATCH(COLUMNS($AN$1006:AV1006),$AN$1006:$BO$1006,0)))),"Fix")))</f>
        <v>0</v>
      </c>
      <c r="K638" s="4">
        <f>IF(OR(INDEX($AH$2:$AH$1001,MATCH(ROWS($AG$2:AG638),$AG$2:$AG$1001,0),1)&gt;=100000,INDEX($AN$1005:$BO$1005,1,MATCH(COLUMNS($AN$1006:AW1006),$AN$1006:$BO$1006,0))&gt;=100000), " ",IF(INDEX($AN$2:$BO$1001,MATCH(ROWS($AG$2:AG638),$AG$2:$AG$1001,0),MATCH(COLUMNS($AN$1006:AW1006),$AN$1006:$BO$1006,0)), HYPERLINK("#",""), HYPERLINK(CONCATENATE("#Metadata!", ADDRESS(INDEX($AI$2:$AI$1001,MATCH(ROWS($AG$2:AG638),$AG$2:$AG$1001,0),0), INDEX($AN$1004:$BO$1004,1,MATCH(COLUMNS($AN$1006:AW1006),$AN$1006:$BO$1006,0)))),"Fix")))</f>
        <v>0</v>
      </c>
      <c r="L638" s="4">
        <f>IF(OR(INDEX($AH$2:$AH$1001,MATCH(ROWS($AG$2:AG638),$AG$2:$AG$1001,0),1)&gt;=100000,INDEX($AN$1005:$BO$1005,1,MATCH(COLUMNS($AN$1006:AX1006),$AN$1006:$BO$1006,0))&gt;=100000), " ",IF(INDEX($AN$2:$BO$1001,MATCH(ROWS($AG$2:AG638),$AG$2:$AG$1001,0),MATCH(COLUMNS($AN$1006:AX1006),$AN$1006:$BO$1006,0)), HYPERLINK("#",""), HYPERLINK(CONCATENATE("#Metadata!", ADDRESS(INDEX($AI$2:$AI$1001,MATCH(ROWS($AG$2:AG638),$AG$2:$AG$1001,0),0), INDEX($AN$1004:$BO$1004,1,MATCH(COLUMNS($AN$1006:AX1006),$AN$1006:$BO$1006,0)))),"Fix")))</f>
        <v>0</v>
      </c>
      <c r="M638" s="4">
        <f>IF(OR(INDEX($AH$2:$AH$1001,MATCH(ROWS($AG$2:AG638),$AG$2:$AG$1001,0),1)&gt;=100000,INDEX($AN$1005:$BO$1005,1,MATCH(COLUMNS($AN$1006:AY1006),$AN$1006:$BO$1006,0))&gt;=100000), " ",IF(INDEX($AN$2:$BO$1001,MATCH(ROWS($AG$2:AG638),$AG$2:$AG$1001,0),MATCH(COLUMNS($AN$1006:AY1006),$AN$1006:$BO$1006,0)), HYPERLINK("#",""), HYPERLINK(CONCATENATE("#Metadata!", ADDRESS(INDEX($AI$2:$AI$1001,MATCH(ROWS($AG$2:AG638),$AG$2:$AG$1001,0),0), INDEX($AN$1004:$BO$1004,1,MATCH(COLUMNS($AN$1006:AY1006),$AN$1006:$BO$1006,0)))),"Fix")))</f>
        <v>0</v>
      </c>
      <c r="N638" s="4">
        <f>IF(OR(INDEX($AH$2:$AH$1001,MATCH(ROWS($AG$2:AG638),$AG$2:$AG$1001,0),1)&gt;=100000,INDEX($AN$1005:$BO$1005,1,MATCH(COLUMNS($AN$1006:AZ1006),$AN$1006:$BO$1006,0))&gt;=100000), " ",IF(INDEX($AN$2:$BO$1001,MATCH(ROWS($AG$2:AG638),$AG$2:$AG$1001,0),MATCH(COLUMNS($AN$1006:AZ1006),$AN$1006:$BO$1006,0)), HYPERLINK("#",""), HYPERLINK(CONCATENATE("#Metadata!", ADDRESS(INDEX($AI$2:$AI$1001,MATCH(ROWS($AG$2:AG638),$AG$2:$AG$1001,0),0), INDEX($AN$1004:$BO$1004,1,MATCH(COLUMNS($AN$1006:AZ1006),$AN$1006:$BO$1006,0)))),"Fix")))</f>
        <v>0</v>
      </c>
      <c r="O638" s="4">
        <f>IF(OR(INDEX($AH$2:$AH$1001,MATCH(ROWS($AG$2:AG638),$AG$2:$AG$1001,0),1)&gt;=100000,INDEX($AN$1005:$BO$1005,1,MATCH(COLUMNS($AN$1006:BA1006),$AN$1006:$BO$1006,0))&gt;=100000), " ",IF(INDEX($AN$2:$BO$1001,MATCH(ROWS($AG$2:AG638),$AG$2:$AG$1001,0),MATCH(COLUMNS($AN$1006:BA1006),$AN$1006:$BO$1006,0)), HYPERLINK("#",""), HYPERLINK(CONCATENATE("#Metadata!", ADDRESS(INDEX($AI$2:$AI$1001,MATCH(ROWS($AG$2:AG638),$AG$2:$AG$1001,0),0), INDEX($AN$1004:$BO$1004,1,MATCH(COLUMNS($AN$1006:BA1006),$AN$1006:$BO$1006,0)))),"Fix")))</f>
        <v>0</v>
      </c>
      <c r="P638" s="4">
        <f>IF(OR(INDEX($AH$2:$AH$1001,MATCH(ROWS($AG$2:AG638),$AG$2:$AG$1001,0),1)&gt;=100000,INDEX($AN$1005:$BO$1005,1,MATCH(COLUMNS($AN$1006:BB1006),$AN$1006:$BO$1006,0))&gt;=100000), " ",IF(INDEX($AN$2:$BO$1001,MATCH(ROWS($AG$2:AG638),$AG$2:$AG$1001,0),MATCH(COLUMNS($AN$1006:BB1006),$AN$1006:$BO$1006,0)), HYPERLINK("#",""), HYPERLINK(CONCATENATE("#Metadata!", ADDRESS(INDEX($AI$2:$AI$1001,MATCH(ROWS($AG$2:AG638),$AG$2:$AG$1001,0),0), INDEX($AN$1004:$BO$1004,1,MATCH(COLUMNS($AN$1006:BB1006),$AN$1006:$BO$1006,0)))),"Fix")))</f>
        <v>0</v>
      </c>
      <c r="Q638" s="4">
        <f>IF(OR(INDEX($AH$2:$AH$1001,MATCH(ROWS($AG$2:AG638),$AG$2:$AG$1001,0),1)&gt;=100000,INDEX($AN$1005:$BO$1005,1,MATCH(COLUMNS($AN$1006:BC1006),$AN$1006:$BO$1006,0))&gt;=100000), " ",IF(INDEX($AN$2:$BO$1001,MATCH(ROWS($AG$2:AG638),$AG$2:$AG$1001,0),MATCH(COLUMNS($AN$1006:BC1006),$AN$1006:$BO$1006,0)), HYPERLINK("#",""), HYPERLINK(CONCATENATE("#Metadata!", ADDRESS(INDEX($AI$2:$AI$1001,MATCH(ROWS($AG$2:AG638),$AG$2:$AG$1001,0),0), INDEX($AN$1004:$BO$1004,1,MATCH(COLUMNS($AN$1006:BC1006),$AN$1006:$BO$1006,0)))),"Fix")))</f>
        <v>0</v>
      </c>
      <c r="R638" s="4">
        <f>IF(OR(INDEX($AH$2:$AH$1001,MATCH(ROWS($AG$2:AG638),$AG$2:$AG$1001,0),1)&gt;=100000,INDEX($AN$1005:$BO$1005,1,MATCH(COLUMNS($AN$1006:BD1006),$AN$1006:$BO$1006,0))&gt;=100000), " ",IF(INDEX($AN$2:$BO$1001,MATCH(ROWS($AG$2:AG638),$AG$2:$AG$1001,0),MATCH(COLUMNS($AN$1006:BD1006),$AN$1006:$BO$1006,0)), HYPERLINK("#",""), HYPERLINK(CONCATENATE("#Metadata!", ADDRESS(INDEX($AI$2:$AI$1001,MATCH(ROWS($AG$2:AG638),$AG$2:$AG$1001,0),0), INDEX($AN$1004:$BO$1004,1,MATCH(COLUMNS($AN$1006:BD1006),$AN$1006:$BO$1006,0)))),"Fix")))</f>
        <v>0</v>
      </c>
      <c r="S638" s="4">
        <f>IF(OR(INDEX($AH$2:$AH$1001,MATCH(ROWS($AG$2:AG638),$AG$2:$AG$1001,0),1)&gt;=100000,INDEX($AN$1005:$BO$1005,1,MATCH(COLUMNS($AN$1006:BE1006),$AN$1006:$BO$1006,0))&gt;=100000), " ",IF(INDEX($AN$2:$BO$1001,MATCH(ROWS($AG$2:AG638),$AG$2:$AG$1001,0),MATCH(COLUMNS($AN$1006:BE1006),$AN$1006:$BO$1006,0)), HYPERLINK("#",""), HYPERLINK(CONCATENATE("#Metadata!", ADDRESS(INDEX($AI$2:$AI$1001,MATCH(ROWS($AG$2:AG638),$AG$2:$AG$1001,0),0), INDEX($AN$1004:$BO$1004,1,MATCH(COLUMNS($AN$1006:BE1006),$AN$1006:$BO$1006,0)))),"Fix")))</f>
        <v>0</v>
      </c>
      <c r="T638" s="4">
        <f>IF(OR(INDEX($AH$2:$AH$1001,MATCH(ROWS($AG$2:AG638),$AG$2:$AG$1001,0),1)&gt;=100000,INDEX($AN$1005:$BO$1005,1,MATCH(COLUMNS($AN$1006:BF1006),$AN$1006:$BO$1006,0))&gt;=100000), " ",IF(INDEX($AN$2:$BO$1001,MATCH(ROWS($AG$2:AG638),$AG$2:$AG$1001,0),MATCH(COLUMNS($AN$1006:BF1006),$AN$1006:$BO$1006,0)), HYPERLINK("#",""), HYPERLINK(CONCATENATE("#Metadata!", ADDRESS(INDEX($AI$2:$AI$1001,MATCH(ROWS($AG$2:AG638),$AG$2:$AG$1001,0),0), INDEX($AN$1004:$BO$1004,1,MATCH(COLUMNS($AN$1006:BF1006),$AN$1006:$BO$1006,0)))),"Fix")))</f>
        <v>0</v>
      </c>
      <c r="U638" s="4">
        <f>IF(OR(INDEX($AH$2:$AH$1001,MATCH(ROWS($AG$2:AG638),$AG$2:$AG$1001,0),1)&gt;=100000,INDEX($AN$1005:$BO$1005,1,MATCH(COLUMNS($AN$1006:BG1006),$AN$1006:$BO$1006,0))&gt;=100000), " ",IF(INDEX($AN$2:$BO$1001,MATCH(ROWS($AG$2:AG638),$AG$2:$AG$1001,0),MATCH(COLUMNS($AN$1006:BG1006),$AN$1006:$BO$1006,0)), HYPERLINK("#",""), HYPERLINK(CONCATENATE("#Metadata!", ADDRESS(INDEX($AI$2:$AI$1001,MATCH(ROWS($AG$2:AG638),$AG$2:$AG$1001,0),0), INDEX($AN$1004:$BO$1004,1,MATCH(COLUMNS($AN$1006:BG1006),$AN$1006:$BO$1006,0)))),"Fix")))</f>
        <v>0</v>
      </c>
      <c r="V638" s="4">
        <f>IF(OR(INDEX($AH$2:$AH$1001,MATCH(ROWS($AG$2:AG638),$AG$2:$AG$1001,0),1)&gt;=100000,INDEX($AN$1005:$BO$1005,1,MATCH(COLUMNS($AN$1006:BH1006),$AN$1006:$BO$1006,0))&gt;=100000), " ",IF(INDEX($AN$2:$BO$1001,MATCH(ROWS($AG$2:AG638),$AG$2:$AG$1001,0),MATCH(COLUMNS($AN$1006:BH1006),$AN$1006:$BO$1006,0)), HYPERLINK("#",""), HYPERLINK(CONCATENATE("#Metadata!", ADDRESS(INDEX($AI$2:$AI$1001,MATCH(ROWS($AG$2:AG638),$AG$2:$AG$1001,0),0), INDEX($AN$1004:$BO$1004,1,MATCH(COLUMNS($AN$1006:BH1006),$AN$1006:$BO$1006,0)))),"Fix")))</f>
        <v>0</v>
      </c>
      <c r="W638" s="4">
        <f>IF(OR(INDEX($AH$2:$AH$1001,MATCH(ROWS($AG$2:AG638),$AG$2:$AG$1001,0),1)&gt;=100000,INDEX($AN$1005:$BO$1005,1,MATCH(COLUMNS($AN$1006:BI1006),$AN$1006:$BO$1006,0))&gt;=100000), " ",IF(INDEX($AN$2:$BO$1001,MATCH(ROWS($AG$2:AG638),$AG$2:$AG$1001,0),MATCH(COLUMNS($AN$1006:BI1006),$AN$1006:$BO$1006,0)), HYPERLINK("#",""), HYPERLINK(CONCATENATE("#Metadata!", ADDRESS(INDEX($AI$2:$AI$1001,MATCH(ROWS($AG$2:AG638),$AG$2:$AG$1001,0),0), INDEX($AN$1004:$BO$1004,1,MATCH(COLUMNS($AN$1006:BI1006),$AN$1006:$BO$1006,0)))),"Fix")))</f>
        <v>0</v>
      </c>
      <c r="X638" s="4">
        <f>IF(OR(INDEX($AH$2:$AH$1001,MATCH(ROWS($AG$2:AG638),$AG$2:$AG$1001,0),1)&gt;=100000,INDEX($AN$1005:$BO$1005,1,MATCH(COLUMNS($AN$1006:BJ1006),$AN$1006:$BO$1006,0))&gt;=100000), " ",IF(INDEX($AN$2:$BO$1001,MATCH(ROWS($AG$2:AG638),$AG$2:$AG$1001,0),MATCH(COLUMNS($AN$1006:BJ1006),$AN$1006:$BO$1006,0)), HYPERLINK("#",""), HYPERLINK(CONCATENATE("#Metadata!", ADDRESS(INDEX($AI$2:$AI$1001,MATCH(ROWS($AG$2:AG638),$AG$2:$AG$1001,0),0), INDEX($AN$1004:$BO$1004,1,MATCH(COLUMNS($AN$1006:BJ1006),$AN$1006:$BO$1006,0)))),"Fix")))</f>
        <v>0</v>
      </c>
      <c r="Y638" s="4">
        <f>IF(OR(INDEX($AH$2:$AH$1001,MATCH(ROWS($AG$2:AG638),$AG$2:$AG$1001,0),1)&gt;=100000,INDEX($AN$1005:$BO$1005,1,MATCH(COLUMNS($AN$1006:BK1006),$AN$1006:$BO$1006,0))&gt;=100000), " ",IF(INDEX($AN$2:$BO$1001,MATCH(ROWS($AG$2:AG638),$AG$2:$AG$1001,0),MATCH(COLUMNS($AN$1006:BK1006),$AN$1006:$BO$1006,0)), HYPERLINK("#",""), HYPERLINK(CONCATENATE("#Metadata!", ADDRESS(INDEX($AI$2:$AI$1001,MATCH(ROWS($AG$2:AG638),$AG$2:$AG$1001,0),0), INDEX($AN$1004:$BO$1004,1,MATCH(COLUMNS($AN$1006:BK1006),$AN$1006:$BO$1006,0)))),"Fix")))</f>
        <v>0</v>
      </c>
      <c r="Z638" s="4">
        <f>IF(OR(INDEX($AH$2:$AH$1001,MATCH(ROWS($AG$2:AG638),$AG$2:$AG$1001,0),1)&gt;=100000,INDEX($AN$1005:$BO$1005,1,MATCH(COLUMNS($AN$1006:BL1006),$AN$1006:$BO$1006,0))&gt;=100000), " ",IF(INDEX($AN$2:$BO$1001,MATCH(ROWS($AG$2:AG638),$AG$2:$AG$1001,0),MATCH(COLUMNS($AN$1006:BL1006),$AN$1006:$BO$1006,0)), HYPERLINK("#",""), HYPERLINK(CONCATENATE("#Metadata!", ADDRESS(INDEX($AI$2:$AI$1001,MATCH(ROWS($AG$2:AG638),$AG$2:$AG$1001,0),0), INDEX($AN$1004:$BO$1004,1,MATCH(COLUMNS($AN$1006:BL1006),$AN$1006:$BO$1006,0)))),"Fix")))</f>
        <v>0</v>
      </c>
      <c r="AA638" s="4">
        <f>IF(OR(INDEX($AH$2:$AH$1001,MATCH(ROWS($AG$2:AG638),$AG$2:$AG$1001,0),1)&gt;=100000,INDEX($AN$1005:$BO$1005,1,MATCH(COLUMNS($AN$1006:BM1006),$AN$1006:$BO$1006,0))&gt;=100000), " ",IF(INDEX($AN$2:$BO$1001,MATCH(ROWS($AG$2:AG638),$AG$2:$AG$1001,0),MATCH(COLUMNS($AN$1006:BM1006),$AN$1006:$BO$1006,0)), HYPERLINK("#",""), HYPERLINK(CONCATENATE("#Metadata!", ADDRESS(INDEX($AI$2:$AI$1001,MATCH(ROWS($AG$2:AG638),$AG$2:$AG$1001,0),0), INDEX($AN$1004:$BO$1004,1,MATCH(COLUMNS($AN$1006:BM1006),$AN$1006:$BO$1006,0)))),"Fix")))</f>
        <v>0</v>
      </c>
      <c r="AB638" s="4">
        <f>IF(OR(INDEX($AH$2:$AH$1001,MATCH(ROWS($AG$2:AG638),$AG$2:$AG$1001,0),1)&gt;=100000,INDEX($AN$1005:$BO$1005,1,MATCH(COLUMNS($AN$1006:BN1006),$AN$1006:$BO$1006,0))&gt;=100000), " ",IF(INDEX($AN$2:$BO$1001,MATCH(ROWS($AG$2:AG638),$AG$2:$AG$1001,0),MATCH(COLUMNS($AN$1006:BN1006),$AN$1006:$BO$1006,0)), HYPERLINK("#",""), HYPERLINK(CONCATENATE("#Metadata!", ADDRESS(INDEX($AI$2:$AI$1001,MATCH(ROWS($AG$2:AG638),$AG$2:$AG$1001,0),0), INDEX($AN$1004:$BO$1004,1,MATCH(COLUMNS($AN$1006:BN1006),$AN$1006:$BO$1006,0)))),"Fix")))</f>
        <v>0</v>
      </c>
      <c r="AC638" s="4">
        <f>IF(OR(INDEX($AH$2:$AH$1001,MATCH(ROWS($AG$2:AG638),$AG$2:$AG$1001,0),1)&gt;=100000,INDEX($AN$1005:$BO$1005,1,MATCH(COLUMNS($AN$1006:BO1006),$AN$1006:$BO$1006,0))&gt;=100000), " ",IF(INDEX($AN$2:$BO$1001,MATCH(ROWS($AG$2:AG638),$AG$2:$AG$1001,0),MATCH(COLUMNS($AN$1006:BO1006),$AN$1006:$BO$1006,0)), HYPERLINK("#",""), HYPERLINK(CONCATENATE("#Metadata!", ADDRESS(INDEX($AI$2:$AI$1001,MATCH(ROWS($AG$2:AG638),$AG$2:$AG$1001,0),0), INDEX($AN$1004:$BO$1004,1,MATCH(COLUMNS($AN$1006:BO1006),$AN$1006:$BO$1006,0)))),"Fix")))</f>
        <v>0</v>
      </c>
      <c r="AG638">
        <v>0</v>
      </c>
      <c r="AH638">
        <v>0</v>
      </c>
      <c r="AI638">
        <v>0</v>
      </c>
      <c r="AJ638">
        <f>IF(AK638,TRUE,AND(AN638:BO638))</f>
        <v>0</v>
      </c>
      <c r="AK638">
        <f>COUNTBLANK(Metadata!B638:AC638)=COLUMNS(Metadata!B638:AC638)</f>
        <v>0</v>
      </c>
      <c r="AL638">
        <v>0</v>
      </c>
      <c r="AN638">
        <f>AND(IF(Metadata!B638="",FALSE,TRUE),COUNTIF(Metadata!B:B, Metadata!B638) = 1,NOT(ISERROR(SUMPRODUCT(SEARCH(MID(Metadata!B638,ROW(INDIRECT("1:"&amp;LEN(Metadata!B638))), 1),"0123456789abcdefghijklmnopqrstuvwxyzABCDEFGHIJKLMNOPQRSTUVWXYZ.")))))</f>
        <v>0</v>
      </c>
      <c r="AO638">
        <f>IF(Metadata!C638="",FALSE,TRUE)</f>
        <v>0</v>
      </c>
      <c r="AP638">
        <f>IF(Metadata!D638="",FALSE,TRUE)</f>
        <v>0</v>
      </c>
      <c r="AQ638">
        <f>OR(AND(IF(Metadata!E638="",FALSE,TRUE),OR(exact(Metadata!E638,"not collected"),exact(Metadata!E638,"not provided"),exact(Metadata!E638,"restricted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R638">
        <f>IF(Metadata!F638="",FALSE,TRUE)</f>
        <v>0</v>
      </c>
      <c r="AS638">
        <f>OR(AND(IF(Metadata!G638="",FALSE,TRUE),OR(exact(Metadata!G638,"not collected"),exact(Metadata!G638,"not provided"))),AND(IF(Metadata!G638="",FALSE,TRUE),OR(exact(Metadata!G638,"TRUE"),exact(Metadata!G638,"FALSE"))))</f>
        <v>0</v>
      </c>
      <c r="AT638">
        <f>OR(AND(IF(Metadata!H638="",FALSE,TRUE),OR(exact(Metadata!H638,"not collected"),exact(Metadata!H638,"not provided"),exact(Metadata!H638,"restricted access"))),AND(IF(Metadata!H638="",FALSE,ISNUMBER(VALUE(Metadata!H638))),Metadata!H638&gt;=-413.0))</f>
        <v>0</v>
      </c>
      <c r="AU638">
        <f>AND(IF(Metadata!I638="",FALSE,TRUE),exact(Metadata!I638,"meters"))</f>
        <v>0</v>
      </c>
      <c r="AV638">
        <f>AND(IF(Metadata!J638="",FALSE,TRUE),OR(exact(Metadata!J638,"Host-associated"),exact(Metadata!J638,"Free-living")))</f>
        <v>0</v>
      </c>
      <c r="AW638">
        <f>AND(IF(Metadata!K638="",FALSE,TRUE),OR(exact(Metadata!K638,"Animal"),exact(Metadata!K638,"Fungus"),exact(Metadata!K638,"Plant"),exact(Metadata!K638,"Saline"),exact(Metadata!K638,"Non-saline")))</f>
        <v>0</v>
      </c>
      <c r="AX638">
        <f>AND(IF(Metadata!L638="",FALSE,TRUE),OR(exact(Metadata!L638,"Plant secretion"),exact(Metadata!L638,"Plant rhizosphere"),exact(Metadata!L638,"Plant surface"),exact(Metadata!L638,"Plant corpus"),exact(Metadata!L638,"Fungus surface"),exact(Metadata!L638,"Fungus corpus"),exact(Metadata!L638,"Animal surface"),exact(Metadata!L638,"Animal proximal gut"),exact(Metadata!L638,"Animal corpus"),exact(Metadata!L638,"Animal distal gut"),exact(Metadata!L638,"Animal secretion"),exact(Metadata!L638,"Sub-surface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Y638">
        <f>IF(Metadata!M638="",FALSE,TRUE)</f>
        <v>0</v>
      </c>
      <c r="AZ638">
        <f>IF(Metadata!N638="",FALSE,TRUE)</f>
        <v>0</v>
      </c>
      <c r="BA638">
        <f>IF(Metadata!O638="",FALSE,TRUE)</f>
        <v>0</v>
      </c>
      <c r="BB638">
        <f>OR(AND(IF(Metadata!P638="",FALSE,TRUE),OR(exact(Metadata!P638,"not collected"),exact(Metadata!P638,"not provided"),exact(Metadata!P638,"restricted access"))),AND(IF(Metadata!P638="",FALSE,TRUE),OR(exact(Metadata!P638,"air"),exact(Metadata!P638,"built environment"),exact(Metadata!P638,"host-associated"),exact(Metadata!P638,"human-associated"),exact(Metadata!P638,"human-skin"),exact(Metadata!P638,"human-oral"),exact(Metadata!P638,"human-gut"),exact(Metadata!P638,"human-vaginal"),exact(Metadata!P638,"microbial mat/biofilm"),exact(Metadata!P638,"misc environment"),exact(Metadata!P638,"plant-associated"),exact(Metadata!P638,"sediment"),exact(Metadata!P638,"soil"),exact(Metadata!P638,"wastewater/sludge"),exact(Metadata!P638,"water"))))</f>
        <v>0</v>
      </c>
      <c r="BC638">
        <f>IF(Metadata!Q638="",FALSE,TRUE)</f>
        <v>0</v>
      </c>
      <c r="BD638">
        <f>IF(Metadata!R638="",FALSE,TRUE)</f>
        <v>0</v>
      </c>
      <c r="BE638">
        <f>OR(AND(IF(Metadata!S638="",FALSE,TRUE),OR(exact(Metadata!S638,"not collected"),exact(Metadata!S638,"not provided"),exact(Metadata!S638,"restricted access"))),AND(IF(Metadata!S638="",FALSE,ISNUMBER(VALUE(Metadata!S638))),Metadata!S638&gt;=-90.00,Metadata!S638&lt;=90.00))</f>
        <v>0</v>
      </c>
      <c r="BF638">
        <f>AND(IF(Metadata!T638="",FALSE,TRUE),exact(Metadata!T638,"Decimal degrees"))</f>
        <v>0</v>
      </c>
      <c r="BG638">
        <f>OR(AND(IF(Metadata!U638="",FALSE,TRUE),OR(exact(Metadata!U638,"not collected"),exact(Metadata!U638,"not provided"),exact(Metadata!U638,"restricted access"))),AND(IF(Metadata!U638="",FALSE,ISNUMBER(VALUE(Metadata!U638))),Metadata!U638&gt;=-180.00,Metadata!U638&lt;=180.00))</f>
        <v>0</v>
      </c>
      <c r="BH638">
        <f>AND(IF(Metadata!V638="",FALSE,TRUE),exact(Metadata!V638,"Decimal degrees"))</f>
        <v>0</v>
      </c>
      <c r="BI638">
        <f>IF(Metadata!W638="",FALSE,TRUE)</f>
        <v>0</v>
      </c>
      <c r="BJ638">
        <f>OR(AND(IF(Metadata!X638="",FALSE,TRUE),OR(exact(Metadata!X638,"not collected"),exact(Metadata!X638,"not provided"),exact(Metadata!X638,"restricted access"))),AND(IF(Metadata!X638="",FALSE,TRUE),OR(exact(Metadata!X638,"TRUE"),exact(Metadata!X638,"FALSE"))))</f>
        <v>0</v>
      </c>
      <c r="BK638">
        <f>AND(IF(Metadata!Y638="",FALSE,TRUE),exact(Metadata!Y638,"other"))</f>
        <v>0</v>
      </c>
      <c r="BL638">
        <f>IF(Metadata!Z638="",FALSE,TRUE)</f>
        <v>0</v>
      </c>
      <c r="BM638">
        <f>OR(AND(IF(Metadata!AA638="",FALSE,TRUE),OR(exact(Metadata!AA638,"not collected"),exact(Metadata!AA638,"not provided"))),AND(IF(Metadata!AA638="",FALSE,IF(ISERROR(INT(Metadata!AA638)),FALSE,INT(Metadata!AA638)=Metadata!AA638)),Metadata!AA638&gt;0))</f>
        <v>0</v>
      </c>
      <c r="BN638">
        <f>AND(IF(Metadata!AB638="",FALSE,TRUE),exact(Metadata!AB638,"Not applicable"))</f>
        <v>0</v>
      </c>
      <c r="BO638">
        <f>IF(Metadata!AC638="",FALSE,TRUE)</f>
        <v>0</v>
      </c>
    </row>
    <row r="639" spans="1:67">
      <c r="A639" s="5">
        <f>IF(B639=" "," ",HYPERLINK(CONCATENATE("#metadata!",ADDRESS(INDEX($AI$2:$AI$1001,MATCH(ROWS($AG$2:AG639),$AG$2:$AG$1001,0),0),1)),INDEX($AL$2:$AL$1001,MATCH(ROWS($AG$2:AG639),$AG$2:$AG$1001,0),0)))</f>
        <v>0</v>
      </c>
      <c r="B639" s="4">
        <f>IF(OR(INDEX($AH$2:$AH$1001,MATCH(ROWS($AG$2:AG639),$AG$2:$AG$1001,0),1)&gt;=100000,INDEX($AN$1005:$BO$1005,1,MATCH(COLUMNS($AN$1006:AN1006),$AN$1006:$BO$1006,0))&gt;=100000), " ",IF(INDEX($AN$2:$BO$1001,MATCH(ROWS($AG$2:AG639),$AG$2:$AG$1001,0),MATCH(COLUMNS($AN$1006:AN1006),$AN$1006:$BO$1006,0)), HYPERLINK("#",""), HYPERLINK(CONCATENATE("#Metadata!", ADDRESS(INDEX($AI$2:$AI$1001,MATCH(ROWS($AG$2:AG639),$AG$2:$AG$1001,0),0), INDEX($AN$1004:$BO$1004,1,MATCH(COLUMNS($AN$1006:AN1006),$AN$1006:$BO$1006,0)))),"Fix")))</f>
        <v>0</v>
      </c>
      <c r="C639" s="4">
        <f>IF(OR(INDEX($AH$2:$AH$1001,MATCH(ROWS($AG$2:AG639),$AG$2:$AG$1001,0),1)&gt;=100000,INDEX($AN$1005:$BO$1005,1,MATCH(COLUMNS($AN$1006:AO1006),$AN$1006:$BO$1006,0))&gt;=100000), " ",IF(INDEX($AN$2:$BO$1001,MATCH(ROWS($AG$2:AG639),$AG$2:$AG$1001,0),MATCH(COLUMNS($AN$1006:AO1006),$AN$1006:$BO$1006,0)), HYPERLINK("#",""), HYPERLINK(CONCATENATE("#Metadata!", ADDRESS(INDEX($AI$2:$AI$1001,MATCH(ROWS($AG$2:AG639),$AG$2:$AG$1001,0),0), INDEX($AN$1004:$BO$1004,1,MATCH(COLUMNS($AN$1006:AO1006),$AN$1006:$BO$1006,0)))),"Fix")))</f>
        <v>0</v>
      </c>
      <c r="D639" s="4">
        <f>IF(OR(INDEX($AH$2:$AH$1001,MATCH(ROWS($AG$2:AG639),$AG$2:$AG$1001,0),1)&gt;=100000,INDEX($AN$1005:$BO$1005,1,MATCH(COLUMNS($AN$1006:AP1006),$AN$1006:$BO$1006,0))&gt;=100000), " ",IF(INDEX($AN$2:$BO$1001,MATCH(ROWS($AG$2:AG639),$AG$2:$AG$1001,0),MATCH(COLUMNS($AN$1006:AP1006),$AN$1006:$BO$1006,0)), HYPERLINK("#",""), HYPERLINK(CONCATENATE("#Metadata!", ADDRESS(INDEX($AI$2:$AI$1001,MATCH(ROWS($AG$2:AG639),$AG$2:$AG$1001,0),0), INDEX($AN$1004:$BO$1004,1,MATCH(COLUMNS($AN$1006:AP1006),$AN$1006:$BO$1006,0)))),"Fix")))</f>
        <v>0</v>
      </c>
      <c r="E639" s="4">
        <f>IF(OR(INDEX($AH$2:$AH$1001,MATCH(ROWS($AG$2:AG639),$AG$2:$AG$1001,0),1)&gt;=100000,INDEX($AN$1005:$BO$1005,1,MATCH(COLUMNS($AN$1006:AQ1006),$AN$1006:$BO$1006,0))&gt;=100000), " ",IF(INDEX($AN$2:$BO$1001,MATCH(ROWS($AG$2:AG639),$AG$2:$AG$1001,0),MATCH(COLUMNS($AN$1006:AQ1006),$AN$1006:$BO$1006,0)), HYPERLINK("#",""), HYPERLINK(CONCATENATE("#Metadata!", ADDRESS(INDEX($AI$2:$AI$1001,MATCH(ROWS($AG$2:AG639),$AG$2:$AG$1001,0),0), INDEX($AN$1004:$BO$1004,1,MATCH(COLUMNS($AN$1006:AQ1006),$AN$1006:$BO$1006,0)))),"Fix")))</f>
        <v>0</v>
      </c>
      <c r="F639" s="4">
        <f>IF(OR(INDEX($AH$2:$AH$1001,MATCH(ROWS($AG$2:AG639),$AG$2:$AG$1001,0),1)&gt;=100000,INDEX($AN$1005:$BO$1005,1,MATCH(COLUMNS($AN$1006:AR1006),$AN$1006:$BO$1006,0))&gt;=100000), " ",IF(INDEX($AN$2:$BO$1001,MATCH(ROWS($AG$2:AG639),$AG$2:$AG$1001,0),MATCH(COLUMNS($AN$1006:AR1006),$AN$1006:$BO$1006,0)), HYPERLINK("#",""), HYPERLINK(CONCATENATE("#Metadata!", ADDRESS(INDEX($AI$2:$AI$1001,MATCH(ROWS($AG$2:AG639),$AG$2:$AG$1001,0),0), INDEX($AN$1004:$BO$1004,1,MATCH(COLUMNS($AN$1006:AR1006),$AN$1006:$BO$1006,0)))),"Fix")))</f>
        <v>0</v>
      </c>
      <c r="G639" s="4">
        <f>IF(OR(INDEX($AH$2:$AH$1001,MATCH(ROWS($AG$2:AG639),$AG$2:$AG$1001,0),1)&gt;=100000,INDEX($AN$1005:$BO$1005,1,MATCH(COLUMNS($AN$1006:AS1006),$AN$1006:$BO$1006,0))&gt;=100000), " ",IF(INDEX($AN$2:$BO$1001,MATCH(ROWS($AG$2:AG639),$AG$2:$AG$1001,0),MATCH(COLUMNS($AN$1006:AS1006),$AN$1006:$BO$1006,0)), HYPERLINK("#",""), HYPERLINK(CONCATENATE("#Metadata!", ADDRESS(INDEX($AI$2:$AI$1001,MATCH(ROWS($AG$2:AG639),$AG$2:$AG$1001,0),0), INDEX($AN$1004:$BO$1004,1,MATCH(COLUMNS($AN$1006:AS1006),$AN$1006:$BO$1006,0)))),"Fix")))</f>
        <v>0</v>
      </c>
      <c r="H639" s="4">
        <f>IF(OR(INDEX($AH$2:$AH$1001,MATCH(ROWS($AG$2:AG639),$AG$2:$AG$1001,0),1)&gt;=100000,INDEX($AN$1005:$BO$1005,1,MATCH(COLUMNS($AN$1006:AT1006),$AN$1006:$BO$1006,0))&gt;=100000), " ",IF(INDEX($AN$2:$BO$1001,MATCH(ROWS($AG$2:AG639),$AG$2:$AG$1001,0),MATCH(COLUMNS($AN$1006:AT1006),$AN$1006:$BO$1006,0)), HYPERLINK("#",""), HYPERLINK(CONCATENATE("#Metadata!", ADDRESS(INDEX($AI$2:$AI$1001,MATCH(ROWS($AG$2:AG639),$AG$2:$AG$1001,0),0), INDEX($AN$1004:$BO$1004,1,MATCH(COLUMNS($AN$1006:AT1006),$AN$1006:$BO$1006,0)))),"Fix")))</f>
        <v>0</v>
      </c>
      <c r="I639" s="4">
        <f>IF(OR(INDEX($AH$2:$AH$1001,MATCH(ROWS($AG$2:AG639),$AG$2:$AG$1001,0),1)&gt;=100000,INDEX($AN$1005:$BO$1005,1,MATCH(COLUMNS($AN$1006:AU1006),$AN$1006:$BO$1006,0))&gt;=100000), " ",IF(INDEX($AN$2:$BO$1001,MATCH(ROWS($AG$2:AG639),$AG$2:$AG$1001,0),MATCH(COLUMNS($AN$1006:AU1006),$AN$1006:$BO$1006,0)), HYPERLINK("#",""), HYPERLINK(CONCATENATE("#Metadata!", ADDRESS(INDEX($AI$2:$AI$1001,MATCH(ROWS($AG$2:AG639),$AG$2:$AG$1001,0),0), INDEX($AN$1004:$BO$1004,1,MATCH(COLUMNS($AN$1006:AU1006),$AN$1006:$BO$1006,0)))),"Fix")))</f>
        <v>0</v>
      </c>
      <c r="J639" s="4">
        <f>IF(OR(INDEX($AH$2:$AH$1001,MATCH(ROWS($AG$2:AG639),$AG$2:$AG$1001,0),1)&gt;=100000,INDEX($AN$1005:$BO$1005,1,MATCH(COLUMNS($AN$1006:AV1006),$AN$1006:$BO$1006,0))&gt;=100000), " ",IF(INDEX($AN$2:$BO$1001,MATCH(ROWS($AG$2:AG639),$AG$2:$AG$1001,0),MATCH(COLUMNS($AN$1006:AV1006),$AN$1006:$BO$1006,0)), HYPERLINK("#",""), HYPERLINK(CONCATENATE("#Metadata!", ADDRESS(INDEX($AI$2:$AI$1001,MATCH(ROWS($AG$2:AG639),$AG$2:$AG$1001,0),0), INDEX($AN$1004:$BO$1004,1,MATCH(COLUMNS($AN$1006:AV1006),$AN$1006:$BO$1006,0)))),"Fix")))</f>
        <v>0</v>
      </c>
      <c r="K639" s="4">
        <f>IF(OR(INDEX($AH$2:$AH$1001,MATCH(ROWS($AG$2:AG639),$AG$2:$AG$1001,0),1)&gt;=100000,INDEX($AN$1005:$BO$1005,1,MATCH(COLUMNS($AN$1006:AW1006),$AN$1006:$BO$1006,0))&gt;=100000), " ",IF(INDEX($AN$2:$BO$1001,MATCH(ROWS($AG$2:AG639),$AG$2:$AG$1001,0),MATCH(COLUMNS($AN$1006:AW1006),$AN$1006:$BO$1006,0)), HYPERLINK("#",""), HYPERLINK(CONCATENATE("#Metadata!", ADDRESS(INDEX($AI$2:$AI$1001,MATCH(ROWS($AG$2:AG639),$AG$2:$AG$1001,0),0), INDEX($AN$1004:$BO$1004,1,MATCH(COLUMNS($AN$1006:AW1006),$AN$1006:$BO$1006,0)))),"Fix")))</f>
        <v>0</v>
      </c>
      <c r="L639" s="4">
        <f>IF(OR(INDEX($AH$2:$AH$1001,MATCH(ROWS($AG$2:AG639),$AG$2:$AG$1001,0),1)&gt;=100000,INDEX($AN$1005:$BO$1005,1,MATCH(COLUMNS($AN$1006:AX1006),$AN$1006:$BO$1006,0))&gt;=100000), " ",IF(INDEX($AN$2:$BO$1001,MATCH(ROWS($AG$2:AG639),$AG$2:$AG$1001,0),MATCH(COLUMNS($AN$1006:AX1006),$AN$1006:$BO$1006,0)), HYPERLINK("#",""), HYPERLINK(CONCATENATE("#Metadata!", ADDRESS(INDEX($AI$2:$AI$1001,MATCH(ROWS($AG$2:AG639),$AG$2:$AG$1001,0),0), INDEX($AN$1004:$BO$1004,1,MATCH(COLUMNS($AN$1006:AX1006),$AN$1006:$BO$1006,0)))),"Fix")))</f>
        <v>0</v>
      </c>
      <c r="M639" s="4">
        <f>IF(OR(INDEX($AH$2:$AH$1001,MATCH(ROWS($AG$2:AG639),$AG$2:$AG$1001,0),1)&gt;=100000,INDEX($AN$1005:$BO$1005,1,MATCH(COLUMNS($AN$1006:AY1006),$AN$1006:$BO$1006,0))&gt;=100000), " ",IF(INDEX($AN$2:$BO$1001,MATCH(ROWS($AG$2:AG639),$AG$2:$AG$1001,0),MATCH(COLUMNS($AN$1006:AY1006),$AN$1006:$BO$1006,0)), HYPERLINK("#",""), HYPERLINK(CONCATENATE("#Metadata!", ADDRESS(INDEX($AI$2:$AI$1001,MATCH(ROWS($AG$2:AG639),$AG$2:$AG$1001,0),0), INDEX($AN$1004:$BO$1004,1,MATCH(COLUMNS($AN$1006:AY1006),$AN$1006:$BO$1006,0)))),"Fix")))</f>
        <v>0</v>
      </c>
      <c r="N639" s="4">
        <f>IF(OR(INDEX($AH$2:$AH$1001,MATCH(ROWS($AG$2:AG639),$AG$2:$AG$1001,0),1)&gt;=100000,INDEX($AN$1005:$BO$1005,1,MATCH(COLUMNS($AN$1006:AZ1006),$AN$1006:$BO$1006,0))&gt;=100000), " ",IF(INDEX($AN$2:$BO$1001,MATCH(ROWS($AG$2:AG639),$AG$2:$AG$1001,0),MATCH(COLUMNS($AN$1006:AZ1006),$AN$1006:$BO$1006,0)), HYPERLINK("#",""), HYPERLINK(CONCATENATE("#Metadata!", ADDRESS(INDEX($AI$2:$AI$1001,MATCH(ROWS($AG$2:AG639),$AG$2:$AG$1001,0),0), INDEX($AN$1004:$BO$1004,1,MATCH(COLUMNS($AN$1006:AZ1006),$AN$1006:$BO$1006,0)))),"Fix")))</f>
        <v>0</v>
      </c>
      <c r="O639" s="4">
        <f>IF(OR(INDEX($AH$2:$AH$1001,MATCH(ROWS($AG$2:AG639),$AG$2:$AG$1001,0),1)&gt;=100000,INDEX($AN$1005:$BO$1005,1,MATCH(COLUMNS($AN$1006:BA1006),$AN$1006:$BO$1006,0))&gt;=100000), " ",IF(INDEX($AN$2:$BO$1001,MATCH(ROWS($AG$2:AG639),$AG$2:$AG$1001,0),MATCH(COLUMNS($AN$1006:BA1006),$AN$1006:$BO$1006,0)), HYPERLINK("#",""), HYPERLINK(CONCATENATE("#Metadata!", ADDRESS(INDEX($AI$2:$AI$1001,MATCH(ROWS($AG$2:AG639),$AG$2:$AG$1001,0),0), INDEX($AN$1004:$BO$1004,1,MATCH(COLUMNS($AN$1006:BA1006),$AN$1006:$BO$1006,0)))),"Fix")))</f>
        <v>0</v>
      </c>
      <c r="P639" s="4">
        <f>IF(OR(INDEX($AH$2:$AH$1001,MATCH(ROWS($AG$2:AG639),$AG$2:$AG$1001,0),1)&gt;=100000,INDEX($AN$1005:$BO$1005,1,MATCH(COLUMNS($AN$1006:BB1006),$AN$1006:$BO$1006,0))&gt;=100000), " ",IF(INDEX($AN$2:$BO$1001,MATCH(ROWS($AG$2:AG639),$AG$2:$AG$1001,0),MATCH(COLUMNS($AN$1006:BB1006),$AN$1006:$BO$1006,0)), HYPERLINK("#",""), HYPERLINK(CONCATENATE("#Metadata!", ADDRESS(INDEX($AI$2:$AI$1001,MATCH(ROWS($AG$2:AG639),$AG$2:$AG$1001,0),0), INDEX($AN$1004:$BO$1004,1,MATCH(COLUMNS($AN$1006:BB1006),$AN$1006:$BO$1006,0)))),"Fix")))</f>
        <v>0</v>
      </c>
      <c r="Q639" s="4">
        <f>IF(OR(INDEX($AH$2:$AH$1001,MATCH(ROWS($AG$2:AG639),$AG$2:$AG$1001,0),1)&gt;=100000,INDEX($AN$1005:$BO$1005,1,MATCH(COLUMNS($AN$1006:BC1006),$AN$1006:$BO$1006,0))&gt;=100000), " ",IF(INDEX($AN$2:$BO$1001,MATCH(ROWS($AG$2:AG639),$AG$2:$AG$1001,0),MATCH(COLUMNS($AN$1006:BC1006),$AN$1006:$BO$1006,0)), HYPERLINK("#",""), HYPERLINK(CONCATENATE("#Metadata!", ADDRESS(INDEX($AI$2:$AI$1001,MATCH(ROWS($AG$2:AG639),$AG$2:$AG$1001,0),0), INDEX($AN$1004:$BO$1004,1,MATCH(COLUMNS($AN$1006:BC1006),$AN$1006:$BO$1006,0)))),"Fix")))</f>
        <v>0</v>
      </c>
      <c r="R639" s="4">
        <f>IF(OR(INDEX($AH$2:$AH$1001,MATCH(ROWS($AG$2:AG639),$AG$2:$AG$1001,0),1)&gt;=100000,INDEX($AN$1005:$BO$1005,1,MATCH(COLUMNS($AN$1006:BD1006),$AN$1006:$BO$1006,0))&gt;=100000), " ",IF(INDEX($AN$2:$BO$1001,MATCH(ROWS($AG$2:AG639),$AG$2:$AG$1001,0),MATCH(COLUMNS($AN$1006:BD1006),$AN$1006:$BO$1006,0)), HYPERLINK("#",""), HYPERLINK(CONCATENATE("#Metadata!", ADDRESS(INDEX($AI$2:$AI$1001,MATCH(ROWS($AG$2:AG639),$AG$2:$AG$1001,0),0), INDEX($AN$1004:$BO$1004,1,MATCH(COLUMNS($AN$1006:BD1006),$AN$1006:$BO$1006,0)))),"Fix")))</f>
        <v>0</v>
      </c>
      <c r="S639" s="4">
        <f>IF(OR(INDEX($AH$2:$AH$1001,MATCH(ROWS($AG$2:AG639),$AG$2:$AG$1001,0),1)&gt;=100000,INDEX($AN$1005:$BO$1005,1,MATCH(COLUMNS($AN$1006:BE1006),$AN$1006:$BO$1006,0))&gt;=100000), " ",IF(INDEX($AN$2:$BO$1001,MATCH(ROWS($AG$2:AG639),$AG$2:$AG$1001,0),MATCH(COLUMNS($AN$1006:BE1006),$AN$1006:$BO$1006,0)), HYPERLINK("#",""), HYPERLINK(CONCATENATE("#Metadata!", ADDRESS(INDEX($AI$2:$AI$1001,MATCH(ROWS($AG$2:AG639),$AG$2:$AG$1001,0),0), INDEX($AN$1004:$BO$1004,1,MATCH(COLUMNS($AN$1006:BE1006),$AN$1006:$BO$1006,0)))),"Fix")))</f>
        <v>0</v>
      </c>
      <c r="T639" s="4">
        <f>IF(OR(INDEX($AH$2:$AH$1001,MATCH(ROWS($AG$2:AG639),$AG$2:$AG$1001,0),1)&gt;=100000,INDEX($AN$1005:$BO$1005,1,MATCH(COLUMNS($AN$1006:BF1006),$AN$1006:$BO$1006,0))&gt;=100000), " ",IF(INDEX($AN$2:$BO$1001,MATCH(ROWS($AG$2:AG639),$AG$2:$AG$1001,0),MATCH(COLUMNS($AN$1006:BF1006),$AN$1006:$BO$1006,0)), HYPERLINK("#",""), HYPERLINK(CONCATENATE("#Metadata!", ADDRESS(INDEX($AI$2:$AI$1001,MATCH(ROWS($AG$2:AG639),$AG$2:$AG$1001,0),0), INDEX($AN$1004:$BO$1004,1,MATCH(COLUMNS($AN$1006:BF1006),$AN$1006:$BO$1006,0)))),"Fix")))</f>
        <v>0</v>
      </c>
      <c r="U639" s="4">
        <f>IF(OR(INDEX($AH$2:$AH$1001,MATCH(ROWS($AG$2:AG639),$AG$2:$AG$1001,0),1)&gt;=100000,INDEX($AN$1005:$BO$1005,1,MATCH(COLUMNS($AN$1006:BG1006),$AN$1006:$BO$1006,0))&gt;=100000), " ",IF(INDEX($AN$2:$BO$1001,MATCH(ROWS($AG$2:AG639),$AG$2:$AG$1001,0),MATCH(COLUMNS($AN$1006:BG1006),$AN$1006:$BO$1006,0)), HYPERLINK("#",""), HYPERLINK(CONCATENATE("#Metadata!", ADDRESS(INDEX($AI$2:$AI$1001,MATCH(ROWS($AG$2:AG639),$AG$2:$AG$1001,0),0), INDEX($AN$1004:$BO$1004,1,MATCH(COLUMNS($AN$1006:BG1006),$AN$1006:$BO$1006,0)))),"Fix")))</f>
        <v>0</v>
      </c>
      <c r="V639" s="4">
        <f>IF(OR(INDEX($AH$2:$AH$1001,MATCH(ROWS($AG$2:AG639),$AG$2:$AG$1001,0),1)&gt;=100000,INDEX($AN$1005:$BO$1005,1,MATCH(COLUMNS($AN$1006:BH1006),$AN$1006:$BO$1006,0))&gt;=100000), " ",IF(INDEX($AN$2:$BO$1001,MATCH(ROWS($AG$2:AG639),$AG$2:$AG$1001,0),MATCH(COLUMNS($AN$1006:BH1006),$AN$1006:$BO$1006,0)), HYPERLINK("#",""), HYPERLINK(CONCATENATE("#Metadata!", ADDRESS(INDEX($AI$2:$AI$1001,MATCH(ROWS($AG$2:AG639),$AG$2:$AG$1001,0),0), INDEX($AN$1004:$BO$1004,1,MATCH(COLUMNS($AN$1006:BH1006),$AN$1006:$BO$1006,0)))),"Fix")))</f>
        <v>0</v>
      </c>
      <c r="W639" s="4">
        <f>IF(OR(INDEX($AH$2:$AH$1001,MATCH(ROWS($AG$2:AG639),$AG$2:$AG$1001,0),1)&gt;=100000,INDEX($AN$1005:$BO$1005,1,MATCH(COLUMNS($AN$1006:BI1006),$AN$1006:$BO$1006,0))&gt;=100000), " ",IF(INDEX($AN$2:$BO$1001,MATCH(ROWS($AG$2:AG639),$AG$2:$AG$1001,0),MATCH(COLUMNS($AN$1006:BI1006),$AN$1006:$BO$1006,0)), HYPERLINK("#",""), HYPERLINK(CONCATENATE("#Metadata!", ADDRESS(INDEX($AI$2:$AI$1001,MATCH(ROWS($AG$2:AG639),$AG$2:$AG$1001,0),0), INDEX($AN$1004:$BO$1004,1,MATCH(COLUMNS($AN$1006:BI1006),$AN$1006:$BO$1006,0)))),"Fix")))</f>
        <v>0</v>
      </c>
      <c r="X639" s="4">
        <f>IF(OR(INDEX($AH$2:$AH$1001,MATCH(ROWS($AG$2:AG639),$AG$2:$AG$1001,0),1)&gt;=100000,INDEX($AN$1005:$BO$1005,1,MATCH(COLUMNS($AN$1006:BJ1006),$AN$1006:$BO$1006,0))&gt;=100000), " ",IF(INDEX($AN$2:$BO$1001,MATCH(ROWS($AG$2:AG639),$AG$2:$AG$1001,0),MATCH(COLUMNS($AN$1006:BJ1006),$AN$1006:$BO$1006,0)), HYPERLINK("#",""), HYPERLINK(CONCATENATE("#Metadata!", ADDRESS(INDEX($AI$2:$AI$1001,MATCH(ROWS($AG$2:AG639),$AG$2:$AG$1001,0),0), INDEX($AN$1004:$BO$1004,1,MATCH(COLUMNS($AN$1006:BJ1006),$AN$1006:$BO$1006,0)))),"Fix")))</f>
        <v>0</v>
      </c>
      <c r="Y639" s="4">
        <f>IF(OR(INDEX($AH$2:$AH$1001,MATCH(ROWS($AG$2:AG639),$AG$2:$AG$1001,0),1)&gt;=100000,INDEX($AN$1005:$BO$1005,1,MATCH(COLUMNS($AN$1006:BK1006),$AN$1006:$BO$1006,0))&gt;=100000), " ",IF(INDEX($AN$2:$BO$1001,MATCH(ROWS($AG$2:AG639),$AG$2:$AG$1001,0),MATCH(COLUMNS($AN$1006:BK1006),$AN$1006:$BO$1006,0)), HYPERLINK("#",""), HYPERLINK(CONCATENATE("#Metadata!", ADDRESS(INDEX($AI$2:$AI$1001,MATCH(ROWS($AG$2:AG639),$AG$2:$AG$1001,0),0), INDEX($AN$1004:$BO$1004,1,MATCH(COLUMNS($AN$1006:BK1006),$AN$1006:$BO$1006,0)))),"Fix")))</f>
        <v>0</v>
      </c>
      <c r="Z639" s="4">
        <f>IF(OR(INDEX($AH$2:$AH$1001,MATCH(ROWS($AG$2:AG639),$AG$2:$AG$1001,0),1)&gt;=100000,INDEX($AN$1005:$BO$1005,1,MATCH(COLUMNS($AN$1006:BL1006),$AN$1006:$BO$1006,0))&gt;=100000), " ",IF(INDEX($AN$2:$BO$1001,MATCH(ROWS($AG$2:AG639),$AG$2:$AG$1001,0),MATCH(COLUMNS($AN$1006:BL1006),$AN$1006:$BO$1006,0)), HYPERLINK("#",""), HYPERLINK(CONCATENATE("#Metadata!", ADDRESS(INDEX($AI$2:$AI$1001,MATCH(ROWS($AG$2:AG639),$AG$2:$AG$1001,0),0), INDEX($AN$1004:$BO$1004,1,MATCH(COLUMNS($AN$1006:BL1006),$AN$1006:$BO$1006,0)))),"Fix")))</f>
        <v>0</v>
      </c>
      <c r="AA639" s="4">
        <f>IF(OR(INDEX($AH$2:$AH$1001,MATCH(ROWS($AG$2:AG639),$AG$2:$AG$1001,0),1)&gt;=100000,INDEX($AN$1005:$BO$1005,1,MATCH(COLUMNS($AN$1006:BM1006),$AN$1006:$BO$1006,0))&gt;=100000), " ",IF(INDEX($AN$2:$BO$1001,MATCH(ROWS($AG$2:AG639),$AG$2:$AG$1001,0),MATCH(COLUMNS($AN$1006:BM1006),$AN$1006:$BO$1006,0)), HYPERLINK("#",""), HYPERLINK(CONCATENATE("#Metadata!", ADDRESS(INDEX($AI$2:$AI$1001,MATCH(ROWS($AG$2:AG639),$AG$2:$AG$1001,0),0), INDEX($AN$1004:$BO$1004,1,MATCH(COLUMNS($AN$1006:BM1006),$AN$1006:$BO$1006,0)))),"Fix")))</f>
        <v>0</v>
      </c>
      <c r="AB639" s="4">
        <f>IF(OR(INDEX($AH$2:$AH$1001,MATCH(ROWS($AG$2:AG639),$AG$2:$AG$1001,0),1)&gt;=100000,INDEX($AN$1005:$BO$1005,1,MATCH(COLUMNS($AN$1006:BN1006),$AN$1006:$BO$1006,0))&gt;=100000), " ",IF(INDEX($AN$2:$BO$1001,MATCH(ROWS($AG$2:AG639),$AG$2:$AG$1001,0),MATCH(COLUMNS($AN$1006:BN1006),$AN$1006:$BO$1006,0)), HYPERLINK("#",""), HYPERLINK(CONCATENATE("#Metadata!", ADDRESS(INDEX($AI$2:$AI$1001,MATCH(ROWS($AG$2:AG639),$AG$2:$AG$1001,0),0), INDEX($AN$1004:$BO$1004,1,MATCH(COLUMNS($AN$1006:BN1006),$AN$1006:$BO$1006,0)))),"Fix")))</f>
        <v>0</v>
      </c>
      <c r="AC639" s="4">
        <f>IF(OR(INDEX($AH$2:$AH$1001,MATCH(ROWS($AG$2:AG639),$AG$2:$AG$1001,0),1)&gt;=100000,INDEX($AN$1005:$BO$1005,1,MATCH(COLUMNS($AN$1006:BO1006),$AN$1006:$BO$1006,0))&gt;=100000), " ",IF(INDEX($AN$2:$BO$1001,MATCH(ROWS($AG$2:AG639),$AG$2:$AG$1001,0),MATCH(COLUMNS($AN$1006:BO1006),$AN$1006:$BO$1006,0)), HYPERLINK("#",""), HYPERLINK(CONCATENATE("#Metadata!", ADDRESS(INDEX($AI$2:$AI$1001,MATCH(ROWS($AG$2:AG639),$AG$2:$AG$1001,0),0), INDEX($AN$1004:$BO$1004,1,MATCH(COLUMNS($AN$1006:BO1006),$AN$1006:$BO$1006,0)))),"Fix")))</f>
        <v>0</v>
      </c>
      <c r="AG639">
        <v>0</v>
      </c>
      <c r="AH639">
        <v>0</v>
      </c>
      <c r="AI639">
        <v>0</v>
      </c>
      <c r="AJ639">
        <f>IF(AK639,TRUE,AND(AN639:BO639))</f>
        <v>0</v>
      </c>
      <c r="AK639">
        <f>COUNTBLANK(Metadata!B639:AC639)=COLUMNS(Metadata!B639:AC639)</f>
        <v>0</v>
      </c>
      <c r="AL639">
        <v>0</v>
      </c>
      <c r="AN639">
        <f>AND(IF(Metadata!B639="",FALSE,TRUE),COUNTIF(Metadata!B:B, Metadata!B639) = 1,NOT(ISERROR(SUMPRODUCT(SEARCH(MID(Metadata!B639,ROW(INDIRECT("1:"&amp;LEN(Metadata!B639))), 1),"0123456789abcdefghijklmnopqrstuvwxyzABCDEFGHIJKLMNOPQRSTUVWXYZ.")))))</f>
        <v>0</v>
      </c>
      <c r="AO639">
        <f>IF(Metadata!C639="",FALSE,TRUE)</f>
        <v>0</v>
      </c>
      <c r="AP639">
        <f>IF(Metadata!D639="",FALSE,TRUE)</f>
        <v>0</v>
      </c>
      <c r="AQ639">
        <f>OR(AND(IF(Metadata!E639="",FALSE,TRUE),OR(exact(Metadata!E639,"not collected"),exact(Metadata!E639,"not provided"),exact(Metadata!E639,"restricted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R639">
        <f>IF(Metadata!F639="",FALSE,TRUE)</f>
        <v>0</v>
      </c>
      <c r="AS639">
        <f>OR(AND(IF(Metadata!G639="",FALSE,TRUE),OR(exact(Metadata!G639,"not collected"),exact(Metadata!G639,"not provided"))),AND(IF(Metadata!G639="",FALSE,TRUE),OR(exact(Metadata!G639,"TRUE"),exact(Metadata!G639,"FALSE"))))</f>
        <v>0</v>
      </c>
      <c r="AT639">
        <f>OR(AND(IF(Metadata!H639="",FALSE,TRUE),OR(exact(Metadata!H639,"not collected"),exact(Metadata!H639,"not provided"),exact(Metadata!H639,"restricted access"))),AND(IF(Metadata!H639="",FALSE,ISNUMBER(VALUE(Metadata!H639))),Metadata!H639&gt;=-413.0))</f>
        <v>0</v>
      </c>
      <c r="AU639">
        <f>AND(IF(Metadata!I639="",FALSE,TRUE),exact(Metadata!I639,"meters"))</f>
        <v>0</v>
      </c>
      <c r="AV639">
        <f>AND(IF(Metadata!J639="",FALSE,TRUE),OR(exact(Metadata!J639,"Host-associated"),exact(Metadata!J639,"Free-living")))</f>
        <v>0</v>
      </c>
      <c r="AW639">
        <f>AND(IF(Metadata!K639="",FALSE,TRUE),OR(exact(Metadata!K639,"Animal"),exact(Metadata!K639,"Fungus"),exact(Metadata!K639,"Plant"),exact(Metadata!K639,"Saline"),exact(Metadata!K639,"Non-saline")))</f>
        <v>0</v>
      </c>
      <c r="AX639">
        <f>AND(IF(Metadata!L639="",FALSE,TRUE),OR(exact(Metadata!L639,"Plant secretion"),exact(Metadata!L639,"Plant rhizosphere"),exact(Metadata!L639,"Plant surface"),exact(Metadata!L639,"Plant corpus"),exact(Metadata!L639,"Fungus surface"),exact(Metadata!L639,"Fungus corpus"),exact(Metadata!L639,"Animal surface"),exact(Metadata!L639,"Animal proximal gut"),exact(Metadata!L639,"Animal corpus"),exact(Metadata!L639,"Animal distal gut"),exact(Metadata!L639,"Animal secretion"),exact(Metadata!L639,"Sub-surface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Y639">
        <f>IF(Metadata!M639="",FALSE,TRUE)</f>
        <v>0</v>
      </c>
      <c r="AZ639">
        <f>IF(Metadata!N639="",FALSE,TRUE)</f>
        <v>0</v>
      </c>
      <c r="BA639">
        <f>IF(Metadata!O639="",FALSE,TRUE)</f>
        <v>0</v>
      </c>
      <c r="BB639">
        <f>OR(AND(IF(Metadata!P639="",FALSE,TRUE),OR(exact(Metadata!P639,"not collected"),exact(Metadata!P639,"not provided"),exact(Metadata!P639,"restricted access"))),AND(IF(Metadata!P639="",FALSE,TRUE),OR(exact(Metadata!P639,"air"),exact(Metadata!P639,"built environment"),exact(Metadata!P639,"host-associated"),exact(Metadata!P639,"human-associated"),exact(Metadata!P639,"human-skin"),exact(Metadata!P639,"human-oral"),exact(Metadata!P639,"human-gut"),exact(Metadata!P639,"human-vaginal"),exact(Metadata!P639,"microbial mat/biofilm"),exact(Metadata!P639,"misc environment"),exact(Metadata!P639,"plant-associated"),exact(Metadata!P639,"sediment"),exact(Metadata!P639,"soil"),exact(Metadata!P639,"wastewater/sludge"),exact(Metadata!P639,"water"))))</f>
        <v>0</v>
      </c>
      <c r="BC639">
        <f>IF(Metadata!Q639="",FALSE,TRUE)</f>
        <v>0</v>
      </c>
      <c r="BD639">
        <f>IF(Metadata!R639="",FALSE,TRUE)</f>
        <v>0</v>
      </c>
      <c r="BE639">
        <f>OR(AND(IF(Metadata!S639="",FALSE,TRUE),OR(exact(Metadata!S639,"not collected"),exact(Metadata!S639,"not provided"),exact(Metadata!S639,"restricted access"))),AND(IF(Metadata!S639="",FALSE,ISNUMBER(VALUE(Metadata!S639))),Metadata!S639&gt;=-90.00,Metadata!S639&lt;=90.00))</f>
        <v>0</v>
      </c>
      <c r="BF639">
        <f>AND(IF(Metadata!T639="",FALSE,TRUE),exact(Metadata!T639,"Decimal degrees"))</f>
        <v>0</v>
      </c>
      <c r="BG639">
        <f>OR(AND(IF(Metadata!U639="",FALSE,TRUE),OR(exact(Metadata!U639,"not collected"),exact(Metadata!U639,"not provided"),exact(Metadata!U639,"restricted access"))),AND(IF(Metadata!U639="",FALSE,ISNUMBER(VALUE(Metadata!U639))),Metadata!U639&gt;=-180.00,Metadata!U639&lt;=180.00))</f>
        <v>0</v>
      </c>
      <c r="BH639">
        <f>AND(IF(Metadata!V639="",FALSE,TRUE),exact(Metadata!V639,"Decimal degrees"))</f>
        <v>0</v>
      </c>
      <c r="BI639">
        <f>IF(Metadata!W639="",FALSE,TRUE)</f>
        <v>0</v>
      </c>
      <c r="BJ639">
        <f>OR(AND(IF(Metadata!X639="",FALSE,TRUE),OR(exact(Metadata!X639,"not collected"),exact(Metadata!X639,"not provided"),exact(Metadata!X639,"restricted access"))),AND(IF(Metadata!X639="",FALSE,TRUE),OR(exact(Metadata!X639,"TRUE"),exact(Metadata!X639,"FALSE"))))</f>
        <v>0</v>
      </c>
      <c r="BK639">
        <f>AND(IF(Metadata!Y639="",FALSE,TRUE),exact(Metadata!Y639,"other"))</f>
        <v>0</v>
      </c>
      <c r="BL639">
        <f>IF(Metadata!Z639="",FALSE,TRUE)</f>
        <v>0</v>
      </c>
      <c r="BM639">
        <f>OR(AND(IF(Metadata!AA639="",FALSE,TRUE),OR(exact(Metadata!AA639,"not collected"),exact(Metadata!AA639,"not provided"))),AND(IF(Metadata!AA639="",FALSE,IF(ISERROR(INT(Metadata!AA639)),FALSE,INT(Metadata!AA639)=Metadata!AA639)),Metadata!AA639&gt;0))</f>
        <v>0</v>
      </c>
      <c r="BN639">
        <f>AND(IF(Metadata!AB639="",FALSE,TRUE),exact(Metadata!AB639,"Not applicable"))</f>
        <v>0</v>
      </c>
      <c r="BO639">
        <f>IF(Metadata!AC639="",FALSE,TRUE)</f>
        <v>0</v>
      </c>
    </row>
    <row r="640" spans="1:67">
      <c r="A640" s="5">
        <f>IF(B640=" "," ",HYPERLINK(CONCATENATE("#metadata!",ADDRESS(INDEX($AI$2:$AI$1001,MATCH(ROWS($AG$2:AG640),$AG$2:$AG$1001,0),0),1)),INDEX($AL$2:$AL$1001,MATCH(ROWS($AG$2:AG640),$AG$2:$AG$1001,0),0)))</f>
        <v>0</v>
      </c>
      <c r="B640" s="4">
        <f>IF(OR(INDEX($AH$2:$AH$1001,MATCH(ROWS($AG$2:AG640),$AG$2:$AG$1001,0),1)&gt;=100000,INDEX($AN$1005:$BO$1005,1,MATCH(COLUMNS($AN$1006:AN1006),$AN$1006:$BO$1006,0))&gt;=100000), " ",IF(INDEX($AN$2:$BO$1001,MATCH(ROWS($AG$2:AG640),$AG$2:$AG$1001,0),MATCH(COLUMNS($AN$1006:AN1006),$AN$1006:$BO$1006,0)), HYPERLINK("#",""), HYPERLINK(CONCATENATE("#Metadata!", ADDRESS(INDEX($AI$2:$AI$1001,MATCH(ROWS($AG$2:AG640),$AG$2:$AG$1001,0),0), INDEX($AN$1004:$BO$1004,1,MATCH(COLUMNS($AN$1006:AN1006),$AN$1006:$BO$1006,0)))),"Fix")))</f>
        <v>0</v>
      </c>
      <c r="C640" s="4">
        <f>IF(OR(INDEX($AH$2:$AH$1001,MATCH(ROWS($AG$2:AG640),$AG$2:$AG$1001,0),1)&gt;=100000,INDEX($AN$1005:$BO$1005,1,MATCH(COLUMNS($AN$1006:AO1006),$AN$1006:$BO$1006,0))&gt;=100000), " ",IF(INDEX($AN$2:$BO$1001,MATCH(ROWS($AG$2:AG640),$AG$2:$AG$1001,0),MATCH(COLUMNS($AN$1006:AO1006),$AN$1006:$BO$1006,0)), HYPERLINK("#",""), HYPERLINK(CONCATENATE("#Metadata!", ADDRESS(INDEX($AI$2:$AI$1001,MATCH(ROWS($AG$2:AG640),$AG$2:$AG$1001,0),0), INDEX($AN$1004:$BO$1004,1,MATCH(COLUMNS($AN$1006:AO1006),$AN$1006:$BO$1006,0)))),"Fix")))</f>
        <v>0</v>
      </c>
      <c r="D640" s="4">
        <f>IF(OR(INDEX($AH$2:$AH$1001,MATCH(ROWS($AG$2:AG640),$AG$2:$AG$1001,0),1)&gt;=100000,INDEX($AN$1005:$BO$1005,1,MATCH(COLUMNS($AN$1006:AP1006),$AN$1006:$BO$1006,0))&gt;=100000), " ",IF(INDEX($AN$2:$BO$1001,MATCH(ROWS($AG$2:AG640),$AG$2:$AG$1001,0),MATCH(COLUMNS($AN$1006:AP1006),$AN$1006:$BO$1006,0)), HYPERLINK("#",""), HYPERLINK(CONCATENATE("#Metadata!", ADDRESS(INDEX($AI$2:$AI$1001,MATCH(ROWS($AG$2:AG640),$AG$2:$AG$1001,0),0), INDEX($AN$1004:$BO$1004,1,MATCH(COLUMNS($AN$1006:AP1006),$AN$1006:$BO$1006,0)))),"Fix")))</f>
        <v>0</v>
      </c>
      <c r="E640" s="4">
        <f>IF(OR(INDEX($AH$2:$AH$1001,MATCH(ROWS($AG$2:AG640),$AG$2:$AG$1001,0),1)&gt;=100000,INDEX($AN$1005:$BO$1005,1,MATCH(COLUMNS($AN$1006:AQ1006),$AN$1006:$BO$1006,0))&gt;=100000), " ",IF(INDEX($AN$2:$BO$1001,MATCH(ROWS($AG$2:AG640),$AG$2:$AG$1001,0),MATCH(COLUMNS($AN$1006:AQ1006),$AN$1006:$BO$1006,0)), HYPERLINK("#",""), HYPERLINK(CONCATENATE("#Metadata!", ADDRESS(INDEX($AI$2:$AI$1001,MATCH(ROWS($AG$2:AG640),$AG$2:$AG$1001,0),0), INDEX($AN$1004:$BO$1004,1,MATCH(COLUMNS($AN$1006:AQ1006),$AN$1006:$BO$1006,0)))),"Fix")))</f>
        <v>0</v>
      </c>
      <c r="F640" s="4">
        <f>IF(OR(INDEX($AH$2:$AH$1001,MATCH(ROWS($AG$2:AG640),$AG$2:$AG$1001,0),1)&gt;=100000,INDEX($AN$1005:$BO$1005,1,MATCH(COLUMNS($AN$1006:AR1006),$AN$1006:$BO$1006,0))&gt;=100000), " ",IF(INDEX($AN$2:$BO$1001,MATCH(ROWS($AG$2:AG640),$AG$2:$AG$1001,0),MATCH(COLUMNS($AN$1006:AR1006),$AN$1006:$BO$1006,0)), HYPERLINK("#",""), HYPERLINK(CONCATENATE("#Metadata!", ADDRESS(INDEX($AI$2:$AI$1001,MATCH(ROWS($AG$2:AG640),$AG$2:$AG$1001,0),0), INDEX($AN$1004:$BO$1004,1,MATCH(COLUMNS($AN$1006:AR1006),$AN$1006:$BO$1006,0)))),"Fix")))</f>
        <v>0</v>
      </c>
      <c r="G640" s="4">
        <f>IF(OR(INDEX($AH$2:$AH$1001,MATCH(ROWS($AG$2:AG640),$AG$2:$AG$1001,0),1)&gt;=100000,INDEX($AN$1005:$BO$1005,1,MATCH(COLUMNS($AN$1006:AS1006),$AN$1006:$BO$1006,0))&gt;=100000), " ",IF(INDEX($AN$2:$BO$1001,MATCH(ROWS($AG$2:AG640),$AG$2:$AG$1001,0),MATCH(COLUMNS($AN$1006:AS1006),$AN$1006:$BO$1006,0)), HYPERLINK("#",""), HYPERLINK(CONCATENATE("#Metadata!", ADDRESS(INDEX($AI$2:$AI$1001,MATCH(ROWS($AG$2:AG640),$AG$2:$AG$1001,0),0), INDEX($AN$1004:$BO$1004,1,MATCH(COLUMNS($AN$1006:AS1006),$AN$1006:$BO$1006,0)))),"Fix")))</f>
        <v>0</v>
      </c>
      <c r="H640" s="4">
        <f>IF(OR(INDEX($AH$2:$AH$1001,MATCH(ROWS($AG$2:AG640),$AG$2:$AG$1001,0),1)&gt;=100000,INDEX($AN$1005:$BO$1005,1,MATCH(COLUMNS($AN$1006:AT1006),$AN$1006:$BO$1006,0))&gt;=100000), " ",IF(INDEX($AN$2:$BO$1001,MATCH(ROWS($AG$2:AG640),$AG$2:$AG$1001,0),MATCH(COLUMNS($AN$1006:AT1006),$AN$1006:$BO$1006,0)), HYPERLINK("#",""), HYPERLINK(CONCATENATE("#Metadata!", ADDRESS(INDEX($AI$2:$AI$1001,MATCH(ROWS($AG$2:AG640),$AG$2:$AG$1001,0),0), INDEX($AN$1004:$BO$1004,1,MATCH(COLUMNS($AN$1006:AT1006),$AN$1006:$BO$1006,0)))),"Fix")))</f>
        <v>0</v>
      </c>
      <c r="I640" s="4">
        <f>IF(OR(INDEX($AH$2:$AH$1001,MATCH(ROWS($AG$2:AG640),$AG$2:$AG$1001,0),1)&gt;=100000,INDEX($AN$1005:$BO$1005,1,MATCH(COLUMNS($AN$1006:AU1006),$AN$1006:$BO$1006,0))&gt;=100000), " ",IF(INDEX($AN$2:$BO$1001,MATCH(ROWS($AG$2:AG640),$AG$2:$AG$1001,0),MATCH(COLUMNS($AN$1006:AU1006),$AN$1006:$BO$1006,0)), HYPERLINK("#",""), HYPERLINK(CONCATENATE("#Metadata!", ADDRESS(INDEX($AI$2:$AI$1001,MATCH(ROWS($AG$2:AG640),$AG$2:$AG$1001,0),0), INDEX($AN$1004:$BO$1004,1,MATCH(COLUMNS($AN$1006:AU1006),$AN$1006:$BO$1006,0)))),"Fix")))</f>
        <v>0</v>
      </c>
      <c r="J640" s="4">
        <f>IF(OR(INDEX($AH$2:$AH$1001,MATCH(ROWS($AG$2:AG640),$AG$2:$AG$1001,0),1)&gt;=100000,INDEX($AN$1005:$BO$1005,1,MATCH(COLUMNS($AN$1006:AV1006),$AN$1006:$BO$1006,0))&gt;=100000), " ",IF(INDEX($AN$2:$BO$1001,MATCH(ROWS($AG$2:AG640),$AG$2:$AG$1001,0),MATCH(COLUMNS($AN$1006:AV1006),$AN$1006:$BO$1006,0)), HYPERLINK("#",""), HYPERLINK(CONCATENATE("#Metadata!", ADDRESS(INDEX($AI$2:$AI$1001,MATCH(ROWS($AG$2:AG640),$AG$2:$AG$1001,0),0), INDEX($AN$1004:$BO$1004,1,MATCH(COLUMNS($AN$1006:AV1006),$AN$1006:$BO$1006,0)))),"Fix")))</f>
        <v>0</v>
      </c>
      <c r="K640" s="4">
        <f>IF(OR(INDEX($AH$2:$AH$1001,MATCH(ROWS($AG$2:AG640),$AG$2:$AG$1001,0),1)&gt;=100000,INDEX($AN$1005:$BO$1005,1,MATCH(COLUMNS($AN$1006:AW1006),$AN$1006:$BO$1006,0))&gt;=100000), " ",IF(INDEX($AN$2:$BO$1001,MATCH(ROWS($AG$2:AG640),$AG$2:$AG$1001,0),MATCH(COLUMNS($AN$1006:AW1006),$AN$1006:$BO$1006,0)), HYPERLINK("#",""), HYPERLINK(CONCATENATE("#Metadata!", ADDRESS(INDEX($AI$2:$AI$1001,MATCH(ROWS($AG$2:AG640),$AG$2:$AG$1001,0),0), INDEX($AN$1004:$BO$1004,1,MATCH(COLUMNS($AN$1006:AW1006),$AN$1006:$BO$1006,0)))),"Fix")))</f>
        <v>0</v>
      </c>
      <c r="L640" s="4">
        <f>IF(OR(INDEX($AH$2:$AH$1001,MATCH(ROWS($AG$2:AG640),$AG$2:$AG$1001,0),1)&gt;=100000,INDEX($AN$1005:$BO$1005,1,MATCH(COLUMNS($AN$1006:AX1006),$AN$1006:$BO$1006,0))&gt;=100000), " ",IF(INDEX($AN$2:$BO$1001,MATCH(ROWS($AG$2:AG640),$AG$2:$AG$1001,0),MATCH(COLUMNS($AN$1006:AX1006),$AN$1006:$BO$1006,0)), HYPERLINK("#",""), HYPERLINK(CONCATENATE("#Metadata!", ADDRESS(INDEX($AI$2:$AI$1001,MATCH(ROWS($AG$2:AG640),$AG$2:$AG$1001,0),0), INDEX($AN$1004:$BO$1004,1,MATCH(COLUMNS($AN$1006:AX1006),$AN$1006:$BO$1006,0)))),"Fix")))</f>
        <v>0</v>
      </c>
      <c r="M640" s="4">
        <f>IF(OR(INDEX($AH$2:$AH$1001,MATCH(ROWS($AG$2:AG640),$AG$2:$AG$1001,0),1)&gt;=100000,INDEX($AN$1005:$BO$1005,1,MATCH(COLUMNS($AN$1006:AY1006),$AN$1006:$BO$1006,0))&gt;=100000), " ",IF(INDEX($AN$2:$BO$1001,MATCH(ROWS($AG$2:AG640),$AG$2:$AG$1001,0),MATCH(COLUMNS($AN$1006:AY1006),$AN$1006:$BO$1006,0)), HYPERLINK("#",""), HYPERLINK(CONCATENATE("#Metadata!", ADDRESS(INDEX($AI$2:$AI$1001,MATCH(ROWS($AG$2:AG640),$AG$2:$AG$1001,0),0), INDEX($AN$1004:$BO$1004,1,MATCH(COLUMNS($AN$1006:AY1006),$AN$1006:$BO$1006,0)))),"Fix")))</f>
        <v>0</v>
      </c>
      <c r="N640" s="4">
        <f>IF(OR(INDEX($AH$2:$AH$1001,MATCH(ROWS($AG$2:AG640),$AG$2:$AG$1001,0),1)&gt;=100000,INDEX($AN$1005:$BO$1005,1,MATCH(COLUMNS($AN$1006:AZ1006),$AN$1006:$BO$1006,0))&gt;=100000), " ",IF(INDEX($AN$2:$BO$1001,MATCH(ROWS($AG$2:AG640),$AG$2:$AG$1001,0),MATCH(COLUMNS($AN$1006:AZ1006),$AN$1006:$BO$1006,0)), HYPERLINK("#",""), HYPERLINK(CONCATENATE("#Metadata!", ADDRESS(INDEX($AI$2:$AI$1001,MATCH(ROWS($AG$2:AG640),$AG$2:$AG$1001,0),0), INDEX($AN$1004:$BO$1004,1,MATCH(COLUMNS($AN$1006:AZ1006),$AN$1006:$BO$1006,0)))),"Fix")))</f>
        <v>0</v>
      </c>
      <c r="O640" s="4">
        <f>IF(OR(INDEX($AH$2:$AH$1001,MATCH(ROWS($AG$2:AG640),$AG$2:$AG$1001,0),1)&gt;=100000,INDEX($AN$1005:$BO$1005,1,MATCH(COLUMNS($AN$1006:BA1006),$AN$1006:$BO$1006,0))&gt;=100000), " ",IF(INDEX($AN$2:$BO$1001,MATCH(ROWS($AG$2:AG640),$AG$2:$AG$1001,0),MATCH(COLUMNS($AN$1006:BA1006),$AN$1006:$BO$1006,0)), HYPERLINK("#",""), HYPERLINK(CONCATENATE("#Metadata!", ADDRESS(INDEX($AI$2:$AI$1001,MATCH(ROWS($AG$2:AG640),$AG$2:$AG$1001,0),0), INDEX($AN$1004:$BO$1004,1,MATCH(COLUMNS($AN$1006:BA1006),$AN$1006:$BO$1006,0)))),"Fix")))</f>
        <v>0</v>
      </c>
      <c r="P640" s="4">
        <f>IF(OR(INDEX($AH$2:$AH$1001,MATCH(ROWS($AG$2:AG640),$AG$2:$AG$1001,0),1)&gt;=100000,INDEX($AN$1005:$BO$1005,1,MATCH(COLUMNS($AN$1006:BB1006),$AN$1006:$BO$1006,0))&gt;=100000), " ",IF(INDEX($AN$2:$BO$1001,MATCH(ROWS($AG$2:AG640),$AG$2:$AG$1001,0),MATCH(COLUMNS($AN$1006:BB1006),$AN$1006:$BO$1006,0)), HYPERLINK("#",""), HYPERLINK(CONCATENATE("#Metadata!", ADDRESS(INDEX($AI$2:$AI$1001,MATCH(ROWS($AG$2:AG640),$AG$2:$AG$1001,0),0), INDEX($AN$1004:$BO$1004,1,MATCH(COLUMNS($AN$1006:BB1006),$AN$1006:$BO$1006,0)))),"Fix")))</f>
        <v>0</v>
      </c>
      <c r="Q640" s="4">
        <f>IF(OR(INDEX($AH$2:$AH$1001,MATCH(ROWS($AG$2:AG640),$AG$2:$AG$1001,0),1)&gt;=100000,INDEX($AN$1005:$BO$1005,1,MATCH(COLUMNS($AN$1006:BC1006),$AN$1006:$BO$1006,0))&gt;=100000), " ",IF(INDEX($AN$2:$BO$1001,MATCH(ROWS($AG$2:AG640),$AG$2:$AG$1001,0),MATCH(COLUMNS($AN$1006:BC1006),$AN$1006:$BO$1006,0)), HYPERLINK("#",""), HYPERLINK(CONCATENATE("#Metadata!", ADDRESS(INDEX($AI$2:$AI$1001,MATCH(ROWS($AG$2:AG640),$AG$2:$AG$1001,0),0), INDEX($AN$1004:$BO$1004,1,MATCH(COLUMNS($AN$1006:BC1006),$AN$1006:$BO$1006,0)))),"Fix")))</f>
        <v>0</v>
      </c>
      <c r="R640" s="4">
        <f>IF(OR(INDEX($AH$2:$AH$1001,MATCH(ROWS($AG$2:AG640),$AG$2:$AG$1001,0),1)&gt;=100000,INDEX($AN$1005:$BO$1005,1,MATCH(COLUMNS($AN$1006:BD1006),$AN$1006:$BO$1006,0))&gt;=100000), " ",IF(INDEX($AN$2:$BO$1001,MATCH(ROWS($AG$2:AG640),$AG$2:$AG$1001,0),MATCH(COLUMNS($AN$1006:BD1006),$AN$1006:$BO$1006,0)), HYPERLINK("#",""), HYPERLINK(CONCATENATE("#Metadata!", ADDRESS(INDEX($AI$2:$AI$1001,MATCH(ROWS($AG$2:AG640),$AG$2:$AG$1001,0),0), INDEX($AN$1004:$BO$1004,1,MATCH(COLUMNS($AN$1006:BD1006),$AN$1006:$BO$1006,0)))),"Fix")))</f>
        <v>0</v>
      </c>
      <c r="S640" s="4">
        <f>IF(OR(INDEX($AH$2:$AH$1001,MATCH(ROWS($AG$2:AG640),$AG$2:$AG$1001,0),1)&gt;=100000,INDEX($AN$1005:$BO$1005,1,MATCH(COLUMNS($AN$1006:BE1006),$AN$1006:$BO$1006,0))&gt;=100000), " ",IF(INDEX($AN$2:$BO$1001,MATCH(ROWS($AG$2:AG640),$AG$2:$AG$1001,0),MATCH(COLUMNS($AN$1006:BE1006),$AN$1006:$BO$1006,0)), HYPERLINK("#",""), HYPERLINK(CONCATENATE("#Metadata!", ADDRESS(INDEX($AI$2:$AI$1001,MATCH(ROWS($AG$2:AG640),$AG$2:$AG$1001,0),0), INDEX($AN$1004:$BO$1004,1,MATCH(COLUMNS($AN$1006:BE1006),$AN$1006:$BO$1006,0)))),"Fix")))</f>
        <v>0</v>
      </c>
      <c r="T640" s="4">
        <f>IF(OR(INDEX($AH$2:$AH$1001,MATCH(ROWS($AG$2:AG640),$AG$2:$AG$1001,0),1)&gt;=100000,INDEX($AN$1005:$BO$1005,1,MATCH(COLUMNS($AN$1006:BF1006),$AN$1006:$BO$1006,0))&gt;=100000), " ",IF(INDEX($AN$2:$BO$1001,MATCH(ROWS($AG$2:AG640),$AG$2:$AG$1001,0),MATCH(COLUMNS($AN$1006:BF1006),$AN$1006:$BO$1006,0)), HYPERLINK("#",""), HYPERLINK(CONCATENATE("#Metadata!", ADDRESS(INDEX($AI$2:$AI$1001,MATCH(ROWS($AG$2:AG640),$AG$2:$AG$1001,0),0), INDEX($AN$1004:$BO$1004,1,MATCH(COLUMNS($AN$1006:BF1006),$AN$1006:$BO$1006,0)))),"Fix")))</f>
        <v>0</v>
      </c>
      <c r="U640" s="4">
        <f>IF(OR(INDEX($AH$2:$AH$1001,MATCH(ROWS($AG$2:AG640),$AG$2:$AG$1001,0),1)&gt;=100000,INDEX($AN$1005:$BO$1005,1,MATCH(COLUMNS($AN$1006:BG1006),$AN$1006:$BO$1006,0))&gt;=100000), " ",IF(INDEX($AN$2:$BO$1001,MATCH(ROWS($AG$2:AG640),$AG$2:$AG$1001,0),MATCH(COLUMNS($AN$1006:BG1006),$AN$1006:$BO$1006,0)), HYPERLINK("#",""), HYPERLINK(CONCATENATE("#Metadata!", ADDRESS(INDEX($AI$2:$AI$1001,MATCH(ROWS($AG$2:AG640),$AG$2:$AG$1001,0),0), INDEX($AN$1004:$BO$1004,1,MATCH(COLUMNS($AN$1006:BG1006),$AN$1006:$BO$1006,0)))),"Fix")))</f>
        <v>0</v>
      </c>
      <c r="V640" s="4">
        <f>IF(OR(INDEX($AH$2:$AH$1001,MATCH(ROWS($AG$2:AG640),$AG$2:$AG$1001,0),1)&gt;=100000,INDEX($AN$1005:$BO$1005,1,MATCH(COLUMNS($AN$1006:BH1006),$AN$1006:$BO$1006,0))&gt;=100000), " ",IF(INDEX($AN$2:$BO$1001,MATCH(ROWS($AG$2:AG640),$AG$2:$AG$1001,0),MATCH(COLUMNS($AN$1006:BH1006),$AN$1006:$BO$1006,0)), HYPERLINK("#",""), HYPERLINK(CONCATENATE("#Metadata!", ADDRESS(INDEX($AI$2:$AI$1001,MATCH(ROWS($AG$2:AG640),$AG$2:$AG$1001,0),0), INDEX($AN$1004:$BO$1004,1,MATCH(COLUMNS($AN$1006:BH1006),$AN$1006:$BO$1006,0)))),"Fix")))</f>
        <v>0</v>
      </c>
      <c r="W640" s="4">
        <f>IF(OR(INDEX($AH$2:$AH$1001,MATCH(ROWS($AG$2:AG640),$AG$2:$AG$1001,0),1)&gt;=100000,INDEX($AN$1005:$BO$1005,1,MATCH(COLUMNS($AN$1006:BI1006),$AN$1006:$BO$1006,0))&gt;=100000), " ",IF(INDEX($AN$2:$BO$1001,MATCH(ROWS($AG$2:AG640),$AG$2:$AG$1001,0),MATCH(COLUMNS($AN$1006:BI1006),$AN$1006:$BO$1006,0)), HYPERLINK("#",""), HYPERLINK(CONCATENATE("#Metadata!", ADDRESS(INDEX($AI$2:$AI$1001,MATCH(ROWS($AG$2:AG640),$AG$2:$AG$1001,0),0), INDEX($AN$1004:$BO$1004,1,MATCH(COLUMNS($AN$1006:BI1006),$AN$1006:$BO$1006,0)))),"Fix")))</f>
        <v>0</v>
      </c>
      <c r="X640" s="4">
        <f>IF(OR(INDEX($AH$2:$AH$1001,MATCH(ROWS($AG$2:AG640),$AG$2:$AG$1001,0),1)&gt;=100000,INDEX($AN$1005:$BO$1005,1,MATCH(COLUMNS($AN$1006:BJ1006),$AN$1006:$BO$1006,0))&gt;=100000), " ",IF(INDEX($AN$2:$BO$1001,MATCH(ROWS($AG$2:AG640),$AG$2:$AG$1001,0),MATCH(COLUMNS($AN$1006:BJ1006),$AN$1006:$BO$1006,0)), HYPERLINK("#",""), HYPERLINK(CONCATENATE("#Metadata!", ADDRESS(INDEX($AI$2:$AI$1001,MATCH(ROWS($AG$2:AG640),$AG$2:$AG$1001,0),0), INDEX($AN$1004:$BO$1004,1,MATCH(COLUMNS($AN$1006:BJ1006),$AN$1006:$BO$1006,0)))),"Fix")))</f>
        <v>0</v>
      </c>
      <c r="Y640" s="4">
        <f>IF(OR(INDEX($AH$2:$AH$1001,MATCH(ROWS($AG$2:AG640),$AG$2:$AG$1001,0),1)&gt;=100000,INDEX($AN$1005:$BO$1005,1,MATCH(COLUMNS($AN$1006:BK1006),$AN$1006:$BO$1006,0))&gt;=100000), " ",IF(INDEX($AN$2:$BO$1001,MATCH(ROWS($AG$2:AG640),$AG$2:$AG$1001,0),MATCH(COLUMNS($AN$1006:BK1006),$AN$1006:$BO$1006,0)), HYPERLINK("#",""), HYPERLINK(CONCATENATE("#Metadata!", ADDRESS(INDEX($AI$2:$AI$1001,MATCH(ROWS($AG$2:AG640),$AG$2:$AG$1001,0),0), INDEX($AN$1004:$BO$1004,1,MATCH(COLUMNS($AN$1006:BK1006),$AN$1006:$BO$1006,0)))),"Fix")))</f>
        <v>0</v>
      </c>
      <c r="Z640" s="4">
        <f>IF(OR(INDEX($AH$2:$AH$1001,MATCH(ROWS($AG$2:AG640),$AG$2:$AG$1001,0),1)&gt;=100000,INDEX($AN$1005:$BO$1005,1,MATCH(COLUMNS($AN$1006:BL1006),$AN$1006:$BO$1006,0))&gt;=100000), " ",IF(INDEX($AN$2:$BO$1001,MATCH(ROWS($AG$2:AG640),$AG$2:$AG$1001,0),MATCH(COLUMNS($AN$1006:BL1006),$AN$1006:$BO$1006,0)), HYPERLINK("#",""), HYPERLINK(CONCATENATE("#Metadata!", ADDRESS(INDEX($AI$2:$AI$1001,MATCH(ROWS($AG$2:AG640),$AG$2:$AG$1001,0),0), INDEX($AN$1004:$BO$1004,1,MATCH(COLUMNS($AN$1006:BL1006),$AN$1006:$BO$1006,0)))),"Fix")))</f>
        <v>0</v>
      </c>
      <c r="AA640" s="4">
        <f>IF(OR(INDEX($AH$2:$AH$1001,MATCH(ROWS($AG$2:AG640),$AG$2:$AG$1001,0),1)&gt;=100000,INDEX($AN$1005:$BO$1005,1,MATCH(COLUMNS($AN$1006:BM1006),$AN$1006:$BO$1006,0))&gt;=100000), " ",IF(INDEX($AN$2:$BO$1001,MATCH(ROWS($AG$2:AG640),$AG$2:$AG$1001,0),MATCH(COLUMNS($AN$1006:BM1006),$AN$1006:$BO$1006,0)), HYPERLINK("#",""), HYPERLINK(CONCATENATE("#Metadata!", ADDRESS(INDEX($AI$2:$AI$1001,MATCH(ROWS($AG$2:AG640),$AG$2:$AG$1001,0),0), INDEX($AN$1004:$BO$1004,1,MATCH(COLUMNS($AN$1006:BM1006),$AN$1006:$BO$1006,0)))),"Fix")))</f>
        <v>0</v>
      </c>
      <c r="AB640" s="4">
        <f>IF(OR(INDEX($AH$2:$AH$1001,MATCH(ROWS($AG$2:AG640),$AG$2:$AG$1001,0),1)&gt;=100000,INDEX($AN$1005:$BO$1005,1,MATCH(COLUMNS($AN$1006:BN1006),$AN$1006:$BO$1006,0))&gt;=100000), " ",IF(INDEX($AN$2:$BO$1001,MATCH(ROWS($AG$2:AG640),$AG$2:$AG$1001,0),MATCH(COLUMNS($AN$1006:BN1006),$AN$1006:$BO$1006,0)), HYPERLINK("#",""), HYPERLINK(CONCATENATE("#Metadata!", ADDRESS(INDEX($AI$2:$AI$1001,MATCH(ROWS($AG$2:AG640),$AG$2:$AG$1001,0),0), INDEX($AN$1004:$BO$1004,1,MATCH(COLUMNS($AN$1006:BN1006),$AN$1006:$BO$1006,0)))),"Fix")))</f>
        <v>0</v>
      </c>
      <c r="AC640" s="4">
        <f>IF(OR(INDEX($AH$2:$AH$1001,MATCH(ROWS($AG$2:AG640),$AG$2:$AG$1001,0),1)&gt;=100000,INDEX($AN$1005:$BO$1005,1,MATCH(COLUMNS($AN$1006:BO1006),$AN$1006:$BO$1006,0))&gt;=100000), " ",IF(INDEX($AN$2:$BO$1001,MATCH(ROWS($AG$2:AG640),$AG$2:$AG$1001,0),MATCH(COLUMNS($AN$1006:BO1006),$AN$1006:$BO$1006,0)), HYPERLINK("#",""), HYPERLINK(CONCATENATE("#Metadata!", ADDRESS(INDEX($AI$2:$AI$1001,MATCH(ROWS($AG$2:AG640),$AG$2:$AG$1001,0),0), INDEX($AN$1004:$BO$1004,1,MATCH(COLUMNS($AN$1006:BO1006),$AN$1006:$BO$1006,0)))),"Fix")))</f>
        <v>0</v>
      </c>
      <c r="AG640">
        <v>0</v>
      </c>
      <c r="AH640">
        <v>0</v>
      </c>
      <c r="AI640">
        <v>0</v>
      </c>
      <c r="AJ640">
        <f>IF(AK640,TRUE,AND(AN640:BO640))</f>
        <v>0</v>
      </c>
      <c r="AK640">
        <f>COUNTBLANK(Metadata!B640:AC640)=COLUMNS(Metadata!B640:AC640)</f>
        <v>0</v>
      </c>
      <c r="AL640">
        <v>0</v>
      </c>
      <c r="AN640">
        <f>AND(IF(Metadata!B640="",FALSE,TRUE),COUNTIF(Metadata!B:B, Metadata!B640) = 1,NOT(ISERROR(SUMPRODUCT(SEARCH(MID(Metadata!B640,ROW(INDIRECT("1:"&amp;LEN(Metadata!B640))), 1),"0123456789abcdefghijklmnopqrstuvwxyzABCDEFGHIJKLMNOPQRSTUVWXYZ.")))))</f>
        <v>0</v>
      </c>
      <c r="AO640">
        <f>IF(Metadata!C640="",FALSE,TRUE)</f>
        <v>0</v>
      </c>
      <c r="AP640">
        <f>IF(Metadata!D640="",FALSE,TRUE)</f>
        <v>0</v>
      </c>
      <c r="AQ640">
        <f>OR(AND(IF(Metadata!E640="",FALSE,TRUE),OR(exact(Metadata!E640,"not collected"),exact(Metadata!E640,"not provided"),exact(Metadata!E640,"restricted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R640">
        <f>IF(Metadata!F640="",FALSE,TRUE)</f>
        <v>0</v>
      </c>
      <c r="AS640">
        <f>OR(AND(IF(Metadata!G640="",FALSE,TRUE),OR(exact(Metadata!G640,"not collected"),exact(Metadata!G640,"not provided"))),AND(IF(Metadata!G640="",FALSE,TRUE),OR(exact(Metadata!G640,"TRUE"),exact(Metadata!G640,"FALSE"))))</f>
        <v>0</v>
      </c>
      <c r="AT640">
        <f>OR(AND(IF(Metadata!H640="",FALSE,TRUE),OR(exact(Metadata!H640,"not collected"),exact(Metadata!H640,"not provided"),exact(Metadata!H640,"restricted access"))),AND(IF(Metadata!H640="",FALSE,ISNUMBER(VALUE(Metadata!H640))),Metadata!H640&gt;=-413.0))</f>
        <v>0</v>
      </c>
      <c r="AU640">
        <f>AND(IF(Metadata!I640="",FALSE,TRUE),exact(Metadata!I640,"meters"))</f>
        <v>0</v>
      </c>
      <c r="AV640">
        <f>AND(IF(Metadata!J640="",FALSE,TRUE),OR(exact(Metadata!J640,"Host-associated"),exact(Metadata!J640,"Free-living")))</f>
        <v>0</v>
      </c>
      <c r="AW640">
        <f>AND(IF(Metadata!K640="",FALSE,TRUE),OR(exact(Metadata!K640,"Animal"),exact(Metadata!K640,"Fungus"),exact(Metadata!K640,"Plant"),exact(Metadata!K640,"Saline"),exact(Metadata!K640,"Non-saline")))</f>
        <v>0</v>
      </c>
      <c r="AX640">
        <f>AND(IF(Metadata!L640="",FALSE,TRUE),OR(exact(Metadata!L640,"Plant secretion"),exact(Metadata!L640,"Plant rhizosphere"),exact(Metadata!L640,"Plant surface"),exact(Metadata!L640,"Plant corpus"),exact(Metadata!L640,"Fungus surface"),exact(Metadata!L640,"Fungus corpus"),exact(Metadata!L640,"Animal surface"),exact(Metadata!L640,"Animal proximal gut"),exact(Metadata!L640,"Animal corpus"),exact(Metadata!L640,"Animal distal gut"),exact(Metadata!L640,"Animal secretion"),exact(Metadata!L640,"Sub-surface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Y640">
        <f>IF(Metadata!M640="",FALSE,TRUE)</f>
        <v>0</v>
      </c>
      <c r="AZ640">
        <f>IF(Metadata!N640="",FALSE,TRUE)</f>
        <v>0</v>
      </c>
      <c r="BA640">
        <f>IF(Metadata!O640="",FALSE,TRUE)</f>
        <v>0</v>
      </c>
      <c r="BB640">
        <f>OR(AND(IF(Metadata!P640="",FALSE,TRUE),OR(exact(Metadata!P640,"not collected"),exact(Metadata!P640,"not provided"),exact(Metadata!P640,"restricted access"))),AND(IF(Metadata!P640="",FALSE,TRUE),OR(exact(Metadata!P640,"air"),exact(Metadata!P640,"built environment"),exact(Metadata!P640,"host-associated"),exact(Metadata!P640,"human-associated"),exact(Metadata!P640,"human-skin"),exact(Metadata!P640,"human-oral"),exact(Metadata!P640,"human-gut"),exact(Metadata!P640,"human-vaginal"),exact(Metadata!P640,"microbial mat/biofilm"),exact(Metadata!P640,"misc environment"),exact(Metadata!P640,"plant-associated"),exact(Metadata!P640,"sediment"),exact(Metadata!P640,"soil"),exact(Metadata!P640,"wastewater/sludge"),exact(Metadata!P640,"water"))))</f>
        <v>0</v>
      </c>
      <c r="BC640">
        <f>IF(Metadata!Q640="",FALSE,TRUE)</f>
        <v>0</v>
      </c>
      <c r="BD640">
        <f>IF(Metadata!R640="",FALSE,TRUE)</f>
        <v>0</v>
      </c>
      <c r="BE640">
        <f>OR(AND(IF(Metadata!S640="",FALSE,TRUE),OR(exact(Metadata!S640,"not collected"),exact(Metadata!S640,"not provided"),exact(Metadata!S640,"restricted access"))),AND(IF(Metadata!S640="",FALSE,ISNUMBER(VALUE(Metadata!S640))),Metadata!S640&gt;=-90.00,Metadata!S640&lt;=90.00))</f>
        <v>0</v>
      </c>
      <c r="BF640">
        <f>AND(IF(Metadata!T640="",FALSE,TRUE),exact(Metadata!T640,"Decimal degrees"))</f>
        <v>0</v>
      </c>
      <c r="BG640">
        <f>OR(AND(IF(Metadata!U640="",FALSE,TRUE),OR(exact(Metadata!U640,"not collected"),exact(Metadata!U640,"not provided"),exact(Metadata!U640,"restricted access"))),AND(IF(Metadata!U640="",FALSE,ISNUMBER(VALUE(Metadata!U640))),Metadata!U640&gt;=-180.00,Metadata!U640&lt;=180.00))</f>
        <v>0</v>
      </c>
      <c r="BH640">
        <f>AND(IF(Metadata!V640="",FALSE,TRUE),exact(Metadata!V640,"Decimal degrees"))</f>
        <v>0</v>
      </c>
      <c r="BI640">
        <f>IF(Metadata!W640="",FALSE,TRUE)</f>
        <v>0</v>
      </c>
      <c r="BJ640">
        <f>OR(AND(IF(Metadata!X640="",FALSE,TRUE),OR(exact(Metadata!X640,"not collected"),exact(Metadata!X640,"not provided"),exact(Metadata!X640,"restricted access"))),AND(IF(Metadata!X640="",FALSE,TRUE),OR(exact(Metadata!X640,"TRUE"),exact(Metadata!X640,"FALSE"))))</f>
        <v>0</v>
      </c>
      <c r="BK640">
        <f>AND(IF(Metadata!Y640="",FALSE,TRUE),exact(Metadata!Y640,"other"))</f>
        <v>0</v>
      </c>
      <c r="BL640">
        <f>IF(Metadata!Z640="",FALSE,TRUE)</f>
        <v>0</v>
      </c>
      <c r="BM640">
        <f>OR(AND(IF(Metadata!AA640="",FALSE,TRUE),OR(exact(Metadata!AA640,"not collected"),exact(Metadata!AA640,"not provided"))),AND(IF(Metadata!AA640="",FALSE,IF(ISERROR(INT(Metadata!AA640)),FALSE,INT(Metadata!AA640)=Metadata!AA640)),Metadata!AA640&gt;0))</f>
        <v>0</v>
      </c>
      <c r="BN640">
        <f>AND(IF(Metadata!AB640="",FALSE,TRUE),exact(Metadata!AB640,"Not applicable"))</f>
        <v>0</v>
      </c>
      <c r="BO640">
        <f>IF(Metadata!AC640="",FALSE,TRUE)</f>
        <v>0</v>
      </c>
    </row>
    <row r="641" spans="1:67">
      <c r="A641" s="5">
        <f>IF(B641=" "," ",HYPERLINK(CONCATENATE("#metadata!",ADDRESS(INDEX($AI$2:$AI$1001,MATCH(ROWS($AG$2:AG641),$AG$2:$AG$1001,0),0),1)),INDEX($AL$2:$AL$1001,MATCH(ROWS($AG$2:AG641),$AG$2:$AG$1001,0),0)))</f>
        <v>0</v>
      </c>
      <c r="B641" s="4">
        <f>IF(OR(INDEX($AH$2:$AH$1001,MATCH(ROWS($AG$2:AG641),$AG$2:$AG$1001,0),1)&gt;=100000,INDEX($AN$1005:$BO$1005,1,MATCH(COLUMNS($AN$1006:AN1006),$AN$1006:$BO$1006,0))&gt;=100000), " ",IF(INDEX($AN$2:$BO$1001,MATCH(ROWS($AG$2:AG641),$AG$2:$AG$1001,0),MATCH(COLUMNS($AN$1006:AN1006),$AN$1006:$BO$1006,0)), HYPERLINK("#",""), HYPERLINK(CONCATENATE("#Metadata!", ADDRESS(INDEX($AI$2:$AI$1001,MATCH(ROWS($AG$2:AG641),$AG$2:$AG$1001,0),0), INDEX($AN$1004:$BO$1004,1,MATCH(COLUMNS($AN$1006:AN1006),$AN$1006:$BO$1006,0)))),"Fix")))</f>
        <v>0</v>
      </c>
      <c r="C641" s="4">
        <f>IF(OR(INDEX($AH$2:$AH$1001,MATCH(ROWS($AG$2:AG641),$AG$2:$AG$1001,0),1)&gt;=100000,INDEX($AN$1005:$BO$1005,1,MATCH(COLUMNS($AN$1006:AO1006),$AN$1006:$BO$1006,0))&gt;=100000), " ",IF(INDEX($AN$2:$BO$1001,MATCH(ROWS($AG$2:AG641),$AG$2:$AG$1001,0),MATCH(COLUMNS($AN$1006:AO1006),$AN$1006:$BO$1006,0)), HYPERLINK("#",""), HYPERLINK(CONCATENATE("#Metadata!", ADDRESS(INDEX($AI$2:$AI$1001,MATCH(ROWS($AG$2:AG641),$AG$2:$AG$1001,0),0), INDEX($AN$1004:$BO$1004,1,MATCH(COLUMNS($AN$1006:AO1006),$AN$1006:$BO$1006,0)))),"Fix")))</f>
        <v>0</v>
      </c>
      <c r="D641" s="4">
        <f>IF(OR(INDEX($AH$2:$AH$1001,MATCH(ROWS($AG$2:AG641),$AG$2:$AG$1001,0),1)&gt;=100000,INDEX($AN$1005:$BO$1005,1,MATCH(COLUMNS($AN$1006:AP1006),$AN$1006:$BO$1006,0))&gt;=100000), " ",IF(INDEX($AN$2:$BO$1001,MATCH(ROWS($AG$2:AG641),$AG$2:$AG$1001,0),MATCH(COLUMNS($AN$1006:AP1006),$AN$1006:$BO$1006,0)), HYPERLINK("#",""), HYPERLINK(CONCATENATE("#Metadata!", ADDRESS(INDEX($AI$2:$AI$1001,MATCH(ROWS($AG$2:AG641),$AG$2:$AG$1001,0),0), INDEX($AN$1004:$BO$1004,1,MATCH(COLUMNS($AN$1006:AP1006),$AN$1006:$BO$1006,0)))),"Fix")))</f>
        <v>0</v>
      </c>
      <c r="E641" s="4">
        <f>IF(OR(INDEX($AH$2:$AH$1001,MATCH(ROWS($AG$2:AG641),$AG$2:$AG$1001,0),1)&gt;=100000,INDEX($AN$1005:$BO$1005,1,MATCH(COLUMNS($AN$1006:AQ1006),$AN$1006:$BO$1006,0))&gt;=100000), " ",IF(INDEX($AN$2:$BO$1001,MATCH(ROWS($AG$2:AG641),$AG$2:$AG$1001,0),MATCH(COLUMNS($AN$1006:AQ1006),$AN$1006:$BO$1006,0)), HYPERLINK("#",""), HYPERLINK(CONCATENATE("#Metadata!", ADDRESS(INDEX($AI$2:$AI$1001,MATCH(ROWS($AG$2:AG641),$AG$2:$AG$1001,0),0), INDEX($AN$1004:$BO$1004,1,MATCH(COLUMNS($AN$1006:AQ1006),$AN$1006:$BO$1006,0)))),"Fix")))</f>
        <v>0</v>
      </c>
      <c r="F641" s="4">
        <f>IF(OR(INDEX($AH$2:$AH$1001,MATCH(ROWS($AG$2:AG641),$AG$2:$AG$1001,0),1)&gt;=100000,INDEX($AN$1005:$BO$1005,1,MATCH(COLUMNS($AN$1006:AR1006),$AN$1006:$BO$1006,0))&gt;=100000), " ",IF(INDEX($AN$2:$BO$1001,MATCH(ROWS($AG$2:AG641),$AG$2:$AG$1001,0),MATCH(COLUMNS($AN$1006:AR1006),$AN$1006:$BO$1006,0)), HYPERLINK("#",""), HYPERLINK(CONCATENATE("#Metadata!", ADDRESS(INDEX($AI$2:$AI$1001,MATCH(ROWS($AG$2:AG641),$AG$2:$AG$1001,0),0), INDEX($AN$1004:$BO$1004,1,MATCH(COLUMNS($AN$1006:AR1006),$AN$1006:$BO$1006,0)))),"Fix")))</f>
        <v>0</v>
      </c>
      <c r="G641" s="4">
        <f>IF(OR(INDEX($AH$2:$AH$1001,MATCH(ROWS($AG$2:AG641),$AG$2:$AG$1001,0),1)&gt;=100000,INDEX($AN$1005:$BO$1005,1,MATCH(COLUMNS($AN$1006:AS1006),$AN$1006:$BO$1006,0))&gt;=100000), " ",IF(INDEX($AN$2:$BO$1001,MATCH(ROWS($AG$2:AG641),$AG$2:$AG$1001,0),MATCH(COLUMNS($AN$1006:AS1006),$AN$1006:$BO$1006,0)), HYPERLINK("#",""), HYPERLINK(CONCATENATE("#Metadata!", ADDRESS(INDEX($AI$2:$AI$1001,MATCH(ROWS($AG$2:AG641),$AG$2:$AG$1001,0),0), INDEX($AN$1004:$BO$1004,1,MATCH(COLUMNS($AN$1006:AS1006),$AN$1006:$BO$1006,0)))),"Fix")))</f>
        <v>0</v>
      </c>
      <c r="H641" s="4">
        <f>IF(OR(INDEX($AH$2:$AH$1001,MATCH(ROWS($AG$2:AG641),$AG$2:$AG$1001,0),1)&gt;=100000,INDEX($AN$1005:$BO$1005,1,MATCH(COLUMNS($AN$1006:AT1006),$AN$1006:$BO$1006,0))&gt;=100000), " ",IF(INDEX($AN$2:$BO$1001,MATCH(ROWS($AG$2:AG641),$AG$2:$AG$1001,0),MATCH(COLUMNS($AN$1006:AT1006),$AN$1006:$BO$1006,0)), HYPERLINK("#",""), HYPERLINK(CONCATENATE("#Metadata!", ADDRESS(INDEX($AI$2:$AI$1001,MATCH(ROWS($AG$2:AG641),$AG$2:$AG$1001,0),0), INDEX($AN$1004:$BO$1004,1,MATCH(COLUMNS($AN$1006:AT1006),$AN$1006:$BO$1006,0)))),"Fix")))</f>
        <v>0</v>
      </c>
      <c r="I641" s="4">
        <f>IF(OR(INDEX($AH$2:$AH$1001,MATCH(ROWS($AG$2:AG641),$AG$2:$AG$1001,0),1)&gt;=100000,INDEX($AN$1005:$BO$1005,1,MATCH(COLUMNS($AN$1006:AU1006),$AN$1006:$BO$1006,0))&gt;=100000), " ",IF(INDEX($AN$2:$BO$1001,MATCH(ROWS($AG$2:AG641),$AG$2:$AG$1001,0),MATCH(COLUMNS($AN$1006:AU1006),$AN$1006:$BO$1006,0)), HYPERLINK("#",""), HYPERLINK(CONCATENATE("#Metadata!", ADDRESS(INDEX($AI$2:$AI$1001,MATCH(ROWS($AG$2:AG641),$AG$2:$AG$1001,0),0), INDEX($AN$1004:$BO$1004,1,MATCH(COLUMNS($AN$1006:AU1006),$AN$1006:$BO$1006,0)))),"Fix")))</f>
        <v>0</v>
      </c>
      <c r="J641" s="4">
        <f>IF(OR(INDEX($AH$2:$AH$1001,MATCH(ROWS($AG$2:AG641),$AG$2:$AG$1001,0),1)&gt;=100000,INDEX($AN$1005:$BO$1005,1,MATCH(COLUMNS($AN$1006:AV1006),$AN$1006:$BO$1006,0))&gt;=100000), " ",IF(INDEX($AN$2:$BO$1001,MATCH(ROWS($AG$2:AG641),$AG$2:$AG$1001,0),MATCH(COLUMNS($AN$1006:AV1006),$AN$1006:$BO$1006,0)), HYPERLINK("#",""), HYPERLINK(CONCATENATE("#Metadata!", ADDRESS(INDEX($AI$2:$AI$1001,MATCH(ROWS($AG$2:AG641),$AG$2:$AG$1001,0),0), INDEX($AN$1004:$BO$1004,1,MATCH(COLUMNS($AN$1006:AV1006),$AN$1006:$BO$1006,0)))),"Fix")))</f>
        <v>0</v>
      </c>
      <c r="K641" s="4">
        <f>IF(OR(INDEX($AH$2:$AH$1001,MATCH(ROWS($AG$2:AG641),$AG$2:$AG$1001,0),1)&gt;=100000,INDEX($AN$1005:$BO$1005,1,MATCH(COLUMNS($AN$1006:AW1006),$AN$1006:$BO$1006,0))&gt;=100000), " ",IF(INDEX($AN$2:$BO$1001,MATCH(ROWS($AG$2:AG641),$AG$2:$AG$1001,0),MATCH(COLUMNS($AN$1006:AW1006),$AN$1006:$BO$1006,0)), HYPERLINK("#",""), HYPERLINK(CONCATENATE("#Metadata!", ADDRESS(INDEX($AI$2:$AI$1001,MATCH(ROWS($AG$2:AG641),$AG$2:$AG$1001,0),0), INDEX($AN$1004:$BO$1004,1,MATCH(COLUMNS($AN$1006:AW1006),$AN$1006:$BO$1006,0)))),"Fix")))</f>
        <v>0</v>
      </c>
      <c r="L641" s="4">
        <f>IF(OR(INDEX($AH$2:$AH$1001,MATCH(ROWS($AG$2:AG641),$AG$2:$AG$1001,0),1)&gt;=100000,INDEX($AN$1005:$BO$1005,1,MATCH(COLUMNS($AN$1006:AX1006),$AN$1006:$BO$1006,0))&gt;=100000), " ",IF(INDEX($AN$2:$BO$1001,MATCH(ROWS($AG$2:AG641),$AG$2:$AG$1001,0),MATCH(COLUMNS($AN$1006:AX1006),$AN$1006:$BO$1006,0)), HYPERLINK("#",""), HYPERLINK(CONCATENATE("#Metadata!", ADDRESS(INDEX($AI$2:$AI$1001,MATCH(ROWS($AG$2:AG641),$AG$2:$AG$1001,0),0), INDEX($AN$1004:$BO$1004,1,MATCH(COLUMNS($AN$1006:AX1006),$AN$1006:$BO$1006,0)))),"Fix")))</f>
        <v>0</v>
      </c>
      <c r="M641" s="4">
        <f>IF(OR(INDEX($AH$2:$AH$1001,MATCH(ROWS($AG$2:AG641),$AG$2:$AG$1001,0),1)&gt;=100000,INDEX($AN$1005:$BO$1005,1,MATCH(COLUMNS($AN$1006:AY1006),$AN$1006:$BO$1006,0))&gt;=100000), " ",IF(INDEX($AN$2:$BO$1001,MATCH(ROWS($AG$2:AG641),$AG$2:$AG$1001,0),MATCH(COLUMNS($AN$1006:AY1006),$AN$1006:$BO$1006,0)), HYPERLINK("#",""), HYPERLINK(CONCATENATE("#Metadata!", ADDRESS(INDEX($AI$2:$AI$1001,MATCH(ROWS($AG$2:AG641),$AG$2:$AG$1001,0),0), INDEX($AN$1004:$BO$1004,1,MATCH(COLUMNS($AN$1006:AY1006),$AN$1006:$BO$1006,0)))),"Fix")))</f>
        <v>0</v>
      </c>
      <c r="N641" s="4">
        <f>IF(OR(INDEX($AH$2:$AH$1001,MATCH(ROWS($AG$2:AG641),$AG$2:$AG$1001,0),1)&gt;=100000,INDEX($AN$1005:$BO$1005,1,MATCH(COLUMNS($AN$1006:AZ1006),$AN$1006:$BO$1006,0))&gt;=100000), " ",IF(INDEX($AN$2:$BO$1001,MATCH(ROWS($AG$2:AG641),$AG$2:$AG$1001,0),MATCH(COLUMNS($AN$1006:AZ1006),$AN$1006:$BO$1006,0)), HYPERLINK("#",""), HYPERLINK(CONCATENATE("#Metadata!", ADDRESS(INDEX($AI$2:$AI$1001,MATCH(ROWS($AG$2:AG641),$AG$2:$AG$1001,0),0), INDEX($AN$1004:$BO$1004,1,MATCH(COLUMNS($AN$1006:AZ1006),$AN$1006:$BO$1006,0)))),"Fix")))</f>
        <v>0</v>
      </c>
      <c r="O641" s="4">
        <f>IF(OR(INDEX($AH$2:$AH$1001,MATCH(ROWS($AG$2:AG641),$AG$2:$AG$1001,0),1)&gt;=100000,INDEX($AN$1005:$BO$1005,1,MATCH(COLUMNS($AN$1006:BA1006),$AN$1006:$BO$1006,0))&gt;=100000), " ",IF(INDEX($AN$2:$BO$1001,MATCH(ROWS($AG$2:AG641),$AG$2:$AG$1001,0),MATCH(COLUMNS($AN$1006:BA1006),$AN$1006:$BO$1006,0)), HYPERLINK("#",""), HYPERLINK(CONCATENATE("#Metadata!", ADDRESS(INDEX($AI$2:$AI$1001,MATCH(ROWS($AG$2:AG641),$AG$2:$AG$1001,0),0), INDEX($AN$1004:$BO$1004,1,MATCH(COLUMNS($AN$1006:BA1006),$AN$1006:$BO$1006,0)))),"Fix")))</f>
        <v>0</v>
      </c>
      <c r="P641" s="4">
        <f>IF(OR(INDEX($AH$2:$AH$1001,MATCH(ROWS($AG$2:AG641),$AG$2:$AG$1001,0),1)&gt;=100000,INDEX($AN$1005:$BO$1005,1,MATCH(COLUMNS($AN$1006:BB1006),$AN$1006:$BO$1006,0))&gt;=100000), " ",IF(INDEX($AN$2:$BO$1001,MATCH(ROWS($AG$2:AG641),$AG$2:$AG$1001,0),MATCH(COLUMNS($AN$1006:BB1006),$AN$1006:$BO$1006,0)), HYPERLINK("#",""), HYPERLINK(CONCATENATE("#Metadata!", ADDRESS(INDEX($AI$2:$AI$1001,MATCH(ROWS($AG$2:AG641),$AG$2:$AG$1001,0),0), INDEX($AN$1004:$BO$1004,1,MATCH(COLUMNS($AN$1006:BB1006),$AN$1006:$BO$1006,0)))),"Fix")))</f>
        <v>0</v>
      </c>
      <c r="Q641" s="4">
        <f>IF(OR(INDEX($AH$2:$AH$1001,MATCH(ROWS($AG$2:AG641),$AG$2:$AG$1001,0),1)&gt;=100000,INDEX($AN$1005:$BO$1005,1,MATCH(COLUMNS($AN$1006:BC1006),$AN$1006:$BO$1006,0))&gt;=100000), " ",IF(INDEX($AN$2:$BO$1001,MATCH(ROWS($AG$2:AG641),$AG$2:$AG$1001,0),MATCH(COLUMNS($AN$1006:BC1006),$AN$1006:$BO$1006,0)), HYPERLINK("#",""), HYPERLINK(CONCATENATE("#Metadata!", ADDRESS(INDEX($AI$2:$AI$1001,MATCH(ROWS($AG$2:AG641),$AG$2:$AG$1001,0),0), INDEX($AN$1004:$BO$1004,1,MATCH(COLUMNS($AN$1006:BC1006),$AN$1006:$BO$1006,0)))),"Fix")))</f>
        <v>0</v>
      </c>
      <c r="R641" s="4">
        <f>IF(OR(INDEX($AH$2:$AH$1001,MATCH(ROWS($AG$2:AG641),$AG$2:$AG$1001,0),1)&gt;=100000,INDEX($AN$1005:$BO$1005,1,MATCH(COLUMNS($AN$1006:BD1006),$AN$1006:$BO$1006,0))&gt;=100000), " ",IF(INDEX($AN$2:$BO$1001,MATCH(ROWS($AG$2:AG641),$AG$2:$AG$1001,0),MATCH(COLUMNS($AN$1006:BD1006),$AN$1006:$BO$1006,0)), HYPERLINK("#",""), HYPERLINK(CONCATENATE("#Metadata!", ADDRESS(INDEX($AI$2:$AI$1001,MATCH(ROWS($AG$2:AG641),$AG$2:$AG$1001,0),0), INDEX($AN$1004:$BO$1004,1,MATCH(COLUMNS($AN$1006:BD1006),$AN$1006:$BO$1006,0)))),"Fix")))</f>
        <v>0</v>
      </c>
      <c r="S641" s="4">
        <f>IF(OR(INDEX($AH$2:$AH$1001,MATCH(ROWS($AG$2:AG641),$AG$2:$AG$1001,0),1)&gt;=100000,INDEX($AN$1005:$BO$1005,1,MATCH(COLUMNS($AN$1006:BE1006),$AN$1006:$BO$1006,0))&gt;=100000), " ",IF(INDEX($AN$2:$BO$1001,MATCH(ROWS($AG$2:AG641),$AG$2:$AG$1001,0),MATCH(COLUMNS($AN$1006:BE1006),$AN$1006:$BO$1006,0)), HYPERLINK("#",""), HYPERLINK(CONCATENATE("#Metadata!", ADDRESS(INDEX($AI$2:$AI$1001,MATCH(ROWS($AG$2:AG641),$AG$2:$AG$1001,0),0), INDEX($AN$1004:$BO$1004,1,MATCH(COLUMNS($AN$1006:BE1006),$AN$1006:$BO$1006,0)))),"Fix")))</f>
        <v>0</v>
      </c>
      <c r="T641" s="4">
        <f>IF(OR(INDEX($AH$2:$AH$1001,MATCH(ROWS($AG$2:AG641),$AG$2:$AG$1001,0),1)&gt;=100000,INDEX($AN$1005:$BO$1005,1,MATCH(COLUMNS($AN$1006:BF1006),$AN$1006:$BO$1006,0))&gt;=100000), " ",IF(INDEX($AN$2:$BO$1001,MATCH(ROWS($AG$2:AG641),$AG$2:$AG$1001,0),MATCH(COLUMNS($AN$1006:BF1006),$AN$1006:$BO$1006,0)), HYPERLINK("#",""), HYPERLINK(CONCATENATE("#Metadata!", ADDRESS(INDEX($AI$2:$AI$1001,MATCH(ROWS($AG$2:AG641),$AG$2:$AG$1001,0),0), INDEX($AN$1004:$BO$1004,1,MATCH(COLUMNS($AN$1006:BF1006),$AN$1006:$BO$1006,0)))),"Fix")))</f>
        <v>0</v>
      </c>
      <c r="U641" s="4">
        <f>IF(OR(INDEX($AH$2:$AH$1001,MATCH(ROWS($AG$2:AG641),$AG$2:$AG$1001,0),1)&gt;=100000,INDEX($AN$1005:$BO$1005,1,MATCH(COLUMNS($AN$1006:BG1006),$AN$1006:$BO$1006,0))&gt;=100000), " ",IF(INDEX($AN$2:$BO$1001,MATCH(ROWS($AG$2:AG641),$AG$2:$AG$1001,0),MATCH(COLUMNS($AN$1006:BG1006),$AN$1006:$BO$1006,0)), HYPERLINK("#",""), HYPERLINK(CONCATENATE("#Metadata!", ADDRESS(INDEX($AI$2:$AI$1001,MATCH(ROWS($AG$2:AG641),$AG$2:$AG$1001,0),0), INDEX($AN$1004:$BO$1004,1,MATCH(COLUMNS($AN$1006:BG1006),$AN$1006:$BO$1006,0)))),"Fix")))</f>
        <v>0</v>
      </c>
      <c r="V641" s="4">
        <f>IF(OR(INDEX($AH$2:$AH$1001,MATCH(ROWS($AG$2:AG641),$AG$2:$AG$1001,0),1)&gt;=100000,INDEX($AN$1005:$BO$1005,1,MATCH(COLUMNS($AN$1006:BH1006),$AN$1006:$BO$1006,0))&gt;=100000), " ",IF(INDEX($AN$2:$BO$1001,MATCH(ROWS($AG$2:AG641),$AG$2:$AG$1001,0),MATCH(COLUMNS($AN$1006:BH1006),$AN$1006:$BO$1006,0)), HYPERLINK("#",""), HYPERLINK(CONCATENATE("#Metadata!", ADDRESS(INDEX($AI$2:$AI$1001,MATCH(ROWS($AG$2:AG641),$AG$2:$AG$1001,0),0), INDEX($AN$1004:$BO$1004,1,MATCH(COLUMNS($AN$1006:BH1006),$AN$1006:$BO$1006,0)))),"Fix")))</f>
        <v>0</v>
      </c>
      <c r="W641" s="4">
        <f>IF(OR(INDEX($AH$2:$AH$1001,MATCH(ROWS($AG$2:AG641),$AG$2:$AG$1001,0),1)&gt;=100000,INDEX($AN$1005:$BO$1005,1,MATCH(COLUMNS($AN$1006:BI1006),$AN$1006:$BO$1006,0))&gt;=100000), " ",IF(INDEX($AN$2:$BO$1001,MATCH(ROWS($AG$2:AG641),$AG$2:$AG$1001,0),MATCH(COLUMNS($AN$1006:BI1006),$AN$1006:$BO$1006,0)), HYPERLINK("#",""), HYPERLINK(CONCATENATE("#Metadata!", ADDRESS(INDEX($AI$2:$AI$1001,MATCH(ROWS($AG$2:AG641),$AG$2:$AG$1001,0),0), INDEX($AN$1004:$BO$1004,1,MATCH(COLUMNS($AN$1006:BI1006),$AN$1006:$BO$1006,0)))),"Fix")))</f>
        <v>0</v>
      </c>
      <c r="X641" s="4">
        <f>IF(OR(INDEX($AH$2:$AH$1001,MATCH(ROWS($AG$2:AG641),$AG$2:$AG$1001,0),1)&gt;=100000,INDEX($AN$1005:$BO$1005,1,MATCH(COLUMNS($AN$1006:BJ1006),$AN$1006:$BO$1006,0))&gt;=100000), " ",IF(INDEX($AN$2:$BO$1001,MATCH(ROWS($AG$2:AG641),$AG$2:$AG$1001,0),MATCH(COLUMNS($AN$1006:BJ1006),$AN$1006:$BO$1006,0)), HYPERLINK("#",""), HYPERLINK(CONCATENATE("#Metadata!", ADDRESS(INDEX($AI$2:$AI$1001,MATCH(ROWS($AG$2:AG641),$AG$2:$AG$1001,0),0), INDEX($AN$1004:$BO$1004,1,MATCH(COLUMNS($AN$1006:BJ1006),$AN$1006:$BO$1006,0)))),"Fix")))</f>
        <v>0</v>
      </c>
      <c r="Y641" s="4">
        <f>IF(OR(INDEX($AH$2:$AH$1001,MATCH(ROWS($AG$2:AG641),$AG$2:$AG$1001,0),1)&gt;=100000,INDEX($AN$1005:$BO$1005,1,MATCH(COLUMNS($AN$1006:BK1006),$AN$1006:$BO$1006,0))&gt;=100000), " ",IF(INDEX($AN$2:$BO$1001,MATCH(ROWS($AG$2:AG641),$AG$2:$AG$1001,0),MATCH(COLUMNS($AN$1006:BK1006),$AN$1006:$BO$1006,0)), HYPERLINK("#",""), HYPERLINK(CONCATENATE("#Metadata!", ADDRESS(INDEX($AI$2:$AI$1001,MATCH(ROWS($AG$2:AG641),$AG$2:$AG$1001,0),0), INDEX($AN$1004:$BO$1004,1,MATCH(COLUMNS($AN$1006:BK1006),$AN$1006:$BO$1006,0)))),"Fix")))</f>
        <v>0</v>
      </c>
      <c r="Z641" s="4">
        <f>IF(OR(INDEX($AH$2:$AH$1001,MATCH(ROWS($AG$2:AG641),$AG$2:$AG$1001,0),1)&gt;=100000,INDEX($AN$1005:$BO$1005,1,MATCH(COLUMNS($AN$1006:BL1006),$AN$1006:$BO$1006,0))&gt;=100000), " ",IF(INDEX($AN$2:$BO$1001,MATCH(ROWS($AG$2:AG641),$AG$2:$AG$1001,0),MATCH(COLUMNS($AN$1006:BL1006),$AN$1006:$BO$1006,0)), HYPERLINK("#",""), HYPERLINK(CONCATENATE("#Metadata!", ADDRESS(INDEX($AI$2:$AI$1001,MATCH(ROWS($AG$2:AG641),$AG$2:$AG$1001,0),0), INDEX($AN$1004:$BO$1004,1,MATCH(COLUMNS($AN$1006:BL1006),$AN$1006:$BO$1006,0)))),"Fix")))</f>
        <v>0</v>
      </c>
      <c r="AA641" s="4">
        <f>IF(OR(INDEX($AH$2:$AH$1001,MATCH(ROWS($AG$2:AG641),$AG$2:$AG$1001,0),1)&gt;=100000,INDEX($AN$1005:$BO$1005,1,MATCH(COLUMNS($AN$1006:BM1006),$AN$1006:$BO$1006,0))&gt;=100000), " ",IF(INDEX($AN$2:$BO$1001,MATCH(ROWS($AG$2:AG641),$AG$2:$AG$1001,0),MATCH(COLUMNS($AN$1006:BM1006),$AN$1006:$BO$1006,0)), HYPERLINK("#",""), HYPERLINK(CONCATENATE("#Metadata!", ADDRESS(INDEX($AI$2:$AI$1001,MATCH(ROWS($AG$2:AG641),$AG$2:$AG$1001,0),0), INDEX($AN$1004:$BO$1004,1,MATCH(COLUMNS($AN$1006:BM1006),$AN$1006:$BO$1006,0)))),"Fix")))</f>
        <v>0</v>
      </c>
      <c r="AB641" s="4">
        <f>IF(OR(INDEX($AH$2:$AH$1001,MATCH(ROWS($AG$2:AG641),$AG$2:$AG$1001,0),1)&gt;=100000,INDEX($AN$1005:$BO$1005,1,MATCH(COLUMNS($AN$1006:BN1006),$AN$1006:$BO$1006,0))&gt;=100000), " ",IF(INDEX($AN$2:$BO$1001,MATCH(ROWS($AG$2:AG641),$AG$2:$AG$1001,0),MATCH(COLUMNS($AN$1006:BN1006),$AN$1006:$BO$1006,0)), HYPERLINK("#",""), HYPERLINK(CONCATENATE("#Metadata!", ADDRESS(INDEX($AI$2:$AI$1001,MATCH(ROWS($AG$2:AG641),$AG$2:$AG$1001,0),0), INDEX($AN$1004:$BO$1004,1,MATCH(COLUMNS($AN$1006:BN1006),$AN$1006:$BO$1006,0)))),"Fix")))</f>
        <v>0</v>
      </c>
      <c r="AC641" s="4">
        <f>IF(OR(INDEX($AH$2:$AH$1001,MATCH(ROWS($AG$2:AG641),$AG$2:$AG$1001,0),1)&gt;=100000,INDEX($AN$1005:$BO$1005,1,MATCH(COLUMNS($AN$1006:BO1006),$AN$1006:$BO$1006,0))&gt;=100000), " ",IF(INDEX($AN$2:$BO$1001,MATCH(ROWS($AG$2:AG641),$AG$2:$AG$1001,0),MATCH(COLUMNS($AN$1006:BO1006),$AN$1006:$BO$1006,0)), HYPERLINK("#",""), HYPERLINK(CONCATENATE("#Metadata!", ADDRESS(INDEX($AI$2:$AI$1001,MATCH(ROWS($AG$2:AG641),$AG$2:$AG$1001,0),0), INDEX($AN$1004:$BO$1004,1,MATCH(COLUMNS($AN$1006:BO1006),$AN$1006:$BO$1006,0)))),"Fix")))</f>
        <v>0</v>
      </c>
      <c r="AG641">
        <v>0</v>
      </c>
      <c r="AH641">
        <v>0</v>
      </c>
      <c r="AI641">
        <v>0</v>
      </c>
      <c r="AJ641">
        <f>IF(AK641,TRUE,AND(AN641:BO641))</f>
        <v>0</v>
      </c>
      <c r="AK641">
        <f>COUNTBLANK(Metadata!B641:AC641)=COLUMNS(Metadata!B641:AC641)</f>
        <v>0</v>
      </c>
      <c r="AL641">
        <v>0</v>
      </c>
      <c r="AN641">
        <f>AND(IF(Metadata!B641="",FALSE,TRUE),COUNTIF(Metadata!B:B, Metadata!B641) = 1,NOT(ISERROR(SUMPRODUCT(SEARCH(MID(Metadata!B641,ROW(INDIRECT("1:"&amp;LEN(Metadata!B641))), 1),"0123456789abcdefghijklmnopqrstuvwxyzABCDEFGHIJKLMNOPQRSTUVWXYZ.")))))</f>
        <v>0</v>
      </c>
      <c r="AO641">
        <f>IF(Metadata!C641="",FALSE,TRUE)</f>
        <v>0</v>
      </c>
      <c r="AP641">
        <f>IF(Metadata!D641="",FALSE,TRUE)</f>
        <v>0</v>
      </c>
      <c r="AQ641">
        <f>OR(AND(IF(Metadata!E641="",FALSE,TRUE),OR(exact(Metadata!E641,"not collected"),exact(Metadata!E641,"not provided"),exact(Metadata!E641,"restricted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R641">
        <f>IF(Metadata!F641="",FALSE,TRUE)</f>
        <v>0</v>
      </c>
      <c r="AS641">
        <f>OR(AND(IF(Metadata!G641="",FALSE,TRUE),OR(exact(Metadata!G641,"not collected"),exact(Metadata!G641,"not provided"))),AND(IF(Metadata!G641="",FALSE,TRUE),OR(exact(Metadata!G641,"TRUE"),exact(Metadata!G641,"FALSE"))))</f>
        <v>0</v>
      </c>
      <c r="AT641">
        <f>OR(AND(IF(Metadata!H641="",FALSE,TRUE),OR(exact(Metadata!H641,"not collected"),exact(Metadata!H641,"not provided"),exact(Metadata!H641,"restricted access"))),AND(IF(Metadata!H641="",FALSE,ISNUMBER(VALUE(Metadata!H641))),Metadata!H641&gt;=-413.0))</f>
        <v>0</v>
      </c>
      <c r="AU641">
        <f>AND(IF(Metadata!I641="",FALSE,TRUE),exact(Metadata!I641,"meters"))</f>
        <v>0</v>
      </c>
      <c r="AV641">
        <f>AND(IF(Metadata!J641="",FALSE,TRUE),OR(exact(Metadata!J641,"Host-associated"),exact(Metadata!J641,"Free-living")))</f>
        <v>0</v>
      </c>
      <c r="AW641">
        <f>AND(IF(Metadata!K641="",FALSE,TRUE),OR(exact(Metadata!K641,"Animal"),exact(Metadata!K641,"Fungus"),exact(Metadata!K641,"Plant"),exact(Metadata!K641,"Saline"),exact(Metadata!K641,"Non-saline")))</f>
        <v>0</v>
      </c>
      <c r="AX641">
        <f>AND(IF(Metadata!L641="",FALSE,TRUE),OR(exact(Metadata!L641,"Plant secretion"),exact(Metadata!L641,"Plant rhizosphere"),exact(Metadata!L641,"Plant surface"),exact(Metadata!L641,"Plant corpus"),exact(Metadata!L641,"Fungus surface"),exact(Metadata!L641,"Fungus corpus"),exact(Metadata!L641,"Animal surface"),exact(Metadata!L641,"Animal proximal gut"),exact(Metadata!L641,"Animal corpus"),exact(Metadata!L641,"Animal distal gut"),exact(Metadata!L641,"Animal secretion"),exact(Metadata!L641,"Sub-surface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Y641">
        <f>IF(Metadata!M641="",FALSE,TRUE)</f>
        <v>0</v>
      </c>
      <c r="AZ641">
        <f>IF(Metadata!N641="",FALSE,TRUE)</f>
        <v>0</v>
      </c>
      <c r="BA641">
        <f>IF(Metadata!O641="",FALSE,TRUE)</f>
        <v>0</v>
      </c>
      <c r="BB641">
        <f>OR(AND(IF(Metadata!P641="",FALSE,TRUE),OR(exact(Metadata!P641,"not collected"),exact(Metadata!P641,"not provided"),exact(Metadata!P641,"restricted access"))),AND(IF(Metadata!P641="",FALSE,TRUE),OR(exact(Metadata!P641,"air"),exact(Metadata!P641,"built environment"),exact(Metadata!P641,"host-associated"),exact(Metadata!P641,"human-associated"),exact(Metadata!P641,"human-skin"),exact(Metadata!P641,"human-oral"),exact(Metadata!P641,"human-gut"),exact(Metadata!P641,"human-vaginal"),exact(Metadata!P641,"microbial mat/biofilm"),exact(Metadata!P641,"misc environment"),exact(Metadata!P641,"plant-associated"),exact(Metadata!P641,"sediment"),exact(Metadata!P641,"soil"),exact(Metadata!P641,"wastewater/sludge"),exact(Metadata!P641,"water"))))</f>
        <v>0</v>
      </c>
      <c r="BC641">
        <f>IF(Metadata!Q641="",FALSE,TRUE)</f>
        <v>0</v>
      </c>
      <c r="BD641">
        <f>IF(Metadata!R641="",FALSE,TRUE)</f>
        <v>0</v>
      </c>
      <c r="BE641">
        <f>OR(AND(IF(Metadata!S641="",FALSE,TRUE),OR(exact(Metadata!S641,"not collected"),exact(Metadata!S641,"not provided"),exact(Metadata!S641,"restricted access"))),AND(IF(Metadata!S641="",FALSE,ISNUMBER(VALUE(Metadata!S641))),Metadata!S641&gt;=-90.00,Metadata!S641&lt;=90.00))</f>
        <v>0</v>
      </c>
      <c r="BF641">
        <f>AND(IF(Metadata!T641="",FALSE,TRUE),exact(Metadata!T641,"Decimal degrees"))</f>
        <v>0</v>
      </c>
      <c r="BG641">
        <f>OR(AND(IF(Metadata!U641="",FALSE,TRUE),OR(exact(Metadata!U641,"not collected"),exact(Metadata!U641,"not provided"),exact(Metadata!U641,"restricted access"))),AND(IF(Metadata!U641="",FALSE,ISNUMBER(VALUE(Metadata!U641))),Metadata!U641&gt;=-180.00,Metadata!U641&lt;=180.00))</f>
        <v>0</v>
      </c>
      <c r="BH641">
        <f>AND(IF(Metadata!V641="",FALSE,TRUE),exact(Metadata!V641,"Decimal degrees"))</f>
        <v>0</v>
      </c>
      <c r="BI641">
        <f>IF(Metadata!W641="",FALSE,TRUE)</f>
        <v>0</v>
      </c>
      <c r="BJ641">
        <f>OR(AND(IF(Metadata!X641="",FALSE,TRUE),OR(exact(Metadata!X641,"not collected"),exact(Metadata!X641,"not provided"),exact(Metadata!X641,"restricted access"))),AND(IF(Metadata!X641="",FALSE,TRUE),OR(exact(Metadata!X641,"TRUE"),exact(Metadata!X641,"FALSE"))))</f>
        <v>0</v>
      </c>
      <c r="BK641">
        <f>AND(IF(Metadata!Y641="",FALSE,TRUE),exact(Metadata!Y641,"other"))</f>
        <v>0</v>
      </c>
      <c r="BL641">
        <f>IF(Metadata!Z641="",FALSE,TRUE)</f>
        <v>0</v>
      </c>
      <c r="BM641">
        <f>OR(AND(IF(Metadata!AA641="",FALSE,TRUE),OR(exact(Metadata!AA641,"not collected"),exact(Metadata!AA641,"not provided"))),AND(IF(Metadata!AA641="",FALSE,IF(ISERROR(INT(Metadata!AA641)),FALSE,INT(Metadata!AA641)=Metadata!AA641)),Metadata!AA641&gt;0))</f>
        <v>0</v>
      </c>
      <c r="BN641">
        <f>AND(IF(Metadata!AB641="",FALSE,TRUE),exact(Metadata!AB641,"Not applicable"))</f>
        <v>0</v>
      </c>
      <c r="BO641">
        <f>IF(Metadata!AC641="",FALSE,TRUE)</f>
        <v>0</v>
      </c>
    </row>
    <row r="642" spans="1:67">
      <c r="A642" s="5">
        <f>IF(B642=" "," ",HYPERLINK(CONCATENATE("#metadata!",ADDRESS(INDEX($AI$2:$AI$1001,MATCH(ROWS($AG$2:AG642),$AG$2:$AG$1001,0),0),1)),INDEX($AL$2:$AL$1001,MATCH(ROWS($AG$2:AG642),$AG$2:$AG$1001,0),0)))</f>
        <v>0</v>
      </c>
      <c r="B642" s="4">
        <f>IF(OR(INDEX($AH$2:$AH$1001,MATCH(ROWS($AG$2:AG642),$AG$2:$AG$1001,0),1)&gt;=100000,INDEX($AN$1005:$BO$1005,1,MATCH(COLUMNS($AN$1006:AN1006),$AN$1006:$BO$1006,0))&gt;=100000), " ",IF(INDEX($AN$2:$BO$1001,MATCH(ROWS($AG$2:AG642),$AG$2:$AG$1001,0),MATCH(COLUMNS($AN$1006:AN1006),$AN$1006:$BO$1006,0)), HYPERLINK("#",""), HYPERLINK(CONCATENATE("#Metadata!", ADDRESS(INDEX($AI$2:$AI$1001,MATCH(ROWS($AG$2:AG642),$AG$2:$AG$1001,0),0), INDEX($AN$1004:$BO$1004,1,MATCH(COLUMNS($AN$1006:AN1006),$AN$1006:$BO$1006,0)))),"Fix")))</f>
        <v>0</v>
      </c>
      <c r="C642" s="4">
        <f>IF(OR(INDEX($AH$2:$AH$1001,MATCH(ROWS($AG$2:AG642),$AG$2:$AG$1001,0),1)&gt;=100000,INDEX($AN$1005:$BO$1005,1,MATCH(COLUMNS($AN$1006:AO1006),$AN$1006:$BO$1006,0))&gt;=100000), " ",IF(INDEX($AN$2:$BO$1001,MATCH(ROWS($AG$2:AG642),$AG$2:$AG$1001,0),MATCH(COLUMNS($AN$1006:AO1006),$AN$1006:$BO$1006,0)), HYPERLINK("#",""), HYPERLINK(CONCATENATE("#Metadata!", ADDRESS(INDEX($AI$2:$AI$1001,MATCH(ROWS($AG$2:AG642),$AG$2:$AG$1001,0),0), INDEX($AN$1004:$BO$1004,1,MATCH(COLUMNS($AN$1006:AO1006),$AN$1006:$BO$1006,0)))),"Fix")))</f>
        <v>0</v>
      </c>
      <c r="D642" s="4">
        <f>IF(OR(INDEX($AH$2:$AH$1001,MATCH(ROWS($AG$2:AG642),$AG$2:$AG$1001,0),1)&gt;=100000,INDEX($AN$1005:$BO$1005,1,MATCH(COLUMNS($AN$1006:AP1006),$AN$1006:$BO$1006,0))&gt;=100000), " ",IF(INDEX($AN$2:$BO$1001,MATCH(ROWS($AG$2:AG642),$AG$2:$AG$1001,0),MATCH(COLUMNS($AN$1006:AP1006),$AN$1006:$BO$1006,0)), HYPERLINK("#",""), HYPERLINK(CONCATENATE("#Metadata!", ADDRESS(INDEX($AI$2:$AI$1001,MATCH(ROWS($AG$2:AG642),$AG$2:$AG$1001,0),0), INDEX($AN$1004:$BO$1004,1,MATCH(COLUMNS($AN$1006:AP1006),$AN$1006:$BO$1006,0)))),"Fix")))</f>
        <v>0</v>
      </c>
      <c r="E642" s="4">
        <f>IF(OR(INDEX($AH$2:$AH$1001,MATCH(ROWS($AG$2:AG642),$AG$2:$AG$1001,0),1)&gt;=100000,INDEX($AN$1005:$BO$1005,1,MATCH(COLUMNS($AN$1006:AQ1006),$AN$1006:$BO$1006,0))&gt;=100000), " ",IF(INDEX($AN$2:$BO$1001,MATCH(ROWS($AG$2:AG642),$AG$2:$AG$1001,0),MATCH(COLUMNS($AN$1006:AQ1006),$AN$1006:$BO$1006,0)), HYPERLINK("#",""), HYPERLINK(CONCATENATE("#Metadata!", ADDRESS(INDEX($AI$2:$AI$1001,MATCH(ROWS($AG$2:AG642),$AG$2:$AG$1001,0),0), INDEX($AN$1004:$BO$1004,1,MATCH(COLUMNS($AN$1006:AQ1006),$AN$1006:$BO$1006,0)))),"Fix")))</f>
        <v>0</v>
      </c>
      <c r="F642" s="4">
        <f>IF(OR(INDEX($AH$2:$AH$1001,MATCH(ROWS($AG$2:AG642),$AG$2:$AG$1001,0),1)&gt;=100000,INDEX($AN$1005:$BO$1005,1,MATCH(COLUMNS($AN$1006:AR1006),$AN$1006:$BO$1006,0))&gt;=100000), " ",IF(INDEX($AN$2:$BO$1001,MATCH(ROWS($AG$2:AG642),$AG$2:$AG$1001,0),MATCH(COLUMNS($AN$1006:AR1006),$AN$1006:$BO$1006,0)), HYPERLINK("#",""), HYPERLINK(CONCATENATE("#Metadata!", ADDRESS(INDEX($AI$2:$AI$1001,MATCH(ROWS($AG$2:AG642),$AG$2:$AG$1001,0),0), INDEX($AN$1004:$BO$1004,1,MATCH(COLUMNS($AN$1006:AR1006),$AN$1006:$BO$1006,0)))),"Fix")))</f>
        <v>0</v>
      </c>
      <c r="G642" s="4">
        <f>IF(OR(INDEX($AH$2:$AH$1001,MATCH(ROWS($AG$2:AG642),$AG$2:$AG$1001,0),1)&gt;=100000,INDEX($AN$1005:$BO$1005,1,MATCH(COLUMNS($AN$1006:AS1006),$AN$1006:$BO$1006,0))&gt;=100000), " ",IF(INDEX($AN$2:$BO$1001,MATCH(ROWS($AG$2:AG642),$AG$2:$AG$1001,0),MATCH(COLUMNS($AN$1006:AS1006),$AN$1006:$BO$1006,0)), HYPERLINK("#",""), HYPERLINK(CONCATENATE("#Metadata!", ADDRESS(INDEX($AI$2:$AI$1001,MATCH(ROWS($AG$2:AG642),$AG$2:$AG$1001,0),0), INDEX($AN$1004:$BO$1004,1,MATCH(COLUMNS($AN$1006:AS1006),$AN$1006:$BO$1006,0)))),"Fix")))</f>
        <v>0</v>
      </c>
      <c r="H642" s="4">
        <f>IF(OR(INDEX($AH$2:$AH$1001,MATCH(ROWS($AG$2:AG642),$AG$2:$AG$1001,0),1)&gt;=100000,INDEX($AN$1005:$BO$1005,1,MATCH(COLUMNS($AN$1006:AT1006),$AN$1006:$BO$1006,0))&gt;=100000), " ",IF(INDEX($AN$2:$BO$1001,MATCH(ROWS($AG$2:AG642),$AG$2:$AG$1001,0),MATCH(COLUMNS($AN$1006:AT1006),$AN$1006:$BO$1006,0)), HYPERLINK("#",""), HYPERLINK(CONCATENATE("#Metadata!", ADDRESS(INDEX($AI$2:$AI$1001,MATCH(ROWS($AG$2:AG642),$AG$2:$AG$1001,0),0), INDEX($AN$1004:$BO$1004,1,MATCH(COLUMNS($AN$1006:AT1006),$AN$1006:$BO$1006,0)))),"Fix")))</f>
        <v>0</v>
      </c>
      <c r="I642" s="4">
        <f>IF(OR(INDEX($AH$2:$AH$1001,MATCH(ROWS($AG$2:AG642),$AG$2:$AG$1001,0),1)&gt;=100000,INDEX($AN$1005:$BO$1005,1,MATCH(COLUMNS($AN$1006:AU1006),$AN$1006:$BO$1006,0))&gt;=100000), " ",IF(INDEX($AN$2:$BO$1001,MATCH(ROWS($AG$2:AG642),$AG$2:$AG$1001,0),MATCH(COLUMNS($AN$1006:AU1006),$AN$1006:$BO$1006,0)), HYPERLINK("#",""), HYPERLINK(CONCATENATE("#Metadata!", ADDRESS(INDEX($AI$2:$AI$1001,MATCH(ROWS($AG$2:AG642),$AG$2:$AG$1001,0),0), INDEX($AN$1004:$BO$1004,1,MATCH(COLUMNS($AN$1006:AU1006),$AN$1006:$BO$1006,0)))),"Fix")))</f>
        <v>0</v>
      </c>
      <c r="J642" s="4">
        <f>IF(OR(INDEX($AH$2:$AH$1001,MATCH(ROWS($AG$2:AG642),$AG$2:$AG$1001,0),1)&gt;=100000,INDEX($AN$1005:$BO$1005,1,MATCH(COLUMNS($AN$1006:AV1006),$AN$1006:$BO$1006,0))&gt;=100000), " ",IF(INDEX($AN$2:$BO$1001,MATCH(ROWS($AG$2:AG642),$AG$2:$AG$1001,0),MATCH(COLUMNS($AN$1006:AV1006),$AN$1006:$BO$1006,0)), HYPERLINK("#",""), HYPERLINK(CONCATENATE("#Metadata!", ADDRESS(INDEX($AI$2:$AI$1001,MATCH(ROWS($AG$2:AG642),$AG$2:$AG$1001,0),0), INDEX($AN$1004:$BO$1004,1,MATCH(COLUMNS($AN$1006:AV1006),$AN$1006:$BO$1006,0)))),"Fix")))</f>
        <v>0</v>
      </c>
      <c r="K642" s="4">
        <f>IF(OR(INDEX($AH$2:$AH$1001,MATCH(ROWS($AG$2:AG642),$AG$2:$AG$1001,0),1)&gt;=100000,INDEX($AN$1005:$BO$1005,1,MATCH(COLUMNS($AN$1006:AW1006),$AN$1006:$BO$1006,0))&gt;=100000), " ",IF(INDEX($AN$2:$BO$1001,MATCH(ROWS($AG$2:AG642),$AG$2:$AG$1001,0),MATCH(COLUMNS($AN$1006:AW1006),$AN$1006:$BO$1006,0)), HYPERLINK("#",""), HYPERLINK(CONCATENATE("#Metadata!", ADDRESS(INDEX($AI$2:$AI$1001,MATCH(ROWS($AG$2:AG642),$AG$2:$AG$1001,0),0), INDEX($AN$1004:$BO$1004,1,MATCH(COLUMNS($AN$1006:AW1006),$AN$1006:$BO$1006,0)))),"Fix")))</f>
        <v>0</v>
      </c>
      <c r="L642" s="4">
        <f>IF(OR(INDEX($AH$2:$AH$1001,MATCH(ROWS($AG$2:AG642),$AG$2:$AG$1001,0),1)&gt;=100000,INDEX($AN$1005:$BO$1005,1,MATCH(COLUMNS($AN$1006:AX1006),$AN$1006:$BO$1006,0))&gt;=100000), " ",IF(INDEX($AN$2:$BO$1001,MATCH(ROWS($AG$2:AG642),$AG$2:$AG$1001,0),MATCH(COLUMNS($AN$1006:AX1006),$AN$1006:$BO$1006,0)), HYPERLINK("#",""), HYPERLINK(CONCATENATE("#Metadata!", ADDRESS(INDEX($AI$2:$AI$1001,MATCH(ROWS($AG$2:AG642),$AG$2:$AG$1001,0),0), INDEX($AN$1004:$BO$1004,1,MATCH(COLUMNS($AN$1006:AX1006),$AN$1006:$BO$1006,0)))),"Fix")))</f>
        <v>0</v>
      </c>
      <c r="M642" s="4">
        <f>IF(OR(INDEX($AH$2:$AH$1001,MATCH(ROWS($AG$2:AG642),$AG$2:$AG$1001,0),1)&gt;=100000,INDEX($AN$1005:$BO$1005,1,MATCH(COLUMNS($AN$1006:AY1006),$AN$1006:$BO$1006,0))&gt;=100000), " ",IF(INDEX($AN$2:$BO$1001,MATCH(ROWS($AG$2:AG642),$AG$2:$AG$1001,0),MATCH(COLUMNS($AN$1006:AY1006),$AN$1006:$BO$1006,0)), HYPERLINK("#",""), HYPERLINK(CONCATENATE("#Metadata!", ADDRESS(INDEX($AI$2:$AI$1001,MATCH(ROWS($AG$2:AG642),$AG$2:$AG$1001,0),0), INDEX($AN$1004:$BO$1004,1,MATCH(COLUMNS($AN$1006:AY1006),$AN$1006:$BO$1006,0)))),"Fix")))</f>
        <v>0</v>
      </c>
      <c r="N642" s="4">
        <f>IF(OR(INDEX($AH$2:$AH$1001,MATCH(ROWS($AG$2:AG642),$AG$2:$AG$1001,0),1)&gt;=100000,INDEX($AN$1005:$BO$1005,1,MATCH(COLUMNS($AN$1006:AZ1006),$AN$1006:$BO$1006,0))&gt;=100000), " ",IF(INDEX($AN$2:$BO$1001,MATCH(ROWS($AG$2:AG642),$AG$2:$AG$1001,0),MATCH(COLUMNS($AN$1006:AZ1006),$AN$1006:$BO$1006,0)), HYPERLINK("#",""), HYPERLINK(CONCATENATE("#Metadata!", ADDRESS(INDEX($AI$2:$AI$1001,MATCH(ROWS($AG$2:AG642),$AG$2:$AG$1001,0),0), INDEX($AN$1004:$BO$1004,1,MATCH(COLUMNS($AN$1006:AZ1006),$AN$1006:$BO$1006,0)))),"Fix")))</f>
        <v>0</v>
      </c>
      <c r="O642" s="4">
        <f>IF(OR(INDEX($AH$2:$AH$1001,MATCH(ROWS($AG$2:AG642),$AG$2:$AG$1001,0),1)&gt;=100000,INDEX($AN$1005:$BO$1005,1,MATCH(COLUMNS($AN$1006:BA1006),$AN$1006:$BO$1006,0))&gt;=100000), " ",IF(INDEX($AN$2:$BO$1001,MATCH(ROWS($AG$2:AG642),$AG$2:$AG$1001,0),MATCH(COLUMNS($AN$1006:BA1006),$AN$1006:$BO$1006,0)), HYPERLINK("#",""), HYPERLINK(CONCATENATE("#Metadata!", ADDRESS(INDEX($AI$2:$AI$1001,MATCH(ROWS($AG$2:AG642),$AG$2:$AG$1001,0),0), INDEX($AN$1004:$BO$1004,1,MATCH(COLUMNS($AN$1006:BA1006),$AN$1006:$BO$1006,0)))),"Fix")))</f>
        <v>0</v>
      </c>
      <c r="P642" s="4">
        <f>IF(OR(INDEX($AH$2:$AH$1001,MATCH(ROWS($AG$2:AG642),$AG$2:$AG$1001,0),1)&gt;=100000,INDEX($AN$1005:$BO$1005,1,MATCH(COLUMNS($AN$1006:BB1006),$AN$1006:$BO$1006,0))&gt;=100000), " ",IF(INDEX($AN$2:$BO$1001,MATCH(ROWS($AG$2:AG642),$AG$2:$AG$1001,0),MATCH(COLUMNS($AN$1006:BB1006),$AN$1006:$BO$1006,0)), HYPERLINK("#",""), HYPERLINK(CONCATENATE("#Metadata!", ADDRESS(INDEX($AI$2:$AI$1001,MATCH(ROWS($AG$2:AG642),$AG$2:$AG$1001,0),0), INDEX($AN$1004:$BO$1004,1,MATCH(COLUMNS($AN$1006:BB1006),$AN$1006:$BO$1006,0)))),"Fix")))</f>
        <v>0</v>
      </c>
      <c r="Q642" s="4">
        <f>IF(OR(INDEX($AH$2:$AH$1001,MATCH(ROWS($AG$2:AG642),$AG$2:$AG$1001,0),1)&gt;=100000,INDEX($AN$1005:$BO$1005,1,MATCH(COLUMNS($AN$1006:BC1006),$AN$1006:$BO$1006,0))&gt;=100000), " ",IF(INDEX($AN$2:$BO$1001,MATCH(ROWS($AG$2:AG642),$AG$2:$AG$1001,0),MATCH(COLUMNS($AN$1006:BC1006),$AN$1006:$BO$1006,0)), HYPERLINK("#",""), HYPERLINK(CONCATENATE("#Metadata!", ADDRESS(INDEX($AI$2:$AI$1001,MATCH(ROWS($AG$2:AG642),$AG$2:$AG$1001,0),0), INDEX($AN$1004:$BO$1004,1,MATCH(COLUMNS($AN$1006:BC1006),$AN$1006:$BO$1006,0)))),"Fix")))</f>
        <v>0</v>
      </c>
      <c r="R642" s="4">
        <f>IF(OR(INDEX($AH$2:$AH$1001,MATCH(ROWS($AG$2:AG642),$AG$2:$AG$1001,0),1)&gt;=100000,INDEX($AN$1005:$BO$1005,1,MATCH(COLUMNS($AN$1006:BD1006),$AN$1006:$BO$1006,0))&gt;=100000), " ",IF(INDEX($AN$2:$BO$1001,MATCH(ROWS($AG$2:AG642),$AG$2:$AG$1001,0),MATCH(COLUMNS($AN$1006:BD1006),$AN$1006:$BO$1006,0)), HYPERLINK("#",""), HYPERLINK(CONCATENATE("#Metadata!", ADDRESS(INDEX($AI$2:$AI$1001,MATCH(ROWS($AG$2:AG642),$AG$2:$AG$1001,0),0), INDEX($AN$1004:$BO$1004,1,MATCH(COLUMNS($AN$1006:BD1006),$AN$1006:$BO$1006,0)))),"Fix")))</f>
        <v>0</v>
      </c>
      <c r="S642" s="4">
        <f>IF(OR(INDEX($AH$2:$AH$1001,MATCH(ROWS($AG$2:AG642),$AG$2:$AG$1001,0),1)&gt;=100000,INDEX($AN$1005:$BO$1005,1,MATCH(COLUMNS($AN$1006:BE1006),$AN$1006:$BO$1006,0))&gt;=100000), " ",IF(INDEX($AN$2:$BO$1001,MATCH(ROWS($AG$2:AG642),$AG$2:$AG$1001,0),MATCH(COLUMNS($AN$1006:BE1006),$AN$1006:$BO$1006,0)), HYPERLINK("#",""), HYPERLINK(CONCATENATE("#Metadata!", ADDRESS(INDEX($AI$2:$AI$1001,MATCH(ROWS($AG$2:AG642),$AG$2:$AG$1001,0),0), INDEX($AN$1004:$BO$1004,1,MATCH(COLUMNS($AN$1006:BE1006),$AN$1006:$BO$1006,0)))),"Fix")))</f>
        <v>0</v>
      </c>
      <c r="T642" s="4">
        <f>IF(OR(INDEX($AH$2:$AH$1001,MATCH(ROWS($AG$2:AG642),$AG$2:$AG$1001,0),1)&gt;=100000,INDEX($AN$1005:$BO$1005,1,MATCH(COLUMNS($AN$1006:BF1006),$AN$1006:$BO$1006,0))&gt;=100000), " ",IF(INDEX($AN$2:$BO$1001,MATCH(ROWS($AG$2:AG642),$AG$2:$AG$1001,0),MATCH(COLUMNS($AN$1006:BF1006),$AN$1006:$BO$1006,0)), HYPERLINK("#",""), HYPERLINK(CONCATENATE("#Metadata!", ADDRESS(INDEX($AI$2:$AI$1001,MATCH(ROWS($AG$2:AG642),$AG$2:$AG$1001,0),0), INDEX($AN$1004:$BO$1004,1,MATCH(COLUMNS($AN$1006:BF1006),$AN$1006:$BO$1006,0)))),"Fix")))</f>
        <v>0</v>
      </c>
      <c r="U642" s="4">
        <f>IF(OR(INDEX($AH$2:$AH$1001,MATCH(ROWS($AG$2:AG642),$AG$2:$AG$1001,0),1)&gt;=100000,INDEX($AN$1005:$BO$1005,1,MATCH(COLUMNS($AN$1006:BG1006),$AN$1006:$BO$1006,0))&gt;=100000), " ",IF(INDEX($AN$2:$BO$1001,MATCH(ROWS($AG$2:AG642),$AG$2:$AG$1001,0),MATCH(COLUMNS($AN$1006:BG1006),$AN$1006:$BO$1006,0)), HYPERLINK("#",""), HYPERLINK(CONCATENATE("#Metadata!", ADDRESS(INDEX($AI$2:$AI$1001,MATCH(ROWS($AG$2:AG642),$AG$2:$AG$1001,0),0), INDEX($AN$1004:$BO$1004,1,MATCH(COLUMNS($AN$1006:BG1006),$AN$1006:$BO$1006,0)))),"Fix")))</f>
        <v>0</v>
      </c>
      <c r="V642" s="4">
        <f>IF(OR(INDEX($AH$2:$AH$1001,MATCH(ROWS($AG$2:AG642),$AG$2:$AG$1001,0),1)&gt;=100000,INDEX($AN$1005:$BO$1005,1,MATCH(COLUMNS($AN$1006:BH1006),$AN$1006:$BO$1006,0))&gt;=100000), " ",IF(INDEX($AN$2:$BO$1001,MATCH(ROWS($AG$2:AG642),$AG$2:$AG$1001,0),MATCH(COLUMNS($AN$1006:BH1006),$AN$1006:$BO$1006,0)), HYPERLINK("#",""), HYPERLINK(CONCATENATE("#Metadata!", ADDRESS(INDEX($AI$2:$AI$1001,MATCH(ROWS($AG$2:AG642),$AG$2:$AG$1001,0),0), INDEX($AN$1004:$BO$1004,1,MATCH(COLUMNS($AN$1006:BH1006),$AN$1006:$BO$1006,0)))),"Fix")))</f>
        <v>0</v>
      </c>
      <c r="W642" s="4">
        <f>IF(OR(INDEX($AH$2:$AH$1001,MATCH(ROWS($AG$2:AG642),$AG$2:$AG$1001,0),1)&gt;=100000,INDEX($AN$1005:$BO$1005,1,MATCH(COLUMNS($AN$1006:BI1006),$AN$1006:$BO$1006,0))&gt;=100000), " ",IF(INDEX($AN$2:$BO$1001,MATCH(ROWS($AG$2:AG642),$AG$2:$AG$1001,0),MATCH(COLUMNS($AN$1006:BI1006),$AN$1006:$BO$1006,0)), HYPERLINK("#",""), HYPERLINK(CONCATENATE("#Metadata!", ADDRESS(INDEX($AI$2:$AI$1001,MATCH(ROWS($AG$2:AG642),$AG$2:$AG$1001,0),0), INDEX($AN$1004:$BO$1004,1,MATCH(COLUMNS($AN$1006:BI1006),$AN$1006:$BO$1006,0)))),"Fix")))</f>
        <v>0</v>
      </c>
      <c r="X642" s="4">
        <f>IF(OR(INDEX($AH$2:$AH$1001,MATCH(ROWS($AG$2:AG642),$AG$2:$AG$1001,0),1)&gt;=100000,INDEX($AN$1005:$BO$1005,1,MATCH(COLUMNS($AN$1006:BJ1006),$AN$1006:$BO$1006,0))&gt;=100000), " ",IF(INDEX($AN$2:$BO$1001,MATCH(ROWS($AG$2:AG642),$AG$2:$AG$1001,0),MATCH(COLUMNS($AN$1006:BJ1006),$AN$1006:$BO$1006,0)), HYPERLINK("#",""), HYPERLINK(CONCATENATE("#Metadata!", ADDRESS(INDEX($AI$2:$AI$1001,MATCH(ROWS($AG$2:AG642),$AG$2:$AG$1001,0),0), INDEX($AN$1004:$BO$1004,1,MATCH(COLUMNS($AN$1006:BJ1006),$AN$1006:$BO$1006,0)))),"Fix")))</f>
        <v>0</v>
      </c>
      <c r="Y642" s="4">
        <f>IF(OR(INDEX($AH$2:$AH$1001,MATCH(ROWS($AG$2:AG642),$AG$2:$AG$1001,0),1)&gt;=100000,INDEX($AN$1005:$BO$1005,1,MATCH(COLUMNS($AN$1006:BK1006),$AN$1006:$BO$1006,0))&gt;=100000), " ",IF(INDEX($AN$2:$BO$1001,MATCH(ROWS($AG$2:AG642),$AG$2:$AG$1001,0),MATCH(COLUMNS($AN$1006:BK1006),$AN$1006:$BO$1006,0)), HYPERLINK("#",""), HYPERLINK(CONCATENATE("#Metadata!", ADDRESS(INDEX($AI$2:$AI$1001,MATCH(ROWS($AG$2:AG642),$AG$2:$AG$1001,0),0), INDEX($AN$1004:$BO$1004,1,MATCH(COLUMNS($AN$1006:BK1006),$AN$1006:$BO$1006,0)))),"Fix")))</f>
        <v>0</v>
      </c>
      <c r="Z642" s="4">
        <f>IF(OR(INDEX($AH$2:$AH$1001,MATCH(ROWS($AG$2:AG642),$AG$2:$AG$1001,0),1)&gt;=100000,INDEX($AN$1005:$BO$1005,1,MATCH(COLUMNS($AN$1006:BL1006),$AN$1006:$BO$1006,0))&gt;=100000), " ",IF(INDEX($AN$2:$BO$1001,MATCH(ROWS($AG$2:AG642),$AG$2:$AG$1001,0),MATCH(COLUMNS($AN$1006:BL1006),$AN$1006:$BO$1006,0)), HYPERLINK("#",""), HYPERLINK(CONCATENATE("#Metadata!", ADDRESS(INDEX($AI$2:$AI$1001,MATCH(ROWS($AG$2:AG642),$AG$2:$AG$1001,0),0), INDEX($AN$1004:$BO$1004,1,MATCH(COLUMNS($AN$1006:BL1006),$AN$1006:$BO$1006,0)))),"Fix")))</f>
        <v>0</v>
      </c>
      <c r="AA642" s="4">
        <f>IF(OR(INDEX($AH$2:$AH$1001,MATCH(ROWS($AG$2:AG642),$AG$2:$AG$1001,0),1)&gt;=100000,INDEX($AN$1005:$BO$1005,1,MATCH(COLUMNS($AN$1006:BM1006),$AN$1006:$BO$1006,0))&gt;=100000), " ",IF(INDEX($AN$2:$BO$1001,MATCH(ROWS($AG$2:AG642),$AG$2:$AG$1001,0),MATCH(COLUMNS($AN$1006:BM1006),$AN$1006:$BO$1006,0)), HYPERLINK("#",""), HYPERLINK(CONCATENATE("#Metadata!", ADDRESS(INDEX($AI$2:$AI$1001,MATCH(ROWS($AG$2:AG642),$AG$2:$AG$1001,0),0), INDEX($AN$1004:$BO$1004,1,MATCH(COLUMNS($AN$1006:BM1006),$AN$1006:$BO$1006,0)))),"Fix")))</f>
        <v>0</v>
      </c>
      <c r="AB642" s="4">
        <f>IF(OR(INDEX($AH$2:$AH$1001,MATCH(ROWS($AG$2:AG642),$AG$2:$AG$1001,0),1)&gt;=100000,INDEX($AN$1005:$BO$1005,1,MATCH(COLUMNS($AN$1006:BN1006),$AN$1006:$BO$1006,0))&gt;=100000), " ",IF(INDEX($AN$2:$BO$1001,MATCH(ROWS($AG$2:AG642),$AG$2:$AG$1001,0),MATCH(COLUMNS($AN$1006:BN1006),$AN$1006:$BO$1006,0)), HYPERLINK("#",""), HYPERLINK(CONCATENATE("#Metadata!", ADDRESS(INDEX($AI$2:$AI$1001,MATCH(ROWS($AG$2:AG642),$AG$2:$AG$1001,0),0), INDEX($AN$1004:$BO$1004,1,MATCH(COLUMNS($AN$1006:BN1006),$AN$1006:$BO$1006,0)))),"Fix")))</f>
        <v>0</v>
      </c>
      <c r="AC642" s="4">
        <f>IF(OR(INDEX($AH$2:$AH$1001,MATCH(ROWS($AG$2:AG642),$AG$2:$AG$1001,0),1)&gt;=100000,INDEX($AN$1005:$BO$1005,1,MATCH(COLUMNS($AN$1006:BO1006),$AN$1006:$BO$1006,0))&gt;=100000), " ",IF(INDEX($AN$2:$BO$1001,MATCH(ROWS($AG$2:AG642),$AG$2:$AG$1001,0),MATCH(COLUMNS($AN$1006:BO1006),$AN$1006:$BO$1006,0)), HYPERLINK("#",""), HYPERLINK(CONCATENATE("#Metadata!", ADDRESS(INDEX($AI$2:$AI$1001,MATCH(ROWS($AG$2:AG642),$AG$2:$AG$1001,0),0), INDEX($AN$1004:$BO$1004,1,MATCH(COLUMNS($AN$1006:BO1006),$AN$1006:$BO$1006,0)))),"Fix")))</f>
        <v>0</v>
      </c>
      <c r="AG642">
        <v>0</v>
      </c>
      <c r="AH642">
        <v>0</v>
      </c>
      <c r="AI642">
        <v>0</v>
      </c>
      <c r="AJ642">
        <f>IF(AK642,TRUE,AND(AN642:BO642))</f>
        <v>0</v>
      </c>
      <c r="AK642">
        <f>COUNTBLANK(Metadata!B642:AC642)=COLUMNS(Metadata!B642:AC642)</f>
        <v>0</v>
      </c>
      <c r="AL642">
        <v>0</v>
      </c>
      <c r="AN642">
        <f>AND(IF(Metadata!B642="",FALSE,TRUE),COUNTIF(Metadata!B:B, Metadata!B642) = 1,NOT(ISERROR(SUMPRODUCT(SEARCH(MID(Metadata!B642,ROW(INDIRECT("1:"&amp;LEN(Metadata!B642))), 1),"0123456789abcdefghijklmnopqrstuvwxyzABCDEFGHIJKLMNOPQRSTUVWXYZ.")))))</f>
        <v>0</v>
      </c>
      <c r="AO642">
        <f>IF(Metadata!C642="",FALSE,TRUE)</f>
        <v>0</v>
      </c>
      <c r="AP642">
        <f>IF(Metadata!D642="",FALSE,TRUE)</f>
        <v>0</v>
      </c>
      <c r="AQ642">
        <f>OR(AND(IF(Metadata!E642="",FALSE,TRUE),OR(exact(Metadata!E642,"not collected"),exact(Metadata!E642,"not provided"),exact(Metadata!E642,"restricted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R642">
        <f>IF(Metadata!F642="",FALSE,TRUE)</f>
        <v>0</v>
      </c>
      <c r="AS642">
        <f>OR(AND(IF(Metadata!G642="",FALSE,TRUE),OR(exact(Metadata!G642,"not collected"),exact(Metadata!G642,"not provided"))),AND(IF(Metadata!G642="",FALSE,TRUE),OR(exact(Metadata!G642,"TRUE"),exact(Metadata!G642,"FALSE"))))</f>
        <v>0</v>
      </c>
      <c r="AT642">
        <f>OR(AND(IF(Metadata!H642="",FALSE,TRUE),OR(exact(Metadata!H642,"not collected"),exact(Metadata!H642,"not provided"),exact(Metadata!H642,"restricted access"))),AND(IF(Metadata!H642="",FALSE,ISNUMBER(VALUE(Metadata!H642))),Metadata!H642&gt;=-413.0))</f>
        <v>0</v>
      </c>
      <c r="AU642">
        <f>AND(IF(Metadata!I642="",FALSE,TRUE),exact(Metadata!I642,"meters"))</f>
        <v>0</v>
      </c>
      <c r="AV642">
        <f>AND(IF(Metadata!J642="",FALSE,TRUE),OR(exact(Metadata!J642,"Host-associated"),exact(Metadata!J642,"Free-living")))</f>
        <v>0</v>
      </c>
      <c r="AW642">
        <f>AND(IF(Metadata!K642="",FALSE,TRUE),OR(exact(Metadata!K642,"Animal"),exact(Metadata!K642,"Fungus"),exact(Metadata!K642,"Plant"),exact(Metadata!K642,"Saline"),exact(Metadata!K642,"Non-saline")))</f>
        <v>0</v>
      </c>
      <c r="AX642">
        <f>AND(IF(Metadata!L642="",FALSE,TRUE),OR(exact(Metadata!L642,"Plant secretion"),exact(Metadata!L642,"Plant rhizosphere"),exact(Metadata!L642,"Plant surface"),exact(Metadata!L642,"Plant corpus"),exact(Metadata!L642,"Fungus surface"),exact(Metadata!L642,"Fungus corpus"),exact(Metadata!L642,"Animal surface"),exact(Metadata!L642,"Animal proximal gut"),exact(Metadata!L642,"Animal corpus"),exact(Metadata!L642,"Animal distal gut"),exact(Metadata!L642,"Animal secretion"),exact(Metadata!L642,"Sub-surface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Y642">
        <f>IF(Metadata!M642="",FALSE,TRUE)</f>
        <v>0</v>
      </c>
      <c r="AZ642">
        <f>IF(Metadata!N642="",FALSE,TRUE)</f>
        <v>0</v>
      </c>
      <c r="BA642">
        <f>IF(Metadata!O642="",FALSE,TRUE)</f>
        <v>0</v>
      </c>
      <c r="BB642">
        <f>OR(AND(IF(Metadata!P642="",FALSE,TRUE),OR(exact(Metadata!P642,"not collected"),exact(Metadata!P642,"not provided"),exact(Metadata!P642,"restricted access"))),AND(IF(Metadata!P642="",FALSE,TRUE),OR(exact(Metadata!P642,"air"),exact(Metadata!P642,"built environment"),exact(Metadata!P642,"host-associated"),exact(Metadata!P642,"human-associated"),exact(Metadata!P642,"human-skin"),exact(Metadata!P642,"human-oral"),exact(Metadata!P642,"human-gut"),exact(Metadata!P642,"human-vaginal"),exact(Metadata!P642,"microbial mat/biofilm"),exact(Metadata!P642,"misc environment"),exact(Metadata!P642,"plant-associated"),exact(Metadata!P642,"sediment"),exact(Metadata!P642,"soil"),exact(Metadata!P642,"wastewater/sludge"),exact(Metadata!P642,"water"))))</f>
        <v>0</v>
      </c>
      <c r="BC642">
        <f>IF(Metadata!Q642="",FALSE,TRUE)</f>
        <v>0</v>
      </c>
      <c r="BD642">
        <f>IF(Metadata!R642="",FALSE,TRUE)</f>
        <v>0</v>
      </c>
      <c r="BE642">
        <f>OR(AND(IF(Metadata!S642="",FALSE,TRUE),OR(exact(Metadata!S642,"not collected"),exact(Metadata!S642,"not provided"),exact(Metadata!S642,"restricted access"))),AND(IF(Metadata!S642="",FALSE,ISNUMBER(VALUE(Metadata!S642))),Metadata!S642&gt;=-90.00,Metadata!S642&lt;=90.00))</f>
        <v>0</v>
      </c>
      <c r="BF642">
        <f>AND(IF(Metadata!T642="",FALSE,TRUE),exact(Metadata!T642,"Decimal degrees"))</f>
        <v>0</v>
      </c>
      <c r="BG642">
        <f>OR(AND(IF(Metadata!U642="",FALSE,TRUE),OR(exact(Metadata!U642,"not collected"),exact(Metadata!U642,"not provided"),exact(Metadata!U642,"restricted access"))),AND(IF(Metadata!U642="",FALSE,ISNUMBER(VALUE(Metadata!U642))),Metadata!U642&gt;=-180.00,Metadata!U642&lt;=180.00))</f>
        <v>0</v>
      </c>
      <c r="BH642">
        <f>AND(IF(Metadata!V642="",FALSE,TRUE),exact(Metadata!V642,"Decimal degrees"))</f>
        <v>0</v>
      </c>
      <c r="BI642">
        <f>IF(Metadata!W642="",FALSE,TRUE)</f>
        <v>0</v>
      </c>
      <c r="BJ642">
        <f>OR(AND(IF(Metadata!X642="",FALSE,TRUE),OR(exact(Metadata!X642,"not collected"),exact(Metadata!X642,"not provided"),exact(Metadata!X642,"restricted access"))),AND(IF(Metadata!X642="",FALSE,TRUE),OR(exact(Metadata!X642,"TRUE"),exact(Metadata!X642,"FALSE"))))</f>
        <v>0</v>
      </c>
      <c r="BK642">
        <f>AND(IF(Metadata!Y642="",FALSE,TRUE),exact(Metadata!Y642,"other"))</f>
        <v>0</v>
      </c>
      <c r="BL642">
        <f>IF(Metadata!Z642="",FALSE,TRUE)</f>
        <v>0</v>
      </c>
      <c r="BM642">
        <f>OR(AND(IF(Metadata!AA642="",FALSE,TRUE),OR(exact(Metadata!AA642,"not collected"),exact(Metadata!AA642,"not provided"))),AND(IF(Metadata!AA642="",FALSE,IF(ISERROR(INT(Metadata!AA642)),FALSE,INT(Metadata!AA642)=Metadata!AA642)),Metadata!AA642&gt;0))</f>
        <v>0</v>
      </c>
      <c r="BN642">
        <f>AND(IF(Metadata!AB642="",FALSE,TRUE),exact(Metadata!AB642,"Not applicable"))</f>
        <v>0</v>
      </c>
      <c r="BO642">
        <f>IF(Metadata!AC642="",FALSE,TRUE)</f>
        <v>0</v>
      </c>
    </row>
    <row r="643" spans="1:67">
      <c r="A643" s="5">
        <f>IF(B643=" "," ",HYPERLINK(CONCATENATE("#metadata!",ADDRESS(INDEX($AI$2:$AI$1001,MATCH(ROWS($AG$2:AG643),$AG$2:$AG$1001,0),0),1)),INDEX($AL$2:$AL$1001,MATCH(ROWS($AG$2:AG643),$AG$2:$AG$1001,0),0)))</f>
        <v>0</v>
      </c>
      <c r="B643" s="4">
        <f>IF(OR(INDEX($AH$2:$AH$1001,MATCH(ROWS($AG$2:AG643),$AG$2:$AG$1001,0),1)&gt;=100000,INDEX($AN$1005:$BO$1005,1,MATCH(COLUMNS($AN$1006:AN1006),$AN$1006:$BO$1006,0))&gt;=100000), " ",IF(INDEX($AN$2:$BO$1001,MATCH(ROWS($AG$2:AG643),$AG$2:$AG$1001,0),MATCH(COLUMNS($AN$1006:AN1006),$AN$1006:$BO$1006,0)), HYPERLINK("#",""), HYPERLINK(CONCATENATE("#Metadata!", ADDRESS(INDEX($AI$2:$AI$1001,MATCH(ROWS($AG$2:AG643),$AG$2:$AG$1001,0),0), INDEX($AN$1004:$BO$1004,1,MATCH(COLUMNS($AN$1006:AN1006),$AN$1006:$BO$1006,0)))),"Fix")))</f>
        <v>0</v>
      </c>
      <c r="C643" s="4">
        <f>IF(OR(INDEX($AH$2:$AH$1001,MATCH(ROWS($AG$2:AG643),$AG$2:$AG$1001,0),1)&gt;=100000,INDEX($AN$1005:$BO$1005,1,MATCH(COLUMNS($AN$1006:AO1006),$AN$1006:$BO$1006,0))&gt;=100000), " ",IF(INDEX($AN$2:$BO$1001,MATCH(ROWS($AG$2:AG643),$AG$2:$AG$1001,0),MATCH(COLUMNS($AN$1006:AO1006),$AN$1006:$BO$1006,0)), HYPERLINK("#",""), HYPERLINK(CONCATENATE("#Metadata!", ADDRESS(INDEX($AI$2:$AI$1001,MATCH(ROWS($AG$2:AG643),$AG$2:$AG$1001,0),0), INDEX($AN$1004:$BO$1004,1,MATCH(COLUMNS($AN$1006:AO1006),$AN$1006:$BO$1006,0)))),"Fix")))</f>
        <v>0</v>
      </c>
      <c r="D643" s="4">
        <f>IF(OR(INDEX($AH$2:$AH$1001,MATCH(ROWS($AG$2:AG643),$AG$2:$AG$1001,0),1)&gt;=100000,INDEX($AN$1005:$BO$1005,1,MATCH(COLUMNS($AN$1006:AP1006),$AN$1006:$BO$1006,0))&gt;=100000), " ",IF(INDEX($AN$2:$BO$1001,MATCH(ROWS($AG$2:AG643),$AG$2:$AG$1001,0),MATCH(COLUMNS($AN$1006:AP1006),$AN$1006:$BO$1006,0)), HYPERLINK("#",""), HYPERLINK(CONCATENATE("#Metadata!", ADDRESS(INDEX($AI$2:$AI$1001,MATCH(ROWS($AG$2:AG643),$AG$2:$AG$1001,0),0), INDEX($AN$1004:$BO$1004,1,MATCH(COLUMNS($AN$1006:AP1006),$AN$1006:$BO$1006,0)))),"Fix")))</f>
        <v>0</v>
      </c>
      <c r="E643" s="4">
        <f>IF(OR(INDEX($AH$2:$AH$1001,MATCH(ROWS($AG$2:AG643),$AG$2:$AG$1001,0),1)&gt;=100000,INDEX($AN$1005:$BO$1005,1,MATCH(COLUMNS($AN$1006:AQ1006),$AN$1006:$BO$1006,0))&gt;=100000), " ",IF(INDEX($AN$2:$BO$1001,MATCH(ROWS($AG$2:AG643),$AG$2:$AG$1001,0),MATCH(COLUMNS($AN$1006:AQ1006),$AN$1006:$BO$1006,0)), HYPERLINK("#",""), HYPERLINK(CONCATENATE("#Metadata!", ADDRESS(INDEX($AI$2:$AI$1001,MATCH(ROWS($AG$2:AG643),$AG$2:$AG$1001,0),0), INDEX($AN$1004:$BO$1004,1,MATCH(COLUMNS($AN$1006:AQ1006),$AN$1006:$BO$1006,0)))),"Fix")))</f>
        <v>0</v>
      </c>
      <c r="F643" s="4">
        <f>IF(OR(INDEX($AH$2:$AH$1001,MATCH(ROWS($AG$2:AG643),$AG$2:$AG$1001,0),1)&gt;=100000,INDEX($AN$1005:$BO$1005,1,MATCH(COLUMNS($AN$1006:AR1006),$AN$1006:$BO$1006,0))&gt;=100000), " ",IF(INDEX($AN$2:$BO$1001,MATCH(ROWS($AG$2:AG643),$AG$2:$AG$1001,0),MATCH(COLUMNS($AN$1006:AR1006),$AN$1006:$BO$1006,0)), HYPERLINK("#",""), HYPERLINK(CONCATENATE("#Metadata!", ADDRESS(INDEX($AI$2:$AI$1001,MATCH(ROWS($AG$2:AG643),$AG$2:$AG$1001,0),0), INDEX($AN$1004:$BO$1004,1,MATCH(COLUMNS($AN$1006:AR1006),$AN$1006:$BO$1006,0)))),"Fix")))</f>
        <v>0</v>
      </c>
      <c r="G643" s="4">
        <f>IF(OR(INDEX($AH$2:$AH$1001,MATCH(ROWS($AG$2:AG643),$AG$2:$AG$1001,0),1)&gt;=100000,INDEX($AN$1005:$BO$1005,1,MATCH(COLUMNS($AN$1006:AS1006),$AN$1006:$BO$1006,0))&gt;=100000), " ",IF(INDEX($AN$2:$BO$1001,MATCH(ROWS($AG$2:AG643),$AG$2:$AG$1001,0),MATCH(COLUMNS($AN$1006:AS1006),$AN$1006:$BO$1006,0)), HYPERLINK("#",""), HYPERLINK(CONCATENATE("#Metadata!", ADDRESS(INDEX($AI$2:$AI$1001,MATCH(ROWS($AG$2:AG643),$AG$2:$AG$1001,0),0), INDEX($AN$1004:$BO$1004,1,MATCH(COLUMNS($AN$1006:AS1006),$AN$1006:$BO$1006,0)))),"Fix")))</f>
        <v>0</v>
      </c>
      <c r="H643" s="4">
        <f>IF(OR(INDEX($AH$2:$AH$1001,MATCH(ROWS($AG$2:AG643),$AG$2:$AG$1001,0),1)&gt;=100000,INDEX($AN$1005:$BO$1005,1,MATCH(COLUMNS($AN$1006:AT1006),$AN$1006:$BO$1006,0))&gt;=100000), " ",IF(INDEX($AN$2:$BO$1001,MATCH(ROWS($AG$2:AG643),$AG$2:$AG$1001,0),MATCH(COLUMNS($AN$1006:AT1006),$AN$1006:$BO$1006,0)), HYPERLINK("#",""), HYPERLINK(CONCATENATE("#Metadata!", ADDRESS(INDEX($AI$2:$AI$1001,MATCH(ROWS($AG$2:AG643),$AG$2:$AG$1001,0),0), INDEX($AN$1004:$BO$1004,1,MATCH(COLUMNS($AN$1006:AT1006),$AN$1006:$BO$1006,0)))),"Fix")))</f>
        <v>0</v>
      </c>
      <c r="I643" s="4">
        <f>IF(OR(INDEX($AH$2:$AH$1001,MATCH(ROWS($AG$2:AG643),$AG$2:$AG$1001,0),1)&gt;=100000,INDEX($AN$1005:$BO$1005,1,MATCH(COLUMNS($AN$1006:AU1006),$AN$1006:$BO$1006,0))&gt;=100000), " ",IF(INDEX($AN$2:$BO$1001,MATCH(ROWS($AG$2:AG643),$AG$2:$AG$1001,0),MATCH(COLUMNS($AN$1006:AU1006),$AN$1006:$BO$1006,0)), HYPERLINK("#",""), HYPERLINK(CONCATENATE("#Metadata!", ADDRESS(INDEX($AI$2:$AI$1001,MATCH(ROWS($AG$2:AG643),$AG$2:$AG$1001,0),0), INDEX($AN$1004:$BO$1004,1,MATCH(COLUMNS($AN$1006:AU1006),$AN$1006:$BO$1006,0)))),"Fix")))</f>
        <v>0</v>
      </c>
      <c r="J643" s="4">
        <f>IF(OR(INDEX($AH$2:$AH$1001,MATCH(ROWS($AG$2:AG643),$AG$2:$AG$1001,0),1)&gt;=100000,INDEX($AN$1005:$BO$1005,1,MATCH(COLUMNS($AN$1006:AV1006),$AN$1006:$BO$1006,0))&gt;=100000), " ",IF(INDEX($AN$2:$BO$1001,MATCH(ROWS($AG$2:AG643),$AG$2:$AG$1001,0),MATCH(COLUMNS($AN$1006:AV1006),$AN$1006:$BO$1006,0)), HYPERLINK("#",""), HYPERLINK(CONCATENATE("#Metadata!", ADDRESS(INDEX($AI$2:$AI$1001,MATCH(ROWS($AG$2:AG643),$AG$2:$AG$1001,0),0), INDEX($AN$1004:$BO$1004,1,MATCH(COLUMNS($AN$1006:AV1006),$AN$1006:$BO$1006,0)))),"Fix")))</f>
        <v>0</v>
      </c>
      <c r="K643" s="4">
        <f>IF(OR(INDEX($AH$2:$AH$1001,MATCH(ROWS($AG$2:AG643),$AG$2:$AG$1001,0),1)&gt;=100000,INDEX($AN$1005:$BO$1005,1,MATCH(COLUMNS($AN$1006:AW1006),$AN$1006:$BO$1006,0))&gt;=100000), " ",IF(INDEX($AN$2:$BO$1001,MATCH(ROWS($AG$2:AG643),$AG$2:$AG$1001,0),MATCH(COLUMNS($AN$1006:AW1006),$AN$1006:$BO$1006,0)), HYPERLINK("#",""), HYPERLINK(CONCATENATE("#Metadata!", ADDRESS(INDEX($AI$2:$AI$1001,MATCH(ROWS($AG$2:AG643),$AG$2:$AG$1001,0),0), INDEX($AN$1004:$BO$1004,1,MATCH(COLUMNS($AN$1006:AW1006),$AN$1006:$BO$1006,0)))),"Fix")))</f>
        <v>0</v>
      </c>
      <c r="L643" s="4">
        <f>IF(OR(INDEX($AH$2:$AH$1001,MATCH(ROWS($AG$2:AG643),$AG$2:$AG$1001,0),1)&gt;=100000,INDEX($AN$1005:$BO$1005,1,MATCH(COLUMNS($AN$1006:AX1006),$AN$1006:$BO$1006,0))&gt;=100000), " ",IF(INDEX($AN$2:$BO$1001,MATCH(ROWS($AG$2:AG643),$AG$2:$AG$1001,0),MATCH(COLUMNS($AN$1006:AX1006),$AN$1006:$BO$1006,0)), HYPERLINK("#",""), HYPERLINK(CONCATENATE("#Metadata!", ADDRESS(INDEX($AI$2:$AI$1001,MATCH(ROWS($AG$2:AG643),$AG$2:$AG$1001,0),0), INDEX($AN$1004:$BO$1004,1,MATCH(COLUMNS($AN$1006:AX1006),$AN$1006:$BO$1006,0)))),"Fix")))</f>
        <v>0</v>
      </c>
      <c r="M643" s="4">
        <f>IF(OR(INDEX($AH$2:$AH$1001,MATCH(ROWS($AG$2:AG643),$AG$2:$AG$1001,0),1)&gt;=100000,INDEX($AN$1005:$BO$1005,1,MATCH(COLUMNS($AN$1006:AY1006),$AN$1006:$BO$1006,0))&gt;=100000), " ",IF(INDEX($AN$2:$BO$1001,MATCH(ROWS($AG$2:AG643),$AG$2:$AG$1001,0),MATCH(COLUMNS($AN$1006:AY1006),$AN$1006:$BO$1006,0)), HYPERLINK("#",""), HYPERLINK(CONCATENATE("#Metadata!", ADDRESS(INDEX($AI$2:$AI$1001,MATCH(ROWS($AG$2:AG643),$AG$2:$AG$1001,0),0), INDEX($AN$1004:$BO$1004,1,MATCH(COLUMNS($AN$1006:AY1006),$AN$1006:$BO$1006,0)))),"Fix")))</f>
        <v>0</v>
      </c>
      <c r="N643" s="4">
        <f>IF(OR(INDEX($AH$2:$AH$1001,MATCH(ROWS($AG$2:AG643),$AG$2:$AG$1001,0),1)&gt;=100000,INDEX($AN$1005:$BO$1005,1,MATCH(COLUMNS($AN$1006:AZ1006),$AN$1006:$BO$1006,0))&gt;=100000), " ",IF(INDEX($AN$2:$BO$1001,MATCH(ROWS($AG$2:AG643),$AG$2:$AG$1001,0),MATCH(COLUMNS($AN$1006:AZ1006),$AN$1006:$BO$1006,0)), HYPERLINK("#",""), HYPERLINK(CONCATENATE("#Metadata!", ADDRESS(INDEX($AI$2:$AI$1001,MATCH(ROWS($AG$2:AG643),$AG$2:$AG$1001,0),0), INDEX($AN$1004:$BO$1004,1,MATCH(COLUMNS($AN$1006:AZ1006),$AN$1006:$BO$1006,0)))),"Fix")))</f>
        <v>0</v>
      </c>
      <c r="O643" s="4">
        <f>IF(OR(INDEX($AH$2:$AH$1001,MATCH(ROWS($AG$2:AG643),$AG$2:$AG$1001,0),1)&gt;=100000,INDEX($AN$1005:$BO$1005,1,MATCH(COLUMNS($AN$1006:BA1006),$AN$1006:$BO$1006,0))&gt;=100000), " ",IF(INDEX($AN$2:$BO$1001,MATCH(ROWS($AG$2:AG643),$AG$2:$AG$1001,0),MATCH(COLUMNS($AN$1006:BA1006),$AN$1006:$BO$1006,0)), HYPERLINK("#",""), HYPERLINK(CONCATENATE("#Metadata!", ADDRESS(INDEX($AI$2:$AI$1001,MATCH(ROWS($AG$2:AG643),$AG$2:$AG$1001,0),0), INDEX($AN$1004:$BO$1004,1,MATCH(COLUMNS($AN$1006:BA1006),$AN$1006:$BO$1006,0)))),"Fix")))</f>
        <v>0</v>
      </c>
      <c r="P643" s="4">
        <f>IF(OR(INDEX($AH$2:$AH$1001,MATCH(ROWS($AG$2:AG643),$AG$2:$AG$1001,0),1)&gt;=100000,INDEX($AN$1005:$BO$1005,1,MATCH(COLUMNS($AN$1006:BB1006),$AN$1006:$BO$1006,0))&gt;=100000), " ",IF(INDEX($AN$2:$BO$1001,MATCH(ROWS($AG$2:AG643),$AG$2:$AG$1001,0),MATCH(COLUMNS($AN$1006:BB1006),$AN$1006:$BO$1006,0)), HYPERLINK("#",""), HYPERLINK(CONCATENATE("#Metadata!", ADDRESS(INDEX($AI$2:$AI$1001,MATCH(ROWS($AG$2:AG643),$AG$2:$AG$1001,0),0), INDEX($AN$1004:$BO$1004,1,MATCH(COLUMNS($AN$1006:BB1006),$AN$1006:$BO$1006,0)))),"Fix")))</f>
        <v>0</v>
      </c>
      <c r="Q643" s="4">
        <f>IF(OR(INDEX($AH$2:$AH$1001,MATCH(ROWS($AG$2:AG643),$AG$2:$AG$1001,0),1)&gt;=100000,INDEX($AN$1005:$BO$1005,1,MATCH(COLUMNS($AN$1006:BC1006),$AN$1006:$BO$1006,0))&gt;=100000), " ",IF(INDEX($AN$2:$BO$1001,MATCH(ROWS($AG$2:AG643),$AG$2:$AG$1001,0),MATCH(COLUMNS($AN$1006:BC1006),$AN$1006:$BO$1006,0)), HYPERLINK("#",""), HYPERLINK(CONCATENATE("#Metadata!", ADDRESS(INDEX($AI$2:$AI$1001,MATCH(ROWS($AG$2:AG643),$AG$2:$AG$1001,0),0), INDEX($AN$1004:$BO$1004,1,MATCH(COLUMNS($AN$1006:BC1006),$AN$1006:$BO$1006,0)))),"Fix")))</f>
        <v>0</v>
      </c>
      <c r="R643" s="4">
        <f>IF(OR(INDEX($AH$2:$AH$1001,MATCH(ROWS($AG$2:AG643),$AG$2:$AG$1001,0),1)&gt;=100000,INDEX($AN$1005:$BO$1005,1,MATCH(COLUMNS($AN$1006:BD1006),$AN$1006:$BO$1006,0))&gt;=100000), " ",IF(INDEX($AN$2:$BO$1001,MATCH(ROWS($AG$2:AG643),$AG$2:$AG$1001,0),MATCH(COLUMNS($AN$1006:BD1006),$AN$1006:$BO$1006,0)), HYPERLINK("#",""), HYPERLINK(CONCATENATE("#Metadata!", ADDRESS(INDEX($AI$2:$AI$1001,MATCH(ROWS($AG$2:AG643),$AG$2:$AG$1001,0),0), INDEX($AN$1004:$BO$1004,1,MATCH(COLUMNS($AN$1006:BD1006),$AN$1006:$BO$1006,0)))),"Fix")))</f>
        <v>0</v>
      </c>
      <c r="S643" s="4">
        <f>IF(OR(INDEX($AH$2:$AH$1001,MATCH(ROWS($AG$2:AG643),$AG$2:$AG$1001,0),1)&gt;=100000,INDEX($AN$1005:$BO$1005,1,MATCH(COLUMNS($AN$1006:BE1006),$AN$1006:$BO$1006,0))&gt;=100000), " ",IF(INDEX($AN$2:$BO$1001,MATCH(ROWS($AG$2:AG643),$AG$2:$AG$1001,0),MATCH(COLUMNS($AN$1006:BE1006),$AN$1006:$BO$1006,0)), HYPERLINK("#",""), HYPERLINK(CONCATENATE("#Metadata!", ADDRESS(INDEX($AI$2:$AI$1001,MATCH(ROWS($AG$2:AG643),$AG$2:$AG$1001,0),0), INDEX($AN$1004:$BO$1004,1,MATCH(COLUMNS($AN$1006:BE1006),$AN$1006:$BO$1006,0)))),"Fix")))</f>
        <v>0</v>
      </c>
      <c r="T643" s="4">
        <f>IF(OR(INDEX($AH$2:$AH$1001,MATCH(ROWS($AG$2:AG643),$AG$2:$AG$1001,0),1)&gt;=100000,INDEX($AN$1005:$BO$1005,1,MATCH(COLUMNS($AN$1006:BF1006),$AN$1006:$BO$1006,0))&gt;=100000), " ",IF(INDEX($AN$2:$BO$1001,MATCH(ROWS($AG$2:AG643),$AG$2:$AG$1001,0),MATCH(COLUMNS($AN$1006:BF1006),$AN$1006:$BO$1006,0)), HYPERLINK("#",""), HYPERLINK(CONCATENATE("#Metadata!", ADDRESS(INDEX($AI$2:$AI$1001,MATCH(ROWS($AG$2:AG643),$AG$2:$AG$1001,0),0), INDEX($AN$1004:$BO$1004,1,MATCH(COLUMNS($AN$1006:BF1006),$AN$1006:$BO$1006,0)))),"Fix")))</f>
        <v>0</v>
      </c>
      <c r="U643" s="4">
        <f>IF(OR(INDEX($AH$2:$AH$1001,MATCH(ROWS($AG$2:AG643),$AG$2:$AG$1001,0),1)&gt;=100000,INDEX($AN$1005:$BO$1005,1,MATCH(COLUMNS($AN$1006:BG1006),$AN$1006:$BO$1006,0))&gt;=100000), " ",IF(INDEX($AN$2:$BO$1001,MATCH(ROWS($AG$2:AG643),$AG$2:$AG$1001,0),MATCH(COLUMNS($AN$1006:BG1006),$AN$1006:$BO$1006,0)), HYPERLINK("#",""), HYPERLINK(CONCATENATE("#Metadata!", ADDRESS(INDEX($AI$2:$AI$1001,MATCH(ROWS($AG$2:AG643),$AG$2:$AG$1001,0),0), INDEX($AN$1004:$BO$1004,1,MATCH(COLUMNS($AN$1006:BG1006),$AN$1006:$BO$1006,0)))),"Fix")))</f>
        <v>0</v>
      </c>
      <c r="V643" s="4">
        <f>IF(OR(INDEX($AH$2:$AH$1001,MATCH(ROWS($AG$2:AG643),$AG$2:$AG$1001,0),1)&gt;=100000,INDEX($AN$1005:$BO$1005,1,MATCH(COLUMNS($AN$1006:BH1006),$AN$1006:$BO$1006,0))&gt;=100000), " ",IF(INDEX($AN$2:$BO$1001,MATCH(ROWS($AG$2:AG643),$AG$2:$AG$1001,0),MATCH(COLUMNS($AN$1006:BH1006),$AN$1006:$BO$1006,0)), HYPERLINK("#",""), HYPERLINK(CONCATENATE("#Metadata!", ADDRESS(INDEX($AI$2:$AI$1001,MATCH(ROWS($AG$2:AG643),$AG$2:$AG$1001,0),0), INDEX($AN$1004:$BO$1004,1,MATCH(COLUMNS($AN$1006:BH1006),$AN$1006:$BO$1006,0)))),"Fix")))</f>
        <v>0</v>
      </c>
      <c r="W643" s="4">
        <f>IF(OR(INDEX($AH$2:$AH$1001,MATCH(ROWS($AG$2:AG643),$AG$2:$AG$1001,0),1)&gt;=100000,INDEX($AN$1005:$BO$1005,1,MATCH(COLUMNS($AN$1006:BI1006),$AN$1006:$BO$1006,0))&gt;=100000), " ",IF(INDEX($AN$2:$BO$1001,MATCH(ROWS($AG$2:AG643),$AG$2:$AG$1001,0),MATCH(COLUMNS($AN$1006:BI1006),$AN$1006:$BO$1006,0)), HYPERLINK("#",""), HYPERLINK(CONCATENATE("#Metadata!", ADDRESS(INDEX($AI$2:$AI$1001,MATCH(ROWS($AG$2:AG643),$AG$2:$AG$1001,0),0), INDEX($AN$1004:$BO$1004,1,MATCH(COLUMNS($AN$1006:BI1006),$AN$1006:$BO$1006,0)))),"Fix")))</f>
        <v>0</v>
      </c>
      <c r="X643" s="4">
        <f>IF(OR(INDEX($AH$2:$AH$1001,MATCH(ROWS($AG$2:AG643),$AG$2:$AG$1001,0),1)&gt;=100000,INDEX($AN$1005:$BO$1005,1,MATCH(COLUMNS($AN$1006:BJ1006),$AN$1006:$BO$1006,0))&gt;=100000), " ",IF(INDEX($AN$2:$BO$1001,MATCH(ROWS($AG$2:AG643),$AG$2:$AG$1001,0),MATCH(COLUMNS($AN$1006:BJ1006),$AN$1006:$BO$1006,0)), HYPERLINK("#",""), HYPERLINK(CONCATENATE("#Metadata!", ADDRESS(INDEX($AI$2:$AI$1001,MATCH(ROWS($AG$2:AG643),$AG$2:$AG$1001,0),0), INDEX($AN$1004:$BO$1004,1,MATCH(COLUMNS($AN$1006:BJ1006),$AN$1006:$BO$1006,0)))),"Fix")))</f>
        <v>0</v>
      </c>
      <c r="Y643" s="4">
        <f>IF(OR(INDEX($AH$2:$AH$1001,MATCH(ROWS($AG$2:AG643),$AG$2:$AG$1001,0),1)&gt;=100000,INDEX($AN$1005:$BO$1005,1,MATCH(COLUMNS($AN$1006:BK1006),$AN$1006:$BO$1006,0))&gt;=100000), " ",IF(INDEX($AN$2:$BO$1001,MATCH(ROWS($AG$2:AG643),$AG$2:$AG$1001,0),MATCH(COLUMNS($AN$1006:BK1006),$AN$1006:$BO$1006,0)), HYPERLINK("#",""), HYPERLINK(CONCATENATE("#Metadata!", ADDRESS(INDEX($AI$2:$AI$1001,MATCH(ROWS($AG$2:AG643),$AG$2:$AG$1001,0),0), INDEX($AN$1004:$BO$1004,1,MATCH(COLUMNS($AN$1006:BK1006),$AN$1006:$BO$1006,0)))),"Fix")))</f>
        <v>0</v>
      </c>
      <c r="Z643" s="4">
        <f>IF(OR(INDEX($AH$2:$AH$1001,MATCH(ROWS($AG$2:AG643),$AG$2:$AG$1001,0),1)&gt;=100000,INDEX($AN$1005:$BO$1005,1,MATCH(COLUMNS($AN$1006:BL1006),$AN$1006:$BO$1006,0))&gt;=100000), " ",IF(INDEX($AN$2:$BO$1001,MATCH(ROWS($AG$2:AG643),$AG$2:$AG$1001,0),MATCH(COLUMNS($AN$1006:BL1006),$AN$1006:$BO$1006,0)), HYPERLINK("#",""), HYPERLINK(CONCATENATE("#Metadata!", ADDRESS(INDEX($AI$2:$AI$1001,MATCH(ROWS($AG$2:AG643),$AG$2:$AG$1001,0),0), INDEX($AN$1004:$BO$1004,1,MATCH(COLUMNS($AN$1006:BL1006),$AN$1006:$BO$1006,0)))),"Fix")))</f>
        <v>0</v>
      </c>
      <c r="AA643" s="4">
        <f>IF(OR(INDEX($AH$2:$AH$1001,MATCH(ROWS($AG$2:AG643),$AG$2:$AG$1001,0),1)&gt;=100000,INDEX($AN$1005:$BO$1005,1,MATCH(COLUMNS($AN$1006:BM1006),$AN$1006:$BO$1006,0))&gt;=100000), " ",IF(INDEX($AN$2:$BO$1001,MATCH(ROWS($AG$2:AG643),$AG$2:$AG$1001,0),MATCH(COLUMNS($AN$1006:BM1006),$AN$1006:$BO$1006,0)), HYPERLINK("#",""), HYPERLINK(CONCATENATE("#Metadata!", ADDRESS(INDEX($AI$2:$AI$1001,MATCH(ROWS($AG$2:AG643),$AG$2:$AG$1001,0),0), INDEX($AN$1004:$BO$1004,1,MATCH(COLUMNS($AN$1006:BM1006),$AN$1006:$BO$1006,0)))),"Fix")))</f>
        <v>0</v>
      </c>
      <c r="AB643" s="4">
        <f>IF(OR(INDEX($AH$2:$AH$1001,MATCH(ROWS($AG$2:AG643),$AG$2:$AG$1001,0),1)&gt;=100000,INDEX($AN$1005:$BO$1005,1,MATCH(COLUMNS($AN$1006:BN1006),$AN$1006:$BO$1006,0))&gt;=100000), " ",IF(INDEX($AN$2:$BO$1001,MATCH(ROWS($AG$2:AG643),$AG$2:$AG$1001,0),MATCH(COLUMNS($AN$1006:BN1006),$AN$1006:$BO$1006,0)), HYPERLINK("#",""), HYPERLINK(CONCATENATE("#Metadata!", ADDRESS(INDEX($AI$2:$AI$1001,MATCH(ROWS($AG$2:AG643),$AG$2:$AG$1001,0),0), INDEX($AN$1004:$BO$1004,1,MATCH(COLUMNS($AN$1006:BN1006),$AN$1006:$BO$1006,0)))),"Fix")))</f>
        <v>0</v>
      </c>
      <c r="AC643" s="4">
        <f>IF(OR(INDEX($AH$2:$AH$1001,MATCH(ROWS($AG$2:AG643),$AG$2:$AG$1001,0),1)&gt;=100000,INDEX($AN$1005:$BO$1005,1,MATCH(COLUMNS($AN$1006:BO1006),$AN$1006:$BO$1006,0))&gt;=100000), " ",IF(INDEX($AN$2:$BO$1001,MATCH(ROWS($AG$2:AG643),$AG$2:$AG$1001,0),MATCH(COLUMNS($AN$1006:BO1006),$AN$1006:$BO$1006,0)), HYPERLINK("#",""), HYPERLINK(CONCATENATE("#Metadata!", ADDRESS(INDEX($AI$2:$AI$1001,MATCH(ROWS($AG$2:AG643),$AG$2:$AG$1001,0),0), INDEX($AN$1004:$BO$1004,1,MATCH(COLUMNS($AN$1006:BO1006),$AN$1006:$BO$1006,0)))),"Fix")))</f>
        <v>0</v>
      </c>
      <c r="AG643">
        <v>0</v>
      </c>
      <c r="AH643">
        <v>0</v>
      </c>
      <c r="AI643">
        <v>0</v>
      </c>
      <c r="AJ643">
        <f>IF(AK643,TRUE,AND(AN643:BO643))</f>
        <v>0</v>
      </c>
      <c r="AK643">
        <f>COUNTBLANK(Metadata!B643:AC643)=COLUMNS(Metadata!B643:AC643)</f>
        <v>0</v>
      </c>
      <c r="AL643">
        <v>0</v>
      </c>
      <c r="AN643">
        <f>AND(IF(Metadata!B643="",FALSE,TRUE),COUNTIF(Metadata!B:B, Metadata!B643) = 1,NOT(ISERROR(SUMPRODUCT(SEARCH(MID(Metadata!B643,ROW(INDIRECT("1:"&amp;LEN(Metadata!B643))), 1),"0123456789abcdefghijklmnopqrstuvwxyzABCDEFGHIJKLMNOPQRSTUVWXYZ.")))))</f>
        <v>0</v>
      </c>
      <c r="AO643">
        <f>IF(Metadata!C643="",FALSE,TRUE)</f>
        <v>0</v>
      </c>
      <c r="AP643">
        <f>IF(Metadata!D643="",FALSE,TRUE)</f>
        <v>0</v>
      </c>
      <c r="AQ643">
        <f>OR(AND(IF(Metadata!E643="",FALSE,TRUE),OR(exact(Metadata!E643,"not collected"),exact(Metadata!E643,"not provided"),exact(Metadata!E643,"restricted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R643">
        <f>IF(Metadata!F643="",FALSE,TRUE)</f>
        <v>0</v>
      </c>
      <c r="AS643">
        <f>OR(AND(IF(Metadata!G643="",FALSE,TRUE),OR(exact(Metadata!G643,"not collected"),exact(Metadata!G643,"not provided"))),AND(IF(Metadata!G643="",FALSE,TRUE),OR(exact(Metadata!G643,"TRUE"),exact(Metadata!G643,"FALSE"))))</f>
        <v>0</v>
      </c>
      <c r="AT643">
        <f>OR(AND(IF(Metadata!H643="",FALSE,TRUE),OR(exact(Metadata!H643,"not collected"),exact(Metadata!H643,"not provided"),exact(Metadata!H643,"restricted access"))),AND(IF(Metadata!H643="",FALSE,ISNUMBER(VALUE(Metadata!H643))),Metadata!H643&gt;=-413.0))</f>
        <v>0</v>
      </c>
      <c r="AU643">
        <f>AND(IF(Metadata!I643="",FALSE,TRUE),exact(Metadata!I643,"meters"))</f>
        <v>0</v>
      </c>
      <c r="AV643">
        <f>AND(IF(Metadata!J643="",FALSE,TRUE),OR(exact(Metadata!J643,"Host-associated"),exact(Metadata!J643,"Free-living")))</f>
        <v>0</v>
      </c>
      <c r="AW643">
        <f>AND(IF(Metadata!K643="",FALSE,TRUE),OR(exact(Metadata!K643,"Animal"),exact(Metadata!K643,"Fungus"),exact(Metadata!K643,"Plant"),exact(Metadata!K643,"Saline"),exact(Metadata!K643,"Non-saline")))</f>
        <v>0</v>
      </c>
      <c r="AX643">
        <f>AND(IF(Metadata!L643="",FALSE,TRUE),OR(exact(Metadata!L643,"Plant secretion"),exact(Metadata!L643,"Plant rhizosphere"),exact(Metadata!L643,"Plant surface"),exact(Metadata!L643,"Plant corpus"),exact(Metadata!L643,"Fungus surface"),exact(Metadata!L643,"Fungus corpus"),exact(Metadata!L643,"Animal surface"),exact(Metadata!L643,"Animal proximal gut"),exact(Metadata!L643,"Animal corpus"),exact(Metadata!L643,"Animal distal gut"),exact(Metadata!L643,"Animal secretion"),exact(Metadata!L643,"Sub-surface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Y643">
        <f>IF(Metadata!M643="",FALSE,TRUE)</f>
        <v>0</v>
      </c>
      <c r="AZ643">
        <f>IF(Metadata!N643="",FALSE,TRUE)</f>
        <v>0</v>
      </c>
      <c r="BA643">
        <f>IF(Metadata!O643="",FALSE,TRUE)</f>
        <v>0</v>
      </c>
      <c r="BB643">
        <f>OR(AND(IF(Metadata!P643="",FALSE,TRUE),OR(exact(Metadata!P643,"not collected"),exact(Metadata!P643,"not provided"),exact(Metadata!P643,"restricted access"))),AND(IF(Metadata!P643="",FALSE,TRUE),OR(exact(Metadata!P643,"air"),exact(Metadata!P643,"built environment"),exact(Metadata!P643,"host-associated"),exact(Metadata!P643,"human-associated"),exact(Metadata!P643,"human-skin"),exact(Metadata!P643,"human-oral"),exact(Metadata!P643,"human-gut"),exact(Metadata!P643,"human-vaginal"),exact(Metadata!P643,"microbial mat/biofilm"),exact(Metadata!P643,"misc environment"),exact(Metadata!P643,"plant-associated"),exact(Metadata!P643,"sediment"),exact(Metadata!P643,"soil"),exact(Metadata!P643,"wastewater/sludge"),exact(Metadata!P643,"water"))))</f>
        <v>0</v>
      </c>
      <c r="BC643">
        <f>IF(Metadata!Q643="",FALSE,TRUE)</f>
        <v>0</v>
      </c>
      <c r="BD643">
        <f>IF(Metadata!R643="",FALSE,TRUE)</f>
        <v>0</v>
      </c>
      <c r="BE643">
        <f>OR(AND(IF(Metadata!S643="",FALSE,TRUE),OR(exact(Metadata!S643,"not collected"),exact(Metadata!S643,"not provided"),exact(Metadata!S643,"restricted access"))),AND(IF(Metadata!S643="",FALSE,ISNUMBER(VALUE(Metadata!S643))),Metadata!S643&gt;=-90.00,Metadata!S643&lt;=90.00))</f>
        <v>0</v>
      </c>
      <c r="BF643">
        <f>AND(IF(Metadata!T643="",FALSE,TRUE),exact(Metadata!T643,"Decimal degrees"))</f>
        <v>0</v>
      </c>
      <c r="BG643">
        <f>OR(AND(IF(Metadata!U643="",FALSE,TRUE),OR(exact(Metadata!U643,"not collected"),exact(Metadata!U643,"not provided"),exact(Metadata!U643,"restricted access"))),AND(IF(Metadata!U643="",FALSE,ISNUMBER(VALUE(Metadata!U643))),Metadata!U643&gt;=-180.00,Metadata!U643&lt;=180.00))</f>
        <v>0</v>
      </c>
      <c r="BH643">
        <f>AND(IF(Metadata!V643="",FALSE,TRUE),exact(Metadata!V643,"Decimal degrees"))</f>
        <v>0</v>
      </c>
      <c r="BI643">
        <f>IF(Metadata!W643="",FALSE,TRUE)</f>
        <v>0</v>
      </c>
      <c r="BJ643">
        <f>OR(AND(IF(Metadata!X643="",FALSE,TRUE),OR(exact(Metadata!X643,"not collected"),exact(Metadata!X643,"not provided"),exact(Metadata!X643,"restricted access"))),AND(IF(Metadata!X643="",FALSE,TRUE),OR(exact(Metadata!X643,"TRUE"),exact(Metadata!X643,"FALSE"))))</f>
        <v>0</v>
      </c>
      <c r="BK643">
        <f>AND(IF(Metadata!Y643="",FALSE,TRUE),exact(Metadata!Y643,"other"))</f>
        <v>0</v>
      </c>
      <c r="BL643">
        <f>IF(Metadata!Z643="",FALSE,TRUE)</f>
        <v>0</v>
      </c>
      <c r="BM643">
        <f>OR(AND(IF(Metadata!AA643="",FALSE,TRUE),OR(exact(Metadata!AA643,"not collected"),exact(Metadata!AA643,"not provided"))),AND(IF(Metadata!AA643="",FALSE,IF(ISERROR(INT(Metadata!AA643)),FALSE,INT(Metadata!AA643)=Metadata!AA643)),Metadata!AA643&gt;0))</f>
        <v>0</v>
      </c>
      <c r="BN643">
        <f>AND(IF(Metadata!AB643="",FALSE,TRUE),exact(Metadata!AB643,"Not applicable"))</f>
        <v>0</v>
      </c>
      <c r="BO643">
        <f>IF(Metadata!AC643="",FALSE,TRUE)</f>
        <v>0</v>
      </c>
    </row>
    <row r="644" spans="1:67">
      <c r="A644" s="5">
        <f>IF(B644=" "," ",HYPERLINK(CONCATENATE("#metadata!",ADDRESS(INDEX($AI$2:$AI$1001,MATCH(ROWS($AG$2:AG644),$AG$2:$AG$1001,0),0),1)),INDEX($AL$2:$AL$1001,MATCH(ROWS($AG$2:AG644),$AG$2:$AG$1001,0),0)))</f>
        <v>0</v>
      </c>
      <c r="B644" s="4">
        <f>IF(OR(INDEX($AH$2:$AH$1001,MATCH(ROWS($AG$2:AG644),$AG$2:$AG$1001,0),1)&gt;=100000,INDEX($AN$1005:$BO$1005,1,MATCH(COLUMNS($AN$1006:AN1006),$AN$1006:$BO$1006,0))&gt;=100000), " ",IF(INDEX($AN$2:$BO$1001,MATCH(ROWS($AG$2:AG644),$AG$2:$AG$1001,0),MATCH(COLUMNS($AN$1006:AN1006),$AN$1006:$BO$1006,0)), HYPERLINK("#",""), HYPERLINK(CONCATENATE("#Metadata!", ADDRESS(INDEX($AI$2:$AI$1001,MATCH(ROWS($AG$2:AG644),$AG$2:$AG$1001,0),0), INDEX($AN$1004:$BO$1004,1,MATCH(COLUMNS($AN$1006:AN1006),$AN$1006:$BO$1006,0)))),"Fix")))</f>
        <v>0</v>
      </c>
      <c r="C644" s="4">
        <f>IF(OR(INDEX($AH$2:$AH$1001,MATCH(ROWS($AG$2:AG644),$AG$2:$AG$1001,0),1)&gt;=100000,INDEX($AN$1005:$BO$1005,1,MATCH(COLUMNS($AN$1006:AO1006),$AN$1006:$BO$1006,0))&gt;=100000), " ",IF(INDEX($AN$2:$BO$1001,MATCH(ROWS($AG$2:AG644),$AG$2:$AG$1001,0),MATCH(COLUMNS($AN$1006:AO1006),$AN$1006:$BO$1006,0)), HYPERLINK("#",""), HYPERLINK(CONCATENATE("#Metadata!", ADDRESS(INDEX($AI$2:$AI$1001,MATCH(ROWS($AG$2:AG644),$AG$2:$AG$1001,0),0), INDEX($AN$1004:$BO$1004,1,MATCH(COLUMNS($AN$1006:AO1006),$AN$1006:$BO$1006,0)))),"Fix")))</f>
        <v>0</v>
      </c>
      <c r="D644" s="4">
        <f>IF(OR(INDEX($AH$2:$AH$1001,MATCH(ROWS($AG$2:AG644),$AG$2:$AG$1001,0),1)&gt;=100000,INDEX($AN$1005:$BO$1005,1,MATCH(COLUMNS($AN$1006:AP1006),$AN$1006:$BO$1006,0))&gt;=100000), " ",IF(INDEX($AN$2:$BO$1001,MATCH(ROWS($AG$2:AG644),$AG$2:$AG$1001,0),MATCH(COLUMNS($AN$1006:AP1006),$AN$1006:$BO$1006,0)), HYPERLINK("#",""), HYPERLINK(CONCATENATE("#Metadata!", ADDRESS(INDEX($AI$2:$AI$1001,MATCH(ROWS($AG$2:AG644),$AG$2:$AG$1001,0),0), INDEX($AN$1004:$BO$1004,1,MATCH(COLUMNS($AN$1006:AP1006),$AN$1006:$BO$1006,0)))),"Fix")))</f>
        <v>0</v>
      </c>
      <c r="E644" s="4">
        <f>IF(OR(INDEX($AH$2:$AH$1001,MATCH(ROWS($AG$2:AG644),$AG$2:$AG$1001,0),1)&gt;=100000,INDEX($AN$1005:$BO$1005,1,MATCH(COLUMNS($AN$1006:AQ1006),$AN$1006:$BO$1006,0))&gt;=100000), " ",IF(INDEX($AN$2:$BO$1001,MATCH(ROWS($AG$2:AG644),$AG$2:$AG$1001,0),MATCH(COLUMNS($AN$1006:AQ1006),$AN$1006:$BO$1006,0)), HYPERLINK("#",""), HYPERLINK(CONCATENATE("#Metadata!", ADDRESS(INDEX($AI$2:$AI$1001,MATCH(ROWS($AG$2:AG644),$AG$2:$AG$1001,0),0), INDEX($AN$1004:$BO$1004,1,MATCH(COLUMNS($AN$1006:AQ1006),$AN$1006:$BO$1006,0)))),"Fix")))</f>
        <v>0</v>
      </c>
      <c r="F644" s="4">
        <f>IF(OR(INDEX($AH$2:$AH$1001,MATCH(ROWS($AG$2:AG644),$AG$2:$AG$1001,0),1)&gt;=100000,INDEX($AN$1005:$BO$1005,1,MATCH(COLUMNS($AN$1006:AR1006),$AN$1006:$BO$1006,0))&gt;=100000), " ",IF(INDEX($AN$2:$BO$1001,MATCH(ROWS($AG$2:AG644),$AG$2:$AG$1001,0),MATCH(COLUMNS($AN$1006:AR1006),$AN$1006:$BO$1006,0)), HYPERLINK("#",""), HYPERLINK(CONCATENATE("#Metadata!", ADDRESS(INDEX($AI$2:$AI$1001,MATCH(ROWS($AG$2:AG644),$AG$2:$AG$1001,0),0), INDEX($AN$1004:$BO$1004,1,MATCH(COLUMNS($AN$1006:AR1006),$AN$1006:$BO$1006,0)))),"Fix")))</f>
        <v>0</v>
      </c>
      <c r="G644" s="4">
        <f>IF(OR(INDEX($AH$2:$AH$1001,MATCH(ROWS($AG$2:AG644),$AG$2:$AG$1001,0),1)&gt;=100000,INDEX($AN$1005:$BO$1005,1,MATCH(COLUMNS($AN$1006:AS1006),$AN$1006:$BO$1006,0))&gt;=100000), " ",IF(INDEX($AN$2:$BO$1001,MATCH(ROWS($AG$2:AG644),$AG$2:$AG$1001,0),MATCH(COLUMNS($AN$1006:AS1006),$AN$1006:$BO$1006,0)), HYPERLINK("#",""), HYPERLINK(CONCATENATE("#Metadata!", ADDRESS(INDEX($AI$2:$AI$1001,MATCH(ROWS($AG$2:AG644),$AG$2:$AG$1001,0),0), INDEX($AN$1004:$BO$1004,1,MATCH(COLUMNS($AN$1006:AS1006),$AN$1006:$BO$1006,0)))),"Fix")))</f>
        <v>0</v>
      </c>
      <c r="H644" s="4">
        <f>IF(OR(INDEX($AH$2:$AH$1001,MATCH(ROWS($AG$2:AG644),$AG$2:$AG$1001,0),1)&gt;=100000,INDEX($AN$1005:$BO$1005,1,MATCH(COLUMNS($AN$1006:AT1006),$AN$1006:$BO$1006,0))&gt;=100000), " ",IF(INDEX($AN$2:$BO$1001,MATCH(ROWS($AG$2:AG644),$AG$2:$AG$1001,0),MATCH(COLUMNS($AN$1006:AT1006),$AN$1006:$BO$1006,0)), HYPERLINK("#",""), HYPERLINK(CONCATENATE("#Metadata!", ADDRESS(INDEX($AI$2:$AI$1001,MATCH(ROWS($AG$2:AG644),$AG$2:$AG$1001,0),0), INDEX($AN$1004:$BO$1004,1,MATCH(COLUMNS($AN$1006:AT1006),$AN$1006:$BO$1006,0)))),"Fix")))</f>
        <v>0</v>
      </c>
      <c r="I644" s="4">
        <f>IF(OR(INDEX($AH$2:$AH$1001,MATCH(ROWS($AG$2:AG644),$AG$2:$AG$1001,0),1)&gt;=100000,INDEX($AN$1005:$BO$1005,1,MATCH(COLUMNS($AN$1006:AU1006),$AN$1006:$BO$1006,0))&gt;=100000), " ",IF(INDEX($AN$2:$BO$1001,MATCH(ROWS($AG$2:AG644),$AG$2:$AG$1001,0),MATCH(COLUMNS($AN$1006:AU1006),$AN$1006:$BO$1006,0)), HYPERLINK("#",""), HYPERLINK(CONCATENATE("#Metadata!", ADDRESS(INDEX($AI$2:$AI$1001,MATCH(ROWS($AG$2:AG644),$AG$2:$AG$1001,0),0), INDEX($AN$1004:$BO$1004,1,MATCH(COLUMNS($AN$1006:AU1006),$AN$1006:$BO$1006,0)))),"Fix")))</f>
        <v>0</v>
      </c>
      <c r="J644" s="4">
        <f>IF(OR(INDEX($AH$2:$AH$1001,MATCH(ROWS($AG$2:AG644),$AG$2:$AG$1001,0),1)&gt;=100000,INDEX($AN$1005:$BO$1005,1,MATCH(COLUMNS($AN$1006:AV1006),$AN$1006:$BO$1006,0))&gt;=100000), " ",IF(INDEX($AN$2:$BO$1001,MATCH(ROWS($AG$2:AG644),$AG$2:$AG$1001,0),MATCH(COLUMNS($AN$1006:AV1006),$AN$1006:$BO$1006,0)), HYPERLINK("#",""), HYPERLINK(CONCATENATE("#Metadata!", ADDRESS(INDEX($AI$2:$AI$1001,MATCH(ROWS($AG$2:AG644),$AG$2:$AG$1001,0),0), INDEX($AN$1004:$BO$1004,1,MATCH(COLUMNS($AN$1006:AV1006),$AN$1006:$BO$1006,0)))),"Fix")))</f>
        <v>0</v>
      </c>
      <c r="K644" s="4">
        <f>IF(OR(INDEX($AH$2:$AH$1001,MATCH(ROWS($AG$2:AG644),$AG$2:$AG$1001,0),1)&gt;=100000,INDEX($AN$1005:$BO$1005,1,MATCH(COLUMNS($AN$1006:AW1006),$AN$1006:$BO$1006,0))&gt;=100000), " ",IF(INDEX($AN$2:$BO$1001,MATCH(ROWS($AG$2:AG644),$AG$2:$AG$1001,0),MATCH(COLUMNS($AN$1006:AW1006),$AN$1006:$BO$1006,0)), HYPERLINK("#",""), HYPERLINK(CONCATENATE("#Metadata!", ADDRESS(INDEX($AI$2:$AI$1001,MATCH(ROWS($AG$2:AG644),$AG$2:$AG$1001,0),0), INDEX($AN$1004:$BO$1004,1,MATCH(COLUMNS($AN$1006:AW1006),$AN$1006:$BO$1006,0)))),"Fix")))</f>
        <v>0</v>
      </c>
      <c r="L644" s="4">
        <f>IF(OR(INDEX($AH$2:$AH$1001,MATCH(ROWS($AG$2:AG644),$AG$2:$AG$1001,0),1)&gt;=100000,INDEX($AN$1005:$BO$1005,1,MATCH(COLUMNS($AN$1006:AX1006),$AN$1006:$BO$1006,0))&gt;=100000), " ",IF(INDEX($AN$2:$BO$1001,MATCH(ROWS($AG$2:AG644),$AG$2:$AG$1001,0),MATCH(COLUMNS($AN$1006:AX1006),$AN$1006:$BO$1006,0)), HYPERLINK("#",""), HYPERLINK(CONCATENATE("#Metadata!", ADDRESS(INDEX($AI$2:$AI$1001,MATCH(ROWS($AG$2:AG644),$AG$2:$AG$1001,0),0), INDEX($AN$1004:$BO$1004,1,MATCH(COLUMNS($AN$1006:AX1006),$AN$1006:$BO$1006,0)))),"Fix")))</f>
        <v>0</v>
      </c>
      <c r="M644" s="4">
        <f>IF(OR(INDEX($AH$2:$AH$1001,MATCH(ROWS($AG$2:AG644),$AG$2:$AG$1001,0),1)&gt;=100000,INDEX($AN$1005:$BO$1005,1,MATCH(COLUMNS($AN$1006:AY1006),$AN$1006:$BO$1006,0))&gt;=100000), " ",IF(INDEX($AN$2:$BO$1001,MATCH(ROWS($AG$2:AG644),$AG$2:$AG$1001,0),MATCH(COLUMNS($AN$1006:AY1006),$AN$1006:$BO$1006,0)), HYPERLINK("#",""), HYPERLINK(CONCATENATE("#Metadata!", ADDRESS(INDEX($AI$2:$AI$1001,MATCH(ROWS($AG$2:AG644),$AG$2:$AG$1001,0),0), INDEX($AN$1004:$BO$1004,1,MATCH(COLUMNS($AN$1006:AY1006),$AN$1006:$BO$1006,0)))),"Fix")))</f>
        <v>0</v>
      </c>
      <c r="N644" s="4">
        <f>IF(OR(INDEX($AH$2:$AH$1001,MATCH(ROWS($AG$2:AG644),$AG$2:$AG$1001,0),1)&gt;=100000,INDEX($AN$1005:$BO$1005,1,MATCH(COLUMNS($AN$1006:AZ1006),$AN$1006:$BO$1006,0))&gt;=100000), " ",IF(INDEX($AN$2:$BO$1001,MATCH(ROWS($AG$2:AG644),$AG$2:$AG$1001,0),MATCH(COLUMNS($AN$1006:AZ1006),$AN$1006:$BO$1006,0)), HYPERLINK("#",""), HYPERLINK(CONCATENATE("#Metadata!", ADDRESS(INDEX($AI$2:$AI$1001,MATCH(ROWS($AG$2:AG644),$AG$2:$AG$1001,0),0), INDEX($AN$1004:$BO$1004,1,MATCH(COLUMNS($AN$1006:AZ1006),$AN$1006:$BO$1006,0)))),"Fix")))</f>
        <v>0</v>
      </c>
      <c r="O644" s="4">
        <f>IF(OR(INDEX($AH$2:$AH$1001,MATCH(ROWS($AG$2:AG644),$AG$2:$AG$1001,0),1)&gt;=100000,INDEX($AN$1005:$BO$1005,1,MATCH(COLUMNS($AN$1006:BA1006),$AN$1006:$BO$1006,0))&gt;=100000), " ",IF(INDEX($AN$2:$BO$1001,MATCH(ROWS($AG$2:AG644),$AG$2:$AG$1001,0),MATCH(COLUMNS($AN$1006:BA1006),$AN$1006:$BO$1006,0)), HYPERLINK("#",""), HYPERLINK(CONCATENATE("#Metadata!", ADDRESS(INDEX($AI$2:$AI$1001,MATCH(ROWS($AG$2:AG644),$AG$2:$AG$1001,0),0), INDEX($AN$1004:$BO$1004,1,MATCH(COLUMNS($AN$1006:BA1006),$AN$1006:$BO$1006,0)))),"Fix")))</f>
        <v>0</v>
      </c>
      <c r="P644" s="4">
        <f>IF(OR(INDEX($AH$2:$AH$1001,MATCH(ROWS($AG$2:AG644),$AG$2:$AG$1001,0),1)&gt;=100000,INDEX($AN$1005:$BO$1005,1,MATCH(COLUMNS($AN$1006:BB1006),$AN$1006:$BO$1006,0))&gt;=100000), " ",IF(INDEX($AN$2:$BO$1001,MATCH(ROWS($AG$2:AG644),$AG$2:$AG$1001,0),MATCH(COLUMNS($AN$1006:BB1006),$AN$1006:$BO$1006,0)), HYPERLINK("#",""), HYPERLINK(CONCATENATE("#Metadata!", ADDRESS(INDEX($AI$2:$AI$1001,MATCH(ROWS($AG$2:AG644),$AG$2:$AG$1001,0),0), INDEX($AN$1004:$BO$1004,1,MATCH(COLUMNS($AN$1006:BB1006),$AN$1006:$BO$1006,0)))),"Fix")))</f>
        <v>0</v>
      </c>
      <c r="Q644" s="4">
        <f>IF(OR(INDEX($AH$2:$AH$1001,MATCH(ROWS($AG$2:AG644),$AG$2:$AG$1001,0),1)&gt;=100000,INDEX($AN$1005:$BO$1005,1,MATCH(COLUMNS($AN$1006:BC1006),$AN$1006:$BO$1006,0))&gt;=100000), " ",IF(INDEX($AN$2:$BO$1001,MATCH(ROWS($AG$2:AG644),$AG$2:$AG$1001,0),MATCH(COLUMNS($AN$1006:BC1006),$AN$1006:$BO$1006,0)), HYPERLINK("#",""), HYPERLINK(CONCATENATE("#Metadata!", ADDRESS(INDEX($AI$2:$AI$1001,MATCH(ROWS($AG$2:AG644),$AG$2:$AG$1001,0),0), INDEX($AN$1004:$BO$1004,1,MATCH(COLUMNS($AN$1006:BC1006),$AN$1006:$BO$1006,0)))),"Fix")))</f>
        <v>0</v>
      </c>
      <c r="R644" s="4">
        <f>IF(OR(INDEX($AH$2:$AH$1001,MATCH(ROWS($AG$2:AG644),$AG$2:$AG$1001,0),1)&gt;=100000,INDEX($AN$1005:$BO$1005,1,MATCH(COLUMNS($AN$1006:BD1006),$AN$1006:$BO$1006,0))&gt;=100000), " ",IF(INDEX($AN$2:$BO$1001,MATCH(ROWS($AG$2:AG644),$AG$2:$AG$1001,0),MATCH(COLUMNS($AN$1006:BD1006),$AN$1006:$BO$1006,0)), HYPERLINK("#",""), HYPERLINK(CONCATENATE("#Metadata!", ADDRESS(INDEX($AI$2:$AI$1001,MATCH(ROWS($AG$2:AG644),$AG$2:$AG$1001,0),0), INDEX($AN$1004:$BO$1004,1,MATCH(COLUMNS($AN$1006:BD1006),$AN$1006:$BO$1006,0)))),"Fix")))</f>
        <v>0</v>
      </c>
      <c r="S644" s="4">
        <f>IF(OR(INDEX($AH$2:$AH$1001,MATCH(ROWS($AG$2:AG644),$AG$2:$AG$1001,0),1)&gt;=100000,INDEX($AN$1005:$BO$1005,1,MATCH(COLUMNS($AN$1006:BE1006),$AN$1006:$BO$1006,0))&gt;=100000), " ",IF(INDEX($AN$2:$BO$1001,MATCH(ROWS($AG$2:AG644),$AG$2:$AG$1001,0),MATCH(COLUMNS($AN$1006:BE1006),$AN$1006:$BO$1006,0)), HYPERLINK("#",""), HYPERLINK(CONCATENATE("#Metadata!", ADDRESS(INDEX($AI$2:$AI$1001,MATCH(ROWS($AG$2:AG644),$AG$2:$AG$1001,0),0), INDEX($AN$1004:$BO$1004,1,MATCH(COLUMNS($AN$1006:BE1006),$AN$1006:$BO$1006,0)))),"Fix")))</f>
        <v>0</v>
      </c>
      <c r="T644" s="4">
        <f>IF(OR(INDEX($AH$2:$AH$1001,MATCH(ROWS($AG$2:AG644),$AG$2:$AG$1001,0),1)&gt;=100000,INDEX($AN$1005:$BO$1005,1,MATCH(COLUMNS($AN$1006:BF1006),$AN$1006:$BO$1006,0))&gt;=100000), " ",IF(INDEX($AN$2:$BO$1001,MATCH(ROWS($AG$2:AG644),$AG$2:$AG$1001,0),MATCH(COLUMNS($AN$1006:BF1006),$AN$1006:$BO$1006,0)), HYPERLINK("#",""), HYPERLINK(CONCATENATE("#Metadata!", ADDRESS(INDEX($AI$2:$AI$1001,MATCH(ROWS($AG$2:AG644),$AG$2:$AG$1001,0),0), INDEX($AN$1004:$BO$1004,1,MATCH(COLUMNS($AN$1006:BF1006),$AN$1006:$BO$1006,0)))),"Fix")))</f>
        <v>0</v>
      </c>
      <c r="U644" s="4">
        <f>IF(OR(INDEX($AH$2:$AH$1001,MATCH(ROWS($AG$2:AG644),$AG$2:$AG$1001,0),1)&gt;=100000,INDEX($AN$1005:$BO$1005,1,MATCH(COLUMNS($AN$1006:BG1006),$AN$1006:$BO$1006,0))&gt;=100000), " ",IF(INDEX($AN$2:$BO$1001,MATCH(ROWS($AG$2:AG644),$AG$2:$AG$1001,0),MATCH(COLUMNS($AN$1006:BG1006),$AN$1006:$BO$1006,0)), HYPERLINK("#",""), HYPERLINK(CONCATENATE("#Metadata!", ADDRESS(INDEX($AI$2:$AI$1001,MATCH(ROWS($AG$2:AG644),$AG$2:$AG$1001,0),0), INDEX($AN$1004:$BO$1004,1,MATCH(COLUMNS($AN$1006:BG1006),$AN$1006:$BO$1006,0)))),"Fix")))</f>
        <v>0</v>
      </c>
      <c r="V644" s="4">
        <f>IF(OR(INDEX($AH$2:$AH$1001,MATCH(ROWS($AG$2:AG644),$AG$2:$AG$1001,0),1)&gt;=100000,INDEX($AN$1005:$BO$1005,1,MATCH(COLUMNS($AN$1006:BH1006),$AN$1006:$BO$1006,0))&gt;=100000), " ",IF(INDEX($AN$2:$BO$1001,MATCH(ROWS($AG$2:AG644),$AG$2:$AG$1001,0),MATCH(COLUMNS($AN$1006:BH1006),$AN$1006:$BO$1006,0)), HYPERLINK("#",""), HYPERLINK(CONCATENATE("#Metadata!", ADDRESS(INDEX($AI$2:$AI$1001,MATCH(ROWS($AG$2:AG644),$AG$2:$AG$1001,0),0), INDEX($AN$1004:$BO$1004,1,MATCH(COLUMNS($AN$1006:BH1006),$AN$1006:$BO$1006,0)))),"Fix")))</f>
        <v>0</v>
      </c>
      <c r="W644" s="4">
        <f>IF(OR(INDEX($AH$2:$AH$1001,MATCH(ROWS($AG$2:AG644),$AG$2:$AG$1001,0),1)&gt;=100000,INDEX($AN$1005:$BO$1005,1,MATCH(COLUMNS($AN$1006:BI1006),$AN$1006:$BO$1006,0))&gt;=100000), " ",IF(INDEX($AN$2:$BO$1001,MATCH(ROWS($AG$2:AG644),$AG$2:$AG$1001,0),MATCH(COLUMNS($AN$1006:BI1006),$AN$1006:$BO$1006,0)), HYPERLINK("#",""), HYPERLINK(CONCATENATE("#Metadata!", ADDRESS(INDEX($AI$2:$AI$1001,MATCH(ROWS($AG$2:AG644),$AG$2:$AG$1001,0),0), INDEX($AN$1004:$BO$1004,1,MATCH(COLUMNS($AN$1006:BI1006),$AN$1006:$BO$1006,0)))),"Fix")))</f>
        <v>0</v>
      </c>
      <c r="X644" s="4">
        <f>IF(OR(INDEX($AH$2:$AH$1001,MATCH(ROWS($AG$2:AG644),$AG$2:$AG$1001,0),1)&gt;=100000,INDEX($AN$1005:$BO$1005,1,MATCH(COLUMNS($AN$1006:BJ1006),$AN$1006:$BO$1006,0))&gt;=100000), " ",IF(INDEX($AN$2:$BO$1001,MATCH(ROWS($AG$2:AG644),$AG$2:$AG$1001,0),MATCH(COLUMNS($AN$1006:BJ1006),$AN$1006:$BO$1006,0)), HYPERLINK("#",""), HYPERLINK(CONCATENATE("#Metadata!", ADDRESS(INDEX($AI$2:$AI$1001,MATCH(ROWS($AG$2:AG644),$AG$2:$AG$1001,0),0), INDEX($AN$1004:$BO$1004,1,MATCH(COLUMNS($AN$1006:BJ1006),$AN$1006:$BO$1006,0)))),"Fix")))</f>
        <v>0</v>
      </c>
      <c r="Y644" s="4">
        <f>IF(OR(INDEX($AH$2:$AH$1001,MATCH(ROWS($AG$2:AG644),$AG$2:$AG$1001,0),1)&gt;=100000,INDEX($AN$1005:$BO$1005,1,MATCH(COLUMNS($AN$1006:BK1006),$AN$1006:$BO$1006,0))&gt;=100000), " ",IF(INDEX($AN$2:$BO$1001,MATCH(ROWS($AG$2:AG644),$AG$2:$AG$1001,0),MATCH(COLUMNS($AN$1006:BK1006),$AN$1006:$BO$1006,0)), HYPERLINK("#",""), HYPERLINK(CONCATENATE("#Metadata!", ADDRESS(INDEX($AI$2:$AI$1001,MATCH(ROWS($AG$2:AG644),$AG$2:$AG$1001,0),0), INDEX($AN$1004:$BO$1004,1,MATCH(COLUMNS($AN$1006:BK1006),$AN$1006:$BO$1006,0)))),"Fix")))</f>
        <v>0</v>
      </c>
      <c r="Z644" s="4">
        <f>IF(OR(INDEX($AH$2:$AH$1001,MATCH(ROWS($AG$2:AG644),$AG$2:$AG$1001,0),1)&gt;=100000,INDEX($AN$1005:$BO$1005,1,MATCH(COLUMNS($AN$1006:BL1006),$AN$1006:$BO$1006,0))&gt;=100000), " ",IF(INDEX($AN$2:$BO$1001,MATCH(ROWS($AG$2:AG644),$AG$2:$AG$1001,0),MATCH(COLUMNS($AN$1006:BL1006),$AN$1006:$BO$1006,0)), HYPERLINK("#",""), HYPERLINK(CONCATENATE("#Metadata!", ADDRESS(INDEX($AI$2:$AI$1001,MATCH(ROWS($AG$2:AG644),$AG$2:$AG$1001,0),0), INDEX($AN$1004:$BO$1004,1,MATCH(COLUMNS($AN$1006:BL1006),$AN$1006:$BO$1006,0)))),"Fix")))</f>
        <v>0</v>
      </c>
      <c r="AA644" s="4">
        <f>IF(OR(INDEX($AH$2:$AH$1001,MATCH(ROWS($AG$2:AG644),$AG$2:$AG$1001,0),1)&gt;=100000,INDEX($AN$1005:$BO$1005,1,MATCH(COLUMNS($AN$1006:BM1006),$AN$1006:$BO$1006,0))&gt;=100000), " ",IF(INDEX($AN$2:$BO$1001,MATCH(ROWS($AG$2:AG644),$AG$2:$AG$1001,0),MATCH(COLUMNS($AN$1006:BM1006),$AN$1006:$BO$1006,0)), HYPERLINK("#",""), HYPERLINK(CONCATENATE("#Metadata!", ADDRESS(INDEX($AI$2:$AI$1001,MATCH(ROWS($AG$2:AG644),$AG$2:$AG$1001,0),0), INDEX($AN$1004:$BO$1004,1,MATCH(COLUMNS($AN$1006:BM1006),$AN$1006:$BO$1006,0)))),"Fix")))</f>
        <v>0</v>
      </c>
      <c r="AB644" s="4">
        <f>IF(OR(INDEX($AH$2:$AH$1001,MATCH(ROWS($AG$2:AG644),$AG$2:$AG$1001,0),1)&gt;=100000,INDEX($AN$1005:$BO$1005,1,MATCH(COLUMNS($AN$1006:BN1006),$AN$1006:$BO$1006,0))&gt;=100000), " ",IF(INDEX($AN$2:$BO$1001,MATCH(ROWS($AG$2:AG644),$AG$2:$AG$1001,0),MATCH(COLUMNS($AN$1006:BN1006),$AN$1006:$BO$1006,0)), HYPERLINK("#",""), HYPERLINK(CONCATENATE("#Metadata!", ADDRESS(INDEX($AI$2:$AI$1001,MATCH(ROWS($AG$2:AG644),$AG$2:$AG$1001,0),0), INDEX($AN$1004:$BO$1004,1,MATCH(COLUMNS($AN$1006:BN1006),$AN$1006:$BO$1006,0)))),"Fix")))</f>
        <v>0</v>
      </c>
      <c r="AC644" s="4">
        <f>IF(OR(INDEX($AH$2:$AH$1001,MATCH(ROWS($AG$2:AG644),$AG$2:$AG$1001,0),1)&gt;=100000,INDEX($AN$1005:$BO$1005,1,MATCH(COLUMNS($AN$1006:BO1006),$AN$1006:$BO$1006,0))&gt;=100000), " ",IF(INDEX($AN$2:$BO$1001,MATCH(ROWS($AG$2:AG644),$AG$2:$AG$1001,0),MATCH(COLUMNS($AN$1006:BO1006),$AN$1006:$BO$1006,0)), HYPERLINK("#",""), HYPERLINK(CONCATENATE("#Metadata!", ADDRESS(INDEX($AI$2:$AI$1001,MATCH(ROWS($AG$2:AG644),$AG$2:$AG$1001,0),0), INDEX($AN$1004:$BO$1004,1,MATCH(COLUMNS($AN$1006:BO1006),$AN$1006:$BO$1006,0)))),"Fix")))</f>
        <v>0</v>
      </c>
      <c r="AG644">
        <v>0</v>
      </c>
      <c r="AH644">
        <v>0</v>
      </c>
      <c r="AI644">
        <v>0</v>
      </c>
      <c r="AJ644">
        <f>IF(AK644,TRUE,AND(AN644:BO644))</f>
        <v>0</v>
      </c>
      <c r="AK644">
        <f>COUNTBLANK(Metadata!B644:AC644)=COLUMNS(Metadata!B644:AC644)</f>
        <v>0</v>
      </c>
      <c r="AL644">
        <v>0</v>
      </c>
      <c r="AN644">
        <f>AND(IF(Metadata!B644="",FALSE,TRUE),COUNTIF(Metadata!B:B, Metadata!B644) = 1,NOT(ISERROR(SUMPRODUCT(SEARCH(MID(Metadata!B644,ROW(INDIRECT("1:"&amp;LEN(Metadata!B644))), 1),"0123456789abcdefghijklmnopqrstuvwxyzABCDEFGHIJKLMNOPQRSTUVWXYZ.")))))</f>
        <v>0</v>
      </c>
      <c r="AO644">
        <f>IF(Metadata!C644="",FALSE,TRUE)</f>
        <v>0</v>
      </c>
      <c r="AP644">
        <f>IF(Metadata!D644="",FALSE,TRUE)</f>
        <v>0</v>
      </c>
      <c r="AQ644">
        <f>OR(AND(IF(Metadata!E644="",FALSE,TRUE),OR(exact(Metadata!E644,"not collected"),exact(Metadata!E644,"not provided"),exact(Metadata!E644,"restricted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R644">
        <f>IF(Metadata!F644="",FALSE,TRUE)</f>
        <v>0</v>
      </c>
      <c r="AS644">
        <f>OR(AND(IF(Metadata!G644="",FALSE,TRUE),OR(exact(Metadata!G644,"not collected"),exact(Metadata!G644,"not provided"))),AND(IF(Metadata!G644="",FALSE,TRUE),OR(exact(Metadata!G644,"TRUE"),exact(Metadata!G644,"FALSE"))))</f>
        <v>0</v>
      </c>
      <c r="AT644">
        <f>OR(AND(IF(Metadata!H644="",FALSE,TRUE),OR(exact(Metadata!H644,"not collected"),exact(Metadata!H644,"not provided"),exact(Metadata!H644,"restricted access"))),AND(IF(Metadata!H644="",FALSE,ISNUMBER(VALUE(Metadata!H644))),Metadata!H644&gt;=-413.0))</f>
        <v>0</v>
      </c>
      <c r="AU644">
        <f>AND(IF(Metadata!I644="",FALSE,TRUE),exact(Metadata!I644,"meters"))</f>
        <v>0</v>
      </c>
      <c r="AV644">
        <f>AND(IF(Metadata!J644="",FALSE,TRUE),OR(exact(Metadata!J644,"Host-associated"),exact(Metadata!J644,"Free-living")))</f>
        <v>0</v>
      </c>
      <c r="AW644">
        <f>AND(IF(Metadata!K644="",FALSE,TRUE),OR(exact(Metadata!K644,"Animal"),exact(Metadata!K644,"Fungus"),exact(Metadata!K644,"Plant"),exact(Metadata!K644,"Saline"),exact(Metadata!K644,"Non-saline")))</f>
        <v>0</v>
      </c>
      <c r="AX644">
        <f>AND(IF(Metadata!L644="",FALSE,TRUE),OR(exact(Metadata!L644,"Plant secretion"),exact(Metadata!L644,"Plant rhizosphere"),exact(Metadata!L644,"Plant surface"),exact(Metadata!L644,"Plant corpus"),exact(Metadata!L644,"Fungus surface"),exact(Metadata!L644,"Fungus corpus"),exact(Metadata!L644,"Animal surface"),exact(Metadata!L644,"Animal proximal gut"),exact(Metadata!L644,"Animal corpus"),exact(Metadata!L644,"Animal distal gut"),exact(Metadata!L644,"Animal secretion"),exact(Metadata!L644,"Sub-surface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Y644">
        <f>IF(Metadata!M644="",FALSE,TRUE)</f>
        <v>0</v>
      </c>
      <c r="AZ644">
        <f>IF(Metadata!N644="",FALSE,TRUE)</f>
        <v>0</v>
      </c>
      <c r="BA644">
        <f>IF(Metadata!O644="",FALSE,TRUE)</f>
        <v>0</v>
      </c>
      <c r="BB644">
        <f>OR(AND(IF(Metadata!P644="",FALSE,TRUE),OR(exact(Metadata!P644,"not collected"),exact(Metadata!P644,"not provided"),exact(Metadata!P644,"restricted access"))),AND(IF(Metadata!P644="",FALSE,TRUE),OR(exact(Metadata!P644,"air"),exact(Metadata!P644,"built environment"),exact(Metadata!P644,"host-associated"),exact(Metadata!P644,"human-associated"),exact(Metadata!P644,"human-skin"),exact(Metadata!P644,"human-oral"),exact(Metadata!P644,"human-gut"),exact(Metadata!P644,"human-vaginal"),exact(Metadata!P644,"microbial mat/biofilm"),exact(Metadata!P644,"misc environment"),exact(Metadata!P644,"plant-associated"),exact(Metadata!P644,"sediment"),exact(Metadata!P644,"soil"),exact(Metadata!P644,"wastewater/sludge"),exact(Metadata!P644,"water"))))</f>
        <v>0</v>
      </c>
      <c r="BC644">
        <f>IF(Metadata!Q644="",FALSE,TRUE)</f>
        <v>0</v>
      </c>
      <c r="BD644">
        <f>IF(Metadata!R644="",FALSE,TRUE)</f>
        <v>0</v>
      </c>
      <c r="BE644">
        <f>OR(AND(IF(Metadata!S644="",FALSE,TRUE),OR(exact(Metadata!S644,"not collected"),exact(Metadata!S644,"not provided"),exact(Metadata!S644,"restricted access"))),AND(IF(Metadata!S644="",FALSE,ISNUMBER(VALUE(Metadata!S644))),Metadata!S644&gt;=-90.00,Metadata!S644&lt;=90.00))</f>
        <v>0</v>
      </c>
      <c r="BF644">
        <f>AND(IF(Metadata!T644="",FALSE,TRUE),exact(Metadata!T644,"Decimal degrees"))</f>
        <v>0</v>
      </c>
      <c r="BG644">
        <f>OR(AND(IF(Metadata!U644="",FALSE,TRUE),OR(exact(Metadata!U644,"not collected"),exact(Metadata!U644,"not provided"),exact(Metadata!U644,"restricted access"))),AND(IF(Metadata!U644="",FALSE,ISNUMBER(VALUE(Metadata!U644))),Metadata!U644&gt;=-180.00,Metadata!U644&lt;=180.00))</f>
        <v>0</v>
      </c>
      <c r="BH644">
        <f>AND(IF(Metadata!V644="",FALSE,TRUE),exact(Metadata!V644,"Decimal degrees"))</f>
        <v>0</v>
      </c>
      <c r="BI644">
        <f>IF(Metadata!W644="",FALSE,TRUE)</f>
        <v>0</v>
      </c>
      <c r="BJ644">
        <f>OR(AND(IF(Metadata!X644="",FALSE,TRUE),OR(exact(Metadata!X644,"not collected"),exact(Metadata!X644,"not provided"),exact(Metadata!X644,"restricted access"))),AND(IF(Metadata!X644="",FALSE,TRUE),OR(exact(Metadata!X644,"TRUE"),exact(Metadata!X644,"FALSE"))))</f>
        <v>0</v>
      </c>
      <c r="BK644">
        <f>AND(IF(Metadata!Y644="",FALSE,TRUE),exact(Metadata!Y644,"other"))</f>
        <v>0</v>
      </c>
      <c r="BL644">
        <f>IF(Metadata!Z644="",FALSE,TRUE)</f>
        <v>0</v>
      </c>
      <c r="BM644">
        <f>OR(AND(IF(Metadata!AA644="",FALSE,TRUE),OR(exact(Metadata!AA644,"not collected"),exact(Metadata!AA644,"not provided"))),AND(IF(Metadata!AA644="",FALSE,IF(ISERROR(INT(Metadata!AA644)),FALSE,INT(Metadata!AA644)=Metadata!AA644)),Metadata!AA644&gt;0))</f>
        <v>0</v>
      </c>
      <c r="BN644">
        <f>AND(IF(Metadata!AB644="",FALSE,TRUE),exact(Metadata!AB644,"Not applicable"))</f>
        <v>0</v>
      </c>
      <c r="BO644">
        <f>IF(Metadata!AC644="",FALSE,TRUE)</f>
        <v>0</v>
      </c>
    </row>
    <row r="645" spans="1:67">
      <c r="A645" s="5">
        <f>IF(B645=" "," ",HYPERLINK(CONCATENATE("#metadata!",ADDRESS(INDEX($AI$2:$AI$1001,MATCH(ROWS($AG$2:AG645),$AG$2:$AG$1001,0),0),1)),INDEX($AL$2:$AL$1001,MATCH(ROWS($AG$2:AG645),$AG$2:$AG$1001,0),0)))</f>
        <v>0</v>
      </c>
      <c r="B645" s="4">
        <f>IF(OR(INDEX($AH$2:$AH$1001,MATCH(ROWS($AG$2:AG645),$AG$2:$AG$1001,0),1)&gt;=100000,INDEX($AN$1005:$BO$1005,1,MATCH(COLUMNS($AN$1006:AN1006),$AN$1006:$BO$1006,0))&gt;=100000), " ",IF(INDEX($AN$2:$BO$1001,MATCH(ROWS($AG$2:AG645),$AG$2:$AG$1001,0),MATCH(COLUMNS($AN$1006:AN1006),$AN$1006:$BO$1006,0)), HYPERLINK("#",""), HYPERLINK(CONCATENATE("#Metadata!", ADDRESS(INDEX($AI$2:$AI$1001,MATCH(ROWS($AG$2:AG645),$AG$2:$AG$1001,0),0), INDEX($AN$1004:$BO$1004,1,MATCH(COLUMNS($AN$1006:AN1006),$AN$1006:$BO$1006,0)))),"Fix")))</f>
        <v>0</v>
      </c>
      <c r="C645" s="4">
        <f>IF(OR(INDEX($AH$2:$AH$1001,MATCH(ROWS($AG$2:AG645),$AG$2:$AG$1001,0),1)&gt;=100000,INDEX($AN$1005:$BO$1005,1,MATCH(COLUMNS($AN$1006:AO1006),$AN$1006:$BO$1006,0))&gt;=100000), " ",IF(INDEX($AN$2:$BO$1001,MATCH(ROWS($AG$2:AG645),$AG$2:$AG$1001,0),MATCH(COLUMNS($AN$1006:AO1006),$AN$1006:$BO$1006,0)), HYPERLINK("#",""), HYPERLINK(CONCATENATE("#Metadata!", ADDRESS(INDEX($AI$2:$AI$1001,MATCH(ROWS($AG$2:AG645),$AG$2:$AG$1001,0),0), INDEX($AN$1004:$BO$1004,1,MATCH(COLUMNS($AN$1006:AO1006),$AN$1006:$BO$1006,0)))),"Fix")))</f>
        <v>0</v>
      </c>
      <c r="D645" s="4">
        <f>IF(OR(INDEX($AH$2:$AH$1001,MATCH(ROWS($AG$2:AG645),$AG$2:$AG$1001,0),1)&gt;=100000,INDEX($AN$1005:$BO$1005,1,MATCH(COLUMNS($AN$1006:AP1006),$AN$1006:$BO$1006,0))&gt;=100000), " ",IF(INDEX($AN$2:$BO$1001,MATCH(ROWS($AG$2:AG645),$AG$2:$AG$1001,0),MATCH(COLUMNS($AN$1006:AP1006),$AN$1006:$BO$1006,0)), HYPERLINK("#",""), HYPERLINK(CONCATENATE("#Metadata!", ADDRESS(INDEX($AI$2:$AI$1001,MATCH(ROWS($AG$2:AG645),$AG$2:$AG$1001,0),0), INDEX($AN$1004:$BO$1004,1,MATCH(COLUMNS($AN$1006:AP1006),$AN$1006:$BO$1006,0)))),"Fix")))</f>
        <v>0</v>
      </c>
      <c r="E645" s="4">
        <f>IF(OR(INDEX($AH$2:$AH$1001,MATCH(ROWS($AG$2:AG645),$AG$2:$AG$1001,0),1)&gt;=100000,INDEX($AN$1005:$BO$1005,1,MATCH(COLUMNS($AN$1006:AQ1006),$AN$1006:$BO$1006,0))&gt;=100000), " ",IF(INDEX($AN$2:$BO$1001,MATCH(ROWS($AG$2:AG645),$AG$2:$AG$1001,0),MATCH(COLUMNS($AN$1006:AQ1006),$AN$1006:$BO$1006,0)), HYPERLINK("#",""), HYPERLINK(CONCATENATE("#Metadata!", ADDRESS(INDEX($AI$2:$AI$1001,MATCH(ROWS($AG$2:AG645),$AG$2:$AG$1001,0),0), INDEX($AN$1004:$BO$1004,1,MATCH(COLUMNS($AN$1006:AQ1006),$AN$1006:$BO$1006,0)))),"Fix")))</f>
        <v>0</v>
      </c>
      <c r="F645" s="4">
        <f>IF(OR(INDEX($AH$2:$AH$1001,MATCH(ROWS($AG$2:AG645),$AG$2:$AG$1001,0),1)&gt;=100000,INDEX($AN$1005:$BO$1005,1,MATCH(COLUMNS($AN$1006:AR1006),$AN$1006:$BO$1006,0))&gt;=100000), " ",IF(INDEX($AN$2:$BO$1001,MATCH(ROWS($AG$2:AG645),$AG$2:$AG$1001,0),MATCH(COLUMNS($AN$1006:AR1006),$AN$1006:$BO$1006,0)), HYPERLINK("#",""), HYPERLINK(CONCATENATE("#Metadata!", ADDRESS(INDEX($AI$2:$AI$1001,MATCH(ROWS($AG$2:AG645),$AG$2:$AG$1001,0),0), INDEX($AN$1004:$BO$1004,1,MATCH(COLUMNS($AN$1006:AR1006),$AN$1006:$BO$1006,0)))),"Fix")))</f>
        <v>0</v>
      </c>
      <c r="G645" s="4">
        <f>IF(OR(INDEX($AH$2:$AH$1001,MATCH(ROWS($AG$2:AG645),$AG$2:$AG$1001,0),1)&gt;=100000,INDEX($AN$1005:$BO$1005,1,MATCH(COLUMNS($AN$1006:AS1006),$AN$1006:$BO$1006,0))&gt;=100000), " ",IF(INDEX($AN$2:$BO$1001,MATCH(ROWS($AG$2:AG645),$AG$2:$AG$1001,0),MATCH(COLUMNS($AN$1006:AS1006),$AN$1006:$BO$1006,0)), HYPERLINK("#",""), HYPERLINK(CONCATENATE("#Metadata!", ADDRESS(INDEX($AI$2:$AI$1001,MATCH(ROWS($AG$2:AG645),$AG$2:$AG$1001,0),0), INDEX($AN$1004:$BO$1004,1,MATCH(COLUMNS($AN$1006:AS1006),$AN$1006:$BO$1006,0)))),"Fix")))</f>
        <v>0</v>
      </c>
      <c r="H645" s="4">
        <f>IF(OR(INDEX($AH$2:$AH$1001,MATCH(ROWS($AG$2:AG645),$AG$2:$AG$1001,0),1)&gt;=100000,INDEX($AN$1005:$BO$1005,1,MATCH(COLUMNS($AN$1006:AT1006),$AN$1006:$BO$1006,0))&gt;=100000), " ",IF(INDEX($AN$2:$BO$1001,MATCH(ROWS($AG$2:AG645),$AG$2:$AG$1001,0),MATCH(COLUMNS($AN$1006:AT1006),$AN$1006:$BO$1006,0)), HYPERLINK("#",""), HYPERLINK(CONCATENATE("#Metadata!", ADDRESS(INDEX($AI$2:$AI$1001,MATCH(ROWS($AG$2:AG645),$AG$2:$AG$1001,0),0), INDEX($AN$1004:$BO$1004,1,MATCH(COLUMNS($AN$1006:AT1006),$AN$1006:$BO$1006,0)))),"Fix")))</f>
        <v>0</v>
      </c>
      <c r="I645" s="4">
        <f>IF(OR(INDEX($AH$2:$AH$1001,MATCH(ROWS($AG$2:AG645),$AG$2:$AG$1001,0),1)&gt;=100000,INDEX($AN$1005:$BO$1005,1,MATCH(COLUMNS($AN$1006:AU1006),$AN$1006:$BO$1006,0))&gt;=100000), " ",IF(INDEX($AN$2:$BO$1001,MATCH(ROWS($AG$2:AG645),$AG$2:$AG$1001,0),MATCH(COLUMNS($AN$1006:AU1006),$AN$1006:$BO$1006,0)), HYPERLINK("#",""), HYPERLINK(CONCATENATE("#Metadata!", ADDRESS(INDEX($AI$2:$AI$1001,MATCH(ROWS($AG$2:AG645),$AG$2:$AG$1001,0),0), INDEX($AN$1004:$BO$1004,1,MATCH(COLUMNS($AN$1006:AU1006),$AN$1006:$BO$1006,0)))),"Fix")))</f>
        <v>0</v>
      </c>
      <c r="J645" s="4">
        <f>IF(OR(INDEX($AH$2:$AH$1001,MATCH(ROWS($AG$2:AG645),$AG$2:$AG$1001,0),1)&gt;=100000,INDEX($AN$1005:$BO$1005,1,MATCH(COLUMNS($AN$1006:AV1006),$AN$1006:$BO$1006,0))&gt;=100000), " ",IF(INDEX($AN$2:$BO$1001,MATCH(ROWS($AG$2:AG645),$AG$2:$AG$1001,0),MATCH(COLUMNS($AN$1006:AV1006),$AN$1006:$BO$1006,0)), HYPERLINK("#",""), HYPERLINK(CONCATENATE("#Metadata!", ADDRESS(INDEX($AI$2:$AI$1001,MATCH(ROWS($AG$2:AG645),$AG$2:$AG$1001,0),0), INDEX($AN$1004:$BO$1004,1,MATCH(COLUMNS($AN$1006:AV1006),$AN$1006:$BO$1006,0)))),"Fix")))</f>
        <v>0</v>
      </c>
      <c r="K645" s="4">
        <f>IF(OR(INDEX($AH$2:$AH$1001,MATCH(ROWS($AG$2:AG645),$AG$2:$AG$1001,0),1)&gt;=100000,INDEX($AN$1005:$BO$1005,1,MATCH(COLUMNS($AN$1006:AW1006),$AN$1006:$BO$1006,0))&gt;=100000), " ",IF(INDEX($AN$2:$BO$1001,MATCH(ROWS($AG$2:AG645),$AG$2:$AG$1001,0),MATCH(COLUMNS($AN$1006:AW1006),$AN$1006:$BO$1006,0)), HYPERLINK("#",""), HYPERLINK(CONCATENATE("#Metadata!", ADDRESS(INDEX($AI$2:$AI$1001,MATCH(ROWS($AG$2:AG645),$AG$2:$AG$1001,0),0), INDEX($AN$1004:$BO$1004,1,MATCH(COLUMNS($AN$1006:AW1006),$AN$1006:$BO$1006,0)))),"Fix")))</f>
        <v>0</v>
      </c>
      <c r="L645" s="4">
        <f>IF(OR(INDEX($AH$2:$AH$1001,MATCH(ROWS($AG$2:AG645),$AG$2:$AG$1001,0),1)&gt;=100000,INDEX($AN$1005:$BO$1005,1,MATCH(COLUMNS($AN$1006:AX1006),$AN$1006:$BO$1006,0))&gt;=100000), " ",IF(INDEX($AN$2:$BO$1001,MATCH(ROWS($AG$2:AG645),$AG$2:$AG$1001,0),MATCH(COLUMNS($AN$1006:AX1006),$AN$1006:$BO$1006,0)), HYPERLINK("#",""), HYPERLINK(CONCATENATE("#Metadata!", ADDRESS(INDEX($AI$2:$AI$1001,MATCH(ROWS($AG$2:AG645),$AG$2:$AG$1001,0),0), INDEX($AN$1004:$BO$1004,1,MATCH(COLUMNS($AN$1006:AX1006),$AN$1006:$BO$1006,0)))),"Fix")))</f>
        <v>0</v>
      </c>
      <c r="M645" s="4">
        <f>IF(OR(INDEX($AH$2:$AH$1001,MATCH(ROWS($AG$2:AG645),$AG$2:$AG$1001,0),1)&gt;=100000,INDEX($AN$1005:$BO$1005,1,MATCH(COLUMNS($AN$1006:AY1006),$AN$1006:$BO$1006,0))&gt;=100000), " ",IF(INDEX($AN$2:$BO$1001,MATCH(ROWS($AG$2:AG645),$AG$2:$AG$1001,0),MATCH(COLUMNS($AN$1006:AY1006),$AN$1006:$BO$1006,0)), HYPERLINK("#",""), HYPERLINK(CONCATENATE("#Metadata!", ADDRESS(INDEX($AI$2:$AI$1001,MATCH(ROWS($AG$2:AG645),$AG$2:$AG$1001,0),0), INDEX($AN$1004:$BO$1004,1,MATCH(COLUMNS($AN$1006:AY1006),$AN$1006:$BO$1006,0)))),"Fix")))</f>
        <v>0</v>
      </c>
      <c r="N645" s="4">
        <f>IF(OR(INDEX($AH$2:$AH$1001,MATCH(ROWS($AG$2:AG645),$AG$2:$AG$1001,0),1)&gt;=100000,INDEX($AN$1005:$BO$1005,1,MATCH(COLUMNS($AN$1006:AZ1006),$AN$1006:$BO$1006,0))&gt;=100000), " ",IF(INDEX($AN$2:$BO$1001,MATCH(ROWS($AG$2:AG645),$AG$2:$AG$1001,0),MATCH(COLUMNS($AN$1006:AZ1006),$AN$1006:$BO$1006,0)), HYPERLINK("#",""), HYPERLINK(CONCATENATE("#Metadata!", ADDRESS(INDEX($AI$2:$AI$1001,MATCH(ROWS($AG$2:AG645),$AG$2:$AG$1001,0),0), INDEX($AN$1004:$BO$1004,1,MATCH(COLUMNS($AN$1006:AZ1006),$AN$1006:$BO$1006,0)))),"Fix")))</f>
        <v>0</v>
      </c>
      <c r="O645" s="4">
        <f>IF(OR(INDEX($AH$2:$AH$1001,MATCH(ROWS($AG$2:AG645),$AG$2:$AG$1001,0),1)&gt;=100000,INDEX($AN$1005:$BO$1005,1,MATCH(COLUMNS($AN$1006:BA1006),$AN$1006:$BO$1006,0))&gt;=100000), " ",IF(INDEX($AN$2:$BO$1001,MATCH(ROWS($AG$2:AG645),$AG$2:$AG$1001,0),MATCH(COLUMNS($AN$1006:BA1006),$AN$1006:$BO$1006,0)), HYPERLINK("#",""), HYPERLINK(CONCATENATE("#Metadata!", ADDRESS(INDEX($AI$2:$AI$1001,MATCH(ROWS($AG$2:AG645),$AG$2:$AG$1001,0),0), INDEX($AN$1004:$BO$1004,1,MATCH(COLUMNS($AN$1006:BA1006),$AN$1006:$BO$1006,0)))),"Fix")))</f>
        <v>0</v>
      </c>
      <c r="P645" s="4">
        <f>IF(OR(INDEX($AH$2:$AH$1001,MATCH(ROWS($AG$2:AG645),$AG$2:$AG$1001,0),1)&gt;=100000,INDEX($AN$1005:$BO$1005,1,MATCH(COLUMNS($AN$1006:BB1006),$AN$1006:$BO$1006,0))&gt;=100000), " ",IF(INDEX($AN$2:$BO$1001,MATCH(ROWS($AG$2:AG645),$AG$2:$AG$1001,0),MATCH(COLUMNS($AN$1006:BB1006),$AN$1006:$BO$1006,0)), HYPERLINK("#",""), HYPERLINK(CONCATENATE("#Metadata!", ADDRESS(INDEX($AI$2:$AI$1001,MATCH(ROWS($AG$2:AG645),$AG$2:$AG$1001,0),0), INDEX($AN$1004:$BO$1004,1,MATCH(COLUMNS($AN$1006:BB1006),$AN$1006:$BO$1006,0)))),"Fix")))</f>
        <v>0</v>
      </c>
      <c r="Q645" s="4">
        <f>IF(OR(INDEX($AH$2:$AH$1001,MATCH(ROWS($AG$2:AG645),$AG$2:$AG$1001,0),1)&gt;=100000,INDEX($AN$1005:$BO$1005,1,MATCH(COLUMNS($AN$1006:BC1006),$AN$1006:$BO$1006,0))&gt;=100000), " ",IF(INDEX($AN$2:$BO$1001,MATCH(ROWS($AG$2:AG645),$AG$2:$AG$1001,0),MATCH(COLUMNS($AN$1006:BC1006),$AN$1006:$BO$1006,0)), HYPERLINK("#",""), HYPERLINK(CONCATENATE("#Metadata!", ADDRESS(INDEX($AI$2:$AI$1001,MATCH(ROWS($AG$2:AG645),$AG$2:$AG$1001,0),0), INDEX($AN$1004:$BO$1004,1,MATCH(COLUMNS($AN$1006:BC1006),$AN$1006:$BO$1006,0)))),"Fix")))</f>
        <v>0</v>
      </c>
      <c r="R645" s="4">
        <f>IF(OR(INDEX($AH$2:$AH$1001,MATCH(ROWS($AG$2:AG645),$AG$2:$AG$1001,0),1)&gt;=100000,INDEX($AN$1005:$BO$1005,1,MATCH(COLUMNS($AN$1006:BD1006),$AN$1006:$BO$1006,0))&gt;=100000), " ",IF(INDEX($AN$2:$BO$1001,MATCH(ROWS($AG$2:AG645),$AG$2:$AG$1001,0),MATCH(COLUMNS($AN$1006:BD1006),$AN$1006:$BO$1006,0)), HYPERLINK("#",""), HYPERLINK(CONCATENATE("#Metadata!", ADDRESS(INDEX($AI$2:$AI$1001,MATCH(ROWS($AG$2:AG645),$AG$2:$AG$1001,0),0), INDEX($AN$1004:$BO$1004,1,MATCH(COLUMNS($AN$1006:BD1006),$AN$1006:$BO$1006,0)))),"Fix")))</f>
        <v>0</v>
      </c>
      <c r="S645" s="4">
        <f>IF(OR(INDEX($AH$2:$AH$1001,MATCH(ROWS($AG$2:AG645),$AG$2:$AG$1001,0),1)&gt;=100000,INDEX($AN$1005:$BO$1005,1,MATCH(COLUMNS($AN$1006:BE1006),$AN$1006:$BO$1006,0))&gt;=100000), " ",IF(INDEX($AN$2:$BO$1001,MATCH(ROWS($AG$2:AG645),$AG$2:$AG$1001,0),MATCH(COLUMNS($AN$1006:BE1006),$AN$1006:$BO$1006,0)), HYPERLINK("#",""), HYPERLINK(CONCATENATE("#Metadata!", ADDRESS(INDEX($AI$2:$AI$1001,MATCH(ROWS($AG$2:AG645),$AG$2:$AG$1001,0),0), INDEX($AN$1004:$BO$1004,1,MATCH(COLUMNS($AN$1006:BE1006),$AN$1006:$BO$1006,0)))),"Fix")))</f>
        <v>0</v>
      </c>
      <c r="T645" s="4">
        <f>IF(OR(INDEX($AH$2:$AH$1001,MATCH(ROWS($AG$2:AG645),$AG$2:$AG$1001,0),1)&gt;=100000,INDEX($AN$1005:$BO$1005,1,MATCH(COLUMNS($AN$1006:BF1006),$AN$1006:$BO$1006,0))&gt;=100000), " ",IF(INDEX($AN$2:$BO$1001,MATCH(ROWS($AG$2:AG645),$AG$2:$AG$1001,0),MATCH(COLUMNS($AN$1006:BF1006),$AN$1006:$BO$1006,0)), HYPERLINK("#",""), HYPERLINK(CONCATENATE("#Metadata!", ADDRESS(INDEX($AI$2:$AI$1001,MATCH(ROWS($AG$2:AG645),$AG$2:$AG$1001,0),0), INDEX($AN$1004:$BO$1004,1,MATCH(COLUMNS($AN$1006:BF1006),$AN$1006:$BO$1006,0)))),"Fix")))</f>
        <v>0</v>
      </c>
      <c r="U645" s="4">
        <f>IF(OR(INDEX($AH$2:$AH$1001,MATCH(ROWS($AG$2:AG645),$AG$2:$AG$1001,0),1)&gt;=100000,INDEX($AN$1005:$BO$1005,1,MATCH(COLUMNS($AN$1006:BG1006),$AN$1006:$BO$1006,0))&gt;=100000), " ",IF(INDEX($AN$2:$BO$1001,MATCH(ROWS($AG$2:AG645),$AG$2:$AG$1001,0),MATCH(COLUMNS($AN$1006:BG1006),$AN$1006:$BO$1006,0)), HYPERLINK("#",""), HYPERLINK(CONCATENATE("#Metadata!", ADDRESS(INDEX($AI$2:$AI$1001,MATCH(ROWS($AG$2:AG645),$AG$2:$AG$1001,0),0), INDEX($AN$1004:$BO$1004,1,MATCH(COLUMNS($AN$1006:BG1006),$AN$1006:$BO$1006,0)))),"Fix")))</f>
        <v>0</v>
      </c>
      <c r="V645" s="4">
        <f>IF(OR(INDEX($AH$2:$AH$1001,MATCH(ROWS($AG$2:AG645),$AG$2:$AG$1001,0),1)&gt;=100000,INDEX($AN$1005:$BO$1005,1,MATCH(COLUMNS($AN$1006:BH1006),$AN$1006:$BO$1006,0))&gt;=100000), " ",IF(INDEX($AN$2:$BO$1001,MATCH(ROWS($AG$2:AG645),$AG$2:$AG$1001,0),MATCH(COLUMNS($AN$1006:BH1006),$AN$1006:$BO$1006,0)), HYPERLINK("#",""), HYPERLINK(CONCATENATE("#Metadata!", ADDRESS(INDEX($AI$2:$AI$1001,MATCH(ROWS($AG$2:AG645),$AG$2:$AG$1001,0),0), INDEX($AN$1004:$BO$1004,1,MATCH(COLUMNS($AN$1006:BH1006),$AN$1006:$BO$1006,0)))),"Fix")))</f>
        <v>0</v>
      </c>
      <c r="W645" s="4">
        <f>IF(OR(INDEX($AH$2:$AH$1001,MATCH(ROWS($AG$2:AG645),$AG$2:$AG$1001,0),1)&gt;=100000,INDEX($AN$1005:$BO$1005,1,MATCH(COLUMNS($AN$1006:BI1006),$AN$1006:$BO$1006,0))&gt;=100000), " ",IF(INDEX($AN$2:$BO$1001,MATCH(ROWS($AG$2:AG645),$AG$2:$AG$1001,0),MATCH(COLUMNS($AN$1006:BI1006),$AN$1006:$BO$1006,0)), HYPERLINK("#",""), HYPERLINK(CONCATENATE("#Metadata!", ADDRESS(INDEX($AI$2:$AI$1001,MATCH(ROWS($AG$2:AG645),$AG$2:$AG$1001,0),0), INDEX($AN$1004:$BO$1004,1,MATCH(COLUMNS($AN$1006:BI1006),$AN$1006:$BO$1006,0)))),"Fix")))</f>
        <v>0</v>
      </c>
      <c r="X645" s="4">
        <f>IF(OR(INDEX($AH$2:$AH$1001,MATCH(ROWS($AG$2:AG645),$AG$2:$AG$1001,0),1)&gt;=100000,INDEX($AN$1005:$BO$1005,1,MATCH(COLUMNS($AN$1006:BJ1006),$AN$1006:$BO$1006,0))&gt;=100000), " ",IF(INDEX($AN$2:$BO$1001,MATCH(ROWS($AG$2:AG645),$AG$2:$AG$1001,0),MATCH(COLUMNS($AN$1006:BJ1006),$AN$1006:$BO$1006,0)), HYPERLINK("#",""), HYPERLINK(CONCATENATE("#Metadata!", ADDRESS(INDEX($AI$2:$AI$1001,MATCH(ROWS($AG$2:AG645),$AG$2:$AG$1001,0),0), INDEX($AN$1004:$BO$1004,1,MATCH(COLUMNS($AN$1006:BJ1006),$AN$1006:$BO$1006,0)))),"Fix")))</f>
        <v>0</v>
      </c>
      <c r="Y645" s="4">
        <f>IF(OR(INDEX($AH$2:$AH$1001,MATCH(ROWS($AG$2:AG645),$AG$2:$AG$1001,0),1)&gt;=100000,INDEX($AN$1005:$BO$1005,1,MATCH(COLUMNS($AN$1006:BK1006),$AN$1006:$BO$1006,0))&gt;=100000), " ",IF(INDEX($AN$2:$BO$1001,MATCH(ROWS($AG$2:AG645),$AG$2:$AG$1001,0),MATCH(COLUMNS($AN$1006:BK1006),$AN$1006:$BO$1006,0)), HYPERLINK("#",""), HYPERLINK(CONCATENATE("#Metadata!", ADDRESS(INDEX($AI$2:$AI$1001,MATCH(ROWS($AG$2:AG645),$AG$2:$AG$1001,0),0), INDEX($AN$1004:$BO$1004,1,MATCH(COLUMNS($AN$1006:BK1006),$AN$1006:$BO$1006,0)))),"Fix")))</f>
        <v>0</v>
      </c>
      <c r="Z645" s="4">
        <f>IF(OR(INDEX($AH$2:$AH$1001,MATCH(ROWS($AG$2:AG645),$AG$2:$AG$1001,0),1)&gt;=100000,INDEX($AN$1005:$BO$1005,1,MATCH(COLUMNS($AN$1006:BL1006),$AN$1006:$BO$1006,0))&gt;=100000), " ",IF(INDEX($AN$2:$BO$1001,MATCH(ROWS($AG$2:AG645),$AG$2:$AG$1001,0),MATCH(COLUMNS($AN$1006:BL1006),$AN$1006:$BO$1006,0)), HYPERLINK("#",""), HYPERLINK(CONCATENATE("#Metadata!", ADDRESS(INDEX($AI$2:$AI$1001,MATCH(ROWS($AG$2:AG645),$AG$2:$AG$1001,0),0), INDEX($AN$1004:$BO$1004,1,MATCH(COLUMNS($AN$1006:BL1006),$AN$1006:$BO$1006,0)))),"Fix")))</f>
        <v>0</v>
      </c>
      <c r="AA645" s="4">
        <f>IF(OR(INDEX($AH$2:$AH$1001,MATCH(ROWS($AG$2:AG645),$AG$2:$AG$1001,0),1)&gt;=100000,INDEX($AN$1005:$BO$1005,1,MATCH(COLUMNS($AN$1006:BM1006),$AN$1006:$BO$1006,0))&gt;=100000), " ",IF(INDEX($AN$2:$BO$1001,MATCH(ROWS($AG$2:AG645),$AG$2:$AG$1001,0),MATCH(COLUMNS($AN$1006:BM1006),$AN$1006:$BO$1006,0)), HYPERLINK("#",""), HYPERLINK(CONCATENATE("#Metadata!", ADDRESS(INDEX($AI$2:$AI$1001,MATCH(ROWS($AG$2:AG645),$AG$2:$AG$1001,0),0), INDEX($AN$1004:$BO$1004,1,MATCH(COLUMNS($AN$1006:BM1006),$AN$1006:$BO$1006,0)))),"Fix")))</f>
        <v>0</v>
      </c>
      <c r="AB645" s="4">
        <f>IF(OR(INDEX($AH$2:$AH$1001,MATCH(ROWS($AG$2:AG645),$AG$2:$AG$1001,0),1)&gt;=100000,INDEX($AN$1005:$BO$1005,1,MATCH(COLUMNS($AN$1006:BN1006),$AN$1006:$BO$1006,0))&gt;=100000), " ",IF(INDEX($AN$2:$BO$1001,MATCH(ROWS($AG$2:AG645),$AG$2:$AG$1001,0),MATCH(COLUMNS($AN$1006:BN1006),$AN$1006:$BO$1006,0)), HYPERLINK("#",""), HYPERLINK(CONCATENATE("#Metadata!", ADDRESS(INDEX($AI$2:$AI$1001,MATCH(ROWS($AG$2:AG645),$AG$2:$AG$1001,0),0), INDEX($AN$1004:$BO$1004,1,MATCH(COLUMNS($AN$1006:BN1006),$AN$1006:$BO$1006,0)))),"Fix")))</f>
        <v>0</v>
      </c>
      <c r="AC645" s="4">
        <f>IF(OR(INDEX($AH$2:$AH$1001,MATCH(ROWS($AG$2:AG645),$AG$2:$AG$1001,0),1)&gt;=100000,INDEX($AN$1005:$BO$1005,1,MATCH(COLUMNS($AN$1006:BO1006),$AN$1006:$BO$1006,0))&gt;=100000), " ",IF(INDEX($AN$2:$BO$1001,MATCH(ROWS($AG$2:AG645),$AG$2:$AG$1001,0),MATCH(COLUMNS($AN$1006:BO1006),$AN$1006:$BO$1006,0)), HYPERLINK("#",""), HYPERLINK(CONCATENATE("#Metadata!", ADDRESS(INDEX($AI$2:$AI$1001,MATCH(ROWS($AG$2:AG645),$AG$2:$AG$1001,0),0), INDEX($AN$1004:$BO$1004,1,MATCH(COLUMNS($AN$1006:BO1006),$AN$1006:$BO$1006,0)))),"Fix")))</f>
        <v>0</v>
      </c>
      <c r="AG645">
        <v>0</v>
      </c>
      <c r="AH645">
        <v>0</v>
      </c>
      <c r="AI645">
        <v>0</v>
      </c>
      <c r="AJ645">
        <f>IF(AK645,TRUE,AND(AN645:BO645))</f>
        <v>0</v>
      </c>
      <c r="AK645">
        <f>COUNTBLANK(Metadata!B645:AC645)=COLUMNS(Metadata!B645:AC645)</f>
        <v>0</v>
      </c>
      <c r="AL645">
        <v>0</v>
      </c>
      <c r="AN645">
        <f>AND(IF(Metadata!B645="",FALSE,TRUE),COUNTIF(Metadata!B:B, Metadata!B645) = 1,NOT(ISERROR(SUMPRODUCT(SEARCH(MID(Metadata!B645,ROW(INDIRECT("1:"&amp;LEN(Metadata!B645))), 1),"0123456789abcdefghijklmnopqrstuvwxyzABCDEFGHIJKLMNOPQRSTUVWXYZ.")))))</f>
        <v>0</v>
      </c>
      <c r="AO645">
        <f>IF(Metadata!C645="",FALSE,TRUE)</f>
        <v>0</v>
      </c>
      <c r="AP645">
        <f>IF(Metadata!D645="",FALSE,TRUE)</f>
        <v>0</v>
      </c>
      <c r="AQ645">
        <f>OR(AND(IF(Metadata!E645="",FALSE,TRUE),OR(exact(Metadata!E645,"not collected"),exact(Metadata!E645,"not provided"),exact(Metadata!E645,"restricted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R645">
        <f>IF(Metadata!F645="",FALSE,TRUE)</f>
        <v>0</v>
      </c>
      <c r="AS645">
        <f>OR(AND(IF(Metadata!G645="",FALSE,TRUE),OR(exact(Metadata!G645,"not collected"),exact(Metadata!G645,"not provided"))),AND(IF(Metadata!G645="",FALSE,TRUE),OR(exact(Metadata!G645,"TRUE"),exact(Metadata!G645,"FALSE"))))</f>
        <v>0</v>
      </c>
      <c r="AT645">
        <f>OR(AND(IF(Metadata!H645="",FALSE,TRUE),OR(exact(Metadata!H645,"not collected"),exact(Metadata!H645,"not provided"),exact(Metadata!H645,"restricted access"))),AND(IF(Metadata!H645="",FALSE,ISNUMBER(VALUE(Metadata!H645))),Metadata!H645&gt;=-413.0))</f>
        <v>0</v>
      </c>
      <c r="AU645">
        <f>AND(IF(Metadata!I645="",FALSE,TRUE),exact(Metadata!I645,"meters"))</f>
        <v>0</v>
      </c>
      <c r="AV645">
        <f>AND(IF(Metadata!J645="",FALSE,TRUE),OR(exact(Metadata!J645,"Host-associated"),exact(Metadata!J645,"Free-living")))</f>
        <v>0</v>
      </c>
      <c r="AW645">
        <f>AND(IF(Metadata!K645="",FALSE,TRUE),OR(exact(Metadata!K645,"Animal"),exact(Metadata!K645,"Fungus"),exact(Metadata!K645,"Plant"),exact(Metadata!K645,"Saline"),exact(Metadata!K645,"Non-saline")))</f>
        <v>0</v>
      </c>
      <c r="AX645">
        <f>AND(IF(Metadata!L645="",FALSE,TRUE),OR(exact(Metadata!L645,"Plant secretion"),exact(Metadata!L645,"Plant rhizosphere"),exact(Metadata!L645,"Plant surface"),exact(Metadata!L645,"Plant corpus"),exact(Metadata!L645,"Fungus surface"),exact(Metadata!L645,"Fungus corpus"),exact(Metadata!L645,"Animal surface"),exact(Metadata!L645,"Animal proximal gut"),exact(Metadata!L645,"Animal corpus"),exact(Metadata!L645,"Animal distal gut"),exact(Metadata!L645,"Animal secretion"),exact(Metadata!L645,"Sub-surface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Y645">
        <f>IF(Metadata!M645="",FALSE,TRUE)</f>
        <v>0</v>
      </c>
      <c r="AZ645">
        <f>IF(Metadata!N645="",FALSE,TRUE)</f>
        <v>0</v>
      </c>
      <c r="BA645">
        <f>IF(Metadata!O645="",FALSE,TRUE)</f>
        <v>0</v>
      </c>
      <c r="BB645">
        <f>OR(AND(IF(Metadata!P645="",FALSE,TRUE),OR(exact(Metadata!P645,"not collected"),exact(Metadata!P645,"not provided"),exact(Metadata!P645,"restricted access"))),AND(IF(Metadata!P645="",FALSE,TRUE),OR(exact(Metadata!P645,"air"),exact(Metadata!P645,"built environment"),exact(Metadata!P645,"host-associated"),exact(Metadata!P645,"human-associated"),exact(Metadata!P645,"human-skin"),exact(Metadata!P645,"human-oral"),exact(Metadata!P645,"human-gut"),exact(Metadata!P645,"human-vaginal"),exact(Metadata!P645,"microbial mat/biofilm"),exact(Metadata!P645,"misc environment"),exact(Metadata!P645,"plant-associated"),exact(Metadata!P645,"sediment"),exact(Metadata!P645,"soil"),exact(Metadata!P645,"wastewater/sludge"),exact(Metadata!P645,"water"))))</f>
        <v>0</v>
      </c>
      <c r="BC645">
        <f>IF(Metadata!Q645="",FALSE,TRUE)</f>
        <v>0</v>
      </c>
      <c r="BD645">
        <f>IF(Metadata!R645="",FALSE,TRUE)</f>
        <v>0</v>
      </c>
      <c r="BE645">
        <f>OR(AND(IF(Metadata!S645="",FALSE,TRUE),OR(exact(Metadata!S645,"not collected"),exact(Metadata!S645,"not provided"),exact(Metadata!S645,"restricted access"))),AND(IF(Metadata!S645="",FALSE,ISNUMBER(VALUE(Metadata!S645))),Metadata!S645&gt;=-90.00,Metadata!S645&lt;=90.00))</f>
        <v>0</v>
      </c>
      <c r="BF645">
        <f>AND(IF(Metadata!T645="",FALSE,TRUE),exact(Metadata!T645,"Decimal degrees"))</f>
        <v>0</v>
      </c>
      <c r="BG645">
        <f>OR(AND(IF(Metadata!U645="",FALSE,TRUE),OR(exact(Metadata!U645,"not collected"),exact(Metadata!U645,"not provided"),exact(Metadata!U645,"restricted access"))),AND(IF(Metadata!U645="",FALSE,ISNUMBER(VALUE(Metadata!U645))),Metadata!U645&gt;=-180.00,Metadata!U645&lt;=180.00))</f>
        <v>0</v>
      </c>
      <c r="BH645">
        <f>AND(IF(Metadata!V645="",FALSE,TRUE),exact(Metadata!V645,"Decimal degrees"))</f>
        <v>0</v>
      </c>
      <c r="BI645">
        <f>IF(Metadata!W645="",FALSE,TRUE)</f>
        <v>0</v>
      </c>
      <c r="BJ645">
        <f>OR(AND(IF(Metadata!X645="",FALSE,TRUE),OR(exact(Metadata!X645,"not collected"),exact(Metadata!X645,"not provided"),exact(Metadata!X645,"restricted access"))),AND(IF(Metadata!X645="",FALSE,TRUE),OR(exact(Metadata!X645,"TRUE"),exact(Metadata!X645,"FALSE"))))</f>
        <v>0</v>
      </c>
      <c r="BK645">
        <f>AND(IF(Metadata!Y645="",FALSE,TRUE),exact(Metadata!Y645,"other"))</f>
        <v>0</v>
      </c>
      <c r="BL645">
        <f>IF(Metadata!Z645="",FALSE,TRUE)</f>
        <v>0</v>
      </c>
      <c r="BM645">
        <f>OR(AND(IF(Metadata!AA645="",FALSE,TRUE),OR(exact(Metadata!AA645,"not collected"),exact(Metadata!AA645,"not provided"))),AND(IF(Metadata!AA645="",FALSE,IF(ISERROR(INT(Metadata!AA645)),FALSE,INT(Metadata!AA645)=Metadata!AA645)),Metadata!AA645&gt;0))</f>
        <v>0</v>
      </c>
      <c r="BN645">
        <f>AND(IF(Metadata!AB645="",FALSE,TRUE),exact(Metadata!AB645,"Not applicable"))</f>
        <v>0</v>
      </c>
      <c r="BO645">
        <f>IF(Metadata!AC645="",FALSE,TRUE)</f>
        <v>0</v>
      </c>
    </row>
    <row r="646" spans="1:67">
      <c r="A646" s="5">
        <f>IF(B646=" "," ",HYPERLINK(CONCATENATE("#metadata!",ADDRESS(INDEX($AI$2:$AI$1001,MATCH(ROWS($AG$2:AG646),$AG$2:$AG$1001,0),0),1)),INDEX($AL$2:$AL$1001,MATCH(ROWS($AG$2:AG646),$AG$2:$AG$1001,0),0)))</f>
        <v>0</v>
      </c>
      <c r="B646" s="4">
        <f>IF(OR(INDEX($AH$2:$AH$1001,MATCH(ROWS($AG$2:AG646),$AG$2:$AG$1001,0),1)&gt;=100000,INDEX($AN$1005:$BO$1005,1,MATCH(COLUMNS($AN$1006:AN1006),$AN$1006:$BO$1006,0))&gt;=100000), " ",IF(INDEX($AN$2:$BO$1001,MATCH(ROWS($AG$2:AG646),$AG$2:$AG$1001,0),MATCH(COLUMNS($AN$1006:AN1006),$AN$1006:$BO$1006,0)), HYPERLINK("#",""), HYPERLINK(CONCATENATE("#Metadata!", ADDRESS(INDEX($AI$2:$AI$1001,MATCH(ROWS($AG$2:AG646),$AG$2:$AG$1001,0),0), INDEX($AN$1004:$BO$1004,1,MATCH(COLUMNS($AN$1006:AN1006),$AN$1006:$BO$1006,0)))),"Fix")))</f>
        <v>0</v>
      </c>
      <c r="C646" s="4">
        <f>IF(OR(INDEX($AH$2:$AH$1001,MATCH(ROWS($AG$2:AG646),$AG$2:$AG$1001,0),1)&gt;=100000,INDEX($AN$1005:$BO$1005,1,MATCH(COLUMNS($AN$1006:AO1006),$AN$1006:$BO$1006,0))&gt;=100000), " ",IF(INDEX($AN$2:$BO$1001,MATCH(ROWS($AG$2:AG646),$AG$2:$AG$1001,0),MATCH(COLUMNS($AN$1006:AO1006),$AN$1006:$BO$1006,0)), HYPERLINK("#",""), HYPERLINK(CONCATENATE("#Metadata!", ADDRESS(INDEX($AI$2:$AI$1001,MATCH(ROWS($AG$2:AG646),$AG$2:$AG$1001,0),0), INDEX($AN$1004:$BO$1004,1,MATCH(COLUMNS($AN$1006:AO1006),$AN$1006:$BO$1006,0)))),"Fix")))</f>
        <v>0</v>
      </c>
      <c r="D646" s="4">
        <f>IF(OR(INDEX($AH$2:$AH$1001,MATCH(ROWS($AG$2:AG646),$AG$2:$AG$1001,0),1)&gt;=100000,INDEX($AN$1005:$BO$1005,1,MATCH(COLUMNS($AN$1006:AP1006),$AN$1006:$BO$1006,0))&gt;=100000), " ",IF(INDEX($AN$2:$BO$1001,MATCH(ROWS($AG$2:AG646),$AG$2:$AG$1001,0),MATCH(COLUMNS($AN$1006:AP1006),$AN$1006:$BO$1006,0)), HYPERLINK("#",""), HYPERLINK(CONCATENATE("#Metadata!", ADDRESS(INDEX($AI$2:$AI$1001,MATCH(ROWS($AG$2:AG646),$AG$2:$AG$1001,0),0), INDEX($AN$1004:$BO$1004,1,MATCH(COLUMNS($AN$1006:AP1006),$AN$1006:$BO$1006,0)))),"Fix")))</f>
        <v>0</v>
      </c>
      <c r="E646" s="4">
        <f>IF(OR(INDEX($AH$2:$AH$1001,MATCH(ROWS($AG$2:AG646),$AG$2:$AG$1001,0),1)&gt;=100000,INDEX($AN$1005:$BO$1005,1,MATCH(COLUMNS($AN$1006:AQ1006),$AN$1006:$BO$1006,0))&gt;=100000), " ",IF(INDEX($AN$2:$BO$1001,MATCH(ROWS($AG$2:AG646),$AG$2:$AG$1001,0),MATCH(COLUMNS($AN$1006:AQ1006),$AN$1006:$BO$1006,0)), HYPERLINK("#",""), HYPERLINK(CONCATENATE("#Metadata!", ADDRESS(INDEX($AI$2:$AI$1001,MATCH(ROWS($AG$2:AG646),$AG$2:$AG$1001,0),0), INDEX($AN$1004:$BO$1004,1,MATCH(COLUMNS($AN$1006:AQ1006),$AN$1006:$BO$1006,0)))),"Fix")))</f>
        <v>0</v>
      </c>
      <c r="F646" s="4">
        <f>IF(OR(INDEX($AH$2:$AH$1001,MATCH(ROWS($AG$2:AG646),$AG$2:$AG$1001,0),1)&gt;=100000,INDEX($AN$1005:$BO$1005,1,MATCH(COLUMNS($AN$1006:AR1006),$AN$1006:$BO$1006,0))&gt;=100000), " ",IF(INDEX($AN$2:$BO$1001,MATCH(ROWS($AG$2:AG646),$AG$2:$AG$1001,0),MATCH(COLUMNS($AN$1006:AR1006),$AN$1006:$BO$1006,0)), HYPERLINK("#",""), HYPERLINK(CONCATENATE("#Metadata!", ADDRESS(INDEX($AI$2:$AI$1001,MATCH(ROWS($AG$2:AG646),$AG$2:$AG$1001,0),0), INDEX($AN$1004:$BO$1004,1,MATCH(COLUMNS($AN$1006:AR1006),$AN$1006:$BO$1006,0)))),"Fix")))</f>
        <v>0</v>
      </c>
      <c r="G646" s="4">
        <f>IF(OR(INDEX($AH$2:$AH$1001,MATCH(ROWS($AG$2:AG646),$AG$2:$AG$1001,0),1)&gt;=100000,INDEX($AN$1005:$BO$1005,1,MATCH(COLUMNS($AN$1006:AS1006),$AN$1006:$BO$1006,0))&gt;=100000), " ",IF(INDEX($AN$2:$BO$1001,MATCH(ROWS($AG$2:AG646),$AG$2:$AG$1001,0),MATCH(COLUMNS($AN$1006:AS1006),$AN$1006:$BO$1006,0)), HYPERLINK("#",""), HYPERLINK(CONCATENATE("#Metadata!", ADDRESS(INDEX($AI$2:$AI$1001,MATCH(ROWS($AG$2:AG646),$AG$2:$AG$1001,0),0), INDEX($AN$1004:$BO$1004,1,MATCH(COLUMNS($AN$1006:AS1006),$AN$1006:$BO$1006,0)))),"Fix")))</f>
        <v>0</v>
      </c>
      <c r="H646" s="4">
        <f>IF(OR(INDEX($AH$2:$AH$1001,MATCH(ROWS($AG$2:AG646),$AG$2:$AG$1001,0),1)&gt;=100000,INDEX($AN$1005:$BO$1005,1,MATCH(COLUMNS($AN$1006:AT1006),$AN$1006:$BO$1006,0))&gt;=100000), " ",IF(INDEX($AN$2:$BO$1001,MATCH(ROWS($AG$2:AG646),$AG$2:$AG$1001,0),MATCH(COLUMNS($AN$1006:AT1006),$AN$1006:$BO$1006,0)), HYPERLINK("#",""), HYPERLINK(CONCATENATE("#Metadata!", ADDRESS(INDEX($AI$2:$AI$1001,MATCH(ROWS($AG$2:AG646),$AG$2:$AG$1001,0),0), INDEX($AN$1004:$BO$1004,1,MATCH(COLUMNS($AN$1006:AT1006),$AN$1006:$BO$1006,0)))),"Fix")))</f>
        <v>0</v>
      </c>
      <c r="I646" s="4">
        <f>IF(OR(INDEX($AH$2:$AH$1001,MATCH(ROWS($AG$2:AG646),$AG$2:$AG$1001,0),1)&gt;=100000,INDEX($AN$1005:$BO$1005,1,MATCH(COLUMNS($AN$1006:AU1006),$AN$1006:$BO$1006,0))&gt;=100000), " ",IF(INDEX($AN$2:$BO$1001,MATCH(ROWS($AG$2:AG646),$AG$2:$AG$1001,0),MATCH(COLUMNS($AN$1006:AU1006),$AN$1006:$BO$1006,0)), HYPERLINK("#",""), HYPERLINK(CONCATENATE("#Metadata!", ADDRESS(INDEX($AI$2:$AI$1001,MATCH(ROWS($AG$2:AG646),$AG$2:$AG$1001,0),0), INDEX($AN$1004:$BO$1004,1,MATCH(COLUMNS($AN$1006:AU1006),$AN$1006:$BO$1006,0)))),"Fix")))</f>
        <v>0</v>
      </c>
      <c r="J646" s="4">
        <f>IF(OR(INDEX($AH$2:$AH$1001,MATCH(ROWS($AG$2:AG646),$AG$2:$AG$1001,0),1)&gt;=100000,INDEX($AN$1005:$BO$1005,1,MATCH(COLUMNS($AN$1006:AV1006),$AN$1006:$BO$1006,0))&gt;=100000), " ",IF(INDEX($AN$2:$BO$1001,MATCH(ROWS($AG$2:AG646),$AG$2:$AG$1001,0),MATCH(COLUMNS($AN$1006:AV1006),$AN$1006:$BO$1006,0)), HYPERLINK("#",""), HYPERLINK(CONCATENATE("#Metadata!", ADDRESS(INDEX($AI$2:$AI$1001,MATCH(ROWS($AG$2:AG646),$AG$2:$AG$1001,0),0), INDEX($AN$1004:$BO$1004,1,MATCH(COLUMNS($AN$1006:AV1006),$AN$1006:$BO$1006,0)))),"Fix")))</f>
        <v>0</v>
      </c>
      <c r="K646" s="4">
        <f>IF(OR(INDEX($AH$2:$AH$1001,MATCH(ROWS($AG$2:AG646),$AG$2:$AG$1001,0),1)&gt;=100000,INDEX($AN$1005:$BO$1005,1,MATCH(COLUMNS($AN$1006:AW1006),$AN$1006:$BO$1006,0))&gt;=100000), " ",IF(INDEX($AN$2:$BO$1001,MATCH(ROWS($AG$2:AG646),$AG$2:$AG$1001,0),MATCH(COLUMNS($AN$1006:AW1006),$AN$1006:$BO$1006,0)), HYPERLINK("#",""), HYPERLINK(CONCATENATE("#Metadata!", ADDRESS(INDEX($AI$2:$AI$1001,MATCH(ROWS($AG$2:AG646),$AG$2:$AG$1001,0),0), INDEX($AN$1004:$BO$1004,1,MATCH(COLUMNS($AN$1006:AW1006),$AN$1006:$BO$1006,0)))),"Fix")))</f>
        <v>0</v>
      </c>
      <c r="L646" s="4">
        <f>IF(OR(INDEX($AH$2:$AH$1001,MATCH(ROWS($AG$2:AG646),$AG$2:$AG$1001,0),1)&gt;=100000,INDEX($AN$1005:$BO$1005,1,MATCH(COLUMNS($AN$1006:AX1006),$AN$1006:$BO$1006,0))&gt;=100000), " ",IF(INDEX($AN$2:$BO$1001,MATCH(ROWS($AG$2:AG646),$AG$2:$AG$1001,0),MATCH(COLUMNS($AN$1006:AX1006),$AN$1006:$BO$1006,0)), HYPERLINK("#",""), HYPERLINK(CONCATENATE("#Metadata!", ADDRESS(INDEX($AI$2:$AI$1001,MATCH(ROWS($AG$2:AG646),$AG$2:$AG$1001,0),0), INDEX($AN$1004:$BO$1004,1,MATCH(COLUMNS($AN$1006:AX1006),$AN$1006:$BO$1006,0)))),"Fix")))</f>
        <v>0</v>
      </c>
      <c r="M646" s="4">
        <f>IF(OR(INDEX($AH$2:$AH$1001,MATCH(ROWS($AG$2:AG646),$AG$2:$AG$1001,0),1)&gt;=100000,INDEX($AN$1005:$BO$1005,1,MATCH(COLUMNS($AN$1006:AY1006),$AN$1006:$BO$1006,0))&gt;=100000), " ",IF(INDEX($AN$2:$BO$1001,MATCH(ROWS($AG$2:AG646),$AG$2:$AG$1001,0),MATCH(COLUMNS($AN$1006:AY1006),$AN$1006:$BO$1006,0)), HYPERLINK("#",""), HYPERLINK(CONCATENATE("#Metadata!", ADDRESS(INDEX($AI$2:$AI$1001,MATCH(ROWS($AG$2:AG646),$AG$2:$AG$1001,0),0), INDEX($AN$1004:$BO$1004,1,MATCH(COLUMNS($AN$1006:AY1006),$AN$1006:$BO$1006,0)))),"Fix")))</f>
        <v>0</v>
      </c>
      <c r="N646" s="4">
        <f>IF(OR(INDEX($AH$2:$AH$1001,MATCH(ROWS($AG$2:AG646),$AG$2:$AG$1001,0),1)&gt;=100000,INDEX($AN$1005:$BO$1005,1,MATCH(COLUMNS($AN$1006:AZ1006),$AN$1006:$BO$1006,0))&gt;=100000), " ",IF(INDEX($AN$2:$BO$1001,MATCH(ROWS($AG$2:AG646),$AG$2:$AG$1001,0),MATCH(COLUMNS($AN$1006:AZ1006),$AN$1006:$BO$1006,0)), HYPERLINK("#",""), HYPERLINK(CONCATENATE("#Metadata!", ADDRESS(INDEX($AI$2:$AI$1001,MATCH(ROWS($AG$2:AG646),$AG$2:$AG$1001,0),0), INDEX($AN$1004:$BO$1004,1,MATCH(COLUMNS($AN$1006:AZ1006),$AN$1006:$BO$1006,0)))),"Fix")))</f>
        <v>0</v>
      </c>
      <c r="O646" s="4">
        <f>IF(OR(INDEX($AH$2:$AH$1001,MATCH(ROWS($AG$2:AG646),$AG$2:$AG$1001,0),1)&gt;=100000,INDEX($AN$1005:$BO$1005,1,MATCH(COLUMNS($AN$1006:BA1006),$AN$1006:$BO$1006,0))&gt;=100000), " ",IF(INDEX($AN$2:$BO$1001,MATCH(ROWS($AG$2:AG646),$AG$2:$AG$1001,0),MATCH(COLUMNS($AN$1006:BA1006),$AN$1006:$BO$1006,0)), HYPERLINK("#",""), HYPERLINK(CONCATENATE("#Metadata!", ADDRESS(INDEX($AI$2:$AI$1001,MATCH(ROWS($AG$2:AG646),$AG$2:$AG$1001,0),0), INDEX($AN$1004:$BO$1004,1,MATCH(COLUMNS($AN$1006:BA1006),$AN$1006:$BO$1006,0)))),"Fix")))</f>
        <v>0</v>
      </c>
      <c r="P646" s="4">
        <f>IF(OR(INDEX($AH$2:$AH$1001,MATCH(ROWS($AG$2:AG646),$AG$2:$AG$1001,0),1)&gt;=100000,INDEX($AN$1005:$BO$1005,1,MATCH(COLUMNS($AN$1006:BB1006),$AN$1006:$BO$1006,0))&gt;=100000), " ",IF(INDEX($AN$2:$BO$1001,MATCH(ROWS($AG$2:AG646),$AG$2:$AG$1001,0),MATCH(COLUMNS($AN$1006:BB1006),$AN$1006:$BO$1006,0)), HYPERLINK("#",""), HYPERLINK(CONCATENATE("#Metadata!", ADDRESS(INDEX($AI$2:$AI$1001,MATCH(ROWS($AG$2:AG646),$AG$2:$AG$1001,0),0), INDEX($AN$1004:$BO$1004,1,MATCH(COLUMNS($AN$1006:BB1006),$AN$1006:$BO$1006,0)))),"Fix")))</f>
        <v>0</v>
      </c>
      <c r="Q646" s="4">
        <f>IF(OR(INDEX($AH$2:$AH$1001,MATCH(ROWS($AG$2:AG646),$AG$2:$AG$1001,0),1)&gt;=100000,INDEX($AN$1005:$BO$1005,1,MATCH(COLUMNS($AN$1006:BC1006),$AN$1006:$BO$1006,0))&gt;=100000), " ",IF(INDEX($AN$2:$BO$1001,MATCH(ROWS($AG$2:AG646),$AG$2:$AG$1001,0),MATCH(COLUMNS($AN$1006:BC1006),$AN$1006:$BO$1006,0)), HYPERLINK("#",""), HYPERLINK(CONCATENATE("#Metadata!", ADDRESS(INDEX($AI$2:$AI$1001,MATCH(ROWS($AG$2:AG646),$AG$2:$AG$1001,0),0), INDEX($AN$1004:$BO$1004,1,MATCH(COLUMNS($AN$1006:BC1006),$AN$1006:$BO$1006,0)))),"Fix")))</f>
        <v>0</v>
      </c>
      <c r="R646" s="4">
        <f>IF(OR(INDEX($AH$2:$AH$1001,MATCH(ROWS($AG$2:AG646),$AG$2:$AG$1001,0),1)&gt;=100000,INDEX($AN$1005:$BO$1005,1,MATCH(COLUMNS($AN$1006:BD1006),$AN$1006:$BO$1006,0))&gt;=100000), " ",IF(INDEX($AN$2:$BO$1001,MATCH(ROWS($AG$2:AG646),$AG$2:$AG$1001,0),MATCH(COLUMNS($AN$1006:BD1006),$AN$1006:$BO$1006,0)), HYPERLINK("#",""), HYPERLINK(CONCATENATE("#Metadata!", ADDRESS(INDEX($AI$2:$AI$1001,MATCH(ROWS($AG$2:AG646),$AG$2:$AG$1001,0),0), INDEX($AN$1004:$BO$1004,1,MATCH(COLUMNS($AN$1006:BD1006),$AN$1006:$BO$1006,0)))),"Fix")))</f>
        <v>0</v>
      </c>
      <c r="S646" s="4">
        <f>IF(OR(INDEX($AH$2:$AH$1001,MATCH(ROWS($AG$2:AG646),$AG$2:$AG$1001,0),1)&gt;=100000,INDEX($AN$1005:$BO$1005,1,MATCH(COLUMNS($AN$1006:BE1006),$AN$1006:$BO$1006,0))&gt;=100000), " ",IF(INDEX($AN$2:$BO$1001,MATCH(ROWS($AG$2:AG646),$AG$2:$AG$1001,0),MATCH(COLUMNS($AN$1006:BE1006),$AN$1006:$BO$1006,0)), HYPERLINK("#",""), HYPERLINK(CONCATENATE("#Metadata!", ADDRESS(INDEX($AI$2:$AI$1001,MATCH(ROWS($AG$2:AG646),$AG$2:$AG$1001,0),0), INDEX($AN$1004:$BO$1004,1,MATCH(COLUMNS($AN$1006:BE1006),$AN$1006:$BO$1006,0)))),"Fix")))</f>
        <v>0</v>
      </c>
      <c r="T646" s="4">
        <f>IF(OR(INDEX($AH$2:$AH$1001,MATCH(ROWS($AG$2:AG646),$AG$2:$AG$1001,0),1)&gt;=100000,INDEX($AN$1005:$BO$1005,1,MATCH(COLUMNS($AN$1006:BF1006),$AN$1006:$BO$1006,0))&gt;=100000), " ",IF(INDEX($AN$2:$BO$1001,MATCH(ROWS($AG$2:AG646),$AG$2:$AG$1001,0),MATCH(COLUMNS($AN$1006:BF1006),$AN$1006:$BO$1006,0)), HYPERLINK("#",""), HYPERLINK(CONCATENATE("#Metadata!", ADDRESS(INDEX($AI$2:$AI$1001,MATCH(ROWS($AG$2:AG646),$AG$2:$AG$1001,0),0), INDEX($AN$1004:$BO$1004,1,MATCH(COLUMNS($AN$1006:BF1006),$AN$1006:$BO$1006,0)))),"Fix")))</f>
        <v>0</v>
      </c>
      <c r="U646" s="4">
        <f>IF(OR(INDEX($AH$2:$AH$1001,MATCH(ROWS($AG$2:AG646),$AG$2:$AG$1001,0),1)&gt;=100000,INDEX($AN$1005:$BO$1005,1,MATCH(COLUMNS($AN$1006:BG1006),$AN$1006:$BO$1006,0))&gt;=100000), " ",IF(INDEX($AN$2:$BO$1001,MATCH(ROWS($AG$2:AG646),$AG$2:$AG$1001,0),MATCH(COLUMNS($AN$1006:BG1006),$AN$1006:$BO$1006,0)), HYPERLINK("#",""), HYPERLINK(CONCATENATE("#Metadata!", ADDRESS(INDEX($AI$2:$AI$1001,MATCH(ROWS($AG$2:AG646),$AG$2:$AG$1001,0),0), INDEX($AN$1004:$BO$1004,1,MATCH(COLUMNS($AN$1006:BG1006),$AN$1006:$BO$1006,0)))),"Fix")))</f>
        <v>0</v>
      </c>
      <c r="V646" s="4">
        <f>IF(OR(INDEX($AH$2:$AH$1001,MATCH(ROWS($AG$2:AG646),$AG$2:$AG$1001,0),1)&gt;=100000,INDEX($AN$1005:$BO$1005,1,MATCH(COLUMNS($AN$1006:BH1006),$AN$1006:$BO$1006,0))&gt;=100000), " ",IF(INDEX($AN$2:$BO$1001,MATCH(ROWS($AG$2:AG646),$AG$2:$AG$1001,0),MATCH(COLUMNS($AN$1006:BH1006),$AN$1006:$BO$1006,0)), HYPERLINK("#",""), HYPERLINK(CONCATENATE("#Metadata!", ADDRESS(INDEX($AI$2:$AI$1001,MATCH(ROWS($AG$2:AG646),$AG$2:$AG$1001,0),0), INDEX($AN$1004:$BO$1004,1,MATCH(COLUMNS($AN$1006:BH1006),$AN$1006:$BO$1006,0)))),"Fix")))</f>
        <v>0</v>
      </c>
      <c r="W646" s="4">
        <f>IF(OR(INDEX($AH$2:$AH$1001,MATCH(ROWS($AG$2:AG646),$AG$2:$AG$1001,0),1)&gt;=100000,INDEX($AN$1005:$BO$1005,1,MATCH(COLUMNS($AN$1006:BI1006),$AN$1006:$BO$1006,0))&gt;=100000), " ",IF(INDEX($AN$2:$BO$1001,MATCH(ROWS($AG$2:AG646),$AG$2:$AG$1001,0),MATCH(COLUMNS($AN$1006:BI1006),$AN$1006:$BO$1006,0)), HYPERLINK("#",""), HYPERLINK(CONCATENATE("#Metadata!", ADDRESS(INDEX($AI$2:$AI$1001,MATCH(ROWS($AG$2:AG646),$AG$2:$AG$1001,0),0), INDEX($AN$1004:$BO$1004,1,MATCH(COLUMNS($AN$1006:BI1006),$AN$1006:$BO$1006,0)))),"Fix")))</f>
        <v>0</v>
      </c>
      <c r="X646" s="4">
        <f>IF(OR(INDEX($AH$2:$AH$1001,MATCH(ROWS($AG$2:AG646),$AG$2:$AG$1001,0),1)&gt;=100000,INDEX($AN$1005:$BO$1005,1,MATCH(COLUMNS($AN$1006:BJ1006),$AN$1006:$BO$1006,0))&gt;=100000), " ",IF(INDEX($AN$2:$BO$1001,MATCH(ROWS($AG$2:AG646),$AG$2:$AG$1001,0),MATCH(COLUMNS($AN$1006:BJ1006),$AN$1006:$BO$1006,0)), HYPERLINK("#",""), HYPERLINK(CONCATENATE("#Metadata!", ADDRESS(INDEX($AI$2:$AI$1001,MATCH(ROWS($AG$2:AG646),$AG$2:$AG$1001,0),0), INDEX($AN$1004:$BO$1004,1,MATCH(COLUMNS($AN$1006:BJ1006),$AN$1006:$BO$1006,0)))),"Fix")))</f>
        <v>0</v>
      </c>
      <c r="Y646" s="4">
        <f>IF(OR(INDEX($AH$2:$AH$1001,MATCH(ROWS($AG$2:AG646),$AG$2:$AG$1001,0),1)&gt;=100000,INDEX($AN$1005:$BO$1005,1,MATCH(COLUMNS($AN$1006:BK1006),$AN$1006:$BO$1006,0))&gt;=100000), " ",IF(INDEX($AN$2:$BO$1001,MATCH(ROWS($AG$2:AG646),$AG$2:$AG$1001,0),MATCH(COLUMNS($AN$1006:BK1006),$AN$1006:$BO$1006,0)), HYPERLINK("#",""), HYPERLINK(CONCATENATE("#Metadata!", ADDRESS(INDEX($AI$2:$AI$1001,MATCH(ROWS($AG$2:AG646),$AG$2:$AG$1001,0),0), INDEX($AN$1004:$BO$1004,1,MATCH(COLUMNS($AN$1006:BK1006),$AN$1006:$BO$1006,0)))),"Fix")))</f>
        <v>0</v>
      </c>
      <c r="Z646" s="4">
        <f>IF(OR(INDEX($AH$2:$AH$1001,MATCH(ROWS($AG$2:AG646),$AG$2:$AG$1001,0),1)&gt;=100000,INDEX($AN$1005:$BO$1005,1,MATCH(COLUMNS($AN$1006:BL1006),$AN$1006:$BO$1006,0))&gt;=100000), " ",IF(INDEX($AN$2:$BO$1001,MATCH(ROWS($AG$2:AG646),$AG$2:$AG$1001,0),MATCH(COLUMNS($AN$1006:BL1006),$AN$1006:$BO$1006,0)), HYPERLINK("#",""), HYPERLINK(CONCATENATE("#Metadata!", ADDRESS(INDEX($AI$2:$AI$1001,MATCH(ROWS($AG$2:AG646),$AG$2:$AG$1001,0),0), INDEX($AN$1004:$BO$1004,1,MATCH(COLUMNS($AN$1006:BL1006),$AN$1006:$BO$1006,0)))),"Fix")))</f>
        <v>0</v>
      </c>
      <c r="AA646" s="4">
        <f>IF(OR(INDEX($AH$2:$AH$1001,MATCH(ROWS($AG$2:AG646),$AG$2:$AG$1001,0),1)&gt;=100000,INDEX($AN$1005:$BO$1005,1,MATCH(COLUMNS($AN$1006:BM1006),$AN$1006:$BO$1006,0))&gt;=100000), " ",IF(INDEX($AN$2:$BO$1001,MATCH(ROWS($AG$2:AG646),$AG$2:$AG$1001,0),MATCH(COLUMNS($AN$1006:BM1006),$AN$1006:$BO$1006,0)), HYPERLINK("#",""), HYPERLINK(CONCATENATE("#Metadata!", ADDRESS(INDEX($AI$2:$AI$1001,MATCH(ROWS($AG$2:AG646),$AG$2:$AG$1001,0),0), INDEX($AN$1004:$BO$1004,1,MATCH(COLUMNS($AN$1006:BM1006),$AN$1006:$BO$1006,0)))),"Fix")))</f>
        <v>0</v>
      </c>
      <c r="AB646" s="4">
        <f>IF(OR(INDEX($AH$2:$AH$1001,MATCH(ROWS($AG$2:AG646),$AG$2:$AG$1001,0),1)&gt;=100000,INDEX($AN$1005:$BO$1005,1,MATCH(COLUMNS($AN$1006:BN1006),$AN$1006:$BO$1006,0))&gt;=100000), " ",IF(INDEX($AN$2:$BO$1001,MATCH(ROWS($AG$2:AG646),$AG$2:$AG$1001,0),MATCH(COLUMNS($AN$1006:BN1006),$AN$1006:$BO$1006,0)), HYPERLINK("#",""), HYPERLINK(CONCATENATE("#Metadata!", ADDRESS(INDEX($AI$2:$AI$1001,MATCH(ROWS($AG$2:AG646),$AG$2:$AG$1001,0),0), INDEX($AN$1004:$BO$1004,1,MATCH(COLUMNS($AN$1006:BN1006),$AN$1006:$BO$1006,0)))),"Fix")))</f>
        <v>0</v>
      </c>
      <c r="AC646" s="4">
        <f>IF(OR(INDEX($AH$2:$AH$1001,MATCH(ROWS($AG$2:AG646),$AG$2:$AG$1001,0),1)&gt;=100000,INDEX($AN$1005:$BO$1005,1,MATCH(COLUMNS($AN$1006:BO1006),$AN$1006:$BO$1006,0))&gt;=100000), " ",IF(INDEX($AN$2:$BO$1001,MATCH(ROWS($AG$2:AG646),$AG$2:$AG$1001,0),MATCH(COLUMNS($AN$1006:BO1006),$AN$1006:$BO$1006,0)), HYPERLINK("#",""), HYPERLINK(CONCATENATE("#Metadata!", ADDRESS(INDEX($AI$2:$AI$1001,MATCH(ROWS($AG$2:AG646),$AG$2:$AG$1001,0),0), INDEX($AN$1004:$BO$1004,1,MATCH(COLUMNS($AN$1006:BO1006),$AN$1006:$BO$1006,0)))),"Fix")))</f>
        <v>0</v>
      </c>
      <c r="AG646">
        <v>0</v>
      </c>
      <c r="AH646">
        <v>0</v>
      </c>
      <c r="AI646">
        <v>0</v>
      </c>
      <c r="AJ646">
        <f>IF(AK646,TRUE,AND(AN646:BO646))</f>
        <v>0</v>
      </c>
      <c r="AK646">
        <f>COUNTBLANK(Metadata!B646:AC646)=COLUMNS(Metadata!B646:AC646)</f>
        <v>0</v>
      </c>
      <c r="AL646">
        <v>0</v>
      </c>
      <c r="AN646">
        <f>AND(IF(Metadata!B646="",FALSE,TRUE),COUNTIF(Metadata!B:B, Metadata!B646) = 1,NOT(ISERROR(SUMPRODUCT(SEARCH(MID(Metadata!B646,ROW(INDIRECT("1:"&amp;LEN(Metadata!B646))), 1),"0123456789abcdefghijklmnopqrstuvwxyzABCDEFGHIJKLMNOPQRSTUVWXYZ.")))))</f>
        <v>0</v>
      </c>
      <c r="AO646">
        <f>IF(Metadata!C646="",FALSE,TRUE)</f>
        <v>0</v>
      </c>
      <c r="AP646">
        <f>IF(Metadata!D646="",FALSE,TRUE)</f>
        <v>0</v>
      </c>
      <c r="AQ646">
        <f>OR(AND(IF(Metadata!E646="",FALSE,TRUE),OR(exact(Metadata!E646,"not collected"),exact(Metadata!E646,"not provided"),exact(Metadata!E646,"restricted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R646">
        <f>IF(Metadata!F646="",FALSE,TRUE)</f>
        <v>0</v>
      </c>
      <c r="AS646">
        <f>OR(AND(IF(Metadata!G646="",FALSE,TRUE),OR(exact(Metadata!G646,"not collected"),exact(Metadata!G646,"not provided"))),AND(IF(Metadata!G646="",FALSE,TRUE),OR(exact(Metadata!G646,"TRUE"),exact(Metadata!G646,"FALSE"))))</f>
        <v>0</v>
      </c>
      <c r="AT646">
        <f>OR(AND(IF(Metadata!H646="",FALSE,TRUE),OR(exact(Metadata!H646,"not collected"),exact(Metadata!H646,"not provided"),exact(Metadata!H646,"restricted access"))),AND(IF(Metadata!H646="",FALSE,ISNUMBER(VALUE(Metadata!H646))),Metadata!H646&gt;=-413.0))</f>
        <v>0</v>
      </c>
      <c r="AU646">
        <f>AND(IF(Metadata!I646="",FALSE,TRUE),exact(Metadata!I646,"meters"))</f>
        <v>0</v>
      </c>
      <c r="AV646">
        <f>AND(IF(Metadata!J646="",FALSE,TRUE),OR(exact(Metadata!J646,"Host-associated"),exact(Metadata!J646,"Free-living")))</f>
        <v>0</v>
      </c>
      <c r="AW646">
        <f>AND(IF(Metadata!K646="",FALSE,TRUE),OR(exact(Metadata!K646,"Animal"),exact(Metadata!K646,"Fungus"),exact(Metadata!K646,"Plant"),exact(Metadata!K646,"Saline"),exact(Metadata!K646,"Non-saline")))</f>
        <v>0</v>
      </c>
      <c r="AX646">
        <f>AND(IF(Metadata!L646="",FALSE,TRUE),OR(exact(Metadata!L646,"Plant secretion"),exact(Metadata!L646,"Plant rhizosphere"),exact(Metadata!L646,"Plant surface"),exact(Metadata!L646,"Plant corpus"),exact(Metadata!L646,"Fungus surface"),exact(Metadata!L646,"Fungus corpus"),exact(Metadata!L646,"Animal surface"),exact(Metadata!L646,"Animal proximal gut"),exact(Metadata!L646,"Animal corpus"),exact(Metadata!L646,"Animal distal gut"),exact(Metadata!L646,"Animal secretion"),exact(Metadata!L646,"Sub-surface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Y646">
        <f>IF(Metadata!M646="",FALSE,TRUE)</f>
        <v>0</v>
      </c>
      <c r="AZ646">
        <f>IF(Metadata!N646="",FALSE,TRUE)</f>
        <v>0</v>
      </c>
      <c r="BA646">
        <f>IF(Metadata!O646="",FALSE,TRUE)</f>
        <v>0</v>
      </c>
      <c r="BB646">
        <f>OR(AND(IF(Metadata!P646="",FALSE,TRUE),OR(exact(Metadata!P646,"not collected"),exact(Metadata!P646,"not provided"),exact(Metadata!P646,"restricted access"))),AND(IF(Metadata!P646="",FALSE,TRUE),OR(exact(Metadata!P646,"air"),exact(Metadata!P646,"built environment"),exact(Metadata!P646,"host-associated"),exact(Metadata!P646,"human-associated"),exact(Metadata!P646,"human-skin"),exact(Metadata!P646,"human-oral"),exact(Metadata!P646,"human-gut"),exact(Metadata!P646,"human-vaginal"),exact(Metadata!P646,"microbial mat/biofilm"),exact(Metadata!P646,"misc environment"),exact(Metadata!P646,"plant-associated"),exact(Metadata!P646,"sediment"),exact(Metadata!P646,"soil"),exact(Metadata!P646,"wastewater/sludge"),exact(Metadata!P646,"water"))))</f>
        <v>0</v>
      </c>
      <c r="BC646">
        <f>IF(Metadata!Q646="",FALSE,TRUE)</f>
        <v>0</v>
      </c>
      <c r="BD646">
        <f>IF(Metadata!R646="",FALSE,TRUE)</f>
        <v>0</v>
      </c>
      <c r="BE646">
        <f>OR(AND(IF(Metadata!S646="",FALSE,TRUE),OR(exact(Metadata!S646,"not collected"),exact(Metadata!S646,"not provided"),exact(Metadata!S646,"restricted access"))),AND(IF(Metadata!S646="",FALSE,ISNUMBER(VALUE(Metadata!S646))),Metadata!S646&gt;=-90.00,Metadata!S646&lt;=90.00))</f>
        <v>0</v>
      </c>
      <c r="BF646">
        <f>AND(IF(Metadata!T646="",FALSE,TRUE),exact(Metadata!T646,"Decimal degrees"))</f>
        <v>0</v>
      </c>
      <c r="BG646">
        <f>OR(AND(IF(Metadata!U646="",FALSE,TRUE),OR(exact(Metadata!U646,"not collected"),exact(Metadata!U646,"not provided"),exact(Metadata!U646,"restricted access"))),AND(IF(Metadata!U646="",FALSE,ISNUMBER(VALUE(Metadata!U646))),Metadata!U646&gt;=-180.00,Metadata!U646&lt;=180.00))</f>
        <v>0</v>
      </c>
      <c r="BH646">
        <f>AND(IF(Metadata!V646="",FALSE,TRUE),exact(Metadata!V646,"Decimal degrees"))</f>
        <v>0</v>
      </c>
      <c r="BI646">
        <f>IF(Metadata!W646="",FALSE,TRUE)</f>
        <v>0</v>
      </c>
      <c r="BJ646">
        <f>OR(AND(IF(Metadata!X646="",FALSE,TRUE),OR(exact(Metadata!X646,"not collected"),exact(Metadata!X646,"not provided"),exact(Metadata!X646,"restricted access"))),AND(IF(Metadata!X646="",FALSE,TRUE),OR(exact(Metadata!X646,"TRUE"),exact(Metadata!X646,"FALSE"))))</f>
        <v>0</v>
      </c>
      <c r="BK646">
        <f>AND(IF(Metadata!Y646="",FALSE,TRUE),exact(Metadata!Y646,"other"))</f>
        <v>0</v>
      </c>
      <c r="BL646">
        <f>IF(Metadata!Z646="",FALSE,TRUE)</f>
        <v>0</v>
      </c>
      <c r="BM646">
        <f>OR(AND(IF(Metadata!AA646="",FALSE,TRUE),OR(exact(Metadata!AA646,"not collected"),exact(Metadata!AA646,"not provided"))),AND(IF(Metadata!AA646="",FALSE,IF(ISERROR(INT(Metadata!AA646)),FALSE,INT(Metadata!AA646)=Metadata!AA646)),Metadata!AA646&gt;0))</f>
        <v>0</v>
      </c>
      <c r="BN646">
        <f>AND(IF(Metadata!AB646="",FALSE,TRUE),exact(Metadata!AB646,"Not applicable"))</f>
        <v>0</v>
      </c>
      <c r="BO646">
        <f>IF(Metadata!AC646="",FALSE,TRUE)</f>
        <v>0</v>
      </c>
    </row>
    <row r="647" spans="1:67">
      <c r="A647" s="5">
        <f>IF(B647=" "," ",HYPERLINK(CONCATENATE("#metadata!",ADDRESS(INDEX($AI$2:$AI$1001,MATCH(ROWS($AG$2:AG647),$AG$2:$AG$1001,0),0),1)),INDEX($AL$2:$AL$1001,MATCH(ROWS($AG$2:AG647),$AG$2:$AG$1001,0),0)))</f>
        <v>0</v>
      </c>
      <c r="B647" s="4">
        <f>IF(OR(INDEX($AH$2:$AH$1001,MATCH(ROWS($AG$2:AG647),$AG$2:$AG$1001,0),1)&gt;=100000,INDEX($AN$1005:$BO$1005,1,MATCH(COLUMNS($AN$1006:AN1006),$AN$1006:$BO$1006,0))&gt;=100000), " ",IF(INDEX($AN$2:$BO$1001,MATCH(ROWS($AG$2:AG647),$AG$2:$AG$1001,0),MATCH(COLUMNS($AN$1006:AN1006),$AN$1006:$BO$1006,0)), HYPERLINK("#",""), HYPERLINK(CONCATENATE("#Metadata!", ADDRESS(INDEX($AI$2:$AI$1001,MATCH(ROWS($AG$2:AG647),$AG$2:$AG$1001,0),0), INDEX($AN$1004:$BO$1004,1,MATCH(COLUMNS($AN$1006:AN1006),$AN$1006:$BO$1006,0)))),"Fix")))</f>
        <v>0</v>
      </c>
      <c r="C647" s="4">
        <f>IF(OR(INDEX($AH$2:$AH$1001,MATCH(ROWS($AG$2:AG647),$AG$2:$AG$1001,0),1)&gt;=100000,INDEX($AN$1005:$BO$1005,1,MATCH(COLUMNS($AN$1006:AO1006),$AN$1006:$BO$1006,0))&gt;=100000), " ",IF(INDEX($AN$2:$BO$1001,MATCH(ROWS($AG$2:AG647),$AG$2:$AG$1001,0),MATCH(COLUMNS($AN$1006:AO1006),$AN$1006:$BO$1006,0)), HYPERLINK("#",""), HYPERLINK(CONCATENATE("#Metadata!", ADDRESS(INDEX($AI$2:$AI$1001,MATCH(ROWS($AG$2:AG647),$AG$2:$AG$1001,0),0), INDEX($AN$1004:$BO$1004,1,MATCH(COLUMNS($AN$1006:AO1006),$AN$1006:$BO$1006,0)))),"Fix")))</f>
        <v>0</v>
      </c>
      <c r="D647" s="4">
        <f>IF(OR(INDEX($AH$2:$AH$1001,MATCH(ROWS($AG$2:AG647),$AG$2:$AG$1001,0),1)&gt;=100000,INDEX($AN$1005:$BO$1005,1,MATCH(COLUMNS($AN$1006:AP1006),$AN$1006:$BO$1006,0))&gt;=100000), " ",IF(INDEX($AN$2:$BO$1001,MATCH(ROWS($AG$2:AG647),$AG$2:$AG$1001,0),MATCH(COLUMNS($AN$1006:AP1006),$AN$1006:$BO$1006,0)), HYPERLINK("#",""), HYPERLINK(CONCATENATE("#Metadata!", ADDRESS(INDEX($AI$2:$AI$1001,MATCH(ROWS($AG$2:AG647),$AG$2:$AG$1001,0),0), INDEX($AN$1004:$BO$1004,1,MATCH(COLUMNS($AN$1006:AP1006),$AN$1006:$BO$1006,0)))),"Fix")))</f>
        <v>0</v>
      </c>
      <c r="E647" s="4">
        <f>IF(OR(INDEX($AH$2:$AH$1001,MATCH(ROWS($AG$2:AG647),$AG$2:$AG$1001,0),1)&gt;=100000,INDEX($AN$1005:$BO$1005,1,MATCH(COLUMNS($AN$1006:AQ1006),$AN$1006:$BO$1006,0))&gt;=100000), " ",IF(INDEX($AN$2:$BO$1001,MATCH(ROWS($AG$2:AG647),$AG$2:$AG$1001,0),MATCH(COLUMNS($AN$1006:AQ1006),$AN$1006:$BO$1006,0)), HYPERLINK("#",""), HYPERLINK(CONCATENATE("#Metadata!", ADDRESS(INDEX($AI$2:$AI$1001,MATCH(ROWS($AG$2:AG647),$AG$2:$AG$1001,0),0), INDEX($AN$1004:$BO$1004,1,MATCH(COLUMNS($AN$1006:AQ1006),$AN$1006:$BO$1006,0)))),"Fix")))</f>
        <v>0</v>
      </c>
      <c r="F647" s="4">
        <f>IF(OR(INDEX($AH$2:$AH$1001,MATCH(ROWS($AG$2:AG647),$AG$2:$AG$1001,0),1)&gt;=100000,INDEX($AN$1005:$BO$1005,1,MATCH(COLUMNS($AN$1006:AR1006),$AN$1006:$BO$1006,0))&gt;=100000), " ",IF(INDEX($AN$2:$BO$1001,MATCH(ROWS($AG$2:AG647),$AG$2:$AG$1001,0),MATCH(COLUMNS($AN$1006:AR1006),$AN$1006:$BO$1006,0)), HYPERLINK("#",""), HYPERLINK(CONCATENATE("#Metadata!", ADDRESS(INDEX($AI$2:$AI$1001,MATCH(ROWS($AG$2:AG647),$AG$2:$AG$1001,0),0), INDEX($AN$1004:$BO$1004,1,MATCH(COLUMNS($AN$1006:AR1006),$AN$1006:$BO$1006,0)))),"Fix")))</f>
        <v>0</v>
      </c>
      <c r="G647" s="4">
        <f>IF(OR(INDEX($AH$2:$AH$1001,MATCH(ROWS($AG$2:AG647),$AG$2:$AG$1001,0),1)&gt;=100000,INDEX($AN$1005:$BO$1005,1,MATCH(COLUMNS($AN$1006:AS1006),$AN$1006:$BO$1006,0))&gt;=100000), " ",IF(INDEX($AN$2:$BO$1001,MATCH(ROWS($AG$2:AG647),$AG$2:$AG$1001,0),MATCH(COLUMNS($AN$1006:AS1006),$AN$1006:$BO$1006,0)), HYPERLINK("#",""), HYPERLINK(CONCATENATE("#Metadata!", ADDRESS(INDEX($AI$2:$AI$1001,MATCH(ROWS($AG$2:AG647),$AG$2:$AG$1001,0),0), INDEX($AN$1004:$BO$1004,1,MATCH(COLUMNS($AN$1006:AS1006),$AN$1006:$BO$1006,0)))),"Fix")))</f>
        <v>0</v>
      </c>
      <c r="H647" s="4">
        <f>IF(OR(INDEX($AH$2:$AH$1001,MATCH(ROWS($AG$2:AG647),$AG$2:$AG$1001,0),1)&gt;=100000,INDEX($AN$1005:$BO$1005,1,MATCH(COLUMNS($AN$1006:AT1006),$AN$1006:$BO$1006,0))&gt;=100000), " ",IF(INDEX($AN$2:$BO$1001,MATCH(ROWS($AG$2:AG647),$AG$2:$AG$1001,0),MATCH(COLUMNS($AN$1006:AT1006),$AN$1006:$BO$1006,0)), HYPERLINK("#",""), HYPERLINK(CONCATENATE("#Metadata!", ADDRESS(INDEX($AI$2:$AI$1001,MATCH(ROWS($AG$2:AG647),$AG$2:$AG$1001,0),0), INDEX($AN$1004:$BO$1004,1,MATCH(COLUMNS($AN$1006:AT1006),$AN$1006:$BO$1006,0)))),"Fix")))</f>
        <v>0</v>
      </c>
      <c r="I647" s="4">
        <f>IF(OR(INDEX($AH$2:$AH$1001,MATCH(ROWS($AG$2:AG647),$AG$2:$AG$1001,0),1)&gt;=100000,INDEX($AN$1005:$BO$1005,1,MATCH(COLUMNS($AN$1006:AU1006),$AN$1006:$BO$1006,0))&gt;=100000), " ",IF(INDEX($AN$2:$BO$1001,MATCH(ROWS($AG$2:AG647),$AG$2:$AG$1001,0),MATCH(COLUMNS($AN$1006:AU1006),$AN$1006:$BO$1006,0)), HYPERLINK("#",""), HYPERLINK(CONCATENATE("#Metadata!", ADDRESS(INDEX($AI$2:$AI$1001,MATCH(ROWS($AG$2:AG647),$AG$2:$AG$1001,0),0), INDEX($AN$1004:$BO$1004,1,MATCH(COLUMNS($AN$1006:AU1006),$AN$1006:$BO$1006,0)))),"Fix")))</f>
        <v>0</v>
      </c>
      <c r="J647" s="4">
        <f>IF(OR(INDEX($AH$2:$AH$1001,MATCH(ROWS($AG$2:AG647),$AG$2:$AG$1001,0),1)&gt;=100000,INDEX($AN$1005:$BO$1005,1,MATCH(COLUMNS($AN$1006:AV1006),$AN$1006:$BO$1006,0))&gt;=100000), " ",IF(INDEX($AN$2:$BO$1001,MATCH(ROWS($AG$2:AG647),$AG$2:$AG$1001,0),MATCH(COLUMNS($AN$1006:AV1006),$AN$1006:$BO$1006,0)), HYPERLINK("#",""), HYPERLINK(CONCATENATE("#Metadata!", ADDRESS(INDEX($AI$2:$AI$1001,MATCH(ROWS($AG$2:AG647),$AG$2:$AG$1001,0),0), INDEX($AN$1004:$BO$1004,1,MATCH(COLUMNS($AN$1006:AV1006),$AN$1006:$BO$1006,0)))),"Fix")))</f>
        <v>0</v>
      </c>
      <c r="K647" s="4">
        <f>IF(OR(INDEX($AH$2:$AH$1001,MATCH(ROWS($AG$2:AG647),$AG$2:$AG$1001,0),1)&gt;=100000,INDEX($AN$1005:$BO$1005,1,MATCH(COLUMNS($AN$1006:AW1006),$AN$1006:$BO$1006,0))&gt;=100000), " ",IF(INDEX($AN$2:$BO$1001,MATCH(ROWS($AG$2:AG647),$AG$2:$AG$1001,0),MATCH(COLUMNS($AN$1006:AW1006),$AN$1006:$BO$1006,0)), HYPERLINK("#",""), HYPERLINK(CONCATENATE("#Metadata!", ADDRESS(INDEX($AI$2:$AI$1001,MATCH(ROWS($AG$2:AG647),$AG$2:$AG$1001,0),0), INDEX($AN$1004:$BO$1004,1,MATCH(COLUMNS($AN$1006:AW1006),$AN$1006:$BO$1006,0)))),"Fix")))</f>
        <v>0</v>
      </c>
      <c r="L647" s="4">
        <f>IF(OR(INDEX($AH$2:$AH$1001,MATCH(ROWS($AG$2:AG647),$AG$2:$AG$1001,0),1)&gt;=100000,INDEX($AN$1005:$BO$1005,1,MATCH(COLUMNS($AN$1006:AX1006),$AN$1006:$BO$1006,0))&gt;=100000), " ",IF(INDEX($AN$2:$BO$1001,MATCH(ROWS($AG$2:AG647),$AG$2:$AG$1001,0),MATCH(COLUMNS($AN$1006:AX1006),$AN$1006:$BO$1006,0)), HYPERLINK("#",""), HYPERLINK(CONCATENATE("#Metadata!", ADDRESS(INDEX($AI$2:$AI$1001,MATCH(ROWS($AG$2:AG647),$AG$2:$AG$1001,0),0), INDEX($AN$1004:$BO$1004,1,MATCH(COLUMNS($AN$1006:AX1006),$AN$1006:$BO$1006,0)))),"Fix")))</f>
        <v>0</v>
      </c>
      <c r="M647" s="4">
        <f>IF(OR(INDEX($AH$2:$AH$1001,MATCH(ROWS($AG$2:AG647),$AG$2:$AG$1001,0),1)&gt;=100000,INDEX($AN$1005:$BO$1005,1,MATCH(COLUMNS($AN$1006:AY1006),$AN$1006:$BO$1006,0))&gt;=100000), " ",IF(INDEX($AN$2:$BO$1001,MATCH(ROWS($AG$2:AG647),$AG$2:$AG$1001,0),MATCH(COLUMNS($AN$1006:AY1006),$AN$1006:$BO$1006,0)), HYPERLINK("#",""), HYPERLINK(CONCATENATE("#Metadata!", ADDRESS(INDEX($AI$2:$AI$1001,MATCH(ROWS($AG$2:AG647),$AG$2:$AG$1001,0),0), INDEX($AN$1004:$BO$1004,1,MATCH(COLUMNS($AN$1006:AY1006),$AN$1006:$BO$1006,0)))),"Fix")))</f>
        <v>0</v>
      </c>
      <c r="N647" s="4">
        <f>IF(OR(INDEX($AH$2:$AH$1001,MATCH(ROWS($AG$2:AG647),$AG$2:$AG$1001,0),1)&gt;=100000,INDEX($AN$1005:$BO$1005,1,MATCH(COLUMNS($AN$1006:AZ1006),$AN$1006:$BO$1006,0))&gt;=100000), " ",IF(INDEX($AN$2:$BO$1001,MATCH(ROWS($AG$2:AG647),$AG$2:$AG$1001,0),MATCH(COLUMNS($AN$1006:AZ1006),$AN$1006:$BO$1006,0)), HYPERLINK("#",""), HYPERLINK(CONCATENATE("#Metadata!", ADDRESS(INDEX($AI$2:$AI$1001,MATCH(ROWS($AG$2:AG647),$AG$2:$AG$1001,0),0), INDEX($AN$1004:$BO$1004,1,MATCH(COLUMNS($AN$1006:AZ1006),$AN$1006:$BO$1006,0)))),"Fix")))</f>
        <v>0</v>
      </c>
      <c r="O647" s="4">
        <f>IF(OR(INDEX($AH$2:$AH$1001,MATCH(ROWS($AG$2:AG647),$AG$2:$AG$1001,0),1)&gt;=100000,INDEX($AN$1005:$BO$1005,1,MATCH(COLUMNS($AN$1006:BA1006),$AN$1006:$BO$1006,0))&gt;=100000), " ",IF(INDEX($AN$2:$BO$1001,MATCH(ROWS($AG$2:AG647),$AG$2:$AG$1001,0),MATCH(COLUMNS($AN$1006:BA1006),$AN$1006:$BO$1006,0)), HYPERLINK("#",""), HYPERLINK(CONCATENATE("#Metadata!", ADDRESS(INDEX($AI$2:$AI$1001,MATCH(ROWS($AG$2:AG647),$AG$2:$AG$1001,0),0), INDEX($AN$1004:$BO$1004,1,MATCH(COLUMNS($AN$1006:BA1006),$AN$1006:$BO$1006,0)))),"Fix")))</f>
        <v>0</v>
      </c>
      <c r="P647" s="4">
        <f>IF(OR(INDEX($AH$2:$AH$1001,MATCH(ROWS($AG$2:AG647),$AG$2:$AG$1001,0),1)&gt;=100000,INDEX($AN$1005:$BO$1005,1,MATCH(COLUMNS($AN$1006:BB1006),$AN$1006:$BO$1006,0))&gt;=100000), " ",IF(INDEX($AN$2:$BO$1001,MATCH(ROWS($AG$2:AG647),$AG$2:$AG$1001,0),MATCH(COLUMNS($AN$1006:BB1006),$AN$1006:$BO$1006,0)), HYPERLINK("#",""), HYPERLINK(CONCATENATE("#Metadata!", ADDRESS(INDEX($AI$2:$AI$1001,MATCH(ROWS($AG$2:AG647),$AG$2:$AG$1001,0),0), INDEX($AN$1004:$BO$1004,1,MATCH(COLUMNS($AN$1006:BB1006),$AN$1006:$BO$1006,0)))),"Fix")))</f>
        <v>0</v>
      </c>
      <c r="Q647" s="4">
        <f>IF(OR(INDEX($AH$2:$AH$1001,MATCH(ROWS($AG$2:AG647),$AG$2:$AG$1001,0),1)&gt;=100000,INDEX($AN$1005:$BO$1005,1,MATCH(COLUMNS($AN$1006:BC1006),$AN$1006:$BO$1006,0))&gt;=100000), " ",IF(INDEX($AN$2:$BO$1001,MATCH(ROWS($AG$2:AG647),$AG$2:$AG$1001,0),MATCH(COLUMNS($AN$1006:BC1006),$AN$1006:$BO$1006,0)), HYPERLINK("#",""), HYPERLINK(CONCATENATE("#Metadata!", ADDRESS(INDEX($AI$2:$AI$1001,MATCH(ROWS($AG$2:AG647),$AG$2:$AG$1001,0),0), INDEX($AN$1004:$BO$1004,1,MATCH(COLUMNS($AN$1006:BC1006),$AN$1006:$BO$1006,0)))),"Fix")))</f>
        <v>0</v>
      </c>
      <c r="R647" s="4">
        <f>IF(OR(INDEX($AH$2:$AH$1001,MATCH(ROWS($AG$2:AG647),$AG$2:$AG$1001,0),1)&gt;=100000,INDEX($AN$1005:$BO$1005,1,MATCH(COLUMNS($AN$1006:BD1006),$AN$1006:$BO$1006,0))&gt;=100000), " ",IF(INDEX($AN$2:$BO$1001,MATCH(ROWS($AG$2:AG647),$AG$2:$AG$1001,0),MATCH(COLUMNS($AN$1006:BD1006),$AN$1006:$BO$1006,0)), HYPERLINK("#",""), HYPERLINK(CONCATENATE("#Metadata!", ADDRESS(INDEX($AI$2:$AI$1001,MATCH(ROWS($AG$2:AG647),$AG$2:$AG$1001,0),0), INDEX($AN$1004:$BO$1004,1,MATCH(COLUMNS($AN$1006:BD1006),$AN$1006:$BO$1006,0)))),"Fix")))</f>
        <v>0</v>
      </c>
      <c r="S647" s="4">
        <f>IF(OR(INDEX($AH$2:$AH$1001,MATCH(ROWS($AG$2:AG647),$AG$2:$AG$1001,0),1)&gt;=100000,INDEX($AN$1005:$BO$1005,1,MATCH(COLUMNS($AN$1006:BE1006),$AN$1006:$BO$1006,0))&gt;=100000), " ",IF(INDEX($AN$2:$BO$1001,MATCH(ROWS($AG$2:AG647),$AG$2:$AG$1001,0),MATCH(COLUMNS($AN$1006:BE1006),$AN$1006:$BO$1006,0)), HYPERLINK("#",""), HYPERLINK(CONCATENATE("#Metadata!", ADDRESS(INDEX($AI$2:$AI$1001,MATCH(ROWS($AG$2:AG647),$AG$2:$AG$1001,0),0), INDEX($AN$1004:$BO$1004,1,MATCH(COLUMNS($AN$1006:BE1006),$AN$1006:$BO$1006,0)))),"Fix")))</f>
        <v>0</v>
      </c>
      <c r="T647" s="4">
        <f>IF(OR(INDEX($AH$2:$AH$1001,MATCH(ROWS($AG$2:AG647),$AG$2:$AG$1001,0),1)&gt;=100000,INDEX($AN$1005:$BO$1005,1,MATCH(COLUMNS($AN$1006:BF1006),$AN$1006:$BO$1006,0))&gt;=100000), " ",IF(INDEX($AN$2:$BO$1001,MATCH(ROWS($AG$2:AG647),$AG$2:$AG$1001,0),MATCH(COLUMNS($AN$1006:BF1006),$AN$1006:$BO$1006,0)), HYPERLINK("#",""), HYPERLINK(CONCATENATE("#Metadata!", ADDRESS(INDEX($AI$2:$AI$1001,MATCH(ROWS($AG$2:AG647),$AG$2:$AG$1001,0),0), INDEX($AN$1004:$BO$1004,1,MATCH(COLUMNS($AN$1006:BF1006),$AN$1006:$BO$1006,0)))),"Fix")))</f>
        <v>0</v>
      </c>
      <c r="U647" s="4">
        <f>IF(OR(INDEX($AH$2:$AH$1001,MATCH(ROWS($AG$2:AG647),$AG$2:$AG$1001,0),1)&gt;=100000,INDEX($AN$1005:$BO$1005,1,MATCH(COLUMNS($AN$1006:BG1006),$AN$1006:$BO$1006,0))&gt;=100000), " ",IF(INDEX($AN$2:$BO$1001,MATCH(ROWS($AG$2:AG647),$AG$2:$AG$1001,0),MATCH(COLUMNS($AN$1006:BG1006),$AN$1006:$BO$1006,0)), HYPERLINK("#",""), HYPERLINK(CONCATENATE("#Metadata!", ADDRESS(INDEX($AI$2:$AI$1001,MATCH(ROWS($AG$2:AG647),$AG$2:$AG$1001,0),0), INDEX($AN$1004:$BO$1004,1,MATCH(COLUMNS($AN$1006:BG1006),$AN$1006:$BO$1006,0)))),"Fix")))</f>
        <v>0</v>
      </c>
      <c r="V647" s="4">
        <f>IF(OR(INDEX($AH$2:$AH$1001,MATCH(ROWS($AG$2:AG647),$AG$2:$AG$1001,0),1)&gt;=100000,INDEX($AN$1005:$BO$1005,1,MATCH(COLUMNS($AN$1006:BH1006),$AN$1006:$BO$1006,0))&gt;=100000), " ",IF(INDEX($AN$2:$BO$1001,MATCH(ROWS($AG$2:AG647),$AG$2:$AG$1001,0),MATCH(COLUMNS($AN$1006:BH1006),$AN$1006:$BO$1006,0)), HYPERLINK("#",""), HYPERLINK(CONCATENATE("#Metadata!", ADDRESS(INDEX($AI$2:$AI$1001,MATCH(ROWS($AG$2:AG647),$AG$2:$AG$1001,0),0), INDEX($AN$1004:$BO$1004,1,MATCH(COLUMNS($AN$1006:BH1006),$AN$1006:$BO$1006,0)))),"Fix")))</f>
        <v>0</v>
      </c>
      <c r="W647" s="4">
        <f>IF(OR(INDEX($AH$2:$AH$1001,MATCH(ROWS($AG$2:AG647),$AG$2:$AG$1001,0),1)&gt;=100000,INDEX($AN$1005:$BO$1005,1,MATCH(COLUMNS($AN$1006:BI1006),$AN$1006:$BO$1006,0))&gt;=100000), " ",IF(INDEX($AN$2:$BO$1001,MATCH(ROWS($AG$2:AG647),$AG$2:$AG$1001,0),MATCH(COLUMNS($AN$1006:BI1006),$AN$1006:$BO$1006,0)), HYPERLINK("#",""), HYPERLINK(CONCATENATE("#Metadata!", ADDRESS(INDEX($AI$2:$AI$1001,MATCH(ROWS($AG$2:AG647),$AG$2:$AG$1001,0),0), INDEX($AN$1004:$BO$1004,1,MATCH(COLUMNS($AN$1006:BI1006),$AN$1006:$BO$1006,0)))),"Fix")))</f>
        <v>0</v>
      </c>
      <c r="X647" s="4">
        <f>IF(OR(INDEX($AH$2:$AH$1001,MATCH(ROWS($AG$2:AG647),$AG$2:$AG$1001,0),1)&gt;=100000,INDEX($AN$1005:$BO$1005,1,MATCH(COLUMNS($AN$1006:BJ1006),$AN$1006:$BO$1006,0))&gt;=100000), " ",IF(INDEX($AN$2:$BO$1001,MATCH(ROWS($AG$2:AG647),$AG$2:$AG$1001,0),MATCH(COLUMNS($AN$1006:BJ1006),$AN$1006:$BO$1006,0)), HYPERLINK("#",""), HYPERLINK(CONCATENATE("#Metadata!", ADDRESS(INDEX($AI$2:$AI$1001,MATCH(ROWS($AG$2:AG647),$AG$2:$AG$1001,0),0), INDEX($AN$1004:$BO$1004,1,MATCH(COLUMNS($AN$1006:BJ1006),$AN$1006:$BO$1006,0)))),"Fix")))</f>
        <v>0</v>
      </c>
      <c r="Y647" s="4">
        <f>IF(OR(INDEX($AH$2:$AH$1001,MATCH(ROWS($AG$2:AG647),$AG$2:$AG$1001,0),1)&gt;=100000,INDEX($AN$1005:$BO$1005,1,MATCH(COLUMNS($AN$1006:BK1006),$AN$1006:$BO$1006,0))&gt;=100000), " ",IF(INDEX($AN$2:$BO$1001,MATCH(ROWS($AG$2:AG647),$AG$2:$AG$1001,0),MATCH(COLUMNS($AN$1006:BK1006),$AN$1006:$BO$1006,0)), HYPERLINK("#",""), HYPERLINK(CONCATENATE("#Metadata!", ADDRESS(INDEX($AI$2:$AI$1001,MATCH(ROWS($AG$2:AG647),$AG$2:$AG$1001,0),0), INDEX($AN$1004:$BO$1004,1,MATCH(COLUMNS($AN$1006:BK1006),$AN$1006:$BO$1006,0)))),"Fix")))</f>
        <v>0</v>
      </c>
      <c r="Z647" s="4">
        <f>IF(OR(INDEX($AH$2:$AH$1001,MATCH(ROWS($AG$2:AG647),$AG$2:$AG$1001,0),1)&gt;=100000,INDEX($AN$1005:$BO$1005,1,MATCH(COLUMNS($AN$1006:BL1006),$AN$1006:$BO$1006,0))&gt;=100000), " ",IF(INDEX($AN$2:$BO$1001,MATCH(ROWS($AG$2:AG647),$AG$2:$AG$1001,0),MATCH(COLUMNS($AN$1006:BL1006),$AN$1006:$BO$1006,0)), HYPERLINK("#",""), HYPERLINK(CONCATENATE("#Metadata!", ADDRESS(INDEX($AI$2:$AI$1001,MATCH(ROWS($AG$2:AG647),$AG$2:$AG$1001,0),0), INDEX($AN$1004:$BO$1004,1,MATCH(COLUMNS($AN$1006:BL1006),$AN$1006:$BO$1006,0)))),"Fix")))</f>
        <v>0</v>
      </c>
      <c r="AA647" s="4">
        <f>IF(OR(INDEX($AH$2:$AH$1001,MATCH(ROWS($AG$2:AG647),$AG$2:$AG$1001,0),1)&gt;=100000,INDEX($AN$1005:$BO$1005,1,MATCH(COLUMNS($AN$1006:BM1006),$AN$1006:$BO$1006,0))&gt;=100000), " ",IF(INDEX($AN$2:$BO$1001,MATCH(ROWS($AG$2:AG647),$AG$2:$AG$1001,0),MATCH(COLUMNS($AN$1006:BM1006),$AN$1006:$BO$1006,0)), HYPERLINK("#",""), HYPERLINK(CONCATENATE("#Metadata!", ADDRESS(INDEX($AI$2:$AI$1001,MATCH(ROWS($AG$2:AG647),$AG$2:$AG$1001,0),0), INDEX($AN$1004:$BO$1004,1,MATCH(COLUMNS($AN$1006:BM1006),$AN$1006:$BO$1006,0)))),"Fix")))</f>
        <v>0</v>
      </c>
      <c r="AB647" s="4">
        <f>IF(OR(INDEX($AH$2:$AH$1001,MATCH(ROWS($AG$2:AG647),$AG$2:$AG$1001,0),1)&gt;=100000,INDEX($AN$1005:$BO$1005,1,MATCH(COLUMNS($AN$1006:BN1006),$AN$1006:$BO$1006,0))&gt;=100000), " ",IF(INDEX($AN$2:$BO$1001,MATCH(ROWS($AG$2:AG647),$AG$2:$AG$1001,0),MATCH(COLUMNS($AN$1006:BN1006),$AN$1006:$BO$1006,0)), HYPERLINK("#",""), HYPERLINK(CONCATENATE("#Metadata!", ADDRESS(INDEX($AI$2:$AI$1001,MATCH(ROWS($AG$2:AG647),$AG$2:$AG$1001,0),0), INDEX($AN$1004:$BO$1004,1,MATCH(COLUMNS($AN$1006:BN1006),$AN$1006:$BO$1006,0)))),"Fix")))</f>
        <v>0</v>
      </c>
      <c r="AC647" s="4">
        <f>IF(OR(INDEX($AH$2:$AH$1001,MATCH(ROWS($AG$2:AG647),$AG$2:$AG$1001,0),1)&gt;=100000,INDEX($AN$1005:$BO$1005,1,MATCH(COLUMNS($AN$1006:BO1006),$AN$1006:$BO$1006,0))&gt;=100000), " ",IF(INDEX($AN$2:$BO$1001,MATCH(ROWS($AG$2:AG647),$AG$2:$AG$1001,0),MATCH(COLUMNS($AN$1006:BO1006),$AN$1006:$BO$1006,0)), HYPERLINK("#",""), HYPERLINK(CONCATENATE("#Metadata!", ADDRESS(INDEX($AI$2:$AI$1001,MATCH(ROWS($AG$2:AG647),$AG$2:$AG$1001,0),0), INDEX($AN$1004:$BO$1004,1,MATCH(COLUMNS($AN$1006:BO1006),$AN$1006:$BO$1006,0)))),"Fix")))</f>
        <v>0</v>
      </c>
      <c r="AG647">
        <v>0</v>
      </c>
      <c r="AH647">
        <v>0</v>
      </c>
      <c r="AI647">
        <v>0</v>
      </c>
      <c r="AJ647">
        <f>IF(AK647,TRUE,AND(AN647:BO647))</f>
        <v>0</v>
      </c>
      <c r="AK647">
        <f>COUNTBLANK(Metadata!B647:AC647)=COLUMNS(Metadata!B647:AC647)</f>
        <v>0</v>
      </c>
      <c r="AL647">
        <v>0</v>
      </c>
      <c r="AN647">
        <f>AND(IF(Metadata!B647="",FALSE,TRUE),COUNTIF(Metadata!B:B, Metadata!B647) = 1,NOT(ISERROR(SUMPRODUCT(SEARCH(MID(Metadata!B647,ROW(INDIRECT("1:"&amp;LEN(Metadata!B647))), 1),"0123456789abcdefghijklmnopqrstuvwxyzABCDEFGHIJKLMNOPQRSTUVWXYZ.")))))</f>
        <v>0</v>
      </c>
      <c r="AO647">
        <f>IF(Metadata!C647="",FALSE,TRUE)</f>
        <v>0</v>
      </c>
      <c r="AP647">
        <f>IF(Metadata!D647="",FALSE,TRUE)</f>
        <v>0</v>
      </c>
      <c r="AQ647">
        <f>OR(AND(IF(Metadata!E647="",FALSE,TRUE),OR(exact(Metadata!E647,"not collected"),exact(Metadata!E647,"not provided"),exact(Metadata!E647,"restricted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R647">
        <f>IF(Metadata!F647="",FALSE,TRUE)</f>
        <v>0</v>
      </c>
      <c r="AS647">
        <f>OR(AND(IF(Metadata!G647="",FALSE,TRUE),OR(exact(Metadata!G647,"not collected"),exact(Metadata!G647,"not provided"))),AND(IF(Metadata!G647="",FALSE,TRUE),OR(exact(Metadata!G647,"TRUE"),exact(Metadata!G647,"FALSE"))))</f>
        <v>0</v>
      </c>
      <c r="AT647">
        <f>OR(AND(IF(Metadata!H647="",FALSE,TRUE),OR(exact(Metadata!H647,"not collected"),exact(Metadata!H647,"not provided"),exact(Metadata!H647,"restricted access"))),AND(IF(Metadata!H647="",FALSE,ISNUMBER(VALUE(Metadata!H647))),Metadata!H647&gt;=-413.0))</f>
        <v>0</v>
      </c>
      <c r="AU647">
        <f>AND(IF(Metadata!I647="",FALSE,TRUE),exact(Metadata!I647,"meters"))</f>
        <v>0</v>
      </c>
      <c r="AV647">
        <f>AND(IF(Metadata!J647="",FALSE,TRUE),OR(exact(Metadata!J647,"Host-associated"),exact(Metadata!J647,"Free-living")))</f>
        <v>0</v>
      </c>
      <c r="AW647">
        <f>AND(IF(Metadata!K647="",FALSE,TRUE),OR(exact(Metadata!K647,"Animal"),exact(Metadata!K647,"Fungus"),exact(Metadata!K647,"Plant"),exact(Metadata!K647,"Saline"),exact(Metadata!K647,"Non-saline")))</f>
        <v>0</v>
      </c>
      <c r="AX647">
        <f>AND(IF(Metadata!L647="",FALSE,TRUE),OR(exact(Metadata!L647,"Plant secretion"),exact(Metadata!L647,"Plant rhizosphere"),exact(Metadata!L647,"Plant surface"),exact(Metadata!L647,"Plant corpus"),exact(Metadata!L647,"Fungus surface"),exact(Metadata!L647,"Fungus corpus"),exact(Metadata!L647,"Animal surface"),exact(Metadata!L647,"Animal proximal gut"),exact(Metadata!L647,"Animal corpus"),exact(Metadata!L647,"Animal distal gut"),exact(Metadata!L647,"Animal secretion"),exact(Metadata!L647,"Sub-surface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Y647">
        <f>IF(Metadata!M647="",FALSE,TRUE)</f>
        <v>0</v>
      </c>
      <c r="AZ647">
        <f>IF(Metadata!N647="",FALSE,TRUE)</f>
        <v>0</v>
      </c>
      <c r="BA647">
        <f>IF(Metadata!O647="",FALSE,TRUE)</f>
        <v>0</v>
      </c>
      <c r="BB647">
        <f>OR(AND(IF(Metadata!P647="",FALSE,TRUE),OR(exact(Metadata!P647,"not collected"),exact(Metadata!P647,"not provided"),exact(Metadata!P647,"restricted access"))),AND(IF(Metadata!P647="",FALSE,TRUE),OR(exact(Metadata!P647,"air"),exact(Metadata!P647,"built environment"),exact(Metadata!P647,"host-associated"),exact(Metadata!P647,"human-associated"),exact(Metadata!P647,"human-skin"),exact(Metadata!P647,"human-oral"),exact(Metadata!P647,"human-gut"),exact(Metadata!P647,"human-vaginal"),exact(Metadata!P647,"microbial mat/biofilm"),exact(Metadata!P647,"misc environment"),exact(Metadata!P647,"plant-associated"),exact(Metadata!P647,"sediment"),exact(Metadata!P647,"soil"),exact(Metadata!P647,"wastewater/sludge"),exact(Metadata!P647,"water"))))</f>
        <v>0</v>
      </c>
      <c r="BC647">
        <f>IF(Metadata!Q647="",FALSE,TRUE)</f>
        <v>0</v>
      </c>
      <c r="BD647">
        <f>IF(Metadata!R647="",FALSE,TRUE)</f>
        <v>0</v>
      </c>
      <c r="BE647">
        <f>OR(AND(IF(Metadata!S647="",FALSE,TRUE),OR(exact(Metadata!S647,"not collected"),exact(Metadata!S647,"not provided"),exact(Metadata!S647,"restricted access"))),AND(IF(Metadata!S647="",FALSE,ISNUMBER(VALUE(Metadata!S647))),Metadata!S647&gt;=-90.00,Metadata!S647&lt;=90.00))</f>
        <v>0</v>
      </c>
      <c r="BF647">
        <f>AND(IF(Metadata!T647="",FALSE,TRUE),exact(Metadata!T647,"Decimal degrees"))</f>
        <v>0</v>
      </c>
      <c r="BG647">
        <f>OR(AND(IF(Metadata!U647="",FALSE,TRUE),OR(exact(Metadata!U647,"not collected"),exact(Metadata!U647,"not provided"),exact(Metadata!U647,"restricted access"))),AND(IF(Metadata!U647="",FALSE,ISNUMBER(VALUE(Metadata!U647))),Metadata!U647&gt;=-180.00,Metadata!U647&lt;=180.00))</f>
        <v>0</v>
      </c>
      <c r="BH647">
        <f>AND(IF(Metadata!V647="",FALSE,TRUE),exact(Metadata!V647,"Decimal degrees"))</f>
        <v>0</v>
      </c>
      <c r="BI647">
        <f>IF(Metadata!W647="",FALSE,TRUE)</f>
        <v>0</v>
      </c>
      <c r="BJ647">
        <f>OR(AND(IF(Metadata!X647="",FALSE,TRUE),OR(exact(Metadata!X647,"not collected"),exact(Metadata!X647,"not provided"),exact(Metadata!X647,"restricted access"))),AND(IF(Metadata!X647="",FALSE,TRUE),OR(exact(Metadata!X647,"TRUE"),exact(Metadata!X647,"FALSE"))))</f>
        <v>0</v>
      </c>
      <c r="BK647">
        <f>AND(IF(Metadata!Y647="",FALSE,TRUE),exact(Metadata!Y647,"other"))</f>
        <v>0</v>
      </c>
      <c r="BL647">
        <f>IF(Metadata!Z647="",FALSE,TRUE)</f>
        <v>0</v>
      </c>
      <c r="BM647">
        <f>OR(AND(IF(Metadata!AA647="",FALSE,TRUE),OR(exact(Metadata!AA647,"not collected"),exact(Metadata!AA647,"not provided"))),AND(IF(Metadata!AA647="",FALSE,IF(ISERROR(INT(Metadata!AA647)),FALSE,INT(Metadata!AA647)=Metadata!AA647)),Metadata!AA647&gt;0))</f>
        <v>0</v>
      </c>
      <c r="BN647">
        <f>AND(IF(Metadata!AB647="",FALSE,TRUE),exact(Metadata!AB647,"Not applicable"))</f>
        <v>0</v>
      </c>
      <c r="BO647">
        <f>IF(Metadata!AC647="",FALSE,TRUE)</f>
        <v>0</v>
      </c>
    </row>
    <row r="648" spans="1:67">
      <c r="A648" s="5">
        <f>IF(B648=" "," ",HYPERLINK(CONCATENATE("#metadata!",ADDRESS(INDEX($AI$2:$AI$1001,MATCH(ROWS($AG$2:AG648),$AG$2:$AG$1001,0),0),1)),INDEX($AL$2:$AL$1001,MATCH(ROWS($AG$2:AG648),$AG$2:$AG$1001,0),0)))</f>
        <v>0</v>
      </c>
      <c r="B648" s="4">
        <f>IF(OR(INDEX($AH$2:$AH$1001,MATCH(ROWS($AG$2:AG648),$AG$2:$AG$1001,0),1)&gt;=100000,INDEX($AN$1005:$BO$1005,1,MATCH(COLUMNS($AN$1006:AN1006),$AN$1006:$BO$1006,0))&gt;=100000), " ",IF(INDEX($AN$2:$BO$1001,MATCH(ROWS($AG$2:AG648),$AG$2:$AG$1001,0),MATCH(COLUMNS($AN$1006:AN1006),$AN$1006:$BO$1006,0)), HYPERLINK("#",""), HYPERLINK(CONCATENATE("#Metadata!", ADDRESS(INDEX($AI$2:$AI$1001,MATCH(ROWS($AG$2:AG648),$AG$2:$AG$1001,0),0), INDEX($AN$1004:$BO$1004,1,MATCH(COLUMNS($AN$1006:AN1006),$AN$1006:$BO$1006,0)))),"Fix")))</f>
        <v>0</v>
      </c>
      <c r="C648" s="4">
        <f>IF(OR(INDEX($AH$2:$AH$1001,MATCH(ROWS($AG$2:AG648),$AG$2:$AG$1001,0),1)&gt;=100000,INDEX($AN$1005:$BO$1005,1,MATCH(COLUMNS($AN$1006:AO1006),$AN$1006:$BO$1006,0))&gt;=100000), " ",IF(INDEX($AN$2:$BO$1001,MATCH(ROWS($AG$2:AG648),$AG$2:$AG$1001,0),MATCH(COLUMNS($AN$1006:AO1006),$AN$1006:$BO$1006,0)), HYPERLINK("#",""), HYPERLINK(CONCATENATE("#Metadata!", ADDRESS(INDEX($AI$2:$AI$1001,MATCH(ROWS($AG$2:AG648),$AG$2:$AG$1001,0),0), INDEX($AN$1004:$BO$1004,1,MATCH(COLUMNS($AN$1006:AO1006),$AN$1006:$BO$1006,0)))),"Fix")))</f>
        <v>0</v>
      </c>
      <c r="D648" s="4">
        <f>IF(OR(INDEX($AH$2:$AH$1001,MATCH(ROWS($AG$2:AG648),$AG$2:$AG$1001,0),1)&gt;=100000,INDEX($AN$1005:$BO$1005,1,MATCH(COLUMNS($AN$1006:AP1006),$AN$1006:$BO$1006,0))&gt;=100000), " ",IF(INDEX($AN$2:$BO$1001,MATCH(ROWS($AG$2:AG648),$AG$2:$AG$1001,0),MATCH(COLUMNS($AN$1006:AP1006),$AN$1006:$BO$1006,0)), HYPERLINK("#",""), HYPERLINK(CONCATENATE("#Metadata!", ADDRESS(INDEX($AI$2:$AI$1001,MATCH(ROWS($AG$2:AG648),$AG$2:$AG$1001,0),0), INDEX($AN$1004:$BO$1004,1,MATCH(COLUMNS($AN$1006:AP1006),$AN$1006:$BO$1006,0)))),"Fix")))</f>
        <v>0</v>
      </c>
      <c r="E648" s="4">
        <f>IF(OR(INDEX($AH$2:$AH$1001,MATCH(ROWS($AG$2:AG648),$AG$2:$AG$1001,0),1)&gt;=100000,INDEX($AN$1005:$BO$1005,1,MATCH(COLUMNS($AN$1006:AQ1006),$AN$1006:$BO$1006,0))&gt;=100000), " ",IF(INDEX($AN$2:$BO$1001,MATCH(ROWS($AG$2:AG648),$AG$2:$AG$1001,0),MATCH(COLUMNS($AN$1006:AQ1006),$AN$1006:$BO$1006,0)), HYPERLINK("#",""), HYPERLINK(CONCATENATE("#Metadata!", ADDRESS(INDEX($AI$2:$AI$1001,MATCH(ROWS($AG$2:AG648),$AG$2:$AG$1001,0),0), INDEX($AN$1004:$BO$1004,1,MATCH(COLUMNS($AN$1006:AQ1006),$AN$1006:$BO$1006,0)))),"Fix")))</f>
        <v>0</v>
      </c>
      <c r="F648" s="4">
        <f>IF(OR(INDEX($AH$2:$AH$1001,MATCH(ROWS($AG$2:AG648),$AG$2:$AG$1001,0),1)&gt;=100000,INDEX($AN$1005:$BO$1005,1,MATCH(COLUMNS($AN$1006:AR1006),$AN$1006:$BO$1006,0))&gt;=100000), " ",IF(INDEX($AN$2:$BO$1001,MATCH(ROWS($AG$2:AG648),$AG$2:$AG$1001,0),MATCH(COLUMNS($AN$1006:AR1006),$AN$1006:$BO$1006,0)), HYPERLINK("#",""), HYPERLINK(CONCATENATE("#Metadata!", ADDRESS(INDEX($AI$2:$AI$1001,MATCH(ROWS($AG$2:AG648),$AG$2:$AG$1001,0),0), INDEX($AN$1004:$BO$1004,1,MATCH(COLUMNS($AN$1006:AR1006),$AN$1006:$BO$1006,0)))),"Fix")))</f>
        <v>0</v>
      </c>
      <c r="G648" s="4">
        <f>IF(OR(INDEX($AH$2:$AH$1001,MATCH(ROWS($AG$2:AG648),$AG$2:$AG$1001,0),1)&gt;=100000,INDEX($AN$1005:$BO$1005,1,MATCH(COLUMNS($AN$1006:AS1006),$AN$1006:$BO$1006,0))&gt;=100000), " ",IF(INDEX($AN$2:$BO$1001,MATCH(ROWS($AG$2:AG648),$AG$2:$AG$1001,0),MATCH(COLUMNS($AN$1006:AS1006),$AN$1006:$BO$1006,0)), HYPERLINK("#",""), HYPERLINK(CONCATENATE("#Metadata!", ADDRESS(INDEX($AI$2:$AI$1001,MATCH(ROWS($AG$2:AG648),$AG$2:$AG$1001,0),0), INDEX($AN$1004:$BO$1004,1,MATCH(COLUMNS($AN$1006:AS1006),$AN$1006:$BO$1006,0)))),"Fix")))</f>
        <v>0</v>
      </c>
      <c r="H648" s="4">
        <f>IF(OR(INDEX($AH$2:$AH$1001,MATCH(ROWS($AG$2:AG648),$AG$2:$AG$1001,0),1)&gt;=100000,INDEX($AN$1005:$BO$1005,1,MATCH(COLUMNS($AN$1006:AT1006),$AN$1006:$BO$1006,0))&gt;=100000), " ",IF(INDEX($AN$2:$BO$1001,MATCH(ROWS($AG$2:AG648),$AG$2:$AG$1001,0),MATCH(COLUMNS($AN$1006:AT1006),$AN$1006:$BO$1006,0)), HYPERLINK("#",""), HYPERLINK(CONCATENATE("#Metadata!", ADDRESS(INDEX($AI$2:$AI$1001,MATCH(ROWS($AG$2:AG648),$AG$2:$AG$1001,0),0), INDEX($AN$1004:$BO$1004,1,MATCH(COLUMNS($AN$1006:AT1006),$AN$1006:$BO$1006,0)))),"Fix")))</f>
        <v>0</v>
      </c>
      <c r="I648" s="4">
        <f>IF(OR(INDEX($AH$2:$AH$1001,MATCH(ROWS($AG$2:AG648),$AG$2:$AG$1001,0),1)&gt;=100000,INDEX($AN$1005:$BO$1005,1,MATCH(COLUMNS($AN$1006:AU1006),$AN$1006:$BO$1006,0))&gt;=100000), " ",IF(INDEX($AN$2:$BO$1001,MATCH(ROWS($AG$2:AG648),$AG$2:$AG$1001,0),MATCH(COLUMNS($AN$1006:AU1006),$AN$1006:$BO$1006,0)), HYPERLINK("#",""), HYPERLINK(CONCATENATE("#Metadata!", ADDRESS(INDEX($AI$2:$AI$1001,MATCH(ROWS($AG$2:AG648),$AG$2:$AG$1001,0),0), INDEX($AN$1004:$BO$1004,1,MATCH(COLUMNS($AN$1006:AU1006),$AN$1006:$BO$1006,0)))),"Fix")))</f>
        <v>0</v>
      </c>
      <c r="J648" s="4">
        <f>IF(OR(INDEX($AH$2:$AH$1001,MATCH(ROWS($AG$2:AG648),$AG$2:$AG$1001,0),1)&gt;=100000,INDEX($AN$1005:$BO$1005,1,MATCH(COLUMNS($AN$1006:AV1006),$AN$1006:$BO$1006,0))&gt;=100000), " ",IF(INDEX($AN$2:$BO$1001,MATCH(ROWS($AG$2:AG648),$AG$2:$AG$1001,0),MATCH(COLUMNS($AN$1006:AV1006),$AN$1006:$BO$1006,0)), HYPERLINK("#",""), HYPERLINK(CONCATENATE("#Metadata!", ADDRESS(INDEX($AI$2:$AI$1001,MATCH(ROWS($AG$2:AG648),$AG$2:$AG$1001,0),0), INDEX($AN$1004:$BO$1004,1,MATCH(COLUMNS($AN$1006:AV1006),$AN$1006:$BO$1006,0)))),"Fix")))</f>
        <v>0</v>
      </c>
      <c r="K648" s="4">
        <f>IF(OR(INDEX($AH$2:$AH$1001,MATCH(ROWS($AG$2:AG648),$AG$2:$AG$1001,0),1)&gt;=100000,INDEX($AN$1005:$BO$1005,1,MATCH(COLUMNS($AN$1006:AW1006),$AN$1006:$BO$1006,0))&gt;=100000), " ",IF(INDEX($AN$2:$BO$1001,MATCH(ROWS($AG$2:AG648),$AG$2:$AG$1001,0),MATCH(COLUMNS($AN$1006:AW1006),$AN$1006:$BO$1006,0)), HYPERLINK("#",""), HYPERLINK(CONCATENATE("#Metadata!", ADDRESS(INDEX($AI$2:$AI$1001,MATCH(ROWS($AG$2:AG648),$AG$2:$AG$1001,0),0), INDEX($AN$1004:$BO$1004,1,MATCH(COLUMNS($AN$1006:AW1006),$AN$1006:$BO$1006,0)))),"Fix")))</f>
        <v>0</v>
      </c>
      <c r="L648" s="4">
        <f>IF(OR(INDEX($AH$2:$AH$1001,MATCH(ROWS($AG$2:AG648),$AG$2:$AG$1001,0),1)&gt;=100000,INDEX($AN$1005:$BO$1005,1,MATCH(COLUMNS($AN$1006:AX1006),$AN$1006:$BO$1006,0))&gt;=100000), " ",IF(INDEX($AN$2:$BO$1001,MATCH(ROWS($AG$2:AG648),$AG$2:$AG$1001,0),MATCH(COLUMNS($AN$1006:AX1006),$AN$1006:$BO$1006,0)), HYPERLINK("#",""), HYPERLINK(CONCATENATE("#Metadata!", ADDRESS(INDEX($AI$2:$AI$1001,MATCH(ROWS($AG$2:AG648),$AG$2:$AG$1001,0),0), INDEX($AN$1004:$BO$1004,1,MATCH(COLUMNS($AN$1006:AX1006),$AN$1006:$BO$1006,0)))),"Fix")))</f>
        <v>0</v>
      </c>
      <c r="M648" s="4">
        <f>IF(OR(INDEX($AH$2:$AH$1001,MATCH(ROWS($AG$2:AG648),$AG$2:$AG$1001,0),1)&gt;=100000,INDEX($AN$1005:$BO$1005,1,MATCH(COLUMNS($AN$1006:AY1006),$AN$1006:$BO$1006,0))&gt;=100000), " ",IF(INDEX($AN$2:$BO$1001,MATCH(ROWS($AG$2:AG648),$AG$2:$AG$1001,0),MATCH(COLUMNS($AN$1006:AY1006),$AN$1006:$BO$1006,0)), HYPERLINK("#",""), HYPERLINK(CONCATENATE("#Metadata!", ADDRESS(INDEX($AI$2:$AI$1001,MATCH(ROWS($AG$2:AG648),$AG$2:$AG$1001,0),0), INDEX($AN$1004:$BO$1004,1,MATCH(COLUMNS($AN$1006:AY1006),$AN$1006:$BO$1006,0)))),"Fix")))</f>
        <v>0</v>
      </c>
      <c r="N648" s="4">
        <f>IF(OR(INDEX($AH$2:$AH$1001,MATCH(ROWS($AG$2:AG648),$AG$2:$AG$1001,0),1)&gt;=100000,INDEX($AN$1005:$BO$1005,1,MATCH(COLUMNS($AN$1006:AZ1006),$AN$1006:$BO$1006,0))&gt;=100000), " ",IF(INDEX($AN$2:$BO$1001,MATCH(ROWS($AG$2:AG648),$AG$2:$AG$1001,0),MATCH(COLUMNS($AN$1006:AZ1006),$AN$1006:$BO$1006,0)), HYPERLINK("#",""), HYPERLINK(CONCATENATE("#Metadata!", ADDRESS(INDEX($AI$2:$AI$1001,MATCH(ROWS($AG$2:AG648),$AG$2:$AG$1001,0),0), INDEX($AN$1004:$BO$1004,1,MATCH(COLUMNS($AN$1006:AZ1006),$AN$1006:$BO$1006,0)))),"Fix")))</f>
        <v>0</v>
      </c>
      <c r="O648" s="4">
        <f>IF(OR(INDEX($AH$2:$AH$1001,MATCH(ROWS($AG$2:AG648),$AG$2:$AG$1001,0),1)&gt;=100000,INDEX($AN$1005:$BO$1005,1,MATCH(COLUMNS($AN$1006:BA1006),$AN$1006:$BO$1006,0))&gt;=100000), " ",IF(INDEX($AN$2:$BO$1001,MATCH(ROWS($AG$2:AG648),$AG$2:$AG$1001,0),MATCH(COLUMNS($AN$1006:BA1006),$AN$1006:$BO$1006,0)), HYPERLINK("#",""), HYPERLINK(CONCATENATE("#Metadata!", ADDRESS(INDEX($AI$2:$AI$1001,MATCH(ROWS($AG$2:AG648),$AG$2:$AG$1001,0),0), INDEX($AN$1004:$BO$1004,1,MATCH(COLUMNS($AN$1006:BA1006),$AN$1006:$BO$1006,0)))),"Fix")))</f>
        <v>0</v>
      </c>
      <c r="P648" s="4">
        <f>IF(OR(INDEX($AH$2:$AH$1001,MATCH(ROWS($AG$2:AG648),$AG$2:$AG$1001,0),1)&gt;=100000,INDEX($AN$1005:$BO$1005,1,MATCH(COLUMNS($AN$1006:BB1006),$AN$1006:$BO$1006,0))&gt;=100000), " ",IF(INDEX($AN$2:$BO$1001,MATCH(ROWS($AG$2:AG648),$AG$2:$AG$1001,0),MATCH(COLUMNS($AN$1006:BB1006),$AN$1006:$BO$1006,0)), HYPERLINK("#",""), HYPERLINK(CONCATENATE("#Metadata!", ADDRESS(INDEX($AI$2:$AI$1001,MATCH(ROWS($AG$2:AG648),$AG$2:$AG$1001,0),0), INDEX($AN$1004:$BO$1004,1,MATCH(COLUMNS($AN$1006:BB1006),$AN$1006:$BO$1006,0)))),"Fix")))</f>
        <v>0</v>
      </c>
      <c r="Q648" s="4">
        <f>IF(OR(INDEX($AH$2:$AH$1001,MATCH(ROWS($AG$2:AG648),$AG$2:$AG$1001,0),1)&gt;=100000,INDEX($AN$1005:$BO$1005,1,MATCH(COLUMNS($AN$1006:BC1006),$AN$1006:$BO$1006,0))&gt;=100000), " ",IF(INDEX($AN$2:$BO$1001,MATCH(ROWS($AG$2:AG648),$AG$2:$AG$1001,0),MATCH(COLUMNS($AN$1006:BC1006),$AN$1006:$BO$1006,0)), HYPERLINK("#",""), HYPERLINK(CONCATENATE("#Metadata!", ADDRESS(INDEX($AI$2:$AI$1001,MATCH(ROWS($AG$2:AG648),$AG$2:$AG$1001,0),0), INDEX($AN$1004:$BO$1004,1,MATCH(COLUMNS($AN$1006:BC1006),$AN$1006:$BO$1006,0)))),"Fix")))</f>
        <v>0</v>
      </c>
      <c r="R648" s="4">
        <f>IF(OR(INDEX($AH$2:$AH$1001,MATCH(ROWS($AG$2:AG648),$AG$2:$AG$1001,0),1)&gt;=100000,INDEX($AN$1005:$BO$1005,1,MATCH(COLUMNS($AN$1006:BD1006),$AN$1006:$BO$1006,0))&gt;=100000), " ",IF(INDEX($AN$2:$BO$1001,MATCH(ROWS($AG$2:AG648),$AG$2:$AG$1001,0),MATCH(COLUMNS($AN$1006:BD1006),$AN$1006:$BO$1006,0)), HYPERLINK("#",""), HYPERLINK(CONCATENATE("#Metadata!", ADDRESS(INDEX($AI$2:$AI$1001,MATCH(ROWS($AG$2:AG648),$AG$2:$AG$1001,0),0), INDEX($AN$1004:$BO$1004,1,MATCH(COLUMNS($AN$1006:BD1006),$AN$1006:$BO$1006,0)))),"Fix")))</f>
        <v>0</v>
      </c>
      <c r="S648" s="4">
        <f>IF(OR(INDEX($AH$2:$AH$1001,MATCH(ROWS($AG$2:AG648),$AG$2:$AG$1001,0),1)&gt;=100000,INDEX($AN$1005:$BO$1005,1,MATCH(COLUMNS($AN$1006:BE1006),$AN$1006:$BO$1006,0))&gt;=100000), " ",IF(INDEX($AN$2:$BO$1001,MATCH(ROWS($AG$2:AG648),$AG$2:$AG$1001,0),MATCH(COLUMNS($AN$1006:BE1006),$AN$1006:$BO$1006,0)), HYPERLINK("#",""), HYPERLINK(CONCATENATE("#Metadata!", ADDRESS(INDEX($AI$2:$AI$1001,MATCH(ROWS($AG$2:AG648),$AG$2:$AG$1001,0),0), INDEX($AN$1004:$BO$1004,1,MATCH(COLUMNS($AN$1006:BE1006),$AN$1006:$BO$1006,0)))),"Fix")))</f>
        <v>0</v>
      </c>
      <c r="T648" s="4">
        <f>IF(OR(INDEX($AH$2:$AH$1001,MATCH(ROWS($AG$2:AG648),$AG$2:$AG$1001,0),1)&gt;=100000,INDEX($AN$1005:$BO$1005,1,MATCH(COLUMNS($AN$1006:BF1006),$AN$1006:$BO$1006,0))&gt;=100000), " ",IF(INDEX($AN$2:$BO$1001,MATCH(ROWS($AG$2:AG648),$AG$2:$AG$1001,0),MATCH(COLUMNS($AN$1006:BF1006),$AN$1006:$BO$1006,0)), HYPERLINK("#",""), HYPERLINK(CONCATENATE("#Metadata!", ADDRESS(INDEX($AI$2:$AI$1001,MATCH(ROWS($AG$2:AG648),$AG$2:$AG$1001,0),0), INDEX($AN$1004:$BO$1004,1,MATCH(COLUMNS($AN$1006:BF1006),$AN$1006:$BO$1006,0)))),"Fix")))</f>
        <v>0</v>
      </c>
      <c r="U648" s="4">
        <f>IF(OR(INDEX($AH$2:$AH$1001,MATCH(ROWS($AG$2:AG648),$AG$2:$AG$1001,0),1)&gt;=100000,INDEX($AN$1005:$BO$1005,1,MATCH(COLUMNS($AN$1006:BG1006),$AN$1006:$BO$1006,0))&gt;=100000), " ",IF(INDEX($AN$2:$BO$1001,MATCH(ROWS($AG$2:AG648),$AG$2:$AG$1001,0),MATCH(COLUMNS($AN$1006:BG1006),$AN$1006:$BO$1006,0)), HYPERLINK("#",""), HYPERLINK(CONCATENATE("#Metadata!", ADDRESS(INDEX($AI$2:$AI$1001,MATCH(ROWS($AG$2:AG648),$AG$2:$AG$1001,0),0), INDEX($AN$1004:$BO$1004,1,MATCH(COLUMNS($AN$1006:BG1006),$AN$1006:$BO$1006,0)))),"Fix")))</f>
        <v>0</v>
      </c>
      <c r="V648" s="4">
        <f>IF(OR(INDEX($AH$2:$AH$1001,MATCH(ROWS($AG$2:AG648),$AG$2:$AG$1001,0),1)&gt;=100000,INDEX($AN$1005:$BO$1005,1,MATCH(COLUMNS($AN$1006:BH1006),$AN$1006:$BO$1006,0))&gt;=100000), " ",IF(INDEX($AN$2:$BO$1001,MATCH(ROWS($AG$2:AG648),$AG$2:$AG$1001,0),MATCH(COLUMNS($AN$1006:BH1006),$AN$1006:$BO$1006,0)), HYPERLINK("#",""), HYPERLINK(CONCATENATE("#Metadata!", ADDRESS(INDEX($AI$2:$AI$1001,MATCH(ROWS($AG$2:AG648),$AG$2:$AG$1001,0),0), INDEX($AN$1004:$BO$1004,1,MATCH(COLUMNS($AN$1006:BH1006),$AN$1006:$BO$1006,0)))),"Fix")))</f>
        <v>0</v>
      </c>
      <c r="W648" s="4">
        <f>IF(OR(INDEX($AH$2:$AH$1001,MATCH(ROWS($AG$2:AG648),$AG$2:$AG$1001,0),1)&gt;=100000,INDEX($AN$1005:$BO$1005,1,MATCH(COLUMNS($AN$1006:BI1006),$AN$1006:$BO$1006,0))&gt;=100000), " ",IF(INDEX($AN$2:$BO$1001,MATCH(ROWS($AG$2:AG648),$AG$2:$AG$1001,0),MATCH(COLUMNS($AN$1006:BI1006),$AN$1006:$BO$1006,0)), HYPERLINK("#",""), HYPERLINK(CONCATENATE("#Metadata!", ADDRESS(INDEX($AI$2:$AI$1001,MATCH(ROWS($AG$2:AG648),$AG$2:$AG$1001,0),0), INDEX($AN$1004:$BO$1004,1,MATCH(COLUMNS($AN$1006:BI1006),$AN$1006:$BO$1006,0)))),"Fix")))</f>
        <v>0</v>
      </c>
      <c r="X648" s="4">
        <f>IF(OR(INDEX($AH$2:$AH$1001,MATCH(ROWS($AG$2:AG648),$AG$2:$AG$1001,0),1)&gt;=100000,INDEX($AN$1005:$BO$1005,1,MATCH(COLUMNS($AN$1006:BJ1006),$AN$1006:$BO$1006,0))&gt;=100000), " ",IF(INDEX($AN$2:$BO$1001,MATCH(ROWS($AG$2:AG648),$AG$2:$AG$1001,0),MATCH(COLUMNS($AN$1006:BJ1006),$AN$1006:$BO$1006,0)), HYPERLINK("#",""), HYPERLINK(CONCATENATE("#Metadata!", ADDRESS(INDEX($AI$2:$AI$1001,MATCH(ROWS($AG$2:AG648),$AG$2:$AG$1001,0),0), INDEX($AN$1004:$BO$1004,1,MATCH(COLUMNS($AN$1006:BJ1006),$AN$1006:$BO$1006,0)))),"Fix")))</f>
        <v>0</v>
      </c>
      <c r="Y648" s="4">
        <f>IF(OR(INDEX($AH$2:$AH$1001,MATCH(ROWS($AG$2:AG648),$AG$2:$AG$1001,0),1)&gt;=100000,INDEX($AN$1005:$BO$1005,1,MATCH(COLUMNS($AN$1006:BK1006),$AN$1006:$BO$1006,0))&gt;=100000), " ",IF(INDEX($AN$2:$BO$1001,MATCH(ROWS($AG$2:AG648),$AG$2:$AG$1001,0),MATCH(COLUMNS($AN$1006:BK1006),$AN$1006:$BO$1006,0)), HYPERLINK("#",""), HYPERLINK(CONCATENATE("#Metadata!", ADDRESS(INDEX($AI$2:$AI$1001,MATCH(ROWS($AG$2:AG648),$AG$2:$AG$1001,0),0), INDEX($AN$1004:$BO$1004,1,MATCH(COLUMNS($AN$1006:BK1006),$AN$1006:$BO$1006,0)))),"Fix")))</f>
        <v>0</v>
      </c>
      <c r="Z648" s="4">
        <f>IF(OR(INDEX($AH$2:$AH$1001,MATCH(ROWS($AG$2:AG648),$AG$2:$AG$1001,0),1)&gt;=100000,INDEX($AN$1005:$BO$1005,1,MATCH(COLUMNS($AN$1006:BL1006),$AN$1006:$BO$1006,0))&gt;=100000), " ",IF(INDEX($AN$2:$BO$1001,MATCH(ROWS($AG$2:AG648),$AG$2:$AG$1001,0),MATCH(COLUMNS($AN$1006:BL1006),$AN$1006:$BO$1006,0)), HYPERLINK("#",""), HYPERLINK(CONCATENATE("#Metadata!", ADDRESS(INDEX($AI$2:$AI$1001,MATCH(ROWS($AG$2:AG648),$AG$2:$AG$1001,0),0), INDEX($AN$1004:$BO$1004,1,MATCH(COLUMNS($AN$1006:BL1006),$AN$1006:$BO$1006,0)))),"Fix")))</f>
        <v>0</v>
      </c>
      <c r="AA648" s="4">
        <f>IF(OR(INDEX($AH$2:$AH$1001,MATCH(ROWS($AG$2:AG648),$AG$2:$AG$1001,0),1)&gt;=100000,INDEX($AN$1005:$BO$1005,1,MATCH(COLUMNS($AN$1006:BM1006),$AN$1006:$BO$1006,0))&gt;=100000), " ",IF(INDEX($AN$2:$BO$1001,MATCH(ROWS($AG$2:AG648),$AG$2:$AG$1001,0),MATCH(COLUMNS($AN$1006:BM1006),$AN$1006:$BO$1006,0)), HYPERLINK("#",""), HYPERLINK(CONCATENATE("#Metadata!", ADDRESS(INDEX($AI$2:$AI$1001,MATCH(ROWS($AG$2:AG648),$AG$2:$AG$1001,0),0), INDEX($AN$1004:$BO$1004,1,MATCH(COLUMNS($AN$1006:BM1006),$AN$1006:$BO$1006,0)))),"Fix")))</f>
        <v>0</v>
      </c>
      <c r="AB648" s="4">
        <f>IF(OR(INDEX($AH$2:$AH$1001,MATCH(ROWS($AG$2:AG648),$AG$2:$AG$1001,0),1)&gt;=100000,INDEX($AN$1005:$BO$1005,1,MATCH(COLUMNS($AN$1006:BN1006),$AN$1006:$BO$1006,0))&gt;=100000), " ",IF(INDEX($AN$2:$BO$1001,MATCH(ROWS($AG$2:AG648),$AG$2:$AG$1001,0),MATCH(COLUMNS($AN$1006:BN1006),$AN$1006:$BO$1006,0)), HYPERLINK("#",""), HYPERLINK(CONCATENATE("#Metadata!", ADDRESS(INDEX($AI$2:$AI$1001,MATCH(ROWS($AG$2:AG648),$AG$2:$AG$1001,0),0), INDEX($AN$1004:$BO$1004,1,MATCH(COLUMNS($AN$1006:BN1006),$AN$1006:$BO$1006,0)))),"Fix")))</f>
        <v>0</v>
      </c>
      <c r="AC648" s="4">
        <f>IF(OR(INDEX($AH$2:$AH$1001,MATCH(ROWS($AG$2:AG648),$AG$2:$AG$1001,0),1)&gt;=100000,INDEX($AN$1005:$BO$1005,1,MATCH(COLUMNS($AN$1006:BO1006),$AN$1006:$BO$1006,0))&gt;=100000), " ",IF(INDEX($AN$2:$BO$1001,MATCH(ROWS($AG$2:AG648),$AG$2:$AG$1001,0),MATCH(COLUMNS($AN$1006:BO1006),$AN$1006:$BO$1006,0)), HYPERLINK("#",""), HYPERLINK(CONCATENATE("#Metadata!", ADDRESS(INDEX($AI$2:$AI$1001,MATCH(ROWS($AG$2:AG648),$AG$2:$AG$1001,0),0), INDEX($AN$1004:$BO$1004,1,MATCH(COLUMNS($AN$1006:BO1006),$AN$1006:$BO$1006,0)))),"Fix")))</f>
        <v>0</v>
      </c>
      <c r="AG648">
        <v>0</v>
      </c>
      <c r="AH648">
        <v>0</v>
      </c>
      <c r="AI648">
        <v>0</v>
      </c>
      <c r="AJ648">
        <f>IF(AK648,TRUE,AND(AN648:BO648))</f>
        <v>0</v>
      </c>
      <c r="AK648">
        <f>COUNTBLANK(Metadata!B648:AC648)=COLUMNS(Metadata!B648:AC648)</f>
        <v>0</v>
      </c>
      <c r="AL648">
        <v>0</v>
      </c>
      <c r="AN648">
        <f>AND(IF(Metadata!B648="",FALSE,TRUE),COUNTIF(Metadata!B:B, Metadata!B648) = 1,NOT(ISERROR(SUMPRODUCT(SEARCH(MID(Metadata!B648,ROW(INDIRECT("1:"&amp;LEN(Metadata!B648))), 1),"0123456789abcdefghijklmnopqrstuvwxyzABCDEFGHIJKLMNOPQRSTUVWXYZ.")))))</f>
        <v>0</v>
      </c>
      <c r="AO648">
        <f>IF(Metadata!C648="",FALSE,TRUE)</f>
        <v>0</v>
      </c>
      <c r="AP648">
        <f>IF(Metadata!D648="",FALSE,TRUE)</f>
        <v>0</v>
      </c>
      <c r="AQ648">
        <f>OR(AND(IF(Metadata!E648="",FALSE,TRUE),OR(exact(Metadata!E648,"not collected"),exact(Metadata!E648,"not provided"),exact(Metadata!E648,"restricted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R648">
        <f>IF(Metadata!F648="",FALSE,TRUE)</f>
        <v>0</v>
      </c>
      <c r="AS648">
        <f>OR(AND(IF(Metadata!G648="",FALSE,TRUE),OR(exact(Metadata!G648,"not collected"),exact(Metadata!G648,"not provided"))),AND(IF(Metadata!G648="",FALSE,TRUE),OR(exact(Metadata!G648,"TRUE"),exact(Metadata!G648,"FALSE"))))</f>
        <v>0</v>
      </c>
      <c r="AT648">
        <f>OR(AND(IF(Metadata!H648="",FALSE,TRUE),OR(exact(Metadata!H648,"not collected"),exact(Metadata!H648,"not provided"),exact(Metadata!H648,"restricted access"))),AND(IF(Metadata!H648="",FALSE,ISNUMBER(VALUE(Metadata!H648))),Metadata!H648&gt;=-413.0))</f>
        <v>0</v>
      </c>
      <c r="AU648">
        <f>AND(IF(Metadata!I648="",FALSE,TRUE),exact(Metadata!I648,"meters"))</f>
        <v>0</v>
      </c>
      <c r="AV648">
        <f>AND(IF(Metadata!J648="",FALSE,TRUE),OR(exact(Metadata!J648,"Host-associated"),exact(Metadata!J648,"Free-living")))</f>
        <v>0</v>
      </c>
      <c r="AW648">
        <f>AND(IF(Metadata!K648="",FALSE,TRUE),OR(exact(Metadata!K648,"Animal"),exact(Metadata!K648,"Fungus"),exact(Metadata!K648,"Plant"),exact(Metadata!K648,"Saline"),exact(Metadata!K648,"Non-saline")))</f>
        <v>0</v>
      </c>
      <c r="AX648">
        <f>AND(IF(Metadata!L648="",FALSE,TRUE),OR(exact(Metadata!L648,"Plant secretion"),exact(Metadata!L648,"Plant rhizosphere"),exact(Metadata!L648,"Plant surface"),exact(Metadata!L648,"Plant corpus"),exact(Metadata!L648,"Fungus surface"),exact(Metadata!L648,"Fungus corpus"),exact(Metadata!L648,"Animal surface"),exact(Metadata!L648,"Animal proximal gut"),exact(Metadata!L648,"Animal corpus"),exact(Metadata!L648,"Animal distal gut"),exact(Metadata!L648,"Animal secretion"),exact(Metadata!L648,"Sub-surface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Y648">
        <f>IF(Metadata!M648="",FALSE,TRUE)</f>
        <v>0</v>
      </c>
      <c r="AZ648">
        <f>IF(Metadata!N648="",FALSE,TRUE)</f>
        <v>0</v>
      </c>
      <c r="BA648">
        <f>IF(Metadata!O648="",FALSE,TRUE)</f>
        <v>0</v>
      </c>
      <c r="BB648">
        <f>OR(AND(IF(Metadata!P648="",FALSE,TRUE),OR(exact(Metadata!P648,"not collected"),exact(Metadata!P648,"not provided"),exact(Metadata!P648,"restricted access"))),AND(IF(Metadata!P648="",FALSE,TRUE),OR(exact(Metadata!P648,"air"),exact(Metadata!P648,"built environment"),exact(Metadata!P648,"host-associated"),exact(Metadata!P648,"human-associated"),exact(Metadata!P648,"human-skin"),exact(Metadata!P648,"human-oral"),exact(Metadata!P648,"human-gut"),exact(Metadata!P648,"human-vaginal"),exact(Metadata!P648,"microbial mat/biofilm"),exact(Metadata!P648,"misc environment"),exact(Metadata!P648,"plant-associated"),exact(Metadata!P648,"sediment"),exact(Metadata!P648,"soil"),exact(Metadata!P648,"wastewater/sludge"),exact(Metadata!P648,"water"))))</f>
        <v>0</v>
      </c>
      <c r="BC648">
        <f>IF(Metadata!Q648="",FALSE,TRUE)</f>
        <v>0</v>
      </c>
      <c r="BD648">
        <f>IF(Metadata!R648="",FALSE,TRUE)</f>
        <v>0</v>
      </c>
      <c r="BE648">
        <f>OR(AND(IF(Metadata!S648="",FALSE,TRUE),OR(exact(Metadata!S648,"not collected"),exact(Metadata!S648,"not provided"),exact(Metadata!S648,"restricted access"))),AND(IF(Metadata!S648="",FALSE,ISNUMBER(VALUE(Metadata!S648))),Metadata!S648&gt;=-90.00,Metadata!S648&lt;=90.00))</f>
        <v>0</v>
      </c>
      <c r="BF648">
        <f>AND(IF(Metadata!T648="",FALSE,TRUE),exact(Metadata!T648,"Decimal degrees"))</f>
        <v>0</v>
      </c>
      <c r="BG648">
        <f>OR(AND(IF(Metadata!U648="",FALSE,TRUE),OR(exact(Metadata!U648,"not collected"),exact(Metadata!U648,"not provided"),exact(Metadata!U648,"restricted access"))),AND(IF(Metadata!U648="",FALSE,ISNUMBER(VALUE(Metadata!U648))),Metadata!U648&gt;=-180.00,Metadata!U648&lt;=180.00))</f>
        <v>0</v>
      </c>
      <c r="BH648">
        <f>AND(IF(Metadata!V648="",FALSE,TRUE),exact(Metadata!V648,"Decimal degrees"))</f>
        <v>0</v>
      </c>
      <c r="BI648">
        <f>IF(Metadata!W648="",FALSE,TRUE)</f>
        <v>0</v>
      </c>
      <c r="BJ648">
        <f>OR(AND(IF(Metadata!X648="",FALSE,TRUE),OR(exact(Metadata!X648,"not collected"),exact(Metadata!X648,"not provided"),exact(Metadata!X648,"restricted access"))),AND(IF(Metadata!X648="",FALSE,TRUE),OR(exact(Metadata!X648,"TRUE"),exact(Metadata!X648,"FALSE"))))</f>
        <v>0</v>
      </c>
      <c r="BK648">
        <f>AND(IF(Metadata!Y648="",FALSE,TRUE),exact(Metadata!Y648,"other"))</f>
        <v>0</v>
      </c>
      <c r="BL648">
        <f>IF(Metadata!Z648="",FALSE,TRUE)</f>
        <v>0</v>
      </c>
      <c r="BM648">
        <f>OR(AND(IF(Metadata!AA648="",FALSE,TRUE),OR(exact(Metadata!AA648,"not collected"),exact(Metadata!AA648,"not provided"))),AND(IF(Metadata!AA648="",FALSE,IF(ISERROR(INT(Metadata!AA648)),FALSE,INT(Metadata!AA648)=Metadata!AA648)),Metadata!AA648&gt;0))</f>
        <v>0</v>
      </c>
      <c r="BN648">
        <f>AND(IF(Metadata!AB648="",FALSE,TRUE),exact(Metadata!AB648,"Not applicable"))</f>
        <v>0</v>
      </c>
      <c r="BO648">
        <f>IF(Metadata!AC648="",FALSE,TRUE)</f>
        <v>0</v>
      </c>
    </row>
    <row r="649" spans="1:67">
      <c r="A649" s="5">
        <f>IF(B649=" "," ",HYPERLINK(CONCATENATE("#metadata!",ADDRESS(INDEX($AI$2:$AI$1001,MATCH(ROWS($AG$2:AG649),$AG$2:$AG$1001,0),0),1)),INDEX($AL$2:$AL$1001,MATCH(ROWS($AG$2:AG649),$AG$2:$AG$1001,0),0)))</f>
        <v>0</v>
      </c>
      <c r="B649" s="4">
        <f>IF(OR(INDEX($AH$2:$AH$1001,MATCH(ROWS($AG$2:AG649),$AG$2:$AG$1001,0),1)&gt;=100000,INDEX($AN$1005:$BO$1005,1,MATCH(COLUMNS($AN$1006:AN1006),$AN$1006:$BO$1006,0))&gt;=100000), " ",IF(INDEX($AN$2:$BO$1001,MATCH(ROWS($AG$2:AG649),$AG$2:$AG$1001,0),MATCH(COLUMNS($AN$1006:AN1006),$AN$1006:$BO$1006,0)), HYPERLINK("#",""), HYPERLINK(CONCATENATE("#Metadata!", ADDRESS(INDEX($AI$2:$AI$1001,MATCH(ROWS($AG$2:AG649),$AG$2:$AG$1001,0),0), INDEX($AN$1004:$BO$1004,1,MATCH(COLUMNS($AN$1006:AN1006),$AN$1006:$BO$1006,0)))),"Fix")))</f>
        <v>0</v>
      </c>
      <c r="C649" s="4">
        <f>IF(OR(INDEX($AH$2:$AH$1001,MATCH(ROWS($AG$2:AG649),$AG$2:$AG$1001,0),1)&gt;=100000,INDEX($AN$1005:$BO$1005,1,MATCH(COLUMNS($AN$1006:AO1006),$AN$1006:$BO$1006,0))&gt;=100000), " ",IF(INDEX($AN$2:$BO$1001,MATCH(ROWS($AG$2:AG649),$AG$2:$AG$1001,0),MATCH(COLUMNS($AN$1006:AO1006),$AN$1006:$BO$1006,0)), HYPERLINK("#",""), HYPERLINK(CONCATENATE("#Metadata!", ADDRESS(INDEX($AI$2:$AI$1001,MATCH(ROWS($AG$2:AG649),$AG$2:$AG$1001,0),0), INDEX($AN$1004:$BO$1004,1,MATCH(COLUMNS($AN$1006:AO1006),$AN$1006:$BO$1006,0)))),"Fix")))</f>
        <v>0</v>
      </c>
      <c r="D649" s="4">
        <f>IF(OR(INDEX($AH$2:$AH$1001,MATCH(ROWS($AG$2:AG649),$AG$2:$AG$1001,0),1)&gt;=100000,INDEX($AN$1005:$BO$1005,1,MATCH(COLUMNS($AN$1006:AP1006),$AN$1006:$BO$1006,0))&gt;=100000), " ",IF(INDEX($AN$2:$BO$1001,MATCH(ROWS($AG$2:AG649),$AG$2:$AG$1001,0),MATCH(COLUMNS($AN$1006:AP1006),$AN$1006:$BO$1006,0)), HYPERLINK("#",""), HYPERLINK(CONCATENATE("#Metadata!", ADDRESS(INDEX($AI$2:$AI$1001,MATCH(ROWS($AG$2:AG649),$AG$2:$AG$1001,0),0), INDEX($AN$1004:$BO$1004,1,MATCH(COLUMNS($AN$1006:AP1006),$AN$1006:$BO$1006,0)))),"Fix")))</f>
        <v>0</v>
      </c>
      <c r="E649" s="4">
        <f>IF(OR(INDEX($AH$2:$AH$1001,MATCH(ROWS($AG$2:AG649),$AG$2:$AG$1001,0),1)&gt;=100000,INDEX($AN$1005:$BO$1005,1,MATCH(COLUMNS($AN$1006:AQ1006),$AN$1006:$BO$1006,0))&gt;=100000), " ",IF(INDEX($AN$2:$BO$1001,MATCH(ROWS($AG$2:AG649),$AG$2:$AG$1001,0),MATCH(COLUMNS($AN$1006:AQ1006),$AN$1006:$BO$1006,0)), HYPERLINK("#",""), HYPERLINK(CONCATENATE("#Metadata!", ADDRESS(INDEX($AI$2:$AI$1001,MATCH(ROWS($AG$2:AG649),$AG$2:$AG$1001,0),0), INDEX($AN$1004:$BO$1004,1,MATCH(COLUMNS($AN$1006:AQ1006),$AN$1006:$BO$1006,0)))),"Fix")))</f>
        <v>0</v>
      </c>
      <c r="F649" s="4">
        <f>IF(OR(INDEX($AH$2:$AH$1001,MATCH(ROWS($AG$2:AG649),$AG$2:$AG$1001,0),1)&gt;=100000,INDEX($AN$1005:$BO$1005,1,MATCH(COLUMNS($AN$1006:AR1006),$AN$1006:$BO$1006,0))&gt;=100000), " ",IF(INDEX($AN$2:$BO$1001,MATCH(ROWS($AG$2:AG649),$AG$2:$AG$1001,0),MATCH(COLUMNS($AN$1006:AR1006),$AN$1006:$BO$1006,0)), HYPERLINK("#",""), HYPERLINK(CONCATENATE("#Metadata!", ADDRESS(INDEX($AI$2:$AI$1001,MATCH(ROWS($AG$2:AG649),$AG$2:$AG$1001,0),0), INDEX($AN$1004:$BO$1004,1,MATCH(COLUMNS($AN$1006:AR1006),$AN$1006:$BO$1006,0)))),"Fix")))</f>
        <v>0</v>
      </c>
      <c r="G649" s="4">
        <f>IF(OR(INDEX($AH$2:$AH$1001,MATCH(ROWS($AG$2:AG649),$AG$2:$AG$1001,0),1)&gt;=100000,INDEX($AN$1005:$BO$1005,1,MATCH(COLUMNS($AN$1006:AS1006),$AN$1006:$BO$1006,0))&gt;=100000), " ",IF(INDEX($AN$2:$BO$1001,MATCH(ROWS($AG$2:AG649),$AG$2:$AG$1001,0),MATCH(COLUMNS($AN$1006:AS1006),$AN$1006:$BO$1006,0)), HYPERLINK("#",""), HYPERLINK(CONCATENATE("#Metadata!", ADDRESS(INDEX($AI$2:$AI$1001,MATCH(ROWS($AG$2:AG649),$AG$2:$AG$1001,0),0), INDEX($AN$1004:$BO$1004,1,MATCH(COLUMNS($AN$1006:AS1006),$AN$1006:$BO$1006,0)))),"Fix")))</f>
        <v>0</v>
      </c>
      <c r="H649" s="4">
        <f>IF(OR(INDEX($AH$2:$AH$1001,MATCH(ROWS($AG$2:AG649),$AG$2:$AG$1001,0),1)&gt;=100000,INDEX($AN$1005:$BO$1005,1,MATCH(COLUMNS($AN$1006:AT1006),$AN$1006:$BO$1006,0))&gt;=100000), " ",IF(INDEX($AN$2:$BO$1001,MATCH(ROWS($AG$2:AG649),$AG$2:$AG$1001,0),MATCH(COLUMNS($AN$1006:AT1006),$AN$1006:$BO$1006,0)), HYPERLINK("#",""), HYPERLINK(CONCATENATE("#Metadata!", ADDRESS(INDEX($AI$2:$AI$1001,MATCH(ROWS($AG$2:AG649),$AG$2:$AG$1001,0),0), INDEX($AN$1004:$BO$1004,1,MATCH(COLUMNS($AN$1006:AT1006),$AN$1006:$BO$1006,0)))),"Fix")))</f>
        <v>0</v>
      </c>
      <c r="I649" s="4">
        <f>IF(OR(INDEX($AH$2:$AH$1001,MATCH(ROWS($AG$2:AG649),$AG$2:$AG$1001,0),1)&gt;=100000,INDEX($AN$1005:$BO$1005,1,MATCH(COLUMNS($AN$1006:AU1006),$AN$1006:$BO$1006,0))&gt;=100000), " ",IF(INDEX($AN$2:$BO$1001,MATCH(ROWS($AG$2:AG649),$AG$2:$AG$1001,0),MATCH(COLUMNS($AN$1006:AU1006),$AN$1006:$BO$1006,0)), HYPERLINK("#",""), HYPERLINK(CONCATENATE("#Metadata!", ADDRESS(INDEX($AI$2:$AI$1001,MATCH(ROWS($AG$2:AG649),$AG$2:$AG$1001,0),0), INDEX($AN$1004:$BO$1004,1,MATCH(COLUMNS($AN$1006:AU1006),$AN$1006:$BO$1006,0)))),"Fix")))</f>
        <v>0</v>
      </c>
      <c r="J649" s="4">
        <f>IF(OR(INDEX($AH$2:$AH$1001,MATCH(ROWS($AG$2:AG649),$AG$2:$AG$1001,0),1)&gt;=100000,INDEX($AN$1005:$BO$1005,1,MATCH(COLUMNS($AN$1006:AV1006),$AN$1006:$BO$1006,0))&gt;=100000), " ",IF(INDEX($AN$2:$BO$1001,MATCH(ROWS($AG$2:AG649),$AG$2:$AG$1001,0),MATCH(COLUMNS($AN$1006:AV1006),$AN$1006:$BO$1006,0)), HYPERLINK("#",""), HYPERLINK(CONCATENATE("#Metadata!", ADDRESS(INDEX($AI$2:$AI$1001,MATCH(ROWS($AG$2:AG649),$AG$2:$AG$1001,0),0), INDEX($AN$1004:$BO$1004,1,MATCH(COLUMNS($AN$1006:AV1006),$AN$1006:$BO$1006,0)))),"Fix")))</f>
        <v>0</v>
      </c>
      <c r="K649" s="4">
        <f>IF(OR(INDEX($AH$2:$AH$1001,MATCH(ROWS($AG$2:AG649),$AG$2:$AG$1001,0),1)&gt;=100000,INDEX($AN$1005:$BO$1005,1,MATCH(COLUMNS($AN$1006:AW1006),$AN$1006:$BO$1006,0))&gt;=100000), " ",IF(INDEX($AN$2:$BO$1001,MATCH(ROWS($AG$2:AG649),$AG$2:$AG$1001,0),MATCH(COLUMNS($AN$1006:AW1006),$AN$1006:$BO$1006,0)), HYPERLINK("#",""), HYPERLINK(CONCATENATE("#Metadata!", ADDRESS(INDEX($AI$2:$AI$1001,MATCH(ROWS($AG$2:AG649),$AG$2:$AG$1001,0),0), INDEX($AN$1004:$BO$1004,1,MATCH(COLUMNS($AN$1006:AW1006),$AN$1006:$BO$1006,0)))),"Fix")))</f>
        <v>0</v>
      </c>
      <c r="L649" s="4">
        <f>IF(OR(INDEX($AH$2:$AH$1001,MATCH(ROWS($AG$2:AG649),$AG$2:$AG$1001,0),1)&gt;=100000,INDEX($AN$1005:$BO$1005,1,MATCH(COLUMNS($AN$1006:AX1006),$AN$1006:$BO$1006,0))&gt;=100000), " ",IF(INDEX($AN$2:$BO$1001,MATCH(ROWS($AG$2:AG649),$AG$2:$AG$1001,0),MATCH(COLUMNS($AN$1006:AX1006),$AN$1006:$BO$1006,0)), HYPERLINK("#",""), HYPERLINK(CONCATENATE("#Metadata!", ADDRESS(INDEX($AI$2:$AI$1001,MATCH(ROWS($AG$2:AG649),$AG$2:$AG$1001,0),0), INDEX($AN$1004:$BO$1004,1,MATCH(COLUMNS($AN$1006:AX1006),$AN$1006:$BO$1006,0)))),"Fix")))</f>
        <v>0</v>
      </c>
      <c r="M649" s="4">
        <f>IF(OR(INDEX($AH$2:$AH$1001,MATCH(ROWS($AG$2:AG649),$AG$2:$AG$1001,0),1)&gt;=100000,INDEX($AN$1005:$BO$1005,1,MATCH(COLUMNS($AN$1006:AY1006),$AN$1006:$BO$1006,0))&gt;=100000), " ",IF(INDEX($AN$2:$BO$1001,MATCH(ROWS($AG$2:AG649),$AG$2:$AG$1001,0),MATCH(COLUMNS($AN$1006:AY1006),$AN$1006:$BO$1006,0)), HYPERLINK("#",""), HYPERLINK(CONCATENATE("#Metadata!", ADDRESS(INDEX($AI$2:$AI$1001,MATCH(ROWS($AG$2:AG649),$AG$2:$AG$1001,0),0), INDEX($AN$1004:$BO$1004,1,MATCH(COLUMNS($AN$1006:AY1006),$AN$1006:$BO$1006,0)))),"Fix")))</f>
        <v>0</v>
      </c>
      <c r="N649" s="4">
        <f>IF(OR(INDEX($AH$2:$AH$1001,MATCH(ROWS($AG$2:AG649),$AG$2:$AG$1001,0),1)&gt;=100000,INDEX($AN$1005:$BO$1005,1,MATCH(COLUMNS($AN$1006:AZ1006),$AN$1006:$BO$1006,0))&gt;=100000), " ",IF(INDEX($AN$2:$BO$1001,MATCH(ROWS($AG$2:AG649),$AG$2:$AG$1001,0),MATCH(COLUMNS($AN$1006:AZ1006),$AN$1006:$BO$1006,0)), HYPERLINK("#",""), HYPERLINK(CONCATENATE("#Metadata!", ADDRESS(INDEX($AI$2:$AI$1001,MATCH(ROWS($AG$2:AG649),$AG$2:$AG$1001,0),0), INDEX($AN$1004:$BO$1004,1,MATCH(COLUMNS($AN$1006:AZ1006),$AN$1006:$BO$1006,0)))),"Fix")))</f>
        <v>0</v>
      </c>
      <c r="O649" s="4">
        <f>IF(OR(INDEX($AH$2:$AH$1001,MATCH(ROWS($AG$2:AG649),$AG$2:$AG$1001,0),1)&gt;=100000,INDEX($AN$1005:$BO$1005,1,MATCH(COLUMNS($AN$1006:BA1006),$AN$1006:$BO$1006,0))&gt;=100000), " ",IF(INDEX($AN$2:$BO$1001,MATCH(ROWS($AG$2:AG649),$AG$2:$AG$1001,0),MATCH(COLUMNS($AN$1006:BA1006),$AN$1006:$BO$1006,0)), HYPERLINK("#",""), HYPERLINK(CONCATENATE("#Metadata!", ADDRESS(INDEX($AI$2:$AI$1001,MATCH(ROWS($AG$2:AG649),$AG$2:$AG$1001,0),0), INDEX($AN$1004:$BO$1004,1,MATCH(COLUMNS($AN$1006:BA1006),$AN$1006:$BO$1006,0)))),"Fix")))</f>
        <v>0</v>
      </c>
      <c r="P649" s="4">
        <f>IF(OR(INDEX($AH$2:$AH$1001,MATCH(ROWS($AG$2:AG649),$AG$2:$AG$1001,0),1)&gt;=100000,INDEX($AN$1005:$BO$1005,1,MATCH(COLUMNS($AN$1006:BB1006),$AN$1006:$BO$1006,0))&gt;=100000), " ",IF(INDEX($AN$2:$BO$1001,MATCH(ROWS($AG$2:AG649),$AG$2:$AG$1001,0),MATCH(COLUMNS($AN$1006:BB1006),$AN$1006:$BO$1006,0)), HYPERLINK("#",""), HYPERLINK(CONCATENATE("#Metadata!", ADDRESS(INDEX($AI$2:$AI$1001,MATCH(ROWS($AG$2:AG649),$AG$2:$AG$1001,0),0), INDEX($AN$1004:$BO$1004,1,MATCH(COLUMNS($AN$1006:BB1006),$AN$1006:$BO$1006,0)))),"Fix")))</f>
        <v>0</v>
      </c>
      <c r="Q649" s="4">
        <f>IF(OR(INDEX($AH$2:$AH$1001,MATCH(ROWS($AG$2:AG649),$AG$2:$AG$1001,0),1)&gt;=100000,INDEX($AN$1005:$BO$1005,1,MATCH(COLUMNS($AN$1006:BC1006),$AN$1006:$BO$1006,0))&gt;=100000), " ",IF(INDEX($AN$2:$BO$1001,MATCH(ROWS($AG$2:AG649),$AG$2:$AG$1001,0),MATCH(COLUMNS($AN$1006:BC1006),$AN$1006:$BO$1006,0)), HYPERLINK("#",""), HYPERLINK(CONCATENATE("#Metadata!", ADDRESS(INDEX($AI$2:$AI$1001,MATCH(ROWS($AG$2:AG649),$AG$2:$AG$1001,0),0), INDEX($AN$1004:$BO$1004,1,MATCH(COLUMNS($AN$1006:BC1006),$AN$1006:$BO$1006,0)))),"Fix")))</f>
        <v>0</v>
      </c>
      <c r="R649" s="4">
        <f>IF(OR(INDEX($AH$2:$AH$1001,MATCH(ROWS($AG$2:AG649),$AG$2:$AG$1001,0),1)&gt;=100000,INDEX($AN$1005:$BO$1005,1,MATCH(COLUMNS($AN$1006:BD1006),$AN$1006:$BO$1006,0))&gt;=100000), " ",IF(INDEX($AN$2:$BO$1001,MATCH(ROWS($AG$2:AG649),$AG$2:$AG$1001,0),MATCH(COLUMNS($AN$1006:BD1006),$AN$1006:$BO$1006,0)), HYPERLINK("#",""), HYPERLINK(CONCATENATE("#Metadata!", ADDRESS(INDEX($AI$2:$AI$1001,MATCH(ROWS($AG$2:AG649),$AG$2:$AG$1001,0),0), INDEX($AN$1004:$BO$1004,1,MATCH(COLUMNS($AN$1006:BD1006),$AN$1006:$BO$1006,0)))),"Fix")))</f>
        <v>0</v>
      </c>
      <c r="S649" s="4">
        <f>IF(OR(INDEX($AH$2:$AH$1001,MATCH(ROWS($AG$2:AG649),$AG$2:$AG$1001,0),1)&gt;=100000,INDEX($AN$1005:$BO$1005,1,MATCH(COLUMNS($AN$1006:BE1006),$AN$1006:$BO$1006,0))&gt;=100000), " ",IF(INDEX($AN$2:$BO$1001,MATCH(ROWS($AG$2:AG649),$AG$2:$AG$1001,0),MATCH(COLUMNS($AN$1006:BE1006),$AN$1006:$BO$1006,0)), HYPERLINK("#",""), HYPERLINK(CONCATENATE("#Metadata!", ADDRESS(INDEX($AI$2:$AI$1001,MATCH(ROWS($AG$2:AG649),$AG$2:$AG$1001,0),0), INDEX($AN$1004:$BO$1004,1,MATCH(COLUMNS($AN$1006:BE1006),$AN$1006:$BO$1006,0)))),"Fix")))</f>
        <v>0</v>
      </c>
      <c r="T649" s="4">
        <f>IF(OR(INDEX($AH$2:$AH$1001,MATCH(ROWS($AG$2:AG649),$AG$2:$AG$1001,0),1)&gt;=100000,INDEX($AN$1005:$BO$1005,1,MATCH(COLUMNS($AN$1006:BF1006),$AN$1006:$BO$1006,0))&gt;=100000), " ",IF(INDEX($AN$2:$BO$1001,MATCH(ROWS($AG$2:AG649),$AG$2:$AG$1001,0),MATCH(COLUMNS($AN$1006:BF1006),$AN$1006:$BO$1006,0)), HYPERLINK("#",""), HYPERLINK(CONCATENATE("#Metadata!", ADDRESS(INDEX($AI$2:$AI$1001,MATCH(ROWS($AG$2:AG649),$AG$2:$AG$1001,0),0), INDEX($AN$1004:$BO$1004,1,MATCH(COLUMNS($AN$1006:BF1006),$AN$1006:$BO$1006,0)))),"Fix")))</f>
        <v>0</v>
      </c>
      <c r="U649" s="4">
        <f>IF(OR(INDEX($AH$2:$AH$1001,MATCH(ROWS($AG$2:AG649),$AG$2:$AG$1001,0),1)&gt;=100000,INDEX($AN$1005:$BO$1005,1,MATCH(COLUMNS($AN$1006:BG1006),$AN$1006:$BO$1006,0))&gt;=100000), " ",IF(INDEX($AN$2:$BO$1001,MATCH(ROWS($AG$2:AG649),$AG$2:$AG$1001,0),MATCH(COLUMNS($AN$1006:BG1006),$AN$1006:$BO$1006,0)), HYPERLINK("#",""), HYPERLINK(CONCATENATE("#Metadata!", ADDRESS(INDEX($AI$2:$AI$1001,MATCH(ROWS($AG$2:AG649),$AG$2:$AG$1001,0),0), INDEX($AN$1004:$BO$1004,1,MATCH(COLUMNS($AN$1006:BG1006),$AN$1006:$BO$1006,0)))),"Fix")))</f>
        <v>0</v>
      </c>
      <c r="V649" s="4">
        <f>IF(OR(INDEX($AH$2:$AH$1001,MATCH(ROWS($AG$2:AG649),$AG$2:$AG$1001,0),1)&gt;=100000,INDEX($AN$1005:$BO$1005,1,MATCH(COLUMNS($AN$1006:BH1006),$AN$1006:$BO$1006,0))&gt;=100000), " ",IF(INDEX($AN$2:$BO$1001,MATCH(ROWS($AG$2:AG649),$AG$2:$AG$1001,0),MATCH(COLUMNS($AN$1006:BH1006),$AN$1006:$BO$1006,0)), HYPERLINK("#",""), HYPERLINK(CONCATENATE("#Metadata!", ADDRESS(INDEX($AI$2:$AI$1001,MATCH(ROWS($AG$2:AG649),$AG$2:$AG$1001,0),0), INDEX($AN$1004:$BO$1004,1,MATCH(COLUMNS($AN$1006:BH1006),$AN$1006:$BO$1006,0)))),"Fix")))</f>
        <v>0</v>
      </c>
      <c r="W649" s="4">
        <f>IF(OR(INDEX($AH$2:$AH$1001,MATCH(ROWS($AG$2:AG649),$AG$2:$AG$1001,0),1)&gt;=100000,INDEX($AN$1005:$BO$1005,1,MATCH(COLUMNS($AN$1006:BI1006),$AN$1006:$BO$1006,0))&gt;=100000), " ",IF(INDEX($AN$2:$BO$1001,MATCH(ROWS($AG$2:AG649),$AG$2:$AG$1001,0),MATCH(COLUMNS($AN$1006:BI1006),$AN$1006:$BO$1006,0)), HYPERLINK("#",""), HYPERLINK(CONCATENATE("#Metadata!", ADDRESS(INDEX($AI$2:$AI$1001,MATCH(ROWS($AG$2:AG649),$AG$2:$AG$1001,0),0), INDEX($AN$1004:$BO$1004,1,MATCH(COLUMNS($AN$1006:BI1006),$AN$1006:$BO$1006,0)))),"Fix")))</f>
        <v>0</v>
      </c>
      <c r="X649" s="4">
        <f>IF(OR(INDEX($AH$2:$AH$1001,MATCH(ROWS($AG$2:AG649),$AG$2:$AG$1001,0),1)&gt;=100000,INDEX($AN$1005:$BO$1005,1,MATCH(COLUMNS($AN$1006:BJ1006),$AN$1006:$BO$1006,0))&gt;=100000), " ",IF(INDEX($AN$2:$BO$1001,MATCH(ROWS($AG$2:AG649),$AG$2:$AG$1001,0),MATCH(COLUMNS($AN$1006:BJ1006),$AN$1006:$BO$1006,0)), HYPERLINK("#",""), HYPERLINK(CONCATENATE("#Metadata!", ADDRESS(INDEX($AI$2:$AI$1001,MATCH(ROWS($AG$2:AG649),$AG$2:$AG$1001,0),0), INDEX($AN$1004:$BO$1004,1,MATCH(COLUMNS($AN$1006:BJ1006),$AN$1006:$BO$1006,0)))),"Fix")))</f>
        <v>0</v>
      </c>
      <c r="Y649" s="4">
        <f>IF(OR(INDEX($AH$2:$AH$1001,MATCH(ROWS($AG$2:AG649),$AG$2:$AG$1001,0),1)&gt;=100000,INDEX($AN$1005:$BO$1005,1,MATCH(COLUMNS($AN$1006:BK1006),$AN$1006:$BO$1006,0))&gt;=100000), " ",IF(INDEX($AN$2:$BO$1001,MATCH(ROWS($AG$2:AG649),$AG$2:$AG$1001,0),MATCH(COLUMNS($AN$1006:BK1006),$AN$1006:$BO$1006,0)), HYPERLINK("#",""), HYPERLINK(CONCATENATE("#Metadata!", ADDRESS(INDEX($AI$2:$AI$1001,MATCH(ROWS($AG$2:AG649),$AG$2:$AG$1001,0),0), INDEX($AN$1004:$BO$1004,1,MATCH(COLUMNS($AN$1006:BK1006),$AN$1006:$BO$1006,0)))),"Fix")))</f>
        <v>0</v>
      </c>
      <c r="Z649" s="4">
        <f>IF(OR(INDEX($AH$2:$AH$1001,MATCH(ROWS($AG$2:AG649),$AG$2:$AG$1001,0),1)&gt;=100000,INDEX($AN$1005:$BO$1005,1,MATCH(COLUMNS($AN$1006:BL1006),$AN$1006:$BO$1006,0))&gt;=100000), " ",IF(INDEX($AN$2:$BO$1001,MATCH(ROWS($AG$2:AG649),$AG$2:$AG$1001,0),MATCH(COLUMNS($AN$1006:BL1006),$AN$1006:$BO$1006,0)), HYPERLINK("#",""), HYPERLINK(CONCATENATE("#Metadata!", ADDRESS(INDEX($AI$2:$AI$1001,MATCH(ROWS($AG$2:AG649),$AG$2:$AG$1001,0),0), INDEX($AN$1004:$BO$1004,1,MATCH(COLUMNS($AN$1006:BL1006),$AN$1006:$BO$1006,0)))),"Fix")))</f>
        <v>0</v>
      </c>
      <c r="AA649" s="4">
        <f>IF(OR(INDEX($AH$2:$AH$1001,MATCH(ROWS($AG$2:AG649),$AG$2:$AG$1001,0),1)&gt;=100000,INDEX($AN$1005:$BO$1005,1,MATCH(COLUMNS($AN$1006:BM1006),$AN$1006:$BO$1006,0))&gt;=100000), " ",IF(INDEX($AN$2:$BO$1001,MATCH(ROWS($AG$2:AG649),$AG$2:$AG$1001,0),MATCH(COLUMNS($AN$1006:BM1006),$AN$1006:$BO$1006,0)), HYPERLINK("#",""), HYPERLINK(CONCATENATE("#Metadata!", ADDRESS(INDEX($AI$2:$AI$1001,MATCH(ROWS($AG$2:AG649),$AG$2:$AG$1001,0),0), INDEX($AN$1004:$BO$1004,1,MATCH(COLUMNS($AN$1006:BM1006),$AN$1006:$BO$1006,0)))),"Fix")))</f>
        <v>0</v>
      </c>
      <c r="AB649" s="4">
        <f>IF(OR(INDEX($AH$2:$AH$1001,MATCH(ROWS($AG$2:AG649),$AG$2:$AG$1001,0),1)&gt;=100000,INDEX($AN$1005:$BO$1005,1,MATCH(COLUMNS($AN$1006:BN1006),$AN$1006:$BO$1006,0))&gt;=100000), " ",IF(INDEX($AN$2:$BO$1001,MATCH(ROWS($AG$2:AG649),$AG$2:$AG$1001,0),MATCH(COLUMNS($AN$1006:BN1006),$AN$1006:$BO$1006,0)), HYPERLINK("#",""), HYPERLINK(CONCATENATE("#Metadata!", ADDRESS(INDEX($AI$2:$AI$1001,MATCH(ROWS($AG$2:AG649),$AG$2:$AG$1001,0),0), INDEX($AN$1004:$BO$1004,1,MATCH(COLUMNS($AN$1006:BN1006),$AN$1006:$BO$1006,0)))),"Fix")))</f>
        <v>0</v>
      </c>
      <c r="AC649" s="4">
        <f>IF(OR(INDEX($AH$2:$AH$1001,MATCH(ROWS($AG$2:AG649),$AG$2:$AG$1001,0),1)&gt;=100000,INDEX($AN$1005:$BO$1005,1,MATCH(COLUMNS($AN$1006:BO1006),$AN$1006:$BO$1006,0))&gt;=100000), " ",IF(INDEX($AN$2:$BO$1001,MATCH(ROWS($AG$2:AG649),$AG$2:$AG$1001,0),MATCH(COLUMNS($AN$1006:BO1006),$AN$1006:$BO$1006,0)), HYPERLINK("#",""), HYPERLINK(CONCATENATE("#Metadata!", ADDRESS(INDEX($AI$2:$AI$1001,MATCH(ROWS($AG$2:AG649),$AG$2:$AG$1001,0),0), INDEX($AN$1004:$BO$1004,1,MATCH(COLUMNS($AN$1006:BO1006),$AN$1006:$BO$1006,0)))),"Fix")))</f>
        <v>0</v>
      </c>
      <c r="AG649">
        <v>0</v>
      </c>
      <c r="AH649">
        <v>0</v>
      </c>
      <c r="AI649">
        <v>0</v>
      </c>
      <c r="AJ649">
        <f>IF(AK649,TRUE,AND(AN649:BO649))</f>
        <v>0</v>
      </c>
      <c r="AK649">
        <f>COUNTBLANK(Metadata!B649:AC649)=COLUMNS(Metadata!B649:AC649)</f>
        <v>0</v>
      </c>
      <c r="AL649">
        <v>0</v>
      </c>
      <c r="AN649">
        <f>AND(IF(Metadata!B649="",FALSE,TRUE),COUNTIF(Metadata!B:B, Metadata!B649) = 1,NOT(ISERROR(SUMPRODUCT(SEARCH(MID(Metadata!B649,ROW(INDIRECT("1:"&amp;LEN(Metadata!B649))), 1),"0123456789abcdefghijklmnopqrstuvwxyzABCDEFGHIJKLMNOPQRSTUVWXYZ.")))))</f>
        <v>0</v>
      </c>
      <c r="AO649">
        <f>IF(Metadata!C649="",FALSE,TRUE)</f>
        <v>0</v>
      </c>
      <c r="AP649">
        <f>IF(Metadata!D649="",FALSE,TRUE)</f>
        <v>0</v>
      </c>
      <c r="AQ649">
        <f>OR(AND(IF(Metadata!E649="",FALSE,TRUE),OR(exact(Metadata!E649,"not collected"),exact(Metadata!E649,"not provided"),exact(Metadata!E649,"restricted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R649">
        <f>IF(Metadata!F649="",FALSE,TRUE)</f>
        <v>0</v>
      </c>
      <c r="AS649">
        <f>OR(AND(IF(Metadata!G649="",FALSE,TRUE),OR(exact(Metadata!G649,"not collected"),exact(Metadata!G649,"not provided"))),AND(IF(Metadata!G649="",FALSE,TRUE),OR(exact(Metadata!G649,"TRUE"),exact(Metadata!G649,"FALSE"))))</f>
        <v>0</v>
      </c>
      <c r="AT649">
        <f>OR(AND(IF(Metadata!H649="",FALSE,TRUE),OR(exact(Metadata!H649,"not collected"),exact(Metadata!H649,"not provided"),exact(Metadata!H649,"restricted access"))),AND(IF(Metadata!H649="",FALSE,ISNUMBER(VALUE(Metadata!H649))),Metadata!H649&gt;=-413.0))</f>
        <v>0</v>
      </c>
      <c r="AU649">
        <f>AND(IF(Metadata!I649="",FALSE,TRUE),exact(Metadata!I649,"meters"))</f>
        <v>0</v>
      </c>
      <c r="AV649">
        <f>AND(IF(Metadata!J649="",FALSE,TRUE),OR(exact(Metadata!J649,"Host-associated"),exact(Metadata!J649,"Free-living")))</f>
        <v>0</v>
      </c>
      <c r="AW649">
        <f>AND(IF(Metadata!K649="",FALSE,TRUE),OR(exact(Metadata!K649,"Animal"),exact(Metadata!K649,"Fungus"),exact(Metadata!K649,"Plant"),exact(Metadata!K649,"Saline"),exact(Metadata!K649,"Non-saline")))</f>
        <v>0</v>
      </c>
      <c r="AX649">
        <f>AND(IF(Metadata!L649="",FALSE,TRUE),OR(exact(Metadata!L649,"Plant secretion"),exact(Metadata!L649,"Plant rhizosphere"),exact(Metadata!L649,"Plant surface"),exact(Metadata!L649,"Plant corpus"),exact(Metadata!L649,"Fungus surface"),exact(Metadata!L649,"Fungus corpus"),exact(Metadata!L649,"Animal surface"),exact(Metadata!L649,"Animal proximal gut"),exact(Metadata!L649,"Animal corpus"),exact(Metadata!L649,"Animal distal gut"),exact(Metadata!L649,"Animal secretion"),exact(Metadata!L649,"Sub-surface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Y649">
        <f>IF(Metadata!M649="",FALSE,TRUE)</f>
        <v>0</v>
      </c>
      <c r="AZ649">
        <f>IF(Metadata!N649="",FALSE,TRUE)</f>
        <v>0</v>
      </c>
      <c r="BA649">
        <f>IF(Metadata!O649="",FALSE,TRUE)</f>
        <v>0</v>
      </c>
      <c r="BB649">
        <f>OR(AND(IF(Metadata!P649="",FALSE,TRUE),OR(exact(Metadata!P649,"not collected"),exact(Metadata!P649,"not provided"),exact(Metadata!P649,"restricted access"))),AND(IF(Metadata!P649="",FALSE,TRUE),OR(exact(Metadata!P649,"air"),exact(Metadata!P649,"built environment"),exact(Metadata!P649,"host-associated"),exact(Metadata!P649,"human-associated"),exact(Metadata!P649,"human-skin"),exact(Metadata!P649,"human-oral"),exact(Metadata!P649,"human-gut"),exact(Metadata!P649,"human-vaginal"),exact(Metadata!P649,"microbial mat/biofilm"),exact(Metadata!P649,"misc environment"),exact(Metadata!P649,"plant-associated"),exact(Metadata!P649,"sediment"),exact(Metadata!P649,"soil"),exact(Metadata!P649,"wastewater/sludge"),exact(Metadata!P649,"water"))))</f>
        <v>0</v>
      </c>
      <c r="BC649">
        <f>IF(Metadata!Q649="",FALSE,TRUE)</f>
        <v>0</v>
      </c>
      <c r="BD649">
        <f>IF(Metadata!R649="",FALSE,TRUE)</f>
        <v>0</v>
      </c>
      <c r="BE649">
        <f>OR(AND(IF(Metadata!S649="",FALSE,TRUE),OR(exact(Metadata!S649,"not collected"),exact(Metadata!S649,"not provided"),exact(Metadata!S649,"restricted access"))),AND(IF(Metadata!S649="",FALSE,ISNUMBER(VALUE(Metadata!S649))),Metadata!S649&gt;=-90.00,Metadata!S649&lt;=90.00))</f>
        <v>0</v>
      </c>
      <c r="BF649">
        <f>AND(IF(Metadata!T649="",FALSE,TRUE),exact(Metadata!T649,"Decimal degrees"))</f>
        <v>0</v>
      </c>
      <c r="BG649">
        <f>OR(AND(IF(Metadata!U649="",FALSE,TRUE),OR(exact(Metadata!U649,"not collected"),exact(Metadata!U649,"not provided"),exact(Metadata!U649,"restricted access"))),AND(IF(Metadata!U649="",FALSE,ISNUMBER(VALUE(Metadata!U649))),Metadata!U649&gt;=-180.00,Metadata!U649&lt;=180.00))</f>
        <v>0</v>
      </c>
      <c r="BH649">
        <f>AND(IF(Metadata!V649="",FALSE,TRUE),exact(Metadata!V649,"Decimal degrees"))</f>
        <v>0</v>
      </c>
      <c r="BI649">
        <f>IF(Metadata!W649="",FALSE,TRUE)</f>
        <v>0</v>
      </c>
      <c r="BJ649">
        <f>OR(AND(IF(Metadata!X649="",FALSE,TRUE),OR(exact(Metadata!X649,"not collected"),exact(Metadata!X649,"not provided"),exact(Metadata!X649,"restricted access"))),AND(IF(Metadata!X649="",FALSE,TRUE),OR(exact(Metadata!X649,"TRUE"),exact(Metadata!X649,"FALSE"))))</f>
        <v>0</v>
      </c>
      <c r="BK649">
        <f>AND(IF(Metadata!Y649="",FALSE,TRUE),exact(Metadata!Y649,"other"))</f>
        <v>0</v>
      </c>
      <c r="BL649">
        <f>IF(Metadata!Z649="",FALSE,TRUE)</f>
        <v>0</v>
      </c>
      <c r="BM649">
        <f>OR(AND(IF(Metadata!AA649="",FALSE,TRUE),OR(exact(Metadata!AA649,"not collected"),exact(Metadata!AA649,"not provided"))),AND(IF(Metadata!AA649="",FALSE,IF(ISERROR(INT(Metadata!AA649)),FALSE,INT(Metadata!AA649)=Metadata!AA649)),Metadata!AA649&gt;0))</f>
        <v>0</v>
      </c>
      <c r="BN649">
        <f>AND(IF(Metadata!AB649="",FALSE,TRUE),exact(Metadata!AB649,"Not applicable"))</f>
        <v>0</v>
      </c>
      <c r="BO649">
        <f>IF(Metadata!AC649="",FALSE,TRUE)</f>
        <v>0</v>
      </c>
    </row>
    <row r="650" spans="1:67">
      <c r="A650" s="5">
        <f>IF(B650=" "," ",HYPERLINK(CONCATENATE("#metadata!",ADDRESS(INDEX($AI$2:$AI$1001,MATCH(ROWS($AG$2:AG650),$AG$2:$AG$1001,0),0),1)),INDEX($AL$2:$AL$1001,MATCH(ROWS($AG$2:AG650),$AG$2:$AG$1001,0),0)))</f>
        <v>0</v>
      </c>
      <c r="B650" s="4">
        <f>IF(OR(INDEX($AH$2:$AH$1001,MATCH(ROWS($AG$2:AG650),$AG$2:$AG$1001,0),1)&gt;=100000,INDEX($AN$1005:$BO$1005,1,MATCH(COLUMNS($AN$1006:AN1006),$AN$1006:$BO$1006,0))&gt;=100000), " ",IF(INDEX($AN$2:$BO$1001,MATCH(ROWS($AG$2:AG650),$AG$2:$AG$1001,0),MATCH(COLUMNS($AN$1006:AN1006),$AN$1006:$BO$1006,0)), HYPERLINK("#",""), HYPERLINK(CONCATENATE("#Metadata!", ADDRESS(INDEX($AI$2:$AI$1001,MATCH(ROWS($AG$2:AG650),$AG$2:$AG$1001,0),0), INDEX($AN$1004:$BO$1004,1,MATCH(COLUMNS($AN$1006:AN1006),$AN$1006:$BO$1006,0)))),"Fix")))</f>
        <v>0</v>
      </c>
      <c r="C650" s="4">
        <f>IF(OR(INDEX($AH$2:$AH$1001,MATCH(ROWS($AG$2:AG650),$AG$2:$AG$1001,0),1)&gt;=100000,INDEX($AN$1005:$BO$1005,1,MATCH(COLUMNS($AN$1006:AO1006),$AN$1006:$BO$1006,0))&gt;=100000), " ",IF(INDEX($AN$2:$BO$1001,MATCH(ROWS($AG$2:AG650),$AG$2:$AG$1001,0),MATCH(COLUMNS($AN$1006:AO1006),$AN$1006:$BO$1006,0)), HYPERLINK("#",""), HYPERLINK(CONCATENATE("#Metadata!", ADDRESS(INDEX($AI$2:$AI$1001,MATCH(ROWS($AG$2:AG650),$AG$2:$AG$1001,0),0), INDEX($AN$1004:$BO$1004,1,MATCH(COLUMNS($AN$1006:AO1006),$AN$1006:$BO$1006,0)))),"Fix")))</f>
        <v>0</v>
      </c>
      <c r="D650" s="4">
        <f>IF(OR(INDEX($AH$2:$AH$1001,MATCH(ROWS($AG$2:AG650),$AG$2:$AG$1001,0),1)&gt;=100000,INDEX($AN$1005:$BO$1005,1,MATCH(COLUMNS($AN$1006:AP1006),$AN$1006:$BO$1006,0))&gt;=100000), " ",IF(INDEX($AN$2:$BO$1001,MATCH(ROWS($AG$2:AG650),$AG$2:$AG$1001,0),MATCH(COLUMNS($AN$1006:AP1006),$AN$1006:$BO$1006,0)), HYPERLINK("#",""), HYPERLINK(CONCATENATE("#Metadata!", ADDRESS(INDEX($AI$2:$AI$1001,MATCH(ROWS($AG$2:AG650),$AG$2:$AG$1001,0),0), INDEX($AN$1004:$BO$1004,1,MATCH(COLUMNS($AN$1006:AP1006),$AN$1006:$BO$1006,0)))),"Fix")))</f>
        <v>0</v>
      </c>
      <c r="E650" s="4">
        <f>IF(OR(INDEX($AH$2:$AH$1001,MATCH(ROWS($AG$2:AG650),$AG$2:$AG$1001,0),1)&gt;=100000,INDEX($AN$1005:$BO$1005,1,MATCH(COLUMNS($AN$1006:AQ1006),$AN$1006:$BO$1006,0))&gt;=100000), " ",IF(INDEX($AN$2:$BO$1001,MATCH(ROWS($AG$2:AG650),$AG$2:$AG$1001,0),MATCH(COLUMNS($AN$1006:AQ1006),$AN$1006:$BO$1006,0)), HYPERLINK("#",""), HYPERLINK(CONCATENATE("#Metadata!", ADDRESS(INDEX($AI$2:$AI$1001,MATCH(ROWS($AG$2:AG650),$AG$2:$AG$1001,0),0), INDEX($AN$1004:$BO$1004,1,MATCH(COLUMNS($AN$1006:AQ1006),$AN$1006:$BO$1006,0)))),"Fix")))</f>
        <v>0</v>
      </c>
      <c r="F650" s="4">
        <f>IF(OR(INDEX($AH$2:$AH$1001,MATCH(ROWS($AG$2:AG650),$AG$2:$AG$1001,0),1)&gt;=100000,INDEX($AN$1005:$BO$1005,1,MATCH(COLUMNS($AN$1006:AR1006),$AN$1006:$BO$1006,0))&gt;=100000), " ",IF(INDEX($AN$2:$BO$1001,MATCH(ROWS($AG$2:AG650),$AG$2:$AG$1001,0),MATCH(COLUMNS($AN$1006:AR1006),$AN$1006:$BO$1006,0)), HYPERLINK("#",""), HYPERLINK(CONCATENATE("#Metadata!", ADDRESS(INDEX($AI$2:$AI$1001,MATCH(ROWS($AG$2:AG650),$AG$2:$AG$1001,0),0), INDEX($AN$1004:$BO$1004,1,MATCH(COLUMNS($AN$1006:AR1006),$AN$1006:$BO$1006,0)))),"Fix")))</f>
        <v>0</v>
      </c>
      <c r="G650" s="4">
        <f>IF(OR(INDEX($AH$2:$AH$1001,MATCH(ROWS($AG$2:AG650),$AG$2:$AG$1001,0),1)&gt;=100000,INDEX($AN$1005:$BO$1005,1,MATCH(COLUMNS($AN$1006:AS1006),$AN$1006:$BO$1006,0))&gt;=100000), " ",IF(INDEX($AN$2:$BO$1001,MATCH(ROWS($AG$2:AG650),$AG$2:$AG$1001,0),MATCH(COLUMNS($AN$1006:AS1006),$AN$1006:$BO$1006,0)), HYPERLINK("#",""), HYPERLINK(CONCATENATE("#Metadata!", ADDRESS(INDEX($AI$2:$AI$1001,MATCH(ROWS($AG$2:AG650),$AG$2:$AG$1001,0),0), INDEX($AN$1004:$BO$1004,1,MATCH(COLUMNS($AN$1006:AS1006),$AN$1006:$BO$1006,0)))),"Fix")))</f>
        <v>0</v>
      </c>
      <c r="H650" s="4">
        <f>IF(OR(INDEX($AH$2:$AH$1001,MATCH(ROWS($AG$2:AG650),$AG$2:$AG$1001,0),1)&gt;=100000,INDEX($AN$1005:$BO$1005,1,MATCH(COLUMNS($AN$1006:AT1006),$AN$1006:$BO$1006,0))&gt;=100000), " ",IF(INDEX($AN$2:$BO$1001,MATCH(ROWS($AG$2:AG650),$AG$2:$AG$1001,0),MATCH(COLUMNS($AN$1006:AT1006),$AN$1006:$BO$1006,0)), HYPERLINK("#",""), HYPERLINK(CONCATENATE("#Metadata!", ADDRESS(INDEX($AI$2:$AI$1001,MATCH(ROWS($AG$2:AG650),$AG$2:$AG$1001,0),0), INDEX($AN$1004:$BO$1004,1,MATCH(COLUMNS($AN$1006:AT1006),$AN$1006:$BO$1006,0)))),"Fix")))</f>
        <v>0</v>
      </c>
      <c r="I650" s="4">
        <f>IF(OR(INDEX($AH$2:$AH$1001,MATCH(ROWS($AG$2:AG650),$AG$2:$AG$1001,0),1)&gt;=100000,INDEX($AN$1005:$BO$1005,1,MATCH(COLUMNS($AN$1006:AU1006),$AN$1006:$BO$1006,0))&gt;=100000), " ",IF(INDEX($AN$2:$BO$1001,MATCH(ROWS($AG$2:AG650),$AG$2:$AG$1001,0),MATCH(COLUMNS($AN$1006:AU1006),$AN$1006:$BO$1006,0)), HYPERLINK("#",""), HYPERLINK(CONCATENATE("#Metadata!", ADDRESS(INDEX($AI$2:$AI$1001,MATCH(ROWS($AG$2:AG650),$AG$2:$AG$1001,0),0), INDEX($AN$1004:$BO$1004,1,MATCH(COLUMNS($AN$1006:AU1006),$AN$1006:$BO$1006,0)))),"Fix")))</f>
        <v>0</v>
      </c>
      <c r="J650" s="4">
        <f>IF(OR(INDEX($AH$2:$AH$1001,MATCH(ROWS($AG$2:AG650),$AG$2:$AG$1001,0),1)&gt;=100000,INDEX($AN$1005:$BO$1005,1,MATCH(COLUMNS($AN$1006:AV1006),$AN$1006:$BO$1006,0))&gt;=100000), " ",IF(INDEX($AN$2:$BO$1001,MATCH(ROWS($AG$2:AG650),$AG$2:$AG$1001,0),MATCH(COLUMNS($AN$1006:AV1006),$AN$1006:$BO$1006,0)), HYPERLINK("#",""), HYPERLINK(CONCATENATE("#Metadata!", ADDRESS(INDEX($AI$2:$AI$1001,MATCH(ROWS($AG$2:AG650),$AG$2:$AG$1001,0),0), INDEX($AN$1004:$BO$1004,1,MATCH(COLUMNS($AN$1006:AV1006),$AN$1006:$BO$1006,0)))),"Fix")))</f>
        <v>0</v>
      </c>
      <c r="K650" s="4">
        <f>IF(OR(INDEX($AH$2:$AH$1001,MATCH(ROWS($AG$2:AG650),$AG$2:$AG$1001,0),1)&gt;=100000,INDEX($AN$1005:$BO$1005,1,MATCH(COLUMNS($AN$1006:AW1006),$AN$1006:$BO$1006,0))&gt;=100000), " ",IF(INDEX($AN$2:$BO$1001,MATCH(ROWS($AG$2:AG650),$AG$2:$AG$1001,0),MATCH(COLUMNS($AN$1006:AW1006),$AN$1006:$BO$1006,0)), HYPERLINK("#",""), HYPERLINK(CONCATENATE("#Metadata!", ADDRESS(INDEX($AI$2:$AI$1001,MATCH(ROWS($AG$2:AG650),$AG$2:$AG$1001,0),0), INDEX($AN$1004:$BO$1004,1,MATCH(COLUMNS($AN$1006:AW1006),$AN$1006:$BO$1006,0)))),"Fix")))</f>
        <v>0</v>
      </c>
      <c r="L650" s="4">
        <f>IF(OR(INDEX($AH$2:$AH$1001,MATCH(ROWS($AG$2:AG650),$AG$2:$AG$1001,0),1)&gt;=100000,INDEX($AN$1005:$BO$1005,1,MATCH(COLUMNS($AN$1006:AX1006),$AN$1006:$BO$1006,0))&gt;=100000), " ",IF(INDEX($AN$2:$BO$1001,MATCH(ROWS($AG$2:AG650),$AG$2:$AG$1001,0),MATCH(COLUMNS($AN$1006:AX1006),$AN$1006:$BO$1006,0)), HYPERLINK("#",""), HYPERLINK(CONCATENATE("#Metadata!", ADDRESS(INDEX($AI$2:$AI$1001,MATCH(ROWS($AG$2:AG650),$AG$2:$AG$1001,0),0), INDEX($AN$1004:$BO$1004,1,MATCH(COLUMNS($AN$1006:AX1006),$AN$1006:$BO$1006,0)))),"Fix")))</f>
        <v>0</v>
      </c>
      <c r="M650" s="4">
        <f>IF(OR(INDEX($AH$2:$AH$1001,MATCH(ROWS($AG$2:AG650),$AG$2:$AG$1001,0),1)&gt;=100000,INDEX($AN$1005:$BO$1005,1,MATCH(COLUMNS($AN$1006:AY1006),$AN$1006:$BO$1006,0))&gt;=100000), " ",IF(INDEX($AN$2:$BO$1001,MATCH(ROWS($AG$2:AG650),$AG$2:$AG$1001,0),MATCH(COLUMNS($AN$1006:AY1006),$AN$1006:$BO$1006,0)), HYPERLINK("#",""), HYPERLINK(CONCATENATE("#Metadata!", ADDRESS(INDEX($AI$2:$AI$1001,MATCH(ROWS($AG$2:AG650),$AG$2:$AG$1001,0),0), INDEX($AN$1004:$BO$1004,1,MATCH(COLUMNS($AN$1006:AY1006),$AN$1006:$BO$1006,0)))),"Fix")))</f>
        <v>0</v>
      </c>
      <c r="N650" s="4">
        <f>IF(OR(INDEX($AH$2:$AH$1001,MATCH(ROWS($AG$2:AG650),$AG$2:$AG$1001,0),1)&gt;=100000,INDEX($AN$1005:$BO$1005,1,MATCH(COLUMNS($AN$1006:AZ1006),$AN$1006:$BO$1006,0))&gt;=100000), " ",IF(INDEX($AN$2:$BO$1001,MATCH(ROWS($AG$2:AG650),$AG$2:$AG$1001,0),MATCH(COLUMNS($AN$1006:AZ1006),$AN$1006:$BO$1006,0)), HYPERLINK("#",""), HYPERLINK(CONCATENATE("#Metadata!", ADDRESS(INDEX($AI$2:$AI$1001,MATCH(ROWS($AG$2:AG650),$AG$2:$AG$1001,0),0), INDEX($AN$1004:$BO$1004,1,MATCH(COLUMNS($AN$1006:AZ1006),$AN$1006:$BO$1006,0)))),"Fix")))</f>
        <v>0</v>
      </c>
      <c r="O650" s="4">
        <f>IF(OR(INDEX($AH$2:$AH$1001,MATCH(ROWS($AG$2:AG650),$AG$2:$AG$1001,0),1)&gt;=100000,INDEX($AN$1005:$BO$1005,1,MATCH(COLUMNS($AN$1006:BA1006),$AN$1006:$BO$1006,0))&gt;=100000), " ",IF(INDEX($AN$2:$BO$1001,MATCH(ROWS($AG$2:AG650),$AG$2:$AG$1001,0),MATCH(COLUMNS($AN$1006:BA1006),$AN$1006:$BO$1006,0)), HYPERLINK("#",""), HYPERLINK(CONCATENATE("#Metadata!", ADDRESS(INDEX($AI$2:$AI$1001,MATCH(ROWS($AG$2:AG650),$AG$2:$AG$1001,0),0), INDEX($AN$1004:$BO$1004,1,MATCH(COLUMNS($AN$1006:BA1006),$AN$1006:$BO$1006,0)))),"Fix")))</f>
        <v>0</v>
      </c>
      <c r="P650" s="4">
        <f>IF(OR(INDEX($AH$2:$AH$1001,MATCH(ROWS($AG$2:AG650),$AG$2:$AG$1001,0),1)&gt;=100000,INDEX($AN$1005:$BO$1005,1,MATCH(COLUMNS($AN$1006:BB1006),$AN$1006:$BO$1006,0))&gt;=100000), " ",IF(INDEX($AN$2:$BO$1001,MATCH(ROWS($AG$2:AG650),$AG$2:$AG$1001,0),MATCH(COLUMNS($AN$1006:BB1006),$AN$1006:$BO$1006,0)), HYPERLINK("#",""), HYPERLINK(CONCATENATE("#Metadata!", ADDRESS(INDEX($AI$2:$AI$1001,MATCH(ROWS($AG$2:AG650),$AG$2:$AG$1001,0),0), INDEX($AN$1004:$BO$1004,1,MATCH(COLUMNS($AN$1006:BB1006),$AN$1006:$BO$1006,0)))),"Fix")))</f>
        <v>0</v>
      </c>
      <c r="Q650" s="4">
        <f>IF(OR(INDEX($AH$2:$AH$1001,MATCH(ROWS($AG$2:AG650),$AG$2:$AG$1001,0),1)&gt;=100000,INDEX($AN$1005:$BO$1005,1,MATCH(COLUMNS($AN$1006:BC1006),$AN$1006:$BO$1006,0))&gt;=100000), " ",IF(INDEX($AN$2:$BO$1001,MATCH(ROWS($AG$2:AG650),$AG$2:$AG$1001,0),MATCH(COLUMNS($AN$1006:BC1006),$AN$1006:$BO$1006,0)), HYPERLINK("#",""), HYPERLINK(CONCATENATE("#Metadata!", ADDRESS(INDEX($AI$2:$AI$1001,MATCH(ROWS($AG$2:AG650),$AG$2:$AG$1001,0),0), INDEX($AN$1004:$BO$1004,1,MATCH(COLUMNS($AN$1006:BC1006),$AN$1006:$BO$1006,0)))),"Fix")))</f>
        <v>0</v>
      </c>
      <c r="R650" s="4">
        <f>IF(OR(INDEX($AH$2:$AH$1001,MATCH(ROWS($AG$2:AG650),$AG$2:$AG$1001,0),1)&gt;=100000,INDEX($AN$1005:$BO$1005,1,MATCH(COLUMNS($AN$1006:BD1006),$AN$1006:$BO$1006,0))&gt;=100000), " ",IF(INDEX($AN$2:$BO$1001,MATCH(ROWS($AG$2:AG650),$AG$2:$AG$1001,0),MATCH(COLUMNS($AN$1006:BD1006),$AN$1006:$BO$1006,0)), HYPERLINK("#",""), HYPERLINK(CONCATENATE("#Metadata!", ADDRESS(INDEX($AI$2:$AI$1001,MATCH(ROWS($AG$2:AG650),$AG$2:$AG$1001,0),0), INDEX($AN$1004:$BO$1004,1,MATCH(COLUMNS($AN$1006:BD1006),$AN$1006:$BO$1006,0)))),"Fix")))</f>
        <v>0</v>
      </c>
      <c r="S650" s="4">
        <f>IF(OR(INDEX($AH$2:$AH$1001,MATCH(ROWS($AG$2:AG650),$AG$2:$AG$1001,0),1)&gt;=100000,INDEX($AN$1005:$BO$1005,1,MATCH(COLUMNS($AN$1006:BE1006),$AN$1006:$BO$1006,0))&gt;=100000), " ",IF(INDEX($AN$2:$BO$1001,MATCH(ROWS($AG$2:AG650),$AG$2:$AG$1001,0),MATCH(COLUMNS($AN$1006:BE1006),$AN$1006:$BO$1006,0)), HYPERLINK("#",""), HYPERLINK(CONCATENATE("#Metadata!", ADDRESS(INDEX($AI$2:$AI$1001,MATCH(ROWS($AG$2:AG650),$AG$2:$AG$1001,0),0), INDEX($AN$1004:$BO$1004,1,MATCH(COLUMNS($AN$1006:BE1006),$AN$1006:$BO$1006,0)))),"Fix")))</f>
        <v>0</v>
      </c>
      <c r="T650" s="4">
        <f>IF(OR(INDEX($AH$2:$AH$1001,MATCH(ROWS($AG$2:AG650),$AG$2:$AG$1001,0),1)&gt;=100000,INDEX($AN$1005:$BO$1005,1,MATCH(COLUMNS($AN$1006:BF1006),$AN$1006:$BO$1006,0))&gt;=100000), " ",IF(INDEX($AN$2:$BO$1001,MATCH(ROWS($AG$2:AG650),$AG$2:$AG$1001,0),MATCH(COLUMNS($AN$1006:BF1006),$AN$1006:$BO$1006,0)), HYPERLINK("#",""), HYPERLINK(CONCATENATE("#Metadata!", ADDRESS(INDEX($AI$2:$AI$1001,MATCH(ROWS($AG$2:AG650),$AG$2:$AG$1001,0),0), INDEX($AN$1004:$BO$1004,1,MATCH(COLUMNS($AN$1006:BF1006),$AN$1006:$BO$1006,0)))),"Fix")))</f>
        <v>0</v>
      </c>
      <c r="U650" s="4">
        <f>IF(OR(INDEX($AH$2:$AH$1001,MATCH(ROWS($AG$2:AG650),$AG$2:$AG$1001,0),1)&gt;=100000,INDEX($AN$1005:$BO$1005,1,MATCH(COLUMNS($AN$1006:BG1006),$AN$1006:$BO$1006,0))&gt;=100000), " ",IF(INDEX($AN$2:$BO$1001,MATCH(ROWS($AG$2:AG650),$AG$2:$AG$1001,0),MATCH(COLUMNS($AN$1006:BG1006),$AN$1006:$BO$1006,0)), HYPERLINK("#",""), HYPERLINK(CONCATENATE("#Metadata!", ADDRESS(INDEX($AI$2:$AI$1001,MATCH(ROWS($AG$2:AG650),$AG$2:$AG$1001,0),0), INDEX($AN$1004:$BO$1004,1,MATCH(COLUMNS($AN$1006:BG1006),$AN$1006:$BO$1006,0)))),"Fix")))</f>
        <v>0</v>
      </c>
      <c r="V650" s="4">
        <f>IF(OR(INDEX($AH$2:$AH$1001,MATCH(ROWS($AG$2:AG650),$AG$2:$AG$1001,0),1)&gt;=100000,INDEX($AN$1005:$BO$1005,1,MATCH(COLUMNS($AN$1006:BH1006),$AN$1006:$BO$1006,0))&gt;=100000), " ",IF(INDEX($AN$2:$BO$1001,MATCH(ROWS($AG$2:AG650),$AG$2:$AG$1001,0),MATCH(COLUMNS($AN$1006:BH1006),$AN$1006:$BO$1006,0)), HYPERLINK("#",""), HYPERLINK(CONCATENATE("#Metadata!", ADDRESS(INDEX($AI$2:$AI$1001,MATCH(ROWS($AG$2:AG650),$AG$2:$AG$1001,0),0), INDEX($AN$1004:$BO$1004,1,MATCH(COLUMNS($AN$1006:BH1006),$AN$1006:$BO$1006,0)))),"Fix")))</f>
        <v>0</v>
      </c>
      <c r="W650" s="4">
        <f>IF(OR(INDEX($AH$2:$AH$1001,MATCH(ROWS($AG$2:AG650),$AG$2:$AG$1001,0),1)&gt;=100000,INDEX($AN$1005:$BO$1005,1,MATCH(COLUMNS($AN$1006:BI1006),$AN$1006:$BO$1006,0))&gt;=100000), " ",IF(INDEX($AN$2:$BO$1001,MATCH(ROWS($AG$2:AG650),$AG$2:$AG$1001,0),MATCH(COLUMNS($AN$1006:BI1006),$AN$1006:$BO$1006,0)), HYPERLINK("#",""), HYPERLINK(CONCATENATE("#Metadata!", ADDRESS(INDEX($AI$2:$AI$1001,MATCH(ROWS($AG$2:AG650),$AG$2:$AG$1001,0),0), INDEX($AN$1004:$BO$1004,1,MATCH(COLUMNS($AN$1006:BI1006),$AN$1006:$BO$1006,0)))),"Fix")))</f>
        <v>0</v>
      </c>
      <c r="X650" s="4">
        <f>IF(OR(INDEX($AH$2:$AH$1001,MATCH(ROWS($AG$2:AG650),$AG$2:$AG$1001,0),1)&gt;=100000,INDEX($AN$1005:$BO$1005,1,MATCH(COLUMNS($AN$1006:BJ1006),$AN$1006:$BO$1006,0))&gt;=100000), " ",IF(INDEX($AN$2:$BO$1001,MATCH(ROWS($AG$2:AG650),$AG$2:$AG$1001,0),MATCH(COLUMNS($AN$1006:BJ1006),$AN$1006:$BO$1006,0)), HYPERLINK("#",""), HYPERLINK(CONCATENATE("#Metadata!", ADDRESS(INDEX($AI$2:$AI$1001,MATCH(ROWS($AG$2:AG650),$AG$2:$AG$1001,0),0), INDEX($AN$1004:$BO$1004,1,MATCH(COLUMNS($AN$1006:BJ1006),$AN$1006:$BO$1006,0)))),"Fix")))</f>
        <v>0</v>
      </c>
      <c r="Y650" s="4">
        <f>IF(OR(INDEX($AH$2:$AH$1001,MATCH(ROWS($AG$2:AG650),$AG$2:$AG$1001,0),1)&gt;=100000,INDEX($AN$1005:$BO$1005,1,MATCH(COLUMNS($AN$1006:BK1006),$AN$1006:$BO$1006,0))&gt;=100000), " ",IF(INDEX($AN$2:$BO$1001,MATCH(ROWS($AG$2:AG650),$AG$2:$AG$1001,0),MATCH(COLUMNS($AN$1006:BK1006),$AN$1006:$BO$1006,0)), HYPERLINK("#",""), HYPERLINK(CONCATENATE("#Metadata!", ADDRESS(INDEX($AI$2:$AI$1001,MATCH(ROWS($AG$2:AG650),$AG$2:$AG$1001,0),0), INDEX($AN$1004:$BO$1004,1,MATCH(COLUMNS($AN$1006:BK1006),$AN$1006:$BO$1006,0)))),"Fix")))</f>
        <v>0</v>
      </c>
      <c r="Z650" s="4">
        <f>IF(OR(INDEX($AH$2:$AH$1001,MATCH(ROWS($AG$2:AG650),$AG$2:$AG$1001,0),1)&gt;=100000,INDEX($AN$1005:$BO$1005,1,MATCH(COLUMNS($AN$1006:BL1006),$AN$1006:$BO$1006,0))&gt;=100000), " ",IF(INDEX($AN$2:$BO$1001,MATCH(ROWS($AG$2:AG650),$AG$2:$AG$1001,0),MATCH(COLUMNS($AN$1006:BL1006),$AN$1006:$BO$1006,0)), HYPERLINK("#",""), HYPERLINK(CONCATENATE("#Metadata!", ADDRESS(INDEX($AI$2:$AI$1001,MATCH(ROWS($AG$2:AG650),$AG$2:$AG$1001,0),0), INDEX($AN$1004:$BO$1004,1,MATCH(COLUMNS($AN$1006:BL1006),$AN$1006:$BO$1006,0)))),"Fix")))</f>
        <v>0</v>
      </c>
      <c r="AA650" s="4">
        <f>IF(OR(INDEX($AH$2:$AH$1001,MATCH(ROWS($AG$2:AG650),$AG$2:$AG$1001,0),1)&gt;=100000,INDEX($AN$1005:$BO$1005,1,MATCH(COLUMNS($AN$1006:BM1006),$AN$1006:$BO$1006,0))&gt;=100000), " ",IF(INDEX($AN$2:$BO$1001,MATCH(ROWS($AG$2:AG650),$AG$2:$AG$1001,0),MATCH(COLUMNS($AN$1006:BM1006),$AN$1006:$BO$1006,0)), HYPERLINK("#",""), HYPERLINK(CONCATENATE("#Metadata!", ADDRESS(INDEX($AI$2:$AI$1001,MATCH(ROWS($AG$2:AG650),$AG$2:$AG$1001,0),0), INDEX($AN$1004:$BO$1004,1,MATCH(COLUMNS($AN$1006:BM1006),$AN$1006:$BO$1006,0)))),"Fix")))</f>
        <v>0</v>
      </c>
      <c r="AB650" s="4">
        <f>IF(OR(INDEX($AH$2:$AH$1001,MATCH(ROWS($AG$2:AG650),$AG$2:$AG$1001,0),1)&gt;=100000,INDEX($AN$1005:$BO$1005,1,MATCH(COLUMNS($AN$1006:BN1006),$AN$1006:$BO$1006,0))&gt;=100000), " ",IF(INDEX($AN$2:$BO$1001,MATCH(ROWS($AG$2:AG650),$AG$2:$AG$1001,0),MATCH(COLUMNS($AN$1006:BN1006),$AN$1006:$BO$1006,0)), HYPERLINK("#",""), HYPERLINK(CONCATENATE("#Metadata!", ADDRESS(INDEX($AI$2:$AI$1001,MATCH(ROWS($AG$2:AG650),$AG$2:$AG$1001,0),0), INDEX($AN$1004:$BO$1004,1,MATCH(COLUMNS($AN$1006:BN1006),$AN$1006:$BO$1006,0)))),"Fix")))</f>
        <v>0</v>
      </c>
      <c r="AC650" s="4">
        <f>IF(OR(INDEX($AH$2:$AH$1001,MATCH(ROWS($AG$2:AG650),$AG$2:$AG$1001,0),1)&gt;=100000,INDEX($AN$1005:$BO$1005,1,MATCH(COLUMNS($AN$1006:BO1006),$AN$1006:$BO$1006,0))&gt;=100000), " ",IF(INDEX($AN$2:$BO$1001,MATCH(ROWS($AG$2:AG650),$AG$2:$AG$1001,0),MATCH(COLUMNS($AN$1006:BO1006),$AN$1006:$BO$1006,0)), HYPERLINK("#",""), HYPERLINK(CONCATENATE("#Metadata!", ADDRESS(INDEX($AI$2:$AI$1001,MATCH(ROWS($AG$2:AG650),$AG$2:$AG$1001,0),0), INDEX($AN$1004:$BO$1004,1,MATCH(COLUMNS($AN$1006:BO1006),$AN$1006:$BO$1006,0)))),"Fix")))</f>
        <v>0</v>
      </c>
      <c r="AG650">
        <v>0</v>
      </c>
      <c r="AH650">
        <v>0</v>
      </c>
      <c r="AI650">
        <v>0</v>
      </c>
      <c r="AJ650">
        <f>IF(AK650,TRUE,AND(AN650:BO650))</f>
        <v>0</v>
      </c>
      <c r="AK650">
        <f>COUNTBLANK(Metadata!B650:AC650)=COLUMNS(Metadata!B650:AC650)</f>
        <v>0</v>
      </c>
      <c r="AL650">
        <v>0</v>
      </c>
      <c r="AN650">
        <f>AND(IF(Metadata!B650="",FALSE,TRUE),COUNTIF(Metadata!B:B, Metadata!B650) = 1,NOT(ISERROR(SUMPRODUCT(SEARCH(MID(Metadata!B650,ROW(INDIRECT("1:"&amp;LEN(Metadata!B650))), 1),"0123456789abcdefghijklmnopqrstuvwxyzABCDEFGHIJKLMNOPQRSTUVWXYZ.")))))</f>
        <v>0</v>
      </c>
      <c r="AO650">
        <f>IF(Metadata!C650="",FALSE,TRUE)</f>
        <v>0</v>
      </c>
      <c r="AP650">
        <f>IF(Metadata!D650="",FALSE,TRUE)</f>
        <v>0</v>
      </c>
      <c r="AQ650">
        <f>OR(AND(IF(Metadata!E650="",FALSE,TRUE),OR(exact(Metadata!E650,"not collected"),exact(Metadata!E650,"not provided"),exact(Metadata!E650,"restricted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R650">
        <f>IF(Metadata!F650="",FALSE,TRUE)</f>
        <v>0</v>
      </c>
      <c r="AS650">
        <f>OR(AND(IF(Metadata!G650="",FALSE,TRUE),OR(exact(Metadata!G650,"not collected"),exact(Metadata!G650,"not provided"))),AND(IF(Metadata!G650="",FALSE,TRUE),OR(exact(Metadata!G650,"TRUE"),exact(Metadata!G650,"FALSE"))))</f>
        <v>0</v>
      </c>
      <c r="AT650">
        <f>OR(AND(IF(Metadata!H650="",FALSE,TRUE),OR(exact(Metadata!H650,"not collected"),exact(Metadata!H650,"not provided"),exact(Metadata!H650,"restricted access"))),AND(IF(Metadata!H650="",FALSE,ISNUMBER(VALUE(Metadata!H650))),Metadata!H650&gt;=-413.0))</f>
        <v>0</v>
      </c>
      <c r="AU650">
        <f>AND(IF(Metadata!I650="",FALSE,TRUE),exact(Metadata!I650,"meters"))</f>
        <v>0</v>
      </c>
      <c r="AV650">
        <f>AND(IF(Metadata!J650="",FALSE,TRUE),OR(exact(Metadata!J650,"Host-associated"),exact(Metadata!J650,"Free-living")))</f>
        <v>0</v>
      </c>
      <c r="AW650">
        <f>AND(IF(Metadata!K650="",FALSE,TRUE),OR(exact(Metadata!K650,"Animal"),exact(Metadata!K650,"Fungus"),exact(Metadata!K650,"Plant"),exact(Metadata!K650,"Saline"),exact(Metadata!K650,"Non-saline")))</f>
        <v>0</v>
      </c>
      <c r="AX650">
        <f>AND(IF(Metadata!L650="",FALSE,TRUE),OR(exact(Metadata!L650,"Plant secretion"),exact(Metadata!L650,"Plant rhizosphere"),exact(Metadata!L650,"Plant surface"),exact(Metadata!L650,"Plant corpus"),exact(Metadata!L650,"Fungus surface"),exact(Metadata!L650,"Fungus corpus"),exact(Metadata!L650,"Animal surface"),exact(Metadata!L650,"Animal proximal gut"),exact(Metadata!L650,"Animal corpus"),exact(Metadata!L650,"Animal distal gut"),exact(Metadata!L650,"Animal secretion"),exact(Metadata!L650,"Sub-surface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Y650">
        <f>IF(Metadata!M650="",FALSE,TRUE)</f>
        <v>0</v>
      </c>
      <c r="AZ650">
        <f>IF(Metadata!N650="",FALSE,TRUE)</f>
        <v>0</v>
      </c>
      <c r="BA650">
        <f>IF(Metadata!O650="",FALSE,TRUE)</f>
        <v>0</v>
      </c>
      <c r="BB650">
        <f>OR(AND(IF(Metadata!P650="",FALSE,TRUE),OR(exact(Metadata!P650,"not collected"),exact(Metadata!P650,"not provided"),exact(Metadata!P650,"restricted access"))),AND(IF(Metadata!P650="",FALSE,TRUE),OR(exact(Metadata!P650,"air"),exact(Metadata!P650,"built environment"),exact(Metadata!P650,"host-associated"),exact(Metadata!P650,"human-associated"),exact(Metadata!P650,"human-skin"),exact(Metadata!P650,"human-oral"),exact(Metadata!P650,"human-gut"),exact(Metadata!P650,"human-vaginal"),exact(Metadata!P650,"microbial mat/biofilm"),exact(Metadata!P650,"misc environment"),exact(Metadata!P650,"plant-associated"),exact(Metadata!P650,"sediment"),exact(Metadata!P650,"soil"),exact(Metadata!P650,"wastewater/sludge"),exact(Metadata!P650,"water"))))</f>
        <v>0</v>
      </c>
      <c r="BC650">
        <f>IF(Metadata!Q650="",FALSE,TRUE)</f>
        <v>0</v>
      </c>
      <c r="BD650">
        <f>IF(Metadata!R650="",FALSE,TRUE)</f>
        <v>0</v>
      </c>
      <c r="BE650">
        <f>OR(AND(IF(Metadata!S650="",FALSE,TRUE),OR(exact(Metadata!S650,"not collected"),exact(Metadata!S650,"not provided"),exact(Metadata!S650,"restricted access"))),AND(IF(Metadata!S650="",FALSE,ISNUMBER(VALUE(Metadata!S650))),Metadata!S650&gt;=-90.00,Metadata!S650&lt;=90.00))</f>
        <v>0</v>
      </c>
      <c r="BF650">
        <f>AND(IF(Metadata!T650="",FALSE,TRUE),exact(Metadata!T650,"Decimal degrees"))</f>
        <v>0</v>
      </c>
      <c r="BG650">
        <f>OR(AND(IF(Metadata!U650="",FALSE,TRUE),OR(exact(Metadata!U650,"not collected"),exact(Metadata!U650,"not provided"),exact(Metadata!U650,"restricted access"))),AND(IF(Metadata!U650="",FALSE,ISNUMBER(VALUE(Metadata!U650))),Metadata!U650&gt;=-180.00,Metadata!U650&lt;=180.00))</f>
        <v>0</v>
      </c>
      <c r="BH650">
        <f>AND(IF(Metadata!V650="",FALSE,TRUE),exact(Metadata!V650,"Decimal degrees"))</f>
        <v>0</v>
      </c>
      <c r="BI650">
        <f>IF(Metadata!W650="",FALSE,TRUE)</f>
        <v>0</v>
      </c>
      <c r="BJ650">
        <f>OR(AND(IF(Metadata!X650="",FALSE,TRUE),OR(exact(Metadata!X650,"not collected"),exact(Metadata!X650,"not provided"),exact(Metadata!X650,"restricted access"))),AND(IF(Metadata!X650="",FALSE,TRUE),OR(exact(Metadata!X650,"TRUE"),exact(Metadata!X650,"FALSE"))))</f>
        <v>0</v>
      </c>
      <c r="BK650">
        <f>AND(IF(Metadata!Y650="",FALSE,TRUE),exact(Metadata!Y650,"other"))</f>
        <v>0</v>
      </c>
      <c r="BL650">
        <f>IF(Metadata!Z650="",FALSE,TRUE)</f>
        <v>0</v>
      </c>
      <c r="BM650">
        <f>OR(AND(IF(Metadata!AA650="",FALSE,TRUE),OR(exact(Metadata!AA650,"not collected"),exact(Metadata!AA650,"not provided"))),AND(IF(Metadata!AA650="",FALSE,IF(ISERROR(INT(Metadata!AA650)),FALSE,INT(Metadata!AA650)=Metadata!AA650)),Metadata!AA650&gt;0))</f>
        <v>0</v>
      </c>
      <c r="BN650">
        <f>AND(IF(Metadata!AB650="",FALSE,TRUE),exact(Metadata!AB650,"Not applicable"))</f>
        <v>0</v>
      </c>
      <c r="BO650">
        <f>IF(Metadata!AC650="",FALSE,TRUE)</f>
        <v>0</v>
      </c>
    </row>
    <row r="651" spans="1:67">
      <c r="A651" s="5">
        <f>IF(B651=" "," ",HYPERLINK(CONCATENATE("#metadata!",ADDRESS(INDEX($AI$2:$AI$1001,MATCH(ROWS($AG$2:AG651),$AG$2:$AG$1001,0),0),1)),INDEX($AL$2:$AL$1001,MATCH(ROWS($AG$2:AG651),$AG$2:$AG$1001,0),0)))</f>
        <v>0</v>
      </c>
      <c r="B651" s="4">
        <f>IF(OR(INDEX($AH$2:$AH$1001,MATCH(ROWS($AG$2:AG651),$AG$2:$AG$1001,0),1)&gt;=100000,INDEX($AN$1005:$BO$1005,1,MATCH(COLUMNS($AN$1006:AN1006),$AN$1006:$BO$1006,0))&gt;=100000), " ",IF(INDEX($AN$2:$BO$1001,MATCH(ROWS($AG$2:AG651),$AG$2:$AG$1001,0),MATCH(COLUMNS($AN$1006:AN1006),$AN$1006:$BO$1006,0)), HYPERLINK("#",""), HYPERLINK(CONCATENATE("#Metadata!", ADDRESS(INDEX($AI$2:$AI$1001,MATCH(ROWS($AG$2:AG651),$AG$2:$AG$1001,0),0), INDEX($AN$1004:$BO$1004,1,MATCH(COLUMNS($AN$1006:AN1006),$AN$1006:$BO$1006,0)))),"Fix")))</f>
        <v>0</v>
      </c>
      <c r="C651" s="4">
        <f>IF(OR(INDEX($AH$2:$AH$1001,MATCH(ROWS($AG$2:AG651),$AG$2:$AG$1001,0),1)&gt;=100000,INDEX($AN$1005:$BO$1005,1,MATCH(COLUMNS($AN$1006:AO1006),$AN$1006:$BO$1006,0))&gt;=100000), " ",IF(INDEX($AN$2:$BO$1001,MATCH(ROWS($AG$2:AG651),$AG$2:$AG$1001,0),MATCH(COLUMNS($AN$1006:AO1006),$AN$1006:$BO$1006,0)), HYPERLINK("#",""), HYPERLINK(CONCATENATE("#Metadata!", ADDRESS(INDEX($AI$2:$AI$1001,MATCH(ROWS($AG$2:AG651),$AG$2:$AG$1001,0),0), INDEX($AN$1004:$BO$1004,1,MATCH(COLUMNS($AN$1006:AO1006),$AN$1006:$BO$1006,0)))),"Fix")))</f>
        <v>0</v>
      </c>
      <c r="D651" s="4">
        <f>IF(OR(INDEX($AH$2:$AH$1001,MATCH(ROWS($AG$2:AG651),$AG$2:$AG$1001,0),1)&gt;=100000,INDEX($AN$1005:$BO$1005,1,MATCH(COLUMNS($AN$1006:AP1006),$AN$1006:$BO$1006,0))&gt;=100000), " ",IF(INDEX($AN$2:$BO$1001,MATCH(ROWS($AG$2:AG651),$AG$2:$AG$1001,0),MATCH(COLUMNS($AN$1006:AP1006),$AN$1006:$BO$1006,0)), HYPERLINK("#",""), HYPERLINK(CONCATENATE("#Metadata!", ADDRESS(INDEX($AI$2:$AI$1001,MATCH(ROWS($AG$2:AG651),$AG$2:$AG$1001,0),0), INDEX($AN$1004:$BO$1004,1,MATCH(COLUMNS($AN$1006:AP1006),$AN$1006:$BO$1006,0)))),"Fix")))</f>
        <v>0</v>
      </c>
      <c r="E651" s="4">
        <f>IF(OR(INDEX($AH$2:$AH$1001,MATCH(ROWS($AG$2:AG651),$AG$2:$AG$1001,0),1)&gt;=100000,INDEX($AN$1005:$BO$1005,1,MATCH(COLUMNS($AN$1006:AQ1006),$AN$1006:$BO$1006,0))&gt;=100000), " ",IF(INDEX($AN$2:$BO$1001,MATCH(ROWS($AG$2:AG651),$AG$2:$AG$1001,0),MATCH(COLUMNS($AN$1006:AQ1006),$AN$1006:$BO$1006,0)), HYPERLINK("#",""), HYPERLINK(CONCATENATE("#Metadata!", ADDRESS(INDEX($AI$2:$AI$1001,MATCH(ROWS($AG$2:AG651),$AG$2:$AG$1001,0),0), INDEX($AN$1004:$BO$1004,1,MATCH(COLUMNS($AN$1006:AQ1006),$AN$1006:$BO$1006,0)))),"Fix")))</f>
        <v>0</v>
      </c>
      <c r="F651" s="4">
        <f>IF(OR(INDEX($AH$2:$AH$1001,MATCH(ROWS($AG$2:AG651),$AG$2:$AG$1001,0),1)&gt;=100000,INDEX($AN$1005:$BO$1005,1,MATCH(COLUMNS($AN$1006:AR1006),$AN$1006:$BO$1006,0))&gt;=100000), " ",IF(INDEX($AN$2:$BO$1001,MATCH(ROWS($AG$2:AG651),$AG$2:$AG$1001,0),MATCH(COLUMNS($AN$1006:AR1006),$AN$1006:$BO$1006,0)), HYPERLINK("#",""), HYPERLINK(CONCATENATE("#Metadata!", ADDRESS(INDEX($AI$2:$AI$1001,MATCH(ROWS($AG$2:AG651),$AG$2:$AG$1001,0),0), INDEX($AN$1004:$BO$1004,1,MATCH(COLUMNS($AN$1006:AR1006),$AN$1006:$BO$1006,0)))),"Fix")))</f>
        <v>0</v>
      </c>
      <c r="G651" s="4">
        <f>IF(OR(INDEX($AH$2:$AH$1001,MATCH(ROWS($AG$2:AG651),$AG$2:$AG$1001,0),1)&gt;=100000,INDEX($AN$1005:$BO$1005,1,MATCH(COLUMNS($AN$1006:AS1006),$AN$1006:$BO$1006,0))&gt;=100000), " ",IF(INDEX($AN$2:$BO$1001,MATCH(ROWS($AG$2:AG651),$AG$2:$AG$1001,0),MATCH(COLUMNS($AN$1006:AS1006),$AN$1006:$BO$1006,0)), HYPERLINK("#",""), HYPERLINK(CONCATENATE("#Metadata!", ADDRESS(INDEX($AI$2:$AI$1001,MATCH(ROWS($AG$2:AG651),$AG$2:$AG$1001,0),0), INDEX($AN$1004:$BO$1004,1,MATCH(COLUMNS($AN$1006:AS1006),$AN$1006:$BO$1006,0)))),"Fix")))</f>
        <v>0</v>
      </c>
      <c r="H651" s="4">
        <f>IF(OR(INDEX($AH$2:$AH$1001,MATCH(ROWS($AG$2:AG651),$AG$2:$AG$1001,0),1)&gt;=100000,INDEX($AN$1005:$BO$1005,1,MATCH(COLUMNS($AN$1006:AT1006),$AN$1006:$BO$1006,0))&gt;=100000), " ",IF(INDEX($AN$2:$BO$1001,MATCH(ROWS($AG$2:AG651),$AG$2:$AG$1001,0),MATCH(COLUMNS($AN$1006:AT1006),$AN$1006:$BO$1006,0)), HYPERLINK("#",""), HYPERLINK(CONCATENATE("#Metadata!", ADDRESS(INDEX($AI$2:$AI$1001,MATCH(ROWS($AG$2:AG651),$AG$2:$AG$1001,0),0), INDEX($AN$1004:$BO$1004,1,MATCH(COLUMNS($AN$1006:AT1006),$AN$1006:$BO$1006,0)))),"Fix")))</f>
        <v>0</v>
      </c>
      <c r="I651" s="4">
        <f>IF(OR(INDEX($AH$2:$AH$1001,MATCH(ROWS($AG$2:AG651),$AG$2:$AG$1001,0),1)&gt;=100000,INDEX($AN$1005:$BO$1005,1,MATCH(COLUMNS($AN$1006:AU1006),$AN$1006:$BO$1006,0))&gt;=100000), " ",IF(INDEX($AN$2:$BO$1001,MATCH(ROWS($AG$2:AG651),$AG$2:$AG$1001,0),MATCH(COLUMNS($AN$1006:AU1006),$AN$1006:$BO$1006,0)), HYPERLINK("#",""), HYPERLINK(CONCATENATE("#Metadata!", ADDRESS(INDEX($AI$2:$AI$1001,MATCH(ROWS($AG$2:AG651),$AG$2:$AG$1001,0),0), INDEX($AN$1004:$BO$1004,1,MATCH(COLUMNS($AN$1006:AU1006),$AN$1006:$BO$1006,0)))),"Fix")))</f>
        <v>0</v>
      </c>
      <c r="J651" s="4">
        <f>IF(OR(INDEX($AH$2:$AH$1001,MATCH(ROWS($AG$2:AG651),$AG$2:$AG$1001,0),1)&gt;=100000,INDEX($AN$1005:$BO$1005,1,MATCH(COLUMNS($AN$1006:AV1006),$AN$1006:$BO$1006,0))&gt;=100000), " ",IF(INDEX($AN$2:$BO$1001,MATCH(ROWS($AG$2:AG651),$AG$2:$AG$1001,0),MATCH(COLUMNS($AN$1006:AV1006),$AN$1006:$BO$1006,0)), HYPERLINK("#",""), HYPERLINK(CONCATENATE("#Metadata!", ADDRESS(INDEX($AI$2:$AI$1001,MATCH(ROWS($AG$2:AG651),$AG$2:$AG$1001,0),0), INDEX($AN$1004:$BO$1004,1,MATCH(COLUMNS($AN$1006:AV1006),$AN$1006:$BO$1006,0)))),"Fix")))</f>
        <v>0</v>
      </c>
      <c r="K651" s="4">
        <f>IF(OR(INDEX($AH$2:$AH$1001,MATCH(ROWS($AG$2:AG651),$AG$2:$AG$1001,0),1)&gt;=100000,INDEX($AN$1005:$BO$1005,1,MATCH(COLUMNS($AN$1006:AW1006),$AN$1006:$BO$1006,0))&gt;=100000), " ",IF(INDEX($AN$2:$BO$1001,MATCH(ROWS($AG$2:AG651),$AG$2:$AG$1001,0),MATCH(COLUMNS($AN$1006:AW1006),$AN$1006:$BO$1006,0)), HYPERLINK("#",""), HYPERLINK(CONCATENATE("#Metadata!", ADDRESS(INDEX($AI$2:$AI$1001,MATCH(ROWS($AG$2:AG651),$AG$2:$AG$1001,0),0), INDEX($AN$1004:$BO$1004,1,MATCH(COLUMNS($AN$1006:AW1006),$AN$1006:$BO$1006,0)))),"Fix")))</f>
        <v>0</v>
      </c>
      <c r="L651" s="4">
        <f>IF(OR(INDEX($AH$2:$AH$1001,MATCH(ROWS($AG$2:AG651),$AG$2:$AG$1001,0),1)&gt;=100000,INDEX($AN$1005:$BO$1005,1,MATCH(COLUMNS($AN$1006:AX1006),$AN$1006:$BO$1006,0))&gt;=100000), " ",IF(INDEX($AN$2:$BO$1001,MATCH(ROWS($AG$2:AG651),$AG$2:$AG$1001,0),MATCH(COLUMNS($AN$1006:AX1006),$AN$1006:$BO$1006,0)), HYPERLINK("#",""), HYPERLINK(CONCATENATE("#Metadata!", ADDRESS(INDEX($AI$2:$AI$1001,MATCH(ROWS($AG$2:AG651),$AG$2:$AG$1001,0),0), INDEX($AN$1004:$BO$1004,1,MATCH(COLUMNS($AN$1006:AX1006),$AN$1006:$BO$1006,0)))),"Fix")))</f>
        <v>0</v>
      </c>
      <c r="M651" s="4">
        <f>IF(OR(INDEX($AH$2:$AH$1001,MATCH(ROWS($AG$2:AG651),$AG$2:$AG$1001,0),1)&gt;=100000,INDEX($AN$1005:$BO$1005,1,MATCH(COLUMNS($AN$1006:AY1006),$AN$1006:$BO$1006,0))&gt;=100000), " ",IF(INDEX($AN$2:$BO$1001,MATCH(ROWS($AG$2:AG651),$AG$2:$AG$1001,0),MATCH(COLUMNS($AN$1006:AY1006),$AN$1006:$BO$1006,0)), HYPERLINK("#",""), HYPERLINK(CONCATENATE("#Metadata!", ADDRESS(INDEX($AI$2:$AI$1001,MATCH(ROWS($AG$2:AG651),$AG$2:$AG$1001,0),0), INDEX($AN$1004:$BO$1004,1,MATCH(COLUMNS($AN$1006:AY1006),$AN$1006:$BO$1006,0)))),"Fix")))</f>
        <v>0</v>
      </c>
      <c r="N651" s="4">
        <f>IF(OR(INDEX($AH$2:$AH$1001,MATCH(ROWS($AG$2:AG651),$AG$2:$AG$1001,0),1)&gt;=100000,INDEX($AN$1005:$BO$1005,1,MATCH(COLUMNS($AN$1006:AZ1006),$AN$1006:$BO$1006,0))&gt;=100000), " ",IF(INDEX($AN$2:$BO$1001,MATCH(ROWS($AG$2:AG651),$AG$2:$AG$1001,0),MATCH(COLUMNS($AN$1006:AZ1006),$AN$1006:$BO$1006,0)), HYPERLINK("#",""), HYPERLINK(CONCATENATE("#Metadata!", ADDRESS(INDEX($AI$2:$AI$1001,MATCH(ROWS($AG$2:AG651),$AG$2:$AG$1001,0),0), INDEX($AN$1004:$BO$1004,1,MATCH(COLUMNS($AN$1006:AZ1006),$AN$1006:$BO$1006,0)))),"Fix")))</f>
        <v>0</v>
      </c>
      <c r="O651" s="4">
        <f>IF(OR(INDEX($AH$2:$AH$1001,MATCH(ROWS($AG$2:AG651),$AG$2:$AG$1001,0),1)&gt;=100000,INDEX($AN$1005:$BO$1005,1,MATCH(COLUMNS($AN$1006:BA1006),$AN$1006:$BO$1006,0))&gt;=100000), " ",IF(INDEX($AN$2:$BO$1001,MATCH(ROWS($AG$2:AG651),$AG$2:$AG$1001,0),MATCH(COLUMNS($AN$1006:BA1006),$AN$1006:$BO$1006,0)), HYPERLINK("#",""), HYPERLINK(CONCATENATE("#Metadata!", ADDRESS(INDEX($AI$2:$AI$1001,MATCH(ROWS($AG$2:AG651),$AG$2:$AG$1001,0),0), INDEX($AN$1004:$BO$1004,1,MATCH(COLUMNS($AN$1006:BA1006),$AN$1006:$BO$1006,0)))),"Fix")))</f>
        <v>0</v>
      </c>
      <c r="P651" s="4">
        <f>IF(OR(INDEX($AH$2:$AH$1001,MATCH(ROWS($AG$2:AG651),$AG$2:$AG$1001,0),1)&gt;=100000,INDEX($AN$1005:$BO$1005,1,MATCH(COLUMNS($AN$1006:BB1006),$AN$1006:$BO$1006,0))&gt;=100000), " ",IF(INDEX($AN$2:$BO$1001,MATCH(ROWS($AG$2:AG651),$AG$2:$AG$1001,0),MATCH(COLUMNS($AN$1006:BB1006),$AN$1006:$BO$1006,0)), HYPERLINK("#",""), HYPERLINK(CONCATENATE("#Metadata!", ADDRESS(INDEX($AI$2:$AI$1001,MATCH(ROWS($AG$2:AG651),$AG$2:$AG$1001,0),0), INDEX($AN$1004:$BO$1004,1,MATCH(COLUMNS($AN$1006:BB1006),$AN$1006:$BO$1006,0)))),"Fix")))</f>
        <v>0</v>
      </c>
      <c r="Q651" s="4">
        <f>IF(OR(INDEX($AH$2:$AH$1001,MATCH(ROWS($AG$2:AG651),$AG$2:$AG$1001,0),1)&gt;=100000,INDEX($AN$1005:$BO$1005,1,MATCH(COLUMNS($AN$1006:BC1006),$AN$1006:$BO$1006,0))&gt;=100000), " ",IF(INDEX($AN$2:$BO$1001,MATCH(ROWS($AG$2:AG651),$AG$2:$AG$1001,0),MATCH(COLUMNS($AN$1006:BC1006),$AN$1006:$BO$1006,0)), HYPERLINK("#",""), HYPERLINK(CONCATENATE("#Metadata!", ADDRESS(INDEX($AI$2:$AI$1001,MATCH(ROWS($AG$2:AG651),$AG$2:$AG$1001,0),0), INDEX($AN$1004:$BO$1004,1,MATCH(COLUMNS($AN$1006:BC1006),$AN$1006:$BO$1006,0)))),"Fix")))</f>
        <v>0</v>
      </c>
      <c r="R651" s="4">
        <f>IF(OR(INDEX($AH$2:$AH$1001,MATCH(ROWS($AG$2:AG651),$AG$2:$AG$1001,0),1)&gt;=100000,INDEX($AN$1005:$BO$1005,1,MATCH(COLUMNS($AN$1006:BD1006),$AN$1006:$BO$1006,0))&gt;=100000), " ",IF(INDEX($AN$2:$BO$1001,MATCH(ROWS($AG$2:AG651),$AG$2:$AG$1001,0),MATCH(COLUMNS($AN$1006:BD1006),$AN$1006:$BO$1006,0)), HYPERLINK("#",""), HYPERLINK(CONCATENATE("#Metadata!", ADDRESS(INDEX($AI$2:$AI$1001,MATCH(ROWS($AG$2:AG651),$AG$2:$AG$1001,0),0), INDEX($AN$1004:$BO$1004,1,MATCH(COLUMNS($AN$1006:BD1006),$AN$1006:$BO$1006,0)))),"Fix")))</f>
        <v>0</v>
      </c>
      <c r="S651" s="4">
        <f>IF(OR(INDEX($AH$2:$AH$1001,MATCH(ROWS($AG$2:AG651),$AG$2:$AG$1001,0),1)&gt;=100000,INDEX($AN$1005:$BO$1005,1,MATCH(COLUMNS($AN$1006:BE1006),$AN$1006:$BO$1006,0))&gt;=100000), " ",IF(INDEX($AN$2:$BO$1001,MATCH(ROWS($AG$2:AG651),$AG$2:$AG$1001,0),MATCH(COLUMNS($AN$1006:BE1006),$AN$1006:$BO$1006,0)), HYPERLINK("#",""), HYPERLINK(CONCATENATE("#Metadata!", ADDRESS(INDEX($AI$2:$AI$1001,MATCH(ROWS($AG$2:AG651),$AG$2:$AG$1001,0),0), INDEX($AN$1004:$BO$1004,1,MATCH(COLUMNS($AN$1006:BE1006),$AN$1006:$BO$1006,0)))),"Fix")))</f>
        <v>0</v>
      </c>
      <c r="T651" s="4">
        <f>IF(OR(INDEX($AH$2:$AH$1001,MATCH(ROWS($AG$2:AG651),$AG$2:$AG$1001,0),1)&gt;=100000,INDEX($AN$1005:$BO$1005,1,MATCH(COLUMNS($AN$1006:BF1006),$AN$1006:$BO$1006,0))&gt;=100000), " ",IF(INDEX($AN$2:$BO$1001,MATCH(ROWS($AG$2:AG651),$AG$2:$AG$1001,0),MATCH(COLUMNS($AN$1006:BF1006),$AN$1006:$BO$1006,0)), HYPERLINK("#",""), HYPERLINK(CONCATENATE("#Metadata!", ADDRESS(INDEX($AI$2:$AI$1001,MATCH(ROWS($AG$2:AG651),$AG$2:$AG$1001,0),0), INDEX($AN$1004:$BO$1004,1,MATCH(COLUMNS($AN$1006:BF1006),$AN$1006:$BO$1006,0)))),"Fix")))</f>
        <v>0</v>
      </c>
      <c r="U651" s="4">
        <f>IF(OR(INDEX($AH$2:$AH$1001,MATCH(ROWS($AG$2:AG651),$AG$2:$AG$1001,0),1)&gt;=100000,INDEX($AN$1005:$BO$1005,1,MATCH(COLUMNS($AN$1006:BG1006),$AN$1006:$BO$1006,0))&gt;=100000), " ",IF(INDEX($AN$2:$BO$1001,MATCH(ROWS($AG$2:AG651),$AG$2:$AG$1001,0),MATCH(COLUMNS($AN$1006:BG1006),$AN$1006:$BO$1006,0)), HYPERLINK("#",""), HYPERLINK(CONCATENATE("#Metadata!", ADDRESS(INDEX($AI$2:$AI$1001,MATCH(ROWS($AG$2:AG651),$AG$2:$AG$1001,0),0), INDEX($AN$1004:$BO$1004,1,MATCH(COLUMNS($AN$1006:BG1006),$AN$1006:$BO$1006,0)))),"Fix")))</f>
        <v>0</v>
      </c>
      <c r="V651" s="4">
        <f>IF(OR(INDEX($AH$2:$AH$1001,MATCH(ROWS($AG$2:AG651),$AG$2:$AG$1001,0),1)&gt;=100000,INDEX($AN$1005:$BO$1005,1,MATCH(COLUMNS($AN$1006:BH1006),$AN$1006:$BO$1006,0))&gt;=100000), " ",IF(INDEX($AN$2:$BO$1001,MATCH(ROWS($AG$2:AG651),$AG$2:$AG$1001,0),MATCH(COLUMNS($AN$1006:BH1006),$AN$1006:$BO$1006,0)), HYPERLINK("#",""), HYPERLINK(CONCATENATE("#Metadata!", ADDRESS(INDEX($AI$2:$AI$1001,MATCH(ROWS($AG$2:AG651),$AG$2:$AG$1001,0),0), INDEX($AN$1004:$BO$1004,1,MATCH(COLUMNS($AN$1006:BH1006),$AN$1006:$BO$1006,0)))),"Fix")))</f>
        <v>0</v>
      </c>
      <c r="W651" s="4">
        <f>IF(OR(INDEX($AH$2:$AH$1001,MATCH(ROWS($AG$2:AG651),$AG$2:$AG$1001,0),1)&gt;=100000,INDEX($AN$1005:$BO$1005,1,MATCH(COLUMNS($AN$1006:BI1006),$AN$1006:$BO$1006,0))&gt;=100000), " ",IF(INDEX($AN$2:$BO$1001,MATCH(ROWS($AG$2:AG651),$AG$2:$AG$1001,0),MATCH(COLUMNS($AN$1006:BI1006),$AN$1006:$BO$1006,0)), HYPERLINK("#",""), HYPERLINK(CONCATENATE("#Metadata!", ADDRESS(INDEX($AI$2:$AI$1001,MATCH(ROWS($AG$2:AG651),$AG$2:$AG$1001,0),0), INDEX($AN$1004:$BO$1004,1,MATCH(COLUMNS($AN$1006:BI1006),$AN$1006:$BO$1006,0)))),"Fix")))</f>
        <v>0</v>
      </c>
      <c r="X651" s="4">
        <f>IF(OR(INDEX($AH$2:$AH$1001,MATCH(ROWS($AG$2:AG651),$AG$2:$AG$1001,0),1)&gt;=100000,INDEX($AN$1005:$BO$1005,1,MATCH(COLUMNS($AN$1006:BJ1006),$AN$1006:$BO$1006,0))&gt;=100000), " ",IF(INDEX($AN$2:$BO$1001,MATCH(ROWS($AG$2:AG651),$AG$2:$AG$1001,0),MATCH(COLUMNS($AN$1006:BJ1006),$AN$1006:$BO$1006,0)), HYPERLINK("#",""), HYPERLINK(CONCATENATE("#Metadata!", ADDRESS(INDEX($AI$2:$AI$1001,MATCH(ROWS($AG$2:AG651),$AG$2:$AG$1001,0),0), INDEX($AN$1004:$BO$1004,1,MATCH(COLUMNS($AN$1006:BJ1006),$AN$1006:$BO$1006,0)))),"Fix")))</f>
        <v>0</v>
      </c>
      <c r="Y651" s="4">
        <f>IF(OR(INDEX($AH$2:$AH$1001,MATCH(ROWS($AG$2:AG651),$AG$2:$AG$1001,0),1)&gt;=100000,INDEX($AN$1005:$BO$1005,1,MATCH(COLUMNS($AN$1006:BK1006),$AN$1006:$BO$1006,0))&gt;=100000), " ",IF(INDEX($AN$2:$BO$1001,MATCH(ROWS($AG$2:AG651),$AG$2:$AG$1001,0),MATCH(COLUMNS($AN$1006:BK1006),$AN$1006:$BO$1006,0)), HYPERLINK("#",""), HYPERLINK(CONCATENATE("#Metadata!", ADDRESS(INDEX($AI$2:$AI$1001,MATCH(ROWS($AG$2:AG651),$AG$2:$AG$1001,0),0), INDEX($AN$1004:$BO$1004,1,MATCH(COLUMNS($AN$1006:BK1006),$AN$1006:$BO$1006,0)))),"Fix")))</f>
        <v>0</v>
      </c>
      <c r="Z651" s="4">
        <f>IF(OR(INDEX($AH$2:$AH$1001,MATCH(ROWS($AG$2:AG651),$AG$2:$AG$1001,0),1)&gt;=100000,INDEX($AN$1005:$BO$1005,1,MATCH(COLUMNS($AN$1006:BL1006),$AN$1006:$BO$1006,0))&gt;=100000), " ",IF(INDEX($AN$2:$BO$1001,MATCH(ROWS($AG$2:AG651),$AG$2:$AG$1001,0),MATCH(COLUMNS($AN$1006:BL1006),$AN$1006:$BO$1006,0)), HYPERLINK("#",""), HYPERLINK(CONCATENATE("#Metadata!", ADDRESS(INDEX($AI$2:$AI$1001,MATCH(ROWS($AG$2:AG651),$AG$2:$AG$1001,0),0), INDEX($AN$1004:$BO$1004,1,MATCH(COLUMNS($AN$1006:BL1006),$AN$1006:$BO$1006,0)))),"Fix")))</f>
        <v>0</v>
      </c>
      <c r="AA651" s="4">
        <f>IF(OR(INDEX($AH$2:$AH$1001,MATCH(ROWS($AG$2:AG651),$AG$2:$AG$1001,0),1)&gt;=100000,INDEX($AN$1005:$BO$1005,1,MATCH(COLUMNS($AN$1006:BM1006),$AN$1006:$BO$1006,0))&gt;=100000), " ",IF(INDEX($AN$2:$BO$1001,MATCH(ROWS($AG$2:AG651),$AG$2:$AG$1001,0),MATCH(COLUMNS($AN$1006:BM1006),$AN$1006:$BO$1006,0)), HYPERLINK("#",""), HYPERLINK(CONCATENATE("#Metadata!", ADDRESS(INDEX($AI$2:$AI$1001,MATCH(ROWS($AG$2:AG651),$AG$2:$AG$1001,0),0), INDEX($AN$1004:$BO$1004,1,MATCH(COLUMNS($AN$1006:BM1006),$AN$1006:$BO$1006,0)))),"Fix")))</f>
        <v>0</v>
      </c>
      <c r="AB651" s="4">
        <f>IF(OR(INDEX($AH$2:$AH$1001,MATCH(ROWS($AG$2:AG651),$AG$2:$AG$1001,0),1)&gt;=100000,INDEX($AN$1005:$BO$1005,1,MATCH(COLUMNS($AN$1006:BN1006),$AN$1006:$BO$1006,0))&gt;=100000), " ",IF(INDEX($AN$2:$BO$1001,MATCH(ROWS($AG$2:AG651),$AG$2:$AG$1001,0),MATCH(COLUMNS($AN$1006:BN1006),$AN$1006:$BO$1006,0)), HYPERLINK("#",""), HYPERLINK(CONCATENATE("#Metadata!", ADDRESS(INDEX($AI$2:$AI$1001,MATCH(ROWS($AG$2:AG651),$AG$2:$AG$1001,0),0), INDEX($AN$1004:$BO$1004,1,MATCH(COLUMNS($AN$1006:BN1006),$AN$1006:$BO$1006,0)))),"Fix")))</f>
        <v>0</v>
      </c>
      <c r="AC651" s="4">
        <f>IF(OR(INDEX($AH$2:$AH$1001,MATCH(ROWS($AG$2:AG651),$AG$2:$AG$1001,0),1)&gt;=100000,INDEX($AN$1005:$BO$1005,1,MATCH(COLUMNS($AN$1006:BO1006),$AN$1006:$BO$1006,0))&gt;=100000), " ",IF(INDEX($AN$2:$BO$1001,MATCH(ROWS($AG$2:AG651),$AG$2:$AG$1001,0),MATCH(COLUMNS($AN$1006:BO1006),$AN$1006:$BO$1006,0)), HYPERLINK("#",""), HYPERLINK(CONCATENATE("#Metadata!", ADDRESS(INDEX($AI$2:$AI$1001,MATCH(ROWS($AG$2:AG651),$AG$2:$AG$1001,0),0), INDEX($AN$1004:$BO$1004,1,MATCH(COLUMNS($AN$1006:BO1006),$AN$1006:$BO$1006,0)))),"Fix")))</f>
        <v>0</v>
      </c>
      <c r="AG651">
        <v>0</v>
      </c>
      <c r="AH651">
        <v>0</v>
      </c>
      <c r="AI651">
        <v>0</v>
      </c>
      <c r="AJ651">
        <f>IF(AK651,TRUE,AND(AN651:BO651))</f>
        <v>0</v>
      </c>
      <c r="AK651">
        <f>COUNTBLANK(Metadata!B651:AC651)=COLUMNS(Metadata!B651:AC651)</f>
        <v>0</v>
      </c>
      <c r="AL651">
        <v>0</v>
      </c>
      <c r="AN651">
        <f>AND(IF(Metadata!B651="",FALSE,TRUE),COUNTIF(Metadata!B:B, Metadata!B651) = 1,NOT(ISERROR(SUMPRODUCT(SEARCH(MID(Metadata!B651,ROW(INDIRECT("1:"&amp;LEN(Metadata!B651))), 1),"0123456789abcdefghijklmnopqrstuvwxyzABCDEFGHIJKLMNOPQRSTUVWXYZ.")))))</f>
        <v>0</v>
      </c>
      <c r="AO651">
        <f>IF(Metadata!C651="",FALSE,TRUE)</f>
        <v>0</v>
      </c>
      <c r="AP651">
        <f>IF(Metadata!D651="",FALSE,TRUE)</f>
        <v>0</v>
      </c>
      <c r="AQ651">
        <f>OR(AND(IF(Metadata!E651="",FALSE,TRUE),OR(exact(Metadata!E651,"not collected"),exact(Metadata!E651,"not provided"),exact(Metadata!E651,"restricted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R651">
        <f>IF(Metadata!F651="",FALSE,TRUE)</f>
        <v>0</v>
      </c>
      <c r="AS651">
        <f>OR(AND(IF(Metadata!G651="",FALSE,TRUE),OR(exact(Metadata!G651,"not collected"),exact(Metadata!G651,"not provided"))),AND(IF(Metadata!G651="",FALSE,TRUE),OR(exact(Metadata!G651,"TRUE"),exact(Metadata!G651,"FALSE"))))</f>
        <v>0</v>
      </c>
      <c r="AT651">
        <f>OR(AND(IF(Metadata!H651="",FALSE,TRUE),OR(exact(Metadata!H651,"not collected"),exact(Metadata!H651,"not provided"),exact(Metadata!H651,"restricted access"))),AND(IF(Metadata!H651="",FALSE,ISNUMBER(VALUE(Metadata!H651))),Metadata!H651&gt;=-413.0))</f>
        <v>0</v>
      </c>
      <c r="AU651">
        <f>AND(IF(Metadata!I651="",FALSE,TRUE),exact(Metadata!I651,"meters"))</f>
        <v>0</v>
      </c>
      <c r="AV651">
        <f>AND(IF(Metadata!J651="",FALSE,TRUE),OR(exact(Metadata!J651,"Host-associated"),exact(Metadata!J651,"Free-living")))</f>
        <v>0</v>
      </c>
      <c r="AW651">
        <f>AND(IF(Metadata!K651="",FALSE,TRUE),OR(exact(Metadata!K651,"Animal"),exact(Metadata!K651,"Fungus"),exact(Metadata!K651,"Plant"),exact(Metadata!K651,"Saline"),exact(Metadata!K651,"Non-saline")))</f>
        <v>0</v>
      </c>
      <c r="AX651">
        <f>AND(IF(Metadata!L651="",FALSE,TRUE),OR(exact(Metadata!L651,"Plant secretion"),exact(Metadata!L651,"Plant rhizosphere"),exact(Metadata!L651,"Plant surface"),exact(Metadata!L651,"Plant corpus"),exact(Metadata!L651,"Fungus surface"),exact(Metadata!L651,"Fungus corpus"),exact(Metadata!L651,"Animal surface"),exact(Metadata!L651,"Animal proximal gut"),exact(Metadata!L651,"Animal corpus"),exact(Metadata!L651,"Animal distal gut"),exact(Metadata!L651,"Animal secretion"),exact(Metadata!L651,"Sub-surface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Y651">
        <f>IF(Metadata!M651="",FALSE,TRUE)</f>
        <v>0</v>
      </c>
      <c r="AZ651">
        <f>IF(Metadata!N651="",FALSE,TRUE)</f>
        <v>0</v>
      </c>
      <c r="BA651">
        <f>IF(Metadata!O651="",FALSE,TRUE)</f>
        <v>0</v>
      </c>
      <c r="BB651">
        <f>OR(AND(IF(Metadata!P651="",FALSE,TRUE),OR(exact(Metadata!P651,"not collected"),exact(Metadata!P651,"not provided"),exact(Metadata!P651,"restricted access"))),AND(IF(Metadata!P651="",FALSE,TRUE),OR(exact(Metadata!P651,"air"),exact(Metadata!P651,"built environment"),exact(Metadata!P651,"host-associated"),exact(Metadata!P651,"human-associated"),exact(Metadata!P651,"human-skin"),exact(Metadata!P651,"human-oral"),exact(Metadata!P651,"human-gut"),exact(Metadata!P651,"human-vaginal"),exact(Metadata!P651,"microbial mat/biofilm"),exact(Metadata!P651,"misc environment"),exact(Metadata!P651,"plant-associated"),exact(Metadata!P651,"sediment"),exact(Metadata!P651,"soil"),exact(Metadata!P651,"wastewater/sludge"),exact(Metadata!P651,"water"))))</f>
        <v>0</v>
      </c>
      <c r="BC651">
        <f>IF(Metadata!Q651="",FALSE,TRUE)</f>
        <v>0</v>
      </c>
      <c r="BD651">
        <f>IF(Metadata!R651="",FALSE,TRUE)</f>
        <v>0</v>
      </c>
      <c r="BE651">
        <f>OR(AND(IF(Metadata!S651="",FALSE,TRUE),OR(exact(Metadata!S651,"not collected"),exact(Metadata!S651,"not provided"),exact(Metadata!S651,"restricted access"))),AND(IF(Metadata!S651="",FALSE,ISNUMBER(VALUE(Metadata!S651))),Metadata!S651&gt;=-90.00,Metadata!S651&lt;=90.00))</f>
        <v>0</v>
      </c>
      <c r="BF651">
        <f>AND(IF(Metadata!T651="",FALSE,TRUE),exact(Metadata!T651,"Decimal degrees"))</f>
        <v>0</v>
      </c>
      <c r="BG651">
        <f>OR(AND(IF(Metadata!U651="",FALSE,TRUE),OR(exact(Metadata!U651,"not collected"),exact(Metadata!U651,"not provided"),exact(Metadata!U651,"restricted access"))),AND(IF(Metadata!U651="",FALSE,ISNUMBER(VALUE(Metadata!U651))),Metadata!U651&gt;=-180.00,Metadata!U651&lt;=180.00))</f>
        <v>0</v>
      </c>
      <c r="BH651">
        <f>AND(IF(Metadata!V651="",FALSE,TRUE),exact(Metadata!V651,"Decimal degrees"))</f>
        <v>0</v>
      </c>
      <c r="BI651">
        <f>IF(Metadata!W651="",FALSE,TRUE)</f>
        <v>0</v>
      </c>
      <c r="BJ651">
        <f>OR(AND(IF(Metadata!X651="",FALSE,TRUE),OR(exact(Metadata!X651,"not collected"),exact(Metadata!X651,"not provided"),exact(Metadata!X651,"restricted access"))),AND(IF(Metadata!X651="",FALSE,TRUE),OR(exact(Metadata!X651,"TRUE"),exact(Metadata!X651,"FALSE"))))</f>
        <v>0</v>
      </c>
      <c r="BK651">
        <f>AND(IF(Metadata!Y651="",FALSE,TRUE),exact(Metadata!Y651,"other"))</f>
        <v>0</v>
      </c>
      <c r="BL651">
        <f>IF(Metadata!Z651="",FALSE,TRUE)</f>
        <v>0</v>
      </c>
      <c r="BM651">
        <f>OR(AND(IF(Metadata!AA651="",FALSE,TRUE),OR(exact(Metadata!AA651,"not collected"),exact(Metadata!AA651,"not provided"))),AND(IF(Metadata!AA651="",FALSE,IF(ISERROR(INT(Metadata!AA651)),FALSE,INT(Metadata!AA651)=Metadata!AA651)),Metadata!AA651&gt;0))</f>
        <v>0</v>
      </c>
      <c r="BN651">
        <f>AND(IF(Metadata!AB651="",FALSE,TRUE),exact(Metadata!AB651,"Not applicable"))</f>
        <v>0</v>
      </c>
      <c r="BO651">
        <f>IF(Metadata!AC651="",FALSE,TRUE)</f>
        <v>0</v>
      </c>
    </row>
    <row r="652" spans="1:67">
      <c r="A652" s="5">
        <f>IF(B652=" "," ",HYPERLINK(CONCATENATE("#metadata!",ADDRESS(INDEX($AI$2:$AI$1001,MATCH(ROWS($AG$2:AG652),$AG$2:$AG$1001,0),0),1)),INDEX($AL$2:$AL$1001,MATCH(ROWS($AG$2:AG652),$AG$2:$AG$1001,0),0)))</f>
        <v>0</v>
      </c>
      <c r="B652" s="4">
        <f>IF(OR(INDEX($AH$2:$AH$1001,MATCH(ROWS($AG$2:AG652),$AG$2:$AG$1001,0),1)&gt;=100000,INDEX($AN$1005:$BO$1005,1,MATCH(COLUMNS($AN$1006:AN1006),$AN$1006:$BO$1006,0))&gt;=100000), " ",IF(INDEX($AN$2:$BO$1001,MATCH(ROWS($AG$2:AG652),$AG$2:$AG$1001,0),MATCH(COLUMNS($AN$1006:AN1006),$AN$1006:$BO$1006,0)), HYPERLINK("#",""), HYPERLINK(CONCATENATE("#Metadata!", ADDRESS(INDEX($AI$2:$AI$1001,MATCH(ROWS($AG$2:AG652),$AG$2:$AG$1001,0),0), INDEX($AN$1004:$BO$1004,1,MATCH(COLUMNS($AN$1006:AN1006),$AN$1006:$BO$1006,0)))),"Fix")))</f>
        <v>0</v>
      </c>
      <c r="C652" s="4">
        <f>IF(OR(INDEX($AH$2:$AH$1001,MATCH(ROWS($AG$2:AG652),$AG$2:$AG$1001,0),1)&gt;=100000,INDEX($AN$1005:$BO$1005,1,MATCH(COLUMNS($AN$1006:AO1006),$AN$1006:$BO$1006,0))&gt;=100000), " ",IF(INDEX($AN$2:$BO$1001,MATCH(ROWS($AG$2:AG652),$AG$2:$AG$1001,0),MATCH(COLUMNS($AN$1006:AO1006),$AN$1006:$BO$1006,0)), HYPERLINK("#",""), HYPERLINK(CONCATENATE("#Metadata!", ADDRESS(INDEX($AI$2:$AI$1001,MATCH(ROWS($AG$2:AG652),$AG$2:$AG$1001,0),0), INDEX($AN$1004:$BO$1004,1,MATCH(COLUMNS($AN$1006:AO1006),$AN$1006:$BO$1006,0)))),"Fix")))</f>
        <v>0</v>
      </c>
      <c r="D652" s="4">
        <f>IF(OR(INDEX($AH$2:$AH$1001,MATCH(ROWS($AG$2:AG652),$AG$2:$AG$1001,0),1)&gt;=100000,INDEX($AN$1005:$BO$1005,1,MATCH(COLUMNS($AN$1006:AP1006),$AN$1006:$BO$1006,0))&gt;=100000), " ",IF(INDEX($AN$2:$BO$1001,MATCH(ROWS($AG$2:AG652),$AG$2:$AG$1001,0),MATCH(COLUMNS($AN$1006:AP1006),$AN$1006:$BO$1006,0)), HYPERLINK("#",""), HYPERLINK(CONCATENATE("#Metadata!", ADDRESS(INDEX($AI$2:$AI$1001,MATCH(ROWS($AG$2:AG652),$AG$2:$AG$1001,0),0), INDEX($AN$1004:$BO$1004,1,MATCH(COLUMNS($AN$1006:AP1006),$AN$1006:$BO$1006,0)))),"Fix")))</f>
        <v>0</v>
      </c>
      <c r="E652" s="4">
        <f>IF(OR(INDEX($AH$2:$AH$1001,MATCH(ROWS($AG$2:AG652),$AG$2:$AG$1001,0),1)&gt;=100000,INDEX($AN$1005:$BO$1005,1,MATCH(COLUMNS($AN$1006:AQ1006),$AN$1006:$BO$1006,0))&gt;=100000), " ",IF(INDEX($AN$2:$BO$1001,MATCH(ROWS($AG$2:AG652),$AG$2:$AG$1001,0),MATCH(COLUMNS($AN$1006:AQ1006),$AN$1006:$BO$1006,0)), HYPERLINK("#",""), HYPERLINK(CONCATENATE("#Metadata!", ADDRESS(INDEX($AI$2:$AI$1001,MATCH(ROWS($AG$2:AG652),$AG$2:$AG$1001,0),0), INDEX($AN$1004:$BO$1004,1,MATCH(COLUMNS($AN$1006:AQ1006),$AN$1006:$BO$1006,0)))),"Fix")))</f>
        <v>0</v>
      </c>
      <c r="F652" s="4">
        <f>IF(OR(INDEX($AH$2:$AH$1001,MATCH(ROWS($AG$2:AG652),$AG$2:$AG$1001,0),1)&gt;=100000,INDEX($AN$1005:$BO$1005,1,MATCH(COLUMNS($AN$1006:AR1006),$AN$1006:$BO$1006,0))&gt;=100000), " ",IF(INDEX($AN$2:$BO$1001,MATCH(ROWS($AG$2:AG652),$AG$2:$AG$1001,0),MATCH(COLUMNS($AN$1006:AR1006),$AN$1006:$BO$1006,0)), HYPERLINK("#",""), HYPERLINK(CONCATENATE("#Metadata!", ADDRESS(INDEX($AI$2:$AI$1001,MATCH(ROWS($AG$2:AG652),$AG$2:$AG$1001,0),0), INDEX($AN$1004:$BO$1004,1,MATCH(COLUMNS($AN$1006:AR1006),$AN$1006:$BO$1006,0)))),"Fix")))</f>
        <v>0</v>
      </c>
      <c r="G652" s="4">
        <f>IF(OR(INDEX($AH$2:$AH$1001,MATCH(ROWS($AG$2:AG652),$AG$2:$AG$1001,0),1)&gt;=100000,INDEX($AN$1005:$BO$1005,1,MATCH(COLUMNS($AN$1006:AS1006),$AN$1006:$BO$1006,0))&gt;=100000), " ",IF(INDEX($AN$2:$BO$1001,MATCH(ROWS($AG$2:AG652),$AG$2:$AG$1001,0),MATCH(COLUMNS($AN$1006:AS1006),$AN$1006:$BO$1006,0)), HYPERLINK("#",""), HYPERLINK(CONCATENATE("#Metadata!", ADDRESS(INDEX($AI$2:$AI$1001,MATCH(ROWS($AG$2:AG652),$AG$2:$AG$1001,0),0), INDEX($AN$1004:$BO$1004,1,MATCH(COLUMNS($AN$1006:AS1006),$AN$1006:$BO$1006,0)))),"Fix")))</f>
        <v>0</v>
      </c>
      <c r="H652" s="4">
        <f>IF(OR(INDEX($AH$2:$AH$1001,MATCH(ROWS($AG$2:AG652),$AG$2:$AG$1001,0),1)&gt;=100000,INDEX($AN$1005:$BO$1005,1,MATCH(COLUMNS($AN$1006:AT1006),$AN$1006:$BO$1006,0))&gt;=100000), " ",IF(INDEX($AN$2:$BO$1001,MATCH(ROWS($AG$2:AG652),$AG$2:$AG$1001,0),MATCH(COLUMNS($AN$1006:AT1006),$AN$1006:$BO$1006,0)), HYPERLINK("#",""), HYPERLINK(CONCATENATE("#Metadata!", ADDRESS(INDEX($AI$2:$AI$1001,MATCH(ROWS($AG$2:AG652),$AG$2:$AG$1001,0),0), INDEX($AN$1004:$BO$1004,1,MATCH(COLUMNS($AN$1006:AT1006),$AN$1006:$BO$1006,0)))),"Fix")))</f>
        <v>0</v>
      </c>
      <c r="I652" s="4">
        <f>IF(OR(INDEX($AH$2:$AH$1001,MATCH(ROWS($AG$2:AG652),$AG$2:$AG$1001,0),1)&gt;=100000,INDEX($AN$1005:$BO$1005,1,MATCH(COLUMNS($AN$1006:AU1006),$AN$1006:$BO$1006,0))&gt;=100000), " ",IF(INDEX($AN$2:$BO$1001,MATCH(ROWS($AG$2:AG652),$AG$2:$AG$1001,0),MATCH(COLUMNS($AN$1006:AU1006),$AN$1006:$BO$1006,0)), HYPERLINK("#",""), HYPERLINK(CONCATENATE("#Metadata!", ADDRESS(INDEX($AI$2:$AI$1001,MATCH(ROWS($AG$2:AG652),$AG$2:$AG$1001,0),0), INDEX($AN$1004:$BO$1004,1,MATCH(COLUMNS($AN$1006:AU1006),$AN$1006:$BO$1006,0)))),"Fix")))</f>
        <v>0</v>
      </c>
      <c r="J652" s="4">
        <f>IF(OR(INDEX($AH$2:$AH$1001,MATCH(ROWS($AG$2:AG652),$AG$2:$AG$1001,0),1)&gt;=100000,INDEX($AN$1005:$BO$1005,1,MATCH(COLUMNS($AN$1006:AV1006),$AN$1006:$BO$1006,0))&gt;=100000), " ",IF(INDEX($AN$2:$BO$1001,MATCH(ROWS($AG$2:AG652),$AG$2:$AG$1001,0),MATCH(COLUMNS($AN$1006:AV1006),$AN$1006:$BO$1006,0)), HYPERLINK("#",""), HYPERLINK(CONCATENATE("#Metadata!", ADDRESS(INDEX($AI$2:$AI$1001,MATCH(ROWS($AG$2:AG652),$AG$2:$AG$1001,0),0), INDEX($AN$1004:$BO$1004,1,MATCH(COLUMNS($AN$1006:AV1006),$AN$1006:$BO$1006,0)))),"Fix")))</f>
        <v>0</v>
      </c>
      <c r="K652" s="4">
        <f>IF(OR(INDEX($AH$2:$AH$1001,MATCH(ROWS($AG$2:AG652),$AG$2:$AG$1001,0),1)&gt;=100000,INDEX($AN$1005:$BO$1005,1,MATCH(COLUMNS($AN$1006:AW1006),$AN$1006:$BO$1006,0))&gt;=100000), " ",IF(INDEX($AN$2:$BO$1001,MATCH(ROWS($AG$2:AG652),$AG$2:$AG$1001,0),MATCH(COLUMNS($AN$1006:AW1006),$AN$1006:$BO$1006,0)), HYPERLINK("#",""), HYPERLINK(CONCATENATE("#Metadata!", ADDRESS(INDEX($AI$2:$AI$1001,MATCH(ROWS($AG$2:AG652),$AG$2:$AG$1001,0),0), INDEX($AN$1004:$BO$1004,1,MATCH(COLUMNS($AN$1006:AW1006),$AN$1006:$BO$1006,0)))),"Fix")))</f>
        <v>0</v>
      </c>
      <c r="L652" s="4">
        <f>IF(OR(INDEX($AH$2:$AH$1001,MATCH(ROWS($AG$2:AG652),$AG$2:$AG$1001,0),1)&gt;=100000,INDEX($AN$1005:$BO$1005,1,MATCH(COLUMNS($AN$1006:AX1006),$AN$1006:$BO$1006,0))&gt;=100000), " ",IF(INDEX($AN$2:$BO$1001,MATCH(ROWS($AG$2:AG652),$AG$2:$AG$1001,0),MATCH(COLUMNS($AN$1006:AX1006),$AN$1006:$BO$1006,0)), HYPERLINK("#",""), HYPERLINK(CONCATENATE("#Metadata!", ADDRESS(INDEX($AI$2:$AI$1001,MATCH(ROWS($AG$2:AG652),$AG$2:$AG$1001,0),0), INDEX($AN$1004:$BO$1004,1,MATCH(COLUMNS($AN$1006:AX1006),$AN$1006:$BO$1006,0)))),"Fix")))</f>
        <v>0</v>
      </c>
      <c r="M652" s="4">
        <f>IF(OR(INDEX($AH$2:$AH$1001,MATCH(ROWS($AG$2:AG652),$AG$2:$AG$1001,0),1)&gt;=100000,INDEX($AN$1005:$BO$1005,1,MATCH(COLUMNS($AN$1006:AY1006),$AN$1006:$BO$1006,0))&gt;=100000), " ",IF(INDEX($AN$2:$BO$1001,MATCH(ROWS($AG$2:AG652),$AG$2:$AG$1001,0),MATCH(COLUMNS($AN$1006:AY1006),$AN$1006:$BO$1006,0)), HYPERLINK("#",""), HYPERLINK(CONCATENATE("#Metadata!", ADDRESS(INDEX($AI$2:$AI$1001,MATCH(ROWS($AG$2:AG652),$AG$2:$AG$1001,0),0), INDEX($AN$1004:$BO$1004,1,MATCH(COLUMNS($AN$1006:AY1006),$AN$1006:$BO$1006,0)))),"Fix")))</f>
        <v>0</v>
      </c>
      <c r="N652" s="4">
        <f>IF(OR(INDEX($AH$2:$AH$1001,MATCH(ROWS($AG$2:AG652),$AG$2:$AG$1001,0),1)&gt;=100000,INDEX($AN$1005:$BO$1005,1,MATCH(COLUMNS($AN$1006:AZ1006),$AN$1006:$BO$1006,0))&gt;=100000), " ",IF(INDEX($AN$2:$BO$1001,MATCH(ROWS($AG$2:AG652),$AG$2:$AG$1001,0),MATCH(COLUMNS($AN$1006:AZ1006),$AN$1006:$BO$1006,0)), HYPERLINK("#",""), HYPERLINK(CONCATENATE("#Metadata!", ADDRESS(INDEX($AI$2:$AI$1001,MATCH(ROWS($AG$2:AG652),$AG$2:$AG$1001,0),0), INDEX($AN$1004:$BO$1004,1,MATCH(COLUMNS($AN$1006:AZ1006),$AN$1006:$BO$1006,0)))),"Fix")))</f>
        <v>0</v>
      </c>
      <c r="O652" s="4">
        <f>IF(OR(INDEX($AH$2:$AH$1001,MATCH(ROWS($AG$2:AG652),$AG$2:$AG$1001,0),1)&gt;=100000,INDEX($AN$1005:$BO$1005,1,MATCH(COLUMNS($AN$1006:BA1006),$AN$1006:$BO$1006,0))&gt;=100000), " ",IF(INDEX($AN$2:$BO$1001,MATCH(ROWS($AG$2:AG652),$AG$2:$AG$1001,0),MATCH(COLUMNS($AN$1006:BA1006),$AN$1006:$BO$1006,0)), HYPERLINK("#",""), HYPERLINK(CONCATENATE("#Metadata!", ADDRESS(INDEX($AI$2:$AI$1001,MATCH(ROWS($AG$2:AG652),$AG$2:$AG$1001,0),0), INDEX($AN$1004:$BO$1004,1,MATCH(COLUMNS($AN$1006:BA1006),$AN$1006:$BO$1006,0)))),"Fix")))</f>
        <v>0</v>
      </c>
      <c r="P652" s="4">
        <f>IF(OR(INDEX($AH$2:$AH$1001,MATCH(ROWS($AG$2:AG652),$AG$2:$AG$1001,0),1)&gt;=100000,INDEX($AN$1005:$BO$1005,1,MATCH(COLUMNS($AN$1006:BB1006),$AN$1006:$BO$1006,0))&gt;=100000), " ",IF(INDEX($AN$2:$BO$1001,MATCH(ROWS($AG$2:AG652),$AG$2:$AG$1001,0),MATCH(COLUMNS($AN$1006:BB1006),$AN$1006:$BO$1006,0)), HYPERLINK("#",""), HYPERLINK(CONCATENATE("#Metadata!", ADDRESS(INDEX($AI$2:$AI$1001,MATCH(ROWS($AG$2:AG652),$AG$2:$AG$1001,0),0), INDEX($AN$1004:$BO$1004,1,MATCH(COLUMNS($AN$1006:BB1006),$AN$1006:$BO$1006,0)))),"Fix")))</f>
        <v>0</v>
      </c>
      <c r="Q652" s="4">
        <f>IF(OR(INDEX($AH$2:$AH$1001,MATCH(ROWS($AG$2:AG652),$AG$2:$AG$1001,0),1)&gt;=100000,INDEX($AN$1005:$BO$1005,1,MATCH(COLUMNS($AN$1006:BC1006),$AN$1006:$BO$1006,0))&gt;=100000), " ",IF(INDEX($AN$2:$BO$1001,MATCH(ROWS($AG$2:AG652),$AG$2:$AG$1001,0),MATCH(COLUMNS($AN$1006:BC1006),$AN$1006:$BO$1006,0)), HYPERLINK("#",""), HYPERLINK(CONCATENATE("#Metadata!", ADDRESS(INDEX($AI$2:$AI$1001,MATCH(ROWS($AG$2:AG652),$AG$2:$AG$1001,0),0), INDEX($AN$1004:$BO$1004,1,MATCH(COLUMNS($AN$1006:BC1006),$AN$1006:$BO$1006,0)))),"Fix")))</f>
        <v>0</v>
      </c>
      <c r="R652" s="4">
        <f>IF(OR(INDEX($AH$2:$AH$1001,MATCH(ROWS($AG$2:AG652),$AG$2:$AG$1001,0),1)&gt;=100000,INDEX($AN$1005:$BO$1005,1,MATCH(COLUMNS($AN$1006:BD1006),$AN$1006:$BO$1006,0))&gt;=100000), " ",IF(INDEX($AN$2:$BO$1001,MATCH(ROWS($AG$2:AG652),$AG$2:$AG$1001,0),MATCH(COLUMNS($AN$1006:BD1006),$AN$1006:$BO$1006,0)), HYPERLINK("#",""), HYPERLINK(CONCATENATE("#Metadata!", ADDRESS(INDEX($AI$2:$AI$1001,MATCH(ROWS($AG$2:AG652),$AG$2:$AG$1001,0),0), INDEX($AN$1004:$BO$1004,1,MATCH(COLUMNS($AN$1006:BD1006),$AN$1006:$BO$1006,0)))),"Fix")))</f>
        <v>0</v>
      </c>
      <c r="S652" s="4">
        <f>IF(OR(INDEX($AH$2:$AH$1001,MATCH(ROWS($AG$2:AG652),$AG$2:$AG$1001,0),1)&gt;=100000,INDEX($AN$1005:$BO$1005,1,MATCH(COLUMNS($AN$1006:BE1006),$AN$1006:$BO$1006,0))&gt;=100000), " ",IF(INDEX($AN$2:$BO$1001,MATCH(ROWS($AG$2:AG652),$AG$2:$AG$1001,0),MATCH(COLUMNS($AN$1006:BE1006),$AN$1006:$BO$1006,0)), HYPERLINK("#",""), HYPERLINK(CONCATENATE("#Metadata!", ADDRESS(INDEX($AI$2:$AI$1001,MATCH(ROWS($AG$2:AG652),$AG$2:$AG$1001,0),0), INDEX($AN$1004:$BO$1004,1,MATCH(COLUMNS($AN$1006:BE1006),$AN$1006:$BO$1006,0)))),"Fix")))</f>
        <v>0</v>
      </c>
      <c r="T652" s="4">
        <f>IF(OR(INDEX($AH$2:$AH$1001,MATCH(ROWS($AG$2:AG652),$AG$2:$AG$1001,0),1)&gt;=100000,INDEX($AN$1005:$BO$1005,1,MATCH(COLUMNS($AN$1006:BF1006),$AN$1006:$BO$1006,0))&gt;=100000), " ",IF(INDEX($AN$2:$BO$1001,MATCH(ROWS($AG$2:AG652),$AG$2:$AG$1001,0),MATCH(COLUMNS($AN$1006:BF1006),$AN$1006:$BO$1006,0)), HYPERLINK("#",""), HYPERLINK(CONCATENATE("#Metadata!", ADDRESS(INDEX($AI$2:$AI$1001,MATCH(ROWS($AG$2:AG652),$AG$2:$AG$1001,0),0), INDEX($AN$1004:$BO$1004,1,MATCH(COLUMNS($AN$1006:BF1006),$AN$1006:$BO$1006,0)))),"Fix")))</f>
        <v>0</v>
      </c>
      <c r="U652" s="4">
        <f>IF(OR(INDEX($AH$2:$AH$1001,MATCH(ROWS($AG$2:AG652),$AG$2:$AG$1001,0),1)&gt;=100000,INDEX($AN$1005:$BO$1005,1,MATCH(COLUMNS($AN$1006:BG1006),$AN$1006:$BO$1006,0))&gt;=100000), " ",IF(INDEX($AN$2:$BO$1001,MATCH(ROWS($AG$2:AG652),$AG$2:$AG$1001,0),MATCH(COLUMNS($AN$1006:BG1006),$AN$1006:$BO$1006,0)), HYPERLINK("#",""), HYPERLINK(CONCATENATE("#Metadata!", ADDRESS(INDEX($AI$2:$AI$1001,MATCH(ROWS($AG$2:AG652),$AG$2:$AG$1001,0),0), INDEX($AN$1004:$BO$1004,1,MATCH(COLUMNS($AN$1006:BG1006),$AN$1006:$BO$1006,0)))),"Fix")))</f>
        <v>0</v>
      </c>
      <c r="V652" s="4">
        <f>IF(OR(INDEX($AH$2:$AH$1001,MATCH(ROWS($AG$2:AG652),$AG$2:$AG$1001,0),1)&gt;=100000,INDEX($AN$1005:$BO$1005,1,MATCH(COLUMNS($AN$1006:BH1006),$AN$1006:$BO$1006,0))&gt;=100000), " ",IF(INDEX($AN$2:$BO$1001,MATCH(ROWS($AG$2:AG652),$AG$2:$AG$1001,0),MATCH(COLUMNS($AN$1006:BH1006),$AN$1006:$BO$1006,0)), HYPERLINK("#",""), HYPERLINK(CONCATENATE("#Metadata!", ADDRESS(INDEX($AI$2:$AI$1001,MATCH(ROWS($AG$2:AG652),$AG$2:$AG$1001,0),0), INDEX($AN$1004:$BO$1004,1,MATCH(COLUMNS($AN$1006:BH1006),$AN$1006:$BO$1006,0)))),"Fix")))</f>
        <v>0</v>
      </c>
      <c r="W652" s="4">
        <f>IF(OR(INDEX($AH$2:$AH$1001,MATCH(ROWS($AG$2:AG652),$AG$2:$AG$1001,0),1)&gt;=100000,INDEX($AN$1005:$BO$1005,1,MATCH(COLUMNS($AN$1006:BI1006),$AN$1006:$BO$1006,0))&gt;=100000), " ",IF(INDEX($AN$2:$BO$1001,MATCH(ROWS($AG$2:AG652),$AG$2:$AG$1001,0),MATCH(COLUMNS($AN$1006:BI1006),$AN$1006:$BO$1006,0)), HYPERLINK("#",""), HYPERLINK(CONCATENATE("#Metadata!", ADDRESS(INDEX($AI$2:$AI$1001,MATCH(ROWS($AG$2:AG652),$AG$2:$AG$1001,0),0), INDEX($AN$1004:$BO$1004,1,MATCH(COLUMNS($AN$1006:BI1006),$AN$1006:$BO$1006,0)))),"Fix")))</f>
        <v>0</v>
      </c>
      <c r="X652" s="4">
        <f>IF(OR(INDEX($AH$2:$AH$1001,MATCH(ROWS($AG$2:AG652),$AG$2:$AG$1001,0),1)&gt;=100000,INDEX($AN$1005:$BO$1005,1,MATCH(COLUMNS($AN$1006:BJ1006),$AN$1006:$BO$1006,0))&gt;=100000), " ",IF(INDEX($AN$2:$BO$1001,MATCH(ROWS($AG$2:AG652),$AG$2:$AG$1001,0),MATCH(COLUMNS($AN$1006:BJ1006),$AN$1006:$BO$1006,0)), HYPERLINK("#",""), HYPERLINK(CONCATENATE("#Metadata!", ADDRESS(INDEX($AI$2:$AI$1001,MATCH(ROWS($AG$2:AG652),$AG$2:$AG$1001,0),0), INDEX($AN$1004:$BO$1004,1,MATCH(COLUMNS($AN$1006:BJ1006),$AN$1006:$BO$1006,0)))),"Fix")))</f>
        <v>0</v>
      </c>
      <c r="Y652" s="4">
        <f>IF(OR(INDEX($AH$2:$AH$1001,MATCH(ROWS($AG$2:AG652),$AG$2:$AG$1001,0),1)&gt;=100000,INDEX($AN$1005:$BO$1005,1,MATCH(COLUMNS($AN$1006:BK1006),$AN$1006:$BO$1006,0))&gt;=100000), " ",IF(INDEX($AN$2:$BO$1001,MATCH(ROWS($AG$2:AG652),$AG$2:$AG$1001,0),MATCH(COLUMNS($AN$1006:BK1006),$AN$1006:$BO$1006,0)), HYPERLINK("#",""), HYPERLINK(CONCATENATE("#Metadata!", ADDRESS(INDEX($AI$2:$AI$1001,MATCH(ROWS($AG$2:AG652),$AG$2:$AG$1001,0),0), INDEX($AN$1004:$BO$1004,1,MATCH(COLUMNS($AN$1006:BK1006),$AN$1006:$BO$1006,0)))),"Fix")))</f>
        <v>0</v>
      </c>
      <c r="Z652" s="4">
        <f>IF(OR(INDEX($AH$2:$AH$1001,MATCH(ROWS($AG$2:AG652),$AG$2:$AG$1001,0),1)&gt;=100000,INDEX($AN$1005:$BO$1005,1,MATCH(COLUMNS($AN$1006:BL1006),$AN$1006:$BO$1006,0))&gt;=100000), " ",IF(INDEX($AN$2:$BO$1001,MATCH(ROWS($AG$2:AG652),$AG$2:$AG$1001,0),MATCH(COLUMNS($AN$1006:BL1006),$AN$1006:$BO$1006,0)), HYPERLINK("#",""), HYPERLINK(CONCATENATE("#Metadata!", ADDRESS(INDEX($AI$2:$AI$1001,MATCH(ROWS($AG$2:AG652),$AG$2:$AG$1001,0),0), INDEX($AN$1004:$BO$1004,1,MATCH(COLUMNS($AN$1006:BL1006),$AN$1006:$BO$1006,0)))),"Fix")))</f>
        <v>0</v>
      </c>
      <c r="AA652" s="4">
        <f>IF(OR(INDEX($AH$2:$AH$1001,MATCH(ROWS($AG$2:AG652),$AG$2:$AG$1001,0),1)&gt;=100000,INDEX($AN$1005:$BO$1005,1,MATCH(COLUMNS($AN$1006:BM1006),$AN$1006:$BO$1006,0))&gt;=100000), " ",IF(INDEX($AN$2:$BO$1001,MATCH(ROWS($AG$2:AG652),$AG$2:$AG$1001,0),MATCH(COLUMNS($AN$1006:BM1006),$AN$1006:$BO$1006,0)), HYPERLINK("#",""), HYPERLINK(CONCATENATE("#Metadata!", ADDRESS(INDEX($AI$2:$AI$1001,MATCH(ROWS($AG$2:AG652),$AG$2:$AG$1001,0),0), INDEX($AN$1004:$BO$1004,1,MATCH(COLUMNS($AN$1006:BM1006),$AN$1006:$BO$1006,0)))),"Fix")))</f>
        <v>0</v>
      </c>
      <c r="AB652" s="4">
        <f>IF(OR(INDEX($AH$2:$AH$1001,MATCH(ROWS($AG$2:AG652),$AG$2:$AG$1001,0),1)&gt;=100000,INDEX($AN$1005:$BO$1005,1,MATCH(COLUMNS($AN$1006:BN1006),$AN$1006:$BO$1006,0))&gt;=100000), " ",IF(INDEX($AN$2:$BO$1001,MATCH(ROWS($AG$2:AG652),$AG$2:$AG$1001,0),MATCH(COLUMNS($AN$1006:BN1006),$AN$1006:$BO$1006,0)), HYPERLINK("#",""), HYPERLINK(CONCATENATE("#Metadata!", ADDRESS(INDEX($AI$2:$AI$1001,MATCH(ROWS($AG$2:AG652),$AG$2:$AG$1001,0),0), INDEX($AN$1004:$BO$1004,1,MATCH(COLUMNS($AN$1006:BN1006),$AN$1006:$BO$1006,0)))),"Fix")))</f>
        <v>0</v>
      </c>
      <c r="AC652" s="4">
        <f>IF(OR(INDEX($AH$2:$AH$1001,MATCH(ROWS($AG$2:AG652),$AG$2:$AG$1001,0),1)&gt;=100000,INDEX($AN$1005:$BO$1005,1,MATCH(COLUMNS($AN$1006:BO1006),$AN$1006:$BO$1006,0))&gt;=100000), " ",IF(INDEX($AN$2:$BO$1001,MATCH(ROWS($AG$2:AG652),$AG$2:$AG$1001,0),MATCH(COLUMNS($AN$1006:BO1006),$AN$1006:$BO$1006,0)), HYPERLINK("#",""), HYPERLINK(CONCATENATE("#Metadata!", ADDRESS(INDEX($AI$2:$AI$1001,MATCH(ROWS($AG$2:AG652),$AG$2:$AG$1001,0),0), INDEX($AN$1004:$BO$1004,1,MATCH(COLUMNS($AN$1006:BO1006),$AN$1006:$BO$1006,0)))),"Fix")))</f>
        <v>0</v>
      </c>
      <c r="AG652">
        <v>0</v>
      </c>
      <c r="AH652">
        <v>0</v>
      </c>
      <c r="AI652">
        <v>0</v>
      </c>
      <c r="AJ652">
        <f>IF(AK652,TRUE,AND(AN652:BO652))</f>
        <v>0</v>
      </c>
      <c r="AK652">
        <f>COUNTBLANK(Metadata!B652:AC652)=COLUMNS(Metadata!B652:AC652)</f>
        <v>0</v>
      </c>
      <c r="AL652">
        <v>0</v>
      </c>
      <c r="AN652">
        <f>AND(IF(Metadata!B652="",FALSE,TRUE),COUNTIF(Metadata!B:B, Metadata!B652) = 1,NOT(ISERROR(SUMPRODUCT(SEARCH(MID(Metadata!B652,ROW(INDIRECT("1:"&amp;LEN(Metadata!B652))), 1),"0123456789abcdefghijklmnopqrstuvwxyzABCDEFGHIJKLMNOPQRSTUVWXYZ.")))))</f>
        <v>0</v>
      </c>
      <c r="AO652">
        <f>IF(Metadata!C652="",FALSE,TRUE)</f>
        <v>0</v>
      </c>
      <c r="AP652">
        <f>IF(Metadata!D652="",FALSE,TRUE)</f>
        <v>0</v>
      </c>
      <c r="AQ652">
        <f>OR(AND(IF(Metadata!E652="",FALSE,TRUE),OR(exact(Metadata!E652,"not collected"),exact(Metadata!E652,"not provided"),exact(Metadata!E652,"restricted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R652">
        <f>IF(Metadata!F652="",FALSE,TRUE)</f>
        <v>0</v>
      </c>
      <c r="AS652">
        <f>OR(AND(IF(Metadata!G652="",FALSE,TRUE),OR(exact(Metadata!G652,"not collected"),exact(Metadata!G652,"not provided"))),AND(IF(Metadata!G652="",FALSE,TRUE),OR(exact(Metadata!G652,"TRUE"),exact(Metadata!G652,"FALSE"))))</f>
        <v>0</v>
      </c>
      <c r="AT652">
        <f>OR(AND(IF(Metadata!H652="",FALSE,TRUE),OR(exact(Metadata!H652,"not collected"),exact(Metadata!H652,"not provided"),exact(Metadata!H652,"restricted access"))),AND(IF(Metadata!H652="",FALSE,ISNUMBER(VALUE(Metadata!H652))),Metadata!H652&gt;=-413.0))</f>
        <v>0</v>
      </c>
      <c r="AU652">
        <f>AND(IF(Metadata!I652="",FALSE,TRUE),exact(Metadata!I652,"meters"))</f>
        <v>0</v>
      </c>
      <c r="AV652">
        <f>AND(IF(Metadata!J652="",FALSE,TRUE),OR(exact(Metadata!J652,"Host-associated"),exact(Metadata!J652,"Free-living")))</f>
        <v>0</v>
      </c>
      <c r="AW652">
        <f>AND(IF(Metadata!K652="",FALSE,TRUE),OR(exact(Metadata!K652,"Animal"),exact(Metadata!K652,"Fungus"),exact(Metadata!K652,"Plant"),exact(Metadata!K652,"Saline"),exact(Metadata!K652,"Non-saline")))</f>
        <v>0</v>
      </c>
      <c r="AX652">
        <f>AND(IF(Metadata!L652="",FALSE,TRUE),OR(exact(Metadata!L652,"Plant secretion"),exact(Metadata!L652,"Plant rhizosphere"),exact(Metadata!L652,"Plant surface"),exact(Metadata!L652,"Plant corpus"),exact(Metadata!L652,"Fungus surface"),exact(Metadata!L652,"Fungus corpus"),exact(Metadata!L652,"Animal surface"),exact(Metadata!L652,"Animal proximal gut"),exact(Metadata!L652,"Animal corpus"),exact(Metadata!L652,"Animal distal gut"),exact(Metadata!L652,"Animal secretion"),exact(Metadata!L652,"Sub-surface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Y652">
        <f>IF(Metadata!M652="",FALSE,TRUE)</f>
        <v>0</v>
      </c>
      <c r="AZ652">
        <f>IF(Metadata!N652="",FALSE,TRUE)</f>
        <v>0</v>
      </c>
      <c r="BA652">
        <f>IF(Metadata!O652="",FALSE,TRUE)</f>
        <v>0</v>
      </c>
      <c r="BB652">
        <f>OR(AND(IF(Metadata!P652="",FALSE,TRUE),OR(exact(Metadata!P652,"not collected"),exact(Metadata!P652,"not provided"),exact(Metadata!P652,"restricted access"))),AND(IF(Metadata!P652="",FALSE,TRUE),OR(exact(Metadata!P652,"air"),exact(Metadata!P652,"built environment"),exact(Metadata!P652,"host-associated"),exact(Metadata!P652,"human-associated"),exact(Metadata!P652,"human-skin"),exact(Metadata!P652,"human-oral"),exact(Metadata!P652,"human-gut"),exact(Metadata!P652,"human-vaginal"),exact(Metadata!P652,"microbial mat/biofilm"),exact(Metadata!P652,"misc environment"),exact(Metadata!P652,"plant-associated"),exact(Metadata!P652,"sediment"),exact(Metadata!P652,"soil"),exact(Metadata!P652,"wastewater/sludge"),exact(Metadata!P652,"water"))))</f>
        <v>0</v>
      </c>
      <c r="BC652">
        <f>IF(Metadata!Q652="",FALSE,TRUE)</f>
        <v>0</v>
      </c>
      <c r="BD652">
        <f>IF(Metadata!R652="",FALSE,TRUE)</f>
        <v>0</v>
      </c>
      <c r="BE652">
        <f>OR(AND(IF(Metadata!S652="",FALSE,TRUE),OR(exact(Metadata!S652,"not collected"),exact(Metadata!S652,"not provided"),exact(Metadata!S652,"restricted access"))),AND(IF(Metadata!S652="",FALSE,ISNUMBER(VALUE(Metadata!S652))),Metadata!S652&gt;=-90.00,Metadata!S652&lt;=90.00))</f>
        <v>0</v>
      </c>
      <c r="BF652">
        <f>AND(IF(Metadata!T652="",FALSE,TRUE),exact(Metadata!T652,"Decimal degrees"))</f>
        <v>0</v>
      </c>
      <c r="BG652">
        <f>OR(AND(IF(Metadata!U652="",FALSE,TRUE),OR(exact(Metadata!U652,"not collected"),exact(Metadata!U652,"not provided"),exact(Metadata!U652,"restricted access"))),AND(IF(Metadata!U652="",FALSE,ISNUMBER(VALUE(Metadata!U652))),Metadata!U652&gt;=-180.00,Metadata!U652&lt;=180.00))</f>
        <v>0</v>
      </c>
      <c r="BH652">
        <f>AND(IF(Metadata!V652="",FALSE,TRUE),exact(Metadata!V652,"Decimal degrees"))</f>
        <v>0</v>
      </c>
      <c r="BI652">
        <f>IF(Metadata!W652="",FALSE,TRUE)</f>
        <v>0</v>
      </c>
      <c r="BJ652">
        <f>OR(AND(IF(Metadata!X652="",FALSE,TRUE),OR(exact(Metadata!X652,"not collected"),exact(Metadata!X652,"not provided"),exact(Metadata!X652,"restricted access"))),AND(IF(Metadata!X652="",FALSE,TRUE),OR(exact(Metadata!X652,"TRUE"),exact(Metadata!X652,"FALSE"))))</f>
        <v>0</v>
      </c>
      <c r="BK652">
        <f>AND(IF(Metadata!Y652="",FALSE,TRUE),exact(Metadata!Y652,"other"))</f>
        <v>0</v>
      </c>
      <c r="BL652">
        <f>IF(Metadata!Z652="",FALSE,TRUE)</f>
        <v>0</v>
      </c>
      <c r="BM652">
        <f>OR(AND(IF(Metadata!AA652="",FALSE,TRUE),OR(exact(Metadata!AA652,"not collected"),exact(Metadata!AA652,"not provided"))),AND(IF(Metadata!AA652="",FALSE,IF(ISERROR(INT(Metadata!AA652)),FALSE,INT(Metadata!AA652)=Metadata!AA652)),Metadata!AA652&gt;0))</f>
        <v>0</v>
      </c>
      <c r="BN652">
        <f>AND(IF(Metadata!AB652="",FALSE,TRUE),exact(Metadata!AB652,"Not applicable"))</f>
        <v>0</v>
      </c>
      <c r="BO652">
        <f>IF(Metadata!AC652="",FALSE,TRUE)</f>
        <v>0</v>
      </c>
    </row>
    <row r="653" spans="1:67">
      <c r="A653" s="5">
        <f>IF(B653=" "," ",HYPERLINK(CONCATENATE("#metadata!",ADDRESS(INDEX($AI$2:$AI$1001,MATCH(ROWS($AG$2:AG653),$AG$2:$AG$1001,0),0),1)),INDEX($AL$2:$AL$1001,MATCH(ROWS($AG$2:AG653),$AG$2:$AG$1001,0),0)))</f>
        <v>0</v>
      </c>
      <c r="B653" s="4">
        <f>IF(OR(INDEX($AH$2:$AH$1001,MATCH(ROWS($AG$2:AG653),$AG$2:$AG$1001,0),1)&gt;=100000,INDEX($AN$1005:$BO$1005,1,MATCH(COLUMNS($AN$1006:AN1006),$AN$1006:$BO$1006,0))&gt;=100000), " ",IF(INDEX($AN$2:$BO$1001,MATCH(ROWS($AG$2:AG653),$AG$2:$AG$1001,0),MATCH(COLUMNS($AN$1006:AN1006),$AN$1006:$BO$1006,0)), HYPERLINK("#",""), HYPERLINK(CONCATENATE("#Metadata!", ADDRESS(INDEX($AI$2:$AI$1001,MATCH(ROWS($AG$2:AG653),$AG$2:$AG$1001,0),0), INDEX($AN$1004:$BO$1004,1,MATCH(COLUMNS($AN$1006:AN1006),$AN$1006:$BO$1006,0)))),"Fix")))</f>
        <v>0</v>
      </c>
      <c r="C653" s="4">
        <f>IF(OR(INDEX($AH$2:$AH$1001,MATCH(ROWS($AG$2:AG653),$AG$2:$AG$1001,0),1)&gt;=100000,INDEX($AN$1005:$BO$1005,1,MATCH(COLUMNS($AN$1006:AO1006),$AN$1006:$BO$1006,0))&gt;=100000), " ",IF(INDEX($AN$2:$BO$1001,MATCH(ROWS($AG$2:AG653),$AG$2:$AG$1001,0),MATCH(COLUMNS($AN$1006:AO1006),$AN$1006:$BO$1006,0)), HYPERLINK("#",""), HYPERLINK(CONCATENATE("#Metadata!", ADDRESS(INDEX($AI$2:$AI$1001,MATCH(ROWS($AG$2:AG653),$AG$2:$AG$1001,0),0), INDEX($AN$1004:$BO$1004,1,MATCH(COLUMNS($AN$1006:AO1006),$AN$1006:$BO$1006,0)))),"Fix")))</f>
        <v>0</v>
      </c>
      <c r="D653" s="4">
        <f>IF(OR(INDEX($AH$2:$AH$1001,MATCH(ROWS($AG$2:AG653),$AG$2:$AG$1001,0),1)&gt;=100000,INDEX($AN$1005:$BO$1005,1,MATCH(COLUMNS($AN$1006:AP1006),$AN$1006:$BO$1006,0))&gt;=100000), " ",IF(INDEX($AN$2:$BO$1001,MATCH(ROWS($AG$2:AG653),$AG$2:$AG$1001,0),MATCH(COLUMNS($AN$1006:AP1006),$AN$1006:$BO$1006,0)), HYPERLINK("#",""), HYPERLINK(CONCATENATE("#Metadata!", ADDRESS(INDEX($AI$2:$AI$1001,MATCH(ROWS($AG$2:AG653),$AG$2:$AG$1001,0),0), INDEX($AN$1004:$BO$1004,1,MATCH(COLUMNS($AN$1006:AP1006),$AN$1006:$BO$1006,0)))),"Fix")))</f>
        <v>0</v>
      </c>
      <c r="E653" s="4">
        <f>IF(OR(INDEX($AH$2:$AH$1001,MATCH(ROWS($AG$2:AG653),$AG$2:$AG$1001,0),1)&gt;=100000,INDEX($AN$1005:$BO$1005,1,MATCH(COLUMNS($AN$1006:AQ1006),$AN$1006:$BO$1006,0))&gt;=100000), " ",IF(INDEX($AN$2:$BO$1001,MATCH(ROWS($AG$2:AG653),$AG$2:$AG$1001,0),MATCH(COLUMNS($AN$1006:AQ1006),$AN$1006:$BO$1006,0)), HYPERLINK("#",""), HYPERLINK(CONCATENATE("#Metadata!", ADDRESS(INDEX($AI$2:$AI$1001,MATCH(ROWS($AG$2:AG653),$AG$2:$AG$1001,0),0), INDEX($AN$1004:$BO$1004,1,MATCH(COLUMNS($AN$1006:AQ1006),$AN$1006:$BO$1006,0)))),"Fix")))</f>
        <v>0</v>
      </c>
      <c r="F653" s="4">
        <f>IF(OR(INDEX($AH$2:$AH$1001,MATCH(ROWS($AG$2:AG653),$AG$2:$AG$1001,0),1)&gt;=100000,INDEX($AN$1005:$BO$1005,1,MATCH(COLUMNS($AN$1006:AR1006),$AN$1006:$BO$1006,0))&gt;=100000), " ",IF(INDEX($AN$2:$BO$1001,MATCH(ROWS($AG$2:AG653),$AG$2:$AG$1001,0),MATCH(COLUMNS($AN$1006:AR1006),$AN$1006:$BO$1006,0)), HYPERLINK("#",""), HYPERLINK(CONCATENATE("#Metadata!", ADDRESS(INDEX($AI$2:$AI$1001,MATCH(ROWS($AG$2:AG653),$AG$2:$AG$1001,0),0), INDEX($AN$1004:$BO$1004,1,MATCH(COLUMNS($AN$1006:AR1006),$AN$1006:$BO$1006,0)))),"Fix")))</f>
        <v>0</v>
      </c>
      <c r="G653" s="4">
        <f>IF(OR(INDEX($AH$2:$AH$1001,MATCH(ROWS($AG$2:AG653),$AG$2:$AG$1001,0),1)&gt;=100000,INDEX($AN$1005:$BO$1005,1,MATCH(COLUMNS($AN$1006:AS1006),$AN$1006:$BO$1006,0))&gt;=100000), " ",IF(INDEX($AN$2:$BO$1001,MATCH(ROWS($AG$2:AG653),$AG$2:$AG$1001,0),MATCH(COLUMNS($AN$1006:AS1006),$AN$1006:$BO$1006,0)), HYPERLINK("#",""), HYPERLINK(CONCATENATE("#Metadata!", ADDRESS(INDEX($AI$2:$AI$1001,MATCH(ROWS($AG$2:AG653),$AG$2:$AG$1001,0),0), INDEX($AN$1004:$BO$1004,1,MATCH(COLUMNS($AN$1006:AS1006),$AN$1006:$BO$1006,0)))),"Fix")))</f>
        <v>0</v>
      </c>
      <c r="H653" s="4">
        <f>IF(OR(INDEX($AH$2:$AH$1001,MATCH(ROWS($AG$2:AG653),$AG$2:$AG$1001,0),1)&gt;=100000,INDEX($AN$1005:$BO$1005,1,MATCH(COLUMNS($AN$1006:AT1006),$AN$1006:$BO$1006,0))&gt;=100000), " ",IF(INDEX($AN$2:$BO$1001,MATCH(ROWS($AG$2:AG653),$AG$2:$AG$1001,0),MATCH(COLUMNS($AN$1006:AT1006),$AN$1006:$BO$1006,0)), HYPERLINK("#",""), HYPERLINK(CONCATENATE("#Metadata!", ADDRESS(INDEX($AI$2:$AI$1001,MATCH(ROWS($AG$2:AG653),$AG$2:$AG$1001,0),0), INDEX($AN$1004:$BO$1004,1,MATCH(COLUMNS($AN$1006:AT1006),$AN$1006:$BO$1006,0)))),"Fix")))</f>
        <v>0</v>
      </c>
      <c r="I653" s="4">
        <f>IF(OR(INDEX($AH$2:$AH$1001,MATCH(ROWS($AG$2:AG653),$AG$2:$AG$1001,0),1)&gt;=100000,INDEX($AN$1005:$BO$1005,1,MATCH(COLUMNS($AN$1006:AU1006),$AN$1006:$BO$1006,0))&gt;=100000), " ",IF(INDEX($AN$2:$BO$1001,MATCH(ROWS($AG$2:AG653),$AG$2:$AG$1001,0),MATCH(COLUMNS($AN$1006:AU1006),$AN$1006:$BO$1006,0)), HYPERLINK("#",""), HYPERLINK(CONCATENATE("#Metadata!", ADDRESS(INDEX($AI$2:$AI$1001,MATCH(ROWS($AG$2:AG653),$AG$2:$AG$1001,0),0), INDEX($AN$1004:$BO$1004,1,MATCH(COLUMNS($AN$1006:AU1006),$AN$1006:$BO$1006,0)))),"Fix")))</f>
        <v>0</v>
      </c>
      <c r="J653" s="4">
        <f>IF(OR(INDEX($AH$2:$AH$1001,MATCH(ROWS($AG$2:AG653),$AG$2:$AG$1001,0),1)&gt;=100000,INDEX($AN$1005:$BO$1005,1,MATCH(COLUMNS($AN$1006:AV1006),$AN$1006:$BO$1006,0))&gt;=100000), " ",IF(INDEX($AN$2:$BO$1001,MATCH(ROWS($AG$2:AG653),$AG$2:$AG$1001,0),MATCH(COLUMNS($AN$1006:AV1006),$AN$1006:$BO$1006,0)), HYPERLINK("#",""), HYPERLINK(CONCATENATE("#Metadata!", ADDRESS(INDEX($AI$2:$AI$1001,MATCH(ROWS($AG$2:AG653),$AG$2:$AG$1001,0),0), INDEX($AN$1004:$BO$1004,1,MATCH(COLUMNS($AN$1006:AV1006),$AN$1006:$BO$1006,0)))),"Fix")))</f>
        <v>0</v>
      </c>
      <c r="K653" s="4">
        <f>IF(OR(INDEX($AH$2:$AH$1001,MATCH(ROWS($AG$2:AG653),$AG$2:$AG$1001,0),1)&gt;=100000,INDEX($AN$1005:$BO$1005,1,MATCH(COLUMNS($AN$1006:AW1006),$AN$1006:$BO$1006,0))&gt;=100000), " ",IF(INDEX($AN$2:$BO$1001,MATCH(ROWS($AG$2:AG653),$AG$2:$AG$1001,0),MATCH(COLUMNS($AN$1006:AW1006),$AN$1006:$BO$1006,0)), HYPERLINK("#",""), HYPERLINK(CONCATENATE("#Metadata!", ADDRESS(INDEX($AI$2:$AI$1001,MATCH(ROWS($AG$2:AG653),$AG$2:$AG$1001,0),0), INDEX($AN$1004:$BO$1004,1,MATCH(COLUMNS($AN$1006:AW1006),$AN$1006:$BO$1006,0)))),"Fix")))</f>
        <v>0</v>
      </c>
      <c r="L653" s="4">
        <f>IF(OR(INDEX($AH$2:$AH$1001,MATCH(ROWS($AG$2:AG653),$AG$2:$AG$1001,0),1)&gt;=100000,INDEX($AN$1005:$BO$1005,1,MATCH(COLUMNS($AN$1006:AX1006),$AN$1006:$BO$1006,0))&gt;=100000), " ",IF(INDEX($AN$2:$BO$1001,MATCH(ROWS($AG$2:AG653),$AG$2:$AG$1001,0),MATCH(COLUMNS($AN$1006:AX1006),$AN$1006:$BO$1006,0)), HYPERLINK("#",""), HYPERLINK(CONCATENATE("#Metadata!", ADDRESS(INDEX($AI$2:$AI$1001,MATCH(ROWS($AG$2:AG653),$AG$2:$AG$1001,0),0), INDEX($AN$1004:$BO$1004,1,MATCH(COLUMNS($AN$1006:AX1006),$AN$1006:$BO$1006,0)))),"Fix")))</f>
        <v>0</v>
      </c>
      <c r="M653" s="4">
        <f>IF(OR(INDEX($AH$2:$AH$1001,MATCH(ROWS($AG$2:AG653),$AG$2:$AG$1001,0),1)&gt;=100000,INDEX($AN$1005:$BO$1005,1,MATCH(COLUMNS($AN$1006:AY1006),$AN$1006:$BO$1006,0))&gt;=100000), " ",IF(INDEX($AN$2:$BO$1001,MATCH(ROWS($AG$2:AG653),$AG$2:$AG$1001,0),MATCH(COLUMNS($AN$1006:AY1006),$AN$1006:$BO$1006,0)), HYPERLINK("#",""), HYPERLINK(CONCATENATE("#Metadata!", ADDRESS(INDEX($AI$2:$AI$1001,MATCH(ROWS($AG$2:AG653),$AG$2:$AG$1001,0),0), INDEX($AN$1004:$BO$1004,1,MATCH(COLUMNS($AN$1006:AY1006),$AN$1006:$BO$1006,0)))),"Fix")))</f>
        <v>0</v>
      </c>
      <c r="N653" s="4">
        <f>IF(OR(INDEX($AH$2:$AH$1001,MATCH(ROWS($AG$2:AG653),$AG$2:$AG$1001,0),1)&gt;=100000,INDEX($AN$1005:$BO$1005,1,MATCH(COLUMNS($AN$1006:AZ1006),$AN$1006:$BO$1006,0))&gt;=100000), " ",IF(INDEX($AN$2:$BO$1001,MATCH(ROWS($AG$2:AG653),$AG$2:$AG$1001,0),MATCH(COLUMNS($AN$1006:AZ1006),$AN$1006:$BO$1006,0)), HYPERLINK("#",""), HYPERLINK(CONCATENATE("#Metadata!", ADDRESS(INDEX($AI$2:$AI$1001,MATCH(ROWS($AG$2:AG653),$AG$2:$AG$1001,0),0), INDEX($AN$1004:$BO$1004,1,MATCH(COLUMNS($AN$1006:AZ1006),$AN$1006:$BO$1006,0)))),"Fix")))</f>
        <v>0</v>
      </c>
      <c r="O653" s="4">
        <f>IF(OR(INDEX($AH$2:$AH$1001,MATCH(ROWS($AG$2:AG653),$AG$2:$AG$1001,0),1)&gt;=100000,INDEX($AN$1005:$BO$1005,1,MATCH(COLUMNS($AN$1006:BA1006),$AN$1006:$BO$1006,0))&gt;=100000), " ",IF(INDEX($AN$2:$BO$1001,MATCH(ROWS($AG$2:AG653),$AG$2:$AG$1001,0),MATCH(COLUMNS($AN$1006:BA1006),$AN$1006:$BO$1006,0)), HYPERLINK("#",""), HYPERLINK(CONCATENATE("#Metadata!", ADDRESS(INDEX($AI$2:$AI$1001,MATCH(ROWS($AG$2:AG653),$AG$2:$AG$1001,0),0), INDEX($AN$1004:$BO$1004,1,MATCH(COLUMNS($AN$1006:BA1006),$AN$1006:$BO$1006,0)))),"Fix")))</f>
        <v>0</v>
      </c>
      <c r="P653" s="4">
        <f>IF(OR(INDEX($AH$2:$AH$1001,MATCH(ROWS($AG$2:AG653),$AG$2:$AG$1001,0),1)&gt;=100000,INDEX($AN$1005:$BO$1005,1,MATCH(COLUMNS($AN$1006:BB1006),$AN$1006:$BO$1006,0))&gt;=100000), " ",IF(INDEX($AN$2:$BO$1001,MATCH(ROWS($AG$2:AG653),$AG$2:$AG$1001,0),MATCH(COLUMNS($AN$1006:BB1006),$AN$1006:$BO$1006,0)), HYPERLINK("#",""), HYPERLINK(CONCATENATE("#Metadata!", ADDRESS(INDEX($AI$2:$AI$1001,MATCH(ROWS($AG$2:AG653),$AG$2:$AG$1001,0),0), INDEX($AN$1004:$BO$1004,1,MATCH(COLUMNS($AN$1006:BB1006),$AN$1006:$BO$1006,0)))),"Fix")))</f>
        <v>0</v>
      </c>
      <c r="Q653" s="4">
        <f>IF(OR(INDEX($AH$2:$AH$1001,MATCH(ROWS($AG$2:AG653),$AG$2:$AG$1001,0),1)&gt;=100000,INDEX($AN$1005:$BO$1005,1,MATCH(COLUMNS($AN$1006:BC1006),$AN$1006:$BO$1006,0))&gt;=100000), " ",IF(INDEX($AN$2:$BO$1001,MATCH(ROWS($AG$2:AG653),$AG$2:$AG$1001,0),MATCH(COLUMNS($AN$1006:BC1006),$AN$1006:$BO$1006,0)), HYPERLINK("#",""), HYPERLINK(CONCATENATE("#Metadata!", ADDRESS(INDEX($AI$2:$AI$1001,MATCH(ROWS($AG$2:AG653),$AG$2:$AG$1001,0),0), INDEX($AN$1004:$BO$1004,1,MATCH(COLUMNS($AN$1006:BC1006),$AN$1006:$BO$1006,0)))),"Fix")))</f>
        <v>0</v>
      </c>
      <c r="R653" s="4">
        <f>IF(OR(INDEX($AH$2:$AH$1001,MATCH(ROWS($AG$2:AG653),$AG$2:$AG$1001,0),1)&gt;=100000,INDEX($AN$1005:$BO$1005,1,MATCH(COLUMNS($AN$1006:BD1006),$AN$1006:$BO$1006,0))&gt;=100000), " ",IF(INDEX($AN$2:$BO$1001,MATCH(ROWS($AG$2:AG653),$AG$2:$AG$1001,0),MATCH(COLUMNS($AN$1006:BD1006),$AN$1006:$BO$1006,0)), HYPERLINK("#",""), HYPERLINK(CONCATENATE("#Metadata!", ADDRESS(INDEX($AI$2:$AI$1001,MATCH(ROWS($AG$2:AG653),$AG$2:$AG$1001,0),0), INDEX($AN$1004:$BO$1004,1,MATCH(COLUMNS($AN$1006:BD1006),$AN$1006:$BO$1006,0)))),"Fix")))</f>
        <v>0</v>
      </c>
      <c r="S653" s="4">
        <f>IF(OR(INDEX($AH$2:$AH$1001,MATCH(ROWS($AG$2:AG653),$AG$2:$AG$1001,0),1)&gt;=100000,INDEX($AN$1005:$BO$1005,1,MATCH(COLUMNS($AN$1006:BE1006),$AN$1006:$BO$1006,0))&gt;=100000), " ",IF(INDEX($AN$2:$BO$1001,MATCH(ROWS($AG$2:AG653),$AG$2:$AG$1001,0),MATCH(COLUMNS($AN$1006:BE1006),$AN$1006:$BO$1006,0)), HYPERLINK("#",""), HYPERLINK(CONCATENATE("#Metadata!", ADDRESS(INDEX($AI$2:$AI$1001,MATCH(ROWS($AG$2:AG653),$AG$2:$AG$1001,0),0), INDEX($AN$1004:$BO$1004,1,MATCH(COLUMNS($AN$1006:BE1006),$AN$1006:$BO$1006,0)))),"Fix")))</f>
        <v>0</v>
      </c>
      <c r="T653" s="4">
        <f>IF(OR(INDEX($AH$2:$AH$1001,MATCH(ROWS($AG$2:AG653),$AG$2:$AG$1001,0),1)&gt;=100000,INDEX($AN$1005:$BO$1005,1,MATCH(COLUMNS($AN$1006:BF1006),$AN$1006:$BO$1006,0))&gt;=100000), " ",IF(INDEX($AN$2:$BO$1001,MATCH(ROWS($AG$2:AG653),$AG$2:$AG$1001,0),MATCH(COLUMNS($AN$1006:BF1006),$AN$1006:$BO$1006,0)), HYPERLINK("#",""), HYPERLINK(CONCATENATE("#Metadata!", ADDRESS(INDEX($AI$2:$AI$1001,MATCH(ROWS($AG$2:AG653),$AG$2:$AG$1001,0),0), INDEX($AN$1004:$BO$1004,1,MATCH(COLUMNS($AN$1006:BF1006),$AN$1006:$BO$1006,0)))),"Fix")))</f>
        <v>0</v>
      </c>
      <c r="U653" s="4">
        <f>IF(OR(INDEX($AH$2:$AH$1001,MATCH(ROWS($AG$2:AG653),$AG$2:$AG$1001,0),1)&gt;=100000,INDEX($AN$1005:$BO$1005,1,MATCH(COLUMNS($AN$1006:BG1006),$AN$1006:$BO$1006,0))&gt;=100000), " ",IF(INDEX($AN$2:$BO$1001,MATCH(ROWS($AG$2:AG653),$AG$2:$AG$1001,0),MATCH(COLUMNS($AN$1006:BG1006),$AN$1006:$BO$1006,0)), HYPERLINK("#",""), HYPERLINK(CONCATENATE("#Metadata!", ADDRESS(INDEX($AI$2:$AI$1001,MATCH(ROWS($AG$2:AG653),$AG$2:$AG$1001,0),0), INDEX($AN$1004:$BO$1004,1,MATCH(COLUMNS($AN$1006:BG1006),$AN$1006:$BO$1006,0)))),"Fix")))</f>
        <v>0</v>
      </c>
      <c r="V653" s="4">
        <f>IF(OR(INDEX($AH$2:$AH$1001,MATCH(ROWS($AG$2:AG653),$AG$2:$AG$1001,0),1)&gt;=100000,INDEX($AN$1005:$BO$1005,1,MATCH(COLUMNS($AN$1006:BH1006),$AN$1006:$BO$1006,0))&gt;=100000), " ",IF(INDEX($AN$2:$BO$1001,MATCH(ROWS($AG$2:AG653),$AG$2:$AG$1001,0),MATCH(COLUMNS($AN$1006:BH1006),$AN$1006:$BO$1006,0)), HYPERLINK("#",""), HYPERLINK(CONCATENATE("#Metadata!", ADDRESS(INDEX($AI$2:$AI$1001,MATCH(ROWS($AG$2:AG653),$AG$2:$AG$1001,0),0), INDEX($AN$1004:$BO$1004,1,MATCH(COLUMNS($AN$1006:BH1006),$AN$1006:$BO$1006,0)))),"Fix")))</f>
        <v>0</v>
      </c>
      <c r="W653" s="4">
        <f>IF(OR(INDEX($AH$2:$AH$1001,MATCH(ROWS($AG$2:AG653),$AG$2:$AG$1001,0),1)&gt;=100000,INDEX($AN$1005:$BO$1005,1,MATCH(COLUMNS($AN$1006:BI1006),$AN$1006:$BO$1006,0))&gt;=100000), " ",IF(INDEX($AN$2:$BO$1001,MATCH(ROWS($AG$2:AG653),$AG$2:$AG$1001,0),MATCH(COLUMNS($AN$1006:BI1006),$AN$1006:$BO$1006,0)), HYPERLINK("#",""), HYPERLINK(CONCATENATE("#Metadata!", ADDRESS(INDEX($AI$2:$AI$1001,MATCH(ROWS($AG$2:AG653),$AG$2:$AG$1001,0),0), INDEX($AN$1004:$BO$1004,1,MATCH(COLUMNS($AN$1006:BI1006),$AN$1006:$BO$1006,0)))),"Fix")))</f>
        <v>0</v>
      </c>
      <c r="X653" s="4">
        <f>IF(OR(INDEX($AH$2:$AH$1001,MATCH(ROWS($AG$2:AG653),$AG$2:$AG$1001,0),1)&gt;=100000,INDEX($AN$1005:$BO$1005,1,MATCH(COLUMNS($AN$1006:BJ1006),$AN$1006:$BO$1006,0))&gt;=100000), " ",IF(INDEX($AN$2:$BO$1001,MATCH(ROWS($AG$2:AG653),$AG$2:$AG$1001,0),MATCH(COLUMNS($AN$1006:BJ1006),$AN$1006:$BO$1006,0)), HYPERLINK("#",""), HYPERLINK(CONCATENATE("#Metadata!", ADDRESS(INDEX($AI$2:$AI$1001,MATCH(ROWS($AG$2:AG653),$AG$2:$AG$1001,0),0), INDEX($AN$1004:$BO$1004,1,MATCH(COLUMNS($AN$1006:BJ1006),$AN$1006:$BO$1006,0)))),"Fix")))</f>
        <v>0</v>
      </c>
      <c r="Y653" s="4">
        <f>IF(OR(INDEX($AH$2:$AH$1001,MATCH(ROWS($AG$2:AG653),$AG$2:$AG$1001,0),1)&gt;=100000,INDEX($AN$1005:$BO$1005,1,MATCH(COLUMNS($AN$1006:BK1006),$AN$1006:$BO$1006,0))&gt;=100000), " ",IF(INDEX($AN$2:$BO$1001,MATCH(ROWS($AG$2:AG653),$AG$2:$AG$1001,0),MATCH(COLUMNS($AN$1006:BK1006),$AN$1006:$BO$1006,0)), HYPERLINK("#",""), HYPERLINK(CONCATENATE("#Metadata!", ADDRESS(INDEX($AI$2:$AI$1001,MATCH(ROWS($AG$2:AG653),$AG$2:$AG$1001,0),0), INDEX($AN$1004:$BO$1004,1,MATCH(COLUMNS($AN$1006:BK1006),$AN$1006:$BO$1006,0)))),"Fix")))</f>
        <v>0</v>
      </c>
      <c r="Z653" s="4">
        <f>IF(OR(INDEX($AH$2:$AH$1001,MATCH(ROWS($AG$2:AG653),$AG$2:$AG$1001,0),1)&gt;=100000,INDEX($AN$1005:$BO$1005,1,MATCH(COLUMNS($AN$1006:BL1006),$AN$1006:$BO$1006,0))&gt;=100000), " ",IF(INDEX($AN$2:$BO$1001,MATCH(ROWS($AG$2:AG653),$AG$2:$AG$1001,0),MATCH(COLUMNS($AN$1006:BL1006),$AN$1006:$BO$1006,0)), HYPERLINK("#",""), HYPERLINK(CONCATENATE("#Metadata!", ADDRESS(INDEX($AI$2:$AI$1001,MATCH(ROWS($AG$2:AG653),$AG$2:$AG$1001,0),0), INDEX($AN$1004:$BO$1004,1,MATCH(COLUMNS($AN$1006:BL1006),$AN$1006:$BO$1006,0)))),"Fix")))</f>
        <v>0</v>
      </c>
      <c r="AA653" s="4">
        <f>IF(OR(INDEX($AH$2:$AH$1001,MATCH(ROWS($AG$2:AG653),$AG$2:$AG$1001,0),1)&gt;=100000,INDEX($AN$1005:$BO$1005,1,MATCH(COLUMNS($AN$1006:BM1006),$AN$1006:$BO$1006,0))&gt;=100000), " ",IF(INDEX($AN$2:$BO$1001,MATCH(ROWS($AG$2:AG653),$AG$2:$AG$1001,0),MATCH(COLUMNS($AN$1006:BM1006),$AN$1006:$BO$1006,0)), HYPERLINK("#",""), HYPERLINK(CONCATENATE("#Metadata!", ADDRESS(INDEX($AI$2:$AI$1001,MATCH(ROWS($AG$2:AG653),$AG$2:$AG$1001,0),0), INDEX($AN$1004:$BO$1004,1,MATCH(COLUMNS($AN$1006:BM1006),$AN$1006:$BO$1006,0)))),"Fix")))</f>
        <v>0</v>
      </c>
      <c r="AB653" s="4">
        <f>IF(OR(INDEX($AH$2:$AH$1001,MATCH(ROWS($AG$2:AG653),$AG$2:$AG$1001,0),1)&gt;=100000,INDEX($AN$1005:$BO$1005,1,MATCH(COLUMNS($AN$1006:BN1006),$AN$1006:$BO$1006,0))&gt;=100000), " ",IF(INDEX($AN$2:$BO$1001,MATCH(ROWS($AG$2:AG653),$AG$2:$AG$1001,0),MATCH(COLUMNS($AN$1006:BN1006),$AN$1006:$BO$1006,0)), HYPERLINK("#",""), HYPERLINK(CONCATENATE("#Metadata!", ADDRESS(INDEX($AI$2:$AI$1001,MATCH(ROWS($AG$2:AG653),$AG$2:$AG$1001,0),0), INDEX($AN$1004:$BO$1004,1,MATCH(COLUMNS($AN$1006:BN1006),$AN$1006:$BO$1006,0)))),"Fix")))</f>
        <v>0</v>
      </c>
      <c r="AC653" s="4">
        <f>IF(OR(INDEX($AH$2:$AH$1001,MATCH(ROWS($AG$2:AG653),$AG$2:$AG$1001,0),1)&gt;=100000,INDEX($AN$1005:$BO$1005,1,MATCH(COLUMNS($AN$1006:BO1006),$AN$1006:$BO$1006,0))&gt;=100000), " ",IF(INDEX($AN$2:$BO$1001,MATCH(ROWS($AG$2:AG653),$AG$2:$AG$1001,0),MATCH(COLUMNS($AN$1006:BO1006),$AN$1006:$BO$1006,0)), HYPERLINK("#",""), HYPERLINK(CONCATENATE("#Metadata!", ADDRESS(INDEX($AI$2:$AI$1001,MATCH(ROWS($AG$2:AG653),$AG$2:$AG$1001,0),0), INDEX($AN$1004:$BO$1004,1,MATCH(COLUMNS($AN$1006:BO1006),$AN$1006:$BO$1006,0)))),"Fix")))</f>
        <v>0</v>
      </c>
      <c r="AG653">
        <v>0</v>
      </c>
      <c r="AH653">
        <v>0</v>
      </c>
      <c r="AI653">
        <v>0</v>
      </c>
      <c r="AJ653">
        <f>IF(AK653,TRUE,AND(AN653:BO653))</f>
        <v>0</v>
      </c>
      <c r="AK653">
        <f>COUNTBLANK(Metadata!B653:AC653)=COLUMNS(Metadata!B653:AC653)</f>
        <v>0</v>
      </c>
      <c r="AL653">
        <v>0</v>
      </c>
      <c r="AN653">
        <f>AND(IF(Metadata!B653="",FALSE,TRUE),COUNTIF(Metadata!B:B, Metadata!B653) = 1,NOT(ISERROR(SUMPRODUCT(SEARCH(MID(Metadata!B653,ROW(INDIRECT("1:"&amp;LEN(Metadata!B653))), 1),"0123456789abcdefghijklmnopqrstuvwxyzABCDEFGHIJKLMNOPQRSTUVWXYZ.")))))</f>
        <v>0</v>
      </c>
      <c r="AO653">
        <f>IF(Metadata!C653="",FALSE,TRUE)</f>
        <v>0</v>
      </c>
      <c r="AP653">
        <f>IF(Metadata!D653="",FALSE,TRUE)</f>
        <v>0</v>
      </c>
      <c r="AQ653">
        <f>OR(AND(IF(Metadata!E653="",FALSE,TRUE),OR(exact(Metadata!E653,"not collected"),exact(Metadata!E653,"not provided"),exact(Metadata!E653,"restricted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R653">
        <f>IF(Metadata!F653="",FALSE,TRUE)</f>
        <v>0</v>
      </c>
      <c r="AS653">
        <f>OR(AND(IF(Metadata!G653="",FALSE,TRUE),OR(exact(Metadata!G653,"not collected"),exact(Metadata!G653,"not provided"))),AND(IF(Metadata!G653="",FALSE,TRUE),OR(exact(Metadata!G653,"TRUE"),exact(Metadata!G653,"FALSE"))))</f>
        <v>0</v>
      </c>
      <c r="AT653">
        <f>OR(AND(IF(Metadata!H653="",FALSE,TRUE),OR(exact(Metadata!H653,"not collected"),exact(Metadata!H653,"not provided"),exact(Metadata!H653,"restricted access"))),AND(IF(Metadata!H653="",FALSE,ISNUMBER(VALUE(Metadata!H653))),Metadata!H653&gt;=-413.0))</f>
        <v>0</v>
      </c>
      <c r="AU653">
        <f>AND(IF(Metadata!I653="",FALSE,TRUE),exact(Metadata!I653,"meters"))</f>
        <v>0</v>
      </c>
      <c r="AV653">
        <f>AND(IF(Metadata!J653="",FALSE,TRUE),OR(exact(Metadata!J653,"Host-associated"),exact(Metadata!J653,"Free-living")))</f>
        <v>0</v>
      </c>
      <c r="AW653">
        <f>AND(IF(Metadata!K653="",FALSE,TRUE),OR(exact(Metadata!K653,"Animal"),exact(Metadata!K653,"Fungus"),exact(Metadata!K653,"Plant"),exact(Metadata!K653,"Saline"),exact(Metadata!K653,"Non-saline")))</f>
        <v>0</v>
      </c>
      <c r="AX653">
        <f>AND(IF(Metadata!L653="",FALSE,TRUE),OR(exact(Metadata!L653,"Plant secretion"),exact(Metadata!L653,"Plant rhizosphere"),exact(Metadata!L653,"Plant surface"),exact(Metadata!L653,"Plant corpus"),exact(Metadata!L653,"Fungus surface"),exact(Metadata!L653,"Fungus corpus"),exact(Metadata!L653,"Animal surface"),exact(Metadata!L653,"Animal proximal gut"),exact(Metadata!L653,"Animal corpus"),exact(Metadata!L653,"Animal distal gut"),exact(Metadata!L653,"Animal secretion"),exact(Metadata!L653,"Sub-surface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Y653">
        <f>IF(Metadata!M653="",FALSE,TRUE)</f>
        <v>0</v>
      </c>
      <c r="AZ653">
        <f>IF(Metadata!N653="",FALSE,TRUE)</f>
        <v>0</v>
      </c>
      <c r="BA653">
        <f>IF(Metadata!O653="",FALSE,TRUE)</f>
        <v>0</v>
      </c>
      <c r="BB653">
        <f>OR(AND(IF(Metadata!P653="",FALSE,TRUE),OR(exact(Metadata!P653,"not collected"),exact(Metadata!P653,"not provided"),exact(Metadata!P653,"restricted access"))),AND(IF(Metadata!P653="",FALSE,TRUE),OR(exact(Metadata!P653,"air"),exact(Metadata!P653,"built environment"),exact(Metadata!P653,"host-associated"),exact(Metadata!P653,"human-associated"),exact(Metadata!P653,"human-skin"),exact(Metadata!P653,"human-oral"),exact(Metadata!P653,"human-gut"),exact(Metadata!P653,"human-vaginal"),exact(Metadata!P653,"microbial mat/biofilm"),exact(Metadata!P653,"misc environment"),exact(Metadata!P653,"plant-associated"),exact(Metadata!P653,"sediment"),exact(Metadata!P653,"soil"),exact(Metadata!P653,"wastewater/sludge"),exact(Metadata!P653,"water"))))</f>
        <v>0</v>
      </c>
      <c r="BC653">
        <f>IF(Metadata!Q653="",FALSE,TRUE)</f>
        <v>0</v>
      </c>
      <c r="BD653">
        <f>IF(Metadata!R653="",FALSE,TRUE)</f>
        <v>0</v>
      </c>
      <c r="BE653">
        <f>OR(AND(IF(Metadata!S653="",FALSE,TRUE),OR(exact(Metadata!S653,"not collected"),exact(Metadata!S653,"not provided"),exact(Metadata!S653,"restricted access"))),AND(IF(Metadata!S653="",FALSE,ISNUMBER(VALUE(Metadata!S653))),Metadata!S653&gt;=-90.00,Metadata!S653&lt;=90.00))</f>
        <v>0</v>
      </c>
      <c r="BF653">
        <f>AND(IF(Metadata!T653="",FALSE,TRUE),exact(Metadata!T653,"Decimal degrees"))</f>
        <v>0</v>
      </c>
      <c r="BG653">
        <f>OR(AND(IF(Metadata!U653="",FALSE,TRUE),OR(exact(Metadata!U653,"not collected"),exact(Metadata!U653,"not provided"),exact(Metadata!U653,"restricted access"))),AND(IF(Metadata!U653="",FALSE,ISNUMBER(VALUE(Metadata!U653))),Metadata!U653&gt;=-180.00,Metadata!U653&lt;=180.00))</f>
        <v>0</v>
      </c>
      <c r="BH653">
        <f>AND(IF(Metadata!V653="",FALSE,TRUE),exact(Metadata!V653,"Decimal degrees"))</f>
        <v>0</v>
      </c>
      <c r="BI653">
        <f>IF(Metadata!W653="",FALSE,TRUE)</f>
        <v>0</v>
      </c>
      <c r="BJ653">
        <f>OR(AND(IF(Metadata!X653="",FALSE,TRUE),OR(exact(Metadata!X653,"not collected"),exact(Metadata!X653,"not provided"),exact(Metadata!X653,"restricted access"))),AND(IF(Metadata!X653="",FALSE,TRUE),OR(exact(Metadata!X653,"TRUE"),exact(Metadata!X653,"FALSE"))))</f>
        <v>0</v>
      </c>
      <c r="BK653">
        <f>AND(IF(Metadata!Y653="",FALSE,TRUE),exact(Metadata!Y653,"other"))</f>
        <v>0</v>
      </c>
      <c r="BL653">
        <f>IF(Metadata!Z653="",FALSE,TRUE)</f>
        <v>0</v>
      </c>
      <c r="BM653">
        <f>OR(AND(IF(Metadata!AA653="",FALSE,TRUE),OR(exact(Metadata!AA653,"not collected"),exact(Metadata!AA653,"not provided"))),AND(IF(Metadata!AA653="",FALSE,IF(ISERROR(INT(Metadata!AA653)),FALSE,INT(Metadata!AA653)=Metadata!AA653)),Metadata!AA653&gt;0))</f>
        <v>0</v>
      </c>
      <c r="BN653">
        <f>AND(IF(Metadata!AB653="",FALSE,TRUE),exact(Metadata!AB653,"Not applicable"))</f>
        <v>0</v>
      </c>
      <c r="BO653">
        <f>IF(Metadata!AC653="",FALSE,TRUE)</f>
        <v>0</v>
      </c>
    </row>
    <row r="654" spans="1:67">
      <c r="A654" s="5">
        <f>IF(B654=" "," ",HYPERLINK(CONCATENATE("#metadata!",ADDRESS(INDEX($AI$2:$AI$1001,MATCH(ROWS($AG$2:AG654),$AG$2:$AG$1001,0),0),1)),INDEX($AL$2:$AL$1001,MATCH(ROWS($AG$2:AG654),$AG$2:$AG$1001,0),0)))</f>
        <v>0</v>
      </c>
      <c r="B654" s="4">
        <f>IF(OR(INDEX($AH$2:$AH$1001,MATCH(ROWS($AG$2:AG654),$AG$2:$AG$1001,0),1)&gt;=100000,INDEX($AN$1005:$BO$1005,1,MATCH(COLUMNS($AN$1006:AN1006),$AN$1006:$BO$1006,0))&gt;=100000), " ",IF(INDEX($AN$2:$BO$1001,MATCH(ROWS($AG$2:AG654),$AG$2:$AG$1001,0),MATCH(COLUMNS($AN$1006:AN1006),$AN$1006:$BO$1006,0)), HYPERLINK("#",""), HYPERLINK(CONCATENATE("#Metadata!", ADDRESS(INDEX($AI$2:$AI$1001,MATCH(ROWS($AG$2:AG654),$AG$2:$AG$1001,0),0), INDEX($AN$1004:$BO$1004,1,MATCH(COLUMNS($AN$1006:AN1006),$AN$1006:$BO$1006,0)))),"Fix")))</f>
        <v>0</v>
      </c>
      <c r="C654" s="4">
        <f>IF(OR(INDEX($AH$2:$AH$1001,MATCH(ROWS($AG$2:AG654),$AG$2:$AG$1001,0),1)&gt;=100000,INDEX($AN$1005:$BO$1005,1,MATCH(COLUMNS($AN$1006:AO1006),$AN$1006:$BO$1006,0))&gt;=100000), " ",IF(INDEX($AN$2:$BO$1001,MATCH(ROWS($AG$2:AG654),$AG$2:$AG$1001,0),MATCH(COLUMNS($AN$1006:AO1006),$AN$1006:$BO$1006,0)), HYPERLINK("#",""), HYPERLINK(CONCATENATE("#Metadata!", ADDRESS(INDEX($AI$2:$AI$1001,MATCH(ROWS($AG$2:AG654),$AG$2:$AG$1001,0),0), INDEX($AN$1004:$BO$1004,1,MATCH(COLUMNS($AN$1006:AO1006),$AN$1006:$BO$1006,0)))),"Fix")))</f>
        <v>0</v>
      </c>
      <c r="D654" s="4">
        <f>IF(OR(INDEX($AH$2:$AH$1001,MATCH(ROWS($AG$2:AG654),$AG$2:$AG$1001,0),1)&gt;=100000,INDEX($AN$1005:$BO$1005,1,MATCH(COLUMNS($AN$1006:AP1006),$AN$1006:$BO$1006,0))&gt;=100000), " ",IF(INDEX($AN$2:$BO$1001,MATCH(ROWS($AG$2:AG654),$AG$2:$AG$1001,0),MATCH(COLUMNS($AN$1006:AP1006),$AN$1006:$BO$1006,0)), HYPERLINK("#",""), HYPERLINK(CONCATENATE("#Metadata!", ADDRESS(INDEX($AI$2:$AI$1001,MATCH(ROWS($AG$2:AG654),$AG$2:$AG$1001,0),0), INDEX($AN$1004:$BO$1004,1,MATCH(COLUMNS($AN$1006:AP1006),$AN$1006:$BO$1006,0)))),"Fix")))</f>
        <v>0</v>
      </c>
      <c r="E654" s="4">
        <f>IF(OR(INDEX($AH$2:$AH$1001,MATCH(ROWS($AG$2:AG654),$AG$2:$AG$1001,0),1)&gt;=100000,INDEX($AN$1005:$BO$1005,1,MATCH(COLUMNS($AN$1006:AQ1006),$AN$1006:$BO$1006,0))&gt;=100000), " ",IF(INDEX($AN$2:$BO$1001,MATCH(ROWS($AG$2:AG654),$AG$2:$AG$1001,0),MATCH(COLUMNS($AN$1006:AQ1006),$AN$1006:$BO$1006,0)), HYPERLINK("#",""), HYPERLINK(CONCATENATE("#Metadata!", ADDRESS(INDEX($AI$2:$AI$1001,MATCH(ROWS($AG$2:AG654),$AG$2:$AG$1001,0),0), INDEX($AN$1004:$BO$1004,1,MATCH(COLUMNS($AN$1006:AQ1006),$AN$1006:$BO$1006,0)))),"Fix")))</f>
        <v>0</v>
      </c>
      <c r="F654" s="4">
        <f>IF(OR(INDEX($AH$2:$AH$1001,MATCH(ROWS($AG$2:AG654),$AG$2:$AG$1001,0),1)&gt;=100000,INDEX($AN$1005:$BO$1005,1,MATCH(COLUMNS($AN$1006:AR1006),$AN$1006:$BO$1006,0))&gt;=100000), " ",IF(INDEX($AN$2:$BO$1001,MATCH(ROWS($AG$2:AG654),$AG$2:$AG$1001,0),MATCH(COLUMNS($AN$1006:AR1006),$AN$1006:$BO$1006,0)), HYPERLINK("#",""), HYPERLINK(CONCATENATE("#Metadata!", ADDRESS(INDEX($AI$2:$AI$1001,MATCH(ROWS($AG$2:AG654),$AG$2:$AG$1001,0),0), INDEX($AN$1004:$BO$1004,1,MATCH(COLUMNS($AN$1006:AR1006),$AN$1006:$BO$1006,0)))),"Fix")))</f>
        <v>0</v>
      </c>
      <c r="G654" s="4">
        <f>IF(OR(INDEX($AH$2:$AH$1001,MATCH(ROWS($AG$2:AG654),$AG$2:$AG$1001,0),1)&gt;=100000,INDEX($AN$1005:$BO$1005,1,MATCH(COLUMNS($AN$1006:AS1006),$AN$1006:$BO$1006,0))&gt;=100000), " ",IF(INDEX($AN$2:$BO$1001,MATCH(ROWS($AG$2:AG654),$AG$2:$AG$1001,0),MATCH(COLUMNS($AN$1006:AS1006),$AN$1006:$BO$1006,0)), HYPERLINK("#",""), HYPERLINK(CONCATENATE("#Metadata!", ADDRESS(INDEX($AI$2:$AI$1001,MATCH(ROWS($AG$2:AG654),$AG$2:$AG$1001,0),0), INDEX($AN$1004:$BO$1004,1,MATCH(COLUMNS($AN$1006:AS1006),$AN$1006:$BO$1006,0)))),"Fix")))</f>
        <v>0</v>
      </c>
      <c r="H654" s="4">
        <f>IF(OR(INDEX($AH$2:$AH$1001,MATCH(ROWS($AG$2:AG654),$AG$2:$AG$1001,0),1)&gt;=100000,INDEX($AN$1005:$BO$1005,1,MATCH(COLUMNS($AN$1006:AT1006),$AN$1006:$BO$1006,0))&gt;=100000), " ",IF(INDEX($AN$2:$BO$1001,MATCH(ROWS($AG$2:AG654),$AG$2:$AG$1001,0),MATCH(COLUMNS($AN$1006:AT1006),$AN$1006:$BO$1006,0)), HYPERLINK("#",""), HYPERLINK(CONCATENATE("#Metadata!", ADDRESS(INDEX($AI$2:$AI$1001,MATCH(ROWS($AG$2:AG654),$AG$2:$AG$1001,0),0), INDEX($AN$1004:$BO$1004,1,MATCH(COLUMNS($AN$1006:AT1006),$AN$1006:$BO$1006,0)))),"Fix")))</f>
        <v>0</v>
      </c>
      <c r="I654" s="4">
        <f>IF(OR(INDEX($AH$2:$AH$1001,MATCH(ROWS($AG$2:AG654),$AG$2:$AG$1001,0),1)&gt;=100000,INDEX($AN$1005:$BO$1005,1,MATCH(COLUMNS($AN$1006:AU1006),$AN$1006:$BO$1006,0))&gt;=100000), " ",IF(INDEX($AN$2:$BO$1001,MATCH(ROWS($AG$2:AG654),$AG$2:$AG$1001,0),MATCH(COLUMNS($AN$1006:AU1006),$AN$1006:$BO$1006,0)), HYPERLINK("#",""), HYPERLINK(CONCATENATE("#Metadata!", ADDRESS(INDEX($AI$2:$AI$1001,MATCH(ROWS($AG$2:AG654),$AG$2:$AG$1001,0),0), INDEX($AN$1004:$BO$1004,1,MATCH(COLUMNS($AN$1006:AU1006),$AN$1006:$BO$1006,0)))),"Fix")))</f>
        <v>0</v>
      </c>
      <c r="J654" s="4">
        <f>IF(OR(INDEX($AH$2:$AH$1001,MATCH(ROWS($AG$2:AG654),$AG$2:$AG$1001,0),1)&gt;=100000,INDEX($AN$1005:$BO$1005,1,MATCH(COLUMNS($AN$1006:AV1006),$AN$1006:$BO$1006,0))&gt;=100000), " ",IF(INDEX($AN$2:$BO$1001,MATCH(ROWS($AG$2:AG654),$AG$2:$AG$1001,0),MATCH(COLUMNS($AN$1006:AV1006),$AN$1006:$BO$1006,0)), HYPERLINK("#",""), HYPERLINK(CONCATENATE("#Metadata!", ADDRESS(INDEX($AI$2:$AI$1001,MATCH(ROWS($AG$2:AG654),$AG$2:$AG$1001,0),0), INDEX($AN$1004:$BO$1004,1,MATCH(COLUMNS($AN$1006:AV1006),$AN$1006:$BO$1006,0)))),"Fix")))</f>
        <v>0</v>
      </c>
      <c r="K654" s="4">
        <f>IF(OR(INDEX($AH$2:$AH$1001,MATCH(ROWS($AG$2:AG654),$AG$2:$AG$1001,0),1)&gt;=100000,INDEX($AN$1005:$BO$1005,1,MATCH(COLUMNS($AN$1006:AW1006),$AN$1006:$BO$1006,0))&gt;=100000), " ",IF(INDEX($AN$2:$BO$1001,MATCH(ROWS($AG$2:AG654),$AG$2:$AG$1001,0),MATCH(COLUMNS($AN$1006:AW1006),$AN$1006:$BO$1006,0)), HYPERLINK("#",""), HYPERLINK(CONCATENATE("#Metadata!", ADDRESS(INDEX($AI$2:$AI$1001,MATCH(ROWS($AG$2:AG654),$AG$2:$AG$1001,0),0), INDEX($AN$1004:$BO$1004,1,MATCH(COLUMNS($AN$1006:AW1006),$AN$1006:$BO$1006,0)))),"Fix")))</f>
        <v>0</v>
      </c>
      <c r="L654" s="4">
        <f>IF(OR(INDEX($AH$2:$AH$1001,MATCH(ROWS($AG$2:AG654),$AG$2:$AG$1001,0),1)&gt;=100000,INDEX($AN$1005:$BO$1005,1,MATCH(COLUMNS($AN$1006:AX1006),$AN$1006:$BO$1006,0))&gt;=100000), " ",IF(INDEX($AN$2:$BO$1001,MATCH(ROWS($AG$2:AG654),$AG$2:$AG$1001,0),MATCH(COLUMNS($AN$1006:AX1006),$AN$1006:$BO$1006,0)), HYPERLINK("#",""), HYPERLINK(CONCATENATE("#Metadata!", ADDRESS(INDEX($AI$2:$AI$1001,MATCH(ROWS($AG$2:AG654),$AG$2:$AG$1001,0),0), INDEX($AN$1004:$BO$1004,1,MATCH(COLUMNS($AN$1006:AX1006),$AN$1006:$BO$1006,0)))),"Fix")))</f>
        <v>0</v>
      </c>
      <c r="M654" s="4">
        <f>IF(OR(INDEX($AH$2:$AH$1001,MATCH(ROWS($AG$2:AG654),$AG$2:$AG$1001,0),1)&gt;=100000,INDEX($AN$1005:$BO$1005,1,MATCH(COLUMNS($AN$1006:AY1006),$AN$1006:$BO$1006,0))&gt;=100000), " ",IF(INDEX($AN$2:$BO$1001,MATCH(ROWS($AG$2:AG654),$AG$2:$AG$1001,0),MATCH(COLUMNS($AN$1006:AY1006),$AN$1006:$BO$1006,0)), HYPERLINK("#",""), HYPERLINK(CONCATENATE("#Metadata!", ADDRESS(INDEX($AI$2:$AI$1001,MATCH(ROWS($AG$2:AG654),$AG$2:$AG$1001,0),0), INDEX($AN$1004:$BO$1004,1,MATCH(COLUMNS($AN$1006:AY1006),$AN$1006:$BO$1006,0)))),"Fix")))</f>
        <v>0</v>
      </c>
      <c r="N654" s="4">
        <f>IF(OR(INDEX($AH$2:$AH$1001,MATCH(ROWS($AG$2:AG654),$AG$2:$AG$1001,0),1)&gt;=100000,INDEX($AN$1005:$BO$1005,1,MATCH(COLUMNS($AN$1006:AZ1006),$AN$1006:$BO$1006,0))&gt;=100000), " ",IF(INDEX($AN$2:$BO$1001,MATCH(ROWS($AG$2:AG654),$AG$2:$AG$1001,0),MATCH(COLUMNS($AN$1006:AZ1006),$AN$1006:$BO$1006,0)), HYPERLINK("#",""), HYPERLINK(CONCATENATE("#Metadata!", ADDRESS(INDEX($AI$2:$AI$1001,MATCH(ROWS($AG$2:AG654),$AG$2:$AG$1001,0),0), INDEX($AN$1004:$BO$1004,1,MATCH(COLUMNS($AN$1006:AZ1006),$AN$1006:$BO$1006,0)))),"Fix")))</f>
        <v>0</v>
      </c>
      <c r="O654" s="4">
        <f>IF(OR(INDEX($AH$2:$AH$1001,MATCH(ROWS($AG$2:AG654),$AG$2:$AG$1001,0),1)&gt;=100000,INDEX($AN$1005:$BO$1005,1,MATCH(COLUMNS($AN$1006:BA1006),$AN$1006:$BO$1006,0))&gt;=100000), " ",IF(INDEX($AN$2:$BO$1001,MATCH(ROWS($AG$2:AG654),$AG$2:$AG$1001,0),MATCH(COLUMNS($AN$1006:BA1006),$AN$1006:$BO$1006,0)), HYPERLINK("#",""), HYPERLINK(CONCATENATE("#Metadata!", ADDRESS(INDEX($AI$2:$AI$1001,MATCH(ROWS($AG$2:AG654),$AG$2:$AG$1001,0),0), INDEX($AN$1004:$BO$1004,1,MATCH(COLUMNS($AN$1006:BA1006),$AN$1006:$BO$1006,0)))),"Fix")))</f>
        <v>0</v>
      </c>
      <c r="P654" s="4">
        <f>IF(OR(INDEX($AH$2:$AH$1001,MATCH(ROWS($AG$2:AG654),$AG$2:$AG$1001,0),1)&gt;=100000,INDEX($AN$1005:$BO$1005,1,MATCH(COLUMNS($AN$1006:BB1006),$AN$1006:$BO$1006,0))&gt;=100000), " ",IF(INDEX($AN$2:$BO$1001,MATCH(ROWS($AG$2:AG654),$AG$2:$AG$1001,0),MATCH(COLUMNS($AN$1006:BB1006),$AN$1006:$BO$1006,0)), HYPERLINK("#",""), HYPERLINK(CONCATENATE("#Metadata!", ADDRESS(INDEX($AI$2:$AI$1001,MATCH(ROWS($AG$2:AG654),$AG$2:$AG$1001,0),0), INDEX($AN$1004:$BO$1004,1,MATCH(COLUMNS($AN$1006:BB1006),$AN$1006:$BO$1006,0)))),"Fix")))</f>
        <v>0</v>
      </c>
      <c r="Q654" s="4">
        <f>IF(OR(INDEX($AH$2:$AH$1001,MATCH(ROWS($AG$2:AG654),$AG$2:$AG$1001,0),1)&gt;=100000,INDEX($AN$1005:$BO$1005,1,MATCH(COLUMNS($AN$1006:BC1006),$AN$1006:$BO$1006,0))&gt;=100000), " ",IF(INDEX($AN$2:$BO$1001,MATCH(ROWS($AG$2:AG654),$AG$2:$AG$1001,0),MATCH(COLUMNS($AN$1006:BC1006),$AN$1006:$BO$1006,0)), HYPERLINK("#",""), HYPERLINK(CONCATENATE("#Metadata!", ADDRESS(INDEX($AI$2:$AI$1001,MATCH(ROWS($AG$2:AG654),$AG$2:$AG$1001,0),0), INDEX($AN$1004:$BO$1004,1,MATCH(COLUMNS($AN$1006:BC1006),$AN$1006:$BO$1006,0)))),"Fix")))</f>
        <v>0</v>
      </c>
      <c r="R654" s="4">
        <f>IF(OR(INDEX($AH$2:$AH$1001,MATCH(ROWS($AG$2:AG654),$AG$2:$AG$1001,0),1)&gt;=100000,INDEX($AN$1005:$BO$1005,1,MATCH(COLUMNS($AN$1006:BD1006),$AN$1006:$BO$1006,0))&gt;=100000), " ",IF(INDEX($AN$2:$BO$1001,MATCH(ROWS($AG$2:AG654),$AG$2:$AG$1001,0),MATCH(COLUMNS($AN$1006:BD1006),$AN$1006:$BO$1006,0)), HYPERLINK("#",""), HYPERLINK(CONCATENATE("#Metadata!", ADDRESS(INDEX($AI$2:$AI$1001,MATCH(ROWS($AG$2:AG654),$AG$2:$AG$1001,0),0), INDEX($AN$1004:$BO$1004,1,MATCH(COLUMNS($AN$1006:BD1006),$AN$1006:$BO$1006,0)))),"Fix")))</f>
        <v>0</v>
      </c>
      <c r="S654" s="4">
        <f>IF(OR(INDEX($AH$2:$AH$1001,MATCH(ROWS($AG$2:AG654),$AG$2:$AG$1001,0),1)&gt;=100000,INDEX($AN$1005:$BO$1005,1,MATCH(COLUMNS($AN$1006:BE1006),$AN$1006:$BO$1006,0))&gt;=100000), " ",IF(INDEX($AN$2:$BO$1001,MATCH(ROWS($AG$2:AG654),$AG$2:$AG$1001,0),MATCH(COLUMNS($AN$1006:BE1006),$AN$1006:$BO$1006,0)), HYPERLINK("#",""), HYPERLINK(CONCATENATE("#Metadata!", ADDRESS(INDEX($AI$2:$AI$1001,MATCH(ROWS($AG$2:AG654),$AG$2:$AG$1001,0),0), INDEX($AN$1004:$BO$1004,1,MATCH(COLUMNS($AN$1006:BE1006),$AN$1006:$BO$1006,0)))),"Fix")))</f>
        <v>0</v>
      </c>
      <c r="T654" s="4">
        <f>IF(OR(INDEX($AH$2:$AH$1001,MATCH(ROWS($AG$2:AG654),$AG$2:$AG$1001,0),1)&gt;=100000,INDEX($AN$1005:$BO$1005,1,MATCH(COLUMNS($AN$1006:BF1006),$AN$1006:$BO$1006,0))&gt;=100000), " ",IF(INDEX($AN$2:$BO$1001,MATCH(ROWS($AG$2:AG654),$AG$2:$AG$1001,0),MATCH(COLUMNS($AN$1006:BF1006),$AN$1006:$BO$1006,0)), HYPERLINK("#",""), HYPERLINK(CONCATENATE("#Metadata!", ADDRESS(INDEX($AI$2:$AI$1001,MATCH(ROWS($AG$2:AG654),$AG$2:$AG$1001,0),0), INDEX($AN$1004:$BO$1004,1,MATCH(COLUMNS($AN$1006:BF1006),$AN$1006:$BO$1006,0)))),"Fix")))</f>
        <v>0</v>
      </c>
      <c r="U654" s="4">
        <f>IF(OR(INDEX($AH$2:$AH$1001,MATCH(ROWS($AG$2:AG654),$AG$2:$AG$1001,0),1)&gt;=100000,INDEX($AN$1005:$BO$1005,1,MATCH(COLUMNS($AN$1006:BG1006),$AN$1006:$BO$1006,0))&gt;=100000), " ",IF(INDEX($AN$2:$BO$1001,MATCH(ROWS($AG$2:AG654),$AG$2:$AG$1001,0),MATCH(COLUMNS($AN$1006:BG1006),$AN$1006:$BO$1006,0)), HYPERLINK("#",""), HYPERLINK(CONCATENATE("#Metadata!", ADDRESS(INDEX($AI$2:$AI$1001,MATCH(ROWS($AG$2:AG654),$AG$2:$AG$1001,0),0), INDEX($AN$1004:$BO$1004,1,MATCH(COLUMNS($AN$1006:BG1006),$AN$1006:$BO$1006,0)))),"Fix")))</f>
        <v>0</v>
      </c>
      <c r="V654" s="4">
        <f>IF(OR(INDEX($AH$2:$AH$1001,MATCH(ROWS($AG$2:AG654),$AG$2:$AG$1001,0),1)&gt;=100000,INDEX($AN$1005:$BO$1005,1,MATCH(COLUMNS($AN$1006:BH1006),$AN$1006:$BO$1006,0))&gt;=100000), " ",IF(INDEX($AN$2:$BO$1001,MATCH(ROWS($AG$2:AG654),$AG$2:$AG$1001,0),MATCH(COLUMNS($AN$1006:BH1006),$AN$1006:$BO$1006,0)), HYPERLINK("#",""), HYPERLINK(CONCATENATE("#Metadata!", ADDRESS(INDEX($AI$2:$AI$1001,MATCH(ROWS($AG$2:AG654),$AG$2:$AG$1001,0),0), INDEX($AN$1004:$BO$1004,1,MATCH(COLUMNS($AN$1006:BH1006),$AN$1006:$BO$1006,0)))),"Fix")))</f>
        <v>0</v>
      </c>
      <c r="W654" s="4">
        <f>IF(OR(INDEX($AH$2:$AH$1001,MATCH(ROWS($AG$2:AG654),$AG$2:$AG$1001,0),1)&gt;=100000,INDEX($AN$1005:$BO$1005,1,MATCH(COLUMNS($AN$1006:BI1006),$AN$1006:$BO$1006,0))&gt;=100000), " ",IF(INDEX($AN$2:$BO$1001,MATCH(ROWS($AG$2:AG654),$AG$2:$AG$1001,0),MATCH(COLUMNS($AN$1006:BI1006),$AN$1006:$BO$1006,0)), HYPERLINK("#",""), HYPERLINK(CONCATENATE("#Metadata!", ADDRESS(INDEX($AI$2:$AI$1001,MATCH(ROWS($AG$2:AG654),$AG$2:$AG$1001,0),0), INDEX($AN$1004:$BO$1004,1,MATCH(COLUMNS($AN$1006:BI1006),$AN$1006:$BO$1006,0)))),"Fix")))</f>
        <v>0</v>
      </c>
      <c r="X654" s="4">
        <f>IF(OR(INDEX($AH$2:$AH$1001,MATCH(ROWS($AG$2:AG654),$AG$2:$AG$1001,0),1)&gt;=100000,INDEX($AN$1005:$BO$1005,1,MATCH(COLUMNS($AN$1006:BJ1006),$AN$1006:$BO$1006,0))&gt;=100000), " ",IF(INDEX($AN$2:$BO$1001,MATCH(ROWS($AG$2:AG654),$AG$2:$AG$1001,0),MATCH(COLUMNS($AN$1006:BJ1006),$AN$1006:$BO$1006,0)), HYPERLINK("#",""), HYPERLINK(CONCATENATE("#Metadata!", ADDRESS(INDEX($AI$2:$AI$1001,MATCH(ROWS($AG$2:AG654),$AG$2:$AG$1001,0),0), INDEX($AN$1004:$BO$1004,1,MATCH(COLUMNS($AN$1006:BJ1006),$AN$1006:$BO$1006,0)))),"Fix")))</f>
        <v>0</v>
      </c>
      <c r="Y654" s="4">
        <f>IF(OR(INDEX($AH$2:$AH$1001,MATCH(ROWS($AG$2:AG654),$AG$2:$AG$1001,0),1)&gt;=100000,INDEX($AN$1005:$BO$1005,1,MATCH(COLUMNS($AN$1006:BK1006),$AN$1006:$BO$1006,0))&gt;=100000), " ",IF(INDEX($AN$2:$BO$1001,MATCH(ROWS($AG$2:AG654),$AG$2:$AG$1001,0),MATCH(COLUMNS($AN$1006:BK1006),$AN$1006:$BO$1006,0)), HYPERLINK("#",""), HYPERLINK(CONCATENATE("#Metadata!", ADDRESS(INDEX($AI$2:$AI$1001,MATCH(ROWS($AG$2:AG654),$AG$2:$AG$1001,0),0), INDEX($AN$1004:$BO$1004,1,MATCH(COLUMNS($AN$1006:BK1006),$AN$1006:$BO$1006,0)))),"Fix")))</f>
        <v>0</v>
      </c>
      <c r="Z654" s="4">
        <f>IF(OR(INDEX($AH$2:$AH$1001,MATCH(ROWS($AG$2:AG654),$AG$2:$AG$1001,0),1)&gt;=100000,INDEX($AN$1005:$BO$1005,1,MATCH(COLUMNS($AN$1006:BL1006),$AN$1006:$BO$1006,0))&gt;=100000), " ",IF(INDEX($AN$2:$BO$1001,MATCH(ROWS($AG$2:AG654),$AG$2:$AG$1001,0),MATCH(COLUMNS($AN$1006:BL1006),$AN$1006:$BO$1006,0)), HYPERLINK("#",""), HYPERLINK(CONCATENATE("#Metadata!", ADDRESS(INDEX($AI$2:$AI$1001,MATCH(ROWS($AG$2:AG654),$AG$2:$AG$1001,0),0), INDEX($AN$1004:$BO$1004,1,MATCH(COLUMNS($AN$1006:BL1006),$AN$1006:$BO$1006,0)))),"Fix")))</f>
        <v>0</v>
      </c>
      <c r="AA654" s="4">
        <f>IF(OR(INDEX($AH$2:$AH$1001,MATCH(ROWS($AG$2:AG654),$AG$2:$AG$1001,0),1)&gt;=100000,INDEX($AN$1005:$BO$1005,1,MATCH(COLUMNS($AN$1006:BM1006),$AN$1006:$BO$1006,0))&gt;=100000), " ",IF(INDEX($AN$2:$BO$1001,MATCH(ROWS($AG$2:AG654),$AG$2:$AG$1001,0),MATCH(COLUMNS($AN$1006:BM1006),$AN$1006:$BO$1006,0)), HYPERLINK("#",""), HYPERLINK(CONCATENATE("#Metadata!", ADDRESS(INDEX($AI$2:$AI$1001,MATCH(ROWS($AG$2:AG654),$AG$2:$AG$1001,0),0), INDEX($AN$1004:$BO$1004,1,MATCH(COLUMNS($AN$1006:BM1006),$AN$1006:$BO$1006,0)))),"Fix")))</f>
        <v>0</v>
      </c>
      <c r="AB654" s="4">
        <f>IF(OR(INDEX($AH$2:$AH$1001,MATCH(ROWS($AG$2:AG654),$AG$2:$AG$1001,0),1)&gt;=100000,INDEX($AN$1005:$BO$1005,1,MATCH(COLUMNS($AN$1006:BN1006),$AN$1006:$BO$1006,0))&gt;=100000), " ",IF(INDEX($AN$2:$BO$1001,MATCH(ROWS($AG$2:AG654),$AG$2:$AG$1001,0),MATCH(COLUMNS($AN$1006:BN1006),$AN$1006:$BO$1006,0)), HYPERLINK("#",""), HYPERLINK(CONCATENATE("#Metadata!", ADDRESS(INDEX($AI$2:$AI$1001,MATCH(ROWS($AG$2:AG654),$AG$2:$AG$1001,0),0), INDEX($AN$1004:$BO$1004,1,MATCH(COLUMNS($AN$1006:BN1006),$AN$1006:$BO$1006,0)))),"Fix")))</f>
        <v>0</v>
      </c>
      <c r="AC654" s="4">
        <f>IF(OR(INDEX($AH$2:$AH$1001,MATCH(ROWS($AG$2:AG654),$AG$2:$AG$1001,0),1)&gt;=100000,INDEX($AN$1005:$BO$1005,1,MATCH(COLUMNS($AN$1006:BO1006),$AN$1006:$BO$1006,0))&gt;=100000), " ",IF(INDEX($AN$2:$BO$1001,MATCH(ROWS($AG$2:AG654),$AG$2:$AG$1001,0),MATCH(COLUMNS($AN$1006:BO1006),$AN$1006:$BO$1006,0)), HYPERLINK("#",""), HYPERLINK(CONCATENATE("#Metadata!", ADDRESS(INDEX($AI$2:$AI$1001,MATCH(ROWS($AG$2:AG654),$AG$2:$AG$1001,0),0), INDEX($AN$1004:$BO$1004,1,MATCH(COLUMNS($AN$1006:BO1006),$AN$1006:$BO$1006,0)))),"Fix")))</f>
        <v>0</v>
      </c>
      <c r="AG654">
        <v>0</v>
      </c>
      <c r="AH654">
        <v>0</v>
      </c>
      <c r="AI654">
        <v>0</v>
      </c>
      <c r="AJ654">
        <f>IF(AK654,TRUE,AND(AN654:BO654))</f>
        <v>0</v>
      </c>
      <c r="AK654">
        <f>COUNTBLANK(Metadata!B654:AC654)=COLUMNS(Metadata!B654:AC654)</f>
        <v>0</v>
      </c>
      <c r="AL654">
        <v>0</v>
      </c>
      <c r="AN654">
        <f>AND(IF(Metadata!B654="",FALSE,TRUE),COUNTIF(Metadata!B:B, Metadata!B654) = 1,NOT(ISERROR(SUMPRODUCT(SEARCH(MID(Metadata!B654,ROW(INDIRECT("1:"&amp;LEN(Metadata!B654))), 1),"0123456789abcdefghijklmnopqrstuvwxyzABCDEFGHIJKLMNOPQRSTUVWXYZ.")))))</f>
        <v>0</v>
      </c>
      <c r="AO654">
        <f>IF(Metadata!C654="",FALSE,TRUE)</f>
        <v>0</v>
      </c>
      <c r="AP654">
        <f>IF(Metadata!D654="",FALSE,TRUE)</f>
        <v>0</v>
      </c>
      <c r="AQ654">
        <f>OR(AND(IF(Metadata!E654="",FALSE,TRUE),OR(exact(Metadata!E654,"not collected"),exact(Metadata!E654,"not provided"),exact(Metadata!E654,"restricted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R654">
        <f>IF(Metadata!F654="",FALSE,TRUE)</f>
        <v>0</v>
      </c>
      <c r="AS654">
        <f>OR(AND(IF(Metadata!G654="",FALSE,TRUE),OR(exact(Metadata!G654,"not collected"),exact(Metadata!G654,"not provided"))),AND(IF(Metadata!G654="",FALSE,TRUE),OR(exact(Metadata!G654,"TRUE"),exact(Metadata!G654,"FALSE"))))</f>
        <v>0</v>
      </c>
      <c r="AT654">
        <f>OR(AND(IF(Metadata!H654="",FALSE,TRUE),OR(exact(Metadata!H654,"not collected"),exact(Metadata!H654,"not provided"),exact(Metadata!H654,"restricted access"))),AND(IF(Metadata!H654="",FALSE,ISNUMBER(VALUE(Metadata!H654))),Metadata!H654&gt;=-413.0))</f>
        <v>0</v>
      </c>
      <c r="AU654">
        <f>AND(IF(Metadata!I654="",FALSE,TRUE),exact(Metadata!I654,"meters"))</f>
        <v>0</v>
      </c>
      <c r="AV654">
        <f>AND(IF(Metadata!J654="",FALSE,TRUE),OR(exact(Metadata!J654,"Host-associated"),exact(Metadata!J654,"Free-living")))</f>
        <v>0</v>
      </c>
      <c r="AW654">
        <f>AND(IF(Metadata!K654="",FALSE,TRUE),OR(exact(Metadata!K654,"Animal"),exact(Metadata!K654,"Fungus"),exact(Metadata!K654,"Plant"),exact(Metadata!K654,"Saline"),exact(Metadata!K654,"Non-saline")))</f>
        <v>0</v>
      </c>
      <c r="AX654">
        <f>AND(IF(Metadata!L654="",FALSE,TRUE),OR(exact(Metadata!L654,"Plant secretion"),exact(Metadata!L654,"Plant rhizosphere"),exact(Metadata!L654,"Plant surface"),exact(Metadata!L654,"Plant corpus"),exact(Metadata!L654,"Fungus surface"),exact(Metadata!L654,"Fungus corpus"),exact(Metadata!L654,"Animal surface"),exact(Metadata!L654,"Animal proximal gut"),exact(Metadata!L654,"Animal corpus"),exact(Metadata!L654,"Animal distal gut"),exact(Metadata!L654,"Animal secretion"),exact(Metadata!L654,"Sub-surface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Y654">
        <f>IF(Metadata!M654="",FALSE,TRUE)</f>
        <v>0</v>
      </c>
      <c r="AZ654">
        <f>IF(Metadata!N654="",FALSE,TRUE)</f>
        <v>0</v>
      </c>
      <c r="BA654">
        <f>IF(Metadata!O654="",FALSE,TRUE)</f>
        <v>0</v>
      </c>
      <c r="BB654">
        <f>OR(AND(IF(Metadata!P654="",FALSE,TRUE),OR(exact(Metadata!P654,"not collected"),exact(Metadata!P654,"not provided"),exact(Metadata!P654,"restricted access"))),AND(IF(Metadata!P654="",FALSE,TRUE),OR(exact(Metadata!P654,"air"),exact(Metadata!P654,"built environment"),exact(Metadata!P654,"host-associated"),exact(Metadata!P654,"human-associated"),exact(Metadata!P654,"human-skin"),exact(Metadata!P654,"human-oral"),exact(Metadata!P654,"human-gut"),exact(Metadata!P654,"human-vaginal"),exact(Metadata!P654,"microbial mat/biofilm"),exact(Metadata!P654,"misc environment"),exact(Metadata!P654,"plant-associated"),exact(Metadata!P654,"sediment"),exact(Metadata!P654,"soil"),exact(Metadata!P654,"wastewater/sludge"),exact(Metadata!P654,"water"))))</f>
        <v>0</v>
      </c>
      <c r="BC654">
        <f>IF(Metadata!Q654="",FALSE,TRUE)</f>
        <v>0</v>
      </c>
      <c r="BD654">
        <f>IF(Metadata!R654="",FALSE,TRUE)</f>
        <v>0</v>
      </c>
      <c r="BE654">
        <f>OR(AND(IF(Metadata!S654="",FALSE,TRUE),OR(exact(Metadata!S654,"not collected"),exact(Metadata!S654,"not provided"),exact(Metadata!S654,"restricted access"))),AND(IF(Metadata!S654="",FALSE,ISNUMBER(VALUE(Metadata!S654))),Metadata!S654&gt;=-90.00,Metadata!S654&lt;=90.00))</f>
        <v>0</v>
      </c>
      <c r="BF654">
        <f>AND(IF(Metadata!T654="",FALSE,TRUE),exact(Metadata!T654,"Decimal degrees"))</f>
        <v>0</v>
      </c>
      <c r="BG654">
        <f>OR(AND(IF(Metadata!U654="",FALSE,TRUE),OR(exact(Metadata!U654,"not collected"),exact(Metadata!U654,"not provided"),exact(Metadata!U654,"restricted access"))),AND(IF(Metadata!U654="",FALSE,ISNUMBER(VALUE(Metadata!U654))),Metadata!U654&gt;=-180.00,Metadata!U654&lt;=180.00))</f>
        <v>0</v>
      </c>
      <c r="BH654">
        <f>AND(IF(Metadata!V654="",FALSE,TRUE),exact(Metadata!V654,"Decimal degrees"))</f>
        <v>0</v>
      </c>
      <c r="BI654">
        <f>IF(Metadata!W654="",FALSE,TRUE)</f>
        <v>0</v>
      </c>
      <c r="BJ654">
        <f>OR(AND(IF(Metadata!X654="",FALSE,TRUE),OR(exact(Metadata!X654,"not collected"),exact(Metadata!X654,"not provided"),exact(Metadata!X654,"restricted access"))),AND(IF(Metadata!X654="",FALSE,TRUE),OR(exact(Metadata!X654,"TRUE"),exact(Metadata!X654,"FALSE"))))</f>
        <v>0</v>
      </c>
      <c r="BK654">
        <f>AND(IF(Metadata!Y654="",FALSE,TRUE),exact(Metadata!Y654,"other"))</f>
        <v>0</v>
      </c>
      <c r="BL654">
        <f>IF(Metadata!Z654="",FALSE,TRUE)</f>
        <v>0</v>
      </c>
      <c r="BM654">
        <f>OR(AND(IF(Metadata!AA654="",FALSE,TRUE),OR(exact(Metadata!AA654,"not collected"),exact(Metadata!AA654,"not provided"))),AND(IF(Metadata!AA654="",FALSE,IF(ISERROR(INT(Metadata!AA654)),FALSE,INT(Metadata!AA654)=Metadata!AA654)),Metadata!AA654&gt;0))</f>
        <v>0</v>
      </c>
      <c r="BN654">
        <f>AND(IF(Metadata!AB654="",FALSE,TRUE),exact(Metadata!AB654,"Not applicable"))</f>
        <v>0</v>
      </c>
      <c r="BO654">
        <f>IF(Metadata!AC654="",FALSE,TRUE)</f>
        <v>0</v>
      </c>
    </row>
    <row r="655" spans="1:67">
      <c r="A655" s="5">
        <f>IF(B655=" "," ",HYPERLINK(CONCATENATE("#metadata!",ADDRESS(INDEX($AI$2:$AI$1001,MATCH(ROWS($AG$2:AG655),$AG$2:$AG$1001,0),0),1)),INDEX($AL$2:$AL$1001,MATCH(ROWS($AG$2:AG655),$AG$2:$AG$1001,0),0)))</f>
        <v>0</v>
      </c>
      <c r="B655" s="4">
        <f>IF(OR(INDEX($AH$2:$AH$1001,MATCH(ROWS($AG$2:AG655),$AG$2:$AG$1001,0),1)&gt;=100000,INDEX($AN$1005:$BO$1005,1,MATCH(COLUMNS($AN$1006:AN1006),$AN$1006:$BO$1006,0))&gt;=100000), " ",IF(INDEX($AN$2:$BO$1001,MATCH(ROWS($AG$2:AG655),$AG$2:$AG$1001,0),MATCH(COLUMNS($AN$1006:AN1006),$AN$1006:$BO$1006,0)), HYPERLINK("#",""), HYPERLINK(CONCATENATE("#Metadata!", ADDRESS(INDEX($AI$2:$AI$1001,MATCH(ROWS($AG$2:AG655),$AG$2:$AG$1001,0),0), INDEX($AN$1004:$BO$1004,1,MATCH(COLUMNS($AN$1006:AN1006),$AN$1006:$BO$1006,0)))),"Fix")))</f>
        <v>0</v>
      </c>
      <c r="C655" s="4">
        <f>IF(OR(INDEX($AH$2:$AH$1001,MATCH(ROWS($AG$2:AG655),$AG$2:$AG$1001,0),1)&gt;=100000,INDEX($AN$1005:$BO$1005,1,MATCH(COLUMNS($AN$1006:AO1006),$AN$1006:$BO$1006,0))&gt;=100000), " ",IF(INDEX($AN$2:$BO$1001,MATCH(ROWS($AG$2:AG655),$AG$2:$AG$1001,0),MATCH(COLUMNS($AN$1006:AO1006),$AN$1006:$BO$1006,0)), HYPERLINK("#",""), HYPERLINK(CONCATENATE("#Metadata!", ADDRESS(INDEX($AI$2:$AI$1001,MATCH(ROWS($AG$2:AG655),$AG$2:$AG$1001,0),0), INDEX($AN$1004:$BO$1004,1,MATCH(COLUMNS($AN$1006:AO1006),$AN$1006:$BO$1006,0)))),"Fix")))</f>
        <v>0</v>
      </c>
      <c r="D655" s="4">
        <f>IF(OR(INDEX($AH$2:$AH$1001,MATCH(ROWS($AG$2:AG655),$AG$2:$AG$1001,0),1)&gt;=100000,INDEX($AN$1005:$BO$1005,1,MATCH(COLUMNS($AN$1006:AP1006),$AN$1006:$BO$1006,0))&gt;=100000), " ",IF(INDEX($AN$2:$BO$1001,MATCH(ROWS($AG$2:AG655),$AG$2:$AG$1001,0),MATCH(COLUMNS($AN$1006:AP1006),$AN$1006:$BO$1006,0)), HYPERLINK("#",""), HYPERLINK(CONCATENATE("#Metadata!", ADDRESS(INDEX($AI$2:$AI$1001,MATCH(ROWS($AG$2:AG655),$AG$2:$AG$1001,0),0), INDEX($AN$1004:$BO$1004,1,MATCH(COLUMNS($AN$1006:AP1006),$AN$1006:$BO$1006,0)))),"Fix")))</f>
        <v>0</v>
      </c>
      <c r="E655" s="4">
        <f>IF(OR(INDEX($AH$2:$AH$1001,MATCH(ROWS($AG$2:AG655),$AG$2:$AG$1001,0),1)&gt;=100000,INDEX($AN$1005:$BO$1005,1,MATCH(COLUMNS($AN$1006:AQ1006),$AN$1006:$BO$1006,0))&gt;=100000), " ",IF(INDEX($AN$2:$BO$1001,MATCH(ROWS($AG$2:AG655),$AG$2:$AG$1001,0),MATCH(COLUMNS($AN$1006:AQ1006),$AN$1006:$BO$1006,0)), HYPERLINK("#",""), HYPERLINK(CONCATENATE("#Metadata!", ADDRESS(INDEX($AI$2:$AI$1001,MATCH(ROWS($AG$2:AG655),$AG$2:$AG$1001,0),0), INDEX($AN$1004:$BO$1004,1,MATCH(COLUMNS($AN$1006:AQ1006),$AN$1006:$BO$1006,0)))),"Fix")))</f>
        <v>0</v>
      </c>
      <c r="F655" s="4">
        <f>IF(OR(INDEX($AH$2:$AH$1001,MATCH(ROWS($AG$2:AG655),$AG$2:$AG$1001,0),1)&gt;=100000,INDEX($AN$1005:$BO$1005,1,MATCH(COLUMNS($AN$1006:AR1006),$AN$1006:$BO$1006,0))&gt;=100000), " ",IF(INDEX($AN$2:$BO$1001,MATCH(ROWS($AG$2:AG655),$AG$2:$AG$1001,0),MATCH(COLUMNS($AN$1006:AR1006),$AN$1006:$BO$1006,0)), HYPERLINK("#",""), HYPERLINK(CONCATENATE("#Metadata!", ADDRESS(INDEX($AI$2:$AI$1001,MATCH(ROWS($AG$2:AG655),$AG$2:$AG$1001,0),0), INDEX($AN$1004:$BO$1004,1,MATCH(COLUMNS($AN$1006:AR1006),$AN$1006:$BO$1006,0)))),"Fix")))</f>
        <v>0</v>
      </c>
      <c r="G655" s="4">
        <f>IF(OR(INDEX($AH$2:$AH$1001,MATCH(ROWS($AG$2:AG655),$AG$2:$AG$1001,0),1)&gt;=100000,INDEX($AN$1005:$BO$1005,1,MATCH(COLUMNS($AN$1006:AS1006),$AN$1006:$BO$1006,0))&gt;=100000), " ",IF(INDEX($AN$2:$BO$1001,MATCH(ROWS($AG$2:AG655),$AG$2:$AG$1001,0),MATCH(COLUMNS($AN$1006:AS1006),$AN$1006:$BO$1006,0)), HYPERLINK("#",""), HYPERLINK(CONCATENATE("#Metadata!", ADDRESS(INDEX($AI$2:$AI$1001,MATCH(ROWS($AG$2:AG655),$AG$2:$AG$1001,0),0), INDEX($AN$1004:$BO$1004,1,MATCH(COLUMNS($AN$1006:AS1006),$AN$1006:$BO$1006,0)))),"Fix")))</f>
        <v>0</v>
      </c>
      <c r="H655" s="4">
        <f>IF(OR(INDEX($AH$2:$AH$1001,MATCH(ROWS($AG$2:AG655),$AG$2:$AG$1001,0),1)&gt;=100000,INDEX($AN$1005:$BO$1005,1,MATCH(COLUMNS($AN$1006:AT1006),$AN$1006:$BO$1006,0))&gt;=100000), " ",IF(INDEX($AN$2:$BO$1001,MATCH(ROWS($AG$2:AG655),$AG$2:$AG$1001,0),MATCH(COLUMNS($AN$1006:AT1006),$AN$1006:$BO$1006,0)), HYPERLINK("#",""), HYPERLINK(CONCATENATE("#Metadata!", ADDRESS(INDEX($AI$2:$AI$1001,MATCH(ROWS($AG$2:AG655),$AG$2:$AG$1001,0),0), INDEX($AN$1004:$BO$1004,1,MATCH(COLUMNS($AN$1006:AT1006),$AN$1006:$BO$1006,0)))),"Fix")))</f>
        <v>0</v>
      </c>
      <c r="I655" s="4">
        <f>IF(OR(INDEX($AH$2:$AH$1001,MATCH(ROWS($AG$2:AG655),$AG$2:$AG$1001,0),1)&gt;=100000,INDEX($AN$1005:$BO$1005,1,MATCH(COLUMNS($AN$1006:AU1006),$AN$1006:$BO$1006,0))&gt;=100000), " ",IF(INDEX($AN$2:$BO$1001,MATCH(ROWS($AG$2:AG655),$AG$2:$AG$1001,0),MATCH(COLUMNS($AN$1006:AU1006),$AN$1006:$BO$1006,0)), HYPERLINK("#",""), HYPERLINK(CONCATENATE("#Metadata!", ADDRESS(INDEX($AI$2:$AI$1001,MATCH(ROWS($AG$2:AG655),$AG$2:$AG$1001,0),0), INDEX($AN$1004:$BO$1004,1,MATCH(COLUMNS($AN$1006:AU1006),$AN$1006:$BO$1006,0)))),"Fix")))</f>
        <v>0</v>
      </c>
      <c r="J655" s="4">
        <f>IF(OR(INDEX($AH$2:$AH$1001,MATCH(ROWS($AG$2:AG655),$AG$2:$AG$1001,0),1)&gt;=100000,INDEX($AN$1005:$BO$1005,1,MATCH(COLUMNS($AN$1006:AV1006),$AN$1006:$BO$1006,0))&gt;=100000), " ",IF(INDEX($AN$2:$BO$1001,MATCH(ROWS($AG$2:AG655),$AG$2:$AG$1001,0),MATCH(COLUMNS($AN$1006:AV1006),$AN$1006:$BO$1006,0)), HYPERLINK("#",""), HYPERLINK(CONCATENATE("#Metadata!", ADDRESS(INDEX($AI$2:$AI$1001,MATCH(ROWS($AG$2:AG655),$AG$2:$AG$1001,0),0), INDEX($AN$1004:$BO$1004,1,MATCH(COLUMNS($AN$1006:AV1006),$AN$1006:$BO$1006,0)))),"Fix")))</f>
        <v>0</v>
      </c>
      <c r="K655" s="4">
        <f>IF(OR(INDEX($AH$2:$AH$1001,MATCH(ROWS($AG$2:AG655),$AG$2:$AG$1001,0),1)&gt;=100000,INDEX($AN$1005:$BO$1005,1,MATCH(COLUMNS($AN$1006:AW1006),$AN$1006:$BO$1006,0))&gt;=100000), " ",IF(INDEX($AN$2:$BO$1001,MATCH(ROWS($AG$2:AG655),$AG$2:$AG$1001,0),MATCH(COLUMNS($AN$1006:AW1006),$AN$1006:$BO$1006,0)), HYPERLINK("#",""), HYPERLINK(CONCATENATE("#Metadata!", ADDRESS(INDEX($AI$2:$AI$1001,MATCH(ROWS($AG$2:AG655),$AG$2:$AG$1001,0),0), INDEX($AN$1004:$BO$1004,1,MATCH(COLUMNS($AN$1006:AW1006),$AN$1006:$BO$1006,0)))),"Fix")))</f>
        <v>0</v>
      </c>
      <c r="L655" s="4">
        <f>IF(OR(INDEX($AH$2:$AH$1001,MATCH(ROWS($AG$2:AG655),$AG$2:$AG$1001,0),1)&gt;=100000,INDEX($AN$1005:$BO$1005,1,MATCH(COLUMNS($AN$1006:AX1006),$AN$1006:$BO$1006,0))&gt;=100000), " ",IF(INDEX($AN$2:$BO$1001,MATCH(ROWS($AG$2:AG655),$AG$2:$AG$1001,0),MATCH(COLUMNS($AN$1006:AX1006),$AN$1006:$BO$1006,0)), HYPERLINK("#",""), HYPERLINK(CONCATENATE("#Metadata!", ADDRESS(INDEX($AI$2:$AI$1001,MATCH(ROWS($AG$2:AG655),$AG$2:$AG$1001,0),0), INDEX($AN$1004:$BO$1004,1,MATCH(COLUMNS($AN$1006:AX1006),$AN$1006:$BO$1006,0)))),"Fix")))</f>
        <v>0</v>
      </c>
      <c r="M655" s="4">
        <f>IF(OR(INDEX($AH$2:$AH$1001,MATCH(ROWS($AG$2:AG655),$AG$2:$AG$1001,0),1)&gt;=100000,INDEX($AN$1005:$BO$1005,1,MATCH(COLUMNS($AN$1006:AY1006),$AN$1006:$BO$1006,0))&gt;=100000), " ",IF(INDEX($AN$2:$BO$1001,MATCH(ROWS($AG$2:AG655),$AG$2:$AG$1001,0),MATCH(COLUMNS($AN$1006:AY1006),$AN$1006:$BO$1006,0)), HYPERLINK("#",""), HYPERLINK(CONCATENATE("#Metadata!", ADDRESS(INDEX($AI$2:$AI$1001,MATCH(ROWS($AG$2:AG655),$AG$2:$AG$1001,0),0), INDEX($AN$1004:$BO$1004,1,MATCH(COLUMNS($AN$1006:AY1006),$AN$1006:$BO$1006,0)))),"Fix")))</f>
        <v>0</v>
      </c>
      <c r="N655" s="4">
        <f>IF(OR(INDEX($AH$2:$AH$1001,MATCH(ROWS($AG$2:AG655),$AG$2:$AG$1001,0),1)&gt;=100000,INDEX($AN$1005:$BO$1005,1,MATCH(COLUMNS($AN$1006:AZ1006),$AN$1006:$BO$1006,0))&gt;=100000), " ",IF(INDEX($AN$2:$BO$1001,MATCH(ROWS($AG$2:AG655),$AG$2:$AG$1001,0),MATCH(COLUMNS($AN$1006:AZ1006),$AN$1006:$BO$1006,0)), HYPERLINK("#",""), HYPERLINK(CONCATENATE("#Metadata!", ADDRESS(INDEX($AI$2:$AI$1001,MATCH(ROWS($AG$2:AG655),$AG$2:$AG$1001,0),0), INDEX($AN$1004:$BO$1004,1,MATCH(COLUMNS($AN$1006:AZ1006),$AN$1006:$BO$1006,0)))),"Fix")))</f>
        <v>0</v>
      </c>
      <c r="O655" s="4">
        <f>IF(OR(INDEX($AH$2:$AH$1001,MATCH(ROWS($AG$2:AG655),$AG$2:$AG$1001,0),1)&gt;=100000,INDEX($AN$1005:$BO$1005,1,MATCH(COLUMNS($AN$1006:BA1006),$AN$1006:$BO$1006,0))&gt;=100000), " ",IF(INDEX($AN$2:$BO$1001,MATCH(ROWS($AG$2:AG655),$AG$2:$AG$1001,0),MATCH(COLUMNS($AN$1006:BA1006),$AN$1006:$BO$1006,0)), HYPERLINK("#",""), HYPERLINK(CONCATENATE("#Metadata!", ADDRESS(INDEX($AI$2:$AI$1001,MATCH(ROWS($AG$2:AG655),$AG$2:$AG$1001,0),0), INDEX($AN$1004:$BO$1004,1,MATCH(COLUMNS($AN$1006:BA1006),$AN$1006:$BO$1006,0)))),"Fix")))</f>
        <v>0</v>
      </c>
      <c r="P655" s="4">
        <f>IF(OR(INDEX($AH$2:$AH$1001,MATCH(ROWS($AG$2:AG655),$AG$2:$AG$1001,0),1)&gt;=100000,INDEX($AN$1005:$BO$1005,1,MATCH(COLUMNS($AN$1006:BB1006),$AN$1006:$BO$1006,0))&gt;=100000), " ",IF(INDEX($AN$2:$BO$1001,MATCH(ROWS($AG$2:AG655),$AG$2:$AG$1001,0),MATCH(COLUMNS($AN$1006:BB1006),$AN$1006:$BO$1006,0)), HYPERLINK("#",""), HYPERLINK(CONCATENATE("#Metadata!", ADDRESS(INDEX($AI$2:$AI$1001,MATCH(ROWS($AG$2:AG655),$AG$2:$AG$1001,0),0), INDEX($AN$1004:$BO$1004,1,MATCH(COLUMNS($AN$1006:BB1006),$AN$1006:$BO$1006,0)))),"Fix")))</f>
        <v>0</v>
      </c>
      <c r="Q655" s="4">
        <f>IF(OR(INDEX($AH$2:$AH$1001,MATCH(ROWS($AG$2:AG655),$AG$2:$AG$1001,0),1)&gt;=100000,INDEX($AN$1005:$BO$1005,1,MATCH(COLUMNS($AN$1006:BC1006),$AN$1006:$BO$1006,0))&gt;=100000), " ",IF(INDEX($AN$2:$BO$1001,MATCH(ROWS($AG$2:AG655),$AG$2:$AG$1001,0),MATCH(COLUMNS($AN$1006:BC1006),$AN$1006:$BO$1006,0)), HYPERLINK("#",""), HYPERLINK(CONCATENATE("#Metadata!", ADDRESS(INDEX($AI$2:$AI$1001,MATCH(ROWS($AG$2:AG655),$AG$2:$AG$1001,0),0), INDEX($AN$1004:$BO$1004,1,MATCH(COLUMNS($AN$1006:BC1006),$AN$1006:$BO$1006,0)))),"Fix")))</f>
        <v>0</v>
      </c>
      <c r="R655" s="4">
        <f>IF(OR(INDEX($AH$2:$AH$1001,MATCH(ROWS($AG$2:AG655),$AG$2:$AG$1001,0),1)&gt;=100000,INDEX($AN$1005:$BO$1005,1,MATCH(COLUMNS($AN$1006:BD1006),$AN$1006:$BO$1006,0))&gt;=100000), " ",IF(INDEX($AN$2:$BO$1001,MATCH(ROWS($AG$2:AG655),$AG$2:$AG$1001,0),MATCH(COLUMNS($AN$1006:BD1006),$AN$1006:$BO$1006,0)), HYPERLINK("#",""), HYPERLINK(CONCATENATE("#Metadata!", ADDRESS(INDEX($AI$2:$AI$1001,MATCH(ROWS($AG$2:AG655),$AG$2:$AG$1001,0),0), INDEX($AN$1004:$BO$1004,1,MATCH(COLUMNS($AN$1006:BD1006),$AN$1006:$BO$1006,0)))),"Fix")))</f>
        <v>0</v>
      </c>
      <c r="S655" s="4">
        <f>IF(OR(INDEX($AH$2:$AH$1001,MATCH(ROWS($AG$2:AG655),$AG$2:$AG$1001,0),1)&gt;=100000,INDEX($AN$1005:$BO$1005,1,MATCH(COLUMNS($AN$1006:BE1006),$AN$1006:$BO$1006,0))&gt;=100000), " ",IF(INDEX($AN$2:$BO$1001,MATCH(ROWS($AG$2:AG655),$AG$2:$AG$1001,0),MATCH(COLUMNS($AN$1006:BE1006),$AN$1006:$BO$1006,0)), HYPERLINK("#",""), HYPERLINK(CONCATENATE("#Metadata!", ADDRESS(INDEX($AI$2:$AI$1001,MATCH(ROWS($AG$2:AG655),$AG$2:$AG$1001,0),0), INDEX($AN$1004:$BO$1004,1,MATCH(COLUMNS($AN$1006:BE1006),$AN$1006:$BO$1006,0)))),"Fix")))</f>
        <v>0</v>
      </c>
      <c r="T655" s="4">
        <f>IF(OR(INDEX($AH$2:$AH$1001,MATCH(ROWS($AG$2:AG655),$AG$2:$AG$1001,0),1)&gt;=100000,INDEX($AN$1005:$BO$1005,1,MATCH(COLUMNS($AN$1006:BF1006),$AN$1006:$BO$1006,0))&gt;=100000), " ",IF(INDEX($AN$2:$BO$1001,MATCH(ROWS($AG$2:AG655),$AG$2:$AG$1001,0),MATCH(COLUMNS($AN$1006:BF1006),$AN$1006:$BO$1006,0)), HYPERLINK("#",""), HYPERLINK(CONCATENATE("#Metadata!", ADDRESS(INDEX($AI$2:$AI$1001,MATCH(ROWS($AG$2:AG655),$AG$2:$AG$1001,0),0), INDEX($AN$1004:$BO$1004,1,MATCH(COLUMNS($AN$1006:BF1006),$AN$1006:$BO$1006,0)))),"Fix")))</f>
        <v>0</v>
      </c>
      <c r="U655" s="4">
        <f>IF(OR(INDEX($AH$2:$AH$1001,MATCH(ROWS($AG$2:AG655),$AG$2:$AG$1001,0),1)&gt;=100000,INDEX($AN$1005:$BO$1005,1,MATCH(COLUMNS($AN$1006:BG1006),$AN$1006:$BO$1006,0))&gt;=100000), " ",IF(INDEX($AN$2:$BO$1001,MATCH(ROWS($AG$2:AG655),$AG$2:$AG$1001,0),MATCH(COLUMNS($AN$1006:BG1006),$AN$1006:$BO$1006,0)), HYPERLINK("#",""), HYPERLINK(CONCATENATE("#Metadata!", ADDRESS(INDEX($AI$2:$AI$1001,MATCH(ROWS($AG$2:AG655),$AG$2:$AG$1001,0),0), INDEX($AN$1004:$BO$1004,1,MATCH(COLUMNS($AN$1006:BG1006),$AN$1006:$BO$1006,0)))),"Fix")))</f>
        <v>0</v>
      </c>
      <c r="V655" s="4">
        <f>IF(OR(INDEX($AH$2:$AH$1001,MATCH(ROWS($AG$2:AG655),$AG$2:$AG$1001,0),1)&gt;=100000,INDEX($AN$1005:$BO$1005,1,MATCH(COLUMNS($AN$1006:BH1006),$AN$1006:$BO$1006,0))&gt;=100000), " ",IF(INDEX($AN$2:$BO$1001,MATCH(ROWS($AG$2:AG655),$AG$2:$AG$1001,0),MATCH(COLUMNS($AN$1006:BH1006),$AN$1006:$BO$1006,0)), HYPERLINK("#",""), HYPERLINK(CONCATENATE("#Metadata!", ADDRESS(INDEX($AI$2:$AI$1001,MATCH(ROWS($AG$2:AG655),$AG$2:$AG$1001,0),0), INDEX($AN$1004:$BO$1004,1,MATCH(COLUMNS($AN$1006:BH1006),$AN$1006:$BO$1006,0)))),"Fix")))</f>
        <v>0</v>
      </c>
      <c r="W655" s="4">
        <f>IF(OR(INDEX($AH$2:$AH$1001,MATCH(ROWS($AG$2:AG655),$AG$2:$AG$1001,0),1)&gt;=100000,INDEX($AN$1005:$BO$1005,1,MATCH(COLUMNS($AN$1006:BI1006),$AN$1006:$BO$1006,0))&gt;=100000), " ",IF(INDEX($AN$2:$BO$1001,MATCH(ROWS($AG$2:AG655),$AG$2:$AG$1001,0),MATCH(COLUMNS($AN$1006:BI1006),$AN$1006:$BO$1006,0)), HYPERLINK("#",""), HYPERLINK(CONCATENATE("#Metadata!", ADDRESS(INDEX($AI$2:$AI$1001,MATCH(ROWS($AG$2:AG655),$AG$2:$AG$1001,0),0), INDEX($AN$1004:$BO$1004,1,MATCH(COLUMNS($AN$1006:BI1006),$AN$1006:$BO$1006,0)))),"Fix")))</f>
        <v>0</v>
      </c>
      <c r="X655" s="4">
        <f>IF(OR(INDEX($AH$2:$AH$1001,MATCH(ROWS($AG$2:AG655),$AG$2:$AG$1001,0),1)&gt;=100000,INDEX($AN$1005:$BO$1005,1,MATCH(COLUMNS($AN$1006:BJ1006),$AN$1006:$BO$1006,0))&gt;=100000), " ",IF(INDEX($AN$2:$BO$1001,MATCH(ROWS($AG$2:AG655),$AG$2:$AG$1001,0),MATCH(COLUMNS($AN$1006:BJ1006),$AN$1006:$BO$1006,0)), HYPERLINK("#",""), HYPERLINK(CONCATENATE("#Metadata!", ADDRESS(INDEX($AI$2:$AI$1001,MATCH(ROWS($AG$2:AG655),$AG$2:$AG$1001,0),0), INDEX($AN$1004:$BO$1004,1,MATCH(COLUMNS($AN$1006:BJ1006),$AN$1006:$BO$1006,0)))),"Fix")))</f>
        <v>0</v>
      </c>
      <c r="Y655" s="4">
        <f>IF(OR(INDEX($AH$2:$AH$1001,MATCH(ROWS($AG$2:AG655),$AG$2:$AG$1001,0),1)&gt;=100000,INDEX($AN$1005:$BO$1005,1,MATCH(COLUMNS($AN$1006:BK1006),$AN$1006:$BO$1006,0))&gt;=100000), " ",IF(INDEX($AN$2:$BO$1001,MATCH(ROWS($AG$2:AG655),$AG$2:$AG$1001,0),MATCH(COLUMNS($AN$1006:BK1006),$AN$1006:$BO$1006,0)), HYPERLINK("#",""), HYPERLINK(CONCATENATE("#Metadata!", ADDRESS(INDEX($AI$2:$AI$1001,MATCH(ROWS($AG$2:AG655),$AG$2:$AG$1001,0),0), INDEX($AN$1004:$BO$1004,1,MATCH(COLUMNS($AN$1006:BK1006),$AN$1006:$BO$1006,0)))),"Fix")))</f>
        <v>0</v>
      </c>
      <c r="Z655" s="4">
        <f>IF(OR(INDEX($AH$2:$AH$1001,MATCH(ROWS($AG$2:AG655),$AG$2:$AG$1001,0),1)&gt;=100000,INDEX($AN$1005:$BO$1005,1,MATCH(COLUMNS($AN$1006:BL1006),$AN$1006:$BO$1006,0))&gt;=100000), " ",IF(INDEX($AN$2:$BO$1001,MATCH(ROWS($AG$2:AG655),$AG$2:$AG$1001,0),MATCH(COLUMNS($AN$1006:BL1006),$AN$1006:$BO$1006,0)), HYPERLINK("#",""), HYPERLINK(CONCATENATE("#Metadata!", ADDRESS(INDEX($AI$2:$AI$1001,MATCH(ROWS($AG$2:AG655),$AG$2:$AG$1001,0),0), INDEX($AN$1004:$BO$1004,1,MATCH(COLUMNS($AN$1006:BL1006),$AN$1006:$BO$1006,0)))),"Fix")))</f>
        <v>0</v>
      </c>
      <c r="AA655" s="4">
        <f>IF(OR(INDEX($AH$2:$AH$1001,MATCH(ROWS($AG$2:AG655),$AG$2:$AG$1001,0),1)&gt;=100000,INDEX($AN$1005:$BO$1005,1,MATCH(COLUMNS($AN$1006:BM1006),$AN$1006:$BO$1006,0))&gt;=100000), " ",IF(INDEX($AN$2:$BO$1001,MATCH(ROWS($AG$2:AG655),$AG$2:$AG$1001,0),MATCH(COLUMNS($AN$1006:BM1006),$AN$1006:$BO$1006,0)), HYPERLINK("#",""), HYPERLINK(CONCATENATE("#Metadata!", ADDRESS(INDEX($AI$2:$AI$1001,MATCH(ROWS($AG$2:AG655),$AG$2:$AG$1001,0),0), INDEX($AN$1004:$BO$1004,1,MATCH(COLUMNS($AN$1006:BM1006),$AN$1006:$BO$1006,0)))),"Fix")))</f>
        <v>0</v>
      </c>
      <c r="AB655" s="4">
        <f>IF(OR(INDEX($AH$2:$AH$1001,MATCH(ROWS($AG$2:AG655),$AG$2:$AG$1001,0),1)&gt;=100000,INDEX($AN$1005:$BO$1005,1,MATCH(COLUMNS($AN$1006:BN1006),$AN$1006:$BO$1006,0))&gt;=100000), " ",IF(INDEX($AN$2:$BO$1001,MATCH(ROWS($AG$2:AG655),$AG$2:$AG$1001,0),MATCH(COLUMNS($AN$1006:BN1006),$AN$1006:$BO$1006,0)), HYPERLINK("#",""), HYPERLINK(CONCATENATE("#Metadata!", ADDRESS(INDEX($AI$2:$AI$1001,MATCH(ROWS($AG$2:AG655),$AG$2:$AG$1001,0),0), INDEX($AN$1004:$BO$1004,1,MATCH(COLUMNS($AN$1006:BN1006),$AN$1006:$BO$1006,0)))),"Fix")))</f>
        <v>0</v>
      </c>
      <c r="AC655" s="4">
        <f>IF(OR(INDEX($AH$2:$AH$1001,MATCH(ROWS($AG$2:AG655),$AG$2:$AG$1001,0),1)&gt;=100000,INDEX($AN$1005:$BO$1005,1,MATCH(COLUMNS($AN$1006:BO1006),$AN$1006:$BO$1006,0))&gt;=100000), " ",IF(INDEX($AN$2:$BO$1001,MATCH(ROWS($AG$2:AG655),$AG$2:$AG$1001,0),MATCH(COLUMNS($AN$1006:BO1006),$AN$1006:$BO$1006,0)), HYPERLINK("#",""), HYPERLINK(CONCATENATE("#Metadata!", ADDRESS(INDEX($AI$2:$AI$1001,MATCH(ROWS($AG$2:AG655),$AG$2:$AG$1001,0),0), INDEX($AN$1004:$BO$1004,1,MATCH(COLUMNS($AN$1006:BO1006),$AN$1006:$BO$1006,0)))),"Fix")))</f>
        <v>0</v>
      </c>
      <c r="AG655">
        <v>0</v>
      </c>
      <c r="AH655">
        <v>0</v>
      </c>
      <c r="AI655">
        <v>0</v>
      </c>
      <c r="AJ655">
        <f>IF(AK655,TRUE,AND(AN655:BO655))</f>
        <v>0</v>
      </c>
      <c r="AK655">
        <f>COUNTBLANK(Metadata!B655:AC655)=COLUMNS(Metadata!B655:AC655)</f>
        <v>0</v>
      </c>
      <c r="AL655">
        <v>0</v>
      </c>
      <c r="AN655">
        <f>AND(IF(Metadata!B655="",FALSE,TRUE),COUNTIF(Metadata!B:B, Metadata!B655) = 1,NOT(ISERROR(SUMPRODUCT(SEARCH(MID(Metadata!B655,ROW(INDIRECT("1:"&amp;LEN(Metadata!B655))), 1),"0123456789abcdefghijklmnopqrstuvwxyzABCDEFGHIJKLMNOPQRSTUVWXYZ.")))))</f>
        <v>0</v>
      </c>
      <c r="AO655">
        <f>IF(Metadata!C655="",FALSE,TRUE)</f>
        <v>0</v>
      </c>
      <c r="AP655">
        <f>IF(Metadata!D655="",FALSE,TRUE)</f>
        <v>0</v>
      </c>
      <c r="AQ655">
        <f>OR(AND(IF(Metadata!E655="",FALSE,TRUE),OR(exact(Metadata!E655,"not collected"),exact(Metadata!E655,"not provided"),exact(Metadata!E655,"restricted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R655">
        <f>IF(Metadata!F655="",FALSE,TRUE)</f>
        <v>0</v>
      </c>
      <c r="AS655">
        <f>OR(AND(IF(Metadata!G655="",FALSE,TRUE),OR(exact(Metadata!G655,"not collected"),exact(Metadata!G655,"not provided"))),AND(IF(Metadata!G655="",FALSE,TRUE),OR(exact(Metadata!G655,"TRUE"),exact(Metadata!G655,"FALSE"))))</f>
        <v>0</v>
      </c>
      <c r="AT655">
        <f>OR(AND(IF(Metadata!H655="",FALSE,TRUE),OR(exact(Metadata!H655,"not collected"),exact(Metadata!H655,"not provided"),exact(Metadata!H655,"restricted access"))),AND(IF(Metadata!H655="",FALSE,ISNUMBER(VALUE(Metadata!H655))),Metadata!H655&gt;=-413.0))</f>
        <v>0</v>
      </c>
      <c r="AU655">
        <f>AND(IF(Metadata!I655="",FALSE,TRUE),exact(Metadata!I655,"meters"))</f>
        <v>0</v>
      </c>
      <c r="AV655">
        <f>AND(IF(Metadata!J655="",FALSE,TRUE),OR(exact(Metadata!J655,"Host-associated"),exact(Metadata!J655,"Free-living")))</f>
        <v>0</v>
      </c>
      <c r="AW655">
        <f>AND(IF(Metadata!K655="",FALSE,TRUE),OR(exact(Metadata!K655,"Animal"),exact(Metadata!K655,"Fungus"),exact(Metadata!K655,"Plant"),exact(Metadata!K655,"Saline"),exact(Metadata!K655,"Non-saline")))</f>
        <v>0</v>
      </c>
      <c r="AX655">
        <f>AND(IF(Metadata!L655="",FALSE,TRUE),OR(exact(Metadata!L655,"Plant secretion"),exact(Metadata!L655,"Plant rhizosphere"),exact(Metadata!L655,"Plant surface"),exact(Metadata!L655,"Plant corpus"),exact(Metadata!L655,"Fungus surface"),exact(Metadata!L655,"Fungus corpus"),exact(Metadata!L655,"Animal surface"),exact(Metadata!L655,"Animal proximal gut"),exact(Metadata!L655,"Animal corpus"),exact(Metadata!L655,"Animal distal gut"),exact(Metadata!L655,"Animal secretion"),exact(Metadata!L655,"Sub-surface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Y655">
        <f>IF(Metadata!M655="",FALSE,TRUE)</f>
        <v>0</v>
      </c>
      <c r="AZ655">
        <f>IF(Metadata!N655="",FALSE,TRUE)</f>
        <v>0</v>
      </c>
      <c r="BA655">
        <f>IF(Metadata!O655="",FALSE,TRUE)</f>
        <v>0</v>
      </c>
      <c r="BB655">
        <f>OR(AND(IF(Metadata!P655="",FALSE,TRUE),OR(exact(Metadata!P655,"not collected"),exact(Metadata!P655,"not provided"),exact(Metadata!P655,"restricted access"))),AND(IF(Metadata!P655="",FALSE,TRUE),OR(exact(Metadata!P655,"air"),exact(Metadata!P655,"built environment"),exact(Metadata!P655,"host-associated"),exact(Metadata!P655,"human-associated"),exact(Metadata!P655,"human-skin"),exact(Metadata!P655,"human-oral"),exact(Metadata!P655,"human-gut"),exact(Metadata!P655,"human-vaginal"),exact(Metadata!P655,"microbial mat/biofilm"),exact(Metadata!P655,"misc environment"),exact(Metadata!P655,"plant-associated"),exact(Metadata!P655,"sediment"),exact(Metadata!P655,"soil"),exact(Metadata!P655,"wastewater/sludge"),exact(Metadata!P655,"water"))))</f>
        <v>0</v>
      </c>
      <c r="BC655">
        <f>IF(Metadata!Q655="",FALSE,TRUE)</f>
        <v>0</v>
      </c>
      <c r="BD655">
        <f>IF(Metadata!R655="",FALSE,TRUE)</f>
        <v>0</v>
      </c>
      <c r="BE655">
        <f>OR(AND(IF(Metadata!S655="",FALSE,TRUE),OR(exact(Metadata!S655,"not collected"),exact(Metadata!S655,"not provided"),exact(Metadata!S655,"restricted access"))),AND(IF(Metadata!S655="",FALSE,ISNUMBER(VALUE(Metadata!S655))),Metadata!S655&gt;=-90.00,Metadata!S655&lt;=90.00))</f>
        <v>0</v>
      </c>
      <c r="BF655">
        <f>AND(IF(Metadata!T655="",FALSE,TRUE),exact(Metadata!T655,"Decimal degrees"))</f>
        <v>0</v>
      </c>
      <c r="BG655">
        <f>OR(AND(IF(Metadata!U655="",FALSE,TRUE),OR(exact(Metadata!U655,"not collected"),exact(Metadata!U655,"not provided"),exact(Metadata!U655,"restricted access"))),AND(IF(Metadata!U655="",FALSE,ISNUMBER(VALUE(Metadata!U655))),Metadata!U655&gt;=-180.00,Metadata!U655&lt;=180.00))</f>
        <v>0</v>
      </c>
      <c r="BH655">
        <f>AND(IF(Metadata!V655="",FALSE,TRUE),exact(Metadata!V655,"Decimal degrees"))</f>
        <v>0</v>
      </c>
      <c r="BI655">
        <f>IF(Metadata!W655="",FALSE,TRUE)</f>
        <v>0</v>
      </c>
      <c r="BJ655">
        <f>OR(AND(IF(Metadata!X655="",FALSE,TRUE),OR(exact(Metadata!X655,"not collected"),exact(Metadata!X655,"not provided"),exact(Metadata!X655,"restricted access"))),AND(IF(Metadata!X655="",FALSE,TRUE),OR(exact(Metadata!X655,"TRUE"),exact(Metadata!X655,"FALSE"))))</f>
        <v>0</v>
      </c>
      <c r="BK655">
        <f>AND(IF(Metadata!Y655="",FALSE,TRUE),exact(Metadata!Y655,"other"))</f>
        <v>0</v>
      </c>
      <c r="BL655">
        <f>IF(Metadata!Z655="",FALSE,TRUE)</f>
        <v>0</v>
      </c>
      <c r="BM655">
        <f>OR(AND(IF(Metadata!AA655="",FALSE,TRUE),OR(exact(Metadata!AA655,"not collected"),exact(Metadata!AA655,"not provided"))),AND(IF(Metadata!AA655="",FALSE,IF(ISERROR(INT(Metadata!AA655)),FALSE,INT(Metadata!AA655)=Metadata!AA655)),Metadata!AA655&gt;0))</f>
        <v>0</v>
      </c>
      <c r="BN655">
        <f>AND(IF(Metadata!AB655="",FALSE,TRUE),exact(Metadata!AB655,"Not applicable"))</f>
        <v>0</v>
      </c>
      <c r="BO655">
        <f>IF(Metadata!AC655="",FALSE,TRUE)</f>
        <v>0</v>
      </c>
    </row>
    <row r="656" spans="1:67">
      <c r="A656" s="5">
        <f>IF(B656=" "," ",HYPERLINK(CONCATENATE("#metadata!",ADDRESS(INDEX($AI$2:$AI$1001,MATCH(ROWS($AG$2:AG656),$AG$2:$AG$1001,0),0),1)),INDEX($AL$2:$AL$1001,MATCH(ROWS($AG$2:AG656),$AG$2:$AG$1001,0),0)))</f>
        <v>0</v>
      </c>
      <c r="B656" s="4">
        <f>IF(OR(INDEX($AH$2:$AH$1001,MATCH(ROWS($AG$2:AG656),$AG$2:$AG$1001,0),1)&gt;=100000,INDEX($AN$1005:$BO$1005,1,MATCH(COLUMNS($AN$1006:AN1006),$AN$1006:$BO$1006,0))&gt;=100000), " ",IF(INDEX($AN$2:$BO$1001,MATCH(ROWS($AG$2:AG656),$AG$2:$AG$1001,0),MATCH(COLUMNS($AN$1006:AN1006),$AN$1006:$BO$1006,0)), HYPERLINK("#",""), HYPERLINK(CONCATENATE("#Metadata!", ADDRESS(INDEX($AI$2:$AI$1001,MATCH(ROWS($AG$2:AG656),$AG$2:$AG$1001,0),0), INDEX($AN$1004:$BO$1004,1,MATCH(COLUMNS($AN$1006:AN1006),$AN$1006:$BO$1006,0)))),"Fix")))</f>
        <v>0</v>
      </c>
      <c r="C656" s="4">
        <f>IF(OR(INDEX($AH$2:$AH$1001,MATCH(ROWS($AG$2:AG656),$AG$2:$AG$1001,0),1)&gt;=100000,INDEX($AN$1005:$BO$1005,1,MATCH(COLUMNS($AN$1006:AO1006),$AN$1006:$BO$1006,0))&gt;=100000), " ",IF(INDEX($AN$2:$BO$1001,MATCH(ROWS($AG$2:AG656),$AG$2:$AG$1001,0),MATCH(COLUMNS($AN$1006:AO1006),$AN$1006:$BO$1006,0)), HYPERLINK("#",""), HYPERLINK(CONCATENATE("#Metadata!", ADDRESS(INDEX($AI$2:$AI$1001,MATCH(ROWS($AG$2:AG656),$AG$2:$AG$1001,0),0), INDEX($AN$1004:$BO$1004,1,MATCH(COLUMNS($AN$1006:AO1006),$AN$1006:$BO$1006,0)))),"Fix")))</f>
        <v>0</v>
      </c>
      <c r="D656" s="4">
        <f>IF(OR(INDEX($AH$2:$AH$1001,MATCH(ROWS($AG$2:AG656),$AG$2:$AG$1001,0),1)&gt;=100000,INDEX($AN$1005:$BO$1005,1,MATCH(COLUMNS($AN$1006:AP1006),$AN$1006:$BO$1006,0))&gt;=100000), " ",IF(INDEX($AN$2:$BO$1001,MATCH(ROWS($AG$2:AG656),$AG$2:$AG$1001,0),MATCH(COLUMNS($AN$1006:AP1006),$AN$1006:$BO$1006,0)), HYPERLINK("#",""), HYPERLINK(CONCATENATE("#Metadata!", ADDRESS(INDEX($AI$2:$AI$1001,MATCH(ROWS($AG$2:AG656),$AG$2:$AG$1001,0),0), INDEX($AN$1004:$BO$1004,1,MATCH(COLUMNS($AN$1006:AP1006),$AN$1006:$BO$1006,0)))),"Fix")))</f>
        <v>0</v>
      </c>
      <c r="E656" s="4">
        <f>IF(OR(INDEX($AH$2:$AH$1001,MATCH(ROWS($AG$2:AG656),$AG$2:$AG$1001,0),1)&gt;=100000,INDEX($AN$1005:$BO$1005,1,MATCH(COLUMNS($AN$1006:AQ1006),$AN$1006:$BO$1006,0))&gt;=100000), " ",IF(INDEX($AN$2:$BO$1001,MATCH(ROWS($AG$2:AG656),$AG$2:$AG$1001,0),MATCH(COLUMNS($AN$1006:AQ1006),$AN$1006:$BO$1006,0)), HYPERLINK("#",""), HYPERLINK(CONCATENATE("#Metadata!", ADDRESS(INDEX($AI$2:$AI$1001,MATCH(ROWS($AG$2:AG656),$AG$2:$AG$1001,0),0), INDEX($AN$1004:$BO$1004,1,MATCH(COLUMNS($AN$1006:AQ1006),$AN$1006:$BO$1006,0)))),"Fix")))</f>
        <v>0</v>
      </c>
      <c r="F656" s="4">
        <f>IF(OR(INDEX($AH$2:$AH$1001,MATCH(ROWS($AG$2:AG656),$AG$2:$AG$1001,0),1)&gt;=100000,INDEX($AN$1005:$BO$1005,1,MATCH(COLUMNS($AN$1006:AR1006),$AN$1006:$BO$1006,0))&gt;=100000), " ",IF(INDEX($AN$2:$BO$1001,MATCH(ROWS($AG$2:AG656),$AG$2:$AG$1001,0),MATCH(COLUMNS($AN$1006:AR1006),$AN$1006:$BO$1006,0)), HYPERLINK("#",""), HYPERLINK(CONCATENATE("#Metadata!", ADDRESS(INDEX($AI$2:$AI$1001,MATCH(ROWS($AG$2:AG656),$AG$2:$AG$1001,0),0), INDEX($AN$1004:$BO$1004,1,MATCH(COLUMNS($AN$1006:AR1006),$AN$1006:$BO$1006,0)))),"Fix")))</f>
        <v>0</v>
      </c>
      <c r="G656" s="4">
        <f>IF(OR(INDEX($AH$2:$AH$1001,MATCH(ROWS($AG$2:AG656),$AG$2:$AG$1001,0),1)&gt;=100000,INDEX($AN$1005:$BO$1005,1,MATCH(COLUMNS($AN$1006:AS1006),$AN$1006:$BO$1006,0))&gt;=100000), " ",IF(INDEX($AN$2:$BO$1001,MATCH(ROWS($AG$2:AG656),$AG$2:$AG$1001,0),MATCH(COLUMNS($AN$1006:AS1006),$AN$1006:$BO$1006,0)), HYPERLINK("#",""), HYPERLINK(CONCATENATE("#Metadata!", ADDRESS(INDEX($AI$2:$AI$1001,MATCH(ROWS($AG$2:AG656),$AG$2:$AG$1001,0),0), INDEX($AN$1004:$BO$1004,1,MATCH(COLUMNS($AN$1006:AS1006),$AN$1006:$BO$1006,0)))),"Fix")))</f>
        <v>0</v>
      </c>
      <c r="H656" s="4">
        <f>IF(OR(INDEX($AH$2:$AH$1001,MATCH(ROWS($AG$2:AG656),$AG$2:$AG$1001,0),1)&gt;=100000,INDEX($AN$1005:$BO$1005,1,MATCH(COLUMNS($AN$1006:AT1006),$AN$1006:$BO$1006,0))&gt;=100000), " ",IF(INDEX($AN$2:$BO$1001,MATCH(ROWS($AG$2:AG656),$AG$2:$AG$1001,0),MATCH(COLUMNS($AN$1006:AT1006),$AN$1006:$BO$1006,0)), HYPERLINK("#",""), HYPERLINK(CONCATENATE("#Metadata!", ADDRESS(INDEX($AI$2:$AI$1001,MATCH(ROWS($AG$2:AG656),$AG$2:$AG$1001,0),0), INDEX($AN$1004:$BO$1004,1,MATCH(COLUMNS($AN$1006:AT1006),$AN$1006:$BO$1006,0)))),"Fix")))</f>
        <v>0</v>
      </c>
      <c r="I656" s="4">
        <f>IF(OR(INDEX($AH$2:$AH$1001,MATCH(ROWS($AG$2:AG656),$AG$2:$AG$1001,0),1)&gt;=100000,INDEX($AN$1005:$BO$1005,1,MATCH(COLUMNS($AN$1006:AU1006),$AN$1006:$BO$1006,0))&gt;=100000), " ",IF(INDEX($AN$2:$BO$1001,MATCH(ROWS($AG$2:AG656),$AG$2:$AG$1001,0),MATCH(COLUMNS($AN$1006:AU1006),$AN$1006:$BO$1006,0)), HYPERLINK("#",""), HYPERLINK(CONCATENATE("#Metadata!", ADDRESS(INDEX($AI$2:$AI$1001,MATCH(ROWS($AG$2:AG656),$AG$2:$AG$1001,0),0), INDEX($AN$1004:$BO$1004,1,MATCH(COLUMNS($AN$1006:AU1006),$AN$1006:$BO$1006,0)))),"Fix")))</f>
        <v>0</v>
      </c>
      <c r="J656" s="4">
        <f>IF(OR(INDEX($AH$2:$AH$1001,MATCH(ROWS($AG$2:AG656),$AG$2:$AG$1001,0),1)&gt;=100000,INDEX($AN$1005:$BO$1005,1,MATCH(COLUMNS($AN$1006:AV1006),$AN$1006:$BO$1006,0))&gt;=100000), " ",IF(INDEX($AN$2:$BO$1001,MATCH(ROWS($AG$2:AG656),$AG$2:$AG$1001,0),MATCH(COLUMNS($AN$1006:AV1006),$AN$1006:$BO$1006,0)), HYPERLINK("#",""), HYPERLINK(CONCATENATE("#Metadata!", ADDRESS(INDEX($AI$2:$AI$1001,MATCH(ROWS($AG$2:AG656),$AG$2:$AG$1001,0),0), INDEX($AN$1004:$BO$1004,1,MATCH(COLUMNS($AN$1006:AV1006),$AN$1006:$BO$1006,0)))),"Fix")))</f>
        <v>0</v>
      </c>
      <c r="K656" s="4">
        <f>IF(OR(INDEX($AH$2:$AH$1001,MATCH(ROWS($AG$2:AG656),$AG$2:$AG$1001,0),1)&gt;=100000,INDEX($AN$1005:$BO$1005,1,MATCH(COLUMNS($AN$1006:AW1006),$AN$1006:$BO$1006,0))&gt;=100000), " ",IF(INDEX($AN$2:$BO$1001,MATCH(ROWS($AG$2:AG656),$AG$2:$AG$1001,0),MATCH(COLUMNS($AN$1006:AW1006),$AN$1006:$BO$1006,0)), HYPERLINK("#",""), HYPERLINK(CONCATENATE("#Metadata!", ADDRESS(INDEX($AI$2:$AI$1001,MATCH(ROWS($AG$2:AG656),$AG$2:$AG$1001,0),0), INDEX($AN$1004:$BO$1004,1,MATCH(COLUMNS($AN$1006:AW1006),$AN$1006:$BO$1006,0)))),"Fix")))</f>
        <v>0</v>
      </c>
      <c r="L656" s="4">
        <f>IF(OR(INDEX($AH$2:$AH$1001,MATCH(ROWS($AG$2:AG656),$AG$2:$AG$1001,0),1)&gt;=100000,INDEX($AN$1005:$BO$1005,1,MATCH(COLUMNS($AN$1006:AX1006),$AN$1006:$BO$1006,0))&gt;=100000), " ",IF(INDEX($AN$2:$BO$1001,MATCH(ROWS($AG$2:AG656),$AG$2:$AG$1001,0),MATCH(COLUMNS($AN$1006:AX1006),$AN$1006:$BO$1006,0)), HYPERLINK("#",""), HYPERLINK(CONCATENATE("#Metadata!", ADDRESS(INDEX($AI$2:$AI$1001,MATCH(ROWS($AG$2:AG656),$AG$2:$AG$1001,0),0), INDEX($AN$1004:$BO$1004,1,MATCH(COLUMNS($AN$1006:AX1006),$AN$1006:$BO$1006,0)))),"Fix")))</f>
        <v>0</v>
      </c>
      <c r="M656" s="4">
        <f>IF(OR(INDEX($AH$2:$AH$1001,MATCH(ROWS($AG$2:AG656),$AG$2:$AG$1001,0),1)&gt;=100000,INDEX($AN$1005:$BO$1005,1,MATCH(COLUMNS($AN$1006:AY1006),$AN$1006:$BO$1006,0))&gt;=100000), " ",IF(INDEX($AN$2:$BO$1001,MATCH(ROWS($AG$2:AG656),$AG$2:$AG$1001,0),MATCH(COLUMNS($AN$1006:AY1006),$AN$1006:$BO$1006,0)), HYPERLINK("#",""), HYPERLINK(CONCATENATE("#Metadata!", ADDRESS(INDEX($AI$2:$AI$1001,MATCH(ROWS($AG$2:AG656),$AG$2:$AG$1001,0),0), INDEX($AN$1004:$BO$1004,1,MATCH(COLUMNS($AN$1006:AY1006),$AN$1006:$BO$1006,0)))),"Fix")))</f>
        <v>0</v>
      </c>
      <c r="N656" s="4">
        <f>IF(OR(INDEX($AH$2:$AH$1001,MATCH(ROWS($AG$2:AG656),$AG$2:$AG$1001,0),1)&gt;=100000,INDEX($AN$1005:$BO$1005,1,MATCH(COLUMNS($AN$1006:AZ1006),$AN$1006:$BO$1006,0))&gt;=100000), " ",IF(INDEX($AN$2:$BO$1001,MATCH(ROWS($AG$2:AG656),$AG$2:$AG$1001,0),MATCH(COLUMNS($AN$1006:AZ1006),$AN$1006:$BO$1006,0)), HYPERLINK("#",""), HYPERLINK(CONCATENATE("#Metadata!", ADDRESS(INDEX($AI$2:$AI$1001,MATCH(ROWS($AG$2:AG656),$AG$2:$AG$1001,0),0), INDEX($AN$1004:$BO$1004,1,MATCH(COLUMNS($AN$1006:AZ1006),$AN$1006:$BO$1006,0)))),"Fix")))</f>
        <v>0</v>
      </c>
      <c r="O656" s="4">
        <f>IF(OR(INDEX($AH$2:$AH$1001,MATCH(ROWS($AG$2:AG656),$AG$2:$AG$1001,0),1)&gt;=100000,INDEX($AN$1005:$BO$1005,1,MATCH(COLUMNS($AN$1006:BA1006),$AN$1006:$BO$1006,0))&gt;=100000), " ",IF(INDEX($AN$2:$BO$1001,MATCH(ROWS($AG$2:AG656),$AG$2:$AG$1001,0),MATCH(COLUMNS($AN$1006:BA1006),$AN$1006:$BO$1006,0)), HYPERLINK("#",""), HYPERLINK(CONCATENATE("#Metadata!", ADDRESS(INDEX($AI$2:$AI$1001,MATCH(ROWS($AG$2:AG656),$AG$2:$AG$1001,0),0), INDEX($AN$1004:$BO$1004,1,MATCH(COLUMNS($AN$1006:BA1006),$AN$1006:$BO$1006,0)))),"Fix")))</f>
        <v>0</v>
      </c>
      <c r="P656" s="4">
        <f>IF(OR(INDEX($AH$2:$AH$1001,MATCH(ROWS($AG$2:AG656),$AG$2:$AG$1001,0),1)&gt;=100000,INDEX($AN$1005:$BO$1005,1,MATCH(COLUMNS($AN$1006:BB1006),$AN$1006:$BO$1006,0))&gt;=100000), " ",IF(INDEX($AN$2:$BO$1001,MATCH(ROWS($AG$2:AG656),$AG$2:$AG$1001,0),MATCH(COLUMNS($AN$1006:BB1006),$AN$1006:$BO$1006,0)), HYPERLINK("#",""), HYPERLINK(CONCATENATE("#Metadata!", ADDRESS(INDEX($AI$2:$AI$1001,MATCH(ROWS($AG$2:AG656),$AG$2:$AG$1001,0),0), INDEX($AN$1004:$BO$1004,1,MATCH(COLUMNS($AN$1006:BB1006),$AN$1006:$BO$1006,0)))),"Fix")))</f>
        <v>0</v>
      </c>
      <c r="Q656" s="4">
        <f>IF(OR(INDEX($AH$2:$AH$1001,MATCH(ROWS($AG$2:AG656),$AG$2:$AG$1001,0),1)&gt;=100000,INDEX($AN$1005:$BO$1005,1,MATCH(COLUMNS($AN$1006:BC1006),$AN$1006:$BO$1006,0))&gt;=100000), " ",IF(INDEX($AN$2:$BO$1001,MATCH(ROWS($AG$2:AG656),$AG$2:$AG$1001,0),MATCH(COLUMNS($AN$1006:BC1006),$AN$1006:$BO$1006,0)), HYPERLINK("#",""), HYPERLINK(CONCATENATE("#Metadata!", ADDRESS(INDEX($AI$2:$AI$1001,MATCH(ROWS($AG$2:AG656),$AG$2:$AG$1001,0),0), INDEX($AN$1004:$BO$1004,1,MATCH(COLUMNS($AN$1006:BC1006),$AN$1006:$BO$1006,0)))),"Fix")))</f>
        <v>0</v>
      </c>
      <c r="R656" s="4">
        <f>IF(OR(INDEX($AH$2:$AH$1001,MATCH(ROWS($AG$2:AG656),$AG$2:$AG$1001,0),1)&gt;=100000,INDEX($AN$1005:$BO$1005,1,MATCH(COLUMNS($AN$1006:BD1006),$AN$1006:$BO$1006,0))&gt;=100000), " ",IF(INDEX($AN$2:$BO$1001,MATCH(ROWS($AG$2:AG656),$AG$2:$AG$1001,0),MATCH(COLUMNS($AN$1006:BD1006),$AN$1006:$BO$1006,0)), HYPERLINK("#",""), HYPERLINK(CONCATENATE("#Metadata!", ADDRESS(INDEX($AI$2:$AI$1001,MATCH(ROWS($AG$2:AG656),$AG$2:$AG$1001,0),0), INDEX($AN$1004:$BO$1004,1,MATCH(COLUMNS($AN$1006:BD1006),$AN$1006:$BO$1006,0)))),"Fix")))</f>
        <v>0</v>
      </c>
      <c r="S656" s="4">
        <f>IF(OR(INDEX($AH$2:$AH$1001,MATCH(ROWS($AG$2:AG656),$AG$2:$AG$1001,0),1)&gt;=100000,INDEX($AN$1005:$BO$1005,1,MATCH(COLUMNS($AN$1006:BE1006),$AN$1006:$BO$1006,0))&gt;=100000), " ",IF(INDEX($AN$2:$BO$1001,MATCH(ROWS($AG$2:AG656),$AG$2:$AG$1001,0),MATCH(COLUMNS($AN$1006:BE1006),$AN$1006:$BO$1006,0)), HYPERLINK("#",""), HYPERLINK(CONCATENATE("#Metadata!", ADDRESS(INDEX($AI$2:$AI$1001,MATCH(ROWS($AG$2:AG656),$AG$2:$AG$1001,0),0), INDEX($AN$1004:$BO$1004,1,MATCH(COLUMNS($AN$1006:BE1006),$AN$1006:$BO$1006,0)))),"Fix")))</f>
        <v>0</v>
      </c>
      <c r="T656" s="4">
        <f>IF(OR(INDEX($AH$2:$AH$1001,MATCH(ROWS($AG$2:AG656),$AG$2:$AG$1001,0),1)&gt;=100000,INDEX($AN$1005:$BO$1005,1,MATCH(COLUMNS($AN$1006:BF1006),$AN$1006:$BO$1006,0))&gt;=100000), " ",IF(INDEX($AN$2:$BO$1001,MATCH(ROWS($AG$2:AG656),$AG$2:$AG$1001,0),MATCH(COLUMNS($AN$1006:BF1006),$AN$1006:$BO$1006,0)), HYPERLINK("#",""), HYPERLINK(CONCATENATE("#Metadata!", ADDRESS(INDEX($AI$2:$AI$1001,MATCH(ROWS($AG$2:AG656),$AG$2:$AG$1001,0),0), INDEX($AN$1004:$BO$1004,1,MATCH(COLUMNS($AN$1006:BF1006),$AN$1006:$BO$1006,0)))),"Fix")))</f>
        <v>0</v>
      </c>
      <c r="U656" s="4">
        <f>IF(OR(INDEX($AH$2:$AH$1001,MATCH(ROWS($AG$2:AG656),$AG$2:$AG$1001,0),1)&gt;=100000,INDEX($AN$1005:$BO$1005,1,MATCH(COLUMNS($AN$1006:BG1006),$AN$1006:$BO$1006,0))&gt;=100000), " ",IF(INDEX($AN$2:$BO$1001,MATCH(ROWS($AG$2:AG656),$AG$2:$AG$1001,0),MATCH(COLUMNS($AN$1006:BG1006),$AN$1006:$BO$1006,0)), HYPERLINK("#",""), HYPERLINK(CONCATENATE("#Metadata!", ADDRESS(INDEX($AI$2:$AI$1001,MATCH(ROWS($AG$2:AG656),$AG$2:$AG$1001,0),0), INDEX($AN$1004:$BO$1004,1,MATCH(COLUMNS($AN$1006:BG1006),$AN$1006:$BO$1006,0)))),"Fix")))</f>
        <v>0</v>
      </c>
      <c r="V656" s="4">
        <f>IF(OR(INDEX($AH$2:$AH$1001,MATCH(ROWS($AG$2:AG656),$AG$2:$AG$1001,0),1)&gt;=100000,INDEX($AN$1005:$BO$1005,1,MATCH(COLUMNS($AN$1006:BH1006),$AN$1006:$BO$1006,0))&gt;=100000), " ",IF(INDEX($AN$2:$BO$1001,MATCH(ROWS($AG$2:AG656),$AG$2:$AG$1001,0),MATCH(COLUMNS($AN$1006:BH1006),$AN$1006:$BO$1006,0)), HYPERLINK("#",""), HYPERLINK(CONCATENATE("#Metadata!", ADDRESS(INDEX($AI$2:$AI$1001,MATCH(ROWS($AG$2:AG656),$AG$2:$AG$1001,0),0), INDEX($AN$1004:$BO$1004,1,MATCH(COLUMNS($AN$1006:BH1006),$AN$1006:$BO$1006,0)))),"Fix")))</f>
        <v>0</v>
      </c>
      <c r="W656" s="4">
        <f>IF(OR(INDEX($AH$2:$AH$1001,MATCH(ROWS($AG$2:AG656),$AG$2:$AG$1001,0),1)&gt;=100000,INDEX($AN$1005:$BO$1005,1,MATCH(COLUMNS($AN$1006:BI1006),$AN$1006:$BO$1006,0))&gt;=100000), " ",IF(INDEX($AN$2:$BO$1001,MATCH(ROWS($AG$2:AG656),$AG$2:$AG$1001,0),MATCH(COLUMNS($AN$1006:BI1006),$AN$1006:$BO$1006,0)), HYPERLINK("#",""), HYPERLINK(CONCATENATE("#Metadata!", ADDRESS(INDEX($AI$2:$AI$1001,MATCH(ROWS($AG$2:AG656),$AG$2:$AG$1001,0),0), INDEX($AN$1004:$BO$1004,1,MATCH(COLUMNS($AN$1006:BI1006),$AN$1006:$BO$1006,0)))),"Fix")))</f>
        <v>0</v>
      </c>
      <c r="X656" s="4">
        <f>IF(OR(INDEX($AH$2:$AH$1001,MATCH(ROWS($AG$2:AG656),$AG$2:$AG$1001,0),1)&gt;=100000,INDEX($AN$1005:$BO$1005,1,MATCH(COLUMNS($AN$1006:BJ1006),$AN$1006:$BO$1006,0))&gt;=100000), " ",IF(INDEX($AN$2:$BO$1001,MATCH(ROWS($AG$2:AG656),$AG$2:$AG$1001,0),MATCH(COLUMNS($AN$1006:BJ1006),$AN$1006:$BO$1006,0)), HYPERLINK("#",""), HYPERLINK(CONCATENATE("#Metadata!", ADDRESS(INDEX($AI$2:$AI$1001,MATCH(ROWS($AG$2:AG656),$AG$2:$AG$1001,0),0), INDEX($AN$1004:$BO$1004,1,MATCH(COLUMNS($AN$1006:BJ1006),$AN$1006:$BO$1006,0)))),"Fix")))</f>
        <v>0</v>
      </c>
      <c r="Y656" s="4">
        <f>IF(OR(INDEX($AH$2:$AH$1001,MATCH(ROWS($AG$2:AG656),$AG$2:$AG$1001,0),1)&gt;=100000,INDEX($AN$1005:$BO$1005,1,MATCH(COLUMNS($AN$1006:BK1006),$AN$1006:$BO$1006,0))&gt;=100000), " ",IF(INDEX($AN$2:$BO$1001,MATCH(ROWS($AG$2:AG656),$AG$2:$AG$1001,0),MATCH(COLUMNS($AN$1006:BK1006),$AN$1006:$BO$1006,0)), HYPERLINK("#",""), HYPERLINK(CONCATENATE("#Metadata!", ADDRESS(INDEX($AI$2:$AI$1001,MATCH(ROWS($AG$2:AG656),$AG$2:$AG$1001,0),0), INDEX($AN$1004:$BO$1004,1,MATCH(COLUMNS($AN$1006:BK1006),$AN$1006:$BO$1006,0)))),"Fix")))</f>
        <v>0</v>
      </c>
      <c r="Z656" s="4">
        <f>IF(OR(INDEX($AH$2:$AH$1001,MATCH(ROWS($AG$2:AG656),$AG$2:$AG$1001,0),1)&gt;=100000,INDEX($AN$1005:$BO$1005,1,MATCH(COLUMNS($AN$1006:BL1006),$AN$1006:$BO$1006,0))&gt;=100000), " ",IF(INDEX($AN$2:$BO$1001,MATCH(ROWS($AG$2:AG656),$AG$2:$AG$1001,0),MATCH(COLUMNS($AN$1006:BL1006),$AN$1006:$BO$1006,0)), HYPERLINK("#",""), HYPERLINK(CONCATENATE("#Metadata!", ADDRESS(INDEX($AI$2:$AI$1001,MATCH(ROWS($AG$2:AG656),$AG$2:$AG$1001,0),0), INDEX($AN$1004:$BO$1004,1,MATCH(COLUMNS($AN$1006:BL1006),$AN$1006:$BO$1006,0)))),"Fix")))</f>
        <v>0</v>
      </c>
      <c r="AA656" s="4">
        <f>IF(OR(INDEX($AH$2:$AH$1001,MATCH(ROWS($AG$2:AG656),$AG$2:$AG$1001,0),1)&gt;=100000,INDEX($AN$1005:$BO$1005,1,MATCH(COLUMNS($AN$1006:BM1006),$AN$1006:$BO$1006,0))&gt;=100000), " ",IF(INDEX($AN$2:$BO$1001,MATCH(ROWS($AG$2:AG656),$AG$2:$AG$1001,0),MATCH(COLUMNS($AN$1006:BM1006),$AN$1006:$BO$1006,0)), HYPERLINK("#",""), HYPERLINK(CONCATENATE("#Metadata!", ADDRESS(INDEX($AI$2:$AI$1001,MATCH(ROWS($AG$2:AG656),$AG$2:$AG$1001,0),0), INDEX($AN$1004:$BO$1004,1,MATCH(COLUMNS($AN$1006:BM1006),$AN$1006:$BO$1006,0)))),"Fix")))</f>
        <v>0</v>
      </c>
      <c r="AB656" s="4">
        <f>IF(OR(INDEX($AH$2:$AH$1001,MATCH(ROWS($AG$2:AG656),$AG$2:$AG$1001,0),1)&gt;=100000,INDEX($AN$1005:$BO$1005,1,MATCH(COLUMNS($AN$1006:BN1006),$AN$1006:$BO$1006,0))&gt;=100000), " ",IF(INDEX($AN$2:$BO$1001,MATCH(ROWS($AG$2:AG656),$AG$2:$AG$1001,0),MATCH(COLUMNS($AN$1006:BN1006),$AN$1006:$BO$1006,0)), HYPERLINK("#",""), HYPERLINK(CONCATENATE("#Metadata!", ADDRESS(INDEX($AI$2:$AI$1001,MATCH(ROWS($AG$2:AG656),$AG$2:$AG$1001,0),0), INDEX($AN$1004:$BO$1004,1,MATCH(COLUMNS($AN$1006:BN1006),$AN$1006:$BO$1006,0)))),"Fix")))</f>
        <v>0</v>
      </c>
      <c r="AC656" s="4">
        <f>IF(OR(INDEX($AH$2:$AH$1001,MATCH(ROWS($AG$2:AG656),$AG$2:$AG$1001,0),1)&gt;=100000,INDEX($AN$1005:$BO$1005,1,MATCH(COLUMNS($AN$1006:BO1006),$AN$1006:$BO$1006,0))&gt;=100000), " ",IF(INDEX($AN$2:$BO$1001,MATCH(ROWS($AG$2:AG656),$AG$2:$AG$1001,0),MATCH(COLUMNS($AN$1006:BO1006),$AN$1006:$BO$1006,0)), HYPERLINK("#",""), HYPERLINK(CONCATENATE("#Metadata!", ADDRESS(INDEX($AI$2:$AI$1001,MATCH(ROWS($AG$2:AG656),$AG$2:$AG$1001,0),0), INDEX($AN$1004:$BO$1004,1,MATCH(COLUMNS($AN$1006:BO1006),$AN$1006:$BO$1006,0)))),"Fix")))</f>
        <v>0</v>
      </c>
      <c r="AG656">
        <v>0</v>
      </c>
      <c r="AH656">
        <v>0</v>
      </c>
      <c r="AI656">
        <v>0</v>
      </c>
      <c r="AJ656">
        <f>IF(AK656,TRUE,AND(AN656:BO656))</f>
        <v>0</v>
      </c>
      <c r="AK656">
        <f>COUNTBLANK(Metadata!B656:AC656)=COLUMNS(Metadata!B656:AC656)</f>
        <v>0</v>
      </c>
      <c r="AL656">
        <v>0</v>
      </c>
      <c r="AN656">
        <f>AND(IF(Metadata!B656="",FALSE,TRUE),COUNTIF(Metadata!B:B, Metadata!B656) = 1,NOT(ISERROR(SUMPRODUCT(SEARCH(MID(Metadata!B656,ROW(INDIRECT("1:"&amp;LEN(Metadata!B656))), 1),"0123456789abcdefghijklmnopqrstuvwxyzABCDEFGHIJKLMNOPQRSTUVWXYZ.")))))</f>
        <v>0</v>
      </c>
      <c r="AO656">
        <f>IF(Metadata!C656="",FALSE,TRUE)</f>
        <v>0</v>
      </c>
      <c r="AP656">
        <f>IF(Metadata!D656="",FALSE,TRUE)</f>
        <v>0</v>
      </c>
      <c r="AQ656">
        <f>OR(AND(IF(Metadata!E656="",FALSE,TRUE),OR(exact(Metadata!E656,"not collected"),exact(Metadata!E656,"not provided"),exact(Metadata!E656,"restricted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R656">
        <f>IF(Metadata!F656="",FALSE,TRUE)</f>
        <v>0</v>
      </c>
      <c r="AS656">
        <f>OR(AND(IF(Metadata!G656="",FALSE,TRUE),OR(exact(Metadata!G656,"not collected"),exact(Metadata!G656,"not provided"))),AND(IF(Metadata!G656="",FALSE,TRUE),OR(exact(Metadata!G656,"TRUE"),exact(Metadata!G656,"FALSE"))))</f>
        <v>0</v>
      </c>
      <c r="AT656">
        <f>OR(AND(IF(Metadata!H656="",FALSE,TRUE),OR(exact(Metadata!H656,"not collected"),exact(Metadata!H656,"not provided"),exact(Metadata!H656,"restricted access"))),AND(IF(Metadata!H656="",FALSE,ISNUMBER(VALUE(Metadata!H656))),Metadata!H656&gt;=-413.0))</f>
        <v>0</v>
      </c>
      <c r="AU656">
        <f>AND(IF(Metadata!I656="",FALSE,TRUE),exact(Metadata!I656,"meters"))</f>
        <v>0</v>
      </c>
      <c r="AV656">
        <f>AND(IF(Metadata!J656="",FALSE,TRUE),OR(exact(Metadata!J656,"Host-associated"),exact(Metadata!J656,"Free-living")))</f>
        <v>0</v>
      </c>
      <c r="AW656">
        <f>AND(IF(Metadata!K656="",FALSE,TRUE),OR(exact(Metadata!K656,"Animal"),exact(Metadata!K656,"Fungus"),exact(Metadata!K656,"Plant"),exact(Metadata!K656,"Saline"),exact(Metadata!K656,"Non-saline")))</f>
        <v>0</v>
      </c>
      <c r="AX656">
        <f>AND(IF(Metadata!L656="",FALSE,TRUE),OR(exact(Metadata!L656,"Plant secretion"),exact(Metadata!L656,"Plant rhizosphere"),exact(Metadata!L656,"Plant surface"),exact(Metadata!L656,"Plant corpus"),exact(Metadata!L656,"Fungus surface"),exact(Metadata!L656,"Fungus corpus"),exact(Metadata!L656,"Animal surface"),exact(Metadata!L656,"Animal proximal gut"),exact(Metadata!L656,"Animal corpus"),exact(Metadata!L656,"Animal distal gut"),exact(Metadata!L656,"Animal secretion"),exact(Metadata!L656,"Sub-surface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Y656">
        <f>IF(Metadata!M656="",FALSE,TRUE)</f>
        <v>0</v>
      </c>
      <c r="AZ656">
        <f>IF(Metadata!N656="",FALSE,TRUE)</f>
        <v>0</v>
      </c>
      <c r="BA656">
        <f>IF(Metadata!O656="",FALSE,TRUE)</f>
        <v>0</v>
      </c>
      <c r="BB656">
        <f>OR(AND(IF(Metadata!P656="",FALSE,TRUE),OR(exact(Metadata!P656,"not collected"),exact(Metadata!P656,"not provided"),exact(Metadata!P656,"restricted access"))),AND(IF(Metadata!P656="",FALSE,TRUE),OR(exact(Metadata!P656,"air"),exact(Metadata!P656,"built environment"),exact(Metadata!P656,"host-associated"),exact(Metadata!P656,"human-associated"),exact(Metadata!P656,"human-skin"),exact(Metadata!P656,"human-oral"),exact(Metadata!P656,"human-gut"),exact(Metadata!P656,"human-vaginal"),exact(Metadata!P656,"microbial mat/biofilm"),exact(Metadata!P656,"misc environment"),exact(Metadata!P656,"plant-associated"),exact(Metadata!P656,"sediment"),exact(Metadata!P656,"soil"),exact(Metadata!P656,"wastewater/sludge"),exact(Metadata!P656,"water"))))</f>
        <v>0</v>
      </c>
      <c r="BC656">
        <f>IF(Metadata!Q656="",FALSE,TRUE)</f>
        <v>0</v>
      </c>
      <c r="BD656">
        <f>IF(Metadata!R656="",FALSE,TRUE)</f>
        <v>0</v>
      </c>
      <c r="BE656">
        <f>OR(AND(IF(Metadata!S656="",FALSE,TRUE),OR(exact(Metadata!S656,"not collected"),exact(Metadata!S656,"not provided"),exact(Metadata!S656,"restricted access"))),AND(IF(Metadata!S656="",FALSE,ISNUMBER(VALUE(Metadata!S656))),Metadata!S656&gt;=-90.00,Metadata!S656&lt;=90.00))</f>
        <v>0</v>
      </c>
      <c r="BF656">
        <f>AND(IF(Metadata!T656="",FALSE,TRUE),exact(Metadata!T656,"Decimal degrees"))</f>
        <v>0</v>
      </c>
      <c r="BG656">
        <f>OR(AND(IF(Metadata!U656="",FALSE,TRUE),OR(exact(Metadata!U656,"not collected"),exact(Metadata!U656,"not provided"),exact(Metadata!U656,"restricted access"))),AND(IF(Metadata!U656="",FALSE,ISNUMBER(VALUE(Metadata!U656))),Metadata!U656&gt;=-180.00,Metadata!U656&lt;=180.00))</f>
        <v>0</v>
      </c>
      <c r="BH656">
        <f>AND(IF(Metadata!V656="",FALSE,TRUE),exact(Metadata!V656,"Decimal degrees"))</f>
        <v>0</v>
      </c>
      <c r="BI656">
        <f>IF(Metadata!W656="",FALSE,TRUE)</f>
        <v>0</v>
      </c>
      <c r="BJ656">
        <f>OR(AND(IF(Metadata!X656="",FALSE,TRUE),OR(exact(Metadata!X656,"not collected"),exact(Metadata!X656,"not provided"),exact(Metadata!X656,"restricted access"))),AND(IF(Metadata!X656="",FALSE,TRUE),OR(exact(Metadata!X656,"TRUE"),exact(Metadata!X656,"FALSE"))))</f>
        <v>0</v>
      </c>
      <c r="BK656">
        <f>AND(IF(Metadata!Y656="",FALSE,TRUE),exact(Metadata!Y656,"other"))</f>
        <v>0</v>
      </c>
      <c r="BL656">
        <f>IF(Metadata!Z656="",FALSE,TRUE)</f>
        <v>0</v>
      </c>
      <c r="BM656">
        <f>OR(AND(IF(Metadata!AA656="",FALSE,TRUE),OR(exact(Metadata!AA656,"not collected"),exact(Metadata!AA656,"not provided"))),AND(IF(Metadata!AA656="",FALSE,IF(ISERROR(INT(Metadata!AA656)),FALSE,INT(Metadata!AA656)=Metadata!AA656)),Metadata!AA656&gt;0))</f>
        <v>0</v>
      </c>
      <c r="BN656">
        <f>AND(IF(Metadata!AB656="",FALSE,TRUE),exact(Metadata!AB656,"Not applicable"))</f>
        <v>0</v>
      </c>
      <c r="BO656">
        <f>IF(Metadata!AC656="",FALSE,TRUE)</f>
        <v>0</v>
      </c>
    </row>
    <row r="657" spans="1:67">
      <c r="A657" s="5">
        <f>IF(B657=" "," ",HYPERLINK(CONCATENATE("#metadata!",ADDRESS(INDEX($AI$2:$AI$1001,MATCH(ROWS($AG$2:AG657),$AG$2:$AG$1001,0),0),1)),INDEX($AL$2:$AL$1001,MATCH(ROWS($AG$2:AG657),$AG$2:$AG$1001,0),0)))</f>
        <v>0</v>
      </c>
      <c r="B657" s="4">
        <f>IF(OR(INDEX($AH$2:$AH$1001,MATCH(ROWS($AG$2:AG657),$AG$2:$AG$1001,0),1)&gt;=100000,INDEX($AN$1005:$BO$1005,1,MATCH(COLUMNS($AN$1006:AN1006),$AN$1006:$BO$1006,0))&gt;=100000), " ",IF(INDEX($AN$2:$BO$1001,MATCH(ROWS($AG$2:AG657),$AG$2:$AG$1001,0),MATCH(COLUMNS($AN$1006:AN1006),$AN$1006:$BO$1006,0)), HYPERLINK("#",""), HYPERLINK(CONCATENATE("#Metadata!", ADDRESS(INDEX($AI$2:$AI$1001,MATCH(ROWS($AG$2:AG657),$AG$2:$AG$1001,0),0), INDEX($AN$1004:$BO$1004,1,MATCH(COLUMNS($AN$1006:AN1006),$AN$1006:$BO$1006,0)))),"Fix")))</f>
        <v>0</v>
      </c>
      <c r="C657" s="4">
        <f>IF(OR(INDEX($AH$2:$AH$1001,MATCH(ROWS($AG$2:AG657),$AG$2:$AG$1001,0),1)&gt;=100000,INDEX($AN$1005:$BO$1005,1,MATCH(COLUMNS($AN$1006:AO1006),$AN$1006:$BO$1006,0))&gt;=100000), " ",IF(INDEX($AN$2:$BO$1001,MATCH(ROWS($AG$2:AG657),$AG$2:$AG$1001,0),MATCH(COLUMNS($AN$1006:AO1006),$AN$1006:$BO$1006,0)), HYPERLINK("#",""), HYPERLINK(CONCATENATE("#Metadata!", ADDRESS(INDEX($AI$2:$AI$1001,MATCH(ROWS($AG$2:AG657),$AG$2:$AG$1001,0),0), INDEX($AN$1004:$BO$1004,1,MATCH(COLUMNS($AN$1006:AO1006),$AN$1006:$BO$1006,0)))),"Fix")))</f>
        <v>0</v>
      </c>
      <c r="D657" s="4">
        <f>IF(OR(INDEX($AH$2:$AH$1001,MATCH(ROWS($AG$2:AG657),$AG$2:$AG$1001,0),1)&gt;=100000,INDEX($AN$1005:$BO$1005,1,MATCH(COLUMNS($AN$1006:AP1006),$AN$1006:$BO$1006,0))&gt;=100000), " ",IF(INDEX($AN$2:$BO$1001,MATCH(ROWS($AG$2:AG657),$AG$2:$AG$1001,0),MATCH(COLUMNS($AN$1006:AP1006),$AN$1006:$BO$1006,0)), HYPERLINK("#",""), HYPERLINK(CONCATENATE("#Metadata!", ADDRESS(INDEX($AI$2:$AI$1001,MATCH(ROWS($AG$2:AG657),$AG$2:$AG$1001,0),0), INDEX($AN$1004:$BO$1004,1,MATCH(COLUMNS($AN$1006:AP1006),$AN$1006:$BO$1006,0)))),"Fix")))</f>
        <v>0</v>
      </c>
      <c r="E657" s="4">
        <f>IF(OR(INDEX($AH$2:$AH$1001,MATCH(ROWS($AG$2:AG657),$AG$2:$AG$1001,0),1)&gt;=100000,INDEX($AN$1005:$BO$1005,1,MATCH(COLUMNS($AN$1006:AQ1006),$AN$1006:$BO$1006,0))&gt;=100000), " ",IF(INDEX($AN$2:$BO$1001,MATCH(ROWS($AG$2:AG657),$AG$2:$AG$1001,0),MATCH(COLUMNS($AN$1006:AQ1006),$AN$1006:$BO$1006,0)), HYPERLINK("#",""), HYPERLINK(CONCATENATE("#Metadata!", ADDRESS(INDEX($AI$2:$AI$1001,MATCH(ROWS($AG$2:AG657),$AG$2:$AG$1001,0),0), INDEX($AN$1004:$BO$1004,1,MATCH(COLUMNS($AN$1006:AQ1006),$AN$1006:$BO$1006,0)))),"Fix")))</f>
        <v>0</v>
      </c>
      <c r="F657" s="4">
        <f>IF(OR(INDEX($AH$2:$AH$1001,MATCH(ROWS($AG$2:AG657),$AG$2:$AG$1001,0),1)&gt;=100000,INDEX($AN$1005:$BO$1005,1,MATCH(COLUMNS($AN$1006:AR1006),$AN$1006:$BO$1006,0))&gt;=100000), " ",IF(INDEX($AN$2:$BO$1001,MATCH(ROWS($AG$2:AG657),$AG$2:$AG$1001,0),MATCH(COLUMNS($AN$1006:AR1006),$AN$1006:$BO$1006,0)), HYPERLINK("#",""), HYPERLINK(CONCATENATE("#Metadata!", ADDRESS(INDEX($AI$2:$AI$1001,MATCH(ROWS($AG$2:AG657),$AG$2:$AG$1001,0),0), INDEX($AN$1004:$BO$1004,1,MATCH(COLUMNS($AN$1006:AR1006),$AN$1006:$BO$1006,0)))),"Fix")))</f>
        <v>0</v>
      </c>
      <c r="G657" s="4">
        <f>IF(OR(INDEX($AH$2:$AH$1001,MATCH(ROWS($AG$2:AG657),$AG$2:$AG$1001,0),1)&gt;=100000,INDEX($AN$1005:$BO$1005,1,MATCH(COLUMNS($AN$1006:AS1006),$AN$1006:$BO$1006,0))&gt;=100000), " ",IF(INDEX($AN$2:$BO$1001,MATCH(ROWS($AG$2:AG657),$AG$2:$AG$1001,0),MATCH(COLUMNS($AN$1006:AS1006),$AN$1006:$BO$1006,0)), HYPERLINK("#",""), HYPERLINK(CONCATENATE("#Metadata!", ADDRESS(INDEX($AI$2:$AI$1001,MATCH(ROWS($AG$2:AG657),$AG$2:$AG$1001,0),0), INDEX($AN$1004:$BO$1004,1,MATCH(COLUMNS($AN$1006:AS1006),$AN$1006:$BO$1006,0)))),"Fix")))</f>
        <v>0</v>
      </c>
      <c r="H657" s="4">
        <f>IF(OR(INDEX($AH$2:$AH$1001,MATCH(ROWS($AG$2:AG657),$AG$2:$AG$1001,0),1)&gt;=100000,INDEX($AN$1005:$BO$1005,1,MATCH(COLUMNS($AN$1006:AT1006),$AN$1006:$BO$1006,0))&gt;=100000), " ",IF(INDEX($AN$2:$BO$1001,MATCH(ROWS($AG$2:AG657),$AG$2:$AG$1001,0),MATCH(COLUMNS($AN$1006:AT1006),$AN$1006:$BO$1006,0)), HYPERLINK("#",""), HYPERLINK(CONCATENATE("#Metadata!", ADDRESS(INDEX($AI$2:$AI$1001,MATCH(ROWS($AG$2:AG657),$AG$2:$AG$1001,0),0), INDEX($AN$1004:$BO$1004,1,MATCH(COLUMNS($AN$1006:AT1006),$AN$1006:$BO$1006,0)))),"Fix")))</f>
        <v>0</v>
      </c>
      <c r="I657" s="4">
        <f>IF(OR(INDEX($AH$2:$AH$1001,MATCH(ROWS($AG$2:AG657),$AG$2:$AG$1001,0),1)&gt;=100000,INDEX($AN$1005:$BO$1005,1,MATCH(COLUMNS($AN$1006:AU1006),$AN$1006:$BO$1006,0))&gt;=100000), " ",IF(INDEX($AN$2:$BO$1001,MATCH(ROWS($AG$2:AG657),$AG$2:$AG$1001,0),MATCH(COLUMNS($AN$1006:AU1006),$AN$1006:$BO$1006,0)), HYPERLINK("#",""), HYPERLINK(CONCATENATE("#Metadata!", ADDRESS(INDEX($AI$2:$AI$1001,MATCH(ROWS($AG$2:AG657),$AG$2:$AG$1001,0),0), INDEX($AN$1004:$BO$1004,1,MATCH(COLUMNS($AN$1006:AU1006),$AN$1006:$BO$1006,0)))),"Fix")))</f>
        <v>0</v>
      </c>
      <c r="J657" s="4">
        <f>IF(OR(INDEX($AH$2:$AH$1001,MATCH(ROWS($AG$2:AG657),$AG$2:$AG$1001,0),1)&gt;=100000,INDEX($AN$1005:$BO$1005,1,MATCH(COLUMNS($AN$1006:AV1006),$AN$1006:$BO$1006,0))&gt;=100000), " ",IF(INDEX($AN$2:$BO$1001,MATCH(ROWS($AG$2:AG657),$AG$2:$AG$1001,0),MATCH(COLUMNS($AN$1006:AV1006),$AN$1006:$BO$1006,0)), HYPERLINK("#",""), HYPERLINK(CONCATENATE("#Metadata!", ADDRESS(INDEX($AI$2:$AI$1001,MATCH(ROWS($AG$2:AG657),$AG$2:$AG$1001,0),0), INDEX($AN$1004:$BO$1004,1,MATCH(COLUMNS($AN$1006:AV1006),$AN$1006:$BO$1006,0)))),"Fix")))</f>
        <v>0</v>
      </c>
      <c r="K657" s="4">
        <f>IF(OR(INDEX($AH$2:$AH$1001,MATCH(ROWS($AG$2:AG657),$AG$2:$AG$1001,0),1)&gt;=100000,INDEX($AN$1005:$BO$1005,1,MATCH(COLUMNS($AN$1006:AW1006),$AN$1006:$BO$1006,0))&gt;=100000), " ",IF(INDEX($AN$2:$BO$1001,MATCH(ROWS($AG$2:AG657),$AG$2:$AG$1001,0),MATCH(COLUMNS($AN$1006:AW1006),$AN$1006:$BO$1006,0)), HYPERLINK("#",""), HYPERLINK(CONCATENATE("#Metadata!", ADDRESS(INDEX($AI$2:$AI$1001,MATCH(ROWS($AG$2:AG657),$AG$2:$AG$1001,0),0), INDEX($AN$1004:$BO$1004,1,MATCH(COLUMNS($AN$1006:AW1006),$AN$1006:$BO$1006,0)))),"Fix")))</f>
        <v>0</v>
      </c>
      <c r="L657" s="4">
        <f>IF(OR(INDEX($AH$2:$AH$1001,MATCH(ROWS($AG$2:AG657),$AG$2:$AG$1001,0),1)&gt;=100000,INDEX($AN$1005:$BO$1005,1,MATCH(COLUMNS($AN$1006:AX1006),$AN$1006:$BO$1006,0))&gt;=100000), " ",IF(INDEX($AN$2:$BO$1001,MATCH(ROWS($AG$2:AG657),$AG$2:$AG$1001,0),MATCH(COLUMNS($AN$1006:AX1006),$AN$1006:$BO$1006,0)), HYPERLINK("#",""), HYPERLINK(CONCATENATE("#Metadata!", ADDRESS(INDEX($AI$2:$AI$1001,MATCH(ROWS($AG$2:AG657),$AG$2:$AG$1001,0),0), INDEX($AN$1004:$BO$1004,1,MATCH(COLUMNS($AN$1006:AX1006),$AN$1006:$BO$1006,0)))),"Fix")))</f>
        <v>0</v>
      </c>
      <c r="M657" s="4">
        <f>IF(OR(INDEX($AH$2:$AH$1001,MATCH(ROWS($AG$2:AG657),$AG$2:$AG$1001,0),1)&gt;=100000,INDEX($AN$1005:$BO$1005,1,MATCH(COLUMNS($AN$1006:AY1006),$AN$1006:$BO$1006,0))&gt;=100000), " ",IF(INDEX($AN$2:$BO$1001,MATCH(ROWS($AG$2:AG657),$AG$2:$AG$1001,0),MATCH(COLUMNS($AN$1006:AY1006),$AN$1006:$BO$1006,0)), HYPERLINK("#",""), HYPERLINK(CONCATENATE("#Metadata!", ADDRESS(INDEX($AI$2:$AI$1001,MATCH(ROWS($AG$2:AG657),$AG$2:$AG$1001,0),0), INDEX($AN$1004:$BO$1004,1,MATCH(COLUMNS($AN$1006:AY1006),$AN$1006:$BO$1006,0)))),"Fix")))</f>
        <v>0</v>
      </c>
      <c r="N657" s="4">
        <f>IF(OR(INDEX($AH$2:$AH$1001,MATCH(ROWS($AG$2:AG657),$AG$2:$AG$1001,0),1)&gt;=100000,INDEX($AN$1005:$BO$1005,1,MATCH(COLUMNS($AN$1006:AZ1006),$AN$1006:$BO$1006,0))&gt;=100000), " ",IF(INDEX($AN$2:$BO$1001,MATCH(ROWS($AG$2:AG657),$AG$2:$AG$1001,0),MATCH(COLUMNS($AN$1006:AZ1006),$AN$1006:$BO$1006,0)), HYPERLINK("#",""), HYPERLINK(CONCATENATE("#Metadata!", ADDRESS(INDEX($AI$2:$AI$1001,MATCH(ROWS($AG$2:AG657),$AG$2:$AG$1001,0),0), INDEX($AN$1004:$BO$1004,1,MATCH(COLUMNS($AN$1006:AZ1006),$AN$1006:$BO$1006,0)))),"Fix")))</f>
        <v>0</v>
      </c>
      <c r="O657" s="4">
        <f>IF(OR(INDEX($AH$2:$AH$1001,MATCH(ROWS($AG$2:AG657),$AG$2:$AG$1001,0),1)&gt;=100000,INDEX($AN$1005:$BO$1005,1,MATCH(COLUMNS($AN$1006:BA1006),$AN$1006:$BO$1006,0))&gt;=100000), " ",IF(INDEX($AN$2:$BO$1001,MATCH(ROWS($AG$2:AG657),$AG$2:$AG$1001,0),MATCH(COLUMNS($AN$1006:BA1006),$AN$1006:$BO$1006,0)), HYPERLINK("#",""), HYPERLINK(CONCATENATE("#Metadata!", ADDRESS(INDEX($AI$2:$AI$1001,MATCH(ROWS($AG$2:AG657),$AG$2:$AG$1001,0),0), INDEX($AN$1004:$BO$1004,1,MATCH(COLUMNS($AN$1006:BA1006),$AN$1006:$BO$1006,0)))),"Fix")))</f>
        <v>0</v>
      </c>
      <c r="P657" s="4">
        <f>IF(OR(INDEX($AH$2:$AH$1001,MATCH(ROWS($AG$2:AG657),$AG$2:$AG$1001,0),1)&gt;=100000,INDEX($AN$1005:$BO$1005,1,MATCH(COLUMNS($AN$1006:BB1006),$AN$1006:$BO$1006,0))&gt;=100000), " ",IF(INDEX($AN$2:$BO$1001,MATCH(ROWS($AG$2:AG657),$AG$2:$AG$1001,0),MATCH(COLUMNS($AN$1006:BB1006),$AN$1006:$BO$1006,0)), HYPERLINK("#",""), HYPERLINK(CONCATENATE("#Metadata!", ADDRESS(INDEX($AI$2:$AI$1001,MATCH(ROWS($AG$2:AG657),$AG$2:$AG$1001,0),0), INDEX($AN$1004:$BO$1004,1,MATCH(COLUMNS($AN$1006:BB1006),$AN$1006:$BO$1006,0)))),"Fix")))</f>
        <v>0</v>
      </c>
      <c r="Q657" s="4">
        <f>IF(OR(INDEX($AH$2:$AH$1001,MATCH(ROWS($AG$2:AG657),$AG$2:$AG$1001,0),1)&gt;=100000,INDEX($AN$1005:$BO$1005,1,MATCH(COLUMNS($AN$1006:BC1006),$AN$1006:$BO$1006,0))&gt;=100000), " ",IF(INDEX($AN$2:$BO$1001,MATCH(ROWS($AG$2:AG657),$AG$2:$AG$1001,0),MATCH(COLUMNS($AN$1006:BC1006),$AN$1006:$BO$1006,0)), HYPERLINK("#",""), HYPERLINK(CONCATENATE("#Metadata!", ADDRESS(INDEX($AI$2:$AI$1001,MATCH(ROWS($AG$2:AG657),$AG$2:$AG$1001,0),0), INDEX($AN$1004:$BO$1004,1,MATCH(COLUMNS($AN$1006:BC1006),$AN$1006:$BO$1006,0)))),"Fix")))</f>
        <v>0</v>
      </c>
      <c r="R657" s="4">
        <f>IF(OR(INDEX($AH$2:$AH$1001,MATCH(ROWS($AG$2:AG657),$AG$2:$AG$1001,0),1)&gt;=100000,INDEX($AN$1005:$BO$1005,1,MATCH(COLUMNS($AN$1006:BD1006),$AN$1006:$BO$1006,0))&gt;=100000), " ",IF(INDEX($AN$2:$BO$1001,MATCH(ROWS($AG$2:AG657),$AG$2:$AG$1001,0),MATCH(COLUMNS($AN$1006:BD1006),$AN$1006:$BO$1006,0)), HYPERLINK("#",""), HYPERLINK(CONCATENATE("#Metadata!", ADDRESS(INDEX($AI$2:$AI$1001,MATCH(ROWS($AG$2:AG657),$AG$2:$AG$1001,0),0), INDEX($AN$1004:$BO$1004,1,MATCH(COLUMNS($AN$1006:BD1006),$AN$1006:$BO$1006,0)))),"Fix")))</f>
        <v>0</v>
      </c>
      <c r="S657" s="4">
        <f>IF(OR(INDEX($AH$2:$AH$1001,MATCH(ROWS($AG$2:AG657),$AG$2:$AG$1001,0),1)&gt;=100000,INDEX($AN$1005:$BO$1005,1,MATCH(COLUMNS($AN$1006:BE1006),$AN$1006:$BO$1006,0))&gt;=100000), " ",IF(INDEX($AN$2:$BO$1001,MATCH(ROWS($AG$2:AG657),$AG$2:$AG$1001,0),MATCH(COLUMNS($AN$1006:BE1006),$AN$1006:$BO$1006,0)), HYPERLINK("#",""), HYPERLINK(CONCATENATE("#Metadata!", ADDRESS(INDEX($AI$2:$AI$1001,MATCH(ROWS($AG$2:AG657),$AG$2:$AG$1001,0),0), INDEX($AN$1004:$BO$1004,1,MATCH(COLUMNS($AN$1006:BE1006),$AN$1006:$BO$1006,0)))),"Fix")))</f>
        <v>0</v>
      </c>
      <c r="T657" s="4">
        <f>IF(OR(INDEX($AH$2:$AH$1001,MATCH(ROWS($AG$2:AG657),$AG$2:$AG$1001,0),1)&gt;=100000,INDEX($AN$1005:$BO$1005,1,MATCH(COLUMNS($AN$1006:BF1006),$AN$1006:$BO$1006,0))&gt;=100000), " ",IF(INDEX($AN$2:$BO$1001,MATCH(ROWS($AG$2:AG657),$AG$2:$AG$1001,0),MATCH(COLUMNS($AN$1006:BF1006),$AN$1006:$BO$1006,0)), HYPERLINK("#",""), HYPERLINK(CONCATENATE("#Metadata!", ADDRESS(INDEX($AI$2:$AI$1001,MATCH(ROWS($AG$2:AG657),$AG$2:$AG$1001,0),0), INDEX($AN$1004:$BO$1004,1,MATCH(COLUMNS($AN$1006:BF1006),$AN$1006:$BO$1006,0)))),"Fix")))</f>
        <v>0</v>
      </c>
      <c r="U657" s="4">
        <f>IF(OR(INDEX($AH$2:$AH$1001,MATCH(ROWS($AG$2:AG657),$AG$2:$AG$1001,0),1)&gt;=100000,INDEX($AN$1005:$BO$1005,1,MATCH(COLUMNS($AN$1006:BG1006),$AN$1006:$BO$1006,0))&gt;=100000), " ",IF(INDEX($AN$2:$BO$1001,MATCH(ROWS($AG$2:AG657),$AG$2:$AG$1001,0),MATCH(COLUMNS($AN$1006:BG1006),$AN$1006:$BO$1006,0)), HYPERLINK("#",""), HYPERLINK(CONCATENATE("#Metadata!", ADDRESS(INDEX($AI$2:$AI$1001,MATCH(ROWS($AG$2:AG657),$AG$2:$AG$1001,0),0), INDEX($AN$1004:$BO$1004,1,MATCH(COLUMNS($AN$1006:BG1006),$AN$1006:$BO$1006,0)))),"Fix")))</f>
        <v>0</v>
      </c>
      <c r="V657" s="4">
        <f>IF(OR(INDEX($AH$2:$AH$1001,MATCH(ROWS($AG$2:AG657),$AG$2:$AG$1001,0),1)&gt;=100000,INDEX($AN$1005:$BO$1005,1,MATCH(COLUMNS($AN$1006:BH1006),$AN$1006:$BO$1006,0))&gt;=100000), " ",IF(INDEX($AN$2:$BO$1001,MATCH(ROWS($AG$2:AG657),$AG$2:$AG$1001,0),MATCH(COLUMNS($AN$1006:BH1006),$AN$1006:$BO$1006,0)), HYPERLINK("#",""), HYPERLINK(CONCATENATE("#Metadata!", ADDRESS(INDEX($AI$2:$AI$1001,MATCH(ROWS($AG$2:AG657),$AG$2:$AG$1001,0),0), INDEX($AN$1004:$BO$1004,1,MATCH(COLUMNS($AN$1006:BH1006),$AN$1006:$BO$1006,0)))),"Fix")))</f>
        <v>0</v>
      </c>
      <c r="W657" s="4">
        <f>IF(OR(INDEX($AH$2:$AH$1001,MATCH(ROWS($AG$2:AG657),$AG$2:$AG$1001,0),1)&gt;=100000,INDEX($AN$1005:$BO$1005,1,MATCH(COLUMNS($AN$1006:BI1006),$AN$1006:$BO$1006,0))&gt;=100000), " ",IF(INDEX($AN$2:$BO$1001,MATCH(ROWS($AG$2:AG657),$AG$2:$AG$1001,0),MATCH(COLUMNS($AN$1006:BI1006),$AN$1006:$BO$1006,0)), HYPERLINK("#",""), HYPERLINK(CONCATENATE("#Metadata!", ADDRESS(INDEX($AI$2:$AI$1001,MATCH(ROWS($AG$2:AG657),$AG$2:$AG$1001,0),0), INDEX($AN$1004:$BO$1004,1,MATCH(COLUMNS($AN$1006:BI1006),$AN$1006:$BO$1006,0)))),"Fix")))</f>
        <v>0</v>
      </c>
      <c r="X657" s="4">
        <f>IF(OR(INDEX($AH$2:$AH$1001,MATCH(ROWS($AG$2:AG657),$AG$2:$AG$1001,0),1)&gt;=100000,INDEX($AN$1005:$BO$1005,1,MATCH(COLUMNS($AN$1006:BJ1006),$AN$1006:$BO$1006,0))&gt;=100000), " ",IF(INDEX($AN$2:$BO$1001,MATCH(ROWS($AG$2:AG657),$AG$2:$AG$1001,0),MATCH(COLUMNS($AN$1006:BJ1006),$AN$1006:$BO$1006,0)), HYPERLINK("#",""), HYPERLINK(CONCATENATE("#Metadata!", ADDRESS(INDEX($AI$2:$AI$1001,MATCH(ROWS($AG$2:AG657),$AG$2:$AG$1001,0),0), INDEX($AN$1004:$BO$1004,1,MATCH(COLUMNS($AN$1006:BJ1006),$AN$1006:$BO$1006,0)))),"Fix")))</f>
        <v>0</v>
      </c>
      <c r="Y657" s="4">
        <f>IF(OR(INDEX($AH$2:$AH$1001,MATCH(ROWS($AG$2:AG657),$AG$2:$AG$1001,0),1)&gt;=100000,INDEX($AN$1005:$BO$1005,1,MATCH(COLUMNS($AN$1006:BK1006),$AN$1006:$BO$1006,0))&gt;=100000), " ",IF(INDEX($AN$2:$BO$1001,MATCH(ROWS($AG$2:AG657),$AG$2:$AG$1001,0),MATCH(COLUMNS($AN$1006:BK1006),$AN$1006:$BO$1006,0)), HYPERLINK("#",""), HYPERLINK(CONCATENATE("#Metadata!", ADDRESS(INDEX($AI$2:$AI$1001,MATCH(ROWS($AG$2:AG657),$AG$2:$AG$1001,0),0), INDEX($AN$1004:$BO$1004,1,MATCH(COLUMNS($AN$1006:BK1006),$AN$1006:$BO$1006,0)))),"Fix")))</f>
        <v>0</v>
      </c>
      <c r="Z657" s="4">
        <f>IF(OR(INDEX($AH$2:$AH$1001,MATCH(ROWS($AG$2:AG657),$AG$2:$AG$1001,0),1)&gt;=100000,INDEX($AN$1005:$BO$1005,1,MATCH(COLUMNS($AN$1006:BL1006),$AN$1006:$BO$1006,0))&gt;=100000), " ",IF(INDEX($AN$2:$BO$1001,MATCH(ROWS($AG$2:AG657),$AG$2:$AG$1001,0),MATCH(COLUMNS($AN$1006:BL1006),$AN$1006:$BO$1006,0)), HYPERLINK("#",""), HYPERLINK(CONCATENATE("#Metadata!", ADDRESS(INDEX($AI$2:$AI$1001,MATCH(ROWS($AG$2:AG657),$AG$2:$AG$1001,0),0), INDEX($AN$1004:$BO$1004,1,MATCH(COLUMNS($AN$1006:BL1006),$AN$1006:$BO$1006,0)))),"Fix")))</f>
        <v>0</v>
      </c>
      <c r="AA657" s="4">
        <f>IF(OR(INDEX($AH$2:$AH$1001,MATCH(ROWS($AG$2:AG657),$AG$2:$AG$1001,0),1)&gt;=100000,INDEX($AN$1005:$BO$1005,1,MATCH(COLUMNS($AN$1006:BM1006),$AN$1006:$BO$1006,0))&gt;=100000), " ",IF(INDEX($AN$2:$BO$1001,MATCH(ROWS($AG$2:AG657),$AG$2:$AG$1001,0),MATCH(COLUMNS($AN$1006:BM1006),$AN$1006:$BO$1006,0)), HYPERLINK("#",""), HYPERLINK(CONCATENATE("#Metadata!", ADDRESS(INDEX($AI$2:$AI$1001,MATCH(ROWS($AG$2:AG657),$AG$2:$AG$1001,0),0), INDEX($AN$1004:$BO$1004,1,MATCH(COLUMNS($AN$1006:BM1006),$AN$1006:$BO$1006,0)))),"Fix")))</f>
        <v>0</v>
      </c>
      <c r="AB657" s="4">
        <f>IF(OR(INDEX($AH$2:$AH$1001,MATCH(ROWS($AG$2:AG657),$AG$2:$AG$1001,0),1)&gt;=100000,INDEX($AN$1005:$BO$1005,1,MATCH(COLUMNS($AN$1006:BN1006),$AN$1006:$BO$1006,0))&gt;=100000), " ",IF(INDEX($AN$2:$BO$1001,MATCH(ROWS($AG$2:AG657),$AG$2:$AG$1001,0),MATCH(COLUMNS($AN$1006:BN1006),$AN$1006:$BO$1006,0)), HYPERLINK("#",""), HYPERLINK(CONCATENATE("#Metadata!", ADDRESS(INDEX($AI$2:$AI$1001,MATCH(ROWS($AG$2:AG657),$AG$2:$AG$1001,0),0), INDEX($AN$1004:$BO$1004,1,MATCH(COLUMNS($AN$1006:BN1006),$AN$1006:$BO$1006,0)))),"Fix")))</f>
        <v>0</v>
      </c>
      <c r="AC657" s="4">
        <f>IF(OR(INDEX($AH$2:$AH$1001,MATCH(ROWS($AG$2:AG657),$AG$2:$AG$1001,0),1)&gt;=100000,INDEX($AN$1005:$BO$1005,1,MATCH(COLUMNS($AN$1006:BO1006),$AN$1006:$BO$1006,0))&gt;=100000), " ",IF(INDEX($AN$2:$BO$1001,MATCH(ROWS($AG$2:AG657),$AG$2:$AG$1001,0),MATCH(COLUMNS($AN$1006:BO1006),$AN$1006:$BO$1006,0)), HYPERLINK("#",""), HYPERLINK(CONCATENATE("#Metadata!", ADDRESS(INDEX($AI$2:$AI$1001,MATCH(ROWS($AG$2:AG657),$AG$2:$AG$1001,0),0), INDEX($AN$1004:$BO$1004,1,MATCH(COLUMNS($AN$1006:BO1006),$AN$1006:$BO$1006,0)))),"Fix")))</f>
        <v>0</v>
      </c>
      <c r="AG657">
        <v>0</v>
      </c>
      <c r="AH657">
        <v>0</v>
      </c>
      <c r="AI657">
        <v>0</v>
      </c>
      <c r="AJ657">
        <f>IF(AK657,TRUE,AND(AN657:BO657))</f>
        <v>0</v>
      </c>
      <c r="AK657">
        <f>COUNTBLANK(Metadata!B657:AC657)=COLUMNS(Metadata!B657:AC657)</f>
        <v>0</v>
      </c>
      <c r="AL657">
        <v>0</v>
      </c>
      <c r="AN657">
        <f>AND(IF(Metadata!B657="",FALSE,TRUE),COUNTIF(Metadata!B:B, Metadata!B657) = 1,NOT(ISERROR(SUMPRODUCT(SEARCH(MID(Metadata!B657,ROW(INDIRECT("1:"&amp;LEN(Metadata!B657))), 1),"0123456789abcdefghijklmnopqrstuvwxyzABCDEFGHIJKLMNOPQRSTUVWXYZ.")))))</f>
        <v>0</v>
      </c>
      <c r="AO657">
        <f>IF(Metadata!C657="",FALSE,TRUE)</f>
        <v>0</v>
      </c>
      <c r="AP657">
        <f>IF(Metadata!D657="",FALSE,TRUE)</f>
        <v>0</v>
      </c>
      <c r="AQ657">
        <f>OR(AND(IF(Metadata!E657="",FALSE,TRUE),OR(exact(Metadata!E657,"not collected"),exact(Metadata!E657,"not provided"),exact(Metadata!E657,"restricted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R657">
        <f>IF(Metadata!F657="",FALSE,TRUE)</f>
        <v>0</v>
      </c>
      <c r="AS657">
        <f>OR(AND(IF(Metadata!G657="",FALSE,TRUE),OR(exact(Metadata!G657,"not collected"),exact(Metadata!G657,"not provided"))),AND(IF(Metadata!G657="",FALSE,TRUE),OR(exact(Metadata!G657,"TRUE"),exact(Metadata!G657,"FALSE"))))</f>
        <v>0</v>
      </c>
      <c r="AT657">
        <f>OR(AND(IF(Metadata!H657="",FALSE,TRUE),OR(exact(Metadata!H657,"not collected"),exact(Metadata!H657,"not provided"),exact(Metadata!H657,"restricted access"))),AND(IF(Metadata!H657="",FALSE,ISNUMBER(VALUE(Metadata!H657))),Metadata!H657&gt;=-413.0))</f>
        <v>0</v>
      </c>
      <c r="AU657">
        <f>AND(IF(Metadata!I657="",FALSE,TRUE),exact(Metadata!I657,"meters"))</f>
        <v>0</v>
      </c>
      <c r="AV657">
        <f>AND(IF(Metadata!J657="",FALSE,TRUE),OR(exact(Metadata!J657,"Host-associated"),exact(Metadata!J657,"Free-living")))</f>
        <v>0</v>
      </c>
      <c r="AW657">
        <f>AND(IF(Metadata!K657="",FALSE,TRUE),OR(exact(Metadata!K657,"Animal"),exact(Metadata!K657,"Fungus"),exact(Metadata!K657,"Plant"),exact(Metadata!K657,"Saline"),exact(Metadata!K657,"Non-saline")))</f>
        <v>0</v>
      </c>
      <c r="AX657">
        <f>AND(IF(Metadata!L657="",FALSE,TRUE),OR(exact(Metadata!L657,"Plant secretion"),exact(Metadata!L657,"Plant rhizosphere"),exact(Metadata!L657,"Plant surface"),exact(Metadata!L657,"Plant corpus"),exact(Metadata!L657,"Fungus surface"),exact(Metadata!L657,"Fungus corpus"),exact(Metadata!L657,"Animal surface"),exact(Metadata!L657,"Animal proximal gut"),exact(Metadata!L657,"Animal corpus"),exact(Metadata!L657,"Animal distal gut"),exact(Metadata!L657,"Animal secretion"),exact(Metadata!L657,"Sub-surface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Y657">
        <f>IF(Metadata!M657="",FALSE,TRUE)</f>
        <v>0</v>
      </c>
      <c r="AZ657">
        <f>IF(Metadata!N657="",FALSE,TRUE)</f>
        <v>0</v>
      </c>
      <c r="BA657">
        <f>IF(Metadata!O657="",FALSE,TRUE)</f>
        <v>0</v>
      </c>
      <c r="BB657">
        <f>OR(AND(IF(Metadata!P657="",FALSE,TRUE),OR(exact(Metadata!P657,"not collected"),exact(Metadata!P657,"not provided"),exact(Metadata!P657,"restricted access"))),AND(IF(Metadata!P657="",FALSE,TRUE),OR(exact(Metadata!P657,"air"),exact(Metadata!P657,"built environment"),exact(Metadata!P657,"host-associated"),exact(Metadata!P657,"human-associated"),exact(Metadata!P657,"human-skin"),exact(Metadata!P657,"human-oral"),exact(Metadata!P657,"human-gut"),exact(Metadata!P657,"human-vaginal"),exact(Metadata!P657,"microbial mat/biofilm"),exact(Metadata!P657,"misc environment"),exact(Metadata!P657,"plant-associated"),exact(Metadata!P657,"sediment"),exact(Metadata!P657,"soil"),exact(Metadata!P657,"wastewater/sludge"),exact(Metadata!P657,"water"))))</f>
        <v>0</v>
      </c>
      <c r="BC657">
        <f>IF(Metadata!Q657="",FALSE,TRUE)</f>
        <v>0</v>
      </c>
      <c r="BD657">
        <f>IF(Metadata!R657="",FALSE,TRUE)</f>
        <v>0</v>
      </c>
      <c r="BE657">
        <f>OR(AND(IF(Metadata!S657="",FALSE,TRUE),OR(exact(Metadata!S657,"not collected"),exact(Metadata!S657,"not provided"),exact(Metadata!S657,"restricted access"))),AND(IF(Metadata!S657="",FALSE,ISNUMBER(VALUE(Metadata!S657))),Metadata!S657&gt;=-90.00,Metadata!S657&lt;=90.00))</f>
        <v>0</v>
      </c>
      <c r="BF657">
        <f>AND(IF(Metadata!T657="",FALSE,TRUE),exact(Metadata!T657,"Decimal degrees"))</f>
        <v>0</v>
      </c>
      <c r="BG657">
        <f>OR(AND(IF(Metadata!U657="",FALSE,TRUE),OR(exact(Metadata!U657,"not collected"),exact(Metadata!U657,"not provided"),exact(Metadata!U657,"restricted access"))),AND(IF(Metadata!U657="",FALSE,ISNUMBER(VALUE(Metadata!U657))),Metadata!U657&gt;=-180.00,Metadata!U657&lt;=180.00))</f>
        <v>0</v>
      </c>
      <c r="BH657">
        <f>AND(IF(Metadata!V657="",FALSE,TRUE),exact(Metadata!V657,"Decimal degrees"))</f>
        <v>0</v>
      </c>
      <c r="BI657">
        <f>IF(Metadata!W657="",FALSE,TRUE)</f>
        <v>0</v>
      </c>
      <c r="BJ657">
        <f>OR(AND(IF(Metadata!X657="",FALSE,TRUE),OR(exact(Metadata!X657,"not collected"),exact(Metadata!X657,"not provided"),exact(Metadata!X657,"restricted access"))),AND(IF(Metadata!X657="",FALSE,TRUE),OR(exact(Metadata!X657,"TRUE"),exact(Metadata!X657,"FALSE"))))</f>
        <v>0</v>
      </c>
      <c r="BK657">
        <f>AND(IF(Metadata!Y657="",FALSE,TRUE),exact(Metadata!Y657,"other"))</f>
        <v>0</v>
      </c>
      <c r="BL657">
        <f>IF(Metadata!Z657="",FALSE,TRUE)</f>
        <v>0</v>
      </c>
      <c r="BM657">
        <f>OR(AND(IF(Metadata!AA657="",FALSE,TRUE),OR(exact(Metadata!AA657,"not collected"),exact(Metadata!AA657,"not provided"))),AND(IF(Metadata!AA657="",FALSE,IF(ISERROR(INT(Metadata!AA657)),FALSE,INT(Metadata!AA657)=Metadata!AA657)),Metadata!AA657&gt;0))</f>
        <v>0</v>
      </c>
      <c r="BN657">
        <f>AND(IF(Metadata!AB657="",FALSE,TRUE),exact(Metadata!AB657,"Not applicable"))</f>
        <v>0</v>
      </c>
      <c r="BO657">
        <f>IF(Metadata!AC657="",FALSE,TRUE)</f>
        <v>0</v>
      </c>
    </row>
    <row r="658" spans="1:67">
      <c r="A658" s="5">
        <f>IF(B658=" "," ",HYPERLINK(CONCATENATE("#metadata!",ADDRESS(INDEX($AI$2:$AI$1001,MATCH(ROWS($AG$2:AG658),$AG$2:$AG$1001,0),0),1)),INDEX($AL$2:$AL$1001,MATCH(ROWS($AG$2:AG658),$AG$2:$AG$1001,0),0)))</f>
        <v>0</v>
      </c>
      <c r="B658" s="4">
        <f>IF(OR(INDEX($AH$2:$AH$1001,MATCH(ROWS($AG$2:AG658),$AG$2:$AG$1001,0),1)&gt;=100000,INDEX($AN$1005:$BO$1005,1,MATCH(COLUMNS($AN$1006:AN1006),$AN$1006:$BO$1006,0))&gt;=100000), " ",IF(INDEX($AN$2:$BO$1001,MATCH(ROWS($AG$2:AG658),$AG$2:$AG$1001,0),MATCH(COLUMNS($AN$1006:AN1006),$AN$1006:$BO$1006,0)), HYPERLINK("#",""), HYPERLINK(CONCATENATE("#Metadata!", ADDRESS(INDEX($AI$2:$AI$1001,MATCH(ROWS($AG$2:AG658),$AG$2:$AG$1001,0),0), INDEX($AN$1004:$BO$1004,1,MATCH(COLUMNS($AN$1006:AN1006),$AN$1006:$BO$1006,0)))),"Fix")))</f>
        <v>0</v>
      </c>
      <c r="C658" s="4">
        <f>IF(OR(INDEX($AH$2:$AH$1001,MATCH(ROWS($AG$2:AG658),$AG$2:$AG$1001,0),1)&gt;=100000,INDEX($AN$1005:$BO$1005,1,MATCH(COLUMNS($AN$1006:AO1006),$AN$1006:$BO$1006,0))&gt;=100000), " ",IF(INDEX($AN$2:$BO$1001,MATCH(ROWS($AG$2:AG658),$AG$2:$AG$1001,0),MATCH(COLUMNS($AN$1006:AO1006),$AN$1006:$BO$1006,0)), HYPERLINK("#",""), HYPERLINK(CONCATENATE("#Metadata!", ADDRESS(INDEX($AI$2:$AI$1001,MATCH(ROWS($AG$2:AG658),$AG$2:$AG$1001,0),0), INDEX($AN$1004:$BO$1004,1,MATCH(COLUMNS($AN$1006:AO1006),$AN$1006:$BO$1006,0)))),"Fix")))</f>
        <v>0</v>
      </c>
      <c r="D658" s="4">
        <f>IF(OR(INDEX($AH$2:$AH$1001,MATCH(ROWS($AG$2:AG658),$AG$2:$AG$1001,0),1)&gt;=100000,INDEX($AN$1005:$BO$1005,1,MATCH(COLUMNS($AN$1006:AP1006),$AN$1006:$BO$1006,0))&gt;=100000), " ",IF(INDEX($AN$2:$BO$1001,MATCH(ROWS($AG$2:AG658),$AG$2:$AG$1001,0),MATCH(COLUMNS($AN$1006:AP1006),$AN$1006:$BO$1006,0)), HYPERLINK("#",""), HYPERLINK(CONCATENATE("#Metadata!", ADDRESS(INDEX($AI$2:$AI$1001,MATCH(ROWS($AG$2:AG658),$AG$2:$AG$1001,0),0), INDEX($AN$1004:$BO$1004,1,MATCH(COLUMNS($AN$1006:AP1006),$AN$1006:$BO$1006,0)))),"Fix")))</f>
        <v>0</v>
      </c>
      <c r="E658" s="4">
        <f>IF(OR(INDEX($AH$2:$AH$1001,MATCH(ROWS($AG$2:AG658),$AG$2:$AG$1001,0),1)&gt;=100000,INDEX($AN$1005:$BO$1005,1,MATCH(COLUMNS($AN$1006:AQ1006),$AN$1006:$BO$1006,0))&gt;=100000), " ",IF(INDEX($AN$2:$BO$1001,MATCH(ROWS($AG$2:AG658),$AG$2:$AG$1001,0),MATCH(COLUMNS($AN$1006:AQ1006),$AN$1006:$BO$1006,0)), HYPERLINK("#",""), HYPERLINK(CONCATENATE("#Metadata!", ADDRESS(INDEX($AI$2:$AI$1001,MATCH(ROWS($AG$2:AG658),$AG$2:$AG$1001,0),0), INDEX($AN$1004:$BO$1004,1,MATCH(COLUMNS($AN$1006:AQ1006),$AN$1006:$BO$1006,0)))),"Fix")))</f>
        <v>0</v>
      </c>
      <c r="F658" s="4">
        <f>IF(OR(INDEX($AH$2:$AH$1001,MATCH(ROWS($AG$2:AG658),$AG$2:$AG$1001,0),1)&gt;=100000,INDEX($AN$1005:$BO$1005,1,MATCH(COLUMNS($AN$1006:AR1006),$AN$1006:$BO$1006,0))&gt;=100000), " ",IF(INDEX($AN$2:$BO$1001,MATCH(ROWS($AG$2:AG658),$AG$2:$AG$1001,0),MATCH(COLUMNS($AN$1006:AR1006),$AN$1006:$BO$1006,0)), HYPERLINK("#",""), HYPERLINK(CONCATENATE("#Metadata!", ADDRESS(INDEX($AI$2:$AI$1001,MATCH(ROWS($AG$2:AG658),$AG$2:$AG$1001,0),0), INDEX($AN$1004:$BO$1004,1,MATCH(COLUMNS($AN$1006:AR1006),$AN$1006:$BO$1006,0)))),"Fix")))</f>
        <v>0</v>
      </c>
      <c r="G658" s="4">
        <f>IF(OR(INDEX($AH$2:$AH$1001,MATCH(ROWS($AG$2:AG658),$AG$2:$AG$1001,0),1)&gt;=100000,INDEX($AN$1005:$BO$1005,1,MATCH(COLUMNS($AN$1006:AS1006),$AN$1006:$BO$1006,0))&gt;=100000), " ",IF(INDEX($AN$2:$BO$1001,MATCH(ROWS($AG$2:AG658),$AG$2:$AG$1001,0),MATCH(COLUMNS($AN$1006:AS1006),$AN$1006:$BO$1006,0)), HYPERLINK("#",""), HYPERLINK(CONCATENATE("#Metadata!", ADDRESS(INDEX($AI$2:$AI$1001,MATCH(ROWS($AG$2:AG658),$AG$2:$AG$1001,0),0), INDEX($AN$1004:$BO$1004,1,MATCH(COLUMNS($AN$1006:AS1006),$AN$1006:$BO$1006,0)))),"Fix")))</f>
        <v>0</v>
      </c>
      <c r="H658" s="4">
        <f>IF(OR(INDEX($AH$2:$AH$1001,MATCH(ROWS($AG$2:AG658),$AG$2:$AG$1001,0),1)&gt;=100000,INDEX($AN$1005:$BO$1005,1,MATCH(COLUMNS($AN$1006:AT1006),$AN$1006:$BO$1006,0))&gt;=100000), " ",IF(INDEX($AN$2:$BO$1001,MATCH(ROWS($AG$2:AG658),$AG$2:$AG$1001,0),MATCH(COLUMNS($AN$1006:AT1006),$AN$1006:$BO$1006,0)), HYPERLINK("#",""), HYPERLINK(CONCATENATE("#Metadata!", ADDRESS(INDEX($AI$2:$AI$1001,MATCH(ROWS($AG$2:AG658),$AG$2:$AG$1001,0),0), INDEX($AN$1004:$BO$1004,1,MATCH(COLUMNS($AN$1006:AT1006),$AN$1006:$BO$1006,0)))),"Fix")))</f>
        <v>0</v>
      </c>
      <c r="I658" s="4">
        <f>IF(OR(INDEX($AH$2:$AH$1001,MATCH(ROWS($AG$2:AG658),$AG$2:$AG$1001,0),1)&gt;=100000,INDEX($AN$1005:$BO$1005,1,MATCH(COLUMNS($AN$1006:AU1006),$AN$1006:$BO$1006,0))&gt;=100000), " ",IF(INDEX($AN$2:$BO$1001,MATCH(ROWS($AG$2:AG658),$AG$2:$AG$1001,0),MATCH(COLUMNS($AN$1006:AU1006),$AN$1006:$BO$1006,0)), HYPERLINK("#",""), HYPERLINK(CONCATENATE("#Metadata!", ADDRESS(INDEX($AI$2:$AI$1001,MATCH(ROWS($AG$2:AG658),$AG$2:$AG$1001,0),0), INDEX($AN$1004:$BO$1004,1,MATCH(COLUMNS($AN$1006:AU1006),$AN$1006:$BO$1006,0)))),"Fix")))</f>
        <v>0</v>
      </c>
      <c r="J658" s="4">
        <f>IF(OR(INDEX($AH$2:$AH$1001,MATCH(ROWS($AG$2:AG658),$AG$2:$AG$1001,0),1)&gt;=100000,INDEX($AN$1005:$BO$1005,1,MATCH(COLUMNS($AN$1006:AV1006),$AN$1006:$BO$1006,0))&gt;=100000), " ",IF(INDEX($AN$2:$BO$1001,MATCH(ROWS($AG$2:AG658),$AG$2:$AG$1001,0),MATCH(COLUMNS($AN$1006:AV1006),$AN$1006:$BO$1006,0)), HYPERLINK("#",""), HYPERLINK(CONCATENATE("#Metadata!", ADDRESS(INDEX($AI$2:$AI$1001,MATCH(ROWS($AG$2:AG658),$AG$2:$AG$1001,0),0), INDEX($AN$1004:$BO$1004,1,MATCH(COLUMNS($AN$1006:AV1006),$AN$1006:$BO$1006,0)))),"Fix")))</f>
        <v>0</v>
      </c>
      <c r="K658" s="4">
        <f>IF(OR(INDEX($AH$2:$AH$1001,MATCH(ROWS($AG$2:AG658),$AG$2:$AG$1001,0),1)&gt;=100000,INDEX($AN$1005:$BO$1005,1,MATCH(COLUMNS($AN$1006:AW1006),$AN$1006:$BO$1006,0))&gt;=100000), " ",IF(INDEX($AN$2:$BO$1001,MATCH(ROWS($AG$2:AG658),$AG$2:$AG$1001,0),MATCH(COLUMNS($AN$1006:AW1006),$AN$1006:$BO$1006,0)), HYPERLINK("#",""), HYPERLINK(CONCATENATE("#Metadata!", ADDRESS(INDEX($AI$2:$AI$1001,MATCH(ROWS($AG$2:AG658),$AG$2:$AG$1001,0),0), INDEX($AN$1004:$BO$1004,1,MATCH(COLUMNS($AN$1006:AW1006),$AN$1006:$BO$1006,0)))),"Fix")))</f>
        <v>0</v>
      </c>
      <c r="L658" s="4">
        <f>IF(OR(INDEX($AH$2:$AH$1001,MATCH(ROWS($AG$2:AG658),$AG$2:$AG$1001,0),1)&gt;=100000,INDEX($AN$1005:$BO$1005,1,MATCH(COLUMNS($AN$1006:AX1006),$AN$1006:$BO$1006,0))&gt;=100000), " ",IF(INDEX($AN$2:$BO$1001,MATCH(ROWS($AG$2:AG658),$AG$2:$AG$1001,0),MATCH(COLUMNS($AN$1006:AX1006),$AN$1006:$BO$1006,0)), HYPERLINK("#",""), HYPERLINK(CONCATENATE("#Metadata!", ADDRESS(INDEX($AI$2:$AI$1001,MATCH(ROWS($AG$2:AG658),$AG$2:$AG$1001,0),0), INDEX($AN$1004:$BO$1004,1,MATCH(COLUMNS($AN$1006:AX1006),$AN$1006:$BO$1006,0)))),"Fix")))</f>
        <v>0</v>
      </c>
      <c r="M658" s="4">
        <f>IF(OR(INDEX($AH$2:$AH$1001,MATCH(ROWS($AG$2:AG658),$AG$2:$AG$1001,0),1)&gt;=100000,INDEX($AN$1005:$BO$1005,1,MATCH(COLUMNS($AN$1006:AY1006),$AN$1006:$BO$1006,0))&gt;=100000), " ",IF(INDEX($AN$2:$BO$1001,MATCH(ROWS($AG$2:AG658),$AG$2:$AG$1001,0),MATCH(COLUMNS($AN$1006:AY1006),$AN$1006:$BO$1006,0)), HYPERLINK("#",""), HYPERLINK(CONCATENATE("#Metadata!", ADDRESS(INDEX($AI$2:$AI$1001,MATCH(ROWS($AG$2:AG658),$AG$2:$AG$1001,0),0), INDEX($AN$1004:$BO$1004,1,MATCH(COLUMNS($AN$1006:AY1006),$AN$1006:$BO$1006,0)))),"Fix")))</f>
        <v>0</v>
      </c>
      <c r="N658" s="4">
        <f>IF(OR(INDEX($AH$2:$AH$1001,MATCH(ROWS($AG$2:AG658),$AG$2:$AG$1001,0),1)&gt;=100000,INDEX($AN$1005:$BO$1005,1,MATCH(COLUMNS($AN$1006:AZ1006),$AN$1006:$BO$1006,0))&gt;=100000), " ",IF(INDEX($AN$2:$BO$1001,MATCH(ROWS($AG$2:AG658),$AG$2:$AG$1001,0),MATCH(COLUMNS($AN$1006:AZ1006),$AN$1006:$BO$1006,0)), HYPERLINK("#",""), HYPERLINK(CONCATENATE("#Metadata!", ADDRESS(INDEX($AI$2:$AI$1001,MATCH(ROWS($AG$2:AG658),$AG$2:$AG$1001,0),0), INDEX($AN$1004:$BO$1004,1,MATCH(COLUMNS($AN$1006:AZ1006),$AN$1006:$BO$1006,0)))),"Fix")))</f>
        <v>0</v>
      </c>
      <c r="O658" s="4">
        <f>IF(OR(INDEX($AH$2:$AH$1001,MATCH(ROWS($AG$2:AG658),$AG$2:$AG$1001,0),1)&gt;=100000,INDEX($AN$1005:$BO$1005,1,MATCH(COLUMNS($AN$1006:BA1006),$AN$1006:$BO$1006,0))&gt;=100000), " ",IF(INDEX($AN$2:$BO$1001,MATCH(ROWS($AG$2:AG658),$AG$2:$AG$1001,0),MATCH(COLUMNS($AN$1006:BA1006),$AN$1006:$BO$1006,0)), HYPERLINK("#",""), HYPERLINK(CONCATENATE("#Metadata!", ADDRESS(INDEX($AI$2:$AI$1001,MATCH(ROWS($AG$2:AG658),$AG$2:$AG$1001,0),0), INDEX($AN$1004:$BO$1004,1,MATCH(COLUMNS($AN$1006:BA1006),$AN$1006:$BO$1006,0)))),"Fix")))</f>
        <v>0</v>
      </c>
      <c r="P658" s="4">
        <f>IF(OR(INDEX($AH$2:$AH$1001,MATCH(ROWS($AG$2:AG658),$AG$2:$AG$1001,0),1)&gt;=100000,INDEX($AN$1005:$BO$1005,1,MATCH(COLUMNS($AN$1006:BB1006),$AN$1006:$BO$1006,0))&gt;=100000), " ",IF(INDEX($AN$2:$BO$1001,MATCH(ROWS($AG$2:AG658),$AG$2:$AG$1001,0),MATCH(COLUMNS($AN$1006:BB1006),$AN$1006:$BO$1006,0)), HYPERLINK("#",""), HYPERLINK(CONCATENATE("#Metadata!", ADDRESS(INDEX($AI$2:$AI$1001,MATCH(ROWS($AG$2:AG658),$AG$2:$AG$1001,0),0), INDEX($AN$1004:$BO$1004,1,MATCH(COLUMNS($AN$1006:BB1006),$AN$1006:$BO$1006,0)))),"Fix")))</f>
        <v>0</v>
      </c>
      <c r="Q658" s="4">
        <f>IF(OR(INDEX($AH$2:$AH$1001,MATCH(ROWS($AG$2:AG658),$AG$2:$AG$1001,0),1)&gt;=100000,INDEX($AN$1005:$BO$1005,1,MATCH(COLUMNS($AN$1006:BC1006),$AN$1006:$BO$1006,0))&gt;=100000), " ",IF(INDEX($AN$2:$BO$1001,MATCH(ROWS($AG$2:AG658),$AG$2:$AG$1001,0),MATCH(COLUMNS($AN$1006:BC1006),$AN$1006:$BO$1006,0)), HYPERLINK("#",""), HYPERLINK(CONCATENATE("#Metadata!", ADDRESS(INDEX($AI$2:$AI$1001,MATCH(ROWS($AG$2:AG658),$AG$2:$AG$1001,0),0), INDEX($AN$1004:$BO$1004,1,MATCH(COLUMNS($AN$1006:BC1006),$AN$1006:$BO$1006,0)))),"Fix")))</f>
        <v>0</v>
      </c>
      <c r="R658" s="4">
        <f>IF(OR(INDEX($AH$2:$AH$1001,MATCH(ROWS($AG$2:AG658),$AG$2:$AG$1001,0),1)&gt;=100000,INDEX($AN$1005:$BO$1005,1,MATCH(COLUMNS($AN$1006:BD1006),$AN$1006:$BO$1006,0))&gt;=100000), " ",IF(INDEX($AN$2:$BO$1001,MATCH(ROWS($AG$2:AG658),$AG$2:$AG$1001,0),MATCH(COLUMNS($AN$1006:BD1006),$AN$1006:$BO$1006,0)), HYPERLINK("#",""), HYPERLINK(CONCATENATE("#Metadata!", ADDRESS(INDEX($AI$2:$AI$1001,MATCH(ROWS($AG$2:AG658),$AG$2:$AG$1001,0),0), INDEX($AN$1004:$BO$1004,1,MATCH(COLUMNS($AN$1006:BD1006),$AN$1006:$BO$1006,0)))),"Fix")))</f>
        <v>0</v>
      </c>
      <c r="S658" s="4">
        <f>IF(OR(INDEX($AH$2:$AH$1001,MATCH(ROWS($AG$2:AG658),$AG$2:$AG$1001,0),1)&gt;=100000,INDEX($AN$1005:$BO$1005,1,MATCH(COLUMNS($AN$1006:BE1006),$AN$1006:$BO$1006,0))&gt;=100000), " ",IF(INDEX($AN$2:$BO$1001,MATCH(ROWS($AG$2:AG658),$AG$2:$AG$1001,0),MATCH(COLUMNS($AN$1006:BE1006),$AN$1006:$BO$1006,0)), HYPERLINK("#",""), HYPERLINK(CONCATENATE("#Metadata!", ADDRESS(INDEX($AI$2:$AI$1001,MATCH(ROWS($AG$2:AG658),$AG$2:$AG$1001,0),0), INDEX($AN$1004:$BO$1004,1,MATCH(COLUMNS($AN$1006:BE1006),$AN$1006:$BO$1006,0)))),"Fix")))</f>
        <v>0</v>
      </c>
      <c r="T658" s="4">
        <f>IF(OR(INDEX($AH$2:$AH$1001,MATCH(ROWS($AG$2:AG658),$AG$2:$AG$1001,0),1)&gt;=100000,INDEX($AN$1005:$BO$1005,1,MATCH(COLUMNS($AN$1006:BF1006),$AN$1006:$BO$1006,0))&gt;=100000), " ",IF(INDEX($AN$2:$BO$1001,MATCH(ROWS($AG$2:AG658),$AG$2:$AG$1001,0),MATCH(COLUMNS($AN$1006:BF1006),$AN$1006:$BO$1006,0)), HYPERLINK("#",""), HYPERLINK(CONCATENATE("#Metadata!", ADDRESS(INDEX($AI$2:$AI$1001,MATCH(ROWS($AG$2:AG658),$AG$2:$AG$1001,0),0), INDEX($AN$1004:$BO$1004,1,MATCH(COLUMNS($AN$1006:BF1006),$AN$1006:$BO$1006,0)))),"Fix")))</f>
        <v>0</v>
      </c>
      <c r="U658" s="4">
        <f>IF(OR(INDEX($AH$2:$AH$1001,MATCH(ROWS($AG$2:AG658),$AG$2:$AG$1001,0),1)&gt;=100000,INDEX($AN$1005:$BO$1005,1,MATCH(COLUMNS($AN$1006:BG1006),$AN$1006:$BO$1006,0))&gt;=100000), " ",IF(INDEX($AN$2:$BO$1001,MATCH(ROWS($AG$2:AG658),$AG$2:$AG$1001,0),MATCH(COLUMNS($AN$1006:BG1006),$AN$1006:$BO$1006,0)), HYPERLINK("#",""), HYPERLINK(CONCATENATE("#Metadata!", ADDRESS(INDEX($AI$2:$AI$1001,MATCH(ROWS($AG$2:AG658),$AG$2:$AG$1001,0),0), INDEX($AN$1004:$BO$1004,1,MATCH(COLUMNS($AN$1006:BG1006),$AN$1006:$BO$1006,0)))),"Fix")))</f>
        <v>0</v>
      </c>
      <c r="V658" s="4">
        <f>IF(OR(INDEX($AH$2:$AH$1001,MATCH(ROWS($AG$2:AG658),$AG$2:$AG$1001,0),1)&gt;=100000,INDEX($AN$1005:$BO$1005,1,MATCH(COLUMNS($AN$1006:BH1006),$AN$1006:$BO$1006,0))&gt;=100000), " ",IF(INDEX($AN$2:$BO$1001,MATCH(ROWS($AG$2:AG658),$AG$2:$AG$1001,0),MATCH(COLUMNS($AN$1006:BH1006),$AN$1006:$BO$1006,0)), HYPERLINK("#",""), HYPERLINK(CONCATENATE("#Metadata!", ADDRESS(INDEX($AI$2:$AI$1001,MATCH(ROWS($AG$2:AG658),$AG$2:$AG$1001,0),0), INDEX($AN$1004:$BO$1004,1,MATCH(COLUMNS($AN$1006:BH1006),$AN$1006:$BO$1006,0)))),"Fix")))</f>
        <v>0</v>
      </c>
      <c r="W658" s="4">
        <f>IF(OR(INDEX($AH$2:$AH$1001,MATCH(ROWS($AG$2:AG658),$AG$2:$AG$1001,0),1)&gt;=100000,INDEX($AN$1005:$BO$1005,1,MATCH(COLUMNS($AN$1006:BI1006),$AN$1006:$BO$1006,0))&gt;=100000), " ",IF(INDEX($AN$2:$BO$1001,MATCH(ROWS($AG$2:AG658),$AG$2:$AG$1001,0),MATCH(COLUMNS($AN$1006:BI1006),$AN$1006:$BO$1006,0)), HYPERLINK("#",""), HYPERLINK(CONCATENATE("#Metadata!", ADDRESS(INDEX($AI$2:$AI$1001,MATCH(ROWS($AG$2:AG658),$AG$2:$AG$1001,0),0), INDEX($AN$1004:$BO$1004,1,MATCH(COLUMNS($AN$1006:BI1006),$AN$1006:$BO$1006,0)))),"Fix")))</f>
        <v>0</v>
      </c>
      <c r="X658" s="4">
        <f>IF(OR(INDEX($AH$2:$AH$1001,MATCH(ROWS($AG$2:AG658),$AG$2:$AG$1001,0),1)&gt;=100000,INDEX($AN$1005:$BO$1005,1,MATCH(COLUMNS($AN$1006:BJ1006),$AN$1006:$BO$1006,0))&gt;=100000), " ",IF(INDEX($AN$2:$BO$1001,MATCH(ROWS($AG$2:AG658),$AG$2:$AG$1001,0),MATCH(COLUMNS($AN$1006:BJ1006),$AN$1006:$BO$1006,0)), HYPERLINK("#",""), HYPERLINK(CONCATENATE("#Metadata!", ADDRESS(INDEX($AI$2:$AI$1001,MATCH(ROWS($AG$2:AG658),$AG$2:$AG$1001,0),0), INDEX($AN$1004:$BO$1004,1,MATCH(COLUMNS($AN$1006:BJ1006),$AN$1006:$BO$1006,0)))),"Fix")))</f>
        <v>0</v>
      </c>
      <c r="Y658" s="4">
        <f>IF(OR(INDEX($AH$2:$AH$1001,MATCH(ROWS($AG$2:AG658),$AG$2:$AG$1001,0),1)&gt;=100000,INDEX($AN$1005:$BO$1005,1,MATCH(COLUMNS($AN$1006:BK1006),$AN$1006:$BO$1006,0))&gt;=100000), " ",IF(INDEX($AN$2:$BO$1001,MATCH(ROWS($AG$2:AG658),$AG$2:$AG$1001,0),MATCH(COLUMNS($AN$1006:BK1006),$AN$1006:$BO$1006,0)), HYPERLINK("#",""), HYPERLINK(CONCATENATE("#Metadata!", ADDRESS(INDEX($AI$2:$AI$1001,MATCH(ROWS($AG$2:AG658),$AG$2:$AG$1001,0),0), INDEX($AN$1004:$BO$1004,1,MATCH(COLUMNS($AN$1006:BK1006),$AN$1006:$BO$1006,0)))),"Fix")))</f>
        <v>0</v>
      </c>
      <c r="Z658" s="4">
        <f>IF(OR(INDEX($AH$2:$AH$1001,MATCH(ROWS($AG$2:AG658),$AG$2:$AG$1001,0),1)&gt;=100000,INDEX($AN$1005:$BO$1005,1,MATCH(COLUMNS($AN$1006:BL1006),$AN$1006:$BO$1006,0))&gt;=100000), " ",IF(INDEX($AN$2:$BO$1001,MATCH(ROWS($AG$2:AG658),$AG$2:$AG$1001,0),MATCH(COLUMNS($AN$1006:BL1006),$AN$1006:$BO$1006,0)), HYPERLINK("#",""), HYPERLINK(CONCATENATE("#Metadata!", ADDRESS(INDEX($AI$2:$AI$1001,MATCH(ROWS($AG$2:AG658),$AG$2:$AG$1001,0),0), INDEX($AN$1004:$BO$1004,1,MATCH(COLUMNS($AN$1006:BL1006),$AN$1006:$BO$1006,0)))),"Fix")))</f>
        <v>0</v>
      </c>
      <c r="AA658" s="4">
        <f>IF(OR(INDEX($AH$2:$AH$1001,MATCH(ROWS($AG$2:AG658),$AG$2:$AG$1001,0),1)&gt;=100000,INDEX($AN$1005:$BO$1005,1,MATCH(COLUMNS($AN$1006:BM1006),$AN$1006:$BO$1006,0))&gt;=100000), " ",IF(INDEX($AN$2:$BO$1001,MATCH(ROWS($AG$2:AG658),$AG$2:$AG$1001,0),MATCH(COLUMNS($AN$1006:BM1006),$AN$1006:$BO$1006,0)), HYPERLINK("#",""), HYPERLINK(CONCATENATE("#Metadata!", ADDRESS(INDEX($AI$2:$AI$1001,MATCH(ROWS($AG$2:AG658),$AG$2:$AG$1001,0),0), INDEX($AN$1004:$BO$1004,1,MATCH(COLUMNS($AN$1006:BM1006),$AN$1006:$BO$1006,0)))),"Fix")))</f>
        <v>0</v>
      </c>
      <c r="AB658" s="4">
        <f>IF(OR(INDEX($AH$2:$AH$1001,MATCH(ROWS($AG$2:AG658),$AG$2:$AG$1001,0),1)&gt;=100000,INDEX($AN$1005:$BO$1005,1,MATCH(COLUMNS($AN$1006:BN1006),$AN$1006:$BO$1006,0))&gt;=100000), " ",IF(INDEX($AN$2:$BO$1001,MATCH(ROWS($AG$2:AG658),$AG$2:$AG$1001,0),MATCH(COLUMNS($AN$1006:BN1006),$AN$1006:$BO$1006,0)), HYPERLINK("#",""), HYPERLINK(CONCATENATE("#Metadata!", ADDRESS(INDEX($AI$2:$AI$1001,MATCH(ROWS($AG$2:AG658),$AG$2:$AG$1001,0),0), INDEX($AN$1004:$BO$1004,1,MATCH(COLUMNS($AN$1006:BN1006),$AN$1006:$BO$1006,0)))),"Fix")))</f>
        <v>0</v>
      </c>
      <c r="AC658" s="4">
        <f>IF(OR(INDEX($AH$2:$AH$1001,MATCH(ROWS($AG$2:AG658),$AG$2:$AG$1001,0),1)&gt;=100000,INDEX($AN$1005:$BO$1005,1,MATCH(COLUMNS($AN$1006:BO1006),$AN$1006:$BO$1006,0))&gt;=100000), " ",IF(INDEX($AN$2:$BO$1001,MATCH(ROWS($AG$2:AG658),$AG$2:$AG$1001,0),MATCH(COLUMNS($AN$1006:BO1006),$AN$1006:$BO$1006,0)), HYPERLINK("#",""), HYPERLINK(CONCATENATE("#Metadata!", ADDRESS(INDEX($AI$2:$AI$1001,MATCH(ROWS($AG$2:AG658),$AG$2:$AG$1001,0),0), INDEX($AN$1004:$BO$1004,1,MATCH(COLUMNS($AN$1006:BO1006),$AN$1006:$BO$1006,0)))),"Fix")))</f>
        <v>0</v>
      </c>
      <c r="AG658">
        <v>0</v>
      </c>
      <c r="AH658">
        <v>0</v>
      </c>
      <c r="AI658">
        <v>0</v>
      </c>
      <c r="AJ658">
        <f>IF(AK658,TRUE,AND(AN658:BO658))</f>
        <v>0</v>
      </c>
      <c r="AK658">
        <f>COUNTBLANK(Metadata!B658:AC658)=COLUMNS(Metadata!B658:AC658)</f>
        <v>0</v>
      </c>
      <c r="AL658">
        <v>0</v>
      </c>
      <c r="AN658">
        <f>AND(IF(Metadata!B658="",FALSE,TRUE),COUNTIF(Metadata!B:B, Metadata!B658) = 1,NOT(ISERROR(SUMPRODUCT(SEARCH(MID(Metadata!B658,ROW(INDIRECT("1:"&amp;LEN(Metadata!B658))), 1),"0123456789abcdefghijklmnopqrstuvwxyzABCDEFGHIJKLMNOPQRSTUVWXYZ.")))))</f>
        <v>0</v>
      </c>
      <c r="AO658">
        <f>IF(Metadata!C658="",FALSE,TRUE)</f>
        <v>0</v>
      </c>
      <c r="AP658">
        <f>IF(Metadata!D658="",FALSE,TRUE)</f>
        <v>0</v>
      </c>
      <c r="AQ658">
        <f>OR(AND(IF(Metadata!E658="",FALSE,TRUE),OR(exact(Metadata!E658,"not collected"),exact(Metadata!E658,"not provided"),exact(Metadata!E658,"restricted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R658">
        <f>IF(Metadata!F658="",FALSE,TRUE)</f>
        <v>0</v>
      </c>
      <c r="AS658">
        <f>OR(AND(IF(Metadata!G658="",FALSE,TRUE),OR(exact(Metadata!G658,"not collected"),exact(Metadata!G658,"not provided"))),AND(IF(Metadata!G658="",FALSE,TRUE),OR(exact(Metadata!G658,"TRUE"),exact(Metadata!G658,"FALSE"))))</f>
        <v>0</v>
      </c>
      <c r="AT658">
        <f>OR(AND(IF(Metadata!H658="",FALSE,TRUE),OR(exact(Metadata!H658,"not collected"),exact(Metadata!H658,"not provided"),exact(Metadata!H658,"restricted access"))),AND(IF(Metadata!H658="",FALSE,ISNUMBER(VALUE(Metadata!H658))),Metadata!H658&gt;=-413.0))</f>
        <v>0</v>
      </c>
      <c r="AU658">
        <f>AND(IF(Metadata!I658="",FALSE,TRUE),exact(Metadata!I658,"meters"))</f>
        <v>0</v>
      </c>
      <c r="AV658">
        <f>AND(IF(Metadata!J658="",FALSE,TRUE),OR(exact(Metadata!J658,"Host-associated"),exact(Metadata!J658,"Free-living")))</f>
        <v>0</v>
      </c>
      <c r="AW658">
        <f>AND(IF(Metadata!K658="",FALSE,TRUE),OR(exact(Metadata!K658,"Animal"),exact(Metadata!K658,"Fungus"),exact(Metadata!K658,"Plant"),exact(Metadata!K658,"Saline"),exact(Metadata!K658,"Non-saline")))</f>
        <v>0</v>
      </c>
      <c r="AX658">
        <f>AND(IF(Metadata!L658="",FALSE,TRUE),OR(exact(Metadata!L658,"Plant secretion"),exact(Metadata!L658,"Plant rhizosphere"),exact(Metadata!L658,"Plant surface"),exact(Metadata!L658,"Plant corpus"),exact(Metadata!L658,"Fungus surface"),exact(Metadata!L658,"Fungus corpus"),exact(Metadata!L658,"Animal surface"),exact(Metadata!L658,"Animal proximal gut"),exact(Metadata!L658,"Animal corpus"),exact(Metadata!L658,"Animal distal gut"),exact(Metadata!L658,"Animal secretion"),exact(Metadata!L658,"Sub-surface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Y658">
        <f>IF(Metadata!M658="",FALSE,TRUE)</f>
        <v>0</v>
      </c>
      <c r="AZ658">
        <f>IF(Metadata!N658="",FALSE,TRUE)</f>
        <v>0</v>
      </c>
      <c r="BA658">
        <f>IF(Metadata!O658="",FALSE,TRUE)</f>
        <v>0</v>
      </c>
      <c r="BB658">
        <f>OR(AND(IF(Metadata!P658="",FALSE,TRUE),OR(exact(Metadata!P658,"not collected"),exact(Metadata!P658,"not provided"),exact(Metadata!P658,"restricted access"))),AND(IF(Metadata!P658="",FALSE,TRUE),OR(exact(Metadata!P658,"air"),exact(Metadata!P658,"built environment"),exact(Metadata!P658,"host-associated"),exact(Metadata!P658,"human-associated"),exact(Metadata!P658,"human-skin"),exact(Metadata!P658,"human-oral"),exact(Metadata!P658,"human-gut"),exact(Metadata!P658,"human-vaginal"),exact(Metadata!P658,"microbial mat/biofilm"),exact(Metadata!P658,"misc environment"),exact(Metadata!P658,"plant-associated"),exact(Metadata!P658,"sediment"),exact(Metadata!P658,"soil"),exact(Metadata!P658,"wastewater/sludge"),exact(Metadata!P658,"water"))))</f>
        <v>0</v>
      </c>
      <c r="BC658">
        <f>IF(Metadata!Q658="",FALSE,TRUE)</f>
        <v>0</v>
      </c>
      <c r="BD658">
        <f>IF(Metadata!R658="",FALSE,TRUE)</f>
        <v>0</v>
      </c>
      <c r="BE658">
        <f>OR(AND(IF(Metadata!S658="",FALSE,TRUE),OR(exact(Metadata!S658,"not collected"),exact(Metadata!S658,"not provided"),exact(Metadata!S658,"restricted access"))),AND(IF(Metadata!S658="",FALSE,ISNUMBER(VALUE(Metadata!S658))),Metadata!S658&gt;=-90.00,Metadata!S658&lt;=90.00))</f>
        <v>0</v>
      </c>
      <c r="BF658">
        <f>AND(IF(Metadata!T658="",FALSE,TRUE),exact(Metadata!T658,"Decimal degrees"))</f>
        <v>0</v>
      </c>
      <c r="BG658">
        <f>OR(AND(IF(Metadata!U658="",FALSE,TRUE),OR(exact(Metadata!U658,"not collected"),exact(Metadata!U658,"not provided"),exact(Metadata!U658,"restricted access"))),AND(IF(Metadata!U658="",FALSE,ISNUMBER(VALUE(Metadata!U658))),Metadata!U658&gt;=-180.00,Metadata!U658&lt;=180.00))</f>
        <v>0</v>
      </c>
      <c r="BH658">
        <f>AND(IF(Metadata!V658="",FALSE,TRUE),exact(Metadata!V658,"Decimal degrees"))</f>
        <v>0</v>
      </c>
      <c r="BI658">
        <f>IF(Metadata!W658="",FALSE,TRUE)</f>
        <v>0</v>
      </c>
      <c r="BJ658">
        <f>OR(AND(IF(Metadata!X658="",FALSE,TRUE),OR(exact(Metadata!X658,"not collected"),exact(Metadata!X658,"not provided"),exact(Metadata!X658,"restricted access"))),AND(IF(Metadata!X658="",FALSE,TRUE),OR(exact(Metadata!X658,"TRUE"),exact(Metadata!X658,"FALSE"))))</f>
        <v>0</v>
      </c>
      <c r="BK658">
        <f>AND(IF(Metadata!Y658="",FALSE,TRUE),exact(Metadata!Y658,"other"))</f>
        <v>0</v>
      </c>
      <c r="BL658">
        <f>IF(Metadata!Z658="",FALSE,TRUE)</f>
        <v>0</v>
      </c>
      <c r="BM658">
        <f>OR(AND(IF(Metadata!AA658="",FALSE,TRUE),OR(exact(Metadata!AA658,"not collected"),exact(Metadata!AA658,"not provided"))),AND(IF(Metadata!AA658="",FALSE,IF(ISERROR(INT(Metadata!AA658)),FALSE,INT(Metadata!AA658)=Metadata!AA658)),Metadata!AA658&gt;0))</f>
        <v>0</v>
      </c>
      <c r="BN658">
        <f>AND(IF(Metadata!AB658="",FALSE,TRUE),exact(Metadata!AB658,"Not applicable"))</f>
        <v>0</v>
      </c>
      <c r="BO658">
        <f>IF(Metadata!AC658="",FALSE,TRUE)</f>
        <v>0</v>
      </c>
    </row>
    <row r="659" spans="1:67">
      <c r="A659" s="5">
        <f>IF(B659=" "," ",HYPERLINK(CONCATENATE("#metadata!",ADDRESS(INDEX($AI$2:$AI$1001,MATCH(ROWS($AG$2:AG659),$AG$2:$AG$1001,0),0),1)),INDEX($AL$2:$AL$1001,MATCH(ROWS($AG$2:AG659),$AG$2:$AG$1001,0),0)))</f>
        <v>0</v>
      </c>
      <c r="B659" s="4">
        <f>IF(OR(INDEX($AH$2:$AH$1001,MATCH(ROWS($AG$2:AG659),$AG$2:$AG$1001,0),1)&gt;=100000,INDEX($AN$1005:$BO$1005,1,MATCH(COLUMNS($AN$1006:AN1006),$AN$1006:$BO$1006,0))&gt;=100000), " ",IF(INDEX($AN$2:$BO$1001,MATCH(ROWS($AG$2:AG659),$AG$2:$AG$1001,0),MATCH(COLUMNS($AN$1006:AN1006),$AN$1006:$BO$1006,0)), HYPERLINK("#",""), HYPERLINK(CONCATENATE("#Metadata!", ADDRESS(INDEX($AI$2:$AI$1001,MATCH(ROWS($AG$2:AG659),$AG$2:$AG$1001,0),0), INDEX($AN$1004:$BO$1004,1,MATCH(COLUMNS($AN$1006:AN1006),$AN$1006:$BO$1006,0)))),"Fix")))</f>
        <v>0</v>
      </c>
      <c r="C659" s="4">
        <f>IF(OR(INDEX($AH$2:$AH$1001,MATCH(ROWS($AG$2:AG659),$AG$2:$AG$1001,0),1)&gt;=100000,INDEX($AN$1005:$BO$1005,1,MATCH(COLUMNS($AN$1006:AO1006),$AN$1006:$BO$1006,0))&gt;=100000), " ",IF(INDEX($AN$2:$BO$1001,MATCH(ROWS($AG$2:AG659),$AG$2:$AG$1001,0),MATCH(COLUMNS($AN$1006:AO1006),$AN$1006:$BO$1006,0)), HYPERLINK("#",""), HYPERLINK(CONCATENATE("#Metadata!", ADDRESS(INDEX($AI$2:$AI$1001,MATCH(ROWS($AG$2:AG659),$AG$2:$AG$1001,0),0), INDEX($AN$1004:$BO$1004,1,MATCH(COLUMNS($AN$1006:AO1006),$AN$1006:$BO$1006,0)))),"Fix")))</f>
        <v>0</v>
      </c>
      <c r="D659" s="4">
        <f>IF(OR(INDEX($AH$2:$AH$1001,MATCH(ROWS($AG$2:AG659),$AG$2:$AG$1001,0),1)&gt;=100000,INDEX($AN$1005:$BO$1005,1,MATCH(COLUMNS($AN$1006:AP1006),$AN$1006:$BO$1006,0))&gt;=100000), " ",IF(INDEX($AN$2:$BO$1001,MATCH(ROWS($AG$2:AG659),$AG$2:$AG$1001,0),MATCH(COLUMNS($AN$1006:AP1006),$AN$1006:$BO$1006,0)), HYPERLINK("#",""), HYPERLINK(CONCATENATE("#Metadata!", ADDRESS(INDEX($AI$2:$AI$1001,MATCH(ROWS($AG$2:AG659),$AG$2:$AG$1001,0),0), INDEX($AN$1004:$BO$1004,1,MATCH(COLUMNS($AN$1006:AP1006),$AN$1006:$BO$1006,0)))),"Fix")))</f>
        <v>0</v>
      </c>
      <c r="E659" s="4">
        <f>IF(OR(INDEX($AH$2:$AH$1001,MATCH(ROWS($AG$2:AG659),$AG$2:$AG$1001,0),1)&gt;=100000,INDEX($AN$1005:$BO$1005,1,MATCH(COLUMNS($AN$1006:AQ1006),$AN$1006:$BO$1006,0))&gt;=100000), " ",IF(INDEX($AN$2:$BO$1001,MATCH(ROWS($AG$2:AG659),$AG$2:$AG$1001,0),MATCH(COLUMNS($AN$1006:AQ1006),$AN$1006:$BO$1006,0)), HYPERLINK("#",""), HYPERLINK(CONCATENATE("#Metadata!", ADDRESS(INDEX($AI$2:$AI$1001,MATCH(ROWS($AG$2:AG659),$AG$2:$AG$1001,0),0), INDEX($AN$1004:$BO$1004,1,MATCH(COLUMNS($AN$1006:AQ1006),$AN$1006:$BO$1006,0)))),"Fix")))</f>
        <v>0</v>
      </c>
      <c r="F659" s="4">
        <f>IF(OR(INDEX($AH$2:$AH$1001,MATCH(ROWS($AG$2:AG659),$AG$2:$AG$1001,0),1)&gt;=100000,INDEX($AN$1005:$BO$1005,1,MATCH(COLUMNS($AN$1006:AR1006),$AN$1006:$BO$1006,0))&gt;=100000), " ",IF(INDEX($AN$2:$BO$1001,MATCH(ROWS($AG$2:AG659),$AG$2:$AG$1001,0),MATCH(COLUMNS($AN$1006:AR1006),$AN$1006:$BO$1006,0)), HYPERLINK("#",""), HYPERLINK(CONCATENATE("#Metadata!", ADDRESS(INDEX($AI$2:$AI$1001,MATCH(ROWS($AG$2:AG659),$AG$2:$AG$1001,0),0), INDEX($AN$1004:$BO$1004,1,MATCH(COLUMNS($AN$1006:AR1006),$AN$1006:$BO$1006,0)))),"Fix")))</f>
        <v>0</v>
      </c>
      <c r="G659" s="4">
        <f>IF(OR(INDEX($AH$2:$AH$1001,MATCH(ROWS($AG$2:AG659),$AG$2:$AG$1001,0),1)&gt;=100000,INDEX($AN$1005:$BO$1005,1,MATCH(COLUMNS($AN$1006:AS1006),$AN$1006:$BO$1006,0))&gt;=100000), " ",IF(INDEX($AN$2:$BO$1001,MATCH(ROWS($AG$2:AG659),$AG$2:$AG$1001,0),MATCH(COLUMNS($AN$1006:AS1006),$AN$1006:$BO$1006,0)), HYPERLINK("#",""), HYPERLINK(CONCATENATE("#Metadata!", ADDRESS(INDEX($AI$2:$AI$1001,MATCH(ROWS($AG$2:AG659),$AG$2:$AG$1001,0),0), INDEX($AN$1004:$BO$1004,1,MATCH(COLUMNS($AN$1006:AS1006),$AN$1006:$BO$1006,0)))),"Fix")))</f>
        <v>0</v>
      </c>
      <c r="H659" s="4">
        <f>IF(OR(INDEX($AH$2:$AH$1001,MATCH(ROWS($AG$2:AG659),$AG$2:$AG$1001,0),1)&gt;=100000,INDEX($AN$1005:$BO$1005,1,MATCH(COLUMNS($AN$1006:AT1006),$AN$1006:$BO$1006,0))&gt;=100000), " ",IF(INDEX($AN$2:$BO$1001,MATCH(ROWS($AG$2:AG659),$AG$2:$AG$1001,0),MATCH(COLUMNS($AN$1006:AT1006),$AN$1006:$BO$1006,0)), HYPERLINK("#",""), HYPERLINK(CONCATENATE("#Metadata!", ADDRESS(INDEX($AI$2:$AI$1001,MATCH(ROWS($AG$2:AG659),$AG$2:$AG$1001,0),0), INDEX($AN$1004:$BO$1004,1,MATCH(COLUMNS($AN$1006:AT1006),$AN$1006:$BO$1006,0)))),"Fix")))</f>
        <v>0</v>
      </c>
      <c r="I659" s="4">
        <f>IF(OR(INDEX($AH$2:$AH$1001,MATCH(ROWS($AG$2:AG659),$AG$2:$AG$1001,0),1)&gt;=100000,INDEX($AN$1005:$BO$1005,1,MATCH(COLUMNS($AN$1006:AU1006),$AN$1006:$BO$1006,0))&gt;=100000), " ",IF(INDEX($AN$2:$BO$1001,MATCH(ROWS($AG$2:AG659),$AG$2:$AG$1001,0),MATCH(COLUMNS($AN$1006:AU1006),$AN$1006:$BO$1006,0)), HYPERLINK("#",""), HYPERLINK(CONCATENATE("#Metadata!", ADDRESS(INDEX($AI$2:$AI$1001,MATCH(ROWS($AG$2:AG659),$AG$2:$AG$1001,0),0), INDEX($AN$1004:$BO$1004,1,MATCH(COLUMNS($AN$1006:AU1006),$AN$1006:$BO$1006,0)))),"Fix")))</f>
        <v>0</v>
      </c>
      <c r="J659" s="4">
        <f>IF(OR(INDEX($AH$2:$AH$1001,MATCH(ROWS($AG$2:AG659),$AG$2:$AG$1001,0),1)&gt;=100000,INDEX($AN$1005:$BO$1005,1,MATCH(COLUMNS($AN$1006:AV1006),$AN$1006:$BO$1006,0))&gt;=100000), " ",IF(INDEX($AN$2:$BO$1001,MATCH(ROWS($AG$2:AG659),$AG$2:$AG$1001,0),MATCH(COLUMNS($AN$1006:AV1006),$AN$1006:$BO$1006,0)), HYPERLINK("#",""), HYPERLINK(CONCATENATE("#Metadata!", ADDRESS(INDEX($AI$2:$AI$1001,MATCH(ROWS($AG$2:AG659),$AG$2:$AG$1001,0),0), INDEX($AN$1004:$BO$1004,1,MATCH(COLUMNS($AN$1006:AV1006),$AN$1006:$BO$1006,0)))),"Fix")))</f>
        <v>0</v>
      </c>
      <c r="K659" s="4">
        <f>IF(OR(INDEX($AH$2:$AH$1001,MATCH(ROWS($AG$2:AG659),$AG$2:$AG$1001,0),1)&gt;=100000,INDEX($AN$1005:$BO$1005,1,MATCH(COLUMNS($AN$1006:AW1006),$AN$1006:$BO$1006,0))&gt;=100000), " ",IF(INDEX($AN$2:$BO$1001,MATCH(ROWS($AG$2:AG659),$AG$2:$AG$1001,0),MATCH(COLUMNS($AN$1006:AW1006),$AN$1006:$BO$1006,0)), HYPERLINK("#",""), HYPERLINK(CONCATENATE("#Metadata!", ADDRESS(INDEX($AI$2:$AI$1001,MATCH(ROWS($AG$2:AG659),$AG$2:$AG$1001,0),0), INDEX($AN$1004:$BO$1004,1,MATCH(COLUMNS($AN$1006:AW1006),$AN$1006:$BO$1006,0)))),"Fix")))</f>
        <v>0</v>
      </c>
      <c r="L659" s="4">
        <f>IF(OR(INDEX($AH$2:$AH$1001,MATCH(ROWS($AG$2:AG659),$AG$2:$AG$1001,0),1)&gt;=100000,INDEX($AN$1005:$BO$1005,1,MATCH(COLUMNS($AN$1006:AX1006),$AN$1006:$BO$1006,0))&gt;=100000), " ",IF(INDEX($AN$2:$BO$1001,MATCH(ROWS($AG$2:AG659),$AG$2:$AG$1001,0),MATCH(COLUMNS($AN$1006:AX1006),$AN$1006:$BO$1006,0)), HYPERLINK("#",""), HYPERLINK(CONCATENATE("#Metadata!", ADDRESS(INDEX($AI$2:$AI$1001,MATCH(ROWS($AG$2:AG659),$AG$2:$AG$1001,0),0), INDEX($AN$1004:$BO$1004,1,MATCH(COLUMNS($AN$1006:AX1006),$AN$1006:$BO$1006,0)))),"Fix")))</f>
        <v>0</v>
      </c>
      <c r="M659" s="4">
        <f>IF(OR(INDEX($AH$2:$AH$1001,MATCH(ROWS($AG$2:AG659),$AG$2:$AG$1001,0),1)&gt;=100000,INDEX($AN$1005:$BO$1005,1,MATCH(COLUMNS($AN$1006:AY1006),$AN$1006:$BO$1006,0))&gt;=100000), " ",IF(INDEX($AN$2:$BO$1001,MATCH(ROWS($AG$2:AG659),$AG$2:$AG$1001,0),MATCH(COLUMNS($AN$1006:AY1006),$AN$1006:$BO$1006,0)), HYPERLINK("#",""), HYPERLINK(CONCATENATE("#Metadata!", ADDRESS(INDEX($AI$2:$AI$1001,MATCH(ROWS($AG$2:AG659),$AG$2:$AG$1001,0),0), INDEX($AN$1004:$BO$1004,1,MATCH(COLUMNS($AN$1006:AY1006),$AN$1006:$BO$1006,0)))),"Fix")))</f>
        <v>0</v>
      </c>
      <c r="N659" s="4">
        <f>IF(OR(INDEX($AH$2:$AH$1001,MATCH(ROWS($AG$2:AG659),$AG$2:$AG$1001,0),1)&gt;=100000,INDEX($AN$1005:$BO$1005,1,MATCH(COLUMNS($AN$1006:AZ1006),$AN$1006:$BO$1006,0))&gt;=100000), " ",IF(INDEX($AN$2:$BO$1001,MATCH(ROWS($AG$2:AG659),$AG$2:$AG$1001,0),MATCH(COLUMNS($AN$1006:AZ1006),$AN$1006:$BO$1006,0)), HYPERLINK("#",""), HYPERLINK(CONCATENATE("#Metadata!", ADDRESS(INDEX($AI$2:$AI$1001,MATCH(ROWS($AG$2:AG659),$AG$2:$AG$1001,0),0), INDEX($AN$1004:$BO$1004,1,MATCH(COLUMNS($AN$1006:AZ1006),$AN$1006:$BO$1006,0)))),"Fix")))</f>
        <v>0</v>
      </c>
      <c r="O659" s="4">
        <f>IF(OR(INDEX($AH$2:$AH$1001,MATCH(ROWS($AG$2:AG659),$AG$2:$AG$1001,0),1)&gt;=100000,INDEX($AN$1005:$BO$1005,1,MATCH(COLUMNS($AN$1006:BA1006),$AN$1006:$BO$1006,0))&gt;=100000), " ",IF(INDEX($AN$2:$BO$1001,MATCH(ROWS($AG$2:AG659),$AG$2:$AG$1001,0),MATCH(COLUMNS($AN$1006:BA1006),$AN$1006:$BO$1006,0)), HYPERLINK("#",""), HYPERLINK(CONCATENATE("#Metadata!", ADDRESS(INDEX($AI$2:$AI$1001,MATCH(ROWS($AG$2:AG659),$AG$2:$AG$1001,0),0), INDEX($AN$1004:$BO$1004,1,MATCH(COLUMNS($AN$1006:BA1006),$AN$1006:$BO$1006,0)))),"Fix")))</f>
        <v>0</v>
      </c>
      <c r="P659" s="4">
        <f>IF(OR(INDEX($AH$2:$AH$1001,MATCH(ROWS($AG$2:AG659),$AG$2:$AG$1001,0),1)&gt;=100000,INDEX($AN$1005:$BO$1005,1,MATCH(COLUMNS($AN$1006:BB1006),$AN$1006:$BO$1006,0))&gt;=100000), " ",IF(INDEX($AN$2:$BO$1001,MATCH(ROWS($AG$2:AG659),$AG$2:$AG$1001,0),MATCH(COLUMNS($AN$1006:BB1006),$AN$1006:$BO$1006,0)), HYPERLINK("#",""), HYPERLINK(CONCATENATE("#Metadata!", ADDRESS(INDEX($AI$2:$AI$1001,MATCH(ROWS($AG$2:AG659),$AG$2:$AG$1001,0),0), INDEX($AN$1004:$BO$1004,1,MATCH(COLUMNS($AN$1006:BB1006),$AN$1006:$BO$1006,0)))),"Fix")))</f>
        <v>0</v>
      </c>
      <c r="Q659" s="4">
        <f>IF(OR(INDEX($AH$2:$AH$1001,MATCH(ROWS($AG$2:AG659),$AG$2:$AG$1001,0),1)&gt;=100000,INDEX($AN$1005:$BO$1005,1,MATCH(COLUMNS($AN$1006:BC1006),$AN$1006:$BO$1006,0))&gt;=100000), " ",IF(INDEX($AN$2:$BO$1001,MATCH(ROWS($AG$2:AG659),$AG$2:$AG$1001,0),MATCH(COLUMNS($AN$1006:BC1006),$AN$1006:$BO$1006,0)), HYPERLINK("#",""), HYPERLINK(CONCATENATE("#Metadata!", ADDRESS(INDEX($AI$2:$AI$1001,MATCH(ROWS($AG$2:AG659),$AG$2:$AG$1001,0),0), INDEX($AN$1004:$BO$1004,1,MATCH(COLUMNS($AN$1006:BC1006),$AN$1006:$BO$1006,0)))),"Fix")))</f>
        <v>0</v>
      </c>
      <c r="R659" s="4">
        <f>IF(OR(INDEX($AH$2:$AH$1001,MATCH(ROWS($AG$2:AG659),$AG$2:$AG$1001,0),1)&gt;=100000,INDEX($AN$1005:$BO$1005,1,MATCH(COLUMNS($AN$1006:BD1006),$AN$1006:$BO$1006,0))&gt;=100000), " ",IF(INDEX($AN$2:$BO$1001,MATCH(ROWS($AG$2:AG659),$AG$2:$AG$1001,0),MATCH(COLUMNS($AN$1006:BD1006),$AN$1006:$BO$1006,0)), HYPERLINK("#",""), HYPERLINK(CONCATENATE("#Metadata!", ADDRESS(INDEX($AI$2:$AI$1001,MATCH(ROWS($AG$2:AG659),$AG$2:$AG$1001,0),0), INDEX($AN$1004:$BO$1004,1,MATCH(COLUMNS($AN$1006:BD1006),$AN$1006:$BO$1006,0)))),"Fix")))</f>
        <v>0</v>
      </c>
      <c r="S659" s="4">
        <f>IF(OR(INDEX($AH$2:$AH$1001,MATCH(ROWS($AG$2:AG659),$AG$2:$AG$1001,0),1)&gt;=100000,INDEX($AN$1005:$BO$1005,1,MATCH(COLUMNS($AN$1006:BE1006),$AN$1006:$BO$1006,0))&gt;=100000), " ",IF(INDEX($AN$2:$BO$1001,MATCH(ROWS($AG$2:AG659),$AG$2:$AG$1001,0),MATCH(COLUMNS($AN$1006:BE1006),$AN$1006:$BO$1006,0)), HYPERLINK("#",""), HYPERLINK(CONCATENATE("#Metadata!", ADDRESS(INDEX($AI$2:$AI$1001,MATCH(ROWS($AG$2:AG659),$AG$2:$AG$1001,0),0), INDEX($AN$1004:$BO$1004,1,MATCH(COLUMNS($AN$1006:BE1006),$AN$1006:$BO$1006,0)))),"Fix")))</f>
        <v>0</v>
      </c>
      <c r="T659" s="4">
        <f>IF(OR(INDEX($AH$2:$AH$1001,MATCH(ROWS($AG$2:AG659),$AG$2:$AG$1001,0),1)&gt;=100000,INDEX($AN$1005:$BO$1005,1,MATCH(COLUMNS($AN$1006:BF1006),$AN$1006:$BO$1006,0))&gt;=100000), " ",IF(INDEX($AN$2:$BO$1001,MATCH(ROWS($AG$2:AG659),$AG$2:$AG$1001,0),MATCH(COLUMNS($AN$1006:BF1006),$AN$1006:$BO$1006,0)), HYPERLINK("#",""), HYPERLINK(CONCATENATE("#Metadata!", ADDRESS(INDEX($AI$2:$AI$1001,MATCH(ROWS($AG$2:AG659),$AG$2:$AG$1001,0),0), INDEX($AN$1004:$BO$1004,1,MATCH(COLUMNS($AN$1006:BF1006),$AN$1006:$BO$1006,0)))),"Fix")))</f>
        <v>0</v>
      </c>
      <c r="U659" s="4">
        <f>IF(OR(INDEX($AH$2:$AH$1001,MATCH(ROWS($AG$2:AG659),$AG$2:$AG$1001,0),1)&gt;=100000,INDEX($AN$1005:$BO$1005,1,MATCH(COLUMNS($AN$1006:BG1006),$AN$1006:$BO$1006,0))&gt;=100000), " ",IF(INDEX($AN$2:$BO$1001,MATCH(ROWS($AG$2:AG659),$AG$2:$AG$1001,0),MATCH(COLUMNS($AN$1006:BG1006),$AN$1006:$BO$1006,0)), HYPERLINK("#",""), HYPERLINK(CONCATENATE("#Metadata!", ADDRESS(INDEX($AI$2:$AI$1001,MATCH(ROWS($AG$2:AG659),$AG$2:$AG$1001,0),0), INDEX($AN$1004:$BO$1004,1,MATCH(COLUMNS($AN$1006:BG1006),$AN$1006:$BO$1006,0)))),"Fix")))</f>
        <v>0</v>
      </c>
      <c r="V659" s="4">
        <f>IF(OR(INDEX($AH$2:$AH$1001,MATCH(ROWS($AG$2:AG659),$AG$2:$AG$1001,0),1)&gt;=100000,INDEX($AN$1005:$BO$1005,1,MATCH(COLUMNS($AN$1006:BH1006),$AN$1006:$BO$1006,0))&gt;=100000), " ",IF(INDEX($AN$2:$BO$1001,MATCH(ROWS($AG$2:AG659),$AG$2:$AG$1001,0),MATCH(COLUMNS($AN$1006:BH1006),$AN$1006:$BO$1006,0)), HYPERLINK("#",""), HYPERLINK(CONCATENATE("#Metadata!", ADDRESS(INDEX($AI$2:$AI$1001,MATCH(ROWS($AG$2:AG659),$AG$2:$AG$1001,0),0), INDEX($AN$1004:$BO$1004,1,MATCH(COLUMNS($AN$1006:BH1006),$AN$1006:$BO$1006,0)))),"Fix")))</f>
        <v>0</v>
      </c>
      <c r="W659" s="4">
        <f>IF(OR(INDEX($AH$2:$AH$1001,MATCH(ROWS($AG$2:AG659),$AG$2:$AG$1001,0),1)&gt;=100000,INDEX($AN$1005:$BO$1005,1,MATCH(COLUMNS($AN$1006:BI1006),$AN$1006:$BO$1006,0))&gt;=100000), " ",IF(INDEX($AN$2:$BO$1001,MATCH(ROWS($AG$2:AG659),$AG$2:$AG$1001,0),MATCH(COLUMNS($AN$1006:BI1006),$AN$1006:$BO$1006,0)), HYPERLINK("#",""), HYPERLINK(CONCATENATE("#Metadata!", ADDRESS(INDEX($AI$2:$AI$1001,MATCH(ROWS($AG$2:AG659),$AG$2:$AG$1001,0),0), INDEX($AN$1004:$BO$1004,1,MATCH(COLUMNS($AN$1006:BI1006),$AN$1006:$BO$1006,0)))),"Fix")))</f>
        <v>0</v>
      </c>
      <c r="X659" s="4">
        <f>IF(OR(INDEX($AH$2:$AH$1001,MATCH(ROWS($AG$2:AG659),$AG$2:$AG$1001,0),1)&gt;=100000,INDEX($AN$1005:$BO$1005,1,MATCH(COLUMNS($AN$1006:BJ1006),$AN$1006:$BO$1006,0))&gt;=100000), " ",IF(INDEX($AN$2:$BO$1001,MATCH(ROWS($AG$2:AG659),$AG$2:$AG$1001,0),MATCH(COLUMNS($AN$1006:BJ1006),$AN$1006:$BO$1006,0)), HYPERLINK("#",""), HYPERLINK(CONCATENATE("#Metadata!", ADDRESS(INDEX($AI$2:$AI$1001,MATCH(ROWS($AG$2:AG659),$AG$2:$AG$1001,0),0), INDEX($AN$1004:$BO$1004,1,MATCH(COLUMNS($AN$1006:BJ1006),$AN$1006:$BO$1006,0)))),"Fix")))</f>
        <v>0</v>
      </c>
      <c r="Y659" s="4">
        <f>IF(OR(INDEX($AH$2:$AH$1001,MATCH(ROWS($AG$2:AG659),$AG$2:$AG$1001,0),1)&gt;=100000,INDEX($AN$1005:$BO$1005,1,MATCH(COLUMNS($AN$1006:BK1006),$AN$1006:$BO$1006,0))&gt;=100000), " ",IF(INDEX($AN$2:$BO$1001,MATCH(ROWS($AG$2:AG659),$AG$2:$AG$1001,0),MATCH(COLUMNS($AN$1006:BK1006),$AN$1006:$BO$1006,0)), HYPERLINK("#",""), HYPERLINK(CONCATENATE("#Metadata!", ADDRESS(INDEX($AI$2:$AI$1001,MATCH(ROWS($AG$2:AG659),$AG$2:$AG$1001,0),0), INDEX($AN$1004:$BO$1004,1,MATCH(COLUMNS($AN$1006:BK1006),$AN$1006:$BO$1006,0)))),"Fix")))</f>
        <v>0</v>
      </c>
      <c r="Z659" s="4">
        <f>IF(OR(INDEX($AH$2:$AH$1001,MATCH(ROWS($AG$2:AG659),$AG$2:$AG$1001,0),1)&gt;=100000,INDEX($AN$1005:$BO$1005,1,MATCH(COLUMNS($AN$1006:BL1006),$AN$1006:$BO$1006,0))&gt;=100000), " ",IF(INDEX($AN$2:$BO$1001,MATCH(ROWS($AG$2:AG659),$AG$2:$AG$1001,0),MATCH(COLUMNS($AN$1006:BL1006),$AN$1006:$BO$1006,0)), HYPERLINK("#",""), HYPERLINK(CONCATENATE("#Metadata!", ADDRESS(INDEX($AI$2:$AI$1001,MATCH(ROWS($AG$2:AG659),$AG$2:$AG$1001,0),0), INDEX($AN$1004:$BO$1004,1,MATCH(COLUMNS($AN$1006:BL1006),$AN$1006:$BO$1006,0)))),"Fix")))</f>
        <v>0</v>
      </c>
      <c r="AA659" s="4">
        <f>IF(OR(INDEX($AH$2:$AH$1001,MATCH(ROWS($AG$2:AG659),$AG$2:$AG$1001,0),1)&gt;=100000,INDEX($AN$1005:$BO$1005,1,MATCH(COLUMNS($AN$1006:BM1006),$AN$1006:$BO$1006,0))&gt;=100000), " ",IF(INDEX($AN$2:$BO$1001,MATCH(ROWS($AG$2:AG659),$AG$2:$AG$1001,0),MATCH(COLUMNS($AN$1006:BM1006),$AN$1006:$BO$1006,0)), HYPERLINK("#",""), HYPERLINK(CONCATENATE("#Metadata!", ADDRESS(INDEX($AI$2:$AI$1001,MATCH(ROWS($AG$2:AG659),$AG$2:$AG$1001,0),0), INDEX($AN$1004:$BO$1004,1,MATCH(COLUMNS($AN$1006:BM1006),$AN$1006:$BO$1006,0)))),"Fix")))</f>
        <v>0</v>
      </c>
      <c r="AB659" s="4">
        <f>IF(OR(INDEX($AH$2:$AH$1001,MATCH(ROWS($AG$2:AG659),$AG$2:$AG$1001,0),1)&gt;=100000,INDEX($AN$1005:$BO$1005,1,MATCH(COLUMNS($AN$1006:BN1006),$AN$1006:$BO$1006,0))&gt;=100000), " ",IF(INDEX($AN$2:$BO$1001,MATCH(ROWS($AG$2:AG659),$AG$2:$AG$1001,0),MATCH(COLUMNS($AN$1006:BN1006),$AN$1006:$BO$1006,0)), HYPERLINK("#",""), HYPERLINK(CONCATENATE("#Metadata!", ADDRESS(INDEX($AI$2:$AI$1001,MATCH(ROWS($AG$2:AG659),$AG$2:$AG$1001,0),0), INDEX($AN$1004:$BO$1004,1,MATCH(COLUMNS($AN$1006:BN1006),$AN$1006:$BO$1006,0)))),"Fix")))</f>
        <v>0</v>
      </c>
      <c r="AC659" s="4">
        <f>IF(OR(INDEX($AH$2:$AH$1001,MATCH(ROWS($AG$2:AG659),$AG$2:$AG$1001,0),1)&gt;=100000,INDEX($AN$1005:$BO$1005,1,MATCH(COLUMNS($AN$1006:BO1006),$AN$1006:$BO$1006,0))&gt;=100000), " ",IF(INDEX($AN$2:$BO$1001,MATCH(ROWS($AG$2:AG659),$AG$2:$AG$1001,0),MATCH(COLUMNS($AN$1006:BO1006),$AN$1006:$BO$1006,0)), HYPERLINK("#",""), HYPERLINK(CONCATENATE("#Metadata!", ADDRESS(INDEX($AI$2:$AI$1001,MATCH(ROWS($AG$2:AG659),$AG$2:$AG$1001,0),0), INDEX($AN$1004:$BO$1004,1,MATCH(COLUMNS($AN$1006:BO1006),$AN$1006:$BO$1006,0)))),"Fix")))</f>
        <v>0</v>
      </c>
      <c r="AG659">
        <v>0</v>
      </c>
      <c r="AH659">
        <v>0</v>
      </c>
      <c r="AI659">
        <v>0</v>
      </c>
      <c r="AJ659">
        <f>IF(AK659,TRUE,AND(AN659:BO659))</f>
        <v>0</v>
      </c>
      <c r="AK659">
        <f>COUNTBLANK(Metadata!B659:AC659)=COLUMNS(Metadata!B659:AC659)</f>
        <v>0</v>
      </c>
      <c r="AL659">
        <v>0</v>
      </c>
      <c r="AN659">
        <f>AND(IF(Metadata!B659="",FALSE,TRUE),COUNTIF(Metadata!B:B, Metadata!B659) = 1,NOT(ISERROR(SUMPRODUCT(SEARCH(MID(Metadata!B659,ROW(INDIRECT("1:"&amp;LEN(Metadata!B659))), 1),"0123456789abcdefghijklmnopqrstuvwxyzABCDEFGHIJKLMNOPQRSTUVWXYZ.")))))</f>
        <v>0</v>
      </c>
      <c r="AO659">
        <f>IF(Metadata!C659="",FALSE,TRUE)</f>
        <v>0</v>
      </c>
      <c r="AP659">
        <f>IF(Metadata!D659="",FALSE,TRUE)</f>
        <v>0</v>
      </c>
      <c r="AQ659">
        <f>OR(AND(IF(Metadata!E659="",FALSE,TRUE),OR(exact(Metadata!E659,"not collected"),exact(Metadata!E659,"not provided"),exact(Metadata!E659,"restricted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R659">
        <f>IF(Metadata!F659="",FALSE,TRUE)</f>
        <v>0</v>
      </c>
      <c r="AS659">
        <f>OR(AND(IF(Metadata!G659="",FALSE,TRUE),OR(exact(Metadata!G659,"not collected"),exact(Metadata!G659,"not provided"))),AND(IF(Metadata!G659="",FALSE,TRUE),OR(exact(Metadata!G659,"TRUE"),exact(Metadata!G659,"FALSE"))))</f>
        <v>0</v>
      </c>
      <c r="AT659">
        <f>OR(AND(IF(Metadata!H659="",FALSE,TRUE),OR(exact(Metadata!H659,"not collected"),exact(Metadata!H659,"not provided"),exact(Metadata!H659,"restricted access"))),AND(IF(Metadata!H659="",FALSE,ISNUMBER(VALUE(Metadata!H659))),Metadata!H659&gt;=-413.0))</f>
        <v>0</v>
      </c>
      <c r="AU659">
        <f>AND(IF(Metadata!I659="",FALSE,TRUE),exact(Metadata!I659,"meters"))</f>
        <v>0</v>
      </c>
      <c r="AV659">
        <f>AND(IF(Metadata!J659="",FALSE,TRUE),OR(exact(Metadata!J659,"Host-associated"),exact(Metadata!J659,"Free-living")))</f>
        <v>0</v>
      </c>
      <c r="AW659">
        <f>AND(IF(Metadata!K659="",FALSE,TRUE),OR(exact(Metadata!K659,"Animal"),exact(Metadata!K659,"Fungus"),exact(Metadata!K659,"Plant"),exact(Metadata!K659,"Saline"),exact(Metadata!K659,"Non-saline")))</f>
        <v>0</v>
      </c>
      <c r="AX659">
        <f>AND(IF(Metadata!L659="",FALSE,TRUE),OR(exact(Metadata!L659,"Plant secretion"),exact(Metadata!L659,"Plant rhizosphere"),exact(Metadata!L659,"Plant surface"),exact(Metadata!L659,"Plant corpus"),exact(Metadata!L659,"Fungus surface"),exact(Metadata!L659,"Fungus corpus"),exact(Metadata!L659,"Animal surface"),exact(Metadata!L659,"Animal proximal gut"),exact(Metadata!L659,"Animal corpus"),exact(Metadata!L659,"Animal distal gut"),exact(Metadata!L659,"Animal secretion"),exact(Metadata!L659,"Sub-surface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Y659">
        <f>IF(Metadata!M659="",FALSE,TRUE)</f>
        <v>0</v>
      </c>
      <c r="AZ659">
        <f>IF(Metadata!N659="",FALSE,TRUE)</f>
        <v>0</v>
      </c>
      <c r="BA659">
        <f>IF(Metadata!O659="",FALSE,TRUE)</f>
        <v>0</v>
      </c>
      <c r="BB659">
        <f>OR(AND(IF(Metadata!P659="",FALSE,TRUE),OR(exact(Metadata!P659,"not collected"),exact(Metadata!P659,"not provided"),exact(Metadata!P659,"restricted access"))),AND(IF(Metadata!P659="",FALSE,TRUE),OR(exact(Metadata!P659,"air"),exact(Metadata!P659,"built environment"),exact(Metadata!P659,"host-associated"),exact(Metadata!P659,"human-associated"),exact(Metadata!P659,"human-skin"),exact(Metadata!P659,"human-oral"),exact(Metadata!P659,"human-gut"),exact(Metadata!P659,"human-vaginal"),exact(Metadata!P659,"microbial mat/biofilm"),exact(Metadata!P659,"misc environment"),exact(Metadata!P659,"plant-associated"),exact(Metadata!P659,"sediment"),exact(Metadata!P659,"soil"),exact(Metadata!P659,"wastewater/sludge"),exact(Metadata!P659,"water"))))</f>
        <v>0</v>
      </c>
      <c r="BC659">
        <f>IF(Metadata!Q659="",FALSE,TRUE)</f>
        <v>0</v>
      </c>
      <c r="BD659">
        <f>IF(Metadata!R659="",FALSE,TRUE)</f>
        <v>0</v>
      </c>
      <c r="BE659">
        <f>OR(AND(IF(Metadata!S659="",FALSE,TRUE),OR(exact(Metadata!S659,"not collected"),exact(Metadata!S659,"not provided"),exact(Metadata!S659,"restricted access"))),AND(IF(Metadata!S659="",FALSE,ISNUMBER(VALUE(Metadata!S659))),Metadata!S659&gt;=-90.00,Metadata!S659&lt;=90.00))</f>
        <v>0</v>
      </c>
      <c r="BF659">
        <f>AND(IF(Metadata!T659="",FALSE,TRUE),exact(Metadata!T659,"Decimal degrees"))</f>
        <v>0</v>
      </c>
      <c r="BG659">
        <f>OR(AND(IF(Metadata!U659="",FALSE,TRUE),OR(exact(Metadata!U659,"not collected"),exact(Metadata!U659,"not provided"),exact(Metadata!U659,"restricted access"))),AND(IF(Metadata!U659="",FALSE,ISNUMBER(VALUE(Metadata!U659))),Metadata!U659&gt;=-180.00,Metadata!U659&lt;=180.00))</f>
        <v>0</v>
      </c>
      <c r="BH659">
        <f>AND(IF(Metadata!V659="",FALSE,TRUE),exact(Metadata!V659,"Decimal degrees"))</f>
        <v>0</v>
      </c>
      <c r="BI659">
        <f>IF(Metadata!W659="",FALSE,TRUE)</f>
        <v>0</v>
      </c>
      <c r="BJ659">
        <f>OR(AND(IF(Metadata!X659="",FALSE,TRUE),OR(exact(Metadata!X659,"not collected"),exact(Metadata!X659,"not provided"),exact(Metadata!X659,"restricted access"))),AND(IF(Metadata!X659="",FALSE,TRUE),OR(exact(Metadata!X659,"TRUE"),exact(Metadata!X659,"FALSE"))))</f>
        <v>0</v>
      </c>
      <c r="BK659">
        <f>AND(IF(Metadata!Y659="",FALSE,TRUE),exact(Metadata!Y659,"other"))</f>
        <v>0</v>
      </c>
      <c r="BL659">
        <f>IF(Metadata!Z659="",FALSE,TRUE)</f>
        <v>0</v>
      </c>
      <c r="BM659">
        <f>OR(AND(IF(Metadata!AA659="",FALSE,TRUE),OR(exact(Metadata!AA659,"not collected"),exact(Metadata!AA659,"not provided"))),AND(IF(Metadata!AA659="",FALSE,IF(ISERROR(INT(Metadata!AA659)),FALSE,INT(Metadata!AA659)=Metadata!AA659)),Metadata!AA659&gt;0))</f>
        <v>0</v>
      </c>
      <c r="BN659">
        <f>AND(IF(Metadata!AB659="",FALSE,TRUE),exact(Metadata!AB659,"Not applicable"))</f>
        <v>0</v>
      </c>
      <c r="BO659">
        <f>IF(Metadata!AC659="",FALSE,TRUE)</f>
        <v>0</v>
      </c>
    </row>
    <row r="660" spans="1:67">
      <c r="A660" s="5">
        <f>IF(B660=" "," ",HYPERLINK(CONCATENATE("#metadata!",ADDRESS(INDEX($AI$2:$AI$1001,MATCH(ROWS($AG$2:AG660),$AG$2:$AG$1001,0),0),1)),INDEX($AL$2:$AL$1001,MATCH(ROWS($AG$2:AG660),$AG$2:$AG$1001,0),0)))</f>
        <v>0</v>
      </c>
      <c r="B660" s="4">
        <f>IF(OR(INDEX($AH$2:$AH$1001,MATCH(ROWS($AG$2:AG660),$AG$2:$AG$1001,0),1)&gt;=100000,INDEX($AN$1005:$BO$1005,1,MATCH(COLUMNS($AN$1006:AN1006),$AN$1006:$BO$1006,0))&gt;=100000), " ",IF(INDEX($AN$2:$BO$1001,MATCH(ROWS($AG$2:AG660),$AG$2:$AG$1001,0),MATCH(COLUMNS($AN$1006:AN1006),$AN$1006:$BO$1006,0)), HYPERLINK("#",""), HYPERLINK(CONCATENATE("#Metadata!", ADDRESS(INDEX($AI$2:$AI$1001,MATCH(ROWS($AG$2:AG660),$AG$2:$AG$1001,0),0), INDEX($AN$1004:$BO$1004,1,MATCH(COLUMNS($AN$1006:AN1006),$AN$1006:$BO$1006,0)))),"Fix")))</f>
        <v>0</v>
      </c>
      <c r="C660" s="4">
        <f>IF(OR(INDEX($AH$2:$AH$1001,MATCH(ROWS($AG$2:AG660),$AG$2:$AG$1001,0),1)&gt;=100000,INDEX($AN$1005:$BO$1005,1,MATCH(COLUMNS($AN$1006:AO1006),$AN$1006:$BO$1006,0))&gt;=100000), " ",IF(INDEX($AN$2:$BO$1001,MATCH(ROWS($AG$2:AG660),$AG$2:$AG$1001,0),MATCH(COLUMNS($AN$1006:AO1006),$AN$1006:$BO$1006,0)), HYPERLINK("#",""), HYPERLINK(CONCATENATE("#Metadata!", ADDRESS(INDEX($AI$2:$AI$1001,MATCH(ROWS($AG$2:AG660),$AG$2:$AG$1001,0),0), INDEX($AN$1004:$BO$1004,1,MATCH(COLUMNS($AN$1006:AO1006),$AN$1006:$BO$1006,0)))),"Fix")))</f>
        <v>0</v>
      </c>
      <c r="D660" s="4">
        <f>IF(OR(INDEX($AH$2:$AH$1001,MATCH(ROWS($AG$2:AG660),$AG$2:$AG$1001,0),1)&gt;=100000,INDEX($AN$1005:$BO$1005,1,MATCH(COLUMNS($AN$1006:AP1006),$AN$1006:$BO$1006,0))&gt;=100000), " ",IF(INDEX($AN$2:$BO$1001,MATCH(ROWS($AG$2:AG660),$AG$2:$AG$1001,0),MATCH(COLUMNS($AN$1006:AP1006),$AN$1006:$BO$1006,0)), HYPERLINK("#",""), HYPERLINK(CONCATENATE("#Metadata!", ADDRESS(INDEX($AI$2:$AI$1001,MATCH(ROWS($AG$2:AG660),$AG$2:$AG$1001,0),0), INDEX($AN$1004:$BO$1004,1,MATCH(COLUMNS($AN$1006:AP1006),$AN$1006:$BO$1006,0)))),"Fix")))</f>
        <v>0</v>
      </c>
      <c r="E660" s="4">
        <f>IF(OR(INDEX($AH$2:$AH$1001,MATCH(ROWS($AG$2:AG660),$AG$2:$AG$1001,0),1)&gt;=100000,INDEX($AN$1005:$BO$1005,1,MATCH(COLUMNS($AN$1006:AQ1006),$AN$1006:$BO$1006,0))&gt;=100000), " ",IF(INDEX($AN$2:$BO$1001,MATCH(ROWS($AG$2:AG660),$AG$2:$AG$1001,0),MATCH(COLUMNS($AN$1006:AQ1006),$AN$1006:$BO$1006,0)), HYPERLINK("#",""), HYPERLINK(CONCATENATE("#Metadata!", ADDRESS(INDEX($AI$2:$AI$1001,MATCH(ROWS($AG$2:AG660),$AG$2:$AG$1001,0),0), INDEX($AN$1004:$BO$1004,1,MATCH(COLUMNS($AN$1006:AQ1006),$AN$1006:$BO$1006,0)))),"Fix")))</f>
        <v>0</v>
      </c>
      <c r="F660" s="4">
        <f>IF(OR(INDEX($AH$2:$AH$1001,MATCH(ROWS($AG$2:AG660),$AG$2:$AG$1001,0),1)&gt;=100000,INDEX($AN$1005:$BO$1005,1,MATCH(COLUMNS($AN$1006:AR1006),$AN$1006:$BO$1006,0))&gt;=100000), " ",IF(INDEX($AN$2:$BO$1001,MATCH(ROWS($AG$2:AG660),$AG$2:$AG$1001,0),MATCH(COLUMNS($AN$1006:AR1006),$AN$1006:$BO$1006,0)), HYPERLINK("#",""), HYPERLINK(CONCATENATE("#Metadata!", ADDRESS(INDEX($AI$2:$AI$1001,MATCH(ROWS($AG$2:AG660),$AG$2:$AG$1001,0),0), INDEX($AN$1004:$BO$1004,1,MATCH(COLUMNS($AN$1006:AR1006),$AN$1006:$BO$1006,0)))),"Fix")))</f>
        <v>0</v>
      </c>
      <c r="G660" s="4">
        <f>IF(OR(INDEX($AH$2:$AH$1001,MATCH(ROWS($AG$2:AG660),$AG$2:$AG$1001,0),1)&gt;=100000,INDEX($AN$1005:$BO$1005,1,MATCH(COLUMNS($AN$1006:AS1006),$AN$1006:$BO$1006,0))&gt;=100000), " ",IF(INDEX($AN$2:$BO$1001,MATCH(ROWS($AG$2:AG660),$AG$2:$AG$1001,0),MATCH(COLUMNS($AN$1006:AS1006),$AN$1006:$BO$1006,0)), HYPERLINK("#",""), HYPERLINK(CONCATENATE("#Metadata!", ADDRESS(INDEX($AI$2:$AI$1001,MATCH(ROWS($AG$2:AG660),$AG$2:$AG$1001,0),0), INDEX($AN$1004:$BO$1004,1,MATCH(COLUMNS($AN$1006:AS1006),$AN$1006:$BO$1006,0)))),"Fix")))</f>
        <v>0</v>
      </c>
      <c r="H660" s="4">
        <f>IF(OR(INDEX($AH$2:$AH$1001,MATCH(ROWS($AG$2:AG660),$AG$2:$AG$1001,0),1)&gt;=100000,INDEX($AN$1005:$BO$1005,1,MATCH(COLUMNS($AN$1006:AT1006),$AN$1006:$BO$1006,0))&gt;=100000), " ",IF(INDEX($AN$2:$BO$1001,MATCH(ROWS($AG$2:AG660),$AG$2:$AG$1001,0),MATCH(COLUMNS($AN$1006:AT1006),$AN$1006:$BO$1006,0)), HYPERLINK("#",""), HYPERLINK(CONCATENATE("#Metadata!", ADDRESS(INDEX($AI$2:$AI$1001,MATCH(ROWS($AG$2:AG660),$AG$2:$AG$1001,0),0), INDEX($AN$1004:$BO$1004,1,MATCH(COLUMNS($AN$1006:AT1006),$AN$1006:$BO$1006,0)))),"Fix")))</f>
        <v>0</v>
      </c>
      <c r="I660" s="4">
        <f>IF(OR(INDEX($AH$2:$AH$1001,MATCH(ROWS($AG$2:AG660),$AG$2:$AG$1001,0),1)&gt;=100000,INDEX($AN$1005:$BO$1005,1,MATCH(COLUMNS($AN$1006:AU1006),$AN$1006:$BO$1006,0))&gt;=100000), " ",IF(INDEX($AN$2:$BO$1001,MATCH(ROWS($AG$2:AG660),$AG$2:$AG$1001,0),MATCH(COLUMNS($AN$1006:AU1006),$AN$1006:$BO$1006,0)), HYPERLINK("#",""), HYPERLINK(CONCATENATE("#Metadata!", ADDRESS(INDEX($AI$2:$AI$1001,MATCH(ROWS($AG$2:AG660),$AG$2:$AG$1001,0),0), INDEX($AN$1004:$BO$1004,1,MATCH(COLUMNS($AN$1006:AU1006),$AN$1006:$BO$1006,0)))),"Fix")))</f>
        <v>0</v>
      </c>
      <c r="J660" s="4">
        <f>IF(OR(INDEX($AH$2:$AH$1001,MATCH(ROWS($AG$2:AG660),$AG$2:$AG$1001,0),1)&gt;=100000,INDEX($AN$1005:$BO$1005,1,MATCH(COLUMNS($AN$1006:AV1006),$AN$1006:$BO$1006,0))&gt;=100000), " ",IF(INDEX($AN$2:$BO$1001,MATCH(ROWS($AG$2:AG660),$AG$2:$AG$1001,0),MATCH(COLUMNS($AN$1006:AV1006),$AN$1006:$BO$1006,0)), HYPERLINK("#",""), HYPERLINK(CONCATENATE("#Metadata!", ADDRESS(INDEX($AI$2:$AI$1001,MATCH(ROWS($AG$2:AG660),$AG$2:$AG$1001,0),0), INDEX($AN$1004:$BO$1004,1,MATCH(COLUMNS($AN$1006:AV1006),$AN$1006:$BO$1006,0)))),"Fix")))</f>
        <v>0</v>
      </c>
      <c r="K660" s="4">
        <f>IF(OR(INDEX($AH$2:$AH$1001,MATCH(ROWS($AG$2:AG660),$AG$2:$AG$1001,0),1)&gt;=100000,INDEX($AN$1005:$BO$1005,1,MATCH(COLUMNS($AN$1006:AW1006),$AN$1006:$BO$1006,0))&gt;=100000), " ",IF(INDEX($AN$2:$BO$1001,MATCH(ROWS($AG$2:AG660),$AG$2:$AG$1001,0),MATCH(COLUMNS($AN$1006:AW1006),$AN$1006:$BO$1006,0)), HYPERLINK("#",""), HYPERLINK(CONCATENATE("#Metadata!", ADDRESS(INDEX($AI$2:$AI$1001,MATCH(ROWS($AG$2:AG660),$AG$2:$AG$1001,0),0), INDEX($AN$1004:$BO$1004,1,MATCH(COLUMNS($AN$1006:AW1006),$AN$1006:$BO$1006,0)))),"Fix")))</f>
        <v>0</v>
      </c>
      <c r="L660" s="4">
        <f>IF(OR(INDEX($AH$2:$AH$1001,MATCH(ROWS($AG$2:AG660),$AG$2:$AG$1001,0),1)&gt;=100000,INDEX($AN$1005:$BO$1005,1,MATCH(COLUMNS($AN$1006:AX1006),$AN$1006:$BO$1006,0))&gt;=100000), " ",IF(INDEX($AN$2:$BO$1001,MATCH(ROWS($AG$2:AG660),$AG$2:$AG$1001,0),MATCH(COLUMNS($AN$1006:AX1006),$AN$1006:$BO$1006,0)), HYPERLINK("#",""), HYPERLINK(CONCATENATE("#Metadata!", ADDRESS(INDEX($AI$2:$AI$1001,MATCH(ROWS($AG$2:AG660),$AG$2:$AG$1001,0),0), INDEX($AN$1004:$BO$1004,1,MATCH(COLUMNS($AN$1006:AX1006),$AN$1006:$BO$1006,0)))),"Fix")))</f>
        <v>0</v>
      </c>
      <c r="M660" s="4">
        <f>IF(OR(INDEX($AH$2:$AH$1001,MATCH(ROWS($AG$2:AG660),$AG$2:$AG$1001,0),1)&gt;=100000,INDEX($AN$1005:$BO$1005,1,MATCH(COLUMNS($AN$1006:AY1006),$AN$1006:$BO$1006,0))&gt;=100000), " ",IF(INDEX($AN$2:$BO$1001,MATCH(ROWS($AG$2:AG660),$AG$2:$AG$1001,0),MATCH(COLUMNS($AN$1006:AY1006),$AN$1006:$BO$1006,0)), HYPERLINK("#",""), HYPERLINK(CONCATENATE("#Metadata!", ADDRESS(INDEX($AI$2:$AI$1001,MATCH(ROWS($AG$2:AG660),$AG$2:$AG$1001,0),0), INDEX($AN$1004:$BO$1004,1,MATCH(COLUMNS($AN$1006:AY1006),$AN$1006:$BO$1006,0)))),"Fix")))</f>
        <v>0</v>
      </c>
      <c r="N660" s="4">
        <f>IF(OR(INDEX($AH$2:$AH$1001,MATCH(ROWS($AG$2:AG660),$AG$2:$AG$1001,0),1)&gt;=100000,INDEX($AN$1005:$BO$1005,1,MATCH(COLUMNS($AN$1006:AZ1006),$AN$1006:$BO$1006,0))&gt;=100000), " ",IF(INDEX($AN$2:$BO$1001,MATCH(ROWS($AG$2:AG660),$AG$2:$AG$1001,0),MATCH(COLUMNS($AN$1006:AZ1006),$AN$1006:$BO$1006,0)), HYPERLINK("#",""), HYPERLINK(CONCATENATE("#Metadata!", ADDRESS(INDEX($AI$2:$AI$1001,MATCH(ROWS($AG$2:AG660),$AG$2:$AG$1001,0),0), INDEX($AN$1004:$BO$1004,1,MATCH(COLUMNS($AN$1006:AZ1006),$AN$1006:$BO$1006,0)))),"Fix")))</f>
        <v>0</v>
      </c>
      <c r="O660" s="4">
        <f>IF(OR(INDEX($AH$2:$AH$1001,MATCH(ROWS($AG$2:AG660),$AG$2:$AG$1001,0),1)&gt;=100000,INDEX($AN$1005:$BO$1005,1,MATCH(COLUMNS($AN$1006:BA1006),$AN$1006:$BO$1006,0))&gt;=100000), " ",IF(INDEX($AN$2:$BO$1001,MATCH(ROWS($AG$2:AG660),$AG$2:$AG$1001,0),MATCH(COLUMNS($AN$1006:BA1006),$AN$1006:$BO$1006,0)), HYPERLINK("#",""), HYPERLINK(CONCATENATE("#Metadata!", ADDRESS(INDEX($AI$2:$AI$1001,MATCH(ROWS($AG$2:AG660),$AG$2:$AG$1001,0),0), INDEX($AN$1004:$BO$1004,1,MATCH(COLUMNS($AN$1006:BA1006),$AN$1006:$BO$1006,0)))),"Fix")))</f>
        <v>0</v>
      </c>
      <c r="P660" s="4">
        <f>IF(OR(INDEX($AH$2:$AH$1001,MATCH(ROWS($AG$2:AG660),$AG$2:$AG$1001,0),1)&gt;=100000,INDEX($AN$1005:$BO$1005,1,MATCH(COLUMNS($AN$1006:BB1006),$AN$1006:$BO$1006,0))&gt;=100000), " ",IF(INDEX($AN$2:$BO$1001,MATCH(ROWS($AG$2:AG660),$AG$2:$AG$1001,0),MATCH(COLUMNS($AN$1006:BB1006),$AN$1006:$BO$1006,0)), HYPERLINK("#",""), HYPERLINK(CONCATENATE("#Metadata!", ADDRESS(INDEX($AI$2:$AI$1001,MATCH(ROWS($AG$2:AG660),$AG$2:$AG$1001,0),0), INDEX($AN$1004:$BO$1004,1,MATCH(COLUMNS($AN$1006:BB1006),$AN$1006:$BO$1006,0)))),"Fix")))</f>
        <v>0</v>
      </c>
      <c r="Q660" s="4">
        <f>IF(OR(INDEX($AH$2:$AH$1001,MATCH(ROWS($AG$2:AG660),$AG$2:$AG$1001,0),1)&gt;=100000,INDEX($AN$1005:$BO$1005,1,MATCH(COLUMNS($AN$1006:BC1006),$AN$1006:$BO$1006,0))&gt;=100000), " ",IF(INDEX($AN$2:$BO$1001,MATCH(ROWS($AG$2:AG660),$AG$2:$AG$1001,0),MATCH(COLUMNS($AN$1006:BC1006),$AN$1006:$BO$1006,0)), HYPERLINK("#",""), HYPERLINK(CONCATENATE("#Metadata!", ADDRESS(INDEX($AI$2:$AI$1001,MATCH(ROWS($AG$2:AG660),$AG$2:$AG$1001,0),0), INDEX($AN$1004:$BO$1004,1,MATCH(COLUMNS($AN$1006:BC1006),$AN$1006:$BO$1006,0)))),"Fix")))</f>
        <v>0</v>
      </c>
      <c r="R660" s="4">
        <f>IF(OR(INDEX($AH$2:$AH$1001,MATCH(ROWS($AG$2:AG660),$AG$2:$AG$1001,0),1)&gt;=100000,INDEX($AN$1005:$BO$1005,1,MATCH(COLUMNS($AN$1006:BD1006),$AN$1006:$BO$1006,0))&gt;=100000), " ",IF(INDEX($AN$2:$BO$1001,MATCH(ROWS($AG$2:AG660),$AG$2:$AG$1001,0),MATCH(COLUMNS($AN$1006:BD1006),$AN$1006:$BO$1006,0)), HYPERLINK("#",""), HYPERLINK(CONCATENATE("#Metadata!", ADDRESS(INDEX($AI$2:$AI$1001,MATCH(ROWS($AG$2:AG660),$AG$2:$AG$1001,0),0), INDEX($AN$1004:$BO$1004,1,MATCH(COLUMNS($AN$1006:BD1006),$AN$1006:$BO$1006,0)))),"Fix")))</f>
        <v>0</v>
      </c>
      <c r="S660" s="4">
        <f>IF(OR(INDEX($AH$2:$AH$1001,MATCH(ROWS($AG$2:AG660),$AG$2:$AG$1001,0),1)&gt;=100000,INDEX($AN$1005:$BO$1005,1,MATCH(COLUMNS($AN$1006:BE1006),$AN$1006:$BO$1006,0))&gt;=100000), " ",IF(INDEX($AN$2:$BO$1001,MATCH(ROWS($AG$2:AG660),$AG$2:$AG$1001,0),MATCH(COLUMNS($AN$1006:BE1006),$AN$1006:$BO$1006,0)), HYPERLINK("#",""), HYPERLINK(CONCATENATE("#Metadata!", ADDRESS(INDEX($AI$2:$AI$1001,MATCH(ROWS($AG$2:AG660),$AG$2:$AG$1001,0),0), INDEX($AN$1004:$BO$1004,1,MATCH(COLUMNS($AN$1006:BE1006),$AN$1006:$BO$1006,0)))),"Fix")))</f>
        <v>0</v>
      </c>
      <c r="T660" s="4">
        <f>IF(OR(INDEX($AH$2:$AH$1001,MATCH(ROWS($AG$2:AG660),$AG$2:$AG$1001,0),1)&gt;=100000,INDEX($AN$1005:$BO$1005,1,MATCH(COLUMNS($AN$1006:BF1006),$AN$1006:$BO$1006,0))&gt;=100000), " ",IF(INDEX($AN$2:$BO$1001,MATCH(ROWS($AG$2:AG660),$AG$2:$AG$1001,0),MATCH(COLUMNS($AN$1006:BF1006),$AN$1006:$BO$1006,0)), HYPERLINK("#",""), HYPERLINK(CONCATENATE("#Metadata!", ADDRESS(INDEX($AI$2:$AI$1001,MATCH(ROWS($AG$2:AG660),$AG$2:$AG$1001,0),0), INDEX($AN$1004:$BO$1004,1,MATCH(COLUMNS($AN$1006:BF1006),$AN$1006:$BO$1006,0)))),"Fix")))</f>
        <v>0</v>
      </c>
      <c r="U660" s="4">
        <f>IF(OR(INDEX($AH$2:$AH$1001,MATCH(ROWS($AG$2:AG660),$AG$2:$AG$1001,0),1)&gt;=100000,INDEX($AN$1005:$BO$1005,1,MATCH(COLUMNS($AN$1006:BG1006),$AN$1006:$BO$1006,0))&gt;=100000), " ",IF(INDEX($AN$2:$BO$1001,MATCH(ROWS($AG$2:AG660),$AG$2:$AG$1001,0),MATCH(COLUMNS($AN$1006:BG1006),$AN$1006:$BO$1006,0)), HYPERLINK("#",""), HYPERLINK(CONCATENATE("#Metadata!", ADDRESS(INDEX($AI$2:$AI$1001,MATCH(ROWS($AG$2:AG660),$AG$2:$AG$1001,0),0), INDEX($AN$1004:$BO$1004,1,MATCH(COLUMNS($AN$1006:BG1006),$AN$1006:$BO$1006,0)))),"Fix")))</f>
        <v>0</v>
      </c>
      <c r="V660" s="4">
        <f>IF(OR(INDEX($AH$2:$AH$1001,MATCH(ROWS($AG$2:AG660),$AG$2:$AG$1001,0),1)&gt;=100000,INDEX($AN$1005:$BO$1005,1,MATCH(COLUMNS($AN$1006:BH1006),$AN$1006:$BO$1006,0))&gt;=100000), " ",IF(INDEX($AN$2:$BO$1001,MATCH(ROWS($AG$2:AG660),$AG$2:$AG$1001,0),MATCH(COLUMNS($AN$1006:BH1006),$AN$1006:$BO$1006,0)), HYPERLINK("#",""), HYPERLINK(CONCATENATE("#Metadata!", ADDRESS(INDEX($AI$2:$AI$1001,MATCH(ROWS($AG$2:AG660),$AG$2:$AG$1001,0),0), INDEX($AN$1004:$BO$1004,1,MATCH(COLUMNS($AN$1006:BH1006),$AN$1006:$BO$1006,0)))),"Fix")))</f>
        <v>0</v>
      </c>
      <c r="W660" s="4">
        <f>IF(OR(INDEX($AH$2:$AH$1001,MATCH(ROWS($AG$2:AG660),$AG$2:$AG$1001,0),1)&gt;=100000,INDEX($AN$1005:$BO$1005,1,MATCH(COLUMNS($AN$1006:BI1006),$AN$1006:$BO$1006,0))&gt;=100000), " ",IF(INDEX($AN$2:$BO$1001,MATCH(ROWS($AG$2:AG660),$AG$2:$AG$1001,0),MATCH(COLUMNS($AN$1006:BI1006),$AN$1006:$BO$1006,0)), HYPERLINK("#",""), HYPERLINK(CONCATENATE("#Metadata!", ADDRESS(INDEX($AI$2:$AI$1001,MATCH(ROWS($AG$2:AG660),$AG$2:$AG$1001,0),0), INDEX($AN$1004:$BO$1004,1,MATCH(COLUMNS($AN$1006:BI1006),$AN$1006:$BO$1006,0)))),"Fix")))</f>
        <v>0</v>
      </c>
      <c r="X660" s="4">
        <f>IF(OR(INDEX($AH$2:$AH$1001,MATCH(ROWS($AG$2:AG660),$AG$2:$AG$1001,0),1)&gt;=100000,INDEX($AN$1005:$BO$1005,1,MATCH(COLUMNS($AN$1006:BJ1006),$AN$1006:$BO$1006,0))&gt;=100000), " ",IF(INDEX($AN$2:$BO$1001,MATCH(ROWS($AG$2:AG660),$AG$2:$AG$1001,0),MATCH(COLUMNS($AN$1006:BJ1006),$AN$1006:$BO$1006,0)), HYPERLINK("#",""), HYPERLINK(CONCATENATE("#Metadata!", ADDRESS(INDEX($AI$2:$AI$1001,MATCH(ROWS($AG$2:AG660),$AG$2:$AG$1001,0),0), INDEX($AN$1004:$BO$1004,1,MATCH(COLUMNS($AN$1006:BJ1006),$AN$1006:$BO$1006,0)))),"Fix")))</f>
        <v>0</v>
      </c>
      <c r="Y660" s="4">
        <f>IF(OR(INDEX($AH$2:$AH$1001,MATCH(ROWS($AG$2:AG660),$AG$2:$AG$1001,0),1)&gt;=100000,INDEX($AN$1005:$BO$1005,1,MATCH(COLUMNS($AN$1006:BK1006),$AN$1006:$BO$1006,0))&gt;=100000), " ",IF(INDEX($AN$2:$BO$1001,MATCH(ROWS($AG$2:AG660),$AG$2:$AG$1001,0),MATCH(COLUMNS($AN$1006:BK1006),$AN$1006:$BO$1006,0)), HYPERLINK("#",""), HYPERLINK(CONCATENATE("#Metadata!", ADDRESS(INDEX($AI$2:$AI$1001,MATCH(ROWS($AG$2:AG660),$AG$2:$AG$1001,0),0), INDEX($AN$1004:$BO$1004,1,MATCH(COLUMNS($AN$1006:BK1006),$AN$1006:$BO$1006,0)))),"Fix")))</f>
        <v>0</v>
      </c>
      <c r="Z660" s="4">
        <f>IF(OR(INDEX($AH$2:$AH$1001,MATCH(ROWS($AG$2:AG660),$AG$2:$AG$1001,0),1)&gt;=100000,INDEX($AN$1005:$BO$1005,1,MATCH(COLUMNS($AN$1006:BL1006),$AN$1006:$BO$1006,0))&gt;=100000), " ",IF(INDEX($AN$2:$BO$1001,MATCH(ROWS($AG$2:AG660),$AG$2:$AG$1001,0),MATCH(COLUMNS($AN$1006:BL1006),$AN$1006:$BO$1006,0)), HYPERLINK("#",""), HYPERLINK(CONCATENATE("#Metadata!", ADDRESS(INDEX($AI$2:$AI$1001,MATCH(ROWS($AG$2:AG660),$AG$2:$AG$1001,0),0), INDEX($AN$1004:$BO$1004,1,MATCH(COLUMNS($AN$1006:BL1006),$AN$1006:$BO$1006,0)))),"Fix")))</f>
        <v>0</v>
      </c>
      <c r="AA660" s="4">
        <f>IF(OR(INDEX($AH$2:$AH$1001,MATCH(ROWS($AG$2:AG660),$AG$2:$AG$1001,0),1)&gt;=100000,INDEX($AN$1005:$BO$1005,1,MATCH(COLUMNS($AN$1006:BM1006),$AN$1006:$BO$1006,0))&gt;=100000), " ",IF(INDEX($AN$2:$BO$1001,MATCH(ROWS($AG$2:AG660),$AG$2:$AG$1001,0),MATCH(COLUMNS($AN$1006:BM1006),$AN$1006:$BO$1006,0)), HYPERLINK("#",""), HYPERLINK(CONCATENATE("#Metadata!", ADDRESS(INDEX($AI$2:$AI$1001,MATCH(ROWS($AG$2:AG660),$AG$2:$AG$1001,0),0), INDEX($AN$1004:$BO$1004,1,MATCH(COLUMNS($AN$1006:BM1006),$AN$1006:$BO$1006,0)))),"Fix")))</f>
        <v>0</v>
      </c>
      <c r="AB660" s="4">
        <f>IF(OR(INDEX($AH$2:$AH$1001,MATCH(ROWS($AG$2:AG660),$AG$2:$AG$1001,0),1)&gt;=100000,INDEX($AN$1005:$BO$1005,1,MATCH(COLUMNS($AN$1006:BN1006),$AN$1006:$BO$1006,0))&gt;=100000), " ",IF(INDEX($AN$2:$BO$1001,MATCH(ROWS($AG$2:AG660),$AG$2:$AG$1001,0),MATCH(COLUMNS($AN$1006:BN1006),$AN$1006:$BO$1006,0)), HYPERLINK("#",""), HYPERLINK(CONCATENATE("#Metadata!", ADDRESS(INDEX($AI$2:$AI$1001,MATCH(ROWS($AG$2:AG660),$AG$2:$AG$1001,0),0), INDEX($AN$1004:$BO$1004,1,MATCH(COLUMNS($AN$1006:BN1006),$AN$1006:$BO$1006,0)))),"Fix")))</f>
        <v>0</v>
      </c>
      <c r="AC660" s="4">
        <f>IF(OR(INDEX($AH$2:$AH$1001,MATCH(ROWS($AG$2:AG660),$AG$2:$AG$1001,0),1)&gt;=100000,INDEX($AN$1005:$BO$1005,1,MATCH(COLUMNS($AN$1006:BO1006),$AN$1006:$BO$1006,0))&gt;=100000), " ",IF(INDEX($AN$2:$BO$1001,MATCH(ROWS($AG$2:AG660),$AG$2:$AG$1001,0),MATCH(COLUMNS($AN$1006:BO1006),$AN$1006:$BO$1006,0)), HYPERLINK("#",""), HYPERLINK(CONCATENATE("#Metadata!", ADDRESS(INDEX($AI$2:$AI$1001,MATCH(ROWS($AG$2:AG660),$AG$2:$AG$1001,0),0), INDEX($AN$1004:$BO$1004,1,MATCH(COLUMNS($AN$1006:BO1006),$AN$1006:$BO$1006,0)))),"Fix")))</f>
        <v>0</v>
      </c>
      <c r="AG660">
        <v>0</v>
      </c>
      <c r="AH660">
        <v>0</v>
      </c>
      <c r="AI660">
        <v>0</v>
      </c>
      <c r="AJ660">
        <f>IF(AK660,TRUE,AND(AN660:BO660))</f>
        <v>0</v>
      </c>
      <c r="AK660">
        <f>COUNTBLANK(Metadata!B660:AC660)=COLUMNS(Metadata!B660:AC660)</f>
        <v>0</v>
      </c>
      <c r="AL660">
        <v>0</v>
      </c>
      <c r="AN660">
        <f>AND(IF(Metadata!B660="",FALSE,TRUE),COUNTIF(Metadata!B:B, Metadata!B660) = 1,NOT(ISERROR(SUMPRODUCT(SEARCH(MID(Metadata!B660,ROW(INDIRECT("1:"&amp;LEN(Metadata!B660))), 1),"0123456789abcdefghijklmnopqrstuvwxyzABCDEFGHIJKLMNOPQRSTUVWXYZ.")))))</f>
        <v>0</v>
      </c>
      <c r="AO660">
        <f>IF(Metadata!C660="",FALSE,TRUE)</f>
        <v>0</v>
      </c>
      <c r="AP660">
        <f>IF(Metadata!D660="",FALSE,TRUE)</f>
        <v>0</v>
      </c>
      <c r="AQ660">
        <f>OR(AND(IF(Metadata!E660="",FALSE,TRUE),OR(exact(Metadata!E660,"not collected"),exact(Metadata!E660,"not provided"),exact(Metadata!E660,"restricted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R660">
        <f>IF(Metadata!F660="",FALSE,TRUE)</f>
        <v>0</v>
      </c>
      <c r="AS660">
        <f>OR(AND(IF(Metadata!G660="",FALSE,TRUE),OR(exact(Metadata!G660,"not collected"),exact(Metadata!G660,"not provided"))),AND(IF(Metadata!G660="",FALSE,TRUE),OR(exact(Metadata!G660,"TRUE"),exact(Metadata!G660,"FALSE"))))</f>
        <v>0</v>
      </c>
      <c r="AT660">
        <f>OR(AND(IF(Metadata!H660="",FALSE,TRUE),OR(exact(Metadata!H660,"not collected"),exact(Metadata!H660,"not provided"),exact(Metadata!H660,"restricted access"))),AND(IF(Metadata!H660="",FALSE,ISNUMBER(VALUE(Metadata!H660))),Metadata!H660&gt;=-413.0))</f>
        <v>0</v>
      </c>
      <c r="AU660">
        <f>AND(IF(Metadata!I660="",FALSE,TRUE),exact(Metadata!I660,"meters"))</f>
        <v>0</v>
      </c>
      <c r="AV660">
        <f>AND(IF(Metadata!J660="",FALSE,TRUE),OR(exact(Metadata!J660,"Host-associated"),exact(Metadata!J660,"Free-living")))</f>
        <v>0</v>
      </c>
      <c r="AW660">
        <f>AND(IF(Metadata!K660="",FALSE,TRUE),OR(exact(Metadata!K660,"Animal"),exact(Metadata!K660,"Fungus"),exact(Metadata!K660,"Plant"),exact(Metadata!K660,"Saline"),exact(Metadata!K660,"Non-saline")))</f>
        <v>0</v>
      </c>
      <c r="AX660">
        <f>AND(IF(Metadata!L660="",FALSE,TRUE),OR(exact(Metadata!L660,"Plant secretion"),exact(Metadata!L660,"Plant rhizosphere"),exact(Metadata!L660,"Plant surface"),exact(Metadata!L660,"Plant corpus"),exact(Metadata!L660,"Fungus surface"),exact(Metadata!L660,"Fungus corpus"),exact(Metadata!L660,"Animal surface"),exact(Metadata!L660,"Animal proximal gut"),exact(Metadata!L660,"Animal corpus"),exact(Metadata!L660,"Animal distal gut"),exact(Metadata!L660,"Animal secretion"),exact(Metadata!L660,"Sub-surface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Y660">
        <f>IF(Metadata!M660="",FALSE,TRUE)</f>
        <v>0</v>
      </c>
      <c r="AZ660">
        <f>IF(Metadata!N660="",FALSE,TRUE)</f>
        <v>0</v>
      </c>
      <c r="BA660">
        <f>IF(Metadata!O660="",FALSE,TRUE)</f>
        <v>0</v>
      </c>
      <c r="BB660">
        <f>OR(AND(IF(Metadata!P660="",FALSE,TRUE),OR(exact(Metadata!P660,"not collected"),exact(Metadata!P660,"not provided"),exact(Metadata!P660,"restricted access"))),AND(IF(Metadata!P660="",FALSE,TRUE),OR(exact(Metadata!P660,"air"),exact(Metadata!P660,"built environment"),exact(Metadata!P660,"host-associated"),exact(Metadata!P660,"human-associated"),exact(Metadata!P660,"human-skin"),exact(Metadata!P660,"human-oral"),exact(Metadata!P660,"human-gut"),exact(Metadata!P660,"human-vaginal"),exact(Metadata!P660,"microbial mat/biofilm"),exact(Metadata!P660,"misc environment"),exact(Metadata!P660,"plant-associated"),exact(Metadata!P660,"sediment"),exact(Metadata!P660,"soil"),exact(Metadata!P660,"wastewater/sludge"),exact(Metadata!P660,"water"))))</f>
        <v>0</v>
      </c>
      <c r="BC660">
        <f>IF(Metadata!Q660="",FALSE,TRUE)</f>
        <v>0</v>
      </c>
      <c r="BD660">
        <f>IF(Metadata!R660="",FALSE,TRUE)</f>
        <v>0</v>
      </c>
      <c r="BE660">
        <f>OR(AND(IF(Metadata!S660="",FALSE,TRUE),OR(exact(Metadata!S660,"not collected"),exact(Metadata!S660,"not provided"),exact(Metadata!S660,"restricted access"))),AND(IF(Metadata!S660="",FALSE,ISNUMBER(VALUE(Metadata!S660))),Metadata!S660&gt;=-90.00,Metadata!S660&lt;=90.00))</f>
        <v>0</v>
      </c>
      <c r="BF660">
        <f>AND(IF(Metadata!T660="",FALSE,TRUE),exact(Metadata!T660,"Decimal degrees"))</f>
        <v>0</v>
      </c>
      <c r="BG660">
        <f>OR(AND(IF(Metadata!U660="",FALSE,TRUE),OR(exact(Metadata!U660,"not collected"),exact(Metadata!U660,"not provided"),exact(Metadata!U660,"restricted access"))),AND(IF(Metadata!U660="",FALSE,ISNUMBER(VALUE(Metadata!U660))),Metadata!U660&gt;=-180.00,Metadata!U660&lt;=180.00))</f>
        <v>0</v>
      </c>
      <c r="BH660">
        <f>AND(IF(Metadata!V660="",FALSE,TRUE),exact(Metadata!V660,"Decimal degrees"))</f>
        <v>0</v>
      </c>
      <c r="BI660">
        <f>IF(Metadata!W660="",FALSE,TRUE)</f>
        <v>0</v>
      </c>
      <c r="BJ660">
        <f>OR(AND(IF(Metadata!X660="",FALSE,TRUE),OR(exact(Metadata!X660,"not collected"),exact(Metadata!X660,"not provided"),exact(Metadata!X660,"restricted access"))),AND(IF(Metadata!X660="",FALSE,TRUE),OR(exact(Metadata!X660,"TRUE"),exact(Metadata!X660,"FALSE"))))</f>
        <v>0</v>
      </c>
      <c r="BK660">
        <f>AND(IF(Metadata!Y660="",FALSE,TRUE),exact(Metadata!Y660,"other"))</f>
        <v>0</v>
      </c>
      <c r="BL660">
        <f>IF(Metadata!Z660="",FALSE,TRUE)</f>
        <v>0</v>
      </c>
      <c r="BM660">
        <f>OR(AND(IF(Metadata!AA660="",FALSE,TRUE),OR(exact(Metadata!AA660,"not collected"),exact(Metadata!AA660,"not provided"))),AND(IF(Metadata!AA660="",FALSE,IF(ISERROR(INT(Metadata!AA660)),FALSE,INT(Metadata!AA660)=Metadata!AA660)),Metadata!AA660&gt;0))</f>
        <v>0</v>
      </c>
      <c r="BN660">
        <f>AND(IF(Metadata!AB660="",FALSE,TRUE),exact(Metadata!AB660,"Not applicable"))</f>
        <v>0</v>
      </c>
      <c r="BO660">
        <f>IF(Metadata!AC660="",FALSE,TRUE)</f>
        <v>0</v>
      </c>
    </row>
    <row r="661" spans="1:67">
      <c r="A661" s="5">
        <f>IF(B661=" "," ",HYPERLINK(CONCATENATE("#metadata!",ADDRESS(INDEX($AI$2:$AI$1001,MATCH(ROWS($AG$2:AG661),$AG$2:$AG$1001,0),0),1)),INDEX($AL$2:$AL$1001,MATCH(ROWS($AG$2:AG661),$AG$2:$AG$1001,0),0)))</f>
        <v>0</v>
      </c>
      <c r="B661" s="4">
        <f>IF(OR(INDEX($AH$2:$AH$1001,MATCH(ROWS($AG$2:AG661),$AG$2:$AG$1001,0),1)&gt;=100000,INDEX($AN$1005:$BO$1005,1,MATCH(COLUMNS($AN$1006:AN1006),$AN$1006:$BO$1006,0))&gt;=100000), " ",IF(INDEX($AN$2:$BO$1001,MATCH(ROWS($AG$2:AG661),$AG$2:$AG$1001,0),MATCH(COLUMNS($AN$1006:AN1006),$AN$1006:$BO$1006,0)), HYPERLINK("#",""), HYPERLINK(CONCATENATE("#Metadata!", ADDRESS(INDEX($AI$2:$AI$1001,MATCH(ROWS($AG$2:AG661),$AG$2:$AG$1001,0),0), INDEX($AN$1004:$BO$1004,1,MATCH(COLUMNS($AN$1006:AN1006),$AN$1006:$BO$1006,0)))),"Fix")))</f>
        <v>0</v>
      </c>
      <c r="C661" s="4">
        <f>IF(OR(INDEX($AH$2:$AH$1001,MATCH(ROWS($AG$2:AG661),$AG$2:$AG$1001,0),1)&gt;=100000,INDEX($AN$1005:$BO$1005,1,MATCH(COLUMNS($AN$1006:AO1006),$AN$1006:$BO$1006,0))&gt;=100000), " ",IF(INDEX($AN$2:$BO$1001,MATCH(ROWS($AG$2:AG661),$AG$2:$AG$1001,0),MATCH(COLUMNS($AN$1006:AO1006),$AN$1006:$BO$1006,0)), HYPERLINK("#",""), HYPERLINK(CONCATENATE("#Metadata!", ADDRESS(INDEX($AI$2:$AI$1001,MATCH(ROWS($AG$2:AG661),$AG$2:$AG$1001,0),0), INDEX($AN$1004:$BO$1004,1,MATCH(COLUMNS($AN$1006:AO1006),$AN$1006:$BO$1006,0)))),"Fix")))</f>
        <v>0</v>
      </c>
      <c r="D661" s="4">
        <f>IF(OR(INDEX($AH$2:$AH$1001,MATCH(ROWS($AG$2:AG661),$AG$2:$AG$1001,0),1)&gt;=100000,INDEX($AN$1005:$BO$1005,1,MATCH(COLUMNS($AN$1006:AP1006),$AN$1006:$BO$1006,0))&gt;=100000), " ",IF(INDEX($AN$2:$BO$1001,MATCH(ROWS($AG$2:AG661),$AG$2:$AG$1001,0),MATCH(COLUMNS($AN$1006:AP1006),$AN$1006:$BO$1006,0)), HYPERLINK("#",""), HYPERLINK(CONCATENATE("#Metadata!", ADDRESS(INDEX($AI$2:$AI$1001,MATCH(ROWS($AG$2:AG661),$AG$2:$AG$1001,0),0), INDEX($AN$1004:$BO$1004,1,MATCH(COLUMNS($AN$1006:AP1006),$AN$1006:$BO$1006,0)))),"Fix")))</f>
        <v>0</v>
      </c>
      <c r="E661" s="4">
        <f>IF(OR(INDEX($AH$2:$AH$1001,MATCH(ROWS($AG$2:AG661),$AG$2:$AG$1001,0),1)&gt;=100000,INDEX($AN$1005:$BO$1005,1,MATCH(COLUMNS($AN$1006:AQ1006),$AN$1006:$BO$1006,0))&gt;=100000), " ",IF(INDEX($AN$2:$BO$1001,MATCH(ROWS($AG$2:AG661),$AG$2:$AG$1001,0),MATCH(COLUMNS($AN$1006:AQ1006),$AN$1006:$BO$1006,0)), HYPERLINK("#",""), HYPERLINK(CONCATENATE("#Metadata!", ADDRESS(INDEX($AI$2:$AI$1001,MATCH(ROWS($AG$2:AG661),$AG$2:$AG$1001,0),0), INDEX($AN$1004:$BO$1004,1,MATCH(COLUMNS($AN$1006:AQ1006),$AN$1006:$BO$1006,0)))),"Fix")))</f>
        <v>0</v>
      </c>
      <c r="F661" s="4">
        <f>IF(OR(INDEX($AH$2:$AH$1001,MATCH(ROWS($AG$2:AG661),$AG$2:$AG$1001,0),1)&gt;=100000,INDEX($AN$1005:$BO$1005,1,MATCH(COLUMNS($AN$1006:AR1006),$AN$1006:$BO$1006,0))&gt;=100000), " ",IF(INDEX($AN$2:$BO$1001,MATCH(ROWS($AG$2:AG661),$AG$2:$AG$1001,0),MATCH(COLUMNS($AN$1006:AR1006),$AN$1006:$BO$1006,0)), HYPERLINK("#",""), HYPERLINK(CONCATENATE("#Metadata!", ADDRESS(INDEX($AI$2:$AI$1001,MATCH(ROWS($AG$2:AG661),$AG$2:$AG$1001,0),0), INDEX($AN$1004:$BO$1004,1,MATCH(COLUMNS($AN$1006:AR1006),$AN$1006:$BO$1006,0)))),"Fix")))</f>
        <v>0</v>
      </c>
      <c r="G661" s="4">
        <f>IF(OR(INDEX($AH$2:$AH$1001,MATCH(ROWS($AG$2:AG661),$AG$2:$AG$1001,0),1)&gt;=100000,INDEX($AN$1005:$BO$1005,1,MATCH(COLUMNS($AN$1006:AS1006),$AN$1006:$BO$1006,0))&gt;=100000), " ",IF(INDEX($AN$2:$BO$1001,MATCH(ROWS($AG$2:AG661),$AG$2:$AG$1001,0),MATCH(COLUMNS($AN$1006:AS1006),$AN$1006:$BO$1006,0)), HYPERLINK("#",""), HYPERLINK(CONCATENATE("#Metadata!", ADDRESS(INDEX($AI$2:$AI$1001,MATCH(ROWS($AG$2:AG661),$AG$2:$AG$1001,0),0), INDEX($AN$1004:$BO$1004,1,MATCH(COLUMNS($AN$1006:AS1006),$AN$1006:$BO$1006,0)))),"Fix")))</f>
        <v>0</v>
      </c>
      <c r="H661" s="4">
        <f>IF(OR(INDEX($AH$2:$AH$1001,MATCH(ROWS($AG$2:AG661),$AG$2:$AG$1001,0),1)&gt;=100000,INDEX($AN$1005:$BO$1005,1,MATCH(COLUMNS($AN$1006:AT1006),$AN$1006:$BO$1006,0))&gt;=100000), " ",IF(INDEX($AN$2:$BO$1001,MATCH(ROWS($AG$2:AG661),$AG$2:$AG$1001,0),MATCH(COLUMNS($AN$1006:AT1006),$AN$1006:$BO$1006,0)), HYPERLINK("#",""), HYPERLINK(CONCATENATE("#Metadata!", ADDRESS(INDEX($AI$2:$AI$1001,MATCH(ROWS($AG$2:AG661),$AG$2:$AG$1001,0),0), INDEX($AN$1004:$BO$1004,1,MATCH(COLUMNS($AN$1006:AT1006),$AN$1006:$BO$1006,0)))),"Fix")))</f>
        <v>0</v>
      </c>
      <c r="I661" s="4">
        <f>IF(OR(INDEX($AH$2:$AH$1001,MATCH(ROWS($AG$2:AG661),$AG$2:$AG$1001,0),1)&gt;=100000,INDEX($AN$1005:$BO$1005,1,MATCH(COLUMNS($AN$1006:AU1006),$AN$1006:$BO$1006,0))&gt;=100000), " ",IF(INDEX($AN$2:$BO$1001,MATCH(ROWS($AG$2:AG661),$AG$2:$AG$1001,0),MATCH(COLUMNS($AN$1006:AU1006),$AN$1006:$BO$1006,0)), HYPERLINK("#",""), HYPERLINK(CONCATENATE("#Metadata!", ADDRESS(INDEX($AI$2:$AI$1001,MATCH(ROWS($AG$2:AG661),$AG$2:$AG$1001,0),0), INDEX($AN$1004:$BO$1004,1,MATCH(COLUMNS($AN$1006:AU1006),$AN$1006:$BO$1006,0)))),"Fix")))</f>
        <v>0</v>
      </c>
      <c r="J661" s="4">
        <f>IF(OR(INDEX($AH$2:$AH$1001,MATCH(ROWS($AG$2:AG661),$AG$2:$AG$1001,0),1)&gt;=100000,INDEX($AN$1005:$BO$1005,1,MATCH(COLUMNS($AN$1006:AV1006),$AN$1006:$BO$1006,0))&gt;=100000), " ",IF(INDEX($AN$2:$BO$1001,MATCH(ROWS($AG$2:AG661),$AG$2:$AG$1001,0),MATCH(COLUMNS($AN$1006:AV1006),$AN$1006:$BO$1006,0)), HYPERLINK("#",""), HYPERLINK(CONCATENATE("#Metadata!", ADDRESS(INDEX($AI$2:$AI$1001,MATCH(ROWS($AG$2:AG661),$AG$2:$AG$1001,0),0), INDEX($AN$1004:$BO$1004,1,MATCH(COLUMNS($AN$1006:AV1006),$AN$1006:$BO$1006,0)))),"Fix")))</f>
        <v>0</v>
      </c>
      <c r="K661" s="4">
        <f>IF(OR(INDEX($AH$2:$AH$1001,MATCH(ROWS($AG$2:AG661),$AG$2:$AG$1001,0),1)&gt;=100000,INDEX($AN$1005:$BO$1005,1,MATCH(COLUMNS($AN$1006:AW1006),$AN$1006:$BO$1006,0))&gt;=100000), " ",IF(INDEX($AN$2:$BO$1001,MATCH(ROWS($AG$2:AG661),$AG$2:$AG$1001,0),MATCH(COLUMNS($AN$1006:AW1006),$AN$1006:$BO$1006,0)), HYPERLINK("#",""), HYPERLINK(CONCATENATE("#Metadata!", ADDRESS(INDEX($AI$2:$AI$1001,MATCH(ROWS($AG$2:AG661),$AG$2:$AG$1001,0),0), INDEX($AN$1004:$BO$1004,1,MATCH(COLUMNS($AN$1006:AW1006),$AN$1006:$BO$1006,0)))),"Fix")))</f>
        <v>0</v>
      </c>
      <c r="L661" s="4">
        <f>IF(OR(INDEX($AH$2:$AH$1001,MATCH(ROWS($AG$2:AG661),$AG$2:$AG$1001,0),1)&gt;=100000,INDEX($AN$1005:$BO$1005,1,MATCH(COLUMNS($AN$1006:AX1006),$AN$1006:$BO$1006,0))&gt;=100000), " ",IF(INDEX($AN$2:$BO$1001,MATCH(ROWS($AG$2:AG661),$AG$2:$AG$1001,0),MATCH(COLUMNS($AN$1006:AX1006),$AN$1006:$BO$1006,0)), HYPERLINK("#",""), HYPERLINK(CONCATENATE("#Metadata!", ADDRESS(INDEX($AI$2:$AI$1001,MATCH(ROWS($AG$2:AG661),$AG$2:$AG$1001,0),0), INDEX($AN$1004:$BO$1004,1,MATCH(COLUMNS($AN$1006:AX1006),$AN$1006:$BO$1006,0)))),"Fix")))</f>
        <v>0</v>
      </c>
      <c r="M661" s="4">
        <f>IF(OR(INDEX($AH$2:$AH$1001,MATCH(ROWS($AG$2:AG661),$AG$2:$AG$1001,0),1)&gt;=100000,INDEX($AN$1005:$BO$1005,1,MATCH(COLUMNS($AN$1006:AY1006),$AN$1006:$BO$1006,0))&gt;=100000), " ",IF(INDEX($AN$2:$BO$1001,MATCH(ROWS($AG$2:AG661),$AG$2:$AG$1001,0),MATCH(COLUMNS($AN$1006:AY1006),$AN$1006:$BO$1006,0)), HYPERLINK("#",""), HYPERLINK(CONCATENATE("#Metadata!", ADDRESS(INDEX($AI$2:$AI$1001,MATCH(ROWS($AG$2:AG661),$AG$2:$AG$1001,0),0), INDEX($AN$1004:$BO$1004,1,MATCH(COLUMNS($AN$1006:AY1006),$AN$1006:$BO$1006,0)))),"Fix")))</f>
        <v>0</v>
      </c>
      <c r="N661" s="4">
        <f>IF(OR(INDEX($AH$2:$AH$1001,MATCH(ROWS($AG$2:AG661),$AG$2:$AG$1001,0),1)&gt;=100000,INDEX($AN$1005:$BO$1005,1,MATCH(COLUMNS($AN$1006:AZ1006),$AN$1006:$BO$1006,0))&gt;=100000), " ",IF(INDEX($AN$2:$BO$1001,MATCH(ROWS($AG$2:AG661),$AG$2:$AG$1001,0),MATCH(COLUMNS($AN$1006:AZ1006),$AN$1006:$BO$1006,0)), HYPERLINK("#",""), HYPERLINK(CONCATENATE("#Metadata!", ADDRESS(INDEX($AI$2:$AI$1001,MATCH(ROWS($AG$2:AG661),$AG$2:$AG$1001,0),0), INDEX($AN$1004:$BO$1004,1,MATCH(COLUMNS($AN$1006:AZ1006),$AN$1006:$BO$1006,0)))),"Fix")))</f>
        <v>0</v>
      </c>
      <c r="O661" s="4">
        <f>IF(OR(INDEX($AH$2:$AH$1001,MATCH(ROWS($AG$2:AG661),$AG$2:$AG$1001,0),1)&gt;=100000,INDEX($AN$1005:$BO$1005,1,MATCH(COLUMNS($AN$1006:BA1006),$AN$1006:$BO$1006,0))&gt;=100000), " ",IF(INDEX($AN$2:$BO$1001,MATCH(ROWS($AG$2:AG661),$AG$2:$AG$1001,0),MATCH(COLUMNS($AN$1006:BA1006),$AN$1006:$BO$1006,0)), HYPERLINK("#",""), HYPERLINK(CONCATENATE("#Metadata!", ADDRESS(INDEX($AI$2:$AI$1001,MATCH(ROWS($AG$2:AG661),$AG$2:$AG$1001,0),0), INDEX($AN$1004:$BO$1004,1,MATCH(COLUMNS($AN$1006:BA1006),$AN$1006:$BO$1006,0)))),"Fix")))</f>
        <v>0</v>
      </c>
      <c r="P661" s="4">
        <f>IF(OR(INDEX($AH$2:$AH$1001,MATCH(ROWS($AG$2:AG661),$AG$2:$AG$1001,0),1)&gt;=100000,INDEX($AN$1005:$BO$1005,1,MATCH(COLUMNS($AN$1006:BB1006),$AN$1006:$BO$1006,0))&gt;=100000), " ",IF(INDEX($AN$2:$BO$1001,MATCH(ROWS($AG$2:AG661),$AG$2:$AG$1001,0),MATCH(COLUMNS($AN$1006:BB1006),$AN$1006:$BO$1006,0)), HYPERLINK("#",""), HYPERLINK(CONCATENATE("#Metadata!", ADDRESS(INDEX($AI$2:$AI$1001,MATCH(ROWS($AG$2:AG661),$AG$2:$AG$1001,0),0), INDEX($AN$1004:$BO$1004,1,MATCH(COLUMNS($AN$1006:BB1006),$AN$1006:$BO$1006,0)))),"Fix")))</f>
        <v>0</v>
      </c>
      <c r="Q661" s="4">
        <f>IF(OR(INDEX($AH$2:$AH$1001,MATCH(ROWS($AG$2:AG661),$AG$2:$AG$1001,0),1)&gt;=100000,INDEX($AN$1005:$BO$1005,1,MATCH(COLUMNS($AN$1006:BC1006),$AN$1006:$BO$1006,0))&gt;=100000), " ",IF(INDEX($AN$2:$BO$1001,MATCH(ROWS($AG$2:AG661),$AG$2:$AG$1001,0),MATCH(COLUMNS($AN$1006:BC1006),$AN$1006:$BO$1006,0)), HYPERLINK("#",""), HYPERLINK(CONCATENATE("#Metadata!", ADDRESS(INDEX($AI$2:$AI$1001,MATCH(ROWS($AG$2:AG661),$AG$2:$AG$1001,0),0), INDEX($AN$1004:$BO$1004,1,MATCH(COLUMNS($AN$1006:BC1006),$AN$1006:$BO$1006,0)))),"Fix")))</f>
        <v>0</v>
      </c>
      <c r="R661" s="4">
        <f>IF(OR(INDEX($AH$2:$AH$1001,MATCH(ROWS($AG$2:AG661),$AG$2:$AG$1001,0),1)&gt;=100000,INDEX($AN$1005:$BO$1005,1,MATCH(COLUMNS($AN$1006:BD1006),$AN$1006:$BO$1006,0))&gt;=100000), " ",IF(INDEX($AN$2:$BO$1001,MATCH(ROWS($AG$2:AG661),$AG$2:$AG$1001,0),MATCH(COLUMNS($AN$1006:BD1006),$AN$1006:$BO$1006,0)), HYPERLINK("#",""), HYPERLINK(CONCATENATE("#Metadata!", ADDRESS(INDEX($AI$2:$AI$1001,MATCH(ROWS($AG$2:AG661),$AG$2:$AG$1001,0),0), INDEX($AN$1004:$BO$1004,1,MATCH(COLUMNS($AN$1006:BD1006),$AN$1006:$BO$1006,0)))),"Fix")))</f>
        <v>0</v>
      </c>
      <c r="S661" s="4">
        <f>IF(OR(INDEX($AH$2:$AH$1001,MATCH(ROWS($AG$2:AG661),$AG$2:$AG$1001,0),1)&gt;=100000,INDEX($AN$1005:$BO$1005,1,MATCH(COLUMNS($AN$1006:BE1006),$AN$1006:$BO$1006,0))&gt;=100000), " ",IF(INDEX($AN$2:$BO$1001,MATCH(ROWS($AG$2:AG661),$AG$2:$AG$1001,0),MATCH(COLUMNS($AN$1006:BE1006),$AN$1006:$BO$1006,0)), HYPERLINK("#",""), HYPERLINK(CONCATENATE("#Metadata!", ADDRESS(INDEX($AI$2:$AI$1001,MATCH(ROWS($AG$2:AG661),$AG$2:$AG$1001,0),0), INDEX($AN$1004:$BO$1004,1,MATCH(COLUMNS($AN$1006:BE1006),$AN$1006:$BO$1006,0)))),"Fix")))</f>
        <v>0</v>
      </c>
      <c r="T661" s="4">
        <f>IF(OR(INDEX($AH$2:$AH$1001,MATCH(ROWS($AG$2:AG661),$AG$2:$AG$1001,0),1)&gt;=100000,INDEX($AN$1005:$BO$1005,1,MATCH(COLUMNS($AN$1006:BF1006),$AN$1006:$BO$1006,0))&gt;=100000), " ",IF(INDEX($AN$2:$BO$1001,MATCH(ROWS($AG$2:AG661),$AG$2:$AG$1001,0),MATCH(COLUMNS($AN$1006:BF1006),$AN$1006:$BO$1006,0)), HYPERLINK("#",""), HYPERLINK(CONCATENATE("#Metadata!", ADDRESS(INDEX($AI$2:$AI$1001,MATCH(ROWS($AG$2:AG661),$AG$2:$AG$1001,0),0), INDEX($AN$1004:$BO$1004,1,MATCH(COLUMNS($AN$1006:BF1006),$AN$1006:$BO$1006,0)))),"Fix")))</f>
        <v>0</v>
      </c>
      <c r="U661" s="4">
        <f>IF(OR(INDEX($AH$2:$AH$1001,MATCH(ROWS($AG$2:AG661),$AG$2:$AG$1001,0),1)&gt;=100000,INDEX($AN$1005:$BO$1005,1,MATCH(COLUMNS($AN$1006:BG1006),$AN$1006:$BO$1006,0))&gt;=100000), " ",IF(INDEX($AN$2:$BO$1001,MATCH(ROWS($AG$2:AG661),$AG$2:$AG$1001,0),MATCH(COLUMNS($AN$1006:BG1006),$AN$1006:$BO$1006,0)), HYPERLINK("#",""), HYPERLINK(CONCATENATE("#Metadata!", ADDRESS(INDEX($AI$2:$AI$1001,MATCH(ROWS($AG$2:AG661),$AG$2:$AG$1001,0),0), INDEX($AN$1004:$BO$1004,1,MATCH(COLUMNS($AN$1006:BG1006),$AN$1006:$BO$1006,0)))),"Fix")))</f>
        <v>0</v>
      </c>
      <c r="V661" s="4">
        <f>IF(OR(INDEX($AH$2:$AH$1001,MATCH(ROWS($AG$2:AG661),$AG$2:$AG$1001,0),1)&gt;=100000,INDEX($AN$1005:$BO$1005,1,MATCH(COLUMNS($AN$1006:BH1006),$AN$1006:$BO$1006,0))&gt;=100000), " ",IF(INDEX($AN$2:$BO$1001,MATCH(ROWS($AG$2:AG661),$AG$2:$AG$1001,0),MATCH(COLUMNS($AN$1006:BH1006),$AN$1006:$BO$1006,0)), HYPERLINK("#",""), HYPERLINK(CONCATENATE("#Metadata!", ADDRESS(INDEX($AI$2:$AI$1001,MATCH(ROWS($AG$2:AG661),$AG$2:$AG$1001,0),0), INDEX($AN$1004:$BO$1004,1,MATCH(COLUMNS($AN$1006:BH1006),$AN$1006:$BO$1006,0)))),"Fix")))</f>
        <v>0</v>
      </c>
      <c r="W661" s="4">
        <f>IF(OR(INDEX($AH$2:$AH$1001,MATCH(ROWS($AG$2:AG661),$AG$2:$AG$1001,0),1)&gt;=100000,INDEX($AN$1005:$BO$1005,1,MATCH(COLUMNS($AN$1006:BI1006),$AN$1006:$BO$1006,0))&gt;=100000), " ",IF(INDEX($AN$2:$BO$1001,MATCH(ROWS($AG$2:AG661),$AG$2:$AG$1001,0),MATCH(COLUMNS($AN$1006:BI1006),$AN$1006:$BO$1006,0)), HYPERLINK("#",""), HYPERLINK(CONCATENATE("#Metadata!", ADDRESS(INDEX($AI$2:$AI$1001,MATCH(ROWS($AG$2:AG661),$AG$2:$AG$1001,0),0), INDEX($AN$1004:$BO$1004,1,MATCH(COLUMNS($AN$1006:BI1006),$AN$1006:$BO$1006,0)))),"Fix")))</f>
        <v>0</v>
      </c>
      <c r="X661" s="4">
        <f>IF(OR(INDEX($AH$2:$AH$1001,MATCH(ROWS($AG$2:AG661),$AG$2:$AG$1001,0),1)&gt;=100000,INDEX($AN$1005:$BO$1005,1,MATCH(COLUMNS($AN$1006:BJ1006),$AN$1006:$BO$1006,0))&gt;=100000), " ",IF(INDEX($AN$2:$BO$1001,MATCH(ROWS($AG$2:AG661),$AG$2:$AG$1001,0),MATCH(COLUMNS($AN$1006:BJ1006),$AN$1006:$BO$1006,0)), HYPERLINK("#",""), HYPERLINK(CONCATENATE("#Metadata!", ADDRESS(INDEX($AI$2:$AI$1001,MATCH(ROWS($AG$2:AG661),$AG$2:$AG$1001,0),0), INDEX($AN$1004:$BO$1004,1,MATCH(COLUMNS($AN$1006:BJ1006),$AN$1006:$BO$1006,0)))),"Fix")))</f>
        <v>0</v>
      </c>
      <c r="Y661" s="4">
        <f>IF(OR(INDEX($AH$2:$AH$1001,MATCH(ROWS($AG$2:AG661),$AG$2:$AG$1001,0),1)&gt;=100000,INDEX($AN$1005:$BO$1005,1,MATCH(COLUMNS($AN$1006:BK1006),$AN$1006:$BO$1006,0))&gt;=100000), " ",IF(INDEX($AN$2:$BO$1001,MATCH(ROWS($AG$2:AG661),$AG$2:$AG$1001,0),MATCH(COLUMNS($AN$1006:BK1006),$AN$1006:$BO$1006,0)), HYPERLINK("#",""), HYPERLINK(CONCATENATE("#Metadata!", ADDRESS(INDEX($AI$2:$AI$1001,MATCH(ROWS($AG$2:AG661),$AG$2:$AG$1001,0),0), INDEX($AN$1004:$BO$1004,1,MATCH(COLUMNS($AN$1006:BK1006),$AN$1006:$BO$1006,0)))),"Fix")))</f>
        <v>0</v>
      </c>
      <c r="Z661" s="4">
        <f>IF(OR(INDEX($AH$2:$AH$1001,MATCH(ROWS($AG$2:AG661),$AG$2:$AG$1001,0),1)&gt;=100000,INDEX($AN$1005:$BO$1005,1,MATCH(COLUMNS($AN$1006:BL1006),$AN$1006:$BO$1006,0))&gt;=100000), " ",IF(INDEX($AN$2:$BO$1001,MATCH(ROWS($AG$2:AG661),$AG$2:$AG$1001,0),MATCH(COLUMNS($AN$1006:BL1006),$AN$1006:$BO$1006,0)), HYPERLINK("#",""), HYPERLINK(CONCATENATE("#Metadata!", ADDRESS(INDEX($AI$2:$AI$1001,MATCH(ROWS($AG$2:AG661),$AG$2:$AG$1001,0),0), INDEX($AN$1004:$BO$1004,1,MATCH(COLUMNS($AN$1006:BL1006),$AN$1006:$BO$1006,0)))),"Fix")))</f>
        <v>0</v>
      </c>
      <c r="AA661" s="4">
        <f>IF(OR(INDEX($AH$2:$AH$1001,MATCH(ROWS($AG$2:AG661),$AG$2:$AG$1001,0),1)&gt;=100000,INDEX($AN$1005:$BO$1005,1,MATCH(COLUMNS($AN$1006:BM1006),$AN$1006:$BO$1006,0))&gt;=100000), " ",IF(INDEX($AN$2:$BO$1001,MATCH(ROWS($AG$2:AG661),$AG$2:$AG$1001,0),MATCH(COLUMNS($AN$1006:BM1006),$AN$1006:$BO$1006,0)), HYPERLINK("#",""), HYPERLINK(CONCATENATE("#Metadata!", ADDRESS(INDEX($AI$2:$AI$1001,MATCH(ROWS($AG$2:AG661),$AG$2:$AG$1001,0),0), INDEX($AN$1004:$BO$1004,1,MATCH(COLUMNS($AN$1006:BM1006),$AN$1006:$BO$1006,0)))),"Fix")))</f>
        <v>0</v>
      </c>
      <c r="AB661" s="4">
        <f>IF(OR(INDEX($AH$2:$AH$1001,MATCH(ROWS($AG$2:AG661),$AG$2:$AG$1001,0),1)&gt;=100000,INDEX($AN$1005:$BO$1005,1,MATCH(COLUMNS($AN$1006:BN1006),$AN$1006:$BO$1006,0))&gt;=100000), " ",IF(INDEX($AN$2:$BO$1001,MATCH(ROWS($AG$2:AG661),$AG$2:$AG$1001,0),MATCH(COLUMNS($AN$1006:BN1006),$AN$1006:$BO$1006,0)), HYPERLINK("#",""), HYPERLINK(CONCATENATE("#Metadata!", ADDRESS(INDEX($AI$2:$AI$1001,MATCH(ROWS($AG$2:AG661),$AG$2:$AG$1001,0),0), INDEX($AN$1004:$BO$1004,1,MATCH(COLUMNS($AN$1006:BN1006),$AN$1006:$BO$1006,0)))),"Fix")))</f>
        <v>0</v>
      </c>
      <c r="AC661" s="4">
        <f>IF(OR(INDEX($AH$2:$AH$1001,MATCH(ROWS($AG$2:AG661),$AG$2:$AG$1001,0),1)&gt;=100000,INDEX($AN$1005:$BO$1005,1,MATCH(COLUMNS($AN$1006:BO1006),$AN$1006:$BO$1006,0))&gt;=100000), " ",IF(INDEX($AN$2:$BO$1001,MATCH(ROWS($AG$2:AG661),$AG$2:$AG$1001,0),MATCH(COLUMNS($AN$1006:BO1006),$AN$1006:$BO$1006,0)), HYPERLINK("#",""), HYPERLINK(CONCATENATE("#Metadata!", ADDRESS(INDEX($AI$2:$AI$1001,MATCH(ROWS($AG$2:AG661),$AG$2:$AG$1001,0),0), INDEX($AN$1004:$BO$1004,1,MATCH(COLUMNS($AN$1006:BO1006),$AN$1006:$BO$1006,0)))),"Fix")))</f>
        <v>0</v>
      </c>
      <c r="AG661">
        <v>0</v>
      </c>
      <c r="AH661">
        <v>0</v>
      </c>
      <c r="AI661">
        <v>0</v>
      </c>
      <c r="AJ661">
        <f>IF(AK661,TRUE,AND(AN661:BO661))</f>
        <v>0</v>
      </c>
      <c r="AK661">
        <f>COUNTBLANK(Metadata!B661:AC661)=COLUMNS(Metadata!B661:AC661)</f>
        <v>0</v>
      </c>
      <c r="AL661">
        <v>0</v>
      </c>
      <c r="AN661">
        <f>AND(IF(Metadata!B661="",FALSE,TRUE),COUNTIF(Metadata!B:B, Metadata!B661) = 1,NOT(ISERROR(SUMPRODUCT(SEARCH(MID(Metadata!B661,ROW(INDIRECT("1:"&amp;LEN(Metadata!B661))), 1),"0123456789abcdefghijklmnopqrstuvwxyzABCDEFGHIJKLMNOPQRSTUVWXYZ.")))))</f>
        <v>0</v>
      </c>
      <c r="AO661">
        <f>IF(Metadata!C661="",FALSE,TRUE)</f>
        <v>0</v>
      </c>
      <c r="AP661">
        <f>IF(Metadata!D661="",FALSE,TRUE)</f>
        <v>0</v>
      </c>
      <c r="AQ661">
        <f>OR(AND(IF(Metadata!E661="",FALSE,TRUE),OR(exact(Metadata!E661,"not collected"),exact(Metadata!E661,"not provided"),exact(Metadata!E661,"restricted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R661">
        <f>IF(Metadata!F661="",FALSE,TRUE)</f>
        <v>0</v>
      </c>
      <c r="AS661">
        <f>OR(AND(IF(Metadata!G661="",FALSE,TRUE),OR(exact(Metadata!G661,"not collected"),exact(Metadata!G661,"not provided"))),AND(IF(Metadata!G661="",FALSE,TRUE),OR(exact(Metadata!G661,"TRUE"),exact(Metadata!G661,"FALSE"))))</f>
        <v>0</v>
      </c>
      <c r="AT661">
        <f>OR(AND(IF(Metadata!H661="",FALSE,TRUE),OR(exact(Metadata!H661,"not collected"),exact(Metadata!H661,"not provided"),exact(Metadata!H661,"restricted access"))),AND(IF(Metadata!H661="",FALSE,ISNUMBER(VALUE(Metadata!H661))),Metadata!H661&gt;=-413.0))</f>
        <v>0</v>
      </c>
      <c r="AU661">
        <f>AND(IF(Metadata!I661="",FALSE,TRUE),exact(Metadata!I661,"meters"))</f>
        <v>0</v>
      </c>
      <c r="AV661">
        <f>AND(IF(Metadata!J661="",FALSE,TRUE),OR(exact(Metadata!J661,"Host-associated"),exact(Metadata!J661,"Free-living")))</f>
        <v>0</v>
      </c>
      <c r="AW661">
        <f>AND(IF(Metadata!K661="",FALSE,TRUE),OR(exact(Metadata!K661,"Animal"),exact(Metadata!K661,"Fungus"),exact(Metadata!K661,"Plant"),exact(Metadata!K661,"Saline"),exact(Metadata!K661,"Non-saline")))</f>
        <v>0</v>
      </c>
      <c r="AX661">
        <f>AND(IF(Metadata!L661="",FALSE,TRUE),OR(exact(Metadata!L661,"Plant secretion"),exact(Metadata!L661,"Plant rhizosphere"),exact(Metadata!L661,"Plant surface"),exact(Metadata!L661,"Plant corpus"),exact(Metadata!L661,"Fungus surface"),exact(Metadata!L661,"Fungus corpus"),exact(Metadata!L661,"Animal surface"),exact(Metadata!L661,"Animal proximal gut"),exact(Metadata!L661,"Animal corpus"),exact(Metadata!L661,"Animal distal gut"),exact(Metadata!L661,"Animal secretion"),exact(Metadata!L661,"Sub-surface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Y661">
        <f>IF(Metadata!M661="",FALSE,TRUE)</f>
        <v>0</v>
      </c>
      <c r="AZ661">
        <f>IF(Metadata!N661="",FALSE,TRUE)</f>
        <v>0</v>
      </c>
      <c r="BA661">
        <f>IF(Metadata!O661="",FALSE,TRUE)</f>
        <v>0</v>
      </c>
      <c r="BB661">
        <f>OR(AND(IF(Metadata!P661="",FALSE,TRUE),OR(exact(Metadata!P661,"not collected"),exact(Metadata!P661,"not provided"),exact(Metadata!P661,"restricted access"))),AND(IF(Metadata!P661="",FALSE,TRUE),OR(exact(Metadata!P661,"air"),exact(Metadata!P661,"built environment"),exact(Metadata!P661,"host-associated"),exact(Metadata!P661,"human-associated"),exact(Metadata!P661,"human-skin"),exact(Metadata!P661,"human-oral"),exact(Metadata!P661,"human-gut"),exact(Metadata!P661,"human-vaginal"),exact(Metadata!P661,"microbial mat/biofilm"),exact(Metadata!P661,"misc environment"),exact(Metadata!P661,"plant-associated"),exact(Metadata!P661,"sediment"),exact(Metadata!P661,"soil"),exact(Metadata!P661,"wastewater/sludge"),exact(Metadata!P661,"water"))))</f>
        <v>0</v>
      </c>
      <c r="BC661">
        <f>IF(Metadata!Q661="",FALSE,TRUE)</f>
        <v>0</v>
      </c>
      <c r="BD661">
        <f>IF(Metadata!R661="",FALSE,TRUE)</f>
        <v>0</v>
      </c>
      <c r="BE661">
        <f>OR(AND(IF(Metadata!S661="",FALSE,TRUE),OR(exact(Metadata!S661,"not collected"),exact(Metadata!S661,"not provided"),exact(Metadata!S661,"restricted access"))),AND(IF(Metadata!S661="",FALSE,ISNUMBER(VALUE(Metadata!S661))),Metadata!S661&gt;=-90.00,Metadata!S661&lt;=90.00))</f>
        <v>0</v>
      </c>
      <c r="BF661">
        <f>AND(IF(Metadata!T661="",FALSE,TRUE),exact(Metadata!T661,"Decimal degrees"))</f>
        <v>0</v>
      </c>
      <c r="BG661">
        <f>OR(AND(IF(Metadata!U661="",FALSE,TRUE),OR(exact(Metadata!U661,"not collected"),exact(Metadata!U661,"not provided"),exact(Metadata!U661,"restricted access"))),AND(IF(Metadata!U661="",FALSE,ISNUMBER(VALUE(Metadata!U661))),Metadata!U661&gt;=-180.00,Metadata!U661&lt;=180.00))</f>
        <v>0</v>
      </c>
      <c r="BH661">
        <f>AND(IF(Metadata!V661="",FALSE,TRUE),exact(Metadata!V661,"Decimal degrees"))</f>
        <v>0</v>
      </c>
      <c r="BI661">
        <f>IF(Metadata!W661="",FALSE,TRUE)</f>
        <v>0</v>
      </c>
      <c r="BJ661">
        <f>OR(AND(IF(Metadata!X661="",FALSE,TRUE),OR(exact(Metadata!X661,"not collected"),exact(Metadata!X661,"not provided"),exact(Metadata!X661,"restricted access"))),AND(IF(Metadata!X661="",FALSE,TRUE),OR(exact(Metadata!X661,"TRUE"),exact(Metadata!X661,"FALSE"))))</f>
        <v>0</v>
      </c>
      <c r="BK661">
        <f>AND(IF(Metadata!Y661="",FALSE,TRUE),exact(Metadata!Y661,"other"))</f>
        <v>0</v>
      </c>
      <c r="BL661">
        <f>IF(Metadata!Z661="",FALSE,TRUE)</f>
        <v>0</v>
      </c>
      <c r="BM661">
        <f>OR(AND(IF(Metadata!AA661="",FALSE,TRUE),OR(exact(Metadata!AA661,"not collected"),exact(Metadata!AA661,"not provided"))),AND(IF(Metadata!AA661="",FALSE,IF(ISERROR(INT(Metadata!AA661)),FALSE,INT(Metadata!AA661)=Metadata!AA661)),Metadata!AA661&gt;0))</f>
        <v>0</v>
      </c>
      <c r="BN661">
        <f>AND(IF(Metadata!AB661="",FALSE,TRUE),exact(Metadata!AB661,"Not applicable"))</f>
        <v>0</v>
      </c>
      <c r="BO661">
        <f>IF(Metadata!AC661="",FALSE,TRUE)</f>
        <v>0</v>
      </c>
    </row>
    <row r="662" spans="1:67">
      <c r="A662" s="5">
        <f>IF(B662=" "," ",HYPERLINK(CONCATENATE("#metadata!",ADDRESS(INDEX($AI$2:$AI$1001,MATCH(ROWS($AG$2:AG662),$AG$2:$AG$1001,0),0),1)),INDEX($AL$2:$AL$1001,MATCH(ROWS($AG$2:AG662),$AG$2:$AG$1001,0),0)))</f>
        <v>0</v>
      </c>
      <c r="B662" s="4">
        <f>IF(OR(INDEX($AH$2:$AH$1001,MATCH(ROWS($AG$2:AG662),$AG$2:$AG$1001,0),1)&gt;=100000,INDEX($AN$1005:$BO$1005,1,MATCH(COLUMNS($AN$1006:AN1006),$AN$1006:$BO$1006,0))&gt;=100000), " ",IF(INDEX($AN$2:$BO$1001,MATCH(ROWS($AG$2:AG662),$AG$2:$AG$1001,0),MATCH(COLUMNS($AN$1006:AN1006),$AN$1006:$BO$1006,0)), HYPERLINK("#",""), HYPERLINK(CONCATENATE("#Metadata!", ADDRESS(INDEX($AI$2:$AI$1001,MATCH(ROWS($AG$2:AG662),$AG$2:$AG$1001,0),0), INDEX($AN$1004:$BO$1004,1,MATCH(COLUMNS($AN$1006:AN1006),$AN$1006:$BO$1006,0)))),"Fix")))</f>
        <v>0</v>
      </c>
      <c r="C662" s="4">
        <f>IF(OR(INDEX($AH$2:$AH$1001,MATCH(ROWS($AG$2:AG662),$AG$2:$AG$1001,0),1)&gt;=100000,INDEX($AN$1005:$BO$1005,1,MATCH(COLUMNS($AN$1006:AO1006),$AN$1006:$BO$1006,0))&gt;=100000), " ",IF(INDEX($AN$2:$BO$1001,MATCH(ROWS($AG$2:AG662),$AG$2:$AG$1001,0),MATCH(COLUMNS($AN$1006:AO1006),$AN$1006:$BO$1006,0)), HYPERLINK("#",""), HYPERLINK(CONCATENATE("#Metadata!", ADDRESS(INDEX($AI$2:$AI$1001,MATCH(ROWS($AG$2:AG662),$AG$2:$AG$1001,0),0), INDEX($AN$1004:$BO$1004,1,MATCH(COLUMNS($AN$1006:AO1006),$AN$1006:$BO$1006,0)))),"Fix")))</f>
        <v>0</v>
      </c>
      <c r="D662" s="4">
        <f>IF(OR(INDEX($AH$2:$AH$1001,MATCH(ROWS($AG$2:AG662),$AG$2:$AG$1001,0),1)&gt;=100000,INDEX($AN$1005:$BO$1005,1,MATCH(COLUMNS($AN$1006:AP1006),$AN$1006:$BO$1006,0))&gt;=100000), " ",IF(INDEX($AN$2:$BO$1001,MATCH(ROWS($AG$2:AG662),$AG$2:$AG$1001,0),MATCH(COLUMNS($AN$1006:AP1006),$AN$1006:$BO$1006,0)), HYPERLINK("#",""), HYPERLINK(CONCATENATE("#Metadata!", ADDRESS(INDEX($AI$2:$AI$1001,MATCH(ROWS($AG$2:AG662),$AG$2:$AG$1001,0),0), INDEX($AN$1004:$BO$1004,1,MATCH(COLUMNS($AN$1006:AP1006),$AN$1006:$BO$1006,0)))),"Fix")))</f>
        <v>0</v>
      </c>
      <c r="E662" s="4">
        <f>IF(OR(INDEX($AH$2:$AH$1001,MATCH(ROWS($AG$2:AG662),$AG$2:$AG$1001,0),1)&gt;=100000,INDEX($AN$1005:$BO$1005,1,MATCH(COLUMNS($AN$1006:AQ1006),$AN$1006:$BO$1006,0))&gt;=100000), " ",IF(INDEX($AN$2:$BO$1001,MATCH(ROWS($AG$2:AG662),$AG$2:$AG$1001,0),MATCH(COLUMNS($AN$1006:AQ1006),$AN$1006:$BO$1006,0)), HYPERLINK("#",""), HYPERLINK(CONCATENATE("#Metadata!", ADDRESS(INDEX($AI$2:$AI$1001,MATCH(ROWS($AG$2:AG662),$AG$2:$AG$1001,0),0), INDEX($AN$1004:$BO$1004,1,MATCH(COLUMNS($AN$1006:AQ1006),$AN$1006:$BO$1006,0)))),"Fix")))</f>
        <v>0</v>
      </c>
      <c r="F662" s="4">
        <f>IF(OR(INDEX($AH$2:$AH$1001,MATCH(ROWS($AG$2:AG662),$AG$2:$AG$1001,0),1)&gt;=100000,INDEX($AN$1005:$BO$1005,1,MATCH(COLUMNS($AN$1006:AR1006),$AN$1006:$BO$1006,0))&gt;=100000), " ",IF(INDEX($AN$2:$BO$1001,MATCH(ROWS($AG$2:AG662),$AG$2:$AG$1001,0),MATCH(COLUMNS($AN$1006:AR1006),$AN$1006:$BO$1006,0)), HYPERLINK("#",""), HYPERLINK(CONCATENATE("#Metadata!", ADDRESS(INDEX($AI$2:$AI$1001,MATCH(ROWS($AG$2:AG662),$AG$2:$AG$1001,0),0), INDEX($AN$1004:$BO$1004,1,MATCH(COLUMNS($AN$1006:AR1006),$AN$1006:$BO$1006,0)))),"Fix")))</f>
        <v>0</v>
      </c>
      <c r="G662" s="4">
        <f>IF(OR(INDEX($AH$2:$AH$1001,MATCH(ROWS($AG$2:AG662),$AG$2:$AG$1001,0),1)&gt;=100000,INDEX($AN$1005:$BO$1005,1,MATCH(COLUMNS($AN$1006:AS1006),$AN$1006:$BO$1006,0))&gt;=100000), " ",IF(INDEX($AN$2:$BO$1001,MATCH(ROWS($AG$2:AG662),$AG$2:$AG$1001,0),MATCH(COLUMNS($AN$1006:AS1006),$AN$1006:$BO$1006,0)), HYPERLINK("#",""), HYPERLINK(CONCATENATE("#Metadata!", ADDRESS(INDEX($AI$2:$AI$1001,MATCH(ROWS($AG$2:AG662),$AG$2:$AG$1001,0),0), INDEX($AN$1004:$BO$1004,1,MATCH(COLUMNS($AN$1006:AS1006),$AN$1006:$BO$1006,0)))),"Fix")))</f>
        <v>0</v>
      </c>
      <c r="H662" s="4">
        <f>IF(OR(INDEX($AH$2:$AH$1001,MATCH(ROWS($AG$2:AG662),$AG$2:$AG$1001,0),1)&gt;=100000,INDEX($AN$1005:$BO$1005,1,MATCH(COLUMNS($AN$1006:AT1006),$AN$1006:$BO$1006,0))&gt;=100000), " ",IF(INDEX($AN$2:$BO$1001,MATCH(ROWS($AG$2:AG662),$AG$2:$AG$1001,0),MATCH(COLUMNS($AN$1006:AT1006),$AN$1006:$BO$1006,0)), HYPERLINK("#",""), HYPERLINK(CONCATENATE("#Metadata!", ADDRESS(INDEX($AI$2:$AI$1001,MATCH(ROWS($AG$2:AG662),$AG$2:$AG$1001,0),0), INDEX($AN$1004:$BO$1004,1,MATCH(COLUMNS($AN$1006:AT1006),$AN$1006:$BO$1006,0)))),"Fix")))</f>
        <v>0</v>
      </c>
      <c r="I662" s="4">
        <f>IF(OR(INDEX($AH$2:$AH$1001,MATCH(ROWS($AG$2:AG662),$AG$2:$AG$1001,0),1)&gt;=100000,INDEX($AN$1005:$BO$1005,1,MATCH(COLUMNS($AN$1006:AU1006),$AN$1006:$BO$1006,0))&gt;=100000), " ",IF(INDEX($AN$2:$BO$1001,MATCH(ROWS($AG$2:AG662),$AG$2:$AG$1001,0),MATCH(COLUMNS($AN$1006:AU1006),$AN$1006:$BO$1006,0)), HYPERLINK("#",""), HYPERLINK(CONCATENATE("#Metadata!", ADDRESS(INDEX($AI$2:$AI$1001,MATCH(ROWS($AG$2:AG662),$AG$2:$AG$1001,0),0), INDEX($AN$1004:$BO$1004,1,MATCH(COLUMNS($AN$1006:AU1006),$AN$1006:$BO$1006,0)))),"Fix")))</f>
        <v>0</v>
      </c>
      <c r="J662" s="4">
        <f>IF(OR(INDEX($AH$2:$AH$1001,MATCH(ROWS($AG$2:AG662),$AG$2:$AG$1001,0),1)&gt;=100000,INDEX($AN$1005:$BO$1005,1,MATCH(COLUMNS($AN$1006:AV1006),$AN$1006:$BO$1006,0))&gt;=100000), " ",IF(INDEX($AN$2:$BO$1001,MATCH(ROWS($AG$2:AG662),$AG$2:$AG$1001,0),MATCH(COLUMNS($AN$1006:AV1006),$AN$1006:$BO$1006,0)), HYPERLINK("#",""), HYPERLINK(CONCATENATE("#Metadata!", ADDRESS(INDEX($AI$2:$AI$1001,MATCH(ROWS($AG$2:AG662),$AG$2:$AG$1001,0),0), INDEX($AN$1004:$BO$1004,1,MATCH(COLUMNS($AN$1006:AV1006),$AN$1006:$BO$1006,0)))),"Fix")))</f>
        <v>0</v>
      </c>
      <c r="K662" s="4">
        <f>IF(OR(INDEX($AH$2:$AH$1001,MATCH(ROWS($AG$2:AG662),$AG$2:$AG$1001,0),1)&gt;=100000,INDEX($AN$1005:$BO$1005,1,MATCH(COLUMNS($AN$1006:AW1006),$AN$1006:$BO$1006,0))&gt;=100000), " ",IF(INDEX($AN$2:$BO$1001,MATCH(ROWS($AG$2:AG662),$AG$2:$AG$1001,0),MATCH(COLUMNS($AN$1006:AW1006),$AN$1006:$BO$1006,0)), HYPERLINK("#",""), HYPERLINK(CONCATENATE("#Metadata!", ADDRESS(INDEX($AI$2:$AI$1001,MATCH(ROWS($AG$2:AG662),$AG$2:$AG$1001,0),0), INDEX($AN$1004:$BO$1004,1,MATCH(COLUMNS($AN$1006:AW1006),$AN$1006:$BO$1006,0)))),"Fix")))</f>
        <v>0</v>
      </c>
      <c r="L662" s="4">
        <f>IF(OR(INDEX($AH$2:$AH$1001,MATCH(ROWS($AG$2:AG662),$AG$2:$AG$1001,0),1)&gt;=100000,INDEX($AN$1005:$BO$1005,1,MATCH(COLUMNS($AN$1006:AX1006),$AN$1006:$BO$1006,0))&gt;=100000), " ",IF(INDEX($AN$2:$BO$1001,MATCH(ROWS($AG$2:AG662),$AG$2:$AG$1001,0),MATCH(COLUMNS($AN$1006:AX1006),$AN$1006:$BO$1006,0)), HYPERLINK("#",""), HYPERLINK(CONCATENATE("#Metadata!", ADDRESS(INDEX($AI$2:$AI$1001,MATCH(ROWS($AG$2:AG662),$AG$2:$AG$1001,0),0), INDEX($AN$1004:$BO$1004,1,MATCH(COLUMNS($AN$1006:AX1006),$AN$1006:$BO$1006,0)))),"Fix")))</f>
        <v>0</v>
      </c>
      <c r="M662" s="4">
        <f>IF(OR(INDEX($AH$2:$AH$1001,MATCH(ROWS($AG$2:AG662),$AG$2:$AG$1001,0),1)&gt;=100000,INDEX($AN$1005:$BO$1005,1,MATCH(COLUMNS($AN$1006:AY1006),$AN$1006:$BO$1006,0))&gt;=100000), " ",IF(INDEX($AN$2:$BO$1001,MATCH(ROWS($AG$2:AG662),$AG$2:$AG$1001,0),MATCH(COLUMNS($AN$1006:AY1006),$AN$1006:$BO$1006,0)), HYPERLINK("#",""), HYPERLINK(CONCATENATE("#Metadata!", ADDRESS(INDEX($AI$2:$AI$1001,MATCH(ROWS($AG$2:AG662),$AG$2:$AG$1001,0),0), INDEX($AN$1004:$BO$1004,1,MATCH(COLUMNS($AN$1006:AY1006),$AN$1006:$BO$1006,0)))),"Fix")))</f>
        <v>0</v>
      </c>
      <c r="N662" s="4">
        <f>IF(OR(INDEX($AH$2:$AH$1001,MATCH(ROWS($AG$2:AG662),$AG$2:$AG$1001,0),1)&gt;=100000,INDEX($AN$1005:$BO$1005,1,MATCH(COLUMNS($AN$1006:AZ1006),$AN$1006:$BO$1006,0))&gt;=100000), " ",IF(INDEX($AN$2:$BO$1001,MATCH(ROWS($AG$2:AG662),$AG$2:$AG$1001,0),MATCH(COLUMNS($AN$1006:AZ1006),$AN$1006:$BO$1006,0)), HYPERLINK("#",""), HYPERLINK(CONCATENATE("#Metadata!", ADDRESS(INDEX($AI$2:$AI$1001,MATCH(ROWS($AG$2:AG662),$AG$2:$AG$1001,0),0), INDEX($AN$1004:$BO$1004,1,MATCH(COLUMNS($AN$1006:AZ1006),$AN$1006:$BO$1006,0)))),"Fix")))</f>
        <v>0</v>
      </c>
      <c r="O662" s="4">
        <f>IF(OR(INDEX($AH$2:$AH$1001,MATCH(ROWS($AG$2:AG662),$AG$2:$AG$1001,0),1)&gt;=100000,INDEX($AN$1005:$BO$1005,1,MATCH(COLUMNS($AN$1006:BA1006),$AN$1006:$BO$1006,0))&gt;=100000), " ",IF(INDEX($AN$2:$BO$1001,MATCH(ROWS($AG$2:AG662),$AG$2:$AG$1001,0),MATCH(COLUMNS($AN$1006:BA1006),$AN$1006:$BO$1006,0)), HYPERLINK("#",""), HYPERLINK(CONCATENATE("#Metadata!", ADDRESS(INDEX($AI$2:$AI$1001,MATCH(ROWS($AG$2:AG662),$AG$2:$AG$1001,0),0), INDEX($AN$1004:$BO$1004,1,MATCH(COLUMNS($AN$1006:BA1006),$AN$1006:$BO$1006,0)))),"Fix")))</f>
        <v>0</v>
      </c>
      <c r="P662" s="4">
        <f>IF(OR(INDEX($AH$2:$AH$1001,MATCH(ROWS($AG$2:AG662),$AG$2:$AG$1001,0),1)&gt;=100000,INDEX($AN$1005:$BO$1005,1,MATCH(COLUMNS($AN$1006:BB1006),$AN$1006:$BO$1006,0))&gt;=100000), " ",IF(INDEX($AN$2:$BO$1001,MATCH(ROWS($AG$2:AG662),$AG$2:$AG$1001,0),MATCH(COLUMNS($AN$1006:BB1006),$AN$1006:$BO$1006,0)), HYPERLINK("#",""), HYPERLINK(CONCATENATE("#Metadata!", ADDRESS(INDEX($AI$2:$AI$1001,MATCH(ROWS($AG$2:AG662),$AG$2:$AG$1001,0),0), INDEX($AN$1004:$BO$1004,1,MATCH(COLUMNS($AN$1006:BB1006),$AN$1006:$BO$1006,0)))),"Fix")))</f>
        <v>0</v>
      </c>
      <c r="Q662" s="4">
        <f>IF(OR(INDEX($AH$2:$AH$1001,MATCH(ROWS($AG$2:AG662),$AG$2:$AG$1001,0),1)&gt;=100000,INDEX($AN$1005:$BO$1005,1,MATCH(COLUMNS($AN$1006:BC1006),$AN$1006:$BO$1006,0))&gt;=100000), " ",IF(INDEX($AN$2:$BO$1001,MATCH(ROWS($AG$2:AG662),$AG$2:$AG$1001,0),MATCH(COLUMNS($AN$1006:BC1006),$AN$1006:$BO$1006,0)), HYPERLINK("#",""), HYPERLINK(CONCATENATE("#Metadata!", ADDRESS(INDEX($AI$2:$AI$1001,MATCH(ROWS($AG$2:AG662),$AG$2:$AG$1001,0),0), INDEX($AN$1004:$BO$1004,1,MATCH(COLUMNS($AN$1006:BC1006),$AN$1006:$BO$1006,0)))),"Fix")))</f>
        <v>0</v>
      </c>
      <c r="R662" s="4">
        <f>IF(OR(INDEX($AH$2:$AH$1001,MATCH(ROWS($AG$2:AG662),$AG$2:$AG$1001,0),1)&gt;=100000,INDEX($AN$1005:$BO$1005,1,MATCH(COLUMNS($AN$1006:BD1006),$AN$1006:$BO$1006,0))&gt;=100000), " ",IF(INDEX($AN$2:$BO$1001,MATCH(ROWS($AG$2:AG662),$AG$2:$AG$1001,0),MATCH(COLUMNS($AN$1006:BD1006),$AN$1006:$BO$1006,0)), HYPERLINK("#",""), HYPERLINK(CONCATENATE("#Metadata!", ADDRESS(INDEX($AI$2:$AI$1001,MATCH(ROWS($AG$2:AG662),$AG$2:$AG$1001,0),0), INDEX($AN$1004:$BO$1004,1,MATCH(COLUMNS($AN$1006:BD1006),$AN$1006:$BO$1006,0)))),"Fix")))</f>
        <v>0</v>
      </c>
      <c r="S662" s="4">
        <f>IF(OR(INDEX($AH$2:$AH$1001,MATCH(ROWS($AG$2:AG662),$AG$2:$AG$1001,0),1)&gt;=100000,INDEX($AN$1005:$BO$1005,1,MATCH(COLUMNS($AN$1006:BE1006),$AN$1006:$BO$1006,0))&gt;=100000), " ",IF(INDEX($AN$2:$BO$1001,MATCH(ROWS($AG$2:AG662),$AG$2:$AG$1001,0),MATCH(COLUMNS($AN$1006:BE1006),$AN$1006:$BO$1006,0)), HYPERLINK("#",""), HYPERLINK(CONCATENATE("#Metadata!", ADDRESS(INDEX($AI$2:$AI$1001,MATCH(ROWS($AG$2:AG662),$AG$2:$AG$1001,0),0), INDEX($AN$1004:$BO$1004,1,MATCH(COLUMNS($AN$1006:BE1006),$AN$1006:$BO$1006,0)))),"Fix")))</f>
        <v>0</v>
      </c>
      <c r="T662" s="4">
        <f>IF(OR(INDEX($AH$2:$AH$1001,MATCH(ROWS($AG$2:AG662),$AG$2:$AG$1001,0),1)&gt;=100000,INDEX($AN$1005:$BO$1005,1,MATCH(COLUMNS($AN$1006:BF1006),$AN$1006:$BO$1006,0))&gt;=100000), " ",IF(INDEX($AN$2:$BO$1001,MATCH(ROWS($AG$2:AG662),$AG$2:$AG$1001,0),MATCH(COLUMNS($AN$1006:BF1006),$AN$1006:$BO$1006,0)), HYPERLINK("#",""), HYPERLINK(CONCATENATE("#Metadata!", ADDRESS(INDEX($AI$2:$AI$1001,MATCH(ROWS($AG$2:AG662),$AG$2:$AG$1001,0),0), INDEX($AN$1004:$BO$1004,1,MATCH(COLUMNS($AN$1006:BF1006),$AN$1006:$BO$1006,0)))),"Fix")))</f>
        <v>0</v>
      </c>
      <c r="U662" s="4">
        <f>IF(OR(INDEX($AH$2:$AH$1001,MATCH(ROWS($AG$2:AG662),$AG$2:$AG$1001,0),1)&gt;=100000,INDEX($AN$1005:$BO$1005,1,MATCH(COLUMNS($AN$1006:BG1006),$AN$1006:$BO$1006,0))&gt;=100000), " ",IF(INDEX($AN$2:$BO$1001,MATCH(ROWS($AG$2:AG662),$AG$2:$AG$1001,0),MATCH(COLUMNS($AN$1006:BG1006),$AN$1006:$BO$1006,0)), HYPERLINK("#",""), HYPERLINK(CONCATENATE("#Metadata!", ADDRESS(INDEX($AI$2:$AI$1001,MATCH(ROWS($AG$2:AG662),$AG$2:$AG$1001,0),0), INDEX($AN$1004:$BO$1004,1,MATCH(COLUMNS($AN$1006:BG1006),$AN$1006:$BO$1006,0)))),"Fix")))</f>
        <v>0</v>
      </c>
      <c r="V662" s="4">
        <f>IF(OR(INDEX($AH$2:$AH$1001,MATCH(ROWS($AG$2:AG662),$AG$2:$AG$1001,0),1)&gt;=100000,INDEX($AN$1005:$BO$1005,1,MATCH(COLUMNS($AN$1006:BH1006),$AN$1006:$BO$1006,0))&gt;=100000), " ",IF(INDEX($AN$2:$BO$1001,MATCH(ROWS($AG$2:AG662),$AG$2:$AG$1001,0),MATCH(COLUMNS($AN$1006:BH1006),$AN$1006:$BO$1006,0)), HYPERLINK("#",""), HYPERLINK(CONCATENATE("#Metadata!", ADDRESS(INDEX($AI$2:$AI$1001,MATCH(ROWS($AG$2:AG662),$AG$2:$AG$1001,0),0), INDEX($AN$1004:$BO$1004,1,MATCH(COLUMNS($AN$1006:BH1006),$AN$1006:$BO$1006,0)))),"Fix")))</f>
        <v>0</v>
      </c>
      <c r="W662" s="4">
        <f>IF(OR(INDEX($AH$2:$AH$1001,MATCH(ROWS($AG$2:AG662),$AG$2:$AG$1001,0),1)&gt;=100000,INDEX($AN$1005:$BO$1005,1,MATCH(COLUMNS($AN$1006:BI1006),$AN$1006:$BO$1006,0))&gt;=100000), " ",IF(INDEX($AN$2:$BO$1001,MATCH(ROWS($AG$2:AG662),$AG$2:$AG$1001,0),MATCH(COLUMNS($AN$1006:BI1006),$AN$1006:$BO$1006,0)), HYPERLINK("#",""), HYPERLINK(CONCATENATE("#Metadata!", ADDRESS(INDEX($AI$2:$AI$1001,MATCH(ROWS($AG$2:AG662),$AG$2:$AG$1001,0),0), INDEX($AN$1004:$BO$1004,1,MATCH(COLUMNS($AN$1006:BI1006),$AN$1006:$BO$1006,0)))),"Fix")))</f>
        <v>0</v>
      </c>
      <c r="X662" s="4">
        <f>IF(OR(INDEX($AH$2:$AH$1001,MATCH(ROWS($AG$2:AG662),$AG$2:$AG$1001,0),1)&gt;=100000,INDEX($AN$1005:$BO$1005,1,MATCH(COLUMNS($AN$1006:BJ1006),$AN$1006:$BO$1006,0))&gt;=100000), " ",IF(INDEX($AN$2:$BO$1001,MATCH(ROWS($AG$2:AG662),$AG$2:$AG$1001,0),MATCH(COLUMNS($AN$1006:BJ1006),$AN$1006:$BO$1006,0)), HYPERLINK("#",""), HYPERLINK(CONCATENATE("#Metadata!", ADDRESS(INDEX($AI$2:$AI$1001,MATCH(ROWS($AG$2:AG662),$AG$2:$AG$1001,0),0), INDEX($AN$1004:$BO$1004,1,MATCH(COLUMNS($AN$1006:BJ1006),$AN$1006:$BO$1006,0)))),"Fix")))</f>
        <v>0</v>
      </c>
      <c r="Y662" s="4">
        <f>IF(OR(INDEX($AH$2:$AH$1001,MATCH(ROWS($AG$2:AG662),$AG$2:$AG$1001,0),1)&gt;=100000,INDEX($AN$1005:$BO$1005,1,MATCH(COLUMNS($AN$1006:BK1006),$AN$1006:$BO$1006,0))&gt;=100000), " ",IF(INDEX($AN$2:$BO$1001,MATCH(ROWS($AG$2:AG662),$AG$2:$AG$1001,0),MATCH(COLUMNS($AN$1006:BK1006),$AN$1006:$BO$1006,0)), HYPERLINK("#",""), HYPERLINK(CONCATENATE("#Metadata!", ADDRESS(INDEX($AI$2:$AI$1001,MATCH(ROWS($AG$2:AG662),$AG$2:$AG$1001,0),0), INDEX($AN$1004:$BO$1004,1,MATCH(COLUMNS($AN$1006:BK1006),$AN$1006:$BO$1006,0)))),"Fix")))</f>
        <v>0</v>
      </c>
      <c r="Z662" s="4">
        <f>IF(OR(INDEX($AH$2:$AH$1001,MATCH(ROWS($AG$2:AG662),$AG$2:$AG$1001,0),1)&gt;=100000,INDEX($AN$1005:$BO$1005,1,MATCH(COLUMNS($AN$1006:BL1006),$AN$1006:$BO$1006,0))&gt;=100000), " ",IF(INDEX($AN$2:$BO$1001,MATCH(ROWS($AG$2:AG662),$AG$2:$AG$1001,0),MATCH(COLUMNS($AN$1006:BL1006),$AN$1006:$BO$1006,0)), HYPERLINK("#",""), HYPERLINK(CONCATENATE("#Metadata!", ADDRESS(INDEX($AI$2:$AI$1001,MATCH(ROWS($AG$2:AG662),$AG$2:$AG$1001,0),0), INDEX($AN$1004:$BO$1004,1,MATCH(COLUMNS($AN$1006:BL1006),$AN$1006:$BO$1006,0)))),"Fix")))</f>
        <v>0</v>
      </c>
      <c r="AA662" s="4">
        <f>IF(OR(INDEX($AH$2:$AH$1001,MATCH(ROWS($AG$2:AG662),$AG$2:$AG$1001,0),1)&gt;=100000,INDEX($AN$1005:$BO$1005,1,MATCH(COLUMNS($AN$1006:BM1006),$AN$1006:$BO$1006,0))&gt;=100000), " ",IF(INDEX($AN$2:$BO$1001,MATCH(ROWS($AG$2:AG662),$AG$2:$AG$1001,0),MATCH(COLUMNS($AN$1006:BM1006),$AN$1006:$BO$1006,0)), HYPERLINK("#",""), HYPERLINK(CONCATENATE("#Metadata!", ADDRESS(INDEX($AI$2:$AI$1001,MATCH(ROWS($AG$2:AG662),$AG$2:$AG$1001,0),0), INDEX($AN$1004:$BO$1004,1,MATCH(COLUMNS($AN$1006:BM1006),$AN$1006:$BO$1006,0)))),"Fix")))</f>
        <v>0</v>
      </c>
      <c r="AB662" s="4">
        <f>IF(OR(INDEX($AH$2:$AH$1001,MATCH(ROWS($AG$2:AG662),$AG$2:$AG$1001,0),1)&gt;=100000,INDEX($AN$1005:$BO$1005,1,MATCH(COLUMNS($AN$1006:BN1006),$AN$1006:$BO$1006,0))&gt;=100000), " ",IF(INDEX($AN$2:$BO$1001,MATCH(ROWS($AG$2:AG662),$AG$2:$AG$1001,0),MATCH(COLUMNS($AN$1006:BN1006),$AN$1006:$BO$1006,0)), HYPERLINK("#",""), HYPERLINK(CONCATENATE("#Metadata!", ADDRESS(INDEX($AI$2:$AI$1001,MATCH(ROWS($AG$2:AG662),$AG$2:$AG$1001,0),0), INDEX($AN$1004:$BO$1004,1,MATCH(COLUMNS($AN$1006:BN1006),$AN$1006:$BO$1006,0)))),"Fix")))</f>
        <v>0</v>
      </c>
      <c r="AC662" s="4">
        <f>IF(OR(INDEX($AH$2:$AH$1001,MATCH(ROWS($AG$2:AG662),$AG$2:$AG$1001,0),1)&gt;=100000,INDEX($AN$1005:$BO$1005,1,MATCH(COLUMNS($AN$1006:BO1006),$AN$1006:$BO$1006,0))&gt;=100000), " ",IF(INDEX($AN$2:$BO$1001,MATCH(ROWS($AG$2:AG662),$AG$2:$AG$1001,0),MATCH(COLUMNS($AN$1006:BO1006),$AN$1006:$BO$1006,0)), HYPERLINK("#",""), HYPERLINK(CONCATENATE("#Metadata!", ADDRESS(INDEX($AI$2:$AI$1001,MATCH(ROWS($AG$2:AG662),$AG$2:$AG$1001,0),0), INDEX($AN$1004:$BO$1004,1,MATCH(COLUMNS($AN$1006:BO1006),$AN$1006:$BO$1006,0)))),"Fix")))</f>
        <v>0</v>
      </c>
      <c r="AG662">
        <v>0</v>
      </c>
      <c r="AH662">
        <v>0</v>
      </c>
      <c r="AI662">
        <v>0</v>
      </c>
      <c r="AJ662">
        <f>IF(AK662,TRUE,AND(AN662:BO662))</f>
        <v>0</v>
      </c>
      <c r="AK662">
        <f>COUNTBLANK(Metadata!B662:AC662)=COLUMNS(Metadata!B662:AC662)</f>
        <v>0</v>
      </c>
      <c r="AL662">
        <v>0</v>
      </c>
      <c r="AN662">
        <f>AND(IF(Metadata!B662="",FALSE,TRUE),COUNTIF(Metadata!B:B, Metadata!B662) = 1,NOT(ISERROR(SUMPRODUCT(SEARCH(MID(Metadata!B662,ROW(INDIRECT("1:"&amp;LEN(Metadata!B662))), 1),"0123456789abcdefghijklmnopqrstuvwxyzABCDEFGHIJKLMNOPQRSTUVWXYZ.")))))</f>
        <v>0</v>
      </c>
      <c r="AO662">
        <f>IF(Metadata!C662="",FALSE,TRUE)</f>
        <v>0</v>
      </c>
      <c r="AP662">
        <f>IF(Metadata!D662="",FALSE,TRUE)</f>
        <v>0</v>
      </c>
      <c r="AQ662">
        <f>OR(AND(IF(Metadata!E662="",FALSE,TRUE),OR(exact(Metadata!E662,"not collected"),exact(Metadata!E662,"not provided"),exact(Metadata!E662,"restricted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R662">
        <f>IF(Metadata!F662="",FALSE,TRUE)</f>
        <v>0</v>
      </c>
      <c r="AS662">
        <f>OR(AND(IF(Metadata!G662="",FALSE,TRUE),OR(exact(Metadata!G662,"not collected"),exact(Metadata!G662,"not provided"))),AND(IF(Metadata!G662="",FALSE,TRUE),OR(exact(Metadata!G662,"TRUE"),exact(Metadata!G662,"FALSE"))))</f>
        <v>0</v>
      </c>
      <c r="AT662">
        <f>OR(AND(IF(Metadata!H662="",FALSE,TRUE),OR(exact(Metadata!H662,"not collected"),exact(Metadata!H662,"not provided"),exact(Metadata!H662,"restricted access"))),AND(IF(Metadata!H662="",FALSE,ISNUMBER(VALUE(Metadata!H662))),Metadata!H662&gt;=-413.0))</f>
        <v>0</v>
      </c>
      <c r="AU662">
        <f>AND(IF(Metadata!I662="",FALSE,TRUE),exact(Metadata!I662,"meters"))</f>
        <v>0</v>
      </c>
      <c r="AV662">
        <f>AND(IF(Metadata!J662="",FALSE,TRUE),OR(exact(Metadata!J662,"Host-associated"),exact(Metadata!J662,"Free-living")))</f>
        <v>0</v>
      </c>
      <c r="AW662">
        <f>AND(IF(Metadata!K662="",FALSE,TRUE),OR(exact(Metadata!K662,"Animal"),exact(Metadata!K662,"Fungus"),exact(Metadata!K662,"Plant"),exact(Metadata!K662,"Saline"),exact(Metadata!K662,"Non-saline")))</f>
        <v>0</v>
      </c>
      <c r="AX662">
        <f>AND(IF(Metadata!L662="",FALSE,TRUE),OR(exact(Metadata!L662,"Plant secretion"),exact(Metadata!L662,"Plant rhizosphere"),exact(Metadata!L662,"Plant surface"),exact(Metadata!L662,"Plant corpus"),exact(Metadata!L662,"Fungus surface"),exact(Metadata!L662,"Fungus corpus"),exact(Metadata!L662,"Animal surface"),exact(Metadata!L662,"Animal proximal gut"),exact(Metadata!L662,"Animal corpus"),exact(Metadata!L662,"Animal distal gut"),exact(Metadata!L662,"Animal secretion"),exact(Metadata!L662,"Sub-surface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Y662">
        <f>IF(Metadata!M662="",FALSE,TRUE)</f>
        <v>0</v>
      </c>
      <c r="AZ662">
        <f>IF(Metadata!N662="",FALSE,TRUE)</f>
        <v>0</v>
      </c>
      <c r="BA662">
        <f>IF(Metadata!O662="",FALSE,TRUE)</f>
        <v>0</v>
      </c>
      <c r="BB662">
        <f>OR(AND(IF(Metadata!P662="",FALSE,TRUE),OR(exact(Metadata!P662,"not collected"),exact(Metadata!P662,"not provided"),exact(Metadata!P662,"restricted access"))),AND(IF(Metadata!P662="",FALSE,TRUE),OR(exact(Metadata!P662,"air"),exact(Metadata!P662,"built environment"),exact(Metadata!P662,"host-associated"),exact(Metadata!P662,"human-associated"),exact(Metadata!P662,"human-skin"),exact(Metadata!P662,"human-oral"),exact(Metadata!P662,"human-gut"),exact(Metadata!P662,"human-vaginal"),exact(Metadata!P662,"microbial mat/biofilm"),exact(Metadata!P662,"misc environment"),exact(Metadata!P662,"plant-associated"),exact(Metadata!P662,"sediment"),exact(Metadata!P662,"soil"),exact(Metadata!P662,"wastewater/sludge"),exact(Metadata!P662,"water"))))</f>
        <v>0</v>
      </c>
      <c r="BC662">
        <f>IF(Metadata!Q662="",FALSE,TRUE)</f>
        <v>0</v>
      </c>
      <c r="BD662">
        <f>IF(Metadata!R662="",FALSE,TRUE)</f>
        <v>0</v>
      </c>
      <c r="BE662">
        <f>OR(AND(IF(Metadata!S662="",FALSE,TRUE),OR(exact(Metadata!S662,"not collected"),exact(Metadata!S662,"not provided"),exact(Metadata!S662,"restricted access"))),AND(IF(Metadata!S662="",FALSE,ISNUMBER(VALUE(Metadata!S662))),Metadata!S662&gt;=-90.00,Metadata!S662&lt;=90.00))</f>
        <v>0</v>
      </c>
      <c r="BF662">
        <f>AND(IF(Metadata!T662="",FALSE,TRUE),exact(Metadata!T662,"Decimal degrees"))</f>
        <v>0</v>
      </c>
      <c r="BG662">
        <f>OR(AND(IF(Metadata!U662="",FALSE,TRUE),OR(exact(Metadata!U662,"not collected"),exact(Metadata!U662,"not provided"),exact(Metadata!U662,"restricted access"))),AND(IF(Metadata!U662="",FALSE,ISNUMBER(VALUE(Metadata!U662))),Metadata!U662&gt;=-180.00,Metadata!U662&lt;=180.00))</f>
        <v>0</v>
      </c>
      <c r="BH662">
        <f>AND(IF(Metadata!V662="",FALSE,TRUE),exact(Metadata!V662,"Decimal degrees"))</f>
        <v>0</v>
      </c>
      <c r="BI662">
        <f>IF(Metadata!W662="",FALSE,TRUE)</f>
        <v>0</v>
      </c>
      <c r="BJ662">
        <f>OR(AND(IF(Metadata!X662="",FALSE,TRUE),OR(exact(Metadata!X662,"not collected"),exact(Metadata!X662,"not provided"),exact(Metadata!X662,"restricted access"))),AND(IF(Metadata!X662="",FALSE,TRUE),OR(exact(Metadata!X662,"TRUE"),exact(Metadata!X662,"FALSE"))))</f>
        <v>0</v>
      </c>
      <c r="BK662">
        <f>AND(IF(Metadata!Y662="",FALSE,TRUE),exact(Metadata!Y662,"other"))</f>
        <v>0</v>
      </c>
      <c r="BL662">
        <f>IF(Metadata!Z662="",FALSE,TRUE)</f>
        <v>0</v>
      </c>
      <c r="BM662">
        <f>OR(AND(IF(Metadata!AA662="",FALSE,TRUE),OR(exact(Metadata!AA662,"not collected"),exact(Metadata!AA662,"not provided"))),AND(IF(Metadata!AA662="",FALSE,IF(ISERROR(INT(Metadata!AA662)),FALSE,INT(Metadata!AA662)=Metadata!AA662)),Metadata!AA662&gt;0))</f>
        <v>0</v>
      </c>
      <c r="BN662">
        <f>AND(IF(Metadata!AB662="",FALSE,TRUE),exact(Metadata!AB662,"Not applicable"))</f>
        <v>0</v>
      </c>
      <c r="BO662">
        <f>IF(Metadata!AC662="",FALSE,TRUE)</f>
        <v>0</v>
      </c>
    </row>
    <row r="663" spans="1:67">
      <c r="A663" s="5">
        <f>IF(B663=" "," ",HYPERLINK(CONCATENATE("#metadata!",ADDRESS(INDEX($AI$2:$AI$1001,MATCH(ROWS($AG$2:AG663),$AG$2:$AG$1001,0),0),1)),INDEX($AL$2:$AL$1001,MATCH(ROWS($AG$2:AG663),$AG$2:$AG$1001,0),0)))</f>
        <v>0</v>
      </c>
      <c r="B663" s="4">
        <f>IF(OR(INDEX($AH$2:$AH$1001,MATCH(ROWS($AG$2:AG663),$AG$2:$AG$1001,0),1)&gt;=100000,INDEX($AN$1005:$BO$1005,1,MATCH(COLUMNS($AN$1006:AN1006),$AN$1006:$BO$1006,0))&gt;=100000), " ",IF(INDEX($AN$2:$BO$1001,MATCH(ROWS($AG$2:AG663),$AG$2:$AG$1001,0),MATCH(COLUMNS($AN$1006:AN1006),$AN$1006:$BO$1006,0)), HYPERLINK("#",""), HYPERLINK(CONCATENATE("#Metadata!", ADDRESS(INDEX($AI$2:$AI$1001,MATCH(ROWS($AG$2:AG663),$AG$2:$AG$1001,0),0), INDEX($AN$1004:$BO$1004,1,MATCH(COLUMNS($AN$1006:AN1006),$AN$1006:$BO$1006,0)))),"Fix")))</f>
        <v>0</v>
      </c>
      <c r="C663" s="4">
        <f>IF(OR(INDEX($AH$2:$AH$1001,MATCH(ROWS($AG$2:AG663),$AG$2:$AG$1001,0),1)&gt;=100000,INDEX($AN$1005:$BO$1005,1,MATCH(COLUMNS($AN$1006:AO1006),$AN$1006:$BO$1006,0))&gt;=100000), " ",IF(INDEX($AN$2:$BO$1001,MATCH(ROWS($AG$2:AG663),$AG$2:$AG$1001,0),MATCH(COLUMNS($AN$1006:AO1006),$AN$1006:$BO$1006,0)), HYPERLINK("#",""), HYPERLINK(CONCATENATE("#Metadata!", ADDRESS(INDEX($AI$2:$AI$1001,MATCH(ROWS($AG$2:AG663),$AG$2:$AG$1001,0),0), INDEX($AN$1004:$BO$1004,1,MATCH(COLUMNS($AN$1006:AO1006),$AN$1006:$BO$1006,0)))),"Fix")))</f>
        <v>0</v>
      </c>
      <c r="D663" s="4">
        <f>IF(OR(INDEX($AH$2:$AH$1001,MATCH(ROWS($AG$2:AG663),$AG$2:$AG$1001,0),1)&gt;=100000,INDEX($AN$1005:$BO$1005,1,MATCH(COLUMNS($AN$1006:AP1006),$AN$1006:$BO$1006,0))&gt;=100000), " ",IF(INDEX($AN$2:$BO$1001,MATCH(ROWS($AG$2:AG663),$AG$2:$AG$1001,0),MATCH(COLUMNS($AN$1006:AP1006),$AN$1006:$BO$1006,0)), HYPERLINK("#",""), HYPERLINK(CONCATENATE("#Metadata!", ADDRESS(INDEX($AI$2:$AI$1001,MATCH(ROWS($AG$2:AG663),$AG$2:$AG$1001,0),0), INDEX($AN$1004:$BO$1004,1,MATCH(COLUMNS($AN$1006:AP1006),$AN$1006:$BO$1006,0)))),"Fix")))</f>
        <v>0</v>
      </c>
      <c r="E663" s="4">
        <f>IF(OR(INDEX($AH$2:$AH$1001,MATCH(ROWS($AG$2:AG663),$AG$2:$AG$1001,0),1)&gt;=100000,INDEX($AN$1005:$BO$1005,1,MATCH(COLUMNS($AN$1006:AQ1006),$AN$1006:$BO$1006,0))&gt;=100000), " ",IF(INDEX($AN$2:$BO$1001,MATCH(ROWS($AG$2:AG663),$AG$2:$AG$1001,0),MATCH(COLUMNS($AN$1006:AQ1006),$AN$1006:$BO$1006,0)), HYPERLINK("#",""), HYPERLINK(CONCATENATE("#Metadata!", ADDRESS(INDEX($AI$2:$AI$1001,MATCH(ROWS($AG$2:AG663),$AG$2:$AG$1001,0),0), INDEX($AN$1004:$BO$1004,1,MATCH(COLUMNS($AN$1006:AQ1006),$AN$1006:$BO$1006,0)))),"Fix")))</f>
        <v>0</v>
      </c>
      <c r="F663" s="4">
        <f>IF(OR(INDEX($AH$2:$AH$1001,MATCH(ROWS($AG$2:AG663),$AG$2:$AG$1001,0),1)&gt;=100000,INDEX($AN$1005:$BO$1005,1,MATCH(COLUMNS($AN$1006:AR1006),$AN$1006:$BO$1006,0))&gt;=100000), " ",IF(INDEX($AN$2:$BO$1001,MATCH(ROWS($AG$2:AG663),$AG$2:$AG$1001,0),MATCH(COLUMNS($AN$1006:AR1006),$AN$1006:$BO$1006,0)), HYPERLINK("#",""), HYPERLINK(CONCATENATE("#Metadata!", ADDRESS(INDEX($AI$2:$AI$1001,MATCH(ROWS($AG$2:AG663),$AG$2:$AG$1001,0),0), INDEX($AN$1004:$BO$1004,1,MATCH(COLUMNS($AN$1006:AR1006),$AN$1006:$BO$1006,0)))),"Fix")))</f>
        <v>0</v>
      </c>
      <c r="G663" s="4">
        <f>IF(OR(INDEX($AH$2:$AH$1001,MATCH(ROWS($AG$2:AG663),$AG$2:$AG$1001,0),1)&gt;=100000,INDEX($AN$1005:$BO$1005,1,MATCH(COLUMNS($AN$1006:AS1006),$AN$1006:$BO$1006,0))&gt;=100000), " ",IF(INDEX($AN$2:$BO$1001,MATCH(ROWS($AG$2:AG663),$AG$2:$AG$1001,0),MATCH(COLUMNS($AN$1006:AS1006),$AN$1006:$BO$1006,0)), HYPERLINK("#",""), HYPERLINK(CONCATENATE("#Metadata!", ADDRESS(INDEX($AI$2:$AI$1001,MATCH(ROWS($AG$2:AG663),$AG$2:$AG$1001,0),0), INDEX($AN$1004:$BO$1004,1,MATCH(COLUMNS($AN$1006:AS1006),$AN$1006:$BO$1006,0)))),"Fix")))</f>
        <v>0</v>
      </c>
      <c r="H663" s="4">
        <f>IF(OR(INDEX($AH$2:$AH$1001,MATCH(ROWS($AG$2:AG663),$AG$2:$AG$1001,0),1)&gt;=100000,INDEX($AN$1005:$BO$1005,1,MATCH(COLUMNS($AN$1006:AT1006),$AN$1006:$BO$1006,0))&gt;=100000), " ",IF(INDEX($AN$2:$BO$1001,MATCH(ROWS($AG$2:AG663),$AG$2:$AG$1001,0),MATCH(COLUMNS($AN$1006:AT1006),$AN$1006:$BO$1006,0)), HYPERLINK("#",""), HYPERLINK(CONCATENATE("#Metadata!", ADDRESS(INDEX($AI$2:$AI$1001,MATCH(ROWS($AG$2:AG663),$AG$2:$AG$1001,0),0), INDEX($AN$1004:$BO$1004,1,MATCH(COLUMNS($AN$1006:AT1006),$AN$1006:$BO$1006,0)))),"Fix")))</f>
        <v>0</v>
      </c>
      <c r="I663" s="4">
        <f>IF(OR(INDEX($AH$2:$AH$1001,MATCH(ROWS($AG$2:AG663),$AG$2:$AG$1001,0),1)&gt;=100000,INDEX($AN$1005:$BO$1005,1,MATCH(COLUMNS($AN$1006:AU1006),$AN$1006:$BO$1006,0))&gt;=100000), " ",IF(INDEX($AN$2:$BO$1001,MATCH(ROWS($AG$2:AG663),$AG$2:$AG$1001,0),MATCH(COLUMNS($AN$1006:AU1006),$AN$1006:$BO$1006,0)), HYPERLINK("#",""), HYPERLINK(CONCATENATE("#Metadata!", ADDRESS(INDEX($AI$2:$AI$1001,MATCH(ROWS($AG$2:AG663),$AG$2:$AG$1001,0),0), INDEX($AN$1004:$BO$1004,1,MATCH(COLUMNS($AN$1006:AU1006),$AN$1006:$BO$1006,0)))),"Fix")))</f>
        <v>0</v>
      </c>
      <c r="J663" s="4">
        <f>IF(OR(INDEX($AH$2:$AH$1001,MATCH(ROWS($AG$2:AG663),$AG$2:$AG$1001,0),1)&gt;=100000,INDEX($AN$1005:$BO$1005,1,MATCH(COLUMNS($AN$1006:AV1006),$AN$1006:$BO$1006,0))&gt;=100000), " ",IF(INDEX($AN$2:$BO$1001,MATCH(ROWS($AG$2:AG663),$AG$2:$AG$1001,0),MATCH(COLUMNS($AN$1006:AV1006),$AN$1006:$BO$1006,0)), HYPERLINK("#",""), HYPERLINK(CONCATENATE("#Metadata!", ADDRESS(INDEX($AI$2:$AI$1001,MATCH(ROWS($AG$2:AG663),$AG$2:$AG$1001,0),0), INDEX($AN$1004:$BO$1004,1,MATCH(COLUMNS($AN$1006:AV1006),$AN$1006:$BO$1006,0)))),"Fix")))</f>
        <v>0</v>
      </c>
      <c r="K663" s="4">
        <f>IF(OR(INDEX($AH$2:$AH$1001,MATCH(ROWS($AG$2:AG663),$AG$2:$AG$1001,0),1)&gt;=100000,INDEX($AN$1005:$BO$1005,1,MATCH(COLUMNS($AN$1006:AW1006),$AN$1006:$BO$1006,0))&gt;=100000), " ",IF(INDEX($AN$2:$BO$1001,MATCH(ROWS($AG$2:AG663),$AG$2:$AG$1001,0),MATCH(COLUMNS($AN$1006:AW1006),$AN$1006:$BO$1006,0)), HYPERLINK("#",""), HYPERLINK(CONCATENATE("#Metadata!", ADDRESS(INDEX($AI$2:$AI$1001,MATCH(ROWS($AG$2:AG663),$AG$2:$AG$1001,0),0), INDEX($AN$1004:$BO$1004,1,MATCH(COLUMNS($AN$1006:AW1006),$AN$1006:$BO$1006,0)))),"Fix")))</f>
        <v>0</v>
      </c>
      <c r="L663" s="4">
        <f>IF(OR(INDEX($AH$2:$AH$1001,MATCH(ROWS($AG$2:AG663),$AG$2:$AG$1001,0),1)&gt;=100000,INDEX($AN$1005:$BO$1005,1,MATCH(COLUMNS($AN$1006:AX1006),$AN$1006:$BO$1006,0))&gt;=100000), " ",IF(INDEX($AN$2:$BO$1001,MATCH(ROWS($AG$2:AG663),$AG$2:$AG$1001,0),MATCH(COLUMNS($AN$1006:AX1006),$AN$1006:$BO$1006,0)), HYPERLINK("#",""), HYPERLINK(CONCATENATE("#Metadata!", ADDRESS(INDEX($AI$2:$AI$1001,MATCH(ROWS($AG$2:AG663),$AG$2:$AG$1001,0),0), INDEX($AN$1004:$BO$1004,1,MATCH(COLUMNS($AN$1006:AX1006),$AN$1006:$BO$1006,0)))),"Fix")))</f>
        <v>0</v>
      </c>
      <c r="M663" s="4">
        <f>IF(OR(INDEX($AH$2:$AH$1001,MATCH(ROWS($AG$2:AG663),$AG$2:$AG$1001,0),1)&gt;=100000,INDEX($AN$1005:$BO$1005,1,MATCH(COLUMNS($AN$1006:AY1006),$AN$1006:$BO$1006,0))&gt;=100000), " ",IF(INDEX($AN$2:$BO$1001,MATCH(ROWS($AG$2:AG663),$AG$2:$AG$1001,0),MATCH(COLUMNS($AN$1006:AY1006),$AN$1006:$BO$1006,0)), HYPERLINK("#",""), HYPERLINK(CONCATENATE("#Metadata!", ADDRESS(INDEX($AI$2:$AI$1001,MATCH(ROWS($AG$2:AG663),$AG$2:$AG$1001,0),0), INDEX($AN$1004:$BO$1004,1,MATCH(COLUMNS($AN$1006:AY1006),$AN$1006:$BO$1006,0)))),"Fix")))</f>
        <v>0</v>
      </c>
      <c r="N663" s="4">
        <f>IF(OR(INDEX($AH$2:$AH$1001,MATCH(ROWS($AG$2:AG663),$AG$2:$AG$1001,0),1)&gt;=100000,INDEX($AN$1005:$BO$1005,1,MATCH(COLUMNS($AN$1006:AZ1006),$AN$1006:$BO$1006,0))&gt;=100000), " ",IF(INDEX($AN$2:$BO$1001,MATCH(ROWS($AG$2:AG663),$AG$2:$AG$1001,0),MATCH(COLUMNS($AN$1006:AZ1006),$AN$1006:$BO$1006,0)), HYPERLINK("#",""), HYPERLINK(CONCATENATE("#Metadata!", ADDRESS(INDEX($AI$2:$AI$1001,MATCH(ROWS($AG$2:AG663),$AG$2:$AG$1001,0),0), INDEX($AN$1004:$BO$1004,1,MATCH(COLUMNS($AN$1006:AZ1006),$AN$1006:$BO$1006,0)))),"Fix")))</f>
        <v>0</v>
      </c>
      <c r="O663" s="4">
        <f>IF(OR(INDEX($AH$2:$AH$1001,MATCH(ROWS($AG$2:AG663),$AG$2:$AG$1001,0),1)&gt;=100000,INDEX($AN$1005:$BO$1005,1,MATCH(COLUMNS($AN$1006:BA1006),$AN$1006:$BO$1006,0))&gt;=100000), " ",IF(INDEX($AN$2:$BO$1001,MATCH(ROWS($AG$2:AG663),$AG$2:$AG$1001,0),MATCH(COLUMNS($AN$1006:BA1006),$AN$1006:$BO$1006,0)), HYPERLINK("#",""), HYPERLINK(CONCATENATE("#Metadata!", ADDRESS(INDEX($AI$2:$AI$1001,MATCH(ROWS($AG$2:AG663),$AG$2:$AG$1001,0),0), INDEX($AN$1004:$BO$1004,1,MATCH(COLUMNS($AN$1006:BA1006),$AN$1006:$BO$1006,0)))),"Fix")))</f>
        <v>0</v>
      </c>
      <c r="P663" s="4">
        <f>IF(OR(INDEX($AH$2:$AH$1001,MATCH(ROWS($AG$2:AG663),$AG$2:$AG$1001,0),1)&gt;=100000,INDEX($AN$1005:$BO$1005,1,MATCH(COLUMNS($AN$1006:BB1006),$AN$1006:$BO$1006,0))&gt;=100000), " ",IF(INDEX($AN$2:$BO$1001,MATCH(ROWS($AG$2:AG663),$AG$2:$AG$1001,0),MATCH(COLUMNS($AN$1006:BB1006),$AN$1006:$BO$1006,0)), HYPERLINK("#",""), HYPERLINK(CONCATENATE("#Metadata!", ADDRESS(INDEX($AI$2:$AI$1001,MATCH(ROWS($AG$2:AG663),$AG$2:$AG$1001,0),0), INDEX($AN$1004:$BO$1004,1,MATCH(COLUMNS($AN$1006:BB1006),$AN$1006:$BO$1006,0)))),"Fix")))</f>
        <v>0</v>
      </c>
      <c r="Q663" s="4">
        <f>IF(OR(INDEX($AH$2:$AH$1001,MATCH(ROWS($AG$2:AG663),$AG$2:$AG$1001,0),1)&gt;=100000,INDEX($AN$1005:$BO$1005,1,MATCH(COLUMNS($AN$1006:BC1006),$AN$1006:$BO$1006,0))&gt;=100000), " ",IF(INDEX($AN$2:$BO$1001,MATCH(ROWS($AG$2:AG663),$AG$2:$AG$1001,0),MATCH(COLUMNS($AN$1006:BC1006),$AN$1006:$BO$1006,0)), HYPERLINK("#",""), HYPERLINK(CONCATENATE("#Metadata!", ADDRESS(INDEX($AI$2:$AI$1001,MATCH(ROWS($AG$2:AG663),$AG$2:$AG$1001,0),0), INDEX($AN$1004:$BO$1004,1,MATCH(COLUMNS($AN$1006:BC1006),$AN$1006:$BO$1006,0)))),"Fix")))</f>
        <v>0</v>
      </c>
      <c r="R663" s="4">
        <f>IF(OR(INDEX($AH$2:$AH$1001,MATCH(ROWS($AG$2:AG663),$AG$2:$AG$1001,0),1)&gt;=100000,INDEX($AN$1005:$BO$1005,1,MATCH(COLUMNS($AN$1006:BD1006),$AN$1006:$BO$1006,0))&gt;=100000), " ",IF(INDEX($AN$2:$BO$1001,MATCH(ROWS($AG$2:AG663),$AG$2:$AG$1001,0),MATCH(COLUMNS($AN$1006:BD1006),$AN$1006:$BO$1006,0)), HYPERLINK("#",""), HYPERLINK(CONCATENATE("#Metadata!", ADDRESS(INDEX($AI$2:$AI$1001,MATCH(ROWS($AG$2:AG663),$AG$2:$AG$1001,0),0), INDEX($AN$1004:$BO$1004,1,MATCH(COLUMNS($AN$1006:BD1006),$AN$1006:$BO$1006,0)))),"Fix")))</f>
        <v>0</v>
      </c>
      <c r="S663" s="4">
        <f>IF(OR(INDEX($AH$2:$AH$1001,MATCH(ROWS($AG$2:AG663),$AG$2:$AG$1001,0),1)&gt;=100000,INDEX($AN$1005:$BO$1005,1,MATCH(COLUMNS($AN$1006:BE1006),$AN$1006:$BO$1006,0))&gt;=100000), " ",IF(INDEX($AN$2:$BO$1001,MATCH(ROWS($AG$2:AG663),$AG$2:$AG$1001,0),MATCH(COLUMNS($AN$1006:BE1006),$AN$1006:$BO$1006,0)), HYPERLINK("#",""), HYPERLINK(CONCATENATE("#Metadata!", ADDRESS(INDEX($AI$2:$AI$1001,MATCH(ROWS($AG$2:AG663),$AG$2:$AG$1001,0),0), INDEX($AN$1004:$BO$1004,1,MATCH(COLUMNS($AN$1006:BE1006),$AN$1006:$BO$1006,0)))),"Fix")))</f>
        <v>0</v>
      </c>
      <c r="T663" s="4">
        <f>IF(OR(INDEX($AH$2:$AH$1001,MATCH(ROWS($AG$2:AG663),$AG$2:$AG$1001,0),1)&gt;=100000,INDEX($AN$1005:$BO$1005,1,MATCH(COLUMNS($AN$1006:BF1006),$AN$1006:$BO$1006,0))&gt;=100000), " ",IF(INDEX($AN$2:$BO$1001,MATCH(ROWS($AG$2:AG663),$AG$2:$AG$1001,0),MATCH(COLUMNS($AN$1006:BF1006),$AN$1006:$BO$1006,0)), HYPERLINK("#",""), HYPERLINK(CONCATENATE("#Metadata!", ADDRESS(INDEX($AI$2:$AI$1001,MATCH(ROWS($AG$2:AG663),$AG$2:$AG$1001,0),0), INDEX($AN$1004:$BO$1004,1,MATCH(COLUMNS($AN$1006:BF1006),$AN$1006:$BO$1006,0)))),"Fix")))</f>
        <v>0</v>
      </c>
      <c r="U663" s="4">
        <f>IF(OR(INDEX($AH$2:$AH$1001,MATCH(ROWS($AG$2:AG663),$AG$2:$AG$1001,0),1)&gt;=100000,INDEX($AN$1005:$BO$1005,1,MATCH(COLUMNS($AN$1006:BG1006),$AN$1006:$BO$1006,0))&gt;=100000), " ",IF(INDEX($AN$2:$BO$1001,MATCH(ROWS($AG$2:AG663),$AG$2:$AG$1001,0),MATCH(COLUMNS($AN$1006:BG1006),$AN$1006:$BO$1006,0)), HYPERLINK("#",""), HYPERLINK(CONCATENATE("#Metadata!", ADDRESS(INDEX($AI$2:$AI$1001,MATCH(ROWS($AG$2:AG663),$AG$2:$AG$1001,0),0), INDEX($AN$1004:$BO$1004,1,MATCH(COLUMNS($AN$1006:BG1006),$AN$1006:$BO$1006,0)))),"Fix")))</f>
        <v>0</v>
      </c>
      <c r="V663" s="4">
        <f>IF(OR(INDEX($AH$2:$AH$1001,MATCH(ROWS($AG$2:AG663),$AG$2:$AG$1001,0),1)&gt;=100000,INDEX($AN$1005:$BO$1005,1,MATCH(COLUMNS($AN$1006:BH1006),$AN$1006:$BO$1006,0))&gt;=100000), " ",IF(INDEX($AN$2:$BO$1001,MATCH(ROWS($AG$2:AG663),$AG$2:$AG$1001,0),MATCH(COLUMNS($AN$1006:BH1006),$AN$1006:$BO$1006,0)), HYPERLINK("#",""), HYPERLINK(CONCATENATE("#Metadata!", ADDRESS(INDEX($AI$2:$AI$1001,MATCH(ROWS($AG$2:AG663),$AG$2:$AG$1001,0),0), INDEX($AN$1004:$BO$1004,1,MATCH(COLUMNS($AN$1006:BH1006),$AN$1006:$BO$1006,0)))),"Fix")))</f>
        <v>0</v>
      </c>
      <c r="W663" s="4">
        <f>IF(OR(INDEX($AH$2:$AH$1001,MATCH(ROWS($AG$2:AG663),$AG$2:$AG$1001,0),1)&gt;=100000,INDEX($AN$1005:$BO$1005,1,MATCH(COLUMNS($AN$1006:BI1006),$AN$1006:$BO$1006,0))&gt;=100000), " ",IF(INDEX($AN$2:$BO$1001,MATCH(ROWS($AG$2:AG663),$AG$2:$AG$1001,0),MATCH(COLUMNS($AN$1006:BI1006),$AN$1006:$BO$1006,0)), HYPERLINK("#",""), HYPERLINK(CONCATENATE("#Metadata!", ADDRESS(INDEX($AI$2:$AI$1001,MATCH(ROWS($AG$2:AG663),$AG$2:$AG$1001,0),0), INDEX($AN$1004:$BO$1004,1,MATCH(COLUMNS($AN$1006:BI1006),$AN$1006:$BO$1006,0)))),"Fix")))</f>
        <v>0</v>
      </c>
      <c r="X663" s="4">
        <f>IF(OR(INDEX($AH$2:$AH$1001,MATCH(ROWS($AG$2:AG663),$AG$2:$AG$1001,0),1)&gt;=100000,INDEX($AN$1005:$BO$1005,1,MATCH(COLUMNS($AN$1006:BJ1006),$AN$1006:$BO$1006,0))&gt;=100000), " ",IF(INDEX($AN$2:$BO$1001,MATCH(ROWS($AG$2:AG663),$AG$2:$AG$1001,0),MATCH(COLUMNS($AN$1006:BJ1006),$AN$1006:$BO$1006,0)), HYPERLINK("#",""), HYPERLINK(CONCATENATE("#Metadata!", ADDRESS(INDEX($AI$2:$AI$1001,MATCH(ROWS($AG$2:AG663),$AG$2:$AG$1001,0),0), INDEX($AN$1004:$BO$1004,1,MATCH(COLUMNS($AN$1006:BJ1006),$AN$1006:$BO$1006,0)))),"Fix")))</f>
        <v>0</v>
      </c>
      <c r="Y663" s="4">
        <f>IF(OR(INDEX($AH$2:$AH$1001,MATCH(ROWS($AG$2:AG663),$AG$2:$AG$1001,0),1)&gt;=100000,INDEX($AN$1005:$BO$1005,1,MATCH(COLUMNS($AN$1006:BK1006),$AN$1006:$BO$1006,0))&gt;=100000), " ",IF(INDEX($AN$2:$BO$1001,MATCH(ROWS($AG$2:AG663),$AG$2:$AG$1001,0),MATCH(COLUMNS($AN$1006:BK1006),$AN$1006:$BO$1006,0)), HYPERLINK("#",""), HYPERLINK(CONCATENATE("#Metadata!", ADDRESS(INDEX($AI$2:$AI$1001,MATCH(ROWS($AG$2:AG663),$AG$2:$AG$1001,0),0), INDEX($AN$1004:$BO$1004,1,MATCH(COLUMNS($AN$1006:BK1006),$AN$1006:$BO$1006,0)))),"Fix")))</f>
        <v>0</v>
      </c>
      <c r="Z663" s="4">
        <f>IF(OR(INDEX($AH$2:$AH$1001,MATCH(ROWS($AG$2:AG663),$AG$2:$AG$1001,0),1)&gt;=100000,INDEX($AN$1005:$BO$1005,1,MATCH(COLUMNS($AN$1006:BL1006),$AN$1006:$BO$1006,0))&gt;=100000), " ",IF(INDEX($AN$2:$BO$1001,MATCH(ROWS($AG$2:AG663),$AG$2:$AG$1001,0),MATCH(COLUMNS($AN$1006:BL1006),$AN$1006:$BO$1006,0)), HYPERLINK("#",""), HYPERLINK(CONCATENATE("#Metadata!", ADDRESS(INDEX($AI$2:$AI$1001,MATCH(ROWS($AG$2:AG663),$AG$2:$AG$1001,0),0), INDEX($AN$1004:$BO$1004,1,MATCH(COLUMNS($AN$1006:BL1006),$AN$1006:$BO$1006,0)))),"Fix")))</f>
        <v>0</v>
      </c>
      <c r="AA663" s="4">
        <f>IF(OR(INDEX($AH$2:$AH$1001,MATCH(ROWS($AG$2:AG663),$AG$2:$AG$1001,0),1)&gt;=100000,INDEX($AN$1005:$BO$1005,1,MATCH(COLUMNS($AN$1006:BM1006),$AN$1006:$BO$1006,0))&gt;=100000), " ",IF(INDEX($AN$2:$BO$1001,MATCH(ROWS($AG$2:AG663),$AG$2:$AG$1001,0),MATCH(COLUMNS($AN$1006:BM1006),$AN$1006:$BO$1006,0)), HYPERLINK("#",""), HYPERLINK(CONCATENATE("#Metadata!", ADDRESS(INDEX($AI$2:$AI$1001,MATCH(ROWS($AG$2:AG663),$AG$2:$AG$1001,0),0), INDEX($AN$1004:$BO$1004,1,MATCH(COLUMNS($AN$1006:BM1006),$AN$1006:$BO$1006,0)))),"Fix")))</f>
        <v>0</v>
      </c>
      <c r="AB663" s="4">
        <f>IF(OR(INDEX($AH$2:$AH$1001,MATCH(ROWS($AG$2:AG663),$AG$2:$AG$1001,0),1)&gt;=100000,INDEX($AN$1005:$BO$1005,1,MATCH(COLUMNS($AN$1006:BN1006),$AN$1006:$BO$1006,0))&gt;=100000), " ",IF(INDEX($AN$2:$BO$1001,MATCH(ROWS($AG$2:AG663),$AG$2:$AG$1001,0),MATCH(COLUMNS($AN$1006:BN1006),$AN$1006:$BO$1006,0)), HYPERLINK("#",""), HYPERLINK(CONCATENATE("#Metadata!", ADDRESS(INDEX($AI$2:$AI$1001,MATCH(ROWS($AG$2:AG663),$AG$2:$AG$1001,0),0), INDEX($AN$1004:$BO$1004,1,MATCH(COLUMNS($AN$1006:BN1006),$AN$1006:$BO$1006,0)))),"Fix")))</f>
        <v>0</v>
      </c>
      <c r="AC663" s="4">
        <f>IF(OR(INDEX($AH$2:$AH$1001,MATCH(ROWS($AG$2:AG663),$AG$2:$AG$1001,0),1)&gt;=100000,INDEX($AN$1005:$BO$1005,1,MATCH(COLUMNS($AN$1006:BO1006),$AN$1006:$BO$1006,0))&gt;=100000), " ",IF(INDEX($AN$2:$BO$1001,MATCH(ROWS($AG$2:AG663),$AG$2:$AG$1001,0),MATCH(COLUMNS($AN$1006:BO1006),$AN$1006:$BO$1006,0)), HYPERLINK("#",""), HYPERLINK(CONCATENATE("#Metadata!", ADDRESS(INDEX($AI$2:$AI$1001,MATCH(ROWS($AG$2:AG663),$AG$2:$AG$1001,0),0), INDEX($AN$1004:$BO$1004,1,MATCH(COLUMNS($AN$1006:BO1006),$AN$1006:$BO$1006,0)))),"Fix")))</f>
        <v>0</v>
      </c>
      <c r="AG663">
        <v>0</v>
      </c>
      <c r="AH663">
        <v>0</v>
      </c>
      <c r="AI663">
        <v>0</v>
      </c>
      <c r="AJ663">
        <f>IF(AK663,TRUE,AND(AN663:BO663))</f>
        <v>0</v>
      </c>
      <c r="AK663">
        <f>COUNTBLANK(Metadata!B663:AC663)=COLUMNS(Metadata!B663:AC663)</f>
        <v>0</v>
      </c>
      <c r="AL663">
        <v>0</v>
      </c>
      <c r="AN663">
        <f>AND(IF(Metadata!B663="",FALSE,TRUE),COUNTIF(Metadata!B:B, Metadata!B663) = 1,NOT(ISERROR(SUMPRODUCT(SEARCH(MID(Metadata!B663,ROW(INDIRECT("1:"&amp;LEN(Metadata!B663))), 1),"0123456789abcdefghijklmnopqrstuvwxyzABCDEFGHIJKLMNOPQRSTUVWXYZ.")))))</f>
        <v>0</v>
      </c>
      <c r="AO663">
        <f>IF(Metadata!C663="",FALSE,TRUE)</f>
        <v>0</v>
      </c>
      <c r="AP663">
        <f>IF(Metadata!D663="",FALSE,TRUE)</f>
        <v>0</v>
      </c>
      <c r="AQ663">
        <f>OR(AND(IF(Metadata!E663="",FALSE,TRUE),OR(exact(Metadata!E663,"not collected"),exact(Metadata!E663,"not provided"),exact(Metadata!E663,"restricted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R663">
        <f>IF(Metadata!F663="",FALSE,TRUE)</f>
        <v>0</v>
      </c>
      <c r="AS663">
        <f>OR(AND(IF(Metadata!G663="",FALSE,TRUE),OR(exact(Metadata!G663,"not collected"),exact(Metadata!G663,"not provided"))),AND(IF(Metadata!G663="",FALSE,TRUE),OR(exact(Metadata!G663,"TRUE"),exact(Metadata!G663,"FALSE"))))</f>
        <v>0</v>
      </c>
      <c r="AT663">
        <f>OR(AND(IF(Metadata!H663="",FALSE,TRUE),OR(exact(Metadata!H663,"not collected"),exact(Metadata!H663,"not provided"),exact(Metadata!H663,"restricted access"))),AND(IF(Metadata!H663="",FALSE,ISNUMBER(VALUE(Metadata!H663))),Metadata!H663&gt;=-413.0))</f>
        <v>0</v>
      </c>
      <c r="AU663">
        <f>AND(IF(Metadata!I663="",FALSE,TRUE),exact(Metadata!I663,"meters"))</f>
        <v>0</v>
      </c>
      <c r="AV663">
        <f>AND(IF(Metadata!J663="",FALSE,TRUE),OR(exact(Metadata!J663,"Host-associated"),exact(Metadata!J663,"Free-living")))</f>
        <v>0</v>
      </c>
      <c r="AW663">
        <f>AND(IF(Metadata!K663="",FALSE,TRUE),OR(exact(Metadata!K663,"Animal"),exact(Metadata!K663,"Fungus"),exact(Metadata!K663,"Plant"),exact(Metadata!K663,"Saline"),exact(Metadata!K663,"Non-saline")))</f>
        <v>0</v>
      </c>
      <c r="AX663">
        <f>AND(IF(Metadata!L663="",FALSE,TRUE),OR(exact(Metadata!L663,"Plant secretion"),exact(Metadata!L663,"Plant rhizosphere"),exact(Metadata!L663,"Plant surface"),exact(Metadata!L663,"Plant corpus"),exact(Metadata!L663,"Fungus surface"),exact(Metadata!L663,"Fungus corpus"),exact(Metadata!L663,"Animal surface"),exact(Metadata!L663,"Animal proximal gut"),exact(Metadata!L663,"Animal corpus"),exact(Metadata!L663,"Animal distal gut"),exact(Metadata!L663,"Animal secretion"),exact(Metadata!L663,"Sub-surface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Y663">
        <f>IF(Metadata!M663="",FALSE,TRUE)</f>
        <v>0</v>
      </c>
      <c r="AZ663">
        <f>IF(Metadata!N663="",FALSE,TRUE)</f>
        <v>0</v>
      </c>
      <c r="BA663">
        <f>IF(Metadata!O663="",FALSE,TRUE)</f>
        <v>0</v>
      </c>
      <c r="BB663">
        <f>OR(AND(IF(Metadata!P663="",FALSE,TRUE),OR(exact(Metadata!P663,"not collected"),exact(Metadata!P663,"not provided"),exact(Metadata!P663,"restricted access"))),AND(IF(Metadata!P663="",FALSE,TRUE),OR(exact(Metadata!P663,"air"),exact(Metadata!P663,"built environment"),exact(Metadata!P663,"host-associated"),exact(Metadata!P663,"human-associated"),exact(Metadata!P663,"human-skin"),exact(Metadata!P663,"human-oral"),exact(Metadata!P663,"human-gut"),exact(Metadata!P663,"human-vaginal"),exact(Metadata!P663,"microbial mat/biofilm"),exact(Metadata!P663,"misc environment"),exact(Metadata!P663,"plant-associated"),exact(Metadata!P663,"sediment"),exact(Metadata!P663,"soil"),exact(Metadata!P663,"wastewater/sludge"),exact(Metadata!P663,"water"))))</f>
        <v>0</v>
      </c>
      <c r="BC663">
        <f>IF(Metadata!Q663="",FALSE,TRUE)</f>
        <v>0</v>
      </c>
      <c r="BD663">
        <f>IF(Metadata!R663="",FALSE,TRUE)</f>
        <v>0</v>
      </c>
      <c r="BE663">
        <f>OR(AND(IF(Metadata!S663="",FALSE,TRUE),OR(exact(Metadata!S663,"not collected"),exact(Metadata!S663,"not provided"),exact(Metadata!S663,"restricted access"))),AND(IF(Metadata!S663="",FALSE,ISNUMBER(VALUE(Metadata!S663))),Metadata!S663&gt;=-90.00,Metadata!S663&lt;=90.00))</f>
        <v>0</v>
      </c>
      <c r="BF663">
        <f>AND(IF(Metadata!T663="",FALSE,TRUE),exact(Metadata!T663,"Decimal degrees"))</f>
        <v>0</v>
      </c>
      <c r="BG663">
        <f>OR(AND(IF(Metadata!U663="",FALSE,TRUE),OR(exact(Metadata!U663,"not collected"),exact(Metadata!U663,"not provided"),exact(Metadata!U663,"restricted access"))),AND(IF(Metadata!U663="",FALSE,ISNUMBER(VALUE(Metadata!U663))),Metadata!U663&gt;=-180.00,Metadata!U663&lt;=180.00))</f>
        <v>0</v>
      </c>
      <c r="BH663">
        <f>AND(IF(Metadata!V663="",FALSE,TRUE),exact(Metadata!V663,"Decimal degrees"))</f>
        <v>0</v>
      </c>
      <c r="BI663">
        <f>IF(Metadata!W663="",FALSE,TRUE)</f>
        <v>0</v>
      </c>
      <c r="BJ663">
        <f>OR(AND(IF(Metadata!X663="",FALSE,TRUE),OR(exact(Metadata!X663,"not collected"),exact(Metadata!X663,"not provided"),exact(Metadata!X663,"restricted access"))),AND(IF(Metadata!X663="",FALSE,TRUE),OR(exact(Metadata!X663,"TRUE"),exact(Metadata!X663,"FALSE"))))</f>
        <v>0</v>
      </c>
      <c r="BK663">
        <f>AND(IF(Metadata!Y663="",FALSE,TRUE),exact(Metadata!Y663,"other"))</f>
        <v>0</v>
      </c>
      <c r="BL663">
        <f>IF(Metadata!Z663="",FALSE,TRUE)</f>
        <v>0</v>
      </c>
      <c r="BM663">
        <f>OR(AND(IF(Metadata!AA663="",FALSE,TRUE),OR(exact(Metadata!AA663,"not collected"),exact(Metadata!AA663,"not provided"))),AND(IF(Metadata!AA663="",FALSE,IF(ISERROR(INT(Metadata!AA663)),FALSE,INT(Metadata!AA663)=Metadata!AA663)),Metadata!AA663&gt;0))</f>
        <v>0</v>
      </c>
      <c r="BN663">
        <f>AND(IF(Metadata!AB663="",FALSE,TRUE),exact(Metadata!AB663,"Not applicable"))</f>
        <v>0</v>
      </c>
      <c r="BO663">
        <f>IF(Metadata!AC663="",FALSE,TRUE)</f>
        <v>0</v>
      </c>
    </row>
    <row r="664" spans="1:67">
      <c r="A664" s="5">
        <f>IF(B664=" "," ",HYPERLINK(CONCATENATE("#metadata!",ADDRESS(INDEX($AI$2:$AI$1001,MATCH(ROWS($AG$2:AG664),$AG$2:$AG$1001,0),0),1)),INDEX($AL$2:$AL$1001,MATCH(ROWS($AG$2:AG664),$AG$2:$AG$1001,0),0)))</f>
        <v>0</v>
      </c>
      <c r="B664" s="4">
        <f>IF(OR(INDEX($AH$2:$AH$1001,MATCH(ROWS($AG$2:AG664),$AG$2:$AG$1001,0),1)&gt;=100000,INDEX($AN$1005:$BO$1005,1,MATCH(COLUMNS($AN$1006:AN1006),$AN$1006:$BO$1006,0))&gt;=100000), " ",IF(INDEX($AN$2:$BO$1001,MATCH(ROWS($AG$2:AG664),$AG$2:$AG$1001,0),MATCH(COLUMNS($AN$1006:AN1006),$AN$1006:$BO$1006,0)), HYPERLINK("#",""), HYPERLINK(CONCATENATE("#Metadata!", ADDRESS(INDEX($AI$2:$AI$1001,MATCH(ROWS($AG$2:AG664),$AG$2:$AG$1001,0),0), INDEX($AN$1004:$BO$1004,1,MATCH(COLUMNS($AN$1006:AN1006),$AN$1006:$BO$1006,0)))),"Fix")))</f>
        <v>0</v>
      </c>
      <c r="C664" s="4">
        <f>IF(OR(INDEX($AH$2:$AH$1001,MATCH(ROWS($AG$2:AG664),$AG$2:$AG$1001,0),1)&gt;=100000,INDEX($AN$1005:$BO$1005,1,MATCH(COLUMNS($AN$1006:AO1006),$AN$1006:$BO$1006,0))&gt;=100000), " ",IF(INDEX($AN$2:$BO$1001,MATCH(ROWS($AG$2:AG664),$AG$2:$AG$1001,0),MATCH(COLUMNS($AN$1006:AO1006),$AN$1006:$BO$1006,0)), HYPERLINK("#",""), HYPERLINK(CONCATENATE("#Metadata!", ADDRESS(INDEX($AI$2:$AI$1001,MATCH(ROWS($AG$2:AG664),$AG$2:$AG$1001,0),0), INDEX($AN$1004:$BO$1004,1,MATCH(COLUMNS($AN$1006:AO1006),$AN$1006:$BO$1006,0)))),"Fix")))</f>
        <v>0</v>
      </c>
      <c r="D664" s="4">
        <f>IF(OR(INDEX($AH$2:$AH$1001,MATCH(ROWS($AG$2:AG664),$AG$2:$AG$1001,0),1)&gt;=100000,INDEX($AN$1005:$BO$1005,1,MATCH(COLUMNS($AN$1006:AP1006),$AN$1006:$BO$1006,0))&gt;=100000), " ",IF(INDEX($AN$2:$BO$1001,MATCH(ROWS($AG$2:AG664),$AG$2:$AG$1001,0),MATCH(COLUMNS($AN$1006:AP1006),$AN$1006:$BO$1006,0)), HYPERLINK("#",""), HYPERLINK(CONCATENATE("#Metadata!", ADDRESS(INDEX($AI$2:$AI$1001,MATCH(ROWS($AG$2:AG664),$AG$2:$AG$1001,0),0), INDEX($AN$1004:$BO$1004,1,MATCH(COLUMNS($AN$1006:AP1006),$AN$1006:$BO$1006,0)))),"Fix")))</f>
        <v>0</v>
      </c>
      <c r="E664" s="4">
        <f>IF(OR(INDEX($AH$2:$AH$1001,MATCH(ROWS($AG$2:AG664),$AG$2:$AG$1001,0),1)&gt;=100000,INDEX($AN$1005:$BO$1005,1,MATCH(COLUMNS($AN$1006:AQ1006),$AN$1006:$BO$1006,0))&gt;=100000), " ",IF(INDEX($AN$2:$BO$1001,MATCH(ROWS($AG$2:AG664),$AG$2:$AG$1001,0),MATCH(COLUMNS($AN$1006:AQ1006),$AN$1006:$BO$1006,0)), HYPERLINK("#",""), HYPERLINK(CONCATENATE("#Metadata!", ADDRESS(INDEX($AI$2:$AI$1001,MATCH(ROWS($AG$2:AG664),$AG$2:$AG$1001,0),0), INDEX($AN$1004:$BO$1004,1,MATCH(COLUMNS($AN$1006:AQ1006),$AN$1006:$BO$1006,0)))),"Fix")))</f>
        <v>0</v>
      </c>
      <c r="F664" s="4">
        <f>IF(OR(INDEX($AH$2:$AH$1001,MATCH(ROWS($AG$2:AG664),$AG$2:$AG$1001,0),1)&gt;=100000,INDEX($AN$1005:$BO$1005,1,MATCH(COLUMNS($AN$1006:AR1006),$AN$1006:$BO$1006,0))&gt;=100000), " ",IF(INDEX($AN$2:$BO$1001,MATCH(ROWS($AG$2:AG664),$AG$2:$AG$1001,0),MATCH(COLUMNS($AN$1006:AR1006),$AN$1006:$BO$1006,0)), HYPERLINK("#",""), HYPERLINK(CONCATENATE("#Metadata!", ADDRESS(INDEX($AI$2:$AI$1001,MATCH(ROWS($AG$2:AG664),$AG$2:$AG$1001,0),0), INDEX($AN$1004:$BO$1004,1,MATCH(COLUMNS($AN$1006:AR1006),$AN$1006:$BO$1006,0)))),"Fix")))</f>
        <v>0</v>
      </c>
      <c r="G664" s="4">
        <f>IF(OR(INDEX($AH$2:$AH$1001,MATCH(ROWS($AG$2:AG664),$AG$2:$AG$1001,0),1)&gt;=100000,INDEX($AN$1005:$BO$1005,1,MATCH(COLUMNS($AN$1006:AS1006),$AN$1006:$BO$1006,0))&gt;=100000), " ",IF(INDEX($AN$2:$BO$1001,MATCH(ROWS($AG$2:AG664),$AG$2:$AG$1001,0),MATCH(COLUMNS($AN$1006:AS1006),$AN$1006:$BO$1006,0)), HYPERLINK("#",""), HYPERLINK(CONCATENATE("#Metadata!", ADDRESS(INDEX($AI$2:$AI$1001,MATCH(ROWS($AG$2:AG664),$AG$2:$AG$1001,0),0), INDEX($AN$1004:$BO$1004,1,MATCH(COLUMNS($AN$1006:AS1006),$AN$1006:$BO$1006,0)))),"Fix")))</f>
        <v>0</v>
      </c>
      <c r="H664" s="4">
        <f>IF(OR(INDEX($AH$2:$AH$1001,MATCH(ROWS($AG$2:AG664),$AG$2:$AG$1001,0),1)&gt;=100000,INDEX($AN$1005:$BO$1005,1,MATCH(COLUMNS($AN$1006:AT1006),$AN$1006:$BO$1006,0))&gt;=100000), " ",IF(INDEX($AN$2:$BO$1001,MATCH(ROWS($AG$2:AG664),$AG$2:$AG$1001,0),MATCH(COLUMNS($AN$1006:AT1006),$AN$1006:$BO$1006,0)), HYPERLINK("#",""), HYPERLINK(CONCATENATE("#Metadata!", ADDRESS(INDEX($AI$2:$AI$1001,MATCH(ROWS($AG$2:AG664),$AG$2:$AG$1001,0),0), INDEX($AN$1004:$BO$1004,1,MATCH(COLUMNS($AN$1006:AT1006),$AN$1006:$BO$1006,0)))),"Fix")))</f>
        <v>0</v>
      </c>
      <c r="I664" s="4">
        <f>IF(OR(INDEX($AH$2:$AH$1001,MATCH(ROWS($AG$2:AG664),$AG$2:$AG$1001,0),1)&gt;=100000,INDEX($AN$1005:$BO$1005,1,MATCH(COLUMNS($AN$1006:AU1006),$AN$1006:$BO$1006,0))&gt;=100000), " ",IF(INDEX($AN$2:$BO$1001,MATCH(ROWS($AG$2:AG664),$AG$2:$AG$1001,0),MATCH(COLUMNS($AN$1006:AU1006),$AN$1006:$BO$1006,0)), HYPERLINK("#",""), HYPERLINK(CONCATENATE("#Metadata!", ADDRESS(INDEX($AI$2:$AI$1001,MATCH(ROWS($AG$2:AG664),$AG$2:$AG$1001,0),0), INDEX($AN$1004:$BO$1004,1,MATCH(COLUMNS($AN$1006:AU1006),$AN$1006:$BO$1006,0)))),"Fix")))</f>
        <v>0</v>
      </c>
      <c r="J664" s="4">
        <f>IF(OR(INDEX($AH$2:$AH$1001,MATCH(ROWS($AG$2:AG664),$AG$2:$AG$1001,0),1)&gt;=100000,INDEX($AN$1005:$BO$1005,1,MATCH(COLUMNS($AN$1006:AV1006),$AN$1006:$BO$1006,0))&gt;=100000), " ",IF(INDEX($AN$2:$BO$1001,MATCH(ROWS($AG$2:AG664),$AG$2:$AG$1001,0),MATCH(COLUMNS($AN$1006:AV1006),$AN$1006:$BO$1006,0)), HYPERLINK("#",""), HYPERLINK(CONCATENATE("#Metadata!", ADDRESS(INDEX($AI$2:$AI$1001,MATCH(ROWS($AG$2:AG664),$AG$2:$AG$1001,0),0), INDEX($AN$1004:$BO$1004,1,MATCH(COLUMNS($AN$1006:AV1006),$AN$1006:$BO$1006,0)))),"Fix")))</f>
        <v>0</v>
      </c>
      <c r="K664" s="4">
        <f>IF(OR(INDEX($AH$2:$AH$1001,MATCH(ROWS($AG$2:AG664),$AG$2:$AG$1001,0),1)&gt;=100000,INDEX($AN$1005:$BO$1005,1,MATCH(COLUMNS($AN$1006:AW1006),$AN$1006:$BO$1006,0))&gt;=100000), " ",IF(INDEX($AN$2:$BO$1001,MATCH(ROWS($AG$2:AG664),$AG$2:$AG$1001,0),MATCH(COLUMNS($AN$1006:AW1006),$AN$1006:$BO$1006,0)), HYPERLINK("#",""), HYPERLINK(CONCATENATE("#Metadata!", ADDRESS(INDEX($AI$2:$AI$1001,MATCH(ROWS($AG$2:AG664),$AG$2:$AG$1001,0),0), INDEX($AN$1004:$BO$1004,1,MATCH(COLUMNS($AN$1006:AW1006),$AN$1006:$BO$1006,0)))),"Fix")))</f>
        <v>0</v>
      </c>
      <c r="L664" s="4">
        <f>IF(OR(INDEX($AH$2:$AH$1001,MATCH(ROWS($AG$2:AG664),$AG$2:$AG$1001,0),1)&gt;=100000,INDEX($AN$1005:$BO$1005,1,MATCH(COLUMNS($AN$1006:AX1006),$AN$1006:$BO$1006,0))&gt;=100000), " ",IF(INDEX($AN$2:$BO$1001,MATCH(ROWS($AG$2:AG664),$AG$2:$AG$1001,0),MATCH(COLUMNS($AN$1006:AX1006),$AN$1006:$BO$1006,0)), HYPERLINK("#",""), HYPERLINK(CONCATENATE("#Metadata!", ADDRESS(INDEX($AI$2:$AI$1001,MATCH(ROWS($AG$2:AG664),$AG$2:$AG$1001,0),0), INDEX($AN$1004:$BO$1004,1,MATCH(COLUMNS($AN$1006:AX1006),$AN$1006:$BO$1006,0)))),"Fix")))</f>
        <v>0</v>
      </c>
      <c r="M664" s="4">
        <f>IF(OR(INDEX($AH$2:$AH$1001,MATCH(ROWS($AG$2:AG664),$AG$2:$AG$1001,0),1)&gt;=100000,INDEX($AN$1005:$BO$1005,1,MATCH(COLUMNS($AN$1006:AY1006),$AN$1006:$BO$1006,0))&gt;=100000), " ",IF(INDEX($AN$2:$BO$1001,MATCH(ROWS($AG$2:AG664),$AG$2:$AG$1001,0),MATCH(COLUMNS($AN$1006:AY1006),$AN$1006:$BO$1006,0)), HYPERLINK("#",""), HYPERLINK(CONCATENATE("#Metadata!", ADDRESS(INDEX($AI$2:$AI$1001,MATCH(ROWS($AG$2:AG664),$AG$2:$AG$1001,0),0), INDEX($AN$1004:$BO$1004,1,MATCH(COLUMNS($AN$1006:AY1006),$AN$1006:$BO$1006,0)))),"Fix")))</f>
        <v>0</v>
      </c>
      <c r="N664" s="4">
        <f>IF(OR(INDEX($AH$2:$AH$1001,MATCH(ROWS($AG$2:AG664),$AG$2:$AG$1001,0),1)&gt;=100000,INDEX($AN$1005:$BO$1005,1,MATCH(COLUMNS($AN$1006:AZ1006),$AN$1006:$BO$1006,0))&gt;=100000), " ",IF(INDEX($AN$2:$BO$1001,MATCH(ROWS($AG$2:AG664),$AG$2:$AG$1001,0),MATCH(COLUMNS($AN$1006:AZ1006),$AN$1006:$BO$1006,0)), HYPERLINK("#",""), HYPERLINK(CONCATENATE("#Metadata!", ADDRESS(INDEX($AI$2:$AI$1001,MATCH(ROWS($AG$2:AG664),$AG$2:$AG$1001,0),0), INDEX($AN$1004:$BO$1004,1,MATCH(COLUMNS($AN$1006:AZ1006),$AN$1006:$BO$1006,0)))),"Fix")))</f>
        <v>0</v>
      </c>
      <c r="O664" s="4">
        <f>IF(OR(INDEX($AH$2:$AH$1001,MATCH(ROWS($AG$2:AG664),$AG$2:$AG$1001,0),1)&gt;=100000,INDEX($AN$1005:$BO$1005,1,MATCH(COLUMNS($AN$1006:BA1006),$AN$1006:$BO$1006,0))&gt;=100000), " ",IF(INDEX($AN$2:$BO$1001,MATCH(ROWS($AG$2:AG664),$AG$2:$AG$1001,0),MATCH(COLUMNS($AN$1006:BA1006),$AN$1006:$BO$1006,0)), HYPERLINK("#",""), HYPERLINK(CONCATENATE("#Metadata!", ADDRESS(INDEX($AI$2:$AI$1001,MATCH(ROWS($AG$2:AG664),$AG$2:$AG$1001,0),0), INDEX($AN$1004:$BO$1004,1,MATCH(COLUMNS($AN$1006:BA1006),$AN$1006:$BO$1006,0)))),"Fix")))</f>
        <v>0</v>
      </c>
      <c r="P664" s="4">
        <f>IF(OR(INDEX($AH$2:$AH$1001,MATCH(ROWS($AG$2:AG664),$AG$2:$AG$1001,0),1)&gt;=100000,INDEX($AN$1005:$BO$1005,1,MATCH(COLUMNS($AN$1006:BB1006),$AN$1006:$BO$1006,0))&gt;=100000), " ",IF(INDEX($AN$2:$BO$1001,MATCH(ROWS($AG$2:AG664),$AG$2:$AG$1001,0),MATCH(COLUMNS($AN$1006:BB1006),$AN$1006:$BO$1006,0)), HYPERLINK("#",""), HYPERLINK(CONCATENATE("#Metadata!", ADDRESS(INDEX($AI$2:$AI$1001,MATCH(ROWS($AG$2:AG664),$AG$2:$AG$1001,0),0), INDEX($AN$1004:$BO$1004,1,MATCH(COLUMNS($AN$1006:BB1006),$AN$1006:$BO$1006,0)))),"Fix")))</f>
        <v>0</v>
      </c>
      <c r="Q664" s="4">
        <f>IF(OR(INDEX($AH$2:$AH$1001,MATCH(ROWS($AG$2:AG664),$AG$2:$AG$1001,0),1)&gt;=100000,INDEX($AN$1005:$BO$1005,1,MATCH(COLUMNS($AN$1006:BC1006),$AN$1006:$BO$1006,0))&gt;=100000), " ",IF(INDEX($AN$2:$BO$1001,MATCH(ROWS($AG$2:AG664),$AG$2:$AG$1001,0),MATCH(COLUMNS($AN$1006:BC1006),$AN$1006:$BO$1006,0)), HYPERLINK("#",""), HYPERLINK(CONCATENATE("#Metadata!", ADDRESS(INDEX($AI$2:$AI$1001,MATCH(ROWS($AG$2:AG664),$AG$2:$AG$1001,0),0), INDEX($AN$1004:$BO$1004,1,MATCH(COLUMNS($AN$1006:BC1006),$AN$1006:$BO$1006,0)))),"Fix")))</f>
        <v>0</v>
      </c>
      <c r="R664" s="4">
        <f>IF(OR(INDEX($AH$2:$AH$1001,MATCH(ROWS($AG$2:AG664),$AG$2:$AG$1001,0),1)&gt;=100000,INDEX($AN$1005:$BO$1005,1,MATCH(COLUMNS($AN$1006:BD1006),$AN$1006:$BO$1006,0))&gt;=100000), " ",IF(INDEX($AN$2:$BO$1001,MATCH(ROWS($AG$2:AG664),$AG$2:$AG$1001,0),MATCH(COLUMNS($AN$1006:BD1006),$AN$1006:$BO$1006,0)), HYPERLINK("#",""), HYPERLINK(CONCATENATE("#Metadata!", ADDRESS(INDEX($AI$2:$AI$1001,MATCH(ROWS($AG$2:AG664),$AG$2:$AG$1001,0),0), INDEX($AN$1004:$BO$1004,1,MATCH(COLUMNS($AN$1006:BD1006),$AN$1006:$BO$1006,0)))),"Fix")))</f>
        <v>0</v>
      </c>
      <c r="S664" s="4">
        <f>IF(OR(INDEX($AH$2:$AH$1001,MATCH(ROWS($AG$2:AG664),$AG$2:$AG$1001,0),1)&gt;=100000,INDEX($AN$1005:$BO$1005,1,MATCH(COLUMNS($AN$1006:BE1006),$AN$1006:$BO$1006,0))&gt;=100000), " ",IF(INDEX($AN$2:$BO$1001,MATCH(ROWS($AG$2:AG664),$AG$2:$AG$1001,0),MATCH(COLUMNS($AN$1006:BE1006),$AN$1006:$BO$1006,0)), HYPERLINK("#",""), HYPERLINK(CONCATENATE("#Metadata!", ADDRESS(INDEX($AI$2:$AI$1001,MATCH(ROWS($AG$2:AG664),$AG$2:$AG$1001,0),0), INDEX($AN$1004:$BO$1004,1,MATCH(COLUMNS($AN$1006:BE1006),$AN$1006:$BO$1006,0)))),"Fix")))</f>
        <v>0</v>
      </c>
      <c r="T664" s="4">
        <f>IF(OR(INDEX($AH$2:$AH$1001,MATCH(ROWS($AG$2:AG664),$AG$2:$AG$1001,0),1)&gt;=100000,INDEX($AN$1005:$BO$1005,1,MATCH(COLUMNS($AN$1006:BF1006),$AN$1006:$BO$1006,0))&gt;=100000), " ",IF(INDEX($AN$2:$BO$1001,MATCH(ROWS($AG$2:AG664),$AG$2:$AG$1001,0),MATCH(COLUMNS($AN$1006:BF1006),$AN$1006:$BO$1006,0)), HYPERLINK("#",""), HYPERLINK(CONCATENATE("#Metadata!", ADDRESS(INDEX($AI$2:$AI$1001,MATCH(ROWS($AG$2:AG664),$AG$2:$AG$1001,0),0), INDEX($AN$1004:$BO$1004,1,MATCH(COLUMNS($AN$1006:BF1006),$AN$1006:$BO$1006,0)))),"Fix")))</f>
        <v>0</v>
      </c>
      <c r="U664" s="4">
        <f>IF(OR(INDEX($AH$2:$AH$1001,MATCH(ROWS($AG$2:AG664),$AG$2:$AG$1001,0),1)&gt;=100000,INDEX($AN$1005:$BO$1005,1,MATCH(COLUMNS($AN$1006:BG1006),$AN$1006:$BO$1006,0))&gt;=100000), " ",IF(INDEX($AN$2:$BO$1001,MATCH(ROWS($AG$2:AG664),$AG$2:$AG$1001,0),MATCH(COLUMNS($AN$1006:BG1006),$AN$1006:$BO$1006,0)), HYPERLINK("#",""), HYPERLINK(CONCATENATE("#Metadata!", ADDRESS(INDEX($AI$2:$AI$1001,MATCH(ROWS($AG$2:AG664),$AG$2:$AG$1001,0),0), INDEX($AN$1004:$BO$1004,1,MATCH(COLUMNS($AN$1006:BG1006),$AN$1006:$BO$1006,0)))),"Fix")))</f>
        <v>0</v>
      </c>
      <c r="V664" s="4">
        <f>IF(OR(INDEX($AH$2:$AH$1001,MATCH(ROWS($AG$2:AG664),$AG$2:$AG$1001,0),1)&gt;=100000,INDEX($AN$1005:$BO$1005,1,MATCH(COLUMNS($AN$1006:BH1006),$AN$1006:$BO$1006,0))&gt;=100000), " ",IF(INDEX($AN$2:$BO$1001,MATCH(ROWS($AG$2:AG664),$AG$2:$AG$1001,0),MATCH(COLUMNS($AN$1006:BH1006),$AN$1006:$BO$1006,0)), HYPERLINK("#",""), HYPERLINK(CONCATENATE("#Metadata!", ADDRESS(INDEX($AI$2:$AI$1001,MATCH(ROWS($AG$2:AG664),$AG$2:$AG$1001,0),0), INDEX($AN$1004:$BO$1004,1,MATCH(COLUMNS($AN$1006:BH1006),$AN$1006:$BO$1006,0)))),"Fix")))</f>
        <v>0</v>
      </c>
      <c r="W664" s="4">
        <f>IF(OR(INDEX($AH$2:$AH$1001,MATCH(ROWS($AG$2:AG664),$AG$2:$AG$1001,0),1)&gt;=100000,INDEX($AN$1005:$BO$1005,1,MATCH(COLUMNS($AN$1006:BI1006),$AN$1006:$BO$1006,0))&gt;=100000), " ",IF(INDEX($AN$2:$BO$1001,MATCH(ROWS($AG$2:AG664),$AG$2:$AG$1001,0),MATCH(COLUMNS($AN$1006:BI1006),$AN$1006:$BO$1006,0)), HYPERLINK("#",""), HYPERLINK(CONCATENATE("#Metadata!", ADDRESS(INDEX($AI$2:$AI$1001,MATCH(ROWS($AG$2:AG664),$AG$2:$AG$1001,0),0), INDEX($AN$1004:$BO$1004,1,MATCH(COLUMNS($AN$1006:BI1006),$AN$1006:$BO$1006,0)))),"Fix")))</f>
        <v>0</v>
      </c>
      <c r="X664" s="4">
        <f>IF(OR(INDEX($AH$2:$AH$1001,MATCH(ROWS($AG$2:AG664),$AG$2:$AG$1001,0),1)&gt;=100000,INDEX($AN$1005:$BO$1005,1,MATCH(COLUMNS($AN$1006:BJ1006),$AN$1006:$BO$1006,0))&gt;=100000), " ",IF(INDEX($AN$2:$BO$1001,MATCH(ROWS($AG$2:AG664),$AG$2:$AG$1001,0),MATCH(COLUMNS($AN$1006:BJ1006),$AN$1006:$BO$1006,0)), HYPERLINK("#",""), HYPERLINK(CONCATENATE("#Metadata!", ADDRESS(INDEX($AI$2:$AI$1001,MATCH(ROWS($AG$2:AG664),$AG$2:$AG$1001,0),0), INDEX($AN$1004:$BO$1004,1,MATCH(COLUMNS($AN$1006:BJ1006),$AN$1006:$BO$1006,0)))),"Fix")))</f>
        <v>0</v>
      </c>
      <c r="Y664" s="4">
        <f>IF(OR(INDEX($AH$2:$AH$1001,MATCH(ROWS($AG$2:AG664),$AG$2:$AG$1001,0),1)&gt;=100000,INDEX($AN$1005:$BO$1005,1,MATCH(COLUMNS($AN$1006:BK1006),$AN$1006:$BO$1006,0))&gt;=100000), " ",IF(INDEX($AN$2:$BO$1001,MATCH(ROWS($AG$2:AG664),$AG$2:$AG$1001,0),MATCH(COLUMNS($AN$1006:BK1006),$AN$1006:$BO$1006,0)), HYPERLINK("#",""), HYPERLINK(CONCATENATE("#Metadata!", ADDRESS(INDEX($AI$2:$AI$1001,MATCH(ROWS($AG$2:AG664),$AG$2:$AG$1001,0),0), INDEX($AN$1004:$BO$1004,1,MATCH(COLUMNS($AN$1006:BK1006),$AN$1006:$BO$1006,0)))),"Fix")))</f>
        <v>0</v>
      </c>
      <c r="Z664" s="4">
        <f>IF(OR(INDEX($AH$2:$AH$1001,MATCH(ROWS($AG$2:AG664),$AG$2:$AG$1001,0),1)&gt;=100000,INDEX($AN$1005:$BO$1005,1,MATCH(COLUMNS($AN$1006:BL1006),$AN$1006:$BO$1006,0))&gt;=100000), " ",IF(INDEX($AN$2:$BO$1001,MATCH(ROWS($AG$2:AG664),$AG$2:$AG$1001,0),MATCH(COLUMNS($AN$1006:BL1006),$AN$1006:$BO$1006,0)), HYPERLINK("#",""), HYPERLINK(CONCATENATE("#Metadata!", ADDRESS(INDEX($AI$2:$AI$1001,MATCH(ROWS($AG$2:AG664),$AG$2:$AG$1001,0),0), INDEX($AN$1004:$BO$1004,1,MATCH(COLUMNS($AN$1006:BL1006),$AN$1006:$BO$1006,0)))),"Fix")))</f>
        <v>0</v>
      </c>
      <c r="AA664" s="4">
        <f>IF(OR(INDEX($AH$2:$AH$1001,MATCH(ROWS($AG$2:AG664),$AG$2:$AG$1001,0),1)&gt;=100000,INDEX($AN$1005:$BO$1005,1,MATCH(COLUMNS($AN$1006:BM1006),$AN$1006:$BO$1006,0))&gt;=100000), " ",IF(INDEX($AN$2:$BO$1001,MATCH(ROWS($AG$2:AG664),$AG$2:$AG$1001,0),MATCH(COLUMNS($AN$1006:BM1006),$AN$1006:$BO$1006,0)), HYPERLINK("#",""), HYPERLINK(CONCATENATE("#Metadata!", ADDRESS(INDEX($AI$2:$AI$1001,MATCH(ROWS($AG$2:AG664),$AG$2:$AG$1001,0),0), INDEX($AN$1004:$BO$1004,1,MATCH(COLUMNS($AN$1006:BM1006),$AN$1006:$BO$1006,0)))),"Fix")))</f>
        <v>0</v>
      </c>
      <c r="AB664" s="4">
        <f>IF(OR(INDEX($AH$2:$AH$1001,MATCH(ROWS($AG$2:AG664),$AG$2:$AG$1001,0),1)&gt;=100000,INDEX($AN$1005:$BO$1005,1,MATCH(COLUMNS($AN$1006:BN1006),$AN$1006:$BO$1006,0))&gt;=100000), " ",IF(INDEX($AN$2:$BO$1001,MATCH(ROWS($AG$2:AG664),$AG$2:$AG$1001,0),MATCH(COLUMNS($AN$1006:BN1006),$AN$1006:$BO$1006,0)), HYPERLINK("#",""), HYPERLINK(CONCATENATE("#Metadata!", ADDRESS(INDEX($AI$2:$AI$1001,MATCH(ROWS($AG$2:AG664),$AG$2:$AG$1001,0),0), INDEX($AN$1004:$BO$1004,1,MATCH(COLUMNS($AN$1006:BN1006),$AN$1006:$BO$1006,0)))),"Fix")))</f>
        <v>0</v>
      </c>
      <c r="AC664" s="4">
        <f>IF(OR(INDEX($AH$2:$AH$1001,MATCH(ROWS($AG$2:AG664),$AG$2:$AG$1001,0),1)&gt;=100000,INDEX($AN$1005:$BO$1005,1,MATCH(COLUMNS($AN$1006:BO1006),$AN$1006:$BO$1006,0))&gt;=100000), " ",IF(INDEX($AN$2:$BO$1001,MATCH(ROWS($AG$2:AG664),$AG$2:$AG$1001,0),MATCH(COLUMNS($AN$1006:BO1006),$AN$1006:$BO$1006,0)), HYPERLINK("#",""), HYPERLINK(CONCATENATE("#Metadata!", ADDRESS(INDEX($AI$2:$AI$1001,MATCH(ROWS($AG$2:AG664),$AG$2:$AG$1001,0),0), INDEX($AN$1004:$BO$1004,1,MATCH(COLUMNS($AN$1006:BO1006),$AN$1006:$BO$1006,0)))),"Fix")))</f>
        <v>0</v>
      </c>
      <c r="AG664">
        <v>0</v>
      </c>
      <c r="AH664">
        <v>0</v>
      </c>
      <c r="AI664">
        <v>0</v>
      </c>
      <c r="AJ664">
        <f>IF(AK664,TRUE,AND(AN664:BO664))</f>
        <v>0</v>
      </c>
      <c r="AK664">
        <f>COUNTBLANK(Metadata!B664:AC664)=COLUMNS(Metadata!B664:AC664)</f>
        <v>0</v>
      </c>
      <c r="AL664">
        <v>0</v>
      </c>
      <c r="AN664">
        <f>AND(IF(Metadata!B664="",FALSE,TRUE),COUNTIF(Metadata!B:B, Metadata!B664) = 1,NOT(ISERROR(SUMPRODUCT(SEARCH(MID(Metadata!B664,ROW(INDIRECT("1:"&amp;LEN(Metadata!B664))), 1),"0123456789abcdefghijklmnopqrstuvwxyzABCDEFGHIJKLMNOPQRSTUVWXYZ.")))))</f>
        <v>0</v>
      </c>
      <c r="AO664">
        <f>IF(Metadata!C664="",FALSE,TRUE)</f>
        <v>0</v>
      </c>
      <c r="AP664">
        <f>IF(Metadata!D664="",FALSE,TRUE)</f>
        <v>0</v>
      </c>
      <c r="AQ664">
        <f>OR(AND(IF(Metadata!E664="",FALSE,TRUE),OR(exact(Metadata!E664,"not collected"),exact(Metadata!E664,"not provided"),exact(Metadata!E664,"restricted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R664">
        <f>IF(Metadata!F664="",FALSE,TRUE)</f>
        <v>0</v>
      </c>
      <c r="AS664">
        <f>OR(AND(IF(Metadata!G664="",FALSE,TRUE),OR(exact(Metadata!G664,"not collected"),exact(Metadata!G664,"not provided"))),AND(IF(Metadata!G664="",FALSE,TRUE),OR(exact(Metadata!G664,"TRUE"),exact(Metadata!G664,"FALSE"))))</f>
        <v>0</v>
      </c>
      <c r="AT664">
        <f>OR(AND(IF(Metadata!H664="",FALSE,TRUE),OR(exact(Metadata!H664,"not collected"),exact(Metadata!H664,"not provided"),exact(Metadata!H664,"restricted access"))),AND(IF(Metadata!H664="",FALSE,ISNUMBER(VALUE(Metadata!H664))),Metadata!H664&gt;=-413.0))</f>
        <v>0</v>
      </c>
      <c r="AU664">
        <f>AND(IF(Metadata!I664="",FALSE,TRUE),exact(Metadata!I664,"meters"))</f>
        <v>0</v>
      </c>
      <c r="AV664">
        <f>AND(IF(Metadata!J664="",FALSE,TRUE),OR(exact(Metadata!J664,"Host-associated"),exact(Metadata!J664,"Free-living")))</f>
        <v>0</v>
      </c>
      <c r="AW664">
        <f>AND(IF(Metadata!K664="",FALSE,TRUE),OR(exact(Metadata!K664,"Animal"),exact(Metadata!K664,"Fungus"),exact(Metadata!K664,"Plant"),exact(Metadata!K664,"Saline"),exact(Metadata!K664,"Non-saline")))</f>
        <v>0</v>
      </c>
      <c r="AX664">
        <f>AND(IF(Metadata!L664="",FALSE,TRUE),OR(exact(Metadata!L664,"Plant secretion"),exact(Metadata!L664,"Plant rhizosphere"),exact(Metadata!L664,"Plant surface"),exact(Metadata!L664,"Plant corpus"),exact(Metadata!L664,"Fungus surface"),exact(Metadata!L664,"Fungus corpus"),exact(Metadata!L664,"Animal surface"),exact(Metadata!L664,"Animal proximal gut"),exact(Metadata!L664,"Animal corpus"),exact(Metadata!L664,"Animal distal gut"),exact(Metadata!L664,"Animal secretion"),exact(Metadata!L664,"Sub-surface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Y664">
        <f>IF(Metadata!M664="",FALSE,TRUE)</f>
        <v>0</v>
      </c>
      <c r="AZ664">
        <f>IF(Metadata!N664="",FALSE,TRUE)</f>
        <v>0</v>
      </c>
      <c r="BA664">
        <f>IF(Metadata!O664="",FALSE,TRUE)</f>
        <v>0</v>
      </c>
      <c r="BB664">
        <f>OR(AND(IF(Metadata!P664="",FALSE,TRUE),OR(exact(Metadata!P664,"not collected"),exact(Metadata!P664,"not provided"),exact(Metadata!P664,"restricted access"))),AND(IF(Metadata!P664="",FALSE,TRUE),OR(exact(Metadata!P664,"air"),exact(Metadata!P664,"built environment"),exact(Metadata!P664,"host-associated"),exact(Metadata!P664,"human-associated"),exact(Metadata!P664,"human-skin"),exact(Metadata!P664,"human-oral"),exact(Metadata!P664,"human-gut"),exact(Metadata!P664,"human-vaginal"),exact(Metadata!P664,"microbial mat/biofilm"),exact(Metadata!P664,"misc environment"),exact(Metadata!P664,"plant-associated"),exact(Metadata!P664,"sediment"),exact(Metadata!P664,"soil"),exact(Metadata!P664,"wastewater/sludge"),exact(Metadata!P664,"water"))))</f>
        <v>0</v>
      </c>
      <c r="BC664">
        <f>IF(Metadata!Q664="",FALSE,TRUE)</f>
        <v>0</v>
      </c>
      <c r="BD664">
        <f>IF(Metadata!R664="",FALSE,TRUE)</f>
        <v>0</v>
      </c>
      <c r="BE664">
        <f>OR(AND(IF(Metadata!S664="",FALSE,TRUE),OR(exact(Metadata!S664,"not collected"),exact(Metadata!S664,"not provided"),exact(Metadata!S664,"restricted access"))),AND(IF(Metadata!S664="",FALSE,ISNUMBER(VALUE(Metadata!S664))),Metadata!S664&gt;=-90.00,Metadata!S664&lt;=90.00))</f>
        <v>0</v>
      </c>
      <c r="BF664">
        <f>AND(IF(Metadata!T664="",FALSE,TRUE),exact(Metadata!T664,"Decimal degrees"))</f>
        <v>0</v>
      </c>
      <c r="BG664">
        <f>OR(AND(IF(Metadata!U664="",FALSE,TRUE),OR(exact(Metadata!U664,"not collected"),exact(Metadata!U664,"not provided"),exact(Metadata!U664,"restricted access"))),AND(IF(Metadata!U664="",FALSE,ISNUMBER(VALUE(Metadata!U664))),Metadata!U664&gt;=-180.00,Metadata!U664&lt;=180.00))</f>
        <v>0</v>
      </c>
      <c r="BH664">
        <f>AND(IF(Metadata!V664="",FALSE,TRUE),exact(Metadata!V664,"Decimal degrees"))</f>
        <v>0</v>
      </c>
      <c r="BI664">
        <f>IF(Metadata!W664="",FALSE,TRUE)</f>
        <v>0</v>
      </c>
      <c r="BJ664">
        <f>OR(AND(IF(Metadata!X664="",FALSE,TRUE),OR(exact(Metadata!X664,"not collected"),exact(Metadata!X664,"not provided"),exact(Metadata!X664,"restricted access"))),AND(IF(Metadata!X664="",FALSE,TRUE),OR(exact(Metadata!X664,"TRUE"),exact(Metadata!X664,"FALSE"))))</f>
        <v>0</v>
      </c>
      <c r="BK664">
        <f>AND(IF(Metadata!Y664="",FALSE,TRUE),exact(Metadata!Y664,"other"))</f>
        <v>0</v>
      </c>
      <c r="BL664">
        <f>IF(Metadata!Z664="",FALSE,TRUE)</f>
        <v>0</v>
      </c>
      <c r="BM664">
        <f>OR(AND(IF(Metadata!AA664="",FALSE,TRUE),OR(exact(Metadata!AA664,"not collected"),exact(Metadata!AA664,"not provided"))),AND(IF(Metadata!AA664="",FALSE,IF(ISERROR(INT(Metadata!AA664)),FALSE,INT(Metadata!AA664)=Metadata!AA664)),Metadata!AA664&gt;0))</f>
        <v>0</v>
      </c>
      <c r="BN664">
        <f>AND(IF(Metadata!AB664="",FALSE,TRUE),exact(Metadata!AB664,"Not applicable"))</f>
        <v>0</v>
      </c>
      <c r="BO664">
        <f>IF(Metadata!AC664="",FALSE,TRUE)</f>
        <v>0</v>
      </c>
    </row>
    <row r="665" spans="1:67">
      <c r="A665" s="5">
        <f>IF(B665=" "," ",HYPERLINK(CONCATENATE("#metadata!",ADDRESS(INDEX($AI$2:$AI$1001,MATCH(ROWS($AG$2:AG665),$AG$2:$AG$1001,0),0),1)),INDEX($AL$2:$AL$1001,MATCH(ROWS($AG$2:AG665),$AG$2:$AG$1001,0),0)))</f>
        <v>0</v>
      </c>
      <c r="B665" s="4">
        <f>IF(OR(INDEX($AH$2:$AH$1001,MATCH(ROWS($AG$2:AG665),$AG$2:$AG$1001,0),1)&gt;=100000,INDEX($AN$1005:$BO$1005,1,MATCH(COLUMNS($AN$1006:AN1006),$AN$1006:$BO$1006,0))&gt;=100000), " ",IF(INDEX($AN$2:$BO$1001,MATCH(ROWS($AG$2:AG665),$AG$2:$AG$1001,0),MATCH(COLUMNS($AN$1006:AN1006),$AN$1006:$BO$1006,0)), HYPERLINK("#",""), HYPERLINK(CONCATENATE("#Metadata!", ADDRESS(INDEX($AI$2:$AI$1001,MATCH(ROWS($AG$2:AG665),$AG$2:$AG$1001,0),0), INDEX($AN$1004:$BO$1004,1,MATCH(COLUMNS($AN$1006:AN1006),$AN$1006:$BO$1006,0)))),"Fix")))</f>
        <v>0</v>
      </c>
      <c r="C665" s="4">
        <f>IF(OR(INDEX($AH$2:$AH$1001,MATCH(ROWS($AG$2:AG665),$AG$2:$AG$1001,0),1)&gt;=100000,INDEX($AN$1005:$BO$1005,1,MATCH(COLUMNS($AN$1006:AO1006),$AN$1006:$BO$1006,0))&gt;=100000), " ",IF(INDEX($AN$2:$BO$1001,MATCH(ROWS($AG$2:AG665),$AG$2:$AG$1001,0),MATCH(COLUMNS($AN$1006:AO1006),$AN$1006:$BO$1006,0)), HYPERLINK("#",""), HYPERLINK(CONCATENATE("#Metadata!", ADDRESS(INDEX($AI$2:$AI$1001,MATCH(ROWS($AG$2:AG665),$AG$2:$AG$1001,0),0), INDEX($AN$1004:$BO$1004,1,MATCH(COLUMNS($AN$1006:AO1006),$AN$1006:$BO$1006,0)))),"Fix")))</f>
        <v>0</v>
      </c>
      <c r="D665" s="4">
        <f>IF(OR(INDEX($AH$2:$AH$1001,MATCH(ROWS($AG$2:AG665),$AG$2:$AG$1001,0),1)&gt;=100000,INDEX($AN$1005:$BO$1005,1,MATCH(COLUMNS($AN$1006:AP1006),$AN$1006:$BO$1006,0))&gt;=100000), " ",IF(INDEX($AN$2:$BO$1001,MATCH(ROWS($AG$2:AG665),$AG$2:$AG$1001,0),MATCH(COLUMNS($AN$1006:AP1006),$AN$1006:$BO$1006,0)), HYPERLINK("#",""), HYPERLINK(CONCATENATE("#Metadata!", ADDRESS(INDEX($AI$2:$AI$1001,MATCH(ROWS($AG$2:AG665),$AG$2:$AG$1001,0),0), INDEX($AN$1004:$BO$1004,1,MATCH(COLUMNS($AN$1006:AP1006),$AN$1006:$BO$1006,0)))),"Fix")))</f>
        <v>0</v>
      </c>
      <c r="E665" s="4">
        <f>IF(OR(INDEX($AH$2:$AH$1001,MATCH(ROWS($AG$2:AG665),$AG$2:$AG$1001,0),1)&gt;=100000,INDEX($AN$1005:$BO$1005,1,MATCH(COLUMNS($AN$1006:AQ1006),$AN$1006:$BO$1006,0))&gt;=100000), " ",IF(INDEX($AN$2:$BO$1001,MATCH(ROWS($AG$2:AG665),$AG$2:$AG$1001,0),MATCH(COLUMNS($AN$1006:AQ1006),$AN$1006:$BO$1006,0)), HYPERLINK("#",""), HYPERLINK(CONCATENATE("#Metadata!", ADDRESS(INDEX($AI$2:$AI$1001,MATCH(ROWS($AG$2:AG665),$AG$2:$AG$1001,0),0), INDEX($AN$1004:$BO$1004,1,MATCH(COLUMNS($AN$1006:AQ1006),$AN$1006:$BO$1006,0)))),"Fix")))</f>
        <v>0</v>
      </c>
      <c r="F665" s="4">
        <f>IF(OR(INDEX($AH$2:$AH$1001,MATCH(ROWS($AG$2:AG665),$AG$2:$AG$1001,0),1)&gt;=100000,INDEX($AN$1005:$BO$1005,1,MATCH(COLUMNS($AN$1006:AR1006),$AN$1006:$BO$1006,0))&gt;=100000), " ",IF(INDEX($AN$2:$BO$1001,MATCH(ROWS($AG$2:AG665),$AG$2:$AG$1001,0),MATCH(COLUMNS($AN$1006:AR1006),$AN$1006:$BO$1006,0)), HYPERLINK("#",""), HYPERLINK(CONCATENATE("#Metadata!", ADDRESS(INDEX($AI$2:$AI$1001,MATCH(ROWS($AG$2:AG665),$AG$2:$AG$1001,0),0), INDEX($AN$1004:$BO$1004,1,MATCH(COLUMNS($AN$1006:AR1006),$AN$1006:$BO$1006,0)))),"Fix")))</f>
        <v>0</v>
      </c>
      <c r="G665" s="4">
        <f>IF(OR(INDEX($AH$2:$AH$1001,MATCH(ROWS($AG$2:AG665),$AG$2:$AG$1001,0),1)&gt;=100000,INDEX($AN$1005:$BO$1005,1,MATCH(COLUMNS($AN$1006:AS1006),$AN$1006:$BO$1006,0))&gt;=100000), " ",IF(INDEX($AN$2:$BO$1001,MATCH(ROWS($AG$2:AG665),$AG$2:$AG$1001,0),MATCH(COLUMNS($AN$1006:AS1006),$AN$1006:$BO$1006,0)), HYPERLINK("#",""), HYPERLINK(CONCATENATE("#Metadata!", ADDRESS(INDEX($AI$2:$AI$1001,MATCH(ROWS($AG$2:AG665),$AG$2:$AG$1001,0),0), INDEX($AN$1004:$BO$1004,1,MATCH(COLUMNS($AN$1006:AS1006),$AN$1006:$BO$1006,0)))),"Fix")))</f>
        <v>0</v>
      </c>
      <c r="H665" s="4">
        <f>IF(OR(INDEX($AH$2:$AH$1001,MATCH(ROWS($AG$2:AG665),$AG$2:$AG$1001,0),1)&gt;=100000,INDEX($AN$1005:$BO$1005,1,MATCH(COLUMNS($AN$1006:AT1006),$AN$1006:$BO$1006,0))&gt;=100000), " ",IF(INDEX($AN$2:$BO$1001,MATCH(ROWS($AG$2:AG665),$AG$2:$AG$1001,0),MATCH(COLUMNS($AN$1006:AT1006),$AN$1006:$BO$1006,0)), HYPERLINK("#",""), HYPERLINK(CONCATENATE("#Metadata!", ADDRESS(INDEX($AI$2:$AI$1001,MATCH(ROWS($AG$2:AG665),$AG$2:$AG$1001,0),0), INDEX($AN$1004:$BO$1004,1,MATCH(COLUMNS($AN$1006:AT1006),$AN$1006:$BO$1006,0)))),"Fix")))</f>
        <v>0</v>
      </c>
      <c r="I665" s="4">
        <f>IF(OR(INDEX($AH$2:$AH$1001,MATCH(ROWS($AG$2:AG665),$AG$2:$AG$1001,0),1)&gt;=100000,INDEX($AN$1005:$BO$1005,1,MATCH(COLUMNS($AN$1006:AU1006),$AN$1006:$BO$1006,0))&gt;=100000), " ",IF(INDEX($AN$2:$BO$1001,MATCH(ROWS($AG$2:AG665),$AG$2:$AG$1001,0),MATCH(COLUMNS($AN$1006:AU1006),$AN$1006:$BO$1006,0)), HYPERLINK("#",""), HYPERLINK(CONCATENATE("#Metadata!", ADDRESS(INDEX($AI$2:$AI$1001,MATCH(ROWS($AG$2:AG665),$AG$2:$AG$1001,0),0), INDEX($AN$1004:$BO$1004,1,MATCH(COLUMNS($AN$1006:AU1006),$AN$1006:$BO$1006,0)))),"Fix")))</f>
        <v>0</v>
      </c>
      <c r="J665" s="4">
        <f>IF(OR(INDEX($AH$2:$AH$1001,MATCH(ROWS($AG$2:AG665),$AG$2:$AG$1001,0),1)&gt;=100000,INDEX($AN$1005:$BO$1005,1,MATCH(COLUMNS($AN$1006:AV1006),$AN$1006:$BO$1006,0))&gt;=100000), " ",IF(INDEX($AN$2:$BO$1001,MATCH(ROWS($AG$2:AG665),$AG$2:$AG$1001,0),MATCH(COLUMNS($AN$1006:AV1006),$AN$1006:$BO$1006,0)), HYPERLINK("#",""), HYPERLINK(CONCATENATE("#Metadata!", ADDRESS(INDEX($AI$2:$AI$1001,MATCH(ROWS($AG$2:AG665),$AG$2:$AG$1001,0),0), INDEX($AN$1004:$BO$1004,1,MATCH(COLUMNS($AN$1006:AV1006),$AN$1006:$BO$1006,0)))),"Fix")))</f>
        <v>0</v>
      </c>
      <c r="K665" s="4">
        <f>IF(OR(INDEX($AH$2:$AH$1001,MATCH(ROWS($AG$2:AG665),$AG$2:$AG$1001,0),1)&gt;=100000,INDEX($AN$1005:$BO$1005,1,MATCH(COLUMNS($AN$1006:AW1006),$AN$1006:$BO$1006,0))&gt;=100000), " ",IF(INDEX($AN$2:$BO$1001,MATCH(ROWS($AG$2:AG665),$AG$2:$AG$1001,0),MATCH(COLUMNS($AN$1006:AW1006),$AN$1006:$BO$1006,0)), HYPERLINK("#",""), HYPERLINK(CONCATENATE("#Metadata!", ADDRESS(INDEX($AI$2:$AI$1001,MATCH(ROWS($AG$2:AG665),$AG$2:$AG$1001,0),0), INDEX($AN$1004:$BO$1004,1,MATCH(COLUMNS($AN$1006:AW1006),$AN$1006:$BO$1006,0)))),"Fix")))</f>
        <v>0</v>
      </c>
      <c r="L665" s="4">
        <f>IF(OR(INDEX($AH$2:$AH$1001,MATCH(ROWS($AG$2:AG665),$AG$2:$AG$1001,0),1)&gt;=100000,INDEX($AN$1005:$BO$1005,1,MATCH(COLUMNS($AN$1006:AX1006),$AN$1006:$BO$1006,0))&gt;=100000), " ",IF(INDEX($AN$2:$BO$1001,MATCH(ROWS($AG$2:AG665),$AG$2:$AG$1001,0),MATCH(COLUMNS($AN$1006:AX1006),$AN$1006:$BO$1006,0)), HYPERLINK("#",""), HYPERLINK(CONCATENATE("#Metadata!", ADDRESS(INDEX($AI$2:$AI$1001,MATCH(ROWS($AG$2:AG665),$AG$2:$AG$1001,0),0), INDEX($AN$1004:$BO$1004,1,MATCH(COLUMNS($AN$1006:AX1006),$AN$1006:$BO$1006,0)))),"Fix")))</f>
        <v>0</v>
      </c>
      <c r="M665" s="4">
        <f>IF(OR(INDEX($AH$2:$AH$1001,MATCH(ROWS($AG$2:AG665),$AG$2:$AG$1001,0),1)&gt;=100000,INDEX($AN$1005:$BO$1005,1,MATCH(COLUMNS($AN$1006:AY1006),$AN$1006:$BO$1006,0))&gt;=100000), " ",IF(INDEX($AN$2:$BO$1001,MATCH(ROWS($AG$2:AG665),$AG$2:$AG$1001,0),MATCH(COLUMNS($AN$1006:AY1006),$AN$1006:$BO$1006,0)), HYPERLINK("#",""), HYPERLINK(CONCATENATE("#Metadata!", ADDRESS(INDEX($AI$2:$AI$1001,MATCH(ROWS($AG$2:AG665),$AG$2:$AG$1001,0),0), INDEX($AN$1004:$BO$1004,1,MATCH(COLUMNS($AN$1006:AY1006),$AN$1006:$BO$1006,0)))),"Fix")))</f>
        <v>0</v>
      </c>
      <c r="N665" s="4">
        <f>IF(OR(INDEX($AH$2:$AH$1001,MATCH(ROWS($AG$2:AG665),$AG$2:$AG$1001,0),1)&gt;=100000,INDEX($AN$1005:$BO$1005,1,MATCH(COLUMNS($AN$1006:AZ1006),$AN$1006:$BO$1006,0))&gt;=100000), " ",IF(INDEX($AN$2:$BO$1001,MATCH(ROWS($AG$2:AG665),$AG$2:$AG$1001,0),MATCH(COLUMNS($AN$1006:AZ1006),$AN$1006:$BO$1006,0)), HYPERLINK("#",""), HYPERLINK(CONCATENATE("#Metadata!", ADDRESS(INDEX($AI$2:$AI$1001,MATCH(ROWS($AG$2:AG665),$AG$2:$AG$1001,0),0), INDEX($AN$1004:$BO$1004,1,MATCH(COLUMNS($AN$1006:AZ1006),$AN$1006:$BO$1006,0)))),"Fix")))</f>
        <v>0</v>
      </c>
      <c r="O665" s="4">
        <f>IF(OR(INDEX($AH$2:$AH$1001,MATCH(ROWS($AG$2:AG665),$AG$2:$AG$1001,0),1)&gt;=100000,INDEX($AN$1005:$BO$1005,1,MATCH(COLUMNS($AN$1006:BA1006),$AN$1006:$BO$1006,0))&gt;=100000), " ",IF(INDEX($AN$2:$BO$1001,MATCH(ROWS($AG$2:AG665),$AG$2:$AG$1001,0),MATCH(COLUMNS($AN$1006:BA1006),$AN$1006:$BO$1006,0)), HYPERLINK("#",""), HYPERLINK(CONCATENATE("#Metadata!", ADDRESS(INDEX($AI$2:$AI$1001,MATCH(ROWS($AG$2:AG665),$AG$2:$AG$1001,0),0), INDEX($AN$1004:$BO$1004,1,MATCH(COLUMNS($AN$1006:BA1006),$AN$1006:$BO$1006,0)))),"Fix")))</f>
        <v>0</v>
      </c>
      <c r="P665" s="4">
        <f>IF(OR(INDEX($AH$2:$AH$1001,MATCH(ROWS($AG$2:AG665),$AG$2:$AG$1001,0),1)&gt;=100000,INDEX($AN$1005:$BO$1005,1,MATCH(COLUMNS($AN$1006:BB1006),$AN$1006:$BO$1006,0))&gt;=100000), " ",IF(INDEX($AN$2:$BO$1001,MATCH(ROWS($AG$2:AG665),$AG$2:$AG$1001,0),MATCH(COLUMNS($AN$1006:BB1006),$AN$1006:$BO$1006,0)), HYPERLINK("#",""), HYPERLINK(CONCATENATE("#Metadata!", ADDRESS(INDEX($AI$2:$AI$1001,MATCH(ROWS($AG$2:AG665),$AG$2:$AG$1001,0),0), INDEX($AN$1004:$BO$1004,1,MATCH(COLUMNS($AN$1006:BB1006),$AN$1006:$BO$1006,0)))),"Fix")))</f>
        <v>0</v>
      </c>
      <c r="Q665" s="4">
        <f>IF(OR(INDEX($AH$2:$AH$1001,MATCH(ROWS($AG$2:AG665),$AG$2:$AG$1001,0),1)&gt;=100000,INDEX($AN$1005:$BO$1005,1,MATCH(COLUMNS($AN$1006:BC1006),$AN$1006:$BO$1006,0))&gt;=100000), " ",IF(INDEX($AN$2:$BO$1001,MATCH(ROWS($AG$2:AG665),$AG$2:$AG$1001,0),MATCH(COLUMNS($AN$1006:BC1006),$AN$1006:$BO$1006,0)), HYPERLINK("#",""), HYPERLINK(CONCATENATE("#Metadata!", ADDRESS(INDEX($AI$2:$AI$1001,MATCH(ROWS($AG$2:AG665),$AG$2:$AG$1001,0),0), INDEX($AN$1004:$BO$1004,1,MATCH(COLUMNS($AN$1006:BC1006),$AN$1006:$BO$1006,0)))),"Fix")))</f>
        <v>0</v>
      </c>
      <c r="R665" s="4">
        <f>IF(OR(INDEX($AH$2:$AH$1001,MATCH(ROWS($AG$2:AG665),$AG$2:$AG$1001,0),1)&gt;=100000,INDEX($AN$1005:$BO$1005,1,MATCH(COLUMNS($AN$1006:BD1006),$AN$1006:$BO$1006,0))&gt;=100000), " ",IF(INDEX($AN$2:$BO$1001,MATCH(ROWS($AG$2:AG665),$AG$2:$AG$1001,0),MATCH(COLUMNS($AN$1006:BD1006),$AN$1006:$BO$1006,0)), HYPERLINK("#",""), HYPERLINK(CONCATENATE("#Metadata!", ADDRESS(INDEX($AI$2:$AI$1001,MATCH(ROWS($AG$2:AG665),$AG$2:$AG$1001,0),0), INDEX($AN$1004:$BO$1004,1,MATCH(COLUMNS($AN$1006:BD1006),$AN$1006:$BO$1006,0)))),"Fix")))</f>
        <v>0</v>
      </c>
      <c r="S665" s="4">
        <f>IF(OR(INDEX($AH$2:$AH$1001,MATCH(ROWS($AG$2:AG665),$AG$2:$AG$1001,0),1)&gt;=100000,INDEX($AN$1005:$BO$1005,1,MATCH(COLUMNS($AN$1006:BE1006),$AN$1006:$BO$1006,0))&gt;=100000), " ",IF(INDEX($AN$2:$BO$1001,MATCH(ROWS($AG$2:AG665),$AG$2:$AG$1001,0),MATCH(COLUMNS($AN$1006:BE1006),$AN$1006:$BO$1006,0)), HYPERLINK("#",""), HYPERLINK(CONCATENATE("#Metadata!", ADDRESS(INDEX($AI$2:$AI$1001,MATCH(ROWS($AG$2:AG665),$AG$2:$AG$1001,0),0), INDEX($AN$1004:$BO$1004,1,MATCH(COLUMNS($AN$1006:BE1006),$AN$1006:$BO$1006,0)))),"Fix")))</f>
        <v>0</v>
      </c>
      <c r="T665" s="4">
        <f>IF(OR(INDEX($AH$2:$AH$1001,MATCH(ROWS($AG$2:AG665),$AG$2:$AG$1001,0),1)&gt;=100000,INDEX($AN$1005:$BO$1005,1,MATCH(COLUMNS($AN$1006:BF1006),$AN$1006:$BO$1006,0))&gt;=100000), " ",IF(INDEX($AN$2:$BO$1001,MATCH(ROWS($AG$2:AG665),$AG$2:$AG$1001,0),MATCH(COLUMNS($AN$1006:BF1006),$AN$1006:$BO$1006,0)), HYPERLINK("#",""), HYPERLINK(CONCATENATE("#Metadata!", ADDRESS(INDEX($AI$2:$AI$1001,MATCH(ROWS($AG$2:AG665),$AG$2:$AG$1001,0),0), INDEX($AN$1004:$BO$1004,1,MATCH(COLUMNS($AN$1006:BF1006),$AN$1006:$BO$1006,0)))),"Fix")))</f>
        <v>0</v>
      </c>
      <c r="U665" s="4">
        <f>IF(OR(INDEX($AH$2:$AH$1001,MATCH(ROWS($AG$2:AG665),$AG$2:$AG$1001,0),1)&gt;=100000,INDEX($AN$1005:$BO$1005,1,MATCH(COLUMNS($AN$1006:BG1006),$AN$1006:$BO$1006,0))&gt;=100000), " ",IF(INDEX($AN$2:$BO$1001,MATCH(ROWS($AG$2:AG665),$AG$2:$AG$1001,0),MATCH(COLUMNS($AN$1006:BG1006),$AN$1006:$BO$1006,0)), HYPERLINK("#",""), HYPERLINK(CONCATENATE("#Metadata!", ADDRESS(INDEX($AI$2:$AI$1001,MATCH(ROWS($AG$2:AG665),$AG$2:$AG$1001,0),0), INDEX($AN$1004:$BO$1004,1,MATCH(COLUMNS($AN$1006:BG1006),$AN$1006:$BO$1006,0)))),"Fix")))</f>
        <v>0</v>
      </c>
      <c r="V665" s="4">
        <f>IF(OR(INDEX($AH$2:$AH$1001,MATCH(ROWS($AG$2:AG665),$AG$2:$AG$1001,0),1)&gt;=100000,INDEX($AN$1005:$BO$1005,1,MATCH(COLUMNS($AN$1006:BH1006),$AN$1006:$BO$1006,0))&gt;=100000), " ",IF(INDEX($AN$2:$BO$1001,MATCH(ROWS($AG$2:AG665),$AG$2:$AG$1001,0),MATCH(COLUMNS($AN$1006:BH1006),$AN$1006:$BO$1006,0)), HYPERLINK("#",""), HYPERLINK(CONCATENATE("#Metadata!", ADDRESS(INDEX($AI$2:$AI$1001,MATCH(ROWS($AG$2:AG665),$AG$2:$AG$1001,0),0), INDEX($AN$1004:$BO$1004,1,MATCH(COLUMNS($AN$1006:BH1006),$AN$1006:$BO$1006,0)))),"Fix")))</f>
        <v>0</v>
      </c>
      <c r="W665" s="4">
        <f>IF(OR(INDEX($AH$2:$AH$1001,MATCH(ROWS($AG$2:AG665),$AG$2:$AG$1001,0),1)&gt;=100000,INDEX($AN$1005:$BO$1005,1,MATCH(COLUMNS($AN$1006:BI1006),$AN$1006:$BO$1006,0))&gt;=100000), " ",IF(INDEX($AN$2:$BO$1001,MATCH(ROWS($AG$2:AG665),$AG$2:$AG$1001,0),MATCH(COLUMNS($AN$1006:BI1006),$AN$1006:$BO$1006,0)), HYPERLINK("#",""), HYPERLINK(CONCATENATE("#Metadata!", ADDRESS(INDEX($AI$2:$AI$1001,MATCH(ROWS($AG$2:AG665),$AG$2:$AG$1001,0),0), INDEX($AN$1004:$BO$1004,1,MATCH(COLUMNS($AN$1006:BI1006),$AN$1006:$BO$1006,0)))),"Fix")))</f>
        <v>0</v>
      </c>
      <c r="X665" s="4">
        <f>IF(OR(INDEX($AH$2:$AH$1001,MATCH(ROWS($AG$2:AG665),$AG$2:$AG$1001,0),1)&gt;=100000,INDEX($AN$1005:$BO$1005,1,MATCH(COLUMNS($AN$1006:BJ1006),$AN$1006:$BO$1006,0))&gt;=100000), " ",IF(INDEX($AN$2:$BO$1001,MATCH(ROWS($AG$2:AG665),$AG$2:$AG$1001,0),MATCH(COLUMNS($AN$1006:BJ1006),$AN$1006:$BO$1006,0)), HYPERLINK("#",""), HYPERLINK(CONCATENATE("#Metadata!", ADDRESS(INDEX($AI$2:$AI$1001,MATCH(ROWS($AG$2:AG665),$AG$2:$AG$1001,0),0), INDEX($AN$1004:$BO$1004,1,MATCH(COLUMNS($AN$1006:BJ1006),$AN$1006:$BO$1006,0)))),"Fix")))</f>
        <v>0</v>
      </c>
      <c r="Y665" s="4">
        <f>IF(OR(INDEX($AH$2:$AH$1001,MATCH(ROWS($AG$2:AG665),$AG$2:$AG$1001,0),1)&gt;=100000,INDEX($AN$1005:$BO$1005,1,MATCH(COLUMNS($AN$1006:BK1006),$AN$1006:$BO$1006,0))&gt;=100000), " ",IF(INDEX($AN$2:$BO$1001,MATCH(ROWS($AG$2:AG665),$AG$2:$AG$1001,0),MATCH(COLUMNS($AN$1006:BK1006),$AN$1006:$BO$1006,0)), HYPERLINK("#",""), HYPERLINK(CONCATENATE("#Metadata!", ADDRESS(INDEX($AI$2:$AI$1001,MATCH(ROWS($AG$2:AG665),$AG$2:$AG$1001,0),0), INDEX($AN$1004:$BO$1004,1,MATCH(COLUMNS($AN$1006:BK1006),$AN$1006:$BO$1006,0)))),"Fix")))</f>
        <v>0</v>
      </c>
      <c r="Z665" s="4">
        <f>IF(OR(INDEX($AH$2:$AH$1001,MATCH(ROWS($AG$2:AG665),$AG$2:$AG$1001,0),1)&gt;=100000,INDEX($AN$1005:$BO$1005,1,MATCH(COLUMNS($AN$1006:BL1006),$AN$1006:$BO$1006,0))&gt;=100000), " ",IF(INDEX($AN$2:$BO$1001,MATCH(ROWS($AG$2:AG665),$AG$2:$AG$1001,0),MATCH(COLUMNS($AN$1006:BL1006),$AN$1006:$BO$1006,0)), HYPERLINK("#",""), HYPERLINK(CONCATENATE("#Metadata!", ADDRESS(INDEX($AI$2:$AI$1001,MATCH(ROWS($AG$2:AG665),$AG$2:$AG$1001,0),0), INDEX($AN$1004:$BO$1004,1,MATCH(COLUMNS($AN$1006:BL1006),$AN$1006:$BO$1006,0)))),"Fix")))</f>
        <v>0</v>
      </c>
      <c r="AA665" s="4">
        <f>IF(OR(INDEX($AH$2:$AH$1001,MATCH(ROWS($AG$2:AG665),$AG$2:$AG$1001,0),1)&gt;=100000,INDEX($AN$1005:$BO$1005,1,MATCH(COLUMNS($AN$1006:BM1006),$AN$1006:$BO$1006,0))&gt;=100000), " ",IF(INDEX($AN$2:$BO$1001,MATCH(ROWS($AG$2:AG665),$AG$2:$AG$1001,0),MATCH(COLUMNS($AN$1006:BM1006),$AN$1006:$BO$1006,0)), HYPERLINK("#",""), HYPERLINK(CONCATENATE("#Metadata!", ADDRESS(INDEX($AI$2:$AI$1001,MATCH(ROWS($AG$2:AG665),$AG$2:$AG$1001,0),0), INDEX($AN$1004:$BO$1004,1,MATCH(COLUMNS($AN$1006:BM1006),$AN$1006:$BO$1006,0)))),"Fix")))</f>
        <v>0</v>
      </c>
      <c r="AB665" s="4">
        <f>IF(OR(INDEX($AH$2:$AH$1001,MATCH(ROWS($AG$2:AG665),$AG$2:$AG$1001,0),1)&gt;=100000,INDEX($AN$1005:$BO$1005,1,MATCH(COLUMNS($AN$1006:BN1006),$AN$1006:$BO$1006,0))&gt;=100000), " ",IF(INDEX($AN$2:$BO$1001,MATCH(ROWS($AG$2:AG665),$AG$2:$AG$1001,0),MATCH(COLUMNS($AN$1006:BN1006),$AN$1006:$BO$1006,0)), HYPERLINK("#",""), HYPERLINK(CONCATENATE("#Metadata!", ADDRESS(INDEX($AI$2:$AI$1001,MATCH(ROWS($AG$2:AG665),$AG$2:$AG$1001,0),0), INDEX($AN$1004:$BO$1004,1,MATCH(COLUMNS($AN$1006:BN1006),$AN$1006:$BO$1006,0)))),"Fix")))</f>
        <v>0</v>
      </c>
      <c r="AC665" s="4">
        <f>IF(OR(INDEX($AH$2:$AH$1001,MATCH(ROWS($AG$2:AG665),$AG$2:$AG$1001,0),1)&gt;=100000,INDEX($AN$1005:$BO$1005,1,MATCH(COLUMNS($AN$1006:BO1006),$AN$1006:$BO$1006,0))&gt;=100000), " ",IF(INDEX($AN$2:$BO$1001,MATCH(ROWS($AG$2:AG665),$AG$2:$AG$1001,0),MATCH(COLUMNS($AN$1006:BO1006),$AN$1006:$BO$1006,0)), HYPERLINK("#",""), HYPERLINK(CONCATENATE("#Metadata!", ADDRESS(INDEX($AI$2:$AI$1001,MATCH(ROWS($AG$2:AG665),$AG$2:$AG$1001,0),0), INDEX($AN$1004:$BO$1004,1,MATCH(COLUMNS($AN$1006:BO1006),$AN$1006:$BO$1006,0)))),"Fix")))</f>
        <v>0</v>
      </c>
      <c r="AG665">
        <v>0</v>
      </c>
      <c r="AH665">
        <v>0</v>
      </c>
      <c r="AI665">
        <v>0</v>
      </c>
      <c r="AJ665">
        <f>IF(AK665,TRUE,AND(AN665:BO665))</f>
        <v>0</v>
      </c>
      <c r="AK665">
        <f>COUNTBLANK(Metadata!B665:AC665)=COLUMNS(Metadata!B665:AC665)</f>
        <v>0</v>
      </c>
      <c r="AL665">
        <v>0</v>
      </c>
      <c r="AN665">
        <f>AND(IF(Metadata!B665="",FALSE,TRUE),COUNTIF(Metadata!B:B, Metadata!B665) = 1,NOT(ISERROR(SUMPRODUCT(SEARCH(MID(Metadata!B665,ROW(INDIRECT("1:"&amp;LEN(Metadata!B665))), 1),"0123456789abcdefghijklmnopqrstuvwxyzABCDEFGHIJKLMNOPQRSTUVWXYZ.")))))</f>
        <v>0</v>
      </c>
      <c r="AO665">
        <f>IF(Metadata!C665="",FALSE,TRUE)</f>
        <v>0</v>
      </c>
      <c r="AP665">
        <f>IF(Metadata!D665="",FALSE,TRUE)</f>
        <v>0</v>
      </c>
      <c r="AQ665">
        <f>OR(AND(IF(Metadata!E665="",FALSE,TRUE),OR(exact(Metadata!E665,"not collected"),exact(Metadata!E665,"not provided"),exact(Metadata!E665,"restricted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R665">
        <f>IF(Metadata!F665="",FALSE,TRUE)</f>
        <v>0</v>
      </c>
      <c r="AS665">
        <f>OR(AND(IF(Metadata!G665="",FALSE,TRUE),OR(exact(Metadata!G665,"not collected"),exact(Metadata!G665,"not provided"))),AND(IF(Metadata!G665="",FALSE,TRUE),OR(exact(Metadata!G665,"TRUE"),exact(Metadata!G665,"FALSE"))))</f>
        <v>0</v>
      </c>
      <c r="AT665">
        <f>OR(AND(IF(Metadata!H665="",FALSE,TRUE),OR(exact(Metadata!H665,"not collected"),exact(Metadata!H665,"not provided"),exact(Metadata!H665,"restricted access"))),AND(IF(Metadata!H665="",FALSE,ISNUMBER(VALUE(Metadata!H665))),Metadata!H665&gt;=-413.0))</f>
        <v>0</v>
      </c>
      <c r="AU665">
        <f>AND(IF(Metadata!I665="",FALSE,TRUE),exact(Metadata!I665,"meters"))</f>
        <v>0</v>
      </c>
      <c r="AV665">
        <f>AND(IF(Metadata!J665="",FALSE,TRUE),OR(exact(Metadata!J665,"Host-associated"),exact(Metadata!J665,"Free-living")))</f>
        <v>0</v>
      </c>
      <c r="AW665">
        <f>AND(IF(Metadata!K665="",FALSE,TRUE),OR(exact(Metadata!K665,"Animal"),exact(Metadata!K665,"Fungus"),exact(Metadata!K665,"Plant"),exact(Metadata!K665,"Saline"),exact(Metadata!K665,"Non-saline")))</f>
        <v>0</v>
      </c>
      <c r="AX665">
        <f>AND(IF(Metadata!L665="",FALSE,TRUE),OR(exact(Metadata!L665,"Plant secretion"),exact(Metadata!L665,"Plant rhizosphere"),exact(Metadata!L665,"Plant surface"),exact(Metadata!L665,"Plant corpus"),exact(Metadata!L665,"Fungus surface"),exact(Metadata!L665,"Fungus corpus"),exact(Metadata!L665,"Animal surface"),exact(Metadata!L665,"Animal proximal gut"),exact(Metadata!L665,"Animal corpus"),exact(Metadata!L665,"Animal distal gut"),exact(Metadata!L665,"Animal secretion"),exact(Metadata!L665,"Sub-surface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Y665">
        <f>IF(Metadata!M665="",FALSE,TRUE)</f>
        <v>0</v>
      </c>
      <c r="AZ665">
        <f>IF(Metadata!N665="",FALSE,TRUE)</f>
        <v>0</v>
      </c>
      <c r="BA665">
        <f>IF(Metadata!O665="",FALSE,TRUE)</f>
        <v>0</v>
      </c>
      <c r="BB665">
        <f>OR(AND(IF(Metadata!P665="",FALSE,TRUE),OR(exact(Metadata!P665,"not collected"),exact(Metadata!P665,"not provided"),exact(Metadata!P665,"restricted access"))),AND(IF(Metadata!P665="",FALSE,TRUE),OR(exact(Metadata!P665,"air"),exact(Metadata!P665,"built environment"),exact(Metadata!P665,"host-associated"),exact(Metadata!P665,"human-associated"),exact(Metadata!P665,"human-skin"),exact(Metadata!P665,"human-oral"),exact(Metadata!P665,"human-gut"),exact(Metadata!P665,"human-vaginal"),exact(Metadata!P665,"microbial mat/biofilm"),exact(Metadata!P665,"misc environment"),exact(Metadata!P665,"plant-associated"),exact(Metadata!P665,"sediment"),exact(Metadata!P665,"soil"),exact(Metadata!P665,"wastewater/sludge"),exact(Metadata!P665,"water"))))</f>
        <v>0</v>
      </c>
      <c r="BC665">
        <f>IF(Metadata!Q665="",FALSE,TRUE)</f>
        <v>0</v>
      </c>
      <c r="BD665">
        <f>IF(Metadata!R665="",FALSE,TRUE)</f>
        <v>0</v>
      </c>
      <c r="BE665">
        <f>OR(AND(IF(Metadata!S665="",FALSE,TRUE),OR(exact(Metadata!S665,"not collected"),exact(Metadata!S665,"not provided"),exact(Metadata!S665,"restricted access"))),AND(IF(Metadata!S665="",FALSE,ISNUMBER(VALUE(Metadata!S665))),Metadata!S665&gt;=-90.00,Metadata!S665&lt;=90.00))</f>
        <v>0</v>
      </c>
      <c r="BF665">
        <f>AND(IF(Metadata!T665="",FALSE,TRUE),exact(Metadata!T665,"Decimal degrees"))</f>
        <v>0</v>
      </c>
      <c r="BG665">
        <f>OR(AND(IF(Metadata!U665="",FALSE,TRUE),OR(exact(Metadata!U665,"not collected"),exact(Metadata!U665,"not provided"),exact(Metadata!U665,"restricted access"))),AND(IF(Metadata!U665="",FALSE,ISNUMBER(VALUE(Metadata!U665))),Metadata!U665&gt;=-180.00,Metadata!U665&lt;=180.00))</f>
        <v>0</v>
      </c>
      <c r="BH665">
        <f>AND(IF(Metadata!V665="",FALSE,TRUE),exact(Metadata!V665,"Decimal degrees"))</f>
        <v>0</v>
      </c>
      <c r="BI665">
        <f>IF(Metadata!W665="",FALSE,TRUE)</f>
        <v>0</v>
      </c>
      <c r="BJ665">
        <f>OR(AND(IF(Metadata!X665="",FALSE,TRUE),OR(exact(Metadata!X665,"not collected"),exact(Metadata!X665,"not provided"),exact(Metadata!X665,"restricted access"))),AND(IF(Metadata!X665="",FALSE,TRUE),OR(exact(Metadata!X665,"TRUE"),exact(Metadata!X665,"FALSE"))))</f>
        <v>0</v>
      </c>
      <c r="BK665">
        <f>AND(IF(Metadata!Y665="",FALSE,TRUE),exact(Metadata!Y665,"other"))</f>
        <v>0</v>
      </c>
      <c r="BL665">
        <f>IF(Metadata!Z665="",FALSE,TRUE)</f>
        <v>0</v>
      </c>
      <c r="BM665">
        <f>OR(AND(IF(Metadata!AA665="",FALSE,TRUE),OR(exact(Metadata!AA665,"not collected"),exact(Metadata!AA665,"not provided"))),AND(IF(Metadata!AA665="",FALSE,IF(ISERROR(INT(Metadata!AA665)),FALSE,INT(Metadata!AA665)=Metadata!AA665)),Metadata!AA665&gt;0))</f>
        <v>0</v>
      </c>
      <c r="BN665">
        <f>AND(IF(Metadata!AB665="",FALSE,TRUE),exact(Metadata!AB665,"Not applicable"))</f>
        <v>0</v>
      </c>
      <c r="BO665">
        <f>IF(Metadata!AC665="",FALSE,TRUE)</f>
        <v>0</v>
      </c>
    </row>
    <row r="666" spans="1:67">
      <c r="A666" s="5">
        <f>IF(B666=" "," ",HYPERLINK(CONCATENATE("#metadata!",ADDRESS(INDEX($AI$2:$AI$1001,MATCH(ROWS($AG$2:AG666),$AG$2:$AG$1001,0),0),1)),INDEX($AL$2:$AL$1001,MATCH(ROWS($AG$2:AG666),$AG$2:$AG$1001,0),0)))</f>
        <v>0</v>
      </c>
      <c r="B666" s="4">
        <f>IF(OR(INDEX($AH$2:$AH$1001,MATCH(ROWS($AG$2:AG666),$AG$2:$AG$1001,0),1)&gt;=100000,INDEX($AN$1005:$BO$1005,1,MATCH(COLUMNS($AN$1006:AN1006),$AN$1006:$BO$1006,0))&gt;=100000), " ",IF(INDEX($AN$2:$BO$1001,MATCH(ROWS($AG$2:AG666),$AG$2:$AG$1001,0),MATCH(COLUMNS($AN$1006:AN1006),$AN$1006:$BO$1006,0)), HYPERLINK("#",""), HYPERLINK(CONCATENATE("#Metadata!", ADDRESS(INDEX($AI$2:$AI$1001,MATCH(ROWS($AG$2:AG666),$AG$2:$AG$1001,0),0), INDEX($AN$1004:$BO$1004,1,MATCH(COLUMNS($AN$1006:AN1006),$AN$1006:$BO$1006,0)))),"Fix")))</f>
        <v>0</v>
      </c>
      <c r="C666" s="4">
        <f>IF(OR(INDEX($AH$2:$AH$1001,MATCH(ROWS($AG$2:AG666),$AG$2:$AG$1001,0),1)&gt;=100000,INDEX($AN$1005:$BO$1005,1,MATCH(COLUMNS($AN$1006:AO1006),$AN$1006:$BO$1006,0))&gt;=100000), " ",IF(INDEX($AN$2:$BO$1001,MATCH(ROWS($AG$2:AG666),$AG$2:$AG$1001,0),MATCH(COLUMNS($AN$1006:AO1006),$AN$1006:$BO$1006,0)), HYPERLINK("#",""), HYPERLINK(CONCATENATE("#Metadata!", ADDRESS(INDEX($AI$2:$AI$1001,MATCH(ROWS($AG$2:AG666),$AG$2:$AG$1001,0),0), INDEX($AN$1004:$BO$1004,1,MATCH(COLUMNS($AN$1006:AO1006),$AN$1006:$BO$1006,0)))),"Fix")))</f>
        <v>0</v>
      </c>
      <c r="D666" s="4">
        <f>IF(OR(INDEX($AH$2:$AH$1001,MATCH(ROWS($AG$2:AG666),$AG$2:$AG$1001,0),1)&gt;=100000,INDEX($AN$1005:$BO$1005,1,MATCH(COLUMNS($AN$1006:AP1006),$AN$1006:$BO$1006,0))&gt;=100000), " ",IF(INDEX($AN$2:$BO$1001,MATCH(ROWS($AG$2:AG666),$AG$2:$AG$1001,0),MATCH(COLUMNS($AN$1006:AP1006),$AN$1006:$BO$1006,0)), HYPERLINK("#",""), HYPERLINK(CONCATENATE("#Metadata!", ADDRESS(INDEX($AI$2:$AI$1001,MATCH(ROWS($AG$2:AG666),$AG$2:$AG$1001,0),0), INDEX($AN$1004:$BO$1004,1,MATCH(COLUMNS($AN$1006:AP1006),$AN$1006:$BO$1006,0)))),"Fix")))</f>
        <v>0</v>
      </c>
      <c r="E666" s="4">
        <f>IF(OR(INDEX($AH$2:$AH$1001,MATCH(ROWS($AG$2:AG666),$AG$2:$AG$1001,0),1)&gt;=100000,INDEX($AN$1005:$BO$1005,1,MATCH(COLUMNS($AN$1006:AQ1006),$AN$1006:$BO$1006,0))&gt;=100000), " ",IF(INDEX($AN$2:$BO$1001,MATCH(ROWS($AG$2:AG666),$AG$2:$AG$1001,0),MATCH(COLUMNS($AN$1006:AQ1006),$AN$1006:$BO$1006,0)), HYPERLINK("#",""), HYPERLINK(CONCATENATE("#Metadata!", ADDRESS(INDEX($AI$2:$AI$1001,MATCH(ROWS($AG$2:AG666),$AG$2:$AG$1001,0),0), INDEX($AN$1004:$BO$1004,1,MATCH(COLUMNS($AN$1006:AQ1006),$AN$1006:$BO$1006,0)))),"Fix")))</f>
        <v>0</v>
      </c>
      <c r="F666" s="4">
        <f>IF(OR(INDEX($AH$2:$AH$1001,MATCH(ROWS($AG$2:AG666),$AG$2:$AG$1001,0),1)&gt;=100000,INDEX($AN$1005:$BO$1005,1,MATCH(COLUMNS($AN$1006:AR1006),$AN$1006:$BO$1006,0))&gt;=100000), " ",IF(INDEX($AN$2:$BO$1001,MATCH(ROWS($AG$2:AG666),$AG$2:$AG$1001,0),MATCH(COLUMNS($AN$1006:AR1006),$AN$1006:$BO$1006,0)), HYPERLINK("#",""), HYPERLINK(CONCATENATE("#Metadata!", ADDRESS(INDEX($AI$2:$AI$1001,MATCH(ROWS($AG$2:AG666),$AG$2:$AG$1001,0),0), INDEX($AN$1004:$BO$1004,1,MATCH(COLUMNS($AN$1006:AR1006),$AN$1006:$BO$1006,0)))),"Fix")))</f>
        <v>0</v>
      </c>
      <c r="G666" s="4">
        <f>IF(OR(INDEX($AH$2:$AH$1001,MATCH(ROWS($AG$2:AG666),$AG$2:$AG$1001,0),1)&gt;=100000,INDEX($AN$1005:$BO$1005,1,MATCH(COLUMNS($AN$1006:AS1006),$AN$1006:$BO$1006,0))&gt;=100000), " ",IF(INDEX($AN$2:$BO$1001,MATCH(ROWS($AG$2:AG666),$AG$2:$AG$1001,0),MATCH(COLUMNS($AN$1006:AS1006),$AN$1006:$BO$1006,0)), HYPERLINK("#",""), HYPERLINK(CONCATENATE("#Metadata!", ADDRESS(INDEX($AI$2:$AI$1001,MATCH(ROWS($AG$2:AG666),$AG$2:$AG$1001,0),0), INDEX($AN$1004:$BO$1004,1,MATCH(COLUMNS($AN$1006:AS1006),$AN$1006:$BO$1006,0)))),"Fix")))</f>
        <v>0</v>
      </c>
      <c r="H666" s="4">
        <f>IF(OR(INDEX($AH$2:$AH$1001,MATCH(ROWS($AG$2:AG666),$AG$2:$AG$1001,0),1)&gt;=100000,INDEX($AN$1005:$BO$1005,1,MATCH(COLUMNS($AN$1006:AT1006),$AN$1006:$BO$1006,0))&gt;=100000), " ",IF(INDEX($AN$2:$BO$1001,MATCH(ROWS($AG$2:AG666),$AG$2:$AG$1001,0),MATCH(COLUMNS($AN$1006:AT1006),$AN$1006:$BO$1006,0)), HYPERLINK("#",""), HYPERLINK(CONCATENATE("#Metadata!", ADDRESS(INDEX($AI$2:$AI$1001,MATCH(ROWS($AG$2:AG666),$AG$2:$AG$1001,0),0), INDEX($AN$1004:$BO$1004,1,MATCH(COLUMNS($AN$1006:AT1006),$AN$1006:$BO$1006,0)))),"Fix")))</f>
        <v>0</v>
      </c>
      <c r="I666" s="4">
        <f>IF(OR(INDEX($AH$2:$AH$1001,MATCH(ROWS($AG$2:AG666),$AG$2:$AG$1001,0),1)&gt;=100000,INDEX($AN$1005:$BO$1005,1,MATCH(COLUMNS($AN$1006:AU1006),$AN$1006:$BO$1006,0))&gt;=100000), " ",IF(INDEX($AN$2:$BO$1001,MATCH(ROWS($AG$2:AG666),$AG$2:$AG$1001,0),MATCH(COLUMNS($AN$1006:AU1006),$AN$1006:$BO$1006,0)), HYPERLINK("#",""), HYPERLINK(CONCATENATE("#Metadata!", ADDRESS(INDEX($AI$2:$AI$1001,MATCH(ROWS($AG$2:AG666),$AG$2:$AG$1001,0),0), INDEX($AN$1004:$BO$1004,1,MATCH(COLUMNS($AN$1006:AU1006),$AN$1006:$BO$1006,0)))),"Fix")))</f>
        <v>0</v>
      </c>
      <c r="J666" s="4">
        <f>IF(OR(INDEX($AH$2:$AH$1001,MATCH(ROWS($AG$2:AG666),$AG$2:$AG$1001,0),1)&gt;=100000,INDEX($AN$1005:$BO$1005,1,MATCH(COLUMNS($AN$1006:AV1006),$AN$1006:$BO$1006,0))&gt;=100000), " ",IF(INDEX($AN$2:$BO$1001,MATCH(ROWS($AG$2:AG666),$AG$2:$AG$1001,0),MATCH(COLUMNS($AN$1006:AV1006),$AN$1006:$BO$1006,0)), HYPERLINK("#",""), HYPERLINK(CONCATENATE("#Metadata!", ADDRESS(INDEX($AI$2:$AI$1001,MATCH(ROWS($AG$2:AG666),$AG$2:$AG$1001,0),0), INDEX($AN$1004:$BO$1004,1,MATCH(COLUMNS($AN$1006:AV1006),$AN$1006:$BO$1006,0)))),"Fix")))</f>
        <v>0</v>
      </c>
      <c r="K666" s="4">
        <f>IF(OR(INDEX($AH$2:$AH$1001,MATCH(ROWS($AG$2:AG666),$AG$2:$AG$1001,0),1)&gt;=100000,INDEX($AN$1005:$BO$1005,1,MATCH(COLUMNS($AN$1006:AW1006),$AN$1006:$BO$1006,0))&gt;=100000), " ",IF(INDEX($AN$2:$BO$1001,MATCH(ROWS($AG$2:AG666),$AG$2:$AG$1001,0),MATCH(COLUMNS($AN$1006:AW1006),$AN$1006:$BO$1006,0)), HYPERLINK("#",""), HYPERLINK(CONCATENATE("#Metadata!", ADDRESS(INDEX($AI$2:$AI$1001,MATCH(ROWS($AG$2:AG666),$AG$2:$AG$1001,0),0), INDEX($AN$1004:$BO$1004,1,MATCH(COLUMNS($AN$1006:AW1006),$AN$1006:$BO$1006,0)))),"Fix")))</f>
        <v>0</v>
      </c>
      <c r="L666" s="4">
        <f>IF(OR(INDEX($AH$2:$AH$1001,MATCH(ROWS($AG$2:AG666),$AG$2:$AG$1001,0),1)&gt;=100000,INDEX($AN$1005:$BO$1005,1,MATCH(COLUMNS($AN$1006:AX1006),$AN$1006:$BO$1006,0))&gt;=100000), " ",IF(INDEX($AN$2:$BO$1001,MATCH(ROWS($AG$2:AG666),$AG$2:$AG$1001,0),MATCH(COLUMNS($AN$1006:AX1006),$AN$1006:$BO$1006,0)), HYPERLINK("#",""), HYPERLINK(CONCATENATE("#Metadata!", ADDRESS(INDEX($AI$2:$AI$1001,MATCH(ROWS($AG$2:AG666),$AG$2:$AG$1001,0),0), INDEX($AN$1004:$BO$1004,1,MATCH(COLUMNS($AN$1006:AX1006),$AN$1006:$BO$1006,0)))),"Fix")))</f>
        <v>0</v>
      </c>
      <c r="M666" s="4">
        <f>IF(OR(INDEX($AH$2:$AH$1001,MATCH(ROWS($AG$2:AG666),$AG$2:$AG$1001,0),1)&gt;=100000,INDEX($AN$1005:$BO$1005,1,MATCH(COLUMNS($AN$1006:AY1006),$AN$1006:$BO$1006,0))&gt;=100000), " ",IF(INDEX($AN$2:$BO$1001,MATCH(ROWS($AG$2:AG666),$AG$2:$AG$1001,0),MATCH(COLUMNS($AN$1006:AY1006),$AN$1006:$BO$1006,0)), HYPERLINK("#",""), HYPERLINK(CONCATENATE("#Metadata!", ADDRESS(INDEX($AI$2:$AI$1001,MATCH(ROWS($AG$2:AG666),$AG$2:$AG$1001,0),0), INDEX($AN$1004:$BO$1004,1,MATCH(COLUMNS($AN$1006:AY1006),$AN$1006:$BO$1006,0)))),"Fix")))</f>
        <v>0</v>
      </c>
      <c r="N666" s="4">
        <f>IF(OR(INDEX($AH$2:$AH$1001,MATCH(ROWS($AG$2:AG666),$AG$2:$AG$1001,0),1)&gt;=100000,INDEX($AN$1005:$BO$1005,1,MATCH(COLUMNS($AN$1006:AZ1006),$AN$1006:$BO$1006,0))&gt;=100000), " ",IF(INDEX($AN$2:$BO$1001,MATCH(ROWS($AG$2:AG666),$AG$2:$AG$1001,0),MATCH(COLUMNS($AN$1006:AZ1006),$AN$1006:$BO$1006,0)), HYPERLINK("#",""), HYPERLINK(CONCATENATE("#Metadata!", ADDRESS(INDEX($AI$2:$AI$1001,MATCH(ROWS($AG$2:AG666),$AG$2:$AG$1001,0),0), INDEX($AN$1004:$BO$1004,1,MATCH(COLUMNS($AN$1006:AZ1006),$AN$1006:$BO$1006,0)))),"Fix")))</f>
        <v>0</v>
      </c>
      <c r="O666" s="4">
        <f>IF(OR(INDEX($AH$2:$AH$1001,MATCH(ROWS($AG$2:AG666),$AG$2:$AG$1001,0),1)&gt;=100000,INDEX($AN$1005:$BO$1005,1,MATCH(COLUMNS($AN$1006:BA1006),$AN$1006:$BO$1006,0))&gt;=100000), " ",IF(INDEX($AN$2:$BO$1001,MATCH(ROWS($AG$2:AG666),$AG$2:$AG$1001,0),MATCH(COLUMNS($AN$1006:BA1006),$AN$1006:$BO$1006,0)), HYPERLINK("#",""), HYPERLINK(CONCATENATE("#Metadata!", ADDRESS(INDEX($AI$2:$AI$1001,MATCH(ROWS($AG$2:AG666),$AG$2:$AG$1001,0),0), INDEX($AN$1004:$BO$1004,1,MATCH(COLUMNS($AN$1006:BA1006),$AN$1006:$BO$1006,0)))),"Fix")))</f>
        <v>0</v>
      </c>
      <c r="P666" s="4">
        <f>IF(OR(INDEX($AH$2:$AH$1001,MATCH(ROWS($AG$2:AG666),$AG$2:$AG$1001,0),1)&gt;=100000,INDEX($AN$1005:$BO$1005,1,MATCH(COLUMNS($AN$1006:BB1006),$AN$1006:$BO$1006,0))&gt;=100000), " ",IF(INDEX($AN$2:$BO$1001,MATCH(ROWS($AG$2:AG666),$AG$2:$AG$1001,0),MATCH(COLUMNS($AN$1006:BB1006),$AN$1006:$BO$1006,0)), HYPERLINK("#",""), HYPERLINK(CONCATENATE("#Metadata!", ADDRESS(INDEX($AI$2:$AI$1001,MATCH(ROWS($AG$2:AG666),$AG$2:$AG$1001,0),0), INDEX($AN$1004:$BO$1004,1,MATCH(COLUMNS($AN$1006:BB1006),$AN$1006:$BO$1006,0)))),"Fix")))</f>
        <v>0</v>
      </c>
      <c r="Q666" s="4">
        <f>IF(OR(INDEX($AH$2:$AH$1001,MATCH(ROWS($AG$2:AG666),$AG$2:$AG$1001,0),1)&gt;=100000,INDEX($AN$1005:$BO$1005,1,MATCH(COLUMNS($AN$1006:BC1006),$AN$1006:$BO$1006,0))&gt;=100000), " ",IF(INDEX($AN$2:$BO$1001,MATCH(ROWS($AG$2:AG666),$AG$2:$AG$1001,0),MATCH(COLUMNS($AN$1006:BC1006),$AN$1006:$BO$1006,0)), HYPERLINK("#",""), HYPERLINK(CONCATENATE("#Metadata!", ADDRESS(INDEX($AI$2:$AI$1001,MATCH(ROWS($AG$2:AG666),$AG$2:$AG$1001,0),0), INDEX($AN$1004:$BO$1004,1,MATCH(COLUMNS($AN$1006:BC1006),$AN$1006:$BO$1006,0)))),"Fix")))</f>
        <v>0</v>
      </c>
      <c r="R666" s="4">
        <f>IF(OR(INDEX($AH$2:$AH$1001,MATCH(ROWS($AG$2:AG666),$AG$2:$AG$1001,0),1)&gt;=100000,INDEX($AN$1005:$BO$1005,1,MATCH(COLUMNS($AN$1006:BD1006),$AN$1006:$BO$1006,0))&gt;=100000), " ",IF(INDEX($AN$2:$BO$1001,MATCH(ROWS($AG$2:AG666),$AG$2:$AG$1001,0),MATCH(COLUMNS($AN$1006:BD1006),$AN$1006:$BO$1006,0)), HYPERLINK("#",""), HYPERLINK(CONCATENATE("#Metadata!", ADDRESS(INDEX($AI$2:$AI$1001,MATCH(ROWS($AG$2:AG666),$AG$2:$AG$1001,0),0), INDEX($AN$1004:$BO$1004,1,MATCH(COLUMNS($AN$1006:BD1006),$AN$1006:$BO$1006,0)))),"Fix")))</f>
        <v>0</v>
      </c>
      <c r="S666" s="4">
        <f>IF(OR(INDEX($AH$2:$AH$1001,MATCH(ROWS($AG$2:AG666),$AG$2:$AG$1001,0),1)&gt;=100000,INDEX($AN$1005:$BO$1005,1,MATCH(COLUMNS($AN$1006:BE1006),$AN$1006:$BO$1006,0))&gt;=100000), " ",IF(INDEX($AN$2:$BO$1001,MATCH(ROWS($AG$2:AG666),$AG$2:$AG$1001,0),MATCH(COLUMNS($AN$1006:BE1006),$AN$1006:$BO$1006,0)), HYPERLINK("#",""), HYPERLINK(CONCATENATE("#Metadata!", ADDRESS(INDEX($AI$2:$AI$1001,MATCH(ROWS($AG$2:AG666),$AG$2:$AG$1001,0),0), INDEX($AN$1004:$BO$1004,1,MATCH(COLUMNS($AN$1006:BE1006),$AN$1006:$BO$1006,0)))),"Fix")))</f>
        <v>0</v>
      </c>
      <c r="T666" s="4">
        <f>IF(OR(INDEX($AH$2:$AH$1001,MATCH(ROWS($AG$2:AG666),$AG$2:$AG$1001,0),1)&gt;=100000,INDEX($AN$1005:$BO$1005,1,MATCH(COLUMNS($AN$1006:BF1006),$AN$1006:$BO$1006,0))&gt;=100000), " ",IF(INDEX($AN$2:$BO$1001,MATCH(ROWS($AG$2:AG666),$AG$2:$AG$1001,0),MATCH(COLUMNS($AN$1006:BF1006),$AN$1006:$BO$1006,0)), HYPERLINK("#",""), HYPERLINK(CONCATENATE("#Metadata!", ADDRESS(INDEX($AI$2:$AI$1001,MATCH(ROWS($AG$2:AG666),$AG$2:$AG$1001,0),0), INDEX($AN$1004:$BO$1004,1,MATCH(COLUMNS($AN$1006:BF1006),$AN$1006:$BO$1006,0)))),"Fix")))</f>
        <v>0</v>
      </c>
      <c r="U666" s="4">
        <f>IF(OR(INDEX($AH$2:$AH$1001,MATCH(ROWS($AG$2:AG666),$AG$2:$AG$1001,0),1)&gt;=100000,INDEX($AN$1005:$BO$1005,1,MATCH(COLUMNS($AN$1006:BG1006),$AN$1006:$BO$1006,0))&gt;=100000), " ",IF(INDEX($AN$2:$BO$1001,MATCH(ROWS($AG$2:AG666),$AG$2:$AG$1001,0),MATCH(COLUMNS($AN$1006:BG1006),$AN$1006:$BO$1006,0)), HYPERLINK("#",""), HYPERLINK(CONCATENATE("#Metadata!", ADDRESS(INDEX($AI$2:$AI$1001,MATCH(ROWS($AG$2:AG666),$AG$2:$AG$1001,0),0), INDEX($AN$1004:$BO$1004,1,MATCH(COLUMNS($AN$1006:BG1006),$AN$1006:$BO$1006,0)))),"Fix")))</f>
        <v>0</v>
      </c>
      <c r="V666" s="4">
        <f>IF(OR(INDEX($AH$2:$AH$1001,MATCH(ROWS($AG$2:AG666),$AG$2:$AG$1001,0),1)&gt;=100000,INDEX($AN$1005:$BO$1005,1,MATCH(COLUMNS($AN$1006:BH1006),$AN$1006:$BO$1006,0))&gt;=100000), " ",IF(INDEX($AN$2:$BO$1001,MATCH(ROWS($AG$2:AG666),$AG$2:$AG$1001,0),MATCH(COLUMNS($AN$1006:BH1006),$AN$1006:$BO$1006,0)), HYPERLINK("#",""), HYPERLINK(CONCATENATE("#Metadata!", ADDRESS(INDEX($AI$2:$AI$1001,MATCH(ROWS($AG$2:AG666),$AG$2:$AG$1001,0),0), INDEX($AN$1004:$BO$1004,1,MATCH(COLUMNS($AN$1006:BH1006),$AN$1006:$BO$1006,0)))),"Fix")))</f>
        <v>0</v>
      </c>
      <c r="W666" s="4">
        <f>IF(OR(INDEX($AH$2:$AH$1001,MATCH(ROWS($AG$2:AG666),$AG$2:$AG$1001,0),1)&gt;=100000,INDEX($AN$1005:$BO$1005,1,MATCH(COLUMNS($AN$1006:BI1006),$AN$1006:$BO$1006,0))&gt;=100000), " ",IF(INDEX($AN$2:$BO$1001,MATCH(ROWS($AG$2:AG666),$AG$2:$AG$1001,0),MATCH(COLUMNS($AN$1006:BI1006),$AN$1006:$BO$1006,0)), HYPERLINK("#",""), HYPERLINK(CONCATENATE("#Metadata!", ADDRESS(INDEX($AI$2:$AI$1001,MATCH(ROWS($AG$2:AG666),$AG$2:$AG$1001,0),0), INDEX($AN$1004:$BO$1004,1,MATCH(COLUMNS($AN$1006:BI1006),$AN$1006:$BO$1006,0)))),"Fix")))</f>
        <v>0</v>
      </c>
      <c r="X666" s="4">
        <f>IF(OR(INDEX($AH$2:$AH$1001,MATCH(ROWS($AG$2:AG666),$AG$2:$AG$1001,0),1)&gt;=100000,INDEX($AN$1005:$BO$1005,1,MATCH(COLUMNS($AN$1006:BJ1006),$AN$1006:$BO$1006,0))&gt;=100000), " ",IF(INDEX($AN$2:$BO$1001,MATCH(ROWS($AG$2:AG666),$AG$2:$AG$1001,0),MATCH(COLUMNS($AN$1006:BJ1006),$AN$1006:$BO$1006,0)), HYPERLINK("#",""), HYPERLINK(CONCATENATE("#Metadata!", ADDRESS(INDEX($AI$2:$AI$1001,MATCH(ROWS($AG$2:AG666),$AG$2:$AG$1001,0),0), INDEX($AN$1004:$BO$1004,1,MATCH(COLUMNS($AN$1006:BJ1006),$AN$1006:$BO$1006,0)))),"Fix")))</f>
        <v>0</v>
      </c>
      <c r="Y666" s="4">
        <f>IF(OR(INDEX($AH$2:$AH$1001,MATCH(ROWS($AG$2:AG666),$AG$2:$AG$1001,0),1)&gt;=100000,INDEX($AN$1005:$BO$1005,1,MATCH(COLUMNS($AN$1006:BK1006),$AN$1006:$BO$1006,0))&gt;=100000), " ",IF(INDEX($AN$2:$BO$1001,MATCH(ROWS($AG$2:AG666),$AG$2:$AG$1001,0),MATCH(COLUMNS($AN$1006:BK1006),$AN$1006:$BO$1006,0)), HYPERLINK("#",""), HYPERLINK(CONCATENATE("#Metadata!", ADDRESS(INDEX($AI$2:$AI$1001,MATCH(ROWS($AG$2:AG666),$AG$2:$AG$1001,0),0), INDEX($AN$1004:$BO$1004,1,MATCH(COLUMNS($AN$1006:BK1006),$AN$1006:$BO$1006,0)))),"Fix")))</f>
        <v>0</v>
      </c>
      <c r="Z666" s="4">
        <f>IF(OR(INDEX($AH$2:$AH$1001,MATCH(ROWS($AG$2:AG666),$AG$2:$AG$1001,0),1)&gt;=100000,INDEX($AN$1005:$BO$1005,1,MATCH(COLUMNS($AN$1006:BL1006),$AN$1006:$BO$1006,0))&gt;=100000), " ",IF(INDEX($AN$2:$BO$1001,MATCH(ROWS($AG$2:AG666),$AG$2:$AG$1001,0),MATCH(COLUMNS($AN$1006:BL1006),$AN$1006:$BO$1006,0)), HYPERLINK("#",""), HYPERLINK(CONCATENATE("#Metadata!", ADDRESS(INDEX($AI$2:$AI$1001,MATCH(ROWS($AG$2:AG666),$AG$2:$AG$1001,0),0), INDEX($AN$1004:$BO$1004,1,MATCH(COLUMNS($AN$1006:BL1006),$AN$1006:$BO$1006,0)))),"Fix")))</f>
        <v>0</v>
      </c>
      <c r="AA666" s="4">
        <f>IF(OR(INDEX($AH$2:$AH$1001,MATCH(ROWS($AG$2:AG666),$AG$2:$AG$1001,0),1)&gt;=100000,INDEX($AN$1005:$BO$1005,1,MATCH(COLUMNS($AN$1006:BM1006),$AN$1006:$BO$1006,0))&gt;=100000), " ",IF(INDEX($AN$2:$BO$1001,MATCH(ROWS($AG$2:AG666),$AG$2:$AG$1001,0),MATCH(COLUMNS($AN$1006:BM1006),$AN$1006:$BO$1006,0)), HYPERLINK("#",""), HYPERLINK(CONCATENATE("#Metadata!", ADDRESS(INDEX($AI$2:$AI$1001,MATCH(ROWS($AG$2:AG666),$AG$2:$AG$1001,0),0), INDEX($AN$1004:$BO$1004,1,MATCH(COLUMNS($AN$1006:BM1006),$AN$1006:$BO$1006,0)))),"Fix")))</f>
        <v>0</v>
      </c>
      <c r="AB666" s="4">
        <f>IF(OR(INDEX($AH$2:$AH$1001,MATCH(ROWS($AG$2:AG666),$AG$2:$AG$1001,0),1)&gt;=100000,INDEX($AN$1005:$BO$1005,1,MATCH(COLUMNS($AN$1006:BN1006),$AN$1006:$BO$1006,0))&gt;=100000), " ",IF(INDEX($AN$2:$BO$1001,MATCH(ROWS($AG$2:AG666),$AG$2:$AG$1001,0),MATCH(COLUMNS($AN$1006:BN1006),$AN$1006:$BO$1006,0)), HYPERLINK("#",""), HYPERLINK(CONCATENATE("#Metadata!", ADDRESS(INDEX($AI$2:$AI$1001,MATCH(ROWS($AG$2:AG666),$AG$2:$AG$1001,0),0), INDEX($AN$1004:$BO$1004,1,MATCH(COLUMNS($AN$1006:BN1006),$AN$1006:$BO$1006,0)))),"Fix")))</f>
        <v>0</v>
      </c>
      <c r="AC666" s="4">
        <f>IF(OR(INDEX($AH$2:$AH$1001,MATCH(ROWS($AG$2:AG666),$AG$2:$AG$1001,0),1)&gt;=100000,INDEX($AN$1005:$BO$1005,1,MATCH(COLUMNS($AN$1006:BO1006),$AN$1006:$BO$1006,0))&gt;=100000), " ",IF(INDEX($AN$2:$BO$1001,MATCH(ROWS($AG$2:AG666),$AG$2:$AG$1001,0),MATCH(COLUMNS($AN$1006:BO1006),$AN$1006:$BO$1006,0)), HYPERLINK("#",""), HYPERLINK(CONCATENATE("#Metadata!", ADDRESS(INDEX($AI$2:$AI$1001,MATCH(ROWS($AG$2:AG666),$AG$2:$AG$1001,0),0), INDEX($AN$1004:$BO$1004,1,MATCH(COLUMNS($AN$1006:BO1006),$AN$1006:$BO$1006,0)))),"Fix")))</f>
        <v>0</v>
      </c>
      <c r="AG666">
        <v>0</v>
      </c>
      <c r="AH666">
        <v>0</v>
      </c>
      <c r="AI666">
        <v>0</v>
      </c>
      <c r="AJ666">
        <f>IF(AK666,TRUE,AND(AN666:BO666))</f>
        <v>0</v>
      </c>
      <c r="AK666">
        <f>COUNTBLANK(Metadata!B666:AC666)=COLUMNS(Metadata!B666:AC666)</f>
        <v>0</v>
      </c>
      <c r="AL666">
        <v>0</v>
      </c>
      <c r="AN666">
        <f>AND(IF(Metadata!B666="",FALSE,TRUE),COUNTIF(Metadata!B:B, Metadata!B666) = 1,NOT(ISERROR(SUMPRODUCT(SEARCH(MID(Metadata!B666,ROW(INDIRECT("1:"&amp;LEN(Metadata!B666))), 1),"0123456789abcdefghijklmnopqrstuvwxyzABCDEFGHIJKLMNOPQRSTUVWXYZ.")))))</f>
        <v>0</v>
      </c>
      <c r="AO666">
        <f>IF(Metadata!C666="",FALSE,TRUE)</f>
        <v>0</v>
      </c>
      <c r="AP666">
        <f>IF(Metadata!D666="",FALSE,TRUE)</f>
        <v>0</v>
      </c>
      <c r="AQ666">
        <f>OR(AND(IF(Metadata!E666="",FALSE,TRUE),OR(exact(Metadata!E666,"not collected"),exact(Metadata!E666,"not provided"),exact(Metadata!E666,"restricted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R666">
        <f>IF(Metadata!F666="",FALSE,TRUE)</f>
        <v>0</v>
      </c>
      <c r="AS666">
        <f>OR(AND(IF(Metadata!G666="",FALSE,TRUE),OR(exact(Metadata!G666,"not collected"),exact(Metadata!G666,"not provided"))),AND(IF(Metadata!G666="",FALSE,TRUE),OR(exact(Metadata!G666,"TRUE"),exact(Metadata!G666,"FALSE"))))</f>
        <v>0</v>
      </c>
      <c r="AT666">
        <f>OR(AND(IF(Metadata!H666="",FALSE,TRUE),OR(exact(Metadata!H666,"not collected"),exact(Metadata!H666,"not provided"),exact(Metadata!H666,"restricted access"))),AND(IF(Metadata!H666="",FALSE,ISNUMBER(VALUE(Metadata!H666))),Metadata!H666&gt;=-413.0))</f>
        <v>0</v>
      </c>
      <c r="AU666">
        <f>AND(IF(Metadata!I666="",FALSE,TRUE),exact(Metadata!I666,"meters"))</f>
        <v>0</v>
      </c>
      <c r="AV666">
        <f>AND(IF(Metadata!J666="",FALSE,TRUE),OR(exact(Metadata!J666,"Host-associated"),exact(Metadata!J666,"Free-living")))</f>
        <v>0</v>
      </c>
      <c r="AW666">
        <f>AND(IF(Metadata!K666="",FALSE,TRUE),OR(exact(Metadata!K666,"Animal"),exact(Metadata!K666,"Fungus"),exact(Metadata!K666,"Plant"),exact(Metadata!K666,"Saline"),exact(Metadata!K666,"Non-saline")))</f>
        <v>0</v>
      </c>
      <c r="AX666">
        <f>AND(IF(Metadata!L666="",FALSE,TRUE),OR(exact(Metadata!L666,"Plant secretion"),exact(Metadata!L666,"Plant rhizosphere"),exact(Metadata!L666,"Plant surface"),exact(Metadata!L666,"Plant corpus"),exact(Metadata!L666,"Fungus surface"),exact(Metadata!L666,"Fungus corpus"),exact(Metadata!L666,"Animal surface"),exact(Metadata!L666,"Animal proximal gut"),exact(Metadata!L666,"Animal corpus"),exact(Metadata!L666,"Animal distal gut"),exact(Metadata!L666,"Animal secretion"),exact(Metadata!L666,"Sub-surface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Y666">
        <f>IF(Metadata!M666="",FALSE,TRUE)</f>
        <v>0</v>
      </c>
      <c r="AZ666">
        <f>IF(Metadata!N666="",FALSE,TRUE)</f>
        <v>0</v>
      </c>
      <c r="BA666">
        <f>IF(Metadata!O666="",FALSE,TRUE)</f>
        <v>0</v>
      </c>
      <c r="BB666">
        <f>OR(AND(IF(Metadata!P666="",FALSE,TRUE),OR(exact(Metadata!P666,"not collected"),exact(Metadata!P666,"not provided"),exact(Metadata!P666,"restricted access"))),AND(IF(Metadata!P666="",FALSE,TRUE),OR(exact(Metadata!P666,"air"),exact(Metadata!P666,"built environment"),exact(Metadata!P666,"host-associated"),exact(Metadata!P666,"human-associated"),exact(Metadata!P666,"human-skin"),exact(Metadata!P666,"human-oral"),exact(Metadata!P666,"human-gut"),exact(Metadata!P666,"human-vaginal"),exact(Metadata!P666,"microbial mat/biofilm"),exact(Metadata!P666,"misc environment"),exact(Metadata!P666,"plant-associated"),exact(Metadata!P666,"sediment"),exact(Metadata!P666,"soil"),exact(Metadata!P666,"wastewater/sludge"),exact(Metadata!P666,"water"))))</f>
        <v>0</v>
      </c>
      <c r="BC666">
        <f>IF(Metadata!Q666="",FALSE,TRUE)</f>
        <v>0</v>
      </c>
      <c r="BD666">
        <f>IF(Metadata!R666="",FALSE,TRUE)</f>
        <v>0</v>
      </c>
      <c r="BE666">
        <f>OR(AND(IF(Metadata!S666="",FALSE,TRUE),OR(exact(Metadata!S666,"not collected"),exact(Metadata!S666,"not provided"),exact(Metadata!S666,"restricted access"))),AND(IF(Metadata!S666="",FALSE,ISNUMBER(VALUE(Metadata!S666))),Metadata!S666&gt;=-90.00,Metadata!S666&lt;=90.00))</f>
        <v>0</v>
      </c>
      <c r="BF666">
        <f>AND(IF(Metadata!T666="",FALSE,TRUE),exact(Metadata!T666,"Decimal degrees"))</f>
        <v>0</v>
      </c>
      <c r="BG666">
        <f>OR(AND(IF(Metadata!U666="",FALSE,TRUE),OR(exact(Metadata!U666,"not collected"),exact(Metadata!U666,"not provided"),exact(Metadata!U666,"restricted access"))),AND(IF(Metadata!U666="",FALSE,ISNUMBER(VALUE(Metadata!U666))),Metadata!U666&gt;=-180.00,Metadata!U666&lt;=180.00))</f>
        <v>0</v>
      </c>
      <c r="BH666">
        <f>AND(IF(Metadata!V666="",FALSE,TRUE),exact(Metadata!V666,"Decimal degrees"))</f>
        <v>0</v>
      </c>
      <c r="BI666">
        <f>IF(Metadata!W666="",FALSE,TRUE)</f>
        <v>0</v>
      </c>
      <c r="BJ666">
        <f>OR(AND(IF(Metadata!X666="",FALSE,TRUE),OR(exact(Metadata!X666,"not collected"),exact(Metadata!X666,"not provided"),exact(Metadata!X666,"restricted access"))),AND(IF(Metadata!X666="",FALSE,TRUE),OR(exact(Metadata!X666,"TRUE"),exact(Metadata!X666,"FALSE"))))</f>
        <v>0</v>
      </c>
      <c r="BK666">
        <f>AND(IF(Metadata!Y666="",FALSE,TRUE),exact(Metadata!Y666,"other"))</f>
        <v>0</v>
      </c>
      <c r="BL666">
        <f>IF(Metadata!Z666="",FALSE,TRUE)</f>
        <v>0</v>
      </c>
      <c r="BM666">
        <f>OR(AND(IF(Metadata!AA666="",FALSE,TRUE),OR(exact(Metadata!AA666,"not collected"),exact(Metadata!AA666,"not provided"))),AND(IF(Metadata!AA666="",FALSE,IF(ISERROR(INT(Metadata!AA666)),FALSE,INT(Metadata!AA666)=Metadata!AA666)),Metadata!AA666&gt;0))</f>
        <v>0</v>
      </c>
      <c r="BN666">
        <f>AND(IF(Metadata!AB666="",FALSE,TRUE),exact(Metadata!AB666,"Not applicable"))</f>
        <v>0</v>
      </c>
      <c r="BO666">
        <f>IF(Metadata!AC666="",FALSE,TRUE)</f>
        <v>0</v>
      </c>
    </row>
    <row r="667" spans="1:67">
      <c r="A667" s="5">
        <f>IF(B667=" "," ",HYPERLINK(CONCATENATE("#metadata!",ADDRESS(INDEX($AI$2:$AI$1001,MATCH(ROWS($AG$2:AG667),$AG$2:$AG$1001,0),0),1)),INDEX($AL$2:$AL$1001,MATCH(ROWS($AG$2:AG667),$AG$2:$AG$1001,0),0)))</f>
        <v>0</v>
      </c>
      <c r="B667" s="4">
        <f>IF(OR(INDEX($AH$2:$AH$1001,MATCH(ROWS($AG$2:AG667),$AG$2:$AG$1001,0),1)&gt;=100000,INDEX($AN$1005:$BO$1005,1,MATCH(COLUMNS($AN$1006:AN1006),$AN$1006:$BO$1006,0))&gt;=100000), " ",IF(INDEX($AN$2:$BO$1001,MATCH(ROWS($AG$2:AG667),$AG$2:$AG$1001,0),MATCH(COLUMNS($AN$1006:AN1006),$AN$1006:$BO$1006,0)), HYPERLINK("#",""), HYPERLINK(CONCATENATE("#Metadata!", ADDRESS(INDEX($AI$2:$AI$1001,MATCH(ROWS($AG$2:AG667),$AG$2:$AG$1001,0),0), INDEX($AN$1004:$BO$1004,1,MATCH(COLUMNS($AN$1006:AN1006),$AN$1006:$BO$1006,0)))),"Fix")))</f>
        <v>0</v>
      </c>
      <c r="C667" s="4">
        <f>IF(OR(INDEX($AH$2:$AH$1001,MATCH(ROWS($AG$2:AG667),$AG$2:$AG$1001,0),1)&gt;=100000,INDEX($AN$1005:$BO$1005,1,MATCH(COLUMNS($AN$1006:AO1006),$AN$1006:$BO$1006,0))&gt;=100000), " ",IF(INDEX($AN$2:$BO$1001,MATCH(ROWS($AG$2:AG667),$AG$2:$AG$1001,0),MATCH(COLUMNS($AN$1006:AO1006),$AN$1006:$BO$1006,0)), HYPERLINK("#",""), HYPERLINK(CONCATENATE("#Metadata!", ADDRESS(INDEX($AI$2:$AI$1001,MATCH(ROWS($AG$2:AG667),$AG$2:$AG$1001,0),0), INDEX($AN$1004:$BO$1004,1,MATCH(COLUMNS($AN$1006:AO1006),$AN$1006:$BO$1006,0)))),"Fix")))</f>
        <v>0</v>
      </c>
      <c r="D667" s="4">
        <f>IF(OR(INDEX($AH$2:$AH$1001,MATCH(ROWS($AG$2:AG667),$AG$2:$AG$1001,0),1)&gt;=100000,INDEX($AN$1005:$BO$1005,1,MATCH(COLUMNS($AN$1006:AP1006),$AN$1006:$BO$1006,0))&gt;=100000), " ",IF(INDEX($AN$2:$BO$1001,MATCH(ROWS($AG$2:AG667),$AG$2:$AG$1001,0),MATCH(COLUMNS($AN$1006:AP1006),$AN$1006:$BO$1006,0)), HYPERLINK("#",""), HYPERLINK(CONCATENATE("#Metadata!", ADDRESS(INDEX($AI$2:$AI$1001,MATCH(ROWS($AG$2:AG667),$AG$2:$AG$1001,0),0), INDEX($AN$1004:$BO$1004,1,MATCH(COLUMNS($AN$1006:AP1006),$AN$1006:$BO$1006,0)))),"Fix")))</f>
        <v>0</v>
      </c>
      <c r="E667" s="4">
        <f>IF(OR(INDEX($AH$2:$AH$1001,MATCH(ROWS($AG$2:AG667),$AG$2:$AG$1001,0),1)&gt;=100000,INDEX($AN$1005:$BO$1005,1,MATCH(COLUMNS($AN$1006:AQ1006),$AN$1006:$BO$1006,0))&gt;=100000), " ",IF(INDEX($AN$2:$BO$1001,MATCH(ROWS($AG$2:AG667),$AG$2:$AG$1001,0),MATCH(COLUMNS($AN$1006:AQ1006),$AN$1006:$BO$1006,0)), HYPERLINK("#",""), HYPERLINK(CONCATENATE("#Metadata!", ADDRESS(INDEX($AI$2:$AI$1001,MATCH(ROWS($AG$2:AG667),$AG$2:$AG$1001,0),0), INDEX($AN$1004:$BO$1004,1,MATCH(COLUMNS($AN$1006:AQ1006),$AN$1006:$BO$1006,0)))),"Fix")))</f>
        <v>0</v>
      </c>
      <c r="F667" s="4">
        <f>IF(OR(INDEX($AH$2:$AH$1001,MATCH(ROWS($AG$2:AG667),$AG$2:$AG$1001,0),1)&gt;=100000,INDEX($AN$1005:$BO$1005,1,MATCH(COLUMNS($AN$1006:AR1006),$AN$1006:$BO$1006,0))&gt;=100000), " ",IF(INDEX($AN$2:$BO$1001,MATCH(ROWS($AG$2:AG667),$AG$2:$AG$1001,0),MATCH(COLUMNS($AN$1006:AR1006),$AN$1006:$BO$1006,0)), HYPERLINK("#",""), HYPERLINK(CONCATENATE("#Metadata!", ADDRESS(INDEX($AI$2:$AI$1001,MATCH(ROWS($AG$2:AG667),$AG$2:$AG$1001,0),0), INDEX($AN$1004:$BO$1004,1,MATCH(COLUMNS($AN$1006:AR1006),$AN$1006:$BO$1006,0)))),"Fix")))</f>
        <v>0</v>
      </c>
      <c r="G667" s="4">
        <f>IF(OR(INDEX($AH$2:$AH$1001,MATCH(ROWS($AG$2:AG667),$AG$2:$AG$1001,0),1)&gt;=100000,INDEX($AN$1005:$BO$1005,1,MATCH(COLUMNS($AN$1006:AS1006),$AN$1006:$BO$1006,0))&gt;=100000), " ",IF(INDEX($AN$2:$BO$1001,MATCH(ROWS($AG$2:AG667),$AG$2:$AG$1001,0),MATCH(COLUMNS($AN$1006:AS1006),$AN$1006:$BO$1006,0)), HYPERLINK("#",""), HYPERLINK(CONCATENATE("#Metadata!", ADDRESS(INDEX($AI$2:$AI$1001,MATCH(ROWS($AG$2:AG667),$AG$2:$AG$1001,0),0), INDEX($AN$1004:$BO$1004,1,MATCH(COLUMNS($AN$1006:AS1006),$AN$1006:$BO$1006,0)))),"Fix")))</f>
        <v>0</v>
      </c>
      <c r="H667" s="4">
        <f>IF(OR(INDEX($AH$2:$AH$1001,MATCH(ROWS($AG$2:AG667),$AG$2:$AG$1001,0),1)&gt;=100000,INDEX($AN$1005:$BO$1005,1,MATCH(COLUMNS($AN$1006:AT1006),$AN$1006:$BO$1006,0))&gt;=100000), " ",IF(INDEX($AN$2:$BO$1001,MATCH(ROWS($AG$2:AG667),$AG$2:$AG$1001,0),MATCH(COLUMNS($AN$1006:AT1006),$AN$1006:$BO$1006,0)), HYPERLINK("#",""), HYPERLINK(CONCATENATE("#Metadata!", ADDRESS(INDEX($AI$2:$AI$1001,MATCH(ROWS($AG$2:AG667),$AG$2:$AG$1001,0),0), INDEX($AN$1004:$BO$1004,1,MATCH(COLUMNS($AN$1006:AT1006),$AN$1006:$BO$1006,0)))),"Fix")))</f>
        <v>0</v>
      </c>
      <c r="I667" s="4">
        <f>IF(OR(INDEX($AH$2:$AH$1001,MATCH(ROWS($AG$2:AG667),$AG$2:$AG$1001,0),1)&gt;=100000,INDEX($AN$1005:$BO$1005,1,MATCH(COLUMNS($AN$1006:AU1006),$AN$1006:$BO$1006,0))&gt;=100000), " ",IF(INDEX($AN$2:$BO$1001,MATCH(ROWS($AG$2:AG667),$AG$2:$AG$1001,0),MATCH(COLUMNS($AN$1006:AU1006),$AN$1006:$BO$1006,0)), HYPERLINK("#",""), HYPERLINK(CONCATENATE("#Metadata!", ADDRESS(INDEX($AI$2:$AI$1001,MATCH(ROWS($AG$2:AG667),$AG$2:$AG$1001,0),0), INDEX($AN$1004:$BO$1004,1,MATCH(COLUMNS($AN$1006:AU1006),$AN$1006:$BO$1006,0)))),"Fix")))</f>
        <v>0</v>
      </c>
      <c r="J667" s="4">
        <f>IF(OR(INDEX($AH$2:$AH$1001,MATCH(ROWS($AG$2:AG667),$AG$2:$AG$1001,0),1)&gt;=100000,INDEX($AN$1005:$BO$1005,1,MATCH(COLUMNS($AN$1006:AV1006),$AN$1006:$BO$1006,0))&gt;=100000), " ",IF(INDEX($AN$2:$BO$1001,MATCH(ROWS($AG$2:AG667),$AG$2:$AG$1001,0),MATCH(COLUMNS($AN$1006:AV1006),$AN$1006:$BO$1006,0)), HYPERLINK("#",""), HYPERLINK(CONCATENATE("#Metadata!", ADDRESS(INDEX($AI$2:$AI$1001,MATCH(ROWS($AG$2:AG667),$AG$2:$AG$1001,0),0), INDEX($AN$1004:$BO$1004,1,MATCH(COLUMNS($AN$1006:AV1006),$AN$1006:$BO$1006,0)))),"Fix")))</f>
        <v>0</v>
      </c>
      <c r="K667" s="4">
        <f>IF(OR(INDEX($AH$2:$AH$1001,MATCH(ROWS($AG$2:AG667),$AG$2:$AG$1001,0),1)&gt;=100000,INDEX($AN$1005:$BO$1005,1,MATCH(COLUMNS($AN$1006:AW1006),$AN$1006:$BO$1006,0))&gt;=100000), " ",IF(INDEX($AN$2:$BO$1001,MATCH(ROWS($AG$2:AG667),$AG$2:$AG$1001,0),MATCH(COLUMNS($AN$1006:AW1006),$AN$1006:$BO$1006,0)), HYPERLINK("#",""), HYPERLINK(CONCATENATE("#Metadata!", ADDRESS(INDEX($AI$2:$AI$1001,MATCH(ROWS($AG$2:AG667),$AG$2:$AG$1001,0),0), INDEX($AN$1004:$BO$1004,1,MATCH(COLUMNS($AN$1006:AW1006),$AN$1006:$BO$1006,0)))),"Fix")))</f>
        <v>0</v>
      </c>
      <c r="L667" s="4">
        <f>IF(OR(INDEX($AH$2:$AH$1001,MATCH(ROWS($AG$2:AG667),$AG$2:$AG$1001,0),1)&gt;=100000,INDEX($AN$1005:$BO$1005,1,MATCH(COLUMNS($AN$1006:AX1006),$AN$1006:$BO$1006,0))&gt;=100000), " ",IF(INDEX($AN$2:$BO$1001,MATCH(ROWS($AG$2:AG667),$AG$2:$AG$1001,0),MATCH(COLUMNS($AN$1006:AX1006),$AN$1006:$BO$1006,0)), HYPERLINK("#",""), HYPERLINK(CONCATENATE("#Metadata!", ADDRESS(INDEX($AI$2:$AI$1001,MATCH(ROWS($AG$2:AG667),$AG$2:$AG$1001,0),0), INDEX($AN$1004:$BO$1004,1,MATCH(COLUMNS($AN$1006:AX1006),$AN$1006:$BO$1006,0)))),"Fix")))</f>
        <v>0</v>
      </c>
      <c r="M667" s="4">
        <f>IF(OR(INDEX($AH$2:$AH$1001,MATCH(ROWS($AG$2:AG667),$AG$2:$AG$1001,0),1)&gt;=100000,INDEX($AN$1005:$BO$1005,1,MATCH(COLUMNS($AN$1006:AY1006),$AN$1006:$BO$1006,0))&gt;=100000), " ",IF(INDEX($AN$2:$BO$1001,MATCH(ROWS($AG$2:AG667),$AG$2:$AG$1001,0),MATCH(COLUMNS($AN$1006:AY1006),$AN$1006:$BO$1006,0)), HYPERLINK("#",""), HYPERLINK(CONCATENATE("#Metadata!", ADDRESS(INDEX($AI$2:$AI$1001,MATCH(ROWS($AG$2:AG667),$AG$2:$AG$1001,0),0), INDEX($AN$1004:$BO$1004,1,MATCH(COLUMNS($AN$1006:AY1006),$AN$1006:$BO$1006,0)))),"Fix")))</f>
        <v>0</v>
      </c>
      <c r="N667" s="4">
        <f>IF(OR(INDEX($AH$2:$AH$1001,MATCH(ROWS($AG$2:AG667),$AG$2:$AG$1001,0),1)&gt;=100000,INDEX($AN$1005:$BO$1005,1,MATCH(COLUMNS($AN$1006:AZ1006),$AN$1006:$BO$1006,0))&gt;=100000), " ",IF(INDEX($AN$2:$BO$1001,MATCH(ROWS($AG$2:AG667),$AG$2:$AG$1001,0),MATCH(COLUMNS($AN$1006:AZ1006),$AN$1006:$BO$1006,0)), HYPERLINK("#",""), HYPERLINK(CONCATENATE("#Metadata!", ADDRESS(INDEX($AI$2:$AI$1001,MATCH(ROWS($AG$2:AG667),$AG$2:$AG$1001,0),0), INDEX($AN$1004:$BO$1004,1,MATCH(COLUMNS($AN$1006:AZ1006),$AN$1006:$BO$1006,0)))),"Fix")))</f>
        <v>0</v>
      </c>
      <c r="O667" s="4">
        <f>IF(OR(INDEX($AH$2:$AH$1001,MATCH(ROWS($AG$2:AG667),$AG$2:$AG$1001,0),1)&gt;=100000,INDEX($AN$1005:$BO$1005,1,MATCH(COLUMNS($AN$1006:BA1006),$AN$1006:$BO$1006,0))&gt;=100000), " ",IF(INDEX($AN$2:$BO$1001,MATCH(ROWS($AG$2:AG667),$AG$2:$AG$1001,0),MATCH(COLUMNS($AN$1006:BA1006),$AN$1006:$BO$1006,0)), HYPERLINK("#",""), HYPERLINK(CONCATENATE("#Metadata!", ADDRESS(INDEX($AI$2:$AI$1001,MATCH(ROWS($AG$2:AG667),$AG$2:$AG$1001,0),0), INDEX($AN$1004:$BO$1004,1,MATCH(COLUMNS($AN$1006:BA1006),$AN$1006:$BO$1006,0)))),"Fix")))</f>
        <v>0</v>
      </c>
      <c r="P667" s="4">
        <f>IF(OR(INDEX($AH$2:$AH$1001,MATCH(ROWS($AG$2:AG667),$AG$2:$AG$1001,0),1)&gt;=100000,INDEX($AN$1005:$BO$1005,1,MATCH(COLUMNS($AN$1006:BB1006),$AN$1006:$BO$1006,0))&gt;=100000), " ",IF(INDEX($AN$2:$BO$1001,MATCH(ROWS($AG$2:AG667),$AG$2:$AG$1001,0),MATCH(COLUMNS($AN$1006:BB1006),$AN$1006:$BO$1006,0)), HYPERLINK("#",""), HYPERLINK(CONCATENATE("#Metadata!", ADDRESS(INDEX($AI$2:$AI$1001,MATCH(ROWS($AG$2:AG667),$AG$2:$AG$1001,0),0), INDEX($AN$1004:$BO$1004,1,MATCH(COLUMNS($AN$1006:BB1006),$AN$1006:$BO$1006,0)))),"Fix")))</f>
        <v>0</v>
      </c>
      <c r="Q667" s="4">
        <f>IF(OR(INDEX($AH$2:$AH$1001,MATCH(ROWS($AG$2:AG667),$AG$2:$AG$1001,0),1)&gt;=100000,INDEX($AN$1005:$BO$1005,1,MATCH(COLUMNS($AN$1006:BC1006),$AN$1006:$BO$1006,0))&gt;=100000), " ",IF(INDEX($AN$2:$BO$1001,MATCH(ROWS($AG$2:AG667),$AG$2:$AG$1001,0),MATCH(COLUMNS($AN$1006:BC1006),$AN$1006:$BO$1006,0)), HYPERLINK("#",""), HYPERLINK(CONCATENATE("#Metadata!", ADDRESS(INDEX($AI$2:$AI$1001,MATCH(ROWS($AG$2:AG667),$AG$2:$AG$1001,0),0), INDEX($AN$1004:$BO$1004,1,MATCH(COLUMNS($AN$1006:BC1006),$AN$1006:$BO$1006,0)))),"Fix")))</f>
        <v>0</v>
      </c>
      <c r="R667" s="4">
        <f>IF(OR(INDEX($AH$2:$AH$1001,MATCH(ROWS($AG$2:AG667),$AG$2:$AG$1001,0),1)&gt;=100000,INDEX($AN$1005:$BO$1005,1,MATCH(COLUMNS($AN$1006:BD1006),$AN$1006:$BO$1006,0))&gt;=100000), " ",IF(INDEX($AN$2:$BO$1001,MATCH(ROWS($AG$2:AG667),$AG$2:$AG$1001,0),MATCH(COLUMNS($AN$1006:BD1006),$AN$1006:$BO$1006,0)), HYPERLINK("#",""), HYPERLINK(CONCATENATE("#Metadata!", ADDRESS(INDEX($AI$2:$AI$1001,MATCH(ROWS($AG$2:AG667),$AG$2:$AG$1001,0),0), INDEX($AN$1004:$BO$1004,1,MATCH(COLUMNS($AN$1006:BD1006),$AN$1006:$BO$1006,0)))),"Fix")))</f>
        <v>0</v>
      </c>
      <c r="S667" s="4">
        <f>IF(OR(INDEX($AH$2:$AH$1001,MATCH(ROWS($AG$2:AG667),$AG$2:$AG$1001,0),1)&gt;=100000,INDEX($AN$1005:$BO$1005,1,MATCH(COLUMNS($AN$1006:BE1006),$AN$1006:$BO$1006,0))&gt;=100000), " ",IF(INDEX($AN$2:$BO$1001,MATCH(ROWS($AG$2:AG667),$AG$2:$AG$1001,0),MATCH(COLUMNS($AN$1006:BE1006),$AN$1006:$BO$1006,0)), HYPERLINK("#",""), HYPERLINK(CONCATENATE("#Metadata!", ADDRESS(INDEX($AI$2:$AI$1001,MATCH(ROWS($AG$2:AG667),$AG$2:$AG$1001,0),0), INDEX($AN$1004:$BO$1004,1,MATCH(COLUMNS($AN$1006:BE1006),$AN$1006:$BO$1006,0)))),"Fix")))</f>
        <v>0</v>
      </c>
      <c r="T667" s="4">
        <f>IF(OR(INDEX($AH$2:$AH$1001,MATCH(ROWS($AG$2:AG667),$AG$2:$AG$1001,0),1)&gt;=100000,INDEX($AN$1005:$BO$1005,1,MATCH(COLUMNS($AN$1006:BF1006),$AN$1006:$BO$1006,0))&gt;=100000), " ",IF(INDEX($AN$2:$BO$1001,MATCH(ROWS($AG$2:AG667),$AG$2:$AG$1001,0),MATCH(COLUMNS($AN$1006:BF1006),$AN$1006:$BO$1006,0)), HYPERLINK("#",""), HYPERLINK(CONCATENATE("#Metadata!", ADDRESS(INDEX($AI$2:$AI$1001,MATCH(ROWS($AG$2:AG667),$AG$2:$AG$1001,0),0), INDEX($AN$1004:$BO$1004,1,MATCH(COLUMNS($AN$1006:BF1006),$AN$1006:$BO$1006,0)))),"Fix")))</f>
        <v>0</v>
      </c>
      <c r="U667" s="4">
        <f>IF(OR(INDEX($AH$2:$AH$1001,MATCH(ROWS($AG$2:AG667),$AG$2:$AG$1001,0),1)&gt;=100000,INDEX($AN$1005:$BO$1005,1,MATCH(COLUMNS($AN$1006:BG1006),$AN$1006:$BO$1006,0))&gt;=100000), " ",IF(INDEX($AN$2:$BO$1001,MATCH(ROWS($AG$2:AG667),$AG$2:$AG$1001,0),MATCH(COLUMNS($AN$1006:BG1006),$AN$1006:$BO$1006,0)), HYPERLINK("#",""), HYPERLINK(CONCATENATE("#Metadata!", ADDRESS(INDEX($AI$2:$AI$1001,MATCH(ROWS($AG$2:AG667),$AG$2:$AG$1001,0),0), INDEX($AN$1004:$BO$1004,1,MATCH(COLUMNS($AN$1006:BG1006),$AN$1006:$BO$1006,0)))),"Fix")))</f>
        <v>0</v>
      </c>
      <c r="V667" s="4">
        <f>IF(OR(INDEX($AH$2:$AH$1001,MATCH(ROWS($AG$2:AG667),$AG$2:$AG$1001,0),1)&gt;=100000,INDEX($AN$1005:$BO$1005,1,MATCH(COLUMNS($AN$1006:BH1006),$AN$1006:$BO$1006,0))&gt;=100000), " ",IF(INDEX($AN$2:$BO$1001,MATCH(ROWS($AG$2:AG667),$AG$2:$AG$1001,0),MATCH(COLUMNS($AN$1006:BH1006),$AN$1006:$BO$1006,0)), HYPERLINK("#",""), HYPERLINK(CONCATENATE("#Metadata!", ADDRESS(INDEX($AI$2:$AI$1001,MATCH(ROWS($AG$2:AG667),$AG$2:$AG$1001,0),0), INDEX($AN$1004:$BO$1004,1,MATCH(COLUMNS($AN$1006:BH1006),$AN$1006:$BO$1006,0)))),"Fix")))</f>
        <v>0</v>
      </c>
      <c r="W667" s="4">
        <f>IF(OR(INDEX($AH$2:$AH$1001,MATCH(ROWS($AG$2:AG667),$AG$2:$AG$1001,0),1)&gt;=100000,INDEX($AN$1005:$BO$1005,1,MATCH(COLUMNS($AN$1006:BI1006),$AN$1006:$BO$1006,0))&gt;=100000), " ",IF(INDEX($AN$2:$BO$1001,MATCH(ROWS($AG$2:AG667),$AG$2:$AG$1001,0),MATCH(COLUMNS($AN$1006:BI1006),$AN$1006:$BO$1006,0)), HYPERLINK("#",""), HYPERLINK(CONCATENATE("#Metadata!", ADDRESS(INDEX($AI$2:$AI$1001,MATCH(ROWS($AG$2:AG667),$AG$2:$AG$1001,0),0), INDEX($AN$1004:$BO$1004,1,MATCH(COLUMNS($AN$1006:BI1006),$AN$1006:$BO$1006,0)))),"Fix")))</f>
        <v>0</v>
      </c>
      <c r="X667" s="4">
        <f>IF(OR(INDEX($AH$2:$AH$1001,MATCH(ROWS($AG$2:AG667),$AG$2:$AG$1001,0),1)&gt;=100000,INDEX($AN$1005:$BO$1005,1,MATCH(COLUMNS($AN$1006:BJ1006),$AN$1006:$BO$1006,0))&gt;=100000), " ",IF(INDEX($AN$2:$BO$1001,MATCH(ROWS($AG$2:AG667),$AG$2:$AG$1001,0),MATCH(COLUMNS($AN$1006:BJ1006),$AN$1006:$BO$1006,0)), HYPERLINK("#",""), HYPERLINK(CONCATENATE("#Metadata!", ADDRESS(INDEX($AI$2:$AI$1001,MATCH(ROWS($AG$2:AG667),$AG$2:$AG$1001,0),0), INDEX($AN$1004:$BO$1004,1,MATCH(COLUMNS($AN$1006:BJ1006),$AN$1006:$BO$1006,0)))),"Fix")))</f>
        <v>0</v>
      </c>
      <c r="Y667" s="4">
        <f>IF(OR(INDEX($AH$2:$AH$1001,MATCH(ROWS($AG$2:AG667),$AG$2:$AG$1001,0),1)&gt;=100000,INDEX($AN$1005:$BO$1005,1,MATCH(COLUMNS($AN$1006:BK1006),$AN$1006:$BO$1006,0))&gt;=100000), " ",IF(INDEX($AN$2:$BO$1001,MATCH(ROWS($AG$2:AG667),$AG$2:$AG$1001,0),MATCH(COLUMNS($AN$1006:BK1006),$AN$1006:$BO$1006,0)), HYPERLINK("#",""), HYPERLINK(CONCATENATE("#Metadata!", ADDRESS(INDEX($AI$2:$AI$1001,MATCH(ROWS($AG$2:AG667),$AG$2:$AG$1001,0),0), INDEX($AN$1004:$BO$1004,1,MATCH(COLUMNS($AN$1006:BK1006),$AN$1006:$BO$1006,0)))),"Fix")))</f>
        <v>0</v>
      </c>
      <c r="Z667" s="4">
        <f>IF(OR(INDEX($AH$2:$AH$1001,MATCH(ROWS($AG$2:AG667),$AG$2:$AG$1001,0),1)&gt;=100000,INDEX($AN$1005:$BO$1005,1,MATCH(COLUMNS($AN$1006:BL1006),$AN$1006:$BO$1006,0))&gt;=100000), " ",IF(INDEX($AN$2:$BO$1001,MATCH(ROWS($AG$2:AG667),$AG$2:$AG$1001,0),MATCH(COLUMNS($AN$1006:BL1006),$AN$1006:$BO$1006,0)), HYPERLINK("#",""), HYPERLINK(CONCATENATE("#Metadata!", ADDRESS(INDEX($AI$2:$AI$1001,MATCH(ROWS($AG$2:AG667),$AG$2:$AG$1001,0),0), INDEX($AN$1004:$BO$1004,1,MATCH(COLUMNS($AN$1006:BL1006),$AN$1006:$BO$1006,0)))),"Fix")))</f>
        <v>0</v>
      </c>
      <c r="AA667" s="4">
        <f>IF(OR(INDEX($AH$2:$AH$1001,MATCH(ROWS($AG$2:AG667),$AG$2:$AG$1001,0),1)&gt;=100000,INDEX($AN$1005:$BO$1005,1,MATCH(COLUMNS($AN$1006:BM1006),$AN$1006:$BO$1006,0))&gt;=100000), " ",IF(INDEX($AN$2:$BO$1001,MATCH(ROWS($AG$2:AG667),$AG$2:$AG$1001,0),MATCH(COLUMNS($AN$1006:BM1006),$AN$1006:$BO$1006,0)), HYPERLINK("#",""), HYPERLINK(CONCATENATE("#Metadata!", ADDRESS(INDEX($AI$2:$AI$1001,MATCH(ROWS($AG$2:AG667),$AG$2:$AG$1001,0),0), INDEX($AN$1004:$BO$1004,1,MATCH(COLUMNS($AN$1006:BM1006),$AN$1006:$BO$1006,0)))),"Fix")))</f>
        <v>0</v>
      </c>
      <c r="AB667" s="4">
        <f>IF(OR(INDEX($AH$2:$AH$1001,MATCH(ROWS($AG$2:AG667),$AG$2:$AG$1001,0),1)&gt;=100000,INDEX($AN$1005:$BO$1005,1,MATCH(COLUMNS($AN$1006:BN1006),$AN$1006:$BO$1006,0))&gt;=100000), " ",IF(INDEX($AN$2:$BO$1001,MATCH(ROWS($AG$2:AG667),$AG$2:$AG$1001,0),MATCH(COLUMNS($AN$1006:BN1006),$AN$1006:$BO$1006,0)), HYPERLINK("#",""), HYPERLINK(CONCATENATE("#Metadata!", ADDRESS(INDEX($AI$2:$AI$1001,MATCH(ROWS($AG$2:AG667),$AG$2:$AG$1001,0),0), INDEX($AN$1004:$BO$1004,1,MATCH(COLUMNS($AN$1006:BN1006),$AN$1006:$BO$1006,0)))),"Fix")))</f>
        <v>0</v>
      </c>
      <c r="AC667" s="4">
        <f>IF(OR(INDEX($AH$2:$AH$1001,MATCH(ROWS($AG$2:AG667),$AG$2:$AG$1001,0),1)&gt;=100000,INDEX($AN$1005:$BO$1005,1,MATCH(COLUMNS($AN$1006:BO1006),$AN$1006:$BO$1006,0))&gt;=100000), " ",IF(INDEX($AN$2:$BO$1001,MATCH(ROWS($AG$2:AG667),$AG$2:$AG$1001,0),MATCH(COLUMNS($AN$1006:BO1006),$AN$1006:$BO$1006,0)), HYPERLINK("#",""), HYPERLINK(CONCATENATE("#Metadata!", ADDRESS(INDEX($AI$2:$AI$1001,MATCH(ROWS($AG$2:AG667),$AG$2:$AG$1001,0),0), INDEX($AN$1004:$BO$1004,1,MATCH(COLUMNS($AN$1006:BO1006),$AN$1006:$BO$1006,0)))),"Fix")))</f>
        <v>0</v>
      </c>
      <c r="AG667">
        <v>0</v>
      </c>
      <c r="AH667">
        <v>0</v>
      </c>
      <c r="AI667">
        <v>0</v>
      </c>
      <c r="AJ667">
        <f>IF(AK667,TRUE,AND(AN667:BO667))</f>
        <v>0</v>
      </c>
      <c r="AK667">
        <f>COUNTBLANK(Metadata!B667:AC667)=COLUMNS(Metadata!B667:AC667)</f>
        <v>0</v>
      </c>
      <c r="AL667">
        <v>0</v>
      </c>
      <c r="AN667">
        <f>AND(IF(Metadata!B667="",FALSE,TRUE),COUNTIF(Metadata!B:B, Metadata!B667) = 1,NOT(ISERROR(SUMPRODUCT(SEARCH(MID(Metadata!B667,ROW(INDIRECT("1:"&amp;LEN(Metadata!B667))), 1),"0123456789abcdefghijklmnopqrstuvwxyzABCDEFGHIJKLMNOPQRSTUVWXYZ.")))))</f>
        <v>0</v>
      </c>
      <c r="AO667">
        <f>IF(Metadata!C667="",FALSE,TRUE)</f>
        <v>0</v>
      </c>
      <c r="AP667">
        <f>IF(Metadata!D667="",FALSE,TRUE)</f>
        <v>0</v>
      </c>
      <c r="AQ667">
        <f>OR(AND(IF(Metadata!E667="",FALSE,TRUE),OR(exact(Metadata!E667,"not collected"),exact(Metadata!E667,"not provided"),exact(Metadata!E667,"restricted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R667">
        <f>IF(Metadata!F667="",FALSE,TRUE)</f>
        <v>0</v>
      </c>
      <c r="AS667">
        <f>OR(AND(IF(Metadata!G667="",FALSE,TRUE),OR(exact(Metadata!G667,"not collected"),exact(Metadata!G667,"not provided"))),AND(IF(Metadata!G667="",FALSE,TRUE),OR(exact(Metadata!G667,"TRUE"),exact(Metadata!G667,"FALSE"))))</f>
        <v>0</v>
      </c>
      <c r="AT667">
        <f>OR(AND(IF(Metadata!H667="",FALSE,TRUE),OR(exact(Metadata!H667,"not collected"),exact(Metadata!H667,"not provided"),exact(Metadata!H667,"restricted access"))),AND(IF(Metadata!H667="",FALSE,ISNUMBER(VALUE(Metadata!H667))),Metadata!H667&gt;=-413.0))</f>
        <v>0</v>
      </c>
      <c r="AU667">
        <f>AND(IF(Metadata!I667="",FALSE,TRUE),exact(Metadata!I667,"meters"))</f>
        <v>0</v>
      </c>
      <c r="AV667">
        <f>AND(IF(Metadata!J667="",FALSE,TRUE),OR(exact(Metadata!J667,"Host-associated"),exact(Metadata!J667,"Free-living")))</f>
        <v>0</v>
      </c>
      <c r="AW667">
        <f>AND(IF(Metadata!K667="",FALSE,TRUE),OR(exact(Metadata!K667,"Animal"),exact(Metadata!K667,"Fungus"),exact(Metadata!K667,"Plant"),exact(Metadata!K667,"Saline"),exact(Metadata!K667,"Non-saline")))</f>
        <v>0</v>
      </c>
      <c r="AX667">
        <f>AND(IF(Metadata!L667="",FALSE,TRUE),OR(exact(Metadata!L667,"Plant secretion"),exact(Metadata!L667,"Plant rhizosphere"),exact(Metadata!L667,"Plant surface"),exact(Metadata!L667,"Plant corpus"),exact(Metadata!L667,"Fungus surface"),exact(Metadata!L667,"Fungus corpus"),exact(Metadata!L667,"Animal surface"),exact(Metadata!L667,"Animal proximal gut"),exact(Metadata!L667,"Animal corpus"),exact(Metadata!L667,"Animal distal gut"),exact(Metadata!L667,"Animal secretion"),exact(Metadata!L667,"Sub-surface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Y667">
        <f>IF(Metadata!M667="",FALSE,TRUE)</f>
        <v>0</v>
      </c>
      <c r="AZ667">
        <f>IF(Metadata!N667="",FALSE,TRUE)</f>
        <v>0</v>
      </c>
      <c r="BA667">
        <f>IF(Metadata!O667="",FALSE,TRUE)</f>
        <v>0</v>
      </c>
      <c r="BB667">
        <f>OR(AND(IF(Metadata!P667="",FALSE,TRUE),OR(exact(Metadata!P667,"not collected"),exact(Metadata!P667,"not provided"),exact(Metadata!P667,"restricted access"))),AND(IF(Metadata!P667="",FALSE,TRUE),OR(exact(Metadata!P667,"air"),exact(Metadata!P667,"built environment"),exact(Metadata!P667,"host-associated"),exact(Metadata!P667,"human-associated"),exact(Metadata!P667,"human-skin"),exact(Metadata!P667,"human-oral"),exact(Metadata!P667,"human-gut"),exact(Metadata!P667,"human-vaginal"),exact(Metadata!P667,"microbial mat/biofilm"),exact(Metadata!P667,"misc environment"),exact(Metadata!P667,"plant-associated"),exact(Metadata!P667,"sediment"),exact(Metadata!P667,"soil"),exact(Metadata!P667,"wastewater/sludge"),exact(Metadata!P667,"water"))))</f>
        <v>0</v>
      </c>
      <c r="BC667">
        <f>IF(Metadata!Q667="",FALSE,TRUE)</f>
        <v>0</v>
      </c>
      <c r="BD667">
        <f>IF(Metadata!R667="",FALSE,TRUE)</f>
        <v>0</v>
      </c>
      <c r="BE667">
        <f>OR(AND(IF(Metadata!S667="",FALSE,TRUE),OR(exact(Metadata!S667,"not collected"),exact(Metadata!S667,"not provided"),exact(Metadata!S667,"restricted access"))),AND(IF(Metadata!S667="",FALSE,ISNUMBER(VALUE(Metadata!S667))),Metadata!S667&gt;=-90.00,Metadata!S667&lt;=90.00))</f>
        <v>0</v>
      </c>
      <c r="BF667">
        <f>AND(IF(Metadata!T667="",FALSE,TRUE),exact(Metadata!T667,"Decimal degrees"))</f>
        <v>0</v>
      </c>
      <c r="BG667">
        <f>OR(AND(IF(Metadata!U667="",FALSE,TRUE),OR(exact(Metadata!U667,"not collected"),exact(Metadata!U667,"not provided"),exact(Metadata!U667,"restricted access"))),AND(IF(Metadata!U667="",FALSE,ISNUMBER(VALUE(Metadata!U667))),Metadata!U667&gt;=-180.00,Metadata!U667&lt;=180.00))</f>
        <v>0</v>
      </c>
      <c r="BH667">
        <f>AND(IF(Metadata!V667="",FALSE,TRUE),exact(Metadata!V667,"Decimal degrees"))</f>
        <v>0</v>
      </c>
      <c r="BI667">
        <f>IF(Metadata!W667="",FALSE,TRUE)</f>
        <v>0</v>
      </c>
      <c r="BJ667">
        <f>OR(AND(IF(Metadata!X667="",FALSE,TRUE),OR(exact(Metadata!X667,"not collected"),exact(Metadata!X667,"not provided"),exact(Metadata!X667,"restricted access"))),AND(IF(Metadata!X667="",FALSE,TRUE),OR(exact(Metadata!X667,"TRUE"),exact(Metadata!X667,"FALSE"))))</f>
        <v>0</v>
      </c>
      <c r="BK667">
        <f>AND(IF(Metadata!Y667="",FALSE,TRUE),exact(Metadata!Y667,"other"))</f>
        <v>0</v>
      </c>
      <c r="BL667">
        <f>IF(Metadata!Z667="",FALSE,TRUE)</f>
        <v>0</v>
      </c>
      <c r="BM667">
        <f>OR(AND(IF(Metadata!AA667="",FALSE,TRUE),OR(exact(Metadata!AA667,"not collected"),exact(Metadata!AA667,"not provided"))),AND(IF(Metadata!AA667="",FALSE,IF(ISERROR(INT(Metadata!AA667)),FALSE,INT(Metadata!AA667)=Metadata!AA667)),Metadata!AA667&gt;0))</f>
        <v>0</v>
      </c>
      <c r="BN667">
        <f>AND(IF(Metadata!AB667="",FALSE,TRUE),exact(Metadata!AB667,"Not applicable"))</f>
        <v>0</v>
      </c>
      <c r="BO667">
        <f>IF(Metadata!AC667="",FALSE,TRUE)</f>
        <v>0</v>
      </c>
    </row>
    <row r="668" spans="1:67">
      <c r="A668" s="5">
        <f>IF(B668=" "," ",HYPERLINK(CONCATENATE("#metadata!",ADDRESS(INDEX($AI$2:$AI$1001,MATCH(ROWS($AG$2:AG668),$AG$2:$AG$1001,0),0),1)),INDEX($AL$2:$AL$1001,MATCH(ROWS($AG$2:AG668),$AG$2:$AG$1001,0),0)))</f>
        <v>0</v>
      </c>
      <c r="B668" s="4">
        <f>IF(OR(INDEX($AH$2:$AH$1001,MATCH(ROWS($AG$2:AG668),$AG$2:$AG$1001,0),1)&gt;=100000,INDEX($AN$1005:$BO$1005,1,MATCH(COLUMNS($AN$1006:AN1006),$AN$1006:$BO$1006,0))&gt;=100000), " ",IF(INDEX($AN$2:$BO$1001,MATCH(ROWS($AG$2:AG668),$AG$2:$AG$1001,0),MATCH(COLUMNS($AN$1006:AN1006),$AN$1006:$BO$1006,0)), HYPERLINK("#",""), HYPERLINK(CONCATENATE("#Metadata!", ADDRESS(INDEX($AI$2:$AI$1001,MATCH(ROWS($AG$2:AG668),$AG$2:$AG$1001,0),0), INDEX($AN$1004:$BO$1004,1,MATCH(COLUMNS($AN$1006:AN1006),$AN$1006:$BO$1006,0)))),"Fix")))</f>
        <v>0</v>
      </c>
      <c r="C668" s="4">
        <f>IF(OR(INDEX($AH$2:$AH$1001,MATCH(ROWS($AG$2:AG668),$AG$2:$AG$1001,0),1)&gt;=100000,INDEX($AN$1005:$BO$1005,1,MATCH(COLUMNS($AN$1006:AO1006),$AN$1006:$BO$1006,0))&gt;=100000), " ",IF(INDEX($AN$2:$BO$1001,MATCH(ROWS($AG$2:AG668),$AG$2:$AG$1001,0),MATCH(COLUMNS($AN$1006:AO1006),$AN$1006:$BO$1006,0)), HYPERLINK("#",""), HYPERLINK(CONCATENATE("#Metadata!", ADDRESS(INDEX($AI$2:$AI$1001,MATCH(ROWS($AG$2:AG668),$AG$2:$AG$1001,0),0), INDEX($AN$1004:$BO$1004,1,MATCH(COLUMNS($AN$1006:AO1006),$AN$1006:$BO$1006,0)))),"Fix")))</f>
        <v>0</v>
      </c>
      <c r="D668" s="4">
        <f>IF(OR(INDEX($AH$2:$AH$1001,MATCH(ROWS($AG$2:AG668),$AG$2:$AG$1001,0),1)&gt;=100000,INDEX($AN$1005:$BO$1005,1,MATCH(COLUMNS($AN$1006:AP1006),$AN$1006:$BO$1006,0))&gt;=100000), " ",IF(INDEX($AN$2:$BO$1001,MATCH(ROWS($AG$2:AG668),$AG$2:$AG$1001,0),MATCH(COLUMNS($AN$1006:AP1006),$AN$1006:$BO$1006,0)), HYPERLINK("#",""), HYPERLINK(CONCATENATE("#Metadata!", ADDRESS(INDEX($AI$2:$AI$1001,MATCH(ROWS($AG$2:AG668),$AG$2:$AG$1001,0),0), INDEX($AN$1004:$BO$1004,1,MATCH(COLUMNS($AN$1006:AP1006),$AN$1006:$BO$1006,0)))),"Fix")))</f>
        <v>0</v>
      </c>
      <c r="E668" s="4">
        <f>IF(OR(INDEX($AH$2:$AH$1001,MATCH(ROWS($AG$2:AG668),$AG$2:$AG$1001,0),1)&gt;=100000,INDEX($AN$1005:$BO$1005,1,MATCH(COLUMNS($AN$1006:AQ1006),$AN$1006:$BO$1006,0))&gt;=100000), " ",IF(INDEX($AN$2:$BO$1001,MATCH(ROWS($AG$2:AG668),$AG$2:$AG$1001,0),MATCH(COLUMNS($AN$1006:AQ1006),$AN$1006:$BO$1006,0)), HYPERLINK("#",""), HYPERLINK(CONCATENATE("#Metadata!", ADDRESS(INDEX($AI$2:$AI$1001,MATCH(ROWS($AG$2:AG668),$AG$2:$AG$1001,0),0), INDEX($AN$1004:$BO$1004,1,MATCH(COLUMNS($AN$1006:AQ1006),$AN$1006:$BO$1006,0)))),"Fix")))</f>
        <v>0</v>
      </c>
      <c r="F668" s="4">
        <f>IF(OR(INDEX($AH$2:$AH$1001,MATCH(ROWS($AG$2:AG668),$AG$2:$AG$1001,0),1)&gt;=100000,INDEX($AN$1005:$BO$1005,1,MATCH(COLUMNS($AN$1006:AR1006),$AN$1006:$BO$1006,0))&gt;=100000), " ",IF(INDEX($AN$2:$BO$1001,MATCH(ROWS($AG$2:AG668),$AG$2:$AG$1001,0),MATCH(COLUMNS($AN$1006:AR1006),$AN$1006:$BO$1006,0)), HYPERLINK("#",""), HYPERLINK(CONCATENATE("#Metadata!", ADDRESS(INDEX($AI$2:$AI$1001,MATCH(ROWS($AG$2:AG668),$AG$2:$AG$1001,0),0), INDEX($AN$1004:$BO$1004,1,MATCH(COLUMNS($AN$1006:AR1006),$AN$1006:$BO$1006,0)))),"Fix")))</f>
        <v>0</v>
      </c>
      <c r="G668" s="4">
        <f>IF(OR(INDEX($AH$2:$AH$1001,MATCH(ROWS($AG$2:AG668),$AG$2:$AG$1001,0),1)&gt;=100000,INDEX($AN$1005:$BO$1005,1,MATCH(COLUMNS($AN$1006:AS1006),$AN$1006:$BO$1006,0))&gt;=100000), " ",IF(INDEX($AN$2:$BO$1001,MATCH(ROWS($AG$2:AG668),$AG$2:$AG$1001,0),MATCH(COLUMNS($AN$1006:AS1006),$AN$1006:$BO$1006,0)), HYPERLINK("#",""), HYPERLINK(CONCATENATE("#Metadata!", ADDRESS(INDEX($AI$2:$AI$1001,MATCH(ROWS($AG$2:AG668),$AG$2:$AG$1001,0),0), INDEX($AN$1004:$BO$1004,1,MATCH(COLUMNS($AN$1006:AS1006),$AN$1006:$BO$1006,0)))),"Fix")))</f>
        <v>0</v>
      </c>
      <c r="H668" s="4">
        <f>IF(OR(INDEX($AH$2:$AH$1001,MATCH(ROWS($AG$2:AG668),$AG$2:$AG$1001,0),1)&gt;=100000,INDEX($AN$1005:$BO$1005,1,MATCH(COLUMNS($AN$1006:AT1006),$AN$1006:$BO$1006,0))&gt;=100000), " ",IF(INDEX($AN$2:$BO$1001,MATCH(ROWS($AG$2:AG668),$AG$2:$AG$1001,0),MATCH(COLUMNS($AN$1006:AT1006),$AN$1006:$BO$1006,0)), HYPERLINK("#",""), HYPERLINK(CONCATENATE("#Metadata!", ADDRESS(INDEX($AI$2:$AI$1001,MATCH(ROWS($AG$2:AG668),$AG$2:$AG$1001,0),0), INDEX($AN$1004:$BO$1004,1,MATCH(COLUMNS($AN$1006:AT1006),$AN$1006:$BO$1006,0)))),"Fix")))</f>
        <v>0</v>
      </c>
      <c r="I668" s="4">
        <f>IF(OR(INDEX($AH$2:$AH$1001,MATCH(ROWS($AG$2:AG668),$AG$2:$AG$1001,0),1)&gt;=100000,INDEX($AN$1005:$BO$1005,1,MATCH(COLUMNS($AN$1006:AU1006),$AN$1006:$BO$1006,0))&gt;=100000), " ",IF(INDEX($AN$2:$BO$1001,MATCH(ROWS($AG$2:AG668),$AG$2:$AG$1001,0),MATCH(COLUMNS($AN$1006:AU1006),$AN$1006:$BO$1006,0)), HYPERLINK("#",""), HYPERLINK(CONCATENATE("#Metadata!", ADDRESS(INDEX($AI$2:$AI$1001,MATCH(ROWS($AG$2:AG668),$AG$2:$AG$1001,0),0), INDEX($AN$1004:$BO$1004,1,MATCH(COLUMNS($AN$1006:AU1006),$AN$1006:$BO$1006,0)))),"Fix")))</f>
        <v>0</v>
      </c>
      <c r="J668" s="4">
        <f>IF(OR(INDEX($AH$2:$AH$1001,MATCH(ROWS($AG$2:AG668),$AG$2:$AG$1001,0),1)&gt;=100000,INDEX($AN$1005:$BO$1005,1,MATCH(COLUMNS($AN$1006:AV1006),$AN$1006:$BO$1006,0))&gt;=100000), " ",IF(INDEX($AN$2:$BO$1001,MATCH(ROWS($AG$2:AG668),$AG$2:$AG$1001,0),MATCH(COLUMNS($AN$1006:AV1006),$AN$1006:$BO$1006,0)), HYPERLINK("#",""), HYPERLINK(CONCATENATE("#Metadata!", ADDRESS(INDEX($AI$2:$AI$1001,MATCH(ROWS($AG$2:AG668),$AG$2:$AG$1001,0),0), INDEX($AN$1004:$BO$1004,1,MATCH(COLUMNS($AN$1006:AV1006),$AN$1006:$BO$1006,0)))),"Fix")))</f>
        <v>0</v>
      </c>
      <c r="K668" s="4">
        <f>IF(OR(INDEX($AH$2:$AH$1001,MATCH(ROWS($AG$2:AG668),$AG$2:$AG$1001,0),1)&gt;=100000,INDEX($AN$1005:$BO$1005,1,MATCH(COLUMNS($AN$1006:AW1006),$AN$1006:$BO$1006,0))&gt;=100000), " ",IF(INDEX($AN$2:$BO$1001,MATCH(ROWS($AG$2:AG668),$AG$2:$AG$1001,0),MATCH(COLUMNS($AN$1006:AW1006),$AN$1006:$BO$1006,0)), HYPERLINK("#",""), HYPERLINK(CONCATENATE("#Metadata!", ADDRESS(INDEX($AI$2:$AI$1001,MATCH(ROWS($AG$2:AG668),$AG$2:$AG$1001,0),0), INDEX($AN$1004:$BO$1004,1,MATCH(COLUMNS($AN$1006:AW1006),$AN$1006:$BO$1006,0)))),"Fix")))</f>
        <v>0</v>
      </c>
      <c r="L668" s="4">
        <f>IF(OR(INDEX($AH$2:$AH$1001,MATCH(ROWS($AG$2:AG668),$AG$2:$AG$1001,0),1)&gt;=100000,INDEX($AN$1005:$BO$1005,1,MATCH(COLUMNS($AN$1006:AX1006),$AN$1006:$BO$1006,0))&gt;=100000), " ",IF(INDEX($AN$2:$BO$1001,MATCH(ROWS($AG$2:AG668),$AG$2:$AG$1001,0),MATCH(COLUMNS($AN$1006:AX1006),$AN$1006:$BO$1006,0)), HYPERLINK("#",""), HYPERLINK(CONCATENATE("#Metadata!", ADDRESS(INDEX($AI$2:$AI$1001,MATCH(ROWS($AG$2:AG668),$AG$2:$AG$1001,0),0), INDEX($AN$1004:$BO$1004,1,MATCH(COLUMNS($AN$1006:AX1006),$AN$1006:$BO$1006,0)))),"Fix")))</f>
        <v>0</v>
      </c>
      <c r="M668" s="4">
        <f>IF(OR(INDEX($AH$2:$AH$1001,MATCH(ROWS($AG$2:AG668),$AG$2:$AG$1001,0),1)&gt;=100000,INDEX($AN$1005:$BO$1005,1,MATCH(COLUMNS($AN$1006:AY1006),$AN$1006:$BO$1006,0))&gt;=100000), " ",IF(INDEX($AN$2:$BO$1001,MATCH(ROWS($AG$2:AG668),$AG$2:$AG$1001,0),MATCH(COLUMNS($AN$1006:AY1006),$AN$1006:$BO$1006,0)), HYPERLINK("#",""), HYPERLINK(CONCATENATE("#Metadata!", ADDRESS(INDEX($AI$2:$AI$1001,MATCH(ROWS($AG$2:AG668),$AG$2:$AG$1001,0),0), INDEX($AN$1004:$BO$1004,1,MATCH(COLUMNS($AN$1006:AY1006),$AN$1006:$BO$1006,0)))),"Fix")))</f>
        <v>0</v>
      </c>
      <c r="N668" s="4">
        <f>IF(OR(INDEX($AH$2:$AH$1001,MATCH(ROWS($AG$2:AG668),$AG$2:$AG$1001,0),1)&gt;=100000,INDEX($AN$1005:$BO$1005,1,MATCH(COLUMNS($AN$1006:AZ1006),$AN$1006:$BO$1006,0))&gt;=100000), " ",IF(INDEX($AN$2:$BO$1001,MATCH(ROWS($AG$2:AG668),$AG$2:$AG$1001,0),MATCH(COLUMNS($AN$1006:AZ1006),$AN$1006:$BO$1006,0)), HYPERLINK("#",""), HYPERLINK(CONCATENATE("#Metadata!", ADDRESS(INDEX($AI$2:$AI$1001,MATCH(ROWS($AG$2:AG668),$AG$2:$AG$1001,0),0), INDEX($AN$1004:$BO$1004,1,MATCH(COLUMNS($AN$1006:AZ1006),$AN$1006:$BO$1006,0)))),"Fix")))</f>
        <v>0</v>
      </c>
      <c r="O668" s="4">
        <f>IF(OR(INDEX($AH$2:$AH$1001,MATCH(ROWS($AG$2:AG668),$AG$2:$AG$1001,0),1)&gt;=100000,INDEX($AN$1005:$BO$1005,1,MATCH(COLUMNS($AN$1006:BA1006),$AN$1006:$BO$1006,0))&gt;=100000), " ",IF(INDEX($AN$2:$BO$1001,MATCH(ROWS($AG$2:AG668),$AG$2:$AG$1001,0),MATCH(COLUMNS($AN$1006:BA1006),$AN$1006:$BO$1006,0)), HYPERLINK("#",""), HYPERLINK(CONCATENATE("#Metadata!", ADDRESS(INDEX($AI$2:$AI$1001,MATCH(ROWS($AG$2:AG668),$AG$2:$AG$1001,0),0), INDEX($AN$1004:$BO$1004,1,MATCH(COLUMNS($AN$1006:BA1006),$AN$1006:$BO$1006,0)))),"Fix")))</f>
        <v>0</v>
      </c>
      <c r="P668" s="4">
        <f>IF(OR(INDEX($AH$2:$AH$1001,MATCH(ROWS($AG$2:AG668),$AG$2:$AG$1001,0),1)&gt;=100000,INDEX($AN$1005:$BO$1005,1,MATCH(COLUMNS($AN$1006:BB1006),$AN$1006:$BO$1006,0))&gt;=100000), " ",IF(INDEX($AN$2:$BO$1001,MATCH(ROWS($AG$2:AG668),$AG$2:$AG$1001,0),MATCH(COLUMNS($AN$1006:BB1006),$AN$1006:$BO$1006,0)), HYPERLINK("#",""), HYPERLINK(CONCATENATE("#Metadata!", ADDRESS(INDEX($AI$2:$AI$1001,MATCH(ROWS($AG$2:AG668),$AG$2:$AG$1001,0),0), INDEX($AN$1004:$BO$1004,1,MATCH(COLUMNS($AN$1006:BB1006),$AN$1006:$BO$1006,0)))),"Fix")))</f>
        <v>0</v>
      </c>
      <c r="Q668" s="4">
        <f>IF(OR(INDEX($AH$2:$AH$1001,MATCH(ROWS($AG$2:AG668),$AG$2:$AG$1001,0),1)&gt;=100000,INDEX($AN$1005:$BO$1005,1,MATCH(COLUMNS($AN$1006:BC1006),$AN$1006:$BO$1006,0))&gt;=100000), " ",IF(INDEX($AN$2:$BO$1001,MATCH(ROWS($AG$2:AG668),$AG$2:$AG$1001,0),MATCH(COLUMNS($AN$1006:BC1006),$AN$1006:$BO$1006,0)), HYPERLINK("#",""), HYPERLINK(CONCATENATE("#Metadata!", ADDRESS(INDEX($AI$2:$AI$1001,MATCH(ROWS($AG$2:AG668),$AG$2:$AG$1001,0),0), INDEX($AN$1004:$BO$1004,1,MATCH(COLUMNS($AN$1006:BC1006),$AN$1006:$BO$1006,0)))),"Fix")))</f>
        <v>0</v>
      </c>
      <c r="R668" s="4">
        <f>IF(OR(INDEX($AH$2:$AH$1001,MATCH(ROWS($AG$2:AG668),$AG$2:$AG$1001,0),1)&gt;=100000,INDEX($AN$1005:$BO$1005,1,MATCH(COLUMNS($AN$1006:BD1006),$AN$1006:$BO$1006,0))&gt;=100000), " ",IF(INDEX($AN$2:$BO$1001,MATCH(ROWS($AG$2:AG668),$AG$2:$AG$1001,0),MATCH(COLUMNS($AN$1006:BD1006),$AN$1006:$BO$1006,0)), HYPERLINK("#",""), HYPERLINK(CONCATENATE("#Metadata!", ADDRESS(INDEX($AI$2:$AI$1001,MATCH(ROWS($AG$2:AG668),$AG$2:$AG$1001,0),0), INDEX($AN$1004:$BO$1004,1,MATCH(COLUMNS($AN$1006:BD1006),$AN$1006:$BO$1006,0)))),"Fix")))</f>
        <v>0</v>
      </c>
      <c r="S668" s="4">
        <f>IF(OR(INDEX($AH$2:$AH$1001,MATCH(ROWS($AG$2:AG668),$AG$2:$AG$1001,0),1)&gt;=100000,INDEX($AN$1005:$BO$1005,1,MATCH(COLUMNS($AN$1006:BE1006),$AN$1006:$BO$1006,0))&gt;=100000), " ",IF(INDEX($AN$2:$BO$1001,MATCH(ROWS($AG$2:AG668),$AG$2:$AG$1001,0),MATCH(COLUMNS($AN$1006:BE1006),$AN$1006:$BO$1006,0)), HYPERLINK("#",""), HYPERLINK(CONCATENATE("#Metadata!", ADDRESS(INDEX($AI$2:$AI$1001,MATCH(ROWS($AG$2:AG668),$AG$2:$AG$1001,0),0), INDEX($AN$1004:$BO$1004,1,MATCH(COLUMNS($AN$1006:BE1006),$AN$1006:$BO$1006,0)))),"Fix")))</f>
        <v>0</v>
      </c>
      <c r="T668" s="4">
        <f>IF(OR(INDEX($AH$2:$AH$1001,MATCH(ROWS($AG$2:AG668),$AG$2:$AG$1001,0),1)&gt;=100000,INDEX($AN$1005:$BO$1005,1,MATCH(COLUMNS($AN$1006:BF1006),$AN$1006:$BO$1006,0))&gt;=100000), " ",IF(INDEX($AN$2:$BO$1001,MATCH(ROWS($AG$2:AG668),$AG$2:$AG$1001,0),MATCH(COLUMNS($AN$1006:BF1006),$AN$1006:$BO$1006,0)), HYPERLINK("#",""), HYPERLINK(CONCATENATE("#Metadata!", ADDRESS(INDEX($AI$2:$AI$1001,MATCH(ROWS($AG$2:AG668),$AG$2:$AG$1001,0),0), INDEX($AN$1004:$BO$1004,1,MATCH(COLUMNS($AN$1006:BF1006),$AN$1006:$BO$1006,0)))),"Fix")))</f>
        <v>0</v>
      </c>
      <c r="U668" s="4">
        <f>IF(OR(INDEX($AH$2:$AH$1001,MATCH(ROWS($AG$2:AG668),$AG$2:$AG$1001,0),1)&gt;=100000,INDEX($AN$1005:$BO$1005,1,MATCH(COLUMNS($AN$1006:BG1006),$AN$1006:$BO$1006,0))&gt;=100000), " ",IF(INDEX($AN$2:$BO$1001,MATCH(ROWS($AG$2:AG668),$AG$2:$AG$1001,0),MATCH(COLUMNS($AN$1006:BG1006),$AN$1006:$BO$1006,0)), HYPERLINK("#",""), HYPERLINK(CONCATENATE("#Metadata!", ADDRESS(INDEX($AI$2:$AI$1001,MATCH(ROWS($AG$2:AG668),$AG$2:$AG$1001,0),0), INDEX($AN$1004:$BO$1004,1,MATCH(COLUMNS($AN$1006:BG1006),$AN$1006:$BO$1006,0)))),"Fix")))</f>
        <v>0</v>
      </c>
      <c r="V668" s="4">
        <f>IF(OR(INDEX($AH$2:$AH$1001,MATCH(ROWS($AG$2:AG668),$AG$2:$AG$1001,0),1)&gt;=100000,INDEX($AN$1005:$BO$1005,1,MATCH(COLUMNS($AN$1006:BH1006),$AN$1006:$BO$1006,0))&gt;=100000), " ",IF(INDEX($AN$2:$BO$1001,MATCH(ROWS($AG$2:AG668),$AG$2:$AG$1001,0),MATCH(COLUMNS($AN$1006:BH1006),$AN$1006:$BO$1006,0)), HYPERLINK("#",""), HYPERLINK(CONCATENATE("#Metadata!", ADDRESS(INDEX($AI$2:$AI$1001,MATCH(ROWS($AG$2:AG668),$AG$2:$AG$1001,0),0), INDEX($AN$1004:$BO$1004,1,MATCH(COLUMNS($AN$1006:BH1006),$AN$1006:$BO$1006,0)))),"Fix")))</f>
        <v>0</v>
      </c>
      <c r="W668" s="4">
        <f>IF(OR(INDEX($AH$2:$AH$1001,MATCH(ROWS($AG$2:AG668),$AG$2:$AG$1001,0),1)&gt;=100000,INDEX($AN$1005:$BO$1005,1,MATCH(COLUMNS($AN$1006:BI1006),$AN$1006:$BO$1006,0))&gt;=100000), " ",IF(INDEX($AN$2:$BO$1001,MATCH(ROWS($AG$2:AG668),$AG$2:$AG$1001,0),MATCH(COLUMNS($AN$1006:BI1006),$AN$1006:$BO$1006,0)), HYPERLINK("#",""), HYPERLINK(CONCATENATE("#Metadata!", ADDRESS(INDEX($AI$2:$AI$1001,MATCH(ROWS($AG$2:AG668),$AG$2:$AG$1001,0),0), INDEX($AN$1004:$BO$1004,1,MATCH(COLUMNS($AN$1006:BI1006),$AN$1006:$BO$1006,0)))),"Fix")))</f>
        <v>0</v>
      </c>
      <c r="X668" s="4">
        <f>IF(OR(INDEX($AH$2:$AH$1001,MATCH(ROWS($AG$2:AG668),$AG$2:$AG$1001,0),1)&gt;=100000,INDEX($AN$1005:$BO$1005,1,MATCH(COLUMNS($AN$1006:BJ1006),$AN$1006:$BO$1006,0))&gt;=100000), " ",IF(INDEX($AN$2:$BO$1001,MATCH(ROWS($AG$2:AG668),$AG$2:$AG$1001,0),MATCH(COLUMNS($AN$1006:BJ1006),$AN$1006:$BO$1006,0)), HYPERLINK("#",""), HYPERLINK(CONCATENATE("#Metadata!", ADDRESS(INDEX($AI$2:$AI$1001,MATCH(ROWS($AG$2:AG668),$AG$2:$AG$1001,0),0), INDEX($AN$1004:$BO$1004,1,MATCH(COLUMNS($AN$1006:BJ1006),$AN$1006:$BO$1006,0)))),"Fix")))</f>
        <v>0</v>
      </c>
      <c r="Y668" s="4">
        <f>IF(OR(INDEX($AH$2:$AH$1001,MATCH(ROWS($AG$2:AG668),$AG$2:$AG$1001,0),1)&gt;=100000,INDEX($AN$1005:$BO$1005,1,MATCH(COLUMNS($AN$1006:BK1006),$AN$1006:$BO$1006,0))&gt;=100000), " ",IF(INDEX($AN$2:$BO$1001,MATCH(ROWS($AG$2:AG668),$AG$2:$AG$1001,0),MATCH(COLUMNS($AN$1006:BK1006),$AN$1006:$BO$1006,0)), HYPERLINK("#",""), HYPERLINK(CONCATENATE("#Metadata!", ADDRESS(INDEX($AI$2:$AI$1001,MATCH(ROWS($AG$2:AG668),$AG$2:$AG$1001,0),0), INDEX($AN$1004:$BO$1004,1,MATCH(COLUMNS($AN$1006:BK1006),$AN$1006:$BO$1006,0)))),"Fix")))</f>
        <v>0</v>
      </c>
      <c r="Z668" s="4">
        <f>IF(OR(INDEX($AH$2:$AH$1001,MATCH(ROWS($AG$2:AG668),$AG$2:$AG$1001,0),1)&gt;=100000,INDEX($AN$1005:$BO$1005,1,MATCH(COLUMNS($AN$1006:BL1006),$AN$1006:$BO$1006,0))&gt;=100000), " ",IF(INDEX($AN$2:$BO$1001,MATCH(ROWS($AG$2:AG668),$AG$2:$AG$1001,0),MATCH(COLUMNS($AN$1006:BL1006),$AN$1006:$BO$1006,0)), HYPERLINK("#",""), HYPERLINK(CONCATENATE("#Metadata!", ADDRESS(INDEX($AI$2:$AI$1001,MATCH(ROWS($AG$2:AG668),$AG$2:$AG$1001,0),0), INDEX($AN$1004:$BO$1004,1,MATCH(COLUMNS($AN$1006:BL1006),$AN$1006:$BO$1006,0)))),"Fix")))</f>
        <v>0</v>
      </c>
      <c r="AA668" s="4">
        <f>IF(OR(INDEX($AH$2:$AH$1001,MATCH(ROWS($AG$2:AG668),$AG$2:$AG$1001,0),1)&gt;=100000,INDEX($AN$1005:$BO$1005,1,MATCH(COLUMNS($AN$1006:BM1006),$AN$1006:$BO$1006,0))&gt;=100000), " ",IF(INDEX($AN$2:$BO$1001,MATCH(ROWS($AG$2:AG668),$AG$2:$AG$1001,0),MATCH(COLUMNS($AN$1006:BM1006),$AN$1006:$BO$1006,0)), HYPERLINK("#",""), HYPERLINK(CONCATENATE("#Metadata!", ADDRESS(INDEX($AI$2:$AI$1001,MATCH(ROWS($AG$2:AG668),$AG$2:$AG$1001,0),0), INDEX($AN$1004:$BO$1004,1,MATCH(COLUMNS($AN$1006:BM1006),$AN$1006:$BO$1006,0)))),"Fix")))</f>
        <v>0</v>
      </c>
      <c r="AB668" s="4">
        <f>IF(OR(INDEX($AH$2:$AH$1001,MATCH(ROWS($AG$2:AG668),$AG$2:$AG$1001,0),1)&gt;=100000,INDEX($AN$1005:$BO$1005,1,MATCH(COLUMNS($AN$1006:BN1006),$AN$1006:$BO$1006,0))&gt;=100000), " ",IF(INDEX($AN$2:$BO$1001,MATCH(ROWS($AG$2:AG668),$AG$2:$AG$1001,0),MATCH(COLUMNS($AN$1006:BN1006),$AN$1006:$BO$1006,0)), HYPERLINK("#",""), HYPERLINK(CONCATENATE("#Metadata!", ADDRESS(INDEX($AI$2:$AI$1001,MATCH(ROWS($AG$2:AG668),$AG$2:$AG$1001,0),0), INDEX($AN$1004:$BO$1004,1,MATCH(COLUMNS($AN$1006:BN1006),$AN$1006:$BO$1006,0)))),"Fix")))</f>
        <v>0</v>
      </c>
      <c r="AC668" s="4">
        <f>IF(OR(INDEX($AH$2:$AH$1001,MATCH(ROWS($AG$2:AG668),$AG$2:$AG$1001,0),1)&gt;=100000,INDEX($AN$1005:$BO$1005,1,MATCH(COLUMNS($AN$1006:BO1006),$AN$1006:$BO$1006,0))&gt;=100000), " ",IF(INDEX($AN$2:$BO$1001,MATCH(ROWS($AG$2:AG668),$AG$2:$AG$1001,0),MATCH(COLUMNS($AN$1006:BO1006),$AN$1006:$BO$1006,0)), HYPERLINK("#",""), HYPERLINK(CONCATENATE("#Metadata!", ADDRESS(INDEX($AI$2:$AI$1001,MATCH(ROWS($AG$2:AG668),$AG$2:$AG$1001,0),0), INDEX($AN$1004:$BO$1004,1,MATCH(COLUMNS($AN$1006:BO1006),$AN$1006:$BO$1006,0)))),"Fix")))</f>
        <v>0</v>
      </c>
      <c r="AG668">
        <v>0</v>
      </c>
      <c r="AH668">
        <v>0</v>
      </c>
      <c r="AI668">
        <v>0</v>
      </c>
      <c r="AJ668">
        <f>IF(AK668,TRUE,AND(AN668:BO668))</f>
        <v>0</v>
      </c>
      <c r="AK668">
        <f>COUNTBLANK(Metadata!B668:AC668)=COLUMNS(Metadata!B668:AC668)</f>
        <v>0</v>
      </c>
      <c r="AL668">
        <v>0</v>
      </c>
      <c r="AN668">
        <f>AND(IF(Metadata!B668="",FALSE,TRUE),COUNTIF(Metadata!B:B, Metadata!B668) = 1,NOT(ISERROR(SUMPRODUCT(SEARCH(MID(Metadata!B668,ROW(INDIRECT("1:"&amp;LEN(Metadata!B668))), 1),"0123456789abcdefghijklmnopqrstuvwxyzABCDEFGHIJKLMNOPQRSTUVWXYZ.")))))</f>
        <v>0</v>
      </c>
      <c r="AO668">
        <f>IF(Metadata!C668="",FALSE,TRUE)</f>
        <v>0</v>
      </c>
      <c r="AP668">
        <f>IF(Metadata!D668="",FALSE,TRUE)</f>
        <v>0</v>
      </c>
      <c r="AQ668">
        <f>OR(AND(IF(Metadata!E668="",FALSE,TRUE),OR(exact(Metadata!E668,"not collected"),exact(Metadata!E668,"not provided"),exact(Metadata!E668,"restricted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R668">
        <f>IF(Metadata!F668="",FALSE,TRUE)</f>
        <v>0</v>
      </c>
      <c r="AS668">
        <f>OR(AND(IF(Metadata!G668="",FALSE,TRUE),OR(exact(Metadata!G668,"not collected"),exact(Metadata!G668,"not provided"))),AND(IF(Metadata!G668="",FALSE,TRUE),OR(exact(Metadata!G668,"TRUE"),exact(Metadata!G668,"FALSE"))))</f>
        <v>0</v>
      </c>
      <c r="AT668">
        <f>OR(AND(IF(Metadata!H668="",FALSE,TRUE),OR(exact(Metadata!H668,"not collected"),exact(Metadata!H668,"not provided"),exact(Metadata!H668,"restricted access"))),AND(IF(Metadata!H668="",FALSE,ISNUMBER(VALUE(Metadata!H668))),Metadata!H668&gt;=-413.0))</f>
        <v>0</v>
      </c>
      <c r="AU668">
        <f>AND(IF(Metadata!I668="",FALSE,TRUE),exact(Metadata!I668,"meters"))</f>
        <v>0</v>
      </c>
      <c r="AV668">
        <f>AND(IF(Metadata!J668="",FALSE,TRUE),OR(exact(Metadata!J668,"Host-associated"),exact(Metadata!J668,"Free-living")))</f>
        <v>0</v>
      </c>
      <c r="AW668">
        <f>AND(IF(Metadata!K668="",FALSE,TRUE),OR(exact(Metadata!K668,"Animal"),exact(Metadata!K668,"Fungus"),exact(Metadata!K668,"Plant"),exact(Metadata!K668,"Saline"),exact(Metadata!K668,"Non-saline")))</f>
        <v>0</v>
      </c>
      <c r="AX668">
        <f>AND(IF(Metadata!L668="",FALSE,TRUE),OR(exact(Metadata!L668,"Plant secretion"),exact(Metadata!L668,"Plant rhizosphere"),exact(Metadata!L668,"Plant surface"),exact(Metadata!L668,"Plant corpus"),exact(Metadata!L668,"Fungus surface"),exact(Metadata!L668,"Fungus corpus"),exact(Metadata!L668,"Animal surface"),exact(Metadata!L668,"Animal proximal gut"),exact(Metadata!L668,"Animal corpus"),exact(Metadata!L668,"Animal distal gut"),exact(Metadata!L668,"Animal secretion"),exact(Metadata!L668,"Sub-surface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Y668">
        <f>IF(Metadata!M668="",FALSE,TRUE)</f>
        <v>0</v>
      </c>
      <c r="AZ668">
        <f>IF(Metadata!N668="",FALSE,TRUE)</f>
        <v>0</v>
      </c>
      <c r="BA668">
        <f>IF(Metadata!O668="",FALSE,TRUE)</f>
        <v>0</v>
      </c>
      <c r="BB668">
        <f>OR(AND(IF(Metadata!P668="",FALSE,TRUE),OR(exact(Metadata!P668,"not collected"),exact(Metadata!P668,"not provided"),exact(Metadata!P668,"restricted access"))),AND(IF(Metadata!P668="",FALSE,TRUE),OR(exact(Metadata!P668,"air"),exact(Metadata!P668,"built environment"),exact(Metadata!P668,"host-associated"),exact(Metadata!P668,"human-associated"),exact(Metadata!P668,"human-skin"),exact(Metadata!P668,"human-oral"),exact(Metadata!P668,"human-gut"),exact(Metadata!P668,"human-vaginal"),exact(Metadata!P668,"microbial mat/biofilm"),exact(Metadata!P668,"misc environment"),exact(Metadata!P668,"plant-associated"),exact(Metadata!P668,"sediment"),exact(Metadata!P668,"soil"),exact(Metadata!P668,"wastewater/sludge"),exact(Metadata!P668,"water"))))</f>
        <v>0</v>
      </c>
      <c r="BC668">
        <f>IF(Metadata!Q668="",FALSE,TRUE)</f>
        <v>0</v>
      </c>
      <c r="BD668">
        <f>IF(Metadata!R668="",FALSE,TRUE)</f>
        <v>0</v>
      </c>
      <c r="BE668">
        <f>OR(AND(IF(Metadata!S668="",FALSE,TRUE),OR(exact(Metadata!S668,"not collected"),exact(Metadata!S668,"not provided"),exact(Metadata!S668,"restricted access"))),AND(IF(Metadata!S668="",FALSE,ISNUMBER(VALUE(Metadata!S668))),Metadata!S668&gt;=-90.00,Metadata!S668&lt;=90.00))</f>
        <v>0</v>
      </c>
      <c r="BF668">
        <f>AND(IF(Metadata!T668="",FALSE,TRUE),exact(Metadata!T668,"Decimal degrees"))</f>
        <v>0</v>
      </c>
      <c r="BG668">
        <f>OR(AND(IF(Metadata!U668="",FALSE,TRUE),OR(exact(Metadata!U668,"not collected"),exact(Metadata!U668,"not provided"),exact(Metadata!U668,"restricted access"))),AND(IF(Metadata!U668="",FALSE,ISNUMBER(VALUE(Metadata!U668))),Metadata!U668&gt;=-180.00,Metadata!U668&lt;=180.00))</f>
        <v>0</v>
      </c>
      <c r="BH668">
        <f>AND(IF(Metadata!V668="",FALSE,TRUE),exact(Metadata!V668,"Decimal degrees"))</f>
        <v>0</v>
      </c>
      <c r="BI668">
        <f>IF(Metadata!W668="",FALSE,TRUE)</f>
        <v>0</v>
      </c>
      <c r="BJ668">
        <f>OR(AND(IF(Metadata!X668="",FALSE,TRUE),OR(exact(Metadata!X668,"not collected"),exact(Metadata!X668,"not provided"),exact(Metadata!X668,"restricted access"))),AND(IF(Metadata!X668="",FALSE,TRUE),OR(exact(Metadata!X668,"TRUE"),exact(Metadata!X668,"FALSE"))))</f>
        <v>0</v>
      </c>
      <c r="BK668">
        <f>AND(IF(Metadata!Y668="",FALSE,TRUE),exact(Metadata!Y668,"other"))</f>
        <v>0</v>
      </c>
      <c r="BL668">
        <f>IF(Metadata!Z668="",FALSE,TRUE)</f>
        <v>0</v>
      </c>
      <c r="BM668">
        <f>OR(AND(IF(Metadata!AA668="",FALSE,TRUE),OR(exact(Metadata!AA668,"not collected"),exact(Metadata!AA668,"not provided"))),AND(IF(Metadata!AA668="",FALSE,IF(ISERROR(INT(Metadata!AA668)),FALSE,INT(Metadata!AA668)=Metadata!AA668)),Metadata!AA668&gt;0))</f>
        <v>0</v>
      </c>
      <c r="BN668">
        <f>AND(IF(Metadata!AB668="",FALSE,TRUE),exact(Metadata!AB668,"Not applicable"))</f>
        <v>0</v>
      </c>
      <c r="BO668">
        <f>IF(Metadata!AC668="",FALSE,TRUE)</f>
        <v>0</v>
      </c>
    </row>
    <row r="669" spans="1:67">
      <c r="A669" s="5">
        <f>IF(B669=" "," ",HYPERLINK(CONCATENATE("#metadata!",ADDRESS(INDEX($AI$2:$AI$1001,MATCH(ROWS($AG$2:AG669),$AG$2:$AG$1001,0),0),1)),INDEX($AL$2:$AL$1001,MATCH(ROWS($AG$2:AG669),$AG$2:$AG$1001,0),0)))</f>
        <v>0</v>
      </c>
      <c r="B669" s="4">
        <f>IF(OR(INDEX($AH$2:$AH$1001,MATCH(ROWS($AG$2:AG669),$AG$2:$AG$1001,0),1)&gt;=100000,INDEX($AN$1005:$BO$1005,1,MATCH(COLUMNS($AN$1006:AN1006),$AN$1006:$BO$1006,0))&gt;=100000), " ",IF(INDEX($AN$2:$BO$1001,MATCH(ROWS($AG$2:AG669),$AG$2:$AG$1001,0),MATCH(COLUMNS($AN$1006:AN1006),$AN$1006:$BO$1006,0)), HYPERLINK("#",""), HYPERLINK(CONCATENATE("#Metadata!", ADDRESS(INDEX($AI$2:$AI$1001,MATCH(ROWS($AG$2:AG669),$AG$2:$AG$1001,0),0), INDEX($AN$1004:$BO$1004,1,MATCH(COLUMNS($AN$1006:AN1006),$AN$1006:$BO$1006,0)))),"Fix")))</f>
        <v>0</v>
      </c>
      <c r="C669" s="4">
        <f>IF(OR(INDEX($AH$2:$AH$1001,MATCH(ROWS($AG$2:AG669),$AG$2:$AG$1001,0),1)&gt;=100000,INDEX($AN$1005:$BO$1005,1,MATCH(COLUMNS($AN$1006:AO1006),$AN$1006:$BO$1006,0))&gt;=100000), " ",IF(INDEX($AN$2:$BO$1001,MATCH(ROWS($AG$2:AG669),$AG$2:$AG$1001,0),MATCH(COLUMNS($AN$1006:AO1006),$AN$1006:$BO$1006,0)), HYPERLINK("#",""), HYPERLINK(CONCATENATE("#Metadata!", ADDRESS(INDEX($AI$2:$AI$1001,MATCH(ROWS($AG$2:AG669),$AG$2:$AG$1001,0),0), INDEX($AN$1004:$BO$1004,1,MATCH(COLUMNS($AN$1006:AO1006),$AN$1006:$BO$1006,0)))),"Fix")))</f>
        <v>0</v>
      </c>
      <c r="D669" s="4">
        <f>IF(OR(INDEX($AH$2:$AH$1001,MATCH(ROWS($AG$2:AG669),$AG$2:$AG$1001,0),1)&gt;=100000,INDEX($AN$1005:$BO$1005,1,MATCH(COLUMNS($AN$1006:AP1006),$AN$1006:$BO$1006,0))&gt;=100000), " ",IF(INDEX($AN$2:$BO$1001,MATCH(ROWS($AG$2:AG669),$AG$2:$AG$1001,0),MATCH(COLUMNS($AN$1006:AP1006),$AN$1006:$BO$1006,0)), HYPERLINK("#",""), HYPERLINK(CONCATENATE("#Metadata!", ADDRESS(INDEX($AI$2:$AI$1001,MATCH(ROWS($AG$2:AG669),$AG$2:$AG$1001,0),0), INDEX($AN$1004:$BO$1004,1,MATCH(COLUMNS($AN$1006:AP1006),$AN$1006:$BO$1006,0)))),"Fix")))</f>
        <v>0</v>
      </c>
      <c r="E669" s="4">
        <f>IF(OR(INDEX($AH$2:$AH$1001,MATCH(ROWS($AG$2:AG669),$AG$2:$AG$1001,0),1)&gt;=100000,INDEX($AN$1005:$BO$1005,1,MATCH(COLUMNS($AN$1006:AQ1006),$AN$1006:$BO$1006,0))&gt;=100000), " ",IF(INDEX($AN$2:$BO$1001,MATCH(ROWS($AG$2:AG669),$AG$2:$AG$1001,0),MATCH(COLUMNS($AN$1006:AQ1006),$AN$1006:$BO$1006,0)), HYPERLINK("#",""), HYPERLINK(CONCATENATE("#Metadata!", ADDRESS(INDEX($AI$2:$AI$1001,MATCH(ROWS($AG$2:AG669),$AG$2:$AG$1001,0),0), INDEX($AN$1004:$BO$1004,1,MATCH(COLUMNS($AN$1006:AQ1006),$AN$1006:$BO$1006,0)))),"Fix")))</f>
        <v>0</v>
      </c>
      <c r="F669" s="4">
        <f>IF(OR(INDEX($AH$2:$AH$1001,MATCH(ROWS($AG$2:AG669),$AG$2:$AG$1001,0),1)&gt;=100000,INDEX($AN$1005:$BO$1005,1,MATCH(COLUMNS($AN$1006:AR1006),$AN$1006:$BO$1006,0))&gt;=100000), " ",IF(INDEX($AN$2:$BO$1001,MATCH(ROWS($AG$2:AG669),$AG$2:$AG$1001,0),MATCH(COLUMNS($AN$1006:AR1006),$AN$1006:$BO$1006,0)), HYPERLINK("#",""), HYPERLINK(CONCATENATE("#Metadata!", ADDRESS(INDEX($AI$2:$AI$1001,MATCH(ROWS($AG$2:AG669),$AG$2:$AG$1001,0),0), INDEX($AN$1004:$BO$1004,1,MATCH(COLUMNS($AN$1006:AR1006),$AN$1006:$BO$1006,0)))),"Fix")))</f>
        <v>0</v>
      </c>
      <c r="G669" s="4">
        <f>IF(OR(INDEX($AH$2:$AH$1001,MATCH(ROWS($AG$2:AG669),$AG$2:$AG$1001,0),1)&gt;=100000,INDEX($AN$1005:$BO$1005,1,MATCH(COLUMNS($AN$1006:AS1006),$AN$1006:$BO$1006,0))&gt;=100000), " ",IF(INDEX($AN$2:$BO$1001,MATCH(ROWS($AG$2:AG669),$AG$2:$AG$1001,0),MATCH(COLUMNS($AN$1006:AS1006),$AN$1006:$BO$1006,0)), HYPERLINK("#",""), HYPERLINK(CONCATENATE("#Metadata!", ADDRESS(INDEX($AI$2:$AI$1001,MATCH(ROWS($AG$2:AG669),$AG$2:$AG$1001,0),0), INDEX($AN$1004:$BO$1004,1,MATCH(COLUMNS($AN$1006:AS1006),$AN$1006:$BO$1006,0)))),"Fix")))</f>
        <v>0</v>
      </c>
      <c r="H669" s="4">
        <f>IF(OR(INDEX($AH$2:$AH$1001,MATCH(ROWS($AG$2:AG669),$AG$2:$AG$1001,0),1)&gt;=100000,INDEX($AN$1005:$BO$1005,1,MATCH(COLUMNS($AN$1006:AT1006),$AN$1006:$BO$1006,0))&gt;=100000), " ",IF(INDEX($AN$2:$BO$1001,MATCH(ROWS($AG$2:AG669),$AG$2:$AG$1001,0),MATCH(COLUMNS($AN$1006:AT1006),$AN$1006:$BO$1006,0)), HYPERLINK("#",""), HYPERLINK(CONCATENATE("#Metadata!", ADDRESS(INDEX($AI$2:$AI$1001,MATCH(ROWS($AG$2:AG669),$AG$2:$AG$1001,0),0), INDEX($AN$1004:$BO$1004,1,MATCH(COLUMNS($AN$1006:AT1006),$AN$1006:$BO$1006,0)))),"Fix")))</f>
        <v>0</v>
      </c>
      <c r="I669" s="4">
        <f>IF(OR(INDEX($AH$2:$AH$1001,MATCH(ROWS($AG$2:AG669),$AG$2:$AG$1001,0),1)&gt;=100000,INDEX($AN$1005:$BO$1005,1,MATCH(COLUMNS($AN$1006:AU1006),$AN$1006:$BO$1006,0))&gt;=100000), " ",IF(INDEX($AN$2:$BO$1001,MATCH(ROWS($AG$2:AG669),$AG$2:$AG$1001,0),MATCH(COLUMNS($AN$1006:AU1006),$AN$1006:$BO$1006,0)), HYPERLINK("#",""), HYPERLINK(CONCATENATE("#Metadata!", ADDRESS(INDEX($AI$2:$AI$1001,MATCH(ROWS($AG$2:AG669),$AG$2:$AG$1001,0),0), INDEX($AN$1004:$BO$1004,1,MATCH(COLUMNS($AN$1006:AU1006),$AN$1006:$BO$1006,0)))),"Fix")))</f>
        <v>0</v>
      </c>
      <c r="J669" s="4">
        <f>IF(OR(INDEX($AH$2:$AH$1001,MATCH(ROWS($AG$2:AG669),$AG$2:$AG$1001,0),1)&gt;=100000,INDEX($AN$1005:$BO$1005,1,MATCH(COLUMNS($AN$1006:AV1006),$AN$1006:$BO$1006,0))&gt;=100000), " ",IF(INDEX($AN$2:$BO$1001,MATCH(ROWS($AG$2:AG669),$AG$2:$AG$1001,0),MATCH(COLUMNS($AN$1006:AV1006),$AN$1006:$BO$1006,0)), HYPERLINK("#",""), HYPERLINK(CONCATENATE("#Metadata!", ADDRESS(INDEX($AI$2:$AI$1001,MATCH(ROWS($AG$2:AG669),$AG$2:$AG$1001,0),0), INDEX($AN$1004:$BO$1004,1,MATCH(COLUMNS($AN$1006:AV1006),$AN$1006:$BO$1006,0)))),"Fix")))</f>
        <v>0</v>
      </c>
      <c r="K669" s="4">
        <f>IF(OR(INDEX($AH$2:$AH$1001,MATCH(ROWS($AG$2:AG669),$AG$2:$AG$1001,0),1)&gt;=100000,INDEX($AN$1005:$BO$1005,1,MATCH(COLUMNS($AN$1006:AW1006),$AN$1006:$BO$1006,0))&gt;=100000), " ",IF(INDEX($AN$2:$BO$1001,MATCH(ROWS($AG$2:AG669),$AG$2:$AG$1001,0),MATCH(COLUMNS($AN$1006:AW1006),$AN$1006:$BO$1006,0)), HYPERLINK("#",""), HYPERLINK(CONCATENATE("#Metadata!", ADDRESS(INDEX($AI$2:$AI$1001,MATCH(ROWS($AG$2:AG669),$AG$2:$AG$1001,0),0), INDEX($AN$1004:$BO$1004,1,MATCH(COLUMNS($AN$1006:AW1006),$AN$1006:$BO$1006,0)))),"Fix")))</f>
        <v>0</v>
      </c>
      <c r="L669" s="4">
        <f>IF(OR(INDEX($AH$2:$AH$1001,MATCH(ROWS($AG$2:AG669),$AG$2:$AG$1001,0),1)&gt;=100000,INDEX($AN$1005:$BO$1005,1,MATCH(COLUMNS($AN$1006:AX1006),$AN$1006:$BO$1006,0))&gt;=100000), " ",IF(INDEX($AN$2:$BO$1001,MATCH(ROWS($AG$2:AG669),$AG$2:$AG$1001,0),MATCH(COLUMNS($AN$1006:AX1006),$AN$1006:$BO$1006,0)), HYPERLINK("#",""), HYPERLINK(CONCATENATE("#Metadata!", ADDRESS(INDEX($AI$2:$AI$1001,MATCH(ROWS($AG$2:AG669),$AG$2:$AG$1001,0),0), INDEX($AN$1004:$BO$1004,1,MATCH(COLUMNS($AN$1006:AX1006),$AN$1006:$BO$1006,0)))),"Fix")))</f>
        <v>0</v>
      </c>
      <c r="M669" s="4">
        <f>IF(OR(INDEX($AH$2:$AH$1001,MATCH(ROWS($AG$2:AG669),$AG$2:$AG$1001,0),1)&gt;=100000,INDEX($AN$1005:$BO$1005,1,MATCH(COLUMNS($AN$1006:AY1006),$AN$1006:$BO$1006,0))&gt;=100000), " ",IF(INDEX($AN$2:$BO$1001,MATCH(ROWS($AG$2:AG669),$AG$2:$AG$1001,0),MATCH(COLUMNS($AN$1006:AY1006),$AN$1006:$BO$1006,0)), HYPERLINK("#",""), HYPERLINK(CONCATENATE("#Metadata!", ADDRESS(INDEX($AI$2:$AI$1001,MATCH(ROWS($AG$2:AG669),$AG$2:$AG$1001,0),0), INDEX($AN$1004:$BO$1004,1,MATCH(COLUMNS($AN$1006:AY1006),$AN$1006:$BO$1006,0)))),"Fix")))</f>
        <v>0</v>
      </c>
      <c r="N669" s="4">
        <f>IF(OR(INDEX($AH$2:$AH$1001,MATCH(ROWS($AG$2:AG669),$AG$2:$AG$1001,0),1)&gt;=100000,INDEX($AN$1005:$BO$1005,1,MATCH(COLUMNS($AN$1006:AZ1006),$AN$1006:$BO$1006,0))&gt;=100000), " ",IF(INDEX($AN$2:$BO$1001,MATCH(ROWS($AG$2:AG669),$AG$2:$AG$1001,0),MATCH(COLUMNS($AN$1006:AZ1006),$AN$1006:$BO$1006,0)), HYPERLINK("#",""), HYPERLINK(CONCATENATE("#Metadata!", ADDRESS(INDEX($AI$2:$AI$1001,MATCH(ROWS($AG$2:AG669),$AG$2:$AG$1001,0),0), INDEX($AN$1004:$BO$1004,1,MATCH(COLUMNS($AN$1006:AZ1006),$AN$1006:$BO$1006,0)))),"Fix")))</f>
        <v>0</v>
      </c>
      <c r="O669" s="4">
        <f>IF(OR(INDEX($AH$2:$AH$1001,MATCH(ROWS($AG$2:AG669),$AG$2:$AG$1001,0),1)&gt;=100000,INDEX($AN$1005:$BO$1005,1,MATCH(COLUMNS($AN$1006:BA1006),$AN$1006:$BO$1006,0))&gt;=100000), " ",IF(INDEX($AN$2:$BO$1001,MATCH(ROWS($AG$2:AG669),$AG$2:$AG$1001,0),MATCH(COLUMNS($AN$1006:BA1006),$AN$1006:$BO$1006,0)), HYPERLINK("#",""), HYPERLINK(CONCATENATE("#Metadata!", ADDRESS(INDEX($AI$2:$AI$1001,MATCH(ROWS($AG$2:AG669),$AG$2:$AG$1001,0),0), INDEX($AN$1004:$BO$1004,1,MATCH(COLUMNS($AN$1006:BA1006),$AN$1006:$BO$1006,0)))),"Fix")))</f>
        <v>0</v>
      </c>
      <c r="P669" s="4">
        <f>IF(OR(INDEX($AH$2:$AH$1001,MATCH(ROWS($AG$2:AG669),$AG$2:$AG$1001,0),1)&gt;=100000,INDEX($AN$1005:$BO$1005,1,MATCH(COLUMNS($AN$1006:BB1006),$AN$1006:$BO$1006,0))&gt;=100000), " ",IF(INDEX($AN$2:$BO$1001,MATCH(ROWS($AG$2:AG669),$AG$2:$AG$1001,0),MATCH(COLUMNS($AN$1006:BB1006),$AN$1006:$BO$1006,0)), HYPERLINK("#",""), HYPERLINK(CONCATENATE("#Metadata!", ADDRESS(INDEX($AI$2:$AI$1001,MATCH(ROWS($AG$2:AG669),$AG$2:$AG$1001,0),0), INDEX($AN$1004:$BO$1004,1,MATCH(COLUMNS($AN$1006:BB1006),$AN$1006:$BO$1006,0)))),"Fix")))</f>
        <v>0</v>
      </c>
      <c r="Q669" s="4">
        <f>IF(OR(INDEX($AH$2:$AH$1001,MATCH(ROWS($AG$2:AG669),$AG$2:$AG$1001,0),1)&gt;=100000,INDEX($AN$1005:$BO$1005,1,MATCH(COLUMNS($AN$1006:BC1006),$AN$1006:$BO$1006,0))&gt;=100000), " ",IF(INDEX($AN$2:$BO$1001,MATCH(ROWS($AG$2:AG669),$AG$2:$AG$1001,0),MATCH(COLUMNS($AN$1006:BC1006),$AN$1006:$BO$1006,0)), HYPERLINK("#",""), HYPERLINK(CONCATENATE("#Metadata!", ADDRESS(INDEX($AI$2:$AI$1001,MATCH(ROWS($AG$2:AG669),$AG$2:$AG$1001,0),0), INDEX($AN$1004:$BO$1004,1,MATCH(COLUMNS($AN$1006:BC1006),$AN$1006:$BO$1006,0)))),"Fix")))</f>
        <v>0</v>
      </c>
      <c r="R669" s="4">
        <f>IF(OR(INDEX($AH$2:$AH$1001,MATCH(ROWS($AG$2:AG669),$AG$2:$AG$1001,0),1)&gt;=100000,INDEX($AN$1005:$BO$1005,1,MATCH(COLUMNS($AN$1006:BD1006),$AN$1006:$BO$1006,0))&gt;=100000), " ",IF(INDEX($AN$2:$BO$1001,MATCH(ROWS($AG$2:AG669),$AG$2:$AG$1001,0),MATCH(COLUMNS($AN$1006:BD1006),$AN$1006:$BO$1006,0)), HYPERLINK("#",""), HYPERLINK(CONCATENATE("#Metadata!", ADDRESS(INDEX($AI$2:$AI$1001,MATCH(ROWS($AG$2:AG669),$AG$2:$AG$1001,0),0), INDEX($AN$1004:$BO$1004,1,MATCH(COLUMNS($AN$1006:BD1006),$AN$1006:$BO$1006,0)))),"Fix")))</f>
        <v>0</v>
      </c>
      <c r="S669" s="4">
        <f>IF(OR(INDEX($AH$2:$AH$1001,MATCH(ROWS($AG$2:AG669),$AG$2:$AG$1001,0),1)&gt;=100000,INDEX($AN$1005:$BO$1005,1,MATCH(COLUMNS($AN$1006:BE1006),$AN$1006:$BO$1006,0))&gt;=100000), " ",IF(INDEX($AN$2:$BO$1001,MATCH(ROWS($AG$2:AG669),$AG$2:$AG$1001,0),MATCH(COLUMNS($AN$1006:BE1006),$AN$1006:$BO$1006,0)), HYPERLINK("#",""), HYPERLINK(CONCATENATE("#Metadata!", ADDRESS(INDEX($AI$2:$AI$1001,MATCH(ROWS($AG$2:AG669),$AG$2:$AG$1001,0),0), INDEX($AN$1004:$BO$1004,1,MATCH(COLUMNS($AN$1006:BE1006),$AN$1006:$BO$1006,0)))),"Fix")))</f>
        <v>0</v>
      </c>
      <c r="T669" s="4">
        <f>IF(OR(INDEX($AH$2:$AH$1001,MATCH(ROWS($AG$2:AG669),$AG$2:$AG$1001,0),1)&gt;=100000,INDEX($AN$1005:$BO$1005,1,MATCH(COLUMNS($AN$1006:BF1006),$AN$1006:$BO$1006,0))&gt;=100000), " ",IF(INDEX($AN$2:$BO$1001,MATCH(ROWS($AG$2:AG669),$AG$2:$AG$1001,0),MATCH(COLUMNS($AN$1006:BF1006),$AN$1006:$BO$1006,0)), HYPERLINK("#",""), HYPERLINK(CONCATENATE("#Metadata!", ADDRESS(INDEX($AI$2:$AI$1001,MATCH(ROWS($AG$2:AG669),$AG$2:$AG$1001,0),0), INDEX($AN$1004:$BO$1004,1,MATCH(COLUMNS($AN$1006:BF1006),$AN$1006:$BO$1006,0)))),"Fix")))</f>
        <v>0</v>
      </c>
      <c r="U669" s="4">
        <f>IF(OR(INDEX($AH$2:$AH$1001,MATCH(ROWS($AG$2:AG669),$AG$2:$AG$1001,0),1)&gt;=100000,INDEX($AN$1005:$BO$1005,1,MATCH(COLUMNS($AN$1006:BG1006),$AN$1006:$BO$1006,0))&gt;=100000), " ",IF(INDEX($AN$2:$BO$1001,MATCH(ROWS($AG$2:AG669),$AG$2:$AG$1001,0),MATCH(COLUMNS($AN$1006:BG1006),$AN$1006:$BO$1006,0)), HYPERLINK("#",""), HYPERLINK(CONCATENATE("#Metadata!", ADDRESS(INDEX($AI$2:$AI$1001,MATCH(ROWS($AG$2:AG669),$AG$2:$AG$1001,0),0), INDEX($AN$1004:$BO$1004,1,MATCH(COLUMNS($AN$1006:BG1006),$AN$1006:$BO$1006,0)))),"Fix")))</f>
        <v>0</v>
      </c>
      <c r="V669" s="4">
        <f>IF(OR(INDEX($AH$2:$AH$1001,MATCH(ROWS($AG$2:AG669),$AG$2:$AG$1001,0),1)&gt;=100000,INDEX($AN$1005:$BO$1005,1,MATCH(COLUMNS($AN$1006:BH1006),$AN$1006:$BO$1006,0))&gt;=100000), " ",IF(INDEX($AN$2:$BO$1001,MATCH(ROWS($AG$2:AG669),$AG$2:$AG$1001,0),MATCH(COLUMNS($AN$1006:BH1006),$AN$1006:$BO$1006,0)), HYPERLINK("#",""), HYPERLINK(CONCATENATE("#Metadata!", ADDRESS(INDEX($AI$2:$AI$1001,MATCH(ROWS($AG$2:AG669),$AG$2:$AG$1001,0),0), INDEX($AN$1004:$BO$1004,1,MATCH(COLUMNS($AN$1006:BH1006),$AN$1006:$BO$1006,0)))),"Fix")))</f>
        <v>0</v>
      </c>
      <c r="W669" s="4">
        <f>IF(OR(INDEX($AH$2:$AH$1001,MATCH(ROWS($AG$2:AG669),$AG$2:$AG$1001,0),1)&gt;=100000,INDEX($AN$1005:$BO$1005,1,MATCH(COLUMNS($AN$1006:BI1006),$AN$1006:$BO$1006,0))&gt;=100000), " ",IF(INDEX($AN$2:$BO$1001,MATCH(ROWS($AG$2:AG669),$AG$2:$AG$1001,0),MATCH(COLUMNS($AN$1006:BI1006),$AN$1006:$BO$1006,0)), HYPERLINK("#",""), HYPERLINK(CONCATENATE("#Metadata!", ADDRESS(INDEX($AI$2:$AI$1001,MATCH(ROWS($AG$2:AG669),$AG$2:$AG$1001,0),0), INDEX($AN$1004:$BO$1004,1,MATCH(COLUMNS($AN$1006:BI1006),$AN$1006:$BO$1006,0)))),"Fix")))</f>
        <v>0</v>
      </c>
      <c r="X669" s="4">
        <f>IF(OR(INDEX($AH$2:$AH$1001,MATCH(ROWS($AG$2:AG669),$AG$2:$AG$1001,0),1)&gt;=100000,INDEX($AN$1005:$BO$1005,1,MATCH(COLUMNS($AN$1006:BJ1006),$AN$1006:$BO$1006,0))&gt;=100000), " ",IF(INDEX($AN$2:$BO$1001,MATCH(ROWS($AG$2:AG669),$AG$2:$AG$1001,0),MATCH(COLUMNS($AN$1006:BJ1006),$AN$1006:$BO$1006,0)), HYPERLINK("#",""), HYPERLINK(CONCATENATE("#Metadata!", ADDRESS(INDEX($AI$2:$AI$1001,MATCH(ROWS($AG$2:AG669),$AG$2:$AG$1001,0),0), INDEX($AN$1004:$BO$1004,1,MATCH(COLUMNS($AN$1006:BJ1006),$AN$1006:$BO$1006,0)))),"Fix")))</f>
        <v>0</v>
      </c>
      <c r="Y669" s="4">
        <f>IF(OR(INDEX($AH$2:$AH$1001,MATCH(ROWS($AG$2:AG669),$AG$2:$AG$1001,0),1)&gt;=100000,INDEX($AN$1005:$BO$1005,1,MATCH(COLUMNS($AN$1006:BK1006),$AN$1006:$BO$1006,0))&gt;=100000), " ",IF(INDEX($AN$2:$BO$1001,MATCH(ROWS($AG$2:AG669),$AG$2:$AG$1001,0),MATCH(COLUMNS($AN$1006:BK1006),$AN$1006:$BO$1006,0)), HYPERLINK("#",""), HYPERLINK(CONCATENATE("#Metadata!", ADDRESS(INDEX($AI$2:$AI$1001,MATCH(ROWS($AG$2:AG669),$AG$2:$AG$1001,0),0), INDEX($AN$1004:$BO$1004,1,MATCH(COLUMNS($AN$1006:BK1006),$AN$1006:$BO$1006,0)))),"Fix")))</f>
        <v>0</v>
      </c>
      <c r="Z669" s="4">
        <f>IF(OR(INDEX($AH$2:$AH$1001,MATCH(ROWS($AG$2:AG669),$AG$2:$AG$1001,0),1)&gt;=100000,INDEX($AN$1005:$BO$1005,1,MATCH(COLUMNS($AN$1006:BL1006),$AN$1006:$BO$1006,0))&gt;=100000), " ",IF(INDEX($AN$2:$BO$1001,MATCH(ROWS($AG$2:AG669),$AG$2:$AG$1001,0),MATCH(COLUMNS($AN$1006:BL1006),$AN$1006:$BO$1006,0)), HYPERLINK("#",""), HYPERLINK(CONCATENATE("#Metadata!", ADDRESS(INDEX($AI$2:$AI$1001,MATCH(ROWS($AG$2:AG669),$AG$2:$AG$1001,0),0), INDEX($AN$1004:$BO$1004,1,MATCH(COLUMNS($AN$1006:BL1006),$AN$1006:$BO$1006,0)))),"Fix")))</f>
        <v>0</v>
      </c>
      <c r="AA669" s="4">
        <f>IF(OR(INDEX($AH$2:$AH$1001,MATCH(ROWS($AG$2:AG669),$AG$2:$AG$1001,0),1)&gt;=100000,INDEX($AN$1005:$BO$1005,1,MATCH(COLUMNS($AN$1006:BM1006),$AN$1006:$BO$1006,0))&gt;=100000), " ",IF(INDEX($AN$2:$BO$1001,MATCH(ROWS($AG$2:AG669),$AG$2:$AG$1001,0),MATCH(COLUMNS($AN$1006:BM1006),$AN$1006:$BO$1006,0)), HYPERLINK("#",""), HYPERLINK(CONCATENATE("#Metadata!", ADDRESS(INDEX($AI$2:$AI$1001,MATCH(ROWS($AG$2:AG669),$AG$2:$AG$1001,0),0), INDEX($AN$1004:$BO$1004,1,MATCH(COLUMNS($AN$1006:BM1006),$AN$1006:$BO$1006,0)))),"Fix")))</f>
        <v>0</v>
      </c>
      <c r="AB669" s="4">
        <f>IF(OR(INDEX($AH$2:$AH$1001,MATCH(ROWS($AG$2:AG669),$AG$2:$AG$1001,0),1)&gt;=100000,INDEX($AN$1005:$BO$1005,1,MATCH(COLUMNS($AN$1006:BN1006),$AN$1006:$BO$1006,0))&gt;=100000), " ",IF(INDEX($AN$2:$BO$1001,MATCH(ROWS($AG$2:AG669),$AG$2:$AG$1001,0),MATCH(COLUMNS($AN$1006:BN1006),$AN$1006:$BO$1006,0)), HYPERLINK("#",""), HYPERLINK(CONCATENATE("#Metadata!", ADDRESS(INDEX($AI$2:$AI$1001,MATCH(ROWS($AG$2:AG669),$AG$2:$AG$1001,0),0), INDEX($AN$1004:$BO$1004,1,MATCH(COLUMNS($AN$1006:BN1006),$AN$1006:$BO$1006,0)))),"Fix")))</f>
        <v>0</v>
      </c>
      <c r="AC669" s="4">
        <f>IF(OR(INDEX($AH$2:$AH$1001,MATCH(ROWS($AG$2:AG669),$AG$2:$AG$1001,0),1)&gt;=100000,INDEX($AN$1005:$BO$1005,1,MATCH(COLUMNS($AN$1006:BO1006),$AN$1006:$BO$1006,0))&gt;=100000), " ",IF(INDEX($AN$2:$BO$1001,MATCH(ROWS($AG$2:AG669),$AG$2:$AG$1001,0),MATCH(COLUMNS($AN$1006:BO1006),$AN$1006:$BO$1006,0)), HYPERLINK("#",""), HYPERLINK(CONCATENATE("#Metadata!", ADDRESS(INDEX($AI$2:$AI$1001,MATCH(ROWS($AG$2:AG669),$AG$2:$AG$1001,0),0), INDEX($AN$1004:$BO$1004,1,MATCH(COLUMNS($AN$1006:BO1006),$AN$1006:$BO$1006,0)))),"Fix")))</f>
        <v>0</v>
      </c>
      <c r="AG669">
        <v>0</v>
      </c>
      <c r="AH669">
        <v>0</v>
      </c>
      <c r="AI669">
        <v>0</v>
      </c>
      <c r="AJ669">
        <f>IF(AK669,TRUE,AND(AN669:BO669))</f>
        <v>0</v>
      </c>
      <c r="AK669">
        <f>COUNTBLANK(Metadata!B669:AC669)=COLUMNS(Metadata!B669:AC669)</f>
        <v>0</v>
      </c>
      <c r="AL669">
        <v>0</v>
      </c>
      <c r="AN669">
        <f>AND(IF(Metadata!B669="",FALSE,TRUE),COUNTIF(Metadata!B:B, Metadata!B669) = 1,NOT(ISERROR(SUMPRODUCT(SEARCH(MID(Metadata!B669,ROW(INDIRECT("1:"&amp;LEN(Metadata!B669))), 1),"0123456789abcdefghijklmnopqrstuvwxyzABCDEFGHIJKLMNOPQRSTUVWXYZ.")))))</f>
        <v>0</v>
      </c>
      <c r="AO669">
        <f>IF(Metadata!C669="",FALSE,TRUE)</f>
        <v>0</v>
      </c>
      <c r="AP669">
        <f>IF(Metadata!D669="",FALSE,TRUE)</f>
        <v>0</v>
      </c>
      <c r="AQ669">
        <f>OR(AND(IF(Metadata!E669="",FALSE,TRUE),OR(exact(Metadata!E669,"not collected"),exact(Metadata!E669,"not provided"),exact(Metadata!E669,"restricted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R669">
        <f>IF(Metadata!F669="",FALSE,TRUE)</f>
        <v>0</v>
      </c>
      <c r="AS669">
        <f>OR(AND(IF(Metadata!G669="",FALSE,TRUE),OR(exact(Metadata!G669,"not collected"),exact(Metadata!G669,"not provided"))),AND(IF(Metadata!G669="",FALSE,TRUE),OR(exact(Metadata!G669,"TRUE"),exact(Metadata!G669,"FALSE"))))</f>
        <v>0</v>
      </c>
      <c r="AT669">
        <f>OR(AND(IF(Metadata!H669="",FALSE,TRUE),OR(exact(Metadata!H669,"not collected"),exact(Metadata!H669,"not provided"),exact(Metadata!H669,"restricted access"))),AND(IF(Metadata!H669="",FALSE,ISNUMBER(VALUE(Metadata!H669))),Metadata!H669&gt;=-413.0))</f>
        <v>0</v>
      </c>
      <c r="AU669">
        <f>AND(IF(Metadata!I669="",FALSE,TRUE),exact(Metadata!I669,"meters"))</f>
        <v>0</v>
      </c>
      <c r="AV669">
        <f>AND(IF(Metadata!J669="",FALSE,TRUE),OR(exact(Metadata!J669,"Host-associated"),exact(Metadata!J669,"Free-living")))</f>
        <v>0</v>
      </c>
      <c r="AW669">
        <f>AND(IF(Metadata!K669="",FALSE,TRUE),OR(exact(Metadata!K669,"Animal"),exact(Metadata!K669,"Fungus"),exact(Metadata!K669,"Plant"),exact(Metadata!K669,"Saline"),exact(Metadata!K669,"Non-saline")))</f>
        <v>0</v>
      </c>
      <c r="AX669">
        <f>AND(IF(Metadata!L669="",FALSE,TRUE),OR(exact(Metadata!L669,"Plant secretion"),exact(Metadata!L669,"Plant rhizosphere"),exact(Metadata!L669,"Plant surface"),exact(Metadata!L669,"Plant corpus"),exact(Metadata!L669,"Fungus surface"),exact(Metadata!L669,"Fungus corpus"),exact(Metadata!L669,"Animal surface"),exact(Metadata!L669,"Animal proximal gut"),exact(Metadata!L669,"Animal corpus"),exact(Metadata!L669,"Animal distal gut"),exact(Metadata!L669,"Animal secretion"),exact(Metadata!L669,"Sub-surface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Y669">
        <f>IF(Metadata!M669="",FALSE,TRUE)</f>
        <v>0</v>
      </c>
      <c r="AZ669">
        <f>IF(Metadata!N669="",FALSE,TRUE)</f>
        <v>0</v>
      </c>
      <c r="BA669">
        <f>IF(Metadata!O669="",FALSE,TRUE)</f>
        <v>0</v>
      </c>
      <c r="BB669">
        <f>OR(AND(IF(Metadata!P669="",FALSE,TRUE),OR(exact(Metadata!P669,"not collected"),exact(Metadata!P669,"not provided"),exact(Metadata!P669,"restricted access"))),AND(IF(Metadata!P669="",FALSE,TRUE),OR(exact(Metadata!P669,"air"),exact(Metadata!P669,"built environment"),exact(Metadata!P669,"host-associated"),exact(Metadata!P669,"human-associated"),exact(Metadata!P669,"human-skin"),exact(Metadata!P669,"human-oral"),exact(Metadata!P669,"human-gut"),exact(Metadata!P669,"human-vaginal"),exact(Metadata!P669,"microbial mat/biofilm"),exact(Metadata!P669,"misc environment"),exact(Metadata!P669,"plant-associated"),exact(Metadata!P669,"sediment"),exact(Metadata!P669,"soil"),exact(Metadata!P669,"wastewater/sludge"),exact(Metadata!P669,"water"))))</f>
        <v>0</v>
      </c>
      <c r="BC669">
        <f>IF(Metadata!Q669="",FALSE,TRUE)</f>
        <v>0</v>
      </c>
      <c r="BD669">
        <f>IF(Metadata!R669="",FALSE,TRUE)</f>
        <v>0</v>
      </c>
      <c r="BE669">
        <f>OR(AND(IF(Metadata!S669="",FALSE,TRUE),OR(exact(Metadata!S669,"not collected"),exact(Metadata!S669,"not provided"),exact(Metadata!S669,"restricted access"))),AND(IF(Metadata!S669="",FALSE,ISNUMBER(VALUE(Metadata!S669))),Metadata!S669&gt;=-90.00,Metadata!S669&lt;=90.00))</f>
        <v>0</v>
      </c>
      <c r="BF669">
        <f>AND(IF(Metadata!T669="",FALSE,TRUE),exact(Metadata!T669,"Decimal degrees"))</f>
        <v>0</v>
      </c>
      <c r="BG669">
        <f>OR(AND(IF(Metadata!U669="",FALSE,TRUE),OR(exact(Metadata!U669,"not collected"),exact(Metadata!U669,"not provided"),exact(Metadata!U669,"restricted access"))),AND(IF(Metadata!U669="",FALSE,ISNUMBER(VALUE(Metadata!U669))),Metadata!U669&gt;=-180.00,Metadata!U669&lt;=180.00))</f>
        <v>0</v>
      </c>
      <c r="BH669">
        <f>AND(IF(Metadata!V669="",FALSE,TRUE),exact(Metadata!V669,"Decimal degrees"))</f>
        <v>0</v>
      </c>
      <c r="BI669">
        <f>IF(Metadata!W669="",FALSE,TRUE)</f>
        <v>0</v>
      </c>
      <c r="BJ669">
        <f>OR(AND(IF(Metadata!X669="",FALSE,TRUE),OR(exact(Metadata!X669,"not collected"),exact(Metadata!X669,"not provided"),exact(Metadata!X669,"restricted access"))),AND(IF(Metadata!X669="",FALSE,TRUE),OR(exact(Metadata!X669,"TRUE"),exact(Metadata!X669,"FALSE"))))</f>
        <v>0</v>
      </c>
      <c r="BK669">
        <f>AND(IF(Metadata!Y669="",FALSE,TRUE),exact(Metadata!Y669,"other"))</f>
        <v>0</v>
      </c>
      <c r="BL669">
        <f>IF(Metadata!Z669="",FALSE,TRUE)</f>
        <v>0</v>
      </c>
      <c r="BM669">
        <f>OR(AND(IF(Metadata!AA669="",FALSE,TRUE),OR(exact(Metadata!AA669,"not collected"),exact(Metadata!AA669,"not provided"))),AND(IF(Metadata!AA669="",FALSE,IF(ISERROR(INT(Metadata!AA669)),FALSE,INT(Metadata!AA669)=Metadata!AA669)),Metadata!AA669&gt;0))</f>
        <v>0</v>
      </c>
      <c r="BN669">
        <f>AND(IF(Metadata!AB669="",FALSE,TRUE),exact(Metadata!AB669,"Not applicable"))</f>
        <v>0</v>
      </c>
      <c r="BO669">
        <f>IF(Metadata!AC669="",FALSE,TRUE)</f>
        <v>0</v>
      </c>
    </row>
    <row r="670" spans="1:67">
      <c r="A670" s="5">
        <f>IF(B670=" "," ",HYPERLINK(CONCATENATE("#metadata!",ADDRESS(INDEX($AI$2:$AI$1001,MATCH(ROWS($AG$2:AG670),$AG$2:$AG$1001,0),0),1)),INDEX($AL$2:$AL$1001,MATCH(ROWS($AG$2:AG670),$AG$2:$AG$1001,0),0)))</f>
        <v>0</v>
      </c>
      <c r="B670" s="4">
        <f>IF(OR(INDEX($AH$2:$AH$1001,MATCH(ROWS($AG$2:AG670),$AG$2:$AG$1001,0),1)&gt;=100000,INDEX($AN$1005:$BO$1005,1,MATCH(COLUMNS($AN$1006:AN1006),$AN$1006:$BO$1006,0))&gt;=100000), " ",IF(INDEX($AN$2:$BO$1001,MATCH(ROWS($AG$2:AG670),$AG$2:$AG$1001,0),MATCH(COLUMNS($AN$1006:AN1006),$AN$1006:$BO$1006,0)), HYPERLINK("#",""), HYPERLINK(CONCATENATE("#Metadata!", ADDRESS(INDEX($AI$2:$AI$1001,MATCH(ROWS($AG$2:AG670),$AG$2:$AG$1001,0),0), INDEX($AN$1004:$BO$1004,1,MATCH(COLUMNS($AN$1006:AN1006),$AN$1006:$BO$1006,0)))),"Fix")))</f>
        <v>0</v>
      </c>
      <c r="C670" s="4">
        <f>IF(OR(INDEX($AH$2:$AH$1001,MATCH(ROWS($AG$2:AG670),$AG$2:$AG$1001,0),1)&gt;=100000,INDEX($AN$1005:$BO$1005,1,MATCH(COLUMNS($AN$1006:AO1006),$AN$1006:$BO$1006,0))&gt;=100000), " ",IF(INDEX($AN$2:$BO$1001,MATCH(ROWS($AG$2:AG670),$AG$2:$AG$1001,0),MATCH(COLUMNS($AN$1006:AO1006),$AN$1006:$BO$1006,0)), HYPERLINK("#",""), HYPERLINK(CONCATENATE("#Metadata!", ADDRESS(INDEX($AI$2:$AI$1001,MATCH(ROWS($AG$2:AG670),$AG$2:$AG$1001,0),0), INDEX($AN$1004:$BO$1004,1,MATCH(COLUMNS($AN$1006:AO1006),$AN$1006:$BO$1006,0)))),"Fix")))</f>
        <v>0</v>
      </c>
      <c r="D670" s="4">
        <f>IF(OR(INDEX($AH$2:$AH$1001,MATCH(ROWS($AG$2:AG670),$AG$2:$AG$1001,0),1)&gt;=100000,INDEX($AN$1005:$BO$1005,1,MATCH(COLUMNS($AN$1006:AP1006),$AN$1006:$BO$1006,0))&gt;=100000), " ",IF(INDEX($AN$2:$BO$1001,MATCH(ROWS($AG$2:AG670),$AG$2:$AG$1001,0),MATCH(COLUMNS($AN$1006:AP1006),$AN$1006:$BO$1006,0)), HYPERLINK("#",""), HYPERLINK(CONCATENATE("#Metadata!", ADDRESS(INDEX($AI$2:$AI$1001,MATCH(ROWS($AG$2:AG670),$AG$2:$AG$1001,0),0), INDEX($AN$1004:$BO$1004,1,MATCH(COLUMNS($AN$1006:AP1006),$AN$1006:$BO$1006,0)))),"Fix")))</f>
        <v>0</v>
      </c>
      <c r="E670" s="4">
        <f>IF(OR(INDEX($AH$2:$AH$1001,MATCH(ROWS($AG$2:AG670),$AG$2:$AG$1001,0),1)&gt;=100000,INDEX($AN$1005:$BO$1005,1,MATCH(COLUMNS($AN$1006:AQ1006),$AN$1006:$BO$1006,0))&gt;=100000), " ",IF(INDEX($AN$2:$BO$1001,MATCH(ROWS($AG$2:AG670),$AG$2:$AG$1001,0),MATCH(COLUMNS($AN$1006:AQ1006),$AN$1006:$BO$1006,0)), HYPERLINK("#",""), HYPERLINK(CONCATENATE("#Metadata!", ADDRESS(INDEX($AI$2:$AI$1001,MATCH(ROWS($AG$2:AG670),$AG$2:$AG$1001,0),0), INDEX($AN$1004:$BO$1004,1,MATCH(COLUMNS($AN$1006:AQ1006),$AN$1006:$BO$1006,0)))),"Fix")))</f>
        <v>0</v>
      </c>
      <c r="F670" s="4">
        <f>IF(OR(INDEX($AH$2:$AH$1001,MATCH(ROWS($AG$2:AG670),$AG$2:$AG$1001,0),1)&gt;=100000,INDEX($AN$1005:$BO$1005,1,MATCH(COLUMNS($AN$1006:AR1006),$AN$1006:$BO$1006,0))&gt;=100000), " ",IF(INDEX($AN$2:$BO$1001,MATCH(ROWS($AG$2:AG670),$AG$2:$AG$1001,0),MATCH(COLUMNS($AN$1006:AR1006),$AN$1006:$BO$1006,0)), HYPERLINK("#",""), HYPERLINK(CONCATENATE("#Metadata!", ADDRESS(INDEX($AI$2:$AI$1001,MATCH(ROWS($AG$2:AG670),$AG$2:$AG$1001,0),0), INDEX($AN$1004:$BO$1004,1,MATCH(COLUMNS($AN$1006:AR1006),$AN$1006:$BO$1006,0)))),"Fix")))</f>
        <v>0</v>
      </c>
      <c r="G670" s="4">
        <f>IF(OR(INDEX($AH$2:$AH$1001,MATCH(ROWS($AG$2:AG670),$AG$2:$AG$1001,0),1)&gt;=100000,INDEX($AN$1005:$BO$1005,1,MATCH(COLUMNS($AN$1006:AS1006),$AN$1006:$BO$1006,0))&gt;=100000), " ",IF(INDEX($AN$2:$BO$1001,MATCH(ROWS($AG$2:AG670),$AG$2:$AG$1001,0),MATCH(COLUMNS($AN$1006:AS1006),$AN$1006:$BO$1006,0)), HYPERLINK("#",""), HYPERLINK(CONCATENATE("#Metadata!", ADDRESS(INDEX($AI$2:$AI$1001,MATCH(ROWS($AG$2:AG670),$AG$2:$AG$1001,0),0), INDEX($AN$1004:$BO$1004,1,MATCH(COLUMNS($AN$1006:AS1006),$AN$1006:$BO$1006,0)))),"Fix")))</f>
        <v>0</v>
      </c>
      <c r="H670" s="4">
        <f>IF(OR(INDEX($AH$2:$AH$1001,MATCH(ROWS($AG$2:AG670),$AG$2:$AG$1001,0),1)&gt;=100000,INDEX($AN$1005:$BO$1005,1,MATCH(COLUMNS($AN$1006:AT1006),$AN$1006:$BO$1006,0))&gt;=100000), " ",IF(INDEX($AN$2:$BO$1001,MATCH(ROWS($AG$2:AG670),$AG$2:$AG$1001,0),MATCH(COLUMNS($AN$1006:AT1006),$AN$1006:$BO$1006,0)), HYPERLINK("#",""), HYPERLINK(CONCATENATE("#Metadata!", ADDRESS(INDEX($AI$2:$AI$1001,MATCH(ROWS($AG$2:AG670),$AG$2:$AG$1001,0),0), INDEX($AN$1004:$BO$1004,1,MATCH(COLUMNS($AN$1006:AT1006),$AN$1006:$BO$1006,0)))),"Fix")))</f>
        <v>0</v>
      </c>
      <c r="I670" s="4">
        <f>IF(OR(INDEX($AH$2:$AH$1001,MATCH(ROWS($AG$2:AG670),$AG$2:$AG$1001,0),1)&gt;=100000,INDEX($AN$1005:$BO$1005,1,MATCH(COLUMNS($AN$1006:AU1006),$AN$1006:$BO$1006,0))&gt;=100000), " ",IF(INDEX($AN$2:$BO$1001,MATCH(ROWS($AG$2:AG670),$AG$2:$AG$1001,0),MATCH(COLUMNS($AN$1006:AU1006),$AN$1006:$BO$1006,0)), HYPERLINK("#",""), HYPERLINK(CONCATENATE("#Metadata!", ADDRESS(INDEX($AI$2:$AI$1001,MATCH(ROWS($AG$2:AG670),$AG$2:$AG$1001,0),0), INDEX($AN$1004:$BO$1004,1,MATCH(COLUMNS($AN$1006:AU1006),$AN$1006:$BO$1006,0)))),"Fix")))</f>
        <v>0</v>
      </c>
      <c r="J670" s="4">
        <f>IF(OR(INDEX($AH$2:$AH$1001,MATCH(ROWS($AG$2:AG670),$AG$2:$AG$1001,0),1)&gt;=100000,INDEX($AN$1005:$BO$1005,1,MATCH(COLUMNS($AN$1006:AV1006),$AN$1006:$BO$1006,0))&gt;=100000), " ",IF(INDEX($AN$2:$BO$1001,MATCH(ROWS($AG$2:AG670),$AG$2:$AG$1001,0),MATCH(COLUMNS($AN$1006:AV1006),$AN$1006:$BO$1006,0)), HYPERLINK("#",""), HYPERLINK(CONCATENATE("#Metadata!", ADDRESS(INDEX($AI$2:$AI$1001,MATCH(ROWS($AG$2:AG670),$AG$2:$AG$1001,0),0), INDEX($AN$1004:$BO$1004,1,MATCH(COLUMNS($AN$1006:AV1006),$AN$1006:$BO$1006,0)))),"Fix")))</f>
        <v>0</v>
      </c>
      <c r="K670" s="4">
        <f>IF(OR(INDEX($AH$2:$AH$1001,MATCH(ROWS($AG$2:AG670),$AG$2:$AG$1001,0),1)&gt;=100000,INDEX($AN$1005:$BO$1005,1,MATCH(COLUMNS($AN$1006:AW1006),$AN$1006:$BO$1006,0))&gt;=100000), " ",IF(INDEX($AN$2:$BO$1001,MATCH(ROWS($AG$2:AG670),$AG$2:$AG$1001,0),MATCH(COLUMNS($AN$1006:AW1006),$AN$1006:$BO$1006,0)), HYPERLINK("#",""), HYPERLINK(CONCATENATE("#Metadata!", ADDRESS(INDEX($AI$2:$AI$1001,MATCH(ROWS($AG$2:AG670),$AG$2:$AG$1001,0),0), INDEX($AN$1004:$BO$1004,1,MATCH(COLUMNS($AN$1006:AW1006),$AN$1006:$BO$1006,0)))),"Fix")))</f>
        <v>0</v>
      </c>
      <c r="L670" s="4">
        <f>IF(OR(INDEX($AH$2:$AH$1001,MATCH(ROWS($AG$2:AG670),$AG$2:$AG$1001,0),1)&gt;=100000,INDEX($AN$1005:$BO$1005,1,MATCH(COLUMNS($AN$1006:AX1006),$AN$1006:$BO$1006,0))&gt;=100000), " ",IF(INDEX($AN$2:$BO$1001,MATCH(ROWS($AG$2:AG670),$AG$2:$AG$1001,0),MATCH(COLUMNS($AN$1006:AX1006),$AN$1006:$BO$1006,0)), HYPERLINK("#",""), HYPERLINK(CONCATENATE("#Metadata!", ADDRESS(INDEX($AI$2:$AI$1001,MATCH(ROWS($AG$2:AG670),$AG$2:$AG$1001,0),0), INDEX($AN$1004:$BO$1004,1,MATCH(COLUMNS($AN$1006:AX1006),$AN$1006:$BO$1006,0)))),"Fix")))</f>
        <v>0</v>
      </c>
      <c r="M670" s="4">
        <f>IF(OR(INDEX($AH$2:$AH$1001,MATCH(ROWS($AG$2:AG670),$AG$2:$AG$1001,0),1)&gt;=100000,INDEX($AN$1005:$BO$1005,1,MATCH(COLUMNS($AN$1006:AY1006),$AN$1006:$BO$1006,0))&gt;=100000), " ",IF(INDEX($AN$2:$BO$1001,MATCH(ROWS($AG$2:AG670),$AG$2:$AG$1001,0),MATCH(COLUMNS($AN$1006:AY1006),$AN$1006:$BO$1006,0)), HYPERLINK("#",""), HYPERLINK(CONCATENATE("#Metadata!", ADDRESS(INDEX($AI$2:$AI$1001,MATCH(ROWS($AG$2:AG670),$AG$2:$AG$1001,0),0), INDEX($AN$1004:$BO$1004,1,MATCH(COLUMNS($AN$1006:AY1006),$AN$1006:$BO$1006,0)))),"Fix")))</f>
        <v>0</v>
      </c>
      <c r="N670" s="4">
        <f>IF(OR(INDEX($AH$2:$AH$1001,MATCH(ROWS($AG$2:AG670),$AG$2:$AG$1001,0),1)&gt;=100000,INDEX($AN$1005:$BO$1005,1,MATCH(COLUMNS($AN$1006:AZ1006),$AN$1006:$BO$1006,0))&gt;=100000), " ",IF(INDEX($AN$2:$BO$1001,MATCH(ROWS($AG$2:AG670),$AG$2:$AG$1001,0),MATCH(COLUMNS($AN$1006:AZ1006),$AN$1006:$BO$1006,0)), HYPERLINK("#",""), HYPERLINK(CONCATENATE("#Metadata!", ADDRESS(INDEX($AI$2:$AI$1001,MATCH(ROWS($AG$2:AG670),$AG$2:$AG$1001,0),0), INDEX($AN$1004:$BO$1004,1,MATCH(COLUMNS($AN$1006:AZ1006),$AN$1006:$BO$1006,0)))),"Fix")))</f>
        <v>0</v>
      </c>
      <c r="O670" s="4">
        <f>IF(OR(INDEX($AH$2:$AH$1001,MATCH(ROWS($AG$2:AG670),$AG$2:$AG$1001,0),1)&gt;=100000,INDEX($AN$1005:$BO$1005,1,MATCH(COLUMNS($AN$1006:BA1006),$AN$1006:$BO$1006,0))&gt;=100000), " ",IF(INDEX($AN$2:$BO$1001,MATCH(ROWS($AG$2:AG670),$AG$2:$AG$1001,0),MATCH(COLUMNS($AN$1006:BA1006),$AN$1006:$BO$1006,0)), HYPERLINK("#",""), HYPERLINK(CONCATENATE("#Metadata!", ADDRESS(INDEX($AI$2:$AI$1001,MATCH(ROWS($AG$2:AG670),$AG$2:$AG$1001,0),0), INDEX($AN$1004:$BO$1004,1,MATCH(COLUMNS($AN$1006:BA1006),$AN$1006:$BO$1006,0)))),"Fix")))</f>
        <v>0</v>
      </c>
      <c r="P670" s="4">
        <f>IF(OR(INDEX($AH$2:$AH$1001,MATCH(ROWS($AG$2:AG670),$AG$2:$AG$1001,0),1)&gt;=100000,INDEX($AN$1005:$BO$1005,1,MATCH(COLUMNS($AN$1006:BB1006),$AN$1006:$BO$1006,0))&gt;=100000), " ",IF(INDEX($AN$2:$BO$1001,MATCH(ROWS($AG$2:AG670),$AG$2:$AG$1001,0),MATCH(COLUMNS($AN$1006:BB1006),$AN$1006:$BO$1006,0)), HYPERLINK("#",""), HYPERLINK(CONCATENATE("#Metadata!", ADDRESS(INDEX($AI$2:$AI$1001,MATCH(ROWS($AG$2:AG670),$AG$2:$AG$1001,0),0), INDEX($AN$1004:$BO$1004,1,MATCH(COLUMNS($AN$1006:BB1006),$AN$1006:$BO$1006,0)))),"Fix")))</f>
        <v>0</v>
      </c>
      <c r="Q670" s="4">
        <f>IF(OR(INDEX($AH$2:$AH$1001,MATCH(ROWS($AG$2:AG670),$AG$2:$AG$1001,0),1)&gt;=100000,INDEX($AN$1005:$BO$1005,1,MATCH(COLUMNS($AN$1006:BC1006),$AN$1006:$BO$1006,0))&gt;=100000), " ",IF(INDEX($AN$2:$BO$1001,MATCH(ROWS($AG$2:AG670),$AG$2:$AG$1001,0),MATCH(COLUMNS($AN$1006:BC1006),$AN$1006:$BO$1006,0)), HYPERLINK("#",""), HYPERLINK(CONCATENATE("#Metadata!", ADDRESS(INDEX($AI$2:$AI$1001,MATCH(ROWS($AG$2:AG670),$AG$2:$AG$1001,0),0), INDEX($AN$1004:$BO$1004,1,MATCH(COLUMNS($AN$1006:BC1006),$AN$1006:$BO$1006,0)))),"Fix")))</f>
        <v>0</v>
      </c>
      <c r="R670" s="4">
        <f>IF(OR(INDEX($AH$2:$AH$1001,MATCH(ROWS($AG$2:AG670),$AG$2:$AG$1001,0),1)&gt;=100000,INDEX($AN$1005:$BO$1005,1,MATCH(COLUMNS($AN$1006:BD1006),$AN$1006:$BO$1006,0))&gt;=100000), " ",IF(INDEX($AN$2:$BO$1001,MATCH(ROWS($AG$2:AG670),$AG$2:$AG$1001,0),MATCH(COLUMNS($AN$1006:BD1006),$AN$1006:$BO$1006,0)), HYPERLINK("#",""), HYPERLINK(CONCATENATE("#Metadata!", ADDRESS(INDEX($AI$2:$AI$1001,MATCH(ROWS($AG$2:AG670),$AG$2:$AG$1001,0),0), INDEX($AN$1004:$BO$1004,1,MATCH(COLUMNS($AN$1006:BD1006),$AN$1006:$BO$1006,0)))),"Fix")))</f>
        <v>0</v>
      </c>
      <c r="S670" s="4">
        <f>IF(OR(INDEX($AH$2:$AH$1001,MATCH(ROWS($AG$2:AG670),$AG$2:$AG$1001,0),1)&gt;=100000,INDEX($AN$1005:$BO$1005,1,MATCH(COLUMNS($AN$1006:BE1006),$AN$1006:$BO$1006,0))&gt;=100000), " ",IF(INDEX($AN$2:$BO$1001,MATCH(ROWS($AG$2:AG670),$AG$2:$AG$1001,0),MATCH(COLUMNS($AN$1006:BE1006),$AN$1006:$BO$1006,0)), HYPERLINK("#",""), HYPERLINK(CONCATENATE("#Metadata!", ADDRESS(INDEX($AI$2:$AI$1001,MATCH(ROWS($AG$2:AG670),$AG$2:$AG$1001,0),0), INDEX($AN$1004:$BO$1004,1,MATCH(COLUMNS($AN$1006:BE1006),$AN$1006:$BO$1006,0)))),"Fix")))</f>
        <v>0</v>
      </c>
      <c r="T670" s="4">
        <f>IF(OR(INDEX($AH$2:$AH$1001,MATCH(ROWS($AG$2:AG670),$AG$2:$AG$1001,0),1)&gt;=100000,INDEX($AN$1005:$BO$1005,1,MATCH(COLUMNS($AN$1006:BF1006),$AN$1006:$BO$1006,0))&gt;=100000), " ",IF(INDEX($AN$2:$BO$1001,MATCH(ROWS($AG$2:AG670),$AG$2:$AG$1001,0),MATCH(COLUMNS($AN$1006:BF1006),$AN$1006:$BO$1006,0)), HYPERLINK("#",""), HYPERLINK(CONCATENATE("#Metadata!", ADDRESS(INDEX($AI$2:$AI$1001,MATCH(ROWS($AG$2:AG670),$AG$2:$AG$1001,0),0), INDEX($AN$1004:$BO$1004,1,MATCH(COLUMNS($AN$1006:BF1006),$AN$1006:$BO$1006,0)))),"Fix")))</f>
        <v>0</v>
      </c>
      <c r="U670" s="4">
        <f>IF(OR(INDEX($AH$2:$AH$1001,MATCH(ROWS($AG$2:AG670),$AG$2:$AG$1001,0),1)&gt;=100000,INDEX($AN$1005:$BO$1005,1,MATCH(COLUMNS($AN$1006:BG1006),$AN$1006:$BO$1006,0))&gt;=100000), " ",IF(INDEX($AN$2:$BO$1001,MATCH(ROWS($AG$2:AG670),$AG$2:$AG$1001,0),MATCH(COLUMNS($AN$1006:BG1006),$AN$1006:$BO$1006,0)), HYPERLINK("#",""), HYPERLINK(CONCATENATE("#Metadata!", ADDRESS(INDEX($AI$2:$AI$1001,MATCH(ROWS($AG$2:AG670),$AG$2:$AG$1001,0),0), INDEX($AN$1004:$BO$1004,1,MATCH(COLUMNS($AN$1006:BG1006),$AN$1006:$BO$1006,0)))),"Fix")))</f>
        <v>0</v>
      </c>
      <c r="V670" s="4">
        <f>IF(OR(INDEX($AH$2:$AH$1001,MATCH(ROWS($AG$2:AG670),$AG$2:$AG$1001,0),1)&gt;=100000,INDEX($AN$1005:$BO$1005,1,MATCH(COLUMNS($AN$1006:BH1006),$AN$1006:$BO$1006,0))&gt;=100000), " ",IF(INDEX($AN$2:$BO$1001,MATCH(ROWS($AG$2:AG670),$AG$2:$AG$1001,0),MATCH(COLUMNS($AN$1006:BH1006),$AN$1006:$BO$1006,0)), HYPERLINK("#",""), HYPERLINK(CONCATENATE("#Metadata!", ADDRESS(INDEX($AI$2:$AI$1001,MATCH(ROWS($AG$2:AG670),$AG$2:$AG$1001,0),0), INDEX($AN$1004:$BO$1004,1,MATCH(COLUMNS($AN$1006:BH1006),$AN$1006:$BO$1006,0)))),"Fix")))</f>
        <v>0</v>
      </c>
      <c r="W670" s="4">
        <f>IF(OR(INDEX($AH$2:$AH$1001,MATCH(ROWS($AG$2:AG670),$AG$2:$AG$1001,0),1)&gt;=100000,INDEX($AN$1005:$BO$1005,1,MATCH(COLUMNS($AN$1006:BI1006),$AN$1006:$BO$1006,0))&gt;=100000), " ",IF(INDEX($AN$2:$BO$1001,MATCH(ROWS($AG$2:AG670),$AG$2:$AG$1001,0),MATCH(COLUMNS($AN$1006:BI1006),$AN$1006:$BO$1006,0)), HYPERLINK("#",""), HYPERLINK(CONCATENATE("#Metadata!", ADDRESS(INDEX($AI$2:$AI$1001,MATCH(ROWS($AG$2:AG670),$AG$2:$AG$1001,0),0), INDEX($AN$1004:$BO$1004,1,MATCH(COLUMNS($AN$1006:BI1006),$AN$1006:$BO$1006,0)))),"Fix")))</f>
        <v>0</v>
      </c>
      <c r="X670" s="4">
        <f>IF(OR(INDEX($AH$2:$AH$1001,MATCH(ROWS($AG$2:AG670),$AG$2:$AG$1001,0),1)&gt;=100000,INDEX($AN$1005:$BO$1005,1,MATCH(COLUMNS($AN$1006:BJ1006),$AN$1006:$BO$1006,0))&gt;=100000), " ",IF(INDEX($AN$2:$BO$1001,MATCH(ROWS($AG$2:AG670),$AG$2:$AG$1001,0),MATCH(COLUMNS($AN$1006:BJ1006),$AN$1006:$BO$1006,0)), HYPERLINK("#",""), HYPERLINK(CONCATENATE("#Metadata!", ADDRESS(INDEX($AI$2:$AI$1001,MATCH(ROWS($AG$2:AG670),$AG$2:$AG$1001,0),0), INDEX($AN$1004:$BO$1004,1,MATCH(COLUMNS($AN$1006:BJ1006),$AN$1006:$BO$1006,0)))),"Fix")))</f>
        <v>0</v>
      </c>
      <c r="Y670" s="4">
        <f>IF(OR(INDEX($AH$2:$AH$1001,MATCH(ROWS($AG$2:AG670),$AG$2:$AG$1001,0),1)&gt;=100000,INDEX($AN$1005:$BO$1005,1,MATCH(COLUMNS($AN$1006:BK1006),$AN$1006:$BO$1006,0))&gt;=100000), " ",IF(INDEX($AN$2:$BO$1001,MATCH(ROWS($AG$2:AG670),$AG$2:$AG$1001,0),MATCH(COLUMNS($AN$1006:BK1006),$AN$1006:$BO$1006,0)), HYPERLINK("#",""), HYPERLINK(CONCATENATE("#Metadata!", ADDRESS(INDEX($AI$2:$AI$1001,MATCH(ROWS($AG$2:AG670),$AG$2:$AG$1001,0),0), INDEX($AN$1004:$BO$1004,1,MATCH(COLUMNS($AN$1006:BK1006),$AN$1006:$BO$1006,0)))),"Fix")))</f>
        <v>0</v>
      </c>
      <c r="Z670" s="4">
        <f>IF(OR(INDEX($AH$2:$AH$1001,MATCH(ROWS($AG$2:AG670),$AG$2:$AG$1001,0),1)&gt;=100000,INDEX($AN$1005:$BO$1005,1,MATCH(COLUMNS($AN$1006:BL1006),$AN$1006:$BO$1006,0))&gt;=100000), " ",IF(INDEX($AN$2:$BO$1001,MATCH(ROWS($AG$2:AG670),$AG$2:$AG$1001,0),MATCH(COLUMNS($AN$1006:BL1006),$AN$1006:$BO$1006,0)), HYPERLINK("#",""), HYPERLINK(CONCATENATE("#Metadata!", ADDRESS(INDEX($AI$2:$AI$1001,MATCH(ROWS($AG$2:AG670),$AG$2:$AG$1001,0),0), INDEX($AN$1004:$BO$1004,1,MATCH(COLUMNS($AN$1006:BL1006),$AN$1006:$BO$1006,0)))),"Fix")))</f>
        <v>0</v>
      </c>
      <c r="AA670" s="4">
        <f>IF(OR(INDEX($AH$2:$AH$1001,MATCH(ROWS($AG$2:AG670),$AG$2:$AG$1001,0),1)&gt;=100000,INDEX($AN$1005:$BO$1005,1,MATCH(COLUMNS($AN$1006:BM1006),$AN$1006:$BO$1006,0))&gt;=100000), " ",IF(INDEX($AN$2:$BO$1001,MATCH(ROWS($AG$2:AG670),$AG$2:$AG$1001,0),MATCH(COLUMNS($AN$1006:BM1006),$AN$1006:$BO$1006,0)), HYPERLINK("#",""), HYPERLINK(CONCATENATE("#Metadata!", ADDRESS(INDEX($AI$2:$AI$1001,MATCH(ROWS($AG$2:AG670),$AG$2:$AG$1001,0),0), INDEX($AN$1004:$BO$1004,1,MATCH(COLUMNS($AN$1006:BM1006),$AN$1006:$BO$1006,0)))),"Fix")))</f>
        <v>0</v>
      </c>
      <c r="AB670" s="4">
        <f>IF(OR(INDEX($AH$2:$AH$1001,MATCH(ROWS($AG$2:AG670),$AG$2:$AG$1001,0),1)&gt;=100000,INDEX($AN$1005:$BO$1005,1,MATCH(COLUMNS($AN$1006:BN1006),$AN$1006:$BO$1006,0))&gt;=100000), " ",IF(INDEX($AN$2:$BO$1001,MATCH(ROWS($AG$2:AG670),$AG$2:$AG$1001,0),MATCH(COLUMNS($AN$1006:BN1006),$AN$1006:$BO$1006,0)), HYPERLINK("#",""), HYPERLINK(CONCATENATE("#Metadata!", ADDRESS(INDEX($AI$2:$AI$1001,MATCH(ROWS($AG$2:AG670),$AG$2:$AG$1001,0),0), INDEX($AN$1004:$BO$1004,1,MATCH(COLUMNS($AN$1006:BN1006),$AN$1006:$BO$1006,0)))),"Fix")))</f>
        <v>0</v>
      </c>
      <c r="AC670" s="4">
        <f>IF(OR(INDEX($AH$2:$AH$1001,MATCH(ROWS($AG$2:AG670),$AG$2:$AG$1001,0),1)&gt;=100000,INDEX($AN$1005:$BO$1005,1,MATCH(COLUMNS($AN$1006:BO1006),$AN$1006:$BO$1006,0))&gt;=100000), " ",IF(INDEX($AN$2:$BO$1001,MATCH(ROWS($AG$2:AG670),$AG$2:$AG$1001,0),MATCH(COLUMNS($AN$1006:BO1006),$AN$1006:$BO$1006,0)), HYPERLINK("#",""), HYPERLINK(CONCATENATE("#Metadata!", ADDRESS(INDEX($AI$2:$AI$1001,MATCH(ROWS($AG$2:AG670),$AG$2:$AG$1001,0),0), INDEX($AN$1004:$BO$1004,1,MATCH(COLUMNS($AN$1006:BO1006),$AN$1006:$BO$1006,0)))),"Fix")))</f>
        <v>0</v>
      </c>
      <c r="AG670">
        <v>0</v>
      </c>
      <c r="AH670">
        <v>0</v>
      </c>
      <c r="AI670">
        <v>0</v>
      </c>
      <c r="AJ670">
        <f>IF(AK670,TRUE,AND(AN670:BO670))</f>
        <v>0</v>
      </c>
      <c r="AK670">
        <f>COUNTBLANK(Metadata!B670:AC670)=COLUMNS(Metadata!B670:AC670)</f>
        <v>0</v>
      </c>
      <c r="AL670">
        <v>0</v>
      </c>
      <c r="AN670">
        <f>AND(IF(Metadata!B670="",FALSE,TRUE),COUNTIF(Metadata!B:B, Metadata!B670) = 1,NOT(ISERROR(SUMPRODUCT(SEARCH(MID(Metadata!B670,ROW(INDIRECT("1:"&amp;LEN(Metadata!B670))), 1),"0123456789abcdefghijklmnopqrstuvwxyzABCDEFGHIJKLMNOPQRSTUVWXYZ.")))))</f>
        <v>0</v>
      </c>
      <c r="AO670">
        <f>IF(Metadata!C670="",FALSE,TRUE)</f>
        <v>0</v>
      </c>
      <c r="AP670">
        <f>IF(Metadata!D670="",FALSE,TRUE)</f>
        <v>0</v>
      </c>
      <c r="AQ670">
        <f>OR(AND(IF(Metadata!E670="",FALSE,TRUE),OR(exact(Metadata!E670,"not collected"),exact(Metadata!E670,"not provided"),exact(Metadata!E670,"restricted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R670">
        <f>IF(Metadata!F670="",FALSE,TRUE)</f>
        <v>0</v>
      </c>
      <c r="AS670">
        <f>OR(AND(IF(Metadata!G670="",FALSE,TRUE),OR(exact(Metadata!G670,"not collected"),exact(Metadata!G670,"not provided"))),AND(IF(Metadata!G670="",FALSE,TRUE),OR(exact(Metadata!G670,"TRUE"),exact(Metadata!G670,"FALSE"))))</f>
        <v>0</v>
      </c>
      <c r="AT670">
        <f>OR(AND(IF(Metadata!H670="",FALSE,TRUE),OR(exact(Metadata!H670,"not collected"),exact(Metadata!H670,"not provided"),exact(Metadata!H670,"restricted access"))),AND(IF(Metadata!H670="",FALSE,ISNUMBER(VALUE(Metadata!H670))),Metadata!H670&gt;=-413.0))</f>
        <v>0</v>
      </c>
      <c r="AU670">
        <f>AND(IF(Metadata!I670="",FALSE,TRUE),exact(Metadata!I670,"meters"))</f>
        <v>0</v>
      </c>
      <c r="AV670">
        <f>AND(IF(Metadata!J670="",FALSE,TRUE),OR(exact(Metadata!J670,"Host-associated"),exact(Metadata!J670,"Free-living")))</f>
        <v>0</v>
      </c>
      <c r="AW670">
        <f>AND(IF(Metadata!K670="",FALSE,TRUE),OR(exact(Metadata!K670,"Animal"),exact(Metadata!K670,"Fungus"),exact(Metadata!K670,"Plant"),exact(Metadata!K670,"Saline"),exact(Metadata!K670,"Non-saline")))</f>
        <v>0</v>
      </c>
      <c r="AX670">
        <f>AND(IF(Metadata!L670="",FALSE,TRUE),OR(exact(Metadata!L670,"Plant secretion"),exact(Metadata!L670,"Plant rhizosphere"),exact(Metadata!L670,"Plant surface"),exact(Metadata!L670,"Plant corpus"),exact(Metadata!L670,"Fungus surface"),exact(Metadata!L670,"Fungus corpus"),exact(Metadata!L670,"Animal surface"),exact(Metadata!L670,"Animal proximal gut"),exact(Metadata!L670,"Animal corpus"),exact(Metadata!L670,"Animal distal gut"),exact(Metadata!L670,"Animal secretion"),exact(Metadata!L670,"Sub-surface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Y670">
        <f>IF(Metadata!M670="",FALSE,TRUE)</f>
        <v>0</v>
      </c>
      <c r="AZ670">
        <f>IF(Metadata!N670="",FALSE,TRUE)</f>
        <v>0</v>
      </c>
      <c r="BA670">
        <f>IF(Metadata!O670="",FALSE,TRUE)</f>
        <v>0</v>
      </c>
      <c r="BB670">
        <f>OR(AND(IF(Metadata!P670="",FALSE,TRUE),OR(exact(Metadata!P670,"not collected"),exact(Metadata!P670,"not provided"),exact(Metadata!P670,"restricted access"))),AND(IF(Metadata!P670="",FALSE,TRUE),OR(exact(Metadata!P670,"air"),exact(Metadata!P670,"built environment"),exact(Metadata!P670,"host-associated"),exact(Metadata!P670,"human-associated"),exact(Metadata!P670,"human-skin"),exact(Metadata!P670,"human-oral"),exact(Metadata!P670,"human-gut"),exact(Metadata!P670,"human-vaginal"),exact(Metadata!P670,"microbial mat/biofilm"),exact(Metadata!P670,"misc environment"),exact(Metadata!P670,"plant-associated"),exact(Metadata!P670,"sediment"),exact(Metadata!P670,"soil"),exact(Metadata!P670,"wastewater/sludge"),exact(Metadata!P670,"water"))))</f>
        <v>0</v>
      </c>
      <c r="BC670">
        <f>IF(Metadata!Q670="",FALSE,TRUE)</f>
        <v>0</v>
      </c>
      <c r="BD670">
        <f>IF(Metadata!R670="",FALSE,TRUE)</f>
        <v>0</v>
      </c>
      <c r="BE670">
        <f>OR(AND(IF(Metadata!S670="",FALSE,TRUE),OR(exact(Metadata!S670,"not collected"),exact(Metadata!S670,"not provided"),exact(Metadata!S670,"restricted access"))),AND(IF(Metadata!S670="",FALSE,ISNUMBER(VALUE(Metadata!S670))),Metadata!S670&gt;=-90.00,Metadata!S670&lt;=90.00))</f>
        <v>0</v>
      </c>
      <c r="BF670">
        <f>AND(IF(Metadata!T670="",FALSE,TRUE),exact(Metadata!T670,"Decimal degrees"))</f>
        <v>0</v>
      </c>
      <c r="BG670">
        <f>OR(AND(IF(Metadata!U670="",FALSE,TRUE),OR(exact(Metadata!U670,"not collected"),exact(Metadata!U670,"not provided"),exact(Metadata!U670,"restricted access"))),AND(IF(Metadata!U670="",FALSE,ISNUMBER(VALUE(Metadata!U670))),Metadata!U670&gt;=-180.00,Metadata!U670&lt;=180.00))</f>
        <v>0</v>
      </c>
      <c r="BH670">
        <f>AND(IF(Metadata!V670="",FALSE,TRUE),exact(Metadata!V670,"Decimal degrees"))</f>
        <v>0</v>
      </c>
      <c r="BI670">
        <f>IF(Metadata!W670="",FALSE,TRUE)</f>
        <v>0</v>
      </c>
      <c r="BJ670">
        <f>OR(AND(IF(Metadata!X670="",FALSE,TRUE),OR(exact(Metadata!X670,"not collected"),exact(Metadata!X670,"not provided"),exact(Metadata!X670,"restricted access"))),AND(IF(Metadata!X670="",FALSE,TRUE),OR(exact(Metadata!X670,"TRUE"),exact(Metadata!X670,"FALSE"))))</f>
        <v>0</v>
      </c>
      <c r="BK670">
        <f>AND(IF(Metadata!Y670="",FALSE,TRUE),exact(Metadata!Y670,"other"))</f>
        <v>0</v>
      </c>
      <c r="BL670">
        <f>IF(Metadata!Z670="",FALSE,TRUE)</f>
        <v>0</v>
      </c>
      <c r="BM670">
        <f>OR(AND(IF(Metadata!AA670="",FALSE,TRUE),OR(exact(Metadata!AA670,"not collected"),exact(Metadata!AA670,"not provided"))),AND(IF(Metadata!AA670="",FALSE,IF(ISERROR(INT(Metadata!AA670)),FALSE,INT(Metadata!AA670)=Metadata!AA670)),Metadata!AA670&gt;0))</f>
        <v>0</v>
      </c>
      <c r="BN670">
        <f>AND(IF(Metadata!AB670="",FALSE,TRUE),exact(Metadata!AB670,"Not applicable"))</f>
        <v>0</v>
      </c>
      <c r="BO670">
        <f>IF(Metadata!AC670="",FALSE,TRUE)</f>
        <v>0</v>
      </c>
    </row>
    <row r="671" spans="1:67">
      <c r="A671" s="5">
        <f>IF(B671=" "," ",HYPERLINK(CONCATENATE("#metadata!",ADDRESS(INDEX($AI$2:$AI$1001,MATCH(ROWS($AG$2:AG671),$AG$2:$AG$1001,0),0),1)),INDEX($AL$2:$AL$1001,MATCH(ROWS($AG$2:AG671),$AG$2:$AG$1001,0),0)))</f>
        <v>0</v>
      </c>
      <c r="B671" s="4">
        <f>IF(OR(INDEX($AH$2:$AH$1001,MATCH(ROWS($AG$2:AG671),$AG$2:$AG$1001,0),1)&gt;=100000,INDEX($AN$1005:$BO$1005,1,MATCH(COLUMNS($AN$1006:AN1006),$AN$1006:$BO$1006,0))&gt;=100000), " ",IF(INDEX($AN$2:$BO$1001,MATCH(ROWS($AG$2:AG671),$AG$2:$AG$1001,0),MATCH(COLUMNS($AN$1006:AN1006),$AN$1006:$BO$1006,0)), HYPERLINK("#",""), HYPERLINK(CONCATENATE("#Metadata!", ADDRESS(INDEX($AI$2:$AI$1001,MATCH(ROWS($AG$2:AG671),$AG$2:$AG$1001,0),0), INDEX($AN$1004:$BO$1004,1,MATCH(COLUMNS($AN$1006:AN1006),$AN$1006:$BO$1006,0)))),"Fix")))</f>
        <v>0</v>
      </c>
      <c r="C671" s="4">
        <f>IF(OR(INDEX($AH$2:$AH$1001,MATCH(ROWS($AG$2:AG671),$AG$2:$AG$1001,0),1)&gt;=100000,INDEX($AN$1005:$BO$1005,1,MATCH(COLUMNS($AN$1006:AO1006),$AN$1006:$BO$1006,0))&gt;=100000), " ",IF(INDEX($AN$2:$BO$1001,MATCH(ROWS($AG$2:AG671),$AG$2:$AG$1001,0),MATCH(COLUMNS($AN$1006:AO1006),$AN$1006:$BO$1006,0)), HYPERLINK("#",""), HYPERLINK(CONCATENATE("#Metadata!", ADDRESS(INDEX($AI$2:$AI$1001,MATCH(ROWS($AG$2:AG671),$AG$2:$AG$1001,0),0), INDEX($AN$1004:$BO$1004,1,MATCH(COLUMNS($AN$1006:AO1006),$AN$1006:$BO$1006,0)))),"Fix")))</f>
        <v>0</v>
      </c>
      <c r="D671" s="4">
        <f>IF(OR(INDEX($AH$2:$AH$1001,MATCH(ROWS($AG$2:AG671),$AG$2:$AG$1001,0),1)&gt;=100000,INDEX($AN$1005:$BO$1005,1,MATCH(COLUMNS($AN$1006:AP1006),$AN$1006:$BO$1006,0))&gt;=100000), " ",IF(INDEX($AN$2:$BO$1001,MATCH(ROWS($AG$2:AG671),$AG$2:$AG$1001,0),MATCH(COLUMNS($AN$1006:AP1006),$AN$1006:$BO$1006,0)), HYPERLINK("#",""), HYPERLINK(CONCATENATE("#Metadata!", ADDRESS(INDEX($AI$2:$AI$1001,MATCH(ROWS($AG$2:AG671),$AG$2:$AG$1001,0),0), INDEX($AN$1004:$BO$1004,1,MATCH(COLUMNS($AN$1006:AP1006),$AN$1006:$BO$1006,0)))),"Fix")))</f>
        <v>0</v>
      </c>
      <c r="E671" s="4">
        <f>IF(OR(INDEX($AH$2:$AH$1001,MATCH(ROWS($AG$2:AG671),$AG$2:$AG$1001,0),1)&gt;=100000,INDEX($AN$1005:$BO$1005,1,MATCH(COLUMNS($AN$1006:AQ1006),$AN$1006:$BO$1006,0))&gt;=100000), " ",IF(INDEX($AN$2:$BO$1001,MATCH(ROWS($AG$2:AG671),$AG$2:$AG$1001,0),MATCH(COLUMNS($AN$1006:AQ1006),$AN$1006:$BO$1006,0)), HYPERLINK("#",""), HYPERLINK(CONCATENATE("#Metadata!", ADDRESS(INDEX($AI$2:$AI$1001,MATCH(ROWS($AG$2:AG671),$AG$2:$AG$1001,0),0), INDEX($AN$1004:$BO$1004,1,MATCH(COLUMNS($AN$1006:AQ1006),$AN$1006:$BO$1006,0)))),"Fix")))</f>
        <v>0</v>
      </c>
      <c r="F671" s="4">
        <f>IF(OR(INDEX($AH$2:$AH$1001,MATCH(ROWS($AG$2:AG671),$AG$2:$AG$1001,0),1)&gt;=100000,INDEX($AN$1005:$BO$1005,1,MATCH(COLUMNS($AN$1006:AR1006),$AN$1006:$BO$1006,0))&gt;=100000), " ",IF(INDEX($AN$2:$BO$1001,MATCH(ROWS($AG$2:AG671),$AG$2:$AG$1001,0),MATCH(COLUMNS($AN$1006:AR1006),$AN$1006:$BO$1006,0)), HYPERLINK("#",""), HYPERLINK(CONCATENATE("#Metadata!", ADDRESS(INDEX($AI$2:$AI$1001,MATCH(ROWS($AG$2:AG671),$AG$2:$AG$1001,0),0), INDEX($AN$1004:$BO$1004,1,MATCH(COLUMNS($AN$1006:AR1006),$AN$1006:$BO$1006,0)))),"Fix")))</f>
        <v>0</v>
      </c>
      <c r="G671" s="4">
        <f>IF(OR(INDEX($AH$2:$AH$1001,MATCH(ROWS($AG$2:AG671),$AG$2:$AG$1001,0),1)&gt;=100000,INDEX($AN$1005:$BO$1005,1,MATCH(COLUMNS($AN$1006:AS1006),$AN$1006:$BO$1006,0))&gt;=100000), " ",IF(INDEX($AN$2:$BO$1001,MATCH(ROWS($AG$2:AG671),$AG$2:$AG$1001,0),MATCH(COLUMNS($AN$1006:AS1006),$AN$1006:$BO$1006,0)), HYPERLINK("#",""), HYPERLINK(CONCATENATE("#Metadata!", ADDRESS(INDEX($AI$2:$AI$1001,MATCH(ROWS($AG$2:AG671),$AG$2:$AG$1001,0),0), INDEX($AN$1004:$BO$1004,1,MATCH(COLUMNS($AN$1006:AS1006),$AN$1006:$BO$1006,0)))),"Fix")))</f>
        <v>0</v>
      </c>
      <c r="H671" s="4">
        <f>IF(OR(INDEX($AH$2:$AH$1001,MATCH(ROWS($AG$2:AG671),$AG$2:$AG$1001,0),1)&gt;=100000,INDEX($AN$1005:$BO$1005,1,MATCH(COLUMNS($AN$1006:AT1006),$AN$1006:$BO$1006,0))&gt;=100000), " ",IF(INDEX($AN$2:$BO$1001,MATCH(ROWS($AG$2:AG671),$AG$2:$AG$1001,0),MATCH(COLUMNS($AN$1006:AT1006),$AN$1006:$BO$1006,0)), HYPERLINK("#",""), HYPERLINK(CONCATENATE("#Metadata!", ADDRESS(INDEX($AI$2:$AI$1001,MATCH(ROWS($AG$2:AG671),$AG$2:$AG$1001,0),0), INDEX($AN$1004:$BO$1004,1,MATCH(COLUMNS($AN$1006:AT1006),$AN$1006:$BO$1006,0)))),"Fix")))</f>
        <v>0</v>
      </c>
      <c r="I671" s="4">
        <f>IF(OR(INDEX($AH$2:$AH$1001,MATCH(ROWS($AG$2:AG671),$AG$2:$AG$1001,0),1)&gt;=100000,INDEX($AN$1005:$BO$1005,1,MATCH(COLUMNS($AN$1006:AU1006),$AN$1006:$BO$1006,0))&gt;=100000), " ",IF(INDEX($AN$2:$BO$1001,MATCH(ROWS($AG$2:AG671),$AG$2:$AG$1001,0),MATCH(COLUMNS($AN$1006:AU1006),$AN$1006:$BO$1006,0)), HYPERLINK("#",""), HYPERLINK(CONCATENATE("#Metadata!", ADDRESS(INDEX($AI$2:$AI$1001,MATCH(ROWS($AG$2:AG671),$AG$2:$AG$1001,0),0), INDEX($AN$1004:$BO$1004,1,MATCH(COLUMNS($AN$1006:AU1006),$AN$1006:$BO$1006,0)))),"Fix")))</f>
        <v>0</v>
      </c>
      <c r="J671" s="4">
        <f>IF(OR(INDEX($AH$2:$AH$1001,MATCH(ROWS($AG$2:AG671),$AG$2:$AG$1001,0),1)&gt;=100000,INDEX($AN$1005:$BO$1005,1,MATCH(COLUMNS($AN$1006:AV1006),$AN$1006:$BO$1006,0))&gt;=100000), " ",IF(INDEX($AN$2:$BO$1001,MATCH(ROWS($AG$2:AG671),$AG$2:$AG$1001,0),MATCH(COLUMNS($AN$1006:AV1006),$AN$1006:$BO$1006,0)), HYPERLINK("#",""), HYPERLINK(CONCATENATE("#Metadata!", ADDRESS(INDEX($AI$2:$AI$1001,MATCH(ROWS($AG$2:AG671),$AG$2:$AG$1001,0),0), INDEX($AN$1004:$BO$1004,1,MATCH(COLUMNS($AN$1006:AV1006),$AN$1006:$BO$1006,0)))),"Fix")))</f>
        <v>0</v>
      </c>
      <c r="K671" s="4">
        <f>IF(OR(INDEX($AH$2:$AH$1001,MATCH(ROWS($AG$2:AG671),$AG$2:$AG$1001,0),1)&gt;=100000,INDEX($AN$1005:$BO$1005,1,MATCH(COLUMNS($AN$1006:AW1006),$AN$1006:$BO$1006,0))&gt;=100000), " ",IF(INDEX($AN$2:$BO$1001,MATCH(ROWS($AG$2:AG671),$AG$2:$AG$1001,0),MATCH(COLUMNS($AN$1006:AW1006),$AN$1006:$BO$1006,0)), HYPERLINK("#",""), HYPERLINK(CONCATENATE("#Metadata!", ADDRESS(INDEX($AI$2:$AI$1001,MATCH(ROWS($AG$2:AG671),$AG$2:$AG$1001,0),0), INDEX($AN$1004:$BO$1004,1,MATCH(COLUMNS($AN$1006:AW1006),$AN$1006:$BO$1006,0)))),"Fix")))</f>
        <v>0</v>
      </c>
      <c r="L671" s="4">
        <f>IF(OR(INDEX($AH$2:$AH$1001,MATCH(ROWS($AG$2:AG671),$AG$2:$AG$1001,0),1)&gt;=100000,INDEX($AN$1005:$BO$1005,1,MATCH(COLUMNS($AN$1006:AX1006),$AN$1006:$BO$1006,0))&gt;=100000), " ",IF(INDEX($AN$2:$BO$1001,MATCH(ROWS($AG$2:AG671),$AG$2:$AG$1001,0),MATCH(COLUMNS($AN$1006:AX1006),$AN$1006:$BO$1006,0)), HYPERLINK("#",""), HYPERLINK(CONCATENATE("#Metadata!", ADDRESS(INDEX($AI$2:$AI$1001,MATCH(ROWS($AG$2:AG671),$AG$2:$AG$1001,0),0), INDEX($AN$1004:$BO$1004,1,MATCH(COLUMNS($AN$1006:AX1006),$AN$1006:$BO$1006,0)))),"Fix")))</f>
        <v>0</v>
      </c>
      <c r="M671" s="4">
        <f>IF(OR(INDEX($AH$2:$AH$1001,MATCH(ROWS($AG$2:AG671),$AG$2:$AG$1001,0),1)&gt;=100000,INDEX($AN$1005:$BO$1005,1,MATCH(COLUMNS($AN$1006:AY1006),$AN$1006:$BO$1006,0))&gt;=100000), " ",IF(INDEX($AN$2:$BO$1001,MATCH(ROWS($AG$2:AG671),$AG$2:$AG$1001,0),MATCH(COLUMNS($AN$1006:AY1006),$AN$1006:$BO$1006,0)), HYPERLINK("#",""), HYPERLINK(CONCATENATE("#Metadata!", ADDRESS(INDEX($AI$2:$AI$1001,MATCH(ROWS($AG$2:AG671),$AG$2:$AG$1001,0),0), INDEX($AN$1004:$BO$1004,1,MATCH(COLUMNS($AN$1006:AY1006),$AN$1006:$BO$1006,0)))),"Fix")))</f>
        <v>0</v>
      </c>
      <c r="N671" s="4">
        <f>IF(OR(INDEX($AH$2:$AH$1001,MATCH(ROWS($AG$2:AG671),$AG$2:$AG$1001,0),1)&gt;=100000,INDEX($AN$1005:$BO$1005,1,MATCH(COLUMNS($AN$1006:AZ1006),$AN$1006:$BO$1006,0))&gt;=100000), " ",IF(INDEX($AN$2:$BO$1001,MATCH(ROWS($AG$2:AG671),$AG$2:$AG$1001,0),MATCH(COLUMNS($AN$1006:AZ1006),$AN$1006:$BO$1006,0)), HYPERLINK("#",""), HYPERLINK(CONCATENATE("#Metadata!", ADDRESS(INDEX($AI$2:$AI$1001,MATCH(ROWS($AG$2:AG671),$AG$2:$AG$1001,0),0), INDEX($AN$1004:$BO$1004,1,MATCH(COLUMNS($AN$1006:AZ1006),$AN$1006:$BO$1006,0)))),"Fix")))</f>
        <v>0</v>
      </c>
      <c r="O671" s="4">
        <f>IF(OR(INDEX($AH$2:$AH$1001,MATCH(ROWS($AG$2:AG671),$AG$2:$AG$1001,0),1)&gt;=100000,INDEX($AN$1005:$BO$1005,1,MATCH(COLUMNS($AN$1006:BA1006),$AN$1006:$BO$1006,0))&gt;=100000), " ",IF(INDEX($AN$2:$BO$1001,MATCH(ROWS($AG$2:AG671),$AG$2:$AG$1001,0),MATCH(COLUMNS($AN$1006:BA1006),$AN$1006:$BO$1006,0)), HYPERLINK("#",""), HYPERLINK(CONCATENATE("#Metadata!", ADDRESS(INDEX($AI$2:$AI$1001,MATCH(ROWS($AG$2:AG671),$AG$2:$AG$1001,0),0), INDEX($AN$1004:$BO$1004,1,MATCH(COLUMNS($AN$1006:BA1006),$AN$1006:$BO$1006,0)))),"Fix")))</f>
        <v>0</v>
      </c>
      <c r="P671" s="4">
        <f>IF(OR(INDEX($AH$2:$AH$1001,MATCH(ROWS($AG$2:AG671),$AG$2:$AG$1001,0),1)&gt;=100000,INDEX($AN$1005:$BO$1005,1,MATCH(COLUMNS($AN$1006:BB1006),$AN$1006:$BO$1006,0))&gt;=100000), " ",IF(INDEX($AN$2:$BO$1001,MATCH(ROWS($AG$2:AG671),$AG$2:$AG$1001,0),MATCH(COLUMNS($AN$1006:BB1006),$AN$1006:$BO$1006,0)), HYPERLINK("#",""), HYPERLINK(CONCATENATE("#Metadata!", ADDRESS(INDEX($AI$2:$AI$1001,MATCH(ROWS($AG$2:AG671),$AG$2:$AG$1001,0),0), INDEX($AN$1004:$BO$1004,1,MATCH(COLUMNS($AN$1006:BB1006),$AN$1006:$BO$1006,0)))),"Fix")))</f>
        <v>0</v>
      </c>
      <c r="Q671" s="4">
        <f>IF(OR(INDEX($AH$2:$AH$1001,MATCH(ROWS($AG$2:AG671),$AG$2:$AG$1001,0),1)&gt;=100000,INDEX($AN$1005:$BO$1005,1,MATCH(COLUMNS($AN$1006:BC1006),$AN$1006:$BO$1006,0))&gt;=100000), " ",IF(INDEX($AN$2:$BO$1001,MATCH(ROWS($AG$2:AG671),$AG$2:$AG$1001,0),MATCH(COLUMNS($AN$1006:BC1006),$AN$1006:$BO$1006,0)), HYPERLINK("#",""), HYPERLINK(CONCATENATE("#Metadata!", ADDRESS(INDEX($AI$2:$AI$1001,MATCH(ROWS($AG$2:AG671),$AG$2:$AG$1001,0),0), INDEX($AN$1004:$BO$1004,1,MATCH(COLUMNS($AN$1006:BC1006),$AN$1006:$BO$1006,0)))),"Fix")))</f>
        <v>0</v>
      </c>
      <c r="R671" s="4">
        <f>IF(OR(INDEX($AH$2:$AH$1001,MATCH(ROWS($AG$2:AG671),$AG$2:$AG$1001,0),1)&gt;=100000,INDEX($AN$1005:$BO$1005,1,MATCH(COLUMNS($AN$1006:BD1006),$AN$1006:$BO$1006,0))&gt;=100000), " ",IF(INDEX($AN$2:$BO$1001,MATCH(ROWS($AG$2:AG671),$AG$2:$AG$1001,0),MATCH(COLUMNS($AN$1006:BD1006),$AN$1006:$BO$1006,0)), HYPERLINK("#",""), HYPERLINK(CONCATENATE("#Metadata!", ADDRESS(INDEX($AI$2:$AI$1001,MATCH(ROWS($AG$2:AG671),$AG$2:$AG$1001,0),0), INDEX($AN$1004:$BO$1004,1,MATCH(COLUMNS($AN$1006:BD1006),$AN$1006:$BO$1006,0)))),"Fix")))</f>
        <v>0</v>
      </c>
      <c r="S671" s="4">
        <f>IF(OR(INDEX($AH$2:$AH$1001,MATCH(ROWS($AG$2:AG671),$AG$2:$AG$1001,0),1)&gt;=100000,INDEX($AN$1005:$BO$1005,1,MATCH(COLUMNS($AN$1006:BE1006),$AN$1006:$BO$1006,0))&gt;=100000), " ",IF(INDEX($AN$2:$BO$1001,MATCH(ROWS($AG$2:AG671),$AG$2:$AG$1001,0),MATCH(COLUMNS($AN$1006:BE1006),$AN$1006:$BO$1006,0)), HYPERLINK("#",""), HYPERLINK(CONCATENATE("#Metadata!", ADDRESS(INDEX($AI$2:$AI$1001,MATCH(ROWS($AG$2:AG671),$AG$2:$AG$1001,0),0), INDEX($AN$1004:$BO$1004,1,MATCH(COLUMNS($AN$1006:BE1006),$AN$1006:$BO$1006,0)))),"Fix")))</f>
        <v>0</v>
      </c>
      <c r="T671" s="4">
        <f>IF(OR(INDEX($AH$2:$AH$1001,MATCH(ROWS($AG$2:AG671),$AG$2:$AG$1001,0),1)&gt;=100000,INDEX($AN$1005:$BO$1005,1,MATCH(COLUMNS($AN$1006:BF1006),$AN$1006:$BO$1006,0))&gt;=100000), " ",IF(INDEX($AN$2:$BO$1001,MATCH(ROWS($AG$2:AG671),$AG$2:$AG$1001,0),MATCH(COLUMNS($AN$1006:BF1006),$AN$1006:$BO$1006,0)), HYPERLINK("#",""), HYPERLINK(CONCATENATE("#Metadata!", ADDRESS(INDEX($AI$2:$AI$1001,MATCH(ROWS($AG$2:AG671),$AG$2:$AG$1001,0),0), INDEX($AN$1004:$BO$1004,1,MATCH(COLUMNS($AN$1006:BF1006),$AN$1006:$BO$1006,0)))),"Fix")))</f>
        <v>0</v>
      </c>
      <c r="U671" s="4">
        <f>IF(OR(INDEX($AH$2:$AH$1001,MATCH(ROWS($AG$2:AG671),$AG$2:$AG$1001,0),1)&gt;=100000,INDEX($AN$1005:$BO$1005,1,MATCH(COLUMNS($AN$1006:BG1006),$AN$1006:$BO$1006,0))&gt;=100000), " ",IF(INDEX($AN$2:$BO$1001,MATCH(ROWS($AG$2:AG671),$AG$2:$AG$1001,0),MATCH(COLUMNS($AN$1006:BG1006),$AN$1006:$BO$1006,0)), HYPERLINK("#",""), HYPERLINK(CONCATENATE("#Metadata!", ADDRESS(INDEX($AI$2:$AI$1001,MATCH(ROWS($AG$2:AG671),$AG$2:$AG$1001,0),0), INDEX($AN$1004:$BO$1004,1,MATCH(COLUMNS($AN$1006:BG1006),$AN$1006:$BO$1006,0)))),"Fix")))</f>
        <v>0</v>
      </c>
      <c r="V671" s="4">
        <f>IF(OR(INDEX($AH$2:$AH$1001,MATCH(ROWS($AG$2:AG671),$AG$2:$AG$1001,0),1)&gt;=100000,INDEX($AN$1005:$BO$1005,1,MATCH(COLUMNS($AN$1006:BH1006),$AN$1006:$BO$1006,0))&gt;=100000), " ",IF(INDEX($AN$2:$BO$1001,MATCH(ROWS($AG$2:AG671),$AG$2:$AG$1001,0),MATCH(COLUMNS($AN$1006:BH1006),$AN$1006:$BO$1006,0)), HYPERLINK("#",""), HYPERLINK(CONCATENATE("#Metadata!", ADDRESS(INDEX($AI$2:$AI$1001,MATCH(ROWS($AG$2:AG671),$AG$2:$AG$1001,0),0), INDEX($AN$1004:$BO$1004,1,MATCH(COLUMNS($AN$1006:BH1006),$AN$1006:$BO$1006,0)))),"Fix")))</f>
        <v>0</v>
      </c>
      <c r="W671" s="4">
        <f>IF(OR(INDEX($AH$2:$AH$1001,MATCH(ROWS($AG$2:AG671),$AG$2:$AG$1001,0),1)&gt;=100000,INDEX($AN$1005:$BO$1005,1,MATCH(COLUMNS($AN$1006:BI1006),$AN$1006:$BO$1006,0))&gt;=100000), " ",IF(INDEX($AN$2:$BO$1001,MATCH(ROWS($AG$2:AG671),$AG$2:$AG$1001,0),MATCH(COLUMNS($AN$1006:BI1006),$AN$1006:$BO$1006,0)), HYPERLINK("#",""), HYPERLINK(CONCATENATE("#Metadata!", ADDRESS(INDEX($AI$2:$AI$1001,MATCH(ROWS($AG$2:AG671),$AG$2:$AG$1001,0),0), INDEX($AN$1004:$BO$1004,1,MATCH(COLUMNS($AN$1006:BI1006),$AN$1006:$BO$1006,0)))),"Fix")))</f>
        <v>0</v>
      </c>
      <c r="X671" s="4">
        <f>IF(OR(INDEX($AH$2:$AH$1001,MATCH(ROWS($AG$2:AG671),$AG$2:$AG$1001,0),1)&gt;=100000,INDEX($AN$1005:$BO$1005,1,MATCH(COLUMNS($AN$1006:BJ1006),$AN$1006:$BO$1006,0))&gt;=100000), " ",IF(INDEX($AN$2:$BO$1001,MATCH(ROWS($AG$2:AG671),$AG$2:$AG$1001,0),MATCH(COLUMNS($AN$1006:BJ1006),$AN$1006:$BO$1006,0)), HYPERLINK("#",""), HYPERLINK(CONCATENATE("#Metadata!", ADDRESS(INDEX($AI$2:$AI$1001,MATCH(ROWS($AG$2:AG671),$AG$2:$AG$1001,0),0), INDEX($AN$1004:$BO$1004,1,MATCH(COLUMNS($AN$1006:BJ1006),$AN$1006:$BO$1006,0)))),"Fix")))</f>
        <v>0</v>
      </c>
      <c r="Y671" s="4">
        <f>IF(OR(INDEX($AH$2:$AH$1001,MATCH(ROWS($AG$2:AG671),$AG$2:$AG$1001,0),1)&gt;=100000,INDEX($AN$1005:$BO$1005,1,MATCH(COLUMNS($AN$1006:BK1006),$AN$1006:$BO$1006,0))&gt;=100000), " ",IF(INDEX($AN$2:$BO$1001,MATCH(ROWS($AG$2:AG671),$AG$2:$AG$1001,0),MATCH(COLUMNS($AN$1006:BK1006),$AN$1006:$BO$1006,0)), HYPERLINK("#",""), HYPERLINK(CONCATENATE("#Metadata!", ADDRESS(INDEX($AI$2:$AI$1001,MATCH(ROWS($AG$2:AG671),$AG$2:$AG$1001,0),0), INDEX($AN$1004:$BO$1004,1,MATCH(COLUMNS($AN$1006:BK1006),$AN$1006:$BO$1006,0)))),"Fix")))</f>
        <v>0</v>
      </c>
      <c r="Z671" s="4">
        <f>IF(OR(INDEX($AH$2:$AH$1001,MATCH(ROWS($AG$2:AG671),$AG$2:$AG$1001,0),1)&gt;=100000,INDEX($AN$1005:$BO$1005,1,MATCH(COLUMNS($AN$1006:BL1006),$AN$1006:$BO$1006,0))&gt;=100000), " ",IF(INDEX($AN$2:$BO$1001,MATCH(ROWS($AG$2:AG671),$AG$2:$AG$1001,0),MATCH(COLUMNS($AN$1006:BL1006),$AN$1006:$BO$1006,0)), HYPERLINK("#",""), HYPERLINK(CONCATENATE("#Metadata!", ADDRESS(INDEX($AI$2:$AI$1001,MATCH(ROWS($AG$2:AG671),$AG$2:$AG$1001,0),0), INDEX($AN$1004:$BO$1004,1,MATCH(COLUMNS($AN$1006:BL1006),$AN$1006:$BO$1006,0)))),"Fix")))</f>
        <v>0</v>
      </c>
      <c r="AA671" s="4">
        <f>IF(OR(INDEX($AH$2:$AH$1001,MATCH(ROWS($AG$2:AG671),$AG$2:$AG$1001,0),1)&gt;=100000,INDEX($AN$1005:$BO$1005,1,MATCH(COLUMNS($AN$1006:BM1006),$AN$1006:$BO$1006,0))&gt;=100000), " ",IF(INDEX($AN$2:$BO$1001,MATCH(ROWS($AG$2:AG671),$AG$2:$AG$1001,0),MATCH(COLUMNS($AN$1006:BM1006),$AN$1006:$BO$1006,0)), HYPERLINK("#",""), HYPERLINK(CONCATENATE("#Metadata!", ADDRESS(INDEX($AI$2:$AI$1001,MATCH(ROWS($AG$2:AG671),$AG$2:$AG$1001,0),0), INDEX($AN$1004:$BO$1004,1,MATCH(COLUMNS($AN$1006:BM1006),$AN$1006:$BO$1006,0)))),"Fix")))</f>
        <v>0</v>
      </c>
      <c r="AB671" s="4">
        <f>IF(OR(INDEX($AH$2:$AH$1001,MATCH(ROWS($AG$2:AG671),$AG$2:$AG$1001,0),1)&gt;=100000,INDEX($AN$1005:$BO$1005,1,MATCH(COLUMNS($AN$1006:BN1006),$AN$1006:$BO$1006,0))&gt;=100000), " ",IF(INDEX($AN$2:$BO$1001,MATCH(ROWS($AG$2:AG671),$AG$2:$AG$1001,0),MATCH(COLUMNS($AN$1006:BN1006),$AN$1006:$BO$1006,0)), HYPERLINK("#",""), HYPERLINK(CONCATENATE("#Metadata!", ADDRESS(INDEX($AI$2:$AI$1001,MATCH(ROWS($AG$2:AG671),$AG$2:$AG$1001,0),0), INDEX($AN$1004:$BO$1004,1,MATCH(COLUMNS($AN$1006:BN1006),$AN$1006:$BO$1006,0)))),"Fix")))</f>
        <v>0</v>
      </c>
      <c r="AC671" s="4">
        <f>IF(OR(INDEX($AH$2:$AH$1001,MATCH(ROWS($AG$2:AG671),$AG$2:$AG$1001,0),1)&gt;=100000,INDEX($AN$1005:$BO$1005,1,MATCH(COLUMNS($AN$1006:BO1006),$AN$1006:$BO$1006,0))&gt;=100000), " ",IF(INDEX($AN$2:$BO$1001,MATCH(ROWS($AG$2:AG671),$AG$2:$AG$1001,0),MATCH(COLUMNS($AN$1006:BO1006),$AN$1006:$BO$1006,0)), HYPERLINK("#",""), HYPERLINK(CONCATENATE("#Metadata!", ADDRESS(INDEX($AI$2:$AI$1001,MATCH(ROWS($AG$2:AG671),$AG$2:$AG$1001,0),0), INDEX($AN$1004:$BO$1004,1,MATCH(COLUMNS($AN$1006:BO1006),$AN$1006:$BO$1006,0)))),"Fix")))</f>
        <v>0</v>
      </c>
      <c r="AG671">
        <v>0</v>
      </c>
      <c r="AH671">
        <v>0</v>
      </c>
      <c r="AI671">
        <v>0</v>
      </c>
      <c r="AJ671">
        <f>IF(AK671,TRUE,AND(AN671:BO671))</f>
        <v>0</v>
      </c>
      <c r="AK671">
        <f>COUNTBLANK(Metadata!B671:AC671)=COLUMNS(Metadata!B671:AC671)</f>
        <v>0</v>
      </c>
      <c r="AL671">
        <v>0</v>
      </c>
      <c r="AN671">
        <f>AND(IF(Metadata!B671="",FALSE,TRUE),COUNTIF(Metadata!B:B, Metadata!B671) = 1,NOT(ISERROR(SUMPRODUCT(SEARCH(MID(Metadata!B671,ROW(INDIRECT("1:"&amp;LEN(Metadata!B671))), 1),"0123456789abcdefghijklmnopqrstuvwxyzABCDEFGHIJKLMNOPQRSTUVWXYZ.")))))</f>
        <v>0</v>
      </c>
      <c r="AO671">
        <f>IF(Metadata!C671="",FALSE,TRUE)</f>
        <v>0</v>
      </c>
      <c r="AP671">
        <f>IF(Metadata!D671="",FALSE,TRUE)</f>
        <v>0</v>
      </c>
      <c r="AQ671">
        <f>OR(AND(IF(Metadata!E671="",FALSE,TRUE),OR(exact(Metadata!E671,"not collected"),exact(Metadata!E671,"not provided"),exact(Metadata!E671,"restricted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R671">
        <f>IF(Metadata!F671="",FALSE,TRUE)</f>
        <v>0</v>
      </c>
      <c r="AS671">
        <f>OR(AND(IF(Metadata!G671="",FALSE,TRUE),OR(exact(Metadata!G671,"not collected"),exact(Metadata!G671,"not provided"))),AND(IF(Metadata!G671="",FALSE,TRUE),OR(exact(Metadata!G671,"TRUE"),exact(Metadata!G671,"FALSE"))))</f>
        <v>0</v>
      </c>
      <c r="AT671">
        <f>OR(AND(IF(Metadata!H671="",FALSE,TRUE),OR(exact(Metadata!H671,"not collected"),exact(Metadata!H671,"not provided"),exact(Metadata!H671,"restricted access"))),AND(IF(Metadata!H671="",FALSE,ISNUMBER(VALUE(Metadata!H671))),Metadata!H671&gt;=-413.0))</f>
        <v>0</v>
      </c>
      <c r="AU671">
        <f>AND(IF(Metadata!I671="",FALSE,TRUE),exact(Metadata!I671,"meters"))</f>
        <v>0</v>
      </c>
      <c r="AV671">
        <f>AND(IF(Metadata!J671="",FALSE,TRUE),OR(exact(Metadata!J671,"Host-associated"),exact(Metadata!J671,"Free-living")))</f>
        <v>0</v>
      </c>
      <c r="AW671">
        <f>AND(IF(Metadata!K671="",FALSE,TRUE),OR(exact(Metadata!K671,"Animal"),exact(Metadata!K671,"Fungus"),exact(Metadata!K671,"Plant"),exact(Metadata!K671,"Saline"),exact(Metadata!K671,"Non-saline")))</f>
        <v>0</v>
      </c>
      <c r="AX671">
        <f>AND(IF(Metadata!L671="",FALSE,TRUE),OR(exact(Metadata!L671,"Plant secretion"),exact(Metadata!L671,"Plant rhizosphere"),exact(Metadata!L671,"Plant surface"),exact(Metadata!L671,"Plant corpus"),exact(Metadata!L671,"Fungus surface"),exact(Metadata!L671,"Fungus corpus"),exact(Metadata!L671,"Animal surface"),exact(Metadata!L671,"Animal proximal gut"),exact(Metadata!L671,"Animal corpus"),exact(Metadata!L671,"Animal distal gut"),exact(Metadata!L671,"Animal secretion"),exact(Metadata!L671,"Sub-surface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Y671">
        <f>IF(Metadata!M671="",FALSE,TRUE)</f>
        <v>0</v>
      </c>
      <c r="AZ671">
        <f>IF(Metadata!N671="",FALSE,TRUE)</f>
        <v>0</v>
      </c>
      <c r="BA671">
        <f>IF(Metadata!O671="",FALSE,TRUE)</f>
        <v>0</v>
      </c>
      <c r="BB671">
        <f>OR(AND(IF(Metadata!P671="",FALSE,TRUE),OR(exact(Metadata!P671,"not collected"),exact(Metadata!P671,"not provided"),exact(Metadata!P671,"restricted access"))),AND(IF(Metadata!P671="",FALSE,TRUE),OR(exact(Metadata!P671,"air"),exact(Metadata!P671,"built environment"),exact(Metadata!P671,"host-associated"),exact(Metadata!P671,"human-associated"),exact(Metadata!P671,"human-skin"),exact(Metadata!P671,"human-oral"),exact(Metadata!P671,"human-gut"),exact(Metadata!P671,"human-vaginal"),exact(Metadata!P671,"microbial mat/biofilm"),exact(Metadata!P671,"misc environment"),exact(Metadata!P671,"plant-associated"),exact(Metadata!P671,"sediment"),exact(Metadata!P671,"soil"),exact(Metadata!P671,"wastewater/sludge"),exact(Metadata!P671,"water"))))</f>
        <v>0</v>
      </c>
      <c r="BC671">
        <f>IF(Metadata!Q671="",FALSE,TRUE)</f>
        <v>0</v>
      </c>
      <c r="BD671">
        <f>IF(Metadata!R671="",FALSE,TRUE)</f>
        <v>0</v>
      </c>
      <c r="BE671">
        <f>OR(AND(IF(Metadata!S671="",FALSE,TRUE),OR(exact(Metadata!S671,"not collected"),exact(Metadata!S671,"not provided"),exact(Metadata!S671,"restricted access"))),AND(IF(Metadata!S671="",FALSE,ISNUMBER(VALUE(Metadata!S671))),Metadata!S671&gt;=-90.00,Metadata!S671&lt;=90.00))</f>
        <v>0</v>
      </c>
      <c r="BF671">
        <f>AND(IF(Metadata!T671="",FALSE,TRUE),exact(Metadata!T671,"Decimal degrees"))</f>
        <v>0</v>
      </c>
      <c r="BG671">
        <f>OR(AND(IF(Metadata!U671="",FALSE,TRUE),OR(exact(Metadata!U671,"not collected"),exact(Metadata!U671,"not provided"),exact(Metadata!U671,"restricted access"))),AND(IF(Metadata!U671="",FALSE,ISNUMBER(VALUE(Metadata!U671))),Metadata!U671&gt;=-180.00,Metadata!U671&lt;=180.00))</f>
        <v>0</v>
      </c>
      <c r="BH671">
        <f>AND(IF(Metadata!V671="",FALSE,TRUE),exact(Metadata!V671,"Decimal degrees"))</f>
        <v>0</v>
      </c>
      <c r="BI671">
        <f>IF(Metadata!W671="",FALSE,TRUE)</f>
        <v>0</v>
      </c>
      <c r="BJ671">
        <f>OR(AND(IF(Metadata!X671="",FALSE,TRUE),OR(exact(Metadata!X671,"not collected"),exact(Metadata!X671,"not provided"),exact(Metadata!X671,"restricted access"))),AND(IF(Metadata!X671="",FALSE,TRUE),OR(exact(Metadata!X671,"TRUE"),exact(Metadata!X671,"FALSE"))))</f>
        <v>0</v>
      </c>
      <c r="BK671">
        <f>AND(IF(Metadata!Y671="",FALSE,TRUE),exact(Metadata!Y671,"other"))</f>
        <v>0</v>
      </c>
      <c r="BL671">
        <f>IF(Metadata!Z671="",FALSE,TRUE)</f>
        <v>0</v>
      </c>
      <c r="BM671">
        <f>OR(AND(IF(Metadata!AA671="",FALSE,TRUE),OR(exact(Metadata!AA671,"not collected"),exact(Metadata!AA671,"not provided"))),AND(IF(Metadata!AA671="",FALSE,IF(ISERROR(INT(Metadata!AA671)),FALSE,INT(Metadata!AA671)=Metadata!AA671)),Metadata!AA671&gt;0))</f>
        <v>0</v>
      </c>
      <c r="BN671">
        <f>AND(IF(Metadata!AB671="",FALSE,TRUE),exact(Metadata!AB671,"Not applicable"))</f>
        <v>0</v>
      </c>
      <c r="BO671">
        <f>IF(Metadata!AC671="",FALSE,TRUE)</f>
        <v>0</v>
      </c>
    </row>
    <row r="672" spans="1:67">
      <c r="A672" s="5">
        <f>IF(B672=" "," ",HYPERLINK(CONCATENATE("#metadata!",ADDRESS(INDEX($AI$2:$AI$1001,MATCH(ROWS($AG$2:AG672),$AG$2:$AG$1001,0),0),1)),INDEX($AL$2:$AL$1001,MATCH(ROWS($AG$2:AG672),$AG$2:$AG$1001,0),0)))</f>
        <v>0</v>
      </c>
      <c r="B672" s="4">
        <f>IF(OR(INDEX($AH$2:$AH$1001,MATCH(ROWS($AG$2:AG672),$AG$2:$AG$1001,0),1)&gt;=100000,INDEX($AN$1005:$BO$1005,1,MATCH(COLUMNS($AN$1006:AN1006),$AN$1006:$BO$1006,0))&gt;=100000), " ",IF(INDEX($AN$2:$BO$1001,MATCH(ROWS($AG$2:AG672),$AG$2:$AG$1001,0),MATCH(COLUMNS($AN$1006:AN1006),$AN$1006:$BO$1006,0)), HYPERLINK("#",""), HYPERLINK(CONCATENATE("#Metadata!", ADDRESS(INDEX($AI$2:$AI$1001,MATCH(ROWS($AG$2:AG672),$AG$2:$AG$1001,0),0), INDEX($AN$1004:$BO$1004,1,MATCH(COLUMNS($AN$1006:AN1006),$AN$1006:$BO$1006,0)))),"Fix")))</f>
        <v>0</v>
      </c>
      <c r="C672" s="4">
        <f>IF(OR(INDEX($AH$2:$AH$1001,MATCH(ROWS($AG$2:AG672),$AG$2:$AG$1001,0),1)&gt;=100000,INDEX($AN$1005:$BO$1005,1,MATCH(COLUMNS($AN$1006:AO1006),$AN$1006:$BO$1006,0))&gt;=100000), " ",IF(INDEX($AN$2:$BO$1001,MATCH(ROWS($AG$2:AG672),$AG$2:$AG$1001,0),MATCH(COLUMNS($AN$1006:AO1006),$AN$1006:$BO$1006,0)), HYPERLINK("#",""), HYPERLINK(CONCATENATE("#Metadata!", ADDRESS(INDEX($AI$2:$AI$1001,MATCH(ROWS($AG$2:AG672),$AG$2:$AG$1001,0),0), INDEX($AN$1004:$BO$1004,1,MATCH(COLUMNS($AN$1006:AO1006),$AN$1006:$BO$1006,0)))),"Fix")))</f>
        <v>0</v>
      </c>
      <c r="D672" s="4">
        <f>IF(OR(INDEX($AH$2:$AH$1001,MATCH(ROWS($AG$2:AG672),$AG$2:$AG$1001,0),1)&gt;=100000,INDEX($AN$1005:$BO$1005,1,MATCH(COLUMNS($AN$1006:AP1006),$AN$1006:$BO$1006,0))&gt;=100000), " ",IF(INDEX($AN$2:$BO$1001,MATCH(ROWS($AG$2:AG672),$AG$2:$AG$1001,0),MATCH(COLUMNS($AN$1006:AP1006),$AN$1006:$BO$1006,0)), HYPERLINK("#",""), HYPERLINK(CONCATENATE("#Metadata!", ADDRESS(INDEX($AI$2:$AI$1001,MATCH(ROWS($AG$2:AG672),$AG$2:$AG$1001,0),0), INDEX($AN$1004:$BO$1004,1,MATCH(COLUMNS($AN$1006:AP1006),$AN$1006:$BO$1006,0)))),"Fix")))</f>
        <v>0</v>
      </c>
      <c r="E672" s="4">
        <f>IF(OR(INDEX($AH$2:$AH$1001,MATCH(ROWS($AG$2:AG672),$AG$2:$AG$1001,0),1)&gt;=100000,INDEX($AN$1005:$BO$1005,1,MATCH(COLUMNS($AN$1006:AQ1006),$AN$1006:$BO$1006,0))&gt;=100000), " ",IF(INDEX($AN$2:$BO$1001,MATCH(ROWS($AG$2:AG672),$AG$2:$AG$1001,0),MATCH(COLUMNS($AN$1006:AQ1006),$AN$1006:$BO$1006,0)), HYPERLINK("#",""), HYPERLINK(CONCATENATE("#Metadata!", ADDRESS(INDEX($AI$2:$AI$1001,MATCH(ROWS($AG$2:AG672),$AG$2:$AG$1001,0),0), INDEX($AN$1004:$BO$1004,1,MATCH(COLUMNS($AN$1006:AQ1006),$AN$1006:$BO$1006,0)))),"Fix")))</f>
        <v>0</v>
      </c>
      <c r="F672" s="4">
        <f>IF(OR(INDEX($AH$2:$AH$1001,MATCH(ROWS($AG$2:AG672),$AG$2:$AG$1001,0),1)&gt;=100000,INDEX($AN$1005:$BO$1005,1,MATCH(COLUMNS($AN$1006:AR1006),$AN$1006:$BO$1006,0))&gt;=100000), " ",IF(INDEX($AN$2:$BO$1001,MATCH(ROWS($AG$2:AG672),$AG$2:$AG$1001,0),MATCH(COLUMNS($AN$1006:AR1006),$AN$1006:$BO$1006,0)), HYPERLINK("#",""), HYPERLINK(CONCATENATE("#Metadata!", ADDRESS(INDEX($AI$2:$AI$1001,MATCH(ROWS($AG$2:AG672),$AG$2:$AG$1001,0),0), INDEX($AN$1004:$BO$1004,1,MATCH(COLUMNS($AN$1006:AR1006),$AN$1006:$BO$1006,0)))),"Fix")))</f>
        <v>0</v>
      </c>
      <c r="G672" s="4">
        <f>IF(OR(INDEX($AH$2:$AH$1001,MATCH(ROWS($AG$2:AG672),$AG$2:$AG$1001,0),1)&gt;=100000,INDEX($AN$1005:$BO$1005,1,MATCH(COLUMNS($AN$1006:AS1006),$AN$1006:$BO$1006,0))&gt;=100000), " ",IF(INDEX($AN$2:$BO$1001,MATCH(ROWS($AG$2:AG672),$AG$2:$AG$1001,0),MATCH(COLUMNS($AN$1006:AS1006),$AN$1006:$BO$1006,0)), HYPERLINK("#",""), HYPERLINK(CONCATENATE("#Metadata!", ADDRESS(INDEX($AI$2:$AI$1001,MATCH(ROWS($AG$2:AG672),$AG$2:$AG$1001,0),0), INDEX($AN$1004:$BO$1004,1,MATCH(COLUMNS($AN$1006:AS1006),$AN$1006:$BO$1006,0)))),"Fix")))</f>
        <v>0</v>
      </c>
      <c r="H672" s="4">
        <f>IF(OR(INDEX($AH$2:$AH$1001,MATCH(ROWS($AG$2:AG672),$AG$2:$AG$1001,0),1)&gt;=100000,INDEX($AN$1005:$BO$1005,1,MATCH(COLUMNS($AN$1006:AT1006),$AN$1006:$BO$1006,0))&gt;=100000), " ",IF(INDEX($AN$2:$BO$1001,MATCH(ROWS($AG$2:AG672),$AG$2:$AG$1001,0),MATCH(COLUMNS($AN$1006:AT1006),$AN$1006:$BO$1006,0)), HYPERLINK("#",""), HYPERLINK(CONCATENATE("#Metadata!", ADDRESS(INDEX($AI$2:$AI$1001,MATCH(ROWS($AG$2:AG672),$AG$2:$AG$1001,0),0), INDEX($AN$1004:$BO$1004,1,MATCH(COLUMNS($AN$1006:AT1006),$AN$1006:$BO$1006,0)))),"Fix")))</f>
        <v>0</v>
      </c>
      <c r="I672" s="4">
        <f>IF(OR(INDEX($AH$2:$AH$1001,MATCH(ROWS($AG$2:AG672),$AG$2:$AG$1001,0),1)&gt;=100000,INDEX($AN$1005:$BO$1005,1,MATCH(COLUMNS($AN$1006:AU1006),$AN$1006:$BO$1006,0))&gt;=100000), " ",IF(INDEX($AN$2:$BO$1001,MATCH(ROWS($AG$2:AG672),$AG$2:$AG$1001,0),MATCH(COLUMNS($AN$1006:AU1006),$AN$1006:$BO$1006,0)), HYPERLINK("#",""), HYPERLINK(CONCATENATE("#Metadata!", ADDRESS(INDEX($AI$2:$AI$1001,MATCH(ROWS($AG$2:AG672),$AG$2:$AG$1001,0),0), INDEX($AN$1004:$BO$1004,1,MATCH(COLUMNS($AN$1006:AU1006),$AN$1006:$BO$1006,0)))),"Fix")))</f>
        <v>0</v>
      </c>
      <c r="J672" s="4">
        <f>IF(OR(INDEX($AH$2:$AH$1001,MATCH(ROWS($AG$2:AG672),$AG$2:$AG$1001,0),1)&gt;=100000,INDEX($AN$1005:$BO$1005,1,MATCH(COLUMNS($AN$1006:AV1006),$AN$1006:$BO$1006,0))&gt;=100000), " ",IF(INDEX($AN$2:$BO$1001,MATCH(ROWS($AG$2:AG672),$AG$2:$AG$1001,0),MATCH(COLUMNS($AN$1006:AV1006),$AN$1006:$BO$1006,0)), HYPERLINK("#",""), HYPERLINK(CONCATENATE("#Metadata!", ADDRESS(INDEX($AI$2:$AI$1001,MATCH(ROWS($AG$2:AG672),$AG$2:$AG$1001,0),0), INDEX($AN$1004:$BO$1004,1,MATCH(COLUMNS($AN$1006:AV1006),$AN$1006:$BO$1006,0)))),"Fix")))</f>
        <v>0</v>
      </c>
      <c r="K672" s="4">
        <f>IF(OR(INDEX($AH$2:$AH$1001,MATCH(ROWS($AG$2:AG672),$AG$2:$AG$1001,0),1)&gt;=100000,INDEX($AN$1005:$BO$1005,1,MATCH(COLUMNS($AN$1006:AW1006),$AN$1006:$BO$1006,0))&gt;=100000), " ",IF(INDEX($AN$2:$BO$1001,MATCH(ROWS($AG$2:AG672),$AG$2:$AG$1001,0),MATCH(COLUMNS($AN$1006:AW1006),$AN$1006:$BO$1006,0)), HYPERLINK("#",""), HYPERLINK(CONCATENATE("#Metadata!", ADDRESS(INDEX($AI$2:$AI$1001,MATCH(ROWS($AG$2:AG672),$AG$2:$AG$1001,0),0), INDEX($AN$1004:$BO$1004,1,MATCH(COLUMNS($AN$1006:AW1006),$AN$1006:$BO$1006,0)))),"Fix")))</f>
        <v>0</v>
      </c>
      <c r="L672" s="4">
        <f>IF(OR(INDEX($AH$2:$AH$1001,MATCH(ROWS($AG$2:AG672),$AG$2:$AG$1001,0),1)&gt;=100000,INDEX($AN$1005:$BO$1005,1,MATCH(COLUMNS($AN$1006:AX1006),$AN$1006:$BO$1006,0))&gt;=100000), " ",IF(INDEX($AN$2:$BO$1001,MATCH(ROWS($AG$2:AG672),$AG$2:$AG$1001,0),MATCH(COLUMNS($AN$1006:AX1006),$AN$1006:$BO$1006,0)), HYPERLINK("#",""), HYPERLINK(CONCATENATE("#Metadata!", ADDRESS(INDEX($AI$2:$AI$1001,MATCH(ROWS($AG$2:AG672),$AG$2:$AG$1001,0),0), INDEX($AN$1004:$BO$1004,1,MATCH(COLUMNS($AN$1006:AX1006),$AN$1006:$BO$1006,0)))),"Fix")))</f>
        <v>0</v>
      </c>
      <c r="M672" s="4">
        <f>IF(OR(INDEX($AH$2:$AH$1001,MATCH(ROWS($AG$2:AG672),$AG$2:$AG$1001,0),1)&gt;=100000,INDEX($AN$1005:$BO$1005,1,MATCH(COLUMNS($AN$1006:AY1006),$AN$1006:$BO$1006,0))&gt;=100000), " ",IF(INDEX($AN$2:$BO$1001,MATCH(ROWS($AG$2:AG672),$AG$2:$AG$1001,0),MATCH(COLUMNS($AN$1006:AY1006),$AN$1006:$BO$1006,0)), HYPERLINK("#",""), HYPERLINK(CONCATENATE("#Metadata!", ADDRESS(INDEX($AI$2:$AI$1001,MATCH(ROWS($AG$2:AG672),$AG$2:$AG$1001,0),0), INDEX($AN$1004:$BO$1004,1,MATCH(COLUMNS($AN$1006:AY1006),$AN$1006:$BO$1006,0)))),"Fix")))</f>
        <v>0</v>
      </c>
      <c r="N672" s="4">
        <f>IF(OR(INDEX($AH$2:$AH$1001,MATCH(ROWS($AG$2:AG672),$AG$2:$AG$1001,0),1)&gt;=100000,INDEX($AN$1005:$BO$1005,1,MATCH(COLUMNS($AN$1006:AZ1006),$AN$1006:$BO$1006,0))&gt;=100000), " ",IF(INDEX($AN$2:$BO$1001,MATCH(ROWS($AG$2:AG672),$AG$2:$AG$1001,0),MATCH(COLUMNS($AN$1006:AZ1006),$AN$1006:$BO$1006,0)), HYPERLINK("#",""), HYPERLINK(CONCATENATE("#Metadata!", ADDRESS(INDEX($AI$2:$AI$1001,MATCH(ROWS($AG$2:AG672),$AG$2:$AG$1001,0),0), INDEX($AN$1004:$BO$1004,1,MATCH(COLUMNS($AN$1006:AZ1006),$AN$1006:$BO$1006,0)))),"Fix")))</f>
        <v>0</v>
      </c>
      <c r="O672" s="4">
        <f>IF(OR(INDEX($AH$2:$AH$1001,MATCH(ROWS($AG$2:AG672),$AG$2:$AG$1001,0),1)&gt;=100000,INDEX($AN$1005:$BO$1005,1,MATCH(COLUMNS($AN$1006:BA1006),$AN$1006:$BO$1006,0))&gt;=100000), " ",IF(INDEX($AN$2:$BO$1001,MATCH(ROWS($AG$2:AG672),$AG$2:$AG$1001,0),MATCH(COLUMNS($AN$1006:BA1006),$AN$1006:$BO$1006,0)), HYPERLINK("#",""), HYPERLINK(CONCATENATE("#Metadata!", ADDRESS(INDEX($AI$2:$AI$1001,MATCH(ROWS($AG$2:AG672),$AG$2:$AG$1001,0),0), INDEX($AN$1004:$BO$1004,1,MATCH(COLUMNS($AN$1006:BA1006),$AN$1006:$BO$1006,0)))),"Fix")))</f>
        <v>0</v>
      </c>
      <c r="P672" s="4">
        <f>IF(OR(INDEX($AH$2:$AH$1001,MATCH(ROWS($AG$2:AG672),$AG$2:$AG$1001,0),1)&gt;=100000,INDEX($AN$1005:$BO$1005,1,MATCH(COLUMNS($AN$1006:BB1006),$AN$1006:$BO$1006,0))&gt;=100000), " ",IF(INDEX($AN$2:$BO$1001,MATCH(ROWS($AG$2:AG672),$AG$2:$AG$1001,0),MATCH(COLUMNS($AN$1006:BB1006),$AN$1006:$BO$1006,0)), HYPERLINK("#",""), HYPERLINK(CONCATENATE("#Metadata!", ADDRESS(INDEX($AI$2:$AI$1001,MATCH(ROWS($AG$2:AG672),$AG$2:$AG$1001,0),0), INDEX($AN$1004:$BO$1004,1,MATCH(COLUMNS($AN$1006:BB1006),$AN$1006:$BO$1006,0)))),"Fix")))</f>
        <v>0</v>
      </c>
      <c r="Q672" s="4">
        <f>IF(OR(INDEX($AH$2:$AH$1001,MATCH(ROWS($AG$2:AG672),$AG$2:$AG$1001,0),1)&gt;=100000,INDEX($AN$1005:$BO$1005,1,MATCH(COLUMNS($AN$1006:BC1006),$AN$1006:$BO$1006,0))&gt;=100000), " ",IF(INDEX($AN$2:$BO$1001,MATCH(ROWS($AG$2:AG672),$AG$2:$AG$1001,0),MATCH(COLUMNS($AN$1006:BC1006),$AN$1006:$BO$1006,0)), HYPERLINK("#",""), HYPERLINK(CONCATENATE("#Metadata!", ADDRESS(INDEX($AI$2:$AI$1001,MATCH(ROWS($AG$2:AG672),$AG$2:$AG$1001,0),0), INDEX($AN$1004:$BO$1004,1,MATCH(COLUMNS($AN$1006:BC1006),$AN$1006:$BO$1006,0)))),"Fix")))</f>
        <v>0</v>
      </c>
      <c r="R672" s="4">
        <f>IF(OR(INDEX($AH$2:$AH$1001,MATCH(ROWS($AG$2:AG672),$AG$2:$AG$1001,0),1)&gt;=100000,INDEX($AN$1005:$BO$1005,1,MATCH(COLUMNS($AN$1006:BD1006),$AN$1006:$BO$1006,0))&gt;=100000), " ",IF(INDEX($AN$2:$BO$1001,MATCH(ROWS($AG$2:AG672),$AG$2:$AG$1001,0),MATCH(COLUMNS($AN$1006:BD1006),$AN$1006:$BO$1006,0)), HYPERLINK("#",""), HYPERLINK(CONCATENATE("#Metadata!", ADDRESS(INDEX($AI$2:$AI$1001,MATCH(ROWS($AG$2:AG672),$AG$2:$AG$1001,0),0), INDEX($AN$1004:$BO$1004,1,MATCH(COLUMNS($AN$1006:BD1006),$AN$1006:$BO$1006,0)))),"Fix")))</f>
        <v>0</v>
      </c>
      <c r="S672" s="4">
        <f>IF(OR(INDEX($AH$2:$AH$1001,MATCH(ROWS($AG$2:AG672),$AG$2:$AG$1001,0),1)&gt;=100000,INDEX($AN$1005:$BO$1005,1,MATCH(COLUMNS($AN$1006:BE1006),$AN$1006:$BO$1006,0))&gt;=100000), " ",IF(INDEX($AN$2:$BO$1001,MATCH(ROWS($AG$2:AG672),$AG$2:$AG$1001,0),MATCH(COLUMNS($AN$1006:BE1006),$AN$1006:$BO$1006,0)), HYPERLINK("#",""), HYPERLINK(CONCATENATE("#Metadata!", ADDRESS(INDEX($AI$2:$AI$1001,MATCH(ROWS($AG$2:AG672),$AG$2:$AG$1001,0),0), INDEX($AN$1004:$BO$1004,1,MATCH(COLUMNS($AN$1006:BE1006),$AN$1006:$BO$1006,0)))),"Fix")))</f>
        <v>0</v>
      </c>
      <c r="T672" s="4">
        <f>IF(OR(INDEX($AH$2:$AH$1001,MATCH(ROWS($AG$2:AG672),$AG$2:$AG$1001,0),1)&gt;=100000,INDEX($AN$1005:$BO$1005,1,MATCH(COLUMNS($AN$1006:BF1006),$AN$1006:$BO$1006,0))&gt;=100000), " ",IF(INDEX($AN$2:$BO$1001,MATCH(ROWS($AG$2:AG672),$AG$2:$AG$1001,0),MATCH(COLUMNS($AN$1006:BF1006),$AN$1006:$BO$1006,0)), HYPERLINK("#",""), HYPERLINK(CONCATENATE("#Metadata!", ADDRESS(INDEX($AI$2:$AI$1001,MATCH(ROWS($AG$2:AG672),$AG$2:$AG$1001,0),0), INDEX($AN$1004:$BO$1004,1,MATCH(COLUMNS($AN$1006:BF1006),$AN$1006:$BO$1006,0)))),"Fix")))</f>
        <v>0</v>
      </c>
      <c r="U672" s="4">
        <f>IF(OR(INDEX($AH$2:$AH$1001,MATCH(ROWS($AG$2:AG672),$AG$2:$AG$1001,0),1)&gt;=100000,INDEX($AN$1005:$BO$1005,1,MATCH(COLUMNS($AN$1006:BG1006),$AN$1006:$BO$1006,0))&gt;=100000), " ",IF(INDEX($AN$2:$BO$1001,MATCH(ROWS($AG$2:AG672),$AG$2:$AG$1001,0),MATCH(COLUMNS($AN$1006:BG1006),$AN$1006:$BO$1006,0)), HYPERLINK("#",""), HYPERLINK(CONCATENATE("#Metadata!", ADDRESS(INDEX($AI$2:$AI$1001,MATCH(ROWS($AG$2:AG672),$AG$2:$AG$1001,0),0), INDEX($AN$1004:$BO$1004,1,MATCH(COLUMNS($AN$1006:BG1006),$AN$1006:$BO$1006,0)))),"Fix")))</f>
        <v>0</v>
      </c>
      <c r="V672" s="4">
        <f>IF(OR(INDEX($AH$2:$AH$1001,MATCH(ROWS($AG$2:AG672),$AG$2:$AG$1001,0),1)&gt;=100000,INDEX($AN$1005:$BO$1005,1,MATCH(COLUMNS($AN$1006:BH1006),$AN$1006:$BO$1006,0))&gt;=100000), " ",IF(INDEX($AN$2:$BO$1001,MATCH(ROWS($AG$2:AG672),$AG$2:$AG$1001,0),MATCH(COLUMNS($AN$1006:BH1006),$AN$1006:$BO$1006,0)), HYPERLINK("#",""), HYPERLINK(CONCATENATE("#Metadata!", ADDRESS(INDEX($AI$2:$AI$1001,MATCH(ROWS($AG$2:AG672),$AG$2:$AG$1001,0),0), INDEX($AN$1004:$BO$1004,1,MATCH(COLUMNS($AN$1006:BH1006),$AN$1006:$BO$1006,0)))),"Fix")))</f>
        <v>0</v>
      </c>
      <c r="W672" s="4">
        <f>IF(OR(INDEX($AH$2:$AH$1001,MATCH(ROWS($AG$2:AG672),$AG$2:$AG$1001,0),1)&gt;=100000,INDEX($AN$1005:$BO$1005,1,MATCH(COLUMNS($AN$1006:BI1006),$AN$1006:$BO$1006,0))&gt;=100000), " ",IF(INDEX($AN$2:$BO$1001,MATCH(ROWS($AG$2:AG672),$AG$2:$AG$1001,0),MATCH(COLUMNS($AN$1006:BI1006),$AN$1006:$BO$1006,0)), HYPERLINK("#",""), HYPERLINK(CONCATENATE("#Metadata!", ADDRESS(INDEX($AI$2:$AI$1001,MATCH(ROWS($AG$2:AG672),$AG$2:$AG$1001,0),0), INDEX($AN$1004:$BO$1004,1,MATCH(COLUMNS($AN$1006:BI1006),$AN$1006:$BO$1006,0)))),"Fix")))</f>
        <v>0</v>
      </c>
      <c r="X672" s="4">
        <f>IF(OR(INDEX($AH$2:$AH$1001,MATCH(ROWS($AG$2:AG672),$AG$2:$AG$1001,0),1)&gt;=100000,INDEX($AN$1005:$BO$1005,1,MATCH(COLUMNS($AN$1006:BJ1006),$AN$1006:$BO$1006,0))&gt;=100000), " ",IF(INDEX($AN$2:$BO$1001,MATCH(ROWS($AG$2:AG672),$AG$2:$AG$1001,0),MATCH(COLUMNS($AN$1006:BJ1006),$AN$1006:$BO$1006,0)), HYPERLINK("#",""), HYPERLINK(CONCATENATE("#Metadata!", ADDRESS(INDEX($AI$2:$AI$1001,MATCH(ROWS($AG$2:AG672),$AG$2:$AG$1001,0),0), INDEX($AN$1004:$BO$1004,1,MATCH(COLUMNS($AN$1006:BJ1006),$AN$1006:$BO$1006,0)))),"Fix")))</f>
        <v>0</v>
      </c>
      <c r="Y672" s="4">
        <f>IF(OR(INDEX($AH$2:$AH$1001,MATCH(ROWS($AG$2:AG672),$AG$2:$AG$1001,0),1)&gt;=100000,INDEX($AN$1005:$BO$1005,1,MATCH(COLUMNS($AN$1006:BK1006),$AN$1006:$BO$1006,0))&gt;=100000), " ",IF(INDEX($AN$2:$BO$1001,MATCH(ROWS($AG$2:AG672),$AG$2:$AG$1001,0),MATCH(COLUMNS($AN$1006:BK1006),$AN$1006:$BO$1006,0)), HYPERLINK("#",""), HYPERLINK(CONCATENATE("#Metadata!", ADDRESS(INDEX($AI$2:$AI$1001,MATCH(ROWS($AG$2:AG672),$AG$2:$AG$1001,0),0), INDEX($AN$1004:$BO$1004,1,MATCH(COLUMNS($AN$1006:BK1006),$AN$1006:$BO$1006,0)))),"Fix")))</f>
        <v>0</v>
      </c>
      <c r="Z672" s="4">
        <f>IF(OR(INDEX($AH$2:$AH$1001,MATCH(ROWS($AG$2:AG672),$AG$2:$AG$1001,0),1)&gt;=100000,INDEX($AN$1005:$BO$1005,1,MATCH(COLUMNS($AN$1006:BL1006),$AN$1006:$BO$1006,0))&gt;=100000), " ",IF(INDEX($AN$2:$BO$1001,MATCH(ROWS($AG$2:AG672),$AG$2:$AG$1001,0),MATCH(COLUMNS($AN$1006:BL1006),$AN$1006:$BO$1006,0)), HYPERLINK("#",""), HYPERLINK(CONCATENATE("#Metadata!", ADDRESS(INDEX($AI$2:$AI$1001,MATCH(ROWS($AG$2:AG672),$AG$2:$AG$1001,0),0), INDEX($AN$1004:$BO$1004,1,MATCH(COLUMNS($AN$1006:BL1006),$AN$1006:$BO$1006,0)))),"Fix")))</f>
        <v>0</v>
      </c>
      <c r="AA672" s="4">
        <f>IF(OR(INDEX($AH$2:$AH$1001,MATCH(ROWS($AG$2:AG672),$AG$2:$AG$1001,0),1)&gt;=100000,INDEX($AN$1005:$BO$1005,1,MATCH(COLUMNS($AN$1006:BM1006),$AN$1006:$BO$1006,0))&gt;=100000), " ",IF(INDEX($AN$2:$BO$1001,MATCH(ROWS($AG$2:AG672),$AG$2:$AG$1001,0),MATCH(COLUMNS($AN$1006:BM1006),$AN$1006:$BO$1006,0)), HYPERLINK("#",""), HYPERLINK(CONCATENATE("#Metadata!", ADDRESS(INDEX($AI$2:$AI$1001,MATCH(ROWS($AG$2:AG672),$AG$2:$AG$1001,0),0), INDEX($AN$1004:$BO$1004,1,MATCH(COLUMNS($AN$1006:BM1006),$AN$1006:$BO$1006,0)))),"Fix")))</f>
        <v>0</v>
      </c>
      <c r="AB672" s="4">
        <f>IF(OR(INDEX($AH$2:$AH$1001,MATCH(ROWS($AG$2:AG672),$AG$2:$AG$1001,0),1)&gt;=100000,INDEX($AN$1005:$BO$1005,1,MATCH(COLUMNS($AN$1006:BN1006),$AN$1006:$BO$1006,0))&gt;=100000), " ",IF(INDEX($AN$2:$BO$1001,MATCH(ROWS($AG$2:AG672),$AG$2:$AG$1001,0),MATCH(COLUMNS($AN$1006:BN1006),$AN$1006:$BO$1006,0)), HYPERLINK("#",""), HYPERLINK(CONCATENATE("#Metadata!", ADDRESS(INDEX($AI$2:$AI$1001,MATCH(ROWS($AG$2:AG672),$AG$2:$AG$1001,0),0), INDEX($AN$1004:$BO$1004,1,MATCH(COLUMNS($AN$1006:BN1006),$AN$1006:$BO$1006,0)))),"Fix")))</f>
        <v>0</v>
      </c>
      <c r="AC672" s="4">
        <f>IF(OR(INDEX($AH$2:$AH$1001,MATCH(ROWS($AG$2:AG672),$AG$2:$AG$1001,0),1)&gt;=100000,INDEX($AN$1005:$BO$1005,1,MATCH(COLUMNS($AN$1006:BO1006),$AN$1006:$BO$1006,0))&gt;=100000), " ",IF(INDEX($AN$2:$BO$1001,MATCH(ROWS($AG$2:AG672),$AG$2:$AG$1001,0),MATCH(COLUMNS($AN$1006:BO1006),$AN$1006:$BO$1006,0)), HYPERLINK("#",""), HYPERLINK(CONCATENATE("#Metadata!", ADDRESS(INDEX($AI$2:$AI$1001,MATCH(ROWS($AG$2:AG672),$AG$2:$AG$1001,0),0), INDEX($AN$1004:$BO$1004,1,MATCH(COLUMNS($AN$1006:BO1006),$AN$1006:$BO$1006,0)))),"Fix")))</f>
        <v>0</v>
      </c>
      <c r="AG672">
        <v>0</v>
      </c>
      <c r="AH672">
        <v>0</v>
      </c>
      <c r="AI672">
        <v>0</v>
      </c>
      <c r="AJ672">
        <f>IF(AK672,TRUE,AND(AN672:BO672))</f>
        <v>0</v>
      </c>
      <c r="AK672">
        <f>COUNTBLANK(Metadata!B672:AC672)=COLUMNS(Metadata!B672:AC672)</f>
        <v>0</v>
      </c>
      <c r="AL672">
        <v>0</v>
      </c>
      <c r="AN672">
        <f>AND(IF(Metadata!B672="",FALSE,TRUE),COUNTIF(Metadata!B:B, Metadata!B672) = 1,NOT(ISERROR(SUMPRODUCT(SEARCH(MID(Metadata!B672,ROW(INDIRECT("1:"&amp;LEN(Metadata!B672))), 1),"0123456789abcdefghijklmnopqrstuvwxyzABCDEFGHIJKLMNOPQRSTUVWXYZ.")))))</f>
        <v>0</v>
      </c>
      <c r="AO672">
        <f>IF(Metadata!C672="",FALSE,TRUE)</f>
        <v>0</v>
      </c>
      <c r="AP672">
        <f>IF(Metadata!D672="",FALSE,TRUE)</f>
        <v>0</v>
      </c>
      <c r="AQ672">
        <f>OR(AND(IF(Metadata!E672="",FALSE,TRUE),OR(exact(Metadata!E672,"not collected"),exact(Metadata!E672,"not provided"),exact(Metadata!E672,"restricted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R672">
        <f>IF(Metadata!F672="",FALSE,TRUE)</f>
        <v>0</v>
      </c>
      <c r="AS672">
        <f>OR(AND(IF(Metadata!G672="",FALSE,TRUE),OR(exact(Metadata!G672,"not collected"),exact(Metadata!G672,"not provided"))),AND(IF(Metadata!G672="",FALSE,TRUE),OR(exact(Metadata!G672,"TRUE"),exact(Metadata!G672,"FALSE"))))</f>
        <v>0</v>
      </c>
      <c r="AT672">
        <f>OR(AND(IF(Metadata!H672="",FALSE,TRUE),OR(exact(Metadata!H672,"not collected"),exact(Metadata!H672,"not provided"),exact(Metadata!H672,"restricted access"))),AND(IF(Metadata!H672="",FALSE,ISNUMBER(VALUE(Metadata!H672))),Metadata!H672&gt;=-413.0))</f>
        <v>0</v>
      </c>
      <c r="AU672">
        <f>AND(IF(Metadata!I672="",FALSE,TRUE),exact(Metadata!I672,"meters"))</f>
        <v>0</v>
      </c>
      <c r="AV672">
        <f>AND(IF(Metadata!J672="",FALSE,TRUE),OR(exact(Metadata!J672,"Host-associated"),exact(Metadata!J672,"Free-living")))</f>
        <v>0</v>
      </c>
      <c r="AW672">
        <f>AND(IF(Metadata!K672="",FALSE,TRUE),OR(exact(Metadata!K672,"Animal"),exact(Metadata!K672,"Fungus"),exact(Metadata!K672,"Plant"),exact(Metadata!K672,"Saline"),exact(Metadata!K672,"Non-saline")))</f>
        <v>0</v>
      </c>
      <c r="AX672">
        <f>AND(IF(Metadata!L672="",FALSE,TRUE),OR(exact(Metadata!L672,"Plant secretion"),exact(Metadata!L672,"Plant rhizosphere"),exact(Metadata!L672,"Plant surface"),exact(Metadata!L672,"Plant corpus"),exact(Metadata!L672,"Fungus surface"),exact(Metadata!L672,"Fungus corpus"),exact(Metadata!L672,"Animal surface"),exact(Metadata!L672,"Animal proximal gut"),exact(Metadata!L672,"Animal corpus"),exact(Metadata!L672,"Animal distal gut"),exact(Metadata!L672,"Animal secretion"),exact(Metadata!L672,"Sub-surface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Y672">
        <f>IF(Metadata!M672="",FALSE,TRUE)</f>
        <v>0</v>
      </c>
      <c r="AZ672">
        <f>IF(Metadata!N672="",FALSE,TRUE)</f>
        <v>0</v>
      </c>
      <c r="BA672">
        <f>IF(Metadata!O672="",FALSE,TRUE)</f>
        <v>0</v>
      </c>
      <c r="BB672">
        <f>OR(AND(IF(Metadata!P672="",FALSE,TRUE),OR(exact(Metadata!P672,"not collected"),exact(Metadata!P672,"not provided"),exact(Metadata!P672,"restricted access"))),AND(IF(Metadata!P672="",FALSE,TRUE),OR(exact(Metadata!P672,"air"),exact(Metadata!P672,"built environment"),exact(Metadata!P672,"host-associated"),exact(Metadata!P672,"human-associated"),exact(Metadata!P672,"human-skin"),exact(Metadata!P672,"human-oral"),exact(Metadata!P672,"human-gut"),exact(Metadata!P672,"human-vaginal"),exact(Metadata!P672,"microbial mat/biofilm"),exact(Metadata!P672,"misc environment"),exact(Metadata!P672,"plant-associated"),exact(Metadata!P672,"sediment"),exact(Metadata!P672,"soil"),exact(Metadata!P672,"wastewater/sludge"),exact(Metadata!P672,"water"))))</f>
        <v>0</v>
      </c>
      <c r="BC672">
        <f>IF(Metadata!Q672="",FALSE,TRUE)</f>
        <v>0</v>
      </c>
      <c r="BD672">
        <f>IF(Metadata!R672="",FALSE,TRUE)</f>
        <v>0</v>
      </c>
      <c r="BE672">
        <f>OR(AND(IF(Metadata!S672="",FALSE,TRUE),OR(exact(Metadata!S672,"not collected"),exact(Metadata!S672,"not provided"),exact(Metadata!S672,"restricted access"))),AND(IF(Metadata!S672="",FALSE,ISNUMBER(VALUE(Metadata!S672))),Metadata!S672&gt;=-90.00,Metadata!S672&lt;=90.00))</f>
        <v>0</v>
      </c>
      <c r="BF672">
        <f>AND(IF(Metadata!T672="",FALSE,TRUE),exact(Metadata!T672,"Decimal degrees"))</f>
        <v>0</v>
      </c>
      <c r="BG672">
        <f>OR(AND(IF(Metadata!U672="",FALSE,TRUE),OR(exact(Metadata!U672,"not collected"),exact(Metadata!U672,"not provided"),exact(Metadata!U672,"restricted access"))),AND(IF(Metadata!U672="",FALSE,ISNUMBER(VALUE(Metadata!U672))),Metadata!U672&gt;=-180.00,Metadata!U672&lt;=180.00))</f>
        <v>0</v>
      </c>
      <c r="BH672">
        <f>AND(IF(Metadata!V672="",FALSE,TRUE),exact(Metadata!V672,"Decimal degrees"))</f>
        <v>0</v>
      </c>
      <c r="BI672">
        <f>IF(Metadata!W672="",FALSE,TRUE)</f>
        <v>0</v>
      </c>
      <c r="BJ672">
        <f>OR(AND(IF(Metadata!X672="",FALSE,TRUE),OR(exact(Metadata!X672,"not collected"),exact(Metadata!X672,"not provided"),exact(Metadata!X672,"restricted access"))),AND(IF(Metadata!X672="",FALSE,TRUE),OR(exact(Metadata!X672,"TRUE"),exact(Metadata!X672,"FALSE"))))</f>
        <v>0</v>
      </c>
      <c r="BK672">
        <f>AND(IF(Metadata!Y672="",FALSE,TRUE),exact(Metadata!Y672,"other"))</f>
        <v>0</v>
      </c>
      <c r="BL672">
        <f>IF(Metadata!Z672="",FALSE,TRUE)</f>
        <v>0</v>
      </c>
      <c r="BM672">
        <f>OR(AND(IF(Metadata!AA672="",FALSE,TRUE),OR(exact(Metadata!AA672,"not collected"),exact(Metadata!AA672,"not provided"))),AND(IF(Metadata!AA672="",FALSE,IF(ISERROR(INT(Metadata!AA672)),FALSE,INT(Metadata!AA672)=Metadata!AA672)),Metadata!AA672&gt;0))</f>
        <v>0</v>
      </c>
      <c r="BN672">
        <f>AND(IF(Metadata!AB672="",FALSE,TRUE),exact(Metadata!AB672,"Not applicable"))</f>
        <v>0</v>
      </c>
      <c r="BO672">
        <f>IF(Metadata!AC672="",FALSE,TRUE)</f>
        <v>0</v>
      </c>
    </row>
    <row r="673" spans="1:67">
      <c r="A673" s="5">
        <f>IF(B673=" "," ",HYPERLINK(CONCATENATE("#metadata!",ADDRESS(INDEX($AI$2:$AI$1001,MATCH(ROWS($AG$2:AG673),$AG$2:$AG$1001,0),0),1)),INDEX($AL$2:$AL$1001,MATCH(ROWS($AG$2:AG673),$AG$2:$AG$1001,0),0)))</f>
        <v>0</v>
      </c>
      <c r="B673" s="4">
        <f>IF(OR(INDEX($AH$2:$AH$1001,MATCH(ROWS($AG$2:AG673),$AG$2:$AG$1001,0),1)&gt;=100000,INDEX($AN$1005:$BO$1005,1,MATCH(COLUMNS($AN$1006:AN1006),$AN$1006:$BO$1006,0))&gt;=100000), " ",IF(INDEX($AN$2:$BO$1001,MATCH(ROWS($AG$2:AG673),$AG$2:$AG$1001,0),MATCH(COLUMNS($AN$1006:AN1006),$AN$1006:$BO$1006,0)), HYPERLINK("#",""), HYPERLINK(CONCATENATE("#Metadata!", ADDRESS(INDEX($AI$2:$AI$1001,MATCH(ROWS($AG$2:AG673),$AG$2:$AG$1001,0),0), INDEX($AN$1004:$BO$1004,1,MATCH(COLUMNS($AN$1006:AN1006),$AN$1006:$BO$1006,0)))),"Fix")))</f>
        <v>0</v>
      </c>
      <c r="C673" s="4">
        <f>IF(OR(INDEX($AH$2:$AH$1001,MATCH(ROWS($AG$2:AG673),$AG$2:$AG$1001,0),1)&gt;=100000,INDEX($AN$1005:$BO$1005,1,MATCH(COLUMNS($AN$1006:AO1006),$AN$1006:$BO$1006,0))&gt;=100000), " ",IF(INDEX($AN$2:$BO$1001,MATCH(ROWS($AG$2:AG673),$AG$2:$AG$1001,0),MATCH(COLUMNS($AN$1006:AO1006),$AN$1006:$BO$1006,0)), HYPERLINK("#",""), HYPERLINK(CONCATENATE("#Metadata!", ADDRESS(INDEX($AI$2:$AI$1001,MATCH(ROWS($AG$2:AG673),$AG$2:$AG$1001,0),0), INDEX($AN$1004:$BO$1004,1,MATCH(COLUMNS($AN$1006:AO1006),$AN$1006:$BO$1006,0)))),"Fix")))</f>
        <v>0</v>
      </c>
      <c r="D673" s="4">
        <f>IF(OR(INDEX($AH$2:$AH$1001,MATCH(ROWS($AG$2:AG673),$AG$2:$AG$1001,0),1)&gt;=100000,INDEX($AN$1005:$BO$1005,1,MATCH(COLUMNS($AN$1006:AP1006),$AN$1006:$BO$1006,0))&gt;=100000), " ",IF(INDEX($AN$2:$BO$1001,MATCH(ROWS($AG$2:AG673),$AG$2:$AG$1001,0),MATCH(COLUMNS($AN$1006:AP1006),$AN$1006:$BO$1006,0)), HYPERLINK("#",""), HYPERLINK(CONCATENATE("#Metadata!", ADDRESS(INDEX($AI$2:$AI$1001,MATCH(ROWS($AG$2:AG673),$AG$2:$AG$1001,0),0), INDEX($AN$1004:$BO$1004,1,MATCH(COLUMNS($AN$1006:AP1006),$AN$1006:$BO$1006,0)))),"Fix")))</f>
        <v>0</v>
      </c>
      <c r="E673" s="4">
        <f>IF(OR(INDEX($AH$2:$AH$1001,MATCH(ROWS($AG$2:AG673),$AG$2:$AG$1001,0),1)&gt;=100000,INDEX($AN$1005:$BO$1005,1,MATCH(COLUMNS($AN$1006:AQ1006),$AN$1006:$BO$1006,0))&gt;=100000), " ",IF(INDEX($AN$2:$BO$1001,MATCH(ROWS($AG$2:AG673),$AG$2:$AG$1001,0),MATCH(COLUMNS($AN$1006:AQ1006),$AN$1006:$BO$1006,0)), HYPERLINK("#",""), HYPERLINK(CONCATENATE("#Metadata!", ADDRESS(INDEX($AI$2:$AI$1001,MATCH(ROWS($AG$2:AG673),$AG$2:$AG$1001,0),0), INDEX($AN$1004:$BO$1004,1,MATCH(COLUMNS($AN$1006:AQ1006),$AN$1006:$BO$1006,0)))),"Fix")))</f>
        <v>0</v>
      </c>
      <c r="F673" s="4">
        <f>IF(OR(INDEX($AH$2:$AH$1001,MATCH(ROWS($AG$2:AG673),$AG$2:$AG$1001,0),1)&gt;=100000,INDEX($AN$1005:$BO$1005,1,MATCH(COLUMNS($AN$1006:AR1006),$AN$1006:$BO$1006,0))&gt;=100000), " ",IF(INDEX($AN$2:$BO$1001,MATCH(ROWS($AG$2:AG673),$AG$2:$AG$1001,0),MATCH(COLUMNS($AN$1006:AR1006),$AN$1006:$BO$1006,0)), HYPERLINK("#",""), HYPERLINK(CONCATENATE("#Metadata!", ADDRESS(INDEX($AI$2:$AI$1001,MATCH(ROWS($AG$2:AG673),$AG$2:$AG$1001,0),0), INDEX($AN$1004:$BO$1004,1,MATCH(COLUMNS($AN$1006:AR1006),$AN$1006:$BO$1006,0)))),"Fix")))</f>
        <v>0</v>
      </c>
      <c r="G673" s="4">
        <f>IF(OR(INDEX($AH$2:$AH$1001,MATCH(ROWS($AG$2:AG673),$AG$2:$AG$1001,0),1)&gt;=100000,INDEX($AN$1005:$BO$1005,1,MATCH(COLUMNS($AN$1006:AS1006),$AN$1006:$BO$1006,0))&gt;=100000), " ",IF(INDEX($AN$2:$BO$1001,MATCH(ROWS($AG$2:AG673),$AG$2:$AG$1001,0),MATCH(COLUMNS($AN$1006:AS1006),$AN$1006:$BO$1006,0)), HYPERLINK("#",""), HYPERLINK(CONCATENATE("#Metadata!", ADDRESS(INDEX($AI$2:$AI$1001,MATCH(ROWS($AG$2:AG673),$AG$2:$AG$1001,0),0), INDEX($AN$1004:$BO$1004,1,MATCH(COLUMNS($AN$1006:AS1006),$AN$1006:$BO$1006,0)))),"Fix")))</f>
        <v>0</v>
      </c>
      <c r="H673" s="4">
        <f>IF(OR(INDEX($AH$2:$AH$1001,MATCH(ROWS($AG$2:AG673),$AG$2:$AG$1001,0),1)&gt;=100000,INDEX($AN$1005:$BO$1005,1,MATCH(COLUMNS($AN$1006:AT1006),$AN$1006:$BO$1006,0))&gt;=100000), " ",IF(INDEX($AN$2:$BO$1001,MATCH(ROWS($AG$2:AG673),$AG$2:$AG$1001,0),MATCH(COLUMNS($AN$1006:AT1006),$AN$1006:$BO$1006,0)), HYPERLINK("#",""), HYPERLINK(CONCATENATE("#Metadata!", ADDRESS(INDEX($AI$2:$AI$1001,MATCH(ROWS($AG$2:AG673),$AG$2:$AG$1001,0),0), INDEX($AN$1004:$BO$1004,1,MATCH(COLUMNS($AN$1006:AT1006),$AN$1006:$BO$1006,0)))),"Fix")))</f>
        <v>0</v>
      </c>
      <c r="I673" s="4">
        <f>IF(OR(INDEX($AH$2:$AH$1001,MATCH(ROWS($AG$2:AG673),$AG$2:$AG$1001,0),1)&gt;=100000,INDEX($AN$1005:$BO$1005,1,MATCH(COLUMNS($AN$1006:AU1006),$AN$1006:$BO$1006,0))&gt;=100000), " ",IF(INDEX($AN$2:$BO$1001,MATCH(ROWS($AG$2:AG673),$AG$2:$AG$1001,0),MATCH(COLUMNS($AN$1006:AU1006),$AN$1006:$BO$1006,0)), HYPERLINK("#",""), HYPERLINK(CONCATENATE("#Metadata!", ADDRESS(INDEX($AI$2:$AI$1001,MATCH(ROWS($AG$2:AG673),$AG$2:$AG$1001,0),0), INDEX($AN$1004:$BO$1004,1,MATCH(COLUMNS($AN$1006:AU1006),$AN$1006:$BO$1006,0)))),"Fix")))</f>
        <v>0</v>
      </c>
      <c r="J673" s="4">
        <f>IF(OR(INDEX($AH$2:$AH$1001,MATCH(ROWS($AG$2:AG673),$AG$2:$AG$1001,0),1)&gt;=100000,INDEX($AN$1005:$BO$1005,1,MATCH(COLUMNS($AN$1006:AV1006),$AN$1006:$BO$1006,0))&gt;=100000), " ",IF(INDEX($AN$2:$BO$1001,MATCH(ROWS($AG$2:AG673),$AG$2:$AG$1001,0),MATCH(COLUMNS($AN$1006:AV1006),$AN$1006:$BO$1006,0)), HYPERLINK("#",""), HYPERLINK(CONCATENATE("#Metadata!", ADDRESS(INDEX($AI$2:$AI$1001,MATCH(ROWS($AG$2:AG673),$AG$2:$AG$1001,0),0), INDEX($AN$1004:$BO$1004,1,MATCH(COLUMNS($AN$1006:AV1006),$AN$1006:$BO$1006,0)))),"Fix")))</f>
        <v>0</v>
      </c>
      <c r="K673" s="4">
        <f>IF(OR(INDEX($AH$2:$AH$1001,MATCH(ROWS($AG$2:AG673),$AG$2:$AG$1001,0),1)&gt;=100000,INDEX($AN$1005:$BO$1005,1,MATCH(COLUMNS($AN$1006:AW1006),$AN$1006:$BO$1006,0))&gt;=100000), " ",IF(INDEX($AN$2:$BO$1001,MATCH(ROWS($AG$2:AG673),$AG$2:$AG$1001,0),MATCH(COLUMNS($AN$1006:AW1006),$AN$1006:$BO$1006,0)), HYPERLINK("#",""), HYPERLINK(CONCATENATE("#Metadata!", ADDRESS(INDEX($AI$2:$AI$1001,MATCH(ROWS($AG$2:AG673),$AG$2:$AG$1001,0),0), INDEX($AN$1004:$BO$1004,1,MATCH(COLUMNS($AN$1006:AW1006),$AN$1006:$BO$1006,0)))),"Fix")))</f>
        <v>0</v>
      </c>
      <c r="L673" s="4">
        <f>IF(OR(INDEX($AH$2:$AH$1001,MATCH(ROWS($AG$2:AG673),$AG$2:$AG$1001,0),1)&gt;=100000,INDEX($AN$1005:$BO$1005,1,MATCH(COLUMNS($AN$1006:AX1006),$AN$1006:$BO$1006,0))&gt;=100000), " ",IF(INDEX($AN$2:$BO$1001,MATCH(ROWS($AG$2:AG673),$AG$2:$AG$1001,0),MATCH(COLUMNS($AN$1006:AX1006),$AN$1006:$BO$1006,0)), HYPERLINK("#",""), HYPERLINK(CONCATENATE("#Metadata!", ADDRESS(INDEX($AI$2:$AI$1001,MATCH(ROWS($AG$2:AG673),$AG$2:$AG$1001,0),0), INDEX($AN$1004:$BO$1004,1,MATCH(COLUMNS($AN$1006:AX1006),$AN$1006:$BO$1006,0)))),"Fix")))</f>
        <v>0</v>
      </c>
      <c r="M673" s="4">
        <f>IF(OR(INDEX($AH$2:$AH$1001,MATCH(ROWS($AG$2:AG673),$AG$2:$AG$1001,0),1)&gt;=100000,INDEX($AN$1005:$BO$1005,1,MATCH(COLUMNS($AN$1006:AY1006),$AN$1006:$BO$1006,0))&gt;=100000), " ",IF(INDEX($AN$2:$BO$1001,MATCH(ROWS($AG$2:AG673),$AG$2:$AG$1001,0),MATCH(COLUMNS($AN$1006:AY1006),$AN$1006:$BO$1006,0)), HYPERLINK("#",""), HYPERLINK(CONCATENATE("#Metadata!", ADDRESS(INDEX($AI$2:$AI$1001,MATCH(ROWS($AG$2:AG673),$AG$2:$AG$1001,0),0), INDEX($AN$1004:$BO$1004,1,MATCH(COLUMNS($AN$1006:AY1006),$AN$1006:$BO$1006,0)))),"Fix")))</f>
        <v>0</v>
      </c>
      <c r="N673" s="4">
        <f>IF(OR(INDEX($AH$2:$AH$1001,MATCH(ROWS($AG$2:AG673),$AG$2:$AG$1001,0),1)&gt;=100000,INDEX($AN$1005:$BO$1005,1,MATCH(COLUMNS($AN$1006:AZ1006),$AN$1006:$BO$1006,0))&gt;=100000), " ",IF(INDEX($AN$2:$BO$1001,MATCH(ROWS($AG$2:AG673),$AG$2:$AG$1001,0),MATCH(COLUMNS($AN$1006:AZ1006),$AN$1006:$BO$1006,0)), HYPERLINK("#",""), HYPERLINK(CONCATENATE("#Metadata!", ADDRESS(INDEX($AI$2:$AI$1001,MATCH(ROWS($AG$2:AG673),$AG$2:$AG$1001,0),0), INDEX($AN$1004:$BO$1004,1,MATCH(COLUMNS($AN$1006:AZ1006),$AN$1006:$BO$1006,0)))),"Fix")))</f>
        <v>0</v>
      </c>
      <c r="O673" s="4">
        <f>IF(OR(INDEX($AH$2:$AH$1001,MATCH(ROWS($AG$2:AG673),$AG$2:$AG$1001,0),1)&gt;=100000,INDEX($AN$1005:$BO$1005,1,MATCH(COLUMNS($AN$1006:BA1006),$AN$1006:$BO$1006,0))&gt;=100000), " ",IF(INDEX($AN$2:$BO$1001,MATCH(ROWS($AG$2:AG673),$AG$2:$AG$1001,0),MATCH(COLUMNS($AN$1006:BA1006),$AN$1006:$BO$1006,0)), HYPERLINK("#",""), HYPERLINK(CONCATENATE("#Metadata!", ADDRESS(INDEX($AI$2:$AI$1001,MATCH(ROWS($AG$2:AG673),$AG$2:$AG$1001,0),0), INDEX($AN$1004:$BO$1004,1,MATCH(COLUMNS($AN$1006:BA1006),$AN$1006:$BO$1006,0)))),"Fix")))</f>
        <v>0</v>
      </c>
      <c r="P673" s="4">
        <f>IF(OR(INDEX($AH$2:$AH$1001,MATCH(ROWS($AG$2:AG673),$AG$2:$AG$1001,0),1)&gt;=100000,INDEX($AN$1005:$BO$1005,1,MATCH(COLUMNS($AN$1006:BB1006),$AN$1006:$BO$1006,0))&gt;=100000), " ",IF(INDEX($AN$2:$BO$1001,MATCH(ROWS($AG$2:AG673),$AG$2:$AG$1001,0),MATCH(COLUMNS($AN$1006:BB1006),$AN$1006:$BO$1006,0)), HYPERLINK("#",""), HYPERLINK(CONCATENATE("#Metadata!", ADDRESS(INDEX($AI$2:$AI$1001,MATCH(ROWS($AG$2:AG673),$AG$2:$AG$1001,0),0), INDEX($AN$1004:$BO$1004,1,MATCH(COLUMNS($AN$1006:BB1006),$AN$1006:$BO$1006,0)))),"Fix")))</f>
        <v>0</v>
      </c>
      <c r="Q673" s="4">
        <f>IF(OR(INDEX($AH$2:$AH$1001,MATCH(ROWS($AG$2:AG673),$AG$2:$AG$1001,0),1)&gt;=100000,INDEX($AN$1005:$BO$1005,1,MATCH(COLUMNS($AN$1006:BC1006),$AN$1006:$BO$1006,0))&gt;=100000), " ",IF(INDEX($AN$2:$BO$1001,MATCH(ROWS($AG$2:AG673),$AG$2:$AG$1001,0),MATCH(COLUMNS($AN$1006:BC1006),$AN$1006:$BO$1006,0)), HYPERLINK("#",""), HYPERLINK(CONCATENATE("#Metadata!", ADDRESS(INDEX($AI$2:$AI$1001,MATCH(ROWS($AG$2:AG673),$AG$2:$AG$1001,0),0), INDEX($AN$1004:$BO$1004,1,MATCH(COLUMNS($AN$1006:BC1006),$AN$1006:$BO$1006,0)))),"Fix")))</f>
        <v>0</v>
      </c>
      <c r="R673" s="4">
        <f>IF(OR(INDEX($AH$2:$AH$1001,MATCH(ROWS($AG$2:AG673),$AG$2:$AG$1001,0),1)&gt;=100000,INDEX($AN$1005:$BO$1005,1,MATCH(COLUMNS($AN$1006:BD1006),$AN$1006:$BO$1006,0))&gt;=100000), " ",IF(INDEX($AN$2:$BO$1001,MATCH(ROWS($AG$2:AG673),$AG$2:$AG$1001,0),MATCH(COLUMNS($AN$1006:BD1006),$AN$1006:$BO$1006,0)), HYPERLINK("#",""), HYPERLINK(CONCATENATE("#Metadata!", ADDRESS(INDEX($AI$2:$AI$1001,MATCH(ROWS($AG$2:AG673),$AG$2:$AG$1001,0),0), INDEX($AN$1004:$BO$1004,1,MATCH(COLUMNS($AN$1006:BD1006),$AN$1006:$BO$1006,0)))),"Fix")))</f>
        <v>0</v>
      </c>
      <c r="S673" s="4">
        <f>IF(OR(INDEX($AH$2:$AH$1001,MATCH(ROWS($AG$2:AG673),$AG$2:$AG$1001,0),1)&gt;=100000,INDEX($AN$1005:$BO$1005,1,MATCH(COLUMNS($AN$1006:BE1006),$AN$1006:$BO$1006,0))&gt;=100000), " ",IF(INDEX($AN$2:$BO$1001,MATCH(ROWS($AG$2:AG673),$AG$2:$AG$1001,0),MATCH(COLUMNS($AN$1006:BE1006),$AN$1006:$BO$1006,0)), HYPERLINK("#",""), HYPERLINK(CONCATENATE("#Metadata!", ADDRESS(INDEX($AI$2:$AI$1001,MATCH(ROWS($AG$2:AG673),$AG$2:$AG$1001,0),0), INDEX($AN$1004:$BO$1004,1,MATCH(COLUMNS($AN$1006:BE1006),$AN$1006:$BO$1006,0)))),"Fix")))</f>
        <v>0</v>
      </c>
      <c r="T673" s="4">
        <f>IF(OR(INDEX($AH$2:$AH$1001,MATCH(ROWS($AG$2:AG673),$AG$2:$AG$1001,0),1)&gt;=100000,INDEX($AN$1005:$BO$1005,1,MATCH(COLUMNS($AN$1006:BF1006),$AN$1006:$BO$1006,0))&gt;=100000), " ",IF(INDEX($AN$2:$BO$1001,MATCH(ROWS($AG$2:AG673),$AG$2:$AG$1001,0),MATCH(COLUMNS($AN$1006:BF1006),$AN$1006:$BO$1006,0)), HYPERLINK("#",""), HYPERLINK(CONCATENATE("#Metadata!", ADDRESS(INDEX($AI$2:$AI$1001,MATCH(ROWS($AG$2:AG673),$AG$2:$AG$1001,0),0), INDEX($AN$1004:$BO$1004,1,MATCH(COLUMNS($AN$1006:BF1006),$AN$1006:$BO$1006,0)))),"Fix")))</f>
        <v>0</v>
      </c>
      <c r="U673" s="4">
        <f>IF(OR(INDEX($AH$2:$AH$1001,MATCH(ROWS($AG$2:AG673),$AG$2:$AG$1001,0),1)&gt;=100000,INDEX($AN$1005:$BO$1005,1,MATCH(COLUMNS($AN$1006:BG1006),$AN$1006:$BO$1006,0))&gt;=100000), " ",IF(INDEX($AN$2:$BO$1001,MATCH(ROWS($AG$2:AG673),$AG$2:$AG$1001,0),MATCH(COLUMNS($AN$1006:BG1006),$AN$1006:$BO$1006,0)), HYPERLINK("#",""), HYPERLINK(CONCATENATE("#Metadata!", ADDRESS(INDEX($AI$2:$AI$1001,MATCH(ROWS($AG$2:AG673),$AG$2:$AG$1001,0),0), INDEX($AN$1004:$BO$1004,1,MATCH(COLUMNS($AN$1006:BG1006),$AN$1006:$BO$1006,0)))),"Fix")))</f>
        <v>0</v>
      </c>
      <c r="V673" s="4">
        <f>IF(OR(INDEX($AH$2:$AH$1001,MATCH(ROWS($AG$2:AG673),$AG$2:$AG$1001,0),1)&gt;=100000,INDEX($AN$1005:$BO$1005,1,MATCH(COLUMNS($AN$1006:BH1006),$AN$1006:$BO$1006,0))&gt;=100000), " ",IF(INDEX($AN$2:$BO$1001,MATCH(ROWS($AG$2:AG673),$AG$2:$AG$1001,0),MATCH(COLUMNS($AN$1006:BH1006),$AN$1006:$BO$1006,0)), HYPERLINK("#",""), HYPERLINK(CONCATENATE("#Metadata!", ADDRESS(INDEX($AI$2:$AI$1001,MATCH(ROWS($AG$2:AG673),$AG$2:$AG$1001,0),0), INDEX($AN$1004:$BO$1004,1,MATCH(COLUMNS($AN$1006:BH1006),$AN$1006:$BO$1006,0)))),"Fix")))</f>
        <v>0</v>
      </c>
      <c r="W673" s="4">
        <f>IF(OR(INDEX($AH$2:$AH$1001,MATCH(ROWS($AG$2:AG673),$AG$2:$AG$1001,0),1)&gt;=100000,INDEX($AN$1005:$BO$1005,1,MATCH(COLUMNS($AN$1006:BI1006),$AN$1006:$BO$1006,0))&gt;=100000), " ",IF(INDEX($AN$2:$BO$1001,MATCH(ROWS($AG$2:AG673),$AG$2:$AG$1001,0),MATCH(COLUMNS($AN$1006:BI1006),$AN$1006:$BO$1006,0)), HYPERLINK("#",""), HYPERLINK(CONCATENATE("#Metadata!", ADDRESS(INDEX($AI$2:$AI$1001,MATCH(ROWS($AG$2:AG673),$AG$2:$AG$1001,0),0), INDEX($AN$1004:$BO$1004,1,MATCH(COLUMNS($AN$1006:BI1006),$AN$1006:$BO$1006,0)))),"Fix")))</f>
        <v>0</v>
      </c>
      <c r="X673" s="4">
        <f>IF(OR(INDEX($AH$2:$AH$1001,MATCH(ROWS($AG$2:AG673),$AG$2:$AG$1001,0),1)&gt;=100000,INDEX($AN$1005:$BO$1005,1,MATCH(COLUMNS($AN$1006:BJ1006),$AN$1006:$BO$1006,0))&gt;=100000), " ",IF(INDEX($AN$2:$BO$1001,MATCH(ROWS($AG$2:AG673),$AG$2:$AG$1001,0),MATCH(COLUMNS($AN$1006:BJ1006),$AN$1006:$BO$1006,0)), HYPERLINK("#",""), HYPERLINK(CONCATENATE("#Metadata!", ADDRESS(INDEX($AI$2:$AI$1001,MATCH(ROWS($AG$2:AG673),$AG$2:$AG$1001,0),0), INDEX($AN$1004:$BO$1004,1,MATCH(COLUMNS($AN$1006:BJ1006),$AN$1006:$BO$1006,0)))),"Fix")))</f>
        <v>0</v>
      </c>
      <c r="Y673" s="4">
        <f>IF(OR(INDEX($AH$2:$AH$1001,MATCH(ROWS($AG$2:AG673),$AG$2:$AG$1001,0),1)&gt;=100000,INDEX($AN$1005:$BO$1005,1,MATCH(COLUMNS($AN$1006:BK1006),$AN$1006:$BO$1006,0))&gt;=100000), " ",IF(INDEX($AN$2:$BO$1001,MATCH(ROWS($AG$2:AG673),$AG$2:$AG$1001,0),MATCH(COLUMNS($AN$1006:BK1006),$AN$1006:$BO$1006,0)), HYPERLINK("#",""), HYPERLINK(CONCATENATE("#Metadata!", ADDRESS(INDEX($AI$2:$AI$1001,MATCH(ROWS($AG$2:AG673),$AG$2:$AG$1001,0),0), INDEX($AN$1004:$BO$1004,1,MATCH(COLUMNS($AN$1006:BK1006),$AN$1006:$BO$1006,0)))),"Fix")))</f>
        <v>0</v>
      </c>
      <c r="Z673" s="4">
        <f>IF(OR(INDEX($AH$2:$AH$1001,MATCH(ROWS($AG$2:AG673),$AG$2:$AG$1001,0),1)&gt;=100000,INDEX($AN$1005:$BO$1005,1,MATCH(COLUMNS($AN$1006:BL1006),$AN$1006:$BO$1006,0))&gt;=100000), " ",IF(INDEX($AN$2:$BO$1001,MATCH(ROWS($AG$2:AG673),$AG$2:$AG$1001,0),MATCH(COLUMNS($AN$1006:BL1006),$AN$1006:$BO$1006,0)), HYPERLINK("#",""), HYPERLINK(CONCATENATE("#Metadata!", ADDRESS(INDEX($AI$2:$AI$1001,MATCH(ROWS($AG$2:AG673),$AG$2:$AG$1001,0),0), INDEX($AN$1004:$BO$1004,1,MATCH(COLUMNS($AN$1006:BL1006),$AN$1006:$BO$1006,0)))),"Fix")))</f>
        <v>0</v>
      </c>
      <c r="AA673" s="4">
        <f>IF(OR(INDEX($AH$2:$AH$1001,MATCH(ROWS($AG$2:AG673),$AG$2:$AG$1001,0),1)&gt;=100000,INDEX($AN$1005:$BO$1005,1,MATCH(COLUMNS($AN$1006:BM1006),$AN$1006:$BO$1006,0))&gt;=100000), " ",IF(INDEX($AN$2:$BO$1001,MATCH(ROWS($AG$2:AG673),$AG$2:$AG$1001,0),MATCH(COLUMNS($AN$1006:BM1006),$AN$1006:$BO$1006,0)), HYPERLINK("#",""), HYPERLINK(CONCATENATE("#Metadata!", ADDRESS(INDEX($AI$2:$AI$1001,MATCH(ROWS($AG$2:AG673),$AG$2:$AG$1001,0),0), INDEX($AN$1004:$BO$1004,1,MATCH(COLUMNS($AN$1006:BM1006),$AN$1006:$BO$1006,0)))),"Fix")))</f>
        <v>0</v>
      </c>
      <c r="AB673" s="4">
        <f>IF(OR(INDEX($AH$2:$AH$1001,MATCH(ROWS($AG$2:AG673),$AG$2:$AG$1001,0),1)&gt;=100000,INDEX($AN$1005:$BO$1005,1,MATCH(COLUMNS($AN$1006:BN1006),$AN$1006:$BO$1006,0))&gt;=100000), " ",IF(INDEX($AN$2:$BO$1001,MATCH(ROWS($AG$2:AG673),$AG$2:$AG$1001,0),MATCH(COLUMNS($AN$1006:BN1006),$AN$1006:$BO$1006,0)), HYPERLINK("#",""), HYPERLINK(CONCATENATE("#Metadata!", ADDRESS(INDEX($AI$2:$AI$1001,MATCH(ROWS($AG$2:AG673),$AG$2:$AG$1001,0),0), INDEX($AN$1004:$BO$1004,1,MATCH(COLUMNS($AN$1006:BN1006),$AN$1006:$BO$1006,0)))),"Fix")))</f>
        <v>0</v>
      </c>
      <c r="AC673" s="4">
        <f>IF(OR(INDEX($AH$2:$AH$1001,MATCH(ROWS($AG$2:AG673),$AG$2:$AG$1001,0),1)&gt;=100000,INDEX($AN$1005:$BO$1005,1,MATCH(COLUMNS($AN$1006:BO1006),$AN$1006:$BO$1006,0))&gt;=100000), " ",IF(INDEX($AN$2:$BO$1001,MATCH(ROWS($AG$2:AG673),$AG$2:$AG$1001,0),MATCH(COLUMNS($AN$1006:BO1006),$AN$1006:$BO$1006,0)), HYPERLINK("#",""), HYPERLINK(CONCATENATE("#Metadata!", ADDRESS(INDEX($AI$2:$AI$1001,MATCH(ROWS($AG$2:AG673),$AG$2:$AG$1001,0),0), INDEX($AN$1004:$BO$1004,1,MATCH(COLUMNS($AN$1006:BO1006),$AN$1006:$BO$1006,0)))),"Fix")))</f>
        <v>0</v>
      </c>
      <c r="AG673">
        <v>0</v>
      </c>
      <c r="AH673">
        <v>0</v>
      </c>
      <c r="AI673">
        <v>0</v>
      </c>
      <c r="AJ673">
        <f>IF(AK673,TRUE,AND(AN673:BO673))</f>
        <v>0</v>
      </c>
      <c r="AK673">
        <f>COUNTBLANK(Metadata!B673:AC673)=COLUMNS(Metadata!B673:AC673)</f>
        <v>0</v>
      </c>
      <c r="AL673">
        <v>0</v>
      </c>
      <c r="AN673">
        <f>AND(IF(Metadata!B673="",FALSE,TRUE),COUNTIF(Metadata!B:B, Metadata!B673) = 1,NOT(ISERROR(SUMPRODUCT(SEARCH(MID(Metadata!B673,ROW(INDIRECT("1:"&amp;LEN(Metadata!B673))), 1),"0123456789abcdefghijklmnopqrstuvwxyzABCDEFGHIJKLMNOPQRSTUVWXYZ.")))))</f>
        <v>0</v>
      </c>
      <c r="AO673">
        <f>IF(Metadata!C673="",FALSE,TRUE)</f>
        <v>0</v>
      </c>
      <c r="AP673">
        <f>IF(Metadata!D673="",FALSE,TRUE)</f>
        <v>0</v>
      </c>
      <c r="AQ673">
        <f>OR(AND(IF(Metadata!E673="",FALSE,TRUE),OR(exact(Metadata!E673,"not collected"),exact(Metadata!E673,"not provided"),exact(Metadata!E673,"restricted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R673">
        <f>IF(Metadata!F673="",FALSE,TRUE)</f>
        <v>0</v>
      </c>
      <c r="AS673">
        <f>OR(AND(IF(Metadata!G673="",FALSE,TRUE),OR(exact(Metadata!G673,"not collected"),exact(Metadata!G673,"not provided"))),AND(IF(Metadata!G673="",FALSE,TRUE),OR(exact(Metadata!G673,"TRUE"),exact(Metadata!G673,"FALSE"))))</f>
        <v>0</v>
      </c>
      <c r="AT673">
        <f>OR(AND(IF(Metadata!H673="",FALSE,TRUE),OR(exact(Metadata!H673,"not collected"),exact(Metadata!H673,"not provided"),exact(Metadata!H673,"restricted access"))),AND(IF(Metadata!H673="",FALSE,ISNUMBER(VALUE(Metadata!H673))),Metadata!H673&gt;=-413.0))</f>
        <v>0</v>
      </c>
      <c r="AU673">
        <f>AND(IF(Metadata!I673="",FALSE,TRUE),exact(Metadata!I673,"meters"))</f>
        <v>0</v>
      </c>
      <c r="AV673">
        <f>AND(IF(Metadata!J673="",FALSE,TRUE),OR(exact(Metadata!J673,"Host-associated"),exact(Metadata!J673,"Free-living")))</f>
        <v>0</v>
      </c>
      <c r="AW673">
        <f>AND(IF(Metadata!K673="",FALSE,TRUE),OR(exact(Metadata!K673,"Animal"),exact(Metadata!K673,"Fungus"),exact(Metadata!K673,"Plant"),exact(Metadata!K673,"Saline"),exact(Metadata!K673,"Non-saline")))</f>
        <v>0</v>
      </c>
      <c r="AX673">
        <f>AND(IF(Metadata!L673="",FALSE,TRUE),OR(exact(Metadata!L673,"Plant secretion"),exact(Metadata!L673,"Plant rhizosphere"),exact(Metadata!L673,"Plant surface"),exact(Metadata!L673,"Plant corpus"),exact(Metadata!L673,"Fungus surface"),exact(Metadata!L673,"Fungus corpus"),exact(Metadata!L673,"Animal surface"),exact(Metadata!L673,"Animal proximal gut"),exact(Metadata!L673,"Animal corpus"),exact(Metadata!L673,"Animal distal gut"),exact(Metadata!L673,"Animal secretion"),exact(Metadata!L673,"Sub-surface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Y673">
        <f>IF(Metadata!M673="",FALSE,TRUE)</f>
        <v>0</v>
      </c>
      <c r="AZ673">
        <f>IF(Metadata!N673="",FALSE,TRUE)</f>
        <v>0</v>
      </c>
      <c r="BA673">
        <f>IF(Metadata!O673="",FALSE,TRUE)</f>
        <v>0</v>
      </c>
      <c r="BB673">
        <f>OR(AND(IF(Metadata!P673="",FALSE,TRUE),OR(exact(Metadata!P673,"not collected"),exact(Metadata!P673,"not provided"),exact(Metadata!P673,"restricted access"))),AND(IF(Metadata!P673="",FALSE,TRUE),OR(exact(Metadata!P673,"air"),exact(Metadata!P673,"built environment"),exact(Metadata!P673,"host-associated"),exact(Metadata!P673,"human-associated"),exact(Metadata!P673,"human-skin"),exact(Metadata!P673,"human-oral"),exact(Metadata!P673,"human-gut"),exact(Metadata!P673,"human-vaginal"),exact(Metadata!P673,"microbial mat/biofilm"),exact(Metadata!P673,"misc environment"),exact(Metadata!P673,"plant-associated"),exact(Metadata!P673,"sediment"),exact(Metadata!P673,"soil"),exact(Metadata!P673,"wastewater/sludge"),exact(Metadata!P673,"water"))))</f>
        <v>0</v>
      </c>
      <c r="BC673">
        <f>IF(Metadata!Q673="",FALSE,TRUE)</f>
        <v>0</v>
      </c>
      <c r="BD673">
        <f>IF(Metadata!R673="",FALSE,TRUE)</f>
        <v>0</v>
      </c>
      <c r="BE673">
        <f>OR(AND(IF(Metadata!S673="",FALSE,TRUE),OR(exact(Metadata!S673,"not collected"),exact(Metadata!S673,"not provided"),exact(Metadata!S673,"restricted access"))),AND(IF(Metadata!S673="",FALSE,ISNUMBER(VALUE(Metadata!S673))),Metadata!S673&gt;=-90.00,Metadata!S673&lt;=90.00))</f>
        <v>0</v>
      </c>
      <c r="BF673">
        <f>AND(IF(Metadata!T673="",FALSE,TRUE),exact(Metadata!T673,"Decimal degrees"))</f>
        <v>0</v>
      </c>
      <c r="BG673">
        <f>OR(AND(IF(Metadata!U673="",FALSE,TRUE),OR(exact(Metadata!U673,"not collected"),exact(Metadata!U673,"not provided"),exact(Metadata!U673,"restricted access"))),AND(IF(Metadata!U673="",FALSE,ISNUMBER(VALUE(Metadata!U673))),Metadata!U673&gt;=-180.00,Metadata!U673&lt;=180.00))</f>
        <v>0</v>
      </c>
      <c r="BH673">
        <f>AND(IF(Metadata!V673="",FALSE,TRUE),exact(Metadata!V673,"Decimal degrees"))</f>
        <v>0</v>
      </c>
      <c r="BI673">
        <f>IF(Metadata!W673="",FALSE,TRUE)</f>
        <v>0</v>
      </c>
      <c r="BJ673">
        <f>OR(AND(IF(Metadata!X673="",FALSE,TRUE),OR(exact(Metadata!X673,"not collected"),exact(Metadata!X673,"not provided"),exact(Metadata!X673,"restricted access"))),AND(IF(Metadata!X673="",FALSE,TRUE),OR(exact(Metadata!X673,"TRUE"),exact(Metadata!X673,"FALSE"))))</f>
        <v>0</v>
      </c>
      <c r="BK673">
        <f>AND(IF(Metadata!Y673="",FALSE,TRUE),exact(Metadata!Y673,"other"))</f>
        <v>0</v>
      </c>
      <c r="BL673">
        <f>IF(Metadata!Z673="",FALSE,TRUE)</f>
        <v>0</v>
      </c>
      <c r="BM673">
        <f>OR(AND(IF(Metadata!AA673="",FALSE,TRUE),OR(exact(Metadata!AA673,"not collected"),exact(Metadata!AA673,"not provided"))),AND(IF(Metadata!AA673="",FALSE,IF(ISERROR(INT(Metadata!AA673)),FALSE,INT(Metadata!AA673)=Metadata!AA673)),Metadata!AA673&gt;0))</f>
        <v>0</v>
      </c>
      <c r="BN673">
        <f>AND(IF(Metadata!AB673="",FALSE,TRUE),exact(Metadata!AB673,"Not applicable"))</f>
        <v>0</v>
      </c>
      <c r="BO673">
        <f>IF(Metadata!AC673="",FALSE,TRUE)</f>
        <v>0</v>
      </c>
    </row>
    <row r="674" spans="1:67">
      <c r="A674" s="5">
        <f>IF(B674=" "," ",HYPERLINK(CONCATENATE("#metadata!",ADDRESS(INDEX($AI$2:$AI$1001,MATCH(ROWS($AG$2:AG674),$AG$2:$AG$1001,0),0),1)),INDEX($AL$2:$AL$1001,MATCH(ROWS($AG$2:AG674),$AG$2:$AG$1001,0),0)))</f>
        <v>0</v>
      </c>
      <c r="B674" s="4">
        <f>IF(OR(INDEX($AH$2:$AH$1001,MATCH(ROWS($AG$2:AG674),$AG$2:$AG$1001,0),1)&gt;=100000,INDEX($AN$1005:$BO$1005,1,MATCH(COLUMNS($AN$1006:AN1006),$AN$1006:$BO$1006,0))&gt;=100000), " ",IF(INDEX($AN$2:$BO$1001,MATCH(ROWS($AG$2:AG674),$AG$2:$AG$1001,0),MATCH(COLUMNS($AN$1006:AN1006),$AN$1006:$BO$1006,0)), HYPERLINK("#",""), HYPERLINK(CONCATENATE("#Metadata!", ADDRESS(INDEX($AI$2:$AI$1001,MATCH(ROWS($AG$2:AG674),$AG$2:$AG$1001,0),0), INDEX($AN$1004:$BO$1004,1,MATCH(COLUMNS($AN$1006:AN1006),$AN$1006:$BO$1006,0)))),"Fix")))</f>
        <v>0</v>
      </c>
      <c r="C674" s="4">
        <f>IF(OR(INDEX($AH$2:$AH$1001,MATCH(ROWS($AG$2:AG674),$AG$2:$AG$1001,0),1)&gt;=100000,INDEX($AN$1005:$BO$1005,1,MATCH(COLUMNS($AN$1006:AO1006),$AN$1006:$BO$1006,0))&gt;=100000), " ",IF(INDEX($AN$2:$BO$1001,MATCH(ROWS($AG$2:AG674),$AG$2:$AG$1001,0),MATCH(COLUMNS($AN$1006:AO1006),$AN$1006:$BO$1006,0)), HYPERLINK("#",""), HYPERLINK(CONCATENATE("#Metadata!", ADDRESS(INDEX($AI$2:$AI$1001,MATCH(ROWS($AG$2:AG674),$AG$2:$AG$1001,0),0), INDEX($AN$1004:$BO$1004,1,MATCH(COLUMNS($AN$1006:AO1006),$AN$1006:$BO$1006,0)))),"Fix")))</f>
        <v>0</v>
      </c>
      <c r="D674" s="4">
        <f>IF(OR(INDEX($AH$2:$AH$1001,MATCH(ROWS($AG$2:AG674),$AG$2:$AG$1001,0),1)&gt;=100000,INDEX($AN$1005:$BO$1005,1,MATCH(COLUMNS($AN$1006:AP1006),$AN$1006:$BO$1006,0))&gt;=100000), " ",IF(INDEX($AN$2:$BO$1001,MATCH(ROWS($AG$2:AG674),$AG$2:$AG$1001,0),MATCH(COLUMNS($AN$1006:AP1006),$AN$1006:$BO$1006,0)), HYPERLINK("#",""), HYPERLINK(CONCATENATE("#Metadata!", ADDRESS(INDEX($AI$2:$AI$1001,MATCH(ROWS($AG$2:AG674),$AG$2:$AG$1001,0),0), INDEX($AN$1004:$BO$1004,1,MATCH(COLUMNS($AN$1006:AP1006),$AN$1006:$BO$1006,0)))),"Fix")))</f>
        <v>0</v>
      </c>
      <c r="E674" s="4">
        <f>IF(OR(INDEX($AH$2:$AH$1001,MATCH(ROWS($AG$2:AG674),$AG$2:$AG$1001,0),1)&gt;=100000,INDEX($AN$1005:$BO$1005,1,MATCH(COLUMNS($AN$1006:AQ1006),$AN$1006:$BO$1006,0))&gt;=100000), " ",IF(INDEX($AN$2:$BO$1001,MATCH(ROWS($AG$2:AG674),$AG$2:$AG$1001,0),MATCH(COLUMNS($AN$1006:AQ1006),$AN$1006:$BO$1006,0)), HYPERLINK("#",""), HYPERLINK(CONCATENATE("#Metadata!", ADDRESS(INDEX($AI$2:$AI$1001,MATCH(ROWS($AG$2:AG674),$AG$2:$AG$1001,0),0), INDEX($AN$1004:$BO$1004,1,MATCH(COLUMNS($AN$1006:AQ1006),$AN$1006:$BO$1006,0)))),"Fix")))</f>
        <v>0</v>
      </c>
      <c r="F674" s="4">
        <f>IF(OR(INDEX($AH$2:$AH$1001,MATCH(ROWS($AG$2:AG674),$AG$2:$AG$1001,0),1)&gt;=100000,INDEX($AN$1005:$BO$1005,1,MATCH(COLUMNS($AN$1006:AR1006),$AN$1006:$BO$1006,0))&gt;=100000), " ",IF(INDEX($AN$2:$BO$1001,MATCH(ROWS($AG$2:AG674),$AG$2:$AG$1001,0),MATCH(COLUMNS($AN$1006:AR1006),$AN$1006:$BO$1006,0)), HYPERLINK("#",""), HYPERLINK(CONCATENATE("#Metadata!", ADDRESS(INDEX($AI$2:$AI$1001,MATCH(ROWS($AG$2:AG674),$AG$2:$AG$1001,0),0), INDEX($AN$1004:$BO$1004,1,MATCH(COLUMNS($AN$1006:AR1006),$AN$1006:$BO$1006,0)))),"Fix")))</f>
        <v>0</v>
      </c>
      <c r="G674" s="4">
        <f>IF(OR(INDEX($AH$2:$AH$1001,MATCH(ROWS($AG$2:AG674),$AG$2:$AG$1001,0),1)&gt;=100000,INDEX($AN$1005:$BO$1005,1,MATCH(COLUMNS($AN$1006:AS1006),$AN$1006:$BO$1006,0))&gt;=100000), " ",IF(INDEX($AN$2:$BO$1001,MATCH(ROWS($AG$2:AG674),$AG$2:$AG$1001,0),MATCH(COLUMNS($AN$1006:AS1006),$AN$1006:$BO$1006,0)), HYPERLINK("#",""), HYPERLINK(CONCATENATE("#Metadata!", ADDRESS(INDEX($AI$2:$AI$1001,MATCH(ROWS($AG$2:AG674),$AG$2:$AG$1001,0),0), INDEX($AN$1004:$BO$1004,1,MATCH(COLUMNS($AN$1006:AS1006),$AN$1006:$BO$1006,0)))),"Fix")))</f>
        <v>0</v>
      </c>
      <c r="H674" s="4">
        <f>IF(OR(INDEX($AH$2:$AH$1001,MATCH(ROWS($AG$2:AG674),$AG$2:$AG$1001,0),1)&gt;=100000,INDEX($AN$1005:$BO$1005,1,MATCH(COLUMNS($AN$1006:AT1006),$AN$1006:$BO$1006,0))&gt;=100000), " ",IF(INDEX($AN$2:$BO$1001,MATCH(ROWS($AG$2:AG674),$AG$2:$AG$1001,0),MATCH(COLUMNS($AN$1006:AT1006),$AN$1006:$BO$1006,0)), HYPERLINK("#",""), HYPERLINK(CONCATENATE("#Metadata!", ADDRESS(INDEX($AI$2:$AI$1001,MATCH(ROWS($AG$2:AG674),$AG$2:$AG$1001,0),0), INDEX($AN$1004:$BO$1004,1,MATCH(COLUMNS($AN$1006:AT1006),$AN$1006:$BO$1006,0)))),"Fix")))</f>
        <v>0</v>
      </c>
      <c r="I674" s="4">
        <f>IF(OR(INDEX($AH$2:$AH$1001,MATCH(ROWS($AG$2:AG674),$AG$2:$AG$1001,0),1)&gt;=100000,INDEX($AN$1005:$BO$1005,1,MATCH(COLUMNS($AN$1006:AU1006),$AN$1006:$BO$1006,0))&gt;=100000), " ",IF(INDEX($AN$2:$BO$1001,MATCH(ROWS($AG$2:AG674),$AG$2:$AG$1001,0),MATCH(COLUMNS($AN$1006:AU1006),$AN$1006:$BO$1006,0)), HYPERLINK("#",""), HYPERLINK(CONCATENATE("#Metadata!", ADDRESS(INDEX($AI$2:$AI$1001,MATCH(ROWS($AG$2:AG674),$AG$2:$AG$1001,0),0), INDEX($AN$1004:$BO$1004,1,MATCH(COLUMNS($AN$1006:AU1006),$AN$1006:$BO$1006,0)))),"Fix")))</f>
        <v>0</v>
      </c>
      <c r="J674" s="4">
        <f>IF(OR(INDEX($AH$2:$AH$1001,MATCH(ROWS($AG$2:AG674),$AG$2:$AG$1001,0),1)&gt;=100000,INDEX($AN$1005:$BO$1005,1,MATCH(COLUMNS($AN$1006:AV1006),$AN$1006:$BO$1006,0))&gt;=100000), " ",IF(INDEX($AN$2:$BO$1001,MATCH(ROWS($AG$2:AG674),$AG$2:$AG$1001,0),MATCH(COLUMNS($AN$1006:AV1006),$AN$1006:$BO$1006,0)), HYPERLINK("#",""), HYPERLINK(CONCATENATE("#Metadata!", ADDRESS(INDEX($AI$2:$AI$1001,MATCH(ROWS($AG$2:AG674),$AG$2:$AG$1001,0),0), INDEX($AN$1004:$BO$1004,1,MATCH(COLUMNS($AN$1006:AV1006),$AN$1006:$BO$1006,0)))),"Fix")))</f>
        <v>0</v>
      </c>
      <c r="K674" s="4">
        <f>IF(OR(INDEX($AH$2:$AH$1001,MATCH(ROWS($AG$2:AG674),$AG$2:$AG$1001,0),1)&gt;=100000,INDEX($AN$1005:$BO$1005,1,MATCH(COLUMNS($AN$1006:AW1006),$AN$1006:$BO$1006,0))&gt;=100000), " ",IF(INDEX($AN$2:$BO$1001,MATCH(ROWS($AG$2:AG674),$AG$2:$AG$1001,0),MATCH(COLUMNS($AN$1006:AW1006),$AN$1006:$BO$1006,0)), HYPERLINK("#",""), HYPERLINK(CONCATENATE("#Metadata!", ADDRESS(INDEX($AI$2:$AI$1001,MATCH(ROWS($AG$2:AG674),$AG$2:$AG$1001,0),0), INDEX($AN$1004:$BO$1004,1,MATCH(COLUMNS($AN$1006:AW1006),$AN$1006:$BO$1006,0)))),"Fix")))</f>
        <v>0</v>
      </c>
      <c r="L674" s="4">
        <f>IF(OR(INDEX($AH$2:$AH$1001,MATCH(ROWS($AG$2:AG674),$AG$2:$AG$1001,0),1)&gt;=100000,INDEX($AN$1005:$BO$1005,1,MATCH(COLUMNS($AN$1006:AX1006),$AN$1006:$BO$1006,0))&gt;=100000), " ",IF(INDEX($AN$2:$BO$1001,MATCH(ROWS($AG$2:AG674),$AG$2:$AG$1001,0),MATCH(COLUMNS($AN$1006:AX1006),$AN$1006:$BO$1006,0)), HYPERLINK("#",""), HYPERLINK(CONCATENATE("#Metadata!", ADDRESS(INDEX($AI$2:$AI$1001,MATCH(ROWS($AG$2:AG674),$AG$2:$AG$1001,0),0), INDEX($AN$1004:$BO$1004,1,MATCH(COLUMNS($AN$1006:AX1006),$AN$1006:$BO$1006,0)))),"Fix")))</f>
        <v>0</v>
      </c>
      <c r="M674" s="4">
        <f>IF(OR(INDEX($AH$2:$AH$1001,MATCH(ROWS($AG$2:AG674),$AG$2:$AG$1001,0),1)&gt;=100000,INDEX($AN$1005:$BO$1005,1,MATCH(COLUMNS($AN$1006:AY1006),$AN$1006:$BO$1006,0))&gt;=100000), " ",IF(INDEX($AN$2:$BO$1001,MATCH(ROWS($AG$2:AG674),$AG$2:$AG$1001,0),MATCH(COLUMNS($AN$1006:AY1006),$AN$1006:$BO$1006,0)), HYPERLINK("#",""), HYPERLINK(CONCATENATE("#Metadata!", ADDRESS(INDEX($AI$2:$AI$1001,MATCH(ROWS($AG$2:AG674),$AG$2:$AG$1001,0),0), INDEX($AN$1004:$BO$1004,1,MATCH(COLUMNS($AN$1006:AY1006),$AN$1006:$BO$1006,0)))),"Fix")))</f>
        <v>0</v>
      </c>
      <c r="N674" s="4">
        <f>IF(OR(INDEX($AH$2:$AH$1001,MATCH(ROWS($AG$2:AG674),$AG$2:$AG$1001,0),1)&gt;=100000,INDEX($AN$1005:$BO$1005,1,MATCH(COLUMNS($AN$1006:AZ1006),$AN$1006:$BO$1006,0))&gt;=100000), " ",IF(INDEX($AN$2:$BO$1001,MATCH(ROWS($AG$2:AG674),$AG$2:$AG$1001,0),MATCH(COLUMNS($AN$1006:AZ1006),$AN$1006:$BO$1006,0)), HYPERLINK("#",""), HYPERLINK(CONCATENATE("#Metadata!", ADDRESS(INDEX($AI$2:$AI$1001,MATCH(ROWS($AG$2:AG674),$AG$2:$AG$1001,0),0), INDEX($AN$1004:$BO$1004,1,MATCH(COLUMNS($AN$1006:AZ1006),$AN$1006:$BO$1006,0)))),"Fix")))</f>
        <v>0</v>
      </c>
      <c r="O674" s="4">
        <f>IF(OR(INDEX($AH$2:$AH$1001,MATCH(ROWS($AG$2:AG674),$AG$2:$AG$1001,0),1)&gt;=100000,INDEX($AN$1005:$BO$1005,1,MATCH(COLUMNS($AN$1006:BA1006),$AN$1006:$BO$1006,0))&gt;=100000), " ",IF(INDEX($AN$2:$BO$1001,MATCH(ROWS($AG$2:AG674),$AG$2:$AG$1001,0),MATCH(COLUMNS($AN$1006:BA1006),$AN$1006:$BO$1006,0)), HYPERLINK("#",""), HYPERLINK(CONCATENATE("#Metadata!", ADDRESS(INDEX($AI$2:$AI$1001,MATCH(ROWS($AG$2:AG674),$AG$2:$AG$1001,0),0), INDEX($AN$1004:$BO$1004,1,MATCH(COLUMNS($AN$1006:BA1006),$AN$1006:$BO$1006,0)))),"Fix")))</f>
        <v>0</v>
      </c>
      <c r="P674" s="4">
        <f>IF(OR(INDEX($AH$2:$AH$1001,MATCH(ROWS($AG$2:AG674),$AG$2:$AG$1001,0),1)&gt;=100000,INDEX($AN$1005:$BO$1005,1,MATCH(COLUMNS($AN$1006:BB1006),$AN$1006:$BO$1006,0))&gt;=100000), " ",IF(INDEX($AN$2:$BO$1001,MATCH(ROWS($AG$2:AG674),$AG$2:$AG$1001,0),MATCH(COLUMNS($AN$1006:BB1006),$AN$1006:$BO$1006,0)), HYPERLINK("#",""), HYPERLINK(CONCATENATE("#Metadata!", ADDRESS(INDEX($AI$2:$AI$1001,MATCH(ROWS($AG$2:AG674),$AG$2:$AG$1001,0),0), INDEX($AN$1004:$BO$1004,1,MATCH(COLUMNS($AN$1006:BB1006),$AN$1006:$BO$1006,0)))),"Fix")))</f>
        <v>0</v>
      </c>
      <c r="Q674" s="4">
        <f>IF(OR(INDEX($AH$2:$AH$1001,MATCH(ROWS($AG$2:AG674),$AG$2:$AG$1001,0),1)&gt;=100000,INDEX($AN$1005:$BO$1005,1,MATCH(COLUMNS($AN$1006:BC1006),$AN$1006:$BO$1006,0))&gt;=100000), " ",IF(INDEX($AN$2:$BO$1001,MATCH(ROWS($AG$2:AG674),$AG$2:$AG$1001,0),MATCH(COLUMNS($AN$1006:BC1006),$AN$1006:$BO$1006,0)), HYPERLINK("#",""), HYPERLINK(CONCATENATE("#Metadata!", ADDRESS(INDEX($AI$2:$AI$1001,MATCH(ROWS($AG$2:AG674),$AG$2:$AG$1001,0),0), INDEX($AN$1004:$BO$1004,1,MATCH(COLUMNS($AN$1006:BC1006),$AN$1006:$BO$1006,0)))),"Fix")))</f>
        <v>0</v>
      </c>
      <c r="R674" s="4">
        <f>IF(OR(INDEX($AH$2:$AH$1001,MATCH(ROWS($AG$2:AG674),$AG$2:$AG$1001,0),1)&gt;=100000,INDEX($AN$1005:$BO$1005,1,MATCH(COLUMNS($AN$1006:BD1006),$AN$1006:$BO$1006,0))&gt;=100000), " ",IF(INDEX($AN$2:$BO$1001,MATCH(ROWS($AG$2:AG674),$AG$2:$AG$1001,0),MATCH(COLUMNS($AN$1006:BD1006),$AN$1006:$BO$1006,0)), HYPERLINK("#",""), HYPERLINK(CONCATENATE("#Metadata!", ADDRESS(INDEX($AI$2:$AI$1001,MATCH(ROWS($AG$2:AG674),$AG$2:$AG$1001,0),0), INDEX($AN$1004:$BO$1004,1,MATCH(COLUMNS($AN$1006:BD1006),$AN$1006:$BO$1006,0)))),"Fix")))</f>
        <v>0</v>
      </c>
      <c r="S674" s="4">
        <f>IF(OR(INDEX($AH$2:$AH$1001,MATCH(ROWS($AG$2:AG674),$AG$2:$AG$1001,0),1)&gt;=100000,INDEX($AN$1005:$BO$1005,1,MATCH(COLUMNS($AN$1006:BE1006),$AN$1006:$BO$1006,0))&gt;=100000), " ",IF(INDEX($AN$2:$BO$1001,MATCH(ROWS($AG$2:AG674),$AG$2:$AG$1001,0),MATCH(COLUMNS($AN$1006:BE1006),$AN$1006:$BO$1006,0)), HYPERLINK("#",""), HYPERLINK(CONCATENATE("#Metadata!", ADDRESS(INDEX($AI$2:$AI$1001,MATCH(ROWS($AG$2:AG674),$AG$2:$AG$1001,0),0), INDEX($AN$1004:$BO$1004,1,MATCH(COLUMNS($AN$1006:BE1006),$AN$1006:$BO$1006,0)))),"Fix")))</f>
        <v>0</v>
      </c>
      <c r="T674" s="4">
        <f>IF(OR(INDEX($AH$2:$AH$1001,MATCH(ROWS($AG$2:AG674),$AG$2:$AG$1001,0),1)&gt;=100000,INDEX($AN$1005:$BO$1005,1,MATCH(COLUMNS($AN$1006:BF1006),$AN$1006:$BO$1006,0))&gt;=100000), " ",IF(INDEX($AN$2:$BO$1001,MATCH(ROWS($AG$2:AG674),$AG$2:$AG$1001,0),MATCH(COLUMNS($AN$1006:BF1006),$AN$1006:$BO$1006,0)), HYPERLINK("#",""), HYPERLINK(CONCATENATE("#Metadata!", ADDRESS(INDEX($AI$2:$AI$1001,MATCH(ROWS($AG$2:AG674),$AG$2:$AG$1001,0),0), INDEX($AN$1004:$BO$1004,1,MATCH(COLUMNS($AN$1006:BF1006),$AN$1006:$BO$1006,0)))),"Fix")))</f>
        <v>0</v>
      </c>
      <c r="U674" s="4">
        <f>IF(OR(INDEX($AH$2:$AH$1001,MATCH(ROWS($AG$2:AG674),$AG$2:$AG$1001,0),1)&gt;=100000,INDEX($AN$1005:$BO$1005,1,MATCH(COLUMNS($AN$1006:BG1006),$AN$1006:$BO$1006,0))&gt;=100000), " ",IF(INDEX($AN$2:$BO$1001,MATCH(ROWS($AG$2:AG674),$AG$2:$AG$1001,0),MATCH(COLUMNS($AN$1006:BG1006),$AN$1006:$BO$1006,0)), HYPERLINK("#",""), HYPERLINK(CONCATENATE("#Metadata!", ADDRESS(INDEX($AI$2:$AI$1001,MATCH(ROWS($AG$2:AG674),$AG$2:$AG$1001,0),0), INDEX($AN$1004:$BO$1004,1,MATCH(COLUMNS($AN$1006:BG1006),$AN$1006:$BO$1006,0)))),"Fix")))</f>
        <v>0</v>
      </c>
      <c r="V674" s="4">
        <f>IF(OR(INDEX($AH$2:$AH$1001,MATCH(ROWS($AG$2:AG674),$AG$2:$AG$1001,0),1)&gt;=100000,INDEX($AN$1005:$BO$1005,1,MATCH(COLUMNS($AN$1006:BH1006),$AN$1006:$BO$1006,0))&gt;=100000), " ",IF(INDEX($AN$2:$BO$1001,MATCH(ROWS($AG$2:AG674),$AG$2:$AG$1001,0),MATCH(COLUMNS($AN$1006:BH1006),$AN$1006:$BO$1006,0)), HYPERLINK("#",""), HYPERLINK(CONCATENATE("#Metadata!", ADDRESS(INDEX($AI$2:$AI$1001,MATCH(ROWS($AG$2:AG674),$AG$2:$AG$1001,0),0), INDEX($AN$1004:$BO$1004,1,MATCH(COLUMNS($AN$1006:BH1006),$AN$1006:$BO$1006,0)))),"Fix")))</f>
        <v>0</v>
      </c>
      <c r="W674" s="4">
        <f>IF(OR(INDEX($AH$2:$AH$1001,MATCH(ROWS($AG$2:AG674),$AG$2:$AG$1001,0),1)&gt;=100000,INDEX($AN$1005:$BO$1005,1,MATCH(COLUMNS($AN$1006:BI1006),$AN$1006:$BO$1006,0))&gt;=100000), " ",IF(INDEX($AN$2:$BO$1001,MATCH(ROWS($AG$2:AG674),$AG$2:$AG$1001,0),MATCH(COLUMNS($AN$1006:BI1006),$AN$1006:$BO$1006,0)), HYPERLINK("#",""), HYPERLINK(CONCATENATE("#Metadata!", ADDRESS(INDEX($AI$2:$AI$1001,MATCH(ROWS($AG$2:AG674),$AG$2:$AG$1001,0),0), INDEX($AN$1004:$BO$1004,1,MATCH(COLUMNS($AN$1006:BI1006),$AN$1006:$BO$1006,0)))),"Fix")))</f>
        <v>0</v>
      </c>
      <c r="X674" s="4">
        <f>IF(OR(INDEX($AH$2:$AH$1001,MATCH(ROWS($AG$2:AG674),$AG$2:$AG$1001,0),1)&gt;=100000,INDEX($AN$1005:$BO$1005,1,MATCH(COLUMNS($AN$1006:BJ1006),$AN$1006:$BO$1006,0))&gt;=100000), " ",IF(INDEX($AN$2:$BO$1001,MATCH(ROWS($AG$2:AG674),$AG$2:$AG$1001,0),MATCH(COLUMNS($AN$1006:BJ1006),$AN$1006:$BO$1006,0)), HYPERLINK("#",""), HYPERLINK(CONCATENATE("#Metadata!", ADDRESS(INDEX($AI$2:$AI$1001,MATCH(ROWS($AG$2:AG674),$AG$2:$AG$1001,0),0), INDEX($AN$1004:$BO$1004,1,MATCH(COLUMNS($AN$1006:BJ1006),$AN$1006:$BO$1006,0)))),"Fix")))</f>
        <v>0</v>
      </c>
      <c r="Y674" s="4">
        <f>IF(OR(INDEX($AH$2:$AH$1001,MATCH(ROWS($AG$2:AG674),$AG$2:$AG$1001,0),1)&gt;=100000,INDEX($AN$1005:$BO$1005,1,MATCH(COLUMNS($AN$1006:BK1006),$AN$1006:$BO$1006,0))&gt;=100000), " ",IF(INDEX($AN$2:$BO$1001,MATCH(ROWS($AG$2:AG674),$AG$2:$AG$1001,0),MATCH(COLUMNS($AN$1006:BK1006),$AN$1006:$BO$1006,0)), HYPERLINK("#",""), HYPERLINK(CONCATENATE("#Metadata!", ADDRESS(INDEX($AI$2:$AI$1001,MATCH(ROWS($AG$2:AG674),$AG$2:$AG$1001,0),0), INDEX($AN$1004:$BO$1004,1,MATCH(COLUMNS($AN$1006:BK1006),$AN$1006:$BO$1006,0)))),"Fix")))</f>
        <v>0</v>
      </c>
      <c r="Z674" s="4">
        <f>IF(OR(INDEX($AH$2:$AH$1001,MATCH(ROWS($AG$2:AG674),$AG$2:$AG$1001,0),1)&gt;=100000,INDEX($AN$1005:$BO$1005,1,MATCH(COLUMNS($AN$1006:BL1006),$AN$1006:$BO$1006,0))&gt;=100000), " ",IF(INDEX($AN$2:$BO$1001,MATCH(ROWS($AG$2:AG674),$AG$2:$AG$1001,0),MATCH(COLUMNS($AN$1006:BL1006),$AN$1006:$BO$1006,0)), HYPERLINK("#",""), HYPERLINK(CONCATENATE("#Metadata!", ADDRESS(INDEX($AI$2:$AI$1001,MATCH(ROWS($AG$2:AG674),$AG$2:$AG$1001,0),0), INDEX($AN$1004:$BO$1004,1,MATCH(COLUMNS($AN$1006:BL1006),$AN$1006:$BO$1006,0)))),"Fix")))</f>
        <v>0</v>
      </c>
      <c r="AA674" s="4">
        <f>IF(OR(INDEX($AH$2:$AH$1001,MATCH(ROWS($AG$2:AG674),$AG$2:$AG$1001,0),1)&gt;=100000,INDEX($AN$1005:$BO$1005,1,MATCH(COLUMNS($AN$1006:BM1006),$AN$1006:$BO$1006,0))&gt;=100000), " ",IF(INDEX($AN$2:$BO$1001,MATCH(ROWS($AG$2:AG674),$AG$2:$AG$1001,0),MATCH(COLUMNS($AN$1006:BM1006),$AN$1006:$BO$1006,0)), HYPERLINK("#",""), HYPERLINK(CONCATENATE("#Metadata!", ADDRESS(INDEX($AI$2:$AI$1001,MATCH(ROWS($AG$2:AG674),$AG$2:$AG$1001,0),0), INDEX($AN$1004:$BO$1004,1,MATCH(COLUMNS($AN$1006:BM1006),$AN$1006:$BO$1006,0)))),"Fix")))</f>
        <v>0</v>
      </c>
      <c r="AB674" s="4">
        <f>IF(OR(INDEX($AH$2:$AH$1001,MATCH(ROWS($AG$2:AG674),$AG$2:$AG$1001,0),1)&gt;=100000,INDEX($AN$1005:$BO$1005,1,MATCH(COLUMNS($AN$1006:BN1006),$AN$1006:$BO$1006,0))&gt;=100000), " ",IF(INDEX($AN$2:$BO$1001,MATCH(ROWS($AG$2:AG674),$AG$2:$AG$1001,0),MATCH(COLUMNS($AN$1006:BN1006),$AN$1006:$BO$1006,0)), HYPERLINK("#",""), HYPERLINK(CONCATENATE("#Metadata!", ADDRESS(INDEX($AI$2:$AI$1001,MATCH(ROWS($AG$2:AG674),$AG$2:$AG$1001,0),0), INDEX($AN$1004:$BO$1004,1,MATCH(COLUMNS($AN$1006:BN1006),$AN$1006:$BO$1006,0)))),"Fix")))</f>
        <v>0</v>
      </c>
      <c r="AC674" s="4">
        <f>IF(OR(INDEX($AH$2:$AH$1001,MATCH(ROWS($AG$2:AG674),$AG$2:$AG$1001,0),1)&gt;=100000,INDEX($AN$1005:$BO$1005,1,MATCH(COLUMNS($AN$1006:BO1006),$AN$1006:$BO$1006,0))&gt;=100000), " ",IF(INDEX($AN$2:$BO$1001,MATCH(ROWS($AG$2:AG674),$AG$2:$AG$1001,0),MATCH(COLUMNS($AN$1006:BO1006),$AN$1006:$BO$1006,0)), HYPERLINK("#",""), HYPERLINK(CONCATENATE("#Metadata!", ADDRESS(INDEX($AI$2:$AI$1001,MATCH(ROWS($AG$2:AG674),$AG$2:$AG$1001,0),0), INDEX($AN$1004:$BO$1004,1,MATCH(COLUMNS($AN$1006:BO1006),$AN$1006:$BO$1006,0)))),"Fix")))</f>
        <v>0</v>
      </c>
      <c r="AG674">
        <v>0</v>
      </c>
      <c r="AH674">
        <v>0</v>
      </c>
      <c r="AI674">
        <v>0</v>
      </c>
      <c r="AJ674">
        <f>IF(AK674,TRUE,AND(AN674:BO674))</f>
        <v>0</v>
      </c>
      <c r="AK674">
        <f>COUNTBLANK(Metadata!B674:AC674)=COLUMNS(Metadata!B674:AC674)</f>
        <v>0</v>
      </c>
      <c r="AL674">
        <v>0</v>
      </c>
      <c r="AN674">
        <f>AND(IF(Metadata!B674="",FALSE,TRUE),COUNTIF(Metadata!B:B, Metadata!B674) = 1,NOT(ISERROR(SUMPRODUCT(SEARCH(MID(Metadata!B674,ROW(INDIRECT("1:"&amp;LEN(Metadata!B674))), 1),"0123456789abcdefghijklmnopqrstuvwxyzABCDEFGHIJKLMNOPQRSTUVWXYZ.")))))</f>
        <v>0</v>
      </c>
      <c r="AO674">
        <f>IF(Metadata!C674="",FALSE,TRUE)</f>
        <v>0</v>
      </c>
      <c r="AP674">
        <f>IF(Metadata!D674="",FALSE,TRUE)</f>
        <v>0</v>
      </c>
      <c r="AQ674">
        <f>OR(AND(IF(Metadata!E674="",FALSE,TRUE),OR(exact(Metadata!E674,"not collected"),exact(Metadata!E674,"not provided"),exact(Metadata!E674,"restricted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R674">
        <f>IF(Metadata!F674="",FALSE,TRUE)</f>
        <v>0</v>
      </c>
      <c r="AS674">
        <f>OR(AND(IF(Metadata!G674="",FALSE,TRUE),OR(exact(Metadata!G674,"not collected"),exact(Metadata!G674,"not provided"))),AND(IF(Metadata!G674="",FALSE,TRUE),OR(exact(Metadata!G674,"TRUE"),exact(Metadata!G674,"FALSE"))))</f>
        <v>0</v>
      </c>
      <c r="AT674">
        <f>OR(AND(IF(Metadata!H674="",FALSE,TRUE),OR(exact(Metadata!H674,"not collected"),exact(Metadata!H674,"not provided"),exact(Metadata!H674,"restricted access"))),AND(IF(Metadata!H674="",FALSE,ISNUMBER(VALUE(Metadata!H674))),Metadata!H674&gt;=-413.0))</f>
        <v>0</v>
      </c>
      <c r="AU674">
        <f>AND(IF(Metadata!I674="",FALSE,TRUE),exact(Metadata!I674,"meters"))</f>
        <v>0</v>
      </c>
      <c r="AV674">
        <f>AND(IF(Metadata!J674="",FALSE,TRUE),OR(exact(Metadata!J674,"Host-associated"),exact(Metadata!J674,"Free-living")))</f>
        <v>0</v>
      </c>
      <c r="AW674">
        <f>AND(IF(Metadata!K674="",FALSE,TRUE),OR(exact(Metadata!K674,"Animal"),exact(Metadata!K674,"Fungus"),exact(Metadata!K674,"Plant"),exact(Metadata!K674,"Saline"),exact(Metadata!K674,"Non-saline")))</f>
        <v>0</v>
      </c>
      <c r="AX674">
        <f>AND(IF(Metadata!L674="",FALSE,TRUE),OR(exact(Metadata!L674,"Plant secretion"),exact(Metadata!L674,"Plant rhizosphere"),exact(Metadata!L674,"Plant surface"),exact(Metadata!L674,"Plant corpus"),exact(Metadata!L674,"Fungus surface"),exact(Metadata!L674,"Fungus corpus"),exact(Metadata!L674,"Animal surface"),exact(Metadata!L674,"Animal proximal gut"),exact(Metadata!L674,"Animal corpus"),exact(Metadata!L674,"Animal distal gut"),exact(Metadata!L674,"Animal secretion"),exact(Metadata!L674,"Sub-surface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Y674">
        <f>IF(Metadata!M674="",FALSE,TRUE)</f>
        <v>0</v>
      </c>
      <c r="AZ674">
        <f>IF(Metadata!N674="",FALSE,TRUE)</f>
        <v>0</v>
      </c>
      <c r="BA674">
        <f>IF(Metadata!O674="",FALSE,TRUE)</f>
        <v>0</v>
      </c>
      <c r="BB674">
        <f>OR(AND(IF(Metadata!P674="",FALSE,TRUE),OR(exact(Metadata!P674,"not collected"),exact(Metadata!P674,"not provided"),exact(Metadata!P674,"restricted access"))),AND(IF(Metadata!P674="",FALSE,TRUE),OR(exact(Metadata!P674,"air"),exact(Metadata!P674,"built environment"),exact(Metadata!P674,"host-associated"),exact(Metadata!P674,"human-associated"),exact(Metadata!P674,"human-skin"),exact(Metadata!P674,"human-oral"),exact(Metadata!P674,"human-gut"),exact(Metadata!P674,"human-vaginal"),exact(Metadata!P674,"microbial mat/biofilm"),exact(Metadata!P674,"misc environment"),exact(Metadata!P674,"plant-associated"),exact(Metadata!P674,"sediment"),exact(Metadata!P674,"soil"),exact(Metadata!P674,"wastewater/sludge"),exact(Metadata!P674,"water"))))</f>
        <v>0</v>
      </c>
      <c r="BC674">
        <f>IF(Metadata!Q674="",FALSE,TRUE)</f>
        <v>0</v>
      </c>
      <c r="BD674">
        <f>IF(Metadata!R674="",FALSE,TRUE)</f>
        <v>0</v>
      </c>
      <c r="BE674">
        <f>OR(AND(IF(Metadata!S674="",FALSE,TRUE),OR(exact(Metadata!S674,"not collected"),exact(Metadata!S674,"not provided"),exact(Metadata!S674,"restricted access"))),AND(IF(Metadata!S674="",FALSE,ISNUMBER(VALUE(Metadata!S674))),Metadata!S674&gt;=-90.00,Metadata!S674&lt;=90.00))</f>
        <v>0</v>
      </c>
      <c r="BF674">
        <f>AND(IF(Metadata!T674="",FALSE,TRUE),exact(Metadata!T674,"Decimal degrees"))</f>
        <v>0</v>
      </c>
      <c r="BG674">
        <f>OR(AND(IF(Metadata!U674="",FALSE,TRUE),OR(exact(Metadata!U674,"not collected"),exact(Metadata!U674,"not provided"),exact(Metadata!U674,"restricted access"))),AND(IF(Metadata!U674="",FALSE,ISNUMBER(VALUE(Metadata!U674))),Metadata!U674&gt;=-180.00,Metadata!U674&lt;=180.00))</f>
        <v>0</v>
      </c>
      <c r="BH674">
        <f>AND(IF(Metadata!V674="",FALSE,TRUE),exact(Metadata!V674,"Decimal degrees"))</f>
        <v>0</v>
      </c>
      <c r="BI674">
        <f>IF(Metadata!W674="",FALSE,TRUE)</f>
        <v>0</v>
      </c>
      <c r="BJ674">
        <f>OR(AND(IF(Metadata!X674="",FALSE,TRUE),OR(exact(Metadata!X674,"not collected"),exact(Metadata!X674,"not provided"),exact(Metadata!X674,"restricted access"))),AND(IF(Metadata!X674="",FALSE,TRUE),OR(exact(Metadata!X674,"TRUE"),exact(Metadata!X674,"FALSE"))))</f>
        <v>0</v>
      </c>
      <c r="BK674">
        <f>AND(IF(Metadata!Y674="",FALSE,TRUE),exact(Metadata!Y674,"other"))</f>
        <v>0</v>
      </c>
      <c r="BL674">
        <f>IF(Metadata!Z674="",FALSE,TRUE)</f>
        <v>0</v>
      </c>
      <c r="BM674">
        <f>OR(AND(IF(Metadata!AA674="",FALSE,TRUE),OR(exact(Metadata!AA674,"not collected"),exact(Metadata!AA674,"not provided"))),AND(IF(Metadata!AA674="",FALSE,IF(ISERROR(INT(Metadata!AA674)),FALSE,INT(Metadata!AA674)=Metadata!AA674)),Metadata!AA674&gt;0))</f>
        <v>0</v>
      </c>
      <c r="BN674">
        <f>AND(IF(Metadata!AB674="",FALSE,TRUE),exact(Metadata!AB674,"Not applicable"))</f>
        <v>0</v>
      </c>
      <c r="BO674">
        <f>IF(Metadata!AC674="",FALSE,TRUE)</f>
        <v>0</v>
      </c>
    </row>
    <row r="675" spans="1:67">
      <c r="A675" s="5">
        <f>IF(B675=" "," ",HYPERLINK(CONCATENATE("#metadata!",ADDRESS(INDEX($AI$2:$AI$1001,MATCH(ROWS($AG$2:AG675),$AG$2:$AG$1001,0),0),1)),INDEX($AL$2:$AL$1001,MATCH(ROWS($AG$2:AG675),$AG$2:$AG$1001,0),0)))</f>
        <v>0</v>
      </c>
      <c r="B675" s="4">
        <f>IF(OR(INDEX($AH$2:$AH$1001,MATCH(ROWS($AG$2:AG675),$AG$2:$AG$1001,0),1)&gt;=100000,INDEX($AN$1005:$BO$1005,1,MATCH(COLUMNS($AN$1006:AN1006),$AN$1006:$BO$1006,0))&gt;=100000), " ",IF(INDEX($AN$2:$BO$1001,MATCH(ROWS($AG$2:AG675),$AG$2:$AG$1001,0),MATCH(COLUMNS($AN$1006:AN1006),$AN$1006:$BO$1006,0)), HYPERLINK("#",""), HYPERLINK(CONCATENATE("#Metadata!", ADDRESS(INDEX($AI$2:$AI$1001,MATCH(ROWS($AG$2:AG675),$AG$2:$AG$1001,0),0), INDEX($AN$1004:$BO$1004,1,MATCH(COLUMNS($AN$1006:AN1006),$AN$1006:$BO$1006,0)))),"Fix")))</f>
        <v>0</v>
      </c>
      <c r="C675" s="4">
        <f>IF(OR(INDEX($AH$2:$AH$1001,MATCH(ROWS($AG$2:AG675),$AG$2:$AG$1001,0),1)&gt;=100000,INDEX($AN$1005:$BO$1005,1,MATCH(COLUMNS($AN$1006:AO1006),$AN$1006:$BO$1006,0))&gt;=100000), " ",IF(INDEX($AN$2:$BO$1001,MATCH(ROWS($AG$2:AG675),$AG$2:$AG$1001,0),MATCH(COLUMNS($AN$1006:AO1006),$AN$1006:$BO$1006,0)), HYPERLINK("#",""), HYPERLINK(CONCATENATE("#Metadata!", ADDRESS(INDEX($AI$2:$AI$1001,MATCH(ROWS($AG$2:AG675),$AG$2:$AG$1001,0),0), INDEX($AN$1004:$BO$1004,1,MATCH(COLUMNS($AN$1006:AO1006),$AN$1006:$BO$1006,0)))),"Fix")))</f>
        <v>0</v>
      </c>
      <c r="D675" s="4">
        <f>IF(OR(INDEX($AH$2:$AH$1001,MATCH(ROWS($AG$2:AG675),$AG$2:$AG$1001,0),1)&gt;=100000,INDEX($AN$1005:$BO$1005,1,MATCH(COLUMNS($AN$1006:AP1006),$AN$1006:$BO$1006,0))&gt;=100000), " ",IF(INDEX($AN$2:$BO$1001,MATCH(ROWS($AG$2:AG675),$AG$2:$AG$1001,0),MATCH(COLUMNS($AN$1006:AP1006),$AN$1006:$BO$1006,0)), HYPERLINK("#",""), HYPERLINK(CONCATENATE("#Metadata!", ADDRESS(INDEX($AI$2:$AI$1001,MATCH(ROWS($AG$2:AG675),$AG$2:$AG$1001,0),0), INDEX($AN$1004:$BO$1004,1,MATCH(COLUMNS($AN$1006:AP1006),$AN$1006:$BO$1006,0)))),"Fix")))</f>
        <v>0</v>
      </c>
      <c r="E675" s="4">
        <f>IF(OR(INDEX($AH$2:$AH$1001,MATCH(ROWS($AG$2:AG675),$AG$2:$AG$1001,0),1)&gt;=100000,INDEX($AN$1005:$BO$1005,1,MATCH(COLUMNS($AN$1006:AQ1006),$AN$1006:$BO$1006,0))&gt;=100000), " ",IF(INDEX($AN$2:$BO$1001,MATCH(ROWS($AG$2:AG675),$AG$2:$AG$1001,0),MATCH(COLUMNS($AN$1006:AQ1006),$AN$1006:$BO$1006,0)), HYPERLINK("#",""), HYPERLINK(CONCATENATE("#Metadata!", ADDRESS(INDEX($AI$2:$AI$1001,MATCH(ROWS($AG$2:AG675),$AG$2:$AG$1001,0),0), INDEX($AN$1004:$BO$1004,1,MATCH(COLUMNS($AN$1006:AQ1006),$AN$1006:$BO$1006,0)))),"Fix")))</f>
        <v>0</v>
      </c>
      <c r="F675" s="4">
        <f>IF(OR(INDEX($AH$2:$AH$1001,MATCH(ROWS($AG$2:AG675),$AG$2:$AG$1001,0),1)&gt;=100000,INDEX($AN$1005:$BO$1005,1,MATCH(COLUMNS($AN$1006:AR1006),$AN$1006:$BO$1006,0))&gt;=100000), " ",IF(INDEX($AN$2:$BO$1001,MATCH(ROWS($AG$2:AG675),$AG$2:$AG$1001,0),MATCH(COLUMNS($AN$1006:AR1006),$AN$1006:$BO$1006,0)), HYPERLINK("#",""), HYPERLINK(CONCATENATE("#Metadata!", ADDRESS(INDEX($AI$2:$AI$1001,MATCH(ROWS($AG$2:AG675),$AG$2:$AG$1001,0),0), INDEX($AN$1004:$BO$1004,1,MATCH(COLUMNS($AN$1006:AR1006),$AN$1006:$BO$1006,0)))),"Fix")))</f>
        <v>0</v>
      </c>
      <c r="G675" s="4">
        <f>IF(OR(INDEX($AH$2:$AH$1001,MATCH(ROWS($AG$2:AG675),$AG$2:$AG$1001,0),1)&gt;=100000,INDEX($AN$1005:$BO$1005,1,MATCH(COLUMNS($AN$1006:AS1006),$AN$1006:$BO$1006,0))&gt;=100000), " ",IF(INDEX($AN$2:$BO$1001,MATCH(ROWS($AG$2:AG675),$AG$2:$AG$1001,0),MATCH(COLUMNS($AN$1006:AS1006),$AN$1006:$BO$1006,0)), HYPERLINK("#",""), HYPERLINK(CONCATENATE("#Metadata!", ADDRESS(INDEX($AI$2:$AI$1001,MATCH(ROWS($AG$2:AG675),$AG$2:$AG$1001,0),0), INDEX($AN$1004:$BO$1004,1,MATCH(COLUMNS($AN$1006:AS1006),$AN$1006:$BO$1006,0)))),"Fix")))</f>
        <v>0</v>
      </c>
      <c r="H675" s="4">
        <f>IF(OR(INDEX($AH$2:$AH$1001,MATCH(ROWS($AG$2:AG675),$AG$2:$AG$1001,0),1)&gt;=100000,INDEX($AN$1005:$BO$1005,1,MATCH(COLUMNS($AN$1006:AT1006),$AN$1006:$BO$1006,0))&gt;=100000), " ",IF(INDEX($AN$2:$BO$1001,MATCH(ROWS($AG$2:AG675),$AG$2:$AG$1001,0),MATCH(COLUMNS($AN$1006:AT1006),$AN$1006:$BO$1006,0)), HYPERLINK("#",""), HYPERLINK(CONCATENATE("#Metadata!", ADDRESS(INDEX($AI$2:$AI$1001,MATCH(ROWS($AG$2:AG675),$AG$2:$AG$1001,0),0), INDEX($AN$1004:$BO$1004,1,MATCH(COLUMNS($AN$1006:AT1006),$AN$1006:$BO$1006,0)))),"Fix")))</f>
        <v>0</v>
      </c>
      <c r="I675" s="4">
        <f>IF(OR(INDEX($AH$2:$AH$1001,MATCH(ROWS($AG$2:AG675),$AG$2:$AG$1001,0),1)&gt;=100000,INDEX($AN$1005:$BO$1005,1,MATCH(COLUMNS($AN$1006:AU1006),$AN$1006:$BO$1006,0))&gt;=100000), " ",IF(INDEX($AN$2:$BO$1001,MATCH(ROWS($AG$2:AG675),$AG$2:$AG$1001,0),MATCH(COLUMNS($AN$1006:AU1006),$AN$1006:$BO$1006,0)), HYPERLINK("#",""), HYPERLINK(CONCATENATE("#Metadata!", ADDRESS(INDEX($AI$2:$AI$1001,MATCH(ROWS($AG$2:AG675),$AG$2:$AG$1001,0),0), INDEX($AN$1004:$BO$1004,1,MATCH(COLUMNS($AN$1006:AU1006),$AN$1006:$BO$1006,0)))),"Fix")))</f>
        <v>0</v>
      </c>
      <c r="J675" s="4">
        <f>IF(OR(INDEX($AH$2:$AH$1001,MATCH(ROWS($AG$2:AG675),$AG$2:$AG$1001,0),1)&gt;=100000,INDEX($AN$1005:$BO$1005,1,MATCH(COLUMNS($AN$1006:AV1006),$AN$1006:$BO$1006,0))&gt;=100000), " ",IF(INDEX($AN$2:$BO$1001,MATCH(ROWS($AG$2:AG675),$AG$2:$AG$1001,0),MATCH(COLUMNS($AN$1006:AV1006),$AN$1006:$BO$1006,0)), HYPERLINK("#",""), HYPERLINK(CONCATENATE("#Metadata!", ADDRESS(INDEX($AI$2:$AI$1001,MATCH(ROWS($AG$2:AG675),$AG$2:$AG$1001,0),0), INDEX($AN$1004:$BO$1004,1,MATCH(COLUMNS($AN$1006:AV1006),$AN$1006:$BO$1006,0)))),"Fix")))</f>
        <v>0</v>
      </c>
      <c r="K675" s="4">
        <f>IF(OR(INDEX($AH$2:$AH$1001,MATCH(ROWS($AG$2:AG675),$AG$2:$AG$1001,0),1)&gt;=100000,INDEX($AN$1005:$BO$1005,1,MATCH(COLUMNS($AN$1006:AW1006),$AN$1006:$BO$1006,0))&gt;=100000), " ",IF(INDEX($AN$2:$BO$1001,MATCH(ROWS($AG$2:AG675),$AG$2:$AG$1001,0),MATCH(COLUMNS($AN$1006:AW1006),$AN$1006:$BO$1006,0)), HYPERLINK("#",""), HYPERLINK(CONCATENATE("#Metadata!", ADDRESS(INDEX($AI$2:$AI$1001,MATCH(ROWS($AG$2:AG675),$AG$2:$AG$1001,0),0), INDEX($AN$1004:$BO$1004,1,MATCH(COLUMNS($AN$1006:AW1006),$AN$1006:$BO$1006,0)))),"Fix")))</f>
        <v>0</v>
      </c>
      <c r="L675" s="4">
        <f>IF(OR(INDEX($AH$2:$AH$1001,MATCH(ROWS($AG$2:AG675),$AG$2:$AG$1001,0),1)&gt;=100000,INDEX($AN$1005:$BO$1005,1,MATCH(COLUMNS($AN$1006:AX1006),$AN$1006:$BO$1006,0))&gt;=100000), " ",IF(INDEX($AN$2:$BO$1001,MATCH(ROWS($AG$2:AG675),$AG$2:$AG$1001,0),MATCH(COLUMNS($AN$1006:AX1006),$AN$1006:$BO$1006,0)), HYPERLINK("#",""), HYPERLINK(CONCATENATE("#Metadata!", ADDRESS(INDEX($AI$2:$AI$1001,MATCH(ROWS($AG$2:AG675),$AG$2:$AG$1001,0),0), INDEX($AN$1004:$BO$1004,1,MATCH(COLUMNS($AN$1006:AX1006),$AN$1006:$BO$1006,0)))),"Fix")))</f>
        <v>0</v>
      </c>
      <c r="M675" s="4">
        <f>IF(OR(INDEX($AH$2:$AH$1001,MATCH(ROWS($AG$2:AG675),$AG$2:$AG$1001,0),1)&gt;=100000,INDEX($AN$1005:$BO$1005,1,MATCH(COLUMNS($AN$1006:AY1006),$AN$1006:$BO$1006,0))&gt;=100000), " ",IF(INDEX($AN$2:$BO$1001,MATCH(ROWS($AG$2:AG675),$AG$2:$AG$1001,0),MATCH(COLUMNS($AN$1006:AY1006),$AN$1006:$BO$1006,0)), HYPERLINK("#",""), HYPERLINK(CONCATENATE("#Metadata!", ADDRESS(INDEX($AI$2:$AI$1001,MATCH(ROWS($AG$2:AG675),$AG$2:$AG$1001,0),0), INDEX($AN$1004:$BO$1004,1,MATCH(COLUMNS($AN$1006:AY1006),$AN$1006:$BO$1006,0)))),"Fix")))</f>
        <v>0</v>
      </c>
      <c r="N675" s="4">
        <f>IF(OR(INDEX($AH$2:$AH$1001,MATCH(ROWS($AG$2:AG675),$AG$2:$AG$1001,0),1)&gt;=100000,INDEX($AN$1005:$BO$1005,1,MATCH(COLUMNS($AN$1006:AZ1006),$AN$1006:$BO$1006,0))&gt;=100000), " ",IF(INDEX($AN$2:$BO$1001,MATCH(ROWS($AG$2:AG675),$AG$2:$AG$1001,0),MATCH(COLUMNS($AN$1006:AZ1006),$AN$1006:$BO$1006,0)), HYPERLINK("#",""), HYPERLINK(CONCATENATE("#Metadata!", ADDRESS(INDEX($AI$2:$AI$1001,MATCH(ROWS($AG$2:AG675),$AG$2:$AG$1001,0),0), INDEX($AN$1004:$BO$1004,1,MATCH(COLUMNS($AN$1006:AZ1006),$AN$1006:$BO$1006,0)))),"Fix")))</f>
        <v>0</v>
      </c>
      <c r="O675" s="4">
        <f>IF(OR(INDEX($AH$2:$AH$1001,MATCH(ROWS($AG$2:AG675),$AG$2:$AG$1001,0),1)&gt;=100000,INDEX($AN$1005:$BO$1005,1,MATCH(COLUMNS($AN$1006:BA1006),$AN$1006:$BO$1006,0))&gt;=100000), " ",IF(INDEX($AN$2:$BO$1001,MATCH(ROWS($AG$2:AG675),$AG$2:$AG$1001,0),MATCH(COLUMNS($AN$1006:BA1006),$AN$1006:$BO$1006,0)), HYPERLINK("#",""), HYPERLINK(CONCATENATE("#Metadata!", ADDRESS(INDEX($AI$2:$AI$1001,MATCH(ROWS($AG$2:AG675),$AG$2:$AG$1001,0),0), INDEX($AN$1004:$BO$1004,1,MATCH(COLUMNS($AN$1006:BA1006),$AN$1006:$BO$1006,0)))),"Fix")))</f>
        <v>0</v>
      </c>
      <c r="P675" s="4">
        <f>IF(OR(INDEX($AH$2:$AH$1001,MATCH(ROWS($AG$2:AG675),$AG$2:$AG$1001,0),1)&gt;=100000,INDEX($AN$1005:$BO$1005,1,MATCH(COLUMNS($AN$1006:BB1006),$AN$1006:$BO$1006,0))&gt;=100000), " ",IF(INDEX($AN$2:$BO$1001,MATCH(ROWS($AG$2:AG675),$AG$2:$AG$1001,0),MATCH(COLUMNS($AN$1006:BB1006),$AN$1006:$BO$1006,0)), HYPERLINK("#",""), HYPERLINK(CONCATENATE("#Metadata!", ADDRESS(INDEX($AI$2:$AI$1001,MATCH(ROWS($AG$2:AG675),$AG$2:$AG$1001,0),0), INDEX($AN$1004:$BO$1004,1,MATCH(COLUMNS($AN$1006:BB1006),$AN$1006:$BO$1006,0)))),"Fix")))</f>
        <v>0</v>
      </c>
      <c r="Q675" s="4">
        <f>IF(OR(INDEX($AH$2:$AH$1001,MATCH(ROWS($AG$2:AG675),$AG$2:$AG$1001,0),1)&gt;=100000,INDEX($AN$1005:$BO$1005,1,MATCH(COLUMNS($AN$1006:BC1006),$AN$1006:$BO$1006,0))&gt;=100000), " ",IF(INDEX($AN$2:$BO$1001,MATCH(ROWS($AG$2:AG675),$AG$2:$AG$1001,0),MATCH(COLUMNS($AN$1006:BC1006),$AN$1006:$BO$1006,0)), HYPERLINK("#",""), HYPERLINK(CONCATENATE("#Metadata!", ADDRESS(INDEX($AI$2:$AI$1001,MATCH(ROWS($AG$2:AG675),$AG$2:$AG$1001,0),0), INDEX($AN$1004:$BO$1004,1,MATCH(COLUMNS($AN$1006:BC1006),$AN$1006:$BO$1006,0)))),"Fix")))</f>
        <v>0</v>
      </c>
      <c r="R675" s="4">
        <f>IF(OR(INDEX($AH$2:$AH$1001,MATCH(ROWS($AG$2:AG675),$AG$2:$AG$1001,0),1)&gt;=100000,INDEX($AN$1005:$BO$1005,1,MATCH(COLUMNS($AN$1006:BD1006),$AN$1006:$BO$1006,0))&gt;=100000), " ",IF(INDEX($AN$2:$BO$1001,MATCH(ROWS($AG$2:AG675),$AG$2:$AG$1001,0),MATCH(COLUMNS($AN$1006:BD1006),$AN$1006:$BO$1006,0)), HYPERLINK("#",""), HYPERLINK(CONCATENATE("#Metadata!", ADDRESS(INDEX($AI$2:$AI$1001,MATCH(ROWS($AG$2:AG675),$AG$2:$AG$1001,0),0), INDEX($AN$1004:$BO$1004,1,MATCH(COLUMNS($AN$1006:BD1006),$AN$1006:$BO$1006,0)))),"Fix")))</f>
        <v>0</v>
      </c>
      <c r="S675" s="4">
        <f>IF(OR(INDEX($AH$2:$AH$1001,MATCH(ROWS($AG$2:AG675),$AG$2:$AG$1001,0),1)&gt;=100000,INDEX($AN$1005:$BO$1005,1,MATCH(COLUMNS($AN$1006:BE1006),$AN$1006:$BO$1006,0))&gt;=100000), " ",IF(INDEX($AN$2:$BO$1001,MATCH(ROWS($AG$2:AG675),$AG$2:$AG$1001,0),MATCH(COLUMNS($AN$1006:BE1006),$AN$1006:$BO$1006,0)), HYPERLINK("#",""), HYPERLINK(CONCATENATE("#Metadata!", ADDRESS(INDEX($AI$2:$AI$1001,MATCH(ROWS($AG$2:AG675),$AG$2:$AG$1001,0),0), INDEX($AN$1004:$BO$1004,1,MATCH(COLUMNS($AN$1006:BE1006),$AN$1006:$BO$1006,0)))),"Fix")))</f>
        <v>0</v>
      </c>
      <c r="T675" s="4">
        <f>IF(OR(INDEX($AH$2:$AH$1001,MATCH(ROWS($AG$2:AG675),$AG$2:$AG$1001,0),1)&gt;=100000,INDEX($AN$1005:$BO$1005,1,MATCH(COLUMNS($AN$1006:BF1006),$AN$1006:$BO$1006,0))&gt;=100000), " ",IF(INDEX($AN$2:$BO$1001,MATCH(ROWS($AG$2:AG675),$AG$2:$AG$1001,0),MATCH(COLUMNS($AN$1006:BF1006),$AN$1006:$BO$1006,0)), HYPERLINK("#",""), HYPERLINK(CONCATENATE("#Metadata!", ADDRESS(INDEX($AI$2:$AI$1001,MATCH(ROWS($AG$2:AG675),$AG$2:$AG$1001,0),0), INDEX($AN$1004:$BO$1004,1,MATCH(COLUMNS($AN$1006:BF1006),$AN$1006:$BO$1006,0)))),"Fix")))</f>
        <v>0</v>
      </c>
      <c r="U675" s="4">
        <f>IF(OR(INDEX($AH$2:$AH$1001,MATCH(ROWS($AG$2:AG675),$AG$2:$AG$1001,0),1)&gt;=100000,INDEX($AN$1005:$BO$1005,1,MATCH(COLUMNS($AN$1006:BG1006),$AN$1006:$BO$1006,0))&gt;=100000), " ",IF(INDEX($AN$2:$BO$1001,MATCH(ROWS($AG$2:AG675),$AG$2:$AG$1001,0),MATCH(COLUMNS($AN$1006:BG1006),$AN$1006:$BO$1006,0)), HYPERLINK("#",""), HYPERLINK(CONCATENATE("#Metadata!", ADDRESS(INDEX($AI$2:$AI$1001,MATCH(ROWS($AG$2:AG675),$AG$2:$AG$1001,0),0), INDEX($AN$1004:$BO$1004,1,MATCH(COLUMNS($AN$1006:BG1006),$AN$1006:$BO$1006,0)))),"Fix")))</f>
        <v>0</v>
      </c>
      <c r="V675" s="4">
        <f>IF(OR(INDEX($AH$2:$AH$1001,MATCH(ROWS($AG$2:AG675),$AG$2:$AG$1001,0),1)&gt;=100000,INDEX($AN$1005:$BO$1005,1,MATCH(COLUMNS($AN$1006:BH1006),$AN$1006:$BO$1006,0))&gt;=100000), " ",IF(INDEX($AN$2:$BO$1001,MATCH(ROWS($AG$2:AG675),$AG$2:$AG$1001,0),MATCH(COLUMNS($AN$1006:BH1006),$AN$1006:$BO$1006,0)), HYPERLINK("#",""), HYPERLINK(CONCATENATE("#Metadata!", ADDRESS(INDEX($AI$2:$AI$1001,MATCH(ROWS($AG$2:AG675),$AG$2:$AG$1001,0),0), INDEX($AN$1004:$BO$1004,1,MATCH(COLUMNS($AN$1006:BH1006),$AN$1006:$BO$1006,0)))),"Fix")))</f>
        <v>0</v>
      </c>
      <c r="W675" s="4">
        <f>IF(OR(INDEX($AH$2:$AH$1001,MATCH(ROWS($AG$2:AG675),$AG$2:$AG$1001,0),1)&gt;=100000,INDEX($AN$1005:$BO$1005,1,MATCH(COLUMNS($AN$1006:BI1006),$AN$1006:$BO$1006,0))&gt;=100000), " ",IF(INDEX($AN$2:$BO$1001,MATCH(ROWS($AG$2:AG675),$AG$2:$AG$1001,0),MATCH(COLUMNS($AN$1006:BI1006),$AN$1006:$BO$1006,0)), HYPERLINK("#",""), HYPERLINK(CONCATENATE("#Metadata!", ADDRESS(INDEX($AI$2:$AI$1001,MATCH(ROWS($AG$2:AG675),$AG$2:$AG$1001,0),0), INDEX($AN$1004:$BO$1004,1,MATCH(COLUMNS($AN$1006:BI1006),$AN$1006:$BO$1006,0)))),"Fix")))</f>
        <v>0</v>
      </c>
      <c r="X675" s="4">
        <f>IF(OR(INDEX($AH$2:$AH$1001,MATCH(ROWS($AG$2:AG675),$AG$2:$AG$1001,0),1)&gt;=100000,INDEX($AN$1005:$BO$1005,1,MATCH(COLUMNS($AN$1006:BJ1006),$AN$1006:$BO$1006,0))&gt;=100000), " ",IF(INDEX($AN$2:$BO$1001,MATCH(ROWS($AG$2:AG675),$AG$2:$AG$1001,0),MATCH(COLUMNS($AN$1006:BJ1006),$AN$1006:$BO$1006,0)), HYPERLINK("#",""), HYPERLINK(CONCATENATE("#Metadata!", ADDRESS(INDEX($AI$2:$AI$1001,MATCH(ROWS($AG$2:AG675),$AG$2:$AG$1001,0),0), INDEX($AN$1004:$BO$1004,1,MATCH(COLUMNS($AN$1006:BJ1006),$AN$1006:$BO$1006,0)))),"Fix")))</f>
        <v>0</v>
      </c>
      <c r="Y675" s="4">
        <f>IF(OR(INDEX($AH$2:$AH$1001,MATCH(ROWS($AG$2:AG675),$AG$2:$AG$1001,0),1)&gt;=100000,INDEX($AN$1005:$BO$1005,1,MATCH(COLUMNS($AN$1006:BK1006),$AN$1006:$BO$1006,0))&gt;=100000), " ",IF(INDEX($AN$2:$BO$1001,MATCH(ROWS($AG$2:AG675),$AG$2:$AG$1001,0),MATCH(COLUMNS($AN$1006:BK1006),$AN$1006:$BO$1006,0)), HYPERLINK("#",""), HYPERLINK(CONCATENATE("#Metadata!", ADDRESS(INDEX($AI$2:$AI$1001,MATCH(ROWS($AG$2:AG675),$AG$2:$AG$1001,0),0), INDEX($AN$1004:$BO$1004,1,MATCH(COLUMNS($AN$1006:BK1006),$AN$1006:$BO$1006,0)))),"Fix")))</f>
        <v>0</v>
      </c>
      <c r="Z675" s="4">
        <f>IF(OR(INDEX($AH$2:$AH$1001,MATCH(ROWS($AG$2:AG675),$AG$2:$AG$1001,0),1)&gt;=100000,INDEX($AN$1005:$BO$1005,1,MATCH(COLUMNS($AN$1006:BL1006),$AN$1006:$BO$1006,0))&gt;=100000), " ",IF(INDEX($AN$2:$BO$1001,MATCH(ROWS($AG$2:AG675),$AG$2:$AG$1001,0),MATCH(COLUMNS($AN$1006:BL1006),$AN$1006:$BO$1006,0)), HYPERLINK("#",""), HYPERLINK(CONCATENATE("#Metadata!", ADDRESS(INDEX($AI$2:$AI$1001,MATCH(ROWS($AG$2:AG675),$AG$2:$AG$1001,0),0), INDEX($AN$1004:$BO$1004,1,MATCH(COLUMNS($AN$1006:BL1006),$AN$1006:$BO$1006,0)))),"Fix")))</f>
        <v>0</v>
      </c>
      <c r="AA675" s="4">
        <f>IF(OR(INDEX($AH$2:$AH$1001,MATCH(ROWS($AG$2:AG675),$AG$2:$AG$1001,0),1)&gt;=100000,INDEX($AN$1005:$BO$1005,1,MATCH(COLUMNS($AN$1006:BM1006),$AN$1006:$BO$1006,0))&gt;=100000), " ",IF(INDEX($AN$2:$BO$1001,MATCH(ROWS($AG$2:AG675),$AG$2:$AG$1001,0),MATCH(COLUMNS($AN$1006:BM1006),$AN$1006:$BO$1006,0)), HYPERLINK("#",""), HYPERLINK(CONCATENATE("#Metadata!", ADDRESS(INDEX($AI$2:$AI$1001,MATCH(ROWS($AG$2:AG675),$AG$2:$AG$1001,0),0), INDEX($AN$1004:$BO$1004,1,MATCH(COLUMNS($AN$1006:BM1006),$AN$1006:$BO$1006,0)))),"Fix")))</f>
        <v>0</v>
      </c>
      <c r="AB675" s="4">
        <f>IF(OR(INDEX($AH$2:$AH$1001,MATCH(ROWS($AG$2:AG675),$AG$2:$AG$1001,0),1)&gt;=100000,INDEX($AN$1005:$BO$1005,1,MATCH(COLUMNS($AN$1006:BN1006),$AN$1006:$BO$1006,0))&gt;=100000), " ",IF(INDEX($AN$2:$BO$1001,MATCH(ROWS($AG$2:AG675),$AG$2:$AG$1001,0),MATCH(COLUMNS($AN$1006:BN1006),$AN$1006:$BO$1006,0)), HYPERLINK("#",""), HYPERLINK(CONCATENATE("#Metadata!", ADDRESS(INDEX($AI$2:$AI$1001,MATCH(ROWS($AG$2:AG675),$AG$2:$AG$1001,0),0), INDEX($AN$1004:$BO$1004,1,MATCH(COLUMNS($AN$1006:BN1006),$AN$1006:$BO$1006,0)))),"Fix")))</f>
        <v>0</v>
      </c>
      <c r="AC675" s="4">
        <f>IF(OR(INDEX($AH$2:$AH$1001,MATCH(ROWS($AG$2:AG675),$AG$2:$AG$1001,0),1)&gt;=100000,INDEX($AN$1005:$BO$1005,1,MATCH(COLUMNS($AN$1006:BO1006),$AN$1006:$BO$1006,0))&gt;=100000), " ",IF(INDEX($AN$2:$BO$1001,MATCH(ROWS($AG$2:AG675),$AG$2:$AG$1001,0),MATCH(COLUMNS($AN$1006:BO1006),$AN$1006:$BO$1006,0)), HYPERLINK("#",""), HYPERLINK(CONCATENATE("#Metadata!", ADDRESS(INDEX($AI$2:$AI$1001,MATCH(ROWS($AG$2:AG675),$AG$2:$AG$1001,0),0), INDEX($AN$1004:$BO$1004,1,MATCH(COLUMNS($AN$1006:BO1006),$AN$1006:$BO$1006,0)))),"Fix")))</f>
        <v>0</v>
      </c>
      <c r="AG675">
        <v>0</v>
      </c>
      <c r="AH675">
        <v>0</v>
      </c>
      <c r="AI675">
        <v>0</v>
      </c>
      <c r="AJ675">
        <f>IF(AK675,TRUE,AND(AN675:BO675))</f>
        <v>0</v>
      </c>
      <c r="AK675">
        <f>COUNTBLANK(Metadata!B675:AC675)=COLUMNS(Metadata!B675:AC675)</f>
        <v>0</v>
      </c>
      <c r="AL675">
        <v>0</v>
      </c>
      <c r="AN675">
        <f>AND(IF(Metadata!B675="",FALSE,TRUE),COUNTIF(Metadata!B:B, Metadata!B675) = 1,NOT(ISERROR(SUMPRODUCT(SEARCH(MID(Metadata!B675,ROW(INDIRECT("1:"&amp;LEN(Metadata!B675))), 1),"0123456789abcdefghijklmnopqrstuvwxyzABCDEFGHIJKLMNOPQRSTUVWXYZ.")))))</f>
        <v>0</v>
      </c>
      <c r="AO675">
        <f>IF(Metadata!C675="",FALSE,TRUE)</f>
        <v>0</v>
      </c>
      <c r="AP675">
        <f>IF(Metadata!D675="",FALSE,TRUE)</f>
        <v>0</v>
      </c>
      <c r="AQ675">
        <f>OR(AND(IF(Metadata!E675="",FALSE,TRUE),OR(exact(Metadata!E675,"not collected"),exact(Metadata!E675,"not provided"),exact(Metadata!E675,"restricted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R675">
        <f>IF(Metadata!F675="",FALSE,TRUE)</f>
        <v>0</v>
      </c>
      <c r="AS675">
        <f>OR(AND(IF(Metadata!G675="",FALSE,TRUE),OR(exact(Metadata!G675,"not collected"),exact(Metadata!G675,"not provided"))),AND(IF(Metadata!G675="",FALSE,TRUE),OR(exact(Metadata!G675,"TRUE"),exact(Metadata!G675,"FALSE"))))</f>
        <v>0</v>
      </c>
      <c r="AT675">
        <f>OR(AND(IF(Metadata!H675="",FALSE,TRUE),OR(exact(Metadata!H675,"not collected"),exact(Metadata!H675,"not provided"),exact(Metadata!H675,"restricted access"))),AND(IF(Metadata!H675="",FALSE,ISNUMBER(VALUE(Metadata!H675))),Metadata!H675&gt;=-413.0))</f>
        <v>0</v>
      </c>
      <c r="AU675">
        <f>AND(IF(Metadata!I675="",FALSE,TRUE),exact(Metadata!I675,"meters"))</f>
        <v>0</v>
      </c>
      <c r="AV675">
        <f>AND(IF(Metadata!J675="",FALSE,TRUE),OR(exact(Metadata!J675,"Host-associated"),exact(Metadata!J675,"Free-living")))</f>
        <v>0</v>
      </c>
      <c r="AW675">
        <f>AND(IF(Metadata!K675="",FALSE,TRUE),OR(exact(Metadata!K675,"Animal"),exact(Metadata!K675,"Fungus"),exact(Metadata!K675,"Plant"),exact(Metadata!K675,"Saline"),exact(Metadata!K675,"Non-saline")))</f>
        <v>0</v>
      </c>
      <c r="AX675">
        <f>AND(IF(Metadata!L675="",FALSE,TRUE),OR(exact(Metadata!L675,"Plant secretion"),exact(Metadata!L675,"Plant rhizosphere"),exact(Metadata!L675,"Plant surface"),exact(Metadata!L675,"Plant corpus"),exact(Metadata!L675,"Fungus surface"),exact(Metadata!L675,"Fungus corpus"),exact(Metadata!L675,"Animal surface"),exact(Metadata!L675,"Animal proximal gut"),exact(Metadata!L675,"Animal corpus"),exact(Metadata!L675,"Animal distal gut"),exact(Metadata!L675,"Animal secretion"),exact(Metadata!L675,"Sub-surface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Y675">
        <f>IF(Metadata!M675="",FALSE,TRUE)</f>
        <v>0</v>
      </c>
      <c r="AZ675">
        <f>IF(Metadata!N675="",FALSE,TRUE)</f>
        <v>0</v>
      </c>
      <c r="BA675">
        <f>IF(Metadata!O675="",FALSE,TRUE)</f>
        <v>0</v>
      </c>
      <c r="BB675">
        <f>OR(AND(IF(Metadata!P675="",FALSE,TRUE),OR(exact(Metadata!P675,"not collected"),exact(Metadata!P675,"not provided"),exact(Metadata!P675,"restricted access"))),AND(IF(Metadata!P675="",FALSE,TRUE),OR(exact(Metadata!P675,"air"),exact(Metadata!P675,"built environment"),exact(Metadata!P675,"host-associated"),exact(Metadata!P675,"human-associated"),exact(Metadata!P675,"human-skin"),exact(Metadata!P675,"human-oral"),exact(Metadata!P675,"human-gut"),exact(Metadata!P675,"human-vaginal"),exact(Metadata!P675,"microbial mat/biofilm"),exact(Metadata!P675,"misc environment"),exact(Metadata!P675,"plant-associated"),exact(Metadata!P675,"sediment"),exact(Metadata!P675,"soil"),exact(Metadata!P675,"wastewater/sludge"),exact(Metadata!P675,"water"))))</f>
        <v>0</v>
      </c>
      <c r="BC675">
        <f>IF(Metadata!Q675="",FALSE,TRUE)</f>
        <v>0</v>
      </c>
      <c r="BD675">
        <f>IF(Metadata!R675="",FALSE,TRUE)</f>
        <v>0</v>
      </c>
      <c r="BE675">
        <f>OR(AND(IF(Metadata!S675="",FALSE,TRUE),OR(exact(Metadata!S675,"not collected"),exact(Metadata!S675,"not provided"),exact(Metadata!S675,"restricted access"))),AND(IF(Metadata!S675="",FALSE,ISNUMBER(VALUE(Metadata!S675))),Metadata!S675&gt;=-90.00,Metadata!S675&lt;=90.00))</f>
        <v>0</v>
      </c>
      <c r="BF675">
        <f>AND(IF(Metadata!T675="",FALSE,TRUE),exact(Metadata!T675,"Decimal degrees"))</f>
        <v>0</v>
      </c>
      <c r="BG675">
        <f>OR(AND(IF(Metadata!U675="",FALSE,TRUE),OR(exact(Metadata!U675,"not collected"),exact(Metadata!U675,"not provided"),exact(Metadata!U675,"restricted access"))),AND(IF(Metadata!U675="",FALSE,ISNUMBER(VALUE(Metadata!U675))),Metadata!U675&gt;=-180.00,Metadata!U675&lt;=180.00))</f>
        <v>0</v>
      </c>
      <c r="BH675">
        <f>AND(IF(Metadata!V675="",FALSE,TRUE),exact(Metadata!V675,"Decimal degrees"))</f>
        <v>0</v>
      </c>
      <c r="BI675">
        <f>IF(Metadata!W675="",FALSE,TRUE)</f>
        <v>0</v>
      </c>
      <c r="BJ675">
        <f>OR(AND(IF(Metadata!X675="",FALSE,TRUE),OR(exact(Metadata!X675,"not collected"),exact(Metadata!X675,"not provided"),exact(Metadata!X675,"restricted access"))),AND(IF(Metadata!X675="",FALSE,TRUE),OR(exact(Metadata!X675,"TRUE"),exact(Metadata!X675,"FALSE"))))</f>
        <v>0</v>
      </c>
      <c r="BK675">
        <f>AND(IF(Metadata!Y675="",FALSE,TRUE),exact(Metadata!Y675,"other"))</f>
        <v>0</v>
      </c>
      <c r="BL675">
        <f>IF(Metadata!Z675="",FALSE,TRUE)</f>
        <v>0</v>
      </c>
      <c r="BM675">
        <f>OR(AND(IF(Metadata!AA675="",FALSE,TRUE),OR(exact(Metadata!AA675,"not collected"),exact(Metadata!AA675,"not provided"))),AND(IF(Metadata!AA675="",FALSE,IF(ISERROR(INT(Metadata!AA675)),FALSE,INT(Metadata!AA675)=Metadata!AA675)),Metadata!AA675&gt;0))</f>
        <v>0</v>
      </c>
      <c r="BN675">
        <f>AND(IF(Metadata!AB675="",FALSE,TRUE),exact(Metadata!AB675,"Not applicable"))</f>
        <v>0</v>
      </c>
      <c r="BO675">
        <f>IF(Metadata!AC675="",FALSE,TRUE)</f>
        <v>0</v>
      </c>
    </row>
    <row r="676" spans="1:67">
      <c r="A676" s="5">
        <f>IF(B676=" "," ",HYPERLINK(CONCATENATE("#metadata!",ADDRESS(INDEX($AI$2:$AI$1001,MATCH(ROWS($AG$2:AG676),$AG$2:$AG$1001,0),0),1)),INDEX($AL$2:$AL$1001,MATCH(ROWS($AG$2:AG676),$AG$2:$AG$1001,0),0)))</f>
        <v>0</v>
      </c>
      <c r="B676" s="4">
        <f>IF(OR(INDEX($AH$2:$AH$1001,MATCH(ROWS($AG$2:AG676),$AG$2:$AG$1001,0),1)&gt;=100000,INDEX($AN$1005:$BO$1005,1,MATCH(COLUMNS($AN$1006:AN1006),$AN$1006:$BO$1006,0))&gt;=100000), " ",IF(INDEX($AN$2:$BO$1001,MATCH(ROWS($AG$2:AG676),$AG$2:$AG$1001,0),MATCH(COLUMNS($AN$1006:AN1006),$AN$1006:$BO$1006,0)), HYPERLINK("#",""), HYPERLINK(CONCATENATE("#Metadata!", ADDRESS(INDEX($AI$2:$AI$1001,MATCH(ROWS($AG$2:AG676),$AG$2:$AG$1001,0),0), INDEX($AN$1004:$BO$1004,1,MATCH(COLUMNS($AN$1006:AN1006),$AN$1006:$BO$1006,0)))),"Fix")))</f>
        <v>0</v>
      </c>
      <c r="C676" s="4">
        <f>IF(OR(INDEX($AH$2:$AH$1001,MATCH(ROWS($AG$2:AG676),$AG$2:$AG$1001,0),1)&gt;=100000,INDEX($AN$1005:$BO$1005,1,MATCH(COLUMNS($AN$1006:AO1006),$AN$1006:$BO$1006,0))&gt;=100000), " ",IF(INDEX($AN$2:$BO$1001,MATCH(ROWS($AG$2:AG676),$AG$2:$AG$1001,0),MATCH(COLUMNS($AN$1006:AO1006),$AN$1006:$BO$1006,0)), HYPERLINK("#",""), HYPERLINK(CONCATENATE("#Metadata!", ADDRESS(INDEX($AI$2:$AI$1001,MATCH(ROWS($AG$2:AG676),$AG$2:$AG$1001,0),0), INDEX($AN$1004:$BO$1004,1,MATCH(COLUMNS($AN$1006:AO1006),$AN$1006:$BO$1006,0)))),"Fix")))</f>
        <v>0</v>
      </c>
      <c r="D676" s="4">
        <f>IF(OR(INDEX($AH$2:$AH$1001,MATCH(ROWS($AG$2:AG676),$AG$2:$AG$1001,0),1)&gt;=100000,INDEX($AN$1005:$BO$1005,1,MATCH(COLUMNS($AN$1006:AP1006),$AN$1006:$BO$1006,0))&gt;=100000), " ",IF(INDEX($AN$2:$BO$1001,MATCH(ROWS($AG$2:AG676),$AG$2:$AG$1001,0),MATCH(COLUMNS($AN$1006:AP1006),$AN$1006:$BO$1006,0)), HYPERLINK("#",""), HYPERLINK(CONCATENATE("#Metadata!", ADDRESS(INDEX($AI$2:$AI$1001,MATCH(ROWS($AG$2:AG676),$AG$2:$AG$1001,0),0), INDEX($AN$1004:$BO$1004,1,MATCH(COLUMNS($AN$1006:AP1006),$AN$1006:$BO$1006,0)))),"Fix")))</f>
        <v>0</v>
      </c>
      <c r="E676" s="4">
        <f>IF(OR(INDEX($AH$2:$AH$1001,MATCH(ROWS($AG$2:AG676),$AG$2:$AG$1001,0),1)&gt;=100000,INDEX($AN$1005:$BO$1005,1,MATCH(COLUMNS($AN$1006:AQ1006),$AN$1006:$BO$1006,0))&gt;=100000), " ",IF(INDEX($AN$2:$BO$1001,MATCH(ROWS($AG$2:AG676),$AG$2:$AG$1001,0),MATCH(COLUMNS($AN$1006:AQ1006),$AN$1006:$BO$1006,0)), HYPERLINK("#",""), HYPERLINK(CONCATENATE("#Metadata!", ADDRESS(INDEX($AI$2:$AI$1001,MATCH(ROWS($AG$2:AG676),$AG$2:$AG$1001,0),0), INDEX($AN$1004:$BO$1004,1,MATCH(COLUMNS($AN$1006:AQ1006),$AN$1006:$BO$1006,0)))),"Fix")))</f>
        <v>0</v>
      </c>
      <c r="F676" s="4">
        <f>IF(OR(INDEX($AH$2:$AH$1001,MATCH(ROWS($AG$2:AG676),$AG$2:$AG$1001,0),1)&gt;=100000,INDEX($AN$1005:$BO$1005,1,MATCH(COLUMNS($AN$1006:AR1006),$AN$1006:$BO$1006,0))&gt;=100000), " ",IF(INDEX($AN$2:$BO$1001,MATCH(ROWS($AG$2:AG676),$AG$2:$AG$1001,0),MATCH(COLUMNS($AN$1006:AR1006),$AN$1006:$BO$1006,0)), HYPERLINK("#",""), HYPERLINK(CONCATENATE("#Metadata!", ADDRESS(INDEX($AI$2:$AI$1001,MATCH(ROWS($AG$2:AG676),$AG$2:$AG$1001,0),0), INDEX($AN$1004:$BO$1004,1,MATCH(COLUMNS($AN$1006:AR1006),$AN$1006:$BO$1006,0)))),"Fix")))</f>
        <v>0</v>
      </c>
      <c r="G676" s="4">
        <f>IF(OR(INDEX($AH$2:$AH$1001,MATCH(ROWS($AG$2:AG676),$AG$2:$AG$1001,0),1)&gt;=100000,INDEX($AN$1005:$BO$1005,1,MATCH(COLUMNS($AN$1006:AS1006),$AN$1006:$BO$1006,0))&gt;=100000), " ",IF(INDEX($AN$2:$BO$1001,MATCH(ROWS($AG$2:AG676),$AG$2:$AG$1001,0),MATCH(COLUMNS($AN$1006:AS1006),$AN$1006:$BO$1006,0)), HYPERLINK("#",""), HYPERLINK(CONCATENATE("#Metadata!", ADDRESS(INDEX($AI$2:$AI$1001,MATCH(ROWS($AG$2:AG676),$AG$2:$AG$1001,0),0), INDEX($AN$1004:$BO$1004,1,MATCH(COLUMNS($AN$1006:AS1006),$AN$1006:$BO$1006,0)))),"Fix")))</f>
        <v>0</v>
      </c>
      <c r="H676" s="4">
        <f>IF(OR(INDEX($AH$2:$AH$1001,MATCH(ROWS($AG$2:AG676),$AG$2:$AG$1001,0),1)&gt;=100000,INDEX($AN$1005:$BO$1005,1,MATCH(COLUMNS($AN$1006:AT1006),$AN$1006:$BO$1006,0))&gt;=100000), " ",IF(INDEX($AN$2:$BO$1001,MATCH(ROWS($AG$2:AG676),$AG$2:$AG$1001,0),MATCH(COLUMNS($AN$1006:AT1006),$AN$1006:$BO$1006,0)), HYPERLINK("#",""), HYPERLINK(CONCATENATE("#Metadata!", ADDRESS(INDEX($AI$2:$AI$1001,MATCH(ROWS($AG$2:AG676),$AG$2:$AG$1001,0),0), INDEX($AN$1004:$BO$1004,1,MATCH(COLUMNS($AN$1006:AT1006),$AN$1006:$BO$1006,0)))),"Fix")))</f>
        <v>0</v>
      </c>
      <c r="I676" s="4">
        <f>IF(OR(INDEX($AH$2:$AH$1001,MATCH(ROWS($AG$2:AG676),$AG$2:$AG$1001,0),1)&gt;=100000,INDEX($AN$1005:$BO$1005,1,MATCH(COLUMNS($AN$1006:AU1006),$AN$1006:$BO$1006,0))&gt;=100000), " ",IF(INDEX($AN$2:$BO$1001,MATCH(ROWS($AG$2:AG676),$AG$2:$AG$1001,0),MATCH(COLUMNS($AN$1006:AU1006),$AN$1006:$BO$1006,0)), HYPERLINK("#",""), HYPERLINK(CONCATENATE("#Metadata!", ADDRESS(INDEX($AI$2:$AI$1001,MATCH(ROWS($AG$2:AG676),$AG$2:$AG$1001,0),0), INDEX($AN$1004:$BO$1004,1,MATCH(COLUMNS($AN$1006:AU1006),$AN$1006:$BO$1006,0)))),"Fix")))</f>
        <v>0</v>
      </c>
      <c r="J676" s="4">
        <f>IF(OR(INDEX($AH$2:$AH$1001,MATCH(ROWS($AG$2:AG676),$AG$2:$AG$1001,0),1)&gt;=100000,INDEX($AN$1005:$BO$1005,1,MATCH(COLUMNS($AN$1006:AV1006),$AN$1006:$BO$1006,0))&gt;=100000), " ",IF(INDEX($AN$2:$BO$1001,MATCH(ROWS($AG$2:AG676),$AG$2:$AG$1001,0),MATCH(COLUMNS($AN$1006:AV1006),$AN$1006:$BO$1006,0)), HYPERLINK("#",""), HYPERLINK(CONCATENATE("#Metadata!", ADDRESS(INDEX($AI$2:$AI$1001,MATCH(ROWS($AG$2:AG676),$AG$2:$AG$1001,0),0), INDEX($AN$1004:$BO$1004,1,MATCH(COLUMNS($AN$1006:AV1006),$AN$1006:$BO$1006,0)))),"Fix")))</f>
        <v>0</v>
      </c>
      <c r="K676" s="4">
        <f>IF(OR(INDEX($AH$2:$AH$1001,MATCH(ROWS($AG$2:AG676),$AG$2:$AG$1001,0),1)&gt;=100000,INDEX($AN$1005:$BO$1005,1,MATCH(COLUMNS($AN$1006:AW1006),$AN$1006:$BO$1006,0))&gt;=100000), " ",IF(INDEX($AN$2:$BO$1001,MATCH(ROWS($AG$2:AG676),$AG$2:$AG$1001,0),MATCH(COLUMNS($AN$1006:AW1006),$AN$1006:$BO$1006,0)), HYPERLINK("#",""), HYPERLINK(CONCATENATE("#Metadata!", ADDRESS(INDEX($AI$2:$AI$1001,MATCH(ROWS($AG$2:AG676),$AG$2:$AG$1001,0),0), INDEX($AN$1004:$BO$1004,1,MATCH(COLUMNS($AN$1006:AW1006),$AN$1006:$BO$1006,0)))),"Fix")))</f>
        <v>0</v>
      </c>
      <c r="L676" s="4">
        <f>IF(OR(INDEX($AH$2:$AH$1001,MATCH(ROWS($AG$2:AG676),$AG$2:$AG$1001,0),1)&gt;=100000,INDEX($AN$1005:$BO$1005,1,MATCH(COLUMNS($AN$1006:AX1006),$AN$1006:$BO$1006,0))&gt;=100000), " ",IF(INDEX($AN$2:$BO$1001,MATCH(ROWS($AG$2:AG676),$AG$2:$AG$1001,0),MATCH(COLUMNS($AN$1006:AX1006),$AN$1006:$BO$1006,0)), HYPERLINK("#",""), HYPERLINK(CONCATENATE("#Metadata!", ADDRESS(INDEX($AI$2:$AI$1001,MATCH(ROWS($AG$2:AG676),$AG$2:$AG$1001,0),0), INDEX($AN$1004:$BO$1004,1,MATCH(COLUMNS($AN$1006:AX1006),$AN$1006:$BO$1006,0)))),"Fix")))</f>
        <v>0</v>
      </c>
      <c r="M676" s="4">
        <f>IF(OR(INDEX($AH$2:$AH$1001,MATCH(ROWS($AG$2:AG676),$AG$2:$AG$1001,0),1)&gt;=100000,INDEX($AN$1005:$BO$1005,1,MATCH(COLUMNS($AN$1006:AY1006),$AN$1006:$BO$1006,0))&gt;=100000), " ",IF(INDEX($AN$2:$BO$1001,MATCH(ROWS($AG$2:AG676),$AG$2:$AG$1001,0),MATCH(COLUMNS($AN$1006:AY1006),$AN$1006:$BO$1006,0)), HYPERLINK("#",""), HYPERLINK(CONCATENATE("#Metadata!", ADDRESS(INDEX($AI$2:$AI$1001,MATCH(ROWS($AG$2:AG676),$AG$2:$AG$1001,0),0), INDEX($AN$1004:$BO$1004,1,MATCH(COLUMNS($AN$1006:AY1006),$AN$1006:$BO$1006,0)))),"Fix")))</f>
        <v>0</v>
      </c>
      <c r="N676" s="4">
        <f>IF(OR(INDEX($AH$2:$AH$1001,MATCH(ROWS($AG$2:AG676),$AG$2:$AG$1001,0),1)&gt;=100000,INDEX($AN$1005:$BO$1005,1,MATCH(COLUMNS($AN$1006:AZ1006),$AN$1006:$BO$1006,0))&gt;=100000), " ",IF(INDEX($AN$2:$BO$1001,MATCH(ROWS($AG$2:AG676),$AG$2:$AG$1001,0),MATCH(COLUMNS($AN$1006:AZ1006),$AN$1006:$BO$1006,0)), HYPERLINK("#",""), HYPERLINK(CONCATENATE("#Metadata!", ADDRESS(INDEX($AI$2:$AI$1001,MATCH(ROWS($AG$2:AG676),$AG$2:$AG$1001,0),0), INDEX($AN$1004:$BO$1004,1,MATCH(COLUMNS($AN$1006:AZ1006),$AN$1006:$BO$1006,0)))),"Fix")))</f>
        <v>0</v>
      </c>
      <c r="O676" s="4">
        <f>IF(OR(INDEX($AH$2:$AH$1001,MATCH(ROWS($AG$2:AG676),$AG$2:$AG$1001,0),1)&gt;=100000,INDEX($AN$1005:$BO$1005,1,MATCH(COLUMNS($AN$1006:BA1006),$AN$1006:$BO$1006,0))&gt;=100000), " ",IF(INDEX($AN$2:$BO$1001,MATCH(ROWS($AG$2:AG676),$AG$2:$AG$1001,0),MATCH(COLUMNS($AN$1006:BA1006),$AN$1006:$BO$1006,0)), HYPERLINK("#",""), HYPERLINK(CONCATENATE("#Metadata!", ADDRESS(INDEX($AI$2:$AI$1001,MATCH(ROWS($AG$2:AG676),$AG$2:$AG$1001,0),0), INDEX($AN$1004:$BO$1004,1,MATCH(COLUMNS($AN$1006:BA1006),$AN$1006:$BO$1006,0)))),"Fix")))</f>
        <v>0</v>
      </c>
      <c r="P676" s="4">
        <f>IF(OR(INDEX($AH$2:$AH$1001,MATCH(ROWS($AG$2:AG676),$AG$2:$AG$1001,0),1)&gt;=100000,INDEX($AN$1005:$BO$1005,1,MATCH(COLUMNS($AN$1006:BB1006),$AN$1006:$BO$1006,0))&gt;=100000), " ",IF(INDEX($AN$2:$BO$1001,MATCH(ROWS($AG$2:AG676),$AG$2:$AG$1001,0),MATCH(COLUMNS($AN$1006:BB1006),$AN$1006:$BO$1006,0)), HYPERLINK("#",""), HYPERLINK(CONCATENATE("#Metadata!", ADDRESS(INDEX($AI$2:$AI$1001,MATCH(ROWS($AG$2:AG676),$AG$2:$AG$1001,0),0), INDEX($AN$1004:$BO$1004,1,MATCH(COLUMNS($AN$1006:BB1006),$AN$1006:$BO$1006,0)))),"Fix")))</f>
        <v>0</v>
      </c>
      <c r="Q676" s="4">
        <f>IF(OR(INDEX($AH$2:$AH$1001,MATCH(ROWS($AG$2:AG676),$AG$2:$AG$1001,0),1)&gt;=100000,INDEX($AN$1005:$BO$1005,1,MATCH(COLUMNS($AN$1006:BC1006),$AN$1006:$BO$1006,0))&gt;=100000), " ",IF(INDEX($AN$2:$BO$1001,MATCH(ROWS($AG$2:AG676),$AG$2:$AG$1001,0),MATCH(COLUMNS($AN$1006:BC1006),$AN$1006:$BO$1006,0)), HYPERLINK("#",""), HYPERLINK(CONCATENATE("#Metadata!", ADDRESS(INDEX($AI$2:$AI$1001,MATCH(ROWS($AG$2:AG676),$AG$2:$AG$1001,0),0), INDEX($AN$1004:$BO$1004,1,MATCH(COLUMNS($AN$1006:BC1006),$AN$1006:$BO$1006,0)))),"Fix")))</f>
        <v>0</v>
      </c>
      <c r="R676" s="4">
        <f>IF(OR(INDEX($AH$2:$AH$1001,MATCH(ROWS($AG$2:AG676),$AG$2:$AG$1001,0),1)&gt;=100000,INDEX($AN$1005:$BO$1005,1,MATCH(COLUMNS($AN$1006:BD1006),$AN$1006:$BO$1006,0))&gt;=100000), " ",IF(INDEX($AN$2:$BO$1001,MATCH(ROWS($AG$2:AG676),$AG$2:$AG$1001,0),MATCH(COLUMNS($AN$1006:BD1006),$AN$1006:$BO$1006,0)), HYPERLINK("#",""), HYPERLINK(CONCATENATE("#Metadata!", ADDRESS(INDEX($AI$2:$AI$1001,MATCH(ROWS($AG$2:AG676),$AG$2:$AG$1001,0),0), INDEX($AN$1004:$BO$1004,1,MATCH(COLUMNS($AN$1006:BD1006),$AN$1006:$BO$1006,0)))),"Fix")))</f>
        <v>0</v>
      </c>
      <c r="S676" s="4">
        <f>IF(OR(INDEX($AH$2:$AH$1001,MATCH(ROWS($AG$2:AG676),$AG$2:$AG$1001,0),1)&gt;=100000,INDEX($AN$1005:$BO$1005,1,MATCH(COLUMNS($AN$1006:BE1006),$AN$1006:$BO$1006,0))&gt;=100000), " ",IF(INDEX($AN$2:$BO$1001,MATCH(ROWS($AG$2:AG676),$AG$2:$AG$1001,0),MATCH(COLUMNS($AN$1006:BE1006),$AN$1006:$BO$1006,0)), HYPERLINK("#",""), HYPERLINK(CONCATENATE("#Metadata!", ADDRESS(INDEX($AI$2:$AI$1001,MATCH(ROWS($AG$2:AG676),$AG$2:$AG$1001,0),0), INDEX($AN$1004:$BO$1004,1,MATCH(COLUMNS($AN$1006:BE1006),$AN$1006:$BO$1006,0)))),"Fix")))</f>
        <v>0</v>
      </c>
      <c r="T676" s="4">
        <f>IF(OR(INDEX($AH$2:$AH$1001,MATCH(ROWS($AG$2:AG676),$AG$2:$AG$1001,0),1)&gt;=100000,INDEX($AN$1005:$BO$1005,1,MATCH(COLUMNS($AN$1006:BF1006),$AN$1006:$BO$1006,0))&gt;=100000), " ",IF(INDEX($AN$2:$BO$1001,MATCH(ROWS($AG$2:AG676),$AG$2:$AG$1001,0),MATCH(COLUMNS($AN$1006:BF1006),$AN$1006:$BO$1006,0)), HYPERLINK("#",""), HYPERLINK(CONCATENATE("#Metadata!", ADDRESS(INDEX($AI$2:$AI$1001,MATCH(ROWS($AG$2:AG676),$AG$2:$AG$1001,0),0), INDEX($AN$1004:$BO$1004,1,MATCH(COLUMNS($AN$1006:BF1006),$AN$1006:$BO$1006,0)))),"Fix")))</f>
        <v>0</v>
      </c>
      <c r="U676" s="4">
        <f>IF(OR(INDEX($AH$2:$AH$1001,MATCH(ROWS($AG$2:AG676),$AG$2:$AG$1001,0),1)&gt;=100000,INDEX($AN$1005:$BO$1005,1,MATCH(COLUMNS($AN$1006:BG1006),$AN$1006:$BO$1006,0))&gt;=100000), " ",IF(INDEX($AN$2:$BO$1001,MATCH(ROWS($AG$2:AG676),$AG$2:$AG$1001,0),MATCH(COLUMNS($AN$1006:BG1006),$AN$1006:$BO$1006,0)), HYPERLINK("#",""), HYPERLINK(CONCATENATE("#Metadata!", ADDRESS(INDEX($AI$2:$AI$1001,MATCH(ROWS($AG$2:AG676),$AG$2:$AG$1001,0),0), INDEX($AN$1004:$BO$1004,1,MATCH(COLUMNS($AN$1006:BG1006),$AN$1006:$BO$1006,0)))),"Fix")))</f>
        <v>0</v>
      </c>
      <c r="V676" s="4">
        <f>IF(OR(INDEX($AH$2:$AH$1001,MATCH(ROWS($AG$2:AG676),$AG$2:$AG$1001,0),1)&gt;=100000,INDEX($AN$1005:$BO$1005,1,MATCH(COLUMNS($AN$1006:BH1006),$AN$1006:$BO$1006,0))&gt;=100000), " ",IF(INDEX($AN$2:$BO$1001,MATCH(ROWS($AG$2:AG676),$AG$2:$AG$1001,0),MATCH(COLUMNS($AN$1006:BH1006),$AN$1006:$BO$1006,0)), HYPERLINK("#",""), HYPERLINK(CONCATENATE("#Metadata!", ADDRESS(INDEX($AI$2:$AI$1001,MATCH(ROWS($AG$2:AG676),$AG$2:$AG$1001,0),0), INDEX($AN$1004:$BO$1004,1,MATCH(COLUMNS($AN$1006:BH1006),$AN$1006:$BO$1006,0)))),"Fix")))</f>
        <v>0</v>
      </c>
      <c r="W676" s="4">
        <f>IF(OR(INDEX($AH$2:$AH$1001,MATCH(ROWS($AG$2:AG676),$AG$2:$AG$1001,0),1)&gt;=100000,INDEX($AN$1005:$BO$1005,1,MATCH(COLUMNS($AN$1006:BI1006),$AN$1006:$BO$1006,0))&gt;=100000), " ",IF(INDEX($AN$2:$BO$1001,MATCH(ROWS($AG$2:AG676),$AG$2:$AG$1001,0),MATCH(COLUMNS($AN$1006:BI1006),$AN$1006:$BO$1006,0)), HYPERLINK("#",""), HYPERLINK(CONCATENATE("#Metadata!", ADDRESS(INDEX($AI$2:$AI$1001,MATCH(ROWS($AG$2:AG676),$AG$2:$AG$1001,0),0), INDEX($AN$1004:$BO$1004,1,MATCH(COLUMNS($AN$1006:BI1006),$AN$1006:$BO$1006,0)))),"Fix")))</f>
        <v>0</v>
      </c>
      <c r="X676" s="4">
        <f>IF(OR(INDEX($AH$2:$AH$1001,MATCH(ROWS($AG$2:AG676),$AG$2:$AG$1001,0),1)&gt;=100000,INDEX($AN$1005:$BO$1005,1,MATCH(COLUMNS($AN$1006:BJ1006),$AN$1006:$BO$1006,0))&gt;=100000), " ",IF(INDEX($AN$2:$BO$1001,MATCH(ROWS($AG$2:AG676),$AG$2:$AG$1001,0),MATCH(COLUMNS($AN$1006:BJ1006),$AN$1006:$BO$1006,0)), HYPERLINK("#",""), HYPERLINK(CONCATENATE("#Metadata!", ADDRESS(INDEX($AI$2:$AI$1001,MATCH(ROWS($AG$2:AG676),$AG$2:$AG$1001,0),0), INDEX($AN$1004:$BO$1004,1,MATCH(COLUMNS($AN$1006:BJ1006),$AN$1006:$BO$1006,0)))),"Fix")))</f>
        <v>0</v>
      </c>
      <c r="Y676" s="4">
        <f>IF(OR(INDEX($AH$2:$AH$1001,MATCH(ROWS($AG$2:AG676),$AG$2:$AG$1001,0),1)&gt;=100000,INDEX($AN$1005:$BO$1005,1,MATCH(COLUMNS($AN$1006:BK1006),$AN$1006:$BO$1006,0))&gt;=100000), " ",IF(INDEX($AN$2:$BO$1001,MATCH(ROWS($AG$2:AG676),$AG$2:$AG$1001,0),MATCH(COLUMNS($AN$1006:BK1006),$AN$1006:$BO$1006,0)), HYPERLINK("#",""), HYPERLINK(CONCATENATE("#Metadata!", ADDRESS(INDEX($AI$2:$AI$1001,MATCH(ROWS($AG$2:AG676),$AG$2:$AG$1001,0),0), INDEX($AN$1004:$BO$1004,1,MATCH(COLUMNS($AN$1006:BK1006),$AN$1006:$BO$1006,0)))),"Fix")))</f>
        <v>0</v>
      </c>
      <c r="Z676" s="4">
        <f>IF(OR(INDEX($AH$2:$AH$1001,MATCH(ROWS($AG$2:AG676),$AG$2:$AG$1001,0),1)&gt;=100000,INDEX($AN$1005:$BO$1005,1,MATCH(COLUMNS($AN$1006:BL1006),$AN$1006:$BO$1006,0))&gt;=100000), " ",IF(INDEX($AN$2:$BO$1001,MATCH(ROWS($AG$2:AG676),$AG$2:$AG$1001,0),MATCH(COLUMNS($AN$1006:BL1006),$AN$1006:$BO$1006,0)), HYPERLINK("#",""), HYPERLINK(CONCATENATE("#Metadata!", ADDRESS(INDEX($AI$2:$AI$1001,MATCH(ROWS($AG$2:AG676),$AG$2:$AG$1001,0),0), INDEX($AN$1004:$BO$1004,1,MATCH(COLUMNS($AN$1006:BL1006),$AN$1006:$BO$1006,0)))),"Fix")))</f>
        <v>0</v>
      </c>
      <c r="AA676" s="4">
        <f>IF(OR(INDEX($AH$2:$AH$1001,MATCH(ROWS($AG$2:AG676),$AG$2:$AG$1001,0),1)&gt;=100000,INDEX($AN$1005:$BO$1005,1,MATCH(COLUMNS($AN$1006:BM1006),$AN$1006:$BO$1006,0))&gt;=100000), " ",IF(INDEX($AN$2:$BO$1001,MATCH(ROWS($AG$2:AG676),$AG$2:$AG$1001,0),MATCH(COLUMNS($AN$1006:BM1006),$AN$1006:$BO$1006,0)), HYPERLINK("#",""), HYPERLINK(CONCATENATE("#Metadata!", ADDRESS(INDEX($AI$2:$AI$1001,MATCH(ROWS($AG$2:AG676),$AG$2:$AG$1001,0),0), INDEX($AN$1004:$BO$1004,1,MATCH(COLUMNS($AN$1006:BM1006),$AN$1006:$BO$1006,0)))),"Fix")))</f>
        <v>0</v>
      </c>
      <c r="AB676" s="4">
        <f>IF(OR(INDEX($AH$2:$AH$1001,MATCH(ROWS($AG$2:AG676),$AG$2:$AG$1001,0),1)&gt;=100000,INDEX($AN$1005:$BO$1005,1,MATCH(COLUMNS($AN$1006:BN1006),$AN$1006:$BO$1006,0))&gt;=100000), " ",IF(INDEX($AN$2:$BO$1001,MATCH(ROWS($AG$2:AG676),$AG$2:$AG$1001,0),MATCH(COLUMNS($AN$1006:BN1006),$AN$1006:$BO$1006,0)), HYPERLINK("#",""), HYPERLINK(CONCATENATE("#Metadata!", ADDRESS(INDEX($AI$2:$AI$1001,MATCH(ROWS($AG$2:AG676),$AG$2:$AG$1001,0),0), INDEX($AN$1004:$BO$1004,1,MATCH(COLUMNS($AN$1006:BN1006),$AN$1006:$BO$1006,0)))),"Fix")))</f>
        <v>0</v>
      </c>
      <c r="AC676" s="4">
        <f>IF(OR(INDEX($AH$2:$AH$1001,MATCH(ROWS($AG$2:AG676),$AG$2:$AG$1001,0),1)&gt;=100000,INDEX($AN$1005:$BO$1005,1,MATCH(COLUMNS($AN$1006:BO1006),$AN$1006:$BO$1006,0))&gt;=100000), " ",IF(INDEX($AN$2:$BO$1001,MATCH(ROWS($AG$2:AG676),$AG$2:$AG$1001,0),MATCH(COLUMNS($AN$1006:BO1006),$AN$1006:$BO$1006,0)), HYPERLINK("#",""), HYPERLINK(CONCATENATE("#Metadata!", ADDRESS(INDEX($AI$2:$AI$1001,MATCH(ROWS($AG$2:AG676),$AG$2:$AG$1001,0),0), INDEX($AN$1004:$BO$1004,1,MATCH(COLUMNS($AN$1006:BO1006),$AN$1006:$BO$1006,0)))),"Fix")))</f>
        <v>0</v>
      </c>
      <c r="AG676">
        <v>0</v>
      </c>
      <c r="AH676">
        <v>0</v>
      </c>
      <c r="AI676">
        <v>0</v>
      </c>
      <c r="AJ676">
        <f>IF(AK676,TRUE,AND(AN676:BO676))</f>
        <v>0</v>
      </c>
      <c r="AK676">
        <f>COUNTBLANK(Metadata!B676:AC676)=COLUMNS(Metadata!B676:AC676)</f>
        <v>0</v>
      </c>
      <c r="AL676">
        <v>0</v>
      </c>
      <c r="AN676">
        <f>AND(IF(Metadata!B676="",FALSE,TRUE),COUNTIF(Metadata!B:B, Metadata!B676) = 1,NOT(ISERROR(SUMPRODUCT(SEARCH(MID(Metadata!B676,ROW(INDIRECT("1:"&amp;LEN(Metadata!B676))), 1),"0123456789abcdefghijklmnopqrstuvwxyzABCDEFGHIJKLMNOPQRSTUVWXYZ.")))))</f>
        <v>0</v>
      </c>
      <c r="AO676">
        <f>IF(Metadata!C676="",FALSE,TRUE)</f>
        <v>0</v>
      </c>
      <c r="AP676">
        <f>IF(Metadata!D676="",FALSE,TRUE)</f>
        <v>0</v>
      </c>
      <c r="AQ676">
        <f>OR(AND(IF(Metadata!E676="",FALSE,TRUE),OR(exact(Metadata!E676,"not collected"),exact(Metadata!E676,"not provided"),exact(Metadata!E676,"restricted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R676">
        <f>IF(Metadata!F676="",FALSE,TRUE)</f>
        <v>0</v>
      </c>
      <c r="AS676">
        <f>OR(AND(IF(Metadata!G676="",FALSE,TRUE),OR(exact(Metadata!G676,"not collected"),exact(Metadata!G676,"not provided"))),AND(IF(Metadata!G676="",FALSE,TRUE),OR(exact(Metadata!G676,"TRUE"),exact(Metadata!G676,"FALSE"))))</f>
        <v>0</v>
      </c>
      <c r="AT676">
        <f>OR(AND(IF(Metadata!H676="",FALSE,TRUE),OR(exact(Metadata!H676,"not collected"),exact(Metadata!H676,"not provided"),exact(Metadata!H676,"restricted access"))),AND(IF(Metadata!H676="",FALSE,ISNUMBER(VALUE(Metadata!H676))),Metadata!H676&gt;=-413.0))</f>
        <v>0</v>
      </c>
      <c r="AU676">
        <f>AND(IF(Metadata!I676="",FALSE,TRUE),exact(Metadata!I676,"meters"))</f>
        <v>0</v>
      </c>
      <c r="AV676">
        <f>AND(IF(Metadata!J676="",FALSE,TRUE),OR(exact(Metadata!J676,"Host-associated"),exact(Metadata!J676,"Free-living")))</f>
        <v>0</v>
      </c>
      <c r="AW676">
        <f>AND(IF(Metadata!K676="",FALSE,TRUE),OR(exact(Metadata!K676,"Animal"),exact(Metadata!K676,"Fungus"),exact(Metadata!K676,"Plant"),exact(Metadata!K676,"Saline"),exact(Metadata!K676,"Non-saline")))</f>
        <v>0</v>
      </c>
      <c r="AX676">
        <f>AND(IF(Metadata!L676="",FALSE,TRUE),OR(exact(Metadata!L676,"Plant secretion"),exact(Metadata!L676,"Plant rhizosphere"),exact(Metadata!L676,"Plant surface"),exact(Metadata!L676,"Plant corpus"),exact(Metadata!L676,"Fungus surface"),exact(Metadata!L676,"Fungus corpus"),exact(Metadata!L676,"Animal surface"),exact(Metadata!L676,"Animal proximal gut"),exact(Metadata!L676,"Animal corpus"),exact(Metadata!L676,"Animal distal gut"),exact(Metadata!L676,"Animal secretion"),exact(Metadata!L676,"Sub-surface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Y676">
        <f>IF(Metadata!M676="",FALSE,TRUE)</f>
        <v>0</v>
      </c>
      <c r="AZ676">
        <f>IF(Metadata!N676="",FALSE,TRUE)</f>
        <v>0</v>
      </c>
      <c r="BA676">
        <f>IF(Metadata!O676="",FALSE,TRUE)</f>
        <v>0</v>
      </c>
      <c r="BB676">
        <f>OR(AND(IF(Metadata!P676="",FALSE,TRUE),OR(exact(Metadata!P676,"not collected"),exact(Metadata!P676,"not provided"),exact(Metadata!P676,"restricted access"))),AND(IF(Metadata!P676="",FALSE,TRUE),OR(exact(Metadata!P676,"air"),exact(Metadata!P676,"built environment"),exact(Metadata!P676,"host-associated"),exact(Metadata!P676,"human-associated"),exact(Metadata!P676,"human-skin"),exact(Metadata!P676,"human-oral"),exact(Metadata!P676,"human-gut"),exact(Metadata!P676,"human-vaginal"),exact(Metadata!P676,"microbial mat/biofilm"),exact(Metadata!P676,"misc environment"),exact(Metadata!P676,"plant-associated"),exact(Metadata!P676,"sediment"),exact(Metadata!P676,"soil"),exact(Metadata!P676,"wastewater/sludge"),exact(Metadata!P676,"water"))))</f>
        <v>0</v>
      </c>
      <c r="BC676">
        <f>IF(Metadata!Q676="",FALSE,TRUE)</f>
        <v>0</v>
      </c>
      <c r="BD676">
        <f>IF(Metadata!R676="",FALSE,TRUE)</f>
        <v>0</v>
      </c>
      <c r="BE676">
        <f>OR(AND(IF(Metadata!S676="",FALSE,TRUE),OR(exact(Metadata!S676,"not collected"),exact(Metadata!S676,"not provided"),exact(Metadata!S676,"restricted access"))),AND(IF(Metadata!S676="",FALSE,ISNUMBER(VALUE(Metadata!S676))),Metadata!S676&gt;=-90.00,Metadata!S676&lt;=90.00))</f>
        <v>0</v>
      </c>
      <c r="BF676">
        <f>AND(IF(Metadata!T676="",FALSE,TRUE),exact(Metadata!T676,"Decimal degrees"))</f>
        <v>0</v>
      </c>
      <c r="BG676">
        <f>OR(AND(IF(Metadata!U676="",FALSE,TRUE),OR(exact(Metadata!U676,"not collected"),exact(Metadata!U676,"not provided"),exact(Metadata!U676,"restricted access"))),AND(IF(Metadata!U676="",FALSE,ISNUMBER(VALUE(Metadata!U676))),Metadata!U676&gt;=-180.00,Metadata!U676&lt;=180.00))</f>
        <v>0</v>
      </c>
      <c r="BH676">
        <f>AND(IF(Metadata!V676="",FALSE,TRUE),exact(Metadata!V676,"Decimal degrees"))</f>
        <v>0</v>
      </c>
      <c r="BI676">
        <f>IF(Metadata!W676="",FALSE,TRUE)</f>
        <v>0</v>
      </c>
      <c r="BJ676">
        <f>OR(AND(IF(Metadata!X676="",FALSE,TRUE),OR(exact(Metadata!X676,"not collected"),exact(Metadata!X676,"not provided"),exact(Metadata!X676,"restricted access"))),AND(IF(Metadata!X676="",FALSE,TRUE),OR(exact(Metadata!X676,"TRUE"),exact(Metadata!X676,"FALSE"))))</f>
        <v>0</v>
      </c>
      <c r="BK676">
        <f>AND(IF(Metadata!Y676="",FALSE,TRUE),exact(Metadata!Y676,"other"))</f>
        <v>0</v>
      </c>
      <c r="BL676">
        <f>IF(Metadata!Z676="",FALSE,TRUE)</f>
        <v>0</v>
      </c>
      <c r="BM676">
        <f>OR(AND(IF(Metadata!AA676="",FALSE,TRUE),OR(exact(Metadata!AA676,"not collected"),exact(Metadata!AA676,"not provided"))),AND(IF(Metadata!AA676="",FALSE,IF(ISERROR(INT(Metadata!AA676)),FALSE,INT(Metadata!AA676)=Metadata!AA676)),Metadata!AA676&gt;0))</f>
        <v>0</v>
      </c>
      <c r="BN676">
        <f>AND(IF(Metadata!AB676="",FALSE,TRUE),exact(Metadata!AB676,"Not applicable"))</f>
        <v>0</v>
      </c>
      <c r="BO676">
        <f>IF(Metadata!AC676="",FALSE,TRUE)</f>
        <v>0</v>
      </c>
    </row>
    <row r="677" spans="1:67">
      <c r="A677" s="5">
        <f>IF(B677=" "," ",HYPERLINK(CONCATENATE("#metadata!",ADDRESS(INDEX($AI$2:$AI$1001,MATCH(ROWS($AG$2:AG677),$AG$2:$AG$1001,0),0),1)),INDEX($AL$2:$AL$1001,MATCH(ROWS($AG$2:AG677),$AG$2:$AG$1001,0),0)))</f>
        <v>0</v>
      </c>
      <c r="B677" s="4">
        <f>IF(OR(INDEX($AH$2:$AH$1001,MATCH(ROWS($AG$2:AG677),$AG$2:$AG$1001,0),1)&gt;=100000,INDEX($AN$1005:$BO$1005,1,MATCH(COLUMNS($AN$1006:AN1006),$AN$1006:$BO$1006,0))&gt;=100000), " ",IF(INDEX($AN$2:$BO$1001,MATCH(ROWS($AG$2:AG677),$AG$2:$AG$1001,0),MATCH(COLUMNS($AN$1006:AN1006),$AN$1006:$BO$1006,0)), HYPERLINK("#",""), HYPERLINK(CONCATENATE("#Metadata!", ADDRESS(INDEX($AI$2:$AI$1001,MATCH(ROWS($AG$2:AG677),$AG$2:$AG$1001,0),0), INDEX($AN$1004:$BO$1004,1,MATCH(COLUMNS($AN$1006:AN1006),$AN$1006:$BO$1006,0)))),"Fix")))</f>
        <v>0</v>
      </c>
      <c r="C677" s="4">
        <f>IF(OR(INDEX($AH$2:$AH$1001,MATCH(ROWS($AG$2:AG677),$AG$2:$AG$1001,0),1)&gt;=100000,INDEX($AN$1005:$BO$1005,1,MATCH(COLUMNS($AN$1006:AO1006),$AN$1006:$BO$1006,0))&gt;=100000), " ",IF(INDEX($AN$2:$BO$1001,MATCH(ROWS($AG$2:AG677),$AG$2:$AG$1001,0),MATCH(COLUMNS($AN$1006:AO1006),$AN$1006:$BO$1006,0)), HYPERLINK("#",""), HYPERLINK(CONCATENATE("#Metadata!", ADDRESS(INDEX($AI$2:$AI$1001,MATCH(ROWS($AG$2:AG677),$AG$2:$AG$1001,0),0), INDEX($AN$1004:$BO$1004,1,MATCH(COLUMNS($AN$1006:AO1006),$AN$1006:$BO$1006,0)))),"Fix")))</f>
        <v>0</v>
      </c>
      <c r="D677" s="4">
        <f>IF(OR(INDEX($AH$2:$AH$1001,MATCH(ROWS($AG$2:AG677),$AG$2:$AG$1001,0),1)&gt;=100000,INDEX($AN$1005:$BO$1005,1,MATCH(COLUMNS($AN$1006:AP1006),$AN$1006:$BO$1006,0))&gt;=100000), " ",IF(INDEX($AN$2:$BO$1001,MATCH(ROWS($AG$2:AG677),$AG$2:$AG$1001,0),MATCH(COLUMNS($AN$1006:AP1006),$AN$1006:$BO$1006,0)), HYPERLINK("#",""), HYPERLINK(CONCATENATE("#Metadata!", ADDRESS(INDEX($AI$2:$AI$1001,MATCH(ROWS($AG$2:AG677),$AG$2:$AG$1001,0),0), INDEX($AN$1004:$BO$1004,1,MATCH(COLUMNS($AN$1006:AP1006),$AN$1006:$BO$1006,0)))),"Fix")))</f>
        <v>0</v>
      </c>
      <c r="E677" s="4">
        <f>IF(OR(INDEX($AH$2:$AH$1001,MATCH(ROWS($AG$2:AG677),$AG$2:$AG$1001,0),1)&gt;=100000,INDEX($AN$1005:$BO$1005,1,MATCH(COLUMNS($AN$1006:AQ1006),$AN$1006:$BO$1006,0))&gt;=100000), " ",IF(INDEX($AN$2:$BO$1001,MATCH(ROWS($AG$2:AG677),$AG$2:$AG$1001,0),MATCH(COLUMNS($AN$1006:AQ1006),$AN$1006:$BO$1006,0)), HYPERLINK("#",""), HYPERLINK(CONCATENATE("#Metadata!", ADDRESS(INDEX($AI$2:$AI$1001,MATCH(ROWS($AG$2:AG677),$AG$2:$AG$1001,0),0), INDEX($AN$1004:$BO$1004,1,MATCH(COLUMNS($AN$1006:AQ1006),$AN$1006:$BO$1006,0)))),"Fix")))</f>
        <v>0</v>
      </c>
      <c r="F677" s="4">
        <f>IF(OR(INDEX($AH$2:$AH$1001,MATCH(ROWS($AG$2:AG677),$AG$2:$AG$1001,0),1)&gt;=100000,INDEX($AN$1005:$BO$1005,1,MATCH(COLUMNS($AN$1006:AR1006),$AN$1006:$BO$1006,0))&gt;=100000), " ",IF(INDEX($AN$2:$BO$1001,MATCH(ROWS($AG$2:AG677),$AG$2:$AG$1001,0),MATCH(COLUMNS($AN$1006:AR1006),$AN$1006:$BO$1006,0)), HYPERLINK("#",""), HYPERLINK(CONCATENATE("#Metadata!", ADDRESS(INDEX($AI$2:$AI$1001,MATCH(ROWS($AG$2:AG677),$AG$2:$AG$1001,0),0), INDEX($AN$1004:$BO$1004,1,MATCH(COLUMNS($AN$1006:AR1006),$AN$1006:$BO$1006,0)))),"Fix")))</f>
        <v>0</v>
      </c>
      <c r="G677" s="4">
        <f>IF(OR(INDEX($AH$2:$AH$1001,MATCH(ROWS($AG$2:AG677),$AG$2:$AG$1001,0),1)&gt;=100000,INDEX($AN$1005:$BO$1005,1,MATCH(COLUMNS($AN$1006:AS1006),$AN$1006:$BO$1006,0))&gt;=100000), " ",IF(INDEX($AN$2:$BO$1001,MATCH(ROWS($AG$2:AG677),$AG$2:$AG$1001,0),MATCH(COLUMNS($AN$1006:AS1006),$AN$1006:$BO$1006,0)), HYPERLINK("#",""), HYPERLINK(CONCATENATE("#Metadata!", ADDRESS(INDEX($AI$2:$AI$1001,MATCH(ROWS($AG$2:AG677),$AG$2:$AG$1001,0),0), INDEX($AN$1004:$BO$1004,1,MATCH(COLUMNS($AN$1006:AS1006),$AN$1006:$BO$1006,0)))),"Fix")))</f>
        <v>0</v>
      </c>
      <c r="H677" s="4">
        <f>IF(OR(INDEX($AH$2:$AH$1001,MATCH(ROWS($AG$2:AG677),$AG$2:$AG$1001,0),1)&gt;=100000,INDEX($AN$1005:$BO$1005,1,MATCH(COLUMNS($AN$1006:AT1006),$AN$1006:$BO$1006,0))&gt;=100000), " ",IF(INDEX($AN$2:$BO$1001,MATCH(ROWS($AG$2:AG677),$AG$2:$AG$1001,0),MATCH(COLUMNS($AN$1006:AT1006),$AN$1006:$BO$1006,0)), HYPERLINK("#",""), HYPERLINK(CONCATENATE("#Metadata!", ADDRESS(INDEX($AI$2:$AI$1001,MATCH(ROWS($AG$2:AG677),$AG$2:$AG$1001,0),0), INDEX($AN$1004:$BO$1004,1,MATCH(COLUMNS($AN$1006:AT1006),$AN$1006:$BO$1006,0)))),"Fix")))</f>
        <v>0</v>
      </c>
      <c r="I677" s="4">
        <f>IF(OR(INDEX($AH$2:$AH$1001,MATCH(ROWS($AG$2:AG677),$AG$2:$AG$1001,0),1)&gt;=100000,INDEX($AN$1005:$BO$1005,1,MATCH(COLUMNS($AN$1006:AU1006),$AN$1006:$BO$1006,0))&gt;=100000), " ",IF(INDEX($AN$2:$BO$1001,MATCH(ROWS($AG$2:AG677),$AG$2:$AG$1001,0),MATCH(COLUMNS($AN$1006:AU1006),$AN$1006:$BO$1006,0)), HYPERLINK("#",""), HYPERLINK(CONCATENATE("#Metadata!", ADDRESS(INDEX($AI$2:$AI$1001,MATCH(ROWS($AG$2:AG677),$AG$2:$AG$1001,0),0), INDEX($AN$1004:$BO$1004,1,MATCH(COLUMNS($AN$1006:AU1006),$AN$1006:$BO$1006,0)))),"Fix")))</f>
        <v>0</v>
      </c>
      <c r="J677" s="4">
        <f>IF(OR(INDEX($AH$2:$AH$1001,MATCH(ROWS($AG$2:AG677),$AG$2:$AG$1001,0),1)&gt;=100000,INDEX($AN$1005:$BO$1005,1,MATCH(COLUMNS($AN$1006:AV1006),$AN$1006:$BO$1006,0))&gt;=100000), " ",IF(INDEX($AN$2:$BO$1001,MATCH(ROWS($AG$2:AG677),$AG$2:$AG$1001,0),MATCH(COLUMNS($AN$1006:AV1006),$AN$1006:$BO$1006,0)), HYPERLINK("#",""), HYPERLINK(CONCATENATE("#Metadata!", ADDRESS(INDEX($AI$2:$AI$1001,MATCH(ROWS($AG$2:AG677),$AG$2:$AG$1001,0),0), INDEX($AN$1004:$BO$1004,1,MATCH(COLUMNS($AN$1006:AV1006),$AN$1006:$BO$1006,0)))),"Fix")))</f>
        <v>0</v>
      </c>
      <c r="K677" s="4">
        <f>IF(OR(INDEX($AH$2:$AH$1001,MATCH(ROWS($AG$2:AG677),$AG$2:$AG$1001,0),1)&gt;=100000,INDEX($AN$1005:$BO$1005,1,MATCH(COLUMNS($AN$1006:AW1006),$AN$1006:$BO$1006,0))&gt;=100000), " ",IF(INDEX($AN$2:$BO$1001,MATCH(ROWS($AG$2:AG677),$AG$2:$AG$1001,0),MATCH(COLUMNS($AN$1006:AW1006),$AN$1006:$BO$1006,0)), HYPERLINK("#",""), HYPERLINK(CONCATENATE("#Metadata!", ADDRESS(INDEX($AI$2:$AI$1001,MATCH(ROWS($AG$2:AG677),$AG$2:$AG$1001,0),0), INDEX($AN$1004:$BO$1004,1,MATCH(COLUMNS($AN$1006:AW1006),$AN$1006:$BO$1006,0)))),"Fix")))</f>
        <v>0</v>
      </c>
      <c r="L677" s="4">
        <f>IF(OR(INDEX($AH$2:$AH$1001,MATCH(ROWS($AG$2:AG677),$AG$2:$AG$1001,0),1)&gt;=100000,INDEX($AN$1005:$BO$1005,1,MATCH(COLUMNS($AN$1006:AX1006),$AN$1006:$BO$1006,0))&gt;=100000), " ",IF(INDEX($AN$2:$BO$1001,MATCH(ROWS($AG$2:AG677),$AG$2:$AG$1001,0),MATCH(COLUMNS($AN$1006:AX1006),$AN$1006:$BO$1006,0)), HYPERLINK("#",""), HYPERLINK(CONCATENATE("#Metadata!", ADDRESS(INDEX($AI$2:$AI$1001,MATCH(ROWS($AG$2:AG677),$AG$2:$AG$1001,0),0), INDEX($AN$1004:$BO$1004,1,MATCH(COLUMNS($AN$1006:AX1006),$AN$1006:$BO$1006,0)))),"Fix")))</f>
        <v>0</v>
      </c>
      <c r="M677" s="4">
        <f>IF(OR(INDEX($AH$2:$AH$1001,MATCH(ROWS($AG$2:AG677),$AG$2:$AG$1001,0),1)&gt;=100000,INDEX($AN$1005:$BO$1005,1,MATCH(COLUMNS($AN$1006:AY1006),$AN$1006:$BO$1006,0))&gt;=100000), " ",IF(INDEX($AN$2:$BO$1001,MATCH(ROWS($AG$2:AG677),$AG$2:$AG$1001,0),MATCH(COLUMNS($AN$1006:AY1006),$AN$1006:$BO$1006,0)), HYPERLINK("#",""), HYPERLINK(CONCATENATE("#Metadata!", ADDRESS(INDEX($AI$2:$AI$1001,MATCH(ROWS($AG$2:AG677),$AG$2:$AG$1001,0),0), INDEX($AN$1004:$BO$1004,1,MATCH(COLUMNS($AN$1006:AY1006),$AN$1006:$BO$1006,0)))),"Fix")))</f>
        <v>0</v>
      </c>
      <c r="N677" s="4">
        <f>IF(OR(INDEX($AH$2:$AH$1001,MATCH(ROWS($AG$2:AG677),$AG$2:$AG$1001,0),1)&gt;=100000,INDEX($AN$1005:$BO$1005,1,MATCH(COLUMNS($AN$1006:AZ1006),$AN$1006:$BO$1006,0))&gt;=100000), " ",IF(INDEX($AN$2:$BO$1001,MATCH(ROWS($AG$2:AG677),$AG$2:$AG$1001,0),MATCH(COLUMNS($AN$1006:AZ1006),$AN$1006:$BO$1006,0)), HYPERLINK("#",""), HYPERLINK(CONCATENATE("#Metadata!", ADDRESS(INDEX($AI$2:$AI$1001,MATCH(ROWS($AG$2:AG677),$AG$2:$AG$1001,0),0), INDEX($AN$1004:$BO$1004,1,MATCH(COLUMNS($AN$1006:AZ1006),$AN$1006:$BO$1006,0)))),"Fix")))</f>
        <v>0</v>
      </c>
      <c r="O677" s="4">
        <f>IF(OR(INDEX($AH$2:$AH$1001,MATCH(ROWS($AG$2:AG677),$AG$2:$AG$1001,0),1)&gt;=100000,INDEX($AN$1005:$BO$1005,1,MATCH(COLUMNS($AN$1006:BA1006),$AN$1006:$BO$1006,0))&gt;=100000), " ",IF(INDEX($AN$2:$BO$1001,MATCH(ROWS($AG$2:AG677),$AG$2:$AG$1001,0),MATCH(COLUMNS($AN$1006:BA1006),$AN$1006:$BO$1006,0)), HYPERLINK("#",""), HYPERLINK(CONCATENATE("#Metadata!", ADDRESS(INDEX($AI$2:$AI$1001,MATCH(ROWS($AG$2:AG677),$AG$2:$AG$1001,0),0), INDEX($AN$1004:$BO$1004,1,MATCH(COLUMNS($AN$1006:BA1006),$AN$1006:$BO$1006,0)))),"Fix")))</f>
        <v>0</v>
      </c>
      <c r="P677" s="4">
        <f>IF(OR(INDEX($AH$2:$AH$1001,MATCH(ROWS($AG$2:AG677),$AG$2:$AG$1001,0),1)&gt;=100000,INDEX($AN$1005:$BO$1005,1,MATCH(COLUMNS($AN$1006:BB1006),$AN$1006:$BO$1006,0))&gt;=100000), " ",IF(INDEX($AN$2:$BO$1001,MATCH(ROWS($AG$2:AG677),$AG$2:$AG$1001,0),MATCH(COLUMNS($AN$1006:BB1006),$AN$1006:$BO$1006,0)), HYPERLINK("#",""), HYPERLINK(CONCATENATE("#Metadata!", ADDRESS(INDEX($AI$2:$AI$1001,MATCH(ROWS($AG$2:AG677),$AG$2:$AG$1001,0),0), INDEX($AN$1004:$BO$1004,1,MATCH(COLUMNS($AN$1006:BB1006),$AN$1006:$BO$1006,0)))),"Fix")))</f>
        <v>0</v>
      </c>
      <c r="Q677" s="4">
        <f>IF(OR(INDEX($AH$2:$AH$1001,MATCH(ROWS($AG$2:AG677),$AG$2:$AG$1001,0),1)&gt;=100000,INDEX($AN$1005:$BO$1005,1,MATCH(COLUMNS($AN$1006:BC1006),$AN$1006:$BO$1006,0))&gt;=100000), " ",IF(INDEX($AN$2:$BO$1001,MATCH(ROWS($AG$2:AG677),$AG$2:$AG$1001,0),MATCH(COLUMNS($AN$1006:BC1006),$AN$1006:$BO$1006,0)), HYPERLINK("#",""), HYPERLINK(CONCATENATE("#Metadata!", ADDRESS(INDEX($AI$2:$AI$1001,MATCH(ROWS($AG$2:AG677),$AG$2:$AG$1001,0),0), INDEX($AN$1004:$BO$1004,1,MATCH(COLUMNS($AN$1006:BC1006),$AN$1006:$BO$1006,0)))),"Fix")))</f>
        <v>0</v>
      </c>
      <c r="R677" s="4">
        <f>IF(OR(INDEX($AH$2:$AH$1001,MATCH(ROWS($AG$2:AG677),$AG$2:$AG$1001,0),1)&gt;=100000,INDEX($AN$1005:$BO$1005,1,MATCH(COLUMNS($AN$1006:BD1006),$AN$1006:$BO$1006,0))&gt;=100000), " ",IF(INDEX($AN$2:$BO$1001,MATCH(ROWS($AG$2:AG677),$AG$2:$AG$1001,0),MATCH(COLUMNS($AN$1006:BD1006),$AN$1006:$BO$1006,0)), HYPERLINK("#",""), HYPERLINK(CONCATENATE("#Metadata!", ADDRESS(INDEX($AI$2:$AI$1001,MATCH(ROWS($AG$2:AG677),$AG$2:$AG$1001,0),0), INDEX($AN$1004:$BO$1004,1,MATCH(COLUMNS($AN$1006:BD1006),$AN$1006:$BO$1006,0)))),"Fix")))</f>
        <v>0</v>
      </c>
      <c r="S677" s="4">
        <f>IF(OR(INDEX($AH$2:$AH$1001,MATCH(ROWS($AG$2:AG677),$AG$2:$AG$1001,0),1)&gt;=100000,INDEX($AN$1005:$BO$1005,1,MATCH(COLUMNS($AN$1006:BE1006),$AN$1006:$BO$1006,0))&gt;=100000), " ",IF(INDEX($AN$2:$BO$1001,MATCH(ROWS($AG$2:AG677),$AG$2:$AG$1001,0),MATCH(COLUMNS($AN$1006:BE1006),$AN$1006:$BO$1006,0)), HYPERLINK("#",""), HYPERLINK(CONCATENATE("#Metadata!", ADDRESS(INDEX($AI$2:$AI$1001,MATCH(ROWS($AG$2:AG677),$AG$2:$AG$1001,0),0), INDEX($AN$1004:$BO$1004,1,MATCH(COLUMNS($AN$1006:BE1006),$AN$1006:$BO$1006,0)))),"Fix")))</f>
        <v>0</v>
      </c>
      <c r="T677" s="4">
        <f>IF(OR(INDEX($AH$2:$AH$1001,MATCH(ROWS($AG$2:AG677),$AG$2:$AG$1001,0),1)&gt;=100000,INDEX($AN$1005:$BO$1005,1,MATCH(COLUMNS($AN$1006:BF1006),$AN$1006:$BO$1006,0))&gt;=100000), " ",IF(INDEX($AN$2:$BO$1001,MATCH(ROWS($AG$2:AG677),$AG$2:$AG$1001,0),MATCH(COLUMNS($AN$1006:BF1006),$AN$1006:$BO$1006,0)), HYPERLINK("#",""), HYPERLINK(CONCATENATE("#Metadata!", ADDRESS(INDEX($AI$2:$AI$1001,MATCH(ROWS($AG$2:AG677),$AG$2:$AG$1001,0),0), INDEX($AN$1004:$BO$1004,1,MATCH(COLUMNS($AN$1006:BF1006),$AN$1006:$BO$1006,0)))),"Fix")))</f>
        <v>0</v>
      </c>
      <c r="U677" s="4">
        <f>IF(OR(INDEX($AH$2:$AH$1001,MATCH(ROWS($AG$2:AG677),$AG$2:$AG$1001,0),1)&gt;=100000,INDEX($AN$1005:$BO$1005,1,MATCH(COLUMNS($AN$1006:BG1006),$AN$1006:$BO$1006,0))&gt;=100000), " ",IF(INDEX($AN$2:$BO$1001,MATCH(ROWS($AG$2:AG677),$AG$2:$AG$1001,0),MATCH(COLUMNS($AN$1006:BG1006),$AN$1006:$BO$1006,0)), HYPERLINK("#",""), HYPERLINK(CONCATENATE("#Metadata!", ADDRESS(INDEX($AI$2:$AI$1001,MATCH(ROWS($AG$2:AG677),$AG$2:$AG$1001,0),0), INDEX($AN$1004:$BO$1004,1,MATCH(COLUMNS($AN$1006:BG1006),$AN$1006:$BO$1006,0)))),"Fix")))</f>
        <v>0</v>
      </c>
      <c r="V677" s="4">
        <f>IF(OR(INDEX($AH$2:$AH$1001,MATCH(ROWS($AG$2:AG677),$AG$2:$AG$1001,0),1)&gt;=100000,INDEX($AN$1005:$BO$1005,1,MATCH(COLUMNS($AN$1006:BH1006),$AN$1006:$BO$1006,0))&gt;=100000), " ",IF(INDEX($AN$2:$BO$1001,MATCH(ROWS($AG$2:AG677),$AG$2:$AG$1001,0),MATCH(COLUMNS($AN$1006:BH1006),$AN$1006:$BO$1006,0)), HYPERLINK("#",""), HYPERLINK(CONCATENATE("#Metadata!", ADDRESS(INDEX($AI$2:$AI$1001,MATCH(ROWS($AG$2:AG677),$AG$2:$AG$1001,0),0), INDEX($AN$1004:$BO$1004,1,MATCH(COLUMNS($AN$1006:BH1006),$AN$1006:$BO$1006,0)))),"Fix")))</f>
        <v>0</v>
      </c>
      <c r="W677" s="4">
        <f>IF(OR(INDEX($AH$2:$AH$1001,MATCH(ROWS($AG$2:AG677),$AG$2:$AG$1001,0),1)&gt;=100000,INDEX($AN$1005:$BO$1005,1,MATCH(COLUMNS($AN$1006:BI1006),$AN$1006:$BO$1006,0))&gt;=100000), " ",IF(INDEX($AN$2:$BO$1001,MATCH(ROWS($AG$2:AG677),$AG$2:$AG$1001,0),MATCH(COLUMNS($AN$1006:BI1006),$AN$1006:$BO$1006,0)), HYPERLINK("#",""), HYPERLINK(CONCATENATE("#Metadata!", ADDRESS(INDEX($AI$2:$AI$1001,MATCH(ROWS($AG$2:AG677),$AG$2:$AG$1001,0),0), INDEX($AN$1004:$BO$1004,1,MATCH(COLUMNS($AN$1006:BI1006),$AN$1006:$BO$1006,0)))),"Fix")))</f>
        <v>0</v>
      </c>
      <c r="X677" s="4">
        <f>IF(OR(INDEX($AH$2:$AH$1001,MATCH(ROWS($AG$2:AG677),$AG$2:$AG$1001,0),1)&gt;=100000,INDEX($AN$1005:$BO$1005,1,MATCH(COLUMNS($AN$1006:BJ1006),$AN$1006:$BO$1006,0))&gt;=100000), " ",IF(INDEX($AN$2:$BO$1001,MATCH(ROWS($AG$2:AG677),$AG$2:$AG$1001,0),MATCH(COLUMNS($AN$1006:BJ1006),$AN$1006:$BO$1006,0)), HYPERLINK("#",""), HYPERLINK(CONCATENATE("#Metadata!", ADDRESS(INDEX($AI$2:$AI$1001,MATCH(ROWS($AG$2:AG677),$AG$2:$AG$1001,0),0), INDEX($AN$1004:$BO$1004,1,MATCH(COLUMNS($AN$1006:BJ1006),$AN$1006:$BO$1006,0)))),"Fix")))</f>
        <v>0</v>
      </c>
      <c r="Y677" s="4">
        <f>IF(OR(INDEX($AH$2:$AH$1001,MATCH(ROWS($AG$2:AG677),$AG$2:$AG$1001,0),1)&gt;=100000,INDEX($AN$1005:$BO$1005,1,MATCH(COLUMNS($AN$1006:BK1006),$AN$1006:$BO$1006,0))&gt;=100000), " ",IF(INDEX($AN$2:$BO$1001,MATCH(ROWS($AG$2:AG677),$AG$2:$AG$1001,0),MATCH(COLUMNS($AN$1006:BK1006),$AN$1006:$BO$1006,0)), HYPERLINK("#",""), HYPERLINK(CONCATENATE("#Metadata!", ADDRESS(INDEX($AI$2:$AI$1001,MATCH(ROWS($AG$2:AG677),$AG$2:$AG$1001,0),0), INDEX($AN$1004:$BO$1004,1,MATCH(COLUMNS($AN$1006:BK1006),$AN$1006:$BO$1006,0)))),"Fix")))</f>
        <v>0</v>
      </c>
      <c r="Z677" s="4">
        <f>IF(OR(INDEX($AH$2:$AH$1001,MATCH(ROWS($AG$2:AG677),$AG$2:$AG$1001,0),1)&gt;=100000,INDEX($AN$1005:$BO$1005,1,MATCH(COLUMNS($AN$1006:BL1006),$AN$1006:$BO$1006,0))&gt;=100000), " ",IF(INDEX($AN$2:$BO$1001,MATCH(ROWS($AG$2:AG677),$AG$2:$AG$1001,0),MATCH(COLUMNS($AN$1006:BL1006),$AN$1006:$BO$1006,0)), HYPERLINK("#",""), HYPERLINK(CONCATENATE("#Metadata!", ADDRESS(INDEX($AI$2:$AI$1001,MATCH(ROWS($AG$2:AG677),$AG$2:$AG$1001,0),0), INDEX($AN$1004:$BO$1004,1,MATCH(COLUMNS($AN$1006:BL1006),$AN$1006:$BO$1006,0)))),"Fix")))</f>
        <v>0</v>
      </c>
      <c r="AA677" s="4">
        <f>IF(OR(INDEX($AH$2:$AH$1001,MATCH(ROWS($AG$2:AG677),$AG$2:$AG$1001,0),1)&gt;=100000,INDEX($AN$1005:$BO$1005,1,MATCH(COLUMNS($AN$1006:BM1006),$AN$1006:$BO$1006,0))&gt;=100000), " ",IF(INDEX($AN$2:$BO$1001,MATCH(ROWS($AG$2:AG677),$AG$2:$AG$1001,0),MATCH(COLUMNS($AN$1006:BM1006),$AN$1006:$BO$1006,0)), HYPERLINK("#",""), HYPERLINK(CONCATENATE("#Metadata!", ADDRESS(INDEX($AI$2:$AI$1001,MATCH(ROWS($AG$2:AG677),$AG$2:$AG$1001,0),0), INDEX($AN$1004:$BO$1004,1,MATCH(COLUMNS($AN$1006:BM1006),$AN$1006:$BO$1006,0)))),"Fix")))</f>
        <v>0</v>
      </c>
      <c r="AB677" s="4">
        <f>IF(OR(INDEX($AH$2:$AH$1001,MATCH(ROWS($AG$2:AG677),$AG$2:$AG$1001,0),1)&gt;=100000,INDEX($AN$1005:$BO$1005,1,MATCH(COLUMNS($AN$1006:BN1006),$AN$1006:$BO$1006,0))&gt;=100000), " ",IF(INDEX($AN$2:$BO$1001,MATCH(ROWS($AG$2:AG677),$AG$2:$AG$1001,0),MATCH(COLUMNS($AN$1006:BN1006),$AN$1006:$BO$1006,0)), HYPERLINK("#",""), HYPERLINK(CONCATENATE("#Metadata!", ADDRESS(INDEX($AI$2:$AI$1001,MATCH(ROWS($AG$2:AG677),$AG$2:$AG$1001,0),0), INDEX($AN$1004:$BO$1004,1,MATCH(COLUMNS($AN$1006:BN1006),$AN$1006:$BO$1006,0)))),"Fix")))</f>
        <v>0</v>
      </c>
      <c r="AC677" s="4">
        <f>IF(OR(INDEX($AH$2:$AH$1001,MATCH(ROWS($AG$2:AG677),$AG$2:$AG$1001,0),1)&gt;=100000,INDEX($AN$1005:$BO$1005,1,MATCH(COLUMNS($AN$1006:BO1006),$AN$1006:$BO$1006,0))&gt;=100000), " ",IF(INDEX($AN$2:$BO$1001,MATCH(ROWS($AG$2:AG677),$AG$2:$AG$1001,0),MATCH(COLUMNS($AN$1006:BO1006),$AN$1006:$BO$1006,0)), HYPERLINK("#",""), HYPERLINK(CONCATENATE("#Metadata!", ADDRESS(INDEX($AI$2:$AI$1001,MATCH(ROWS($AG$2:AG677),$AG$2:$AG$1001,0),0), INDEX($AN$1004:$BO$1004,1,MATCH(COLUMNS($AN$1006:BO1006),$AN$1006:$BO$1006,0)))),"Fix")))</f>
        <v>0</v>
      </c>
      <c r="AG677">
        <v>0</v>
      </c>
      <c r="AH677">
        <v>0</v>
      </c>
      <c r="AI677">
        <v>0</v>
      </c>
      <c r="AJ677">
        <f>IF(AK677,TRUE,AND(AN677:BO677))</f>
        <v>0</v>
      </c>
      <c r="AK677">
        <f>COUNTBLANK(Metadata!B677:AC677)=COLUMNS(Metadata!B677:AC677)</f>
        <v>0</v>
      </c>
      <c r="AL677">
        <v>0</v>
      </c>
      <c r="AN677">
        <f>AND(IF(Metadata!B677="",FALSE,TRUE),COUNTIF(Metadata!B:B, Metadata!B677) = 1,NOT(ISERROR(SUMPRODUCT(SEARCH(MID(Metadata!B677,ROW(INDIRECT("1:"&amp;LEN(Metadata!B677))), 1),"0123456789abcdefghijklmnopqrstuvwxyzABCDEFGHIJKLMNOPQRSTUVWXYZ.")))))</f>
        <v>0</v>
      </c>
      <c r="AO677">
        <f>IF(Metadata!C677="",FALSE,TRUE)</f>
        <v>0</v>
      </c>
      <c r="AP677">
        <f>IF(Metadata!D677="",FALSE,TRUE)</f>
        <v>0</v>
      </c>
      <c r="AQ677">
        <f>OR(AND(IF(Metadata!E677="",FALSE,TRUE),OR(exact(Metadata!E677,"not collected"),exact(Metadata!E677,"not provided"),exact(Metadata!E677,"restricted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R677">
        <f>IF(Metadata!F677="",FALSE,TRUE)</f>
        <v>0</v>
      </c>
      <c r="AS677">
        <f>OR(AND(IF(Metadata!G677="",FALSE,TRUE),OR(exact(Metadata!G677,"not collected"),exact(Metadata!G677,"not provided"))),AND(IF(Metadata!G677="",FALSE,TRUE),OR(exact(Metadata!G677,"TRUE"),exact(Metadata!G677,"FALSE"))))</f>
        <v>0</v>
      </c>
      <c r="AT677">
        <f>OR(AND(IF(Metadata!H677="",FALSE,TRUE),OR(exact(Metadata!H677,"not collected"),exact(Metadata!H677,"not provided"),exact(Metadata!H677,"restricted access"))),AND(IF(Metadata!H677="",FALSE,ISNUMBER(VALUE(Metadata!H677))),Metadata!H677&gt;=-413.0))</f>
        <v>0</v>
      </c>
      <c r="AU677">
        <f>AND(IF(Metadata!I677="",FALSE,TRUE),exact(Metadata!I677,"meters"))</f>
        <v>0</v>
      </c>
      <c r="AV677">
        <f>AND(IF(Metadata!J677="",FALSE,TRUE),OR(exact(Metadata!J677,"Host-associated"),exact(Metadata!J677,"Free-living")))</f>
        <v>0</v>
      </c>
      <c r="AW677">
        <f>AND(IF(Metadata!K677="",FALSE,TRUE),OR(exact(Metadata!K677,"Animal"),exact(Metadata!K677,"Fungus"),exact(Metadata!K677,"Plant"),exact(Metadata!K677,"Saline"),exact(Metadata!K677,"Non-saline")))</f>
        <v>0</v>
      </c>
      <c r="AX677">
        <f>AND(IF(Metadata!L677="",FALSE,TRUE),OR(exact(Metadata!L677,"Plant secretion"),exact(Metadata!L677,"Plant rhizosphere"),exact(Metadata!L677,"Plant surface"),exact(Metadata!L677,"Plant corpus"),exact(Metadata!L677,"Fungus surface"),exact(Metadata!L677,"Fungus corpus"),exact(Metadata!L677,"Animal surface"),exact(Metadata!L677,"Animal proximal gut"),exact(Metadata!L677,"Animal corpus"),exact(Metadata!L677,"Animal distal gut"),exact(Metadata!L677,"Animal secretion"),exact(Metadata!L677,"Sub-surface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Y677">
        <f>IF(Metadata!M677="",FALSE,TRUE)</f>
        <v>0</v>
      </c>
      <c r="AZ677">
        <f>IF(Metadata!N677="",FALSE,TRUE)</f>
        <v>0</v>
      </c>
      <c r="BA677">
        <f>IF(Metadata!O677="",FALSE,TRUE)</f>
        <v>0</v>
      </c>
      <c r="BB677">
        <f>OR(AND(IF(Metadata!P677="",FALSE,TRUE),OR(exact(Metadata!P677,"not collected"),exact(Metadata!P677,"not provided"),exact(Metadata!P677,"restricted access"))),AND(IF(Metadata!P677="",FALSE,TRUE),OR(exact(Metadata!P677,"air"),exact(Metadata!P677,"built environment"),exact(Metadata!P677,"host-associated"),exact(Metadata!P677,"human-associated"),exact(Metadata!P677,"human-skin"),exact(Metadata!P677,"human-oral"),exact(Metadata!P677,"human-gut"),exact(Metadata!P677,"human-vaginal"),exact(Metadata!P677,"microbial mat/biofilm"),exact(Metadata!P677,"misc environment"),exact(Metadata!P677,"plant-associated"),exact(Metadata!P677,"sediment"),exact(Metadata!P677,"soil"),exact(Metadata!P677,"wastewater/sludge"),exact(Metadata!P677,"water"))))</f>
        <v>0</v>
      </c>
      <c r="BC677">
        <f>IF(Metadata!Q677="",FALSE,TRUE)</f>
        <v>0</v>
      </c>
      <c r="BD677">
        <f>IF(Metadata!R677="",FALSE,TRUE)</f>
        <v>0</v>
      </c>
      <c r="BE677">
        <f>OR(AND(IF(Metadata!S677="",FALSE,TRUE),OR(exact(Metadata!S677,"not collected"),exact(Metadata!S677,"not provided"),exact(Metadata!S677,"restricted access"))),AND(IF(Metadata!S677="",FALSE,ISNUMBER(VALUE(Metadata!S677))),Metadata!S677&gt;=-90.00,Metadata!S677&lt;=90.00))</f>
        <v>0</v>
      </c>
      <c r="BF677">
        <f>AND(IF(Metadata!T677="",FALSE,TRUE),exact(Metadata!T677,"Decimal degrees"))</f>
        <v>0</v>
      </c>
      <c r="BG677">
        <f>OR(AND(IF(Metadata!U677="",FALSE,TRUE),OR(exact(Metadata!U677,"not collected"),exact(Metadata!U677,"not provided"),exact(Metadata!U677,"restricted access"))),AND(IF(Metadata!U677="",FALSE,ISNUMBER(VALUE(Metadata!U677))),Metadata!U677&gt;=-180.00,Metadata!U677&lt;=180.00))</f>
        <v>0</v>
      </c>
      <c r="BH677">
        <f>AND(IF(Metadata!V677="",FALSE,TRUE),exact(Metadata!V677,"Decimal degrees"))</f>
        <v>0</v>
      </c>
      <c r="BI677">
        <f>IF(Metadata!W677="",FALSE,TRUE)</f>
        <v>0</v>
      </c>
      <c r="BJ677">
        <f>OR(AND(IF(Metadata!X677="",FALSE,TRUE),OR(exact(Metadata!X677,"not collected"),exact(Metadata!X677,"not provided"),exact(Metadata!X677,"restricted access"))),AND(IF(Metadata!X677="",FALSE,TRUE),OR(exact(Metadata!X677,"TRUE"),exact(Metadata!X677,"FALSE"))))</f>
        <v>0</v>
      </c>
      <c r="BK677">
        <f>AND(IF(Metadata!Y677="",FALSE,TRUE),exact(Metadata!Y677,"other"))</f>
        <v>0</v>
      </c>
      <c r="BL677">
        <f>IF(Metadata!Z677="",FALSE,TRUE)</f>
        <v>0</v>
      </c>
      <c r="BM677">
        <f>OR(AND(IF(Metadata!AA677="",FALSE,TRUE),OR(exact(Metadata!AA677,"not collected"),exact(Metadata!AA677,"not provided"))),AND(IF(Metadata!AA677="",FALSE,IF(ISERROR(INT(Metadata!AA677)),FALSE,INT(Metadata!AA677)=Metadata!AA677)),Metadata!AA677&gt;0))</f>
        <v>0</v>
      </c>
      <c r="BN677">
        <f>AND(IF(Metadata!AB677="",FALSE,TRUE),exact(Metadata!AB677,"Not applicable"))</f>
        <v>0</v>
      </c>
      <c r="BO677">
        <f>IF(Metadata!AC677="",FALSE,TRUE)</f>
        <v>0</v>
      </c>
    </row>
    <row r="678" spans="1:67">
      <c r="A678" s="5">
        <f>IF(B678=" "," ",HYPERLINK(CONCATENATE("#metadata!",ADDRESS(INDEX($AI$2:$AI$1001,MATCH(ROWS($AG$2:AG678),$AG$2:$AG$1001,0),0),1)),INDEX($AL$2:$AL$1001,MATCH(ROWS($AG$2:AG678),$AG$2:$AG$1001,0),0)))</f>
        <v>0</v>
      </c>
      <c r="B678" s="4">
        <f>IF(OR(INDEX($AH$2:$AH$1001,MATCH(ROWS($AG$2:AG678),$AG$2:$AG$1001,0),1)&gt;=100000,INDEX($AN$1005:$BO$1005,1,MATCH(COLUMNS($AN$1006:AN1006),$AN$1006:$BO$1006,0))&gt;=100000), " ",IF(INDEX($AN$2:$BO$1001,MATCH(ROWS($AG$2:AG678),$AG$2:$AG$1001,0),MATCH(COLUMNS($AN$1006:AN1006),$AN$1006:$BO$1006,0)), HYPERLINK("#",""), HYPERLINK(CONCATENATE("#Metadata!", ADDRESS(INDEX($AI$2:$AI$1001,MATCH(ROWS($AG$2:AG678),$AG$2:$AG$1001,0),0), INDEX($AN$1004:$BO$1004,1,MATCH(COLUMNS($AN$1006:AN1006),$AN$1006:$BO$1006,0)))),"Fix")))</f>
        <v>0</v>
      </c>
      <c r="C678" s="4">
        <f>IF(OR(INDEX($AH$2:$AH$1001,MATCH(ROWS($AG$2:AG678),$AG$2:$AG$1001,0),1)&gt;=100000,INDEX($AN$1005:$BO$1005,1,MATCH(COLUMNS($AN$1006:AO1006),$AN$1006:$BO$1006,0))&gt;=100000), " ",IF(INDEX($AN$2:$BO$1001,MATCH(ROWS($AG$2:AG678),$AG$2:$AG$1001,0),MATCH(COLUMNS($AN$1006:AO1006),$AN$1006:$BO$1006,0)), HYPERLINK("#",""), HYPERLINK(CONCATENATE("#Metadata!", ADDRESS(INDEX($AI$2:$AI$1001,MATCH(ROWS($AG$2:AG678),$AG$2:$AG$1001,0),0), INDEX($AN$1004:$BO$1004,1,MATCH(COLUMNS($AN$1006:AO1006),$AN$1006:$BO$1006,0)))),"Fix")))</f>
        <v>0</v>
      </c>
      <c r="D678" s="4">
        <f>IF(OR(INDEX($AH$2:$AH$1001,MATCH(ROWS($AG$2:AG678),$AG$2:$AG$1001,0),1)&gt;=100000,INDEX($AN$1005:$BO$1005,1,MATCH(COLUMNS($AN$1006:AP1006),$AN$1006:$BO$1006,0))&gt;=100000), " ",IF(INDEX($AN$2:$BO$1001,MATCH(ROWS($AG$2:AG678),$AG$2:$AG$1001,0),MATCH(COLUMNS($AN$1006:AP1006),$AN$1006:$BO$1006,0)), HYPERLINK("#",""), HYPERLINK(CONCATENATE("#Metadata!", ADDRESS(INDEX($AI$2:$AI$1001,MATCH(ROWS($AG$2:AG678),$AG$2:$AG$1001,0),0), INDEX($AN$1004:$BO$1004,1,MATCH(COLUMNS($AN$1006:AP1006),$AN$1006:$BO$1006,0)))),"Fix")))</f>
        <v>0</v>
      </c>
      <c r="E678" s="4">
        <f>IF(OR(INDEX($AH$2:$AH$1001,MATCH(ROWS($AG$2:AG678),$AG$2:$AG$1001,0),1)&gt;=100000,INDEX($AN$1005:$BO$1005,1,MATCH(COLUMNS($AN$1006:AQ1006),$AN$1006:$BO$1006,0))&gt;=100000), " ",IF(INDEX($AN$2:$BO$1001,MATCH(ROWS($AG$2:AG678),$AG$2:$AG$1001,0),MATCH(COLUMNS($AN$1006:AQ1006),$AN$1006:$BO$1006,0)), HYPERLINK("#",""), HYPERLINK(CONCATENATE("#Metadata!", ADDRESS(INDEX($AI$2:$AI$1001,MATCH(ROWS($AG$2:AG678),$AG$2:$AG$1001,0),0), INDEX($AN$1004:$BO$1004,1,MATCH(COLUMNS($AN$1006:AQ1006),$AN$1006:$BO$1006,0)))),"Fix")))</f>
        <v>0</v>
      </c>
      <c r="F678" s="4">
        <f>IF(OR(INDEX($AH$2:$AH$1001,MATCH(ROWS($AG$2:AG678),$AG$2:$AG$1001,0),1)&gt;=100000,INDEX($AN$1005:$BO$1005,1,MATCH(COLUMNS($AN$1006:AR1006),$AN$1006:$BO$1006,0))&gt;=100000), " ",IF(INDEX($AN$2:$BO$1001,MATCH(ROWS($AG$2:AG678),$AG$2:$AG$1001,0),MATCH(COLUMNS($AN$1006:AR1006),$AN$1006:$BO$1006,0)), HYPERLINK("#",""), HYPERLINK(CONCATENATE("#Metadata!", ADDRESS(INDEX($AI$2:$AI$1001,MATCH(ROWS($AG$2:AG678),$AG$2:$AG$1001,0),0), INDEX($AN$1004:$BO$1004,1,MATCH(COLUMNS($AN$1006:AR1006),$AN$1006:$BO$1006,0)))),"Fix")))</f>
        <v>0</v>
      </c>
      <c r="G678" s="4">
        <f>IF(OR(INDEX($AH$2:$AH$1001,MATCH(ROWS($AG$2:AG678),$AG$2:$AG$1001,0),1)&gt;=100000,INDEX($AN$1005:$BO$1005,1,MATCH(COLUMNS($AN$1006:AS1006),$AN$1006:$BO$1006,0))&gt;=100000), " ",IF(INDEX($AN$2:$BO$1001,MATCH(ROWS($AG$2:AG678),$AG$2:$AG$1001,0),MATCH(COLUMNS($AN$1006:AS1006),$AN$1006:$BO$1006,0)), HYPERLINK("#",""), HYPERLINK(CONCATENATE("#Metadata!", ADDRESS(INDEX($AI$2:$AI$1001,MATCH(ROWS($AG$2:AG678),$AG$2:$AG$1001,0),0), INDEX($AN$1004:$BO$1004,1,MATCH(COLUMNS($AN$1006:AS1006),$AN$1006:$BO$1006,0)))),"Fix")))</f>
        <v>0</v>
      </c>
      <c r="H678" s="4">
        <f>IF(OR(INDEX($AH$2:$AH$1001,MATCH(ROWS($AG$2:AG678),$AG$2:$AG$1001,0),1)&gt;=100000,INDEX($AN$1005:$BO$1005,1,MATCH(COLUMNS($AN$1006:AT1006),$AN$1006:$BO$1006,0))&gt;=100000), " ",IF(INDEX($AN$2:$BO$1001,MATCH(ROWS($AG$2:AG678),$AG$2:$AG$1001,0),MATCH(COLUMNS($AN$1006:AT1006),$AN$1006:$BO$1006,0)), HYPERLINK("#",""), HYPERLINK(CONCATENATE("#Metadata!", ADDRESS(INDEX($AI$2:$AI$1001,MATCH(ROWS($AG$2:AG678),$AG$2:$AG$1001,0),0), INDEX($AN$1004:$BO$1004,1,MATCH(COLUMNS($AN$1006:AT1006),$AN$1006:$BO$1006,0)))),"Fix")))</f>
        <v>0</v>
      </c>
      <c r="I678" s="4">
        <f>IF(OR(INDEX($AH$2:$AH$1001,MATCH(ROWS($AG$2:AG678),$AG$2:$AG$1001,0),1)&gt;=100000,INDEX($AN$1005:$BO$1005,1,MATCH(COLUMNS($AN$1006:AU1006),$AN$1006:$BO$1006,0))&gt;=100000), " ",IF(INDEX($AN$2:$BO$1001,MATCH(ROWS($AG$2:AG678),$AG$2:$AG$1001,0),MATCH(COLUMNS($AN$1006:AU1006),$AN$1006:$BO$1006,0)), HYPERLINK("#",""), HYPERLINK(CONCATENATE("#Metadata!", ADDRESS(INDEX($AI$2:$AI$1001,MATCH(ROWS($AG$2:AG678),$AG$2:$AG$1001,0),0), INDEX($AN$1004:$BO$1004,1,MATCH(COLUMNS($AN$1006:AU1006),$AN$1006:$BO$1006,0)))),"Fix")))</f>
        <v>0</v>
      </c>
      <c r="J678" s="4">
        <f>IF(OR(INDEX($AH$2:$AH$1001,MATCH(ROWS($AG$2:AG678),$AG$2:$AG$1001,0),1)&gt;=100000,INDEX($AN$1005:$BO$1005,1,MATCH(COLUMNS($AN$1006:AV1006),$AN$1006:$BO$1006,0))&gt;=100000), " ",IF(INDEX($AN$2:$BO$1001,MATCH(ROWS($AG$2:AG678),$AG$2:$AG$1001,0),MATCH(COLUMNS($AN$1006:AV1006),$AN$1006:$BO$1006,0)), HYPERLINK("#",""), HYPERLINK(CONCATENATE("#Metadata!", ADDRESS(INDEX($AI$2:$AI$1001,MATCH(ROWS($AG$2:AG678),$AG$2:$AG$1001,0),0), INDEX($AN$1004:$BO$1004,1,MATCH(COLUMNS($AN$1006:AV1006),$AN$1006:$BO$1006,0)))),"Fix")))</f>
        <v>0</v>
      </c>
      <c r="K678" s="4">
        <f>IF(OR(INDEX($AH$2:$AH$1001,MATCH(ROWS($AG$2:AG678),$AG$2:$AG$1001,0),1)&gt;=100000,INDEX($AN$1005:$BO$1005,1,MATCH(COLUMNS($AN$1006:AW1006),$AN$1006:$BO$1006,0))&gt;=100000), " ",IF(INDEX($AN$2:$BO$1001,MATCH(ROWS($AG$2:AG678),$AG$2:$AG$1001,0),MATCH(COLUMNS($AN$1006:AW1006),$AN$1006:$BO$1006,0)), HYPERLINK("#",""), HYPERLINK(CONCATENATE("#Metadata!", ADDRESS(INDEX($AI$2:$AI$1001,MATCH(ROWS($AG$2:AG678),$AG$2:$AG$1001,0),0), INDEX($AN$1004:$BO$1004,1,MATCH(COLUMNS($AN$1006:AW1006),$AN$1006:$BO$1006,0)))),"Fix")))</f>
        <v>0</v>
      </c>
      <c r="L678" s="4">
        <f>IF(OR(INDEX($AH$2:$AH$1001,MATCH(ROWS($AG$2:AG678),$AG$2:$AG$1001,0),1)&gt;=100000,INDEX($AN$1005:$BO$1005,1,MATCH(COLUMNS($AN$1006:AX1006),$AN$1006:$BO$1006,0))&gt;=100000), " ",IF(INDEX($AN$2:$BO$1001,MATCH(ROWS($AG$2:AG678),$AG$2:$AG$1001,0),MATCH(COLUMNS($AN$1006:AX1006),$AN$1006:$BO$1006,0)), HYPERLINK("#",""), HYPERLINK(CONCATENATE("#Metadata!", ADDRESS(INDEX($AI$2:$AI$1001,MATCH(ROWS($AG$2:AG678),$AG$2:$AG$1001,0),0), INDEX($AN$1004:$BO$1004,1,MATCH(COLUMNS($AN$1006:AX1006),$AN$1006:$BO$1006,0)))),"Fix")))</f>
        <v>0</v>
      </c>
      <c r="M678" s="4">
        <f>IF(OR(INDEX($AH$2:$AH$1001,MATCH(ROWS($AG$2:AG678),$AG$2:$AG$1001,0),1)&gt;=100000,INDEX($AN$1005:$BO$1005,1,MATCH(COLUMNS($AN$1006:AY1006),$AN$1006:$BO$1006,0))&gt;=100000), " ",IF(INDEX($AN$2:$BO$1001,MATCH(ROWS($AG$2:AG678),$AG$2:$AG$1001,0),MATCH(COLUMNS($AN$1006:AY1006),$AN$1006:$BO$1006,0)), HYPERLINK("#",""), HYPERLINK(CONCATENATE("#Metadata!", ADDRESS(INDEX($AI$2:$AI$1001,MATCH(ROWS($AG$2:AG678),$AG$2:$AG$1001,0),0), INDEX($AN$1004:$BO$1004,1,MATCH(COLUMNS($AN$1006:AY1006),$AN$1006:$BO$1006,0)))),"Fix")))</f>
        <v>0</v>
      </c>
      <c r="N678" s="4">
        <f>IF(OR(INDEX($AH$2:$AH$1001,MATCH(ROWS($AG$2:AG678),$AG$2:$AG$1001,0),1)&gt;=100000,INDEX($AN$1005:$BO$1005,1,MATCH(COLUMNS($AN$1006:AZ1006),$AN$1006:$BO$1006,0))&gt;=100000), " ",IF(INDEX($AN$2:$BO$1001,MATCH(ROWS($AG$2:AG678),$AG$2:$AG$1001,0),MATCH(COLUMNS($AN$1006:AZ1006),$AN$1006:$BO$1006,0)), HYPERLINK("#",""), HYPERLINK(CONCATENATE("#Metadata!", ADDRESS(INDEX($AI$2:$AI$1001,MATCH(ROWS($AG$2:AG678),$AG$2:$AG$1001,0),0), INDEX($AN$1004:$BO$1004,1,MATCH(COLUMNS($AN$1006:AZ1006),$AN$1006:$BO$1006,0)))),"Fix")))</f>
        <v>0</v>
      </c>
      <c r="O678" s="4">
        <f>IF(OR(INDEX($AH$2:$AH$1001,MATCH(ROWS($AG$2:AG678),$AG$2:$AG$1001,0),1)&gt;=100000,INDEX($AN$1005:$BO$1005,1,MATCH(COLUMNS($AN$1006:BA1006),$AN$1006:$BO$1006,0))&gt;=100000), " ",IF(INDEX($AN$2:$BO$1001,MATCH(ROWS($AG$2:AG678),$AG$2:$AG$1001,0),MATCH(COLUMNS($AN$1006:BA1006),$AN$1006:$BO$1006,0)), HYPERLINK("#",""), HYPERLINK(CONCATENATE("#Metadata!", ADDRESS(INDEX($AI$2:$AI$1001,MATCH(ROWS($AG$2:AG678),$AG$2:$AG$1001,0),0), INDEX($AN$1004:$BO$1004,1,MATCH(COLUMNS($AN$1006:BA1006),$AN$1006:$BO$1006,0)))),"Fix")))</f>
        <v>0</v>
      </c>
      <c r="P678" s="4">
        <f>IF(OR(INDEX($AH$2:$AH$1001,MATCH(ROWS($AG$2:AG678),$AG$2:$AG$1001,0),1)&gt;=100000,INDEX($AN$1005:$BO$1005,1,MATCH(COLUMNS($AN$1006:BB1006),$AN$1006:$BO$1006,0))&gt;=100000), " ",IF(INDEX($AN$2:$BO$1001,MATCH(ROWS($AG$2:AG678),$AG$2:$AG$1001,0),MATCH(COLUMNS($AN$1006:BB1006),$AN$1006:$BO$1006,0)), HYPERLINK("#",""), HYPERLINK(CONCATENATE("#Metadata!", ADDRESS(INDEX($AI$2:$AI$1001,MATCH(ROWS($AG$2:AG678),$AG$2:$AG$1001,0),0), INDEX($AN$1004:$BO$1004,1,MATCH(COLUMNS($AN$1006:BB1006),$AN$1006:$BO$1006,0)))),"Fix")))</f>
        <v>0</v>
      </c>
      <c r="Q678" s="4">
        <f>IF(OR(INDEX($AH$2:$AH$1001,MATCH(ROWS($AG$2:AG678),$AG$2:$AG$1001,0),1)&gt;=100000,INDEX($AN$1005:$BO$1005,1,MATCH(COLUMNS($AN$1006:BC1006),$AN$1006:$BO$1006,0))&gt;=100000), " ",IF(INDEX($AN$2:$BO$1001,MATCH(ROWS($AG$2:AG678),$AG$2:$AG$1001,0),MATCH(COLUMNS($AN$1006:BC1006),$AN$1006:$BO$1006,0)), HYPERLINK("#",""), HYPERLINK(CONCATENATE("#Metadata!", ADDRESS(INDEX($AI$2:$AI$1001,MATCH(ROWS($AG$2:AG678),$AG$2:$AG$1001,0),0), INDEX($AN$1004:$BO$1004,1,MATCH(COLUMNS($AN$1006:BC1006),$AN$1006:$BO$1006,0)))),"Fix")))</f>
        <v>0</v>
      </c>
      <c r="R678" s="4">
        <f>IF(OR(INDEX($AH$2:$AH$1001,MATCH(ROWS($AG$2:AG678),$AG$2:$AG$1001,0),1)&gt;=100000,INDEX($AN$1005:$BO$1005,1,MATCH(COLUMNS($AN$1006:BD1006),$AN$1006:$BO$1006,0))&gt;=100000), " ",IF(INDEX($AN$2:$BO$1001,MATCH(ROWS($AG$2:AG678),$AG$2:$AG$1001,0),MATCH(COLUMNS($AN$1006:BD1006),$AN$1006:$BO$1006,0)), HYPERLINK("#",""), HYPERLINK(CONCATENATE("#Metadata!", ADDRESS(INDEX($AI$2:$AI$1001,MATCH(ROWS($AG$2:AG678),$AG$2:$AG$1001,0),0), INDEX($AN$1004:$BO$1004,1,MATCH(COLUMNS($AN$1006:BD1006),$AN$1006:$BO$1006,0)))),"Fix")))</f>
        <v>0</v>
      </c>
      <c r="S678" s="4">
        <f>IF(OR(INDEX($AH$2:$AH$1001,MATCH(ROWS($AG$2:AG678),$AG$2:$AG$1001,0),1)&gt;=100000,INDEX($AN$1005:$BO$1005,1,MATCH(COLUMNS($AN$1006:BE1006),$AN$1006:$BO$1006,0))&gt;=100000), " ",IF(INDEX($AN$2:$BO$1001,MATCH(ROWS($AG$2:AG678),$AG$2:$AG$1001,0),MATCH(COLUMNS($AN$1006:BE1006),$AN$1006:$BO$1006,0)), HYPERLINK("#",""), HYPERLINK(CONCATENATE("#Metadata!", ADDRESS(INDEX($AI$2:$AI$1001,MATCH(ROWS($AG$2:AG678),$AG$2:$AG$1001,0),0), INDEX($AN$1004:$BO$1004,1,MATCH(COLUMNS($AN$1006:BE1006),$AN$1006:$BO$1006,0)))),"Fix")))</f>
        <v>0</v>
      </c>
      <c r="T678" s="4">
        <f>IF(OR(INDEX($AH$2:$AH$1001,MATCH(ROWS($AG$2:AG678),$AG$2:$AG$1001,0),1)&gt;=100000,INDEX($AN$1005:$BO$1005,1,MATCH(COLUMNS($AN$1006:BF1006),$AN$1006:$BO$1006,0))&gt;=100000), " ",IF(INDEX($AN$2:$BO$1001,MATCH(ROWS($AG$2:AG678),$AG$2:$AG$1001,0),MATCH(COLUMNS($AN$1006:BF1006),$AN$1006:$BO$1006,0)), HYPERLINK("#",""), HYPERLINK(CONCATENATE("#Metadata!", ADDRESS(INDEX($AI$2:$AI$1001,MATCH(ROWS($AG$2:AG678),$AG$2:$AG$1001,0),0), INDEX($AN$1004:$BO$1004,1,MATCH(COLUMNS($AN$1006:BF1006),$AN$1006:$BO$1006,0)))),"Fix")))</f>
        <v>0</v>
      </c>
      <c r="U678" s="4">
        <f>IF(OR(INDEX($AH$2:$AH$1001,MATCH(ROWS($AG$2:AG678),$AG$2:$AG$1001,0),1)&gt;=100000,INDEX($AN$1005:$BO$1005,1,MATCH(COLUMNS($AN$1006:BG1006),$AN$1006:$BO$1006,0))&gt;=100000), " ",IF(INDEX($AN$2:$BO$1001,MATCH(ROWS($AG$2:AG678),$AG$2:$AG$1001,0),MATCH(COLUMNS($AN$1006:BG1006),$AN$1006:$BO$1006,0)), HYPERLINK("#",""), HYPERLINK(CONCATENATE("#Metadata!", ADDRESS(INDEX($AI$2:$AI$1001,MATCH(ROWS($AG$2:AG678),$AG$2:$AG$1001,0),0), INDEX($AN$1004:$BO$1004,1,MATCH(COLUMNS($AN$1006:BG1006),$AN$1006:$BO$1006,0)))),"Fix")))</f>
        <v>0</v>
      </c>
      <c r="V678" s="4">
        <f>IF(OR(INDEX($AH$2:$AH$1001,MATCH(ROWS($AG$2:AG678),$AG$2:$AG$1001,0),1)&gt;=100000,INDEX($AN$1005:$BO$1005,1,MATCH(COLUMNS($AN$1006:BH1006),$AN$1006:$BO$1006,0))&gt;=100000), " ",IF(INDEX($AN$2:$BO$1001,MATCH(ROWS($AG$2:AG678),$AG$2:$AG$1001,0),MATCH(COLUMNS($AN$1006:BH1006),$AN$1006:$BO$1006,0)), HYPERLINK("#",""), HYPERLINK(CONCATENATE("#Metadata!", ADDRESS(INDEX($AI$2:$AI$1001,MATCH(ROWS($AG$2:AG678),$AG$2:$AG$1001,0),0), INDEX($AN$1004:$BO$1004,1,MATCH(COLUMNS($AN$1006:BH1006),$AN$1006:$BO$1006,0)))),"Fix")))</f>
        <v>0</v>
      </c>
      <c r="W678" s="4">
        <f>IF(OR(INDEX($AH$2:$AH$1001,MATCH(ROWS($AG$2:AG678),$AG$2:$AG$1001,0),1)&gt;=100000,INDEX($AN$1005:$BO$1005,1,MATCH(COLUMNS($AN$1006:BI1006),$AN$1006:$BO$1006,0))&gt;=100000), " ",IF(INDEX($AN$2:$BO$1001,MATCH(ROWS($AG$2:AG678),$AG$2:$AG$1001,0),MATCH(COLUMNS($AN$1006:BI1006),$AN$1006:$BO$1006,0)), HYPERLINK("#",""), HYPERLINK(CONCATENATE("#Metadata!", ADDRESS(INDEX($AI$2:$AI$1001,MATCH(ROWS($AG$2:AG678),$AG$2:$AG$1001,0),0), INDEX($AN$1004:$BO$1004,1,MATCH(COLUMNS($AN$1006:BI1006),$AN$1006:$BO$1006,0)))),"Fix")))</f>
        <v>0</v>
      </c>
      <c r="X678" s="4">
        <f>IF(OR(INDEX($AH$2:$AH$1001,MATCH(ROWS($AG$2:AG678),$AG$2:$AG$1001,0),1)&gt;=100000,INDEX($AN$1005:$BO$1005,1,MATCH(COLUMNS($AN$1006:BJ1006),$AN$1006:$BO$1006,0))&gt;=100000), " ",IF(INDEX($AN$2:$BO$1001,MATCH(ROWS($AG$2:AG678),$AG$2:$AG$1001,0),MATCH(COLUMNS($AN$1006:BJ1006),$AN$1006:$BO$1006,0)), HYPERLINK("#",""), HYPERLINK(CONCATENATE("#Metadata!", ADDRESS(INDEX($AI$2:$AI$1001,MATCH(ROWS($AG$2:AG678),$AG$2:$AG$1001,0),0), INDEX($AN$1004:$BO$1004,1,MATCH(COLUMNS($AN$1006:BJ1006),$AN$1006:$BO$1006,0)))),"Fix")))</f>
        <v>0</v>
      </c>
      <c r="Y678" s="4">
        <f>IF(OR(INDEX($AH$2:$AH$1001,MATCH(ROWS($AG$2:AG678),$AG$2:$AG$1001,0),1)&gt;=100000,INDEX($AN$1005:$BO$1005,1,MATCH(COLUMNS($AN$1006:BK1006),$AN$1006:$BO$1006,0))&gt;=100000), " ",IF(INDEX($AN$2:$BO$1001,MATCH(ROWS($AG$2:AG678),$AG$2:$AG$1001,0),MATCH(COLUMNS($AN$1006:BK1006),$AN$1006:$BO$1006,0)), HYPERLINK("#",""), HYPERLINK(CONCATENATE("#Metadata!", ADDRESS(INDEX($AI$2:$AI$1001,MATCH(ROWS($AG$2:AG678),$AG$2:$AG$1001,0),0), INDEX($AN$1004:$BO$1004,1,MATCH(COLUMNS($AN$1006:BK1006),$AN$1006:$BO$1006,0)))),"Fix")))</f>
        <v>0</v>
      </c>
      <c r="Z678" s="4">
        <f>IF(OR(INDEX($AH$2:$AH$1001,MATCH(ROWS($AG$2:AG678),$AG$2:$AG$1001,0),1)&gt;=100000,INDEX($AN$1005:$BO$1005,1,MATCH(COLUMNS($AN$1006:BL1006),$AN$1006:$BO$1006,0))&gt;=100000), " ",IF(INDEX($AN$2:$BO$1001,MATCH(ROWS($AG$2:AG678),$AG$2:$AG$1001,0),MATCH(COLUMNS($AN$1006:BL1006),$AN$1006:$BO$1006,0)), HYPERLINK("#",""), HYPERLINK(CONCATENATE("#Metadata!", ADDRESS(INDEX($AI$2:$AI$1001,MATCH(ROWS($AG$2:AG678),$AG$2:$AG$1001,0),0), INDEX($AN$1004:$BO$1004,1,MATCH(COLUMNS($AN$1006:BL1006),$AN$1006:$BO$1006,0)))),"Fix")))</f>
        <v>0</v>
      </c>
      <c r="AA678" s="4">
        <f>IF(OR(INDEX($AH$2:$AH$1001,MATCH(ROWS($AG$2:AG678),$AG$2:$AG$1001,0),1)&gt;=100000,INDEX($AN$1005:$BO$1005,1,MATCH(COLUMNS($AN$1006:BM1006),$AN$1006:$BO$1006,0))&gt;=100000), " ",IF(INDEX($AN$2:$BO$1001,MATCH(ROWS($AG$2:AG678),$AG$2:$AG$1001,0),MATCH(COLUMNS($AN$1006:BM1006),$AN$1006:$BO$1006,0)), HYPERLINK("#",""), HYPERLINK(CONCATENATE("#Metadata!", ADDRESS(INDEX($AI$2:$AI$1001,MATCH(ROWS($AG$2:AG678),$AG$2:$AG$1001,0),0), INDEX($AN$1004:$BO$1004,1,MATCH(COLUMNS($AN$1006:BM1006),$AN$1006:$BO$1006,0)))),"Fix")))</f>
        <v>0</v>
      </c>
      <c r="AB678" s="4">
        <f>IF(OR(INDEX($AH$2:$AH$1001,MATCH(ROWS($AG$2:AG678),$AG$2:$AG$1001,0),1)&gt;=100000,INDEX($AN$1005:$BO$1005,1,MATCH(COLUMNS($AN$1006:BN1006),$AN$1006:$BO$1006,0))&gt;=100000), " ",IF(INDEX($AN$2:$BO$1001,MATCH(ROWS($AG$2:AG678),$AG$2:$AG$1001,0),MATCH(COLUMNS($AN$1006:BN1006),$AN$1006:$BO$1006,0)), HYPERLINK("#",""), HYPERLINK(CONCATENATE("#Metadata!", ADDRESS(INDEX($AI$2:$AI$1001,MATCH(ROWS($AG$2:AG678),$AG$2:$AG$1001,0),0), INDEX($AN$1004:$BO$1004,1,MATCH(COLUMNS($AN$1006:BN1006),$AN$1006:$BO$1006,0)))),"Fix")))</f>
        <v>0</v>
      </c>
      <c r="AC678" s="4">
        <f>IF(OR(INDEX($AH$2:$AH$1001,MATCH(ROWS($AG$2:AG678),$AG$2:$AG$1001,0),1)&gt;=100000,INDEX($AN$1005:$BO$1005,1,MATCH(COLUMNS($AN$1006:BO1006),$AN$1006:$BO$1006,0))&gt;=100000), " ",IF(INDEX($AN$2:$BO$1001,MATCH(ROWS($AG$2:AG678),$AG$2:$AG$1001,0),MATCH(COLUMNS($AN$1006:BO1006),$AN$1006:$BO$1006,0)), HYPERLINK("#",""), HYPERLINK(CONCATENATE("#Metadata!", ADDRESS(INDEX($AI$2:$AI$1001,MATCH(ROWS($AG$2:AG678),$AG$2:$AG$1001,0),0), INDEX($AN$1004:$BO$1004,1,MATCH(COLUMNS($AN$1006:BO1006),$AN$1006:$BO$1006,0)))),"Fix")))</f>
        <v>0</v>
      </c>
      <c r="AG678">
        <v>0</v>
      </c>
      <c r="AH678">
        <v>0</v>
      </c>
      <c r="AI678">
        <v>0</v>
      </c>
      <c r="AJ678">
        <f>IF(AK678,TRUE,AND(AN678:BO678))</f>
        <v>0</v>
      </c>
      <c r="AK678">
        <f>COUNTBLANK(Metadata!B678:AC678)=COLUMNS(Metadata!B678:AC678)</f>
        <v>0</v>
      </c>
      <c r="AL678">
        <v>0</v>
      </c>
      <c r="AN678">
        <f>AND(IF(Metadata!B678="",FALSE,TRUE),COUNTIF(Metadata!B:B, Metadata!B678) = 1,NOT(ISERROR(SUMPRODUCT(SEARCH(MID(Metadata!B678,ROW(INDIRECT("1:"&amp;LEN(Metadata!B678))), 1),"0123456789abcdefghijklmnopqrstuvwxyzABCDEFGHIJKLMNOPQRSTUVWXYZ.")))))</f>
        <v>0</v>
      </c>
      <c r="AO678">
        <f>IF(Metadata!C678="",FALSE,TRUE)</f>
        <v>0</v>
      </c>
      <c r="AP678">
        <f>IF(Metadata!D678="",FALSE,TRUE)</f>
        <v>0</v>
      </c>
      <c r="AQ678">
        <f>OR(AND(IF(Metadata!E678="",FALSE,TRUE),OR(exact(Metadata!E678,"not collected"),exact(Metadata!E678,"not provided"),exact(Metadata!E678,"restricted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R678">
        <f>IF(Metadata!F678="",FALSE,TRUE)</f>
        <v>0</v>
      </c>
      <c r="AS678">
        <f>OR(AND(IF(Metadata!G678="",FALSE,TRUE),OR(exact(Metadata!G678,"not collected"),exact(Metadata!G678,"not provided"))),AND(IF(Metadata!G678="",FALSE,TRUE),OR(exact(Metadata!G678,"TRUE"),exact(Metadata!G678,"FALSE"))))</f>
        <v>0</v>
      </c>
      <c r="AT678">
        <f>OR(AND(IF(Metadata!H678="",FALSE,TRUE),OR(exact(Metadata!H678,"not collected"),exact(Metadata!H678,"not provided"),exact(Metadata!H678,"restricted access"))),AND(IF(Metadata!H678="",FALSE,ISNUMBER(VALUE(Metadata!H678))),Metadata!H678&gt;=-413.0))</f>
        <v>0</v>
      </c>
      <c r="AU678">
        <f>AND(IF(Metadata!I678="",FALSE,TRUE),exact(Metadata!I678,"meters"))</f>
        <v>0</v>
      </c>
      <c r="AV678">
        <f>AND(IF(Metadata!J678="",FALSE,TRUE),OR(exact(Metadata!J678,"Host-associated"),exact(Metadata!J678,"Free-living")))</f>
        <v>0</v>
      </c>
      <c r="AW678">
        <f>AND(IF(Metadata!K678="",FALSE,TRUE),OR(exact(Metadata!K678,"Animal"),exact(Metadata!K678,"Fungus"),exact(Metadata!K678,"Plant"),exact(Metadata!K678,"Saline"),exact(Metadata!K678,"Non-saline")))</f>
        <v>0</v>
      </c>
      <c r="AX678">
        <f>AND(IF(Metadata!L678="",FALSE,TRUE),OR(exact(Metadata!L678,"Plant secretion"),exact(Metadata!L678,"Plant rhizosphere"),exact(Metadata!L678,"Plant surface"),exact(Metadata!L678,"Plant corpus"),exact(Metadata!L678,"Fungus surface"),exact(Metadata!L678,"Fungus corpus"),exact(Metadata!L678,"Animal surface"),exact(Metadata!L678,"Animal proximal gut"),exact(Metadata!L678,"Animal corpus"),exact(Metadata!L678,"Animal distal gut"),exact(Metadata!L678,"Animal secretion"),exact(Metadata!L678,"Sub-surface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Y678">
        <f>IF(Metadata!M678="",FALSE,TRUE)</f>
        <v>0</v>
      </c>
      <c r="AZ678">
        <f>IF(Metadata!N678="",FALSE,TRUE)</f>
        <v>0</v>
      </c>
      <c r="BA678">
        <f>IF(Metadata!O678="",FALSE,TRUE)</f>
        <v>0</v>
      </c>
      <c r="BB678">
        <f>OR(AND(IF(Metadata!P678="",FALSE,TRUE),OR(exact(Metadata!P678,"not collected"),exact(Metadata!P678,"not provided"),exact(Metadata!P678,"restricted access"))),AND(IF(Metadata!P678="",FALSE,TRUE),OR(exact(Metadata!P678,"air"),exact(Metadata!P678,"built environment"),exact(Metadata!P678,"host-associated"),exact(Metadata!P678,"human-associated"),exact(Metadata!P678,"human-skin"),exact(Metadata!P678,"human-oral"),exact(Metadata!P678,"human-gut"),exact(Metadata!P678,"human-vaginal"),exact(Metadata!P678,"microbial mat/biofilm"),exact(Metadata!P678,"misc environment"),exact(Metadata!P678,"plant-associated"),exact(Metadata!P678,"sediment"),exact(Metadata!P678,"soil"),exact(Metadata!P678,"wastewater/sludge"),exact(Metadata!P678,"water"))))</f>
        <v>0</v>
      </c>
      <c r="BC678">
        <f>IF(Metadata!Q678="",FALSE,TRUE)</f>
        <v>0</v>
      </c>
      <c r="BD678">
        <f>IF(Metadata!R678="",FALSE,TRUE)</f>
        <v>0</v>
      </c>
      <c r="BE678">
        <f>OR(AND(IF(Metadata!S678="",FALSE,TRUE),OR(exact(Metadata!S678,"not collected"),exact(Metadata!S678,"not provided"),exact(Metadata!S678,"restricted access"))),AND(IF(Metadata!S678="",FALSE,ISNUMBER(VALUE(Metadata!S678))),Metadata!S678&gt;=-90.00,Metadata!S678&lt;=90.00))</f>
        <v>0</v>
      </c>
      <c r="BF678">
        <f>AND(IF(Metadata!T678="",FALSE,TRUE),exact(Metadata!T678,"Decimal degrees"))</f>
        <v>0</v>
      </c>
      <c r="BG678">
        <f>OR(AND(IF(Metadata!U678="",FALSE,TRUE),OR(exact(Metadata!U678,"not collected"),exact(Metadata!U678,"not provided"),exact(Metadata!U678,"restricted access"))),AND(IF(Metadata!U678="",FALSE,ISNUMBER(VALUE(Metadata!U678))),Metadata!U678&gt;=-180.00,Metadata!U678&lt;=180.00))</f>
        <v>0</v>
      </c>
      <c r="BH678">
        <f>AND(IF(Metadata!V678="",FALSE,TRUE),exact(Metadata!V678,"Decimal degrees"))</f>
        <v>0</v>
      </c>
      <c r="BI678">
        <f>IF(Metadata!W678="",FALSE,TRUE)</f>
        <v>0</v>
      </c>
      <c r="BJ678">
        <f>OR(AND(IF(Metadata!X678="",FALSE,TRUE),OR(exact(Metadata!X678,"not collected"),exact(Metadata!X678,"not provided"),exact(Metadata!X678,"restricted access"))),AND(IF(Metadata!X678="",FALSE,TRUE),OR(exact(Metadata!X678,"TRUE"),exact(Metadata!X678,"FALSE"))))</f>
        <v>0</v>
      </c>
      <c r="BK678">
        <f>AND(IF(Metadata!Y678="",FALSE,TRUE),exact(Metadata!Y678,"other"))</f>
        <v>0</v>
      </c>
      <c r="BL678">
        <f>IF(Metadata!Z678="",FALSE,TRUE)</f>
        <v>0</v>
      </c>
      <c r="BM678">
        <f>OR(AND(IF(Metadata!AA678="",FALSE,TRUE),OR(exact(Metadata!AA678,"not collected"),exact(Metadata!AA678,"not provided"))),AND(IF(Metadata!AA678="",FALSE,IF(ISERROR(INT(Metadata!AA678)),FALSE,INT(Metadata!AA678)=Metadata!AA678)),Metadata!AA678&gt;0))</f>
        <v>0</v>
      </c>
      <c r="BN678">
        <f>AND(IF(Metadata!AB678="",FALSE,TRUE),exact(Metadata!AB678,"Not applicable"))</f>
        <v>0</v>
      </c>
      <c r="BO678">
        <f>IF(Metadata!AC678="",FALSE,TRUE)</f>
        <v>0</v>
      </c>
    </row>
    <row r="679" spans="1:67">
      <c r="A679" s="5">
        <f>IF(B679=" "," ",HYPERLINK(CONCATENATE("#metadata!",ADDRESS(INDEX($AI$2:$AI$1001,MATCH(ROWS($AG$2:AG679),$AG$2:$AG$1001,0),0),1)),INDEX($AL$2:$AL$1001,MATCH(ROWS($AG$2:AG679),$AG$2:$AG$1001,0),0)))</f>
        <v>0</v>
      </c>
      <c r="B679" s="4">
        <f>IF(OR(INDEX($AH$2:$AH$1001,MATCH(ROWS($AG$2:AG679),$AG$2:$AG$1001,0),1)&gt;=100000,INDEX($AN$1005:$BO$1005,1,MATCH(COLUMNS($AN$1006:AN1006),$AN$1006:$BO$1006,0))&gt;=100000), " ",IF(INDEX($AN$2:$BO$1001,MATCH(ROWS($AG$2:AG679),$AG$2:$AG$1001,0),MATCH(COLUMNS($AN$1006:AN1006),$AN$1006:$BO$1006,0)), HYPERLINK("#",""), HYPERLINK(CONCATENATE("#Metadata!", ADDRESS(INDEX($AI$2:$AI$1001,MATCH(ROWS($AG$2:AG679),$AG$2:$AG$1001,0),0), INDEX($AN$1004:$BO$1004,1,MATCH(COLUMNS($AN$1006:AN1006),$AN$1006:$BO$1006,0)))),"Fix")))</f>
        <v>0</v>
      </c>
      <c r="C679" s="4">
        <f>IF(OR(INDEX($AH$2:$AH$1001,MATCH(ROWS($AG$2:AG679),$AG$2:$AG$1001,0),1)&gt;=100000,INDEX($AN$1005:$BO$1005,1,MATCH(COLUMNS($AN$1006:AO1006),$AN$1006:$BO$1006,0))&gt;=100000), " ",IF(INDEX($AN$2:$BO$1001,MATCH(ROWS($AG$2:AG679),$AG$2:$AG$1001,0),MATCH(COLUMNS($AN$1006:AO1006),$AN$1006:$BO$1006,0)), HYPERLINK("#",""), HYPERLINK(CONCATENATE("#Metadata!", ADDRESS(INDEX($AI$2:$AI$1001,MATCH(ROWS($AG$2:AG679),$AG$2:$AG$1001,0),0), INDEX($AN$1004:$BO$1004,1,MATCH(COLUMNS($AN$1006:AO1006),$AN$1006:$BO$1006,0)))),"Fix")))</f>
        <v>0</v>
      </c>
      <c r="D679" s="4">
        <f>IF(OR(INDEX($AH$2:$AH$1001,MATCH(ROWS($AG$2:AG679),$AG$2:$AG$1001,0),1)&gt;=100000,INDEX($AN$1005:$BO$1005,1,MATCH(COLUMNS($AN$1006:AP1006),$AN$1006:$BO$1006,0))&gt;=100000), " ",IF(INDEX($AN$2:$BO$1001,MATCH(ROWS($AG$2:AG679),$AG$2:$AG$1001,0),MATCH(COLUMNS($AN$1006:AP1006),$AN$1006:$BO$1006,0)), HYPERLINK("#",""), HYPERLINK(CONCATENATE("#Metadata!", ADDRESS(INDEX($AI$2:$AI$1001,MATCH(ROWS($AG$2:AG679),$AG$2:$AG$1001,0),0), INDEX($AN$1004:$BO$1004,1,MATCH(COLUMNS($AN$1006:AP1006),$AN$1006:$BO$1006,0)))),"Fix")))</f>
        <v>0</v>
      </c>
      <c r="E679" s="4">
        <f>IF(OR(INDEX($AH$2:$AH$1001,MATCH(ROWS($AG$2:AG679),$AG$2:$AG$1001,0),1)&gt;=100000,INDEX($AN$1005:$BO$1005,1,MATCH(COLUMNS($AN$1006:AQ1006),$AN$1006:$BO$1006,0))&gt;=100000), " ",IF(INDEX($AN$2:$BO$1001,MATCH(ROWS($AG$2:AG679),$AG$2:$AG$1001,0),MATCH(COLUMNS($AN$1006:AQ1006),$AN$1006:$BO$1006,0)), HYPERLINK("#",""), HYPERLINK(CONCATENATE("#Metadata!", ADDRESS(INDEX($AI$2:$AI$1001,MATCH(ROWS($AG$2:AG679),$AG$2:$AG$1001,0),0), INDEX($AN$1004:$BO$1004,1,MATCH(COLUMNS($AN$1006:AQ1006),$AN$1006:$BO$1006,0)))),"Fix")))</f>
        <v>0</v>
      </c>
      <c r="F679" s="4">
        <f>IF(OR(INDEX($AH$2:$AH$1001,MATCH(ROWS($AG$2:AG679),$AG$2:$AG$1001,0),1)&gt;=100000,INDEX($AN$1005:$BO$1005,1,MATCH(COLUMNS($AN$1006:AR1006),$AN$1006:$BO$1006,0))&gt;=100000), " ",IF(INDEX($AN$2:$BO$1001,MATCH(ROWS($AG$2:AG679),$AG$2:$AG$1001,0),MATCH(COLUMNS($AN$1006:AR1006),$AN$1006:$BO$1006,0)), HYPERLINK("#",""), HYPERLINK(CONCATENATE("#Metadata!", ADDRESS(INDEX($AI$2:$AI$1001,MATCH(ROWS($AG$2:AG679),$AG$2:$AG$1001,0),0), INDEX($AN$1004:$BO$1004,1,MATCH(COLUMNS($AN$1006:AR1006),$AN$1006:$BO$1006,0)))),"Fix")))</f>
        <v>0</v>
      </c>
      <c r="G679" s="4">
        <f>IF(OR(INDEX($AH$2:$AH$1001,MATCH(ROWS($AG$2:AG679),$AG$2:$AG$1001,0),1)&gt;=100000,INDEX($AN$1005:$BO$1005,1,MATCH(COLUMNS($AN$1006:AS1006),$AN$1006:$BO$1006,0))&gt;=100000), " ",IF(INDEX($AN$2:$BO$1001,MATCH(ROWS($AG$2:AG679),$AG$2:$AG$1001,0),MATCH(COLUMNS($AN$1006:AS1006),$AN$1006:$BO$1006,0)), HYPERLINK("#",""), HYPERLINK(CONCATENATE("#Metadata!", ADDRESS(INDEX($AI$2:$AI$1001,MATCH(ROWS($AG$2:AG679),$AG$2:$AG$1001,0),0), INDEX($AN$1004:$BO$1004,1,MATCH(COLUMNS($AN$1006:AS1006),$AN$1006:$BO$1006,0)))),"Fix")))</f>
        <v>0</v>
      </c>
      <c r="H679" s="4">
        <f>IF(OR(INDEX($AH$2:$AH$1001,MATCH(ROWS($AG$2:AG679),$AG$2:$AG$1001,0),1)&gt;=100000,INDEX($AN$1005:$BO$1005,1,MATCH(COLUMNS($AN$1006:AT1006),$AN$1006:$BO$1006,0))&gt;=100000), " ",IF(INDEX($AN$2:$BO$1001,MATCH(ROWS($AG$2:AG679),$AG$2:$AG$1001,0),MATCH(COLUMNS($AN$1006:AT1006),$AN$1006:$BO$1006,0)), HYPERLINK("#",""), HYPERLINK(CONCATENATE("#Metadata!", ADDRESS(INDEX($AI$2:$AI$1001,MATCH(ROWS($AG$2:AG679),$AG$2:$AG$1001,0),0), INDEX($AN$1004:$BO$1004,1,MATCH(COLUMNS($AN$1006:AT1006),$AN$1006:$BO$1006,0)))),"Fix")))</f>
        <v>0</v>
      </c>
      <c r="I679" s="4">
        <f>IF(OR(INDEX($AH$2:$AH$1001,MATCH(ROWS($AG$2:AG679),$AG$2:$AG$1001,0),1)&gt;=100000,INDEX($AN$1005:$BO$1005,1,MATCH(COLUMNS($AN$1006:AU1006),$AN$1006:$BO$1006,0))&gt;=100000), " ",IF(INDEX($AN$2:$BO$1001,MATCH(ROWS($AG$2:AG679),$AG$2:$AG$1001,0),MATCH(COLUMNS($AN$1006:AU1006),$AN$1006:$BO$1006,0)), HYPERLINK("#",""), HYPERLINK(CONCATENATE("#Metadata!", ADDRESS(INDEX($AI$2:$AI$1001,MATCH(ROWS($AG$2:AG679),$AG$2:$AG$1001,0),0), INDEX($AN$1004:$BO$1004,1,MATCH(COLUMNS($AN$1006:AU1006),$AN$1006:$BO$1006,0)))),"Fix")))</f>
        <v>0</v>
      </c>
      <c r="J679" s="4">
        <f>IF(OR(INDEX($AH$2:$AH$1001,MATCH(ROWS($AG$2:AG679),$AG$2:$AG$1001,0),1)&gt;=100000,INDEX($AN$1005:$BO$1005,1,MATCH(COLUMNS($AN$1006:AV1006),$AN$1006:$BO$1006,0))&gt;=100000), " ",IF(INDEX($AN$2:$BO$1001,MATCH(ROWS($AG$2:AG679),$AG$2:$AG$1001,0),MATCH(COLUMNS($AN$1006:AV1006),$AN$1006:$BO$1006,0)), HYPERLINK("#",""), HYPERLINK(CONCATENATE("#Metadata!", ADDRESS(INDEX($AI$2:$AI$1001,MATCH(ROWS($AG$2:AG679),$AG$2:$AG$1001,0),0), INDEX($AN$1004:$BO$1004,1,MATCH(COLUMNS($AN$1006:AV1006),$AN$1006:$BO$1006,0)))),"Fix")))</f>
        <v>0</v>
      </c>
      <c r="K679" s="4">
        <f>IF(OR(INDEX($AH$2:$AH$1001,MATCH(ROWS($AG$2:AG679),$AG$2:$AG$1001,0),1)&gt;=100000,INDEX($AN$1005:$BO$1005,1,MATCH(COLUMNS($AN$1006:AW1006),$AN$1006:$BO$1006,0))&gt;=100000), " ",IF(INDEX($AN$2:$BO$1001,MATCH(ROWS($AG$2:AG679),$AG$2:$AG$1001,0),MATCH(COLUMNS($AN$1006:AW1006),$AN$1006:$BO$1006,0)), HYPERLINK("#",""), HYPERLINK(CONCATENATE("#Metadata!", ADDRESS(INDEX($AI$2:$AI$1001,MATCH(ROWS($AG$2:AG679),$AG$2:$AG$1001,0),0), INDEX($AN$1004:$BO$1004,1,MATCH(COLUMNS($AN$1006:AW1006),$AN$1006:$BO$1006,0)))),"Fix")))</f>
        <v>0</v>
      </c>
      <c r="L679" s="4">
        <f>IF(OR(INDEX($AH$2:$AH$1001,MATCH(ROWS($AG$2:AG679),$AG$2:$AG$1001,0),1)&gt;=100000,INDEX($AN$1005:$BO$1005,1,MATCH(COLUMNS($AN$1006:AX1006),$AN$1006:$BO$1006,0))&gt;=100000), " ",IF(INDEX($AN$2:$BO$1001,MATCH(ROWS($AG$2:AG679),$AG$2:$AG$1001,0),MATCH(COLUMNS($AN$1006:AX1006),$AN$1006:$BO$1006,0)), HYPERLINK("#",""), HYPERLINK(CONCATENATE("#Metadata!", ADDRESS(INDEX($AI$2:$AI$1001,MATCH(ROWS($AG$2:AG679),$AG$2:$AG$1001,0),0), INDEX($AN$1004:$BO$1004,1,MATCH(COLUMNS($AN$1006:AX1006),$AN$1006:$BO$1006,0)))),"Fix")))</f>
        <v>0</v>
      </c>
      <c r="M679" s="4">
        <f>IF(OR(INDEX($AH$2:$AH$1001,MATCH(ROWS($AG$2:AG679),$AG$2:$AG$1001,0),1)&gt;=100000,INDEX($AN$1005:$BO$1005,1,MATCH(COLUMNS($AN$1006:AY1006),$AN$1006:$BO$1006,0))&gt;=100000), " ",IF(INDEX($AN$2:$BO$1001,MATCH(ROWS($AG$2:AG679),$AG$2:$AG$1001,0),MATCH(COLUMNS($AN$1006:AY1006),$AN$1006:$BO$1006,0)), HYPERLINK("#",""), HYPERLINK(CONCATENATE("#Metadata!", ADDRESS(INDEX($AI$2:$AI$1001,MATCH(ROWS($AG$2:AG679),$AG$2:$AG$1001,0),0), INDEX($AN$1004:$BO$1004,1,MATCH(COLUMNS($AN$1006:AY1006),$AN$1006:$BO$1006,0)))),"Fix")))</f>
        <v>0</v>
      </c>
      <c r="N679" s="4">
        <f>IF(OR(INDEX($AH$2:$AH$1001,MATCH(ROWS($AG$2:AG679),$AG$2:$AG$1001,0),1)&gt;=100000,INDEX($AN$1005:$BO$1005,1,MATCH(COLUMNS($AN$1006:AZ1006),$AN$1006:$BO$1006,0))&gt;=100000), " ",IF(INDEX($AN$2:$BO$1001,MATCH(ROWS($AG$2:AG679),$AG$2:$AG$1001,0),MATCH(COLUMNS($AN$1006:AZ1006),$AN$1006:$BO$1006,0)), HYPERLINK("#",""), HYPERLINK(CONCATENATE("#Metadata!", ADDRESS(INDEX($AI$2:$AI$1001,MATCH(ROWS($AG$2:AG679),$AG$2:$AG$1001,0),0), INDEX($AN$1004:$BO$1004,1,MATCH(COLUMNS($AN$1006:AZ1006),$AN$1006:$BO$1006,0)))),"Fix")))</f>
        <v>0</v>
      </c>
      <c r="O679" s="4">
        <f>IF(OR(INDEX($AH$2:$AH$1001,MATCH(ROWS($AG$2:AG679),$AG$2:$AG$1001,0),1)&gt;=100000,INDEX($AN$1005:$BO$1005,1,MATCH(COLUMNS($AN$1006:BA1006),$AN$1006:$BO$1006,0))&gt;=100000), " ",IF(INDEX($AN$2:$BO$1001,MATCH(ROWS($AG$2:AG679),$AG$2:$AG$1001,0),MATCH(COLUMNS($AN$1006:BA1006),$AN$1006:$BO$1006,0)), HYPERLINK("#",""), HYPERLINK(CONCATENATE("#Metadata!", ADDRESS(INDEX($AI$2:$AI$1001,MATCH(ROWS($AG$2:AG679),$AG$2:$AG$1001,0),0), INDEX($AN$1004:$BO$1004,1,MATCH(COLUMNS($AN$1006:BA1006),$AN$1006:$BO$1006,0)))),"Fix")))</f>
        <v>0</v>
      </c>
      <c r="P679" s="4">
        <f>IF(OR(INDEX($AH$2:$AH$1001,MATCH(ROWS($AG$2:AG679),$AG$2:$AG$1001,0),1)&gt;=100000,INDEX($AN$1005:$BO$1005,1,MATCH(COLUMNS($AN$1006:BB1006),$AN$1006:$BO$1006,0))&gt;=100000), " ",IF(INDEX($AN$2:$BO$1001,MATCH(ROWS($AG$2:AG679),$AG$2:$AG$1001,0),MATCH(COLUMNS($AN$1006:BB1006),$AN$1006:$BO$1006,0)), HYPERLINK("#",""), HYPERLINK(CONCATENATE("#Metadata!", ADDRESS(INDEX($AI$2:$AI$1001,MATCH(ROWS($AG$2:AG679),$AG$2:$AG$1001,0),0), INDEX($AN$1004:$BO$1004,1,MATCH(COLUMNS($AN$1006:BB1006),$AN$1006:$BO$1006,0)))),"Fix")))</f>
        <v>0</v>
      </c>
      <c r="Q679" s="4">
        <f>IF(OR(INDEX($AH$2:$AH$1001,MATCH(ROWS($AG$2:AG679),$AG$2:$AG$1001,0),1)&gt;=100000,INDEX($AN$1005:$BO$1005,1,MATCH(COLUMNS($AN$1006:BC1006),$AN$1006:$BO$1006,0))&gt;=100000), " ",IF(INDEX($AN$2:$BO$1001,MATCH(ROWS($AG$2:AG679),$AG$2:$AG$1001,0),MATCH(COLUMNS($AN$1006:BC1006),$AN$1006:$BO$1006,0)), HYPERLINK("#",""), HYPERLINK(CONCATENATE("#Metadata!", ADDRESS(INDEX($AI$2:$AI$1001,MATCH(ROWS($AG$2:AG679),$AG$2:$AG$1001,0),0), INDEX($AN$1004:$BO$1004,1,MATCH(COLUMNS($AN$1006:BC1006),$AN$1006:$BO$1006,0)))),"Fix")))</f>
        <v>0</v>
      </c>
      <c r="R679" s="4">
        <f>IF(OR(INDEX($AH$2:$AH$1001,MATCH(ROWS($AG$2:AG679),$AG$2:$AG$1001,0),1)&gt;=100000,INDEX($AN$1005:$BO$1005,1,MATCH(COLUMNS($AN$1006:BD1006),$AN$1006:$BO$1006,0))&gt;=100000), " ",IF(INDEX($AN$2:$BO$1001,MATCH(ROWS($AG$2:AG679),$AG$2:$AG$1001,0),MATCH(COLUMNS($AN$1006:BD1006),$AN$1006:$BO$1006,0)), HYPERLINK("#",""), HYPERLINK(CONCATENATE("#Metadata!", ADDRESS(INDEX($AI$2:$AI$1001,MATCH(ROWS($AG$2:AG679),$AG$2:$AG$1001,0),0), INDEX($AN$1004:$BO$1004,1,MATCH(COLUMNS($AN$1006:BD1006),$AN$1006:$BO$1006,0)))),"Fix")))</f>
        <v>0</v>
      </c>
      <c r="S679" s="4">
        <f>IF(OR(INDEX($AH$2:$AH$1001,MATCH(ROWS($AG$2:AG679),$AG$2:$AG$1001,0),1)&gt;=100000,INDEX($AN$1005:$BO$1005,1,MATCH(COLUMNS($AN$1006:BE1006),$AN$1006:$BO$1006,0))&gt;=100000), " ",IF(INDEX($AN$2:$BO$1001,MATCH(ROWS($AG$2:AG679),$AG$2:$AG$1001,0),MATCH(COLUMNS($AN$1006:BE1006),$AN$1006:$BO$1006,0)), HYPERLINK("#",""), HYPERLINK(CONCATENATE("#Metadata!", ADDRESS(INDEX($AI$2:$AI$1001,MATCH(ROWS($AG$2:AG679),$AG$2:$AG$1001,0),0), INDEX($AN$1004:$BO$1004,1,MATCH(COLUMNS($AN$1006:BE1006),$AN$1006:$BO$1006,0)))),"Fix")))</f>
        <v>0</v>
      </c>
      <c r="T679" s="4">
        <f>IF(OR(INDEX($AH$2:$AH$1001,MATCH(ROWS($AG$2:AG679),$AG$2:$AG$1001,0),1)&gt;=100000,INDEX($AN$1005:$BO$1005,1,MATCH(COLUMNS($AN$1006:BF1006),$AN$1006:$BO$1006,0))&gt;=100000), " ",IF(INDEX($AN$2:$BO$1001,MATCH(ROWS($AG$2:AG679),$AG$2:$AG$1001,0),MATCH(COLUMNS($AN$1006:BF1006),$AN$1006:$BO$1006,0)), HYPERLINK("#",""), HYPERLINK(CONCATENATE("#Metadata!", ADDRESS(INDEX($AI$2:$AI$1001,MATCH(ROWS($AG$2:AG679),$AG$2:$AG$1001,0),0), INDEX($AN$1004:$BO$1004,1,MATCH(COLUMNS($AN$1006:BF1006),$AN$1006:$BO$1006,0)))),"Fix")))</f>
        <v>0</v>
      </c>
      <c r="U679" s="4">
        <f>IF(OR(INDEX($AH$2:$AH$1001,MATCH(ROWS($AG$2:AG679),$AG$2:$AG$1001,0),1)&gt;=100000,INDEX($AN$1005:$BO$1005,1,MATCH(COLUMNS($AN$1006:BG1006),$AN$1006:$BO$1006,0))&gt;=100000), " ",IF(INDEX($AN$2:$BO$1001,MATCH(ROWS($AG$2:AG679),$AG$2:$AG$1001,0),MATCH(COLUMNS($AN$1006:BG1006),$AN$1006:$BO$1006,0)), HYPERLINK("#",""), HYPERLINK(CONCATENATE("#Metadata!", ADDRESS(INDEX($AI$2:$AI$1001,MATCH(ROWS($AG$2:AG679),$AG$2:$AG$1001,0),0), INDEX($AN$1004:$BO$1004,1,MATCH(COLUMNS($AN$1006:BG1006),$AN$1006:$BO$1006,0)))),"Fix")))</f>
        <v>0</v>
      </c>
      <c r="V679" s="4">
        <f>IF(OR(INDEX($AH$2:$AH$1001,MATCH(ROWS($AG$2:AG679),$AG$2:$AG$1001,0),1)&gt;=100000,INDEX($AN$1005:$BO$1005,1,MATCH(COLUMNS($AN$1006:BH1006),$AN$1006:$BO$1006,0))&gt;=100000), " ",IF(INDEX($AN$2:$BO$1001,MATCH(ROWS($AG$2:AG679),$AG$2:$AG$1001,0),MATCH(COLUMNS($AN$1006:BH1006),$AN$1006:$BO$1006,0)), HYPERLINK("#",""), HYPERLINK(CONCATENATE("#Metadata!", ADDRESS(INDEX($AI$2:$AI$1001,MATCH(ROWS($AG$2:AG679),$AG$2:$AG$1001,0),0), INDEX($AN$1004:$BO$1004,1,MATCH(COLUMNS($AN$1006:BH1006),$AN$1006:$BO$1006,0)))),"Fix")))</f>
        <v>0</v>
      </c>
      <c r="W679" s="4">
        <f>IF(OR(INDEX($AH$2:$AH$1001,MATCH(ROWS($AG$2:AG679),$AG$2:$AG$1001,0),1)&gt;=100000,INDEX($AN$1005:$BO$1005,1,MATCH(COLUMNS($AN$1006:BI1006),$AN$1006:$BO$1006,0))&gt;=100000), " ",IF(INDEX($AN$2:$BO$1001,MATCH(ROWS($AG$2:AG679),$AG$2:$AG$1001,0),MATCH(COLUMNS($AN$1006:BI1006),$AN$1006:$BO$1006,0)), HYPERLINK("#",""), HYPERLINK(CONCATENATE("#Metadata!", ADDRESS(INDEX($AI$2:$AI$1001,MATCH(ROWS($AG$2:AG679),$AG$2:$AG$1001,0),0), INDEX($AN$1004:$BO$1004,1,MATCH(COLUMNS($AN$1006:BI1006),$AN$1006:$BO$1006,0)))),"Fix")))</f>
        <v>0</v>
      </c>
      <c r="X679" s="4">
        <f>IF(OR(INDEX($AH$2:$AH$1001,MATCH(ROWS($AG$2:AG679),$AG$2:$AG$1001,0),1)&gt;=100000,INDEX($AN$1005:$BO$1005,1,MATCH(COLUMNS($AN$1006:BJ1006),$AN$1006:$BO$1006,0))&gt;=100000), " ",IF(INDEX($AN$2:$BO$1001,MATCH(ROWS($AG$2:AG679),$AG$2:$AG$1001,0),MATCH(COLUMNS($AN$1006:BJ1006),$AN$1006:$BO$1006,0)), HYPERLINK("#",""), HYPERLINK(CONCATENATE("#Metadata!", ADDRESS(INDEX($AI$2:$AI$1001,MATCH(ROWS($AG$2:AG679),$AG$2:$AG$1001,0),0), INDEX($AN$1004:$BO$1004,1,MATCH(COLUMNS($AN$1006:BJ1006),$AN$1006:$BO$1006,0)))),"Fix")))</f>
        <v>0</v>
      </c>
      <c r="Y679" s="4">
        <f>IF(OR(INDEX($AH$2:$AH$1001,MATCH(ROWS($AG$2:AG679),$AG$2:$AG$1001,0),1)&gt;=100000,INDEX($AN$1005:$BO$1005,1,MATCH(COLUMNS($AN$1006:BK1006),$AN$1006:$BO$1006,0))&gt;=100000), " ",IF(INDEX($AN$2:$BO$1001,MATCH(ROWS($AG$2:AG679),$AG$2:$AG$1001,0),MATCH(COLUMNS($AN$1006:BK1006),$AN$1006:$BO$1006,0)), HYPERLINK("#",""), HYPERLINK(CONCATENATE("#Metadata!", ADDRESS(INDEX($AI$2:$AI$1001,MATCH(ROWS($AG$2:AG679),$AG$2:$AG$1001,0),0), INDEX($AN$1004:$BO$1004,1,MATCH(COLUMNS($AN$1006:BK1006),$AN$1006:$BO$1006,0)))),"Fix")))</f>
        <v>0</v>
      </c>
      <c r="Z679" s="4">
        <f>IF(OR(INDEX($AH$2:$AH$1001,MATCH(ROWS($AG$2:AG679),$AG$2:$AG$1001,0),1)&gt;=100000,INDEX($AN$1005:$BO$1005,1,MATCH(COLUMNS($AN$1006:BL1006),$AN$1006:$BO$1006,0))&gt;=100000), " ",IF(INDEX($AN$2:$BO$1001,MATCH(ROWS($AG$2:AG679),$AG$2:$AG$1001,0),MATCH(COLUMNS($AN$1006:BL1006),$AN$1006:$BO$1006,0)), HYPERLINK("#",""), HYPERLINK(CONCATENATE("#Metadata!", ADDRESS(INDEX($AI$2:$AI$1001,MATCH(ROWS($AG$2:AG679),$AG$2:$AG$1001,0),0), INDEX($AN$1004:$BO$1004,1,MATCH(COLUMNS($AN$1006:BL1006),$AN$1006:$BO$1006,0)))),"Fix")))</f>
        <v>0</v>
      </c>
      <c r="AA679" s="4">
        <f>IF(OR(INDEX($AH$2:$AH$1001,MATCH(ROWS($AG$2:AG679),$AG$2:$AG$1001,0),1)&gt;=100000,INDEX($AN$1005:$BO$1005,1,MATCH(COLUMNS($AN$1006:BM1006),$AN$1006:$BO$1006,0))&gt;=100000), " ",IF(INDEX($AN$2:$BO$1001,MATCH(ROWS($AG$2:AG679),$AG$2:$AG$1001,0),MATCH(COLUMNS($AN$1006:BM1006),$AN$1006:$BO$1006,0)), HYPERLINK("#",""), HYPERLINK(CONCATENATE("#Metadata!", ADDRESS(INDEX($AI$2:$AI$1001,MATCH(ROWS($AG$2:AG679),$AG$2:$AG$1001,0),0), INDEX($AN$1004:$BO$1004,1,MATCH(COLUMNS($AN$1006:BM1006),$AN$1006:$BO$1006,0)))),"Fix")))</f>
        <v>0</v>
      </c>
      <c r="AB679" s="4">
        <f>IF(OR(INDEX($AH$2:$AH$1001,MATCH(ROWS($AG$2:AG679),$AG$2:$AG$1001,0),1)&gt;=100000,INDEX($AN$1005:$BO$1005,1,MATCH(COLUMNS($AN$1006:BN1006),$AN$1006:$BO$1006,0))&gt;=100000), " ",IF(INDEX($AN$2:$BO$1001,MATCH(ROWS($AG$2:AG679),$AG$2:$AG$1001,0),MATCH(COLUMNS($AN$1006:BN1006),$AN$1006:$BO$1006,0)), HYPERLINK("#",""), HYPERLINK(CONCATENATE("#Metadata!", ADDRESS(INDEX($AI$2:$AI$1001,MATCH(ROWS($AG$2:AG679),$AG$2:$AG$1001,0),0), INDEX($AN$1004:$BO$1004,1,MATCH(COLUMNS($AN$1006:BN1006),$AN$1006:$BO$1006,0)))),"Fix")))</f>
        <v>0</v>
      </c>
      <c r="AC679" s="4">
        <f>IF(OR(INDEX($AH$2:$AH$1001,MATCH(ROWS($AG$2:AG679),$AG$2:$AG$1001,0),1)&gt;=100000,INDEX($AN$1005:$BO$1005,1,MATCH(COLUMNS($AN$1006:BO1006),$AN$1006:$BO$1006,0))&gt;=100000), " ",IF(INDEX($AN$2:$BO$1001,MATCH(ROWS($AG$2:AG679),$AG$2:$AG$1001,0),MATCH(COLUMNS($AN$1006:BO1006),$AN$1006:$BO$1006,0)), HYPERLINK("#",""), HYPERLINK(CONCATENATE("#Metadata!", ADDRESS(INDEX($AI$2:$AI$1001,MATCH(ROWS($AG$2:AG679),$AG$2:$AG$1001,0),0), INDEX($AN$1004:$BO$1004,1,MATCH(COLUMNS($AN$1006:BO1006),$AN$1006:$BO$1006,0)))),"Fix")))</f>
        <v>0</v>
      </c>
      <c r="AG679">
        <v>0</v>
      </c>
      <c r="AH679">
        <v>0</v>
      </c>
      <c r="AI679">
        <v>0</v>
      </c>
      <c r="AJ679">
        <f>IF(AK679,TRUE,AND(AN679:BO679))</f>
        <v>0</v>
      </c>
      <c r="AK679">
        <f>COUNTBLANK(Metadata!B679:AC679)=COLUMNS(Metadata!B679:AC679)</f>
        <v>0</v>
      </c>
      <c r="AL679">
        <v>0</v>
      </c>
      <c r="AN679">
        <f>AND(IF(Metadata!B679="",FALSE,TRUE),COUNTIF(Metadata!B:B, Metadata!B679) = 1,NOT(ISERROR(SUMPRODUCT(SEARCH(MID(Metadata!B679,ROW(INDIRECT("1:"&amp;LEN(Metadata!B679))), 1),"0123456789abcdefghijklmnopqrstuvwxyzABCDEFGHIJKLMNOPQRSTUVWXYZ.")))))</f>
        <v>0</v>
      </c>
      <c r="AO679">
        <f>IF(Metadata!C679="",FALSE,TRUE)</f>
        <v>0</v>
      </c>
      <c r="AP679">
        <f>IF(Metadata!D679="",FALSE,TRUE)</f>
        <v>0</v>
      </c>
      <c r="AQ679">
        <f>OR(AND(IF(Metadata!E679="",FALSE,TRUE),OR(exact(Metadata!E679,"not collected"),exact(Metadata!E679,"not provided"),exact(Metadata!E679,"restricted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R679">
        <f>IF(Metadata!F679="",FALSE,TRUE)</f>
        <v>0</v>
      </c>
      <c r="AS679">
        <f>OR(AND(IF(Metadata!G679="",FALSE,TRUE),OR(exact(Metadata!G679,"not collected"),exact(Metadata!G679,"not provided"))),AND(IF(Metadata!G679="",FALSE,TRUE),OR(exact(Metadata!G679,"TRUE"),exact(Metadata!G679,"FALSE"))))</f>
        <v>0</v>
      </c>
      <c r="AT679">
        <f>OR(AND(IF(Metadata!H679="",FALSE,TRUE),OR(exact(Metadata!H679,"not collected"),exact(Metadata!H679,"not provided"),exact(Metadata!H679,"restricted access"))),AND(IF(Metadata!H679="",FALSE,ISNUMBER(VALUE(Metadata!H679))),Metadata!H679&gt;=-413.0))</f>
        <v>0</v>
      </c>
      <c r="AU679">
        <f>AND(IF(Metadata!I679="",FALSE,TRUE),exact(Metadata!I679,"meters"))</f>
        <v>0</v>
      </c>
      <c r="AV679">
        <f>AND(IF(Metadata!J679="",FALSE,TRUE),OR(exact(Metadata!J679,"Host-associated"),exact(Metadata!J679,"Free-living")))</f>
        <v>0</v>
      </c>
      <c r="AW679">
        <f>AND(IF(Metadata!K679="",FALSE,TRUE),OR(exact(Metadata!K679,"Animal"),exact(Metadata!K679,"Fungus"),exact(Metadata!K679,"Plant"),exact(Metadata!K679,"Saline"),exact(Metadata!K679,"Non-saline")))</f>
        <v>0</v>
      </c>
      <c r="AX679">
        <f>AND(IF(Metadata!L679="",FALSE,TRUE),OR(exact(Metadata!L679,"Plant secretion"),exact(Metadata!L679,"Plant rhizosphere"),exact(Metadata!L679,"Plant surface"),exact(Metadata!L679,"Plant corpus"),exact(Metadata!L679,"Fungus surface"),exact(Metadata!L679,"Fungus corpus"),exact(Metadata!L679,"Animal surface"),exact(Metadata!L679,"Animal proximal gut"),exact(Metadata!L679,"Animal corpus"),exact(Metadata!L679,"Animal distal gut"),exact(Metadata!L679,"Animal secretion"),exact(Metadata!L679,"Sub-surface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Y679">
        <f>IF(Metadata!M679="",FALSE,TRUE)</f>
        <v>0</v>
      </c>
      <c r="AZ679">
        <f>IF(Metadata!N679="",FALSE,TRUE)</f>
        <v>0</v>
      </c>
      <c r="BA679">
        <f>IF(Metadata!O679="",FALSE,TRUE)</f>
        <v>0</v>
      </c>
      <c r="BB679">
        <f>OR(AND(IF(Metadata!P679="",FALSE,TRUE),OR(exact(Metadata!P679,"not collected"),exact(Metadata!P679,"not provided"),exact(Metadata!P679,"restricted access"))),AND(IF(Metadata!P679="",FALSE,TRUE),OR(exact(Metadata!P679,"air"),exact(Metadata!P679,"built environment"),exact(Metadata!P679,"host-associated"),exact(Metadata!P679,"human-associated"),exact(Metadata!P679,"human-skin"),exact(Metadata!P679,"human-oral"),exact(Metadata!P679,"human-gut"),exact(Metadata!P679,"human-vaginal"),exact(Metadata!P679,"microbial mat/biofilm"),exact(Metadata!P679,"misc environment"),exact(Metadata!P679,"plant-associated"),exact(Metadata!P679,"sediment"),exact(Metadata!P679,"soil"),exact(Metadata!P679,"wastewater/sludge"),exact(Metadata!P679,"water"))))</f>
        <v>0</v>
      </c>
      <c r="BC679">
        <f>IF(Metadata!Q679="",FALSE,TRUE)</f>
        <v>0</v>
      </c>
      <c r="BD679">
        <f>IF(Metadata!R679="",FALSE,TRUE)</f>
        <v>0</v>
      </c>
      <c r="BE679">
        <f>OR(AND(IF(Metadata!S679="",FALSE,TRUE),OR(exact(Metadata!S679,"not collected"),exact(Metadata!S679,"not provided"),exact(Metadata!S679,"restricted access"))),AND(IF(Metadata!S679="",FALSE,ISNUMBER(VALUE(Metadata!S679))),Metadata!S679&gt;=-90.00,Metadata!S679&lt;=90.00))</f>
        <v>0</v>
      </c>
      <c r="BF679">
        <f>AND(IF(Metadata!T679="",FALSE,TRUE),exact(Metadata!T679,"Decimal degrees"))</f>
        <v>0</v>
      </c>
      <c r="BG679">
        <f>OR(AND(IF(Metadata!U679="",FALSE,TRUE),OR(exact(Metadata!U679,"not collected"),exact(Metadata!U679,"not provided"),exact(Metadata!U679,"restricted access"))),AND(IF(Metadata!U679="",FALSE,ISNUMBER(VALUE(Metadata!U679))),Metadata!U679&gt;=-180.00,Metadata!U679&lt;=180.00))</f>
        <v>0</v>
      </c>
      <c r="BH679">
        <f>AND(IF(Metadata!V679="",FALSE,TRUE),exact(Metadata!V679,"Decimal degrees"))</f>
        <v>0</v>
      </c>
      <c r="BI679">
        <f>IF(Metadata!W679="",FALSE,TRUE)</f>
        <v>0</v>
      </c>
      <c r="BJ679">
        <f>OR(AND(IF(Metadata!X679="",FALSE,TRUE),OR(exact(Metadata!X679,"not collected"),exact(Metadata!X679,"not provided"),exact(Metadata!X679,"restricted access"))),AND(IF(Metadata!X679="",FALSE,TRUE),OR(exact(Metadata!X679,"TRUE"),exact(Metadata!X679,"FALSE"))))</f>
        <v>0</v>
      </c>
      <c r="BK679">
        <f>AND(IF(Metadata!Y679="",FALSE,TRUE),exact(Metadata!Y679,"other"))</f>
        <v>0</v>
      </c>
      <c r="BL679">
        <f>IF(Metadata!Z679="",FALSE,TRUE)</f>
        <v>0</v>
      </c>
      <c r="BM679">
        <f>OR(AND(IF(Metadata!AA679="",FALSE,TRUE),OR(exact(Metadata!AA679,"not collected"),exact(Metadata!AA679,"not provided"))),AND(IF(Metadata!AA679="",FALSE,IF(ISERROR(INT(Metadata!AA679)),FALSE,INT(Metadata!AA679)=Metadata!AA679)),Metadata!AA679&gt;0))</f>
        <v>0</v>
      </c>
      <c r="BN679">
        <f>AND(IF(Metadata!AB679="",FALSE,TRUE),exact(Metadata!AB679,"Not applicable"))</f>
        <v>0</v>
      </c>
      <c r="BO679">
        <f>IF(Metadata!AC679="",FALSE,TRUE)</f>
        <v>0</v>
      </c>
    </row>
    <row r="680" spans="1:67">
      <c r="A680" s="5">
        <f>IF(B680=" "," ",HYPERLINK(CONCATENATE("#metadata!",ADDRESS(INDEX($AI$2:$AI$1001,MATCH(ROWS($AG$2:AG680),$AG$2:$AG$1001,0),0),1)),INDEX($AL$2:$AL$1001,MATCH(ROWS($AG$2:AG680),$AG$2:$AG$1001,0),0)))</f>
        <v>0</v>
      </c>
      <c r="B680" s="4">
        <f>IF(OR(INDEX($AH$2:$AH$1001,MATCH(ROWS($AG$2:AG680),$AG$2:$AG$1001,0),1)&gt;=100000,INDEX($AN$1005:$BO$1005,1,MATCH(COLUMNS($AN$1006:AN1006),$AN$1006:$BO$1006,0))&gt;=100000), " ",IF(INDEX($AN$2:$BO$1001,MATCH(ROWS($AG$2:AG680),$AG$2:$AG$1001,0),MATCH(COLUMNS($AN$1006:AN1006),$AN$1006:$BO$1006,0)), HYPERLINK("#",""), HYPERLINK(CONCATENATE("#Metadata!", ADDRESS(INDEX($AI$2:$AI$1001,MATCH(ROWS($AG$2:AG680),$AG$2:$AG$1001,0),0), INDEX($AN$1004:$BO$1004,1,MATCH(COLUMNS($AN$1006:AN1006),$AN$1006:$BO$1006,0)))),"Fix")))</f>
        <v>0</v>
      </c>
      <c r="C680" s="4">
        <f>IF(OR(INDEX($AH$2:$AH$1001,MATCH(ROWS($AG$2:AG680),$AG$2:$AG$1001,0),1)&gt;=100000,INDEX($AN$1005:$BO$1005,1,MATCH(COLUMNS($AN$1006:AO1006),$AN$1006:$BO$1006,0))&gt;=100000), " ",IF(INDEX($AN$2:$BO$1001,MATCH(ROWS($AG$2:AG680),$AG$2:$AG$1001,0),MATCH(COLUMNS($AN$1006:AO1006),$AN$1006:$BO$1006,0)), HYPERLINK("#",""), HYPERLINK(CONCATENATE("#Metadata!", ADDRESS(INDEX($AI$2:$AI$1001,MATCH(ROWS($AG$2:AG680),$AG$2:$AG$1001,0),0), INDEX($AN$1004:$BO$1004,1,MATCH(COLUMNS($AN$1006:AO1006),$AN$1006:$BO$1006,0)))),"Fix")))</f>
        <v>0</v>
      </c>
      <c r="D680" s="4">
        <f>IF(OR(INDEX($AH$2:$AH$1001,MATCH(ROWS($AG$2:AG680),$AG$2:$AG$1001,0),1)&gt;=100000,INDEX($AN$1005:$BO$1005,1,MATCH(COLUMNS($AN$1006:AP1006),$AN$1006:$BO$1006,0))&gt;=100000), " ",IF(INDEX($AN$2:$BO$1001,MATCH(ROWS($AG$2:AG680),$AG$2:$AG$1001,0),MATCH(COLUMNS($AN$1006:AP1006),$AN$1006:$BO$1006,0)), HYPERLINK("#",""), HYPERLINK(CONCATENATE("#Metadata!", ADDRESS(INDEX($AI$2:$AI$1001,MATCH(ROWS($AG$2:AG680),$AG$2:$AG$1001,0),0), INDEX($AN$1004:$BO$1004,1,MATCH(COLUMNS($AN$1006:AP1006),$AN$1006:$BO$1006,0)))),"Fix")))</f>
        <v>0</v>
      </c>
      <c r="E680" s="4">
        <f>IF(OR(INDEX($AH$2:$AH$1001,MATCH(ROWS($AG$2:AG680),$AG$2:$AG$1001,0),1)&gt;=100000,INDEX($AN$1005:$BO$1005,1,MATCH(COLUMNS($AN$1006:AQ1006),$AN$1006:$BO$1006,0))&gt;=100000), " ",IF(INDEX($AN$2:$BO$1001,MATCH(ROWS($AG$2:AG680),$AG$2:$AG$1001,0),MATCH(COLUMNS($AN$1006:AQ1006),$AN$1006:$BO$1006,0)), HYPERLINK("#",""), HYPERLINK(CONCATENATE("#Metadata!", ADDRESS(INDEX($AI$2:$AI$1001,MATCH(ROWS($AG$2:AG680),$AG$2:$AG$1001,0),0), INDEX($AN$1004:$BO$1004,1,MATCH(COLUMNS($AN$1006:AQ1006),$AN$1006:$BO$1006,0)))),"Fix")))</f>
        <v>0</v>
      </c>
      <c r="F680" s="4">
        <f>IF(OR(INDEX($AH$2:$AH$1001,MATCH(ROWS($AG$2:AG680),$AG$2:$AG$1001,0),1)&gt;=100000,INDEX($AN$1005:$BO$1005,1,MATCH(COLUMNS($AN$1006:AR1006),$AN$1006:$BO$1006,0))&gt;=100000), " ",IF(INDEX($AN$2:$BO$1001,MATCH(ROWS($AG$2:AG680),$AG$2:$AG$1001,0),MATCH(COLUMNS($AN$1006:AR1006),$AN$1006:$BO$1006,0)), HYPERLINK("#",""), HYPERLINK(CONCATENATE("#Metadata!", ADDRESS(INDEX($AI$2:$AI$1001,MATCH(ROWS($AG$2:AG680),$AG$2:$AG$1001,0),0), INDEX($AN$1004:$BO$1004,1,MATCH(COLUMNS($AN$1006:AR1006),$AN$1006:$BO$1006,0)))),"Fix")))</f>
        <v>0</v>
      </c>
      <c r="G680" s="4">
        <f>IF(OR(INDEX($AH$2:$AH$1001,MATCH(ROWS($AG$2:AG680),$AG$2:$AG$1001,0),1)&gt;=100000,INDEX($AN$1005:$BO$1005,1,MATCH(COLUMNS($AN$1006:AS1006),$AN$1006:$BO$1006,0))&gt;=100000), " ",IF(INDEX($AN$2:$BO$1001,MATCH(ROWS($AG$2:AG680),$AG$2:$AG$1001,0),MATCH(COLUMNS($AN$1006:AS1006),$AN$1006:$BO$1006,0)), HYPERLINK("#",""), HYPERLINK(CONCATENATE("#Metadata!", ADDRESS(INDEX($AI$2:$AI$1001,MATCH(ROWS($AG$2:AG680),$AG$2:$AG$1001,0),0), INDEX($AN$1004:$BO$1004,1,MATCH(COLUMNS($AN$1006:AS1006),$AN$1006:$BO$1006,0)))),"Fix")))</f>
        <v>0</v>
      </c>
      <c r="H680" s="4">
        <f>IF(OR(INDEX($AH$2:$AH$1001,MATCH(ROWS($AG$2:AG680),$AG$2:$AG$1001,0),1)&gt;=100000,INDEX($AN$1005:$BO$1005,1,MATCH(COLUMNS($AN$1006:AT1006),$AN$1006:$BO$1006,0))&gt;=100000), " ",IF(INDEX($AN$2:$BO$1001,MATCH(ROWS($AG$2:AG680),$AG$2:$AG$1001,0),MATCH(COLUMNS($AN$1006:AT1006),$AN$1006:$BO$1006,0)), HYPERLINK("#",""), HYPERLINK(CONCATENATE("#Metadata!", ADDRESS(INDEX($AI$2:$AI$1001,MATCH(ROWS($AG$2:AG680),$AG$2:$AG$1001,0),0), INDEX($AN$1004:$BO$1004,1,MATCH(COLUMNS($AN$1006:AT1006),$AN$1006:$BO$1006,0)))),"Fix")))</f>
        <v>0</v>
      </c>
      <c r="I680" s="4">
        <f>IF(OR(INDEX($AH$2:$AH$1001,MATCH(ROWS($AG$2:AG680),$AG$2:$AG$1001,0),1)&gt;=100000,INDEX($AN$1005:$BO$1005,1,MATCH(COLUMNS($AN$1006:AU1006),$AN$1006:$BO$1006,0))&gt;=100000), " ",IF(INDEX($AN$2:$BO$1001,MATCH(ROWS($AG$2:AG680),$AG$2:$AG$1001,0),MATCH(COLUMNS($AN$1006:AU1006),$AN$1006:$BO$1006,0)), HYPERLINK("#",""), HYPERLINK(CONCATENATE("#Metadata!", ADDRESS(INDEX($AI$2:$AI$1001,MATCH(ROWS($AG$2:AG680),$AG$2:$AG$1001,0),0), INDEX($AN$1004:$BO$1004,1,MATCH(COLUMNS($AN$1006:AU1006),$AN$1006:$BO$1006,0)))),"Fix")))</f>
        <v>0</v>
      </c>
      <c r="J680" s="4">
        <f>IF(OR(INDEX($AH$2:$AH$1001,MATCH(ROWS($AG$2:AG680),$AG$2:$AG$1001,0),1)&gt;=100000,INDEX($AN$1005:$BO$1005,1,MATCH(COLUMNS($AN$1006:AV1006),$AN$1006:$BO$1006,0))&gt;=100000), " ",IF(INDEX($AN$2:$BO$1001,MATCH(ROWS($AG$2:AG680),$AG$2:$AG$1001,0),MATCH(COLUMNS($AN$1006:AV1006),$AN$1006:$BO$1006,0)), HYPERLINK("#",""), HYPERLINK(CONCATENATE("#Metadata!", ADDRESS(INDEX($AI$2:$AI$1001,MATCH(ROWS($AG$2:AG680),$AG$2:$AG$1001,0),0), INDEX($AN$1004:$BO$1004,1,MATCH(COLUMNS($AN$1006:AV1006),$AN$1006:$BO$1006,0)))),"Fix")))</f>
        <v>0</v>
      </c>
      <c r="K680" s="4">
        <f>IF(OR(INDEX($AH$2:$AH$1001,MATCH(ROWS($AG$2:AG680),$AG$2:$AG$1001,0),1)&gt;=100000,INDEX($AN$1005:$BO$1005,1,MATCH(COLUMNS($AN$1006:AW1006),$AN$1006:$BO$1006,0))&gt;=100000), " ",IF(INDEX($AN$2:$BO$1001,MATCH(ROWS($AG$2:AG680),$AG$2:$AG$1001,0),MATCH(COLUMNS($AN$1006:AW1006),$AN$1006:$BO$1006,0)), HYPERLINK("#",""), HYPERLINK(CONCATENATE("#Metadata!", ADDRESS(INDEX($AI$2:$AI$1001,MATCH(ROWS($AG$2:AG680),$AG$2:$AG$1001,0),0), INDEX($AN$1004:$BO$1004,1,MATCH(COLUMNS($AN$1006:AW1006),$AN$1006:$BO$1006,0)))),"Fix")))</f>
        <v>0</v>
      </c>
      <c r="L680" s="4">
        <f>IF(OR(INDEX($AH$2:$AH$1001,MATCH(ROWS($AG$2:AG680),$AG$2:$AG$1001,0),1)&gt;=100000,INDEX($AN$1005:$BO$1005,1,MATCH(COLUMNS($AN$1006:AX1006),$AN$1006:$BO$1006,0))&gt;=100000), " ",IF(INDEX($AN$2:$BO$1001,MATCH(ROWS($AG$2:AG680),$AG$2:$AG$1001,0),MATCH(COLUMNS($AN$1006:AX1006),$AN$1006:$BO$1006,0)), HYPERLINK("#",""), HYPERLINK(CONCATENATE("#Metadata!", ADDRESS(INDEX($AI$2:$AI$1001,MATCH(ROWS($AG$2:AG680),$AG$2:$AG$1001,0),0), INDEX($AN$1004:$BO$1004,1,MATCH(COLUMNS($AN$1006:AX1006),$AN$1006:$BO$1006,0)))),"Fix")))</f>
        <v>0</v>
      </c>
      <c r="M680" s="4">
        <f>IF(OR(INDEX($AH$2:$AH$1001,MATCH(ROWS($AG$2:AG680),$AG$2:$AG$1001,0),1)&gt;=100000,INDEX($AN$1005:$BO$1005,1,MATCH(COLUMNS($AN$1006:AY1006),$AN$1006:$BO$1006,0))&gt;=100000), " ",IF(INDEX($AN$2:$BO$1001,MATCH(ROWS($AG$2:AG680),$AG$2:$AG$1001,0),MATCH(COLUMNS($AN$1006:AY1006),$AN$1006:$BO$1006,0)), HYPERLINK("#",""), HYPERLINK(CONCATENATE("#Metadata!", ADDRESS(INDEX($AI$2:$AI$1001,MATCH(ROWS($AG$2:AG680),$AG$2:$AG$1001,0),0), INDEX($AN$1004:$BO$1004,1,MATCH(COLUMNS($AN$1006:AY1006),$AN$1006:$BO$1006,0)))),"Fix")))</f>
        <v>0</v>
      </c>
      <c r="N680" s="4">
        <f>IF(OR(INDEX($AH$2:$AH$1001,MATCH(ROWS($AG$2:AG680),$AG$2:$AG$1001,0),1)&gt;=100000,INDEX($AN$1005:$BO$1005,1,MATCH(COLUMNS($AN$1006:AZ1006),$AN$1006:$BO$1006,0))&gt;=100000), " ",IF(INDEX($AN$2:$BO$1001,MATCH(ROWS($AG$2:AG680),$AG$2:$AG$1001,0),MATCH(COLUMNS($AN$1006:AZ1006),$AN$1006:$BO$1006,0)), HYPERLINK("#",""), HYPERLINK(CONCATENATE("#Metadata!", ADDRESS(INDEX($AI$2:$AI$1001,MATCH(ROWS($AG$2:AG680),$AG$2:$AG$1001,0),0), INDEX($AN$1004:$BO$1004,1,MATCH(COLUMNS($AN$1006:AZ1006),$AN$1006:$BO$1006,0)))),"Fix")))</f>
        <v>0</v>
      </c>
      <c r="O680" s="4">
        <f>IF(OR(INDEX($AH$2:$AH$1001,MATCH(ROWS($AG$2:AG680),$AG$2:$AG$1001,0),1)&gt;=100000,INDEX($AN$1005:$BO$1005,1,MATCH(COLUMNS($AN$1006:BA1006),$AN$1006:$BO$1006,0))&gt;=100000), " ",IF(INDEX($AN$2:$BO$1001,MATCH(ROWS($AG$2:AG680),$AG$2:$AG$1001,0),MATCH(COLUMNS($AN$1006:BA1006),$AN$1006:$BO$1006,0)), HYPERLINK("#",""), HYPERLINK(CONCATENATE("#Metadata!", ADDRESS(INDEX($AI$2:$AI$1001,MATCH(ROWS($AG$2:AG680),$AG$2:$AG$1001,0),0), INDEX($AN$1004:$BO$1004,1,MATCH(COLUMNS($AN$1006:BA1006),$AN$1006:$BO$1006,0)))),"Fix")))</f>
        <v>0</v>
      </c>
      <c r="P680" s="4">
        <f>IF(OR(INDEX($AH$2:$AH$1001,MATCH(ROWS($AG$2:AG680),$AG$2:$AG$1001,0),1)&gt;=100000,INDEX($AN$1005:$BO$1005,1,MATCH(COLUMNS($AN$1006:BB1006),$AN$1006:$BO$1006,0))&gt;=100000), " ",IF(INDEX($AN$2:$BO$1001,MATCH(ROWS($AG$2:AG680),$AG$2:$AG$1001,0),MATCH(COLUMNS($AN$1006:BB1006),$AN$1006:$BO$1006,0)), HYPERLINK("#",""), HYPERLINK(CONCATENATE("#Metadata!", ADDRESS(INDEX($AI$2:$AI$1001,MATCH(ROWS($AG$2:AG680),$AG$2:$AG$1001,0),0), INDEX($AN$1004:$BO$1004,1,MATCH(COLUMNS($AN$1006:BB1006),$AN$1006:$BO$1006,0)))),"Fix")))</f>
        <v>0</v>
      </c>
      <c r="Q680" s="4">
        <f>IF(OR(INDEX($AH$2:$AH$1001,MATCH(ROWS($AG$2:AG680),$AG$2:$AG$1001,0),1)&gt;=100000,INDEX($AN$1005:$BO$1005,1,MATCH(COLUMNS($AN$1006:BC1006),$AN$1006:$BO$1006,0))&gt;=100000), " ",IF(INDEX($AN$2:$BO$1001,MATCH(ROWS($AG$2:AG680),$AG$2:$AG$1001,0),MATCH(COLUMNS($AN$1006:BC1006),$AN$1006:$BO$1006,0)), HYPERLINK("#",""), HYPERLINK(CONCATENATE("#Metadata!", ADDRESS(INDEX($AI$2:$AI$1001,MATCH(ROWS($AG$2:AG680),$AG$2:$AG$1001,0),0), INDEX($AN$1004:$BO$1004,1,MATCH(COLUMNS($AN$1006:BC1006),$AN$1006:$BO$1006,0)))),"Fix")))</f>
        <v>0</v>
      </c>
      <c r="R680" s="4">
        <f>IF(OR(INDEX($AH$2:$AH$1001,MATCH(ROWS($AG$2:AG680),$AG$2:$AG$1001,0),1)&gt;=100000,INDEX($AN$1005:$BO$1005,1,MATCH(COLUMNS($AN$1006:BD1006),$AN$1006:$BO$1006,0))&gt;=100000), " ",IF(INDEX($AN$2:$BO$1001,MATCH(ROWS($AG$2:AG680),$AG$2:$AG$1001,0),MATCH(COLUMNS($AN$1006:BD1006),$AN$1006:$BO$1006,0)), HYPERLINK("#",""), HYPERLINK(CONCATENATE("#Metadata!", ADDRESS(INDEX($AI$2:$AI$1001,MATCH(ROWS($AG$2:AG680),$AG$2:$AG$1001,0),0), INDEX($AN$1004:$BO$1004,1,MATCH(COLUMNS($AN$1006:BD1006),$AN$1006:$BO$1006,0)))),"Fix")))</f>
        <v>0</v>
      </c>
      <c r="S680" s="4">
        <f>IF(OR(INDEX($AH$2:$AH$1001,MATCH(ROWS($AG$2:AG680),$AG$2:$AG$1001,0),1)&gt;=100000,INDEX($AN$1005:$BO$1005,1,MATCH(COLUMNS($AN$1006:BE1006),$AN$1006:$BO$1006,0))&gt;=100000), " ",IF(INDEX($AN$2:$BO$1001,MATCH(ROWS($AG$2:AG680),$AG$2:$AG$1001,0),MATCH(COLUMNS($AN$1006:BE1006),$AN$1006:$BO$1006,0)), HYPERLINK("#",""), HYPERLINK(CONCATENATE("#Metadata!", ADDRESS(INDEX($AI$2:$AI$1001,MATCH(ROWS($AG$2:AG680),$AG$2:$AG$1001,0),0), INDEX($AN$1004:$BO$1004,1,MATCH(COLUMNS($AN$1006:BE1006),$AN$1006:$BO$1006,0)))),"Fix")))</f>
        <v>0</v>
      </c>
      <c r="T680" s="4">
        <f>IF(OR(INDEX($AH$2:$AH$1001,MATCH(ROWS($AG$2:AG680),$AG$2:$AG$1001,0),1)&gt;=100000,INDEX($AN$1005:$BO$1005,1,MATCH(COLUMNS($AN$1006:BF1006),$AN$1006:$BO$1006,0))&gt;=100000), " ",IF(INDEX($AN$2:$BO$1001,MATCH(ROWS($AG$2:AG680),$AG$2:$AG$1001,0),MATCH(COLUMNS($AN$1006:BF1006),$AN$1006:$BO$1006,0)), HYPERLINK("#",""), HYPERLINK(CONCATENATE("#Metadata!", ADDRESS(INDEX($AI$2:$AI$1001,MATCH(ROWS($AG$2:AG680),$AG$2:$AG$1001,0),0), INDEX($AN$1004:$BO$1004,1,MATCH(COLUMNS($AN$1006:BF1006),$AN$1006:$BO$1006,0)))),"Fix")))</f>
        <v>0</v>
      </c>
      <c r="U680" s="4">
        <f>IF(OR(INDEX($AH$2:$AH$1001,MATCH(ROWS($AG$2:AG680),$AG$2:$AG$1001,0),1)&gt;=100000,INDEX($AN$1005:$BO$1005,1,MATCH(COLUMNS($AN$1006:BG1006),$AN$1006:$BO$1006,0))&gt;=100000), " ",IF(INDEX($AN$2:$BO$1001,MATCH(ROWS($AG$2:AG680),$AG$2:$AG$1001,0),MATCH(COLUMNS($AN$1006:BG1006),$AN$1006:$BO$1006,0)), HYPERLINK("#",""), HYPERLINK(CONCATENATE("#Metadata!", ADDRESS(INDEX($AI$2:$AI$1001,MATCH(ROWS($AG$2:AG680),$AG$2:$AG$1001,0),0), INDEX($AN$1004:$BO$1004,1,MATCH(COLUMNS($AN$1006:BG1006),$AN$1006:$BO$1006,0)))),"Fix")))</f>
        <v>0</v>
      </c>
      <c r="V680" s="4">
        <f>IF(OR(INDEX($AH$2:$AH$1001,MATCH(ROWS($AG$2:AG680),$AG$2:$AG$1001,0),1)&gt;=100000,INDEX($AN$1005:$BO$1005,1,MATCH(COLUMNS($AN$1006:BH1006),$AN$1006:$BO$1006,0))&gt;=100000), " ",IF(INDEX($AN$2:$BO$1001,MATCH(ROWS($AG$2:AG680),$AG$2:$AG$1001,0),MATCH(COLUMNS($AN$1006:BH1006),$AN$1006:$BO$1006,0)), HYPERLINK("#",""), HYPERLINK(CONCATENATE("#Metadata!", ADDRESS(INDEX($AI$2:$AI$1001,MATCH(ROWS($AG$2:AG680),$AG$2:$AG$1001,0),0), INDEX($AN$1004:$BO$1004,1,MATCH(COLUMNS($AN$1006:BH1006),$AN$1006:$BO$1006,0)))),"Fix")))</f>
        <v>0</v>
      </c>
      <c r="W680" s="4">
        <f>IF(OR(INDEX($AH$2:$AH$1001,MATCH(ROWS($AG$2:AG680),$AG$2:$AG$1001,0),1)&gt;=100000,INDEX($AN$1005:$BO$1005,1,MATCH(COLUMNS($AN$1006:BI1006),$AN$1006:$BO$1006,0))&gt;=100000), " ",IF(INDEX($AN$2:$BO$1001,MATCH(ROWS($AG$2:AG680),$AG$2:$AG$1001,0),MATCH(COLUMNS($AN$1006:BI1006),$AN$1006:$BO$1006,0)), HYPERLINK("#",""), HYPERLINK(CONCATENATE("#Metadata!", ADDRESS(INDEX($AI$2:$AI$1001,MATCH(ROWS($AG$2:AG680),$AG$2:$AG$1001,0),0), INDEX($AN$1004:$BO$1004,1,MATCH(COLUMNS($AN$1006:BI1006),$AN$1006:$BO$1006,0)))),"Fix")))</f>
        <v>0</v>
      </c>
      <c r="X680" s="4">
        <f>IF(OR(INDEX($AH$2:$AH$1001,MATCH(ROWS($AG$2:AG680),$AG$2:$AG$1001,0),1)&gt;=100000,INDEX($AN$1005:$BO$1005,1,MATCH(COLUMNS($AN$1006:BJ1006),$AN$1006:$BO$1006,0))&gt;=100000), " ",IF(INDEX($AN$2:$BO$1001,MATCH(ROWS($AG$2:AG680),$AG$2:$AG$1001,0),MATCH(COLUMNS($AN$1006:BJ1006),$AN$1006:$BO$1006,0)), HYPERLINK("#",""), HYPERLINK(CONCATENATE("#Metadata!", ADDRESS(INDEX($AI$2:$AI$1001,MATCH(ROWS($AG$2:AG680),$AG$2:$AG$1001,0),0), INDEX($AN$1004:$BO$1004,1,MATCH(COLUMNS($AN$1006:BJ1006),$AN$1006:$BO$1006,0)))),"Fix")))</f>
        <v>0</v>
      </c>
      <c r="Y680" s="4">
        <f>IF(OR(INDEX($AH$2:$AH$1001,MATCH(ROWS($AG$2:AG680),$AG$2:$AG$1001,0),1)&gt;=100000,INDEX($AN$1005:$BO$1005,1,MATCH(COLUMNS($AN$1006:BK1006),$AN$1006:$BO$1006,0))&gt;=100000), " ",IF(INDEX($AN$2:$BO$1001,MATCH(ROWS($AG$2:AG680),$AG$2:$AG$1001,0),MATCH(COLUMNS($AN$1006:BK1006),$AN$1006:$BO$1006,0)), HYPERLINK("#",""), HYPERLINK(CONCATENATE("#Metadata!", ADDRESS(INDEX($AI$2:$AI$1001,MATCH(ROWS($AG$2:AG680),$AG$2:$AG$1001,0),0), INDEX($AN$1004:$BO$1004,1,MATCH(COLUMNS($AN$1006:BK1006),$AN$1006:$BO$1006,0)))),"Fix")))</f>
        <v>0</v>
      </c>
      <c r="Z680" s="4">
        <f>IF(OR(INDEX($AH$2:$AH$1001,MATCH(ROWS($AG$2:AG680),$AG$2:$AG$1001,0),1)&gt;=100000,INDEX($AN$1005:$BO$1005,1,MATCH(COLUMNS($AN$1006:BL1006),$AN$1006:$BO$1006,0))&gt;=100000), " ",IF(INDEX($AN$2:$BO$1001,MATCH(ROWS($AG$2:AG680),$AG$2:$AG$1001,0),MATCH(COLUMNS($AN$1006:BL1006),$AN$1006:$BO$1006,0)), HYPERLINK("#",""), HYPERLINK(CONCATENATE("#Metadata!", ADDRESS(INDEX($AI$2:$AI$1001,MATCH(ROWS($AG$2:AG680),$AG$2:$AG$1001,0),0), INDEX($AN$1004:$BO$1004,1,MATCH(COLUMNS($AN$1006:BL1006),$AN$1006:$BO$1006,0)))),"Fix")))</f>
        <v>0</v>
      </c>
      <c r="AA680" s="4">
        <f>IF(OR(INDEX($AH$2:$AH$1001,MATCH(ROWS($AG$2:AG680),$AG$2:$AG$1001,0),1)&gt;=100000,INDEX($AN$1005:$BO$1005,1,MATCH(COLUMNS($AN$1006:BM1006),$AN$1006:$BO$1006,0))&gt;=100000), " ",IF(INDEX($AN$2:$BO$1001,MATCH(ROWS($AG$2:AG680),$AG$2:$AG$1001,0),MATCH(COLUMNS($AN$1006:BM1006),$AN$1006:$BO$1006,0)), HYPERLINK("#",""), HYPERLINK(CONCATENATE("#Metadata!", ADDRESS(INDEX($AI$2:$AI$1001,MATCH(ROWS($AG$2:AG680),$AG$2:$AG$1001,0),0), INDEX($AN$1004:$BO$1004,1,MATCH(COLUMNS($AN$1006:BM1006),$AN$1006:$BO$1006,0)))),"Fix")))</f>
        <v>0</v>
      </c>
      <c r="AB680" s="4">
        <f>IF(OR(INDEX($AH$2:$AH$1001,MATCH(ROWS($AG$2:AG680),$AG$2:$AG$1001,0),1)&gt;=100000,INDEX($AN$1005:$BO$1005,1,MATCH(COLUMNS($AN$1006:BN1006),$AN$1006:$BO$1006,0))&gt;=100000), " ",IF(INDEX($AN$2:$BO$1001,MATCH(ROWS($AG$2:AG680),$AG$2:$AG$1001,0),MATCH(COLUMNS($AN$1006:BN1006),$AN$1006:$BO$1006,0)), HYPERLINK("#",""), HYPERLINK(CONCATENATE("#Metadata!", ADDRESS(INDEX($AI$2:$AI$1001,MATCH(ROWS($AG$2:AG680),$AG$2:$AG$1001,0),0), INDEX($AN$1004:$BO$1004,1,MATCH(COLUMNS($AN$1006:BN1006),$AN$1006:$BO$1006,0)))),"Fix")))</f>
        <v>0</v>
      </c>
      <c r="AC680" s="4">
        <f>IF(OR(INDEX($AH$2:$AH$1001,MATCH(ROWS($AG$2:AG680),$AG$2:$AG$1001,0),1)&gt;=100000,INDEX($AN$1005:$BO$1005,1,MATCH(COLUMNS($AN$1006:BO1006),$AN$1006:$BO$1006,0))&gt;=100000), " ",IF(INDEX($AN$2:$BO$1001,MATCH(ROWS($AG$2:AG680),$AG$2:$AG$1001,0),MATCH(COLUMNS($AN$1006:BO1006),$AN$1006:$BO$1006,0)), HYPERLINK("#",""), HYPERLINK(CONCATENATE("#Metadata!", ADDRESS(INDEX($AI$2:$AI$1001,MATCH(ROWS($AG$2:AG680),$AG$2:$AG$1001,0),0), INDEX($AN$1004:$BO$1004,1,MATCH(COLUMNS($AN$1006:BO1006),$AN$1006:$BO$1006,0)))),"Fix")))</f>
        <v>0</v>
      </c>
      <c r="AG680">
        <v>0</v>
      </c>
      <c r="AH680">
        <v>0</v>
      </c>
      <c r="AI680">
        <v>0</v>
      </c>
      <c r="AJ680">
        <f>IF(AK680,TRUE,AND(AN680:BO680))</f>
        <v>0</v>
      </c>
      <c r="AK680">
        <f>COUNTBLANK(Metadata!B680:AC680)=COLUMNS(Metadata!B680:AC680)</f>
        <v>0</v>
      </c>
      <c r="AL680">
        <v>0</v>
      </c>
      <c r="AN680">
        <f>AND(IF(Metadata!B680="",FALSE,TRUE),COUNTIF(Metadata!B:B, Metadata!B680) = 1,NOT(ISERROR(SUMPRODUCT(SEARCH(MID(Metadata!B680,ROW(INDIRECT("1:"&amp;LEN(Metadata!B680))), 1),"0123456789abcdefghijklmnopqrstuvwxyzABCDEFGHIJKLMNOPQRSTUVWXYZ.")))))</f>
        <v>0</v>
      </c>
      <c r="AO680">
        <f>IF(Metadata!C680="",FALSE,TRUE)</f>
        <v>0</v>
      </c>
      <c r="AP680">
        <f>IF(Metadata!D680="",FALSE,TRUE)</f>
        <v>0</v>
      </c>
      <c r="AQ680">
        <f>OR(AND(IF(Metadata!E680="",FALSE,TRUE),OR(exact(Metadata!E680,"not collected"),exact(Metadata!E680,"not provided"),exact(Metadata!E680,"restricted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R680">
        <f>IF(Metadata!F680="",FALSE,TRUE)</f>
        <v>0</v>
      </c>
      <c r="AS680">
        <f>OR(AND(IF(Metadata!G680="",FALSE,TRUE),OR(exact(Metadata!G680,"not collected"),exact(Metadata!G680,"not provided"))),AND(IF(Metadata!G680="",FALSE,TRUE),OR(exact(Metadata!G680,"TRUE"),exact(Metadata!G680,"FALSE"))))</f>
        <v>0</v>
      </c>
      <c r="AT680">
        <f>OR(AND(IF(Metadata!H680="",FALSE,TRUE),OR(exact(Metadata!H680,"not collected"),exact(Metadata!H680,"not provided"),exact(Metadata!H680,"restricted access"))),AND(IF(Metadata!H680="",FALSE,ISNUMBER(VALUE(Metadata!H680))),Metadata!H680&gt;=-413.0))</f>
        <v>0</v>
      </c>
      <c r="AU680">
        <f>AND(IF(Metadata!I680="",FALSE,TRUE),exact(Metadata!I680,"meters"))</f>
        <v>0</v>
      </c>
      <c r="AV680">
        <f>AND(IF(Metadata!J680="",FALSE,TRUE),OR(exact(Metadata!J680,"Host-associated"),exact(Metadata!J680,"Free-living")))</f>
        <v>0</v>
      </c>
      <c r="AW680">
        <f>AND(IF(Metadata!K680="",FALSE,TRUE),OR(exact(Metadata!K680,"Animal"),exact(Metadata!K680,"Fungus"),exact(Metadata!K680,"Plant"),exact(Metadata!K680,"Saline"),exact(Metadata!K680,"Non-saline")))</f>
        <v>0</v>
      </c>
      <c r="AX680">
        <f>AND(IF(Metadata!L680="",FALSE,TRUE),OR(exact(Metadata!L680,"Plant secretion"),exact(Metadata!L680,"Plant rhizosphere"),exact(Metadata!L680,"Plant surface"),exact(Metadata!L680,"Plant corpus"),exact(Metadata!L680,"Fungus surface"),exact(Metadata!L680,"Fungus corpus"),exact(Metadata!L680,"Animal surface"),exact(Metadata!L680,"Animal proximal gut"),exact(Metadata!L680,"Animal corpus"),exact(Metadata!L680,"Animal distal gut"),exact(Metadata!L680,"Animal secretion"),exact(Metadata!L680,"Sub-surface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Y680">
        <f>IF(Metadata!M680="",FALSE,TRUE)</f>
        <v>0</v>
      </c>
      <c r="AZ680">
        <f>IF(Metadata!N680="",FALSE,TRUE)</f>
        <v>0</v>
      </c>
      <c r="BA680">
        <f>IF(Metadata!O680="",FALSE,TRUE)</f>
        <v>0</v>
      </c>
      <c r="BB680">
        <f>OR(AND(IF(Metadata!P680="",FALSE,TRUE),OR(exact(Metadata!P680,"not collected"),exact(Metadata!P680,"not provided"),exact(Metadata!P680,"restricted access"))),AND(IF(Metadata!P680="",FALSE,TRUE),OR(exact(Metadata!P680,"air"),exact(Metadata!P680,"built environment"),exact(Metadata!P680,"host-associated"),exact(Metadata!P680,"human-associated"),exact(Metadata!P680,"human-skin"),exact(Metadata!P680,"human-oral"),exact(Metadata!P680,"human-gut"),exact(Metadata!P680,"human-vaginal"),exact(Metadata!P680,"microbial mat/biofilm"),exact(Metadata!P680,"misc environment"),exact(Metadata!P680,"plant-associated"),exact(Metadata!P680,"sediment"),exact(Metadata!P680,"soil"),exact(Metadata!P680,"wastewater/sludge"),exact(Metadata!P680,"water"))))</f>
        <v>0</v>
      </c>
      <c r="BC680">
        <f>IF(Metadata!Q680="",FALSE,TRUE)</f>
        <v>0</v>
      </c>
      <c r="BD680">
        <f>IF(Metadata!R680="",FALSE,TRUE)</f>
        <v>0</v>
      </c>
      <c r="BE680">
        <f>OR(AND(IF(Metadata!S680="",FALSE,TRUE),OR(exact(Metadata!S680,"not collected"),exact(Metadata!S680,"not provided"),exact(Metadata!S680,"restricted access"))),AND(IF(Metadata!S680="",FALSE,ISNUMBER(VALUE(Metadata!S680))),Metadata!S680&gt;=-90.00,Metadata!S680&lt;=90.00))</f>
        <v>0</v>
      </c>
      <c r="BF680">
        <f>AND(IF(Metadata!T680="",FALSE,TRUE),exact(Metadata!T680,"Decimal degrees"))</f>
        <v>0</v>
      </c>
      <c r="BG680">
        <f>OR(AND(IF(Metadata!U680="",FALSE,TRUE),OR(exact(Metadata!U680,"not collected"),exact(Metadata!U680,"not provided"),exact(Metadata!U680,"restricted access"))),AND(IF(Metadata!U680="",FALSE,ISNUMBER(VALUE(Metadata!U680))),Metadata!U680&gt;=-180.00,Metadata!U680&lt;=180.00))</f>
        <v>0</v>
      </c>
      <c r="BH680">
        <f>AND(IF(Metadata!V680="",FALSE,TRUE),exact(Metadata!V680,"Decimal degrees"))</f>
        <v>0</v>
      </c>
      <c r="BI680">
        <f>IF(Metadata!W680="",FALSE,TRUE)</f>
        <v>0</v>
      </c>
      <c r="BJ680">
        <f>OR(AND(IF(Metadata!X680="",FALSE,TRUE),OR(exact(Metadata!X680,"not collected"),exact(Metadata!X680,"not provided"),exact(Metadata!X680,"restricted access"))),AND(IF(Metadata!X680="",FALSE,TRUE),OR(exact(Metadata!X680,"TRUE"),exact(Metadata!X680,"FALSE"))))</f>
        <v>0</v>
      </c>
      <c r="BK680">
        <f>AND(IF(Metadata!Y680="",FALSE,TRUE),exact(Metadata!Y680,"other"))</f>
        <v>0</v>
      </c>
      <c r="BL680">
        <f>IF(Metadata!Z680="",FALSE,TRUE)</f>
        <v>0</v>
      </c>
      <c r="BM680">
        <f>OR(AND(IF(Metadata!AA680="",FALSE,TRUE),OR(exact(Metadata!AA680,"not collected"),exact(Metadata!AA680,"not provided"))),AND(IF(Metadata!AA680="",FALSE,IF(ISERROR(INT(Metadata!AA680)),FALSE,INT(Metadata!AA680)=Metadata!AA680)),Metadata!AA680&gt;0))</f>
        <v>0</v>
      </c>
      <c r="BN680">
        <f>AND(IF(Metadata!AB680="",FALSE,TRUE),exact(Metadata!AB680,"Not applicable"))</f>
        <v>0</v>
      </c>
      <c r="BO680">
        <f>IF(Metadata!AC680="",FALSE,TRUE)</f>
        <v>0</v>
      </c>
    </row>
    <row r="681" spans="1:67">
      <c r="A681" s="5">
        <f>IF(B681=" "," ",HYPERLINK(CONCATENATE("#metadata!",ADDRESS(INDEX($AI$2:$AI$1001,MATCH(ROWS($AG$2:AG681),$AG$2:$AG$1001,0),0),1)),INDEX($AL$2:$AL$1001,MATCH(ROWS($AG$2:AG681),$AG$2:$AG$1001,0),0)))</f>
        <v>0</v>
      </c>
      <c r="B681" s="4">
        <f>IF(OR(INDEX($AH$2:$AH$1001,MATCH(ROWS($AG$2:AG681),$AG$2:$AG$1001,0),1)&gt;=100000,INDEX($AN$1005:$BO$1005,1,MATCH(COLUMNS($AN$1006:AN1006),$AN$1006:$BO$1006,0))&gt;=100000), " ",IF(INDEX($AN$2:$BO$1001,MATCH(ROWS($AG$2:AG681),$AG$2:$AG$1001,0),MATCH(COLUMNS($AN$1006:AN1006),$AN$1006:$BO$1006,0)), HYPERLINK("#",""), HYPERLINK(CONCATENATE("#Metadata!", ADDRESS(INDEX($AI$2:$AI$1001,MATCH(ROWS($AG$2:AG681),$AG$2:$AG$1001,0),0), INDEX($AN$1004:$BO$1004,1,MATCH(COLUMNS($AN$1006:AN1006),$AN$1006:$BO$1006,0)))),"Fix")))</f>
        <v>0</v>
      </c>
      <c r="C681" s="4">
        <f>IF(OR(INDEX($AH$2:$AH$1001,MATCH(ROWS($AG$2:AG681),$AG$2:$AG$1001,0),1)&gt;=100000,INDEX($AN$1005:$BO$1005,1,MATCH(COLUMNS($AN$1006:AO1006),$AN$1006:$BO$1006,0))&gt;=100000), " ",IF(INDEX($AN$2:$BO$1001,MATCH(ROWS($AG$2:AG681),$AG$2:$AG$1001,0),MATCH(COLUMNS($AN$1006:AO1006),$AN$1006:$BO$1006,0)), HYPERLINK("#",""), HYPERLINK(CONCATENATE("#Metadata!", ADDRESS(INDEX($AI$2:$AI$1001,MATCH(ROWS($AG$2:AG681),$AG$2:$AG$1001,0),0), INDEX($AN$1004:$BO$1004,1,MATCH(COLUMNS($AN$1006:AO1006),$AN$1006:$BO$1006,0)))),"Fix")))</f>
        <v>0</v>
      </c>
      <c r="D681" s="4">
        <f>IF(OR(INDEX($AH$2:$AH$1001,MATCH(ROWS($AG$2:AG681),$AG$2:$AG$1001,0),1)&gt;=100000,INDEX($AN$1005:$BO$1005,1,MATCH(COLUMNS($AN$1006:AP1006),$AN$1006:$BO$1006,0))&gt;=100000), " ",IF(INDEX($AN$2:$BO$1001,MATCH(ROWS($AG$2:AG681),$AG$2:$AG$1001,0),MATCH(COLUMNS($AN$1006:AP1006),$AN$1006:$BO$1006,0)), HYPERLINK("#",""), HYPERLINK(CONCATENATE("#Metadata!", ADDRESS(INDEX($AI$2:$AI$1001,MATCH(ROWS($AG$2:AG681),$AG$2:$AG$1001,0),0), INDEX($AN$1004:$BO$1004,1,MATCH(COLUMNS($AN$1006:AP1006),$AN$1006:$BO$1006,0)))),"Fix")))</f>
        <v>0</v>
      </c>
      <c r="E681" s="4">
        <f>IF(OR(INDEX($AH$2:$AH$1001,MATCH(ROWS($AG$2:AG681),$AG$2:$AG$1001,0),1)&gt;=100000,INDEX($AN$1005:$BO$1005,1,MATCH(COLUMNS($AN$1006:AQ1006),$AN$1006:$BO$1006,0))&gt;=100000), " ",IF(INDEX($AN$2:$BO$1001,MATCH(ROWS($AG$2:AG681),$AG$2:$AG$1001,0),MATCH(COLUMNS($AN$1006:AQ1006),$AN$1006:$BO$1006,0)), HYPERLINK("#",""), HYPERLINK(CONCATENATE("#Metadata!", ADDRESS(INDEX($AI$2:$AI$1001,MATCH(ROWS($AG$2:AG681),$AG$2:$AG$1001,0),0), INDEX($AN$1004:$BO$1004,1,MATCH(COLUMNS($AN$1006:AQ1006),$AN$1006:$BO$1006,0)))),"Fix")))</f>
        <v>0</v>
      </c>
      <c r="F681" s="4">
        <f>IF(OR(INDEX($AH$2:$AH$1001,MATCH(ROWS($AG$2:AG681),$AG$2:$AG$1001,0),1)&gt;=100000,INDEX($AN$1005:$BO$1005,1,MATCH(COLUMNS($AN$1006:AR1006),$AN$1006:$BO$1006,0))&gt;=100000), " ",IF(INDEX($AN$2:$BO$1001,MATCH(ROWS($AG$2:AG681),$AG$2:$AG$1001,0),MATCH(COLUMNS($AN$1006:AR1006),$AN$1006:$BO$1006,0)), HYPERLINK("#",""), HYPERLINK(CONCATENATE("#Metadata!", ADDRESS(INDEX($AI$2:$AI$1001,MATCH(ROWS($AG$2:AG681),$AG$2:$AG$1001,0),0), INDEX($AN$1004:$BO$1004,1,MATCH(COLUMNS($AN$1006:AR1006),$AN$1006:$BO$1006,0)))),"Fix")))</f>
        <v>0</v>
      </c>
      <c r="G681" s="4">
        <f>IF(OR(INDEX($AH$2:$AH$1001,MATCH(ROWS($AG$2:AG681),$AG$2:$AG$1001,0),1)&gt;=100000,INDEX($AN$1005:$BO$1005,1,MATCH(COLUMNS($AN$1006:AS1006),$AN$1006:$BO$1006,0))&gt;=100000), " ",IF(INDEX($AN$2:$BO$1001,MATCH(ROWS($AG$2:AG681),$AG$2:$AG$1001,0),MATCH(COLUMNS($AN$1006:AS1006),$AN$1006:$BO$1006,0)), HYPERLINK("#",""), HYPERLINK(CONCATENATE("#Metadata!", ADDRESS(INDEX($AI$2:$AI$1001,MATCH(ROWS($AG$2:AG681),$AG$2:$AG$1001,0),0), INDEX($AN$1004:$BO$1004,1,MATCH(COLUMNS($AN$1006:AS1006),$AN$1006:$BO$1006,0)))),"Fix")))</f>
        <v>0</v>
      </c>
      <c r="H681" s="4">
        <f>IF(OR(INDEX($AH$2:$AH$1001,MATCH(ROWS($AG$2:AG681),$AG$2:$AG$1001,0),1)&gt;=100000,INDEX($AN$1005:$BO$1005,1,MATCH(COLUMNS($AN$1006:AT1006),$AN$1006:$BO$1006,0))&gt;=100000), " ",IF(INDEX($AN$2:$BO$1001,MATCH(ROWS($AG$2:AG681),$AG$2:$AG$1001,0),MATCH(COLUMNS($AN$1006:AT1006),$AN$1006:$BO$1006,0)), HYPERLINK("#",""), HYPERLINK(CONCATENATE("#Metadata!", ADDRESS(INDEX($AI$2:$AI$1001,MATCH(ROWS($AG$2:AG681),$AG$2:$AG$1001,0),0), INDEX($AN$1004:$BO$1004,1,MATCH(COLUMNS($AN$1006:AT1006),$AN$1006:$BO$1006,0)))),"Fix")))</f>
        <v>0</v>
      </c>
      <c r="I681" s="4">
        <f>IF(OR(INDEX($AH$2:$AH$1001,MATCH(ROWS($AG$2:AG681),$AG$2:$AG$1001,0),1)&gt;=100000,INDEX($AN$1005:$BO$1005,1,MATCH(COLUMNS($AN$1006:AU1006),$AN$1006:$BO$1006,0))&gt;=100000), " ",IF(INDEX($AN$2:$BO$1001,MATCH(ROWS($AG$2:AG681),$AG$2:$AG$1001,0),MATCH(COLUMNS($AN$1006:AU1006),$AN$1006:$BO$1006,0)), HYPERLINK("#",""), HYPERLINK(CONCATENATE("#Metadata!", ADDRESS(INDEX($AI$2:$AI$1001,MATCH(ROWS($AG$2:AG681),$AG$2:$AG$1001,0),0), INDEX($AN$1004:$BO$1004,1,MATCH(COLUMNS($AN$1006:AU1006),$AN$1006:$BO$1006,0)))),"Fix")))</f>
        <v>0</v>
      </c>
      <c r="J681" s="4">
        <f>IF(OR(INDEX($AH$2:$AH$1001,MATCH(ROWS($AG$2:AG681),$AG$2:$AG$1001,0),1)&gt;=100000,INDEX($AN$1005:$BO$1005,1,MATCH(COLUMNS($AN$1006:AV1006),$AN$1006:$BO$1006,0))&gt;=100000), " ",IF(INDEX($AN$2:$BO$1001,MATCH(ROWS($AG$2:AG681),$AG$2:$AG$1001,0),MATCH(COLUMNS($AN$1006:AV1006),$AN$1006:$BO$1006,0)), HYPERLINK("#",""), HYPERLINK(CONCATENATE("#Metadata!", ADDRESS(INDEX($AI$2:$AI$1001,MATCH(ROWS($AG$2:AG681),$AG$2:$AG$1001,0),0), INDEX($AN$1004:$BO$1004,1,MATCH(COLUMNS($AN$1006:AV1006),$AN$1006:$BO$1006,0)))),"Fix")))</f>
        <v>0</v>
      </c>
      <c r="K681" s="4">
        <f>IF(OR(INDEX($AH$2:$AH$1001,MATCH(ROWS($AG$2:AG681),$AG$2:$AG$1001,0),1)&gt;=100000,INDEX($AN$1005:$BO$1005,1,MATCH(COLUMNS($AN$1006:AW1006),$AN$1006:$BO$1006,0))&gt;=100000), " ",IF(INDEX($AN$2:$BO$1001,MATCH(ROWS($AG$2:AG681),$AG$2:$AG$1001,0),MATCH(COLUMNS($AN$1006:AW1006),$AN$1006:$BO$1006,0)), HYPERLINK("#",""), HYPERLINK(CONCATENATE("#Metadata!", ADDRESS(INDEX($AI$2:$AI$1001,MATCH(ROWS($AG$2:AG681),$AG$2:$AG$1001,0),0), INDEX($AN$1004:$BO$1004,1,MATCH(COLUMNS($AN$1006:AW1006),$AN$1006:$BO$1006,0)))),"Fix")))</f>
        <v>0</v>
      </c>
      <c r="L681" s="4">
        <f>IF(OR(INDEX($AH$2:$AH$1001,MATCH(ROWS($AG$2:AG681),$AG$2:$AG$1001,0),1)&gt;=100000,INDEX($AN$1005:$BO$1005,1,MATCH(COLUMNS($AN$1006:AX1006),$AN$1006:$BO$1006,0))&gt;=100000), " ",IF(INDEX($AN$2:$BO$1001,MATCH(ROWS($AG$2:AG681),$AG$2:$AG$1001,0),MATCH(COLUMNS($AN$1006:AX1006),$AN$1006:$BO$1006,0)), HYPERLINK("#",""), HYPERLINK(CONCATENATE("#Metadata!", ADDRESS(INDEX($AI$2:$AI$1001,MATCH(ROWS($AG$2:AG681),$AG$2:$AG$1001,0),0), INDEX($AN$1004:$BO$1004,1,MATCH(COLUMNS($AN$1006:AX1006),$AN$1006:$BO$1006,0)))),"Fix")))</f>
        <v>0</v>
      </c>
      <c r="M681" s="4">
        <f>IF(OR(INDEX($AH$2:$AH$1001,MATCH(ROWS($AG$2:AG681),$AG$2:$AG$1001,0),1)&gt;=100000,INDEX($AN$1005:$BO$1005,1,MATCH(COLUMNS($AN$1006:AY1006),$AN$1006:$BO$1006,0))&gt;=100000), " ",IF(INDEX($AN$2:$BO$1001,MATCH(ROWS($AG$2:AG681),$AG$2:$AG$1001,0),MATCH(COLUMNS($AN$1006:AY1006),$AN$1006:$BO$1006,0)), HYPERLINK("#",""), HYPERLINK(CONCATENATE("#Metadata!", ADDRESS(INDEX($AI$2:$AI$1001,MATCH(ROWS($AG$2:AG681),$AG$2:$AG$1001,0),0), INDEX($AN$1004:$BO$1004,1,MATCH(COLUMNS($AN$1006:AY1006),$AN$1006:$BO$1006,0)))),"Fix")))</f>
        <v>0</v>
      </c>
      <c r="N681" s="4">
        <f>IF(OR(INDEX($AH$2:$AH$1001,MATCH(ROWS($AG$2:AG681),$AG$2:$AG$1001,0),1)&gt;=100000,INDEX($AN$1005:$BO$1005,1,MATCH(COLUMNS($AN$1006:AZ1006),$AN$1006:$BO$1006,0))&gt;=100000), " ",IF(INDEX($AN$2:$BO$1001,MATCH(ROWS($AG$2:AG681),$AG$2:$AG$1001,0),MATCH(COLUMNS($AN$1006:AZ1006),$AN$1006:$BO$1006,0)), HYPERLINK("#",""), HYPERLINK(CONCATENATE("#Metadata!", ADDRESS(INDEX($AI$2:$AI$1001,MATCH(ROWS($AG$2:AG681),$AG$2:$AG$1001,0),0), INDEX($AN$1004:$BO$1004,1,MATCH(COLUMNS($AN$1006:AZ1006),$AN$1006:$BO$1006,0)))),"Fix")))</f>
        <v>0</v>
      </c>
      <c r="O681" s="4">
        <f>IF(OR(INDEX($AH$2:$AH$1001,MATCH(ROWS($AG$2:AG681),$AG$2:$AG$1001,0),1)&gt;=100000,INDEX($AN$1005:$BO$1005,1,MATCH(COLUMNS($AN$1006:BA1006),$AN$1006:$BO$1006,0))&gt;=100000), " ",IF(INDEX($AN$2:$BO$1001,MATCH(ROWS($AG$2:AG681),$AG$2:$AG$1001,0),MATCH(COLUMNS($AN$1006:BA1006),$AN$1006:$BO$1006,0)), HYPERLINK("#",""), HYPERLINK(CONCATENATE("#Metadata!", ADDRESS(INDEX($AI$2:$AI$1001,MATCH(ROWS($AG$2:AG681),$AG$2:$AG$1001,0),0), INDEX($AN$1004:$BO$1004,1,MATCH(COLUMNS($AN$1006:BA1006),$AN$1006:$BO$1006,0)))),"Fix")))</f>
        <v>0</v>
      </c>
      <c r="P681" s="4">
        <f>IF(OR(INDEX($AH$2:$AH$1001,MATCH(ROWS($AG$2:AG681),$AG$2:$AG$1001,0),1)&gt;=100000,INDEX($AN$1005:$BO$1005,1,MATCH(COLUMNS($AN$1006:BB1006),$AN$1006:$BO$1006,0))&gt;=100000), " ",IF(INDEX($AN$2:$BO$1001,MATCH(ROWS($AG$2:AG681),$AG$2:$AG$1001,0),MATCH(COLUMNS($AN$1006:BB1006),$AN$1006:$BO$1006,0)), HYPERLINK("#",""), HYPERLINK(CONCATENATE("#Metadata!", ADDRESS(INDEX($AI$2:$AI$1001,MATCH(ROWS($AG$2:AG681),$AG$2:$AG$1001,0),0), INDEX($AN$1004:$BO$1004,1,MATCH(COLUMNS($AN$1006:BB1006),$AN$1006:$BO$1006,0)))),"Fix")))</f>
        <v>0</v>
      </c>
      <c r="Q681" s="4">
        <f>IF(OR(INDEX($AH$2:$AH$1001,MATCH(ROWS($AG$2:AG681),$AG$2:$AG$1001,0),1)&gt;=100000,INDEX($AN$1005:$BO$1005,1,MATCH(COLUMNS($AN$1006:BC1006),$AN$1006:$BO$1006,0))&gt;=100000), " ",IF(INDEX($AN$2:$BO$1001,MATCH(ROWS($AG$2:AG681),$AG$2:$AG$1001,0),MATCH(COLUMNS($AN$1006:BC1006),$AN$1006:$BO$1006,0)), HYPERLINK("#",""), HYPERLINK(CONCATENATE("#Metadata!", ADDRESS(INDEX($AI$2:$AI$1001,MATCH(ROWS($AG$2:AG681),$AG$2:$AG$1001,0),0), INDEX($AN$1004:$BO$1004,1,MATCH(COLUMNS($AN$1006:BC1006),$AN$1006:$BO$1006,0)))),"Fix")))</f>
        <v>0</v>
      </c>
      <c r="R681" s="4">
        <f>IF(OR(INDEX($AH$2:$AH$1001,MATCH(ROWS($AG$2:AG681),$AG$2:$AG$1001,0),1)&gt;=100000,INDEX($AN$1005:$BO$1005,1,MATCH(COLUMNS($AN$1006:BD1006),$AN$1006:$BO$1006,0))&gt;=100000), " ",IF(INDEX($AN$2:$BO$1001,MATCH(ROWS($AG$2:AG681),$AG$2:$AG$1001,0),MATCH(COLUMNS($AN$1006:BD1006),$AN$1006:$BO$1006,0)), HYPERLINK("#",""), HYPERLINK(CONCATENATE("#Metadata!", ADDRESS(INDEX($AI$2:$AI$1001,MATCH(ROWS($AG$2:AG681),$AG$2:$AG$1001,0),0), INDEX($AN$1004:$BO$1004,1,MATCH(COLUMNS($AN$1006:BD1006),$AN$1006:$BO$1006,0)))),"Fix")))</f>
        <v>0</v>
      </c>
      <c r="S681" s="4">
        <f>IF(OR(INDEX($AH$2:$AH$1001,MATCH(ROWS($AG$2:AG681),$AG$2:$AG$1001,0),1)&gt;=100000,INDEX($AN$1005:$BO$1005,1,MATCH(COLUMNS($AN$1006:BE1006),$AN$1006:$BO$1006,0))&gt;=100000), " ",IF(INDEX($AN$2:$BO$1001,MATCH(ROWS($AG$2:AG681),$AG$2:$AG$1001,0),MATCH(COLUMNS($AN$1006:BE1006),$AN$1006:$BO$1006,0)), HYPERLINK("#",""), HYPERLINK(CONCATENATE("#Metadata!", ADDRESS(INDEX($AI$2:$AI$1001,MATCH(ROWS($AG$2:AG681),$AG$2:$AG$1001,0),0), INDEX($AN$1004:$BO$1004,1,MATCH(COLUMNS($AN$1006:BE1006),$AN$1006:$BO$1006,0)))),"Fix")))</f>
        <v>0</v>
      </c>
      <c r="T681" s="4">
        <f>IF(OR(INDEX($AH$2:$AH$1001,MATCH(ROWS($AG$2:AG681),$AG$2:$AG$1001,0),1)&gt;=100000,INDEX($AN$1005:$BO$1005,1,MATCH(COLUMNS($AN$1006:BF1006),$AN$1006:$BO$1006,0))&gt;=100000), " ",IF(INDEX($AN$2:$BO$1001,MATCH(ROWS($AG$2:AG681),$AG$2:$AG$1001,0),MATCH(COLUMNS($AN$1006:BF1006),$AN$1006:$BO$1006,0)), HYPERLINK("#",""), HYPERLINK(CONCATENATE("#Metadata!", ADDRESS(INDEX($AI$2:$AI$1001,MATCH(ROWS($AG$2:AG681),$AG$2:$AG$1001,0),0), INDEX($AN$1004:$BO$1004,1,MATCH(COLUMNS($AN$1006:BF1006),$AN$1006:$BO$1006,0)))),"Fix")))</f>
        <v>0</v>
      </c>
      <c r="U681" s="4">
        <f>IF(OR(INDEX($AH$2:$AH$1001,MATCH(ROWS($AG$2:AG681),$AG$2:$AG$1001,0),1)&gt;=100000,INDEX($AN$1005:$BO$1005,1,MATCH(COLUMNS($AN$1006:BG1006),$AN$1006:$BO$1006,0))&gt;=100000), " ",IF(INDEX($AN$2:$BO$1001,MATCH(ROWS($AG$2:AG681),$AG$2:$AG$1001,0),MATCH(COLUMNS($AN$1006:BG1006),$AN$1006:$BO$1006,0)), HYPERLINK("#",""), HYPERLINK(CONCATENATE("#Metadata!", ADDRESS(INDEX($AI$2:$AI$1001,MATCH(ROWS($AG$2:AG681),$AG$2:$AG$1001,0),0), INDEX($AN$1004:$BO$1004,1,MATCH(COLUMNS($AN$1006:BG1006),$AN$1006:$BO$1006,0)))),"Fix")))</f>
        <v>0</v>
      </c>
      <c r="V681" s="4">
        <f>IF(OR(INDEX($AH$2:$AH$1001,MATCH(ROWS($AG$2:AG681),$AG$2:$AG$1001,0),1)&gt;=100000,INDEX($AN$1005:$BO$1005,1,MATCH(COLUMNS($AN$1006:BH1006),$AN$1006:$BO$1006,0))&gt;=100000), " ",IF(INDEX($AN$2:$BO$1001,MATCH(ROWS($AG$2:AG681),$AG$2:$AG$1001,0),MATCH(COLUMNS($AN$1006:BH1006),$AN$1006:$BO$1006,0)), HYPERLINK("#",""), HYPERLINK(CONCATENATE("#Metadata!", ADDRESS(INDEX($AI$2:$AI$1001,MATCH(ROWS($AG$2:AG681),$AG$2:$AG$1001,0),0), INDEX($AN$1004:$BO$1004,1,MATCH(COLUMNS($AN$1006:BH1006),$AN$1006:$BO$1006,0)))),"Fix")))</f>
        <v>0</v>
      </c>
      <c r="W681" s="4">
        <f>IF(OR(INDEX($AH$2:$AH$1001,MATCH(ROWS($AG$2:AG681),$AG$2:$AG$1001,0),1)&gt;=100000,INDEX($AN$1005:$BO$1005,1,MATCH(COLUMNS($AN$1006:BI1006),$AN$1006:$BO$1006,0))&gt;=100000), " ",IF(INDEX($AN$2:$BO$1001,MATCH(ROWS($AG$2:AG681),$AG$2:$AG$1001,0),MATCH(COLUMNS($AN$1006:BI1006),$AN$1006:$BO$1006,0)), HYPERLINK("#",""), HYPERLINK(CONCATENATE("#Metadata!", ADDRESS(INDEX($AI$2:$AI$1001,MATCH(ROWS($AG$2:AG681),$AG$2:$AG$1001,0),0), INDEX($AN$1004:$BO$1004,1,MATCH(COLUMNS($AN$1006:BI1006),$AN$1006:$BO$1006,0)))),"Fix")))</f>
        <v>0</v>
      </c>
      <c r="X681" s="4">
        <f>IF(OR(INDEX($AH$2:$AH$1001,MATCH(ROWS($AG$2:AG681),$AG$2:$AG$1001,0),1)&gt;=100000,INDEX($AN$1005:$BO$1005,1,MATCH(COLUMNS($AN$1006:BJ1006),$AN$1006:$BO$1006,0))&gt;=100000), " ",IF(INDEX($AN$2:$BO$1001,MATCH(ROWS($AG$2:AG681),$AG$2:$AG$1001,0),MATCH(COLUMNS($AN$1006:BJ1006),$AN$1006:$BO$1006,0)), HYPERLINK("#",""), HYPERLINK(CONCATENATE("#Metadata!", ADDRESS(INDEX($AI$2:$AI$1001,MATCH(ROWS($AG$2:AG681),$AG$2:$AG$1001,0),0), INDEX($AN$1004:$BO$1004,1,MATCH(COLUMNS($AN$1006:BJ1006),$AN$1006:$BO$1006,0)))),"Fix")))</f>
        <v>0</v>
      </c>
      <c r="Y681" s="4">
        <f>IF(OR(INDEX($AH$2:$AH$1001,MATCH(ROWS($AG$2:AG681),$AG$2:$AG$1001,0),1)&gt;=100000,INDEX($AN$1005:$BO$1005,1,MATCH(COLUMNS($AN$1006:BK1006),$AN$1006:$BO$1006,0))&gt;=100000), " ",IF(INDEX($AN$2:$BO$1001,MATCH(ROWS($AG$2:AG681),$AG$2:$AG$1001,0),MATCH(COLUMNS($AN$1006:BK1006),$AN$1006:$BO$1006,0)), HYPERLINK("#",""), HYPERLINK(CONCATENATE("#Metadata!", ADDRESS(INDEX($AI$2:$AI$1001,MATCH(ROWS($AG$2:AG681),$AG$2:$AG$1001,0),0), INDEX($AN$1004:$BO$1004,1,MATCH(COLUMNS($AN$1006:BK1006),$AN$1006:$BO$1006,0)))),"Fix")))</f>
        <v>0</v>
      </c>
      <c r="Z681" s="4">
        <f>IF(OR(INDEX($AH$2:$AH$1001,MATCH(ROWS($AG$2:AG681),$AG$2:$AG$1001,0),1)&gt;=100000,INDEX($AN$1005:$BO$1005,1,MATCH(COLUMNS($AN$1006:BL1006),$AN$1006:$BO$1006,0))&gt;=100000), " ",IF(INDEX($AN$2:$BO$1001,MATCH(ROWS($AG$2:AG681),$AG$2:$AG$1001,0),MATCH(COLUMNS($AN$1006:BL1006),$AN$1006:$BO$1006,0)), HYPERLINK("#",""), HYPERLINK(CONCATENATE("#Metadata!", ADDRESS(INDEX($AI$2:$AI$1001,MATCH(ROWS($AG$2:AG681),$AG$2:$AG$1001,0),0), INDEX($AN$1004:$BO$1004,1,MATCH(COLUMNS($AN$1006:BL1006),$AN$1006:$BO$1006,0)))),"Fix")))</f>
        <v>0</v>
      </c>
      <c r="AA681" s="4">
        <f>IF(OR(INDEX($AH$2:$AH$1001,MATCH(ROWS($AG$2:AG681),$AG$2:$AG$1001,0),1)&gt;=100000,INDEX($AN$1005:$BO$1005,1,MATCH(COLUMNS($AN$1006:BM1006),$AN$1006:$BO$1006,0))&gt;=100000), " ",IF(INDEX($AN$2:$BO$1001,MATCH(ROWS($AG$2:AG681),$AG$2:$AG$1001,0),MATCH(COLUMNS($AN$1006:BM1006),$AN$1006:$BO$1006,0)), HYPERLINK("#",""), HYPERLINK(CONCATENATE("#Metadata!", ADDRESS(INDEX($AI$2:$AI$1001,MATCH(ROWS($AG$2:AG681),$AG$2:$AG$1001,0),0), INDEX($AN$1004:$BO$1004,1,MATCH(COLUMNS($AN$1006:BM1006),$AN$1006:$BO$1006,0)))),"Fix")))</f>
        <v>0</v>
      </c>
      <c r="AB681" s="4">
        <f>IF(OR(INDEX($AH$2:$AH$1001,MATCH(ROWS($AG$2:AG681),$AG$2:$AG$1001,0),1)&gt;=100000,INDEX($AN$1005:$BO$1005,1,MATCH(COLUMNS($AN$1006:BN1006),$AN$1006:$BO$1006,0))&gt;=100000), " ",IF(INDEX($AN$2:$BO$1001,MATCH(ROWS($AG$2:AG681),$AG$2:$AG$1001,0),MATCH(COLUMNS($AN$1006:BN1006),$AN$1006:$BO$1006,0)), HYPERLINK("#",""), HYPERLINK(CONCATENATE("#Metadata!", ADDRESS(INDEX($AI$2:$AI$1001,MATCH(ROWS($AG$2:AG681),$AG$2:$AG$1001,0),0), INDEX($AN$1004:$BO$1004,1,MATCH(COLUMNS($AN$1006:BN1006),$AN$1006:$BO$1006,0)))),"Fix")))</f>
        <v>0</v>
      </c>
      <c r="AC681" s="4">
        <f>IF(OR(INDEX($AH$2:$AH$1001,MATCH(ROWS($AG$2:AG681),$AG$2:$AG$1001,0),1)&gt;=100000,INDEX($AN$1005:$BO$1005,1,MATCH(COLUMNS($AN$1006:BO1006),$AN$1006:$BO$1006,0))&gt;=100000), " ",IF(INDEX($AN$2:$BO$1001,MATCH(ROWS($AG$2:AG681),$AG$2:$AG$1001,0),MATCH(COLUMNS($AN$1006:BO1006),$AN$1006:$BO$1006,0)), HYPERLINK("#",""), HYPERLINK(CONCATENATE("#Metadata!", ADDRESS(INDEX($AI$2:$AI$1001,MATCH(ROWS($AG$2:AG681),$AG$2:$AG$1001,0),0), INDEX($AN$1004:$BO$1004,1,MATCH(COLUMNS($AN$1006:BO1006),$AN$1006:$BO$1006,0)))),"Fix")))</f>
        <v>0</v>
      </c>
      <c r="AG681">
        <v>0</v>
      </c>
      <c r="AH681">
        <v>0</v>
      </c>
      <c r="AI681">
        <v>0</v>
      </c>
      <c r="AJ681">
        <f>IF(AK681,TRUE,AND(AN681:BO681))</f>
        <v>0</v>
      </c>
      <c r="AK681">
        <f>COUNTBLANK(Metadata!B681:AC681)=COLUMNS(Metadata!B681:AC681)</f>
        <v>0</v>
      </c>
      <c r="AL681">
        <v>0</v>
      </c>
      <c r="AN681">
        <f>AND(IF(Metadata!B681="",FALSE,TRUE),COUNTIF(Metadata!B:B, Metadata!B681) = 1,NOT(ISERROR(SUMPRODUCT(SEARCH(MID(Metadata!B681,ROW(INDIRECT("1:"&amp;LEN(Metadata!B681))), 1),"0123456789abcdefghijklmnopqrstuvwxyzABCDEFGHIJKLMNOPQRSTUVWXYZ.")))))</f>
        <v>0</v>
      </c>
      <c r="AO681">
        <f>IF(Metadata!C681="",FALSE,TRUE)</f>
        <v>0</v>
      </c>
      <c r="AP681">
        <f>IF(Metadata!D681="",FALSE,TRUE)</f>
        <v>0</v>
      </c>
      <c r="AQ681">
        <f>OR(AND(IF(Metadata!E681="",FALSE,TRUE),OR(exact(Metadata!E681,"not collected"),exact(Metadata!E681,"not provided"),exact(Metadata!E681,"restricted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R681">
        <f>IF(Metadata!F681="",FALSE,TRUE)</f>
        <v>0</v>
      </c>
      <c r="AS681">
        <f>OR(AND(IF(Metadata!G681="",FALSE,TRUE),OR(exact(Metadata!G681,"not collected"),exact(Metadata!G681,"not provided"))),AND(IF(Metadata!G681="",FALSE,TRUE),OR(exact(Metadata!G681,"TRUE"),exact(Metadata!G681,"FALSE"))))</f>
        <v>0</v>
      </c>
      <c r="AT681">
        <f>OR(AND(IF(Metadata!H681="",FALSE,TRUE),OR(exact(Metadata!H681,"not collected"),exact(Metadata!H681,"not provided"),exact(Metadata!H681,"restricted access"))),AND(IF(Metadata!H681="",FALSE,ISNUMBER(VALUE(Metadata!H681))),Metadata!H681&gt;=-413.0))</f>
        <v>0</v>
      </c>
      <c r="AU681">
        <f>AND(IF(Metadata!I681="",FALSE,TRUE),exact(Metadata!I681,"meters"))</f>
        <v>0</v>
      </c>
      <c r="AV681">
        <f>AND(IF(Metadata!J681="",FALSE,TRUE),OR(exact(Metadata!J681,"Host-associated"),exact(Metadata!J681,"Free-living")))</f>
        <v>0</v>
      </c>
      <c r="AW681">
        <f>AND(IF(Metadata!K681="",FALSE,TRUE),OR(exact(Metadata!K681,"Animal"),exact(Metadata!K681,"Fungus"),exact(Metadata!K681,"Plant"),exact(Metadata!K681,"Saline"),exact(Metadata!K681,"Non-saline")))</f>
        <v>0</v>
      </c>
      <c r="AX681">
        <f>AND(IF(Metadata!L681="",FALSE,TRUE),OR(exact(Metadata!L681,"Plant secretion"),exact(Metadata!L681,"Plant rhizosphere"),exact(Metadata!L681,"Plant surface"),exact(Metadata!L681,"Plant corpus"),exact(Metadata!L681,"Fungus surface"),exact(Metadata!L681,"Fungus corpus"),exact(Metadata!L681,"Animal surface"),exact(Metadata!L681,"Animal proximal gut"),exact(Metadata!L681,"Animal corpus"),exact(Metadata!L681,"Animal distal gut"),exact(Metadata!L681,"Animal secretion"),exact(Metadata!L681,"Sub-surface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Y681">
        <f>IF(Metadata!M681="",FALSE,TRUE)</f>
        <v>0</v>
      </c>
      <c r="AZ681">
        <f>IF(Metadata!N681="",FALSE,TRUE)</f>
        <v>0</v>
      </c>
      <c r="BA681">
        <f>IF(Metadata!O681="",FALSE,TRUE)</f>
        <v>0</v>
      </c>
      <c r="BB681">
        <f>OR(AND(IF(Metadata!P681="",FALSE,TRUE),OR(exact(Metadata!P681,"not collected"),exact(Metadata!P681,"not provided"),exact(Metadata!P681,"restricted access"))),AND(IF(Metadata!P681="",FALSE,TRUE),OR(exact(Metadata!P681,"air"),exact(Metadata!P681,"built environment"),exact(Metadata!P681,"host-associated"),exact(Metadata!P681,"human-associated"),exact(Metadata!P681,"human-skin"),exact(Metadata!P681,"human-oral"),exact(Metadata!P681,"human-gut"),exact(Metadata!P681,"human-vaginal"),exact(Metadata!P681,"microbial mat/biofilm"),exact(Metadata!P681,"misc environment"),exact(Metadata!P681,"plant-associated"),exact(Metadata!P681,"sediment"),exact(Metadata!P681,"soil"),exact(Metadata!P681,"wastewater/sludge"),exact(Metadata!P681,"water"))))</f>
        <v>0</v>
      </c>
      <c r="BC681">
        <f>IF(Metadata!Q681="",FALSE,TRUE)</f>
        <v>0</v>
      </c>
      <c r="BD681">
        <f>IF(Metadata!R681="",FALSE,TRUE)</f>
        <v>0</v>
      </c>
      <c r="BE681">
        <f>OR(AND(IF(Metadata!S681="",FALSE,TRUE),OR(exact(Metadata!S681,"not collected"),exact(Metadata!S681,"not provided"),exact(Metadata!S681,"restricted access"))),AND(IF(Metadata!S681="",FALSE,ISNUMBER(VALUE(Metadata!S681))),Metadata!S681&gt;=-90.00,Metadata!S681&lt;=90.00))</f>
        <v>0</v>
      </c>
      <c r="BF681">
        <f>AND(IF(Metadata!T681="",FALSE,TRUE),exact(Metadata!T681,"Decimal degrees"))</f>
        <v>0</v>
      </c>
      <c r="BG681">
        <f>OR(AND(IF(Metadata!U681="",FALSE,TRUE),OR(exact(Metadata!U681,"not collected"),exact(Metadata!U681,"not provided"),exact(Metadata!U681,"restricted access"))),AND(IF(Metadata!U681="",FALSE,ISNUMBER(VALUE(Metadata!U681))),Metadata!U681&gt;=-180.00,Metadata!U681&lt;=180.00))</f>
        <v>0</v>
      </c>
      <c r="BH681">
        <f>AND(IF(Metadata!V681="",FALSE,TRUE),exact(Metadata!V681,"Decimal degrees"))</f>
        <v>0</v>
      </c>
      <c r="BI681">
        <f>IF(Metadata!W681="",FALSE,TRUE)</f>
        <v>0</v>
      </c>
      <c r="BJ681">
        <f>OR(AND(IF(Metadata!X681="",FALSE,TRUE),OR(exact(Metadata!X681,"not collected"),exact(Metadata!X681,"not provided"),exact(Metadata!X681,"restricted access"))),AND(IF(Metadata!X681="",FALSE,TRUE),OR(exact(Metadata!X681,"TRUE"),exact(Metadata!X681,"FALSE"))))</f>
        <v>0</v>
      </c>
      <c r="BK681">
        <f>AND(IF(Metadata!Y681="",FALSE,TRUE),exact(Metadata!Y681,"other"))</f>
        <v>0</v>
      </c>
      <c r="BL681">
        <f>IF(Metadata!Z681="",FALSE,TRUE)</f>
        <v>0</v>
      </c>
      <c r="BM681">
        <f>OR(AND(IF(Metadata!AA681="",FALSE,TRUE),OR(exact(Metadata!AA681,"not collected"),exact(Metadata!AA681,"not provided"))),AND(IF(Metadata!AA681="",FALSE,IF(ISERROR(INT(Metadata!AA681)),FALSE,INT(Metadata!AA681)=Metadata!AA681)),Metadata!AA681&gt;0))</f>
        <v>0</v>
      </c>
      <c r="BN681">
        <f>AND(IF(Metadata!AB681="",FALSE,TRUE),exact(Metadata!AB681,"Not applicable"))</f>
        <v>0</v>
      </c>
      <c r="BO681">
        <f>IF(Metadata!AC681="",FALSE,TRUE)</f>
        <v>0</v>
      </c>
    </row>
    <row r="682" spans="1:67">
      <c r="A682" s="5">
        <f>IF(B682=" "," ",HYPERLINK(CONCATENATE("#metadata!",ADDRESS(INDEX($AI$2:$AI$1001,MATCH(ROWS($AG$2:AG682),$AG$2:$AG$1001,0),0),1)),INDEX($AL$2:$AL$1001,MATCH(ROWS($AG$2:AG682),$AG$2:$AG$1001,0),0)))</f>
        <v>0</v>
      </c>
      <c r="B682" s="4">
        <f>IF(OR(INDEX($AH$2:$AH$1001,MATCH(ROWS($AG$2:AG682),$AG$2:$AG$1001,0),1)&gt;=100000,INDEX($AN$1005:$BO$1005,1,MATCH(COLUMNS($AN$1006:AN1006),$AN$1006:$BO$1006,0))&gt;=100000), " ",IF(INDEX($AN$2:$BO$1001,MATCH(ROWS($AG$2:AG682),$AG$2:$AG$1001,0),MATCH(COLUMNS($AN$1006:AN1006),$AN$1006:$BO$1006,0)), HYPERLINK("#",""), HYPERLINK(CONCATENATE("#Metadata!", ADDRESS(INDEX($AI$2:$AI$1001,MATCH(ROWS($AG$2:AG682),$AG$2:$AG$1001,0),0), INDEX($AN$1004:$BO$1004,1,MATCH(COLUMNS($AN$1006:AN1006),$AN$1006:$BO$1006,0)))),"Fix")))</f>
        <v>0</v>
      </c>
      <c r="C682" s="4">
        <f>IF(OR(INDEX($AH$2:$AH$1001,MATCH(ROWS($AG$2:AG682),$AG$2:$AG$1001,0),1)&gt;=100000,INDEX($AN$1005:$BO$1005,1,MATCH(COLUMNS($AN$1006:AO1006),$AN$1006:$BO$1006,0))&gt;=100000), " ",IF(INDEX($AN$2:$BO$1001,MATCH(ROWS($AG$2:AG682),$AG$2:$AG$1001,0),MATCH(COLUMNS($AN$1006:AO1006),$AN$1006:$BO$1006,0)), HYPERLINK("#",""), HYPERLINK(CONCATENATE("#Metadata!", ADDRESS(INDEX($AI$2:$AI$1001,MATCH(ROWS($AG$2:AG682),$AG$2:$AG$1001,0),0), INDEX($AN$1004:$BO$1004,1,MATCH(COLUMNS($AN$1006:AO1006),$AN$1006:$BO$1006,0)))),"Fix")))</f>
        <v>0</v>
      </c>
      <c r="D682" s="4">
        <f>IF(OR(INDEX($AH$2:$AH$1001,MATCH(ROWS($AG$2:AG682),$AG$2:$AG$1001,0),1)&gt;=100000,INDEX($AN$1005:$BO$1005,1,MATCH(COLUMNS($AN$1006:AP1006),$AN$1006:$BO$1006,0))&gt;=100000), " ",IF(INDEX($AN$2:$BO$1001,MATCH(ROWS($AG$2:AG682),$AG$2:$AG$1001,0),MATCH(COLUMNS($AN$1006:AP1006),$AN$1006:$BO$1006,0)), HYPERLINK("#",""), HYPERLINK(CONCATENATE("#Metadata!", ADDRESS(INDEX($AI$2:$AI$1001,MATCH(ROWS($AG$2:AG682),$AG$2:$AG$1001,0),0), INDEX($AN$1004:$BO$1004,1,MATCH(COLUMNS($AN$1006:AP1006),$AN$1006:$BO$1006,0)))),"Fix")))</f>
        <v>0</v>
      </c>
      <c r="E682" s="4">
        <f>IF(OR(INDEX($AH$2:$AH$1001,MATCH(ROWS($AG$2:AG682),$AG$2:$AG$1001,0),1)&gt;=100000,INDEX($AN$1005:$BO$1005,1,MATCH(COLUMNS($AN$1006:AQ1006),$AN$1006:$BO$1006,0))&gt;=100000), " ",IF(INDEX($AN$2:$BO$1001,MATCH(ROWS($AG$2:AG682),$AG$2:$AG$1001,0),MATCH(COLUMNS($AN$1006:AQ1006),$AN$1006:$BO$1006,0)), HYPERLINK("#",""), HYPERLINK(CONCATENATE("#Metadata!", ADDRESS(INDEX($AI$2:$AI$1001,MATCH(ROWS($AG$2:AG682),$AG$2:$AG$1001,0),0), INDEX($AN$1004:$BO$1004,1,MATCH(COLUMNS($AN$1006:AQ1006),$AN$1006:$BO$1006,0)))),"Fix")))</f>
        <v>0</v>
      </c>
      <c r="F682" s="4">
        <f>IF(OR(INDEX($AH$2:$AH$1001,MATCH(ROWS($AG$2:AG682),$AG$2:$AG$1001,0),1)&gt;=100000,INDEX($AN$1005:$BO$1005,1,MATCH(COLUMNS($AN$1006:AR1006),$AN$1006:$BO$1006,0))&gt;=100000), " ",IF(INDEX($AN$2:$BO$1001,MATCH(ROWS($AG$2:AG682),$AG$2:$AG$1001,0),MATCH(COLUMNS($AN$1006:AR1006),$AN$1006:$BO$1006,0)), HYPERLINK("#",""), HYPERLINK(CONCATENATE("#Metadata!", ADDRESS(INDEX($AI$2:$AI$1001,MATCH(ROWS($AG$2:AG682),$AG$2:$AG$1001,0),0), INDEX($AN$1004:$BO$1004,1,MATCH(COLUMNS($AN$1006:AR1006),$AN$1006:$BO$1006,0)))),"Fix")))</f>
        <v>0</v>
      </c>
      <c r="G682" s="4">
        <f>IF(OR(INDEX($AH$2:$AH$1001,MATCH(ROWS($AG$2:AG682),$AG$2:$AG$1001,0),1)&gt;=100000,INDEX($AN$1005:$BO$1005,1,MATCH(COLUMNS($AN$1006:AS1006),$AN$1006:$BO$1006,0))&gt;=100000), " ",IF(INDEX($AN$2:$BO$1001,MATCH(ROWS($AG$2:AG682),$AG$2:$AG$1001,0),MATCH(COLUMNS($AN$1006:AS1006),$AN$1006:$BO$1006,0)), HYPERLINK("#",""), HYPERLINK(CONCATENATE("#Metadata!", ADDRESS(INDEX($AI$2:$AI$1001,MATCH(ROWS($AG$2:AG682),$AG$2:$AG$1001,0),0), INDEX($AN$1004:$BO$1004,1,MATCH(COLUMNS($AN$1006:AS1006),$AN$1006:$BO$1006,0)))),"Fix")))</f>
        <v>0</v>
      </c>
      <c r="H682" s="4">
        <f>IF(OR(INDEX($AH$2:$AH$1001,MATCH(ROWS($AG$2:AG682),$AG$2:$AG$1001,0),1)&gt;=100000,INDEX($AN$1005:$BO$1005,1,MATCH(COLUMNS($AN$1006:AT1006),$AN$1006:$BO$1006,0))&gt;=100000), " ",IF(INDEX($AN$2:$BO$1001,MATCH(ROWS($AG$2:AG682),$AG$2:$AG$1001,0),MATCH(COLUMNS($AN$1006:AT1006),$AN$1006:$BO$1006,0)), HYPERLINK("#",""), HYPERLINK(CONCATENATE("#Metadata!", ADDRESS(INDEX($AI$2:$AI$1001,MATCH(ROWS($AG$2:AG682),$AG$2:$AG$1001,0),0), INDEX($AN$1004:$BO$1004,1,MATCH(COLUMNS($AN$1006:AT1006),$AN$1006:$BO$1006,0)))),"Fix")))</f>
        <v>0</v>
      </c>
      <c r="I682" s="4">
        <f>IF(OR(INDEX($AH$2:$AH$1001,MATCH(ROWS($AG$2:AG682),$AG$2:$AG$1001,0),1)&gt;=100000,INDEX($AN$1005:$BO$1005,1,MATCH(COLUMNS($AN$1006:AU1006),$AN$1006:$BO$1006,0))&gt;=100000), " ",IF(INDEX($AN$2:$BO$1001,MATCH(ROWS($AG$2:AG682),$AG$2:$AG$1001,0),MATCH(COLUMNS($AN$1006:AU1006),$AN$1006:$BO$1006,0)), HYPERLINK("#",""), HYPERLINK(CONCATENATE("#Metadata!", ADDRESS(INDEX($AI$2:$AI$1001,MATCH(ROWS($AG$2:AG682),$AG$2:$AG$1001,0),0), INDEX($AN$1004:$BO$1004,1,MATCH(COLUMNS($AN$1006:AU1006),$AN$1006:$BO$1006,0)))),"Fix")))</f>
        <v>0</v>
      </c>
      <c r="J682" s="4">
        <f>IF(OR(INDEX($AH$2:$AH$1001,MATCH(ROWS($AG$2:AG682),$AG$2:$AG$1001,0),1)&gt;=100000,INDEX($AN$1005:$BO$1005,1,MATCH(COLUMNS($AN$1006:AV1006),$AN$1006:$BO$1006,0))&gt;=100000), " ",IF(INDEX($AN$2:$BO$1001,MATCH(ROWS($AG$2:AG682),$AG$2:$AG$1001,0),MATCH(COLUMNS($AN$1006:AV1006),$AN$1006:$BO$1006,0)), HYPERLINK("#",""), HYPERLINK(CONCATENATE("#Metadata!", ADDRESS(INDEX($AI$2:$AI$1001,MATCH(ROWS($AG$2:AG682),$AG$2:$AG$1001,0),0), INDEX($AN$1004:$BO$1004,1,MATCH(COLUMNS($AN$1006:AV1006),$AN$1006:$BO$1006,0)))),"Fix")))</f>
        <v>0</v>
      </c>
      <c r="K682" s="4">
        <f>IF(OR(INDEX($AH$2:$AH$1001,MATCH(ROWS($AG$2:AG682),$AG$2:$AG$1001,0),1)&gt;=100000,INDEX($AN$1005:$BO$1005,1,MATCH(COLUMNS($AN$1006:AW1006),$AN$1006:$BO$1006,0))&gt;=100000), " ",IF(INDEX($AN$2:$BO$1001,MATCH(ROWS($AG$2:AG682),$AG$2:$AG$1001,0),MATCH(COLUMNS($AN$1006:AW1006),$AN$1006:$BO$1006,0)), HYPERLINK("#",""), HYPERLINK(CONCATENATE("#Metadata!", ADDRESS(INDEX($AI$2:$AI$1001,MATCH(ROWS($AG$2:AG682),$AG$2:$AG$1001,0),0), INDEX($AN$1004:$BO$1004,1,MATCH(COLUMNS($AN$1006:AW1006),$AN$1006:$BO$1006,0)))),"Fix")))</f>
        <v>0</v>
      </c>
      <c r="L682" s="4">
        <f>IF(OR(INDEX($AH$2:$AH$1001,MATCH(ROWS($AG$2:AG682),$AG$2:$AG$1001,0),1)&gt;=100000,INDEX($AN$1005:$BO$1005,1,MATCH(COLUMNS($AN$1006:AX1006),$AN$1006:$BO$1006,0))&gt;=100000), " ",IF(INDEX($AN$2:$BO$1001,MATCH(ROWS($AG$2:AG682),$AG$2:$AG$1001,0),MATCH(COLUMNS($AN$1006:AX1006),$AN$1006:$BO$1006,0)), HYPERLINK("#",""), HYPERLINK(CONCATENATE("#Metadata!", ADDRESS(INDEX($AI$2:$AI$1001,MATCH(ROWS($AG$2:AG682),$AG$2:$AG$1001,0),0), INDEX($AN$1004:$BO$1004,1,MATCH(COLUMNS($AN$1006:AX1006),$AN$1006:$BO$1006,0)))),"Fix")))</f>
        <v>0</v>
      </c>
      <c r="M682" s="4">
        <f>IF(OR(INDEX($AH$2:$AH$1001,MATCH(ROWS($AG$2:AG682),$AG$2:$AG$1001,0),1)&gt;=100000,INDEX($AN$1005:$BO$1005,1,MATCH(COLUMNS($AN$1006:AY1006),$AN$1006:$BO$1006,0))&gt;=100000), " ",IF(INDEX($AN$2:$BO$1001,MATCH(ROWS($AG$2:AG682),$AG$2:$AG$1001,0),MATCH(COLUMNS($AN$1006:AY1006),$AN$1006:$BO$1006,0)), HYPERLINK("#",""), HYPERLINK(CONCATENATE("#Metadata!", ADDRESS(INDEX($AI$2:$AI$1001,MATCH(ROWS($AG$2:AG682),$AG$2:$AG$1001,0),0), INDEX($AN$1004:$BO$1004,1,MATCH(COLUMNS($AN$1006:AY1006),$AN$1006:$BO$1006,0)))),"Fix")))</f>
        <v>0</v>
      </c>
      <c r="N682" s="4">
        <f>IF(OR(INDEX($AH$2:$AH$1001,MATCH(ROWS($AG$2:AG682),$AG$2:$AG$1001,0),1)&gt;=100000,INDEX($AN$1005:$BO$1005,1,MATCH(COLUMNS($AN$1006:AZ1006),$AN$1006:$BO$1006,0))&gt;=100000), " ",IF(INDEX($AN$2:$BO$1001,MATCH(ROWS($AG$2:AG682),$AG$2:$AG$1001,0),MATCH(COLUMNS($AN$1006:AZ1006),$AN$1006:$BO$1006,0)), HYPERLINK("#",""), HYPERLINK(CONCATENATE("#Metadata!", ADDRESS(INDEX($AI$2:$AI$1001,MATCH(ROWS($AG$2:AG682),$AG$2:$AG$1001,0),0), INDEX($AN$1004:$BO$1004,1,MATCH(COLUMNS($AN$1006:AZ1006),$AN$1006:$BO$1006,0)))),"Fix")))</f>
        <v>0</v>
      </c>
      <c r="O682" s="4">
        <f>IF(OR(INDEX($AH$2:$AH$1001,MATCH(ROWS($AG$2:AG682),$AG$2:$AG$1001,0),1)&gt;=100000,INDEX($AN$1005:$BO$1005,1,MATCH(COLUMNS($AN$1006:BA1006),$AN$1006:$BO$1006,0))&gt;=100000), " ",IF(INDEX($AN$2:$BO$1001,MATCH(ROWS($AG$2:AG682),$AG$2:$AG$1001,0),MATCH(COLUMNS($AN$1006:BA1006),$AN$1006:$BO$1006,0)), HYPERLINK("#",""), HYPERLINK(CONCATENATE("#Metadata!", ADDRESS(INDEX($AI$2:$AI$1001,MATCH(ROWS($AG$2:AG682),$AG$2:$AG$1001,0),0), INDEX($AN$1004:$BO$1004,1,MATCH(COLUMNS($AN$1006:BA1006),$AN$1006:$BO$1006,0)))),"Fix")))</f>
        <v>0</v>
      </c>
      <c r="P682" s="4">
        <f>IF(OR(INDEX($AH$2:$AH$1001,MATCH(ROWS($AG$2:AG682),$AG$2:$AG$1001,0),1)&gt;=100000,INDEX($AN$1005:$BO$1005,1,MATCH(COLUMNS($AN$1006:BB1006),$AN$1006:$BO$1006,0))&gt;=100000), " ",IF(INDEX($AN$2:$BO$1001,MATCH(ROWS($AG$2:AG682),$AG$2:$AG$1001,0),MATCH(COLUMNS($AN$1006:BB1006),$AN$1006:$BO$1006,0)), HYPERLINK("#",""), HYPERLINK(CONCATENATE("#Metadata!", ADDRESS(INDEX($AI$2:$AI$1001,MATCH(ROWS($AG$2:AG682),$AG$2:$AG$1001,0),0), INDEX($AN$1004:$BO$1004,1,MATCH(COLUMNS($AN$1006:BB1006),$AN$1006:$BO$1006,0)))),"Fix")))</f>
        <v>0</v>
      </c>
      <c r="Q682" s="4">
        <f>IF(OR(INDEX($AH$2:$AH$1001,MATCH(ROWS($AG$2:AG682),$AG$2:$AG$1001,0),1)&gt;=100000,INDEX($AN$1005:$BO$1005,1,MATCH(COLUMNS($AN$1006:BC1006),$AN$1006:$BO$1006,0))&gt;=100000), " ",IF(INDEX($AN$2:$BO$1001,MATCH(ROWS($AG$2:AG682),$AG$2:$AG$1001,0),MATCH(COLUMNS($AN$1006:BC1006),$AN$1006:$BO$1006,0)), HYPERLINK("#",""), HYPERLINK(CONCATENATE("#Metadata!", ADDRESS(INDEX($AI$2:$AI$1001,MATCH(ROWS($AG$2:AG682),$AG$2:$AG$1001,0),0), INDEX($AN$1004:$BO$1004,1,MATCH(COLUMNS($AN$1006:BC1006),$AN$1006:$BO$1006,0)))),"Fix")))</f>
        <v>0</v>
      </c>
      <c r="R682" s="4">
        <f>IF(OR(INDEX($AH$2:$AH$1001,MATCH(ROWS($AG$2:AG682),$AG$2:$AG$1001,0),1)&gt;=100000,INDEX($AN$1005:$BO$1005,1,MATCH(COLUMNS($AN$1006:BD1006),$AN$1006:$BO$1006,0))&gt;=100000), " ",IF(INDEX($AN$2:$BO$1001,MATCH(ROWS($AG$2:AG682),$AG$2:$AG$1001,0),MATCH(COLUMNS($AN$1006:BD1006),$AN$1006:$BO$1006,0)), HYPERLINK("#",""), HYPERLINK(CONCATENATE("#Metadata!", ADDRESS(INDEX($AI$2:$AI$1001,MATCH(ROWS($AG$2:AG682),$AG$2:$AG$1001,0),0), INDEX($AN$1004:$BO$1004,1,MATCH(COLUMNS($AN$1006:BD1006),$AN$1006:$BO$1006,0)))),"Fix")))</f>
        <v>0</v>
      </c>
      <c r="S682" s="4">
        <f>IF(OR(INDEX($AH$2:$AH$1001,MATCH(ROWS($AG$2:AG682),$AG$2:$AG$1001,0),1)&gt;=100000,INDEX($AN$1005:$BO$1005,1,MATCH(COLUMNS($AN$1006:BE1006),$AN$1006:$BO$1006,0))&gt;=100000), " ",IF(INDEX($AN$2:$BO$1001,MATCH(ROWS($AG$2:AG682),$AG$2:$AG$1001,0),MATCH(COLUMNS($AN$1006:BE1006),$AN$1006:$BO$1006,0)), HYPERLINK("#",""), HYPERLINK(CONCATENATE("#Metadata!", ADDRESS(INDEX($AI$2:$AI$1001,MATCH(ROWS($AG$2:AG682),$AG$2:$AG$1001,0),0), INDEX($AN$1004:$BO$1004,1,MATCH(COLUMNS($AN$1006:BE1006),$AN$1006:$BO$1006,0)))),"Fix")))</f>
        <v>0</v>
      </c>
      <c r="T682" s="4">
        <f>IF(OR(INDEX($AH$2:$AH$1001,MATCH(ROWS($AG$2:AG682),$AG$2:$AG$1001,0),1)&gt;=100000,INDEX($AN$1005:$BO$1005,1,MATCH(COLUMNS($AN$1006:BF1006),$AN$1006:$BO$1006,0))&gt;=100000), " ",IF(INDEX($AN$2:$BO$1001,MATCH(ROWS($AG$2:AG682),$AG$2:$AG$1001,0),MATCH(COLUMNS($AN$1006:BF1006),$AN$1006:$BO$1006,0)), HYPERLINK("#",""), HYPERLINK(CONCATENATE("#Metadata!", ADDRESS(INDEX($AI$2:$AI$1001,MATCH(ROWS($AG$2:AG682),$AG$2:$AG$1001,0),0), INDEX($AN$1004:$BO$1004,1,MATCH(COLUMNS($AN$1006:BF1006),$AN$1006:$BO$1006,0)))),"Fix")))</f>
        <v>0</v>
      </c>
      <c r="U682" s="4">
        <f>IF(OR(INDEX($AH$2:$AH$1001,MATCH(ROWS($AG$2:AG682),$AG$2:$AG$1001,0),1)&gt;=100000,INDEX($AN$1005:$BO$1005,1,MATCH(COLUMNS($AN$1006:BG1006),$AN$1006:$BO$1006,0))&gt;=100000), " ",IF(INDEX($AN$2:$BO$1001,MATCH(ROWS($AG$2:AG682),$AG$2:$AG$1001,0),MATCH(COLUMNS($AN$1006:BG1006),$AN$1006:$BO$1006,0)), HYPERLINK("#",""), HYPERLINK(CONCATENATE("#Metadata!", ADDRESS(INDEX($AI$2:$AI$1001,MATCH(ROWS($AG$2:AG682),$AG$2:$AG$1001,0),0), INDEX($AN$1004:$BO$1004,1,MATCH(COLUMNS($AN$1006:BG1006),$AN$1006:$BO$1006,0)))),"Fix")))</f>
        <v>0</v>
      </c>
      <c r="V682" s="4">
        <f>IF(OR(INDEX($AH$2:$AH$1001,MATCH(ROWS($AG$2:AG682),$AG$2:$AG$1001,0),1)&gt;=100000,INDEX($AN$1005:$BO$1005,1,MATCH(COLUMNS($AN$1006:BH1006),$AN$1006:$BO$1006,0))&gt;=100000), " ",IF(INDEX($AN$2:$BO$1001,MATCH(ROWS($AG$2:AG682),$AG$2:$AG$1001,0),MATCH(COLUMNS($AN$1006:BH1006),$AN$1006:$BO$1006,0)), HYPERLINK("#",""), HYPERLINK(CONCATENATE("#Metadata!", ADDRESS(INDEX($AI$2:$AI$1001,MATCH(ROWS($AG$2:AG682),$AG$2:$AG$1001,0),0), INDEX($AN$1004:$BO$1004,1,MATCH(COLUMNS($AN$1006:BH1006),$AN$1006:$BO$1006,0)))),"Fix")))</f>
        <v>0</v>
      </c>
      <c r="W682" s="4">
        <f>IF(OR(INDEX($AH$2:$AH$1001,MATCH(ROWS($AG$2:AG682),$AG$2:$AG$1001,0),1)&gt;=100000,INDEX($AN$1005:$BO$1005,1,MATCH(COLUMNS($AN$1006:BI1006),$AN$1006:$BO$1006,0))&gt;=100000), " ",IF(INDEX($AN$2:$BO$1001,MATCH(ROWS($AG$2:AG682),$AG$2:$AG$1001,0),MATCH(COLUMNS($AN$1006:BI1006),$AN$1006:$BO$1006,0)), HYPERLINK("#",""), HYPERLINK(CONCATENATE("#Metadata!", ADDRESS(INDEX($AI$2:$AI$1001,MATCH(ROWS($AG$2:AG682),$AG$2:$AG$1001,0),0), INDEX($AN$1004:$BO$1004,1,MATCH(COLUMNS($AN$1006:BI1006),$AN$1006:$BO$1006,0)))),"Fix")))</f>
        <v>0</v>
      </c>
      <c r="X682" s="4">
        <f>IF(OR(INDEX($AH$2:$AH$1001,MATCH(ROWS($AG$2:AG682),$AG$2:$AG$1001,0),1)&gt;=100000,INDEX($AN$1005:$BO$1005,1,MATCH(COLUMNS($AN$1006:BJ1006),$AN$1006:$BO$1006,0))&gt;=100000), " ",IF(INDEX($AN$2:$BO$1001,MATCH(ROWS($AG$2:AG682),$AG$2:$AG$1001,0),MATCH(COLUMNS($AN$1006:BJ1006),$AN$1006:$BO$1006,0)), HYPERLINK("#",""), HYPERLINK(CONCATENATE("#Metadata!", ADDRESS(INDEX($AI$2:$AI$1001,MATCH(ROWS($AG$2:AG682),$AG$2:$AG$1001,0),0), INDEX($AN$1004:$BO$1004,1,MATCH(COLUMNS($AN$1006:BJ1006),$AN$1006:$BO$1006,0)))),"Fix")))</f>
        <v>0</v>
      </c>
      <c r="Y682" s="4">
        <f>IF(OR(INDEX($AH$2:$AH$1001,MATCH(ROWS($AG$2:AG682),$AG$2:$AG$1001,0),1)&gt;=100000,INDEX($AN$1005:$BO$1005,1,MATCH(COLUMNS($AN$1006:BK1006),$AN$1006:$BO$1006,0))&gt;=100000), " ",IF(INDEX($AN$2:$BO$1001,MATCH(ROWS($AG$2:AG682),$AG$2:$AG$1001,0),MATCH(COLUMNS($AN$1006:BK1006),$AN$1006:$BO$1006,0)), HYPERLINK("#",""), HYPERLINK(CONCATENATE("#Metadata!", ADDRESS(INDEX($AI$2:$AI$1001,MATCH(ROWS($AG$2:AG682),$AG$2:$AG$1001,0),0), INDEX($AN$1004:$BO$1004,1,MATCH(COLUMNS($AN$1006:BK1006),$AN$1006:$BO$1006,0)))),"Fix")))</f>
        <v>0</v>
      </c>
      <c r="Z682" s="4">
        <f>IF(OR(INDEX($AH$2:$AH$1001,MATCH(ROWS($AG$2:AG682),$AG$2:$AG$1001,0),1)&gt;=100000,INDEX($AN$1005:$BO$1005,1,MATCH(COLUMNS($AN$1006:BL1006),$AN$1006:$BO$1006,0))&gt;=100000), " ",IF(INDEX($AN$2:$BO$1001,MATCH(ROWS($AG$2:AG682),$AG$2:$AG$1001,0),MATCH(COLUMNS($AN$1006:BL1006),$AN$1006:$BO$1006,0)), HYPERLINK("#",""), HYPERLINK(CONCATENATE("#Metadata!", ADDRESS(INDEX($AI$2:$AI$1001,MATCH(ROWS($AG$2:AG682),$AG$2:$AG$1001,0),0), INDEX($AN$1004:$BO$1004,1,MATCH(COLUMNS($AN$1006:BL1006),$AN$1006:$BO$1006,0)))),"Fix")))</f>
        <v>0</v>
      </c>
      <c r="AA682" s="4">
        <f>IF(OR(INDEX($AH$2:$AH$1001,MATCH(ROWS($AG$2:AG682),$AG$2:$AG$1001,0),1)&gt;=100000,INDEX($AN$1005:$BO$1005,1,MATCH(COLUMNS($AN$1006:BM1006),$AN$1006:$BO$1006,0))&gt;=100000), " ",IF(INDEX($AN$2:$BO$1001,MATCH(ROWS($AG$2:AG682),$AG$2:$AG$1001,0),MATCH(COLUMNS($AN$1006:BM1006),$AN$1006:$BO$1006,0)), HYPERLINK("#",""), HYPERLINK(CONCATENATE("#Metadata!", ADDRESS(INDEX($AI$2:$AI$1001,MATCH(ROWS($AG$2:AG682),$AG$2:$AG$1001,0),0), INDEX($AN$1004:$BO$1004,1,MATCH(COLUMNS($AN$1006:BM1006),$AN$1006:$BO$1006,0)))),"Fix")))</f>
        <v>0</v>
      </c>
      <c r="AB682" s="4">
        <f>IF(OR(INDEX($AH$2:$AH$1001,MATCH(ROWS($AG$2:AG682),$AG$2:$AG$1001,0),1)&gt;=100000,INDEX($AN$1005:$BO$1005,1,MATCH(COLUMNS($AN$1006:BN1006),$AN$1006:$BO$1006,0))&gt;=100000), " ",IF(INDEX($AN$2:$BO$1001,MATCH(ROWS($AG$2:AG682),$AG$2:$AG$1001,0),MATCH(COLUMNS($AN$1006:BN1006),$AN$1006:$BO$1006,0)), HYPERLINK("#",""), HYPERLINK(CONCATENATE("#Metadata!", ADDRESS(INDEX($AI$2:$AI$1001,MATCH(ROWS($AG$2:AG682),$AG$2:$AG$1001,0),0), INDEX($AN$1004:$BO$1004,1,MATCH(COLUMNS($AN$1006:BN1006),$AN$1006:$BO$1006,0)))),"Fix")))</f>
        <v>0</v>
      </c>
      <c r="AC682" s="4">
        <f>IF(OR(INDEX($AH$2:$AH$1001,MATCH(ROWS($AG$2:AG682),$AG$2:$AG$1001,0),1)&gt;=100000,INDEX($AN$1005:$BO$1005,1,MATCH(COLUMNS($AN$1006:BO1006),$AN$1006:$BO$1006,0))&gt;=100000), " ",IF(INDEX($AN$2:$BO$1001,MATCH(ROWS($AG$2:AG682),$AG$2:$AG$1001,0),MATCH(COLUMNS($AN$1006:BO1006),$AN$1006:$BO$1006,0)), HYPERLINK("#",""), HYPERLINK(CONCATENATE("#Metadata!", ADDRESS(INDEX($AI$2:$AI$1001,MATCH(ROWS($AG$2:AG682),$AG$2:$AG$1001,0),0), INDEX($AN$1004:$BO$1004,1,MATCH(COLUMNS($AN$1006:BO1006),$AN$1006:$BO$1006,0)))),"Fix")))</f>
        <v>0</v>
      </c>
      <c r="AG682">
        <v>0</v>
      </c>
      <c r="AH682">
        <v>0</v>
      </c>
      <c r="AI682">
        <v>0</v>
      </c>
      <c r="AJ682">
        <f>IF(AK682,TRUE,AND(AN682:BO682))</f>
        <v>0</v>
      </c>
      <c r="AK682">
        <f>COUNTBLANK(Metadata!B682:AC682)=COLUMNS(Metadata!B682:AC682)</f>
        <v>0</v>
      </c>
      <c r="AL682">
        <v>0</v>
      </c>
      <c r="AN682">
        <f>AND(IF(Metadata!B682="",FALSE,TRUE),COUNTIF(Metadata!B:B, Metadata!B682) = 1,NOT(ISERROR(SUMPRODUCT(SEARCH(MID(Metadata!B682,ROW(INDIRECT("1:"&amp;LEN(Metadata!B682))), 1),"0123456789abcdefghijklmnopqrstuvwxyzABCDEFGHIJKLMNOPQRSTUVWXYZ.")))))</f>
        <v>0</v>
      </c>
      <c r="AO682">
        <f>IF(Metadata!C682="",FALSE,TRUE)</f>
        <v>0</v>
      </c>
      <c r="AP682">
        <f>IF(Metadata!D682="",FALSE,TRUE)</f>
        <v>0</v>
      </c>
      <c r="AQ682">
        <f>OR(AND(IF(Metadata!E682="",FALSE,TRUE),OR(exact(Metadata!E682,"not collected"),exact(Metadata!E682,"not provided"),exact(Metadata!E682,"restricted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R682">
        <f>IF(Metadata!F682="",FALSE,TRUE)</f>
        <v>0</v>
      </c>
      <c r="AS682">
        <f>OR(AND(IF(Metadata!G682="",FALSE,TRUE),OR(exact(Metadata!G682,"not collected"),exact(Metadata!G682,"not provided"))),AND(IF(Metadata!G682="",FALSE,TRUE),OR(exact(Metadata!G682,"TRUE"),exact(Metadata!G682,"FALSE"))))</f>
        <v>0</v>
      </c>
      <c r="AT682">
        <f>OR(AND(IF(Metadata!H682="",FALSE,TRUE),OR(exact(Metadata!H682,"not collected"),exact(Metadata!H682,"not provided"),exact(Metadata!H682,"restricted access"))),AND(IF(Metadata!H682="",FALSE,ISNUMBER(VALUE(Metadata!H682))),Metadata!H682&gt;=-413.0))</f>
        <v>0</v>
      </c>
      <c r="AU682">
        <f>AND(IF(Metadata!I682="",FALSE,TRUE),exact(Metadata!I682,"meters"))</f>
        <v>0</v>
      </c>
      <c r="AV682">
        <f>AND(IF(Metadata!J682="",FALSE,TRUE),OR(exact(Metadata!J682,"Host-associated"),exact(Metadata!J682,"Free-living")))</f>
        <v>0</v>
      </c>
      <c r="AW682">
        <f>AND(IF(Metadata!K682="",FALSE,TRUE),OR(exact(Metadata!K682,"Animal"),exact(Metadata!K682,"Fungus"),exact(Metadata!K682,"Plant"),exact(Metadata!K682,"Saline"),exact(Metadata!K682,"Non-saline")))</f>
        <v>0</v>
      </c>
      <c r="AX682">
        <f>AND(IF(Metadata!L682="",FALSE,TRUE),OR(exact(Metadata!L682,"Plant secretion"),exact(Metadata!L682,"Plant rhizosphere"),exact(Metadata!L682,"Plant surface"),exact(Metadata!L682,"Plant corpus"),exact(Metadata!L682,"Fungus surface"),exact(Metadata!L682,"Fungus corpus"),exact(Metadata!L682,"Animal surface"),exact(Metadata!L682,"Animal proximal gut"),exact(Metadata!L682,"Animal corpus"),exact(Metadata!L682,"Animal distal gut"),exact(Metadata!L682,"Animal secretion"),exact(Metadata!L682,"Sub-surface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Y682">
        <f>IF(Metadata!M682="",FALSE,TRUE)</f>
        <v>0</v>
      </c>
      <c r="AZ682">
        <f>IF(Metadata!N682="",FALSE,TRUE)</f>
        <v>0</v>
      </c>
      <c r="BA682">
        <f>IF(Metadata!O682="",FALSE,TRUE)</f>
        <v>0</v>
      </c>
      <c r="BB682">
        <f>OR(AND(IF(Metadata!P682="",FALSE,TRUE),OR(exact(Metadata!P682,"not collected"),exact(Metadata!P682,"not provided"),exact(Metadata!P682,"restricted access"))),AND(IF(Metadata!P682="",FALSE,TRUE),OR(exact(Metadata!P682,"air"),exact(Metadata!P682,"built environment"),exact(Metadata!P682,"host-associated"),exact(Metadata!P682,"human-associated"),exact(Metadata!P682,"human-skin"),exact(Metadata!P682,"human-oral"),exact(Metadata!P682,"human-gut"),exact(Metadata!P682,"human-vaginal"),exact(Metadata!P682,"microbial mat/biofilm"),exact(Metadata!P682,"misc environment"),exact(Metadata!P682,"plant-associated"),exact(Metadata!P682,"sediment"),exact(Metadata!P682,"soil"),exact(Metadata!P682,"wastewater/sludge"),exact(Metadata!P682,"water"))))</f>
        <v>0</v>
      </c>
      <c r="BC682">
        <f>IF(Metadata!Q682="",FALSE,TRUE)</f>
        <v>0</v>
      </c>
      <c r="BD682">
        <f>IF(Metadata!R682="",FALSE,TRUE)</f>
        <v>0</v>
      </c>
      <c r="BE682">
        <f>OR(AND(IF(Metadata!S682="",FALSE,TRUE),OR(exact(Metadata!S682,"not collected"),exact(Metadata!S682,"not provided"),exact(Metadata!S682,"restricted access"))),AND(IF(Metadata!S682="",FALSE,ISNUMBER(VALUE(Metadata!S682))),Metadata!S682&gt;=-90.00,Metadata!S682&lt;=90.00))</f>
        <v>0</v>
      </c>
      <c r="BF682">
        <f>AND(IF(Metadata!T682="",FALSE,TRUE),exact(Metadata!T682,"Decimal degrees"))</f>
        <v>0</v>
      </c>
      <c r="BG682">
        <f>OR(AND(IF(Metadata!U682="",FALSE,TRUE),OR(exact(Metadata!U682,"not collected"),exact(Metadata!U682,"not provided"),exact(Metadata!U682,"restricted access"))),AND(IF(Metadata!U682="",FALSE,ISNUMBER(VALUE(Metadata!U682))),Metadata!U682&gt;=-180.00,Metadata!U682&lt;=180.00))</f>
        <v>0</v>
      </c>
      <c r="BH682">
        <f>AND(IF(Metadata!V682="",FALSE,TRUE),exact(Metadata!V682,"Decimal degrees"))</f>
        <v>0</v>
      </c>
      <c r="BI682">
        <f>IF(Metadata!W682="",FALSE,TRUE)</f>
        <v>0</v>
      </c>
      <c r="BJ682">
        <f>OR(AND(IF(Metadata!X682="",FALSE,TRUE),OR(exact(Metadata!X682,"not collected"),exact(Metadata!X682,"not provided"),exact(Metadata!X682,"restricted access"))),AND(IF(Metadata!X682="",FALSE,TRUE),OR(exact(Metadata!X682,"TRUE"),exact(Metadata!X682,"FALSE"))))</f>
        <v>0</v>
      </c>
      <c r="BK682">
        <f>AND(IF(Metadata!Y682="",FALSE,TRUE),exact(Metadata!Y682,"other"))</f>
        <v>0</v>
      </c>
      <c r="BL682">
        <f>IF(Metadata!Z682="",FALSE,TRUE)</f>
        <v>0</v>
      </c>
      <c r="BM682">
        <f>OR(AND(IF(Metadata!AA682="",FALSE,TRUE),OR(exact(Metadata!AA682,"not collected"),exact(Metadata!AA682,"not provided"))),AND(IF(Metadata!AA682="",FALSE,IF(ISERROR(INT(Metadata!AA682)),FALSE,INT(Metadata!AA682)=Metadata!AA682)),Metadata!AA682&gt;0))</f>
        <v>0</v>
      </c>
      <c r="BN682">
        <f>AND(IF(Metadata!AB682="",FALSE,TRUE),exact(Metadata!AB682,"Not applicable"))</f>
        <v>0</v>
      </c>
      <c r="BO682">
        <f>IF(Metadata!AC682="",FALSE,TRUE)</f>
        <v>0</v>
      </c>
    </row>
    <row r="683" spans="1:67">
      <c r="A683" s="5">
        <f>IF(B683=" "," ",HYPERLINK(CONCATENATE("#metadata!",ADDRESS(INDEX($AI$2:$AI$1001,MATCH(ROWS($AG$2:AG683),$AG$2:$AG$1001,0),0),1)),INDEX($AL$2:$AL$1001,MATCH(ROWS($AG$2:AG683),$AG$2:$AG$1001,0),0)))</f>
        <v>0</v>
      </c>
      <c r="B683" s="4">
        <f>IF(OR(INDEX($AH$2:$AH$1001,MATCH(ROWS($AG$2:AG683),$AG$2:$AG$1001,0),1)&gt;=100000,INDEX($AN$1005:$BO$1005,1,MATCH(COLUMNS($AN$1006:AN1006),$AN$1006:$BO$1006,0))&gt;=100000), " ",IF(INDEX($AN$2:$BO$1001,MATCH(ROWS($AG$2:AG683),$AG$2:$AG$1001,0),MATCH(COLUMNS($AN$1006:AN1006),$AN$1006:$BO$1006,0)), HYPERLINK("#",""), HYPERLINK(CONCATENATE("#Metadata!", ADDRESS(INDEX($AI$2:$AI$1001,MATCH(ROWS($AG$2:AG683),$AG$2:$AG$1001,0),0), INDEX($AN$1004:$BO$1004,1,MATCH(COLUMNS($AN$1006:AN1006),$AN$1006:$BO$1006,0)))),"Fix")))</f>
        <v>0</v>
      </c>
      <c r="C683" s="4">
        <f>IF(OR(INDEX($AH$2:$AH$1001,MATCH(ROWS($AG$2:AG683),$AG$2:$AG$1001,0),1)&gt;=100000,INDEX($AN$1005:$BO$1005,1,MATCH(COLUMNS($AN$1006:AO1006),$AN$1006:$BO$1006,0))&gt;=100000), " ",IF(INDEX($AN$2:$BO$1001,MATCH(ROWS($AG$2:AG683),$AG$2:$AG$1001,0),MATCH(COLUMNS($AN$1006:AO1006),$AN$1006:$BO$1006,0)), HYPERLINK("#",""), HYPERLINK(CONCATENATE("#Metadata!", ADDRESS(INDEX($AI$2:$AI$1001,MATCH(ROWS($AG$2:AG683),$AG$2:$AG$1001,0),0), INDEX($AN$1004:$BO$1004,1,MATCH(COLUMNS($AN$1006:AO1006),$AN$1006:$BO$1006,0)))),"Fix")))</f>
        <v>0</v>
      </c>
      <c r="D683" s="4">
        <f>IF(OR(INDEX($AH$2:$AH$1001,MATCH(ROWS($AG$2:AG683),$AG$2:$AG$1001,0),1)&gt;=100000,INDEX($AN$1005:$BO$1005,1,MATCH(COLUMNS($AN$1006:AP1006),$AN$1006:$BO$1006,0))&gt;=100000), " ",IF(INDEX($AN$2:$BO$1001,MATCH(ROWS($AG$2:AG683),$AG$2:$AG$1001,0),MATCH(COLUMNS($AN$1006:AP1006),$AN$1006:$BO$1006,0)), HYPERLINK("#",""), HYPERLINK(CONCATENATE("#Metadata!", ADDRESS(INDEX($AI$2:$AI$1001,MATCH(ROWS($AG$2:AG683),$AG$2:$AG$1001,0),0), INDEX($AN$1004:$BO$1004,1,MATCH(COLUMNS($AN$1006:AP1006),$AN$1006:$BO$1006,0)))),"Fix")))</f>
        <v>0</v>
      </c>
      <c r="E683" s="4">
        <f>IF(OR(INDEX($AH$2:$AH$1001,MATCH(ROWS($AG$2:AG683),$AG$2:$AG$1001,0),1)&gt;=100000,INDEX($AN$1005:$BO$1005,1,MATCH(COLUMNS($AN$1006:AQ1006),$AN$1006:$BO$1006,0))&gt;=100000), " ",IF(INDEX($AN$2:$BO$1001,MATCH(ROWS($AG$2:AG683),$AG$2:$AG$1001,0),MATCH(COLUMNS($AN$1006:AQ1006),$AN$1006:$BO$1006,0)), HYPERLINK("#",""), HYPERLINK(CONCATENATE("#Metadata!", ADDRESS(INDEX($AI$2:$AI$1001,MATCH(ROWS($AG$2:AG683),$AG$2:$AG$1001,0),0), INDEX($AN$1004:$BO$1004,1,MATCH(COLUMNS($AN$1006:AQ1006),$AN$1006:$BO$1006,0)))),"Fix")))</f>
        <v>0</v>
      </c>
      <c r="F683" s="4">
        <f>IF(OR(INDEX($AH$2:$AH$1001,MATCH(ROWS($AG$2:AG683),$AG$2:$AG$1001,0),1)&gt;=100000,INDEX($AN$1005:$BO$1005,1,MATCH(COLUMNS($AN$1006:AR1006),$AN$1006:$BO$1006,0))&gt;=100000), " ",IF(INDEX($AN$2:$BO$1001,MATCH(ROWS($AG$2:AG683),$AG$2:$AG$1001,0),MATCH(COLUMNS($AN$1006:AR1006),$AN$1006:$BO$1006,0)), HYPERLINK("#",""), HYPERLINK(CONCATENATE("#Metadata!", ADDRESS(INDEX($AI$2:$AI$1001,MATCH(ROWS($AG$2:AG683),$AG$2:$AG$1001,0),0), INDEX($AN$1004:$BO$1004,1,MATCH(COLUMNS($AN$1006:AR1006),$AN$1006:$BO$1006,0)))),"Fix")))</f>
        <v>0</v>
      </c>
      <c r="G683" s="4">
        <f>IF(OR(INDEX($AH$2:$AH$1001,MATCH(ROWS($AG$2:AG683),$AG$2:$AG$1001,0),1)&gt;=100000,INDEX($AN$1005:$BO$1005,1,MATCH(COLUMNS($AN$1006:AS1006),$AN$1006:$BO$1006,0))&gt;=100000), " ",IF(INDEX($AN$2:$BO$1001,MATCH(ROWS($AG$2:AG683),$AG$2:$AG$1001,0),MATCH(COLUMNS($AN$1006:AS1006),$AN$1006:$BO$1006,0)), HYPERLINK("#",""), HYPERLINK(CONCATENATE("#Metadata!", ADDRESS(INDEX($AI$2:$AI$1001,MATCH(ROWS($AG$2:AG683),$AG$2:$AG$1001,0),0), INDEX($AN$1004:$BO$1004,1,MATCH(COLUMNS($AN$1006:AS1006),$AN$1006:$BO$1006,0)))),"Fix")))</f>
        <v>0</v>
      </c>
      <c r="H683" s="4">
        <f>IF(OR(INDEX($AH$2:$AH$1001,MATCH(ROWS($AG$2:AG683),$AG$2:$AG$1001,0),1)&gt;=100000,INDEX($AN$1005:$BO$1005,1,MATCH(COLUMNS($AN$1006:AT1006),$AN$1006:$BO$1006,0))&gt;=100000), " ",IF(INDEX($AN$2:$BO$1001,MATCH(ROWS($AG$2:AG683),$AG$2:$AG$1001,0),MATCH(COLUMNS($AN$1006:AT1006),$AN$1006:$BO$1006,0)), HYPERLINK("#",""), HYPERLINK(CONCATENATE("#Metadata!", ADDRESS(INDEX($AI$2:$AI$1001,MATCH(ROWS($AG$2:AG683),$AG$2:$AG$1001,0),0), INDEX($AN$1004:$BO$1004,1,MATCH(COLUMNS($AN$1006:AT1006),$AN$1006:$BO$1006,0)))),"Fix")))</f>
        <v>0</v>
      </c>
      <c r="I683" s="4">
        <f>IF(OR(INDEX($AH$2:$AH$1001,MATCH(ROWS($AG$2:AG683),$AG$2:$AG$1001,0),1)&gt;=100000,INDEX($AN$1005:$BO$1005,1,MATCH(COLUMNS($AN$1006:AU1006),$AN$1006:$BO$1006,0))&gt;=100000), " ",IF(INDEX($AN$2:$BO$1001,MATCH(ROWS($AG$2:AG683),$AG$2:$AG$1001,0),MATCH(COLUMNS($AN$1006:AU1006),$AN$1006:$BO$1006,0)), HYPERLINK("#",""), HYPERLINK(CONCATENATE("#Metadata!", ADDRESS(INDEX($AI$2:$AI$1001,MATCH(ROWS($AG$2:AG683),$AG$2:$AG$1001,0),0), INDEX($AN$1004:$BO$1004,1,MATCH(COLUMNS($AN$1006:AU1006),$AN$1006:$BO$1006,0)))),"Fix")))</f>
        <v>0</v>
      </c>
      <c r="J683" s="4">
        <f>IF(OR(INDEX($AH$2:$AH$1001,MATCH(ROWS($AG$2:AG683),$AG$2:$AG$1001,0),1)&gt;=100000,INDEX($AN$1005:$BO$1005,1,MATCH(COLUMNS($AN$1006:AV1006),$AN$1006:$BO$1006,0))&gt;=100000), " ",IF(INDEX($AN$2:$BO$1001,MATCH(ROWS($AG$2:AG683),$AG$2:$AG$1001,0),MATCH(COLUMNS($AN$1006:AV1006),$AN$1006:$BO$1006,0)), HYPERLINK("#",""), HYPERLINK(CONCATENATE("#Metadata!", ADDRESS(INDEX($AI$2:$AI$1001,MATCH(ROWS($AG$2:AG683),$AG$2:$AG$1001,0),0), INDEX($AN$1004:$BO$1004,1,MATCH(COLUMNS($AN$1006:AV1006),$AN$1006:$BO$1006,0)))),"Fix")))</f>
        <v>0</v>
      </c>
      <c r="K683" s="4">
        <f>IF(OR(INDEX($AH$2:$AH$1001,MATCH(ROWS($AG$2:AG683),$AG$2:$AG$1001,0),1)&gt;=100000,INDEX($AN$1005:$BO$1005,1,MATCH(COLUMNS($AN$1006:AW1006),$AN$1006:$BO$1006,0))&gt;=100000), " ",IF(INDEX($AN$2:$BO$1001,MATCH(ROWS($AG$2:AG683),$AG$2:$AG$1001,0),MATCH(COLUMNS($AN$1006:AW1006),$AN$1006:$BO$1006,0)), HYPERLINK("#",""), HYPERLINK(CONCATENATE("#Metadata!", ADDRESS(INDEX($AI$2:$AI$1001,MATCH(ROWS($AG$2:AG683),$AG$2:$AG$1001,0),0), INDEX($AN$1004:$BO$1004,1,MATCH(COLUMNS($AN$1006:AW1006),$AN$1006:$BO$1006,0)))),"Fix")))</f>
        <v>0</v>
      </c>
      <c r="L683" s="4">
        <f>IF(OR(INDEX($AH$2:$AH$1001,MATCH(ROWS($AG$2:AG683),$AG$2:$AG$1001,0),1)&gt;=100000,INDEX($AN$1005:$BO$1005,1,MATCH(COLUMNS($AN$1006:AX1006),$AN$1006:$BO$1006,0))&gt;=100000), " ",IF(INDEX($AN$2:$BO$1001,MATCH(ROWS($AG$2:AG683),$AG$2:$AG$1001,0),MATCH(COLUMNS($AN$1006:AX1006),$AN$1006:$BO$1006,0)), HYPERLINK("#",""), HYPERLINK(CONCATENATE("#Metadata!", ADDRESS(INDEX($AI$2:$AI$1001,MATCH(ROWS($AG$2:AG683),$AG$2:$AG$1001,0),0), INDEX($AN$1004:$BO$1004,1,MATCH(COLUMNS($AN$1006:AX1006),$AN$1006:$BO$1006,0)))),"Fix")))</f>
        <v>0</v>
      </c>
      <c r="M683" s="4">
        <f>IF(OR(INDEX($AH$2:$AH$1001,MATCH(ROWS($AG$2:AG683),$AG$2:$AG$1001,0),1)&gt;=100000,INDEX($AN$1005:$BO$1005,1,MATCH(COLUMNS($AN$1006:AY1006),$AN$1006:$BO$1006,0))&gt;=100000), " ",IF(INDEX($AN$2:$BO$1001,MATCH(ROWS($AG$2:AG683),$AG$2:$AG$1001,0),MATCH(COLUMNS($AN$1006:AY1006),$AN$1006:$BO$1006,0)), HYPERLINK("#",""), HYPERLINK(CONCATENATE("#Metadata!", ADDRESS(INDEX($AI$2:$AI$1001,MATCH(ROWS($AG$2:AG683),$AG$2:$AG$1001,0),0), INDEX($AN$1004:$BO$1004,1,MATCH(COLUMNS($AN$1006:AY1006),$AN$1006:$BO$1006,0)))),"Fix")))</f>
        <v>0</v>
      </c>
      <c r="N683" s="4">
        <f>IF(OR(INDEX($AH$2:$AH$1001,MATCH(ROWS($AG$2:AG683),$AG$2:$AG$1001,0),1)&gt;=100000,INDEX($AN$1005:$BO$1005,1,MATCH(COLUMNS($AN$1006:AZ1006),$AN$1006:$BO$1006,0))&gt;=100000), " ",IF(INDEX($AN$2:$BO$1001,MATCH(ROWS($AG$2:AG683),$AG$2:$AG$1001,0),MATCH(COLUMNS($AN$1006:AZ1006),$AN$1006:$BO$1006,0)), HYPERLINK("#",""), HYPERLINK(CONCATENATE("#Metadata!", ADDRESS(INDEX($AI$2:$AI$1001,MATCH(ROWS($AG$2:AG683),$AG$2:$AG$1001,0),0), INDEX($AN$1004:$BO$1004,1,MATCH(COLUMNS($AN$1006:AZ1006),$AN$1006:$BO$1006,0)))),"Fix")))</f>
        <v>0</v>
      </c>
      <c r="O683" s="4">
        <f>IF(OR(INDEX($AH$2:$AH$1001,MATCH(ROWS($AG$2:AG683),$AG$2:$AG$1001,0),1)&gt;=100000,INDEX($AN$1005:$BO$1005,1,MATCH(COLUMNS($AN$1006:BA1006),$AN$1006:$BO$1006,0))&gt;=100000), " ",IF(INDEX($AN$2:$BO$1001,MATCH(ROWS($AG$2:AG683),$AG$2:$AG$1001,0),MATCH(COLUMNS($AN$1006:BA1006),$AN$1006:$BO$1006,0)), HYPERLINK("#",""), HYPERLINK(CONCATENATE("#Metadata!", ADDRESS(INDEX($AI$2:$AI$1001,MATCH(ROWS($AG$2:AG683),$AG$2:$AG$1001,0),0), INDEX($AN$1004:$BO$1004,1,MATCH(COLUMNS($AN$1006:BA1006),$AN$1006:$BO$1006,0)))),"Fix")))</f>
        <v>0</v>
      </c>
      <c r="P683" s="4">
        <f>IF(OR(INDEX($AH$2:$AH$1001,MATCH(ROWS($AG$2:AG683),$AG$2:$AG$1001,0),1)&gt;=100000,INDEX($AN$1005:$BO$1005,1,MATCH(COLUMNS($AN$1006:BB1006),$AN$1006:$BO$1006,0))&gt;=100000), " ",IF(INDEX($AN$2:$BO$1001,MATCH(ROWS($AG$2:AG683),$AG$2:$AG$1001,0),MATCH(COLUMNS($AN$1006:BB1006),$AN$1006:$BO$1006,0)), HYPERLINK("#",""), HYPERLINK(CONCATENATE("#Metadata!", ADDRESS(INDEX($AI$2:$AI$1001,MATCH(ROWS($AG$2:AG683),$AG$2:$AG$1001,0),0), INDEX($AN$1004:$BO$1004,1,MATCH(COLUMNS($AN$1006:BB1006),$AN$1006:$BO$1006,0)))),"Fix")))</f>
        <v>0</v>
      </c>
      <c r="Q683" s="4">
        <f>IF(OR(INDEX($AH$2:$AH$1001,MATCH(ROWS($AG$2:AG683),$AG$2:$AG$1001,0),1)&gt;=100000,INDEX($AN$1005:$BO$1005,1,MATCH(COLUMNS($AN$1006:BC1006),$AN$1006:$BO$1006,0))&gt;=100000), " ",IF(INDEX($AN$2:$BO$1001,MATCH(ROWS($AG$2:AG683),$AG$2:$AG$1001,0),MATCH(COLUMNS($AN$1006:BC1006),$AN$1006:$BO$1006,0)), HYPERLINK("#",""), HYPERLINK(CONCATENATE("#Metadata!", ADDRESS(INDEX($AI$2:$AI$1001,MATCH(ROWS($AG$2:AG683),$AG$2:$AG$1001,0),0), INDEX($AN$1004:$BO$1004,1,MATCH(COLUMNS($AN$1006:BC1006),$AN$1006:$BO$1006,0)))),"Fix")))</f>
        <v>0</v>
      </c>
      <c r="R683" s="4">
        <f>IF(OR(INDEX($AH$2:$AH$1001,MATCH(ROWS($AG$2:AG683),$AG$2:$AG$1001,0),1)&gt;=100000,INDEX($AN$1005:$BO$1005,1,MATCH(COLUMNS($AN$1006:BD1006),$AN$1006:$BO$1006,0))&gt;=100000), " ",IF(INDEX($AN$2:$BO$1001,MATCH(ROWS($AG$2:AG683),$AG$2:$AG$1001,0),MATCH(COLUMNS($AN$1006:BD1006),$AN$1006:$BO$1006,0)), HYPERLINK("#",""), HYPERLINK(CONCATENATE("#Metadata!", ADDRESS(INDEX($AI$2:$AI$1001,MATCH(ROWS($AG$2:AG683),$AG$2:$AG$1001,0),0), INDEX($AN$1004:$BO$1004,1,MATCH(COLUMNS($AN$1006:BD1006),$AN$1006:$BO$1006,0)))),"Fix")))</f>
        <v>0</v>
      </c>
      <c r="S683" s="4">
        <f>IF(OR(INDEX($AH$2:$AH$1001,MATCH(ROWS($AG$2:AG683),$AG$2:$AG$1001,0),1)&gt;=100000,INDEX($AN$1005:$BO$1005,1,MATCH(COLUMNS($AN$1006:BE1006),$AN$1006:$BO$1006,0))&gt;=100000), " ",IF(INDEX($AN$2:$BO$1001,MATCH(ROWS($AG$2:AG683),$AG$2:$AG$1001,0),MATCH(COLUMNS($AN$1006:BE1006),$AN$1006:$BO$1006,0)), HYPERLINK("#",""), HYPERLINK(CONCATENATE("#Metadata!", ADDRESS(INDEX($AI$2:$AI$1001,MATCH(ROWS($AG$2:AG683),$AG$2:$AG$1001,0),0), INDEX($AN$1004:$BO$1004,1,MATCH(COLUMNS($AN$1006:BE1006),$AN$1006:$BO$1006,0)))),"Fix")))</f>
        <v>0</v>
      </c>
      <c r="T683" s="4">
        <f>IF(OR(INDEX($AH$2:$AH$1001,MATCH(ROWS($AG$2:AG683),$AG$2:$AG$1001,0),1)&gt;=100000,INDEX($AN$1005:$BO$1005,1,MATCH(COLUMNS($AN$1006:BF1006),$AN$1006:$BO$1006,0))&gt;=100000), " ",IF(INDEX($AN$2:$BO$1001,MATCH(ROWS($AG$2:AG683),$AG$2:$AG$1001,0),MATCH(COLUMNS($AN$1006:BF1006),$AN$1006:$BO$1006,0)), HYPERLINK("#",""), HYPERLINK(CONCATENATE("#Metadata!", ADDRESS(INDEX($AI$2:$AI$1001,MATCH(ROWS($AG$2:AG683),$AG$2:$AG$1001,0),0), INDEX($AN$1004:$BO$1004,1,MATCH(COLUMNS($AN$1006:BF1006),$AN$1006:$BO$1006,0)))),"Fix")))</f>
        <v>0</v>
      </c>
      <c r="U683" s="4">
        <f>IF(OR(INDEX($AH$2:$AH$1001,MATCH(ROWS($AG$2:AG683),$AG$2:$AG$1001,0),1)&gt;=100000,INDEX($AN$1005:$BO$1005,1,MATCH(COLUMNS($AN$1006:BG1006),$AN$1006:$BO$1006,0))&gt;=100000), " ",IF(INDEX($AN$2:$BO$1001,MATCH(ROWS($AG$2:AG683),$AG$2:$AG$1001,0),MATCH(COLUMNS($AN$1006:BG1006),$AN$1006:$BO$1006,0)), HYPERLINK("#",""), HYPERLINK(CONCATENATE("#Metadata!", ADDRESS(INDEX($AI$2:$AI$1001,MATCH(ROWS($AG$2:AG683),$AG$2:$AG$1001,0),0), INDEX($AN$1004:$BO$1004,1,MATCH(COLUMNS($AN$1006:BG1006),$AN$1006:$BO$1006,0)))),"Fix")))</f>
        <v>0</v>
      </c>
      <c r="V683" s="4">
        <f>IF(OR(INDEX($AH$2:$AH$1001,MATCH(ROWS($AG$2:AG683),$AG$2:$AG$1001,0),1)&gt;=100000,INDEX($AN$1005:$BO$1005,1,MATCH(COLUMNS($AN$1006:BH1006),$AN$1006:$BO$1006,0))&gt;=100000), " ",IF(INDEX($AN$2:$BO$1001,MATCH(ROWS($AG$2:AG683),$AG$2:$AG$1001,0),MATCH(COLUMNS($AN$1006:BH1006),$AN$1006:$BO$1006,0)), HYPERLINK("#",""), HYPERLINK(CONCATENATE("#Metadata!", ADDRESS(INDEX($AI$2:$AI$1001,MATCH(ROWS($AG$2:AG683),$AG$2:$AG$1001,0),0), INDEX($AN$1004:$BO$1004,1,MATCH(COLUMNS($AN$1006:BH1006),$AN$1006:$BO$1006,0)))),"Fix")))</f>
        <v>0</v>
      </c>
      <c r="W683" s="4">
        <f>IF(OR(INDEX($AH$2:$AH$1001,MATCH(ROWS($AG$2:AG683),$AG$2:$AG$1001,0),1)&gt;=100000,INDEX($AN$1005:$BO$1005,1,MATCH(COLUMNS($AN$1006:BI1006),$AN$1006:$BO$1006,0))&gt;=100000), " ",IF(INDEX($AN$2:$BO$1001,MATCH(ROWS($AG$2:AG683),$AG$2:$AG$1001,0),MATCH(COLUMNS($AN$1006:BI1006),$AN$1006:$BO$1006,0)), HYPERLINK("#",""), HYPERLINK(CONCATENATE("#Metadata!", ADDRESS(INDEX($AI$2:$AI$1001,MATCH(ROWS($AG$2:AG683),$AG$2:$AG$1001,0),0), INDEX($AN$1004:$BO$1004,1,MATCH(COLUMNS($AN$1006:BI1006),$AN$1006:$BO$1006,0)))),"Fix")))</f>
        <v>0</v>
      </c>
      <c r="X683" s="4">
        <f>IF(OR(INDEX($AH$2:$AH$1001,MATCH(ROWS($AG$2:AG683),$AG$2:$AG$1001,0),1)&gt;=100000,INDEX($AN$1005:$BO$1005,1,MATCH(COLUMNS($AN$1006:BJ1006),$AN$1006:$BO$1006,0))&gt;=100000), " ",IF(INDEX($AN$2:$BO$1001,MATCH(ROWS($AG$2:AG683),$AG$2:$AG$1001,0),MATCH(COLUMNS($AN$1006:BJ1006),$AN$1006:$BO$1006,0)), HYPERLINK("#",""), HYPERLINK(CONCATENATE("#Metadata!", ADDRESS(INDEX($AI$2:$AI$1001,MATCH(ROWS($AG$2:AG683),$AG$2:$AG$1001,0),0), INDEX($AN$1004:$BO$1004,1,MATCH(COLUMNS($AN$1006:BJ1006),$AN$1006:$BO$1006,0)))),"Fix")))</f>
        <v>0</v>
      </c>
      <c r="Y683" s="4">
        <f>IF(OR(INDEX($AH$2:$AH$1001,MATCH(ROWS($AG$2:AG683),$AG$2:$AG$1001,0),1)&gt;=100000,INDEX($AN$1005:$BO$1005,1,MATCH(COLUMNS($AN$1006:BK1006),$AN$1006:$BO$1006,0))&gt;=100000), " ",IF(INDEX($AN$2:$BO$1001,MATCH(ROWS($AG$2:AG683),$AG$2:$AG$1001,0),MATCH(COLUMNS($AN$1006:BK1006),$AN$1006:$BO$1006,0)), HYPERLINK("#",""), HYPERLINK(CONCATENATE("#Metadata!", ADDRESS(INDEX($AI$2:$AI$1001,MATCH(ROWS($AG$2:AG683),$AG$2:$AG$1001,0),0), INDEX($AN$1004:$BO$1004,1,MATCH(COLUMNS($AN$1006:BK1006),$AN$1006:$BO$1006,0)))),"Fix")))</f>
        <v>0</v>
      </c>
      <c r="Z683" s="4">
        <f>IF(OR(INDEX($AH$2:$AH$1001,MATCH(ROWS($AG$2:AG683),$AG$2:$AG$1001,0),1)&gt;=100000,INDEX($AN$1005:$BO$1005,1,MATCH(COLUMNS($AN$1006:BL1006),$AN$1006:$BO$1006,0))&gt;=100000), " ",IF(INDEX($AN$2:$BO$1001,MATCH(ROWS($AG$2:AG683),$AG$2:$AG$1001,0),MATCH(COLUMNS($AN$1006:BL1006),$AN$1006:$BO$1006,0)), HYPERLINK("#",""), HYPERLINK(CONCATENATE("#Metadata!", ADDRESS(INDEX($AI$2:$AI$1001,MATCH(ROWS($AG$2:AG683),$AG$2:$AG$1001,0),0), INDEX($AN$1004:$BO$1004,1,MATCH(COLUMNS($AN$1006:BL1006),$AN$1006:$BO$1006,0)))),"Fix")))</f>
        <v>0</v>
      </c>
      <c r="AA683" s="4">
        <f>IF(OR(INDEX($AH$2:$AH$1001,MATCH(ROWS($AG$2:AG683),$AG$2:$AG$1001,0),1)&gt;=100000,INDEX($AN$1005:$BO$1005,1,MATCH(COLUMNS($AN$1006:BM1006),$AN$1006:$BO$1006,0))&gt;=100000), " ",IF(INDEX($AN$2:$BO$1001,MATCH(ROWS($AG$2:AG683),$AG$2:$AG$1001,0),MATCH(COLUMNS($AN$1006:BM1006),$AN$1006:$BO$1006,0)), HYPERLINK("#",""), HYPERLINK(CONCATENATE("#Metadata!", ADDRESS(INDEX($AI$2:$AI$1001,MATCH(ROWS($AG$2:AG683),$AG$2:$AG$1001,0),0), INDEX($AN$1004:$BO$1004,1,MATCH(COLUMNS($AN$1006:BM1006),$AN$1006:$BO$1006,0)))),"Fix")))</f>
        <v>0</v>
      </c>
      <c r="AB683" s="4">
        <f>IF(OR(INDEX($AH$2:$AH$1001,MATCH(ROWS($AG$2:AG683),$AG$2:$AG$1001,0),1)&gt;=100000,INDEX($AN$1005:$BO$1005,1,MATCH(COLUMNS($AN$1006:BN1006),$AN$1006:$BO$1006,0))&gt;=100000), " ",IF(INDEX($AN$2:$BO$1001,MATCH(ROWS($AG$2:AG683),$AG$2:$AG$1001,0),MATCH(COLUMNS($AN$1006:BN1006),$AN$1006:$BO$1006,0)), HYPERLINK("#",""), HYPERLINK(CONCATENATE("#Metadata!", ADDRESS(INDEX($AI$2:$AI$1001,MATCH(ROWS($AG$2:AG683),$AG$2:$AG$1001,0),0), INDEX($AN$1004:$BO$1004,1,MATCH(COLUMNS($AN$1006:BN1006),$AN$1006:$BO$1006,0)))),"Fix")))</f>
        <v>0</v>
      </c>
      <c r="AC683" s="4">
        <f>IF(OR(INDEX($AH$2:$AH$1001,MATCH(ROWS($AG$2:AG683),$AG$2:$AG$1001,0),1)&gt;=100000,INDEX($AN$1005:$BO$1005,1,MATCH(COLUMNS($AN$1006:BO1006),$AN$1006:$BO$1006,0))&gt;=100000), " ",IF(INDEX($AN$2:$BO$1001,MATCH(ROWS($AG$2:AG683),$AG$2:$AG$1001,0),MATCH(COLUMNS($AN$1006:BO1006),$AN$1006:$BO$1006,0)), HYPERLINK("#",""), HYPERLINK(CONCATENATE("#Metadata!", ADDRESS(INDEX($AI$2:$AI$1001,MATCH(ROWS($AG$2:AG683),$AG$2:$AG$1001,0),0), INDEX($AN$1004:$BO$1004,1,MATCH(COLUMNS($AN$1006:BO1006),$AN$1006:$BO$1006,0)))),"Fix")))</f>
        <v>0</v>
      </c>
      <c r="AG683">
        <v>0</v>
      </c>
      <c r="AH683">
        <v>0</v>
      </c>
      <c r="AI683">
        <v>0</v>
      </c>
      <c r="AJ683">
        <f>IF(AK683,TRUE,AND(AN683:BO683))</f>
        <v>0</v>
      </c>
      <c r="AK683">
        <f>COUNTBLANK(Metadata!B683:AC683)=COLUMNS(Metadata!B683:AC683)</f>
        <v>0</v>
      </c>
      <c r="AL683">
        <v>0</v>
      </c>
      <c r="AN683">
        <f>AND(IF(Metadata!B683="",FALSE,TRUE),COUNTIF(Metadata!B:B, Metadata!B683) = 1,NOT(ISERROR(SUMPRODUCT(SEARCH(MID(Metadata!B683,ROW(INDIRECT("1:"&amp;LEN(Metadata!B683))), 1),"0123456789abcdefghijklmnopqrstuvwxyzABCDEFGHIJKLMNOPQRSTUVWXYZ.")))))</f>
        <v>0</v>
      </c>
      <c r="AO683">
        <f>IF(Metadata!C683="",FALSE,TRUE)</f>
        <v>0</v>
      </c>
      <c r="AP683">
        <f>IF(Metadata!D683="",FALSE,TRUE)</f>
        <v>0</v>
      </c>
      <c r="AQ683">
        <f>OR(AND(IF(Metadata!E683="",FALSE,TRUE),OR(exact(Metadata!E683,"not collected"),exact(Metadata!E683,"not provided"),exact(Metadata!E683,"restricted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R683">
        <f>IF(Metadata!F683="",FALSE,TRUE)</f>
        <v>0</v>
      </c>
      <c r="AS683">
        <f>OR(AND(IF(Metadata!G683="",FALSE,TRUE),OR(exact(Metadata!G683,"not collected"),exact(Metadata!G683,"not provided"))),AND(IF(Metadata!G683="",FALSE,TRUE),OR(exact(Metadata!G683,"TRUE"),exact(Metadata!G683,"FALSE"))))</f>
        <v>0</v>
      </c>
      <c r="AT683">
        <f>OR(AND(IF(Metadata!H683="",FALSE,TRUE),OR(exact(Metadata!H683,"not collected"),exact(Metadata!H683,"not provided"),exact(Metadata!H683,"restricted access"))),AND(IF(Metadata!H683="",FALSE,ISNUMBER(VALUE(Metadata!H683))),Metadata!H683&gt;=-413.0))</f>
        <v>0</v>
      </c>
      <c r="AU683">
        <f>AND(IF(Metadata!I683="",FALSE,TRUE),exact(Metadata!I683,"meters"))</f>
        <v>0</v>
      </c>
      <c r="AV683">
        <f>AND(IF(Metadata!J683="",FALSE,TRUE),OR(exact(Metadata!J683,"Host-associated"),exact(Metadata!J683,"Free-living")))</f>
        <v>0</v>
      </c>
      <c r="AW683">
        <f>AND(IF(Metadata!K683="",FALSE,TRUE),OR(exact(Metadata!K683,"Animal"),exact(Metadata!K683,"Fungus"),exact(Metadata!K683,"Plant"),exact(Metadata!K683,"Saline"),exact(Metadata!K683,"Non-saline")))</f>
        <v>0</v>
      </c>
      <c r="AX683">
        <f>AND(IF(Metadata!L683="",FALSE,TRUE),OR(exact(Metadata!L683,"Plant secretion"),exact(Metadata!L683,"Plant rhizosphere"),exact(Metadata!L683,"Plant surface"),exact(Metadata!L683,"Plant corpus"),exact(Metadata!L683,"Fungus surface"),exact(Metadata!L683,"Fungus corpus"),exact(Metadata!L683,"Animal surface"),exact(Metadata!L683,"Animal proximal gut"),exact(Metadata!L683,"Animal corpus"),exact(Metadata!L683,"Animal distal gut"),exact(Metadata!L683,"Animal secretion"),exact(Metadata!L683,"Sub-surface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Y683">
        <f>IF(Metadata!M683="",FALSE,TRUE)</f>
        <v>0</v>
      </c>
      <c r="AZ683">
        <f>IF(Metadata!N683="",FALSE,TRUE)</f>
        <v>0</v>
      </c>
      <c r="BA683">
        <f>IF(Metadata!O683="",FALSE,TRUE)</f>
        <v>0</v>
      </c>
      <c r="BB683">
        <f>OR(AND(IF(Metadata!P683="",FALSE,TRUE),OR(exact(Metadata!P683,"not collected"),exact(Metadata!P683,"not provided"),exact(Metadata!P683,"restricted access"))),AND(IF(Metadata!P683="",FALSE,TRUE),OR(exact(Metadata!P683,"air"),exact(Metadata!P683,"built environment"),exact(Metadata!P683,"host-associated"),exact(Metadata!P683,"human-associated"),exact(Metadata!P683,"human-skin"),exact(Metadata!P683,"human-oral"),exact(Metadata!P683,"human-gut"),exact(Metadata!P683,"human-vaginal"),exact(Metadata!P683,"microbial mat/biofilm"),exact(Metadata!P683,"misc environment"),exact(Metadata!P683,"plant-associated"),exact(Metadata!P683,"sediment"),exact(Metadata!P683,"soil"),exact(Metadata!P683,"wastewater/sludge"),exact(Metadata!P683,"water"))))</f>
        <v>0</v>
      </c>
      <c r="BC683">
        <f>IF(Metadata!Q683="",FALSE,TRUE)</f>
        <v>0</v>
      </c>
      <c r="BD683">
        <f>IF(Metadata!R683="",FALSE,TRUE)</f>
        <v>0</v>
      </c>
      <c r="BE683">
        <f>OR(AND(IF(Metadata!S683="",FALSE,TRUE),OR(exact(Metadata!S683,"not collected"),exact(Metadata!S683,"not provided"),exact(Metadata!S683,"restricted access"))),AND(IF(Metadata!S683="",FALSE,ISNUMBER(VALUE(Metadata!S683))),Metadata!S683&gt;=-90.00,Metadata!S683&lt;=90.00))</f>
        <v>0</v>
      </c>
      <c r="BF683">
        <f>AND(IF(Metadata!T683="",FALSE,TRUE),exact(Metadata!T683,"Decimal degrees"))</f>
        <v>0</v>
      </c>
      <c r="BG683">
        <f>OR(AND(IF(Metadata!U683="",FALSE,TRUE),OR(exact(Metadata!U683,"not collected"),exact(Metadata!U683,"not provided"),exact(Metadata!U683,"restricted access"))),AND(IF(Metadata!U683="",FALSE,ISNUMBER(VALUE(Metadata!U683))),Metadata!U683&gt;=-180.00,Metadata!U683&lt;=180.00))</f>
        <v>0</v>
      </c>
      <c r="BH683">
        <f>AND(IF(Metadata!V683="",FALSE,TRUE),exact(Metadata!V683,"Decimal degrees"))</f>
        <v>0</v>
      </c>
      <c r="BI683">
        <f>IF(Metadata!W683="",FALSE,TRUE)</f>
        <v>0</v>
      </c>
      <c r="BJ683">
        <f>OR(AND(IF(Metadata!X683="",FALSE,TRUE),OR(exact(Metadata!X683,"not collected"),exact(Metadata!X683,"not provided"),exact(Metadata!X683,"restricted access"))),AND(IF(Metadata!X683="",FALSE,TRUE),OR(exact(Metadata!X683,"TRUE"),exact(Metadata!X683,"FALSE"))))</f>
        <v>0</v>
      </c>
      <c r="BK683">
        <f>AND(IF(Metadata!Y683="",FALSE,TRUE),exact(Metadata!Y683,"other"))</f>
        <v>0</v>
      </c>
      <c r="BL683">
        <f>IF(Metadata!Z683="",FALSE,TRUE)</f>
        <v>0</v>
      </c>
      <c r="BM683">
        <f>OR(AND(IF(Metadata!AA683="",FALSE,TRUE),OR(exact(Metadata!AA683,"not collected"),exact(Metadata!AA683,"not provided"))),AND(IF(Metadata!AA683="",FALSE,IF(ISERROR(INT(Metadata!AA683)),FALSE,INT(Metadata!AA683)=Metadata!AA683)),Metadata!AA683&gt;0))</f>
        <v>0</v>
      </c>
      <c r="BN683">
        <f>AND(IF(Metadata!AB683="",FALSE,TRUE),exact(Metadata!AB683,"Not applicable"))</f>
        <v>0</v>
      </c>
      <c r="BO683">
        <f>IF(Metadata!AC683="",FALSE,TRUE)</f>
        <v>0</v>
      </c>
    </row>
    <row r="684" spans="1:67">
      <c r="A684" s="5">
        <f>IF(B684=" "," ",HYPERLINK(CONCATENATE("#metadata!",ADDRESS(INDEX($AI$2:$AI$1001,MATCH(ROWS($AG$2:AG684),$AG$2:$AG$1001,0),0),1)),INDEX($AL$2:$AL$1001,MATCH(ROWS($AG$2:AG684),$AG$2:$AG$1001,0),0)))</f>
        <v>0</v>
      </c>
      <c r="B684" s="4">
        <f>IF(OR(INDEX($AH$2:$AH$1001,MATCH(ROWS($AG$2:AG684),$AG$2:$AG$1001,0),1)&gt;=100000,INDEX($AN$1005:$BO$1005,1,MATCH(COLUMNS($AN$1006:AN1006),$AN$1006:$BO$1006,0))&gt;=100000), " ",IF(INDEX($AN$2:$BO$1001,MATCH(ROWS($AG$2:AG684),$AG$2:$AG$1001,0),MATCH(COLUMNS($AN$1006:AN1006),$AN$1006:$BO$1006,0)), HYPERLINK("#",""), HYPERLINK(CONCATENATE("#Metadata!", ADDRESS(INDEX($AI$2:$AI$1001,MATCH(ROWS($AG$2:AG684),$AG$2:$AG$1001,0),0), INDEX($AN$1004:$BO$1004,1,MATCH(COLUMNS($AN$1006:AN1006),$AN$1006:$BO$1006,0)))),"Fix")))</f>
        <v>0</v>
      </c>
      <c r="C684" s="4">
        <f>IF(OR(INDEX($AH$2:$AH$1001,MATCH(ROWS($AG$2:AG684),$AG$2:$AG$1001,0),1)&gt;=100000,INDEX($AN$1005:$BO$1005,1,MATCH(COLUMNS($AN$1006:AO1006),$AN$1006:$BO$1006,0))&gt;=100000), " ",IF(INDEX($AN$2:$BO$1001,MATCH(ROWS($AG$2:AG684),$AG$2:$AG$1001,0),MATCH(COLUMNS($AN$1006:AO1006),$AN$1006:$BO$1006,0)), HYPERLINK("#",""), HYPERLINK(CONCATENATE("#Metadata!", ADDRESS(INDEX($AI$2:$AI$1001,MATCH(ROWS($AG$2:AG684),$AG$2:$AG$1001,0),0), INDEX($AN$1004:$BO$1004,1,MATCH(COLUMNS($AN$1006:AO1006),$AN$1006:$BO$1006,0)))),"Fix")))</f>
        <v>0</v>
      </c>
      <c r="D684" s="4">
        <f>IF(OR(INDEX($AH$2:$AH$1001,MATCH(ROWS($AG$2:AG684),$AG$2:$AG$1001,0),1)&gt;=100000,INDEX($AN$1005:$BO$1005,1,MATCH(COLUMNS($AN$1006:AP1006),$AN$1006:$BO$1006,0))&gt;=100000), " ",IF(INDEX($AN$2:$BO$1001,MATCH(ROWS($AG$2:AG684),$AG$2:$AG$1001,0),MATCH(COLUMNS($AN$1006:AP1006),$AN$1006:$BO$1006,0)), HYPERLINK("#",""), HYPERLINK(CONCATENATE("#Metadata!", ADDRESS(INDEX($AI$2:$AI$1001,MATCH(ROWS($AG$2:AG684),$AG$2:$AG$1001,0),0), INDEX($AN$1004:$BO$1004,1,MATCH(COLUMNS($AN$1006:AP1006),$AN$1006:$BO$1006,0)))),"Fix")))</f>
        <v>0</v>
      </c>
      <c r="E684" s="4">
        <f>IF(OR(INDEX($AH$2:$AH$1001,MATCH(ROWS($AG$2:AG684),$AG$2:$AG$1001,0),1)&gt;=100000,INDEX($AN$1005:$BO$1005,1,MATCH(COLUMNS($AN$1006:AQ1006),$AN$1006:$BO$1006,0))&gt;=100000), " ",IF(INDEX($AN$2:$BO$1001,MATCH(ROWS($AG$2:AG684),$AG$2:$AG$1001,0),MATCH(COLUMNS($AN$1006:AQ1006),$AN$1006:$BO$1006,0)), HYPERLINK("#",""), HYPERLINK(CONCATENATE("#Metadata!", ADDRESS(INDEX($AI$2:$AI$1001,MATCH(ROWS($AG$2:AG684),$AG$2:$AG$1001,0),0), INDEX($AN$1004:$BO$1004,1,MATCH(COLUMNS($AN$1006:AQ1006),$AN$1006:$BO$1006,0)))),"Fix")))</f>
        <v>0</v>
      </c>
      <c r="F684" s="4">
        <f>IF(OR(INDEX($AH$2:$AH$1001,MATCH(ROWS($AG$2:AG684),$AG$2:$AG$1001,0),1)&gt;=100000,INDEX($AN$1005:$BO$1005,1,MATCH(COLUMNS($AN$1006:AR1006),$AN$1006:$BO$1006,0))&gt;=100000), " ",IF(INDEX($AN$2:$BO$1001,MATCH(ROWS($AG$2:AG684),$AG$2:$AG$1001,0),MATCH(COLUMNS($AN$1006:AR1006),$AN$1006:$BO$1006,0)), HYPERLINK("#",""), HYPERLINK(CONCATENATE("#Metadata!", ADDRESS(INDEX($AI$2:$AI$1001,MATCH(ROWS($AG$2:AG684),$AG$2:$AG$1001,0),0), INDEX($AN$1004:$BO$1004,1,MATCH(COLUMNS($AN$1006:AR1006),$AN$1006:$BO$1006,0)))),"Fix")))</f>
        <v>0</v>
      </c>
      <c r="G684" s="4">
        <f>IF(OR(INDEX($AH$2:$AH$1001,MATCH(ROWS($AG$2:AG684),$AG$2:$AG$1001,0),1)&gt;=100000,INDEX($AN$1005:$BO$1005,1,MATCH(COLUMNS($AN$1006:AS1006),$AN$1006:$BO$1006,0))&gt;=100000), " ",IF(INDEX($AN$2:$BO$1001,MATCH(ROWS($AG$2:AG684),$AG$2:$AG$1001,0),MATCH(COLUMNS($AN$1006:AS1006),$AN$1006:$BO$1006,0)), HYPERLINK("#",""), HYPERLINK(CONCATENATE("#Metadata!", ADDRESS(INDEX($AI$2:$AI$1001,MATCH(ROWS($AG$2:AG684),$AG$2:$AG$1001,0),0), INDEX($AN$1004:$BO$1004,1,MATCH(COLUMNS($AN$1006:AS1006),$AN$1006:$BO$1006,0)))),"Fix")))</f>
        <v>0</v>
      </c>
      <c r="H684" s="4">
        <f>IF(OR(INDEX($AH$2:$AH$1001,MATCH(ROWS($AG$2:AG684),$AG$2:$AG$1001,0),1)&gt;=100000,INDEX($AN$1005:$BO$1005,1,MATCH(COLUMNS($AN$1006:AT1006),$AN$1006:$BO$1006,0))&gt;=100000), " ",IF(INDEX($AN$2:$BO$1001,MATCH(ROWS($AG$2:AG684),$AG$2:$AG$1001,0),MATCH(COLUMNS($AN$1006:AT1006),$AN$1006:$BO$1006,0)), HYPERLINK("#",""), HYPERLINK(CONCATENATE("#Metadata!", ADDRESS(INDEX($AI$2:$AI$1001,MATCH(ROWS($AG$2:AG684),$AG$2:$AG$1001,0),0), INDEX($AN$1004:$BO$1004,1,MATCH(COLUMNS($AN$1006:AT1006),$AN$1006:$BO$1006,0)))),"Fix")))</f>
        <v>0</v>
      </c>
      <c r="I684" s="4">
        <f>IF(OR(INDEX($AH$2:$AH$1001,MATCH(ROWS($AG$2:AG684),$AG$2:$AG$1001,0),1)&gt;=100000,INDEX($AN$1005:$BO$1005,1,MATCH(COLUMNS($AN$1006:AU1006),$AN$1006:$BO$1006,0))&gt;=100000), " ",IF(INDEX($AN$2:$BO$1001,MATCH(ROWS($AG$2:AG684),$AG$2:$AG$1001,0),MATCH(COLUMNS($AN$1006:AU1006),$AN$1006:$BO$1006,0)), HYPERLINK("#",""), HYPERLINK(CONCATENATE("#Metadata!", ADDRESS(INDEX($AI$2:$AI$1001,MATCH(ROWS($AG$2:AG684),$AG$2:$AG$1001,0),0), INDEX($AN$1004:$BO$1004,1,MATCH(COLUMNS($AN$1006:AU1006),$AN$1006:$BO$1006,0)))),"Fix")))</f>
        <v>0</v>
      </c>
      <c r="J684" s="4">
        <f>IF(OR(INDEX($AH$2:$AH$1001,MATCH(ROWS($AG$2:AG684),$AG$2:$AG$1001,0),1)&gt;=100000,INDEX($AN$1005:$BO$1005,1,MATCH(COLUMNS($AN$1006:AV1006),$AN$1006:$BO$1006,0))&gt;=100000), " ",IF(INDEX($AN$2:$BO$1001,MATCH(ROWS($AG$2:AG684),$AG$2:$AG$1001,0),MATCH(COLUMNS($AN$1006:AV1006),$AN$1006:$BO$1006,0)), HYPERLINK("#",""), HYPERLINK(CONCATENATE("#Metadata!", ADDRESS(INDEX($AI$2:$AI$1001,MATCH(ROWS($AG$2:AG684),$AG$2:$AG$1001,0),0), INDEX($AN$1004:$BO$1004,1,MATCH(COLUMNS($AN$1006:AV1006),$AN$1006:$BO$1006,0)))),"Fix")))</f>
        <v>0</v>
      </c>
      <c r="K684" s="4">
        <f>IF(OR(INDEX($AH$2:$AH$1001,MATCH(ROWS($AG$2:AG684),$AG$2:$AG$1001,0),1)&gt;=100000,INDEX($AN$1005:$BO$1005,1,MATCH(COLUMNS($AN$1006:AW1006),$AN$1006:$BO$1006,0))&gt;=100000), " ",IF(INDEX($AN$2:$BO$1001,MATCH(ROWS($AG$2:AG684),$AG$2:$AG$1001,0),MATCH(COLUMNS($AN$1006:AW1006),$AN$1006:$BO$1006,0)), HYPERLINK("#",""), HYPERLINK(CONCATENATE("#Metadata!", ADDRESS(INDEX($AI$2:$AI$1001,MATCH(ROWS($AG$2:AG684),$AG$2:$AG$1001,0),0), INDEX($AN$1004:$BO$1004,1,MATCH(COLUMNS($AN$1006:AW1006),$AN$1006:$BO$1006,0)))),"Fix")))</f>
        <v>0</v>
      </c>
      <c r="L684" s="4">
        <f>IF(OR(INDEX($AH$2:$AH$1001,MATCH(ROWS($AG$2:AG684),$AG$2:$AG$1001,0),1)&gt;=100000,INDEX($AN$1005:$BO$1005,1,MATCH(COLUMNS($AN$1006:AX1006),$AN$1006:$BO$1006,0))&gt;=100000), " ",IF(INDEX($AN$2:$BO$1001,MATCH(ROWS($AG$2:AG684),$AG$2:$AG$1001,0),MATCH(COLUMNS($AN$1006:AX1006),$AN$1006:$BO$1006,0)), HYPERLINK("#",""), HYPERLINK(CONCATENATE("#Metadata!", ADDRESS(INDEX($AI$2:$AI$1001,MATCH(ROWS($AG$2:AG684),$AG$2:$AG$1001,0),0), INDEX($AN$1004:$BO$1004,1,MATCH(COLUMNS($AN$1006:AX1006),$AN$1006:$BO$1006,0)))),"Fix")))</f>
        <v>0</v>
      </c>
      <c r="M684" s="4">
        <f>IF(OR(INDEX($AH$2:$AH$1001,MATCH(ROWS($AG$2:AG684),$AG$2:$AG$1001,0),1)&gt;=100000,INDEX($AN$1005:$BO$1005,1,MATCH(COLUMNS($AN$1006:AY1006),$AN$1006:$BO$1006,0))&gt;=100000), " ",IF(INDEX($AN$2:$BO$1001,MATCH(ROWS($AG$2:AG684),$AG$2:$AG$1001,0),MATCH(COLUMNS($AN$1006:AY1006),$AN$1006:$BO$1006,0)), HYPERLINK("#",""), HYPERLINK(CONCATENATE("#Metadata!", ADDRESS(INDEX($AI$2:$AI$1001,MATCH(ROWS($AG$2:AG684),$AG$2:$AG$1001,0),0), INDEX($AN$1004:$BO$1004,1,MATCH(COLUMNS($AN$1006:AY1006),$AN$1006:$BO$1006,0)))),"Fix")))</f>
        <v>0</v>
      </c>
      <c r="N684" s="4">
        <f>IF(OR(INDEX($AH$2:$AH$1001,MATCH(ROWS($AG$2:AG684),$AG$2:$AG$1001,0),1)&gt;=100000,INDEX($AN$1005:$BO$1005,1,MATCH(COLUMNS($AN$1006:AZ1006),$AN$1006:$BO$1006,0))&gt;=100000), " ",IF(INDEX($AN$2:$BO$1001,MATCH(ROWS($AG$2:AG684),$AG$2:$AG$1001,0),MATCH(COLUMNS($AN$1006:AZ1006),$AN$1006:$BO$1006,0)), HYPERLINK("#",""), HYPERLINK(CONCATENATE("#Metadata!", ADDRESS(INDEX($AI$2:$AI$1001,MATCH(ROWS($AG$2:AG684),$AG$2:$AG$1001,0),0), INDEX($AN$1004:$BO$1004,1,MATCH(COLUMNS($AN$1006:AZ1006),$AN$1006:$BO$1006,0)))),"Fix")))</f>
        <v>0</v>
      </c>
      <c r="O684" s="4">
        <f>IF(OR(INDEX($AH$2:$AH$1001,MATCH(ROWS($AG$2:AG684),$AG$2:$AG$1001,0),1)&gt;=100000,INDEX($AN$1005:$BO$1005,1,MATCH(COLUMNS($AN$1006:BA1006),$AN$1006:$BO$1006,0))&gt;=100000), " ",IF(INDEX($AN$2:$BO$1001,MATCH(ROWS($AG$2:AG684),$AG$2:$AG$1001,0),MATCH(COLUMNS($AN$1006:BA1006),$AN$1006:$BO$1006,0)), HYPERLINK("#",""), HYPERLINK(CONCATENATE("#Metadata!", ADDRESS(INDEX($AI$2:$AI$1001,MATCH(ROWS($AG$2:AG684),$AG$2:$AG$1001,0),0), INDEX($AN$1004:$BO$1004,1,MATCH(COLUMNS($AN$1006:BA1006),$AN$1006:$BO$1006,0)))),"Fix")))</f>
        <v>0</v>
      </c>
      <c r="P684" s="4">
        <f>IF(OR(INDEX($AH$2:$AH$1001,MATCH(ROWS($AG$2:AG684),$AG$2:$AG$1001,0),1)&gt;=100000,INDEX($AN$1005:$BO$1005,1,MATCH(COLUMNS($AN$1006:BB1006),$AN$1006:$BO$1006,0))&gt;=100000), " ",IF(INDEX($AN$2:$BO$1001,MATCH(ROWS($AG$2:AG684),$AG$2:$AG$1001,0),MATCH(COLUMNS($AN$1006:BB1006),$AN$1006:$BO$1006,0)), HYPERLINK("#",""), HYPERLINK(CONCATENATE("#Metadata!", ADDRESS(INDEX($AI$2:$AI$1001,MATCH(ROWS($AG$2:AG684),$AG$2:$AG$1001,0),0), INDEX($AN$1004:$BO$1004,1,MATCH(COLUMNS($AN$1006:BB1006),$AN$1006:$BO$1006,0)))),"Fix")))</f>
        <v>0</v>
      </c>
      <c r="Q684" s="4">
        <f>IF(OR(INDEX($AH$2:$AH$1001,MATCH(ROWS($AG$2:AG684),$AG$2:$AG$1001,0),1)&gt;=100000,INDEX($AN$1005:$BO$1005,1,MATCH(COLUMNS($AN$1006:BC1006),$AN$1006:$BO$1006,0))&gt;=100000), " ",IF(INDEX($AN$2:$BO$1001,MATCH(ROWS($AG$2:AG684),$AG$2:$AG$1001,0),MATCH(COLUMNS($AN$1006:BC1006),$AN$1006:$BO$1006,0)), HYPERLINK("#",""), HYPERLINK(CONCATENATE("#Metadata!", ADDRESS(INDEX($AI$2:$AI$1001,MATCH(ROWS($AG$2:AG684),$AG$2:$AG$1001,0),0), INDEX($AN$1004:$BO$1004,1,MATCH(COLUMNS($AN$1006:BC1006),$AN$1006:$BO$1006,0)))),"Fix")))</f>
        <v>0</v>
      </c>
      <c r="R684" s="4">
        <f>IF(OR(INDEX($AH$2:$AH$1001,MATCH(ROWS($AG$2:AG684),$AG$2:$AG$1001,0),1)&gt;=100000,INDEX($AN$1005:$BO$1005,1,MATCH(COLUMNS($AN$1006:BD1006),$AN$1006:$BO$1006,0))&gt;=100000), " ",IF(INDEX($AN$2:$BO$1001,MATCH(ROWS($AG$2:AG684),$AG$2:$AG$1001,0),MATCH(COLUMNS($AN$1006:BD1006),$AN$1006:$BO$1006,0)), HYPERLINK("#",""), HYPERLINK(CONCATENATE("#Metadata!", ADDRESS(INDEX($AI$2:$AI$1001,MATCH(ROWS($AG$2:AG684),$AG$2:$AG$1001,0),0), INDEX($AN$1004:$BO$1004,1,MATCH(COLUMNS($AN$1006:BD1006),$AN$1006:$BO$1006,0)))),"Fix")))</f>
        <v>0</v>
      </c>
      <c r="S684" s="4">
        <f>IF(OR(INDEX($AH$2:$AH$1001,MATCH(ROWS($AG$2:AG684),$AG$2:$AG$1001,0),1)&gt;=100000,INDEX($AN$1005:$BO$1005,1,MATCH(COLUMNS($AN$1006:BE1006),$AN$1006:$BO$1006,0))&gt;=100000), " ",IF(INDEX($AN$2:$BO$1001,MATCH(ROWS($AG$2:AG684),$AG$2:$AG$1001,0),MATCH(COLUMNS($AN$1006:BE1006),$AN$1006:$BO$1006,0)), HYPERLINK("#",""), HYPERLINK(CONCATENATE("#Metadata!", ADDRESS(INDEX($AI$2:$AI$1001,MATCH(ROWS($AG$2:AG684),$AG$2:$AG$1001,0),0), INDEX($AN$1004:$BO$1004,1,MATCH(COLUMNS($AN$1006:BE1006),$AN$1006:$BO$1006,0)))),"Fix")))</f>
        <v>0</v>
      </c>
      <c r="T684" s="4">
        <f>IF(OR(INDEX($AH$2:$AH$1001,MATCH(ROWS($AG$2:AG684),$AG$2:$AG$1001,0),1)&gt;=100000,INDEX($AN$1005:$BO$1005,1,MATCH(COLUMNS($AN$1006:BF1006),$AN$1006:$BO$1006,0))&gt;=100000), " ",IF(INDEX($AN$2:$BO$1001,MATCH(ROWS($AG$2:AG684),$AG$2:$AG$1001,0),MATCH(COLUMNS($AN$1006:BF1006),$AN$1006:$BO$1006,0)), HYPERLINK("#",""), HYPERLINK(CONCATENATE("#Metadata!", ADDRESS(INDEX($AI$2:$AI$1001,MATCH(ROWS($AG$2:AG684),$AG$2:$AG$1001,0),0), INDEX($AN$1004:$BO$1004,1,MATCH(COLUMNS($AN$1006:BF1006),$AN$1006:$BO$1006,0)))),"Fix")))</f>
        <v>0</v>
      </c>
      <c r="U684" s="4">
        <f>IF(OR(INDEX($AH$2:$AH$1001,MATCH(ROWS($AG$2:AG684),$AG$2:$AG$1001,0),1)&gt;=100000,INDEX($AN$1005:$BO$1005,1,MATCH(COLUMNS($AN$1006:BG1006),$AN$1006:$BO$1006,0))&gt;=100000), " ",IF(INDEX($AN$2:$BO$1001,MATCH(ROWS($AG$2:AG684),$AG$2:$AG$1001,0),MATCH(COLUMNS($AN$1006:BG1006),$AN$1006:$BO$1006,0)), HYPERLINK("#",""), HYPERLINK(CONCATENATE("#Metadata!", ADDRESS(INDEX($AI$2:$AI$1001,MATCH(ROWS($AG$2:AG684),$AG$2:$AG$1001,0),0), INDEX($AN$1004:$BO$1004,1,MATCH(COLUMNS($AN$1006:BG1006),$AN$1006:$BO$1006,0)))),"Fix")))</f>
        <v>0</v>
      </c>
      <c r="V684" s="4">
        <f>IF(OR(INDEX($AH$2:$AH$1001,MATCH(ROWS($AG$2:AG684),$AG$2:$AG$1001,0),1)&gt;=100000,INDEX($AN$1005:$BO$1005,1,MATCH(COLUMNS($AN$1006:BH1006),$AN$1006:$BO$1006,0))&gt;=100000), " ",IF(INDEX($AN$2:$BO$1001,MATCH(ROWS($AG$2:AG684),$AG$2:$AG$1001,0),MATCH(COLUMNS($AN$1006:BH1006),$AN$1006:$BO$1006,0)), HYPERLINK("#",""), HYPERLINK(CONCATENATE("#Metadata!", ADDRESS(INDEX($AI$2:$AI$1001,MATCH(ROWS($AG$2:AG684),$AG$2:$AG$1001,0),0), INDEX($AN$1004:$BO$1004,1,MATCH(COLUMNS($AN$1006:BH1006),$AN$1006:$BO$1006,0)))),"Fix")))</f>
        <v>0</v>
      </c>
      <c r="W684" s="4">
        <f>IF(OR(INDEX($AH$2:$AH$1001,MATCH(ROWS($AG$2:AG684),$AG$2:$AG$1001,0),1)&gt;=100000,INDEX($AN$1005:$BO$1005,1,MATCH(COLUMNS($AN$1006:BI1006),$AN$1006:$BO$1006,0))&gt;=100000), " ",IF(INDEX($AN$2:$BO$1001,MATCH(ROWS($AG$2:AG684),$AG$2:$AG$1001,0),MATCH(COLUMNS($AN$1006:BI1006),$AN$1006:$BO$1006,0)), HYPERLINK("#",""), HYPERLINK(CONCATENATE("#Metadata!", ADDRESS(INDEX($AI$2:$AI$1001,MATCH(ROWS($AG$2:AG684),$AG$2:$AG$1001,0),0), INDEX($AN$1004:$BO$1004,1,MATCH(COLUMNS($AN$1006:BI1006),$AN$1006:$BO$1006,0)))),"Fix")))</f>
        <v>0</v>
      </c>
      <c r="X684" s="4">
        <f>IF(OR(INDEX($AH$2:$AH$1001,MATCH(ROWS($AG$2:AG684),$AG$2:$AG$1001,0),1)&gt;=100000,INDEX($AN$1005:$BO$1005,1,MATCH(COLUMNS($AN$1006:BJ1006),$AN$1006:$BO$1006,0))&gt;=100000), " ",IF(INDEX($AN$2:$BO$1001,MATCH(ROWS($AG$2:AG684),$AG$2:$AG$1001,0),MATCH(COLUMNS($AN$1006:BJ1006),$AN$1006:$BO$1006,0)), HYPERLINK("#",""), HYPERLINK(CONCATENATE("#Metadata!", ADDRESS(INDEX($AI$2:$AI$1001,MATCH(ROWS($AG$2:AG684),$AG$2:$AG$1001,0),0), INDEX($AN$1004:$BO$1004,1,MATCH(COLUMNS($AN$1006:BJ1006),$AN$1006:$BO$1006,0)))),"Fix")))</f>
        <v>0</v>
      </c>
      <c r="Y684" s="4">
        <f>IF(OR(INDEX($AH$2:$AH$1001,MATCH(ROWS($AG$2:AG684),$AG$2:$AG$1001,0),1)&gt;=100000,INDEX($AN$1005:$BO$1005,1,MATCH(COLUMNS($AN$1006:BK1006),$AN$1006:$BO$1006,0))&gt;=100000), " ",IF(INDEX($AN$2:$BO$1001,MATCH(ROWS($AG$2:AG684),$AG$2:$AG$1001,0),MATCH(COLUMNS($AN$1006:BK1006),$AN$1006:$BO$1006,0)), HYPERLINK("#",""), HYPERLINK(CONCATENATE("#Metadata!", ADDRESS(INDEX($AI$2:$AI$1001,MATCH(ROWS($AG$2:AG684),$AG$2:$AG$1001,0),0), INDEX($AN$1004:$BO$1004,1,MATCH(COLUMNS($AN$1006:BK1006),$AN$1006:$BO$1006,0)))),"Fix")))</f>
        <v>0</v>
      </c>
      <c r="Z684" s="4">
        <f>IF(OR(INDEX($AH$2:$AH$1001,MATCH(ROWS($AG$2:AG684),$AG$2:$AG$1001,0),1)&gt;=100000,INDEX($AN$1005:$BO$1005,1,MATCH(COLUMNS($AN$1006:BL1006),$AN$1006:$BO$1006,0))&gt;=100000), " ",IF(INDEX($AN$2:$BO$1001,MATCH(ROWS($AG$2:AG684),$AG$2:$AG$1001,0),MATCH(COLUMNS($AN$1006:BL1006),$AN$1006:$BO$1006,0)), HYPERLINK("#",""), HYPERLINK(CONCATENATE("#Metadata!", ADDRESS(INDEX($AI$2:$AI$1001,MATCH(ROWS($AG$2:AG684),$AG$2:$AG$1001,0),0), INDEX($AN$1004:$BO$1004,1,MATCH(COLUMNS($AN$1006:BL1006),$AN$1006:$BO$1006,0)))),"Fix")))</f>
        <v>0</v>
      </c>
      <c r="AA684" s="4">
        <f>IF(OR(INDEX($AH$2:$AH$1001,MATCH(ROWS($AG$2:AG684),$AG$2:$AG$1001,0),1)&gt;=100000,INDEX($AN$1005:$BO$1005,1,MATCH(COLUMNS($AN$1006:BM1006),$AN$1006:$BO$1006,0))&gt;=100000), " ",IF(INDEX($AN$2:$BO$1001,MATCH(ROWS($AG$2:AG684),$AG$2:$AG$1001,0),MATCH(COLUMNS($AN$1006:BM1006),$AN$1006:$BO$1006,0)), HYPERLINK("#",""), HYPERLINK(CONCATENATE("#Metadata!", ADDRESS(INDEX($AI$2:$AI$1001,MATCH(ROWS($AG$2:AG684),$AG$2:$AG$1001,0),0), INDEX($AN$1004:$BO$1004,1,MATCH(COLUMNS($AN$1006:BM1006),$AN$1006:$BO$1006,0)))),"Fix")))</f>
        <v>0</v>
      </c>
      <c r="AB684" s="4">
        <f>IF(OR(INDEX($AH$2:$AH$1001,MATCH(ROWS($AG$2:AG684),$AG$2:$AG$1001,0),1)&gt;=100000,INDEX($AN$1005:$BO$1005,1,MATCH(COLUMNS($AN$1006:BN1006),$AN$1006:$BO$1006,0))&gt;=100000), " ",IF(INDEX($AN$2:$BO$1001,MATCH(ROWS($AG$2:AG684),$AG$2:$AG$1001,0),MATCH(COLUMNS($AN$1006:BN1006),$AN$1006:$BO$1006,0)), HYPERLINK("#",""), HYPERLINK(CONCATENATE("#Metadata!", ADDRESS(INDEX($AI$2:$AI$1001,MATCH(ROWS($AG$2:AG684),$AG$2:$AG$1001,0),0), INDEX($AN$1004:$BO$1004,1,MATCH(COLUMNS($AN$1006:BN1006),$AN$1006:$BO$1006,0)))),"Fix")))</f>
        <v>0</v>
      </c>
      <c r="AC684" s="4">
        <f>IF(OR(INDEX($AH$2:$AH$1001,MATCH(ROWS($AG$2:AG684),$AG$2:$AG$1001,0),1)&gt;=100000,INDEX($AN$1005:$BO$1005,1,MATCH(COLUMNS($AN$1006:BO1006),$AN$1006:$BO$1006,0))&gt;=100000), " ",IF(INDEX($AN$2:$BO$1001,MATCH(ROWS($AG$2:AG684),$AG$2:$AG$1001,0),MATCH(COLUMNS($AN$1006:BO1006),$AN$1006:$BO$1006,0)), HYPERLINK("#",""), HYPERLINK(CONCATENATE("#Metadata!", ADDRESS(INDEX($AI$2:$AI$1001,MATCH(ROWS($AG$2:AG684),$AG$2:$AG$1001,0),0), INDEX($AN$1004:$BO$1004,1,MATCH(COLUMNS($AN$1006:BO1006),$AN$1006:$BO$1006,0)))),"Fix")))</f>
        <v>0</v>
      </c>
      <c r="AG684">
        <v>0</v>
      </c>
      <c r="AH684">
        <v>0</v>
      </c>
      <c r="AI684">
        <v>0</v>
      </c>
      <c r="AJ684">
        <f>IF(AK684,TRUE,AND(AN684:BO684))</f>
        <v>0</v>
      </c>
      <c r="AK684">
        <f>COUNTBLANK(Metadata!B684:AC684)=COLUMNS(Metadata!B684:AC684)</f>
        <v>0</v>
      </c>
      <c r="AL684">
        <v>0</v>
      </c>
      <c r="AN684">
        <f>AND(IF(Metadata!B684="",FALSE,TRUE),COUNTIF(Metadata!B:B, Metadata!B684) = 1,NOT(ISERROR(SUMPRODUCT(SEARCH(MID(Metadata!B684,ROW(INDIRECT("1:"&amp;LEN(Metadata!B684))), 1),"0123456789abcdefghijklmnopqrstuvwxyzABCDEFGHIJKLMNOPQRSTUVWXYZ.")))))</f>
        <v>0</v>
      </c>
      <c r="AO684">
        <f>IF(Metadata!C684="",FALSE,TRUE)</f>
        <v>0</v>
      </c>
      <c r="AP684">
        <f>IF(Metadata!D684="",FALSE,TRUE)</f>
        <v>0</v>
      </c>
      <c r="AQ684">
        <f>OR(AND(IF(Metadata!E684="",FALSE,TRUE),OR(exact(Metadata!E684,"not collected"),exact(Metadata!E684,"not provided"),exact(Metadata!E684,"restricted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R684">
        <f>IF(Metadata!F684="",FALSE,TRUE)</f>
        <v>0</v>
      </c>
      <c r="AS684">
        <f>OR(AND(IF(Metadata!G684="",FALSE,TRUE),OR(exact(Metadata!G684,"not collected"),exact(Metadata!G684,"not provided"))),AND(IF(Metadata!G684="",FALSE,TRUE),OR(exact(Metadata!G684,"TRUE"),exact(Metadata!G684,"FALSE"))))</f>
        <v>0</v>
      </c>
      <c r="AT684">
        <f>OR(AND(IF(Metadata!H684="",FALSE,TRUE),OR(exact(Metadata!H684,"not collected"),exact(Metadata!H684,"not provided"),exact(Metadata!H684,"restricted access"))),AND(IF(Metadata!H684="",FALSE,ISNUMBER(VALUE(Metadata!H684))),Metadata!H684&gt;=-413.0))</f>
        <v>0</v>
      </c>
      <c r="AU684">
        <f>AND(IF(Metadata!I684="",FALSE,TRUE),exact(Metadata!I684,"meters"))</f>
        <v>0</v>
      </c>
      <c r="AV684">
        <f>AND(IF(Metadata!J684="",FALSE,TRUE),OR(exact(Metadata!J684,"Host-associated"),exact(Metadata!J684,"Free-living")))</f>
        <v>0</v>
      </c>
      <c r="AW684">
        <f>AND(IF(Metadata!K684="",FALSE,TRUE),OR(exact(Metadata!K684,"Animal"),exact(Metadata!K684,"Fungus"),exact(Metadata!K684,"Plant"),exact(Metadata!K684,"Saline"),exact(Metadata!K684,"Non-saline")))</f>
        <v>0</v>
      </c>
      <c r="AX684">
        <f>AND(IF(Metadata!L684="",FALSE,TRUE),OR(exact(Metadata!L684,"Plant secretion"),exact(Metadata!L684,"Plant rhizosphere"),exact(Metadata!L684,"Plant surface"),exact(Metadata!L684,"Plant corpus"),exact(Metadata!L684,"Fungus surface"),exact(Metadata!L684,"Fungus corpus"),exact(Metadata!L684,"Animal surface"),exact(Metadata!L684,"Animal proximal gut"),exact(Metadata!L684,"Animal corpus"),exact(Metadata!L684,"Animal distal gut"),exact(Metadata!L684,"Animal secretion"),exact(Metadata!L684,"Sub-surface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Y684">
        <f>IF(Metadata!M684="",FALSE,TRUE)</f>
        <v>0</v>
      </c>
      <c r="AZ684">
        <f>IF(Metadata!N684="",FALSE,TRUE)</f>
        <v>0</v>
      </c>
      <c r="BA684">
        <f>IF(Metadata!O684="",FALSE,TRUE)</f>
        <v>0</v>
      </c>
      <c r="BB684">
        <f>OR(AND(IF(Metadata!P684="",FALSE,TRUE),OR(exact(Metadata!P684,"not collected"),exact(Metadata!P684,"not provided"),exact(Metadata!P684,"restricted access"))),AND(IF(Metadata!P684="",FALSE,TRUE),OR(exact(Metadata!P684,"air"),exact(Metadata!P684,"built environment"),exact(Metadata!P684,"host-associated"),exact(Metadata!P684,"human-associated"),exact(Metadata!P684,"human-skin"),exact(Metadata!P684,"human-oral"),exact(Metadata!P684,"human-gut"),exact(Metadata!P684,"human-vaginal"),exact(Metadata!P684,"microbial mat/biofilm"),exact(Metadata!P684,"misc environment"),exact(Metadata!P684,"plant-associated"),exact(Metadata!P684,"sediment"),exact(Metadata!P684,"soil"),exact(Metadata!P684,"wastewater/sludge"),exact(Metadata!P684,"water"))))</f>
        <v>0</v>
      </c>
      <c r="BC684">
        <f>IF(Metadata!Q684="",FALSE,TRUE)</f>
        <v>0</v>
      </c>
      <c r="BD684">
        <f>IF(Metadata!R684="",FALSE,TRUE)</f>
        <v>0</v>
      </c>
      <c r="BE684">
        <f>OR(AND(IF(Metadata!S684="",FALSE,TRUE),OR(exact(Metadata!S684,"not collected"),exact(Metadata!S684,"not provided"),exact(Metadata!S684,"restricted access"))),AND(IF(Metadata!S684="",FALSE,ISNUMBER(VALUE(Metadata!S684))),Metadata!S684&gt;=-90.00,Metadata!S684&lt;=90.00))</f>
        <v>0</v>
      </c>
      <c r="BF684">
        <f>AND(IF(Metadata!T684="",FALSE,TRUE),exact(Metadata!T684,"Decimal degrees"))</f>
        <v>0</v>
      </c>
      <c r="BG684">
        <f>OR(AND(IF(Metadata!U684="",FALSE,TRUE),OR(exact(Metadata!U684,"not collected"),exact(Metadata!U684,"not provided"),exact(Metadata!U684,"restricted access"))),AND(IF(Metadata!U684="",FALSE,ISNUMBER(VALUE(Metadata!U684))),Metadata!U684&gt;=-180.00,Metadata!U684&lt;=180.00))</f>
        <v>0</v>
      </c>
      <c r="BH684">
        <f>AND(IF(Metadata!V684="",FALSE,TRUE),exact(Metadata!V684,"Decimal degrees"))</f>
        <v>0</v>
      </c>
      <c r="BI684">
        <f>IF(Metadata!W684="",FALSE,TRUE)</f>
        <v>0</v>
      </c>
      <c r="BJ684">
        <f>OR(AND(IF(Metadata!X684="",FALSE,TRUE),OR(exact(Metadata!X684,"not collected"),exact(Metadata!X684,"not provided"),exact(Metadata!X684,"restricted access"))),AND(IF(Metadata!X684="",FALSE,TRUE),OR(exact(Metadata!X684,"TRUE"),exact(Metadata!X684,"FALSE"))))</f>
        <v>0</v>
      </c>
      <c r="BK684">
        <f>AND(IF(Metadata!Y684="",FALSE,TRUE),exact(Metadata!Y684,"other"))</f>
        <v>0</v>
      </c>
      <c r="BL684">
        <f>IF(Metadata!Z684="",FALSE,TRUE)</f>
        <v>0</v>
      </c>
      <c r="BM684">
        <f>OR(AND(IF(Metadata!AA684="",FALSE,TRUE),OR(exact(Metadata!AA684,"not collected"),exact(Metadata!AA684,"not provided"))),AND(IF(Metadata!AA684="",FALSE,IF(ISERROR(INT(Metadata!AA684)),FALSE,INT(Metadata!AA684)=Metadata!AA684)),Metadata!AA684&gt;0))</f>
        <v>0</v>
      </c>
      <c r="BN684">
        <f>AND(IF(Metadata!AB684="",FALSE,TRUE),exact(Metadata!AB684,"Not applicable"))</f>
        <v>0</v>
      </c>
      <c r="BO684">
        <f>IF(Metadata!AC684="",FALSE,TRUE)</f>
        <v>0</v>
      </c>
    </row>
    <row r="685" spans="1:67">
      <c r="A685" s="5">
        <f>IF(B685=" "," ",HYPERLINK(CONCATENATE("#metadata!",ADDRESS(INDEX($AI$2:$AI$1001,MATCH(ROWS($AG$2:AG685),$AG$2:$AG$1001,0),0),1)),INDEX($AL$2:$AL$1001,MATCH(ROWS($AG$2:AG685),$AG$2:$AG$1001,0),0)))</f>
        <v>0</v>
      </c>
      <c r="B685" s="4">
        <f>IF(OR(INDEX($AH$2:$AH$1001,MATCH(ROWS($AG$2:AG685),$AG$2:$AG$1001,0),1)&gt;=100000,INDEX($AN$1005:$BO$1005,1,MATCH(COLUMNS($AN$1006:AN1006),$AN$1006:$BO$1006,0))&gt;=100000), " ",IF(INDEX($AN$2:$BO$1001,MATCH(ROWS($AG$2:AG685),$AG$2:$AG$1001,0),MATCH(COLUMNS($AN$1006:AN1006),$AN$1006:$BO$1006,0)), HYPERLINK("#",""), HYPERLINK(CONCATENATE("#Metadata!", ADDRESS(INDEX($AI$2:$AI$1001,MATCH(ROWS($AG$2:AG685),$AG$2:$AG$1001,0),0), INDEX($AN$1004:$BO$1004,1,MATCH(COLUMNS($AN$1006:AN1006),$AN$1006:$BO$1006,0)))),"Fix")))</f>
        <v>0</v>
      </c>
      <c r="C685" s="4">
        <f>IF(OR(INDEX($AH$2:$AH$1001,MATCH(ROWS($AG$2:AG685),$AG$2:$AG$1001,0),1)&gt;=100000,INDEX($AN$1005:$BO$1005,1,MATCH(COLUMNS($AN$1006:AO1006),$AN$1006:$BO$1006,0))&gt;=100000), " ",IF(INDEX($AN$2:$BO$1001,MATCH(ROWS($AG$2:AG685),$AG$2:$AG$1001,0),MATCH(COLUMNS($AN$1006:AO1006),$AN$1006:$BO$1006,0)), HYPERLINK("#",""), HYPERLINK(CONCATENATE("#Metadata!", ADDRESS(INDEX($AI$2:$AI$1001,MATCH(ROWS($AG$2:AG685),$AG$2:$AG$1001,0),0), INDEX($AN$1004:$BO$1004,1,MATCH(COLUMNS($AN$1006:AO1006),$AN$1006:$BO$1006,0)))),"Fix")))</f>
        <v>0</v>
      </c>
      <c r="D685" s="4">
        <f>IF(OR(INDEX($AH$2:$AH$1001,MATCH(ROWS($AG$2:AG685),$AG$2:$AG$1001,0),1)&gt;=100000,INDEX($AN$1005:$BO$1005,1,MATCH(COLUMNS($AN$1006:AP1006),$AN$1006:$BO$1006,0))&gt;=100000), " ",IF(INDEX($AN$2:$BO$1001,MATCH(ROWS($AG$2:AG685),$AG$2:$AG$1001,0),MATCH(COLUMNS($AN$1006:AP1006),$AN$1006:$BO$1006,0)), HYPERLINK("#",""), HYPERLINK(CONCATENATE("#Metadata!", ADDRESS(INDEX($AI$2:$AI$1001,MATCH(ROWS($AG$2:AG685),$AG$2:$AG$1001,0),0), INDEX($AN$1004:$BO$1004,1,MATCH(COLUMNS($AN$1006:AP1006),$AN$1006:$BO$1006,0)))),"Fix")))</f>
        <v>0</v>
      </c>
      <c r="E685" s="4">
        <f>IF(OR(INDEX($AH$2:$AH$1001,MATCH(ROWS($AG$2:AG685),$AG$2:$AG$1001,0),1)&gt;=100000,INDEX($AN$1005:$BO$1005,1,MATCH(COLUMNS($AN$1006:AQ1006),$AN$1006:$BO$1006,0))&gt;=100000), " ",IF(INDEX($AN$2:$BO$1001,MATCH(ROWS($AG$2:AG685),$AG$2:$AG$1001,0),MATCH(COLUMNS($AN$1006:AQ1006),$AN$1006:$BO$1006,0)), HYPERLINK("#",""), HYPERLINK(CONCATENATE("#Metadata!", ADDRESS(INDEX($AI$2:$AI$1001,MATCH(ROWS($AG$2:AG685),$AG$2:$AG$1001,0),0), INDEX($AN$1004:$BO$1004,1,MATCH(COLUMNS($AN$1006:AQ1006),$AN$1006:$BO$1006,0)))),"Fix")))</f>
        <v>0</v>
      </c>
      <c r="F685" s="4">
        <f>IF(OR(INDEX($AH$2:$AH$1001,MATCH(ROWS($AG$2:AG685),$AG$2:$AG$1001,0),1)&gt;=100000,INDEX($AN$1005:$BO$1005,1,MATCH(COLUMNS($AN$1006:AR1006),$AN$1006:$BO$1006,0))&gt;=100000), " ",IF(INDEX($AN$2:$BO$1001,MATCH(ROWS($AG$2:AG685),$AG$2:$AG$1001,0),MATCH(COLUMNS($AN$1006:AR1006),$AN$1006:$BO$1006,0)), HYPERLINK("#",""), HYPERLINK(CONCATENATE("#Metadata!", ADDRESS(INDEX($AI$2:$AI$1001,MATCH(ROWS($AG$2:AG685),$AG$2:$AG$1001,0),0), INDEX($AN$1004:$BO$1004,1,MATCH(COLUMNS($AN$1006:AR1006),$AN$1006:$BO$1006,0)))),"Fix")))</f>
        <v>0</v>
      </c>
      <c r="G685" s="4">
        <f>IF(OR(INDEX($AH$2:$AH$1001,MATCH(ROWS($AG$2:AG685),$AG$2:$AG$1001,0),1)&gt;=100000,INDEX($AN$1005:$BO$1005,1,MATCH(COLUMNS($AN$1006:AS1006),$AN$1006:$BO$1006,0))&gt;=100000), " ",IF(INDEX($AN$2:$BO$1001,MATCH(ROWS($AG$2:AG685),$AG$2:$AG$1001,0),MATCH(COLUMNS($AN$1006:AS1006),$AN$1006:$BO$1006,0)), HYPERLINK("#",""), HYPERLINK(CONCATENATE("#Metadata!", ADDRESS(INDEX($AI$2:$AI$1001,MATCH(ROWS($AG$2:AG685),$AG$2:$AG$1001,0),0), INDEX($AN$1004:$BO$1004,1,MATCH(COLUMNS($AN$1006:AS1006),$AN$1006:$BO$1006,0)))),"Fix")))</f>
        <v>0</v>
      </c>
      <c r="H685" s="4">
        <f>IF(OR(INDEX($AH$2:$AH$1001,MATCH(ROWS($AG$2:AG685),$AG$2:$AG$1001,0),1)&gt;=100000,INDEX($AN$1005:$BO$1005,1,MATCH(COLUMNS($AN$1006:AT1006),$AN$1006:$BO$1006,0))&gt;=100000), " ",IF(INDEX($AN$2:$BO$1001,MATCH(ROWS($AG$2:AG685),$AG$2:$AG$1001,0),MATCH(COLUMNS($AN$1006:AT1006),$AN$1006:$BO$1006,0)), HYPERLINK("#",""), HYPERLINK(CONCATENATE("#Metadata!", ADDRESS(INDEX($AI$2:$AI$1001,MATCH(ROWS($AG$2:AG685),$AG$2:$AG$1001,0),0), INDEX($AN$1004:$BO$1004,1,MATCH(COLUMNS($AN$1006:AT1006),$AN$1006:$BO$1006,0)))),"Fix")))</f>
        <v>0</v>
      </c>
      <c r="I685" s="4">
        <f>IF(OR(INDEX($AH$2:$AH$1001,MATCH(ROWS($AG$2:AG685),$AG$2:$AG$1001,0),1)&gt;=100000,INDEX($AN$1005:$BO$1005,1,MATCH(COLUMNS($AN$1006:AU1006),$AN$1006:$BO$1006,0))&gt;=100000), " ",IF(INDEX($AN$2:$BO$1001,MATCH(ROWS($AG$2:AG685),$AG$2:$AG$1001,0),MATCH(COLUMNS($AN$1006:AU1006),$AN$1006:$BO$1006,0)), HYPERLINK("#",""), HYPERLINK(CONCATENATE("#Metadata!", ADDRESS(INDEX($AI$2:$AI$1001,MATCH(ROWS($AG$2:AG685),$AG$2:$AG$1001,0),0), INDEX($AN$1004:$BO$1004,1,MATCH(COLUMNS($AN$1006:AU1006),$AN$1006:$BO$1006,0)))),"Fix")))</f>
        <v>0</v>
      </c>
      <c r="J685" s="4">
        <f>IF(OR(INDEX($AH$2:$AH$1001,MATCH(ROWS($AG$2:AG685),$AG$2:$AG$1001,0),1)&gt;=100000,INDEX($AN$1005:$BO$1005,1,MATCH(COLUMNS($AN$1006:AV1006),$AN$1006:$BO$1006,0))&gt;=100000), " ",IF(INDEX($AN$2:$BO$1001,MATCH(ROWS($AG$2:AG685),$AG$2:$AG$1001,0),MATCH(COLUMNS($AN$1006:AV1006),$AN$1006:$BO$1006,0)), HYPERLINK("#",""), HYPERLINK(CONCATENATE("#Metadata!", ADDRESS(INDEX($AI$2:$AI$1001,MATCH(ROWS($AG$2:AG685),$AG$2:$AG$1001,0),0), INDEX($AN$1004:$BO$1004,1,MATCH(COLUMNS($AN$1006:AV1006),$AN$1006:$BO$1006,0)))),"Fix")))</f>
        <v>0</v>
      </c>
      <c r="K685" s="4">
        <f>IF(OR(INDEX($AH$2:$AH$1001,MATCH(ROWS($AG$2:AG685),$AG$2:$AG$1001,0),1)&gt;=100000,INDEX($AN$1005:$BO$1005,1,MATCH(COLUMNS($AN$1006:AW1006),$AN$1006:$BO$1006,0))&gt;=100000), " ",IF(INDEX($AN$2:$BO$1001,MATCH(ROWS($AG$2:AG685),$AG$2:$AG$1001,0),MATCH(COLUMNS($AN$1006:AW1006),$AN$1006:$BO$1006,0)), HYPERLINK("#",""), HYPERLINK(CONCATENATE("#Metadata!", ADDRESS(INDEX($AI$2:$AI$1001,MATCH(ROWS($AG$2:AG685),$AG$2:$AG$1001,0),0), INDEX($AN$1004:$BO$1004,1,MATCH(COLUMNS($AN$1006:AW1006),$AN$1006:$BO$1006,0)))),"Fix")))</f>
        <v>0</v>
      </c>
      <c r="L685" s="4">
        <f>IF(OR(INDEX($AH$2:$AH$1001,MATCH(ROWS($AG$2:AG685),$AG$2:$AG$1001,0),1)&gt;=100000,INDEX($AN$1005:$BO$1005,1,MATCH(COLUMNS($AN$1006:AX1006),$AN$1006:$BO$1006,0))&gt;=100000), " ",IF(INDEX($AN$2:$BO$1001,MATCH(ROWS($AG$2:AG685),$AG$2:$AG$1001,0),MATCH(COLUMNS($AN$1006:AX1006),$AN$1006:$BO$1006,0)), HYPERLINK("#",""), HYPERLINK(CONCATENATE("#Metadata!", ADDRESS(INDEX($AI$2:$AI$1001,MATCH(ROWS($AG$2:AG685),$AG$2:$AG$1001,0),0), INDEX($AN$1004:$BO$1004,1,MATCH(COLUMNS($AN$1006:AX1006),$AN$1006:$BO$1006,0)))),"Fix")))</f>
        <v>0</v>
      </c>
      <c r="M685" s="4">
        <f>IF(OR(INDEX($AH$2:$AH$1001,MATCH(ROWS($AG$2:AG685),$AG$2:$AG$1001,0),1)&gt;=100000,INDEX($AN$1005:$BO$1005,1,MATCH(COLUMNS($AN$1006:AY1006),$AN$1006:$BO$1006,0))&gt;=100000), " ",IF(INDEX($AN$2:$BO$1001,MATCH(ROWS($AG$2:AG685),$AG$2:$AG$1001,0),MATCH(COLUMNS($AN$1006:AY1006),$AN$1006:$BO$1006,0)), HYPERLINK("#",""), HYPERLINK(CONCATENATE("#Metadata!", ADDRESS(INDEX($AI$2:$AI$1001,MATCH(ROWS($AG$2:AG685),$AG$2:$AG$1001,0),0), INDEX($AN$1004:$BO$1004,1,MATCH(COLUMNS($AN$1006:AY1006),$AN$1006:$BO$1006,0)))),"Fix")))</f>
        <v>0</v>
      </c>
      <c r="N685" s="4">
        <f>IF(OR(INDEX($AH$2:$AH$1001,MATCH(ROWS($AG$2:AG685),$AG$2:$AG$1001,0),1)&gt;=100000,INDEX($AN$1005:$BO$1005,1,MATCH(COLUMNS($AN$1006:AZ1006),$AN$1006:$BO$1006,0))&gt;=100000), " ",IF(INDEX($AN$2:$BO$1001,MATCH(ROWS($AG$2:AG685),$AG$2:$AG$1001,0),MATCH(COLUMNS($AN$1006:AZ1006),$AN$1006:$BO$1006,0)), HYPERLINK("#",""), HYPERLINK(CONCATENATE("#Metadata!", ADDRESS(INDEX($AI$2:$AI$1001,MATCH(ROWS($AG$2:AG685),$AG$2:$AG$1001,0),0), INDEX($AN$1004:$BO$1004,1,MATCH(COLUMNS($AN$1006:AZ1006),$AN$1006:$BO$1006,0)))),"Fix")))</f>
        <v>0</v>
      </c>
      <c r="O685" s="4">
        <f>IF(OR(INDEX($AH$2:$AH$1001,MATCH(ROWS($AG$2:AG685),$AG$2:$AG$1001,0),1)&gt;=100000,INDEX($AN$1005:$BO$1005,1,MATCH(COLUMNS($AN$1006:BA1006),$AN$1006:$BO$1006,0))&gt;=100000), " ",IF(INDEX($AN$2:$BO$1001,MATCH(ROWS($AG$2:AG685),$AG$2:$AG$1001,0),MATCH(COLUMNS($AN$1006:BA1006),$AN$1006:$BO$1006,0)), HYPERLINK("#",""), HYPERLINK(CONCATENATE("#Metadata!", ADDRESS(INDEX($AI$2:$AI$1001,MATCH(ROWS($AG$2:AG685),$AG$2:$AG$1001,0),0), INDEX($AN$1004:$BO$1004,1,MATCH(COLUMNS($AN$1006:BA1006),$AN$1006:$BO$1006,0)))),"Fix")))</f>
        <v>0</v>
      </c>
      <c r="P685" s="4">
        <f>IF(OR(INDEX($AH$2:$AH$1001,MATCH(ROWS($AG$2:AG685),$AG$2:$AG$1001,0),1)&gt;=100000,INDEX($AN$1005:$BO$1005,1,MATCH(COLUMNS($AN$1006:BB1006),$AN$1006:$BO$1006,0))&gt;=100000), " ",IF(INDEX($AN$2:$BO$1001,MATCH(ROWS($AG$2:AG685),$AG$2:$AG$1001,0),MATCH(COLUMNS($AN$1006:BB1006),$AN$1006:$BO$1006,0)), HYPERLINK("#",""), HYPERLINK(CONCATENATE("#Metadata!", ADDRESS(INDEX($AI$2:$AI$1001,MATCH(ROWS($AG$2:AG685),$AG$2:$AG$1001,0),0), INDEX($AN$1004:$BO$1004,1,MATCH(COLUMNS($AN$1006:BB1006),$AN$1006:$BO$1006,0)))),"Fix")))</f>
        <v>0</v>
      </c>
      <c r="Q685" s="4">
        <f>IF(OR(INDEX($AH$2:$AH$1001,MATCH(ROWS($AG$2:AG685),$AG$2:$AG$1001,0),1)&gt;=100000,INDEX($AN$1005:$BO$1005,1,MATCH(COLUMNS($AN$1006:BC1006),$AN$1006:$BO$1006,0))&gt;=100000), " ",IF(INDEX($AN$2:$BO$1001,MATCH(ROWS($AG$2:AG685),$AG$2:$AG$1001,0),MATCH(COLUMNS($AN$1006:BC1006),$AN$1006:$BO$1006,0)), HYPERLINK("#",""), HYPERLINK(CONCATENATE("#Metadata!", ADDRESS(INDEX($AI$2:$AI$1001,MATCH(ROWS($AG$2:AG685),$AG$2:$AG$1001,0),0), INDEX($AN$1004:$BO$1004,1,MATCH(COLUMNS($AN$1006:BC1006),$AN$1006:$BO$1006,0)))),"Fix")))</f>
        <v>0</v>
      </c>
      <c r="R685" s="4">
        <f>IF(OR(INDEX($AH$2:$AH$1001,MATCH(ROWS($AG$2:AG685),$AG$2:$AG$1001,0),1)&gt;=100000,INDEX($AN$1005:$BO$1005,1,MATCH(COLUMNS($AN$1006:BD1006),$AN$1006:$BO$1006,0))&gt;=100000), " ",IF(INDEX($AN$2:$BO$1001,MATCH(ROWS($AG$2:AG685),$AG$2:$AG$1001,0),MATCH(COLUMNS($AN$1006:BD1006),$AN$1006:$BO$1006,0)), HYPERLINK("#",""), HYPERLINK(CONCATENATE("#Metadata!", ADDRESS(INDEX($AI$2:$AI$1001,MATCH(ROWS($AG$2:AG685),$AG$2:$AG$1001,0),0), INDEX($AN$1004:$BO$1004,1,MATCH(COLUMNS($AN$1006:BD1006),$AN$1006:$BO$1006,0)))),"Fix")))</f>
        <v>0</v>
      </c>
      <c r="S685" s="4">
        <f>IF(OR(INDEX($AH$2:$AH$1001,MATCH(ROWS($AG$2:AG685),$AG$2:$AG$1001,0),1)&gt;=100000,INDEX($AN$1005:$BO$1005,1,MATCH(COLUMNS($AN$1006:BE1006),$AN$1006:$BO$1006,0))&gt;=100000), " ",IF(INDEX($AN$2:$BO$1001,MATCH(ROWS($AG$2:AG685),$AG$2:$AG$1001,0),MATCH(COLUMNS($AN$1006:BE1006),$AN$1006:$BO$1006,0)), HYPERLINK("#",""), HYPERLINK(CONCATENATE("#Metadata!", ADDRESS(INDEX($AI$2:$AI$1001,MATCH(ROWS($AG$2:AG685),$AG$2:$AG$1001,0),0), INDEX($AN$1004:$BO$1004,1,MATCH(COLUMNS($AN$1006:BE1006),$AN$1006:$BO$1006,0)))),"Fix")))</f>
        <v>0</v>
      </c>
      <c r="T685" s="4">
        <f>IF(OR(INDEX($AH$2:$AH$1001,MATCH(ROWS($AG$2:AG685),$AG$2:$AG$1001,0),1)&gt;=100000,INDEX($AN$1005:$BO$1005,1,MATCH(COLUMNS($AN$1006:BF1006),$AN$1006:$BO$1006,0))&gt;=100000), " ",IF(INDEX($AN$2:$BO$1001,MATCH(ROWS($AG$2:AG685),$AG$2:$AG$1001,0),MATCH(COLUMNS($AN$1006:BF1006),$AN$1006:$BO$1006,0)), HYPERLINK("#",""), HYPERLINK(CONCATENATE("#Metadata!", ADDRESS(INDEX($AI$2:$AI$1001,MATCH(ROWS($AG$2:AG685),$AG$2:$AG$1001,0),0), INDEX($AN$1004:$BO$1004,1,MATCH(COLUMNS($AN$1006:BF1006),$AN$1006:$BO$1006,0)))),"Fix")))</f>
        <v>0</v>
      </c>
      <c r="U685" s="4">
        <f>IF(OR(INDEX($AH$2:$AH$1001,MATCH(ROWS($AG$2:AG685),$AG$2:$AG$1001,0),1)&gt;=100000,INDEX($AN$1005:$BO$1005,1,MATCH(COLUMNS($AN$1006:BG1006),$AN$1006:$BO$1006,0))&gt;=100000), " ",IF(INDEX($AN$2:$BO$1001,MATCH(ROWS($AG$2:AG685),$AG$2:$AG$1001,0),MATCH(COLUMNS($AN$1006:BG1006),$AN$1006:$BO$1006,0)), HYPERLINK("#",""), HYPERLINK(CONCATENATE("#Metadata!", ADDRESS(INDEX($AI$2:$AI$1001,MATCH(ROWS($AG$2:AG685),$AG$2:$AG$1001,0),0), INDEX($AN$1004:$BO$1004,1,MATCH(COLUMNS($AN$1006:BG1006),$AN$1006:$BO$1006,0)))),"Fix")))</f>
        <v>0</v>
      </c>
      <c r="V685" s="4">
        <f>IF(OR(INDEX($AH$2:$AH$1001,MATCH(ROWS($AG$2:AG685),$AG$2:$AG$1001,0),1)&gt;=100000,INDEX($AN$1005:$BO$1005,1,MATCH(COLUMNS($AN$1006:BH1006),$AN$1006:$BO$1006,0))&gt;=100000), " ",IF(INDEX($AN$2:$BO$1001,MATCH(ROWS($AG$2:AG685),$AG$2:$AG$1001,0),MATCH(COLUMNS($AN$1006:BH1006),$AN$1006:$BO$1006,0)), HYPERLINK("#",""), HYPERLINK(CONCATENATE("#Metadata!", ADDRESS(INDEX($AI$2:$AI$1001,MATCH(ROWS($AG$2:AG685),$AG$2:$AG$1001,0),0), INDEX($AN$1004:$BO$1004,1,MATCH(COLUMNS($AN$1006:BH1006),$AN$1006:$BO$1006,0)))),"Fix")))</f>
        <v>0</v>
      </c>
      <c r="W685" s="4">
        <f>IF(OR(INDEX($AH$2:$AH$1001,MATCH(ROWS($AG$2:AG685),$AG$2:$AG$1001,0),1)&gt;=100000,INDEX($AN$1005:$BO$1005,1,MATCH(COLUMNS($AN$1006:BI1006),$AN$1006:$BO$1006,0))&gt;=100000), " ",IF(INDEX($AN$2:$BO$1001,MATCH(ROWS($AG$2:AG685),$AG$2:$AG$1001,0),MATCH(COLUMNS($AN$1006:BI1006),$AN$1006:$BO$1006,0)), HYPERLINK("#",""), HYPERLINK(CONCATENATE("#Metadata!", ADDRESS(INDEX($AI$2:$AI$1001,MATCH(ROWS($AG$2:AG685),$AG$2:$AG$1001,0),0), INDEX($AN$1004:$BO$1004,1,MATCH(COLUMNS($AN$1006:BI1006),$AN$1006:$BO$1006,0)))),"Fix")))</f>
        <v>0</v>
      </c>
      <c r="X685" s="4">
        <f>IF(OR(INDEX($AH$2:$AH$1001,MATCH(ROWS($AG$2:AG685),$AG$2:$AG$1001,0),1)&gt;=100000,INDEX($AN$1005:$BO$1005,1,MATCH(COLUMNS($AN$1006:BJ1006),$AN$1006:$BO$1006,0))&gt;=100000), " ",IF(INDEX($AN$2:$BO$1001,MATCH(ROWS($AG$2:AG685),$AG$2:$AG$1001,0),MATCH(COLUMNS($AN$1006:BJ1006),$AN$1006:$BO$1006,0)), HYPERLINK("#",""), HYPERLINK(CONCATENATE("#Metadata!", ADDRESS(INDEX($AI$2:$AI$1001,MATCH(ROWS($AG$2:AG685),$AG$2:$AG$1001,0),0), INDEX($AN$1004:$BO$1004,1,MATCH(COLUMNS($AN$1006:BJ1006),$AN$1006:$BO$1006,0)))),"Fix")))</f>
        <v>0</v>
      </c>
      <c r="Y685" s="4">
        <f>IF(OR(INDEX($AH$2:$AH$1001,MATCH(ROWS($AG$2:AG685),$AG$2:$AG$1001,0),1)&gt;=100000,INDEX($AN$1005:$BO$1005,1,MATCH(COLUMNS($AN$1006:BK1006),$AN$1006:$BO$1006,0))&gt;=100000), " ",IF(INDEX($AN$2:$BO$1001,MATCH(ROWS($AG$2:AG685),$AG$2:$AG$1001,0),MATCH(COLUMNS($AN$1006:BK1006),$AN$1006:$BO$1006,0)), HYPERLINK("#",""), HYPERLINK(CONCATENATE("#Metadata!", ADDRESS(INDEX($AI$2:$AI$1001,MATCH(ROWS($AG$2:AG685),$AG$2:$AG$1001,0),0), INDEX($AN$1004:$BO$1004,1,MATCH(COLUMNS($AN$1006:BK1006),$AN$1006:$BO$1006,0)))),"Fix")))</f>
        <v>0</v>
      </c>
      <c r="Z685" s="4">
        <f>IF(OR(INDEX($AH$2:$AH$1001,MATCH(ROWS($AG$2:AG685),$AG$2:$AG$1001,0),1)&gt;=100000,INDEX($AN$1005:$BO$1005,1,MATCH(COLUMNS($AN$1006:BL1006),$AN$1006:$BO$1006,0))&gt;=100000), " ",IF(INDEX($AN$2:$BO$1001,MATCH(ROWS($AG$2:AG685),$AG$2:$AG$1001,0),MATCH(COLUMNS($AN$1006:BL1006),$AN$1006:$BO$1006,0)), HYPERLINK("#",""), HYPERLINK(CONCATENATE("#Metadata!", ADDRESS(INDEX($AI$2:$AI$1001,MATCH(ROWS($AG$2:AG685),$AG$2:$AG$1001,0),0), INDEX($AN$1004:$BO$1004,1,MATCH(COLUMNS($AN$1006:BL1006),$AN$1006:$BO$1006,0)))),"Fix")))</f>
        <v>0</v>
      </c>
      <c r="AA685" s="4">
        <f>IF(OR(INDEX($AH$2:$AH$1001,MATCH(ROWS($AG$2:AG685),$AG$2:$AG$1001,0),1)&gt;=100000,INDEX($AN$1005:$BO$1005,1,MATCH(COLUMNS($AN$1006:BM1006),$AN$1006:$BO$1006,0))&gt;=100000), " ",IF(INDEX($AN$2:$BO$1001,MATCH(ROWS($AG$2:AG685),$AG$2:$AG$1001,0),MATCH(COLUMNS($AN$1006:BM1006),$AN$1006:$BO$1006,0)), HYPERLINK("#",""), HYPERLINK(CONCATENATE("#Metadata!", ADDRESS(INDEX($AI$2:$AI$1001,MATCH(ROWS($AG$2:AG685),$AG$2:$AG$1001,0),0), INDEX($AN$1004:$BO$1004,1,MATCH(COLUMNS($AN$1006:BM1006),$AN$1006:$BO$1006,0)))),"Fix")))</f>
        <v>0</v>
      </c>
      <c r="AB685" s="4">
        <f>IF(OR(INDEX($AH$2:$AH$1001,MATCH(ROWS($AG$2:AG685),$AG$2:$AG$1001,0),1)&gt;=100000,INDEX($AN$1005:$BO$1005,1,MATCH(COLUMNS($AN$1006:BN1006),$AN$1006:$BO$1006,0))&gt;=100000), " ",IF(INDEX($AN$2:$BO$1001,MATCH(ROWS($AG$2:AG685),$AG$2:$AG$1001,0),MATCH(COLUMNS($AN$1006:BN1006),$AN$1006:$BO$1006,0)), HYPERLINK("#",""), HYPERLINK(CONCATENATE("#Metadata!", ADDRESS(INDEX($AI$2:$AI$1001,MATCH(ROWS($AG$2:AG685),$AG$2:$AG$1001,0),0), INDEX($AN$1004:$BO$1004,1,MATCH(COLUMNS($AN$1006:BN1006),$AN$1006:$BO$1006,0)))),"Fix")))</f>
        <v>0</v>
      </c>
      <c r="AC685" s="4">
        <f>IF(OR(INDEX($AH$2:$AH$1001,MATCH(ROWS($AG$2:AG685),$AG$2:$AG$1001,0),1)&gt;=100000,INDEX($AN$1005:$BO$1005,1,MATCH(COLUMNS($AN$1006:BO1006),$AN$1006:$BO$1006,0))&gt;=100000), " ",IF(INDEX($AN$2:$BO$1001,MATCH(ROWS($AG$2:AG685),$AG$2:$AG$1001,0),MATCH(COLUMNS($AN$1006:BO1006),$AN$1006:$BO$1006,0)), HYPERLINK("#",""), HYPERLINK(CONCATENATE("#Metadata!", ADDRESS(INDEX($AI$2:$AI$1001,MATCH(ROWS($AG$2:AG685),$AG$2:$AG$1001,0),0), INDEX($AN$1004:$BO$1004,1,MATCH(COLUMNS($AN$1006:BO1006),$AN$1006:$BO$1006,0)))),"Fix")))</f>
        <v>0</v>
      </c>
      <c r="AG685">
        <v>0</v>
      </c>
      <c r="AH685">
        <v>0</v>
      </c>
      <c r="AI685">
        <v>0</v>
      </c>
      <c r="AJ685">
        <f>IF(AK685,TRUE,AND(AN685:BO685))</f>
        <v>0</v>
      </c>
      <c r="AK685">
        <f>COUNTBLANK(Metadata!B685:AC685)=COLUMNS(Metadata!B685:AC685)</f>
        <v>0</v>
      </c>
      <c r="AL685">
        <v>0</v>
      </c>
      <c r="AN685">
        <f>AND(IF(Metadata!B685="",FALSE,TRUE),COUNTIF(Metadata!B:B, Metadata!B685) = 1,NOT(ISERROR(SUMPRODUCT(SEARCH(MID(Metadata!B685,ROW(INDIRECT("1:"&amp;LEN(Metadata!B685))), 1),"0123456789abcdefghijklmnopqrstuvwxyzABCDEFGHIJKLMNOPQRSTUVWXYZ.")))))</f>
        <v>0</v>
      </c>
      <c r="AO685">
        <f>IF(Metadata!C685="",FALSE,TRUE)</f>
        <v>0</v>
      </c>
      <c r="AP685">
        <f>IF(Metadata!D685="",FALSE,TRUE)</f>
        <v>0</v>
      </c>
      <c r="AQ685">
        <f>OR(AND(IF(Metadata!E685="",FALSE,TRUE),OR(exact(Metadata!E685,"not collected"),exact(Metadata!E685,"not provided"),exact(Metadata!E685,"restricted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R685">
        <f>IF(Metadata!F685="",FALSE,TRUE)</f>
        <v>0</v>
      </c>
      <c r="AS685">
        <f>OR(AND(IF(Metadata!G685="",FALSE,TRUE),OR(exact(Metadata!G685,"not collected"),exact(Metadata!G685,"not provided"))),AND(IF(Metadata!G685="",FALSE,TRUE),OR(exact(Metadata!G685,"TRUE"),exact(Metadata!G685,"FALSE"))))</f>
        <v>0</v>
      </c>
      <c r="AT685">
        <f>OR(AND(IF(Metadata!H685="",FALSE,TRUE),OR(exact(Metadata!H685,"not collected"),exact(Metadata!H685,"not provided"),exact(Metadata!H685,"restricted access"))),AND(IF(Metadata!H685="",FALSE,ISNUMBER(VALUE(Metadata!H685))),Metadata!H685&gt;=-413.0))</f>
        <v>0</v>
      </c>
      <c r="AU685">
        <f>AND(IF(Metadata!I685="",FALSE,TRUE),exact(Metadata!I685,"meters"))</f>
        <v>0</v>
      </c>
      <c r="AV685">
        <f>AND(IF(Metadata!J685="",FALSE,TRUE),OR(exact(Metadata!J685,"Host-associated"),exact(Metadata!J685,"Free-living")))</f>
        <v>0</v>
      </c>
      <c r="AW685">
        <f>AND(IF(Metadata!K685="",FALSE,TRUE),OR(exact(Metadata!K685,"Animal"),exact(Metadata!K685,"Fungus"),exact(Metadata!K685,"Plant"),exact(Metadata!K685,"Saline"),exact(Metadata!K685,"Non-saline")))</f>
        <v>0</v>
      </c>
      <c r="AX685">
        <f>AND(IF(Metadata!L685="",FALSE,TRUE),OR(exact(Metadata!L685,"Plant secretion"),exact(Metadata!L685,"Plant rhizosphere"),exact(Metadata!L685,"Plant surface"),exact(Metadata!L685,"Plant corpus"),exact(Metadata!L685,"Fungus surface"),exact(Metadata!L685,"Fungus corpus"),exact(Metadata!L685,"Animal surface"),exact(Metadata!L685,"Animal proximal gut"),exact(Metadata!L685,"Animal corpus"),exact(Metadata!L685,"Animal distal gut"),exact(Metadata!L685,"Animal secretion"),exact(Metadata!L685,"Sub-surface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Y685">
        <f>IF(Metadata!M685="",FALSE,TRUE)</f>
        <v>0</v>
      </c>
      <c r="AZ685">
        <f>IF(Metadata!N685="",FALSE,TRUE)</f>
        <v>0</v>
      </c>
      <c r="BA685">
        <f>IF(Metadata!O685="",FALSE,TRUE)</f>
        <v>0</v>
      </c>
      <c r="BB685">
        <f>OR(AND(IF(Metadata!P685="",FALSE,TRUE),OR(exact(Metadata!P685,"not collected"),exact(Metadata!P685,"not provided"),exact(Metadata!P685,"restricted access"))),AND(IF(Metadata!P685="",FALSE,TRUE),OR(exact(Metadata!P685,"air"),exact(Metadata!P685,"built environment"),exact(Metadata!P685,"host-associated"),exact(Metadata!P685,"human-associated"),exact(Metadata!P685,"human-skin"),exact(Metadata!P685,"human-oral"),exact(Metadata!P685,"human-gut"),exact(Metadata!P685,"human-vaginal"),exact(Metadata!P685,"microbial mat/biofilm"),exact(Metadata!P685,"misc environment"),exact(Metadata!P685,"plant-associated"),exact(Metadata!P685,"sediment"),exact(Metadata!P685,"soil"),exact(Metadata!P685,"wastewater/sludge"),exact(Metadata!P685,"water"))))</f>
        <v>0</v>
      </c>
      <c r="BC685">
        <f>IF(Metadata!Q685="",FALSE,TRUE)</f>
        <v>0</v>
      </c>
      <c r="BD685">
        <f>IF(Metadata!R685="",FALSE,TRUE)</f>
        <v>0</v>
      </c>
      <c r="BE685">
        <f>OR(AND(IF(Metadata!S685="",FALSE,TRUE),OR(exact(Metadata!S685,"not collected"),exact(Metadata!S685,"not provided"),exact(Metadata!S685,"restricted access"))),AND(IF(Metadata!S685="",FALSE,ISNUMBER(VALUE(Metadata!S685))),Metadata!S685&gt;=-90.00,Metadata!S685&lt;=90.00))</f>
        <v>0</v>
      </c>
      <c r="BF685">
        <f>AND(IF(Metadata!T685="",FALSE,TRUE),exact(Metadata!T685,"Decimal degrees"))</f>
        <v>0</v>
      </c>
      <c r="BG685">
        <f>OR(AND(IF(Metadata!U685="",FALSE,TRUE),OR(exact(Metadata!U685,"not collected"),exact(Metadata!U685,"not provided"),exact(Metadata!U685,"restricted access"))),AND(IF(Metadata!U685="",FALSE,ISNUMBER(VALUE(Metadata!U685))),Metadata!U685&gt;=-180.00,Metadata!U685&lt;=180.00))</f>
        <v>0</v>
      </c>
      <c r="BH685">
        <f>AND(IF(Metadata!V685="",FALSE,TRUE),exact(Metadata!V685,"Decimal degrees"))</f>
        <v>0</v>
      </c>
      <c r="BI685">
        <f>IF(Metadata!W685="",FALSE,TRUE)</f>
        <v>0</v>
      </c>
      <c r="BJ685">
        <f>OR(AND(IF(Metadata!X685="",FALSE,TRUE),OR(exact(Metadata!X685,"not collected"),exact(Metadata!X685,"not provided"),exact(Metadata!X685,"restricted access"))),AND(IF(Metadata!X685="",FALSE,TRUE),OR(exact(Metadata!X685,"TRUE"),exact(Metadata!X685,"FALSE"))))</f>
        <v>0</v>
      </c>
      <c r="BK685">
        <f>AND(IF(Metadata!Y685="",FALSE,TRUE),exact(Metadata!Y685,"other"))</f>
        <v>0</v>
      </c>
      <c r="BL685">
        <f>IF(Metadata!Z685="",FALSE,TRUE)</f>
        <v>0</v>
      </c>
      <c r="BM685">
        <f>OR(AND(IF(Metadata!AA685="",FALSE,TRUE),OR(exact(Metadata!AA685,"not collected"),exact(Metadata!AA685,"not provided"))),AND(IF(Metadata!AA685="",FALSE,IF(ISERROR(INT(Metadata!AA685)),FALSE,INT(Metadata!AA685)=Metadata!AA685)),Metadata!AA685&gt;0))</f>
        <v>0</v>
      </c>
      <c r="BN685">
        <f>AND(IF(Metadata!AB685="",FALSE,TRUE),exact(Metadata!AB685,"Not applicable"))</f>
        <v>0</v>
      </c>
      <c r="BO685">
        <f>IF(Metadata!AC685="",FALSE,TRUE)</f>
        <v>0</v>
      </c>
    </row>
    <row r="686" spans="1:67">
      <c r="A686" s="5">
        <f>IF(B686=" "," ",HYPERLINK(CONCATENATE("#metadata!",ADDRESS(INDEX($AI$2:$AI$1001,MATCH(ROWS($AG$2:AG686),$AG$2:$AG$1001,0),0),1)),INDEX($AL$2:$AL$1001,MATCH(ROWS($AG$2:AG686),$AG$2:$AG$1001,0),0)))</f>
        <v>0</v>
      </c>
      <c r="B686" s="4">
        <f>IF(OR(INDEX($AH$2:$AH$1001,MATCH(ROWS($AG$2:AG686),$AG$2:$AG$1001,0),1)&gt;=100000,INDEX($AN$1005:$BO$1005,1,MATCH(COLUMNS($AN$1006:AN1006),$AN$1006:$BO$1006,0))&gt;=100000), " ",IF(INDEX($AN$2:$BO$1001,MATCH(ROWS($AG$2:AG686),$AG$2:$AG$1001,0),MATCH(COLUMNS($AN$1006:AN1006),$AN$1006:$BO$1006,0)), HYPERLINK("#",""), HYPERLINK(CONCATENATE("#Metadata!", ADDRESS(INDEX($AI$2:$AI$1001,MATCH(ROWS($AG$2:AG686),$AG$2:$AG$1001,0),0), INDEX($AN$1004:$BO$1004,1,MATCH(COLUMNS($AN$1006:AN1006),$AN$1006:$BO$1006,0)))),"Fix")))</f>
        <v>0</v>
      </c>
      <c r="C686" s="4">
        <f>IF(OR(INDEX($AH$2:$AH$1001,MATCH(ROWS($AG$2:AG686),$AG$2:$AG$1001,0),1)&gt;=100000,INDEX($AN$1005:$BO$1005,1,MATCH(COLUMNS($AN$1006:AO1006),$AN$1006:$BO$1006,0))&gt;=100000), " ",IF(INDEX($AN$2:$BO$1001,MATCH(ROWS($AG$2:AG686),$AG$2:$AG$1001,0),MATCH(COLUMNS($AN$1006:AO1006),$AN$1006:$BO$1006,0)), HYPERLINK("#",""), HYPERLINK(CONCATENATE("#Metadata!", ADDRESS(INDEX($AI$2:$AI$1001,MATCH(ROWS($AG$2:AG686),$AG$2:$AG$1001,0),0), INDEX($AN$1004:$BO$1004,1,MATCH(COLUMNS($AN$1006:AO1006),$AN$1006:$BO$1006,0)))),"Fix")))</f>
        <v>0</v>
      </c>
      <c r="D686" s="4">
        <f>IF(OR(INDEX($AH$2:$AH$1001,MATCH(ROWS($AG$2:AG686),$AG$2:$AG$1001,0),1)&gt;=100000,INDEX($AN$1005:$BO$1005,1,MATCH(COLUMNS($AN$1006:AP1006),$AN$1006:$BO$1006,0))&gt;=100000), " ",IF(INDEX($AN$2:$BO$1001,MATCH(ROWS($AG$2:AG686),$AG$2:$AG$1001,0),MATCH(COLUMNS($AN$1006:AP1006),$AN$1006:$BO$1006,0)), HYPERLINK("#",""), HYPERLINK(CONCATENATE("#Metadata!", ADDRESS(INDEX($AI$2:$AI$1001,MATCH(ROWS($AG$2:AG686),$AG$2:$AG$1001,0),0), INDEX($AN$1004:$BO$1004,1,MATCH(COLUMNS($AN$1006:AP1006),$AN$1006:$BO$1006,0)))),"Fix")))</f>
        <v>0</v>
      </c>
      <c r="E686" s="4">
        <f>IF(OR(INDEX($AH$2:$AH$1001,MATCH(ROWS($AG$2:AG686),$AG$2:$AG$1001,0),1)&gt;=100000,INDEX($AN$1005:$BO$1005,1,MATCH(COLUMNS($AN$1006:AQ1006),$AN$1006:$BO$1006,0))&gt;=100000), " ",IF(INDEX($AN$2:$BO$1001,MATCH(ROWS($AG$2:AG686),$AG$2:$AG$1001,0),MATCH(COLUMNS($AN$1006:AQ1006),$AN$1006:$BO$1006,0)), HYPERLINK("#",""), HYPERLINK(CONCATENATE("#Metadata!", ADDRESS(INDEX($AI$2:$AI$1001,MATCH(ROWS($AG$2:AG686),$AG$2:$AG$1001,0),0), INDEX($AN$1004:$BO$1004,1,MATCH(COLUMNS($AN$1006:AQ1006),$AN$1006:$BO$1006,0)))),"Fix")))</f>
        <v>0</v>
      </c>
      <c r="F686" s="4">
        <f>IF(OR(INDEX($AH$2:$AH$1001,MATCH(ROWS($AG$2:AG686),$AG$2:$AG$1001,0),1)&gt;=100000,INDEX($AN$1005:$BO$1005,1,MATCH(COLUMNS($AN$1006:AR1006),$AN$1006:$BO$1006,0))&gt;=100000), " ",IF(INDEX($AN$2:$BO$1001,MATCH(ROWS($AG$2:AG686),$AG$2:$AG$1001,0),MATCH(COLUMNS($AN$1006:AR1006),$AN$1006:$BO$1006,0)), HYPERLINK("#",""), HYPERLINK(CONCATENATE("#Metadata!", ADDRESS(INDEX($AI$2:$AI$1001,MATCH(ROWS($AG$2:AG686),$AG$2:$AG$1001,0),0), INDEX($AN$1004:$BO$1004,1,MATCH(COLUMNS($AN$1006:AR1006),$AN$1006:$BO$1006,0)))),"Fix")))</f>
        <v>0</v>
      </c>
      <c r="G686" s="4">
        <f>IF(OR(INDEX($AH$2:$AH$1001,MATCH(ROWS($AG$2:AG686),$AG$2:$AG$1001,0),1)&gt;=100000,INDEX($AN$1005:$BO$1005,1,MATCH(COLUMNS($AN$1006:AS1006),$AN$1006:$BO$1006,0))&gt;=100000), " ",IF(INDEX($AN$2:$BO$1001,MATCH(ROWS($AG$2:AG686),$AG$2:$AG$1001,0),MATCH(COLUMNS($AN$1006:AS1006),$AN$1006:$BO$1006,0)), HYPERLINK("#",""), HYPERLINK(CONCATENATE("#Metadata!", ADDRESS(INDEX($AI$2:$AI$1001,MATCH(ROWS($AG$2:AG686),$AG$2:$AG$1001,0),0), INDEX($AN$1004:$BO$1004,1,MATCH(COLUMNS($AN$1006:AS1006),$AN$1006:$BO$1006,0)))),"Fix")))</f>
        <v>0</v>
      </c>
      <c r="H686" s="4">
        <f>IF(OR(INDEX($AH$2:$AH$1001,MATCH(ROWS($AG$2:AG686),$AG$2:$AG$1001,0),1)&gt;=100000,INDEX($AN$1005:$BO$1005,1,MATCH(COLUMNS($AN$1006:AT1006),$AN$1006:$BO$1006,0))&gt;=100000), " ",IF(INDEX($AN$2:$BO$1001,MATCH(ROWS($AG$2:AG686),$AG$2:$AG$1001,0),MATCH(COLUMNS($AN$1006:AT1006),$AN$1006:$BO$1006,0)), HYPERLINK("#",""), HYPERLINK(CONCATENATE("#Metadata!", ADDRESS(INDEX($AI$2:$AI$1001,MATCH(ROWS($AG$2:AG686),$AG$2:$AG$1001,0),0), INDEX($AN$1004:$BO$1004,1,MATCH(COLUMNS($AN$1006:AT1006),$AN$1006:$BO$1006,0)))),"Fix")))</f>
        <v>0</v>
      </c>
      <c r="I686" s="4">
        <f>IF(OR(INDEX($AH$2:$AH$1001,MATCH(ROWS($AG$2:AG686),$AG$2:$AG$1001,0),1)&gt;=100000,INDEX($AN$1005:$BO$1005,1,MATCH(COLUMNS($AN$1006:AU1006),$AN$1006:$BO$1006,0))&gt;=100000), " ",IF(INDEX($AN$2:$BO$1001,MATCH(ROWS($AG$2:AG686),$AG$2:$AG$1001,0),MATCH(COLUMNS($AN$1006:AU1006),$AN$1006:$BO$1006,0)), HYPERLINK("#",""), HYPERLINK(CONCATENATE("#Metadata!", ADDRESS(INDEX($AI$2:$AI$1001,MATCH(ROWS($AG$2:AG686),$AG$2:$AG$1001,0),0), INDEX($AN$1004:$BO$1004,1,MATCH(COLUMNS($AN$1006:AU1006),$AN$1006:$BO$1006,0)))),"Fix")))</f>
        <v>0</v>
      </c>
      <c r="J686" s="4">
        <f>IF(OR(INDEX($AH$2:$AH$1001,MATCH(ROWS($AG$2:AG686),$AG$2:$AG$1001,0),1)&gt;=100000,INDEX($AN$1005:$BO$1005,1,MATCH(COLUMNS($AN$1006:AV1006),$AN$1006:$BO$1006,0))&gt;=100000), " ",IF(INDEX($AN$2:$BO$1001,MATCH(ROWS($AG$2:AG686),$AG$2:$AG$1001,0),MATCH(COLUMNS($AN$1006:AV1006),$AN$1006:$BO$1006,0)), HYPERLINK("#",""), HYPERLINK(CONCATENATE("#Metadata!", ADDRESS(INDEX($AI$2:$AI$1001,MATCH(ROWS($AG$2:AG686),$AG$2:$AG$1001,0),0), INDEX($AN$1004:$BO$1004,1,MATCH(COLUMNS($AN$1006:AV1006),$AN$1006:$BO$1006,0)))),"Fix")))</f>
        <v>0</v>
      </c>
      <c r="K686" s="4">
        <f>IF(OR(INDEX($AH$2:$AH$1001,MATCH(ROWS($AG$2:AG686),$AG$2:$AG$1001,0),1)&gt;=100000,INDEX($AN$1005:$BO$1005,1,MATCH(COLUMNS($AN$1006:AW1006),$AN$1006:$BO$1006,0))&gt;=100000), " ",IF(INDEX($AN$2:$BO$1001,MATCH(ROWS($AG$2:AG686),$AG$2:$AG$1001,0),MATCH(COLUMNS($AN$1006:AW1006),$AN$1006:$BO$1006,0)), HYPERLINK("#",""), HYPERLINK(CONCATENATE("#Metadata!", ADDRESS(INDEX($AI$2:$AI$1001,MATCH(ROWS($AG$2:AG686),$AG$2:$AG$1001,0),0), INDEX($AN$1004:$BO$1004,1,MATCH(COLUMNS($AN$1006:AW1006),$AN$1006:$BO$1006,0)))),"Fix")))</f>
        <v>0</v>
      </c>
      <c r="L686" s="4">
        <f>IF(OR(INDEX($AH$2:$AH$1001,MATCH(ROWS($AG$2:AG686),$AG$2:$AG$1001,0),1)&gt;=100000,INDEX($AN$1005:$BO$1005,1,MATCH(COLUMNS($AN$1006:AX1006),$AN$1006:$BO$1006,0))&gt;=100000), " ",IF(INDEX($AN$2:$BO$1001,MATCH(ROWS($AG$2:AG686),$AG$2:$AG$1001,0),MATCH(COLUMNS($AN$1006:AX1006),$AN$1006:$BO$1006,0)), HYPERLINK("#",""), HYPERLINK(CONCATENATE("#Metadata!", ADDRESS(INDEX($AI$2:$AI$1001,MATCH(ROWS($AG$2:AG686),$AG$2:$AG$1001,0),0), INDEX($AN$1004:$BO$1004,1,MATCH(COLUMNS($AN$1006:AX1006),$AN$1006:$BO$1006,0)))),"Fix")))</f>
        <v>0</v>
      </c>
      <c r="M686" s="4">
        <f>IF(OR(INDEX($AH$2:$AH$1001,MATCH(ROWS($AG$2:AG686),$AG$2:$AG$1001,0),1)&gt;=100000,INDEX($AN$1005:$BO$1005,1,MATCH(COLUMNS($AN$1006:AY1006),$AN$1006:$BO$1006,0))&gt;=100000), " ",IF(INDEX($AN$2:$BO$1001,MATCH(ROWS($AG$2:AG686),$AG$2:$AG$1001,0),MATCH(COLUMNS($AN$1006:AY1006),$AN$1006:$BO$1006,0)), HYPERLINK("#",""), HYPERLINK(CONCATENATE("#Metadata!", ADDRESS(INDEX($AI$2:$AI$1001,MATCH(ROWS($AG$2:AG686),$AG$2:$AG$1001,0),0), INDEX($AN$1004:$BO$1004,1,MATCH(COLUMNS($AN$1006:AY1006),$AN$1006:$BO$1006,0)))),"Fix")))</f>
        <v>0</v>
      </c>
      <c r="N686" s="4">
        <f>IF(OR(INDEX($AH$2:$AH$1001,MATCH(ROWS($AG$2:AG686),$AG$2:$AG$1001,0),1)&gt;=100000,INDEX($AN$1005:$BO$1005,1,MATCH(COLUMNS($AN$1006:AZ1006),$AN$1006:$BO$1006,0))&gt;=100000), " ",IF(INDEX($AN$2:$BO$1001,MATCH(ROWS($AG$2:AG686),$AG$2:$AG$1001,0),MATCH(COLUMNS($AN$1006:AZ1006),$AN$1006:$BO$1006,0)), HYPERLINK("#",""), HYPERLINK(CONCATENATE("#Metadata!", ADDRESS(INDEX($AI$2:$AI$1001,MATCH(ROWS($AG$2:AG686),$AG$2:$AG$1001,0),0), INDEX($AN$1004:$BO$1004,1,MATCH(COLUMNS($AN$1006:AZ1006),$AN$1006:$BO$1006,0)))),"Fix")))</f>
        <v>0</v>
      </c>
      <c r="O686" s="4">
        <f>IF(OR(INDEX($AH$2:$AH$1001,MATCH(ROWS($AG$2:AG686),$AG$2:$AG$1001,0),1)&gt;=100000,INDEX($AN$1005:$BO$1005,1,MATCH(COLUMNS($AN$1006:BA1006),$AN$1006:$BO$1006,0))&gt;=100000), " ",IF(INDEX($AN$2:$BO$1001,MATCH(ROWS($AG$2:AG686),$AG$2:$AG$1001,0),MATCH(COLUMNS($AN$1006:BA1006),$AN$1006:$BO$1006,0)), HYPERLINK("#",""), HYPERLINK(CONCATENATE("#Metadata!", ADDRESS(INDEX($AI$2:$AI$1001,MATCH(ROWS($AG$2:AG686),$AG$2:$AG$1001,0),0), INDEX($AN$1004:$BO$1004,1,MATCH(COLUMNS($AN$1006:BA1006),$AN$1006:$BO$1006,0)))),"Fix")))</f>
        <v>0</v>
      </c>
      <c r="P686" s="4">
        <f>IF(OR(INDEX($AH$2:$AH$1001,MATCH(ROWS($AG$2:AG686),$AG$2:$AG$1001,0),1)&gt;=100000,INDEX($AN$1005:$BO$1005,1,MATCH(COLUMNS($AN$1006:BB1006),$AN$1006:$BO$1006,0))&gt;=100000), " ",IF(INDEX($AN$2:$BO$1001,MATCH(ROWS($AG$2:AG686),$AG$2:$AG$1001,0),MATCH(COLUMNS($AN$1006:BB1006),$AN$1006:$BO$1006,0)), HYPERLINK("#",""), HYPERLINK(CONCATENATE("#Metadata!", ADDRESS(INDEX($AI$2:$AI$1001,MATCH(ROWS($AG$2:AG686),$AG$2:$AG$1001,0),0), INDEX($AN$1004:$BO$1004,1,MATCH(COLUMNS($AN$1006:BB1006),$AN$1006:$BO$1006,0)))),"Fix")))</f>
        <v>0</v>
      </c>
      <c r="Q686" s="4">
        <f>IF(OR(INDEX($AH$2:$AH$1001,MATCH(ROWS($AG$2:AG686),$AG$2:$AG$1001,0),1)&gt;=100000,INDEX($AN$1005:$BO$1005,1,MATCH(COLUMNS($AN$1006:BC1006),$AN$1006:$BO$1006,0))&gt;=100000), " ",IF(INDEX($AN$2:$BO$1001,MATCH(ROWS($AG$2:AG686),$AG$2:$AG$1001,0),MATCH(COLUMNS($AN$1006:BC1006),$AN$1006:$BO$1006,0)), HYPERLINK("#",""), HYPERLINK(CONCATENATE("#Metadata!", ADDRESS(INDEX($AI$2:$AI$1001,MATCH(ROWS($AG$2:AG686),$AG$2:$AG$1001,0),0), INDEX($AN$1004:$BO$1004,1,MATCH(COLUMNS($AN$1006:BC1006),$AN$1006:$BO$1006,0)))),"Fix")))</f>
        <v>0</v>
      </c>
      <c r="R686" s="4">
        <f>IF(OR(INDEX($AH$2:$AH$1001,MATCH(ROWS($AG$2:AG686),$AG$2:$AG$1001,0),1)&gt;=100000,INDEX($AN$1005:$BO$1005,1,MATCH(COLUMNS($AN$1006:BD1006),$AN$1006:$BO$1006,0))&gt;=100000), " ",IF(INDEX($AN$2:$BO$1001,MATCH(ROWS($AG$2:AG686),$AG$2:$AG$1001,0),MATCH(COLUMNS($AN$1006:BD1006),$AN$1006:$BO$1006,0)), HYPERLINK("#",""), HYPERLINK(CONCATENATE("#Metadata!", ADDRESS(INDEX($AI$2:$AI$1001,MATCH(ROWS($AG$2:AG686),$AG$2:$AG$1001,0),0), INDEX($AN$1004:$BO$1004,1,MATCH(COLUMNS($AN$1006:BD1006),$AN$1006:$BO$1006,0)))),"Fix")))</f>
        <v>0</v>
      </c>
      <c r="S686" s="4">
        <f>IF(OR(INDEX($AH$2:$AH$1001,MATCH(ROWS($AG$2:AG686),$AG$2:$AG$1001,0),1)&gt;=100000,INDEX($AN$1005:$BO$1005,1,MATCH(COLUMNS($AN$1006:BE1006),$AN$1006:$BO$1006,0))&gt;=100000), " ",IF(INDEX($AN$2:$BO$1001,MATCH(ROWS($AG$2:AG686),$AG$2:$AG$1001,0),MATCH(COLUMNS($AN$1006:BE1006),$AN$1006:$BO$1006,0)), HYPERLINK("#",""), HYPERLINK(CONCATENATE("#Metadata!", ADDRESS(INDEX($AI$2:$AI$1001,MATCH(ROWS($AG$2:AG686),$AG$2:$AG$1001,0),0), INDEX($AN$1004:$BO$1004,1,MATCH(COLUMNS($AN$1006:BE1006),$AN$1006:$BO$1006,0)))),"Fix")))</f>
        <v>0</v>
      </c>
      <c r="T686" s="4">
        <f>IF(OR(INDEX($AH$2:$AH$1001,MATCH(ROWS($AG$2:AG686),$AG$2:$AG$1001,0),1)&gt;=100000,INDEX($AN$1005:$BO$1005,1,MATCH(COLUMNS($AN$1006:BF1006),$AN$1006:$BO$1006,0))&gt;=100000), " ",IF(INDEX($AN$2:$BO$1001,MATCH(ROWS($AG$2:AG686),$AG$2:$AG$1001,0),MATCH(COLUMNS($AN$1006:BF1006),$AN$1006:$BO$1006,0)), HYPERLINK("#",""), HYPERLINK(CONCATENATE("#Metadata!", ADDRESS(INDEX($AI$2:$AI$1001,MATCH(ROWS($AG$2:AG686),$AG$2:$AG$1001,0),0), INDEX($AN$1004:$BO$1004,1,MATCH(COLUMNS($AN$1006:BF1006),$AN$1006:$BO$1006,0)))),"Fix")))</f>
        <v>0</v>
      </c>
      <c r="U686" s="4">
        <f>IF(OR(INDEX($AH$2:$AH$1001,MATCH(ROWS($AG$2:AG686),$AG$2:$AG$1001,0),1)&gt;=100000,INDEX($AN$1005:$BO$1005,1,MATCH(COLUMNS($AN$1006:BG1006),$AN$1006:$BO$1006,0))&gt;=100000), " ",IF(INDEX($AN$2:$BO$1001,MATCH(ROWS($AG$2:AG686),$AG$2:$AG$1001,0),MATCH(COLUMNS($AN$1006:BG1006),$AN$1006:$BO$1006,0)), HYPERLINK("#",""), HYPERLINK(CONCATENATE("#Metadata!", ADDRESS(INDEX($AI$2:$AI$1001,MATCH(ROWS($AG$2:AG686),$AG$2:$AG$1001,0),0), INDEX($AN$1004:$BO$1004,1,MATCH(COLUMNS($AN$1006:BG1006),$AN$1006:$BO$1006,0)))),"Fix")))</f>
        <v>0</v>
      </c>
      <c r="V686" s="4">
        <f>IF(OR(INDEX($AH$2:$AH$1001,MATCH(ROWS($AG$2:AG686),$AG$2:$AG$1001,0),1)&gt;=100000,INDEX($AN$1005:$BO$1005,1,MATCH(COLUMNS($AN$1006:BH1006),$AN$1006:$BO$1006,0))&gt;=100000), " ",IF(INDEX($AN$2:$BO$1001,MATCH(ROWS($AG$2:AG686),$AG$2:$AG$1001,0),MATCH(COLUMNS($AN$1006:BH1006),$AN$1006:$BO$1006,0)), HYPERLINK("#",""), HYPERLINK(CONCATENATE("#Metadata!", ADDRESS(INDEX($AI$2:$AI$1001,MATCH(ROWS($AG$2:AG686),$AG$2:$AG$1001,0),0), INDEX($AN$1004:$BO$1004,1,MATCH(COLUMNS($AN$1006:BH1006),$AN$1006:$BO$1006,0)))),"Fix")))</f>
        <v>0</v>
      </c>
      <c r="W686" s="4">
        <f>IF(OR(INDEX($AH$2:$AH$1001,MATCH(ROWS($AG$2:AG686),$AG$2:$AG$1001,0),1)&gt;=100000,INDEX($AN$1005:$BO$1005,1,MATCH(COLUMNS($AN$1006:BI1006),$AN$1006:$BO$1006,0))&gt;=100000), " ",IF(INDEX($AN$2:$BO$1001,MATCH(ROWS($AG$2:AG686),$AG$2:$AG$1001,0),MATCH(COLUMNS($AN$1006:BI1006),$AN$1006:$BO$1006,0)), HYPERLINK("#",""), HYPERLINK(CONCATENATE("#Metadata!", ADDRESS(INDEX($AI$2:$AI$1001,MATCH(ROWS($AG$2:AG686),$AG$2:$AG$1001,0),0), INDEX($AN$1004:$BO$1004,1,MATCH(COLUMNS($AN$1006:BI1006),$AN$1006:$BO$1006,0)))),"Fix")))</f>
        <v>0</v>
      </c>
      <c r="X686" s="4">
        <f>IF(OR(INDEX($AH$2:$AH$1001,MATCH(ROWS($AG$2:AG686),$AG$2:$AG$1001,0),1)&gt;=100000,INDEX($AN$1005:$BO$1005,1,MATCH(COLUMNS($AN$1006:BJ1006),$AN$1006:$BO$1006,0))&gt;=100000), " ",IF(INDEX($AN$2:$BO$1001,MATCH(ROWS($AG$2:AG686),$AG$2:$AG$1001,0),MATCH(COLUMNS($AN$1006:BJ1006),$AN$1006:$BO$1006,0)), HYPERLINK("#",""), HYPERLINK(CONCATENATE("#Metadata!", ADDRESS(INDEX($AI$2:$AI$1001,MATCH(ROWS($AG$2:AG686),$AG$2:$AG$1001,0),0), INDEX($AN$1004:$BO$1004,1,MATCH(COLUMNS($AN$1006:BJ1006),$AN$1006:$BO$1006,0)))),"Fix")))</f>
        <v>0</v>
      </c>
      <c r="Y686" s="4">
        <f>IF(OR(INDEX($AH$2:$AH$1001,MATCH(ROWS($AG$2:AG686),$AG$2:$AG$1001,0),1)&gt;=100000,INDEX($AN$1005:$BO$1005,1,MATCH(COLUMNS($AN$1006:BK1006),$AN$1006:$BO$1006,0))&gt;=100000), " ",IF(INDEX($AN$2:$BO$1001,MATCH(ROWS($AG$2:AG686),$AG$2:$AG$1001,0),MATCH(COLUMNS($AN$1006:BK1006),$AN$1006:$BO$1006,0)), HYPERLINK("#",""), HYPERLINK(CONCATENATE("#Metadata!", ADDRESS(INDEX($AI$2:$AI$1001,MATCH(ROWS($AG$2:AG686),$AG$2:$AG$1001,0),0), INDEX($AN$1004:$BO$1004,1,MATCH(COLUMNS($AN$1006:BK1006),$AN$1006:$BO$1006,0)))),"Fix")))</f>
        <v>0</v>
      </c>
      <c r="Z686" s="4">
        <f>IF(OR(INDEX($AH$2:$AH$1001,MATCH(ROWS($AG$2:AG686),$AG$2:$AG$1001,0),1)&gt;=100000,INDEX($AN$1005:$BO$1005,1,MATCH(COLUMNS($AN$1006:BL1006),$AN$1006:$BO$1006,0))&gt;=100000), " ",IF(INDEX($AN$2:$BO$1001,MATCH(ROWS($AG$2:AG686),$AG$2:$AG$1001,0),MATCH(COLUMNS($AN$1006:BL1006),$AN$1006:$BO$1006,0)), HYPERLINK("#",""), HYPERLINK(CONCATENATE("#Metadata!", ADDRESS(INDEX($AI$2:$AI$1001,MATCH(ROWS($AG$2:AG686),$AG$2:$AG$1001,0),0), INDEX($AN$1004:$BO$1004,1,MATCH(COLUMNS($AN$1006:BL1006),$AN$1006:$BO$1006,0)))),"Fix")))</f>
        <v>0</v>
      </c>
      <c r="AA686" s="4">
        <f>IF(OR(INDEX($AH$2:$AH$1001,MATCH(ROWS($AG$2:AG686),$AG$2:$AG$1001,0),1)&gt;=100000,INDEX($AN$1005:$BO$1005,1,MATCH(COLUMNS($AN$1006:BM1006),$AN$1006:$BO$1006,0))&gt;=100000), " ",IF(INDEX($AN$2:$BO$1001,MATCH(ROWS($AG$2:AG686),$AG$2:$AG$1001,0),MATCH(COLUMNS($AN$1006:BM1006),$AN$1006:$BO$1006,0)), HYPERLINK("#",""), HYPERLINK(CONCATENATE("#Metadata!", ADDRESS(INDEX($AI$2:$AI$1001,MATCH(ROWS($AG$2:AG686),$AG$2:$AG$1001,0),0), INDEX($AN$1004:$BO$1004,1,MATCH(COLUMNS($AN$1006:BM1006),$AN$1006:$BO$1006,0)))),"Fix")))</f>
        <v>0</v>
      </c>
      <c r="AB686" s="4">
        <f>IF(OR(INDEX($AH$2:$AH$1001,MATCH(ROWS($AG$2:AG686),$AG$2:$AG$1001,0),1)&gt;=100000,INDEX($AN$1005:$BO$1005,1,MATCH(COLUMNS($AN$1006:BN1006),$AN$1006:$BO$1006,0))&gt;=100000), " ",IF(INDEX($AN$2:$BO$1001,MATCH(ROWS($AG$2:AG686),$AG$2:$AG$1001,0),MATCH(COLUMNS($AN$1006:BN1006),$AN$1006:$BO$1006,0)), HYPERLINK("#",""), HYPERLINK(CONCATENATE("#Metadata!", ADDRESS(INDEX($AI$2:$AI$1001,MATCH(ROWS($AG$2:AG686),$AG$2:$AG$1001,0),0), INDEX($AN$1004:$BO$1004,1,MATCH(COLUMNS($AN$1006:BN1006),$AN$1006:$BO$1006,0)))),"Fix")))</f>
        <v>0</v>
      </c>
      <c r="AC686" s="4">
        <f>IF(OR(INDEX($AH$2:$AH$1001,MATCH(ROWS($AG$2:AG686),$AG$2:$AG$1001,0),1)&gt;=100000,INDEX($AN$1005:$BO$1005,1,MATCH(COLUMNS($AN$1006:BO1006),$AN$1006:$BO$1006,0))&gt;=100000), " ",IF(INDEX($AN$2:$BO$1001,MATCH(ROWS($AG$2:AG686),$AG$2:$AG$1001,0),MATCH(COLUMNS($AN$1006:BO1006),$AN$1006:$BO$1006,0)), HYPERLINK("#",""), HYPERLINK(CONCATENATE("#Metadata!", ADDRESS(INDEX($AI$2:$AI$1001,MATCH(ROWS($AG$2:AG686),$AG$2:$AG$1001,0),0), INDEX($AN$1004:$BO$1004,1,MATCH(COLUMNS($AN$1006:BO1006),$AN$1006:$BO$1006,0)))),"Fix")))</f>
        <v>0</v>
      </c>
      <c r="AG686">
        <v>0</v>
      </c>
      <c r="AH686">
        <v>0</v>
      </c>
      <c r="AI686">
        <v>0</v>
      </c>
      <c r="AJ686">
        <f>IF(AK686,TRUE,AND(AN686:BO686))</f>
        <v>0</v>
      </c>
      <c r="AK686">
        <f>COUNTBLANK(Metadata!B686:AC686)=COLUMNS(Metadata!B686:AC686)</f>
        <v>0</v>
      </c>
      <c r="AL686">
        <v>0</v>
      </c>
      <c r="AN686">
        <f>AND(IF(Metadata!B686="",FALSE,TRUE),COUNTIF(Metadata!B:B, Metadata!B686) = 1,NOT(ISERROR(SUMPRODUCT(SEARCH(MID(Metadata!B686,ROW(INDIRECT("1:"&amp;LEN(Metadata!B686))), 1),"0123456789abcdefghijklmnopqrstuvwxyzABCDEFGHIJKLMNOPQRSTUVWXYZ.")))))</f>
        <v>0</v>
      </c>
      <c r="AO686">
        <f>IF(Metadata!C686="",FALSE,TRUE)</f>
        <v>0</v>
      </c>
      <c r="AP686">
        <f>IF(Metadata!D686="",FALSE,TRUE)</f>
        <v>0</v>
      </c>
      <c r="AQ686">
        <f>OR(AND(IF(Metadata!E686="",FALSE,TRUE),OR(exact(Metadata!E686,"not collected"),exact(Metadata!E686,"not provided"),exact(Metadata!E686,"restricted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R686">
        <f>IF(Metadata!F686="",FALSE,TRUE)</f>
        <v>0</v>
      </c>
      <c r="AS686">
        <f>OR(AND(IF(Metadata!G686="",FALSE,TRUE),OR(exact(Metadata!G686,"not collected"),exact(Metadata!G686,"not provided"))),AND(IF(Metadata!G686="",FALSE,TRUE),OR(exact(Metadata!G686,"TRUE"),exact(Metadata!G686,"FALSE"))))</f>
        <v>0</v>
      </c>
      <c r="AT686">
        <f>OR(AND(IF(Metadata!H686="",FALSE,TRUE),OR(exact(Metadata!H686,"not collected"),exact(Metadata!H686,"not provided"),exact(Metadata!H686,"restricted access"))),AND(IF(Metadata!H686="",FALSE,ISNUMBER(VALUE(Metadata!H686))),Metadata!H686&gt;=-413.0))</f>
        <v>0</v>
      </c>
      <c r="AU686">
        <f>AND(IF(Metadata!I686="",FALSE,TRUE),exact(Metadata!I686,"meters"))</f>
        <v>0</v>
      </c>
      <c r="AV686">
        <f>AND(IF(Metadata!J686="",FALSE,TRUE),OR(exact(Metadata!J686,"Host-associated"),exact(Metadata!J686,"Free-living")))</f>
        <v>0</v>
      </c>
      <c r="AW686">
        <f>AND(IF(Metadata!K686="",FALSE,TRUE),OR(exact(Metadata!K686,"Animal"),exact(Metadata!K686,"Fungus"),exact(Metadata!K686,"Plant"),exact(Metadata!K686,"Saline"),exact(Metadata!K686,"Non-saline")))</f>
        <v>0</v>
      </c>
      <c r="AX686">
        <f>AND(IF(Metadata!L686="",FALSE,TRUE),OR(exact(Metadata!L686,"Plant secretion"),exact(Metadata!L686,"Plant rhizosphere"),exact(Metadata!L686,"Plant surface"),exact(Metadata!L686,"Plant corpus"),exact(Metadata!L686,"Fungus surface"),exact(Metadata!L686,"Fungus corpus"),exact(Metadata!L686,"Animal surface"),exact(Metadata!L686,"Animal proximal gut"),exact(Metadata!L686,"Animal corpus"),exact(Metadata!L686,"Animal distal gut"),exact(Metadata!L686,"Animal secretion"),exact(Metadata!L686,"Sub-surface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Y686">
        <f>IF(Metadata!M686="",FALSE,TRUE)</f>
        <v>0</v>
      </c>
      <c r="AZ686">
        <f>IF(Metadata!N686="",FALSE,TRUE)</f>
        <v>0</v>
      </c>
      <c r="BA686">
        <f>IF(Metadata!O686="",FALSE,TRUE)</f>
        <v>0</v>
      </c>
      <c r="BB686">
        <f>OR(AND(IF(Metadata!P686="",FALSE,TRUE),OR(exact(Metadata!P686,"not collected"),exact(Metadata!P686,"not provided"),exact(Metadata!P686,"restricted access"))),AND(IF(Metadata!P686="",FALSE,TRUE),OR(exact(Metadata!P686,"air"),exact(Metadata!P686,"built environment"),exact(Metadata!P686,"host-associated"),exact(Metadata!P686,"human-associated"),exact(Metadata!P686,"human-skin"),exact(Metadata!P686,"human-oral"),exact(Metadata!P686,"human-gut"),exact(Metadata!P686,"human-vaginal"),exact(Metadata!P686,"microbial mat/biofilm"),exact(Metadata!P686,"misc environment"),exact(Metadata!P686,"plant-associated"),exact(Metadata!P686,"sediment"),exact(Metadata!P686,"soil"),exact(Metadata!P686,"wastewater/sludge"),exact(Metadata!P686,"water"))))</f>
        <v>0</v>
      </c>
      <c r="BC686">
        <f>IF(Metadata!Q686="",FALSE,TRUE)</f>
        <v>0</v>
      </c>
      <c r="BD686">
        <f>IF(Metadata!R686="",FALSE,TRUE)</f>
        <v>0</v>
      </c>
      <c r="BE686">
        <f>OR(AND(IF(Metadata!S686="",FALSE,TRUE),OR(exact(Metadata!S686,"not collected"),exact(Metadata!S686,"not provided"),exact(Metadata!S686,"restricted access"))),AND(IF(Metadata!S686="",FALSE,ISNUMBER(VALUE(Metadata!S686))),Metadata!S686&gt;=-90.00,Metadata!S686&lt;=90.00))</f>
        <v>0</v>
      </c>
      <c r="BF686">
        <f>AND(IF(Metadata!T686="",FALSE,TRUE),exact(Metadata!T686,"Decimal degrees"))</f>
        <v>0</v>
      </c>
      <c r="BG686">
        <f>OR(AND(IF(Metadata!U686="",FALSE,TRUE),OR(exact(Metadata!U686,"not collected"),exact(Metadata!U686,"not provided"),exact(Metadata!U686,"restricted access"))),AND(IF(Metadata!U686="",FALSE,ISNUMBER(VALUE(Metadata!U686))),Metadata!U686&gt;=-180.00,Metadata!U686&lt;=180.00))</f>
        <v>0</v>
      </c>
      <c r="BH686">
        <f>AND(IF(Metadata!V686="",FALSE,TRUE),exact(Metadata!V686,"Decimal degrees"))</f>
        <v>0</v>
      </c>
      <c r="BI686">
        <f>IF(Metadata!W686="",FALSE,TRUE)</f>
        <v>0</v>
      </c>
      <c r="BJ686">
        <f>OR(AND(IF(Metadata!X686="",FALSE,TRUE),OR(exact(Metadata!X686,"not collected"),exact(Metadata!X686,"not provided"),exact(Metadata!X686,"restricted access"))),AND(IF(Metadata!X686="",FALSE,TRUE),OR(exact(Metadata!X686,"TRUE"),exact(Metadata!X686,"FALSE"))))</f>
        <v>0</v>
      </c>
      <c r="BK686">
        <f>AND(IF(Metadata!Y686="",FALSE,TRUE),exact(Metadata!Y686,"other"))</f>
        <v>0</v>
      </c>
      <c r="BL686">
        <f>IF(Metadata!Z686="",FALSE,TRUE)</f>
        <v>0</v>
      </c>
      <c r="BM686">
        <f>OR(AND(IF(Metadata!AA686="",FALSE,TRUE),OR(exact(Metadata!AA686,"not collected"),exact(Metadata!AA686,"not provided"))),AND(IF(Metadata!AA686="",FALSE,IF(ISERROR(INT(Metadata!AA686)),FALSE,INT(Metadata!AA686)=Metadata!AA686)),Metadata!AA686&gt;0))</f>
        <v>0</v>
      </c>
      <c r="BN686">
        <f>AND(IF(Metadata!AB686="",FALSE,TRUE),exact(Metadata!AB686,"Not applicable"))</f>
        <v>0</v>
      </c>
      <c r="BO686">
        <f>IF(Metadata!AC686="",FALSE,TRUE)</f>
        <v>0</v>
      </c>
    </row>
    <row r="687" spans="1:67">
      <c r="A687" s="5">
        <f>IF(B687=" "," ",HYPERLINK(CONCATENATE("#metadata!",ADDRESS(INDEX($AI$2:$AI$1001,MATCH(ROWS($AG$2:AG687),$AG$2:$AG$1001,0),0),1)),INDEX($AL$2:$AL$1001,MATCH(ROWS($AG$2:AG687),$AG$2:$AG$1001,0),0)))</f>
        <v>0</v>
      </c>
      <c r="B687" s="4">
        <f>IF(OR(INDEX($AH$2:$AH$1001,MATCH(ROWS($AG$2:AG687),$AG$2:$AG$1001,0),1)&gt;=100000,INDEX($AN$1005:$BO$1005,1,MATCH(COLUMNS($AN$1006:AN1006),$AN$1006:$BO$1006,0))&gt;=100000), " ",IF(INDEX($AN$2:$BO$1001,MATCH(ROWS($AG$2:AG687),$AG$2:$AG$1001,0),MATCH(COLUMNS($AN$1006:AN1006),$AN$1006:$BO$1006,0)), HYPERLINK("#",""), HYPERLINK(CONCATENATE("#Metadata!", ADDRESS(INDEX($AI$2:$AI$1001,MATCH(ROWS($AG$2:AG687),$AG$2:$AG$1001,0),0), INDEX($AN$1004:$BO$1004,1,MATCH(COLUMNS($AN$1006:AN1006),$AN$1006:$BO$1006,0)))),"Fix")))</f>
        <v>0</v>
      </c>
      <c r="C687" s="4">
        <f>IF(OR(INDEX($AH$2:$AH$1001,MATCH(ROWS($AG$2:AG687),$AG$2:$AG$1001,0),1)&gt;=100000,INDEX($AN$1005:$BO$1005,1,MATCH(COLUMNS($AN$1006:AO1006),$AN$1006:$BO$1006,0))&gt;=100000), " ",IF(INDEX($AN$2:$BO$1001,MATCH(ROWS($AG$2:AG687),$AG$2:$AG$1001,0),MATCH(COLUMNS($AN$1006:AO1006),$AN$1006:$BO$1006,0)), HYPERLINK("#",""), HYPERLINK(CONCATENATE("#Metadata!", ADDRESS(INDEX($AI$2:$AI$1001,MATCH(ROWS($AG$2:AG687),$AG$2:$AG$1001,0),0), INDEX($AN$1004:$BO$1004,1,MATCH(COLUMNS($AN$1006:AO1006),$AN$1006:$BO$1006,0)))),"Fix")))</f>
        <v>0</v>
      </c>
      <c r="D687" s="4">
        <f>IF(OR(INDEX($AH$2:$AH$1001,MATCH(ROWS($AG$2:AG687),$AG$2:$AG$1001,0),1)&gt;=100000,INDEX($AN$1005:$BO$1005,1,MATCH(COLUMNS($AN$1006:AP1006),$AN$1006:$BO$1006,0))&gt;=100000), " ",IF(INDEX($AN$2:$BO$1001,MATCH(ROWS($AG$2:AG687),$AG$2:$AG$1001,0),MATCH(COLUMNS($AN$1006:AP1006),$AN$1006:$BO$1006,0)), HYPERLINK("#",""), HYPERLINK(CONCATENATE("#Metadata!", ADDRESS(INDEX($AI$2:$AI$1001,MATCH(ROWS($AG$2:AG687),$AG$2:$AG$1001,0),0), INDEX($AN$1004:$BO$1004,1,MATCH(COLUMNS($AN$1006:AP1006),$AN$1006:$BO$1006,0)))),"Fix")))</f>
        <v>0</v>
      </c>
      <c r="E687" s="4">
        <f>IF(OR(INDEX($AH$2:$AH$1001,MATCH(ROWS($AG$2:AG687),$AG$2:$AG$1001,0),1)&gt;=100000,INDEX($AN$1005:$BO$1005,1,MATCH(COLUMNS($AN$1006:AQ1006),$AN$1006:$BO$1006,0))&gt;=100000), " ",IF(INDEX($AN$2:$BO$1001,MATCH(ROWS($AG$2:AG687),$AG$2:$AG$1001,0),MATCH(COLUMNS($AN$1006:AQ1006),$AN$1006:$BO$1006,0)), HYPERLINK("#",""), HYPERLINK(CONCATENATE("#Metadata!", ADDRESS(INDEX($AI$2:$AI$1001,MATCH(ROWS($AG$2:AG687),$AG$2:$AG$1001,0),0), INDEX($AN$1004:$BO$1004,1,MATCH(COLUMNS($AN$1006:AQ1006),$AN$1006:$BO$1006,0)))),"Fix")))</f>
        <v>0</v>
      </c>
      <c r="F687" s="4">
        <f>IF(OR(INDEX($AH$2:$AH$1001,MATCH(ROWS($AG$2:AG687),$AG$2:$AG$1001,0),1)&gt;=100000,INDEX($AN$1005:$BO$1005,1,MATCH(COLUMNS($AN$1006:AR1006),$AN$1006:$BO$1006,0))&gt;=100000), " ",IF(INDEX($AN$2:$BO$1001,MATCH(ROWS($AG$2:AG687),$AG$2:$AG$1001,0),MATCH(COLUMNS($AN$1006:AR1006),$AN$1006:$BO$1006,0)), HYPERLINK("#",""), HYPERLINK(CONCATENATE("#Metadata!", ADDRESS(INDEX($AI$2:$AI$1001,MATCH(ROWS($AG$2:AG687),$AG$2:$AG$1001,0),0), INDEX($AN$1004:$BO$1004,1,MATCH(COLUMNS($AN$1006:AR1006),$AN$1006:$BO$1006,0)))),"Fix")))</f>
        <v>0</v>
      </c>
      <c r="G687" s="4">
        <f>IF(OR(INDEX($AH$2:$AH$1001,MATCH(ROWS($AG$2:AG687),$AG$2:$AG$1001,0),1)&gt;=100000,INDEX($AN$1005:$BO$1005,1,MATCH(COLUMNS($AN$1006:AS1006),$AN$1006:$BO$1006,0))&gt;=100000), " ",IF(INDEX($AN$2:$BO$1001,MATCH(ROWS($AG$2:AG687),$AG$2:$AG$1001,0),MATCH(COLUMNS($AN$1006:AS1006),$AN$1006:$BO$1006,0)), HYPERLINK("#",""), HYPERLINK(CONCATENATE("#Metadata!", ADDRESS(INDEX($AI$2:$AI$1001,MATCH(ROWS($AG$2:AG687),$AG$2:$AG$1001,0),0), INDEX($AN$1004:$BO$1004,1,MATCH(COLUMNS($AN$1006:AS1006),$AN$1006:$BO$1006,0)))),"Fix")))</f>
        <v>0</v>
      </c>
      <c r="H687" s="4">
        <f>IF(OR(INDEX($AH$2:$AH$1001,MATCH(ROWS($AG$2:AG687),$AG$2:$AG$1001,0),1)&gt;=100000,INDEX($AN$1005:$BO$1005,1,MATCH(COLUMNS($AN$1006:AT1006),$AN$1006:$BO$1006,0))&gt;=100000), " ",IF(INDEX($AN$2:$BO$1001,MATCH(ROWS($AG$2:AG687),$AG$2:$AG$1001,0),MATCH(COLUMNS($AN$1006:AT1006),$AN$1006:$BO$1006,0)), HYPERLINK("#",""), HYPERLINK(CONCATENATE("#Metadata!", ADDRESS(INDEX($AI$2:$AI$1001,MATCH(ROWS($AG$2:AG687),$AG$2:$AG$1001,0),0), INDEX($AN$1004:$BO$1004,1,MATCH(COLUMNS($AN$1006:AT1006),$AN$1006:$BO$1006,0)))),"Fix")))</f>
        <v>0</v>
      </c>
      <c r="I687" s="4">
        <f>IF(OR(INDEX($AH$2:$AH$1001,MATCH(ROWS($AG$2:AG687),$AG$2:$AG$1001,0),1)&gt;=100000,INDEX($AN$1005:$BO$1005,1,MATCH(COLUMNS($AN$1006:AU1006),$AN$1006:$BO$1006,0))&gt;=100000), " ",IF(INDEX($AN$2:$BO$1001,MATCH(ROWS($AG$2:AG687),$AG$2:$AG$1001,0),MATCH(COLUMNS($AN$1006:AU1006),$AN$1006:$BO$1006,0)), HYPERLINK("#",""), HYPERLINK(CONCATENATE("#Metadata!", ADDRESS(INDEX($AI$2:$AI$1001,MATCH(ROWS($AG$2:AG687),$AG$2:$AG$1001,0),0), INDEX($AN$1004:$BO$1004,1,MATCH(COLUMNS($AN$1006:AU1006),$AN$1006:$BO$1006,0)))),"Fix")))</f>
        <v>0</v>
      </c>
      <c r="J687" s="4">
        <f>IF(OR(INDEX($AH$2:$AH$1001,MATCH(ROWS($AG$2:AG687),$AG$2:$AG$1001,0),1)&gt;=100000,INDEX($AN$1005:$BO$1005,1,MATCH(COLUMNS($AN$1006:AV1006),$AN$1006:$BO$1006,0))&gt;=100000), " ",IF(INDEX($AN$2:$BO$1001,MATCH(ROWS($AG$2:AG687),$AG$2:$AG$1001,0),MATCH(COLUMNS($AN$1006:AV1006),$AN$1006:$BO$1006,0)), HYPERLINK("#",""), HYPERLINK(CONCATENATE("#Metadata!", ADDRESS(INDEX($AI$2:$AI$1001,MATCH(ROWS($AG$2:AG687),$AG$2:$AG$1001,0),0), INDEX($AN$1004:$BO$1004,1,MATCH(COLUMNS($AN$1006:AV1006),$AN$1006:$BO$1006,0)))),"Fix")))</f>
        <v>0</v>
      </c>
      <c r="K687" s="4">
        <f>IF(OR(INDEX($AH$2:$AH$1001,MATCH(ROWS($AG$2:AG687),$AG$2:$AG$1001,0),1)&gt;=100000,INDEX($AN$1005:$BO$1005,1,MATCH(COLUMNS($AN$1006:AW1006),$AN$1006:$BO$1006,0))&gt;=100000), " ",IF(INDEX($AN$2:$BO$1001,MATCH(ROWS($AG$2:AG687),$AG$2:$AG$1001,0),MATCH(COLUMNS($AN$1006:AW1006),$AN$1006:$BO$1006,0)), HYPERLINK("#",""), HYPERLINK(CONCATENATE("#Metadata!", ADDRESS(INDEX($AI$2:$AI$1001,MATCH(ROWS($AG$2:AG687),$AG$2:$AG$1001,0),0), INDEX($AN$1004:$BO$1004,1,MATCH(COLUMNS($AN$1006:AW1006),$AN$1006:$BO$1006,0)))),"Fix")))</f>
        <v>0</v>
      </c>
      <c r="L687" s="4">
        <f>IF(OR(INDEX($AH$2:$AH$1001,MATCH(ROWS($AG$2:AG687),$AG$2:$AG$1001,0),1)&gt;=100000,INDEX($AN$1005:$BO$1005,1,MATCH(COLUMNS($AN$1006:AX1006),$AN$1006:$BO$1006,0))&gt;=100000), " ",IF(INDEX($AN$2:$BO$1001,MATCH(ROWS($AG$2:AG687),$AG$2:$AG$1001,0),MATCH(COLUMNS($AN$1006:AX1006),$AN$1006:$BO$1006,0)), HYPERLINK("#",""), HYPERLINK(CONCATENATE("#Metadata!", ADDRESS(INDEX($AI$2:$AI$1001,MATCH(ROWS($AG$2:AG687),$AG$2:$AG$1001,0),0), INDEX($AN$1004:$BO$1004,1,MATCH(COLUMNS($AN$1006:AX1006),$AN$1006:$BO$1006,0)))),"Fix")))</f>
        <v>0</v>
      </c>
      <c r="M687" s="4">
        <f>IF(OR(INDEX($AH$2:$AH$1001,MATCH(ROWS($AG$2:AG687),$AG$2:$AG$1001,0),1)&gt;=100000,INDEX($AN$1005:$BO$1005,1,MATCH(COLUMNS($AN$1006:AY1006),$AN$1006:$BO$1006,0))&gt;=100000), " ",IF(INDEX($AN$2:$BO$1001,MATCH(ROWS($AG$2:AG687),$AG$2:$AG$1001,0),MATCH(COLUMNS($AN$1006:AY1006),$AN$1006:$BO$1006,0)), HYPERLINK("#",""), HYPERLINK(CONCATENATE("#Metadata!", ADDRESS(INDEX($AI$2:$AI$1001,MATCH(ROWS($AG$2:AG687),$AG$2:$AG$1001,0),0), INDEX($AN$1004:$BO$1004,1,MATCH(COLUMNS($AN$1006:AY1006),$AN$1006:$BO$1006,0)))),"Fix")))</f>
        <v>0</v>
      </c>
      <c r="N687" s="4">
        <f>IF(OR(INDEX($AH$2:$AH$1001,MATCH(ROWS($AG$2:AG687),$AG$2:$AG$1001,0),1)&gt;=100000,INDEX($AN$1005:$BO$1005,1,MATCH(COLUMNS($AN$1006:AZ1006),$AN$1006:$BO$1006,0))&gt;=100000), " ",IF(INDEX($AN$2:$BO$1001,MATCH(ROWS($AG$2:AG687),$AG$2:$AG$1001,0),MATCH(COLUMNS($AN$1006:AZ1006),$AN$1006:$BO$1006,0)), HYPERLINK("#",""), HYPERLINK(CONCATENATE("#Metadata!", ADDRESS(INDEX($AI$2:$AI$1001,MATCH(ROWS($AG$2:AG687),$AG$2:$AG$1001,0),0), INDEX($AN$1004:$BO$1004,1,MATCH(COLUMNS($AN$1006:AZ1006),$AN$1006:$BO$1006,0)))),"Fix")))</f>
        <v>0</v>
      </c>
      <c r="O687" s="4">
        <f>IF(OR(INDEX($AH$2:$AH$1001,MATCH(ROWS($AG$2:AG687),$AG$2:$AG$1001,0),1)&gt;=100000,INDEX($AN$1005:$BO$1005,1,MATCH(COLUMNS($AN$1006:BA1006),$AN$1006:$BO$1006,0))&gt;=100000), " ",IF(INDEX($AN$2:$BO$1001,MATCH(ROWS($AG$2:AG687),$AG$2:$AG$1001,0),MATCH(COLUMNS($AN$1006:BA1006),$AN$1006:$BO$1006,0)), HYPERLINK("#",""), HYPERLINK(CONCATENATE("#Metadata!", ADDRESS(INDEX($AI$2:$AI$1001,MATCH(ROWS($AG$2:AG687),$AG$2:$AG$1001,0),0), INDEX($AN$1004:$BO$1004,1,MATCH(COLUMNS($AN$1006:BA1006),$AN$1006:$BO$1006,0)))),"Fix")))</f>
        <v>0</v>
      </c>
      <c r="P687" s="4">
        <f>IF(OR(INDEX($AH$2:$AH$1001,MATCH(ROWS($AG$2:AG687),$AG$2:$AG$1001,0),1)&gt;=100000,INDEX($AN$1005:$BO$1005,1,MATCH(COLUMNS($AN$1006:BB1006),$AN$1006:$BO$1006,0))&gt;=100000), " ",IF(INDEX($AN$2:$BO$1001,MATCH(ROWS($AG$2:AG687),$AG$2:$AG$1001,0),MATCH(COLUMNS($AN$1006:BB1006),$AN$1006:$BO$1006,0)), HYPERLINK("#",""), HYPERLINK(CONCATENATE("#Metadata!", ADDRESS(INDEX($AI$2:$AI$1001,MATCH(ROWS($AG$2:AG687),$AG$2:$AG$1001,0),0), INDEX($AN$1004:$BO$1004,1,MATCH(COLUMNS($AN$1006:BB1006),$AN$1006:$BO$1006,0)))),"Fix")))</f>
        <v>0</v>
      </c>
      <c r="Q687" s="4">
        <f>IF(OR(INDEX($AH$2:$AH$1001,MATCH(ROWS($AG$2:AG687),$AG$2:$AG$1001,0),1)&gt;=100000,INDEX($AN$1005:$BO$1005,1,MATCH(COLUMNS($AN$1006:BC1006),$AN$1006:$BO$1006,0))&gt;=100000), " ",IF(INDEX($AN$2:$BO$1001,MATCH(ROWS($AG$2:AG687),$AG$2:$AG$1001,0),MATCH(COLUMNS($AN$1006:BC1006),$AN$1006:$BO$1006,0)), HYPERLINK("#",""), HYPERLINK(CONCATENATE("#Metadata!", ADDRESS(INDEX($AI$2:$AI$1001,MATCH(ROWS($AG$2:AG687),$AG$2:$AG$1001,0),0), INDEX($AN$1004:$BO$1004,1,MATCH(COLUMNS($AN$1006:BC1006),$AN$1006:$BO$1006,0)))),"Fix")))</f>
        <v>0</v>
      </c>
      <c r="R687" s="4">
        <f>IF(OR(INDEX($AH$2:$AH$1001,MATCH(ROWS($AG$2:AG687),$AG$2:$AG$1001,0),1)&gt;=100000,INDEX($AN$1005:$BO$1005,1,MATCH(COLUMNS($AN$1006:BD1006),$AN$1006:$BO$1006,0))&gt;=100000), " ",IF(INDEX($AN$2:$BO$1001,MATCH(ROWS($AG$2:AG687),$AG$2:$AG$1001,0),MATCH(COLUMNS($AN$1006:BD1006),$AN$1006:$BO$1006,0)), HYPERLINK("#",""), HYPERLINK(CONCATENATE("#Metadata!", ADDRESS(INDEX($AI$2:$AI$1001,MATCH(ROWS($AG$2:AG687),$AG$2:$AG$1001,0),0), INDEX($AN$1004:$BO$1004,1,MATCH(COLUMNS($AN$1006:BD1006),$AN$1006:$BO$1006,0)))),"Fix")))</f>
        <v>0</v>
      </c>
      <c r="S687" s="4">
        <f>IF(OR(INDEX($AH$2:$AH$1001,MATCH(ROWS($AG$2:AG687),$AG$2:$AG$1001,0),1)&gt;=100000,INDEX($AN$1005:$BO$1005,1,MATCH(COLUMNS($AN$1006:BE1006),$AN$1006:$BO$1006,0))&gt;=100000), " ",IF(INDEX($AN$2:$BO$1001,MATCH(ROWS($AG$2:AG687),$AG$2:$AG$1001,0),MATCH(COLUMNS($AN$1006:BE1006),$AN$1006:$BO$1006,0)), HYPERLINK("#",""), HYPERLINK(CONCATENATE("#Metadata!", ADDRESS(INDEX($AI$2:$AI$1001,MATCH(ROWS($AG$2:AG687),$AG$2:$AG$1001,0),0), INDEX($AN$1004:$BO$1004,1,MATCH(COLUMNS($AN$1006:BE1006),$AN$1006:$BO$1006,0)))),"Fix")))</f>
        <v>0</v>
      </c>
      <c r="T687" s="4">
        <f>IF(OR(INDEX($AH$2:$AH$1001,MATCH(ROWS($AG$2:AG687),$AG$2:$AG$1001,0),1)&gt;=100000,INDEX($AN$1005:$BO$1005,1,MATCH(COLUMNS($AN$1006:BF1006),$AN$1006:$BO$1006,0))&gt;=100000), " ",IF(INDEX($AN$2:$BO$1001,MATCH(ROWS($AG$2:AG687),$AG$2:$AG$1001,0),MATCH(COLUMNS($AN$1006:BF1006),$AN$1006:$BO$1006,0)), HYPERLINK("#",""), HYPERLINK(CONCATENATE("#Metadata!", ADDRESS(INDEX($AI$2:$AI$1001,MATCH(ROWS($AG$2:AG687),$AG$2:$AG$1001,0),0), INDEX($AN$1004:$BO$1004,1,MATCH(COLUMNS($AN$1006:BF1006),$AN$1006:$BO$1006,0)))),"Fix")))</f>
        <v>0</v>
      </c>
      <c r="U687" s="4">
        <f>IF(OR(INDEX($AH$2:$AH$1001,MATCH(ROWS($AG$2:AG687),$AG$2:$AG$1001,0),1)&gt;=100000,INDEX($AN$1005:$BO$1005,1,MATCH(COLUMNS($AN$1006:BG1006),$AN$1006:$BO$1006,0))&gt;=100000), " ",IF(INDEX($AN$2:$BO$1001,MATCH(ROWS($AG$2:AG687),$AG$2:$AG$1001,0),MATCH(COLUMNS($AN$1006:BG1006),$AN$1006:$BO$1006,0)), HYPERLINK("#",""), HYPERLINK(CONCATENATE("#Metadata!", ADDRESS(INDEX($AI$2:$AI$1001,MATCH(ROWS($AG$2:AG687),$AG$2:$AG$1001,0),0), INDEX($AN$1004:$BO$1004,1,MATCH(COLUMNS($AN$1006:BG1006),$AN$1006:$BO$1006,0)))),"Fix")))</f>
        <v>0</v>
      </c>
      <c r="V687" s="4">
        <f>IF(OR(INDEX($AH$2:$AH$1001,MATCH(ROWS($AG$2:AG687),$AG$2:$AG$1001,0),1)&gt;=100000,INDEX($AN$1005:$BO$1005,1,MATCH(COLUMNS($AN$1006:BH1006),$AN$1006:$BO$1006,0))&gt;=100000), " ",IF(INDEX($AN$2:$BO$1001,MATCH(ROWS($AG$2:AG687),$AG$2:$AG$1001,0),MATCH(COLUMNS($AN$1006:BH1006),$AN$1006:$BO$1006,0)), HYPERLINK("#",""), HYPERLINK(CONCATENATE("#Metadata!", ADDRESS(INDEX($AI$2:$AI$1001,MATCH(ROWS($AG$2:AG687),$AG$2:$AG$1001,0),0), INDEX($AN$1004:$BO$1004,1,MATCH(COLUMNS($AN$1006:BH1006),$AN$1006:$BO$1006,0)))),"Fix")))</f>
        <v>0</v>
      </c>
      <c r="W687" s="4">
        <f>IF(OR(INDEX($AH$2:$AH$1001,MATCH(ROWS($AG$2:AG687),$AG$2:$AG$1001,0),1)&gt;=100000,INDEX($AN$1005:$BO$1005,1,MATCH(COLUMNS($AN$1006:BI1006),$AN$1006:$BO$1006,0))&gt;=100000), " ",IF(INDEX($AN$2:$BO$1001,MATCH(ROWS($AG$2:AG687),$AG$2:$AG$1001,0),MATCH(COLUMNS($AN$1006:BI1006),$AN$1006:$BO$1006,0)), HYPERLINK("#",""), HYPERLINK(CONCATENATE("#Metadata!", ADDRESS(INDEX($AI$2:$AI$1001,MATCH(ROWS($AG$2:AG687),$AG$2:$AG$1001,0),0), INDEX($AN$1004:$BO$1004,1,MATCH(COLUMNS($AN$1006:BI1006),$AN$1006:$BO$1006,0)))),"Fix")))</f>
        <v>0</v>
      </c>
      <c r="X687" s="4">
        <f>IF(OR(INDEX($AH$2:$AH$1001,MATCH(ROWS($AG$2:AG687),$AG$2:$AG$1001,0),1)&gt;=100000,INDEX($AN$1005:$BO$1005,1,MATCH(COLUMNS($AN$1006:BJ1006),$AN$1006:$BO$1006,0))&gt;=100000), " ",IF(INDEX($AN$2:$BO$1001,MATCH(ROWS($AG$2:AG687),$AG$2:$AG$1001,0),MATCH(COLUMNS($AN$1006:BJ1006),$AN$1006:$BO$1006,0)), HYPERLINK("#",""), HYPERLINK(CONCATENATE("#Metadata!", ADDRESS(INDEX($AI$2:$AI$1001,MATCH(ROWS($AG$2:AG687),$AG$2:$AG$1001,0),0), INDEX($AN$1004:$BO$1004,1,MATCH(COLUMNS($AN$1006:BJ1006),$AN$1006:$BO$1006,0)))),"Fix")))</f>
        <v>0</v>
      </c>
      <c r="Y687" s="4">
        <f>IF(OR(INDEX($AH$2:$AH$1001,MATCH(ROWS($AG$2:AG687),$AG$2:$AG$1001,0),1)&gt;=100000,INDEX($AN$1005:$BO$1005,1,MATCH(COLUMNS($AN$1006:BK1006),$AN$1006:$BO$1006,0))&gt;=100000), " ",IF(INDEX($AN$2:$BO$1001,MATCH(ROWS($AG$2:AG687),$AG$2:$AG$1001,0),MATCH(COLUMNS($AN$1006:BK1006),$AN$1006:$BO$1006,0)), HYPERLINK("#",""), HYPERLINK(CONCATENATE("#Metadata!", ADDRESS(INDEX($AI$2:$AI$1001,MATCH(ROWS($AG$2:AG687),$AG$2:$AG$1001,0),0), INDEX($AN$1004:$BO$1004,1,MATCH(COLUMNS($AN$1006:BK1006),$AN$1006:$BO$1006,0)))),"Fix")))</f>
        <v>0</v>
      </c>
      <c r="Z687" s="4">
        <f>IF(OR(INDEX($AH$2:$AH$1001,MATCH(ROWS($AG$2:AG687),$AG$2:$AG$1001,0),1)&gt;=100000,INDEX($AN$1005:$BO$1005,1,MATCH(COLUMNS($AN$1006:BL1006),$AN$1006:$BO$1006,0))&gt;=100000), " ",IF(INDEX($AN$2:$BO$1001,MATCH(ROWS($AG$2:AG687),$AG$2:$AG$1001,0),MATCH(COLUMNS($AN$1006:BL1006),$AN$1006:$BO$1006,0)), HYPERLINK("#",""), HYPERLINK(CONCATENATE("#Metadata!", ADDRESS(INDEX($AI$2:$AI$1001,MATCH(ROWS($AG$2:AG687),$AG$2:$AG$1001,0),0), INDEX($AN$1004:$BO$1004,1,MATCH(COLUMNS($AN$1006:BL1006),$AN$1006:$BO$1006,0)))),"Fix")))</f>
        <v>0</v>
      </c>
      <c r="AA687" s="4">
        <f>IF(OR(INDEX($AH$2:$AH$1001,MATCH(ROWS($AG$2:AG687),$AG$2:$AG$1001,0),1)&gt;=100000,INDEX($AN$1005:$BO$1005,1,MATCH(COLUMNS($AN$1006:BM1006),$AN$1006:$BO$1006,0))&gt;=100000), " ",IF(INDEX($AN$2:$BO$1001,MATCH(ROWS($AG$2:AG687),$AG$2:$AG$1001,0),MATCH(COLUMNS($AN$1006:BM1006),$AN$1006:$BO$1006,0)), HYPERLINK("#",""), HYPERLINK(CONCATENATE("#Metadata!", ADDRESS(INDEX($AI$2:$AI$1001,MATCH(ROWS($AG$2:AG687),$AG$2:$AG$1001,0),0), INDEX($AN$1004:$BO$1004,1,MATCH(COLUMNS($AN$1006:BM1006),$AN$1006:$BO$1006,0)))),"Fix")))</f>
        <v>0</v>
      </c>
      <c r="AB687" s="4">
        <f>IF(OR(INDEX($AH$2:$AH$1001,MATCH(ROWS($AG$2:AG687),$AG$2:$AG$1001,0),1)&gt;=100000,INDEX($AN$1005:$BO$1005,1,MATCH(COLUMNS($AN$1006:BN1006),$AN$1006:$BO$1006,0))&gt;=100000), " ",IF(INDEX($AN$2:$BO$1001,MATCH(ROWS($AG$2:AG687),$AG$2:$AG$1001,0),MATCH(COLUMNS($AN$1006:BN1006),$AN$1006:$BO$1006,0)), HYPERLINK("#",""), HYPERLINK(CONCATENATE("#Metadata!", ADDRESS(INDEX($AI$2:$AI$1001,MATCH(ROWS($AG$2:AG687),$AG$2:$AG$1001,0),0), INDEX($AN$1004:$BO$1004,1,MATCH(COLUMNS($AN$1006:BN1006),$AN$1006:$BO$1006,0)))),"Fix")))</f>
        <v>0</v>
      </c>
      <c r="AC687" s="4">
        <f>IF(OR(INDEX($AH$2:$AH$1001,MATCH(ROWS($AG$2:AG687),$AG$2:$AG$1001,0),1)&gt;=100000,INDEX($AN$1005:$BO$1005,1,MATCH(COLUMNS($AN$1006:BO1006),$AN$1006:$BO$1006,0))&gt;=100000), " ",IF(INDEX($AN$2:$BO$1001,MATCH(ROWS($AG$2:AG687),$AG$2:$AG$1001,0),MATCH(COLUMNS($AN$1006:BO1006),$AN$1006:$BO$1006,0)), HYPERLINK("#",""), HYPERLINK(CONCATENATE("#Metadata!", ADDRESS(INDEX($AI$2:$AI$1001,MATCH(ROWS($AG$2:AG687),$AG$2:$AG$1001,0),0), INDEX($AN$1004:$BO$1004,1,MATCH(COLUMNS($AN$1006:BO1006),$AN$1006:$BO$1006,0)))),"Fix")))</f>
        <v>0</v>
      </c>
      <c r="AG687">
        <v>0</v>
      </c>
      <c r="AH687">
        <v>0</v>
      </c>
      <c r="AI687">
        <v>0</v>
      </c>
      <c r="AJ687">
        <f>IF(AK687,TRUE,AND(AN687:BO687))</f>
        <v>0</v>
      </c>
      <c r="AK687">
        <f>COUNTBLANK(Metadata!B687:AC687)=COLUMNS(Metadata!B687:AC687)</f>
        <v>0</v>
      </c>
      <c r="AL687">
        <v>0</v>
      </c>
      <c r="AN687">
        <f>AND(IF(Metadata!B687="",FALSE,TRUE),COUNTIF(Metadata!B:B, Metadata!B687) = 1,NOT(ISERROR(SUMPRODUCT(SEARCH(MID(Metadata!B687,ROW(INDIRECT("1:"&amp;LEN(Metadata!B687))), 1),"0123456789abcdefghijklmnopqrstuvwxyzABCDEFGHIJKLMNOPQRSTUVWXYZ.")))))</f>
        <v>0</v>
      </c>
      <c r="AO687">
        <f>IF(Metadata!C687="",FALSE,TRUE)</f>
        <v>0</v>
      </c>
      <c r="AP687">
        <f>IF(Metadata!D687="",FALSE,TRUE)</f>
        <v>0</v>
      </c>
      <c r="AQ687">
        <f>OR(AND(IF(Metadata!E687="",FALSE,TRUE),OR(exact(Metadata!E687,"not collected"),exact(Metadata!E687,"not provided"),exact(Metadata!E687,"restricted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R687">
        <f>IF(Metadata!F687="",FALSE,TRUE)</f>
        <v>0</v>
      </c>
      <c r="AS687">
        <f>OR(AND(IF(Metadata!G687="",FALSE,TRUE),OR(exact(Metadata!G687,"not collected"),exact(Metadata!G687,"not provided"))),AND(IF(Metadata!G687="",FALSE,TRUE),OR(exact(Metadata!G687,"TRUE"),exact(Metadata!G687,"FALSE"))))</f>
        <v>0</v>
      </c>
      <c r="AT687">
        <f>OR(AND(IF(Metadata!H687="",FALSE,TRUE),OR(exact(Metadata!H687,"not collected"),exact(Metadata!H687,"not provided"),exact(Metadata!H687,"restricted access"))),AND(IF(Metadata!H687="",FALSE,ISNUMBER(VALUE(Metadata!H687))),Metadata!H687&gt;=-413.0))</f>
        <v>0</v>
      </c>
      <c r="AU687">
        <f>AND(IF(Metadata!I687="",FALSE,TRUE),exact(Metadata!I687,"meters"))</f>
        <v>0</v>
      </c>
      <c r="AV687">
        <f>AND(IF(Metadata!J687="",FALSE,TRUE),OR(exact(Metadata!J687,"Host-associated"),exact(Metadata!J687,"Free-living")))</f>
        <v>0</v>
      </c>
      <c r="AW687">
        <f>AND(IF(Metadata!K687="",FALSE,TRUE),OR(exact(Metadata!K687,"Animal"),exact(Metadata!K687,"Fungus"),exact(Metadata!K687,"Plant"),exact(Metadata!K687,"Saline"),exact(Metadata!K687,"Non-saline")))</f>
        <v>0</v>
      </c>
      <c r="AX687">
        <f>AND(IF(Metadata!L687="",FALSE,TRUE),OR(exact(Metadata!L687,"Plant secretion"),exact(Metadata!L687,"Plant rhizosphere"),exact(Metadata!L687,"Plant surface"),exact(Metadata!L687,"Plant corpus"),exact(Metadata!L687,"Fungus surface"),exact(Metadata!L687,"Fungus corpus"),exact(Metadata!L687,"Animal surface"),exact(Metadata!L687,"Animal proximal gut"),exact(Metadata!L687,"Animal corpus"),exact(Metadata!L687,"Animal distal gut"),exact(Metadata!L687,"Animal secretion"),exact(Metadata!L687,"Sub-surface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Y687">
        <f>IF(Metadata!M687="",FALSE,TRUE)</f>
        <v>0</v>
      </c>
      <c r="AZ687">
        <f>IF(Metadata!N687="",FALSE,TRUE)</f>
        <v>0</v>
      </c>
      <c r="BA687">
        <f>IF(Metadata!O687="",FALSE,TRUE)</f>
        <v>0</v>
      </c>
      <c r="BB687">
        <f>OR(AND(IF(Metadata!P687="",FALSE,TRUE),OR(exact(Metadata!P687,"not collected"),exact(Metadata!P687,"not provided"),exact(Metadata!P687,"restricted access"))),AND(IF(Metadata!P687="",FALSE,TRUE),OR(exact(Metadata!P687,"air"),exact(Metadata!P687,"built environment"),exact(Metadata!P687,"host-associated"),exact(Metadata!P687,"human-associated"),exact(Metadata!P687,"human-skin"),exact(Metadata!P687,"human-oral"),exact(Metadata!P687,"human-gut"),exact(Metadata!P687,"human-vaginal"),exact(Metadata!P687,"microbial mat/biofilm"),exact(Metadata!P687,"misc environment"),exact(Metadata!P687,"plant-associated"),exact(Metadata!P687,"sediment"),exact(Metadata!P687,"soil"),exact(Metadata!P687,"wastewater/sludge"),exact(Metadata!P687,"water"))))</f>
        <v>0</v>
      </c>
      <c r="BC687">
        <f>IF(Metadata!Q687="",FALSE,TRUE)</f>
        <v>0</v>
      </c>
      <c r="BD687">
        <f>IF(Metadata!R687="",FALSE,TRUE)</f>
        <v>0</v>
      </c>
      <c r="BE687">
        <f>OR(AND(IF(Metadata!S687="",FALSE,TRUE),OR(exact(Metadata!S687,"not collected"),exact(Metadata!S687,"not provided"),exact(Metadata!S687,"restricted access"))),AND(IF(Metadata!S687="",FALSE,ISNUMBER(VALUE(Metadata!S687))),Metadata!S687&gt;=-90.00,Metadata!S687&lt;=90.00))</f>
        <v>0</v>
      </c>
      <c r="BF687">
        <f>AND(IF(Metadata!T687="",FALSE,TRUE),exact(Metadata!T687,"Decimal degrees"))</f>
        <v>0</v>
      </c>
      <c r="BG687">
        <f>OR(AND(IF(Metadata!U687="",FALSE,TRUE),OR(exact(Metadata!U687,"not collected"),exact(Metadata!U687,"not provided"),exact(Metadata!U687,"restricted access"))),AND(IF(Metadata!U687="",FALSE,ISNUMBER(VALUE(Metadata!U687))),Metadata!U687&gt;=-180.00,Metadata!U687&lt;=180.00))</f>
        <v>0</v>
      </c>
      <c r="BH687">
        <f>AND(IF(Metadata!V687="",FALSE,TRUE),exact(Metadata!V687,"Decimal degrees"))</f>
        <v>0</v>
      </c>
      <c r="BI687">
        <f>IF(Metadata!W687="",FALSE,TRUE)</f>
        <v>0</v>
      </c>
      <c r="BJ687">
        <f>OR(AND(IF(Metadata!X687="",FALSE,TRUE),OR(exact(Metadata!X687,"not collected"),exact(Metadata!X687,"not provided"),exact(Metadata!X687,"restricted access"))),AND(IF(Metadata!X687="",FALSE,TRUE),OR(exact(Metadata!X687,"TRUE"),exact(Metadata!X687,"FALSE"))))</f>
        <v>0</v>
      </c>
      <c r="BK687">
        <f>AND(IF(Metadata!Y687="",FALSE,TRUE),exact(Metadata!Y687,"other"))</f>
        <v>0</v>
      </c>
      <c r="BL687">
        <f>IF(Metadata!Z687="",FALSE,TRUE)</f>
        <v>0</v>
      </c>
      <c r="BM687">
        <f>OR(AND(IF(Metadata!AA687="",FALSE,TRUE),OR(exact(Metadata!AA687,"not collected"),exact(Metadata!AA687,"not provided"))),AND(IF(Metadata!AA687="",FALSE,IF(ISERROR(INT(Metadata!AA687)),FALSE,INT(Metadata!AA687)=Metadata!AA687)),Metadata!AA687&gt;0))</f>
        <v>0</v>
      </c>
      <c r="BN687">
        <f>AND(IF(Metadata!AB687="",FALSE,TRUE),exact(Metadata!AB687,"Not applicable"))</f>
        <v>0</v>
      </c>
      <c r="BO687">
        <f>IF(Metadata!AC687="",FALSE,TRUE)</f>
        <v>0</v>
      </c>
    </row>
    <row r="688" spans="1:67">
      <c r="A688" s="5">
        <f>IF(B688=" "," ",HYPERLINK(CONCATENATE("#metadata!",ADDRESS(INDEX($AI$2:$AI$1001,MATCH(ROWS($AG$2:AG688),$AG$2:$AG$1001,0),0),1)),INDEX($AL$2:$AL$1001,MATCH(ROWS($AG$2:AG688),$AG$2:$AG$1001,0),0)))</f>
        <v>0</v>
      </c>
      <c r="B688" s="4">
        <f>IF(OR(INDEX($AH$2:$AH$1001,MATCH(ROWS($AG$2:AG688),$AG$2:$AG$1001,0),1)&gt;=100000,INDEX($AN$1005:$BO$1005,1,MATCH(COLUMNS($AN$1006:AN1006),$AN$1006:$BO$1006,0))&gt;=100000), " ",IF(INDEX($AN$2:$BO$1001,MATCH(ROWS($AG$2:AG688),$AG$2:$AG$1001,0),MATCH(COLUMNS($AN$1006:AN1006),$AN$1006:$BO$1006,0)), HYPERLINK("#",""), HYPERLINK(CONCATENATE("#Metadata!", ADDRESS(INDEX($AI$2:$AI$1001,MATCH(ROWS($AG$2:AG688),$AG$2:$AG$1001,0),0), INDEX($AN$1004:$BO$1004,1,MATCH(COLUMNS($AN$1006:AN1006),$AN$1006:$BO$1006,0)))),"Fix")))</f>
        <v>0</v>
      </c>
      <c r="C688" s="4">
        <f>IF(OR(INDEX($AH$2:$AH$1001,MATCH(ROWS($AG$2:AG688),$AG$2:$AG$1001,0),1)&gt;=100000,INDEX($AN$1005:$BO$1005,1,MATCH(COLUMNS($AN$1006:AO1006),$AN$1006:$BO$1006,0))&gt;=100000), " ",IF(INDEX($AN$2:$BO$1001,MATCH(ROWS($AG$2:AG688),$AG$2:$AG$1001,0),MATCH(COLUMNS($AN$1006:AO1006),$AN$1006:$BO$1006,0)), HYPERLINK("#",""), HYPERLINK(CONCATENATE("#Metadata!", ADDRESS(INDEX($AI$2:$AI$1001,MATCH(ROWS($AG$2:AG688),$AG$2:$AG$1001,0),0), INDEX($AN$1004:$BO$1004,1,MATCH(COLUMNS($AN$1006:AO1006),$AN$1006:$BO$1006,0)))),"Fix")))</f>
        <v>0</v>
      </c>
      <c r="D688" s="4">
        <f>IF(OR(INDEX($AH$2:$AH$1001,MATCH(ROWS($AG$2:AG688),$AG$2:$AG$1001,0),1)&gt;=100000,INDEX($AN$1005:$BO$1005,1,MATCH(COLUMNS($AN$1006:AP1006),$AN$1006:$BO$1006,0))&gt;=100000), " ",IF(INDEX($AN$2:$BO$1001,MATCH(ROWS($AG$2:AG688),$AG$2:$AG$1001,0),MATCH(COLUMNS($AN$1006:AP1006),$AN$1006:$BO$1006,0)), HYPERLINK("#",""), HYPERLINK(CONCATENATE("#Metadata!", ADDRESS(INDEX($AI$2:$AI$1001,MATCH(ROWS($AG$2:AG688),$AG$2:$AG$1001,0),0), INDEX($AN$1004:$BO$1004,1,MATCH(COLUMNS($AN$1006:AP1006),$AN$1006:$BO$1006,0)))),"Fix")))</f>
        <v>0</v>
      </c>
      <c r="E688" s="4">
        <f>IF(OR(INDEX($AH$2:$AH$1001,MATCH(ROWS($AG$2:AG688),$AG$2:$AG$1001,0),1)&gt;=100000,INDEX($AN$1005:$BO$1005,1,MATCH(COLUMNS($AN$1006:AQ1006),$AN$1006:$BO$1006,0))&gt;=100000), " ",IF(INDEX($AN$2:$BO$1001,MATCH(ROWS($AG$2:AG688),$AG$2:$AG$1001,0),MATCH(COLUMNS($AN$1006:AQ1006),$AN$1006:$BO$1006,0)), HYPERLINK("#",""), HYPERLINK(CONCATENATE("#Metadata!", ADDRESS(INDEX($AI$2:$AI$1001,MATCH(ROWS($AG$2:AG688),$AG$2:$AG$1001,0),0), INDEX($AN$1004:$BO$1004,1,MATCH(COLUMNS($AN$1006:AQ1006),$AN$1006:$BO$1006,0)))),"Fix")))</f>
        <v>0</v>
      </c>
      <c r="F688" s="4">
        <f>IF(OR(INDEX($AH$2:$AH$1001,MATCH(ROWS($AG$2:AG688),$AG$2:$AG$1001,0),1)&gt;=100000,INDEX($AN$1005:$BO$1005,1,MATCH(COLUMNS($AN$1006:AR1006),$AN$1006:$BO$1006,0))&gt;=100000), " ",IF(INDEX($AN$2:$BO$1001,MATCH(ROWS($AG$2:AG688),$AG$2:$AG$1001,0),MATCH(COLUMNS($AN$1006:AR1006),$AN$1006:$BO$1006,0)), HYPERLINK("#",""), HYPERLINK(CONCATENATE("#Metadata!", ADDRESS(INDEX($AI$2:$AI$1001,MATCH(ROWS($AG$2:AG688),$AG$2:$AG$1001,0),0), INDEX($AN$1004:$BO$1004,1,MATCH(COLUMNS($AN$1006:AR1006),$AN$1006:$BO$1006,0)))),"Fix")))</f>
        <v>0</v>
      </c>
      <c r="G688" s="4">
        <f>IF(OR(INDEX($AH$2:$AH$1001,MATCH(ROWS($AG$2:AG688),$AG$2:$AG$1001,0),1)&gt;=100000,INDEX($AN$1005:$BO$1005,1,MATCH(COLUMNS($AN$1006:AS1006),$AN$1006:$BO$1006,0))&gt;=100000), " ",IF(INDEX($AN$2:$BO$1001,MATCH(ROWS($AG$2:AG688),$AG$2:$AG$1001,0),MATCH(COLUMNS($AN$1006:AS1006),$AN$1006:$BO$1006,0)), HYPERLINK("#",""), HYPERLINK(CONCATENATE("#Metadata!", ADDRESS(INDEX($AI$2:$AI$1001,MATCH(ROWS($AG$2:AG688),$AG$2:$AG$1001,0),0), INDEX($AN$1004:$BO$1004,1,MATCH(COLUMNS($AN$1006:AS1006),$AN$1006:$BO$1006,0)))),"Fix")))</f>
        <v>0</v>
      </c>
      <c r="H688" s="4">
        <f>IF(OR(INDEX($AH$2:$AH$1001,MATCH(ROWS($AG$2:AG688),$AG$2:$AG$1001,0),1)&gt;=100000,INDEX($AN$1005:$BO$1005,1,MATCH(COLUMNS($AN$1006:AT1006),$AN$1006:$BO$1006,0))&gt;=100000), " ",IF(INDEX($AN$2:$BO$1001,MATCH(ROWS($AG$2:AG688),$AG$2:$AG$1001,0),MATCH(COLUMNS($AN$1006:AT1006),$AN$1006:$BO$1006,0)), HYPERLINK("#",""), HYPERLINK(CONCATENATE("#Metadata!", ADDRESS(INDEX($AI$2:$AI$1001,MATCH(ROWS($AG$2:AG688),$AG$2:$AG$1001,0),0), INDEX($AN$1004:$BO$1004,1,MATCH(COLUMNS($AN$1006:AT1006),$AN$1006:$BO$1006,0)))),"Fix")))</f>
        <v>0</v>
      </c>
      <c r="I688" s="4">
        <f>IF(OR(INDEX($AH$2:$AH$1001,MATCH(ROWS($AG$2:AG688),$AG$2:$AG$1001,0),1)&gt;=100000,INDEX($AN$1005:$BO$1005,1,MATCH(COLUMNS($AN$1006:AU1006),$AN$1006:$BO$1006,0))&gt;=100000), " ",IF(INDEX($AN$2:$BO$1001,MATCH(ROWS($AG$2:AG688),$AG$2:$AG$1001,0),MATCH(COLUMNS($AN$1006:AU1006),$AN$1006:$BO$1006,0)), HYPERLINK("#",""), HYPERLINK(CONCATENATE("#Metadata!", ADDRESS(INDEX($AI$2:$AI$1001,MATCH(ROWS($AG$2:AG688),$AG$2:$AG$1001,0),0), INDEX($AN$1004:$BO$1004,1,MATCH(COLUMNS($AN$1006:AU1006),$AN$1006:$BO$1006,0)))),"Fix")))</f>
        <v>0</v>
      </c>
      <c r="J688" s="4">
        <f>IF(OR(INDEX($AH$2:$AH$1001,MATCH(ROWS($AG$2:AG688),$AG$2:$AG$1001,0),1)&gt;=100000,INDEX($AN$1005:$BO$1005,1,MATCH(COLUMNS($AN$1006:AV1006),$AN$1006:$BO$1006,0))&gt;=100000), " ",IF(INDEX($AN$2:$BO$1001,MATCH(ROWS($AG$2:AG688),$AG$2:$AG$1001,0),MATCH(COLUMNS($AN$1006:AV1006),$AN$1006:$BO$1006,0)), HYPERLINK("#",""), HYPERLINK(CONCATENATE("#Metadata!", ADDRESS(INDEX($AI$2:$AI$1001,MATCH(ROWS($AG$2:AG688),$AG$2:$AG$1001,0),0), INDEX($AN$1004:$BO$1004,1,MATCH(COLUMNS($AN$1006:AV1006),$AN$1006:$BO$1006,0)))),"Fix")))</f>
        <v>0</v>
      </c>
      <c r="K688" s="4">
        <f>IF(OR(INDEX($AH$2:$AH$1001,MATCH(ROWS($AG$2:AG688),$AG$2:$AG$1001,0),1)&gt;=100000,INDEX($AN$1005:$BO$1005,1,MATCH(COLUMNS($AN$1006:AW1006),$AN$1006:$BO$1006,0))&gt;=100000), " ",IF(INDEX($AN$2:$BO$1001,MATCH(ROWS($AG$2:AG688),$AG$2:$AG$1001,0),MATCH(COLUMNS($AN$1006:AW1006),$AN$1006:$BO$1006,0)), HYPERLINK("#",""), HYPERLINK(CONCATENATE("#Metadata!", ADDRESS(INDEX($AI$2:$AI$1001,MATCH(ROWS($AG$2:AG688),$AG$2:$AG$1001,0),0), INDEX($AN$1004:$BO$1004,1,MATCH(COLUMNS($AN$1006:AW1006),$AN$1006:$BO$1006,0)))),"Fix")))</f>
        <v>0</v>
      </c>
      <c r="L688" s="4">
        <f>IF(OR(INDEX($AH$2:$AH$1001,MATCH(ROWS($AG$2:AG688),$AG$2:$AG$1001,0),1)&gt;=100000,INDEX($AN$1005:$BO$1005,1,MATCH(COLUMNS($AN$1006:AX1006),$AN$1006:$BO$1006,0))&gt;=100000), " ",IF(INDEX($AN$2:$BO$1001,MATCH(ROWS($AG$2:AG688),$AG$2:$AG$1001,0),MATCH(COLUMNS($AN$1006:AX1006),$AN$1006:$BO$1006,0)), HYPERLINK("#",""), HYPERLINK(CONCATENATE("#Metadata!", ADDRESS(INDEX($AI$2:$AI$1001,MATCH(ROWS($AG$2:AG688),$AG$2:$AG$1001,0),0), INDEX($AN$1004:$BO$1004,1,MATCH(COLUMNS($AN$1006:AX1006),$AN$1006:$BO$1006,0)))),"Fix")))</f>
        <v>0</v>
      </c>
      <c r="M688" s="4">
        <f>IF(OR(INDEX($AH$2:$AH$1001,MATCH(ROWS($AG$2:AG688),$AG$2:$AG$1001,0),1)&gt;=100000,INDEX($AN$1005:$BO$1005,1,MATCH(COLUMNS($AN$1006:AY1006),$AN$1006:$BO$1006,0))&gt;=100000), " ",IF(INDEX($AN$2:$BO$1001,MATCH(ROWS($AG$2:AG688),$AG$2:$AG$1001,0),MATCH(COLUMNS($AN$1006:AY1006),$AN$1006:$BO$1006,0)), HYPERLINK("#",""), HYPERLINK(CONCATENATE("#Metadata!", ADDRESS(INDEX($AI$2:$AI$1001,MATCH(ROWS($AG$2:AG688),$AG$2:$AG$1001,0),0), INDEX($AN$1004:$BO$1004,1,MATCH(COLUMNS($AN$1006:AY1006),$AN$1006:$BO$1006,0)))),"Fix")))</f>
        <v>0</v>
      </c>
      <c r="N688" s="4">
        <f>IF(OR(INDEX($AH$2:$AH$1001,MATCH(ROWS($AG$2:AG688),$AG$2:$AG$1001,0),1)&gt;=100000,INDEX($AN$1005:$BO$1005,1,MATCH(COLUMNS($AN$1006:AZ1006),$AN$1006:$BO$1006,0))&gt;=100000), " ",IF(INDEX($AN$2:$BO$1001,MATCH(ROWS($AG$2:AG688),$AG$2:$AG$1001,0),MATCH(COLUMNS($AN$1006:AZ1006),$AN$1006:$BO$1006,0)), HYPERLINK("#",""), HYPERLINK(CONCATENATE("#Metadata!", ADDRESS(INDEX($AI$2:$AI$1001,MATCH(ROWS($AG$2:AG688),$AG$2:$AG$1001,0),0), INDEX($AN$1004:$BO$1004,1,MATCH(COLUMNS($AN$1006:AZ1006),$AN$1006:$BO$1006,0)))),"Fix")))</f>
        <v>0</v>
      </c>
      <c r="O688" s="4">
        <f>IF(OR(INDEX($AH$2:$AH$1001,MATCH(ROWS($AG$2:AG688),$AG$2:$AG$1001,0),1)&gt;=100000,INDEX($AN$1005:$BO$1005,1,MATCH(COLUMNS($AN$1006:BA1006),$AN$1006:$BO$1006,0))&gt;=100000), " ",IF(INDEX($AN$2:$BO$1001,MATCH(ROWS($AG$2:AG688),$AG$2:$AG$1001,0),MATCH(COLUMNS($AN$1006:BA1006),$AN$1006:$BO$1006,0)), HYPERLINK("#",""), HYPERLINK(CONCATENATE("#Metadata!", ADDRESS(INDEX($AI$2:$AI$1001,MATCH(ROWS($AG$2:AG688),$AG$2:$AG$1001,0),0), INDEX($AN$1004:$BO$1004,1,MATCH(COLUMNS($AN$1006:BA1006),$AN$1006:$BO$1006,0)))),"Fix")))</f>
        <v>0</v>
      </c>
      <c r="P688" s="4">
        <f>IF(OR(INDEX($AH$2:$AH$1001,MATCH(ROWS($AG$2:AG688),$AG$2:$AG$1001,0),1)&gt;=100000,INDEX($AN$1005:$BO$1005,1,MATCH(COLUMNS($AN$1006:BB1006),$AN$1006:$BO$1006,0))&gt;=100000), " ",IF(INDEX($AN$2:$BO$1001,MATCH(ROWS($AG$2:AG688),$AG$2:$AG$1001,0),MATCH(COLUMNS($AN$1006:BB1006),$AN$1006:$BO$1006,0)), HYPERLINK("#",""), HYPERLINK(CONCATENATE("#Metadata!", ADDRESS(INDEX($AI$2:$AI$1001,MATCH(ROWS($AG$2:AG688),$AG$2:$AG$1001,0),0), INDEX($AN$1004:$BO$1004,1,MATCH(COLUMNS($AN$1006:BB1006),$AN$1006:$BO$1006,0)))),"Fix")))</f>
        <v>0</v>
      </c>
      <c r="Q688" s="4">
        <f>IF(OR(INDEX($AH$2:$AH$1001,MATCH(ROWS($AG$2:AG688),$AG$2:$AG$1001,0),1)&gt;=100000,INDEX($AN$1005:$BO$1005,1,MATCH(COLUMNS($AN$1006:BC1006),$AN$1006:$BO$1006,0))&gt;=100000), " ",IF(INDEX($AN$2:$BO$1001,MATCH(ROWS($AG$2:AG688),$AG$2:$AG$1001,0),MATCH(COLUMNS($AN$1006:BC1006),$AN$1006:$BO$1006,0)), HYPERLINK("#",""), HYPERLINK(CONCATENATE("#Metadata!", ADDRESS(INDEX($AI$2:$AI$1001,MATCH(ROWS($AG$2:AG688),$AG$2:$AG$1001,0),0), INDEX($AN$1004:$BO$1004,1,MATCH(COLUMNS($AN$1006:BC1006),$AN$1006:$BO$1006,0)))),"Fix")))</f>
        <v>0</v>
      </c>
      <c r="R688" s="4">
        <f>IF(OR(INDEX($AH$2:$AH$1001,MATCH(ROWS($AG$2:AG688),$AG$2:$AG$1001,0),1)&gt;=100000,INDEX($AN$1005:$BO$1005,1,MATCH(COLUMNS($AN$1006:BD1006),$AN$1006:$BO$1006,0))&gt;=100000), " ",IF(INDEX($AN$2:$BO$1001,MATCH(ROWS($AG$2:AG688),$AG$2:$AG$1001,0),MATCH(COLUMNS($AN$1006:BD1006),$AN$1006:$BO$1006,0)), HYPERLINK("#",""), HYPERLINK(CONCATENATE("#Metadata!", ADDRESS(INDEX($AI$2:$AI$1001,MATCH(ROWS($AG$2:AG688),$AG$2:$AG$1001,0),0), INDEX($AN$1004:$BO$1004,1,MATCH(COLUMNS($AN$1006:BD1006),$AN$1006:$BO$1006,0)))),"Fix")))</f>
        <v>0</v>
      </c>
      <c r="S688" s="4">
        <f>IF(OR(INDEX($AH$2:$AH$1001,MATCH(ROWS($AG$2:AG688),$AG$2:$AG$1001,0),1)&gt;=100000,INDEX($AN$1005:$BO$1005,1,MATCH(COLUMNS($AN$1006:BE1006),$AN$1006:$BO$1006,0))&gt;=100000), " ",IF(INDEX($AN$2:$BO$1001,MATCH(ROWS($AG$2:AG688),$AG$2:$AG$1001,0),MATCH(COLUMNS($AN$1006:BE1006),$AN$1006:$BO$1006,0)), HYPERLINK("#",""), HYPERLINK(CONCATENATE("#Metadata!", ADDRESS(INDEX($AI$2:$AI$1001,MATCH(ROWS($AG$2:AG688),$AG$2:$AG$1001,0),0), INDEX($AN$1004:$BO$1004,1,MATCH(COLUMNS($AN$1006:BE1006),$AN$1006:$BO$1006,0)))),"Fix")))</f>
        <v>0</v>
      </c>
      <c r="T688" s="4">
        <f>IF(OR(INDEX($AH$2:$AH$1001,MATCH(ROWS($AG$2:AG688),$AG$2:$AG$1001,0),1)&gt;=100000,INDEX($AN$1005:$BO$1005,1,MATCH(COLUMNS($AN$1006:BF1006),$AN$1006:$BO$1006,0))&gt;=100000), " ",IF(INDEX($AN$2:$BO$1001,MATCH(ROWS($AG$2:AG688),$AG$2:$AG$1001,0),MATCH(COLUMNS($AN$1006:BF1006),$AN$1006:$BO$1006,0)), HYPERLINK("#",""), HYPERLINK(CONCATENATE("#Metadata!", ADDRESS(INDEX($AI$2:$AI$1001,MATCH(ROWS($AG$2:AG688),$AG$2:$AG$1001,0),0), INDEX($AN$1004:$BO$1004,1,MATCH(COLUMNS($AN$1006:BF1006),$AN$1006:$BO$1006,0)))),"Fix")))</f>
        <v>0</v>
      </c>
      <c r="U688" s="4">
        <f>IF(OR(INDEX($AH$2:$AH$1001,MATCH(ROWS($AG$2:AG688),$AG$2:$AG$1001,0),1)&gt;=100000,INDEX($AN$1005:$BO$1005,1,MATCH(COLUMNS($AN$1006:BG1006),$AN$1006:$BO$1006,0))&gt;=100000), " ",IF(INDEX($AN$2:$BO$1001,MATCH(ROWS($AG$2:AG688),$AG$2:$AG$1001,0),MATCH(COLUMNS($AN$1006:BG1006),$AN$1006:$BO$1006,0)), HYPERLINK("#",""), HYPERLINK(CONCATENATE("#Metadata!", ADDRESS(INDEX($AI$2:$AI$1001,MATCH(ROWS($AG$2:AG688),$AG$2:$AG$1001,0),0), INDEX($AN$1004:$BO$1004,1,MATCH(COLUMNS($AN$1006:BG1006),$AN$1006:$BO$1006,0)))),"Fix")))</f>
        <v>0</v>
      </c>
      <c r="V688" s="4">
        <f>IF(OR(INDEX($AH$2:$AH$1001,MATCH(ROWS($AG$2:AG688),$AG$2:$AG$1001,0),1)&gt;=100000,INDEX($AN$1005:$BO$1005,1,MATCH(COLUMNS($AN$1006:BH1006),$AN$1006:$BO$1006,0))&gt;=100000), " ",IF(INDEX($AN$2:$BO$1001,MATCH(ROWS($AG$2:AG688),$AG$2:$AG$1001,0),MATCH(COLUMNS($AN$1006:BH1006),$AN$1006:$BO$1006,0)), HYPERLINK("#",""), HYPERLINK(CONCATENATE("#Metadata!", ADDRESS(INDEX($AI$2:$AI$1001,MATCH(ROWS($AG$2:AG688),$AG$2:$AG$1001,0),0), INDEX($AN$1004:$BO$1004,1,MATCH(COLUMNS($AN$1006:BH1006),$AN$1006:$BO$1006,0)))),"Fix")))</f>
        <v>0</v>
      </c>
      <c r="W688" s="4">
        <f>IF(OR(INDEX($AH$2:$AH$1001,MATCH(ROWS($AG$2:AG688),$AG$2:$AG$1001,0),1)&gt;=100000,INDEX($AN$1005:$BO$1005,1,MATCH(COLUMNS($AN$1006:BI1006),$AN$1006:$BO$1006,0))&gt;=100000), " ",IF(INDEX($AN$2:$BO$1001,MATCH(ROWS($AG$2:AG688),$AG$2:$AG$1001,0),MATCH(COLUMNS($AN$1006:BI1006),$AN$1006:$BO$1006,0)), HYPERLINK("#",""), HYPERLINK(CONCATENATE("#Metadata!", ADDRESS(INDEX($AI$2:$AI$1001,MATCH(ROWS($AG$2:AG688),$AG$2:$AG$1001,0),0), INDEX($AN$1004:$BO$1004,1,MATCH(COLUMNS($AN$1006:BI1006),$AN$1006:$BO$1006,0)))),"Fix")))</f>
        <v>0</v>
      </c>
      <c r="X688" s="4">
        <f>IF(OR(INDEX($AH$2:$AH$1001,MATCH(ROWS($AG$2:AG688),$AG$2:$AG$1001,0),1)&gt;=100000,INDEX($AN$1005:$BO$1005,1,MATCH(COLUMNS($AN$1006:BJ1006),$AN$1006:$BO$1006,0))&gt;=100000), " ",IF(INDEX($AN$2:$BO$1001,MATCH(ROWS($AG$2:AG688),$AG$2:$AG$1001,0),MATCH(COLUMNS($AN$1006:BJ1006),$AN$1006:$BO$1006,0)), HYPERLINK("#",""), HYPERLINK(CONCATENATE("#Metadata!", ADDRESS(INDEX($AI$2:$AI$1001,MATCH(ROWS($AG$2:AG688),$AG$2:$AG$1001,0),0), INDEX($AN$1004:$BO$1004,1,MATCH(COLUMNS($AN$1006:BJ1006),$AN$1006:$BO$1006,0)))),"Fix")))</f>
        <v>0</v>
      </c>
      <c r="Y688" s="4">
        <f>IF(OR(INDEX($AH$2:$AH$1001,MATCH(ROWS($AG$2:AG688),$AG$2:$AG$1001,0),1)&gt;=100000,INDEX($AN$1005:$BO$1005,1,MATCH(COLUMNS($AN$1006:BK1006),$AN$1006:$BO$1006,0))&gt;=100000), " ",IF(INDEX($AN$2:$BO$1001,MATCH(ROWS($AG$2:AG688),$AG$2:$AG$1001,0),MATCH(COLUMNS($AN$1006:BK1006),$AN$1006:$BO$1006,0)), HYPERLINK("#",""), HYPERLINK(CONCATENATE("#Metadata!", ADDRESS(INDEX($AI$2:$AI$1001,MATCH(ROWS($AG$2:AG688),$AG$2:$AG$1001,0),0), INDEX($AN$1004:$BO$1004,1,MATCH(COLUMNS($AN$1006:BK1006),$AN$1006:$BO$1006,0)))),"Fix")))</f>
        <v>0</v>
      </c>
      <c r="Z688" s="4">
        <f>IF(OR(INDEX($AH$2:$AH$1001,MATCH(ROWS($AG$2:AG688),$AG$2:$AG$1001,0),1)&gt;=100000,INDEX($AN$1005:$BO$1005,1,MATCH(COLUMNS($AN$1006:BL1006),$AN$1006:$BO$1006,0))&gt;=100000), " ",IF(INDEX($AN$2:$BO$1001,MATCH(ROWS($AG$2:AG688),$AG$2:$AG$1001,0),MATCH(COLUMNS($AN$1006:BL1006),$AN$1006:$BO$1006,0)), HYPERLINK("#",""), HYPERLINK(CONCATENATE("#Metadata!", ADDRESS(INDEX($AI$2:$AI$1001,MATCH(ROWS($AG$2:AG688),$AG$2:$AG$1001,0),0), INDEX($AN$1004:$BO$1004,1,MATCH(COLUMNS($AN$1006:BL1006),$AN$1006:$BO$1006,0)))),"Fix")))</f>
        <v>0</v>
      </c>
      <c r="AA688" s="4">
        <f>IF(OR(INDEX($AH$2:$AH$1001,MATCH(ROWS($AG$2:AG688),$AG$2:$AG$1001,0),1)&gt;=100000,INDEX($AN$1005:$BO$1005,1,MATCH(COLUMNS($AN$1006:BM1006),$AN$1006:$BO$1006,0))&gt;=100000), " ",IF(INDEX($AN$2:$BO$1001,MATCH(ROWS($AG$2:AG688),$AG$2:$AG$1001,0),MATCH(COLUMNS($AN$1006:BM1006),$AN$1006:$BO$1006,0)), HYPERLINK("#",""), HYPERLINK(CONCATENATE("#Metadata!", ADDRESS(INDEX($AI$2:$AI$1001,MATCH(ROWS($AG$2:AG688),$AG$2:$AG$1001,0),0), INDEX($AN$1004:$BO$1004,1,MATCH(COLUMNS($AN$1006:BM1006),$AN$1006:$BO$1006,0)))),"Fix")))</f>
        <v>0</v>
      </c>
      <c r="AB688" s="4">
        <f>IF(OR(INDEX($AH$2:$AH$1001,MATCH(ROWS($AG$2:AG688),$AG$2:$AG$1001,0),1)&gt;=100000,INDEX($AN$1005:$BO$1005,1,MATCH(COLUMNS($AN$1006:BN1006),$AN$1006:$BO$1006,0))&gt;=100000), " ",IF(INDEX($AN$2:$BO$1001,MATCH(ROWS($AG$2:AG688),$AG$2:$AG$1001,0),MATCH(COLUMNS($AN$1006:BN1006),$AN$1006:$BO$1006,0)), HYPERLINK("#",""), HYPERLINK(CONCATENATE("#Metadata!", ADDRESS(INDEX($AI$2:$AI$1001,MATCH(ROWS($AG$2:AG688),$AG$2:$AG$1001,0),0), INDEX($AN$1004:$BO$1004,1,MATCH(COLUMNS($AN$1006:BN1006),$AN$1006:$BO$1006,0)))),"Fix")))</f>
        <v>0</v>
      </c>
      <c r="AC688" s="4">
        <f>IF(OR(INDEX($AH$2:$AH$1001,MATCH(ROWS($AG$2:AG688),$AG$2:$AG$1001,0),1)&gt;=100000,INDEX($AN$1005:$BO$1005,1,MATCH(COLUMNS($AN$1006:BO1006),$AN$1006:$BO$1006,0))&gt;=100000), " ",IF(INDEX($AN$2:$BO$1001,MATCH(ROWS($AG$2:AG688),$AG$2:$AG$1001,0),MATCH(COLUMNS($AN$1006:BO1006),$AN$1006:$BO$1006,0)), HYPERLINK("#",""), HYPERLINK(CONCATENATE("#Metadata!", ADDRESS(INDEX($AI$2:$AI$1001,MATCH(ROWS($AG$2:AG688),$AG$2:$AG$1001,0),0), INDEX($AN$1004:$BO$1004,1,MATCH(COLUMNS($AN$1006:BO1006),$AN$1006:$BO$1006,0)))),"Fix")))</f>
        <v>0</v>
      </c>
      <c r="AG688">
        <v>0</v>
      </c>
      <c r="AH688">
        <v>0</v>
      </c>
      <c r="AI688">
        <v>0</v>
      </c>
      <c r="AJ688">
        <f>IF(AK688,TRUE,AND(AN688:BO688))</f>
        <v>0</v>
      </c>
      <c r="AK688">
        <f>COUNTBLANK(Metadata!B688:AC688)=COLUMNS(Metadata!B688:AC688)</f>
        <v>0</v>
      </c>
      <c r="AL688">
        <v>0</v>
      </c>
      <c r="AN688">
        <f>AND(IF(Metadata!B688="",FALSE,TRUE),COUNTIF(Metadata!B:B, Metadata!B688) = 1,NOT(ISERROR(SUMPRODUCT(SEARCH(MID(Metadata!B688,ROW(INDIRECT("1:"&amp;LEN(Metadata!B688))), 1),"0123456789abcdefghijklmnopqrstuvwxyzABCDEFGHIJKLMNOPQRSTUVWXYZ.")))))</f>
        <v>0</v>
      </c>
      <c r="AO688">
        <f>IF(Metadata!C688="",FALSE,TRUE)</f>
        <v>0</v>
      </c>
      <c r="AP688">
        <f>IF(Metadata!D688="",FALSE,TRUE)</f>
        <v>0</v>
      </c>
      <c r="AQ688">
        <f>OR(AND(IF(Metadata!E688="",FALSE,TRUE),OR(exact(Metadata!E688,"not collected"),exact(Metadata!E688,"not provided"),exact(Metadata!E688,"restricted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R688">
        <f>IF(Metadata!F688="",FALSE,TRUE)</f>
        <v>0</v>
      </c>
      <c r="AS688">
        <f>OR(AND(IF(Metadata!G688="",FALSE,TRUE),OR(exact(Metadata!G688,"not collected"),exact(Metadata!G688,"not provided"))),AND(IF(Metadata!G688="",FALSE,TRUE),OR(exact(Metadata!G688,"TRUE"),exact(Metadata!G688,"FALSE"))))</f>
        <v>0</v>
      </c>
      <c r="AT688">
        <f>OR(AND(IF(Metadata!H688="",FALSE,TRUE),OR(exact(Metadata!H688,"not collected"),exact(Metadata!H688,"not provided"),exact(Metadata!H688,"restricted access"))),AND(IF(Metadata!H688="",FALSE,ISNUMBER(VALUE(Metadata!H688))),Metadata!H688&gt;=-413.0))</f>
        <v>0</v>
      </c>
      <c r="AU688">
        <f>AND(IF(Metadata!I688="",FALSE,TRUE),exact(Metadata!I688,"meters"))</f>
        <v>0</v>
      </c>
      <c r="AV688">
        <f>AND(IF(Metadata!J688="",FALSE,TRUE),OR(exact(Metadata!J688,"Host-associated"),exact(Metadata!J688,"Free-living")))</f>
        <v>0</v>
      </c>
      <c r="AW688">
        <f>AND(IF(Metadata!K688="",FALSE,TRUE),OR(exact(Metadata!K688,"Animal"),exact(Metadata!K688,"Fungus"),exact(Metadata!K688,"Plant"),exact(Metadata!K688,"Saline"),exact(Metadata!K688,"Non-saline")))</f>
        <v>0</v>
      </c>
      <c r="AX688">
        <f>AND(IF(Metadata!L688="",FALSE,TRUE),OR(exact(Metadata!L688,"Plant secretion"),exact(Metadata!L688,"Plant rhizosphere"),exact(Metadata!L688,"Plant surface"),exact(Metadata!L688,"Plant corpus"),exact(Metadata!L688,"Fungus surface"),exact(Metadata!L688,"Fungus corpus"),exact(Metadata!L688,"Animal surface"),exact(Metadata!L688,"Animal proximal gut"),exact(Metadata!L688,"Animal corpus"),exact(Metadata!L688,"Animal distal gut"),exact(Metadata!L688,"Animal secretion"),exact(Metadata!L688,"Sub-surface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Y688">
        <f>IF(Metadata!M688="",FALSE,TRUE)</f>
        <v>0</v>
      </c>
      <c r="AZ688">
        <f>IF(Metadata!N688="",FALSE,TRUE)</f>
        <v>0</v>
      </c>
      <c r="BA688">
        <f>IF(Metadata!O688="",FALSE,TRUE)</f>
        <v>0</v>
      </c>
      <c r="BB688">
        <f>OR(AND(IF(Metadata!P688="",FALSE,TRUE),OR(exact(Metadata!P688,"not collected"),exact(Metadata!P688,"not provided"),exact(Metadata!P688,"restricted access"))),AND(IF(Metadata!P688="",FALSE,TRUE),OR(exact(Metadata!P688,"air"),exact(Metadata!P688,"built environment"),exact(Metadata!P688,"host-associated"),exact(Metadata!P688,"human-associated"),exact(Metadata!P688,"human-skin"),exact(Metadata!P688,"human-oral"),exact(Metadata!P688,"human-gut"),exact(Metadata!P688,"human-vaginal"),exact(Metadata!P688,"microbial mat/biofilm"),exact(Metadata!P688,"misc environment"),exact(Metadata!P688,"plant-associated"),exact(Metadata!P688,"sediment"),exact(Metadata!P688,"soil"),exact(Metadata!P688,"wastewater/sludge"),exact(Metadata!P688,"water"))))</f>
        <v>0</v>
      </c>
      <c r="BC688">
        <f>IF(Metadata!Q688="",FALSE,TRUE)</f>
        <v>0</v>
      </c>
      <c r="BD688">
        <f>IF(Metadata!R688="",FALSE,TRUE)</f>
        <v>0</v>
      </c>
      <c r="BE688">
        <f>OR(AND(IF(Metadata!S688="",FALSE,TRUE),OR(exact(Metadata!S688,"not collected"),exact(Metadata!S688,"not provided"),exact(Metadata!S688,"restricted access"))),AND(IF(Metadata!S688="",FALSE,ISNUMBER(VALUE(Metadata!S688))),Metadata!S688&gt;=-90.00,Metadata!S688&lt;=90.00))</f>
        <v>0</v>
      </c>
      <c r="BF688">
        <f>AND(IF(Metadata!T688="",FALSE,TRUE),exact(Metadata!T688,"Decimal degrees"))</f>
        <v>0</v>
      </c>
      <c r="BG688">
        <f>OR(AND(IF(Metadata!U688="",FALSE,TRUE),OR(exact(Metadata!U688,"not collected"),exact(Metadata!U688,"not provided"),exact(Metadata!U688,"restricted access"))),AND(IF(Metadata!U688="",FALSE,ISNUMBER(VALUE(Metadata!U688))),Metadata!U688&gt;=-180.00,Metadata!U688&lt;=180.00))</f>
        <v>0</v>
      </c>
      <c r="BH688">
        <f>AND(IF(Metadata!V688="",FALSE,TRUE),exact(Metadata!V688,"Decimal degrees"))</f>
        <v>0</v>
      </c>
      <c r="BI688">
        <f>IF(Metadata!W688="",FALSE,TRUE)</f>
        <v>0</v>
      </c>
      <c r="BJ688">
        <f>OR(AND(IF(Metadata!X688="",FALSE,TRUE),OR(exact(Metadata!X688,"not collected"),exact(Metadata!X688,"not provided"),exact(Metadata!X688,"restricted access"))),AND(IF(Metadata!X688="",FALSE,TRUE),OR(exact(Metadata!X688,"TRUE"),exact(Metadata!X688,"FALSE"))))</f>
        <v>0</v>
      </c>
      <c r="BK688">
        <f>AND(IF(Metadata!Y688="",FALSE,TRUE),exact(Metadata!Y688,"other"))</f>
        <v>0</v>
      </c>
      <c r="BL688">
        <f>IF(Metadata!Z688="",FALSE,TRUE)</f>
        <v>0</v>
      </c>
      <c r="BM688">
        <f>OR(AND(IF(Metadata!AA688="",FALSE,TRUE),OR(exact(Metadata!AA688,"not collected"),exact(Metadata!AA688,"not provided"))),AND(IF(Metadata!AA688="",FALSE,IF(ISERROR(INT(Metadata!AA688)),FALSE,INT(Metadata!AA688)=Metadata!AA688)),Metadata!AA688&gt;0))</f>
        <v>0</v>
      </c>
      <c r="BN688">
        <f>AND(IF(Metadata!AB688="",FALSE,TRUE),exact(Metadata!AB688,"Not applicable"))</f>
        <v>0</v>
      </c>
      <c r="BO688">
        <f>IF(Metadata!AC688="",FALSE,TRUE)</f>
        <v>0</v>
      </c>
    </row>
    <row r="689" spans="1:67">
      <c r="A689" s="5">
        <f>IF(B689=" "," ",HYPERLINK(CONCATENATE("#metadata!",ADDRESS(INDEX($AI$2:$AI$1001,MATCH(ROWS($AG$2:AG689),$AG$2:$AG$1001,0),0),1)),INDEX($AL$2:$AL$1001,MATCH(ROWS($AG$2:AG689),$AG$2:$AG$1001,0),0)))</f>
        <v>0</v>
      </c>
      <c r="B689" s="4">
        <f>IF(OR(INDEX($AH$2:$AH$1001,MATCH(ROWS($AG$2:AG689),$AG$2:$AG$1001,0),1)&gt;=100000,INDEX($AN$1005:$BO$1005,1,MATCH(COLUMNS($AN$1006:AN1006),$AN$1006:$BO$1006,0))&gt;=100000), " ",IF(INDEX($AN$2:$BO$1001,MATCH(ROWS($AG$2:AG689),$AG$2:$AG$1001,0),MATCH(COLUMNS($AN$1006:AN1006),$AN$1006:$BO$1006,0)), HYPERLINK("#",""), HYPERLINK(CONCATENATE("#Metadata!", ADDRESS(INDEX($AI$2:$AI$1001,MATCH(ROWS($AG$2:AG689),$AG$2:$AG$1001,0),0), INDEX($AN$1004:$BO$1004,1,MATCH(COLUMNS($AN$1006:AN1006),$AN$1006:$BO$1006,0)))),"Fix")))</f>
        <v>0</v>
      </c>
      <c r="C689" s="4">
        <f>IF(OR(INDEX($AH$2:$AH$1001,MATCH(ROWS($AG$2:AG689),$AG$2:$AG$1001,0),1)&gt;=100000,INDEX($AN$1005:$BO$1005,1,MATCH(COLUMNS($AN$1006:AO1006),$AN$1006:$BO$1006,0))&gt;=100000), " ",IF(INDEX($AN$2:$BO$1001,MATCH(ROWS($AG$2:AG689),$AG$2:$AG$1001,0),MATCH(COLUMNS($AN$1006:AO1006),$AN$1006:$BO$1006,0)), HYPERLINK("#",""), HYPERLINK(CONCATENATE("#Metadata!", ADDRESS(INDEX($AI$2:$AI$1001,MATCH(ROWS($AG$2:AG689),$AG$2:$AG$1001,0),0), INDEX($AN$1004:$BO$1004,1,MATCH(COLUMNS($AN$1006:AO1006),$AN$1006:$BO$1006,0)))),"Fix")))</f>
        <v>0</v>
      </c>
      <c r="D689" s="4">
        <f>IF(OR(INDEX($AH$2:$AH$1001,MATCH(ROWS($AG$2:AG689),$AG$2:$AG$1001,0),1)&gt;=100000,INDEX($AN$1005:$BO$1005,1,MATCH(COLUMNS($AN$1006:AP1006),$AN$1006:$BO$1006,0))&gt;=100000), " ",IF(INDEX($AN$2:$BO$1001,MATCH(ROWS($AG$2:AG689),$AG$2:$AG$1001,0),MATCH(COLUMNS($AN$1006:AP1006),$AN$1006:$BO$1006,0)), HYPERLINK("#",""), HYPERLINK(CONCATENATE("#Metadata!", ADDRESS(INDEX($AI$2:$AI$1001,MATCH(ROWS($AG$2:AG689),$AG$2:$AG$1001,0),0), INDEX($AN$1004:$BO$1004,1,MATCH(COLUMNS($AN$1006:AP1006),$AN$1006:$BO$1006,0)))),"Fix")))</f>
        <v>0</v>
      </c>
      <c r="E689" s="4">
        <f>IF(OR(INDEX($AH$2:$AH$1001,MATCH(ROWS($AG$2:AG689),$AG$2:$AG$1001,0),1)&gt;=100000,INDEX($AN$1005:$BO$1005,1,MATCH(COLUMNS($AN$1006:AQ1006),$AN$1006:$BO$1006,0))&gt;=100000), " ",IF(INDEX($AN$2:$BO$1001,MATCH(ROWS($AG$2:AG689),$AG$2:$AG$1001,0),MATCH(COLUMNS($AN$1006:AQ1006),$AN$1006:$BO$1006,0)), HYPERLINK("#",""), HYPERLINK(CONCATENATE("#Metadata!", ADDRESS(INDEX($AI$2:$AI$1001,MATCH(ROWS($AG$2:AG689),$AG$2:$AG$1001,0),0), INDEX($AN$1004:$BO$1004,1,MATCH(COLUMNS($AN$1006:AQ1006),$AN$1006:$BO$1006,0)))),"Fix")))</f>
        <v>0</v>
      </c>
      <c r="F689" s="4">
        <f>IF(OR(INDEX($AH$2:$AH$1001,MATCH(ROWS($AG$2:AG689),$AG$2:$AG$1001,0),1)&gt;=100000,INDEX($AN$1005:$BO$1005,1,MATCH(COLUMNS($AN$1006:AR1006),$AN$1006:$BO$1006,0))&gt;=100000), " ",IF(INDEX($AN$2:$BO$1001,MATCH(ROWS($AG$2:AG689),$AG$2:$AG$1001,0),MATCH(COLUMNS($AN$1006:AR1006),$AN$1006:$BO$1006,0)), HYPERLINK("#",""), HYPERLINK(CONCATENATE("#Metadata!", ADDRESS(INDEX($AI$2:$AI$1001,MATCH(ROWS($AG$2:AG689),$AG$2:$AG$1001,0),0), INDEX($AN$1004:$BO$1004,1,MATCH(COLUMNS($AN$1006:AR1006),$AN$1006:$BO$1006,0)))),"Fix")))</f>
        <v>0</v>
      </c>
      <c r="G689" s="4">
        <f>IF(OR(INDEX($AH$2:$AH$1001,MATCH(ROWS($AG$2:AG689),$AG$2:$AG$1001,0),1)&gt;=100000,INDEX($AN$1005:$BO$1005,1,MATCH(COLUMNS($AN$1006:AS1006),$AN$1006:$BO$1006,0))&gt;=100000), " ",IF(INDEX($AN$2:$BO$1001,MATCH(ROWS($AG$2:AG689),$AG$2:$AG$1001,0),MATCH(COLUMNS($AN$1006:AS1006),$AN$1006:$BO$1006,0)), HYPERLINK("#",""), HYPERLINK(CONCATENATE("#Metadata!", ADDRESS(INDEX($AI$2:$AI$1001,MATCH(ROWS($AG$2:AG689),$AG$2:$AG$1001,0),0), INDEX($AN$1004:$BO$1004,1,MATCH(COLUMNS($AN$1006:AS1006),$AN$1006:$BO$1006,0)))),"Fix")))</f>
        <v>0</v>
      </c>
      <c r="H689" s="4">
        <f>IF(OR(INDEX($AH$2:$AH$1001,MATCH(ROWS($AG$2:AG689),$AG$2:$AG$1001,0),1)&gt;=100000,INDEX($AN$1005:$BO$1005,1,MATCH(COLUMNS($AN$1006:AT1006),$AN$1006:$BO$1006,0))&gt;=100000), " ",IF(INDEX($AN$2:$BO$1001,MATCH(ROWS($AG$2:AG689),$AG$2:$AG$1001,0),MATCH(COLUMNS($AN$1006:AT1006),$AN$1006:$BO$1006,0)), HYPERLINK("#",""), HYPERLINK(CONCATENATE("#Metadata!", ADDRESS(INDEX($AI$2:$AI$1001,MATCH(ROWS($AG$2:AG689),$AG$2:$AG$1001,0),0), INDEX($AN$1004:$BO$1004,1,MATCH(COLUMNS($AN$1006:AT1006),$AN$1006:$BO$1006,0)))),"Fix")))</f>
        <v>0</v>
      </c>
      <c r="I689" s="4">
        <f>IF(OR(INDEX($AH$2:$AH$1001,MATCH(ROWS($AG$2:AG689),$AG$2:$AG$1001,0),1)&gt;=100000,INDEX($AN$1005:$BO$1005,1,MATCH(COLUMNS($AN$1006:AU1006),$AN$1006:$BO$1006,0))&gt;=100000), " ",IF(INDEX($AN$2:$BO$1001,MATCH(ROWS($AG$2:AG689),$AG$2:$AG$1001,0),MATCH(COLUMNS($AN$1006:AU1006),$AN$1006:$BO$1006,0)), HYPERLINK("#",""), HYPERLINK(CONCATENATE("#Metadata!", ADDRESS(INDEX($AI$2:$AI$1001,MATCH(ROWS($AG$2:AG689),$AG$2:$AG$1001,0),0), INDEX($AN$1004:$BO$1004,1,MATCH(COLUMNS($AN$1006:AU1006),$AN$1006:$BO$1006,0)))),"Fix")))</f>
        <v>0</v>
      </c>
      <c r="J689" s="4">
        <f>IF(OR(INDEX($AH$2:$AH$1001,MATCH(ROWS($AG$2:AG689),$AG$2:$AG$1001,0),1)&gt;=100000,INDEX($AN$1005:$BO$1005,1,MATCH(COLUMNS($AN$1006:AV1006),$AN$1006:$BO$1006,0))&gt;=100000), " ",IF(INDEX($AN$2:$BO$1001,MATCH(ROWS($AG$2:AG689),$AG$2:$AG$1001,0),MATCH(COLUMNS($AN$1006:AV1006),$AN$1006:$BO$1006,0)), HYPERLINK("#",""), HYPERLINK(CONCATENATE("#Metadata!", ADDRESS(INDEX($AI$2:$AI$1001,MATCH(ROWS($AG$2:AG689),$AG$2:$AG$1001,0),0), INDEX($AN$1004:$BO$1004,1,MATCH(COLUMNS($AN$1006:AV1006),$AN$1006:$BO$1006,0)))),"Fix")))</f>
        <v>0</v>
      </c>
      <c r="K689" s="4">
        <f>IF(OR(INDEX($AH$2:$AH$1001,MATCH(ROWS($AG$2:AG689),$AG$2:$AG$1001,0),1)&gt;=100000,INDEX($AN$1005:$BO$1005,1,MATCH(COLUMNS($AN$1006:AW1006),$AN$1006:$BO$1006,0))&gt;=100000), " ",IF(INDEX($AN$2:$BO$1001,MATCH(ROWS($AG$2:AG689),$AG$2:$AG$1001,0),MATCH(COLUMNS($AN$1006:AW1006),$AN$1006:$BO$1006,0)), HYPERLINK("#",""), HYPERLINK(CONCATENATE("#Metadata!", ADDRESS(INDEX($AI$2:$AI$1001,MATCH(ROWS($AG$2:AG689),$AG$2:$AG$1001,0),0), INDEX($AN$1004:$BO$1004,1,MATCH(COLUMNS($AN$1006:AW1006),$AN$1006:$BO$1006,0)))),"Fix")))</f>
        <v>0</v>
      </c>
      <c r="L689" s="4">
        <f>IF(OR(INDEX($AH$2:$AH$1001,MATCH(ROWS($AG$2:AG689),$AG$2:$AG$1001,0),1)&gt;=100000,INDEX($AN$1005:$BO$1005,1,MATCH(COLUMNS($AN$1006:AX1006),$AN$1006:$BO$1006,0))&gt;=100000), " ",IF(INDEX($AN$2:$BO$1001,MATCH(ROWS($AG$2:AG689),$AG$2:$AG$1001,0),MATCH(COLUMNS($AN$1006:AX1006),$AN$1006:$BO$1006,0)), HYPERLINK("#",""), HYPERLINK(CONCATENATE("#Metadata!", ADDRESS(INDEX($AI$2:$AI$1001,MATCH(ROWS($AG$2:AG689),$AG$2:$AG$1001,0),0), INDEX($AN$1004:$BO$1004,1,MATCH(COLUMNS($AN$1006:AX1006),$AN$1006:$BO$1006,0)))),"Fix")))</f>
        <v>0</v>
      </c>
      <c r="M689" s="4">
        <f>IF(OR(INDEX($AH$2:$AH$1001,MATCH(ROWS($AG$2:AG689),$AG$2:$AG$1001,0),1)&gt;=100000,INDEX($AN$1005:$BO$1005,1,MATCH(COLUMNS($AN$1006:AY1006),$AN$1006:$BO$1006,0))&gt;=100000), " ",IF(INDEX($AN$2:$BO$1001,MATCH(ROWS($AG$2:AG689),$AG$2:$AG$1001,0),MATCH(COLUMNS($AN$1006:AY1006),$AN$1006:$BO$1006,0)), HYPERLINK("#",""), HYPERLINK(CONCATENATE("#Metadata!", ADDRESS(INDEX($AI$2:$AI$1001,MATCH(ROWS($AG$2:AG689),$AG$2:$AG$1001,0),0), INDEX($AN$1004:$BO$1004,1,MATCH(COLUMNS($AN$1006:AY1006),$AN$1006:$BO$1006,0)))),"Fix")))</f>
        <v>0</v>
      </c>
      <c r="N689" s="4">
        <f>IF(OR(INDEX($AH$2:$AH$1001,MATCH(ROWS($AG$2:AG689),$AG$2:$AG$1001,0),1)&gt;=100000,INDEX($AN$1005:$BO$1005,1,MATCH(COLUMNS($AN$1006:AZ1006),$AN$1006:$BO$1006,0))&gt;=100000), " ",IF(INDEX($AN$2:$BO$1001,MATCH(ROWS($AG$2:AG689),$AG$2:$AG$1001,0),MATCH(COLUMNS($AN$1006:AZ1006),$AN$1006:$BO$1006,0)), HYPERLINK("#",""), HYPERLINK(CONCATENATE("#Metadata!", ADDRESS(INDEX($AI$2:$AI$1001,MATCH(ROWS($AG$2:AG689),$AG$2:$AG$1001,0),0), INDEX($AN$1004:$BO$1004,1,MATCH(COLUMNS($AN$1006:AZ1006),$AN$1006:$BO$1006,0)))),"Fix")))</f>
        <v>0</v>
      </c>
      <c r="O689" s="4">
        <f>IF(OR(INDEX($AH$2:$AH$1001,MATCH(ROWS($AG$2:AG689),$AG$2:$AG$1001,0),1)&gt;=100000,INDEX($AN$1005:$BO$1005,1,MATCH(COLUMNS($AN$1006:BA1006),$AN$1006:$BO$1006,0))&gt;=100000), " ",IF(INDEX($AN$2:$BO$1001,MATCH(ROWS($AG$2:AG689),$AG$2:$AG$1001,0),MATCH(COLUMNS($AN$1006:BA1006),$AN$1006:$BO$1006,0)), HYPERLINK("#",""), HYPERLINK(CONCATENATE("#Metadata!", ADDRESS(INDEX($AI$2:$AI$1001,MATCH(ROWS($AG$2:AG689),$AG$2:$AG$1001,0),0), INDEX($AN$1004:$BO$1004,1,MATCH(COLUMNS($AN$1006:BA1006),$AN$1006:$BO$1006,0)))),"Fix")))</f>
        <v>0</v>
      </c>
      <c r="P689" s="4">
        <f>IF(OR(INDEX($AH$2:$AH$1001,MATCH(ROWS($AG$2:AG689),$AG$2:$AG$1001,0),1)&gt;=100000,INDEX($AN$1005:$BO$1005,1,MATCH(COLUMNS($AN$1006:BB1006),$AN$1006:$BO$1006,0))&gt;=100000), " ",IF(INDEX($AN$2:$BO$1001,MATCH(ROWS($AG$2:AG689),$AG$2:$AG$1001,0),MATCH(COLUMNS($AN$1006:BB1006),$AN$1006:$BO$1006,0)), HYPERLINK("#",""), HYPERLINK(CONCATENATE("#Metadata!", ADDRESS(INDEX($AI$2:$AI$1001,MATCH(ROWS($AG$2:AG689),$AG$2:$AG$1001,0),0), INDEX($AN$1004:$BO$1004,1,MATCH(COLUMNS($AN$1006:BB1006),$AN$1006:$BO$1006,0)))),"Fix")))</f>
        <v>0</v>
      </c>
      <c r="Q689" s="4">
        <f>IF(OR(INDEX($AH$2:$AH$1001,MATCH(ROWS($AG$2:AG689),$AG$2:$AG$1001,0),1)&gt;=100000,INDEX($AN$1005:$BO$1005,1,MATCH(COLUMNS($AN$1006:BC1006),$AN$1006:$BO$1006,0))&gt;=100000), " ",IF(INDEX($AN$2:$BO$1001,MATCH(ROWS($AG$2:AG689),$AG$2:$AG$1001,0),MATCH(COLUMNS($AN$1006:BC1006),$AN$1006:$BO$1006,0)), HYPERLINK("#",""), HYPERLINK(CONCATENATE("#Metadata!", ADDRESS(INDEX($AI$2:$AI$1001,MATCH(ROWS($AG$2:AG689),$AG$2:$AG$1001,0),0), INDEX($AN$1004:$BO$1004,1,MATCH(COLUMNS($AN$1006:BC1006),$AN$1006:$BO$1006,0)))),"Fix")))</f>
        <v>0</v>
      </c>
      <c r="R689" s="4">
        <f>IF(OR(INDEX($AH$2:$AH$1001,MATCH(ROWS($AG$2:AG689),$AG$2:$AG$1001,0),1)&gt;=100000,INDEX($AN$1005:$BO$1005,1,MATCH(COLUMNS($AN$1006:BD1006),$AN$1006:$BO$1006,0))&gt;=100000), " ",IF(INDEX($AN$2:$BO$1001,MATCH(ROWS($AG$2:AG689),$AG$2:$AG$1001,0),MATCH(COLUMNS($AN$1006:BD1006),$AN$1006:$BO$1006,0)), HYPERLINK("#",""), HYPERLINK(CONCATENATE("#Metadata!", ADDRESS(INDEX($AI$2:$AI$1001,MATCH(ROWS($AG$2:AG689),$AG$2:$AG$1001,0),0), INDEX($AN$1004:$BO$1004,1,MATCH(COLUMNS($AN$1006:BD1006),$AN$1006:$BO$1006,0)))),"Fix")))</f>
        <v>0</v>
      </c>
      <c r="S689" s="4">
        <f>IF(OR(INDEX($AH$2:$AH$1001,MATCH(ROWS($AG$2:AG689),$AG$2:$AG$1001,0),1)&gt;=100000,INDEX($AN$1005:$BO$1005,1,MATCH(COLUMNS($AN$1006:BE1006),$AN$1006:$BO$1006,0))&gt;=100000), " ",IF(INDEX($AN$2:$BO$1001,MATCH(ROWS($AG$2:AG689),$AG$2:$AG$1001,0),MATCH(COLUMNS($AN$1006:BE1006),$AN$1006:$BO$1006,0)), HYPERLINK("#",""), HYPERLINK(CONCATENATE("#Metadata!", ADDRESS(INDEX($AI$2:$AI$1001,MATCH(ROWS($AG$2:AG689),$AG$2:$AG$1001,0),0), INDEX($AN$1004:$BO$1004,1,MATCH(COLUMNS($AN$1006:BE1006),$AN$1006:$BO$1006,0)))),"Fix")))</f>
        <v>0</v>
      </c>
      <c r="T689" s="4">
        <f>IF(OR(INDEX($AH$2:$AH$1001,MATCH(ROWS($AG$2:AG689),$AG$2:$AG$1001,0),1)&gt;=100000,INDEX($AN$1005:$BO$1005,1,MATCH(COLUMNS($AN$1006:BF1006),$AN$1006:$BO$1006,0))&gt;=100000), " ",IF(INDEX($AN$2:$BO$1001,MATCH(ROWS($AG$2:AG689),$AG$2:$AG$1001,0),MATCH(COLUMNS($AN$1006:BF1006),$AN$1006:$BO$1006,0)), HYPERLINK("#",""), HYPERLINK(CONCATENATE("#Metadata!", ADDRESS(INDEX($AI$2:$AI$1001,MATCH(ROWS($AG$2:AG689),$AG$2:$AG$1001,0),0), INDEX($AN$1004:$BO$1004,1,MATCH(COLUMNS($AN$1006:BF1006),$AN$1006:$BO$1006,0)))),"Fix")))</f>
        <v>0</v>
      </c>
      <c r="U689" s="4">
        <f>IF(OR(INDEX($AH$2:$AH$1001,MATCH(ROWS($AG$2:AG689),$AG$2:$AG$1001,0),1)&gt;=100000,INDEX($AN$1005:$BO$1005,1,MATCH(COLUMNS($AN$1006:BG1006),$AN$1006:$BO$1006,0))&gt;=100000), " ",IF(INDEX($AN$2:$BO$1001,MATCH(ROWS($AG$2:AG689),$AG$2:$AG$1001,0),MATCH(COLUMNS($AN$1006:BG1006),$AN$1006:$BO$1006,0)), HYPERLINK("#",""), HYPERLINK(CONCATENATE("#Metadata!", ADDRESS(INDEX($AI$2:$AI$1001,MATCH(ROWS($AG$2:AG689),$AG$2:$AG$1001,0),0), INDEX($AN$1004:$BO$1004,1,MATCH(COLUMNS($AN$1006:BG1006),$AN$1006:$BO$1006,0)))),"Fix")))</f>
        <v>0</v>
      </c>
      <c r="V689" s="4">
        <f>IF(OR(INDEX($AH$2:$AH$1001,MATCH(ROWS($AG$2:AG689),$AG$2:$AG$1001,0),1)&gt;=100000,INDEX($AN$1005:$BO$1005,1,MATCH(COLUMNS($AN$1006:BH1006),$AN$1006:$BO$1006,0))&gt;=100000), " ",IF(INDEX($AN$2:$BO$1001,MATCH(ROWS($AG$2:AG689),$AG$2:$AG$1001,0),MATCH(COLUMNS($AN$1006:BH1006),$AN$1006:$BO$1006,0)), HYPERLINK("#",""), HYPERLINK(CONCATENATE("#Metadata!", ADDRESS(INDEX($AI$2:$AI$1001,MATCH(ROWS($AG$2:AG689),$AG$2:$AG$1001,0),0), INDEX($AN$1004:$BO$1004,1,MATCH(COLUMNS($AN$1006:BH1006),$AN$1006:$BO$1006,0)))),"Fix")))</f>
        <v>0</v>
      </c>
      <c r="W689" s="4">
        <f>IF(OR(INDEX($AH$2:$AH$1001,MATCH(ROWS($AG$2:AG689),$AG$2:$AG$1001,0),1)&gt;=100000,INDEX($AN$1005:$BO$1005,1,MATCH(COLUMNS($AN$1006:BI1006),$AN$1006:$BO$1006,0))&gt;=100000), " ",IF(INDEX($AN$2:$BO$1001,MATCH(ROWS($AG$2:AG689),$AG$2:$AG$1001,0),MATCH(COLUMNS($AN$1006:BI1006),$AN$1006:$BO$1006,0)), HYPERLINK("#",""), HYPERLINK(CONCATENATE("#Metadata!", ADDRESS(INDEX($AI$2:$AI$1001,MATCH(ROWS($AG$2:AG689),$AG$2:$AG$1001,0),0), INDEX($AN$1004:$BO$1004,1,MATCH(COLUMNS($AN$1006:BI1006),$AN$1006:$BO$1006,0)))),"Fix")))</f>
        <v>0</v>
      </c>
      <c r="X689" s="4">
        <f>IF(OR(INDEX($AH$2:$AH$1001,MATCH(ROWS($AG$2:AG689),$AG$2:$AG$1001,0),1)&gt;=100000,INDEX($AN$1005:$BO$1005,1,MATCH(COLUMNS($AN$1006:BJ1006),$AN$1006:$BO$1006,0))&gt;=100000), " ",IF(INDEX($AN$2:$BO$1001,MATCH(ROWS($AG$2:AG689),$AG$2:$AG$1001,0),MATCH(COLUMNS($AN$1006:BJ1006),$AN$1006:$BO$1006,0)), HYPERLINK("#",""), HYPERLINK(CONCATENATE("#Metadata!", ADDRESS(INDEX($AI$2:$AI$1001,MATCH(ROWS($AG$2:AG689),$AG$2:$AG$1001,0),0), INDEX($AN$1004:$BO$1004,1,MATCH(COLUMNS($AN$1006:BJ1006),$AN$1006:$BO$1006,0)))),"Fix")))</f>
        <v>0</v>
      </c>
      <c r="Y689" s="4">
        <f>IF(OR(INDEX($AH$2:$AH$1001,MATCH(ROWS($AG$2:AG689),$AG$2:$AG$1001,0),1)&gt;=100000,INDEX($AN$1005:$BO$1005,1,MATCH(COLUMNS($AN$1006:BK1006),$AN$1006:$BO$1006,0))&gt;=100000), " ",IF(INDEX($AN$2:$BO$1001,MATCH(ROWS($AG$2:AG689),$AG$2:$AG$1001,0),MATCH(COLUMNS($AN$1006:BK1006),$AN$1006:$BO$1006,0)), HYPERLINK("#",""), HYPERLINK(CONCATENATE("#Metadata!", ADDRESS(INDEX($AI$2:$AI$1001,MATCH(ROWS($AG$2:AG689),$AG$2:$AG$1001,0),0), INDEX($AN$1004:$BO$1004,1,MATCH(COLUMNS($AN$1006:BK1006),$AN$1006:$BO$1006,0)))),"Fix")))</f>
        <v>0</v>
      </c>
      <c r="Z689" s="4">
        <f>IF(OR(INDEX($AH$2:$AH$1001,MATCH(ROWS($AG$2:AG689),$AG$2:$AG$1001,0),1)&gt;=100000,INDEX($AN$1005:$BO$1005,1,MATCH(COLUMNS($AN$1006:BL1006),$AN$1006:$BO$1006,0))&gt;=100000), " ",IF(INDEX($AN$2:$BO$1001,MATCH(ROWS($AG$2:AG689),$AG$2:$AG$1001,0),MATCH(COLUMNS($AN$1006:BL1006),$AN$1006:$BO$1006,0)), HYPERLINK("#",""), HYPERLINK(CONCATENATE("#Metadata!", ADDRESS(INDEX($AI$2:$AI$1001,MATCH(ROWS($AG$2:AG689),$AG$2:$AG$1001,0),0), INDEX($AN$1004:$BO$1004,1,MATCH(COLUMNS($AN$1006:BL1006),$AN$1006:$BO$1006,0)))),"Fix")))</f>
        <v>0</v>
      </c>
      <c r="AA689" s="4">
        <f>IF(OR(INDEX($AH$2:$AH$1001,MATCH(ROWS($AG$2:AG689),$AG$2:$AG$1001,0),1)&gt;=100000,INDEX($AN$1005:$BO$1005,1,MATCH(COLUMNS($AN$1006:BM1006),$AN$1006:$BO$1006,0))&gt;=100000), " ",IF(INDEX($AN$2:$BO$1001,MATCH(ROWS($AG$2:AG689),$AG$2:$AG$1001,0),MATCH(COLUMNS($AN$1006:BM1006),$AN$1006:$BO$1006,0)), HYPERLINK("#",""), HYPERLINK(CONCATENATE("#Metadata!", ADDRESS(INDEX($AI$2:$AI$1001,MATCH(ROWS($AG$2:AG689),$AG$2:$AG$1001,0),0), INDEX($AN$1004:$BO$1004,1,MATCH(COLUMNS($AN$1006:BM1006),$AN$1006:$BO$1006,0)))),"Fix")))</f>
        <v>0</v>
      </c>
      <c r="AB689" s="4">
        <f>IF(OR(INDEX($AH$2:$AH$1001,MATCH(ROWS($AG$2:AG689),$AG$2:$AG$1001,0),1)&gt;=100000,INDEX($AN$1005:$BO$1005,1,MATCH(COLUMNS($AN$1006:BN1006),$AN$1006:$BO$1006,0))&gt;=100000), " ",IF(INDEX($AN$2:$BO$1001,MATCH(ROWS($AG$2:AG689),$AG$2:$AG$1001,0),MATCH(COLUMNS($AN$1006:BN1006),$AN$1006:$BO$1006,0)), HYPERLINK("#",""), HYPERLINK(CONCATENATE("#Metadata!", ADDRESS(INDEX($AI$2:$AI$1001,MATCH(ROWS($AG$2:AG689),$AG$2:$AG$1001,0),0), INDEX($AN$1004:$BO$1004,1,MATCH(COLUMNS($AN$1006:BN1006),$AN$1006:$BO$1006,0)))),"Fix")))</f>
        <v>0</v>
      </c>
      <c r="AC689" s="4">
        <f>IF(OR(INDEX($AH$2:$AH$1001,MATCH(ROWS($AG$2:AG689),$AG$2:$AG$1001,0),1)&gt;=100000,INDEX($AN$1005:$BO$1005,1,MATCH(COLUMNS($AN$1006:BO1006),$AN$1006:$BO$1006,0))&gt;=100000), " ",IF(INDEX($AN$2:$BO$1001,MATCH(ROWS($AG$2:AG689),$AG$2:$AG$1001,0),MATCH(COLUMNS($AN$1006:BO1006),$AN$1006:$BO$1006,0)), HYPERLINK("#",""), HYPERLINK(CONCATENATE("#Metadata!", ADDRESS(INDEX($AI$2:$AI$1001,MATCH(ROWS($AG$2:AG689),$AG$2:$AG$1001,0),0), INDEX($AN$1004:$BO$1004,1,MATCH(COLUMNS($AN$1006:BO1006),$AN$1006:$BO$1006,0)))),"Fix")))</f>
        <v>0</v>
      </c>
      <c r="AG689">
        <v>0</v>
      </c>
      <c r="AH689">
        <v>0</v>
      </c>
      <c r="AI689">
        <v>0</v>
      </c>
      <c r="AJ689">
        <f>IF(AK689,TRUE,AND(AN689:BO689))</f>
        <v>0</v>
      </c>
      <c r="AK689">
        <f>COUNTBLANK(Metadata!B689:AC689)=COLUMNS(Metadata!B689:AC689)</f>
        <v>0</v>
      </c>
      <c r="AL689">
        <v>0</v>
      </c>
      <c r="AN689">
        <f>AND(IF(Metadata!B689="",FALSE,TRUE),COUNTIF(Metadata!B:B, Metadata!B689) = 1,NOT(ISERROR(SUMPRODUCT(SEARCH(MID(Metadata!B689,ROW(INDIRECT("1:"&amp;LEN(Metadata!B689))), 1),"0123456789abcdefghijklmnopqrstuvwxyzABCDEFGHIJKLMNOPQRSTUVWXYZ.")))))</f>
        <v>0</v>
      </c>
      <c r="AO689">
        <f>IF(Metadata!C689="",FALSE,TRUE)</f>
        <v>0</v>
      </c>
      <c r="AP689">
        <f>IF(Metadata!D689="",FALSE,TRUE)</f>
        <v>0</v>
      </c>
      <c r="AQ689">
        <f>OR(AND(IF(Metadata!E689="",FALSE,TRUE),OR(exact(Metadata!E689,"not collected"),exact(Metadata!E689,"not provided"),exact(Metadata!E689,"restricted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R689">
        <f>IF(Metadata!F689="",FALSE,TRUE)</f>
        <v>0</v>
      </c>
      <c r="AS689">
        <f>OR(AND(IF(Metadata!G689="",FALSE,TRUE),OR(exact(Metadata!G689,"not collected"),exact(Metadata!G689,"not provided"))),AND(IF(Metadata!G689="",FALSE,TRUE),OR(exact(Metadata!G689,"TRUE"),exact(Metadata!G689,"FALSE"))))</f>
        <v>0</v>
      </c>
      <c r="AT689">
        <f>OR(AND(IF(Metadata!H689="",FALSE,TRUE),OR(exact(Metadata!H689,"not collected"),exact(Metadata!H689,"not provided"),exact(Metadata!H689,"restricted access"))),AND(IF(Metadata!H689="",FALSE,ISNUMBER(VALUE(Metadata!H689))),Metadata!H689&gt;=-413.0))</f>
        <v>0</v>
      </c>
      <c r="AU689">
        <f>AND(IF(Metadata!I689="",FALSE,TRUE),exact(Metadata!I689,"meters"))</f>
        <v>0</v>
      </c>
      <c r="AV689">
        <f>AND(IF(Metadata!J689="",FALSE,TRUE),OR(exact(Metadata!J689,"Host-associated"),exact(Metadata!J689,"Free-living")))</f>
        <v>0</v>
      </c>
      <c r="AW689">
        <f>AND(IF(Metadata!K689="",FALSE,TRUE),OR(exact(Metadata!K689,"Animal"),exact(Metadata!K689,"Fungus"),exact(Metadata!K689,"Plant"),exact(Metadata!K689,"Saline"),exact(Metadata!K689,"Non-saline")))</f>
        <v>0</v>
      </c>
      <c r="AX689">
        <f>AND(IF(Metadata!L689="",FALSE,TRUE),OR(exact(Metadata!L689,"Plant secretion"),exact(Metadata!L689,"Plant rhizosphere"),exact(Metadata!L689,"Plant surface"),exact(Metadata!L689,"Plant corpus"),exact(Metadata!L689,"Fungus surface"),exact(Metadata!L689,"Fungus corpus"),exact(Metadata!L689,"Animal surface"),exact(Metadata!L689,"Animal proximal gut"),exact(Metadata!L689,"Animal corpus"),exact(Metadata!L689,"Animal distal gut"),exact(Metadata!L689,"Animal secretion"),exact(Metadata!L689,"Sub-surface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Y689">
        <f>IF(Metadata!M689="",FALSE,TRUE)</f>
        <v>0</v>
      </c>
      <c r="AZ689">
        <f>IF(Metadata!N689="",FALSE,TRUE)</f>
        <v>0</v>
      </c>
      <c r="BA689">
        <f>IF(Metadata!O689="",FALSE,TRUE)</f>
        <v>0</v>
      </c>
      <c r="BB689">
        <f>OR(AND(IF(Metadata!P689="",FALSE,TRUE),OR(exact(Metadata!P689,"not collected"),exact(Metadata!P689,"not provided"),exact(Metadata!P689,"restricted access"))),AND(IF(Metadata!P689="",FALSE,TRUE),OR(exact(Metadata!P689,"air"),exact(Metadata!P689,"built environment"),exact(Metadata!P689,"host-associated"),exact(Metadata!P689,"human-associated"),exact(Metadata!P689,"human-skin"),exact(Metadata!P689,"human-oral"),exact(Metadata!P689,"human-gut"),exact(Metadata!P689,"human-vaginal"),exact(Metadata!P689,"microbial mat/biofilm"),exact(Metadata!P689,"misc environment"),exact(Metadata!P689,"plant-associated"),exact(Metadata!P689,"sediment"),exact(Metadata!P689,"soil"),exact(Metadata!P689,"wastewater/sludge"),exact(Metadata!P689,"water"))))</f>
        <v>0</v>
      </c>
      <c r="BC689">
        <f>IF(Metadata!Q689="",FALSE,TRUE)</f>
        <v>0</v>
      </c>
      <c r="BD689">
        <f>IF(Metadata!R689="",FALSE,TRUE)</f>
        <v>0</v>
      </c>
      <c r="BE689">
        <f>OR(AND(IF(Metadata!S689="",FALSE,TRUE),OR(exact(Metadata!S689,"not collected"),exact(Metadata!S689,"not provided"),exact(Metadata!S689,"restricted access"))),AND(IF(Metadata!S689="",FALSE,ISNUMBER(VALUE(Metadata!S689))),Metadata!S689&gt;=-90.00,Metadata!S689&lt;=90.00))</f>
        <v>0</v>
      </c>
      <c r="BF689">
        <f>AND(IF(Metadata!T689="",FALSE,TRUE),exact(Metadata!T689,"Decimal degrees"))</f>
        <v>0</v>
      </c>
      <c r="BG689">
        <f>OR(AND(IF(Metadata!U689="",FALSE,TRUE),OR(exact(Metadata!U689,"not collected"),exact(Metadata!U689,"not provided"),exact(Metadata!U689,"restricted access"))),AND(IF(Metadata!U689="",FALSE,ISNUMBER(VALUE(Metadata!U689))),Metadata!U689&gt;=-180.00,Metadata!U689&lt;=180.00))</f>
        <v>0</v>
      </c>
      <c r="BH689">
        <f>AND(IF(Metadata!V689="",FALSE,TRUE),exact(Metadata!V689,"Decimal degrees"))</f>
        <v>0</v>
      </c>
      <c r="BI689">
        <f>IF(Metadata!W689="",FALSE,TRUE)</f>
        <v>0</v>
      </c>
      <c r="BJ689">
        <f>OR(AND(IF(Metadata!X689="",FALSE,TRUE),OR(exact(Metadata!X689,"not collected"),exact(Metadata!X689,"not provided"),exact(Metadata!X689,"restricted access"))),AND(IF(Metadata!X689="",FALSE,TRUE),OR(exact(Metadata!X689,"TRUE"),exact(Metadata!X689,"FALSE"))))</f>
        <v>0</v>
      </c>
      <c r="BK689">
        <f>AND(IF(Metadata!Y689="",FALSE,TRUE),exact(Metadata!Y689,"other"))</f>
        <v>0</v>
      </c>
      <c r="BL689">
        <f>IF(Metadata!Z689="",FALSE,TRUE)</f>
        <v>0</v>
      </c>
      <c r="BM689">
        <f>OR(AND(IF(Metadata!AA689="",FALSE,TRUE),OR(exact(Metadata!AA689,"not collected"),exact(Metadata!AA689,"not provided"))),AND(IF(Metadata!AA689="",FALSE,IF(ISERROR(INT(Metadata!AA689)),FALSE,INT(Metadata!AA689)=Metadata!AA689)),Metadata!AA689&gt;0))</f>
        <v>0</v>
      </c>
      <c r="BN689">
        <f>AND(IF(Metadata!AB689="",FALSE,TRUE),exact(Metadata!AB689,"Not applicable"))</f>
        <v>0</v>
      </c>
      <c r="BO689">
        <f>IF(Metadata!AC689="",FALSE,TRUE)</f>
        <v>0</v>
      </c>
    </row>
    <row r="690" spans="1:67">
      <c r="A690" s="5">
        <f>IF(B690=" "," ",HYPERLINK(CONCATENATE("#metadata!",ADDRESS(INDEX($AI$2:$AI$1001,MATCH(ROWS($AG$2:AG690),$AG$2:$AG$1001,0),0),1)),INDEX($AL$2:$AL$1001,MATCH(ROWS($AG$2:AG690),$AG$2:$AG$1001,0),0)))</f>
        <v>0</v>
      </c>
      <c r="B690" s="4">
        <f>IF(OR(INDEX($AH$2:$AH$1001,MATCH(ROWS($AG$2:AG690),$AG$2:$AG$1001,0),1)&gt;=100000,INDEX($AN$1005:$BO$1005,1,MATCH(COLUMNS($AN$1006:AN1006),$AN$1006:$BO$1006,0))&gt;=100000), " ",IF(INDEX($AN$2:$BO$1001,MATCH(ROWS($AG$2:AG690),$AG$2:$AG$1001,0),MATCH(COLUMNS($AN$1006:AN1006),$AN$1006:$BO$1006,0)), HYPERLINK("#",""), HYPERLINK(CONCATENATE("#Metadata!", ADDRESS(INDEX($AI$2:$AI$1001,MATCH(ROWS($AG$2:AG690),$AG$2:$AG$1001,0),0), INDEX($AN$1004:$BO$1004,1,MATCH(COLUMNS($AN$1006:AN1006),$AN$1006:$BO$1006,0)))),"Fix")))</f>
        <v>0</v>
      </c>
      <c r="C690" s="4">
        <f>IF(OR(INDEX($AH$2:$AH$1001,MATCH(ROWS($AG$2:AG690),$AG$2:$AG$1001,0),1)&gt;=100000,INDEX($AN$1005:$BO$1005,1,MATCH(COLUMNS($AN$1006:AO1006),$AN$1006:$BO$1006,0))&gt;=100000), " ",IF(INDEX($AN$2:$BO$1001,MATCH(ROWS($AG$2:AG690),$AG$2:$AG$1001,0),MATCH(COLUMNS($AN$1006:AO1006),$AN$1006:$BO$1006,0)), HYPERLINK("#",""), HYPERLINK(CONCATENATE("#Metadata!", ADDRESS(INDEX($AI$2:$AI$1001,MATCH(ROWS($AG$2:AG690),$AG$2:$AG$1001,0),0), INDEX($AN$1004:$BO$1004,1,MATCH(COLUMNS($AN$1006:AO1006),$AN$1006:$BO$1006,0)))),"Fix")))</f>
        <v>0</v>
      </c>
      <c r="D690" s="4">
        <f>IF(OR(INDEX($AH$2:$AH$1001,MATCH(ROWS($AG$2:AG690),$AG$2:$AG$1001,0),1)&gt;=100000,INDEX($AN$1005:$BO$1005,1,MATCH(COLUMNS($AN$1006:AP1006),$AN$1006:$BO$1006,0))&gt;=100000), " ",IF(INDEX($AN$2:$BO$1001,MATCH(ROWS($AG$2:AG690),$AG$2:$AG$1001,0),MATCH(COLUMNS($AN$1006:AP1006),$AN$1006:$BO$1006,0)), HYPERLINK("#",""), HYPERLINK(CONCATENATE("#Metadata!", ADDRESS(INDEX($AI$2:$AI$1001,MATCH(ROWS($AG$2:AG690),$AG$2:$AG$1001,0),0), INDEX($AN$1004:$BO$1004,1,MATCH(COLUMNS($AN$1006:AP1006),$AN$1006:$BO$1006,0)))),"Fix")))</f>
        <v>0</v>
      </c>
      <c r="E690" s="4">
        <f>IF(OR(INDEX($AH$2:$AH$1001,MATCH(ROWS($AG$2:AG690),$AG$2:$AG$1001,0),1)&gt;=100000,INDEX($AN$1005:$BO$1005,1,MATCH(COLUMNS($AN$1006:AQ1006),$AN$1006:$BO$1006,0))&gt;=100000), " ",IF(INDEX($AN$2:$BO$1001,MATCH(ROWS($AG$2:AG690),$AG$2:$AG$1001,0),MATCH(COLUMNS($AN$1006:AQ1006),$AN$1006:$BO$1006,0)), HYPERLINK("#",""), HYPERLINK(CONCATENATE("#Metadata!", ADDRESS(INDEX($AI$2:$AI$1001,MATCH(ROWS($AG$2:AG690),$AG$2:$AG$1001,0),0), INDEX($AN$1004:$BO$1004,1,MATCH(COLUMNS($AN$1006:AQ1006),$AN$1006:$BO$1006,0)))),"Fix")))</f>
        <v>0</v>
      </c>
      <c r="F690" s="4">
        <f>IF(OR(INDEX($AH$2:$AH$1001,MATCH(ROWS($AG$2:AG690),$AG$2:$AG$1001,0),1)&gt;=100000,INDEX($AN$1005:$BO$1005,1,MATCH(COLUMNS($AN$1006:AR1006),$AN$1006:$BO$1006,0))&gt;=100000), " ",IF(INDEX($AN$2:$BO$1001,MATCH(ROWS($AG$2:AG690),$AG$2:$AG$1001,0),MATCH(COLUMNS($AN$1006:AR1006),$AN$1006:$BO$1006,0)), HYPERLINK("#",""), HYPERLINK(CONCATENATE("#Metadata!", ADDRESS(INDEX($AI$2:$AI$1001,MATCH(ROWS($AG$2:AG690),$AG$2:$AG$1001,0),0), INDEX($AN$1004:$BO$1004,1,MATCH(COLUMNS($AN$1006:AR1006),$AN$1006:$BO$1006,0)))),"Fix")))</f>
        <v>0</v>
      </c>
      <c r="G690" s="4">
        <f>IF(OR(INDEX($AH$2:$AH$1001,MATCH(ROWS($AG$2:AG690),$AG$2:$AG$1001,0),1)&gt;=100000,INDEX($AN$1005:$BO$1005,1,MATCH(COLUMNS($AN$1006:AS1006),$AN$1006:$BO$1006,0))&gt;=100000), " ",IF(INDEX($AN$2:$BO$1001,MATCH(ROWS($AG$2:AG690),$AG$2:$AG$1001,0),MATCH(COLUMNS($AN$1006:AS1006),$AN$1006:$BO$1006,0)), HYPERLINK("#",""), HYPERLINK(CONCATENATE("#Metadata!", ADDRESS(INDEX($AI$2:$AI$1001,MATCH(ROWS($AG$2:AG690),$AG$2:$AG$1001,0),0), INDEX($AN$1004:$BO$1004,1,MATCH(COLUMNS($AN$1006:AS1006),$AN$1006:$BO$1006,0)))),"Fix")))</f>
        <v>0</v>
      </c>
      <c r="H690" s="4">
        <f>IF(OR(INDEX($AH$2:$AH$1001,MATCH(ROWS($AG$2:AG690),$AG$2:$AG$1001,0),1)&gt;=100000,INDEX($AN$1005:$BO$1005,1,MATCH(COLUMNS($AN$1006:AT1006),$AN$1006:$BO$1006,0))&gt;=100000), " ",IF(INDEX($AN$2:$BO$1001,MATCH(ROWS($AG$2:AG690),$AG$2:$AG$1001,0),MATCH(COLUMNS($AN$1006:AT1006),$AN$1006:$BO$1006,0)), HYPERLINK("#",""), HYPERLINK(CONCATENATE("#Metadata!", ADDRESS(INDEX($AI$2:$AI$1001,MATCH(ROWS($AG$2:AG690),$AG$2:$AG$1001,0),0), INDEX($AN$1004:$BO$1004,1,MATCH(COLUMNS($AN$1006:AT1006),$AN$1006:$BO$1006,0)))),"Fix")))</f>
        <v>0</v>
      </c>
      <c r="I690" s="4">
        <f>IF(OR(INDEX($AH$2:$AH$1001,MATCH(ROWS($AG$2:AG690),$AG$2:$AG$1001,0),1)&gt;=100000,INDEX($AN$1005:$BO$1005,1,MATCH(COLUMNS($AN$1006:AU1006),$AN$1006:$BO$1006,0))&gt;=100000), " ",IF(INDEX($AN$2:$BO$1001,MATCH(ROWS($AG$2:AG690),$AG$2:$AG$1001,0),MATCH(COLUMNS($AN$1006:AU1006),$AN$1006:$BO$1006,0)), HYPERLINK("#",""), HYPERLINK(CONCATENATE("#Metadata!", ADDRESS(INDEX($AI$2:$AI$1001,MATCH(ROWS($AG$2:AG690),$AG$2:$AG$1001,0),0), INDEX($AN$1004:$BO$1004,1,MATCH(COLUMNS($AN$1006:AU1006),$AN$1006:$BO$1006,0)))),"Fix")))</f>
        <v>0</v>
      </c>
      <c r="J690" s="4">
        <f>IF(OR(INDEX($AH$2:$AH$1001,MATCH(ROWS($AG$2:AG690),$AG$2:$AG$1001,0),1)&gt;=100000,INDEX($AN$1005:$BO$1005,1,MATCH(COLUMNS($AN$1006:AV1006),$AN$1006:$BO$1006,0))&gt;=100000), " ",IF(INDEX($AN$2:$BO$1001,MATCH(ROWS($AG$2:AG690),$AG$2:$AG$1001,0),MATCH(COLUMNS($AN$1006:AV1006),$AN$1006:$BO$1006,0)), HYPERLINK("#",""), HYPERLINK(CONCATENATE("#Metadata!", ADDRESS(INDEX($AI$2:$AI$1001,MATCH(ROWS($AG$2:AG690),$AG$2:$AG$1001,0),0), INDEX($AN$1004:$BO$1004,1,MATCH(COLUMNS($AN$1006:AV1006),$AN$1006:$BO$1006,0)))),"Fix")))</f>
        <v>0</v>
      </c>
      <c r="K690" s="4">
        <f>IF(OR(INDEX($AH$2:$AH$1001,MATCH(ROWS($AG$2:AG690),$AG$2:$AG$1001,0),1)&gt;=100000,INDEX($AN$1005:$BO$1005,1,MATCH(COLUMNS($AN$1006:AW1006),$AN$1006:$BO$1006,0))&gt;=100000), " ",IF(INDEX($AN$2:$BO$1001,MATCH(ROWS($AG$2:AG690),$AG$2:$AG$1001,0),MATCH(COLUMNS($AN$1006:AW1006),$AN$1006:$BO$1006,0)), HYPERLINK("#",""), HYPERLINK(CONCATENATE("#Metadata!", ADDRESS(INDEX($AI$2:$AI$1001,MATCH(ROWS($AG$2:AG690),$AG$2:$AG$1001,0),0), INDEX($AN$1004:$BO$1004,1,MATCH(COLUMNS($AN$1006:AW1006),$AN$1006:$BO$1006,0)))),"Fix")))</f>
        <v>0</v>
      </c>
      <c r="L690" s="4">
        <f>IF(OR(INDEX($AH$2:$AH$1001,MATCH(ROWS($AG$2:AG690),$AG$2:$AG$1001,0),1)&gt;=100000,INDEX($AN$1005:$BO$1005,1,MATCH(COLUMNS($AN$1006:AX1006),$AN$1006:$BO$1006,0))&gt;=100000), " ",IF(INDEX($AN$2:$BO$1001,MATCH(ROWS($AG$2:AG690),$AG$2:$AG$1001,0),MATCH(COLUMNS($AN$1006:AX1006),$AN$1006:$BO$1006,0)), HYPERLINK("#",""), HYPERLINK(CONCATENATE("#Metadata!", ADDRESS(INDEX($AI$2:$AI$1001,MATCH(ROWS($AG$2:AG690),$AG$2:$AG$1001,0),0), INDEX($AN$1004:$BO$1004,1,MATCH(COLUMNS($AN$1006:AX1006),$AN$1006:$BO$1006,0)))),"Fix")))</f>
        <v>0</v>
      </c>
      <c r="M690" s="4">
        <f>IF(OR(INDEX($AH$2:$AH$1001,MATCH(ROWS($AG$2:AG690),$AG$2:$AG$1001,0),1)&gt;=100000,INDEX($AN$1005:$BO$1005,1,MATCH(COLUMNS($AN$1006:AY1006),$AN$1006:$BO$1006,0))&gt;=100000), " ",IF(INDEX($AN$2:$BO$1001,MATCH(ROWS($AG$2:AG690),$AG$2:$AG$1001,0),MATCH(COLUMNS($AN$1006:AY1006),$AN$1006:$BO$1006,0)), HYPERLINK("#",""), HYPERLINK(CONCATENATE("#Metadata!", ADDRESS(INDEX($AI$2:$AI$1001,MATCH(ROWS($AG$2:AG690),$AG$2:$AG$1001,0),0), INDEX($AN$1004:$BO$1004,1,MATCH(COLUMNS($AN$1006:AY1006),$AN$1006:$BO$1006,0)))),"Fix")))</f>
        <v>0</v>
      </c>
      <c r="N690" s="4">
        <f>IF(OR(INDEX($AH$2:$AH$1001,MATCH(ROWS($AG$2:AG690),$AG$2:$AG$1001,0),1)&gt;=100000,INDEX($AN$1005:$BO$1005,1,MATCH(COLUMNS($AN$1006:AZ1006),$AN$1006:$BO$1006,0))&gt;=100000), " ",IF(INDEX($AN$2:$BO$1001,MATCH(ROWS($AG$2:AG690),$AG$2:$AG$1001,0),MATCH(COLUMNS($AN$1006:AZ1006),$AN$1006:$BO$1006,0)), HYPERLINK("#",""), HYPERLINK(CONCATENATE("#Metadata!", ADDRESS(INDEX($AI$2:$AI$1001,MATCH(ROWS($AG$2:AG690),$AG$2:$AG$1001,0),0), INDEX($AN$1004:$BO$1004,1,MATCH(COLUMNS($AN$1006:AZ1006),$AN$1006:$BO$1006,0)))),"Fix")))</f>
        <v>0</v>
      </c>
      <c r="O690" s="4">
        <f>IF(OR(INDEX($AH$2:$AH$1001,MATCH(ROWS($AG$2:AG690),$AG$2:$AG$1001,0),1)&gt;=100000,INDEX($AN$1005:$BO$1005,1,MATCH(COLUMNS($AN$1006:BA1006),$AN$1006:$BO$1006,0))&gt;=100000), " ",IF(INDEX($AN$2:$BO$1001,MATCH(ROWS($AG$2:AG690),$AG$2:$AG$1001,0),MATCH(COLUMNS($AN$1006:BA1006),$AN$1006:$BO$1006,0)), HYPERLINK("#",""), HYPERLINK(CONCATENATE("#Metadata!", ADDRESS(INDEX($AI$2:$AI$1001,MATCH(ROWS($AG$2:AG690),$AG$2:$AG$1001,0),0), INDEX($AN$1004:$BO$1004,1,MATCH(COLUMNS($AN$1006:BA1006),$AN$1006:$BO$1006,0)))),"Fix")))</f>
        <v>0</v>
      </c>
      <c r="P690" s="4">
        <f>IF(OR(INDEX($AH$2:$AH$1001,MATCH(ROWS($AG$2:AG690),$AG$2:$AG$1001,0),1)&gt;=100000,INDEX($AN$1005:$BO$1005,1,MATCH(COLUMNS($AN$1006:BB1006),$AN$1006:$BO$1006,0))&gt;=100000), " ",IF(INDEX($AN$2:$BO$1001,MATCH(ROWS($AG$2:AG690),$AG$2:$AG$1001,0),MATCH(COLUMNS($AN$1006:BB1006),$AN$1006:$BO$1006,0)), HYPERLINK("#",""), HYPERLINK(CONCATENATE("#Metadata!", ADDRESS(INDEX($AI$2:$AI$1001,MATCH(ROWS($AG$2:AG690),$AG$2:$AG$1001,0),0), INDEX($AN$1004:$BO$1004,1,MATCH(COLUMNS($AN$1006:BB1006),$AN$1006:$BO$1006,0)))),"Fix")))</f>
        <v>0</v>
      </c>
      <c r="Q690" s="4">
        <f>IF(OR(INDEX($AH$2:$AH$1001,MATCH(ROWS($AG$2:AG690),$AG$2:$AG$1001,0),1)&gt;=100000,INDEX($AN$1005:$BO$1005,1,MATCH(COLUMNS($AN$1006:BC1006),$AN$1006:$BO$1006,0))&gt;=100000), " ",IF(INDEX($AN$2:$BO$1001,MATCH(ROWS($AG$2:AG690),$AG$2:$AG$1001,0),MATCH(COLUMNS($AN$1006:BC1006),$AN$1006:$BO$1006,0)), HYPERLINK("#",""), HYPERLINK(CONCATENATE("#Metadata!", ADDRESS(INDEX($AI$2:$AI$1001,MATCH(ROWS($AG$2:AG690),$AG$2:$AG$1001,0),0), INDEX($AN$1004:$BO$1004,1,MATCH(COLUMNS($AN$1006:BC1006),$AN$1006:$BO$1006,0)))),"Fix")))</f>
        <v>0</v>
      </c>
      <c r="R690" s="4">
        <f>IF(OR(INDEX($AH$2:$AH$1001,MATCH(ROWS($AG$2:AG690),$AG$2:$AG$1001,0),1)&gt;=100000,INDEX($AN$1005:$BO$1005,1,MATCH(COLUMNS($AN$1006:BD1006),$AN$1006:$BO$1006,0))&gt;=100000), " ",IF(INDEX($AN$2:$BO$1001,MATCH(ROWS($AG$2:AG690),$AG$2:$AG$1001,0),MATCH(COLUMNS($AN$1006:BD1006),$AN$1006:$BO$1006,0)), HYPERLINK("#",""), HYPERLINK(CONCATENATE("#Metadata!", ADDRESS(INDEX($AI$2:$AI$1001,MATCH(ROWS($AG$2:AG690),$AG$2:$AG$1001,0),0), INDEX($AN$1004:$BO$1004,1,MATCH(COLUMNS($AN$1006:BD1006),$AN$1006:$BO$1006,0)))),"Fix")))</f>
        <v>0</v>
      </c>
      <c r="S690" s="4">
        <f>IF(OR(INDEX($AH$2:$AH$1001,MATCH(ROWS($AG$2:AG690),$AG$2:$AG$1001,0),1)&gt;=100000,INDEX($AN$1005:$BO$1005,1,MATCH(COLUMNS($AN$1006:BE1006),$AN$1006:$BO$1006,0))&gt;=100000), " ",IF(INDEX($AN$2:$BO$1001,MATCH(ROWS($AG$2:AG690),$AG$2:$AG$1001,0),MATCH(COLUMNS($AN$1006:BE1006),$AN$1006:$BO$1006,0)), HYPERLINK("#",""), HYPERLINK(CONCATENATE("#Metadata!", ADDRESS(INDEX($AI$2:$AI$1001,MATCH(ROWS($AG$2:AG690),$AG$2:$AG$1001,0),0), INDEX($AN$1004:$BO$1004,1,MATCH(COLUMNS($AN$1006:BE1006),$AN$1006:$BO$1006,0)))),"Fix")))</f>
        <v>0</v>
      </c>
      <c r="T690" s="4">
        <f>IF(OR(INDEX($AH$2:$AH$1001,MATCH(ROWS($AG$2:AG690),$AG$2:$AG$1001,0),1)&gt;=100000,INDEX($AN$1005:$BO$1005,1,MATCH(COLUMNS($AN$1006:BF1006),$AN$1006:$BO$1006,0))&gt;=100000), " ",IF(INDEX($AN$2:$BO$1001,MATCH(ROWS($AG$2:AG690),$AG$2:$AG$1001,0),MATCH(COLUMNS($AN$1006:BF1006),$AN$1006:$BO$1006,0)), HYPERLINK("#",""), HYPERLINK(CONCATENATE("#Metadata!", ADDRESS(INDEX($AI$2:$AI$1001,MATCH(ROWS($AG$2:AG690),$AG$2:$AG$1001,0),0), INDEX($AN$1004:$BO$1004,1,MATCH(COLUMNS($AN$1006:BF1006),$AN$1006:$BO$1006,0)))),"Fix")))</f>
        <v>0</v>
      </c>
      <c r="U690" s="4">
        <f>IF(OR(INDEX($AH$2:$AH$1001,MATCH(ROWS($AG$2:AG690),$AG$2:$AG$1001,0),1)&gt;=100000,INDEX($AN$1005:$BO$1005,1,MATCH(COLUMNS($AN$1006:BG1006),$AN$1006:$BO$1006,0))&gt;=100000), " ",IF(INDEX($AN$2:$BO$1001,MATCH(ROWS($AG$2:AG690),$AG$2:$AG$1001,0),MATCH(COLUMNS($AN$1006:BG1006),$AN$1006:$BO$1006,0)), HYPERLINK("#",""), HYPERLINK(CONCATENATE("#Metadata!", ADDRESS(INDEX($AI$2:$AI$1001,MATCH(ROWS($AG$2:AG690),$AG$2:$AG$1001,0),0), INDEX($AN$1004:$BO$1004,1,MATCH(COLUMNS($AN$1006:BG1006),$AN$1006:$BO$1006,0)))),"Fix")))</f>
        <v>0</v>
      </c>
      <c r="V690" s="4">
        <f>IF(OR(INDEX($AH$2:$AH$1001,MATCH(ROWS($AG$2:AG690),$AG$2:$AG$1001,0),1)&gt;=100000,INDEX($AN$1005:$BO$1005,1,MATCH(COLUMNS($AN$1006:BH1006),$AN$1006:$BO$1006,0))&gt;=100000), " ",IF(INDEX($AN$2:$BO$1001,MATCH(ROWS($AG$2:AG690),$AG$2:$AG$1001,0),MATCH(COLUMNS($AN$1006:BH1006),$AN$1006:$BO$1006,0)), HYPERLINK("#",""), HYPERLINK(CONCATENATE("#Metadata!", ADDRESS(INDEX($AI$2:$AI$1001,MATCH(ROWS($AG$2:AG690),$AG$2:$AG$1001,0),0), INDEX($AN$1004:$BO$1004,1,MATCH(COLUMNS($AN$1006:BH1006),$AN$1006:$BO$1006,0)))),"Fix")))</f>
        <v>0</v>
      </c>
      <c r="W690" s="4">
        <f>IF(OR(INDEX($AH$2:$AH$1001,MATCH(ROWS($AG$2:AG690),$AG$2:$AG$1001,0),1)&gt;=100000,INDEX($AN$1005:$BO$1005,1,MATCH(COLUMNS($AN$1006:BI1006),$AN$1006:$BO$1006,0))&gt;=100000), " ",IF(INDEX($AN$2:$BO$1001,MATCH(ROWS($AG$2:AG690),$AG$2:$AG$1001,0),MATCH(COLUMNS($AN$1006:BI1006),$AN$1006:$BO$1006,0)), HYPERLINK("#",""), HYPERLINK(CONCATENATE("#Metadata!", ADDRESS(INDEX($AI$2:$AI$1001,MATCH(ROWS($AG$2:AG690),$AG$2:$AG$1001,0),0), INDEX($AN$1004:$BO$1004,1,MATCH(COLUMNS($AN$1006:BI1006),$AN$1006:$BO$1006,0)))),"Fix")))</f>
        <v>0</v>
      </c>
      <c r="X690" s="4">
        <f>IF(OR(INDEX($AH$2:$AH$1001,MATCH(ROWS($AG$2:AG690),$AG$2:$AG$1001,0),1)&gt;=100000,INDEX($AN$1005:$BO$1005,1,MATCH(COLUMNS($AN$1006:BJ1006),$AN$1006:$BO$1006,0))&gt;=100000), " ",IF(INDEX($AN$2:$BO$1001,MATCH(ROWS($AG$2:AG690),$AG$2:$AG$1001,0),MATCH(COLUMNS($AN$1006:BJ1006),$AN$1006:$BO$1006,0)), HYPERLINK("#",""), HYPERLINK(CONCATENATE("#Metadata!", ADDRESS(INDEX($AI$2:$AI$1001,MATCH(ROWS($AG$2:AG690),$AG$2:$AG$1001,0),0), INDEX($AN$1004:$BO$1004,1,MATCH(COLUMNS($AN$1006:BJ1006),$AN$1006:$BO$1006,0)))),"Fix")))</f>
        <v>0</v>
      </c>
      <c r="Y690" s="4">
        <f>IF(OR(INDEX($AH$2:$AH$1001,MATCH(ROWS($AG$2:AG690),$AG$2:$AG$1001,0),1)&gt;=100000,INDEX($AN$1005:$BO$1005,1,MATCH(COLUMNS($AN$1006:BK1006),$AN$1006:$BO$1006,0))&gt;=100000), " ",IF(INDEX($AN$2:$BO$1001,MATCH(ROWS($AG$2:AG690),$AG$2:$AG$1001,0),MATCH(COLUMNS($AN$1006:BK1006),$AN$1006:$BO$1006,0)), HYPERLINK("#",""), HYPERLINK(CONCATENATE("#Metadata!", ADDRESS(INDEX($AI$2:$AI$1001,MATCH(ROWS($AG$2:AG690),$AG$2:$AG$1001,0),0), INDEX($AN$1004:$BO$1004,1,MATCH(COLUMNS($AN$1006:BK1006),$AN$1006:$BO$1006,0)))),"Fix")))</f>
        <v>0</v>
      </c>
      <c r="Z690" s="4">
        <f>IF(OR(INDEX($AH$2:$AH$1001,MATCH(ROWS($AG$2:AG690),$AG$2:$AG$1001,0),1)&gt;=100000,INDEX($AN$1005:$BO$1005,1,MATCH(COLUMNS($AN$1006:BL1006),$AN$1006:$BO$1006,0))&gt;=100000), " ",IF(INDEX($AN$2:$BO$1001,MATCH(ROWS($AG$2:AG690),$AG$2:$AG$1001,0),MATCH(COLUMNS($AN$1006:BL1006),$AN$1006:$BO$1006,0)), HYPERLINK("#",""), HYPERLINK(CONCATENATE("#Metadata!", ADDRESS(INDEX($AI$2:$AI$1001,MATCH(ROWS($AG$2:AG690),$AG$2:$AG$1001,0),0), INDEX($AN$1004:$BO$1004,1,MATCH(COLUMNS($AN$1006:BL1006),$AN$1006:$BO$1006,0)))),"Fix")))</f>
        <v>0</v>
      </c>
      <c r="AA690" s="4">
        <f>IF(OR(INDEX($AH$2:$AH$1001,MATCH(ROWS($AG$2:AG690),$AG$2:$AG$1001,0),1)&gt;=100000,INDEX($AN$1005:$BO$1005,1,MATCH(COLUMNS($AN$1006:BM1006),$AN$1006:$BO$1006,0))&gt;=100000), " ",IF(INDEX($AN$2:$BO$1001,MATCH(ROWS($AG$2:AG690),$AG$2:$AG$1001,0),MATCH(COLUMNS($AN$1006:BM1006),$AN$1006:$BO$1006,0)), HYPERLINK("#",""), HYPERLINK(CONCATENATE("#Metadata!", ADDRESS(INDEX($AI$2:$AI$1001,MATCH(ROWS($AG$2:AG690),$AG$2:$AG$1001,0),0), INDEX($AN$1004:$BO$1004,1,MATCH(COLUMNS($AN$1006:BM1006),$AN$1006:$BO$1006,0)))),"Fix")))</f>
        <v>0</v>
      </c>
      <c r="AB690" s="4">
        <f>IF(OR(INDEX($AH$2:$AH$1001,MATCH(ROWS($AG$2:AG690),$AG$2:$AG$1001,0),1)&gt;=100000,INDEX($AN$1005:$BO$1005,1,MATCH(COLUMNS($AN$1006:BN1006),$AN$1006:$BO$1006,0))&gt;=100000), " ",IF(INDEX($AN$2:$BO$1001,MATCH(ROWS($AG$2:AG690),$AG$2:$AG$1001,0),MATCH(COLUMNS($AN$1006:BN1006),$AN$1006:$BO$1006,0)), HYPERLINK("#",""), HYPERLINK(CONCATENATE("#Metadata!", ADDRESS(INDEX($AI$2:$AI$1001,MATCH(ROWS($AG$2:AG690),$AG$2:$AG$1001,0),0), INDEX($AN$1004:$BO$1004,1,MATCH(COLUMNS($AN$1006:BN1006),$AN$1006:$BO$1006,0)))),"Fix")))</f>
        <v>0</v>
      </c>
      <c r="AC690" s="4">
        <f>IF(OR(INDEX($AH$2:$AH$1001,MATCH(ROWS($AG$2:AG690),$AG$2:$AG$1001,0),1)&gt;=100000,INDEX($AN$1005:$BO$1005,1,MATCH(COLUMNS($AN$1006:BO1006),$AN$1006:$BO$1006,0))&gt;=100000), " ",IF(INDEX($AN$2:$BO$1001,MATCH(ROWS($AG$2:AG690),$AG$2:$AG$1001,0),MATCH(COLUMNS($AN$1006:BO1006),$AN$1006:$BO$1006,0)), HYPERLINK("#",""), HYPERLINK(CONCATENATE("#Metadata!", ADDRESS(INDEX($AI$2:$AI$1001,MATCH(ROWS($AG$2:AG690),$AG$2:$AG$1001,0),0), INDEX($AN$1004:$BO$1004,1,MATCH(COLUMNS($AN$1006:BO1006),$AN$1006:$BO$1006,0)))),"Fix")))</f>
        <v>0</v>
      </c>
      <c r="AG690">
        <v>0</v>
      </c>
      <c r="AH690">
        <v>0</v>
      </c>
      <c r="AI690">
        <v>0</v>
      </c>
      <c r="AJ690">
        <f>IF(AK690,TRUE,AND(AN690:BO690))</f>
        <v>0</v>
      </c>
      <c r="AK690">
        <f>COUNTBLANK(Metadata!B690:AC690)=COLUMNS(Metadata!B690:AC690)</f>
        <v>0</v>
      </c>
      <c r="AL690">
        <v>0</v>
      </c>
      <c r="AN690">
        <f>AND(IF(Metadata!B690="",FALSE,TRUE),COUNTIF(Metadata!B:B, Metadata!B690) = 1,NOT(ISERROR(SUMPRODUCT(SEARCH(MID(Metadata!B690,ROW(INDIRECT("1:"&amp;LEN(Metadata!B690))), 1),"0123456789abcdefghijklmnopqrstuvwxyzABCDEFGHIJKLMNOPQRSTUVWXYZ.")))))</f>
        <v>0</v>
      </c>
      <c r="AO690">
        <f>IF(Metadata!C690="",FALSE,TRUE)</f>
        <v>0</v>
      </c>
      <c r="AP690">
        <f>IF(Metadata!D690="",FALSE,TRUE)</f>
        <v>0</v>
      </c>
      <c r="AQ690">
        <f>OR(AND(IF(Metadata!E690="",FALSE,TRUE),OR(exact(Metadata!E690,"not collected"),exact(Metadata!E690,"not provided"),exact(Metadata!E690,"restricted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R690">
        <f>IF(Metadata!F690="",FALSE,TRUE)</f>
        <v>0</v>
      </c>
      <c r="AS690">
        <f>OR(AND(IF(Metadata!G690="",FALSE,TRUE),OR(exact(Metadata!G690,"not collected"),exact(Metadata!G690,"not provided"))),AND(IF(Metadata!G690="",FALSE,TRUE),OR(exact(Metadata!G690,"TRUE"),exact(Metadata!G690,"FALSE"))))</f>
        <v>0</v>
      </c>
      <c r="AT690">
        <f>OR(AND(IF(Metadata!H690="",FALSE,TRUE),OR(exact(Metadata!H690,"not collected"),exact(Metadata!H690,"not provided"),exact(Metadata!H690,"restricted access"))),AND(IF(Metadata!H690="",FALSE,ISNUMBER(VALUE(Metadata!H690))),Metadata!H690&gt;=-413.0))</f>
        <v>0</v>
      </c>
      <c r="AU690">
        <f>AND(IF(Metadata!I690="",FALSE,TRUE),exact(Metadata!I690,"meters"))</f>
        <v>0</v>
      </c>
      <c r="AV690">
        <f>AND(IF(Metadata!J690="",FALSE,TRUE),OR(exact(Metadata!J690,"Host-associated"),exact(Metadata!J690,"Free-living")))</f>
        <v>0</v>
      </c>
      <c r="AW690">
        <f>AND(IF(Metadata!K690="",FALSE,TRUE),OR(exact(Metadata!K690,"Animal"),exact(Metadata!K690,"Fungus"),exact(Metadata!K690,"Plant"),exact(Metadata!K690,"Saline"),exact(Metadata!K690,"Non-saline")))</f>
        <v>0</v>
      </c>
      <c r="AX690">
        <f>AND(IF(Metadata!L690="",FALSE,TRUE),OR(exact(Metadata!L690,"Plant secretion"),exact(Metadata!L690,"Plant rhizosphere"),exact(Metadata!L690,"Plant surface"),exact(Metadata!L690,"Plant corpus"),exact(Metadata!L690,"Fungus surface"),exact(Metadata!L690,"Fungus corpus"),exact(Metadata!L690,"Animal surface"),exact(Metadata!L690,"Animal proximal gut"),exact(Metadata!L690,"Animal corpus"),exact(Metadata!L690,"Animal distal gut"),exact(Metadata!L690,"Animal secretion"),exact(Metadata!L690,"Sub-surface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Y690">
        <f>IF(Metadata!M690="",FALSE,TRUE)</f>
        <v>0</v>
      </c>
      <c r="AZ690">
        <f>IF(Metadata!N690="",FALSE,TRUE)</f>
        <v>0</v>
      </c>
      <c r="BA690">
        <f>IF(Metadata!O690="",FALSE,TRUE)</f>
        <v>0</v>
      </c>
      <c r="BB690">
        <f>OR(AND(IF(Metadata!P690="",FALSE,TRUE),OR(exact(Metadata!P690,"not collected"),exact(Metadata!P690,"not provided"),exact(Metadata!P690,"restricted access"))),AND(IF(Metadata!P690="",FALSE,TRUE),OR(exact(Metadata!P690,"air"),exact(Metadata!P690,"built environment"),exact(Metadata!P690,"host-associated"),exact(Metadata!P690,"human-associated"),exact(Metadata!P690,"human-skin"),exact(Metadata!P690,"human-oral"),exact(Metadata!P690,"human-gut"),exact(Metadata!P690,"human-vaginal"),exact(Metadata!P690,"microbial mat/biofilm"),exact(Metadata!P690,"misc environment"),exact(Metadata!P690,"plant-associated"),exact(Metadata!P690,"sediment"),exact(Metadata!P690,"soil"),exact(Metadata!P690,"wastewater/sludge"),exact(Metadata!P690,"water"))))</f>
        <v>0</v>
      </c>
      <c r="BC690">
        <f>IF(Metadata!Q690="",FALSE,TRUE)</f>
        <v>0</v>
      </c>
      <c r="BD690">
        <f>IF(Metadata!R690="",FALSE,TRUE)</f>
        <v>0</v>
      </c>
      <c r="BE690">
        <f>OR(AND(IF(Metadata!S690="",FALSE,TRUE),OR(exact(Metadata!S690,"not collected"),exact(Metadata!S690,"not provided"),exact(Metadata!S690,"restricted access"))),AND(IF(Metadata!S690="",FALSE,ISNUMBER(VALUE(Metadata!S690))),Metadata!S690&gt;=-90.00,Metadata!S690&lt;=90.00))</f>
        <v>0</v>
      </c>
      <c r="BF690">
        <f>AND(IF(Metadata!T690="",FALSE,TRUE),exact(Metadata!T690,"Decimal degrees"))</f>
        <v>0</v>
      </c>
      <c r="BG690">
        <f>OR(AND(IF(Metadata!U690="",FALSE,TRUE),OR(exact(Metadata!U690,"not collected"),exact(Metadata!U690,"not provided"),exact(Metadata!U690,"restricted access"))),AND(IF(Metadata!U690="",FALSE,ISNUMBER(VALUE(Metadata!U690))),Metadata!U690&gt;=-180.00,Metadata!U690&lt;=180.00))</f>
        <v>0</v>
      </c>
      <c r="BH690">
        <f>AND(IF(Metadata!V690="",FALSE,TRUE),exact(Metadata!V690,"Decimal degrees"))</f>
        <v>0</v>
      </c>
      <c r="BI690">
        <f>IF(Metadata!W690="",FALSE,TRUE)</f>
        <v>0</v>
      </c>
      <c r="BJ690">
        <f>OR(AND(IF(Metadata!X690="",FALSE,TRUE),OR(exact(Metadata!X690,"not collected"),exact(Metadata!X690,"not provided"),exact(Metadata!X690,"restricted access"))),AND(IF(Metadata!X690="",FALSE,TRUE),OR(exact(Metadata!X690,"TRUE"),exact(Metadata!X690,"FALSE"))))</f>
        <v>0</v>
      </c>
      <c r="BK690">
        <f>AND(IF(Metadata!Y690="",FALSE,TRUE),exact(Metadata!Y690,"other"))</f>
        <v>0</v>
      </c>
      <c r="BL690">
        <f>IF(Metadata!Z690="",FALSE,TRUE)</f>
        <v>0</v>
      </c>
      <c r="BM690">
        <f>OR(AND(IF(Metadata!AA690="",FALSE,TRUE),OR(exact(Metadata!AA690,"not collected"),exact(Metadata!AA690,"not provided"))),AND(IF(Metadata!AA690="",FALSE,IF(ISERROR(INT(Metadata!AA690)),FALSE,INT(Metadata!AA690)=Metadata!AA690)),Metadata!AA690&gt;0))</f>
        <v>0</v>
      </c>
      <c r="BN690">
        <f>AND(IF(Metadata!AB690="",FALSE,TRUE),exact(Metadata!AB690,"Not applicable"))</f>
        <v>0</v>
      </c>
      <c r="BO690">
        <f>IF(Metadata!AC690="",FALSE,TRUE)</f>
        <v>0</v>
      </c>
    </row>
    <row r="691" spans="1:67">
      <c r="A691" s="5">
        <f>IF(B691=" "," ",HYPERLINK(CONCATENATE("#metadata!",ADDRESS(INDEX($AI$2:$AI$1001,MATCH(ROWS($AG$2:AG691),$AG$2:$AG$1001,0),0),1)),INDEX($AL$2:$AL$1001,MATCH(ROWS($AG$2:AG691),$AG$2:$AG$1001,0),0)))</f>
        <v>0</v>
      </c>
      <c r="B691" s="4">
        <f>IF(OR(INDEX($AH$2:$AH$1001,MATCH(ROWS($AG$2:AG691),$AG$2:$AG$1001,0),1)&gt;=100000,INDEX($AN$1005:$BO$1005,1,MATCH(COLUMNS($AN$1006:AN1006),$AN$1006:$BO$1006,0))&gt;=100000), " ",IF(INDEX($AN$2:$BO$1001,MATCH(ROWS($AG$2:AG691),$AG$2:$AG$1001,0),MATCH(COLUMNS($AN$1006:AN1006),$AN$1006:$BO$1006,0)), HYPERLINK("#",""), HYPERLINK(CONCATENATE("#Metadata!", ADDRESS(INDEX($AI$2:$AI$1001,MATCH(ROWS($AG$2:AG691),$AG$2:$AG$1001,0),0), INDEX($AN$1004:$BO$1004,1,MATCH(COLUMNS($AN$1006:AN1006),$AN$1006:$BO$1006,0)))),"Fix")))</f>
        <v>0</v>
      </c>
      <c r="C691" s="4">
        <f>IF(OR(INDEX($AH$2:$AH$1001,MATCH(ROWS($AG$2:AG691),$AG$2:$AG$1001,0),1)&gt;=100000,INDEX($AN$1005:$BO$1005,1,MATCH(COLUMNS($AN$1006:AO1006),$AN$1006:$BO$1006,0))&gt;=100000), " ",IF(INDEX($AN$2:$BO$1001,MATCH(ROWS($AG$2:AG691),$AG$2:$AG$1001,0),MATCH(COLUMNS($AN$1006:AO1006),$AN$1006:$BO$1006,0)), HYPERLINK("#",""), HYPERLINK(CONCATENATE("#Metadata!", ADDRESS(INDEX($AI$2:$AI$1001,MATCH(ROWS($AG$2:AG691),$AG$2:$AG$1001,0),0), INDEX($AN$1004:$BO$1004,1,MATCH(COLUMNS($AN$1006:AO1006),$AN$1006:$BO$1006,0)))),"Fix")))</f>
        <v>0</v>
      </c>
      <c r="D691" s="4">
        <f>IF(OR(INDEX($AH$2:$AH$1001,MATCH(ROWS($AG$2:AG691),$AG$2:$AG$1001,0),1)&gt;=100000,INDEX($AN$1005:$BO$1005,1,MATCH(COLUMNS($AN$1006:AP1006),$AN$1006:$BO$1006,0))&gt;=100000), " ",IF(INDEX($AN$2:$BO$1001,MATCH(ROWS($AG$2:AG691),$AG$2:$AG$1001,0),MATCH(COLUMNS($AN$1006:AP1006),$AN$1006:$BO$1006,0)), HYPERLINK("#",""), HYPERLINK(CONCATENATE("#Metadata!", ADDRESS(INDEX($AI$2:$AI$1001,MATCH(ROWS($AG$2:AG691),$AG$2:$AG$1001,0),0), INDEX($AN$1004:$BO$1004,1,MATCH(COLUMNS($AN$1006:AP1006),$AN$1006:$BO$1006,0)))),"Fix")))</f>
        <v>0</v>
      </c>
      <c r="E691" s="4">
        <f>IF(OR(INDEX($AH$2:$AH$1001,MATCH(ROWS($AG$2:AG691),$AG$2:$AG$1001,0),1)&gt;=100000,INDEX($AN$1005:$BO$1005,1,MATCH(COLUMNS($AN$1006:AQ1006),$AN$1006:$BO$1006,0))&gt;=100000), " ",IF(INDEX($AN$2:$BO$1001,MATCH(ROWS($AG$2:AG691),$AG$2:$AG$1001,0),MATCH(COLUMNS($AN$1006:AQ1006),$AN$1006:$BO$1006,0)), HYPERLINK("#",""), HYPERLINK(CONCATENATE("#Metadata!", ADDRESS(INDEX($AI$2:$AI$1001,MATCH(ROWS($AG$2:AG691),$AG$2:$AG$1001,0),0), INDEX($AN$1004:$BO$1004,1,MATCH(COLUMNS($AN$1006:AQ1006),$AN$1006:$BO$1006,0)))),"Fix")))</f>
        <v>0</v>
      </c>
      <c r="F691" s="4">
        <f>IF(OR(INDEX($AH$2:$AH$1001,MATCH(ROWS($AG$2:AG691),$AG$2:$AG$1001,0),1)&gt;=100000,INDEX($AN$1005:$BO$1005,1,MATCH(COLUMNS($AN$1006:AR1006),$AN$1006:$BO$1006,0))&gt;=100000), " ",IF(INDEX($AN$2:$BO$1001,MATCH(ROWS($AG$2:AG691),$AG$2:$AG$1001,0),MATCH(COLUMNS($AN$1006:AR1006),$AN$1006:$BO$1006,0)), HYPERLINK("#",""), HYPERLINK(CONCATENATE("#Metadata!", ADDRESS(INDEX($AI$2:$AI$1001,MATCH(ROWS($AG$2:AG691),$AG$2:$AG$1001,0),0), INDEX($AN$1004:$BO$1004,1,MATCH(COLUMNS($AN$1006:AR1006),$AN$1006:$BO$1006,0)))),"Fix")))</f>
        <v>0</v>
      </c>
      <c r="G691" s="4">
        <f>IF(OR(INDEX($AH$2:$AH$1001,MATCH(ROWS($AG$2:AG691),$AG$2:$AG$1001,0),1)&gt;=100000,INDEX($AN$1005:$BO$1005,1,MATCH(COLUMNS($AN$1006:AS1006),$AN$1006:$BO$1006,0))&gt;=100000), " ",IF(INDEX($AN$2:$BO$1001,MATCH(ROWS($AG$2:AG691),$AG$2:$AG$1001,0),MATCH(COLUMNS($AN$1006:AS1006),$AN$1006:$BO$1006,0)), HYPERLINK("#",""), HYPERLINK(CONCATENATE("#Metadata!", ADDRESS(INDEX($AI$2:$AI$1001,MATCH(ROWS($AG$2:AG691),$AG$2:$AG$1001,0),0), INDEX($AN$1004:$BO$1004,1,MATCH(COLUMNS($AN$1006:AS1006),$AN$1006:$BO$1006,0)))),"Fix")))</f>
        <v>0</v>
      </c>
      <c r="H691" s="4">
        <f>IF(OR(INDEX($AH$2:$AH$1001,MATCH(ROWS($AG$2:AG691),$AG$2:$AG$1001,0),1)&gt;=100000,INDEX($AN$1005:$BO$1005,1,MATCH(COLUMNS($AN$1006:AT1006),$AN$1006:$BO$1006,0))&gt;=100000), " ",IF(INDEX($AN$2:$BO$1001,MATCH(ROWS($AG$2:AG691),$AG$2:$AG$1001,0),MATCH(COLUMNS($AN$1006:AT1006),$AN$1006:$BO$1006,0)), HYPERLINK("#",""), HYPERLINK(CONCATENATE("#Metadata!", ADDRESS(INDEX($AI$2:$AI$1001,MATCH(ROWS($AG$2:AG691),$AG$2:$AG$1001,0),0), INDEX($AN$1004:$BO$1004,1,MATCH(COLUMNS($AN$1006:AT1006),$AN$1006:$BO$1006,0)))),"Fix")))</f>
        <v>0</v>
      </c>
      <c r="I691" s="4">
        <f>IF(OR(INDEX($AH$2:$AH$1001,MATCH(ROWS($AG$2:AG691),$AG$2:$AG$1001,0),1)&gt;=100000,INDEX($AN$1005:$BO$1005,1,MATCH(COLUMNS($AN$1006:AU1006),$AN$1006:$BO$1006,0))&gt;=100000), " ",IF(INDEX($AN$2:$BO$1001,MATCH(ROWS($AG$2:AG691),$AG$2:$AG$1001,0),MATCH(COLUMNS($AN$1006:AU1006),$AN$1006:$BO$1006,0)), HYPERLINK("#",""), HYPERLINK(CONCATENATE("#Metadata!", ADDRESS(INDEX($AI$2:$AI$1001,MATCH(ROWS($AG$2:AG691),$AG$2:$AG$1001,0),0), INDEX($AN$1004:$BO$1004,1,MATCH(COLUMNS($AN$1006:AU1006),$AN$1006:$BO$1006,0)))),"Fix")))</f>
        <v>0</v>
      </c>
      <c r="J691" s="4">
        <f>IF(OR(INDEX($AH$2:$AH$1001,MATCH(ROWS($AG$2:AG691),$AG$2:$AG$1001,0),1)&gt;=100000,INDEX($AN$1005:$BO$1005,1,MATCH(COLUMNS($AN$1006:AV1006),$AN$1006:$BO$1006,0))&gt;=100000), " ",IF(INDEX($AN$2:$BO$1001,MATCH(ROWS($AG$2:AG691),$AG$2:$AG$1001,0),MATCH(COLUMNS($AN$1006:AV1006),$AN$1006:$BO$1006,0)), HYPERLINK("#",""), HYPERLINK(CONCATENATE("#Metadata!", ADDRESS(INDEX($AI$2:$AI$1001,MATCH(ROWS($AG$2:AG691),$AG$2:$AG$1001,0),0), INDEX($AN$1004:$BO$1004,1,MATCH(COLUMNS($AN$1006:AV1006),$AN$1006:$BO$1006,0)))),"Fix")))</f>
        <v>0</v>
      </c>
      <c r="K691" s="4">
        <f>IF(OR(INDEX($AH$2:$AH$1001,MATCH(ROWS($AG$2:AG691),$AG$2:$AG$1001,0),1)&gt;=100000,INDEX($AN$1005:$BO$1005,1,MATCH(COLUMNS($AN$1006:AW1006),$AN$1006:$BO$1006,0))&gt;=100000), " ",IF(INDEX($AN$2:$BO$1001,MATCH(ROWS($AG$2:AG691),$AG$2:$AG$1001,0),MATCH(COLUMNS($AN$1006:AW1006),$AN$1006:$BO$1006,0)), HYPERLINK("#",""), HYPERLINK(CONCATENATE("#Metadata!", ADDRESS(INDEX($AI$2:$AI$1001,MATCH(ROWS($AG$2:AG691),$AG$2:$AG$1001,0),0), INDEX($AN$1004:$BO$1004,1,MATCH(COLUMNS($AN$1006:AW1006),$AN$1006:$BO$1006,0)))),"Fix")))</f>
        <v>0</v>
      </c>
      <c r="L691" s="4">
        <f>IF(OR(INDEX($AH$2:$AH$1001,MATCH(ROWS($AG$2:AG691),$AG$2:$AG$1001,0),1)&gt;=100000,INDEX($AN$1005:$BO$1005,1,MATCH(COLUMNS($AN$1006:AX1006),$AN$1006:$BO$1006,0))&gt;=100000), " ",IF(INDEX($AN$2:$BO$1001,MATCH(ROWS($AG$2:AG691),$AG$2:$AG$1001,0),MATCH(COLUMNS($AN$1006:AX1006),$AN$1006:$BO$1006,0)), HYPERLINK("#",""), HYPERLINK(CONCATENATE("#Metadata!", ADDRESS(INDEX($AI$2:$AI$1001,MATCH(ROWS($AG$2:AG691),$AG$2:$AG$1001,0),0), INDEX($AN$1004:$BO$1004,1,MATCH(COLUMNS($AN$1006:AX1006),$AN$1006:$BO$1006,0)))),"Fix")))</f>
        <v>0</v>
      </c>
      <c r="M691" s="4">
        <f>IF(OR(INDEX($AH$2:$AH$1001,MATCH(ROWS($AG$2:AG691),$AG$2:$AG$1001,0),1)&gt;=100000,INDEX($AN$1005:$BO$1005,1,MATCH(COLUMNS($AN$1006:AY1006),$AN$1006:$BO$1006,0))&gt;=100000), " ",IF(INDEX($AN$2:$BO$1001,MATCH(ROWS($AG$2:AG691),$AG$2:$AG$1001,0),MATCH(COLUMNS($AN$1006:AY1006),$AN$1006:$BO$1006,0)), HYPERLINK("#",""), HYPERLINK(CONCATENATE("#Metadata!", ADDRESS(INDEX($AI$2:$AI$1001,MATCH(ROWS($AG$2:AG691),$AG$2:$AG$1001,0),0), INDEX($AN$1004:$BO$1004,1,MATCH(COLUMNS($AN$1006:AY1006),$AN$1006:$BO$1006,0)))),"Fix")))</f>
        <v>0</v>
      </c>
      <c r="N691" s="4">
        <f>IF(OR(INDEX($AH$2:$AH$1001,MATCH(ROWS($AG$2:AG691),$AG$2:$AG$1001,0),1)&gt;=100000,INDEX($AN$1005:$BO$1005,1,MATCH(COLUMNS($AN$1006:AZ1006),$AN$1006:$BO$1006,0))&gt;=100000), " ",IF(INDEX($AN$2:$BO$1001,MATCH(ROWS($AG$2:AG691),$AG$2:$AG$1001,0),MATCH(COLUMNS($AN$1006:AZ1006),$AN$1006:$BO$1006,0)), HYPERLINK("#",""), HYPERLINK(CONCATENATE("#Metadata!", ADDRESS(INDEX($AI$2:$AI$1001,MATCH(ROWS($AG$2:AG691),$AG$2:$AG$1001,0),0), INDEX($AN$1004:$BO$1004,1,MATCH(COLUMNS($AN$1006:AZ1006),$AN$1006:$BO$1006,0)))),"Fix")))</f>
        <v>0</v>
      </c>
      <c r="O691" s="4">
        <f>IF(OR(INDEX($AH$2:$AH$1001,MATCH(ROWS($AG$2:AG691),$AG$2:$AG$1001,0),1)&gt;=100000,INDEX($AN$1005:$BO$1005,1,MATCH(COLUMNS($AN$1006:BA1006),$AN$1006:$BO$1006,0))&gt;=100000), " ",IF(INDEX($AN$2:$BO$1001,MATCH(ROWS($AG$2:AG691),$AG$2:$AG$1001,0),MATCH(COLUMNS($AN$1006:BA1006),$AN$1006:$BO$1006,0)), HYPERLINK("#",""), HYPERLINK(CONCATENATE("#Metadata!", ADDRESS(INDEX($AI$2:$AI$1001,MATCH(ROWS($AG$2:AG691),$AG$2:$AG$1001,0),0), INDEX($AN$1004:$BO$1004,1,MATCH(COLUMNS($AN$1006:BA1006),$AN$1006:$BO$1006,0)))),"Fix")))</f>
        <v>0</v>
      </c>
      <c r="P691" s="4">
        <f>IF(OR(INDEX($AH$2:$AH$1001,MATCH(ROWS($AG$2:AG691),$AG$2:$AG$1001,0),1)&gt;=100000,INDEX($AN$1005:$BO$1005,1,MATCH(COLUMNS($AN$1006:BB1006),$AN$1006:$BO$1006,0))&gt;=100000), " ",IF(INDEX($AN$2:$BO$1001,MATCH(ROWS($AG$2:AG691),$AG$2:$AG$1001,0),MATCH(COLUMNS($AN$1006:BB1006),$AN$1006:$BO$1006,0)), HYPERLINK("#",""), HYPERLINK(CONCATENATE("#Metadata!", ADDRESS(INDEX($AI$2:$AI$1001,MATCH(ROWS($AG$2:AG691),$AG$2:$AG$1001,0),0), INDEX($AN$1004:$BO$1004,1,MATCH(COLUMNS($AN$1006:BB1006),$AN$1006:$BO$1006,0)))),"Fix")))</f>
        <v>0</v>
      </c>
      <c r="Q691" s="4">
        <f>IF(OR(INDEX($AH$2:$AH$1001,MATCH(ROWS($AG$2:AG691),$AG$2:$AG$1001,0),1)&gt;=100000,INDEX($AN$1005:$BO$1005,1,MATCH(COLUMNS($AN$1006:BC1006),$AN$1006:$BO$1006,0))&gt;=100000), " ",IF(INDEX($AN$2:$BO$1001,MATCH(ROWS($AG$2:AG691),$AG$2:$AG$1001,0),MATCH(COLUMNS($AN$1006:BC1006),$AN$1006:$BO$1006,0)), HYPERLINK("#",""), HYPERLINK(CONCATENATE("#Metadata!", ADDRESS(INDEX($AI$2:$AI$1001,MATCH(ROWS($AG$2:AG691),$AG$2:$AG$1001,0),0), INDEX($AN$1004:$BO$1004,1,MATCH(COLUMNS($AN$1006:BC1006),$AN$1006:$BO$1006,0)))),"Fix")))</f>
        <v>0</v>
      </c>
      <c r="R691" s="4">
        <f>IF(OR(INDEX($AH$2:$AH$1001,MATCH(ROWS($AG$2:AG691),$AG$2:$AG$1001,0),1)&gt;=100000,INDEX($AN$1005:$BO$1005,1,MATCH(COLUMNS($AN$1006:BD1006),$AN$1006:$BO$1006,0))&gt;=100000), " ",IF(INDEX($AN$2:$BO$1001,MATCH(ROWS($AG$2:AG691),$AG$2:$AG$1001,0),MATCH(COLUMNS($AN$1006:BD1006),$AN$1006:$BO$1006,0)), HYPERLINK("#",""), HYPERLINK(CONCATENATE("#Metadata!", ADDRESS(INDEX($AI$2:$AI$1001,MATCH(ROWS($AG$2:AG691),$AG$2:$AG$1001,0),0), INDEX($AN$1004:$BO$1004,1,MATCH(COLUMNS($AN$1006:BD1006),$AN$1006:$BO$1006,0)))),"Fix")))</f>
        <v>0</v>
      </c>
      <c r="S691" s="4">
        <f>IF(OR(INDEX($AH$2:$AH$1001,MATCH(ROWS($AG$2:AG691),$AG$2:$AG$1001,0),1)&gt;=100000,INDEX($AN$1005:$BO$1005,1,MATCH(COLUMNS($AN$1006:BE1006),$AN$1006:$BO$1006,0))&gt;=100000), " ",IF(INDEX($AN$2:$BO$1001,MATCH(ROWS($AG$2:AG691),$AG$2:$AG$1001,0),MATCH(COLUMNS($AN$1006:BE1006),$AN$1006:$BO$1006,0)), HYPERLINK("#",""), HYPERLINK(CONCATENATE("#Metadata!", ADDRESS(INDEX($AI$2:$AI$1001,MATCH(ROWS($AG$2:AG691),$AG$2:$AG$1001,0),0), INDEX($AN$1004:$BO$1004,1,MATCH(COLUMNS($AN$1006:BE1006),$AN$1006:$BO$1006,0)))),"Fix")))</f>
        <v>0</v>
      </c>
      <c r="T691" s="4">
        <f>IF(OR(INDEX($AH$2:$AH$1001,MATCH(ROWS($AG$2:AG691),$AG$2:$AG$1001,0),1)&gt;=100000,INDEX($AN$1005:$BO$1005,1,MATCH(COLUMNS($AN$1006:BF1006),$AN$1006:$BO$1006,0))&gt;=100000), " ",IF(INDEX($AN$2:$BO$1001,MATCH(ROWS($AG$2:AG691),$AG$2:$AG$1001,0),MATCH(COLUMNS($AN$1006:BF1006),$AN$1006:$BO$1006,0)), HYPERLINK("#",""), HYPERLINK(CONCATENATE("#Metadata!", ADDRESS(INDEX($AI$2:$AI$1001,MATCH(ROWS($AG$2:AG691),$AG$2:$AG$1001,0),0), INDEX($AN$1004:$BO$1004,1,MATCH(COLUMNS($AN$1006:BF1006),$AN$1006:$BO$1006,0)))),"Fix")))</f>
        <v>0</v>
      </c>
      <c r="U691" s="4">
        <f>IF(OR(INDEX($AH$2:$AH$1001,MATCH(ROWS($AG$2:AG691),$AG$2:$AG$1001,0),1)&gt;=100000,INDEX($AN$1005:$BO$1005,1,MATCH(COLUMNS($AN$1006:BG1006),$AN$1006:$BO$1006,0))&gt;=100000), " ",IF(INDEX($AN$2:$BO$1001,MATCH(ROWS($AG$2:AG691),$AG$2:$AG$1001,0),MATCH(COLUMNS($AN$1006:BG1006),$AN$1006:$BO$1006,0)), HYPERLINK("#",""), HYPERLINK(CONCATENATE("#Metadata!", ADDRESS(INDEX($AI$2:$AI$1001,MATCH(ROWS($AG$2:AG691),$AG$2:$AG$1001,0),0), INDEX($AN$1004:$BO$1004,1,MATCH(COLUMNS($AN$1006:BG1006),$AN$1006:$BO$1006,0)))),"Fix")))</f>
        <v>0</v>
      </c>
      <c r="V691" s="4">
        <f>IF(OR(INDEX($AH$2:$AH$1001,MATCH(ROWS($AG$2:AG691),$AG$2:$AG$1001,0),1)&gt;=100000,INDEX($AN$1005:$BO$1005,1,MATCH(COLUMNS($AN$1006:BH1006),$AN$1006:$BO$1006,0))&gt;=100000), " ",IF(INDEX($AN$2:$BO$1001,MATCH(ROWS($AG$2:AG691),$AG$2:$AG$1001,0),MATCH(COLUMNS($AN$1006:BH1006),$AN$1006:$BO$1006,0)), HYPERLINK("#",""), HYPERLINK(CONCATENATE("#Metadata!", ADDRESS(INDEX($AI$2:$AI$1001,MATCH(ROWS($AG$2:AG691),$AG$2:$AG$1001,0),0), INDEX($AN$1004:$BO$1004,1,MATCH(COLUMNS($AN$1006:BH1006),$AN$1006:$BO$1006,0)))),"Fix")))</f>
        <v>0</v>
      </c>
      <c r="W691" s="4">
        <f>IF(OR(INDEX($AH$2:$AH$1001,MATCH(ROWS($AG$2:AG691),$AG$2:$AG$1001,0),1)&gt;=100000,INDEX($AN$1005:$BO$1005,1,MATCH(COLUMNS($AN$1006:BI1006),$AN$1006:$BO$1006,0))&gt;=100000), " ",IF(INDEX($AN$2:$BO$1001,MATCH(ROWS($AG$2:AG691),$AG$2:$AG$1001,0),MATCH(COLUMNS($AN$1006:BI1006),$AN$1006:$BO$1006,0)), HYPERLINK("#",""), HYPERLINK(CONCATENATE("#Metadata!", ADDRESS(INDEX($AI$2:$AI$1001,MATCH(ROWS($AG$2:AG691),$AG$2:$AG$1001,0),0), INDEX($AN$1004:$BO$1004,1,MATCH(COLUMNS($AN$1006:BI1006),$AN$1006:$BO$1006,0)))),"Fix")))</f>
        <v>0</v>
      </c>
      <c r="X691" s="4">
        <f>IF(OR(INDEX($AH$2:$AH$1001,MATCH(ROWS($AG$2:AG691),$AG$2:$AG$1001,0),1)&gt;=100000,INDEX($AN$1005:$BO$1005,1,MATCH(COLUMNS($AN$1006:BJ1006),$AN$1006:$BO$1006,0))&gt;=100000), " ",IF(INDEX($AN$2:$BO$1001,MATCH(ROWS($AG$2:AG691),$AG$2:$AG$1001,0),MATCH(COLUMNS($AN$1006:BJ1006),$AN$1006:$BO$1006,0)), HYPERLINK("#",""), HYPERLINK(CONCATENATE("#Metadata!", ADDRESS(INDEX($AI$2:$AI$1001,MATCH(ROWS($AG$2:AG691),$AG$2:$AG$1001,0),0), INDEX($AN$1004:$BO$1004,1,MATCH(COLUMNS($AN$1006:BJ1006),$AN$1006:$BO$1006,0)))),"Fix")))</f>
        <v>0</v>
      </c>
      <c r="Y691" s="4">
        <f>IF(OR(INDEX($AH$2:$AH$1001,MATCH(ROWS($AG$2:AG691),$AG$2:$AG$1001,0),1)&gt;=100000,INDEX($AN$1005:$BO$1005,1,MATCH(COLUMNS($AN$1006:BK1006),$AN$1006:$BO$1006,0))&gt;=100000), " ",IF(INDEX($AN$2:$BO$1001,MATCH(ROWS($AG$2:AG691),$AG$2:$AG$1001,0),MATCH(COLUMNS($AN$1006:BK1006),$AN$1006:$BO$1006,0)), HYPERLINK("#",""), HYPERLINK(CONCATENATE("#Metadata!", ADDRESS(INDEX($AI$2:$AI$1001,MATCH(ROWS($AG$2:AG691),$AG$2:$AG$1001,0),0), INDEX($AN$1004:$BO$1004,1,MATCH(COLUMNS($AN$1006:BK1006),$AN$1006:$BO$1006,0)))),"Fix")))</f>
        <v>0</v>
      </c>
      <c r="Z691" s="4">
        <f>IF(OR(INDEX($AH$2:$AH$1001,MATCH(ROWS($AG$2:AG691),$AG$2:$AG$1001,0),1)&gt;=100000,INDEX($AN$1005:$BO$1005,1,MATCH(COLUMNS($AN$1006:BL1006),$AN$1006:$BO$1006,0))&gt;=100000), " ",IF(INDEX($AN$2:$BO$1001,MATCH(ROWS($AG$2:AG691),$AG$2:$AG$1001,0),MATCH(COLUMNS($AN$1006:BL1006),$AN$1006:$BO$1006,0)), HYPERLINK("#",""), HYPERLINK(CONCATENATE("#Metadata!", ADDRESS(INDEX($AI$2:$AI$1001,MATCH(ROWS($AG$2:AG691),$AG$2:$AG$1001,0),0), INDEX($AN$1004:$BO$1004,1,MATCH(COLUMNS($AN$1006:BL1006),$AN$1006:$BO$1006,0)))),"Fix")))</f>
        <v>0</v>
      </c>
      <c r="AA691" s="4">
        <f>IF(OR(INDEX($AH$2:$AH$1001,MATCH(ROWS($AG$2:AG691),$AG$2:$AG$1001,0),1)&gt;=100000,INDEX($AN$1005:$BO$1005,1,MATCH(COLUMNS($AN$1006:BM1006),$AN$1006:$BO$1006,0))&gt;=100000), " ",IF(INDEX($AN$2:$BO$1001,MATCH(ROWS($AG$2:AG691),$AG$2:$AG$1001,0),MATCH(COLUMNS($AN$1006:BM1006),$AN$1006:$BO$1006,0)), HYPERLINK("#",""), HYPERLINK(CONCATENATE("#Metadata!", ADDRESS(INDEX($AI$2:$AI$1001,MATCH(ROWS($AG$2:AG691),$AG$2:$AG$1001,0),0), INDEX($AN$1004:$BO$1004,1,MATCH(COLUMNS($AN$1006:BM1006),$AN$1006:$BO$1006,0)))),"Fix")))</f>
        <v>0</v>
      </c>
      <c r="AB691" s="4">
        <f>IF(OR(INDEX($AH$2:$AH$1001,MATCH(ROWS($AG$2:AG691),$AG$2:$AG$1001,0),1)&gt;=100000,INDEX($AN$1005:$BO$1005,1,MATCH(COLUMNS($AN$1006:BN1006),$AN$1006:$BO$1006,0))&gt;=100000), " ",IF(INDEX($AN$2:$BO$1001,MATCH(ROWS($AG$2:AG691),$AG$2:$AG$1001,0),MATCH(COLUMNS($AN$1006:BN1006),$AN$1006:$BO$1006,0)), HYPERLINK("#",""), HYPERLINK(CONCATENATE("#Metadata!", ADDRESS(INDEX($AI$2:$AI$1001,MATCH(ROWS($AG$2:AG691),$AG$2:$AG$1001,0),0), INDEX($AN$1004:$BO$1004,1,MATCH(COLUMNS($AN$1006:BN1006),$AN$1006:$BO$1006,0)))),"Fix")))</f>
        <v>0</v>
      </c>
      <c r="AC691" s="4">
        <f>IF(OR(INDEX($AH$2:$AH$1001,MATCH(ROWS($AG$2:AG691),$AG$2:$AG$1001,0),1)&gt;=100000,INDEX($AN$1005:$BO$1005,1,MATCH(COLUMNS($AN$1006:BO1006),$AN$1006:$BO$1006,0))&gt;=100000), " ",IF(INDEX($AN$2:$BO$1001,MATCH(ROWS($AG$2:AG691),$AG$2:$AG$1001,0),MATCH(COLUMNS($AN$1006:BO1006),$AN$1006:$BO$1006,0)), HYPERLINK("#",""), HYPERLINK(CONCATENATE("#Metadata!", ADDRESS(INDEX($AI$2:$AI$1001,MATCH(ROWS($AG$2:AG691),$AG$2:$AG$1001,0),0), INDEX($AN$1004:$BO$1004,1,MATCH(COLUMNS($AN$1006:BO1006),$AN$1006:$BO$1006,0)))),"Fix")))</f>
        <v>0</v>
      </c>
      <c r="AG691">
        <v>0</v>
      </c>
      <c r="AH691">
        <v>0</v>
      </c>
      <c r="AI691">
        <v>0</v>
      </c>
      <c r="AJ691">
        <f>IF(AK691,TRUE,AND(AN691:BO691))</f>
        <v>0</v>
      </c>
      <c r="AK691">
        <f>COUNTBLANK(Metadata!B691:AC691)=COLUMNS(Metadata!B691:AC691)</f>
        <v>0</v>
      </c>
      <c r="AL691">
        <v>0</v>
      </c>
      <c r="AN691">
        <f>AND(IF(Metadata!B691="",FALSE,TRUE),COUNTIF(Metadata!B:B, Metadata!B691) = 1,NOT(ISERROR(SUMPRODUCT(SEARCH(MID(Metadata!B691,ROW(INDIRECT("1:"&amp;LEN(Metadata!B691))), 1),"0123456789abcdefghijklmnopqrstuvwxyzABCDEFGHIJKLMNOPQRSTUVWXYZ.")))))</f>
        <v>0</v>
      </c>
      <c r="AO691">
        <f>IF(Metadata!C691="",FALSE,TRUE)</f>
        <v>0</v>
      </c>
      <c r="AP691">
        <f>IF(Metadata!D691="",FALSE,TRUE)</f>
        <v>0</v>
      </c>
      <c r="AQ691">
        <f>OR(AND(IF(Metadata!E691="",FALSE,TRUE),OR(exact(Metadata!E691,"not collected"),exact(Metadata!E691,"not provided"),exact(Metadata!E691,"restricted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R691">
        <f>IF(Metadata!F691="",FALSE,TRUE)</f>
        <v>0</v>
      </c>
      <c r="AS691">
        <f>OR(AND(IF(Metadata!G691="",FALSE,TRUE),OR(exact(Metadata!G691,"not collected"),exact(Metadata!G691,"not provided"))),AND(IF(Metadata!G691="",FALSE,TRUE),OR(exact(Metadata!G691,"TRUE"),exact(Metadata!G691,"FALSE"))))</f>
        <v>0</v>
      </c>
      <c r="AT691">
        <f>OR(AND(IF(Metadata!H691="",FALSE,TRUE),OR(exact(Metadata!H691,"not collected"),exact(Metadata!H691,"not provided"),exact(Metadata!H691,"restricted access"))),AND(IF(Metadata!H691="",FALSE,ISNUMBER(VALUE(Metadata!H691))),Metadata!H691&gt;=-413.0))</f>
        <v>0</v>
      </c>
      <c r="AU691">
        <f>AND(IF(Metadata!I691="",FALSE,TRUE),exact(Metadata!I691,"meters"))</f>
        <v>0</v>
      </c>
      <c r="AV691">
        <f>AND(IF(Metadata!J691="",FALSE,TRUE),OR(exact(Metadata!J691,"Host-associated"),exact(Metadata!J691,"Free-living")))</f>
        <v>0</v>
      </c>
      <c r="AW691">
        <f>AND(IF(Metadata!K691="",FALSE,TRUE),OR(exact(Metadata!K691,"Animal"),exact(Metadata!K691,"Fungus"),exact(Metadata!K691,"Plant"),exact(Metadata!K691,"Saline"),exact(Metadata!K691,"Non-saline")))</f>
        <v>0</v>
      </c>
      <c r="AX691">
        <f>AND(IF(Metadata!L691="",FALSE,TRUE),OR(exact(Metadata!L691,"Plant secretion"),exact(Metadata!L691,"Plant rhizosphere"),exact(Metadata!L691,"Plant surface"),exact(Metadata!L691,"Plant corpus"),exact(Metadata!L691,"Fungus surface"),exact(Metadata!L691,"Fungus corpus"),exact(Metadata!L691,"Animal surface"),exact(Metadata!L691,"Animal proximal gut"),exact(Metadata!L691,"Animal corpus"),exact(Metadata!L691,"Animal distal gut"),exact(Metadata!L691,"Animal secretion"),exact(Metadata!L691,"Sub-surface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Y691">
        <f>IF(Metadata!M691="",FALSE,TRUE)</f>
        <v>0</v>
      </c>
      <c r="AZ691">
        <f>IF(Metadata!N691="",FALSE,TRUE)</f>
        <v>0</v>
      </c>
      <c r="BA691">
        <f>IF(Metadata!O691="",FALSE,TRUE)</f>
        <v>0</v>
      </c>
      <c r="BB691">
        <f>OR(AND(IF(Metadata!P691="",FALSE,TRUE),OR(exact(Metadata!P691,"not collected"),exact(Metadata!P691,"not provided"),exact(Metadata!P691,"restricted access"))),AND(IF(Metadata!P691="",FALSE,TRUE),OR(exact(Metadata!P691,"air"),exact(Metadata!P691,"built environment"),exact(Metadata!P691,"host-associated"),exact(Metadata!P691,"human-associated"),exact(Metadata!P691,"human-skin"),exact(Metadata!P691,"human-oral"),exact(Metadata!P691,"human-gut"),exact(Metadata!P691,"human-vaginal"),exact(Metadata!P691,"microbial mat/biofilm"),exact(Metadata!P691,"misc environment"),exact(Metadata!P691,"plant-associated"),exact(Metadata!P691,"sediment"),exact(Metadata!P691,"soil"),exact(Metadata!P691,"wastewater/sludge"),exact(Metadata!P691,"water"))))</f>
        <v>0</v>
      </c>
      <c r="BC691">
        <f>IF(Metadata!Q691="",FALSE,TRUE)</f>
        <v>0</v>
      </c>
      <c r="BD691">
        <f>IF(Metadata!R691="",FALSE,TRUE)</f>
        <v>0</v>
      </c>
      <c r="BE691">
        <f>OR(AND(IF(Metadata!S691="",FALSE,TRUE),OR(exact(Metadata!S691,"not collected"),exact(Metadata!S691,"not provided"),exact(Metadata!S691,"restricted access"))),AND(IF(Metadata!S691="",FALSE,ISNUMBER(VALUE(Metadata!S691))),Metadata!S691&gt;=-90.00,Metadata!S691&lt;=90.00))</f>
        <v>0</v>
      </c>
      <c r="BF691">
        <f>AND(IF(Metadata!T691="",FALSE,TRUE),exact(Metadata!T691,"Decimal degrees"))</f>
        <v>0</v>
      </c>
      <c r="BG691">
        <f>OR(AND(IF(Metadata!U691="",FALSE,TRUE),OR(exact(Metadata!U691,"not collected"),exact(Metadata!U691,"not provided"),exact(Metadata!U691,"restricted access"))),AND(IF(Metadata!U691="",FALSE,ISNUMBER(VALUE(Metadata!U691))),Metadata!U691&gt;=-180.00,Metadata!U691&lt;=180.00))</f>
        <v>0</v>
      </c>
      <c r="BH691">
        <f>AND(IF(Metadata!V691="",FALSE,TRUE),exact(Metadata!V691,"Decimal degrees"))</f>
        <v>0</v>
      </c>
      <c r="BI691">
        <f>IF(Metadata!W691="",FALSE,TRUE)</f>
        <v>0</v>
      </c>
      <c r="BJ691">
        <f>OR(AND(IF(Metadata!X691="",FALSE,TRUE),OR(exact(Metadata!X691,"not collected"),exact(Metadata!X691,"not provided"),exact(Metadata!X691,"restricted access"))),AND(IF(Metadata!X691="",FALSE,TRUE),OR(exact(Metadata!X691,"TRUE"),exact(Metadata!X691,"FALSE"))))</f>
        <v>0</v>
      </c>
      <c r="BK691">
        <f>AND(IF(Metadata!Y691="",FALSE,TRUE),exact(Metadata!Y691,"other"))</f>
        <v>0</v>
      </c>
      <c r="BL691">
        <f>IF(Metadata!Z691="",FALSE,TRUE)</f>
        <v>0</v>
      </c>
      <c r="BM691">
        <f>OR(AND(IF(Metadata!AA691="",FALSE,TRUE),OR(exact(Metadata!AA691,"not collected"),exact(Metadata!AA691,"not provided"))),AND(IF(Metadata!AA691="",FALSE,IF(ISERROR(INT(Metadata!AA691)),FALSE,INT(Metadata!AA691)=Metadata!AA691)),Metadata!AA691&gt;0))</f>
        <v>0</v>
      </c>
      <c r="BN691">
        <f>AND(IF(Metadata!AB691="",FALSE,TRUE),exact(Metadata!AB691,"Not applicable"))</f>
        <v>0</v>
      </c>
      <c r="BO691">
        <f>IF(Metadata!AC691="",FALSE,TRUE)</f>
        <v>0</v>
      </c>
    </row>
    <row r="692" spans="1:67">
      <c r="A692" s="5">
        <f>IF(B692=" "," ",HYPERLINK(CONCATENATE("#metadata!",ADDRESS(INDEX($AI$2:$AI$1001,MATCH(ROWS($AG$2:AG692),$AG$2:$AG$1001,0),0),1)),INDEX($AL$2:$AL$1001,MATCH(ROWS($AG$2:AG692),$AG$2:$AG$1001,0),0)))</f>
        <v>0</v>
      </c>
      <c r="B692" s="4">
        <f>IF(OR(INDEX($AH$2:$AH$1001,MATCH(ROWS($AG$2:AG692),$AG$2:$AG$1001,0),1)&gt;=100000,INDEX($AN$1005:$BO$1005,1,MATCH(COLUMNS($AN$1006:AN1006),$AN$1006:$BO$1006,0))&gt;=100000), " ",IF(INDEX($AN$2:$BO$1001,MATCH(ROWS($AG$2:AG692),$AG$2:$AG$1001,0),MATCH(COLUMNS($AN$1006:AN1006),$AN$1006:$BO$1006,0)), HYPERLINK("#",""), HYPERLINK(CONCATENATE("#Metadata!", ADDRESS(INDEX($AI$2:$AI$1001,MATCH(ROWS($AG$2:AG692),$AG$2:$AG$1001,0),0), INDEX($AN$1004:$BO$1004,1,MATCH(COLUMNS($AN$1006:AN1006),$AN$1006:$BO$1006,0)))),"Fix")))</f>
        <v>0</v>
      </c>
      <c r="C692" s="4">
        <f>IF(OR(INDEX($AH$2:$AH$1001,MATCH(ROWS($AG$2:AG692),$AG$2:$AG$1001,0),1)&gt;=100000,INDEX($AN$1005:$BO$1005,1,MATCH(COLUMNS($AN$1006:AO1006),$AN$1006:$BO$1006,0))&gt;=100000), " ",IF(INDEX($AN$2:$BO$1001,MATCH(ROWS($AG$2:AG692),$AG$2:$AG$1001,0),MATCH(COLUMNS($AN$1006:AO1006),$AN$1006:$BO$1006,0)), HYPERLINK("#",""), HYPERLINK(CONCATENATE("#Metadata!", ADDRESS(INDEX($AI$2:$AI$1001,MATCH(ROWS($AG$2:AG692),$AG$2:$AG$1001,0),0), INDEX($AN$1004:$BO$1004,1,MATCH(COLUMNS($AN$1006:AO1006),$AN$1006:$BO$1006,0)))),"Fix")))</f>
        <v>0</v>
      </c>
      <c r="D692" s="4">
        <f>IF(OR(INDEX($AH$2:$AH$1001,MATCH(ROWS($AG$2:AG692),$AG$2:$AG$1001,0),1)&gt;=100000,INDEX($AN$1005:$BO$1005,1,MATCH(COLUMNS($AN$1006:AP1006),$AN$1006:$BO$1006,0))&gt;=100000), " ",IF(INDEX($AN$2:$BO$1001,MATCH(ROWS($AG$2:AG692),$AG$2:$AG$1001,0),MATCH(COLUMNS($AN$1006:AP1006),$AN$1006:$BO$1006,0)), HYPERLINK("#",""), HYPERLINK(CONCATENATE("#Metadata!", ADDRESS(INDEX($AI$2:$AI$1001,MATCH(ROWS($AG$2:AG692),$AG$2:$AG$1001,0),0), INDEX($AN$1004:$BO$1004,1,MATCH(COLUMNS($AN$1006:AP1006),$AN$1006:$BO$1006,0)))),"Fix")))</f>
        <v>0</v>
      </c>
      <c r="E692" s="4">
        <f>IF(OR(INDEX($AH$2:$AH$1001,MATCH(ROWS($AG$2:AG692),$AG$2:$AG$1001,0),1)&gt;=100000,INDEX($AN$1005:$BO$1005,1,MATCH(COLUMNS($AN$1006:AQ1006),$AN$1006:$BO$1006,0))&gt;=100000), " ",IF(INDEX($AN$2:$BO$1001,MATCH(ROWS($AG$2:AG692),$AG$2:$AG$1001,0),MATCH(COLUMNS($AN$1006:AQ1006),$AN$1006:$BO$1006,0)), HYPERLINK("#",""), HYPERLINK(CONCATENATE("#Metadata!", ADDRESS(INDEX($AI$2:$AI$1001,MATCH(ROWS($AG$2:AG692),$AG$2:$AG$1001,0),0), INDEX($AN$1004:$BO$1004,1,MATCH(COLUMNS($AN$1006:AQ1006),$AN$1006:$BO$1006,0)))),"Fix")))</f>
        <v>0</v>
      </c>
      <c r="F692" s="4">
        <f>IF(OR(INDEX($AH$2:$AH$1001,MATCH(ROWS($AG$2:AG692),$AG$2:$AG$1001,0),1)&gt;=100000,INDEX($AN$1005:$BO$1005,1,MATCH(COLUMNS($AN$1006:AR1006),$AN$1006:$BO$1006,0))&gt;=100000), " ",IF(INDEX($AN$2:$BO$1001,MATCH(ROWS($AG$2:AG692),$AG$2:$AG$1001,0),MATCH(COLUMNS($AN$1006:AR1006),$AN$1006:$BO$1006,0)), HYPERLINK("#",""), HYPERLINK(CONCATENATE("#Metadata!", ADDRESS(INDEX($AI$2:$AI$1001,MATCH(ROWS($AG$2:AG692),$AG$2:$AG$1001,0),0), INDEX($AN$1004:$BO$1004,1,MATCH(COLUMNS($AN$1006:AR1006),$AN$1006:$BO$1006,0)))),"Fix")))</f>
        <v>0</v>
      </c>
      <c r="G692" s="4">
        <f>IF(OR(INDEX($AH$2:$AH$1001,MATCH(ROWS($AG$2:AG692),$AG$2:$AG$1001,0),1)&gt;=100000,INDEX($AN$1005:$BO$1005,1,MATCH(COLUMNS($AN$1006:AS1006),$AN$1006:$BO$1006,0))&gt;=100000), " ",IF(INDEX($AN$2:$BO$1001,MATCH(ROWS($AG$2:AG692),$AG$2:$AG$1001,0),MATCH(COLUMNS($AN$1006:AS1006),$AN$1006:$BO$1006,0)), HYPERLINK("#",""), HYPERLINK(CONCATENATE("#Metadata!", ADDRESS(INDEX($AI$2:$AI$1001,MATCH(ROWS($AG$2:AG692),$AG$2:$AG$1001,0),0), INDEX($AN$1004:$BO$1004,1,MATCH(COLUMNS($AN$1006:AS1006),$AN$1006:$BO$1006,0)))),"Fix")))</f>
        <v>0</v>
      </c>
      <c r="H692" s="4">
        <f>IF(OR(INDEX($AH$2:$AH$1001,MATCH(ROWS($AG$2:AG692),$AG$2:$AG$1001,0),1)&gt;=100000,INDEX($AN$1005:$BO$1005,1,MATCH(COLUMNS($AN$1006:AT1006),$AN$1006:$BO$1006,0))&gt;=100000), " ",IF(INDEX($AN$2:$BO$1001,MATCH(ROWS($AG$2:AG692),$AG$2:$AG$1001,0),MATCH(COLUMNS($AN$1006:AT1006),$AN$1006:$BO$1006,0)), HYPERLINK("#",""), HYPERLINK(CONCATENATE("#Metadata!", ADDRESS(INDEX($AI$2:$AI$1001,MATCH(ROWS($AG$2:AG692),$AG$2:$AG$1001,0),0), INDEX($AN$1004:$BO$1004,1,MATCH(COLUMNS($AN$1006:AT1006),$AN$1006:$BO$1006,0)))),"Fix")))</f>
        <v>0</v>
      </c>
      <c r="I692" s="4">
        <f>IF(OR(INDEX($AH$2:$AH$1001,MATCH(ROWS($AG$2:AG692),$AG$2:$AG$1001,0),1)&gt;=100000,INDEX($AN$1005:$BO$1005,1,MATCH(COLUMNS($AN$1006:AU1006),$AN$1006:$BO$1006,0))&gt;=100000), " ",IF(INDEX($AN$2:$BO$1001,MATCH(ROWS($AG$2:AG692),$AG$2:$AG$1001,0),MATCH(COLUMNS($AN$1006:AU1006),$AN$1006:$BO$1006,0)), HYPERLINK("#",""), HYPERLINK(CONCATENATE("#Metadata!", ADDRESS(INDEX($AI$2:$AI$1001,MATCH(ROWS($AG$2:AG692),$AG$2:$AG$1001,0),0), INDEX($AN$1004:$BO$1004,1,MATCH(COLUMNS($AN$1006:AU1006),$AN$1006:$BO$1006,0)))),"Fix")))</f>
        <v>0</v>
      </c>
      <c r="J692" s="4">
        <f>IF(OR(INDEX($AH$2:$AH$1001,MATCH(ROWS($AG$2:AG692),$AG$2:$AG$1001,0),1)&gt;=100000,INDEX($AN$1005:$BO$1005,1,MATCH(COLUMNS($AN$1006:AV1006),$AN$1006:$BO$1006,0))&gt;=100000), " ",IF(INDEX($AN$2:$BO$1001,MATCH(ROWS($AG$2:AG692),$AG$2:$AG$1001,0),MATCH(COLUMNS($AN$1006:AV1006),$AN$1006:$BO$1006,0)), HYPERLINK("#",""), HYPERLINK(CONCATENATE("#Metadata!", ADDRESS(INDEX($AI$2:$AI$1001,MATCH(ROWS($AG$2:AG692),$AG$2:$AG$1001,0),0), INDEX($AN$1004:$BO$1004,1,MATCH(COLUMNS($AN$1006:AV1006),$AN$1006:$BO$1006,0)))),"Fix")))</f>
        <v>0</v>
      </c>
      <c r="K692" s="4">
        <f>IF(OR(INDEX($AH$2:$AH$1001,MATCH(ROWS($AG$2:AG692),$AG$2:$AG$1001,0),1)&gt;=100000,INDEX($AN$1005:$BO$1005,1,MATCH(COLUMNS($AN$1006:AW1006),$AN$1006:$BO$1006,0))&gt;=100000), " ",IF(INDEX($AN$2:$BO$1001,MATCH(ROWS($AG$2:AG692),$AG$2:$AG$1001,0),MATCH(COLUMNS($AN$1006:AW1006),$AN$1006:$BO$1006,0)), HYPERLINK("#",""), HYPERLINK(CONCATENATE("#Metadata!", ADDRESS(INDEX($AI$2:$AI$1001,MATCH(ROWS($AG$2:AG692),$AG$2:$AG$1001,0),0), INDEX($AN$1004:$BO$1004,1,MATCH(COLUMNS($AN$1006:AW1006),$AN$1006:$BO$1006,0)))),"Fix")))</f>
        <v>0</v>
      </c>
      <c r="L692" s="4">
        <f>IF(OR(INDEX($AH$2:$AH$1001,MATCH(ROWS($AG$2:AG692),$AG$2:$AG$1001,0),1)&gt;=100000,INDEX($AN$1005:$BO$1005,1,MATCH(COLUMNS($AN$1006:AX1006),$AN$1006:$BO$1006,0))&gt;=100000), " ",IF(INDEX($AN$2:$BO$1001,MATCH(ROWS($AG$2:AG692),$AG$2:$AG$1001,0),MATCH(COLUMNS($AN$1006:AX1006),$AN$1006:$BO$1006,0)), HYPERLINK("#",""), HYPERLINK(CONCATENATE("#Metadata!", ADDRESS(INDEX($AI$2:$AI$1001,MATCH(ROWS($AG$2:AG692),$AG$2:$AG$1001,0),0), INDEX($AN$1004:$BO$1004,1,MATCH(COLUMNS($AN$1006:AX1006),$AN$1006:$BO$1006,0)))),"Fix")))</f>
        <v>0</v>
      </c>
      <c r="M692" s="4">
        <f>IF(OR(INDEX($AH$2:$AH$1001,MATCH(ROWS($AG$2:AG692),$AG$2:$AG$1001,0),1)&gt;=100000,INDEX($AN$1005:$BO$1005,1,MATCH(COLUMNS($AN$1006:AY1006),$AN$1006:$BO$1006,0))&gt;=100000), " ",IF(INDEX($AN$2:$BO$1001,MATCH(ROWS($AG$2:AG692),$AG$2:$AG$1001,0),MATCH(COLUMNS($AN$1006:AY1006),$AN$1006:$BO$1006,0)), HYPERLINK("#",""), HYPERLINK(CONCATENATE("#Metadata!", ADDRESS(INDEX($AI$2:$AI$1001,MATCH(ROWS($AG$2:AG692),$AG$2:$AG$1001,0),0), INDEX($AN$1004:$BO$1004,1,MATCH(COLUMNS($AN$1006:AY1006),$AN$1006:$BO$1006,0)))),"Fix")))</f>
        <v>0</v>
      </c>
      <c r="N692" s="4">
        <f>IF(OR(INDEX($AH$2:$AH$1001,MATCH(ROWS($AG$2:AG692),$AG$2:$AG$1001,0),1)&gt;=100000,INDEX($AN$1005:$BO$1005,1,MATCH(COLUMNS($AN$1006:AZ1006),$AN$1006:$BO$1006,0))&gt;=100000), " ",IF(INDEX($AN$2:$BO$1001,MATCH(ROWS($AG$2:AG692),$AG$2:$AG$1001,0),MATCH(COLUMNS($AN$1006:AZ1006),$AN$1006:$BO$1006,0)), HYPERLINK("#",""), HYPERLINK(CONCATENATE("#Metadata!", ADDRESS(INDEX($AI$2:$AI$1001,MATCH(ROWS($AG$2:AG692),$AG$2:$AG$1001,0),0), INDEX($AN$1004:$BO$1004,1,MATCH(COLUMNS($AN$1006:AZ1006),$AN$1006:$BO$1006,0)))),"Fix")))</f>
        <v>0</v>
      </c>
      <c r="O692" s="4">
        <f>IF(OR(INDEX($AH$2:$AH$1001,MATCH(ROWS($AG$2:AG692),$AG$2:$AG$1001,0),1)&gt;=100000,INDEX($AN$1005:$BO$1005,1,MATCH(COLUMNS($AN$1006:BA1006),$AN$1006:$BO$1006,0))&gt;=100000), " ",IF(INDEX($AN$2:$BO$1001,MATCH(ROWS($AG$2:AG692),$AG$2:$AG$1001,0),MATCH(COLUMNS($AN$1006:BA1006),$AN$1006:$BO$1006,0)), HYPERLINK("#",""), HYPERLINK(CONCATENATE("#Metadata!", ADDRESS(INDEX($AI$2:$AI$1001,MATCH(ROWS($AG$2:AG692),$AG$2:$AG$1001,0),0), INDEX($AN$1004:$BO$1004,1,MATCH(COLUMNS($AN$1006:BA1006),$AN$1006:$BO$1006,0)))),"Fix")))</f>
        <v>0</v>
      </c>
      <c r="P692" s="4">
        <f>IF(OR(INDEX($AH$2:$AH$1001,MATCH(ROWS($AG$2:AG692),$AG$2:$AG$1001,0),1)&gt;=100000,INDEX($AN$1005:$BO$1005,1,MATCH(COLUMNS($AN$1006:BB1006),$AN$1006:$BO$1006,0))&gt;=100000), " ",IF(INDEX($AN$2:$BO$1001,MATCH(ROWS($AG$2:AG692),$AG$2:$AG$1001,0),MATCH(COLUMNS($AN$1006:BB1006),$AN$1006:$BO$1006,0)), HYPERLINK("#",""), HYPERLINK(CONCATENATE("#Metadata!", ADDRESS(INDEX($AI$2:$AI$1001,MATCH(ROWS($AG$2:AG692),$AG$2:$AG$1001,0),0), INDEX($AN$1004:$BO$1004,1,MATCH(COLUMNS($AN$1006:BB1006),$AN$1006:$BO$1006,0)))),"Fix")))</f>
        <v>0</v>
      </c>
      <c r="Q692" s="4">
        <f>IF(OR(INDEX($AH$2:$AH$1001,MATCH(ROWS($AG$2:AG692),$AG$2:$AG$1001,0),1)&gt;=100000,INDEX($AN$1005:$BO$1005,1,MATCH(COLUMNS($AN$1006:BC1006),$AN$1006:$BO$1006,0))&gt;=100000), " ",IF(INDEX($AN$2:$BO$1001,MATCH(ROWS($AG$2:AG692),$AG$2:$AG$1001,0),MATCH(COLUMNS($AN$1006:BC1006),$AN$1006:$BO$1006,0)), HYPERLINK("#",""), HYPERLINK(CONCATENATE("#Metadata!", ADDRESS(INDEX($AI$2:$AI$1001,MATCH(ROWS($AG$2:AG692),$AG$2:$AG$1001,0),0), INDEX($AN$1004:$BO$1004,1,MATCH(COLUMNS($AN$1006:BC1006),$AN$1006:$BO$1006,0)))),"Fix")))</f>
        <v>0</v>
      </c>
      <c r="R692" s="4">
        <f>IF(OR(INDEX($AH$2:$AH$1001,MATCH(ROWS($AG$2:AG692),$AG$2:$AG$1001,0),1)&gt;=100000,INDEX($AN$1005:$BO$1005,1,MATCH(COLUMNS($AN$1006:BD1006),$AN$1006:$BO$1006,0))&gt;=100000), " ",IF(INDEX($AN$2:$BO$1001,MATCH(ROWS($AG$2:AG692),$AG$2:$AG$1001,0),MATCH(COLUMNS($AN$1006:BD1006),$AN$1006:$BO$1006,0)), HYPERLINK("#",""), HYPERLINK(CONCATENATE("#Metadata!", ADDRESS(INDEX($AI$2:$AI$1001,MATCH(ROWS($AG$2:AG692),$AG$2:$AG$1001,0),0), INDEX($AN$1004:$BO$1004,1,MATCH(COLUMNS($AN$1006:BD1006),$AN$1006:$BO$1006,0)))),"Fix")))</f>
        <v>0</v>
      </c>
      <c r="S692" s="4">
        <f>IF(OR(INDEX($AH$2:$AH$1001,MATCH(ROWS($AG$2:AG692),$AG$2:$AG$1001,0),1)&gt;=100000,INDEX($AN$1005:$BO$1005,1,MATCH(COLUMNS($AN$1006:BE1006),$AN$1006:$BO$1006,0))&gt;=100000), " ",IF(INDEX($AN$2:$BO$1001,MATCH(ROWS($AG$2:AG692),$AG$2:$AG$1001,0),MATCH(COLUMNS($AN$1006:BE1006),$AN$1006:$BO$1006,0)), HYPERLINK("#",""), HYPERLINK(CONCATENATE("#Metadata!", ADDRESS(INDEX($AI$2:$AI$1001,MATCH(ROWS($AG$2:AG692),$AG$2:$AG$1001,0),0), INDEX($AN$1004:$BO$1004,1,MATCH(COLUMNS($AN$1006:BE1006),$AN$1006:$BO$1006,0)))),"Fix")))</f>
        <v>0</v>
      </c>
      <c r="T692" s="4">
        <f>IF(OR(INDEX($AH$2:$AH$1001,MATCH(ROWS($AG$2:AG692),$AG$2:$AG$1001,0),1)&gt;=100000,INDEX($AN$1005:$BO$1005,1,MATCH(COLUMNS($AN$1006:BF1006),$AN$1006:$BO$1006,0))&gt;=100000), " ",IF(INDEX($AN$2:$BO$1001,MATCH(ROWS($AG$2:AG692),$AG$2:$AG$1001,0),MATCH(COLUMNS($AN$1006:BF1006),$AN$1006:$BO$1006,0)), HYPERLINK("#",""), HYPERLINK(CONCATENATE("#Metadata!", ADDRESS(INDEX($AI$2:$AI$1001,MATCH(ROWS($AG$2:AG692),$AG$2:$AG$1001,0),0), INDEX($AN$1004:$BO$1004,1,MATCH(COLUMNS($AN$1006:BF1006),$AN$1006:$BO$1006,0)))),"Fix")))</f>
        <v>0</v>
      </c>
      <c r="U692" s="4">
        <f>IF(OR(INDEX($AH$2:$AH$1001,MATCH(ROWS($AG$2:AG692),$AG$2:$AG$1001,0),1)&gt;=100000,INDEX($AN$1005:$BO$1005,1,MATCH(COLUMNS($AN$1006:BG1006),$AN$1006:$BO$1006,0))&gt;=100000), " ",IF(INDEX($AN$2:$BO$1001,MATCH(ROWS($AG$2:AG692),$AG$2:$AG$1001,0),MATCH(COLUMNS($AN$1006:BG1006),$AN$1006:$BO$1006,0)), HYPERLINK("#",""), HYPERLINK(CONCATENATE("#Metadata!", ADDRESS(INDEX($AI$2:$AI$1001,MATCH(ROWS($AG$2:AG692),$AG$2:$AG$1001,0),0), INDEX($AN$1004:$BO$1004,1,MATCH(COLUMNS($AN$1006:BG1006),$AN$1006:$BO$1006,0)))),"Fix")))</f>
        <v>0</v>
      </c>
      <c r="V692" s="4">
        <f>IF(OR(INDEX($AH$2:$AH$1001,MATCH(ROWS($AG$2:AG692),$AG$2:$AG$1001,0),1)&gt;=100000,INDEX($AN$1005:$BO$1005,1,MATCH(COLUMNS($AN$1006:BH1006),$AN$1006:$BO$1006,0))&gt;=100000), " ",IF(INDEX($AN$2:$BO$1001,MATCH(ROWS($AG$2:AG692),$AG$2:$AG$1001,0),MATCH(COLUMNS($AN$1006:BH1006),$AN$1006:$BO$1006,0)), HYPERLINK("#",""), HYPERLINK(CONCATENATE("#Metadata!", ADDRESS(INDEX($AI$2:$AI$1001,MATCH(ROWS($AG$2:AG692),$AG$2:$AG$1001,0),0), INDEX($AN$1004:$BO$1004,1,MATCH(COLUMNS($AN$1006:BH1006),$AN$1006:$BO$1006,0)))),"Fix")))</f>
        <v>0</v>
      </c>
      <c r="W692" s="4">
        <f>IF(OR(INDEX($AH$2:$AH$1001,MATCH(ROWS($AG$2:AG692),$AG$2:$AG$1001,0),1)&gt;=100000,INDEX($AN$1005:$BO$1005,1,MATCH(COLUMNS($AN$1006:BI1006),$AN$1006:$BO$1006,0))&gt;=100000), " ",IF(INDEX($AN$2:$BO$1001,MATCH(ROWS($AG$2:AG692),$AG$2:$AG$1001,0),MATCH(COLUMNS($AN$1006:BI1006),$AN$1006:$BO$1006,0)), HYPERLINK("#",""), HYPERLINK(CONCATENATE("#Metadata!", ADDRESS(INDEX($AI$2:$AI$1001,MATCH(ROWS($AG$2:AG692),$AG$2:$AG$1001,0),0), INDEX($AN$1004:$BO$1004,1,MATCH(COLUMNS($AN$1006:BI1006),$AN$1006:$BO$1006,0)))),"Fix")))</f>
        <v>0</v>
      </c>
      <c r="X692" s="4">
        <f>IF(OR(INDEX($AH$2:$AH$1001,MATCH(ROWS($AG$2:AG692),$AG$2:$AG$1001,0),1)&gt;=100000,INDEX($AN$1005:$BO$1005,1,MATCH(COLUMNS($AN$1006:BJ1006),$AN$1006:$BO$1006,0))&gt;=100000), " ",IF(INDEX($AN$2:$BO$1001,MATCH(ROWS($AG$2:AG692),$AG$2:$AG$1001,0),MATCH(COLUMNS($AN$1006:BJ1006),$AN$1006:$BO$1006,0)), HYPERLINK("#",""), HYPERLINK(CONCATENATE("#Metadata!", ADDRESS(INDEX($AI$2:$AI$1001,MATCH(ROWS($AG$2:AG692),$AG$2:$AG$1001,0),0), INDEX($AN$1004:$BO$1004,1,MATCH(COLUMNS($AN$1006:BJ1006),$AN$1006:$BO$1006,0)))),"Fix")))</f>
        <v>0</v>
      </c>
      <c r="Y692" s="4">
        <f>IF(OR(INDEX($AH$2:$AH$1001,MATCH(ROWS($AG$2:AG692),$AG$2:$AG$1001,0),1)&gt;=100000,INDEX($AN$1005:$BO$1005,1,MATCH(COLUMNS($AN$1006:BK1006),$AN$1006:$BO$1006,0))&gt;=100000), " ",IF(INDEX($AN$2:$BO$1001,MATCH(ROWS($AG$2:AG692),$AG$2:$AG$1001,0),MATCH(COLUMNS($AN$1006:BK1006),$AN$1006:$BO$1006,0)), HYPERLINK("#",""), HYPERLINK(CONCATENATE("#Metadata!", ADDRESS(INDEX($AI$2:$AI$1001,MATCH(ROWS($AG$2:AG692),$AG$2:$AG$1001,0),0), INDEX($AN$1004:$BO$1004,1,MATCH(COLUMNS($AN$1006:BK1006),$AN$1006:$BO$1006,0)))),"Fix")))</f>
        <v>0</v>
      </c>
      <c r="Z692" s="4">
        <f>IF(OR(INDEX($AH$2:$AH$1001,MATCH(ROWS($AG$2:AG692),$AG$2:$AG$1001,0),1)&gt;=100000,INDEX($AN$1005:$BO$1005,1,MATCH(COLUMNS($AN$1006:BL1006),$AN$1006:$BO$1006,0))&gt;=100000), " ",IF(INDEX($AN$2:$BO$1001,MATCH(ROWS($AG$2:AG692),$AG$2:$AG$1001,0),MATCH(COLUMNS($AN$1006:BL1006),$AN$1006:$BO$1006,0)), HYPERLINK("#",""), HYPERLINK(CONCATENATE("#Metadata!", ADDRESS(INDEX($AI$2:$AI$1001,MATCH(ROWS($AG$2:AG692),$AG$2:$AG$1001,0),0), INDEX($AN$1004:$BO$1004,1,MATCH(COLUMNS($AN$1006:BL1006),$AN$1006:$BO$1006,0)))),"Fix")))</f>
        <v>0</v>
      </c>
      <c r="AA692" s="4">
        <f>IF(OR(INDEX($AH$2:$AH$1001,MATCH(ROWS($AG$2:AG692),$AG$2:$AG$1001,0),1)&gt;=100000,INDEX($AN$1005:$BO$1005,1,MATCH(COLUMNS($AN$1006:BM1006),$AN$1006:$BO$1006,0))&gt;=100000), " ",IF(INDEX($AN$2:$BO$1001,MATCH(ROWS($AG$2:AG692),$AG$2:$AG$1001,0),MATCH(COLUMNS($AN$1006:BM1006),$AN$1006:$BO$1006,0)), HYPERLINK("#",""), HYPERLINK(CONCATENATE("#Metadata!", ADDRESS(INDEX($AI$2:$AI$1001,MATCH(ROWS($AG$2:AG692),$AG$2:$AG$1001,0),0), INDEX($AN$1004:$BO$1004,1,MATCH(COLUMNS($AN$1006:BM1006),$AN$1006:$BO$1006,0)))),"Fix")))</f>
        <v>0</v>
      </c>
      <c r="AB692" s="4">
        <f>IF(OR(INDEX($AH$2:$AH$1001,MATCH(ROWS($AG$2:AG692),$AG$2:$AG$1001,0),1)&gt;=100000,INDEX($AN$1005:$BO$1005,1,MATCH(COLUMNS($AN$1006:BN1006),$AN$1006:$BO$1006,0))&gt;=100000), " ",IF(INDEX($AN$2:$BO$1001,MATCH(ROWS($AG$2:AG692),$AG$2:$AG$1001,0),MATCH(COLUMNS($AN$1006:BN1006),$AN$1006:$BO$1006,0)), HYPERLINK("#",""), HYPERLINK(CONCATENATE("#Metadata!", ADDRESS(INDEX($AI$2:$AI$1001,MATCH(ROWS($AG$2:AG692),$AG$2:$AG$1001,0),0), INDEX($AN$1004:$BO$1004,1,MATCH(COLUMNS($AN$1006:BN1006),$AN$1006:$BO$1006,0)))),"Fix")))</f>
        <v>0</v>
      </c>
      <c r="AC692" s="4">
        <f>IF(OR(INDEX($AH$2:$AH$1001,MATCH(ROWS($AG$2:AG692),$AG$2:$AG$1001,0),1)&gt;=100000,INDEX($AN$1005:$BO$1005,1,MATCH(COLUMNS($AN$1006:BO1006),$AN$1006:$BO$1006,0))&gt;=100000), " ",IF(INDEX($AN$2:$BO$1001,MATCH(ROWS($AG$2:AG692),$AG$2:$AG$1001,0),MATCH(COLUMNS($AN$1006:BO1006),$AN$1006:$BO$1006,0)), HYPERLINK("#",""), HYPERLINK(CONCATENATE("#Metadata!", ADDRESS(INDEX($AI$2:$AI$1001,MATCH(ROWS($AG$2:AG692),$AG$2:$AG$1001,0),0), INDEX($AN$1004:$BO$1004,1,MATCH(COLUMNS($AN$1006:BO1006),$AN$1006:$BO$1006,0)))),"Fix")))</f>
        <v>0</v>
      </c>
      <c r="AG692">
        <v>0</v>
      </c>
      <c r="AH692">
        <v>0</v>
      </c>
      <c r="AI692">
        <v>0</v>
      </c>
      <c r="AJ692">
        <f>IF(AK692,TRUE,AND(AN692:BO692))</f>
        <v>0</v>
      </c>
      <c r="AK692">
        <f>COUNTBLANK(Metadata!B692:AC692)=COLUMNS(Metadata!B692:AC692)</f>
        <v>0</v>
      </c>
      <c r="AL692">
        <v>0</v>
      </c>
      <c r="AN692">
        <f>AND(IF(Metadata!B692="",FALSE,TRUE),COUNTIF(Metadata!B:B, Metadata!B692) = 1,NOT(ISERROR(SUMPRODUCT(SEARCH(MID(Metadata!B692,ROW(INDIRECT("1:"&amp;LEN(Metadata!B692))), 1),"0123456789abcdefghijklmnopqrstuvwxyzABCDEFGHIJKLMNOPQRSTUVWXYZ.")))))</f>
        <v>0</v>
      </c>
      <c r="AO692">
        <f>IF(Metadata!C692="",FALSE,TRUE)</f>
        <v>0</v>
      </c>
      <c r="AP692">
        <f>IF(Metadata!D692="",FALSE,TRUE)</f>
        <v>0</v>
      </c>
      <c r="AQ692">
        <f>OR(AND(IF(Metadata!E692="",FALSE,TRUE),OR(exact(Metadata!E692,"not collected"),exact(Metadata!E692,"not provided"),exact(Metadata!E692,"restricted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R692">
        <f>IF(Metadata!F692="",FALSE,TRUE)</f>
        <v>0</v>
      </c>
      <c r="AS692">
        <f>OR(AND(IF(Metadata!G692="",FALSE,TRUE),OR(exact(Metadata!G692,"not collected"),exact(Metadata!G692,"not provided"))),AND(IF(Metadata!G692="",FALSE,TRUE),OR(exact(Metadata!G692,"TRUE"),exact(Metadata!G692,"FALSE"))))</f>
        <v>0</v>
      </c>
      <c r="AT692">
        <f>OR(AND(IF(Metadata!H692="",FALSE,TRUE),OR(exact(Metadata!H692,"not collected"),exact(Metadata!H692,"not provided"),exact(Metadata!H692,"restricted access"))),AND(IF(Metadata!H692="",FALSE,ISNUMBER(VALUE(Metadata!H692))),Metadata!H692&gt;=-413.0))</f>
        <v>0</v>
      </c>
      <c r="AU692">
        <f>AND(IF(Metadata!I692="",FALSE,TRUE),exact(Metadata!I692,"meters"))</f>
        <v>0</v>
      </c>
      <c r="AV692">
        <f>AND(IF(Metadata!J692="",FALSE,TRUE),OR(exact(Metadata!J692,"Host-associated"),exact(Metadata!J692,"Free-living")))</f>
        <v>0</v>
      </c>
      <c r="AW692">
        <f>AND(IF(Metadata!K692="",FALSE,TRUE),OR(exact(Metadata!K692,"Animal"),exact(Metadata!K692,"Fungus"),exact(Metadata!K692,"Plant"),exact(Metadata!K692,"Saline"),exact(Metadata!K692,"Non-saline")))</f>
        <v>0</v>
      </c>
      <c r="AX692">
        <f>AND(IF(Metadata!L692="",FALSE,TRUE),OR(exact(Metadata!L692,"Plant secretion"),exact(Metadata!L692,"Plant rhizosphere"),exact(Metadata!L692,"Plant surface"),exact(Metadata!L692,"Plant corpus"),exact(Metadata!L692,"Fungus surface"),exact(Metadata!L692,"Fungus corpus"),exact(Metadata!L692,"Animal surface"),exact(Metadata!L692,"Animal proximal gut"),exact(Metadata!L692,"Animal corpus"),exact(Metadata!L692,"Animal distal gut"),exact(Metadata!L692,"Animal secretion"),exact(Metadata!L692,"Sub-surface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Y692">
        <f>IF(Metadata!M692="",FALSE,TRUE)</f>
        <v>0</v>
      </c>
      <c r="AZ692">
        <f>IF(Metadata!N692="",FALSE,TRUE)</f>
        <v>0</v>
      </c>
      <c r="BA692">
        <f>IF(Metadata!O692="",FALSE,TRUE)</f>
        <v>0</v>
      </c>
      <c r="BB692">
        <f>OR(AND(IF(Metadata!P692="",FALSE,TRUE),OR(exact(Metadata!P692,"not collected"),exact(Metadata!P692,"not provided"),exact(Metadata!P692,"restricted access"))),AND(IF(Metadata!P692="",FALSE,TRUE),OR(exact(Metadata!P692,"air"),exact(Metadata!P692,"built environment"),exact(Metadata!P692,"host-associated"),exact(Metadata!P692,"human-associated"),exact(Metadata!P692,"human-skin"),exact(Metadata!P692,"human-oral"),exact(Metadata!P692,"human-gut"),exact(Metadata!P692,"human-vaginal"),exact(Metadata!P692,"microbial mat/biofilm"),exact(Metadata!P692,"misc environment"),exact(Metadata!P692,"plant-associated"),exact(Metadata!P692,"sediment"),exact(Metadata!P692,"soil"),exact(Metadata!P692,"wastewater/sludge"),exact(Metadata!P692,"water"))))</f>
        <v>0</v>
      </c>
      <c r="BC692">
        <f>IF(Metadata!Q692="",FALSE,TRUE)</f>
        <v>0</v>
      </c>
      <c r="BD692">
        <f>IF(Metadata!R692="",FALSE,TRUE)</f>
        <v>0</v>
      </c>
      <c r="BE692">
        <f>OR(AND(IF(Metadata!S692="",FALSE,TRUE),OR(exact(Metadata!S692,"not collected"),exact(Metadata!S692,"not provided"),exact(Metadata!S692,"restricted access"))),AND(IF(Metadata!S692="",FALSE,ISNUMBER(VALUE(Metadata!S692))),Metadata!S692&gt;=-90.00,Metadata!S692&lt;=90.00))</f>
        <v>0</v>
      </c>
      <c r="BF692">
        <f>AND(IF(Metadata!T692="",FALSE,TRUE),exact(Metadata!T692,"Decimal degrees"))</f>
        <v>0</v>
      </c>
      <c r="BG692">
        <f>OR(AND(IF(Metadata!U692="",FALSE,TRUE),OR(exact(Metadata!U692,"not collected"),exact(Metadata!U692,"not provided"),exact(Metadata!U692,"restricted access"))),AND(IF(Metadata!U692="",FALSE,ISNUMBER(VALUE(Metadata!U692))),Metadata!U692&gt;=-180.00,Metadata!U692&lt;=180.00))</f>
        <v>0</v>
      </c>
      <c r="BH692">
        <f>AND(IF(Metadata!V692="",FALSE,TRUE),exact(Metadata!V692,"Decimal degrees"))</f>
        <v>0</v>
      </c>
      <c r="BI692">
        <f>IF(Metadata!W692="",FALSE,TRUE)</f>
        <v>0</v>
      </c>
      <c r="BJ692">
        <f>OR(AND(IF(Metadata!X692="",FALSE,TRUE),OR(exact(Metadata!X692,"not collected"),exact(Metadata!X692,"not provided"),exact(Metadata!X692,"restricted access"))),AND(IF(Metadata!X692="",FALSE,TRUE),OR(exact(Metadata!X692,"TRUE"),exact(Metadata!X692,"FALSE"))))</f>
        <v>0</v>
      </c>
      <c r="BK692">
        <f>AND(IF(Metadata!Y692="",FALSE,TRUE),exact(Metadata!Y692,"other"))</f>
        <v>0</v>
      </c>
      <c r="BL692">
        <f>IF(Metadata!Z692="",FALSE,TRUE)</f>
        <v>0</v>
      </c>
      <c r="BM692">
        <f>OR(AND(IF(Metadata!AA692="",FALSE,TRUE),OR(exact(Metadata!AA692,"not collected"),exact(Metadata!AA692,"not provided"))),AND(IF(Metadata!AA692="",FALSE,IF(ISERROR(INT(Metadata!AA692)),FALSE,INT(Metadata!AA692)=Metadata!AA692)),Metadata!AA692&gt;0))</f>
        <v>0</v>
      </c>
      <c r="BN692">
        <f>AND(IF(Metadata!AB692="",FALSE,TRUE),exact(Metadata!AB692,"Not applicable"))</f>
        <v>0</v>
      </c>
      <c r="BO692">
        <f>IF(Metadata!AC692="",FALSE,TRUE)</f>
        <v>0</v>
      </c>
    </row>
    <row r="693" spans="1:67">
      <c r="A693" s="5">
        <f>IF(B693=" "," ",HYPERLINK(CONCATENATE("#metadata!",ADDRESS(INDEX($AI$2:$AI$1001,MATCH(ROWS($AG$2:AG693),$AG$2:$AG$1001,0),0),1)),INDEX($AL$2:$AL$1001,MATCH(ROWS($AG$2:AG693),$AG$2:$AG$1001,0),0)))</f>
        <v>0</v>
      </c>
      <c r="B693" s="4">
        <f>IF(OR(INDEX($AH$2:$AH$1001,MATCH(ROWS($AG$2:AG693),$AG$2:$AG$1001,0),1)&gt;=100000,INDEX($AN$1005:$BO$1005,1,MATCH(COLUMNS($AN$1006:AN1006),$AN$1006:$BO$1006,0))&gt;=100000), " ",IF(INDEX($AN$2:$BO$1001,MATCH(ROWS($AG$2:AG693),$AG$2:$AG$1001,0),MATCH(COLUMNS($AN$1006:AN1006),$AN$1006:$BO$1006,0)), HYPERLINK("#",""), HYPERLINK(CONCATENATE("#Metadata!", ADDRESS(INDEX($AI$2:$AI$1001,MATCH(ROWS($AG$2:AG693),$AG$2:$AG$1001,0),0), INDEX($AN$1004:$BO$1004,1,MATCH(COLUMNS($AN$1006:AN1006),$AN$1006:$BO$1006,0)))),"Fix")))</f>
        <v>0</v>
      </c>
      <c r="C693" s="4">
        <f>IF(OR(INDEX($AH$2:$AH$1001,MATCH(ROWS($AG$2:AG693),$AG$2:$AG$1001,0),1)&gt;=100000,INDEX($AN$1005:$BO$1005,1,MATCH(COLUMNS($AN$1006:AO1006),$AN$1006:$BO$1006,0))&gt;=100000), " ",IF(INDEX($AN$2:$BO$1001,MATCH(ROWS($AG$2:AG693),$AG$2:$AG$1001,0),MATCH(COLUMNS($AN$1006:AO1006),$AN$1006:$BO$1006,0)), HYPERLINK("#",""), HYPERLINK(CONCATENATE("#Metadata!", ADDRESS(INDEX($AI$2:$AI$1001,MATCH(ROWS($AG$2:AG693),$AG$2:$AG$1001,0),0), INDEX($AN$1004:$BO$1004,1,MATCH(COLUMNS($AN$1006:AO1006),$AN$1006:$BO$1006,0)))),"Fix")))</f>
        <v>0</v>
      </c>
      <c r="D693" s="4">
        <f>IF(OR(INDEX($AH$2:$AH$1001,MATCH(ROWS($AG$2:AG693),$AG$2:$AG$1001,0),1)&gt;=100000,INDEX($AN$1005:$BO$1005,1,MATCH(COLUMNS($AN$1006:AP1006),$AN$1006:$BO$1006,0))&gt;=100000), " ",IF(INDEX($AN$2:$BO$1001,MATCH(ROWS($AG$2:AG693),$AG$2:$AG$1001,0),MATCH(COLUMNS($AN$1006:AP1006),$AN$1006:$BO$1006,0)), HYPERLINK("#",""), HYPERLINK(CONCATENATE("#Metadata!", ADDRESS(INDEX($AI$2:$AI$1001,MATCH(ROWS($AG$2:AG693),$AG$2:$AG$1001,0),0), INDEX($AN$1004:$BO$1004,1,MATCH(COLUMNS($AN$1006:AP1006),$AN$1006:$BO$1006,0)))),"Fix")))</f>
        <v>0</v>
      </c>
      <c r="E693" s="4">
        <f>IF(OR(INDEX($AH$2:$AH$1001,MATCH(ROWS($AG$2:AG693),$AG$2:$AG$1001,0),1)&gt;=100000,INDEX($AN$1005:$BO$1005,1,MATCH(COLUMNS($AN$1006:AQ1006),$AN$1006:$BO$1006,0))&gt;=100000), " ",IF(INDEX($AN$2:$BO$1001,MATCH(ROWS($AG$2:AG693),$AG$2:$AG$1001,0),MATCH(COLUMNS($AN$1006:AQ1006),$AN$1006:$BO$1006,0)), HYPERLINK("#",""), HYPERLINK(CONCATENATE("#Metadata!", ADDRESS(INDEX($AI$2:$AI$1001,MATCH(ROWS($AG$2:AG693),$AG$2:$AG$1001,0),0), INDEX($AN$1004:$BO$1004,1,MATCH(COLUMNS($AN$1006:AQ1006),$AN$1006:$BO$1006,0)))),"Fix")))</f>
        <v>0</v>
      </c>
      <c r="F693" s="4">
        <f>IF(OR(INDEX($AH$2:$AH$1001,MATCH(ROWS($AG$2:AG693),$AG$2:$AG$1001,0),1)&gt;=100000,INDEX($AN$1005:$BO$1005,1,MATCH(COLUMNS($AN$1006:AR1006),$AN$1006:$BO$1006,0))&gt;=100000), " ",IF(INDEX($AN$2:$BO$1001,MATCH(ROWS($AG$2:AG693),$AG$2:$AG$1001,0),MATCH(COLUMNS($AN$1006:AR1006),$AN$1006:$BO$1006,0)), HYPERLINK("#",""), HYPERLINK(CONCATENATE("#Metadata!", ADDRESS(INDEX($AI$2:$AI$1001,MATCH(ROWS($AG$2:AG693),$AG$2:$AG$1001,0),0), INDEX($AN$1004:$BO$1004,1,MATCH(COLUMNS($AN$1006:AR1006),$AN$1006:$BO$1006,0)))),"Fix")))</f>
        <v>0</v>
      </c>
      <c r="G693" s="4">
        <f>IF(OR(INDEX($AH$2:$AH$1001,MATCH(ROWS($AG$2:AG693),$AG$2:$AG$1001,0),1)&gt;=100000,INDEX($AN$1005:$BO$1005,1,MATCH(COLUMNS($AN$1006:AS1006),$AN$1006:$BO$1006,0))&gt;=100000), " ",IF(INDEX($AN$2:$BO$1001,MATCH(ROWS($AG$2:AG693),$AG$2:$AG$1001,0),MATCH(COLUMNS($AN$1006:AS1006),$AN$1006:$BO$1006,0)), HYPERLINK("#",""), HYPERLINK(CONCATENATE("#Metadata!", ADDRESS(INDEX($AI$2:$AI$1001,MATCH(ROWS($AG$2:AG693),$AG$2:$AG$1001,0),0), INDEX($AN$1004:$BO$1004,1,MATCH(COLUMNS($AN$1006:AS1006),$AN$1006:$BO$1006,0)))),"Fix")))</f>
        <v>0</v>
      </c>
      <c r="H693" s="4">
        <f>IF(OR(INDEX($AH$2:$AH$1001,MATCH(ROWS($AG$2:AG693),$AG$2:$AG$1001,0),1)&gt;=100000,INDEX($AN$1005:$BO$1005,1,MATCH(COLUMNS($AN$1006:AT1006),$AN$1006:$BO$1006,0))&gt;=100000), " ",IF(INDEX($AN$2:$BO$1001,MATCH(ROWS($AG$2:AG693),$AG$2:$AG$1001,0),MATCH(COLUMNS($AN$1006:AT1006),$AN$1006:$BO$1006,0)), HYPERLINK("#",""), HYPERLINK(CONCATENATE("#Metadata!", ADDRESS(INDEX($AI$2:$AI$1001,MATCH(ROWS($AG$2:AG693),$AG$2:$AG$1001,0),0), INDEX($AN$1004:$BO$1004,1,MATCH(COLUMNS($AN$1006:AT1006),$AN$1006:$BO$1006,0)))),"Fix")))</f>
        <v>0</v>
      </c>
      <c r="I693" s="4">
        <f>IF(OR(INDEX($AH$2:$AH$1001,MATCH(ROWS($AG$2:AG693),$AG$2:$AG$1001,0),1)&gt;=100000,INDEX($AN$1005:$BO$1005,1,MATCH(COLUMNS($AN$1006:AU1006),$AN$1006:$BO$1006,0))&gt;=100000), " ",IF(INDEX($AN$2:$BO$1001,MATCH(ROWS($AG$2:AG693),$AG$2:$AG$1001,0),MATCH(COLUMNS($AN$1006:AU1006),$AN$1006:$BO$1006,0)), HYPERLINK("#",""), HYPERLINK(CONCATENATE("#Metadata!", ADDRESS(INDEX($AI$2:$AI$1001,MATCH(ROWS($AG$2:AG693),$AG$2:$AG$1001,0),0), INDEX($AN$1004:$BO$1004,1,MATCH(COLUMNS($AN$1006:AU1006),$AN$1006:$BO$1006,0)))),"Fix")))</f>
        <v>0</v>
      </c>
      <c r="J693" s="4">
        <f>IF(OR(INDEX($AH$2:$AH$1001,MATCH(ROWS($AG$2:AG693),$AG$2:$AG$1001,0),1)&gt;=100000,INDEX($AN$1005:$BO$1005,1,MATCH(COLUMNS($AN$1006:AV1006),$AN$1006:$BO$1006,0))&gt;=100000), " ",IF(INDEX($AN$2:$BO$1001,MATCH(ROWS($AG$2:AG693),$AG$2:$AG$1001,0),MATCH(COLUMNS($AN$1006:AV1006),$AN$1006:$BO$1006,0)), HYPERLINK("#",""), HYPERLINK(CONCATENATE("#Metadata!", ADDRESS(INDEX($AI$2:$AI$1001,MATCH(ROWS($AG$2:AG693),$AG$2:$AG$1001,0),0), INDEX($AN$1004:$BO$1004,1,MATCH(COLUMNS($AN$1006:AV1006),$AN$1006:$BO$1006,0)))),"Fix")))</f>
        <v>0</v>
      </c>
      <c r="K693" s="4">
        <f>IF(OR(INDEX($AH$2:$AH$1001,MATCH(ROWS($AG$2:AG693),$AG$2:$AG$1001,0),1)&gt;=100000,INDEX($AN$1005:$BO$1005,1,MATCH(COLUMNS($AN$1006:AW1006),$AN$1006:$BO$1006,0))&gt;=100000), " ",IF(INDEX($AN$2:$BO$1001,MATCH(ROWS($AG$2:AG693),$AG$2:$AG$1001,0),MATCH(COLUMNS($AN$1006:AW1006),$AN$1006:$BO$1006,0)), HYPERLINK("#",""), HYPERLINK(CONCATENATE("#Metadata!", ADDRESS(INDEX($AI$2:$AI$1001,MATCH(ROWS($AG$2:AG693),$AG$2:$AG$1001,0),0), INDEX($AN$1004:$BO$1004,1,MATCH(COLUMNS($AN$1006:AW1006),$AN$1006:$BO$1006,0)))),"Fix")))</f>
        <v>0</v>
      </c>
      <c r="L693" s="4">
        <f>IF(OR(INDEX($AH$2:$AH$1001,MATCH(ROWS($AG$2:AG693),$AG$2:$AG$1001,0),1)&gt;=100000,INDEX($AN$1005:$BO$1005,1,MATCH(COLUMNS($AN$1006:AX1006),$AN$1006:$BO$1006,0))&gt;=100000), " ",IF(INDEX($AN$2:$BO$1001,MATCH(ROWS($AG$2:AG693),$AG$2:$AG$1001,0),MATCH(COLUMNS($AN$1006:AX1006),$AN$1006:$BO$1006,0)), HYPERLINK("#",""), HYPERLINK(CONCATENATE("#Metadata!", ADDRESS(INDEX($AI$2:$AI$1001,MATCH(ROWS($AG$2:AG693),$AG$2:$AG$1001,0),0), INDEX($AN$1004:$BO$1004,1,MATCH(COLUMNS($AN$1006:AX1006),$AN$1006:$BO$1006,0)))),"Fix")))</f>
        <v>0</v>
      </c>
      <c r="M693" s="4">
        <f>IF(OR(INDEX($AH$2:$AH$1001,MATCH(ROWS($AG$2:AG693),$AG$2:$AG$1001,0),1)&gt;=100000,INDEX($AN$1005:$BO$1005,1,MATCH(COLUMNS($AN$1006:AY1006),$AN$1006:$BO$1006,0))&gt;=100000), " ",IF(INDEX($AN$2:$BO$1001,MATCH(ROWS($AG$2:AG693),$AG$2:$AG$1001,0),MATCH(COLUMNS($AN$1006:AY1006),$AN$1006:$BO$1006,0)), HYPERLINK("#",""), HYPERLINK(CONCATENATE("#Metadata!", ADDRESS(INDEX($AI$2:$AI$1001,MATCH(ROWS($AG$2:AG693),$AG$2:$AG$1001,0),0), INDEX($AN$1004:$BO$1004,1,MATCH(COLUMNS($AN$1006:AY1006),$AN$1006:$BO$1006,0)))),"Fix")))</f>
        <v>0</v>
      </c>
      <c r="N693" s="4">
        <f>IF(OR(INDEX($AH$2:$AH$1001,MATCH(ROWS($AG$2:AG693),$AG$2:$AG$1001,0),1)&gt;=100000,INDEX($AN$1005:$BO$1005,1,MATCH(COLUMNS($AN$1006:AZ1006),$AN$1006:$BO$1006,0))&gt;=100000), " ",IF(INDEX($AN$2:$BO$1001,MATCH(ROWS($AG$2:AG693),$AG$2:$AG$1001,0),MATCH(COLUMNS($AN$1006:AZ1006),$AN$1006:$BO$1006,0)), HYPERLINK("#",""), HYPERLINK(CONCATENATE("#Metadata!", ADDRESS(INDEX($AI$2:$AI$1001,MATCH(ROWS($AG$2:AG693),$AG$2:$AG$1001,0),0), INDEX($AN$1004:$BO$1004,1,MATCH(COLUMNS($AN$1006:AZ1006),$AN$1006:$BO$1006,0)))),"Fix")))</f>
        <v>0</v>
      </c>
      <c r="O693" s="4">
        <f>IF(OR(INDEX($AH$2:$AH$1001,MATCH(ROWS($AG$2:AG693),$AG$2:$AG$1001,0),1)&gt;=100000,INDEX($AN$1005:$BO$1005,1,MATCH(COLUMNS($AN$1006:BA1006),$AN$1006:$BO$1006,0))&gt;=100000), " ",IF(INDEX($AN$2:$BO$1001,MATCH(ROWS($AG$2:AG693),$AG$2:$AG$1001,0),MATCH(COLUMNS($AN$1006:BA1006),$AN$1006:$BO$1006,0)), HYPERLINK("#",""), HYPERLINK(CONCATENATE("#Metadata!", ADDRESS(INDEX($AI$2:$AI$1001,MATCH(ROWS($AG$2:AG693),$AG$2:$AG$1001,0),0), INDEX($AN$1004:$BO$1004,1,MATCH(COLUMNS($AN$1006:BA1006),$AN$1006:$BO$1006,0)))),"Fix")))</f>
        <v>0</v>
      </c>
      <c r="P693" s="4">
        <f>IF(OR(INDEX($AH$2:$AH$1001,MATCH(ROWS($AG$2:AG693),$AG$2:$AG$1001,0),1)&gt;=100000,INDEX($AN$1005:$BO$1005,1,MATCH(COLUMNS($AN$1006:BB1006),$AN$1006:$BO$1006,0))&gt;=100000), " ",IF(INDEX($AN$2:$BO$1001,MATCH(ROWS($AG$2:AG693),$AG$2:$AG$1001,0),MATCH(COLUMNS($AN$1006:BB1006),$AN$1006:$BO$1006,0)), HYPERLINK("#",""), HYPERLINK(CONCATENATE("#Metadata!", ADDRESS(INDEX($AI$2:$AI$1001,MATCH(ROWS($AG$2:AG693),$AG$2:$AG$1001,0),0), INDEX($AN$1004:$BO$1004,1,MATCH(COLUMNS($AN$1006:BB1006),$AN$1006:$BO$1006,0)))),"Fix")))</f>
        <v>0</v>
      </c>
      <c r="Q693" s="4">
        <f>IF(OR(INDEX($AH$2:$AH$1001,MATCH(ROWS($AG$2:AG693),$AG$2:$AG$1001,0),1)&gt;=100000,INDEX($AN$1005:$BO$1005,1,MATCH(COLUMNS($AN$1006:BC1006),$AN$1006:$BO$1006,0))&gt;=100000), " ",IF(INDEX($AN$2:$BO$1001,MATCH(ROWS($AG$2:AG693),$AG$2:$AG$1001,0),MATCH(COLUMNS($AN$1006:BC1006),$AN$1006:$BO$1006,0)), HYPERLINK("#",""), HYPERLINK(CONCATENATE("#Metadata!", ADDRESS(INDEX($AI$2:$AI$1001,MATCH(ROWS($AG$2:AG693),$AG$2:$AG$1001,0),0), INDEX($AN$1004:$BO$1004,1,MATCH(COLUMNS($AN$1006:BC1006),$AN$1006:$BO$1006,0)))),"Fix")))</f>
        <v>0</v>
      </c>
      <c r="R693" s="4">
        <f>IF(OR(INDEX($AH$2:$AH$1001,MATCH(ROWS($AG$2:AG693),$AG$2:$AG$1001,0),1)&gt;=100000,INDEX($AN$1005:$BO$1005,1,MATCH(COLUMNS($AN$1006:BD1006),$AN$1006:$BO$1006,0))&gt;=100000), " ",IF(INDEX($AN$2:$BO$1001,MATCH(ROWS($AG$2:AG693),$AG$2:$AG$1001,0),MATCH(COLUMNS($AN$1006:BD1006),$AN$1006:$BO$1006,0)), HYPERLINK("#",""), HYPERLINK(CONCATENATE("#Metadata!", ADDRESS(INDEX($AI$2:$AI$1001,MATCH(ROWS($AG$2:AG693),$AG$2:$AG$1001,0),0), INDEX($AN$1004:$BO$1004,1,MATCH(COLUMNS($AN$1006:BD1006),$AN$1006:$BO$1006,0)))),"Fix")))</f>
        <v>0</v>
      </c>
      <c r="S693" s="4">
        <f>IF(OR(INDEX($AH$2:$AH$1001,MATCH(ROWS($AG$2:AG693),$AG$2:$AG$1001,0),1)&gt;=100000,INDEX($AN$1005:$BO$1005,1,MATCH(COLUMNS($AN$1006:BE1006),$AN$1006:$BO$1006,0))&gt;=100000), " ",IF(INDEX($AN$2:$BO$1001,MATCH(ROWS($AG$2:AG693),$AG$2:$AG$1001,0),MATCH(COLUMNS($AN$1006:BE1006),$AN$1006:$BO$1006,0)), HYPERLINK("#",""), HYPERLINK(CONCATENATE("#Metadata!", ADDRESS(INDEX($AI$2:$AI$1001,MATCH(ROWS($AG$2:AG693),$AG$2:$AG$1001,0),0), INDEX($AN$1004:$BO$1004,1,MATCH(COLUMNS($AN$1006:BE1006),$AN$1006:$BO$1006,0)))),"Fix")))</f>
        <v>0</v>
      </c>
      <c r="T693" s="4">
        <f>IF(OR(INDEX($AH$2:$AH$1001,MATCH(ROWS($AG$2:AG693),$AG$2:$AG$1001,0),1)&gt;=100000,INDEX($AN$1005:$BO$1005,1,MATCH(COLUMNS($AN$1006:BF1006),$AN$1006:$BO$1006,0))&gt;=100000), " ",IF(INDEX($AN$2:$BO$1001,MATCH(ROWS($AG$2:AG693),$AG$2:$AG$1001,0),MATCH(COLUMNS($AN$1006:BF1006),$AN$1006:$BO$1006,0)), HYPERLINK("#",""), HYPERLINK(CONCATENATE("#Metadata!", ADDRESS(INDEX($AI$2:$AI$1001,MATCH(ROWS($AG$2:AG693),$AG$2:$AG$1001,0),0), INDEX($AN$1004:$BO$1004,1,MATCH(COLUMNS($AN$1006:BF1006),$AN$1006:$BO$1006,0)))),"Fix")))</f>
        <v>0</v>
      </c>
      <c r="U693" s="4">
        <f>IF(OR(INDEX($AH$2:$AH$1001,MATCH(ROWS($AG$2:AG693),$AG$2:$AG$1001,0),1)&gt;=100000,INDEX($AN$1005:$BO$1005,1,MATCH(COLUMNS($AN$1006:BG1006),$AN$1006:$BO$1006,0))&gt;=100000), " ",IF(INDEX($AN$2:$BO$1001,MATCH(ROWS($AG$2:AG693),$AG$2:$AG$1001,0),MATCH(COLUMNS($AN$1006:BG1006),$AN$1006:$BO$1006,0)), HYPERLINK("#",""), HYPERLINK(CONCATENATE("#Metadata!", ADDRESS(INDEX($AI$2:$AI$1001,MATCH(ROWS($AG$2:AG693),$AG$2:$AG$1001,0),0), INDEX($AN$1004:$BO$1004,1,MATCH(COLUMNS($AN$1006:BG1006),$AN$1006:$BO$1006,0)))),"Fix")))</f>
        <v>0</v>
      </c>
      <c r="V693" s="4">
        <f>IF(OR(INDEX($AH$2:$AH$1001,MATCH(ROWS($AG$2:AG693),$AG$2:$AG$1001,0),1)&gt;=100000,INDEX($AN$1005:$BO$1005,1,MATCH(COLUMNS($AN$1006:BH1006),$AN$1006:$BO$1006,0))&gt;=100000), " ",IF(INDEX($AN$2:$BO$1001,MATCH(ROWS($AG$2:AG693),$AG$2:$AG$1001,0),MATCH(COLUMNS($AN$1006:BH1006),$AN$1006:$BO$1006,0)), HYPERLINK("#",""), HYPERLINK(CONCATENATE("#Metadata!", ADDRESS(INDEX($AI$2:$AI$1001,MATCH(ROWS($AG$2:AG693),$AG$2:$AG$1001,0),0), INDEX($AN$1004:$BO$1004,1,MATCH(COLUMNS($AN$1006:BH1006),$AN$1006:$BO$1006,0)))),"Fix")))</f>
        <v>0</v>
      </c>
      <c r="W693" s="4">
        <f>IF(OR(INDEX($AH$2:$AH$1001,MATCH(ROWS($AG$2:AG693),$AG$2:$AG$1001,0),1)&gt;=100000,INDEX($AN$1005:$BO$1005,1,MATCH(COLUMNS($AN$1006:BI1006),$AN$1006:$BO$1006,0))&gt;=100000), " ",IF(INDEX($AN$2:$BO$1001,MATCH(ROWS($AG$2:AG693),$AG$2:$AG$1001,0),MATCH(COLUMNS($AN$1006:BI1006),$AN$1006:$BO$1006,0)), HYPERLINK("#",""), HYPERLINK(CONCATENATE("#Metadata!", ADDRESS(INDEX($AI$2:$AI$1001,MATCH(ROWS($AG$2:AG693),$AG$2:$AG$1001,0),0), INDEX($AN$1004:$BO$1004,1,MATCH(COLUMNS($AN$1006:BI1006),$AN$1006:$BO$1006,0)))),"Fix")))</f>
        <v>0</v>
      </c>
      <c r="X693" s="4">
        <f>IF(OR(INDEX($AH$2:$AH$1001,MATCH(ROWS($AG$2:AG693),$AG$2:$AG$1001,0),1)&gt;=100000,INDEX($AN$1005:$BO$1005,1,MATCH(COLUMNS($AN$1006:BJ1006),$AN$1006:$BO$1006,0))&gt;=100000), " ",IF(INDEX($AN$2:$BO$1001,MATCH(ROWS($AG$2:AG693),$AG$2:$AG$1001,0),MATCH(COLUMNS($AN$1006:BJ1006),$AN$1006:$BO$1006,0)), HYPERLINK("#",""), HYPERLINK(CONCATENATE("#Metadata!", ADDRESS(INDEX($AI$2:$AI$1001,MATCH(ROWS($AG$2:AG693),$AG$2:$AG$1001,0),0), INDEX($AN$1004:$BO$1004,1,MATCH(COLUMNS($AN$1006:BJ1006),$AN$1006:$BO$1006,0)))),"Fix")))</f>
        <v>0</v>
      </c>
      <c r="Y693" s="4">
        <f>IF(OR(INDEX($AH$2:$AH$1001,MATCH(ROWS($AG$2:AG693),$AG$2:$AG$1001,0),1)&gt;=100000,INDEX($AN$1005:$BO$1005,1,MATCH(COLUMNS($AN$1006:BK1006),$AN$1006:$BO$1006,0))&gt;=100000), " ",IF(INDEX($AN$2:$BO$1001,MATCH(ROWS($AG$2:AG693),$AG$2:$AG$1001,0),MATCH(COLUMNS($AN$1006:BK1006),$AN$1006:$BO$1006,0)), HYPERLINK("#",""), HYPERLINK(CONCATENATE("#Metadata!", ADDRESS(INDEX($AI$2:$AI$1001,MATCH(ROWS($AG$2:AG693),$AG$2:$AG$1001,0),0), INDEX($AN$1004:$BO$1004,1,MATCH(COLUMNS($AN$1006:BK1006),$AN$1006:$BO$1006,0)))),"Fix")))</f>
        <v>0</v>
      </c>
      <c r="Z693" s="4">
        <f>IF(OR(INDEX($AH$2:$AH$1001,MATCH(ROWS($AG$2:AG693),$AG$2:$AG$1001,0),1)&gt;=100000,INDEX($AN$1005:$BO$1005,1,MATCH(COLUMNS($AN$1006:BL1006),$AN$1006:$BO$1006,0))&gt;=100000), " ",IF(INDEX($AN$2:$BO$1001,MATCH(ROWS($AG$2:AG693),$AG$2:$AG$1001,0),MATCH(COLUMNS($AN$1006:BL1006),$AN$1006:$BO$1006,0)), HYPERLINK("#",""), HYPERLINK(CONCATENATE("#Metadata!", ADDRESS(INDEX($AI$2:$AI$1001,MATCH(ROWS($AG$2:AG693),$AG$2:$AG$1001,0),0), INDEX($AN$1004:$BO$1004,1,MATCH(COLUMNS($AN$1006:BL1006),$AN$1006:$BO$1006,0)))),"Fix")))</f>
        <v>0</v>
      </c>
      <c r="AA693" s="4">
        <f>IF(OR(INDEX($AH$2:$AH$1001,MATCH(ROWS($AG$2:AG693),$AG$2:$AG$1001,0),1)&gt;=100000,INDEX($AN$1005:$BO$1005,1,MATCH(COLUMNS($AN$1006:BM1006),$AN$1006:$BO$1006,0))&gt;=100000), " ",IF(INDEX($AN$2:$BO$1001,MATCH(ROWS($AG$2:AG693),$AG$2:$AG$1001,0),MATCH(COLUMNS($AN$1006:BM1006),$AN$1006:$BO$1006,0)), HYPERLINK("#",""), HYPERLINK(CONCATENATE("#Metadata!", ADDRESS(INDEX($AI$2:$AI$1001,MATCH(ROWS($AG$2:AG693),$AG$2:$AG$1001,0),0), INDEX($AN$1004:$BO$1004,1,MATCH(COLUMNS($AN$1006:BM1006),$AN$1006:$BO$1006,0)))),"Fix")))</f>
        <v>0</v>
      </c>
      <c r="AB693" s="4">
        <f>IF(OR(INDEX($AH$2:$AH$1001,MATCH(ROWS($AG$2:AG693),$AG$2:$AG$1001,0),1)&gt;=100000,INDEX($AN$1005:$BO$1005,1,MATCH(COLUMNS($AN$1006:BN1006),$AN$1006:$BO$1006,0))&gt;=100000), " ",IF(INDEX($AN$2:$BO$1001,MATCH(ROWS($AG$2:AG693),$AG$2:$AG$1001,0),MATCH(COLUMNS($AN$1006:BN1006),$AN$1006:$BO$1006,0)), HYPERLINK("#",""), HYPERLINK(CONCATENATE("#Metadata!", ADDRESS(INDEX($AI$2:$AI$1001,MATCH(ROWS($AG$2:AG693),$AG$2:$AG$1001,0),0), INDEX($AN$1004:$BO$1004,1,MATCH(COLUMNS($AN$1006:BN1006),$AN$1006:$BO$1006,0)))),"Fix")))</f>
        <v>0</v>
      </c>
      <c r="AC693" s="4">
        <f>IF(OR(INDEX($AH$2:$AH$1001,MATCH(ROWS($AG$2:AG693),$AG$2:$AG$1001,0),1)&gt;=100000,INDEX($AN$1005:$BO$1005,1,MATCH(COLUMNS($AN$1006:BO1006),$AN$1006:$BO$1006,0))&gt;=100000), " ",IF(INDEX($AN$2:$BO$1001,MATCH(ROWS($AG$2:AG693),$AG$2:$AG$1001,0),MATCH(COLUMNS($AN$1006:BO1006),$AN$1006:$BO$1006,0)), HYPERLINK("#",""), HYPERLINK(CONCATENATE("#Metadata!", ADDRESS(INDEX($AI$2:$AI$1001,MATCH(ROWS($AG$2:AG693),$AG$2:$AG$1001,0),0), INDEX($AN$1004:$BO$1004,1,MATCH(COLUMNS($AN$1006:BO1006),$AN$1006:$BO$1006,0)))),"Fix")))</f>
        <v>0</v>
      </c>
      <c r="AG693">
        <v>0</v>
      </c>
      <c r="AH693">
        <v>0</v>
      </c>
      <c r="AI693">
        <v>0</v>
      </c>
      <c r="AJ693">
        <f>IF(AK693,TRUE,AND(AN693:BO693))</f>
        <v>0</v>
      </c>
      <c r="AK693">
        <f>COUNTBLANK(Metadata!B693:AC693)=COLUMNS(Metadata!B693:AC693)</f>
        <v>0</v>
      </c>
      <c r="AL693">
        <v>0</v>
      </c>
      <c r="AN693">
        <f>AND(IF(Metadata!B693="",FALSE,TRUE),COUNTIF(Metadata!B:B, Metadata!B693) = 1,NOT(ISERROR(SUMPRODUCT(SEARCH(MID(Metadata!B693,ROW(INDIRECT("1:"&amp;LEN(Metadata!B693))), 1),"0123456789abcdefghijklmnopqrstuvwxyzABCDEFGHIJKLMNOPQRSTUVWXYZ.")))))</f>
        <v>0</v>
      </c>
      <c r="AO693">
        <f>IF(Metadata!C693="",FALSE,TRUE)</f>
        <v>0</v>
      </c>
      <c r="AP693">
        <f>IF(Metadata!D693="",FALSE,TRUE)</f>
        <v>0</v>
      </c>
      <c r="AQ693">
        <f>OR(AND(IF(Metadata!E693="",FALSE,TRUE),OR(exact(Metadata!E693,"not collected"),exact(Metadata!E693,"not provided"),exact(Metadata!E693,"restricted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R693">
        <f>IF(Metadata!F693="",FALSE,TRUE)</f>
        <v>0</v>
      </c>
      <c r="AS693">
        <f>OR(AND(IF(Metadata!G693="",FALSE,TRUE),OR(exact(Metadata!G693,"not collected"),exact(Metadata!G693,"not provided"))),AND(IF(Metadata!G693="",FALSE,TRUE),OR(exact(Metadata!G693,"TRUE"),exact(Metadata!G693,"FALSE"))))</f>
        <v>0</v>
      </c>
      <c r="AT693">
        <f>OR(AND(IF(Metadata!H693="",FALSE,TRUE),OR(exact(Metadata!H693,"not collected"),exact(Metadata!H693,"not provided"),exact(Metadata!H693,"restricted access"))),AND(IF(Metadata!H693="",FALSE,ISNUMBER(VALUE(Metadata!H693))),Metadata!H693&gt;=-413.0))</f>
        <v>0</v>
      </c>
      <c r="AU693">
        <f>AND(IF(Metadata!I693="",FALSE,TRUE),exact(Metadata!I693,"meters"))</f>
        <v>0</v>
      </c>
      <c r="AV693">
        <f>AND(IF(Metadata!J693="",FALSE,TRUE),OR(exact(Metadata!J693,"Host-associated"),exact(Metadata!J693,"Free-living")))</f>
        <v>0</v>
      </c>
      <c r="AW693">
        <f>AND(IF(Metadata!K693="",FALSE,TRUE),OR(exact(Metadata!K693,"Animal"),exact(Metadata!K693,"Fungus"),exact(Metadata!K693,"Plant"),exact(Metadata!K693,"Saline"),exact(Metadata!K693,"Non-saline")))</f>
        <v>0</v>
      </c>
      <c r="AX693">
        <f>AND(IF(Metadata!L693="",FALSE,TRUE),OR(exact(Metadata!L693,"Plant secretion"),exact(Metadata!L693,"Plant rhizosphere"),exact(Metadata!L693,"Plant surface"),exact(Metadata!L693,"Plant corpus"),exact(Metadata!L693,"Fungus surface"),exact(Metadata!L693,"Fungus corpus"),exact(Metadata!L693,"Animal surface"),exact(Metadata!L693,"Animal proximal gut"),exact(Metadata!L693,"Animal corpus"),exact(Metadata!L693,"Animal distal gut"),exact(Metadata!L693,"Animal secretion"),exact(Metadata!L693,"Sub-surface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Y693">
        <f>IF(Metadata!M693="",FALSE,TRUE)</f>
        <v>0</v>
      </c>
      <c r="AZ693">
        <f>IF(Metadata!N693="",FALSE,TRUE)</f>
        <v>0</v>
      </c>
      <c r="BA693">
        <f>IF(Metadata!O693="",FALSE,TRUE)</f>
        <v>0</v>
      </c>
      <c r="BB693">
        <f>OR(AND(IF(Metadata!P693="",FALSE,TRUE),OR(exact(Metadata!P693,"not collected"),exact(Metadata!P693,"not provided"),exact(Metadata!P693,"restricted access"))),AND(IF(Metadata!P693="",FALSE,TRUE),OR(exact(Metadata!P693,"air"),exact(Metadata!P693,"built environment"),exact(Metadata!P693,"host-associated"),exact(Metadata!P693,"human-associated"),exact(Metadata!P693,"human-skin"),exact(Metadata!P693,"human-oral"),exact(Metadata!P693,"human-gut"),exact(Metadata!P693,"human-vaginal"),exact(Metadata!P693,"microbial mat/biofilm"),exact(Metadata!P693,"misc environment"),exact(Metadata!P693,"plant-associated"),exact(Metadata!P693,"sediment"),exact(Metadata!P693,"soil"),exact(Metadata!P693,"wastewater/sludge"),exact(Metadata!P693,"water"))))</f>
        <v>0</v>
      </c>
      <c r="BC693">
        <f>IF(Metadata!Q693="",FALSE,TRUE)</f>
        <v>0</v>
      </c>
      <c r="BD693">
        <f>IF(Metadata!R693="",FALSE,TRUE)</f>
        <v>0</v>
      </c>
      <c r="BE693">
        <f>OR(AND(IF(Metadata!S693="",FALSE,TRUE),OR(exact(Metadata!S693,"not collected"),exact(Metadata!S693,"not provided"),exact(Metadata!S693,"restricted access"))),AND(IF(Metadata!S693="",FALSE,ISNUMBER(VALUE(Metadata!S693))),Metadata!S693&gt;=-90.00,Metadata!S693&lt;=90.00))</f>
        <v>0</v>
      </c>
      <c r="BF693">
        <f>AND(IF(Metadata!T693="",FALSE,TRUE),exact(Metadata!T693,"Decimal degrees"))</f>
        <v>0</v>
      </c>
      <c r="BG693">
        <f>OR(AND(IF(Metadata!U693="",FALSE,TRUE),OR(exact(Metadata!U693,"not collected"),exact(Metadata!U693,"not provided"),exact(Metadata!U693,"restricted access"))),AND(IF(Metadata!U693="",FALSE,ISNUMBER(VALUE(Metadata!U693))),Metadata!U693&gt;=-180.00,Metadata!U693&lt;=180.00))</f>
        <v>0</v>
      </c>
      <c r="BH693">
        <f>AND(IF(Metadata!V693="",FALSE,TRUE),exact(Metadata!V693,"Decimal degrees"))</f>
        <v>0</v>
      </c>
      <c r="BI693">
        <f>IF(Metadata!W693="",FALSE,TRUE)</f>
        <v>0</v>
      </c>
      <c r="BJ693">
        <f>OR(AND(IF(Metadata!X693="",FALSE,TRUE),OR(exact(Metadata!X693,"not collected"),exact(Metadata!X693,"not provided"),exact(Metadata!X693,"restricted access"))),AND(IF(Metadata!X693="",FALSE,TRUE),OR(exact(Metadata!X693,"TRUE"),exact(Metadata!X693,"FALSE"))))</f>
        <v>0</v>
      </c>
      <c r="BK693">
        <f>AND(IF(Metadata!Y693="",FALSE,TRUE),exact(Metadata!Y693,"other"))</f>
        <v>0</v>
      </c>
      <c r="BL693">
        <f>IF(Metadata!Z693="",FALSE,TRUE)</f>
        <v>0</v>
      </c>
      <c r="BM693">
        <f>OR(AND(IF(Metadata!AA693="",FALSE,TRUE),OR(exact(Metadata!AA693,"not collected"),exact(Metadata!AA693,"not provided"))),AND(IF(Metadata!AA693="",FALSE,IF(ISERROR(INT(Metadata!AA693)),FALSE,INT(Metadata!AA693)=Metadata!AA693)),Metadata!AA693&gt;0))</f>
        <v>0</v>
      </c>
      <c r="BN693">
        <f>AND(IF(Metadata!AB693="",FALSE,TRUE),exact(Metadata!AB693,"Not applicable"))</f>
        <v>0</v>
      </c>
      <c r="BO693">
        <f>IF(Metadata!AC693="",FALSE,TRUE)</f>
        <v>0</v>
      </c>
    </row>
    <row r="694" spans="1:67">
      <c r="A694" s="5">
        <f>IF(B694=" "," ",HYPERLINK(CONCATENATE("#metadata!",ADDRESS(INDEX($AI$2:$AI$1001,MATCH(ROWS($AG$2:AG694),$AG$2:$AG$1001,0),0),1)),INDEX($AL$2:$AL$1001,MATCH(ROWS($AG$2:AG694),$AG$2:$AG$1001,0),0)))</f>
        <v>0</v>
      </c>
      <c r="B694" s="4">
        <f>IF(OR(INDEX($AH$2:$AH$1001,MATCH(ROWS($AG$2:AG694),$AG$2:$AG$1001,0),1)&gt;=100000,INDEX($AN$1005:$BO$1005,1,MATCH(COLUMNS($AN$1006:AN1006),$AN$1006:$BO$1006,0))&gt;=100000), " ",IF(INDEX($AN$2:$BO$1001,MATCH(ROWS($AG$2:AG694),$AG$2:$AG$1001,0),MATCH(COLUMNS($AN$1006:AN1006),$AN$1006:$BO$1006,0)), HYPERLINK("#",""), HYPERLINK(CONCATENATE("#Metadata!", ADDRESS(INDEX($AI$2:$AI$1001,MATCH(ROWS($AG$2:AG694),$AG$2:$AG$1001,0),0), INDEX($AN$1004:$BO$1004,1,MATCH(COLUMNS($AN$1006:AN1006),$AN$1006:$BO$1006,0)))),"Fix")))</f>
        <v>0</v>
      </c>
      <c r="C694" s="4">
        <f>IF(OR(INDEX($AH$2:$AH$1001,MATCH(ROWS($AG$2:AG694),$AG$2:$AG$1001,0),1)&gt;=100000,INDEX($AN$1005:$BO$1005,1,MATCH(COLUMNS($AN$1006:AO1006),$AN$1006:$BO$1006,0))&gt;=100000), " ",IF(INDEX($AN$2:$BO$1001,MATCH(ROWS($AG$2:AG694),$AG$2:$AG$1001,0),MATCH(COLUMNS($AN$1006:AO1006),$AN$1006:$BO$1006,0)), HYPERLINK("#",""), HYPERLINK(CONCATENATE("#Metadata!", ADDRESS(INDEX($AI$2:$AI$1001,MATCH(ROWS($AG$2:AG694),$AG$2:$AG$1001,0),0), INDEX($AN$1004:$BO$1004,1,MATCH(COLUMNS($AN$1006:AO1006),$AN$1006:$BO$1006,0)))),"Fix")))</f>
        <v>0</v>
      </c>
      <c r="D694" s="4">
        <f>IF(OR(INDEX($AH$2:$AH$1001,MATCH(ROWS($AG$2:AG694),$AG$2:$AG$1001,0),1)&gt;=100000,INDEX($AN$1005:$BO$1005,1,MATCH(COLUMNS($AN$1006:AP1006),$AN$1006:$BO$1006,0))&gt;=100000), " ",IF(INDEX($AN$2:$BO$1001,MATCH(ROWS($AG$2:AG694),$AG$2:$AG$1001,0),MATCH(COLUMNS($AN$1006:AP1006),$AN$1006:$BO$1006,0)), HYPERLINK("#",""), HYPERLINK(CONCATENATE("#Metadata!", ADDRESS(INDEX($AI$2:$AI$1001,MATCH(ROWS($AG$2:AG694),$AG$2:$AG$1001,0),0), INDEX($AN$1004:$BO$1004,1,MATCH(COLUMNS($AN$1006:AP1006),$AN$1006:$BO$1006,0)))),"Fix")))</f>
        <v>0</v>
      </c>
      <c r="E694" s="4">
        <f>IF(OR(INDEX($AH$2:$AH$1001,MATCH(ROWS($AG$2:AG694),$AG$2:$AG$1001,0),1)&gt;=100000,INDEX($AN$1005:$BO$1005,1,MATCH(COLUMNS($AN$1006:AQ1006),$AN$1006:$BO$1006,0))&gt;=100000), " ",IF(INDEX($AN$2:$BO$1001,MATCH(ROWS($AG$2:AG694),$AG$2:$AG$1001,0),MATCH(COLUMNS($AN$1006:AQ1006),$AN$1006:$BO$1006,0)), HYPERLINK("#",""), HYPERLINK(CONCATENATE("#Metadata!", ADDRESS(INDEX($AI$2:$AI$1001,MATCH(ROWS($AG$2:AG694),$AG$2:$AG$1001,0),0), INDEX($AN$1004:$BO$1004,1,MATCH(COLUMNS($AN$1006:AQ1006),$AN$1006:$BO$1006,0)))),"Fix")))</f>
        <v>0</v>
      </c>
      <c r="F694" s="4">
        <f>IF(OR(INDEX($AH$2:$AH$1001,MATCH(ROWS($AG$2:AG694),$AG$2:$AG$1001,0),1)&gt;=100000,INDEX($AN$1005:$BO$1005,1,MATCH(COLUMNS($AN$1006:AR1006),$AN$1006:$BO$1006,0))&gt;=100000), " ",IF(INDEX($AN$2:$BO$1001,MATCH(ROWS($AG$2:AG694),$AG$2:$AG$1001,0),MATCH(COLUMNS($AN$1006:AR1006),$AN$1006:$BO$1006,0)), HYPERLINK("#",""), HYPERLINK(CONCATENATE("#Metadata!", ADDRESS(INDEX($AI$2:$AI$1001,MATCH(ROWS($AG$2:AG694),$AG$2:$AG$1001,0),0), INDEX($AN$1004:$BO$1004,1,MATCH(COLUMNS($AN$1006:AR1006),$AN$1006:$BO$1006,0)))),"Fix")))</f>
        <v>0</v>
      </c>
      <c r="G694" s="4">
        <f>IF(OR(INDEX($AH$2:$AH$1001,MATCH(ROWS($AG$2:AG694),$AG$2:$AG$1001,0),1)&gt;=100000,INDEX($AN$1005:$BO$1005,1,MATCH(COLUMNS($AN$1006:AS1006),$AN$1006:$BO$1006,0))&gt;=100000), " ",IF(INDEX($AN$2:$BO$1001,MATCH(ROWS($AG$2:AG694),$AG$2:$AG$1001,0),MATCH(COLUMNS($AN$1006:AS1006),$AN$1006:$BO$1006,0)), HYPERLINK("#",""), HYPERLINK(CONCATENATE("#Metadata!", ADDRESS(INDEX($AI$2:$AI$1001,MATCH(ROWS($AG$2:AG694),$AG$2:$AG$1001,0),0), INDEX($AN$1004:$BO$1004,1,MATCH(COLUMNS($AN$1006:AS1006),$AN$1006:$BO$1006,0)))),"Fix")))</f>
        <v>0</v>
      </c>
      <c r="H694" s="4">
        <f>IF(OR(INDEX($AH$2:$AH$1001,MATCH(ROWS($AG$2:AG694),$AG$2:$AG$1001,0),1)&gt;=100000,INDEX($AN$1005:$BO$1005,1,MATCH(COLUMNS($AN$1006:AT1006),$AN$1006:$BO$1006,0))&gt;=100000), " ",IF(INDEX($AN$2:$BO$1001,MATCH(ROWS($AG$2:AG694),$AG$2:$AG$1001,0),MATCH(COLUMNS($AN$1006:AT1006),$AN$1006:$BO$1006,0)), HYPERLINK("#",""), HYPERLINK(CONCATENATE("#Metadata!", ADDRESS(INDEX($AI$2:$AI$1001,MATCH(ROWS($AG$2:AG694),$AG$2:$AG$1001,0),0), INDEX($AN$1004:$BO$1004,1,MATCH(COLUMNS($AN$1006:AT1006),$AN$1006:$BO$1006,0)))),"Fix")))</f>
        <v>0</v>
      </c>
      <c r="I694" s="4">
        <f>IF(OR(INDEX($AH$2:$AH$1001,MATCH(ROWS($AG$2:AG694),$AG$2:$AG$1001,0),1)&gt;=100000,INDEX($AN$1005:$BO$1005,1,MATCH(COLUMNS($AN$1006:AU1006),$AN$1006:$BO$1006,0))&gt;=100000), " ",IF(INDEX($AN$2:$BO$1001,MATCH(ROWS($AG$2:AG694),$AG$2:$AG$1001,0),MATCH(COLUMNS($AN$1006:AU1006),$AN$1006:$BO$1006,0)), HYPERLINK("#",""), HYPERLINK(CONCATENATE("#Metadata!", ADDRESS(INDEX($AI$2:$AI$1001,MATCH(ROWS($AG$2:AG694),$AG$2:$AG$1001,0),0), INDEX($AN$1004:$BO$1004,1,MATCH(COLUMNS($AN$1006:AU1006),$AN$1006:$BO$1006,0)))),"Fix")))</f>
        <v>0</v>
      </c>
      <c r="J694" s="4">
        <f>IF(OR(INDEX($AH$2:$AH$1001,MATCH(ROWS($AG$2:AG694),$AG$2:$AG$1001,0),1)&gt;=100000,INDEX($AN$1005:$BO$1005,1,MATCH(COLUMNS($AN$1006:AV1006),$AN$1006:$BO$1006,0))&gt;=100000), " ",IF(INDEX($AN$2:$BO$1001,MATCH(ROWS($AG$2:AG694),$AG$2:$AG$1001,0),MATCH(COLUMNS($AN$1006:AV1006),$AN$1006:$BO$1006,0)), HYPERLINK("#",""), HYPERLINK(CONCATENATE("#Metadata!", ADDRESS(INDEX($AI$2:$AI$1001,MATCH(ROWS($AG$2:AG694),$AG$2:$AG$1001,0),0), INDEX($AN$1004:$BO$1004,1,MATCH(COLUMNS($AN$1006:AV1006),$AN$1006:$BO$1006,0)))),"Fix")))</f>
        <v>0</v>
      </c>
      <c r="K694" s="4">
        <f>IF(OR(INDEX($AH$2:$AH$1001,MATCH(ROWS($AG$2:AG694),$AG$2:$AG$1001,0),1)&gt;=100000,INDEX($AN$1005:$BO$1005,1,MATCH(COLUMNS($AN$1006:AW1006),$AN$1006:$BO$1006,0))&gt;=100000), " ",IF(INDEX($AN$2:$BO$1001,MATCH(ROWS($AG$2:AG694),$AG$2:$AG$1001,0),MATCH(COLUMNS($AN$1006:AW1006),$AN$1006:$BO$1006,0)), HYPERLINK("#",""), HYPERLINK(CONCATENATE("#Metadata!", ADDRESS(INDEX($AI$2:$AI$1001,MATCH(ROWS($AG$2:AG694),$AG$2:$AG$1001,0),0), INDEX($AN$1004:$BO$1004,1,MATCH(COLUMNS($AN$1006:AW1006),$AN$1006:$BO$1006,0)))),"Fix")))</f>
        <v>0</v>
      </c>
      <c r="L694" s="4">
        <f>IF(OR(INDEX($AH$2:$AH$1001,MATCH(ROWS($AG$2:AG694),$AG$2:$AG$1001,0),1)&gt;=100000,INDEX($AN$1005:$BO$1005,1,MATCH(COLUMNS($AN$1006:AX1006),$AN$1006:$BO$1006,0))&gt;=100000), " ",IF(INDEX($AN$2:$BO$1001,MATCH(ROWS($AG$2:AG694),$AG$2:$AG$1001,0),MATCH(COLUMNS($AN$1006:AX1006),$AN$1006:$BO$1006,0)), HYPERLINK("#",""), HYPERLINK(CONCATENATE("#Metadata!", ADDRESS(INDEX($AI$2:$AI$1001,MATCH(ROWS($AG$2:AG694),$AG$2:$AG$1001,0),0), INDEX($AN$1004:$BO$1004,1,MATCH(COLUMNS($AN$1006:AX1006),$AN$1006:$BO$1006,0)))),"Fix")))</f>
        <v>0</v>
      </c>
      <c r="M694" s="4">
        <f>IF(OR(INDEX($AH$2:$AH$1001,MATCH(ROWS($AG$2:AG694),$AG$2:$AG$1001,0),1)&gt;=100000,INDEX($AN$1005:$BO$1005,1,MATCH(COLUMNS($AN$1006:AY1006),$AN$1006:$BO$1006,0))&gt;=100000), " ",IF(INDEX($AN$2:$BO$1001,MATCH(ROWS($AG$2:AG694),$AG$2:$AG$1001,0),MATCH(COLUMNS($AN$1006:AY1006),$AN$1006:$BO$1006,0)), HYPERLINK("#",""), HYPERLINK(CONCATENATE("#Metadata!", ADDRESS(INDEX($AI$2:$AI$1001,MATCH(ROWS($AG$2:AG694),$AG$2:$AG$1001,0),0), INDEX($AN$1004:$BO$1004,1,MATCH(COLUMNS($AN$1006:AY1006),$AN$1006:$BO$1006,0)))),"Fix")))</f>
        <v>0</v>
      </c>
      <c r="N694" s="4">
        <f>IF(OR(INDEX($AH$2:$AH$1001,MATCH(ROWS($AG$2:AG694),$AG$2:$AG$1001,0),1)&gt;=100000,INDEX($AN$1005:$BO$1005,1,MATCH(COLUMNS($AN$1006:AZ1006),$AN$1006:$BO$1006,0))&gt;=100000), " ",IF(INDEX($AN$2:$BO$1001,MATCH(ROWS($AG$2:AG694),$AG$2:$AG$1001,0),MATCH(COLUMNS($AN$1006:AZ1006),$AN$1006:$BO$1006,0)), HYPERLINK("#",""), HYPERLINK(CONCATENATE("#Metadata!", ADDRESS(INDEX($AI$2:$AI$1001,MATCH(ROWS($AG$2:AG694),$AG$2:$AG$1001,0),0), INDEX($AN$1004:$BO$1004,1,MATCH(COLUMNS($AN$1006:AZ1006),$AN$1006:$BO$1006,0)))),"Fix")))</f>
        <v>0</v>
      </c>
      <c r="O694" s="4">
        <f>IF(OR(INDEX($AH$2:$AH$1001,MATCH(ROWS($AG$2:AG694),$AG$2:$AG$1001,0),1)&gt;=100000,INDEX($AN$1005:$BO$1005,1,MATCH(COLUMNS($AN$1006:BA1006),$AN$1006:$BO$1006,0))&gt;=100000), " ",IF(INDEX($AN$2:$BO$1001,MATCH(ROWS($AG$2:AG694),$AG$2:$AG$1001,0),MATCH(COLUMNS($AN$1006:BA1006),$AN$1006:$BO$1006,0)), HYPERLINK("#",""), HYPERLINK(CONCATENATE("#Metadata!", ADDRESS(INDEX($AI$2:$AI$1001,MATCH(ROWS($AG$2:AG694),$AG$2:$AG$1001,0),0), INDEX($AN$1004:$BO$1004,1,MATCH(COLUMNS($AN$1006:BA1006),$AN$1006:$BO$1006,0)))),"Fix")))</f>
        <v>0</v>
      </c>
      <c r="P694" s="4">
        <f>IF(OR(INDEX($AH$2:$AH$1001,MATCH(ROWS($AG$2:AG694),$AG$2:$AG$1001,0),1)&gt;=100000,INDEX($AN$1005:$BO$1005,1,MATCH(COLUMNS($AN$1006:BB1006),$AN$1006:$BO$1006,0))&gt;=100000), " ",IF(INDEX($AN$2:$BO$1001,MATCH(ROWS($AG$2:AG694),$AG$2:$AG$1001,0),MATCH(COLUMNS($AN$1006:BB1006),$AN$1006:$BO$1006,0)), HYPERLINK("#",""), HYPERLINK(CONCATENATE("#Metadata!", ADDRESS(INDEX($AI$2:$AI$1001,MATCH(ROWS($AG$2:AG694),$AG$2:$AG$1001,0),0), INDEX($AN$1004:$BO$1004,1,MATCH(COLUMNS($AN$1006:BB1006),$AN$1006:$BO$1006,0)))),"Fix")))</f>
        <v>0</v>
      </c>
      <c r="Q694" s="4">
        <f>IF(OR(INDEX($AH$2:$AH$1001,MATCH(ROWS($AG$2:AG694),$AG$2:$AG$1001,0),1)&gt;=100000,INDEX($AN$1005:$BO$1005,1,MATCH(COLUMNS($AN$1006:BC1006),$AN$1006:$BO$1006,0))&gt;=100000), " ",IF(INDEX($AN$2:$BO$1001,MATCH(ROWS($AG$2:AG694),$AG$2:$AG$1001,0),MATCH(COLUMNS($AN$1006:BC1006),$AN$1006:$BO$1006,0)), HYPERLINK("#",""), HYPERLINK(CONCATENATE("#Metadata!", ADDRESS(INDEX($AI$2:$AI$1001,MATCH(ROWS($AG$2:AG694),$AG$2:$AG$1001,0),0), INDEX($AN$1004:$BO$1004,1,MATCH(COLUMNS($AN$1006:BC1006),$AN$1006:$BO$1006,0)))),"Fix")))</f>
        <v>0</v>
      </c>
      <c r="R694" s="4">
        <f>IF(OR(INDEX($AH$2:$AH$1001,MATCH(ROWS($AG$2:AG694),$AG$2:$AG$1001,0),1)&gt;=100000,INDEX($AN$1005:$BO$1005,1,MATCH(COLUMNS($AN$1006:BD1006),$AN$1006:$BO$1006,0))&gt;=100000), " ",IF(INDEX($AN$2:$BO$1001,MATCH(ROWS($AG$2:AG694),$AG$2:$AG$1001,0),MATCH(COLUMNS($AN$1006:BD1006),$AN$1006:$BO$1006,0)), HYPERLINK("#",""), HYPERLINK(CONCATENATE("#Metadata!", ADDRESS(INDEX($AI$2:$AI$1001,MATCH(ROWS($AG$2:AG694),$AG$2:$AG$1001,0),0), INDEX($AN$1004:$BO$1004,1,MATCH(COLUMNS($AN$1006:BD1006),$AN$1006:$BO$1006,0)))),"Fix")))</f>
        <v>0</v>
      </c>
      <c r="S694" s="4">
        <f>IF(OR(INDEX($AH$2:$AH$1001,MATCH(ROWS($AG$2:AG694),$AG$2:$AG$1001,0),1)&gt;=100000,INDEX($AN$1005:$BO$1005,1,MATCH(COLUMNS($AN$1006:BE1006),$AN$1006:$BO$1006,0))&gt;=100000), " ",IF(INDEX($AN$2:$BO$1001,MATCH(ROWS($AG$2:AG694),$AG$2:$AG$1001,0),MATCH(COLUMNS($AN$1006:BE1006),$AN$1006:$BO$1006,0)), HYPERLINK("#",""), HYPERLINK(CONCATENATE("#Metadata!", ADDRESS(INDEX($AI$2:$AI$1001,MATCH(ROWS($AG$2:AG694),$AG$2:$AG$1001,0),0), INDEX($AN$1004:$BO$1004,1,MATCH(COLUMNS($AN$1006:BE1006),$AN$1006:$BO$1006,0)))),"Fix")))</f>
        <v>0</v>
      </c>
      <c r="T694" s="4">
        <f>IF(OR(INDEX($AH$2:$AH$1001,MATCH(ROWS($AG$2:AG694),$AG$2:$AG$1001,0),1)&gt;=100000,INDEX($AN$1005:$BO$1005,1,MATCH(COLUMNS($AN$1006:BF1006),$AN$1006:$BO$1006,0))&gt;=100000), " ",IF(INDEX($AN$2:$BO$1001,MATCH(ROWS($AG$2:AG694),$AG$2:$AG$1001,0),MATCH(COLUMNS($AN$1006:BF1006),$AN$1006:$BO$1006,0)), HYPERLINK("#",""), HYPERLINK(CONCATENATE("#Metadata!", ADDRESS(INDEX($AI$2:$AI$1001,MATCH(ROWS($AG$2:AG694),$AG$2:$AG$1001,0),0), INDEX($AN$1004:$BO$1004,1,MATCH(COLUMNS($AN$1006:BF1006),$AN$1006:$BO$1006,0)))),"Fix")))</f>
        <v>0</v>
      </c>
      <c r="U694" s="4">
        <f>IF(OR(INDEX($AH$2:$AH$1001,MATCH(ROWS($AG$2:AG694),$AG$2:$AG$1001,0),1)&gt;=100000,INDEX($AN$1005:$BO$1005,1,MATCH(COLUMNS($AN$1006:BG1006),$AN$1006:$BO$1006,0))&gt;=100000), " ",IF(INDEX($AN$2:$BO$1001,MATCH(ROWS($AG$2:AG694),$AG$2:$AG$1001,0),MATCH(COLUMNS($AN$1006:BG1006),$AN$1006:$BO$1006,0)), HYPERLINK("#",""), HYPERLINK(CONCATENATE("#Metadata!", ADDRESS(INDEX($AI$2:$AI$1001,MATCH(ROWS($AG$2:AG694),$AG$2:$AG$1001,0),0), INDEX($AN$1004:$BO$1004,1,MATCH(COLUMNS($AN$1006:BG1006),$AN$1006:$BO$1006,0)))),"Fix")))</f>
        <v>0</v>
      </c>
      <c r="V694" s="4">
        <f>IF(OR(INDEX($AH$2:$AH$1001,MATCH(ROWS($AG$2:AG694),$AG$2:$AG$1001,0),1)&gt;=100000,INDEX($AN$1005:$BO$1005,1,MATCH(COLUMNS($AN$1006:BH1006),$AN$1006:$BO$1006,0))&gt;=100000), " ",IF(INDEX($AN$2:$BO$1001,MATCH(ROWS($AG$2:AG694),$AG$2:$AG$1001,0),MATCH(COLUMNS($AN$1006:BH1006),$AN$1006:$BO$1006,0)), HYPERLINK("#",""), HYPERLINK(CONCATENATE("#Metadata!", ADDRESS(INDEX($AI$2:$AI$1001,MATCH(ROWS($AG$2:AG694),$AG$2:$AG$1001,0),0), INDEX($AN$1004:$BO$1004,1,MATCH(COLUMNS($AN$1006:BH1006),$AN$1006:$BO$1006,0)))),"Fix")))</f>
        <v>0</v>
      </c>
      <c r="W694" s="4">
        <f>IF(OR(INDEX($AH$2:$AH$1001,MATCH(ROWS($AG$2:AG694),$AG$2:$AG$1001,0),1)&gt;=100000,INDEX($AN$1005:$BO$1005,1,MATCH(COLUMNS($AN$1006:BI1006),$AN$1006:$BO$1006,0))&gt;=100000), " ",IF(INDEX($AN$2:$BO$1001,MATCH(ROWS($AG$2:AG694),$AG$2:$AG$1001,0),MATCH(COLUMNS($AN$1006:BI1006),$AN$1006:$BO$1006,0)), HYPERLINK("#",""), HYPERLINK(CONCATENATE("#Metadata!", ADDRESS(INDEX($AI$2:$AI$1001,MATCH(ROWS($AG$2:AG694),$AG$2:$AG$1001,0),0), INDEX($AN$1004:$BO$1004,1,MATCH(COLUMNS($AN$1006:BI1006),$AN$1006:$BO$1006,0)))),"Fix")))</f>
        <v>0</v>
      </c>
      <c r="X694" s="4">
        <f>IF(OR(INDEX($AH$2:$AH$1001,MATCH(ROWS($AG$2:AG694),$AG$2:$AG$1001,0),1)&gt;=100000,INDEX($AN$1005:$BO$1005,1,MATCH(COLUMNS($AN$1006:BJ1006),$AN$1006:$BO$1006,0))&gt;=100000), " ",IF(INDEX($AN$2:$BO$1001,MATCH(ROWS($AG$2:AG694),$AG$2:$AG$1001,0),MATCH(COLUMNS($AN$1006:BJ1006),$AN$1006:$BO$1006,0)), HYPERLINK("#",""), HYPERLINK(CONCATENATE("#Metadata!", ADDRESS(INDEX($AI$2:$AI$1001,MATCH(ROWS($AG$2:AG694),$AG$2:$AG$1001,0),0), INDEX($AN$1004:$BO$1004,1,MATCH(COLUMNS($AN$1006:BJ1006),$AN$1006:$BO$1006,0)))),"Fix")))</f>
        <v>0</v>
      </c>
      <c r="Y694" s="4">
        <f>IF(OR(INDEX($AH$2:$AH$1001,MATCH(ROWS($AG$2:AG694),$AG$2:$AG$1001,0),1)&gt;=100000,INDEX($AN$1005:$BO$1005,1,MATCH(COLUMNS($AN$1006:BK1006),$AN$1006:$BO$1006,0))&gt;=100000), " ",IF(INDEX($AN$2:$BO$1001,MATCH(ROWS($AG$2:AG694),$AG$2:$AG$1001,0),MATCH(COLUMNS($AN$1006:BK1006),$AN$1006:$BO$1006,0)), HYPERLINK("#",""), HYPERLINK(CONCATENATE("#Metadata!", ADDRESS(INDEX($AI$2:$AI$1001,MATCH(ROWS($AG$2:AG694),$AG$2:$AG$1001,0),0), INDEX($AN$1004:$BO$1004,1,MATCH(COLUMNS($AN$1006:BK1006),$AN$1006:$BO$1006,0)))),"Fix")))</f>
        <v>0</v>
      </c>
      <c r="Z694" s="4">
        <f>IF(OR(INDEX($AH$2:$AH$1001,MATCH(ROWS($AG$2:AG694),$AG$2:$AG$1001,0),1)&gt;=100000,INDEX($AN$1005:$BO$1005,1,MATCH(COLUMNS($AN$1006:BL1006),$AN$1006:$BO$1006,0))&gt;=100000), " ",IF(INDEX($AN$2:$BO$1001,MATCH(ROWS($AG$2:AG694),$AG$2:$AG$1001,0),MATCH(COLUMNS($AN$1006:BL1006),$AN$1006:$BO$1006,0)), HYPERLINK("#",""), HYPERLINK(CONCATENATE("#Metadata!", ADDRESS(INDEX($AI$2:$AI$1001,MATCH(ROWS($AG$2:AG694),$AG$2:$AG$1001,0),0), INDEX($AN$1004:$BO$1004,1,MATCH(COLUMNS($AN$1006:BL1006),$AN$1006:$BO$1006,0)))),"Fix")))</f>
        <v>0</v>
      </c>
      <c r="AA694" s="4">
        <f>IF(OR(INDEX($AH$2:$AH$1001,MATCH(ROWS($AG$2:AG694),$AG$2:$AG$1001,0),1)&gt;=100000,INDEX($AN$1005:$BO$1005,1,MATCH(COLUMNS($AN$1006:BM1006),$AN$1006:$BO$1006,0))&gt;=100000), " ",IF(INDEX($AN$2:$BO$1001,MATCH(ROWS($AG$2:AG694),$AG$2:$AG$1001,0),MATCH(COLUMNS($AN$1006:BM1006),$AN$1006:$BO$1006,0)), HYPERLINK("#",""), HYPERLINK(CONCATENATE("#Metadata!", ADDRESS(INDEX($AI$2:$AI$1001,MATCH(ROWS($AG$2:AG694),$AG$2:$AG$1001,0),0), INDEX($AN$1004:$BO$1004,1,MATCH(COLUMNS($AN$1006:BM1006),$AN$1006:$BO$1006,0)))),"Fix")))</f>
        <v>0</v>
      </c>
      <c r="AB694" s="4">
        <f>IF(OR(INDEX($AH$2:$AH$1001,MATCH(ROWS($AG$2:AG694),$AG$2:$AG$1001,0),1)&gt;=100000,INDEX($AN$1005:$BO$1005,1,MATCH(COLUMNS($AN$1006:BN1006),$AN$1006:$BO$1006,0))&gt;=100000), " ",IF(INDEX($AN$2:$BO$1001,MATCH(ROWS($AG$2:AG694),$AG$2:$AG$1001,0),MATCH(COLUMNS($AN$1006:BN1006),$AN$1006:$BO$1006,0)), HYPERLINK("#",""), HYPERLINK(CONCATENATE("#Metadata!", ADDRESS(INDEX($AI$2:$AI$1001,MATCH(ROWS($AG$2:AG694),$AG$2:$AG$1001,0),0), INDEX($AN$1004:$BO$1004,1,MATCH(COLUMNS($AN$1006:BN1006),$AN$1006:$BO$1006,0)))),"Fix")))</f>
        <v>0</v>
      </c>
      <c r="AC694" s="4">
        <f>IF(OR(INDEX($AH$2:$AH$1001,MATCH(ROWS($AG$2:AG694),$AG$2:$AG$1001,0),1)&gt;=100000,INDEX($AN$1005:$BO$1005,1,MATCH(COLUMNS($AN$1006:BO1006),$AN$1006:$BO$1006,0))&gt;=100000), " ",IF(INDEX($AN$2:$BO$1001,MATCH(ROWS($AG$2:AG694),$AG$2:$AG$1001,0),MATCH(COLUMNS($AN$1006:BO1006),$AN$1006:$BO$1006,0)), HYPERLINK("#",""), HYPERLINK(CONCATENATE("#Metadata!", ADDRESS(INDEX($AI$2:$AI$1001,MATCH(ROWS($AG$2:AG694),$AG$2:$AG$1001,0),0), INDEX($AN$1004:$BO$1004,1,MATCH(COLUMNS($AN$1006:BO1006),$AN$1006:$BO$1006,0)))),"Fix")))</f>
        <v>0</v>
      </c>
      <c r="AG694">
        <v>0</v>
      </c>
      <c r="AH694">
        <v>0</v>
      </c>
      <c r="AI694">
        <v>0</v>
      </c>
      <c r="AJ694">
        <f>IF(AK694,TRUE,AND(AN694:BO694))</f>
        <v>0</v>
      </c>
      <c r="AK694">
        <f>COUNTBLANK(Metadata!B694:AC694)=COLUMNS(Metadata!B694:AC694)</f>
        <v>0</v>
      </c>
      <c r="AL694">
        <v>0</v>
      </c>
      <c r="AN694">
        <f>AND(IF(Metadata!B694="",FALSE,TRUE),COUNTIF(Metadata!B:B, Metadata!B694) = 1,NOT(ISERROR(SUMPRODUCT(SEARCH(MID(Metadata!B694,ROW(INDIRECT("1:"&amp;LEN(Metadata!B694))), 1),"0123456789abcdefghijklmnopqrstuvwxyzABCDEFGHIJKLMNOPQRSTUVWXYZ.")))))</f>
        <v>0</v>
      </c>
      <c r="AO694">
        <f>IF(Metadata!C694="",FALSE,TRUE)</f>
        <v>0</v>
      </c>
      <c r="AP694">
        <f>IF(Metadata!D694="",FALSE,TRUE)</f>
        <v>0</v>
      </c>
      <c r="AQ694">
        <f>OR(AND(IF(Metadata!E694="",FALSE,TRUE),OR(exact(Metadata!E694,"not collected"),exact(Metadata!E694,"not provided"),exact(Metadata!E694,"restricted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R694">
        <f>IF(Metadata!F694="",FALSE,TRUE)</f>
        <v>0</v>
      </c>
      <c r="AS694">
        <f>OR(AND(IF(Metadata!G694="",FALSE,TRUE),OR(exact(Metadata!G694,"not collected"),exact(Metadata!G694,"not provided"))),AND(IF(Metadata!G694="",FALSE,TRUE),OR(exact(Metadata!G694,"TRUE"),exact(Metadata!G694,"FALSE"))))</f>
        <v>0</v>
      </c>
      <c r="AT694">
        <f>OR(AND(IF(Metadata!H694="",FALSE,TRUE),OR(exact(Metadata!H694,"not collected"),exact(Metadata!H694,"not provided"),exact(Metadata!H694,"restricted access"))),AND(IF(Metadata!H694="",FALSE,ISNUMBER(VALUE(Metadata!H694))),Metadata!H694&gt;=-413.0))</f>
        <v>0</v>
      </c>
      <c r="AU694">
        <f>AND(IF(Metadata!I694="",FALSE,TRUE),exact(Metadata!I694,"meters"))</f>
        <v>0</v>
      </c>
      <c r="AV694">
        <f>AND(IF(Metadata!J694="",FALSE,TRUE),OR(exact(Metadata!J694,"Host-associated"),exact(Metadata!J694,"Free-living")))</f>
        <v>0</v>
      </c>
      <c r="AW694">
        <f>AND(IF(Metadata!K694="",FALSE,TRUE),OR(exact(Metadata!K694,"Animal"),exact(Metadata!K694,"Fungus"),exact(Metadata!K694,"Plant"),exact(Metadata!K694,"Saline"),exact(Metadata!K694,"Non-saline")))</f>
        <v>0</v>
      </c>
      <c r="AX694">
        <f>AND(IF(Metadata!L694="",FALSE,TRUE),OR(exact(Metadata!L694,"Plant secretion"),exact(Metadata!L694,"Plant rhizosphere"),exact(Metadata!L694,"Plant surface"),exact(Metadata!L694,"Plant corpus"),exact(Metadata!L694,"Fungus surface"),exact(Metadata!L694,"Fungus corpus"),exact(Metadata!L694,"Animal surface"),exact(Metadata!L694,"Animal proximal gut"),exact(Metadata!L694,"Animal corpus"),exact(Metadata!L694,"Animal distal gut"),exact(Metadata!L694,"Animal secretion"),exact(Metadata!L694,"Sub-surface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Y694">
        <f>IF(Metadata!M694="",FALSE,TRUE)</f>
        <v>0</v>
      </c>
      <c r="AZ694">
        <f>IF(Metadata!N694="",FALSE,TRUE)</f>
        <v>0</v>
      </c>
      <c r="BA694">
        <f>IF(Metadata!O694="",FALSE,TRUE)</f>
        <v>0</v>
      </c>
      <c r="BB694">
        <f>OR(AND(IF(Metadata!P694="",FALSE,TRUE),OR(exact(Metadata!P694,"not collected"),exact(Metadata!P694,"not provided"),exact(Metadata!P694,"restricted access"))),AND(IF(Metadata!P694="",FALSE,TRUE),OR(exact(Metadata!P694,"air"),exact(Metadata!P694,"built environment"),exact(Metadata!P694,"host-associated"),exact(Metadata!P694,"human-associated"),exact(Metadata!P694,"human-skin"),exact(Metadata!P694,"human-oral"),exact(Metadata!P694,"human-gut"),exact(Metadata!P694,"human-vaginal"),exact(Metadata!P694,"microbial mat/biofilm"),exact(Metadata!P694,"misc environment"),exact(Metadata!P694,"plant-associated"),exact(Metadata!P694,"sediment"),exact(Metadata!P694,"soil"),exact(Metadata!P694,"wastewater/sludge"),exact(Metadata!P694,"water"))))</f>
        <v>0</v>
      </c>
      <c r="BC694">
        <f>IF(Metadata!Q694="",FALSE,TRUE)</f>
        <v>0</v>
      </c>
      <c r="BD694">
        <f>IF(Metadata!R694="",FALSE,TRUE)</f>
        <v>0</v>
      </c>
      <c r="BE694">
        <f>OR(AND(IF(Metadata!S694="",FALSE,TRUE),OR(exact(Metadata!S694,"not collected"),exact(Metadata!S694,"not provided"),exact(Metadata!S694,"restricted access"))),AND(IF(Metadata!S694="",FALSE,ISNUMBER(VALUE(Metadata!S694))),Metadata!S694&gt;=-90.00,Metadata!S694&lt;=90.00))</f>
        <v>0</v>
      </c>
      <c r="BF694">
        <f>AND(IF(Metadata!T694="",FALSE,TRUE),exact(Metadata!T694,"Decimal degrees"))</f>
        <v>0</v>
      </c>
      <c r="BG694">
        <f>OR(AND(IF(Metadata!U694="",FALSE,TRUE),OR(exact(Metadata!U694,"not collected"),exact(Metadata!U694,"not provided"),exact(Metadata!U694,"restricted access"))),AND(IF(Metadata!U694="",FALSE,ISNUMBER(VALUE(Metadata!U694))),Metadata!U694&gt;=-180.00,Metadata!U694&lt;=180.00))</f>
        <v>0</v>
      </c>
      <c r="BH694">
        <f>AND(IF(Metadata!V694="",FALSE,TRUE),exact(Metadata!V694,"Decimal degrees"))</f>
        <v>0</v>
      </c>
      <c r="BI694">
        <f>IF(Metadata!W694="",FALSE,TRUE)</f>
        <v>0</v>
      </c>
      <c r="BJ694">
        <f>OR(AND(IF(Metadata!X694="",FALSE,TRUE),OR(exact(Metadata!X694,"not collected"),exact(Metadata!X694,"not provided"),exact(Metadata!X694,"restricted access"))),AND(IF(Metadata!X694="",FALSE,TRUE),OR(exact(Metadata!X694,"TRUE"),exact(Metadata!X694,"FALSE"))))</f>
        <v>0</v>
      </c>
      <c r="BK694">
        <f>AND(IF(Metadata!Y694="",FALSE,TRUE),exact(Metadata!Y694,"other"))</f>
        <v>0</v>
      </c>
      <c r="BL694">
        <f>IF(Metadata!Z694="",FALSE,TRUE)</f>
        <v>0</v>
      </c>
      <c r="BM694">
        <f>OR(AND(IF(Metadata!AA694="",FALSE,TRUE),OR(exact(Metadata!AA694,"not collected"),exact(Metadata!AA694,"not provided"))),AND(IF(Metadata!AA694="",FALSE,IF(ISERROR(INT(Metadata!AA694)),FALSE,INT(Metadata!AA694)=Metadata!AA694)),Metadata!AA694&gt;0))</f>
        <v>0</v>
      </c>
      <c r="BN694">
        <f>AND(IF(Metadata!AB694="",FALSE,TRUE),exact(Metadata!AB694,"Not applicable"))</f>
        <v>0</v>
      </c>
      <c r="BO694">
        <f>IF(Metadata!AC694="",FALSE,TRUE)</f>
        <v>0</v>
      </c>
    </row>
    <row r="695" spans="1:67">
      <c r="A695" s="5">
        <f>IF(B695=" "," ",HYPERLINK(CONCATENATE("#metadata!",ADDRESS(INDEX($AI$2:$AI$1001,MATCH(ROWS($AG$2:AG695),$AG$2:$AG$1001,0),0),1)),INDEX($AL$2:$AL$1001,MATCH(ROWS($AG$2:AG695),$AG$2:$AG$1001,0),0)))</f>
        <v>0</v>
      </c>
      <c r="B695" s="4">
        <f>IF(OR(INDEX($AH$2:$AH$1001,MATCH(ROWS($AG$2:AG695),$AG$2:$AG$1001,0),1)&gt;=100000,INDEX($AN$1005:$BO$1005,1,MATCH(COLUMNS($AN$1006:AN1006),$AN$1006:$BO$1006,0))&gt;=100000), " ",IF(INDEX($AN$2:$BO$1001,MATCH(ROWS($AG$2:AG695),$AG$2:$AG$1001,0),MATCH(COLUMNS($AN$1006:AN1006),$AN$1006:$BO$1006,0)), HYPERLINK("#",""), HYPERLINK(CONCATENATE("#Metadata!", ADDRESS(INDEX($AI$2:$AI$1001,MATCH(ROWS($AG$2:AG695),$AG$2:$AG$1001,0),0), INDEX($AN$1004:$BO$1004,1,MATCH(COLUMNS($AN$1006:AN1006),$AN$1006:$BO$1006,0)))),"Fix")))</f>
        <v>0</v>
      </c>
      <c r="C695" s="4">
        <f>IF(OR(INDEX($AH$2:$AH$1001,MATCH(ROWS($AG$2:AG695),$AG$2:$AG$1001,0),1)&gt;=100000,INDEX($AN$1005:$BO$1005,1,MATCH(COLUMNS($AN$1006:AO1006),$AN$1006:$BO$1006,0))&gt;=100000), " ",IF(INDEX($AN$2:$BO$1001,MATCH(ROWS($AG$2:AG695),$AG$2:$AG$1001,0),MATCH(COLUMNS($AN$1006:AO1006),$AN$1006:$BO$1006,0)), HYPERLINK("#",""), HYPERLINK(CONCATENATE("#Metadata!", ADDRESS(INDEX($AI$2:$AI$1001,MATCH(ROWS($AG$2:AG695),$AG$2:$AG$1001,0),0), INDEX($AN$1004:$BO$1004,1,MATCH(COLUMNS($AN$1006:AO1006),$AN$1006:$BO$1006,0)))),"Fix")))</f>
        <v>0</v>
      </c>
      <c r="D695" s="4">
        <f>IF(OR(INDEX($AH$2:$AH$1001,MATCH(ROWS($AG$2:AG695),$AG$2:$AG$1001,0),1)&gt;=100000,INDEX($AN$1005:$BO$1005,1,MATCH(COLUMNS($AN$1006:AP1006),$AN$1006:$BO$1006,0))&gt;=100000), " ",IF(INDEX($AN$2:$BO$1001,MATCH(ROWS($AG$2:AG695),$AG$2:$AG$1001,0),MATCH(COLUMNS($AN$1006:AP1006),$AN$1006:$BO$1006,0)), HYPERLINK("#",""), HYPERLINK(CONCATENATE("#Metadata!", ADDRESS(INDEX($AI$2:$AI$1001,MATCH(ROWS($AG$2:AG695),$AG$2:$AG$1001,0),0), INDEX($AN$1004:$BO$1004,1,MATCH(COLUMNS($AN$1006:AP1006),$AN$1006:$BO$1006,0)))),"Fix")))</f>
        <v>0</v>
      </c>
      <c r="E695" s="4">
        <f>IF(OR(INDEX($AH$2:$AH$1001,MATCH(ROWS($AG$2:AG695),$AG$2:$AG$1001,0),1)&gt;=100000,INDEX($AN$1005:$BO$1005,1,MATCH(COLUMNS($AN$1006:AQ1006),$AN$1006:$BO$1006,0))&gt;=100000), " ",IF(INDEX($AN$2:$BO$1001,MATCH(ROWS($AG$2:AG695),$AG$2:$AG$1001,0),MATCH(COLUMNS($AN$1006:AQ1006),$AN$1006:$BO$1006,0)), HYPERLINK("#",""), HYPERLINK(CONCATENATE("#Metadata!", ADDRESS(INDEX($AI$2:$AI$1001,MATCH(ROWS($AG$2:AG695),$AG$2:$AG$1001,0),0), INDEX($AN$1004:$BO$1004,1,MATCH(COLUMNS($AN$1006:AQ1006),$AN$1006:$BO$1006,0)))),"Fix")))</f>
        <v>0</v>
      </c>
      <c r="F695" s="4">
        <f>IF(OR(INDEX($AH$2:$AH$1001,MATCH(ROWS($AG$2:AG695),$AG$2:$AG$1001,0),1)&gt;=100000,INDEX($AN$1005:$BO$1005,1,MATCH(COLUMNS($AN$1006:AR1006),$AN$1006:$BO$1006,0))&gt;=100000), " ",IF(INDEX($AN$2:$BO$1001,MATCH(ROWS($AG$2:AG695),$AG$2:$AG$1001,0),MATCH(COLUMNS($AN$1006:AR1006),$AN$1006:$BO$1006,0)), HYPERLINK("#",""), HYPERLINK(CONCATENATE("#Metadata!", ADDRESS(INDEX($AI$2:$AI$1001,MATCH(ROWS($AG$2:AG695),$AG$2:$AG$1001,0),0), INDEX($AN$1004:$BO$1004,1,MATCH(COLUMNS($AN$1006:AR1006),$AN$1006:$BO$1006,0)))),"Fix")))</f>
        <v>0</v>
      </c>
      <c r="G695" s="4">
        <f>IF(OR(INDEX($AH$2:$AH$1001,MATCH(ROWS($AG$2:AG695),$AG$2:$AG$1001,0),1)&gt;=100000,INDEX($AN$1005:$BO$1005,1,MATCH(COLUMNS($AN$1006:AS1006),$AN$1006:$BO$1006,0))&gt;=100000), " ",IF(INDEX($AN$2:$BO$1001,MATCH(ROWS($AG$2:AG695),$AG$2:$AG$1001,0),MATCH(COLUMNS($AN$1006:AS1006),$AN$1006:$BO$1006,0)), HYPERLINK("#",""), HYPERLINK(CONCATENATE("#Metadata!", ADDRESS(INDEX($AI$2:$AI$1001,MATCH(ROWS($AG$2:AG695),$AG$2:$AG$1001,0),0), INDEX($AN$1004:$BO$1004,1,MATCH(COLUMNS($AN$1006:AS1006),$AN$1006:$BO$1006,0)))),"Fix")))</f>
        <v>0</v>
      </c>
      <c r="H695" s="4">
        <f>IF(OR(INDEX($AH$2:$AH$1001,MATCH(ROWS($AG$2:AG695),$AG$2:$AG$1001,0),1)&gt;=100000,INDEX($AN$1005:$BO$1005,1,MATCH(COLUMNS($AN$1006:AT1006),$AN$1006:$BO$1006,0))&gt;=100000), " ",IF(INDEX($AN$2:$BO$1001,MATCH(ROWS($AG$2:AG695),$AG$2:$AG$1001,0),MATCH(COLUMNS($AN$1006:AT1006),$AN$1006:$BO$1006,0)), HYPERLINK("#",""), HYPERLINK(CONCATENATE("#Metadata!", ADDRESS(INDEX($AI$2:$AI$1001,MATCH(ROWS($AG$2:AG695),$AG$2:$AG$1001,0),0), INDEX($AN$1004:$BO$1004,1,MATCH(COLUMNS($AN$1006:AT1006),$AN$1006:$BO$1006,0)))),"Fix")))</f>
        <v>0</v>
      </c>
      <c r="I695" s="4">
        <f>IF(OR(INDEX($AH$2:$AH$1001,MATCH(ROWS($AG$2:AG695),$AG$2:$AG$1001,0),1)&gt;=100000,INDEX($AN$1005:$BO$1005,1,MATCH(COLUMNS($AN$1006:AU1006),$AN$1006:$BO$1006,0))&gt;=100000), " ",IF(INDEX($AN$2:$BO$1001,MATCH(ROWS($AG$2:AG695),$AG$2:$AG$1001,0),MATCH(COLUMNS($AN$1006:AU1006),$AN$1006:$BO$1006,0)), HYPERLINK("#",""), HYPERLINK(CONCATENATE("#Metadata!", ADDRESS(INDEX($AI$2:$AI$1001,MATCH(ROWS($AG$2:AG695),$AG$2:$AG$1001,0),0), INDEX($AN$1004:$BO$1004,1,MATCH(COLUMNS($AN$1006:AU1006),$AN$1006:$BO$1006,0)))),"Fix")))</f>
        <v>0</v>
      </c>
      <c r="J695" s="4">
        <f>IF(OR(INDEX($AH$2:$AH$1001,MATCH(ROWS($AG$2:AG695),$AG$2:$AG$1001,0),1)&gt;=100000,INDEX($AN$1005:$BO$1005,1,MATCH(COLUMNS($AN$1006:AV1006),$AN$1006:$BO$1006,0))&gt;=100000), " ",IF(INDEX($AN$2:$BO$1001,MATCH(ROWS($AG$2:AG695),$AG$2:$AG$1001,0),MATCH(COLUMNS($AN$1006:AV1006),$AN$1006:$BO$1006,0)), HYPERLINK("#",""), HYPERLINK(CONCATENATE("#Metadata!", ADDRESS(INDEX($AI$2:$AI$1001,MATCH(ROWS($AG$2:AG695),$AG$2:$AG$1001,0),0), INDEX($AN$1004:$BO$1004,1,MATCH(COLUMNS($AN$1006:AV1006),$AN$1006:$BO$1006,0)))),"Fix")))</f>
        <v>0</v>
      </c>
      <c r="K695" s="4">
        <f>IF(OR(INDEX($AH$2:$AH$1001,MATCH(ROWS($AG$2:AG695),$AG$2:$AG$1001,0),1)&gt;=100000,INDEX($AN$1005:$BO$1005,1,MATCH(COLUMNS($AN$1006:AW1006),$AN$1006:$BO$1006,0))&gt;=100000), " ",IF(INDEX($AN$2:$BO$1001,MATCH(ROWS($AG$2:AG695),$AG$2:$AG$1001,0),MATCH(COLUMNS($AN$1006:AW1006),$AN$1006:$BO$1006,0)), HYPERLINK("#",""), HYPERLINK(CONCATENATE("#Metadata!", ADDRESS(INDEX($AI$2:$AI$1001,MATCH(ROWS($AG$2:AG695),$AG$2:$AG$1001,0),0), INDEX($AN$1004:$BO$1004,1,MATCH(COLUMNS($AN$1006:AW1006),$AN$1006:$BO$1006,0)))),"Fix")))</f>
        <v>0</v>
      </c>
      <c r="L695" s="4">
        <f>IF(OR(INDEX($AH$2:$AH$1001,MATCH(ROWS($AG$2:AG695),$AG$2:$AG$1001,0),1)&gt;=100000,INDEX($AN$1005:$BO$1005,1,MATCH(COLUMNS($AN$1006:AX1006),$AN$1006:$BO$1006,0))&gt;=100000), " ",IF(INDEX($AN$2:$BO$1001,MATCH(ROWS($AG$2:AG695),$AG$2:$AG$1001,0),MATCH(COLUMNS($AN$1006:AX1006),$AN$1006:$BO$1006,0)), HYPERLINK("#",""), HYPERLINK(CONCATENATE("#Metadata!", ADDRESS(INDEX($AI$2:$AI$1001,MATCH(ROWS($AG$2:AG695),$AG$2:$AG$1001,0),0), INDEX($AN$1004:$BO$1004,1,MATCH(COLUMNS($AN$1006:AX1006),$AN$1006:$BO$1006,0)))),"Fix")))</f>
        <v>0</v>
      </c>
      <c r="M695" s="4">
        <f>IF(OR(INDEX($AH$2:$AH$1001,MATCH(ROWS($AG$2:AG695),$AG$2:$AG$1001,0),1)&gt;=100000,INDEX($AN$1005:$BO$1005,1,MATCH(COLUMNS($AN$1006:AY1006),$AN$1006:$BO$1006,0))&gt;=100000), " ",IF(INDEX($AN$2:$BO$1001,MATCH(ROWS($AG$2:AG695),$AG$2:$AG$1001,0),MATCH(COLUMNS($AN$1006:AY1006),$AN$1006:$BO$1006,0)), HYPERLINK("#",""), HYPERLINK(CONCATENATE("#Metadata!", ADDRESS(INDEX($AI$2:$AI$1001,MATCH(ROWS($AG$2:AG695),$AG$2:$AG$1001,0),0), INDEX($AN$1004:$BO$1004,1,MATCH(COLUMNS($AN$1006:AY1006),$AN$1006:$BO$1006,0)))),"Fix")))</f>
        <v>0</v>
      </c>
      <c r="N695" s="4">
        <f>IF(OR(INDEX($AH$2:$AH$1001,MATCH(ROWS($AG$2:AG695),$AG$2:$AG$1001,0),1)&gt;=100000,INDEX($AN$1005:$BO$1005,1,MATCH(COLUMNS($AN$1006:AZ1006),$AN$1006:$BO$1006,0))&gt;=100000), " ",IF(INDEX($AN$2:$BO$1001,MATCH(ROWS($AG$2:AG695),$AG$2:$AG$1001,0),MATCH(COLUMNS($AN$1006:AZ1006),$AN$1006:$BO$1006,0)), HYPERLINK("#",""), HYPERLINK(CONCATENATE("#Metadata!", ADDRESS(INDEX($AI$2:$AI$1001,MATCH(ROWS($AG$2:AG695),$AG$2:$AG$1001,0),0), INDEX($AN$1004:$BO$1004,1,MATCH(COLUMNS($AN$1006:AZ1006),$AN$1006:$BO$1006,0)))),"Fix")))</f>
        <v>0</v>
      </c>
      <c r="O695" s="4">
        <f>IF(OR(INDEX($AH$2:$AH$1001,MATCH(ROWS($AG$2:AG695),$AG$2:$AG$1001,0),1)&gt;=100000,INDEX($AN$1005:$BO$1005,1,MATCH(COLUMNS($AN$1006:BA1006),$AN$1006:$BO$1006,0))&gt;=100000), " ",IF(INDEX($AN$2:$BO$1001,MATCH(ROWS($AG$2:AG695),$AG$2:$AG$1001,0),MATCH(COLUMNS($AN$1006:BA1006),$AN$1006:$BO$1006,0)), HYPERLINK("#",""), HYPERLINK(CONCATENATE("#Metadata!", ADDRESS(INDEX($AI$2:$AI$1001,MATCH(ROWS($AG$2:AG695),$AG$2:$AG$1001,0),0), INDEX($AN$1004:$BO$1004,1,MATCH(COLUMNS($AN$1006:BA1006),$AN$1006:$BO$1006,0)))),"Fix")))</f>
        <v>0</v>
      </c>
      <c r="P695" s="4">
        <f>IF(OR(INDEX($AH$2:$AH$1001,MATCH(ROWS($AG$2:AG695),$AG$2:$AG$1001,0),1)&gt;=100000,INDEX($AN$1005:$BO$1005,1,MATCH(COLUMNS($AN$1006:BB1006),$AN$1006:$BO$1006,0))&gt;=100000), " ",IF(INDEX($AN$2:$BO$1001,MATCH(ROWS($AG$2:AG695),$AG$2:$AG$1001,0),MATCH(COLUMNS($AN$1006:BB1006),$AN$1006:$BO$1006,0)), HYPERLINK("#",""), HYPERLINK(CONCATENATE("#Metadata!", ADDRESS(INDEX($AI$2:$AI$1001,MATCH(ROWS($AG$2:AG695),$AG$2:$AG$1001,0),0), INDEX($AN$1004:$BO$1004,1,MATCH(COLUMNS($AN$1006:BB1006),$AN$1006:$BO$1006,0)))),"Fix")))</f>
        <v>0</v>
      </c>
      <c r="Q695" s="4">
        <f>IF(OR(INDEX($AH$2:$AH$1001,MATCH(ROWS($AG$2:AG695),$AG$2:$AG$1001,0),1)&gt;=100000,INDEX($AN$1005:$BO$1005,1,MATCH(COLUMNS($AN$1006:BC1006),$AN$1006:$BO$1006,0))&gt;=100000), " ",IF(INDEX($AN$2:$BO$1001,MATCH(ROWS($AG$2:AG695),$AG$2:$AG$1001,0),MATCH(COLUMNS($AN$1006:BC1006),$AN$1006:$BO$1006,0)), HYPERLINK("#",""), HYPERLINK(CONCATENATE("#Metadata!", ADDRESS(INDEX($AI$2:$AI$1001,MATCH(ROWS($AG$2:AG695),$AG$2:$AG$1001,0),0), INDEX($AN$1004:$BO$1004,1,MATCH(COLUMNS($AN$1006:BC1006),$AN$1006:$BO$1006,0)))),"Fix")))</f>
        <v>0</v>
      </c>
      <c r="R695" s="4">
        <f>IF(OR(INDEX($AH$2:$AH$1001,MATCH(ROWS($AG$2:AG695),$AG$2:$AG$1001,0),1)&gt;=100000,INDEX($AN$1005:$BO$1005,1,MATCH(COLUMNS($AN$1006:BD1006),$AN$1006:$BO$1006,0))&gt;=100000), " ",IF(INDEX($AN$2:$BO$1001,MATCH(ROWS($AG$2:AG695),$AG$2:$AG$1001,0),MATCH(COLUMNS($AN$1006:BD1006),$AN$1006:$BO$1006,0)), HYPERLINK("#",""), HYPERLINK(CONCATENATE("#Metadata!", ADDRESS(INDEX($AI$2:$AI$1001,MATCH(ROWS($AG$2:AG695),$AG$2:$AG$1001,0),0), INDEX($AN$1004:$BO$1004,1,MATCH(COLUMNS($AN$1006:BD1006),$AN$1006:$BO$1006,0)))),"Fix")))</f>
        <v>0</v>
      </c>
      <c r="S695" s="4">
        <f>IF(OR(INDEX($AH$2:$AH$1001,MATCH(ROWS($AG$2:AG695),$AG$2:$AG$1001,0),1)&gt;=100000,INDEX($AN$1005:$BO$1005,1,MATCH(COLUMNS($AN$1006:BE1006),$AN$1006:$BO$1006,0))&gt;=100000), " ",IF(INDEX($AN$2:$BO$1001,MATCH(ROWS($AG$2:AG695),$AG$2:$AG$1001,0),MATCH(COLUMNS($AN$1006:BE1006),$AN$1006:$BO$1006,0)), HYPERLINK("#",""), HYPERLINK(CONCATENATE("#Metadata!", ADDRESS(INDEX($AI$2:$AI$1001,MATCH(ROWS($AG$2:AG695),$AG$2:$AG$1001,0),0), INDEX($AN$1004:$BO$1004,1,MATCH(COLUMNS($AN$1006:BE1006),$AN$1006:$BO$1006,0)))),"Fix")))</f>
        <v>0</v>
      </c>
      <c r="T695" s="4">
        <f>IF(OR(INDEX($AH$2:$AH$1001,MATCH(ROWS($AG$2:AG695),$AG$2:$AG$1001,0),1)&gt;=100000,INDEX($AN$1005:$BO$1005,1,MATCH(COLUMNS($AN$1006:BF1006),$AN$1006:$BO$1006,0))&gt;=100000), " ",IF(INDEX($AN$2:$BO$1001,MATCH(ROWS($AG$2:AG695),$AG$2:$AG$1001,0),MATCH(COLUMNS($AN$1006:BF1006),$AN$1006:$BO$1006,0)), HYPERLINK("#",""), HYPERLINK(CONCATENATE("#Metadata!", ADDRESS(INDEX($AI$2:$AI$1001,MATCH(ROWS($AG$2:AG695),$AG$2:$AG$1001,0),0), INDEX($AN$1004:$BO$1004,1,MATCH(COLUMNS($AN$1006:BF1006),$AN$1006:$BO$1006,0)))),"Fix")))</f>
        <v>0</v>
      </c>
      <c r="U695" s="4">
        <f>IF(OR(INDEX($AH$2:$AH$1001,MATCH(ROWS($AG$2:AG695),$AG$2:$AG$1001,0),1)&gt;=100000,INDEX($AN$1005:$BO$1005,1,MATCH(COLUMNS($AN$1006:BG1006),$AN$1006:$BO$1006,0))&gt;=100000), " ",IF(INDEX($AN$2:$BO$1001,MATCH(ROWS($AG$2:AG695),$AG$2:$AG$1001,0),MATCH(COLUMNS($AN$1006:BG1006),$AN$1006:$BO$1006,0)), HYPERLINK("#",""), HYPERLINK(CONCATENATE("#Metadata!", ADDRESS(INDEX($AI$2:$AI$1001,MATCH(ROWS($AG$2:AG695),$AG$2:$AG$1001,0),0), INDEX($AN$1004:$BO$1004,1,MATCH(COLUMNS($AN$1006:BG1006),$AN$1006:$BO$1006,0)))),"Fix")))</f>
        <v>0</v>
      </c>
      <c r="V695" s="4">
        <f>IF(OR(INDEX($AH$2:$AH$1001,MATCH(ROWS($AG$2:AG695),$AG$2:$AG$1001,0),1)&gt;=100000,INDEX($AN$1005:$BO$1005,1,MATCH(COLUMNS($AN$1006:BH1006),$AN$1006:$BO$1006,0))&gt;=100000), " ",IF(INDEX($AN$2:$BO$1001,MATCH(ROWS($AG$2:AG695),$AG$2:$AG$1001,0),MATCH(COLUMNS($AN$1006:BH1006),$AN$1006:$BO$1006,0)), HYPERLINK("#",""), HYPERLINK(CONCATENATE("#Metadata!", ADDRESS(INDEX($AI$2:$AI$1001,MATCH(ROWS($AG$2:AG695),$AG$2:$AG$1001,0),0), INDEX($AN$1004:$BO$1004,1,MATCH(COLUMNS($AN$1006:BH1006),$AN$1006:$BO$1006,0)))),"Fix")))</f>
        <v>0</v>
      </c>
      <c r="W695" s="4">
        <f>IF(OR(INDEX($AH$2:$AH$1001,MATCH(ROWS($AG$2:AG695),$AG$2:$AG$1001,0),1)&gt;=100000,INDEX($AN$1005:$BO$1005,1,MATCH(COLUMNS($AN$1006:BI1006),$AN$1006:$BO$1006,0))&gt;=100000), " ",IF(INDEX($AN$2:$BO$1001,MATCH(ROWS($AG$2:AG695),$AG$2:$AG$1001,0),MATCH(COLUMNS($AN$1006:BI1006),$AN$1006:$BO$1006,0)), HYPERLINK("#",""), HYPERLINK(CONCATENATE("#Metadata!", ADDRESS(INDEX($AI$2:$AI$1001,MATCH(ROWS($AG$2:AG695),$AG$2:$AG$1001,0),0), INDEX($AN$1004:$BO$1004,1,MATCH(COLUMNS($AN$1006:BI1006),$AN$1006:$BO$1006,0)))),"Fix")))</f>
        <v>0</v>
      </c>
      <c r="X695" s="4">
        <f>IF(OR(INDEX($AH$2:$AH$1001,MATCH(ROWS($AG$2:AG695),$AG$2:$AG$1001,0),1)&gt;=100000,INDEX($AN$1005:$BO$1005,1,MATCH(COLUMNS($AN$1006:BJ1006),$AN$1006:$BO$1006,0))&gt;=100000), " ",IF(INDEX($AN$2:$BO$1001,MATCH(ROWS($AG$2:AG695),$AG$2:$AG$1001,0),MATCH(COLUMNS($AN$1006:BJ1006),$AN$1006:$BO$1006,0)), HYPERLINK("#",""), HYPERLINK(CONCATENATE("#Metadata!", ADDRESS(INDEX($AI$2:$AI$1001,MATCH(ROWS($AG$2:AG695),$AG$2:$AG$1001,0),0), INDEX($AN$1004:$BO$1004,1,MATCH(COLUMNS($AN$1006:BJ1006),$AN$1006:$BO$1006,0)))),"Fix")))</f>
        <v>0</v>
      </c>
      <c r="Y695" s="4">
        <f>IF(OR(INDEX($AH$2:$AH$1001,MATCH(ROWS($AG$2:AG695),$AG$2:$AG$1001,0),1)&gt;=100000,INDEX($AN$1005:$BO$1005,1,MATCH(COLUMNS($AN$1006:BK1006),$AN$1006:$BO$1006,0))&gt;=100000), " ",IF(INDEX($AN$2:$BO$1001,MATCH(ROWS($AG$2:AG695),$AG$2:$AG$1001,0),MATCH(COLUMNS($AN$1006:BK1006),$AN$1006:$BO$1006,0)), HYPERLINK("#",""), HYPERLINK(CONCATENATE("#Metadata!", ADDRESS(INDEX($AI$2:$AI$1001,MATCH(ROWS($AG$2:AG695),$AG$2:$AG$1001,0),0), INDEX($AN$1004:$BO$1004,1,MATCH(COLUMNS($AN$1006:BK1006),$AN$1006:$BO$1006,0)))),"Fix")))</f>
        <v>0</v>
      </c>
      <c r="Z695" s="4">
        <f>IF(OR(INDEX($AH$2:$AH$1001,MATCH(ROWS($AG$2:AG695),$AG$2:$AG$1001,0),1)&gt;=100000,INDEX($AN$1005:$BO$1005,1,MATCH(COLUMNS($AN$1006:BL1006),$AN$1006:$BO$1006,0))&gt;=100000), " ",IF(INDEX($AN$2:$BO$1001,MATCH(ROWS($AG$2:AG695),$AG$2:$AG$1001,0),MATCH(COLUMNS($AN$1006:BL1006),$AN$1006:$BO$1006,0)), HYPERLINK("#",""), HYPERLINK(CONCATENATE("#Metadata!", ADDRESS(INDEX($AI$2:$AI$1001,MATCH(ROWS($AG$2:AG695),$AG$2:$AG$1001,0),0), INDEX($AN$1004:$BO$1004,1,MATCH(COLUMNS($AN$1006:BL1006),$AN$1006:$BO$1006,0)))),"Fix")))</f>
        <v>0</v>
      </c>
      <c r="AA695" s="4">
        <f>IF(OR(INDEX($AH$2:$AH$1001,MATCH(ROWS($AG$2:AG695),$AG$2:$AG$1001,0),1)&gt;=100000,INDEX($AN$1005:$BO$1005,1,MATCH(COLUMNS($AN$1006:BM1006),$AN$1006:$BO$1006,0))&gt;=100000), " ",IF(INDEX($AN$2:$BO$1001,MATCH(ROWS($AG$2:AG695),$AG$2:$AG$1001,0),MATCH(COLUMNS($AN$1006:BM1006),$AN$1006:$BO$1006,0)), HYPERLINK("#",""), HYPERLINK(CONCATENATE("#Metadata!", ADDRESS(INDEX($AI$2:$AI$1001,MATCH(ROWS($AG$2:AG695),$AG$2:$AG$1001,0),0), INDEX($AN$1004:$BO$1004,1,MATCH(COLUMNS($AN$1006:BM1006),$AN$1006:$BO$1006,0)))),"Fix")))</f>
        <v>0</v>
      </c>
      <c r="AB695" s="4">
        <f>IF(OR(INDEX($AH$2:$AH$1001,MATCH(ROWS($AG$2:AG695),$AG$2:$AG$1001,0),1)&gt;=100000,INDEX($AN$1005:$BO$1005,1,MATCH(COLUMNS($AN$1006:BN1006),$AN$1006:$BO$1006,0))&gt;=100000), " ",IF(INDEX($AN$2:$BO$1001,MATCH(ROWS($AG$2:AG695),$AG$2:$AG$1001,0),MATCH(COLUMNS($AN$1006:BN1006),$AN$1006:$BO$1006,0)), HYPERLINK("#",""), HYPERLINK(CONCATENATE("#Metadata!", ADDRESS(INDEX($AI$2:$AI$1001,MATCH(ROWS($AG$2:AG695),$AG$2:$AG$1001,0),0), INDEX($AN$1004:$BO$1004,1,MATCH(COLUMNS($AN$1006:BN1006),$AN$1006:$BO$1006,0)))),"Fix")))</f>
        <v>0</v>
      </c>
      <c r="AC695" s="4">
        <f>IF(OR(INDEX($AH$2:$AH$1001,MATCH(ROWS($AG$2:AG695),$AG$2:$AG$1001,0),1)&gt;=100000,INDEX($AN$1005:$BO$1005,1,MATCH(COLUMNS($AN$1006:BO1006),$AN$1006:$BO$1006,0))&gt;=100000), " ",IF(INDEX($AN$2:$BO$1001,MATCH(ROWS($AG$2:AG695),$AG$2:$AG$1001,0),MATCH(COLUMNS($AN$1006:BO1006),$AN$1006:$BO$1006,0)), HYPERLINK("#",""), HYPERLINK(CONCATENATE("#Metadata!", ADDRESS(INDEX($AI$2:$AI$1001,MATCH(ROWS($AG$2:AG695),$AG$2:$AG$1001,0),0), INDEX($AN$1004:$BO$1004,1,MATCH(COLUMNS($AN$1006:BO1006),$AN$1006:$BO$1006,0)))),"Fix")))</f>
        <v>0</v>
      </c>
      <c r="AG695">
        <v>0</v>
      </c>
      <c r="AH695">
        <v>0</v>
      </c>
      <c r="AI695">
        <v>0</v>
      </c>
      <c r="AJ695">
        <f>IF(AK695,TRUE,AND(AN695:BO695))</f>
        <v>0</v>
      </c>
      <c r="AK695">
        <f>COUNTBLANK(Metadata!B695:AC695)=COLUMNS(Metadata!B695:AC695)</f>
        <v>0</v>
      </c>
      <c r="AL695">
        <v>0</v>
      </c>
      <c r="AN695">
        <f>AND(IF(Metadata!B695="",FALSE,TRUE),COUNTIF(Metadata!B:B, Metadata!B695) = 1,NOT(ISERROR(SUMPRODUCT(SEARCH(MID(Metadata!B695,ROW(INDIRECT("1:"&amp;LEN(Metadata!B695))), 1),"0123456789abcdefghijklmnopqrstuvwxyzABCDEFGHIJKLMNOPQRSTUVWXYZ.")))))</f>
        <v>0</v>
      </c>
      <c r="AO695">
        <f>IF(Metadata!C695="",FALSE,TRUE)</f>
        <v>0</v>
      </c>
      <c r="AP695">
        <f>IF(Metadata!D695="",FALSE,TRUE)</f>
        <v>0</v>
      </c>
      <c r="AQ695">
        <f>OR(AND(IF(Metadata!E695="",FALSE,TRUE),OR(exact(Metadata!E695,"not collected"),exact(Metadata!E695,"not provided"),exact(Metadata!E695,"restricted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R695">
        <f>IF(Metadata!F695="",FALSE,TRUE)</f>
        <v>0</v>
      </c>
      <c r="AS695">
        <f>OR(AND(IF(Metadata!G695="",FALSE,TRUE),OR(exact(Metadata!G695,"not collected"),exact(Metadata!G695,"not provided"))),AND(IF(Metadata!G695="",FALSE,TRUE),OR(exact(Metadata!G695,"TRUE"),exact(Metadata!G695,"FALSE"))))</f>
        <v>0</v>
      </c>
      <c r="AT695">
        <f>OR(AND(IF(Metadata!H695="",FALSE,TRUE),OR(exact(Metadata!H695,"not collected"),exact(Metadata!H695,"not provided"),exact(Metadata!H695,"restricted access"))),AND(IF(Metadata!H695="",FALSE,ISNUMBER(VALUE(Metadata!H695))),Metadata!H695&gt;=-413.0))</f>
        <v>0</v>
      </c>
      <c r="AU695">
        <f>AND(IF(Metadata!I695="",FALSE,TRUE),exact(Metadata!I695,"meters"))</f>
        <v>0</v>
      </c>
      <c r="AV695">
        <f>AND(IF(Metadata!J695="",FALSE,TRUE),OR(exact(Metadata!J695,"Host-associated"),exact(Metadata!J695,"Free-living")))</f>
        <v>0</v>
      </c>
      <c r="AW695">
        <f>AND(IF(Metadata!K695="",FALSE,TRUE),OR(exact(Metadata!K695,"Animal"),exact(Metadata!K695,"Fungus"),exact(Metadata!K695,"Plant"),exact(Metadata!K695,"Saline"),exact(Metadata!K695,"Non-saline")))</f>
        <v>0</v>
      </c>
      <c r="AX695">
        <f>AND(IF(Metadata!L695="",FALSE,TRUE),OR(exact(Metadata!L695,"Plant secretion"),exact(Metadata!L695,"Plant rhizosphere"),exact(Metadata!L695,"Plant surface"),exact(Metadata!L695,"Plant corpus"),exact(Metadata!L695,"Fungus surface"),exact(Metadata!L695,"Fungus corpus"),exact(Metadata!L695,"Animal surface"),exact(Metadata!L695,"Animal proximal gut"),exact(Metadata!L695,"Animal corpus"),exact(Metadata!L695,"Animal distal gut"),exact(Metadata!L695,"Animal secretion"),exact(Metadata!L695,"Sub-surface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Y695">
        <f>IF(Metadata!M695="",FALSE,TRUE)</f>
        <v>0</v>
      </c>
      <c r="AZ695">
        <f>IF(Metadata!N695="",FALSE,TRUE)</f>
        <v>0</v>
      </c>
      <c r="BA695">
        <f>IF(Metadata!O695="",FALSE,TRUE)</f>
        <v>0</v>
      </c>
      <c r="BB695">
        <f>OR(AND(IF(Metadata!P695="",FALSE,TRUE),OR(exact(Metadata!P695,"not collected"),exact(Metadata!P695,"not provided"),exact(Metadata!P695,"restricted access"))),AND(IF(Metadata!P695="",FALSE,TRUE),OR(exact(Metadata!P695,"air"),exact(Metadata!P695,"built environment"),exact(Metadata!P695,"host-associated"),exact(Metadata!P695,"human-associated"),exact(Metadata!P695,"human-skin"),exact(Metadata!P695,"human-oral"),exact(Metadata!P695,"human-gut"),exact(Metadata!P695,"human-vaginal"),exact(Metadata!P695,"microbial mat/biofilm"),exact(Metadata!P695,"misc environment"),exact(Metadata!P695,"plant-associated"),exact(Metadata!P695,"sediment"),exact(Metadata!P695,"soil"),exact(Metadata!P695,"wastewater/sludge"),exact(Metadata!P695,"water"))))</f>
        <v>0</v>
      </c>
      <c r="BC695">
        <f>IF(Metadata!Q695="",FALSE,TRUE)</f>
        <v>0</v>
      </c>
      <c r="BD695">
        <f>IF(Metadata!R695="",FALSE,TRUE)</f>
        <v>0</v>
      </c>
      <c r="BE695">
        <f>OR(AND(IF(Metadata!S695="",FALSE,TRUE),OR(exact(Metadata!S695,"not collected"),exact(Metadata!S695,"not provided"),exact(Metadata!S695,"restricted access"))),AND(IF(Metadata!S695="",FALSE,ISNUMBER(VALUE(Metadata!S695))),Metadata!S695&gt;=-90.00,Metadata!S695&lt;=90.00))</f>
        <v>0</v>
      </c>
      <c r="BF695">
        <f>AND(IF(Metadata!T695="",FALSE,TRUE),exact(Metadata!T695,"Decimal degrees"))</f>
        <v>0</v>
      </c>
      <c r="BG695">
        <f>OR(AND(IF(Metadata!U695="",FALSE,TRUE),OR(exact(Metadata!U695,"not collected"),exact(Metadata!U695,"not provided"),exact(Metadata!U695,"restricted access"))),AND(IF(Metadata!U695="",FALSE,ISNUMBER(VALUE(Metadata!U695))),Metadata!U695&gt;=-180.00,Metadata!U695&lt;=180.00))</f>
        <v>0</v>
      </c>
      <c r="BH695">
        <f>AND(IF(Metadata!V695="",FALSE,TRUE),exact(Metadata!V695,"Decimal degrees"))</f>
        <v>0</v>
      </c>
      <c r="BI695">
        <f>IF(Metadata!W695="",FALSE,TRUE)</f>
        <v>0</v>
      </c>
      <c r="BJ695">
        <f>OR(AND(IF(Metadata!X695="",FALSE,TRUE),OR(exact(Metadata!X695,"not collected"),exact(Metadata!X695,"not provided"),exact(Metadata!X695,"restricted access"))),AND(IF(Metadata!X695="",FALSE,TRUE),OR(exact(Metadata!X695,"TRUE"),exact(Metadata!X695,"FALSE"))))</f>
        <v>0</v>
      </c>
      <c r="BK695">
        <f>AND(IF(Metadata!Y695="",FALSE,TRUE),exact(Metadata!Y695,"other"))</f>
        <v>0</v>
      </c>
      <c r="BL695">
        <f>IF(Metadata!Z695="",FALSE,TRUE)</f>
        <v>0</v>
      </c>
      <c r="BM695">
        <f>OR(AND(IF(Metadata!AA695="",FALSE,TRUE),OR(exact(Metadata!AA695,"not collected"),exact(Metadata!AA695,"not provided"))),AND(IF(Metadata!AA695="",FALSE,IF(ISERROR(INT(Metadata!AA695)),FALSE,INT(Metadata!AA695)=Metadata!AA695)),Metadata!AA695&gt;0))</f>
        <v>0</v>
      </c>
      <c r="BN695">
        <f>AND(IF(Metadata!AB695="",FALSE,TRUE),exact(Metadata!AB695,"Not applicable"))</f>
        <v>0</v>
      </c>
      <c r="BO695">
        <f>IF(Metadata!AC695="",FALSE,TRUE)</f>
        <v>0</v>
      </c>
    </row>
    <row r="696" spans="1:67">
      <c r="A696" s="5">
        <f>IF(B696=" "," ",HYPERLINK(CONCATENATE("#metadata!",ADDRESS(INDEX($AI$2:$AI$1001,MATCH(ROWS($AG$2:AG696),$AG$2:$AG$1001,0),0),1)),INDEX($AL$2:$AL$1001,MATCH(ROWS($AG$2:AG696),$AG$2:$AG$1001,0),0)))</f>
        <v>0</v>
      </c>
      <c r="B696" s="4">
        <f>IF(OR(INDEX($AH$2:$AH$1001,MATCH(ROWS($AG$2:AG696),$AG$2:$AG$1001,0),1)&gt;=100000,INDEX($AN$1005:$BO$1005,1,MATCH(COLUMNS($AN$1006:AN1006),$AN$1006:$BO$1006,0))&gt;=100000), " ",IF(INDEX($AN$2:$BO$1001,MATCH(ROWS($AG$2:AG696),$AG$2:$AG$1001,0),MATCH(COLUMNS($AN$1006:AN1006),$AN$1006:$BO$1006,0)), HYPERLINK("#",""), HYPERLINK(CONCATENATE("#Metadata!", ADDRESS(INDEX($AI$2:$AI$1001,MATCH(ROWS($AG$2:AG696),$AG$2:$AG$1001,0),0), INDEX($AN$1004:$BO$1004,1,MATCH(COLUMNS($AN$1006:AN1006),$AN$1006:$BO$1006,0)))),"Fix")))</f>
        <v>0</v>
      </c>
      <c r="C696" s="4">
        <f>IF(OR(INDEX($AH$2:$AH$1001,MATCH(ROWS($AG$2:AG696),$AG$2:$AG$1001,0),1)&gt;=100000,INDEX($AN$1005:$BO$1005,1,MATCH(COLUMNS($AN$1006:AO1006),$AN$1006:$BO$1006,0))&gt;=100000), " ",IF(INDEX($AN$2:$BO$1001,MATCH(ROWS($AG$2:AG696),$AG$2:$AG$1001,0),MATCH(COLUMNS($AN$1006:AO1006),$AN$1006:$BO$1006,0)), HYPERLINK("#",""), HYPERLINK(CONCATENATE("#Metadata!", ADDRESS(INDEX($AI$2:$AI$1001,MATCH(ROWS($AG$2:AG696),$AG$2:$AG$1001,0),0), INDEX($AN$1004:$BO$1004,1,MATCH(COLUMNS($AN$1006:AO1006),$AN$1006:$BO$1006,0)))),"Fix")))</f>
        <v>0</v>
      </c>
      <c r="D696" s="4">
        <f>IF(OR(INDEX($AH$2:$AH$1001,MATCH(ROWS($AG$2:AG696),$AG$2:$AG$1001,0),1)&gt;=100000,INDEX($AN$1005:$BO$1005,1,MATCH(COLUMNS($AN$1006:AP1006),$AN$1006:$BO$1006,0))&gt;=100000), " ",IF(INDEX($AN$2:$BO$1001,MATCH(ROWS($AG$2:AG696),$AG$2:$AG$1001,0),MATCH(COLUMNS($AN$1006:AP1006),$AN$1006:$BO$1006,0)), HYPERLINK("#",""), HYPERLINK(CONCATENATE("#Metadata!", ADDRESS(INDEX($AI$2:$AI$1001,MATCH(ROWS($AG$2:AG696),$AG$2:$AG$1001,0),0), INDEX($AN$1004:$BO$1004,1,MATCH(COLUMNS($AN$1006:AP1006),$AN$1006:$BO$1006,0)))),"Fix")))</f>
        <v>0</v>
      </c>
      <c r="E696" s="4">
        <f>IF(OR(INDEX($AH$2:$AH$1001,MATCH(ROWS($AG$2:AG696),$AG$2:$AG$1001,0),1)&gt;=100000,INDEX($AN$1005:$BO$1005,1,MATCH(COLUMNS($AN$1006:AQ1006),$AN$1006:$BO$1006,0))&gt;=100000), " ",IF(INDEX($AN$2:$BO$1001,MATCH(ROWS($AG$2:AG696),$AG$2:$AG$1001,0),MATCH(COLUMNS($AN$1006:AQ1006),$AN$1006:$BO$1006,0)), HYPERLINK("#",""), HYPERLINK(CONCATENATE("#Metadata!", ADDRESS(INDEX($AI$2:$AI$1001,MATCH(ROWS($AG$2:AG696),$AG$2:$AG$1001,0),0), INDEX($AN$1004:$BO$1004,1,MATCH(COLUMNS($AN$1006:AQ1006),$AN$1006:$BO$1006,0)))),"Fix")))</f>
        <v>0</v>
      </c>
      <c r="F696" s="4">
        <f>IF(OR(INDEX($AH$2:$AH$1001,MATCH(ROWS($AG$2:AG696),$AG$2:$AG$1001,0),1)&gt;=100000,INDEX($AN$1005:$BO$1005,1,MATCH(COLUMNS($AN$1006:AR1006),$AN$1006:$BO$1006,0))&gt;=100000), " ",IF(INDEX($AN$2:$BO$1001,MATCH(ROWS($AG$2:AG696),$AG$2:$AG$1001,0),MATCH(COLUMNS($AN$1006:AR1006),$AN$1006:$BO$1006,0)), HYPERLINK("#",""), HYPERLINK(CONCATENATE("#Metadata!", ADDRESS(INDEX($AI$2:$AI$1001,MATCH(ROWS($AG$2:AG696),$AG$2:$AG$1001,0),0), INDEX($AN$1004:$BO$1004,1,MATCH(COLUMNS($AN$1006:AR1006),$AN$1006:$BO$1006,0)))),"Fix")))</f>
        <v>0</v>
      </c>
      <c r="G696" s="4">
        <f>IF(OR(INDEX($AH$2:$AH$1001,MATCH(ROWS($AG$2:AG696),$AG$2:$AG$1001,0),1)&gt;=100000,INDEX($AN$1005:$BO$1005,1,MATCH(COLUMNS($AN$1006:AS1006),$AN$1006:$BO$1006,0))&gt;=100000), " ",IF(INDEX($AN$2:$BO$1001,MATCH(ROWS($AG$2:AG696),$AG$2:$AG$1001,0),MATCH(COLUMNS($AN$1006:AS1006),$AN$1006:$BO$1006,0)), HYPERLINK("#",""), HYPERLINK(CONCATENATE("#Metadata!", ADDRESS(INDEX($AI$2:$AI$1001,MATCH(ROWS($AG$2:AG696),$AG$2:$AG$1001,0),0), INDEX($AN$1004:$BO$1004,1,MATCH(COLUMNS($AN$1006:AS1006),$AN$1006:$BO$1006,0)))),"Fix")))</f>
        <v>0</v>
      </c>
      <c r="H696" s="4">
        <f>IF(OR(INDEX($AH$2:$AH$1001,MATCH(ROWS($AG$2:AG696),$AG$2:$AG$1001,0),1)&gt;=100000,INDEX($AN$1005:$BO$1005,1,MATCH(COLUMNS($AN$1006:AT1006),$AN$1006:$BO$1006,0))&gt;=100000), " ",IF(INDEX($AN$2:$BO$1001,MATCH(ROWS($AG$2:AG696),$AG$2:$AG$1001,0),MATCH(COLUMNS($AN$1006:AT1006),$AN$1006:$BO$1006,0)), HYPERLINK("#",""), HYPERLINK(CONCATENATE("#Metadata!", ADDRESS(INDEX($AI$2:$AI$1001,MATCH(ROWS($AG$2:AG696),$AG$2:$AG$1001,0),0), INDEX($AN$1004:$BO$1004,1,MATCH(COLUMNS($AN$1006:AT1006),$AN$1006:$BO$1006,0)))),"Fix")))</f>
        <v>0</v>
      </c>
      <c r="I696" s="4">
        <f>IF(OR(INDEX($AH$2:$AH$1001,MATCH(ROWS($AG$2:AG696),$AG$2:$AG$1001,0),1)&gt;=100000,INDEX($AN$1005:$BO$1005,1,MATCH(COLUMNS($AN$1006:AU1006),$AN$1006:$BO$1006,0))&gt;=100000), " ",IF(INDEX($AN$2:$BO$1001,MATCH(ROWS($AG$2:AG696),$AG$2:$AG$1001,0),MATCH(COLUMNS($AN$1006:AU1006),$AN$1006:$BO$1006,0)), HYPERLINK("#",""), HYPERLINK(CONCATENATE("#Metadata!", ADDRESS(INDEX($AI$2:$AI$1001,MATCH(ROWS($AG$2:AG696),$AG$2:$AG$1001,0),0), INDEX($AN$1004:$BO$1004,1,MATCH(COLUMNS($AN$1006:AU1006),$AN$1006:$BO$1006,0)))),"Fix")))</f>
        <v>0</v>
      </c>
      <c r="J696" s="4">
        <f>IF(OR(INDEX($AH$2:$AH$1001,MATCH(ROWS($AG$2:AG696),$AG$2:$AG$1001,0),1)&gt;=100000,INDEX($AN$1005:$BO$1005,1,MATCH(COLUMNS($AN$1006:AV1006),$AN$1006:$BO$1006,0))&gt;=100000), " ",IF(INDEX($AN$2:$BO$1001,MATCH(ROWS($AG$2:AG696),$AG$2:$AG$1001,0),MATCH(COLUMNS($AN$1006:AV1006),$AN$1006:$BO$1006,0)), HYPERLINK("#",""), HYPERLINK(CONCATENATE("#Metadata!", ADDRESS(INDEX($AI$2:$AI$1001,MATCH(ROWS($AG$2:AG696),$AG$2:$AG$1001,0),0), INDEX($AN$1004:$BO$1004,1,MATCH(COLUMNS($AN$1006:AV1006),$AN$1006:$BO$1006,0)))),"Fix")))</f>
        <v>0</v>
      </c>
      <c r="K696" s="4">
        <f>IF(OR(INDEX($AH$2:$AH$1001,MATCH(ROWS($AG$2:AG696),$AG$2:$AG$1001,0),1)&gt;=100000,INDEX($AN$1005:$BO$1005,1,MATCH(COLUMNS($AN$1006:AW1006),$AN$1006:$BO$1006,0))&gt;=100000), " ",IF(INDEX($AN$2:$BO$1001,MATCH(ROWS($AG$2:AG696),$AG$2:$AG$1001,0),MATCH(COLUMNS($AN$1006:AW1006),$AN$1006:$BO$1006,0)), HYPERLINK("#",""), HYPERLINK(CONCATENATE("#Metadata!", ADDRESS(INDEX($AI$2:$AI$1001,MATCH(ROWS($AG$2:AG696),$AG$2:$AG$1001,0),0), INDEX($AN$1004:$BO$1004,1,MATCH(COLUMNS($AN$1006:AW1006),$AN$1006:$BO$1006,0)))),"Fix")))</f>
        <v>0</v>
      </c>
      <c r="L696" s="4">
        <f>IF(OR(INDEX($AH$2:$AH$1001,MATCH(ROWS($AG$2:AG696),$AG$2:$AG$1001,0),1)&gt;=100000,INDEX($AN$1005:$BO$1005,1,MATCH(COLUMNS($AN$1006:AX1006),$AN$1006:$BO$1006,0))&gt;=100000), " ",IF(INDEX($AN$2:$BO$1001,MATCH(ROWS($AG$2:AG696),$AG$2:$AG$1001,0),MATCH(COLUMNS($AN$1006:AX1006),$AN$1006:$BO$1006,0)), HYPERLINK("#",""), HYPERLINK(CONCATENATE("#Metadata!", ADDRESS(INDEX($AI$2:$AI$1001,MATCH(ROWS($AG$2:AG696),$AG$2:$AG$1001,0),0), INDEX($AN$1004:$BO$1004,1,MATCH(COLUMNS($AN$1006:AX1006),$AN$1006:$BO$1006,0)))),"Fix")))</f>
        <v>0</v>
      </c>
      <c r="M696" s="4">
        <f>IF(OR(INDEX($AH$2:$AH$1001,MATCH(ROWS($AG$2:AG696),$AG$2:$AG$1001,0),1)&gt;=100000,INDEX($AN$1005:$BO$1005,1,MATCH(COLUMNS($AN$1006:AY1006),$AN$1006:$BO$1006,0))&gt;=100000), " ",IF(INDEX($AN$2:$BO$1001,MATCH(ROWS($AG$2:AG696),$AG$2:$AG$1001,0),MATCH(COLUMNS($AN$1006:AY1006),$AN$1006:$BO$1006,0)), HYPERLINK("#",""), HYPERLINK(CONCATENATE("#Metadata!", ADDRESS(INDEX($AI$2:$AI$1001,MATCH(ROWS($AG$2:AG696),$AG$2:$AG$1001,0),0), INDEX($AN$1004:$BO$1004,1,MATCH(COLUMNS($AN$1006:AY1006),$AN$1006:$BO$1006,0)))),"Fix")))</f>
        <v>0</v>
      </c>
      <c r="N696" s="4">
        <f>IF(OR(INDEX($AH$2:$AH$1001,MATCH(ROWS($AG$2:AG696),$AG$2:$AG$1001,0),1)&gt;=100000,INDEX($AN$1005:$BO$1005,1,MATCH(COLUMNS($AN$1006:AZ1006),$AN$1006:$BO$1006,0))&gt;=100000), " ",IF(INDEX($AN$2:$BO$1001,MATCH(ROWS($AG$2:AG696),$AG$2:$AG$1001,0),MATCH(COLUMNS($AN$1006:AZ1006),$AN$1006:$BO$1006,0)), HYPERLINK("#",""), HYPERLINK(CONCATENATE("#Metadata!", ADDRESS(INDEX($AI$2:$AI$1001,MATCH(ROWS($AG$2:AG696),$AG$2:$AG$1001,0),0), INDEX($AN$1004:$BO$1004,1,MATCH(COLUMNS($AN$1006:AZ1006),$AN$1006:$BO$1006,0)))),"Fix")))</f>
        <v>0</v>
      </c>
      <c r="O696" s="4">
        <f>IF(OR(INDEX($AH$2:$AH$1001,MATCH(ROWS($AG$2:AG696),$AG$2:$AG$1001,0),1)&gt;=100000,INDEX($AN$1005:$BO$1005,1,MATCH(COLUMNS($AN$1006:BA1006),$AN$1006:$BO$1006,0))&gt;=100000), " ",IF(INDEX($AN$2:$BO$1001,MATCH(ROWS($AG$2:AG696),$AG$2:$AG$1001,0),MATCH(COLUMNS($AN$1006:BA1006),$AN$1006:$BO$1006,0)), HYPERLINK("#",""), HYPERLINK(CONCATENATE("#Metadata!", ADDRESS(INDEX($AI$2:$AI$1001,MATCH(ROWS($AG$2:AG696),$AG$2:$AG$1001,0),0), INDEX($AN$1004:$BO$1004,1,MATCH(COLUMNS($AN$1006:BA1006),$AN$1006:$BO$1006,0)))),"Fix")))</f>
        <v>0</v>
      </c>
      <c r="P696" s="4">
        <f>IF(OR(INDEX($AH$2:$AH$1001,MATCH(ROWS($AG$2:AG696),$AG$2:$AG$1001,0),1)&gt;=100000,INDEX($AN$1005:$BO$1005,1,MATCH(COLUMNS($AN$1006:BB1006),$AN$1006:$BO$1006,0))&gt;=100000), " ",IF(INDEX($AN$2:$BO$1001,MATCH(ROWS($AG$2:AG696),$AG$2:$AG$1001,0),MATCH(COLUMNS($AN$1006:BB1006),$AN$1006:$BO$1006,0)), HYPERLINK("#",""), HYPERLINK(CONCATENATE("#Metadata!", ADDRESS(INDEX($AI$2:$AI$1001,MATCH(ROWS($AG$2:AG696),$AG$2:$AG$1001,0),0), INDEX($AN$1004:$BO$1004,1,MATCH(COLUMNS($AN$1006:BB1006),$AN$1006:$BO$1006,0)))),"Fix")))</f>
        <v>0</v>
      </c>
      <c r="Q696" s="4">
        <f>IF(OR(INDEX($AH$2:$AH$1001,MATCH(ROWS($AG$2:AG696),$AG$2:$AG$1001,0),1)&gt;=100000,INDEX($AN$1005:$BO$1005,1,MATCH(COLUMNS($AN$1006:BC1006),$AN$1006:$BO$1006,0))&gt;=100000), " ",IF(INDEX($AN$2:$BO$1001,MATCH(ROWS($AG$2:AG696),$AG$2:$AG$1001,0),MATCH(COLUMNS($AN$1006:BC1006),$AN$1006:$BO$1006,0)), HYPERLINK("#",""), HYPERLINK(CONCATENATE("#Metadata!", ADDRESS(INDEX($AI$2:$AI$1001,MATCH(ROWS($AG$2:AG696),$AG$2:$AG$1001,0),0), INDEX($AN$1004:$BO$1004,1,MATCH(COLUMNS($AN$1006:BC1006),$AN$1006:$BO$1006,0)))),"Fix")))</f>
        <v>0</v>
      </c>
      <c r="R696" s="4">
        <f>IF(OR(INDEX($AH$2:$AH$1001,MATCH(ROWS($AG$2:AG696),$AG$2:$AG$1001,0),1)&gt;=100000,INDEX($AN$1005:$BO$1005,1,MATCH(COLUMNS($AN$1006:BD1006),$AN$1006:$BO$1006,0))&gt;=100000), " ",IF(INDEX($AN$2:$BO$1001,MATCH(ROWS($AG$2:AG696),$AG$2:$AG$1001,0),MATCH(COLUMNS($AN$1006:BD1006),$AN$1006:$BO$1006,0)), HYPERLINK("#",""), HYPERLINK(CONCATENATE("#Metadata!", ADDRESS(INDEX($AI$2:$AI$1001,MATCH(ROWS($AG$2:AG696),$AG$2:$AG$1001,0),0), INDEX($AN$1004:$BO$1004,1,MATCH(COLUMNS($AN$1006:BD1006),$AN$1006:$BO$1006,0)))),"Fix")))</f>
        <v>0</v>
      </c>
      <c r="S696" s="4">
        <f>IF(OR(INDEX($AH$2:$AH$1001,MATCH(ROWS($AG$2:AG696),$AG$2:$AG$1001,0),1)&gt;=100000,INDEX($AN$1005:$BO$1005,1,MATCH(COLUMNS($AN$1006:BE1006),$AN$1006:$BO$1006,0))&gt;=100000), " ",IF(INDEX($AN$2:$BO$1001,MATCH(ROWS($AG$2:AG696),$AG$2:$AG$1001,0),MATCH(COLUMNS($AN$1006:BE1006),$AN$1006:$BO$1006,0)), HYPERLINK("#",""), HYPERLINK(CONCATENATE("#Metadata!", ADDRESS(INDEX($AI$2:$AI$1001,MATCH(ROWS($AG$2:AG696),$AG$2:$AG$1001,0),0), INDEX($AN$1004:$BO$1004,1,MATCH(COLUMNS($AN$1006:BE1006),$AN$1006:$BO$1006,0)))),"Fix")))</f>
        <v>0</v>
      </c>
      <c r="T696" s="4">
        <f>IF(OR(INDEX($AH$2:$AH$1001,MATCH(ROWS($AG$2:AG696),$AG$2:$AG$1001,0),1)&gt;=100000,INDEX($AN$1005:$BO$1005,1,MATCH(COLUMNS($AN$1006:BF1006),$AN$1006:$BO$1006,0))&gt;=100000), " ",IF(INDEX($AN$2:$BO$1001,MATCH(ROWS($AG$2:AG696),$AG$2:$AG$1001,0),MATCH(COLUMNS($AN$1006:BF1006),$AN$1006:$BO$1006,0)), HYPERLINK("#",""), HYPERLINK(CONCATENATE("#Metadata!", ADDRESS(INDEX($AI$2:$AI$1001,MATCH(ROWS($AG$2:AG696),$AG$2:$AG$1001,0),0), INDEX($AN$1004:$BO$1004,1,MATCH(COLUMNS($AN$1006:BF1006),$AN$1006:$BO$1006,0)))),"Fix")))</f>
        <v>0</v>
      </c>
      <c r="U696" s="4">
        <f>IF(OR(INDEX($AH$2:$AH$1001,MATCH(ROWS($AG$2:AG696),$AG$2:$AG$1001,0),1)&gt;=100000,INDEX($AN$1005:$BO$1005,1,MATCH(COLUMNS($AN$1006:BG1006),$AN$1006:$BO$1006,0))&gt;=100000), " ",IF(INDEX($AN$2:$BO$1001,MATCH(ROWS($AG$2:AG696),$AG$2:$AG$1001,0),MATCH(COLUMNS($AN$1006:BG1006),$AN$1006:$BO$1006,0)), HYPERLINK("#",""), HYPERLINK(CONCATENATE("#Metadata!", ADDRESS(INDEX($AI$2:$AI$1001,MATCH(ROWS($AG$2:AG696),$AG$2:$AG$1001,0),0), INDEX($AN$1004:$BO$1004,1,MATCH(COLUMNS($AN$1006:BG1006),$AN$1006:$BO$1006,0)))),"Fix")))</f>
        <v>0</v>
      </c>
      <c r="V696" s="4">
        <f>IF(OR(INDEX($AH$2:$AH$1001,MATCH(ROWS($AG$2:AG696),$AG$2:$AG$1001,0),1)&gt;=100000,INDEX($AN$1005:$BO$1005,1,MATCH(COLUMNS($AN$1006:BH1006),$AN$1006:$BO$1006,0))&gt;=100000), " ",IF(INDEX($AN$2:$BO$1001,MATCH(ROWS($AG$2:AG696),$AG$2:$AG$1001,0),MATCH(COLUMNS($AN$1006:BH1006),$AN$1006:$BO$1006,0)), HYPERLINK("#",""), HYPERLINK(CONCATENATE("#Metadata!", ADDRESS(INDEX($AI$2:$AI$1001,MATCH(ROWS($AG$2:AG696),$AG$2:$AG$1001,0),0), INDEX($AN$1004:$BO$1004,1,MATCH(COLUMNS($AN$1006:BH1006),$AN$1006:$BO$1006,0)))),"Fix")))</f>
        <v>0</v>
      </c>
      <c r="W696" s="4">
        <f>IF(OR(INDEX($AH$2:$AH$1001,MATCH(ROWS($AG$2:AG696),$AG$2:$AG$1001,0),1)&gt;=100000,INDEX($AN$1005:$BO$1005,1,MATCH(COLUMNS($AN$1006:BI1006),$AN$1006:$BO$1006,0))&gt;=100000), " ",IF(INDEX($AN$2:$BO$1001,MATCH(ROWS($AG$2:AG696),$AG$2:$AG$1001,0),MATCH(COLUMNS($AN$1006:BI1006),$AN$1006:$BO$1006,0)), HYPERLINK("#",""), HYPERLINK(CONCATENATE("#Metadata!", ADDRESS(INDEX($AI$2:$AI$1001,MATCH(ROWS($AG$2:AG696),$AG$2:$AG$1001,0),0), INDEX($AN$1004:$BO$1004,1,MATCH(COLUMNS($AN$1006:BI1006),$AN$1006:$BO$1006,0)))),"Fix")))</f>
        <v>0</v>
      </c>
      <c r="X696" s="4">
        <f>IF(OR(INDEX($AH$2:$AH$1001,MATCH(ROWS($AG$2:AG696),$AG$2:$AG$1001,0),1)&gt;=100000,INDEX($AN$1005:$BO$1005,1,MATCH(COLUMNS($AN$1006:BJ1006),$AN$1006:$BO$1006,0))&gt;=100000), " ",IF(INDEX($AN$2:$BO$1001,MATCH(ROWS($AG$2:AG696),$AG$2:$AG$1001,0),MATCH(COLUMNS($AN$1006:BJ1006),$AN$1006:$BO$1006,0)), HYPERLINK("#",""), HYPERLINK(CONCATENATE("#Metadata!", ADDRESS(INDEX($AI$2:$AI$1001,MATCH(ROWS($AG$2:AG696),$AG$2:$AG$1001,0),0), INDEX($AN$1004:$BO$1004,1,MATCH(COLUMNS($AN$1006:BJ1006),$AN$1006:$BO$1006,0)))),"Fix")))</f>
        <v>0</v>
      </c>
      <c r="Y696" s="4">
        <f>IF(OR(INDEX($AH$2:$AH$1001,MATCH(ROWS($AG$2:AG696),$AG$2:$AG$1001,0),1)&gt;=100000,INDEX($AN$1005:$BO$1005,1,MATCH(COLUMNS($AN$1006:BK1006),$AN$1006:$BO$1006,0))&gt;=100000), " ",IF(INDEX($AN$2:$BO$1001,MATCH(ROWS($AG$2:AG696),$AG$2:$AG$1001,0),MATCH(COLUMNS($AN$1006:BK1006),$AN$1006:$BO$1006,0)), HYPERLINK("#",""), HYPERLINK(CONCATENATE("#Metadata!", ADDRESS(INDEX($AI$2:$AI$1001,MATCH(ROWS($AG$2:AG696),$AG$2:$AG$1001,0),0), INDEX($AN$1004:$BO$1004,1,MATCH(COLUMNS($AN$1006:BK1006),$AN$1006:$BO$1006,0)))),"Fix")))</f>
        <v>0</v>
      </c>
      <c r="Z696" s="4">
        <f>IF(OR(INDEX($AH$2:$AH$1001,MATCH(ROWS($AG$2:AG696),$AG$2:$AG$1001,0),1)&gt;=100000,INDEX($AN$1005:$BO$1005,1,MATCH(COLUMNS($AN$1006:BL1006),$AN$1006:$BO$1006,0))&gt;=100000), " ",IF(INDEX($AN$2:$BO$1001,MATCH(ROWS($AG$2:AG696),$AG$2:$AG$1001,0),MATCH(COLUMNS($AN$1006:BL1006),$AN$1006:$BO$1006,0)), HYPERLINK("#",""), HYPERLINK(CONCATENATE("#Metadata!", ADDRESS(INDEX($AI$2:$AI$1001,MATCH(ROWS($AG$2:AG696),$AG$2:$AG$1001,0),0), INDEX($AN$1004:$BO$1004,1,MATCH(COLUMNS($AN$1006:BL1006),$AN$1006:$BO$1006,0)))),"Fix")))</f>
        <v>0</v>
      </c>
      <c r="AA696" s="4">
        <f>IF(OR(INDEX($AH$2:$AH$1001,MATCH(ROWS($AG$2:AG696),$AG$2:$AG$1001,0),1)&gt;=100000,INDEX($AN$1005:$BO$1005,1,MATCH(COLUMNS($AN$1006:BM1006),$AN$1006:$BO$1006,0))&gt;=100000), " ",IF(INDEX($AN$2:$BO$1001,MATCH(ROWS($AG$2:AG696),$AG$2:$AG$1001,0),MATCH(COLUMNS($AN$1006:BM1006),$AN$1006:$BO$1006,0)), HYPERLINK("#",""), HYPERLINK(CONCATENATE("#Metadata!", ADDRESS(INDEX($AI$2:$AI$1001,MATCH(ROWS($AG$2:AG696),$AG$2:$AG$1001,0),0), INDEX($AN$1004:$BO$1004,1,MATCH(COLUMNS($AN$1006:BM1006),$AN$1006:$BO$1006,0)))),"Fix")))</f>
        <v>0</v>
      </c>
      <c r="AB696" s="4">
        <f>IF(OR(INDEX($AH$2:$AH$1001,MATCH(ROWS($AG$2:AG696),$AG$2:$AG$1001,0),1)&gt;=100000,INDEX($AN$1005:$BO$1005,1,MATCH(COLUMNS($AN$1006:BN1006),$AN$1006:$BO$1006,0))&gt;=100000), " ",IF(INDEX($AN$2:$BO$1001,MATCH(ROWS($AG$2:AG696),$AG$2:$AG$1001,0),MATCH(COLUMNS($AN$1006:BN1006),$AN$1006:$BO$1006,0)), HYPERLINK("#",""), HYPERLINK(CONCATENATE("#Metadata!", ADDRESS(INDEX($AI$2:$AI$1001,MATCH(ROWS($AG$2:AG696),$AG$2:$AG$1001,0),0), INDEX($AN$1004:$BO$1004,1,MATCH(COLUMNS($AN$1006:BN1006),$AN$1006:$BO$1006,0)))),"Fix")))</f>
        <v>0</v>
      </c>
      <c r="AC696" s="4">
        <f>IF(OR(INDEX($AH$2:$AH$1001,MATCH(ROWS($AG$2:AG696),$AG$2:$AG$1001,0),1)&gt;=100000,INDEX($AN$1005:$BO$1005,1,MATCH(COLUMNS($AN$1006:BO1006),$AN$1006:$BO$1006,0))&gt;=100000), " ",IF(INDEX($AN$2:$BO$1001,MATCH(ROWS($AG$2:AG696),$AG$2:$AG$1001,0),MATCH(COLUMNS($AN$1006:BO1006),$AN$1006:$BO$1006,0)), HYPERLINK("#",""), HYPERLINK(CONCATENATE("#Metadata!", ADDRESS(INDEX($AI$2:$AI$1001,MATCH(ROWS($AG$2:AG696),$AG$2:$AG$1001,0),0), INDEX($AN$1004:$BO$1004,1,MATCH(COLUMNS($AN$1006:BO1006),$AN$1006:$BO$1006,0)))),"Fix")))</f>
        <v>0</v>
      </c>
      <c r="AG696">
        <v>0</v>
      </c>
      <c r="AH696">
        <v>0</v>
      </c>
      <c r="AI696">
        <v>0</v>
      </c>
      <c r="AJ696">
        <f>IF(AK696,TRUE,AND(AN696:BO696))</f>
        <v>0</v>
      </c>
      <c r="AK696">
        <f>COUNTBLANK(Metadata!B696:AC696)=COLUMNS(Metadata!B696:AC696)</f>
        <v>0</v>
      </c>
      <c r="AL696">
        <v>0</v>
      </c>
      <c r="AN696">
        <f>AND(IF(Metadata!B696="",FALSE,TRUE),COUNTIF(Metadata!B:B, Metadata!B696) = 1,NOT(ISERROR(SUMPRODUCT(SEARCH(MID(Metadata!B696,ROW(INDIRECT("1:"&amp;LEN(Metadata!B696))), 1),"0123456789abcdefghijklmnopqrstuvwxyzABCDEFGHIJKLMNOPQRSTUVWXYZ.")))))</f>
        <v>0</v>
      </c>
      <c r="AO696">
        <f>IF(Metadata!C696="",FALSE,TRUE)</f>
        <v>0</v>
      </c>
      <c r="AP696">
        <f>IF(Metadata!D696="",FALSE,TRUE)</f>
        <v>0</v>
      </c>
      <c r="AQ696">
        <f>OR(AND(IF(Metadata!E696="",FALSE,TRUE),OR(exact(Metadata!E696,"not collected"),exact(Metadata!E696,"not provided"),exact(Metadata!E696,"restricted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R696">
        <f>IF(Metadata!F696="",FALSE,TRUE)</f>
        <v>0</v>
      </c>
      <c r="AS696">
        <f>OR(AND(IF(Metadata!G696="",FALSE,TRUE),OR(exact(Metadata!G696,"not collected"),exact(Metadata!G696,"not provided"))),AND(IF(Metadata!G696="",FALSE,TRUE),OR(exact(Metadata!G696,"TRUE"),exact(Metadata!G696,"FALSE"))))</f>
        <v>0</v>
      </c>
      <c r="AT696">
        <f>OR(AND(IF(Metadata!H696="",FALSE,TRUE),OR(exact(Metadata!H696,"not collected"),exact(Metadata!H696,"not provided"),exact(Metadata!H696,"restricted access"))),AND(IF(Metadata!H696="",FALSE,ISNUMBER(VALUE(Metadata!H696))),Metadata!H696&gt;=-413.0))</f>
        <v>0</v>
      </c>
      <c r="AU696">
        <f>AND(IF(Metadata!I696="",FALSE,TRUE),exact(Metadata!I696,"meters"))</f>
        <v>0</v>
      </c>
      <c r="AV696">
        <f>AND(IF(Metadata!J696="",FALSE,TRUE),OR(exact(Metadata!J696,"Host-associated"),exact(Metadata!J696,"Free-living")))</f>
        <v>0</v>
      </c>
      <c r="AW696">
        <f>AND(IF(Metadata!K696="",FALSE,TRUE),OR(exact(Metadata!K696,"Animal"),exact(Metadata!K696,"Fungus"),exact(Metadata!K696,"Plant"),exact(Metadata!K696,"Saline"),exact(Metadata!K696,"Non-saline")))</f>
        <v>0</v>
      </c>
      <c r="AX696">
        <f>AND(IF(Metadata!L696="",FALSE,TRUE),OR(exact(Metadata!L696,"Plant secretion"),exact(Metadata!L696,"Plant rhizosphere"),exact(Metadata!L696,"Plant surface"),exact(Metadata!L696,"Plant corpus"),exact(Metadata!L696,"Fungus surface"),exact(Metadata!L696,"Fungus corpus"),exact(Metadata!L696,"Animal surface"),exact(Metadata!L696,"Animal proximal gut"),exact(Metadata!L696,"Animal corpus"),exact(Metadata!L696,"Animal distal gut"),exact(Metadata!L696,"Animal secretion"),exact(Metadata!L696,"Sub-surface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Y696">
        <f>IF(Metadata!M696="",FALSE,TRUE)</f>
        <v>0</v>
      </c>
      <c r="AZ696">
        <f>IF(Metadata!N696="",FALSE,TRUE)</f>
        <v>0</v>
      </c>
      <c r="BA696">
        <f>IF(Metadata!O696="",FALSE,TRUE)</f>
        <v>0</v>
      </c>
      <c r="BB696">
        <f>OR(AND(IF(Metadata!P696="",FALSE,TRUE),OR(exact(Metadata!P696,"not collected"),exact(Metadata!P696,"not provided"),exact(Metadata!P696,"restricted access"))),AND(IF(Metadata!P696="",FALSE,TRUE),OR(exact(Metadata!P696,"air"),exact(Metadata!P696,"built environment"),exact(Metadata!P696,"host-associated"),exact(Metadata!P696,"human-associated"),exact(Metadata!P696,"human-skin"),exact(Metadata!P696,"human-oral"),exact(Metadata!P696,"human-gut"),exact(Metadata!P696,"human-vaginal"),exact(Metadata!P696,"microbial mat/biofilm"),exact(Metadata!P696,"misc environment"),exact(Metadata!P696,"plant-associated"),exact(Metadata!P696,"sediment"),exact(Metadata!P696,"soil"),exact(Metadata!P696,"wastewater/sludge"),exact(Metadata!P696,"water"))))</f>
        <v>0</v>
      </c>
      <c r="BC696">
        <f>IF(Metadata!Q696="",FALSE,TRUE)</f>
        <v>0</v>
      </c>
      <c r="BD696">
        <f>IF(Metadata!R696="",FALSE,TRUE)</f>
        <v>0</v>
      </c>
      <c r="BE696">
        <f>OR(AND(IF(Metadata!S696="",FALSE,TRUE),OR(exact(Metadata!S696,"not collected"),exact(Metadata!S696,"not provided"),exact(Metadata!S696,"restricted access"))),AND(IF(Metadata!S696="",FALSE,ISNUMBER(VALUE(Metadata!S696))),Metadata!S696&gt;=-90.00,Metadata!S696&lt;=90.00))</f>
        <v>0</v>
      </c>
      <c r="BF696">
        <f>AND(IF(Metadata!T696="",FALSE,TRUE),exact(Metadata!T696,"Decimal degrees"))</f>
        <v>0</v>
      </c>
      <c r="BG696">
        <f>OR(AND(IF(Metadata!U696="",FALSE,TRUE),OR(exact(Metadata!U696,"not collected"),exact(Metadata!U696,"not provided"),exact(Metadata!U696,"restricted access"))),AND(IF(Metadata!U696="",FALSE,ISNUMBER(VALUE(Metadata!U696))),Metadata!U696&gt;=-180.00,Metadata!U696&lt;=180.00))</f>
        <v>0</v>
      </c>
      <c r="BH696">
        <f>AND(IF(Metadata!V696="",FALSE,TRUE),exact(Metadata!V696,"Decimal degrees"))</f>
        <v>0</v>
      </c>
      <c r="BI696">
        <f>IF(Metadata!W696="",FALSE,TRUE)</f>
        <v>0</v>
      </c>
      <c r="BJ696">
        <f>OR(AND(IF(Metadata!X696="",FALSE,TRUE),OR(exact(Metadata!X696,"not collected"),exact(Metadata!X696,"not provided"),exact(Metadata!X696,"restricted access"))),AND(IF(Metadata!X696="",FALSE,TRUE),OR(exact(Metadata!X696,"TRUE"),exact(Metadata!X696,"FALSE"))))</f>
        <v>0</v>
      </c>
      <c r="BK696">
        <f>AND(IF(Metadata!Y696="",FALSE,TRUE),exact(Metadata!Y696,"other"))</f>
        <v>0</v>
      </c>
      <c r="BL696">
        <f>IF(Metadata!Z696="",FALSE,TRUE)</f>
        <v>0</v>
      </c>
      <c r="BM696">
        <f>OR(AND(IF(Metadata!AA696="",FALSE,TRUE),OR(exact(Metadata!AA696,"not collected"),exact(Metadata!AA696,"not provided"))),AND(IF(Metadata!AA696="",FALSE,IF(ISERROR(INT(Metadata!AA696)),FALSE,INT(Metadata!AA696)=Metadata!AA696)),Metadata!AA696&gt;0))</f>
        <v>0</v>
      </c>
      <c r="BN696">
        <f>AND(IF(Metadata!AB696="",FALSE,TRUE),exact(Metadata!AB696,"Not applicable"))</f>
        <v>0</v>
      </c>
      <c r="BO696">
        <f>IF(Metadata!AC696="",FALSE,TRUE)</f>
        <v>0</v>
      </c>
    </row>
    <row r="697" spans="1:67">
      <c r="A697" s="5">
        <f>IF(B697=" "," ",HYPERLINK(CONCATENATE("#metadata!",ADDRESS(INDEX($AI$2:$AI$1001,MATCH(ROWS($AG$2:AG697),$AG$2:$AG$1001,0),0),1)),INDEX($AL$2:$AL$1001,MATCH(ROWS($AG$2:AG697),$AG$2:$AG$1001,0),0)))</f>
        <v>0</v>
      </c>
      <c r="B697" s="4">
        <f>IF(OR(INDEX($AH$2:$AH$1001,MATCH(ROWS($AG$2:AG697),$AG$2:$AG$1001,0),1)&gt;=100000,INDEX($AN$1005:$BO$1005,1,MATCH(COLUMNS($AN$1006:AN1006),$AN$1006:$BO$1006,0))&gt;=100000), " ",IF(INDEX($AN$2:$BO$1001,MATCH(ROWS($AG$2:AG697),$AG$2:$AG$1001,0),MATCH(COLUMNS($AN$1006:AN1006),$AN$1006:$BO$1006,0)), HYPERLINK("#",""), HYPERLINK(CONCATENATE("#Metadata!", ADDRESS(INDEX($AI$2:$AI$1001,MATCH(ROWS($AG$2:AG697),$AG$2:$AG$1001,0),0), INDEX($AN$1004:$BO$1004,1,MATCH(COLUMNS($AN$1006:AN1006),$AN$1006:$BO$1006,0)))),"Fix")))</f>
        <v>0</v>
      </c>
      <c r="C697" s="4">
        <f>IF(OR(INDEX($AH$2:$AH$1001,MATCH(ROWS($AG$2:AG697),$AG$2:$AG$1001,0),1)&gt;=100000,INDEX($AN$1005:$BO$1005,1,MATCH(COLUMNS($AN$1006:AO1006),$AN$1006:$BO$1006,0))&gt;=100000), " ",IF(INDEX($AN$2:$BO$1001,MATCH(ROWS($AG$2:AG697),$AG$2:$AG$1001,0),MATCH(COLUMNS($AN$1006:AO1006),$AN$1006:$BO$1006,0)), HYPERLINK("#",""), HYPERLINK(CONCATENATE("#Metadata!", ADDRESS(INDEX($AI$2:$AI$1001,MATCH(ROWS($AG$2:AG697),$AG$2:$AG$1001,0),0), INDEX($AN$1004:$BO$1004,1,MATCH(COLUMNS($AN$1006:AO1006),$AN$1006:$BO$1006,0)))),"Fix")))</f>
        <v>0</v>
      </c>
      <c r="D697" s="4">
        <f>IF(OR(INDEX($AH$2:$AH$1001,MATCH(ROWS($AG$2:AG697),$AG$2:$AG$1001,0),1)&gt;=100000,INDEX($AN$1005:$BO$1005,1,MATCH(COLUMNS($AN$1006:AP1006),$AN$1006:$BO$1006,0))&gt;=100000), " ",IF(INDEX($AN$2:$BO$1001,MATCH(ROWS($AG$2:AG697),$AG$2:$AG$1001,0),MATCH(COLUMNS($AN$1006:AP1006),$AN$1006:$BO$1006,0)), HYPERLINK("#",""), HYPERLINK(CONCATENATE("#Metadata!", ADDRESS(INDEX($AI$2:$AI$1001,MATCH(ROWS($AG$2:AG697),$AG$2:$AG$1001,0),0), INDEX($AN$1004:$BO$1004,1,MATCH(COLUMNS($AN$1006:AP1006),$AN$1006:$BO$1006,0)))),"Fix")))</f>
        <v>0</v>
      </c>
      <c r="E697" s="4">
        <f>IF(OR(INDEX($AH$2:$AH$1001,MATCH(ROWS($AG$2:AG697),$AG$2:$AG$1001,0),1)&gt;=100000,INDEX($AN$1005:$BO$1005,1,MATCH(COLUMNS($AN$1006:AQ1006),$AN$1006:$BO$1006,0))&gt;=100000), " ",IF(INDEX($AN$2:$BO$1001,MATCH(ROWS($AG$2:AG697),$AG$2:$AG$1001,0),MATCH(COLUMNS($AN$1006:AQ1006),$AN$1006:$BO$1006,0)), HYPERLINK("#",""), HYPERLINK(CONCATENATE("#Metadata!", ADDRESS(INDEX($AI$2:$AI$1001,MATCH(ROWS($AG$2:AG697),$AG$2:$AG$1001,0),0), INDEX($AN$1004:$BO$1004,1,MATCH(COLUMNS($AN$1006:AQ1006),$AN$1006:$BO$1006,0)))),"Fix")))</f>
        <v>0</v>
      </c>
      <c r="F697" s="4">
        <f>IF(OR(INDEX($AH$2:$AH$1001,MATCH(ROWS($AG$2:AG697),$AG$2:$AG$1001,0),1)&gt;=100000,INDEX($AN$1005:$BO$1005,1,MATCH(COLUMNS($AN$1006:AR1006),$AN$1006:$BO$1006,0))&gt;=100000), " ",IF(INDEX($AN$2:$BO$1001,MATCH(ROWS($AG$2:AG697),$AG$2:$AG$1001,0),MATCH(COLUMNS($AN$1006:AR1006),$AN$1006:$BO$1006,0)), HYPERLINK("#",""), HYPERLINK(CONCATENATE("#Metadata!", ADDRESS(INDEX($AI$2:$AI$1001,MATCH(ROWS($AG$2:AG697),$AG$2:$AG$1001,0),0), INDEX($AN$1004:$BO$1004,1,MATCH(COLUMNS($AN$1006:AR1006),$AN$1006:$BO$1006,0)))),"Fix")))</f>
        <v>0</v>
      </c>
      <c r="G697" s="4">
        <f>IF(OR(INDEX($AH$2:$AH$1001,MATCH(ROWS($AG$2:AG697),$AG$2:$AG$1001,0),1)&gt;=100000,INDEX($AN$1005:$BO$1005,1,MATCH(COLUMNS($AN$1006:AS1006),$AN$1006:$BO$1006,0))&gt;=100000), " ",IF(INDEX($AN$2:$BO$1001,MATCH(ROWS($AG$2:AG697),$AG$2:$AG$1001,0),MATCH(COLUMNS($AN$1006:AS1006),$AN$1006:$BO$1006,0)), HYPERLINK("#",""), HYPERLINK(CONCATENATE("#Metadata!", ADDRESS(INDEX($AI$2:$AI$1001,MATCH(ROWS($AG$2:AG697),$AG$2:$AG$1001,0),0), INDEX($AN$1004:$BO$1004,1,MATCH(COLUMNS($AN$1006:AS1006),$AN$1006:$BO$1006,0)))),"Fix")))</f>
        <v>0</v>
      </c>
      <c r="H697" s="4">
        <f>IF(OR(INDEX($AH$2:$AH$1001,MATCH(ROWS($AG$2:AG697),$AG$2:$AG$1001,0),1)&gt;=100000,INDEX($AN$1005:$BO$1005,1,MATCH(COLUMNS($AN$1006:AT1006),$AN$1006:$BO$1006,0))&gt;=100000), " ",IF(INDEX($AN$2:$BO$1001,MATCH(ROWS($AG$2:AG697),$AG$2:$AG$1001,0),MATCH(COLUMNS($AN$1006:AT1006),$AN$1006:$BO$1006,0)), HYPERLINK("#",""), HYPERLINK(CONCATENATE("#Metadata!", ADDRESS(INDEX($AI$2:$AI$1001,MATCH(ROWS($AG$2:AG697),$AG$2:$AG$1001,0),0), INDEX($AN$1004:$BO$1004,1,MATCH(COLUMNS($AN$1006:AT1006),$AN$1006:$BO$1006,0)))),"Fix")))</f>
        <v>0</v>
      </c>
      <c r="I697" s="4">
        <f>IF(OR(INDEX($AH$2:$AH$1001,MATCH(ROWS($AG$2:AG697),$AG$2:$AG$1001,0),1)&gt;=100000,INDEX($AN$1005:$BO$1005,1,MATCH(COLUMNS($AN$1006:AU1006),$AN$1006:$BO$1006,0))&gt;=100000), " ",IF(INDEX($AN$2:$BO$1001,MATCH(ROWS($AG$2:AG697),$AG$2:$AG$1001,0),MATCH(COLUMNS($AN$1006:AU1006),$AN$1006:$BO$1006,0)), HYPERLINK("#",""), HYPERLINK(CONCATENATE("#Metadata!", ADDRESS(INDEX($AI$2:$AI$1001,MATCH(ROWS($AG$2:AG697),$AG$2:$AG$1001,0),0), INDEX($AN$1004:$BO$1004,1,MATCH(COLUMNS($AN$1006:AU1006),$AN$1006:$BO$1006,0)))),"Fix")))</f>
        <v>0</v>
      </c>
      <c r="J697" s="4">
        <f>IF(OR(INDEX($AH$2:$AH$1001,MATCH(ROWS($AG$2:AG697),$AG$2:$AG$1001,0),1)&gt;=100000,INDEX($AN$1005:$BO$1005,1,MATCH(COLUMNS($AN$1006:AV1006),$AN$1006:$BO$1006,0))&gt;=100000), " ",IF(INDEX($AN$2:$BO$1001,MATCH(ROWS($AG$2:AG697),$AG$2:$AG$1001,0),MATCH(COLUMNS($AN$1006:AV1006),$AN$1006:$BO$1006,0)), HYPERLINK("#",""), HYPERLINK(CONCATENATE("#Metadata!", ADDRESS(INDEX($AI$2:$AI$1001,MATCH(ROWS($AG$2:AG697),$AG$2:$AG$1001,0),0), INDEX($AN$1004:$BO$1004,1,MATCH(COLUMNS($AN$1006:AV1006),$AN$1006:$BO$1006,0)))),"Fix")))</f>
        <v>0</v>
      </c>
      <c r="K697" s="4">
        <f>IF(OR(INDEX($AH$2:$AH$1001,MATCH(ROWS($AG$2:AG697),$AG$2:$AG$1001,0),1)&gt;=100000,INDEX($AN$1005:$BO$1005,1,MATCH(COLUMNS($AN$1006:AW1006),$AN$1006:$BO$1006,0))&gt;=100000), " ",IF(INDEX($AN$2:$BO$1001,MATCH(ROWS($AG$2:AG697),$AG$2:$AG$1001,0),MATCH(COLUMNS($AN$1006:AW1006),$AN$1006:$BO$1006,0)), HYPERLINK("#",""), HYPERLINK(CONCATENATE("#Metadata!", ADDRESS(INDEX($AI$2:$AI$1001,MATCH(ROWS($AG$2:AG697),$AG$2:$AG$1001,0),0), INDEX($AN$1004:$BO$1004,1,MATCH(COLUMNS($AN$1006:AW1006),$AN$1006:$BO$1006,0)))),"Fix")))</f>
        <v>0</v>
      </c>
      <c r="L697" s="4">
        <f>IF(OR(INDEX($AH$2:$AH$1001,MATCH(ROWS($AG$2:AG697),$AG$2:$AG$1001,0),1)&gt;=100000,INDEX($AN$1005:$BO$1005,1,MATCH(COLUMNS($AN$1006:AX1006),$AN$1006:$BO$1006,0))&gt;=100000), " ",IF(INDEX($AN$2:$BO$1001,MATCH(ROWS($AG$2:AG697),$AG$2:$AG$1001,0),MATCH(COLUMNS($AN$1006:AX1006),$AN$1006:$BO$1006,0)), HYPERLINK("#",""), HYPERLINK(CONCATENATE("#Metadata!", ADDRESS(INDEX($AI$2:$AI$1001,MATCH(ROWS($AG$2:AG697),$AG$2:$AG$1001,0),0), INDEX($AN$1004:$BO$1004,1,MATCH(COLUMNS($AN$1006:AX1006),$AN$1006:$BO$1006,0)))),"Fix")))</f>
        <v>0</v>
      </c>
      <c r="M697" s="4">
        <f>IF(OR(INDEX($AH$2:$AH$1001,MATCH(ROWS($AG$2:AG697),$AG$2:$AG$1001,0),1)&gt;=100000,INDEX($AN$1005:$BO$1005,1,MATCH(COLUMNS($AN$1006:AY1006),$AN$1006:$BO$1006,0))&gt;=100000), " ",IF(INDEX($AN$2:$BO$1001,MATCH(ROWS($AG$2:AG697),$AG$2:$AG$1001,0),MATCH(COLUMNS($AN$1006:AY1006),$AN$1006:$BO$1006,0)), HYPERLINK("#",""), HYPERLINK(CONCATENATE("#Metadata!", ADDRESS(INDEX($AI$2:$AI$1001,MATCH(ROWS($AG$2:AG697),$AG$2:$AG$1001,0),0), INDEX($AN$1004:$BO$1004,1,MATCH(COLUMNS($AN$1006:AY1006),$AN$1006:$BO$1006,0)))),"Fix")))</f>
        <v>0</v>
      </c>
      <c r="N697" s="4">
        <f>IF(OR(INDEX($AH$2:$AH$1001,MATCH(ROWS($AG$2:AG697),$AG$2:$AG$1001,0),1)&gt;=100000,INDEX($AN$1005:$BO$1005,1,MATCH(COLUMNS($AN$1006:AZ1006),$AN$1006:$BO$1006,0))&gt;=100000), " ",IF(INDEX($AN$2:$BO$1001,MATCH(ROWS($AG$2:AG697),$AG$2:$AG$1001,0),MATCH(COLUMNS($AN$1006:AZ1006),$AN$1006:$BO$1006,0)), HYPERLINK("#",""), HYPERLINK(CONCATENATE("#Metadata!", ADDRESS(INDEX($AI$2:$AI$1001,MATCH(ROWS($AG$2:AG697),$AG$2:$AG$1001,0),0), INDEX($AN$1004:$BO$1004,1,MATCH(COLUMNS($AN$1006:AZ1006),$AN$1006:$BO$1006,0)))),"Fix")))</f>
        <v>0</v>
      </c>
      <c r="O697" s="4">
        <f>IF(OR(INDEX($AH$2:$AH$1001,MATCH(ROWS($AG$2:AG697),$AG$2:$AG$1001,0),1)&gt;=100000,INDEX($AN$1005:$BO$1005,1,MATCH(COLUMNS($AN$1006:BA1006),$AN$1006:$BO$1006,0))&gt;=100000), " ",IF(INDEX($AN$2:$BO$1001,MATCH(ROWS($AG$2:AG697),$AG$2:$AG$1001,0),MATCH(COLUMNS($AN$1006:BA1006),$AN$1006:$BO$1006,0)), HYPERLINK("#",""), HYPERLINK(CONCATENATE("#Metadata!", ADDRESS(INDEX($AI$2:$AI$1001,MATCH(ROWS($AG$2:AG697),$AG$2:$AG$1001,0),0), INDEX($AN$1004:$BO$1004,1,MATCH(COLUMNS($AN$1006:BA1006),$AN$1006:$BO$1006,0)))),"Fix")))</f>
        <v>0</v>
      </c>
      <c r="P697" s="4">
        <f>IF(OR(INDEX($AH$2:$AH$1001,MATCH(ROWS($AG$2:AG697),$AG$2:$AG$1001,0),1)&gt;=100000,INDEX($AN$1005:$BO$1005,1,MATCH(COLUMNS($AN$1006:BB1006),$AN$1006:$BO$1006,0))&gt;=100000), " ",IF(INDEX($AN$2:$BO$1001,MATCH(ROWS($AG$2:AG697),$AG$2:$AG$1001,0),MATCH(COLUMNS($AN$1006:BB1006),$AN$1006:$BO$1006,0)), HYPERLINK("#",""), HYPERLINK(CONCATENATE("#Metadata!", ADDRESS(INDEX($AI$2:$AI$1001,MATCH(ROWS($AG$2:AG697),$AG$2:$AG$1001,0),0), INDEX($AN$1004:$BO$1004,1,MATCH(COLUMNS($AN$1006:BB1006),$AN$1006:$BO$1006,0)))),"Fix")))</f>
        <v>0</v>
      </c>
      <c r="Q697" s="4">
        <f>IF(OR(INDEX($AH$2:$AH$1001,MATCH(ROWS($AG$2:AG697),$AG$2:$AG$1001,0),1)&gt;=100000,INDEX($AN$1005:$BO$1005,1,MATCH(COLUMNS($AN$1006:BC1006),$AN$1006:$BO$1006,0))&gt;=100000), " ",IF(INDEX($AN$2:$BO$1001,MATCH(ROWS($AG$2:AG697),$AG$2:$AG$1001,0),MATCH(COLUMNS($AN$1006:BC1006),$AN$1006:$BO$1006,0)), HYPERLINK("#",""), HYPERLINK(CONCATENATE("#Metadata!", ADDRESS(INDEX($AI$2:$AI$1001,MATCH(ROWS($AG$2:AG697),$AG$2:$AG$1001,0),0), INDEX($AN$1004:$BO$1004,1,MATCH(COLUMNS($AN$1006:BC1006),$AN$1006:$BO$1006,0)))),"Fix")))</f>
        <v>0</v>
      </c>
      <c r="R697" s="4">
        <f>IF(OR(INDEX($AH$2:$AH$1001,MATCH(ROWS($AG$2:AG697),$AG$2:$AG$1001,0),1)&gt;=100000,INDEX($AN$1005:$BO$1005,1,MATCH(COLUMNS($AN$1006:BD1006),$AN$1006:$BO$1006,0))&gt;=100000), " ",IF(INDEX($AN$2:$BO$1001,MATCH(ROWS($AG$2:AG697),$AG$2:$AG$1001,0),MATCH(COLUMNS($AN$1006:BD1006),$AN$1006:$BO$1006,0)), HYPERLINK("#",""), HYPERLINK(CONCATENATE("#Metadata!", ADDRESS(INDEX($AI$2:$AI$1001,MATCH(ROWS($AG$2:AG697),$AG$2:$AG$1001,0),0), INDEX($AN$1004:$BO$1004,1,MATCH(COLUMNS($AN$1006:BD1006),$AN$1006:$BO$1006,0)))),"Fix")))</f>
        <v>0</v>
      </c>
      <c r="S697" s="4">
        <f>IF(OR(INDEX($AH$2:$AH$1001,MATCH(ROWS($AG$2:AG697),$AG$2:$AG$1001,0),1)&gt;=100000,INDEX($AN$1005:$BO$1005,1,MATCH(COLUMNS($AN$1006:BE1006),$AN$1006:$BO$1006,0))&gt;=100000), " ",IF(INDEX($AN$2:$BO$1001,MATCH(ROWS($AG$2:AG697),$AG$2:$AG$1001,0),MATCH(COLUMNS($AN$1006:BE1006),$AN$1006:$BO$1006,0)), HYPERLINK("#",""), HYPERLINK(CONCATENATE("#Metadata!", ADDRESS(INDEX($AI$2:$AI$1001,MATCH(ROWS($AG$2:AG697),$AG$2:$AG$1001,0),0), INDEX($AN$1004:$BO$1004,1,MATCH(COLUMNS($AN$1006:BE1006),$AN$1006:$BO$1006,0)))),"Fix")))</f>
        <v>0</v>
      </c>
      <c r="T697" s="4">
        <f>IF(OR(INDEX($AH$2:$AH$1001,MATCH(ROWS($AG$2:AG697),$AG$2:$AG$1001,0),1)&gt;=100000,INDEX($AN$1005:$BO$1005,1,MATCH(COLUMNS($AN$1006:BF1006),$AN$1006:$BO$1006,0))&gt;=100000), " ",IF(INDEX($AN$2:$BO$1001,MATCH(ROWS($AG$2:AG697),$AG$2:$AG$1001,0),MATCH(COLUMNS($AN$1006:BF1006),$AN$1006:$BO$1006,0)), HYPERLINK("#",""), HYPERLINK(CONCATENATE("#Metadata!", ADDRESS(INDEX($AI$2:$AI$1001,MATCH(ROWS($AG$2:AG697),$AG$2:$AG$1001,0),0), INDEX($AN$1004:$BO$1004,1,MATCH(COLUMNS($AN$1006:BF1006),$AN$1006:$BO$1006,0)))),"Fix")))</f>
        <v>0</v>
      </c>
      <c r="U697" s="4">
        <f>IF(OR(INDEX($AH$2:$AH$1001,MATCH(ROWS($AG$2:AG697),$AG$2:$AG$1001,0),1)&gt;=100000,INDEX($AN$1005:$BO$1005,1,MATCH(COLUMNS($AN$1006:BG1006),$AN$1006:$BO$1006,0))&gt;=100000), " ",IF(INDEX($AN$2:$BO$1001,MATCH(ROWS($AG$2:AG697),$AG$2:$AG$1001,0),MATCH(COLUMNS($AN$1006:BG1006),$AN$1006:$BO$1006,0)), HYPERLINK("#",""), HYPERLINK(CONCATENATE("#Metadata!", ADDRESS(INDEX($AI$2:$AI$1001,MATCH(ROWS($AG$2:AG697),$AG$2:$AG$1001,0),0), INDEX($AN$1004:$BO$1004,1,MATCH(COLUMNS($AN$1006:BG1006),$AN$1006:$BO$1006,0)))),"Fix")))</f>
        <v>0</v>
      </c>
      <c r="V697" s="4">
        <f>IF(OR(INDEX($AH$2:$AH$1001,MATCH(ROWS($AG$2:AG697),$AG$2:$AG$1001,0),1)&gt;=100000,INDEX($AN$1005:$BO$1005,1,MATCH(COLUMNS($AN$1006:BH1006),$AN$1006:$BO$1006,0))&gt;=100000), " ",IF(INDEX($AN$2:$BO$1001,MATCH(ROWS($AG$2:AG697),$AG$2:$AG$1001,0),MATCH(COLUMNS($AN$1006:BH1006),$AN$1006:$BO$1006,0)), HYPERLINK("#",""), HYPERLINK(CONCATENATE("#Metadata!", ADDRESS(INDEX($AI$2:$AI$1001,MATCH(ROWS($AG$2:AG697),$AG$2:$AG$1001,0),0), INDEX($AN$1004:$BO$1004,1,MATCH(COLUMNS($AN$1006:BH1006),$AN$1006:$BO$1006,0)))),"Fix")))</f>
        <v>0</v>
      </c>
      <c r="W697" s="4">
        <f>IF(OR(INDEX($AH$2:$AH$1001,MATCH(ROWS($AG$2:AG697),$AG$2:$AG$1001,0),1)&gt;=100000,INDEX($AN$1005:$BO$1005,1,MATCH(COLUMNS($AN$1006:BI1006),$AN$1006:$BO$1006,0))&gt;=100000), " ",IF(INDEX($AN$2:$BO$1001,MATCH(ROWS($AG$2:AG697),$AG$2:$AG$1001,0),MATCH(COLUMNS($AN$1006:BI1006),$AN$1006:$BO$1006,0)), HYPERLINK("#",""), HYPERLINK(CONCATENATE("#Metadata!", ADDRESS(INDEX($AI$2:$AI$1001,MATCH(ROWS($AG$2:AG697),$AG$2:$AG$1001,0),0), INDEX($AN$1004:$BO$1004,1,MATCH(COLUMNS($AN$1006:BI1006),$AN$1006:$BO$1006,0)))),"Fix")))</f>
        <v>0</v>
      </c>
      <c r="X697" s="4">
        <f>IF(OR(INDEX($AH$2:$AH$1001,MATCH(ROWS($AG$2:AG697),$AG$2:$AG$1001,0),1)&gt;=100000,INDEX($AN$1005:$BO$1005,1,MATCH(COLUMNS($AN$1006:BJ1006),$AN$1006:$BO$1006,0))&gt;=100000), " ",IF(INDEX($AN$2:$BO$1001,MATCH(ROWS($AG$2:AG697),$AG$2:$AG$1001,0),MATCH(COLUMNS($AN$1006:BJ1006),$AN$1006:$BO$1006,0)), HYPERLINK("#",""), HYPERLINK(CONCATENATE("#Metadata!", ADDRESS(INDEX($AI$2:$AI$1001,MATCH(ROWS($AG$2:AG697),$AG$2:$AG$1001,0),0), INDEX($AN$1004:$BO$1004,1,MATCH(COLUMNS($AN$1006:BJ1006),$AN$1006:$BO$1006,0)))),"Fix")))</f>
        <v>0</v>
      </c>
      <c r="Y697" s="4">
        <f>IF(OR(INDEX($AH$2:$AH$1001,MATCH(ROWS($AG$2:AG697),$AG$2:$AG$1001,0),1)&gt;=100000,INDEX($AN$1005:$BO$1005,1,MATCH(COLUMNS($AN$1006:BK1006),$AN$1006:$BO$1006,0))&gt;=100000), " ",IF(INDEX($AN$2:$BO$1001,MATCH(ROWS($AG$2:AG697),$AG$2:$AG$1001,0),MATCH(COLUMNS($AN$1006:BK1006),$AN$1006:$BO$1006,0)), HYPERLINK("#",""), HYPERLINK(CONCATENATE("#Metadata!", ADDRESS(INDEX($AI$2:$AI$1001,MATCH(ROWS($AG$2:AG697),$AG$2:$AG$1001,0),0), INDEX($AN$1004:$BO$1004,1,MATCH(COLUMNS($AN$1006:BK1006),$AN$1006:$BO$1006,0)))),"Fix")))</f>
        <v>0</v>
      </c>
      <c r="Z697" s="4">
        <f>IF(OR(INDEX($AH$2:$AH$1001,MATCH(ROWS($AG$2:AG697),$AG$2:$AG$1001,0),1)&gt;=100000,INDEX($AN$1005:$BO$1005,1,MATCH(COLUMNS($AN$1006:BL1006),$AN$1006:$BO$1006,0))&gt;=100000), " ",IF(INDEX($AN$2:$BO$1001,MATCH(ROWS($AG$2:AG697),$AG$2:$AG$1001,0),MATCH(COLUMNS($AN$1006:BL1006),$AN$1006:$BO$1006,0)), HYPERLINK("#",""), HYPERLINK(CONCATENATE("#Metadata!", ADDRESS(INDEX($AI$2:$AI$1001,MATCH(ROWS($AG$2:AG697),$AG$2:$AG$1001,0),0), INDEX($AN$1004:$BO$1004,1,MATCH(COLUMNS($AN$1006:BL1006),$AN$1006:$BO$1006,0)))),"Fix")))</f>
        <v>0</v>
      </c>
      <c r="AA697" s="4">
        <f>IF(OR(INDEX($AH$2:$AH$1001,MATCH(ROWS($AG$2:AG697),$AG$2:$AG$1001,0),1)&gt;=100000,INDEX($AN$1005:$BO$1005,1,MATCH(COLUMNS($AN$1006:BM1006),$AN$1006:$BO$1006,0))&gt;=100000), " ",IF(INDEX($AN$2:$BO$1001,MATCH(ROWS($AG$2:AG697),$AG$2:$AG$1001,0),MATCH(COLUMNS($AN$1006:BM1006),$AN$1006:$BO$1006,0)), HYPERLINK("#",""), HYPERLINK(CONCATENATE("#Metadata!", ADDRESS(INDEX($AI$2:$AI$1001,MATCH(ROWS($AG$2:AG697),$AG$2:$AG$1001,0),0), INDEX($AN$1004:$BO$1004,1,MATCH(COLUMNS($AN$1006:BM1006),$AN$1006:$BO$1006,0)))),"Fix")))</f>
        <v>0</v>
      </c>
      <c r="AB697" s="4">
        <f>IF(OR(INDEX($AH$2:$AH$1001,MATCH(ROWS($AG$2:AG697),$AG$2:$AG$1001,0),1)&gt;=100000,INDEX($AN$1005:$BO$1005,1,MATCH(COLUMNS($AN$1006:BN1006),$AN$1006:$BO$1006,0))&gt;=100000), " ",IF(INDEX($AN$2:$BO$1001,MATCH(ROWS($AG$2:AG697),$AG$2:$AG$1001,0),MATCH(COLUMNS($AN$1006:BN1006),$AN$1006:$BO$1006,0)), HYPERLINK("#",""), HYPERLINK(CONCATENATE("#Metadata!", ADDRESS(INDEX($AI$2:$AI$1001,MATCH(ROWS($AG$2:AG697),$AG$2:$AG$1001,0),0), INDEX($AN$1004:$BO$1004,1,MATCH(COLUMNS($AN$1006:BN1006),$AN$1006:$BO$1006,0)))),"Fix")))</f>
        <v>0</v>
      </c>
      <c r="AC697" s="4">
        <f>IF(OR(INDEX($AH$2:$AH$1001,MATCH(ROWS($AG$2:AG697),$AG$2:$AG$1001,0),1)&gt;=100000,INDEX($AN$1005:$BO$1005,1,MATCH(COLUMNS($AN$1006:BO1006),$AN$1006:$BO$1006,0))&gt;=100000), " ",IF(INDEX($AN$2:$BO$1001,MATCH(ROWS($AG$2:AG697),$AG$2:$AG$1001,0),MATCH(COLUMNS($AN$1006:BO1006),$AN$1006:$BO$1006,0)), HYPERLINK("#",""), HYPERLINK(CONCATENATE("#Metadata!", ADDRESS(INDEX($AI$2:$AI$1001,MATCH(ROWS($AG$2:AG697),$AG$2:$AG$1001,0),0), INDEX($AN$1004:$BO$1004,1,MATCH(COLUMNS($AN$1006:BO1006),$AN$1006:$BO$1006,0)))),"Fix")))</f>
        <v>0</v>
      </c>
      <c r="AG697">
        <v>0</v>
      </c>
      <c r="AH697">
        <v>0</v>
      </c>
      <c r="AI697">
        <v>0</v>
      </c>
      <c r="AJ697">
        <f>IF(AK697,TRUE,AND(AN697:BO697))</f>
        <v>0</v>
      </c>
      <c r="AK697">
        <f>COUNTBLANK(Metadata!B697:AC697)=COLUMNS(Metadata!B697:AC697)</f>
        <v>0</v>
      </c>
      <c r="AL697">
        <v>0</v>
      </c>
      <c r="AN697">
        <f>AND(IF(Metadata!B697="",FALSE,TRUE),COUNTIF(Metadata!B:B, Metadata!B697) = 1,NOT(ISERROR(SUMPRODUCT(SEARCH(MID(Metadata!B697,ROW(INDIRECT("1:"&amp;LEN(Metadata!B697))), 1),"0123456789abcdefghijklmnopqrstuvwxyzABCDEFGHIJKLMNOPQRSTUVWXYZ.")))))</f>
        <v>0</v>
      </c>
      <c r="AO697">
        <f>IF(Metadata!C697="",FALSE,TRUE)</f>
        <v>0</v>
      </c>
      <c r="AP697">
        <f>IF(Metadata!D697="",FALSE,TRUE)</f>
        <v>0</v>
      </c>
      <c r="AQ697">
        <f>OR(AND(IF(Metadata!E697="",FALSE,TRUE),OR(exact(Metadata!E697,"not collected"),exact(Metadata!E697,"not provided"),exact(Metadata!E697,"restricted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R697">
        <f>IF(Metadata!F697="",FALSE,TRUE)</f>
        <v>0</v>
      </c>
      <c r="AS697">
        <f>OR(AND(IF(Metadata!G697="",FALSE,TRUE),OR(exact(Metadata!G697,"not collected"),exact(Metadata!G697,"not provided"))),AND(IF(Metadata!G697="",FALSE,TRUE),OR(exact(Metadata!G697,"TRUE"),exact(Metadata!G697,"FALSE"))))</f>
        <v>0</v>
      </c>
      <c r="AT697">
        <f>OR(AND(IF(Metadata!H697="",FALSE,TRUE),OR(exact(Metadata!H697,"not collected"),exact(Metadata!H697,"not provided"),exact(Metadata!H697,"restricted access"))),AND(IF(Metadata!H697="",FALSE,ISNUMBER(VALUE(Metadata!H697))),Metadata!H697&gt;=-413.0))</f>
        <v>0</v>
      </c>
      <c r="AU697">
        <f>AND(IF(Metadata!I697="",FALSE,TRUE),exact(Metadata!I697,"meters"))</f>
        <v>0</v>
      </c>
      <c r="AV697">
        <f>AND(IF(Metadata!J697="",FALSE,TRUE),OR(exact(Metadata!J697,"Host-associated"),exact(Metadata!J697,"Free-living")))</f>
        <v>0</v>
      </c>
      <c r="AW697">
        <f>AND(IF(Metadata!K697="",FALSE,TRUE),OR(exact(Metadata!K697,"Animal"),exact(Metadata!K697,"Fungus"),exact(Metadata!K697,"Plant"),exact(Metadata!K697,"Saline"),exact(Metadata!K697,"Non-saline")))</f>
        <v>0</v>
      </c>
      <c r="AX697">
        <f>AND(IF(Metadata!L697="",FALSE,TRUE),OR(exact(Metadata!L697,"Plant secretion"),exact(Metadata!L697,"Plant rhizosphere"),exact(Metadata!L697,"Plant surface"),exact(Metadata!L697,"Plant corpus"),exact(Metadata!L697,"Fungus surface"),exact(Metadata!L697,"Fungus corpus"),exact(Metadata!L697,"Animal surface"),exact(Metadata!L697,"Animal proximal gut"),exact(Metadata!L697,"Animal corpus"),exact(Metadata!L697,"Animal distal gut"),exact(Metadata!L697,"Animal secretion"),exact(Metadata!L697,"Sub-surface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Y697">
        <f>IF(Metadata!M697="",FALSE,TRUE)</f>
        <v>0</v>
      </c>
      <c r="AZ697">
        <f>IF(Metadata!N697="",FALSE,TRUE)</f>
        <v>0</v>
      </c>
      <c r="BA697">
        <f>IF(Metadata!O697="",FALSE,TRUE)</f>
        <v>0</v>
      </c>
      <c r="BB697">
        <f>OR(AND(IF(Metadata!P697="",FALSE,TRUE),OR(exact(Metadata!P697,"not collected"),exact(Metadata!P697,"not provided"),exact(Metadata!P697,"restricted access"))),AND(IF(Metadata!P697="",FALSE,TRUE),OR(exact(Metadata!P697,"air"),exact(Metadata!P697,"built environment"),exact(Metadata!P697,"host-associated"),exact(Metadata!P697,"human-associated"),exact(Metadata!P697,"human-skin"),exact(Metadata!P697,"human-oral"),exact(Metadata!P697,"human-gut"),exact(Metadata!P697,"human-vaginal"),exact(Metadata!P697,"microbial mat/biofilm"),exact(Metadata!P697,"misc environment"),exact(Metadata!P697,"plant-associated"),exact(Metadata!P697,"sediment"),exact(Metadata!P697,"soil"),exact(Metadata!P697,"wastewater/sludge"),exact(Metadata!P697,"water"))))</f>
        <v>0</v>
      </c>
      <c r="BC697">
        <f>IF(Metadata!Q697="",FALSE,TRUE)</f>
        <v>0</v>
      </c>
      <c r="BD697">
        <f>IF(Metadata!R697="",FALSE,TRUE)</f>
        <v>0</v>
      </c>
      <c r="BE697">
        <f>OR(AND(IF(Metadata!S697="",FALSE,TRUE),OR(exact(Metadata!S697,"not collected"),exact(Metadata!S697,"not provided"),exact(Metadata!S697,"restricted access"))),AND(IF(Metadata!S697="",FALSE,ISNUMBER(VALUE(Metadata!S697))),Metadata!S697&gt;=-90.00,Metadata!S697&lt;=90.00))</f>
        <v>0</v>
      </c>
      <c r="BF697">
        <f>AND(IF(Metadata!T697="",FALSE,TRUE),exact(Metadata!T697,"Decimal degrees"))</f>
        <v>0</v>
      </c>
      <c r="BG697">
        <f>OR(AND(IF(Metadata!U697="",FALSE,TRUE),OR(exact(Metadata!U697,"not collected"),exact(Metadata!U697,"not provided"),exact(Metadata!U697,"restricted access"))),AND(IF(Metadata!U697="",FALSE,ISNUMBER(VALUE(Metadata!U697))),Metadata!U697&gt;=-180.00,Metadata!U697&lt;=180.00))</f>
        <v>0</v>
      </c>
      <c r="BH697">
        <f>AND(IF(Metadata!V697="",FALSE,TRUE),exact(Metadata!V697,"Decimal degrees"))</f>
        <v>0</v>
      </c>
      <c r="BI697">
        <f>IF(Metadata!W697="",FALSE,TRUE)</f>
        <v>0</v>
      </c>
      <c r="BJ697">
        <f>OR(AND(IF(Metadata!X697="",FALSE,TRUE),OR(exact(Metadata!X697,"not collected"),exact(Metadata!X697,"not provided"),exact(Metadata!X697,"restricted access"))),AND(IF(Metadata!X697="",FALSE,TRUE),OR(exact(Metadata!X697,"TRUE"),exact(Metadata!X697,"FALSE"))))</f>
        <v>0</v>
      </c>
      <c r="BK697">
        <f>AND(IF(Metadata!Y697="",FALSE,TRUE),exact(Metadata!Y697,"other"))</f>
        <v>0</v>
      </c>
      <c r="BL697">
        <f>IF(Metadata!Z697="",FALSE,TRUE)</f>
        <v>0</v>
      </c>
      <c r="BM697">
        <f>OR(AND(IF(Metadata!AA697="",FALSE,TRUE),OR(exact(Metadata!AA697,"not collected"),exact(Metadata!AA697,"not provided"))),AND(IF(Metadata!AA697="",FALSE,IF(ISERROR(INT(Metadata!AA697)),FALSE,INT(Metadata!AA697)=Metadata!AA697)),Metadata!AA697&gt;0))</f>
        <v>0</v>
      </c>
      <c r="BN697">
        <f>AND(IF(Metadata!AB697="",FALSE,TRUE),exact(Metadata!AB697,"Not applicable"))</f>
        <v>0</v>
      </c>
      <c r="BO697">
        <f>IF(Metadata!AC697="",FALSE,TRUE)</f>
        <v>0</v>
      </c>
    </row>
    <row r="698" spans="1:67">
      <c r="A698" s="5">
        <f>IF(B698=" "," ",HYPERLINK(CONCATENATE("#metadata!",ADDRESS(INDEX($AI$2:$AI$1001,MATCH(ROWS($AG$2:AG698),$AG$2:$AG$1001,0),0),1)),INDEX($AL$2:$AL$1001,MATCH(ROWS($AG$2:AG698),$AG$2:$AG$1001,0),0)))</f>
        <v>0</v>
      </c>
      <c r="B698" s="4">
        <f>IF(OR(INDEX($AH$2:$AH$1001,MATCH(ROWS($AG$2:AG698),$AG$2:$AG$1001,0),1)&gt;=100000,INDEX($AN$1005:$BO$1005,1,MATCH(COLUMNS($AN$1006:AN1006),$AN$1006:$BO$1006,0))&gt;=100000), " ",IF(INDEX($AN$2:$BO$1001,MATCH(ROWS($AG$2:AG698),$AG$2:$AG$1001,0),MATCH(COLUMNS($AN$1006:AN1006),$AN$1006:$BO$1006,0)), HYPERLINK("#",""), HYPERLINK(CONCATENATE("#Metadata!", ADDRESS(INDEX($AI$2:$AI$1001,MATCH(ROWS($AG$2:AG698),$AG$2:$AG$1001,0),0), INDEX($AN$1004:$BO$1004,1,MATCH(COLUMNS($AN$1006:AN1006),$AN$1006:$BO$1006,0)))),"Fix")))</f>
        <v>0</v>
      </c>
      <c r="C698" s="4">
        <f>IF(OR(INDEX($AH$2:$AH$1001,MATCH(ROWS($AG$2:AG698),$AG$2:$AG$1001,0),1)&gt;=100000,INDEX($AN$1005:$BO$1005,1,MATCH(COLUMNS($AN$1006:AO1006),$AN$1006:$BO$1006,0))&gt;=100000), " ",IF(INDEX($AN$2:$BO$1001,MATCH(ROWS($AG$2:AG698),$AG$2:$AG$1001,0),MATCH(COLUMNS($AN$1006:AO1006),$AN$1006:$BO$1006,0)), HYPERLINK("#",""), HYPERLINK(CONCATENATE("#Metadata!", ADDRESS(INDEX($AI$2:$AI$1001,MATCH(ROWS($AG$2:AG698),$AG$2:$AG$1001,0),0), INDEX($AN$1004:$BO$1004,1,MATCH(COLUMNS($AN$1006:AO1006),$AN$1006:$BO$1006,0)))),"Fix")))</f>
        <v>0</v>
      </c>
      <c r="D698" s="4">
        <f>IF(OR(INDEX($AH$2:$AH$1001,MATCH(ROWS($AG$2:AG698),$AG$2:$AG$1001,0),1)&gt;=100000,INDEX($AN$1005:$BO$1005,1,MATCH(COLUMNS($AN$1006:AP1006),$AN$1006:$BO$1006,0))&gt;=100000), " ",IF(INDEX($AN$2:$BO$1001,MATCH(ROWS($AG$2:AG698),$AG$2:$AG$1001,0),MATCH(COLUMNS($AN$1006:AP1006),$AN$1006:$BO$1006,0)), HYPERLINK("#",""), HYPERLINK(CONCATENATE("#Metadata!", ADDRESS(INDEX($AI$2:$AI$1001,MATCH(ROWS($AG$2:AG698),$AG$2:$AG$1001,0),0), INDEX($AN$1004:$BO$1004,1,MATCH(COLUMNS($AN$1006:AP1006),$AN$1006:$BO$1006,0)))),"Fix")))</f>
        <v>0</v>
      </c>
      <c r="E698" s="4">
        <f>IF(OR(INDEX($AH$2:$AH$1001,MATCH(ROWS($AG$2:AG698),$AG$2:$AG$1001,0),1)&gt;=100000,INDEX($AN$1005:$BO$1005,1,MATCH(COLUMNS($AN$1006:AQ1006),$AN$1006:$BO$1006,0))&gt;=100000), " ",IF(INDEX($AN$2:$BO$1001,MATCH(ROWS($AG$2:AG698),$AG$2:$AG$1001,0),MATCH(COLUMNS($AN$1006:AQ1006),$AN$1006:$BO$1006,0)), HYPERLINK("#",""), HYPERLINK(CONCATENATE("#Metadata!", ADDRESS(INDEX($AI$2:$AI$1001,MATCH(ROWS($AG$2:AG698),$AG$2:$AG$1001,0),0), INDEX($AN$1004:$BO$1004,1,MATCH(COLUMNS($AN$1006:AQ1006),$AN$1006:$BO$1006,0)))),"Fix")))</f>
        <v>0</v>
      </c>
      <c r="F698" s="4">
        <f>IF(OR(INDEX($AH$2:$AH$1001,MATCH(ROWS($AG$2:AG698),$AG$2:$AG$1001,0),1)&gt;=100000,INDEX($AN$1005:$BO$1005,1,MATCH(COLUMNS($AN$1006:AR1006),$AN$1006:$BO$1006,0))&gt;=100000), " ",IF(INDEX($AN$2:$BO$1001,MATCH(ROWS($AG$2:AG698),$AG$2:$AG$1001,0),MATCH(COLUMNS($AN$1006:AR1006),$AN$1006:$BO$1006,0)), HYPERLINK("#",""), HYPERLINK(CONCATENATE("#Metadata!", ADDRESS(INDEX($AI$2:$AI$1001,MATCH(ROWS($AG$2:AG698),$AG$2:$AG$1001,0),0), INDEX($AN$1004:$BO$1004,1,MATCH(COLUMNS($AN$1006:AR1006),$AN$1006:$BO$1006,0)))),"Fix")))</f>
        <v>0</v>
      </c>
      <c r="G698" s="4">
        <f>IF(OR(INDEX($AH$2:$AH$1001,MATCH(ROWS($AG$2:AG698),$AG$2:$AG$1001,0),1)&gt;=100000,INDEX($AN$1005:$BO$1005,1,MATCH(COLUMNS($AN$1006:AS1006),$AN$1006:$BO$1006,0))&gt;=100000), " ",IF(INDEX($AN$2:$BO$1001,MATCH(ROWS($AG$2:AG698),$AG$2:$AG$1001,0),MATCH(COLUMNS($AN$1006:AS1006),$AN$1006:$BO$1006,0)), HYPERLINK("#",""), HYPERLINK(CONCATENATE("#Metadata!", ADDRESS(INDEX($AI$2:$AI$1001,MATCH(ROWS($AG$2:AG698),$AG$2:$AG$1001,0),0), INDEX($AN$1004:$BO$1004,1,MATCH(COLUMNS($AN$1006:AS1006),$AN$1006:$BO$1006,0)))),"Fix")))</f>
        <v>0</v>
      </c>
      <c r="H698" s="4">
        <f>IF(OR(INDEX($AH$2:$AH$1001,MATCH(ROWS($AG$2:AG698),$AG$2:$AG$1001,0),1)&gt;=100000,INDEX($AN$1005:$BO$1005,1,MATCH(COLUMNS($AN$1006:AT1006),$AN$1006:$BO$1006,0))&gt;=100000), " ",IF(INDEX($AN$2:$BO$1001,MATCH(ROWS($AG$2:AG698),$AG$2:$AG$1001,0),MATCH(COLUMNS($AN$1006:AT1006),$AN$1006:$BO$1006,0)), HYPERLINK("#",""), HYPERLINK(CONCATENATE("#Metadata!", ADDRESS(INDEX($AI$2:$AI$1001,MATCH(ROWS($AG$2:AG698),$AG$2:$AG$1001,0),0), INDEX($AN$1004:$BO$1004,1,MATCH(COLUMNS($AN$1006:AT1006),$AN$1006:$BO$1006,0)))),"Fix")))</f>
        <v>0</v>
      </c>
      <c r="I698" s="4">
        <f>IF(OR(INDEX($AH$2:$AH$1001,MATCH(ROWS($AG$2:AG698),$AG$2:$AG$1001,0),1)&gt;=100000,INDEX($AN$1005:$BO$1005,1,MATCH(COLUMNS($AN$1006:AU1006),$AN$1006:$BO$1006,0))&gt;=100000), " ",IF(INDEX($AN$2:$BO$1001,MATCH(ROWS($AG$2:AG698),$AG$2:$AG$1001,0),MATCH(COLUMNS($AN$1006:AU1006),$AN$1006:$BO$1006,0)), HYPERLINK("#",""), HYPERLINK(CONCATENATE("#Metadata!", ADDRESS(INDEX($AI$2:$AI$1001,MATCH(ROWS($AG$2:AG698),$AG$2:$AG$1001,0),0), INDEX($AN$1004:$BO$1004,1,MATCH(COLUMNS($AN$1006:AU1006),$AN$1006:$BO$1006,0)))),"Fix")))</f>
        <v>0</v>
      </c>
      <c r="J698" s="4">
        <f>IF(OR(INDEX($AH$2:$AH$1001,MATCH(ROWS($AG$2:AG698),$AG$2:$AG$1001,0),1)&gt;=100000,INDEX($AN$1005:$BO$1005,1,MATCH(COLUMNS($AN$1006:AV1006),$AN$1006:$BO$1006,0))&gt;=100000), " ",IF(INDEX($AN$2:$BO$1001,MATCH(ROWS($AG$2:AG698),$AG$2:$AG$1001,0),MATCH(COLUMNS($AN$1006:AV1006),$AN$1006:$BO$1006,0)), HYPERLINK("#",""), HYPERLINK(CONCATENATE("#Metadata!", ADDRESS(INDEX($AI$2:$AI$1001,MATCH(ROWS($AG$2:AG698),$AG$2:$AG$1001,0),0), INDEX($AN$1004:$BO$1004,1,MATCH(COLUMNS($AN$1006:AV1006),$AN$1006:$BO$1006,0)))),"Fix")))</f>
        <v>0</v>
      </c>
      <c r="K698" s="4">
        <f>IF(OR(INDEX($AH$2:$AH$1001,MATCH(ROWS($AG$2:AG698),$AG$2:$AG$1001,0),1)&gt;=100000,INDEX($AN$1005:$BO$1005,1,MATCH(COLUMNS($AN$1006:AW1006),$AN$1006:$BO$1006,0))&gt;=100000), " ",IF(INDEX($AN$2:$BO$1001,MATCH(ROWS($AG$2:AG698),$AG$2:$AG$1001,0),MATCH(COLUMNS($AN$1006:AW1006),$AN$1006:$BO$1006,0)), HYPERLINK("#",""), HYPERLINK(CONCATENATE("#Metadata!", ADDRESS(INDEX($AI$2:$AI$1001,MATCH(ROWS($AG$2:AG698),$AG$2:$AG$1001,0),0), INDEX($AN$1004:$BO$1004,1,MATCH(COLUMNS($AN$1006:AW1006),$AN$1006:$BO$1006,0)))),"Fix")))</f>
        <v>0</v>
      </c>
      <c r="L698" s="4">
        <f>IF(OR(INDEX($AH$2:$AH$1001,MATCH(ROWS($AG$2:AG698),$AG$2:$AG$1001,0),1)&gt;=100000,INDEX($AN$1005:$BO$1005,1,MATCH(COLUMNS($AN$1006:AX1006),$AN$1006:$BO$1006,0))&gt;=100000), " ",IF(INDEX($AN$2:$BO$1001,MATCH(ROWS($AG$2:AG698),$AG$2:$AG$1001,0),MATCH(COLUMNS($AN$1006:AX1006),$AN$1006:$BO$1006,0)), HYPERLINK("#",""), HYPERLINK(CONCATENATE("#Metadata!", ADDRESS(INDEX($AI$2:$AI$1001,MATCH(ROWS($AG$2:AG698),$AG$2:$AG$1001,0),0), INDEX($AN$1004:$BO$1004,1,MATCH(COLUMNS($AN$1006:AX1006),$AN$1006:$BO$1006,0)))),"Fix")))</f>
        <v>0</v>
      </c>
      <c r="M698" s="4">
        <f>IF(OR(INDEX($AH$2:$AH$1001,MATCH(ROWS($AG$2:AG698),$AG$2:$AG$1001,0),1)&gt;=100000,INDEX($AN$1005:$BO$1005,1,MATCH(COLUMNS($AN$1006:AY1006),$AN$1006:$BO$1006,0))&gt;=100000), " ",IF(INDEX($AN$2:$BO$1001,MATCH(ROWS($AG$2:AG698),$AG$2:$AG$1001,0),MATCH(COLUMNS($AN$1006:AY1006),$AN$1006:$BO$1006,0)), HYPERLINK("#",""), HYPERLINK(CONCATENATE("#Metadata!", ADDRESS(INDEX($AI$2:$AI$1001,MATCH(ROWS($AG$2:AG698),$AG$2:$AG$1001,0),0), INDEX($AN$1004:$BO$1004,1,MATCH(COLUMNS($AN$1006:AY1006),$AN$1006:$BO$1006,0)))),"Fix")))</f>
        <v>0</v>
      </c>
      <c r="N698" s="4">
        <f>IF(OR(INDEX($AH$2:$AH$1001,MATCH(ROWS($AG$2:AG698),$AG$2:$AG$1001,0),1)&gt;=100000,INDEX($AN$1005:$BO$1005,1,MATCH(COLUMNS($AN$1006:AZ1006),$AN$1006:$BO$1006,0))&gt;=100000), " ",IF(INDEX($AN$2:$BO$1001,MATCH(ROWS($AG$2:AG698),$AG$2:$AG$1001,0),MATCH(COLUMNS($AN$1006:AZ1006),$AN$1006:$BO$1006,0)), HYPERLINK("#",""), HYPERLINK(CONCATENATE("#Metadata!", ADDRESS(INDEX($AI$2:$AI$1001,MATCH(ROWS($AG$2:AG698),$AG$2:$AG$1001,0),0), INDEX($AN$1004:$BO$1004,1,MATCH(COLUMNS($AN$1006:AZ1006),$AN$1006:$BO$1006,0)))),"Fix")))</f>
        <v>0</v>
      </c>
      <c r="O698" s="4">
        <f>IF(OR(INDEX($AH$2:$AH$1001,MATCH(ROWS($AG$2:AG698),$AG$2:$AG$1001,0),1)&gt;=100000,INDEX($AN$1005:$BO$1005,1,MATCH(COLUMNS($AN$1006:BA1006),$AN$1006:$BO$1006,0))&gt;=100000), " ",IF(INDEX($AN$2:$BO$1001,MATCH(ROWS($AG$2:AG698),$AG$2:$AG$1001,0),MATCH(COLUMNS($AN$1006:BA1006),$AN$1006:$BO$1006,0)), HYPERLINK("#",""), HYPERLINK(CONCATENATE("#Metadata!", ADDRESS(INDEX($AI$2:$AI$1001,MATCH(ROWS($AG$2:AG698),$AG$2:$AG$1001,0),0), INDEX($AN$1004:$BO$1004,1,MATCH(COLUMNS($AN$1006:BA1006),$AN$1006:$BO$1006,0)))),"Fix")))</f>
        <v>0</v>
      </c>
      <c r="P698" s="4">
        <f>IF(OR(INDEX($AH$2:$AH$1001,MATCH(ROWS($AG$2:AG698),$AG$2:$AG$1001,0),1)&gt;=100000,INDEX($AN$1005:$BO$1005,1,MATCH(COLUMNS($AN$1006:BB1006),$AN$1006:$BO$1006,0))&gt;=100000), " ",IF(INDEX($AN$2:$BO$1001,MATCH(ROWS($AG$2:AG698),$AG$2:$AG$1001,0),MATCH(COLUMNS($AN$1006:BB1006),$AN$1006:$BO$1006,0)), HYPERLINK("#",""), HYPERLINK(CONCATENATE("#Metadata!", ADDRESS(INDEX($AI$2:$AI$1001,MATCH(ROWS($AG$2:AG698),$AG$2:$AG$1001,0),0), INDEX($AN$1004:$BO$1004,1,MATCH(COLUMNS($AN$1006:BB1006),$AN$1006:$BO$1006,0)))),"Fix")))</f>
        <v>0</v>
      </c>
      <c r="Q698" s="4">
        <f>IF(OR(INDEX($AH$2:$AH$1001,MATCH(ROWS($AG$2:AG698),$AG$2:$AG$1001,0),1)&gt;=100000,INDEX($AN$1005:$BO$1005,1,MATCH(COLUMNS($AN$1006:BC1006),$AN$1006:$BO$1006,0))&gt;=100000), " ",IF(INDEX($AN$2:$BO$1001,MATCH(ROWS($AG$2:AG698),$AG$2:$AG$1001,0),MATCH(COLUMNS($AN$1006:BC1006),$AN$1006:$BO$1006,0)), HYPERLINK("#",""), HYPERLINK(CONCATENATE("#Metadata!", ADDRESS(INDEX($AI$2:$AI$1001,MATCH(ROWS($AG$2:AG698),$AG$2:$AG$1001,0),0), INDEX($AN$1004:$BO$1004,1,MATCH(COLUMNS($AN$1006:BC1006),$AN$1006:$BO$1006,0)))),"Fix")))</f>
        <v>0</v>
      </c>
      <c r="R698" s="4">
        <f>IF(OR(INDEX($AH$2:$AH$1001,MATCH(ROWS($AG$2:AG698),$AG$2:$AG$1001,0),1)&gt;=100000,INDEX($AN$1005:$BO$1005,1,MATCH(COLUMNS($AN$1006:BD1006),$AN$1006:$BO$1006,0))&gt;=100000), " ",IF(INDEX($AN$2:$BO$1001,MATCH(ROWS($AG$2:AG698),$AG$2:$AG$1001,0),MATCH(COLUMNS($AN$1006:BD1006),$AN$1006:$BO$1006,0)), HYPERLINK("#",""), HYPERLINK(CONCATENATE("#Metadata!", ADDRESS(INDEX($AI$2:$AI$1001,MATCH(ROWS($AG$2:AG698),$AG$2:$AG$1001,0),0), INDEX($AN$1004:$BO$1004,1,MATCH(COLUMNS($AN$1006:BD1006),$AN$1006:$BO$1006,0)))),"Fix")))</f>
        <v>0</v>
      </c>
      <c r="S698" s="4">
        <f>IF(OR(INDEX($AH$2:$AH$1001,MATCH(ROWS($AG$2:AG698),$AG$2:$AG$1001,0),1)&gt;=100000,INDEX($AN$1005:$BO$1005,1,MATCH(COLUMNS($AN$1006:BE1006),$AN$1006:$BO$1006,0))&gt;=100000), " ",IF(INDEX($AN$2:$BO$1001,MATCH(ROWS($AG$2:AG698),$AG$2:$AG$1001,0),MATCH(COLUMNS($AN$1006:BE1006),$AN$1006:$BO$1006,0)), HYPERLINK("#",""), HYPERLINK(CONCATENATE("#Metadata!", ADDRESS(INDEX($AI$2:$AI$1001,MATCH(ROWS($AG$2:AG698),$AG$2:$AG$1001,0),0), INDEX($AN$1004:$BO$1004,1,MATCH(COLUMNS($AN$1006:BE1006),$AN$1006:$BO$1006,0)))),"Fix")))</f>
        <v>0</v>
      </c>
      <c r="T698" s="4">
        <f>IF(OR(INDEX($AH$2:$AH$1001,MATCH(ROWS($AG$2:AG698),$AG$2:$AG$1001,0),1)&gt;=100000,INDEX($AN$1005:$BO$1005,1,MATCH(COLUMNS($AN$1006:BF1006),$AN$1006:$BO$1006,0))&gt;=100000), " ",IF(INDEX($AN$2:$BO$1001,MATCH(ROWS($AG$2:AG698),$AG$2:$AG$1001,0),MATCH(COLUMNS($AN$1006:BF1006),$AN$1006:$BO$1006,0)), HYPERLINK("#",""), HYPERLINK(CONCATENATE("#Metadata!", ADDRESS(INDEX($AI$2:$AI$1001,MATCH(ROWS($AG$2:AG698),$AG$2:$AG$1001,0),0), INDEX($AN$1004:$BO$1004,1,MATCH(COLUMNS($AN$1006:BF1006),$AN$1006:$BO$1006,0)))),"Fix")))</f>
        <v>0</v>
      </c>
      <c r="U698" s="4">
        <f>IF(OR(INDEX($AH$2:$AH$1001,MATCH(ROWS($AG$2:AG698),$AG$2:$AG$1001,0),1)&gt;=100000,INDEX($AN$1005:$BO$1005,1,MATCH(COLUMNS($AN$1006:BG1006),$AN$1006:$BO$1006,0))&gt;=100000), " ",IF(INDEX($AN$2:$BO$1001,MATCH(ROWS($AG$2:AG698),$AG$2:$AG$1001,0),MATCH(COLUMNS($AN$1006:BG1006),$AN$1006:$BO$1006,0)), HYPERLINK("#",""), HYPERLINK(CONCATENATE("#Metadata!", ADDRESS(INDEX($AI$2:$AI$1001,MATCH(ROWS($AG$2:AG698),$AG$2:$AG$1001,0),0), INDEX($AN$1004:$BO$1004,1,MATCH(COLUMNS($AN$1006:BG1006),$AN$1006:$BO$1006,0)))),"Fix")))</f>
        <v>0</v>
      </c>
      <c r="V698" s="4">
        <f>IF(OR(INDEX($AH$2:$AH$1001,MATCH(ROWS($AG$2:AG698),$AG$2:$AG$1001,0),1)&gt;=100000,INDEX($AN$1005:$BO$1005,1,MATCH(COLUMNS($AN$1006:BH1006),$AN$1006:$BO$1006,0))&gt;=100000), " ",IF(INDEX($AN$2:$BO$1001,MATCH(ROWS($AG$2:AG698),$AG$2:$AG$1001,0),MATCH(COLUMNS($AN$1006:BH1006),$AN$1006:$BO$1006,0)), HYPERLINK("#",""), HYPERLINK(CONCATENATE("#Metadata!", ADDRESS(INDEX($AI$2:$AI$1001,MATCH(ROWS($AG$2:AG698),$AG$2:$AG$1001,0),0), INDEX($AN$1004:$BO$1004,1,MATCH(COLUMNS($AN$1006:BH1006),$AN$1006:$BO$1006,0)))),"Fix")))</f>
        <v>0</v>
      </c>
      <c r="W698" s="4">
        <f>IF(OR(INDEX($AH$2:$AH$1001,MATCH(ROWS($AG$2:AG698),$AG$2:$AG$1001,0),1)&gt;=100000,INDEX($AN$1005:$BO$1005,1,MATCH(COLUMNS($AN$1006:BI1006),$AN$1006:$BO$1006,0))&gt;=100000), " ",IF(INDEX($AN$2:$BO$1001,MATCH(ROWS($AG$2:AG698),$AG$2:$AG$1001,0),MATCH(COLUMNS($AN$1006:BI1006),$AN$1006:$BO$1006,0)), HYPERLINK("#",""), HYPERLINK(CONCATENATE("#Metadata!", ADDRESS(INDEX($AI$2:$AI$1001,MATCH(ROWS($AG$2:AG698),$AG$2:$AG$1001,0),0), INDEX($AN$1004:$BO$1004,1,MATCH(COLUMNS($AN$1006:BI1006),$AN$1006:$BO$1006,0)))),"Fix")))</f>
        <v>0</v>
      </c>
      <c r="X698" s="4">
        <f>IF(OR(INDEX($AH$2:$AH$1001,MATCH(ROWS($AG$2:AG698),$AG$2:$AG$1001,0),1)&gt;=100000,INDEX($AN$1005:$BO$1005,1,MATCH(COLUMNS($AN$1006:BJ1006),$AN$1006:$BO$1006,0))&gt;=100000), " ",IF(INDEX($AN$2:$BO$1001,MATCH(ROWS($AG$2:AG698),$AG$2:$AG$1001,0),MATCH(COLUMNS($AN$1006:BJ1006),$AN$1006:$BO$1006,0)), HYPERLINK("#",""), HYPERLINK(CONCATENATE("#Metadata!", ADDRESS(INDEX($AI$2:$AI$1001,MATCH(ROWS($AG$2:AG698),$AG$2:$AG$1001,0),0), INDEX($AN$1004:$BO$1004,1,MATCH(COLUMNS($AN$1006:BJ1006),$AN$1006:$BO$1006,0)))),"Fix")))</f>
        <v>0</v>
      </c>
      <c r="Y698" s="4">
        <f>IF(OR(INDEX($AH$2:$AH$1001,MATCH(ROWS($AG$2:AG698),$AG$2:$AG$1001,0),1)&gt;=100000,INDEX($AN$1005:$BO$1005,1,MATCH(COLUMNS($AN$1006:BK1006),$AN$1006:$BO$1006,0))&gt;=100000), " ",IF(INDEX($AN$2:$BO$1001,MATCH(ROWS($AG$2:AG698),$AG$2:$AG$1001,0),MATCH(COLUMNS($AN$1006:BK1006),$AN$1006:$BO$1006,0)), HYPERLINK("#",""), HYPERLINK(CONCATENATE("#Metadata!", ADDRESS(INDEX($AI$2:$AI$1001,MATCH(ROWS($AG$2:AG698),$AG$2:$AG$1001,0),0), INDEX($AN$1004:$BO$1004,1,MATCH(COLUMNS($AN$1006:BK1006),$AN$1006:$BO$1006,0)))),"Fix")))</f>
        <v>0</v>
      </c>
      <c r="Z698" s="4">
        <f>IF(OR(INDEX($AH$2:$AH$1001,MATCH(ROWS($AG$2:AG698),$AG$2:$AG$1001,0),1)&gt;=100000,INDEX($AN$1005:$BO$1005,1,MATCH(COLUMNS($AN$1006:BL1006),$AN$1006:$BO$1006,0))&gt;=100000), " ",IF(INDEX($AN$2:$BO$1001,MATCH(ROWS($AG$2:AG698),$AG$2:$AG$1001,0),MATCH(COLUMNS($AN$1006:BL1006),$AN$1006:$BO$1006,0)), HYPERLINK("#",""), HYPERLINK(CONCATENATE("#Metadata!", ADDRESS(INDEX($AI$2:$AI$1001,MATCH(ROWS($AG$2:AG698),$AG$2:$AG$1001,0),0), INDEX($AN$1004:$BO$1004,1,MATCH(COLUMNS($AN$1006:BL1006),$AN$1006:$BO$1006,0)))),"Fix")))</f>
        <v>0</v>
      </c>
      <c r="AA698" s="4">
        <f>IF(OR(INDEX($AH$2:$AH$1001,MATCH(ROWS($AG$2:AG698),$AG$2:$AG$1001,0),1)&gt;=100000,INDEX($AN$1005:$BO$1005,1,MATCH(COLUMNS($AN$1006:BM1006),$AN$1006:$BO$1006,0))&gt;=100000), " ",IF(INDEX($AN$2:$BO$1001,MATCH(ROWS($AG$2:AG698),$AG$2:$AG$1001,0),MATCH(COLUMNS($AN$1006:BM1006),$AN$1006:$BO$1006,0)), HYPERLINK("#",""), HYPERLINK(CONCATENATE("#Metadata!", ADDRESS(INDEX($AI$2:$AI$1001,MATCH(ROWS($AG$2:AG698),$AG$2:$AG$1001,0),0), INDEX($AN$1004:$BO$1004,1,MATCH(COLUMNS($AN$1006:BM1006),$AN$1006:$BO$1006,0)))),"Fix")))</f>
        <v>0</v>
      </c>
      <c r="AB698" s="4">
        <f>IF(OR(INDEX($AH$2:$AH$1001,MATCH(ROWS($AG$2:AG698),$AG$2:$AG$1001,0),1)&gt;=100000,INDEX($AN$1005:$BO$1005,1,MATCH(COLUMNS($AN$1006:BN1006),$AN$1006:$BO$1006,0))&gt;=100000), " ",IF(INDEX($AN$2:$BO$1001,MATCH(ROWS($AG$2:AG698),$AG$2:$AG$1001,0),MATCH(COLUMNS($AN$1006:BN1006),$AN$1006:$BO$1006,0)), HYPERLINK("#",""), HYPERLINK(CONCATENATE("#Metadata!", ADDRESS(INDEX($AI$2:$AI$1001,MATCH(ROWS($AG$2:AG698),$AG$2:$AG$1001,0),0), INDEX($AN$1004:$BO$1004,1,MATCH(COLUMNS($AN$1006:BN1006),$AN$1006:$BO$1006,0)))),"Fix")))</f>
        <v>0</v>
      </c>
      <c r="AC698" s="4">
        <f>IF(OR(INDEX($AH$2:$AH$1001,MATCH(ROWS($AG$2:AG698),$AG$2:$AG$1001,0),1)&gt;=100000,INDEX($AN$1005:$BO$1005,1,MATCH(COLUMNS($AN$1006:BO1006),$AN$1006:$BO$1006,0))&gt;=100000), " ",IF(INDEX($AN$2:$BO$1001,MATCH(ROWS($AG$2:AG698),$AG$2:$AG$1001,0),MATCH(COLUMNS($AN$1006:BO1006),$AN$1006:$BO$1006,0)), HYPERLINK("#",""), HYPERLINK(CONCATENATE("#Metadata!", ADDRESS(INDEX($AI$2:$AI$1001,MATCH(ROWS($AG$2:AG698),$AG$2:$AG$1001,0),0), INDEX($AN$1004:$BO$1004,1,MATCH(COLUMNS($AN$1006:BO1006),$AN$1006:$BO$1006,0)))),"Fix")))</f>
        <v>0</v>
      </c>
      <c r="AG698">
        <v>0</v>
      </c>
      <c r="AH698">
        <v>0</v>
      </c>
      <c r="AI698">
        <v>0</v>
      </c>
      <c r="AJ698">
        <f>IF(AK698,TRUE,AND(AN698:BO698))</f>
        <v>0</v>
      </c>
      <c r="AK698">
        <f>COUNTBLANK(Metadata!B698:AC698)=COLUMNS(Metadata!B698:AC698)</f>
        <v>0</v>
      </c>
      <c r="AL698">
        <v>0</v>
      </c>
      <c r="AN698">
        <f>AND(IF(Metadata!B698="",FALSE,TRUE),COUNTIF(Metadata!B:B, Metadata!B698) = 1,NOT(ISERROR(SUMPRODUCT(SEARCH(MID(Metadata!B698,ROW(INDIRECT("1:"&amp;LEN(Metadata!B698))), 1),"0123456789abcdefghijklmnopqrstuvwxyzABCDEFGHIJKLMNOPQRSTUVWXYZ.")))))</f>
        <v>0</v>
      </c>
      <c r="AO698">
        <f>IF(Metadata!C698="",FALSE,TRUE)</f>
        <v>0</v>
      </c>
      <c r="AP698">
        <f>IF(Metadata!D698="",FALSE,TRUE)</f>
        <v>0</v>
      </c>
      <c r="AQ698">
        <f>OR(AND(IF(Metadata!E698="",FALSE,TRUE),OR(exact(Metadata!E698,"not collected"),exact(Metadata!E698,"not provided"),exact(Metadata!E698,"restricted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R698">
        <f>IF(Metadata!F698="",FALSE,TRUE)</f>
        <v>0</v>
      </c>
      <c r="AS698">
        <f>OR(AND(IF(Metadata!G698="",FALSE,TRUE),OR(exact(Metadata!G698,"not collected"),exact(Metadata!G698,"not provided"))),AND(IF(Metadata!G698="",FALSE,TRUE),OR(exact(Metadata!G698,"TRUE"),exact(Metadata!G698,"FALSE"))))</f>
        <v>0</v>
      </c>
      <c r="AT698">
        <f>OR(AND(IF(Metadata!H698="",FALSE,TRUE),OR(exact(Metadata!H698,"not collected"),exact(Metadata!H698,"not provided"),exact(Metadata!H698,"restricted access"))),AND(IF(Metadata!H698="",FALSE,ISNUMBER(VALUE(Metadata!H698))),Metadata!H698&gt;=-413.0))</f>
        <v>0</v>
      </c>
      <c r="AU698">
        <f>AND(IF(Metadata!I698="",FALSE,TRUE),exact(Metadata!I698,"meters"))</f>
        <v>0</v>
      </c>
      <c r="AV698">
        <f>AND(IF(Metadata!J698="",FALSE,TRUE),OR(exact(Metadata!J698,"Host-associated"),exact(Metadata!J698,"Free-living")))</f>
        <v>0</v>
      </c>
      <c r="AW698">
        <f>AND(IF(Metadata!K698="",FALSE,TRUE),OR(exact(Metadata!K698,"Animal"),exact(Metadata!K698,"Fungus"),exact(Metadata!K698,"Plant"),exact(Metadata!K698,"Saline"),exact(Metadata!K698,"Non-saline")))</f>
        <v>0</v>
      </c>
      <c r="AX698">
        <f>AND(IF(Metadata!L698="",FALSE,TRUE),OR(exact(Metadata!L698,"Plant secretion"),exact(Metadata!L698,"Plant rhizosphere"),exact(Metadata!L698,"Plant surface"),exact(Metadata!L698,"Plant corpus"),exact(Metadata!L698,"Fungus surface"),exact(Metadata!L698,"Fungus corpus"),exact(Metadata!L698,"Animal surface"),exact(Metadata!L698,"Animal proximal gut"),exact(Metadata!L698,"Animal corpus"),exact(Metadata!L698,"Animal distal gut"),exact(Metadata!L698,"Animal secretion"),exact(Metadata!L698,"Sub-surface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Y698">
        <f>IF(Metadata!M698="",FALSE,TRUE)</f>
        <v>0</v>
      </c>
      <c r="AZ698">
        <f>IF(Metadata!N698="",FALSE,TRUE)</f>
        <v>0</v>
      </c>
      <c r="BA698">
        <f>IF(Metadata!O698="",FALSE,TRUE)</f>
        <v>0</v>
      </c>
      <c r="BB698">
        <f>OR(AND(IF(Metadata!P698="",FALSE,TRUE),OR(exact(Metadata!P698,"not collected"),exact(Metadata!P698,"not provided"),exact(Metadata!P698,"restricted access"))),AND(IF(Metadata!P698="",FALSE,TRUE),OR(exact(Metadata!P698,"air"),exact(Metadata!P698,"built environment"),exact(Metadata!P698,"host-associated"),exact(Metadata!P698,"human-associated"),exact(Metadata!P698,"human-skin"),exact(Metadata!P698,"human-oral"),exact(Metadata!P698,"human-gut"),exact(Metadata!P698,"human-vaginal"),exact(Metadata!P698,"microbial mat/biofilm"),exact(Metadata!P698,"misc environment"),exact(Metadata!P698,"plant-associated"),exact(Metadata!P698,"sediment"),exact(Metadata!P698,"soil"),exact(Metadata!P698,"wastewater/sludge"),exact(Metadata!P698,"water"))))</f>
        <v>0</v>
      </c>
      <c r="BC698">
        <f>IF(Metadata!Q698="",FALSE,TRUE)</f>
        <v>0</v>
      </c>
      <c r="BD698">
        <f>IF(Metadata!R698="",FALSE,TRUE)</f>
        <v>0</v>
      </c>
      <c r="BE698">
        <f>OR(AND(IF(Metadata!S698="",FALSE,TRUE),OR(exact(Metadata!S698,"not collected"),exact(Metadata!S698,"not provided"),exact(Metadata!S698,"restricted access"))),AND(IF(Metadata!S698="",FALSE,ISNUMBER(VALUE(Metadata!S698))),Metadata!S698&gt;=-90.00,Metadata!S698&lt;=90.00))</f>
        <v>0</v>
      </c>
      <c r="BF698">
        <f>AND(IF(Metadata!T698="",FALSE,TRUE),exact(Metadata!T698,"Decimal degrees"))</f>
        <v>0</v>
      </c>
      <c r="BG698">
        <f>OR(AND(IF(Metadata!U698="",FALSE,TRUE),OR(exact(Metadata!U698,"not collected"),exact(Metadata!U698,"not provided"),exact(Metadata!U698,"restricted access"))),AND(IF(Metadata!U698="",FALSE,ISNUMBER(VALUE(Metadata!U698))),Metadata!U698&gt;=-180.00,Metadata!U698&lt;=180.00))</f>
        <v>0</v>
      </c>
      <c r="BH698">
        <f>AND(IF(Metadata!V698="",FALSE,TRUE),exact(Metadata!V698,"Decimal degrees"))</f>
        <v>0</v>
      </c>
      <c r="BI698">
        <f>IF(Metadata!W698="",FALSE,TRUE)</f>
        <v>0</v>
      </c>
      <c r="BJ698">
        <f>OR(AND(IF(Metadata!X698="",FALSE,TRUE),OR(exact(Metadata!X698,"not collected"),exact(Metadata!X698,"not provided"),exact(Metadata!X698,"restricted access"))),AND(IF(Metadata!X698="",FALSE,TRUE),OR(exact(Metadata!X698,"TRUE"),exact(Metadata!X698,"FALSE"))))</f>
        <v>0</v>
      </c>
      <c r="BK698">
        <f>AND(IF(Metadata!Y698="",FALSE,TRUE),exact(Metadata!Y698,"other"))</f>
        <v>0</v>
      </c>
      <c r="BL698">
        <f>IF(Metadata!Z698="",FALSE,TRUE)</f>
        <v>0</v>
      </c>
      <c r="BM698">
        <f>OR(AND(IF(Metadata!AA698="",FALSE,TRUE),OR(exact(Metadata!AA698,"not collected"),exact(Metadata!AA698,"not provided"))),AND(IF(Metadata!AA698="",FALSE,IF(ISERROR(INT(Metadata!AA698)),FALSE,INT(Metadata!AA698)=Metadata!AA698)),Metadata!AA698&gt;0))</f>
        <v>0</v>
      </c>
      <c r="BN698">
        <f>AND(IF(Metadata!AB698="",FALSE,TRUE),exact(Metadata!AB698,"Not applicable"))</f>
        <v>0</v>
      </c>
      <c r="BO698">
        <f>IF(Metadata!AC698="",FALSE,TRUE)</f>
        <v>0</v>
      </c>
    </row>
    <row r="699" spans="1:67">
      <c r="A699" s="5">
        <f>IF(B699=" "," ",HYPERLINK(CONCATENATE("#metadata!",ADDRESS(INDEX($AI$2:$AI$1001,MATCH(ROWS($AG$2:AG699),$AG$2:$AG$1001,0),0),1)),INDEX($AL$2:$AL$1001,MATCH(ROWS($AG$2:AG699),$AG$2:$AG$1001,0),0)))</f>
        <v>0</v>
      </c>
      <c r="B699" s="4">
        <f>IF(OR(INDEX($AH$2:$AH$1001,MATCH(ROWS($AG$2:AG699),$AG$2:$AG$1001,0),1)&gt;=100000,INDEX($AN$1005:$BO$1005,1,MATCH(COLUMNS($AN$1006:AN1006),$AN$1006:$BO$1006,0))&gt;=100000), " ",IF(INDEX($AN$2:$BO$1001,MATCH(ROWS($AG$2:AG699),$AG$2:$AG$1001,0),MATCH(COLUMNS($AN$1006:AN1006),$AN$1006:$BO$1006,0)), HYPERLINK("#",""), HYPERLINK(CONCATENATE("#Metadata!", ADDRESS(INDEX($AI$2:$AI$1001,MATCH(ROWS($AG$2:AG699),$AG$2:$AG$1001,0),0), INDEX($AN$1004:$BO$1004,1,MATCH(COLUMNS($AN$1006:AN1006),$AN$1006:$BO$1006,0)))),"Fix")))</f>
        <v>0</v>
      </c>
      <c r="C699" s="4">
        <f>IF(OR(INDEX($AH$2:$AH$1001,MATCH(ROWS($AG$2:AG699),$AG$2:$AG$1001,0),1)&gt;=100000,INDEX($AN$1005:$BO$1005,1,MATCH(COLUMNS($AN$1006:AO1006),$AN$1006:$BO$1006,0))&gt;=100000), " ",IF(INDEX($AN$2:$BO$1001,MATCH(ROWS($AG$2:AG699),$AG$2:$AG$1001,0),MATCH(COLUMNS($AN$1006:AO1006),$AN$1006:$BO$1006,0)), HYPERLINK("#",""), HYPERLINK(CONCATENATE("#Metadata!", ADDRESS(INDEX($AI$2:$AI$1001,MATCH(ROWS($AG$2:AG699),$AG$2:$AG$1001,0),0), INDEX($AN$1004:$BO$1004,1,MATCH(COLUMNS($AN$1006:AO1006),$AN$1006:$BO$1006,0)))),"Fix")))</f>
        <v>0</v>
      </c>
      <c r="D699" s="4">
        <f>IF(OR(INDEX($AH$2:$AH$1001,MATCH(ROWS($AG$2:AG699),$AG$2:$AG$1001,0),1)&gt;=100000,INDEX($AN$1005:$BO$1005,1,MATCH(COLUMNS($AN$1006:AP1006),$AN$1006:$BO$1006,0))&gt;=100000), " ",IF(INDEX($AN$2:$BO$1001,MATCH(ROWS($AG$2:AG699),$AG$2:$AG$1001,0),MATCH(COLUMNS($AN$1006:AP1006),$AN$1006:$BO$1006,0)), HYPERLINK("#",""), HYPERLINK(CONCATENATE("#Metadata!", ADDRESS(INDEX($AI$2:$AI$1001,MATCH(ROWS($AG$2:AG699),$AG$2:$AG$1001,0),0), INDEX($AN$1004:$BO$1004,1,MATCH(COLUMNS($AN$1006:AP1006),$AN$1006:$BO$1006,0)))),"Fix")))</f>
        <v>0</v>
      </c>
      <c r="E699" s="4">
        <f>IF(OR(INDEX($AH$2:$AH$1001,MATCH(ROWS($AG$2:AG699),$AG$2:$AG$1001,0),1)&gt;=100000,INDEX($AN$1005:$BO$1005,1,MATCH(COLUMNS($AN$1006:AQ1006),$AN$1006:$BO$1006,0))&gt;=100000), " ",IF(INDEX($AN$2:$BO$1001,MATCH(ROWS($AG$2:AG699),$AG$2:$AG$1001,0),MATCH(COLUMNS($AN$1006:AQ1006),$AN$1006:$BO$1006,0)), HYPERLINK("#",""), HYPERLINK(CONCATENATE("#Metadata!", ADDRESS(INDEX($AI$2:$AI$1001,MATCH(ROWS($AG$2:AG699),$AG$2:$AG$1001,0),0), INDEX($AN$1004:$BO$1004,1,MATCH(COLUMNS($AN$1006:AQ1006),$AN$1006:$BO$1006,0)))),"Fix")))</f>
        <v>0</v>
      </c>
      <c r="F699" s="4">
        <f>IF(OR(INDEX($AH$2:$AH$1001,MATCH(ROWS($AG$2:AG699),$AG$2:$AG$1001,0),1)&gt;=100000,INDEX($AN$1005:$BO$1005,1,MATCH(COLUMNS($AN$1006:AR1006),$AN$1006:$BO$1006,0))&gt;=100000), " ",IF(INDEX($AN$2:$BO$1001,MATCH(ROWS($AG$2:AG699),$AG$2:$AG$1001,0),MATCH(COLUMNS($AN$1006:AR1006),$AN$1006:$BO$1006,0)), HYPERLINK("#",""), HYPERLINK(CONCATENATE("#Metadata!", ADDRESS(INDEX($AI$2:$AI$1001,MATCH(ROWS($AG$2:AG699),$AG$2:$AG$1001,0),0), INDEX($AN$1004:$BO$1004,1,MATCH(COLUMNS($AN$1006:AR1006),$AN$1006:$BO$1006,0)))),"Fix")))</f>
        <v>0</v>
      </c>
      <c r="G699" s="4">
        <f>IF(OR(INDEX($AH$2:$AH$1001,MATCH(ROWS($AG$2:AG699),$AG$2:$AG$1001,0),1)&gt;=100000,INDEX($AN$1005:$BO$1005,1,MATCH(COLUMNS($AN$1006:AS1006),$AN$1006:$BO$1006,0))&gt;=100000), " ",IF(INDEX($AN$2:$BO$1001,MATCH(ROWS($AG$2:AG699),$AG$2:$AG$1001,0),MATCH(COLUMNS($AN$1006:AS1006),$AN$1006:$BO$1006,0)), HYPERLINK("#",""), HYPERLINK(CONCATENATE("#Metadata!", ADDRESS(INDEX($AI$2:$AI$1001,MATCH(ROWS($AG$2:AG699),$AG$2:$AG$1001,0),0), INDEX($AN$1004:$BO$1004,1,MATCH(COLUMNS($AN$1006:AS1006),$AN$1006:$BO$1006,0)))),"Fix")))</f>
        <v>0</v>
      </c>
      <c r="H699" s="4">
        <f>IF(OR(INDEX($AH$2:$AH$1001,MATCH(ROWS($AG$2:AG699),$AG$2:$AG$1001,0),1)&gt;=100000,INDEX($AN$1005:$BO$1005,1,MATCH(COLUMNS($AN$1006:AT1006),$AN$1006:$BO$1006,0))&gt;=100000), " ",IF(INDEX($AN$2:$BO$1001,MATCH(ROWS($AG$2:AG699),$AG$2:$AG$1001,0),MATCH(COLUMNS($AN$1006:AT1006),$AN$1006:$BO$1006,0)), HYPERLINK("#",""), HYPERLINK(CONCATENATE("#Metadata!", ADDRESS(INDEX($AI$2:$AI$1001,MATCH(ROWS($AG$2:AG699),$AG$2:$AG$1001,0),0), INDEX($AN$1004:$BO$1004,1,MATCH(COLUMNS($AN$1006:AT1006),$AN$1006:$BO$1006,0)))),"Fix")))</f>
        <v>0</v>
      </c>
      <c r="I699" s="4">
        <f>IF(OR(INDEX($AH$2:$AH$1001,MATCH(ROWS($AG$2:AG699),$AG$2:$AG$1001,0),1)&gt;=100000,INDEX($AN$1005:$BO$1005,1,MATCH(COLUMNS($AN$1006:AU1006),$AN$1006:$BO$1006,0))&gt;=100000), " ",IF(INDEX($AN$2:$BO$1001,MATCH(ROWS($AG$2:AG699),$AG$2:$AG$1001,0),MATCH(COLUMNS($AN$1006:AU1006),$AN$1006:$BO$1006,0)), HYPERLINK("#",""), HYPERLINK(CONCATENATE("#Metadata!", ADDRESS(INDEX($AI$2:$AI$1001,MATCH(ROWS($AG$2:AG699),$AG$2:$AG$1001,0),0), INDEX($AN$1004:$BO$1004,1,MATCH(COLUMNS($AN$1006:AU1006),$AN$1006:$BO$1006,0)))),"Fix")))</f>
        <v>0</v>
      </c>
      <c r="J699" s="4">
        <f>IF(OR(INDEX($AH$2:$AH$1001,MATCH(ROWS($AG$2:AG699),$AG$2:$AG$1001,0),1)&gt;=100000,INDEX($AN$1005:$BO$1005,1,MATCH(COLUMNS($AN$1006:AV1006),$AN$1006:$BO$1006,0))&gt;=100000), " ",IF(INDEX($AN$2:$BO$1001,MATCH(ROWS($AG$2:AG699),$AG$2:$AG$1001,0),MATCH(COLUMNS($AN$1006:AV1006),$AN$1006:$BO$1006,0)), HYPERLINK("#",""), HYPERLINK(CONCATENATE("#Metadata!", ADDRESS(INDEX($AI$2:$AI$1001,MATCH(ROWS($AG$2:AG699),$AG$2:$AG$1001,0),0), INDEX($AN$1004:$BO$1004,1,MATCH(COLUMNS($AN$1006:AV1006),$AN$1006:$BO$1006,0)))),"Fix")))</f>
        <v>0</v>
      </c>
      <c r="K699" s="4">
        <f>IF(OR(INDEX($AH$2:$AH$1001,MATCH(ROWS($AG$2:AG699),$AG$2:$AG$1001,0),1)&gt;=100000,INDEX($AN$1005:$BO$1005,1,MATCH(COLUMNS($AN$1006:AW1006),$AN$1006:$BO$1006,0))&gt;=100000), " ",IF(INDEX($AN$2:$BO$1001,MATCH(ROWS($AG$2:AG699),$AG$2:$AG$1001,0),MATCH(COLUMNS($AN$1006:AW1006),$AN$1006:$BO$1006,0)), HYPERLINK("#",""), HYPERLINK(CONCATENATE("#Metadata!", ADDRESS(INDEX($AI$2:$AI$1001,MATCH(ROWS($AG$2:AG699),$AG$2:$AG$1001,0),0), INDEX($AN$1004:$BO$1004,1,MATCH(COLUMNS($AN$1006:AW1006),$AN$1006:$BO$1006,0)))),"Fix")))</f>
        <v>0</v>
      </c>
      <c r="L699" s="4">
        <f>IF(OR(INDEX($AH$2:$AH$1001,MATCH(ROWS($AG$2:AG699),$AG$2:$AG$1001,0),1)&gt;=100000,INDEX($AN$1005:$BO$1005,1,MATCH(COLUMNS($AN$1006:AX1006),$AN$1006:$BO$1006,0))&gt;=100000), " ",IF(INDEX($AN$2:$BO$1001,MATCH(ROWS($AG$2:AG699),$AG$2:$AG$1001,0),MATCH(COLUMNS($AN$1006:AX1006),$AN$1006:$BO$1006,0)), HYPERLINK("#",""), HYPERLINK(CONCATENATE("#Metadata!", ADDRESS(INDEX($AI$2:$AI$1001,MATCH(ROWS($AG$2:AG699),$AG$2:$AG$1001,0),0), INDEX($AN$1004:$BO$1004,1,MATCH(COLUMNS($AN$1006:AX1006),$AN$1006:$BO$1006,0)))),"Fix")))</f>
        <v>0</v>
      </c>
      <c r="M699" s="4">
        <f>IF(OR(INDEX($AH$2:$AH$1001,MATCH(ROWS($AG$2:AG699),$AG$2:$AG$1001,0),1)&gt;=100000,INDEX($AN$1005:$BO$1005,1,MATCH(COLUMNS($AN$1006:AY1006),$AN$1006:$BO$1006,0))&gt;=100000), " ",IF(INDEX($AN$2:$BO$1001,MATCH(ROWS($AG$2:AG699),$AG$2:$AG$1001,0),MATCH(COLUMNS($AN$1006:AY1006),$AN$1006:$BO$1006,0)), HYPERLINK("#",""), HYPERLINK(CONCATENATE("#Metadata!", ADDRESS(INDEX($AI$2:$AI$1001,MATCH(ROWS($AG$2:AG699),$AG$2:$AG$1001,0),0), INDEX($AN$1004:$BO$1004,1,MATCH(COLUMNS($AN$1006:AY1006),$AN$1006:$BO$1006,0)))),"Fix")))</f>
        <v>0</v>
      </c>
      <c r="N699" s="4">
        <f>IF(OR(INDEX($AH$2:$AH$1001,MATCH(ROWS($AG$2:AG699),$AG$2:$AG$1001,0),1)&gt;=100000,INDEX($AN$1005:$BO$1005,1,MATCH(COLUMNS($AN$1006:AZ1006),$AN$1006:$BO$1006,0))&gt;=100000), " ",IF(INDEX($AN$2:$BO$1001,MATCH(ROWS($AG$2:AG699),$AG$2:$AG$1001,0),MATCH(COLUMNS($AN$1006:AZ1006),$AN$1006:$BO$1006,0)), HYPERLINK("#",""), HYPERLINK(CONCATENATE("#Metadata!", ADDRESS(INDEX($AI$2:$AI$1001,MATCH(ROWS($AG$2:AG699),$AG$2:$AG$1001,0),0), INDEX($AN$1004:$BO$1004,1,MATCH(COLUMNS($AN$1006:AZ1006),$AN$1006:$BO$1006,0)))),"Fix")))</f>
        <v>0</v>
      </c>
      <c r="O699" s="4">
        <f>IF(OR(INDEX($AH$2:$AH$1001,MATCH(ROWS($AG$2:AG699),$AG$2:$AG$1001,0),1)&gt;=100000,INDEX($AN$1005:$BO$1005,1,MATCH(COLUMNS($AN$1006:BA1006),$AN$1006:$BO$1006,0))&gt;=100000), " ",IF(INDEX($AN$2:$BO$1001,MATCH(ROWS($AG$2:AG699),$AG$2:$AG$1001,0),MATCH(COLUMNS($AN$1006:BA1006),$AN$1006:$BO$1006,0)), HYPERLINK("#",""), HYPERLINK(CONCATENATE("#Metadata!", ADDRESS(INDEX($AI$2:$AI$1001,MATCH(ROWS($AG$2:AG699),$AG$2:$AG$1001,0),0), INDEX($AN$1004:$BO$1004,1,MATCH(COLUMNS($AN$1006:BA1006),$AN$1006:$BO$1006,0)))),"Fix")))</f>
        <v>0</v>
      </c>
      <c r="P699" s="4">
        <f>IF(OR(INDEX($AH$2:$AH$1001,MATCH(ROWS($AG$2:AG699),$AG$2:$AG$1001,0),1)&gt;=100000,INDEX($AN$1005:$BO$1005,1,MATCH(COLUMNS($AN$1006:BB1006),$AN$1006:$BO$1006,0))&gt;=100000), " ",IF(INDEX($AN$2:$BO$1001,MATCH(ROWS($AG$2:AG699),$AG$2:$AG$1001,0),MATCH(COLUMNS($AN$1006:BB1006),$AN$1006:$BO$1006,0)), HYPERLINK("#",""), HYPERLINK(CONCATENATE("#Metadata!", ADDRESS(INDEX($AI$2:$AI$1001,MATCH(ROWS($AG$2:AG699),$AG$2:$AG$1001,0),0), INDEX($AN$1004:$BO$1004,1,MATCH(COLUMNS($AN$1006:BB1006),$AN$1006:$BO$1006,0)))),"Fix")))</f>
        <v>0</v>
      </c>
      <c r="Q699" s="4">
        <f>IF(OR(INDEX($AH$2:$AH$1001,MATCH(ROWS($AG$2:AG699),$AG$2:$AG$1001,0),1)&gt;=100000,INDEX($AN$1005:$BO$1005,1,MATCH(COLUMNS($AN$1006:BC1006),$AN$1006:$BO$1006,0))&gt;=100000), " ",IF(INDEX($AN$2:$BO$1001,MATCH(ROWS($AG$2:AG699),$AG$2:$AG$1001,0),MATCH(COLUMNS($AN$1006:BC1006),$AN$1006:$BO$1006,0)), HYPERLINK("#",""), HYPERLINK(CONCATENATE("#Metadata!", ADDRESS(INDEX($AI$2:$AI$1001,MATCH(ROWS($AG$2:AG699),$AG$2:$AG$1001,0),0), INDEX($AN$1004:$BO$1004,1,MATCH(COLUMNS($AN$1006:BC1006),$AN$1006:$BO$1006,0)))),"Fix")))</f>
        <v>0</v>
      </c>
      <c r="R699" s="4">
        <f>IF(OR(INDEX($AH$2:$AH$1001,MATCH(ROWS($AG$2:AG699),$AG$2:$AG$1001,0),1)&gt;=100000,INDEX($AN$1005:$BO$1005,1,MATCH(COLUMNS($AN$1006:BD1006),$AN$1006:$BO$1006,0))&gt;=100000), " ",IF(INDEX($AN$2:$BO$1001,MATCH(ROWS($AG$2:AG699),$AG$2:$AG$1001,0),MATCH(COLUMNS($AN$1006:BD1006),$AN$1006:$BO$1006,0)), HYPERLINK("#",""), HYPERLINK(CONCATENATE("#Metadata!", ADDRESS(INDEX($AI$2:$AI$1001,MATCH(ROWS($AG$2:AG699),$AG$2:$AG$1001,0),0), INDEX($AN$1004:$BO$1004,1,MATCH(COLUMNS($AN$1006:BD1006),$AN$1006:$BO$1006,0)))),"Fix")))</f>
        <v>0</v>
      </c>
      <c r="S699" s="4">
        <f>IF(OR(INDEX($AH$2:$AH$1001,MATCH(ROWS($AG$2:AG699),$AG$2:$AG$1001,0),1)&gt;=100000,INDEX($AN$1005:$BO$1005,1,MATCH(COLUMNS($AN$1006:BE1006),$AN$1006:$BO$1006,0))&gt;=100000), " ",IF(INDEX($AN$2:$BO$1001,MATCH(ROWS($AG$2:AG699),$AG$2:$AG$1001,0),MATCH(COLUMNS($AN$1006:BE1006),$AN$1006:$BO$1006,0)), HYPERLINK("#",""), HYPERLINK(CONCATENATE("#Metadata!", ADDRESS(INDEX($AI$2:$AI$1001,MATCH(ROWS($AG$2:AG699),$AG$2:$AG$1001,0),0), INDEX($AN$1004:$BO$1004,1,MATCH(COLUMNS($AN$1006:BE1006),$AN$1006:$BO$1006,0)))),"Fix")))</f>
        <v>0</v>
      </c>
      <c r="T699" s="4">
        <f>IF(OR(INDEX($AH$2:$AH$1001,MATCH(ROWS($AG$2:AG699),$AG$2:$AG$1001,0),1)&gt;=100000,INDEX($AN$1005:$BO$1005,1,MATCH(COLUMNS($AN$1006:BF1006),$AN$1006:$BO$1006,0))&gt;=100000), " ",IF(INDEX($AN$2:$BO$1001,MATCH(ROWS($AG$2:AG699),$AG$2:$AG$1001,0),MATCH(COLUMNS($AN$1006:BF1006),$AN$1006:$BO$1006,0)), HYPERLINK("#",""), HYPERLINK(CONCATENATE("#Metadata!", ADDRESS(INDEX($AI$2:$AI$1001,MATCH(ROWS($AG$2:AG699),$AG$2:$AG$1001,0),0), INDEX($AN$1004:$BO$1004,1,MATCH(COLUMNS($AN$1006:BF1006),$AN$1006:$BO$1006,0)))),"Fix")))</f>
        <v>0</v>
      </c>
      <c r="U699" s="4">
        <f>IF(OR(INDEX($AH$2:$AH$1001,MATCH(ROWS($AG$2:AG699),$AG$2:$AG$1001,0),1)&gt;=100000,INDEX($AN$1005:$BO$1005,1,MATCH(COLUMNS($AN$1006:BG1006),$AN$1006:$BO$1006,0))&gt;=100000), " ",IF(INDEX($AN$2:$BO$1001,MATCH(ROWS($AG$2:AG699),$AG$2:$AG$1001,0),MATCH(COLUMNS($AN$1006:BG1006),$AN$1006:$BO$1006,0)), HYPERLINK("#",""), HYPERLINK(CONCATENATE("#Metadata!", ADDRESS(INDEX($AI$2:$AI$1001,MATCH(ROWS($AG$2:AG699),$AG$2:$AG$1001,0),0), INDEX($AN$1004:$BO$1004,1,MATCH(COLUMNS($AN$1006:BG1006),$AN$1006:$BO$1006,0)))),"Fix")))</f>
        <v>0</v>
      </c>
      <c r="V699" s="4">
        <f>IF(OR(INDEX($AH$2:$AH$1001,MATCH(ROWS($AG$2:AG699),$AG$2:$AG$1001,0),1)&gt;=100000,INDEX($AN$1005:$BO$1005,1,MATCH(COLUMNS($AN$1006:BH1006),$AN$1006:$BO$1006,0))&gt;=100000), " ",IF(INDEX($AN$2:$BO$1001,MATCH(ROWS($AG$2:AG699),$AG$2:$AG$1001,0),MATCH(COLUMNS($AN$1006:BH1006),$AN$1006:$BO$1006,0)), HYPERLINK("#",""), HYPERLINK(CONCATENATE("#Metadata!", ADDRESS(INDEX($AI$2:$AI$1001,MATCH(ROWS($AG$2:AG699),$AG$2:$AG$1001,0),0), INDEX($AN$1004:$BO$1004,1,MATCH(COLUMNS($AN$1006:BH1006),$AN$1006:$BO$1006,0)))),"Fix")))</f>
        <v>0</v>
      </c>
      <c r="W699" s="4">
        <f>IF(OR(INDEX($AH$2:$AH$1001,MATCH(ROWS($AG$2:AG699),$AG$2:$AG$1001,0),1)&gt;=100000,INDEX($AN$1005:$BO$1005,1,MATCH(COLUMNS($AN$1006:BI1006),$AN$1006:$BO$1006,0))&gt;=100000), " ",IF(INDEX($AN$2:$BO$1001,MATCH(ROWS($AG$2:AG699),$AG$2:$AG$1001,0),MATCH(COLUMNS($AN$1006:BI1006),$AN$1006:$BO$1006,0)), HYPERLINK("#",""), HYPERLINK(CONCATENATE("#Metadata!", ADDRESS(INDEX($AI$2:$AI$1001,MATCH(ROWS($AG$2:AG699),$AG$2:$AG$1001,0),0), INDEX($AN$1004:$BO$1004,1,MATCH(COLUMNS($AN$1006:BI1006),$AN$1006:$BO$1006,0)))),"Fix")))</f>
        <v>0</v>
      </c>
      <c r="X699" s="4">
        <f>IF(OR(INDEX($AH$2:$AH$1001,MATCH(ROWS($AG$2:AG699),$AG$2:$AG$1001,0),1)&gt;=100000,INDEX($AN$1005:$BO$1005,1,MATCH(COLUMNS($AN$1006:BJ1006),$AN$1006:$BO$1006,0))&gt;=100000), " ",IF(INDEX($AN$2:$BO$1001,MATCH(ROWS($AG$2:AG699),$AG$2:$AG$1001,0),MATCH(COLUMNS($AN$1006:BJ1006),$AN$1006:$BO$1006,0)), HYPERLINK("#",""), HYPERLINK(CONCATENATE("#Metadata!", ADDRESS(INDEX($AI$2:$AI$1001,MATCH(ROWS($AG$2:AG699),$AG$2:$AG$1001,0),0), INDEX($AN$1004:$BO$1004,1,MATCH(COLUMNS($AN$1006:BJ1006),$AN$1006:$BO$1006,0)))),"Fix")))</f>
        <v>0</v>
      </c>
      <c r="Y699" s="4">
        <f>IF(OR(INDEX($AH$2:$AH$1001,MATCH(ROWS($AG$2:AG699),$AG$2:$AG$1001,0),1)&gt;=100000,INDEX($AN$1005:$BO$1005,1,MATCH(COLUMNS($AN$1006:BK1006),$AN$1006:$BO$1006,0))&gt;=100000), " ",IF(INDEX($AN$2:$BO$1001,MATCH(ROWS($AG$2:AG699),$AG$2:$AG$1001,0),MATCH(COLUMNS($AN$1006:BK1006),$AN$1006:$BO$1006,0)), HYPERLINK("#",""), HYPERLINK(CONCATENATE("#Metadata!", ADDRESS(INDEX($AI$2:$AI$1001,MATCH(ROWS($AG$2:AG699),$AG$2:$AG$1001,0),0), INDEX($AN$1004:$BO$1004,1,MATCH(COLUMNS($AN$1006:BK1006),$AN$1006:$BO$1006,0)))),"Fix")))</f>
        <v>0</v>
      </c>
      <c r="Z699" s="4">
        <f>IF(OR(INDEX($AH$2:$AH$1001,MATCH(ROWS($AG$2:AG699),$AG$2:$AG$1001,0),1)&gt;=100000,INDEX($AN$1005:$BO$1005,1,MATCH(COLUMNS($AN$1006:BL1006),$AN$1006:$BO$1006,0))&gt;=100000), " ",IF(INDEX($AN$2:$BO$1001,MATCH(ROWS($AG$2:AG699),$AG$2:$AG$1001,0),MATCH(COLUMNS($AN$1006:BL1006),$AN$1006:$BO$1006,0)), HYPERLINK("#",""), HYPERLINK(CONCATENATE("#Metadata!", ADDRESS(INDEX($AI$2:$AI$1001,MATCH(ROWS($AG$2:AG699),$AG$2:$AG$1001,0),0), INDEX($AN$1004:$BO$1004,1,MATCH(COLUMNS($AN$1006:BL1006),$AN$1006:$BO$1006,0)))),"Fix")))</f>
        <v>0</v>
      </c>
      <c r="AA699" s="4">
        <f>IF(OR(INDEX($AH$2:$AH$1001,MATCH(ROWS($AG$2:AG699),$AG$2:$AG$1001,0),1)&gt;=100000,INDEX($AN$1005:$BO$1005,1,MATCH(COLUMNS($AN$1006:BM1006),$AN$1006:$BO$1006,0))&gt;=100000), " ",IF(INDEX($AN$2:$BO$1001,MATCH(ROWS($AG$2:AG699),$AG$2:$AG$1001,0),MATCH(COLUMNS($AN$1006:BM1006),$AN$1006:$BO$1006,0)), HYPERLINK("#",""), HYPERLINK(CONCATENATE("#Metadata!", ADDRESS(INDEX($AI$2:$AI$1001,MATCH(ROWS($AG$2:AG699),$AG$2:$AG$1001,0),0), INDEX($AN$1004:$BO$1004,1,MATCH(COLUMNS($AN$1006:BM1006),$AN$1006:$BO$1006,0)))),"Fix")))</f>
        <v>0</v>
      </c>
      <c r="AB699" s="4">
        <f>IF(OR(INDEX($AH$2:$AH$1001,MATCH(ROWS($AG$2:AG699),$AG$2:$AG$1001,0),1)&gt;=100000,INDEX($AN$1005:$BO$1005,1,MATCH(COLUMNS($AN$1006:BN1006),$AN$1006:$BO$1006,0))&gt;=100000), " ",IF(INDEX($AN$2:$BO$1001,MATCH(ROWS($AG$2:AG699),$AG$2:$AG$1001,0),MATCH(COLUMNS($AN$1006:BN1006),$AN$1006:$BO$1006,0)), HYPERLINK("#",""), HYPERLINK(CONCATENATE("#Metadata!", ADDRESS(INDEX($AI$2:$AI$1001,MATCH(ROWS($AG$2:AG699),$AG$2:$AG$1001,0),0), INDEX($AN$1004:$BO$1004,1,MATCH(COLUMNS($AN$1006:BN1006),$AN$1006:$BO$1006,0)))),"Fix")))</f>
        <v>0</v>
      </c>
      <c r="AC699" s="4">
        <f>IF(OR(INDEX($AH$2:$AH$1001,MATCH(ROWS($AG$2:AG699),$AG$2:$AG$1001,0),1)&gt;=100000,INDEX($AN$1005:$BO$1005,1,MATCH(COLUMNS($AN$1006:BO1006),$AN$1006:$BO$1006,0))&gt;=100000), " ",IF(INDEX($AN$2:$BO$1001,MATCH(ROWS($AG$2:AG699),$AG$2:$AG$1001,0),MATCH(COLUMNS($AN$1006:BO1006),$AN$1006:$BO$1006,0)), HYPERLINK("#",""), HYPERLINK(CONCATENATE("#Metadata!", ADDRESS(INDEX($AI$2:$AI$1001,MATCH(ROWS($AG$2:AG699),$AG$2:$AG$1001,0),0), INDEX($AN$1004:$BO$1004,1,MATCH(COLUMNS($AN$1006:BO1006),$AN$1006:$BO$1006,0)))),"Fix")))</f>
        <v>0</v>
      </c>
      <c r="AG699">
        <v>0</v>
      </c>
      <c r="AH699">
        <v>0</v>
      </c>
      <c r="AI699">
        <v>0</v>
      </c>
      <c r="AJ699">
        <f>IF(AK699,TRUE,AND(AN699:BO699))</f>
        <v>0</v>
      </c>
      <c r="AK699">
        <f>COUNTBLANK(Metadata!B699:AC699)=COLUMNS(Metadata!B699:AC699)</f>
        <v>0</v>
      </c>
      <c r="AL699">
        <v>0</v>
      </c>
      <c r="AN699">
        <f>AND(IF(Metadata!B699="",FALSE,TRUE),COUNTIF(Metadata!B:B, Metadata!B699) = 1,NOT(ISERROR(SUMPRODUCT(SEARCH(MID(Metadata!B699,ROW(INDIRECT("1:"&amp;LEN(Metadata!B699))), 1),"0123456789abcdefghijklmnopqrstuvwxyzABCDEFGHIJKLMNOPQRSTUVWXYZ.")))))</f>
        <v>0</v>
      </c>
      <c r="AO699">
        <f>IF(Metadata!C699="",FALSE,TRUE)</f>
        <v>0</v>
      </c>
      <c r="AP699">
        <f>IF(Metadata!D699="",FALSE,TRUE)</f>
        <v>0</v>
      </c>
      <c r="AQ699">
        <f>OR(AND(IF(Metadata!E699="",FALSE,TRUE),OR(exact(Metadata!E699,"not collected"),exact(Metadata!E699,"not provided"),exact(Metadata!E699,"restricted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R699">
        <f>IF(Metadata!F699="",FALSE,TRUE)</f>
        <v>0</v>
      </c>
      <c r="AS699">
        <f>OR(AND(IF(Metadata!G699="",FALSE,TRUE),OR(exact(Metadata!G699,"not collected"),exact(Metadata!G699,"not provided"))),AND(IF(Metadata!G699="",FALSE,TRUE),OR(exact(Metadata!G699,"TRUE"),exact(Metadata!G699,"FALSE"))))</f>
        <v>0</v>
      </c>
      <c r="AT699">
        <f>OR(AND(IF(Metadata!H699="",FALSE,TRUE),OR(exact(Metadata!H699,"not collected"),exact(Metadata!H699,"not provided"),exact(Metadata!H699,"restricted access"))),AND(IF(Metadata!H699="",FALSE,ISNUMBER(VALUE(Metadata!H699))),Metadata!H699&gt;=-413.0))</f>
        <v>0</v>
      </c>
      <c r="AU699">
        <f>AND(IF(Metadata!I699="",FALSE,TRUE),exact(Metadata!I699,"meters"))</f>
        <v>0</v>
      </c>
      <c r="AV699">
        <f>AND(IF(Metadata!J699="",FALSE,TRUE),OR(exact(Metadata!J699,"Host-associated"),exact(Metadata!J699,"Free-living")))</f>
        <v>0</v>
      </c>
      <c r="AW699">
        <f>AND(IF(Metadata!K699="",FALSE,TRUE),OR(exact(Metadata!K699,"Animal"),exact(Metadata!K699,"Fungus"),exact(Metadata!K699,"Plant"),exact(Metadata!K699,"Saline"),exact(Metadata!K699,"Non-saline")))</f>
        <v>0</v>
      </c>
      <c r="AX699">
        <f>AND(IF(Metadata!L699="",FALSE,TRUE),OR(exact(Metadata!L699,"Plant secretion"),exact(Metadata!L699,"Plant rhizosphere"),exact(Metadata!L699,"Plant surface"),exact(Metadata!L699,"Plant corpus"),exact(Metadata!L699,"Fungus surface"),exact(Metadata!L699,"Fungus corpus"),exact(Metadata!L699,"Animal surface"),exact(Metadata!L699,"Animal proximal gut"),exact(Metadata!L699,"Animal corpus"),exact(Metadata!L699,"Animal distal gut"),exact(Metadata!L699,"Animal secretion"),exact(Metadata!L699,"Sub-surface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Y699">
        <f>IF(Metadata!M699="",FALSE,TRUE)</f>
        <v>0</v>
      </c>
      <c r="AZ699">
        <f>IF(Metadata!N699="",FALSE,TRUE)</f>
        <v>0</v>
      </c>
      <c r="BA699">
        <f>IF(Metadata!O699="",FALSE,TRUE)</f>
        <v>0</v>
      </c>
      <c r="BB699">
        <f>OR(AND(IF(Metadata!P699="",FALSE,TRUE),OR(exact(Metadata!P699,"not collected"),exact(Metadata!P699,"not provided"),exact(Metadata!P699,"restricted access"))),AND(IF(Metadata!P699="",FALSE,TRUE),OR(exact(Metadata!P699,"air"),exact(Metadata!P699,"built environment"),exact(Metadata!P699,"host-associated"),exact(Metadata!P699,"human-associated"),exact(Metadata!P699,"human-skin"),exact(Metadata!P699,"human-oral"),exact(Metadata!P699,"human-gut"),exact(Metadata!P699,"human-vaginal"),exact(Metadata!P699,"microbial mat/biofilm"),exact(Metadata!P699,"misc environment"),exact(Metadata!P699,"plant-associated"),exact(Metadata!P699,"sediment"),exact(Metadata!P699,"soil"),exact(Metadata!P699,"wastewater/sludge"),exact(Metadata!P699,"water"))))</f>
        <v>0</v>
      </c>
      <c r="BC699">
        <f>IF(Metadata!Q699="",FALSE,TRUE)</f>
        <v>0</v>
      </c>
      <c r="BD699">
        <f>IF(Metadata!R699="",FALSE,TRUE)</f>
        <v>0</v>
      </c>
      <c r="BE699">
        <f>OR(AND(IF(Metadata!S699="",FALSE,TRUE),OR(exact(Metadata!S699,"not collected"),exact(Metadata!S699,"not provided"),exact(Metadata!S699,"restricted access"))),AND(IF(Metadata!S699="",FALSE,ISNUMBER(VALUE(Metadata!S699))),Metadata!S699&gt;=-90.00,Metadata!S699&lt;=90.00))</f>
        <v>0</v>
      </c>
      <c r="BF699">
        <f>AND(IF(Metadata!T699="",FALSE,TRUE),exact(Metadata!T699,"Decimal degrees"))</f>
        <v>0</v>
      </c>
      <c r="BG699">
        <f>OR(AND(IF(Metadata!U699="",FALSE,TRUE),OR(exact(Metadata!U699,"not collected"),exact(Metadata!U699,"not provided"),exact(Metadata!U699,"restricted access"))),AND(IF(Metadata!U699="",FALSE,ISNUMBER(VALUE(Metadata!U699))),Metadata!U699&gt;=-180.00,Metadata!U699&lt;=180.00))</f>
        <v>0</v>
      </c>
      <c r="BH699">
        <f>AND(IF(Metadata!V699="",FALSE,TRUE),exact(Metadata!V699,"Decimal degrees"))</f>
        <v>0</v>
      </c>
      <c r="BI699">
        <f>IF(Metadata!W699="",FALSE,TRUE)</f>
        <v>0</v>
      </c>
      <c r="BJ699">
        <f>OR(AND(IF(Metadata!X699="",FALSE,TRUE),OR(exact(Metadata!X699,"not collected"),exact(Metadata!X699,"not provided"),exact(Metadata!X699,"restricted access"))),AND(IF(Metadata!X699="",FALSE,TRUE),OR(exact(Metadata!X699,"TRUE"),exact(Metadata!X699,"FALSE"))))</f>
        <v>0</v>
      </c>
      <c r="BK699">
        <f>AND(IF(Metadata!Y699="",FALSE,TRUE),exact(Metadata!Y699,"other"))</f>
        <v>0</v>
      </c>
      <c r="BL699">
        <f>IF(Metadata!Z699="",FALSE,TRUE)</f>
        <v>0</v>
      </c>
      <c r="BM699">
        <f>OR(AND(IF(Metadata!AA699="",FALSE,TRUE),OR(exact(Metadata!AA699,"not collected"),exact(Metadata!AA699,"not provided"))),AND(IF(Metadata!AA699="",FALSE,IF(ISERROR(INT(Metadata!AA699)),FALSE,INT(Metadata!AA699)=Metadata!AA699)),Metadata!AA699&gt;0))</f>
        <v>0</v>
      </c>
      <c r="BN699">
        <f>AND(IF(Metadata!AB699="",FALSE,TRUE),exact(Metadata!AB699,"Not applicable"))</f>
        <v>0</v>
      </c>
      <c r="BO699">
        <f>IF(Metadata!AC699="",FALSE,TRUE)</f>
        <v>0</v>
      </c>
    </row>
    <row r="700" spans="1:67">
      <c r="A700" s="5">
        <f>IF(B700=" "," ",HYPERLINK(CONCATENATE("#metadata!",ADDRESS(INDEX($AI$2:$AI$1001,MATCH(ROWS($AG$2:AG700),$AG$2:$AG$1001,0),0),1)),INDEX($AL$2:$AL$1001,MATCH(ROWS($AG$2:AG700),$AG$2:$AG$1001,0),0)))</f>
        <v>0</v>
      </c>
      <c r="B700" s="4">
        <f>IF(OR(INDEX($AH$2:$AH$1001,MATCH(ROWS($AG$2:AG700),$AG$2:$AG$1001,0),1)&gt;=100000,INDEX($AN$1005:$BO$1005,1,MATCH(COLUMNS($AN$1006:AN1006),$AN$1006:$BO$1006,0))&gt;=100000), " ",IF(INDEX($AN$2:$BO$1001,MATCH(ROWS($AG$2:AG700),$AG$2:$AG$1001,0),MATCH(COLUMNS($AN$1006:AN1006),$AN$1006:$BO$1006,0)), HYPERLINK("#",""), HYPERLINK(CONCATENATE("#Metadata!", ADDRESS(INDEX($AI$2:$AI$1001,MATCH(ROWS($AG$2:AG700),$AG$2:$AG$1001,0),0), INDEX($AN$1004:$BO$1004,1,MATCH(COLUMNS($AN$1006:AN1006),$AN$1006:$BO$1006,0)))),"Fix")))</f>
        <v>0</v>
      </c>
      <c r="C700" s="4">
        <f>IF(OR(INDEX($AH$2:$AH$1001,MATCH(ROWS($AG$2:AG700),$AG$2:$AG$1001,0),1)&gt;=100000,INDEX($AN$1005:$BO$1005,1,MATCH(COLUMNS($AN$1006:AO1006),$AN$1006:$BO$1006,0))&gt;=100000), " ",IF(INDEX($AN$2:$BO$1001,MATCH(ROWS($AG$2:AG700),$AG$2:$AG$1001,0),MATCH(COLUMNS($AN$1006:AO1006),$AN$1006:$BO$1006,0)), HYPERLINK("#",""), HYPERLINK(CONCATENATE("#Metadata!", ADDRESS(INDEX($AI$2:$AI$1001,MATCH(ROWS($AG$2:AG700),$AG$2:$AG$1001,0),0), INDEX($AN$1004:$BO$1004,1,MATCH(COLUMNS($AN$1006:AO1006),$AN$1006:$BO$1006,0)))),"Fix")))</f>
        <v>0</v>
      </c>
      <c r="D700" s="4">
        <f>IF(OR(INDEX($AH$2:$AH$1001,MATCH(ROWS($AG$2:AG700),$AG$2:$AG$1001,0),1)&gt;=100000,INDEX($AN$1005:$BO$1005,1,MATCH(COLUMNS($AN$1006:AP1006),$AN$1006:$BO$1006,0))&gt;=100000), " ",IF(INDEX($AN$2:$BO$1001,MATCH(ROWS($AG$2:AG700),$AG$2:$AG$1001,0),MATCH(COLUMNS($AN$1006:AP1006),$AN$1006:$BO$1006,0)), HYPERLINK("#",""), HYPERLINK(CONCATENATE("#Metadata!", ADDRESS(INDEX($AI$2:$AI$1001,MATCH(ROWS($AG$2:AG700),$AG$2:$AG$1001,0),0), INDEX($AN$1004:$BO$1004,1,MATCH(COLUMNS($AN$1006:AP1006),$AN$1006:$BO$1006,0)))),"Fix")))</f>
        <v>0</v>
      </c>
      <c r="E700" s="4">
        <f>IF(OR(INDEX($AH$2:$AH$1001,MATCH(ROWS($AG$2:AG700),$AG$2:$AG$1001,0),1)&gt;=100000,INDEX($AN$1005:$BO$1005,1,MATCH(COLUMNS($AN$1006:AQ1006),$AN$1006:$BO$1006,0))&gt;=100000), " ",IF(INDEX($AN$2:$BO$1001,MATCH(ROWS($AG$2:AG700),$AG$2:$AG$1001,0),MATCH(COLUMNS($AN$1006:AQ1006),$AN$1006:$BO$1006,0)), HYPERLINK("#",""), HYPERLINK(CONCATENATE("#Metadata!", ADDRESS(INDEX($AI$2:$AI$1001,MATCH(ROWS($AG$2:AG700),$AG$2:$AG$1001,0),0), INDEX($AN$1004:$BO$1004,1,MATCH(COLUMNS($AN$1006:AQ1006),$AN$1006:$BO$1006,0)))),"Fix")))</f>
        <v>0</v>
      </c>
      <c r="F700" s="4">
        <f>IF(OR(INDEX($AH$2:$AH$1001,MATCH(ROWS($AG$2:AG700),$AG$2:$AG$1001,0),1)&gt;=100000,INDEX($AN$1005:$BO$1005,1,MATCH(COLUMNS($AN$1006:AR1006),$AN$1006:$BO$1006,0))&gt;=100000), " ",IF(INDEX($AN$2:$BO$1001,MATCH(ROWS($AG$2:AG700),$AG$2:$AG$1001,0),MATCH(COLUMNS($AN$1006:AR1006),$AN$1006:$BO$1006,0)), HYPERLINK("#",""), HYPERLINK(CONCATENATE("#Metadata!", ADDRESS(INDEX($AI$2:$AI$1001,MATCH(ROWS($AG$2:AG700),$AG$2:$AG$1001,0),0), INDEX($AN$1004:$BO$1004,1,MATCH(COLUMNS($AN$1006:AR1006),$AN$1006:$BO$1006,0)))),"Fix")))</f>
        <v>0</v>
      </c>
      <c r="G700" s="4">
        <f>IF(OR(INDEX($AH$2:$AH$1001,MATCH(ROWS($AG$2:AG700),$AG$2:$AG$1001,0),1)&gt;=100000,INDEX($AN$1005:$BO$1005,1,MATCH(COLUMNS($AN$1006:AS1006),$AN$1006:$BO$1006,0))&gt;=100000), " ",IF(INDEX($AN$2:$BO$1001,MATCH(ROWS($AG$2:AG700),$AG$2:$AG$1001,0),MATCH(COLUMNS($AN$1006:AS1006),$AN$1006:$BO$1006,0)), HYPERLINK("#",""), HYPERLINK(CONCATENATE("#Metadata!", ADDRESS(INDEX($AI$2:$AI$1001,MATCH(ROWS($AG$2:AG700),$AG$2:$AG$1001,0),0), INDEX($AN$1004:$BO$1004,1,MATCH(COLUMNS($AN$1006:AS1006),$AN$1006:$BO$1006,0)))),"Fix")))</f>
        <v>0</v>
      </c>
      <c r="H700" s="4">
        <f>IF(OR(INDEX($AH$2:$AH$1001,MATCH(ROWS($AG$2:AG700),$AG$2:$AG$1001,0),1)&gt;=100000,INDEX($AN$1005:$BO$1005,1,MATCH(COLUMNS($AN$1006:AT1006),$AN$1006:$BO$1006,0))&gt;=100000), " ",IF(INDEX($AN$2:$BO$1001,MATCH(ROWS($AG$2:AG700),$AG$2:$AG$1001,0),MATCH(COLUMNS($AN$1006:AT1006),$AN$1006:$BO$1006,0)), HYPERLINK("#",""), HYPERLINK(CONCATENATE("#Metadata!", ADDRESS(INDEX($AI$2:$AI$1001,MATCH(ROWS($AG$2:AG700),$AG$2:$AG$1001,0),0), INDEX($AN$1004:$BO$1004,1,MATCH(COLUMNS($AN$1006:AT1006),$AN$1006:$BO$1006,0)))),"Fix")))</f>
        <v>0</v>
      </c>
      <c r="I700" s="4">
        <f>IF(OR(INDEX($AH$2:$AH$1001,MATCH(ROWS($AG$2:AG700),$AG$2:$AG$1001,0),1)&gt;=100000,INDEX($AN$1005:$BO$1005,1,MATCH(COLUMNS($AN$1006:AU1006),$AN$1006:$BO$1006,0))&gt;=100000), " ",IF(INDEX($AN$2:$BO$1001,MATCH(ROWS($AG$2:AG700),$AG$2:$AG$1001,0),MATCH(COLUMNS($AN$1006:AU1006),$AN$1006:$BO$1006,0)), HYPERLINK("#",""), HYPERLINK(CONCATENATE("#Metadata!", ADDRESS(INDEX($AI$2:$AI$1001,MATCH(ROWS($AG$2:AG700),$AG$2:$AG$1001,0),0), INDEX($AN$1004:$BO$1004,1,MATCH(COLUMNS($AN$1006:AU1006),$AN$1006:$BO$1006,0)))),"Fix")))</f>
        <v>0</v>
      </c>
      <c r="J700" s="4">
        <f>IF(OR(INDEX($AH$2:$AH$1001,MATCH(ROWS($AG$2:AG700),$AG$2:$AG$1001,0),1)&gt;=100000,INDEX($AN$1005:$BO$1005,1,MATCH(COLUMNS($AN$1006:AV1006),$AN$1006:$BO$1006,0))&gt;=100000), " ",IF(INDEX($AN$2:$BO$1001,MATCH(ROWS($AG$2:AG700),$AG$2:$AG$1001,0),MATCH(COLUMNS($AN$1006:AV1006),$AN$1006:$BO$1006,0)), HYPERLINK("#",""), HYPERLINK(CONCATENATE("#Metadata!", ADDRESS(INDEX($AI$2:$AI$1001,MATCH(ROWS($AG$2:AG700),$AG$2:$AG$1001,0),0), INDEX($AN$1004:$BO$1004,1,MATCH(COLUMNS($AN$1006:AV1006),$AN$1006:$BO$1006,0)))),"Fix")))</f>
        <v>0</v>
      </c>
      <c r="K700" s="4">
        <f>IF(OR(INDEX($AH$2:$AH$1001,MATCH(ROWS($AG$2:AG700),$AG$2:$AG$1001,0),1)&gt;=100000,INDEX($AN$1005:$BO$1005,1,MATCH(COLUMNS($AN$1006:AW1006),$AN$1006:$BO$1006,0))&gt;=100000), " ",IF(INDEX($AN$2:$BO$1001,MATCH(ROWS($AG$2:AG700),$AG$2:$AG$1001,0),MATCH(COLUMNS($AN$1006:AW1006),$AN$1006:$BO$1006,0)), HYPERLINK("#",""), HYPERLINK(CONCATENATE("#Metadata!", ADDRESS(INDEX($AI$2:$AI$1001,MATCH(ROWS($AG$2:AG700),$AG$2:$AG$1001,0),0), INDEX($AN$1004:$BO$1004,1,MATCH(COLUMNS($AN$1006:AW1006),$AN$1006:$BO$1006,0)))),"Fix")))</f>
        <v>0</v>
      </c>
      <c r="L700" s="4">
        <f>IF(OR(INDEX($AH$2:$AH$1001,MATCH(ROWS($AG$2:AG700),$AG$2:$AG$1001,0),1)&gt;=100000,INDEX($AN$1005:$BO$1005,1,MATCH(COLUMNS($AN$1006:AX1006),$AN$1006:$BO$1006,0))&gt;=100000), " ",IF(INDEX($AN$2:$BO$1001,MATCH(ROWS($AG$2:AG700),$AG$2:$AG$1001,0),MATCH(COLUMNS($AN$1006:AX1006),$AN$1006:$BO$1006,0)), HYPERLINK("#",""), HYPERLINK(CONCATENATE("#Metadata!", ADDRESS(INDEX($AI$2:$AI$1001,MATCH(ROWS($AG$2:AG700),$AG$2:$AG$1001,0),0), INDEX($AN$1004:$BO$1004,1,MATCH(COLUMNS($AN$1006:AX1006),$AN$1006:$BO$1006,0)))),"Fix")))</f>
        <v>0</v>
      </c>
      <c r="M700" s="4">
        <f>IF(OR(INDEX($AH$2:$AH$1001,MATCH(ROWS($AG$2:AG700),$AG$2:$AG$1001,0),1)&gt;=100000,INDEX($AN$1005:$BO$1005,1,MATCH(COLUMNS($AN$1006:AY1006),$AN$1006:$BO$1006,0))&gt;=100000), " ",IF(INDEX($AN$2:$BO$1001,MATCH(ROWS($AG$2:AG700),$AG$2:$AG$1001,0),MATCH(COLUMNS($AN$1006:AY1006),$AN$1006:$BO$1006,0)), HYPERLINK("#",""), HYPERLINK(CONCATENATE("#Metadata!", ADDRESS(INDEX($AI$2:$AI$1001,MATCH(ROWS($AG$2:AG700),$AG$2:$AG$1001,0),0), INDEX($AN$1004:$BO$1004,1,MATCH(COLUMNS($AN$1006:AY1006),$AN$1006:$BO$1006,0)))),"Fix")))</f>
        <v>0</v>
      </c>
      <c r="N700" s="4">
        <f>IF(OR(INDEX($AH$2:$AH$1001,MATCH(ROWS($AG$2:AG700),$AG$2:$AG$1001,0),1)&gt;=100000,INDEX($AN$1005:$BO$1005,1,MATCH(COLUMNS($AN$1006:AZ1006),$AN$1006:$BO$1006,0))&gt;=100000), " ",IF(INDEX($AN$2:$BO$1001,MATCH(ROWS($AG$2:AG700),$AG$2:$AG$1001,0),MATCH(COLUMNS($AN$1006:AZ1006),$AN$1006:$BO$1006,0)), HYPERLINK("#",""), HYPERLINK(CONCATENATE("#Metadata!", ADDRESS(INDEX($AI$2:$AI$1001,MATCH(ROWS($AG$2:AG700),$AG$2:$AG$1001,0),0), INDEX($AN$1004:$BO$1004,1,MATCH(COLUMNS($AN$1006:AZ1006),$AN$1006:$BO$1006,0)))),"Fix")))</f>
        <v>0</v>
      </c>
      <c r="O700" s="4">
        <f>IF(OR(INDEX($AH$2:$AH$1001,MATCH(ROWS($AG$2:AG700),$AG$2:$AG$1001,0),1)&gt;=100000,INDEX($AN$1005:$BO$1005,1,MATCH(COLUMNS($AN$1006:BA1006),$AN$1006:$BO$1006,0))&gt;=100000), " ",IF(INDEX($AN$2:$BO$1001,MATCH(ROWS($AG$2:AG700),$AG$2:$AG$1001,0),MATCH(COLUMNS($AN$1006:BA1006),$AN$1006:$BO$1006,0)), HYPERLINK("#",""), HYPERLINK(CONCATENATE("#Metadata!", ADDRESS(INDEX($AI$2:$AI$1001,MATCH(ROWS($AG$2:AG700),$AG$2:$AG$1001,0),0), INDEX($AN$1004:$BO$1004,1,MATCH(COLUMNS($AN$1006:BA1006),$AN$1006:$BO$1006,0)))),"Fix")))</f>
        <v>0</v>
      </c>
      <c r="P700" s="4">
        <f>IF(OR(INDEX($AH$2:$AH$1001,MATCH(ROWS($AG$2:AG700),$AG$2:$AG$1001,0),1)&gt;=100000,INDEX($AN$1005:$BO$1005,1,MATCH(COLUMNS($AN$1006:BB1006),$AN$1006:$BO$1006,0))&gt;=100000), " ",IF(INDEX($AN$2:$BO$1001,MATCH(ROWS($AG$2:AG700),$AG$2:$AG$1001,0),MATCH(COLUMNS($AN$1006:BB1006),$AN$1006:$BO$1006,0)), HYPERLINK("#",""), HYPERLINK(CONCATENATE("#Metadata!", ADDRESS(INDEX($AI$2:$AI$1001,MATCH(ROWS($AG$2:AG700),$AG$2:$AG$1001,0),0), INDEX($AN$1004:$BO$1004,1,MATCH(COLUMNS($AN$1006:BB1006),$AN$1006:$BO$1006,0)))),"Fix")))</f>
        <v>0</v>
      </c>
      <c r="Q700" s="4">
        <f>IF(OR(INDEX($AH$2:$AH$1001,MATCH(ROWS($AG$2:AG700),$AG$2:$AG$1001,0),1)&gt;=100000,INDEX($AN$1005:$BO$1005,1,MATCH(COLUMNS($AN$1006:BC1006),$AN$1006:$BO$1006,0))&gt;=100000), " ",IF(INDEX($AN$2:$BO$1001,MATCH(ROWS($AG$2:AG700),$AG$2:$AG$1001,0),MATCH(COLUMNS($AN$1006:BC1006),$AN$1006:$BO$1006,0)), HYPERLINK("#",""), HYPERLINK(CONCATENATE("#Metadata!", ADDRESS(INDEX($AI$2:$AI$1001,MATCH(ROWS($AG$2:AG700),$AG$2:$AG$1001,0),0), INDEX($AN$1004:$BO$1004,1,MATCH(COLUMNS($AN$1006:BC1006),$AN$1006:$BO$1006,0)))),"Fix")))</f>
        <v>0</v>
      </c>
      <c r="R700" s="4">
        <f>IF(OR(INDEX($AH$2:$AH$1001,MATCH(ROWS($AG$2:AG700),$AG$2:$AG$1001,0),1)&gt;=100000,INDEX($AN$1005:$BO$1005,1,MATCH(COLUMNS($AN$1006:BD1006),$AN$1006:$BO$1006,0))&gt;=100000), " ",IF(INDEX($AN$2:$BO$1001,MATCH(ROWS($AG$2:AG700),$AG$2:$AG$1001,0),MATCH(COLUMNS($AN$1006:BD1006),$AN$1006:$BO$1006,0)), HYPERLINK("#",""), HYPERLINK(CONCATENATE("#Metadata!", ADDRESS(INDEX($AI$2:$AI$1001,MATCH(ROWS($AG$2:AG700),$AG$2:$AG$1001,0),0), INDEX($AN$1004:$BO$1004,1,MATCH(COLUMNS($AN$1006:BD1006),$AN$1006:$BO$1006,0)))),"Fix")))</f>
        <v>0</v>
      </c>
      <c r="S700" s="4">
        <f>IF(OR(INDEX($AH$2:$AH$1001,MATCH(ROWS($AG$2:AG700),$AG$2:$AG$1001,0),1)&gt;=100000,INDEX($AN$1005:$BO$1005,1,MATCH(COLUMNS($AN$1006:BE1006),$AN$1006:$BO$1006,0))&gt;=100000), " ",IF(INDEX($AN$2:$BO$1001,MATCH(ROWS($AG$2:AG700),$AG$2:$AG$1001,0),MATCH(COLUMNS($AN$1006:BE1006),$AN$1006:$BO$1006,0)), HYPERLINK("#",""), HYPERLINK(CONCATENATE("#Metadata!", ADDRESS(INDEX($AI$2:$AI$1001,MATCH(ROWS($AG$2:AG700),$AG$2:$AG$1001,0),0), INDEX($AN$1004:$BO$1004,1,MATCH(COLUMNS($AN$1006:BE1006),$AN$1006:$BO$1006,0)))),"Fix")))</f>
        <v>0</v>
      </c>
      <c r="T700" s="4">
        <f>IF(OR(INDEX($AH$2:$AH$1001,MATCH(ROWS($AG$2:AG700),$AG$2:$AG$1001,0),1)&gt;=100000,INDEX($AN$1005:$BO$1005,1,MATCH(COLUMNS($AN$1006:BF1006),$AN$1006:$BO$1006,0))&gt;=100000), " ",IF(INDEX($AN$2:$BO$1001,MATCH(ROWS($AG$2:AG700),$AG$2:$AG$1001,0),MATCH(COLUMNS($AN$1006:BF1006),$AN$1006:$BO$1006,0)), HYPERLINK("#",""), HYPERLINK(CONCATENATE("#Metadata!", ADDRESS(INDEX($AI$2:$AI$1001,MATCH(ROWS($AG$2:AG700),$AG$2:$AG$1001,0),0), INDEX($AN$1004:$BO$1004,1,MATCH(COLUMNS($AN$1006:BF1006),$AN$1006:$BO$1006,0)))),"Fix")))</f>
        <v>0</v>
      </c>
      <c r="U700" s="4">
        <f>IF(OR(INDEX($AH$2:$AH$1001,MATCH(ROWS($AG$2:AG700),$AG$2:$AG$1001,0),1)&gt;=100000,INDEX($AN$1005:$BO$1005,1,MATCH(COLUMNS($AN$1006:BG1006),$AN$1006:$BO$1006,0))&gt;=100000), " ",IF(INDEX($AN$2:$BO$1001,MATCH(ROWS($AG$2:AG700),$AG$2:$AG$1001,0),MATCH(COLUMNS($AN$1006:BG1006),$AN$1006:$BO$1006,0)), HYPERLINK("#",""), HYPERLINK(CONCATENATE("#Metadata!", ADDRESS(INDEX($AI$2:$AI$1001,MATCH(ROWS($AG$2:AG700),$AG$2:$AG$1001,0),0), INDEX($AN$1004:$BO$1004,1,MATCH(COLUMNS($AN$1006:BG1006),$AN$1006:$BO$1006,0)))),"Fix")))</f>
        <v>0</v>
      </c>
      <c r="V700" s="4">
        <f>IF(OR(INDEX($AH$2:$AH$1001,MATCH(ROWS($AG$2:AG700),$AG$2:$AG$1001,0),1)&gt;=100000,INDEX($AN$1005:$BO$1005,1,MATCH(COLUMNS($AN$1006:BH1006),$AN$1006:$BO$1006,0))&gt;=100000), " ",IF(INDEX($AN$2:$BO$1001,MATCH(ROWS($AG$2:AG700),$AG$2:$AG$1001,0),MATCH(COLUMNS($AN$1006:BH1006),$AN$1006:$BO$1006,0)), HYPERLINK("#",""), HYPERLINK(CONCATENATE("#Metadata!", ADDRESS(INDEX($AI$2:$AI$1001,MATCH(ROWS($AG$2:AG700),$AG$2:$AG$1001,0),0), INDEX($AN$1004:$BO$1004,1,MATCH(COLUMNS($AN$1006:BH1006),$AN$1006:$BO$1006,0)))),"Fix")))</f>
        <v>0</v>
      </c>
      <c r="W700" s="4">
        <f>IF(OR(INDEX($AH$2:$AH$1001,MATCH(ROWS($AG$2:AG700),$AG$2:$AG$1001,0),1)&gt;=100000,INDEX($AN$1005:$BO$1005,1,MATCH(COLUMNS($AN$1006:BI1006),$AN$1006:$BO$1006,0))&gt;=100000), " ",IF(INDEX($AN$2:$BO$1001,MATCH(ROWS($AG$2:AG700),$AG$2:$AG$1001,0),MATCH(COLUMNS($AN$1006:BI1006),$AN$1006:$BO$1006,0)), HYPERLINK("#",""), HYPERLINK(CONCATENATE("#Metadata!", ADDRESS(INDEX($AI$2:$AI$1001,MATCH(ROWS($AG$2:AG700),$AG$2:$AG$1001,0),0), INDEX($AN$1004:$BO$1004,1,MATCH(COLUMNS($AN$1006:BI1006),$AN$1006:$BO$1006,0)))),"Fix")))</f>
        <v>0</v>
      </c>
      <c r="X700" s="4">
        <f>IF(OR(INDEX($AH$2:$AH$1001,MATCH(ROWS($AG$2:AG700),$AG$2:$AG$1001,0),1)&gt;=100000,INDEX($AN$1005:$BO$1005,1,MATCH(COLUMNS($AN$1006:BJ1006),$AN$1006:$BO$1006,0))&gt;=100000), " ",IF(INDEX($AN$2:$BO$1001,MATCH(ROWS($AG$2:AG700),$AG$2:$AG$1001,0),MATCH(COLUMNS($AN$1006:BJ1006),$AN$1006:$BO$1006,0)), HYPERLINK("#",""), HYPERLINK(CONCATENATE("#Metadata!", ADDRESS(INDEX($AI$2:$AI$1001,MATCH(ROWS($AG$2:AG700),$AG$2:$AG$1001,0),0), INDEX($AN$1004:$BO$1004,1,MATCH(COLUMNS($AN$1006:BJ1006),$AN$1006:$BO$1006,0)))),"Fix")))</f>
        <v>0</v>
      </c>
      <c r="Y700" s="4">
        <f>IF(OR(INDEX($AH$2:$AH$1001,MATCH(ROWS($AG$2:AG700),$AG$2:$AG$1001,0),1)&gt;=100000,INDEX($AN$1005:$BO$1005,1,MATCH(COLUMNS($AN$1006:BK1006),$AN$1006:$BO$1006,0))&gt;=100000), " ",IF(INDEX($AN$2:$BO$1001,MATCH(ROWS($AG$2:AG700),$AG$2:$AG$1001,0),MATCH(COLUMNS($AN$1006:BK1006),$AN$1006:$BO$1006,0)), HYPERLINK("#",""), HYPERLINK(CONCATENATE("#Metadata!", ADDRESS(INDEX($AI$2:$AI$1001,MATCH(ROWS($AG$2:AG700),$AG$2:$AG$1001,0),0), INDEX($AN$1004:$BO$1004,1,MATCH(COLUMNS($AN$1006:BK1006),$AN$1006:$BO$1006,0)))),"Fix")))</f>
        <v>0</v>
      </c>
      <c r="Z700" s="4">
        <f>IF(OR(INDEX($AH$2:$AH$1001,MATCH(ROWS($AG$2:AG700),$AG$2:$AG$1001,0),1)&gt;=100000,INDEX($AN$1005:$BO$1005,1,MATCH(COLUMNS($AN$1006:BL1006),$AN$1006:$BO$1006,0))&gt;=100000), " ",IF(INDEX($AN$2:$BO$1001,MATCH(ROWS($AG$2:AG700),$AG$2:$AG$1001,0),MATCH(COLUMNS($AN$1006:BL1006),$AN$1006:$BO$1006,0)), HYPERLINK("#",""), HYPERLINK(CONCATENATE("#Metadata!", ADDRESS(INDEX($AI$2:$AI$1001,MATCH(ROWS($AG$2:AG700),$AG$2:$AG$1001,0),0), INDEX($AN$1004:$BO$1004,1,MATCH(COLUMNS($AN$1006:BL1006),$AN$1006:$BO$1006,0)))),"Fix")))</f>
        <v>0</v>
      </c>
      <c r="AA700" s="4">
        <f>IF(OR(INDEX($AH$2:$AH$1001,MATCH(ROWS($AG$2:AG700),$AG$2:$AG$1001,0),1)&gt;=100000,INDEX($AN$1005:$BO$1005,1,MATCH(COLUMNS($AN$1006:BM1006),$AN$1006:$BO$1006,0))&gt;=100000), " ",IF(INDEX($AN$2:$BO$1001,MATCH(ROWS($AG$2:AG700),$AG$2:$AG$1001,0),MATCH(COLUMNS($AN$1006:BM1006),$AN$1006:$BO$1006,0)), HYPERLINK("#",""), HYPERLINK(CONCATENATE("#Metadata!", ADDRESS(INDEX($AI$2:$AI$1001,MATCH(ROWS($AG$2:AG700),$AG$2:$AG$1001,0),0), INDEX($AN$1004:$BO$1004,1,MATCH(COLUMNS($AN$1006:BM1006),$AN$1006:$BO$1006,0)))),"Fix")))</f>
        <v>0</v>
      </c>
      <c r="AB700" s="4">
        <f>IF(OR(INDEX($AH$2:$AH$1001,MATCH(ROWS($AG$2:AG700),$AG$2:$AG$1001,0),1)&gt;=100000,INDEX($AN$1005:$BO$1005,1,MATCH(COLUMNS($AN$1006:BN1006),$AN$1006:$BO$1006,0))&gt;=100000), " ",IF(INDEX($AN$2:$BO$1001,MATCH(ROWS($AG$2:AG700),$AG$2:$AG$1001,0),MATCH(COLUMNS($AN$1006:BN1006),$AN$1006:$BO$1006,0)), HYPERLINK("#",""), HYPERLINK(CONCATENATE("#Metadata!", ADDRESS(INDEX($AI$2:$AI$1001,MATCH(ROWS($AG$2:AG700),$AG$2:$AG$1001,0),0), INDEX($AN$1004:$BO$1004,1,MATCH(COLUMNS($AN$1006:BN1006),$AN$1006:$BO$1006,0)))),"Fix")))</f>
        <v>0</v>
      </c>
      <c r="AC700" s="4">
        <f>IF(OR(INDEX($AH$2:$AH$1001,MATCH(ROWS($AG$2:AG700),$AG$2:$AG$1001,0),1)&gt;=100000,INDEX($AN$1005:$BO$1005,1,MATCH(COLUMNS($AN$1006:BO1006),$AN$1006:$BO$1006,0))&gt;=100000), " ",IF(INDEX($AN$2:$BO$1001,MATCH(ROWS($AG$2:AG700),$AG$2:$AG$1001,0),MATCH(COLUMNS($AN$1006:BO1006),$AN$1006:$BO$1006,0)), HYPERLINK("#",""), HYPERLINK(CONCATENATE("#Metadata!", ADDRESS(INDEX($AI$2:$AI$1001,MATCH(ROWS($AG$2:AG700),$AG$2:$AG$1001,0),0), INDEX($AN$1004:$BO$1004,1,MATCH(COLUMNS($AN$1006:BO1006),$AN$1006:$BO$1006,0)))),"Fix")))</f>
        <v>0</v>
      </c>
      <c r="AG700">
        <v>0</v>
      </c>
      <c r="AH700">
        <v>0</v>
      </c>
      <c r="AI700">
        <v>0</v>
      </c>
      <c r="AJ700">
        <f>IF(AK700,TRUE,AND(AN700:BO700))</f>
        <v>0</v>
      </c>
      <c r="AK700">
        <f>COUNTBLANK(Metadata!B700:AC700)=COLUMNS(Metadata!B700:AC700)</f>
        <v>0</v>
      </c>
      <c r="AL700">
        <v>0</v>
      </c>
      <c r="AN700">
        <f>AND(IF(Metadata!B700="",FALSE,TRUE),COUNTIF(Metadata!B:B, Metadata!B700) = 1,NOT(ISERROR(SUMPRODUCT(SEARCH(MID(Metadata!B700,ROW(INDIRECT("1:"&amp;LEN(Metadata!B700))), 1),"0123456789abcdefghijklmnopqrstuvwxyzABCDEFGHIJKLMNOPQRSTUVWXYZ.")))))</f>
        <v>0</v>
      </c>
      <c r="AO700">
        <f>IF(Metadata!C700="",FALSE,TRUE)</f>
        <v>0</v>
      </c>
      <c r="AP700">
        <f>IF(Metadata!D700="",FALSE,TRUE)</f>
        <v>0</v>
      </c>
      <c r="AQ700">
        <f>OR(AND(IF(Metadata!E700="",FALSE,TRUE),OR(exact(Metadata!E700,"not collected"),exact(Metadata!E700,"not provided"),exact(Metadata!E700,"restricted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R700">
        <f>IF(Metadata!F700="",FALSE,TRUE)</f>
        <v>0</v>
      </c>
      <c r="AS700">
        <f>OR(AND(IF(Metadata!G700="",FALSE,TRUE),OR(exact(Metadata!G700,"not collected"),exact(Metadata!G700,"not provided"))),AND(IF(Metadata!G700="",FALSE,TRUE),OR(exact(Metadata!G700,"TRUE"),exact(Metadata!G700,"FALSE"))))</f>
        <v>0</v>
      </c>
      <c r="AT700">
        <f>OR(AND(IF(Metadata!H700="",FALSE,TRUE),OR(exact(Metadata!H700,"not collected"),exact(Metadata!H700,"not provided"),exact(Metadata!H700,"restricted access"))),AND(IF(Metadata!H700="",FALSE,ISNUMBER(VALUE(Metadata!H700))),Metadata!H700&gt;=-413.0))</f>
        <v>0</v>
      </c>
      <c r="AU700">
        <f>AND(IF(Metadata!I700="",FALSE,TRUE),exact(Metadata!I700,"meters"))</f>
        <v>0</v>
      </c>
      <c r="AV700">
        <f>AND(IF(Metadata!J700="",FALSE,TRUE),OR(exact(Metadata!J700,"Host-associated"),exact(Metadata!J700,"Free-living")))</f>
        <v>0</v>
      </c>
      <c r="AW700">
        <f>AND(IF(Metadata!K700="",FALSE,TRUE),OR(exact(Metadata!K700,"Animal"),exact(Metadata!K700,"Fungus"),exact(Metadata!K700,"Plant"),exact(Metadata!K700,"Saline"),exact(Metadata!K700,"Non-saline")))</f>
        <v>0</v>
      </c>
      <c r="AX700">
        <f>AND(IF(Metadata!L700="",FALSE,TRUE),OR(exact(Metadata!L700,"Plant secretion"),exact(Metadata!L700,"Plant rhizosphere"),exact(Metadata!L700,"Plant surface"),exact(Metadata!L700,"Plant corpus"),exact(Metadata!L700,"Fungus surface"),exact(Metadata!L700,"Fungus corpus"),exact(Metadata!L700,"Animal surface"),exact(Metadata!L700,"Animal proximal gut"),exact(Metadata!L700,"Animal corpus"),exact(Metadata!L700,"Animal distal gut"),exact(Metadata!L700,"Animal secretion"),exact(Metadata!L700,"Sub-surface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Y700">
        <f>IF(Metadata!M700="",FALSE,TRUE)</f>
        <v>0</v>
      </c>
      <c r="AZ700">
        <f>IF(Metadata!N700="",FALSE,TRUE)</f>
        <v>0</v>
      </c>
      <c r="BA700">
        <f>IF(Metadata!O700="",FALSE,TRUE)</f>
        <v>0</v>
      </c>
      <c r="BB700">
        <f>OR(AND(IF(Metadata!P700="",FALSE,TRUE),OR(exact(Metadata!P700,"not collected"),exact(Metadata!P700,"not provided"),exact(Metadata!P700,"restricted access"))),AND(IF(Metadata!P700="",FALSE,TRUE),OR(exact(Metadata!P700,"air"),exact(Metadata!P700,"built environment"),exact(Metadata!P700,"host-associated"),exact(Metadata!P700,"human-associated"),exact(Metadata!P700,"human-skin"),exact(Metadata!P700,"human-oral"),exact(Metadata!P700,"human-gut"),exact(Metadata!P700,"human-vaginal"),exact(Metadata!P700,"microbial mat/biofilm"),exact(Metadata!P700,"misc environment"),exact(Metadata!P700,"plant-associated"),exact(Metadata!P700,"sediment"),exact(Metadata!P700,"soil"),exact(Metadata!P700,"wastewater/sludge"),exact(Metadata!P700,"water"))))</f>
        <v>0</v>
      </c>
      <c r="BC700">
        <f>IF(Metadata!Q700="",FALSE,TRUE)</f>
        <v>0</v>
      </c>
      <c r="BD700">
        <f>IF(Metadata!R700="",FALSE,TRUE)</f>
        <v>0</v>
      </c>
      <c r="BE700">
        <f>OR(AND(IF(Metadata!S700="",FALSE,TRUE),OR(exact(Metadata!S700,"not collected"),exact(Metadata!S700,"not provided"),exact(Metadata!S700,"restricted access"))),AND(IF(Metadata!S700="",FALSE,ISNUMBER(VALUE(Metadata!S700))),Metadata!S700&gt;=-90.00,Metadata!S700&lt;=90.00))</f>
        <v>0</v>
      </c>
      <c r="BF700">
        <f>AND(IF(Metadata!T700="",FALSE,TRUE),exact(Metadata!T700,"Decimal degrees"))</f>
        <v>0</v>
      </c>
      <c r="BG700">
        <f>OR(AND(IF(Metadata!U700="",FALSE,TRUE),OR(exact(Metadata!U700,"not collected"),exact(Metadata!U700,"not provided"),exact(Metadata!U700,"restricted access"))),AND(IF(Metadata!U700="",FALSE,ISNUMBER(VALUE(Metadata!U700))),Metadata!U700&gt;=-180.00,Metadata!U700&lt;=180.00))</f>
        <v>0</v>
      </c>
      <c r="BH700">
        <f>AND(IF(Metadata!V700="",FALSE,TRUE),exact(Metadata!V700,"Decimal degrees"))</f>
        <v>0</v>
      </c>
      <c r="BI700">
        <f>IF(Metadata!W700="",FALSE,TRUE)</f>
        <v>0</v>
      </c>
      <c r="BJ700">
        <f>OR(AND(IF(Metadata!X700="",FALSE,TRUE),OR(exact(Metadata!X700,"not collected"),exact(Metadata!X700,"not provided"),exact(Metadata!X700,"restricted access"))),AND(IF(Metadata!X700="",FALSE,TRUE),OR(exact(Metadata!X700,"TRUE"),exact(Metadata!X700,"FALSE"))))</f>
        <v>0</v>
      </c>
      <c r="BK700">
        <f>AND(IF(Metadata!Y700="",FALSE,TRUE),exact(Metadata!Y700,"other"))</f>
        <v>0</v>
      </c>
      <c r="BL700">
        <f>IF(Metadata!Z700="",FALSE,TRUE)</f>
        <v>0</v>
      </c>
      <c r="BM700">
        <f>OR(AND(IF(Metadata!AA700="",FALSE,TRUE),OR(exact(Metadata!AA700,"not collected"),exact(Metadata!AA700,"not provided"))),AND(IF(Metadata!AA700="",FALSE,IF(ISERROR(INT(Metadata!AA700)),FALSE,INT(Metadata!AA700)=Metadata!AA700)),Metadata!AA700&gt;0))</f>
        <v>0</v>
      </c>
      <c r="BN700">
        <f>AND(IF(Metadata!AB700="",FALSE,TRUE),exact(Metadata!AB700,"Not applicable"))</f>
        <v>0</v>
      </c>
      <c r="BO700">
        <f>IF(Metadata!AC700="",FALSE,TRUE)</f>
        <v>0</v>
      </c>
    </row>
    <row r="701" spans="1:67">
      <c r="A701" s="5">
        <f>IF(B701=" "," ",HYPERLINK(CONCATENATE("#metadata!",ADDRESS(INDEX($AI$2:$AI$1001,MATCH(ROWS($AG$2:AG701),$AG$2:$AG$1001,0),0),1)),INDEX($AL$2:$AL$1001,MATCH(ROWS($AG$2:AG701),$AG$2:$AG$1001,0),0)))</f>
        <v>0</v>
      </c>
      <c r="B701" s="4">
        <f>IF(OR(INDEX($AH$2:$AH$1001,MATCH(ROWS($AG$2:AG701),$AG$2:$AG$1001,0),1)&gt;=100000,INDEX($AN$1005:$BO$1005,1,MATCH(COLUMNS($AN$1006:AN1006),$AN$1006:$BO$1006,0))&gt;=100000), " ",IF(INDEX($AN$2:$BO$1001,MATCH(ROWS($AG$2:AG701),$AG$2:$AG$1001,0),MATCH(COLUMNS($AN$1006:AN1006),$AN$1006:$BO$1006,0)), HYPERLINK("#",""), HYPERLINK(CONCATENATE("#Metadata!", ADDRESS(INDEX($AI$2:$AI$1001,MATCH(ROWS($AG$2:AG701),$AG$2:$AG$1001,0),0), INDEX($AN$1004:$BO$1004,1,MATCH(COLUMNS($AN$1006:AN1006),$AN$1006:$BO$1006,0)))),"Fix")))</f>
        <v>0</v>
      </c>
      <c r="C701" s="4">
        <f>IF(OR(INDEX($AH$2:$AH$1001,MATCH(ROWS($AG$2:AG701),$AG$2:$AG$1001,0),1)&gt;=100000,INDEX($AN$1005:$BO$1005,1,MATCH(COLUMNS($AN$1006:AO1006),$AN$1006:$BO$1006,0))&gt;=100000), " ",IF(INDEX($AN$2:$BO$1001,MATCH(ROWS($AG$2:AG701),$AG$2:$AG$1001,0),MATCH(COLUMNS($AN$1006:AO1006),$AN$1006:$BO$1006,0)), HYPERLINK("#",""), HYPERLINK(CONCATENATE("#Metadata!", ADDRESS(INDEX($AI$2:$AI$1001,MATCH(ROWS($AG$2:AG701),$AG$2:$AG$1001,0),0), INDEX($AN$1004:$BO$1004,1,MATCH(COLUMNS($AN$1006:AO1006),$AN$1006:$BO$1006,0)))),"Fix")))</f>
        <v>0</v>
      </c>
      <c r="D701" s="4">
        <f>IF(OR(INDEX($AH$2:$AH$1001,MATCH(ROWS($AG$2:AG701),$AG$2:$AG$1001,0),1)&gt;=100000,INDEX($AN$1005:$BO$1005,1,MATCH(COLUMNS($AN$1006:AP1006),$AN$1006:$BO$1006,0))&gt;=100000), " ",IF(INDEX($AN$2:$BO$1001,MATCH(ROWS($AG$2:AG701),$AG$2:$AG$1001,0),MATCH(COLUMNS($AN$1006:AP1006),$AN$1006:$BO$1006,0)), HYPERLINK("#",""), HYPERLINK(CONCATENATE("#Metadata!", ADDRESS(INDEX($AI$2:$AI$1001,MATCH(ROWS($AG$2:AG701),$AG$2:$AG$1001,0),0), INDEX($AN$1004:$BO$1004,1,MATCH(COLUMNS($AN$1006:AP1006),$AN$1006:$BO$1006,0)))),"Fix")))</f>
        <v>0</v>
      </c>
      <c r="E701" s="4">
        <f>IF(OR(INDEX($AH$2:$AH$1001,MATCH(ROWS($AG$2:AG701),$AG$2:$AG$1001,0),1)&gt;=100000,INDEX($AN$1005:$BO$1005,1,MATCH(COLUMNS($AN$1006:AQ1006),$AN$1006:$BO$1006,0))&gt;=100000), " ",IF(INDEX($AN$2:$BO$1001,MATCH(ROWS($AG$2:AG701),$AG$2:$AG$1001,0),MATCH(COLUMNS($AN$1006:AQ1006),$AN$1006:$BO$1006,0)), HYPERLINK("#",""), HYPERLINK(CONCATENATE("#Metadata!", ADDRESS(INDEX($AI$2:$AI$1001,MATCH(ROWS($AG$2:AG701),$AG$2:$AG$1001,0),0), INDEX($AN$1004:$BO$1004,1,MATCH(COLUMNS($AN$1006:AQ1006),$AN$1006:$BO$1006,0)))),"Fix")))</f>
        <v>0</v>
      </c>
      <c r="F701" s="4">
        <f>IF(OR(INDEX($AH$2:$AH$1001,MATCH(ROWS($AG$2:AG701),$AG$2:$AG$1001,0),1)&gt;=100000,INDEX($AN$1005:$BO$1005,1,MATCH(COLUMNS($AN$1006:AR1006),$AN$1006:$BO$1006,0))&gt;=100000), " ",IF(INDEX($AN$2:$BO$1001,MATCH(ROWS($AG$2:AG701),$AG$2:$AG$1001,0),MATCH(COLUMNS($AN$1006:AR1006),$AN$1006:$BO$1006,0)), HYPERLINK("#",""), HYPERLINK(CONCATENATE("#Metadata!", ADDRESS(INDEX($AI$2:$AI$1001,MATCH(ROWS($AG$2:AG701),$AG$2:$AG$1001,0),0), INDEX($AN$1004:$BO$1004,1,MATCH(COLUMNS($AN$1006:AR1006),$AN$1006:$BO$1006,0)))),"Fix")))</f>
        <v>0</v>
      </c>
      <c r="G701" s="4">
        <f>IF(OR(INDEX($AH$2:$AH$1001,MATCH(ROWS($AG$2:AG701),$AG$2:$AG$1001,0),1)&gt;=100000,INDEX($AN$1005:$BO$1005,1,MATCH(COLUMNS($AN$1006:AS1006),$AN$1006:$BO$1006,0))&gt;=100000), " ",IF(INDEX($AN$2:$BO$1001,MATCH(ROWS($AG$2:AG701),$AG$2:$AG$1001,0),MATCH(COLUMNS($AN$1006:AS1006),$AN$1006:$BO$1006,0)), HYPERLINK("#",""), HYPERLINK(CONCATENATE("#Metadata!", ADDRESS(INDEX($AI$2:$AI$1001,MATCH(ROWS($AG$2:AG701),$AG$2:$AG$1001,0),0), INDEX($AN$1004:$BO$1004,1,MATCH(COLUMNS($AN$1006:AS1006),$AN$1006:$BO$1006,0)))),"Fix")))</f>
        <v>0</v>
      </c>
      <c r="H701" s="4">
        <f>IF(OR(INDEX($AH$2:$AH$1001,MATCH(ROWS($AG$2:AG701),$AG$2:$AG$1001,0),1)&gt;=100000,INDEX($AN$1005:$BO$1005,1,MATCH(COLUMNS($AN$1006:AT1006),$AN$1006:$BO$1006,0))&gt;=100000), " ",IF(INDEX($AN$2:$BO$1001,MATCH(ROWS($AG$2:AG701),$AG$2:$AG$1001,0),MATCH(COLUMNS($AN$1006:AT1006),$AN$1006:$BO$1006,0)), HYPERLINK("#",""), HYPERLINK(CONCATENATE("#Metadata!", ADDRESS(INDEX($AI$2:$AI$1001,MATCH(ROWS($AG$2:AG701),$AG$2:$AG$1001,0),0), INDEX($AN$1004:$BO$1004,1,MATCH(COLUMNS($AN$1006:AT1006),$AN$1006:$BO$1006,0)))),"Fix")))</f>
        <v>0</v>
      </c>
      <c r="I701" s="4">
        <f>IF(OR(INDEX($AH$2:$AH$1001,MATCH(ROWS($AG$2:AG701),$AG$2:$AG$1001,0),1)&gt;=100000,INDEX($AN$1005:$BO$1005,1,MATCH(COLUMNS($AN$1006:AU1006),$AN$1006:$BO$1006,0))&gt;=100000), " ",IF(INDEX($AN$2:$BO$1001,MATCH(ROWS($AG$2:AG701),$AG$2:$AG$1001,0),MATCH(COLUMNS($AN$1006:AU1006),$AN$1006:$BO$1006,0)), HYPERLINK("#",""), HYPERLINK(CONCATENATE("#Metadata!", ADDRESS(INDEX($AI$2:$AI$1001,MATCH(ROWS($AG$2:AG701),$AG$2:$AG$1001,0),0), INDEX($AN$1004:$BO$1004,1,MATCH(COLUMNS($AN$1006:AU1006),$AN$1006:$BO$1006,0)))),"Fix")))</f>
        <v>0</v>
      </c>
      <c r="J701" s="4">
        <f>IF(OR(INDEX($AH$2:$AH$1001,MATCH(ROWS($AG$2:AG701),$AG$2:$AG$1001,0),1)&gt;=100000,INDEX($AN$1005:$BO$1005,1,MATCH(COLUMNS($AN$1006:AV1006),$AN$1006:$BO$1006,0))&gt;=100000), " ",IF(INDEX($AN$2:$BO$1001,MATCH(ROWS($AG$2:AG701),$AG$2:$AG$1001,0),MATCH(COLUMNS($AN$1006:AV1006),$AN$1006:$BO$1006,0)), HYPERLINK("#",""), HYPERLINK(CONCATENATE("#Metadata!", ADDRESS(INDEX($AI$2:$AI$1001,MATCH(ROWS($AG$2:AG701),$AG$2:$AG$1001,0),0), INDEX($AN$1004:$BO$1004,1,MATCH(COLUMNS($AN$1006:AV1006),$AN$1006:$BO$1006,0)))),"Fix")))</f>
        <v>0</v>
      </c>
      <c r="K701" s="4">
        <f>IF(OR(INDEX($AH$2:$AH$1001,MATCH(ROWS($AG$2:AG701),$AG$2:$AG$1001,0),1)&gt;=100000,INDEX($AN$1005:$BO$1005,1,MATCH(COLUMNS($AN$1006:AW1006),$AN$1006:$BO$1006,0))&gt;=100000), " ",IF(INDEX($AN$2:$BO$1001,MATCH(ROWS($AG$2:AG701),$AG$2:$AG$1001,0),MATCH(COLUMNS($AN$1006:AW1006),$AN$1006:$BO$1006,0)), HYPERLINK("#",""), HYPERLINK(CONCATENATE("#Metadata!", ADDRESS(INDEX($AI$2:$AI$1001,MATCH(ROWS($AG$2:AG701),$AG$2:$AG$1001,0),0), INDEX($AN$1004:$BO$1004,1,MATCH(COLUMNS($AN$1006:AW1006),$AN$1006:$BO$1006,0)))),"Fix")))</f>
        <v>0</v>
      </c>
      <c r="L701" s="4">
        <f>IF(OR(INDEX($AH$2:$AH$1001,MATCH(ROWS($AG$2:AG701),$AG$2:$AG$1001,0),1)&gt;=100000,INDEX($AN$1005:$BO$1005,1,MATCH(COLUMNS($AN$1006:AX1006),$AN$1006:$BO$1006,0))&gt;=100000), " ",IF(INDEX($AN$2:$BO$1001,MATCH(ROWS($AG$2:AG701),$AG$2:$AG$1001,0),MATCH(COLUMNS($AN$1006:AX1006),$AN$1006:$BO$1006,0)), HYPERLINK("#",""), HYPERLINK(CONCATENATE("#Metadata!", ADDRESS(INDEX($AI$2:$AI$1001,MATCH(ROWS($AG$2:AG701),$AG$2:$AG$1001,0),0), INDEX($AN$1004:$BO$1004,1,MATCH(COLUMNS($AN$1006:AX1006),$AN$1006:$BO$1006,0)))),"Fix")))</f>
        <v>0</v>
      </c>
      <c r="M701" s="4">
        <f>IF(OR(INDEX($AH$2:$AH$1001,MATCH(ROWS($AG$2:AG701),$AG$2:$AG$1001,0),1)&gt;=100000,INDEX($AN$1005:$BO$1005,1,MATCH(COLUMNS($AN$1006:AY1006),$AN$1006:$BO$1006,0))&gt;=100000), " ",IF(INDEX($AN$2:$BO$1001,MATCH(ROWS($AG$2:AG701),$AG$2:$AG$1001,0),MATCH(COLUMNS($AN$1006:AY1006),$AN$1006:$BO$1006,0)), HYPERLINK("#",""), HYPERLINK(CONCATENATE("#Metadata!", ADDRESS(INDEX($AI$2:$AI$1001,MATCH(ROWS($AG$2:AG701),$AG$2:$AG$1001,0),0), INDEX($AN$1004:$BO$1004,1,MATCH(COLUMNS($AN$1006:AY1006),$AN$1006:$BO$1006,0)))),"Fix")))</f>
        <v>0</v>
      </c>
      <c r="N701" s="4">
        <f>IF(OR(INDEX($AH$2:$AH$1001,MATCH(ROWS($AG$2:AG701),$AG$2:$AG$1001,0),1)&gt;=100000,INDEX($AN$1005:$BO$1005,1,MATCH(COLUMNS($AN$1006:AZ1006),$AN$1006:$BO$1006,0))&gt;=100000), " ",IF(INDEX($AN$2:$BO$1001,MATCH(ROWS($AG$2:AG701),$AG$2:$AG$1001,0),MATCH(COLUMNS($AN$1006:AZ1006),$AN$1006:$BO$1006,0)), HYPERLINK("#",""), HYPERLINK(CONCATENATE("#Metadata!", ADDRESS(INDEX($AI$2:$AI$1001,MATCH(ROWS($AG$2:AG701),$AG$2:$AG$1001,0),0), INDEX($AN$1004:$BO$1004,1,MATCH(COLUMNS($AN$1006:AZ1006),$AN$1006:$BO$1006,0)))),"Fix")))</f>
        <v>0</v>
      </c>
      <c r="O701" s="4">
        <f>IF(OR(INDEX($AH$2:$AH$1001,MATCH(ROWS($AG$2:AG701),$AG$2:$AG$1001,0),1)&gt;=100000,INDEX($AN$1005:$BO$1005,1,MATCH(COLUMNS($AN$1006:BA1006),$AN$1006:$BO$1006,0))&gt;=100000), " ",IF(INDEX($AN$2:$BO$1001,MATCH(ROWS($AG$2:AG701),$AG$2:$AG$1001,0),MATCH(COLUMNS($AN$1006:BA1006),$AN$1006:$BO$1006,0)), HYPERLINK("#",""), HYPERLINK(CONCATENATE("#Metadata!", ADDRESS(INDEX($AI$2:$AI$1001,MATCH(ROWS($AG$2:AG701),$AG$2:$AG$1001,0),0), INDEX($AN$1004:$BO$1004,1,MATCH(COLUMNS($AN$1006:BA1006),$AN$1006:$BO$1006,0)))),"Fix")))</f>
        <v>0</v>
      </c>
      <c r="P701" s="4">
        <f>IF(OR(INDEX($AH$2:$AH$1001,MATCH(ROWS($AG$2:AG701),$AG$2:$AG$1001,0),1)&gt;=100000,INDEX($AN$1005:$BO$1005,1,MATCH(COLUMNS($AN$1006:BB1006),$AN$1006:$BO$1006,0))&gt;=100000), " ",IF(INDEX($AN$2:$BO$1001,MATCH(ROWS($AG$2:AG701),$AG$2:$AG$1001,0),MATCH(COLUMNS($AN$1006:BB1006),$AN$1006:$BO$1006,0)), HYPERLINK("#",""), HYPERLINK(CONCATENATE("#Metadata!", ADDRESS(INDEX($AI$2:$AI$1001,MATCH(ROWS($AG$2:AG701),$AG$2:$AG$1001,0),0), INDEX($AN$1004:$BO$1004,1,MATCH(COLUMNS($AN$1006:BB1006),$AN$1006:$BO$1006,0)))),"Fix")))</f>
        <v>0</v>
      </c>
      <c r="Q701" s="4">
        <f>IF(OR(INDEX($AH$2:$AH$1001,MATCH(ROWS($AG$2:AG701),$AG$2:$AG$1001,0),1)&gt;=100000,INDEX($AN$1005:$BO$1005,1,MATCH(COLUMNS($AN$1006:BC1006),$AN$1006:$BO$1006,0))&gt;=100000), " ",IF(INDEX($AN$2:$BO$1001,MATCH(ROWS($AG$2:AG701),$AG$2:$AG$1001,0),MATCH(COLUMNS($AN$1006:BC1006),$AN$1006:$BO$1006,0)), HYPERLINK("#",""), HYPERLINK(CONCATENATE("#Metadata!", ADDRESS(INDEX($AI$2:$AI$1001,MATCH(ROWS($AG$2:AG701),$AG$2:$AG$1001,0),0), INDEX($AN$1004:$BO$1004,1,MATCH(COLUMNS($AN$1006:BC1006),$AN$1006:$BO$1006,0)))),"Fix")))</f>
        <v>0</v>
      </c>
      <c r="R701" s="4">
        <f>IF(OR(INDEX($AH$2:$AH$1001,MATCH(ROWS($AG$2:AG701),$AG$2:$AG$1001,0),1)&gt;=100000,INDEX($AN$1005:$BO$1005,1,MATCH(COLUMNS($AN$1006:BD1006),$AN$1006:$BO$1006,0))&gt;=100000), " ",IF(INDEX($AN$2:$BO$1001,MATCH(ROWS($AG$2:AG701),$AG$2:$AG$1001,0),MATCH(COLUMNS($AN$1006:BD1006),$AN$1006:$BO$1006,0)), HYPERLINK("#",""), HYPERLINK(CONCATENATE("#Metadata!", ADDRESS(INDEX($AI$2:$AI$1001,MATCH(ROWS($AG$2:AG701),$AG$2:$AG$1001,0),0), INDEX($AN$1004:$BO$1004,1,MATCH(COLUMNS($AN$1006:BD1006),$AN$1006:$BO$1006,0)))),"Fix")))</f>
        <v>0</v>
      </c>
      <c r="S701" s="4">
        <f>IF(OR(INDEX($AH$2:$AH$1001,MATCH(ROWS($AG$2:AG701),$AG$2:$AG$1001,0),1)&gt;=100000,INDEX($AN$1005:$BO$1005,1,MATCH(COLUMNS($AN$1006:BE1006),$AN$1006:$BO$1006,0))&gt;=100000), " ",IF(INDEX($AN$2:$BO$1001,MATCH(ROWS($AG$2:AG701),$AG$2:$AG$1001,0),MATCH(COLUMNS($AN$1006:BE1006),$AN$1006:$BO$1006,0)), HYPERLINK("#",""), HYPERLINK(CONCATENATE("#Metadata!", ADDRESS(INDEX($AI$2:$AI$1001,MATCH(ROWS($AG$2:AG701),$AG$2:$AG$1001,0),0), INDEX($AN$1004:$BO$1004,1,MATCH(COLUMNS($AN$1006:BE1006),$AN$1006:$BO$1006,0)))),"Fix")))</f>
        <v>0</v>
      </c>
      <c r="T701" s="4">
        <f>IF(OR(INDEX($AH$2:$AH$1001,MATCH(ROWS($AG$2:AG701),$AG$2:$AG$1001,0),1)&gt;=100000,INDEX($AN$1005:$BO$1005,1,MATCH(COLUMNS($AN$1006:BF1006),$AN$1006:$BO$1006,0))&gt;=100000), " ",IF(INDEX($AN$2:$BO$1001,MATCH(ROWS($AG$2:AG701),$AG$2:$AG$1001,0),MATCH(COLUMNS($AN$1006:BF1006),$AN$1006:$BO$1006,0)), HYPERLINK("#",""), HYPERLINK(CONCATENATE("#Metadata!", ADDRESS(INDEX($AI$2:$AI$1001,MATCH(ROWS($AG$2:AG701),$AG$2:$AG$1001,0),0), INDEX($AN$1004:$BO$1004,1,MATCH(COLUMNS($AN$1006:BF1006),$AN$1006:$BO$1006,0)))),"Fix")))</f>
        <v>0</v>
      </c>
      <c r="U701" s="4">
        <f>IF(OR(INDEX($AH$2:$AH$1001,MATCH(ROWS($AG$2:AG701),$AG$2:$AG$1001,0),1)&gt;=100000,INDEX($AN$1005:$BO$1005,1,MATCH(COLUMNS($AN$1006:BG1006),$AN$1006:$BO$1006,0))&gt;=100000), " ",IF(INDEX($AN$2:$BO$1001,MATCH(ROWS($AG$2:AG701),$AG$2:$AG$1001,0),MATCH(COLUMNS($AN$1006:BG1006),$AN$1006:$BO$1006,0)), HYPERLINK("#",""), HYPERLINK(CONCATENATE("#Metadata!", ADDRESS(INDEX($AI$2:$AI$1001,MATCH(ROWS($AG$2:AG701),$AG$2:$AG$1001,0),0), INDEX($AN$1004:$BO$1004,1,MATCH(COLUMNS($AN$1006:BG1006),$AN$1006:$BO$1006,0)))),"Fix")))</f>
        <v>0</v>
      </c>
      <c r="V701" s="4">
        <f>IF(OR(INDEX($AH$2:$AH$1001,MATCH(ROWS($AG$2:AG701),$AG$2:$AG$1001,0),1)&gt;=100000,INDEX($AN$1005:$BO$1005,1,MATCH(COLUMNS($AN$1006:BH1006),$AN$1006:$BO$1006,0))&gt;=100000), " ",IF(INDEX($AN$2:$BO$1001,MATCH(ROWS($AG$2:AG701),$AG$2:$AG$1001,0),MATCH(COLUMNS($AN$1006:BH1006),$AN$1006:$BO$1006,0)), HYPERLINK("#",""), HYPERLINK(CONCATENATE("#Metadata!", ADDRESS(INDEX($AI$2:$AI$1001,MATCH(ROWS($AG$2:AG701),$AG$2:$AG$1001,0),0), INDEX($AN$1004:$BO$1004,1,MATCH(COLUMNS($AN$1006:BH1006),$AN$1006:$BO$1006,0)))),"Fix")))</f>
        <v>0</v>
      </c>
      <c r="W701" s="4">
        <f>IF(OR(INDEX($AH$2:$AH$1001,MATCH(ROWS($AG$2:AG701),$AG$2:$AG$1001,0),1)&gt;=100000,INDEX($AN$1005:$BO$1005,1,MATCH(COLUMNS($AN$1006:BI1006),$AN$1006:$BO$1006,0))&gt;=100000), " ",IF(INDEX($AN$2:$BO$1001,MATCH(ROWS($AG$2:AG701),$AG$2:$AG$1001,0),MATCH(COLUMNS($AN$1006:BI1006),$AN$1006:$BO$1006,0)), HYPERLINK("#",""), HYPERLINK(CONCATENATE("#Metadata!", ADDRESS(INDEX($AI$2:$AI$1001,MATCH(ROWS($AG$2:AG701),$AG$2:$AG$1001,0),0), INDEX($AN$1004:$BO$1004,1,MATCH(COLUMNS($AN$1006:BI1006),$AN$1006:$BO$1006,0)))),"Fix")))</f>
        <v>0</v>
      </c>
      <c r="X701" s="4">
        <f>IF(OR(INDEX($AH$2:$AH$1001,MATCH(ROWS($AG$2:AG701),$AG$2:$AG$1001,0),1)&gt;=100000,INDEX($AN$1005:$BO$1005,1,MATCH(COLUMNS($AN$1006:BJ1006),$AN$1006:$BO$1006,0))&gt;=100000), " ",IF(INDEX($AN$2:$BO$1001,MATCH(ROWS($AG$2:AG701),$AG$2:$AG$1001,0),MATCH(COLUMNS($AN$1006:BJ1006),$AN$1006:$BO$1006,0)), HYPERLINK("#",""), HYPERLINK(CONCATENATE("#Metadata!", ADDRESS(INDEX($AI$2:$AI$1001,MATCH(ROWS($AG$2:AG701),$AG$2:$AG$1001,0),0), INDEX($AN$1004:$BO$1004,1,MATCH(COLUMNS($AN$1006:BJ1006),$AN$1006:$BO$1006,0)))),"Fix")))</f>
        <v>0</v>
      </c>
      <c r="Y701" s="4">
        <f>IF(OR(INDEX($AH$2:$AH$1001,MATCH(ROWS($AG$2:AG701),$AG$2:$AG$1001,0),1)&gt;=100000,INDEX($AN$1005:$BO$1005,1,MATCH(COLUMNS($AN$1006:BK1006),$AN$1006:$BO$1006,0))&gt;=100000), " ",IF(INDEX($AN$2:$BO$1001,MATCH(ROWS($AG$2:AG701),$AG$2:$AG$1001,0),MATCH(COLUMNS($AN$1006:BK1006),$AN$1006:$BO$1006,0)), HYPERLINK("#",""), HYPERLINK(CONCATENATE("#Metadata!", ADDRESS(INDEX($AI$2:$AI$1001,MATCH(ROWS($AG$2:AG701),$AG$2:$AG$1001,0),0), INDEX($AN$1004:$BO$1004,1,MATCH(COLUMNS($AN$1006:BK1006),$AN$1006:$BO$1006,0)))),"Fix")))</f>
        <v>0</v>
      </c>
      <c r="Z701" s="4">
        <f>IF(OR(INDEX($AH$2:$AH$1001,MATCH(ROWS($AG$2:AG701),$AG$2:$AG$1001,0),1)&gt;=100000,INDEX($AN$1005:$BO$1005,1,MATCH(COLUMNS($AN$1006:BL1006),$AN$1006:$BO$1006,0))&gt;=100000), " ",IF(INDEX($AN$2:$BO$1001,MATCH(ROWS($AG$2:AG701),$AG$2:$AG$1001,0),MATCH(COLUMNS($AN$1006:BL1006),$AN$1006:$BO$1006,0)), HYPERLINK("#",""), HYPERLINK(CONCATENATE("#Metadata!", ADDRESS(INDEX($AI$2:$AI$1001,MATCH(ROWS($AG$2:AG701),$AG$2:$AG$1001,0),0), INDEX($AN$1004:$BO$1004,1,MATCH(COLUMNS($AN$1006:BL1006),$AN$1006:$BO$1006,0)))),"Fix")))</f>
        <v>0</v>
      </c>
      <c r="AA701" s="4">
        <f>IF(OR(INDEX($AH$2:$AH$1001,MATCH(ROWS($AG$2:AG701),$AG$2:$AG$1001,0),1)&gt;=100000,INDEX($AN$1005:$BO$1005,1,MATCH(COLUMNS($AN$1006:BM1006),$AN$1006:$BO$1006,0))&gt;=100000), " ",IF(INDEX($AN$2:$BO$1001,MATCH(ROWS($AG$2:AG701),$AG$2:$AG$1001,0),MATCH(COLUMNS($AN$1006:BM1006),$AN$1006:$BO$1006,0)), HYPERLINK("#",""), HYPERLINK(CONCATENATE("#Metadata!", ADDRESS(INDEX($AI$2:$AI$1001,MATCH(ROWS($AG$2:AG701),$AG$2:$AG$1001,0),0), INDEX($AN$1004:$BO$1004,1,MATCH(COLUMNS($AN$1006:BM1006),$AN$1006:$BO$1006,0)))),"Fix")))</f>
        <v>0</v>
      </c>
      <c r="AB701" s="4">
        <f>IF(OR(INDEX($AH$2:$AH$1001,MATCH(ROWS($AG$2:AG701),$AG$2:$AG$1001,0),1)&gt;=100000,INDEX($AN$1005:$BO$1005,1,MATCH(COLUMNS($AN$1006:BN1006),$AN$1006:$BO$1006,0))&gt;=100000), " ",IF(INDEX($AN$2:$BO$1001,MATCH(ROWS($AG$2:AG701),$AG$2:$AG$1001,0),MATCH(COLUMNS($AN$1006:BN1006),$AN$1006:$BO$1006,0)), HYPERLINK("#",""), HYPERLINK(CONCATENATE("#Metadata!", ADDRESS(INDEX($AI$2:$AI$1001,MATCH(ROWS($AG$2:AG701),$AG$2:$AG$1001,0),0), INDEX($AN$1004:$BO$1004,1,MATCH(COLUMNS($AN$1006:BN1006),$AN$1006:$BO$1006,0)))),"Fix")))</f>
        <v>0</v>
      </c>
      <c r="AC701" s="4">
        <f>IF(OR(INDEX($AH$2:$AH$1001,MATCH(ROWS($AG$2:AG701),$AG$2:$AG$1001,0),1)&gt;=100000,INDEX($AN$1005:$BO$1005,1,MATCH(COLUMNS($AN$1006:BO1006),$AN$1006:$BO$1006,0))&gt;=100000), " ",IF(INDEX($AN$2:$BO$1001,MATCH(ROWS($AG$2:AG701),$AG$2:$AG$1001,0),MATCH(COLUMNS($AN$1006:BO1006),$AN$1006:$BO$1006,0)), HYPERLINK("#",""), HYPERLINK(CONCATENATE("#Metadata!", ADDRESS(INDEX($AI$2:$AI$1001,MATCH(ROWS($AG$2:AG701),$AG$2:$AG$1001,0),0), INDEX($AN$1004:$BO$1004,1,MATCH(COLUMNS($AN$1006:BO1006),$AN$1006:$BO$1006,0)))),"Fix")))</f>
        <v>0</v>
      </c>
      <c r="AG701">
        <v>0</v>
      </c>
      <c r="AH701">
        <v>0</v>
      </c>
      <c r="AI701">
        <v>0</v>
      </c>
      <c r="AJ701">
        <f>IF(AK701,TRUE,AND(AN701:BO701))</f>
        <v>0</v>
      </c>
      <c r="AK701">
        <f>COUNTBLANK(Metadata!B701:AC701)=COLUMNS(Metadata!B701:AC701)</f>
        <v>0</v>
      </c>
      <c r="AL701">
        <v>0</v>
      </c>
      <c r="AN701">
        <f>AND(IF(Metadata!B701="",FALSE,TRUE),COUNTIF(Metadata!B:B, Metadata!B701) = 1,NOT(ISERROR(SUMPRODUCT(SEARCH(MID(Metadata!B701,ROW(INDIRECT("1:"&amp;LEN(Metadata!B701))), 1),"0123456789abcdefghijklmnopqrstuvwxyzABCDEFGHIJKLMNOPQRSTUVWXYZ.")))))</f>
        <v>0</v>
      </c>
      <c r="AO701">
        <f>IF(Metadata!C701="",FALSE,TRUE)</f>
        <v>0</v>
      </c>
      <c r="AP701">
        <f>IF(Metadata!D701="",FALSE,TRUE)</f>
        <v>0</v>
      </c>
      <c r="AQ701">
        <f>OR(AND(IF(Metadata!E701="",FALSE,TRUE),OR(exact(Metadata!E701,"not collected"),exact(Metadata!E701,"not provided"),exact(Metadata!E701,"restricted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R701">
        <f>IF(Metadata!F701="",FALSE,TRUE)</f>
        <v>0</v>
      </c>
      <c r="AS701">
        <f>OR(AND(IF(Metadata!G701="",FALSE,TRUE),OR(exact(Metadata!G701,"not collected"),exact(Metadata!G701,"not provided"))),AND(IF(Metadata!G701="",FALSE,TRUE),OR(exact(Metadata!G701,"TRUE"),exact(Metadata!G701,"FALSE"))))</f>
        <v>0</v>
      </c>
      <c r="AT701">
        <f>OR(AND(IF(Metadata!H701="",FALSE,TRUE),OR(exact(Metadata!H701,"not collected"),exact(Metadata!H701,"not provided"),exact(Metadata!H701,"restricted access"))),AND(IF(Metadata!H701="",FALSE,ISNUMBER(VALUE(Metadata!H701))),Metadata!H701&gt;=-413.0))</f>
        <v>0</v>
      </c>
      <c r="AU701">
        <f>AND(IF(Metadata!I701="",FALSE,TRUE),exact(Metadata!I701,"meters"))</f>
        <v>0</v>
      </c>
      <c r="AV701">
        <f>AND(IF(Metadata!J701="",FALSE,TRUE),OR(exact(Metadata!J701,"Host-associated"),exact(Metadata!J701,"Free-living")))</f>
        <v>0</v>
      </c>
      <c r="AW701">
        <f>AND(IF(Metadata!K701="",FALSE,TRUE),OR(exact(Metadata!K701,"Animal"),exact(Metadata!K701,"Fungus"),exact(Metadata!K701,"Plant"),exact(Metadata!K701,"Saline"),exact(Metadata!K701,"Non-saline")))</f>
        <v>0</v>
      </c>
      <c r="AX701">
        <f>AND(IF(Metadata!L701="",FALSE,TRUE),OR(exact(Metadata!L701,"Plant secretion"),exact(Metadata!L701,"Plant rhizosphere"),exact(Metadata!L701,"Plant surface"),exact(Metadata!L701,"Plant corpus"),exact(Metadata!L701,"Fungus surface"),exact(Metadata!L701,"Fungus corpus"),exact(Metadata!L701,"Animal surface"),exact(Metadata!L701,"Animal proximal gut"),exact(Metadata!L701,"Animal corpus"),exact(Metadata!L701,"Animal distal gut"),exact(Metadata!L701,"Animal secretion"),exact(Metadata!L701,"Sub-surface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Y701">
        <f>IF(Metadata!M701="",FALSE,TRUE)</f>
        <v>0</v>
      </c>
      <c r="AZ701">
        <f>IF(Metadata!N701="",FALSE,TRUE)</f>
        <v>0</v>
      </c>
      <c r="BA701">
        <f>IF(Metadata!O701="",FALSE,TRUE)</f>
        <v>0</v>
      </c>
      <c r="BB701">
        <f>OR(AND(IF(Metadata!P701="",FALSE,TRUE),OR(exact(Metadata!P701,"not collected"),exact(Metadata!P701,"not provided"),exact(Metadata!P701,"restricted access"))),AND(IF(Metadata!P701="",FALSE,TRUE),OR(exact(Metadata!P701,"air"),exact(Metadata!P701,"built environment"),exact(Metadata!P701,"host-associated"),exact(Metadata!P701,"human-associated"),exact(Metadata!P701,"human-skin"),exact(Metadata!P701,"human-oral"),exact(Metadata!P701,"human-gut"),exact(Metadata!P701,"human-vaginal"),exact(Metadata!P701,"microbial mat/biofilm"),exact(Metadata!P701,"misc environment"),exact(Metadata!P701,"plant-associated"),exact(Metadata!P701,"sediment"),exact(Metadata!P701,"soil"),exact(Metadata!P701,"wastewater/sludge"),exact(Metadata!P701,"water"))))</f>
        <v>0</v>
      </c>
      <c r="BC701">
        <f>IF(Metadata!Q701="",FALSE,TRUE)</f>
        <v>0</v>
      </c>
      <c r="BD701">
        <f>IF(Metadata!R701="",FALSE,TRUE)</f>
        <v>0</v>
      </c>
      <c r="BE701">
        <f>OR(AND(IF(Metadata!S701="",FALSE,TRUE),OR(exact(Metadata!S701,"not collected"),exact(Metadata!S701,"not provided"),exact(Metadata!S701,"restricted access"))),AND(IF(Metadata!S701="",FALSE,ISNUMBER(VALUE(Metadata!S701))),Metadata!S701&gt;=-90.00,Metadata!S701&lt;=90.00))</f>
        <v>0</v>
      </c>
      <c r="BF701">
        <f>AND(IF(Metadata!T701="",FALSE,TRUE),exact(Metadata!T701,"Decimal degrees"))</f>
        <v>0</v>
      </c>
      <c r="BG701">
        <f>OR(AND(IF(Metadata!U701="",FALSE,TRUE),OR(exact(Metadata!U701,"not collected"),exact(Metadata!U701,"not provided"),exact(Metadata!U701,"restricted access"))),AND(IF(Metadata!U701="",FALSE,ISNUMBER(VALUE(Metadata!U701))),Metadata!U701&gt;=-180.00,Metadata!U701&lt;=180.00))</f>
        <v>0</v>
      </c>
      <c r="BH701">
        <f>AND(IF(Metadata!V701="",FALSE,TRUE),exact(Metadata!V701,"Decimal degrees"))</f>
        <v>0</v>
      </c>
      <c r="BI701">
        <f>IF(Metadata!W701="",FALSE,TRUE)</f>
        <v>0</v>
      </c>
      <c r="BJ701">
        <f>OR(AND(IF(Metadata!X701="",FALSE,TRUE),OR(exact(Metadata!X701,"not collected"),exact(Metadata!X701,"not provided"),exact(Metadata!X701,"restricted access"))),AND(IF(Metadata!X701="",FALSE,TRUE),OR(exact(Metadata!X701,"TRUE"),exact(Metadata!X701,"FALSE"))))</f>
        <v>0</v>
      </c>
      <c r="BK701">
        <f>AND(IF(Metadata!Y701="",FALSE,TRUE),exact(Metadata!Y701,"other"))</f>
        <v>0</v>
      </c>
      <c r="BL701">
        <f>IF(Metadata!Z701="",FALSE,TRUE)</f>
        <v>0</v>
      </c>
      <c r="BM701">
        <f>OR(AND(IF(Metadata!AA701="",FALSE,TRUE),OR(exact(Metadata!AA701,"not collected"),exact(Metadata!AA701,"not provided"))),AND(IF(Metadata!AA701="",FALSE,IF(ISERROR(INT(Metadata!AA701)),FALSE,INT(Metadata!AA701)=Metadata!AA701)),Metadata!AA701&gt;0))</f>
        <v>0</v>
      </c>
      <c r="BN701">
        <f>AND(IF(Metadata!AB701="",FALSE,TRUE),exact(Metadata!AB701,"Not applicable"))</f>
        <v>0</v>
      </c>
      <c r="BO701">
        <f>IF(Metadata!AC701="",FALSE,TRUE)</f>
        <v>0</v>
      </c>
    </row>
    <row r="702" spans="1:67">
      <c r="A702" s="5">
        <f>IF(B702=" "," ",HYPERLINK(CONCATENATE("#metadata!",ADDRESS(INDEX($AI$2:$AI$1001,MATCH(ROWS($AG$2:AG702),$AG$2:$AG$1001,0),0),1)),INDEX($AL$2:$AL$1001,MATCH(ROWS($AG$2:AG702),$AG$2:$AG$1001,0),0)))</f>
        <v>0</v>
      </c>
      <c r="B702" s="4">
        <f>IF(OR(INDEX($AH$2:$AH$1001,MATCH(ROWS($AG$2:AG702),$AG$2:$AG$1001,0),1)&gt;=100000,INDEX($AN$1005:$BO$1005,1,MATCH(COLUMNS($AN$1006:AN1006),$AN$1006:$BO$1006,0))&gt;=100000), " ",IF(INDEX($AN$2:$BO$1001,MATCH(ROWS($AG$2:AG702),$AG$2:$AG$1001,0),MATCH(COLUMNS($AN$1006:AN1006),$AN$1006:$BO$1006,0)), HYPERLINK("#",""), HYPERLINK(CONCATENATE("#Metadata!", ADDRESS(INDEX($AI$2:$AI$1001,MATCH(ROWS($AG$2:AG702),$AG$2:$AG$1001,0),0), INDEX($AN$1004:$BO$1004,1,MATCH(COLUMNS($AN$1006:AN1006),$AN$1006:$BO$1006,0)))),"Fix")))</f>
        <v>0</v>
      </c>
      <c r="C702" s="4">
        <f>IF(OR(INDEX($AH$2:$AH$1001,MATCH(ROWS($AG$2:AG702),$AG$2:$AG$1001,0),1)&gt;=100000,INDEX($AN$1005:$BO$1005,1,MATCH(COLUMNS($AN$1006:AO1006),$AN$1006:$BO$1006,0))&gt;=100000), " ",IF(INDEX($AN$2:$BO$1001,MATCH(ROWS($AG$2:AG702),$AG$2:$AG$1001,0),MATCH(COLUMNS($AN$1006:AO1006),$AN$1006:$BO$1006,0)), HYPERLINK("#",""), HYPERLINK(CONCATENATE("#Metadata!", ADDRESS(INDEX($AI$2:$AI$1001,MATCH(ROWS($AG$2:AG702),$AG$2:$AG$1001,0),0), INDEX($AN$1004:$BO$1004,1,MATCH(COLUMNS($AN$1006:AO1006),$AN$1006:$BO$1006,0)))),"Fix")))</f>
        <v>0</v>
      </c>
      <c r="D702" s="4">
        <f>IF(OR(INDEX($AH$2:$AH$1001,MATCH(ROWS($AG$2:AG702),$AG$2:$AG$1001,0),1)&gt;=100000,INDEX($AN$1005:$BO$1005,1,MATCH(COLUMNS($AN$1006:AP1006),$AN$1006:$BO$1006,0))&gt;=100000), " ",IF(INDEX($AN$2:$BO$1001,MATCH(ROWS($AG$2:AG702),$AG$2:$AG$1001,0),MATCH(COLUMNS($AN$1006:AP1006),$AN$1006:$BO$1006,0)), HYPERLINK("#",""), HYPERLINK(CONCATENATE("#Metadata!", ADDRESS(INDEX($AI$2:$AI$1001,MATCH(ROWS($AG$2:AG702),$AG$2:$AG$1001,0),0), INDEX($AN$1004:$BO$1004,1,MATCH(COLUMNS($AN$1006:AP1006),$AN$1006:$BO$1006,0)))),"Fix")))</f>
        <v>0</v>
      </c>
      <c r="E702" s="4">
        <f>IF(OR(INDEX($AH$2:$AH$1001,MATCH(ROWS($AG$2:AG702),$AG$2:$AG$1001,0),1)&gt;=100000,INDEX($AN$1005:$BO$1005,1,MATCH(COLUMNS($AN$1006:AQ1006),$AN$1006:$BO$1006,0))&gt;=100000), " ",IF(INDEX($AN$2:$BO$1001,MATCH(ROWS($AG$2:AG702),$AG$2:$AG$1001,0),MATCH(COLUMNS($AN$1006:AQ1006),$AN$1006:$BO$1006,0)), HYPERLINK("#",""), HYPERLINK(CONCATENATE("#Metadata!", ADDRESS(INDEX($AI$2:$AI$1001,MATCH(ROWS($AG$2:AG702),$AG$2:$AG$1001,0),0), INDEX($AN$1004:$BO$1004,1,MATCH(COLUMNS($AN$1006:AQ1006),$AN$1006:$BO$1006,0)))),"Fix")))</f>
        <v>0</v>
      </c>
      <c r="F702" s="4">
        <f>IF(OR(INDEX($AH$2:$AH$1001,MATCH(ROWS($AG$2:AG702),$AG$2:$AG$1001,0),1)&gt;=100000,INDEX($AN$1005:$BO$1005,1,MATCH(COLUMNS($AN$1006:AR1006),$AN$1006:$BO$1006,0))&gt;=100000), " ",IF(INDEX($AN$2:$BO$1001,MATCH(ROWS($AG$2:AG702),$AG$2:$AG$1001,0),MATCH(COLUMNS($AN$1006:AR1006),$AN$1006:$BO$1006,0)), HYPERLINK("#",""), HYPERLINK(CONCATENATE("#Metadata!", ADDRESS(INDEX($AI$2:$AI$1001,MATCH(ROWS($AG$2:AG702),$AG$2:$AG$1001,0),0), INDEX($AN$1004:$BO$1004,1,MATCH(COLUMNS($AN$1006:AR1006),$AN$1006:$BO$1006,0)))),"Fix")))</f>
        <v>0</v>
      </c>
      <c r="G702" s="4">
        <f>IF(OR(INDEX($AH$2:$AH$1001,MATCH(ROWS($AG$2:AG702),$AG$2:$AG$1001,0),1)&gt;=100000,INDEX($AN$1005:$BO$1005,1,MATCH(COLUMNS($AN$1006:AS1006),$AN$1006:$BO$1006,0))&gt;=100000), " ",IF(INDEX($AN$2:$BO$1001,MATCH(ROWS($AG$2:AG702),$AG$2:$AG$1001,0),MATCH(COLUMNS($AN$1006:AS1006),$AN$1006:$BO$1006,0)), HYPERLINK("#",""), HYPERLINK(CONCATENATE("#Metadata!", ADDRESS(INDEX($AI$2:$AI$1001,MATCH(ROWS($AG$2:AG702),$AG$2:$AG$1001,0),0), INDEX($AN$1004:$BO$1004,1,MATCH(COLUMNS($AN$1006:AS1006),$AN$1006:$BO$1006,0)))),"Fix")))</f>
        <v>0</v>
      </c>
      <c r="H702" s="4">
        <f>IF(OR(INDEX($AH$2:$AH$1001,MATCH(ROWS($AG$2:AG702),$AG$2:$AG$1001,0),1)&gt;=100000,INDEX($AN$1005:$BO$1005,1,MATCH(COLUMNS($AN$1006:AT1006),$AN$1006:$BO$1006,0))&gt;=100000), " ",IF(INDEX($AN$2:$BO$1001,MATCH(ROWS($AG$2:AG702),$AG$2:$AG$1001,0),MATCH(COLUMNS($AN$1006:AT1006),$AN$1006:$BO$1006,0)), HYPERLINK("#",""), HYPERLINK(CONCATENATE("#Metadata!", ADDRESS(INDEX($AI$2:$AI$1001,MATCH(ROWS($AG$2:AG702),$AG$2:$AG$1001,0),0), INDEX($AN$1004:$BO$1004,1,MATCH(COLUMNS($AN$1006:AT1006),$AN$1006:$BO$1006,0)))),"Fix")))</f>
        <v>0</v>
      </c>
      <c r="I702" s="4">
        <f>IF(OR(INDEX($AH$2:$AH$1001,MATCH(ROWS($AG$2:AG702),$AG$2:$AG$1001,0),1)&gt;=100000,INDEX($AN$1005:$BO$1005,1,MATCH(COLUMNS($AN$1006:AU1006),$AN$1006:$BO$1006,0))&gt;=100000), " ",IF(INDEX($AN$2:$BO$1001,MATCH(ROWS($AG$2:AG702),$AG$2:$AG$1001,0),MATCH(COLUMNS($AN$1006:AU1006),$AN$1006:$BO$1006,0)), HYPERLINK("#",""), HYPERLINK(CONCATENATE("#Metadata!", ADDRESS(INDEX($AI$2:$AI$1001,MATCH(ROWS($AG$2:AG702),$AG$2:$AG$1001,0),0), INDEX($AN$1004:$BO$1004,1,MATCH(COLUMNS($AN$1006:AU1006),$AN$1006:$BO$1006,0)))),"Fix")))</f>
        <v>0</v>
      </c>
      <c r="J702" s="4">
        <f>IF(OR(INDEX($AH$2:$AH$1001,MATCH(ROWS($AG$2:AG702),$AG$2:$AG$1001,0),1)&gt;=100000,INDEX($AN$1005:$BO$1005,1,MATCH(COLUMNS($AN$1006:AV1006),$AN$1006:$BO$1006,0))&gt;=100000), " ",IF(INDEX($AN$2:$BO$1001,MATCH(ROWS($AG$2:AG702),$AG$2:$AG$1001,0),MATCH(COLUMNS($AN$1006:AV1006),$AN$1006:$BO$1006,0)), HYPERLINK("#",""), HYPERLINK(CONCATENATE("#Metadata!", ADDRESS(INDEX($AI$2:$AI$1001,MATCH(ROWS($AG$2:AG702),$AG$2:$AG$1001,0),0), INDEX($AN$1004:$BO$1004,1,MATCH(COLUMNS($AN$1006:AV1006),$AN$1006:$BO$1006,0)))),"Fix")))</f>
        <v>0</v>
      </c>
      <c r="K702" s="4">
        <f>IF(OR(INDEX($AH$2:$AH$1001,MATCH(ROWS($AG$2:AG702),$AG$2:$AG$1001,0),1)&gt;=100000,INDEX($AN$1005:$BO$1005,1,MATCH(COLUMNS($AN$1006:AW1006),$AN$1006:$BO$1006,0))&gt;=100000), " ",IF(INDEX($AN$2:$BO$1001,MATCH(ROWS($AG$2:AG702),$AG$2:$AG$1001,0),MATCH(COLUMNS($AN$1006:AW1006),$AN$1006:$BO$1006,0)), HYPERLINK("#",""), HYPERLINK(CONCATENATE("#Metadata!", ADDRESS(INDEX($AI$2:$AI$1001,MATCH(ROWS($AG$2:AG702),$AG$2:$AG$1001,0),0), INDEX($AN$1004:$BO$1004,1,MATCH(COLUMNS($AN$1006:AW1006),$AN$1006:$BO$1006,0)))),"Fix")))</f>
        <v>0</v>
      </c>
      <c r="L702" s="4">
        <f>IF(OR(INDEX($AH$2:$AH$1001,MATCH(ROWS($AG$2:AG702),$AG$2:$AG$1001,0),1)&gt;=100000,INDEX($AN$1005:$BO$1005,1,MATCH(COLUMNS($AN$1006:AX1006),$AN$1006:$BO$1006,0))&gt;=100000), " ",IF(INDEX($AN$2:$BO$1001,MATCH(ROWS($AG$2:AG702),$AG$2:$AG$1001,0),MATCH(COLUMNS($AN$1006:AX1006),$AN$1006:$BO$1006,0)), HYPERLINK("#",""), HYPERLINK(CONCATENATE("#Metadata!", ADDRESS(INDEX($AI$2:$AI$1001,MATCH(ROWS($AG$2:AG702),$AG$2:$AG$1001,0),0), INDEX($AN$1004:$BO$1004,1,MATCH(COLUMNS($AN$1006:AX1006),$AN$1006:$BO$1006,0)))),"Fix")))</f>
        <v>0</v>
      </c>
      <c r="M702" s="4">
        <f>IF(OR(INDEX($AH$2:$AH$1001,MATCH(ROWS($AG$2:AG702),$AG$2:$AG$1001,0),1)&gt;=100000,INDEX($AN$1005:$BO$1005,1,MATCH(COLUMNS($AN$1006:AY1006),$AN$1006:$BO$1006,0))&gt;=100000), " ",IF(INDEX($AN$2:$BO$1001,MATCH(ROWS($AG$2:AG702),$AG$2:$AG$1001,0),MATCH(COLUMNS($AN$1006:AY1006),$AN$1006:$BO$1006,0)), HYPERLINK("#",""), HYPERLINK(CONCATENATE("#Metadata!", ADDRESS(INDEX($AI$2:$AI$1001,MATCH(ROWS($AG$2:AG702),$AG$2:$AG$1001,0),0), INDEX($AN$1004:$BO$1004,1,MATCH(COLUMNS($AN$1006:AY1006),$AN$1006:$BO$1006,0)))),"Fix")))</f>
        <v>0</v>
      </c>
      <c r="N702" s="4">
        <f>IF(OR(INDEX($AH$2:$AH$1001,MATCH(ROWS($AG$2:AG702),$AG$2:$AG$1001,0),1)&gt;=100000,INDEX($AN$1005:$BO$1005,1,MATCH(COLUMNS($AN$1006:AZ1006),$AN$1006:$BO$1006,0))&gt;=100000), " ",IF(INDEX($AN$2:$BO$1001,MATCH(ROWS($AG$2:AG702),$AG$2:$AG$1001,0),MATCH(COLUMNS($AN$1006:AZ1006),$AN$1006:$BO$1006,0)), HYPERLINK("#",""), HYPERLINK(CONCATENATE("#Metadata!", ADDRESS(INDEX($AI$2:$AI$1001,MATCH(ROWS($AG$2:AG702),$AG$2:$AG$1001,0),0), INDEX($AN$1004:$BO$1004,1,MATCH(COLUMNS($AN$1006:AZ1006),$AN$1006:$BO$1006,0)))),"Fix")))</f>
        <v>0</v>
      </c>
      <c r="O702" s="4">
        <f>IF(OR(INDEX($AH$2:$AH$1001,MATCH(ROWS($AG$2:AG702),$AG$2:$AG$1001,0),1)&gt;=100000,INDEX($AN$1005:$BO$1005,1,MATCH(COLUMNS($AN$1006:BA1006),$AN$1006:$BO$1006,0))&gt;=100000), " ",IF(INDEX($AN$2:$BO$1001,MATCH(ROWS($AG$2:AG702),$AG$2:$AG$1001,0),MATCH(COLUMNS($AN$1006:BA1006),$AN$1006:$BO$1006,0)), HYPERLINK("#",""), HYPERLINK(CONCATENATE("#Metadata!", ADDRESS(INDEX($AI$2:$AI$1001,MATCH(ROWS($AG$2:AG702),$AG$2:$AG$1001,0),0), INDEX($AN$1004:$BO$1004,1,MATCH(COLUMNS($AN$1006:BA1006),$AN$1006:$BO$1006,0)))),"Fix")))</f>
        <v>0</v>
      </c>
      <c r="P702" s="4">
        <f>IF(OR(INDEX($AH$2:$AH$1001,MATCH(ROWS($AG$2:AG702),$AG$2:$AG$1001,0),1)&gt;=100000,INDEX($AN$1005:$BO$1005,1,MATCH(COLUMNS($AN$1006:BB1006),$AN$1006:$BO$1006,0))&gt;=100000), " ",IF(INDEX($AN$2:$BO$1001,MATCH(ROWS($AG$2:AG702),$AG$2:$AG$1001,0),MATCH(COLUMNS($AN$1006:BB1006),$AN$1006:$BO$1006,0)), HYPERLINK("#",""), HYPERLINK(CONCATENATE("#Metadata!", ADDRESS(INDEX($AI$2:$AI$1001,MATCH(ROWS($AG$2:AG702),$AG$2:$AG$1001,0),0), INDEX($AN$1004:$BO$1004,1,MATCH(COLUMNS($AN$1006:BB1006),$AN$1006:$BO$1006,0)))),"Fix")))</f>
        <v>0</v>
      </c>
      <c r="Q702" s="4">
        <f>IF(OR(INDEX($AH$2:$AH$1001,MATCH(ROWS($AG$2:AG702),$AG$2:$AG$1001,0),1)&gt;=100000,INDEX($AN$1005:$BO$1005,1,MATCH(COLUMNS($AN$1006:BC1006),$AN$1006:$BO$1006,0))&gt;=100000), " ",IF(INDEX($AN$2:$BO$1001,MATCH(ROWS($AG$2:AG702),$AG$2:$AG$1001,0),MATCH(COLUMNS($AN$1006:BC1006),$AN$1006:$BO$1006,0)), HYPERLINK("#",""), HYPERLINK(CONCATENATE("#Metadata!", ADDRESS(INDEX($AI$2:$AI$1001,MATCH(ROWS($AG$2:AG702),$AG$2:$AG$1001,0),0), INDEX($AN$1004:$BO$1004,1,MATCH(COLUMNS($AN$1006:BC1006),$AN$1006:$BO$1006,0)))),"Fix")))</f>
        <v>0</v>
      </c>
      <c r="R702" s="4">
        <f>IF(OR(INDEX($AH$2:$AH$1001,MATCH(ROWS($AG$2:AG702),$AG$2:$AG$1001,0),1)&gt;=100000,INDEX($AN$1005:$BO$1005,1,MATCH(COLUMNS($AN$1006:BD1006),$AN$1006:$BO$1006,0))&gt;=100000), " ",IF(INDEX($AN$2:$BO$1001,MATCH(ROWS($AG$2:AG702),$AG$2:$AG$1001,0),MATCH(COLUMNS($AN$1006:BD1006),$AN$1006:$BO$1006,0)), HYPERLINK("#",""), HYPERLINK(CONCATENATE("#Metadata!", ADDRESS(INDEX($AI$2:$AI$1001,MATCH(ROWS($AG$2:AG702),$AG$2:$AG$1001,0),0), INDEX($AN$1004:$BO$1004,1,MATCH(COLUMNS($AN$1006:BD1006),$AN$1006:$BO$1006,0)))),"Fix")))</f>
        <v>0</v>
      </c>
      <c r="S702" s="4">
        <f>IF(OR(INDEX($AH$2:$AH$1001,MATCH(ROWS($AG$2:AG702),$AG$2:$AG$1001,0),1)&gt;=100000,INDEX($AN$1005:$BO$1005,1,MATCH(COLUMNS($AN$1006:BE1006),$AN$1006:$BO$1006,0))&gt;=100000), " ",IF(INDEX($AN$2:$BO$1001,MATCH(ROWS($AG$2:AG702),$AG$2:$AG$1001,0),MATCH(COLUMNS($AN$1006:BE1006),$AN$1006:$BO$1006,0)), HYPERLINK("#",""), HYPERLINK(CONCATENATE("#Metadata!", ADDRESS(INDEX($AI$2:$AI$1001,MATCH(ROWS($AG$2:AG702),$AG$2:$AG$1001,0),0), INDEX($AN$1004:$BO$1004,1,MATCH(COLUMNS($AN$1006:BE1006),$AN$1006:$BO$1006,0)))),"Fix")))</f>
        <v>0</v>
      </c>
      <c r="T702" s="4">
        <f>IF(OR(INDEX($AH$2:$AH$1001,MATCH(ROWS($AG$2:AG702),$AG$2:$AG$1001,0),1)&gt;=100000,INDEX($AN$1005:$BO$1005,1,MATCH(COLUMNS($AN$1006:BF1006),$AN$1006:$BO$1006,0))&gt;=100000), " ",IF(INDEX($AN$2:$BO$1001,MATCH(ROWS($AG$2:AG702),$AG$2:$AG$1001,0),MATCH(COLUMNS($AN$1006:BF1006),$AN$1006:$BO$1006,0)), HYPERLINK("#",""), HYPERLINK(CONCATENATE("#Metadata!", ADDRESS(INDEX($AI$2:$AI$1001,MATCH(ROWS($AG$2:AG702),$AG$2:$AG$1001,0),0), INDEX($AN$1004:$BO$1004,1,MATCH(COLUMNS($AN$1006:BF1006),$AN$1006:$BO$1006,0)))),"Fix")))</f>
        <v>0</v>
      </c>
      <c r="U702" s="4">
        <f>IF(OR(INDEX($AH$2:$AH$1001,MATCH(ROWS($AG$2:AG702),$AG$2:$AG$1001,0),1)&gt;=100000,INDEX($AN$1005:$BO$1005,1,MATCH(COLUMNS($AN$1006:BG1006),$AN$1006:$BO$1006,0))&gt;=100000), " ",IF(INDEX($AN$2:$BO$1001,MATCH(ROWS($AG$2:AG702),$AG$2:$AG$1001,0),MATCH(COLUMNS($AN$1006:BG1006),$AN$1006:$BO$1006,0)), HYPERLINK("#",""), HYPERLINK(CONCATENATE("#Metadata!", ADDRESS(INDEX($AI$2:$AI$1001,MATCH(ROWS($AG$2:AG702),$AG$2:$AG$1001,0),0), INDEX($AN$1004:$BO$1004,1,MATCH(COLUMNS($AN$1006:BG1006),$AN$1006:$BO$1006,0)))),"Fix")))</f>
        <v>0</v>
      </c>
      <c r="V702" s="4">
        <f>IF(OR(INDEX($AH$2:$AH$1001,MATCH(ROWS($AG$2:AG702),$AG$2:$AG$1001,0),1)&gt;=100000,INDEX($AN$1005:$BO$1005,1,MATCH(COLUMNS($AN$1006:BH1006),$AN$1006:$BO$1006,0))&gt;=100000), " ",IF(INDEX($AN$2:$BO$1001,MATCH(ROWS($AG$2:AG702),$AG$2:$AG$1001,0),MATCH(COLUMNS($AN$1006:BH1006),$AN$1006:$BO$1006,0)), HYPERLINK("#",""), HYPERLINK(CONCATENATE("#Metadata!", ADDRESS(INDEX($AI$2:$AI$1001,MATCH(ROWS($AG$2:AG702),$AG$2:$AG$1001,0),0), INDEX($AN$1004:$BO$1004,1,MATCH(COLUMNS($AN$1006:BH1006),$AN$1006:$BO$1006,0)))),"Fix")))</f>
        <v>0</v>
      </c>
      <c r="W702" s="4">
        <f>IF(OR(INDEX($AH$2:$AH$1001,MATCH(ROWS($AG$2:AG702),$AG$2:$AG$1001,0),1)&gt;=100000,INDEX($AN$1005:$BO$1005,1,MATCH(COLUMNS($AN$1006:BI1006),$AN$1006:$BO$1006,0))&gt;=100000), " ",IF(INDEX($AN$2:$BO$1001,MATCH(ROWS($AG$2:AG702),$AG$2:$AG$1001,0),MATCH(COLUMNS($AN$1006:BI1006),$AN$1006:$BO$1006,0)), HYPERLINK("#",""), HYPERLINK(CONCATENATE("#Metadata!", ADDRESS(INDEX($AI$2:$AI$1001,MATCH(ROWS($AG$2:AG702),$AG$2:$AG$1001,0),0), INDEX($AN$1004:$BO$1004,1,MATCH(COLUMNS($AN$1006:BI1006),$AN$1006:$BO$1006,0)))),"Fix")))</f>
        <v>0</v>
      </c>
      <c r="X702" s="4">
        <f>IF(OR(INDEX($AH$2:$AH$1001,MATCH(ROWS($AG$2:AG702),$AG$2:$AG$1001,0),1)&gt;=100000,INDEX($AN$1005:$BO$1005,1,MATCH(COLUMNS($AN$1006:BJ1006),$AN$1006:$BO$1006,0))&gt;=100000), " ",IF(INDEX($AN$2:$BO$1001,MATCH(ROWS($AG$2:AG702),$AG$2:$AG$1001,0),MATCH(COLUMNS($AN$1006:BJ1006),$AN$1006:$BO$1006,0)), HYPERLINK("#",""), HYPERLINK(CONCATENATE("#Metadata!", ADDRESS(INDEX($AI$2:$AI$1001,MATCH(ROWS($AG$2:AG702),$AG$2:$AG$1001,0),0), INDEX($AN$1004:$BO$1004,1,MATCH(COLUMNS($AN$1006:BJ1006),$AN$1006:$BO$1006,0)))),"Fix")))</f>
        <v>0</v>
      </c>
      <c r="Y702" s="4">
        <f>IF(OR(INDEX($AH$2:$AH$1001,MATCH(ROWS($AG$2:AG702),$AG$2:$AG$1001,0),1)&gt;=100000,INDEX($AN$1005:$BO$1005,1,MATCH(COLUMNS($AN$1006:BK1006),$AN$1006:$BO$1006,0))&gt;=100000), " ",IF(INDEX($AN$2:$BO$1001,MATCH(ROWS($AG$2:AG702),$AG$2:$AG$1001,0),MATCH(COLUMNS($AN$1006:BK1006),$AN$1006:$BO$1006,0)), HYPERLINK("#",""), HYPERLINK(CONCATENATE("#Metadata!", ADDRESS(INDEX($AI$2:$AI$1001,MATCH(ROWS($AG$2:AG702),$AG$2:$AG$1001,0),0), INDEX($AN$1004:$BO$1004,1,MATCH(COLUMNS($AN$1006:BK1006),$AN$1006:$BO$1006,0)))),"Fix")))</f>
        <v>0</v>
      </c>
      <c r="Z702" s="4">
        <f>IF(OR(INDEX($AH$2:$AH$1001,MATCH(ROWS($AG$2:AG702),$AG$2:$AG$1001,0),1)&gt;=100000,INDEX($AN$1005:$BO$1005,1,MATCH(COLUMNS($AN$1006:BL1006),$AN$1006:$BO$1006,0))&gt;=100000), " ",IF(INDEX($AN$2:$BO$1001,MATCH(ROWS($AG$2:AG702),$AG$2:$AG$1001,0),MATCH(COLUMNS($AN$1006:BL1006),$AN$1006:$BO$1006,0)), HYPERLINK("#",""), HYPERLINK(CONCATENATE("#Metadata!", ADDRESS(INDEX($AI$2:$AI$1001,MATCH(ROWS($AG$2:AG702),$AG$2:$AG$1001,0),0), INDEX($AN$1004:$BO$1004,1,MATCH(COLUMNS($AN$1006:BL1006),$AN$1006:$BO$1006,0)))),"Fix")))</f>
        <v>0</v>
      </c>
      <c r="AA702" s="4">
        <f>IF(OR(INDEX($AH$2:$AH$1001,MATCH(ROWS($AG$2:AG702),$AG$2:$AG$1001,0),1)&gt;=100000,INDEX($AN$1005:$BO$1005,1,MATCH(COLUMNS($AN$1006:BM1006),$AN$1006:$BO$1006,0))&gt;=100000), " ",IF(INDEX($AN$2:$BO$1001,MATCH(ROWS($AG$2:AG702),$AG$2:$AG$1001,0),MATCH(COLUMNS($AN$1006:BM1006),$AN$1006:$BO$1006,0)), HYPERLINK("#",""), HYPERLINK(CONCATENATE("#Metadata!", ADDRESS(INDEX($AI$2:$AI$1001,MATCH(ROWS($AG$2:AG702),$AG$2:$AG$1001,0),0), INDEX($AN$1004:$BO$1004,1,MATCH(COLUMNS($AN$1006:BM1006),$AN$1006:$BO$1006,0)))),"Fix")))</f>
        <v>0</v>
      </c>
      <c r="AB702" s="4">
        <f>IF(OR(INDEX($AH$2:$AH$1001,MATCH(ROWS($AG$2:AG702),$AG$2:$AG$1001,0),1)&gt;=100000,INDEX($AN$1005:$BO$1005,1,MATCH(COLUMNS($AN$1006:BN1006),$AN$1006:$BO$1006,0))&gt;=100000), " ",IF(INDEX($AN$2:$BO$1001,MATCH(ROWS($AG$2:AG702),$AG$2:$AG$1001,0),MATCH(COLUMNS($AN$1006:BN1006),$AN$1006:$BO$1006,0)), HYPERLINK("#",""), HYPERLINK(CONCATENATE("#Metadata!", ADDRESS(INDEX($AI$2:$AI$1001,MATCH(ROWS($AG$2:AG702),$AG$2:$AG$1001,0),0), INDEX($AN$1004:$BO$1004,1,MATCH(COLUMNS($AN$1006:BN1006),$AN$1006:$BO$1006,0)))),"Fix")))</f>
        <v>0</v>
      </c>
      <c r="AC702" s="4">
        <f>IF(OR(INDEX($AH$2:$AH$1001,MATCH(ROWS($AG$2:AG702),$AG$2:$AG$1001,0),1)&gt;=100000,INDEX($AN$1005:$BO$1005,1,MATCH(COLUMNS($AN$1006:BO1006),$AN$1006:$BO$1006,0))&gt;=100000), " ",IF(INDEX($AN$2:$BO$1001,MATCH(ROWS($AG$2:AG702),$AG$2:$AG$1001,0),MATCH(COLUMNS($AN$1006:BO1006),$AN$1006:$BO$1006,0)), HYPERLINK("#",""), HYPERLINK(CONCATENATE("#Metadata!", ADDRESS(INDEX($AI$2:$AI$1001,MATCH(ROWS($AG$2:AG702),$AG$2:$AG$1001,0),0), INDEX($AN$1004:$BO$1004,1,MATCH(COLUMNS($AN$1006:BO1006),$AN$1006:$BO$1006,0)))),"Fix")))</f>
        <v>0</v>
      </c>
      <c r="AG702">
        <v>0</v>
      </c>
      <c r="AH702">
        <v>0</v>
      </c>
      <c r="AI702">
        <v>0</v>
      </c>
      <c r="AJ702">
        <f>IF(AK702,TRUE,AND(AN702:BO702))</f>
        <v>0</v>
      </c>
      <c r="AK702">
        <f>COUNTBLANK(Metadata!B702:AC702)=COLUMNS(Metadata!B702:AC702)</f>
        <v>0</v>
      </c>
      <c r="AL702">
        <v>0</v>
      </c>
      <c r="AN702">
        <f>AND(IF(Metadata!B702="",FALSE,TRUE),COUNTIF(Metadata!B:B, Metadata!B702) = 1,NOT(ISERROR(SUMPRODUCT(SEARCH(MID(Metadata!B702,ROW(INDIRECT("1:"&amp;LEN(Metadata!B702))), 1),"0123456789abcdefghijklmnopqrstuvwxyzABCDEFGHIJKLMNOPQRSTUVWXYZ.")))))</f>
        <v>0</v>
      </c>
      <c r="AO702">
        <f>IF(Metadata!C702="",FALSE,TRUE)</f>
        <v>0</v>
      </c>
      <c r="AP702">
        <f>IF(Metadata!D702="",FALSE,TRUE)</f>
        <v>0</v>
      </c>
      <c r="AQ702">
        <f>OR(AND(IF(Metadata!E702="",FALSE,TRUE),OR(exact(Metadata!E702,"not collected"),exact(Metadata!E702,"not provided"),exact(Metadata!E702,"restricted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R702">
        <f>IF(Metadata!F702="",FALSE,TRUE)</f>
        <v>0</v>
      </c>
      <c r="AS702">
        <f>OR(AND(IF(Metadata!G702="",FALSE,TRUE),OR(exact(Metadata!G702,"not collected"),exact(Metadata!G702,"not provided"))),AND(IF(Metadata!G702="",FALSE,TRUE),OR(exact(Metadata!G702,"TRUE"),exact(Metadata!G702,"FALSE"))))</f>
        <v>0</v>
      </c>
      <c r="AT702">
        <f>OR(AND(IF(Metadata!H702="",FALSE,TRUE),OR(exact(Metadata!H702,"not collected"),exact(Metadata!H702,"not provided"),exact(Metadata!H702,"restricted access"))),AND(IF(Metadata!H702="",FALSE,ISNUMBER(VALUE(Metadata!H702))),Metadata!H702&gt;=-413.0))</f>
        <v>0</v>
      </c>
      <c r="AU702">
        <f>AND(IF(Metadata!I702="",FALSE,TRUE),exact(Metadata!I702,"meters"))</f>
        <v>0</v>
      </c>
      <c r="AV702">
        <f>AND(IF(Metadata!J702="",FALSE,TRUE),OR(exact(Metadata!J702,"Host-associated"),exact(Metadata!J702,"Free-living")))</f>
        <v>0</v>
      </c>
      <c r="AW702">
        <f>AND(IF(Metadata!K702="",FALSE,TRUE),OR(exact(Metadata!K702,"Animal"),exact(Metadata!K702,"Fungus"),exact(Metadata!K702,"Plant"),exact(Metadata!K702,"Saline"),exact(Metadata!K702,"Non-saline")))</f>
        <v>0</v>
      </c>
      <c r="AX702">
        <f>AND(IF(Metadata!L702="",FALSE,TRUE),OR(exact(Metadata!L702,"Plant secretion"),exact(Metadata!L702,"Plant rhizosphere"),exact(Metadata!L702,"Plant surface"),exact(Metadata!L702,"Plant corpus"),exact(Metadata!L702,"Fungus surface"),exact(Metadata!L702,"Fungus corpus"),exact(Metadata!L702,"Animal surface"),exact(Metadata!L702,"Animal proximal gut"),exact(Metadata!L702,"Animal corpus"),exact(Metadata!L702,"Animal distal gut"),exact(Metadata!L702,"Animal secretion"),exact(Metadata!L702,"Sub-surface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Y702">
        <f>IF(Metadata!M702="",FALSE,TRUE)</f>
        <v>0</v>
      </c>
      <c r="AZ702">
        <f>IF(Metadata!N702="",FALSE,TRUE)</f>
        <v>0</v>
      </c>
      <c r="BA702">
        <f>IF(Metadata!O702="",FALSE,TRUE)</f>
        <v>0</v>
      </c>
      <c r="BB702">
        <f>OR(AND(IF(Metadata!P702="",FALSE,TRUE),OR(exact(Metadata!P702,"not collected"),exact(Metadata!P702,"not provided"),exact(Metadata!P702,"restricted access"))),AND(IF(Metadata!P702="",FALSE,TRUE),OR(exact(Metadata!P702,"air"),exact(Metadata!P702,"built environment"),exact(Metadata!P702,"host-associated"),exact(Metadata!P702,"human-associated"),exact(Metadata!P702,"human-skin"),exact(Metadata!P702,"human-oral"),exact(Metadata!P702,"human-gut"),exact(Metadata!P702,"human-vaginal"),exact(Metadata!P702,"microbial mat/biofilm"),exact(Metadata!P702,"misc environment"),exact(Metadata!P702,"plant-associated"),exact(Metadata!P702,"sediment"),exact(Metadata!P702,"soil"),exact(Metadata!P702,"wastewater/sludge"),exact(Metadata!P702,"water"))))</f>
        <v>0</v>
      </c>
      <c r="BC702">
        <f>IF(Metadata!Q702="",FALSE,TRUE)</f>
        <v>0</v>
      </c>
      <c r="BD702">
        <f>IF(Metadata!R702="",FALSE,TRUE)</f>
        <v>0</v>
      </c>
      <c r="BE702">
        <f>OR(AND(IF(Metadata!S702="",FALSE,TRUE),OR(exact(Metadata!S702,"not collected"),exact(Metadata!S702,"not provided"),exact(Metadata!S702,"restricted access"))),AND(IF(Metadata!S702="",FALSE,ISNUMBER(VALUE(Metadata!S702))),Metadata!S702&gt;=-90.00,Metadata!S702&lt;=90.00))</f>
        <v>0</v>
      </c>
      <c r="BF702">
        <f>AND(IF(Metadata!T702="",FALSE,TRUE),exact(Metadata!T702,"Decimal degrees"))</f>
        <v>0</v>
      </c>
      <c r="BG702">
        <f>OR(AND(IF(Metadata!U702="",FALSE,TRUE),OR(exact(Metadata!U702,"not collected"),exact(Metadata!U702,"not provided"),exact(Metadata!U702,"restricted access"))),AND(IF(Metadata!U702="",FALSE,ISNUMBER(VALUE(Metadata!U702))),Metadata!U702&gt;=-180.00,Metadata!U702&lt;=180.00))</f>
        <v>0</v>
      </c>
      <c r="BH702">
        <f>AND(IF(Metadata!V702="",FALSE,TRUE),exact(Metadata!V702,"Decimal degrees"))</f>
        <v>0</v>
      </c>
      <c r="BI702">
        <f>IF(Metadata!W702="",FALSE,TRUE)</f>
        <v>0</v>
      </c>
      <c r="BJ702">
        <f>OR(AND(IF(Metadata!X702="",FALSE,TRUE),OR(exact(Metadata!X702,"not collected"),exact(Metadata!X702,"not provided"),exact(Metadata!X702,"restricted access"))),AND(IF(Metadata!X702="",FALSE,TRUE),OR(exact(Metadata!X702,"TRUE"),exact(Metadata!X702,"FALSE"))))</f>
        <v>0</v>
      </c>
      <c r="BK702">
        <f>AND(IF(Metadata!Y702="",FALSE,TRUE),exact(Metadata!Y702,"other"))</f>
        <v>0</v>
      </c>
      <c r="BL702">
        <f>IF(Metadata!Z702="",FALSE,TRUE)</f>
        <v>0</v>
      </c>
      <c r="BM702">
        <f>OR(AND(IF(Metadata!AA702="",FALSE,TRUE),OR(exact(Metadata!AA702,"not collected"),exact(Metadata!AA702,"not provided"))),AND(IF(Metadata!AA702="",FALSE,IF(ISERROR(INT(Metadata!AA702)),FALSE,INT(Metadata!AA702)=Metadata!AA702)),Metadata!AA702&gt;0))</f>
        <v>0</v>
      </c>
      <c r="BN702">
        <f>AND(IF(Metadata!AB702="",FALSE,TRUE),exact(Metadata!AB702,"Not applicable"))</f>
        <v>0</v>
      </c>
      <c r="BO702">
        <f>IF(Metadata!AC702="",FALSE,TRUE)</f>
        <v>0</v>
      </c>
    </row>
    <row r="703" spans="1:67">
      <c r="A703" s="5">
        <f>IF(B703=" "," ",HYPERLINK(CONCATENATE("#metadata!",ADDRESS(INDEX($AI$2:$AI$1001,MATCH(ROWS($AG$2:AG703),$AG$2:$AG$1001,0),0),1)),INDEX($AL$2:$AL$1001,MATCH(ROWS($AG$2:AG703),$AG$2:$AG$1001,0),0)))</f>
        <v>0</v>
      </c>
      <c r="B703" s="4">
        <f>IF(OR(INDEX($AH$2:$AH$1001,MATCH(ROWS($AG$2:AG703),$AG$2:$AG$1001,0),1)&gt;=100000,INDEX($AN$1005:$BO$1005,1,MATCH(COLUMNS($AN$1006:AN1006),$AN$1006:$BO$1006,0))&gt;=100000), " ",IF(INDEX($AN$2:$BO$1001,MATCH(ROWS($AG$2:AG703),$AG$2:$AG$1001,0),MATCH(COLUMNS($AN$1006:AN1006),$AN$1006:$BO$1006,0)), HYPERLINK("#",""), HYPERLINK(CONCATENATE("#Metadata!", ADDRESS(INDEX($AI$2:$AI$1001,MATCH(ROWS($AG$2:AG703),$AG$2:$AG$1001,0),0), INDEX($AN$1004:$BO$1004,1,MATCH(COLUMNS($AN$1006:AN1006),$AN$1006:$BO$1006,0)))),"Fix")))</f>
        <v>0</v>
      </c>
      <c r="C703" s="4">
        <f>IF(OR(INDEX($AH$2:$AH$1001,MATCH(ROWS($AG$2:AG703),$AG$2:$AG$1001,0),1)&gt;=100000,INDEX($AN$1005:$BO$1005,1,MATCH(COLUMNS($AN$1006:AO1006),$AN$1006:$BO$1006,0))&gt;=100000), " ",IF(INDEX($AN$2:$BO$1001,MATCH(ROWS($AG$2:AG703),$AG$2:$AG$1001,0),MATCH(COLUMNS($AN$1006:AO1006),$AN$1006:$BO$1006,0)), HYPERLINK("#",""), HYPERLINK(CONCATENATE("#Metadata!", ADDRESS(INDEX($AI$2:$AI$1001,MATCH(ROWS($AG$2:AG703),$AG$2:$AG$1001,0),0), INDEX($AN$1004:$BO$1004,1,MATCH(COLUMNS($AN$1006:AO1006),$AN$1006:$BO$1006,0)))),"Fix")))</f>
        <v>0</v>
      </c>
      <c r="D703" s="4">
        <f>IF(OR(INDEX($AH$2:$AH$1001,MATCH(ROWS($AG$2:AG703),$AG$2:$AG$1001,0),1)&gt;=100000,INDEX($AN$1005:$BO$1005,1,MATCH(COLUMNS($AN$1006:AP1006),$AN$1006:$BO$1006,0))&gt;=100000), " ",IF(INDEX($AN$2:$BO$1001,MATCH(ROWS($AG$2:AG703),$AG$2:$AG$1001,0),MATCH(COLUMNS($AN$1006:AP1006),$AN$1006:$BO$1006,0)), HYPERLINK("#",""), HYPERLINK(CONCATENATE("#Metadata!", ADDRESS(INDEX($AI$2:$AI$1001,MATCH(ROWS($AG$2:AG703),$AG$2:$AG$1001,0),0), INDEX($AN$1004:$BO$1004,1,MATCH(COLUMNS($AN$1006:AP1006),$AN$1006:$BO$1006,0)))),"Fix")))</f>
        <v>0</v>
      </c>
      <c r="E703" s="4">
        <f>IF(OR(INDEX($AH$2:$AH$1001,MATCH(ROWS($AG$2:AG703),$AG$2:$AG$1001,0),1)&gt;=100000,INDEX($AN$1005:$BO$1005,1,MATCH(COLUMNS($AN$1006:AQ1006),$AN$1006:$BO$1006,0))&gt;=100000), " ",IF(INDEX($AN$2:$BO$1001,MATCH(ROWS($AG$2:AG703),$AG$2:$AG$1001,0),MATCH(COLUMNS($AN$1006:AQ1006),$AN$1006:$BO$1006,0)), HYPERLINK("#",""), HYPERLINK(CONCATENATE("#Metadata!", ADDRESS(INDEX($AI$2:$AI$1001,MATCH(ROWS($AG$2:AG703),$AG$2:$AG$1001,0),0), INDEX($AN$1004:$BO$1004,1,MATCH(COLUMNS($AN$1006:AQ1006),$AN$1006:$BO$1006,0)))),"Fix")))</f>
        <v>0</v>
      </c>
      <c r="F703" s="4">
        <f>IF(OR(INDEX($AH$2:$AH$1001,MATCH(ROWS($AG$2:AG703),$AG$2:$AG$1001,0),1)&gt;=100000,INDEX($AN$1005:$BO$1005,1,MATCH(COLUMNS($AN$1006:AR1006),$AN$1006:$BO$1006,0))&gt;=100000), " ",IF(INDEX($AN$2:$BO$1001,MATCH(ROWS($AG$2:AG703),$AG$2:$AG$1001,0),MATCH(COLUMNS($AN$1006:AR1006),$AN$1006:$BO$1006,0)), HYPERLINK("#",""), HYPERLINK(CONCATENATE("#Metadata!", ADDRESS(INDEX($AI$2:$AI$1001,MATCH(ROWS($AG$2:AG703),$AG$2:$AG$1001,0),0), INDEX($AN$1004:$BO$1004,1,MATCH(COLUMNS($AN$1006:AR1006),$AN$1006:$BO$1006,0)))),"Fix")))</f>
        <v>0</v>
      </c>
      <c r="G703" s="4">
        <f>IF(OR(INDEX($AH$2:$AH$1001,MATCH(ROWS($AG$2:AG703),$AG$2:$AG$1001,0),1)&gt;=100000,INDEX($AN$1005:$BO$1005,1,MATCH(COLUMNS($AN$1006:AS1006),$AN$1006:$BO$1006,0))&gt;=100000), " ",IF(INDEX($AN$2:$BO$1001,MATCH(ROWS($AG$2:AG703),$AG$2:$AG$1001,0),MATCH(COLUMNS($AN$1006:AS1006),$AN$1006:$BO$1006,0)), HYPERLINK("#",""), HYPERLINK(CONCATENATE("#Metadata!", ADDRESS(INDEX($AI$2:$AI$1001,MATCH(ROWS($AG$2:AG703),$AG$2:$AG$1001,0),0), INDEX($AN$1004:$BO$1004,1,MATCH(COLUMNS($AN$1006:AS1006),$AN$1006:$BO$1006,0)))),"Fix")))</f>
        <v>0</v>
      </c>
      <c r="H703" s="4">
        <f>IF(OR(INDEX($AH$2:$AH$1001,MATCH(ROWS($AG$2:AG703),$AG$2:$AG$1001,0),1)&gt;=100000,INDEX($AN$1005:$BO$1005,1,MATCH(COLUMNS($AN$1006:AT1006),$AN$1006:$BO$1006,0))&gt;=100000), " ",IF(INDEX($AN$2:$BO$1001,MATCH(ROWS($AG$2:AG703),$AG$2:$AG$1001,0),MATCH(COLUMNS($AN$1006:AT1006),$AN$1006:$BO$1006,0)), HYPERLINK("#",""), HYPERLINK(CONCATENATE("#Metadata!", ADDRESS(INDEX($AI$2:$AI$1001,MATCH(ROWS($AG$2:AG703),$AG$2:$AG$1001,0),0), INDEX($AN$1004:$BO$1004,1,MATCH(COLUMNS($AN$1006:AT1006),$AN$1006:$BO$1006,0)))),"Fix")))</f>
        <v>0</v>
      </c>
      <c r="I703" s="4">
        <f>IF(OR(INDEX($AH$2:$AH$1001,MATCH(ROWS($AG$2:AG703),$AG$2:$AG$1001,0),1)&gt;=100000,INDEX($AN$1005:$BO$1005,1,MATCH(COLUMNS($AN$1006:AU1006),$AN$1006:$BO$1006,0))&gt;=100000), " ",IF(INDEX($AN$2:$BO$1001,MATCH(ROWS($AG$2:AG703),$AG$2:$AG$1001,0),MATCH(COLUMNS($AN$1006:AU1006),$AN$1006:$BO$1006,0)), HYPERLINK("#",""), HYPERLINK(CONCATENATE("#Metadata!", ADDRESS(INDEX($AI$2:$AI$1001,MATCH(ROWS($AG$2:AG703),$AG$2:$AG$1001,0),0), INDEX($AN$1004:$BO$1004,1,MATCH(COLUMNS($AN$1006:AU1006),$AN$1006:$BO$1006,0)))),"Fix")))</f>
        <v>0</v>
      </c>
      <c r="J703" s="4">
        <f>IF(OR(INDEX($AH$2:$AH$1001,MATCH(ROWS($AG$2:AG703),$AG$2:$AG$1001,0),1)&gt;=100000,INDEX($AN$1005:$BO$1005,1,MATCH(COLUMNS($AN$1006:AV1006),$AN$1006:$BO$1006,0))&gt;=100000), " ",IF(INDEX($AN$2:$BO$1001,MATCH(ROWS($AG$2:AG703),$AG$2:$AG$1001,0),MATCH(COLUMNS($AN$1006:AV1006),$AN$1006:$BO$1006,0)), HYPERLINK("#",""), HYPERLINK(CONCATENATE("#Metadata!", ADDRESS(INDEX($AI$2:$AI$1001,MATCH(ROWS($AG$2:AG703),$AG$2:$AG$1001,0),0), INDEX($AN$1004:$BO$1004,1,MATCH(COLUMNS($AN$1006:AV1006),$AN$1006:$BO$1006,0)))),"Fix")))</f>
        <v>0</v>
      </c>
      <c r="K703" s="4">
        <f>IF(OR(INDEX($AH$2:$AH$1001,MATCH(ROWS($AG$2:AG703),$AG$2:$AG$1001,0),1)&gt;=100000,INDEX($AN$1005:$BO$1005,1,MATCH(COLUMNS($AN$1006:AW1006),$AN$1006:$BO$1006,0))&gt;=100000), " ",IF(INDEX($AN$2:$BO$1001,MATCH(ROWS($AG$2:AG703),$AG$2:$AG$1001,0),MATCH(COLUMNS($AN$1006:AW1006),$AN$1006:$BO$1006,0)), HYPERLINK("#",""), HYPERLINK(CONCATENATE("#Metadata!", ADDRESS(INDEX($AI$2:$AI$1001,MATCH(ROWS($AG$2:AG703),$AG$2:$AG$1001,0),0), INDEX($AN$1004:$BO$1004,1,MATCH(COLUMNS($AN$1006:AW1006),$AN$1006:$BO$1006,0)))),"Fix")))</f>
        <v>0</v>
      </c>
      <c r="L703" s="4">
        <f>IF(OR(INDEX($AH$2:$AH$1001,MATCH(ROWS($AG$2:AG703),$AG$2:$AG$1001,0),1)&gt;=100000,INDEX($AN$1005:$BO$1005,1,MATCH(COLUMNS($AN$1006:AX1006),$AN$1006:$BO$1006,0))&gt;=100000), " ",IF(INDEX($AN$2:$BO$1001,MATCH(ROWS($AG$2:AG703),$AG$2:$AG$1001,0),MATCH(COLUMNS($AN$1006:AX1006),$AN$1006:$BO$1006,0)), HYPERLINK("#",""), HYPERLINK(CONCATENATE("#Metadata!", ADDRESS(INDEX($AI$2:$AI$1001,MATCH(ROWS($AG$2:AG703),$AG$2:$AG$1001,0),0), INDEX($AN$1004:$BO$1004,1,MATCH(COLUMNS($AN$1006:AX1006),$AN$1006:$BO$1006,0)))),"Fix")))</f>
        <v>0</v>
      </c>
      <c r="M703" s="4">
        <f>IF(OR(INDEX($AH$2:$AH$1001,MATCH(ROWS($AG$2:AG703),$AG$2:$AG$1001,0),1)&gt;=100000,INDEX($AN$1005:$BO$1005,1,MATCH(COLUMNS($AN$1006:AY1006),$AN$1006:$BO$1006,0))&gt;=100000), " ",IF(INDEX($AN$2:$BO$1001,MATCH(ROWS($AG$2:AG703),$AG$2:$AG$1001,0),MATCH(COLUMNS($AN$1006:AY1006),$AN$1006:$BO$1006,0)), HYPERLINK("#",""), HYPERLINK(CONCATENATE("#Metadata!", ADDRESS(INDEX($AI$2:$AI$1001,MATCH(ROWS($AG$2:AG703),$AG$2:$AG$1001,0),0), INDEX($AN$1004:$BO$1004,1,MATCH(COLUMNS($AN$1006:AY1006),$AN$1006:$BO$1006,0)))),"Fix")))</f>
        <v>0</v>
      </c>
      <c r="N703" s="4">
        <f>IF(OR(INDEX($AH$2:$AH$1001,MATCH(ROWS($AG$2:AG703),$AG$2:$AG$1001,0),1)&gt;=100000,INDEX($AN$1005:$BO$1005,1,MATCH(COLUMNS($AN$1006:AZ1006),$AN$1006:$BO$1006,0))&gt;=100000), " ",IF(INDEX($AN$2:$BO$1001,MATCH(ROWS($AG$2:AG703),$AG$2:$AG$1001,0),MATCH(COLUMNS($AN$1006:AZ1006),$AN$1006:$BO$1006,0)), HYPERLINK("#",""), HYPERLINK(CONCATENATE("#Metadata!", ADDRESS(INDEX($AI$2:$AI$1001,MATCH(ROWS($AG$2:AG703),$AG$2:$AG$1001,0),0), INDEX($AN$1004:$BO$1004,1,MATCH(COLUMNS($AN$1006:AZ1006),$AN$1006:$BO$1006,0)))),"Fix")))</f>
        <v>0</v>
      </c>
      <c r="O703" s="4">
        <f>IF(OR(INDEX($AH$2:$AH$1001,MATCH(ROWS($AG$2:AG703),$AG$2:$AG$1001,0),1)&gt;=100000,INDEX($AN$1005:$BO$1005,1,MATCH(COLUMNS($AN$1006:BA1006),$AN$1006:$BO$1006,0))&gt;=100000), " ",IF(INDEX($AN$2:$BO$1001,MATCH(ROWS($AG$2:AG703),$AG$2:$AG$1001,0),MATCH(COLUMNS($AN$1006:BA1006),$AN$1006:$BO$1006,0)), HYPERLINK("#",""), HYPERLINK(CONCATENATE("#Metadata!", ADDRESS(INDEX($AI$2:$AI$1001,MATCH(ROWS($AG$2:AG703),$AG$2:$AG$1001,0),0), INDEX($AN$1004:$BO$1004,1,MATCH(COLUMNS($AN$1006:BA1006),$AN$1006:$BO$1006,0)))),"Fix")))</f>
        <v>0</v>
      </c>
      <c r="P703" s="4">
        <f>IF(OR(INDEX($AH$2:$AH$1001,MATCH(ROWS($AG$2:AG703),$AG$2:$AG$1001,0),1)&gt;=100000,INDEX($AN$1005:$BO$1005,1,MATCH(COLUMNS($AN$1006:BB1006),$AN$1006:$BO$1006,0))&gt;=100000), " ",IF(INDEX($AN$2:$BO$1001,MATCH(ROWS($AG$2:AG703),$AG$2:$AG$1001,0),MATCH(COLUMNS($AN$1006:BB1006),$AN$1006:$BO$1006,0)), HYPERLINK("#",""), HYPERLINK(CONCATENATE("#Metadata!", ADDRESS(INDEX($AI$2:$AI$1001,MATCH(ROWS($AG$2:AG703),$AG$2:$AG$1001,0),0), INDEX($AN$1004:$BO$1004,1,MATCH(COLUMNS($AN$1006:BB1006),$AN$1006:$BO$1006,0)))),"Fix")))</f>
        <v>0</v>
      </c>
      <c r="Q703" s="4">
        <f>IF(OR(INDEX($AH$2:$AH$1001,MATCH(ROWS($AG$2:AG703),$AG$2:$AG$1001,0),1)&gt;=100000,INDEX($AN$1005:$BO$1005,1,MATCH(COLUMNS($AN$1006:BC1006),$AN$1006:$BO$1006,0))&gt;=100000), " ",IF(INDEX($AN$2:$BO$1001,MATCH(ROWS($AG$2:AG703),$AG$2:$AG$1001,0),MATCH(COLUMNS($AN$1006:BC1006),$AN$1006:$BO$1006,0)), HYPERLINK("#",""), HYPERLINK(CONCATENATE("#Metadata!", ADDRESS(INDEX($AI$2:$AI$1001,MATCH(ROWS($AG$2:AG703),$AG$2:$AG$1001,0),0), INDEX($AN$1004:$BO$1004,1,MATCH(COLUMNS($AN$1006:BC1006),$AN$1006:$BO$1006,0)))),"Fix")))</f>
        <v>0</v>
      </c>
      <c r="R703" s="4">
        <f>IF(OR(INDEX($AH$2:$AH$1001,MATCH(ROWS($AG$2:AG703),$AG$2:$AG$1001,0),1)&gt;=100000,INDEX($AN$1005:$BO$1005,1,MATCH(COLUMNS($AN$1006:BD1006),$AN$1006:$BO$1006,0))&gt;=100000), " ",IF(INDEX($AN$2:$BO$1001,MATCH(ROWS($AG$2:AG703),$AG$2:$AG$1001,0),MATCH(COLUMNS($AN$1006:BD1006),$AN$1006:$BO$1006,0)), HYPERLINK("#",""), HYPERLINK(CONCATENATE("#Metadata!", ADDRESS(INDEX($AI$2:$AI$1001,MATCH(ROWS($AG$2:AG703),$AG$2:$AG$1001,0),0), INDEX($AN$1004:$BO$1004,1,MATCH(COLUMNS($AN$1006:BD1006),$AN$1006:$BO$1006,0)))),"Fix")))</f>
        <v>0</v>
      </c>
      <c r="S703" s="4">
        <f>IF(OR(INDEX($AH$2:$AH$1001,MATCH(ROWS($AG$2:AG703),$AG$2:$AG$1001,0),1)&gt;=100000,INDEX($AN$1005:$BO$1005,1,MATCH(COLUMNS($AN$1006:BE1006),$AN$1006:$BO$1006,0))&gt;=100000), " ",IF(INDEX($AN$2:$BO$1001,MATCH(ROWS($AG$2:AG703),$AG$2:$AG$1001,0),MATCH(COLUMNS($AN$1006:BE1006),$AN$1006:$BO$1006,0)), HYPERLINK("#",""), HYPERLINK(CONCATENATE("#Metadata!", ADDRESS(INDEX($AI$2:$AI$1001,MATCH(ROWS($AG$2:AG703),$AG$2:$AG$1001,0),0), INDEX($AN$1004:$BO$1004,1,MATCH(COLUMNS($AN$1006:BE1006),$AN$1006:$BO$1006,0)))),"Fix")))</f>
        <v>0</v>
      </c>
      <c r="T703" s="4">
        <f>IF(OR(INDEX($AH$2:$AH$1001,MATCH(ROWS($AG$2:AG703),$AG$2:$AG$1001,0),1)&gt;=100000,INDEX($AN$1005:$BO$1005,1,MATCH(COLUMNS($AN$1006:BF1006),$AN$1006:$BO$1006,0))&gt;=100000), " ",IF(INDEX($AN$2:$BO$1001,MATCH(ROWS($AG$2:AG703),$AG$2:$AG$1001,0),MATCH(COLUMNS($AN$1006:BF1006),$AN$1006:$BO$1006,0)), HYPERLINK("#",""), HYPERLINK(CONCATENATE("#Metadata!", ADDRESS(INDEX($AI$2:$AI$1001,MATCH(ROWS($AG$2:AG703),$AG$2:$AG$1001,0),0), INDEX($AN$1004:$BO$1004,1,MATCH(COLUMNS($AN$1006:BF1006),$AN$1006:$BO$1006,0)))),"Fix")))</f>
        <v>0</v>
      </c>
      <c r="U703" s="4">
        <f>IF(OR(INDEX($AH$2:$AH$1001,MATCH(ROWS($AG$2:AG703),$AG$2:$AG$1001,0),1)&gt;=100000,INDEX($AN$1005:$BO$1005,1,MATCH(COLUMNS($AN$1006:BG1006),$AN$1006:$BO$1006,0))&gt;=100000), " ",IF(INDEX($AN$2:$BO$1001,MATCH(ROWS($AG$2:AG703),$AG$2:$AG$1001,0),MATCH(COLUMNS($AN$1006:BG1006),$AN$1006:$BO$1006,0)), HYPERLINK("#",""), HYPERLINK(CONCATENATE("#Metadata!", ADDRESS(INDEX($AI$2:$AI$1001,MATCH(ROWS($AG$2:AG703),$AG$2:$AG$1001,0),0), INDEX($AN$1004:$BO$1004,1,MATCH(COLUMNS($AN$1006:BG1006),$AN$1006:$BO$1006,0)))),"Fix")))</f>
        <v>0</v>
      </c>
      <c r="V703" s="4">
        <f>IF(OR(INDEX($AH$2:$AH$1001,MATCH(ROWS($AG$2:AG703),$AG$2:$AG$1001,0),1)&gt;=100000,INDEX($AN$1005:$BO$1005,1,MATCH(COLUMNS($AN$1006:BH1006),$AN$1006:$BO$1006,0))&gt;=100000), " ",IF(INDEX($AN$2:$BO$1001,MATCH(ROWS($AG$2:AG703),$AG$2:$AG$1001,0),MATCH(COLUMNS($AN$1006:BH1006),$AN$1006:$BO$1006,0)), HYPERLINK("#",""), HYPERLINK(CONCATENATE("#Metadata!", ADDRESS(INDEX($AI$2:$AI$1001,MATCH(ROWS($AG$2:AG703),$AG$2:$AG$1001,0),0), INDEX($AN$1004:$BO$1004,1,MATCH(COLUMNS($AN$1006:BH1006),$AN$1006:$BO$1006,0)))),"Fix")))</f>
        <v>0</v>
      </c>
      <c r="W703" s="4">
        <f>IF(OR(INDEX($AH$2:$AH$1001,MATCH(ROWS($AG$2:AG703),$AG$2:$AG$1001,0),1)&gt;=100000,INDEX($AN$1005:$BO$1005,1,MATCH(COLUMNS($AN$1006:BI1006),$AN$1006:$BO$1006,0))&gt;=100000), " ",IF(INDEX($AN$2:$BO$1001,MATCH(ROWS($AG$2:AG703),$AG$2:$AG$1001,0),MATCH(COLUMNS($AN$1006:BI1006),$AN$1006:$BO$1006,0)), HYPERLINK("#",""), HYPERLINK(CONCATENATE("#Metadata!", ADDRESS(INDEX($AI$2:$AI$1001,MATCH(ROWS($AG$2:AG703),$AG$2:$AG$1001,0),0), INDEX($AN$1004:$BO$1004,1,MATCH(COLUMNS($AN$1006:BI1006),$AN$1006:$BO$1006,0)))),"Fix")))</f>
        <v>0</v>
      </c>
      <c r="X703" s="4">
        <f>IF(OR(INDEX($AH$2:$AH$1001,MATCH(ROWS($AG$2:AG703),$AG$2:$AG$1001,0),1)&gt;=100000,INDEX($AN$1005:$BO$1005,1,MATCH(COLUMNS($AN$1006:BJ1006),$AN$1006:$BO$1006,0))&gt;=100000), " ",IF(INDEX($AN$2:$BO$1001,MATCH(ROWS($AG$2:AG703),$AG$2:$AG$1001,0),MATCH(COLUMNS($AN$1006:BJ1006),$AN$1006:$BO$1006,0)), HYPERLINK("#",""), HYPERLINK(CONCATENATE("#Metadata!", ADDRESS(INDEX($AI$2:$AI$1001,MATCH(ROWS($AG$2:AG703),$AG$2:$AG$1001,0),0), INDEX($AN$1004:$BO$1004,1,MATCH(COLUMNS($AN$1006:BJ1006),$AN$1006:$BO$1006,0)))),"Fix")))</f>
        <v>0</v>
      </c>
      <c r="Y703" s="4">
        <f>IF(OR(INDEX($AH$2:$AH$1001,MATCH(ROWS($AG$2:AG703),$AG$2:$AG$1001,0),1)&gt;=100000,INDEX($AN$1005:$BO$1005,1,MATCH(COLUMNS($AN$1006:BK1006),$AN$1006:$BO$1006,0))&gt;=100000), " ",IF(INDEX($AN$2:$BO$1001,MATCH(ROWS($AG$2:AG703),$AG$2:$AG$1001,0),MATCH(COLUMNS($AN$1006:BK1006),$AN$1006:$BO$1006,0)), HYPERLINK("#",""), HYPERLINK(CONCATENATE("#Metadata!", ADDRESS(INDEX($AI$2:$AI$1001,MATCH(ROWS($AG$2:AG703),$AG$2:$AG$1001,0),0), INDEX($AN$1004:$BO$1004,1,MATCH(COLUMNS($AN$1006:BK1006),$AN$1006:$BO$1006,0)))),"Fix")))</f>
        <v>0</v>
      </c>
      <c r="Z703" s="4">
        <f>IF(OR(INDEX($AH$2:$AH$1001,MATCH(ROWS($AG$2:AG703),$AG$2:$AG$1001,0),1)&gt;=100000,INDEX($AN$1005:$BO$1005,1,MATCH(COLUMNS($AN$1006:BL1006),$AN$1006:$BO$1006,0))&gt;=100000), " ",IF(INDEX($AN$2:$BO$1001,MATCH(ROWS($AG$2:AG703),$AG$2:$AG$1001,0),MATCH(COLUMNS($AN$1006:BL1006),$AN$1006:$BO$1006,0)), HYPERLINK("#",""), HYPERLINK(CONCATENATE("#Metadata!", ADDRESS(INDEX($AI$2:$AI$1001,MATCH(ROWS($AG$2:AG703),$AG$2:$AG$1001,0),0), INDEX($AN$1004:$BO$1004,1,MATCH(COLUMNS($AN$1006:BL1006),$AN$1006:$BO$1006,0)))),"Fix")))</f>
        <v>0</v>
      </c>
      <c r="AA703" s="4">
        <f>IF(OR(INDEX($AH$2:$AH$1001,MATCH(ROWS($AG$2:AG703),$AG$2:$AG$1001,0),1)&gt;=100000,INDEX($AN$1005:$BO$1005,1,MATCH(COLUMNS($AN$1006:BM1006),$AN$1006:$BO$1006,0))&gt;=100000), " ",IF(INDEX($AN$2:$BO$1001,MATCH(ROWS($AG$2:AG703),$AG$2:$AG$1001,0),MATCH(COLUMNS($AN$1006:BM1006),$AN$1006:$BO$1006,0)), HYPERLINK("#",""), HYPERLINK(CONCATENATE("#Metadata!", ADDRESS(INDEX($AI$2:$AI$1001,MATCH(ROWS($AG$2:AG703),$AG$2:$AG$1001,0),0), INDEX($AN$1004:$BO$1004,1,MATCH(COLUMNS($AN$1006:BM1006),$AN$1006:$BO$1006,0)))),"Fix")))</f>
        <v>0</v>
      </c>
      <c r="AB703" s="4">
        <f>IF(OR(INDEX($AH$2:$AH$1001,MATCH(ROWS($AG$2:AG703),$AG$2:$AG$1001,0),1)&gt;=100000,INDEX($AN$1005:$BO$1005,1,MATCH(COLUMNS($AN$1006:BN1006),$AN$1006:$BO$1006,0))&gt;=100000), " ",IF(INDEX($AN$2:$BO$1001,MATCH(ROWS($AG$2:AG703),$AG$2:$AG$1001,0),MATCH(COLUMNS($AN$1006:BN1006),$AN$1006:$BO$1006,0)), HYPERLINK("#",""), HYPERLINK(CONCATENATE("#Metadata!", ADDRESS(INDEX($AI$2:$AI$1001,MATCH(ROWS($AG$2:AG703),$AG$2:$AG$1001,0),0), INDEX($AN$1004:$BO$1004,1,MATCH(COLUMNS($AN$1006:BN1006),$AN$1006:$BO$1006,0)))),"Fix")))</f>
        <v>0</v>
      </c>
      <c r="AC703" s="4">
        <f>IF(OR(INDEX($AH$2:$AH$1001,MATCH(ROWS($AG$2:AG703),$AG$2:$AG$1001,0),1)&gt;=100000,INDEX($AN$1005:$BO$1005,1,MATCH(COLUMNS($AN$1006:BO1006),$AN$1006:$BO$1006,0))&gt;=100000), " ",IF(INDEX($AN$2:$BO$1001,MATCH(ROWS($AG$2:AG703),$AG$2:$AG$1001,0),MATCH(COLUMNS($AN$1006:BO1006),$AN$1006:$BO$1006,0)), HYPERLINK("#",""), HYPERLINK(CONCATENATE("#Metadata!", ADDRESS(INDEX($AI$2:$AI$1001,MATCH(ROWS($AG$2:AG703),$AG$2:$AG$1001,0),0), INDEX($AN$1004:$BO$1004,1,MATCH(COLUMNS($AN$1006:BO1006),$AN$1006:$BO$1006,0)))),"Fix")))</f>
        <v>0</v>
      </c>
      <c r="AG703">
        <v>0</v>
      </c>
      <c r="AH703">
        <v>0</v>
      </c>
      <c r="AI703">
        <v>0</v>
      </c>
      <c r="AJ703">
        <f>IF(AK703,TRUE,AND(AN703:BO703))</f>
        <v>0</v>
      </c>
      <c r="AK703">
        <f>COUNTBLANK(Metadata!B703:AC703)=COLUMNS(Metadata!B703:AC703)</f>
        <v>0</v>
      </c>
      <c r="AL703">
        <v>0</v>
      </c>
      <c r="AN703">
        <f>AND(IF(Metadata!B703="",FALSE,TRUE),COUNTIF(Metadata!B:B, Metadata!B703) = 1,NOT(ISERROR(SUMPRODUCT(SEARCH(MID(Metadata!B703,ROW(INDIRECT("1:"&amp;LEN(Metadata!B703))), 1),"0123456789abcdefghijklmnopqrstuvwxyzABCDEFGHIJKLMNOPQRSTUVWXYZ.")))))</f>
        <v>0</v>
      </c>
      <c r="AO703">
        <f>IF(Metadata!C703="",FALSE,TRUE)</f>
        <v>0</v>
      </c>
      <c r="AP703">
        <f>IF(Metadata!D703="",FALSE,TRUE)</f>
        <v>0</v>
      </c>
      <c r="AQ703">
        <f>OR(AND(IF(Metadata!E703="",FALSE,TRUE),OR(exact(Metadata!E703,"not collected"),exact(Metadata!E703,"not provided"),exact(Metadata!E703,"restricted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R703">
        <f>IF(Metadata!F703="",FALSE,TRUE)</f>
        <v>0</v>
      </c>
      <c r="AS703">
        <f>OR(AND(IF(Metadata!G703="",FALSE,TRUE),OR(exact(Metadata!G703,"not collected"),exact(Metadata!G703,"not provided"))),AND(IF(Metadata!G703="",FALSE,TRUE),OR(exact(Metadata!G703,"TRUE"),exact(Metadata!G703,"FALSE"))))</f>
        <v>0</v>
      </c>
      <c r="AT703">
        <f>OR(AND(IF(Metadata!H703="",FALSE,TRUE),OR(exact(Metadata!H703,"not collected"),exact(Metadata!H703,"not provided"),exact(Metadata!H703,"restricted access"))),AND(IF(Metadata!H703="",FALSE,ISNUMBER(VALUE(Metadata!H703))),Metadata!H703&gt;=-413.0))</f>
        <v>0</v>
      </c>
      <c r="AU703">
        <f>AND(IF(Metadata!I703="",FALSE,TRUE),exact(Metadata!I703,"meters"))</f>
        <v>0</v>
      </c>
      <c r="AV703">
        <f>AND(IF(Metadata!J703="",FALSE,TRUE),OR(exact(Metadata!J703,"Host-associated"),exact(Metadata!J703,"Free-living")))</f>
        <v>0</v>
      </c>
      <c r="AW703">
        <f>AND(IF(Metadata!K703="",FALSE,TRUE),OR(exact(Metadata!K703,"Animal"),exact(Metadata!K703,"Fungus"),exact(Metadata!K703,"Plant"),exact(Metadata!K703,"Saline"),exact(Metadata!K703,"Non-saline")))</f>
        <v>0</v>
      </c>
      <c r="AX703">
        <f>AND(IF(Metadata!L703="",FALSE,TRUE),OR(exact(Metadata!L703,"Plant secretion"),exact(Metadata!L703,"Plant rhizosphere"),exact(Metadata!L703,"Plant surface"),exact(Metadata!L703,"Plant corpus"),exact(Metadata!L703,"Fungus surface"),exact(Metadata!L703,"Fungus corpus"),exact(Metadata!L703,"Animal surface"),exact(Metadata!L703,"Animal proximal gut"),exact(Metadata!L703,"Animal corpus"),exact(Metadata!L703,"Animal distal gut"),exact(Metadata!L703,"Animal secretion"),exact(Metadata!L703,"Sub-surface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Y703">
        <f>IF(Metadata!M703="",FALSE,TRUE)</f>
        <v>0</v>
      </c>
      <c r="AZ703">
        <f>IF(Metadata!N703="",FALSE,TRUE)</f>
        <v>0</v>
      </c>
      <c r="BA703">
        <f>IF(Metadata!O703="",FALSE,TRUE)</f>
        <v>0</v>
      </c>
      <c r="BB703">
        <f>OR(AND(IF(Metadata!P703="",FALSE,TRUE),OR(exact(Metadata!P703,"not collected"),exact(Metadata!P703,"not provided"),exact(Metadata!P703,"restricted access"))),AND(IF(Metadata!P703="",FALSE,TRUE),OR(exact(Metadata!P703,"air"),exact(Metadata!P703,"built environment"),exact(Metadata!P703,"host-associated"),exact(Metadata!P703,"human-associated"),exact(Metadata!P703,"human-skin"),exact(Metadata!P703,"human-oral"),exact(Metadata!P703,"human-gut"),exact(Metadata!P703,"human-vaginal"),exact(Metadata!P703,"microbial mat/biofilm"),exact(Metadata!P703,"misc environment"),exact(Metadata!P703,"plant-associated"),exact(Metadata!P703,"sediment"),exact(Metadata!P703,"soil"),exact(Metadata!P703,"wastewater/sludge"),exact(Metadata!P703,"water"))))</f>
        <v>0</v>
      </c>
      <c r="BC703">
        <f>IF(Metadata!Q703="",FALSE,TRUE)</f>
        <v>0</v>
      </c>
      <c r="BD703">
        <f>IF(Metadata!R703="",FALSE,TRUE)</f>
        <v>0</v>
      </c>
      <c r="BE703">
        <f>OR(AND(IF(Metadata!S703="",FALSE,TRUE),OR(exact(Metadata!S703,"not collected"),exact(Metadata!S703,"not provided"),exact(Metadata!S703,"restricted access"))),AND(IF(Metadata!S703="",FALSE,ISNUMBER(VALUE(Metadata!S703))),Metadata!S703&gt;=-90.00,Metadata!S703&lt;=90.00))</f>
        <v>0</v>
      </c>
      <c r="BF703">
        <f>AND(IF(Metadata!T703="",FALSE,TRUE),exact(Metadata!T703,"Decimal degrees"))</f>
        <v>0</v>
      </c>
      <c r="BG703">
        <f>OR(AND(IF(Metadata!U703="",FALSE,TRUE),OR(exact(Metadata!U703,"not collected"),exact(Metadata!U703,"not provided"),exact(Metadata!U703,"restricted access"))),AND(IF(Metadata!U703="",FALSE,ISNUMBER(VALUE(Metadata!U703))),Metadata!U703&gt;=-180.00,Metadata!U703&lt;=180.00))</f>
        <v>0</v>
      </c>
      <c r="BH703">
        <f>AND(IF(Metadata!V703="",FALSE,TRUE),exact(Metadata!V703,"Decimal degrees"))</f>
        <v>0</v>
      </c>
      <c r="BI703">
        <f>IF(Metadata!W703="",FALSE,TRUE)</f>
        <v>0</v>
      </c>
      <c r="BJ703">
        <f>OR(AND(IF(Metadata!X703="",FALSE,TRUE),OR(exact(Metadata!X703,"not collected"),exact(Metadata!X703,"not provided"),exact(Metadata!X703,"restricted access"))),AND(IF(Metadata!X703="",FALSE,TRUE),OR(exact(Metadata!X703,"TRUE"),exact(Metadata!X703,"FALSE"))))</f>
        <v>0</v>
      </c>
      <c r="BK703">
        <f>AND(IF(Metadata!Y703="",FALSE,TRUE),exact(Metadata!Y703,"other"))</f>
        <v>0</v>
      </c>
      <c r="BL703">
        <f>IF(Metadata!Z703="",FALSE,TRUE)</f>
        <v>0</v>
      </c>
      <c r="BM703">
        <f>OR(AND(IF(Metadata!AA703="",FALSE,TRUE),OR(exact(Metadata!AA703,"not collected"),exact(Metadata!AA703,"not provided"))),AND(IF(Metadata!AA703="",FALSE,IF(ISERROR(INT(Metadata!AA703)),FALSE,INT(Metadata!AA703)=Metadata!AA703)),Metadata!AA703&gt;0))</f>
        <v>0</v>
      </c>
      <c r="BN703">
        <f>AND(IF(Metadata!AB703="",FALSE,TRUE),exact(Metadata!AB703,"Not applicable"))</f>
        <v>0</v>
      </c>
      <c r="BO703">
        <f>IF(Metadata!AC703="",FALSE,TRUE)</f>
        <v>0</v>
      </c>
    </row>
    <row r="704" spans="1:67">
      <c r="A704" s="5">
        <f>IF(B704=" "," ",HYPERLINK(CONCATENATE("#metadata!",ADDRESS(INDEX($AI$2:$AI$1001,MATCH(ROWS($AG$2:AG704),$AG$2:$AG$1001,0),0),1)),INDEX($AL$2:$AL$1001,MATCH(ROWS($AG$2:AG704),$AG$2:$AG$1001,0),0)))</f>
        <v>0</v>
      </c>
      <c r="B704" s="4">
        <f>IF(OR(INDEX($AH$2:$AH$1001,MATCH(ROWS($AG$2:AG704),$AG$2:$AG$1001,0),1)&gt;=100000,INDEX($AN$1005:$BO$1005,1,MATCH(COLUMNS($AN$1006:AN1006),$AN$1006:$BO$1006,0))&gt;=100000), " ",IF(INDEX($AN$2:$BO$1001,MATCH(ROWS($AG$2:AG704),$AG$2:$AG$1001,0),MATCH(COLUMNS($AN$1006:AN1006),$AN$1006:$BO$1006,0)), HYPERLINK("#",""), HYPERLINK(CONCATENATE("#Metadata!", ADDRESS(INDEX($AI$2:$AI$1001,MATCH(ROWS($AG$2:AG704),$AG$2:$AG$1001,0),0), INDEX($AN$1004:$BO$1004,1,MATCH(COLUMNS($AN$1006:AN1006),$AN$1006:$BO$1006,0)))),"Fix")))</f>
        <v>0</v>
      </c>
      <c r="C704" s="4">
        <f>IF(OR(INDEX($AH$2:$AH$1001,MATCH(ROWS($AG$2:AG704),$AG$2:$AG$1001,0),1)&gt;=100000,INDEX($AN$1005:$BO$1005,1,MATCH(COLUMNS($AN$1006:AO1006),$AN$1006:$BO$1006,0))&gt;=100000), " ",IF(INDEX($AN$2:$BO$1001,MATCH(ROWS($AG$2:AG704),$AG$2:$AG$1001,0),MATCH(COLUMNS($AN$1006:AO1006),$AN$1006:$BO$1006,0)), HYPERLINK("#",""), HYPERLINK(CONCATENATE("#Metadata!", ADDRESS(INDEX($AI$2:$AI$1001,MATCH(ROWS($AG$2:AG704),$AG$2:$AG$1001,0),0), INDEX($AN$1004:$BO$1004,1,MATCH(COLUMNS($AN$1006:AO1006),$AN$1006:$BO$1006,0)))),"Fix")))</f>
        <v>0</v>
      </c>
      <c r="D704" s="4">
        <f>IF(OR(INDEX($AH$2:$AH$1001,MATCH(ROWS($AG$2:AG704),$AG$2:$AG$1001,0),1)&gt;=100000,INDEX($AN$1005:$BO$1005,1,MATCH(COLUMNS($AN$1006:AP1006),$AN$1006:$BO$1006,0))&gt;=100000), " ",IF(INDEX($AN$2:$BO$1001,MATCH(ROWS($AG$2:AG704),$AG$2:$AG$1001,0),MATCH(COLUMNS($AN$1006:AP1006),$AN$1006:$BO$1006,0)), HYPERLINK("#",""), HYPERLINK(CONCATENATE("#Metadata!", ADDRESS(INDEX($AI$2:$AI$1001,MATCH(ROWS($AG$2:AG704),$AG$2:$AG$1001,0),0), INDEX($AN$1004:$BO$1004,1,MATCH(COLUMNS($AN$1006:AP1006),$AN$1006:$BO$1006,0)))),"Fix")))</f>
        <v>0</v>
      </c>
      <c r="E704" s="4">
        <f>IF(OR(INDEX($AH$2:$AH$1001,MATCH(ROWS($AG$2:AG704),$AG$2:$AG$1001,0),1)&gt;=100000,INDEX($AN$1005:$BO$1005,1,MATCH(COLUMNS($AN$1006:AQ1006),$AN$1006:$BO$1006,0))&gt;=100000), " ",IF(INDEX($AN$2:$BO$1001,MATCH(ROWS($AG$2:AG704),$AG$2:$AG$1001,0),MATCH(COLUMNS($AN$1006:AQ1006),$AN$1006:$BO$1006,0)), HYPERLINK("#",""), HYPERLINK(CONCATENATE("#Metadata!", ADDRESS(INDEX($AI$2:$AI$1001,MATCH(ROWS($AG$2:AG704),$AG$2:$AG$1001,0),0), INDEX($AN$1004:$BO$1004,1,MATCH(COLUMNS($AN$1006:AQ1006),$AN$1006:$BO$1006,0)))),"Fix")))</f>
        <v>0</v>
      </c>
      <c r="F704" s="4">
        <f>IF(OR(INDEX($AH$2:$AH$1001,MATCH(ROWS($AG$2:AG704),$AG$2:$AG$1001,0),1)&gt;=100000,INDEX($AN$1005:$BO$1005,1,MATCH(COLUMNS($AN$1006:AR1006),$AN$1006:$BO$1006,0))&gt;=100000), " ",IF(INDEX($AN$2:$BO$1001,MATCH(ROWS($AG$2:AG704),$AG$2:$AG$1001,0),MATCH(COLUMNS($AN$1006:AR1006),$AN$1006:$BO$1006,0)), HYPERLINK("#",""), HYPERLINK(CONCATENATE("#Metadata!", ADDRESS(INDEX($AI$2:$AI$1001,MATCH(ROWS($AG$2:AG704),$AG$2:$AG$1001,0),0), INDEX($AN$1004:$BO$1004,1,MATCH(COLUMNS($AN$1006:AR1006),$AN$1006:$BO$1006,0)))),"Fix")))</f>
        <v>0</v>
      </c>
      <c r="G704" s="4">
        <f>IF(OR(INDEX($AH$2:$AH$1001,MATCH(ROWS($AG$2:AG704),$AG$2:$AG$1001,0),1)&gt;=100000,INDEX($AN$1005:$BO$1005,1,MATCH(COLUMNS($AN$1006:AS1006),$AN$1006:$BO$1006,0))&gt;=100000), " ",IF(INDEX($AN$2:$BO$1001,MATCH(ROWS($AG$2:AG704),$AG$2:$AG$1001,0),MATCH(COLUMNS($AN$1006:AS1006),$AN$1006:$BO$1006,0)), HYPERLINK("#",""), HYPERLINK(CONCATENATE("#Metadata!", ADDRESS(INDEX($AI$2:$AI$1001,MATCH(ROWS($AG$2:AG704),$AG$2:$AG$1001,0),0), INDEX($AN$1004:$BO$1004,1,MATCH(COLUMNS($AN$1006:AS1006),$AN$1006:$BO$1006,0)))),"Fix")))</f>
        <v>0</v>
      </c>
      <c r="H704" s="4">
        <f>IF(OR(INDEX($AH$2:$AH$1001,MATCH(ROWS($AG$2:AG704),$AG$2:$AG$1001,0),1)&gt;=100000,INDEX($AN$1005:$BO$1005,1,MATCH(COLUMNS($AN$1006:AT1006),$AN$1006:$BO$1006,0))&gt;=100000), " ",IF(INDEX($AN$2:$BO$1001,MATCH(ROWS($AG$2:AG704),$AG$2:$AG$1001,0),MATCH(COLUMNS($AN$1006:AT1006),$AN$1006:$BO$1006,0)), HYPERLINK("#",""), HYPERLINK(CONCATENATE("#Metadata!", ADDRESS(INDEX($AI$2:$AI$1001,MATCH(ROWS($AG$2:AG704),$AG$2:$AG$1001,0),0), INDEX($AN$1004:$BO$1004,1,MATCH(COLUMNS($AN$1006:AT1006),$AN$1006:$BO$1006,0)))),"Fix")))</f>
        <v>0</v>
      </c>
      <c r="I704" s="4">
        <f>IF(OR(INDEX($AH$2:$AH$1001,MATCH(ROWS($AG$2:AG704),$AG$2:$AG$1001,0),1)&gt;=100000,INDEX($AN$1005:$BO$1005,1,MATCH(COLUMNS($AN$1006:AU1006),$AN$1006:$BO$1006,0))&gt;=100000), " ",IF(INDEX($AN$2:$BO$1001,MATCH(ROWS($AG$2:AG704),$AG$2:$AG$1001,0),MATCH(COLUMNS($AN$1006:AU1006),$AN$1006:$BO$1006,0)), HYPERLINK("#",""), HYPERLINK(CONCATENATE("#Metadata!", ADDRESS(INDEX($AI$2:$AI$1001,MATCH(ROWS($AG$2:AG704),$AG$2:$AG$1001,0),0), INDEX($AN$1004:$BO$1004,1,MATCH(COLUMNS($AN$1006:AU1006),$AN$1006:$BO$1006,0)))),"Fix")))</f>
        <v>0</v>
      </c>
      <c r="J704" s="4">
        <f>IF(OR(INDEX($AH$2:$AH$1001,MATCH(ROWS($AG$2:AG704),$AG$2:$AG$1001,0),1)&gt;=100000,INDEX($AN$1005:$BO$1005,1,MATCH(COLUMNS($AN$1006:AV1006),$AN$1006:$BO$1006,0))&gt;=100000), " ",IF(INDEX($AN$2:$BO$1001,MATCH(ROWS($AG$2:AG704),$AG$2:$AG$1001,0),MATCH(COLUMNS($AN$1006:AV1006),$AN$1006:$BO$1006,0)), HYPERLINK("#",""), HYPERLINK(CONCATENATE("#Metadata!", ADDRESS(INDEX($AI$2:$AI$1001,MATCH(ROWS($AG$2:AG704),$AG$2:$AG$1001,0),0), INDEX($AN$1004:$BO$1004,1,MATCH(COLUMNS($AN$1006:AV1006),$AN$1006:$BO$1006,0)))),"Fix")))</f>
        <v>0</v>
      </c>
      <c r="K704" s="4">
        <f>IF(OR(INDEX($AH$2:$AH$1001,MATCH(ROWS($AG$2:AG704),$AG$2:$AG$1001,0),1)&gt;=100000,INDEX($AN$1005:$BO$1005,1,MATCH(COLUMNS($AN$1006:AW1006),$AN$1006:$BO$1006,0))&gt;=100000), " ",IF(INDEX($AN$2:$BO$1001,MATCH(ROWS($AG$2:AG704),$AG$2:$AG$1001,0),MATCH(COLUMNS($AN$1006:AW1006),$AN$1006:$BO$1006,0)), HYPERLINK("#",""), HYPERLINK(CONCATENATE("#Metadata!", ADDRESS(INDEX($AI$2:$AI$1001,MATCH(ROWS($AG$2:AG704),$AG$2:$AG$1001,0),0), INDEX($AN$1004:$BO$1004,1,MATCH(COLUMNS($AN$1006:AW1006),$AN$1006:$BO$1006,0)))),"Fix")))</f>
        <v>0</v>
      </c>
      <c r="L704" s="4">
        <f>IF(OR(INDEX($AH$2:$AH$1001,MATCH(ROWS($AG$2:AG704),$AG$2:$AG$1001,0),1)&gt;=100000,INDEX($AN$1005:$BO$1005,1,MATCH(COLUMNS($AN$1006:AX1006),$AN$1006:$BO$1006,0))&gt;=100000), " ",IF(INDEX($AN$2:$BO$1001,MATCH(ROWS($AG$2:AG704),$AG$2:$AG$1001,0),MATCH(COLUMNS($AN$1006:AX1006),$AN$1006:$BO$1006,0)), HYPERLINK("#",""), HYPERLINK(CONCATENATE("#Metadata!", ADDRESS(INDEX($AI$2:$AI$1001,MATCH(ROWS($AG$2:AG704),$AG$2:$AG$1001,0),0), INDEX($AN$1004:$BO$1004,1,MATCH(COLUMNS($AN$1006:AX1006),$AN$1006:$BO$1006,0)))),"Fix")))</f>
        <v>0</v>
      </c>
      <c r="M704" s="4">
        <f>IF(OR(INDEX($AH$2:$AH$1001,MATCH(ROWS($AG$2:AG704),$AG$2:$AG$1001,0),1)&gt;=100000,INDEX($AN$1005:$BO$1005,1,MATCH(COLUMNS($AN$1006:AY1006),$AN$1006:$BO$1006,0))&gt;=100000), " ",IF(INDEX($AN$2:$BO$1001,MATCH(ROWS($AG$2:AG704),$AG$2:$AG$1001,0),MATCH(COLUMNS($AN$1006:AY1006),$AN$1006:$BO$1006,0)), HYPERLINK("#",""), HYPERLINK(CONCATENATE("#Metadata!", ADDRESS(INDEX($AI$2:$AI$1001,MATCH(ROWS($AG$2:AG704),$AG$2:$AG$1001,0),0), INDEX($AN$1004:$BO$1004,1,MATCH(COLUMNS($AN$1006:AY1006),$AN$1006:$BO$1006,0)))),"Fix")))</f>
        <v>0</v>
      </c>
      <c r="N704" s="4">
        <f>IF(OR(INDEX($AH$2:$AH$1001,MATCH(ROWS($AG$2:AG704),$AG$2:$AG$1001,0),1)&gt;=100000,INDEX($AN$1005:$BO$1005,1,MATCH(COLUMNS($AN$1006:AZ1006),$AN$1006:$BO$1006,0))&gt;=100000), " ",IF(INDEX($AN$2:$BO$1001,MATCH(ROWS($AG$2:AG704),$AG$2:$AG$1001,0),MATCH(COLUMNS($AN$1006:AZ1006),$AN$1006:$BO$1006,0)), HYPERLINK("#",""), HYPERLINK(CONCATENATE("#Metadata!", ADDRESS(INDEX($AI$2:$AI$1001,MATCH(ROWS($AG$2:AG704),$AG$2:$AG$1001,0),0), INDEX($AN$1004:$BO$1004,1,MATCH(COLUMNS($AN$1006:AZ1006),$AN$1006:$BO$1006,0)))),"Fix")))</f>
        <v>0</v>
      </c>
      <c r="O704" s="4">
        <f>IF(OR(INDEX($AH$2:$AH$1001,MATCH(ROWS($AG$2:AG704),$AG$2:$AG$1001,0),1)&gt;=100000,INDEX($AN$1005:$BO$1005,1,MATCH(COLUMNS($AN$1006:BA1006),$AN$1006:$BO$1006,0))&gt;=100000), " ",IF(INDEX($AN$2:$BO$1001,MATCH(ROWS($AG$2:AG704),$AG$2:$AG$1001,0),MATCH(COLUMNS($AN$1006:BA1006),$AN$1006:$BO$1006,0)), HYPERLINK("#",""), HYPERLINK(CONCATENATE("#Metadata!", ADDRESS(INDEX($AI$2:$AI$1001,MATCH(ROWS($AG$2:AG704),$AG$2:$AG$1001,0),0), INDEX($AN$1004:$BO$1004,1,MATCH(COLUMNS($AN$1006:BA1006),$AN$1006:$BO$1006,0)))),"Fix")))</f>
        <v>0</v>
      </c>
      <c r="P704" s="4">
        <f>IF(OR(INDEX($AH$2:$AH$1001,MATCH(ROWS($AG$2:AG704),$AG$2:$AG$1001,0),1)&gt;=100000,INDEX($AN$1005:$BO$1005,1,MATCH(COLUMNS($AN$1006:BB1006),$AN$1006:$BO$1006,0))&gt;=100000), " ",IF(INDEX($AN$2:$BO$1001,MATCH(ROWS($AG$2:AG704),$AG$2:$AG$1001,0),MATCH(COLUMNS($AN$1006:BB1006),$AN$1006:$BO$1006,0)), HYPERLINK("#",""), HYPERLINK(CONCATENATE("#Metadata!", ADDRESS(INDEX($AI$2:$AI$1001,MATCH(ROWS($AG$2:AG704),$AG$2:$AG$1001,0),0), INDEX($AN$1004:$BO$1004,1,MATCH(COLUMNS($AN$1006:BB1006),$AN$1006:$BO$1006,0)))),"Fix")))</f>
        <v>0</v>
      </c>
      <c r="Q704" s="4">
        <f>IF(OR(INDEX($AH$2:$AH$1001,MATCH(ROWS($AG$2:AG704),$AG$2:$AG$1001,0),1)&gt;=100000,INDEX($AN$1005:$BO$1005,1,MATCH(COLUMNS($AN$1006:BC1006),$AN$1006:$BO$1006,0))&gt;=100000), " ",IF(INDEX($AN$2:$BO$1001,MATCH(ROWS($AG$2:AG704),$AG$2:$AG$1001,0),MATCH(COLUMNS($AN$1006:BC1006),$AN$1006:$BO$1006,0)), HYPERLINK("#",""), HYPERLINK(CONCATENATE("#Metadata!", ADDRESS(INDEX($AI$2:$AI$1001,MATCH(ROWS($AG$2:AG704),$AG$2:$AG$1001,0),0), INDEX($AN$1004:$BO$1004,1,MATCH(COLUMNS($AN$1006:BC1006),$AN$1006:$BO$1006,0)))),"Fix")))</f>
        <v>0</v>
      </c>
      <c r="R704" s="4">
        <f>IF(OR(INDEX($AH$2:$AH$1001,MATCH(ROWS($AG$2:AG704),$AG$2:$AG$1001,0),1)&gt;=100000,INDEX($AN$1005:$BO$1005,1,MATCH(COLUMNS($AN$1006:BD1006),$AN$1006:$BO$1006,0))&gt;=100000), " ",IF(INDEX($AN$2:$BO$1001,MATCH(ROWS($AG$2:AG704),$AG$2:$AG$1001,0),MATCH(COLUMNS($AN$1006:BD1006),$AN$1006:$BO$1006,0)), HYPERLINK("#",""), HYPERLINK(CONCATENATE("#Metadata!", ADDRESS(INDEX($AI$2:$AI$1001,MATCH(ROWS($AG$2:AG704),$AG$2:$AG$1001,0),0), INDEX($AN$1004:$BO$1004,1,MATCH(COLUMNS($AN$1006:BD1006),$AN$1006:$BO$1006,0)))),"Fix")))</f>
        <v>0</v>
      </c>
      <c r="S704" s="4">
        <f>IF(OR(INDEX($AH$2:$AH$1001,MATCH(ROWS($AG$2:AG704),$AG$2:$AG$1001,0),1)&gt;=100000,INDEX($AN$1005:$BO$1005,1,MATCH(COLUMNS($AN$1006:BE1006),$AN$1006:$BO$1006,0))&gt;=100000), " ",IF(INDEX($AN$2:$BO$1001,MATCH(ROWS($AG$2:AG704),$AG$2:$AG$1001,0),MATCH(COLUMNS($AN$1006:BE1006),$AN$1006:$BO$1006,0)), HYPERLINK("#",""), HYPERLINK(CONCATENATE("#Metadata!", ADDRESS(INDEX($AI$2:$AI$1001,MATCH(ROWS($AG$2:AG704),$AG$2:$AG$1001,0),0), INDEX($AN$1004:$BO$1004,1,MATCH(COLUMNS($AN$1006:BE1006),$AN$1006:$BO$1006,0)))),"Fix")))</f>
        <v>0</v>
      </c>
      <c r="T704" s="4">
        <f>IF(OR(INDEX($AH$2:$AH$1001,MATCH(ROWS($AG$2:AG704),$AG$2:$AG$1001,0),1)&gt;=100000,INDEX($AN$1005:$BO$1005,1,MATCH(COLUMNS($AN$1006:BF1006),$AN$1006:$BO$1006,0))&gt;=100000), " ",IF(INDEX($AN$2:$BO$1001,MATCH(ROWS($AG$2:AG704),$AG$2:$AG$1001,0),MATCH(COLUMNS($AN$1006:BF1006),$AN$1006:$BO$1006,0)), HYPERLINK("#",""), HYPERLINK(CONCATENATE("#Metadata!", ADDRESS(INDEX($AI$2:$AI$1001,MATCH(ROWS($AG$2:AG704),$AG$2:$AG$1001,0),0), INDEX($AN$1004:$BO$1004,1,MATCH(COLUMNS($AN$1006:BF1006),$AN$1006:$BO$1006,0)))),"Fix")))</f>
        <v>0</v>
      </c>
      <c r="U704" s="4">
        <f>IF(OR(INDEX($AH$2:$AH$1001,MATCH(ROWS($AG$2:AG704),$AG$2:$AG$1001,0),1)&gt;=100000,INDEX($AN$1005:$BO$1005,1,MATCH(COLUMNS($AN$1006:BG1006),$AN$1006:$BO$1006,0))&gt;=100000), " ",IF(INDEX($AN$2:$BO$1001,MATCH(ROWS($AG$2:AG704),$AG$2:$AG$1001,0),MATCH(COLUMNS($AN$1006:BG1006),$AN$1006:$BO$1006,0)), HYPERLINK("#",""), HYPERLINK(CONCATENATE("#Metadata!", ADDRESS(INDEX($AI$2:$AI$1001,MATCH(ROWS($AG$2:AG704),$AG$2:$AG$1001,0),0), INDEX($AN$1004:$BO$1004,1,MATCH(COLUMNS($AN$1006:BG1006),$AN$1006:$BO$1006,0)))),"Fix")))</f>
        <v>0</v>
      </c>
      <c r="V704" s="4">
        <f>IF(OR(INDEX($AH$2:$AH$1001,MATCH(ROWS($AG$2:AG704),$AG$2:$AG$1001,0),1)&gt;=100000,INDEX($AN$1005:$BO$1005,1,MATCH(COLUMNS($AN$1006:BH1006),$AN$1006:$BO$1006,0))&gt;=100000), " ",IF(INDEX($AN$2:$BO$1001,MATCH(ROWS($AG$2:AG704),$AG$2:$AG$1001,0),MATCH(COLUMNS($AN$1006:BH1006),$AN$1006:$BO$1006,0)), HYPERLINK("#",""), HYPERLINK(CONCATENATE("#Metadata!", ADDRESS(INDEX($AI$2:$AI$1001,MATCH(ROWS($AG$2:AG704),$AG$2:$AG$1001,0),0), INDEX($AN$1004:$BO$1004,1,MATCH(COLUMNS($AN$1006:BH1006),$AN$1006:$BO$1006,0)))),"Fix")))</f>
        <v>0</v>
      </c>
      <c r="W704" s="4">
        <f>IF(OR(INDEX($AH$2:$AH$1001,MATCH(ROWS($AG$2:AG704),$AG$2:$AG$1001,0),1)&gt;=100000,INDEX($AN$1005:$BO$1005,1,MATCH(COLUMNS($AN$1006:BI1006),$AN$1006:$BO$1006,0))&gt;=100000), " ",IF(INDEX($AN$2:$BO$1001,MATCH(ROWS($AG$2:AG704),$AG$2:$AG$1001,0),MATCH(COLUMNS($AN$1006:BI1006),$AN$1006:$BO$1006,0)), HYPERLINK("#",""), HYPERLINK(CONCATENATE("#Metadata!", ADDRESS(INDEX($AI$2:$AI$1001,MATCH(ROWS($AG$2:AG704),$AG$2:$AG$1001,0),0), INDEX($AN$1004:$BO$1004,1,MATCH(COLUMNS($AN$1006:BI1006),$AN$1006:$BO$1006,0)))),"Fix")))</f>
        <v>0</v>
      </c>
      <c r="X704" s="4">
        <f>IF(OR(INDEX($AH$2:$AH$1001,MATCH(ROWS($AG$2:AG704),$AG$2:$AG$1001,0),1)&gt;=100000,INDEX($AN$1005:$BO$1005,1,MATCH(COLUMNS($AN$1006:BJ1006),$AN$1006:$BO$1006,0))&gt;=100000), " ",IF(INDEX($AN$2:$BO$1001,MATCH(ROWS($AG$2:AG704),$AG$2:$AG$1001,0),MATCH(COLUMNS($AN$1006:BJ1006),$AN$1006:$BO$1006,0)), HYPERLINK("#",""), HYPERLINK(CONCATENATE("#Metadata!", ADDRESS(INDEX($AI$2:$AI$1001,MATCH(ROWS($AG$2:AG704),$AG$2:$AG$1001,0),0), INDEX($AN$1004:$BO$1004,1,MATCH(COLUMNS($AN$1006:BJ1006),$AN$1006:$BO$1006,0)))),"Fix")))</f>
        <v>0</v>
      </c>
      <c r="Y704" s="4">
        <f>IF(OR(INDEX($AH$2:$AH$1001,MATCH(ROWS($AG$2:AG704),$AG$2:$AG$1001,0),1)&gt;=100000,INDEX($AN$1005:$BO$1005,1,MATCH(COLUMNS($AN$1006:BK1006),$AN$1006:$BO$1006,0))&gt;=100000), " ",IF(INDEX($AN$2:$BO$1001,MATCH(ROWS($AG$2:AG704),$AG$2:$AG$1001,0),MATCH(COLUMNS($AN$1006:BK1006),$AN$1006:$BO$1006,0)), HYPERLINK("#",""), HYPERLINK(CONCATENATE("#Metadata!", ADDRESS(INDEX($AI$2:$AI$1001,MATCH(ROWS($AG$2:AG704),$AG$2:$AG$1001,0),0), INDEX($AN$1004:$BO$1004,1,MATCH(COLUMNS($AN$1006:BK1006),$AN$1006:$BO$1006,0)))),"Fix")))</f>
        <v>0</v>
      </c>
      <c r="Z704" s="4">
        <f>IF(OR(INDEX($AH$2:$AH$1001,MATCH(ROWS($AG$2:AG704),$AG$2:$AG$1001,0),1)&gt;=100000,INDEX($AN$1005:$BO$1005,1,MATCH(COLUMNS($AN$1006:BL1006),$AN$1006:$BO$1006,0))&gt;=100000), " ",IF(INDEX($AN$2:$BO$1001,MATCH(ROWS($AG$2:AG704),$AG$2:$AG$1001,0),MATCH(COLUMNS($AN$1006:BL1006),$AN$1006:$BO$1006,0)), HYPERLINK("#",""), HYPERLINK(CONCATENATE("#Metadata!", ADDRESS(INDEX($AI$2:$AI$1001,MATCH(ROWS($AG$2:AG704),$AG$2:$AG$1001,0),0), INDEX($AN$1004:$BO$1004,1,MATCH(COLUMNS($AN$1006:BL1006),$AN$1006:$BO$1006,0)))),"Fix")))</f>
        <v>0</v>
      </c>
      <c r="AA704" s="4">
        <f>IF(OR(INDEX($AH$2:$AH$1001,MATCH(ROWS($AG$2:AG704),$AG$2:$AG$1001,0),1)&gt;=100000,INDEX($AN$1005:$BO$1005,1,MATCH(COLUMNS($AN$1006:BM1006),$AN$1006:$BO$1006,0))&gt;=100000), " ",IF(INDEX($AN$2:$BO$1001,MATCH(ROWS($AG$2:AG704),$AG$2:$AG$1001,0),MATCH(COLUMNS($AN$1006:BM1006),$AN$1006:$BO$1006,0)), HYPERLINK("#",""), HYPERLINK(CONCATENATE("#Metadata!", ADDRESS(INDEX($AI$2:$AI$1001,MATCH(ROWS($AG$2:AG704),$AG$2:$AG$1001,0),0), INDEX($AN$1004:$BO$1004,1,MATCH(COLUMNS($AN$1006:BM1006),$AN$1006:$BO$1006,0)))),"Fix")))</f>
        <v>0</v>
      </c>
      <c r="AB704" s="4">
        <f>IF(OR(INDEX($AH$2:$AH$1001,MATCH(ROWS($AG$2:AG704),$AG$2:$AG$1001,0),1)&gt;=100000,INDEX($AN$1005:$BO$1005,1,MATCH(COLUMNS($AN$1006:BN1006),$AN$1006:$BO$1006,0))&gt;=100000), " ",IF(INDEX($AN$2:$BO$1001,MATCH(ROWS($AG$2:AG704),$AG$2:$AG$1001,0),MATCH(COLUMNS($AN$1006:BN1006),$AN$1006:$BO$1006,0)), HYPERLINK("#",""), HYPERLINK(CONCATENATE("#Metadata!", ADDRESS(INDEX($AI$2:$AI$1001,MATCH(ROWS($AG$2:AG704),$AG$2:$AG$1001,0),0), INDEX($AN$1004:$BO$1004,1,MATCH(COLUMNS($AN$1006:BN1006),$AN$1006:$BO$1006,0)))),"Fix")))</f>
        <v>0</v>
      </c>
      <c r="AC704" s="4">
        <f>IF(OR(INDEX($AH$2:$AH$1001,MATCH(ROWS($AG$2:AG704),$AG$2:$AG$1001,0),1)&gt;=100000,INDEX($AN$1005:$BO$1005,1,MATCH(COLUMNS($AN$1006:BO1006),$AN$1006:$BO$1006,0))&gt;=100000), " ",IF(INDEX($AN$2:$BO$1001,MATCH(ROWS($AG$2:AG704),$AG$2:$AG$1001,0),MATCH(COLUMNS($AN$1006:BO1006),$AN$1006:$BO$1006,0)), HYPERLINK("#",""), HYPERLINK(CONCATENATE("#Metadata!", ADDRESS(INDEX($AI$2:$AI$1001,MATCH(ROWS($AG$2:AG704),$AG$2:$AG$1001,0),0), INDEX($AN$1004:$BO$1004,1,MATCH(COLUMNS($AN$1006:BO1006),$AN$1006:$BO$1006,0)))),"Fix")))</f>
        <v>0</v>
      </c>
      <c r="AG704">
        <v>0</v>
      </c>
      <c r="AH704">
        <v>0</v>
      </c>
      <c r="AI704">
        <v>0</v>
      </c>
      <c r="AJ704">
        <f>IF(AK704,TRUE,AND(AN704:BO704))</f>
        <v>0</v>
      </c>
      <c r="AK704">
        <f>COUNTBLANK(Metadata!B704:AC704)=COLUMNS(Metadata!B704:AC704)</f>
        <v>0</v>
      </c>
      <c r="AL704">
        <v>0</v>
      </c>
      <c r="AN704">
        <f>AND(IF(Metadata!B704="",FALSE,TRUE),COUNTIF(Metadata!B:B, Metadata!B704) = 1,NOT(ISERROR(SUMPRODUCT(SEARCH(MID(Metadata!B704,ROW(INDIRECT("1:"&amp;LEN(Metadata!B704))), 1),"0123456789abcdefghijklmnopqrstuvwxyzABCDEFGHIJKLMNOPQRSTUVWXYZ.")))))</f>
        <v>0</v>
      </c>
      <c r="AO704">
        <f>IF(Metadata!C704="",FALSE,TRUE)</f>
        <v>0</v>
      </c>
      <c r="AP704">
        <f>IF(Metadata!D704="",FALSE,TRUE)</f>
        <v>0</v>
      </c>
      <c r="AQ704">
        <f>OR(AND(IF(Metadata!E704="",FALSE,TRUE),OR(exact(Metadata!E704,"not collected"),exact(Metadata!E704,"not provided"),exact(Metadata!E704,"restricted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R704">
        <f>IF(Metadata!F704="",FALSE,TRUE)</f>
        <v>0</v>
      </c>
      <c r="AS704">
        <f>OR(AND(IF(Metadata!G704="",FALSE,TRUE),OR(exact(Metadata!G704,"not collected"),exact(Metadata!G704,"not provided"))),AND(IF(Metadata!G704="",FALSE,TRUE),OR(exact(Metadata!G704,"TRUE"),exact(Metadata!G704,"FALSE"))))</f>
        <v>0</v>
      </c>
      <c r="AT704">
        <f>OR(AND(IF(Metadata!H704="",FALSE,TRUE),OR(exact(Metadata!H704,"not collected"),exact(Metadata!H704,"not provided"),exact(Metadata!H704,"restricted access"))),AND(IF(Metadata!H704="",FALSE,ISNUMBER(VALUE(Metadata!H704))),Metadata!H704&gt;=-413.0))</f>
        <v>0</v>
      </c>
      <c r="AU704">
        <f>AND(IF(Metadata!I704="",FALSE,TRUE),exact(Metadata!I704,"meters"))</f>
        <v>0</v>
      </c>
      <c r="AV704">
        <f>AND(IF(Metadata!J704="",FALSE,TRUE),OR(exact(Metadata!J704,"Host-associated"),exact(Metadata!J704,"Free-living")))</f>
        <v>0</v>
      </c>
      <c r="AW704">
        <f>AND(IF(Metadata!K704="",FALSE,TRUE),OR(exact(Metadata!K704,"Animal"),exact(Metadata!K704,"Fungus"),exact(Metadata!K704,"Plant"),exact(Metadata!K704,"Saline"),exact(Metadata!K704,"Non-saline")))</f>
        <v>0</v>
      </c>
      <c r="AX704">
        <f>AND(IF(Metadata!L704="",FALSE,TRUE),OR(exact(Metadata!L704,"Plant secretion"),exact(Metadata!L704,"Plant rhizosphere"),exact(Metadata!L704,"Plant surface"),exact(Metadata!L704,"Plant corpus"),exact(Metadata!L704,"Fungus surface"),exact(Metadata!L704,"Fungus corpus"),exact(Metadata!L704,"Animal surface"),exact(Metadata!L704,"Animal proximal gut"),exact(Metadata!L704,"Animal corpus"),exact(Metadata!L704,"Animal distal gut"),exact(Metadata!L704,"Animal secretion"),exact(Metadata!L704,"Sub-surface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Y704">
        <f>IF(Metadata!M704="",FALSE,TRUE)</f>
        <v>0</v>
      </c>
      <c r="AZ704">
        <f>IF(Metadata!N704="",FALSE,TRUE)</f>
        <v>0</v>
      </c>
      <c r="BA704">
        <f>IF(Metadata!O704="",FALSE,TRUE)</f>
        <v>0</v>
      </c>
      <c r="BB704">
        <f>OR(AND(IF(Metadata!P704="",FALSE,TRUE),OR(exact(Metadata!P704,"not collected"),exact(Metadata!P704,"not provided"),exact(Metadata!P704,"restricted access"))),AND(IF(Metadata!P704="",FALSE,TRUE),OR(exact(Metadata!P704,"air"),exact(Metadata!P704,"built environment"),exact(Metadata!P704,"host-associated"),exact(Metadata!P704,"human-associated"),exact(Metadata!P704,"human-skin"),exact(Metadata!P704,"human-oral"),exact(Metadata!P704,"human-gut"),exact(Metadata!P704,"human-vaginal"),exact(Metadata!P704,"microbial mat/biofilm"),exact(Metadata!P704,"misc environment"),exact(Metadata!P704,"plant-associated"),exact(Metadata!P704,"sediment"),exact(Metadata!P704,"soil"),exact(Metadata!P704,"wastewater/sludge"),exact(Metadata!P704,"water"))))</f>
        <v>0</v>
      </c>
      <c r="BC704">
        <f>IF(Metadata!Q704="",FALSE,TRUE)</f>
        <v>0</v>
      </c>
      <c r="BD704">
        <f>IF(Metadata!R704="",FALSE,TRUE)</f>
        <v>0</v>
      </c>
      <c r="BE704">
        <f>OR(AND(IF(Metadata!S704="",FALSE,TRUE),OR(exact(Metadata!S704,"not collected"),exact(Metadata!S704,"not provided"),exact(Metadata!S704,"restricted access"))),AND(IF(Metadata!S704="",FALSE,ISNUMBER(VALUE(Metadata!S704))),Metadata!S704&gt;=-90.00,Metadata!S704&lt;=90.00))</f>
        <v>0</v>
      </c>
      <c r="BF704">
        <f>AND(IF(Metadata!T704="",FALSE,TRUE),exact(Metadata!T704,"Decimal degrees"))</f>
        <v>0</v>
      </c>
      <c r="BG704">
        <f>OR(AND(IF(Metadata!U704="",FALSE,TRUE),OR(exact(Metadata!U704,"not collected"),exact(Metadata!U704,"not provided"),exact(Metadata!U704,"restricted access"))),AND(IF(Metadata!U704="",FALSE,ISNUMBER(VALUE(Metadata!U704))),Metadata!U704&gt;=-180.00,Metadata!U704&lt;=180.00))</f>
        <v>0</v>
      </c>
      <c r="BH704">
        <f>AND(IF(Metadata!V704="",FALSE,TRUE),exact(Metadata!V704,"Decimal degrees"))</f>
        <v>0</v>
      </c>
      <c r="BI704">
        <f>IF(Metadata!W704="",FALSE,TRUE)</f>
        <v>0</v>
      </c>
      <c r="BJ704">
        <f>OR(AND(IF(Metadata!X704="",FALSE,TRUE),OR(exact(Metadata!X704,"not collected"),exact(Metadata!X704,"not provided"),exact(Metadata!X704,"restricted access"))),AND(IF(Metadata!X704="",FALSE,TRUE),OR(exact(Metadata!X704,"TRUE"),exact(Metadata!X704,"FALSE"))))</f>
        <v>0</v>
      </c>
      <c r="BK704">
        <f>AND(IF(Metadata!Y704="",FALSE,TRUE),exact(Metadata!Y704,"other"))</f>
        <v>0</v>
      </c>
      <c r="BL704">
        <f>IF(Metadata!Z704="",FALSE,TRUE)</f>
        <v>0</v>
      </c>
      <c r="BM704">
        <f>OR(AND(IF(Metadata!AA704="",FALSE,TRUE),OR(exact(Metadata!AA704,"not collected"),exact(Metadata!AA704,"not provided"))),AND(IF(Metadata!AA704="",FALSE,IF(ISERROR(INT(Metadata!AA704)),FALSE,INT(Metadata!AA704)=Metadata!AA704)),Metadata!AA704&gt;0))</f>
        <v>0</v>
      </c>
      <c r="BN704">
        <f>AND(IF(Metadata!AB704="",FALSE,TRUE),exact(Metadata!AB704,"Not applicable"))</f>
        <v>0</v>
      </c>
      <c r="BO704">
        <f>IF(Metadata!AC704="",FALSE,TRUE)</f>
        <v>0</v>
      </c>
    </row>
    <row r="705" spans="1:67">
      <c r="A705" s="5">
        <f>IF(B705=" "," ",HYPERLINK(CONCATENATE("#metadata!",ADDRESS(INDEX($AI$2:$AI$1001,MATCH(ROWS($AG$2:AG705),$AG$2:$AG$1001,0),0),1)),INDEX($AL$2:$AL$1001,MATCH(ROWS($AG$2:AG705),$AG$2:$AG$1001,0),0)))</f>
        <v>0</v>
      </c>
      <c r="B705" s="4">
        <f>IF(OR(INDEX($AH$2:$AH$1001,MATCH(ROWS($AG$2:AG705),$AG$2:$AG$1001,0),1)&gt;=100000,INDEX($AN$1005:$BO$1005,1,MATCH(COLUMNS($AN$1006:AN1006),$AN$1006:$BO$1006,0))&gt;=100000), " ",IF(INDEX($AN$2:$BO$1001,MATCH(ROWS($AG$2:AG705),$AG$2:$AG$1001,0),MATCH(COLUMNS($AN$1006:AN1006),$AN$1006:$BO$1006,0)), HYPERLINK("#",""), HYPERLINK(CONCATENATE("#Metadata!", ADDRESS(INDEX($AI$2:$AI$1001,MATCH(ROWS($AG$2:AG705),$AG$2:$AG$1001,0),0), INDEX($AN$1004:$BO$1004,1,MATCH(COLUMNS($AN$1006:AN1006),$AN$1006:$BO$1006,0)))),"Fix")))</f>
        <v>0</v>
      </c>
      <c r="C705" s="4">
        <f>IF(OR(INDEX($AH$2:$AH$1001,MATCH(ROWS($AG$2:AG705),$AG$2:$AG$1001,0),1)&gt;=100000,INDEX($AN$1005:$BO$1005,1,MATCH(COLUMNS($AN$1006:AO1006),$AN$1006:$BO$1006,0))&gt;=100000), " ",IF(INDEX($AN$2:$BO$1001,MATCH(ROWS($AG$2:AG705),$AG$2:$AG$1001,0),MATCH(COLUMNS($AN$1006:AO1006),$AN$1006:$BO$1006,0)), HYPERLINK("#",""), HYPERLINK(CONCATENATE("#Metadata!", ADDRESS(INDEX($AI$2:$AI$1001,MATCH(ROWS($AG$2:AG705),$AG$2:$AG$1001,0),0), INDEX($AN$1004:$BO$1004,1,MATCH(COLUMNS($AN$1006:AO1006),$AN$1006:$BO$1006,0)))),"Fix")))</f>
        <v>0</v>
      </c>
      <c r="D705" s="4">
        <f>IF(OR(INDEX($AH$2:$AH$1001,MATCH(ROWS($AG$2:AG705),$AG$2:$AG$1001,0),1)&gt;=100000,INDEX($AN$1005:$BO$1005,1,MATCH(COLUMNS($AN$1006:AP1006),$AN$1006:$BO$1006,0))&gt;=100000), " ",IF(INDEX($AN$2:$BO$1001,MATCH(ROWS($AG$2:AG705),$AG$2:$AG$1001,0),MATCH(COLUMNS($AN$1006:AP1006),$AN$1006:$BO$1006,0)), HYPERLINK("#",""), HYPERLINK(CONCATENATE("#Metadata!", ADDRESS(INDEX($AI$2:$AI$1001,MATCH(ROWS($AG$2:AG705),$AG$2:$AG$1001,0),0), INDEX($AN$1004:$BO$1004,1,MATCH(COLUMNS($AN$1006:AP1006),$AN$1006:$BO$1006,0)))),"Fix")))</f>
        <v>0</v>
      </c>
      <c r="E705" s="4">
        <f>IF(OR(INDEX($AH$2:$AH$1001,MATCH(ROWS($AG$2:AG705),$AG$2:$AG$1001,0),1)&gt;=100000,INDEX($AN$1005:$BO$1005,1,MATCH(COLUMNS($AN$1006:AQ1006),$AN$1006:$BO$1006,0))&gt;=100000), " ",IF(INDEX($AN$2:$BO$1001,MATCH(ROWS($AG$2:AG705),$AG$2:$AG$1001,0),MATCH(COLUMNS($AN$1006:AQ1006),$AN$1006:$BO$1006,0)), HYPERLINK("#",""), HYPERLINK(CONCATENATE("#Metadata!", ADDRESS(INDEX($AI$2:$AI$1001,MATCH(ROWS($AG$2:AG705),$AG$2:$AG$1001,0),0), INDEX($AN$1004:$BO$1004,1,MATCH(COLUMNS($AN$1006:AQ1006),$AN$1006:$BO$1006,0)))),"Fix")))</f>
        <v>0</v>
      </c>
      <c r="F705" s="4">
        <f>IF(OR(INDEX($AH$2:$AH$1001,MATCH(ROWS($AG$2:AG705),$AG$2:$AG$1001,0),1)&gt;=100000,INDEX($AN$1005:$BO$1005,1,MATCH(COLUMNS($AN$1006:AR1006),$AN$1006:$BO$1006,0))&gt;=100000), " ",IF(INDEX($AN$2:$BO$1001,MATCH(ROWS($AG$2:AG705),$AG$2:$AG$1001,0),MATCH(COLUMNS($AN$1006:AR1006),$AN$1006:$BO$1006,0)), HYPERLINK("#",""), HYPERLINK(CONCATENATE("#Metadata!", ADDRESS(INDEX($AI$2:$AI$1001,MATCH(ROWS($AG$2:AG705),$AG$2:$AG$1001,0),0), INDEX($AN$1004:$BO$1004,1,MATCH(COLUMNS($AN$1006:AR1006),$AN$1006:$BO$1006,0)))),"Fix")))</f>
        <v>0</v>
      </c>
      <c r="G705" s="4">
        <f>IF(OR(INDEX($AH$2:$AH$1001,MATCH(ROWS($AG$2:AG705),$AG$2:$AG$1001,0),1)&gt;=100000,INDEX($AN$1005:$BO$1005,1,MATCH(COLUMNS($AN$1006:AS1006),$AN$1006:$BO$1006,0))&gt;=100000), " ",IF(INDEX($AN$2:$BO$1001,MATCH(ROWS($AG$2:AG705),$AG$2:$AG$1001,0),MATCH(COLUMNS($AN$1006:AS1006),$AN$1006:$BO$1006,0)), HYPERLINK("#",""), HYPERLINK(CONCATENATE("#Metadata!", ADDRESS(INDEX($AI$2:$AI$1001,MATCH(ROWS($AG$2:AG705),$AG$2:$AG$1001,0),0), INDEX($AN$1004:$BO$1004,1,MATCH(COLUMNS($AN$1006:AS1006),$AN$1006:$BO$1006,0)))),"Fix")))</f>
        <v>0</v>
      </c>
      <c r="H705" s="4">
        <f>IF(OR(INDEX($AH$2:$AH$1001,MATCH(ROWS($AG$2:AG705),$AG$2:$AG$1001,0),1)&gt;=100000,INDEX($AN$1005:$BO$1005,1,MATCH(COLUMNS($AN$1006:AT1006),$AN$1006:$BO$1006,0))&gt;=100000), " ",IF(INDEX($AN$2:$BO$1001,MATCH(ROWS($AG$2:AG705),$AG$2:$AG$1001,0),MATCH(COLUMNS($AN$1006:AT1006),$AN$1006:$BO$1006,0)), HYPERLINK("#",""), HYPERLINK(CONCATENATE("#Metadata!", ADDRESS(INDEX($AI$2:$AI$1001,MATCH(ROWS($AG$2:AG705),$AG$2:$AG$1001,0),0), INDEX($AN$1004:$BO$1004,1,MATCH(COLUMNS($AN$1006:AT1006),$AN$1006:$BO$1006,0)))),"Fix")))</f>
        <v>0</v>
      </c>
      <c r="I705" s="4">
        <f>IF(OR(INDEX($AH$2:$AH$1001,MATCH(ROWS($AG$2:AG705),$AG$2:$AG$1001,0),1)&gt;=100000,INDEX($AN$1005:$BO$1005,1,MATCH(COLUMNS($AN$1006:AU1006),$AN$1006:$BO$1006,0))&gt;=100000), " ",IF(INDEX($AN$2:$BO$1001,MATCH(ROWS($AG$2:AG705),$AG$2:$AG$1001,0),MATCH(COLUMNS($AN$1006:AU1006),$AN$1006:$BO$1006,0)), HYPERLINK("#",""), HYPERLINK(CONCATENATE("#Metadata!", ADDRESS(INDEX($AI$2:$AI$1001,MATCH(ROWS($AG$2:AG705),$AG$2:$AG$1001,0),0), INDEX($AN$1004:$BO$1004,1,MATCH(COLUMNS($AN$1006:AU1006),$AN$1006:$BO$1006,0)))),"Fix")))</f>
        <v>0</v>
      </c>
      <c r="J705" s="4">
        <f>IF(OR(INDEX($AH$2:$AH$1001,MATCH(ROWS($AG$2:AG705),$AG$2:$AG$1001,0),1)&gt;=100000,INDEX($AN$1005:$BO$1005,1,MATCH(COLUMNS($AN$1006:AV1006),$AN$1006:$BO$1006,0))&gt;=100000), " ",IF(INDEX($AN$2:$BO$1001,MATCH(ROWS($AG$2:AG705),$AG$2:$AG$1001,0),MATCH(COLUMNS($AN$1006:AV1006),$AN$1006:$BO$1006,0)), HYPERLINK("#",""), HYPERLINK(CONCATENATE("#Metadata!", ADDRESS(INDEX($AI$2:$AI$1001,MATCH(ROWS($AG$2:AG705),$AG$2:$AG$1001,0),0), INDEX($AN$1004:$BO$1004,1,MATCH(COLUMNS($AN$1006:AV1006),$AN$1006:$BO$1006,0)))),"Fix")))</f>
        <v>0</v>
      </c>
      <c r="K705" s="4">
        <f>IF(OR(INDEX($AH$2:$AH$1001,MATCH(ROWS($AG$2:AG705),$AG$2:$AG$1001,0),1)&gt;=100000,INDEX($AN$1005:$BO$1005,1,MATCH(COLUMNS($AN$1006:AW1006),$AN$1006:$BO$1006,0))&gt;=100000), " ",IF(INDEX($AN$2:$BO$1001,MATCH(ROWS($AG$2:AG705),$AG$2:$AG$1001,0),MATCH(COLUMNS($AN$1006:AW1006),$AN$1006:$BO$1006,0)), HYPERLINK("#",""), HYPERLINK(CONCATENATE("#Metadata!", ADDRESS(INDEX($AI$2:$AI$1001,MATCH(ROWS($AG$2:AG705),$AG$2:$AG$1001,0),0), INDEX($AN$1004:$BO$1004,1,MATCH(COLUMNS($AN$1006:AW1006),$AN$1006:$BO$1006,0)))),"Fix")))</f>
        <v>0</v>
      </c>
      <c r="L705" s="4">
        <f>IF(OR(INDEX($AH$2:$AH$1001,MATCH(ROWS($AG$2:AG705),$AG$2:$AG$1001,0),1)&gt;=100000,INDEX($AN$1005:$BO$1005,1,MATCH(COLUMNS($AN$1006:AX1006),$AN$1006:$BO$1006,0))&gt;=100000), " ",IF(INDEX($AN$2:$BO$1001,MATCH(ROWS($AG$2:AG705),$AG$2:$AG$1001,0),MATCH(COLUMNS($AN$1006:AX1006),$AN$1006:$BO$1006,0)), HYPERLINK("#",""), HYPERLINK(CONCATENATE("#Metadata!", ADDRESS(INDEX($AI$2:$AI$1001,MATCH(ROWS($AG$2:AG705),$AG$2:$AG$1001,0),0), INDEX($AN$1004:$BO$1004,1,MATCH(COLUMNS($AN$1006:AX1006),$AN$1006:$BO$1006,0)))),"Fix")))</f>
        <v>0</v>
      </c>
      <c r="M705" s="4">
        <f>IF(OR(INDEX($AH$2:$AH$1001,MATCH(ROWS($AG$2:AG705),$AG$2:$AG$1001,0),1)&gt;=100000,INDEX($AN$1005:$BO$1005,1,MATCH(COLUMNS($AN$1006:AY1006),$AN$1006:$BO$1006,0))&gt;=100000), " ",IF(INDEX($AN$2:$BO$1001,MATCH(ROWS($AG$2:AG705),$AG$2:$AG$1001,0),MATCH(COLUMNS($AN$1006:AY1006),$AN$1006:$BO$1006,0)), HYPERLINK("#",""), HYPERLINK(CONCATENATE("#Metadata!", ADDRESS(INDEX($AI$2:$AI$1001,MATCH(ROWS($AG$2:AG705),$AG$2:$AG$1001,0),0), INDEX($AN$1004:$BO$1004,1,MATCH(COLUMNS($AN$1006:AY1006),$AN$1006:$BO$1006,0)))),"Fix")))</f>
        <v>0</v>
      </c>
      <c r="N705" s="4">
        <f>IF(OR(INDEX($AH$2:$AH$1001,MATCH(ROWS($AG$2:AG705),$AG$2:$AG$1001,0),1)&gt;=100000,INDEX($AN$1005:$BO$1005,1,MATCH(COLUMNS($AN$1006:AZ1006),$AN$1006:$BO$1006,0))&gt;=100000), " ",IF(INDEX($AN$2:$BO$1001,MATCH(ROWS($AG$2:AG705),$AG$2:$AG$1001,0),MATCH(COLUMNS($AN$1006:AZ1006),$AN$1006:$BO$1006,0)), HYPERLINK("#",""), HYPERLINK(CONCATENATE("#Metadata!", ADDRESS(INDEX($AI$2:$AI$1001,MATCH(ROWS($AG$2:AG705),$AG$2:$AG$1001,0),0), INDEX($AN$1004:$BO$1004,1,MATCH(COLUMNS($AN$1006:AZ1006),$AN$1006:$BO$1006,0)))),"Fix")))</f>
        <v>0</v>
      </c>
      <c r="O705" s="4">
        <f>IF(OR(INDEX($AH$2:$AH$1001,MATCH(ROWS($AG$2:AG705),$AG$2:$AG$1001,0),1)&gt;=100000,INDEX($AN$1005:$BO$1005,1,MATCH(COLUMNS($AN$1006:BA1006),$AN$1006:$BO$1006,0))&gt;=100000), " ",IF(INDEX($AN$2:$BO$1001,MATCH(ROWS($AG$2:AG705),$AG$2:$AG$1001,0),MATCH(COLUMNS($AN$1006:BA1006),$AN$1006:$BO$1006,0)), HYPERLINK("#",""), HYPERLINK(CONCATENATE("#Metadata!", ADDRESS(INDEX($AI$2:$AI$1001,MATCH(ROWS($AG$2:AG705),$AG$2:$AG$1001,0),0), INDEX($AN$1004:$BO$1004,1,MATCH(COLUMNS($AN$1006:BA1006),$AN$1006:$BO$1006,0)))),"Fix")))</f>
        <v>0</v>
      </c>
      <c r="P705" s="4">
        <f>IF(OR(INDEX($AH$2:$AH$1001,MATCH(ROWS($AG$2:AG705),$AG$2:$AG$1001,0),1)&gt;=100000,INDEX($AN$1005:$BO$1005,1,MATCH(COLUMNS($AN$1006:BB1006),$AN$1006:$BO$1006,0))&gt;=100000), " ",IF(INDEX($AN$2:$BO$1001,MATCH(ROWS($AG$2:AG705),$AG$2:$AG$1001,0),MATCH(COLUMNS($AN$1006:BB1006),$AN$1006:$BO$1006,0)), HYPERLINK("#",""), HYPERLINK(CONCATENATE("#Metadata!", ADDRESS(INDEX($AI$2:$AI$1001,MATCH(ROWS($AG$2:AG705),$AG$2:$AG$1001,0),0), INDEX($AN$1004:$BO$1004,1,MATCH(COLUMNS($AN$1006:BB1006),$AN$1006:$BO$1006,0)))),"Fix")))</f>
        <v>0</v>
      </c>
      <c r="Q705" s="4">
        <f>IF(OR(INDEX($AH$2:$AH$1001,MATCH(ROWS($AG$2:AG705),$AG$2:$AG$1001,0),1)&gt;=100000,INDEX($AN$1005:$BO$1005,1,MATCH(COLUMNS($AN$1006:BC1006),$AN$1006:$BO$1006,0))&gt;=100000), " ",IF(INDEX($AN$2:$BO$1001,MATCH(ROWS($AG$2:AG705),$AG$2:$AG$1001,0),MATCH(COLUMNS($AN$1006:BC1006),$AN$1006:$BO$1006,0)), HYPERLINK("#",""), HYPERLINK(CONCATENATE("#Metadata!", ADDRESS(INDEX($AI$2:$AI$1001,MATCH(ROWS($AG$2:AG705),$AG$2:$AG$1001,0),0), INDEX($AN$1004:$BO$1004,1,MATCH(COLUMNS($AN$1006:BC1006),$AN$1006:$BO$1006,0)))),"Fix")))</f>
        <v>0</v>
      </c>
      <c r="R705" s="4">
        <f>IF(OR(INDEX($AH$2:$AH$1001,MATCH(ROWS($AG$2:AG705),$AG$2:$AG$1001,0),1)&gt;=100000,INDEX($AN$1005:$BO$1005,1,MATCH(COLUMNS($AN$1006:BD1006),$AN$1006:$BO$1006,0))&gt;=100000), " ",IF(INDEX($AN$2:$BO$1001,MATCH(ROWS($AG$2:AG705),$AG$2:$AG$1001,0),MATCH(COLUMNS($AN$1006:BD1006),$AN$1006:$BO$1006,0)), HYPERLINK("#",""), HYPERLINK(CONCATENATE("#Metadata!", ADDRESS(INDEX($AI$2:$AI$1001,MATCH(ROWS($AG$2:AG705),$AG$2:$AG$1001,0),0), INDEX($AN$1004:$BO$1004,1,MATCH(COLUMNS($AN$1006:BD1006),$AN$1006:$BO$1006,0)))),"Fix")))</f>
        <v>0</v>
      </c>
      <c r="S705" s="4">
        <f>IF(OR(INDEX($AH$2:$AH$1001,MATCH(ROWS($AG$2:AG705),$AG$2:$AG$1001,0),1)&gt;=100000,INDEX($AN$1005:$BO$1005,1,MATCH(COLUMNS($AN$1006:BE1006),$AN$1006:$BO$1006,0))&gt;=100000), " ",IF(INDEX($AN$2:$BO$1001,MATCH(ROWS($AG$2:AG705),$AG$2:$AG$1001,0),MATCH(COLUMNS($AN$1006:BE1006),$AN$1006:$BO$1006,0)), HYPERLINK("#",""), HYPERLINK(CONCATENATE("#Metadata!", ADDRESS(INDEX($AI$2:$AI$1001,MATCH(ROWS($AG$2:AG705),$AG$2:$AG$1001,0),0), INDEX($AN$1004:$BO$1004,1,MATCH(COLUMNS($AN$1006:BE1006),$AN$1006:$BO$1006,0)))),"Fix")))</f>
        <v>0</v>
      </c>
      <c r="T705" s="4">
        <f>IF(OR(INDEX($AH$2:$AH$1001,MATCH(ROWS($AG$2:AG705),$AG$2:$AG$1001,0),1)&gt;=100000,INDEX($AN$1005:$BO$1005,1,MATCH(COLUMNS($AN$1006:BF1006),$AN$1006:$BO$1006,0))&gt;=100000), " ",IF(INDEX($AN$2:$BO$1001,MATCH(ROWS($AG$2:AG705),$AG$2:$AG$1001,0),MATCH(COLUMNS($AN$1006:BF1006),$AN$1006:$BO$1006,0)), HYPERLINK("#",""), HYPERLINK(CONCATENATE("#Metadata!", ADDRESS(INDEX($AI$2:$AI$1001,MATCH(ROWS($AG$2:AG705),$AG$2:$AG$1001,0),0), INDEX($AN$1004:$BO$1004,1,MATCH(COLUMNS($AN$1006:BF1006),$AN$1006:$BO$1006,0)))),"Fix")))</f>
        <v>0</v>
      </c>
      <c r="U705" s="4">
        <f>IF(OR(INDEX($AH$2:$AH$1001,MATCH(ROWS($AG$2:AG705),$AG$2:$AG$1001,0),1)&gt;=100000,INDEX($AN$1005:$BO$1005,1,MATCH(COLUMNS($AN$1006:BG1006),$AN$1006:$BO$1006,0))&gt;=100000), " ",IF(INDEX($AN$2:$BO$1001,MATCH(ROWS($AG$2:AG705),$AG$2:$AG$1001,0),MATCH(COLUMNS($AN$1006:BG1006),$AN$1006:$BO$1006,0)), HYPERLINK("#",""), HYPERLINK(CONCATENATE("#Metadata!", ADDRESS(INDEX($AI$2:$AI$1001,MATCH(ROWS($AG$2:AG705),$AG$2:$AG$1001,0),0), INDEX($AN$1004:$BO$1004,1,MATCH(COLUMNS($AN$1006:BG1006),$AN$1006:$BO$1006,0)))),"Fix")))</f>
        <v>0</v>
      </c>
      <c r="V705" s="4">
        <f>IF(OR(INDEX($AH$2:$AH$1001,MATCH(ROWS($AG$2:AG705),$AG$2:$AG$1001,0),1)&gt;=100000,INDEX($AN$1005:$BO$1005,1,MATCH(COLUMNS($AN$1006:BH1006),$AN$1006:$BO$1006,0))&gt;=100000), " ",IF(INDEX($AN$2:$BO$1001,MATCH(ROWS($AG$2:AG705),$AG$2:$AG$1001,0),MATCH(COLUMNS($AN$1006:BH1006),$AN$1006:$BO$1006,0)), HYPERLINK("#",""), HYPERLINK(CONCATENATE("#Metadata!", ADDRESS(INDEX($AI$2:$AI$1001,MATCH(ROWS($AG$2:AG705),$AG$2:$AG$1001,0),0), INDEX($AN$1004:$BO$1004,1,MATCH(COLUMNS($AN$1006:BH1006),$AN$1006:$BO$1006,0)))),"Fix")))</f>
        <v>0</v>
      </c>
      <c r="W705" s="4">
        <f>IF(OR(INDEX($AH$2:$AH$1001,MATCH(ROWS($AG$2:AG705),$AG$2:$AG$1001,0),1)&gt;=100000,INDEX($AN$1005:$BO$1005,1,MATCH(COLUMNS($AN$1006:BI1006),$AN$1006:$BO$1006,0))&gt;=100000), " ",IF(INDEX($AN$2:$BO$1001,MATCH(ROWS($AG$2:AG705),$AG$2:$AG$1001,0),MATCH(COLUMNS($AN$1006:BI1006),$AN$1006:$BO$1006,0)), HYPERLINK("#",""), HYPERLINK(CONCATENATE("#Metadata!", ADDRESS(INDEX($AI$2:$AI$1001,MATCH(ROWS($AG$2:AG705),$AG$2:$AG$1001,0),0), INDEX($AN$1004:$BO$1004,1,MATCH(COLUMNS($AN$1006:BI1006),$AN$1006:$BO$1006,0)))),"Fix")))</f>
        <v>0</v>
      </c>
      <c r="X705" s="4">
        <f>IF(OR(INDEX($AH$2:$AH$1001,MATCH(ROWS($AG$2:AG705),$AG$2:$AG$1001,0),1)&gt;=100000,INDEX($AN$1005:$BO$1005,1,MATCH(COLUMNS($AN$1006:BJ1006),$AN$1006:$BO$1006,0))&gt;=100000), " ",IF(INDEX($AN$2:$BO$1001,MATCH(ROWS($AG$2:AG705),$AG$2:$AG$1001,0),MATCH(COLUMNS($AN$1006:BJ1006),$AN$1006:$BO$1006,0)), HYPERLINK("#",""), HYPERLINK(CONCATENATE("#Metadata!", ADDRESS(INDEX($AI$2:$AI$1001,MATCH(ROWS($AG$2:AG705),$AG$2:$AG$1001,0),0), INDEX($AN$1004:$BO$1004,1,MATCH(COLUMNS($AN$1006:BJ1006),$AN$1006:$BO$1006,0)))),"Fix")))</f>
        <v>0</v>
      </c>
      <c r="Y705" s="4">
        <f>IF(OR(INDEX($AH$2:$AH$1001,MATCH(ROWS($AG$2:AG705),$AG$2:$AG$1001,0),1)&gt;=100000,INDEX($AN$1005:$BO$1005,1,MATCH(COLUMNS($AN$1006:BK1006),$AN$1006:$BO$1006,0))&gt;=100000), " ",IF(INDEX($AN$2:$BO$1001,MATCH(ROWS($AG$2:AG705),$AG$2:$AG$1001,0),MATCH(COLUMNS($AN$1006:BK1006),$AN$1006:$BO$1006,0)), HYPERLINK("#",""), HYPERLINK(CONCATENATE("#Metadata!", ADDRESS(INDEX($AI$2:$AI$1001,MATCH(ROWS($AG$2:AG705),$AG$2:$AG$1001,0),0), INDEX($AN$1004:$BO$1004,1,MATCH(COLUMNS($AN$1006:BK1006),$AN$1006:$BO$1006,0)))),"Fix")))</f>
        <v>0</v>
      </c>
      <c r="Z705" s="4">
        <f>IF(OR(INDEX($AH$2:$AH$1001,MATCH(ROWS($AG$2:AG705),$AG$2:$AG$1001,0),1)&gt;=100000,INDEX($AN$1005:$BO$1005,1,MATCH(COLUMNS($AN$1006:BL1006),$AN$1006:$BO$1006,0))&gt;=100000), " ",IF(INDEX($AN$2:$BO$1001,MATCH(ROWS($AG$2:AG705),$AG$2:$AG$1001,0),MATCH(COLUMNS($AN$1006:BL1006),$AN$1006:$BO$1006,0)), HYPERLINK("#",""), HYPERLINK(CONCATENATE("#Metadata!", ADDRESS(INDEX($AI$2:$AI$1001,MATCH(ROWS($AG$2:AG705),$AG$2:$AG$1001,0),0), INDEX($AN$1004:$BO$1004,1,MATCH(COLUMNS($AN$1006:BL1006),$AN$1006:$BO$1006,0)))),"Fix")))</f>
        <v>0</v>
      </c>
      <c r="AA705" s="4">
        <f>IF(OR(INDEX($AH$2:$AH$1001,MATCH(ROWS($AG$2:AG705),$AG$2:$AG$1001,0),1)&gt;=100000,INDEX($AN$1005:$BO$1005,1,MATCH(COLUMNS($AN$1006:BM1006),$AN$1006:$BO$1006,0))&gt;=100000), " ",IF(INDEX($AN$2:$BO$1001,MATCH(ROWS($AG$2:AG705),$AG$2:$AG$1001,0),MATCH(COLUMNS($AN$1006:BM1006),$AN$1006:$BO$1006,0)), HYPERLINK("#",""), HYPERLINK(CONCATENATE("#Metadata!", ADDRESS(INDEX($AI$2:$AI$1001,MATCH(ROWS($AG$2:AG705),$AG$2:$AG$1001,0),0), INDEX($AN$1004:$BO$1004,1,MATCH(COLUMNS($AN$1006:BM1006),$AN$1006:$BO$1006,0)))),"Fix")))</f>
        <v>0</v>
      </c>
      <c r="AB705" s="4">
        <f>IF(OR(INDEX($AH$2:$AH$1001,MATCH(ROWS($AG$2:AG705),$AG$2:$AG$1001,0),1)&gt;=100000,INDEX($AN$1005:$BO$1005,1,MATCH(COLUMNS($AN$1006:BN1006),$AN$1006:$BO$1006,0))&gt;=100000), " ",IF(INDEX($AN$2:$BO$1001,MATCH(ROWS($AG$2:AG705),$AG$2:$AG$1001,0),MATCH(COLUMNS($AN$1006:BN1006),$AN$1006:$BO$1006,0)), HYPERLINK("#",""), HYPERLINK(CONCATENATE("#Metadata!", ADDRESS(INDEX($AI$2:$AI$1001,MATCH(ROWS($AG$2:AG705),$AG$2:$AG$1001,0),0), INDEX($AN$1004:$BO$1004,1,MATCH(COLUMNS($AN$1006:BN1006),$AN$1006:$BO$1006,0)))),"Fix")))</f>
        <v>0</v>
      </c>
      <c r="AC705" s="4">
        <f>IF(OR(INDEX($AH$2:$AH$1001,MATCH(ROWS($AG$2:AG705),$AG$2:$AG$1001,0),1)&gt;=100000,INDEX($AN$1005:$BO$1005,1,MATCH(COLUMNS($AN$1006:BO1006),$AN$1006:$BO$1006,0))&gt;=100000), " ",IF(INDEX($AN$2:$BO$1001,MATCH(ROWS($AG$2:AG705),$AG$2:$AG$1001,0),MATCH(COLUMNS($AN$1006:BO1006),$AN$1006:$BO$1006,0)), HYPERLINK("#",""), HYPERLINK(CONCATENATE("#Metadata!", ADDRESS(INDEX($AI$2:$AI$1001,MATCH(ROWS($AG$2:AG705),$AG$2:$AG$1001,0),0), INDEX($AN$1004:$BO$1004,1,MATCH(COLUMNS($AN$1006:BO1006),$AN$1006:$BO$1006,0)))),"Fix")))</f>
        <v>0</v>
      </c>
      <c r="AG705">
        <v>0</v>
      </c>
      <c r="AH705">
        <v>0</v>
      </c>
      <c r="AI705">
        <v>0</v>
      </c>
      <c r="AJ705">
        <f>IF(AK705,TRUE,AND(AN705:BO705))</f>
        <v>0</v>
      </c>
      <c r="AK705">
        <f>COUNTBLANK(Metadata!B705:AC705)=COLUMNS(Metadata!B705:AC705)</f>
        <v>0</v>
      </c>
      <c r="AL705">
        <v>0</v>
      </c>
      <c r="AN705">
        <f>AND(IF(Metadata!B705="",FALSE,TRUE),COUNTIF(Metadata!B:B, Metadata!B705) = 1,NOT(ISERROR(SUMPRODUCT(SEARCH(MID(Metadata!B705,ROW(INDIRECT("1:"&amp;LEN(Metadata!B705))), 1),"0123456789abcdefghijklmnopqrstuvwxyzABCDEFGHIJKLMNOPQRSTUVWXYZ.")))))</f>
        <v>0</v>
      </c>
      <c r="AO705">
        <f>IF(Metadata!C705="",FALSE,TRUE)</f>
        <v>0</v>
      </c>
      <c r="AP705">
        <f>IF(Metadata!D705="",FALSE,TRUE)</f>
        <v>0</v>
      </c>
      <c r="AQ705">
        <f>OR(AND(IF(Metadata!E705="",FALSE,TRUE),OR(exact(Metadata!E705,"not collected"),exact(Metadata!E705,"not provided"),exact(Metadata!E705,"restricted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R705">
        <f>IF(Metadata!F705="",FALSE,TRUE)</f>
        <v>0</v>
      </c>
      <c r="AS705">
        <f>OR(AND(IF(Metadata!G705="",FALSE,TRUE),OR(exact(Metadata!G705,"not collected"),exact(Metadata!G705,"not provided"))),AND(IF(Metadata!G705="",FALSE,TRUE),OR(exact(Metadata!G705,"TRUE"),exact(Metadata!G705,"FALSE"))))</f>
        <v>0</v>
      </c>
      <c r="AT705">
        <f>OR(AND(IF(Metadata!H705="",FALSE,TRUE),OR(exact(Metadata!H705,"not collected"),exact(Metadata!H705,"not provided"),exact(Metadata!H705,"restricted access"))),AND(IF(Metadata!H705="",FALSE,ISNUMBER(VALUE(Metadata!H705))),Metadata!H705&gt;=-413.0))</f>
        <v>0</v>
      </c>
      <c r="AU705">
        <f>AND(IF(Metadata!I705="",FALSE,TRUE),exact(Metadata!I705,"meters"))</f>
        <v>0</v>
      </c>
      <c r="AV705">
        <f>AND(IF(Metadata!J705="",FALSE,TRUE),OR(exact(Metadata!J705,"Host-associated"),exact(Metadata!J705,"Free-living")))</f>
        <v>0</v>
      </c>
      <c r="AW705">
        <f>AND(IF(Metadata!K705="",FALSE,TRUE),OR(exact(Metadata!K705,"Animal"),exact(Metadata!K705,"Fungus"),exact(Metadata!K705,"Plant"),exact(Metadata!K705,"Saline"),exact(Metadata!K705,"Non-saline")))</f>
        <v>0</v>
      </c>
      <c r="AX705">
        <f>AND(IF(Metadata!L705="",FALSE,TRUE),OR(exact(Metadata!L705,"Plant secretion"),exact(Metadata!L705,"Plant rhizosphere"),exact(Metadata!L705,"Plant surface"),exact(Metadata!L705,"Plant corpus"),exact(Metadata!L705,"Fungus surface"),exact(Metadata!L705,"Fungus corpus"),exact(Metadata!L705,"Animal surface"),exact(Metadata!L705,"Animal proximal gut"),exact(Metadata!L705,"Animal corpus"),exact(Metadata!L705,"Animal distal gut"),exact(Metadata!L705,"Animal secretion"),exact(Metadata!L705,"Sub-surface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Y705">
        <f>IF(Metadata!M705="",FALSE,TRUE)</f>
        <v>0</v>
      </c>
      <c r="AZ705">
        <f>IF(Metadata!N705="",FALSE,TRUE)</f>
        <v>0</v>
      </c>
      <c r="BA705">
        <f>IF(Metadata!O705="",FALSE,TRUE)</f>
        <v>0</v>
      </c>
      <c r="BB705">
        <f>OR(AND(IF(Metadata!P705="",FALSE,TRUE),OR(exact(Metadata!P705,"not collected"),exact(Metadata!P705,"not provided"),exact(Metadata!P705,"restricted access"))),AND(IF(Metadata!P705="",FALSE,TRUE),OR(exact(Metadata!P705,"air"),exact(Metadata!P705,"built environment"),exact(Metadata!P705,"host-associated"),exact(Metadata!P705,"human-associated"),exact(Metadata!P705,"human-skin"),exact(Metadata!P705,"human-oral"),exact(Metadata!P705,"human-gut"),exact(Metadata!P705,"human-vaginal"),exact(Metadata!P705,"microbial mat/biofilm"),exact(Metadata!P705,"misc environment"),exact(Metadata!P705,"plant-associated"),exact(Metadata!P705,"sediment"),exact(Metadata!P705,"soil"),exact(Metadata!P705,"wastewater/sludge"),exact(Metadata!P705,"water"))))</f>
        <v>0</v>
      </c>
      <c r="BC705">
        <f>IF(Metadata!Q705="",FALSE,TRUE)</f>
        <v>0</v>
      </c>
      <c r="BD705">
        <f>IF(Metadata!R705="",FALSE,TRUE)</f>
        <v>0</v>
      </c>
      <c r="BE705">
        <f>OR(AND(IF(Metadata!S705="",FALSE,TRUE),OR(exact(Metadata!S705,"not collected"),exact(Metadata!S705,"not provided"),exact(Metadata!S705,"restricted access"))),AND(IF(Metadata!S705="",FALSE,ISNUMBER(VALUE(Metadata!S705))),Metadata!S705&gt;=-90.00,Metadata!S705&lt;=90.00))</f>
        <v>0</v>
      </c>
      <c r="BF705">
        <f>AND(IF(Metadata!T705="",FALSE,TRUE),exact(Metadata!T705,"Decimal degrees"))</f>
        <v>0</v>
      </c>
      <c r="BG705">
        <f>OR(AND(IF(Metadata!U705="",FALSE,TRUE),OR(exact(Metadata!U705,"not collected"),exact(Metadata!U705,"not provided"),exact(Metadata!U705,"restricted access"))),AND(IF(Metadata!U705="",FALSE,ISNUMBER(VALUE(Metadata!U705))),Metadata!U705&gt;=-180.00,Metadata!U705&lt;=180.00))</f>
        <v>0</v>
      </c>
      <c r="BH705">
        <f>AND(IF(Metadata!V705="",FALSE,TRUE),exact(Metadata!V705,"Decimal degrees"))</f>
        <v>0</v>
      </c>
      <c r="BI705">
        <f>IF(Metadata!W705="",FALSE,TRUE)</f>
        <v>0</v>
      </c>
      <c r="BJ705">
        <f>OR(AND(IF(Metadata!X705="",FALSE,TRUE),OR(exact(Metadata!X705,"not collected"),exact(Metadata!X705,"not provided"),exact(Metadata!X705,"restricted access"))),AND(IF(Metadata!X705="",FALSE,TRUE),OR(exact(Metadata!X705,"TRUE"),exact(Metadata!X705,"FALSE"))))</f>
        <v>0</v>
      </c>
      <c r="BK705">
        <f>AND(IF(Metadata!Y705="",FALSE,TRUE),exact(Metadata!Y705,"other"))</f>
        <v>0</v>
      </c>
      <c r="BL705">
        <f>IF(Metadata!Z705="",FALSE,TRUE)</f>
        <v>0</v>
      </c>
      <c r="BM705">
        <f>OR(AND(IF(Metadata!AA705="",FALSE,TRUE),OR(exact(Metadata!AA705,"not collected"),exact(Metadata!AA705,"not provided"))),AND(IF(Metadata!AA705="",FALSE,IF(ISERROR(INT(Metadata!AA705)),FALSE,INT(Metadata!AA705)=Metadata!AA705)),Metadata!AA705&gt;0))</f>
        <v>0</v>
      </c>
      <c r="BN705">
        <f>AND(IF(Metadata!AB705="",FALSE,TRUE),exact(Metadata!AB705,"Not applicable"))</f>
        <v>0</v>
      </c>
      <c r="BO705">
        <f>IF(Metadata!AC705="",FALSE,TRUE)</f>
        <v>0</v>
      </c>
    </row>
    <row r="706" spans="1:67">
      <c r="A706" s="5">
        <f>IF(B706=" "," ",HYPERLINK(CONCATENATE("#metadata!",ADDRESS(INDEX($AI$2:$AI$1001,MATCH(ROWS($AG$2:AG706),$AG$2:$AG$1001,0),0),1)),INDEX($AL$2:$AL$1001,MATCH(ROWS($AG$2:AG706),$AG$2:$AG$1001,0),0)))</f>
        <v>0</v>
      </c>
      <c r="B706" s="4">
        <f>IF(OR(INDEX($AH$2:$AH$1001,MATCH(ROWS($AG$2:AG706),$AG$2:$AG$1001,0),1)&gt;=100000,INDEX($AN$1005:$BO$1005,1,MATCH(COLUMNS($AN$1006:AN1006),$AN$1006:$BO$1006,0))&gt;=100000), " ",IF(INDEX($AN$2:$BO$1001,MATCH(ROWS($AG$2:AG706),$AG$2:$AG$1001,0),MATCH(COLUMNS($AN$1006:AN1006),$AN$1006:$BO$1006,0)), HYPERLINK("#",""), HYPERLINK(CONCATENATE("#Metadata!", ADDRESS(INDEX($AI$2:$AI$1001,MATCH(ROWS($AG$2:AG706),$AG$2:$AG$1001,0),0), INDEX($AN$1004:$BO$1004,1,MATCH(COLUMNS($AN$1006:AN1006),$AN$1006:$BO$1006,0)))),"Fix")))</f>
        <v>0</v>
      </c>
      <c r="C706" s="4">
        <f>IF(OR(INDEX($AH$2:$AH$1001,MATCH(ROWS($AG$2:AG706),$AG$2:$AG$1001,0),1)&gt;=100000,INDEX($AN$1005:$BO$1005,1,MATCH(COLUMNS($AN$1006:AO1006),$AN$1006:$BO$1006,0))&gt;=100000), " ",IF(INDEX($AN$2:$BO$1001,MATCH(ROWS($AG$2:AG706),$AG$2:$AG$1001,0),MATCH(COLUMNS($AN$1006:AO1006),$AN$1006:$BO$1006,0)), HYPERLINK("#",""), HYPERLINK(CONCATENATE("#Metadata!", ADDRESS(INDEX($AI$2:$AI$1001,MATCH(ROWS($AG$2:AG706),$AG$2:$AG$1001,0),0), INDEX($AN$1004:$BO$1004,1,MATCH(COLUMNS($AN$1006:AO1006),$AN$1006:$BO$1006,0)))),"Fix")))</f>
        <v>0</v>
      </c>
      <c r="D706" s="4">
        <f>IF(OR(INDEX($AH$2:$AH$1001,MATCH(ROWS($AG$2:AG706),$AG$2:$AG$1001,0),1)&gt;=100000,INDEX($AN$1005:$BO$1005,1,MATCH(COLUMNS($AN$1006:AP1006),$AN$1006:$BO$1006,0))&gt;=100000), " ",IF(INDEX($AN$2:$BO$1001,MATCH(ROWS($AG$2:AG706),$AG$2:$AG$1001,0),MATCH(COLUMNS($AN$1006:AP1006),$AN$1006:$BO$1006,0)), HYPERLINK("#",""), HYPERLINK(CONCATENATE("#Metadata!", ADDRESS(INDEX($AI$2:$AI$1001,MATCH(ROWS($AG$2:AG706),$AG$2:$AG$1001,0),0), INDEX($AN$1004:$BO$1004,1,MATCH(COLUMNS($AN$1006:AP1006),$AN$1006:$BO$1006,0)))),"Fix")))</f>
        <v>0</v>
      </c>
      <c r="E706" s="4">
        <f>IF(OR(INDEX($AH$2:$AH$1001,MATCH(ROWS($AG$2:AG706),$AG$2:$AG$1001,0),1)&gt;=100000,INDEX($AN$1005:$BO$1005,1,MATCH(COLUMNS($AN$1006:AQ1006),$AN$1006:$BO$1006,0))&gt;=100000), " ",IF(INDEX($AN$2:$BO$1001,MATCH(ROWS($AG$2:AG706),$AG$2:$AG$1001,0),MATCH(COLUMNS($AN$1006:AQ1006),$AN$1006:$BO$1006,0)), HYPERLINK("#",""), HYPERLINK(CONCATENATE("#Metadata!", ADDRESS(INDEX($AI$2:$AI$1001,MATCH(ROWS($AG$2:AG706),$AG$2:$AG$1001,0),0), INDEX($AN$1004:$BO$1004,1,MATCH(COLUMNS($AN$1006:AQ1006),$AN$1006:$BO$1006,0)))),"Fix")))</f>
        <v>0</v>
      </c>
      <c r="F706" s="4">
        <f>IF(OR(INDEX($AH$2:$AH$1001,MATCH(ROWS($AG$2:AG706),$AG$2:$AG$1001,0),1)&gt;=100000,INDEX($AN$1005:$BO$1005,1,MATCH(COLUMNS($AN$1006:AR1006),$AN$1006:$BO$1006,0))&gt;=100000), " ",IF(INDEX($AN$2:$BO$1001,MATCH(ROWS($AG$2:AG706),$AG$2:$AG$1001,0),MATCH(COLUMNS($AN$1006:AR1006),$AN$1006:$BO$1006,0)), HYPERLINK("#",""), HYPERLINK(CONCATENATE("#Metadata!", ADDRESS(INDEX($AI$2:$AI$1001,MATCH(ROWS($AG$2:AG706),$AG$2:$AG$1001,0),0), INDEX($AN$1004:$BO$1004,1,MATCH(COLUMNS($AN$1006:AR1006),$AN$1006:$BO$1006,0)))),"Fix")))</f>
        <v>0</v>
      </c>
      <c r="G706" s="4">
        <f>IF(OR(INDEX($AH$2:$AH$1001,MATCH(ROWS($AG$2:AG706),$AG$2:$AG$1001,0),1)&gt;=100000,INDEX($AN$1005:$BO$1005,1,MATCH(COLUMNS($AN$1006:AS1006),$AN$1006:$BO$1006,0))&gt;=100000), " ",IF(INDEX($AN$2:$BO$1001,MATCH(ROWS($AG$2:AG706),$AG$2:$AG$1001,0),MATCH(COLUMNS($AN$1006:AS1006),$AN$1006:$BO$1006,0)), HYPERLINK("#",""), HYPERLINK(CONCATENATE("#Metadata!", ADDRESS(INDEX($AI$2:$AI$1001,MATCH(ROWS($AG$2:AG706),$AG$2:$AG$1001,0),0), INDEX($AN$1004:$BO$1004,1,MATCH(COLUMNS($AN$1006:AS1006),$AN$1006:$BO$1006,0)))),"Fix")))</f>
        <v>0</v>
      </c>
      <c r="H706" s="4">
        <f>IF(OR(INDEX($AH$2:$AH$1001,MATCH(ROWS($AG$2:AG706),$AG$2:$AG$1001,0),1)&gt;=100000,INDEX($AN$1005:$BO$1005,1,MATCH(COLUMNS($AN$1006:AT1006),$AN$1006:$BO$1006,0))&gt;=100000), " ",IF(INDEX($AN$2:$BO$1001,MATCH(ROWS($AG$2:AG706),$AG$2:$AG$1001,0),MATCH(COLUMNS($AN$1006:AT1006),$AN$1006:$BO$1006,0)), HYPERLINK("#",""), HYPERLINK(CONCATENATE("#Metadata!", ADDRESS(INDEX($AI$2:$AI$1001,MATCH(ROWS($AG$2:AG706),$AG$2:$AG$1001,0),0), INDEX($AN$1004:$BO$1004,1,MATCH(COLUMNS($AN$1006:AT1006),$AN$1006:$BO$1006,0)))),"Fix")))</f>
        <v>0</v>
      </c>
      <c r="I706" s="4">
        <f>IF(OR(INDEX($AH$2:$AH$1001,MATCH(ROWS($AG$2:AG706),$AG$2:$AG$1001,0),1)&gt;=100000,INDEX($AN$1005:$BO$1005,1,MATCH(COLUMNS($AN$1006:AU1006),$AN$1006:$BO$1006,0))&gt;=100000), " ",IF(INDEX($AN$2:$BO$1001,MATCH(ROWS($AG$2:AG706),$AG$2:$AG$1001,0),MATCH(COLUMNS($AN$1006:AU1006),$AN$1006:$BO$1006,0)), HYPERLINK("#",""), HYPERLINK(CONCATENATE("#Metadata!", ADDRESS(INDEX($AI$2:$AI$1001,MATCH(ROWS($AG$2:AG706),$AG$2:$AG$1001,0),0), INDEX($AN$1004:$BO$1004,1,MATCH(COLUMNS($AN$1006:AU1006),$AN$1006:$BO$1006,0)))),"Fix")))</f>
        <v>0</v>
      </c>
      <c r="J706" s="4">
        <f>IF(OR(INDEX($AH$2:$AH$1001,MATCH(ROWS($AG$2:AG706),$AG$2:$AG$1001,0),1)&gt;=100000,INDEX($AN$1005:$BO$1005,1,MATCH(COLUMNS($AN$1006:AV1006),$AN$1006:$BO$1006,0))&gt;=100000), " ",IF(INDEX($AN$2:$BO$1001,MATCH(ROWS($AG$2:AG706),$AG$2:$AG$1001,0),MATCH(COLUMNS($AN$1006:AV1006),$AN$1006:$BO$1006,0)), HYPERLINK("#",""), HYPERLINK(CONCATENATE("#Metadata!", ADDRESS(INDEX($AI$2:$AI$1001,MATCH(ROWS($AG$2:AG706),$AG$2:$AG$1001,0),0), INDEX($AN$1004:$BO$1004,1,MATCH(COLUMNS($AN$1006:AV1006),$AN$1006:$BO$1006,0)))),"Fix")))</f>
        <v>0</v>
      </c>
      <c r="K706" s="4">
        <f>IF(OR(INDEX($AH$2:$AH$1001,MATCH(ROWS($AG$2:AG706),$AG$2:$AG$1001,0),1)&gt;=100000,INDEX($AN$1005:$BO$1005,1,MATCH(COLUMNS($AN$1006:AW1006),$AN$1006:$BO$1006,0))&gt;=100000), " ",IF(INDEX($AN$2:$BO$1001,MATCH(ROWS($AG$2:AG706),$AG$2:$AG$1001,0),MATCH(COLUMNS($AN$1006:AW1006),$AN$1006:$BO$1006,0)), HYPERLINK("#",""), HYPERLINK(CONCATENATE("#Metadata!", ADDRESS(INDEX($AI$2:$AI$1001,MATCH(ROWS($AG$2:AG706),$AG$2:$AG$1001,0),0), INDEX($AN$1004:$BO$1004,1,MATCH(COLUMNS($AN$1006:AW1006),$AN$1006:$BO$1006,0)))),"Fix")))</f>
        <v>0</v>
      </c>
      <c r="L706" s="4">
        <f>IF(OR(INDEX($AH$2:$AH$1001,MATCH(ROWS($AG$2:AG706),$AG$2:$AG$1001,0),1)&gt;=100000,INDEX($AN$1005:$BO$1005,1,MATCH(COLUMNS($AN$1006:AX1006),$AN$1006:$BO$1006,0))&gt;=100000), " ",IF(INDEX($AN$2:$BO$1001,MATCH(ROWS($AG$2:AG706),$AG$2:$AG$1001,0),MATCH(COLUMNS($AN$1006:AX1006),$AN$1006:$BO$1006,0)), HYPERLINK("#",""), HYPERLINK(CONCATENATE("#Metadata!", ADDRESS(INDEX($AI$2:$AI$1001,MATCH(ROWS($AG$2:AG706),$AG$2:$AG$1001,0),0), INDEX($AN$1004:$BO$1004,1,MATCH(COLUMNS($AN$1006:AX1006),$AN$1006:$BO$1006,0)))),"Fix")))</f>
        <v>0</v>
      </c>
      <c r="M706" s="4">
        <f>IF(OR(INDEX($AH$2:$AH$1001,MATCH(ROWS($AG$2:AG706),$AG$2:$AG$1001,0),1)&gt;=100000,INDEX($AN$1005:$BO$1005,1,MATCH(COLUMNS($AN$1006:AY1006),$AN$1006:$BO$1006,0))&gt;=100000), " ",IF(INDEX($AN$2:$BO$1001,MATCH(ROWS($AG$2:AG706),$AG$2:$AG$1001,0),MATCH(COLUMNS($AN$1006:AY1006),$AN$1006:$BO$1006,0)), HYPERLINK("#",""), HYPERLINK(CONCATENATE("#Metadata!", ADDRESS(INDEX($AI$2:$AI$1001,MATCH(ROWS($AG$2:AG706),$AG$2:$AG$1001,0),0), INDEX($AN$1004:$BO$1004,1,MATCH(COLUMNS($AN$1006:AY1006),$AN$1006:$BO$1006,0)))),"Fix")))</f>
        <v>0</v>
      </c>
      <c r="N706" s="4">
        <f>IF(OR(INDEX($AH$2:$AH$1001,MATCH(ROWS($AG$2:AG706),$AG$2:$AG$1001,0),1)&gt;=100000,INDEX($AN$1005:$BO$1005,1,MATCH(COLUMNS($AN$1006:AZ1006),$AN$1006:$BO$1006,0))&gt;=100000), " ",IF(INDEX($AN$2:$BO$1001,MATCH(ROWS($AG$2:AG706),$AG$2:$AG$1001,0),MATCH(COLUMNS($AN$1006:AZ1006),$AN$1006:$BO$1006,0)), HYPERLINK("#",""), HYPERLINK(CONCATENATE("#Metadata!", ADDRESS(INDEX($AI$2:$AI$1001,MATCH(ROWS($AG$2:AG706),$AG$2:$AG$1001,0),0), INDEX($AN$1004:$BO$1004,1,MATCH(COLUMNS($AN$1006:AZ1006),$AN$1006:$BO$1006,0)))),"Fix")))</f>
        <v>0</v>
      </c>
      <c r="O706" s="4">
        <f>IF(OR(INDEX($AH$2:$AH$1001,MATCH(ROWS($AG$2:AG706),$AG$2:$AG$1001,0),1)&gt;=100000,INDEX($AN$1005:$BO$1005,1,MATCH(COLUMNS($AN$1006:BA1006),$AN$1006:$BO$1006,0))&gt;=100000), " ",IF(INDEX($AN$2:$BO$1001,MATCH(ROWS($AG$2:AG706),$AG$2:$AG$1001,0),MATCH(COLUMNS($AN$1006:BA1006),$AN$1006:$BO$1006,0)), HYPERLINK("#",""), HYPERLINK(CONCATENATE("#Metadata!", ADDRESS(INDEX($AI$2:$AI$1001,MATCH(ROWS($AG$2:AG706),$AG$2:$AG$1001,0),0), INDEX($AN$1004:$BO$1004,1,MATCH(COLUMNS($AN$1006:BA1006),$AN$1006:$BO$1006,0)))),"Fix")))</f>
        <v>0</v>
      </c>
      <c r="P706" s="4">
        <f>IF(OR(INDEX($AH$2:$AH$1001,MATCH(ROWS($AG$2:AG706),$AG$2:$AG$1001,0),1)&gt;=100000,INDEX($AN$1005:$BO$1005,1,MATCH(COLUMNS($AN$1006:BB1006),$AN$1006:$BO$1006,0))&gt;=100000), " ",IF(INDEX($AN$2:$BO$1001,MATCH(ROWS($AG$2:AG706),$AG$2:$AG$1001,0),MATCH(COLUMNS($AN$1006:BB1006),$AN$1006:$BO$1006,0)), HYPERLINK("#",""), HYPERLINK(CONCATENATE("#Metadata!", ADDRESS(INDEX($AI$2:$AI$1001,MATCH(ROWS($AG$2:AG706),$AG$2:$AG$1001,0),0), INDEX($AN$1004:$BO$1004,1,MATCH(COLUMNS($AN$1006:BB1006),$AN$1006:$BO$1006,0)))),"Fix")))</f>
        <v>0</v>
      </c>
      <c r="Q706" s="4">
        <f>IF(OR(INDEX($AH$2:$AH$1001,MATCH(ROWS($AG$2:AG706),$AG$2:$AG$1001,0),1)&gt;=100000,INDEX($AN$1005:$BO$1005,1,MATCH(COLUMNS($AN$1006:BC1006),$AN$1006:$BO$1006,0))&gt;=100000), " ",IF(INDEX($AN$2:$BO$1001,MATCH(ROWS($AG$2:AG706),$AG$2:$AG$1001,0),MATCH(COLUMNS($AN$1006:BC1006),$AN$1006:$BO$1006,0)), HYPERLINK("#",""), HYPERLINK(CONCATENATE("#Metadata!", ADDRESS(INDEX($AI$2:$AI$1001,MATCH(ROWS($AG$2:AG706),$AG$2:$AG$1001,0),0), INDEX($AN$1004:$BO$1004,1,MATCH(COLUMNS($AN$1006:BC1006),$AN$1006:$BO$1006,0)))),"Fix")))</f>
        <v>0</v>
      </c>
      <c r="R706" s="4">
        <f>IF(OR(INDEX($AH$2:$AH$1001,MATCH(ROWS($AG$2:AG706),$AG$2:$AG$1001,0),1)&gt;=100000,INDEX($AN$1005:$BO$1005,1,MATCH(COLUMNS($AN$1006:BD1006),$AN$1006:$BO$1006,0))&gt;=100000), " ",IF(INDEX($AN$2:$BO$1001,MATCH(ROWS($AG$2:AG706),$AG$2:$AG$1001,0),MATCH(COLUMNS($AN$1006:BD1006),$AN$1006:$BO$1006,0)), HYPERLINK("#",""), HYPERLINK(CONCATENATE("#Metadata!", ADDRESS(INDEX($AI$2:$AI$1001,MATCH(ROWS($AG$2:AG706),$AG$2:$AG$1001,0),0), INDEX($AN$1004:$BO$1004,1,MATCH(COLUMNS($AN$1006:BD1006),$AN$1006:$BO$1006,0)))),"Fix")))</f>
        <v>0</v>
      </c>
      <c r="S706" s="4">
        <f>IF(OR(INDEX($AH$2:$AH$1001,MATCH(ROWS($AG$2:AG706),$AG$2:$AG$1001,0),1)&gt;=100000,INDEX($AN$1005:$BO$1005,1,MATCH(COLUMNS($AN$1006:BE1006),$AN$1006:$BO$1006,0))&gt;=100000), " ",IF(INDEX($AN$2:$BO$1001,MATCH(ROWS($AG$2:AG706),$AG$2:$AG$1001,0),MATCH(COLUMNS($AN$1006:BE1006),$AN$1006:$BO$1006,0)), HYPERLINK("#",""), HYPERLINK(CONCATENATE("#Metadata!", ADDRESS(INDEX($AI$2:$AI$1001,MATCH(ROWS($AG$2:AG706),$AG$2:$AG$1001,0),0), INDEX($AN$1004:$BO$1004,1,MATCH(COLUMNS($AN$1006:BE1006),$AN$1006:$BO$1006,0)))),"Fix")))</f>
        <v>0</v>
      </c>
      <c r="T706" s="4">
        <f>IF(OR(INDEX($AH$2:$AH$1001,MATCH(ROWS($AG$2:AG706),$AG$2:$AG$1001,0),1)&gt;=100000,INDEX($AN$1005:$BO$1005,1,MATCH(COLUMNS($AN$1006:BF1006),$AN$1006:$BO$1006,0))&gt;=100000), " ",IF(INDEX($AN$2:$BO$1001,MATCH(ROWS($AG$2:AG706),$AG$2:$AG$1001,0),MATCH(COLUMNS($AN$1006:BF1006),$AN$1006:$BO$1006,0)), HYPERLINK("#",""), HYPERLINK(CONCATENATE("#Metadata!", ADDRESS(INDEX($AI$2:$AI$1001,MATCH(ROWS($AG$2:AG706),$AG$2:$AG$1001,0),0), INDEX($AN$1004:$BO$1004,1,MATCH(COLUMNS($AN$1006:BF1006),$AN$1006:$BO$1006,0)))),"Fix")))</f>
        <v>0</v>
      </c>
      <c r="U706" s="4">
        <f>IF(OR(INDEX($AH$2:$AH$1001,MATCH(ROWS($AG$2:AG706),$AG$2:$AG$1001,0),1)&gt;=100000,INDEX($AN$1005:$BO$1005,1,MATCH(COLUMNS($AN$1006:BG1006),$AN$1006:$BO$1006,0))&gt;=100000), " ",IF(INDEX($AN$2:$BO$1001,MATCH(ROWS($AG$2:AG706),$AG$2:$AG$1001,0),MATCH(COLUMNS($AN$1006:BG1006),$AN$1006:$BO$1006,0)), HYPERLINK("#",""), HYPERLINK(CONCATENATE("#Metadata!", ADDRESS(INDEX($AI$2:$AI$1001,MATCH(ROWS($AG$2:AG706),$AG$2:$AG$1001,0),0), INDEX($AN$1004:$BO$1004,1,MATCH(COLUMNS($AN$1006:BG1006),$AN$1006:$BO$1006,0)))),"Fix")))</f>
        <v>0</v>
      </c>
      <c r="V706" s="4">
        <f>IF(OR(INDEX($AH$2:$AH$1001,MATCH(ROWS($AG$2:AG706),$AG$2:$AG$1001,0),1)&gt;=100000,INDEX($AN$1005:$BO$1005,1,MATCH(COLUMNS($AN$1006:BH1006),$AN$1006:$BO$1006,0))&gt;=100000), " ",IF(INDEX($AN$2:$BO$1001,MATCH(ROWS($AG$2:AG706),$AG$2:$AG$1001,0),MATCH(COLUMNS($AN$1006:BH1006),$AN$1006:$BO$1006,0)), HYPERLINK("#",""), HYPERLINK(CONCATENATE("#Metadata!", ADDRESS(INDEX($AI$2:$AI$1001,MATCH(ROWS($AG$2:AG706),$AG$2:$AG$1001,0),0), INDEX($AN$1004:$BO$1004,1,MATCH(COLUMNS($AN$1006:BH1006),$AN$1006:$BO$1006,0)))),"Fix")))</f>
        <v>0</v>
      </c>
      <c r="W706" s="4">
        <f>IF(OR(INDEX($AH$2:$AH$1001,MATCH(ROWS($AG$2:AG706),$AG$2:$AG$1001,0),1)&gt;=100000,INDEX($AN$1005:$BO$1005,1,MATCH(COLUMNS($AN$1006:BI1006),$AN$1006:$BO$1006,0))&gt;=100000), " ",IF(INDEX($AN$2:$BO$1001,MATCH(ROWS($AG$2:AG706),$AG$2:$AG$1001,0),MATCH(COLUMNS($AN$1006:BI1006),$AN$1006:$BO$1006,0)), HYPERLINK("#",""), HYPERLINK(CONCATENATE("#Metadata!", ADDRESS(INDEX($AI$2:$AI$1001,MATCH(ROWS($AG$2:AG706),$AG$2:$AG$1001,0),0), INDEX($AN$1004:$BO$1004,1,MATCH(COLUMNS($AN$1006:BI1006),$AN$1006:$BO$1006,0)))),"Fix")))</f>
        <v>0</v>
      </c>
      <c r="X706" s="4">
        <f>IF(OR(INDEX($AH$2:$AH$1001,MATCH(ROWS($AG$2:AG706),$AG$2:$AG$1001,0),1)&gt;=100000,INDEX($AN$1005:$BO$1005,1,MATCH(COLUMNS($AN$1006:BJ1006),$AN$1006:$BO$1006,0))&gt;=100000), " ",IF(INDEX($AN$2:$BO$1001,MATCH(ROWS($AG$2:AG706),$AG$2:$AG$1001,0),MATCH(COLUMNS($AN$1006:BJ1006),$AN$1006:$BO$1006,0)), HYPERLINK("#",""), HYPERLINK(CONCATENATE("#Metadata!", ADDRESS(INDEX($AI$2:$AI$1001,MATCH(ROWS($AG$2:AG706),$AG$2:$AG$1001,0),0), INDEX($AN$1004:$BO$1004,1,MATCH(COLUMNS($AN$1006:BJ1006),$AN$1006:$BO$1006,0)))),"Fix")))</f>
        <v>0</v>
      </c>
      <c r="Y706" s="4">
        <f>IF(OR(INDEX($AH$2:$AH$1001,MATCH(ROWS($AG$2:AG706),$AG$2:$AG$1001,0),1)&gt;=100000,INDEX($AN$1005:$BO$1005,1,MATCH(COLUMNS($AN$1006:BK1006),$AN$1006:$BO$1006,0))&gt;=100000), " ",IF(INDEX($AN$2:$BO$1001,MATCH(ROWS($AG$2:AG706),$AG$2:$AG$1001,0),MATCH(COLUMNS($AN$1006:BK1006),$AN$1006:$BO$1006,0)), HYPERLINK("#",""), HYPERLINK(CONCATENATE("#Metadata!", ADDRESS(INDEX($AI$2:$AI$1001,MATCH(ROWS($AG$2:AG706),$AG$2:$AG$1001,0),0), INDEX($AN$1004:$BO$1004,1,MATCH(COLUMNS($AN$1006:BK1006),$AN$1006:$BO$1006,0)))),"Fix")))</f>
        <v>0</v>
      </c>
      <c r="Z706" s="4">
        <f>IF(OR(INDEX($AH$2:$AH$1001,MATCH(ROWS($AG$2:AG706),$AG$2:$AG$1001,0),1)&gt;=100000,INDEX($AN$1005:$BO$1005,1,MATCH(COLUMNS($AN$1006:BL1006),$AN$1006:$BO$1006,0))&gt;=100000), " ",IF(INDEX($AN$2:$BO$1001,MATCH(ROWS($AG$2:AG706),$AG$2:$AG$1001,0),MATCH(COLUMNS($AN$1006:BL1006),$AN$1006:$BO$1006,0)), HYPERLINK("#",""), HYPERLINK(CONCATENATE("#Metadata!", ADDRESS(INDEX($AI$2:$AI$1001,MATCH(ROWS($AG$2:AG706),$AG$2:$AG$1001,0),0), INDEX($AN$1004:$BO$1004,1,MATCH(COLUMNS($AN$1006:BL1006),$AN$1006:$BO$1006,0)))),"Fix")))</f>
        <v>0</v>
      </c>
      <c r="AA706" s="4">
        <f>IF(OR(INDEX($AH$2:$AH$1001,MATCH(ROWS($AG$2:AG706),$AG$2:$AG$1001,0),1)&gt;=100000,INDEX($AN$1005:$BO$1005,1,MATCH(COLUMNS($AN$1006:BM1006),$AN$1006:$BO$1006,0))&gt;=100000), " ",IF(INDEX($AN$2:$BO$1001,MATCH(ROWS($AG$2:AG706),$AG$2:$AG$1001,0),MATCH(COLUMNS($AN$1006:BM1006),$AN$1006:$BO$1006,0)), HYPERLINK("#",""), HYPERLINK(CONCATENATE("#Metadata!", ADDRESS(INDEX($AI$2:$AI$1001,MATCH(ROWS($AG$2:AG706),$AG$2:$AG$1001,0),0), INDEX($AN$1004:$BO$1004,1,MATCH(COLUMNS($AN$1006:BM1006),$AN$1006:$BO$1006,0)))),"Fix")))</f>
        <v>0</v>
      </c>
      <c r="AB706" s="4">
        <f>IF(OR(INDEX($AH$2:$AH$1001,MATCH(ROWS($AG$2:AG706),$AG$2:$AG$1001,0),1)&gt;=100000,INDEX($AN$1005:$BO$1005,1,MATCH(COLUMNS($AN$1006:BN1006),$AN$1006:$BO$1006,0))&gt;=100000), " ",IF(INDEX($AN$2:$BO$1001,MATCH(ROWS($AG$2:AG706),$AG$2:$AG$1001,0),MATCH(COLUMNS($AN$1006:BN1006),$AN$1006:$BO$1006,0)), HYPERLINK("#",""), HYPERLINK(CONCATENATE("#Metadata!", ADDRESS(INDEX($AI$2:$AI$1001,MATCH(ROWS($AG$2:AG706),$AG$2:$AG$1001,0),0), INDEX($AN$1004:$BO$1004,1,MATCH(COLUMNS($AN$1006:BN1006),$AN$1006:$BO$1006,0)))),"Fix")))</f>
        <v>0</v>
      </c>
      <c r="AC706" s="4">
        <f>IF(OR(INDEX($AH$2:$AH$1001,MATCH(ROWS($AG$2:AG706),$AG$2:$AG$1001,0),1)&gt;=100000,INDEX($AN$1005:$BO$1005,1,MATCH(COLUMNS($AN$1006:BO1006),$AN$1006:$BO$1006,0))&gt;=100000), " ",IF(INDEX($AN$2:$BO$1001,MATCH(ROWS($AG$2:AG706),$AG$2:$AG$1001,0),MATCH(COLUMNS($AN$1006:BO1006),$AN$1006:$BO$1006,0)), HYPERLINK("#",""), HYPERLINK(CONCATENATE("#Metadata!", ADDRESS(INDEX($AI$2:$AI$1001,MATCH(ROWS($AG$2:AG706),$AG$2:$AG$1001,0),0), INDEX($AN$1004:$BO$1004,1,MATCH(COLUMNS($AN$1006:BO1006),$AN$1006:$BO$1006,0)))),"Fix")))</f>
        <v>0</v>
      </c>
      <c r="AG706">
        <v>0</v>
      </c>
      <c r="AH706">
        <v>0</v>
      </c>
      <c r="AI706">
        <v>0</v>
      </c>
      <c r="AJ706">
        <f>IF(AK706,TRUE,AND(AN706:BO706))</f>
        <v>0</v>
      </c>
      <c r="AK706">
        <f>COUNTBLANK(Metadata!B706:AC706)=COLUMNS(Metadata!B706:AC706)</f>
        <v>0</v>
      </c>
      <c r="AL706">
        <v>0</v>
      </c>
      <c r="AN706">
        <f>AND(IF(Metadata!B706="",FALSE,TRUE),COUNTIF(Metadata!B:B, Metadata!B706) = 1,NOT(ISERROR(SUMPRODUCT(SEARCH(MID(Metadata!B706,ROW(INDIRECT("1:"&amp;LEN(Metadata!B706))), 1),"0123456789abcdefghijklmnopqrstuvwxyzABCDEFGHIJKLMNOPQRSTUVWXYZ.")))))</f>
        <v>0</v>
      </c>
      <c r="AO706">
        <f>IF(Metadata!C706="",FALSE,TRUE)</f>
        <v>0</v>
      </c>
      <c r="AP706">
        <f>IF(Metadata!D706="",FALSE,TRUE)</f>
        <v>0</v>
      </c>
      <c r="AQ706">
        <f>OR(AND(IF(Metadata!E706="",FALSE,TRUE),OR(exact(Metadata!E706,"not collected"),exact(Metadata!E706,"not provided"),exact(Metadata!E706,"restricted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R706">
        <f>IF(Metadata!F706="",FALSE,TRUE)</f>
        <v>0</v>
      </c>
      <c r="AS706">
        <f>OR(AND(IF(Metadata!G706="",FALSE,TRUE),OR(exact(Metadata!G706,"not collected"),exact(Metadata!G706,"not provided"))),AND(IF(Metadata!G706="",FALSE,TRUE),OR(exact(Metadata!G706,"TRUE"),exact(Metadata!G706,"FALSE"))))</f>
        <v>0</v>
      </c>
      <c r="AT706">
        <f>OR(AND(IF(Metadata!H706="",FALSE,TRUE),OR(exact(Metadata!H706,"not collected"),exact(Metadata!H706,"not provided"),exact(Metadata!H706,"restricted access"))),AND(IF(Metadata!H706="",FALSE,ISNUMBER(VALUE(Metadata!H706))),Metadata!H706&gt;=-413.0))</f>
        <v>0</v>
      </c>
      <c r="AU706">
        <f>AND(IF(Metadata!I706="",FALSE,TRUE),exact(Metadata!I706,"meters"))</f>
        <v>0</v>
      </c>
      <c r="AV706">
        <f>AND(IF(Metadata!J706="",FALSE,TRUE),OR(exact(Metadata!J706,"Host-associated"),exact(Metadata!J706,"Free-living")))</f>
        <v>0</v>
      </c>
      <c r="AW706">
        <f>AND(IF(Metadata!K706="",FALSE,TRUE),OR(exact(Metadata!K706,"Animal"),exact(Metadata!K706,"Fungus"),exact(Metadata!K706,"Plant"),exact(Metadata!K706,"Saline"),exact(Metadata!K706,"Non-saline")))</f>
        <v>0</v>
      </c>
      <c r="AX706">
        <f>AND(IF(Metadata!L706="",FALSE,TRUE),OR(exact(Metadata!L706,"Plant secretion"),exact(Metadata!L706,"Plant rhizosphere"),exact(Metadata!L706,"Plant surface"),exact(Metadata!L706,"Plant corpus"),exact(Metadata!L706,"Fungus surface"),exact(Metadata!L706,"Fungus corpus"),exact(Metadata!L706,"Animal surface"),exact(Metadata!L706,"Animal proximal gut"),exact(Metadata!L706,"Animal corpus"),exact(Metadata!L706,"Animal distal gut"),exact(Metadata!L706,"Animal secretion"),exact(Metadata!L706,"Sub-surface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Y706">
        <f>IF(Metadata!M706="",FALSE,TRUE)</f>
        <v>0</v>
      </c>
      <c r="AZ706">
        <f>IF(Metadata!N706="",FALSE,TRUE)</f>
        <v>0</v>
      </c>
      <c r="BA706">
        <f>IF(Metadata!O706="",FALSE,TRUE)</f>
        <v>0</v>
      </c>
      <c r="BB706">
        <f>OR(AND(IF(Metadata!P706="",FALSE,TRUE),OR(exact(Metadata!P706,"not collected"),exact(Metadata!P706,"not provided"),exact(Metadata!P706,"restricted access"))),AND(IF(Metadata!P706="",FALSE,TRUE),OR(exact(Metadata!P706,"air"),exact(Metadata!P706,"built environment"),exact(Metadata!P706,"host-associated"),exact(Metadata!P706,"human-associated"),exact(Metadata!P706,"human-skin"),exact(Metadata!P706,"human-oral"),exact(Metadata!P706,"human-gut"),exact(Metadata!P706,"human-vaginal"),exact(Metadata!P706,"microbial mat/biofilm"),exact(Metadata!P706,"misc environment"),exact(Metadata!P706,"plant-associated"),exact(Metadata!P706,"sediment"),exact(Metadata!P706,"soil"),exact(Metadata!P706,"wastewater/sludge"),exact(Metadata!P706,"water"))))</f>
        <v>0</v>
      </c>
      <c r="BC706">
        <f>IF(Metadata!Q706="",FALSE,TRUE)</f>
        <v>0</v>
      </c>
      <c r="BD706">
        <f>IF(Metadata!R706="",FALSE,TRUE)</f>
        <v>0</v>
      </c>
      <c r="BE706">
        <f>OR(AND(IF(Metadata!S706="",FALSE,TRUE),OR(exact(Metadata!S706,"not collected"),exact(Metadata!S706,"not provided"),exact(Metadata!S706,"restricted access"))),AND(IF(Metadata!S706="",FALSE,ISNUMBER(VALUE(Metadata!S706))),Metadata!S706&gt;=-90.00,Metadata!S706&lt;=90.00))</f>
        <v>0</v>
      </c>
      <c r="BF706">
        <f>AND(IF(Metadata!T706="",FALSE,TRUE),exact(Metadata!T706,"Decimal degrees"))</f>
        <v>0</v>
      </c>
      <c r="BG706">
        <f>OR(AND(IF(Metadata!U706="",FALSE,TRUE),OR(exact(Metadata!U706,"not collected"),exact(Metadata!U706,"not provided"),exact(Metadata!U706,"restricted access"))),AND(IF(Metadata!U706="",FALSE,ISNUMBER(VALUE(Metadata!U706))),Metadata!U706&gt;=-180.00,Metadata!U706&lt;=180.00))</f>
        <v>0</v>
      </c>
      <c r="BH706">
        <f>AND(IF(Metadata!V706="",FALSE,TRUE),exact(Metadata!V706,"Decimal degrees"))</f>
        <v>0</v>
      </c>
      <c r="BI706">
        <f>IF(Metadata!W706="",FALSE,TRUE)</f>
        <v>0</v>
      </c>
      <c r="BJ706">
        <f>OR(AND(IF(Metadata!X706="",FALSE,TRUE),OR(exact(Metadata!X706,"not collected"),exact(Metadata!X706,"not provided"),exact(Metadata!X706,"restricted access"))),AND(IF(Metadata!X706="",FALSE,TRUE),OR(exact(Metadata!X706,"TRUE"),exact(Metadata!X706,"FALSE"))))</f>
        <v>0</v>
      </c>
      <c r="BK706">
        <f>AND(IF(Metadata!Y706="",FALSE,TRUE),exact(Metadata!Y706,"other"))</f>
        <v>0</v>
      </c>
      <c r="BL706">
        <f>IF(Metadata!Z706="",FALSE,TRUE)</f>
        <v>0</v>
      </c>
      <c r="BM706">
        <f>OR(AND(IF(Metadata!AA706="",FALSE,TRUE),OR(exact(Metadata!AA706,"not collected"),exact(Metadata!AA706,"not provided"))),AND(IF(Metadata!AA706="",FALSE,IF(ISERROR(INT(Metadata!AA706)),FALSE,INT(Metadata!AA706)=Metadata!AA706)),Metadata!AA706&gt;0))</f>
        <v>0</v>
      </c>
      <c r="BN706">
        <f>AND(IF(Metadata!AB706="",FALSE,TRUE),exact(Metadata!AB706,"Not applicable"))</f>
        <v>0</v>
      </c>
      <c r="BO706">
        <f>IF(Metadata!AC706="",FALSE,TRUE)</f>
        <v>0</v>
      </c>
    </row>
    <row r="707" spans="1:67">
      <c r="A707" s="5">
        <f>IF(B707=" "," ",HYPERLINK(CONCATENATE("#metadata!",ADDRESS(INDEX($AI$2:$AI$1001,MATCH(ROWS($AG$2:AG707),$AG$2:$AG$1001,0),0),1)),INDEX($AL$2:$AL$1001,MATCH(ROWS($AG$2:AG707),$AG$2:$AG$1001,0),0)))</f>
        <v>0</v>
      </c>
      <c r="B707" s="4">
        <f>IF(OR(INDEX($AH$2:$AH$1001,MATCH(ROWS($AG$2:AG707),$AG$2:$AG$1001,0),1)&gt;=100000,INDEX($AN$1005:$BO$1005,1,MATCH(COLUMNS($AN$1006:AN1006),$AN$1006:$BO$1006,0))&gt;=100000), " ",IF(INDEX($AN$2:$BO$1001,MATCH(ROWS($AG$2:AG707),$AG$2:$AG$1001,0),MATCH(COLUMNS($AN$1006:AN1006),$AN$1006:$BO$1006,0)), HYPERLINK("#",""), HYPERLINK(CONCATENATE("#Metadata!", ADDRESS(INDEX($AI$2:$AI$1001,MATCH(ROWS($AG$2:AG707),$AG$2:$AG$1001,0),0), INDEX($AN$1004:$BO$1004,1,MATCH(COLUMNS($AN$1006:AN1006),$AN$1006:$BO$1006,0)))),"Fix")))</f>
        <v>0</v>
      </c>
      <c r="C707" s="4">
        <f>IF(OR(INDEX($AH$2:$AH$1001,MATCH(ROWS($AG$2:AG707),$AG$2:$AG$1001,0),1)&gt;=100000,INDEX($AN$1005:$BO$1005,1,MATCH(COLUMNS($AN$1006:AO1006),$AN$1006:$BO$1006,0))&gt;=100000), " ",IF(INDEX($AN$2:$BO$1001,MATCH(ROWS($AG$2:AG707),$AG$2:$AG$1001,0),MATCH(COLUMNS($AN$1006:AO1006),$AN$1006:$BO$1006,0)), HYPERLINK("#",""), HYPERLINK(CONCATENATE("#Metadata!", ADDRESS(INDEX($AI$2:$AI$1001,MATCH(ROWS($AG$2:AG707),$AG$2:$AG$1001,0),0), INDEX($AN$1004:$BO$1004,1,MATCH(COLUMNS($AN$1006:AO1006),$AN$1006:$BO$1006,0)))),"Fix")))</f>
        <v>0</v>
      </c>
      <c r="D707" s="4">
        <f>IF(OR(INDEX($AH$2:$AH$1001,MATCH(ROWS($AG$2:AG707),$AG$2:$AG$1001,0),1)&gt;=100000,INDEX($AN$1005:$BO$1005,1,MATCH(COLUMNS($AN$1006:AP1006),$AN$1006:$BO$1006,0))&gt;=100000), " ",IF(INDEX($AN$2:$BO$1001,MATCH(ROWS($AG$2:AG707),$AG$2:$AG$1001,0),MATCH(COLUMNS($AN$1006:AP1006),$AN$1006:$BO$1006,0)), HYPERLINK("#",""), HYPERLINK(CONCATENATE("#Metadata!", ADDRESS(INDEX($AI$2:$AI$1001,MATCH(ROWS($AG$2:AG707),$AG$2:$AG$1001,0),0), INDEX($AN$1004:$BO$1004,1,MATCH(COLUMNS($AN$1006:AP1006),$AN$1006:$BO$1006,0)))),"Fix")))</f>
        <v>0</v>
      </c>
      <c r="E707" s="4">
        <f>IF(OR(INDEX($AH$2:$AH$1001,MATCH(ROWS($AG$2:AG707),$AG$2:$AG$1001,0),1)&gt;=100000,INDEX($AN$1005:$BO$1005,1,MATCH(COLUMNS($AN$1006:AQ1006),$AN$1006:$BO$1006,0))&gt;=100000), " ",IF(INDEX($AN$2:$BO$1001,MATCH(ROWS($AG$2:AG707),$AG$2:$AG$1001,0),MATCH(COLUMNS($AN$1006:AQ1006),$AN$1006:$BO$1006,0)), HYPERLINK("#",""), HYPERLINK(CONCATENATE("#Metadata!", ADDRESS(INDEX($AI$2:$AI$1001,MATCH(ROWS($AG$2:AG707),$AG$2:$AG$1001,0),0), INDEX($AN$1004:$BO$1004,1,MATCH(COLUMNS($AN$1006:AQ1006),$AN$1006:$BO$1006,0)))),"Fix")))</f>
        <v>0</v>
      </c>
      <c r="F707" s="4">
        <f>IF(OR(INDEX($AH$2:$AH$1001,MATCH(ROWS($AG$2:AG707),$AG$2:$AG$1001,0),1)&gt;=100000,INDEX($AN$1005:$BO$1005,1,MATCH(COLUMNS($AN$1006:AR1006),$AN$1006:$BO$1006,0))&gt;=100000), " ",IF(INDEX($AN$2:$BO$1001,MATCH(ROWS($AG$2:AG707),$AG$2:$AG$1001,0),MATCH(COLUMNS($AN$1006:AR1006),$AN$1006:$BO$1006,0)), HYPERLINK("#",""), HYPERLINK(CONCATENATE("#Metadata!", ADDRESS(INDEX($AI$2:$AI$1001,MATCH(ROWS($AG$2:AG707),$AG$2:$AG$1001,0),0), INDEX($AN$1004:$BO$1004,1,MATCH(COLUMNS($AN$1006:AR1006),$AN$1006:$BO$1006,0)))),"Fix")))</f>
        <v>0</v>
      </c>
      <c r="G707" s="4">
        <f>IF(OR(INDEX($AH$2:$AH$1001,MATCH(ROWS($AG$2:AG707),$AG$2:$AG$1001,0),1)&gt;=100000,INDEX($AN$1005:$BO$1005,1,MATCH(COLUMNS($AN$1006:AS1006),$AN$1006:$BO$1006,0))&gt;=100000), " ",IF(INDEX($AN$2:$BO$1001,MATCH(ROWS($AG$2:AG707),$AG$2:$AG$1001,0),MATCH(COLUMNS($AN$1006:AS1006),$AN$1006:$BO$1006,0)), HYPERLINK("#",""), HYPERLINK(CONCATENATE("#Metadata!", ADDRESS(INDEX($AI$2:$AI$1001,MATCH(ROWS($AG$2:AG707),$AG$2:$AG$1001,0),0), INDEX($AN$1004:$BO$1004,1,MATCH(COLUMNS($AN$1006:AS1006),$AN$1006:$BO$1006,0)))),"Fix")))</f>
        <v>0</v>
      </c>
      <c r="H707" s="4">
        <f>IF(OR(INDEX($AH$2:$AH$1001,MATCH(ROWS($AG$2:AG707),$AG$2:$AG$1001,0),1)&gt;=100000,INDEX($AN$1005:$BO$1005,1,MATCH(COLUMNS($AN$1006:AT1006),$AN$1006:$BO$1006,0))&gt;=100000), " ",IF(INDEX($AN$2:$BO$1001,MATCH(ROWS($AG$2:AG707),$AG$2:$AG$1001,0),MATCH(COLUMNS($AN$1006:AT1006),$AN$1006:$BO$1006,0)), HYPERLINK("#",""), HYPERLINK(CONCATENATE("#Metadata!", ADDRESS(INDEX($AI$2:$AI$1001,MATCH(ROWS($AG$2:AG707),$AG$2:$AG$1001,0),0), INDEX($AN$1004:$BO$1004,1,MATCH(COLUMNS($AN$1006:AT1006),$AN$1006:$BO$1006,0)))),"Fix")))</f>
        <v>0</v>
      </c>
      <c r="I707" s="4">
        <f>IF(OR(INDEX($AH$2:$AH$1001,MATCH(ROWS($AG$2:AG707),$AG$2:$AG$1001,0),1)&gt;=100000,INDEX($AN$1005:$BO$1005,1,MATCH(COLUMNS($AN$1006:AU1006),$AN$1006:$BO$1006,0))&gt;=100000), " ",IF(INDEX($AN$2:$BO$1001,MATCH(ROWS($AG$2:AG707),$AG$2:$AG$1001,0),MATCH(COLUMNS($AN$1006:AU1006),$AN$1006:$BO$1006,0)), HYPERLINK("#",""), HYPERLINK(CONCATENATE("#Metadata!", ADDRESS(INDEX($AI$2:$AI$1001,MATCH(ROWS($AG$2:AG707),$AG$2:$AG$1001,0),0), INDEX($AN$1004:$BO$1004,1,MATCH(COLUMNS($AN$1006:AU1006),$AN$1006:$BO$1006,0)))),"Fix")))</f>
        <v>0</v>
      </c>
      <c r="J707" s="4">
        <f>IF(OR(INDEX($AH$2:$AH$1001,MATCH(ROWS($AG$2:AG707),$AG$2:$AG$1001,0),1)&gt;=100000,INDEX($AN$1005:$BO$1005,1,MATCH(COLUMNS($AN$1006:AV1006),$AN$1006:$BO$1006,0))&gt;=100000), " ",IF(INDEX($AN$2:$BO$1001,MATCH(ROWS($AG$2:AG707),$AG$2:$AG$1001,0),MATCH(COLUMNS($AN$1006:AV1006),$AN$1006:$BO$1006,0)), HYPERLINK("#",""), HYPERLINK(CONCATENATE("#Metadata!", ADDRESS(INDEX($AI$2:$AI$1001,MATCH(ROWS($AG$2:AG707),$AG$2:$AG$1001,0),0), INDEX($AN$1004:$BO$1004,1,MATCH(COLUMNS($AN$1006:AV1006),$AN$1006:$BO$1006,0)))),"Fix")))</f>
        <v>0</v>
      </c>
      <c r="K707" s="4">
        <f>IF(OR(INDEX($AH$2:$AH$1001,MATCH(ROWS($AG$2:AG707),$AG$2:$AG$1001,0),1)&gt;=100000,INDEX($AN$1005:$BO$1005,1,MATCH(COLUMNS($AN$1006:AW1006),$AN$1006:$BO$1006,0))&gt;=100000), " ",IF(INDEX($AN$2:$BO$1001,MATCH(ROWS($AG$2:AG707),$AG$2:$AG$1001,0),MATCH(COLUMNS($AN$1006:AW1006),$AN$1006:$BO$1006,0)), HYPERLINK("#",""), HYPERLINK(CONCATENATE("#Metadata!", ADDRESS(INDEX($AI$2:$AI$1001,MATCH(ROWS($AG$2:AG707),$AG$2:$AG$1001,0),0), INDEX($AN$1004:$BO$1004,1,MATCH(COLUMNS($AN$1006:AW1006),$AN$1006:$BO$1006,0)))),"Fix")))</f>
        <v>0</v>
      </c>
      <c r="L707" s="4">
        <f>IF(OR(INDEX($AH$2:$AH$1001,MATCH(ROWS($AG$2:AG707),$AG$2:$AG$1001,0),1)&gt;=100000,INDEX($AN$1005:$BO$1005,1,MATCH(COLUMNS($AN$1006:AX1006),$AN$1006:$BO$1006,0))&gt;=100000), " ",IF(INDEX($AN$2:$BO$1001,MATCH(ROWS($AG$2:AG707),$AG$2:$AG$1001,0),MATCH(COLUMNS($AN$1006:AX1006),$AN$1006:$BO$1006,0)), HYPERLINK("#",""), HYPERLINK(CONCATENATE("#Metadata!", ADDRESS(INDEX($AI$2:$AI$1001,MATCH(ROWS($AG$2:AG707),$AG$2:$AG$1001,0),0), INDEX($AN$1004:$BO$1004,1,MATCH(COLUMNS($AN$1006:AX1006),$AN$1006:$BO$1006,0)))),"Fix")))</f>
        <v>0</v>
      </c>
      <c r="M707" s="4">
        <f>IF(OR(INDEX($AH$2:$AH$1001,MATCH(ROWS($AG$2:AG707),$AG$2:$AG$1001,0),1)&gt;=100000,INDEX($AN$1005:$BO$1005,1,MATCH(COLUMNS($AN$1006:AY1006),$AN$1006:$BO$1006,0))&gt;=100000), " ",IF(INDEX($AN$2:$BO$1001,MATCH(ROWS($AG$2:AG707),$AG$2:$AG$1001,0),MATCH(COLUMNS($AN$1006:AY1006),$AN$1006:$BO$1006,0)), HYPERLINK("#",""), HYPERLINK(CONCATENATE("#Metadata!", ADDRESS(INDEX($AI$2:$AI$1001,MATCH(ROWS($AG$2:AG707),$AG$2:$AG$1001,0),0), INDEX($AN$1004:$BO$1004,1,MATCH(COLUMNS($AN$1006:AY1006),$AN$1006:$BO$1006,0)))),"Fix")))</f>
        <v>0</v>
      </c>
      <c r="N707" s="4">
        <f>IF(OR(INDEX($AH$2:$AH$1001,MATCH(ROWS($AG$2:AG707),$AG$2:$AG$1001,0),1)&gt;=100000,INDEX($AN$1005:$BO$1005,1,MATCH(COLUMNS($AN$1006:AZ1006),$AN$1006:$BO$1006,0))&gt;=100000), " ",IF(INDEX($AN$2:$BO$1001,MATCH(ROWS($AG$2:AG707),$AG$2:$AG$1001,0),MATCH(COLUMNS($AN$1006:AZ1006),$AN$1006:$BO$1006,0)), HYPERLINK("#",""), HYPERLINK(CONCATENATE("#Metadata!", ADDRESS(INDEX($AI$2:$AI$1001,MATCH(ROWS($AG$2:AG707),$AG$2:$AG$1001,0),0), INDEX($AN$1004:$BO$1004,1,MATCH(COLUMNS($AN$1006:AZ1006),$AN$1006:$BO$1006,0)))),"Fix")))</f>
        <v>0</v>
      </c>
      <c r="O707" s="4">
        <f>IF(OR(INDEX($AH$2:$AH$1001,MATCH(ROWS($AG$2:AG707),$AG$2:$AG$1001,0),1)&gt;=100000,INDEX($AN$1005:$BO$1005,1,MATCH(COLUMNS($AN$1006:BA1006),$AN$1006:$BO$1006,0))&gt;=100000), " ",IF(INDEX($AN$2:$BO$1001,MATCH(ROWS($AG$2:AG707),$AG$2:$AG$1001,0),MATCH(COLUMNS($AN$1006:BA1006),$AN$1006:$BO$1006,0)), HYPERLINK("#",""), HYPERLINK(CONCATENATE("#Metadata!", ADDRESS(INDEX($AI$2:$AI$1001,MATCH(ROWS($AG$2:AG707),$AG$2:$AG$1001,0),0), INDEX($AN$1004:$BO$1004,1,MATCH(COLUMNS($AN$1006:BA1006),$AN$1006:$BO$1006,0)))),"Fix")))</f>
        <v>0</v>
      </c>
      <c r="P707" s="4">
        <f>IF(OR(INDEX($AH$2:$AH$1001,MATCH(ROWS($AG$2:AG707),$AG$2:$AG$1001,0),1)&gt;=100000,INDEX($AN$1005:$BO$1005,1,MATCH(COLUMNS($AN$1006:BB1006),$AN$1006:$BO$1006,0))&gt;=100000), " ",IF(INDEX($AN$2:$BO$1001,MATCH(ROWS($AG$2:AG707),$AG$2:$AG$1001,0),MATCH(COLUMNS($AN$1006:BB1006),$AN$1006:$BO$1006,0)), HYPERLINK("#",""), HYPERLINK(CONCATENATE("#Metadata!", ADDRESS(INDEX($AI$2:$AI$1001,MATCH(ROWS($AG$2:AG707),$AG$2:$AG$1001,0),0), INDEX($AN$1004:$BO$1004,1,MATCH(COLUMNS($AN$1006:BB1006),$AN$1006:$BO$1006,0)))),"Fix")))</f>
        <v>0</v>
      </c>
      <c r="Q707" s="4">
        <f>IF(OR(INDEX($AH$2:$AH$1001,MATCH(ROWS($AG$2:AG707),$AG$2:$AG$1001,0),1)&gt;=100000,INDEX($AN$1005:$BO$1005,1,MATCH(COLUMNS($AN$1006:BC1006),$AN$1006:$BO$1006,0))&gt;=100000), " ",IF(INDEX($AN$2:$BO$1001,MATCH(ROWS($AG$2:AG707),$AG$2:$AG$1001,0),MATCH(COLUMNS($AN$1006:BC1006),$AN$1006:$BO$1006,0)), HYPERLINK("#",""), HYPERLINK(CONCATENATE("#Metadata!", ADDRESS(INDEX($AI$2:$AI$1001,MATCH(ROWS($AG$2:AG707),$AG$2:$AG$1001,0),0), INDEX($AN$1004:$BO$1004,1,MATCH(COLUMNS($AN$1006:BC1006),$AN$1006:$BO$1006,0)))),"Fix")))</f>
        <v>0</v>
      </c>
      <c r="R707" s="4">
        <f>IF(OR(INDEX($AH$2:$AH$1001,MATCH(ROWS($AG$2:AG707),$AG$2:$AG$1001,0),1)&gt;=100000,INDEX($AN$1005:$BO$1005,1,MATCH(COLUMNS($AN$1006:BD1006),$AN$1006:$BO$1006,0))&gt;=100000), " ",IF(INDEX($AN$2:$BO$1001,MATCH(ROWS($AG$2:AG707),$AG$2:$AG$1001,0),MATCH(COLUMNS($AN$1006:BD1006),$AN$1006:$BO$1006,0)), HYPERLINK("#",""), HYPERLINK(CONCATENATE("#Metadata!", ADDRESS(INDEX($AI$2:$AI$1001,MATCH(ROWS($AG$2:AG707),$AG$2:$AG$1001,0),0), INDEX($AN$1004:$BO$1004,1,MATCH(COLUMNS($AN$1006:BD1006),$AN$1006:$BO$1006,0)))),"Fix")))</f>
        <v>0</v>
      </c>
      <c r="S707" s="4">
        <f>IF(OR(INDEX($AH$2:$AH$1001,MATCH(ROWS($AG$2:AG707),$AG$2:$AG$1001,0),1)&gt;=100000,INDEX($AN$1005:$BO$1005,1,MATCH(COLUMNS($AN$1006:BE1006),$AN$1006:$BO$1006,0))&gt;=100000), " ",IF(INDEX($AN$2:$BO$1001,MATCH(ROWS($AG$2:AG707),$AG$2:$AG$1001,0),MATCH(COLUMNS($AN$1006:BE1006),$AN$1006:$BO$1006,0)), HYPERLINK("#",""), HYPERLINK(CONCATENATE("#Metadata!", ADDRESS(INDEX($AI$2:$AI$1001,MATCH(ROWS($AG$2:AG707),$AG$2:$AG$1001,0),0), INDEX($AN$1004:$BO$1004,1,MATCH(COLUMNS($AN$1006:BE1006),$AN$1006:$BO$1006,0)))),"Fix")))</f>
        <v>0</v>
      </c>
      <c r="T707" s="4">
        <f>IF(OR(INDEX($AH$2:$AH$1001,MATCH(ROWS($AG$2:AG707),$AG$2:$AG$1001,0),1)&gt;=100000,INDEX($AN$1005:$BO$1005,1,MATCH(COLUMNS($AN$1006:BF1006),$AN$1006:$BO$1006,0))&gt;=100000), " ",IF(INDEX($AN$2:$BO$1001,MATCH(ROWS($AG$2:AG707),$AG$2:$AG$1001,0),MATCH(COLUMNS($AN$1006:BF1006),$AN$1006:$BO$1006,0)), HYPERLINK("#",""), HYPERLINK(CONCATENATE("#Metadata!", ADDRESS(INDEX($AI$2:$AI$1001,MATCH(ROWS($AG$2:AG707),$AG$2:$AG$1001,0),0), INDEX($AN$1004:$BO$1004,1,MATCH(COLUMNS($AN$1006:BF1006),$AN$1006:$BO$1006,0)))),"Fix")))</f>
        <v>0</v>
      </c>
      <c r="U707" s="4">
        <f>IF(OR(INDEX($AH$2:$AH$1001,MATCH(ROWS($AG$2:AG707),$AG$2:$AG$1001,0),1)&gt;=100000,INDEX($AN$1005:$BO$1005,1,MATCH(COLUMNS($AN$1006:BG1006),$AN$1006:$BO$1006,0))&gt;=100000), " ",IF(INDEX($AN$2:$BO$1001,MATCH(ROWS($AG$2:AG707),$AG$2:$AG$1001,0),MATCH(COLUMNS($AN$1006:BG1006),$AN$1006:$BO$1006,0)), HYPERLINK("#",""), HYPERLINK(CONCATENATE("#Metadata!", ADDRESS(INDEX($AI$2:$AI$1001,MATCH(ROWS($AG$2:AG707),$AG$2:$AG$1001,0),0), INDEX($AN$1004:$BO$1004,1,MATCH(COLUMNS($AN$1006:BG1006),$AN$1006:$BO$1006,0)))),"Fix")))</f>
        <v>0</v>
      </c>
      <c r="V707" s="4">
        <f>IF(OR(INDEX($AH$2:$AH$1001,MATCH(ROWS($AG$2:AG707),$AG$2:$AG$1001,0),1)&gt;=100000,INDEX($AN$1005:$BO$1005,1,MATCH(COLUMNS($AN$1006:BH1006),$AN$1006:$BO$1006,0))&gt;=100000), " ",IF(INDEX($AN$2:$BO$1001,MATCH(ROWS($AG$2:AG707),$AG$2:$AG$1001,0),MATCH(COLUMNS($AN$1006:BH1006),$AN$1006:$BO$1006,0)), HYPERLINK("#",""), HYPERLINK(CONCATENATE("#Metadata!", ADDRESS(INDEX($AI$2:$AI$1001,MATCH(ROWS($AG$2:AG707),$AG$2:$AG$1001,0),0), INDEX($AN$1004:$BO$1004,1,MATCH(COLUMNS($AN$1006:BH1006),$AN$1006:$BO$1006,0)))),"Fix")))</f>
        <v>0</v>
      </c>
      <c r="W707" s="4">
        <f>IF(OR(INDEX($AH$2:$AH$1001,MATCH(ROWS($AG$2:AG707),$AG$2:$AG$1001,0),1)&gt;=100000,INDEX($AN$1005:$BO$1005,1,MATCH(COLUMNS($AN$1006:BI1006),$AN$1006:$BO$1006,0))&gt;=100000), " ",IF(INDEX($AN$2:$BO$1001,MATCH(ROWS($AG$2:AG707),$AG$2:$AG$1001,0),MATCH(COLUMNS($AN$1006:BI1006),$AN$1006:$BO$1006,0)), HYPERLINK("#",""), HYPERLINK(CONCATENATE("#Metadata!", ADDRESS(INDEX($AI$2:$AI$1001,MATCH(ROWS($AG$2:AG707),$AG$2:$AG$1001,0),0), INDEX($AN$1004:$BO$1004,1,MATCH(COLUMNS($AN$1006:BI1006),$AN$1006:$BO$1006,0)))),"Fix")))</f>
        <v>0</v>
      </c>
      <c r="X707" s="4">
        <f>IF(OR(INDEX($AH$2:$AH$1001,MATCH(ROWS($AG$2:AG707),$AG$2:$AG$1001,0),1)&gt;=100000,INDEX($AN$1005:$BO$1005,1,MATCH(COLUMNS($AN$1006:BJ1006),$AN$1006:$BO$1006,0))&gt;=100000), " ",IF(INDEX($AN$2:$BO$1001,MATCH(ROWS($AG$2:AG707),$AG$2:$AG$1001,0),MATCH(COLUMNS($AN$1006:BJ1006),$AN$1006:$BO$1006,0)), HYPERLINK("#",""), HYPERLINK(CONCATENATE("#Metadata!", ADDRESS(INDEX($AI$2:$AI$1001,MATCH(ROWS($AG$2:AG707),$AG$2:$AG$1001,0),0), INDEX($AN$1004:$BO$1004,1,MATCH(COLUMNS($AN$1006:BJ1006),$AN$1006:$BO$1006,0)))),"Fix")))</f>
        <v>0</v>
      </c>
      <c r="Y707" s="4">
        <f>IF(OR(INDEX($AH$2:$AH$1001,MATCH(ROWS($AG$2:AG707),$AG$2:$AG$1001,0),1)&gt;=100000,INDEX($AN$1005:$BO$1005,1,MATCH(COLUMNS($AN$1006:BK1006),$AN$1006:$BO$1006,0))&gt;=100000), " ",IF(INDEX($AN$2:$BO$1001,MATCH(ROWS($AG$2:AG707),$AG$2:$AG$1001,0),MATCH(COLUMNS($AN$1006:BK1006),$AN$1006:$BO$1006,0)), HYPERLINK("#",""), HYPERLINK(CONCATENATE("#Metadata!", ADDRESS(INDEX($AI$2:$AI$1001,MATCH(ROWS($AG$2:AG707),$AG$2:$AG$1001,0),0), INDEX($AN$1004:$BO$1004,1,MATCH(COLUMNS($AN$1006:BK1006),$AN$1006:$BO$1006,0)))),"Fix")))</f>
        <v>0</v>
      </c>
      <c r="Z707" s="4">
        <f>IF(OR(INDEX($AH$2:$AH$1001,MATCH(ROWS($AG$2:AG707),$AG$2:$AG$1001,0),1)&gt;=100000,INDEX($AN$1005:$BO$1005,1,MATCH(COLUMNS($AN$1006:BL1006),$AN$1006:$BO$1006,0))&gt;=100000), " ",IF(INDEX($AN$2:$BO$1001,MATCH(ROWS($AG$2:AG707),$AG$2:$AG$1001,0),MATCH(COLUMNS($AN$1006:BL1006),$AN$1006:$BO$1006,0)), HYPERLINK("#",""), HYPERLINK(CONCATENATE("#Metadata!", ADDRESS(INDEX($AI$2:$AI$1001,MATCH(ROWS($AG$2:AG707),$AG$2:$AG$1001,0),0), INDEX($AN$1004:$BO$1004,1,MATCH(COLUMNS($AN$1006:BL1006),$AN$1006:$BO$1006,0)))),"Fix")))</f>
        <v>0</v>
      </c>
      <c r="AA707" s="4">
        <f>IF(OR(INDEX($AH$2:$AH$1001,MATCH(ROWS($AG$2:AG707),$AG$2:$AG$1001,0),1)&gt;=100000,INDEX($AN$1005:$BO$1005,1,MATCH(COLUMNS($AN$1006:BM1006),$AN$1006:$BO$1006,0))&gt;=100000), " ",IF(INDEX($AN$2:$BO$1001,MATCH(ROWS($AG$2:AG707),$AG$2:$AG$1001,0),MATCH(COLUMNS($AN$1006:BM1006),$AN$1006:$BO$1006,0)), HYPERLINK("#",""), HYPERLINK(CONCATENATE("#Metadata!", ADDRESS(INDEX($AI$2:$AI$1001,MATCH(ROWS($AG$2:AG707),$AG$2:$AG$1001,0),0), INDEX($AN$1004:$BO$1004,1,MATCH(COLUMNS($AN$1006:BM1006),$AN$1006:$BO$1006,0)))),"Fix")))</f>
        <v>0</v>
      </c>
      <c r="AB707" s="4">
        <f>IF(OR(INDEX($AH$2:$AH$1001,MATCH(ROWS($AG$2:AG707),$AG$2:$AG$1001,0),1)&gt;=100000,INDEX($AN$1005:$BO$1005,1,MATCH(COLUMNS($AN$1006:BN1006),$AN$1006:$BO$1006,0))&gt;=100000), " ",IF(INDEX($AN$2:$BO$1001,MATCH(ROWS($AG$2:AG707),$AG$2:$AG$1001,0),MATCH(COLUMNS($AN$1006:BN1006),$AN$1006:$BO$1006,0)), HYPERLINK("#",""), HYPERLINK(CONCATENATE("#Metadata!", ADDRESS(INDEX($AI$2:$AI$1001,MATCH(ROWS($AG$2:AG707),$AG$2:$AG$1001,0),0), INDEX($AN$1004:$BO$1004,1,MATCH(COLUMNS($AN$1006:BN1006),$AN$1006:$BO$1006,0)))),"Fix")))</f>
        <v>0</v>
      </c>
      <c r="AC707" s="4">
        <f>IF(OR(INDEX($AH$2:$AH$1001,MATCH(ROWS($AG$2:AG707),$AG$2:$AG$1001,0),1)&gt;=100000,INDEX($AN$1005:$BO$1005,1,MATCH(COLUMNS($AN$1006:BO1006),$AN$1006:$BO$1006,0))&gt;=100000), " ",IF(INDEX($AN$2:$BO$1001,MATCH(ROWS($AG$2:AG707),$AG$2:$AG$1001,0),MATCH(COLUMNS($AN$1006:BO1006),$AN$1006:$BO$1006,0)), HYPERLINK("#",""), HYPERLINK(CONCATENATE("#Metadata!", ADDRESS(INDEX($AI$2:$AI$1001,MATCH(ROWS($AG$2:AG707),$AG$2:$AG$1001,0),0), INDEX($AN$1004:$BO$1004,1,MATCH(COLUMNS($AN$1006:BO1006),$AN$1006:$BO$1006,0)))),"Fix")))</f>
        <v>0</v>
      </c>
      <c r="AG707">
        <v>0</v>
      </c>
      <c r="AH707">
        <v>0</v>
      </c>
      <c r="AI707">
        <v>0</v>
      </c>
      <c r="AJ707">
        <f>IF(AK707,TRUE,AND(AN707:BO707))</f>
        <v>0</v>
      </c>
      <c r="AK707">
        <f>COUNTBLANK(Metadata!B707:AC707)=COLUMNS(Metadata!B707:AC707)</f>
        <v>0</v>
      </c>
      <c r="AL707">
        <v>0</v>
      </c>
      <c r="AN707">
        <f>AND(IF(Metadata!B707="",FALSE,TRUE),COUNTIF(Metadata!B:B, Metadata!B707) = 1,NOT(ISERROR(SUMPRODUCT(SEARCH(MID(Metadata!B707,ROW(INDIRECT("1:"&amp;LEN(Metadata!B707))), 1),"0123456789abcdefghijklmnopqrstuvwxyzABCDEFGHIJKLMNOPQRSTUVWXYZ.")))))</f>
        <v>0</v>
      </c>
      <c r="AO707">
        <f>IF(Metadata!C707="",FALSE,TRUE)</f>
        <v>0</v>
      </c>
      <c r="AP707">
        <f>IF(Metadata!D707="",FALSE,TRUE)</f>
        <v>0</v>
      </c>
      <c r="AQ707">
        <f>OR(AND(IF(Metadata!E707="",FALSE,TRUE),OR(exact(Metadata!E707,"not collected"),exact(Metadata!E707,"not provided"),exact(Metadata!E707,"restricted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R707">
        <f>IF(Metadata!F707="",FALSE,TRUE)</f>
        <v>0</v>
      </c>
      <c r="AS707">
        <f>OR(AND(IF(Metadata!G707="",FALSE,TRUE),OR(exact(Metadata!G707,"not collected"),exact(Metadata!G707,"not provided"))),AND(IF(Metadata!G707="",FALSE,TRUE),OR(exact(Metadata!G707,"TRUE"),exact(Metadata!G707,"FALSE"))))</f>
        <v>0</v>
      </c>
      <c r="AT707">
        <f>OR(AND(IF(Metadata!H707="",FALSE,TRUE),OR(exact(Metadata!H707,"not collected"),exact(Metadata!H707,"not provided"),exact(Metadata!H707,"restricted access"))),AND(IF(Metadata!H707="",FALSE,ISNUMBER(VALUE(Metadata!H707))),Metadata!H707&gt;=-413.0))</f>
        <v>0</v>
      </c>
      <c r="AU707">
        <f>AND(IF(Metadata!I707="",FALSE,TRUE),exact(Metadata!I707,"meters"))</f>
        <v>0</v>
      </c>
      <c r="AV707">
        <f>AND(IF(Metadata!J707="",FALSE,TRUE),OR(exact(Metadata!J707,"Host-associated"),exact(Metadata!J707,"Free-living")))</f>
        <v>0</v>
      </c>
      <c r="AW707">
        <f>AND(IF(Metadata!K707="",FALSE,TRUE),OR(exact(Metadata!K707,"Animal"),exact(Metadata!K707,"Fungus"),exact(Metadata!K707,"Plant"),exact(Metadata!K707,"Saline"),exact(Metadata!K707,"Non-saline")))</f>
        <v>0</v>
      </c>
      <c r="AX707">
        <f>AND(IF(Metadata!L707="",FALSE,TRUE),OR(exact(Metadata!L707,"Plant secretion"),exact(Metadata!L707,"Plant rhizosphere"),exact(Metadata!L707,"Plant surface"),exact(Metadata!L707,"Plant corpus"),exact(Metadata!L707,"Fungus surface"),exact(Metadata!L707,"Fungus corpus"),exact(Metadata!L707,"Animal surface"),exact(Metadata!L707,"Animal proximal gut"),exact(Metadata!L707,"Animal corpus"),exact(Metadata!L707,"Animal distal gut"),exact(Metadata!L707,"Animal secretion"),exact(Metadata!L707,"Sub-surface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Y707">
        <f>IF(Metadata!M707="",FALSE,TRUE)</f>
        <v>0</v>
      </c>
      <c r="AZ707">
        <f>IF(Metadata!N707="",FALSE,TRUE)</f>
        <v>0</v>
      </c>
      <c r="BA707">
        <f>IF(Metadata!O707="",FALSE,TRUE)</f>
        <v>0</v>
      </c>
      <c r="BB707">
        <f>OR(AND(IF(Metadata!P707="",FALSE,TRUE),OR(exact(Metadata!P707,"not collected"),exact(Metadata!P707,"not provided"),exact(Metadata!P707,"restricted access"))),AND(IF(Metadata!P707="",FALSE,TRUE),OR(exact(Metadata!P707,"air"),exact(Metadata!P707,"built environment"),exact(Metadata!P707,"host-associated"),exact(Metadata!P707,"human-associated"),exact(Metadata!P707,"human-skin"),exact(Metadata!P707,"human-oral"),exact(Metadata!P707,"human-gut"),exact(Metadata!P707,"human-vaginal"),exact(Metadata!P707,"microbial mat/biofilm"),exact(Metadata!P707,"misc environment"),exact(Metadata!P707,"plant-associated"),exact(Metadata!P707,"sediment"),exact(Metadata!P707,"soil"),exact(Metadata!P707,"wastewater/sludge"),exact(Metadata!P707,"water"))))</f>
        <v>0</v>
      </c>
      <c r="BC707">
        <f>IF(Metadata!Q707="",FALSE,TRUE)</f>
        <v>0</v>
      </c>
      <c r="BD707">
        <f>IF(Metadata!R707="",FALSE,TRUE)</f>
        <v>0</v>
      </c>
      <c r="BE707">
        <f>OR(AND(IF(Metadata!S707="",FALSE,TRUE),OR(exact(Metadata!S707,"not collected"),exact(Metadata!S707,"not provided"),exact(Metadata!S707,"restricted access"))),AND(IF(Metadata!S707="",FALSE,ISNUMBER(VALUE(Metadata!S707))),Metadata!S707&gt;=-90.00,Metadata!S707&lt;=90.00))</f>
        <v>0</v>
      </c>
      <c r="BF707">
        <f>AND(IF(Metadata!T707="",FALSE,TRUE),exact(Metadata!T707,"Decimal degrees"))</f>
        <v>0</v>
      </c>
      <c r="BG707">
        <f>OR(AND(IF(Metadata!U707="",FALSE,TRUE),OR(exact(Metadata!U707,"not collected"),exact(Metadata!U707,"not provided"),exact(Metadata!U707,"restricted access"))),AND(IF(Metadata!U707="",FALSE,ISNUMBER(VALUE(Metadata!U707))),Metadata!U707&gt;=-180.00,Metadata!U707&lt;=180.00))</f>
        <v>0</v>
      </c>
      <c r="BH707">
        <f>AND(IF(Metadata!V707="",FALSE,TRUE),exact(Metadata!V707,"Decimal degrees"))</f>
        <v>0</v>
      </c>
      <c r="BI707">
        <f>IF(Metadata!W707="",FALSE,TRUE)</f>
        <v>0</v>
      </c>
      <c r="BJ707">
        <f>OR(AND(IF(Metadata!X707="",FALSE,TRUE),OR(exact(Metadata!X707,"not collected"),exact(Metadata!X707,"not provided"),exact(Metadata!X707,"restricted access"))),AND(IF(Metadata!X707="",FALSE,TRUE),OR(exact(Metadata!X707,"TRUE"),exact(Metadata!X707,"FALSE"))))</f>
        <v>0</v>
      </c>
      <c r="BK707">
        <f>AND(IF(Metadata!Y707="",FALSE,TRUE),exact(Metadata!Y707,"other"))</f>
        <v>0</v>
      </c>
      <c r="BL707">
        <f>IF(Metadata!Z707="",FALSE,TRUE)</f>
        <v>0</v>
      </c>
      <c r="BM707">
        <f>OR(AND(IF(Metadata!AA707="",FALSE,TRUE),OR(exact(Metadata!AA707,"not collected"),exact(Metadata!AA707,"not provided"))),AND(IF(Metadata!AA707="",FALSE,IF(ISERROR(INT(Metadata!AA707)),FALSE,INT(Metadata!AA707)=Metadata!AA707)),Metadata!AA707&gt;0))</f>
        <v>0</v>
      </c>
      <c r="BN707">
        <f>AND(IF(Metadata!AB707="",FALSE,TRUE),exact(Metadata!AB707,"Not applicable"))</f>
        <v>0</v>
      </c>
      <c r="BO707">
        <f>IF(Metadata!AC707="",FALSE,TRUE)</f>
        <v>0</v>
      </c>
    </row>
    <row r="708" spans="1:67">
      <c r="A708" s="5">
        <f>IF(B708=" "," ",HYPERLINK(CONCATENATE("#metadata!",ADDRESS(INDEX($AI$2:$AI$1001,MATCH(ROWS($AG$2:AG708),$AG$2:$AG$1001,0),0),1)),INDEX($AL$2:$AL$1001,MATCH(ROWS($AG$2:AG708),$AG$2:$AG$1001,0),0)))</f>
        <v>0</v>
      </c>
      <c r="B708" s="4">
        <f>IF(OR(INDEX($AH$2:$AH$1001,MATCH(ROWS($AG$2:AG708),$AG$2:$AG$1001,0),1)&gt;=100000,INDEX($AN$1005:$BO$1005,1,MATCH(COLUMNS($AN$1006:AN1006),$AN$1006:$BO$1006,0))&gt;=100000), " ",IF(INDEX($AN$2:$BO$1001,MATCH(ROWS($AG$2:AG708),$AG$2:$AG$1001,0),MATCH(COLUMNS($AN$1006:AN1006),$AN$1006:$BO$1006,0)), HYPERLINK("#",""), HYPERLINK(CONCATENATE("#Metadata!", ADDRESS(INDEX($AI$2:$AI$1001,MATCH(ROWS($AG$2:AG708),$AG$2:$AG$1001,0),0), INDEX($AN$1004:$BO$1004,1,MATCH(COLUMNS($AN$1006:AN1006),$AN$1006:$BO$1006,0)))),"Fix")))</f>
        <v>0</v>
      </c>
      <c r="C708" s="4">
        <f>IF(OR(INDEX($AH$2:$AH$1001,MATCH(ROWS($AG$2:AG708),$AG$2:$AG$1001,0),1)&gt;=100000,INDEX($AN$1005:$BO$1005,1,MATCH(COLUMNS($AN$1006:AO1006),$AN$1006:$BO$1006,0))&gt;=100000), " ",IF(INDEX($AN$2:$BO$1001,MATCH(ROWS($AG$2:AG708),$AG$2:$AG$1001,0),MATCH(COLUMNS($AN$1006:AO1006),$AN$1006:$BO$1006,0)), HYPERLINK("#",""), HYPERLINK(CONCATENATE("#Metadata!", ADDRESS(INDEX($AI$2:$AI$1001,MATCH(ROWS($AG$2:AG708),$AG$2:$AG$1001,0),0), INDEX($AN$1004:$BO$1004,1,MATCH(COLUMNS($AN$1006:AO1006),$AN$1006:$BO$1006,0)))),"Fix")))</f>
        <v>0</v>
      </c>
      <c r="D708" s="4">
        <f>IF(OR(INDEX($AH$2:$AH$1001,MATCH(ROWS($AG$2:AG708),$AG$2:$AG$1001,0),1)&gt;=100000,INDEX($AN$1005:$BO$1005,1,MATCH(COLUMNS($AN$1006:AP1006),$AN$1006:$BO$1006,0))&gt;=100000), " ",IF(INDEX($AN$2:$BO$1001,MATCH(ROWS($AG$2:AG708),$AG$2:$AG$1001,0),MATCH(COLUMNS($AN$1006:AP1006),$AN$1006:$BO$1006,0)), HYPERLINK("#",""), HYPERLINK(CONCATENATE("#Metadata!", ADDRESS(INDEX($AI$2:$AI$1001,MATCH(ROWS($AG$2:AG708),$AG$2:$AG$1001,0),0), INDEX($AN$1004:$BO$1004,1,MATCH(COLUMNS($AN$1006:AP1006),$AN$1006:$BO$1006,0)))),"Fix")))</f>
        <v>0</v>
      </c>
      <c r="E708" s="4">
        <f>IF(OR(INDEX($AH$2:$AH$1001,MATCH(ROWS($AG$2:AG708),$AG$2:$AG$1001,0),1)&gt;=100000,INDEX($AN$1005:$BO$1005,1,MATCH(COLUMNS($AN$1006:AQ1006),$AN$1006:$BO$1006,0))&gt;=100000), " ",IF(INDEX($AN$2:$BO$1001,MATCH(ROWS($AG$2:AG708),$AG$2:$AG$1001,0),MATCH(COLUMNS($AN$1006:AQ1006),$AN$1006:$BO$1006,0)), HYPERLINK("#",""), HYPERLINK(CONCATENATE("#Metadata!", ADDRESS(INDEX($AI$2:$AI$1001,MATCH(ROWS($AG$2:AG708),$AG$2:$AG$1001,0),0), INDEX($AN$1004:$BO$1004,1,MATCH(COLUMNS($AN$1006:AQ1006),$AN$1006:$BO$1006,0)))),"Fix")))</f>
        <v>0</v>
      </c>
      <c r="F708" s="4">
        <f>IF(OR(INDEX($AH$2:$AH$1001,MATCH(ROWS($AG$2:AG708),$AG$2:$AG$1001,0),1)&gt;=100000,INDEX($AN$1005:$BO$1005,1,MATCH(COLUMNS($AN$1006:AR1006),$AN$1006:$BO$1006,0))&gt;=100000), " ",IF(INDEX($AN$2:$BO$1001,MATCH(ROWS($AG$2:AG708),$AG$2:$AG$1001,0),MATCH(COLUMNS($AN$1006:AR1006),$AN$1006:$BO$1006,0)), HYPERLINK("#",""), HYPERLINK(CONCATENATE("#Metadata!", ADDRESS(INDEX($AI$2:$AI$1001,MATCH(ROWS($AG$2:AG708),$AG$2:$AG$1001,0),0), INDEX($AN$1004:$BO$1004,1,MATCH(COLUMNS($AN$1006:AR1006),$AN$1006:$BO$1006,0)))),"Fix")))</f>
        <v>0</v>
      </c>
      <c r="G708" s="4">
        <f>IF(OR(INDEX($AH$2:$AH$1001,MATCH(ROWS($AG$2:AG708),$AG$2:$AG$1001,0),1)&gt;=100000,INDEX($AN$1005:$BO$1005,1,MATCH(COLUMNS($AN$1006:AS1006),$AN$1006:$BO$1006,0))&gt;=100000), " ",IF(INDEX($AN$2:$BO$1001,MATCH(ROWS($AG$2:AG708),$AG$2:$AG$1001,0),MATCH(COLUMNS($AN$1006:AS1006),$AN$1006:$BO$1006,0)), HYPERLINK("#",""), HYPERLINK(CONCATENATE("#Metadata!", ADDRESS(INDEX($AI$2:$AI$1001,MATCH(ROWS($AG$2:AG708),$AG$2:$AG$1001,0),0), INDEX($AN$1004:$BO$1004,1,MATCH(COLUMNS($AN$1006:AS1006),$AN$1006:$BO$1006,0)))),"Fix")))</f>
        <v>0</v>
      </c>
      <c r="H708" s="4">
        <f>IF(OR(INDEX($AH$2:$AH$1001,MATCH(ROWS($AG$2:AG708),$AG$2:$AG$1001,0),1)&gt;=100000,INDEX($AN$1005:$BO$1005,1,MATCH(COLUMNS($AN$1006:AT1006),$AN$1006:$BO$1006,0))&gt;=100000), " ",IF(INDEX($AN$2:$BO$1001,MATCH(ROWS($AG$2:AG708),$AG$2:$AG$1001,0),MATCH(COLUMNS($AN$1006:AT1006),$AN$1006:$BO$1006,0)), HYPERLINK("#",""), HYPERLINK(CONCATENATE("#Metadata!", ADDRESS(INDEX($AI$2:$AI$1001,MATCH(ROWS($AG$2:AG708),$AG$2:$AG$1001,0),0), INDEX($AN$1004:$BO$1004,1,MATCH(COLUMNS($AN$1006:AT1006),$AN$1006:$BO$1006,0)))),"Fix")))</f>
        <v>0</v>
      </c>
      <c r="I708" s="4">
        <f>IF(OR(INDEX($AH$2:$AH$1001,MATCH(ROWS($AG$2:AG708),$AG$2:$AG$1001,0),1)&gt;=100000,INDEX($AN$1005:$BO$1005,1,MATCH(COLUMNS($AN$1006:AU1006),$AN$1006:$BO$1006,0))&gt;=100000), " ",IF(INDEX($AN$2:$BO$1001,MATCH(ROWS($AG$2:AG708),$AG$2:$AG$1001,0),MATCH(COLUMNS($AN$1006:AU1006),$AN$1006:$BO$1006,0)), HYPERLINK("#",""), HYPERLINK(CONCATENATE("#Metadata!", ADDRESS(INDEX($AI$2:$AI$1001,MATCH(ROWS($AG$2:AG708),$AG$2:$AG$1001,0),0), INDEX($AN$1004:$BO$1004,1,MATCH(COLUMNS($AN$1006:AU1006),$AN$1006:$BO$1006,0)))),"Fix")))</f>
        <v>0</v>
      </c>
      <c r="J708" s="4">
        <f>IF(OR(INDEX($AH$2:$AH$1001,MATCH(ROWS($AG$2:AG708),$AG$2:$AG$1001,0),1)&gt;=100000,INDEX($AN$1005:$BO$1005,1,MATCH(COLUMNS($AN$1006:AV1006),$AN$1006:$BO$1006,0))&gt;=100000), " ",IF(INDEX($AN$2:$BO$1001,MATCH(ROWS($AG$2:AG708),$AG$2:$AG$1001,0),MATCH(COLUMNS($AN$1006:AV1006),$AN$1006:$BO$1006,0)), HYPERLINK("#",""), HYPERLINK(CONCATENATE("#Metadata!", ADDRESS(INDEX($AI$2:$AI$1001,MATCH(ROWS($AG$2:AG708),$AG$2:$AG$1001,0),0), INDEX($AN$1004:$BO$1004,1,MATCH(COLUMNS($AN$1006:AV1006),$AN$1006:$BO$1006,0)))),"Fix")))</f>
        <v>0</v>
      </c>
      <c r="K708" s="4">
        <f>IF(OR(INDEX($AH$2:$AH$1001,MATCH(ROWS($AG$2:AG708),$AG$2:$AG$1001,0),1)&gt;=100000,INDEX($AN$1005:$BO$1005,1,MATCH(COLUMNS($AN$1006:AW1006),$AN$1006:$BO$1006,0))&gt;=100000), " ",IF(INDEX($AN$2:$BO$1001,MATCH(ROWS($AG$2:AG708),$AG$2:$AG$1001,0),MATCH(COLUMNS($AN$1006:AW1006),$AN$1006:$BO$1006,0)), HYPERLINK("#",""), HYPERLINK(CONCATENATE("#Metadata!", ADDRESS(INDEX($AI$2:$AI$1001,MATCH(ROWS($AG$2:AG708),$AG$2:$AG$1001,0),0), INDEX($AN$1004:$BO$1004,1,MATCH(COLUMNS($AN$1006:AW1006),$AN$1006:$BO$1006,0)))),"Fix")))</f>
        <v>0</v>
      </c>
      <c r="L708" s="4">
        <f>IF(OR(INDEX($AH$2:$AH$1001,MATCH(ROWS($AG$2:AG708),$AG$2:$AG$1001,0),1)&gt;=100000,INDEX($AN$1005:$BO$1005,1,MATCH(COLUMNS($AN$1006:AX1006),$AN$1006:$BO$1006,0))&gt;=100000), " ",IF(INDEX($AN$2:$BO$1001,MATCH(ROWS($AG$2:AG708),$AG$2:$AG$1001,0),MATCH(COLUMNS($AN$1006:AX1006),$AN$1006:$BO$1006,0)), HYPERLINK("#",""), HYPERLINK(CONCATENATE("#Metadata!", ADDRESS(INDEX($AI$2:$AI$1001,MATCH(ROWS($AG$2:AG708),$AG$2:$AG$1001,0),0), INDEX($AN$1004:$BO$1004,1,MATCH(COLUMNS($AN$1006:AX1006),$AN$1006:$BO$1006,0)))),"Fix")))</f>
        <v>0</v>
      </c>
      <c r="M708" s="4">
        <f>IF(OR(INDEX($AH$2:$AH$1001,MATCH(ROWS($AG$2:AG708),$AG$2:$AG$1001,0),1)&gt;=100000,INDEX($AN$1005:$BO$1005,1,MATCH(COLUMNS($AN$1006:AY1006),$AN$1006:$BO$1006,0))&gt;=100000), " ",IF(INDEX($AN$2:$BO$1001,MATCH(ROWS($AG$2:AG708),$AG$2:$AG$1001,0),MATCH(COLUMNS($AN$1006:AY1006),$AN$1006:$BO$1006,0)), HYPERLINK("#",""), HYPERLINK(CONCATENATE("#Metadata!", ADDRESS(INDEX($AI$2:$AI$1001,MATCH(ROWS($AG$2:AG708),$AG$2:$AG$1001,0),0), INDEX($AN$1004:$BO$1004,1,MATCH(COLUMNS($AN$1006:AY1006),$AN$1006:$BO$1006,0)))),"Fix")))</f>
        <v>0</v>
      </c>
      <c r="N708" s="4">
        <f>IF(OR(INDEX($AH$2:$AH$1001,MATCH(ROWS($AG$2:AG708),$AG$2:$AG$1001,0),1)&gt;=100000,INDEX($AN$1005:$BO$1005,1,MATCH(COLUMNS($AN$1006:AZ1006),$AN$1006:$BO$1006,0))&gt;=100000), " ",IF(INDEX($AN$2:$BO$1001,MATCH(ROWS($AG$2:AG708),$AG$2:$AG$1001,0),MATCH(COLUMNS($AN$1006:AZ1006),$AN$1006:$BO$1006,0)), HYPERLINK("#",""), HYPERLINK(CONCATENATE("#Metadata!", ADDRESS(INDEX($AI$2:$AI$1001,MATCH(ROWS($AG$2:AG708),$AG$2:$AG$1001,0),0), INDEX($AN$1004:$BO$1004,1,MATCH(COLUMNS($AN$1006:AZ1006),$AN$1006:$BO$1006,0)))),"Fix")))</f>
        <v>0</v>
      </c>
      <c r="O708" s="4">
        <f>IF(OR(INDEX($AH$2:$AH$1001,MATCH(ROWS($AG$2:AG708),$AG$2:$AG$1001,0),1)&gt;=100000,INDEX($AN$1005:$BO$1005,1,MATCH(COLUMNS($AN$1006:BA1006),$AN$1006:$BO$1006,0))&gt;=100000), " ",IF(INDEX($AN$2:$BO$1001,MATCH(ROWS($AG$2:AG708),$AG$2:$AG$1001,0),MATCH(COLUMNS($AN$1006:BA1006),$AN$1006:$BO$1006,0)), HYPERLINK("#",""), HYPERLINK(CONCATENATE("#Metadata!", ADDRESS(INDEX($AI$2:$AI$1001,MATCH(ROWS($AG$2:AG708),$AG$2:$AG$1001,0),0), INDEX($AN$1004:$BO$1004,1,MATCH(COLUMNS($AN$1006:BA1006),$AN$1006:$BO$1006,0)))),"Fix")))</f>
        <v>0</v>
      </c>
      <c r="P708" s="4">
        <f>IF(OR(INDEX($AH$2:$AH$1001,MATCH(ROWS($AG$2:AG708),$AG$2:$AG$1001,0),1)&gt;=100000,INDEX($AN$1005:$BO$1005,1,MATCH(COLUMNS($AN$1006:BB1006),$AN$1006:$BO$1006,0))&gt;=100000), " ",IF(INDEX($AN$2:$BO$1001,MATCH(ROWS($AG$2:AG708),$AG$2:$AG$1001,0),MATCH(COLUMNS($AN$1006:BB1006),$AN$1006:$BO$1006,0)), HYPERLINK("#",""), HYPERLINK(CONCATENATE("#Metadata!", ADDRESS(INDEX($AI$2:$AI$1001,MATCH(ROWS($AG$2:AG708),$AG$2:$AG$1001,0),0), INDEX($AN$1004:$BO$1004,1,MATCH(COLUMNS($AN$1006:BB1006),$AN$1006:$BO$1006,0)))),"Fix")))</f>
        <v>0</v>
      </c>
      <c r="Q708" s="4">
        <f>IF(OR(INDEX($AH$2:$AH$1001,MATCH(ROWS($AG$2:AG708),$AG$2:$AG$1001,0),1)&gt;=100000,INDEX($AN$1005:$BO$1005,1,MATCH(COLUMNS($AN$1006:BC1006),$AN$1006:$BO$1006,0))&gt;=100000), " ",IF(INDEX($AN$2:$BO$1001,MATCH(ROWS($AG$2:AG708),$AG$2:$AG$1001,0),MATCH(COLUMNS($AN$1006:BC1006),$AN$1006:$BO$1006,0)), HYPERLINK("#",""), HYPERLINK(CONCATENATE("#Metadata!", ADDRESS(INDEX($AI$2:$AI$1001,MATCH(ROWS($AG$2:AG708),$AG$2:$AG$1001,0),0), INDEX($AN$1004:$BO$1004,1,MATCH(COLUMNS($AN$1006:BC1006),$AN$1006:$BO$1006,0)))),"Fix")))</f>
        <v>0</v>
      </c>
      <c r="R708" s="4">
        <f>IF(OR(INDEX($AH$2:$AH$1001,MATCH(ROWS($AG$2:AG708),$AG$2:$AG$1001,0),1)&gt;=100000,INDEX($AN$1005:$BO$1005,1,MATCH(COLUMNS($AN$1006:BD1006),$AN$1006:$BO$1006,0))&gt;=100000), " ",IF(INDEX($AN$2:$BO$1001,MATCH(ROWS($AG$2:AG708),$AG$2:$AG$1001,0),MATCH(COLUMNS($AN$1006:BD1006),$AN$1006:$BO$1006,0)), HYPERLINK("#",""), HYPERLINK(CONCATENATE("#Metadata!", ADDRESS(INDEX($AI$2:$AI$1001,MATCH(ROWS($AG$2:AG708),$AG$2:$AG$1001,0),0), INDEX($AN$1004:$BO$1004,1,MATCH(COLUMNS($AN$1006:BD1006),$AN$1006:$BO$1006,0)))),"Fix")))</f>
        <v>0</v>
      </c>
      <c r="S708" s="4">
        <f>IF(OR(INDEX($AH$2:$AH$1001,MATCH(ROWS($AG$2:AG708),$AG$2:$AG$1001,0),1)&gt;=100000,INDEX($AN$1005:$BO$1005,1,MATCH(COLUMNS($AN$1006:BE1006),$AN$1006:$BO$1006,0))&gt;=100000), " ",IF(INDEX($AN$2:$BO$1001,MATCH(ROWS($AG$2:AG708),$AG$2:$AG$1001,0),MATCH(COLUMNS($AN$1006:BE1006),$AN$1006:$BO$1006,0)), HYPERLINK("#",""), HYPERLINK(CONCATENATE("#Metadata!", ADDRESS(INDEX($AI$2:$AI$1001,MATCH(ROWS($AG$2:AG708),$AG$2:$AG$1001,0),0), INDEX($AN$1004:$BO$1004,1,MATCH(COLUMNS($AN$1006:BE1006),$AN$1006:$BO$1006,0)))),"Fix")))</f>
        <v>0</v>
      </c>
      <c r="T708" s="4">
        <f>IF(OR(INDEX($AH$2:$AH$1001,MATCH(ROWS($AG$2:AG708),$AG$2:$AG$1001,0),1)&gt;=100000,INDEX($AN$1005:$BO$1005,1,MATCH(COLUMNS($AN$1006:BF1006),$AN$1006:$BO$1006,0))&gt;=100000), " ",IF(INDEX($AN$2:$BO$1001,MATCH(ROWS($AG$2:AG708),$AG$2:$AG$1001,0),MATCH(COLUMNS($AN$1006:BF1006),$AN$1006:$BO$1006,0)), HYPERLINK("#",""), HYPERLINK(CONCATENATE("#Metadata!", ADDRESS(INDEX($AI$2:$AI$1001,MATCH(ROWS($AG$2:AG708),$AG$2:$AG$1001,0),0), INDEX($AN$1004:$BO$1004,1,MATCH(COLUMNS($AN$1006:BF1006),$AN$1006:$BO$1006,0)))),"Fix")))</f>
        <v>0</v>
      </c>
      <c r="U708" s="4">
        <f>IF(OR(INDEX($AH$2:$AH$1001,MATCH(ROWS($AG$2:AG708),$AG$2:$AG$1001,0),1)&gt;=100000,INDEX($AN$1005:$BO$1005,1,MATCH(COLUMNS($AN$1006:BG1006),$AN$1006:$BO$1006,0))&gt;=100000), " ",IF(INDEX($AN$2:$BO$1001,MATCH(ROWS($AG$2:AG708),$AG$2:$AG$1001,0),MATCH(COLUMNS($AN$1006:BG1006),$AN$1006:$BO$1006,0)), HYPERLINK("#",""), HYPERLINK(CONCATENATE("#Metadata!", ADDRESS(INDEX($AI$2:$AI$1001,MATCH(ROWS($AG$2:AG708),$AG$2:$AG$1001,0),0), INDEX($AN$1004:$BO$1004,1,MATCH(COLUMNS($AN$1006:BG1006),$AN$1006:$BO$1006,0)))),"Fix")))</f>
        <v>0</v>
      </c>
      <c r="V708" s="4">
        <f>IF(OR(INDEX($AH$2:$AH$1001,MATCH(ROWS($AG$2:AG708),$AG$2:$AG$1001,0),1)&gt;=100000,INDEX($AN$1005:$BO$1005,1,MATCH(COLUMNS($AN$1006:BH1006),$AN$1006:$BO$1006,0))&gt;=100000), " ",IF(INDEX($AN$2:$BO$1001,MATCH(ROWS($AG$2:AG708),$AG$2:$AG$1001,0),MATCH(COLUMNS($AN$1006:BH1006),$AN$1006:$BO$1006,0)), HYPERLINK("#",""), HYPERLINK(CONCATENATE("#Metadata!", ADDRESS(INDEX($AI$2:$AI$1001,MATCH(ROWS($AG$2:AG708),$AG$2:$AG$1001,0),0), INDEX($AN$1004:$BO$1004,1,MATCH(COLUMNS($AN$1006:BH1006),$AN$1006:$BO$1006,0)))),"Fix")))</f>
        <v>0</v>
      </c>
      <c r="W708" s="4">
        <f>IF(OR(INDEX($AH$2:$AH$1001,MATCH(ROWS($AG$2:AG708),$AG$2:$AG$1001,0),1)&gt;=100000,INDEX($AN$1005:$BO$1005,1,MATCH(COLUMNS($AN$1006:BI1006),$AN$1006:$BO$1006,0))&gt;=100000), " ",IF(INDEX($AN$2:$BO$1001,MATCH(ROWS($AG$2:AG708),$AG$2:$AG$1001,0),MATCH(COLUMNS($AN$1006:BI1006),$AN$1006:$BO$1006,0)), HYPERLINK("#",""), HYPERLINK(CONCATENATE("#Metadata!", ADDRESS(INDEX($AI$2:$AI$1001,MATCH(ROWS($AG$2:AG708),$AG$2:$AG$1001,0),0), INDEX($AN$1004:$BO$1004,1,MATCH(COLUMNS($AN$1006:BI1006),$AN$1006:$BO$1006,0)))),"Fix")))</f>
        <v>0</v>
      </c>
      <c r="X708" s="4">
        <f>IF(OR(INDEX($AH$2:$AH$1001,MATCH(ROWS($AG$2:AG708),$AG$2:$AG$1001,0),1)&gt;=100000,INDEX($AN$1005:$BO$1005,1,MATCH(COLUMNS($AN$1006:BJ1006),$AN$1006:$BO$1006,0))&gt;=100000), " ",IF(INDEX($AN$2:$BO$1001,MATCH(ROWS($AG$2:AG708),$AG$2:$AG$1001,0),MATCH(COLUMNS($AN$1006:BJ1006),$AN$1006:$BO$1006,0)), HYPERLINK("#",""), HYPERLINK(CONCATENATE("#Metadata!", ADDRESS(INDEX($AI$2:$AI$1001,MATCH(ROWS($AG$2:AG708),$AG$2:$AG$1001,0),0), INDEX($AN$1004:$BO$1004,1,MATCH(COLUMNS($AN$1006:BJ1006),$AN$1006:$BO$1006,0)))),"Fix")))</f>
        <v>0</v>
      </c>
      <c r="Y708" s="4">
        <f>IF(OR(INDEX($AH$2:$AH$1001,MATCH(ROWS($AG$2:AG708),$AG$2:$AG$1001,0),1)&gt;=100000,INDEX($AN$1005:$BO$1005,1,MATCH(COLUMNS($AN$1006:BK1006),$AN$1006:$BO$1006,0))&gt;=100000), " ",IF(INDEX($AN$2:$BO$1001,MATCH(ROWS($AG$2:AG708),$AG$2:$AG$1001,0),MATCH(COLUMNS($AN$1006:BK1006),$AN$1006:$BO$1006,0)), HYPERLINK("#",""), HYPERLINK(CONCATENATE("#Metadata!", ADDRESS(INDEX($AI$2:$AI$1001,MATCH(ROWS($AG$2:AG708),$AG$2:$AG$1001,0),0), INDEX($AN$1004:$BO$1004,1,MATCH(COLUMNS($AN$1006:BK1006),$AN$1006:$BO$1006,0)))),"Fix")))</f>
        <v>0</v>
      </c>
      <c r="Z708" s="4">
        <f>IF(OR(INDEX($AH$2:$AH$1001,MATCH(ROWS($AG$2:AG708),$AG$2:$AG$1001,0),1)&gt;=100000,INDEX($AN$1005:$BO$1005,1,MATCH(COLUMNS($AN$1006:BL1006),$AN$1006:$BO$1006,0))&gt;=100000), " ",IF(INDEX($AN$2:$BO$1001,MATCH(ROWS($AG$2:AG708),$AG$2:$AG$1001,0),MATCH(COLUMNS($AN$1006:BL1006),$AN$1006:$BO$1006,0)), HYPERLINK("#",""), HYPERLINK(CONCATENATE("#Metadata!", ADDRESS(INDEX($AI$2:$AI$1001,MATCH(ROWS($AG$2:AG708),$AG$2:$AG$1001,0),0), INDEX($AN$1004:$BO$1004,1,MATCH(COLUMNS($AN$1006:BL1006),$AN$1006:$BO$1006,0)))),"Fix")))</f>
        <v>0</v>
      </c>
      <c r="AA708" s="4">
        <f>IF(OR(INDEX($AH$2:$AH$1001,MATCH(ROWS($AG$2:AG708),$AG$2:$AG$1001,0),1)&gt;=100000,INDEX($AN$1005:$BO$1005,1,MATCH(COLUMNS($AN$1006:BM1006),$AN$1006:$BO$1006,0))&gt;=100000), " ",IF(INDEX($AN$2:$BO$1001,MATCH(ROWS($AG$2:AG708),$AG$2:$AG$1001,0),MATCH(COLUMNS($AN$1006:BM1006),$AN$1006:$BO$1006,0)), HYPERLINK("#",""), HYPERLINK(CONCATENATE("#Metadata!", ADDRESS(INDEX($AI$2:$AI$1001,MATCH(ROWS($AG$2:AG708),$AG$2:$AG$1001,0),0), INDEX($AN$1004:$BO$1004,1,MATCH(COLUMNS($AN$1006:BM1006),$AN$1006:$BO$1006,0)))),"Fix")))</f>
        <v>0</v>
      </c>
      <c r="AB708" s="4">
        <f>IF(OR(INDEX($AH$2:$AH$1001,MATCH(ROWS($AG$2:AG708),$AG$2:$AG$1001,0),1)&gt;=100000,INDEX($AN$1005:$BO$1005,1,MATCH(COLUMNS($AN$1006:BN1006),$AN$1006:$BO$1006,0))&gt;=100000), " ",IF(INDEX($AN$2:$BO$1001,MATCH(ROWS($AG$2:AG708),$AG$2:$AG$1001,0),MATCH(COLUMNS($AN$1006:BN1006),$AN$1006:$BO$1006,0)), HYPERLINK("#",""), HYPERLINK(CONCATENATE("#Metadata!", ADDRESS(INDEX($AI$2:$AI$1001,MATCH(ROWS($AG$2:AG708),$AG$2:$AG$1001,0),0), INDEX($AN$1004:$BO$1004,1,MATCH(COLUMNS($AN$1006:BN1006),$AN$1006:$BO$1006,0)))),"Fix")))</f>
        <v>0</v>
      </c>
      <c r="AC708" s="4">
        <f>IF(OR(INDEX($AH$2:$AH$1001,MATCH(ROWS($AG$2:AG708),$AG$2:$AG$1001,0),1)&gt;=100000,INDEX($AN$1005:$BO$1005,1,MATCH(COLUMNS($AN$1006:BO1006),$AN$1006:$BO$1006,0))&gt;=100000), " ",IF(INDEX($AN$2:$BO$1001,MATCH(ROWS($AG$2:AG708),$AG$2:$AG$1001,0),MATCH(COLUMNS($AN$1006:BO1006),$AN$1006:$BO$1006,0)), HYPERLINK("#",""), HYPERLINK(CONCATENATE("#Metadata!", ADDRESS(INDEX($AI$2:$AI$1001,MATCH(ROWS($AG$2:AG708),$AG$2:$AG$1001,0),0), INDEX($AN$1004:$BO$1004,1,MATCH(COLUMNS($AN$1006:BO1006),$AN$1006:$BO$1006,0)))),"Fix")))</f>
        <v>0</v>
      </c>
      <c r="AG708">
        <v>0</v>
      </c>
      <c r="AH708">
        <v>0</v>
      </c>
      <c r="AI708">
        <v>0</v>
      </c>
      <c r="AJ708">
        <f>IF(AK708,TRUE,AND(AN708:BO708))</f>
        <v>0</v>
      </c>
      <c r="AK708">
        <f>COUNTBLANK(Metadata!B708:AC708)=COLUMNS(Metadata!B708:AC708)</f>
        <v>0</v>
      </c>
      <c r="AL708">
        <v>0</v>
      </c>
      <c r="AN708">
        <f>AND(IF(Metadata!B708="",FALSE,TRUE),COUNTIF(Metadata!B:B, Metadata!B708) = 1,NOT(ISERROR(SUMPRODUCT(SEARCH(MID(Metadata!B708,ROW(INDIRECT("1:"&amp;LEN(Metadata!B708))), 1),"0123456789abcdefghijklmnopqrstuvwxyzABCDEFGHIJKLMNOPQRSTUVWXYZ.")))))</f>
        <v>0</v>
      </c>
      <c r="AO708">
        <f>IF(Metadata!C708="",FALSE,TRUE)</f>
        <v>0</v>
      </c>
      <c r="AP708">
        <f>IF(Metadata!D708="",FALSE,TRUE)</f>
        <v>0</v>
      </c>
      <c r="AQ708">
        <f>OR(AND(IF(Metadata!E708="",FALSE,TRUE),OR(exact(Metadata!E708,"not collected"),exact(Metadata!E708,"not provided"),exact(Metadata!E708,"restricted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R708">
        <f>IF(Metadata!F708="",FALSE,TRUE)</f>
        <v>0</v>
      </c>
      <c r="AS708">
        <f>OR(AND(IF(Metadata!G708="",FALSE,TRUE),OR(exact(Metadata!G708,"not collected"),exact(Metadata!G708,"not provided"))),AND(IF(Metadata!G708="",FALSE,TRUE),OR(exact(Metadata!G708,"TRUE"),exact(Metadata!G708,"FALSE"))))</f>
        <v>0</v>
      </c>
      <c r="AT708">
        <f>OR(AND(IF(Metadata!H708="",FALSE,TRUE),OR(exact(Metadata!H708,"not collected"),exact(Metadata!H708,"not provided"),exact(Metadata!H708,"restricted access"))),AND(IF(Metadata!H708="",FALSE,ISNUMBER(VALUE(Metadata!H708))),Metadata!H708&gt;=-413.0))</f>
        <v>0</v>
      </c>
      <c r="AU708">
        <f>AND(IF(Metadata!I708="",FALSE,TRUE),exact(Metadata!I708,"meters"))</f>
        <v>0</v>
      </c>
      <c r="AV708">
        <f>AND(IF(Metadata!J708="",FALSE,TRUE),OR(exact(Metadata!J708,"Host-associated"),exact(Metadata!J708,"Free-living")))</f>
        <v>0</v>
      </c>
      <c r="AW708">
        <f>AND(IF(Metadata!K708="",FALSE,TRUE),OR(exact(Metadata!K708,"Animal"),exact(Metadata!K708,"Fungus"),exact(Metadata!K708,"Plant"),exact(Metadata!K708,"Saline"),exact(Metadata!K708,"Non-saline")))</f>
        <v>0</v>
      </c>
      <c r="AX708">
        <f>AND(IF(Metadata!L708="",FALSE,TRUE),OR(exact(Metadata!L708,"Plant secretion"),exact(Metadata!L708,"Plant rhizosphere"),exact(Metadata!L708,"Plant surface"),exact(Metadata!L708,"Plant corpus"),exact(Metadata!L708,"Fungus surface"),exact(Metadata!L708,"Fungus corpus"),exact(Metadata!L708,"Animal surface"),exact(Metadata!L708,"Animal proximal gut"),exact(Metadata!L708,"Animal corpus"),exact(Metadata!L708,"Animal distal gut"),exact(Metadata!L708,"Animal secretion"),exact(Metadata!L708,"Sub-surface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Y708">
        <f>IF(Metadata!M708="",FALSE,TRUE)</f>
        <v>0</v>
      </c>
      <c r="AZ708">
        <f>IF(Metadata!N708="",FALSE,TRUE)</f>
        <v>0</v>
      </c>
      <c r="BA708">
        <f>IF(Metadata!O708="",FALSE,TRUE)</f>
        <v>0</v>
      </c>
      <c r="BB708">
        <f>OR(AND(IF(Metadata!P708="",FALSE,TRUE),OR(exact(Metadata!P708,"not collected"),exact(Metadata!P708,"not provided"),exact(Metadata!P708,"restricted access"))),AND(IF(Metadata!P708="",FALSE,TRUE),OR(exact(Metadata!P708,"air"),exact(Metadata!P708,"built environment"),exact(Metadata!P708,"host-associated"),exact(Metadata!P708,"human-associated"),exact(Metadata!P708,"human-skin"),exact(Metadata!P708,"human-oral"),exact(Metadata!P708,"human-gut"),exact(Metadata!P708,"human-vaginal"),exact(Metadata!P708,"microbial mat/biofilm"),exact(Metadata!P708,"misc environment"),exact(Metadata!P708,"plant-associated"),exact(Metadata!P708,"sediment"),exact(Metadata!P708,"soil"),exact(Metadata!P708,"wastewater/sludge"),exact(Metadata!P708,"water"))))</f>
        <v>0</v>
      </c>
      <c r="BC708">
        <f>IF(Metadata!Q708="",FALSE,TRUE)</f>
        <v>0</v>
      </c>
      <c r="BD708">
        <f>IF(Metadata!R708="",FALSE,TRUE)</f>
        <v>0</v>
      </c>
      <c r="BE708">
        <f>OR(AND(IF(Metadata!S708="",FALSE,TRUE),OR(exact(Metadata!S708,"not collected"),exact(Metadata!S708,"not provided"),exact(Metadata!S708,"restricted access"))),AND(IF(Metadata!S708="",FALSE,ISNUMBER(VALUE(Metadata!S708))),Metadata!S708&gt;=-90.00,Metadata!S708&lt;=90.00))</f>
        <v>0</v>
      </c>
      <c r="BF708">
        <f>AND(IF(Metadata!T708="",FALSE,TRUE),exact(Metadata!T708,"Decimal degrees"))</f>
        <v>0</v>
      </c>
      <c r="BG708">
        <f>OR(AND(IF(Metadata!U708="",FALSE,TRUE),OR(exact(Metadata!U708,"not collected"),exact(Metadata!U708,"not provided"),exact(Metadata!U708,"restricted access"))),AND(IF(Metadata!U708="",FALSE,ISNUMBER(VALUE(Metadata!U708))),Metadata!U708&gt;=-180.00,Metadata!U708&lt;=180.00))</f>
        <v>0</v>
      </c>
      <c r="BH708">
        <f>AND(IF(Metadata!V708="",FALSE,TRUE),exact(Metadata!V708,"Decimal degrees"))</f>
        <v>0</v>
      </c>
      <c r="BI708">
        <f>IF(Metadata!W708="",FALSE,TRUE)</f>
        <v>0</v>
      </c>
      <c r="BJ708">
        <f>OR(AND(IF(Metadata!X708="",FALSE,TRUE),OR(exact(Metadata!X708,"not collected"),exact(Metadata!X708,"not provided"),exact(Metadata!X708,"restricted access"))),AND(IF(Metadata!X708="",FALSE,TRUE),OR(exact(Metadata!X708,"TRUE"),exact(Metadata!X708,"FALSE"))))</f>
        <v>0</v>
      </c>
      <c r="BK708">
        <f>AND(IF(Metadata!Y708="",FALSE,TRUE),exact(Metadata!Y708,"other"))</f>
        <v>0</v>
      </c>
      <c r="BL708">
        <f>IF(Metadata!Z708="",FALSE,TRUE)</f>
        <v>0</v>
      </c>
      <c r="BM708">
        <f>OR(AND(IF(Metadata!AA708="",FALSE,TRUE),OR(exact(Metadata!AA708,"not collected"),exact(Metadata!AA708,"not provided"))),AND(IF(Metadata!AA708="",FALSE,IF(ISERROR(INT(Metadata!AA708)),FALSE,INT(Metadata!AA708)=Metadata!AA708)),Metadata!AA708&gt;0))</f>
        <v>0</v>
      </c>
      <c r="BN708">
        <f>AND(IF(Metadata!AB708="",FALSE,TRUE),exact(Metadata!AB708,"Not applicable"))</f>
        <v>0</v>
      </c>
      <c r="BO708">
        <f>IF(Metadata!AC708="",FALSE,TRUE)</f>
        <v>0</v>
      </c>
    </row>
    <row r="709" spans="1:67">
      <c r="A709" s="5">
        <f>IF(B709=" "," ",HYPERLINK(CONCATENATE("#metadata!",ADDRESS(INDEX($AI$2:$AI$1001,MATCH(ROWS($AG$2:AG709),$AG$2:$AG$1001,0),0),1)),INDEX($AL$2:$AL$1001,MATCH(ROWS($AG$2:AG709),$AG$2:$AG$1001,0),0)))</f>
        <v>0</v>
      </c>
      <c r="B709" s="4">
        <f>IF(OR(INDEX($AH$2:$AH$1001,MATCH(ROWS($AG$2:AG709),$AG$2:$AG$1001,0),1)&gt;=100000,INDEX($AN$1005:$BO$1005,1,MATCH(COLUMNS($AN$1006:AN1006),$AN$1006:$BO$1006,0))&gt;=100000), " ",IF(INDEX($AN$2:$BO$1001,MATCH(ROWS($AG$2:AG709),$AG$2:$AG$1001,0),MATCH(COLUMNS($AN$1006:AN1006),$AN$1006:$BO$1006,0)), HYPERLINK("#",""), HYPERLINK(CONCATENATE("#Metadata!", ADDRESS(INDEX($AI$2:$AI$1001,MATCH(ROWS($AG$2:AG709),$AG$2:$AG$1001,0),0), INDEX($AN$1004:$BO$1004,1,MATCH(COLUMNS($AN$1006:AN1006),$AN$1006:$BO$1006,0)))),"Fix")))</f>
        <v>0</v>
      </c>
      <c r="C709" s="4">
        <f>IF(OR(INDEX($AH$2:$AH$1001,MATCH(ROWS($AG$2:AG709),$AG$2:$AG$1001,0),1)&gt;=100000,INDEX($AN$1005:$BO$1005,1,MATCH(COLUMNS($AN$1006:AO1006),$AN$1006:$BO$1006,0))&gt;=100000), " ",IF(INDEX($AN$2:$BO$1001,MATCH(ROWS($AG$2:AG709),$AG$2:$AG$1001,0),MATCH(COLUMNS($AN$1006:AO1006),$AN$1006:$BO$1006,0)), HYPERLINK("#",""), HYPERLINK(CONCATENATE("#Metadata!", ADDRESS(INDEX($AI$2:$AI$1001,MATCH(ROWS($AG$2:AG709),$AG$2:$AG$1001,0),0), INDEX($AN$1004:$BO$1004,1,MATCH(COLUMNS($AN$1006:AO1006),$AN$1006:$BO$1006,0)))),"Fix")))</f>
        <v>0</v>
      </c>
      <c r="D709" s="4">
        <f>IF(OR(INDEX($AH$2:$AH$1001,MATCH(ROWS($AG$2:AG709),$AG$2:$AG$1001,0),1)&gt;=100000,INDEX($AN$1005:$BO$1005,1,MATCH(COLUMNS($AN$1006:AP1006),$AN$1006:$BO$1006,0))&gt;=100000), " ",IF(INDEX($AN$2:$BO$1001,MATCH(ROWS($AG$2:AG709),$AG$2:$AG$1001,0),MATCH(COLUMNS($AN$1006:AP1006),$AN$1006:$BO$1006,0)), HYPERLINK("#",""), HYPERLINK(CONCATENATE("#Metadata!", ADDRESS(INDEX($AI$2:$AI$1001,MATCH(ROWS($AG$2:AG709),$AG$2:$AG$1001,0),0), INDEX($AN$1004:$BO$1004,1,MATCH(COLUMNS($AN$1006:AP1006),$AN$1006:$BO$1006,0)))),"Fix")))</f>
        <v>0</v>
      </c>
      <c r="E709" s="4">
        <f>IF(OR(INDEX($AH$2:$AH$1001,MATCH(ROWS($AG$2:AG709),$AG$2:$AG$1001,0),1)&gt;=100000,INDEX($AN$1005:$BO$1005,1,MATCH(COLUMNS($AN$1006:AQ1006),$AN$1006:$BO$1006,0))&gt;=100000), " ",IF(INDEX($AN$2:$BO$1001,MATCH(ROWS($AG$2:AG709),$AG$2:$AG$1001,0),MATCH(COLUMNS($AN$1006:AQ1006),$AN$1006:$BO$1006,0)), HYPERLINK("#",""), HYPERLINK(CONCATENATE("#Metadata!", ADDRESS(INDEX($AI$2:$AI$1001,MATCH(ROWS($AG$2:AG709),$AG$2:$AG$1001,0),0), INDEX($AN$1004:$BO$1004,1,MATCH(COLUMNS($AN$1006:AQ1006),$AN$1006:$BO$1006,0)))),"Fix")))</f>
        <v>0</v>
      </c>
      <c r="F709" s="4">
        <f>IF(OR(INDEX($AH$2:$AH$1001,MATCH(ROWS($AG$2:AG709),$AG$2:$AG$1001,0),1)&gt;=100000,INDEX($AN$1005:$BO$1005,1,MATCH(COLUMNS($AN$1006:AR1006),$AN$1006:$BO$1006,0))&gt;=100000), " ",IF(INDEX($AN$2:$BO$1001,MATCH(ROWS($AG$2:AG709),$AG$2:$AG$1001,0),MATCH(COLUMNS($AN$1006:AR1006),$AN$1006:$BO$1006,0)), HYPERLINK("#",""), HYPERLINK(CONCATENATE("#Metadata!", ADDRESS(INDEX($AI$2:$AI$1001,MATCH(ROWS($AG$2:AG709),$AG$2:$AG$1001,0),0), INDEX($AN$1004:$BO$1004,1,MATCH(COLUMNS($AN$1006:AR1006),$AN$1006:$BO$1006,0)))),"Fix")))</f>
        <v>0</v>
      </c>
      <c r="G709" s="4">
        <f>IF(OR(INDEX($AH$2:$AH$1001,MATCH(ROWS($AG$2:AG709),$AG$2:$AG$1001,0),1)&gt;=100000,INDEX($AN$1005:$BO$1005,1,MATCH(COLUMNS($AN$1006:AS1006),$AN$1006:$BO$1006,0))&gt;=100000), " ",IF(INDEX($AN$2:$BO$1001,MATCH(ROWS($AG$2:AG709),$AG$2:$AG$1001,0),MATCH(COLUMNS($AN$1006:AS1006),$AN$1006:$BO$1006,0)), HYPERLINK("#",""), HYPERLINK(CONCATENATE("#Metadata!", ADDRESS(INDEX($AI$2:$AI$1001,MATCH(ROWS($AG$2:AG709),$AG$2:$AG$1001,0),0), INDEX($AN$1004:$BO$1004,1,MATCH(COLUMNS($AN$1006:AS1006),$AN$1006:$BO$1006,0)))),"Fix")))</f>
        <v>0</v>
      </c>
      <c r="H709" s="4">
        <f>IF(OR(INDEX($AH$2:$AH$1001,MATCH(ROWS($AG$2:AG709),$AG$2:$AG$1001,0),1)&gt;=100000,INDEX($AN$1005:$BO$1005,1,MATCH(COLUMNS($AN$1006:AT1006),$AN$1006:$BO$1006,0))&gt;=100000), " ",IF(INDEX($AN$2:$BO$1001,MATCH(ROWS($AG$2:AG709),$AG$2:$AG$1001,0),MATCH(COLUMNS($AN$1006:AT1006),$AN$1006:$BO$1006,0)), HYPERLINK("#",""), HYPERLINK(CONCATENATE("#Metadata!", ADDRESS(INDEX($AI$2:$AI$1001,MATCH(ROWS($AG$2:AG709),$AG$2:$AG$1001,0),0), INDEX($AN$1004:$BO$1004,1,MATCH(COLUMNS($AN$1006:AT1006),$AN$1006:$BO$1006,0)))),"Fix")))</f>
        <v>0</v>
      </c>
      <c r="I709" s="4">
        <f>IF(OR(INDEX($AH$2:$AH$1001,MATCH(ROWS($AG$2:AG709),$AG$2:$AG$1001,0),1)&gt;=100000,INDEX($AN$1005:$BO$1005,1,MATCH(COLUMNS($AN$1006:AU1006),$AN$1006:$BO$1006,0))&gt;=100000), " ",IF(INDEX($AN$2:$BO$1001,MATCH(ROWS($AG$2:AG709),$AG$2:$AG$1001,0),MATCH(COLUMNS($AN$1006:AU1006),$AN$1006:$BO$1006,0)), HYPERLINK("#",""), HYPERLINK(CONCATENATE("#Metadata!", ADDRESS(INDEX($AI$2:$AI$1001,MATCH(ROWS($AG$2:AG709),$AG$2:$AG$1001,0),0), INDEX($AN$1004:$BO$1004,1,MATCH(COLUMNS($AN$1006:AU1006),$AN$1006:$BO$1006,0)))),"Fix")))</f>
        <v>0</v>
      </c>
      <c r="J709" s="4">
        <f>IF(OR(INDEX($AH$2:$AH$1001,MATCH(ROWS($AG$2:AG709),$AG$2:$AG$1001,0),1)&gt;=100000,INDEX($AN$1005:$BO$1005,1,MATCH(COLUMNS($AN$1006:AV1006),$AN$1006:$BO$1006,0))&gt;=100000), " ",IF(INDEX($AN$2:$BO$1001,MATCH(ROWS($AG$2:AG709),$AG$2:$AG$1001,0),MATCH(COLUMNS($AN$1006:AV1006),$AN$1006:$BO$1006,0)), HYPERLINK("#",""), HYPERLINK(CONCATENATE("#Metadata!", ADDRESS(INDEX($AI$2:$AI$1001,MATCH(ROWS($AG$2:AG709),$AG$2:$AG$1001,0),0), INDEX($AN$1004:$BO$1004,1,MATCH(COLUMNS($AN$1006:AV1006),$AN$1006:$BO$1006,0)))),"Fix")))</f>
        <v>0</v>
      </c>
      <c r="K709" s="4">
        <f>IF(OR(INDEX($AH$2:$AH$1001,MATCH(ROWS($AG$2:AG709),$AG$2:$AG$1001,0),1)&gt;=100000,INDEX($AN$1005:$BO$1005,1,MATCH(COLUMNS($AN$1006:AW1006),$AN$1006:$BO$1006,0))&gt;=100000), " ",IF(INDEX($AN$2:$BO$1001,MATCH(ROWS($AG$2:AG709),$AG$2:$AG$1001,0),MATCH(COLUMNS($AN$1006:AW1006),$AN$1006:$BO$1006,0)), HYPERLINK("#",""), HYPERLINK(CONCATENATE("#Metadata!", ADDRESS(INDEX($AI$2:$AI$1001,MATCH(ROWS($AG$2:AG709),$AG$2:$AG$1001,0),0), INDEX($AN$1004:$BO$1004,1,MATCH(COLUMNS($AN$1006:AW1006),$AN$1006:$BO$1006,0)))),"Fix")))</f>
        <v>0</v>
      </c>
      <c r="L709" s="4">
        <f>IF(OR(INDEX($AH$2:$AH$1001,MATCH(ROWS($AG$2:AG709),$AG$2:$AG$1001,0),1)&gt;=100000,INDEX($AN$1005:$BO$1005,1,MATCH(COLUMNS($AN$1006:AX1006),$AN$1006:$BO$1006,0))&gt;=100000), " ",IF(INDEX($AN$2:$BO$1001,MATCH(ROWS($AG$2:AG709),$AG$2:$AG$1001,0),MATCH(COLUMNS($AN$1006:AX1006),$AN$1006:$BO$1006,0)), HYPERLINK("#",""), HYPERLINK(CONCATENATE("#Metadata!", ADDRESS(INDEX($AI$2:$AI$1001,MATCH(ROWS($AG$2:AG709),$AG$2:$AG$1001,0),0), INDEX($AN$1004:$BO$1004,1,MATCH(COLUMNS($AN$1006:AX1006),$AN$1006:$BO$1006,0)))),"Fix")))</f>
        <v>0</v>
      </c>
      <c r="M709" s="4">
        <f>IF(OR(INDEX($AH$2:$AH$1001,MATCH(ROWS($AG$2:AG709),$AG$2:$AG$1001,0),1)&gt;=100000,INDEX($AN$1005:$BO$1005,1,MATCH(COLUMNS($AN$1006:AY1006),$AN$1006:$BO$1006,0))&gt;=100000), " ",IF(INDEX($AN$2:$BO$1001,MATCH(ROWS($AG$2:AG709),$AG$2:$AG$1001,0),MATCH(COLUMNS($AN$1006:AY1006),$AN$1006:$BO$1006,0)), HYPERLINK("#",""), HYPERLINK(CONCATENATE("#Metadata!", ADDRESS(INDEX($AI$2:$AI$1001,MATCH(ROWS($AG$2:AG709),$AG$2:$AG$1001,0),0), INDEX($AN$1004:$BO$1004,1,MATCH(COLUMNS($AN$1006:AY1006),$AN$1006:$BO$1006,0)))),"Fix")))</f>
        <v>0</v>
      </c>
      <c r="N709" s="4">
        <f>IF(OR(INDEX($AH$2:$AH$1001,MATCH(ROWS($AG$2:AG709),$AG$2:$AG$1001,0),1)&gt;=100000,INDEX($AN$1005:$BO$1005,1,MATCH(COLUMNS($AN$1006:AZ1006),$AN$1006:$BO$1006,0))&gt;=100000), " ",IF(INDEX($AN$2:$BO$1001,MATCH(ROWS($AG$2:AG709),$AG$2:$AG$1001,0),MATCH(COLUMNS($AN$1006:AZ1006),$AN$1006:$BO$1006,0)), HYPERLINK("#",""), HYPERLINK(CONCATENATE("#Metadata!", ADDRESS(INDEX($AI$2:$AI$1001,MATCH(ROWS($AG$2:AG709),$AG$2:$AG$1001,0),0), INDEX($AN$1004:$BO$1004,1,MATCH(COLUMNS($AN$1006:AZ1006),$AN$1006:$BO$1006,0)))),"Fix")))</f>
        <v>0</v>
      </c>
      <c r="O709" s="4">
        <f>IF(OR(INDEX($AH$2:$AH$1001,MATCH(ROWS($AG$2:AG709),$AG$2:$AG$1001,0),1)&gt;=100000,INDEX($AN$1005:$BO$1005,1,MATCH(COLUMNS($AN$1006:BA1006),$AN$1006:$BO$1006,0))&gt;=100000), " ",IF(INDEX($AN$2:$BO$1001,MATCH(ROWS($AG$2:AG709),$AG$2:$AG$1001,0),MATCH(COLUMNS($AN$1006:BA1006),$AN$1006:$BO$1006,0)), HYPERLINK("#",""), HYPERLINK(CONCATENATE("#Metadata!", ADDRESS(INDEX($AI$2:$AI$1001,MATCH(ROWS($AG$2:AG709),$AG$2:$AG$1001,0),0), INDEX($AN$1004:$BO$1004,1,MATCH(COLUMNS($AN$1006:BA1006),$AN$1006:$BO$1006,0)))),"Fix")))</f>
        <v>0</v>
      </c>
      <c r="P709" s="4">
        <f>IF(OR(INDEX($AH$2:$AH$1001,MATCH(ROWS($AG$2:AG709),$AG$2:$AG$1001,0),1)&gt;=100000,INDEX($AN$1005:$BO$1005,1,MATCH(COLUMNS($AN$1006:BB1006),$AN$1006:$BO$1006,0))&gt;=100000), " ",IF(INDEX($AN$2:$BO$1001,MATCH(ROWS($AG$2:AG709),$AG$2:$AG$1001,0),MATCH(COLUMNS($AN$1006:BB1006),$AN$1006:$BO$1006,0)), HYPERLINK("#",""), HYPERLINK(CONCATENATE("#Metadata!", ADDRESS(INDEX($AI$2:$AI$1001,MATCH(ROWS($AG$2:AG709),$AG$2:$AG$1001,0),0), INDEX($AN$1004:$BO$1004,1,MATCH(COLUMNS($AN$1006:BB1006),$AN$1006:$BO$1006,0)))),"Fix")))</f>
        <v>0</v>
      </c>
      <c r="Q709" s="4">
        <f>IF(OR(INDEX($AH$2:$AH$1001,MATCH(ROWS($AG$2:AG709),$AG$2:$AG$1001,0),1)&gt;=100000,INDEX($AN$1005:$BO$1005,1,MATCH(COLUMNS($AN$1006:BC1006),$AN$1006:$BO$1006,0))&gt;=100000), " ",IF(INDEX($AN$2:$BO$1001,MATCH(ROWS($AG$2:AG709),$AG$2:$AG$1001,0),MATCH(COLUMNS($AN$1006:BC1006),$AN$1006:$BO$1006,0)), HYPERLINK("#",""), HYPERLINK(CONCATENATE("#Metadata!", ADDRESS(INDEX($AI$2:$AI$1001,MATCH(ROWS($AG$2:AG709),$AG$2:$AG$1001,0),0), INDEX($AN$1004:$BO$1004,1,MATCH(COLUMNS($AN$1006:BC1006),$AN$1006:$BO$1006,0)))),"Fix")))</f>
        <v>0</v>
      </c>
      <c r="R709" s="4">
        <f>IF(OR(INDEX($AH$2:$AH$1001,MATCH(ROWS($AG$2:AG709),$AG$2:$AG$1001,0),1)&gt;=100000,INDEX($AN$1005:$BO$1005,1,MATCH(COLUMNS($AN$1006:BD1006),$AN$1006:$BO$1006,0))&gt;=100000), " ",IF(INDEX($AN$2:$BO$1001,MATCH(ROWS($AG$2:AG709),$AG$2:$AG$1001,0),MATCH(COLUMNS($AN$1006:BD1006),$AN$1006:$BO$1006,0)), HYPERLINK("#",""), HYPERLINK(CONCATENATE("#Metadata!", ADDRESS(INDEX($AI$2:$AI$1001,MATCH(ROWS($AG$2:AG709),$AG$2:$AG$1001,0),0), INDEX($AN$1004:$BO$1004,1,MATCH(COLUMNS($AN$1006:BD1006),$AN$1006:$BO$1006,0)))),"Fix")))</f>
        <v>0</v>
      </c>
      <c r="S709" s="4">
        <f>IF(OR(INDEX($AH$2:$AH$1001,MATCH(ROWS($AG$2:AG709),$AG$2:$AG$1001,0),1)&gt;=100000,INDEX($AN$1005:$BO$1005,1,MATCH(COLUMNS($AN$1006:BE1006),$AN$1006:$BO$1006,0))&gt;=100000), " ",IF(INDEX($AN$2:$BO$1001,MATCH(ROWS($AG$2:AG709),$AG$2:$AG$1001,0),MATCH(COLUMNS($AN$1006:BE1006),$AN$1006:$BO$1006,0)), HYPERLINK("#",""), HYPERLINK(CONCATENATE("#Metadata!", ADDRESS(INDEX($AI$2:$AI$1001,MATCH(ROWS($AG$2:AG709),$AG$2:$AG$1001,0),0), INDEX($AN$1004:$BO$1004,1,MATCH(COLUMNS($AN$1006:BE1006),$AN$1006:$BO$1006,0)))),"Fix")))</f>
        <v>0</v>
      </c>
      <c r="T709" s="4">
        <f>IF(OR(INDEX($AH$2:$AH$1001,MATCH(ROWS($AG$2:AG709),$AG$2:$AG$1001,0),1)&gt;=100000,INDEX($AN$1005:$BO$1005,1,MATCH(COLUMNS($AN$1006:BF1006),$AN$1006:$BO$1006,0))&gt;=100000), " ",IF(INDEX($AN$2:$BO$1001,MATCH(ROWS($AG$2:AG709),$AG$2:$AG$1001,0),MATCH(COLUMNS($AN$1006:BF1006),$AN$1006:$BO$1006,0)), HYPERLINK("#",""), HYPERLINK(CONCATENATE("#Metadata!", ADDRESS(INDEX($AI$2:$AI$1001,MATCH(ROWS($AG$2:AG709),$AG$2:$AG$1001,0),0), INDEX($AN$1004:$BO$1004,1,MATCH(COLUMNS($AN$1006:BF1006),$AN$1006:$BO$1006,0)))),"Fix")))</f>
        <v>0</v>
      </c>
      <c r="U709" s="4">
        <f>IF(OR(INDEX($AH$2:$AH$1001,MATCH(ROWS($AG$2:AG709),$AG$2:$AG$1001,0),1)&gt;=100000,INDEX($AN$1005:$BO$1005,1,MATCH(COLUMNS($AN$1006:BG1006),$AN$1006:$BO$1006,0))&gt;=100000), " ",IF(INDEX($AN$2:$BO$1001,MATCH(ROWS($AG$2:AG709),$AG$2:$AG$1001,0),MATCH(COLUMNS($AN$1006:BG1006),$AN$1006:$BO$1006,0)), HYPERLINK("#",""), HYPERLINK(CONCATENATE("#Metadata!", ADDRESS(INDEX($AI$2:$AI$1001,MATCH(ROWS($AG$2:AG709),$AG$2:$AG$1001,0),0), INDEX($AN$1004:$BO$1004,1,MATCH(COLUMNS($AN$1006:BG1006),$AN$1006:$BO$1006,0)))),"Fix")))</f>
        <v>0</v>
      </c>
      <c r="V709" s="4">
        <f>IF(OR(INDEX($AH$2:$AH$1001,MATCH(ROWS($AG$2:AG709),$AG$2:$AG$1001,0),1)&gt;=100000,INDEX($AN$1005:$BO$1005,1,MATCH(COLUMNS($AN$1006:BH1006),$AN$1006:$BO$1006,0))&gt;=100000), " ",IF(INDEX($AN$2:$BO$1001,MATCH(ROWS($AG$2:AG709),$AG$2:$AG$1001,0),MATCH(COLUMNS($AN$1006:BH1006),$AN$1006:$BO$1006,0)), HYPERLINK("#",""), HYPERLINK(CONCATENATE("#Metadata!", ADDRESS(INDEX($AI$2:$AI$1001,MATCH(ROWS($AG$2:AG709),$AG$2:$AG$1001,0),0), INDEX($AN$1004:$BO$1004,1,MATCH(COLUMNS($AN$1006:BH1006),$AN$1006:$BO$1006,0)))),"Fix")))</f>
        <v>0</v>
      </c>
      <c r="W709" s="4">
        <f>IF(OR(INDEX($AH$2:$AH$1001,MATCH(ROWS($AG$2:AG709),$AG$2:$AG$1001,0),1)&gt;=100000,INDEX($AN$1005:$BO$1005,1,MATCH(COLUMNS($AN$1006:BI1006),$AN$1006:$BO$1006,0))&gt;=100000), " ",IF(INDEX($AN$2:$BO$1001,MATCH(ROWS($AG$2:AG709),$AG$2:$AG$1001,0),MATCH(COLUMNS($AN$1006:BI1006),$AN$1006:$BO$1006,0)), HYPERLINK("#",""), HYPERLINK(CONCATENATE("#Metadata!", ADDRESS(INDEX($AI$2:$AI$1001,MATCH(ROWS($AG$2:AG709),$AG$2:$AG$1001,0),0), INDEX($AN$1004:$BO$1004,1,MATCH(COLUMNS($AN$1006:BI1006),$AN$1006:$BO$1006,0)))),"Fix")))</f>
        <v>0</v>
      </c>
      <c r="X709" s="4">
        <f>IF(OR(INDEX($AH$2:$AH$1001,MATCH(ROWS($AG$2:AG709),$AG$2:$AG$1001,0),1)&gt;=100000,INDEX($AN$1005:$BO$1005,1,MATCH(COLUMNS($AN$1006:BJ1006),$AN$1006:$BO$1006,0))&gt;=100000), " ",IF(INDEX($AN$2:$BO$1001,MATCH(ROWS($AG$2:AG709),$AG$2:$AG$1001,0),MATCH(COLUMNS($AN$1006:BJ1006),$AN$1006:$BO$1006,0)), HYPERLINK("#",""), HYPERLINK(CONCATENATE("#Metadata!", ADDRESS(INDEX($AI$2:$AI$1001,MATCH(ROWS($AG$2:AG709),$AG$2:$AG$1001,0),0), INDEX($AN$1004:$BO$1004,1,MATCH(COLUMNS($AN$1006:BJ1006),$AN$1006:$BO$1006,0)))),"Fix")))</f>
        <v>0</v>
      </c>
      <c r="Y709" s="4">
        <f>IF(OR(INDEX($AH$2:$AH$1001,MATCH(ROWS($AG$2:AG709),$AG$2:$AG$1001,0),1)&gt;=100000,INDEX($AN$1005:$BO$1005,1,MATCH(COLUMNS($AN$1006:BK1006),$AN$1006:$BO$1006,0))&gt;=100000), " ",IF(INDEX($AN$2:$BO$1001,MATCH(ROWS($AG$2:AG709),$AG$2:$AG$1001,0),MATCH(COLUMNS($AN$1006:BK1006),$AN$1006:$BO$1006,0)), HYPERLINK("#",""), HYPERLINK(CONCATENATE("#Metadata!", ADDRESS(INDEX($AI$2:$AI$1001,MATCH(ROWS($AG$2:AG709),$AG$2:$AG$1001,0),0), INDEX($AN$1004:$BO$1004,1,MATCH(COLUMNS($AN$1006:BK1006),$AN$1006:$BO$1006,0)))),"Fix")))</f>
        <v>0</v>
      </c>
      <c r="Z709" s="4">
        <f>IF(OR(INDEX($AH$2:$AH$1001,MATCH(ROWS($AG$2:AG709),$AG$2:$AG$1001,0),1)&gt;=100000,INDEX($AN$1005:$BO$1005,1,MATCH(COLUMNS($AN$1006:BL1006),$AN$1006:$BO$1006,0))&gt;=100000), " ",IF(INDEX($AN$2:$BO$1001,MATCH(ROWS($AG$2:AG709),$AG$2:$AG$1001,0),MATCH(COLUMNS($AN$1006:BL1006),$AN$1006:$BO$1006,0)), HYPERLINK("#",""), HYPERLINK(CONCATENATE("#Metadata!", ADDRESS(INDEX($AI$2:$AI$1001,MATCH(ROWS($AG$2:AG709),$AG$2:$AG$1001,0),0), INDEX($AN$1004:$BO$1004,1,MATCH(COLUMNS($AN$1006:BL1006),$AN$1006:$BO$1006,0)))),"Fix")))</f>
        <v>0</v>
      </c>
      <c r="AA709" s="4">
        <f>IF(OR(INDEX($AH$2:$AH$1001,MATCH(ROWS($AG$2:AG709),$AG$2:$AG$1001,0),1)&gt;=100000,INDEX($AN$1005:$BO$1005,1,MATCH(COLUMNS($AN$1006:BM1006),$AN$1006:$BO$1006,0))&gt;=100000), " ",IF(INDEX($AN$2:$BO$1001,MATCH(ROWS($AG$2:AG709),$AG$2:$AG$1001,0),MATCH(COLUMNS($AN$1006:BM1006),$AN$1006:$BO$1006,0)), HYPERLINK("#",""), HYPERLINK(CONCATENATE("#Metadata!", ADDRESS(INDEX($AI$2:$AI$1001,MATCH(ROWS($AG$2:AG709),$AG$2:$AG$1001,0),0), INDEX($AN$1004:$BO$1004,1,MATCH(COLUMNS($AN$1006:BM1006),$AN$1006:$BO$1006,0)))),"Fix")))</f>
        <v>0</v>
      </c>
      <c r="AB709" s="4">
        <f>IF(OR(INDEX($AH$2:$AH$1001,MATCH(ROWS($AG$2:AG709),$AG$2:$AG$1001,0),1)&gt;=100000,INDEX($AN$1005:$BO$1005,1,MATCH(COLUMNS($AN$1006:BN1006),$AN$1006:$BO$1006,0))&gt;=100000), " ",IF(INDEX($AN$2:$BO$1001,MATCH(ROWS($AG$2:AG709),$AG$2:$AG$1001,0),MATCH(COLUMNS($AN$1006:BN1006),$AN$1006:$BO$1006,0)), HYPERLINK("#",""), HYPERLINK(CONCATENATE("#Metadata!", ADDRESS(INDEX($AI$2:$AI$1001,MATCH(ROWS($AG$2:AG709),$AG$2:$AG$1001,0),0), INDEX($AN$1004:$BO$1004,1,MATCH(COLUMNS($AN$1006:BN1006),$AN$1006:$BO$1006,0)))),"Fix")))</f>
        <v>0</v>
      </c>
      <c r="AC709" s="4">
        <f>IF(OR(INDEX($AH$2:$AH$1001,MATCH(ROWS($AG$2:AG709),$AG$2:$AG$1001,0),1)&gt;=100000,INDEX($AN$1005:$BO$1005,1,MATCH(COLUMNS($AN$1006:BO1006),$AN$1006:$BO$1006,0))&gt;=100000), " ",IF(INDEX($AN$2:$BO$1001,MATCH(ROWS($AG$2:AG709),$AG$2:$AG$1001,0),MATCH(COLUMNS($AN$1006:BO1006),$AN$1006:$BO$1006,0)), HYPERLINK("#",""), HYPERLINK(CONCATENATE("#Metadata!", ADDRESS(INDEX($AI$2:$AI$1001,MATCH(ROWS($AG$2:AG709),$AG$2:$AG$1001,0),0), INDEX($AN$1004:$BO$1004,1,MATCH(COLUMNS($AN$1006:BO1006),$AN$1006:$BO$1006,0)))),"Fix")))</f>
        <v>0</v>
      </c>
      <c r="AG709">
        <v>0</v>
      </c>
      <c r="AH709">
        <v>0</v>
      </c>
      <c r="AI709">
        <v>0</v>
      </c>
      <c r="AJ709">
        <f>IF(AK709,TRUE,AND(AN709:BO709))</f>
        <v>0</v>
      </c>
      <c r="AK709">
        <f>COUNTBLANK(Metadata!B709:AC709)=COLUMNS(Metadata!B709:AC709)</f>
        <v>0</v>
      </c>
      <c r="AL709">
        <v>0</v>
      </c>
      <c r="AN709">
        <f>AND(IF(Metadata!B709="",FALSE,TRUE),COUNTIF(Metadata!B:B, Metadata!B709) = 1,NOT(ISERROR(SUMPRODUCT(SEARCH(MID(Metadata!B709,ROW(INDIRECT("1:"&amp;LEN(Metadata!B709))), 1),"0123456789abcdefghijklmnopqrstuvwxyzABCDEFGHIJKLMNOPQRSTUVWXYZ.")))))</f>
        <v>0</v>
      </c>
      <c r="AO709">
        <f>IF(Metadata!C709="",FALSE,TRUE)</f>
        <v>0</v>
      </c>
      <c r="AP709">
        <f>IF(Metadata!D709="",FALSE,TRUE)</f>
        <v>0</v>
      </c>
      <c r="AQ709">
        <f>OR(AND(IF(Metadata!E709="",FALSE,TRUE),OR(exact(Metadata!E709,"not collected"),exact(Metadata!E709,"not provided"),exact(Metadata!E709,"restricted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R709">
        <f>IF(Metadata!F709="",FALSE,TRUE)</f>
        <v>0</v>
      </c>
      <c r="AS709">
        <f>OR(AND(IF(Metadata!G709="",FALSE,TRUE),OR(exact(Metadata!G709,"not collected"),exact(Metadata!G709,"not provided"))),AND(IF(Metadata!G709="",FALSE,TRUE),OR(exact(Metadata!G709,"TRUE"),exact(Metadata!G709,"FALSE"))))</f>
        <v>0</v>
      </c>
      <c r="AT709">
        <f>OR(AND(IF(Metadata!H709="",FALSE,TRUE),OR(exact(Metadata!H709,"not collected"),exact(Metadata!H709,"not provided"),exact(Metadata!H709,"restricted access"))),AND(IF(Metadata!H709="",FALSE,ISNUMBER(VALUE(Metadata!H709))),Metadata!H709&gt;=-413.0))</f>
        <v>0</v>
      </c>
      <c r="AU709">
        <f>AND(IF(Metadata!I709="",FALSE,TRUE),exact(Metadata!I709,"meters"))</f>
        <v>0</v>
      </c>
      <c r="AV709">
        <f>AND(IF(Metadata!J709="",FALSE,TRUE),OR(exact(Metadata!J709,"Host-associated"),exact(Metadata!J709,"Free-living")))</f>
        <v>0</v>
      </c>
      <c r="AW709">
        <f>AND(IF(Metadata!K709="",FALSE,TRUE),OR(exact(Metadata!K709,"Animal"),exact(Metadata!K709,"Fungus"),exact(Metadata!K709,"Plant"),exact(Metadata!K709,"Saline"),exact(Metadata!K709,"Non-saline")))</f>
        <v>0</v>
      </c>
      <c r="AX709">
        <f>AND(IF(Metadata!L709="",FALSE,TRUE),OR(exact(Metadata!L709,"Plant secretion"),exact(Metadata!L709,"Plant rhizosphere"),exact(Metadata!L709,"Plant surface"),exact(Metadata!L709,"Plant corpus"),exact(Metadata!L709,"Fungus surface"),exact(Metadata!L709,"Fungus corpus"),exact(Metadata!L709,"Animal surface"),exact(Metadata!L709,"Animal proximal gut"),exact(Metadata!L709,"Animal corpus"),exact(Metadata!L709,"Animal distal gut"),exact(Metadata!L709,"Animal secretion"),exact(Metadata!L709,"Sub-surface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Y709">
        <f>IF(Metadata!M709="",FALSE,TRUE)</f>
        <v>0</v>
      </c>
      <c r="AZ709">
        <f>IF(Metadata!N709="",FALSE,TRUE)</f>
        <v>0</v>
      </c>
      <c r="BA709">
        <f>IF(Metadata!O709="",FALSE,TRUE)</f>
        <v>0</v>
      </c>
      <c r="BB709">
        <f>OR(AND(IF(Metadata!P709="",FALSE,TRUE),OR(exact(Metadata!P709,"not collected"),exact(Metadata!P709,"not provided"),exact(Metadata!P709,"restricted access"))),AND(IF(Metadata!P709="",FALSE,TRUE),OR(exact(Metadata!P709,"air"),exact(Metadata!P709,"built environment"),exact(Metadata!P709,"host-associated"),exact(Metadata!P709,"human-associated"),exact(Metadata!P709,"human-skin"),exact(Metadata!P709,"human-oral"),exact(Metadata!P709,"human-gut"),exact(Metadata!P709,"human-vaginal"),exact(Metadata!P709,"microbial mat/biofilm"),exact(Metadata!P709,"misc environment"),exact(Metadata!P709,"plant-associated"),exact(Metadata!P709,"sediment"),exact(Metadata!P709,"soil"),exact(Metadata!P709,"wastewater/sludge"),exact(Metadata!P709,"water"))))</f>
        <v>0</v>
      </c>
      <c r="BC709">
        <f>IF(Metadata!Q709="",FALSE,TRUE)</f>
        <v>0</v>
      </c>
      <c r="BD709">
        <f>IF(Metadata!R709="",FALSE,TRUE)</f>
        <v>0</v>
      </c>
      <c r="BE709">
        <f>OR(AND(IF(Metadata!S709="",FALSE,TRUE),OR(exact(Metadata!S709,"not collected"),exact(Metadata!S709,"not provided"),exact(Metadata!S709,"restricted access"))),AND(IF(Metadata!S709="",FALSE,ISNUMBER(VALUE(Metadata!S709))),Metadata!S709&gt;=-90.00,Metadata!S709&lt;=90.00))</f>
        <v>0</v>
      </c>
      <c r="BF709">
        <f>AND(IF(Metadata!T709="",FALSE,TRUE),exact(Metadata!T709,"Decimal degrees"))</f>
        <v>0</v>
      </c>
      <c r="BG709">
        <f>OR(AND(IF(Metadata!U709="",FALSE,TRUE),OR(exact(Metadata!U709,"not collected"),exact(Metadata!U709,"not provided"),exact(Metadata!U709,"restricted access"))),AND(IF(Metadata!U709="",FALSE,ISNUMBER(VALUE(Metadata!U709))),Metadata!U709&gt;=-180.00,Metadata!U709&lt;=180.00))</f>
        <v>0</v>
      </c>
      <c r="BH709">
        <f>AND(IF(Metadata!V709="",FALSE,TRUE),exact(Metadata!V709,"Decimal degrees"))</f>
        <v>0</v>
      </c>
      <c r="BI709">
        <f>IF(Metadata!W709="",FALSE,TRUE)</f>
        <v>0</v>
      </c>
      <c r="BJ709">
        <f>OR(AND(IF(Metadata!X709="",FALSE,TRUE),OR(exact(Metadata!X709,"not collected"),exact(Metadata!X709,"not provided"),exact(Metadata!X709,"restricted access"))),AND(IF(Metadata!X709="",FALSE,TRUE),OR(exact(Metadata!X709,"TRUE"),exact(Metadata!X709,"FALSE"))))</f>
        <v>0</v>
      </c>
      <c r="BK709">
        <f>AND(IF(Metadata!Y709="",FALSE,TRUE),exact(Metadata!Y709,"other"))</f>
        <v>0</v>
      </c>
      <c r="BL709">
        <f>IF(Metadata!Z709="",FALSE,TRUE)</f>
        <v>0</v>
      </c>
      <c r="BM709">
        <f>OR(AND(IF(Metadata!AA709="",FALSE,TRUE),OR(exact(Metadata!AA709,"not collected"),exact(Metadata!AA709,"not provided"))),AND(IF(Metadata!AA709="",FALSE,IF(ISERROR(INT(Metadata!AA709)),FALSE,INT(Metadata!AA709)=Metadata!AA709)),Metadata!AA709&gt;0))</f>
        <v>0</v>
      </c>
      <c r="BN709">
        <f>AND(IF(Metadata!AB709="",FALSE,TRUE),exact(Metadata!AB709,"Not applicable"))</f>
        <v>0</v>
      </c>
      <c r="BO709">
        <f>IF(Metadata!AC709="",FALSE,TRUE)</f>
        <v>0</v>
      </c>
    </row>
    <row r="710" spans="1:67">
      <c r="A710" s="5">
        <f>IF(B710=" "," ",HYPERLINK(CONCATENATE("#metadata!",ADDRESS(INDEX($AI$2:$AI$1001,MATCH(ROWS($AG$2:AG710),$AG$2:$AG$1001,0),0),1)),INDEX($AL$2:$AL$1001,MATCH(ROWS($AG$2:AG710),$AG$2:$AG$1001,0),0)))</f>
        <v>0</v>
      </c>
      <c r="B710" s="4">
        <f>IF(OR(INDEX($AH$2:$AH$1001,MATCH(ROWS($AG$2:AG710),$AG$2:$AG$1001,0),1)&gt;=100000,INDEX($AN$1005:$BO$1005,1,MATCH(COLUMNS($AN$1006:AN1006),$AN$1006:$BO$1006,0))&gt;=100000), " ",IF(INDEX($AN$2:$BO$1001,MATCH(ROWS($AG$2:AG710),$AG$2:$AG$1001,0),MATCH(COLUMNS($AN$1006:AN1006),$AN$1006:$BO$1006,0)), HYPERLINK("#",""), HYPERLINK(CONCATENATE("#Metadata!", ADDRESS(INDEX($AI$2:$AI$1001,MATCH(ROWS($AG$2:AG710),$AG$2:$AG$1001,0),0), INDEX($AN$1004:$BO$1004,1,MATCH(COLUMNS($AN$1006:AN1006),$AN$1006:$BO$1006,0)))),"Fix")))</f>
        <v>0</v>
      </c>
      <c r="C710" s="4">
        <f>IF(OR(INDEX($AH$2:$AH$1001,MATCH(ROWS($AG$2:AG710),$AG$2:$AG$1001,0),1)&gt;=100000,INDEX($AN$1005:$BO$1005,1,MATCH(COLUMNS($AN$1006:AO1006),$AN$1006:$BO$1006,0))&gt;=100000), " ",IF(INDEX($AN$2:$BO$1001,MATCH(ROWS($AG$2:AG710),$AG$2:$AG$1001,0),MATCH(COLUMNS($AN$1006:AO1006),$AN$1006:$BO$1006,0)), HYPERLINK("#",""), HYPERLINK(CONCATENATE("#Metadata!", ADDRESS(INDEX($AI$2:$AI$1001,MATCH(ROWS($AG$2:AG710),$AG$2:$AG$1001,0),0), INDEX($AN$1004:$BO$1004,1,MATCH(COLUMNS($AN$1006:AO1006),$AN$1006:$BO$1006,0)))),"Fix")))</f>
        <v>0</v>
      </c>
      <c r="D710" s="4">
        <f>IF(OR(INDEX($AH$2:$AH$1001,MATCH(ROWS($AG$2:AG710),$AG$2:$AG$1001,0),1)&gt;=100000,INDEX($AN$1005:$BO$1005,1,MATCH(COLUMNS($AN$1006:AP1006),$AN$1006:$BO$1006,0))&gt;=100000), " ",IF(INDEX($AN$2:$BO$1001,MATCH(ROWS($AG$2:AG710),$AG$2:$AG$1001,0),MATCH(COLUMNS($AN$1006:AP1006),$AN$1006:$BO$1006,0)), HYPERLINK("#",""), HYPERLINK(CONCATENATE("#Metadata!", ADDRESS(INDEX($AI$2:$AI$1001,MATCH(ROWS($AG$2:AG710),$AG$2:$AG$1001,0),0), INDEX($AN$1004:$BO$1004,1,MATCH(COLUMNS($AN$1006:AP1006),$AN$1006:$BO$1006,0)))),"Fix")))</f>
        <v>0</v>
      </c>
      <c r="E710" s="4">
        <f>IF(OR(INDEX($AH$2:$AH$1001,MATCH(ROWS($AG$2:AG710),$AG$2:$AG$1001,0),1)&gt;=100000,INDEX($AN$1005:$BO$1005,1,MATCH(COLUMNS($AN$1006:AQ1006),$AN$1006:$BO$1006,0))&gt;=100000), " ",IF(INDEX($AN$2:$BO$1001,MATCH(ROWS($AG$2:AG710),$AG$2:$AG$1001,0),MATCH(COLUMNS($AN$1006:AQ1006),$AN$1006:$BO$1006,0)), HYPERLINK("#",""), HYPERLINK(CONCATENATE("#Metadata!", ADDRESS(INDEX($AI$2:$AI$1001,MATCH(ROWS($AG$2:AG710),$AG$2:$AG$1001,0),0), INDEX($AN$1004:$BO$1004,1,MATCH(COLUMNS($AN$1006:AQ1006),$AN$1006:$BO$1006,0)))),"Fix")))</f>
        <v>0</v>
      </c>
      <c r="F710" s="4">
        <f>IF(OR(INDEX($AH$2:$AH$1001,MATCH(ROWS($AG$2:AG710),$AG$2:$AG$1001,0),1)&gt;=100000,INDEX($AN$1005:$BO$1005,1,MATCH(COLUMNS($AN$1006:AR1006),$AN$1006:$BO$1006,0))&gt;=100000), " ",IF(INDEX($AN$2:$BO$1001,MATCH(ROWS($AG$2:AG710),$AG$2:$AG$1001,0),MATCH(COLUMNS($AN$1006:AR1006),$AN$1006:$BO$1006,0)), HYPERLINK("#",""), HYPERLINK(CONCATENATE("#Metadata!", ADDRESS(INDEX($AI$2:$AI$1001,MATCH(ROWS($AG$2:AG710),$AG$2:$AG$1001,0),0), INDEX($AN$1004:$BO$1004,1,MATCH(COLUMNS($AN$1006:AR1006),$AN$1006:$BO$1006,0)))),"Fix")))</f>
        <v>0</v>
      </c>
      <c r="G710" s="4">
        <f>IF(OR(INDEX($AH$2:$AH$1001,MATCH(ROWS($AG$2:AG710),$AG$2:$AG$1001,0),1)&gt;=100000,INDEX($AN$1005:$BO$1005,1,MATCH(COLUMNS($AN$1006:AS1006),$AN$1006:$BO$1006,0))&gt;=100000), " ",IF(INDEX($AN$2:$BO$1001,MATCH(ROWS($AG$2:AG710),$AG$2:$AG$1001,0),MATCH(COLUMNS($AN$1006:AS1006),$AN$1006:$BO$1006,0)), HYPERLINK("#",""), HYPERLINK(CONCATENATE("#Metadata!", ADDRESS(INDEX($AI$2:$AI$1001,MATCH(ROWS($AG$2:AG710),$AG$2:$AG$1001,0),0), INDEX($AN$1004:$BO$1004,1,MATCH(COLUMNS($AN$1006:AS1006),$AN$1006:$BO$1006,0)))),"Fix")))</f>
        <v>0</v>
      </c>
      <c r="H710" s="4">
        <f>IF(OR(INDEX($AH$2:$AH$1001,MATCH(ROWS($AG$2:AG710),$AG$2:$AG$1001,0),1)&gt;=100000,INDEX($AN$1005:$BO$1005,1,MATCH(COLUMNS($AN$1006:AT1006),$AN$1006:$BO$1006,0))&gt;=100000), " ",IF(INDEX($AN$2:$BO$1001,MATCH(ROWS($AG$2:AG710),$AG$2:$AG$1001,0),MATCH(COLUMNS($AN$1006:AT1006),$AN$1006:$BO$1006,0)), HYPERLINK("#",""), HYPERLINK(CONCATENATE("#Metadata!", ADDRESS(INDEX($AI$2:$AI$1001,MATCH(ROWS($AG$2:AG710),$AG$2:$AG$1001,0),0), INDEX($AN$1004:$BO$1004,1,MATCH(COLUMNS($AN$1006:AT1006),$AN$1006:$BO$1006,0)))),"Fix")))</f>
        <v>0</v>
      </c>
      <c r="I710" s="4">
        <f>IF(OR(INDEX($AH$2:$AH$1001,MATCH(ROWS($AG$2:AG710),$AG$2:$AG$1001,0),1)&gt;=100000,INDEX($AN$1005:$BO$1005,1,MATCH(COLUMNS($AN$1006:AU1006),$AN$1006:$BO$1006,0))&gt;=100000), " ",IF(INDEX($AN$2:$BO$1001,MATCH(ROWS($AG$2:AG710),$AG$2:$AG$1001,0),MATCH(COLUMNS($AN$1006:AU1006),$AN$1006:$BO$1006,0)), HYPERLINK("#",""), HYPERLINK(CONCATENATE("#Metadata!", ADDRESS(INDEX($AI$2:$AI$1001,MATCH(ROWS($AG$2:AG710),$AG$2:$AG$1001,0),0), INDEX($AN$1004:$BO$1004,1,MATCH(COLUMNS($AN$1006:AU1006),$AN$1006:$BO$1006,0)))),"Fix")))</f>
        <v>0</v>
      </c>
      <c r="J710" s="4">
        <f>IF(OR(INDEX($AH$2:$AH$1001,MATCH(ROWS($AG$2:AG710),$AG$2:$AG$1001,0),1)&gt;=100000,INDEX($AN$1005:$BO$1005,1,MATCH(COLUMNS($AN$1006:AV1006),$AN$1006:$BO$1006,0))&gt;=100000), " ",IF(INDEX($AN$2:$BO$1001,MATCH(ROWS($AG$2:AG710),$AG$2:$AG$1001,0),MATCH(COLUMNS($AN$1006:AV1006),$AN$1006:$BO$1006,0)), HYPERLINK("#",""), HYPERLINK(CONCATENATE("#Metadata!", ADDRESS(INDEX($AI$2:$AI$1001,MATCH(ROWS($AG$2:AG710),$AG$2:$AG$1001,0),0), INDEX($AN$1004:$BO$1004,1,MATCH(COLUMNS($AN$1006:AV1006),$AN$1006:$BO$1006,0)))),"Fix")))</f>
        <v>0</v>
      </c>
      <c r="K710" s="4">
        <f>IF(OR(INDEX($AH$2:$AH$1001,MATCH(ROWS($AG$2:AG710),$AG$2:$AG$1001,0),1)&gt;=100000,INDEX($AN$1005:$BO$1005,1,MATCH(COLUMNS($AN$1006:AW1006),$AN$1006:$BO$1006,0))&gt;=100000), " ",IF(INDEX($AN$2:$BO$1001,MATCH(ROWS($AG$2:AG710),$AG$2:$AG$1001,0),MATCH(COLUMNS($AN$1006:AW1006),$AN$1006:$BO$1006,0)), HYPERLINK("#",""), HYPERLINK(CONCATENATE("#Metadata!", ADDRESS(INDEX($AI$2:$AI$1001,MATCH(ROWS($AG$2:AG710),$AG$2:$AG$1001,0),0), INDEX($AN$1004:$BO$1004,1,MATCH(COLUMNS($AN$1006:AW1006),$AN$1006:$BO$1006,0)))),"Fix")))</f>
        <v>0</v>
      </c>
      <c r="L710" s="4">
        <f>IF(OR(INDEX($AH$2:$AH$1001,MATCH(ROWS($AG$2:AG710),$AG$2:$AG$1001,0),1)&gt;=100000,INDEX($AN$1005:$BO$1005,1,MATCH(COLUMNS($AN$1006:AX1006),$AN$1006:$BO$1006,0))&gt;=100000), " ",IF(INDEX($AN$2:$BO$1001,MATCH(ROWS($AG$2:AG710),$AG$2:$AG$1001,0),MATCH(COLUMNS($AN$1006:AX1006),$AN$1006:$BO$1006,0)), HYPERLINK("#",""), HYPERLINK(CONCATENATE("#Metadata!", ADDRESS(INDEX($AI$2:$AI$1001,MATCH(ROWS($AG$2:AG710),$AG$2:$AG$1001,0),0), INDEX($AN$1004:$BO$1004,1,MATCH(COLUMNS($AN$1006:AX1006),$AN$1006:$BO$1006,0)))),"Fix")))</f>
        <v>0</v>
      </c>
      <c r="M710" s="4">
        <f>IF(OR(INDEX($AH$2:$AH$1001,MATCH(ROWS($AG$2:AG710),$AG$2:$AG$1001,0),1)&gt;=100000,INDEX($AN$1005:$BO$1005,1,MATCH(COLUMNS($AN$1006:AY1006),$AN$1006:$BO$1006,0))&gt;=100000), " ",IF(INDEX($AN$2:$BO$1001,MATCH(ROWS($AG$2:AG710),$AG$2:$AG$1001,0),MATCH(COLUMNS($AN$1006:AY1006),$AN$1006:$BO$1006,0)), HYPERLINK("#",""), HYPERLINK(CONCATENATE("#Metadata!", ADDRESS(INDEX($AI$2:$AI$1001,MATCH(ROWS($AG$2:AG710),$AG$2:$AG$1001,0),0), INDEX($AN$1004:$BO$1004,1,MATCH(COLUMNS($AN$1006:AY1006),$AN$1006:$BO$1006,0)))),"Fix")))</f>
        <v>0</v>
      </c>
      <c r="N710" s="4">
        <f>IF(OR(INDEX($AH$2:$AH$1001,MATCH(ROWS($AG$2:AG710),$AG$2:$AG$1001,0),1)&gt;=100000,INDEX($AN$1005:$BO$1005,1,MATCH(COLUMNS($AN$1006:AZ1006),$AN$1006:$BO$1006,0))&gt;=100000), " ",IF(INDEX($AN$2:$BO$1001,MATCH(ROWS($AG$2:AG710),$AG$2:$AG$1001,0),MATCH(COLUMNS($AN$1006:AZ1006),$AN$1006:$BO$1006,0)), HYPERLINK("#",""), HYPERLINK(CONCATENATE("#Metadata!", ADDRESS(INDEX($AI$2:$AI$1001,MATCH(ROWS($AG$2:AG710),$AG$2:$AG$1001,0),0), INDEX($AN$1004:$BO$1004,1,MATCH(COLUMNS($AN$1006:AZ1006),$AN$1006:$BO$1006,0)))),"Fix")))</f>
        <v>0</v>
      </c>
      <c r="O710" s="4">
        <f>IF(OR(INDEX($AH$2:$AH$1001,MATCH(ROWS($AG$2:AG710),$AG$2:$AG$1001,0),1)&gt;=100000,INDEX($AN$1005:$BO$1005,1,MATCH(COLUMNS($AN$1006:BA1006),$AN$1006:$BO$1006,0))&gt;=100000), " ",IF(INDEX($AN$2:$BO$1001,MATCH(ROWS($AG$2:AG710),$AG$2:$AG$1001,0),MATCH(COLUMNS($AN$1006:BA1006),$AN$1006:$BO$1006,0)), HYPERLINK("#",""), HYPERLINK(CONCATENATE("#Metadata!", ADDRESS(INDEX($AI$2:$AI$1001,MATCH(ROWS($AG$2:AG710),$AG$2:$AG$1001,0),0), INDEX($AN$1004:$BO$1004,1,MATCH(COLUMNS($AN$1006:BA1006),$AN$1006:$BO$1006,0)))),"Fix")))</f>
        <v>0</v>
      </c>
      <c r="P710" s="4">
        <f>IF(OR(INDEX($AH$2:$AH$1001,MATCH(ROWS($AG$2:AG710),$AG$2:$AG$1001,0),1)&gt;=100000,INDEX($AN$1005:$BO$1005,1,MATCH(COLUMNS($AN$1006:BB1006),$AN$1006:$BO$1006,0))&gt;=100000), " ",IF(INDEX($AN$2:$BO$1001,MATCH(ROWS($AG$2:AG710),$AG$2:$AG$1001,0),MATCH(COLUMNS($AN$1006:BB1006),$AN$1006:$BO$1006,0)), HYPERLINK("#",""), HYPERLINK(CONCATENATE("#Metadata!", ADDRESS(INDEX($AI$2:$AI$1001,MATCH(ROWS($AG$2:AG710),$AG$2:$AG$1001,0),0), INDEX($AN$1004:$BO$1004,1,MATCH(COLUMNS($AN$1006:BB1006),$AN$1006:$BO$1006,0)))),"Fix")))</f>
        <v>0</v>
      </c>
      <c r="Q710" s="4">
        <f>IF(OR(INDEX($AH$2:$AH$1001,MATCH(ROWS($AG$2:AG710),$AG$2:$AG$1001,0),1)&gt;=100000,INDEX($AN$1005:$BO$1005,1,MATCH(COLUMNS($AN$1006:BC1006),$AN$1006:$BO$1006,0))&gt;=100000), " ",IF(INDEX($AN$2:$BO$1001,MATCH(ROWS($AG$2:AG710),$AG$2:$AG$1001,0),MATCH(COLUMNS($AN$1006:BC1006),$AN$1006:$BO$1006,0)), HYPERLINK("#",""), HYPERLINK(CONCATENATE("#Metadata!", ADDRESS(INDEX($AI$2:$AI$1001,MATCH(ROWS($AG$2:AG710),$AG$2:$AG$1001,0),0), INDEX($AN$1004:$BO$1004,1,MATCH(COLUMNS($AN$1006:BC1006),$AN$1006:$BO$1006,0)))),"Fix")))</f>
        <v>0</v>
      </c>
      <c r="R710" s="4">
        <f>IF(OR(INDEX($AH$2:$AH$1001,MATCH(ROWS($AG$2:AG710),$AG$2:$AG$1001,0),1)&gt;=100000,INDEX($AN$1005:$BO$1005,1,MATCH(COLUMNS($AN$1006:BD1006),$AN$1006:$BO$1006,0))&gt;=100000), " ",IF(INDEX($AN$2:$BO$1001,MATCH(ROWS($AG$2:AG710),$AG$2:$AG$1001,0),MATCH(COLUMNS($AN$1006:BD1006),$AN$1006:$BO$1006,0)), HYPERLINK("#",""), HYPERLINK(CONCATENATE("#Metadata!", ADDRESS(INDEX($AI$2:$AI$1001,MATCH(ROWS($AG$2:AG710),$AG$2:$AG$1001,0),0), INDEX($AN$1004:$BO$1004,1,MATCH(COLUMNS($AN$1006:BD1006),$AN$1006:$BO$1006,0)))),"Fix")))</f>
        <v>0</v>
      </c>
      <c r="S710" s="4">
        <f>IF(OR(INDEX($AH$2:$AH$1001,MATCH(ROWS($AG$2:AG710),$AG$2:$AG$1001,0),1)&gt;=100000,INDEX($AN$1005:$BO$1005,1,MATCH(COLUMNS($AN$1006:BE1006),$AN$1006:$BO$1006,0))&gt;=100000), " ",IF(INDEX($AN$2:$BO$1001,MATCH(ROWS($AG$2:AG710),$AG$2:$AG$1001,0),MATCH(COLUMNS($AN$1006:BE1006),$AN$1006:$BO$1006,0)), HYPERLINK("#",""), HYPERLINK(CONCATENATE("#Metadata!", ADDRESS(INDEX($AI$2:$AI$1001,MATCH(ROWS($AG$2:AG710),$AG$2:$AG$1001,0),0), INDEX($AN$1004:$BO$1004,1,MATCH(COLUMNS($AN$1006:BE1006),$AN$1006:$BO$1006,0)))),"Fix")))</f>
        <v>0</v>
      </c>
      <c r="T710" s="4">
        <f>IF(OR(INDEX($AH$2:$AH$1001,MATCH(ROWS($AG$2:AG710),$AG$2:$AG$1001,0),1)&gt;=100000,INDEX($AN$1005:$BO$1005,1,MATCH(COLUMNS($AN$1006:BF1006),$AN$1006:$BO$1006,0))&gt;=100000), " ",IF(INDEX($AN$2:$BO$1001,MATCH(ROWS($AG$2:AG710),$AG$2:$AG$1001,0),MATCH(COLUMNS($AN$1006:BF1006),$AN$1006:$BO$1006,0)), HYPERLINK("#",""), HYPERLINK(CONCATENATE("#Metadata!", ADDRESS(INDEX($AI$2:$AI$1001,MATCH(ROWS($AG$2:AG710),$AG$2:$AG$1001,0),0), INDEX($AN$1004:$BO$1004,1,MATCH(COLUMNS($AN$1006:BF1006),$AN$1006:$BO$1006,0)))),"Fix")))</f>
        <v>0</v>
      </c>
      <c r="U710" s="4">
        <f>IF(OR(INDEX($AH$2:$AH$1001,MATCH(ROWS($AG$2:AG710),$AG$2:$AG$1001,0),1)&gt;=100000,INDEX($AN$1005:$BO$1005,1,MATCH(COLUMNS($AN$1006:BG1006),$AN$1006:$BO$1006,0))&gt;=100000), " ",IF(INDEX($AN$2:$BO$1001,MATCH(ROWS($AG$2:AG710),$AG$2:$AG$1001,0),MATCH(COLUMNS($AN$1006:BG1006),$AN$1006:$BO$1006,0)), HYPERLINK("#",""), HYPERLINK(CONCATENATE("#Metadata!", ADDRESS(INDEX($AI$2:$AI$1001,MATCH(ROWS($AG$2:AG710),$AG$2:$AG$1001,0),0), INDEX($AN$1004:$BO$1004,1,MATCH(COLUMNS($AN$1006:BG1006),$AN$1006:$BO$1006,0)))),"Fix")))</f>
        <v>0</v>
      </c>
      <c r="V710" s="4">
        <f>IF(OR(INDEX($AH$2:$AH$1001,MATCH(ROWS($AG$2:AG710),$AG$2:$AG$1001,0),1)&gt;=100000,INDEX($AN$1005:$BO$1005,1,MATCH(COLUMNS($AN$1006:BH1006),$AN$1006:$BO$1006,0))&gt;=100000), " ",IF(INDEX($AN$2:$BO$1001,MATCH(ROWS($AG$2:AG710),$AG$2:$AG$1001,0),MATCH(COLUMNS($AN$1006:BH1006),$AN$1006:$BO$1006,0)), HYPERLINK("#",""), HYPERLINK(CONCATENATE("#Metadata!", ADDRESS(INDEX($AI$2:$AI$1001,MATCH(ROWS($AG$2:AG710),$AG$2:$AG$1001,0),0), INDEX($AN$1004:$BO$1004,1,MATCH(COLUMNS($AN$1006:BH1006),$AN$1006:$BO$1006,0)))),"Fix")))</f>
        <v>0</v>
      </c>
      <c r="W710" s="4">
        <f>IF(OR(INDEX($AH$2:$AH$1001,MATCH(ROWS($AG$2:AG710),$AG$2:$AG$1001,0),1)&gt;=100000,INDEX($AN$1005:$BO$1005,1,MATCH(COLUMNS($AN$1006:BI1006),$AN$1006:$BO$1006,0))&gt;=100000), " ",IF(INDEX($AN$2:$BO$1001,MATCH(ROWS($AG$2:AG710),$AG$2:$AG$1001,0),MATCH(COLUMNS($AN$1006:BI1006),$AN$1006:$BO$1006,0)), HYPERLINK("#",""), HYPERLINK(CONCATENATE("#Metadata!", ADDRESS(INDEX($AI$2:$AI$1001,MATCH(ROWS($AG$2:AG710),$AG$2:$AG$1001,0),0), INDEX($AN$1004:$BO$1004,1,MATCH(COLUMNS($AN$1006:BI1006),$AN$1006:$BO$1006,0)))),"Fix")))</f>
        <v>0</v>
      </c>
      <c r="X710" s="4">
        <f>IF(OR(INDEX($AH$2:$AH$1001,MATCH(ROWS($AG$2:AG710),$AG$2:$AG$1001,0),1)&gt;=100000,INDEX($AN$1005:$BO$1005,1,MATCH(COLUMNS($AN$1006:BJ1006),$AN$1006:$BO$1006,0))&gt;=100000), " ",IF(INDEX($AN$2:$BO$1001,MATCH(ROWS($AG$2:AG710),$AG$2:$AG$1001,0),MATCH(COLUMNS($AN$1006:BJ1006),$AN$1006:$BO$1006,0)), HYPERLINK("#",""), HYPERLINK(CONCATENATE("#Metadata!", ADDRESS(INDEX($AI$2:$AI$1001,MATCH(ROWS($AG$2:AG710),$AG$2:$AG$1001,0),0), INDEX($AN$1004:$BO$1004,1,MATCH(COLUMNS($AN$1006:BJ1006),$AN$1006:$BO$1006,0)))),"Fix")))</f>
        <v>0</v>
      </c>
      <c r="Y710" s="4">
        <f>IF(OR(INDEX($AH$2:$AH$1001,MATCH(ROWS($AG$2:AG710),$AG$2:$AG$1001,0),1)&gt;=100000,INDEX($AN$1005:$BO$1005,1,MATCH(COLUMNS($AN$1006:BK1006),$AN$1006:$BO$1006,0))&gt;=100000), " ",IF(INDEX($AN$2:$BO$1001,MATCH(ROWS($AG$2:AG710),$AG$2:$AG$1001,0),MATCH(COLUMNS($AN$1006:BK1006),$AN$1006:$BO$1006,0)), HYPERLINK("#",""), HYPERLINK(CONCATENATE("#Metadata!", ADDRESS(INDEX($AI$2:$AI$1001,MATCH(ROWS($AG$2:AG710),$AG$2:$AG$1001,0),0), INDEX($AN$1004:$BO$1004,1,MATCH(COLUMNS($AN$1006:BK1006),$AN$1006:$BO$1006,0)))),"Fix")))</f>
        <v>0</v>
      </c>
      <c r="Z710" s="4">
        <f>IF(OR(INDEX($AH$2:$AH$1001,MATCH(ROWS($AG$2:AG710),$AG$2:$AG$1001,0),1)&gt;=100000,INDEX($AN$1005:$BO$1005,1,MATCH(COLUMNS($AN$1006:BL1006),$AN$1006:$BO$1006,0))&gt;=100000), " ",IF(INDEX($AN$2:$BO$1001,MATCH(ROWS($AG$2:AG710),$AG$2:$AG$1001,0),MATCH(COLUMNS($AN$1006:BL1006),$AN$1006:$BO$1006,0)), HYPERLINK("#",""), HYPERLINK(CONCATENATE("#Metadata!", ADDRESS(INDEX($AI$2:$AI$1001,MATCH(ROWS($AG$2:AG710),$AG$2:$AG$1001,0),0), INDEX($AN$1004:$BO$1004,1,MATCH(COLUMNS($AN$1006:BL1006),$AN$1006:$BO$1006,0)))),"Fix")))</f>
        <v>0</v>
      </c>
      <c r="AA710" s="4">
        <f>IF(OR(INDEX($AH$2:$AH$1001,MATCH(ROWS($AG$2:AG710),$AG$2:$AG$1001,0),1)&gt;=100000,INDEX($AN$1005:$BO$1005,1,MATCH(COLUMNS($AN$1006:BM1006),$AN$1006:$BO$1006,0))&gt;=100000), " ",IF(INDEX($AN$2:$BO$1001,MATCH(ROWS($AG$2:AG710),$AG$2:$AG$1001,0),MATCH(COLUMNS($AN$1006:BM1006),$AN$1006:$BO$1006,0)), HYPERLINK("#",""), HYPERLINK(CONCATENATE("#Metadata!", ADDRESS(INDEX($AI$2:$AI$1001,MATCH(ROWS($AG$2:AG710),$AG$2:$AG$1001,0),0), INDEX($AN$1004:$BO$1004,1,MATCH(COLUMNS($AN$1006:BM1006),$AN$1006:$BO$1006,0)))),"Fix")))</f>
        <v>0</v>
      </c>
      <c r="AB710" s="4">
        <f>IF(OR(INDEX($AH$2:$AH$1001,MATCH(ROWS($AG$2:AG710),$AG$2:$AG$1001,0),1)&gt;=100000,INDEX($AN$1005:$BO$1005,1,MATCH(COLUMNS($AN$1006:BN1006),$AN$1006:$BO$1006,0))&gt;=100000), " ",IF(INDEX($AN$2:$BO$1001,MATCH(ROWS($AG$2:AG710),$AG$2:$AG$1001,0),MATCH(COLUMNS($AN$1006:BN1006),$AN$1006:$BO$1006,0)), HYPERLINK("#",""), HYPERLINK(CONCATENATE("#Metadata!", ADDRESS(INDEX($AI$2:$AI$1001,MATCH(ROWS($AG$2:AG710),$AG$2:$AG$1001,0),0), INDEX($AN$1004:$BO$1004,1,MATCH(COLUMNS($AN$1006:BN1006),$AN$1006:$BO$1006,0)))),"Fix")))</f>
        <v>0</v>
      </c>
      <c r="AC710" s="4">
        <f>IF(OR(INDEX($AH$2:$AH$1001,MATCH(ROWS($AG$2:AG710),$AG$2:$AG$1001,0),1)&gt;=100000,INDEX($AN$1005:$BO$1005,1,MATCH(COLUMNS($AN$1006:BO1006),$AN$1006:$BO$1006,0))&gt;=100000), " ",IF(INDEX($AN$2:$BO$1001,MATCH(ROWS($AG$2:AG710),$AG$2:$AG$1001,0),MATCH(COLUMNS($AN$1006:BO1006),$AN$1006:$BO$1006,0)), HYPERLINK("#",""), HYPERLINK(CONCATENATE("#Metadata!", ADDRESS(INDEX($AI$2:$AI$1001,MATCH(ROWS($AG$2:AG710),$AG$2:$AG$1001,0),0), INDEX($AN$1004:$BO$1004,1,MATCH(COLUMNS($AN$1006:BO1006),$AN$1006:$BO$1006,0)))),"Fix")))</f>
        <v>0</v>
      </c>
      <c r="AG710">
        <v>0</v>
      </c>
      <c r="AH710">
        <v>0</v>
      </c>
      <c r="AI710">
        <v>0</v>
      </c>
      <c r="AJ710">
        <f>IF(AK710,TRUE,AND(AN710:BO710))</f>
        <v>0</v>
      </c>
      <c r="AK710">
        <f>COUNTBLANK(Metadata!B710:AC710)=COLUMNS(Metadata!B710:AC710)</f>
        <v>0</v>
      </c>
      <c r="AL710">
        <v>0</v>
      </c>
      <c r="AN710">
        <f>AND(IF(Metadata!B710="",FALSE,TRUE),COUNTIF(Metadata!B:B, Metadata!B710) = 1,NOT(ISERROR(SUMPRODUCT(SEARCH(MID(Metadata!B710,ROW(INDIRECT("1:"&amp;LEN(Metadata!B710))), 1),"0123456789abcdefghijklmnopqrstuvwxyzABCDEFGHIJKLMNOPQRSTUVWXYZ.")))))</f>
        <v>0</v>
      </c>
      <c r="AO710">
        <f>IF(Metadata!C710="",FALSE,TRUE)</f>
        <v>0</v>
      </c>
      <c r="AP710">
        <f>IF(Metadata!D710="",FALSE,TRUE)</f>
        <v>0</v>
      </c>
      <c r="AQ710">
        <f>OR(AND(IF(Metadata!E710="",FALSE,TRUE),OR(exact(Metadata!E710,"not collected"),exact(Metadata!E710,"not provided"),exact(Metadata!E710,"restricted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R710">
        <f>IF(Metadata!F710="",FALSE,TRUE)</f>
        <v>0</v>
      </c>
      <c r="AS710">
        <f>OR(AND(IF(Metadata!G710="",FALSE,TRUE),OR(exact(Metadata!G710,"not collected"),exact(Metadata!G710,"not provided"))),AND(IF(Metadata!G710="",FALSE,TRUE),OR(exact(Metadata!G710,"TRUE"),exact(Metadata!G710,"FALSE"))))</f>
        <v>0</v>
      </c>
      <c r="AT710">
        <f>OR(AND(IF(Metadata!H710="",FALSE,TRUE),OR(exact(Metadata!H710,"not collected"),exact(Metadata!H710,"not provided"),exact(Metadata!H710,"restricted access"))),AND(IF(Metadata!H710="",FALSE,ISNUMBER(VALUE(Metadata!H710))),Metadata!H710&gt;=-413.0))</f>
        <v>0</v>
      </c>
      <c r="AU710">
        <f>AND(IF(Metadata!I710="",FALSE,TRUE),exact(Metadata!I710,"meters"))</f>
        <v>0</v>
      </c>
      <c r="AV710">
        <f>AND(IF(Metadata!J710="",FALSE,TRUE),OR(exact(Metadata!J710,"Host-associated"),exact(Metadata!J710,"Free-living")))</f>
        <v>0</v>
      </c>
      <c r="AW710">
        <f>AND(IF(Metadata!K710="",FALSE,TRUE),OR(exact(Metadata!K710,"Animal"),exact(Metadata!K710,"Fungus"),exact(Metadata!K710,"Plant"),exact(Metadata!K710,"Saline"),exact(Metadata!K710,"Non-saline")))</f>
        <v>0</v>
      </c>
      <c r="AX710">
        <f>AND(IF(Metadata!L710="",FALSE,TRUE),OR(exact(Metadata!L710,"Plant secretion"),exact(Metadata!L710,"Plant rhizosphere"),exact(Metadata!L710,"Plant surface"),exact(Metadata!L710,"Plant corpus"),exact(Metadata!L710,"Fungus surface"),exact(Metadata!L710,"Fungus corpus"),exact(Metadata!L710,"Animal surface"),exact(Metadata!L710,"Animal proximal gut"),exact(Metadata!L710,"Animal corpus"),exact(Metadata!L710,"Animal distal gut"),exact(Metadata!L710,"Animal secretion"),exact(Metadata!L710,"Sub-surface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Y710">
        <f>IF(Metadata!M710="",FALSE,TRUE)</f>
        <v>0</v>
      </c>
      <c r="AZ710">
        <f>IF(Metadata!N710="",FALSE,TRUE)</f>
        <v>0</v>
      </c>
      <c r="BA710">
        <f>IF(Metadata!O710="",FALSE,TRUE)</f>
        <v>0</v>
      </c>
      <c r="BB710">
        <f>OR(AND(IF(Metadata!P710="",FALSE,TRUE),OR(exact(Metadata!P710,"not collected"),exact(Metadata!P710,"not provided"),exact(Metadata!P710,"restricted access"))),AND(IF(Metadata!P710="",FALSE,TRUE),OR(exact(Metadata!P710,"air"),exact(Metadata!P710,"built environment"),exact(Metadata!P710,"host-associated"),exact(Metadata!P710,"human-associated"),exact(Metadata!P710,"human-skin"),exact(Metadata!P710,"human-oral"),exact(Metadata!P710,"human-gut"),exact(Metadata!P710,"human-vaginal"),exact(Metadata!P710,"microbial mat/biofilm"),exact(Metadata!P710,"misc environment"),exact(Metadata!P710,"plant-associated"),exact(Metadata!P710,"sediment"),exact(Metadata!P710,"soil"),exact(Metadata!P710,"wastewater/sludge"),exact(Metadata!P710,"water"))))</f>
        <v>0</v>
      </c>
      <c r="BC710">
        <f>IF(Metadata!Q710="",FALSE,TRUE)</f>
        <v>0</v>
      </c>
      <c r="BD710">
        <f>IF(Metadata!R710="",FALSE,TRUE)</f>
        <v>0</v>
      </c>
      <c r="BE710">
        <f>OR(AND(IF(Metadata!S710="",FALSE,TRUE),OR(exact(Metadata!S710,"not collected"),exact(Metadata!S710,"not provided"),exact(Metadata!S710,"restricted access"))),AND(IF(Metadata!S710="",FALSE,ISNUMBER(VALUE(Metadata!S710))),Metadata!S710&gt;=-90.00,Metadata!S710&lt;=90.00))</f>
        <v>0</v>
      </c>
      <c r="BF710">
        <f>AND(IF(Metadata!T710="",FALSE,TRUE),exact(Metadata!T710,"Decimal degrees"))</f>
        <v>0</v>
      </c>
      <c r="BG710">
        <f>OR(AND(IF(Metadata!U710="",FALSE,TRUE),OR(exact(Metadata!U710,"not collected"),exact(Metadata!U710,"not provided"),exact(Metadata!U710,"restricted access"))),AND(IF(Metadata!U710="",FALSE,ISNUMBER(VALUE(Metadata!U710))),Metadata!U710&gt;=-180.00,Metadata!U710&lt;=180.00))</f>
        <v>0</v>
      </c>
      <c r="BH710">
        <f>AND(IF(Metadata!V710="",FALSE,TRUE),exact(Metadata!V710,"Decimal degrees"))</f>
        <v>0</v>
      </c>
      <c r="BI710">
        <f>IF(Metadata!W710="",FALSE,TRUE)</f>
        <v>0</v>
      </c>
      <c r="BJ710">
        <f>OR(AND(IF(Metadata!X710="",FALSE,TRUE),OR(exact(Metadata!X710,"not collected"),exact(Metadata!X710,"not provided"),exact(Metadata!X710,"restricted access"))),AND(IF(Metadata!X710="",FALSE,TRUE),OR(exact(Metadata!X710,"TRUE"),exact(Metadata!X710,"FALSE"))))</f>
        <v>0</v>
      </c>
      <c r="BK710">
        <f>AND(IF(Metadata!Y710="",FALSE,TRUE),exact(Metadata!Y710,"other"))</f>
        <v>0</v>
      </c>
      <c r="BL710">
        <f>IF(Metadata!Z710="",FALSE,TRUE)</f>
        <v>0</v>
      </c>
      <c r="BM710">
        <f>OR(AND(IF(Metadata!AA710="",FALSE,TRUE),OR(exact(Metadata!AA710,"not collected"),exact(Metadata!AA710,"not provided"))),AND(IF(Metadata!AA710="",FALSE,IF(ISERROR(INT(Metadata!AA710)),FALSE,INT(Metadata!AA710)=Metadata!AA710)),Metadata!AA710&gt;0))</f>
        <v>0</v>
      </c>
      <c r="BN710">
        <f>AND(IF(Metadata!AB710="",FALSE,TRUE),exact(Metadata!AB710,"Not applicable"))</f>
        <v>0</v>
      </c>
      <c r="BO710">
        <f>IF(Metadata!AC710="",FALSE,TRUE)</f>
        <v>0</v>
      </c>
    </row>
    <row r="711" spans="1:67">
      <c r="A711" s="5">
        <f>IF(B711=" "," ",HYPERLINK(CONCATENATE("#metadata!",ADDRESS(INDEX($AI$2:$AI$1001,MATCH(ROWS($AG$2:AG711),$AG$2:$AG$1001,0),0),1)),INDEX($AL$2:$AL$1001,MATCH(ROWS($AG$2:AG711),$AG$2:$AG$1001,0),0)))</f>
        <v>0</v>
      </c>
      <c r="B711" s="4">
        <f>IF(OR(INDEX($AH$2:$AH$1001,MATCH(ROWS($AG$2:AG711),$AG$2:$AG$1001,0),1)&gt;=100000,INDEX($AN$1005:$BO$1005,1,MATCH(COLUMNS($AN$1006:AN1006),$AN$1006:$BO$1006,0))&gt;=100000), " ",IF(INDEX($AN$2:$BO$1001,MATCH(ROWS($AG$2:AG711),$AG$2:$AG$1001,0),MATCH(COLUMNS($AN$1006:AN1006),$AN$1006:$BO$1006,0)), HYPERLINK("#",""), HYPERLINK(CONCATENATE("#Metadata!", ADDRESS(INDEX($AI$2:$AI$1001,MATCH(ROWS($AG$2:AG711),$AG$2:$AG$1001,0),0), INDEX($AN$1004:$BO$1004,1,MATCH(COLUMNS($AN$1006:AN1006),$AN$1006:$BO$1006,0)))),"Fix")))</f>
        <v>0</v>
      </c>
      <c r="C711" s="4">
        <f>IF(OR(INDEX($AH$2:$AH$1001,MATCH(ROWS($AG$2:AG711),$AG$2:$AG$1001,0),1)&gt;=100000,INDEX($AN$1005:$BO$1005,1,MATCH(COLUMNS($AN$1006:AO1006),$AN$1006:$BO$1006,0))&gt;=100000), " ",IF(INDEX($AN$2:$BO$1001,MATCH(ROWS($AG$2:AG711),$AG$2:$AG$1001,0),MATCH(COLUMNS($AN$1006:AO1006),$AN$1006:$BO$1006,0)), HYPERLINK("#",""), HYPERLINK(CONCATENATE("#Metadata!", ADDRESS(INDEX($AI$2:$AI$1001,MATCH(ROWS($AG$2:AG711),$AG$2:$AG$1001,0),0), INDEX($AN$1004:$BO$1004,1,MATCH(COLUMNS($AN$1006:AO1006),$AN$1006:$BO$1006,0)))),"Fix")))</f>
        <v>0</v>
      </c>
      <c r="D711" s="4">
        <f>IF(OR(INDEX($AH$2:$AH$1001,MATCH(ROWS($AG$2:AG711),$AG$2:$AG$1001,0),1)&gt;=100000,INDEX($AN$1005:$BO$1005,1,MATCH(COLUMNS($AN$1006:AP1006),$AN$1006:$BO$1006,0))&gt;=100000), " ",IF(INDEX($AN$2:$BO$1001,MATCH(ROWS($AG$2:AG711),$AG$2:$AG$1001,0),MATCH(COLUMNS($AN$1006:AP1006),$AN$1006:$BO$1006,0)), HYPERLINK("#",""), HYPERLINK(CONCATENATE("#Metadata!", ADDRESS(INDEX($AI$2:$AI$1001,MATCH(ROWS($AG$2:AG711),$AG$2:$AG$1001,0),0), INDEX($AN$1004:$BO$1004,1,MATCH(COLUMNS($AN$1006:AP1006),$AN$1006:$BO$1006,0)))),"Fix")))</f>
        <v>0</v>
      </c>
      <c r="E711" s="4">
        <f>IF(OR(INDEX($AH$2:$AH$1001,MATCH(ROWS($AG$2:AG711),$AG$2:$AG$1001,0),1)&gt;=100000,INDEX($AN$1005:$BO$1005,1,MATCH(COLUMNS($AN$1006:AQ1006),$AN$1006:$BO$1006,0))&gt;=100000), " ",IF(INDEX($AN$2:$BO$1001,MATCH(ROWS($AG$2:AG711),$AG$2:$AG$1001,0),MATCH(COLUMNS($AN$1006:AQ1006),$AN$1006:$BO$1006,0)), HYPERLINK("#",""), HYPERLINK(CONCATENATE("#Metadata!", ADDRESS(INDEX($AI$2:$AI$1001,MATCH(ROWS($AG$2:AG711),$AG$2:$AG$1001,0),0), INDEX($AN$1004:$BO$1004,1,MATCH(COLUMNS($AN$1006:AQ1006),$AN$1006:$BO$1006,0)))),"Fix")))</f>
        <v>0</v>
      </c>
      <c r="F711" s="4">
        <f>IF(OR(INDEX($AH$2:$AH$1001,MATCH(ROWS($AG$2:AG711),$AG$2:$AG$1001,0),1)&gt;=100000,INDEX($AN$1005:$BO$1005,1,MATCH(COLUMNS($AN$1006:AR1006),$AN$1006:$BO$1006,0))&gt;=100000), " ",IF(INDEX($AN$2:$BO$1001,MATCH(ROWS($AG$2:AG711),$AG$2:$AG$1001,0),MATCH(COLUMNS($AN$1006:AR1006),$AN$1006:$BO$1006,0)), HYPERLINK("#",""), HYPERLINK(CONCATENATE("#Metadata!", ADDRESS(INDEX($AI$2:$AI$1001,MATCH(ROWS($AG$2:AG711),$AG$2:$AG$1001,0),0), INDEX($AN$1004:$BO$1004,1,MATCH(COLUMNS($AN$1006:AR1006),$AN$1006:$BO$1006,0)))),"Fix")))</f>
        <v>0</v>
      </c>
      <c r="G711" s="4">
        <f>IF(OR(INDEX($AH$2:$AH$1001,MATCH(ROWS($AG$2:AG711),$AG$2:$AG$1001,0),1)&gt;=100000,INDEX($AN$1005:$BO$1005,1,MATCH(COLUMNS($AN$1006:AS1006),$AN$1006:$BO$1006,0))&gt;=100000), " ",IF(INDEX($AN$2:$BO$1001,MATCH(ROWS($AG$2:AG711),$AG$2:$AG$1001,0),MATCH(COLUMNS($AN$1006:AS1006),$AN$1006:$BO$1006,0)), HYPERLINK("#",""), HYPERLINK(CONCATENATE("#Metadata!", ADDRESS(INDEX($AI$2:$AI$1001,MATCH(ROWS($AG$2:AG711),$AG$2:$AG$1001,0),0), INDEX($AN$1004:$BO$1004,1,MATCH(COLUMNS($AN$1006:AS1006),$AN$1006:$BO$1006,0)))),"Fix")))</f>
        <v>0</v>
      </c>
      <c r="H711" s="4">
        <f>IF(OR(INDEX($AH$2:$AH$1001,MATCH(ROWS($AG$2:AG711),$AG$2:$AG$1001,0),1)&gt;=100000,INDEX($AN$1005:$BO$1005,1,MATCH(COLUMNS($AN$1006:AT1006),$AN$1006:$BO$1006,0))&gt;=100000), " ",IF(INDEX($AN$2:$BO$1001,MATCH(ROWS($AG$2:AG711),$AG$2:$AG$1001,0),MATCH(COLUMNS($AN$1006:AT1006),$AN$1006:$BO$1006,0)), HYPERLINK("#",""), HYPERLINK(CONCATENATE("#Metadata!", ADDRESS(INDEX($AI$2:$AI$1001,MATCH(ROWS($AG$2:AG711),$AG$2:$AG$1001,0),0), INDEX($AN$1004:$BO$1004,1,MATCH(COLUMNS($AN$1006:AT1006),$AN$1006:$BO$1006,0)))),"Fix")))</f>
        <v>0</v>
      </c>
      <c r="I711" s="4">
        <f>IF(OR(INDEX($AH$2:$AH$1001,MATCH(ROWS($AG$2:AG711),$AG$2:$AG$1001,0),1)&gt;=100000,INDEX($AN$1005:$BO$1005,1,MATCH(COLUMNS($AN$1006:AU1006),$AN$1006:$BO$1006,0))&gt;=100000), " ",IF(INDEX($AN$2:$BO$1001,MATCH(ROWS($AG$2:AG711),$AG$2:$AG$1001,0),MATCH(COLUMNS($AN$1006:AU1006),$AN$1006:$BO$1006,0)), HYPERLINK("#",""), HYPERLINK(CONCATENATE("#Metadata!", ADDRESS(INDEX($AI$2:$AI$1001,MATCH(ROWS($AG$2:AG711),$AG$2:$AG$1001,0),0), INDEX($AN$1004:$BO$1004,1,MATCH(COLUMNS($AN$1006:AU1006),$AN$1006:$BO$1006,0)))),"Fix")))</f>
        <v>0</v>
      </c>
      <c r="J711" s="4">
        <f>IF(OR(INDEX($AH$2:$AH$1001,MATCH(ROWS($AG$2:AG711),$AG$2:$AG$1001,0),1)&gt;=100000,INDEX($AN$1005:$BO$1005,1,MATCH(COLUMNS($AN$1006:AV1006),$AN$1006:$BO$1006,0))&gt;=100000), " ",IF(INDEX($AN$2:$BO$1001,MATCH(ROWS($AG$2:AG711),$AG$2:$AG$1001,0),MATCH(COLUMNS($AN$1006:AV1006),$AN$1006:$BO$1006,0)), HYPERLINK("#",""), HYPERLINK(CONCATENATE("#Metadata!", ADDRESS(INDEX($AI$2:$AI$1001,MATCH(ROWS($AG$2:AG711),$AG$2:$AG$1001,0),0), INDEX($AN$1004:$BO$1004,1,MATCH(COLUMNS($AN$1006:AV1006),$AN$1006:$BO$1006,0)))),"Fix")))</f>
        <v>0</v>
      </c>
      <c r="K711" s="4">
        <f>IF(OR(INDEX($AH$2:$AH$1001,MATCH(ROWS($AG$2:AG711),$AG$2:$AG$1001,0),1)&gt;=100000,INDEX($AN$1005:$BO$1005,1,MATCH(COLUMNS($AN$1006:AW1006),$AN$1006:$BO$1006,0))&gt;=100000), " ",IF(INDEX($AN$2:$BO$1001,MATCH(ROWS($AG$2:AG711),$AG$2:$AG$1001,0),MATCH(COLUMNS($AN$1006:AW1006),$AN$1006:$BO$1006,0)), HYPERLINK("#",""), HYPERLINK(CONCATENATE("#Metadata!", ADDRESS(INDEX($AI$2:$AI$1001,MATCH(ROWS($AG$2:AG711),$AG$2:$AG$1001,0),0), INDEX($AN$1004:$BO$1004,1,MATCH(COLUMNS($AN$1006:AW1006),$AN$1006:$BO$1006,0)))),"Fix")))</f>
        <v>0</v>
      </c>
      <c r="L711" s="4">
        <f>IF(OR(INDEX($AH$2:$AH$1001,MATCH(ROWS($AG$2:AG711),$AG$2:$AG$1001,0),1)&gt;=100000,INDEX($AN$1005:$BO$1005,1,MATCH(COLUMNS($AN$1006:AX1006),$AN$1006:$BO$1006,0))&gt;=100000), " ",IF(INDEX($AN$2:$BO$1001,MATCH(ROWS($AG$2:AG711),$AG$2:$AG$1001,0),MATCH(COLUMNS($AN$1006:AX1006),$AN$1006:$BO$1006,0)), HYPERLINK("#",""), HYPERLINK(CONCATENATE("#Metadata!", ADDRESS(INDEX($AI$2:$AI$1001,MATCH(ROWS($AG$2:AG711),$AG$2:$AG$1001,0),0), INDEX($AN$1004:$BO$1004,1,MATCH(COLUMNS($AN$1006:AX1006),$AN$1006:$BO$1006,0)))),"Fix")))</f>
        <v>0</v>
      </c>
      <c r="M711" s="4">
        <f>IF(OR(INDEX($AH$2:$AH$1001,MATCH(ROWS($AG$2:AG711),$AG$2:$AG$1001,0),1)&gt;=100000,INDEX($AN$1005:$BO$1005,1,MATCH(COLUMNS($AN$1006:AY1006),$AN$1006:$BO$1006,0))&gt;=100000), " ",IF(INDEX($AN$2:$BO$1001,MATCH(ROWS($AG$2:AG711),$AG$2:$AG$1001,0),MATCH(COLUMNS($AN$1006:AY1006),$AN$1006:$BO$1006,0)), HYPERLINK("#",""), HYPERLINK(CONCATENATE("#Metadata!", ADDRESS(INDEX($AI$2:$AI$1001,MATCH(ROWS($AG$2:AG711),$AG$2:$AG$1001,0),0), INDEX($AN$1004:$BO$1004,1,MATCH(COLUMNS($AN$1006:AY1006),$AN$1006:$BO$1006,0)))),"Fix")))</f>
        <v>0</v>
      </c>
      <c r="N711" s="4">
        <f>IF(OR(INDEX($AH$2:$AH$1001,MATCH(ROWS($AG$2:AG711),$AG$2:$AG$1001,0),1)&gt;=100000,INDEX($AN$1005:$BO$1005,1,MATCH(COLUMNS($AN$1006:AZ1006),$AN$1006:$BO$1006,0))&gt;=100000), " ",IF(INDEX($AN$2:$BO$1001,MATCH(ROWS($AG$2:AG711),$AG$2:$AG$1001,0),MATCH(COLUMNS($AN$1006:AZ1006),$AN$1006:$BO$1006,0)), HYPERLINK("#",""), HYPERLINK(CONCATENATE("#Metadata!", ADDRESS(INDEX($AI$2:$AI$1001,MATCH(ROWS($AG$2:AG711),$AG$2:$AG$1001,0),0), INDEX($AN$1004:$BO$1004,1,MATCH(COLUMNS($AN$1006:AZ1006),$AN$1006:$BO$1006,0)))),"Fix")))</f>
        <v>0</v>
      </c>
      <c r="O711" s="4">
        <f>IF(OR(INDEX($AH$2:$AH$1001,MATCH(ROWS($AG$2:AG711),$AG$2:$AG$1001,0),1)&gt;=100000,INDEX($AN$1005:$BO$1005,1,MATCH(COLUMNS($AN$1006:BA1006),$AN$1006:$BO$1006,0))&gt;=100000), " ",IF(INDEX($AN$2:$BO$1001,MATCH(ROWS($AG$2:AG711),$AG$2:$AG$1001,0),MATCH(COLUMNS($AN$1006:BA1006),$AN$1006:$BO$1006,0)), HYPERLINK("#",""), HYPERLINK(CONCATENATE("#Metadata!", ADDRESS(INDEX($AI$2:$AI$1001,MATCH(ROWS($AG$2:AG711),$AG$2:$AG$1001,0),0), INDEX($AN$1004:$BO$1004,1,MATCH(COLUMNS($AN$1006:BA1006),$AN$1006:$BO$1006,0)))),"Fix")))</f>
        <v>0</v>
      </c>
      <c r="P711" s="4">
        <f>IF(OR(INDEX($AH$2:$AH$1001,MATCH(ROWS($AG$2:AG711),$AG$2:$AG$1001,0),1)&gt;=100000,INDEX($AN$1005:$BO$1005,1,MATCH(COLUMNS($AN$1006:BB1006),$AN$1006:$BO$1006,0))&gt;=100000), " ",IF(INDEX($AN$2:$BO$1001,MATCH(ROWS($AG$2:AG711),$AG$2:$AG$1001,0),MATCH(COLUMNS($AN$1006:BB1006),$AN$1006:$BO$1006,0)), HYPERLINK("#",""), HYPERLINK(CONCATENATE("#Metadata!", ADDRESS(INDEX($AI$2:$AI$1001,MATCH(ROWS($AG$2:AG711),$AG$2:$AG$1001,0),0), INDEX($AN$1004:$BO$1004,1,MATCH(COLUMNS($AN$1006:BB1006),$AN$1006:$BO$1006,0)))),"Fix")))</f>
        <v>0</v>
      </c>
      <c r="Q711" s="4">
        <f>IF(OR(INDEX($AH$2:$AH$1001,MATCH(ROWS($AG$2:AG711),$AG$2:$AG$1001,0),1)&gt;=100000,INDEX($AN$1005:$BO$1005,1,MATCH(COLUMNS($AN$1006:BC1006),$AN$1006:$BO$1006,0))&gt;=100000), " ",IF(INDEX($AN$2:$BO$1001,MATCH(ROWS($AG$2:AG711),$AG$2:$AG$1001,0),MATCH(COLUMNS($AN$1006:BC1006),$AN$1006:$BO$1006,0)), HYPERLINK("#",""), HYPERLINK(CONCATENATE("#Metadata!", ADDRESS(INDEX($AI$2:$AI$1001,MATCH(ROWS($AG$2:AG711),$AG$2:$AG$1001,0),0), INDEX($AN$1004:$BO$1004,1,MATCH(COLUMNS($AN$1006:BC1006),$AN$1006:$BO$1006,0)))),"Fix")))</f>
        <v>0</v>
      </c>
      <c r="R711" s="4">
        <f>IF(OR(INDEX($AH$2:$AH$1001,MATCH(ROWS($AG$2:AG711),$AG$2:$AG$1001,0),1)&gt;=100000,INDEX($AN$1005:$BO$1005,1,MATCH(COLUMNS($AN$1006:BD1006),$AN$1006:$BO$1006,0))&gt;=100000), " ",IF(INDEX($AN$2:$BO$1001,MATCH(ROWS($AG$2:AG711),$AG$2:$AG$1001,0),MATCH(COLUMNS($AN$1006:BD1006),$AN$1006:$BO$1006,0)), HYPERLINK("#",""), HYPERLINK(CONCATENATE("#Metadata!", ADDRESS(INDEX($AI$2:$AI$1001,MATCH(ROWS($AG$2:AG711),$AG$2:$AG$1001,0),0), INDEX($AN$1004:$BO$1004,1,MATCH(COLUMNS($AN$1006:BD1006),$AN$1006:$BO$1006,0)))),"Fix")))</f>
        <v>0</v>
      </c>
      <c r="S711" s="4">
        <f>IF(OR(INDEX($AH$2:$AH$1001,MATCH(ROWS($AG$2:AG711),$AG$2:$AG$1001,0),1)&gt;=100000,INDEX($AN$1005:$BO$1005,1,MATCH(COLUMNS($AN$1006:BE1006),$AN$1006:$BO$1006,0))&gt;=100000), " ",IF(INDEX($AN$2:$BO$1001,MATCH(ROWS($AG$2:AG711),$AG$2:$AG$1001,0),MATCH(COLUMNS($AN$1006:BE1006),$AN$1006:$BO$1006,0)), HYPERLINK("#",""), HYPERLINK(CONCATENATE("#Metadata!", ADDRESS(INDEX($AI$2:$AI$1001,MATCH(ROWS($AG$2:AG711),$AG$2:$AG$1001,0),0), INDEX($AN$1004:$BO$1004,1,MATCH(COLUMNS($AN$1006:BE1006),$AN$1006:$BO$1006,0)))),"Fix")))</f>
        <v>0</v>
      </c>
      <c r="T711" s="4">
        <f>IF(OR(INDEX($AH$2:$AH$1001,MATCH(ROWS($AG$2:AG711),$AG$2:$AG$1001,0),1)&gt;=100000,INDEX($AN$1005:$BO$1005,1,MATCH(COLUMNS($AN$1006:BF1006),$AN$1006:$BO$1006,0))&gt;=100000), " ",IF(INDEX($AN$2:$BO$1001,MATCH(ROWS($AG$2:AG711),$AG$2:$AG$1001,0),MATCH(COLUMNS($AN$1006:BF1006),$AN$1006:$BO$1006,0)), HYPERLINK("#",""), HYPERLINK(CONCATENATE("#Metadata!", ADDRESS(INDEX($AI$2:$AI$1001,MATCH(ROWS($AG$2:AG711),$AG$2:$AG$1001,0),0), INDEX($AN$1004:$BO$1004,1,MATCH(COLUMNS($AN$1006:BF1006),$AN$1006:$BO$1006,0)))),"Fix")))</f>
        <v>0</v>
      </c>
      <c r="U711" s="4">
        <f>IF(OR(INDEX($AH$2:$AH$1001,MATCH(ROWS($AG$2:AG711),$AG$2:$AG$1001,0),1)&gt;=100000,INDEX($AN$1005:$BO$1005,1,MATCH(COLUMNS($AN$1006:BG1006),$AN$1006:$BO$1006,0))&gt;=100000), " ",IF(INDEX($AN$2:$BO$1001,MATCH(ROWS($AG$2:AG711),$AG$2:$AG$1001,0),MATCH(COLUMNS($AN$1006:BG1006),$AN$1006:$BO$1006,0)), HYPERLINK("#",""), HYPERLINK(CONCATENATE("#Metadata!", ADDRESS(INDEX($AI$2:$AI$1001,MATCH(ROWS($AG$2:AG711),$AG$2:$AG$1001,0),0), INDEX($AN$1004:$BO$1004,1,MATCH(COLUMNS($AN$1006:BG1006),$AN$1006:$BO$1006,0)))),"Fix")))</f>
        <v>0</v>
      </c>
      <c r="V711" s="4">
        <f>IF(OR(INDEX($AH$2:$AH$1001,MATCH(ROWS($AG$2:AG711),$AG$2:$AG$1001,0),1)&gt;=100000,INDEX($AN$1005:$BO$1005,1,MATCH(COLUMNS($AN$1006:BH1006),$AN$1006:$BO$1006,0))&gt;=100000), " ",IF(INDEX($AN$2:$BO$1001,MATCH(ROWS($AG$2:AG711),$AG$2:$AG$1001,0),MATCH(COLUMNS($AN$1006:BH1006),$AN$1006:$BO$1006,0)), HYPERLINK("#",""), HYPERLINK(CONCATENATE("#Metadata!", ADDRESS(INDEX($AI$2:$AI$1001,MATCH(ROWS($AG$2:AG711),$AG$2:$AG$1001,0),0), INDEX($AN$1004:$BO$1004,1,MATCH(COLUMNS($AN$1006:BH1006),$AN$1006:$BO$1006,0)))),"Fix")))</f>
        <v>0</v>
      </c>
      <c r="W711" s="4">
        <f>IF(OR(INDEX($AH$2:$AH$1001,MATCH(ROWS($AG$2:AG711),$AG$2:$AG$1001,0),1)&gt;=100000,INDEX($AN$1005:$BO$1005,1,MATCH(COLUMNS($AN$1006:BI1006),$AN$1006:$BO$1006,0))&gt;=100000), " ",IF(INDEX($AN$2:$BO$1001,MATCH(ROWS($AG$2:AG711),$AG$2:$AG$1001,0),MATCH(COLUMNS($AN$1006:BI1006),$AN$1006:$BO$1006,0)), HYPERLINK("#",""), HYPERLINK(CONCATENATE("#Metadata!", ADDRESS(INDEX($AI$2:$AI$1001,MATCH(ROWS($AG$2:AG711),$AG$2:$AG$1001,0),0), INDEX($AN$1004:$BO$1004,1,MATCH(COLUMNS($AN$1006:BI1006),$AN$1006:$BO$1006,0)))),"Fix")))</f>
        <v>0</v>
      </c>
      <c r="X711" s="4">
        <f>IF(OR(INDEX($AH$2:$AH$1001,MATCH(ROWS($AG$2:AG711),$AG$2:$AG$1001,0),1)&gt;=100000,INDEX($AN$1005:$BO$1005,1,MATCH(COLUMNS($AN$1006:BJ1006),$AN$1006:$BO$1006,0))&gt;=100000), " ",IF(INDEX($AN$2:$BO$1001,MATCH(ROWS($AG$2:AG711),$AG$2:$AG$1001,0),MATCH(COLUMNS($AN$1006:BJ1006),$AN$1006:$BO$1006,0)), HYPERLINK("#",""), HYPERLINK(CONCATENATE("#Metadata!", ADDRESS(INDEX($AI$2:$AI$1001,MATCH(ROWS($AG$2:AG711),$AG$2:$AG$1001,0),0), INDEX($AN$1004:$BO$1004,1,MATCH(COLUMNS($AN$1006:BJ1006),$AN$1006:$BO$1006,0)))),"Fix")))</f>
        <v>0</v>
      </c>
      <c r="Y711" s="4">
        <f>IF(OR(INDEX($AH$2:$AH$1001,MATCH(ROWS($AG$2:AG711),$AG$2:$AG$1001,0),1)&gt;=100000,INDEX($AN$1005:$BO$1005,1,MATCH(COLUMNS($AN$1006:BK1006),$AN$1006:$BO$1006,0))&gt;=100000), " ",IF(INDEX($AN$2:$BO$1001,MATCH(ROWS($AG$2:AG711),$AG$2:$AG$1001,0),MATCH(COLUMNS($AN$1006:BK1006),$AN$1006:$BO$1006,0)), HYPERLINK("#",""), HYPERLINK(CONCATENATE("#Metadata!", ADDRESS(INDEX($AI$2:$AI$1001,MATCH(ROWS($AG$2:AG711),$AG$2:$AG$1001,0),0), INDEX($AN$1004:$BO$1004,1,MATCH(COLUMNS($AN$1006:BK1006),$AN$1006:$BO$1006,0)))),"Fix")))</f>
        <v>0</v>
      </c>
      <c r="Z711" s="4">
        <f>IF(OR(INDEX($AH$2:$AH$1001,MATCH(ROWS($AG$2:AG711),$AG$2:$AG$1001,0),1)&gt;=100000,INDEX($AN$1005:$BO$1005,1,MATCH(COLUMNS($AN$1006:BL1006),$AN$1006:$BO$1006,0))&gt;=100000), " ",IF(INDEX($AN$2:$BO$1001,MATCH(ROWS($AG$2:AG711),$AG$2:$AG$1001,0),MATCH(COLUMNS($AN$1006:BL1006),$AN$1006:$BO$1006,0)), HYPERLINK("#",""), HYPERLINK(CONCATENATE("#Metadata!", ADDRESS(INDEX($AI$2:$AI$1001,MATCH(ROWS($AG$2:AG711),$AG$2:$AG$1001,0),0), INDEX($AN$1004:$BO$1004,1,MATCH(COLUMNS($AN$1006:BL1006),$AN$1006:$BO$1006,0)))),"Fix")))</f>
        <v>0</v>
      </c>
      <c r="AA711" s="4">
        <f>IF(OR(INDEX($AH$2:$AH$1001,MATCH(ROWS($AG$2:AG711),$AG$2:$AG$1001,0),1)&gt;=100000,INDEX($AN$1005:$BO$1005,1,MATCH(COLUMNS($AN$1006:BM1006),$AN$1006:$BO$1006,0))&gt;=100000), " ",IF(INDEX($AN$2:$BO$1001,MATCH(ROWS($AG$2:AG711),$AG$2:$AG$1001,0),MATCH(COLUMNS($AN$1006:BM1006),$AN$1006:$BO$1006,0)), HYPERLINK("#",""), HYPERLINK(CONCATENATE("#Metadata!", ADDRESS(INDEX($AI$2:$AI$1001,MATCH(ROWS($AG$2:AG711),$AG$2:$AG$1001,0),0), INDEX($AN$1004:$BO$1004,1,MATCH(COLUMNS($AN$1006:BM1006),$AN$1006:$BO$1006,0)))),"Fix")))</f>
        <v>0</v>
      </c>
      <c r="AB711" s="4">
        <f>IF(OR(INDEX($AH$2:$AH$1001,MATCH(ROWS($AG$2:AG711),$AG$2:$AG$1001,0),1)&gt;=100000,INDEX($AN$1005:$BO$1005,1,MATCH(COLUMNS($AN$1006:BN1006),$AN$1006:$BO$1006,0))&gt;=100000), " ",IF(INDEX($AN$2:$BO$1001,MATCH(ROWS($AG$2:AG711),$AG$2:$AG$1001,0),MATCH(COLUMNS($AN$1006:BN1006),$AN$1006:$BO$1006,0)), HYPERLINK("#",""), HYPERLINK(CONCATENATE("#Metadata!", ADDRESS(INDEX($AI$2:$AI$1001,MATCH(ROWS($AG$2:AG711),$AG$2:$AG$1001,0),0), INDEX($AN$1004:$BO$1004,1,MATCH(COLUMNS($AN$1006:BN1006),$AN$1006:$BO$1006,0)))),"Fix")))</f>
        <v>0</v>
      </c>
      <c r="AC711" s="4">
        <f>IF(OR(INDEX($AH$2:$AH$1001,MATCH(ROWS($AG$2:AG711),$AG$2:$AG$1001,0),1)&gt;=100000,INDEX($AN$1005:$BO$1005,1,MATCH(COLUMNS($AN$1006:BO1006),$AN$1006:$BO$1006,0))&gt;=100000), " ",IF(INDEX($AN$2:$BO$1001,MATCH(ROWS($AG$2:AG711),$AG$2:$AG$1001,0),MATCH(COLUMNS($AN$1006:BO1006),$AN$1006:$BO$1006,0)), HYPERLINK("#",""), HYPERLINK(CONCATENATE("#Metadata!", ADDRESS(INDEX($AI$2:$AI$1001,MATCH(ROWS($AG$2:AG711),$AG$2:$AG$1001,0),0), INDEX($AN$1004:$BO$1004,1,MATCH(COLUMNS($AN$1006:BO1006),$AN$1006:$BO$1006,0)))),"Fix")))</f>
        <v>0</v>
      </c>
      <c r="AG711">
        <v>0</v>
      </c>
      <c r="AH711">
        <v>0</v>
      </c>
      <c r="AI711">
        <v>0</v>
      </c>
      <c r="AJ711">
        <f>IF(AK711,TRUE,AND(AN711:BO711))</f>
        <v>0</v>
      </c>
      <c r="AK711">
        <f>COUNTBLANK(Metadata!B711:AC711)=COLUMNS(Metadata!B711:AC711)</f>
        <v>0</v>
      </c>
      <c r="AL711">
        <v>0</v>
      </c>
      <c r="AN711">
        <f>AND(IF(Metadata!B711="",FALSE,TRUE),COUNTIF(Metadata!B:B, Metadata!B711) = 1,NOT(ISERROR(SUMPRODUCT(SEARCH(MID(Metadata!B711,ROW(INDIRECT("1:"&amp;LEN(Metadata!B711))), 1),"0123456789abcdefghijklmnopqrstuvwxyzABCDEFGHIJKLMNOPQRSTUVWXYZ.")))))</f>
        <v>0</v>
      </c>
      <c r="AO711">
        <f>IF(Metadata!C711="",FALSE,TRUE)</f>
        <v>0</v>
      </c>
      <c r="AP711">
        <f>IF(Metadata!D711="",FALSE,TRUE)</f>
        <v>0</v>
      </c>
      <c r="AQ711">
        <f>OR(AND(IF(Metadata!E711="",FALSE,TRUE),OR(exact(Metadata!E711,"not collected"),exact(Metadata!E711,"not provided"),exact(Metadata!E711,"restricted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R711">
        <f>IF(Metadata!F711="",FALSE,TRUE)</f>
        <v>0</v>
      </c>
      <c r="AS711">
        <f>OR(AND(IF(Metadata!G711="",FALSE,TRUE),OR(exact(Metadata!G711,"not collected"),exact(Metadata!G711,"not provided"))),AND(IF(Metadata!G711="",FALSE,TRUE),OR(exact(Metadata!G711,"TRUE"),exact(Metadata!G711,"FALSE"))))</f>
        <v>0</v>
      </c>
      <c r="AT711">
        <f>OR(AND(IF(Metadata!H711="",FALSE,TRUE),OR(exact(Metadata!H711,"not collected"),exact(Metadata!H711,"not provided"),exact(Metadata!H711,"restricted access"))),AND(IF(Metadata!H711="",FALSE,ISNUMBER(VALUE(Metadata!H711))),Metadata!H711&gt;=-413.0))</f>
        <v>0</v>
      </c>
      <c r="AU711">
        <f>AND(IF(Metadata!I711="",FALSE,TRUE),exact(Metadata!I711,"meters"))</f>
        <v>0</v>
      </c>
      <c r="AV711">
        <f>AND(IF(Metadata!J711="",FALSE,TRUE),OR(exact(Metadata!J711,"Host-associated"),exact(Metadata!J711,"Free-living")))</f>
        <v>0</v>
      </c>
      <c r="AW711">
        <f>AND(IF(Metadata!K711="",FALSE,TRUE),OR(exact(Metadata!K711,"Animal"),exact(Metadata!K711,"Fungus"),exact(Metadata!K711,"Plant"),exact(Metadata!K711,"Saline"),exact(Metadata!K711,"Non-saline")))</f>
        <v>0</v>
      </c>
      <c r="AX711">
        <f>AND(IF(Metadata!L711="",FALSE,TRUE),OR(exact(Metadata!L711,"Plant secretion"),exact(Metadata!L711,"Plant rhizosphere"),exact(Metadata!L711,"Plant surface"),exact(Metadata!L711,"Plant corpus"),exact(Metadata!L711,"Fungus surface"),exact(Metadata!L711,"Fungus corpus"),exact(Metadata!L711,"Animal surface"),exact(Metadata!L711,"Animal proximal gut"),exact(Metadata!L711,"Animal corpus"),exact(Metadata!L711,"Animal distal gut"),exact(Metadata!L711,"Animal secretion"),exact(Metadata!L711,"Sub-surface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Y711">
        <f>IF(Metadata!M711="",FALSE,TRUE)</f>
        <v>0</v>
      </c>
      <c r="AZ711">
        <f>IF(Metadata!N711="",FALSE,TRUE)</f>
        <v>0</v>
      </c>
      <c r="BA711">
        <f>IF(Metadata!O711="",FALSE,TRUE)</f>
        <v>0</v>
      </c>
      <c r="BB711">
        <f>OR(AND(IF(Metadata!P711="",FALSE,TRUE),OR(exact(Metadata!P711,"not collected"),exact(Metadata!P711,"not provided"),exact(Metadata!P711,"restricted access"))),AND(IF(Metadata!P711="",FALSE,TRUE),OR(exact(Metadata!P711,"air"),exact(Metadata!P711,"built environment"),exact(Metadata!P711,"host-associated"),exact(Metadata!P711,"human-associated"),exact(Metadata!P711,"human-skin"),exact(Metadata!P711,"human-oral"),exact(Metadata!P711,"human-gut"),exact(Metadata!P711,"human-vaginal"),exact(Metadata!P711,"microbial mat/biofilm"),exact(Metadata!P711,"misc environment"),exact(Metadata!P711,"plant-associated"),exact(Metadata!P711,"sediment"),exact(Metadata!P711,"soil"),exact(Metadata!P711,"wastewater/sludge"),exact(Metadata!P711,"water"))))</f>
        <v>0</v>
      </c>
      <c r="BC711">
        <f>IF(Metadata!Q711="",FALSE,TRUE)</f>
        <v>0</v>
      </c>
      <c r="BD711">
        <f>IF(Metadata!R711="",FALSE,TRUE)</f>
        <v>0</v>
      </c>
      <c r="BE711">
        <f>OR(AND(IF(Metadata!S711="",FALSE,TRUE),OR(exact(Metadata!S711,"not collected"),exact(Metadata!S711,"not provided"),exact(Metadata!S711,"restricted access"))),AND(IF(Metadata!S711="",FALSE,ISNUMBER(VALUE(Metadata!S711))),Metadata!S711&gt;=-90.00,Metadata!S711&lt;=90.00))</f>
        <v>0</v>
      </c>
      <c r="BF711">
        <f>AND(IF(Metadata!T711="",FALSE,TRUE),exact(Metadata!T711,"Decimal degrees"))</f>
        <v>0</v>
      </c>
      <c r="BG711">
        <f>OR(AND(IF(Metadata!U711="",FALSE,TRUE),OR(exact(Metadata!U711,"not collected"),exact(Metadata!U711,"not provided"),exact(Metadata!U711,"restricted access"))),AND(IF(Metadata!U711="",FALSE,ISNUMBER(VALUE(Metadata!U711))),Metadata!U711&gt;=-180.00,Metadata!U711&lt;=180.00))</f>
        <v>0</v>
      </c>
      <c r="BH711">
        <f>AND(IF(Metadata!V711="",FALSE,TRUE),exact(Metadata!V711,"Decimal degrees"))</f>
        <v>0</v>
      </c>
      <c r="BI711">
        <f>IF(Metadata!W711="",FALSE,TRUE)</f>
        <v>0</v>
      </c>
      <c r="BJ711">
        <f>OR(AND(IF(Metadata!X711="",FALSE,TRUE),OR(exact(Metadata!X711,"not collected"),exact(Metadata!X711,"not provided"),exact(Metadata!X711,"restricted access"))),AND(IF(Metadata!X711="",FALSE,TRUE),OR(exact(Metadata!X711,"TRUE"),exact(Metadata!X711,"FALSE"))))</f>
        <v>0</v>
      </c>
      <c r="BK711">
        <f>AND(IF(Metadata!Y711="",FALSE,TRUE),exact(Metadata!Y711,"other"))</f>
        <v>0</v>
      </c>
      <c r="BL711">
        <f>IF(Metadata!Z711="",FALSE,TRUE)</f>
        <v>0</v>
      </c>
      <c r="BM711">
        <f>OR(AND(IF(Metadata!AA711="",FALSE,TRUE),OR(exact(Metadata!AA711,"not collected"),exact(Metadata!AA711,"not provided"))),AND(IF(Metadata!AA711="",FALSE,IF(ISERROR(INT(Metadata!AA711)),FALSE,INT(Metadata!AA711)=Metadata!AA711)),Metadata!AA711&gt;0))</f>
        <v>0</v>
      </c>
      <c r="BN711">
        <f>AND(IF(Metadata!AB711="",FALSE,TRUE),exact(Metadata!AB711,"Not applicable"))</f>
        <v>0</v>
      </c>
      <c r="BO711">
        <f>IF(Metadata!AC711="",FALSE,TRUE)</f>
        <v>0</v>
      </c>
    </row>
    <row r="712" spans="1:67">
      <c r="A712" s="5">
        <f>IF(B712=" "," ",HYPERLINK(CONCATENATE("#metadata!",ADDRESS(INDEX($AI$2:$AI$1001,MATCH(ROWS($AG$2:AG712),$AG$2:$AG$1001,0),0),1)),INDEX($AL$2:$AL$1001,MATCH(ROWS($AG$2:AG712),$AG$2:$AG$1001,0),0)))</f>
        <v>0</v>
      </c>
      <c r="B712" s="4">
        <f>IF(OR(INDEX($AH$2:$AH$1001,MATCH(ROWS($AG$2:AG712),$AG$2:$AG$1001,0),1)&gt;=100000,INDEX($AN$1005:$BO$1005,1,MATCH(COLUMNS($AN$1006:AN1006),$AN$1006:$BO$1006,0))&gt;=100000), " ",IF(INDEX($AN$2:$BO$1001,MATCH(ROWS($AG$2:AG712),$AG$2:$AG$1001,0),MATCH(COLUMNS($AN$1006:AN1006),$AN$1006:$BO$1006,0)), HYPERLINK("#",""), HYPERLINK(CONCATENATE("#Metadata!", ADDRESS(INDEX($AI$2:$AI$1001,MATCH(ROWS($AG$2:AG712),$AG$2:$AG$1001,0),0), INDEX($AN$1004:$BO$1004,1,MATCH(COLUMNS($AN$1006:AN1006),$AN$1006:$BO$1006,0)))),"Fix")))</f>
        <v>0</v>
      </c>
      <c r="C712" s="4">
        <f>IF(OR(INDEX($AH$2:$AH$1001,MATCH(ROWS($AG$2:AG712),$AG$2:$AG$1001,0),1)&gt;=100000,INDEX($AN$1005:$BO$1005,1,MATCH(COLUMNS($AN$1006:AO1006),$AN$1006:$BO$1006,0))&gt;=100000), " ",IF(INDEX($AN$2:$BO$1001,MATCH(ROWS($AG$2:AG712),$AG$2:$AG$1001,0),MATCH(COLUMNS($AN$1006:AO1006),$AN$1006:$BO$1006,0)), HYPERLINK("#",""), HYPERLINK(CONCATENATE("#Metadata!", ADDRESS(INDEX($AI$2:$AI$1001,MATCH(ROWS($AG$2:AG712),$AG$2:$AG$1001,0),0), INDEX($AN$1004:$BO$1004,1,MATCH(COLUMNS($AN$1006:AO1006),$AN$1006:$BO$1006,0)))),"Fix")))</f>
        <v>0</v>
      </c>
      <c r="D712" s="4">
        <f>IF(OR(INDEX($AH$2:$AH$1001,MATCH(ROWS($AG$2:AG712),$AG$2:$AG$1001,0),1)&gt;=100000,INDEX($AN$1005:$BO$1005,1,MATCH(COLUMNS($AN$1006:AP1006),$AN$1006:$BO$1006,0))&gt;=100000), " ",IF(INDEX($AN$2:$BO$1001,MATCH(ROWS($AG$2:AG712),$AG$2:$AG$1001,0),MATCH(COLUMNS($AN$1006:AP1006),$AN$1006:$BO$1006,0)), HYPERLINK("#",""), HYPERLINK(CONCATENATE("#Metadata!", ADDRESS(INDEX($AI$2:$AI$1001,MATCH(ROWS($AG$2:AG712),$AG$2:$AG$1001,0),0), INDEX($AN$1004:$BO$1004,1,MATCH(COLUMNS($AN$1006:AP1006),$AN$1006:$BO$1006,0)))),"Fix")))</f>
        <v>0</v>
      </c>
      <c r="E712" s="4">
        <f>IF(OR(INDEX($AH$2:$AH$1001,MATCH(ROWS($AG$2:AG712),$AG$2:$AG$1001,0),1)&gt;=100000,INDEX($AN$1005:$BO$1005,1,MATCH(COLUMNS($AN$1006:AQ1006),$AN$1006:$BO$1006,0))&gt;=100000), " ",IF(INDEX($AN$2:$BO$1001,MATCH(ROWS($AG$2:AG712),$AG$2:$AG$1001,0),MATCH(COLUMNS($AN$1006:AQ1006),$AN$1006:$BO$1006,0)), HYPERLINK("#",""), HYPERLINK(CONCATENATE("#Metadata!", ADDRESS(INDEX($AI$2:$AI$1001,MATCH(ROWS($AG$2:AG712),$AG$2:$AG$1001,0),0), INDEX($AN$1004:$BO$1004,1,MATCH(COLUMNS($AN$1006:AQ1006),$AN$1006:$BO$1006,0)))),"Fix")))</f>
        <v>0</v>
      </c>
      <c r="F712" s="4">
        <f>IF(OR(INDEX($AH$2:$AH$1001,MATCH(ROWS($AG$2:AG712),$AG$2:$AG$1001,0),1)&gt;=100000,INDEX($AN$1005:$BO$1005,1,MATCH(COLUMNS($AN$1006:AR1006),$AN$1006:$BO$1006,0))&gt;=100000), " ",IF(INDEX($AN$2:$BO$1001,MATCH(ROWS($AG$2:AG712),$AG$2:$AG$1001,0),MATCH(COLUMNS($AN$1006:AR1006),$AN$1006:$BO$1006,0)), HYPERLINK("#",""), HYPERLINK(CONCATENATE("#Metadata!", ADDRESS(INDEX($AI$2:$AI$1001,MATCH(ROWS($AG$2:AG712),$AG$2:$AG$1001,0),0), INDEX($AN$1004:$BO$1004,1,MATCH(COLUMNS($AN$1006:AR1006),$AN$1006:$BO$1006,0)))),"Fix")))</f>
        <v>0</v>
      </c>
      <c r="G712" s="4">
        <f>IF(OR(INDEX($AH$2:$AH$1001,MATCH(ROWS($AG$2:AG712),$AG$2:$AG$1001,0),1)&gt;=100000,INDEX($AN$1005:$BO$1005,1,MATCH(COLUMNS($AN$1006:AS1006),$AN$1006:$BO$1006,0))&gt;=100000), " ",IF(INDEX($AN$2:$BO$1001,MATCH(ROWS($AG$2:AG712),$AG$2:$AG$1001,0),MATCH(COLUMNS($AN$1006:AS1006),$AN$1006:$BO$1006,0)), HYPERLINK("#",""), HYPERLINK(CONCATENATE("#Metadata!", ADDRESS(INDEX($AI$2:$AI$1001,MATCH(ROWS($AG$2:AG712),$AG$2:$AG$1001,0),0), INDEX($AN$1004:$BO$1004,1,MATCH(COLUMNS($AN$1006:AS1006),$AN$1006:$BO$1006,0)))),"Fix")))</f>
        <v>0</v>
      </c>
      <c r="H712" s="4">
        <f>IF(OR(INDEX($AH$2:$AH$1001,MATCH(ROWS($AG$2:AG712),$AG$2:$AG$1001,0),1)&gt;=100000,INDEX($AN$1005:$BO$1005,1,MATCH(COLUMNS($AN$1006:AT1006),$AN$1006:$BO$1006,0))&gt;=100000), " ",IF(INDEX($AN$2:$BO$1001,MATCH(ROWS($AG$2:AG712),$AG$2:$AG$1001,0),MATCH(COLUMNS($AN$1006:AT1006),$AN$1006:$BO$1006,0)), HYPERLINK("#",""), HYPERLINK(CONCATENATE("#Metadata!", ADDRESS(INDEX($AI$2:$AI$1001,MATCH(ROWS($AG$2:AG712),$AG$2:$AG$1001,0),0), INDEX($AN$1004:$BO$1004,1,MATCH(COLUMNS($AN$1006:AT1006),$AN$1006:$BO$1006,0)))),"Fix")))</f>
        <v>0</v>
      </c>
      <c r="I712" s="4">
        <f>IF(OR(INDEX($AH$2:$AH$1001,MATCH(ROWS($AG$2:AG712),$AG$2:$AG$1001,0),1)&gt;=100000,INDEX($AN$1005:$BO$1005,1,MATCH(COLUMNS($AN$1006:AU1006),$AN$1006:$BO$1006,0))&gt;=100000), " ",IF(INDEX($AN$2:$BO$1001,MATCH(ROWS($AG$2:AG712),$AG$2:$AG$1001,0),MATCH(COLUMNS($AN$1006:AU1006),$AN$1006:$BO$1006,0)), HYPERLINK("#",""), HYPERLINK(CONCATENATE("#Metadata!", ADDRESS(INDEX($AI$2:$AI$1001,MATCH(ROWS($AG$2:AG712),$AG$2:$AG$1001,0),0), INDEX($AN$1004:$BO$1004,1,MATCH(COLUMNS($AN$1006:AU1006),$AN$1006:$BO$1006,0)))),"Fix")))</f>
        <v>0</v>
      </c>
      <c r="J712" s="4">
        <f>IF(OR(INDEX($AH$2:$AH$1001,MATCH(ROWS($AG$2:AG712),$AG$2:$AG$1001,0),1)&gt;=100000,INDEX($AN$1005:$BO$1005,1,MATCH(COLUMNS($AN$1006:AV1006),$AN$1006:$BO$1006,0))&gt;=100000), " ",IF(INDEX($AN$2:$BO$1001,MATCH(ROWS($AG$2:AG712),$AG$2:$AG$1001,0),MATCH(COLUMNS($AN$1006:AV1006),$AN$1006:$BO$1006,0)), HYPERLINK("#",""), HYPERLINK(CONCATENATE("#Metadata!", ADDRESS(INDEX($AI$2:$AI$1001,MATCH(ROWS($AG$2:AG712),$AG$2:$AG$1001,0),0), INDEX($AN$1004:$BO$1004,1,MATCH(COLUMNS($AN$1006:AV1006),$AN$1006:$BO$1006,0)))),"Fix")))</f>
        <v>0</v>
      </c>
      <c r="K712" s="4">
        <f>IF(OR(INDEX($AH$2:$AH$1001,MATCH(ROWS($AG$2:AG712),$AG$2:$AG$1001,0),1)&gt;=100000,INDEX($AN$1005:$BO$1005,1,MATCH(COLUMNS($AN$1006:AW1006),$AN$1006:$BO$1006,0))&gt;=100000), " ",IF(INDEX($AN$2:$BO$1001,MATCH(ROWS($AG$2:AG712),$AG$2:$AG$1001,0),MATCH(COLUMNS($AN$1006:AW1006),$AN$1006:$BO$1006,0)), HYPERLINK("#",""), HYPERLINK(CONCATENATE("#Metadata!", ADDRESS(INDEX($AI$2:$AI$1001,MATCH(ROWS($AG$2:AG712),$AG$2:$AG$1001,0),0), INDEX($AN$1004:$BO$1004,1,MATCH(COLUMNS($AN$1006:AW1006),$AN$1006:$BO$1006,0)))),"Fix")))</f>
        <v>0</v>
      </c>
      <c r="L712" s="4">
        <f>IF(OR(INDEX($AH$2:$AH$1001,MATCH(ROWS($AG$2:AG712),$AG$2:$AG$1001,0),1)&gt;=100000,INDEX($AN$1005:$BO$1005,1,MATCH(COLUMNS($AN$1006:AX1006),$AN$1006:$BO$1006,0))&gt;=100000), " ",IF(INDEX($AN$2:$BO$1001,MATCH(ROWS($AG$2:AG712),$AG$2:$AG$1001,0),MATCH(COLUMNS($AN$1006:AX1006),$AN$1006:$BO$1006,0)), HYPERLINK("#",""), HYPERLINK(CONCATENATE("#Metadata!", ADDRESS(INDEX($AI$2:$AI$1001,MATCH(ROWS($AG$2:AG712),$AG$2:$AG$1001,0),0), INDEX($AN$1004:$BO$1004,1,MATCH(COLUMNS($AN$1006:AX1006),$AN$1006:$BO$1006,0)))),"Fix")))</f>
        <v>0</v>
      </c>
      <c r="M712" s="4">
        <f>IF(OR(INDEX($AH$2:$AH$1001,MATCH(ROWS($AG$2:AG712),$AG$2:$AG$1001,0),1)&gt;=100000,INDEX($AN$1005:$BO$1005,1,MATCH(COLUMNS($AN$1006:AY1006),$AN$1006:$BO$1006,0))&gt;=100000), " ",IF(INDEX($AN$2:$BO$1001,MATCH(ROWS($AG$2:AG712),$AG$2:$AG$1001,0),MATCH(COLUMNS($AN$1006:AY1006),$AN$1006:$BO$1006,0)), HYPERLINK("#",""), HYPERLINK(CONCATENATE("#Metadata!", ADDRESS(INDEX($AI$2:$AI$1001,MATCH(ROWS($AG$2:AG712),$AG$2:$AG$1001,0),0), INDEX($AN$1004:$BO$1004,1,MATCH(COLUMNS($AN$1006:AY1006),$AN$1006:$BO$1006,0)))),"Fix")))</f>
        <v>0</v>
      </c>
      <c r="N712" s="4">
        <f>IF(OR(INDEX($AH$2:$AH$1001,MATCH(ROWS($AG$2:AG712),$AG$2:$AG$1001,0),1)&gt;=100000,INDEX($AN$1005:$BO$1005,1,MATCH(COLUMNS($AN$1006:AZ1006),$AN$1006:$BO$1006,0))&gt;=100000), " ",IF(INDEX($AN$2:$BO$1001,MATCH(ROWS($AG$2:AG712),$AG$2:$AG$1001,0),MATCH(COLUMNS($AN$1006:AZ1006),$AN$1006:$BO$1006,0)), HYPERLINK("#",""), HYPERLINK(CONCATENATE("#Metadata!", ADDRESS(INDEX($AI$2:$AI$1001,MATCH(ROWS($AG$2:AG712),$AG$2:$AG$1001,0),0), INDEX($AN$1004:$BO$1004,1,MATCH(COLUMNS($AN$1006:AZ1006),$AN$1006:$BO$1006,0)))),"Fix")))</f>
        <v>0</v>
      </c>
      <c r="O712" s="4">
        <f>IF(OR(INDEX($AH$2:$AH$1001,MATCH(ROWS($AG$2:AG712),$AG$2:$AG$1001,0),1)&gt;=100000,INDEX($AN$1005:$BO$1005,1,MATCH(COLUMNS($AN$1006:BA1006),$AN$1006:$BO$1006,0))&gt;=100000), " ",IF(INDEX($AN$2:$BO$1001,MATCH(ROWS($AG$2:AG712),$AG$2:$AG$1001,0),MATCH(COLUMNS($AN$1006:BA1006),$AN$1006:$BO$1006,0)), HYPERLINK("#",""), HYPERLINK(CONCATENATE("#Metadata!", ADDRESS(INDEX($AI$2:$AI$1001,MATCH(ROWS($AG$2:AG712),$AG$2:$AG$1001,0),0), INDEX($AN$1004:$BO$1004,1,MATCH(COLUMNS($AN$1006:BA1006),$AN$1006:$BO$1006,0)))),"Fix")))</f>
        <v>0</v>
      </c>
      <c r="P712" s="4">
        <f>IF(OR(INDEX($AH$2:$AH$1001,MATCH(ROWS($AG$2:AG712),$AG$2:$AG$1001,0),1)&gt;=100000,INDEX($AN$1005:$BO$1005,1,MATCH(COLUMNS($AN$1006:BB1006),$AN$1006:$BO$1006,0))&gt;=100000), " ",IF(INDEX($AN$2:$BO$1001,MATCH(ROWS($AG$2:AG712),$AG$2:$AG$1001,0),MATCH(COLUMNS($AN$1006:BB1006),$AN$1006:$BO$1006,0)), HYPERLINK("#",""), HYPERLINK(CONCATENATE("#Metadata!", ADDRESS(INDEX($AI$2:$AI$1001,MATCH(ROWS($AG$2:AG712),$AG$2:$AG$1001,0),0), INDEX($AN$1004:$BO$1004,1,MATCH(COLUMNS($AN$1006:BB1006),$AN$1006:$BO$1006,0)))),"Fix")))</f>
        <v>0</v>
      </c>
      <c r="Q712" s="4">
        <f>IF(OR(INDEX($AH$2:$AH$1001,MATCH(ROWS($AG$2:AG712),$AG$2:$AG$1001,0),1)&gt;=100000,INDEX($AN$1005:$BO$1005,1,MATCH(COLUMNS($AN$1006:BC1006),$AN$1006:$BO$1006,0))&gt;=100000), " ",IF(INDEX($AN$2:$BO$1001,MATCH(ROWS($AG$2:AG712),$AG$2:$AG$1001,0),MATCH(COLUMNS($AN$1006:BC1006),$AN$1006:$BO$1006,0)), HYPERLINK("#",""), HYPERLINK(CONCATENATE("#Metadata!", ADDRESS(INDEX($AI$2:$AI$1001,MATCH(ROWS($AG$2:AG712),$AG$2:$AG$1001,0),0), INDEX($AN$1004:$BO$1004,1,MATCH(COLUMNS($AN$1006:BC1006),$AN$1006:$BO$1006,0)))),"Fix")))</f>
        <v>0</v>
      </c>
      <c r="R712" s="4">
        <f>IF(OR(INDEX($AH$2:$AH$1001,MATCH(ROWS($AG$2:AG712),$AG$2:$AG$1001,0),1)&gt;=100000,INDEX($AN$1005:$BO$1005,1,MATCH(COLUMNS($AN$1006:BD1006),$AN$1006:$BO$1006,0))&gt;=100000), " ",IF(INDEX($AN$2:$BO$1001,MATCH(ROWS($AG$2:AG712),$AG$2:$AG$1001,0),MATCH(COLUMNS($AN$1006:BD1006),$AN$1006:$BO$1006,0)), HYPERLINK("#",""), HYPERLINK(CONCATENATE("#Metadata!", ADDRESS(INDEX($AI$2:$AI$1001,MATCH(ROWS($AG$2:AG712),$AG$2:$AG$1001,0),0), INDEX($AN$1004:$BO$1004,1,MATCH(COLUMNS($AN$1006:BD1006),$AN$1006:$BO$1006,0)))),"Fix")))</f>
        <v>0</v>
      </c>
      <c r="S712" s="4">
        <f>IF(OR(INDEX($AH$2:$AH$1001,MATCH(ROWS($AG$2:AG712),$AG$2:$AG$1001,0),1)&gt;=100000,INDEX($AN$1005:$BO$1005,1,MATCH(COLUMNS($AN$1006:BE1006),$AN$1006:$BO$1006,0))&gt;=100000), " ",IF(INDEX($AN$2:$BO$1001,MATCH(ROWS($AG$2:AG712),$AG$2:$AG$1001,0),MATCH(COLUMNS($AN$1006:BE1006),$AN$1006:$BO$1006,0)), HYPERLINK("#",""), HYPERLINK(CONCATENATE("#Metadata!", ADDRESS(INDEX($AI$2:$AI$1001,MATCH(ROWS($AG$2:AG712),$AG$2:$AG$1001,0),0), INDEX($AN$1004:$BO$1004,1,MATCH(COLUMNS($AN$1006:BE1006),$AN$1006:$BO$1006,0)))),"Fix")))</f>
        <v>0</v>
      </c>
      <c r="T712" s="4">
        <f>IF(OR(INDEX($AH$2:$AH$1001,MATCH(ROWS($AG$2:AG712),$AG$2:$AG$1001,0),1)&gt;=100000,INDEX($AN$1005:$BO$1005,1,MATCH(COLUMNS($AN$1006:BF1006),$AN$1006:$BO$1006,0))&gt;=100000), " ",IF(INDEX($AN$2:$BO$1001,MATCH(ROWS($AG$2:AG712),$AG$2:$AG$1001,0),MATCH(COLUMNS($AN$1006:BF1006),$AN$1006:$BO$1006,0)), HYPERLINK("#",""), HYPERLINK(CONCATENATE("#Metadata!", ADDRESS(INDEX($AI$2:$AI$1001,MATCH(ROWS($AG$2:AG712),$AG$2:$AG$1001,0),0), INDEX($AN$1004:$BO$1004,1,MATCH(COLUMNS($AN$1006:BF1006),$AN$1006:$BO$1006,0)))),"Fix")))</f>
        <v>0</v>
      </c>
      <c r="U712" s="4">
        <f>IF(OR(INDEX($AH$2:$AH$1001,MATCH(ROWS($AG$2:AG712),$AG$2:$AG$1001,0),1)&gt;=100000,INDEX($AN$1005:$BO$1005,1,MATCH(COLUMNS($AN$1006:BG1006),$AN$1006:$BO$1006,0))&gt;=100000), " ",IF(INDEX($AN$2:$BO$1001,MATCH(ROWS($AG$2:AG712),$AG$2:$AG$1001,0),MATCH(COLUMNS($AN$1006:BG1006),$AN$1006:$BO$1006,0)), HYPERLINK("#",""), HYPERLINK(CONCATENATE("#Metadata!", ADDRESS(INDEX($AI$2:$AI$1001,MATCH(ROWS($AG$2:AG712),$AG$2:$AG$1001,0),0), INDEX($AN$1004:$BO$1004,1,MATCH(COLUMNS($AN$1006:BG1006),$AN$1006:$BO$1006,0)))),"Fix")))</f>
        <v>0</v>
      </c>
      <c r="V712" s="4">
        <f>IF(OR(INDEX($AH$2:$AH$1001,MATCH(ROWS($AG$2:AG712),$AG$2:$AG$1001,0),1)&gt;=100000,INDEX($AN$1005:$BO$1005,1,MATCH(COLUMNS($AN$1006:BH1006),$AN$1006:$BO$1006,0))&gt;=100000), " ",IF(INDEX($AN$2:$BO$1001,MATCH(ROWS($AG$2:AG712),$AG$2:$AG$1001,0),MATCH(COLUMNS($AN$1006:BH1006),$AN$1006:$BO$1006,0)), HYPERLINK("#",""), HYPERLINK(CONCATENATE("#Metadata!", ADDRESS(INDEX($AI$2:$AI$1001,MATCH(ROWS($AG$2:AG712),$AG$2:$AG$1001,0),0), INDEX($AN$1004:$BO$1004,1,MATCH(COLUMNS($AN$1006:BH1006),$AN$1006:$BO$1006,0)))),"Fix")))</f>
        <v>0</v>
      </c>
      <c r="W712" s="4">
        <f>IF(OR(INDEX($AH$2:$AH$1001,MATCH(ROWS($AG$2:AG712),$AG$2:$AG$1001,0),1)&gt;=100000,INDEX($AN$1005:$BO$1005,1,MATCH(COLUMNS($AN$1006:BI1006),$AN$1006:$BO$1006,0))&gt;=100000), " ",IF(INDEX($AN$2:$BO$1001,MATCH(ROWS($AG$2:AG712),$AG$2:$AG$1001,0),MATCH(COLUMNS($AN$1006:BI1006),$AN$1006:$BO$1006,0)), HYPERLINK("#",""), HYPERLINK(CONCATENATE("#Metadata!", ADDRESS(INDEX($AI$2:$AI$1001,MATCH(ROWS($AG$2:AG712),$AG$2:$AG$1001,0),0), INDEX($AN$1004:$BO$1004,1,MATCH(COLUMNS($AN$1006:BI1006),$AN$1006:$BO$1006,0)))),"Fix")))</f>
        <v>0</v>
      </c>
      <c r="X712" s="4">
        <f>IF(OR(INDEX($AH$2:$AH$1001,MATCH(ROWS($AG$2:AG712),$AG$2:$AG$1001,0),1)&gt;=100000,INDEX($AN$1005:$BO$1005,1,MATCH(COLUMNS($AN$1006:BJ1006),$AN$1006:$BO$1006,0))&gt;=100000), " ",IF(INDEX($AN$2:$BO$1001,MATCH(ROWS($AG$2:AG712),$AG$2:$AG$1001,0),MATCH(COLUMNS($AN$1006:BJ1006),$AN$1006:$BO$1006,0)), HYPERLINK("#",""), HYPERLINK(CONCATENATE("#Metadata!", ADDRESS(INDEX($AI$2:$AI$1001,MATCH(ROWS($AG$2:AG712),$AG$2:$AG$1001,0),0), INDEX($AN$1004:$BO$1004,1,MATCH(COLUMNS($AN$1006:BJ1006),$AN$1006:$BO$1006,0)))),"Fix")))</f>
        <v>0</v>
      </c>
      <c r="Y712" s="4">
        <f>IF(OR(INDEX($AH$2:$AH$1001,MATCH(ROWS($AG$2:AG712),$AG$2:$AG$1001,0),1)&gt;=100000,INDEX($AN$1005:$BO$1005,1,MATCH(COLUMNS($AN$1006:BK1006),$AN$1006:$BO$1006,0))&gt;=100000), " ",IF(INDEX($AN$2:$BO$1001,MATCH(ROWS($AG$2:AG712),$AG$2:$AG$1001,0),MATCH(COLUMNS($AN$1006:BK1006),$AN$1006:$BO$1006,0)), HYPERLINK("#",""), HYPERLINK(CONCATENATE("#Metadata!", ADDRESS(INDEX($AI$2:$AI$1001,MATCH(ROWS($AG$2:AG712),$AG$2:$AG$1001,0),0), INDEX($AN$1004:$BO$1004,1,MATCH(COLUMNS($AN$1006:BK1006),$AN$1006:$BO$1006,0)))),"Fix")))</f>
        <v>0</v>
      </c>
      <c r="Z712" s="4">
        <f>IF(OR(INDEX($AH$2:$AH$1001,MATCH(ROWS($AG$2:AG712),$AG$2:$AG$1001,0),1)&gt;=100000,INDEX($AN$1005:$BO$1005,1,MATCH(COLUMNS($AN$1006:BL1006),$AN$1006:$BO$1006,0))&gt;=100000), " ",IF(INDEX($AN$2:$BO$1001,MATCH(ROWS($AG$2:AG712),$AG$2:$AG$1001,0),MATCH(COLUMNS($AN$1006:BL1006),$AN$1006:$BO$1006,0)), HYPERLINK("#",""), HYPERLINK(CONCATENATE("#Metadata!", ADDRESS(INDEX($AI$2:$AI$1001,MATCH(ROWS($AG$2:AG712),$AG$2:$AG$1001,0),0), INDEX($AN$1004:$BO$1004,1,MATCH(COLUMNS($AN$1006:BL1006),$AN$1006:$BO$1006,0)))),"Fix")))</f>
        <v>0</v>
      </c>
      <c r="AA712" s="4">
        <f>IF(OR(INDEX($AH$2:$AH$1001,MATCH(ROWS($AG$2:AG712),$AG$2:$AG$1001,0),1)&gt;=100000,INDEX($AN$1005:$BO$1005,1,MATCH(COLUMNS($AN$1006:BM1006),$AN$1006:$BO$1006,0))&gt;=100000), " ",IF(INDEX($AN$2:$BO$1001,MATCH(ROWS($AG$2:AG712),$AG$2:$AG$1001,0),MATCH(COLUMNS($AN$1006:BM1006),$AN$1006:$BO$1006,0)), HYPERLINK("#",""), HYPERLINK(CONCATENATE("#Metadata!", ADDRESS(INDEX($AI$2:$AI$1001,MATCH(ROWS($AG$2:AG712),$AG$2:$AG$1001,0),0), INDEX($AN$1004:$BO$1004,1,MATCH(COLUMNS($AN$1006:BM1006),$AN$1006:$BO$1006,0)))),"Fix")))</f>
        <v>0</v>
      </c>
      <c r="AB712" s="4">
        <f>IF(OR(INDEX($AH$2:$AH$1001,MATCH(ROWS($AG$2:AG712),$AG$2:$AG$1001,0),1)&gt;=100000,INDEX($AN$1005:$BO$1005,1,MATCH(COLUMNS($AN$1006:BN1006),$AN$1006:$BO$1006,0))&gt;=100000), " ",IF(INDEX($AN$2:$BO$1001,MATCH(ROWS($AG$2:AG712),$AG$2:$AG$1001,0),MATCH(COLUMNS($AN$1006:BN1006),$AN$1006:$BO$1006,0)), HYPERLINK("#",""), HYPERLINK(CONCATENATE("#Metadata!", ADDRESS(INDEX($AI$2:$AI$1001,MATCH(ROWS($AG$2:AG712),$AG$2:$AG$1001,0),0), INDEX($AN$1004:$BO$1004,1,MATCH(COLUMNS($AN$1006:BN1006),$AN$1006:$BO$1006,0)))),"Fix")))</f>
        <v>0</v>
      </c>
      <c r="AC712" s="4">
        <f>IF(OR(INDEX($AH$2:$AH$1001,MATCH(ROWS($AG$2:AG712),$AG$2:$AG$1001,0),1)&gt;=100000,INDEX($AN$1005:$BO$1005,1,MATCH(COLUMNS($AN$1006:BO1006),$AN$1006:$BO$1006,0))&gt;=100000), " ",IF(INDEX($AN$2:$BO$1001,MATCH(ROWS($AG$2:AG712),$AG$2:$AG$1001,0),MATCH(COLUMNS($AN$1006:BO1006),$AN$1006:$BO$1006,0)), HYPERLINK("#",""), HYPERLINK(CONCATENATE("#Metadata!", ADDRESS(INDEX($AI$2:$AI$1001,MATCH(ROWS($AG$2:AG712),$AG$2:$AG$1001,0),0), INDEX($AN$1004:$BO$1004,1,MATCH(COLUMNS($AN$1006:BO1006),$AN$1006:$BO$1006,0)))),"Fix")))</f>
        <v>0</v>
      </c>
      <c r="AG712">
        <v>0</v>
      </c>
      <c r="AH712">
        <v>0</v>
      </c>
      <c r="AI712">
        <v>0</v>
      </c>
      <c r="AJ712">
        <f>IF(AK712,TRUE,AND(AN712:BO712))</f>
        <v>0</v>
      </c>
      <c r="AK712">
        <f>COUNTBLANK(Metadata!B712:AC712)=COLUMNS(Metadata!B712:AC712)</f>
        <v>0</v>
      </c>
      <c r="AL712">
        <v>0</v>
      </c>
      <c r="AN712">
        <f>AND(IF(Metadata!B712="",FALSE,TRUE),COUNTIF(Metadata!B:B, Metadata!B712) = 1,NOT(ISERROR(SUMPRODUCT(SEARCH(MID(Metadata!B712,ROW(INDIRECT("1:"&amp;LEN(Metadata!B712))), 1),"0123456789abcdefghijklmnopqrstuvwxyzABCDEFGHIJKLMNOPQRSTUVWXYZ.")))))</f>
        <v>0</v>
      </c>
      <c r="AO712">
        <f>IF(Metadata!C712="",FALSE,TRUE)</f>
        <v>0</v>
      </c>
      <c r="AP712">
        <f>IF(Metadata!D712="",FALSE,TRUE)</f>
        <v>0</v>
      </c>
      <c r="AQ712">
        <f>OR(AND(IF(Metadata!E712="",FALSE,TRUE),OR(exact(Metadata!E712,"not collected"),exact(Metadata!E712,"not provided"),exact(Metadata!E712,"restricted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R712">
        <f>IF(Metadata!F712="",FALSE,TRUE)</f>
        <v>0</v>
      </c>
      <c r="AS712">
        <f>OR(AND(IF(Metadata!G712="",FALSE,TRUE),OR(exact(Metadata!G712,"not collected"),exact(Metadata!G712,"not provided"))),AND(IF(Metadata!G712="",FALSE,TRUE),OR(exact(Metadata!G712,"TRUE"),exact(Metadata!G712,"FALSE"))))</f>
        <v>0</v>
      </c>
      <c r="AT712">
        <f>OR(AND(IF(Metadata!H712="",FALSE,TRUE),OR(exact(Metadata!H712,"not collected"),exact(Metadata!H712,"not provided"),exact(Metadata!H712,"restricted access"))),AND(IF(Metadata!H712="",FALSE,ISNUMBER(VALUE(Metadata!H712))),Metadata!H712&gt;=-413.0))</f>
        <v>0</v>
      </c>
      <c r="AU712">
        <f>AND(IF(Metadata!I712="",FALSE,TRUE),exact(Metadata!I712,"meters"))</f>
        <v>0</v>
      </c>
      <c r="AV712">
        <f>AND(IF(Metadata!J712="",FALSE,TRUE),OR(exact(Metadata!J712,"Host-associated"),exact(Metadata!J712,"Free-living")))</f>
        <v>0</v>
      </c>
      <c r="AW712">
        <f>AND(IF(Metadata!K712="",FALSE,TRUE),OR(exact(Metadata!K712,"Animal"),exact(Metadata!K712,"Fungus"),exact(Metadata!K712,"Plant"),exact(Metadata!K712,"Saline"),exact(Metadata!K712,"Non-saline")))</f>
        <v>0</v>
      </c>
      <c r="AX712">
        <f>AND(IF(Metadata!L712="",FALSE,TRUE),OR(exact(Metadata!L712,"Plant secretion"),exact(Metadata!L712,"Plant rhizosphere"),exact(Metadata!L712,"Plant surface"),exact(Metadata!L712,"Plant corpus"),exact(Metadata!L712,"Fungus surface"),exact(Metadata!L712,"Fungus corpus"),exact(Metadata!L712,"Animal surface"),exact(Metadata!L712,"Animal proximal gut"),exact(Metadata!L712,"Animal corpus"),exact(Metadata!L712,"Animal distal gut"),exact(Metadata!L712,"Animal secretion"),exact(Metadata!L712,"Sub-surface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Y712">
        <f>IF(Metadata!M712="",FALSE,TRUE)</f>
        <v>0</v>
      </c>
      <c r="AZ712">
        <f>IF(Metadata!N712="",FALSE,TRUE)</f>
        <v>0</v>
      </c>
      <c r="BA712">
        <f>IF(Metadata!O712="",FALSE,TRUE)</f>
        <v>0</v>
      </c>
      <c r="BB712">
        <f>OR(AND(IF(Metadata!P712="",FALSE,TRUE),OR(exact(Metadata!P712,"not collected"),exact(Metadata!P712,"not provided"),exact(Metadata!P712,"restricted access"))),AND(IF(Metadata!P712="",FALSE,TRUE),OR(exact(Metadata!P712,"air"),exact(Metadata!P712,"built environment"),exact(Metadata!P712,"host-associated"),exact(Metadata!P712,"human-associated"),exact(Metadata!P712,"human-skin"),exact(Metadata!P712,"human-oral"),exact(Metadata!P712,"human-gut"),exact(Metadata!P712,"human-vaginal"),exact(Metadata!P712,"microbial mat/biofilm"),exact(Metadata!P712,"misc environment"),exact(Metadata!P712,"plant-associated"),exact(Metadata!P712,"sediment"),exact(Metadata!P712,"soil"),exact(Metadata!P712,"wastewater/sludge"),exact(Metadata!P712,"water"))))</f>
        <v>0</v>
      </c>
      <c r="BC712">
        <f>IF(Metadata!Q712="",FALSE,TRUE)</f>
        <v>0</v>
      </c>
      <c r="BD712">
        <f>IF(Metadata!R712="",FALSE,TRUE)</f>
        <v>0</v>
      </c>
      <c r="BE712">
        <f>OR(AND(IF(Metadata!S712="",FALSE,TRUE),OR(exact(Metadata!S712,"not collected"),exact(Metadata!S712,"not provided"),exact(Metadata!S712,"restricted access"))),AND(IF(Metadata!S712="",FALSE,ISNUMBER(VALUE(Metadata!S712))),Metadata!S712&gt;=-90.00,Metadata!S712&lt;=90.00))</f>
        <v>0</v>
      </c>
      <c r="BF712">
        <f>AND(IF(Metadata!T712="",FALSE,TRUE),exact(Metadata!T712,"Decimal degrees"))</f>
        <v>0</v>
      </c>
      <c r="BG712">
        <f>OR(AND(IF(Metadata!U712="",FALSE,TRUE),OR(exact(Metadata!U712,"not collected"),exact(Metadata!U712,"not provided"),exact(Metadata!U712,"restricted access"))),AND(IF(Metadata!U712="",FALSE,ISNUMBER(VALUE(Metadata!U712))),Metadata!U712&gt;=-180.00,Metadata!U712&lt;=180.00))</f>
        <v>0</v>
      </c>
      <c r="BH712">
        <f>AND(IF(Metadata!V712="",FALSE,TRUE),exact(Metadata!V712,"Decimal degrees"))</f>
        <v>0</v>
      </c>
      <c r="BI712">
        <f>IF(Metadata!W712="",FALSE,TRUE)</f>
        <v>0</v>
      </c>
      <c r="BJ712">
        <f>OR(AND(IF(Metadata!X712="",FALSE,TRUE),OR(exact(Metadata!X712,"not collected"),exact(Metadata!X712,"not provided"),exact(Metadata!X712,"restricted access"))),AND(IF(Metadata!X712="",FALSE,TRUE),OR(exact(Metadata!X712,"TRUE"),exact(Metadata!X712,"FALSE"))))</f>
        <v>0</v>
      </c>
      <c r="BK712">
        <f>AND(IF(Metadata!Y712="",FALSE,TRUE),exact(Metadata!Y712,"other"))</f>
        <v>0</v>
      </c>
      <c r="BL712">
        <f>IF(Metadata!Z712="",FALSE,TRUE)</f>
        <v>0</v>
      </c>
      <c r="BM712">
        <f>OR(AND(IF(Metadata!AA712="",FALSE,TRUE),OR(exact(Metadata!AA712,"not collected"),exact(Metadata!AA712,"not provided"))),AND(IF(Metadata!AA712="",FALSE,IF(ISERROR(INT(Metadata!AA712)),FALSE,INT(Metadata!AA712)=Metadata!AA712)),Metadata!AA712&gt;0))</f>
        <v>0</v>
      </c>
      <c r="BN712">
        <f>AND(IF(Metadata!AB712="",FALSE,TRUE),exact(Metadata!AB712,"Not applicable"))</f>
        <v>0</v>
      </c>
      <c r="BO712">
        <f>IF(Metadata!AC712="",FALSE,TRUE)</f>
        <v>0</v>
      </c>
    </row>
    <row r="713" spans="1:67">
      <c r="A713" s="5">
        <f>IF(B713=" "," ",HYPERLINK(CONCATENATE("#metadata!",ADDRESS(INDEX($AI$2:$AI$1001,MATCH(ROWS($AG$2:AG713),$AG$2:$AG$1001,0),0),1)),INDEX($AL$2:$AL$1001,MATCH(ROWS($AG$2:AG713),$AG$2:$AG$1001,0),0)))</f>
        <v>0</v>
      </c>
      <c r="B713" s="4">
        <f>IF(OR(INDEX($AH$2:$AH$1001,MATCH(ROWS($AG$2:AG713),$AG$2:$AG$1001,0),1)&gt;=100000,INDEX($AN$1005:$BO$1005,1,MATCH(COLUMNS($AN$1006:AN1006),$AN$1006:$BO$1006,0))&gt;=100000), " ",IF(INDEX($AN$2:$BO$1001,MATCH(ROWS($AG$2:AG713),$AG$2:$AG$1001,0),MATCH(COLUMNS($AN$1006:AN1006),$AN$1006:$BO$1006,0)), HYPERLINK("#",""), HYPERLINK(CONCATENATE("#Metadata!", ADDRESS(INDEX($AI$2:$AI$1001,MATCH(ROWS($AG$2:AG713),$AG$2:$AG$1001,0),0), INDEX($AN$1004:$BO$1004,1,MATCH(COLUMNS($AN$1006:AN1006),$AN$1006:$BO$1006,0)))),"Fix")))</f>
        <v>0</v>
      </c>
      <c r="C713" s="4">
        <f>IF(OR(INDEX($AH$2:$AH$1001,MATCH(ROWS($AG$2:AG713),$AG$2:$AG$1001,0),1)&gt;=100000,INDEX($AN$1005:$BO$1005,1,MATCH(COLUMNS($AN$1006:AO1006),$AN$1006:$BO$1006,0))&gt;=100000), " ",IF(INDEX($AN$2:$BO$1001,MATCH(ROWS($AG$2:AG713),$AG$2:$AG$1001,0),MATCH(COLUMNS($AN$1006:AO1006),$AN$1006:$BO$1006,0)), HYPERLINK("#",""), HYPERLINK(CONCATENATE("#Metadata!", ADDRESS(INDEX($AI$2:$AI$1001,MATCH(ROWS($AG$2:AG713),$AG$2:$AG$1001,0),0), INDEX($AN$1004:$BO$1004,1,MATCH(COLUMNS($AN$1006:AO1006),$AN$1006:$BO$1006,0)))),"Fix")))</f>
        <v>0</v>
      </c>
      <c r="D713" s="4">
        <f>IF(OR(INDEX($AH$2:$AH$1001,MATCH(ROWS($AG$2:AG713),$AG$2:$AG$1001,0),1)&gt;=100000,INDEX($AN$1005:$BO$1005,1,MATCH(COLUMNS($AN$1006:AP1006),$AN$1006:$BO$1006,0))&gt;=100000), " ",IF(INDEX($AN$2:$BO$1001,MATCH(ROWS($AG$2:AG713),$AG$2:$AG$1001,0),MATCH(COLUMNS($AN$1006:AP1006),$AN$1006:$BO$1006,0)), HYPERLINK("#",""), HYPERLINK(CONCATENATE("#Metadata!", ADDRESS(INDEX($AI$2:$AI$1001,MATCH(ROWS($AG$2:AG713),$AG$2:$AG$1001,0),0), INDEX($AN$1004:$BO$1004,1,MATCH(COLUMNS($AN$1006:AP1006),$AN$1006:$BO$1006,0)))),"Fix")))</f>
        <v>0</v>
      </c>
      <c r="E713" s="4">
        <f>IF(OR(INDEX($AH$2:$AH$1001,MATCH(ROWS($AG$2:AG713),$AG$2:$AG$1001,0),1)&gt;=100000,INDEX($AN$1005:$BO$1005,1,MATCH(COLUMNS($AN$1006:AQ1006),$AN$1006:$BO$1006,0))&gt;=100000), " ",IF(INDEX($AN$2:$BO$1001,MATCH(ROWS($AG$2:AG713),$AG$2:$AG$1001,0),MATCH(COLUMNS($AN$1006:AQ1006),$AN$1006:$BO$1006,0)), HYPERLINK("#",""), HYPERLINK(CONCATENATE("#Metadata!", ADDRESS(INDEX($AI$2:$AI$1001,MATCH(ROWS($AG$2:AG713),$AG$2:$AG$1001,0),0), INDEX($AN$1004:$BO$1004,1,MATCH(COLUMNS($AN$1006:AQ1006),$AN$1006:$BO$1006,0)))),"Fix")))</f>
        <v>0</v>
      </c>
      <c r="F713" s="4">
        <f>IF(OR(INDEX($AH$2:$AH$1001,MATCH(ROWS($AG$2:AG713),$AG$2:$AG$1001,0),1)&gt;=100000,INDEX($AN$1005:$BO$1005,1,MATCH(COLUMNS($AN$1006:AR1006),$AN$1006:$BO$1006,0))&gt;=100000), " ",IF(INDEX($AN$2:$BO$1001,MATCH(ROWS($AG$2:AG713),$AG$2:$AG$1001,0),MATCH(COLUMNS($AN$1006:AR1006),$AN$1006:$BO$1006,0)), HYPERLINK("#",""), HYPERLINK(CONCATENATE("#Metadata!", ADDRESS(INDEX($AI$2:$AI$1001,MATCH(ROWS($AG$2:AG713),$AG$2:$AG$1001,0),0), INDEX($AN$1004:$BO$1004,1,MATCH(COLUMNS($AN$1006:AR1006),$AN$1006:$BO$1006,0)))),"Fix")))</f>
        <v>0</v>
      </c>
      <c r="G713" s="4">
        <f>IF(OR(INDEX($AH$2:$AH$1001,MATCH(ROWS($AG$2:AG713),$AG$2:$AG$1001,0),1)&gt;=100000,INDEX($AN$1005:$BO$1005,1,MATCH(COLUMNS($AN$1006:AS1006),$AN$1006:$BO$1006,0))&gt;=100000), " ",IF(INDEX($AN$2:$BO$1001,MATCH(ROWS($AG$2:AG713),$AG$2:$AG$1001,0),MATCH(COLUMNS($AN$1006:AS1006),$AN$1006:$BO$1006,0)), HYPERLINK("#",""), HYPERLINK(CONCATENATE("#Metadata!", ADDRESS(INDEX($AI$2:$AI$1001,MATCH(ROWS($AG$2:AG713),$AG$2:$AG$1001,0),0), INDEX($AN$1004:$BO$1004,1,MATCH(COLUMNS($AN$1006:AS1006),$AN$1006:$BO$1006,0)))),"Fix")))</f>
        <v>0</v>
      </c>
      <c r="H713" s="4">
        <f>IF(OR(INDEX($AH$2:$AH$1001,MATCH(ROWS($AG$2:AG713),$AG$2:$AG$1001,0),1)&gt;=100000,INDEX($AN$1005:$BO$1005,1,MATCH(COLUMNS($AN$1006:AT1006),$AN$1006:$BO$1006,0))&gt;=100000), " ",IF(INDEX($AN$2:$BO$1001,MATCH(ROWS($AG$2:AG713),$AG$2:$AG$1001,0),MATCH(COLUMNS($AN$1006:AT1006),$AN$1006:$BO$1006,0)), HYPERLINK("#",""), HYPERLINK(CONCATENATE("#Metadata!", ADDRESS(INDEX($AI$2:$AI$1001,MATCH(ROWS($AG$2:AG713),$AG$2:$AG$1001,0),0), INDEX($AN$1004:$BO$1004,1,MATCH(COLUMNS($AN$1006:AT1006),$AN$1006:$BO$1006,0)))),"Fix")))</f>
        <v>0</v>
      </c>
      <c r="I713" s="4">
        <f>IF(OR(INDEX($AH$2:$AH$1001,MATCH(ROWS($AG$2:AG713),$AG$2:$AG$1001,0),1)&gt;=100000,INDEX($AN$1005:$BO$1005,1,MATCH(COLUMNS($AN$1006:AU1006),$AN$1006:$BO$1006,0))&gt;=100000), " ",IF(INDEX($AN$2:$BO$1001,MATCH(ROWS($AG$2:AG713),$AG$2:$AG$1001,0),MATCH(COLUMNS($AN$1006:AU1006),$AN$1006:$BO$1006,0)), HYPERLINK("#",""), HYPERLINK(CONCATENATE("#Metadata!", ADDRESS(INDEX($AI$2:$AI$1001,MATCH(ROWS($AG$2:AG713),$AG$2:$AG$1001,0),0), INDEX($AN$1004:$BO$1004,1,MATCH(COLUMNS($AN$1006:AU1006),$AN$1006:$BO$1006,0)))),"Fix")))</f>
        <v>0</v>
      </c>
      <c r="J713" s="4">
        <f>IF(OR(INDEX($AH$2:$AH$1001,MATCH(ROWS($AG$2:AG713),$AG$2:$AG$1001,0),1)&gt;=100000,INDEX($AN$1005:$BO$1005,1,MATCH(COLUMNS($AN$1006:AV1006),$AN$1006:$BO$1006,0))&gt;=100000), " ",IF(INDEX($AN$2:$BO$1001,MATCH(ROWS($AG$2:AG713),$AG$2:$AG$1001,0),MATCH(COLUMNS($AN$1006:AV1006),$AN$1006:$BO$1006,0)), HYPERLINK("#",""), HYPERLINK(CONCATENATE("#Metadata!", ADDRESS(INDEX($AI$2:$AI$1001,MATCH(ROWS($AG$2:AG713),$AG$2:$AG$1001,0),0), INDEX($AN$1004:$BO$1004,1,MATCH(COLUMNS($AN$1006:AV1006),$AN$1006:$BO$1006,0)))),"Fix")))</f>
        <v>0</v>
      </c>
      <c r="K713" s="4">
        <f>IF(OR(INDEX($AH$2:$AH$1001,MATCH(ROWS($AG$2:AG713),$AG$2:$AG$1001,0),1)&gt;=100000,INDEX($AN$1005:$BO$1005,1,MATCH(COLUMNS($AN$1006:AW1006),$AN$1006:$BO$1006,0))&gt;=100000), " ",IF(INDEX($AN$2:$BO$1001,MATCH(ROWS($AG$2:AG713),$AG$2:$AG$1001,0),MATCH(COLUMNS($AN$1006:AW1006),$AN$1006:$BO$1006,0)), HYPERLINK("#",""), HYPERLINK(CONCATENATE("#Metadata!", ADDRESS(INDEX($AI$2:$AI$1001,MATCH(ROWS($AG$2:AG713),$AG$2:$AG$1001,0),0), INDEX($AN$1004:$BO$1004,1,MATCH(COLUMNS($AN$1006:AW1006),$AN$1006:$BO$1006,0)))),"Fix")))</f>
        <v>0</v>
      </c>
      <c r="L713" s="4">
        <f>IF(OR(INDEX($AH$2:$AH$1001,MATCH(ROWS($AG$2:AG713),$AG$2:$AG$1001,0),1)&gt;=100000,INDEX($AN$1005:$BO$1005,1,MATCH(COLUMNS($AN$1006:AX1006),$AN$1006:$BO$1006,0))&gt;=100000), " ",IF(INDEX($AN$2:$BO$1001,MATCH(ROWS($AG$2:AG713),$AG$2:$AG$1001,0),MATCH(COLUMNS($AN$1006:AX1006),$AN$1006:$BO$1006,0)), HYPERLINK("#",""), HYPERLINK(CONCATENATE("#Metadata!", ADDRESS(INDEX($AI$2:$AI$1001,MATCH(ROWS($AG$2:AG713),$AG$2:$AG$1001,0),0), INDEX($AN$1004:$BO$1004,1,MATCH(COLUMNS($AN$1006:AX1006),$AN$1006:$BO$1006,0)))),"Fix")))</f>
        <v>0</v>
      </c>
      <c r="M713" s="4">
        <f>IF(OR(INDEX($AH$2:$AH$1001,MATCH(ROWS($AG$2:AG713),$AG$2:$AG$1001,0),1)&gt;=100000,INDEX($AN$1005:$BO$1005,1,MATCH(COLUMNS($AN$1006:AY1006),$AN$1006:$BO$1006,0))&gt;=100000), " ",IF(INDEX($AN$2:$BO$1001,MATCH(ROWS($AG$2:AG713),$AG$2:$AG$1001,0),MATCH(COLUMNS($AN$1006:AY1006),$AN$1006:$BO$1006,0)), HYPERLINK("#",""), HYPERLINK(CONCATENATE("#Metadata!", ADDRESS(INDEX($AI$2:$AI$1001,MATCH(ROWS($AG$2:AG713),$AG$2:$AG$1001,0),0), INDEX($AN$1004:$BO$1004,1,MATCH(COLUMNS($AN$1006:AY1006),$AN$1006:$BO$1006,0)))),"Fix")))</f>
        <v>0</v>
      </c>
      <c r="N713" s="4">
        <f>IF(OR(INDEX($AH$2:$AH$1001,MATCH(ROWS($AG$2:AG713),$AG$2:$AG$1001,0),1)&gt;=100000,INDEX($AN$1005:$BO$1005,1,MATCH(COLUMNS($AN$1006:AZ1006),$AN$1006:$BO$1006,0))&gt;=100000), " ",IF(INDEX($AN$2:$BO$1001,MATCH(ROWS($AG$2:AG713),$AG$2:$AG$1001,0),MATCH(COLUMNS($AN$1006:AZ1006),$AN$1006:$BO$1006,0)), HYPERLINK("#",""), HYPERLINK(CONCATENATE("#Metadata!", ADDRESS(INDEX($AI$2:$AI$1001,MATCH(ROWS($AG$2:AG713),$AG$2:$AG$1001,0),0), INDEX($AN$1004:$BO$1004,1,MATCH(COLUMNS($AN$1006:AZ1006),$AN$1006:$BO$1006,0)))),"Fix")))</f>
        <v>0</v>
      </c>
      <c r="O713" s="4">
        <f>IF(OR(INDEX($AH$2:$AH$1001,MATCH(ROWS($AG$2:AG713),$AG$2:$AG$1001,0),1)&gt;=100000,INDEX($AN$1005:$BO$1005,1,MATCH(COLUMNS($AN$1006:BA1006),$AN$1006:$BO$1006,0))&gt;=100000), " ",IF(INDEX($AN$2:$BO$1001,MATCH(ROWS($AG$2:AG713),$AG$2:$AG$1001,0),MATCH(COLUMNS($AN$1006:BA1006),$AN$1006:$BO$1006,0)), HYPERLINK("#",""), HYPERLINK(CONCATENATE("#Metadata!", ADDRESS(INDEX($AI$2:$AI$1001,MATCH(ROWS($AG$2:AG713),$AG$2:$AG$1001,0),0), INDEX($AN$1004:$BO$1004,1,MATCH(COLUMNS($AN$1006:BA1006),$AN$1006:$BO$1006,0)))),"Fix")))</f>
        <v>0</v>
      </c>
      <c r="P713" s="4">
        <f>IF(OR(INDEX($AH$2:$AH$1001,MATCH(ROWS($AG$2:AG713),$AG$2:$AG$1001,0),1)&gt;=100000,INDEX($AN$1005:$BO$1005,1,MATCH(COLUMNS($AN$1006:BB1006),$AN$1006:$BO$1006,0))&gt;=100000), " ",IF(INDEX($AN$2:$BO$1001,MATCH(ROWS($AG$2:AG713),$AG$2:$AG$1001,0),MATCH(COLUMNS($AN$1006:BB1006),$AN$1006:$BO$1006,0)), HYPERLINK("#",""), HYPERLINK(CONCATENATE("#Metadata!", ADDRESS(INDEX($AI$2:$AI$1001,MATCH(ROWS($AG$2:AG713),$AG$2:$AG$1001,0),0), INDEX($AN$1004:$BO$1004,1,MATCH(COLUMNS($AN$1006:BB1006),$AN$1006:$BO$1006,0)))),"Fix")))</f>
        <v>0</v>
      </c>
      <c r="Q713" s="4">
        <f>IF(OR(INDEX($AH$2:$AH$1001,MATCH(ROWS($AG$2:AG713),$AG$2:$AG$1001,0),1)&gt;=100000,INDEX($AN$1005:$BO$1005,1,MATCH(COLUMNS($AN$1006:BC1006),$AN$1006:$BO$1006,0))&gt;=100000), " ",IF(INDEX($AN$2:$BO$1001,MATCH(ROWS($AG$2:AG713),$AG$2:$AG$1001,0),MATCH(COLUMNS($AN$1006:BC1006),$AN$1006:$BO$1006,0)), HYPERLINK("#",""), HYPERLINK(CONCATENATE("#Metadata!", ADDRESS(INDEX($AI$2:$AI$1001,MATCH(ROWS($AG$2:AG713),$AG$2:$AG$1001,0),0), INDEX($AN$1004:$BO$1004,1,MATCH(COLUMNS($AN$1006:BC1006),$AN$1006:$BO$1006,0)))),"Fix")))</f>
        <v>0</v>
      </c>
      <c r="R713" s="4">
        <f>IF(OR(INDEX($AH$2:$AH$1001,MATCH(ROWS($AG$2:AG713),$AG$2:$AG$1001,0),1)&gt;=100000,INDEX($AN$1005:$BO$1005,1,MATCH(COLUMNS($AN$1006:BD1006),$AN$1006:$BO$1006,0))&gt;=100000), " ",IF(INDEX($AN$2:$BO$1001,MATCH(ROWS($AG$2:AG713),$AG$2:$AG$1001,0),MATCH(COLUMNS($AN$1006:BD1006),$AN$1006:$BO$1006,0)), HYPERLINK("#",""), HYPERLINK(CONCATENATE("#Metadata!", ADDRESS(INDEX($AI$2:$AI$1001,MATCH(ROWS($AG$2:AG713),$AG$2:$AG$1001,0),0), INDEX($AN$1004:$BO$1004,1,MATCH(COLUMNS($AN$1006:BD1006),$AN$1006:$BO$1006,0)))),"Fix")))</f>
        <v>0</v>
      </c>
      <c r="S713" s="4">
        <f>IF(OR(INDEX($AH$2:$AH$1001,MATCH(ROWS($AG$2:AG713),$AG$2:$AG$1001,0),1)&gt;=100000,INDEX($AN$1005:$BO$1005,1,MATCH(COLUMNS($AN$1006:BE1006),$AN$1006:$BO$1006,0))&gt;=100000), " ",IF(INDEX($AN$2:$BO$1001,MATCH(ROWS($AG$2:AG713),$AG$2:$AG$1001,0),MATCH(COLUMNS($AN$1006:BE1006),$AN$1006:$BO$1006,0)), HYPERLINK("#",""), HYPERLINK(CONCATENATE("#Metadata!", ADDRESS(INDEX($AI$2:$AI$1001,MATCH(ROWS($AG$2:AG713),$AG$2:$AG$1001,0),0), INDEX($AN$1004:$BO$1004,1,MATCH(COLUMNS($AN$1006:BE1006),$AN$1006:$BO$1006,0)))),"Fix")))</f>
        <v>0</v>
      </c>
      <c r="T713" s="4">
        <f>IF(OR(INDEX($AH$2:$AH$1001,MATCH(ROWS($AG$2:AG713),$AG$2:$AG$1001,0),1)&gt;=100000,INDEX($AN$1005:$BO$1005,1,MATCH(COLUMNS($AN$1006:BF1006),$AN$1006:$BO$1006,0))&gt;=100000), " ",IF(INDEX($AN$2:$BO$1001,MATCH(ROWS($AG$2:AG713),$AG$2:$AG$1001,0),MATCH(COLUMNS($AN$1006:BF1006),$AN$1006:$BO$1006,0)), HYPERLINK("#",""), HYPERLINK(CONCATENATE("#Metadata!", ADDRESS(INDEX($AI$2:$AI$1001,MATCH(ROWS($AG$2:AG713),$AG$2:$AG$1001,0),0), INDEX($AN$1004:$BO$1004,1,MATCH(COLUMNS($AN$1006:BF1006),$AN$1006:$BO$1006,0)))),"Fix")))</f>
        <v>0</v>
      </c>
      <c r="U713" s="4">
        <f>IF(OR(INDEX($AH$2:$AH$1001,MATCH(ROWS($AG$2:AG713),$AG$2:$AG$1001,0),1)&gt;=100000,INDEX($AN$1005:$BO$1005,1,MATCH(COLUMNS($AN$1006:BG1006),$AN$1006:$BO$1006,0))&gt;=100000), " ",IF(INDEX($AN$2:$BO$1001,MATCH(ROWS($AG$2:AG713),$AG$2:$AG$1001,0),MATCH(COLUMNS($AN$1006:BG1006),$AN$1006:$BO$1006,0)), HYPERLINK("#",""), HYPERLINK(CONCATENATE("#Metadata!", ADDRESS(INDEX($AI$2:$AI$1001,MATCH(ROWS($AG$2:AG713),$AG$2:$AG$1001,0),0), INDEX($AN$1004:$BO$1004,1,MATCH(COLUMNS($AN$1006:BG1006),$AN$1006:$BO$1006,0)))),"Fix")))</f>
        <v>0</v>
      </c>
      <c r="V713" s="4">
        <f>IF(OR(INDEX($AH$2:$AH$1001,MATCH(ROWS($AG$2:AG713),$AG$2:$AG$1001,0),1)&gt;=100000,INDEX($AN$1005:$BO$1005,1,MATCH(COLUMNS($AN$1006:BH1006),$AN$1006:$BO$1006,0))&gt;=100000), " ",IF(INDEX($AN$2:$BO$1001,MATCH(ROWS($AG$2:AG713),$AG$2:$AG$1001,0),MATCH(COLUMNS($AN$1006:BH1006),$AN$1006:$BO$1006,0)), HYPERLINK("#",""), HYPERLINK(CONCATENATE("#Metadata!", ADDRESS(INDEX($AI$2:$AI$1001,MATCH(ROWS($AG$2:AG713),$AG$2:$AG$1001,0),0), INDEX($AN$1004:$BO$1004,1,MATCH(COLUMNS($AN$1006:BH1006),$AN$1006:$BO$1006,0)))),"Fix")))</f>
        <v>0</v>
      </c>
      <c r="W713" s="4">
        <f>IF(OR(INDEX($AH$2:$AH$1001,MATCH(ROWS($AG$2:AG713),$AG$2:$AG$1001,0),1)&gt;=100000,INDEX($AN$1005:$BO$1005,1,MATCH(COLUMNS($AN$1006:BI1006),$AN$1006:$BO$1006,0))&gt;=100000), " ",IF(INDEX($AN$2:$BO$1001,MATCH(ROWS($AG$2:AG713),$AG$2:$AG$1001,0),MATCH(COLUMNS($AN$1006:BI1006),$AN$1006:$BO$1006,0)), HYPERLINK("#",""), HYPERLINK(CONCATENATE("#Metadata!", ADDRESS(INDEX($AI$2:$AI$1001,MATCH(ROWS($AG$2:AG713),$AG$2:$AG$1001,0),0), INDEX($AN$1004:$BO$1004,1,MATCH(COLUMNS($AN$1006:BI1006),$AN$1006:$BO$1006,0)))),"Fix")))</f>
        <v>0</v>
      </c>
      <c r="X713" s="4">
        <f>IF(OR(INDEX($AH$2:$AH$1001,MATCH(ROWS($AG$2:AG713),$AG$2:$AG$1001,0),1)&gt;=100000,INDEX($AN$1005:$BO$1005,1,MATCH(COLUMNS($AN$1006:BJ1006),$AN$1006:$BO$1006,0))&gt;=100000), " ",IF(INDEX($AN$2:$BO$1001,MATCH(ROWS($AG$2:AG713),$AG$2:$AG$1001,0),MATCH(COLUMNS($AN$1006:BJ1006),$AN$1006:$BO$1006,0)), HYPERLINK("#",""), HYPERLINK(CONCATENATE("#Metadata!", ADDRESS(INDEX($AI$2:$AI$1001,MATCH(ROWS($AG$2:AG713),$AG$2:$AG$1001,0),0), INDEX($AN$1004:$BO$1004,1,MATCH(COLUMNS($AN$1006:BJ1006),$AN$1006:$BO$1006,0)))),"Fix")))</f>
        <v>0</v>
      </c>
      <c r="Y713" s="4">
        <f>IF(OR(INDEX($AH$2:$AH$1001,MATCH(ROWS($AG$2:AG713),$AG$2:$AG$1001,0),1)&gt;=100000,INDEX($AN$1005:$BO$1005,1,MATCH(COLUMNS($AN$1006:BK1006),$AN$1006:$BO$1006,0))&gt;=100000), " ",IF(INDEX($AN$2:$BO$1001,MATCH(ROWS($AG$2:AG713),$AG$2:$AG$1001,0),MATCH(COLUMNS($AN$1006:BK1006),$AN$1006:$BO$1006,0)), HYPERLINK("#",""), HYPERLINK(CONCATENATE("#Metadata!", ADDRESS(INDEX($AI$2:$AI$1001,MATCH(ROWS($AG$2:AG713),$AG$2:$AG$1001,0),0), INDEX($AN$1004:$BO$1004,1,MATCH(COLUMNS($AN$1006:BK1006),$AN$1006:$BO$1006,0)))),"Fix")))</f>
        <v>0</v>
      </c>
      <c r="Z713" s="4">
        <f>IF(OR(INDEX($AH$2:$AH$1001,MATCH(ROWS($AG$2:AG713),$AG$2:$AG$1001,0),1)&gt;=100000,INDEX($AN$1005:$BO$1005,1,MATCH(COLUMNS($AN$1006:BL1006),$AN$1006:$BO$1006,0))&gt;=100000), " ",IF(INDEX($AN$2:$BO$1001,MATCH(ROWS($AG$2:AG713),$AG$2:$AG$1001,0),MATCH(COLUMNS($AN$1006:BL1006),$AN$1006:$BO$1006,0)), HYPERLINK("#",""), HYPERLINK(CONCATENATE("#Metadata!", ADDRESS(INDEX($AI$2:$AI$1001,MATCH(ROWS($AG$2:AG713),$AG$2:$AG$1001,0),0), INDEX($AN$1004:$BO$1004,1,MATCH(COLUMNS($AN$1006:BL1006),$AN$1006:$BO$1006,0)))),"Fix")))</f>
        <v>0</v>
      </c>
      <c r="AA713" s="4">
        <f>IF(OR(INDEX($AH$2:$AH$1001,MATCH(ROWS($AG$2:AG713),$AG$2:$AG$1001,0),1)&gt;=100000,INDEX($AN$1005:$BO$1005,1,MATCH(COLUMNS($AN$1006:BM1006),$AN$1006:$BO$1006,0))&gt;=100000), " ",IF(INDEX($AN$2:$BO$1001,MATCH(ROWS($AG$2:AG713),$AG$2:$AG$1001,0),MATCH(COLUMNS($AN$1006:BM1006),$AN$1006:$BO$1006,0)), HYPERLINK("#",""), HYPERLINK(CONCATENATE("#Metadata!", ADDRESS(INDEX($AI$2:$AI$1001,MATCH(ROWS($AG$2:AG713),$AG$2:$AG$1001,0),0), INDEX($AN$1004:$BO$1004,1,MATCH(COLUMNS($AN$1006:BM1006),$AN$1006:$BO$1006,0)))),"Fix")))</f>
        <v>0</v>
      </c>
      <c r="AB713" s="4">
        <f>IF(OR(INDEX($AH$2:$AH$1001,MATCH(ROWS($AG$2:AG713),$AG$2:$AG$1001,0),1)&gt;=100000,INDEX($AN$1005:$BO$1005,1,MATCH(COLUMNS($AN$1006:BN1006),$AN$1006:$BO$1006,0))&gt;=100000), " ",IF(INDEX($AN$2:$BO$1001,MATCH(ROWS($AG$2:AG713),$AG$2:$AG$1001,0),MATCH(COLUMNS($AN$1006:BN1006),$AN$1006:$BO$1006,0)), HYPERLINK("#",""), HYPERLINK(CONCATENATE("#Metadata!", ADDRESS(INDEX($AI$2:$AI$1001,MATCH(ROWS($AG$2:AG713),$AG$2:$AG$1001,0),0), INDEX($AN$1004:$BO$1004,1,MATCH(COLUMNS($AN$1006:BN1006),$AN$1006:$BO$1006,0)))),"Fix")))</f>
        <v>0</v>
      </c>
      <c r="AC713" s="4">
        <f>IF(OR(INDEX($AH$2:$AH$1001,MATCH(ROWS($AG$2:AG713),$AG$2:$AG$1001,0),1)&gt;=100000,INDEX($AN$1005:$BO$1005,1,MATCH(COLUMNS($AN$1006:BO1006),$AN$1006:$BO$1006,0))&gt;=100000), " ",IF(INDEX($AN$2:$BO$1001,MATCH(ROWS($AG$2:AG713),$AG$2:$AG$1001,0),MATCH(COLUMNS($AN$1006:BO1006),$AN$1006:$BO$1006,0)), HYPERLINK("#",""), HYPERLINK(CONCATENATE("#Metadata!", ADDRESS(INDEX($AI$2:$AI$1001,MATCH(ROWS($AG$2:AG713),$AG$2:$AG$1001,0),0), INDEX($AN$1004:$BO$1004,1,MATCH(COLUMNS($AN$1006:BO1006),$AN$1006:$BO$1006,0)))),"Fix")))</f>
        <v>0</v>
      </c>
      <c r="AG713">
        <v>0</v>
      </c>
      <c r="AH713">
        <v>0</v>
      </c>
      <c r="AI713">
        <v>0</v>
      </c>
      <c r="AJ713">
        <f>IF(AK713,TRUE,AND(AN713:BO713))</f>
        <v>0</v>
      </c>
      <c r="AK713">
        <f>COUNTBLANK(Metadata!B713:AC713)=COLUMNS(Metadata!B713:AC713)</f>
        <v>0</v>
      </c>
      <c r="AL713">
        <v>0</v>
      </c>
      <c r="AN713">
        <f>AND(IF(Metadata!B713="",FALSE,TRUE),COUNTIF(Metadata!B:B, Metadata!B713) = 1,NOT(ISERROR(SUMPRODUCT(SEARCH(MID(Metadata!B713,ROW(INDIRECT("1:"&amp;LEN(Metadata!B713))), 1),"0123456789abcdefghijklmnopqrstuvwxyzABCDEFGHIJKLMNOPQRSTUVWXYZ.")))))</f>
        <v>0</v>
      </c>
      <c r="AO713">
        <f>IF(Metadata!C713="",FALSE,TRUE)</f>
        <v>0</v>
      </c>
      <c r="AP713">
        <f>IF(Metadata!D713="",FALSE,TRUE)</f>
        <v>0</v>
      </c>
      <c r="AQ713">
        <f>OR(AND(IF(Metadata!E713="",FALSE,TRUE),OR(exact(Metadata!E713,"not collected"),exact(Metadata!E713,"not provided"),exact(Metadata!E713,"restricted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R713">
        <f>IF(Metadata!F713="",FALSE,TRUE)</f>
        <v>0</v>
      </c>
      <c r="AS713">
        <f>OR(AND(IF(Metadata!G713="",FALSE,TRUE),OR(exact(Metadata!G713,"not collected"),exact(Metadata!G713,"not provided"))),AND(IF(Metadata!G713="",FALSE,TRUE),OR(exact(Metadata!G713,"TRUE"),exact(Metadata!G713,"FALSE"))))</f>
        <v>0</v>
      </c>
      <c r="AT713">
        <f>OR(AND(IF(Metadata!H713="",FALSE,TRUE),OR(exact(Metadata!H713,"not collected"),exact(Metadata!H713,"not provided"),exact(Metadata!H713,"restricted access"))),AND(IF(Metadata!H713="",FALSE,ISNUMBER(VALUE(Metadata!H713))),Metadata!H713&gt;=-413.0))</f>
        <v>0</v>
      </c>
      <c r="AU713">
        <f>AND(IF(Metadata!I713="",FALSE,TRUE),exact(Metadata!I713,"meters"))</f>
        <v>0</v>
      </c>
      <c r="AV713">
        <f>AND(IF(Metadata!J713="",FALSE,TRUE),OR(exact(Metadata!J713,"Host-associated"),exact(Metadata!J713,"Free-living")))</f>
        <v>0</v>
      </c>
      <c r="AW713">
        <f>AND(IF(Metadata!K713="",FALSE,TRUE),OR(exact(Metadata!K713,"Animal"),exact(Metadata!K713,"Fungus"),exact(Metadata!K713,"Plant"),exact(Metadata!K713,"Saline"),exact(Metadata!K713,"Non-saline")))</f>
        <v>0</v>
      </c>
      <c r="AX713">
        <f>AND(IF(Metadata!L713="",FALSE,TRUE),OR(exact(Metadata!L713,"Plant secretion"),exact(Metadata!L713,"Plant rhizosphere"),exact(Metadata!L713,"Plant surface"),exact(Metadata!L713,"Plant corpus"),exact(Metadata!L713,"Fungus surface"),exact(Metadata!L713,"Fungus corpus"),exact(Metadata!L713,"Animal surface"),exact(Metadata!L713,"Animal proximal gut"),exact(Metadata!L713,"Animal corpus"),exact(Metadata!L713,"Animal distal gut"),exact(Metadata!L713,"Animal secretion"),exact(Metadata!L713,"Sub-surface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Y713">
        <f>IF(Metadata!M713="",FALSE,TRUE)</f>
        <v>0</v>
      </c>
      <c r="AZ713">
        <f>IF(Metadata!N713="",FALSE,TRUE)</f>
        <v>0</v>
      </c>
      <c r="BA713">
        <f>IF(Metadata!O713="",FALSE,TRUE)</f>
        <v>0</v>
      </c>
      <c r="BB713">
        <f>OR(AND(IF(Metadata!P713="",FALSE,TRUE),OR(exact(Metadata!P713,"not collected"),exact(Metadata!P713,"not provided"),exact(Metadata!P713,"restricted access"))),AND(IF(Metadata!P713="",FALSE,TRUE),OR(exact(Metadata!P713,"air"),exact(Metadata!P713,"built environment"),exact(Metadata!P713,"host-associated"),exact(Metadata!P713,"human-associated"),exact(Metadata!P713,"human-skin"),exact(Metadata!P713,"human-oral"),exact(Metadata!P713,"human-gut"),exact(Metadata!P713,"human-vaginal"),exact(Metadata!P713,"microbial mat/biofilm"),exact(Metadata!P713,"misc environment"),exact(Metadata!P713,"plant-associated"),exact(Metadata!P713,"sediment"),exact(Metadata!P713,"soil"),exact(Metadata!P713,"wastewater/sludge"),exact(Metadata!P713,"water"))))</f>
        <v>0</v>
      </c>
      <c r="BC713">
        <f>IF(Metadata!Q713="",FALSE,TRUE)</f>
        <v>0</v>
      </c>
      <c r="BD713">
        <f>IF(Metadata!R713="",FALSE,TRUE)</f>
        <v>0</v>
      </c>
      <c r="BE713">
        <f>OR(AND(IF(Metadata!S713="",FALSE,TRUE),OR(exact(Metadata!S713,"not collected"),exact(Metadata!S713,"not provided"),exact(Metadata!S713,"restricted access"))),AND(IF(Metadata!S713="",FALSE,ISNUMBER(VALUE(Metadata!S713))),Metadata!S713&gt;=-90.00,Metadata!S713&lt;=90.00))</f>
        <v>0</v>
      </c>
      <c r="BF713">
        <f>AND(IF(Metadata!T713="",FALSE,TRUE),exact(Metadata!T713,"Decimal degrees"))</f>
        <v>0</v>
      </c>
      <c r="BG713">
        <f>OR(AND(IF(Metadata!U713="",FALSE,TRUE),OR(exact(Metadata!U713,"not collected"),exact(Metadata!U713,"not provided"),exact(Metadata!U713,"restricted access"))),AND(IF(Metadata!U713="",FALSE,ISNUMBER(VALUE(Metadata!U713))),Metadata!U713&gt;=-180.00,Metadata!U713&lt;=180.00))</f>
        <v>0</v>
      </c>
      <c r="BH713">
        <f>AND(IF(Metadata!V713="",FALSE,TRUE),exact(Metadata!V713,"Decimal degrees"))</f>
        <v>0</v>
      </c>
      <c r="BI713">
        <f>IF(Metadata!W713="",FALSE,TRUE)</f>
        <v>0</v>
      </c>
      <c r="BJ713">
        <f>OR(AND(IF(Metadata!X713="",FALSE,TRUE),OR(exact(Metadata!X713,"not collected"),exact(Metadata!X713,"not provided"),exact(Metadata!X713,"restricted access"))),AND(IF(Metadata!X713="",FALSE,TRUE),OR(exact(Metadata!X713,"TRUE"),exact(Metadata!X713,"FALSE"))))</f>
        <v>0</v>
      </c>
      <c r="BK713">
        <f>AND(IF(Metadata!Y713="",FALSE,TRUE),exact(Metadata!Y713,"other"))</f>
        <v>0</v>
      </c>
      <c r="BL713">
        <f>IF(Metadata!Z713="",FALSE,TRUE)</f>
        <v>0</v>
      </c>
      <c r="BM713">
        <f>OR(AND(IF(Metadata!AA713="",FALSE,TRUE),OR(exact(Metadata!AA713,"not collected"),exact(Metadata!AA713,"not provided"))),AND(IF(Metadata!AA713="",FALSE,IF(ISERROR(INT(Metadata!AA713)),FALSE,INT(Metadata!AA713)=Metadata!AA713)),Metadata!AA713&gt;0))</f>
        <v>0</v>
      </c>
      <c r="BN713">
        <f>AND(IF(Metadata!AB713="",FALSE,TRUE),exact(Metadata!AB713,"Not applicable"))</f>
        <v>0</v>
      </c>
      <c r="BO713">
        <f>IF(Metadata!AC713="",FALSE,TRUE)</f>
        <v>0</v>
      </c>
    </row>
    <row r="714" spans="1:67">
      <c r="A714" s="5">
        <f>IF(B714=" "," ",HYPERLINK(CONCATENATE("#metadata!",ADDRESS(INDEX($AI$2:$AI$1001,MATCH(ROWS($AG$2:AG714),$AG$2:$AG$1001,0),0),1)),INDEX($AL$2:$AL$1001,MATCH(ROWS($AG$2:AG714),$AG$2:$AG$1001,0),0)))</f>
        <v>0</v>
      </c>
      <c r="B714" s="4">
        <f>IF(OR(INDEX($AH$2:$AH$1001,MATCH(ROWS($AG$2:AG714),$AG$2:$AG$1001,0),1)&gt;=100000,INDEX($AN$1005:$BO$1005,1,MATCH(COLUMNS($AN$1006:AN1006),$AN$1006:$BO$1006,0))&gt;=100000), " ",IF(INDEX($AN$2:$BO$1001,MATCH(ROWS($AG$2:AG714),$AG$2:$AG$1001,0),MATCH(COLUMNS($AN$1006:AN1006),$AN$1006:$BO$1006,0)), HYPERLINK("#",""), HYPERLINK(CONCATENATE("#Metadata!", ADDRESS(INDEX($AI$2:$AI$1001,MATCH(ROWS($AG$2:AG714),$AG$2:$AG$1001,0),0), INDEX($AN$1004:$BO$1004,1,MATCH(COLUMNS($AN$1006:AN1006),$AN$1006:$BO$1006,0)))),"Fix")))</f>
        <v>0</v>
      </c>
      <c r="C714" s="4">
        <f>IF(OR(INDEX($AH$2:$AH$1001,MATCH(ROWS($AG$2:AG714),$AG$2:$AG$1001,0),1)&gt;=100000,INDEX($AN$1005:$BO$1005,1,MATCH(COLUMNS($AN$1006:AO1006),$AN$1006:$BO$1006,0))&gt;=100000), " ",IF(INDEX($AN$2:$BO$1001,MATCH(ROWS($AG$2:AG714),$AG$2:$AG$1001,0),MATCH(COLUMNS($AN$1006:AO1006),$AN$1006:$BO$1006,0)), HYPERLINK("#",""), HYPERLINK(CONCATENATE("#Metadata!", ADDRESS(INDEX($AI$2:$AI$1001,MATCH(ROWS($AG$2:AG714),$AG$2:$AG$1001,0),0), INDEX($AN$1004:$BO$1004,1,MATCH(COLUMNS($AN$1006:AO1006),$AN$1006:$BO$1006,0)))),"Fix")))</f>
        <v>0</v>
      </c>
      <c r="D714" s="4">
        <f>IF(OR(INDEX($AH$2:$AH$1001,MATCH(ROWS($AG$2:AG714),$AG$2:$AG$1001,0),1)&gt;=100000,INDEX($AN$1005:$BO$1005,1,MATCH(COLUMNS($AN$1006:AP1006),$AN$1006:$BO$1006,0))&gt;=100000), " ",IF(INDEX($AN$2:$BO$1001,MATCH(ROWS($AG$2:AG714),$AG$2:$AG$1001,0),MATCH(COLUMNS($AN$1006:AP1006),$AN$1006:$BO$1006,0)), HYPERLINK("#",""), HYPERLINK(CONCATENATE("#Metadata!", ADDRESS(INDEX($AI$2:$AI$1001,MATCH(ROWS($AG$2:AG714),$AG$2:$AG$1001,0),0), INDEX($AN$1004:$BO$1004,1,MATCH(COLUMNS($AN$1006:AP1006),$AN$1006:$BO$1006,0)))),"Fix")))</f>
        <v>0</v>
      </c>
      <c r="E714" s="4">
        <f>IF(OR(INDEX($AH$2:$AH$1001,MATCH(ROWS($AG$2:AG714),$AG$2:$AG$1001,0),1)&gt;=100000,INDEX($AN$1005:$BO$1005,1,MATCH(COLUMNS($AN$1006:AQ1006),$AN$1006:$BO$1006,0))&gt;=100000), " ",IF(INDEX($AN$2:$BO$1001,MATCH(ROWS($AG$2:AG714),$AG$2:$AG$1001,0),MATCH(COLUMNS($AN$1006:AQ1006),$AN$1006:$BO$1006,0)), HYPERLINK("#",""), HYPERLINK(CONCATENATE("#Metadata!", ADDRESS(INDEX($AI$2:$AI$1001,MATCH(ROWS($AG$2:AG714),$AG$2:$AG$1001,0),0), INDEX($AN$1004:$BO$1004,1,MATCH(COLUMNS($AN$1006:AQ1006),$AN$1006:$BO$1006,0)))),"Fix")))</f>
        <v>0</v>
      </c>
      <c r="F714" s="4">
        <f>IF(OR(INDEX($AH$2:$AH$1001,MATCH(ROWS($AG$2:AG714),$AG$2:$AG$1001,0),1)&gt;=100000,INDEX($AN$1005:$BO$1005,1,MATCH(COLUMNS($AN$1006:AR1006),$AN$1006:$BO$1006,0))&gt;=100000), " ",IF(INDEX($AN$2:$BO$1001,MATCH(ROWS($AG$2:AG714),$AG$2:$AG$1001,0),MATCH(COLUMNS($AN$1006:AR1006),$AN$1006:$BO$1006,0)), HYPERLINK("#",""), HYPERLINK(CONCATENATE("#Metadata!", ADDRESS(INDEX($AI$2:$AI$1001,MATCH(ROWS($AG$2:AG714),$AG$2:$AG$1001,0),0), INDEX($AN$1004:$BO$1004,1,MATCH(COLUMNS($AN$1006:AR1006),$AN$1006:$BO$1006,0)))),"Fix")))</f>
        <v>0</v>
      </c>
      <c r="G714" s="4">
        <f>IF(OR(INDEX($AH$2:$AH$1001,MATCH(ROWS($AG$2:AG714),$AG$2:$AG$1001,0),1)&gt;=100000,INDEX($AN$1005:$BO$1005,1,MATCH(COLUMNS($AN$1006:AS1006),$AN$1006:$BO$1006,0))&gt;=100000), " ",IF(INDEX($AN$2:$BO$1001,MATCH(ROWS($AG$2:AG714),$AG$2:$AG$1001,0),MATCH(COLUMNS($AN$1006:AS1006),$AN$1006:$BO$1006,0)), HYPERLINK("#",""), HYPERLINK(CONCATENATE("#Metadata!", ADDRESS(INDEX($AI$2:$AI$1001,MATCH(ROWS($AG$2:AG714),$AG$2:$AG$1001,0),0), INDEX($AN$1004:$BO$1004,1,MATCH(COLUMNS($AN$1006:AS1006),$AN$1006:$BO$1006,0)))),"Fix")))</f>
        <v>0</v>
      </c>
      <c r="H714" s="4">
        <f>IF(OR(INDEX($AH$2:$AH$1001,MATCH(ROWS($AG$2:AG714),$AG$2:$AG$1001,0),1)&gt;=100000,INDEX($AN$1005:$BO$1005,1,MATCH(COLUMNS($AN$1006:AT1006),$AN$1006:$BO$1006,0))&gt;=100000), " ",IF(INDEX($AN$2:$BO$1001,MATCH(ROWS($AG$2:AG714),$AG$2:$AG$1001,0),MATCH(COLUMNS($AN$1006:AT1006),$AN$1006:$BO$1006,0)), HYPERLINK("#",""), HYPERLINK(CONCATENATE("#Metadata!", ADDRESS(INDEX($AI$2:$AI$1001,MATCH(ROWS($AG$2:AG714),$AG$2:$AG$1001,0),0), INDEX($AN$1004:$BO$1004,1,MATCH(COLUMNS($AN$1006:AT1006),$AN$1006:$BO$1006,0)))),"Fix")))</f>
        <v>0</v>
      </c>
      <c r="I714" s="4">
        <f>IF(OR(INDEX($AH$2:$AH$1001,MATCH(ROWS($AG$2:AG714),$AG$2:$AG$1001,0),1)&gt;=100000,INDEX($AN$1005:$BO$1005,1,MATCH(COLUMNS($AN$1006:AU1006),$AN$1006:$BO$1006,0))&gt;=100000), " ",IF(INDEX($AN$2:$BO$1001,MATCH(ROWS($AG$2:AG714),$AG$2:$AG$1001,0),MATCH(COLUMNS($AN$1006:AU1006),$AN$1006:$BO$1006,0)), HYPERLINK("#",""), HYPERLINK(CONCATENATE("#Metadata!", ADDRESS(INDEX($AI$2:$AI$1001,MATCH(ROWS($AG$2:AG714),$AG$2:$AG$1001,0),0), INDEX($AN$1004:$BO$1004,1,MATCH(COLUMNS($AN$1006:AU1006),$AN$1006:$BO$1006,0)))),"Fix")))</f>
        <v>0</v>
      </c>
      <c r="J714" s="4">
        <f>IF(OR(INDEX($AH$2:$AH$1001,MATCH(ROWS($AG$2:AG714),$AG$2:$AG$1001,0),1)&gt;=100000,INDEX($AN$1005:$BO$1005,1,MATCH(COLUMNS($AN$1006:AV1006),$AN$1006:$BO$1006,0))&gt;=100000), " ",IF(INDEX($AN$2:$BO$1001,MATCH(ROWS($AG$2:AG714),$AG$2:$AG$1001,0),MATCH(COLUMNS($AN$1006:AV1006),$AN$1006:$BO$1006,0)), HYPERLINK("#",""), HYPERLINK(CONCATENATE("#Metadata!", ADDRESS(INDEX($AI$2:$AI$1001,MATCH(ROWS($AG$2:AG714),$AG$2:$AG$1001,0),0), INDEX($AN$1004:$BO$1004,1,MATCH(COLUMNS($AN$1006:AV1006),$AN$1006:$BO$1006,0)))),"Fix")))</f>
        <v>0</v>
      </c>
      <c r="K714" s="4">
        <f>IF(OR(INDEX($AH$2:$AH$1001,MATCH(ROWS($AG$2:AG714),$AG$2:$AG$1001,0),1)&gt;=100000,INDEX($AN$1005:$BO$1005,1,MATCH(COLUMNS($AN$1006:AW1006),$AN$1006:$BO$1006,0))&gt;=100000), " ",IF(INDEX($AN$2:$BO$1001,MATCH(ROWS($AG$2:AG714),$AG$2:$AG$1001,0),MATCH(COLUMNS($AN$1006:AW1006),$AN$1006:$BO$1006,0)), HYPERLINK("#",""), HYPERLINK(CONCATENATE("#Metadata!", ADDRESS(INDEX($AI$2:$AI$1001,MATCH(ROWS($AG$2:AG714),$AG$2:$AG$1001,0),0), INDEX($AN$1004:$BO$1004,1,MATCH(COLUMNS($AN$1006:AW1006),$AN$1006:$BO$1006,0)))),"Fix")))</f>
        <v>0</v>
      </c>
      <c r="L714" s="4">
        <f>IF(OR(INDEX($AH$2:$AH$1001,MATCH(ROWS($AG$2:AG714),$AG$2:$AG$1001,0),1)&gt;=100000,INDEX($AN$1005:$BO$1005,1,MATCH(COLUMNS($AN$1006:AX1006),$AN$1006:$BO$1006,0))&gt;=100000), " ",IF(INDEX($AN$2:$BO$1001,MATCH(ROWS($AG$2:AG714),$AG$2:$AG$1001,0),MATCH(COLUMNS($AN$1006:AX1006),$AN$1006:$BO$1006,0)), HYPERLINK("#",""), HYPERLINK(CONCATENATE("#Metadata!", ADDRESS(INDEX($AI$2:$AI$1001,MATCH(ROWS($AG$2:AG714),$AG$2:$AG$1001,0),0), INDEX($AN$1004:$BO$1004,1,MATCH(COLUMNS($AN$1006:AX1006),$AN$1006:$BO$1006,0)))),"Fix")))</f>
        <v>0</v>
      </c>
      <c r="M714" s="4">
        <f>IF(OR(INDEX($AH$2:$AH$1001,MATCH(ROWS($AG$2:AG714),$AG$2:$AG$1001,0),1)&gt;=100000,INDEX($AN$1005:$BO$1005,1,MATCH(COLUMNS($AN$1006:AY1006),$AN$1006:$BO$1006,0))&gt;=100000), " ",IF(INDEX($AN$2:$BO$1001,MATCH(ROWS($AG$2:AG714),$AG$2:$AG$1001,0),MATCH(COLUMNS($AN$1006:AY1006),$AN$1006:$BO$1006,0)), HYPERLINK("#",""), HYPERLINK(CONCATENATE("#Metadata!", ADDRESS(INDEX($AI$2:$AI$1001,MATCH(ROWS($AG$2:AG714),$AG$2:$AG$1001,0),0), INDEX($AN$1004:$BO$1004,1,MATCH(COLUMNS($AN$1006:AY1006),$AN$1006:$BO$1006,0)))),"Fix")))</f>
        <v>0</v>
      </c>
      <c r="N714" s="4">
        <f>IF(OR(INDEX($AH$2:$AH$1001,MATCH(ROWS($AG$2:AG714),$AG$2:$AG$1001,0),1)&gt;=100000,INDEX($AN$1005:$BO$1005,1,MATCH(COLUMNS($AN$1006:AZ1006),$AN$1006:$BO$1006,0))&gt;=100000), " ",IF(INDEX($AN$2:$BO$1001,MATCH(ROWS($AG$2:AG714),$AG$2:$AG$1001,0),MATCH(COLUMNS($AN$1006:AZ1006),$AN$1006:$BO$1006,0)), HYPERLINK("#",""), HYPERLINK(CONCATENATE("#Metadata!", ADDRESS(INDEX($AI$2:$AI$1001,MATCH(ROWS($AG$2:AG714),$AG$2:$AG$1001,0),0), INDEX($AN$1004:$BO$1004,1,MATCH(COLUMNS($AN$1006:AZ1006),$AN$1006:$BO$1006,0)))),"Fix")))</f>
        <v>0</v>
      </c>
      <c r="O714" s="4">
        <f>IF(OR(INDEX($AH$2:$AH$1001,MATCH(ROWS($AG$2:AG714),$AG$2:$AG$1001,0),1)&gt;=100000,INDEX($AN$1005:$BO$1005,1,MATCH(COLUMNS($AN$1006:BA1006),$AN$1006:$BO$1006,0))&gt;=100000), " ",IF(INDEX($AN$2:$BO$1001,MATCH(ROWS($AG$2:AG714),$AG$2:$AG$1001,0),MATCH(COLUMNS($AN$1006:BA1006),$AN$1006:$BO$1006,0)), HYPERLINK("#",""), HYPERLINK(CONCATENATE("#Metadata!", ADDRESS(INDEX($AI$2:$AI$1001,MATCH(ROWS($AG$2:AG714),$AG$2:$AG$1001,0),0), INDEX($AN$1004:$BO$1004,1,MATCH(COLUMNS($AN$1006:BA1006),$AN$1006:$BO$1006,0)))),"Fix")))</f>
        <v>0</v>
      </c>
      <c r="P714" s="4">
        <f>IF(OR(INDEX($AH$2:$AH$1001,MATCH(ROWS($AG$2:AG714),$AG$2:$AG$1001,0),1)&gt;=100000,INDEX($AN$1005:$BO$1005,1,MATCH(COLUMNS($AN$1006:BB1006),$AN$1006:$BO$1006,0))&gt;=100000), " ",IF(INDEX($AN$2:$BO$1001,MATCH(ROWS($AG$2:AG714),$AG$2:$AG$1001,0),MATCH(COLUMNS($AN$1006:BB1006),$AN$1006:$BO$1006,0)), HYPERLINK("#",""), HYPERLINK(CONCATENATE("#Metadata!", ADDRESS(INDEX($AI$2:$AI$1001,MATCH(ROWS($AG$2:AG714),$AG$2:$AG$1001,0),0), INDEX($AN$1004:$BO$1004,1,MATCH(COLUMNS($AN$1006:BB1006),$AN$1006:$BO$1006,0)))),"Fix")))</f>
        <v>0</v>
      </c>
      <c r="Q714" s="4">
        <f>IF(OR(INDEX($AH$2:$AH$1001,MATCH(ROWS($AG$2:AG714),$AG$2:$AG$1001,0),1)&gt;=100000,INDEX($AN$1005:$BO$1005,1,MATCH(COLUMNS($AN$1006:BC1006),$AN$1006:$BO$1006,0))&gt;=100000), " ",IF(INDEX($AN$2:$BO$1001,MATCH(ROWS($AG$2:AG714),$AG$2:$AG$1001,0),MATCH(COLUMNS($AN$1006:BC1006),$AN$1006:$BO$1006,0)), HYPERLINK("#",""), HYPERLINK(CONCATENATE("#Metadata!", ADDRESS(INDEX($AI$2:$AI$1001,MATCH(ROWS($AG$2:AG714),$AG$2:$AG$1001,0),0), INDEX($AN$1004:$BO$1004,1,MATCH(COLUMNS($AN$1006:BC1006),$AN$1006:$BO$1006,0)))),"Fix")))</f>
        <v>0</v>
      </c>
      <c r="R714" s="4">
        <f>IF(OR(INDEX($AH$2:$AH$1001,MATCH(ROWS($AG$2:AG714),$AG$2:$AG$1001,0),1)&gt;=100000,INDEX($AN$1005:$BO$1005,1,MATCH(COLUMNS($AN$1006:BD1006),$AN$1006:$BO$1006,0))&gt;=100000), " ",IF(INDEX($AN$2:$BO$1001,MATCH(ROWS($AG$2:AG714),$AG$2:$AG$1001,0),MATCH(COLUMNS($AN$1006:BD1006),$AN$1006:$BO$1006,0)), HYPERLINK("#",""), HYPERLINK(CONCATENATE("#Metadata!", ADDRESS(INDEX($AI$2:$AI$1001,MATCH(ROWS($AG$2:AG714),$AG$2:$AG$1001,0),0), INDEX($AN$1004:$BO$1004,1,MATCH(COLUMNS($AN$1006:BD1006),$AN$1006:$BO$1006,0)))),"Fix")))</f>
        <v>0</v>
      </c>
      <c r="S714" s="4">
        <f>IF(OR(INDEX($AH$2:$AH$1001,MATCH(ROWS($AG$2:AG714),$AG$2:$AG$1001,0),1)&gt;=100000,INDEX($AN$1005:$BO$1005,1,MATCH(COLUMNS($AN$1006:BE1006),$AN$1006:$BO$1006,0))&gt;=100000), " ",IF(INDEX($AN$2:$BO$1001,MATCH(ROWS($AG$2:AG714),$AG$2:$AG$1001,0),MATCH(COLUMNS($AN$1006:BE1006),$AN$1006:$BO$1006,0)), HYPERLINK("#",""), HYPERLINK(CONCATENATE("#Metadata!", ADDRESS(INDEX($AI$2:$AI$1001,MATCH(ROWS($AG$2:AG714),$AG$2:$AG$1001,0),0), INDEX($AN$1004:$BO$1004,1,MATCH(COLUMNS($AN$1006:BE1006),$AN$1006:$BO$1006,0)))),"Fix")))</f>
        <v>0</v>
      </c>
      <c r="T714" s="4">
        <f>IF(OR(INDEX($AH$2:$AH$1001,MATCH(ROWS($AG$2:AG714),$AG$2:$AG$1001,0),1)&gt;=100000,INDEX($AN$1005:$BO$1005,1,MATCH(COLUMNS($AN$1006:BF1006),$AN$1006:$BO$1006,0))&gt;=100000), " ",IF(INDEX($AN$2:$BO$1001,MATCH(ROWS($AG$2:AG714),$AG$2:$AG$1001,0),MATCH(COLUMNS($AN$1006:BF1006),$AN$1006:$BO$1006,0)), HYPERLINK("#",""), HYPERLINK(CONCATENATE("#Metadata!", ADDRESS(INDEX($AI$2:$AI$1001,MATCH(ROWS($AG$2:AG714),$AG$2:$AG$1001,0),0), INDEX($AN$1004:$BO$1004,1,MATCH(COLUMNS($AN$1006:BF1006),$AN$1006:$BO$1006,0)))),"Fix")))</f>
        <v>0</v>
      </c>
      <c r="U714" s="4">
        <f>IF(OR(INDEX($AH$2:$AH$1001,MATCH(ROWS($AG$2:AG714),$AG$2:$AG$1001,0),1)&gt;=100000,INDEX($AN$1005:$BO$1005,1,MATCH(COLUMNS($AN$1006:BG1006),$AN$1006:$BO$1006,0))&gt;=100000), " ",IF(INDEX($AN$2:$BO$1001,MATCH(ROWS($AG$2:AG714),$AG$2:$AG$1001,0),MATCH(COLUMNS($AN$1006:BG1006),$AN$1006:$BO$1006,0)), HYPERLINK("#",""), HYPERLINK(CONCATENATE("#Metadata!", ADDRESS(INDEX($AI$2:$AI$1001,MATCH(ROWS($AG$2:AG714),$AG$2:$AG$1001,0),0), INDEX($AN$1004:$BO$1004,1,MATCH(COLUMNS($AN$1006:BG1006),$AN$1006:$BO$1006,0)))),"Fix")))</f>
        <v>0</v>
      </c>
      <c r="V714" s="4">
        <f>IF(OR(INDEX($AH$2:$AH$1001,MATCH(ROWS($AG$2:AG714),$AG$2:$AG$1001,0),1)&gt;=100000,INDEX($AN$1005:$BO$1005,1,MATCH(COLUMNS($AN$1006:BH1006),$AN$1006:$BO$1006,0))&gt;=100000), " ",IF(INDEX($AN$2:$BO$1001,MATCH(ROWS($AG$2:AG714),$AG$2:$AG$1001,0),MATCH(COLUMNS($AN$1006:BH1006),$AN$1006:$BO$1006,0)), HYPERLINK("#",""), HYPERLINK(CONCATENATE("#Metadata!", ADDRESS(INDEX($AI$2:$AI$1001,MATCH(ROWS($AG$2:AG714),$AG$2:$AG$1001,0),0), INDEX($AN$1004:$BO$1004,1,MATCH(COLUMNS($AN$1006:BH1006),$AN$1006:$BO$1006,0)))),"Fix")))</f>
        <v>0</v>
      </c>
      <c r="W714" s="4">
        <f>IF(OR(INDEX($AH$2:$AH$1001,MATCH(ROWS($AG$2:AG714),$AG$2:$AG$1001,0),1)&gt;=100000,INDEX($AN$1005:$BO$1005,1,MATCH(COLUMNS($AN$1006:BI1006),$AN$1006:$BO$1006,0))&gt;=100000), " ",IF(INDEX($AN$2:$BO$1001,MATCH(ROWS($AG$2:AG714),$AG$2:$AG$1001,0),MATCH(COLUMNS($AN$1006:BI1006),$AN$1006:$BO$1006,0)), HYPERLINK("#",""), HYPERLINK(CONCATENATE("#Metadata!", ADDRESS(INDEX($AI$2:$AI$1001,MATCH(ROWS($AG$2:AG714),$AG$2:$AG$1001,0),0), INDEX($AN$1004:$BO$1004,1,MATCH(COLUMNS($AN$1006:BI1006),$AN$1006:$BO$1006,0)))),"Fix")))</f>
        <v>0</v>
      </c>
      <c r="X714" s="4">
        <f>IF(OR(INDEX($AH$2:$AH$1001,MATCH(ROWS($AG$2:AG714),$AG$2:$AG$1001,0),1)&gt;=100000,INDEX($AN$1005:$BO$1005,1,MATCH(COLUMNS($AN$1006:BJ1006),$AN$1006:$BO$1006,0))&gt;=100000), " ",IF(INDEX($AN$2:$BO$1001,MATCH(ROWS($AG$2:AG714),$AG$2:$AG$1001,0),MATCH(COLUMNS($AN$1006:BJ1006),$AN$1006:$BO$1006,0)), HYPERLINK("#",""), HYPERLINK(CONCATENATE("#Metadata!", ADDRESS(INDEX($AI$2:$AI$1001,MATCH(ROWS($AG$2:AG714),$AG$2:$AG$1001,0),0), INDEX($AN$1004:$BO$1004,1,MATCH(COLUMNS($AN$1006:BJ1006),$AN$1006:$BO$1006,0)))),"Fix")))</f>
        <v>0</v>
      </c>
      <c r="Y714" s="4">
        <f>IF(OR(INDEX($AH$2:$AH$1001,MATCH(ROWS($AG$2:AG714),$AG$2:$AG$1001,0),1)&gt;=100000,INDEX($AN$1005:$BO$1005,1,MATCH(COLUMNS($AN$1006:BK1006),$AN$1006:$BO$1006,0))&gt;=100000), " ",IF(INDEX($AN$2:$BO$1001,MATCH(ROWS($AG$2:AG714),$AG$2:$AG$1001,0),MATCH(COLUMNS($AN$1006:BK1006),$AN$1006:$BO$1006,0)), HYPERLINK("#",""), HYPERLINK(CONCATENATE("#Metadata!", ADDRESS(INDEX($AI$2:$AI$1001,MATCH(ROWS($AG$2:AG714),$AG$2:$AG$1001,0),0), INDEX($AN$1004:$BO$1004,1,MATCH(COLUMNS($AN$1006:BK1006),$AN$1006:$BO$1006,0)))),"Fix")))</f>
        <v>0</v>
      </c>
      <c r="Z714" s="4">
        <f>IF(OR(INDEX($AH$2:$AH$1001,MATCH(ROWS($AG$2:AG714),$AG$2:$AG$1001,0),1)&gt;=100000,INDEX($AN$1005:$BO$1005,1,MATCH(COLUMNS($AN$1006:BL1006),$AN$1006:$BO$1006,0))&gt;=100000), " ",IF(INDEX($AN$2:$BO$1001,MATCH(ROWS($AG$2:AG714),$AG$2:$AG$1001,0),MATCH(COLUMNS($AN$1006:BL1006),$AN$1006:$BO$1006,0)), HYPERLINK("#",""), HYPERLINK(CONCATENATE("#Metadata!", ADDRESS(INDEX($AI$2:$AI$1001,MATCH(ROWS($AG$2:AG714),$AG$2:$AG$1001,0),0), INDEX($AN$1004:$BO$1004,1,MATCH(COLUMNS($AN$1006:BL1006),$AN$1006:$BO$1006,0)))),"Fix")))</f>
        <v>0</v>
      </c>
      <c r="AA714" s="4">
        <f>IF(OR(INDEX($AH$2:$AH$1001,MATCH(ROWS($AG$2:AG714),$AG$2:$AG$1001,0),1)&gt;=100000,INDEX($AN$1005:$BO$1005,1,MATCH(COLUMNS($AN$1006:BM1006),$AN$1006:$BO$1006,0))&gt;=100000), " ",IF(INDEX($AN$2:$BO$1001,MATCH(ROWS($AG$2:AG714),$AG$2:$AG$1001,0),MATCH(COLUMNS($AN$1006:BM1006),$AN$1006:$BO$1006,0)), HYPERLINK("#",""), HYPERLINK(CONCATENATE("#Metadata!", ADDRESS(INDEX($AI$2:$AI$1001,MATCH(ROWS($AG$2:AG714),$AG$2:$AG$1001,0),0), INDEX($AN$1004:$BO$1004,1,MATCH(COLUMNS($AN$1006:BM1006),$AN$1006:$BO$1006,0)))),"Fix")))</f>
        <v>0</v>
      </c>
      <c r="AB714" s="4">
        <f>IF(OR(INDEX($AH$2:$AH$1001,MATCH(ROWS($AG$2:AG714),$AG$2:$AG$1001,0),1)&gt;=100000,INDEX($AN$1005:$BO$1005,1,MATCH(COLUMNS($AN$1006:BN1006),$AN$1006:$BO$1006,0))&gt;=100000), " ",IF(INDEX($AN$2:$BO$1001,MATCH(ROWS($AG$2:AG714),$AG$2:$AG$1001,0),MATCH(COLUMNS($AN$1006:BN1006),$AN$1006:$BO$1006,0)), HYPERLINK("#",""), HYPERLINK(CONCATENATE("#Metadata!", ADDRESS(INDEX($AI$2:$AI$1001,MATCH(ROWS($AG$2:AG714),$AG$2:$AG$1001,0),0), INDEX($AN$1004:$BO$1004,1,MATCH(COLUMNS($AN$1006:BN1006),$AN$1006:$BO$1006,0)))),"Fix")))</f>
        <v>0</v>
      </c>
      <c r="AC714" s="4">
        <f>IF(OR(INDEX($AH$2:$AH$1001,MATCH(ROWS($AG$2:AG714),$AG$2:$AG$1001,0),1)&gt;=100000,INDEX($AN$1005:$BO$1005,1,MATCH(COLUMNS($AN$1006:BO1006),$AN$1006:$BO$1006,0))&gt;=100000), " ",IF(INDEX($AN$2:$BO$1001,MATCH(ROWS($AG$2:AG714),$AG$2:$AG$1001,0),MATCH(COLUMNS($AN$1006:BO1006),$AN$1006:$BO$1006,0)), HYPERLINK("#",""), HYPERLINK(CONCATENATE("#Metadata!", ADDRESS(INDEX($AI$2:$AI$1001,MATCH(ROWS($AG$2:AG714),$AG$2:$AG$1001,0),0), INDEX($AN$1004:$BO$1004,1,MATCH(COLUMNS($AN$1006:BO1006),$AN$1006:$BO$1006,0)))),"Fix")))</f>
        <v>0</v>
      </c>
      <c r="AG714">
        <v>0</v>
      </c>
      <c r="AH714">
        <v>0</v>
      </c>
      <c r="AI714">
        <v>0</v>
      </c>
      <c r="AJ714">
        <f>IF(AK714,TRUE,AND(AN714:BO714))</f>
        <v>0</v>
      </c>
      <c r="AK714">
        <f>COUNTBLANK(Metadata!B714:AC714)=COLUMNS(Metadata!B714:AC714)</f>
        <v>0</v>
      </c>
      <c r="AL714">
        <v>0</v>
      </c>
      <c r="AN714">
        <f>AND(IF(Metadata!B714="",FALSE,TRUE),COUNTIF(Metadata!B:B, Metadata!B714) = 1,NOT(ISERROR(SUMPRODUCT(SEARCH(MID(Metadata!B714,ROW(INDIRECT("1:"&amp;LEN(Metadata!B714))), 1),"0123456789abcdefghijklmnopqrstuvwxyzABCDEFGHIJKLMNOPQRSTUVWXYZ.")))))</f>
        <v>0</v>
      </c>
      <c r="AO714">
        <f>IF(Metadata!C714="",FALSE,TRUE)</f>
        <v>0</v>
      </c>
      <c r="AP714">
        <f>IF(Metadata!D714="",FALSE,TRUE)</f>
        <v>0</v>
      </c>
      <c r="AQ714">
        <f>OR(AND(IF(Metadata!E714="",FALSE,TRUE),OR(exact(Metadata!E714,"not collected"),exact(Metadata!E714,"not provided"),exact(Metadata!E714,"restricted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R714">
        <f>IF(Metadata!F714="",FALSE,TRUE)</f>
        <v>0</v>
      </c>
      <c r="AS714">
        <f>OR(AND(IF(Metadata!G714="",FALSE,TRUE),OR(exact(Metadata!G714,"not collected"),exact(Metadata!G714,"not provided"))),AND(IF(Metadata!G714="",FALSE,TRUE),OR(exact(Metadata!G714,"TRUE"),exact(Metadata!G714,"FALSE"))))</f>
        <v>0</v>
      </c>
      <c r="AT714">
        <f>OR(AND(IF(Metadata!H714="",FALSE,TRUE),OR(exact(Metadata!H714,"not collected"),exact(Metadata!H714,"not provided"),exact(Metadata!H714,"restricted access"))),AND(IF(Metadata!H714="",FALSE,ISNUMBER(VALUE(Metadata!H714))),Metadata!H714&gt;=-413.0))</f>
        <v>0</v>
      </c>
      <c r="AU714">
        <f>AND(IF(Metadata!I714="",FALSE,TRUE),exact(Metadata!I714,"meters"))</f>
        <v>0</v>
      </c>
      <c r="AV714">
        <f>AND(IF(Metadata!J714="",FALSE,TRUE),OR(exact(Metadata!J714,"Host-associated"),exact(Metadata!J714,"Free-living")))</f>
        <v>0</v>
      </c>
      <c r="AW714">
        <f>AND(IF(Metadata!K714="",FALSE,TRUE),OR(exact(Metadata!K714,"Animal"),exact(Metadata!K714,"Fungus"),exact(Metadata!K714,"Plant"),exact(Metadata!K714,"Saline"),exact(Metadata!K714,"Non-saline")))</f>
        <v>0</v>
      </c>
      <c r="AX714">
        <f>AND(IF(Metadata!L714="",FALSE,TRUE),OR(exact(Metadata!L714,"Plant secretion"),exact(Metadata!L714,"Plant rhizosphere"),exact(Metadata!L714,"Plant surface"),exact(Metadata!L714,"Plant corpus"),exact(Metadata!L714,"Fungus surface"),exact(Metadata!L714,"Fungus corpus"),exact(Metadata!L714,"Animal surface"),exact(Metadata!L714,"Animal proximal gut"),exact(Metadata!L714,"Animal corpus"),exact(Metadata!L714,"Animal distal gut"),exact(Metadata!L714,"Animal secretion"),exact(Metadata!L714,"Sub-surface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Y714">
        <f>IF(Metadata!M714="",FALSE,TRUE)</f>
        <v>0</v>
      </c>
      <c r="AZ714">
        <f>IF(Metadata!N714="",FALSE,TRUE)</f>
        <v>0</v>
      </c>
      <c r="BA714">
        <f>IF(Metadata!O714="",FALSE,TRUE)</f>
        <v>0</v>
      </c>
      <c r="BB714">
        <f>OR(AND(IF(Metadata!P714="",FALSE,TRUE),OR(exact(Metadata!P714,"not collected"),exact(Metadata!P714,"not provided"),exact(Metadata!P714,"restricted access"))),AND(IF(Metadata!P714="",FALSE,TRUE),OR(exact(Metadata!P714,"air"),exact(Metadata!P714,"built environment"),exact(Metadata!P714,"host-associated"),exact(Metadata!P714,"human-associated"),exact(Metadata!P714,"human-skin"),exact(Metadata!P714,"human-oral"),exact(Metadata!P714,"human-gut"),exact(Metadata!P714,"human-vaginal"),exact(Metadata!P714,"microbial mat/biofilm"),exact(Metadata!P714,"misc environment"),exact(Metadata!P714,"plant-associated"),exact(Metadata!P714,"sediment"),exact(Metadata!P714,"soil"),exact(Metadata!P714,"wastewater/sludge"),exact(Metadata!P714,"water"))))</f>
        <v>0</v>
      </c>
      <c r="BC714">
        <f>IF(Metadata!Q714="",FALSE,TRUE)</f>
        <v>0</v>
      </c>
      <c r="BD714">
        <f>IF(Metadata!R714="",FALSE,TRUE)</f>
        <v>0</v>
      </c>
      <c r="BE714">
        <f>OR(AND(IF(Metadata!S714="",FALSE,TRUE),OR(exact(Metadata!S714,"not collected"),exact(Metadata!S714,"not provided"),exact(Metadata!S714,"restricted access"))),AND(IF(Metadata!S714="",FALSE,ISNUMBER(VALUE(Metadata!S714))),Metadata!S714&gt;=-90.00,Metadata!S714&lt;=90.00))</f>
        <v>0</v>
      </c>
      <c r="BF714">
        <f>AND(IF(Metadata!T714="",FALSE,TRUE),exact(Metadata!T714,"Decimal degrees"))</f>
        <v>0</v>
      </c>
      <c r="BG714">
        <f>OR(AND(IF(Metadata!U714="",FALSE,TRUE),OR(exact(Metadata!U714,"not collected"),exact(Metadata!U714,"not provided"),exact(Metadata!U714,"restricted access"))),AND(IF(Metadata!U714="",FALSE,ISNUMBER(VALUE(Metadata!U714))),Metadata!U714&gt;=-180.00,Metadata!U714&lt;=180.00))</f>
        <v>0</v>
      </c>
      <c r="BH714">
        <f>AND(IF(Metadata!V714="",FALSE,TRUE),exact(Metadata!V714,"Decimal degrees"))</f>
        <v>0</v>
      </c>
      <c r="BI714">
        <f>IF(Metadata!W714="",FALSE,TRUE)</f>
        <v>0</v>
      </c>
      <c r="BJ714">
        <f>OR(AND(IF(Metadata!X714="",FALSE,TRUE),OR(exact(Metadata!X714,"not collected"),exact(Metadata!X714,"not provided"),exact(Metadata!X714,"restricted access"))),AND(IF(Metadata!X714="",FALSE,TRUE),OR(exact(Metadata!X714,"TRUE"),exact(Metadata!X714,"FALSE"))))</f>
        <v>0</v>
      </c>
      <c r="BK714">
        <f>AND(IF(Metadata!Y714="",FALSE,TRUE),exact(Metadata!Y714,"other"))</f>
        <v>0</v>
      </c>
      <c r="BL714">
        <f>IF(Metadata!Z714="",FALSE,TRUE)</f>
        <v>0</v>
      </c>
      <c r="BM714">
        <f>OR(AND(IF(Metadata!AA714="",FALSE,TRUE),OR(exact(Metadata!AA714,"not collected"),exact(Metadata!AA714,"not provided"))),AND(IF(Metadata!AA714="",FALSE,IF(ISERROR(INT(Metadata!AA714)),FALSE,INT(Metadata!AA714)=Metadata!AA714)),Metadata!AA714&gt;0))</f>
        <v>0</v>
      </c>
      <c r="BN714">
        <f>AND(IF(Metadata!AB714="",FALSE,TRUE),exact(Metadata!AB714,"Not applicable"))</f>
        <v>0</v>
      </c>
      <c r="BO714">
        <f>IF(Metadata!AC714="",FALSE,TRUE)</f>
        <v>0</v>
      </c>
    </row>
    <row r="715" spans="1:67">
      <c r="A715" s="5">
        <f>IF(B715=" "," ",HYPERLINK(CONCATENATE("#metadata!",ADDRESS(INDEX($AI$2:$AI$1001,MATCH(ROWS($AG$2:AG715),$AG$2:$AG$1001,0),0),1)),INDEX($AL$2:$AL$1001,MATCH(ROWS($AG$2:AG715),$AG$2:$AG$1001,0),0)))</f>
        <v>0</v>
      </c>
      <c r="B715" s="4">
        <f>IF(OR(INDEX($AH$2:$AH$1001,MATCH(ROWS($AG$2:AG715),$AG$2:$AG$1001,0),1)&gt;=100000,INDEX($AN$1005:$BO$1005,1,MATCH(COLUMNS($AN$1006:AN1006),$AN$1006:$BO$1006,0))&gt;=100000), " ",IF(INDEX($AN$2:$BO$1001,MATCH(ROWS($AG$2:AG715),$AG$2:$AG$1001,0),MATCH(COLUMNS($AN$1006:AN1006),$AN$1006:$BO$1006,0)), HYPERLINK("#",""), HYPERLINK(CONCATENATE("#Metadata!", ADDRESS(INDEX($AI$2:$AI$1001,MATCH(ROWS($AG$2:AG715),$AG$2:$AG$1001,0),0), INDEX($AN$1004:$BO$1004,1,MATCH(COLUMNS($AN$1006:AN1006),$AN$1006:$BO$1006,0)))),"Fix")))</f>
        <v>0</v>
      </c>
      <c r="C715" s="4">
        <f>IF(OR(INDEX($AH$2:$AH$1001,MATCH(ROWS($AG$2:AG715),$AG$2:$AG$1001,0),1)&gt;=100000,INDEX($AN$1005:$BO$1005,1,MATCH(COLUMNS($AN$1006:AO1006),$AN$1006:$BO$1006,0))&gt;=100000), " ",IF(INDEX($AN$2:$BO$1001,MATCH(ROWS($AG$2:AG715),$AG$2:$AG$1001,0),MATCH(COLUMNS($AN$1006:AO1006),$AN$1006:$BO$1006,0)), HYPERLINK("#",""), HYPERLINK(CONCATENATE("#Metadata!", ADDRESS(INDEX($AI$2:$AI$1001,MATCH(ROWS($AG$2:AG715),$AG$2:$AG$1001,0),0), INDEX($AN$1004:$BO$1004,1,MATCH(COLUMNS($AN$1006:AO1006),$AN$1006:$BO$1006,0)))),"Fix")))</f>
        <v>0</v>
      </c>
      <c r="D715" s="4">
        <f>IF(OR(INDEX($AH$2:$AH$1001,MATCH(ROWS($AG$2:AG715),$AG$2:$AG$1001,0),1)&gt;=100000,INDEX($AN$1005:$BO$1005,1,MATCH(COLUMNS($AN$1006:AP1006),$AN$1006:$BO$1006,0))&gt;=100000), " ",IF(INDEX($AN$2:$BO$1001,MATCH(ROWS($AG$2:AG715),$AG$2:$AG$1001,0),MATCH(COLUMNS($AN$1006:AP1006),$AN$1006:$BO$1006,0)), HYPERLINK("#",""), HYPERLINK(CONCATENATE("#Metadata!", ADDRESS(INDEX($AI$2:$AI$1001,MATCH(ROWS($AG$2:AG715),$AG$2:$AG$1001,0),0), INDEX($AN$1004:$BO$1004,1,MATCH(COLUMNS($AN$1006:AP1006),$AN$1006:$BO$1006,0)))),"Fix")))</f>
        <v>0</v>
      </c>
      <c r="E715" s="4">
        <f>IF(OR(INDEX($AH$2:$AH$1001,MATCH(ROWS($AG$2:AG715),$AG$2:$AG$1001,0),1)&gt;=100000,INDEX($AN$1005:$BO$1005,1,MATCH(COLUMNS($AN$1006:AQ1006),$AN$1006:$BO$1006,0))&gt;=100000), " ",IF(INDEX($AN$2:$BO$1001,MATCH(ROWS($AG$2:AG715),$AG$2:$AG$1001,0),MATCH(COLUMNS($AN$1006:AQ1006),$AN$1006:$BO$1006,0)), HYPERLINK("#",""), HYPERLINK(CONCATENATE("#Metadata!", ADDRESS(INDEX($AI$2:$AI$1001,MATCH(ROWS($AG$2:AG715),$AG$2:$AG$1001,0),0), INDEX($AN$1004:$BO$1004,1,MATCH(COLUMNS($AN$1006:AQ1006),$AN$1006:$BO$1006,0)))),"Fix")))</f>
        <v>0</v>
      </c>
      <c r="F715" s="4">
        <f>IF(OR(INDEX($AH$2:$AH$1001,MATCH(ROWS($AG$2:AG715),$AG$2:$AG$1001,0),1)&gt;=100000,INDEX($AN$1005:$BO$1005,1,MATCH(COLUMNS($AN$1006:AR1006),$AN$1006:$BO$1006,0))&gt;=100000), " ",IF(INDEX($AN$2:$BO$1001,MATCH(ROWS($AG$2:AG715),$AG$2:$AG$1001,0),MATCH(COLUMNS($AN$1006:AR1006),$AN$1006:$BO$1006,0)), HYPERLINK("#",""), HYPERLINK(CONCATENATE("#Metadata!", ADDRESS(INDEX($AI$2:$AI$1001,MATCH(ROWS($AG$2:AG715),$AG$2:$AG$1001,0),0), INDEX($AN$1004:$BO$1004,1,MATCH(COLUMNS($AN$1006:AR1006),$AN$1006:$BO$1006,0)))),"Fix")))</f>
        <v>0</v>
      </c>
      <c r="G715" s="4">
        <f>IF(OR(INDEX($AH$2:$AH$1001,MATCH(ROWS($AG$2:AG715),$AG$2:$AG$1001,0),1)&gt;=100000,INDEX($AN$1005:$BO$1005,1,MATCH(COLUMNS($AN$1006:AS1006),$AN$1006:$BO$1006,0))&gt;=100000), " ",IF(INDEX($AN$2:$BO$1001,MATCH(ROWS($AG$2:AG715),$AG$2:$AG$1001,0),MATCH(COLUMNS($AN$1006:AS1006),$AN$1006:$BO$1006,0)), HYPERLINK("#",""), HYPERLINK(CONCATENATE("#Metadata!", ADDRESS(INDEX($AI$2:$AI$1001,MATCH(ROWS($AG$2:AG715),$AG$2:$AG$1001,0),0), INDEX($AN$1004:$BO$1004,1,MATCH(COLUMNS($AN$1006:AS1006),$AN$1006:$BO$1006,0)))),"Fix")))</f>
        <v>0</v>
      </c>
      <c r="H715" s="4">
        <f>IF(OR(INDEX($AH$2:$AH$1001,MATCH(ROWS($AG$2:AG715),$AG$2:$AG$1001,0),1)&gt;=100000,INDEX($AN$1005:$BO$1005,1,MATCH(COLUMNS($AN$1006:AT1006),$AN$1006:$BO$1006,0))&gt;=100000), " ",IF(INDEX($AN$2:$BO$1001,MATCH(ROWS($AG$2:AG715),$AG$2:$AG$1001,0),MATCH(COLUMNS($AN$1006:AT1006),$AN$1006:$BO$1006,0)), HYPERLINK("#",""), HYPERLINK(CONCATENATE("#Metadata!", ADDRESS(INDEX($AI$2:$AI$1001,MATCH(ROWS($AG$2:AG715),$AG$2:$AG$1001,0),0), INDEX($AN$1004:$BO$1004,1,MATCH(COLUMNS($AN$1006:AT1006),$AN$1006:$BO$1006,0)))),"Fix")))</f>
        <v>0</v>
      </c>
      <c r="I715" s="4">
        <f>IF(OR(INDEX($AH$2:$AH$1001,MATCH(ROWS($AG$2:AG715),$AG$2:$AG$1001,0),1)&gt;=100000,INDEX($AN$1005:$BO$1005,1,MATCH(COLUMNS($AN$1006:AU1006),$AN$1006:$BO$1006,0))&gt;=100000), " ",IF(INDEX($AN$2:$BO$1001,MATCH(ROWS($AG$2:AG715),$AG$2:$AG$1001,0),MATCH(COLUMNS($AN$1006:AU1006),$AN$1006:$BO$1006,0)), HYPERLINK("#",""), HYPERLINK(CONCATENATE("#Metadata!", ADDRESS(INDEX($AI$2:$AI$1001,MATCH(ROWS($AG$2:AG715),$AG$2:$AG$1001,0),0), INDEX($AN$1004:$BO$1004,1,MATCH(COLUMNS($AN$1006:AU1006),$AN$1006:$BO$1006,0)))),"Fix")))</f>
        <v>0</v>
      </c>
      <c r="J715" s="4">
        <f>IF(OR(INDEX($AH$2:$AH$1001,MATCH(ROWS($AG$2:AG715),$AG$2:$AG$1001,0),1)&gt;=100000,INDEX($AN$1005:$BO$1005,1,MATCH(COLUMNS($AN$1006:AV1006),$AN$1006:$BO$1006,0))&gt;=100000), " ",IF(INDEX($AN$2:$BO$1001,MATCH(ROWS($AG$2:AG715),$AG$2:$AG$1001,0),MATCH(COLUMNS($AN$1006:AV1006),$AN$1006:$BO$1006,0)), HYPERLINK("#",""), HYPERLINK(CONCATENATE("#Metadata!", ADDRESS(INDEX($AI$2:$AI$1001,MATCH(ROWS($AG$2:AG715),$AG$2:$AG$1001,0),0), INDEX($AN$1004:$BO$1004,1,MATCH(COLUMNS($AN$1006:AV1006),$AN$1006:$BO$1006,0)))),"Fix")))</f>
        <v>0</v>
      </c>
      <c r="K715" s="4">
        <f>IF(OR(INDEX($AH$2:$AH$1001,MATCH(ROWS($AG$2:AG715),$AG$2:$AG$1001,0),1)&gt;=100000,INDEX($AN$1005:$BO$1005,1,MATCH(COLUMNS($AN$1006:AW1006),$AN$1006:$BO$1006,0))&gt;=100000), " ",IF(INDEX($AN$2:$BO$1001,MATCH(ROWS($AG$2:AG715),$AG$2:$AG$1001,0),MATCH(COLUMNS($AN$1006:AW1006),$AN$1006:$BO$1006,0)), HYPERLINK("#",""), HYPERLINK(CONCATENATE("#Metadata!", ADDRESS(INDEX($AI$2:$AI$1001,MATCH(ROWS($AG$2:AG715),$AG$2:$AG$1001,0),0), INDEX($AN$1004:$BO$1004,1,MATCH(COLUMNS($AN$1006:AW1006),$AN$1006:$BO$1006,0)))),"Fix")))</f>
        <v>0</v>
      </c>
      <c r="L715" s="4">
        <f>IF(OR(INDEX($AH$2:$AH$1001,MATCH(ROWS($AG$2:AG715),$AG$2:$AG$1001,0),1)&gt;=100000,INDEX($AN$1005:$BO$1005,1,MATCH(COLUMNS($AN$1006:AX1006),$AN$1006:$BO$1006,0))&gt;=100000), " ",IF(INDEX($AN$2:$BO$1001,MATCH(ROWS($AG$2:AG715),$AG$2:$AG$1001,0),MATCH(COLUMNS($AN$1006:AX1006),$AN$1006:$BO$1006,0)), HYPERLINK("#",""), HYPERLINK(CONCATENATE("#Metadata!", ADDRESS(INDEX($AI$2:$AI$1001,MATCH(ROWS($AG$2:AG715),$AG$2:$AG$1001,0),0), INDEX($AN$1004:$BO$1004,1,MATCH(COLUMNS($AN$1006:AX1006),$AN$1006:$BO$1006,0)))),"Fix")))</f>
        <v>0</v>
      </c>
      <c r="M715" s="4">
        <f>IF(OR(INDEX($AH$2:$AH$1001,MATCH(ROWS($AG$2:AG715),$AG$2:$AG$1001,0),1)&gt;=100000,INDEX($AN$1005:$BO$1005,1,MATCH(COLUMNS($AN$1006:AY1006),$AN$1006:$BO$1006,0))&gt;=100000), " ",IF(INDEX($AN$2:$BO$1001,MATCH(ROWS($AG$2:AG715),$AG$2:$AG$1001,0),MATCH(COLUMNS($AN$1006:AY1006),$AN$1006:$BO$1006,0)), HYPERLINK("#",""), HYPERLINK(CONCATENATE("#Metadata!", ADDRESS(INDEX($AI$2:$AI$1001,MATCH(ROWS($AG$2:AG715),$AG$2:$AG$1001,0),0), INDEX($AN$1004:$BO$1004,1,MATCH(COLUMNS($AN$1006:AY1006),$AN$1006:$BO$1006,0)))),"Fix")))</f>
        <v>0</v>
      </c>
      <c r="N715" s="4">
        <f>IF(OR(INDEX($AH$2:$AH$1001,MATCH(ROWS($AG$2:AG715),$AG$2:$AG$1001,0),1)&gt;=100000,INDEX($AN$1005:$BO$1005,1,MATCH(COLUMNS($AN$1006:AZ1006),$AN$1006:$BO$1006,0))&gt;=100000), " ",IF(INDEX($AN$2:$BO$1001,MATCH(ROWS($AG$2:AG715),$AG$2:$AG$1001,0),MATCH(COLUMNS($AN$1006:AZ1006),$AN$1006:$BO$1006,0)), HYPERLINK("#",""), HYPERLINK(CONCATENATE("#Metadata!", ADDRESS(INDEX($AI$2:$AI$1001,MATCH(ROWS($AG$2:AG715),$AG$2:$AG$1001,0),0), INDEX($AN$1004:$BO$1004,1,MATCH(COLUMNS($AN$1006:AZ1006),$AN$1006:$BO$1006,0)))),"Fix")))</f>
        <v>0</v>
      </c>
      <c r="O715" s="4">
        <f>IF(OR(INDEX($AH$2:$AH$1001,MATCH(ROWS($AG$2:AG715),$AG$2:$AG$1001,0),1)&gt;=100000,INDEX($AN$1005:$BO$1005,1,MATCH(COLUMNS($AN$1006:BA1006),$AN$1006:$BO$1006,0))&gt;=100000), " ",IF(INDEX($AN$2:$BO$1001,MATCH(ROWS($AG$2:AG715),$AG$2:$AG$1001,0),MATCH(COLUMNS($AN$1006:BA1006),$AN$1006:$BO$1006,0)), HYPERLINK("#",""), HYPERLINK(CONCATENATE("#Metadata!", ADDRESS(INDEX($AI$2:$AI$1001,MATCH(ROWS($AG$2:AG715),$AG$2:$AG$1001,0),0), INDEX($AN$1004:$BO$1004,1,MATCH(COLUMNS($AN$1006:BA1006),$AN$1006:$BO$1006,0)))),"Fix")))</f>
        <v>0</v>
      </c>
      <c r="P715" s="4">
        <f>IF(OR(INDEX($AH$2:$AH$1001,MATCH(ROWS($AG$2:AG715),$AG$2:$AG$1001,0),1)&gt;=100000,INDEX($AN$1005:$BO$1005,1,MATCH(COLUMNS($AN$1006:BB1006),$AN$1006:$BO$1006,0))&gt;=100000), " ",IF(INDEX($AN$2:$BO$1001,MATCH(ROWS($AG$2:AG715),$AG$2:$AG$1001,0),MATCH(COLUMNS($AN$1006:BB1006),$AN$1006:$BO$1006,0)), HYPERLINK("#",""), HYPERLINK(CONCATENATE("#Metadata!", ADDRESS(INDEX($AI$2:$AI$1001,MATCH(ROWS($AG$2:AG715),$AG$2:$AG$1001,0),0), INDEX($AN$1004:$BO$1004,1,MATCH(COLUMNS($AN$1006:BB1006),$AN$1006:$BO$1006,0)))),"Fix")))</f>
        <v>0</v>
      </c>
      <c r="Q715" s="4">
        <f>IF(OR(INDEX($AH$2:$AH$1001,MATCH(ROWS($AG$2:AG715),$AG$2:$AG$1001,0),1)&gt;=100000,INDEX($AN$1005:$BO$1005,1,MATCH(COLUMNS($AN$1006:BC1006),$AN$1006:$BO$1006,0))&gt;=100000), " ",IF(INDEX($AN$2:$BO$1001,MATCH(ROWS($AG$2:AG715),$AG$2:$AG$1001,0),MATCH(COLUMNS($AN$1006:BC1006),$AN$1006:$BO$1006,0)), HYPERLINK("#",""), HYPERLINK(CONCATENATE("#Metadata!", ADDRESS(INDEX($AI$2:$AI$1001,MATCH(ROWS($AG$2:AG715),$AG$2:$AG$1001,0),0), INDEX($AN$1004:$BO$1004,1,MATCH(COLUMNS($AN$1006:BC1006),$AN$1006:$BO$1006,0)))),"Fix")))</f>
        <v>0</v>
      </c>
      <c r="R715" s="4">
        <f>IF(OR(INDEX($AH$2:$AH$1001,MATCH(ROWS($AG$2:AG715),$AG$2:$AG$1001,0),1)&gt;=100000,INDEX($AN$1005:$BO$1005,1,MATCH(COLUMNS($AN$1006:BD1006),$AN$1006:$BO$1006,0))&gt;=100000), " ",IF(INDEX($AN$2:$BO$1001,MATCH(ROWS($AG$2:AG715),$AG$2:$AG$1001,0),MATCH(COLUMNS($AN$1006:BD1006),$AN$1006:$BO$1006,0)), HYPERLINK("#",""), HYPERLINK(CONCATENATE("#Metadata!", ADDRESS(INDEX($AI$2:$AI$1001,MATCH(ROWS($AG$2:AG715),$AG$2:$AG$1001,0),0), INDEX($AN$1004:$BO$1004,1,MATCH(COLUMNS($AN$1006:BD1006),$AN$1006:$BO$1006,0)))),"Fix")))</f>
        <v>0</v>
      </c>
      <c r="S715" s="4">
        <f>IF(OR(INDEX($AH$2:$AH$1001,MATCH(ROWS($AG$2:AG715),$AG$2:$AG$1001,0),1)&gt;=100000,INDEX($AN$1005:$BO$1005,1,MATCH(COLUMNS($AN$1006:BE1006),$AN$1006:$BO$1006,0))&gt;=100000), " ",IF(INDEX($AN$2:$BO$1001,MATCH(ROWS($AG$2:AG715),$AG$2:$AG$1001,0),MATCH(COLUMNS($AN$1006:BE1006),$AN$1006:$BO$1006,0)), HYPERLINK("#",""), HYPERLINK(CONCATENATE("#Metadata!", ADDRESS(INDEX($AI$2:$AI$1001,MATCH(ROWS($AG$2:AG715),$AG$2:$AG$1001,0),0), INDEX($AN$1004:$BO$1004,1,MATCH(COLUMNS($AN$1006:BE1006),$AN$1006:$BO$1006,0)))),"Fix")))</f>
        <v>0</v>
      </c>
      <c r="T715" s="4">
        <f>IF(OR(INDEX($AH$2:$AH$1001,MATCH(ROWS($AG$2:AG715),$AG$2:$AG$1001,0),1)&gt;=100000,INDEX($AN$1005:$BO$1005,1,MATCH(COLUMNS($AN$1006:BF1006),$AN$1006:$BO$1006,0))&gt;=100000), " ",IF(INDEX($AN$2:$BO$1001,MATCH(ROWS($AG$2:AG715),$AG$2:$AG$1001,0),MATCH(COLUMNS($AN$1006:BF1006),$AN$1006:$BO$1006,0)), HYPERLINK("#",""), HYPERLINK(CONCATENATE("#Metadata!", ADDRESS(INDEX($AI$2:$AI$1001,MATCH(ROWS($AG$2:AG715),$AG$2:$AG$1001,0),0), INDEX($AN$1004:$BO$1004,1,MATCH(COLUMNS($AN$1006:BF1006),$AN$1006:$BO$1006,0)))),"Fix")))</f>
        <v>0</v>
      </c>
      <c r="U715" s="4">
        <f>IF(OR(INDEX($AH$2:$AH$1001,MATCH(ROWS($AG$2:AG715),$AG$2:$AG$1001,0),1)&gt;=100000,INDEX($AN$1005:$BO$1005,1,MATCH(COLUMNS($AN$1006:BG1006),$AN$1006:$BO$1006,0))&gt;=100000), " ",IF(INDEX($AN$2:$BO$1001,MATCH(ROWS($AG$2:AG715),$AG$2:$AG$1001,0),MATCH(COLUMNS($AN$1006:BG1006),$AN$1006:$BO$1006,0)), HYPERLINK("#",""), HYPERLINK(CONCATENATE("#Metadata!", ADDRESS(INDEX($AI$2:$AI$1001,MATCH(ROWS($AG$2:AG715),$AG$2:$AG$1001,0),0), INDEX($AN$1004:$BO$1004,1,MATCH(COLUMNS($AN$1006:BG1006),$AN$1006:$BO$1006,0)))),"Fix")))</f>
        <v>0</v>
      </c>
      <c r="V715" s="4">
        <f>IF(OR(INDEX($AH$2:$AH$1001,MATCH(ROWS($AG$2:AG715),$AG$2:$AG$1001,0),1)&gt;=100000,INDEX($AN$1005:$BO$1005,1,MATCH(COLUMNS($AN$1006:BH1006),$AN$1006:$BO$1006,0))&gt;=100000), " ",IF(INDEX($AN$2:$BO$1001,MATCH(ROWS($AG$2:AG715),$AG$2:$AG$1001,0),MATCH(COLUMNS($AN$1006:BH1006),$AN$1006:$BO$1006,0)), HYPERLINK("#",""), HYPERLINK(CONCATENATE("#Metadata!", ADDRESS(INDEX($AI$2:$AI$1001,MATCH(ROWS($AG$2:AG715),$AG$2:$AG$1001,0),0), INDEX($AN$1004:$BO$1004,1,MATCH(COLUMNS($AN$1006:BH1006),$AN$1006:$BO$1006,0)))),"Fix")))</f>
        <v>0</v>
      </c>
      <c r="W715" s="4">
        <f>IF(OR(INDEX($AH$2:$AH$1001,MATCH(ROWS($AG$2:AG715),$AG$2:$AG$1001,0),1)&gt;=100000,INDEX($AN$1005:$BO$1005,1,MATCH(COLUMNS($AN$1006:BI1006),$AN$1006:$BO$1006,0))&gt;=100000), " ",IF(INDEX($AN$2:$BO$1001,MATCH(ROWS($AG$2:AG715),$AG$2:$AG$1001,0),MATCH(COLUMNS($AN$1006:BI1006),$AN$1006:$BO$1006,0)), HYPERLINK("#",""), HYPERLINK(CONCATENATE("#Metadata!", ADDRESS(INDEX($AI$2:$AI$1001,MATCH(ROWS($AG$2:AG715),$AG$2:$AG$1001,0),0), INDEX($AN$1004:$BO$1004,1,MATCH(COLUMNS($AN$1006:BI1006),$AN$1006:$BO$1006,0)))),"Fix")))</f>
        <v>0</v>
      </c>
      <c r="X715" s="4">
        <f>IF(OR(INDEX($AH$2:$AH$1001,MATCH(ROWS($AG$2:AG715),$AG$2:$AG$1001,0),1)&gt;=100000,INDEX($AN$1005:$BO$1005,1,MATCH(COLUMNS($AN$1006:BJ1006),$AN$1006:$BO$1006,0))&gt;=100000), " ",IF(INDEX($AN$2:$BO$1001,MATCH(ROWS($AG$2:AG715),$AG$2:$AG$1001,0),MATCH(COLUMNS($AN$1006:BJ1006),$AN$1006:$BO$1006,0)), HYPERLINK("#",""), HYPERLINK(CONCATENATE("#Metadata!", ADDRESS(INDEX($AI$2:$AI$1001,MATCH(ROWS($AG$2:AG715),$AG$2:$AG$1001,0),0), INDEX($AN$1004:$BO$1004,1,MATCH(COLUMNS($AN$1006:BJ1006),$AN$1006:$BO$1006,0)))),"Fix")))</f>
        <v>0</v>
      </c>
      <c r="Y715" s="4">
        <f>IF(OR(INDEX($AH$2:$AH$1001,MATCH(ROWS($AG$2:AG715),$AG$2:$AG$1001,0),1)&gt;=100000,INDEX($AN$1005:$BO$1005,1,MATCH(COLUMNS($AN$1006:BK1006),$AN$1006:$BO$1006,0))&gt;=100000), " ",IF(INDEX($AN$2:$BO$1001,MATCH(ROWS($AG$2:AG715),$AG$2:$AG$1001,0),MATCH(COLUMNS($AN$1006:BK1006),$AN$1006:$BO$1006,0)), HYPERLINK("#",""), HYPERLINK(CONCATENATE("#Metadata!", ADDRESS(INDEX($AI$2:$AI$1001,MATCH(ROWS($AG$2:AG715),$AG$2:$AG$1001,0),0), INDEX($AN$1004:$BO$1004,1,MATCH(COLUMNS($AN$1006:BK1006),$AN$1006:$BO$1006,0)))),"Fix")))</f>
        <v>0</v>
      </c>
      <c r="Z715" s="4">
        <f>IF(OR(INDEX($AH$2:$AH$1001,MATCH(ROWS($AG$2:AG715),$AG$2:$AG$1001,0),1)&gt;=100000,INDEX($AN$1005:$BO$1005,1,MATCH(COLUMNS($AN$1006:BL1006),$AN$1006:$BO$1006,0))&gt;=100000), " ",IF(INDEX($AN$2:$BO$1001,MATCH(ROWS($AG$2:AG715),$AG$2:$AG$1001,0),MATCH(COLUMNS($AN$1006:BL1006),$AN$1006:$BO$1006,0)), HYPERLINK("#",""), HYPERLINK(CONCATENATE("#Metadata!", ADDRESS(INDEX($AI$2:$AI$1001,MATCH(ROWS($AG$2:AG715),$AG$2:$AG$1001,0),0), INDEX($AN$1004:$BO$1004,1,MATCH(COLUMNS($AN$1006:BL1006),$AN$1006:$BO$1006,0)))),"Fix")))</f>
        <v>0</v>
      </c>
      <c r="AA715" s="4">
        <f>IF(OR(INDEX($AH$2:$AH$1001,MATCH(ROWS($AG$2:AG715),$AG$2:$AG$1001,0),1)&gt;=100000,INDEX($AN$1005:$BO$1005,1,MATCH(COLUMNS($AN$1006:BM1006),$AN$1006:$BO$1006,0))&gt;=100000), " ",IF(INDEX($AN$2:$BO$1001,MATCH(ROWS($AG$2:AG715),$AG$2:$AG$1001,0),MATCH(COLUMNS($AN$1006:BM1006),$AN$1006:$BO$1006,0)), HYPERLINK("#",""), HYPERLINK(CONCATENATE("#Metadata!", ADDRESS(INDEX($AI$2:$AI$1001,MATCH(ROWS($AG$2:AG715),$AG$2:$AG$1001,0),0), INDEX($AN$1004:$BO$1004,1,MATCH(COLUMNS($AN$1006:BM1006),$AN$1006:$BO$1006,0)))),"Fix")))</f>
        <v>0</v>
      </c>
      <c r="AB715" s="4">
        <f>IF(OR(INDEX($AH$2:$AH$1001,MATCH(ROWS($AG$2:AG715),$AG$2:$AG$1001,0),1)&gt;=100000,INDEX($AN$1005:$BO$1005,1,MATCH(COLUMNS($AN$1006:BN1006),$AN$1006:$BO$1006,0))&gt;=100000), " ",IF(INDEX($AN$2:$BO$1001,MATCH(ROWS($AG$2:AG715),$AG$2:$AG$1001,0),MATCH(COLUMNS($AN$1006:BN1006),$AN$1006:$BO$1006,0)), HYPERLINK("#",""), HYPERLINK(CONCATENATE("#Metadata!", ADDRESS(INDEX($AI$2:$AI$1001,MATCH(ROWS($AG$2:AG715),$AG$2:$AG$1001,0),0), INDEX($AN$1004:$BO$1004,1,MATCH(COLUMNS($AN$1006:BN1006),$AN$1006:$BO$1006,0)))),"Fix")))</f>
        <v>0</v>
      </c>
      <c r="AC715" s="4">
        <f>IF(OR(INDEX($AH$2:$AH$1001,MATCH(ROWS($AG$2:AG715),$AG$2:$AG$1001,0),1)&gt;=100000,INDEX($AN$1005:$BO$1005,1,MATCH(COLUMNS($AN$1006:BO1006),$AN$1006:$BO$1006,0))&gt;=100000), " ",IF(INDEX($AN$2:$BO$1001,MATCH(ROWS($AG$2:AG715),$AG$2:$AG$1001,0),MATCH(COLUMNS($AN$1006:BO1006),$AN$1006:$BO$1006,0)), HYPERLINK("#",""), HYPERLINK(CONCATENATE("#Metadata!", ADDRESS(INDEX($AI$2:$AI$1001,MATCH(ROWS($AG$2:AG715),$AG$2:$AG$1001,0),0), INDEX($AN$1004:$BO$1004,1,MATCH(COLUMNS($AN$1006:BO1006),$AN$1006:$BO$1006,0)))),"Fix")))</f>
        <v>0</v>
      </c>
      <c r="AG715">
        <v>0</v>
      </c>
      <c r="AH715">
        <v>0</v>
      </c>
      <c r="AI715">
        <v>0</v>
      </c>
      <c r="AJ715">
        <f>IF(AK715,TRUE,AND(AN715:BO715))</f>
        <v>0</v>
      </c>
      <c r="AK715">
        <f>COUNTBLANK(Metadata!B715:AC715)=COLUMNS(Metadata!B715:AC715)</f>
        <v>0</v>
      </c>
      <c r="AL715">
        <v>0</v>
      </c>
      <c r="AN715">
        <f>AND(IF(Metadata!B715="",FALSE,TRUE),COUNTIF(Metadata!B:B, Metadata!B715) = 1,NOT(ISERROR(SUMPRODUCT(SEARCH(MID(Metadata!B715,ROW(INDIRECT("1:"&amp;LEN(Metadata!B715))), 1),"0123456789abcdefghijklmnopqrstuvwxyzABCDEFGHIJKLMNOPQRSTUVWXYZ.")))))</f>
        <v>0</v>
      </c>
      <c r="AO715">
        <f>IF(Metadata!C715="",FALSE,TRUE)</f>
        <v>0</v>
      </c>
      <c r="AP715">
        <f>IF(Metadata!D715="",FALSE,TRUE)</f>
        <v>0</v>
      </c>
      <c r="AQ715">
        <f>OR(AND(IF(Metadata!E715="",FALSE,TRUE),OR(exact(Metadata!E715,"not collected"),exact(Metadata!E715,"not provided"),exact(Metadata!E715,"restricted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R715">
        <f>IF(Metadata!F715="",FALSE,TRUE)</f>
        <v>0</v>
      </c>
      <c r="AS715">
        <f>OR(AND(IF(Metadata!G715="",FALSE,TRUE),OR(exact(Metadata!G715,"not collected"),exact(Metadata!G715,"not provided"))),AND(IF(Metadata!G715="",FALSE,TRUE),OR(exact(Metadata!G715,"TRUE"),exact(Metadata!G715,"FALSE"))))</f>
        <v>0</v>
      </c>
      <c r="AT715">
        <f>OR(AND(IF(Metadata!H715="",FALSE,TRUE),OR(exact(Metadata!H715,"not collected"),exact(Metadata!H715,"not provided"),exact(Metadata!H715,"restricted access"))),AND(IF(Metadata!H715="",FALSE,ISNUMBER(VALUE(Metadata!H715))),Metadata!H715&gt;=-413.0))</f>
        <v>0</v>
      </c>
      <c r="AU715">
        <f>AND(IF(Metadata!I715="",FALSE,TRUE),exact(Metadata!I715,"meters"))</f>
        <v>0</v>
      </c>
      <c r="AV715">
        <f>AND(IF(Metadata!J715="",FALSE,TRUE),OR(exact(Metadata!J715,"Host-associated"),exact(Metadata!J715,"Free-living")))</f>
        <v>0</v>
      </c>
      <c r="AW715">
        <f>AND(IF(Metadata!K715="",FALSE,TRUE),OR(exact(Metadata!K715,"Animal"),exact(Metadata!K715,"Fungus"),exact(Metadata!K715,"Plant"),exact(Metadata!K715,"Saline"),exact(Metadata!K715,"Non-saline")))</f>
        <v>0</v>
      </c>
      <c r="AX715">
        <f>AND(IF(Metadata!L715="",FALSE,TRUE),OR(exact(Metadata!L715,"Plant secretion"),exact(Metadata!L715,"Plant rhizosphere"),exact(Metadata!L715,"Plant surface"),exact(Metadata!L715,"Plant corpus"),exact(Metadata!L715,"Fungus surface"),exact(Metadata!L715,"Fungus corpus"),exact(Metadata!L715,"Animal surface"),exact(Metadata!L715,"Animal proximal gut"),exact(Metadata!L715,"Animal corpus"),exact(Metadata!L715,"Animal distal gut"),exact(Metadata!L715,"Animal secretion"),exact(Metadata!L715,"Sub-surface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Y715">
        <f>IF(Metadata!M715="",FALSE,TRUE)</f>
        <v>0</v>
      </c>
      <c r="AZ715">
        <f>IF(Metadata!N715="",FALSE,TRUE)</f>
        <v>0</v>
      </c>
      <c r="BA715">
        <f>IF(Metadata!O715="",FALSE,TRUE)</f>
        <v>0</v>
      </c>
      <c r="BB715">
        <f>OR(AND(IF(Metadata!P715="",FALSE,TRUE),OR(exact(Metadata!P715,"not collected"),exact(Metadata!P715,"not provided"),exact(Metadata!P715,"restricted access"))),AND(IF(Metadata!P715="",FALSE,TRUE),OR(exact(Metadata!P715,"air"),exact(Metadata!P715,"built environment"),exact(Metadata!P715,"host-associated"),exact(Metadata!P715,"human-associated"),exact(Metadata!P715,"human-skin"),exact(Metadata!P715,"human-oral"),exact(Metadata!P715,"human-gut"),exact(Metadata!P715,"human-vaginal"),exact(Metadata!P715,"microbial mat/biofilm"),exact(Metadata!P715,"misc environment"),exact(Metadata!P715,"plant-associated"),exact(Metadata!P715,"sediment"),exact(Metadata!P715,"soil"),exact(Metadata!P715,"wastewater/sludge"),exact(Metadata!P715,"water"))))</f>
        <v>0</v>
      </c>
      <c r="BC715">
        <f>IF(Metadata!Q715="",FALSE,TRUE)</f>
        <v>0</v>
      </c>
      <c r="BD715">
        <f>IF(Metadata!R715="",FALSE,TRUE)</f>
        <v>0</v>
      </c>
      <c r="BE715">
        <f>OR(AND(IF(Metadata!S715="",FALSE,TRUE),OR(exact(Metadata!S715,"not collected"),exact(Metadata!S715,"not provided"),exact(Metadata!S715,"restricted access"))),AND(IF(Metadata!S715="",FALSE,ISNUMBER(VALUE(Metadata!S715))),Metadata!S715&gt;=-90.00,Metadata!S715&lt;=90.00))</f>
        <v>0</v>
      </c>
      <c r="BF715">
        <f>AND(IF(Metadata!T715="",FALSE,TRUE),exact(Metadata!T715,"Decimal degrees"))</f>
        <v>0</v>
      </c>
      <c r="BG715">
        <f>OR(AND(IF(Metadata!U715="",FALSE,TRUE),OR(exact(Metadata!U715,"not collected"),exact(Metadata!U715,"not provided"),exact(Metadata!U715,"restricted access"))),AND(IF(Metadata!U715="",FALSE,ISNUMBER(VALUE(Metadata!U715))),Metadata!U715&gt;=-180.00,Metadata!U715&lt;=180.00))</f>
        <v>0</v>
      </c>
      <c r="BH715">
        <f>AND(IF(Metadata!V715="",FALSE,TRUE),exact(Metadata!V715,"Decimal degrees"))</f>
        <v>0</v>
      </c>
      <c r="BI715">
        <f>IF(Metadata!W715="",FALSE,TRUE)</f>
        <v>0</v>
      </c>
      <c r="BJ715">
        <f>OR(AND(IF(Metadata!X715="",FALSE,TRUE),OR(exact(Metadata!X715,"not collected"),exact(Metadata!X715,"not provided"),exact(Metadata!X715,"restricted access"))),AND(IF(Metadata!X715="",FALSE,TRUE),OR(exact(Metadata!X715,"TRUE"),exact(Metadata!X715,"FALSE"))))</f>
        <v>0</v>
      </c>
      <c r="BK715">
        <f>AND(IF(Metadata!Y715="",FALSE,TRUE),exact(Metadata!Y715,"other"))</f>
        <v>0</v>
      </c>
      <c r="BL715">
        <f>IF(Metadata!Z715="",FALSE,TRUE)</f>
        <v>0</v>
      </c>
      <c r="BM715">
        <f>OR(AND(IF(Metadata!AA715="",FALSE,TRUE),OR(exact(Metadata!AA715,"not collected"),exact(Metadata!AA715,"not provided"))),AND(IF(Metadata!AA715="",FALSE,IF(ISERROR(INT(Metadata!AA715)),FALSE,INT(Metadata!AA715)=Metadata!AA715)),Metadata!AA715&gt;0))</f>
        <v>0</v>
      </c>
      <c r="BN715">
        <f>AND(IF(Metadata!AB715="",FALSE,TRUE),exact(Metadata!AB715,"Not applicable"))</f>
        <v>0</v>
      </c>
      <c r="BO715">
        <f>IF(Metadata!AC715="",FALSE,TRUE)</f>
        <v>0</v>
      </c>
    </row>
    <row r="716" spans="1:67">
      <c r="A716" s="5">
        <f>IF(B716=" "," ",HYPERLINK(CONCATENATE("#metadata!",ADDRESS(INDEX($AI$2:$AI$1001,MATCH(ROWS($AG$2:AG716),$AG$2:$AG$1001,0),0),1)),INDEX($AL$2:$AL$1001,MATCH(ROWS($AG$2:AG716),$AG$2:$AG$1001,0),0)))</f>
        <v>0</v>
      </c>
      <c r="B716" s="4">
        <f>IF(OR(INDEX($AH$2:$AH$1001,MATCH(ROWS($AG$2:AG716),$AG$2:$AG$1001,0),1)&gt;=100000,INDEX($AN$1005:$BO$1005,1,MATCH(COLUMNS($AN$1006:AN1006),$AN$1006:$BO$1006,0))&gt;=100000), " ",IF(INDEX($AN$2:$BO$1001,MATCH(ROWS($AG$2:AG716),$AG$2:$AG$1001,0),MATCH(COLUMNS($AN$1006:AN1006),$AN$1006:$BO$1006,0)), HYPERLINK("#",""), HYPERLINK(CONCATENATE("#Metadata!", ADDRESS(INDEX($AI$2:$AI$1001,MATCH(ROWS($AG$2:AG716),$AG$2:$AG$1001,0),0), INDEX($AN$1004:$BO$1004,1,MATCH(COLUMNS($AN$1006:AN1006),$AN$1006:$BO$1006,0)))),"Fix")))</f>
        <v>0</v>
      </c>
      <c r="C716" s="4">
        <f>IF(OR(INDEX($AH$2:$AH$1001,MATCH(ROWS($AG$2:AG716),$AG$2:$AG$1001,0),1)&gt;=100000,INDEX($AN$1005:$BO$1005,1,MATCH(COLUMNS($AN$1006:AO1006),$AN$1006:$BO$1006,0))&gt;=100000), " ",IF(INDEX($AN$2:$BO$1001,MATCH(ROWS($AG$2:AG716),$AG$2:$AG$1001,0),MATCH(COLUMNS($AN$1006:AO1006),$AN$1006:$BO$1006,0)), HYPERLINK("#",""), HYPERLINK(CONCATENATE("#Metadata!", ADDRESS(INDEX($AI$2:$AI$1001,MATCH(ROWS($AG$2:AG716),$AG$2:$AG$1001,0),0), INDEX($AN$1004:$BO$1004,1,MATCH(COLUMNS($AN$1006:AO1006),$AN$1006:$BO$1006,0)))),"Fix")))</f>
        <v>0</v>
      </c>
      <c r="D716" s="4">
        <f>IF(OR(INDEX($AH$2:$AH$1001,MATCH(ROWS($AG$2:AG716),$AG$2:$AG$1001,0),1)&gt;=100000,INDEX($AN$1005:$BO$1005,1,MATCH(COLUMNS($AN$1006:AP1006),$AN$1006:$BO$1006,0))&gt;=100000), " ",IF(INDEX($AN$2:$BO$1001,MATCH(ROWS($AG$2:AG716),$AG$2:$AG$1001,0),MATCH(COLUMNS($AN$1006:AP1006),$AN$1006:$BO$1006,0)), HYPERLINK("#",""), HYPERLINK(CONCATENATE("#Metadata!", ADDRESS(INDEX($AI$2:$AI$1001,MATCH(ROWS($AG$2:AG716),$AG$2:$AG$1001,0),0), INDEX($AN$1004:$BO$1004,1,MATCH(COLUMNS($AN$1006:AP1006),$AN$1006:$BO$1006,0)))),"Fix")))</f>
        <v>0</v>
      </c>
      <c r="E716" s="4">
        <f>IF(OR(INDEX($AH$2:$AH$1001,MATCH(ROWS($AG$2:AG716),$AG$2:$AG$1001,0),1)&gt;=100000,INDEX($AN$1005:$BO$1005,1,MATCH(COLUMNS($AN$1006:AQ1006),$AN$1006:$BO$1006,0))&gt;=100000), " ",IF(INDEX($AN$2:$BO$1001,MATCH(ROWS($AG$2:AG716),$AG$2:$AG$1001,0),MATCH(COLUMNS($AN$1006:AQ1006),$AN$1006:$BO$1006,0)), HYPERLINK("#",""), HYPERLINK(CONCATENATE("#Metadata!", ADDRESS(INDEX($AI$2:$AI$1001,MATCH(ROWS($AG$2:AG716),$AG$2:$AG$1001,0),0), INDEX($AN$1004:$BO$1004,1,MATCH(COLUMNS($AN$1006:AQ1006),$AN$1006:$BO$1006,0)))),"Fix")))</f>
        <v>0</v>
      </c>
      <c r="F716" s="4">
        <f>IF(OR(INDEX($AH$2:$AH$1001,MATCH(ROWS($AG$2:AG716),$AG$2:$AG$1001,0),1)&gt;=100000,INDEX($AN$1005:$BO$1005,1,MATCH(COLUMNS($AN$1006:AR1006),$AN$1006:$BO$1006,0))&gt;=100000), " ",IF(INDEX($AN$2:$BO$1001,MATCH(ROWS($AG$2:AG716),$AG$2:$AG$1001,0),MATCH(COLUMNS($AN$1006:AR1006),$AN$1006:$BO$1006,0)), HYPERLINK("#",""), HYPERLINK(CONCATENATE("#Metadata!", ADDRESS(INDEX($AI$2:$AI$1001,MATCH(ROWS($AG$2:AG716),$AG$2:$AG$1001,0),0), INDEX($AN$1004:$BO$1004,1,MATCH(COLUMNS($AN$1006:AR1006),$AN$1006:$BO$1006,0)))),"Fix")))</f>
        <v>0</v>
      </c>
      <c r="G716" s="4">
        <f>IF(OR(INDEX($AH$2:$AH$1001,MATCH(ROWS($AG$2:AG716),$AG$2:$AG$1001,0),1)&gt;=100000,INDEX($AN$1005:$BO$1005,1,MATCH(COLUMNS($AN$1006:AS1006),$AN$1006:$BO$1006,0))&gt;=100000), " ",IF(INDEX($AN$2:$BO$1001,MATCH(ROWS($AG$2:AG716),$AG$2:$AG$1001,0),MATCH(COLUMNS($AN$1006:AS1006),$AN$1006:$BO$1006,0)), HYPERLINK("#",""), HYPERLINK(CONCATENATE("#Metadata!", ADDRESS(INDEX($AI$2:$AI$1001,MATCH(ROWS($AG$2:AG716),$AG$2:$AG$1001,0),0), INDEX($AN$1004:$BO$1004,1,MATCH(COLUMNS($AN$1006:AS1006),$AN$1006:$BO$1006,0)))),"Fix")))</f>
        <v>0</v>
      </c>
      <c r="H716" s="4">
        <f>IF(OR(INDEX($AH$2:$AH$1001,MATCH(ROWS($AG$2:AG716),$AG$2:$AG$1001,0),1)&gt;=100000,INDEX($AN$1005:$BO$1005,1,MATCH(COLUMNS($AN$1006:AT1006),$AN$1006:$BO$1006,0))&gt;=100000), " ",IF(INDEX($AN$2:$BO$1001,MATCH(ROWS($AG$2:AG716),$AG$2:$AG$1001,0),MATCH(COLUMNS($AN$1006:AT1006),$AN$1006:$BO$1006,0)), HYPERLINK("#",""), HYPERLINK(CONCATENATE("#Metadata!", ADDRESS(INDEX($AI$2:$AI$1001,MATCH(ROWS($AG$2:AG716),$AG$2:$AG$1001,0),0), INDEX($AN$1004:$BO$1004,1,MATCH(COLUMNS($AN$1006:AT1006),$AN$1006:$BO$1006,0)))),"Fix")))</f>
        <v>0</v>
      </c>
      <c r="I716" s="4">
        <f>IF(OR(INDEX($AH$2:$AH$1001,MATCH(ROWS($AG$2:AG716),$AG$2:$AG$1001,0),1)&gt;=100000,INDEX($AN$1005:$BO$1005,1,MATCH(COLUMNS($AN$1006:AU1006),$AN$1006:$BO$1006,0))&gt;=100000), " ",IF(INDEX($AN$2:$BO$1001,MATCH(ROWS($AG$2:AG716),$AG$2:$AG$1001,0),MATCH(COLUMNS($AN$1006:AU1006),$AN$1006:$BO$1006,0)), HYPERLINK("#",""), HYPERLINK(CONCATENATE("#Metadata!", ADDRESS(INDEX($AI$2:$AI$1001,MATCH(ROWS($AG$2:AG716),$AG$2:$AG$1001,0),0), INDEX($AN$1004:$BO$1004,1,MATCH(COLUMNS($AN$1006:AU1006),$AN$1006:$BO$1006,0)))),"Fix")))</f>
        <v>0</v>
      </c>
      <c r="J716" s="4">
        <f>IF(OR(INDEX($AH$2:$AH$1001,MATCH(ROWS($AG$2:AG716),$AG$2:$AG$1001,0),1)&gt;=100000,INDEX($AN$1005:$BO$1005,1,MATCH(COLUMNS($AN$1006:AV1006),$AN$1006:$BO$1006,0))&gt;=100000), " ",IF(INDEX($AN$2:$BO$1001,MATCH(ROWS($AG$2:AG716),$AG$2:$AG$1001,0),MATCH(COLUMNS($AN$1006:AV1006),$AN$1006:$BO$1006,0)), HYPERLINK("#",""), HYPERLINK(CONCATENATE("#Metadata!", ADDRESS(INDEX($AI$2:$AI$1001,MATCH(ROWS($AG$2:AG716),$AG$2:$AG$1001,0),0), INDEX($AN$1004:$BO$1004,1,MATCH(COLUMNS($AN$1006:AV1006),$AN$1006:$BO$1006,0)))),"Fix")))</f>
        <v>0</v>
      </c>
      <c r="K716" s="4">
        <f>IF(OR(INDEX($AH$2:$AH$1001,MATCH(ROWS($AG$2:AG716),$AG$2:$AG$1001,0),1)&gt;=100000,INDEX($AN$1005:$BO$1005,1,MATCH(COLUMNS($AN$1006:AW1006),$AN$1006:$BO$1006,0))&gt;=100000), " ",IF(INDEX($AN$2:$BO$1001,MATCH(ROWS($AG$2:AG716),$AG$2:$AG$1001,0),MATCH(COLUMNS($AN$1006:AW1006),$AN$1006:$BO$1006,0)), HYPERLINK("#",""), HYPERLINK(CONCATENATE("#Metadata!", ADDRESS(INDEX($AI$2:$AI$1001,MATCH(ROWS($AG$2:AG716),$AG$2:$AG$1001,0),0), INDEX($AN$1004:$BO$1004,1,MATCH(COLUMNS($AN$1006:AW1006),$AN$1006:$BO$1006,0)))),"Fix")))</f>
        <v>0</v>
      </c>
      <c r="L716" s="4">
        <f>IF(OR(INDEX($AH$2:$AH$1001,MATCH(ROWS($AG$2:AG716),$AG$2:$AG$1001,0),1)&gt;=100000,INDEX($AN$1005:$BO$1005,1,MATCH(COLUMNS($AN$1006:AX1006),$AN$1006:$BO$1006,0))&gt;=100000), " ",IF(INDEX($AN$2:$BO$1001,MATCH(ROWS($AG$2:AG716),$AG$2:$AG$1001,0),MATCH(COLUMNS($AN$1006:AX1006),$AN$1006:$BO$1006,0)), HYPERLINK("#",""), HYPERLINK(CONCATENATE("#Metadata!", ADDRESS(INDEX($AI$2:$AI$1001,MATCH(ROWS($AG$2:AG716),$AG$2:$AG$1001,0),0), INDEX($AN$1004:$BO$1004,1,MATCH(COLUMNS($AN$1006:AX1006),$AN$1006:$BO$1006,0)))),"Fix")))</f>
        <v>0</v>
      </c>
      <c r="M716" s="4">
        <f>IF(OR(INDEX($AH$2:$AH$1001,MATCH(ROWS($AG$2:AG716),$AG$2:$AG$1001,0),1)&gt;=100000,INDEX($AN$1005:$BO$1005,1,MATCH(COLUMNS($AN$1006:AY1006),$AN$1006:$BO$1006,0))&gt;=100000), " ",IF(INDEX($AN$2:$BO$1001,MATCH(ROWS($AG$2:AG716),$AG$2:$AG$1001,0),MATCH(COLUMNS($AN$1006:AY1006),$AN$1006:$BO$1006,0)), HYPERLINK("#",""), HYPERLINK(CONCATENATE("#Metadata!", ADDRESS(INDEX($AI$2:$AI$1001,MATCH(ROWS($AG$2:AG716),$AG$2:$AG$1001,0),0), INDEX($AN$1004:$BO$1004,1,MATCH(COLUMNS($AN$1006:AY1006),$AN$1006:$BO$1006,0)))),"Fix")))</f>
        <v>0</v>
      </c>
      <c r="N716" s="4">
        <f>IF(OR(INDEX($AH$2:$AH$1001,MATCH(ROWS($AG$2:AG716),$AG$2:$AG$1001,0),1)&gt;=100000,INDEX($AN$1005:$BO$1005,1,MATCH(COLUMNS($AN$1006:AZ1006),$AN$1006:$BO$1006,0))&gt;=100000), " ",IF(INDEX($AN$2:$BO$1001,MATCH(ROWS($AG$2:AG716),$AG$2:$AG$1001,0),MATCH(COLUMNS($AN$1006:AZ1006),$AN$1006:$BO$1006,0)), HYPERLINK("#",""), HYPERLINK(CONCATENATE("#Metadata!", ADDRESS(INDEX($AI$2:$AI$1001,MATCH(ROWS($AG$2:AG716),$AG$2:$AG$1001,0),0), INDEX($AN$1004:$BO$1004,1,MATCH(COLUMNS($AN$1006:AZ1006),$AN$1006:$BO$1006,0)))),"Fix")))</f>
        <v>0</v>
      </c>
      <c r="O716" s="4">
        <f>IF(OR(INDEX($AH$2:$AH$1001,MATCH(ROWS($AG$2:AG716),$AG$2:$AG$1001,0),1)&gt;=100000,INDEX($AN$1005:$BO$1005,1,MATCH(COLUMNS($AN$1006:BA1006),$AN$1006:$BO$1006,0))&gt;=100000), " ",IF(INDEX($AN$2:$BO$1001,MATCH(ROWS($AG$2:AG716),$AG$2:$AG$1001,0),MATCH(COLUMNS($AN$1006:BA1006),$AN$1006:$BO$1006,0)), HYPERLINK("#",""), HYPERLINK(CONCATENATE("#Metadata!", ADDRESS(INDEX($AI$2:$AI$1001,MATCH(ROWS($AG$2:AG716),$AG$2:$AG$1001,0),0), INDEX($AN$1004:$BO$1004,1,MATCH(COLUMNS($AN$1006:BA1006),$AN$1006:$BO$1006,0)))),"Fix")))</f>
        <v>0</v>
      </c>
      <c r="P716" s="4">
        <f>IF(OR(INDEX($AH$2:$AH$1001,MATCH(ROWS($AG$2:AG716),$AG$2:$AG$1001,0),1)&gt;=100000,INDEX($AN$1005:$BO$1005,1,MATCH(COLUMNS($AN$1006:BB1006),$AN$1006:$BO$1006,0))&gt;=100000), " ",IF(INDEX($AN$2:$BO$1001,MATCH(ROWS($AG$2:AG716),$AG$2:$AG$1001,0),MATCH(COLUMNS($AN$1006:BB1006),$AN$1006:$BO$1006,0)), HYPERLINK("#",""), HYPERLINK(CONCATENATE("#Metadata!", ADDRESS(INDEX($AI$2:$AI$1001,MATCH(ROWS($AG$2:AG716),$AG$2:$AG$1001,0),0), INDEX($AN$1004:$BO$1004,1,MATCH(COLUMNS($AN$1006:BB1006),$AN$1006:$BO$1006,0)))),"Fix")))</f>
        <v>0</v>
      </c>
      <c r="Q716" s="4">
        <f>IF(OR(INDEX($AH$2:$AH$1001,MATCH(ROWS($AG$2:AG716),$AG$2:$AG$1001,0),1)&gt;=100000,INDEX($AN$1005:$BO$1005,1,MATCH(COLUMNS($AN$1006:BC1006),$AN$1006:$BO$1006,0))&gt;=100000), " ",IF(INDEX($AN$2:$BO$1001,MATCH(ROWS($AG$2:AG716),$AG$2:$AG$1001,0),MATCH(COLUMNS($AN$1006:BC1006),$AN$1006:$BO$1006,0)), HYPERLINK("#",""), HYPERLINK(CONCATENATE("#Metadata!", ADDRESS(INDEX($AI$2:$AI$1001,MATCH(ROWS($AG$2:AG716),$AG$2:$AG$1001,0),0), INDEX($AN$1004:$BO$1004,1,MATCH(COLUMNS($AN$1006:BC1006),$AN$1006:$BO$1006,0)))),"Fix")))</f>
        <v>0</v>
      </c>
      <c r="R716" s="4">
        <f>IF(OR(INDEX($AH$2:$AH$1001,MATCH(ROWS($AG$2:AG716),$AG$2:$AG$1001,0),1)&gt;=100000,INDEX($AN$1005:$BO$1005,1,MATCH(COLUMNS($AN$1006:BD1006),$AN$1006:$BO$1006,0))&gt;=100000), " ",IF(INDEX($AN$2:$BO$1001,MATCH(ROWS($AG$2:AG716),$AG$2:$AG$1001,0),MATCH(COLUMNS($AN$1006:BD1006),$AN$1006:$BO$1006,0)), HYPERLINK("#",""), HYPERLINK(CONCATENATE("#Metadata!", ADDRESS(INDEX($AI$2:$AI$1001,MATCH(ROWS($AG$2:AG716),$AG$2:$AG$1001,0),0), INDEX($AN$1004:$BO$1004,1,MATCH(COLUMNS($AN$1006:BD1006),$AN$1006:$BO$1006,0)))),"Fix")))</f>
        <v>0</v>
      </c>
      <c r="S716" s="4">
        <f>IF(OR(INDEX($AH$2:$AH$1001,MATCH(ROWS($AG$2:AG716),$AG$2:$AG$1001,0),1)&gt;=100000,INDEX($AN$1005:$BO$1005,1,MATCH(COLUMNS($AN$1006:BE1006),$AN$1006:$BO$1006,0))&gt;=100000), " ",IF(INDEX($AN$2:$BO$1001,MATCH(ROWS($AG$2:AG716),$AG$2:$AG$1001,0),MATCH(COLUMNS($AN$1006:BE1006),$AN$1006:$BO$1006,0)), HYPERLINK("#",""), HYPERLINK(CONCATENATE("#Metadata!", ADDRESS(INDEX($AI$2:$AI$1001,MATCH(ROWS($AG$2:AG716),$AG$2:$AG$1001,0),0), INDEX($AN$1004:$BO$1004,1,MATCH(COLUMNS($AN$1006:BE1006),$AN$1006:$BO$1006,0)))),"Fix")))</f>
        <v>0</v>
      </c>
      <c r="T716" s="4">
        <f>IF(OR(INDEX($AH$2:$AH$1001,MATCH(ROWS($AG$2:AG716),$AG$2:$AG$1001,0),1)&gt;=100000,INDEX($AN$1005:$BO$1005,1,MATCH(COLUMNS($AN$1006:BF1006),$AN$1006:$BO$1006,0))&gt;=100000), " ",IF(INDEX($AN$2:$BO$1001,MATCH(ROWS($AG$2:AG716),$AG$2:$AG$1001,0),MATCH(COLUMNS($AN$1006:BF1006),$AN$1006:$BO$1006,0)), HYPERLINK("#",""), HYPERLINK(CONCATENATE("#Metadata!", ADDRESS(INDEX($AI$2:$AI$1001,MATCH(ROWS($AG$2:AG716),$AG$2:$AG$1001,0),0), INDEX($AN$1004:$BO$1004,1,MATCH(COLUMNS($AN$1006:BF1006),$AN$1006:$BO$1006,0)))),"Fix")))</f>
        <v>0</v>
      </c>
      <c r="U716" s="4">
        <f>IF(OR(INDEX($AH$2:$AH$1001,MATCH(ROWS($AG$2:AG716),$AG$2:$AG$1001,0),1)&gt;=100000,INDEX($AN$1005:$BO$1005,1,MATCH(COLUMNS($AN$1006:BG1006),$AN$1006:$BO$1006,0))&gt;=100000), " ",IF(INDEX($AN$2:$BO$1001,MATCH(ROWS($AG$2:AG716),$AG$2:$AG$1001,0),MATCH(COLUMNS($AN$1006:BG1006),$AN$1006:$BO$1006,0)), HYPERLINK("#",""), HYPERLINK(CONCATENATE("#Metadata!", ADDRESS(INDEX($AI$2:$AI$1001,MATCH(ROWS($AG$2:AG716),$AG$2:$AG$1001,0),0), INDEX($AN$1004:$BO$1004,1,MATCH(COLUMNS($AN$1006:BG1006),$AN$1006:$BO$1006,0)))),"Fix")))</f>
        <v>0</v>
      </c>
      <c r="V716" s="4">
        <f>IF(OR(INDEX($AH$2:$AH$1001,MATCH(ROWS($AG$2:AG716),$AG$2:$AG$1001,0),1)&gt;=100000,INDEX($AN$1005:$BO$1005,1,MATCH(COLUMNS($AN$1006:BH1006),$AN$1006:$BO$1006,0))&gt;=100000), " ",IF(INDEX($AN$2:$BO$1001,MATCH(ROWS($AG$2:AG716),$AG$2:$AG$1001,0),MATCH(COLUMNS($AN$1006:BH1006),$AN$1006:$BO$1006,0)), HYPERLINK("#",""), HYPERLINK(CONCATENATE("#Metadata!", ADDRESS(INDEX($AI$2:$AI$1001,MATCH(ROWS($AG$2:AG716),$AG$2:$AG$1001,0),0), INDEX($AN$1004:$BO$1004,1,MATCH(COLUMNS($AN$1006:BH1006),$AN$1006:$BO$1006,0)))),"Fix")))</f>
        <v>0</v>
      </c>
      <c r="W716" s="4">
        <f>IF(OR(INDEX($AH$2:$AH$1001,MATCH(ROWS($AG$2:AG716),$AG$2:$AG$1001,0),1)&gt;=100000,INDEX($AN$1005:$BO$1005,1,MATCH(COLUMNS($AN$1006:BI1006),$AN$1006:$BO$1006,0))&gt;=100000), " ",IF(INDEX($AN$2:$BO$1001,MATCH(ROWS($AG$2:AG716),$AG$2:$AG$1001,0),MATCH(COLUMNS($AN$1006:BI1006),$AN$1006:$BO$1006,0)), HYPERLINK("#",""), HYPERLINK(CONCATENATE("#Metadata!", ADDRESS(INDEX($AI$2:$AI$1001,MATCH(ROWS($AG$2:AG716),$AG$2:$AG$1001,0),0), INDEX($AN$1004:$BO$1004,1,MATCH(COLUMNS($AN$1006:BI1006),$AN$1006:$BO$1006,0)))),"Fix")))</f>
        <v>0</v>
      </c>
      <c r="X716" s="4">
        <f>IF(OR(INDEX($AH$2:$AH$1001,MATCH(ROWS($AG$2:AG716),$AG$2:$AG$1001,0),1)&gt;=100000,INDEX($AN$1005:$BO$1005,1,MATCH(COLUMNS($AN$1006:BJ1006),$AN$1006:$BO$1006,0))&gt;=100000), " ",IF(INDEX($AN$2:$BO$1001,MATCH(ROWS($AG$2:AG716),$AG$2:$AG$1001,0),MATCH(COLUMNS($AN$1006:BJ1006),$AN$1006:$BO$1006,0)), HYPERLINK("#",""), HYPERLINK(CONCATENATE("#Metadata!", ADDRESS(INDEX($AI$2:$AI$1001,MATCH(ROWS($AG$2:AG716),$AG$2:$AG$1001,0),0), INDEX($AN$1004:$BO$1004,1,MATCH(COLUMNS($AN$1006:BJ1006),$AN$1006:$BO$1006,0)))),"Fix")))</f>
        <v>0</v>
      </c>
      <c r="Y716" s="4">
        <f>IF(OR(INDEX($AH$2:$AH$1001,MATCH(ROWS($AG$2:AG716),$AG$2:$AG$1001,0),1)&gt;=100000,INDEX($AN$1005:$BO$1005,1,MATCH(COLUMNS($AN$1006:BK1006),$AN$1006:$BO$1006,0))&gt;=100000), " ",IF(INDEX($AN$2:$BO$1001,MATCH(ROWS($AG$2:AG716),$AG$2:$AG$1001,0),MATCH(COLUMNS($AN$1006:BK1006),$AN$1006:$BO$1006,0)), HYPERLINK("#",""), HYPERLINK(CONCATENATE("#Metadata!", ADDRESS(INDEX($AI$2:$AI$1001,MATCH(ROWS($AG$2:AG716),$AG$2:$AG$1001,0),0), INDEX($AN$1004:$BO$1004,1,MATCH(COLUMNS($AN$1006:BK1006),$AN$1006:$BO$1006,0)))),"Fix")))</f>
        <v>0</v>
      </c>
      <c r="Z716" s="4">
        <f>IF(OR(INDEX($AH$2:$AH$1001,MATCH(ROWS($AG$2:AG716),$AG$2:$AG$1001,0),1)&gt;=100000,INDEX($AN$1005:$BO$1005,1,MATCH(COLUMNS($AN$1006:BL1006),$AN$1006:$BO$1006,0))&gt;=100000), " ",IF(INDEX($AN$2:$BO$1001,MATCH(ROWS($AG$2:AG716),$AG$2:$AG$1001,0),MATCH(COLUMNS($AN$1006:BL1006),$AN$1006:$BO$1006,0)), HYPERLINK("#",""), HYPERLINK(CONCATENATE("#Metadata!", ADDRESS(INDEX($AI$2:$AI$1001,MATCH(ROWS($AG$2:AG716),$AG$2:$AG$1001,0),0), INDEX($AN$1004:$BO$1004,1,MATCH(COLUMNS($AN$1006:BL1006),$AN$1006:$BO$1006,0)))),"Fix")))</f>
        <v>0</v>
      </c>
      <c r="AA716" s="4">
        <f>IF(OR(INDEX($AH$2:$AH$1001,MATCH(ROWS($AG$2:AG716),$AG$2:$AG$1001,0),1)&gt;=100000,INDEX($AN$1005:$BO$1005,1,MATCH(COLUMNS($AN$1006:BM1006),$AN$1006:$BO$1006,0))&gt;=100000), " ",IF(INDEX($AN$2:$BO$1001,MATCH(ROWS($AG$2:AG716),$AG$2:$AG$1001,0),MATCH(COLUMNS($AN$1006:BM1006),$AN$1006:$BO$1006,0)), HYPERLINK("#",""), HYPERLINK(CONCATENATE("#Metadata!", ADDRESS(INDEX($AI$2:$AI$1001,MATCH(ROWS($AG$2:AG716),$AG$2:$AG$1001,0),0), INDEX($AN$1004:$BO$1004,1,MATCH(COLUMNS($AN$1006:BM1006),$AN$1006:$BO$1006,0)))),"Fix")))</f>
        <v>0</v>
      </c>
      <c r="AB716" s="4">
        <f>IF(OR(INDEX($AH$2:$AH$1001,MATCH(ROWS($AG$2:AG716),$AG$2:$AG$1001,0),1)&gt;=100000,INDEX($AN$1005:$BO$1005,1,MATCH(COLUMNS($AN$1006:BN1006),$AN$1006:$BO$1006,0))&gt;=100000), " ",IF(INDEX($AN$2:$BO$1001,MATCH(ROWS($AG$2:AG716),$AG$2:$AG$1001,0),MATCH(COLUMNS($AN$1006:BN1006),$AN$1006:$BO$1006,0)), HYPERLINK("#",""), HYPERLINK(CONCATENATE("#Metadata!", ADDRESS(INDEX($AI$2:$AI$1001,MATCH(ROWS($AG$2:AG716),$AG$2:$AG$1001,0),0), INDEX($AN$1004:$BO$1004,1,MATCH(COLUMNS($AN$1006:BN1006),$AN$1006:$BO$1006,0)))),"Fix")))</f>
        <v>0</v>
      </c>
      <c r="AC716" s="4">
        <f>IF(OR(INDEX($AH$2:$AH$1001,MATCH(ROWS($AG$2:AG716),$AG$2:$AG$1001,0),1)&gt;=100000,INDEX($AN$1005:$BO$1005,1,MATCH(COLUMNS($AN$1006:BO1006),$AN$1006:$BO$1006,0))&gt;=100000), " ",IF(INDEX($AN$2:$BO$1001,MATCH(ROWS($AG$2:AG716),$AG$2:$AG$1001,0),MATCH(COLUMNS($AN$1006:BO1006),$AN$1006:$BO$1006,0)), HYPERLINK("#",""), HYPERLINK(CONCATENATE("#Metadata!", ADDRESS(INDEX($AI$2:$AI$1001,MATCH(ROWS($AG$2:AG716),$AG$2:$AG$1001,0),0), INDEX($AN$1004:$BO$1004,1,MATCH(COLUMNS($AN$1006:BO1006),$AN$1006:$BO$1006,0)))),"Fix")))</f>
        <v>0</v>
      </c>
      <c r="AG716">
        <v>0</v>
      </c>
      <c r="AH716">
        <v>0</v>
      </c>
      <c r="AI716">
        <v>0</v>
      </c>
      <c r="AJ716">
        <f>IF(AK716,TRUE,AND(AN716:BO716))</f>
        <v>0</v>
      </c>
      <c r="AK716">
        <f>COUNTBLANK(Metadata!B716:AC716)=COLUMNS(Metadata!B716:AC716)</f>
        <v>0</v>
      </c>
      <c r="AL716">
        <v>0</v>
      </c>
      <c r="AN716">
        <f>AND(IF(Metadata!B716="",FALSE,TRUE),COUNTIF(Metadata!B:B, Metadata!B716) = 1,NOT(ISERROR(SUMPRODUCT(SEARCH(MID(Metadata!B716,ROW(INDIRECT("1:"&amp;LEN(Metadata!B716))), 1),"0123456789abcdefghijklmnopqrstuvwxyzABCDEFGHIJKLMNOPQRSTUVWXYZ.")))))</f>
        <v>0</v>
      </c>
      <c r="AO716">
        <f>IF(Metadata!C716="",FALSE,TRUE)</f>
        <v>0</v>
      </c>
      <c r="AP716">
        <f>IF(Metadata!D716="",FALSE,TRUE)</f>
        <v>0</v>
      </c>
      <c r="AQ716">
        <f>OR(AND(IF(Metadata!E716="",FALSE,TRUE),OR(exact(Metadata!E716,"not collected"),exact(Metadata!E716,"not provided"),exact(Metadata!E716,"restricted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R716">
        <f>IF(Metadata!F716="",FALSE,TRUE)</f>
        <v>0</v>
      </c>
      <c r="AS716">
        <f>OR(AND(IF(Metadata!G716="",FALSE,TRUE),OR(exact(Metadata!G716,"not collected"),exact(Metadata!G716,"not provided"))),AND(IF(Metadata!G716="",FALSE,TRUE),OR(exact(Metadata!G716,"TRUE"),exact(Metadata!G716,"FALSE"))))</f>
        <v>0</v>
      </c>
      <c r="AT716">
        <f>OR(AND(IF(Metadata!H716="",FALSE,TRUE),OR(exact(Metadata!H716,"not collected"),exact(Metadata!H716,"not provided"),exact(Metadata!H716,"restricted access"))),AND(IF(Metadata!H716="",FALSE,ISNUMBER(VALUE(Metadata!H716))),Metadata!H716&gt;=-413.0))</f>
        <v>0</v>
      </c>
      <c r="AU716">
        <f>AND(IF(Metadata!I716="",FALSE,TRUE),exact(Metadata!I716,"meters"))</f>
        <v>0</v>
      </c>
      <c r="AV716">
        <f>AND(IF(Metadata!J716="",FALSE,TRUE),OR(exact(Metadata!J716,"Host-associated"),exact(Metadata!J716,"Free-living")))</f>
        <v>0</v>
      </c>
      <c r="AW716">
        <f>AND(IF(Metadata!K716="",FALSE,TRUE),OR(exact(Metadata!K716,"Animal"),exact(Metadata!K716,"Fungus"),exact(Metadata!K716,"Plant"),exact(Metadata!K716,"Saline"),exact(Metadata!K716,"Non-saline")))</f>
        <v>0</v>
      </c>
      <c r="AX716">
        <f>AND(IF(Metadata!L716="",FALSE,TRUE),OR(exact(Metadata!L716,"Plant secretion"),exact(Metadata!L716,"Plant rhizosphere"),exact(Metadata!L716,"Plant surface"),exact(Metadata!L716,"Plant corpus"),exact(Metadata!L716,"Fungus surface"),exact(Metadata!L716,"Fungus corpus"),exact(Metadata!L716,"Animal surface"),exact(Metadata!L716,"Animal proximal gut"),exact(Metadata!L716,"Animal corpus"),exact(Metadata!L716,"Animal distal gut"),exact(Metadata!L716,"Animal secretion"),exact(Metadata!L716,"Sub-surface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Y716">
        <f>IF(Metadata!M716="",FALSE,TRUE)</f>
        <v>0</v>
      </c>
      <c r="AZ716">
        <f>IF(Metadata!N716="",FALSE,TRUE)</f>
        <v>0</v>
      </c>
      <c r="BA716">
        <f>IF(Metadata!O716="",FALSE,TRUE)</f>
        <v>0</v>
      </c>
      <c r="BB716">
        <f>OR(AND(IF(Metadata!P716="",FALSE,TRUE),OR(exact(Metadata!P716,"not collected"),exact(Metadata!P716,"not provided"),exact(Metadata!P716,"restricted access"))),AND(IF(Metadata!P716="",FALSE,TRUE),OR(exact(Metadata!P716,"air"),exact(Metadata!P716,"built environment"),exact(Metadata!P716,"host-associated"),exact(Metadata!P716,"human-associated"),exact(Metadata!P716,"human-skin"),exact(Metadata!P716,"human-oral"),exact(Metadata!P716,"human-gut"),exact(Metadata!P716,"human-vaginal"),exact(Metadata!P716,"microbial mat/biofilm"),exact(Metadata!P716,"misc environment"),exact(Metadata!P716,"plant-associated"),exact(Metadata!P716,"sediment"),exact(Metadata!P716,"soil"),exact(Metadata!P716,"wastewater/sludge"),exact(Metadata!P716,"water"))))</f>
        <v>0</v>
      </c>
      <c r="BC716">
        <f>IF(Metadata!Q716="",FALSE,TRUE)</f>
        <v>0</v>
      </c>
      <c r="BD716">
        <f>IF(Metadata!R716="",FALSE,TRUE)</f>
        <v>0</v>
      </c>
      <c r="BE716">
        <f>OR(AND(IF(Metadata!S716="",FALSE,TRUE),OR(exact(Metadata!S716,"not collected"),exact(Metadata!S716,"not provided"),exact(Metadata!S716,"restricted access"))),AND(IF(Metadata!S716="",FALSE,ISNUMBER(VALUE(Metadata!S716))),Metadata!S716&gt;=-90.00,Metadata!S716&lt;=90.00))</f>
        <v>0</v>
      </c>
      <c r="BF716">
        <f>AND(IF(Metadata!T716="",FALSE,TRUE),exact(Metadata!T716,"Decimal degrees"))</f>
        <v>0</v>
      </c>
      <c r="BG716">
        <f>OR(AND(IF(Metadata!U716="",FALSE,TRUE),OR(exact(Metadata!U716,"not collected"),exact(Metadata!U716,"not provided"),exact(Metadata!U716,"restricted access"))),AND(IF(Metadata!U716="",FALSE,ISNUMBER(VALUE(Metadata!U716))),Metadata!U716&gt;=-180.00,Metadata!U716&lt;=180.00))</f>
        <v>0</v>
      </c>
      <c r="BH716">
        <f>AND(IF(Metadata!V716="",FALSE,TRUE),exact(Metadata!V716,"Decimal degrees"))</f>
        <v>0</v>
      </c>
      <c r="BI716">
        <f>IF(Metadata!W716="",FALSE,TRUE)</f>
        <v>0</v>
      </c>
      <c r="BJ716">
        <f>OR(AND(IF(Metadata!X716="",FALSE,TRUE),OR(exact(Metadata!X716,"not collected"),exact(Metadata!X716,"not provided"),exact(Metadata!X716,"restricted access"))),AND(IF(Metadata!X716="",FALSE,TRUE),OR(exact(Metadata!X716,"TRUE"),exact(Metadata!X716,"FALSE"))))</f>
        <v>0</v>
      </c>
      <c r="BK716">
        <f>AND(IF(Metadata!Y716="",FALSE,TRUE),exact(Metadata!Y716,"other"))</f>
        <v>0</v>
      </c>
      <c r="BL716">
        <f>IF(Metadata!Z716="",FALSE,TRUE)</f>
        <v>0</v>
      </c>
      <c r="BM716">
        <f>OR(AND(IF(Metadata!AA716="",FALSE,TRUE),OR(exact(Metadata!AA716,"not collected"),exact(Metadata!AA716,"not provided"))),AND(IF(Metadata!AA716="",FALSE,IF(ISERROR(INT(Metadata!AA716)),FALSE,INT(Metadata!AA716)=Metadata!AA716)),Metadata!AA716&gt;0))</f>
        <v>0</v>
      </c>
      <c r="BN716">
        <f>AND(IF(Metadata!AB716="",FALSE,TRUE),exact(Metadata!AB716,"Not applicable"))</f>
        <v>0</v>
      </c>
      <c r="BO716">
        <f>IF(Metadata!AC716="",FALSE,TRUE)</f>
        <v>0</v>
      </c>
    </row>
    <row r="717" spans="1:67">
      <c r="A717" s="5">
        <f>IF(B717=" "," ",HYPERLINK(CONCATENATE("#metadata!",ADDRESS(INDEX($AI$2:$AI$1001,MATCH(ROWS($AG$2:AG717),$AG$2:$AG$1001,0),0),1)),INDEX($AL$2:$AL$1001,MATCH(ROWS($AG$2:AG717),$AG$2:$AG$1001,0),0)))</f>
        <v>0</v>
      </c>
      <c r="B717" s="4">
        <f>IF(OR(INDEX($AH$2:$AH$1001,MATCH(ROWS($AG$2:AG717),$AG$2:$AG$1001,0),1)&gt;=100000,INDEX($AN$1005:$BO$1005,1,MATCH(COLUMNS($AN$1006:AN1006),$AN$1006:$BO$1006,0))&gt;=100000), " ",IF(INDEX($AN$2:$BO$1001,MATCH(ROWS($AG$2:AG717),$AG$2:$AG$1001,0),MATCH(COLUMNS($AN$1006:AN1006),$AN$1006:$BO$1006,0)), HYPERLINK("#",""), HYPERLINK(CONCATENATE("#Metadata!", ADDRESS(INDEX($AI$2:$AI$1001,MATCH(ROWS($AG$2:AG717),$AG$2:$AG$1001,0),0), INDEX($AN$1004:$BO$1004,1,MATCH(COLUMNS($AN$1006:AN1006),$AN$1006:$BO$1006,0)))),"Fix")))</f>
        <v>0</v>
      </c>
      <c r="C717" s="4">
        <f>IF(OR(INDEX($AH$2:$AH$1001,MATCH(ROWS($AG$2:AG717),$AG$2:$AG$1001,0),1)&gt;=100000,INDEX($AN$1005:$BO$1005,1,MATCH(COLUMNS($AN$1006:AO1006),$AN$1006:$BO$1006,0))&gt;=100000), " ",IF(INDEX($AN$2:$BO$1001,MATCH(ROWS($AG$2:AG717),$AG$2:$AG$1001,0),MATCH(COLUMNS($AN$1006:AO1006),$AN$1006:$BO$1006,0)), HYPERLINK("#",""), HYPERLINK(CONCATENATE("#Metadata!", ADDRESS(INDEX($AI$2:$AI$1001,MATCH(ROWS($AG$2:AG717),$AG$2:$AG$1001,0),0), INDEX($AN$1004:$BO$1004,1,MATCH(COLUMNS($AN$1006:AO1006),$AN$1006:$BO$1006,0)))),"Fix")))</f>
        <v>0</v>
      </c>
      <c r="D717" s="4">
        <f>IF(OR(INDEX($AH$2:$AH$1001,MATCH(ROWS($AG$2:AG717),$AG$2:$AG$1001,0),1)&gt;=100000,INDEX($AN$1005:$BO$1005,1,MATCH(COLUMNS($AN$1006:AP1006),$AN$1006:$BO$1006,0))&gt;=100000), " ",IF(INDEX($AN$2:$BO$1001,MATCH(ROWS($AG$2:AG717),$AG$2:$AG$1001,0),MATCH(COLUMNS($AN$1006:AP1006),$AN$1006:$BO$1006,0)), HYPERLINK("#",""), HYPERLINK(CONCATENATE("#Metadata!", ADDRESS(INDEX($AI$2:$AI$1001,MATCH(ROWS($AG$2:AG717),$AG$2:$AG$1001,0),0), INDEX($AN$1004:$BO$1004,1,MATCH(COLUMNS($AN$1006:AP1006),$AN$1006:$BO$1006,0)))),"Fix")))</f>
        <v>0</v>
      </c>
      <c r="E717" s="4">
        <f>IF(OR(INDEX($AH$2:$AH$1001,MATCH(ROWS($AG$2:AG717),$AG$2:$AG$1001,0),1)&gt;=100000,INDEX($AN$1005:$BO$1005,1,MATCH(COLUMNS($AN$1006:AQ1006),$AN$1006:$BO$1006,0))&gt;=100000), " ",IF(INDEX($AN$2:$BO$1001,MATCH(ROWS($AG$2:AG717),$AG$2:$AG$1001,0),MATCH(COLUMNS($AN$1006:AQ1006),$AN$1006:$BO$1006,0)), HYPERLINK("#",""), HYPERLINK(CONCATENATE("#Metadata!", ADDRESS(INDEX($AI$2:$AI$1001,MATCH(ROWS($AG$2:AG717),$AG$2:$AG$1001,0),0), INDEX($AN$1004:$BO$1004,1,MATCH(COLUMNS($AN$1006:AQ1006),$AN$1006:$BO$1006,0)))),"Fix")))</f>
        <v>0</v>
      </c>
      <c r="F717" s="4">
        <f>IF(OR(INDEX($AH$2:$AH$1001,MATCH(ROWS($AG$2:AG717),$AG$2:$AG$1001,0),1)&gt;=100000,INDEX($AN$1005:$BO$1005,1,MATCH(COLUMNS($AN$1006:AR1006),$AN$1006:$BO$1006,0))&gt;=100000), " ",IF(INDEX($AN$2:$BO$1001,MATCH(ROWS($AG$2:AG717),$AG$2:$AG$1001,0),MATCH(COLUMNS($AN$1006:AR1006),$AN$1006:$BO$1006,0)), HYPERLINK("#",""), HYPERLINK(CONCATENATE("#Metadata!", ADDRESS(INDEX($AI$2:$AI$1001,MATCH(ROWS($AG$2:AG717),$AG$2:$AG$1001,0),0), INDEX($AN$1004:$BO$1004,1,MATCH(COLUMNS($AN$1006:AR1006),$AN$1006:$BO$1006,0)))),"Fix")))</f>
        <v>0</v>
      </c>
      <c r="G717" s="4">
        <f>IF(OR(INDEX($AH$2:$AH$1001,MATCH(ROWS($AG$2:AG717),$AG$2:$AG$1001,0),1)&gt;=100000,INDEX($AN$1005:$BO$1005,1,MATCH(COLUMNS($AN$1006:AS1006),$AN$1006:$BO$1006,0))&gt;=100000), " ",IF(INDEX($AN$2:$BO$1001,MATCH(ROWS($AG$2:AG717),$AG$2:$AG$1001,0),MATCH(COLUMNS($AN$1006:AS1006),$AN$1006:$BO$1006,0)), HYPERLINK("#",""), HYPERLINK(CONCATENATE("#Metadata!", ADDRESS(INDEX($AI$2:$AI$1001,MATCH(ROWS($AG$2:AG717),$AG$2:$AG$1001,0),0), INDEX($AN$1004:$BO$1004,1,MATCH(COLUMNS($AN$1006:AS1006),$AN$1006:$BO$1006,0)))),"Fix")))</f>
        <v>0</v>
      </c>
      <c r="H717" s="4">
        <f>IF(OR(INDEX($AH$2:$AH$1001,MATCH(ROWS($AG$2:AG717),$AG$2:$AG$1001,0),1)&gt;=100000,INDEX($AN$1005:$BO$1005,1,MATCH(COLUMNS($AN$1006:AT1006),$AN$1006:$BO$1006,0))&gt;=100000), " ",IF(INDEX($AN$2:$BO$1001,MATCH(ROWS($AG$2:AG717),$AG$2:$AG$1001,0),MATCH(COLUMNS($AN$1006:AT1006),$AN$1006:$BO$1006,0)), HYPERLINK("#",""), HYPERLINK(CONCATENATE("#Metadata!", ADDRESS(INDEX($AI$2:$AI$1001,MATCH(ROWS($AG$2:AG717),$AG$2:$AG$1001,0),0), INDEX($AN$1004:$BO$1004,1,MATCH(COLUMNS($AN$1006:AT1006),$AN$1006:$BO$1006,0)))),"Fix")))</f>
        <v>0</v>
      </c>
      <c r="I717" s="4">
        <f>IF(OR(INDEX($AH$2:$AH$1001,MATCH(ROWS($AG$2:AG717),$AG$2:$AG$1001,0),1)&gt;=100000,INDEX($AN$1005:$BO$1005,1,MATCH(COLUMNS($AN$1006:AU1006),$AN$1006:$BO$1006,0))&gt;=100000), " ",IF(INDEX($AN$2:$BO$1001,MATCH(ROWS($AG$2:AG717),$AG$2:$AG$1001,0),MATCH(COLUMNS($AN$1006:AU1006),$AN$1006:$BO$1006,0)), HYPERLINK("#",""), HYPERLINK(CONCATENATE("#Metadata!", ADDRESS(INDEX($AI$2:$AI$1001,MATCH(ROWS($AG$2:AG717),$AG$2:$AG$1001,0),0), INDEX($AN$1004:$BO$1004,1,MATCH(COLUMNS($AN$1006:AU1006),$AN$1006:$BO$1006,0)))),"Fix")))</f>
        <v>0</v>
      </c>
      <c r="J717" s="4">
        <f>IF(OR(INDEX($AH$2:$AH$1001,MATCH(ROWS($AG$2:AG717),$AG$2:$AG$1001,0),1)&gt;=100000,INDEX($AN$1005:$BO$1005,1,MATCH(COLUMNS($AN$1006:AV1006),$AN$1006:$BO$1006,0))&gt;=100000), " ",IF(INDEX($AN$2:$BO$1001,MATCH(ROWS($AG$2:AG717),$AG$2:$AG$1001,0),MATCH(COLUMNS($AN$1006:AV1006),$AN$1006:$BO$1006,0)), HYPERLINK("#",""), HYPERLINK(CONCATENATE("#Metadata!", ADDRESS(INDEX($AI$2:$AI$1001,MATCH(ROWS($AG$2:AG717),$AG$2:$AG$1001,0),0), INDEX($AN$1004:$BO$1004,1,MATCH(COLUMNS($AN$1006:AV1006),$AN$1006:$BO$1006,0)))),"Fix")))</f>
        <v>0</v>
      </c>
      <c r="K717" s="4">
        <f>IF(OR(INDEX($AH$2:$AH$1001,MATCH(ROWS($AG$2:AG717),$AG$2:$AG$1001,0),1)&gt;=100000,INDEX($AN$1005:$BO$1005,1,MATCH(COLUMNS($AN$1006:AW1006),$AN$1006:$BO$1006,0))&gt;=100000), " ",IF(INDEX($AN$2:$BO$1001,MATCH(ROWS($AG$2:AG717),$AG$2:$AG$1001,0),MATCH(COLUMNS($AN$1006:AW1006),$AN$1006:$BO$1006,0)), HYPERLINK("#",""), HYPERLINK(CONCATENATE("#Metadata!", ADDRESS(INDEX($AI$2:$AI$1001,MATCH(ROWS($AG$2:AG717),$AG$2:$AG$1001,0),0), INDEX($AN$1004:$BO$1004,1,MATCH(COLUMNS($AN$1006:AW1006),$AN$1006:$BO$1006,0)))),"Fix")))</f>
        <v>0</v>
      </c>
      <c r="L717" s="4">
        <f>IF(OR(INDEX($AH$2:$AH$1001,MATCH(ROWS($AG$2:AG717),$AG$2:$AG$1001,0),1)&gt;=100000,INDEX($AN$1005:$BO$1005,1,MATCH(COLUMNS($AN$1006:AX1006),$AN$1006:$BO$1006,0))&gt;=100000), " ",IF(INDEX($AN$2:$BO$1001,MATCH(ROWS($AG$2:AG717),$AG$2:$AG$1001,0),MATCH(COLUMNS($AN$1006:AX1006),$AN$1006:$BO$1006,0)), HYPERLINK("#",""), HYPERLINK(CONCATENATE("#Metadata!", ADDRESS(INDEX($AI$2:$AI$1001,MATCH(ROWS($AG$2:AG717),$AG$2:$AG$1001,0),0), INDEX($AN$1004:$BO$1004,1,MATCH(COLUMNS($AN$1006:AX1006),$AN$1006:$BO$1006,0)))),"Fix")))</f>
        <v>0</v>
      </c>
      <c r="M717" s="4">
        <f>IF(OR(INDEX($AH$2:$AH$1001,MATCH(ROWS($AG$2:AG717),$AG$2:$AG$1001,0),1)&gt;=100000,INDEX($AN$1005:$BO$1005,1,MATCH(COLUMNS($AN$1006:AY1006),$AN$1006:$BO$1006,0))&gt;=100000), " ",IF(INDEX($AN$2:$BO$1001,MATCH(ROWS($AG$2:AG717),$AG$2:$AG$1001,0),MATCH(COLUMNS($AN$1006:AY1006),$AN$1006:$BO$1006,0)), HYPERLINK("#",""), HYPERLINK(CONCATENATE("#Metadata!", ADDRESS(INDEX($AI$2:$AI$1001,MATCH(ROWS($AG$2:AG717),$AG$2:$AG$1001,0),0), INDEX($AN$1004:$BO$1004,1,MATCH(COLUMNS($AN$1006:AY1006),$AN$1006:$BO$1006,0)))),"Fix")))</f>
        <v>0</v>
      </c>
      <c r="N717" s="4">
        <f>IF(OR(INDEX($AH$2:$AH$1001,MATCH(ROWS($AG$2:AG717),$AG$2:$AG$1001,0),1)&gt;=100000,INDEX($AN$1005:$BO$1005,1,MATCH(COLUMNS($AN$1006:AZ1006),$AN$1006:$BO$1006,0))&gt;=100000), " ",IF(INDEX($AN$2:$BO$1001,MATCH(ROWS($AG$2:AG717),$AG$2:$AG$1001,0),MATCH(COLUMNS($AN$1006:AZ1006),$AN$1006:$BO$1006,0)), HYPERLINK("#",""), HYPERLINK(CONCATENATE("#Metadata!", ADDRESS(INDEX($AI$2:$AI$1001,MATCH(ROWS($AG$2:AG717),$AG$2:$AG$1001,0),0), INDEX($AN$1004:$BO$1004,1,MATCH(COLUMNS($AN$1006:AZ1006),$AN$1006:$BO$1006,0)))),"Fix")))</f>
        <v>0</v>
      </c>
      <c r="O717" s="4">
        <f>IF(OR(INDEX($AH$2:$AH$1001,MATCH(ROWS($AG$2:AG717),$AG$2:$AG$1001,0),1)&gt;=100000,INDEX($AN$1005:$BO$1005,1,MATCH(COLUMNS($AN$1006:BA1006),$AN$1006:$BO$1006,0))&gt;=100000), " ",IF(INDEX($AN$2:$BO$1001,MATCH(ROWS($AG$2:AG717),$AG$2:$AG$1001,0),MATCH(COLUMNS($AN$1006:BA1006),$AN$1006:$BO$1006,0)), HYPERLINK("#",""), HYPERLINK(CONCATENATE("#Metadata!", ADDRESS(INDEX($AI$2:$AI$1001,MATCH(ROWS($AG$2:AG717),$AG$2:$AG$1001,0),0), INDEX($AN$1004:$BO$1004,1,MATCH(COLUMNS($AN$1006:BA1006),$AN$1006:$BO$1006,0)))),"Fix")))</f>
        <v>0</v>
      </c>
      <c r="P717" s="4">
        <f>IF(OR(INDEX($AH$2:$AH$1001,MATCH(ROWS($AG$2:AG717),$AG$2:$AG$1001,0),1)&gt;=100000,INDEX($AN$1005:$BO$1005,1,MATCH(COLUMNS($AN$1006:BB1006),$AN$1006:$BO$1006,0))&gt;=100000), " ",IF(INDEX($AN$2:$BO$1001,MATCH(ROWS($AG$2:AG717),$AG$2:$AG$1001,0),MATCH(COLUMNS($AN$1006:BB1006),$AN$1006:$BO$1006,0)), HYPERLINK("#",""), HYPERLINK(CONCATENATE("#Metadata!", ADDRESS(INDEX($AI$2:$AI$1001,MATCH(ROWS($AG$2:AG717),$AG$2:$AG$1001,0),0), INDEX($AN$1004:$BO$1004,1,MATCH(COLUMNS($AN$1006:BB1006),$AN$1006:$BO$1006,0)))),"Fix")))</f>
        <v>0</v>
      </c>
      <c r="Q717" s="4">
        <f>IF(OR(INDEX($AH$2:$AH$1001,MATCH(ROWS($AG$2:AG717),$AG$2:$AG$1001,0),1)&gt;=100000,INDEX($AN$1005:$BO$1005,1,MATCH(COLUMNS($AN$1006:BC1006),$AN$1006:$BO$1006,0))&gt;=100000), " ",IF(INDEX($AN$2:$BO$1001,MATCH(ROWS($AG$2:AG717),$AG$2:$AG$1001,0),MATCH(COLUMNS($AN$1006:BC1006),$AN$1006:$BO$1006,0)), HYPERLINK("#",""), HYPERLINK(CONCATENATE("#Metadata!", ADDRESS(INDEX($AI$2:$AI$1001,MATCH(ROWS($AG$2:AG717),$AG$2:$AG$1001,0),0), INDEX($AN$1004:$BO$1004,1,MATCH(COLUMNS($AN$1006:BC1006),$AN$1006:$BO$1006,0)))),"Fix")))</f>
        <v>0</v>
      </c>
      <c r="R717" s="4">
        <f>IF(OR(INDEX($AH$2:$AH$1001,MATCH(ROWS($AG$2:AG717),$AG$2:$AG$1001,0),1)&gt;=100000,INDEX($AN$1005:$BO$1005,1,MATCH(COLUMNS($AN$1006:BD1006),$AN$1006:$BO$1006,0))&gt;=100000), " ",IF(INDEX($AN$2:$BO$1001,MATCH(ROWS($AG$2:AG717),$AG$2:$AG$1001,0),MATCH(COLUMNS($AN$1006:BD1006),$AN$1006:$BO$1006,0)), HYPERLINK("#",""), HYPERLINK(CONCATENATE("#Metadata!", ADDRESS(INDEX($AI$2:$AI$1001,MATCH(ROWS($AG$2:AG717),$AG$2:$AG$1001,0),0), INDEX($AN$1004:$BO$1004,1,MATCH(COLUMNS($AN$1006:BD1006),$AN$1006:$BO$1006,0)))),"Fix")))</f>
        <v>0</v>
      </c>
      <c r="S717" s="4">
        <f>IF(OR(INDEX($AH$2:$AH$1001,MATCH(ROWS($AG$2:AG717),$AG$2:$AG$1001,0),1)&gt;=100000,INDEX($AN$1005:$BO$1005,1,MATCH(COLUMNS($AN$1006:BE1006),$AN$1006:$BO$1006,0))&gt;=100000), " ",IF(INDEX($AN$2:$BO$1001,MATCH(ROWS($AG$2:AG717),$AG$2:$AG$1001,0),MATCH(COLUMNS($AN$1006:BE1006),$AN$1006:$BO$1006,0)), HYPERLINK("#",""), HYPERLINK(CONCATENATE("#Metadata!", ADDRESS(INDEX($AI$2:$AI$1001,MATCH(ROWS($AG$2:AG717),$AG$2:$AG$1001,0),0), INDEX($AN$1004:$BO$1004,1,MATCH(COLUMNS($AN$1006:BE1006),$AN$1006:$BO$1006,0)))),"Fix")))</f>
        <v>0</v>
      </c>
      <c r="T717" s="4">
        <f>IF(OR(INDEX($AH$2:$AH$1001,MATCH(ROWS($AG$2:AG717),$AG$2:$AG$1001,0),1)&gt;=100000,INDEX($AN$1005:$BO$1005,1,MATCH(COLUMNS($AN$1006:BF1006),$AN$1006:$BO$1006,0))&gt;=100000), " ",IF(INDEX($AN$2:$BO$1001,MATCH(ROWS($AG$2:AG717),$AG$2:$AG$1001,0),MATCH(COLUMNS($AN$1006:BF1006),$AN$1006:$BO$1006,0)), HYPERLINK("#",""), HYPERLINK(CONCATENATE("#Metadata!", ADDRESS(INDEX($AI$2:$AI$1001,MATCH(ROWS($AG$2:AG717),$AG$2:$AG$1001,0),0), INDEX($AN$1004:$BO$1004,1,MATCH(COLUMNS($AN$1006:BF1006),$AN$1006:$BO$1006,0)))),"Fix")))</f>
        <v>0</v>
      </c>
      <c r="U717" s="4">
        <f>IF(OR(INDEX($AH$2:$AH$1001,MATCH(ROWS($AG$2:AG717),$AG$2:$AG$1001,0),1)&gt;=100000,INDEX($AN$1005:$BO$1005,1,MATCH(COLUMNS($AN$1006:BG1006),$AN$1006:$BO$1006,0))&gt;=100000), " ",IF(INDEX($AN$2:$BO$1001,MATCH(ROWS($AG$2:AG717),$AG$2:$AG$1001,0),MATCH(COLUMNS($AN$1006:BG1006),$AN$1006:$BO$1006,0)), HYPERLINK("#",""), HYPERLINK(CONCATENATE("#Metadata!", ADDRESS(INDEX($AI$2:$AI$1001,MATCH(ROWS($AG$2:AG717),$AG$2:$AG$1001,0),0), INDEX($AN$1004:$BO$1004,1,MATCH(COLUMNS($AN$1006:BG1006),$AN$1006:$BO$1006,0)))),"Fix")))</f>
        <v>0</v>
      </c>
      <c r="V717" s="4">
        <f>IF(OR(INDEX($AH$2:$AH$1001,MATCH(ROWS($AG$2:AG717),$AG$2:$AG$1001,0),1)&gt;=100000,INDEX($AN$1005:$BO$1005,1,MATCH(COLUMNS($AN$1006:BH1006),$AN$1006:$BO$1006,0))&gt;=100000), " ",IF(INDEX($AN$2:$BO$1001,MATCH(ROWS($AG$2:AG717),$AG$2:$AG$1001,0),MATCH(COLUMNS($AN$1006:BH1006),$AN$1006:$BO$1006,0)), HYPERLINK("#",""), HYPERLINK(CONCATENATE("#Metadata!", ADDRESS(INDEX($AI$2:$AI$1001,MATCH(ROWS($AG$2:AG717),$AG$2:$AG$1001,0),0), INDEX($AN$1004:$BO$1004,1,MATCH(COLUMNS($AN$1006:BH1006),$AN$1006:$BO$1006,0)))),"Fix")))</f>
        <v>0</v>
      </c>
      <c r="W717" s="4">
        <f>IF(OR(INDEX($AH$2:$AH$1001,MATCH(ROWS($AG$2:AG717),$AG$2:$AG$1001,0),1)&gt;=100000,INDEX($AN$1005:$BO$1005,1,MATCH(COLUMNS($AN$1006:BI1006),$AN$1006:$BO$1006,0))&gt;=100000), " ",IF(INDEX($AN$2:$BO$1001,MATCH(ROWS($AG$2:AG717),$AG$2:$AG$1001,0),MATCH(COLUMNS($AN$1006:BI1006),$AN$1006:$BO$1006,0)), HYPERLINK("#",""), HYPERLINK(CONCATENATE("#Metadata!", ADDRESS(INDEX($AI$2:$AI$1001,MATCH(ROWS($AG$2:AG717),$AG$2:$AG$1001,0),0), INDEX($AN$1004:$BO$1004,1,MATCH(COLUMNS($AN$1006:BI1006),$AN$1006:$BO$1006,0)))),"Fix")))</f>
        <v>0</v>
      </c>
      <c r="X717" s="4">
        <f>IF(OR(INDEX($AH$2:$AH$1001,MATCH(ROWS($AG$2:AG717),$AG$2:$AG$1001,0),1)&gt;=100000,INDEX($AN$1005:$BO$1005,1,MATCH(COLUMNS($AN$1006:BJ1006),$AN$1006:$BO$1006,0))&gt;=100000), " ",IF(INDEX($AN$2:$BO$1001,MATCH(ROWS($AG$2:AG717),$AG$2:$AG$1001,0),MATCH(COLUMNS($AN$1006:BJ1006),$AN$1006:$BO$1006,0)), HYPERLINK("#",""), HYPERLINK(CONCATENATE("#Metadata!", ADDRESS(INDEX($AI$2:$AI$1001,MATCH(ROWS($AG$2:AG717),$AG$2:$AG$1001,0),0), INDEX($AN$1004:$BO$1004,1,MATCH(COLUMNS($AN$1006:BJ1006),$AN$1006:$BO$1006,0)))),"Fix")))</f>
        <v>0</v>
      </c>
      <c r="Y717" s="4">
        <f>IF(OR(INDEX($AH$2:$AH$1001,MATCH(ROWS($AG$2:AG717),$AG$2:$AG$1001,0),1)&gt;=100000,INDEX($AN$1005:$BO$1005,1,MATCH(COLUMNS($AN$1006:BK1006),$AN$1006:$BO$1006,0))&gt;=100000), " ",IF(INDEX($AN$2:$BO$1001,MATCH(ROWS($AG$2:AG717),$AG$2:$AG$1001,0),MATCH(COLUMNS($AN$1006:BK1006),$AN$1006:$BO$1006,0)), HYPERLINK("#",""), HYPERLINK(CONCATENATE("#Metadata!", ADDRESS(INDEX($AI$2:$AI$1001,MATCH(ROWS($AG$2:AG717),$AG$2:$AG$1001,0),0), INDEX($AN$1004:$BO$1004,1,MATCH(COLUMNS($AN$1006:BK1006),$AN$1006:$BO$1006,0)))),"Fix")))</f>
        <v>0</v>
      </c>
      <c r="Z717" s="4">
        <f>IF(OR(INDEX($AH$2:$AH$1001,MATCH(ROWS($AG$2:AG717),$AG$2:$AG$1001,0),1)&gt;=100000,INDEX($AN$1005:$BO$1005,1,MATCH(COLUMNS($AN$1006:BL1006),$AN$1006:$BO$1006,0))&gt;=100000), " ",IF(INDEX($AN$2:$BO$1001,MATCH(ROWS($AG$2:AG717),$AG$2:$AG$1001,0),MATCH(COLUMNS($AN$1006:BL1006),$AN$1006:$BO$1006,0)), HYPERLINK("#",""), HYPERLINK(CONCATENATE("#Metadata!", ADDRESS(INDEX($AI$2:$AI$1001,MATCH(ROWS($AG$2:AG717),$AG$2:$AG$1001,0),0), INDEX($AN$1004:$BO$1004,1,MATCH(COLUMNS($AN$1006:BL1006),$AN$1006:$BO$1006,0)))),"Fix")))</f>
        <v>0</v>
      </c>
      <c r="AA717" s="4">
        <f>IF(OR(INDEX($AH$2:$AH$1001,MATCH(ROWS($AG$2:AG717),$AG$2:$AG$1001,0),1)&gt;=100000,INDEX($AN$1005:$BO$1005,1,MATCH(COLUMNS($AN$1006:BM1006),$AN$1006:$BO$1006,0))&gt;=100000), " ",IF(INDEX($AN$2:$BO$1001,MATCH(ROWS($AG$2:AG717),$AG$2:$AG$1001,0),MATCH(COLUMNS($AN$1006:BM1006),$AN$1006:$BO$1006,0)), HYPERLINK("#",""), HYPERLINK(CONCATENATE("#Metadata!", ADDRESS(INDEX($AI$2:$AI$1001,MATCH(ROWS($AG$2:AG717),$AG$2:$AG$1001,0),0), INDEX($AN$1004:$BO$1004,1,MATCH(COLUMNS($AN$1006:BM1006),$AN$1006:$BO$1006,0)))),"Fix")))</f>
        <v>0</v>
      </c>
      <c r="AB717" s="4">
        <f>IF(OR(INDEX($AH$2:$AH$1001,MATCH(ROWS($AG$2:AG717),$AG$2:$AG$1001,0),1)&gt;=100000,INDEX($AN$1005:$BO$1005,1,MATCH(COLUMNS($AN$1006:BN1006),$AN$1006:$BO$1006,0))&gt;=100000), " ",IF(INDEX($AN$2:$BO$1001,MATCH(ROWS($AG$2:AG717),$AG$2:$AG$1001,0),MATCH(COLUMNS($AN$1006:BN1006),$AN$1006:$BO$1006,0)), HYPERLINK("#",""), HYPERLINK(CONCATENATE("#Metadata!", ADDRESS(INDEX($AI$2:$AI$1001,MATCH(ROWS($AG$2:AG717),$AG$2:$AG$1001,0),0), INDEX($AN$1004:$BO$1004,1,MATCH(COLUMNS($AN$1006:BN1006),$AN$1006:$BO$1006,0)))),"Fix")))</f>
        <v>0</v>
      </c>
      <c r="AC717" s="4">
        <f>IF(OR(INDEX($AH$2:$AH$1001,MATCH(ROWS($AG$2:AG717),$AG$2:$AG$1001,0),1)&gt;=100000,INDEX($AN$1005:$BO$1005,1,MATCH(COLUMNS($AN$1006:BO1006),$AN$1006:$BO$1006,0))&gt;=100000), " ",IF(INDEX($AN$2:$BO$1001,MATCH(ROWS($AG$2:AG717),$AG$2:$AG$1001,0),MATCH(COLUMNS($AN$1006:BO1006),$AN$1006:$BO$1006,0)), HYPERLINK("#",""), HYPERLINK(CONCATENATE("#Metadata!", ADDRESS(INDEX($AI$2:$AI$1001,MATCH(ROWS($AG$2:AG717),$AG$2:$AG$1001,0),0), INDEX($AN$1004:$BO$1004,1,MATCH(COLUMNS($AN$1006:BO1006),$AN$1006:$BO$1006,0)))),"Fix")))</f>
        <v>0</v>
      </c>
      <c r="AG717">
        <v>0</v>
      </c>
      <c r="AH717">
        <v>0</v>
      </c>
      <c r="AI717">
        <v>0</v>
      </c>
      <c r="AJ717">
        <f>IF(AK717,TRUE,AND(AN717:BO717))</f>
        <v>0</v>
      </c>
      <c r="AK717">
        <f>COUNTBLANK(Metadata!B717:AC717)=COLUMNS(Metadata!B717:AC717)</f>
        <v>0</v>
      </c>
      <c r="AL717">
        <v>0</v>
      </c>
      <c r="AN717">
        <f>AND(IF(Metadata!B717="",FALSE,TRUE),COUNTIF(Metadata!B:B, Metadata!B717) = 1,NOT(ISERROR(SUMPRODUCT(SEARCH(MID(Metadata!B717,ROW(INDIRECT("1:"&amp;LEN(Metadata!B717))), 1),"0123456789abcdefghijklmnopqrstuvwxyzABCDEFGHIJKLMNOPQRSTUVWXYZ.")))))</f>
        <v>0</v>
      </c>
      <c r="AO717">
        <f>IF(Metadata!C717="",FALSE,TRUE)</f>
        <v>0</v>
      </c>
      <c r="AP717">
        <f>IF(Metadata!D717="",FALSE,TRUE)</f>
        <v>0</v>
      </c>
      <c r="AQ717">
        <f>OR(AND(IF(Metadata!E717="",FALSE,TRUE),OR(exact(Metadata!E717,"not collected"),exact(Metadata!E717,"not provided"),exact(Metadata!E717,"restricted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R717">
        <f>IF(Metadata!F717="",FALSE,TRUE)</f>
        <v>0</v>
      </c>
      <c r="AS717">
        <f>OR(AND(IF(Metadata!G717="",FALSE,TRUE),OR(exact(Metadata!G717,"not collected"),exact(Metadata!G717,"not provided"))),AND(IF(Metadata!G717="",FALSE,TRUE),OR(exact(Metadata!G717,"TRUE"),exact(Metadata!G717,"FALSE"))))</f>
        <v>0</v>
      </c>
      <c r="AT717">
        <f>OR(AND(IF(Metadata!H717="",FALSE,TRUE),OR(exact(Metadata!H717,"not collected"),exact(Metadata!H717,"not provided"),exact(Metadata!H717,"restricted access"))),AND(IF(Metadata!H717="",FALSE,ISNUMBER(VALUE(Metadata!H717))),Metadata!H717&gt;=-413.0))</f>
        <v>0</v>
      </c>
      <c r="AU717">
        <f>AND(IF(Metadata!I717="",FALSE,TRUE),exact(Metadata!I717,"meters"))</f>
        <v>0</v>
      </c>
      <c r="AV717">
        <f>AND(IF(Metadata!J717="",FALSE,TRUE),OR(exact(Metadata!J717,"Host-associated"),exact(Metadata!J717,"Free-living")))</f>
        <v>0</v>
      </c>
      <c r="AW717">
        <f>AND(IF(Metadata!K717="",FALSE,TRUE),OR(exact(Metadata!K717,"Animal"),exact(Metadata!K717,"Fungus"),exact(Metadata!K717,"Plant"),exact(Metadata!K717,"Saline"),exact(Metadata!K717,"Non-saline")))</f>
        <v>0</v>
      </c>
      <c r="AX717">
        <f>AND(IF(Metadata!L717="",FALSE,TRUE),OR(exact(Metadata!L717,"Plant secretion"),exact(Metadata!L717,"Plant rhizosphere"),exact(Metadata!L717,"Plant surface"),exact(Metadata!L717,"Plant corpus"),exact(Metadata!L717,"Fungus surface"),exact(Metadata!L717,"Fungus corpus"),exact(Metadata!L717,"Animal surface"),exact(Metadata!L717,"Animal proximal gut"),exact(Metadata!L717,"Animal corpus"),exact(Metadata!L717,"Animal distal gut"),exact(Metadata!L717,"Animal secretion"),exact(Metadata!L717,"Sub-surface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Y717">
        <f>IF(Metadata!M717="",FALSE,TRUE)</f>
        <v>0</v>
      </c>
      <c r="AZ717">
        <f>IF(Metadata!N717="",FALSE,TRUE)</f>
        <v>0</v>
      </c>
      <c r="BA717">
        <f>IF(Metadata!O717="",FALSE,TRUE)</f>
        <v>0</v>
      </c>
      <c r="BB717">
        <f>OR(AND(IF(Metadata!P717="",FALSE,TRUE),OR(exact(Metadata!P717,"not collected"),exact(Metadata!P717,"not provided"),exact(Metadata!P717,"restricted access"))),AND(IF(Metadata!P717="",FALSE,TRUE),OR(exact(Metadata!P717,"air"),exact(Metadata!P717,"built environment"),exact(Metadata!P717,"host-associated"),exact(Metadata!P717,"human-associated"),exact(Metadata!P717,"human-skin"),exact(Metadata!P717,"human-oral"),exact(Metadata!P717,"human-gut"),exact(Metadata!P717,"human-vaginal"),exact(Metadata!P717,"microbial mat/biofilm"),exact(Metadata!P717,"misc environment"),exact(Metadata!P717,"plant-associated"),exact(Metadata!P717,"sediment"),exact(Metadata!P717,"soil"),exact(Metadata!P717,"wastewater/sludge"),exact(Metadata!P717,"water"))))</f>
        <v>0</v>
      </c>
      <c r="BC717">
        <f>IF(Metadata!Q717="",FALSE,TRUE)</f>
        <v>0</v>
      </c>
      <c r="BD717">
        <f>IF(Metadata!R717="",FALSE,TRUE)</f>
        <v>0</v>
      </c>
      <c r="BE717">
        <f>OR(AND(IF(Metadata!S717="",FALSE,TRUE),OR(exact(Metadata!S717,"not collected"),exact(Metadata!S717,"not provided"),exact(Metadata!S717,"restricted access"))),AND(IF(Metadata!S717="",FALSE,ISNUMBER(VALUE(Metadata!S717))),Metadata!S717&gt;=-90.00,Metadata!S717&lt;=90.00))</f>
        <v>0</v>
      </c>
      <c r="BF717">
        <f>AND(IF(Metadata!T717="",FALSE,TRUE),exact(Metadata!T717,"Decimal degrees"))</f>
        <v>0</v>
      </c>
      <c r="BG717">
        <f>OR(AND(IF(Metadata!U717="",FALSE,TRUE),OR(exact(Metadata!U717,"not collected"),exact(Metadata!U717,"not provided"),exact(Metadata!U717,"restricted access"))),AND(IF(Metadata!U717="",FALSE,ISNUMBER(VALUE(Metadata!U717))),Metadata!U717&gt;=-180.00,Metadata!U717&lt;=180.00))</f>
        <v>0</v>
      </c>
      <c r="BH717">
        <f>AND(IF(Metadata!V717="",FALSE,TRUE),exact(Metadata!V717,"Decimal degrees"))</f>
        <v>0</v>
      </c>
      <c r="BI717">
        <f>IF(Metadata!W717="",FALSE,TRUE)</f>
        <v>0</v>
      </c>
      <c r="BJ717">
        <f>OR(AND(IF(Metadata!X717="",FALSE,TRUE),OR(exact(Metadata!X717,"not collected"),exact(Metadata!X717,"not provided"),exact(Metadata!X717,"restricted access"))),AND(IF(Metadata!X717="",FALSE,TRUE),OR(exact(Metadata!X717,"TRUE"),exact(Metadata!X717,"FALSE"))))</f>
        <v>0</v>
      </c>
      <c r="BK717">
        <f>AND(IF(Metadata!Y717="",FALSE,TRUE),exact(Metadata!Y717,"other"))</f>
        <v>0</v>
      </c>
      <c r="BL717">
        <f>IF(Metadata!Z717="",FALSE,TRUE)</f>
        <v>0</v>
      </c>
      <c r="BM717">
        <f>OR(AND(IF(Metadata!AA717="",FALSE,TRUE),OR(exact(Metadata!AA717,"not collected"),exact(Metadata!AA717,"not provided"))),AND(IF(Metadata!AA717="",FALSE,IF(ISERROR(INT(Metadata!AA717)),FALSE,INT(Metadata!AA717)=Metadata!AA717)),Metadata!AA717&gt;0))</f>
        <v>0</v>
      </c>
      <c r="BN717">
        <f>AND(IF(Metadata!AB717="",FALSE,TRUE),exact(Metadata!AB717,"Not applicable"))</f>
        <v>0</v>
      </c>
      <c r="BO717">
        <f>IF(Metadata!AC717="",FALSE,TRUE)</f>
        <v>0</v>
      </c>
    </row>
    <row r="718" spans="1:67">
      <c r="A718" s="5">
        <f>IF(B718=" "," ",HYPERLINK(CONCATENATE("#metadata!",ADDRESS(INDEX($AI$2:$AI$1001,MATCH(ROWS($AG$2:AG718),$AG$2:$AG$1001,0),0),1)),INDEX($AL$2:$AL$1001,MATCH(ROWS($AG$2:AG718),$AG$2:$AG$1001,0),0)))</f>
        <v>0</v>
      </c>
      <c r="B718" s="4">
        <f>IF(OR(INDEX($AH$2:$AH$1001,MATCH(ROWS($AG$2:AG718),$AG$2:$AG$1001,0),1)&gt;=100000,INDEX($AN$1005:$BO$1005,1,MATCH(COLUMNS($AN$1006:AN1006),$AN$1006:$BO$1006,0))&gt;=100000), " ",IF(INDEX($AN$2:$BO$1001,MATCH(ROWS($AG$2:AG718),$AG$2:$AG$1001,0),MATCH(COLUMNS($AN$1006:AN1006),$AN$1006:$BO$1006,0)), HYPERLINK("#",""), HYPERLINK(CONCATENATE("#Metadata!", ADDRESS(INDEX($AI$2:$AI$1001,MATCH(ROWS($AG$2:AG718),$AG$2:$AG$1001,0),0), INDEX($AN$1004:$BO$1004,1,MATCH(COLUMNS($AN$1006:AN1006),$AN$1006:$BO$1006,0)))),"Fix")))</f>
        <v>0</v>
      </c>
      <c r="C718" s="4">
        <f>IF(OR(INDEX($AH$2:$AH$1001,MATCH(ROWS($AG$2:AG718),$AG$2:$AG$1001,0),1)&gt;=100000,INDEX($AN$1005:$BO$1005,1,MATCH(COLUMNS($AN$1006:AO1006),$AN$1006:$BO$1006,0))&gt;=100000), " ",IF(INDEX($AN$2:$BO$1001,MATCH(ROWS($AG$2:AG718),$AG$2:$AG$1001,0),MATCH(COLUMNS($AN$1006:AO1006),$AN$1006:$BO$1006,0)), HYPERLINK("#",""), HYPERLINK(CONCATENATE("#Metadata!", ADDRESS(INDEX($AI$2:$AI$1001,MATCH(ROWS($AG$2:AG718),$AG$2:$AG$1001,0),0), INDEX($AN$1004:$BO$1004,1,MATCH(COLUMNS($AN$1006:AO1006),$AN$1006:$BO$1006,0)))),"Fix")))</f>
        <v>0</v>
      </c>
      <c r="D718" s="4">
        <f>IF(OR(INDEX($AH$2:$AH$1001,MATCH(ROWS($AG$2:AG718),$AG$2:$AG$1001,0),1)&gt;=100000,INDEX($AN$1005:$BO$1005,1,MATCH(COLUMNS($AN$1006:AP1006),$AN$1006:$BO$1006,0))&gt;=100000), " ",IF(INDEX($AN$2:$BO$1001,MATCH(ROWS($AG$2:AG718),$AG$2:$AG$1001,0),MATCH(COLUMNS($AN$1006:AP1006),$AN$1006:$BO$1006,0)), HYPERLINK("#",""), HYPERLINK(CONCATENATE("#Metadata!", ADDRESS(INDEX($AI$2:$AI$1001,MATCH(ROWS($AG$2:AG718),$AG$2:$AG$1001,0),0), INDEX($AN$1004:$BO$1004,1,MATCH(COLUMNS($AN$1006:AP1006),$AN$1006:$BO$1006,0)))),"Fix")))</f>
        <v>0</v>
      </c>
      <c r="E718" s="4">
        <f>IF(OR(INDEX($AH$2:$AH$1001,MATCH(ROWS($AG$2:AG718),$AG$2:$AG$1001,0),1)&gt;=100000,INDEX($AN$1005:$BO$1005,1,MATCH(COLUMNS($AN$1006:AQ1006),$AN$1006:$BO$1006,0))&gt;=100000), " ",IF(INDEX($AN$2:$BO$1001,MATCH(ROWS($AG$2:AG718),$AG$2:$AG$1001,0),MATCH(COLUMNS($AN$1006:AQ1006),$AN$1006:$BO$1006,0)), HYPERLINK("#",""), HYPERLINK(CONCATENATE("#Metadata!", ADDRESS(INDEX($AI$2:$AI$1001,MATCH(ROWS($AG$2:AG718),$AG$2:$AG$1001,0),0), INDEX($AN$1004:$BO$1004,1,MATCH(COLUMNS($AN$1006:AQ1006),$AN$1006:$BO$1006,0)))),"Fix")))</f>
        <v>0</v>
      </c>
      <c r="F718" s="4">
        <f>IF(OR(INDEX($AH$2:$AH$1001,MATCH(ROWS($AG$2:AG718),$AG$2:$AG$1001,0),1)&gt;=100000,INDEX($AN$1005:$BO$1005,1,MATCH(COLUMNS($AN$1006:AR1006),$AN$1006:$BO$1006,0))&gt;=100000), " ",IF(INDEX($AN$2:$BO$1001,MATCH(ROWS($AG$2:AG718),$AG$2:$AG$1001,0),MATCH(COLUMNS($AN$1006:AR1006),$AN$1006:$BO$1006,0)), HYPERLINK("#",""), HYPERLINK(CONCATENATE("#Metadata!", ADDRESS(INDEX($AI$2:$AI$1001,MATCH(ROWS($AG$2:AG718),$AG$2:$AG$1001,0),0), INDEX($AN$1004:$BO$1004,1,MATCH(COLUMNS($AN$1006:AR1006),$AN$1006:$BO$1006,0)))),"Fix")))</f>
        <v>0</v>
      </c>
      <c r="G718" s="4">
        <f>IF(OR(INDEX($AH$2:$AH$1001,MATCH(ROWS($AG$2:AG718),$AG$2:$AG$1001,0),1)&gt;=100000,INDEX($AN$1005:$BO$1005,1,MATCH(COLUMNS($AN$1006:AS1006),$AN$1006:$BO$1006,0))&gt;=100000), " ",IF(INDEX($AN$2:$BO$1001,MATCH(ROWS($AG$2:AG718),$AG$2:$AG$1001,0),MATCH(COLUMNS($AN$1006:AS1006),$AN$1006:$BO$1006,0)), HYPERLINK("#",""), HYPERLINK(CONCATENATE("#Metadata!", ADDRESS(INDEX($AI$2:$AI$1001,MATCH(ROWS($AG$2:AG718),$AG$2:$AG$1001,0),0), INDEX($AN$1004:$BO$1004,1,MATCH(COLUMNS($AN$1006:AS1006),$AN$1006:$BO$1006,0)))),"Fix")))</f>
        <v>0</v>
      </c>
      <c r="H718" s="4">
        <f>IF(OR(INDEX($AH$2:$AH$1001,MATCH(ROWS($AG$2:AG718),$AG$2:$AG$1001,0),1)&gt;=100000,INDEX($AN$1005:$BO$1005,1,MATCH(COLUMNS($AN$1006:AT1006),$AN$1006:$BO$1006,0))&gt;=100000), " ",IF(INDEX($AN$2:$BO$1001,MATCH(ROWS($AG$2:AG718),$AG$2:$AG$1001,0),MATCH(COLUMNS($AN$1006:AT1006),$AN$1006:$BO$1006,0)), HYPERLINK("#",""), HYPERLINK(CONCATENATE("#Metadata!", ADDRESS(INDEX($AI$2:$AI$1001,MATCH(ROWS($AG$2:AG718),$AG$2:$AG$1001,0),0), INDEX($AN$1004:$BO$1004,1,MATCH(COLUMNS($AN$1006:AT1006),$AN$1006:$BO$1006,0)))),"Fix")))</f>
        <v>0</v>
      </c>
      <c r="I718" s="4">
        <f>IF(OR(INDEX($AH$2:$AH$1001,MATCH(ROWS($AG$2:AG718),$AG$2:$AG$1001,0),1)&gt;=100000,INDEX($AN$1005:$BO$1005,1,MATCH(COLUMNS($AN$1006:AU1006),$AN$1006:$BO$1006,0))&gt;=100000), " ",IF(INDEX($AN$2:$BO$1001,MATCH(ROWS($AG$2:AG718),$AG$2:$AG$1001,0),MATCH(COLUMNS($AN$1006:AU1006),$AN$1006:$BO$1006,0)), HYPERLINK("#",""), HYPERLINK(CONCATENATE("#Metadata!", ADDRESS(INDEX($AI$2:$AI$1001,MATCH(ROWS($AG$2:AG718),$AG$2:$AG$1001,0),0), INDEX($AN$1004:$BO$1004,1,MATCH(COLUMNS($AN$1006:AU1006),$AN$1006:$BO$1006,0)))),"Fix")))</f>
        <v>0</v>
      </c>
      <c r="J718" s="4">
        <f>IF(OR(INDEX($AH$2:$AH$1001,MATCH(ROWS($AG$2:AG718),$AG$2:$AG$1001,0),1)&gt;=100000,INDEX($AN$1005:$BO$1005,1,MATCH(COLUMNS($AN$1006:AV1006),$AN$1006:$BO$1006,0))&gt;=100000), " ",IF(INDEX($AN$2:$BO$1001,MATCH(ROWS($AG$2:AG718),$AG$2:$AG$1001,0),MATCH(COLUMNS($AN$1006:AV1006),$AN$1006:$BO$1006,0)), HYPERLINK("#",""), HYPERLINK(CONCATENATE("#Metadata!", ADDRESS(INDEX($AI$2:$AI$1001,MATCH(ROWS($AG$2:AG718),$AG$2:$AG$1001,0),0), INDEX($AN$1004:$BO$1004,1,MATCH(COLUMNS($AN$1006:AV1006),$AN$1006:$BO$1006,0)))),"Fix")))</f>
        <v>0</v>
      </c>
      <c r="K718" s="4">
        <f>IF(OR(INDEX($AH$2:$AH$1001,MATCH(ROWS($AG$2:AG718),$AG$2:$AG$1001,0),1)&gt;=100000,INDEX($AN$1005:$BO$1005,1,MATCH(COLUMNS($AN$1006:AW1006),$AN$1006:$BO$1006,0))&gt;=100000), " ",IF(INDEX($AN$2:$BO$1001,MATCH(ROWS($AG$2:AG718),$AG$2:$AG$1001,0),MATCH(COLUMNS($AN$1006:AW1006),$AN$1006:$BO$1006,0)), HYPERLINK("#",""), HYPERLINK(CONCATENATE("#Metadata!", ADDRESS(INDEX($AI$2:$AI$1001,MATCH(ROWS($AG$2:AG718),$AG$2:$AG$1001,0),0), INDEX($AN$1004:$BO$1004,1,MATCH(COLUMNS($AN$1006:AW1006),$AN$1006:$BO$1006,0)))),"Fix")))</f>
        <v>0</v>
      </c>
      <c r="L718" s="4">
        <f>IF(OR(INDEX($AH$2:$AH$1001,MATCH(ROWS($AG$2:AG718),$AG$2:$AG$1001,0),1)&gt;=100000,INDEX($AN$1005:$BO$1005,1,MATCH(COLUMNS($AN$1006:AX1006),$AN$1006:$BO$1006,0))&gt;=100000), " ",IF(INDEX($AN$2:$BO$1001,MATCH(ROWS($AG$2:AG718),$AG$2:$AG$1001,0),MATCH(COLUMNS($AN$1006:AX1006),$AN$1006:$BO$1006,0)), HYPERLINK("#",""), HYPERLINK(CONCATENATE("#Metadata!", ADDRESS(INDEX($AI$2:$AI$1001,MATCH(ROWS($AG$2:AG718),$AG$2:$AG$1001,0),0), INDEX($AN$1004:$BO$1004,1,MATCH(COLUMNS($AN$1006:AX1006),$AN$1006:$BO$1006,0)))),"Fix")))</f>
        <v>0</v>
      </c>
      <c r="M718" s="4">
        <f>IF(OR(INDEX($AH$2:$AH$1001,MATCH(ROWS($AG$2:AG718),$AG$2:$AG$1001,0),1)&gt;=100000,INDEX($AN$1005:$BO$1005,1,MATCH(COLUMNS($AN$1006:AY1006),$AN$1006:$BO$1006,0))&gt;=100000), " ",IF(INDEX($AN$2:$BO$1001,MATCH(ROWS($AG$2:AG718),$AG$2:$AG$1001,0),MATCH(COLUMNS($AN$1006:AY1006),$AN$1006:$BO$1006,0)), HYPERLINK("#",""), HYPERLINK(CONCATENATE("#Metadata!", ADDRESS(INDEX($AI$2:$AI$1001,MATCH(ROWS($AG$2:AG718),$AG$2:$AG$1001,0),0), INDEX($AN$1004:$BO$1004,1,MATCH(COLUMNS($AN$1006:AY1006),$AN$1006:$BO$1006,0)))),"Fix")))</f>
        <v>0</v>
      </c>
      <c r="N718" s="4">
        <f>IF(OR(INDEX($AH$2:$AH$1001,MATCH(ROWS($AG$2:AG718),$AG$2:$AG$1001,0),1)&gt;=100000,INDEX($AN$1005:$BO$1005,1,MATCH(COLUMNS($AN$1006:AZ1006),$AN$1006:$BO$1006,0))&gt;=100000), " ",IF(INDEX($AN$2:$BO$1001,MATCH(ROWS($AG$2:AG718),$AG$2:$AG$1001,0),MATCH(COLUMNS($AN$1006:AZ1006),$AN$1006:$BO$1006,0)), HYPERLINK("#",""), HYPERLINK(CONCATENATE("#Metadata!", ADDRESS(INDEX($AI$2:$AI$1001,MATCH(ROWS($AG$2:AG718),$AG$2:$AG$1001,0),0), INDEX($AN$1004:$BO$1004,1,MATCH(COLUMNS($AN$1006:AZ1006),$AN$1006:$BO$1006,0)))),"Fix")))</f>
        <v>0</v>
      </c>
      <c r="O718" s="4">
        <f>IF(OR(INDEX($AH$2:$AH$1001,MATCH(ROWS($AG$2:AG718),$AG$2:$AG$1001,0),1)&gt;=100000,INDEX($AN$1005:$BO$1005,1,MATCH(COLUMNS($AN$1006:BA1006),$AN$1006:$BO$1006,0))&gt;=100000), " ",IF(INDEX($AN$2:$BO$1001,MATCH(ROWS($AG$2:AG718),$AG$2:$AG$1001,0),MATCH(COLUMNS($AN$1006:BA1006),$AN$1006:$BO$1006,0)), HYPERLINK("#",""), HYPERLINK(CONCATENATE("#Metadata!", ADDRESS(INDEX($AI$2:$AI$1001,MATCH(ROWS($AG$2:AG718),$AG$2:$AG$1001,0),0), INDEX($AN$1004:$BO$1004,1,MATCH(COLUMNS($AN$1006:BA1006),$AN$1006:$BO$1006,0)))),"Fix")))</f>
        <v>0</v>
      </c>
      <c r="P718" s="4">
        <f>IF(OR(INDEX($AH$2:$AH$1001,MATCH(ROWS($AG$2:AG718),$AG$2:$AG$1001,0),1)&gt;=100000,INDEX($AN$1005:$BO$1005,1,MATCH(COLUMNS($AN$1006:BB1006),$AN$1006:$BO$1006,0))&gt;=100000), " ",IF(INDEX($AN$2:$BO$1001,MATCH(ROWS($AG$2:AG718),$AG$2:$AG$1001,0),MATCH(COLUMNS($AN$1006:BB1006),$AN$1006:$BO$1006,0)), HYPERLINK("#",""), HYPERLINK(CONCATENATE("#Metadata!", ADDRESS(INDEX($AI$2:$AI$1001,MATCH(ROWS($AG$2:AG718),$AG$2:$AG$1001,0),0), INDEX($AN$1004:$BO$1004,1,MATCH(COLUMNS($AN$1006:BB1006),$AN$1006:$BO$1006,0)))),"Fix")))</f>
        <v>0</v>
      </c>
      <c r="Q718" s="4">
        <f>IF(OR(INDEX($AH$2:$AH$1001,MATCH(ROWS($AG$2:AG718),$AG$2:$AG$1001,0),1)&gt;=100000,INDEX($AN$1005:$BO$1005,1,MATCH(COLUMNS($AN$1006:BC1006),$AN$1006:$BO$1006,0))&gt;=100000), " ",IF(INDEX($AN$2:$BO$1001,MATCH(ROWS($AG$2:AG718),$AG$2:$AG$1001,0),MATCH(COLUMNS($AN$1006:BC1006),$AN$1006:$BO$1006,0)), HYPERLINK("#",""), HYPERLINK(CONCATENATE("#Metadata!", ADDRESS(INDEX($AI$2:$AI$1001,MATCH(ROWS($AG$2:AG718),$AG$2:$AG$1001,0),0), INDEX($AN$1004:$BO$1004,1,MATCH(COLUMNS($AN$1006:BC1006),$AN$1006:$BO$1006,0)))),"Fix")))</f>
        <v>0</v>
      </c>
      <c r="R718" s="4">
        <f>IF(OR(INDEX($AH$2:$AH$1001,MATCH(ROWS($AG$2:AG718),$AG$2:$AG$1001,0),1)&gt;=100000,INDEX($AN$1005:$BO$1005,1,MATCH(COLUMNS($AN$1006:BD1006),$AN$1006:$BO$1006,0))&gt;=100000), " ",IF(INDEX($AN$2:$BO$1001,MATCH(ROWS($AG$2:AG718),$AG$2:$AG$1001,0),MATCH(COLUMNS($AN$1006:BD1006),$AN$1006:$BO$1006,0)), HYPERLINK("#",""), HYPERLINK(CONCATENATE("#Metadata!", ADDRESS(INDEX($AI$2:$AI$1001,MATCH(ROWS($AG$2:AG718),$AG$2:$AG$1001,0),0), INDEX($AN$1004:$BO$1004,1,MATCH(COLUMNS($AN$1006:BD1006),$AN$1006:$BO$1006,0)))),"Fix")))</f>
        <v>0</v>
      </c>
      <c r="S718" s="4">
        <f>IF(OR(INDEX($AH$2:$AH$1001,MATCH(ROWS($AG$2:AG718),$AG$2:$AG$1001,0),1)&gt;=100000,INDEX($AN$1005:$BO$1005,1,MATCH(COLUMNS($AN$1006:BE1006),$AN$1006:$BO$1006,0))&gt;=100000), " ",IF(INDEX($AN$2:$BO$1001,MATCH(ROWS($AG$2:AG718),$AG$2:$AG$1001,0),MATCH(COLUMNS($AN$1006:BE1006),$AN$1006:$BO$1006,0)), HYPERLINK("#",""), HYPERLINK(CONCATENATE("#Metadata!", ADDRESS(INDEX($AI$2:$AI$1001,MATCH(ROWS($AG$2:AG718),$AG$2:$AG$1001,0),0), INDEX($AN$1004:$BO$1004,1,MATCH(COLUMNS($AN$1006:BE1006),$AN$1006:$BO$1006,0)))),"Fix")))</f>
        <v>0</v>
      </c>
      <c r="T718" s="4">
        <f>IF(OR(INDEX($AH$2:$AH$1001,MATCH(ROWS($AG$2:AG718),$AG$2:$AG$1001,0),1)&gt;=100000,INDEX($AN$1005:$BO$1005,1,MATCH(COLUMNS($AN$1006:BF1006),$AN$1006:$BO$1006,0))&gt;=100000), " ",IF(INDEX($AN$2:$BO$1001,MATCH(ROWS($AG$2:AG718),$AG$2:$AG$1001,0),MATCH(COLUMNS($AN$1006:BF1006),$AN$1006:$BO$1006,0)), HYPERLINK("#",""), HYPERLINK(CONCATENATE("#Metadata!", ADDRESS(INDEX($AI$2:$AI$1001,MATCH(ROWS($AG$2:AG718),$AG$2:$AG$1001,0),0), INDEX($AN$1004:$BO$1004,1,MATCH(COLUMNS($AN$1006:BF1006),$AN$1006:$BO$1006,0)))),"Fix")))</f>
        <v>0</v>
      </c>
      <c r="U718" s="4">
        <f>IF(OR(INDEX($AH$2:$AH$1001,MATCH(ROWS($AG$2:AG718),$AG$2:$AG$1001,0),1)&gt;=100000,INDEX($AN$1005:$BO$1005,1,MATCH(COLUMNS($AN$1006:BG1006),$AN$1006:$BO$1006,0))&gt;=100000), " ",IF(INDEX($AN$2:$BO$1001,MATCH(ROWS($AG$2:AG718),$AG$2:$AG$1001,0),MATCH(COLUMNS($AN$1006:BG1006),$AN$1006:$BO$1006,0)), HYPERLINK("#",""), HYPERLINK(CONCATENATE("#Metadata!", ADDRESS(INDEX($AI$2:$AI$1001,MATCH(ROWS($AG$2:AG718),$AG$2:$AG$1001,0),0), INDEX($AN$1004:$BO$1004,1,MATCH(COLUMNS($AN$1006:BG1006),$AN$1006:$BO$1006,0)))),"Fix")))</f>
        <v>0</v>
      </c>
      <c r="V718" s="4">
        <f>IF(OR(INDEX($AH$2:$AH$1001,MATCH(ROWS($AG$2:AG718),$AG$2:$AG$1001,0),1)&gt;=100000,INDEX($AN$1005:$BO$1005,1,MATCH(COLUMNS($AN$1006:BH1006),$AN$1006:$BO$1006,0))&gt;=100000), " ",IF(INDEX($AN$2:$BO$1001,MATCH(ROWS($AG$2:AG718),$AG$2:$AG$1001,0),MATCH(COLUMNS($AN$1006:BH1006),$AN$1006:$BO$1006,0)), HYPERLINK("#",""), HYPERLINK(CONCATENATE("#Metadata!", ADDRESS(INDEX($AI$2:$AI$1001,MATCH(ROWS($AG$2:AG718),$AG$2:$AG$1001,0),0), INDEX($AN$1004:$BO$1004,1,MATCH(COLUMNS($AN$1006:BH1006),$AN$1006:$BO$1006,0)))),"Fix")))</f>
        <v>0</v>
      </c>
      <c r="W718" s="4">
        <f>IF(OR(INDEX($AH$2:$AH$1001,MATCH(ROWS($AG$2:AG718),$AG$2:$AG$1001,0),1)&gt;=100000,INDEX($AN$1005:$BO$1005,1,MATCH(COLUMNS($AN$1006:BI1006),$AN$1006:$BO$1006,0))&gt;=100000), " ",IF(INDEX($AN$2:$BO$1001,MATCH(ROWS($AG$2:AG718),$AG$2:$AG$1001,0),MATCH(COLUMNS($AN$1006:BI1006),$AN$1006:$BO$1006,0)), HYPERLINK("#",""), HYPERLINK(CONCATENATE("#Metadata!", ADDRESS(INDEX($AI$2:$AI$1001,MATCH(ROWS($AG$2:AG718),$AG$2:$AG$1001,0),0), INDEX($AN$1004:$BO$1004,1,MATCH(COLUMNS($AN$1006:BI1006),$AN$1006:$BO$1006,0)))),"Fix")))</f>
        <v>0</v>
      </c>
      <c r="X718" s="4">
        <f>IF(OR(INDEX($AH$2:$AH$1001,MATCH(ROWS($AG$2:AG718),$AG$2:$AG$1001,0),1)&gt;=100000,INDEX($AN$1005:$BO$1005,1,MATCH(COLUMNS($AN$1006:BJ1006),$AN$1006:$BO$1006,0))&gt;=100000), " ",IF(INDEX($AN$2:$BO$1001,MATCH(ROWS($AG$2:AG718),$AG$2:$AG$1001,0),MATCH(COLUMNS($AN$1006:BJ1006),$AN$1006:$BO$1006,0)), HYPERLINK("#",""), HYPERLINK(CONCATENATE("#Metadata!", ADDRESS(INDEX($AI$2:$AI$1001,MATCH(ROWS($AG$2:AG718),$AG$2:$AG$1001,0),0), INDEX($AN$1004:$BO$1004,1,MATCH(COLUMNS($AN$1006:BJ1006),$AN$1006:$BO$1006,0)))),"Fix")))</f>
        <v>0</v>
      </c>
      <c r="Y718" s="4">
        <f>IF(OR(INDEX($AH$2:$AH$1001,MATCH(ROWS($AG$2:AG718),$AG$2:$AG$1001,0),1)&gt;=100000,INDEX($AN$1005:$BO$1005,1,MATCH(COLUMNS($AN$1006:BK1006),$AN$1006:$BO$1006,0))&gt;=100000), " ",IF(INDEX($AN$2:$BO$1001,MATCH(ROWS($AG$2:AG718),$AG$2:$AG$1001,0),MATCH(COLUMNS($AN$1006:BK1006),$AN$1006:$BO$1006,0)), HYPERLINK("#",""), HYPERLINK(CONCATENATE("#Metadata!", ADDRESS(INDEX($AI$2:$AI$1001,MATCH(ROWS($AG$2:AG718),$AG$2:$AG$1001,0),0), INDEX($AN$1004:$BO$1004,1,MATCH(COLUMNS($AN$1006:BK1006),$AN$1006:$BO$1006,0)))),"Fix")))</f>
        <v>0</v>
      </c>
      <c r="Z718" s="4">
        <f>IF(OR(INDEX($AH$2:$AH$1001,MATCH(ROWS($AG$2:AG718),$AG$2:$AG$1001,0),1)&gt;=100000,INDEX($AN$1005:$BO$1005,1,MATCH(COLUMNS($AN$1006:BL1006),$AN$1006:$BO$1006,0))&gt;=100000), " ",IF(INDEX($AN$2:$BO$1001,MATCH(ROWS($AG$2:AG718),$AG$2:$AG$1001,0),MATCH(COLUMNS($AN$1006:BL1006),$AN$1006:$BO$1006,0)), HYPERLINK("#",""), HYPERLINK(CONCATENATE("#Metadata!", ADDRESS(INDEX($AI$2:$AI$1001,MATCH(ROWS($AG$2:AG718),$AG$2:$AG$1001,0),0), INDEX($AN$1004:$BO$1004,1,MATCH(COLUMNS($AN$1006:BL1006),$AN$1006:$BO$1006,0)))),"Fix")))</f>
        <v>0</v>
      </c>
      <c r="AA718" s="4">
        <f>IF(OR(INDEX($AH$2:$AH$1001,MATCH(ROWS($AG$2:AG718),$AG$2:$AG$1001,0),1)&gt;=100000,INDEX($AN$1005:$BO$1005,1,MATCH(COLUMNS($AN$1006:BM1006),$AN$1006:$BO$1006,0))&gt;=100000), " ",IF(INDEX($AN$2:$BO$1001,MATCH(ROWS($AG$2:AG718),$AG$2:$AG$1001,0),MATCH(COLUMNS($AN$1006:BM1006),$AN$1006:$BO$1006,0)), HYPERLINK("#",""), HYPERLINK(CONCATENATE("#Metadata!", ADDRESS(INDEX($AI$2:$AI$1001,MATCH(ROWS($AG$2:AG718),$AG$2:$AG$1001,0),0), INDEX($AN$1004:$BO$1004,1,MATCH(COLUMNS($AN$1006:BM1006),$AN$1006:$BO$1006,0)))),"Fix")))</f>
        <v>0</v>
      </c>
      <c r="AB718" s="4">
        <f>IF(OR(INDEX($AH$2:$AH$1001,MATCH(ROWS($AG$2:AG718),$AG$2:$AG$1001,0),1)&gt;=100000,INDEX($AN$1005:$BO$1005,1,MATCH(COLUMNS($AN$1006:BN1006),$AN$1006:$BO$1006,0))&gt;=100000), " ",IF(INDEX($AN$2:$BO$1001,MATCH(ROWS($AG$2:AG718),$AG$2:$AG$1001,0),MATCH(COLUMNS($AN$1006:BN1006),$AN$1006:$BO$1006,0)), HYPERLINK("#",""), HYPERLINK(CONCATENATE("#Metadata!", ADDRESS(INDEX($AI$2:$AI$1001,MATCH(ROWS($AG$2:AG718),$AG$2:$AG$1001,0),0), INDEX($AN$1004:$BO$1004,1,MATCH(COLUMNS($AN$1006:BN1006),$AN$1006:$BO$1006,0)))),"Fix")))</f>
        <v>0</v>
      </c>
      <c r="AC718" s="4">
        <f>IF(OR(INDEX($AH$2:$AH$1001,MATCH(ROWS($AG$2:AG718),$AG$2:$AG$1001,0),1)&gt;=100000,INDEX($AN$1005:$BO$1005,1,MATCH(COLUMNS($AN$1006:BO1006),$AN$1006:$BO$1006,0))&gt;=100000), " ",IF(INDEX($AN$2:$BO$1001,MATCH(ROWS($AG$2:AG718),$AG$2:$AG$1001,0),MATCH(COLUMNS($AN$1006:BO1006),$AN$1006:$BO$1006,0)), HYPERLINK("#",""), HYPERLINK(CONCATENATE("#Metadata!", ADDRESS(INDEX($AI$2:$AI$1001,MATCH(ROWS($AG$2:AG718),$AG$2:$AG$1001,0),0), INDEX($AN$1004:$BO$1004,1,MATCH(COLUMNS($AN$1006:BO1006),$AN$1006:$BO$1006,0)))),"Fix")))</f>
        <v>0</v>
      </c>
      <c r="AG718">
        <v>0</v>
      </c>
      <c r="AH718">
        <v>0</v>
      </c>
      <c r="AI718">
        <v>0</v>
      </c>
      <c r="AJ718">
        <f>IF(AK718,TRUE,AND(AN718:BO718))</f>
        <v>0</v>
      </c>
      <c r="AK718">
        <f>COUNTBLANK(Metadata!B718:AC718)=COLUMNS(Metadata!B718:AC718)</f>
        <v>0</v>
      </c>
      <c r="AL718">
        <v>0</v>
      </c>
      <c r="AN718">
        <f>AND(IF(Metadata!B718="",FALSE,TRUE),COUNTIF(Metadata!B:B, Metadata!B718) = 1,NOT(ISERROR(SUMPRODUCT(SEARCH(MID(Metadata!B718,ROW(INDIRECT("1:"&amp;LEN(Metadata!B718))), 1),"0123456789abcdefghijklmnopqrstuvwxyzABCDEFGHIJKLMNOPQRSTUVWXYZ.")))))</f>
        <v>0</v>
      </c>
      <c r="AO718">
        <f>IF(Metadata!C718="",FALSE,TRUE)</f>
        <v>0</v>
      </c>
      <c r="AP718">
        <f>IF(Metadata!D718="",FALSE,TRUE)</f>
        <v>0</v>
      </c>
      <c r="AQ718">
        <f>OR(AND(IF(Metadata!E718="",FALSE,TRUE),OR(exact(Metadata!E718,"not collected"),exact(Metadata!E718,"not provided"),exact(Metadata!E718,"restricted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R718">
        <f>IF(Metadata!F718="",FALSE,TRUE)</f>
        <v>0</v>
      </c>
      <c r="AS718">
        <f>OR(AND(IF(Metadata!G718="",FALSE,TRUE),OR(exact(Metadata!G718,"not collected"),exact(Metadata!G718,"not provided"))),AND(IF(Metadata!G718="",FALSE,TRUE),OR(exact(Metadata!G718,"TRUE"),exact(Metadata!G718,"FALSE"))))</f>
        <v>0</v>
      </c>
      <c r="AT718">
        <f>OR(AND(IF(Metadata!H718="",FALSE,TRUE),OR(exact(Metadata!H718,"not collected"),exact(Metadata!H718,"not provided"),exact(Metadata!H718,"restricted access"))),AND(IF(Metadata!H718="",FALSE,ISNUMBER(VALUE(Metadata!H718))),Metadata!H718&gt;=-413.0))</f>
        <v>0</v>
      </c>
      <c r="AU718">
        <f>AND(IF(Metadata!I718="",FALSE,TRUE),exact(Metadata!I718,"meters"))</f>
        <v>0</v>
      </c>
      <c r="AV718">
        <f>AND(IF(Metadata!J718="",FALSE,TRUE),OR(exact(Metadata!J718,"Host-associated"),exact(Metadata!J718,"Free-living")))</f>
        <v>0</v>
      </c>
      <c r="AW718">
        <f>AND(IF(Metadata!K718="",FALSE,TRUE),OR(exact(Metadata!K718,"Animal"),exact(Metadata!K718,"Fungus"),exact(Metadata!K718,"Plant"),exact(Metadata!K718,"Saline"),exact(Metadata!K718,"Non-saline")))</f>
        <v>0</v>
      </c>
      <c r="AX718">
        <f>AND(IF(Metadata!L718="",FALSE,TRUE),OR(exact(Metadata!L718,"Plant secretion"),exact(Metadata!L718,"Plant rhizosphere"),exact(Metadata!L718,"Plant surface"),exact(Metadata!L718,"Plant corpus"),exact(Metadata!L718,"Fungus surface"),exact(Metadata!L718,"Fungus corpus"),exact(Metadata!L718,"Animal surface"),exact(Metadata!L718,"Animal proximal gut"),exact(Metadata!L718,"Animal corpus"),exact(Metadata!L718,"Animal distal gut"),exact(Metadata!L718,"Animal secretion"),exact(Metadata!L718,"Sub-surface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Y718">
        <f>IF(Metadata!M718="",FALSE,TRUE)</f>
        <v>0</v>
      </c>
      <c r="AZ718">
        <f>IF(Metadata!N718="",FALSE,TRUE)</f>
        <v>0</v>
      </c>
      <c r="BA718">
        <f>IF(Metadata!O718="",FALSE,TRUE)</f>
        <v>0</v>
      </c>
      <c r="BB718">
        <f>OR(AND(IF(Metadata!P718="",FALSE,TRUE),OR(exact(Metadata!P718,"not collected"),exact(Metadata!P718,"not provided"),exact(Metadata!P718,"restricted access"))),AND(IF(Metadata!P718="",FALSE,TRUE),OR(exact(Metadata!P718,"air"),exact(Metadata!P718,"built environment"),exact(Metadata!P718,"host-associated"),exact(Metadata!P718,"human-associated"),exact(Metadata!P718,"human-skin"),exact(Metadata!P718,"human-oral"),exact(Metadata!P718,"human-gut"),exact(Metadata!P718,"human-vaginal"),exact(Metadata!P718,"microbial mat/biofilm"),exact(Metadata!P718,"misc environment"),exact(Metadata!P718,"plant-associated"),exact(Metadata!P718,"sediment"),exact(Metadata!P718,"soil"),exact(Metadata!P718,"wastewater/sludge"),exact(Metadata!P718,"water"))))</f>
        <v>0</v>
      </c>
      <c r="BC718">
        <f>IF(Metadata!Q718="",FALSE,TRUE)</f>
        <v>0</v>
      </c>
      <c r="BD718">
        <f>IF(Metadata!R718="",FALSE,TRUE)</f>
        <v>0</v>
      </c>
      <c r="BE718">
        <f>OR(AND(IF(Metadata!S718="",FALSE,TRUE),OR(exact(Metadata!S718,"not collected"),exact(Metadata!S718,"not provided"),exact(Metadata!S718,"restricted access"))),AND(IF(Metadata!S718="",FALSE,ISNUMBER(VALUE(Metadata!S718))),Metadata!S718&gt;=-90.00,Metadata!S718&lt;=90.00))</f>
        <v>0</v>
      </c>
      <c r="BF718">
        <f>AND(IF(Metadata!T718="",FALSE,TRUE),exact(Metadata!T718,"Decimal degrees"))</f>
        <v>0</v>
      </c>
      <c r="BG718">
        <f>OR(AND(IF(Metadata!U718="",FALSE,TRUE),OR(exact(Metadata!U718,"not collected"),exact(Metadata!U718,"not provided"),exact(Metadata!U718,"restricted access"))),AND(IF(Metadata!U718="",FALSE,ISNUMBER(VALUE(Metadata!U718))),Metadata!U718&gt;=-180.00,Metadata!U718&lt;=180.00))</f>
        <v>0</v>
      </c>
      <c r="BH718">
        <f>AND(IF(Metadata!V718="",FALSE,TRUE),exact(Metadata!V718,"Decimal degrees"))</f>
        <v>0</v>
      </c>
      <c r="BI718">
        <f>IF(Metadata!W718="",FALSE,TRUE)</f>
        <v>0</v>
      </c>
      <c r="BJ718">
        <f>OR(AND(IF(Metadata!X718="",FALSE,TRUE),OR(exact(Metadata!X718,"not collected"),exact(Metadata!X718,"not provided"),exact(Metadata!X718,"restricted access"))),AND(IF(Metadata!X718="",FALSE,TRUE),OR(exact(Metadata!X718,"TRUE"),exact(Metadata!X718,"FALSE"))))</f>
        <v>0</v>
      </c>
      <c r="BK718">
        <f>AND(IF(Metadata!Y718="",FALSE,TRUE),exact(Metadata!Y718,"other"))</f>
        <v>0</v>
      </c>
      <c r="BL718">
        <f>IF(Metadata!Z718="",FALSE,TRUE)</f>
        <v>0</v>
      </c>
      <c r="BM718">
        <f>OR(AND(IF(Metadata!AA718="",FALSE,TRUE),OR(exact(Metadata!AA718,"not collected"),exact(Metadata!AA718,"not provided"))),AND(IF(Metadata!AA718="",FALSE,IF(ISERROR(INT(Metadata!AA718)),FALSE,INT(Metadata!AA718)=Metadata!AA718)),Metadata!AA718&gt;0))</f>
        <v>0</v>
      </c>
      <c r="BN718">
        <f>AND(IF(Metadata!AB718="",FALSE,TRUE),exact(Metadata!AB718,"Not applicable"))</f>
        <v>0</v>
      </c>
      <c r="BO718">
        <f>IF(Metadata!AC718="",FALSE,TRUE)</f>
        <v>0</v>
      </c>
    </row>
    <row r="719" spans="1:67">
      <c r="A719" s="5">
        <f>IF(B719=" "," ",HYPERLINK(CONCATENATE("#metadata!",ADDRESS(INDEX($AI$2:$AI$1001,MATCH(ROWS($AG$2:AG719),$AG$2:$AG$1001,0),0),1)),INDEX($AL$2:$AL$1001,MATCH(ROWS($AG$2:AG719),$AG$2:$AG$1001,0),0)))</f>
        <v>0</v>
      </c>
      <c r="B719" s="4">
        <f>IF(OR(INDEX($AH$2:$AH$1001,MATCH(ROWS($AG$2:AG719),$AG$2:$AG$1001,0),1)&gt;=100000,INDEX($AN$1005:$BO$1005,1,MATCH(COLUMNS($AN$1006:AN1006),$AN$1006:$BO$1006,0))&gt;=100000), " ",IF(INDEX($AN$2:$BO$1001,MATCH(ROWS($AG$2:AG719),$AG$2:$AG$1001,0),MATCH(COLUMNS($AN$1006:AN1006),$AN$1006:$BO$1006,0)), HYPERLINK("#",""), HYPERLINK(CONCATENATE("#Metadata!", ADDRESS(INDEX($AI$2:$AI$1001,MATCH(ROWS($AG$2:AG719),$AG$2:$AG$1001,0),0), INDEX($AN$1004:$BO$1004,1,MATCH(COLUMNS($AN$1006:AN1006),$AN$1006:$BO$1006,0)))),"Fix")))</f>
        <v>0</v>
      </c>
      <c r="C719" s="4">
        <f>IF(OR(INDEX($AH$2:$AH$1001,MATCH(ROWS($AG$2:AG719),$AG$2:$AG$1001,0),1)&gt;=100000,INDEX($AN$1005:$BO$1005,1,MATCH(COLUMNS($AN$1006:AO1006),$AN$1006:$BO$1006,0))&gt;=100000), " ",IF(INDEX($AN$2:$BO$1001,MATCH(ROWS($AG$2:AG719),$AG$2:$AG$1001,0),MATCH(COLUMNS($AN$1006:AO1006),$AN$1006:$BO$1006,0)), HYPERLINK("#",""), HYPERLINK(CONCATENATE("#Metadata!", ADDRESS(INDEX($AI$2:$AI$1001,MATCH(ROWS($AG$2:AG719),$AG$2:$AG$1001,0),0), INDEX($AN$1004:$BO$1004,1,MATCH(COLUMNS($AN$1006:AO1006),$AN$1006:$BO$1006,0)))),"Fix")))</f>
        <v>0</v>
      </c>
      <c r="D719" s="4">
        <f>IF(OR(INDEX($AH$2:$AH$1001,MATCH(ROWS($AG$2:AG719),$AG$2:$AG$1001,0),1)&gt;=100000,INDEX($AN$1005:$BO$1005,1,MATCH(COLUMNS($AN$1006:AP1006),$AN$1006:$BO$1006,0))&gt;=100000), " ",IF(INDEX($AN$2:$BO$1001,MATCH(ROWS($AG$2:AG719),$AG$2:$AG$1001,0),MATCH(COLUMNS($AN$1006:AP1006),$AN$1006:$BO$1006,0)), HYPERLINK("#",""), HYPERLINK(CONCATENATE("#Metadata!", ADDRESS(INDEX($AI$2:$AI$1001,MATCH(ROWS($AG$2:AG719),$AG$2:$AG$1001,0),0), INDEX($AN$1004:$BO$1004,1,MATCH(COLUMNS($AN$1006:AP1006),$AN$1006:$BO$1006,0)))),"Fix")))</f>
        <v>0</v>
      </c>
      <c r="E719" s="4">
        <f>IF(OR(INDEX($AH$2:$AH$1001,MATCH(ROWS($AG$2:AG719),$AG$2:$AG$1001,0),1)&gt;=100000,INDEX($AN$1005:$BO$1005,1,MATCH(COLUMNS($AN$1006:AQ1006),$AN$1006:$BO$1006,0))&gt;=100000), " ",IF(INDEX($AN$2:$BO$1001,MATCH(ROWS($AG$2:AG719),$AG$2:$AG$1001,0),MATCH(COLUMNS($AN$1006:AQ1006),$AN$1006:$BO$1006,0)), HYPERLINK("#",""), HYPERLINK(CONCATENATE("#Metadata!", ADDRESS(INDEX($AI$2:$AI$1001,MATCH(ROWS($AG$2:AG719),$AG$2:$AG$1001,0),0), INDEX($AN$1004:$BO$1004,1,MATCH(COLUMNS($AN$1006:AQ1006),$AN$1006:$BO$1006,0)))),"Fix")))</f>
        <v>0</v>
      </c>
      <c r="F719" s="4">
        <f>IF(OR(INDEX($AH$2:$AH$1001,MATCH(ROWS($AG$2:AG719),$AG$2:$AG$1001,0),1)&gt;=100000,INDEX($AN$1005:$BO$1005,1,MATCH(COLUMNS($AN$1006:AR1006),$AN$1006:$BO$1006,0))&gt;=100000), " ",IF(INDEX($AN$2:$BO$1001,MATCH(ROWS($AG$2:AG719),$AG$2:$AG$1001,0),MATCH(COLUMNS($AN$1006:AR1006),$AN$1006:$BO$1006,0)), HYPERLINK("#",""), HYPERLINK(CONCATENATE("#Metadata!", ADDRESS(INDEX($AI$2:$AI$1001,MATCH(ROWS($AG$2:AG719),$AG$2:$AG$1001,0),0), INDEX($AN$1004:$BO$1004,1,MATCH(COLUMNS($AN$1006:AR1006),$AN$1006:$BO$1006,0)))),"Fix")))</f>
        <v>0</v>
      </c>
      <c r="G719" s="4">
        <f>IF(OR(INDEX($AH$2:$AH$1001,MATCH(ROWS($AG$2:AG719),$AG$2:$AG$1001,0),1)&gt;=100000,INDEX($AN$1005:$BO$1005,1,MATCH(COLUMNS($AN$1006:AS1006),$AN$1006:$BO$1006,0))&gt;=100000), " ",IF(INDEX($AN$2:$BO$1001,MATCH(ROWS($AG$2:AG719),$AG$2:$AG$1001,0),MATCH(COLUMNS($AN$1006:AS1006),$AN$1006:$BO$1006,0)), HYPERLINK("#",""), HYPERLINK(CONCATENATE("#Metadata!", ADDRESS(INDEX($AI$2:$AI$1001,MATCH(ROWS($AG$2:AG719),$AG$2:$AG$1001,0),0), INDEX($AN$1004:$BO$1004,1,MATCH(COLUMNS($AN$1006:AS1006),$AN$1006:$BO$1006,0)))),"Fix")))</f>
        <v>0</v>
      </c>
      <c r="H719" s="4">
        <f>IF(OR(INDEX($AH$2:$AH$1001,MATCH(ROWS($AG$2:AG719),$AG$2:$AG$1001,0),1)&gt;=100000,INDEX($AN$1005:$BO$1005,1,MATCH(COLUMNS($AN$1006:AT1006),$AN$1006:$BO$1006,0))&gt;=100000), " ",IF(INDEX($AN$2:$BO$1001,MATCH(ROWS($AG$2:AG719),$AG$2:$AG$1001,0),MATCH(COLUMNS($AN$1006:AT1006),$AN$1006:$BO$1006,0)), HYPERLINK("#",""), HYPERLINK(CONCATENATE("#Metadata!", ADDRESS(INDEX($AI$2:$AI$1001,MATCH(ROWS($AG$2:AG719),$AG$2:$AG$1001,0),0), INDEX($AN$1004:$BO$1004,1,MATCH(COLUMNS($AN$1006:AT1006),$AN$1006:$BO$1006,0)))),"Fix")))</f>
        <v>0</v>
      </c>
      <c r="I719" s="4">
        <f>IF(OR(INDEX($AH$2:$AH$1001,MATCH(ROWS($AG$2:AG719),$AG$2:$AG$1001,0),1)&gt;=100000,INDEX($AN$1005:$BO$1005,1,MATCH(COLUMNS($AN$1006:AU1006),$AN$1006:$BO$1006,0))&gt;=100000), " ",IF(INDEX($AN$2:$BO$1001,MATCH(ROWS($AG$2:AG719),$AG$2:$AG$1001,0),MATCH(COLUMNS($AN$1006:AU1006),$AN$1006:$BO$1006,0)), HYPERLINK("#",""), HYPERLINK(CONCATENATE("#Metadata!", ADDRESS(INDEX($AI$2:$AI$1001,MATCH(ROWS($AG$2:AG719),$AG$2:$AG$1001,0),0), INDEX($AN$1004:$BO$1004,1,MATCH(COLUMNS($AN$1006:AU1006),$AN$1006:$BO$1006,0)))),"Fix")))</f>
        <v>0</v>
      </c>
      <c r="J719" s="4">
        <f>IF(OR(INDEX($AH$2:$AH$1001,MATCH(ROWS($AG$2:AG719),$AG$2:$AG$1001,0),1)&gt;=100000,INDEX($AN$1005:$BO$1005,1,MATCH(COLUMNS($AN$1006:AV1006),$AN$1006:$BO$1006,0))&gt;=100000), " ",IF(INDEX($AN$2:$BO$1001,MATCH(ROWS($AG$2:AG719),$AG$2:$AG$1001,0),MATCH(COLUMNS($AN$1006:AV1006),$AN$1006:$BO$1006,0)), HYPERLINK("#",""), HYPERLINK(CONCATENATE("#Metadata!", ADDRESS(INDEX($AI$2:$AI$1001,MATCH(ROWS($AG$2:AG719),$AG$2:$AG$1001,0),0), INDEX($AN$1004:$BO$1004,1,MATCH(COLUMNS($AN$1006:AV1006),$AN$1006:$BO$1006,0)))),"Fix")))</f>
        <v>0</v>
      </c>
      <c r="K719" s="4">
        <f>IF(OR(INDEX($AH$2:$AH$1001,MATCH(ROWS($AG$2:AG719),$AG$2:$AG$1001,0),1)&gt;=100000,INDEX($AN$1005:$BO$1005,1,MATCH(COLUMNS($AN$1006:AW1006),$AN$1006:$BO$1006,0))&gt;=100000), " ",IF(INDEX($AN$2:$BO$1001,MATCH(ROWS($AG$2:AG719),$AG$2:$AG$1001,0),MATCH(COLUMNS($AN$1006:AW1006),$AN$1006:$BO$1006,0)), HYPERLINK("#",""), HYPERLINK(CONCATENATE("#Metadata!", ADDRESS(INDEX($AI$2:$AI$1001,MATCH(ROWS($AG$2:AG719),$AG$2:$AG$1001,0),0), INDEX($AN$1004:$BO$1004,1,MATCH(COLUMNS($AN$1006:AW1006),$AN$1006:$BO$1006,0)))),"Fix")))</f>
        <v>0</v>
      </c>
      <c r="L719" s="4">
        <f>IF(OR(INDEX($AH$2:$AH$1001,MATCH(ROWS($AG$2:AG719),$AG$2:$AG$1001,0),1)&gt;=100000,INDEX($AN$1005:$BO$1005,1,MATCH(COLUMNS($AN$1006:AX1006),$AN$1006:$BO$1006,0))&gt;=100000), " ",IF(INDEX($AN$2:$BO$1001,MATCH(ROWS($AG$2:AG719),$AG$2:$AG$1001,0),MATCH(COLUMNS($AN$1006:AX1006),$AN$1006:$BO$1006,0)), HYPERLINK("#",""), HYPERLINK(CONCATENATE("#Metadata!", ADDRESS(INDEX($AI$2:$AI$1001,MATCH(ROWS($AG$2:AG719),$AG$2:$AG$1001,0),0), INDEX($AN$1004:$BO$1004,1,MATCH(COLUMNS($AN$1006:AX1006),$AN$1006:$BO$1006,0)))),"Fix")))</f>
        <v>0</v>
      </c>
      <c r="M719" s="4">
        <f>IF(OR(INDEX($AH$2:$AH$1001,MATCH(ROWS($AG$2:AG719),$AG$2:$AG$1001,0),1)&gt;=100000,INDEX($AN$1005:$BO$1005,1,MATCH(COLUMNS($AN$1006:AY1006),$AN$1006:$BO$1006,0))&gt;=100000), " ",IF(INDEX($AN$2:$BO$1001,MATCH(ROWS($AG$2:AG719),$AG$2:$AG$1001,0),MATCH(COLUMNS($AN$1006:AY1006),$AN$1006:$BO$1006,0)), HYPERLINK("#",""), HYPERLINK(CONCATENATE("#Metadata!", ADDRESS(INDEX($AI$2:$AI$1001,MATCH(ROWS($AG$2:AG719),$AG$2:$AG$1001,0),0), INDEX($AN$1004:$BO$1004,1,MATCH(COLUMNS($AN$1006:AY1006),$AN$1006:$BO$1006,0)))),"Fix")))</f>
        <v>0</v>
      </c>
      <c r="N719" s="4">
        <f>IF(OR(INDEX($AH$2:$AH$1001,MATCH(ROWS($AG$2:AG719),$AG$2:$AG$1001,0),1)&gt;=100000,INDEX($AN$1005:$BO$1005,1,MATCH(COLUMNS($AN$1006:AZ1006),$AN$1006:$BO$1006,0))&gt;=100000), " ",IF(INDEX($AN$2:$BO$1001,MATCH(ROWS($AG$2:AG719),$AG$2:$AG$1001,0),MATCH(COLUMNS($AN$1006:AZ1006),$AN$1006:$BO$1006,0)), HYPERLINK("#",""), HYPERLINK(CONCATENATE("#Metadata!", ADDRESS(INDEX($AI$2:$AI$1001,MATCH(ROWS($AG$2:AG719),$AG$2:$AG$1001,0),0), INDEX($AN$1004:$BO$1004,1,MATCH(COLUMNS($AN$1006:AZ1006),$AN$1006:$BO$1006,0)))),"Fix")))</f>
        <v>0</v>
      </c>
      <c r="O719" s="4">
        <f>IF(OR(INDEX($AH$2:$AH$1001,MATCH(ROWS($AG$2:AG719),$AG$2:$AG$1001,0),1)&gt;=100000,INDEX($AN$1005:$BO$1005,1,MATCH(COLUMNS($AN$1006:BA1006),$AN$1006:$BO$1006,0))&gt;=100000), " ",IF(INDEX($AN$2:$BO$1001,MATCH(ROWS($AG$2:AG719),$AG$2:$AG$1001,0),MATCH(COLUMNS($AN$1006:BA1006),$AN$1006:$BO$1006,0)), HYPERLINK("#",""), HYPERLINK(CONCATENATE("#Metadata!", ADDRESS(INDEX($AI$2:$AI$1001,MATCH(ROWS($AG$2:AG719),$AG$2:$AG$1001,0),0), INDEX($AN$1004:$BO$1004,1,MATCH(COLUMNS($AN$1006:BA1006),$AN$1006:$BO$1006,0)))),"Fix")))</f>
        <v>0</v>
      </c>
      <c r="P719" s="4">
        <f>IF(OR(INDEX($AH$2:$AH$1001,MATCH(ROWS($AG$2:AG719),$AG$2:$AG$1001,0),1)&gt;=100000,INDEX($AN$1005:$BO$1005,1,MATCH(COLUMNS($AN$1006:BB1006),$AN$1006:$BO$1006,0))&gt;=100000), " ",IF(INDEX($AN$2:$BO$1001,MATCH(ROWS($AG$2:AG719),$AG$2:$AG$1001,0),MATCH(COLUMNS($AN$1006:BB1006),$AN$1006:$BO$1006,0)), HYPERLINK("#",""), HYPERLINK(CONCATENATE("#Metadata!", ADDRESS(INDEX($AI$2:$AI$1001,MATCH(ROWS($AG$2:AG719),$AG$2:$AG$1001,0),0), INDEX($AN$1004:$BO$1004,1,MATCH(COLUMNS($AN$1006:BB1006),$AN$1006:$BO$1006,0)))),"Fix")))</f>
        <v>0</v>
      </c>
      <c r="Q719" s="4">
        <f>IF(OR(INDEX($AH$2:$AH$1001,MATCH(ROWS($AG$2:AG719),$AG$2:$AG$1001,0),1)&gt;=100000,INDEX($AN$1005:$BO$1005,1,MATCH(COLUMNS($AN$1006:BC1006),$AN$1006:$BO$1006,0))&gt;=100000), " ",IF(INDEX($AN$2:$BO$1001,MATCH(ROWS($AG$2:AG719),$AG$2:$AG$1001,0),MATCH(COLUMNS($AN$1006:BC1006),$AN$1006:$BO$1006,0)), HYPERLINK("#",""), HYPERLINK(CONCATENATE("#Metadata!", ADDRESS(INDEX($AI$2:$AI$1001,MATCH(ROWS($AG$2:AG719),$AG$2:$AG$1001,0),0), INDEX($AN$1004:$BO$1004,1,MATCH(COLUMNS($AN$1006:BC1006),$AN$1006:$BO$1006,0)))),"Fix")))</f>
        <v>0</v>
      </c>
      <c r="R719" s="4">
        <f>IF(OR(INDEX($AH$2:$AH$1001,MATCH(ROWS($AG$2:AG719),$AG$2:$AG$1001,0),1)&gt;=100000,INDEX($AN$1005:$BO$1005,1,MATCH(COLUMNS($AN$1006:BD1006),$AN$1006:$BO$1006,0))&gt;=100000), " ",IF(INDEX($AN$2:$BO$1001,MATCH(ROWS($AG$2:AG719),$AG$2:$AG$1001,0),MATCH(COLUMNS($AN$1006:BD1006),$AN$1006:$BO$1006,0)), HYPERLINK("#",""), HYPERLINK(CONCATENATE("#Metadata!", ADDRESS(INDEX($AI$2:$AI$1001,MATCH(ROWS($AG$2:AG719),$AG$2:$AG$1001,0),0), INDEX($AN$1004:$BO$1004,1,MATCH(COLUMNS($AN$1006:BD1006),$AN$1006:$BO$1006,0)))),"Fix")))</f>
        <v>0</v>
      </c>
      <c r="S719" s="4">
        <f>IF(OR(INDEX($AH$2:$AH$1001,MATCH(ROWS($AG$2:AG719),$AG$2:$AG$1001,0),1)&gt;=100000,INDEX($AN$1005:$BO$1005,1,MATCH(COLUMNS($AN$1006:BE1006),$AN$1006:$BO$1006,0))&gt;=100000), " ",IF(INDEX($AN$2:$BO$1001,MATCH(ROWS($AG$2:AG719),$AG$2:$AG$1001,0),MATCH(COLUMNS($AN$1006:BE1006),$AN$1006:$BO$1006,0)), HYPERLINK("#",""), HYPERLINK(CONCATENATE("#Metadata!", ADDRESS(INDEX($AI$2:$AI$1001,MATCH(ROWS($AG$2:AG719),$AG$2:$AG$1001,0),0), INDEX($AN$1004:$BO$1004,1,MATCH(COLUMNS($AN$1006:BE1006),$AN$1006:$BO$1006,0)))),"Fix")))</f>
        <v>0</v>
      </c>
      <c r="T719" s="4">
        <f>IF(OR(INDEX($AH$2:$AH$1001,MATCH(ROWS($AG$2:AG719),$AG$2:$AG$1001,0),1)&gt;=100000,INDEX($AN$1005:$BO$1005,1,MATCH(COLUMNS($AN$1006:BF1006),$AN$1006:$BO$1006,0))&gt;=100000), " ",IF(INDEX($AN$2:$BO$1001,MATCH(ROWS($AG$2:AG719),$AG$2:$AG$1001,0),MATCH(COLUMNS($AN$1006:BF1006),$AN$1006:$BO$1006,0)), HYPERLINK("#",""), HYPERLINK(CONCATENATE("#Metadata!", ADDRESS(INDEX($AI$2:$AI$1001,MATCH(ROWS($AG$2:AG719),$AG$2:$AG$1001,0),0), INDEX($AN$1004:$BO$1004,1,MATCH(COLUMNS($AN$1006:BF1006),$AN$1006:$BO$1006,0)))),"Fix")))</f>
        <v>0</v>
      </c>
      <c r="U719" s="4">
        <f>IF(OR(INDEX($AH$2:$AH$1001,MATCH(ROWS($AG$2:AG719),$AG$2:$AG$1001,0),1)&gt;=100000,INDEX($AN$1005:$BO$1005,1,MATCH(COLUMNS($AN$1006:BG1006),$AN$1006:$BO$1006,0))&gt;=100000), " ",IF(INDEX($AN$2:$BO$1001,MATCH(ROWS($AG$2:AG719),$AG$2:$AG$1001,0),MATCH(COLUMNS($AN$1006:BG1006),$AN$1006:$BO$1006,0)), HYPERLINK("#",""), HYPERLINK(CONCATENATE("#Metadata!", ADDRESS(INDEX($AI$2:$AI$1001,MATCH(ROWS($AG$2:AG719),$AG$2:$AG$1001,0),0), INDEX($AN$1004:$BO$1004,1,MATCH(COLUMNS($AN$1006:BG1006),$AN$1006:$BO$1006,0)))),"Fix")))</f>
        <v>0</v>
      </c>
      <c r="V719" s="4">
        <f>IF(OR(INDEX($AH$2:$AH$1001,MATCH(ROWS($AG$2:AG719),$AG$2:$AG$1001,0),1)&gt;=100000,INDEX($AN$1005:$BO$1005,1,MATCH(COLUMNS($AN$1006:BH1006),$AN$1006:$BO$1006,0))&gt;=100000), " ",IF(INDEX($AN$2:$BO$1001,MATCH(ROWS($AG$2:AG719),$AG$2:$AG$1001,0),MATCH(COLUMNS($AN$1006:BH1006),$AN$1006:$BO$1006,0)), HYPERLINK("#",""), HYPERLINK(CONCATENATE("#Metadata!", ADDRESS(INDEX($AI$2:$AI$1001,MATCH(ROWS($AG$2:AG719),$AG$2:$AG$1001,0),0), INDEX($AN$1004:$BO$1004,1,MATCH(COLUMNS($AN$1006:BH1006),$AN$1006:$BO$1006,0)))),"Fix")))</f>
        <v>0</v>
      </c>
      <c r="W719" s="4">
        <f>IF(OR(INDEX($AH$2:$AH$1001,MATCH(ROWS($AG$2:AG719),$AG$2:$AG$1001,0),1)&gt;=100000,INDEX($AN$1005:$BO$1005,1,MATCH(COLUMNS($AN$1006:BI1006),$AN$1006:$BO$1006,0))&gt;=100000), " ",IF(INDEX($AN$2:$BO$1001,MATCH(ROWS($AG$2:AG719),$AG$2:$AG$1001,0),MATCH(COLUMNS($AN$1006:BI1006),$AN$1006:$BO$1006,0)), HYPERLINK("#",""), HYPERLINK(CONCATENATE("#Metadata!", ADDRESS(INDEX($AI$2:$AI$1001,MATCH(ROWS($AG$2:AG719),$AG$2:$AG$1001,0),0), INDEX($AN$1004:$BO$1004,1,MATCH(COLUMNS($AN$1006:BI1006),$AN$1006:$BO$1006,0)))),"Fix")))</f>
        <v>0</v>
      </c>
      <c r="X719" s="4">
        <f>IF(OR(INDEX($AH$2:$AH$1001,MATCH(ROWS($AG$2:AG719),$AG$2:$AG$1001,0),1)&gt;=100000,INDEX($AN$1005:$BO$1005,1,MATCH(COLUMNS($AN$1006:BJ1006),$AN$1006:$BO$1006,0))&gt;=100000), " ",IF(INDEX($AN$2:$BO$1001,MATCH(ROWS($AG$2:AG719),$AG$2:$AG$1001,0),MATCH(COLUMNS($AN$1006:BJ1006),$AN$1006:$BO$1006,0)), HYPERLINK("#",""), HYPERLINK(CONCATENATE("#Metadata!", ADDRESS(INDEX($AI$2:$AI$1001,MATCH(ROWS($AG$2:AG719),$AG$2:$AG$1001,0),0), INDEX($AN$1004:$BO$1004,1,MATCH(COLUMNS($AN$1006:BJ1006),$AN$1006:$BO$1006,0)))),"Fix")))</f>
        <v>0</v>
      </c>
      <c r="Y719" s="4">
        <f>IF(OR(INDEX($AH$2:$AH$1001,MATCH(ROWS($AG$2:AG719),$AG$2:$AG$1001,0),1)&gt;=100000,INDEX($AN$1005:$BO$1005,1,MATCH(COLUMNS($AN$1006:BK1006),$AN$1006:$BO$1006,0))&gt;=100000), " ",IF(INDEX($AN$2:$BO$1001,MATCH(ROWS($AG$2:AG719),$AG$2:$AG$1001,0),MATCH(COLUMNS($AN$1006:BK1006),$AN$1006:$BO$1006,0)), HYPERLINK("#",""), HYPERLINK(CONCATENATE("#Metadata!", ADDRESS(INDEX($AI$2:$AI$1001,MATCH(ROWS($AG$2:AG719),$AG$2:$AG$1001,0),0), INDEX($AN$1004:$BO$1004,1,MATCH(COLUMNS($AN$1006:BK1006),$AN$1006:$BO$1006,0)))),"Fix")))</f>
        <v>0</v>
      </c>
      <c r="Z719" s="4">
        <f>IF(OR(INDEX($AH$2:$AH$1001,MATCH(ROWS($AG$2:AG719),$AG$2:$AG$1001,0),1)&gt;=100000,INDEX($AN$1005:$BO$1005,1,MATCH(COLUMNS($AN$1006:BL1006),$AN$1006:$BO$1006,0))&gt;=100000), " ",IF(INDEX($AN$2:$BO$1001,MATCH(ROWS($AG$2:AG719),$AG$2:$AG$1001,0),MATCH(COLUMNS($AN$1006:BL1006),$AN$1006:$BO$1006,0)), HYPERLINK("#",""), HYPERLINK(CONCATENATE("#Metadata!", ADDRESS(INDEX($AI$2:$AI$1001,MATCH(ROWS($AG$2:AG719),$AG$2:$AG$1001,0),0), INDEX($AN$1004:$BO$1004,1,MATCH(COLUMNS($AN$1006:BL1006),$AN$1006:$BO$1006,0)))),"Fix")))</f>
        <v>0</v>
      </c>
      <c r="AA719" s="4">
        <f>IF(OR(INDEX($AH$2:$AH$1001,MATCH(ROWS($AG$2:AG719),$AG$2:$AG$1001,0),1)&gt;=100000,INDEX($AN$1005:$BO$1005,1,MATCH(COLUMNS($AN$1006:BM1006),$AN$1006:$BO$1006,0))&gt;=100000), " ",IF(INDEX($AN$2:$BO$1001,MATCH(ROWS($AG$2:AG719),$AG$2:$AG$1001,0),MATCH(COLUMNS($AN$1006:BM1006),$AN$1006:$BO$1006,0)), HYPERLINK("#",""), HYPERLINK(CONCATENATE("#Metadata!", ADDRESS(INDEX($AI$2:$AI$1001,MATCH(ROWS($AG$2:AG719),$AG$2:$AG$1001,0),0), INDEX($AN$1004:$BO$1004,1,MATCH(COLUMNS($AN$1006:BM1006),$AN$1006:$BO$1006,0)))),"Fix")))</f>
        <v>0</v>
      </c>
      <c r="AB719" s="4">
        <f>IF(OR(INDEX($AH$2:$AH$1001,MATCH(ROWS($AG$2:AG719),$AG$2:$AG$1001,0),1)&gt;=100000,INDEX($AN$1005:$BO$1005,1,MATCH(COLUMNS($AN$1006:BN1006),$AN$1006:$BO$1006,0))&gt;=100000), " ",IF(INDEX($AN$2:$BO$1001,MATCH(ROWS($AG$2:AG719),$AG$2:$AG$1001,0),MATCH(COLUMNS($AN$1006:BN1006),$AN$1006:$BO$1006,0)), HYPERLINK("#",""), HYPERLINK(CONCATENATE("#Metadata!", ADDRESS(INDEX($AI$2:$AI$1001,MATCH(ROWS($AG$2:AG719),$AG$2:$AG$1001,0),0), INDEX($AN$1004:$BO$1004,1,MATCH(COLUMNS($AN$1006:BN1006),$AN$1006:$BO$1006,0)))),"Fix")))</f>
        <v>0</v>
      </c>
      <c r="AC719" s="4">
        <f>IF(OR(INDEX($AH$2:$AH$1001,MATCH(ROWS($AG$2:AG719),$AG$2:$AG$1001,0),1)&gt;=100000,INDEX($AN$1005:$BO$1005,1,MATCH(COLUMNS($AN$1006:BO1006),$AN$1006:$BO$1006,0))&gt;=100000), " ",IF(INDEX($AN$2:$BO$1001,MATCH(ROWS($AG$2:AG719),$AG$2:$AG$1001,0),MATCH(COLUMNS($AN$1006:BO1006),$AN$1006:$BO$1006,0)), HYPERLINK("#",""), HYPERLINK(CONCATENATE("#Metadata!", ADDRESS(INDEX($AI$2:$AI$1001,MATCH(ROWS($AG$2:AG719),$AG$2:$AG$1001,0),0), INDEX($AN$1004:$BO$1004,1,MATCH(COLUMNS($AN$1006:BO1006),$AN$1006:$BO$1006,0)))),"Fix")))</f>
        <v>0</v>
      </c>
      <c r="AG719">
        <v>0</v>
      </c>
      <c r="AH719">
        <v>0</v>
      </c>
      <c r="AI719">
        <v>0</v>
      </c>
      <c r="AJ719">
        <f>IF(AK719,TRUE,AND(AN719:BO719))</f>
        <v>0</v>
      </c>
      <c r="AK719">
        <f>COUNTBLANK(Metadata!B719:AC719)=COLUMNS(Metadata!B719:AC719)</f>
        <v>0</v>
      </c>
      <c r="AL719">
        <v>0</v>
      </c>
      <c r="AN719">
        <f>AND(IF(Metadata!B719="",FALSE,TRUE),COUNTIF(Metadata!B:B, Metadata!B719) = 1,NOT(ISERROR(SUMPRODUCT(SEARCH(MID(Metadata!B719,ROW(INDIRECT("1:"&amp;LEN(Metadata!B719))), 1),"0123456789abcdefghijklmnopqrstuvwxyzABCDEFGHIJKLMNOPQRSTUVWXYZ.")))))</f>
        <v>0</v>
      </c>
      <c r="AO719">
        <f>IF(Metadata!C719="",FALSE,TRUE)</f>
        <v>0</v>
      </c>
      <c r="AP719">
        <f>IF(Metadata!D719="",FALSE,TRUE)</f>
        <v>0</v>
      </c>
      <c r="AQ719">
        <f>OR(AND(IF(Metadata!E719="",FALSE,TRUE),OR(exact(Metadata!E719,"not collected"),exact(Metadata!E719,"not provided"),exact(Metadata!E719,"restricted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R719">
        <f>IF(Metadata!F719="",FALSE,TRUE)</f>
        <v>0</v>
      </c>
      <c r="AS719">
        <f>OR(AND(IF(Metadata!G719="",FALSE,TRUE),OR(exact(Metadata!G719,"not collected"),exact(Metadata!G719,"not provided"))),AND(IF(Metadata!G719="",FALSE,TRUE),OR(exact(Metadata!G719,"TRUE"),exact(Metadata!G719,"FALSE"))))</f>
        <v>0</v>
      </c>
      <c r="AT719">
        <f>OR(AND(IF(Metadata!H719="",FALSE,TRUE),OR(exact(Metadata!H719,"not collected"),exact(Metadata!H719,"not provided"),exact(Metadata!H719,"restricted access"))),AND(IF(Metadata!H719="",FALSE,ISNUMBER(VALUE(Metadata!H719))),Metadata!H719&gt;=-413.0))</f>
        <v>0</v>
      </c>
      <c r="AU719">
        <f>AND(IF(Metadata!I719="",FALSE,TRUE),exact(Metadata!I719,"meters"))</f>
        <v>0</v>
      </c>
      <c r="AV719">
        <f>AND(IF(Metadata!J719="",FALSE,TRUE),OR(exact(Metadata!J719,"Host-associated"),exact(Metadata!J719,"Free-living")))</f>
        <v>0</v>
      </c>
      <c r="AW719">
        <f>AND(IF(Metadata!K719="",FALSE,TRUE),OR(exact(Metadata!K719,"Animal"),exact(Metadata!K719,"Fungus"),exact(Metadata!K719,"Plant"),exact(Metadata!K719,"Saline"),exact(Metadata!K719,"Non-saline")))</f>
        <v>0</v>
      </c>
      <c r="AX719">
        <f>AND(IF(Metadata!L719="",FALSE,TRUE),OR(exact(Metadata!L719,"Plant secretion"),exact(Metadata!L719,"Plant rhizosphere"),exact(Metadata!L719,"Plant surface"),exact(Metadata!L719,"Plant corpus"),exact(Metadata!L719,"Fungus surface"),exact(Metadata!L719,"Fungus corpus"),exact(Metadata!L719,"Animal surface"),exact(Metadata!L719,"Animal proximal gut"),exact(Metadata!L719,"Animal corpus"),exact(Metadata!L719,"Animal distal gut"),exact(Metadata!L719,"Animal secretion"),exact(Metadata!L719,"Sub-surface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Y719">
        <f>IF(Metadata!M719="",FALSE,TRUE)</f>
        <v>0</v>
      </c>
      <c r="AZ719">
        <f>IF(Metadata!N719="",FALSE,TRUE)</f>
        <v>0</v>
      </c>
      <c r="BA719">
        <f>IF(Metadata!O719="",FALSE,TRUE)</f>
        <v>0</v>
      </c>
      <c r="BB719">
        <f>OR(AND(IF(Metadata!P719="",FALSE,TRUE),OR(exact(Metadata!P719,"not collected"),exact(Metadata!P719,"not provided"),exact(Metadata!P719,"restricted access"))),AND(IF(Metadata!P719="",FALSE,TRUE),OR(exact(Metadata!P719,"air"),exact(Metadata!P719,"built environment"),exact(Metadata!P719,"host-associated"),exact(Metadata!P719,"human-associated"),exact(Metadata!P719,"human-skin"),exact(Metadata!P719,"human-oral"),exact(Metadata!P719,"human-gut"),exact(Metadata!P719,"human-vaginal"),exact(Metadata!P719,"microbial mat/biofilm"),exact(Metadata!P719,"misc environment"),exact(Metadata!P719,"plant-associated"),exact(Metadata!P719,"sediment"),exact(Metadata!P719,"soil"),exact(Metadata!P719,"wastewater/sludge"),exact(Metadata!P719,"water"))))</f>
        <v>0</v>
      </c>
      <c r="BC719">
        <f>IF(Metadata!Q719="",FALSE,TRUE)</f>
        <v>0</v>
      </c>
      <c r="BD719">
        <f>IF(Metadata!R719="",FALSE,TRUE)</f>
        <v>0</v>
      </c>
      <c r="BE719">
        <f>OR(AND(IF(Metadata!S719="",FALSE,TRUE),OR(exact(Metadata!S719,"not collected"),exact(Metadata!S719,"not provided"),exact(Metadata!S719,"restricted access"))),AND(IF(Metadata!S719="",FALSE,ISNUMBER(VALUE(Metadata!S719))),Metadata!S719&gt;=-90.00,Metadata!S719&lt;=90.00))</f>
        <v>0</v>
      </c>
      <c r="BF719">
        <f>AND(IF(Metadata!T719="",FALSE,TRUE),exact(Metadata!T719,"Decimal degrees"))</f>
        <v>0</v>
      </c>
      <c r="BG719">
        <f>OR(AND(IF(Metadata!U719="",FALSE,TRUE),OR(exact(Metadata!U719,"not collected"),exact(Metadata!U719,"not provided"),exact(Metadata!U719,"restricted access"))),AND(IF(Metadata!U719="",FALSE,ISNUMBER(VALUE(Metadata!U719))),Metadata!U719&gt;=-180.00,Metadata!U719&lt;=180.00))</f>
        <v>0</v>
      </c>
      <c r="BH719">
        <f>AND(IF(Metadata!V719="",FALSE,TRUE),exact(Metadata!V719,"Decimal degrees"))</f>
        <v>0</v>
      </c>
      <c r="BI719">
        <f>IF(Metadata!W719="",FALSE,TRUE)</f>
        <v>0</v>
      </c>
      <c r="BJ719">
        <f>OR(AND(IF(Metadata!X719="",FALSE,TRUE),OR(exact(Metadata!X719,"not collected"),exact(Metadata!X719,"not provided"),exact(Metadata!X719,"restricted access"))),AND(IF(Metadata!X719="",FALSE,TRUE),OR(exact(Metadata!X719,"TRUE"),exact(Metadata!X719,"FALSE"))))</f>
        <v>0</v>
      </c>
      <c r="BK719">
        <f>AND(IF(Metadata!Y719="",FALSE,TRUE),exact(Metadata!Y719,"other"))</f>
        <v>0</v>
      </c>
      <c r="BL719">
        <f>IF(Metadata!Z719="",FALSE,TRUE)</f>
        <v>0</v>
      </c>
      <c r="BM719">
        <f>OR(AND(IF(Metadata!AA719="",FALSE,TRUE),OR(exact(Metadata!AA719,"not collected"),exact(Metadata!AA719,"not provided"))),AND(IF(Metadata!AA719="",FALSE,IF(ISERROR(INT(Metadata!AA719)),FALSE,INT(Metadata!AA719)=Metadata!AA719)),Metadata!AA719&gt;0))</f>
        <v>0</v>
      </c>
      <c r="BN719">
        <f>AND(IF(Metadata!AB719="",FALSE,TRUE),exact(Metadata!AB719,"Not applicable"))</f>
        <v>0</v>
      </c>
      <c r="BO719">
        <f>IF(Metadata!AC719="",FALSE,TRUE)</f>
        <v>0</v>
      </c>
    </row>
    <row r="720" spans="1:67">
      <c r="A720" s="5">
        <f>IF(B720=" "," ",HYPERLINK(CONCATENATE("#metadata!",ADDRESS(INDEX($AI$2:$AI$1001,MATCH(ROWS($AG$2:AG720),$AG$2:$AG$1001,0),0),1)),INDEX($AL$2:$AL$1001,MATCH(ROWS($AG$2:AG720),$AG$2:$AG$1001,0),0)))</f>
        <v>0</v>
      </c>
      <c r="B720" s="4">
        <f>IF(OR(INDEX($AH$2:$AH$1001,MATCH(ROWS($AG$2:AG720),$AG$2:$AG$1001,0),1)&gt;=100000,INDEX($AN$1005:$BO$1005,1,MATCH(COLUMNS($AN$1006:AN1006),$AN$1006:$BO$1006,0))&gt;=100000), " ",IF(INDEX($AN$2:$BO$1001,MATCH(ROWS($AG$2:AG720),$AG$2:$AG$1001,0),MATCH(COLUMNS($AN$1006:AN1006),$AN$1006:$BO$1006,0)), HYPERLINK("#",""), HYPERLINK(CONCATENATE("#Metadata!", ADDRESS(INDEX($AI$2:$AI$1001,MATCH(ROWS($AG$2:AG720),$AG$2:$AG$1001,0),0), INDEX($AN$1004:$BO$1004,1,MATCH(COLUMNS($AN$1006:AN1006),$AN$1006:$BO$1006,0)))),"Fix")))</f>
        <v>0</v>
      </c>
      <c r="C720" s="4">
        <f>IF(OR(INDEX($AH$2:$AH$1001,MATCH(ROWS($AG$2:AG720),$AG$2:$AG$1001,0),1)&gt;=100000,INDEX($AN$1005:$BO$1005,1,MATCH(COLUMNS($AN$1006:AO1006),$AN$1006:$BO$1006,0))&gt;=100000), " ",IF(INDEX($AN$2:$BO$1001,MATCH(ROWS($AG$2:AG720),$AG$2:$AG$1001,0),MATCH(COLUMNS($AN$1006:AO1006),$AN$1006:$BO$1006,0)), HYPERLINK("#",""), HYPERLINK(CONCATENATE("#Metadata!", ADDRESS(INDEX($AI$2:$AI$1001,MATCH(ROWS($AG$2:AG720),$AG$2:$AG$1001,0),0), INDEX($AN$1004:$BO$1004,1,MATCH(COLUMNS($AN$1006:AO1006),$AN$1006:$BO$1006,0)))),"Fix")))</f>
        <v>0</v>
      </c>
      <c r="D720" s="4">
        <f>IF(OR(INDEX($AH$2:$AH$1001,MATCH(ROWS($AG$2:AG720),$AG$2:$AG$1001,0),1)&gt;=100000,INDEX($AN$1005:$BO$1005,1,MATCH(COLUMNS($AN$1006:AP1006),$AN$1006:$BO$1006,0))&gt;=100000), " ",IF(INDEX($AN$2:$BO$1001,MATCH(ROWS($AG$2:AG720),$AG$2:$AG$1001,0),MATCH(COLUMNS($AN$1006:AP1006),$AN$1006:$BO$1006,0)), HYPERLINK("#",""), HYPERLINK(CONCATENATE("#Metadata!", ADDRESS(INDEX($AI$2:$AI$1001,MATCH(ROWS($AG$2:AG720),$AG$2:$AG$1001,0),0), INDEX($AN$1004:$BO$1004,1,MATCH(COLUMNS($AN$1006:AP1006),$AN$1006:$BO$1006,0)))),"Fix")))</f>
        <v>0</v>
      </c>
      <c r="E720" s="4">
        <f>IF(OR(INDEX($AH$2:$AH$1001,MATCH(ROWS($AG$2:AG720),$AG$2:$AG$1001,0),1)&gt;=100000,INDEX($AN$1005:$BO$1005,1,MATCH(COLUMNS($AN$1006:AQ1006),$AN$1006:$BO$1006,0))&gt;=100000), " ",IF(INDEX($AN$2:$BO$1001,MATCH(ROWS($AG$2:AG720),$AG$2:$AG$1001,0),MATCH(COLUMNS($AN$1006:AQ1006),$AN$1006:$BO$1006,0)), HYPERLINK("#",""), HYPERLINK(CONCATENATE("#Metadata!", ADDRESS(INDEX($AI$2:$AI$1001,MATCH(ROWS($AG$2:AG720),$AG$2:$AG$1001,0),0), INDEX($AN$1004:$BO$1004,1,MATCH(COLUMNS($AN$1006:AQ1006),$AN$1006:$BO$1006,0)))),"Fix")))</f>
        <v>0</v>
      </c>
      <c r="F720" s="4">
        <f>IF(OR(INDEX($AH$2:$AH$1001,MATCH(ROWS($AG$2:AG720),$AG$2:$AG$1001,0),1)&gt;=100000,INDEX($AN$1005:$BO$1005,1,MATCH(COLUMNS($AN$1006:AR1006),$AN$1006:$BO$1006,0))&gt;=100000), " ",IF(INDEX($AN$2:$BO$1001,MATCH(ROWS($AG$2:AG720),$AG$2:$AG$1001,0),MATCH(COLUMNS($AN$1006:AR1006),$AN$1006:$BO$1006,0)), HYPERLINK("#",""), HYPERLINK(CONCATENATE("#Metadata!", ADDRESS(INDEX($AI$2:$AI$1001,MATCH(ROWS($AG$2:AG720),$AG$2:$AG$1001,0),0), INDEX($AN$1004:$BO$1004,1,MATCH(COLUMNS($AN$1006:AR1006),$AN$1006:$BO$1006,0)))),"Fix")))</f>
        <v>0</v>
      </c>
      <c r="G720" s="4">
        <f>IF(OR(INDEX($AH$2:$AH$1001,MATCH(ROWS($AG$2:AG720),$AG$2:$AG$1001,0),1)&gt;=100000,INDEX($AN$1005:$BO$1005,1,MATCH(COLUMNS($AN$1006:AS1006),$AN$1006:$BO$1006,0))&gt;=100000), " ",IF(INDEX($AN$2:$BO$1001,MATCH(ROWS($AG$2:AG720),$AG$2:$AG$1001,0),MATCH(COLUMNS($AN$1006:AS1006),$AN$1006:$BO$1006,0)), HYPERLINK("#",""), HYPERLINK(CONCATENATE("#Metadata!", ADDRESS(INDEX($AI$2:$AI$1001,MATCH(ROWS($AG$2:AG720),$AG$2:$AG$1001,0),0), INDEX($AN$1004:$BO$1004,1,MATCH(COLUMNS($AN$1006:AS1006),$AN$1006:$BO$1006,0)))),"Fix")))</f>
        <v>0</v>
      </c>
      <c r="H720" s="4">
        <f>IF(OR(INDEX($AH$2:$AH$1001,MATCH(ROWS($AG$2:AG720),$AG$2:$AG$1001,0),1)&gt;=100000,INDEX($AN$1005:$BO$1005,1,MATCH(COLUMNS($AN$1006:AT1006),$AN$1006:$BO$1006,0))&gt;=100000), " ",IF(INDEX($AN$2:$BO$1001,MATCH(ROWS($AG$2:AG720),$AG$2:$AG$1001,0),MATCH(COLUMNS($AN$1006:AT1006),$AN$1006:$BO$1006,0)), HYPERLINK("#",""), HYPERLINK(CONCATENATE("#Metadata!", ADDRESS(INDEX($AI$2:$AI$1001,MATCH(ROWS($AG$2:AG720),$AG$2:$AG$1001,0),0), INDEX($AN$1004:$BO$1004,1,MATCH(COLUMNS($AN$1006:AT1006),$AN$1006:$BO$1006,0)))),"Fix")))</f>
        <v>0</v>
      </c>
      <c r="I720" s="4">
        <f>IF(OR(INDEX($AH$2:$AH$1001,MATCH(ROWS($AG$2:AG720),$AG$2:$AG$1001,0),1)&gt;=100000,INDEX($AN$1005:$BO$1005,1,MATCH(COLUMNS($AN$1006:AU1006),$AN$1006:$BO$1006,0))&gt;=100000), " ",IF(INDEX($AN$2:$BO$1001,MATCH(ROWS($AG$2:AG720),$AG$2:$AG$1001,0),MATCH(COLUMNS($AN$1006:AU1006),$AN$1006:$BO$1006,0)), HYPERLINK("#",""), HYPERLINK(CONCATENATE("#Metadata!", ADDRESS(INDEX($AI$2:$AI$1001,MATCH(ROWS($AG$2:AG720),$AG$2:$AG$1001,0),0), INDEX($AN$1004:$BO$1004,1,MATCH(COLUMNS($AN$1006:AU1006),$AN$1006:$BO$1006,0)))),"Fix")))</f>
        <v>0</v>
      </c>
      <c r="J720" s="4">
        <f>IF(OR(INDEX($AH$2:$AH$1001,MATCH(ROWS($AG$2:AG720),$AG$2:$AG$1001,0),1)&gt;=100000,INDEX($AN$1005:$BO$1005,1,MATCH(COLUMNS($AN$1006:AV1006),$AN$1006:$BO$1006,0))&gt;=100000), " ",IF(INDEX($AN$2:$BO$1001,MATCH(ROWS($AG$2:AG720),$AG$2:$AG$1001,0),MATCH(COLUMNS($AN$1006:AV1006),$AN$1006:$BO$1006,0)), HYPERLINK("#",""), HYPERLINK(CONCATENATE("#Metadata!", ADDRESS(INDEX($AI$2:$AI$1001,MATCH(ROWS($AG$2:AG720),$AG$2:$AG$1001,0),0), INDEX($AN$1004:$BO$1004,1,MATCH(COLUMNS($AN$1006:AV1006),$AN$1006:$BO$1006,0)))),"Fix")))</f>
        <v>0</v>
      </c>
      <c r="K720" s="4">
        <f>IF(OR(INDEX($AH$2:$AH$1001,MATCH(ROWS($AG$2:AG720),$AG$2:$AG$1001,0),1)&gt;=100000,INDEX($AN$1005:$BO$1005,1,MATCH(COLUMNS($AN$1006:AW1006),$AN$1006:$BO$1006,0))&gt;=100000), " ",IF(INDEX($AN$2:$BO$1001,MATCH(ROWS($AG$2:AG720),$AG$2:$AG$1001,0),MATCH(COLUMNS($AN$1006:AW1006),$AN$1006:$BO$1006,0)), HYPERLINK("#",""), HYPERLINK(CONCATENATE("#Metadata!", ADDRESS(INDEX($AI$2:$AI$1001,MATCH(ROWS($AG$2:AG720),$AG$2:$AG$1001,0),0), INDEX($AN$1004:$BO$1004,1,MATCH(COLUMNS($AN$1006:AW1006),$AN$1006:$BO$1006,0)))),"Fix")))</f>
        <v>0</v>
      </c>
      <c r="L720" s="4">
        <f>IF(OR(INDEX($AH$2:$AH$1001,MATCH(ROWS($AG$2:AG720),$AG$2:$AG$1001,0),1)&gt;=100000,INDEX($AN$1005:$BO$1005,1,MATCH(COLUMNS($AN$1006:AX1006),$AN$1006:$BO$1006,0))&gt;=100000), " ",IF(INDEX($AN$2:$BO$1001,MATCH(ROWS($AG$2:AG720),$AG$2:$AG$1001,0),MATCH(COLUMNS($AN$1006:AX1006),$AN$1006:$BO$1006,0)), HYPERLINK("#",""), HYPERLINK(CONCATENATE("#Metadata!", ADDRESS(INDEX($AI$2:$AI$1001,MATCH(ROWS($AG$2:AG720),$AG$2:$AG$1001,0),0), INDEX($AN$1004:$BO$1004,1,MATCH(COLUMNS($AN$1006:AX1006),$AN$1006:$BO$1006,0)))),"Fix")))</f>
        <v>0</v>
      </c>
      <c r="M720" s="4">
        <f>IF(OR(INDEX($AH$2:$AH$1001,MATCH(ROWS($AG$2:AG720),$AG$2:$AG$1001,0),1)&gt;=100000,INDEX($AN$1005:$BO$1005,1,MATCH(COLUMNS($AN$1006:AY1006),$AN$1006:$BO$1006,0))&gt;=100000), " ",IF(INDEX($AN$2:$BO$1001,MATCH(ROWS($AG$2:AG720),$AG$2:$AG$1001,0),MATCH(COLUMNS($AN$1006:AY1006),$AN$1006:$BO$1006,0)), HYPERLINK("#",""), HYPERLINK(CONCATENATE("#Metadata!", ADDRESS(INDEX($AI$2:$AI$1001,MATCH(ROWS($AG$2:AG720),$AG$2:$AG$1001,0),0), INDEX($AN$1004:$BO$1004,1,MATCH(COLUMNS($AN$1006:AY1006),$AN$1006:$BO$1006,0)))),"Fix")))</f>
        <v>0</v>
      </c>
      <c r="N720" s="4">
        <f>IF(OR(INDEX($AH$2:$AH$1001,MATCH(ROWS($AG$2:AG720),$AG$2:$AG$1001,0),1)&gt;=100000,INDEX($AN$1005:$BO$1005,1,MATCH(COLUMNS($AN$1006:AZ1006),$AN$1006:$BO$1006,0))&gt;=100000), " ",IF(INDEX($AN$2:$BO$1001,MATCH(ROWS($AG$2:AG720),$AG$2:$AG$1001,0),MATCH(COLUMNS($AN$1006:AZ1006),$AN$1006:$BO$1006,0)), HYPERLINK("#",""), HYPERLINK(CONCATENATE("#Metadata!", ADDRESS(INDEX($AI$2:$AI$1001,MATCH(ROWS($AG$2:AG720),$AG$2:$AG$1001,0),0), INDEX($AN$1004:$BO$1004,1,MATCH(COLUMNS($AN$1006:AZ1006),$AN$1006:$BO$1006,0)))),"Fix")))</f>
        <v>0</v>
      </c>
      <c r="O720" s="4">
        <f>IF(OR(INDEX($AH$2:$AH$1001,MATCH(ROWS($AG$2:AG720),$AG$2:$AG$1001,0),1)&gt;=100000,INDEX($AN$1005:$BO$1005,1,MATCH(COLUMNS($AN$1006:BA1006),$AN$1006:$BO$1006,0))&gt;=100000), " ",IF(INDEX($AN$2:$BO$1001,MATCH(ROWS($AG$2:AG720),$AG$2:$AG$1001,0),MATCH(COLUMNS($AN$1006:BA1006),$AN$1006:$BO$1006,0)), HYPERLINK("#",""), HYPERLINK(CONCATENATE("#Metadata!", ADDRESS(INDEX($AI$2:$AI$1001,MATCH(ROWS($AG$2:AG720),$AG$2:$AG$1001,0),0), INDEX($AN$1004:$BO$1004,1,MATCH(COLUMNS($AN$1006:BA1006),$AN$1006:$BO$1006,0)))),"Fix")))</f>
        <v>0</v>
      </c>
      <c r="P720" s="4">
        <f>IF(OR(INDEX($AH$2:$AH$1001,MATCH(ROWS($AG$2:AG720),$AG$2:$AG$1001,0),1)&gt;=100000,INDEX($AN$1005:$BO$1005,1,MATCH(COLUMNS($AN$1006:BB1006),$AN$1006:$BO$1006,0))&gt;=100000), " ",IF(INDEX($AN$2:$BO$1001,MATCH(ROWS($AG$2:AG720),$AG$2:$AG$1001,0),MATCH(COLUMNS($AN$1006:BB1006),$AN$1006:$BO$1006,0)), HYPERLINK("#",""), HYPERLINK(CONCATENATE("#Metadata!", ADDRESS(INDEX($AI$2:$AI$1001,MATCH(ROWS($AG$2:AG720),$AG$2:$AG$1001,0),0), INDEX($AN$1004:$BO$1004,1,MATCH(COLUMNS($AN$1006:BB1006),$AN$1006:$BO$1006,0)))),"Fix")))</f>
        <v>0</v>
      </c>
      <c r="Q720" s="4">
        <f>IF(OR(INDEX($AH$2:$AH$1001,MATCH(ROWS($AG$2:AG720),$AG$2:$AG$1001,0),1)&gt;=100000,INDEX($AN$1005:$BO$1005,1,MATCH(COLUMNS($AN$1006:BC1006),$AN$1006:$BO$1006,0))&gt;=100000), " ",IF(INDEX($AN$2:$BO$1001,MATCH(ROWS($AG$2:AG720),$AG$2:$AG$1001,0),MATCH(COLUMNS($AN$1006:BC1006),$AN$1006:$BO$1006,0)), HYPERLINK("#",""), HYPERLINK(CONCATENATE("#Metadata!", ADDRESS(INDEX($AI$2:$AI$1001,MATCH(ROWS($AG$2:AG720),$AG$2:$AG$1001,0),0), INDEX($AN$1004:$BO$1004,1,MATCH(COLUMNS($AN$1006:BC1006),$AN$1006:$BO$1006,0)))),"Fix")))</f>
        <v>0</v>
      </c>
      <c r="R720" s="4">
        <f>IF(OR(INDEX($AH$2:$AH$1001,MATCH(ROWS($AG$2:AG720),$AG$2:$AG$1001,0),1)&gt;=100000,INDEX($AN$1005:$BO$1005,1,MATCH(COLUMNS($AN$1006:BD1006),$AN$1006:$BO$1006,0))&gt;=100000), " ",IF(INDEX($AN$2:$BO$1001,MATCH(ROWS($AG$2:AG720),$AG$2:$AG$1001,0),MATCH(COLUMNS($AN$1006:BD1006),$AN$1006:$BO$1006,0)), HYPERLINK("#",""), HYPERLINK(CONCATENATE("#Metadata!", ADDRESS(INDEX($AI$2:$AI$1001,MATCH(ROWS($AG$2:AG720),$AG$2:$AG$1001,0),0), INDEX($AN$1004:$BO$1004,1,MATCH(COLUMNS($AN$1006:BD1006),$AN$1006:$BO$1006,0)))),"Fix")))</f>
        <v>0</v>
      </c>
      <c r="S720" s="4">
        <f>IF(OR(INDEX($AH$2:$AH$1001,MATCH(ROWS($AG$2:AG720),$AG$2:$AG$1001,0),1)&gt;=100000,INDEX($AN$1005:$BO$1005,1,MATCH(COLUMNS($AN$1006:BE1006),$AN$1006:$BO$1006,0))&gt;=100000), " ",IF(INDEX($AN$2:$BO$1001,MATCH(ROWS($AG$2:AG720),$AG$2:$AG$1001,0),MATCH(COLUMNS($AN$1006:BE1006),$AN$1006:$BO$1006,0)), HYPERLINK("#",""), HYPERLINK(CONCATENATE("#Metadata!", ADDRESS(INDEX($AI$2:$AI$1001,MATCH(ROWS($AG$2:AG720),$AG$2:$AG$1001,0),0), INDEX($AN$1004:$BO$1004,1,MATCH(COLUMNS($AN$1006:BE1006),$AN$1006:$BO$1006,0)))),"Fix")))</f>
        <v>0</v>
      </c>
      <c r="T720" s="4">
        <f>IF(OR(INDEX($AH$2:$AH$1001,MATCH(ROWS($AG$2:AG720),$AG$2:$AG$1001,0),1)&gt;=100000,INDEX($AN$1005:$BO$1005,1,MATCH(COLUMNS($AN$1006:BF1006),$AN$1006:$BO$1006,0))&gt;=100000), " ",IF(INDEX($AN$2:$BO$1001,MATCH(ROWS($AG$2:AG720),$AG$2:$AG$1001,0),MATCH(COLUMNS($AN$1006:BF1006),$AN$1006:$BO$1006,0)), HYPERLINK("#",""), HYPERLINK(CONCATENATE("#Metadata!", ADDRESS(INDEX($AI$2:$AI$1001,MATCH(ROWS($AG$2:AG720),$AG$2:$AG$1001,0),0), INDEX($AN$1004:$BO$1004,1,MATCH(COLUMNS($AN$1006:BF1006),$AN$1006:$BO$1006,0)))),"Fix")))</f>
        <v>0</v>
      </c>
      <c r="U720" s="4">
        <f>IF(OR(INDEX($AH$2:$AH$1001,MATCH(ROWS($AG$2:AG720),$AG$2:$AG$1001,0),1)&gt;=100000,INDEX($AN$1005:$BO$1005,1,MATCH(COLUMNS($AN$1006:BG1006),$AN$1006:$BO$1006,0))&gt;=100000), " ",IF(INDEX($AN$2:$BO$1001,MATCH(ROWS($AG$2:AG720),$AG$2:$AG$1001,0),MATCH(COLUMNS($AN$1006:BG1006),$AN$1006:$BO$1006,0)), HYPERLINK("#",""), HYPERLINK(CONCATENATE("#Metadata!", ADDRESS(INDEX($AI$2:$AI$1001,MATCH(ROWS($AG$2:AG720),$AG$2:$AG$1001,0),0), INDEX($AN$1004:$BO$1004,1,MATCH(COLUMNS($AN$1006:BG1006),$AN$1006:$BO$1006,0)))),"Fix")))</f>
        <v>0</v>
      </c>
      <c r="V720" s="4">
        <f>IF(OR(INDEX($AH$2:$AH$1001,MATCH(ROWS($AG$2:AG720),$AG$2:$AG$1001,0),1)&gt;=100000,INDEX($AN$1005:$BO$1005,1,MATCH(COLUMNS($AN$1006:BH1006),$AN$1006:$BO$1006,0))&gt;=100000), " ",IF(INDEX($AN$2:$BO$1001,MATCH(ROWS($AG$2:AG720),$AG$2:$AG$1001,0),MATCH(COLUMNS($AN$1006:BH1006),$AN$1006:$BO$1006,0)), HYPERLINK("#",""), HYPERLINK(CONCATENATE("#Metadata!", ADDRESS(INDEX($AI$2:$AI$1001,MATCH(ROWS($AG$2:AG720),$AG$2:$AG$1001,0),0), INDEX($AN$1004:$BO$1004,1,MATCH(COLUMNS($AN$1006:BH1006),$AN$1006:$BO$1006,0)))),"Fix")))</f>
        <v>0</v>
      </c>
      <c r="W720" s="4">
        <f>IF(OR(INDEX($AH$2:$AH$1001,MATCH(ROWS($AG$2:AG720),$AG$2:$AG$1001,0),1)&gt;=100000,INDEX($AN$1005:$BO$1005,1,MATCH(COLUMNS($AN$1006:BI1006),$AN$1006:$BO$1006,0))&gt;=100000), " ",IF(INDEX($AN$2:$BO$1001,MATCH(ROWS($AG$2:AG720),$AG$2:$AG$1001,0),MATCH(COLUMNS($AN$1006:BI1006),$AN$1006:$BO$1006,0)), HYPERLINK("#",""), HYPERLINK(CONCATENATE("#Metadata!", ADDRESS(INDEX($AI$2:$AI$1001,MATCH(ROWS($AG$2:AG720),$AG$2:$AG$1001,0),0), INDEX($AN$1004:$BO$1004,1,MATCH(COLUMNS($AN$1006:BI1006),$AN$1006:$BO$1006,0)))),"Fix")))</f>
        <v>0</v>
      </c>
      <c r="X720" s="4">
        <f>IF(OR(INDEX($AH$2:$AH$1001,MATCH(ROWS($AG$2:AG720),$AG$2:$AG$1001,0),1)&gt;=100000,INDEX($AN$1005:$BO$1005,1,MATCH(COLUMNS($AN$1006:BJ1006),$AN$1006:$BO$1006,0))&gt;=100000), " ",IF(INDEX($AN$2:$BO$1001,MATCH(ROWS($AG$2:AG720),$AG$2:$AG$1001,0),MATCH(COLUMNS($AN$1006:BJ1006),$AN$1006:$BO$1006,0)), HYPERLINK("#",""), HYPERLINK(CONCATENATE("#Metadata!", ADDRESS(INDEX($AI$2:$AI$1001,MATCH(ROWS($AG$2:AG720),$AG$2:$AG$1001,0),0), INDEX($AN$1004:$BO$1004,1,MATCH(COLUMNS($AN$1006:BJ1006),$AN$1006:$BO$1006,0)))),"Fix")))</f>
        <v>0</v>
      </c>
      <c r="Y720" s="4">
        <f>IF(OR(INDEX($AH$2:$AH$1001,MATCH(ROWS($AG$2:AG720),$AG$2:$AG$1001,0),1)&gt;=100000,INDEX($AN$1005:$BO$1005,1,MATCH(COLUMNS($AN$1006:BK1006),$AN$1006:$BO$1006,0))&gt;=100000), " ",IF(INDEX($AN$2:$BO$1001,MATCH(ROWS($AG$2:AG720),$AG$2:$AG$1001,0),MATCH(COLUMNS($AN$1006:BK1006),$AN$1006:$BO$1006,0)), HYPERLINK("#",""), HYPERLINK(CONCATENATE("#Metadata!", ADDRESS(INDEX($AI$2:$AI$1001,MATCH(ROWS($AG$2:AG720),$AG$2:$AG$1001,0),0), INDEX($AN$1004:$BO$1004,1,MATCH(COLUMNS($AN$1006:BK1006),$AN$1006:$BO$1006,0)))),"Fix")))</f>
        <v>0</v>
      </c>
      <c r="Z720" s="4">
        <f>IF(OR(INDEX($AH$2:$AH$1001,MATCH(ROWS($AG$2:AG720),$AG$2:$AG$1001,0),1)&gt;=100000,INDEX($AN$1005:$BO$1005,1,MATCH(COLUMNS($AN$1006:BL1006),$AN$1006:$BO$1006,0))&gt;=100000), " ",IF(INDEX($AN$2:$BO$1001,MATCH(ROWS($AG$2:AG720),$AG$2:$AG$1001,0),MATCH(COLUMNS($AN$1006:BL1006),$AN$1006:$BO$1006,0)), HYPERLINK("#",""), HYPERLINK(CONCATENATE("#Metadata!", ADDRESS(INDEX($AI$2:$AI$1001,MATCH(ROWS($AG$2:AG720),$AG$2:$AG$1001,0),0), INDEX($AN$1004:$BO$1004,1,MATCH(COLUMNS($AN$1006:BL1006),$AN$1006:$BO$1006,0)))),"Fix")))</f>
        <v>0</v>
      </c>
      <c r="AA720" s="4">
        <f>IF(OR(INDEX($AH$2:$AH$1001,MATCH(ROWS($AG$2:AG720),$AG$2:$AG$1001,0),1)&gt;=100000,INDEX($AN$1005:$BO$1005,1,MATCH(COLUMNS($AN$1006:BM1006),$AN$1006:$BO$1006,0))&gt;=100000), " ",IF(INDEX($AN$2:$BO$1001,MATCH(ROWS($AG$2:AG720),$AG$2:$AG$1001,0),MATCH(COLUMNS($AN$1006:BM1006),$AN$1006:$BO$1006,0)), HYPERLINK("#",""), HYPERLINK(CONCATENATE("#Metadata!", ADDRESS(INDEX($AI$2:$AI$1001,MATCH(ROWS($AG$2:AG720),$AG$2:$AG$1001,0),0), INDEX($AN$1004:$BO$1004,1,MATCH(COLUMNS($AN$1006:BM1006),$AN$1006:$BO$1006,0)))),"Fix")))</f>
        <v>0</v>
      </c>
      <c r="AB720" s="4">
        <f>IF(OR(INDEX($AH$2:$AH$1001,MATCH(ROWS($AG$2:AG720),$AG$2:$AG$1001,0),1)&gt;=100000,INDEX($AN$1005:$BO$1005,1,MATCH(COLUMNS($AN$1006:BN1006),$AN$1006:$BO$1006,0))&gt;=100000), " ",IF(INDEX($AN$2:$BO$1001,MATCH(ROWS($AG$2:AG720),$AG$2:$AG$1001,0),MATCH(COLUMNS($AN$1006:BN1006),$AN$1006:$BO$1006,0)), HYPERLINK("#",""), HYPERLINK(CONCATENATE("#Metadata!", ADDRESS(INDEX($AI$2:$AI$1001,MATCH(ROWS($AG$2:AG720),$AG$2:$AG$1001,0),0), INDEX($AN$1004:$BO$1004,1,MATCH(COLUMNS($AN$1006:BN1006),$AN$1006:$BO$1006,0)))),"Fix")))</f>
        <v>0</v>
      </c>
      <c r="AC720" s="4">
        <f>IF(OR(INDEX($AH$2:$AH$1001,MATCH(ROWS($AG$2:AG720),$AG$2:$AG$1001,0),1)&gt;=100000,INDEX($AN$1005:$BO$1005,1,MATCH(COLUMNS($AN$1006:BO1006),$AN$1006:$BO$1006,0))&gt;=100000), " ",IF(INDEX($AN$2:$BO$1001,MATCH(ROWS($AG$2:AG720),$AG$2:$AG$1001,0),MATCH(COLUMNS($AN$1006:BO1006),$AN$1006:$BO$1006,0)), HYPERLINK("#",""), HYPERLINK(CONCATENATE("#Metadata!", ADDRESS(INDEX($AI$2:$AI$1001,MATCH(ROWS($AG$2:AG720),$AG$2:$AG$1001,0),0), INDEX($AN$1004:$BO$1004,1,MATCH(COLUMNS($AN$1006:BO1006),$AN$1006:$BO$1006,0)))),"Fix")))</f>
        <v>0</v>
      </c>
      <c r="AG720">
        <v>0</v>
      </c>
      <c r="AH720">
        <v>0</v>
      </c>
      <c r="AI720">
        <v>0</v>
      </c>
      <c r="AJ720">
        <f>IF(AK720,TRUE,AND(AN720:BO720))</f>
        <v>0</v>
      </c>
      <c r="AK720">
        <f>COUNTBLANK(Metadata!B720:AC720)=COLUMNS(Metadata!B720:AC720)</f>
        <v>0</v>
      </c>
      <c r="AL720">
        <v>0</v>
      </c>
      <c r="AN720">
        <f>AND(IF(Metadata!B720="",FALSE,TRUE),COUNTIF(Metadata!B:B, Metadata!B720) = 1,NOT(ISERROR(SUMPRODUCT(SEARCH(MID(Metadata!B720,ROW(INDIRECT("1:"&amp;LEN(Metadata!B720))), 1),"0123456789abcdefghijklmnopqrstuvwxyzABCDEFGHIJKLMNOPQRSTUVWXYZ.")))))</f>
        <v>0</v>
      </c>
      <c r="AO720">
        <f>IF(Metadata!C720="",FALSE,TRUE)</f>
        <v>0</v>
      </c>
      <c r="AP720">
        <f>IF(Metadata!D720="",FALSE,TRUE)</f>
        <v>0</v>
      </c>
      <c r="AQ720">
        <f>OR(AND(IF(Metadata!E720="",FALSE,TRUE),OR(exact(Metadata!E720,"not collected"),exact(Metadata!E720,"not provided"),exact(Metadata!E720,"restricted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R720">
        <f>IF(Metadata!F720="",FALSE,TRUE)</f>
        <v>0</v>
      </c>
      <c r="AS720">
        <f>OR(AND(IF(Metadata!G720="",FALSE,TRUE),OR(exact(Metadata!G720,"not collected"),exact(Metadata!G720,"not provided"))),AND(IF(Metadata!G720="",FALSE,TRUE),OR(exact(Metadata!G720,"TRUE"),exact(Metadata!G720,"FALSE"))))</f>
        <v>0</v>
      </c>
      <c r="AT720">
        <f>OR(AND(IF(Metadata!H720="",FALSE,TRUE),OR(exact(Metadata!H720,"not collected"),exact(Metadata!H720,"not provided"),exact(Metadata!H720,"restricted access"))),AND(IF(Metadata!H720="",FALSE,ISNUMBER(VALUE(Metadata!H720))),Metadata!H720&gt;=-413.0))</f>
        <v>0</v>
      </c>
      <c r="AU720">
        <f>AND(IF(Metadata!I720="",FALSE,TRUE),exact(Metadata!I720,"meters"))</f>
        <v>0</v>
      </c>
      <c r="AV720">
        <f>AND(IF(Metadata!J720="",FALSE,TRUE),OR(exact(Metadata!J720,"Host-associated"),exact(Metadata!J720,"Free-living")))</f>
        <v>0</v>
      </c>
      <c r="AW720">
        <f>AND(IF(Metadata!K720="",FALSE,TRUE),OR(exact(Metadata!K720,"Animal"),exact(Metadata!K720,"Fungus"),exact(Metadata!K720,"Plant"),exact(Metadata!K720,"Saline"),exact(Metadata!K720,"Non-saline")))</f>
        <v>0</v>
      </c>
      <c r="AX720">
        <f>AND(IF(Metadata!L720="",FALSE,TRUE),OR(exact(Metadata!L720,"Plant secretion"),exact(Metadata!L720,"Plant rhizosphere"),exact(Metadata!L720,"Plant surface"),exact(Metadata!L720,"Plant corpus"),exact(Metadata!L720,"Fungus surface"),exact(Metadata!L720,"Fungus corpus"),exact(Metadata!L720,"Animal surface"),exact(Metadata!L720,"Animal proximal gut"),exact(Metadata!L720,"Animal corpus"),exact(Metadata!L720,"Animal distal gut"),exact(Metadata!L720,"Animal secretion"),exact(Metadata!L720,"Sub-surface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Y720">
        <f>IF(Metadata!M720="",FALSE,TRUE)</f>
        <v>0</v>
      </c>
      <c r="AZ720">
        <f>IF(Metadata!N720="",FALSE,TRUE)</f>
        <v>0</v>
      </c>
      <c r="BA720">
        <f>IF(Metadata!O720="",FALSE,TRUE)</f>
        <v>0</v>
      </c>
      <c r="BB720">
        <f>OR(AND(IF(Metadata!P720="",FALSE,TRUE),OR(exact(Metadata!P720,"not collected"),exact(Metadata!P720,"not provided"),exact(Metadata!P720,"restricted access"))),AND(IF(Metadata!P720="",FALSE,TRUE),OR(exact(Metadata!P720,"air"),exact(Metadata!P720,"built environment"),exact(Metadata!P720,"host-associated"),exact(Metadata!P720,"human-associated"),exact(Metadata!P720,"human-skin"),exact(Metadata!P720,"human-oral"),exact(Metadata!P720,"human-gut"),exact(Metadata!P720,"human-vaginal"),exact(Metadata!P720,"microbial mat/biofilm"),exact(Metadata!P720,"misc environment"),exact(Metadata!P720,"plant-associated"),exact(Metadata!P720,"sediment"),exact(Metadata!P720,"soil"),exact(Metadata!P720,"wastewater/sludge"),exact(Metadata!P720,"water"))))</f>
        <v>0</v>
      </c>
      <c r="BC720">
        <f>IF(Metadata!Q720="",FALSE,TRUE)</f>
        <v>0</v>
      </c>
      <c r="BD720">
        <f>IF(Metadata!R720="",FALSE,TRUE)</f>
        <v>0</v>
      </c>
      <c r="BE720">
        <f>OR(AND(IF(Metadata!S720="",FALSE,TRUE),OR(exact(Metadata!S720,"not collected"),exact(Metadata!S720,"not provided"),exact(Metadata!S720,"restricted access"))),AND(IF(Metadata!S720="",FALSE,ISNUMBER(VALUE(Metadata!S720))),Metadata!S720&gt;=-90.00,Metadata!S720&lt;=90.00))</f>
        <v>0</v>
      </c>
      <c r="BF720">
        <f>AND(IF(Metadata!T720="",FALSE,TRUE),exact(Metadata!T720,"Decimal degrees"))</f>
        <v>0</v>
      </c>
      <c r="BG720">
        <f>OR(AND(IF(Metadata!U720="",FALSE,TRUE),OR(exact(Metadata!U720,"not collected"),exact(Metadata!U720,"not provided"),exact(Metadata!U720,"restricted access"))),AND(IF(Metadata!U720="",FALSE,ISNUMBER(VALUE(Metadata!U720))),Metadata!U720&gt;=-180.00,Metadata!U720&lt;=180.00))</f>
        <v>0</v>
      </c>
      <c r="BH720">
        <f>AND(IF(Metadata!V720="",FALSE,TRUE),exact(Metadata!V720,"Decimal degrees"))</f>
        <v>0</v>
      </c>
      <c r="BI720">
        <f>IF(Metadata!W720="",FALSE,TRUE)</f>
        <v>0</v>
      </c>
      <c r="BJ720">
        <f>OR(AND(IF(Metadata!X720="",FALSE,TRUE),OR(exact(Metadata!X720,"not collected"),exact(Metadata!X720,"not provided"),exact(Metadata!X720,"restricted access"))),AND(IF(Metadata!X720="",FALSE,TRUE),OR(exact(Metadata!X720,"TRUE"),exact(Metadata!X720,"FALSE"))))</f>
        <v>0</v>
      </c>
      <c r="BK720">
        <f>AND(IF(Metadata!Y720="",FALSE,TRUE),exact(Metadata!Y720,"other"))</f>
        <v>0</v>
      </c>
      <c r="BL720">
        <f>IF(Metadata!Z720="",FALSE,TRUE)</f>
        <v>0</v>
      </c>
      <c r="BM720">
        <f>OR(AND(IF(Metadata!AA720="",FALSE,TRUE),OR(exact(Metadata!AA720,"not collected"),exact(Metadata!AA720,"not provided"))),AND(IF(Metadata!AA720="",FALSE,IF(ISERROR(INT(Metadata!AA720)),FALSE,INT(Metadata!AA720)=Metadata!AA720)),Metadata!AA720&gt;0))</f>
        <v>0</v>
      </c>
      <c r="BN720">
        <f>AND(IF(Metadata!AB720="",FALSE,TRUE),exact(Metadata!AB720,"Not applicable"))</f>
        <v>0</v>
      </c>
      <c r="BO720">
        <f>IF(Metadata!AC720="",FALSE,TRUE)</f>
        <v>0</v>
      </c>
    </row>
    <row r="721" spans="1:67">
      <c r="A721" s="5">
        <f>IF(B721=" "," ",HYPERLINK(CONCATENATE("#metadata!",ADDRESS(INDEX($AI$2:$AI$1001,MATCH(ROWS($AG$2:AG721),$AG$2:$AG$1001,0),0),1)),INDEX($AL$2:$AL$1001,MATCH(ROWS($AG$2:AG721),$AG$2:$AG$1001,0),0)))</f>
        <v>0</v>
      </c>
      <c r="B721" s="4">
        <f>IF(OR(INDEX($AH$2:$AH$1001,MATCH(ROWS($AG$2:AG721),$AG$2:$AG$1001,0),1)&gt;=100000,INDEX($AN$1005:$BO$1005,1,MATCH(COLUMNS($AN$1006:AN1006),$AN$1006:$BO$1006,0))&gt;=100000), " ",IF(INDEX($AN$2:$BO$1001,MATCH(ROWS($AG$2:AG721),$AG$2:$AG$1001,0),MATCH(COLUMNS($AN$1006:AN1006),$AN$1006:$BO$1006,0)), HYPERLINK("#",""), HYPERLINK(CONCATENATE("#Metadata!", ADDRESS(INDEX($AI$2:$AI$1001,MATCH(ROWS($AG$2:AG721),$AG$2:$AG$1001,0),0), INDEX($AN$1004:$BO$1004,1,MATCH(COLUMNS($AN$1006:AN1006),$AN$1006:$BO$1006,0)))),"Fix")))</f>
        <v>0</v>
      </c>
      <c r="C721" s="4">
        <f>IF(OR(INDEX($AH$2:$AH$1001,MATCH(ROWS($AG$2:AG721),$AG$2:$AG$1001,0),1)&gt;=100000,INDEX($AN$1005:$BO$1005,1,MATCH(COLUMNS($AN$1006:AO1006),$AN$1006:$BO$1006,0))&gt;=100000), " ",IF(INDEX($AN$2:$BO$1001,MATCH(ROWS($AG$2:AG721),$AG$2:$AG$1001,0),MATCH(COLUMNS($AN$1006:AO1006),$AN$1006:$BO$1006,0)), HYPERLINK("#",""), HYPERLINK(CONCATENATE("#Metadata!", ADDRESS(INDEX($AI$2:$AI$1001,MATCH(ROWS($AG$2:AG721),$AG$2:$AG$1001,0),0), INDEX($AN$1004:$BO$1004,1,MATCH(COLUMNS($AN$1006:AO1006),$AN$1006:$BO$1006,0)))),"Fix")))</f>
        <v>0</v>
      </c>
      <c r="D721" s="4">
        <f>IF(OR(INDEX($AH$2:$AH$1001,MATCH(ROWS($AG$2:AG721),$AG$2:$AG$1001,0),1)&gt;=100000,INDEX($AN$1005:$BO$1005,1,MATCH(COLUMNS($AN$1006:AP1006),$AN$1006:$BO$1006,0))&gt;=100000), " ",IF(INDEX($AN$2:$BO$1001,MATCH(ROWS($AG$2:AG721),$AG$2:$AG$1001,0),MATCH(COLUMNS($AN$1006:AP1006),$AN$1006:$BO$1006,0)), HYPERLINK("#",""), HYPERLINK(CONCATENATE("#Metadata!", ADDRESS(INDEX($AI$2:$AI$1001,MATCH(ROWS($AG$2:AG721),$AG$2:$AG$1001,0),0), INDEX($AN$1004:$BO$1004,1,MATCH(COLUMNS($AN$1006:AP1006),$AN$1006:$BO$1006,0)))),"Fix")))</f>
        <v>0</v>
      </c>
      <c r="E721" s="4">
        <f>IF(OR(INDEX($AH$2:$AH$1001,MATCH(ROWS($AG$2:AG721),$AG$2:$AG$1001,0),1)&gt;=100000,INDEX($AN$1005:$BO$1005,1,MATCH(COLUMNS($AN$1006:AQ1006),$AN$1006:$BO$1006,0))&gt;=100000), " ",IF(INDEX($AN$2:$BO$1001,MATCH(ROWS($AG$2:AG721),$AG$2:$AG$1001,0),MATCH(COLUMNS($AN$1006:AQ1006),$AN$1006:$BO$1006,0)), HYPERLINK("#",""), HYPERLINK(CONCATENATE("#Metadata!", ADDRESS(INDEX($AI$2:$AI$1001,MATCH(ROWS($AG$2:AG721),$AG$2:$AG$1001,0),0), INDEX($AN$1004:$BO$1004,1,MATCH(COLUMNS($AN$1006:AQ1006),$AN$1006:$BO$1006,0)))),"Fix")))</f>
        <v>0</v>
      </c>
      <c r="F721" s="4">
        <f>IF(OR(INDEX($AH$2:$AH$1001,MATCH(ROWS($AG$2:AG721),$AG$2:$AG$1001,0),1)&gt;=100000,INDEX($AN$1005:$BO$1005,1,MATCH(COLUMNS($AN$1006:AR1006),$AN$1006:$BO$1006,0))&gt;=100000), " ",IF(INDEX($AN$2:$BO$1001,MATCH(ROWS($AG$2:AG721),$AG$2:$AG$1001,0),MATCH(COLUMNS($AN$1006:AR1006),$AN$1006:$BO$1006,0)), HYPERLINK("#",""), HYPERLINK(CONCATENATE("#Metadata!", ADDRESS(INDEX($AI$2:$AI$1001,MATCH(ROWS($AG$2:AG721),$AG$2:$AG$1001,0),0), INDEX($AN$1004:$BO$1004,1,MATCH(COLUMNS($AN$1006:AR1006),$AN$1006:$BO$1006,0)))),"Fix")))</f>
        <v>0</v>
      </c>
      <c r="G721" s="4">
        <f>IF(OR(INDEX($AH$2:$AH$1001,MATCH(ROWS($AG$2:AG721),$AG$2:$AG$1001,0),1)&gt;=100000,INDEX($AN$1005:$BO$1005,1,MATCH(COLUMNS($AN$1006:AS1006),$AN$1006:$BO$1006,0))&gt;=100000), " ",IF(INDEX($AN$2:$BO$1001,MATCH(ROWS($AG$2:AG721),$AG$2:$AG$1001,0),MATCH(COLUMNS($AN$1006:AS1006),$AN$1006:$BO$1006,0)), HYPERLINK("#",""), HYPERLINK(CONCATENATE("#Metadata!", ADDRESS(INDEX($AI$2:$AI$1001,MATCH(ROWS($AG$2:AG721),$AG$2:$AG$1001,0),0), INDEX($AN$1004:$BO$1004,1,MATCH(COLUMNS($AN$1006:AS1006),$AN$1006:$BO$1006,0)))),"Fix")))</f>
        <v>0</v>
      </c>
      <c r="H721" s="4">
        <f>IF(OR(INDEX($AH$2:$AH$1001,MATCH(ROWS($AG$2:AG721),$AG$2:$AG$1001,0),1)&gt;=100000,INDEX($AN$1005:$BO$1005,1,MATCH(COLUMNS($AN$1006:AT1006),$AN$1006:$BO$1006,0))&gt;=100000), " ",IF(INDEX($AN$2:$BO$1001,MATCH(ROWS($AG$2:AG721),$AG$2:$AG$1001,0),MATCH(COLUMNS($AN$1006:AT1006),$AN$1006:$BO$1006,0)), HYPERLINK("#",""), HYPERLINK(CONCATENATE("#Metadata!", ADDRESS(INDEX($AI$2:$AI$1001,MATCH(ROWS($AG$2:AG721),$AG$2:$AG$1001,0),0), INDEX($AN$1004:$BO$1004,1,MATCH(COLUMNS($AN$1006:AT1006),$AN$1006:$BO$1006,0)))),"Fix")))</f>
        <v>0</v>
      </c>
      <c r="I721" s="4">
        <f>IF(OR(INDEX($AH$2:$AH$1001,MATCH(ROWS($AG$2:AG721),$AG$2:$AG$1001,0),1)&gt;=100000,INDEX($AN$1005:$BO$1005,1,MATCH(COLUMNS($AN$1006:AU1006),$AN$1006:$BO$1006,0))&gt;=100000), " ",IF(INDEX($AN$2:$BO$1001,MATCH(ROWS($AG$2:AG721),$AG$2:$AG$1001,0),MATCH(COLUMNS($AN$1006:AU1006),$AN$1006:$BO$1006,0)), HYPERLINK("#",""), HYPERLINK(CONCATENATE("#Metadata!", ADDRESS(INDEX($AI$2:$AI$1001,MATCH(ROWS($AG$2:AG721),$AG$2:$AG$1001,0),0), INDEX($AN$1004:$BO$1004,1,MATCH(COLUMNS($AN$1006:AU1006),$AN$1006:$BO$1006,0)))),"Fix")))</f>
        <v>0</v>
      </c>
      <c r="J721" s="4">
        <f>IF(OR(INDEX($AH$2:$AH$1001,MATCH(ROWS($AG$2:AG721),$AG$2:$AG$1001,0),1)&gt;=100000,INDEX($AN$1005:$BO$1005,1,MATCH(COLUMNS($AN$1006:AV1006),$AN$1006:$BO$1006,0))&gt;=100000), " ",IF(INDEX($AN$2:$BO$1001,MATCH(ROWS($AG$2:AG721),$AG$2:$AG$1001,0),MATCH(COLUMNS($AN$1006:AV1006),$AN$1006:$BO$1006,0)), HYPERLINK("#",""), HYPERLINK(CONCATENATE("#Metadata!", ADDRESS(INDEX($AI$2:$AI$1001,MATCH(ROWS($AG$2:AG721),$AG$2:$AG$1001,0),0), INDEX($AN$1004:$BO$1004,1,MATCH(COLUMNS($AN$1006:AV1006),$AN$1006:$BO$1006,0)))),"Fix")))</f>
        <v>0</v>
      </c>
      <c r="K721" s="4">
        <f>IF(OR(INDEX($AH$2:$AH$1001,MATCH(ROWS($AG$2:AG721),$AG$2:$AG$1001,0),1)&gt;=100000,INDEX($AN$1005:$BO$1005,1,MATCH(COLUMNS($AN$1006:AW1006),$AN$1006:$BO$1006,0))&gt;=100000), " ",IF(INDEX($AN$2:$BO$1001,MATCH(ROWS($AG$2:AG721),$AG$2:$AG$1001,0),MATCH(COLUMNS($AN$1006:AW1006),$AN$1006:$BO$1006,0)), HYPERLINK("#",""), HYPERLINK(CONCATENATE("#Metadata!", ADDRESS(INDEX($AI$2:$AI$1001,MATCH(ROWS($AG$2:AG721),$AG$2:$AG$1001,0),0), INDEX($AN$1004:$BO$1004,1,MATCH(COLUMNS($AN$1006:AW1006),$AN$1006:$BO$1006,0)))),"Fix")))</f>
        <v>0</v>
      </c>
      <c r="L721" s="4">
        <f>IF(OR(INDEX($AH$2:$AH$1001,MATCH(ROWS($AG$2:AG721),$AG$2:$AG$1001,0),1)&gt;=100000,INDEX($AN$1005:$BO$1005,1,MATCH(COLUMNS($AN$1006:AX1006),$AN$1006:$BO$1006,0))&gt;=100000), " ",IF(INDEX($AN$2:$BO$1001,MATCH(ROWS($AG$2:AG721),$AG$2:$AG$1001,0),MATCH(COLUMNS($AN$1006:AX1006),$AN$1006:$BO$1006,0)), HYPERLINK("#",""), HYPERLINK(CONCATENATE("#Metadata!", ADDRESS(INDEX($AI$2:$AI$1001,MATCH(ROWS($AG$2:AG721),$AG$2:$AG$1001,0),0), INDEX($AN$1004:$BO$1004,1,MATCH(COLUMNS($AN$1006:AX1006),$AN$1006:$BO$1006,0)))),"Fix")))</f>
        <v>0</v>
      </c>
      <c r="M721" s="4">
        <f>IF(OR(INDEX($AH$2:$AH$1001,MATCH(ROWS($AG$2:AG721),$AG$2:$AG$1001,0),1)&gt;=100000,INDEX($AN$1005:$BO$1005,1,MATCH(COLUMNS($AN$1006:AY1006),$AN$1006:$BO$1006,0))&gt;=100000), " ",IF(INDEX($AN$2:$BO$1001,MATCH(ROWS($AG$2:AG721),$AG$2:$AG$1001,0),MATCH(COLUMNS($AN$1006:AY1006),$AN$1006:$BO$1006,0)), HYPERLINK("#",""), HYPERLINK(CONCATENATE("#Metadata!", ADDRESS(INDEX($AI$2:$AI$1001,MATCH(ROWS($AG$2:AG721),$AG$2:$AG$1001,0),0), INDEX($AN$1004:$BO$1004,1,MATCH(COLUMNS($AN$1006:AY1006),$AN$1006:$BO$1006,0)))),"Fix")))</f>
        <v>0</v>
      </c>
      <c r="N721" s="4">
        <f>IF(OR(INDEX($AH$2:$AH$1001,MATCH(ROWS($AG$2:AG721),$AG$2:$AG$1001,0),1)&gt;=100000,INDEX($AN$1005:$BO$1005,1,MATCH(COLUMNS($AN$1006:AZ1006),$AN$1006:$BO$1006,0))&gt;=100000), " ",IF(INDEX($AN$2:$BO$1001,MATCH(ROWS($AG$2:AG721),$AG$2:$AG$1001,0),MATCH(COLUMNS($AN$1006:AZ1006),$AN$1006:$BO$1006,0)), HYPERLINK("#",""), HYPERLINK(CONCATENATE("#Metadata!", ADDRESS(INDEX($AI$2:$AI$1001,MATCH(ROWS($AG$2:AG721),$AG$2:$AG$1001,0),0), INDEX($AN$1004:$BO$1004,1,MATCH(COLUMNS($AN$1006:AZ1006),$AN$1006:$BO$1006,0)))),"Fix")))</f>
        <v>0</v>
      </c>
      <c r="O721" s="4">
        <f>IF(OR(INDEX($AH$2:$AH$1001,MATCH(ROWS($AG$2:AG721),$AG$2:$AG$1001,0),1)&gt;=100000,INDEX($AN$1005:$BO$1005,1,MATCH(COLUMNS($AN$1006:BA1006),$AN$1006:$BO$1006,0))&gt;=100000), " ",IF(INDEX($AN$2:$BO$1001,MATCH(ROWS($AG$2:AG721),$AG$2:$AG$1001,0),MATCH(COLUMNS($AN$1006:BA1006),$AN$1006:$BO$1006,0)), HYPERLINK("#",""), HYPERLINK(CONCATENATE("#Metadata!", ADDRESS(INDEX($AI$2:$AI$1001,MATCH(ROWS($AG$2:AG721),$AG$2:$AG$1001,0),0), INDEX($AN$1004:$BO$1004,1,MATCH(COLUMNS($AN$1006:BA1006),$AN$1006:$BO$1006,0)))),"Fix")))</f>
        <v>0</v>
      </c>
      <c r="P721" s="4">
        <f>IF(OR(INDEX($AH$2:$AH$1001,MATCH(ROWS($AG$2:AG721),$AG$2:$AG$1001,0),1)&gt;=100000,INDEX($AN$1005:$BO$1005,1,MATCH(COLUMNS($AN$1006:BB1006),$AN$1006:$BO$1006,0))&gt;=100000), " ",IF(INDEX($AN$2:$BO$1001,MATCH(ROWS($AG$2:AG721),$AG$2:$AG$1001,0),MATCH(COLUMNS($AN$1006:BB1006),$AN$1006:$BO$1006,0)), HYPERLINK("#",""), HYPERLINK(CONCATENATE("#Metadata!", ADDRESS(INDEX($AI$2:$AI$1001,MATCH(ROWS($AG$2:AG721),$AG$2:$AG$1001,0),0), INDEX($AN$1004:$BO$1004,1,MATCH(COLUMNS($AN$1006:BB1006),$AN$1006:$BO$1006,0)))),"Fix")))</f>
        <v>0</v>
      </c>
      <c r="Q721" s="4">
        <f>IF(OR(INDEX($AH$2:$AH$1001,MATCH(ROWS($AG$2:AG721),$AG$2:$AG$1001,0),1)&gt;=100000,INDEX($AN$1005:$BO$1005,1,MATCH(COLUMNS($AN$1006:BC1006),$AN$1006:$BO$1006,0))&gt;=100000), " ",IF(INDEX($AN$2:$BO$1001,MATCH(ROWS($AG$2:AG721),$AG$2:$AG$1001,0),MATCH(COLUMNS($AN$1006:BC1006),$AN$1006:$BO$1006,0)), HYPERLINK("#",""), HYPERLINK(CONCATENATE("#Metadata!", ADDRESS(INDEX($AI$2:$AI$1001,MATCH(ROWS($AG$2:AG721),$AG$2:$AG$1001,0),0), INDEX($AN$1004:$BO$1004,1,MATCH(COLUMNS($AN$1006:BC1006),$AN$1006:$BO$1006,0)))),"Fix")))</f>
        <v>0</v>
      </c>
      <c r="R721" s="4">
        <f>IF(OR(INDEX($AH$2:$AH$1001,MATCH(ROWS($AG$2:AG721),$AG$2:$AG$1001,0),1)&gt;=100000,INDEX($AN$1005:$BO$1005,1,MATCH(COLUMNS($AN$1006:BD1006),$AN$1006:$BO$1006,0))&gt;=100000), " ",IF(INDEX($AN$2:$BO$1001,MATCH(ROWS($AG$2:AG721),$AG$2:$AG$1001,0),MATCH(COLUMNS($AN$1006:BD1006),$AN$1006:$BO$1006,0)), HYPERLINK("#",""), HYPERLINK(CONCATENATE("#Metadata!", ADDRESS(INDEX($AI$2:$AI$1001,MATCH(ROWS($AG$2:AG721),$AG$2:$AG$1001,0),0), INDEX($AN$1004:$BO$1004,1,MATCH(COLUMNS($AN$1006:BD1006),$AN$1006:$BO$1006,0)))),"Fix")))</f>
        <v>0</v>
      </c>
      <c r="S721" s="4">
        <f>IF(OR(INDEX($AH$2:$AH$1001,MATCH(ROWS($AG$2:AG721),$AG$2:$AG$1001,0),1)&gt;=100000,INDEX($AN$1005:$BO$1005,1,MATCH(COLUMNS($AN$1006:BE1006),$AN$1006:$BO$1006,0))&gt;=100000), " ",IF(INDEX($AN$2:$BO$1001,MATCH(ROWS($AG$2:AG721),$AG$2:$AG$1001,0),MATCH(COLUMNS($AN$1006:BE1006),$AN$1006:$BO$1006,0)), HYPERLINK("#",""), HYPERLINK(CONCATENATE("#Metadata!", ADDRESS(INDEX($AI$2:$AI$1001,MATCH(ROWS($AG$2:AG721),$AG$2:$AG$1001,0),0), INDEX($AN$1004:$BO$1004,1,MATCH(COLUMNS($AN$1006:BE1006),$AN$1006:$BO$1006,0)))),"Fix")))</f>
        <v>0</v>
      </c>
      <c r="T721" s="4">
        <f>IF(OR(INDEX($AH$2:$AH$1001,MATCH(ROWS($AG$2:AG721),$AG$2:$AG$1001,0),1)&gt;=100000,INDEX($AN$1005:$BO$1005,1,MATCH(COLUMNS($AN$1006:BF1006),$AN$1006:$BO$1006,0))&gt;=100000), " ",IF(INDEX($AN$2:$BO$1001,MATCH(ROWS($AG$2:AG721),$AG$2:$AG$1001,0),MATCH(COLUMNS($AN$1006:BF1006),$AN$1006:$BO$1006,0)), HYPERLINK("#",""), HYPERLINK(CONCATENATE("#Metadata!", ADDRESS(INDEX($AI$2:$AI$1001,MATCH(ROWS($AG$2:AG721),$AG$2:$AG$1001,0),0), INDEX($AN$1004:$BO$1004,1,MATCH(COLUMNS($AN$1006:BF1006),$AN$1006:$BO$1006,0)))),"Fix")))</f>
        <v>0</v>
      </c>
      <c r="U721" s="4">
        <f>IF(OR(INDEX($AH$2:$AH$1001,MATCH(ROWS($AG$2:AG721),$AG$2:$AG$1001,0),1)&gt;=100000,INDEX($AN$1005:$BO$1005,1,MATCH(COLUMNS($AN$1006:BG1006),$AN$1006:$BO$1006,0))&gt;=100000), " ",IF(INDEX($AN$2:$BO$1001,MATCH(ROWS($AG$2:AG721),$AG$2:$AG$1001,0),MATCH(COLUMNS($AN$1006:BG1006),$AN$1006:$BO$1006,0)), HYPERLINK("#",""), HYPERLINK(CONCATENATE("#Metadata!", ADDRESS(INDEX($AI$2:$AI$1001,MATCH(ROWS($AG$2:AG721),$AG$2:$AG$1001,0),0), INDEX($AN$1004:$BO$1004,1,MATCH(COLUMNS($AN$1006:BG1006),$AN$1006:$BO$1006,0)))),"Fix")))</f>
        <v>0</v>
      </c>
      <c r="V721" s="4">
        <f>IF(OR(INDEX($AH$2:$AH$1001,MATCH(ROWS($AG$2:AG721),$AG$2:$AG$1001,0),1)&gt;=100000,INDEX($AN$1005:$BO$1005,1,MATCH(COLUMNS($AN$1006:BH1006),$AN$1006:$BO$1006,0))&gt;=100000), " ",IF(INDEX($AN$2:$BO$1001,MATCH(ROWS($AG$2:AG721),$AG$2:$AG$1001,0),MATCH(COLUMNS($AN$1006:BH1006),$AN$1006:$BO$1006,0)), HYPERLINK("#",""), HYPERLINK(CONCATENATE("#Metadata!", ADDRESS(INDEX($AI$2:$AI$1001,MATCH(ROWS($AG$2:AG721),$AG$2:$AG$1001,0),0), INDEX($AN$1004:$BO$1004,1,MATCH(COLUMNS($AN$1006:BH1006),$AN$1006:$BO$1006,0)))),"Fix")))</f>
        <v>0</v>
      </c>
      <c r="W721" s="4">
        <f>IF(OR(INDEX($AH$2:$AH$1001,MATCH(ROWS($AG$2:AG721),$AG$2:$AG$1001,0),1)&gt;=100000,INDEX($AN$1005:$BO$1005,1,MATCH(COLUMNS($AN$1006:BI1006),$AN$1006:$BO$1006,0))&gt;=100000), " ",IF(INDEX($AN$2:$BO$1001,MATCH(ROWS($AG$2:AG721),$AG$2:$AG$1001,0),MATCH(COLUMNS($AN$1006:BI1006),$AN$1006:$BO$1006,0)), HYPERLINK("#",""), HYPERLINK(CONCATENATE("#Metadata!", ADDRESS(INDEX($AI$2:$AI$1001,MATCH(ROWS($AG$2:AG721),$AG$2:$AG$1001,0),0), INDEX($AN$1004:$BO$1004,1,MATCH(COLUMNS($AN$1006:BI1006),$AN$1006:$BO$1006,0)))),"Fix")))</f>
        <v>0</v>
      </c>
      <c r="X721" s="4">
        <f>IF(OR(INDEX($AH$2:$AH$1001,MATCH(ROWS($AG$2:AG721),$AG$2:$AG$1001,0),1)&gt;=100000,INDEX($AN$1005:$BO$1005,1,MATCH(COLUMNS($AN$1006:BJ1006),$AN$1006:$BO$1006,0))&gt;=100000), " ",IF(INDEX($AN$2:$BO$1001,MATCH(ROWS($AG$2:AG721),$AG$2:$AG$1001,0),MATCH(COLUMNS($AN$1006:BJ1006),$AN$1006:$BO$1006,0)), HYPERLINK("#",""), HYPERLINK(CONCATENATE("#Metadata!", ADDRESS(INDEX($AI$2:$AI$1001,MATCH(ROWS($AG$2:AG721),$AG$2:$AG$1001,0),0), INDEX($AN$1004:$BO$1004,1,MATCH(COLUMNS($AN$1006:BJ1006),$AN$1006:$BO$1006,0)))),"Fix")))</f>
        <v>0</v>
      </c>
      <c r="Y721" s="4">
        <f>IF(OR(INDEX($AH$2:$AH$1001,MATCH(ROWS($AG$2:AG721),$AG$2:$AG$1001,0),1)&gt;=100000,INDEX($AN$1005:$BO$1005,1,MATCH(COLUMNS($AN$1006:BK1006),$AN$1006:$BO$1006,0))&gt;=100000), " ",IF(INDEX($AN$2:$BO$1001,MATCH(ROWS($AG$2:AG721),$AG$2:$AG$1001,0),MATCH(COLUMNS($AN$1006:BK1006),$AN$1006:$BO$1006,0)), HYPERLINK("#",""), HYPERLINK(CONCATENATE("#Metadata!", ADDRESS(INDEX($AI$2:$AI$1001,MATCH(ROWS($AG$2:AG721),$AG$2:$AG$1001,0),0), INDEX($AN$1004:$BO$1004,1,MATCH(COLUMNS($AN$1006:BK1006),$AN$1006:$BO$1006,0)))),"Fix")))</f>
        <v>0</v>
      </c>
      <c r="Z721" s="4">
        <f>IF(OR(INDEX($AH$2:$AH$1001,MATCH(ROWS($AG$2:AG721),$AG$2:$AG$1001,0),1)&gt;=100000,INDEX($AN$1005:$BO$1005,1,MATCH(COLUMNS($AN$1006:BL1006),$AN$1006:$BO$1006,0))&gt;=100000), " ",IF(INDEX($AN$2:$BO$1001,MATCH(ROWS($AG$2:AG721),$AG$2:$AG$1001,0),MATCH(COLUMNS($AN$1006:BL1006),$AN$1006:$BO$1006,0)), HYPERLINK("#",""), HYPERLINK(CONCATENATE("#Metadata!", ADDRESS(INDEX($AI$2:$AI$1001,MATCH(ROWS($AG$2:AG721),$AG$2:$AG$1001,0),0), INDEX($AN$1004:$BO$1004,1,MATCH(COLUMNS($AN$1006:BL1006),$AN$1006:$BO$1006,0)))),"Fix")))</f>
        <v>0</v>
      </c>
      <c r="AA721" s="4">
        <f>IF(OR(INDEX($AH$2:$AH$1001,MATCH(ROWS($AG$2:AG721),$AG$2:$AG$1001,0),1)&gt;=100000,INDEX($AN$1005:$BO$1005,1,MATCH(COLUMNS($AN$1006:BM1006),$AN$1006:$BO$1006,0))&gt;=100000), " ",IF(INDEX($AN$2:$BO$1001,MATCH(ROWS($AG$2:AG721),$AG$2:$AG$1001,0),MATCH(COLUMNS($AN$1006:BM1006),$AN$1006:$BO$1006,0)), HYPERLINK("#",""), HYPERLINK(CONCATENATE("#Metadata!", ADDRESS(INDEX($AI$2:$AI$1001,MATCH(ROWS($AG$2:AG721),$AG$2:$AG$1001,0),0), INDEX($AN$1004:$BO$1004,1,MATCH(COLUMNS($AN$1006:BM1006),$AN$1006:$BO$1006,0)))),"Fix")))</f>
        <v>0</v>
      </c>
      <c r="AB721" s="4">
        <f>IF(OR(INDEX($AH$2:$AH$1001,MATCH(ROWS($AG$2:AG721),$AG$2:$AG$1001,0),1)&gt;=100000,INDEX($AN$1005:$BO$1005,1,MATCH(COLUMNS($AN$1006:BN1006),$AN$1006:$BO$1006,0))&gt;=100000), " ",IF(INDEX($AN$2:$BO$1001,MATCH(ROWS($AG$2:AG721),$AG$2:$AG$1001,0),MATCH(COLUMNS($AN$1006:BN1006),$AN$1006:$BO$1006,0)), HYPERLINK("#",""), HYPERLINK(CONCATENATE("#Metadata!", ADDRESS(INDEX($AI$2:$AI$1001,MATCH(ROWS($AG$2:AG721),$AG$2:$AG$1001,0),0), INDEX($AN$1004:$BO$1004,1,MATCH(COLUMNS($AN$1006:BN1006),$AN$1006:$BO$1006,0)))),"Fix")))</f>
        <v>0</v>
      </c>
      <c r="AC721" s="4">
        <f>IF(OR(INDEX($AH$2:$AH$1001,MATCH(ROWS($AG$2:AG721),$AG$2:$AG$1001,0),1)&gt;=100000,INDEX($AN$1005:$BO$1005,1,MATCH(COLUMNS($AN$1006:BO1006),$AN$1006:$BO$1006,0))&gt;=100000), " ",IF(INDEX($AN$2:$BO$1001,MATCH(ROWS($AG$2:AG721),$AG$2:$AG$1001,0),MATCH(COLUMNS($AN$1006:BO1006),$AN$1006:$BO$1006,0)), HYPERLINK("#",""), HYPERLINK(CONCATENATE("#Metadata!", ADDRESS(INDEX($AI$2:$AI$1001,MATCH(ROWS($AG$2:AG721),$AG$2:$AG$1001,0),0), INDEX($AN$1004:$BO$1004,1,MATCH(COLUMNS($AN$1006:BO1006),$AN$1006:$BO$1006,0)))),"Fix")))</f>
        <v>0</v>
      </c>
      <c r="AG721">
        <v>0</v>
      </c>
      <c r="AH721">
        <v>0</v>
      </c>
      <c r="AI721">
        <v>0</v>
      </c>
      <c r="AJ721">
        <f>IF(AK721,TRUE,AND(AN721:BO721))</f>
        <v>0</v>
      </c>
      <c r="AK721">
        <f>COUNTBLANK(Metadata!B721:AC721)=COLUMNS(Metadata!B721:AC721)</f>
        <v>0</v>
      </c>
      <c r="AL721">
        <v>0</v>
      </c>
      <c r="AN721">
        <f>AND(IF(Metadata!B721="",FALSE,TRUE),COUNTIF(Metadata!B:B, Metadata!B721) = 1,NOT(ISERROR(SUMPRODUCT(SEARCH(MID(Metadata!B721,ROW(INDIRECT("1:"&amp;LEN(Metadata!B721))), 1),"0123456789abcdefghijklmnopqrstuvwxyzABCDEFGHIJKLMNOPQRSTUVWXYZ.")))))</f>
        <v>0</v>
      </c>
      <c r="AO721">
        <f>IF(Metadata!C721="",FALSE,TRUE)</f>
        <v>0</v>
      </c>
      <c r="AP721">
        <f>IF(Metadata!D721="",FALSE,TRUE)</f>
        <v>0</v>
      </c>
      <c r="AQ721">
        <f>OR(AND(IF(Metadata!E721="",FALSE,TRUE),OR(exact(Metadata!E721,"not collected"),exact(Metadata!E721,"not provided"),exact(Metadata!E721,"restricted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R721">
        <f>IF(Metadata!F721="",FALSE,TRUE)</f>
        <v>0</v>
      </c>
      <c r="AS721">
        <f>OR(AND(IF(Metadata!G721="",FALSE,TRUE),OR(exact(Metadata!G721,"not collected"),exact(Metadata!G721,"not provided"))),AND(IF(Metadata!G721="",FALSE,TRUE),OR(exact(Metadata!G721,"TRUE"),exact(Metadata!G721,"FALSE"))))</f>
        <v>0</v>
      </c>
      <c r="AT721">
        <f>OR(AND(IF(Metadata!H721="",FALSE,TRUE),OR(exact(Metadata!H721,"not collected"),exact(Metadata!H721,"not provided"),exact(Metadata!H721,"restricted access"))),AND(IF(Metadata!H721="",FALSE,ISNUMBER(VALUE(Metadata!H721))),Metadata!H721&gt;=-413.0))</f>
        <v>0</v>
      </c>
      <c r="AU721">
        <f>AND(IF(Metadata!I721="",FALSE,TRUE),exact(Metadata!I721,"meters"))</f>
        <v>0</v>
      </c>
      <c r="AV721">
        <f>AND(IF(Metadata!J721="",FALSE,TRUE),OR(exact(Metadata!J721,"Host-associated"),exact(Metadata!J721,"Free-living")))</f>
        <v>0</v>
      </c>
      <c r="AW721">
        <f>AND(IF(Metadata!K721="",FALSE,TRUE),OR(exact(Metadata!K721,"Animal"),exact(Metadata!K721,"Fungus"),exact(Metadata!K721,"Plant"),exact(Metadata!K721,"Saline"),exact(Metadata!K721,"Non-saline")))</f>
        <v>0</v>
      </c>
      <c r="AX721">
        <f>AND(IF(Metadata!L721="",FALSE,TRUE),OR(exact(Metadata!L721,"Plant secretion"),exact(Metadata!L721,"Plant rhizosphere"),exact(Metadata!L721,"Plant surface"),exact(Metadata!L721,"Plant corpus"),exact(Metadata!L721,"Fungus surface"),exact(Metadata!L721,"Fungus corpus"),exact(Metadata!L721,"Animal surface"),exact(Metadata!L721,"Animal proximal gut"),exact(Metadata!L721,"Animal corpus"),exact(Metadata!L721,"Animal distal gut"),exact(Metadata!L721,"Animal secretion"),exact(Metadata!L721,"Sub-surface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Y721">
        <f>IF(Metadata!M721="",FALSE,TRUE)</f>
        <v>0</v>
      </c>
      <c r="AZ721">
        <f>IF(Metadata!N721="",FALSE,TRUE)</f>
        <v>0</v>
      </c>
      <c r="BA721">
        <f>IF(Metadata!O721="",FALSE,TRUE)</f>
        <v>0</v>
      </c>
      <c r="BB721">
        <f>OR(AND(IF(Metadata!P721="",FALSE,TRUE),OR(exact(Metadata!P721,"not collected"),exact(Metadata!P721,"not provided"),exact(Metadata!P721,"restricted access"))),AND(IF(Metadata!P721="",FALSE,TRUE),OR(exact(Metadata!P721,"air"),exact(Metadata!P721,"built environment"),exact(Metadata!P721,"host-associated"),exact(Metadata!P721,"human-associated"),exact(Metadata!P721,"human-skin"),exact(Metadata!P721,"human-oral"),exact(Metadata!P721,"human-gut"),exact(Metadata!P721,"human-vaginal"),exact(Metadata!P721,"microbial mat/biofilm"),exact(Metadata!P721,"misc environment"),exact(Metadata!P721,"plant-associated"),exact(Metadata!P721,"sediment"),exact(Metadata!P721,"soil"),exact(Metadata!P721,"wastewater/sludge"),exact(Metadata!P721,"water"))))</f>
        <v>0</v>
      </c>
      <c r="BC721">
        <f>IF(Metadata!Q721="",FALSE,TRUE)</f>
        <v>0</v>
      </c>
      <c r="BD721">
        <f>IF(Metadata!R721="",FALSE,TRUE)</f>
        <v>0</v>
      </c>
      <c r="BE721">
        <f>OR(AND(IF(Metadata!S721="",FALSE,TRUE),OR(exact(Metadata!S721,"not collected"),exact(Metadata!S721,"not provided"),exact(Metadata!S721,"restricted access"))),AND(IF(Metadata!S721="",FALSE,ISNUMBER(VALUE(Metadata!S721))),Metadata!S721&gt;=-90.00,Metadata!S721&lt;=90.00))</f>
        <v>0</v>
      </c>
      <c r="BF721">
        <f>AND(IF(Metadata!T721="",FALSE,TRUE),exact(Metadata!T721,"Decimal degrees"))</f>
        <v>0</v>
      </c>
      <c r="BG721">
        <f>OR(AND(IF(Metadata!U721="",FALSE,TRUE),OR(exact(Metadata!U721,"not collected"),exact(Metadata!U721,"not provided"),exact(Metadata!U721,"restricted access"))),AND(IF(Metadata!U721="",FALSE,ISNUMBER(VALUE(Metadata!U721))),Metadata!U721&gt;=-180.00,Metadata!U721&lt;=180.00))</f>
        <v>0</v>
      </c>
      <c r="BH721">
        <f>AND(IF(Metadata!V721="",FALSE,TRUE),exact(Metadata!V721,"Decimal degrees"))</f>
        <v>0</v>
      </c>
      <c r="BI721">
        <f>IF(Metadata!W721="",FALSE,TRUE)</f>
        <v>0</v>
      </c>
      <c r="BJ721">
        <f>OR(AND(IF(Metadata!X721="",FALSE,TRUE),OR(exact(Metadata!X721,"not collected"),exact(Metadata!X721,"not provided"),exact(Metadata!X721,"restricted access"))),AND(IF(Metadata!X721="",FALSE,TRUE),OR(exact(Metadata!X721,"TRUE"),exact(Metadata!X721,"FALSE"))))</f>
        <v>0</v>
      </c>
      <c r="BK721">
        <f>AND(IF(Metadata!Y721="",FALSE,TRUE),exact(Metadata!Y721,"other"))</f>
        <v>0</v>
      </c>
      <c r="BL721">
        <f>IF(Metadata!Z721="",FALSE,TRUE)</f>
        <v>0</v>
      </c>
      <c r="BM721">
        <f>OR(AND(IF(Metadata!AA721="",FALSE,TRUE),OR(exact(Metadata!AA721,"not collected"),exact(Metadata!AA721,"not provided"))),AND(IF(Metadata!AA721="",FALSE,IF(ISERROR(INT(Metadata!AA721)),FALSE,INT(Metadata!AA721)=Metadata!AA721)),Metadata!AA721&gt;0))</f>
        <v>0</v>
      </c>
      <c r="BN721">
        <f>AND(IF(Metadata!AB721="",FALSE,TRUE),exact(Metadata!AB721,"Not applicable"))</f>
        <v>0</v>
      </c>
      <c r="BO721">
        <f>IF(Metadata!AC721="",FALSE,TRUE)</f>
        <v>0</v>
      </c>
    </row>
    <row r="722" spans="1:67">
      <c r="A722" s="5">
        <f>IF(B722=" "," ",HYPERLINK(CONCATENATE("#metadata!",ADDRESS(INDEX($AI$2:$AI$1001,MATCH(ROWS($AG$2:AG722),$AG$2:$AG$1001,0),0),1)),INDEX($AL$2:$AL$1001,MATCH(ROWS($AG$2:AG722),$AG$2:$AG$1001,0),0)))</f>
        <v>0</v>
      </c>
      <c r="B722" s="4">
        <f>IF(OR(INDEX($AH$2:$AH$1001,MATCH(ROWS($AG$2:AG722),$AG$2:$AG$1001,0),1)&gt;=100000,INDEX($AN$1005:$BO$1005,1,MATCH(COLUMNS($AN$1006:AN1006),$AN$1006:$BO$1006,0))&gt;=100000), " ",IF(INDEX($AN$2:$BO$1001,MATCH(ROWS($AG$2:AG722),$AG$2:$AG$1001,0),MATCH(COLUMNS($AN$1006:AN1006),$AN$1006:$BO$1006,0)), HYPERLINK("#",""), HYPERLINK(CONCATENATE("#Metadata!", ADDRESS(INDEX($AI$2:$AI$1001,MATCH(ROWS($AG$2:AG722),$AG$2:$AG$1001,0),0), INDEX($AN$1004:$BO$1004,1,MATCH(COLUMNS($AN$1006:AN1006),$AN$1006:$BO$1006,0)))),"Fix")))</f>
        <v>0</v>
      </c>
      <c r="C722" s="4">
        <f>IF(OR(INDEX($AH$2:$AH$1001,MATCH(ROWS($AG$2:AG722),$AG$2:$AG$1001,0),1)&gt;=100000,INDEX($AN$1005:$BO$1005,1,MATCH(COLUMNS($AN$1006:AO1006),$AN$1006:$BO$1006,0))&gt;=100000), " ",IF(INDEX($AN$2:$BO$1001,MATCH(ROWS($AG$2:AG722),$AG$2:$AG$1001,0),MATCH(COLUMNS($AN$1006:AO1006),$AN$1006:$BO$1006,0)), HYPERLINK("#",""), HYPERLINK(CONCATENATE("#Metadata!", ADDRESS(INDEX($AI$2:$AI$1001,MATCH(ROWS($AG$2:AG722),$AG$2:$AG$1001,0),0), INDEX($AN$1004:$BO$1004,1,MATCH(COLUMNS($AN$1006:AO1006),$AN$1006:$BO$1006,0)))),"Fix")))</f>
        <v>0</v>
      </c>
      <c r="D722" s="4">
        <f>IF(OR(INDEX($AH$2:$AH$1001,MATCH(ROWS($AG$2:AG722),$AG$2:$AG$1001,0),1)&gt;=100000,INDEX($AN$1005:$BO$1005,1,MATCH(COLUMNS($AN$1006:AP1006),$AN$1006:$BO$1006,0))&gt;=100000), " ",IF(INDEX($AN$2:$BO$1001,MATCH(ROWS($AG$2:AG722),$AG$2:$AG$1001,0),MATCH(COLUMNS($AN$1006:AP1006),$AN$1006:$BO$1006,0)), HYPERLINK("#",""), HYPERLINK(CONCATENATE("#Metadata!", ADDRESS(INDEX($AI$2:$AI$1001,MATCH(ROWS($AG$2:AG722),$AG$2:$AG$1001,0),0), INDEX($AN$1004:$BO$1004,1,MATCH(COLUMNS($AN$1006:AP1006),$AN$1006:$BO$1006,0)))),"Fix")))</f>
        <v>0</v>
      </c>
      <c r="E722" s="4">
        <f>IF(OR(INDEX($AH$2:$AH$1001,MATCH(ROWS($AG$2:AG722),$AG$2:$AG$1001,0),1)&gt;=100000,INDEX($AN$1005:$BO$1005,1,MATCH(COLUMNS($AN$1006:AQ1006),$AN$1006:$BO$1006,0))&gt;=100000), " ",IF(INDEX($AN$2:$BO$1001,MATCH(ROWS($AG$2:AG722),$AG$2:$AG$1001,0),MATCH(COLUMNS($AN$1006:AQ1006),$AN$1006:$BO$1006,0)), HYPERLINK("#",""), HYPERLINK(CONCATENATE("#Metadata!", ADDRESS(INDEX($AI$2:$AI$1001,MATCH(ROWS($AG$2:AG722),$AG$2:$AG$1001,0),0), INDEX($AN$1004:$BO$1004,1,MATCH(COLUMNS($AN$1006:AQ1006),$AN$1006:$BO$1006,0)))),"Fix")))</f>
        <v>0</v>
      </c>
      <c r="F722" s="4">
        <f>IF(OR(INDEX($AH$2:$AH$1001,MATCH(ROWS($AG$2:AG722),$AG$2:$AG$1001,0),1)&gt;=100000,INDEX($AN$1005:$BO$1005,1,MATCH(COLUMNS($AN$1006:AR1006),$AN$1006:$BO$1006,0))&gt;=100000), " ",IF(INDEX($AN$2:$BO$1001,MATCH(ROWS($AG$2:AG722),$AG$2:$AG$1001,0),MATCH(COLUMNS($AN$1006:AR1006),$AN$1006:$BO$1006,0)), HYPERLINK("#",""), HYPERLINK(CONCATENATE("#Metadata!", ADDRESS(INDEX($AI$2:$AI$1001,MATCH(ROWS($AG$2:AG722),$AG$2:$AG$1001,0),0), INDEX($AN$1004:$BO$1004,1,MATCH(COLUMNS($AN$1006:AR1006),$AN$1006:$BO$1006,0)))),"Fix")))</f>
        <v>0</v>
      </c>
      <c r="G722" s="4">
        <f>IF(OR(INDEX($AH$2:$AH$1001,MATCH(ROWS($AG$2:AG722),$AG$2:$AG$1001,0),1)&gt;=100000,INDEX($AN$1005:$BO$1005,1,MATCH(COLUMNS($AN$1006:AS1006),$AN$1006:$BO$1006,0))&gt;=100000), " ",IF(INDEX($AN$2:$BO$1001,MATCH(ROWS($AG$2:AG722),$AG$2:$AG$1001,0),MATCH(COLUMNS($AN$1006:AS1006),$AN$1006:$BO$1006,0)), HYPERLINK("#",""), HYPERLINK(CONCATENATE("#Metadata!", ADDRESS(INDEX($AI$2:$AI$1001,MATCH(ROWS($AG$2:AG722),$AG$2:$AG$1001,0),0), INDEX($AN$1004:$BO$1004,1,MATCH(COLUMNS($AN$1006:AS1006),$AN$1006:$BO$1006,0)))),"Fix")))</f>
        <v>0</v>
      </c>
      <c r="H722" s="4">
        <f>IF(OR(INDEX($AH$2:$AH$1001,MATCH(ROWS($AG$2:AG722),$AG$2:$AG$1001,0),1)&gt;=100000,INDEX($AN$1005:$BO$1005,1,MATCH(COLUMNS($AN$1006:AT1006),$AN$1006:$BO$1006,0))&gt;=100000), " ",IF(INDEX($AN$2:$BO$1001,MATCH(ROWS($AG$2:AG722),$AG$2:$AG$1001,0),MATCH(COLUMNS($AN$1006:AT1006),$AN$1006:$BO$1006,0)), HYPERLINK("#",""), HYPERLINK(CONCATENATE("#Metadata!", ADDRESS(INDEX($AI$2:$AI$1001,MATCH(ROWS($AG$2:AG722),$AG$2:$AG$1001,0),0), INDEX($AN$1004:$BO$1004,1,MATCH(COLUMNS($AN$1006:AT1006),$AN$1006:$BO$1006,0)))),"Fix")))</f>
        <v>0</v>
      </c>
      <c r="I722" s="4">
        <f>IF(OR(INDEX($AH$2:$AH$1001,MATCH(ROWS($AG$2:AG722),$AG$2:$AG$1001,0),1)&gt;=100000,INDEX($AN$1005:$BO$1005,1,MATCH(COLUMNS($AN$1006:AU1006),$AN$1006:$BO$1006,0))&gt;=100000), " ",IF(INDEX($AN$2:$BO$1001,MATCH(ROWS($AG$2:AG722),$AG$2:$AG$1001,0),MATCH(COLUMNS($AN$1006:AU1006),$AN$1006:$BO$1006,0)), HYPERLINK("#",""), HYPERLINK(CONCATENATE("#Metadata!", ADDRESS(INDEX($AI$2:$AI$1001,MATCH(ROWS($AG$2:AG722),$AG$2:$AG$1001,0),0), INDEX($AN$1004:$BO$1004,1,MATCH(COLUMNS($AN$1006:AU1006),$AN$1006:$BO$1006,0)))),"Fix")))</f>
        <v>0</v>
      </c>
      <c r="J722" s="4">
        <f>IF(OR(INDEX($AH$2:$AH$1001,MATCH(ROWS($AG$2:AG722),$AG$2:$AG$1001,0),1)&gt;=100000,INDEX($AN$1005:$BO$1005,1,MATCH(COLUMNS($AN$1006:AV1006),$AN$1006:$BO$1006,0))&gt;=100000), " ",IF(INDEX($AN$2:$BO$1001,MATCH(ROWS($AG$2:AG722),$AG$2:$AG$1001,0),MATCH(COLUMNS($AN$1006:AV1006),$AN$1006:$BO$1006,0)), HYPERLINK("#",""), HYPERLINK(CONCATENATE("#Metadata!", ADDRESS(INDEX($AI$2:$AI$1001,MATCH(ROWS($AG$2:AG722),$AG$2:$AG$1001,0),0), INDEX($AN$1004:$BO$1004,1,MATCH(COLUMNS($AN$1006:AV1006),$AN$1006:$BO$1006,0)))),"Fix")))</f>
        <v>0</v>
      </c>
      <c r="K722" s="4">
        <f>IF(OR(INDEX($AH$2:$AH$1001,MATCH(ROWS($AG$2:AG722),$AG$2:$AG$1001,0),1)&gt;=100000,INDEX($AN$1005:$BO$1005,1,MATCH(COLUMNS($AN$1006:AW1006),$AN$1006:$BO$1006,0))&gt;=100000), " ",IF(INDEX($AN$2:$BO$1001,MATCH(ROWS($AG$2:AG722),$AG$2:$AG$1001,0),MATCH(COLUMNS($AN$1006:AW1006),$AN$1006:$BO$1006,0)), HYPERLINK("#",""), HYPERLINK(CONCATENATE("#Metadata!", ADDRESS(INDEX($AI$2:$AI$1001,MATCH(ROWS($AG$2:AG722),$AG$2:$AG$1001,0),0), INDEX($AN$1004:$BO$1004,1,MATCH(COLUMNS($AN$1006:AW1006),$AN$1006:$BO$1006,0)))),"Fix")))</f>
        <v>0</v>
      </c>
      <c r="L722" s="4">
        <f>IF(OR(INDEX($AH$2:$AH$1001,MATCH(ROWS($AG$2:AG722),$AG$2:$AG$1001,0),1)&gt;=100000,INDEX($AN$1005:$BO$1005,1,MATCH(COLUMNS($AN$1006:AX1006),$AN$1006:$BO$1006,0))&gt;=100000), " ",IF(INDEX($AN$2:$BO$1001,MATCH(ROWS($AG$2:AG722),$AG$2:$AG$1001,0),MATCH(COLUMNS($AN$1006:AX1006),$AN$1006:$BO$1006,0)), HYPERLINK("#",""), HYPERLINK(CONCATENATE("#Metadata!", ADDRESS(INDEX($AI$2:$AI$1001,MATCH(ROWS($AG$2:AG722),$AG$2:$AG$1001,0),0), INDEX($AN$1004:$BO$1004,1,MATCH(COLUMNS($AN$1006:AX1006),$AN$1006:$BO$1006,0)))),"Fix")))</f>
        <v>0</v>
      </c>
      <c r="M722" s="4">
        <f>IF(OR(INDEX($AH$2:$AH$1001,MATCH(ROWS($AG$2:AG722),$AG$2:$AG$1001,0),1)&gt;=100000,INDEX($AN$1005:$BO$1005,1,MATCH(COLUMNS($AN$1006:AY1006),$AN$1006:$BO$1006,0))&gt;=100000), " ",IF(INDEX($AN$2:$BO$1001,MATCH(ROWS($AG$2:AG722),$AG$2:$AG$1001,0),MATCH(COLUMNS($AN$1006:AY1006),$AN$1006:$BO$1006,0)), HYPERLINK("#",""), HYPERLINK(CONCATENATE("#Metadata!", ADDRESS(INDEX($AI$2:$AI$1001,MATCH(ROWS($AG$2:AG722),$AG$2:$AG$1001,0),0), INDEX($AN$1004:$BO$1004,1,MATCH(COLUMNS($AN$1006:AY1006),$AN$1006:$BO$1006,0)))),"Fix")))</f>
        <v>0</v>
      </c>
      <c r="N722" s="4">
        <f>IF(OR(INDEX($AH$2:$AH$1001,MATCH(ROWS($AG$2:AG722),$AG$2:$AG$1001,0),1)&gt;=100000,INDEX($AN$1005:$BO$1005,1,MATCH(COLUMNS($AN$1006:AZ1006),$AN$1006:$BO$1006,0))&gt;=100000), " ",IF(INDEX($AN$2:$BO$1001,MATCH(ROWS($AG$2:AG722),$AG$2:$AG$1001,0),MATCH(COLUMNS($AN$1006:AZ1006),$AN$1006:$BO$1006,0)), HYPERLINK("#",""), HYPERLINK(CONCATENATE("#Metadata!", ADDRESS(INDEX($AI$2:$AI$1001,MATCH(ROWS($AG$2:AG722),$AG$2:$AG$1001,0),0), INDEX($AN$1004:$BO$1004,1,MATCH(COLUMNS($AN$1006:AZ1006),$AN$1006:$BO$1006,0)))),"Fix")))</f>
        <v>0</v>
      </c>
      <c r="O722" s="4">
        <f>IF(OR(INDEX($AH$2:$AH$1001,MATCH(ROWS($AG$2:AG722),$AG$2:$AG$1001,0),1)&gt;=100000,INDEX($AN$1005:$BO$1005,1,MATCH(COLUMNS($AN$1006:BA1006),$AN$1006:$BO$1006,0))&gt;=100000), " ",IF(INDEX($AN$2:$BO$1001,MATCH(ROWS($AG$2:AG722),$AG$2:$AG$1001,0),MATCH(COLUMNS($AN$1006:BA1006),$AN$1006:$BO$1006,0)), HYPERLINK("#",""), HYPERLINK(CONCATENATE("#Metadata!", ADDRESS(INDEX($AI$2:$AI$1001,MATCH(ROWS($AG$2:AG722),$AG$2:$AG$1001,0),0), INDEX($AN$1004:$BO$1004,1,MATCH(COLUMNS($AN$1006:BA1006),$AN$1006:$BO$1006,0)))),"Fix")))</f>
        <v>0</v>
      </c>
      <c r="P722" s="4">
        <f>IF(OR(INDEX($AH$2:$AH$1001,MATCH(ROWS($AG$2:AG722),$AG$2:$AG$1001,0),1)&gt;=100000,INDEX($AN$1005:$BO$1005,1,MATCH(COLUMNS($AN$1006:BB1006),$AN$1006:$BO$1006,0))&gt;=100000), " ",IF(INDEX($AN$2:$BO$1001,MATCH(ROWS($AG$2:AG722),$AG$2:$AG$1001,0),MATCH(COLUMNS($AN$1006:BB1006),$AN$1006:$BO$1006,0)), HYPERLINK("#",""), HYPERLINK(CONCATENATE("#Metadata!", ADDRESS(INDEX($AI$2:$AI$1001,MATCH(ROWS($AG$2:AG722),$AG$2:$AG$1001,0),0), INDEX($AN$1004:$BO$1004,1,MATCH(COLUMNS($AN$1006:BB1006),$AN$1006:$BO$1006,0)))),"Fix")))</f>
        <v>0</v>
      </c>
      <c r="Q722" s="4">
        <f>IF(OR(INDEX($AH$2:$AH$1001,MATCH(ROWS($AG$2:AG722),$AG$2:$AG$1001,0),1)&gt;=100000,INDEX($AN$1005:$BO$1005,1,MATCH(COLUMNS($AN$1006:BC1006),$AN$1006:$BO$1006,0))&gt;=100000), " ",IF(INDEX($AN$2:$BO$1001,MATCH(ROWS($AG$2:AG722),$AG$2:$AG$1001,0),MATCH(COLUMNS($AN$1006:BC1006),$AN$1006:$BO$1006,0)), HYPERLINK("#",""), HYPERLINK(CONCATENATE("#Metadata!", ADDRESS(INDEX($AI$2:$AI$1001,MATCH(ROWS($AG$2:AG722),$AG$2:$AG$1001,0),0), INDEX($AN$1004:$BO$1004,1,MATCH(COLUMNS($AN$1006:BC1006),$AN$1006:$BO$1006,0)))),"Fix")))</f>
        <v>0</v>
      </c>
      <c r="R722" s="4">
        <f>IF(OR(INDEX($AH$2:$AH$1001,MATCH(ROWS($AG$2:AG722),$AG$2:$AG$1001,0),1)&gt;=100000,INDEX($AN$1005:$BO$1005,1,MATCH(COLUMNS($AN$1006:BD1006),$AN$1006:$BO$1006,0))&gt;=100000), " ",IF(INDEX($AN$2:$BO$1001,MATCH(ROWS($AG$2:AG722),$AG$2:$AG$1001,0),MATCH(COLUMNS($AN$1006:BD1006),$AN$1006:$BO$1006,0)), HYPERLINK("#",""), HYPERLINK(CONCATENATE("#Metadata!", ADDRESS(INDEX($AI$2:$AI$1001,MATCH(ROWS($AG$2:AG722),$AG$2:$AG$1001,0),0), INDEX($AN$1004:$BO$1004,1,MATCH(COLUMNS($AN$1006:BD1006),$AN$1006:$BO$1006,0)))),"Fix")))</f>
        <v>0</v>
      </c>
      <c r="S722" s="4">
        <f>IF(OR(INDEX($AH$2:$AH$1001,MATCH(ROWS($AG$2:AG722),$AG$2:$AG$1001,0),1)&gt;=100000,INDEX($AN$1005:$BO$1005,1,MATCH(COLUMNS($AN$1006:BE1006),$AN$1006:$BO$1006,0))&gt;=100000), " ",IF(INDEX($AN$2:$BO$1001,MATCH(ROWS($AG$2:AG722),$AG$2:$AG$1001,0),MATCH(COLUMNS($AN$1006:BE1006),$AN$1006:$BO$1006,0)), HYPERLINK("#",""), HYPERLINK(CONCATENATE("#Metadata!", ADDRESS(INDEX($AI$2:$AI$1001,MATCH(ROWS($AG$2:AG722),$AG$2:$AG$1001,0),0), INDEX($AN$1004:$BO$1004,1,MATCH(COLUMNS($AN$1006:BE1006),$AN$1006:$BO$1006,0)))),"Fix")))</f>
        <v>0</v>
      </c>
      <c r="T722" s="4">
        <f>IF(OR(INDEX($AH$2:$AH$1001,MATCH(ROWS($AG$2:AG722),$AG$2:$AG$1001,0),1)&gt;=100000,INDEX($AN$1005:$BO$1005,1,MATCH(COLUMNS($AN$1006:BF1006),$AN$1006:$BO$1006,0))&gt;=100000), " ",IF(INDEX($AN$2:$BO$1001,MATCH(ROWS($AG$2:AG722),$AG$2:$AG$1001,0),MATCH(COLUMNS($AN$1006:BF1006),$AN$1006:$BO$1006,0)), HYPERLINK("#",""), HYPERLINK(CONCATENATE("#Metadata!", ADDRESS(INDEX($AI$2:$AI$1001,MATCH(ROWS($AG$2:AG722),$AG$2:$AG$1001,0),0), INDEX($AN$1004:$BO$1004,1,MATCH(COLUMNS($AN$1006:BF1006),$AN$1006:$BO$1006,0)))),"Fix")))</f>
        <v>0</v>
      </c>
      <c r="U722" s="4">
        <f>IF(OR(INDEX($AH$2:$AH$1001,MATCH(ROWS($AG$2:AG722),$AG$2:$AG$1001,0),1)&gt;=100000,INDEX($AN$1005:$BO$1005,1,MATCH(COLUMNS($AN$1006:BG1006),$AN$1006:$BO$1006,0))&gt;=100000), " ",IF(INDEX($AN$2:$BO$1001,MATCH(ROWS($AG$2:AG722),$AG$2:$AG$1001,0),MATCH(COLUMNS($AN$1006:BG1006),$AN$1006:$BO$1006,0)), HYPERLINK("#",""), HYPERLINK(CONCATENATE("#Metadata!", ADDRESS(INDEX($AI$2:$AI$1001,MATCH(ROWS($AG$2:AG722),$AG$2:$AG$1001,0),0), INDEX($AN$1004:$BO$1004,1,MATCH(COLUMNS($AN$1006:BG1006),$AN$1006:$BO$1006,0)))),"Fix")))</f>
        <v>0</v>
      </c>
      <c r="V722" s="4">
        <f>IF(OR(INDEX($AH$2:$AH$1001,MATCH(ROWS($AG$2:AG722),$AG$2:$AG$1001,0),1)&gt;=100000,INDEX($AN$1005:$BO$1005,1,MATCH(COLUMNS($AN$1006:BH1006),$AN$1006:$BO$1006,0))&gt;=100000), " ",IF(INDEX($AN$2:$BO$1001,MATCH(ROWS($AG$2:AG722),$AG$2:$AG$1001,0),MATCH(COLUMNS($AN$1006:BH1006),$AN$1006:$BO$1006,0)), HYPERLINK("#",""), HYPERLINK(CONCATENATE("#Metadata!", ADDRESS(INDEX($AI$2:$AI$1001,MATCH(ROWS($AG$2:AG722),$AG$2:$AG$1001,0),0), INDEX($AN$1004:$BO$1004,1,MATCH(COLUMNS($AN$1006:BH1006),$AN$1006:$BO$1006,0)))),"Fix")))</f>
        <v>0</v>
      </c>
      <c r="W722" s="4">
        <f>IF(OR(INDEX($AH$2:$AH$1001,MATCH(ROWS($AG$2:AG722),$AG$2:$AG$1001,0),1)&gt;=100000,INDEX($AN$1005:$BO$1005,1,MATCH(COLUMNS($AN$1006:BI1006),$AN$1006:$BO$1006,0))&gt;=100000), " ",IF(INDEX($AN$2:$BO$1001,MATCH(ROWS($AG$2:AG722),$AG$2:$AG$1001,0),MATCH(COLUMNS($AN$1006:BI1006),$AN$1006:$BO$1006,0)), HYPERLINK("#",""), HYPERLINK(CONCATENATE("#Metadata!", ADDRESS(INDEX($AI$2:$AI$1001,MATCH(ROWS($AG$2:AG722),$AG$2:$AG$1001,0),0), INDEX($AN$1004:$BO$1004,1,MATCH(COLUMNS($AN$1006:BI1006),$AN$1006:$BO$1006,0)))),"Fix")))</f>
        <v>0</v>
      </c>
      <c r="X722" s="4">
        <f>IF(OR(INDEX($AH$2:$AH$1001,MATCH(ROWS($AG$2:AG722),$AG$2:$AG$1001,0),1)&gt;=100000,INDEX($AN$1005:$BO$1005,1,MATCH(COLUMNS($AN$1006:BJ1006),$AN$1006:$BO$1006,0))&gt;=100000), " ",IF(INDEX($AN$2:$BO$1001,MATCH(ROWS($AG$2:AG722),$AG$2:$AG$1001,0),MATCH(COLUMNS($AN$1006:BJ1006),$AN$1006:$BO$1006,0)), HYPERLINK("#",""), HYPERLINK(CONCATENATE("#Metadata!", ADDRESS(INDEX($AI$2:$AI$1001,MATCH(ROWS($AG$2:AG722),$AG$2:$AG$1001,0),0), INDEX($AN$1004:$BO$1004,1,MATCH(COLUMNS($AN$1006:BJ1006),$AN$1006:$BO$1006,0)))),"Fix")))</f>
        <v>0</v>
      </c>
      <c r="Y722" s="4">
        <f>IF(OR(INDEX($AH$2:$AH$1001,MATCH(ROWS($AG$2:AG722),$AG$2:$AG$1001,0),1)&gt;=100000,INDEX($AN$1005:$BO$1005,1,MATCH(COLUMNS($AN$1006:BK1006),$AN$1006:$BO$1006,0))&gt;=100000), " ",IF(INDEX($AN$2:$BO$1001,MATCH(ROWS($AG$2:AG722),$AG$2:$AG$1001,0),MATCH(COLUMNS($AN$1006:BK1006),$AN$1006:$BO$1006,0)), HYPERLINK("#",""), HYPERLINK(CONCATENATE("#Metadata!", ADDRESS(INDEX($AI$2:$AI$1001,MATCH(ROWS($AG$2:AG722),$AG$2:$AG$1001,0),0), INDEX($AN$1004:$BO$1004,1,MATCH(COLUMNS($AN$1006:BK1006),$AN$1006:$BO$1006,0)))),"Fix")))</f>
        <v>0</v>
      </c>
      <c r="Z722" s="4">
        <f>IF(OR(INDEX($AH$2:$AH$1001,MATCH(ROWS($AG$2:AG722),$AG$2:$AG$1001,0),1)&gt;=100000,INDEX($AN$1005:$BO$1005,1,MATCH(COLUMNS($AN$1006:BL1006),$AN$1006:$BO$1006,0))&gt;=100000), " ",IF(INDEX($AN$2:$BO$1001,MATCH(ROWS($AG$2:AG722),$AG$2:$AG$1001,0),MATCH(COLUMNS($AN$1006:BL1006),$AN$1006:$BO$1006,0)), HYPERLINK("#",""), HYPERLINK(CONCATENATE("#Metadata!", ADDRESS(INDEX($AI$2:$AI$1001,MATCH(ROWS($AG$2:AG722),$AG$2:$AG$1001,0),0), INDEX($AN$1004:$BO$1004,1,MATCH(COLUMNS($AN$1006:BL1006),$AN$1006:$BO$1006,0)))),"Fix")))</f>
        <v>0</v>
      </c>
      <c r="AA722" s="4">
        <f>IF(OR(INDEX($AH$2:$AH$1001,MATCH(ROWS($AG$2:AG722),$AG$2:$AG$1001,0),1)&gt;=100000,INDEX($AN$1005:$BO$1005,1,MATCH(COLUMNS($AN$1006:BM1006),$AN$1006:$BO$1006,0))&gt;=100000), " ",IF(INDEX($AN$2:$BO$1001,MATCH(ROWS($AG$2:AG722),$AG$2:$AG$1001,0),MATCH(COLUMNS($AN$1006:BM1006),$AN$1006:$BO$1006,0)), HYPERLINK("#",""), HYPERLINK(CONCATENATE("#Metadata!", ADDRESS(INDEX($AI$2:$AI$1001,MATCH(ROWS($AG$2:AG722),$AG$2:$AG$1001,0),0), INDEX($AN$1004:$BO$1004,1,MATCH(COLUMNS($AN$1006:BM1006),$AN$1006:$BO$1006,0)))),"Fix")))</f>
        <v>0</v>
      </c>
      <c r="AB722" s="4">
        <f>IF(OR(INDEX($AH$2:$AH$1001,MATCH(ROWS($AG$2:AG722),$AG$2:$AG$1001,0),1)&gt;=100000,INDEX($AN$1005:$BO$1005,1,MATCH(COLUMNS($AN$1006:BN1006),$AN$1006:$BO$1006,0))&gt;=100000), " ",IF(INDEX($AN$2:$BO$1001,MATCH(ROWS($AG$2:AG722),$AG$2:$AG$1001,0),MATCH(COLUMNS($AN$1006:BN1006),$AN$1006:$BO$1006,0)), HYPERLINK("#",""), HYPERLINK(CONCATENATE("#Metadata!", ADDRESS(INDEX($AI$2:$AI$1001,MATCH(ROWS($AG$2:AG722),$AG$2:$AG$1001,0),0), INDEX($AN$1004:$BO$1004,1,MATCH(COLUMNS($AN$1006:BN1006),$AN$1006:$BO$1006,0)))),"Fix")))</f>
        <v>0</v>
      </c>
      <c r="AC722" s="4">
        <f>IF(OR(INDEX($AH$2:$AH$1001,MATCH(ROWS($AG$2:AG722),$AG$2:$AG$1001,0),1)&gt;=100000,INDEX($AN$1005:$BO$1005,1,MATCH(COLUMNS($AN$1006:BO1006),$AN$1006:$BO$1006,0))&gt;=100000), " ",IF(INDEX($AN$2:$BO$1001,MATCH(ROWS($AG$2:AG722),$AG$2:$AG$1001,0),MATCH(COLUMNS($AN$1006:BO1006),$AN$1006:$BO$1006,0)), HYPERLINK("#",""), HYPERLINK(CONCATENATE("#Metadata!", ADDRESS(INDEX($AI$2:$AI$1001,MATCH(ROWS($AG$2:AG722),$AG$2:$AG$1001,0),0), INDEX($AN$1004:$BO$1004,1,MATCH(COLUMNS($AN$1006:BO1006),$AN$1006:$BO$1006,0)))),"Fix")))</f>
        <v>0</v>
      </c>
      <c r="AG722">
        <v>0</v>
      </c>
      <c r="AH722">
        <v>0</v>
      </c>
      <c r="AI722">
        <v>0</v>
      </c>
      <c r="AJ722">
        <f>IF(AK722,TRUE,AND(AN722:BO722))</f>
        <v>0</v>
      </c>
      <c r="AK722">
        <f>COUNTBLANK(Metadata!B722:AC722)=COLUMNS(Metadata!B722:AC722)</f>
        <v>0</v>
      </c>
      <c r="AL722">
        <v>0</v>
      </c>
      <c r="AN722">
        <f>AND(IF(Metadata!B722="",FALSE,TRUE),COUNTIF(Metadata!B:B, Metadata!B722) = 1,NOT(ISERROR(SUMPRODUCT(SEARCH(MID(Metadata!B722,ROW(INDIRECT("1:"&amp;LEN(Metadata!B722))), 1),"0123456789abcdefghijklmnopqrstuvwxyzABCDEFGHIJKLMNOPQRSTUVWXYZ.")))))</f>
        <v>0</v>
      </c>
      <c r="AO722">
        <f>IF(Metadata!C722="",FALSE,TRUE)</f>
        <v>0</v>
      </c>
      <c r="AP722">
        <f>IF(Metadata!D722="",FALSE,TRUE)</f>
        <v>0</v>
      </c>
      <c r="AQ722">
        <f>OR(AND(IF(Metadata!E722="",FALSE,TRUE),OR(exact(Metadata!E722,"not collected"),exact(Metadata!E722,"not provided"),exact(Metadata!E722,"restricted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R722">
        <f>IF(Metadata!F722="",FALSE,TRUE)</f>
        <v>0</v>
      </c>
      <c r="AS722">
        <f>OR(AND(IF(Metadata!G722="",FALSE,TRUE),OR(exact(Metadata!G722,"not collected"),exact(Metadata!G722,"not provided"))),AND(IF(Metadata!G722="",FALSE,TRUE),OR(exact(Metadata!G722,"TRUE"),exact(Metadata!G722,"FALSE"))))</f>
        <v>0</v>
      </c>
      <c r="AT722">
        <f>OR(AND(IF(Metadata!H722="",FALSE,TRUE),OR(exact(Metadata!H722,"not collected"),exact(Metadata!H722,"not provided"),exact(Metadata!H722,"restricted access"))),AND(IF(Metadata!H722="",FALSE,ISNUMBER(VALUE(Metadata!H722))),Metadata!H722&gt;=-413.0))</f>
        <v>0</v>
      </c>
      <c r="AU722">
        <f>AND(IF(Metadata!I722="",FALSE,TRUE),exact(Metadata!I722,"meters"))</f>
        <v>0</v>
      </c>
      <c r="AV722">
        <f>AND(IF(Metadata!J722="",FALSE,TRUE),OR(exact(Metadata!J722,"Host-associated"),exact(Metadata!J722,"Free-living")))</f>
        <v>0</v>
      </c>
      <c r="AW722">
        <f>AND(IF(Metadata!K722="",FALSE,TRUE),OR(exact(Metadata!K722,"Animal"),exact(Metadata!K722,"Fungus"),exact(Metadata!K722,"Plant"),exact(Metadata!K722,"Saline"),exact(Metadata!K722,"Non-saline")))</f>
        <v>0</v>
      </c>
      <c r="AX722">
        <f>AND(IF(Metadata!L722="",FALSE,TRUE),OR(exact(Metadata!L722,"Plant secretion"),exact(Metadata!L722,"Plant rhizosphere"),exact(Metadata!L722,"Plant surface"),exact(Metadata!L722,"Plant corpus"),exact(Metadata!L722,"Fungus surface"),exact(Metadata!L722,"Fungus corpus"),exact(Metadata!L722,"Animal surface"),exact(Metadata!L722,"Animal proximal gut"),exact(Metadata!L722,"Animal corpus"),exact(Metadata!L722,"Animal distal gut"),exact(Metadata!L722,"Animal secretion"),exact(Metadata!L722,"Sub-surface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Y722">
        <f>IF(Metadata!M722="",FALSE,TRUE)</f>
        <v>0</v>
      </c>
      <c r="AZ722">
        <f>IF(Metadata!N722="",FALSE,TRUE)</f>
        <v>0</v>
      </c>
      <c r="BA722">
        <f>IF(Metadata!O722="",FALSE,TRUE)</f>
        <v>0</v>
      </c>
      <c r="BB722">
        <f>OR(AND(IF(Metadata!P722="",FALSE,TRUE),OR(exact(Metadata!P722,"not collected"),exact(Metadata!P722,"not provided"),exact(Metadata!P722,"restricted access"))),AND(IF(Metadata!P722="",FALSE,TRUE),OR(exact(Metadata!P722,"air"),exact(Metadata!P722,"built environment"),exact(Metadata!P722,"host-associated"),exact(Metadata!P722,"human-associated"),exact(Metadata!P722,"human-skin"),exact(Metadata!P722,"human-oral"),exact(Metadata!P722,"human-gut"),exact(Metadata!P722,"human-vaginal"),exact(Metadata!P722,"microbial mat/biofilm"),exact(Metadata!P722,"misc environment"),exact(Metadata!P722,"plant-associated"),exact(Metadata!P722,"sediment"),exact(Metadata!P722,"soil"),exact(Metadata!P722,"wastewater/sludge"),exact(Metadata!P722,"water"))))</f>
        <v>0</v>
      </c>
      <c r="BC722">
        <f>IF(Metadata!Q722="",FALSE,TRUE)</f>
        <v>0</v>
      </c>
      <c r="BD722">
        <f>IF(Metadata!R722="",FALSE,TRUE)</f>
        <v>0</v>
      </c>
      <c r="BE722">
        <f>OR(AND(IF(Metadata!S722="",FALSE,TRUE),OR(exact(Metadata!S722,"not collected"),exact(Metadata!S722,"not provided"),exact(Metadata!S722,"restricted access"))),AND(IF(Metadata!S722="",FALSE,ISNUMBER(VALUE(Metadata!S722))),Metadata!S722&gt;=-90.00,Metadata!S722&lt;=90.00))</f>
        <v>0</v>
      </c>
      <c r="BF722">
        <f>AND(IF(Metadata!T722="",FALSE,TRUE),exact(Metadata!T722,"Decimal degrees"))</f>
        <v>0</v>
      </c>
      <c r="BG722">
        <f>OR(AND(IF(Metadata!U722="",FALSE,TRUE),OR(exact(Metadata!U722,"not collected"),exact(Metadata!U722,"not provided"),exact(Metadata!U722,"restricted access"))),AND(IF(Metadata!U722="",FALSE,ISNUMBER(VALUE(Metadata!U722))),Metadata!U722&gt;=-180.00,Metadata!U722&lt;=180.00))</f>
        <v>0</v>
      </c>
      <c r="BH722">
        <f>AND(IF(Metadata!V722="",FALSE,TRUE),exact(Metadata!V722,"Decimal degrees"))</f>
        <v>0</v>
      </c>
      <c r="BI722">
        <f>IF(Metadata!W722="",FALSE,TRUE)</f>
        <v>0</v>
      </c>
      <c r="BJ722">
        <f>OR(AND(IF(Metadata!X722="",FALSE,TRUE),OR(exact(Metadata!X722,"not collected"),exact(Metadata!X722,"not provided"),exact(Metadata!X722,"restricted access"))),AND(IF(Metadata!X722="",FALSE,TRUE),OR(exact(Metadata!X722,"TRUE"),exact(Metadata!X722,"FALSE"))))</f>
        <v>0</v>
      </c>
      <c r="BK722">
        <f>AND(IF(Metadata!Y722="",FALSE,TRUE),exact(Metadata!Y722,"other"))</f>
        <v>0</v>
      </c>
      <c r="BL722">
        <f>IF(Metadata!Z722="",FALSE,TRUE)</f>
        <v>0</v>
      </c>
      <c r="BM722">
        <f>OR(AND(IF(Metadata!AA722="",FALSE,TRUE),OR(exact(Metadata!AA722,"not collected"),exact(Metadata!AA722,"not provided"))),AND(IF(Metadata!AA722="",FALSE,IF(ISERROR(INT(Metadata!AA722)),FALSE,INT(Metadata!AA722)=Metadata!AA722)),Metadata!AA722&gt;0))</f>
        <v>0</v>
      </c>
      <c r="BN722">
        <f>AND(IF(Metadata!AB722="",FALSE,TRUE),exact(Metadata!AB722,"Not applicable"))</f>
        <v>0</v>
      </c>
      <c r="BO722">
        <f>IF(Metadata!AC722="",FALSE,TRUE)</f>
        <v>0</v>
      </c>
    </row>
    <row r="723" spans="1:67">
      <c r="A723" s="5">
        <f>IF(B723=" "," ",HYPERLINK(CONCATENATE("#metadata!",ADDRESS(INDEX($AI$2:$AI$1001,MATCH(ROWS($AG$2:AG723),$AG$2:$AG$1001,0),0),1)),INDEX($AL$2:$AL$1001,MATCH(ROWS($AG$2:AG723),$AG$2:$AG$1001,0),0)))</f>
        <v>0</v>
      </c>
      <c r="B723" s="4">
        <f>IF(OR(INDEX($AH$2:$AH$1001,MATCH(ROWS($AG$2:AG723),$AG$2:$AG$1001,0),1)&gt;=100000,INDEX($AN$1005:$BO$1005,1,MATCH(COLUMNS($AN$1006:AN1006),$AN$1006:$BO$1006,0))&gt;=100000), " ",IF(INDEX($AN$2:$BO$1001,MATCH(ROWS($AG$2:AG723),$AG$2:$AG$1001,0),MATCH(COLUMNS($AN$1006:AN1006),$AN$1006:$BO$1006,0)), HYPERLINK("#",""), HYPERLINK(CONCATENATE("#Metadata!", ADDRESS(INDEX($AI$2:$AI$1001,MATCH(ROWS($AG$2:AG723),$AG$2:$AG$1001,0),0), INDEX($AN$1004:$BO$1004,1,MATCH(COLUMNS($AN$1006:AN1006),$AN$1006:$BO$1006,0)))),"Fix")))</f>
        <v>0</v>
      </c>
      <c r="C723" s="4">
        <f>IF(OR(INDEX($AH$2:$AH$1001,MATCH(ROWS($AG$2:AG723),$AG$2:$AG$1001,0),1)&gt;=100000,INDEX($AN$1005:$BO$1005,1,MATCH(COLUMNS($AN$1006:AO1006),$AN$1006:$BO$1006,0))&gt;=100000), " ",IF(INDEX($AN$2:$BO$1001,MATCH(ROWS($AG$2:AG723),$AG$2:$AG$1001,0),MATCH(COLUMNS($AN$1006:AO1006),$AN$1006:$BO$1006,0)), HYPERLINK("#",""), HYPERLINK(CONCATENATE("#Metadata!", ADDRESS(INDEX($AI$2:$AI$1001,MATCH(ROWS($AG$2:AG723),$AG$2:$AG$1001,0),0), INDEX($AN$1004:$BO$1004,1,MATCH(COLUMNS($AN$1006:AO1006),$AN$1006:$BO$1006,0)))),"Fix")))</f>
        <v>0</v>
      </c>
      <c r="D723" s="4">
        <f>IF(OR(INDEX($AH$2:$AH$1001,MATCH(ROWS($AG$2:AG723),$AG$2:$AG$1001,0),1)&gt;=100000,INDEX($AN$1005:$BO$1005,1,MATCH(COLUMNS($AN$1006:AP1006),$AN$1006:$BO$1006,0))&gt;=100000), " ",IF(INDEX($AN$2:$BO$1001,MATCH(ROWS($AG$2:AG723),$AG$2:$AG$1001,0),MATCH(COLUMNS($AN$1006:AP1006),$AN$1006:$BO$1006,0)), HYPERLINK("#",""), HYPERLINK(CONCATENATE("#Metadata!", ADDRESS(INDEX($AI$2:$AI$1001,MATCH(ROWS($AG$2:AG723),$AG$2:$AG$1001,0),0), INDEX($AN$1004:$BO$1004,1,MATCH(COLUMNS($AN$1006:AP1006),$AN$1006:$BO$1006,0)))),"Fix")))</f>
        <v>0</v>
      </c>
      <c r="E723" s="4">
        <f>IF(OR(INDEX($AH$2:$AH$1001,MATCH(ROWS($AG$2:AG723),$AG$2:$AG$1001,0),1)&gt;=100000,INDEX($AN$1005:$BO$1005,1,MATCH(COLUMNS($AN$1006:AQ1006),$AN$1006:$BO$1006,0))&gt;=100000), " ",IF(INDEX($AN$2:$BO$1001,MATCH(ROWS($AG$2:AG723),$AG$2:$AG$1001,0),MATCH(COLUMNS($AN$1006:AQ1006),$AN$1006:$BO$1006,0)), HYPERLINK("#",""), HYPERLINK(CONCATENATE("#Metadata!", ADDRESS(INDEX($AI$2:$AI$1001,MATCH(ROWS($AG$2:AG723),$AG$2:$AG$1001,0),0), INDEX($AN$1004:$BO$1004,1,MATCH(COLUMNS($AN$1006:AQ1006),$AN$1006:$BO$1006,0)))),"Fix")))</f>
        <v>0</v>
      </c>
      <c r="F723" s="4">
        <f>IF(OR(INDEX($AH$2:$AH$1001,MATCH(ROWS($AG$2:AG723),$AG$2:$AG$1001,0),1)&gt;=100000,INDEX($AN$1005:$BO$1005,1,MATCH(COLUMNS($AN$1006:AR1006),$AN$1006:$BO$1006,0))&gt;=100000), " ",IF(INDEX($AN$2:$BO$1001,MATCH(ROWS($AG$2:AG723),$AG$2:$AG$1001,0),MATCH(COLUMNS($AN$1006:AR1006),$AN$1006:$BO$1006,0)), HYPERLINK("#",""), HYPERLINK(CONCATENATE("#Metadata!", ADDRESS(INDEX($AI$2:$AI$1001,MATCH(ROWS($AG$2:AG723),$AG$2:$AG$1001,0),0), INDEX($AN$1004:$BO$1004,1,MATCH(COLUMNS($AN$1006:AR1006),$AN$1006:$BO$1006,0)))),"Fix")))</f>
        <v>0</v>
      </c>
      <c r="G723" s="4">
        <f>IF(OR(INDEX($AH$2:$AH$1001,MATCH(ROWS($AG$2:AG723),$AG$2:$AG$1001,0),1)&gt;=100000,INDEX($AN$1005:$BO$1005,1,MATCH(COLUMNS($AN$1006:AS1006),$AN$1006:$BO$1006,0))&gt;=100000), " ",IF(INDEX($AN$2:$BO$1001,MATCH(ROWS($AG$2:AG723),$AG$2:$AG$1001,0),MATCH(COLUMNS($AN$1006:AS1006),$AN$1006:$BO$1006,0)), HYPERLINK("#",""), HYPERLINK(CONCATENATE("#Metadata!", ADDRESS(INDEX($AI$2:$AI$1001,MATCH(ROWS($AG$2:AG723),$AG$2:$AG$1001,0),0), INDEX($AN$1004:$BO$1004,1,MATCH(COLUMNS($AN$1006:AS1006),$AN$1006:$BO$1006,0)))),"Fix")))</f>
        <v>0</v>
      </c>
      <c r="H723" s="4">
        <f>IF(OR(INDEX($AH$2:$AH$1001,MATCH(ROWS($AG$2:AG723),$AG$2:$AG$1001,0),1)&gt;=100000,INDEX($AN$1005:$BO$1005,1,MATCH(COLUMNS($AN$1006:AT1006),$AN$1006:$BO$1006,0))&gt;=100000), " ",IF(INDEX($AN$2:$BO$1001,MATCH(ROWS($AG$2:AG723),$AG$2:$AG$1001,0),MATCH(COLUMNS($AN$1006:AT1006),$AN$1006:$BO$1006,0)), HYPERLINK("#",""), HYPERLINK(CONCATENATE("#Metadata!", ADDRESS(INDEX($AI$2:$AI$1001,MATCH(ROWS($AG$2:AG723),$AG$2:$AG$1001,0),0), INDEX($AN$1004:$BO$1004,1,MATCH(COLUMNS($AN$1006:AT1006),$AN$1006:$BO$1006,0)))),"Fix")))</f>
        <v>0</v>
      </c>
      <c r="I723" s="4">
        <f>IF(OR(INDEX($AH$2:$AH$1001,MATCH(ROWS($AG$2:AG723),$AG$2:$AG$1001,0),1)&gt;=100000,INDEX($AN$1005:$BO$1005,1,MATCH(COLUMNS($AN$1006:AU1006),$AN$1006:$BO$1006,0))&gt;=100000), " ",IF(INDEX($AN$2:$BO$1001,MATCH(ROWS($AG$2:AG723),$AG$2:$AG$1001,0),MATCH(COLUMNS($AN$1006:AU1006),$AN$1006:$BO$1006,0)), HYPERLINK("#",""), HYPERLINK(CONCATENATE("#Metadata!", ADDRESS(INDEX($AI$2:$AI$1001,MATCH(ROWS($AG$2:AG723),$AG$2:$AG$1001,0),0), INDEX($AN$1004:$BO$1004,1,MATCH(COLUMNS($AN$1006:AU1006),$AN$1006:$BO$1006,0)))),"Fix")))</f>
        <v>0</v>
      </c>
      <c r="J723" s="4">
        <f>IF(OR(INDEX($AH$2:$AH$1001,MATCH(ROWS($AG$2:AG723),$AG$2:$AG$1001,0),1)&gt;=100000,INDEX($AN$1005:$BO$1005,1,MATCH(COLUMNS($AN$1006:AV1006),$AN$1006:$BO$1006,0))&gt;=100000), " ",IF(INDEX($AN$2:$BO$1001,MATCH(ROWS($AG$2:AG723),$AG$2:$AG$1001,0),MATCH(COLUMNS($AN$1006:AV1006),$AN$1006:$BO$1006,0)), HYPERLINK("#",""), HYPERLINK(CONCATENATE("#Metadata!", ADDRESS(INDEX($AI$2:$AI$1001,MATCH(ROWS($AG$2:AG723),$AG$2:$AG$1001,0),0), INDEX($AN$1004:$BO$1004,1,MATCH(COLUMNS($AN$1006:AV1006),$AN$1006:$BO$1006,0)))),"Fix")))</f>
        <v>0</v>
      </c>
      <c r="K723" s="4">
        <f>IF(OR(INDEX($AH$2:$AH$1001,MATCH(ROWS($AG$2:AG723),$AG$2:$AG$1001,0),1)&gt;=100000,INDEX($AN$1005:$BO$1005,1,MATCH(COLUMNS($AN$1006:AW1006),$AN$1006:$BO$1006,0))&gt;=100000), " ",IF(INDEX($AN$2:$BO$1001,MATCH(ROWS($AG$2:AG723),$AG$2:$AG$1001,0),MATCH(COLUMNS($AN$1006:AW1006),$AN$1006:$BO$1006,0)), HYPERLINK("#",""), HYPERLINK(CONCATENATE("#Metadata!", ADDRESS(INDEX($AI$2:$AI$1001,MATCH(ROWS($AG$2:AG723),$AG$2:$AG$1001,0),0), INDEX($AN$1004:$BO$1004,1,MATCH(COLUMNS($AN$1006:AW1006),$AN$1006:$BO$1006,0)))),"Fix")))</f>
        <v>0</v>
      </c>
      <c r="L723" s="4">
        <f>IF(OR(INDEX($AH$2:$AH$1001,MATCH(ROWS($AG$2:AG723),$AG$2:$AG$1001,0),1)&gt;=100000,INDEX($AN$1005:$BO$1005,1,MATCH(COLUMNS($AN$1006:AX1006),$AN$1006:$BO$1006,0))&gt;=100000), " ",IF(INDEX($AN$2:$BO$1001,MATCH(ROWS($AG$2:AG723),$AG$2:$AG$1001,0),MATCH(COLUMNS($AN$1006:AX1006),$AN$1006:$BO$1006,0)), HYPERLINK("#",""), HYPERLINK(CONCATENATE("#Metadata!", ADDRESS(INDEX($AI$2:$AI$1001,MATCH(ROWS($AG$2:AG723),$AG$2:$AG$1001,0),0), INDEX($AN$1004:$BO$1004,1,MATCH(COLUMNS($AN$1006:AX1006),$AN$1006:$BO$1006,0)))),"Fix")))</f>
        <v>0</v>
      </c>
      <c r="M723" s="4">
        <f>IF(OR(INDEX($AH$2:$AH$1001,MATCH(ROWS($AG$2:AG723),$AG$2:$AG$1001,0),1)&gt;=100000,INDEX($AN$1005:$BO$1005,1,MATCH(COLUMNS($AN$1006:AY1006),$AN$1006:$BO$1006,0))&gt;=100000), " ",IF(INDEX($AN$2:$BO$1001,MATCH(ROWS($AG$2:AG723),$AG$2:$AG$1001,0),MATCH(COLUMNS($AN$1006:AY1006),$AN$1006:$BO$1006,0)), HYPERLINK("#",""), HYPERLINK(CONCATENATE("#Metadata!", ADDRESS(INDEX($AI$2:$AI$1001,MATCH(ROWS($AG$2:AG723),$AG$2:$AG$1001,0),0), INDEX($AN$1004:$BO$1004,1,MATCH(COLUMNS($AN$1006:AY1006),$AN$1006:$BO$1006,0)))),"Fix")))</f>
        <v>0</v>
      </c>
      <c r="N723" s="4">
        <f>IF(OR(INDEX($AH$2:$AH$1001,MATCH(ROWS($AG$2:AG723),$AG$2:$AG$1001,0),1)&gt;=100000,INDEX($AN$1005:$BO$1005,1,MATCH(COLUMNS($AN$1006:AZ1006),$AN$1006:$BO$1006,0))&gt;=100000), " ",IF(INDEX($AN$2:$BO$1001,MATCH(ROWS($AG$2:AG723),$AG$2:$AG$1001,0),MATCH(COLUMNS($AN$1006:AZ1006),$AN$1006:$BO$1006,0)), HYPERLINK("#",""), HYPERLINK(CONCATENATE("#Metadata!", ADDRESS(INDEX($AI$2:$AI$1001,MATCH(ROWS($AG$2:AG723),$AG$2:$AG$1001,0),0), INDEX($AN$1004:$BO$1004,1,MATCH(COLUMNS($AN$1006:AZ1006),$AN$1006:$BO$1006,0)))),"Fix")))</f>
        <v>0</v>
      </c>
      <c r="O723" s="4">
        <f>IF(OR(INDEX($AH$2:$AH$1001,MATCH(ROWS($AG$2:AG723),$AG$2:$AG$1001,0),1)&gt;=100000,INDEX($AN$1005:$BO$1005,1,MATCH(COLUMNS($AN$1006:BA1006),$AN$1006:$BO$1006,0))&gt;=100000), " ",IF(INDEX($AN$2:$BO$1001,MATCH(ROWS($AG$2:AG723),$AG$2:$AG$1001,0),MATCH(COLUMNS($AN$1006:BA1006),$AN$1006:$BO$1006,0)), HYPERLINK("#",""), HYPERLINK(CONCATENATE("#Metadata!", ADDRESS(INDEX($AI$2:$AI$1001,MATCH(ROWS($AG$2:AG723),$AG$2:$AG$1001,0),0), INDEX($AN$1004:$BO$1004,1,MATCH(COLUMNS($AN$1006:BA1006),$AN$1006:$BO$1006,0)))),"Fix")))</f>
        <v>0</v>
      </c>
      <c r="P723" s="4">
        <f>IF(OR(INDEX($AH$2:$AH$1001,MATCH(ROWS($AG$2:AG723),$AG$2:$AG$1001,0),1)&gt;=100000,INDEX($AN$1005:$BO$1005,1,MATCH(COLUMNS($AN$1006:BB1006),$AN$1006:$BO$1006,0))&gt;=100000), " ",IF(INDEX($AN$2:$BO$1001,MATCH(ROWS($AG$2:AG723),$AG$2:$AG$1001,0),MATCH(COLUMNS($AN$1006:BB1006),$AN$1006:$BO$1006,0)), HYPERLINK("#",""), HYPERLINK(CONCATENATE("#Metadata!", ADDRESS(INDEX($AI$2:$AI$1001,MATCH(ROWS($AG$2:AG723),$AG$2:$AG$1001,0),0), INDEX($AN$1004:$BO$1004,1,MATCH(COLUMNS($AN$1006:BB1006),$AN$1006:$BO$1006,0)))),"Fix")))</f>
        <v>0</v>
      </c>
      <c r="Q723" s="4">
        <f>IF(OR(INDEX($AH$2:$AH$1001,MATCH(ROWS($AG$2:AG723),$AG$2:$AG$1001,0),1)&gt;=100000,INDEX($AN$1005:$BO$1005,1,MATCH(COLUMNS($AN$1006:BC1006),$AN$1006:$BO$1006,0))&gt;=100000), " ",IF(INDEX($AN$2:$BO$1001,MATCH(ROWS($AG$2:AG723),$AG$2:$AG$1001,0),MATCH(COLUMNS($AN$1006:BC1006),$AN$1006:$BO$1006,0)), HYPERLINK("#",""), HYPERLINK(CONCATENATE("#Metadata!", ADDRESS(INDEX($AI$2:$AI$1001,MATCH(ROWS($AG$2:AG723),$AG$2:$AG$1001,0),0), INDEX($AN$1004:$BO$1004,1,MATCH(COLUMNS($AN$1006:BC1006),$AN$1006:$BO$1006,0)))),"Fix")))</f>
        <v>0</v>
      </c>
      <c r="R723" s="4">
        <f>IF(OR(INDEX($AH$2:$AH$1001,MATCH(ROWS($AG$2:AG723),$AG$2:$AG$1001,0),1)&gt;=100000,INDEX($AN$1005:$BO$1005,1,MATCH(COLUMNS($AN$1006:BD1006),$AN$1006:$BO$1006,0))&gt;=100000), " ",IF(INDEX($AN$2:$BO$1001,MATCH(ROWS($AG$2:AG723),$AG$2:$AG$1001,0),MATCH(COLUMNS($AN$1006:BD1006),$AN$1006:$BO$1006,0)), HYPERLINK("#",""), HYPERLINK(CONCATENATE("#Metadata!", ADDRESS(INDEX($AI$2:$AI$1001,MATCH(ROWS($AG$2:AG723),$AG$2:$AG$1001,0),0), INDEX($AN$1004:$BO$1004,1,MATCH(COLUMNS($AN$1006:BD1006),$AN$1006:$BO$1006,0)))),"Fix")))</f>
        <v>0</v>
      </c>
      <c r="S723" s="4">
        <f>IF(OR(INDEX($AH$2:$AH$1001,MATCH(ROWS($AG$2:AG723),$AG$2:$AG$1001,0),1)&gt;=100000,INDEX($AN$1005:$BO$1005,1,MATCH(COLUMNS($AN$1006:BE1006),$AN$1006:$BO$1006,0))&gt;=100000), " ",IF(INDEX($AN$2:$BO$1001,MATCH(ROWS($AG$2:AG723),$AG$2:$AG$1001,0),MATCH(COLUMNS($AN$1006:BE1006),$AN$1006:$BO$1006,0)), HYPERLINK("#",""), HYPERLINK(CONCATENATE("#Metadata!", ADDRESS(INDEX($AI$2:$AI$1001,MATCH(ROWS($AG$2:AG723),$AG$2:$AG$1001,0),0), INDEX($AN$1004:$BO$1004,1,MATCH(COLUMNS($AN$1006:BE1006),$AN$1006:$BO$1006,0)))),"Fix")))</f>
        <v>0</v>
      </c>
      <c r="T723" s="4">
        <f>IF(OR(INDEX($AH$2:$AH$1001,MATCH(ROWS($AG$2:AG723),$AG$2:$AG$1001,0),1)&gt;=100000,INDEX($AN$1005:$BO$1005,1,MATCH(COLUMNS($AN$1006:BF1006),$AN$1006:$BO$1006,0))&gt;=100000), " ",IF(INDEX($AN$2:$BO$1001,MATCH(ROWS($AG$2:AG723),$AG$2:$AG$1001,0),MATCH(COLUMNS($AN$1006:BF1006),$AN$1006:$BO$1006,0)), HYPERLINK("#",""), HYPERLINK(CONCATENATE("#Metadata!", ADDRESS(INDEX($AI$2:$AI$1001,MATCH(ROWS($AG$2:AG723),$AG$2:$AG$1001,0),0), INDEX($AN$1004:$BO$1004,1,MATCH(COLUMNS($AN$1006:BF1006),$AN$1006:$BO$1006,0)))),"Fix")))</f>
        <v>0</v>
      </c>
      <c r="U723" s="4">
        <f>IF(OR(INDEX($AH$2:$AH$1001,MATCH(ROWS($AG$2:AG723),$AG$2:$AG$1001,0),1)&gt;=100000,INDEX($AN$1005:$BO$1005,1,MATCH(COLUMNS($AN$1006:BG1006),$AN$1006:$BO$1006,0))&gt;=100000), " ",IF(INDEX($AN$2:$BO$1001,MATCH(ROWS($AG$2:AG723),$AG$2:$AG$1001,0),MATCH(COLUMNS($AN$1006:BG1006),$AN$1006:$BO$1006,0)), HYPERLINK("#",""), HYPERLINK(CONCATENATE("#Metadata!", ADDRESS(INDEX($AI$2:$AI$1001,MATCH(ROWS($AG$2:AG723),$AG$2:$AG$1001,0),0), INDEX($AN$1004:$BO$1004,1,MATCH(COLUMNS($AN$1006:BG1006),$AN$1006:$BO$1006,0)))),"Fix")))</f>
        <v>0</v>
      </c>
      <c r="V723" s="4">
        <f>IF(OR(INDEX($AH$2:$AH$1001,MATCH(ROWS($AG$2:AG723),$AG$2:$AG$1001,0),1)&gt;=100000,INDEX($AN$1005:$BO$1005,1,MATCH(COLUMNS($AN$1006:BH1006),$AN$1006:$BO$1006,0))&gt;=100000), " ",IF(INDEX($AN$2:$BO$1001,MATCH(ROWS($AG$2:AG723),$AG$2:$AG$1001,0),MATCH(COLUMNS($AN$1006:BH1006),$AN$1006:$BO$1006,0)), HYPERLINK("#",""), HYPERLINK(CONCATENATE("#Metadata!", ADDRESS(INDEX($AI$2:$AI$1001,MATCH(ROWS($AG$2:AG723),$AG$2:$AG$1001,0),0), INDEX($AN$1004:$BO$1004,1,MATCH(COLUMNS($AN$1006:BH1006),$AN$1006:$BO$1006,0)))),"Fix")))</f>
        <v>0</v>
      </c>
      <c r="W723" s="4">
        <f>IF(OR(INDEX($AH$2:$AH$1001,MATCH(ROWS($AG$2:AG723),$AG$2:$AG$1001,0),1)&gt;=100000,INDEX($AN$1005:$BO$1005,1,MATCH(COLUMNS($AN$1006:BI1006),$AN$1006:$BO$1006,0))&gt;=100000), " ",IF(INDEX($AN$2:$BO$1001,MATCH(ROWS($AG$2:AG723),$AG$2:$AG$1001,0),MATCH(COLUMNS($AN$1006:BI1006),$AN$1006:$BO$1006,0)), HYPERLINK("#",""), HYPERLINK(CONCATENATE("#Metadata!", ADDRESS(INDEX($AI$2:$AI$1001,MATCH(ROWS($AG$2:AG723),$AG$2:$AG$1001,0),0), INDEX($AN$1004:$BO$1004,1,MATCH(COLUMNS($AN$1006:BI1006),$AN$1006:$BO$1006,0)))),"Fix")))</f>
        <v>0</v>
      </c>
      <c r="X723" s="4">
        <f>IF(OR(INDEX($AH$2:$AH$1001,MATCH(ROWS($AG$2:AG723),$AG$2:$AG$1001,0),1)&gt;=100000,INDEX($AN$1005:$BO$1005,1,MATCH(COLUMNS($AN$1006:BJ1006),$AN$1006:$BO$1006,0))&gt;=100000), " ",IF(INDEX($AN$2:$BO$1001,MATCH(ROWS($AG$2:AG723),$AG$2:$AG$1001,0),MATCH(COLUMNS($AN$1006:BJ1006),$AN$1006:$BO$1006,0)), HYPERLINK("#",""), HYPERLINK(CONCATENATE("#Metadata!", ADDRESS(INDEX($AI$2:$AI$1001,MATCH(ROWS($AG$2:AG723),$AG$2:$AG$1001,0),0), INDEX($AN$1004:$BO$1004,1,MATCH(COLUMNS($AN$1006:BJ1006),$AN$1006:$BO$1006,0)))),"Fix")))</f>
        <v>0</v>
      </c>
      <c r="Y723" s="4">
        <f>IF(OR(INDEX($AH$2:$AH$1001,MATCH(ROWS($AG$2:AG723),$AG$2:$AG$1001,0),1)&gt;=100000,INDEX($AN$1005:$BO$1005,1,MATCH(COLUMNS($AN$1006:BK1006),$AN$1006:$BO$1006,0))&gt;=100000), " ",IF(INDEX($AN$2:$BO$1001,MATCH(ROWS($AG$2:AG723),$AG$2:$AG$1001,0),MATCH(COLUMNS($AN$1006:BK1006),$AN$1006:$BO$1006,0)), HYPERLINK("#",""), HYPERLINK(CONCATENATE("#Metadata!", ADDRESS(INDEX($AI$2:$AI$1001,MATCH(ROWS($AG$2:AG723),$AG$2:$AG$1001,0),0), INDEX($AN$1004:$BO$1004,1,MATCH(COLUMNS($AN$1006:BK1006),$AN$1006:$BO$1006,0)))),"Fix")))</f>
        <v>0</v>
      </c>
      <c r="Z723" s="4">
        <f>IF(OR(INDEX($AH$2:$AH$1001,MATCH(ROWS($AG$2:AG723),$AG$2:$AG$1001,0),1)&gt;=100000,INDEX($AN$1005:$BO$1005,1,MATCH(COLUMNS($AN$1006:BL1006),$AN$1006:$BO$1006,0))&gt;=100000), " ",IF(INDEX($AN$2:$BO$1001,MATCH(ROWS($AG$2:AG723),$AG$2:$AG$1001,0),MATCH(COLUMNS($AN$1006:BL1006),$AN$1006:$BO$1006,0)), HYPERLINK("#",""), HYPERLINK(CONCATENATE("#Metadata!", ADDRESS(INDEX($AI$2:$AI$1001,MATCH(ROWS($AG$2:AG723),$AG$2:$AG$1001,0),0), INDEX($AN$1004:$BO$1004,1,MATCH(COLUMNS($AN$1006:BL1006),$AN$1006:$BO$1006,0)))),"Fix")))</f>
        <v>0</v>
      </c>
      <c r="AA723" s="4">
        <f>IF(OR(INDEX($AH$2:$AH$1001,MATCH(ROWS($AG$2:AG723),$AG$2:$AG$1001,0),1)&gt;=100000,INDEX($AN$1005:$BO$1005,1,MATCH(COLUMNS($AN$1006:BM1006),$AN$1006:$BO$1006,0))&gt;=100000), " ",IF(INDEX($AN$2:$BO$1001,MATCH(ROWS($AG$2:AG723),$AG$2:$AG$1001,0),MATCH(COLUMNS($AN$1006:BM1006),$AN$1006:$BO$1006,0)), HYPERLINK("#",""), HYPERLINK(CONCATENATE("#Metadata!", ADDRESS(INDEX($AI$2:$AI$1001,MATCH(ROWS($AG$2:AG723),$AG$2:$AG$1001,0),0), INDEX($AN$1004:$BO$1004,1,MATCH(COLUMNS($AN$1006:BM1006),$AN$1006:$BO$1006,0)))),"Fix")))</f>
        <v>0</v>
      </c>
      <c r="AB723" s="4">
        <f>IF(OR(INDEX($AH$2:$AH$1001,MATCH(ROWS($AG$2:AG723),$AG$2:$AG$1001,0),1)&gt;=100000,INDEX($AN$1005:$BO$1005,1,MATCH(COLUMNS($AN$1006:BN1006),$AN$1006:$BO$1006,0))&gt;=100000), " ",IF(INDEX($AN$2:$BO$1001,MATCH(ROWS($AG$2:AG723),$AG$2:$AG$1001,0),MATCH(COLUMNS($AN$1006:BN1006),$AN$1006:$BO$1006,0)), HYPERLINK("#",""), HYPERLINK(CONCATENATE("#Metadata!", ADDRESS(INDEX($AI$2:$AI$1001,MATCH(ROWS($AG$2:AG723),$AG$2:$AG$1001,0),0), INDEX($AN$1004:$BO$1004,1,MATCH(COLUMNS($AN$1006:BN1006),$AN$1006:$BO$1006,0)))),"Fix")))</f>
        <v>0</v>
      </c>
      <c r="AC723" s="4">
        <f>IF(OR(INDEX($AH$2:$AH$1001,MATCH(ROWS($AG$2:AG723),$AG$2:$AG$1001,0),1)&gt;=100000,INDEX($AN$1005:$BO$1005,1,MATCH(COLUMNS($AN$1006:BO1006),$AN$1006:$BO$1006,0))&gt;=100000), " ",IF(INDEX($AN$2:$BO$1001,MATCH(ROWS($AG$2:AG723),$AG$2:$AG$1001,0),MATCH(COLUMNS($AN$1006:BO1006),$AN$1006:$BO$1006,0)), HYPERLINK("#",""), HYPERLINK(CONCATENATE("#Metadata!", ADDRESS(INDEX($AI$2:$AI$1001,MATCH(ROWS($AG$2:AG723),$AG$2:$AG$1001,0),0), INDEX($AN$1004:$BO$1004,1,MATCH(COLUMNS($AN$1006:BO1006),$AN$1006:$BO$1006,0)))),"Fix")))</f>
        <v>0</v>
      </c>
      <c r="AG723">
        <v>0</v>
      </c>
      <c r="AH723">
        <v>0</v>
      </c>
      <c r="AI723">
        <v>0</v>
      </c>
      <c r="AJ723">
        <f>IF(AK723,TRUE,AND(AN723:BO723))</f>
        <v>0</v>
      </c>
      <c r="AK723">
        <f>COUNTBLANK(Metadata!B723:AC723)=COLUMNS(Metadata!B723:AC723)</f>
        <v>0</v>
      </c>
      <c r="AL723">
        <v>0</v>
      </c>
      <c r="AN723">
        <f>AND(IF(Metadata!B723="",FALSE,TRUE),COUNTIF(Metadata!B:B, Metadata!B723) = 1,NOT(ISERROR(SUMPRODUCT(SEARCH(MID(Metadata!B723,ROW(INDIRECT("1:"&amp;LEN(Metadata!B723))), 1),"0123456789abcdefghijklmnopqrstuvwxyzABCDEFGHIJKLMNOPQRSTUVWXYZ.")))))</f>
        <v>0</v>
      </c>
      <c r="AO723">
        <f>IF(Metadata!C723="",FALSE,TRUE)</f>
        <v>0</v>
      </c>
      <c r="AP723">
        <f>IF(Metadata!D723="",FALSE,TRUE)</f>
        <v>0</v>
      </c>
      <c r="AQ723">
        <f>OR(AND(IF(Metadata!E723="",FALSE,TRUE),OR(exact(Metadata!E723,"not collected"),exact(Metadata!E723,"not provided"),exact(Metadata!E723,"restricted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R723">
        <f>IF(Metadata!F723="",FALSE,TRUE)</f>
        <v>0</v>
      </c>
      <c r="AS723">
        <f>OR(AND(IF(Metadata!G723="",FALSE,TRUE),OR(exact(Metadata!G723,"not collected"),exact(Metadata!G723,"not provided"))),AND(IF(Metadata!G723="",FALSE,TRUE),OR(exact(Metadata!G723,"TRUE"),exact(Metadata!G723,"FALSE"))))</f>
        <v>0</v>
      </c>
      <c r="AT723">
        <f>OR(AND(IF(Metadata!H723="",FALSE,TRUE),OR(exact(Metadata!H723,"not collected"),exact(Metadata!H723,"not provided"),exact(Metadata!H723,"restricted access"))),AND(IF(Metadata!H723="",FALSE,ISNUMBER(VALUE(Metadata!H723))),Metadata!H723&gt;=-413.0))</f>
        <v>0</v>
      </c>
      <c r="AU723">
        <f>AND(IF(Metadata!I723="",FALSE,TRUE),exact(Metadata!I723,"meters"))</f>
        <v>0</v>
      </c>
      <c r="AV723">
        <f>AND(IF(Metadata!J723="",FALSE,TRUE),OR(exact(Metadata!J723,"Host-associated"),exact(Metadata!J723,"Free-living")))</f>
        <v>0</v>
      </c>
      <c r="AW723">
        <f>AND(IF(Metadata!K723="",FALSE,TRUE),OR(exact(Metadata!K723,"Animal"),exact(Metadata!K723,"Fungus"),exact(Metadata!K723,"Plant"),exact(Metadata!K723,"Saline"),exact(Metadata!K723,"Non-saline")))</f>
        <v>0</v>
      </c>
      <c r="AX723">
        <f>AND(IF(Metadata!L723="",FALSE,TRUE),OR(exact(Metadata!L723,"Plant secretion"),exact(Metadata!L723,"Plant rhizosphere"),exact(Metadata!L723,"Plant surface"),exact(Metadata!L723,"Plant corpus"),exact(Metadata!L723,"Fungus surface"),exact(Metadata!L723,"Fungus corpus"),exact(Metadata!L723,"Animal surface"),exact(Metadata!L723,"Animal proximal gut"),exact(Metadata!L723,"Animal corpus"),exact(Metadata!L723,"Animal distal gut"),exact(Metadata!L723,"Animal secretion"),exact(Metadata!L723,"Sub-surface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Y723">
        <f>IF(Metadata!M723="",FALSE,TRUE)</f>
        <v>0</v>
      </c>
      <c r="AZ723">
        <f>IF(Metadata!N723="",FALSE,TRUE)</f>
        <v>0</v>
      </c>
      <c r="BA723">
        <f>IF(Metadata!O723="",FALSE,TRUE)</f>
        <v>0</v>
      </c>
      <c r="BB723">
        <f>OR(AND(IF(Metadata!P723="",FALSE,TRUE),OR(exact(Metadata!P723,"not collected"),exact(Metadata!P723,"not provided"),exact(Metadata!P723,"restricted access"))),AND(IF(Metadata!P723="",FALSE,TRUE),OR(exact(Metadata!P723,"air"),exact(Metadata!P723,"built environment"),exact(Metadata!P723,"host-associated"),exact(Metadata!P723,"human-associated"),exact(Metadata!P723,"human-skin"),exact(Metadata!P723,"human-oral"),exact(Metadata!P723,"human-gut"),exact(Metadata!P723,"human-vaginal"),exact(Metadata!P723,"microbial mat/biofilm"),exact(Metadata!P723,"misc environment"),exact(Metadata!P723,"plant-associated"),exact(Metadata!P723,"sediment"),exact(Metadata!P723,"soil"),exact(Metadata!P723,"wastewater/sludge"),exact(Metadata!P723,"water"))))</f>
        <v>0</v>
      </c>
      <c r="BC723">
        <f>IF(Metadata!Q723="",FALSE,TRUE)</f>
        <v>0</v>
      </c>
      <c r="BD723">
        <f>IF(Metadata!R723="",FALSE,TRUE)</f>
        <v>0</v>
      </c>
      <c r="BE723">
        <f>OR(AND(IF(Metadata!S723="",FALSE,TRUE),OR(exact(Metadata!S723,"not collected"),exact(Metadata!S723,"not provided"),exact(Metadata!S723,"restricted access"))),AND(IF(Metadata!S723="",FALSE,ISNUMBER(VALUE(Metadata!S723))),Metadata!S723&gt;=-90.00,Metadata!S723&lt;=90.00))</f>
        <v>0</v>
      </c>
      <c r="BF723">
        <f>AND(IF(Metadata!T723="",FALSE,TRUE),exact(Metadata!T723,"Decimal degrees"))</f>
        <v>0</v>
      </c>
      <c r="BG723">
        <f>OR(AND(IF(Metadata!U723="",FALSE,TRUE),OR(exact(Metadata!U723,"not collected"),exact(Metadata!U723,"not provided"),exact(Metadata!U723,"restricted access"))),AND(IF(Metadata!U723="",FALSE,ISNUMBER(VALUE(Metadata!U723))),Metadata!U723&gt;=-180.00,Metadata!U723&lt;=180.00))</f>
        <v>0</v>
      </c>
      <c r="BH723">
        <f>AND(IF(Metadata!V723="",FALSE,TRUE),exact(Metadata!V723,"Decimal degrees"))</f>
        <v>0</v>
      </c>
      <c r="BI723">
        <f>IF(Metadata!W723="",FALSE,TRUE)</f>
        <v>0</v>
      </c>
      <c r="BJ723">
        <f>OR(AND(IF(Metadata!X723="",FALSE,TRUE),OR(exact(Metadata!X723,"not collected"),exact(Metadata!X723,"not provided"),exact(Metadata!X723,"restricted access"))),AND(IF(Metadata!X723="",FALSE,TRUE),OR(exact(Metadata!X723,"TRUE"),exact(Metadata!X723,"FALSE"))))</f>
        <v>0</v>
      </c>
      <c r="BK723">
        <f>AND(IF(Metadata!Y723="",FALSE,TRUE),exact(Metadata!Y723,"other"))</f>
        <v>0</v>
      </c>
      <c r="BL723">
        <f>IF(Metadata!Z723="",FALSE,TRUE)</f>
        <v>0</v>
      </c>
      <c r="BM723">
        <f>OR(AND(IF(Metadata!AA723="",FALSE,TRUE),OR(exact(Metadata!AA723,"not collected"),exact(Metadata!AA723,"not provided"))),AND(IF(Metadata!AA723="",FALSE,IF(ISERROR(INT(Metadata!AA723)),FALSE,INT(Metadata!AA723)=Metadata!AA723)),Metadata!AA723&gt;0))</f>
        <v>0</v>
      </c>
      <c r="BN723">
        <f>AND(IF(Metadata!AB723="",FALSE,TRUE),exact(Metadata!AB723,"Not applicable"))</f>
        <v>0</v>
      </c>
      <c r="BO723">
        <f>IF(Metadata!AC723="",FALSE,TRUE)</f>
        <v>0</v>
      </c>
    </row>
    <row r="724" spans="1:67">
      <c r="A724" s="5">
        <f>IF(B724=" "," ",HYPERLINK(CONCATENATE("#metadata!",ADDRESS(INDEX($AI$2:$AI$1001,MATCH(ROWS($AG$2:AG724),$AG$2:$AG$1001,0),0),1)),INDEX($AL$2:$AL$1001,MATCH(ROWS($AG$2:AG724),$AG$2:$AG$1001,0),0)))</f>
        <v>0</v>
      </c>
      <c r="B724" s="4">
        <f>IF(OR(INDEX($AH$2:$AH$1001,MATCH(ROWS($AG$2:AG724),$AG$2:$AG$1001,0),1)&gt;=100000,INDEX($AN$1005:$BO$1005,1,MATCH(COLUMNS($AN$1006:AN1006),$AN$1006:$BO$1006,0))&gt;=100000), " ",IF(INDEX($AN$2:$BO$1001,MATCH(ROWS($AG$2:AG724),$AG$2:$AG$1001,0),MATCH(COLUMNS($AN$1006:AN1006),$AN$1006:$BO$1006,0)), HYPERLINK("#",""), HYPERLINK(CONCATENATE("#Metadata!", ADDRESS(INDEX($AI$2:$AI$1001,MATCH(ROWS($AG$2:AG724),$AG$2:$AG$1001,0),0), INDEX($AN$1004:$BO$1004,1,MATCH(COLUMNS($AN$1006:AN1006),$AN$1006:$BO$1006,0)))),"Fix")))</f>
        <v>0</v>
      </c>
      <c r="C724" s="4">
        <f>IF(OR(INDEX($AH$2:$AH$1001,MATCH(ROWS($AG$2:AG724),$AG$2:$AG$1001,0),1)&gt;=100000,INDEX($AN$1005:$BO$1005,1,MATCH(COLUMNS($AN$1006:AO1006),$AN$1006:$BO$1006,0))&gt;=100000), " ",IF(INDEX($AN$2:$BO$1001,MATCH(ROWS($AG$2:AG724),$AG$2:$AG$1001,0),MATCH(COLUMNS($AN$1006:AO1006),$AN$1006:$BO$1006,0)), HYPERLINK("#",""), HYPERLINK(CONCATENATE("#Metadata!", ADDRESS(INDEX($AI$2:$AI$1001,MATCH(ROWS($AG$2:AG724),$AG$2:$AG$1001,0),0), INDEX($AN$1004:$BO$1004,1,MATCH(COLUMNS($AN$1006:AO1006),$AN$1006:$BO$1006,0)))),"Fix")))</f>
        <v>0</v>
      </c>
      <c r="D724" s="4">
        <f>IF(OR(INDEX($AH$2:$AH$1001,MATCH(ROWS($AG$2:AG724),$AG$2:$AG$1001,0),1)&gt;=100000,INDEX($AN$1005:$BO$1005,1,MATCH(COLUMNS($AN$1006:AP1006),$AN$1006:$BO$1006,0))&gt;=100000), " ",IF(INDEX($AN$2:$BO$1001,MATCH(ROWS($AG$2:AG724),$AG$2:$AG$1001,0),MATCH(COLUMNS($AN$1006:AP1006),$AN$1006:$BO$1006,0)), HYPERLINK("#",""), HYPERLINK(CONCATENATE("#Metadata!", ADDRESS(INDEX($AI$2:$AI$1001,MATCH(ROWS($AG$2:AG724),$AG$2:$AG$1001,0),0), INDEX($AN$1004:$BO$1004,1,MATCH(COLUMNS($AN$1006:AP1006),$AN$1006:$BO$1006,0)))),"Fix")))</f>
        <v>0</v>
      </c>
      <c r="E724" s="4">
        <f>IF(OR(INDEX($AH$2:$AH$1001,MATCH(ROWS($AG$2:AG724),$AG$2:$AG$1001,0),1)&gt;=100000,INDEX($AN$1005:$BO$1005,1,MATCH(COLUMNS($AN$1006:AQ1006),$AN$1006:$BO$1006,0))&gt;=100000), " ",IF(INDEX($AN$2:$BO$1001,MATCH(ROWS($AG$2:AG724),$AG$2:$AG$1001,0),MATCH(COLUMNS($AN$1006:AQ1006),$AN$1006:$BO$1006,0)), HYPERLINK("#",""), HYPERLINK(CONCATENATE("#Metadata!", ADDRESS(INDEX($AI$2:$AI$1001,MATCH(ROWS($AG$2:AG724),$AG$2:$AG$1001,0),0), INDEX($AN$1004:$BO$1004,1,MATCH(COLUMNS($AN$1006:AQ1006),$AN$1006:$BO$1006,0)))),"Fix")))</f>
        <v>0</v>
      </c>
      <c r="F724" s="4">
        <f>IF(OR(INDEX($AH$2:$AH$1001,MATCH(ROWS($AG$2:AG724),$AG$2:$AG$1001,0),1)&gt;=100000,INDEX($AN$1005:$BO$1005,1,MATCH(COLUMNS($AN$1006:AR1006),$AN$1006:$BO$1006,0))&gt;=100000), " ",IF(INDEX($AN$2:$BO$1001,MATCH(ROWS($AG$2:AG724),$AG$2:$AG$1001,0),MATCH(COLUMNS($AN$1006:AR1006),$AN$1006:$BO$1006,0)), HYPERLINK("#",""), HYPERLINK(CONCATENATE("#Metadata!", ADDRESS(INDEX($AI$2:$AI$1001,MATCH(ROWS($AG$2:AG724),$AG$2:$AG$1001,0),0), INDEX($AN$1004:$BO$1004,1,MATCH(COLUMNS($AN$1006:AR1006),$AN$1006:$BO$1006,0)))),"Fix")))</f>
        <v>0</v>
      </c>
      <c r="G724" s="4">
        <f>IF(OR(INDEX($AH$2:$AH$1001,MATCH(ROWS($AG$2:AG724),$AG$2:$AG$1001,0),1)&gt;=100000,INDEX($AN$1005:$BO$1005,1,MATCH(COLUMNS($AN$1006:AS1006),$AN$1006:$BO$1006,0))&gt;=100000), " ",IF(INDEX($AN$2:$BO$1001,MATCH(ROWS($AG$2:AG724),$AG$2:$AG$1001,0),MATCH(COLUMNS($AN$1006:AS1006),$AN$1006:$BO$1006,0)), HYPERLINK("#",""), HYPERLINK(CONCATENATE("#Metadata!", ADDRESS(INDEX($AI$2:$AI$1001,MATCH(ROWS($AG$2:AG724),$AG$2:$AG$1001,0),0), INDEX($AN$1004:$BO$1004,1,MATCH(COLUMNS($AN$1006:AS1006),$AN$1006:$BO$1006,0)))),"Fix")))</f>
        <v>0</v>
      </c>
      <c r="H724" s="4">
        <f>IF(OR(INDEX($AH$2:$AH$1001,MATCH(ROWS($AG$2:AG724),$AG$2:$AG$1001,0),1)&gt;=100000,INDEX($AN$1005:$BO$1005,1,MATCH(COLUMNS($AN$1006:AT1006),$AN$1006:$BO$1006,0))&gt;=100000), " ",IF(INDEX($AN$2:$BO$1001,MATCH(ROWS($AG$2:AG724),$AG$2:$AG$1001,0),MATCH(COLUMNS($AN$1006:AT1006),$AN$1006:$BO$1006,0)), HYPERLINK("#",""), HYPERLINK(CONCATENATE("#Metadata!", ADDRESS(INDEX($AI$2:$AI$1001,MATCH(ROWS($AG$2:AG724),$AG$2:$AG$1001,0),0), INDEX($AN$1004:$BO$1004,1,MATCH(COLUMNS($AN$1006:AT1006),$AN$1006:$BO$1006,0)))),"Fix")))</f>
        <v>0</v>
      </c>
      <c r="I724" s="4">
        <f>IF(OR(INDEX($AH$2:$AH$1001,MATCH(ROWS($AG$2:AG724),$AG$2:$AG$1001,0),1)&gt;=100000,INDEX($AN$1005:$BO$1005,1,MATCH(COLUMNS($AN$1006:AU1006),$AN$1006:$BO$1006,0))&gt;=100000), " ",IF(INDEX($AN$2:$BO$1001,MATCH(ROWS($AG$2:AG724),$AG$2:$AG$1001,0),MATCH(COLUMNS($AN$1006:AU1006),$AN$1006:$BO$1006,0)), HYPERLINK("#",""), HYPERLINK(CONCATENATE("#Metadata!", ADDRESS(INDEX($AI$2:$AI$1001,MATCH(ROWS($AG$2:AG724),$AG$2:$AG$1001,0),0), INDEX($AN$1004:$BO$1004,1,MATCH(COLUMNS($AN$1006:AU1006),$AN$1006:$BO$1006,0)))),"Fix")))</f>
        <v>0</v>
      </c>
      <c r="J724" s="4">
        <f>IF(OR(INDEX($AH$2:$AH$1001,MATCH(ROWS($AG$2:AG724),$AG$2:$AG$1001,0),1)&gt;=100000,INDEX($AN$1005:$BO$1005,1,MATCH(COLUMNS($AN$1006:AV1006),$AN$1006:$BO$1006,0))&gt;=100000), " ",IF(INDEX($AN$2:$BO$1001,MATCH(ROWS($AG$2:AG724),$AG$2:$AG$1001,0),MATCH(COLUMNS($AN$1006:AV1006),$AN$1006:$BO$1006,0)), HYPERLINK("#",""), HYPERLINK(CONCATENATE("#Metadata!", ADDRESS(INDEX($AI$2:$AI$1001,MATCH(ROWS($AG$2:AG724),$AG$2:$AG$1001,0),0), INDEX($AN$1004:$BO$1004,1,MATCH(COLUMNS($AN$1006:AV1006),$AN$1006:$BO$1006,0)))),"Fix")))</f>
        <v>0</v>
      </c>
      <c r="K724" s="4">
        <f>IF(OR(INDEX($AH$2:$AH$1001,MATCH(ROWS($AG$2:AG724),$AG$2:$AG$1001,0),1)&gt;=100000,INDEX($AN$1005:$BO$1005,1,MATCH(COLUMNS($AN$1006:AW1006),$AN$1006:$BO$1006,0))&gt;=100000), " ",IF(INDEX($AN$2:$BO$1001,MATCH(ROWS($AG$2:AG724),$AG$2:$AG$1001,0),MATCH(COLUMNS($AN$1006:AW1006),$AN$1006:$BO$1006,0)), HYPERLINK("#",""), HYPERLINK(CONCATENATE("#Metadata!", ADDRESS(INDEX($AI$2:$AI$1001,MATCH(ROWS($AG$2:AG724),$AG$2:$AG$1001,0),0), INDEX($AN$1004:$BO$1004,1,MATCH(COLUMNS($AN$1006:AW1006),$AN$1006:$BO$1006,0)))),"Fix")))</f>
        <v>0</v>
      </c>
      <c r="L724" s="4">
        <f>IF(OR(INDEX($AH$2:$AH$1001,MATCH(ROWS($AG$2:AG724),$AG$2:$AG$1001,0),1)&gt;=100000,INDEX($AN$1005:$BO$1005,1,MATCH(COLUMNS($AN$1006:AX1006),$AN$1006:$BO$1006,0))&gt;=100000), " ",IF(INDEX($AN$2:$BO$1001,MATCH(ROWS($AG$2:AG724),$AG$2:$AG$1001,0),MATCH(COLUMNS($AN$1006:AX1006),$AN$1006:$BO$1006,0)), HYPERLINK("#",""), HYPERLINK(CONCATENATE("#Metadata!", ADDRESS(INDEX($AI$2:$AI$1001,MATCH(ROWS($AG$2:AG724),$AG$2:$AG$1001,0),0), INDEX($AN$1004:$BO$1004,1,MATCH(COLUMNS($AN$1006:AX1006),$AN$1006:$BO$1006,0)))),"Fix")))</f>
        <v>0</v>
      </c>
      <c r="M724" s="4">
        <f>IF(OR(INDEX($AH$2:$AH$1001,MATCH(ROWS($AG$2:AG724),$AG$2:$AG$1001,0),1)&gt;=100000,INDEX($AN$1005:$BO$1005,1,MATCH(COLUMNS($AN$1006:AY1006),$AN$1006:$BO$1006,0))&gt;=100000), " ",IF(INDEX($AN$2:$BO$1001,MATCH(ROWS($AG$2:AG724),$AG$2:$AG$1001,0),MATCH(COLUMNS($AN$1006:AY1006),$AN$1006:$BO$1006,0)), HYPERLINK("#",""), HYPERLINK(CONCATENATE("#Metadata!", ADDRESS(INDEX($AI$2:$AI$1001,MATCH(ROWS($AG$2:AG724),$AG$2:$AG$1001,0),0), INDEX($AN$1004:$BO$1004,1,MATCH(COLUMNS($AN$1006:AY1006),$AN$1006:$BO$1006,0)))),"Fix")))</f>
        <v>0</v>
      </c>
      <c r="N724" s="4">
        <f>IF(OR(INDEX($AH$2:$AH$1001,MATCH(ROWS($AG$2:AG724),$AG$2:$AG$1001,0),1)&gt;=100000,INDEX($AN$1005:$BO$1005,1,MATCH(COLUMNS($AN$1006:AZ1006),$AN$1006:$BO$1006,0))&gt;=100000), " ",IF(INDEX($AN$2:$BO$1001,MATCH(ROWS($AG$2:AG724),$AG$2:$AG$1001,0),MATCH(COLUMNS($AN$1006:AZ1006),$AN$1006:$BO$1006,0)), HYPERLINK("#",""), HYPERLINK(CONCATENATE("#Metadata!", ADDRESS(INDEX($AI$2:$AI$1001,MATCH(ROWS($AG$2:AG724),$AG$2:$AG$1001,0),0), INDEX($AN$1004:$BO$1004,1,MATCH(COLUMNS($AN$1006:AZ1006),$AN$1006:$BO$1006,0)))),"Fix")))</f>
        <v>0</v>
      </c>
      <c r="O724" s="4">
        <f>IF(OR(INDEX($AH$2:$AH$1001,MATCH(ROWS($AG$2:AG724),$AG$2:$AG$1001,0),1)&gt;=100000,INDEX($AN$1005:$BO$1005,1,MATCH(COLUMNS($AN$1006:BA1006),$AN$1006:$BO$1006,0))&gt;=100000), " ",IF(INDEX($AN$2:$BO$1001,MATCH(ROWS($AG$2:AG724),$AG$2:$AG$1001,0),MATCH(COLUMNS($AN$1006:BA1006),$AN$1006:$BO$1006,0)), HYPERLINK("#",""), HYPERLINK(CONCATENATE("#Metadata!", ADDRESS(INDEX($AI$2:$AI$1001,MATCH(ROWS($AG$2:AG724),$AG$2:$AG$1001,0),0), INDEX($AN$1004:$BO$1004,1,MATCH(COLUMNS($AN$1006:BA1006),$AN$1006:$BO$1006,0)))),"Fix")))</f>
        <v>0</v>
      </c>
      <c r="P724" s="4">
        <f>IF(OR(INDEX($AH$2:$AH$1001,MATCH(ROWS($AG$2:AG724),$AG$2:$AG$1001,0),1)&gt;=100000,INDEX($AN$1005:$BO$1005,1,MATCH(COLUMNS($AN$1006:BB1006),$AN$1006:$BO$1006,0))&gt;=100000), " ",IF(INDEX($AN$2:$BO$1001,MATCH(ROWS($AG$2:AG724),$AG$2:$AG$1001,0),MATCH(COLUMNS($AN$1006:BB1006),$AN$1006:$BO$1006,0)), HYPERLINK("#",""), HYPERLINK(CONCATENATE("#Metadata!", ADDRESS(INDEX($AI$2:$AI$1001,MATCH(ROWS($AG$2:AG724),$AG$2:$AG$1001,0),0), INDEX($AN$1004:$BO$1004,1,MATCH(COLUMNS($AN$1006:BB1006),$AN$1006:$BO$1006,0)))),"Fix")))</f>
        <v>0</v>
      </c>
      <c r="Q724" s="4">
        <f>IF(OR(INDEX($AH$2:$AH$1001,MATCH(ROWS($AG$2:AG724),$AG$2:$AG$1001,0),1)&gt;=100000,INDEX($AN$1005:$BO$1005,1,MATCH(COLUMNS($AN$1006:BC1006),$AN$1006:$BO$1006,0))&gt;=100000), " ",IF(INDEX($AN$2:$BO$1001,MATCH(ROWS($AG$2:AG724),$AG$2:$AG$1001,0),MATCH(COLUMNS($AN$1006:BC1006),$AN$1006:$BO$1006,0)), HYPERLINK("#",""), HYPERLINK(CONCATENATE("#Metadata!", ADDRESS(INDEX($AI$2:$AI$1001,MATCH(ROWS($AG$2:AG724),$AG$2:$AG$1001,0),0), INDEX($AN$1004:$BO$1004,1,MATCH(COLUMNS($AN$1006:BC1006),$AN$1006:$BO$1006,0)))),"Fix")))</f>
        <v>0</v>
      </c>
      <c r="R724" s="4">
        <f>IF(OR(INDEX($AH$2:$AH$1001,MATCH(ROWS($AG$2:AG724),$AG$2:$AG$1001,0),1)&gt;=100000,INDEX($AN$1005:$BO$1005,1,MATCH(COLUMNS($AN$1006:BD1006),$AN$1006:$BO$1006,0))&gt;=100000), " ",IF(INDEX($AN$2:$BO$1001,MATCH(ROWS($AG$2:AG724),$AG$2:$AG$1001,0),MATCH(COLUMNS($AN$1006:BD1006),$AN$1006:$BO$1006,0)), HYPERLINK("#",""), HYPERLINK(CONCATENATE("#Metadata!", ADDRESS(INDEX($AI$2:$AI$1001,MATCH(ROWS($AG$2:AG724),$AG$2:$AG$1001,0),0), INDEX($AN$1004:$BO$1004,1,MATCH(COLUMNS($AN$1006:BD1006),$AN$1006:$BO$1006,0)))),"Fix")))</f>
        <v>0</v>
      </c>
      <c r="S724" s="4">
        <f>IF(OR(INDEX($AH$2:$AH$1001,MATCH(ROWS($AG$2:AG724),$AG$2:$AG$1001,0),1)&gt;=100000,INDEX($AN$1005:$BO$1005,1,MATCH(COLUMNS($AN$1006:BE1006),$AN$1006:$BO$1006,0))&gt;=100000), " ",IF(INDEX($AN$2:$BO$1001,MATCH(ROWS($AG$2:AG724),$AG$2:$AG$1001,0),MATCH(COLUMNS($AN$1006:BE1006),$AN$1006:$BO$1006,0)), HYPERLINK("#",""), HYPERLINK(CONCATENATE("#Metadata!", ADDRESS(INDEX($AI$2:$AI$1001,MATCH(ROWS($AG$2:AG724),$AG$2:$AG$1001,0),0), INDEX($AN$1004:$BO$1004,1,MATCH(COLUMNS($AN$1006:BE1006),$AN$1006:$BO$1006,0)))),"Fix")))</f>
        <v>0</v>
      </c>
      <c r="T724" s="4">
        <f>IF(OR(INDEX($AH$2:$AH$1001,MATCH(ROWS($AG$2:AG724),$AG$2:$AG$1001,0),1)&gt;=100000,INDEX($AN$1005:$BO$1005,1,MATCH(COLUMNS($AN$1006:BF1006),$AN$1006:$BO$1006,0))&gt;=100000), " ",IF(INDEX($AN$2:$BO$1001,MATCH(ROWS($AG$2:AG724),$AG$2:$AG$1001,0),MATCH(COLUMNS($AN$1006:BF1006),$AN$1006:$BO$1006,0)), HYPERLINK("#",""), HYPERLINK(CONCATENATE("#Metadata!", ADDRESS(INDEX($AI$2:$AI$1001,MATCH(ROWS($AG$2:AG724),$AG$2:$AG$1001,0),0), INDEX($AN$1004:$BO$1004,1,MATCH(COLUMNS($AN$1006:BF1006),$AN$1006:$BO$1006,0)))),"Fix")))</f>
        <v>0</v>
      </c>
      <c r="U724" s="4">
        <f>IF(OR(INDEX($AH$2:$AH$1001,MATCH(ROWS($AG$2:AG724),$AG$2:$AG$1001,0),1)&gt;=100000,INDEX($AN$1005:$BO$1005,1,MATCH(COLUMNS($AN$1006:BG1006),$AN$1006:$BO$1006,0))&gt;=100000), " ",IF(INDEX($AN$2:$BO$1001,MATCH(ROWS($AG$2:AG724),$AG$2:$AG$1001,0),MATCH(COLUMNS($AN$1006:BG1006),$AN$1006:$BO$1006,0)), HYPERLINK("#",""), HYPERLINK(CONCATENATE("#Metadata!", ADDRESS(INDEX($AI$2:$AI$1001,MATCH(ROWS($AG$2:AG724),$AG$2:$AG$1001,0),0), INDEX($AN$1004:$BO$1004,1,MATCH(COLUMNS($AN$1006:BG1006),$AN$1006:$BO$1006,0)))),"Fix")))</f>
        <v>0</v>
      </c>
      <c r="V724" s="4">
        <f>IF(OR(INDEX($AH$2:$AH$1001,MATCH(ROWS($AG$2:AG724),$AG$2:$AG$1001,0),1)&gt;=100000,INDEX($AN$1005:$BO$1005,1,MATCH(COLUMNS($AN$1006:BH1006),$AN$1006:$BO$1006,0))&gt;=100000), " ",IF(INDEX($AN$2:$BO$1001,MATCH(ROWS($AG$2:AG724),$AG$2:$AG$1001,0),MATCH(COLUMNS($AN$1006:BH1006),$AN$1006:$BO$1006,0)), HYPERLINK("#",""), HYPERLINK(CONCATENATE("#Metadata!", ADDRESS(INDEX($AI$2:$AI$1001,MATCH(ROWS($AG$2:AG724),$AG$2:$AG$1001,0),0), INDEX($AN$1004:$BO$1004,1,MATCH(COLUMNS($AN$1006:BH1006),$AN$1006:$BO$1006,0)))),"Fix")))</f>
        <v>0</v>
      </c>
      <c r="W724" s="4">
        <f>IF(OR(INDEX($AH$2:$AH$1001,MATCH(ROWS($AG$2:AG724),$AG$2:$AG$1001,0),1)&gt;=100000,INDEX($AN$1005:$BO$1005,1,MATCH(COLUMNS($AN$1006:BI1006),$AN$1006:$BO$1006,0))&gt;=100000), " ",IF(INDEX($AN$2:$BO$1001,MATCH(ROWS($AG$2:AG724),$AG$2:$AG$1001,0),MATCH(COLUMNS($AN$1006:BI1006),$AN$1006:$BO$1006,0)), HYPERLINK("#",""), HYPERLINK(CONCATENATE("#Metadata!", ADDRESS(INDEX($AI$2:$AI$1001,MATCH(ROWS($AG$2:AG724),$AG$2:$AG$1001,0),0), INDEX($AN$1004:$BO$1004,1,MATCH(COLUMNS($AN$1006:BI1006),$AN$1006:$BO$1006,0)))),"Fix")))</f>
        <v>0</v>
      </c>
      <c r="X724" s="4">
        <f>IF(OR(INDEX($AH$2:$AH$1001,MATCH(ROWS($AG$2:AG724),$AG$2:$AG$1001,0),1)&gt;=100000,INDEX($AN$1005:$BO$1005,1,MATCH(COLUMNS($AN$1006:BJ1006),$AN$1006:$BO$1006,0))&gt;=100000), " ",IF(INDEX($AN$2:$BO$1001,MATCH(ROWS($AG$2:AG724),$AG$2:$AG$1001,0),MATCH(COLUMNS($AN$1006:BJ1006),$AN$1006:$BO$1006,0)), HYPERLINK("#",""), HYPERLINK(CONCATENATE("#Metadata!", ADDRESS(INDEX($AI$2:$AI$1001,MATCH(ROWS($AG$2:AG724),$AG$2:$AG$1001,0),0), INDEX($AN$1004:$BO$1004,1,MATCH(COLUMNS($AN$1006:BJ1006),$AN$1006:$BO$1006,0)))),"Fix")))</f>
        <v>0</v>
      </c>
      <c r="Y724" s="4">
        <f>IF(OR(INDEX($AH$2:$AH$1001,MATCH(ROWS($AG$2:AG724),$AG$2:$AG$1001,0),1)&gt;=100000,INDEX($AN$1005:$BO$1005,1,MATCH(COLUMNS($AN$1006:BK1006),$AN$1006:$BO$1006,0))&gt;=100000), " ",IF(INDEX($AN$2:$BO$1001,MATCH(ROWS($AG$2:AG724),$AG$2:$AG$1001,0),MATCH(COLUMNS($AN$1006:BK1006),$AN$1006:$BO$1006,0)), HYPERLINK("#",""), HYPERLINK(CONCATENATE("#Metadata!", ADDRESS(INDEX($AI$2:$AI$1001,MATCH(ROWS($AG$2:AG724),$AG$2:$AG$1001,0),0), INDEX($AN$1004:$BO$1004,1,MATCH(COLUMNS($AN$1006:BK1006),$AN$1006:$BO$1006,0)))),"Fix")))</f>
        <v>0</v>
      </c>
      <c r="Z724" s="4">
        <f>IF(OR(INDEX($AH$2:$AH$1001,MATCH(ROWS($AG$2:AG724),$AG$2:$AG$1001,0),1)&gt;=100000,INDEX($AN$1005:$BO$1005,1,MATCH(COLUMNS($AN$1006:BL1006),$AN$1006:$BO$1006,0))&gt;=100000), " ",IF(INDEX($AN$2:$BO$1001,MATCH(ROWS($AG$2:AG724),$AG$2:$AG$1001,0),MATCH(COLUMNS($AN$1006:BL1006),$AN$1006:$BO$1006,0)), HYPERLINK("#",""), HYPERLINK(CONCATENATE("#Metadata!", ADDRESS(INDEX($AI$2:$AI$1001,MATCH(ROWS($AG$2:AG724),$AG$2:$AG$1001,0),0), INDEX($AN$1004:$BO$1004,1,MATCH(COLUMNS($AN$1006:BL1006),$AN$1006:$BO$1006,0)))),"Fix")))</f>
        <v>0</v>
      </c>
      <c r="AA724" s="4">
        <f>IF(OR(INDEX($AH$2:$AH$1001,MATCH(ROWS($AG$2:AG724),$AG$2:$AG$1001,0),1)&gt;=100000,INDEX($AN$1005:$BO$1005,1,MATCH(COLUMNS($AN$1006:BM1006),$AN$1006:$BO$1006,0))&gt;=100000), " ",IF(INDEX($AN$2:$BO$1001,MATCH(ROWS($AG$2:AG724),$AG$2:$AG$1001,0),MATCH(COLUMNS($AN$1006:BM1006),$AN$1006:$BO$1006,0)), HYPERLINK("#",""), HYPERLINK(CONCATENATE("#Metadata!", ADDRESS(INDEX($AI$2:$AI$1001,MATCH(ROWS($AG$2:AG724),$AG$2:$AG$1001,0),0), INDEX($AN$1004:$BO$1004,1,MATCH(COLUMNS($AN$1006:BM1006),$AN$1006:$BO$1006,0)))),"Fix")))</f>
        <v>0</v>
      </c>
      <c r="AB724" s="4">
        <f>IF(OR(INDEX($AH$2:$AH$1001,MATCH(ROWS($AG$2:AG724),$AG$2:$AG$1001,0),1)&gt;=100000,INDEX($AN$1005:$BO$1005,1,MATCH(COLUMNS($AN$1006:BN1006),$AN$1006:$BO$1006,0))&gt;=100000), " ",IF(INDEX($AN$2:$BO$1001,MATCH(ROWS($AG$2:AG724),$AG$2:$AG$1001,0),MATCH(COLUMNS($AN$1006:BN1006),$AN$1006:$BO$1006,0)), HYPERLINK("#",""), HYPERLINK(CONCATENATE("#Metadata!", ADDRESS(INDEX($AI$2:$AI$1001,MATCH(ROWS($AG$2:AG724),$AG$2:$AG$1001,0),0), INDEX($AN$1004:$BO$1004,1,MATCH(COLUMNS($AN$1006:BN1006),$AN$1006:$BO$1006,0)))),"Fix")))</f>
        <v>0</v>
      </c>
      <c r="AC724" s="4">
        <f>IF(OR(INDEX($AH$2:$AH$1001,MATCH(ROWS($AG$2:AG724),$AG$2:$AG$1001,0),1)&gt;=100000,INDEX($AN$1005:$BO$1005,1,MATCH(COLUMNS($AN$1006:BO1006),$AN$1006:$BO$1006,0))&gt;=100000), " ",IF(INDEX($AN$2:$BO$1001,MATCH(ROWS($AG$2:AG724),$AG$2:$AG$1001,0),MATCH(COLUMNS($AN$1006:BO1006),$AN$1006:$BO$1006,0)), HYPERLINK("#",""), HYPERLINK(CONCATENATE("#Metadata!", ADDRESS(INDEX($AI$2:$AI$1001,MATCH(ROWS($AG$2:AG724),$AG$2:$AG$1001,0),0), INDEX($AN$1004:$BO$1004,1,MATCH(COLUMNS($AN$1006:BO1006),$AN$1006:$BO$1006,0)))),"Fix")))</f>
        <v>0</v>
      </c>
      <c r="AG724">
        <v>0</v>
      </c>
      <c r="AH724">
        <v>0</v>
      </c>
      <c r="AI724">
        <v>0</v>
      </c>
      <c r="AJ724">
        <f>IF(AK724,TRUE,AND(AN724:BO724))</f>
        <v>0</v>
      </c>
      <c r="AK724">
        <f>COUNTBLANK(Metadata!B724:AC724)=COLUMNS(Metadata!B724:AC724)</f>
        <v>0</v>
      </c>
      <c r="AL724">
        <v>0</v>
      </c>
      <c r="AN724">
        <f>AND(IF(Metadata!B724="",FALSE,TRUE),COUNTIF(Metadata!B:B, Metadata!B724) = 1,NOT(ISERROR(SUMPRODUCT(SEARCH(MID(Metadata!B724,ROW(INDIRECT("1:"&amp;LEN(Metadata!B724))), 1),"0123456789abcdefghijklmnopqrstuvwxyzABCDEFGHIJKLMNOPQRSTUVWXYZ.")))))</f>
        <v>0</v>
      </c>
      <c r="AO724">
        <f>IF(Metadata!C724="",FALSE,TRUE)</f>
        <v>0</v>
      </c>
      <c r="AP724">
        <f>IF(Metadata!D724="",FALSE,TRUE)</f>
        <v>0</v>
      </c>
      <c r="AQ724">
        <f>OR(AND(IF(Metadata!E724="",FALSE,TRUE),OR(exact(Metadata!E724,"not collected"),exact(Metadata!E724,"not provided"),exact(Metadata!E724,"restricted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R724">
        <f>IF(Metadata!F724="",FALSE,TRUE)</f>
        <v>0</v>
      </c>
      <c r="AS724">
        <f>OR(AND(IF(Metadata!G724="",FALSE,TRUE),OR(exact(Metadata!G724,"not collected"),exact(Metadata!G724,"not provided"))),AND(IF(Metadata!G724="",FALSE,TRUE),OR(exact(Metadata!G724,"TRUE"),exact(Metadata!G724,"FALSE"))))</f>
        <v>0</v>
      </c>
      <c r="AT724">
        <f>OR(AND(IF(Metadata!H724="",FALSE,TRUE),OR(exact(Metadata!H724,"not collected"),exact(Metadata!H724,"not provided"),exact(Metadata!H724,"restricted access"))),AND(IF(Metadata!H724="",FALSE,ISNUMBER(VALUE(Metadata!H724))),Metadata!H724&gt;=-413.0))</f>
        <v>0</v>
      </c>
      <c r="AU724">
        <f>AND(IF(Metadata!I724="",FALSE,TRUE),exact(Metadata!I724,"meters"))</f>
        <v>0</v>
      </c>
      <c r="AV724">
        <f>AND(IF(Metadata!J724="",FALSE,TRUE),OR(exact(Metadata!J724,"Host-associated"),exact(Metadata!J724,"Free-living")))</f>
        <v>0</v>
      </c>
      <c r="AW724">
        <f>AND(IF(Metadata!K724="",FALSE,TRUE),OR(exact(Metadata!K724,"Animal"),exact(Metadata!K724,"Fungus"),exact(Metadata!K724,"Plant"),exact(Metadata!K724,"Saline"),exact(Metadata!K724,"Non-saline")))</f>
        <v>0</v>
      </c>
      <c r="AX724">
        <f>AND(IF(Metadata!L724="",FALSE,TRUE),OR(exact(Metadata!L724,"Plant secretion"),exact(Metadata!L724,"Plant rhizosphere"),exact(Metadata!L724,"Plant surface"),exact(Metadata!L724,"Plant corpus"),exact(Metadata!L724,"Fungus surface"),exact(Metadata!L724,"Fungus corpus"),exact(Metadata!L724,"Animal surface"),exact(Metadata!L724,"Animal proximal gut"),exact(Metadata!L724,"Animal corpus"),exact(Metadata!L724,"Animal distal gut"),exact(Metadata!L724,"Animal secretion"),exact(Metadata!L724,"Sub-surface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Y724">
        <f>IF(Metadata!M724="",FALSE,TRUE)</f>
        <v>0</v>
      </c>
      <c r="AZ724">
        <f>IF(Metadata!N724="",FALSE,TRUE)</f>
        <v>0</v>
      </c>
      <c r="BA724">
        <f>IF(Metadata!O724="",FALSE,TRUE)</f>
        <v>0</v>
      </c>
      <c r="BB724">
        <f>OR(AND(IF(Metadata!P724="",FALSE,TRUE),OR(exact(Metadata!P724,"not collected"),exact(Metadata!P724,"not provided"),exact(Metadata!P724,"restricted access"))),AND(IF(Metadata!P724="",FALSE,TRUE),OR(exact(Metadata!P724,"air"),exact(Metadata!P724,"built environment"),exact(Metadata!P724,"host-associated"),exact(Metadata!P724,"human-associated"),exact(Metadata!P724,"human-skin"),exact(Metadata!P724,"human-oral"),exact(Metadata!P724,"human-gut"),exact(Metadata!P724,"human-vaginal"),exact(Metadata!P724,"microbial mat/biofilm"),exact(Metadata!P724,"misc environment"),exact(Metadata!P724,"plant-associated"),exact(Metadata!P724,"sediment"),exact(Metadata!P724,"soil"),exact(Metadata!P724,"wastewater/sludge"),exact(Metadata!P724,"water"))))</f>
        <v>0</v>
      </c>
      <c r="BC724">
        <f>IF(Metadata!Q724="",FALSE,TRUE)</f>
        <v>0</v>
      </c>
      <c r="BD724">
        <f>IF(Metadata!R724="",FALSE,TRUE)</f>
        <v>0</v>
      </c>
      <c r="BE724">
        <f>OR(AND(IF(Metadata!S724="",FALSE,TRUE),OR(exact(Metadata!S724,"not collected"),exact(Metadata!S724,"not provided"),exact(Metadata!S724,"restricted access"))),AND(IF(Metadata!S724="",FALSE,ISNUMBER(VALUE(Metadata!S724))),Metadata!S724&gt;=-90.00,Metadata!S724&lt;=90.00))</f>
        <v>0</v>
      </c>
      <c r="BF724">
        <f>AND(IF(Metadata!T724="",FALSE,TRUE),exact(Metadata!T724,"Decimal degrees"))</f>
        <v>0</v>
      </c>
      <c r="BG724">
        <f>OR(AND(IF(Metadata!U724="",FALSE,TRUE),OR(exact(Metadata!U724,"not collected"),exact(Metadata!U724,"not provided"),exact(Metadata!U724,"restricted access"))),AND(IF(Metadata!U724="",FALSE,ISNUMBER(VALUE(Metadata!U724))),Metadata!U724&gt;=-180.00,Metadata!U724&lt;=180.00))</f>
        <v>0</v>
      </c>
      <c r="BH724">
        <f>AND(IF(Metadata!V724="",FALSE,TRUE),exact(Metadata!V724,"Decimal degrees"))</f>
        <v>0</v>
      </c>
      <c r="BI724">
        <f>IF(Metadata!W724="",FALSE,TRUE)</f>
        <v>0</v>
      </c>
      <c r="BJ724">
        <f>OR(AND(IF(Metadata!X724="",FALSE,TRUE),OR(exact(Metadata!X724,"not collected"),exact(Metadata!X724,"not provided"),exact(Metadata!X724,"restricted access"))),AND(IF(Metadata!X724="",FALSE,TRUE),OR(exact(Metadata!X724,"TRUE"),exact(Metadata!X724,"FALSE"))))</f>
        <v>0</v>
      </c>
      <c r="BK724">
        <f>AND(IF(Metadata!Y724="",FALSE,TRUE),exact(Metadata!Y724,"other"))</f>
        <v>0</v>
      </c>
      <c r="BL724">
        <f>IF(Metadata!Z724="",FALSE,TRUE)</f>
        <v>0</v>
      </c>
      <c r="BM724">
        <f>OR(AND(IF(Metadata!AA724="",FALSE,TRUE),OR(exact(Metadata!AA724,"not collected"),exact(Metadata!AA724,"not provided"))),AND(IF(Metadata!AA724="",FALSE,IF(ISERROR(INT(Metadata!AA724)),FALSE,INT(Metadata!AA724)=Metadata!AA724)),Metadata!AA724&gt;0))</f>
        <v>0</v>
      </c>
      <c r="BN724">
        <f>AND(IF(Metadata!AB724="",FALSE,TRUE),exact(Metadata!AB724,"Not applicable"))</f>
        <v>0</v>
      </c>
      <c r="BO724">
        <f>IF(Metadata!AC724="",FALSE,TRUE)</f>
        <v>0</v>
      </c>
    </row>
    <row r="725" spans="1:67">
      <c r="A725" s="5">
        <f>IF(B725=" "," ",HYPERLINK(CONCATENATE("#metadata!",ADDRESS(INDEX($AI$2:$AI$1001,MATCH(ROWS($AG$2:AG725),$AG$2:$AG$1001,0),0),1)),INDEX($AL$2:$AL$1001,MATCH(ROWS($AG$2:AG725),$AG$2:$AG$1001,0),0)))</f>
        <v>0</v>
      </c>
      <c r="B725" s="4">
        <f>IF(OR(INDEX($AH$2:$AH$1001,MATCH(ROWS($AG$2:AG725),$AG$2:$AG$1001,0),1)&gt;=100000,INDEX($AN$1005:$BO$1005,1,MATCH(COLUMNS($AN$1006:AN1006),$AN$1006:$BO$1006,0))&gt;=100000), " ",IF(INDEX($AN$2:$BO$1001,MATCH(ROWS($AG$2:AG725),$AG$2:$AG$1001,0),MATCH(COLUMNS($AN$1006:AN1006),$AN$1006:$BO$1006,0)), HYPERLINK("#",""), HYPERLINK(CONCATENATE("#Metadata!", ADDRESS(INDEX($AI$2:$AI$1001,MATCH(ROWS($AG$2:AG725),$AG$2:$AG$1001,0),0), INDEX($AN$1004:$BO$1004,1,MATCH(COLUMNS($AN$1006:AN1006),$AN$1006:$BO$1006,0)))),"Fix")))</f>
        <v>0</v>
      </c>
      <c r="C725" s="4">
        <f>IF(OR(INDEX($AH$2:$AH$1001,MATCH(ROWS($AG$2:AG725),$AG$2:$AG$1001,0),1)&gt;=100000,INDEX($AN$1005:$BO$1005,1,MATCH(COLUMNS($AN$1006:AO1006),$AN$1006:$BO$1006,0))&gt;=100000), " ",IF(INDEX($AN$2:$BO$1001,MATCH(ROWS($AG$2:AG725),$AG$2:$AG$1001,0),MATCH(COLUMNS($AN$1006:AO1006),$AN$1006:$BO$1006,0)), HYPERLINK("#",""), HYPERLINK(CONCATENATE("#Metadata!", ADDRESS(INDEX($AI$2:$AI$1001,MATCH(ROWS($AG$2:AG725),$AG$2:$AG$1001,0),0), INDEX($AN$1004:$BO$1004,1,MATCH(COLUMNS($AN$1006:AO1006),$AN$1006:$BO$1006,0)))),"Fix")))</f>
        <v>0</v>
      </c>
      <c r="D725" s="4">
        <f>IF(OR(INDEX($AH$2:$AH$1001,MATCH(ROWS($AG$2:AG725),$AG$2:$AG$1001,0),1)&gt;=100000,INDEX($AN$1005:$BO$1005,1,MATCH(COLUMNS($AN$1006:AP1006),$AN$1006:$BO$1006,0))&gt;=100000), " ",IF(INDEX($AN$2:$BO$1001,MATCH(ROWS($AG$2:AG725),$AG$2:$AG$1001,0),MATCH(COLUMNS($AN$1006:AP1006),$AN$1006:$BO$1006,0)), HYPERLINK("#",""), HYPERLINK(CONCATENATE("#Metadata!", ADDRESS(INDEX($AI$2:$AI$1001,MATCH(ROWS($AG$2:AG725),$AG$2:$AG$1001,0),0), INDEX($AN$1004:$BO$1004,1,MATCH(COLUMNS($AN$1006:AP1006),$AN$1006:$BO$1006,0)))),"Fix")))</f>
        <v>0</v>
      </c>
      <c r="E725" s="4">
        <f>IF(OR(INDEX($AH$2:$AH$1001,MATCH(ROWS($AG$2:AG725),$AG$2:$AG$1001,0),1)&gt;=100000,INDEX($AN$1005:$BO$1005,1,MATCH(COLUMNS($AN$1006:AQ1006),$AN$1006:$BO$1006,0))&gt;=100000), " ",IF(INDEX($AN$2:$BO$1001,MATCH(ROWS($AG$2:AG725),$AG$2:$AG$1001,0),MATCH(COLUMNS($AN$1006:AQ1006),$AN$1006:$BO$1006,0)), HYPERLINK("#",""), HYPERLINK(CONCATENATE("#Metadata!", ADDRESS(INDEX($AI$2:$AI$1001,MATCH(ROWS($AG$2:AG725),$AG$2:$AG$1001,0),0), INDEX($AN$1004:$BO$1004,1,MATCH(COLUMNS($AN$1006:AQ1006),$AN$1006:$BO$1006,0)))),"Fix")))</f>
        <v>0</v>
      </c>
      <c r="F725" s="4">
        <f>IF(OR(INDEX($AH$2:$AH$1001,MATCH(ROWS($AG$2:AG725),$AG$2:$AG$1001,0),1)&gt;=100000,INDEX($AN$1005:$BO$1005,1,MATCH(COLUMNS($AN$1006:AR1006),$AN$1006:$BO$1006,0))&gt;=100000), " ",IF(INDEX($AN$2:$BO$1001,MATCH(ROWS($AG$2:AG725),$AG$2:$AG$1001,0),MATCH(COLUMNS($AN$1006:AR1006),$AN$1006:$BO$1006,0)), HYPERLINK("#",""), HYPERLINK(CONCATENATE("#Metadata!", ADDRESS(INDEX($AI$2:$AI$1001,MATCH(ROWS($AG$2:AG725),$AG$2:$AG$1001,0),0), INDEX($AN$1004:$BO$1004,1,MATCH(COLUMNS($AN$1006:AR1006),$AN$1006:$BO$1006,0)))),"Fix")))</f>
        <v>0</v>
      </c>
      <c r="G725" s="4">
        <f>IF(OR(INDEX($AH$2:$AH$1001,MATCH(ROWS($AG$2:AG725),$AG$2:$AG$1001,0),1)&gt;=100000,INDEX($AN$1005:$BO$1005,1,MATCH(COLUMNS($AN$1006:AS1006),$AN$1006:$BO$1006,0))&gt;=100000), " ",IF(INDEX($AN$2:$BO$1001,MATCH(ROWS($AG$2:AG725),$AG$2:$AG$1001,0),MATCH(COLUMNS($AN$1006:AS1006),$AN$1006:$BO$1006,0)), HYPERLINK("#",""), HYPERLINK(CONCATENATE("#Metadata!", ADDRESS(INDEX($AI$2:$AI$1001,MATCH(ROWS($AG$2:AG725),$AG$2:$AG$1001,0),0), INDEX($AN$1004:$BO$1004,1,MATCH(COLUMNS($AN$1006:AS1006),$AN$1006:$BO$1006,0)))),"Fix")))</f>
        <v>0</v>
      </c>
      <c r="H725" s="4">
        <f>IF(OR(INDEX($AH$2:$AH$1001,MATCH(ROWS($AG$2:AG725),$AG$2:$AG$1001,0),1)&gt;=100000,INDEX($AN$1005:$BO$1005,1,MATCH(COLUMNS($AN$1006:AT1006),$AN$1006:$BO$1006,0))&gt;=100000), " ",IF(INDEX($AN$2:$BO$1001,MATCH(ROWS($AG$2:AG725),$AG$2:$AG$1001,0),MATCH(COLUMNS($AN$1006:AT1006),$AN$1006:$BO$1006,0)), HYPERLINK("#",""), HYPERLINK(CONCATENATE("#Metadata!", ADDRESS(INDEX($AI$2:$AI$1001,MATCH(ROWS($AG$2:AG725),$AG$2:$AG$1001,0),0), INDEX($AN$1004:$BO$1004,1,MATCH(COLUMNS($AN$1006:AT1006),$AN$1006:$BO$1006,0)))),"Fix")))</f>
        <v>0</v>
      </c>
      <c r="I725" s="4">
        <f>IF(OR(INDEX($AH$2:$AH$1001,MATCH(ROWS($AG$2:AG725),$AG$2:$AG$1001,0),1)&gt;=100000,INDEX($AN$1005:$BO$1005,1,MATCH(COLUMNS($AN$1006:AU1006),$AN$1006:$BO$1006,0))&gt;=100000), " ",IF(INDEX($AN$2:$BO$1001,MATCH(ROWS($AG$2:AG725),$AG$2:$AG$1001,0),MATCH(COLUMNS($AN$1006:AU1006),$AN$1006:$BO$1006,0)), HYPERLINK("#",""), HYPERLINK(CONCATENATE("#Metadata!", ADDRESS(INDEX($AI$2:$AI$1001,MATCH(ROWS($AG$2:AG725),$AG$2:$AG$1001,0),0), INDEX($AN$1004:$BO$1004,1,MATCH(COLUMNS($AN$1006:AU1006),$AN$1006:$BO$1006,0)))),"Fix")))</f>
        <v>0</v>
      </c>
      <c r="J725" s="4">
        <f>IF(OR(INDEX($AH$2:$AH$1001,MATCH(ROWS($AG$2:AG725),$AG$2:$AG$1001,0),1)&gt;=100000,INDEX($AN$1005:$BO$1005,1,MATCH(COLUMNS($AN$1006:AV1006),$AN$1006:$BO$1006,0))&gt;=100000), " ",IF(INDEX($AN$2:$BO$1001,MATCH(ROWS($AG$2:AG725),$AG$2:$AG$1001,0),MATCH(COLUMNS($AN$1006:AV1006),$AN$1006:$BO$1006,0)), HYPERLINK("#",""), HYPERLINK(CONCATENATE("#Metadata!", ADDRESS(INDEX($AI$2:$AI$1001,MATCH(ROWS($AG$2:AG725),$AG$2:$AG$1001,0),0), INDEX($AN$1004:$BO$1004,1,MATCH(COLUMNS($AN$1006:AV1006),$AN$1006:$BO$1006,0)))),"Fix")))</f>
        <v>0</v>
      </c>
      <c r="K725" s="4">
        <f>IF(OR(INDEX($AH$2:$AH$1001,MATCH(ROWS($AG$2:AG725),$AG$2:$AG$1001,0),1)&gt;=100000,INDEX($AN$1005:$BO$1005,1,MATCH(COLUMNS($AN$1006:AW1006),$AN$1006:$BO$1006,0))&gt;=100000), " ",IF(INDEX($AN$2:$BO$1001,MATCH(ROWS($AG$2:AG725),$AG$2:$AG$1001,0),MATCH(COLUMNS($AN$1006:AW1006),$AN$1006:$BO$1006,0)), HYPERLINK("#",""), HYPERLINK(CONCATENATE("#Metadata!", ADDRESS(INDEX($AI$2:$AI$1001,MATCH(ROWS($AG$2:AG725),$AG$2:$AG$1001,0),0), INDEX($AN$1004:$BO$1004,1,MATCH(COLUMNS($AN$1006:AW1006),$AN$1006:$BO$1006,0)))),"Fix")))</f>
        <v>0</v>
      </c>
      <c r="L725" s="4">
        <f>IF(OR(INDEX($AH$2:$AH$1001,MATCH(ROWS($AG$2:AG725),$AG$2:$AG$1001,0),1)&gt;=100000,INDEX($AN$1005:$BO$1005,1,MATCH(COLUMNS($AN$1006:AX1006),$AN$1006:$BO$1006,0))&gt;=100000), " ",IF(INDEX($AN$2:$BO$1001,MATCH(ROWS($AG$2:AG725),$AG$2:$AG$1001,0),MATCH(COLUMNS($AN$1006:AX1006),$AN$1006:$BO$1006,0)), HYPERLINK("#",""), HYPERLINK(CONCATENATE("#Metadata!", ADDRESS(INDEX($AI$2:$AI$1001,MATCH(ROWS($AG$2:AG725),$AG$2:$AG$1001,0),0), INDEX($AN$1004:$BO$1004,1,MATCH(COLUMNS($AN$1006:AX1006),$AN$1006:$BO$1006,0)))),"Fix")))</f>
        <v>0</v>
      </c>
      <c r="M725" s="4">
        <f>IF(OR(INDEX($AH$2:$AH$1001,MATCH(ROWS($AG$2:AG725),$AG$2:$AG$1001,0),1)&gt;=100000,INDEX($AN$1005:$BO$1005,1,MATCH(COLUMNS($AN$1006:AY1006),$AN$1006:$BO$1006,0))&gt;=100000), " ",IF(INDEX($AN$2:$BO$1001,MATCH(ROWS($AG$2:AG725),$AG$2:$AG$1001,0),MATCH(COLUMNS($AN$1006:AY1006),$AN$1006:$BO$1006,0)), HYPERLINK("#",""), HYPERLINK(CONCATENATE("#Metadata!", ADDRESS(INDEX($AI$2:$AI$1001,MATCH(ROWS($AG$2:AG725),$AG$2:$AG$1001,0),0), INDEX($AN$1004:$BO$1004,1,MATCH(COLUMNS($AN$1006:AY1006),$AN$1006:$BO$1006,0)))),"Fix")))</f>
        <v>0</v>
      </c>
      <c r="N725" s="4">
        <f>IF(OR(INDEX($AH$2:$AH$1001,MATCH(ROWS($AG$2:AG725),$AG$2:$AG$1001,0),1)&gt;=100000,INDEX($AN$1005:$BO$1005,1,MATCH(COLUMNS($AN$1006:AZ1006),$AN$1006:$BO$1006,0))&gt;=100000), " ",IF(INDEX($AN$2:$BO$1001,MATCH(ROWS($AG$2:AG725),$AG$2:$AG$1001,0),MATCH(COLUMNS($AN$1006:AZ1006),$AN$1006:$BO$1006,0)), HYPERLINK("#",""), HYPERLINK(CONCATENATE("#Metadata!", ADDRESS(INDEX($AI$2:$AI$1001,MATCH(ROWS($AG$2:AG725),$AG$2:$AG$1001,0),0), INDEX($AN$1004:$BO$1004,1,MATCH(COLUMNS($AN$1006:AZ1006),$AN$1006:$BO$1006,0)))),"Fix")))</f>
        <v>0</v>
      </c>
      <c r="O725" s="4">
        <f>IF(OR(INDEX($AH$2:$AH$1001,MATCH(ROWS($AG$2:AG725),$AG$2:$AG$1001,0),1)&gt;=100000,INDEX($AN$1005:$BO$1005,1,MATCH(COLUMNS($AN$1006:BA1006),$AN$1006:$BO$1006,0))&gt;=100000), " ",IF(INDEX($AN$2:$BO$1001,MATCH(ROWS($AG$2:AG725),$AG$2:$AG$1001,0),MATCH(COLUMNS($AN$1006:BA1006),$AN$1006:$BO$1006,0)), HYPERLINK("#",""), HYPERLINK(CONCATENATE("#Metadata!", ADDRESS(INDEX($AI$2:$AI$1001,MATCH(ROWS($AG$2:AG725),$AG$2:$AG$1001,0),0), INDEX($AN$1004:$BO$1004,1,MATCH(COLUMNS($AN$1006:BA1006),$AN$1006:$BO$1006,0)))),"Fix")))</f>
        <v>0</v>
      </c>
      <c r="P725" s="4">
        <f>IF(OR(INDEX($AH$2:$AH$1001,MATCH(ROWS($AG$2:AG725),$AG$2:$AG$1001,0),1)&gt;=100000,INDEX($AN$1005:$BO$1005,1,MATCH(COLUMNS($AN$1006:BB1006),$AN$1006:$BO$1006,0))&gt;=100000), " ",IF(INDEX($AN$2:$BO$1001,MATCH(ROWS($AG$2:AG725),$AG$2:$AG$1001,0),MATCH(COLUMNS($AN$1006:BB1006),$AN$1006:$BO$1006,0)), HYPERLINK("#",""), HYPERLINK(CONCATENATE("#Metadata!", ADDRESS(INDEX($AI$2:$AI$1001,MATCH(ROWS($AG$2:AG725),$AG$2:$AG$1001,0),0), INDEX($AN$1004:$BO$1004,1,MATCH(COLUMNS($AN$1006:BB1006),$AN$1006:$BO$1006,0)))),"Fix")))</f>
        <v>0</v>
      </c>
      <c r="Q725" s="4">
        <f>IF(OR(INDEX($AH$2:$AH$1001,MATCH(ROWS($AG$2:AG725),$AG$2:$AG$1001,0),1)&gt;=100000,INDEX($AN$1005:$BO$1005,1,MATCH(COLUMNS($AN$1006:BC1006),$AN$1006:$BO$1006,0))&gt;=100000), " ",IF(INDEX($AN$2:$BO$1001,MATCH(ROWS($AG$2:AG725),$AG$2:$AG$1001,0),MATCH(COLUMNS($AN$1006:BC1006),$AN$1006:$BO$1006,0)), HYPERLINK("#",""), HYPERLINK(CONCATENATE("#Metadata!", ADDRESS(INDEX($AI$2:$AI$1001,MATCH(ROWS($AG$2:AG725),$AG$2:$AG$1001,0),0), INDEX($AN$1004:$BO$1004,1,MATCH(COLUMNS($AN$1006:BC1006),$AN$1006:$BO$1006,0)))),"Fix")))</f>
        <v>0</v>
      </c>
      <c r="R725" s="4">
        <f>IF(OR(INDEX($AH$2:$AH$1001,MATCH(ROWS($AG$2:AG725),$AG$2:$AG$1001,0),1)&gt;=100000,INDEX($AN$1005:$BO$1005,1,MATCH(COLUMNS($AN$1006:BD1006),$AN$1006:$BO$1006,0))&gt;=100000), " ",IF(INDEX($AN$2:$BO$1001,MATCH(ROWS($AG$2:AG725),$AG$2:$AG$1001,0),MATCH(COLUMNS($AN$1006:BD1006),$AN$1006:$BO$1006,0)), HYPERLINK("#",""), HYPERLINK(CONCATENATE("#Metadata!", ADDRESS(INDEX($AI$2:$AI$1001,MATCH(ROWS($AG$2:AG725),$AG$2:$AG$1001,0),0), INDEX($AN$1004:$BO$1004,1,MATCH(COLUMNS($AN$1006:BD1006),$AN$1006:$BO$1006,0)))),"Fix")))</f>
        <v>0</v>
      </c>
      <c r="S725" s="4">
        <f>IF(OR(INDEX($AH$2:$AH$1001,MATCH(ROWS($AG$2:AG725),$AG$2:$AG$1001,0),1)&gt;=100000,INDEX($AN$1005:$BO$1005,1,MATCH(COLUMNS($AN$1006:BE1006),$AN$1006:$BO$1006,0))&gt;=100000), " ",IF(INDEX($AN$2:$BO$1001,MATCH(ROWS($AG$2:AG725),$AG$2:$AG$1001,0),MATCH(COLUMNS($AN$1006:BE1006),$AN$1006:$BO$1006,0)), HYPERLINK("#",""), HYPERLINK(CONCATENATE("#Metadata!", ADDRESS(INDEX($AI$2:$AI$1001,MATCH(ROWS($AG$2:AG725),$AG$2:$AG$1001,0),0), INDEX($AN$1004:$BO$1004,1,MATCH(COLUMNS($AN$1006:BE1006),$AN$1006:$BO$1006,0)))),"Fix")))</f>
        <v>0</v>
      </c>
      <c r="T725" s="4">
        <f>IF(OR(INDEX($AH$2:$AH$1001,MATCH(ROWS($AG$2:AG725),$AG$2:$AG$1001,0),1)&gt;=100000,INDEX($AN$1005:$BO$1005,1,MATCH(COLUMNS($AN$1006:BF1006),$AN$1006:$BO$1006,0))&gt;=100000), " ",IF(INDEX($AN$2:$BO$1001,MATCH(ROWS($AG$2:AG725),$AG$2:$AG$1001,0),MATCH(COLUMNS($AN$1006:BF1006),$AN$1006:$BO$1006,0)), HYPERLINK("#",""), HYPERLINK(CONCATENATE("#Metadata!", ADDRESS(INDEX($AI$2:$AI$1001,MATCH(ROWS($AG$2:AG725),$AG$2:$AG$1001,0),0), INDEX($AN$1004:$BO$1004,1,MATCH(COLUMNS($AN$1006:BF1006),$AN$1006:$BO$1006,0)))),"Fix")))</f>
        <v>0</v>
      </c>
      <c r="U725" s="4">
        <f>IF(OR(INDEX($AH$2:$AH$1001,MATCH(ROWS($AG$2:AG725),$AG$2:$AG$1001,0),1)&gt;=100000,INDEX($AN$1005:$BO$1005,1,MATCH(COLUMNS($AN$1006:BG1006),$AN$1006:$BO$1006,0))&gt;=100000), " ",IF(INDEX($AN$2:$BO$1001,MATCH(ROWS($AG$2:AG725),$AG$2:$AG$1001,0),MATCH(COLUMNS($AN$1006:BG1006),$AN$1006:$BO$1006,0)), HYPERLINK("#",""), HYPERLINK(CONCATENATE("#Metadata!", ADDRESS(INDEX($AI$2:$AI$1001,MATCH(ROWS($AG$2:AG725),$AG$2:$AG$1001,0),0), INDEX($AN$1004:$BO$1004,1,MATCH(COLUMNS($AN$1006:BG1006),$AN$1006:$BO$1006,0)))),"Fix")))</f>
        <v>0</v>
      </c>
      <c r="V725" s="4">
        <f>IF(OR(INDEX($AH$2:$AH$1001,MATCH(ROWS($AG$2:AG725),$AG$2:$AG$1001,0),1)&gt;=100000,INDEX($AN$1005:$BO$1005,1,MATCH(COLUMNS($AN$1006:BH1006),$AN$1006:$BO$1006,0))&gt;=100000), " ",IF(INDEX($AN$2:$BO$1001,MATCH(ROWS($AG$2:AG725),$AG$2:$AG$1001,0),MATCH(COLUMNS($AN$1006:BH1006),$AN$1006:$BO$1006,0)), HYPERLINK("#",""), HYPERLINK(CONCATENATE("#Metadata!", ADDRESS(INDEX($AI$2:$AI$1001,MATCH(ROWS($AG$2:AG725),$AG$2:$AG$1001,0),0), INDEX($AN$1004:$BO$1004,1,MATCH(COLUMNS($AN$1006:BH1006),$AN$1006:$BO$1006,0)))),"Fix")))</f>
        <v>0</v>
      </c>
      <c r="W725" s="4">
        <f>IF(OR(INDEX($AH$2:$AH$1001,MATCH(ROWS($AG$2:AG725),$AG$2:$AG$1001,0),1)&gt;=100000,INDEX($AN$1005:$BO$1005,1,MATCH(COLUMNS($AN$1006:BI1006),$AN$1006:$BO$1006,0))&gt;=100000), " ",IF(INDEX($AN$2:$BO$1001,MATCH(ROWS($AG$2:AG725),$AG$2:$AG$1001,0),MATCH(COLUMNS($AN$1006:BI1006),$AN$1006:$BO$1006,0)), HYPERLINK("#",""), HYPERLINK(CONCATENATE("#Metadata!", ADDRESS(INDEX($AI$2:$AI$1001,MATCH(ROWS($AG$2:AG725),$AG$2:$AG$1001,0),0), INDEX($AN$1004:$BO$1004,1,MATCH(COLUMNS($AN$1006:BI1006),$AN$1006:$BO$1006,0)))),"Fix")))</f>
        <v>0</v>
      </c>
      <c r="X725" s="4">
        <f>IF(OR(INDEX($AH$2:$AH$1001,MATCH(ROWS($AG$2:AG725),$AG$2:$AG$1001,0),1)&gt;=100000,INDEX($AN$1005:$BO$1005,1,MATCH(COLUMNS($AN$1006:BJ1006),$AN$1006:$BO$1006,0))&gt;=100000), " ",IF(INDEX($AN$2:$BO$1001,MATCH(ROWS($AG$2:AG725),$AG$2:$AG$1001,0),MATCH(COLUMNS($AN$1006:BJ1006),$AN$1006:$BO$1006,0)), HYPERLINK("#",""), HYPERLINK(CONCATENATE("#Metadata!", ADDRESS(INDEX($AI$2:$AI$1001,MATCH(ROWS($AG$2:AG725),$AG$2:$AG$1001,0),0), INDEX($AN$1004:$BO$1004,1,MATCH(COLUMNS($AN$1006:BJ1006),$AN$1006:$BO$1006,0)))),"Fix")))</f>
        <v>0</v>
      </c>
      <c r="Y725" s="4">
        <f>IF(OR(INDEX($AH$2:$AH$1001,MATCH(ROWS($AG$2:AG725),$AG$2:$AG$1001,0),1)&gt;=100000,INDEX($AN$1005:$BO$1005,1,MATCH(COLUMNS($AN$1006:BK1006),$AN$1006:$BO$1006,0))&gt;=100000), " ",IF(INDEX($AN$2:$BO$1001,MATCH(ROWS($AG$2:AG725),$AG$2:$AG$1001,0),MATCH(COLUMNS($AN$1006:BK1006),$AN$1006:$BO$1006,0)), HYPERLINK("#",""), HYPERLINK(CONCATENATE("#Metadata!", ADDRESS(INDEX($AI$2:$AI$1001,MATCH(ROWS($AG$2:AG725),$AG$2:$AG$1001,0),0), INDEX($AN$1004:$BO$1004,1,MATCH(COLUMNS($AN$1006:BK1006),$AN$1006:$BO$1006,0)))),"Fix")))</f>
        <v>0</v>
      </c>
      <c r="Z725" s="4">
        <f>IF(OR(INDEX($AH$2:$AH$1001,MATCH(ROWS($AG$2:AG725),$AG$2:$AG$1001,0),1)&gt;=100000,INDEX($AN$1005:$BO$1005,1,MATCH(COLUMNS($AN$1006:BL1006),$AN$1006:$BO$1006,0))&gt;=100000), " ",IF(INDEX($AN$2:$BO$1001,MATCH(ROWS($AG$2:AG725),$AG$2:$AG$1001,0),MATCH(COLUMNS($AN$1006:BL1006),$AN$1006:$BO$1006,0)), HYPERLINK("#",""), HYPERLINK(CONCATENATE("#Metadata!", ADDRESS(INDEX($AI$2:$AI$1001,MATCH(ROWS($AG$2:AG725),$AG$2:$AG$1001,0),0), INDEX($AN$1004:$BO$1004,1,MATCH(COLUMNS($AN$1006:BL1006),$AN$1006:$BO$1006,0)))),"Fix")))</f>
        <v>0</v>
      </c>
      <c r="AA725" s="4">
        <f>IF(OR(INDEX($AH$2:$AH$1001,MATCH(ROWS($AG$2:AG725),$AG$2:$AG$1001,0),1)&gt;=100000,INDEX($AN$1005:$BO$1005,1,MATCH(COLUMNS($AN$1006:BM1006),$AN$1006:$BO$1006,0))&gt;=100000), " ",IF(INDEX($AN$2:$BO$1001,MATCH(ROWS($AG$2:AG725),$AG$2:$AG$1001,0),MATCH(COLUMNS($AN$1006:BM1006),$AN$1006:$BO$1006,0)), HYPERLINK("#",""), HYPERLINK(CONCATENATE("#Metadata!", ADDRESS(INDEX($AI$2:$AI$1001,MATCH(ROWS($AG$2:AG725),$AG$2:$AG$1001,0),0), INDEX($AN$1004:$BO$1004,1,MATCH(COLUMNS($AN$1006:BM1006),$AN$1006:$BO$1006,0)))),"Fix")))</f>
        <v>0</v>
      </c>
      <c r="AB725" s="4">
        <f>IF(OR(INDEX($AH$2:$AH$1001,MATCH(ROWS($AG$2:AG725),$AG$2:$AG$1001,0),1)&gt;=100000,INDEX($AN$1005:$BO$1005,1,MATCH(COLUMNS($AN$1006:BN1006),$AN$1006:$BO$1006,0))&gt;=100000), " ",IF(INDEX($AN$2:$BO$1001,MATCH(ROWS($AG$2:AG725),$AG$2:$AG$1001,0),MATCH(COLUMNS($AN$1006:BN1006),$AN$1006:$BO$1006,0)), HYPERLINK("#",""), HYPERLINK(CONCATENATE("#Metadata!", ADDRESS(INDEX($AI$2:$AI$1001,MATCH(ROWS($AG$2:AG725),$AG$2:$AG$1001,0),0), INDEX($AN$1004:$BO$1004,1,MATCH(COLUMNS($AN$1006:BN1006),$AN$1006:$BO$1006,0)))),"Fix")))</f>
        <v>0</v>
      </c>
      <c r="AC725" s="4">
        <f>IF(OR(INDEX($AH$2:$AH$1001,MATCH(ROWS($AG$2:AG725),$AG$2:$AG$1001,0),1)&gt;=100000,INDEX($AN$1005:$BO$1005,1,MATCH(COLUMNS($AN$1006:BO1006),$AN$1006:$BO$1006,0))&gt;=100000), " ",IF(INDEX($AN$2:$BO$1001,MATCH(ROWS($AG$2:AG725),$AG$2:$AG$1001,0),MATCH(COLUMNS($AN$1006:BO1006),$AN$1006:$BO$1006,0)), HYPERLINK("#",""), HYPERLINK(CONCATENATE("#Metadata!", ADDRESS(INDEX($AI$2:$AI$1001,MATCH(ROWS($AG$2:AG725),$AG$2:$AG$1001,0),0), INDEX($AN$1004:$BO$1004,1,MATCH(COLUMNS($AN$1006:BO1006),$AN$1006:$BO$1006,0)))),"Fix")))</f>
        <v>0</v>
      </c>
      <c r="AG725">
        <v>0</v>
      </c>
      <c r="AH725">
        <v>0</v>
      </c>
      <c r="AI725">
        <v>0</v>
      </c>
      <c r="AJ725">
        <f>IF(AK725,TRUE,AND(AN725:BO725))</f>
        <v>0</v>
      </c>
      <c r="AK725">
        <f>COUNTBLANK(Metadata!B725:AC725)=COLUMNS(Metadata!B725:AC725)</f>
        <v>0</v>
      </c>
      <c r="AL725">
        <v>0</v>
      </c>
      <c r="AN725">
        <f>AND(IF(Metadata!B725="",FALSE,TRUE),COUNTIF(Metadata!B:B, Metadata!B725) = 1,NOT(ISERROR(SUMPRODUCT(SEARCH(MID(Metadata!B725,ROW(INDIRECT("1:"&amp;LEN(Metadata!B725))), 1),"0123456789abcdefghijklmnopqrstuvwxyzABCDEFGHIJKLMNOPQRSTUVWXYZ.")))))</f>
        <v>0</v>
      </c>
      <c r="AO725">
        <f>IF(Metadata!C725="",FALSE,TRUE)</f>
        <v>0</v>
      </c>
      <c r="AP725">
        <f>IF(Metadata!D725="",FALSE,TRUE)</f>
        <v>0</v>
      </c>
      <c r="AQ725">
        <f>OR(AND(IF(Metadata!E725="",FALSE,TRUE),OR(exact(Metadata!E725,"not collected"),exact(Metadata!E725,"not provided"),exact(Metadata!E725,"restricted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R725">
        <f>IF(Metadata!F725="",FALSE,TRUE)</f>
        <v>0</v>
      </c>
      <c r="AS725">
        <f>OR(AND(IF(Metadata!G725="",FALSE,TRUE),OR(exact(Metadata!G725,"not collected"),exact(Metadata!G725,"not provided"))),AND(IF(Metadata!G725="",FALSE,TRUE),OR(exact(Metadata!G725,"TRUE"),exact(Metadata!G725,"FALSE"))))</f>
        <v>0</v>
      </c>
      <c r="AT725">
        <f>OR(AND(IF(Metadata!H725="",FALSE,TRUE),OR(exact(Metadata!H725,"not collected"),exact(Metadata!H725,"not provided"),exact(Metadata!H725,"restricted access"))),AND(IF(Metadata!H725="",FALSE,ISNUMBER(VALUE(Metadata!H725))),Metadata!H725&gt;=-413.0))</f>
        <v>0</v>
      </c>
      <c r="AU725">
        <f>AND(IF(Metadata!I725="",FALSE,TRUE),exact(Metadata!I725,"meters"))</f>
        <v>0</v>
      </c>
      <c r="AV725">
        <f>AND(IF(Metadata!J725="",FALSE,TRUE),OR(exact(Metadata!J725,"Host-associated"),exact(Metadata!J725,"Free-living")))</f>
        <v>0</v>
      </c>
      <c r="AW725">
        <f>AND(IF(Metadata!K725="",FALSE,TRUE),OR(exact(Metadata!K725,"Animal"),exact(Metadata!K725,"Fungus"),exact(Metadata!K725,"Plant"),exact(Metadata!K725,"Saline"),exact(Metadata!K725,"Non-saline")))</f>
        <v>0</v>
      </c>
      <c r="AX725">
        <f>AND(IF(Metadata!L725="",FALSE,TRUE),OR(exact(Metadata!L725,"Plant secretion"),exact(Metadata!L725,"Plant rhizosphere"),exact(Metadata!L725,"Plant surface"),exact(Metadata!L725,"Plant corpus"),exact(Metadata!L725,"Fungus surface"),exact(Metadata!L725,"Fungus corpus"),exact(Metadata!L725,"Animal surface"),exact(Metadata!L725,"Animal proximal gut"),exact(Metadata!L725,"Animal corpus"),exact(Metadata!L725,"Animal distal gut"),exact(Metadata!L725,"Animal secretion"),exact(Metadata!L725,"Sub-surface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Y725">
        <f>IF(Metadata!M725="",FALSE,TRUE)</f>
        <v>0</v>
      </c>
      <c r="AZ725">
        <f>IF(Metadata!N725="",FALSE,TRUE)</f>
        <v>0</v>
      </c>
      <c r="BA725">
        <f>IF(Metadata!O725="",FALSE,TRUE)</f>
        <v>0</v>
      </c>
      <c r="BB725">
        <f>OR(AND(IF(Metadata!P725="",FALSE,TRUE),OR(exact(Metadata!P725,"not collected"),exact(Metadata!P725,"not provided"),exact(Metadata!P725,"restricted access"))),AND(IF(Metadata!P725="",FALSE,TRUE),OR(exact(Metadata!P725,"air"),exact(Metadata!P725,"built environment"),exact(Metadata!P725,"host-associated"),exact(Metadata!P725,"human-associated"),exact(Metadata!P725,"human-skin"),exact(Metadata!P725,"human-oral"),exact(Metadata!P725,"human-gut"),exact(Metadata!P725,"human-vaginal"),exact(Metadata!P725,"microbial mat/biofilm"),exact(Metadata!P725,"misc environment"),exact(Metadata!P725,"plant-associated"),exact(Metadata!P725,"sediment"),exact(Metadata!P725,"soil"),exact(Metadata!P725,"wastewater/sludge"),exact(Metadata!P725,"water"))))</f>
        <v>0</v>
      </c>
      <c r="BC725">
        <f>IF(Metadata!Q725="",FALSE,TRUE)</f>
        <v>0</v>
      </c>
      <c r="BD725">
        <f>IF(Metadata!R725="",FALSE,TRUE)</f>
        <v>0</v>
      </c>
      <c r="BE725">
        <f>OR(AND(IF(Metadata!S725="",FALSE,TRUE),OR(exact(Metadata!S725,"not collected"),exact(Metadata!S725,"not provided"),exact(Metadata!S725,"restricted access"))),AND(IF(Metadata!S725="",FALSE,ISNUMBER(VALUE(Metadata!S725))),Metadata!S725&gt;=-90.00,Metadata!S725&lt;=90.00))</f>
        <v>0</v>
      </c>
      <c r="BF725">
        <f>AND(IF(Metadata!T725="",FALSE,TRUE),exact(Metadata!T725,"Decimal degrees"))</f>
        <v>0</v>
      </c>
      <c r="BG725">
        <f>OR(AND(IF(Metadata!U725="",FALSE,TRUE),OR(exact(Metadata!U725,"not collected"),exact(Metadata!U725,"not provided"),exact(Metadata!U725,"restricted access"))),AND(IF(Metadata!U725="",FALSE,ISNUMBER(VALUE(Metadata!U725))),Metadata!U725&gt;=-180.00,Metadata!U725&lt;=180.00))</f>
        <v>0</v>
      </c>
      <c r="BH725">
        <f>AND(IF(Metadata!V725="",FALSE,TRUE),exact(Metadata!V725,"Decimal degrees"))</f>
        <v>0</v>
      </c>
      <c r="BI725">
        <f>IF(Metadata!W725="",FALSE,TRUE)</f>
        <v>0</v>
      </c>
      <c r="BJ725">
        <f>OR(AND(IF(Metadata!X725="",FALSE,TRUE),OR(exact(Metadata!X725,"not collected"),exact(Metadata!X725,"not provided"),exact(Metadata!X725,"restricted access"))),AND(IF(Metadata!X725="",FALSE,TRUE),OR(exact(Metadata!X725,"TRUE"),exact(Metadata!X725,"FALSE"))))</f>
        <v>0</v>
      </c>
      <c r="BK725">
        <f>AND(IF(Metadata!Y725="",FALSE,TRUE),exact(Metadata!Y725,"other"))</f>
        <v>0</v>
      </c>
      <c r="BL725">
        <f>IF(Metadata!Z725="",FALSE,TRUE)</f>
        <v>0</v>
      </c>
      <c r="BM725">
        <f>OR(AND(IF(Metadata!AA725="",FALSE,TRUE),OR(exact(Metadata!AA725,"not collected"),exact(Metadata!AA725,"not provided"))),AND(IF(Metadata!AA725="",FALSE,IF(ISERROR(INT(Metadata!AA725)),FALSE,INT(Metadata!AA725)=Metadata!AA725)),Metadata!AA725&gt;0))</f>
        <v>0</v>
      </c>
      <c r="BN725">
        <f>AND(IF(Metadata!AB725="",FALSE,TRUE),exact(Metadata!AB725,"Not applicable"))</f>
        <v>0</v>
      </c>
      <c r="BO725">
        <f>IF(Metadata!AC725="",FALSE,TRUE)</f>
        <v>0</v>
      </c>
    </row>
    <row r="726" spans="1:67">
      <c r="A726" s="5">
        <f>IF(B726=" "," ",HYPERLINK(CONCATENATE("#metadata!",ADDRESS(INDEX($AI$2:$AI$1001,MATCH(ROWS($AG$2:AG726),$AG$2:$AG$1001,0),0),1)),INDEX($AL$2:$AL$1001,MATCH(ROWS($AG$2:AG726),$AG$2:$AG$1001,0),0)))</f>
        <v>0</v>
      </c>
      <c r="B726" s="4">
        <f>IF(OR(INDEX($AH$2:$AH$1001,MATCH(ROWS($AG$2:AG726),$AG$2:$AG$1001,0),1)&gt;=100000,INDEX($AN$1005:$BO$1005,1,MATCH(COLUMNS($AN$1006:AN1006),$AN$1006:$BO$1006,0))&gt;=100000), " ",IF(INDEX($AN$2:$BO$1001,MATCH(ROWS($AG$2:AG726),$AG$2:$AG$1001,0),MATCH(COLUMNS($AN$1006:AN1006),$AN$1006:$BO$1006,0)), HYPERLINK("#",""), HYPERLINK(CONCATENATE("#Metadata!", ADDRESS(INDEX($AI$2:$AI$1001,MATCH(ROWS($AG$2:AG726),$AG$2:$AG$1001,0),0), INDEX($AN$1004:$BO$1004,1,MATCH(COLUMNS($AN$1006:AN1006),$AN$1006:$BO$1006,0)))),"Fix")))</f>
        <v>0</v>
      </c>
      <c r="C726" s="4">
        <f>IF(OR(INDEX($AH$2:$AH$1001,MATCH(ROWS($AG$2:AG726),$AG$2:$AG$1001,0),1)&gt;=100000,INDEX($AN$1005:$BO$1005,1,MATCH(COLUMNS($AN$1006:AO1006),$AN$1006:$BO$1006,0))&gt;=100000), " ",IF(INDEX($AN$2:$BO$1001,MATCH(ROWS($AG$2:AG726),$AG$2:$AG$1001,0),MATCH(COLUMNS($AN$1006:AO1006),$AN$1006:$BO$1006,0)), HYPERLINK("#",""), HYPERLINK(CONCATENATE("#Metadata!", ADDRESS(INDEX($AI$2:$AI$1001,MATCH(ROWS($AG$2:AG726),$AG$2:$AG$1001,0),0), INDEX($AN$1004:$BO$1004,1,MATCH(COLUMNS($AN$1006:AO1006),$AN$1006:$BO$1006,0)))),"Fix")))</f>
        <v>0</v>
      </c>
      <c r="D726" s="4">
        <f>IF(OR(INDEX($AH$2:$AH$1001,MATCH(ROWS($AG$2:AG726),$AG$2:$AG$1001,0),1)&gt;=100000,INDEX($AN$1005:$BO$1005,1,MATCH(COLUMNS($AN$1006:AP1006),$AN$1006:$BO$1006,0))&gt;=100000), " ",IF(INDEX($AN$2:$BO$1001,MATCH(ROWS($AG$2:AG726),$AG$2:$AG$1001,0),MATCH(COLUMNS($AN$1006:AP1006),$AN$1006:$BO$1006,0)), HYPERLINK("#",""), HYPERLINK(CONCATENATE("#Metadata!", ADDRESS(INDEX($AI$2:$AI$1001,MATCH(ROWS($AG$2:AG726),$AG$2:$AG$1001,0),0), INDEX($AN$1004:$BO$1004,1,MATCH(COLUMNS($AN$1006:AP1006),$AN$1006:$BO$1006,0)))),"Fix")))</f>
        <v>0</v>
      </c>
      <c r="E726" s="4">
        <f>IF(OR(INDEX($AH$2:$AH$1001,MATCH(ROWS($AG$2:AG726),$AG$2:$AG$1001,0),1)&gt;=100000,INDEX($AN$1005:$BO$1005,1,MATCH(COLUMNS($AN$1006:AQ1006),$AN$1006:$BO$1006,0))&gt;=100000), " ",IF(INDEX($AN$2:$BO$1001,MATCH(ROWS($AG$2:AG726),$AG$2:$AG$1001,0),MATCH(COLUMNS($AN$1006:AQ1006),$AN$1006:$BO$1006,0)), HYPERLINK("#",""), HYPERLINK(CONCATENATE("#Metadata!", ADDRESS(INDEX($AI$2:$AI$1001,MATCH(ROWS($AG$2:AG726),$AG$2:$AG$1001,0),0), INDEX($AN$1004:$BO$1004,1,MATCH(COLUMNS($AN$1006:AQ1006),$AN$1006:$BO$1006,0)))),"Fix")))</f>
        <v>0</v>
      </c>
      <c r="F726" s="4">
        <f>IF(OR(INDEX($AH$2:$AH$1001,MATCH(ROWS($AG$2:AG726),$AG$2:$AG$1001,0),1)&gt;=100000,INDEX($AN$1005:$BO$1005,1,MATCH(COLUMNS($AN$1006:AR1006),$AN$1006:$BO$1006,0))&gt;=100000), " ",IF(INDEX($AN$2:$BO$1001,MATCH(ROWS($AG$2:AG726),$AG$2:$AG$1001,0),MATCH(COLUMNS($AN$1006:AR1006),$AN$1006:$BO$1006,0)), HYPERLINK("#",""), HYPERLINK(CONCATENATE("#Metadata!", ADDRESS(INDEX($AI$2:$AI$1001,MATCH(ROWS($AG$2:AG726),$AG$2:$AG$1001,0),0), INDEX($AN$1004:$BO$1004,1,MATCH(COLUMNS($AN$1006:AR1006),$AN$1006:$BO$1006,0)))),"Fix")))</f>
        <v>0</v>
      </c>
      <c r="G726" s="4">
        <f>IF(OR(INDEX($AH$2:$AH$1001,MATCH(ROWS($AG$2:AG726),$AG$2:$AG$1001,0),1)&gt;=100000,INDEX($AN$1005:$BO$1005,1,MATCH(COLUMNS($AN$1006:AS1006),$AN$1006:$BO$1006,0))&gt;=100000), " ",IF(INDEX($AN$2:$BO$1001,MATCH(ROWS($AG$2:AG726),$AG$2:$AG$1001,0),MATCH(COLUMNS($AN$1006:AS1006),$AN$1006:$BO$1006,0)), HYPERLINK("#",""), HYPERLINK(CONCATENATE("#Metadata!", ADDRESS(INDEX($AI$2:$AI$1001,MATCH(ROWS($AG$2:AG726),$AG$2:$AG$1001,0),0), INDEX($AN$1004:$BO$1004,1,MATCH(COLUMNS($AN$1006:AS1006),$AN$1006:$BO$1006,0)))),"Fix")))</f>
        <v>0</v>
      </c>
      <c r="H726" s="4">
        <f>IF(OR(INDEX($AH$2:$AH$1001,MATCH(ROWS($AG$2:AG726),$AG$2:$AG$1001,0),1)&gt;=100000,INDEX($AN$1005:$BO$1005,1,MATCH(COLUMNS($AN$1006:AT1006),$AN$1006:$BO$1006,0))&gt;=100000), " ",IF(INDEX($AN$2:$BO$1001,MATCH(ROWS($AG$2:AG726),$AG$2:$AG$1001,0),MATCH(COLUMNS($AN$1006:AT1006),$AN$1006:$BO$1006,0)), HYPERLINK("#",""), HYPERLINK(CONCATENATE("#Metadata!", ADDRESS(INDEX($AI$2:$AI$1001,MATCH(ROWS($AG$2:AG726),$AG$2:$AG$1001,0),0), INDEX($AN$1004:$BO$1004,1,MATCH(COLUMNS($AN$1006:AT1006),$AN$1006:$BO$1006,0)))),"Fix")))</f>
        <v>0</v>
      </c>
      <c r="I726" s="4">
        <f>IF(OR(INDEX($AH$2:$AH$1001,MATCH(ROWS($AG$2:AG726),$AG$2:$AG$1001,0),1)&gt;=100000,INDEX($AN$1005:$BO$1005,1,MATCH(COLUMNS($AN$1006:AU1006),$AN$1006:$BO$1006,0))&gt;=100000), " ",IF(INDEX($AN$2:$BO$1001,MATCH(ROWS($AG$2:AG726),$AG$2:$AG$1001,0),MATCH(COLUMNS($AN$1006:AU1006),$AN$1006:$BO$1006,0)), HYPERLINK("#",""), HYPERLINK(CONCATENATE("#Metadata!", ADDRESS(INDEX($AI$2:$AI$1001,MATCH(ROWS($AG$2:AG726),$AG$2:$AG$1001,0),0), INDEX($AN$1004:$BO$1004,1,MATCH(COLUMNS($AN$1006:AU1006),$AN$1006:$BO$1006,0)))),"Fix")))</f>
        <v>0</v>
      </c>
      <c r="J726" s="4">
        <f>IF(OR(INDEX($AH$2:$AH$1001,MATCH(ROWS($AG$2:AG726),$AG$2:$AG$1001,0),1)&gt;=100000,INDEX($AN$1005:$BO$1005,1,MATCH(COLUMNS($AN$1006:AV1006),$AN$1006:$BO$1006,0))&gt;=100000), " ",IF(INDEX($AN$2:$BO$1001,MATCH(ROWS($AG$2:AG726),$AG$2:$AG$1001,0),MATCH(COLUMNS($AN$1006:AV1006),$AN$1006:$BO$1006,0)), HYPERLINK("#",""), HYPERLINK(CONCATENATE("#Metadata!", ADDRESS(INDEX($AI$2:$AI$1001,MATCH(ROWS($AG$2:AG726),$AG$2:$AG$1001,0),0), INDEX($AN$1004:$BO$1004,1,MATCH(COLUMNS($AN$1006:AV1006),$AN$1006:$BO$1006,0)))),"Fix")))</f>
        <v>0</v>
      </c>
      <c r="K726" s="4">
        <f>IF(OR(INDEX($AH$2:$AH$1001,MATCH(ROWS($AG$2:AG726),$AG$2:$AG$1001,0),1)&gt;=100000,INDEX($AN$1005:$BO$1005,1,MATCH(COLUMNS($AN$1006:AW1006),$AN$1006:$BO$1006,0))&gt;=100000), " ",IF(INDEX($AN$2:$BO$1001,MATCH(ROWS($AG$2:AG726),$AG$2:$AG$1001,0),MATCH(COLUMNS($AN$1006:AW1006),$AN$1006:$BO$1006,0)), HYPERLINK("#",""), HYPERLINK(CONCATENATE("#Metadata!", ADDRESS(INDEX($AI$2:$AI$1001,MATCH(ROWS($AG$2:AG726),$AG$2:$AG$1001,0),0), INDEX($AN$1004:$BO$1004,1,MATCH(COLUMNS($AN$1006:AW1006),$AN$1006:$BO$1006,0)))),"Fix")))</f>
        <v>0</v>
      </c>
      <c r="L726" s="4">
        <f>IF(OR(INDEX($AH$2:$AH$1001,MATCH(ROWS($AG$2:AG726),$AG$2:$AG$1001,0),1)&gt;=100000,INDEX($AN$1005:$BO$1005,1,MATCH(COLUMNS($AN$1006:AX1006),$AN$1006:$BO$1006,0))&gt;=100000), " ",IF(INDEX($AN$2:$BO$1001,MATCH(ROWS($AG$2:AG726),$AG$2:$AG$1001,0),MATCH(COLUMNS($AN$1006:AX1006),$AN$1006:$BO$1006,0)), HYPERLINK("#",""), HYPERLINK(CONCATENATE("#Metadata!", ADDRESS(INDEX($AI$2:$AI$1001,MATCH(ROWS($AG$2:AG726),$AG$2:$AG$1001,0),0), INDEX($AN$1004:$BO$1004,1,MATCH(COLUMNS($AN$1006:AX1006),$AN$1006:$BO$1006,0)))),"Fix")))</f>
        <v>0</v>
      </c>
      <c r="M726" s="4">
        <f>IF(OR(INDEX($AH$2:$AH$1001,MATCH(ROWS($AG$2:AG726),$AG$2:$AG$1001,0),1)&gt;=100000,INDEX($AN$1005:$BO$1005,1,MATCH(COLUMNS($AN$1006:AY1006),$AN$1006:$BO$1006,0))&gt;=100000), " ",IF(INDEX($AN$2:$BO$1001,MATCH(ROWS($AG$2:AG726),$AG$2:$AG$1001,0),MATCH(COLUMNS($AN$1006:AY1006),$AN$1006:$BO$1006,0)), HYPERLINK("#",""), HYPERLINK(CONCATENATE("#Metadata!", ADDRESS(INDEX($AI$2:$AI$1001,MATCH(ROWS($AG$2:AG726),$AG$2:$AG$1001,0),0), INDEX($AN$1004:$BO$1004,1,MATCH(COLUMNS($AN$1006:AY1006),$AN$1006:$BO$1006,0)))),"Fix")))</f>
        <v>0</v>
      </c>
      <c r="N726" s="4">
        <f>IF(OR(INDEX($AH$2:$AH$1001,MATCH(ROWS($AG$2:AG726),$AG$2:$AG$1001,0),1)&gt;=100000,INDEX($AN$1005:$BO$1005,1,MATCH(COLUMNS($AN$1006:AZ1006),$AN$1006:$BO$1006,0))&gt;=100000), " ",IF(INDEX($AN$2:$BO$1001,MATCH(ROWS($AG$2:AG726),$AG$2:$AG$1001,0),MATCH(COLUMNS($AN$1006:AZ1006),$AN$1006:$BO$1006,0)), HYPERLINK("#",""), HYPERLINK(CONCATENATE("#Metadata!", ADDRESS(INDEX($AI$2:$AI$1001,MATCH(ROWS($AG$2:AG726),$AG$2:$AG$1001,0),0), INDEX($AN$1004:$BO$1004,1,MATCH(COLUMNS($AN$1006:AZ1006),$AN$1006:$BO$1006,0)))),"Fix")))</f>
        <v>0</v>
      </c>
      <c r="O726" s="4">
        <f>IF(OR(INDEX($AH$2:$AH$1001,MATCH(ROWS($AG$2:AG726),$AG$2:$AG$1001,0),1)&gt;=100000,INDEX($AN$1005:$BO$1005,1,MATCH(COLUMNS($AN$1006:BA1006),$AN$1006:$BO$1006,0))&gt;=100000), " ",IF(INDEX($AN$2:$BO$1001,MATCH(ROWS($AG$2:AG726),$AG$2:$AG$1001,0),MATCH(COLUMNS($AN$1006:BA1006),$AN$1006:$BO$1006,0)), HYPERLINK("#",""), HYPERLINK(CONCATENATE("#Metadata!", ADDRESS(INDEX($AI$2:$AI$1001,MATCH(ROWS($AG$2:AG726),$AG$2:$AG$1001,0),0), INDEX($AN$1004:$BO$1004,1,MATCH(COLUMNS($AN$1006:BA1006),$AN$1006:$BO$1006,0)))),"Fix")))</f>
        <v>0</v>
      </c>
      <c r="P726" s="4">
        <f>IF(OR(INDEX($AH$2:$AH$1001,MATCH(ROWS($AG$2:AG726),$AG$2:$AG$1001,0),1)&gt;=100000,INDEX($AN$1005:$BO$1005,1,MATCH(COLUMNS($AN$1006:BB1006),$AN$1006:$BO$1006,0))&gt;=100000), " ",IF(INDEX($AN$2:$BO$1001,MATCH(ROWS($AG$2:AG726),$AG$2:$AG$1001,0),MATCH(COLUMNS($AN$1006:BB1006),$AN$1006:$BO$1006,0)), HYPERLINK("#",""), HYPERLINK(CONCATENATE("#Metadata!", ADDRESS(INDEX($AI$2:$AI$1001,MATCH(ROWS($AG$2:AG726),$AG$2:$AG$1001,0),0), INDEX($AN$1004:$BO$1004,1,MATCH(COLUMNS($AN$1006:BB1006),$AN$1006:$BO$1006,0)))),"Fix")))</f>
        <v>0</v>
      </c>
      <c r="Q726" s="4">
        <f>IF(OR(INDEX($AH$2:$AH$1001,MATCH(ROWS($AG$2:AG726),$AG$2:$AG$1001,0),1)&gt;=100000,INDEX($AN$1005:$BO$1005,1,MATCH(COLUMNS($AN$1006:BC1006),$AN$1006:$BO$1006,0))&gt;=100000), " ",IF(INDEX($AN$2:$BO$1001,MATCH(ROWS($AG$2:AG726),$AG$2:$AG$1001,0),MATCH(COLUMNS($AN$1006:BC1006),$AN$1006:$BO$1006,0)), HYPERLINK("#",""), HYPERLINK(CONCATENATE("#Metadata!", ADDRESS(INDEX($AI$2:$AI$1001,MATCH(ROWS($AG$2:AG726),$AG$2:$AG$1001,0),0), INDEX($AN$1004:$BO$1004,1,MATCH(COLUMNS($AN$1006:BC1006),$AN$1006:$BO$1006,0)))),"Fix")))</f>
        <v>0</v>
      </c>
      <c r="R726" s="4">
        <f>IF(OR(INDEX($AH$2:$AH$1001,MATCH(ROWS($AG$2:AG726),$AG$2:$AG$1001,0),1)&gt;=100000,INDEX($AN$1005:$BO$1005,1,MATCH(COLUMNS($AN$1006:BD1006),$AN$1006:$BO$1006,0))&gt;=100000), " ",IF(INDEX($AN$2:$BO$1001,MATCH(ROWS($AG$2:AG726),$AG$2:$AG$1001,0),MATCH(COLUMNS($AN$1006:BD1006),$AN$1006:$BO$1006,0)), HYPERLINK("#",""), HYPERLINK(CONCATENATE("#Metadata!", ADDRESS(INDEX($AI$2:$AI$1001,MATCH(ROWS($AG$2:AG726),$AG$2:$AG$1001,0),0), INDEX($AN$1004:$BO$1004,1,MATCH(COLUMNS($AN$1006:BD1006),$AN$1006:$BO$1006,0)))),"Fix")))</f>
        <v>0</v>
      </c>
      <c r="S726" s="4">
        <f>IF(OR(INDEX($AH$2:$AH$1001,MATCH(ROWS($AG$2:AG726),$AG$2:$AG$1001,0),1)&gt;=100000,INDEX($AN$1005:$BO$1005,1,MATCH(COLUMNS($AN$1006:BE1006),$AN$1006:$BO$1006,0))&gt;=100000), " ",IF(INDEX($AN$2:$BO$1001,MATCH(ROWS($AG$2:AG726),$AG$2:$AG$1001,0),MATCH(COLUMNS($AN$1006:BE1006),$AN$1006:$BO$1006,0)), HYPERLINK("#",""), HYPERLINK(CONCATENATE("#Metadata!", ADDRESS(INDEX($AI$2:$AI$1001,MATCH(ROWS($AG$2:AG726),$AG$2:$AG$1001,0),0), INDEX($AN$1004:$BO$1004,1,MATCH(COLUMNS($AN$1006:BE1006),$AN$1006:$BO$1006,0)))),"Fix")))</f>
        <v>0</v>
      </c>
      <c r="T726" s="4">
        <f>IF(OR(INDEX($AH$2:$AH$1001,MATCH(ROWS($AG$2:AG726),$AG$2:$AG$1001,0),1)&gt;=100000,INDEX($AN$1005:$BO$1005,1,MATCH(COLUMNS($AN$1006:BF1006),$AN$1006:$BO$1006,0))&gt;=100000), " ",IF(INDEX($AN$2:$BO$1001,MATCH(ROWS($AG$2:AG726),$AG$2:$AG$1001,0),MATCH(COLUMNS($AN$1006:BF1006),$AN$1006:$BO$1006,0)), HYPERLINK("#",""), HYPERLINK(CONCATENATE("#Metadata!", ADDRESS(INDEX($AI$2:$AI$1001,MATCH(ROWS($AG$2:AG726),$AG$2:$AG$1001,0),0), INDEX($AN$1004:$BO$1004,1,MATCH(COLUMNS($AN$1006:BF1006),$AN$1006:$BO$1006,0)))),"Fix")))</f>
        <v>0</v>
      </c>
      <c r="U726" s="4">
        <f>IF(OR(INDEX($AH$2:$AH$1001,MATCH(ROWS($AG$2:AG726),$AG$2:$AG$1001,0),1)&gt;=100000,INDEX($AN$1005:$BO$1005,1,MATCH(COLUMNS($AN$1006:BG1006),$AN$1006:$BO$1006,0))&gt;=100000), " ",IF(INDEX($AN$2:$BO$1001,MATCH(ROWS($AG$2:AG726),$AG$2:$AG$1001,0),MATCH(COLUMNS($AN$1006:BG1006),$AN$1006:$BO$1006,0)), HYPERLINK("#",""), HYPERLINK(CONCATENATE("#Metadata!", ADDRESS(INDEX($AI$2:$AI$1001,MATCH(ROWS($AG$2:AG726),$AG$2:$AG$1001,0),0), INDEX($AN$1004:$BO$1004,1,MATCH(COLUMNS($AN$1006:BG1006),$AN$1006:$BO$1006,0)))),"Fix")))</f>
        <v>0</v>
      </c>
      <c r="V726" s="4">
        <f>IF(OR(INDEX($AH$2:$AH$1001,MATCH(ROWS($AG$2:AG726),$AG$2:$AG$1001,0),1)&gt;=100000,INDEX($AN$1005:$BO$1005,1,MATCH(COLUMNS($AN$1006:BH1006),$AN$1006:$BO$1006,0))&gt;=100000), " ",IF(INDEX($AN$2:$BO$1001,MATCH(ROWS($AG$2:AG726),$AG$2:$AG$1001,0),MATCH(COLUMNS($AN$1006:BH1006),$AN$1006:$BO$1006,0)), HYPERLINK("#",""), HYPERLINK(CONCATENATE("#Metadata!", ADDRESS(INDEX($AI$2:$AI$1001,MATCH(ROWS($AG$2:AG726),$AG$2:$AG$1001,0),0), INDEX($AN$1004:$BO$1004,1,MATCH(COLUMNS($AN$1006:BH1006),$AN$1006:$BO$1006,0)))),"Fix")))</f>
        <v>0</v>
      </c>
      <c r="W726" s="4">
        <f>IF(OR(INDEX($AH$2:$AH$1001,MATCH(ROWS($AG$2:AG726),$AG$2:$AG$1001,0),1)&gt;=100000,INDEX($AN$1005:$BO$1005,1,MATCH(COLUMNS($AN$1006:BI1006),$AN$1006:$BO$1006,0))&gt;=100000), " ",IF(INDEX($AN$2:$BO$1001,MATCH(ROWS($AG$2:AG726),$AG$2:$AG$1001,0),MATCH(COLUMNS($AN$1006:BI1006),$AN$1006:$BO$1006,0)), HYPERLINK("#",""), HYPERLINK(CONCATENATE("#Metadata!", ADDRESS(INDEX($AI$2:$AI$1001,MATCH(ROWS($AG$2:AG726),$AG$2:$AG$1001,0),0), INDEX($AN$1004:$BO$1004,1,MATCH(COLUMNS($AN$1006:BI1006),$AN$1006:$BO$1006,0)))),"Fix")))</f>
        <v>0</v>
      </c>
      <c r="X726" s="4">
        <f>IF(OR(INDEX($AH$2:$AH$1001,MATCH(ROWS($AG$2:AG726),$AG$2:$AG$1001,0),1)&gt;=100000,INDEX($AN$1005:$BO$1005,1,MATCH(COLUMNS($AN$1006:BJ1006),$AN$1006:$BO$1006,0))&gt;=100000), " ",IF(INDEX($AN$2:$BO$1001,MATCH(ROWS($AG$2:AG726),$AG$2:$AG$1001,0),MATCH(COLUMNS($AN$1006:BJ1006),$AN$1006:$BO$1006,0)), HYPERLINK("#",""), HYPERLINK(CONCATENATE("#Metadata!", ADDRESS(INDEX($AI$2:$AI$1001,MATCH(ROWS($AG$2:AG726),$AG$2:$AG$1001,0),0), INDEX($AN$1004:$BO$1004,1,MATCH(COLUMNS($AN$1006:BJ1006),$AN$1006:$BO$1006,0)))),"Fix")))</f>
        <v>0</v>
      </c>
      <c r="Y726" s="4">
        <f>IF(OR(INDEX($AH$2:$AH$1001,MATCH(ROWS($AG$2:AG726),$AG$2:$AG$1001,0),1)&gt;=100000,INDEX($AN$1005:$BO$1005,1,MATCH(COLUMNS($AN$1006:BK1006),$AN$1006:$BO$1006,0))&gt;=100000), " ",IF(INDEX($AN$2:$BO$1001,MATCH(ROWS($AG$2:AG726),$AG$2:$AG$1001,0),MATCH(COLUMNS($AN$1006:BK1006),$AN$1006:$BO$1006,0)), HYPERLINK("#",""), HYPERLINK(CONCATENATE("#Metadata!", ADDRESS(INDEX($AI$2:$AI$1001,MATCH(ROWS($AG$2:AG726),$AG$2:$AG$1001,0),0), INDEX($AN$1004:$BO$1004,1,MATCH(COLUMNS($AN$1006:BK1006),$AN$1006:$BO$1006,0)))),"Fix")))</f>
        <v>0</v>
      </c>
      <c r="Z726" s="4">
        <f>IF(OR(INDEX($AH$2:$AH$1001,MATCH(ROWS($AG$2:AG726),$AG$2:$AG$1001,0),1)&gt;=100000,INDEX($AN$1005:$BO$1005,1,MATCH(COLUMNS($AN$1006:BL1006),$AN$1006:$BO$1006,0))&gt;=100000), " ",IF(INDEX($AN$2:$BO$1001,MATCH(ROWS($AG$2:AG726),$AG$2:$AG$1001,0),MATCH(COLUMNS($AN$1006:BL1006),$AN$1006:$BO$1006,0)), HYPERLINK("#",""), HYPERLINK(CONCATENATE("#Metadata!", ADDRESS(INDEX($AI$2:$AI$1001,MATCH(ROWS($AG$2:AG726),$AG$2:$AG$1001,0),0), INDEX($AN$1004:$BO$1004,1,MATCH(COLUMNS($AN$1006:BL1006),$AN$1006:$BO$1006,0)))),"Fix")))</f>
        <v>0</v>
      </c>
      <c r="AA726" s="4">
        <f>IF(OR(INDEX($AH$2:$AH$1001,MATCH(ROWS($AG$2:AG726),$AG$2:$AG$1001,0),1)&gt;=100000,INDEX($AN$1005:$BO$1005,1,MATCH(COLUMNS($AN$1006:BM1006),$AN$1006:$BO$1006,0))&gt;=100000), " ",IF(INDEX($AN$2:$BO$1001,MATCH(ROWS($AG$2:AG726),$AG$2:$AG$1001,0),MATCH(COLUMNS($AN$1006:BM1006),$AN$1006:$BO$1006,0)), HYPERLINK("#",""), HYPERLINK(CONCATENATE("#Metadata!", ADDRESS(INDEX($AI$2:$AI$1001,MATCH(ROWS($AG$2:AG726),$AG$2:$AG$1001,0),0), INDEX($AN$1004:$BO$1004,1,MATCH(COLUMNS($AN$1006:BM1006),$AN$1006:$BO$1006,0)))),"Fix")))</f>
        <v>0</v>
      </c>
      <c r="AB726" s="4">
        <f>IF(OR(INDEX($AH$2:$AH$1001,MATCH(ROWS($AG$2:AG726),$AG$2:$AG$1001,0),1)&gt;=100000,INDEX($AN$1005:$BO$1005,1,MATCH(COLUMNS($AN$1006:BN1006),$AN$1006:$BO$1006,0))&gt;=100000), " ",IF(INDEX($AN$2:$BO$1001,MATCH(ROWS($AG$2:AG726),$AG$2:$AG$1001,0),MATCH(COLUMNS($AN$1006:BN1006),$AN$1006:$BO$1006,0)), HYPERLINK("#",""), HYPERLINK(CONCATENATE("#Metadata!", ADDRESS(INDEX($AI$2:$AI$1001,MATCH(ROWS($AG$2:AG726),$AG$2:$AG$1001,0),0), INDEX($AN$1004:$BO$1004,1,MATCH(COLUMNS($AN$1006:BN1006),$AN$1006:$BO$1006,0)))),"Fix")))</f>
        <v>0</v>
      </c>
      <c r="AC726" s="4">
        <f>IF(OR(INDEX($AH$2:$AH$1001,MATCH(ROWS($AG$2:AG726),$AG$2:$AG$1001,0),1)&gt;=100000,INDEX($AN$1005:$BO$1005,1,MATCH(COLUMNS($AN$1006:BO1006),$AN$1006:$BO$1006,0))&gt;=100000), " ",IF(INDEX($AN$2:$BO$1001,MATCH(ROWS($AG$2:AG726),$AG$2:$AG$1001,0),MATCH(COLUMNS($AN$1006:BO1006),$AN$1006:$BO$1006,0)), HYPERLINK("#",""), HYPERLINK(CONCATENATE("#Metadata!", ADDRESS(INDEX($AI$2:$AI$1001,MATCH(ROWS($AG$2:AG726),$AG$2:$AG$1001,0),0), INDEX($AN$1004:$BO$1004,1,MATCH(COLUMNS($AN$1006:BO1006),$AN$1006:$BO$1006,0)))),"Fix")))</f>
        <v>0</v>
      </c>
      <c r="AG726">
        <v>0</v>
      </c>
      <c r="AH726">
        <v>0</v>
      </c>
      <c r="AI726">
        <v>0</v>
      </c>
      <c r="AJ726">
        <f>IF(AK726,TRUE,AND(AN726:BO726))</f>
        <v>0</v>
      </c>
      <c r="AK726">
        <f>COUNTBLANK(Metadata!B726:AC726)=COLUMNS(Metadata!B726:AC726)</f>
        <v>0</v>
      </c>
      <c r="AL726">
        <v>0</v>
      </c>
      <c r="AN726">
        <f>AND(IF(Metadata!B726="",FALSE,TRUE),COUNTIF(Metadata!B:B, Metadata!B726) = 1,NOT(ISERROR(SUMPRODUCT(SEARCH(MID(Metadata!B726,ROW(INDIRECT("1:"&amp;LEN(Metadata!B726))), 1),"0123456789abcdefghijklmnopqrstuvwxyzABCDEFGHIJKLMNOPQRSTUVWXYZ.")))))</f>
        <v>0</v>
      </c>
      <c r="AO726">
        <f>IF(Metadata!C726="",FALSE,TRUE)</f>
        <v>0</v>
      </c>
      <c r="AP726">
        <f>IF(Metadata!D726="",FALSE,TRUE)</f>
        <v>0</v>
      </c>
      <c r="AQ726">
        <f>OR(AND(IF(Metadata!E726="",FALSE,TRUE),OR(exact(Metadata!E726,"not collected"),exact(Metadata!E726,"not provided"),exact(Metadata!E726,"restricted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R726">
        <f>IF(Metadata!F726="",FALSE,TRUE)</f>
        <v>0</v>
      </c>
      <c r="AS726">
        <f>OR(AND(IF(Metadata!G726="",FALSE,TRUE),OR(exact(Metadata!G726,"not collected"),exact(Metadata!G726,"not provided"))),AND(IF(Metadata!G726="",FALSE,TRUE),OR(exact(Metadata!G726,"TRUE"),exact(Metadata!G726,"FALSE"))))</f>
        <v>0</v>
      </c>
      <c r="AT726">
        <f>OR(AND(IF(Metadata!H726="",FALSE,TRUE),OR(exact(Metadata!H726,"not collected"),exact(Metadata!H726,"not provided"),exact(Metadata!H726,"restricted access"))),AND(IF(Metadata!H726="",FALSE,ISNUMBER(VALUE(Metadata!H726))),Metadata!H726&gt;=-413.0))</f>
        <v>0</v>
      </c>
      <c r="AU726">
        <f>AND(IF(Metadata!I726="",FALSE,TRUE),exact(Metadata!I726,"meters"))</f>
        <v>0</v>
      </c>
      <c r="AV726">
        <f>AND(IF(Metadata!J726="",FALSE,TRUE),OR(exact(Metadata!J726,"Host-associated"),exact(Metadata!J726,"Free-living")))</f>
        <v>0</v>
      </c>
      <c r="AW726">
        <f>AND(IF(Metadata!K726="",FALSE,TRUE),OR(exact(Metadata!K726,"Animal"),exact(Metadata!K726,"Fungus"),exact(Metadata!K726,"Plant"),exact(Metadata!K726,"Saline"),exact(Metadata!K726,"Non-saline")))</f>
        <v>0</v>
      </c>
      <c r="AX726">
        <f>AND(IF(Metadata!L726="",FALSE,TRUE),OR(exact(Metadata!L726,"Plant secretion"),exact(Metadata!L726,"Plant rhizosphere"),exact(Metadata!L726,"Plant surface"),exact(Metadata!L726,"Plant corpus"),exact(Metadata!L726,"Fungus surface"),exact(Metadata!L726,"Fungus corpus"),exact(Metadata!L726,"Animal surface"),exact(Metadata!L726,"Animal proximal gut"),exact(Metadata!L726,"Animal corpus"),exact(Metadata!L726,"Animal distal gut"),exact(Metadata!L726,"Animal secretion"),exact(Metadata!L726,"Sub-surface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Y726">
        <f>IF(Metadata!M726="",FALSE,TRUE)</f>
        <v>0</v>
      </c>
      <c r="AZ726">
        <f>IF(Metadata!N726="",FALSE,TRUE)</f>
        <v>0</v>
      </c>
      <c r="BA726">
        <f>IF(Metadata!O726="",FALSE,TRUE)</f>
        <v>0</v>
      </c>
      <c r="BB726">
        <f>OR(AND(IF(Metadata!P726="",FALSE,TRUE),OR(exact(Metadata!P726,"not collected"),exact(Metadata!P726,"not provided"),exact(Metadata!P726,"restricted access"))),AND(IF(Metadata!P726="",FALSE,TRUE),OR(exact(Metadata!P726,"air"),exact(Metadata!P726,"built environment"),exact(Metadata!P726,"host-associated"),exact(Metadata!P726,"human-associated"),exact(Metadata!P726,"human-skin"),exact(Metadata!P726,"human-oral"),exact(Metadata!P726,"human-gut"),exact(Metadata!P726,"human-vaginal"),exact(Metadata!P726,"microbial mat/biofilm"),exact(Metadata!P726,"misc environment"),exact(Metadata!P726,"plant-associated"),exact(Metadata!P726,"sediment"),exact(Metadata!P726,"soil"),exact(Metadata!P726,"wastewater/sludge"),exact(Metadata!P726,"water"))))</f>
        <v>0</v>
      </c>
      <c r="BC726">
        <f>IF(Metadata!Q726="",FALSE,TRUE)</f>
        <v>0</v>
      </c>
      <c r="BD726">
        <f>IF(Metadata!R726="",FALSE,TRUE)</f>
        <v>0</v>
      </c>
      <c r="BE726">
        <f>OR(AND(IF(Metadata!S726="",FALSE,TRUE),OR(exact(Metadata!S726,"not collected"),exact(Metadata!S726,"not provided"),exact(Metadata!S726,"restricted access"))),AND(IF(Metadata!S726="",FALSE,ISNUMBER(VALUE(Metadata!S726))),Metadata!S726&gt;=-90.00,Metadata!S726&lt;=90.00))</f>
        <v>0</v>
      </c>
      <c r="BF726">
        <f>AND(IF(Metadata!T726="",FALSE,TRUE),exact(Metadata!T726,"Decimal degrees"))</f>
        <v>0</v>
      </c>
      <c r="BG726">
        <f>OR(AND(IF(Metadata!U726="",FALSE,TRUE),OR(exact(Metadata!U726,"not collected"),exact(Metadata!U726,"not provided"),exact(Metadata!U726,"restricted access"))),AND(IF(Metadata!U726="",FALSE,ISNUMBER(VALUE(Metadata!U726))),Metadata!U726&gt;=-180.00,Metadata!U726&lt;=180.00))</f>
        <v>0</v>
      </c>
      <c r="BH726">
        <f>AND(IF(Metadata!V726="",FALSE,TRUE),exact(Metadata!V726,"Decimal degrees"))</f>
        <v>0</v>
      </c>
      <c r="BI726">
        <f>IF(Metadata!W726="",FALSE,TRUE)</f>
        <v>0</v>
      </c>
      <c r="BJ726">
        <f>OR(AND(IF(Metadata!X726="",FALSE,TRUE),OR(exact(Metadata!X726,"not collected"),exact(Metadata!X726,"not provided"),exact(Metadata!X726,"restricted access"))),AND(IF(Metadata!X726="",FALSE,TRUE),OR(exact(Metadata!X726,"TRUE"),exact(Metadata!X726,"FALSE"))))</f>
        <v>0</v>
      </c>
      <c r="BK726">
        <f>AND(IF(Metadata!Y726="",FALSE,TRUE),exact(Metadata!Y726,"other"))</f>
        <v>0</v>
      </c>
      <c r="BL726">
        <f>IF(Metadata!Z726="",FALSE,TRUE)</f>
        <v>0</v>
      </c>
      <c r="BM726">
        <f>OR(AND(IF(Metadata!AA726="",FALSE,TRUE),OR(exact(Metadata!AA726,"not collected"),exact(Metadata!AA726,"not provided"))),AND(IF(Metadata!AA726="",FALSE,IF(ISERROR(INT(Metadata!AA726)),FALSE,INT(Metadata!AA726)=Metadata!AA726)),Metadata!AA726&gt;0))</f>
        <v>0</v>
      </c>
      <c r="BN726">
        <f>AND(IF(Metadata!AB726="",FALSE,TRUE),exact(Metadata!AB726,"Not applicable"))</f>
        <v>0</v>
      </c>
      <c r="BO726">
        <f>IF(Metadata!AC726="",FALSE,TRUE)</f>
        <v>0</v>
      </c>
    </row>
    <row r="727" spans="1:67">
      <c r="A727" s="5">
        <f>IF(B727=" "," ",HYPERLINK(CONCATENATE("#metadata!",ADDRESS(INDEX($AI$2:$AI$1001,MATCH(ROWS($AG$2:AG727),$AG$2:$AG$1001,0),0),1)),INDEX($AL$2:$AL$1001,MATCH(ROWS($AG$2:AG727),$AG$2:$AG$1001,0),0)))</f>
        <v>0</v>
      </c>
      <c r="B727" s="4">
        <f>IF(OR(INDEX($AH$2:$AH$1001,MATCH(ROWS($AG$2:AG727),$AG$2:$AG$1001,0),1)&gt;=100000,INDEX($AN$1005:$BO$1005,1,MATCH(COLUMNS($AN$1006:AN1006),$AN$1006:$BO$1006,0))&gt;=100000), " ",IF(INDEX($AN$2:$BO$1001,MATCH(ROWS($AG$2:AG727),$AG$2:$AG$1001,0),MATCH(COLUMNS($AN$1006:AN1006),$AN$1006:$BO$1006,0)), HYPERLINK("#",""), HYPERLINK(CONCATENATE("#Metadata!", ADDRESS(INDEX($AI$2:$AI$1001,MATCH(ROWS($AG$2:AG727),$AG$2:$AG$1001,0),0), INDEX($AN$1004:$BO$1004,1,MATCH(COLUMNS($AN$1006:AN1006),$AN$1006:$BO$1006,0)))),"Fix")))</f>
        <v>0</v>
      </c>
      <c r="C727" s="4">
        <f>IF(OR(INDEX($AH$2:$AH$1001,MATCH(ROWS($AG$2:AG727),$AG$2:$AG$1001,0),1)&gt;=100000,INDEX($AN$1005:$BO$1005,1,MATCH(COLUMNS($AN$1006:AO1006),$AN$1006:$BO$1006,0))&gt;=100000), " ",IF(INDEX($AN$2:$BO$1001,MATCH(ROWS($AG$2:AG727),$AG$2:$AG$1001,0),MATCH(COLUMNS($AN$1006:AO1006),$AN$1006:$BO$1006,0)), HYPERLINK("#",""), HYPERLINK(CONCATENATE("#Metadata!", ADDRESS(INDEX($AI$2:$AI$1001,MATCH(ROWS($AG$2:AG727),$AG$2:$AG$1001,0),0), INDEX($AN$1004:$BO$1004,1,MATCH(COLUMNS($AN$1006:AO1006),$AN$1006:$BO$1006,0)))),"Fix")))</f>
        <v>0</v>
      </c>
      <c r="D727" s="4">
        <f>IF(OR(INDEX($AH$2:$AH$1001,MATCH(ROWS($AG$2:AG727),$AG$2:$AG$1001,0),1)&gt;=100000,INDEX($AN$1005:$BO$1005,1,MATCH(COLUMNS($AN$1006:AP1006),$AN$1006:$BO$1006,0))&gt;=100000), " ",IF(INDEX($AN$2:$BO$1001,MATCH(ROWS($AG$2:AG727),$AG$2:$AG$1001,0),MATCH(COLUMNS($AN$1006:AP1006),$AN$1006:$BO$1006,0)), HYPERLINK("#",""), HYPERLINK(CONCATENATE("#Metadata!", ADDRESS(INDEX($AI$2:$AI$1001,MATCH(ROWS($AG$2:AG727),$AG$2:$AG$1001,0),0), INDEX($AN$1004:$BO$1004,1,MATCH(COLUMNS($AN$1006:AP1006),$AN$1006:$BO$1006,0)))),"Fix")))</f>
        <v>0</v>
      </c>
      <c r="E727" s="4">
        <f>IF(OR(INDEX($AH$2:$AH$1001,MATCH(ROWS($AG$2:AG727),$AG$2:$AG$1001,0),1)&gt;=100000,INDEX($AN$1005:$BO$1005,1,MATCH(COLUMNS($AN$1006:AQ1006),$AN$1006:$BO$1006,0))&gt;=100000), " ",IF(INDEX($AN$2:$BO$1001,MATCH(ROWS($AG$2:AG727),$AG$2:$AG$1001,0),MATCH(COLUMNS($AN$1006:AQ1006),$AN$1006:$BO$1006,0)), HYPERLINK("#",""), HYPERLINK(CONCATENATE("#Metadata!", ADDRESS(INDEX($AI$2:$AI$1001,MATCH(ROWS($AG$2:AG727),$AG$2:$AG$1001,0),0), INDEX($AN$1004:$BO$1004,1,MATCH(COLUMNS($AN$1006:AQ1006),$AN$1006:$BO$1006,0)))),"Fix")))</f>
        <v>0</v>
      </c>
      <c r="F727" s="4">
        <f>IF(OR(INDEX($AH$2:$AH$1001,MATCH(ROWS($AG$2:AG727),$AG$2:$AG$1001,0),1)&gt;=100000,INDEX($AN$1005:$BO$1005,1,MATCH(COLUMNS($AN$1006:AR1006),$AN$1006:$BO$1006,0))&gt;=100000), " ",IF(INDEX($AN$2:$BO$1001,MATCH(ROWS($AG$2:AG727),$AG$2:$AG$1001,0),MATCH(COLUMNS($AN$1006:AR1006),$AN$1006:$BO$1006,0)), HYPERLINK("#",""), HYPERLINK(CONCATENATE("#Metadata!", ADDRESS(INDEX($AI$2:$AI$1001,MATCH(ROWS($AG$2:AG727),$AG$2:$AG$1001,0),0), INDEX($AN$1004:$BO$1004,1,MATCH(COLUMNS($AN$1006:AR1006),$AN$1006:$BO$1006,0)))),"Fix")))</f>
        <v>0</v>
      </c>
      <c r="G727" s="4">
        <f>IF(OR(INDEX($AH$2:$AH$1001,MATCH(ROWS($AG$2:AG727),$AG$2:$AG$1001,0),1)&gt;=100000,INDEX($AN$1005:$BO$1005,1,MATCH(COLUMNS($AN$1006:AS1006),$AN$1006:$BO$1006,0))&gt;=100000), " ",IF(INDEX($AN$2:$BO$1001,MATCH(ROWS($AG$2:AG727),$AG$2:$AG$1001,0),MATCH(COLUMNS($AN$1006:AS1006),$AN$1006:$BO$1006,0)), HYPERLINK("#",""), HYPERLINK(CONCATENATE("#Metadata!", ADDRESS(INDEX($AI$2:$AI$1001,MATCH(ROWS($AG$2:AG727),$AG$2:$AG$1001,0),0), INDEX($AN$1004:$BO$1004,1,MATCH(COLUMNS($AN$1006:AS1006),$AN$1006:$BO$1006,0)))),"Fix")))</f>
        <v>0</v>
      </c>
      <c r="H727" s="4">
        <f>IF(OR(INDEX($AH$2:$AH$1001,MATCH(ROWS($AG$2:AG727),$AG$2:$AG$1001,0),1)&gt;=100000,INDEX($AN$1005:$BO$1005,1,MATCH(COLUMNS($AN$1006:AT1006),$AN$1006:$BO$1006,0))&gt;=100000), " ",IF(INDEX($AN$2:$BO$1001,MATCH(ROWS($AG$2:AG727),$AG$2:$AG$1001,0),MATCH(COLUMNS($AN$1006:AT1006),$AN$1006:$BO$1006,0)), HYPERLINK("#",""), HYPERLINK(CONCATENATE("#Metadata!", ADDRESS(INDEX($AI$2:$AI$1001,MATCH(ROWS($AG$2:AG727),$AG$2:$AG$1001,0),0), INDEX($AN$1004:$BO$1004,1,MATCH(COLUMNS($AN$1006:AT1006),$AN$1006:$BO$1006,0)))),"Fix")))</f>
        <v>0</v>
      </c>
      <c r="I727" s="4">
        <f>IF(OR(INDEX($AH$2:$AH$1001,MATCH(ROWS($AG$2:AG727),$AG$2:$AG$1001,0),1)&gt;=100000,INDEX($AN$1005:$BO$1005,1,MATCH(COLUMNS($AN$1006:AU1006),$AN$1006:$BO$1006,0))&gt;=100000), " ",IF(INDEX($AN$2:$BO$1001,MATCH(ROWS($AG$2:AG727),$AG$2:$AG$1001,0),MATCH(COLUMNS($AN$1006:AU1006),$AN$1006:$BO$1006,0)), HYPERLINK("#",""), HYPERLINK(CONCATENATE("#Metadata!", ADDRESS(INDEX($AI$2:$AI$1001,MATCH(ROWS($AG$2:AG727),$AG$2:$AG$1001,0),0), INDEX($AN$1004:$BO$1004,1,MATCH(COLUMNS($AN$1006:AU1006),$AN$1006:$BO$1006,0)))),"Fix")))</f>
        <v>0</v>
      </c>
      <c r="J727" s="4">
        <f>IF(OR(INDEX($AH$2:$AH$1001,MATCH(ROWS($AG$2:AG727),$AG$2:$AG$1001,0),1)&gt;=100000,INDEX($AN$1005:$BO$1005,1,MATCH(COLUMNS($AN$1006:AV1006),$AN$1006:$BO$1006,0))&gt;=100000), " ",IF(INDEX($AN$2:$BO$1001,MATCH(ROWS($AG$2:AG727),$AG$2:$AG$1001,0),MATCH(COLUMNS($AN$1006:AV1006),$AN$1006:$BO$1006,0)), HYPERLINK("#",""), HYPERLINK(CONCATENATE("#Metadata!", ADDRESS(INDEX($AI$2:$AI$1001,MATCH(ROWS($AG$2:AG727),$AG$2:$AG$1001,0),0), INDEX($AN$1004:$BO$1004,1,MATCH(COLUMNS($AN$1006:AV1006),$AN$1006:$BO$1006,0)))),"Fix")))</f>
        <v>0</v>
      </c>
      <c r="K727" s="4">
        <f>IF(OR(INDEX($AH$2:$AH$1001,MATCH(ROWS($AG$2:AG727),$AG$2:$AG$1001,0),1)&gt;=100000,INDEX($AN$1005:$BO$1005,1,MATCH(COLUMNS($AN$1006:AW1006),$AN$1006:$BO$1006,0))&gt;=100000), " ",IF(INDEX($AN$2:$BO$1001,MATCH(ROWS($AG$2:AG727),$AG$2:$AG$1001,0),MATCH(COLUMNS($AN$1006:AW1006),$AN$1006:$BO$1006,0)), HYPERLINK("#",""), HYPERLINK(CONCATENATE("#Metadata!", ADDRESS(INDEX($AI$2:$AI$1001,MATCH(ROWS($AG$2:AG727),$AG$2:$AG$1001,0),0), INDEX($AN$1004:$BO$1004,1,MATCH(COLUMNS($AN$1006:AW1006),$AN$1006:$BO$1006,0)))),"Fix")))</f>
        <v>0</v>
      </c>
      <c r="L727" s="4">
        <f>IF(OR(INDEX($AH$2:$AH$1001,MATCH(ROWS($AG$2:AG727),$AG$2:$AG$1001,0),1)&gt;=100000,INDEX($AN$1005:$BO$1005,1,MATCH(COLUMNS($AN$1006:AX1006),$AN$1006:$BO$1006,0))&gt;=100000), " ",IF(INDEX($AN$2:$BO$1001,MATCH(ROWS($AG$2:AG727),$AG$2:$AG$1001,0),MATCH(COLUMNS($AN$1006:AX1006),$AN$1006:$BO$1006,0)), HYPERLINK("#",""), HYPERLINK(CONCATENATE("#Metadata!", ADDRESS(INDEX($AI$2:$AI$1001,MATCH(ROWS($AG$2:AG727),$AG$2:$AG$1001,0),0), INDEX($AN$1004:$BO$1004,1,MATCH(COLUMNS($AN$1006:AX1006),$AN$1006:$BO$1006,0)))),"Fix")))</f>
        <v>0</v>
      </c>
      <c r="M727" s="4">
        <f>IF(OR(INDEX($AH$2:$AH$1001,MATCH(ROWS($AG$2:AG727),$AG$2:$AG$1001,0),1)&gt;=100000,INDEX($AN$1005:$BO$1005,1,MATCH(COLUMNS($AN$1006:AY1006),$AN$1006:$BO$1006,0))&gt;=100000), " ",IF(INDEX($AN$2:$BO$1001,MATCH(ROWS($AG$2:AG727),$AG$2:$AG$1001,0),MATCH(COLUMNS($AN$1006:AY1006),$AN$1006:$BO$1006,0)), HYPERLINK("#",""), HYPERLINK(CONCATENATE("#Metadata!", ADDRESS(INDEX($AI$2:$AI$1001,MATCH(ROWS($AG$2:AG727),$AG$2:$AG$1001,0),0), INDEX($AN$1004:$BO$1004,1,MATCH(COLUMNS($AN$1006:AY1006),$AN$1006:$BO$1006,0)))),"Fix")))</f>
        <v>0</v>
      </c>
      <c r="N727" s="4">
        <f>IF(OR(INDEX($AH$2:$AH$1001,MATCH(ROWS($AG$2:AG727),$AG$2:$AG$1001,0),1)&gt;=100000,INDEX($AN$1005:$BO$1005,1,MATCH(COLUMNS($AN$1006:AZ1006),$AN$1006:$BO$1006,0))&gt;=100000), " ",IF(INDEX($AN$2:$BO$1001,MATCH(ROWS($AG$2:AG727),$AG$2:$AG$1001,0),MATCH(COLUMNS($AN$1006:AZ1006),$AN$1006:$BO$1006,0)), HYPERLINK("#",""), HYPERLINK(CONCATENATE("#Metadata!", ADDRESS(INDEX($AI$2:$AI$1001,MATCH(ROWS($AG$2:AG727),$AG$2:$AG$1001,0),0), INDEX($AN$1004:$BO$1004,1,MATCH(COLUMNS($AN$1006:AZ1006),$AN$1006:$BO$1006,0)))),"Fix")))</f>
        <v>0</v>
      </c>
      <c r="O727" s="4">
        <f>IF(OR(INDEX($AH$2:$AH$1001,MATCH(ROWS($AG$2:AG727),$AG$2:$AG$1001,0),1)&gt;=100000,INDEX($AN$1005:$BO$1005,1,MATCH(COLUMNS($AN$1006:BA1006),$AN$1006:$BO$1006,0))&gt;=100000), " ",IF(INDEX($AN$2:$BO$1001,MATCH(ROWS($AG$2:AG727),$AG$2:$AG$1001,0),MATCH(COLUMNS($AN$1006:BA1006),$AN$1006:$BO$1006,0)), HYPERLINK("#",""), HYPERLINK(CONCATENATE("#Metadata!", ADDRESS(INDEX($AI$2:$AI$1001,MATCH(ROWS($AG$2:AG727),$AG$2:$AG$1001,0),0), INDEX($AN$1004:$BO$1004,1,MATCH(COLUMNS($AN$1006:BA1006),$AN$1006:$BO$1006,0)))),"Fix")))</f>
        <v>0</v>
      </c>
      <c r="P727" s="4">
        <f>IF(OR(INDEX($AH$2:$AH$1001,MATCH(ROWS($AG$2:AG727),$AG$2:$AG$1001,0),1)&gt;=100000,INDEX($AN$1005:$BO$1005,1,MATCH(COLUMNS($AN$1006:BB1006),$AN$1006:$BO$1006,0))&gt;=100000), " ",IF(INDEX($AN$2:$BO$1001,MATCH(ROWS($AG$2:AG727),$AG$2:$AG$1001,0),MATCH(COLUMNS($AN$1006:BB1006),$AN$1006:$BO$1006,0)), HYPERLINK("#",""), HYPERLINK(CONCATENATE("#Metadata!", ADDRESS(INDEX($AI$2:$AI$1001,MATCH(ROWS($AG$2:AG727),$AG$2:$AG$1001,0),0), INDEX($AN$1004:$BO$1004,1,MATCH(COLUMNS($AN$1006:BB1006),$AN$1006:$BO$1006,0)))),"Fix")))</f>
        <v>0</v>
      </c>
      <c r="Q727" s="4">
        <f>IF(OR(INDEX($AH$2:$AH$1001,MATCH(ROWS($AG$2:AG727),$AG$2:$AG$1001,0),1)&gt;=100000,INDEX($AN$1005:$BO$1005,1,MATCH(COLUMNS($AN$1006:BC1006),$AN$1006:$BO$1006,0))&gt;=100000), " ",IF(INDEX($AN$2:$BO$1001,MATCH(ROWS($AG$2:AG727),$AG$2:$AG$1001,0),MATCH(COLUMNS($AN$1006:BC1006),$AN$1006:$BO$1006,0)), HYPERLINK("#",""), HYPERLINK(CONCATENATE("#Metadata!", ADDRESS(INDEX($AI$2:$AI$1001,MATCH(ROWS($AG$2:AG727),$AG$2:$AG$1001,0),0), INDEX($AN$1004:$BO$1004,1,MATCH(COLUMNS($AN$1006:BC1006),$AN$1006:$BO$1006,0)))),"Fix")))</f>
        <v>0</v>
      </c>
      <c r="R727" s="4">
        <f>IF(OR(INDEX($AH$2:$AH$1001,MATCH(ROWS($AG$2:AG727),$AG$2:$AG$1001,0),1)&gt;=100000,INDEX($AN$1005:$BO$1005,1,MATCH(COLUMNS($AN$1006:BD1006),$AN$1006:$BO$1006,0))&gt;=100000), " ",IF(INDEX($AN$2:$BO$1001,MATCH(ROWS($AG$2:AG727),$AG$2:$AG$1001,0),MATCH(COLUMNS($AN$1006:BD1006),$AN$1006:$BO$1006,0)), HYPERLINK("#",""), HYPERLINK(CONCATENATE("#Metadata!", ADDRESS(INDEX($AI$2:$AI$1001,MATCH(ROWS($AG$2:AG727),$AG$2:$AG$1001,0),0), INDEX($AN$1004:$BO$1004,1,MATCH(COLUMNS($AN$1006:BD1006),$AN$1006:$BO$1006,0)))),"Fix")))</f>
        <v>0</v>
      </c>
      <c r="S727" s="4">
        <f>IF(OR(INDEX($AH$2:$AH$1001,MATCH(ROWS($AG$2:AG727),$AG$2:$AG$1001,0),1)&gt;=100000,INDEX($AN$1005:$BO$1005,1,MATCH(COLUMNS($AN$1006:BE1006),$AN$1006:$BO$1006,0))&gt;=100000), " ",IF(INDEX($AN$2:$BO$1001,MATCH(ROWS($AG$2:AG727),$AG$2:$AG$1001,0),MATCH(COLUMNS($AN$1006:BE1006),$AN$1006:$BO$1006,0)), HYPERLINK("#",""), HYPERLINK(CONCATENATE("#Metadata!", ADDRESS(INDEX($AI$2:$AI$1001,MATCH(ROWS($AG$2:AG727),$AG$2:$AG$1001,0),0), INDEX($AN$1004:$BO$1004,1,MATCH(COLUMNS($AN$1006:BE1006),$AN$1006:$BO$1006,0)))),"Fix")))</f>
        <v>0</v>
      </c>
      <c r="T727" s="4">
        <f>IF(OR(INDEX($AH$2:$AH$1001,MATCH(ROWS($AG$2:AG727),$AG$2:$AG$1001,0),1)&gt;=100000,INDEX($AN$1005:$BO$1005,1,MATCH(COLUMNS($AN$1006:BF1006),$AN$1006:$BO$1006,0))&gt;=100000), " ",IF(INDEX($AN$2:$BO$1001,MATCH(ROWS($AG$2:AG727),$AG$2:$AG$1001,0),MATCH(COLUMNS($AN$1006:BF1006),$AN$1006:$BO$1006,0)), HYPERLINK("#",""), HYPERLINK(CONCATENATE("#Metadata!", ADDRESS(INDEX($AI$2:$AI$1001,MATCH(ROWS($AG$2:AG727),$AG$2:$AG$1001,0),0), INDEX($AN$1004:$BO$1004,1,MATCH(COLUMNS($AN$1006:BF1006),$AN$1006:$BO$1006,0)))),"Fix")))</f>
        <v>0</v>
      </c>
      <c r="U727" s="4">
        <f>IF(OR(INDEX($AH$2:$AH$1001,MATCH(ROWS($AG$2:AG727),$AG$2:$AG$1001,0),1)&gt;=100000,INDEX($AN$1005:$BO$1005,1,MATCH(COLUMNS($AN$1006:BG1006),$AN$1006:$BO$1006,0))&gt;=100000), " ",IF(INDEX($AN$2:$BO$1001,MATCH(ROWS($AG$2:AG727),$AG$2:$AG$1001,0),MATCH(COLUMNS($AN$1006:BG1006),$AN$1006:$BO$1006,0)), HYPERLINK("#",""), HYPERLINK(CONCATENATE("#Metadata!", ADDRESS(INDEX($AI$2:$AI$1001,MATCH(ROWS($AG$2:AG727),$AG$2:$AG$1001,0),0), INDEX($AN$1004:$BO$1004,1,MATCH(COLUMNS($AN$1006:BG1006),$AN$1006:$BO$1006,0)))),"Fix")))</f>
        <v>0</v>
      </c>
      <c r="V727" s="4">
        <f>IF(OR(INDEX($AH$2:$AH$1001,MATCH(ROWS($AG$2:AG727),$AG$2:$AG$1001,0),1)&gt;=100000,INDEX($AN$1005:$BO$1005,1,MATCH(COLUMNS($AN$1006:BH1006),$AN$1006:$BO$1006,0))&gt;=100000), " ",IF(INDEX($AN$2:$BO$1001,MATCH(ROWS($AG$2:AG727),$AG$2:$AG$1001,0),MATCH(COLUMNS($AN$1006:BH1006),$AN$1006:$BO$1006,0)), HYPERLINK("#",""), HYPERLINK(CONCATENATE("#Metadata!", ADDRESS(INDEX($AI$2:$AI$1001,MATCH(ROWS($AG$2:AG727),$AG$2:$AG$1001,0),0), INDEX($AN$1004:$BO$1004,1,MATCH(COLUMNS($AN$1006:BH1006),$AN$1006:$BO$1006,0)))),"Fix")))</f>
        <v>0</v>
      </c>
      <c r="W727" s="4">
        <f>IF(OR(INDEX($AH$2:$AH$1001,MATCH(ROWS($AG$2:AG727),$AG$2:$AG$1001,0),1)&gt;=100000,INDEX($AN$1005:$BO$1005,1,MATCH(COLUMNS($AN$1006:BI1006),$AN$1006:$BO$1006,0))&gt;=100000), " ",IF(INDEX($AN$2:$BO$1001,MATCH(ROWS($AG$2:AG727),$AG$2:$AG$1001,0),MATCH(COLUMNS($AN$1006:BI1006),$AN$1006:$BO$1006,0)), HYPERLINK("#",""), HYPERLINK(CONCATENATE("#Metadata!", ADDRESS(INDEX($AI$2:$AI$1001,MATCH(ROWS($AG$2:AG727),$AG$2:$AG$1001,0),0), INDEX($AN$1004:$BO$1004,1,MATCH(COLUMNS($AN$1006:BI1006),$AN$1006:$BO$1006,0)))),"Fix")))</f>
        <v>0</v>
      </c>
      <c r="X727" s="4">
        <f>IF(OR(INDEX($AH$2:$AH$1001,MATCH(ROWS($AG$2:AG727),$AG$2:$AG$1001,0),1)&gt;=100000,INDEX($AN$1005:$BO$1005,1,MATCH(COLUMNS($AN$1006:BJ1006),$AN$1006:$BO$1006,0))&gt;=100000), " ",IF(INDEX($AN$2:$BO$1001,MATCH(ROWS($AG$2:AG727),$AG$2:$AG$1001,0),MATCH(COLUMNS($AN$1006:BJ1006),$AN$1006:$BO$1006,0)), HYPERLINK("#",""), HYPERLINK(CONCATENATE("#Metadata!", ADDRESS(INDEX($AI$2:$AI$1001,MATCH(ROWS($AG$2:AG727),$AG$2:$AG$1001,0),0), INDEX($AN$1004:$BO$1004,1,MATCH(COLUMNS($AN$1006:BJ1006),$AN$1006:$BO$1006,0)))),"Fix")))</f>
        <v>0</v>
      </c>
      <c r="Y727" s="4">
        <f>IF(OR(INDEX($AH$2:$AH$1001,MATCH(ROWS($AG$2:AG727),$AG$2:$AG$1001,0),1)&gt;=100000,INDEX($AN$1005:$BO$1005,1,MATCH(COLUMNS($AN$1006:BK1006),$AN$1006:$BO$1006,0))&gt;=100000), " ",IF(INDEX($AN$2:$BO$1001,MATCH(ROWS($AG$2:AG727),$AG$2:$AG$1001,0),MATCH(COLUMNS($AN$1006:BK1006),$AN$1006:$BO$1006,0)), HYPERLINK("#",""), HYPERLINK(CONCATENATE("#Metadata!", ADDRESS(INDEX($AI$2:$AI$1001,MATCH(ROWS($AG$2:AG727),$AG$2:$AG$1001,0),0), INDEX($AN$1004:$BO$1004,1,MATCH(COLUMNS($AN$1006:BK1006),$AN$1006:$BO$1006,0)))),"Fix")))</f>
        <v>0</v>
      </c>
      <c r="Z727" s="4">
        <f>IF(OR(INDEX($AH$2:$AH$1001,MATCH(ROWS($AG$2:AG727),$AG$2:$AG$1001,0),1)&gt;=100000,INDEX($AN$1005:$BO$1005,1,MATCH(COLUMNS($AN$1006:BL1006),$AN$1006:$BO$1006,0))&gt;=100000), " ",IF(INDEX($AN$2:$BO$1001,MATCH(ROWS($AG$2:AG727),$AG$2:$AG$1001,0),MATCH(COLUMNS($AN$1006:BL1006),$AN$1006:$BO$1006,0)), HYPERLINK("#",""), HYPERLINK(CONCATENATE("#Metadata!", ADDRESS(INDEX($AI$2:$AI$1001,MATCH(ROWS($AG$2:AG727),$AG$2:$AG$1001,0),0), INDEX($AN$1004:$BO$1004,1,MATCH(COLUMNS($AN$1006:BL1006),$AN$1006:$BO$1006,0)))),"Fix")))</f>
        <v>0</v>
      </c>
      <c r="AA727" s="4">
        <f>IF(OR(INDEX($AH$2:$AH$1001,MATCH(ROWS($AG$2:AG727),$AG$2:$AG$1001,0),1)&gt;=100000,INDEX($AN$1005:$BO$1005,1,MATCH(COLUMNS($AN$1006:BM1006),$AN$1006:$BO$1006,0))&gt;=100000), " ",IF(INDEX($AN$2:$BO$1001,MATCH(ROWS($AG$2:AG727),$AG$2:$AG$1001,0),MATCH(COLUMNS($AN$1006:BM1006),$AN$1006:$BO$1006,0)), HYPERLINK("#",""), HYPERLINK(CONCATENATE("#Metadata!", ADDRESS(INDEX($AI$2:$AI$1001,MATCH(ROWS($AG$2:AG727),$AG$2:$AG$1001,0),0), INDEX($AN$1004:$BO$1004,1,MATCH(COLUMNS($AN$1006:BM1006),$AN$1006:$BO$1006,0)))),"Fix")))</f>
        <v>0</v>
      </c>
      <c r="AB727" s="4">
        <f>IF(OR(INDEX($AH$2:$AH$1001,MATCH(ROWS($AG$2:AG727),$AG$2:$AG$1001,0),1)&gt;=100000,INDEX($AN$1005:$BO$1005,1,MATCH(COLUMNS($AN$1006:BN1006),$AN$1006:$BO$1006,0))&gt;=100000), " ",IF(INDEX($AN$2:$BO$1001,MATCH(ROWS($AG$2:AG727),$AG$2:$AG$1001,0),MATCH(COLUMNS($AN$1006:BN1006),$AN$1006:$BO$1006,0)), HYPERLINK("#",""), HYPERLINK(CONCATENATE("#Metadata!", ADDRESS(INDEX($AI$2:$AI$1001,MATCH(ROWS($AG$2:AG727),$AG$2:$AG$1001,0),0), INDEX($AN$1004:$BO$1004,1,MATCH(COLUMNS($AN$1006:BN1006),$AN$1006:$BO$1006,0)))),"Fix")))</f>
        <v>0</v>
      </c>
      <c r="AC727" s="4">
        <f>IF(OR(INDEX($AH$2:$AH$1001,MATCH(ROWS($AG$2:AG727),$AG$2:$AG$1001,0),1)&gt;=100000,INDEX($AN$1005:$BO$1005,1,MATCH(COLUMNS($AN$1006:BO1006),$AN$1006:$BO$1006,0))&gt;=100000), " ",IF(INDEX($AN$2:$BO$1001,MATCH(ROWS($AG$2:AG727),$AG$2:$AG$1001,0),MATCH(COLUMNS($AN$1006:BO1006),$AN$1006:$BO$1006,0)), HYPERLINK("#",""), HYPERLINK(CONCATENATE("#Metadata!", ADDRESS(INDEX($AI$2:$AI$1001,MATCH(ROWS($AG$2:AG727),$AG$2:$AG$1001,0),0), INDEX($AN$1004:$BO$1004,1,MATCH(COLUMNS($AN$1006:BO1006),$AN$1006:$BO$1006,0)))),"Fix")))</f>
        <v>0</v>
      </c>
      <c r="AG727">
        <v>0</v>
      </c>
      <c r="AH727">
        <v>0</v>
      </c>
      <c r="AI727">
        <v>0</v>
      </c>
      <c r="AJ727">
        <f>IF(AK727,TRUE,AND(AN727:BO727))</f>
        <v>0</v>
      </c>
      <c r="AK727">
        <f>COUNTBLANK(Metadata!B727:AC727)=COLUMNS(Metadata!B727:AC727)</f>
        <v>0</v>
      </c>
      <c r="AL727">
        <v>0</v>
      </c>
      <c r="AN727">
        <f>AND(IF(Metadata!B727="",FALSE,TRUE),COUNTIF(Metadata!B:B, Metadata!B727) = 1,NOT(ISERROR(SUMPRODUCT(SEARCH(MID(Metadata!B727,ROW(INDIRECT("1:"&amp;LEN(Metadata!B727))), 1),"0123456789abcdefghijklmnopqrstuvwxyzABCDEFGHIJKLMNOPQRSTUVWXYZ.")))))</f>
        <v>0</v>
      </c>
      <c r="AO727">
        <f>IF(Metadata!C727="",FALSE,TRUE)</f>
        <v>0</v>
      </c>
      <c r="AP727">
        <f>IF(Metadata!D727="",FALSE,TRUE)</f>
        <v>0</v>
      </c>
      <c r="AQ727">
        <f>OR(AND(IF(Metadata!E727="",FALSE,TRUE),OR(exact(Metadata!E727,"not collected"),exact(Metadata!E727,"not provided"),exact(Metadata!E727,"restricted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R727">
        <f>IF(Metadata!F727="",FALSE,TRUE)</f>
        <v>0</v>
      </c>
      <c r="AS727">
        <f>OR(AND(IF(Metadata!G727="",FALSE,TRUE),OR(exact(Metadata!G727,"not collected"),exact(Metadata!G727,"not provided"))),AND(IF(Metadata!G727="",FALSE,TRUE),OR(exact(Metadata!G727,"TRUE"),exact(Metadata!G727,"FALSE"))))</f>
        <v>0</v>
      </c>
      <c r="AT727">
        <f>OR(AND(IF(Metadata!H727="",FALSE,TRUE),OR(exact(Metadata!H727,"not collected"),exact(Metadata!H727,"not provided"),exact(Metadata!H727,"restricted access"))),AND(IF(Metadata!H727="",FALSE,ISNUMBER(VALUE(Metadata!H727))),Metadata!H727&gt;=-413.0))</f>
        <v>0</v>
      </c>
      <c r="AU727">
        <f>AND(IF(Metadata!I727="",FALSE,TRUE),exact(Metadata!I727,"meters"))</f>
        <v>0</v>
      </c>
      <c r="AV727">
        <f>AND(IF(Metadata!J727="",FALSE,TRUE),OR(exact(Metadata!J727,"Host-associated"),exact(Metadata!J727,"Free-living")))</f>
        <v>0</v>
      </c>
      <c r="AW727">
        <f>AND(IF(Metadata!K727="",FALSE,TRUE),OR(exact(Metadata!K727,"Animal"),exact(Metadata!K727,"Fungus"),exact(Metadata!K727,"Plant"),exact(Metadata!K727,"Saline"),exact(Metadata!K727,"Non-saline")))</f>
        <v>0</v>
      </c>
      <c r="AX727">
        <f>AND(IF(Metadata!L727="",FALSE,TRUE),OR(exact(Metadata!L727,"Plant secretion"),exact(Metadata!L727,"Plant rhizosphere"),exact(Metadata!L727,"Plant surface"),exact(Metadata!L727,"Plant corpus"),exact(Metadata!L727,"Fungus surface"),exact(Metadata!L727,"Fungus corpus"),exact(Metadata!L727,"Animal surface"),exact(Metadata!L727,"Animal proximal gut"),exact(Metadata!L727,"Animal corpus"),exact(Metadata!L727,"Animal distal gut"),exact(Metadata!L727,"Animal secretion"),exact(Metadata!L727,"Sub-surface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Y727">
        <f>IF(Metadata!M727="",FALSE,TRUE)</f>
        <v>0</v>
      </c>
      <c r="AZ727">
        <f>IF(Metadata!N727="",FALSE,TRUE)</f>
        <v>0</v>
      </c>
      <c r="BA727">
        <f>IF(Metadata!O727="",FALSE,TRUE)</f>
        <v>0</v>
      </c>
      <c r="BB727">
        <f>OR(AND(IF(Metadata!P727="",FALSE,TRUE),OR(exact(Metadata!P727,"not collected"),exact(Metadata!P727,"not provided"),exact(Metadata!P727,"restricted access"))),AND(IF(Metadata!P727="",FALSE,TRUE),OR(exact(Metadata!P727,"air"),exact(Metadata!P727,"built environment"),exact(Metadata!P727,"host-associated"),exact(Metadata!P727,"human-associated"),exact(Metadata!P727,"human-skin"),exact(Metadata!P727,"human-oral"),exact(Metadata!P727,"human-gut"),exact(Metadata!P727,"human-vaginal"),exact(Metadata!P727,"microbial mat/biofilm"),exact(Metadata!P727,"misc environment"),exact(Metadata!P727,"plant-associated"),exact(Metadata!P727,"sediment"),exact(Metadata!P727,"soil"),exact(Metadata!P727,"wastewater/sludge"),exact(Metadata!P727,"water"))))</f>
        <v>0</v>
      </c>
      <c r="BC727">
        <f>IF(Metadata!Q727="",FALSE,TRUE)</f>
        <v>0</v>
      </c>
      <c r="BD727">
        <f>IF(Metadata!R727="",FALSE,TRUE)</f>
        <v>0</v>
      </c>
      <c r="BE727">
        <f>OR(AND(IF(Metadata!S727="",FALSE,TRUE),OR(exact(Metadata!S727,"not collected"),exact(Metadata!S727,"not provided"),exact(Metadata!S727,"restricted access"))),AND(IF(Metadata!S727="",FALSE,ISNUMBER(VALUE(Metadata!S727))),Metadata!S727&gt;=-90.00,Metadata!S727&lt;=90.00))</f>
        <v>0</v>
      </c>
      <c r="BF727">
        <f>AND(IF(Metadata!T727="",FALSE,TRUE),exact(Metadata!T727,"Decimal degrees"))</f>
        <v>0</v>
      </c>
      <c r="BG727">
        <f>OR(AND(IF(Metadata!U727="",FALSE,TRUE),OR(exact(Metadata!U727,"not collected"),exact(Metadata!U727,"not provided"),exact(Metadata!U727,"restricted access"))),AND(IF(Metadata!U727="",FALSE,ISNUMBER(VALUE(Metadata!U727))),Metadata!U727&gt;=-180.00,Metadata!U727&lt;=180.00))</f>
        <v>0</v>
      </c>
      <c r="BH727">
        <f>AND(IF(Metadata!V727="",FALSE,TRUE),exact(Metadata!V727,"Decimal degrees"))</f>
        <v>0</v>
      </c>
      <c r="BI727">
        <f>IF(Metadata!W727="",FALSE,TRUE)</f>
        <v>0</v>
      </c>
      <c r="BJ727">
        <f>OR(AND(IF(Metadata!X727="",FALSE,TRUE),OR(exact(Metadata!X727,"not collected"),exact(Metadata!X727,"not provided"),exact(Metadata!X727,"restricted access"))),AND(IF(Metadata!X727="",FALSE,TRUE),OR(exact(Metadata!X727,"TRUE"),exact(Metadata!X727,"FALSE"))))</f>
        <v>0</v>
      </c>
      <c r="BK727">
        <f>AND(IF(Metadata!Y727="",FALSE,TRUE),exact(Metadata!Y727,"other"))</f>
        <v>0</v>
      </c>
      <c r="BL727">
        <f>IF(Metadata!Z727="",FALSE,TRUE)</f>
        <v>0</v>
      </c>
      <c r="BM727">
        <f>OR(AND(IF(Metadata!AA727="",FALSE,TRUE),OR(exact(Metadata!AA727,"not collected"),exact(Metadata!AA727,"not provided"))),AND(IF(Metadata!AA727="",FALSE,IF(ISERROR(INT(Metadata!AA727)),FALSE,INT(Metadata!AA727)=Metadata!AA727)),Metadata!AA727&gt;0))</f>
        <v>0</v>
      </c>
      <c r="BN727">
        <f>AND(IF(Metadata!AB727="",FALSE,TRUE),exact(Metadata!AB727,"Not applicable"))</f>
        <v>0</v>
      </c>
      <c r="BO727">
        <f>IF(Metadata!AC727="",FALSE,TRUE)</f>
        <v>0</v>
      </c>
    </row>
    <row r="728" spans="1:67">
      <c r="A728" s="5">
        <f>IF(B728=" "," ",HYPERLINK(CONCATENATE("#metadata!",ADDRESS(INDEX($AI$2:$AI$1001,MATCH(ROWS($AG$2:AG728),$AG$2:$AG$1001,0),0),1)),INDEX($AL$2:$AL$1001,MATCH(ROWS($AG$2:AG728),$AG$2:$AG$1001,0),0)))</f>
        <v>0</v>
      </c>
      <c r="B728" s="4">
        <f>IF(OR(INDEX($AH$2:$AH$1001,MATCH(ROWS($AG$2:AG728),$AG$2:$AG$1001,0),1)&gt;=100000,INDEX($AN$1005:$BO$1005,1,MATCH(COLUMNS($AN$1006:AN1006),$AN$1006:$BO$1006,0))&gt;=100000), " ",IF(INDEX($AN$2:$BO$1001,MATCH(ROWS($AG$2:AG728),$AG$2:$AG$1001,0),MATCH(COLUMNS($AN$1006:AN1006),$AN$1006:$BO$1006,0)), HYPERLINK("#",""), HYPERLINK(CONCATENATE("#Metadata!", ADDRESS(INDEX($AI$2:$AI$1001,MATCH(ROWS($AG$2:AG728),$AG$2:$AG$1001,0),0), INDEX($AN$1004:$BO$1004,1,MATCH(COLUMNS($AN$1006:AN1006),$AN$1006:$BO$1006,0)))),"Fix")))</f>
        <v>0</v>
      </c>
      <c r="C728" s="4">
        <f>IF(OR(INDEX($AH$2:$AH$1001,MATCH(ROWS($AG$2:AG728),$AG$2:$AG$1001,0),1)&gt;=100000,INDEX($AN$1005:$BO$1005,1,MATCH(COLUMNS($AN$1006:AO1006),$AN$1006:$BO$1006,0))&gt;=100000), " ",IF(INDEX($AN$2:$BO$1001,MATCH(ROWS($AG$2:AG728),$AG$2:$AG$1001,0),MATCH(COLUMNS($AN$1006:AO1006),$AN$1006:$BO$1006,0)), HYPERLINK("#",""), HYPERLINK(CONCATENATE("#Metadata!", ADDRESS(INDEX($AI$2:$AI$1001,MATCH(ROWS($AG$2:AG728),$AG$2:$AG$1001,0),0), INDEX($AN$1004:$BO$1004,1,MATCH(COLUMNS($AN$1006:AO1006),$AN$1006:$BO$1006,0)))),"Fix")))</f>
        <v>0</v>
      </c>
      <c r="D728" s="4">
        <f>IF(OR(INDEX($AH$2:$AH$1001,MATCH(ROWS($AG$2:AG728),$AG$2:$AG$1001,0),1)&gt;=100000,INDEX($AN$1005:$BO$1005,1,MATCH(COLUMNS($AN$1006:AP1006),$AN$1006:$BO$1006,0))&gt;=100000), " ",IF(INDEX($AN$2:$BO$1001,MATCH(ROWS($AG$2:AG728),$AG$2:$AG$1001,0),MATCH(COLUMNS($AN$1006:AP1006),$AN$1006:$BO$1006,0)), HYPERLINK("#",""), HYPERLINK(CONCATENATE("#Metadata!", ADDRESS(INDEX($AI$2:$AI$1001,MATCH(ROWS($AG$2:AG728),$AG$2:$AG$1001,0),0), INDEX($AN$1004:$BO$1004,1,MATCH(COLUMNS($AN$1006:AP1006),$AN$1006:$BO$1006,0)))),"Fix")))</f>
        <v>0</v>
      </c>
      <c r="E728" s="4">
        <f>IF(OR(INDEX($AH$2:$AH$1001,MATCH(ROWS($AG$2:AG728),$AG$2:$AG$1001,0),1)&gt;=100000,INDEX($AN$1005:$BO$1005,1,MATCH(COLUMNS($AN$1006:AQ1006),$AN$1006:$BO$1006,0))&gt;=100000), " ",IF(INDEX($AN$2:$BO$1001,MATCH(ROWS($AG$2:AG728),$AG$2:$AG$1001,0),MATCH(COLUMNS($AN$1006:AQ1006),$AN$1006:$BO$1006,0)), HYPERLINK("#",""), HYPERLINK(CONCATENATE("#Metadata!", ADDRESS(INDEX($AI$2:$AI$1001,MATCH(ROWS($AG$2:AG728),$AG$2:$AG$1001,0),0), INDEX($AN$1004:$BO$1004,1,MATCH(COLUMNS($AN$1006:AQ1006),$AN$1006:$BO$1006,0)))),"Fix")))</f>
        <v>0</v>
      </c>
      <c r="F728" s="4">
        <f>IF(OR(INDEX($AH$2:$AH$1001,MATCH(ROWS($AG$2:AG728),$AG$2:$AG$1001,0),1)&gt;=100000,INDEX($AN$1005:$BO$1005,1,MATCH(COLUMNS($AN$1006:AR1006),$AN$1006:$BO$1006,0))&gt;=100000), " ",IF(INDEX($AN$2:$BO$1001,MATCH(ROWS($AG$2:AG728),$AG$2:$AG$1001,0),MATCH(COLUMNS($AN$1006:AR1006),$AN$1006:$BO$1006,0)), HYPERLINK("#",""), HYPERLINK(CONCATENATE("#Metadata!", ADDRESS(INDEX($AI$2:$AI$1001,MATCH(ROWS($AG$2:AG728),$AG$2:$AG$1001,0),0), INDEX($AN$1004:$BO$1004,1,MATCH(COLUMNS($AN$1006:AR1006),$AN$1006:$BO$1006,0)))),"Fix")))</f>
        <v>0</v>
      </c>
      <c r="G728" s="4">
        <f>IF(OR(INDEX($AH$2:$AH$1001,MATCH(ROWS($AG$2:AG728),$AG$2:$AG$1001,0),1)&gt;=100000,INDEX($AN$1005:$BO$1005,1,MATCH(COLUMNS($AN$1006:AS1006),$AN$1006:$BO$1006,0))&gt;=100000), " ",IF(INDEX($AN$2:$BO$1001,MATCH(ROWS($AG$2:AG728),$AG$2:$AG$1001,0),MATCH(COLUMNS($AN$1006:AS1006),$AN$1006:$BO$1006,0)), HYPERLINK("#",""), HYPERLINK(CONCATENATE("#Metadata!", ADDRESS(INDEX($AI$2:$AI$1001,MATCH(ROWS($AG$2:AG728),$AG$2:$AG$1001,0),0), INDEX($AN$1004:$BO$1004,1,MATCH(COLUMNS($AN$1006:AS1006),$AN$1006:$BO$1006,0)))),"Fix")))</f>
        <v>0</v>
      </c>
      <c r="H728" s="4">
        <f>IF(OR(INDEX($AH$2:$AH$1001,MATCH(ROWS($AG$2:AG728),$AG$2:$AG$1001,0),1)&gt;=100000,INDEX($AN$1005:$BO$1005,1,MATCH(COLUMNS($AN$1006:AT1006),$AN$1006:$BO$1006,0))&gt;=100000), " ",IF(INDEX($AN$2:$BO$1001,MATCH(ROWS($AG$2:AG728),$AG$2:$AG$1001,0),MATCH(COLUMNS($AN$1006:AT1006),$AN$1006:$BO$1006,0)), HYPERLINK("#",""), HYPERLINK(CONCATENATE("#Metadata!", ADDRESS(INDEX($AI$2:$AI$1001,MATCH(ROWS($AG$2:AG728),$AG$2:$AG$1001,0),0), INDEX($AN$1004:$BO$1004,1,MATCH(COLUMNS($AN$1006:AT1006),$AN$1006:$BO$1006,0)))),"Fix")))</f>
        <v>0</v>
      </c>
      <c r="I728" s="4">
        <f>IF(OR(INDEX($AH$2:$AH$1001,MATCH(ROWS($AG$2:AG728),$AG$2:$AG$1001,0),1)&gt;=100000,INDEX($AN$1005:$BO$1005,1,MATCH(COLUMNS($AN$1006:AU1006),$AN$1006:$BO$1006,0))&gt;=100000), " ",IF(INDEX($AN$2:$BO$1001,MATCH(ROWS($AG$2:AG728),$AG$2:$AG$1001,0),MATCH(COLUMNS($AN$1006:AU1006),$AN$1006:$BO$1006,0)), HYPERLINK("#",""), HYPERLINK(CONCATENATE("#Metadata!", ADDRESS(INDEX($AI$2:$AI$1001,MATCH(ROWS($AG$2:AG728),$AG$2:$AG$1001,0),0), INDEX($AN$1004:$BO$1004,1,MATCH(COLUMNS($AN$1006:AU1006),$AN$1006:$BO$1006,0)))),"Fix")))</f>
        <v>0</v>
      </c>
      <c r="J728" s="4">
        <f>IF(OR(INDEX($AH$2:$AH$1001,MATCH(ROWS($AG$2:AG728),$AG$2:$AG$1001,0),1)&gt;=100000,INDEX($AN$1005:$BO$1005,1,MATCH(COLUMNS($AN$1006:AV1006),$AN$1006:$BO$1006,0))&gt;=100000), " ",IF(INDEX($AN$2:$BO$1001,MATCH(ROWS($AG$2:AG728),$AG$2:$AG$1001,0),MATCH(COLUMNS($AN$1006:AV1006),$AN$1006:$BO$1006,0)), HYPERLINK("#",""), HYPERLINK(CONCATENATE("#Metadata!", ADDRESS(INDEX($AI$2:$AI$1001,MATCH(ROWS($AG$2:AG728),$AG$2:$AG$1001,0),0), INDEX($AN$1004:$BO$1004,1,MATCH(COLUMNS($AN$1006:AV1006),$AN$1006:$BO$1006,0)))),"Fix")))</f>
        <v>0</v>
      </c>
      <c r="K728" s="4">
        <f>IF(OR(INDEX($AH$2:$AH$1001,MATCH(ROWS($AG$2:AG728),$AG$2:$AG$1001,0),1)&gt;=100000,INDEX($AN$1005:$BO$1005,1,MATCH(COLUMNS($AN$1006:AW1006),$AN$1006:$BO$1006,0))&gt;=100000), " ",IF(INDEX($AN$2:$BO$1001,MATCH(ROWS($AG$2:AG728),$AG$2:$AG$1001,0),MATCH(COLUMNS($AN$1006:AW1006),$AN$1006:$BO$1006,0)), HYPERLINK("#",""), HYPERLINK(CONCATENATE("#Metadata!", ADDRESS(INDEX($AI$2:$AI$1001,MATCH(ROWS($AG$2:AG728),$AG$2:$AG$1001,0),0), INDEX($AN$1004:$BO$1004,1,MATCH(COLUMNS($AN$1006:AW1006),$AN$1006:$BO$1006,0)))),"Fix")))</f>
        <v>0</v>
      </c>
      <c r="L728" s="4">
        <f>IF(OR(INDEX($AH$2:$AH$1001,MATCH(ROWS($AG$2:AG728),$AG$2:$AG$1001,0),1)&gt;=100000,INDEX($AN$1005:$BO$1005,1,MATCH(COLUMNS($AN$1006:AX1006),$AN$1006:$BO$1006,0))&gt;=100000), " ",IF(INDEX($AN$2:$BO$1001,MATCH(ROWS($AG$2:AG728),$AG$2:$AG$1001,0),MATCH(COLUMNS($AN$1006:AX1006),$AN$1006:$BO$1006,0)), HYPERLINK("#",""), HYPERLINK(CONCATENATE("#Metadata!", ADDRESS(INDEX($AI$2:$AI$1001,MATCH(ROWS($AG$2:AG728),$AG$2:$AG$1001,0),0), INDEX($AN$1004:$BO$1004,1,MATCH(COLUMNS($AN$1006:AX1006),$AN$1006:$BO$1006,0)))),"Fix")))</f>
        <v>0</v>
      </c>
      <c r="M728" s="4">
        <f>IF(OR(INDEX($AH$2:$AH$1001,MATCH(ROWS($AG$2:AG728),$AG$2:$AG$1001,0),1)&gt;=100000,INDEX($AN$1005:$BO$1005,1,MATCH(COLUMNS($AN$1006:AY1006),$AN$1006:$BO$1006,0))&gt;=100000), " ",IF(INDEX($AN$2:$BO$1001,MATCH(ROWS($AG$2:AG728),$AG$2:$AG$1001,0),MATCH(COLUMNS($AN$1006:AY1006),$AN$1006:$BO$1006,0)), HYPERLINK("#",""), HYPERLINK(CONCATENATE("#Metadata!", ADDRESS(INDEX($AI$2:$AI$1001,MATCH(ROWS($AG$2:AG728),$AG$2:$AG$1001,0),0), INDEX($AN$1004:$BO$1004,1,MATCH(COLUMNS($AN$1006:AY1006),$AN$1006:$BO$1006,0)))),"Fix")))</f>
        <v>0</v>
      </c>
      <c r="N728" s="4">
        <f>IF(OR(INDEX($AH$2:$AH$1001,MATCH(ROWS($AG$2:AG728),$AG$2:$AG$1001,0),1)&gt;=100000,INDEX($AN$1005:$BO$1005,1,MATCH(COLUMNS($AN$1006:AZ1006),$AN$1006:$BO$1006,0))&gt;=100000), " ",IF(INDEX($AN$2:$BO$1001,MATCH(ROWS($AG$2:AG728),$AG$2:$AG$1001,0),MATCH(COLUMNS($AN$1006:AZ1006),$AN$1006:$BO$1006,0)), HYPERLINK("#",""), HYPERLINK(CONCATENATE("#Metadata!", ADDRESS(INDEX($AI$2:$AI$1001,MATCH(ROWS($AG$2:AG728),$AG$2:$AG$1001,0),0), INDEX($AN$1004:$BO$1004,1,MATCH(COLUMNS($AN$1006:AZ1006),$AN$1006:$BO$1006,0)))),"Fix")))</f>
        <v>0</v>
      </c>
      <c r="O728" s="4">
        <f>IF(OR(INDEX($AH$2:$AH$1001,MATCH(ROWS($AG$2:AG728),$AG$2:$AG$1001,0),1)&gt;=100000,INDEX($AN$1005:$BO$1005,1,MATCH(COLUMNS($AN$1006:BA1006),$AN$1006:$BO$1006,0))&gt;=100000), " ",IF(INDEX($AN$2:$BO$1001,MATCH(ROWS($AG$2:AG728),$AG$2:$AG$1001,0),MATCH(COLUMNS($AN$1006:BA1006),$AN$1006:$BO$1006,0)), HYPERLINK("#",""), HYPERLINK(CONCATENATE("#Metadata!", ADDRESS(INDEX($AI$2:$AI$1001,MATCH(ROWS($AG$2:AG728),$AG$2:$AG$1001,0),0), INDEX($AN$1004:$BO$1004,1,MATCH(COLUMNS($AN$1006:BA1006),$AN$1006:$BO$1006,0)))),"Fix")))</f>
        <v>0</v>
      </c>
      <c r="P728" s="4">
        <f>IF(OR(INDEX($AH$2:$AH$1001,MATCH(ROWS($AG$2:AG728),$AG$2:$AG$1001,0),1)&gt;=100000,INDEX($AN$1005:$BO$1005,1,MATCH(COLUMNS($AN$1006:BB1006),$AN$1006:$BO$1006,0))&gt;=100000), " ",IF(INDEX($AN$2:$BO$1001,MATCH(ROWS($AG$2:AG728),$AG$2:$AG$1001,0),MATCH(COLUMNS($AN$1006:BB1006),$AN$1006:$BO$1006,0)), HYPERLINK("#",""), HYPERLINK(CONCATENATE("#Metadata!", ADDRESS(INDEX($AI$2:$AI$1001,MATCH(ROWS($AG$2:AG728),$AG$2:$AG$1001,0),0), INDEX($AN$1004:$BO$1004,1,MATCH(COLUMNS($AN$1006:BB1006),$AN$1006:$BO$1006,0)))),"Fix")))</f>
        <v>0</v>
      </c>
      <c r="Q728" s="4">
        <f>IF(OR(INDEX($AH$2:$AH$1001,MATCH(ROWS($AG$2:AG728),$AG$2:$AG$1001,0),1)&gt;=100000,INDEX($AN$1005:$BO$1005,1,MATCH(COLUMNS($AN$1006:BC1006),$AN$1006:$BO$1006,0))&gt;=100000), " ",IF(INDEX($AN$2:$BO$1001,MATCH(ROWS($AG$2:AG728),$AG$2:$AG$1001,0),MATCH(COLUMNS($AN$1006:BC1006),$AN$1006:$BO$1006,0)), HYPERLINK("#",""), HYPERLINK(CONCATENATE("#Metadata!", ADDRESS(INDEX($AI$2:$AI$1001,MATCH(ROWS($AG$2:AG728),$AG$2:$AG$1001,0),0), INDEX($AN$1004:$BO$1004,1,MATCH(COLUMNS($AN$1006:BC1006),$AN$1006:$BO$1006,0)))),"Fix")))</f>
        <v>0</v>
      </c>
      <c r="R728" s="4">
        <f>IF(OR(INDEX($AH$2:$AH$1001,MATCH(ROWS($AG$2:AG728),$AG$2:$AG$1001,0),1)&gt;=100000,INDEX($AN$1005:$BO$1005,1,MATCH(COLUMNS($AN$1006:BD1006),$AN$1006:$BO$1006,0))&gt;=100000), " ",IF(INDEX($AN$2:$BO$1001,MATCH(ROWS($AG$2:AG728),$AG$2:$AG$1001,0),MATCH(COLUMNS($AN$1006:BD1006),$AN$1006:$BO$1006,0)), HYPERLINK("#",""), HYPERLINK(CONCATENATE("#Metadata!", ADDRESS(INDEX($AI$2:$AI$1001,MATCH(ROWS($AG$2:AG728),$AG$2:$AG$1001,0),0), INDEX($AN$1004:$BO$1004,1,MATCH(COLUMNS($AN$1006:BD1006),$AN$1006:$BO$1006,0)))),"Fix")))</f>
        <v>0</v>
      </c>
      <c r="S728" s="4">
        <f>IF(OR(INDEX($AH$2:$AH$1001,MATCH(ROWS($AG$2:AG728),$AG$2:$AG$1001,0),1)&gt;=100000,INDEX($AN$1005:$BO$1005,1,MATCH(COLUMNS($AN$1006:BE1006),$AN$1006:$BO$1006,0))&gt;=100000), " ",IF(INDEX($AN$2:$BO$1001,MATCH(ROWS($AG$2:AG728),$AG$2:$AG$1001,0),MATCH(COLUMNS($AN$1006:BE1006),$AN$1006:$BO$1006,0)), HYPERLINK("#",""), HYPERLINK(CONCATENATE("#Metadata!", ADDRESS(INDEX($AI$2:$AI$1001,MATCH(ROWS($AG$2:AG728),$AG$2:$AG$1001,0),0), INDEX($AN$1004:$BO$1004,1,MATCH(COLUMNS($AN$1006:BE1006),$AN$1006:$BO$1006,0)))),"Fix")))</f>
        <v>0</v>
      </c>
      <c r="T728" s="4">
        <f>IF(OR(INDEX($AH$2:$AH$1001,MATCH(ROWS($AG$2:AG728),$AG$2:$AG$1001,0),1)&gt;=100000,INDEX($AN$1005:$BO$1005,1,MATCH(COLUMNS($AN$1006:BF1006),$AN$1006:$BO$1006,0))&gt;=100000), " ",IF(INDEX($AN$2:$BO$1001,MATCH(ROWS($AG$2:AG728),$AG$2:$AG$1001,0),MATCH(COLUMNS($AN$1006:BF1006),$AN$1006:$BO$1006,0)), HYPERLINK("#",""), HYPERLINK(CONCATENATE("#Metadata!", ADDRESS(INDEX($AI$2:$AI$1001,MATCH(ROWS($AG$2:AG728),$AG$2:$AG$1001,0),0), INDEX($AN$1004:$BO$1004,1,MATCH(COLUMNS($AN$1006:BF1006),$AN$1006:$BO$1006,0)))),"Fix")))</f>
        <v>0</v>
      </c>
      <c r="U728" s="4">
        <f>IF(OR(INDEX($AH$2:$AH$1001,MATCH(ROWS($AG$2:AG728),$AG$2:$AG$1001,0),1)&gt;=100000,INDEX($AN$1005:$BO$1005,1,MATCH(COLUMNS($AN$1006:BG1006),$AN$1006:$BO$1006,0))&gt;=100000), " ",IF(INDEX($AN$2:$BO$1001,MATCH(ROWS($AG$2:AG728),$AG$2:$AG$1001,0),MATCH(COLUMNS($AN$1006:BG1006),$AN$1006:$BO$1006,0)), HYPERLINK("#",""), HYPERLINK(CONCATENATE("#Metadata!", ADDRESS(INDEX($AI$2:$AI$1001,MATCH(ROWS($AG$2:AG728),$AG$2:$AG$1001,0),0), INDEX($AN$1004:$BO$1004,1,MATCH(COLUMNS($AN$1006:BG1006),$AN$1006:$BO$1006,0)))),"Fix")))</f>
        <v>0</v>
      </c>
      <c r="V728" s="4">
        <f>IF(OR(INDEX($AH$2:$AH$1001,MATCH(ROWS($AG$2:AG728),$AG$2:$AG$1001,0),1)&gt;=100000,INDEX($AN$1005:$BO$1005,1,MATCH(COLUMNS($AN$1006:BH1006),$AN$1006:$BO$1006,0))&gt;=100000), " ",IF(INDEX($AN$2:$BO$1001,MATCH(ROWS($AG$2:AG728),$AG$2:$AG$1001,0),MATCH(COLUMNS($AN$1006:BH1006),$AN$1006:$BO$1006,0)), HYPERLINK("#",""), HYPERLINK(CONCATENATE("#Metadata!", ADDRESS(INDEX($AI$2:$AI$1001,MATCH(ROWS($AG$2:AG728),$AG$2:$AG$1001,0),0), INDEX($AN$1004:$BO$1004,1,MATCH(COLUMNS($AN$1006:BH1006),$AN$1006:$BO$1006,0)))),"Fix")))</f>
        <v>0</v>
      </c>
      <c r="W728" s="4">
        <f>IF(OR(INDEX($AH$2:$AH$1001,MATCH(ROWS($AG$2:AG728),$AG$2:$AG$1001,0),1)&gt;=100000,INDEX($AN$1005:$BO$1005,1,MATCH(COLUMNS($AN$1006:BI1006),$AN$1006:$BO$1006,0))&gt;=100000), " ",IF(INDEX($AN$2:$BO$1001,MATCH(ROWS($AG$2:AG728),$AG$2:$AG$1001,0),MATCH(COLUMNS($AN$1006:BI1006),$AN$1006:$BO$1006,0)), HYPERLINK("#",""), HYPERLINK(CONCATENATE("#Metadata!", ADDRESS(INDEX($AI$2:$AI$1001,MATCH(ROWS($AG$2:AG728),$AG$2:$AG$1001,0),0), INDEX($AN$1004:$BO$1004,1,MATCH(COLUMNS($AN$1006:BI1006),$AN$1006:$BO$1006,0)))),"Fix")))</f>
        <v>0</v>
      </c>
      <c r="X728" s="4">
        <f>IF(OR(INDEX($AH$2:$AH$1001,MATCH(ROWS($AG$2:AG728),$AG$2:$AG$1001,0),1)&gt;=100000,INDEX($AN$1005:$BO$1005,1,MATCH(COLUMNS($AN$1006:BJ1006),$AN$1006:$BO$1006,0))&gt;=100000), " ",IF(INDEX($AN$2:$BO$1001,MATCH(ROWS($AG$2:AG728),$AG$2:$AG$1001,0),MATCH(COLUMNS($AN$1006:BJ1006),$AN$1006:$BO$1006,0)), HYPERLINK("#",""), HYPERLINK(CONCATENATE("#Metadata!", ADDRESS(INDEX($AI$2:$AI$1001,MATCH(ROWS($AG$2:AG728),$AG$2:$AG$1001,0),0), INDEX($AN$1004:$BO$1004,1,MATCH(COLUMNS($AN$1006:BJ1006),$AN$1006:$BO$1006,0)))),"Fix")))</f>
        <v>0</v>
      </c>
      <c r="Y728" s="4">
        <f>IF(OR(INDEX($AH$2:$AH$1001,MATCH(ROWS($AG$2:AG728),$AG$2:$AG$1001,0),1)&gt;=100000,INDEX($AN$1005:$BO$1005,1,MATCH(COLUMNS($AN$1006:BK1006),$AN$1006:$BO$1006,0))&gt;=100000), " ",IF(INDEX($AN$2:$BO$1001,MATCH(ROWS($AG$2:AG728),$AG$2:$AG$1001,0),MATCH(COLUMNS($AN$1006:BK1006),$AN$1006:$BO$1006,0)), HYPERLINK("#",""), HYPERLINK(CONCATENATE("#Metadata!", ADDRESS(INDEX($AI$2:$AI$1001,MATCH(ROWS($AG$2:AG728),$AG$2:$AG$1001,0),0), INDEX($AN$1004:$BO$1004,1,MATCH(COLUMNS($AN$1006:BK1006),$AN$1006:$BO$1006,0)))),"Fix")))</f>
        <v>0</v>
      </c>
      <c r="Z728" s="4">
        <f>IF(OR(INDEX($AH$2:$AH$1001,MATCH(ROWS($AG$2:AG728),$AG$2:$AG$1001,0),1)&gt;=100000,INDEX($AN$1005:$BO$1005,1,MATCH(COLUMNS($AN$1006:BL1006),$AN$1006:$BO$1006,0))&gt;=100000), " ",IF(INDEX($AN$2:$BO$1001,MATCH(ROWS($AG$2:AG728),$AG$2:$AG$1001,0),MATCH(COLUMNS($AN$1006:BL1006),$AN$1006:$BO$1006,0)), HYPERLINK("#",""), HYPERLINK(CONCATENATE("#Metadata!", ADDRESS(INDEX($AI$2:$AI$1001,MATCH(ROWS($AG$2:AG728),$AG$2:$AG$1001,0),0), INDEX($AN$1004:$BO$1004,1,MATCH(COLUMNS($AN$1006:BL1006),$AN$1006:$BO$1006,0)))),"Fix")))</f>
        <v>0</v>
      </c>
      <c r="AA728" s="4">
        <f>IF(OR(INDEX($AH$2:$AH$1001,MATCH(ROWS($AG$2:AG728),$AG$2:$AG$1001,0),1)&gt;=100000,INDEX($AN$1005:$BO$1005,1,MATCH(COLUMNS($AN$1006:BM1006),$AN$1006:$BO$1006,0))&gt;=100000), " ",IF(INDEX($AN$2:$BO$1001,MATCH(ROWS($AG$2:AG728),$AG$2:$AG$1001,0),MATCH(COLUMNS($AN$1006:BM1006),$AN$1006:$BO$1006,0)), HYPERLINK("#",""), HYPERLINK(CONCATENATE("#Metadata!", ADDRESS(INDEX($AI$2:$AI$1001,MATCH(ROWS($AG$2:AG728),$AG$2:$AG$1001,0),0), INDEX($AN$1004:$BO$1004,1,MATCH(COLUMNS($AN$1006:BM1006),$AN$1006:$BO$1006,0)))),"Fix")))</f>
        <v>0</v>
      </c>
      <c r="AB728" s="4">
        <f>IF(OR(INDEX($AH$2:$AH$1001,MATCH(ROWS($AG$2:AG728),$AG$2:$AG$1001,0),1)&gt;=100000,INDEX($AN$1005:$BO$1005,1,MATCH(COLUMNS($AN$1006:BN1006),$AN$1006:$BO$1006,0))&gt;=100000), " ",IF(INDEX($AN$2:$BO$1001,MATCH(ROWS($AG$2:AG728),$AG$2:$AG$1001,0),MATCH(COLUMNS($AN$1006:BN1006),$AN$1006:$BO$1006,0)), HYPERLINK("#",""), HYPERLINK(CONCATENATE("#Metadata!", ADDRESS(INDEX($AI$2:$AI$1001,MATCH(ROWS($AG$2:AG728),$AG$2:$AG$1001,0),0), INDEX($AN$1004:$BO$1004,1,MATCH(COLUMNS($AN$1006:BN1006),$AN$1006:$BO$1006,0)))),"Fix")))</f>
        <v>0</v>
      </c>
      <c r="AC728" s="4">
        <f>IF(OR(INDEX($AH$2:$AH$1001,MATCH(ROWS($AG$2:AG728),$AG$2:$AG$1001,0),1)&gt;=100000,INDEX($AN$1005:$BO$1005,1,MATCH(COLUMNS($AN$1006:BO1006),$AN$1006:$BO$1006,0))&gt;=100000), " ",IF(INDEX($AN$2:$BO$1001,MATCH(ROWS($AG$2:AG728),$AG$2:$AG$1001,0),MATCH(COLUMNS($AN$1006:BO1006),$AN$1006:$BO$1006,0)), HYPERLINK("#",""), HYPERLINK(CONCATENATE("#Metadata!", ADDRESS(INDEX($AI$2:$AI$1001,MATCH(ROWS($AG$2:AG728),$AG$2:$AG$1001,0),0), INDEX($AN$1004:$BO$1004,1,MATCH(COLUMNS($AN$1006:BO1006),$AN$1006:$BO$1006,0)))),"Fix")))</f>
        <v>0</v>
      </c>
      <c r="AG728">
        <v>0</v>
      </c>
      <c r="AH728">
        <v>0</v>
      </c>
      <c r="AI728">
        <v>0</v>
      </c>
      <c r="AJ728">
        <f>IF(AK728,TRUE,AND(AN728:BO728))</f>
        <v>0</v>
      </c>
      <c r="AK728">
        <f>COUNTBLANK(Metadata!B728:AC728)=COLUMNS(Metadata!B728:AC728)</f>
        <v>0</v>
      </c>
      <c r="AL728">
        <v>0</v>
      </c>
      <c r="AN728">
        <f>AND(IF(Metadata!B728="",FALSE,TRUE),COUNTIF(Metadata!B:B, Metadata!B728) = 1,NOT(ISERROR(SUMPRODUCT(SEARCH(MID(Metadata!B728,ROW(INDIRECT("1:"&amp;LEN(Metadata!B728))), 1),"0123456789abcdefghijklmnopqrstuvwxyzABCDEFGHIJKLMNOPQRSTUVWXYZ.")))))</f>
        <v>0</v>
      </c>
      <c r="AO728">
        <f>IF(Metadata!C728="",FALSE,TRUE)</f>
        <v>0</v>
      </c>
      <c r="AP728">
        <f>IF(Metadata!D728="",FALSE,TRUE)</f>
        <v>0</v>
      </c>
      <c r="AQ728">
        <f>OR(AND(IF(Metadata!E728="",FALSE,TRUE),OR(exact(Metadata!E728,"not collected"),exact(Metadata!E728,"not provided"),exact(Metadata!E728,"restricted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R728">
        <f>IF(Metadata!F728="",FALSE,TRUE)</f>
        <v>0</v>
      </c>
      <c r="AS728">
        <f>OR(AND(IF(Metadata!G728="",FALSE,TRUE),OR(exact(Metadata!G728,"not collected"),exact(Metadata!G728,"not provided"))),AND(IF(Metadata!G728="",FALSE,TRUE),OR(exact(Metadata!G728,"TRUE"),exact(Metadata!G728,"FALSE"))))</f>
        <v>0</v>
      </c>
      <c r="AT728">
        <f>OR(AND(IF(Metadata!H728="",FALSE,TRUE),OR(exact(Metadata!H728,"not collected"),exact(Metadata!H728,"not provided"),exact(Metadata!H728,"restricted access"))),AND(IF(Metadata!H728="",FALSE,ISNUMBER(VALUE(Metadata!H728))),Metadata!H728&gt;=-413.0))</f>
        <v>0</v>
      </c>
      <c r="AU728">
        <f>AND(IF(Metadata!I728="",FALSE,TRUE),exact(Metadata!I728,"meters"))</f>
        <v>0</v>
      </c>
      <c r="AV728">
        <f>AND(IF(Metadata!J728="",FALSE,TRUE),OR(exact(Metadata!J728,"Host-associated"),exact(Metadata!J728,"Free-living")))</f>
        <v>0</v>
      </c>
      <c r="AW728">
        <f>AND(IF(Metadata!K728="",FALSE,TRUE),OR(exact(Metadata!K728,"Animal"),exact(Metadata!K728,"Fungus"),exact(Metadata!K728,"Plant"),exact(Metadata!K728,"Saline"),exact(Metadata!K728,"Non-saline")))</f>
        <v>0</v>
      </c>
      <c r="AX728">
        <f>AND(IF(Metadata!L728="",FALSE,TRUE),OR(exact(Metadata!L728,"Plant secretion"),exact(Metadata!L728,"Plant rhizosphere"),exact(Metadata!L728,"Plant surface"),exact(Metadata!L728,"Plant corpus"),exact(Metadata!L728,"Fungus surface"),exact(Metadata!L728,"Fungus corpus"),exact(Metadata!L728,"Animal surface"),exact(Metadata!L728,"Animal proximal gut"),exact(Metadata!L728,"Animal corpus"),exact(Metadata!L728,"Animal distal gut"),exact(Metadata!L728,"Animal secretion"),exact(Metadata!L728,"Sub-surface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Y728">
        <f>IF(Metadata!M728="",FALSE,TRUE)</f>
        <v>0</v>
      </c>
      <c r="AZ728">
        <f>IF(Metadata!N728="",FALSE,TRUE)</f>
        <v>0</v>
      </c>
      <c r="BA728">
        <f>IF(Metadata!O728="",FALSE,TRUE)</f>
        <v>0</v>
      </c>
      <c r="BB728">
        <f>OR(AND(IF(Metadata!P728="",FALSE,TRUE),OR(exact(Metadata!P728,"not collected"),exact(Metadata!P728,"not provided"),exact(Metadata!P728,"restricted access"))),AND(IF(Metadata!P728="",FALSE,TRUE),OR(exact(Metadata!P728,"air"),exact(Metadata!P728,"built environment"),exact(Metadata!P728,"host-associated"),exact(Metadata!P728,"human-associated"),exact(Metadata!P728,"human-skin"),exact(Metadata!P728,"human-oral"),exact(Metadata!P728,"human-gut"),exact(Metadata!P728,"human-vaginal"),exact(Metadata!P728,"microbial mat/biofilm"),exact(Metadata!P728,"misc environment"),exact(Metadata!P728,"plant-associated"),exact(Metadata!P728,"sediment"),exact(Metadata!P728,"soil"),exact(Metadata!P728,"wastewater/sludge"),exact(Metadata!P728,"water"))))</f>
        <v>0</v>
      </c>
      <c r="BC728">
        <f>IF(Metadata!Q728="",FALSE,TRUE)</f>
        <v>0</v>
      </c>
      <c r="BD728">
        <f>IF(Metadata!R728="",FALSE,TRUE)</f>
        <v>0</v>
      </c>
      <c r="BE728">
        <f>OR(AND(IF(Metadata!S728="",FALSE,TRUE),OR(exact(Metadata!S728,"not collected"),exact(Metadata!S728,"not provided"),exact(Metadata!S728,"restricted access"))),AND(IF(Metadata!S728="",FALSE,ISNUMBER(VALUE(Metadata!S728))),Metadata!S728&gt;=-90.00,Metadata!S728&lt;=90.00))</f>
        <v>0</v>
      </c>
      <c r="BF728">
        <f>AND(IF(Metadata!T728="",FALSE,TRUE),exact(Metadata!T728,"Decimal degrees"))</f>
        <v>0</v>
      </c>
      <c r="BG728">
        <f>OR(AND(IF(Metadata!U728="",FALSE,TRUE),OR(exact(Metadata!U728,"not collected"),exact(Metadata!U728,"not provided"),exact(Metadata!U728,"restricted access"))),AND(IF(Metadata!U728="",FALSE,ISNUMBER(VALUE(Metadata!U728))),Metadata!U728&gt;=-180.00,Metadata!U728&lt;=180.00))</f>
        <v>0</v>
      </c>
      <c r="BH728">
        <f>AND(IF(Metadata!V728="",FALSE,TRUE),exact(Metadata!V728,"Decimal degrees"))</f>
        <v>0</v>
      </c>
      <c r="BI728">
        <f>IF(Metadata!W728="",FALSE,TRUE)</f>
        <v>0</v>
      </c>
      <c r="BJ728">
        <f>OR(AND(IF(Metadata!X728="",FALSE,TRUE),OR(exact(Metadata!X728,"not collected"),exact(Metadata!X728,"not provided"),exact(Metadata!X728,"restricted access"))),AND(IF(Metadata!X728="",FALSE,TRUE),OR(exact(Metadata!X728,"TRUE"),exact(Metadata!X728,"FALSE"))))</f>
        <v>0</v>
      </c>
      <c r="BK728">
        <f>AND(IF(Metadata!Y728="",FALSE,TRUE),exact(Metadata!Y728,"other"))</f>
        <v>0</v>
      </c>
      <c r="BL728">
        <f>IF(Metadata!Z728="",FALSE,TRUE)</f>
        <v>0</v>
      </c>
      <c r="BM728">
        <f>OR(AND(IF(Metadata!AA728="",FALSE,TRUE),OR(exact(Metadata!AA728,"not collected"),exact(Metadata!AA728,"not provided"))),AND(IF(Metadata!AA728="",FALSE,IF(ISERROR(INT(Metadata!AA728)),FALSE,INT(Metadata!AA728)=Metadata!AA728)),Metadata!AA728&gt;0))</f>
        <v>0</v>
      </c>
      <c r="BN728">
        <f>AND(IF(Metadata!AB728="",FALSE,TRUE),exact(Metadata!AB728,"Not applicable"))</f>
        <v>0</v>
      </c>
      <c r="BO728">
        <f>IF(Metadata!AC728="",FALSE,TRUE)</f>
        <v>0</v>
      </c>
    </row>
    <row r="729" spans="1:67">
      <c r="A729" s="5">
        <f>IF(B729=" "," ",HYPERLINK(CONCATENATE("#metadata!",ADDRESS(INDEX($AI$2:$AI$1001,MATCH(ROWS($AG$2:AG729),$AG$2:$AG$1001,0),0),1)),INDEX($AL$2:$AL$1001,MATCH(ROWS($AG$2:AG729),$AG$2:$AG$1001,0),0)))</f>
        <v>0</v>
      </c>
      <c r="B729" s="4">
        <f>IF(OR(INDEX($AH$2:$AH$1001,MATCH(ROWS($AG$2:AG729),$AG$2:$AG$1001,0),1)&gt;=100000,INDEX($AN$1005:$BO$1005,1,MATCH(COLUMNS($AN$1006:AN1006),$AN$1006:$BO$1006,0))&gt;=100000), " ",IF(INDEX($AN$2:$BO$1001,MATCH(ROWS($AG$2:AG729),$AG$2:$AG$1001,0),MATCH(COLUMNS($AN$1006:AN1006),$AN$1006:$BO$1006,0)), HYPERLINK("#",""), HYPERLINK(CONCATENATE("#Metadata!", ADDRESS(INDEX($AI$2:$AI$1001,MATCH(ROWS($AG$2:AG729),$AG$2:$AG$1001,0),0), INDEX($AN$1004:$BO$1004,1,MATCH(COLUMNS($AN$1006:AN1006),$AN$1006:$BO$1006,0)))),"Fix")))</f>
        <v>0</v>
      </c>
      <c r="C729" s="4">
        <f>IF(OR(INDEX($AH$2:$AH$1001,MATCH(ROWS($AG$2:AG729),$AG$2:$AG$1001,0),1)&gt;=100000,INDEX($AN$1005:$BO$1005,1,MATCH(COLUMNS($AN$1006:AO1006),$AN$1006:$BO$1006,0))&gt;=100000), " ",IF(INDEX($AN$2:$BO$1001,MATCH(ROWS($AG$2:AG729),$AG$2:$AG$1001,0),MATCH(COLUMNS($AN$1006:AO1006),$AN$1006:$BO$1006,0)), HYPERLINK("#",""), HYPERLINK(CONCATENATE("#Metadata!", ADDRESS(INDEX($AI$2:$AI$1001,MATCH(ROWS($AG$2:AG729),$AG$2:$AG$1001,0),0), INDEX($AN$1004:$BO$1004,1,MATCH(COLUMNS($AN$1006:AO1006),$AN$1006:$BO$1006,0)))),"Fix")))</f>
        <v>0</v>
      </c>
      <c r="D729" s="4">
        <f>IF(OR(INDEX($AH$2:$AH$1001,MATCH(ROWS($AG$2:AG729),$AG$2:$AG$1001,0),1)&gt;=100000,INDEX($AN$1005:$BO$1005,1,MATCH(COLUMNS($AN$1006:AP1006),$AN$1006:$BO$1006,0))&gt;=100000), " ",IF(INDEX($AN$2:$BO$1001,MATCH(ROWS($AG$2:AG729),$AG$2:$AG$1001,0),MATCH(COLUMNS($AN$1006:AP1006),$AN$1006:$BO$1006,0)), HYPERLINK("#",""), HYPERLINK(CONCATENATE("#Metadata!", ADDRESS(INDEX($AI$2:$AI$1001,MATCH(ROWS($AG$2:AG729),$AG$2:$AG$1001,0),0), INDEX($AN$1004:$BO$1004,1,MATCH(COLUMNS($AN$1006:AP1006),$AN$1006:$BO$1006,0)))),"Fix")))</f>
        <v>0</v>
      </c>
      <c r="E729" s="4">
        <f>IF(OR(INDEX($AH$2:$AH$1001,MATCH(ROWS($AG$2:AG729),$AG$2:$AG$1001,0),1)&gt;=100000,INDEX($AN$1005:$BO$1005,1,MATCH(COLUMNS($AN$1006:AQ1006),$AN$1006:$BO$1006,0))&gt;=100000), " ",IF(INDEX($AN$2:$BO$1001,MATCH(ROWS($AG$2:AG729),$AG$2:$AG$1001,0),MATCH(COLUMNS($AN$1006:AQ1006),$AN$1006:$BO$1006,0)), HYPERLINK("#",""), HYPERLINK(CONCATENATE("#Metadata!", ADDRESS(INDEX($AI$2:$AI$1001,MATCH(ROWS($AG$2:AG729),$AG$2:$AG$1001,0),0), INDEX($AN$1004:$BO$1004,1,MATCH(COLUMNS($AN$1006:AQ1006),$AN$1006:$BO$1006,0)))),"Fix")))</f>
        <v>0</v>
      </c>
      <c r="F729" s="4">
        <f>IF(OR(INDEX($AH$2:$AH$1001,MATCH(ROWS($AG$2:AG729),$AG$2:$AG$1001,0),1)&gt;=100000,INDEX($AN$1005:$BO$1005,1,MATCH(COLUMNS($AN$1006:AR1006),$AN$1006:$BO$1006,0))&gt;=100000), " ",IF(INDEX($AN$2:$BO$1001,MATCH(ROWS($AG$2:AG729),$AG$2:$AG$1001,0),MATCH(COLUMNS($AN$1006:AR1006),$AN$1006:$BO$1006,0)), HYPERLINK("#",""), HYPERLINK(CONCATENATE("#Metadata!", ADDRESS(INDEX($AI$2:$AI$1001,MATCH(ROWS($AG$2:AG729),$AG$2:$AG$1001,0),0), INDEX($AN$1004:$BO$1004,1,MATCH(COLUMNS($AN$1006:AR1006),$AN$1006:$BO$1006,0)))),"Fix")))</f>
        <v>0</v>
      </c>
      <c r="G729" s="4">
        <f>IF(OR(INDEX($AH$2:$AH$1001,MATCH(ROWS($AG$2:AG729),$AG$2:$AG$1001,0),1)&gt;=100000,INDEX($AN$1005:$BO$1005,1,MATCH(COLUMNS($AN$1006:AS1006),$AN$1006:$BO$1006,0))&gt;=100000), " ",IF(INDEX($AN$2:$BO$1001,MATCH(ROWS($AG$2:AG729),$AG$2:$AG$1001,0),MATCH(COLUMNS($AN$1006:AS1006),$AN$1006:$BO$1006,0)), HYPERLINK("#",""), HYPERLINK(CONCATENATE("#Metadata!", ADDRESS(INDEX($AI$2:$AI$1001,MATCH(ROWS($AG$2:AG729),$AG$2:$AG$1001,0),0), INDEX($AN$1004:$BO$1004,1,MATCH(COLUMNS($AN$1006:AS1006),$AN$1006:$BO$1006,0)))),"Fix")))</f>
        <v>0</v>
      </c>
      <c r="H729" s="4">
        <f>IF(OR(INDEX($AH$2:$AH$1001,MATCH(ROWS($AG$2:AG729),$AG$2:$AG$1001,0),1)&gt;=100000,INDEX($AN$1005:$BO$1005,1,MATCH(COLUMNS($AN$1006:AT1006),$AN$1006:$BO$1006,0))&gt;=100000), " ",IF(INDEX($AN$2:$BO$1001,MATCH(ROWS($AG$2:AG729),$AG$2:$AG$1001,0),MATCH(COLUMNS($AN$1006:AT1006),$AN$1006:$BO$1006,0)), HYPERLINK("#",""), HYPERLINK(CONCATENATE("#Metadata!", ADDRESS(INDEX($AI$2:$AI$1001,MATCH(ROWS($AG$2:AG729),$AG$2:$AG$1001,0),0), INDEX($AN$1004:$BO$1004,1,MATCH(COLUMNS($AN$1006:AT1006),$AN$1006:$BO$1006,0)))),"Fix")))</f>
        <v>0</v>
      </c>
      <c r="I729" s="4">
        <f>IF(OR(INDEX($AH$2:$AH$1001,MATCH(ROWS($AG$2:AG729),$AG$2:$AG$1001,0),1)&gt;=100000,INDEX($AN$1005:$BO$1005,1,MATCH(COLUMNS($AN$1006:AU1006),$AN$1006:$BO$1006,0))&gt;=100000), " ",IF(INDEX($AN$2:$BO$1001,MATCH(ROWS($AG$2:AG729),$AG$2:$AG$1001,0),MATCH(COLUMNS($AN$1006:AU1006),$AN$1006:$BO$1006,0)), HYPERLINK("#",""), HYPERLINK(CONCATENATE("#Metadata!", ADDRESS(INDEX($AI$2:$AI$1001,MATCH(ROWS($AG$2:AG729),$AG$2:$AG$1001,0),0), INDEX($AN$1004:$BO$1004,1,MATCH(COLUMNS($AN$1006:AU1006),$AN$1006:$BO$1006,0)))),"Fix")))</f>
        <v>0</v>
      </c>
      <c r="J729" s="4">
        <f>IF(OR(INDEX($AH$2:$AH$1001,MATCH(ROWS($AG$2:AG729),$AG$2:$AG$1001,0),1)&gt;=100000,INDEX($AN$1005:$BO$1005,1,MATCH(COLUMNS($AN$1006:AV1006),$AN$1006:$BO$1006,0))&gt;=100000), " ",IF(INDEX($AN$2:$BO$1001,MATCH(ROWS($AG$2:AG729),$AG$2:$AG$1001,0),MATCH(COLUMNS($AN$1006:AV1006),$AN$1006:$BO$1006,0)), HYPERLINK("#",""), HYPERLINK(CONCATENATE("#Metadata!", ADDRESS(INDEX($AI$2:$AI$1001,MATCH(ROWS($AG$2:AG729),$AG$2:$AG$1001,0),0), INDEX($AN$1004:$BO$1004,1,MATCH(COLUMNS($AN$1006:AV1006),$AN$1006:$BO$1006,0)))),"Fix")))</f>
        <v>0</v>
      </c>
      <c r="K729" s="4">
        <f>IF(OR(INDEX($AH$2:$AH$1001,MATCH(ROWS($AG$2:AG729),$AG$2:$AG$1001,0),1)&gt;=100000,INDEX($AN$1005:$BO$1005,1,MATCH(COLUMNS($AN$1006:AW1006),$AN$1006:$BO$1006,0))&gt;=100000), " ",IF(INDEX($AN$2:$BO$1001,MATCH(ROWS($AG$2:AG729),$AG$2:$AG$1001,0),MATCH(COLUMNS($AN$1006:AW1006),$AN$1006:$BO$1006,0)), HYPERLINK("#",""), HYPERLINK(CONCATENATE("#Metadata!", ADDRESS(INDEX($AI$2:$AI$1001,MATCH(ROWS($AG$2:AG729),$AG$2:$AG$1001,0),0), INDEX($AN$1004:$BO$1004,1,MATCH(COLUMNS($AN$1006:AW1006),$AN$1006:$BO$1006,0)))),"Fix")))</f>
        <v>0</v>
      </c>
      <c r="L729" s="4">
        <f>IF(OR(INDEX($AH$2:$AH$1001,MATCH(ROWS($AG$2:AG729),$AG$2:$AG$1001,0),1)&gt;=100000,INDEX($AN$1005:$BO$1005,1,MATCH(COLUMNS($AN$1006:AX1006),$AN$1006:$BO$1006,0))&gt;=100000), " ",IF(INDEX($AN$2:$BO$1001,MATCH(ROWS($AG$2:AG729),$AG$2:$AG$1001,0),MATCH(COLUMNS($AN$1006:AX1006),$AN$1006:$BO$1006,0)), HYPERLINK("#",""), HYPERLINK(CONCATENATE("#Metadata!", ADDRESS(INDEX($AI$2:$AI$1001,MATCH(ROWS($AG$2:AG729),$AG$2:$AG$1001,0),0), INDEX($AN$1004:$BO$1004,1,MATCH(COLUMNS($AN$1006:AX1006),$AN$1006:$BO$1006,0)))),"Fix")))</f>
        <v>0</v>
      </c>
      <c r="M729" s="4">
        <f>IF(OR(INDEX($AH$2:$AH$1001,MATCH(ROWS($AG$2:AG729),$AG$2:$AG$1001,0),1)&gt;=100000,INDEX($AN$1005:$BO$1005,1,MATCH(COLUMNS($AN$1006:AY1006),$AN$1006:$BO$1006,0))&gt;=100000), " ",IF(INDEX($AN$2:$BO$1001,MATCH(ROWS($AG$2:AG729),$AG$2:$AG$1001,0),MATCH(COLUMNS($AN$1006:AY1006),$AN$1006:$BO$1006,0)), HYPERLINK("#",""), HYPERLINK(CONCATENATE("#Metadata!", ADDRESS(INDEX($AI$2:$AI$1001,MATCH(ROWS($AG$2:AG729),$AG$2:$AG$1001,0),0), INDEX($AN$1004:$BO$1004,1,MATCH(COLUMNS($AN$1006:AY1006),$AN$1006:$BO$1006,0)))),"Fix")))</f>
        <v>0</v>
      </c>
      <c r="N729" s="4">
        <f>IF(OR(INDEX($AH$2:$AH$1001,MATCH(ROWS($AG$2:AG729),$AG$2:$AG$1001,0),1)&gt;=100000,INDEX($AN$1005:$BO$1005,1,MATCH(COLUMNS($AN$1006:AZ1006),$AN$1006:$BO$1006,0))&gt;=100000), " ",IF(INDEX($AN$2:$BO$1001,MATCH(ROWS($AG$2:AG729),$AG$2:$AG$1001,0),MATCH(COLUMNS($AN$1006:AZ1006),$AN$1006:$BO$1006,0)), HYPERLINK("#",""), HYPERLINK(CONCATENATE("#Metadata!", ADDRESS(INDEX($AI$2:$AI$1001,MATCH(ROWS($AG$2:AG729),$AG$2:$AG$1001,0),0), INDEX($AN$1004:$BO$1004,1,MATCH(COLUMNS($AN$1006:AZ1006),$AN$1006:$BO$1006,0)))),"Fix")))</f>
        <v>0</v>
      </c>
      <c r="O729" s="4">
        <f>IF(OR(INDEX($AH$2:$AH$1001,MATCH(ROWS($AG$2:AG729),$AG$2:$AG$1001,0),1)&gt;=100000,INDEX($AN$1005:$BO$1005,1,MATCH(COLUMNS($AN$1006:BA1006),$AN$1006:$BO$1006,0))&gt;=100000), " ",IF(INDEX($AN$2:$BO$1001,MATCH(ROWS($AG$2:AG729),$AG$2:$AG$1001,0),MATCH(COLUMNS($AN$1006:BA1006),$AN$1006:$BO$1006,0)), HYPERLINK("#",""), HYPERLINK(CONCATENATE("#Metadata!", ADDRESS(INDEX($AI$2:$AI$1001,MATCH(ROWS($AG$2:AG729),$AG$2:$AG$1001,0),0), INDEX($AN$1004:$BO$1004,1,MATCH(COLUMNS($AN$1006:BA1006),$AN$1006:$BO$1006,0)))),"Fix")))</f>
        <v>0</v>
      </c>
      <c r="P729" s="4">
        <f>IF(OR(INDEX($AH$2:$AH$1001,MATCH(ROWS($AG$2:AG729),$AG$2:$AG$1001,0),1)&gt;=100000,INDEX($AN$1005:$BO$1005,1,MATCH(COLUMNS($AN$1006:BB1006),$AN$1006:$BO$1006,0))&gt;=100000), " ",IF(INDEX($AN$2:$BO$1001,MATCH(ROWS($AG$2:AG729),$AG$2:$AG$1001,0),MATCH(COLUMNS($AN$1006:BB1006),$AN$1006:$BO$1006,0)), HYPERLINK("#",""), HYPERLINK(CONCATENATE("#Metadata!", ADDRESS(INDEX($AI$2:$AI$1001,MATCH(ROWS($AG$2:AG729),$AG$2:$AG$1001,0),0), INDEX($AN$1004:$BO$1004,1,MATCH(COLUMNS($AN$1006:BB1006),$AN$1006:$BO$1006,0)))),"Fix")))</f>
        <v>0</v>
      </c>
      <c r="Q729" s="4">
        <f>IF(OR(INDEX($AH$2:$AH$1001,MATCH(ROWS($AG$2:AG729),$AG$2:$AG$1001,0),1)&gt;=100000,INDEX($AN$1005:$BO$1005,1,MATCH(COLUMNS($AN$1006:BC1006),$AN$1006:$BO$1006,0))&gt;=100000), " ",IF(INDEX($AN$2:$BO$1001,MATCH(ROWS($AG$2:AG729),$AG$2:$AG$1001,0),MATCH(COLUMNS($AN$1006:BC1006),$AN$1006:$BO$1006,0)), HYPERLINK("#",""), HYPERLINK(CONCATENATE("#Metadata!", ADDRESS(INDEX($AI$2:$AI$1001,MATCH(ROWS($AG$2:AG729),$AG$2:$AG$1001,0),0), INDEX($AN$1004:$BO$1004,1,MATCH(COLUMNS($AN$1006:BC1006),$AN$1006:$BO$1006,0)))),"Fix")))</f>
        <v>0</v>
      </c>
      <c r="R729" s="4">
        <f>IF(OR(INDEX($AH$2:$AH$1001,MATCH(ROWS($AG$2:AG729),$AG$2:$AG$1001,0),1)&gt;=100000,INDEX($AN$1005:$BO$1005,1,MATCH(COLUMNS($AN$1006:BD1006),$AN$1006:$BO$1006,0))&gt;=100000), " ",IF(INDEX($AN$2:$BO$1001,MATCH(ROWS($AG$2:AG729),$AG$2:$AG$1001,0),MATCH(COLUMNS($AN$1006:BD1006),$AN$1006:$BO$1006,0)), HYPERLINK("#",""), HYPERLINK(CONCATENATE("#Metadata!", ADDRESS(INDEX($AI$2:$AI$1001,MATCH(ROWS($AG$2:AG729),$AG$2:$AG$1001,0),0), INDEX($AN$1004:$BO$1004,1,MATCH(COLUMNS($AN$1006:BD1006),$AN$1006:$BO$1006,0)))),"Fix")))</f>
        <v>0</v>
      </c>
      <c r="S729" s="4">
        <f>IF(OR(INDEX($AH$2:$AH$1001,MATCH(ROWS($AG$2:AG729),$AG$2:$AG$1001,0),1)&gt;=100000,INDEX($AN$1005:$BO$1005,1,MATCH(COLUMNS($AN$1006:BE1006),$AN$1006:$BO$1006,0))&gt;=100000), " ",IF(INDEX($AN$2:$BO$1001,MATCH(ROWS($AG$2:AG729),$AG$2:$AG$1001,0),MATCH(COLUMNS($AN$1006:BE1006),$AN$1006:$BO$1006,0)), HYPERLINK("#",""), HYPERLINK(CONCATENATE("#Metadata!", ADDRESS(INDEX($AI$2:$AI$1001,MATCH(ROWS($AG$2:AG729),$AG$2:$AG$1001,0),0), INDEX($AN$1004:$BO$1004,1,MATCH(COLUMNS($AN$1006:BE1006),$AN$1006:$BO$1006,0)))),"Fix")))</f>
        <v>0</v>
      </c>
      <c r="T729" s="4">
        <f>IF(OR(INDEX($AH$2:$AH$1001,MATCH(ROWS($AG$2:AG729),$AG$2:$AG$1001,0),1)&gt;=100000,INDEX($AN$1005:$BO$1005,1,MATCH(COLUMNS($AN$1006:BF1006),$AN$1006:$BO$1006,0))&gt;=100000), " ",IF(INDEX($AN$2:$BO$1001,MATCH(ROWS($AG$2:AG729),$AG$2:$AG$1001,0),MATCH(COLUMNS($AN$1006:BF1006),$AN$1006:$BO$1006,0)), HYPERLINK("#",""), HYPERLINK(CONCATENATE("#Metadata!", ADDRESS(INDEX($AI$2:$AI$1001,MATCH(ROWS($AG$2:AG729),$AG$2:$AG$1001,0),0), INDEX($AN$1004:$BO$1004,1,MATCH(COLUMNS($AN$1006:BF1006),$AN$1006:$BO$1006,0)))),"Fix")))</f>
        <v>0</v>
      </c>
      <c r="U729" s="4">
        <f>IF(OR(INDEX($AH$2:$AH$1001,MATCH(ROWS($AG$2:AG729),$AG$2:$AG$1001,0),1)&gt;=100000,INDEX($AN$1005:$BO$1005,1,MATCH(COLUMNS($AN$1006:BG1006),$AN$1006:$BO$1006,0))&gt;=100000), " ",IF(INDEX($AN$2:$BO$1001,MATCH(ROWS($AG$2:AG729),$AG$2:$AG$1001,0),MATCH(COLUMNS($AN$1006:BG1006),$AN$1006:$BO$1006,0)), HYPERLINK("#",""), HYPERLINK(CONCATENATE("#Metadata!", ADDRESS(INDEX($AI$2:$AI$1001,MATCH(ROWS($AG$2:AG729),$AG$2:$AG$1001,0),0), INDEX($AN$1004:$BO$1004,1,MATCH(COLUMNS($AN$1006:BG1006),$AN$1006:$BO$1006,0)))),"Fix")))</f>
        <v>0</v>
      </c>
      <c r="V729" s="4">
        <f>IF(OR(INDEX($AH$2:$AH$1001,MATCH(ROWS($AG$2:AG729),$AG$2:$AG$1001,0),1)&gt;=100000,INDEX($AN$1005:$BO$1005,1,MATCH(COLUMNS($AN$1006:BH1006),$AN$1006:$BO$1006,0))&gt;=100000), " ",IF(INDEX($AN$2:$BO$1001,MATCH(ROWS($AG$2:AG729),$AG$2:$AG$1001,0),MATCH(COLUMNS($AN$1006:BH1006),$AN$1006:$BO$1006,0)), HYPERLINK("#",""), HYPERLINK(CONCATENATE("#Metadata!", ADDRESS(INDEX($AI$2:$AI$1001,MATCH(ROWS($AG$2:AG729),$AG$2:$AG$1001,0),0), INDEX($AN$1004:$BO$1004,1,MATCH(COLUMNS($AN$1006:BH1006),$AN$1006:$BO$1006,0)))),"Fix")))</f>
        <v>0</v>
      </c>
      <c r="W729" s="4">
        <f>IF(OR(INDEX($AH$2:$AH$1001,MATCH(ROWS($AG$2:AG729),$AG$2:$AG$1001,0),1)&gt;=100000,INDEX($AN$1005:$BO$1005,1,MATCH(COLUMNS($AN$1006:BI1006),$AN$1006:$BO$1006,0))&gt;=100000), " ",IF(INDEX($AN$2:$BO$1001,MATCH(ROWS($AG$2:AG729),$AG$2:$AG$1001,0),MATCH(COLUMNS($AN$1006:BI1006),$AN$1006:$BO$1006,0)), HYPERLINK("#",""), HYPERLINK(CONCATENATE("#Metadata!", ADDRESS(INDEX($AI$2:$AI$1001,MATCH(ROWS($AG$2:AG729),$AG$2:$AG$1001,0),0), INDEX($AN$1004:$BO$1004,1,MATCH(COLUMNS($AN$1006:BI1006),$AN$1006:$BO$1006,0)))),"Fix")))</f>
        <v>0</v>
      </c>
      <c r="X729" s="4">
        <f>IF(OR(INDEX($AH$2:$AH$1001,MATCH(ROWS($AG$2:AG729),$AG$2:$AG$1001,0),1)&gt;=100000,INDEX($AN$1005:$BO$1005,1,MATCH(COLUMNS($AN$1006:BJ1006),$AN$1006:$BO$1006,0))&gt;=100000), " ",IF(INDEX($AN$2:$BO$1001,MATCH(ROWS($AG$2:AG729),$AG$2:$AG$1001,0),MATCH(COLUMNS($AN$1006:BJ1006),$AN$1006:$BO$1006,0)), HYPERLINK("#",""), HYPERLINK(CONCATENATE("#Metadata!", ADDRESS(INDEX($AI$2:$AI$1001,MATCH(ROWS($AG$2:AG729),$AG$2:$AG$1001,0),0), INDEX($AN$1004:$BO$1004,1,MATCH(COLUMNS($AN$1006:BJ1006),$AN$1006:$BO$1006,0)))),"Fix")))</f>
        <v>0</v>
      </c>
      <c r="Y729" s="4">
        <f>IF(OR(INDEX($AH$2:$AH$1001,MATCH(ROWS($AG$2:AG729),$AG$2:$AG$1001,0),1)&gt;=100000,INDEX($AN$1005:$BO$1005,1,MATCH(COLUMNS($AN$1006:BK1006),$AN$1006:$BO$1006,0))&gt;=100000), " ",IF(INDEX($AN$2:$BO$1001,MATCH(ROWS($AG$2:AG729),$AG$2:$AG$1001,0),MATCH(COLUMNS($AN$1006:BK1006),$AN$1006:$BO$1006,0)), HYPERLINK("#",""), HYPERLINK(CONCATENATE("#Metadata!", ADDRESS(INDEX($AI$2:$AI$1001,MATCH(ROWS($AG$2:AG729),$AG$2:$AG$1001,0),0), INDEX($AN$1004:$BO$1004,1,MATCH(COLUMNS($AN$1006:BK1006),$AN$1006:$BO$1006,0)))),"Fix")))</f>
        <v>0</v>
      </c>
      <c r="Z729" s="4">
        <f>IF(OR(INDEX($AH$2:$AH$1001,MATCH(ROWS($AG$2:AG729),$AG$2:$AG$1001,0),1)&gt;=100000,INDEX($AN$1005:$BO$1005,1,MATCH(COLUMNS($AN$1006:BL1006),$AN$1006:$BO$1006,0))&gt;=100000), " ",IF(INDEX($AN$2:$BO$1001,MATCH(ROWS($AG$2:AG729),$AG$2:$AG$1001,0),MATCH(COLUMNS($AN$1006:BL1006),$AN$1006:$BO$1006,0)), HYPERLINK("#",""), HYPERLINK(CONCATENATE("#Metadata!", ADDRESS(INDEX($AI$2:$AI$1001,MATCH(ROWS($AG$2:AG729),$AG$2:$AG$1001,0),0), INDEX($AN$1004:$BO$1004,1,MATCH(COLUMNS($AN$1006:BL1006),$AN$1006:$BO$1006,0)))),"Fix")))</f>
        <v>0</v>
      </c>
      <c r="AA729" s="4">
        <f>IF(OR(INDEX($AH$2:$AH$1001,MATCH(ROWS($AG$2:AG729),$AG$2:$AG$1001,0),1)&gt;=100000,INDEX($AN$1005:$BO$1005,1,MATCH(COLUMNS($AN$1006:BM1006),$AN$1006:$BO$1006,0))&gt;=100000), " ",IF(INDEX($AN$2:$BO$1001,MATCH(ROWS($AG$2:AG729),$AG$2:$AG$1001,0),MATCH(COLUMNS($AN$1006:BM1006),$AN$1006:$BO$1006,0)), HYPERLINK("#",""), HYPERLINK(CONCATENATE("#Metadata!", ADDRESS(INDEX($AI$2:$AI$1001,MATCH(ROWS($AG$2:AG729),$AG$2:$AG$1001,0),0), INDEX($AN$1004:$BO$1004,1,MATCH(COLUMNS($AN$1006:BM1006),$AN$1006:$BO$1006,0)))),"Fix")))</f>
        <v>0</v>
      </c>
      <c r="AB729" s="4">
        <f>IF(OR(INDEX($AH$2:$AH$1001,MATCH(ROWS($AG$2:AG729),$AG$2:$AG$1001,0),1)&gt;=100000,INDEX($AN$1005:$BO$1005,1,MATCH(COLUMNS($AN$1006:BN1006),$AN$1006:$BO$1006,0))&gt;=100000), " ",IF(INDEX($AN$2:$BO$1001,MATCH(ROWS($AG$2:AG729),$AG$2:$AG$1001,0),MATCH(COLUMNS($AN$1006:BN1006),$AN$1006:$BO$1006,0)), HYPERLINK("#",""), HYPERLINK(CONCATENATE("#Metadata!", ADDRESS(INDEX($AI$2:$AI$1001,MATCH(ROWS($AG$2:AG729),$AG$2:$AG$1001,0),0), INDEX($AN$1004:$BO$1004,1,MATCH(COLUMNS($AN$1006:BN1006),$AN$1006:$BO$1006,0)))),"Fix")))</f>
        <v>0</v>
      </c>
      <c r="AC729" s="4">
        <f>IF(OR(INDEX($AH$2:$AH$1001,MATCH(ROWS($AG$2:AG729),$AG$2:$AG$1001,0),1)&gt;=100000,INDEX($AN$1005:$BO$1005,1,MATCH(COLUMNS($AN$1006:BO1006),$AN$1006:$BO$1006,0))&gt;=100000), " ",IF(INDEX($AN$2:$BO$1001,MATCH(ROWS($AG$2:AG729),$AG$2:$AG$1001,0),MATCH(COLUMNS($AN$1006:BO1006),$AN$1006:$BO$1006,0)), HYPERLINK("#",""), HYPERLINK(CONCATENATE("#Metadata!", ADDRESS(INDEX($AI$2:$AI$1001,MATCH(ROWS($AG$2:AG729),$AG$2:$AG$1001,0),0), INDEX($AN$1004:$BO$1004,1,MATCH(COLUMNS($AN$1006:BO1006),$AN$1006:$BO$1006,0)))),"Fix")))</f>
        <v>0</v>
      </c>
      <c r="AG729">
        <v>0</v>
      </c>
      <c r="AH729">
        <v>0</v>
      </c>
      <c r="AI729">
        <v>0</v>
      </c>
      <c r="AJ729">
        <f>IF(AK729,TRUE,AND(AN729:BO729))</f>
        <v>0</v>
      </c>
      <c r="AK729">
        <f>COUNTBLANK(Metadata!B729:AC729)=COLUMNS(Metadata!B729:AC729)</f>
        <v>0</v>
      </c>
      <c r="AL729">
        <v>0</v>
      </c>
      <c r="AN729">
        <f>AND(IF(Metadata!B729="",FALSE,TRUE),COUNTIF(Metadata!B:B, Metadata!B729) = 1,NOT(ISERROR(SUMPRODUCT(SEARCH(MID(Metadata!B729,ROW(INDIRECT("1:"&amp;LEN(Metadata!B729))), 1),"0123456789abcdefghijklmnopqrstuvwxyzABCDEFGHIJKLMNOPQRSTUVWXYZ.")))))</f>
        <v>0</v>
      </c>
      <c r="AO729">
        <f>IF(Metadata!C729="",FALSE,TRUE)</f>
        <v>0</v>
      </c>
      <c r="AP729">
        <f>IF(Metadata!D729="",FALSE,TRUE)</f>
        <v>0</v>
      </c>
      <c r="AQ729">
        <f>OR(AND(IF(Metadata!E729="",FALSE,TRUE),OR(exact(Metadata!E729,"not collected"),exact(Metadata!E729,"not provided"),exact(Metadata!E729,"restricted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R729">
        <f>IF(Metadata!F729="",FALSE,TRUE)</f>
        <v>0</v>
      </c>
      <c r="AS729">
        <f>OR(AND(IF(Metadata!G729="",FALSE,TRUE),OR(exact(Metadata!G729,"not collected"),exact(Metadata!G729,"not provided"))),AND(IF(Metadata!G729="",FALSE,TRUE),OR(exact(Metadata!G729,"TRUE"),exact(Metadata!G729,"FALSE"))))</f>
        <v>0</v>
      </c>
      <c r="AT729">
        <f>OR(AND(IF(Metadata!H729="",FALSE,TRUE),OR(exact(Metadata!H729,"not collected"),exact(Metadata!H729,"not provided"),exact(Metadata!H729,"restricted access"))),AND(IF(Metadata!H729="",FALSE,ISNUMBER(VALUE(Metadata!H729))),Metadata!H729&gt;=-413.0))</f>
        <v>0</v>
      </c>
      <c r="AU729">
        <f>AND(IF(Metadata!I729="",FALSE,TRUE),exact(Metadata!I729,"meters"))</f>
        <v>0</v>
      </c>
      <c r="AV729">
        <f>AND(IF(Metadata!J729="",FALSE,TRUE),OR(exact(Metadata!J729,"Host-associated"),exact(Metadata!J729,"Free-living")))</f>
        <v>0</v>
      </c>
      <c r="AW729">
        <f>AND(IF(Metadata!K729="",FALSE,TRUE),OR(exact(Metadata!K729,"Animal"),exact(Metadata!K729,"Fungus"),exact(Metadata!K729,"Plant"),exact(Metadata!K729,"Saline"),exact(Metadata!K729,"Non-saline")))</f>
        <v>0</v>
      </c>
      <c r="AX729">
        <f>AND(IF(Metadata!L729="",FALSE,TRUE),OR(exact(Metadata!L729,"Plant secretion"),exact(Metadata!L729,"Plant rhizosphere"),exact(Metadata!L729,"Plant surface"),exact(Metadata!L729,"Plant corpus"),exact(Metadata!L729,"Fungus surface"),exact(Metadata!L729,"Fungus corpus"),exact(Metadata!L729,"Animal surface"),exact(Metadata!L729,"Animal proximal gut"),exact(Metadata!L729,"Animal corpus"),exact(Metadata!L729,"Animal distal gut"),exact(Metadata!L729,"Animal secretion"),exact(Metadata!L729,"Sub-surface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Y729">
        <f>IF(Metadata!M729="",FALSE,TRUE)</f>
        <v>0</v>
      </c>
      <c r="AZ729">
        <f>IF(Metadata!N729="",FALSE,TRUE)</f>
        <v>0</v>
      </c>
      <c r="BA729">
        <f>IF(Metadata!O729="",FALSE,TRUE)</f>
        <v>0</v>
      </c>
      <c r="BB729">
        <f>OR(AND(IF(Metadata!P729="",FALSE,TRUE),OR(exact(Metadata!P729,"not collected"),exact(Metadata!P729,"not provided"),exact(Metadata!P729,"restricted access"))),AND(IF(Metadata!P729="",FALSE,TRUE),OR(exact(Metadata!P729,"air"),exact(Metadata!P729,"built environment"),exact(Metadata!P729,"host-associated"),exact(Metadata!P729,"human-associated"),exact(Metadata!P729,"human-skin"),exact(Metadata!P729,"human-oral"),exact(Metadata!P729,"human-gut"),exact(Metadata!P729,"human-vaginal"),exact(Metadata!P729,"microbial mat/biofilm"),exact(Metadata!P729,"misc environment"),exact(Metadata!P729,"plant-associated"),exact(Metadata!P729,"sediment"),exact(Metadata!P729,"soil"),exact(Metadata!P729,"wastewater/sludge"),exact(Metadata!P729,"water"))))</f>
        <v>0</v>
      </c>
      <c r="BC729">
        <f>IF(Metadata!Q729="",FALSE,TRUE)</f>
        <v>0</v>
      </c>
      <c r="BD729">
        <f>IF(Metadata!R729="",FALSE,TRUE)</f>
        <v>0</v>
      </c>
      <c r="BE729">
        <f>OR(AND(IF(Metadata!S729="",FALSE,TRUE),OR(exact(Metadata!S729,"not collected"),exact(Metadata!S729,"not provided"),exact(Metadata!S729,"restricted access"))),AND(IF(Metadata!S729="",FALSE,ISNUMBER(VALUE(Metadata!S729))),Metadata!S729&gt;=-90.00,Metadata!S729&lt;=90.00))</f>
        <v>0</v>
      </c>
      <c r="BF729">
        <f>AND(IF(Metadata!T729="",FALSE,TRUE),exact(Metadata!T729,"Decimal degrees"))</f>
        <v>0</v>
      </c>
      <c r="BG729">
        <f>OR(AND(IF(Metadata!U729="",FALSE,TRUE),OR(exact(Metadata!U729,"not collected"),exact(Metadata!U729,"not provided"),exact(Metadata!U729,"restricted access"))),AND(IF(Metadata!U729="",FALSE,ISNUMBER(VALUE(Metadata!U729))),Metadata!U729&gt;=-180.00,Metadata!U729&lt;=180.00))</f>
        <v>0</v>
      </c>
      <c r="BH729">
        <f>AND(IF(Metadata!V729="",FALSE,TRUE),exact(Metadata!V729,"Decimal degrees"))</f>
        <v>0</v>
      </c>
      <c r="BI729">
        <f>IF(Metadata!W729="",FALSE,TRUE)</f>
        <v>0</v>
      </c>
      <c r="BJ729">
        <f>OR(AND(IF(Metadata!X729="",FALSE,TRUE),OR(exact(Metadata!X729,"not collected"),exact(Metadata!X729,"not provided"),exact(Metadata!X729,"restricted access"))),AND(IF(Metadata!X729="",FALSE,TRUE),OR(exact(Metadata!X729,"TRUE"),exact(Metadata!X729,"FALSE"))))</f>
        <v>0</v>
      </c>
      <c r="BK729">
        <f>AND(IF(Metadata!Y729="",FALSE,TRUE),exact(Metadata!Y729,"other"))</f>
        <v>0</v>
      </c>
      <c r="BL729">
        <f>IF(Metadata!Z729="",FALSE,TRUE)</f>
        <v>0</v>
      </c>
      <c r="BM729">
        <f>OR(AND(IF(Metadata!AA729="",FALSE,TRUE),OR(exact(Metadata!AA729,"not collected"),exact(Metadata!AA729,"not provided"))),AND(IF(Metadata!AA729="",FALSE,IF(ISERROR(INT(Metadata!AA729)),FALSE,INT(Metadata!AA729)=Metadata!AA729)),Metadata!AA729&gt;0))</f>
        <v>0</v>
      </c>
      <c r="BN729">
        <f>AND(IF(Metadata!AB729="",FALSE,TRUE),exact(Metadata!AB729,"Not applicable"))</f>
        <v>0</v>
      </c>
      <c r="BO729">
        <f>IF(Metadata!AC729="",FALSE,TRUE)</f>
        <v>0</v>
      </c>
    </row>
    <row r="730" spans="1:67">
      <c r="A730" s="5">
        <f>IF(B730=" "," ",HYPERLINK(CONCATENATE("#metadata!",ADDRESS(INDEX($AI$2:$AI$1001,MATCH(ROWS($AG$2:AG730),$AG$2:$AG$1001,0),0),1)),INDEX($AL$2:$AL$1001,MATCH(ROWS($AG$2:AG730),$AG$2:$AG$1001,0),0)))</f>
        <v>0</v>
      </c>
      <c r="B730" s="4">
        <f>IF(OR(INDEX($AH$2:$AH$1001,MATCH(ROWS($AG$2:AG730),$AG$2:$AG$1001,0),1)&gt;=100000,INDEX($AN$1005:$BO$1005,1,MATCH(COLUMNS($AN$1006:AN1006),$AN$1006:$BO$1006,0))&gt;=100000), " ",IF(INDEX($AN$2:$BO$1001,MATCH(ROWS($AG$2:AG730),$AG$2:$AG$1001,0),MATCH(COLUMNS($AN$1006:AN1006),$AN$1006:$BO$1006,0)), HYPERLINK("#",""), HYPERLINK(CONCATENATE("#Metadata!", ADDRESS(INDEX($AI$2:$AI$1001,MATCH(ROWS($AG$2:AG730),$AG$2:$AG$1001,0),0), INDEX($AN$1004:$BO$1004,1,MATCH(COLUMNS($AN$1006:AN1006),$AN$1006:$BO$1006,0)))),"Fix")))</f>
        <v>0</v>
      </c>
      <c r="C730" s="4">
        <f>IF(OR(INDEX($AH$2:$AH$1001,MATCH(ROWS($AG$2:AG730),$AG$2:$AG$1001,0),1)&gt;=100000,INDEX($AN$1005:$BO$1005,1,MATCH(COLUMNS($AN$1006:AO1006),$AN$1006:$BO$1006,0))&gt;=100000), " ",IF(INDEX($AN$2:$BO$1001,MATCH(ROWS($AG$2:AG730),$AG$2:$AG$1001,0),MATCH(COLUMNS($AN$1006:AO1006),$AN$1006:$BO$1006,0)), HYPERLINK("#",""), HYPERLINK(CONCATENATE("#Metadata!", ADDRESS(INDEX($AI$2:$AI$1001,MATCH(ROWS($AG$2:AG730),$AG$2:$AG$1001,0),0), INDEX($AN$1004:$BO$1004,1,MATCH(COLUMNS($AN$1006:AO1006),$AN$1006:$BO$1006,0)))),"Fix")))</f>
        <v>0</v>
      </c>
      <c r="D730" s="4">
        <f>IF(OR(INDEX($AH$2:$AH$1001,MATCH(ROWS($AG$2:AG730),$AG$2:$AG$1001,0),1)&gt;=100000,INDEX($AN$1005:$BO$1005,1,MATCH(COLUMNS($AN$1006:AP1006),$AN$1006:$BO$1006,0))&gt;=100000), " ",IF(INDEX($AN$2:$BO$1001,MATCH(ROWS($AG$2:AG730),$AG$2:$AG$1001,0),MATCH(COLUMNS($AN$1006:AP1006),$AN$1006:$BO$1006,0)), HYPERLINK("#",""), HYPERLINK(CONCATENATE("#Metadata!", ADDRESS(INDEX($AI$2:$AI$1001,MATCH(ROWS($AG$2:AG730),$AG$2:$AG$1001,0),0), INDEX($AN$1004:$BO$1004,1,MATCH(COLUMNS($AN$1006:AP1006),$AN$1006:$BO$1006,0)))),"Fix")))</f>
        <v>0</v>
      </c>
      <c r="E730" s="4">
        <f>IF(OR(INDEX($AH$2:$AH$1001,MATCH(ROWS($AG$2:AG730),$AG$2:$AG$1001,0),1)&gt;=100000,INDEX($AN$1005:$BO$1005,1,MATCH(COLUMNS($AN$1006:AQ1006),$AN$1006:$BO$1006,0))&gt;=100000), " ",IF(INDEX($AN$2:$BO$1001,MATCH(ROWS($AG$2:AG730),$AG$2:$AG$1001,0),MATCH(COLUMNS($AN$1006:AQ1006),$AN$1006:$BO$1006,0)), HYPERLINK("#",""), HYPERLINK(CONCATENATE("#Metadata!", ADDRESS(INDEX($AI$2:$AI$1001,MATCH(ROWS($AG$2:AG730),$AG$2:$AG$1001,0),0), INDEX($AN$1004:$BO$1004,1,MATCH(COLUMNS($AN$1006:AQ1006),$AN$1006:$BO$1006,0)))),"Fix")))</f>
        <v>0</v>
      </c>
      <c r="F730" s="4">
        <f>IF(OR(INDEX($AH$2:$AH$1001,MATCH(ROWS($AG$2:AG730),$AG$2:$AG$1001,0),1)&gt;=100000,INDEX($AN$1005:$BO$1005,1,MATCH(COLUMNS($AN$1006:AR1006),$AN$1006:$BO$1006,0))&gt;=100000), " ",IF(INDEX($AN$2:$BO$1001,MATCH(ROWS($AG$2:AG730),$AG$2:$AG$1001,0),MATCH(COLUMNS($AN$1006:AR1006),$AN$1006:$BO$1006,0)), HYPERLINK("#",""), HYPERLINK(CONCATENATE("#Metadata!", ADDRESS(INDEX($AI$2:$AI$1001,MATCH(ROWS($AG$2:AG730),$AG$2:$AG$1001,0),0), INDEX($AN$1004:$BO$1004,1,MATCH(COLUMNS($AN$1006:AR1006),$AN$1006:$BO$1006,0)))),"Fix")))</f>
        <v>0</v>
      </c>
      <c r="G730" s="4">
        <f>IF(OR(INDEX($AH$2:$AH$1001,MATCH(ROWS($AG$2:AG730),$AG$2:$AG$1001,0),1)&gt;=100000,INDEX($AN$1005:$BO$1005,1,MATCH(COLUMNS($AN$1006:AS1006),$AN$1006:$BO$1006,0))&gt;=100000), " ",IF(INDEX($AN$2:$BO$1001,MATCH(ROWS($AG$2:AG730),$AG$2:$AG$1001,0),MATCH(COLUMNS($AN$1006:AS1006),$AN$1006:$BO$1006,0)), HYPERLINK("#",""), HYPERLINK(CONCATENATE("#Metadata!", ADDRESS(INDEX($AI$2:$AI$1001,MATCH(ROWS($AG$2:AG730),$AG$2:$AG$1001,0),0), INDEX($AN$1004:$BO$1004,1,MATCH(COLUMNS($AN$1006:AS1006),$AN$1006:$BO$1006,0)))),"Fix")))</f>
        <v>0</v>
      </c>
      <c r="H730" s="4">
        <f>IF(OR(INDEX($AH$2:$AH$1001,MATCH(ROWS($AG$2:AG730),$AG$2:$AG$1001,0),1)&gt;=100000,INDEX($AN$1005:$BO$1005,1,MATCH(COLUMNS($AN$1006:AT1006),$AN$1006:$BO$1006,0))&gt;=100000), " ",IF(INDEX($AN$2:$BO$1001,MATCH(ROWS($AG$2:AG730),$AG$2:$AG$1001,0),MATCH(COLUMNS($AN$1006:AT1006),$AN$1006:$BO$1006,0)), HYPERLINK("#",""), HYPERLINK(CONCATENATE("#Metadata!", ADDRESS(INDEX($AI$2:$AI$1001,MATCH(ROWS($AG$2:AG730),$AG$2:$AG$1001,0),0), INDEX($AN$1004:$BO$1004,1,MATCH(COLUMNS($AN$1006:AT1006),$AN$1006:$BO$1006,0)))),"Fix")))</f>
        <v>0</v>
      </c>
      <c r="I730" s="4">
        <f>IF(OR(INDEX($AH$2:$AH$1001,MATCH(ROWS($AG$2:AG730),$AG$2:$AG$1001,0),1)&gt;=100000,INDEX($AN$1005:$BO$1005,1,MATCH(COLUMNS($AN$1006:AU1006),$AN$1006:$BO$1006,0))&gt;=100000), " ",IF(INDEX($AN$2:$BO$1001,MATCH(ROWS($AG$2:AG730),$AG$2:$AG$1001,0),MATCH(COLUMNS($AN$1006:AU1006),$AN$1006:$BO$1006,0)), HYPERLINK("#",""), HYPERLINK(CONCATENATE("#Metadata!", ADDRESS(INDEX($AI$2:$AI$1001,MATCH(ROWS($AG$2:AG730),$AG$2:$AG$1001,0),0), INDEX($AN$1004:$BO$1004,1,MATCH(COLUMNS($AN$1006:AU1006),$AN$1006:$BO$1006,0)))),"Fix")))</f>
        <v>0</v>
      </c>
      <c r="J730" s="4">
        <f>IF(OR(INDEX($AH$2:$AH$1001,MATCH(ROWS($AG$2:AG730),$AG$2:$AG$1001,0),1)&gt;=100000,INDEX($AN$1005:$BO$1005,1,MATCH(COLUMNS($AN$1006:AV1006),$AN$1006:$BO$1006,0))&gt;=100000), " ",IF(INDEX($AN$2:$BO$1001,MATCH(ROWS($AG$2:AG730),$AG$2:$AG$1001,0),MATCH(COLUMNS($AN$1006:AV1006),$AN$1006:$BO$1006,0)), HYPERLINK("#",""), HYPERLINK(CONCATENATE("#Metadata!", ADDRESS(INDEX($AI$2:$AI$1001,MATCH(ROWS($AG$2:AG730),$AG$2:$AG$1001,0),0), INDEX($AN$1004:$BO$1004,1,MATCH(COLUMNS($AN$1006:AV1006),$AN$1006:$BO$1006,0)))),"Fix")))</f>
        <v>0</v>
      </c>
      <c r="K730" s="4">
        <f>IF(OR(INDEX($AH$2:$AH$1001,MATCH(ROWS($AG$2:AG730),$AG$2:$AG$1001,0),1)&gt;=100000,INDEX($AN$1005:$BO$1005,1,MATCH(COLUMNS($AN$1006:AW1006),$AN$1006:$BO$1006,0))&gt;=100000), " ",IF(INDEX($AN$2:$BO$1001,MATCH(ROWS($AG$2:AG730),$AG$2:$AG$1001,0),MATCH(COLUMNS($AN$1006:AW1006),$AN$1006:$BO$1006,0)), HYPERLINK("#",""), HYPERLINK(CONCATENATE("#Metadata!", ADDRESS(INDEX($AI$2:$AI$1001,MATCH(ROWS($AG$2:AG730),$AG$2:$AG$1001,0),0), INDEX($AN$1004:$BO$1004,1,MATCH(COLUMNS($AN$1006:AW1006),$AN$1006:$BO$1006,0)))),"Fix")))</f>
        <v>0</v>
      </c>
      <c r="L730" s="4">
        <f>IF(OR(INDEX($AH$2:$AH$1001,MATCH(ROWS($AG$2:AG730),$AG$2:$AG$1001,0),1)&gt;=100000,INDEX($AN$1005:$BO$1005,1,MATCH(COLUMNS($AN$1006:AX1006),$AN$1006:$BO$1006,0))&gt;=100000), " ",IF(INDEX($AN$2:$BO$1001,MATCH(ROWS($AG$2:AG730),$AG$2:$AG$1001,0),MATCH(COLUMNS($AN$1006:AX1006),$AN$1006:$BO$1006,0)), HYPERLINK("#",""), HYPERLINK(CONCATENATE("#Metadata!", ADDRESS(INDEX($AI$2:$AI$1001,MATCH(ROWS($AG$2:AG730),$AG$2:$AG$1001,0),0), INDEX($AN$1004:$BO$1004,1,MATCH(COLUMNS($AN$1006:AX1006),$AN$1006:$BO$1006,0)))),"Fix")))</f>
        <v>0</v>
      </c>
      <c r="M730" s="4">
        <f>IF(OR(INDEX($AH$2:$AH$1001,MATCH(ROWS($AG$2:AG730),$AG$2:$AG$1001,0),1)&gt;=100000,INDEX($AN$1005:$BO$1005,1,MATCH(COLUMNS($AN$1006:AY1006),$AN$1006:$BO$1006,0))&gt;=100000), " ",IF(INDEX($AN$2:$BO$1001,MATCH(ROWS($AG$2:AG730),$AG$2:$AG$1001,0),MATCH(COLUMNS($AN$1006:AY1006),$AN$1006:$BO$1006,0)), HYPERLINK("#",""), HYPERLINK(CONCATENATE("#Metadata!", ADDRESS(INDEX($AI$2:$AI$1001,MATCH(ROWS($AG$2:AG730),$AG$2:$AG$1001,0),0), INDEX($AN$1004:$BO$1004,1,MATCH(COLUMNS($AN$1006:AY1006),$AN$1006:$BO$1006,0)))),"Fix")))</f>
        <v>0</v>
      </c>
      <c r="N730" s="4">
        <f>IF(OR(INDEX($AH$2:$AH$1001,MATCH(ROWS($AG$2:AG730),$AG$2:$AG$1001,0),1)&gt;=100000,INDEX($AN$1005:$BO$1005,1,MATCH(COLUMNS($AN$1006:AZ1006),$AN$1006:$BO$1006,0))&gt;=100000), " ",IF(INDEX($AN$2:$BO$1001,MATCH(ROWS($AG$2:AG730),$AG$2:$AG$1001,0),MATCH(COLUMNS($AN$1006:AZ1006),$AN$1006:$BO$1006,0)), HYPERLINK("#",""), HYPERLINK(CONCATENATE("#Metadata!", ADDRESS(INDEX($AI$2:$AI$1001,MATCH(ROWS($AG$2:AG730),$AG$2:$AG$1001,0),0), INDEX($AN$1004:$BO$1004,1,MATCH(COLUMNS($AN$1006:AZ1006),$AN$1006:$BO$1006,0)))),"Fix")))</f>
        <v>0</v>
      </c>
      <c r="O730" s="4">
        <f>IF(OR(INDEX($AH$2:$AH$1001,MATCH(ROWS($AG$2:AG730),$AG$2:$AG$1001,0),1)&gt;=100000,INDEX($AN$1005:$BO$1005,1,MATCH(COLUMNS($AN$1006:BA1006),$AN$1006:$BO$1006,0))&gt;=100000), " ",IF(INDEX($AN$2:$BO$1001,MATCH(ROWS($AG$2:AG730),$AG$2:$AG$1001,0),MATCH(COLUMNS($AN$1006:BA1006),$AN$1006:$BO$1006,0)), HYPERLINK("#",""), HYPERLINK(CONCATENATE("#Metadata!", ADDRESS(INDEX($AI$2:$AI$1001,MATCH(ROWS($AG$2:AG730),$AG$2:$AG$1001,0),0), INDEX($AN$1004:$BO$1004,1,MATCH(COLUMNS($AN$1006:BA1006),$AN$1006:$BO$1006,0)))),"Fix")))</f>
        <v>0</v>
      </c>
      <c r="P730" s="4">
        <f>IF(OR(INDEX($AH$2:$AH$1001,MATCH(ROWS($AG$2:AG730),$AG$2:$AG$1001,0),1)&gt;=100000,INDEX($AN$1005:$BO$1005,1,MATCH(COLUMNS($AN$1006:BB1006),$AN$1006:$BO$1006,0))&gt;=100000), " ",IF(INDEX($AN$2:$BO$1001,MATCH(ROWS($AG$2:AG730),$AG$2:$AG$1001,0),MATCH(COLUMNS($AN$1006:BB1006),$AN$1006:$BO$1006,0)), HYPERLINK("#",""), HYPERLINK(CONCATENATE("#Metadata!", ADDRESS(INDEX($AI$2:$AI$1001,MATCH(ROWS($AG$2:AG730),$AG$2:$AG$1001,0),0), INDEX($AN$1004:$BO$1004,1,MATCH(COLUMNS($AN$1006:BB1006),$AN$1006:$BO$1006,0)))),"Fix")))</f>
        <v>0</v>
      </c>
      <c r="Q730" s="4">
        <f>IF(OR(INDEX($AH$2:$AH$1001,MATCH(ROWS($AG$2:AG730),$AG$2:$AG$1001,0),1)&gt;=100000,INDEX($AN$1005:$BO$1005,1,MATCH(COLUMNS($AN$1006:BC1006),$AN$1006:$BO$1006,0))&gt;=100000), " ",IF(INDEX($AN$2:$BO$1001,MATCH(ROWS($AG$2:AG730),$AG$2:$AG$1001,0),MATCH(COLUMNS($AN$1006:BC1006),$AN$1006:$BO$1006,0)), HYPERLINK("#",""), HYPERLINK(CONCATENATE("#Metadata!", ADDRESS(INDEX($AI$2:$AI$1001,MATCH(ROWS($AG$2:AG730),$AG$2:$AG$1001,0),0), INDEX($AN$1004:$BO$1004,1,MATCH(COLUMNS($AN$1006:BC1006),$AN$1006:$BO$1006,0)))),"Fix")))</f>
        <v>0</v>
      </c>
      <c r="R730" s="4">
        <f>IF(OR(INDEX($AH$2:$AH$1001,MATCH(ROWS($AG$2:AG730),$AG$2:$AG$1001,0),1)&gt;=100000,INDEX($AN$1005:$BO$1005,1,MATCH(COLUMNS($AN$1006:BD1006),$AN$1006:$BO$1006,0))&gt;=100000), " ",IF(INDEX($AN$2:$BO$1001,MATCH(ROWS($AG$2:AG730),$AG$2:$AG$1001,0),MATCH(COLUMNS($AN$1006:BD1006),$AN$1006:$BO$1006,0)), HYPERLINK("#",""), HYPERLINK(CONCATENATE("#Metadata!", ADDRESS(INDEX($AI$2:$AI$1001,MATCH(ROWS($AG$2:AG730),$AG$2:$AG$1001,0),0), INDEX($AN$1004:$BO$1004,1,MATCH(COLUMNS($AN$1006:BD1006),$AN$1006:$BO$1006,0)))),"Fix")))</f>
        <v>0</v>
      </c>
      <c r="S730" s="4">
        <f>IF(OR(INDEX($AH$2:$AH$1001,MATCH(ROWS($AG$2:AG730),$AG$2:$AG$1001,0),1)&gt;=100000,INDEX($AN$1005:$BO$1005,1,MATCH(COLUMNS($AN$1006:BE1006),$AN$1006:$BO$1006,0))&gt;=100000), " ",IF(INDEX($AN$2:$BO$1001,MATCH(ROWS($AG$2:AG730),$AG$2:$AG$1001,0),MATCH(COLUMNS($AN$1006:BE1006),$AN$1006:$BO$1006,0)), HYPERLINK("#",""), HYPERLINK(CONCATENATE("#Metadata!", ADDRESS(INDEX($AI$2:$AI$1001,MATCH(ROWS($AG$2:AG730),$AG$2:$AG$1001,0),0), INDEX($AN$1004:$BO$1004,1,MATCH(COLUMNS($AN$1006:BE1006),$AN$1006:$BO$1006,0)))),"Fix")))</f>
        <v>0</v>
      </c>
      <c r="T730" s="4">
        <f>IF(OR(INDEX($AH$2:$AH$1001,MATCH(ROWS($AG$2:AG730),$AG$2:$AG$1001,0),1)&gt;=100000,INDEX($AN$1005:$BO$1005,1,MATCH(COLUMNS($AN$1006:BF1006),$AN$1006:$BO$1006,0))&gt;=100000), " ",IF(INDEX($AN$2:$BO$1001,MATCH(ROWS($AG$2:AG730),$AG$2:$AG$1001,0),MATCH(COLUMNS($AN$1006:BF1006),$AN$1006:$BO$1006,0)), HYPERLINK("#",""), HYPERLINK(CONCATENATE("#Metadata!", ADDRESS(INDEX($AI$2:$AI$1001,MATCH(ROWS($AG$2:AG730),$AG$2:$AG$1001,0),0), INDEX($AN$1004:$BO$1004,1,MATCH(COLUMNS($AN$1006:BF1006),$AN$1006:$BO$1006,0)))),"Fix")))</f>
        <v>0</v>
      </c>
      <c r="U730" s="4">
        <f>IF(OR(INDEX($AH$2:$AH$1001,MATCH(ROWS($AG$2:AG730),$AG$2:$AG$1001,0),1)&gt;=100000,INDEX($AN$1005:$BO$1005,1,MATCH(COLUMNS($AN$1006:BG1006),$AN$1006:$BO$1006,0))&gt;=100000), " ",IF(INDEX($AN$2:$BO$1001,MATCH(ROWS($AG$2:AG730),$AG$2:$AG$1001,0),MATCH(COLUMNS($AN$1006:BG1006),$AN$1006:$BO$1006,0)), HYPERLINK("#",""), HYPERLINK(CONCATENATE("#Metadata!", ADDRESS(INDEX($AI$2:$AI$1001,MATCH(ROWS($AG$2:AG730),$AG$2:$AG$1001,0),0), INDEX($AN$1004:$BO$1004,1,MATCH(COLUMNS($AN$1006:BG1006),$AN$1006:$BO$1006,0)))),"Fix")))</f>
        <v>0</v>
      </c>
      <c r="V730" s="4">
        <f>IF(OR(INDEX($AH$2:$AH$1001,MATCH(ROWS($AG$2:AG730),$AG$2:$AG$1001,0),1)&gt;=100000,INDEX($AN$1005:$BO$1005,1,MATCH(COLUMNS($AN$1006:BH1006),$AN$1006:$BO$1006,0))&gt;=100000), " ",IF(INDEX($AN$2:$BO$1001,MATCH(ROWS($AG$2:AG730),$AG$2:$AG$1001,0),MATCH(COLUMNS($AN$1006:BH1006),$AN$1006:$BO$1006,0)), HYPERLINK("#",""), HYPERLINK(CONCATENATE("#Metadata!", ADDRESS(INDEX($AI$2:$AI$1001,MATCH(ROWS($AG$2:AG730),$AG$2:$AG$1001,0),0), INDEX($AN$1004:$BO$1004,1,MATCH(COLUMNS($AN$1006:BH1006),$AN$1006:$BO$1006,0)))),"Fix")))</f>
        <v>0</v>
      </c>
      <c r="W730" s="4">
        <f>IF(OR(INDEX($AH$2:$AH$1001,MATCH(ROWS($AG$2:AG730),$AG$2:$AG$1001,0),1)&gt;=100000,INDEX($AN$1005:$BO$1005,1,MATCH(COLUMNS($AN$1006:BI1006),$AN$1006:$BO$1006,0))&gt;=100000), " ",IF(INDEX($AN$2:$BO$1001,MATCH(ROWS($AG$2:AG730),$AG$2:$AG$1001,0),MATCH(COLUMNS($AN$1006:BI1006),$AN$1006:$BO$1006,0)), HYPERLINK("#",""), HYPERLINK(CONCATENATE("#Metadata!", ADDRESS(INDEX($AI$2:$AI$1001,MATCH(ROWS($AG$2:AG730),$AG$2:$AG$1001,0),0), INDEX($AN$1004:$BO$1004,1,MATCH(COLUMNS($AN$1006:BI1006),$AN$1006:$BO$1006,0)))),"Fix")))</f>
        <v>0</v>
      </c>
      <c r="X730" s="4">
        <f>IF(OR(INDEX($AH$2:$AH$1001,MATCH(ROWS($AG$2:AG730),$AG$2:$AG$1001,0),1)&gt;=100000,INDEX($AN$1005:$BO$1005,1,MATCH(COLUMNS($AN$1006:BJ1006),$AN$1006:$BO$1006,0))&gt;=100000), " ",IF(INDEX($AN$2:$BO$1001,MATCH(ROWS($AG$2:AG730),$AG$2:$AG$1001,0),MATCH(COLUMNS($AN$1006:BJ1006),$AN$1006:$BO$1006,0)), HYPERLINK("#",""), HYPERLINK(CONCATENATE("#Metadata!", ADDRESS(INDEX($AI$2:$AI$1001,MATCH(ROWS($AG$2:AG730),$AG$2:$AG$1001,0),0), INDEX($AN$1004:$BO$1004,1,MATCH(COLUMNS($AN$1006:BJ1006),$AN$1006:$BO$1006,0)))),"Fix")))</f>
        <v>0</v>
      </c>
      <c r="Y730" s="4">
        <f>IF(OR(INDEX($AH$2:$AH$1001,MATCH(ROWS($AG$2:AG730),$AG$2:$AG$1001,0),1)&gt;=100000,INDEX($AN$1005:$BO$1005,1,MATCH(COLUMNS($AN$1006:BK1006),$AN$1006:$BO$1006,0))&gt;=100000), " ",IF(INDEX($AN$2:$BO$1001,MATCH(ROWS($AG$2:AG730),$AG$2:$AG$1001,0),MATCH(COLUMNS($AN$1006:BK1006),$AN$1006:$BO$1006,0)), HYPERLINK("#",""), HYPERLINK(CONCATENATE("#Metadata!", ADDRESS(INDEX($AI$2:$AI$1001,MATCH(ROWS($AG$2:AG730),$AG$2:$AG$1001,0),0), INDEX($AN$1004:$BO$1004,1,MATCH(COLUMNS($AN$1006:BK1006),$AN$1006:$BO$1006,0)))),"Fix")))</f>
        <v>0</v>
      </c>
      <c r="Z730" s="4">
        <f>IF(OR(INDEX($AH$2:$AH$1001,MATCH(ROWS($AG$2:AG730),$AG$2:$AG$1001,0),1)&gt;=100000,INDEX($AN$1005:$BO$1005,1,MATCH(COLUMNS($AN$1006:BL1006),$AN$1006:$BO$1006,0))&gt;=100000), " ",IF(INDEX($AN$2:$BO$1001,MATCH(ROWS($AG$2:AG730),$AG$2:$AG$1001,0),MATCH(COLUMNS($AN$1006:BL1006),$AN$1006:$BO$1006,0)), HYPERLINK("#",""), HYPERLINK(CONCATENATE("#Metadata!", ADDRESS(INDEX($AI$2:$AI$1001,MATCH(ROWS($AG$2:AG730),$AG$2:$AG$1001,0),0), INDEX($AN$1004:$BO$1004,1,MATCH(COLUMNS($AN$1006:BL1006),$AN$1006:$BO$1006,0)))),"Fix")))</f>
        <v>0</v>
      </c>
      <c r="AA730" s="4">
        <f>IF(OR(INDEX($AH$2:$AH$1001,MATCH(ROWS($AG$2:AG730),$AG$2:$AG$1001,0),1)&gt;=100000,INDEX($AN$1005:$BO$1005,1,MATCH(COLUMNS($AN$1006:BM1006),$AN$1006:$BO$1006,0))&gt;=100000), " ",IF(INDEX($AN$2:$BO$1001,MATCH(ROWS($AG$2:AG730),$AG$2:$AG$1001,0),MATCH(COLUMNS($AN$1006:BM1006),$AN$1006:$BO$1006,0)), HYPERLINK("#",""), HYPERLINK(CONCATENATE("#Metadata!", ADDRESS(INDEX($AI$2:$AI$1001,MATCH(ROWS($AG$2:AG730),$AG$2:$AG$1001,0),0), INDEX($AN$1004:$BO$1004,1,MATCH(COLUMNS($AN$1006:BM1006),$AN$1006:$BO$1006,0)))),"Fix")))</f>
        <v>0</v>
      </c>
      <c r="AB730" s="4">
        <f>IF(OR(INDEX($AH$2:$AH$1001,MATCH(ROWS($AG$2:AG730),$AG$2:$AG$1001,0),1)&gt;=100000,INDEX($AN$1005:$BO$1005,1,MATCH(COLUMNS($AN$1006:BN1006),$AN$1006:$BO$1006,0))&gt;=100000), " ",IF(INDEX($AN$2:$BO$1001,MATCH(ROWS($AG$2:AG730),$AG$2:$AG$1001,0),MATCH(COLUMNS($AN$1006:BN1006),$AN$1006:$BO$1006,0)), HYPERLINK("#",""), HYPERLINK(CONCATENATE("#Metadata!", ADDRESS(INDEX($AI$2:$AI$1001,MATCH(ROWS($AG$2:AG730),$AG$2:$AG$1001,0),0), INDEX($AN$1004:$BO$1004,1,MATCH(COLUMNS($AN$1006:BN1006),$AN$1006:$BO$1006,0)))),"Fix")))</f>
        <v>0</v>
      </c>
      <c r="AC730" s="4">
        <f>IF(OR(INDEX($AH$2:$AH$1001,MATCH(ROWS($AG$2:AG730),$AG$2:$AG$1001,0),1)&gt;=100000,INDEX($AN$1005:$BO$1005,1,MATCH(COLUMNS($AN$1006:BO1006),$AN$1006:$BO$1006,0))&gt;=100000), " ",IF(INDEX($AN$2:$BO$1001,MATCH(ROWS($AG$2:AG730),$AG$2:$AG$1001,0),MATCH(COLUMNS($AN$1006:BO1006),$AN$1006:$BO$1006,0)), HYPERLINK("#",""), HYPERLINK(CONCATENATE("#Metadata!", ADDRESS(INDEX($AI$2:$AI$1001,MATCH(ROWS($AG$2:AG730),$AG$2:$AG$1001,0),0), INDEX($AN$1004:$BO$1004,1,MATCH(COLUMNS($AN$1006:BO1006),$AN$1006:$BO$1006,0)))),"Fix")))</f>
        <v>0</v>
      </c>
      <c r="AG730">
        <v>0</v>
      </c>
      <c r="AH730">
        <v>0</v>
      </c>
      <c r="AI730">
        <v>0</v>
      </c>
      <c r="AJ730">
        <f>IF(AK730,TRUE,AND(AN730:BO730))</f>
        <v>0</v>
      </c>
      <c r="AK730">
        <f>COUNTBLANK(Metadata!B730:AC730)=COLUMNS(Metadata!B730:AC730)</f>
        <v>0</v>
      </c>
      <c r="AL730">
        <v>0</v>
      </c>
      <c r="AN730">
        <f>AND(IF(Metadata!B730="",FALSE,TRUE),COUNTIF(Metadata!B:B, Metadata!B730) = 1,NOT(ISERROR(SUMPRODUCT(SEARCH(MID(Metadata!B730,ROW(INDIRECT("1:"&amp;LEN(Metadata!B730))), 1),"0123456789abcdefghijklmnopqrstuvwxyzABCDEFGHIJKLMNOPQRSTUVWXYZ.")))))</f>
        <v>0</v>
      </c>
      <c r="AO730">
        <f>IF(Metadata!C730="",FALSE,TRUE)</f>
        <v>0</v>
      </c>
      <c r="AP730">
        <f>IF(Metadata!D730="",FALSE,TRUE)</f>
        <v>0</v>
      </c>
      <c r="AQ730">
        <f>OR(AND(IF(Metadata!E730="",FALSE,TRUE),OR(exact(Metadata!E730,"not collected"),exact(Metadata!E730,"not provided"),exact(Metadata!E730,"restricted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R730">
        <f>IF(Metadata!F730="",FALSE,TRUE)</f>
        <v>0</v>
      </c>
      <c r="AS730">
        <f>OR(AND(IF(Metadata!G730="",FALSE,TRUE),OR(exact(Metadata!G730,"not collected"),exact(Metadata!G730,"not provided"))),AND(IF(Metadata!G730="",FALSE,TRUE),OR(exact(Metadata!G730,"TRUE"),exact(Metadata!G730,"FALSE"))))</f>
        <v>0</v>
      </c>
      <c r="AT730">
        <f>OR(AND(IF(Metadata!H730="",FALSE,TRUE),OR(exact(Metadata!H730,"not collected"),exact(Metadata!H730,"not provided"),exact(Metadata!H730,"restricted access"))),AND(IF(Metadata!H730="",FALSE,ISNUMBER(VALUE(Metadata!H730))),Metadata!H730&gt;=-413.0))</f>
        <v>0</v>
      </c>
      <c r="AU730">
        <f>AND(IF(Metadata!I730="",FALSE,TRUE),exact(Metadata!I730,"meters"))</f>
        <v>0</v>
      </c>
      <c r="AV730">
        <f>AND(IF(Metadata!J730="",FALSE,TRUE),OR(exact(Metadata!J730,"Host-associated"),exact(Metadata!J730,"Free-living")))</f>
        <v>0</v>
      </c>
      <c r="AW730">
        <f>AND(IF(Metadata!K730="",FALSE,TRUE),OR(exact(Metadata!K730,"Animal"),exact(Metadata!K730,"Fungus"),exact(Metadata!K730,"Plant"),exact(Metadata!K730,"Saline"),exact(Metadata!K730,"Non-saline")))</f>
        <v>0</v>
      </c>
      <c r="AX730">
        <f>AND(IF(Metadata!L730="",FALSE,TRUE),OR(exact(Metadata!L730,"Plant secretion"),exact(Metadata!L730,"Plant rhizosphere"),exact(Metadata!L730,"Plant surface"),exact(Metadata!L730,"Plant corpus"),exact(Metadata!L730,"Fungus surface"),exact(Metadata!L730,"Fungus corpus"),exact(Metadata!L730,"Animal surface"),exact(Metadata!L730,"Animal proximal gut"),exact(Metadata!L730,"Animal corpus"),exact(Metadata!L730,"Animal distal gut"),exact(Metadata!L730,"Animal secretion"),exact(Metadata!L730,"Sub-surface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Y730">
        <f>IF(Metadata!M730="",FALSE,TRUE)</f>
        <v>0</v>
      </c>
      <c r="AZ730">
        <f>IF(Metadata!N730="",FALSE,TRUE)</f>
        <v>0</v>
      </c>
      <c r="BA730">
        <f>IF(Metadata!O730="",FALSE,TRUE)</f>
        <v>0</v>
      </c>
      <c r="BB730">
        <f>OR(AND(IF(Metadata!P730="",FALSE,TRUE),OR(exact(Metadata!P730,"not collected"),exact(Metadata!P730,"not provided"),exact(Metadata!P730,"restricted access"))),AND(IF(Metadata!P730="",FALSE,TRUE),OR(exact(Metadata!P730,"air"),exact(Metadata!P730,"built environment"),exact(Metadata!P730,"host-associated"),exact(Metadata!P730,"human-associated"),exact(Metadata!P730,"human-skin"),exact(Metadata!P730,"human-oral"),exact(Metadata!P730,"human-gut"),exact(Metadata!P730,"human-vaginal"),exact(Metadata!P730,"microbial mat/biofilm"),exact(Metadata!P730,"misc environment"),exact(Metadata!P730,"plant-associated"),exact(Metadata!P730,"sediment"),exact(Metadata!P730,"soil"),exact(Metadata!P730,"wastewater/sludge"),exact(Metadata!P730,"water"))))</f>
        <v>0</v>
      </c>
      <c r="BC730">
        <f>IF(Metadata!Q730="",FALSE,TRUE)</f>
        <v>0</v>
      </c>
      <c r="BD730">
        <f>IF(Metadata!R730="",FALSE,TRUE)</f>
        <v>0</v>
      </c>
      <c r="BE730">
        <f>OR(AND(IF(Metadata!S730="",FALSE,TRUE),OR(exact(Metadata!S730,"not collected"),exact(Metadata!S730,"not provided"),exact(Metadata!S730,"restricted access"))),AND(IF(Metadata!S730="",FALSE,ISNUMBER(VALUE(Metadata!S730))),Metadata!S730&gt;=-90.00,Metadata!S730&lt;=90.00))</f>
        <v>0</v>
      </c>
      <c r="BF730">
        <f>AND(IF(Metadata!T730="",FALSE,TRUE),exact(Metadata!T730,"Decimal degrees"))</f>
        <v>0</v>
      </c>
      <c r="BG730">
        <f>OR(AND(IF(Metadata!U730="",FALSE,TRUE),OR(exact(Metadata!U730,"not collected"),exact(Metadata!U730,"not provided"),exact(Metadata!U730,"restricted access"))),AND(IF(Metadata!U730="",FALSE,ISNUMBER(VALUE(Metadata!U730))),Metadata!U730&gt;=-180.00,Metadata!U730&lt;=180.00))</f>
        <v>0</v>
      </c>
      <c r="BH730">
        <f>AND(IF(Metadata!V730="",FALSE,TRUE),exact(Metadata!V730,"Decimal degrees"))</f>
        <v>0</v>
      </c>
      <c r="BI730">
        <f>IF(Metadata!W730="",FALSE,TRUE)</f>
        <v>0</v>
      </c>
      <c r="BJ730">
        <f>OR(AND(IF(Metadata!X730="",FALSE,TRUE),OR(exact(Metadata!X730,"not collected"),exact(Metadata!X730,"not provided"),exact(Metadata!X730,"restricted access"))),AND(IF(Metadata!X730="",FALSE,TRUE),OR(exact(Metadata!X730,"TRUE"),exact(Metadata!X730,"FALSE"))))</f>
        <v>0</v>
      </c>
      <c r="BK730">
        <f>AND(IF(Metadata!Y730="",FALSE,TRUE),exact(Metadata!Y730,"other"))</f>
        <v>0</v>
      </c>
      <c r="BL730">
        <f>IF(Metadata!Z730="",FALSE,TRUE)</f>
        <v>0</v>
      </c>
      <c r="BM730">
        <f>OR(AND(IF(Metadata!AA730="",FALSE,TRUE),OR(exact(Metadata!AA730,"not collected"),exact(Metadata!AA730,"not provided"))),AND(IF(Metadata!AA730="",FALSE,IF(ISERROR(INT(Metadata!AA730)),FALSE,INT(Metadata!AA730)=Metadata!AA730)),Metadata!AA730&gt;0))</f>
        <v>0</v>
      </c>
      <c r="BN730">
        <f>AND(IF(Metadata!AB730="",FALSE,TRUE),exact(Metadata!AB730,"Not applicable"))</f>
        <v>0</v>
      </c>
      <c r="BO730">
        <f>IF(Metadata!AC730="",FALSE,TRUE)</f>
        <v>0</v>
      </c>
    </row>
    <row r="731" spans="1:67">
      <c r="A731" s="5">
        <f>IF(B731=" "," ",HYPERLINK(CONCATENATE("#metadata!",ADDRESS(INDEX($AI$2:$AI$1001,MATCH(ROWS($AG$2:AG731),$AG$2:$AG$1001,0),0),1)),INDEX($AL$2:$AL$1001,MATCH(ROWS($AG$2:AG731),$AG$2:$AG$1001,0),0)))</f>
        <v>0</v>
      </c>
      <c r="B731" s="4">
        <f>IF(OR(INDEX($AH$2:$AH$1001,MATCH(ROWS($AG$2:AG731),$AG$2:$AG$1001,0),1)&gt;=100000,INDEX($AN$1005:$BO$1005,1,MATCH(COLUMNS($AN$1006:AN1006),$AN$1006:$BO$1006,0))&gt;=100000), " ",IF(INDEX($AN$2:$BO$1001,MATCH(ROWS($AG$2:AG731),$AG$2:$AG$1001,0),MATCH(COLUMNS($AN$1006:AN1006),$AN$1006:$BO$1006,0)), HYPERLINK("#",""), HYPERLINK(CONCATENATE("#Metadata!", ADDRESS(INDEX($AI$2:$AI$1001,MATCH(ROWS($AG$2:AG731),$AG$2:$AG$1001,0),0), INDEX($AN$1004:$BO$1004,1,MATCH(COLUMNS($AN$1006:AN1006),$AN$1006:$BO$1006,0)))),"Fix")))</f>
        <v>0</v>
      </c>
      <c r="C731" s="4">
        <f>IF(OR(INDEX($AH$2:$AH$1001,MATCH(ROWS($AG$2:AG731),$AG$2:$AG$1001,0),1)&gt;=100000,INDEX($AN$1005:$BO$1005,1,MATCH(COLUMNS($AN$1006:AO1006),$AN$1006:$BO$1006,0))&gt;=100000), " ",IF(INDEX($AN$2:$BO$1001,MATCH(ROWS($AG$2:AG731),$AG$2:$AG$1001,0),MATCH(COLUMNS($AN$1006:AO1006),$AN$1006:$BO$1006,0)), HYPERLINK("#",""), HYPERLINK(CONCATENATE("#Metadata!", ADDRESS(INDEX($AI$2:$AI$1001,MATCH(ROWS($AG$2:AG731),$AG$2:$AG$1001,0),0), INDEX($AN$1004:$BO$1004,1,MATCH(COLUMNS($AN$1006:AO1006),$AN$1006:$BO$1006,0)))),"Fix")))</f>
        <v>0</v>
      </c>
      <c r="D731" s="4">
        <f>IF(OR(INDEX($AH$2:$AH$1001,MATCH(ROWS($AG$2:AG731),$AG$2:$AG$1001,0),1)&gt;=100000,INDEX($AN$1005:$BO$1005,1,MATCH(COLUMNS($AN$1006:AP1006),$AN$1006:$BO$1006,0))&gt;=100000), " ",IF(INDEX($AN$2:$BO$1001,MATCH(ROWS($AG$2:AG731),$AG$2:$AG$1001,0),MATCH(COLUMNS($AN$1006:AP1006),$AN$1006:$BO$1006,0)), HYPERLINK("#",""), HYPERLINK(CONCATENATE("#Metadata!", ADDRESS(INDEX($AI$2:$AI$1001,MATCH(ROWS($AG$2:AG731),$AG$2:$AG$1001,0),0), INDEX($AN$1004:$BO$1004,1,MATCH(COLUMNS($AN$1006:AP1006),$AN$1006:$BO$1006,0)))),"Fix")))</f>
        <v>0</v>
      </c>
      <c r="E731" s="4">
        <f>IF(OR(INDEX($AH$2:$AH$1001,MATCH(ROWS($AG$2:AG731),$AG$2:$AG$1001,0),1)&gt;=100000,INDEX($AN$1005:$BO$1005,1,MATCH(COLUMNS($AN$1006:AQ1006),$AN$1006:$BO$1006,0))&gt;=100000), " ",IF(INDEX($AN$2:$BO$1001,MATCH(ROWS($AG$2:AG731),$AG$2:$AG$1001,0),MATCH(COLUMNS($AN$1006:AQ1006),$AN$1006:$BO$1006,0)), HYPERLINK("#",""), HYPERLINK(CONCATENATE("#Metadata!", ADDRESS(INDEX($AI$2:$AI$1001,MATCH(ROWS($AG$2:AG731),$AG$2:$AG$1001,0),0), INDEX($AN$1004:$BO$1004,1,MATCH(COLUMNS($AN$1006:AQ1006),$AN$1006:$BO$1006,0)))),"Fix")))</f>
        <v>0</v>
      </c>
      <c r="F731" s="4">
        <f>IF(OR(INDEX($AH$2:$AH$1001,MATCH(ROWS($AG$2:AG731),$AG$2:$AG$1001,0),1)&gt;=100000,INDEX($AN$1005:$BO$1005,1,MATCH(COLUMNS($AN$1006:AR1006),$AN$1006:$BO$1006,0))&gt;=100000), " ",IF(INDEX($AN$2:$BO$1001,MATCH(ROWS($AG$2:AG731),$AG$2:$AG$1001,0),MATCH(COLUMNS($AN$1006:AR1006),$AN$1006:$BO$1006,0)), HYPERLINK("#",""), HYPERLINK(CONCATENATE("#Metadata!", ADDRESS(INDEX($AI$2:$AI$1001,MATCH(ROWS($AG$2:AG731),$AG$2:$AG$1001,0),0), INDEX($AN$1004:$BO$1004,1,MATCH(COLUMNS($AN$1006:AR1006),$AN$1006:$BO$1006,0)))),"Fix")))</f>
        <v>0</v>
      </c>
      <c r="G731" s="4">
        <f>IF(OR(INDEX($AH$2:$AH$1001,MATCH(ROWS($AG$2:AG731),$AG$2:$AG$1001,0),1)&gt;=100000,INDEX($AN$1005:$BO$1005,1,MATCH(COLUMNS($AN$1006:AS1006),$AN$1006:$BO$1006,0))&gt;=100000), " ",IF(INDEX($AN$2:$BO$1001,MATCH(ROWS($AG$2:AG731),$AG$2:$AG$1001,0),MATCH(COLUMNS($AN$1006:AS1006),$AN$1006:$BO$1006,0)), HYPERLINK("#",""), HYPERLINK(CONCATENATE("#Metadata!", ADDRESS(INDEX($AI$2:$AI$1001,MATCH(ROWS($AG$2:AG731),$AG$2:$AG$1001,0),0), INDEX($AN$1004:$BO$1004,1,MATCH(COLUMNS($AN$1006:AS1006),$AN$1006:$BO$1006,0)))),"Fix")))</f>
        <v>0</v>
      </c>
      <c r="H731" s="4">
        <f>IF(OR(INDEX($AH$2:$AH$1001,MATCH(ROWS($AG$2:AG731),$AG$2:$AG$1001,0),1)&gt;=100000,INDEX($AN$1005:$BO$1005,1,MATCH(COLUMNS($AN$1006:AT1006),$AN$1006:$BO$1006,0))&gt;=100000), " ",IF(INDEX($AN$2:$BO$1001,MATCH(ROWS($AG$2:AG731),$AG$2:$AG$1001,0),MATCH(COLUMNS($AN$1006:AT1006),$AN$1006:$BO$1006,0)), HYPERLINK("#",""), HYPERLINK(CONCATENATE("#Metadata!", ADDRESS(INDEX($AI$2:$AI$1001,MATCH(ROWS($AG$2:AG731),$AG$2:$AG$1001,0),0), INDEX($AN$1004:$BO$1004,1,MATCH(COLUMNS($AN$1006:AT1006),$AN$1006:$BO$1006,0)))),"Fix")))</f>
        <v>0</v>
      </c>
      <c r="I731" s="4">
        <f>IF(OR(INDEX($AH$2:$AH$1001,MATCH(ROWS($AG$2:AG731),$AG$2:$AG$1001,0),1)&gt;=100000,INDEX($AN$1005:$BO$1005,1,MATCH(COLUMNS($AN$1006:AU1006),$AN$1006:$BO$1006,0))&gt;=100000), " ",IF(INDEX($AN$2:$BO$1001,MATCH(ROWS($AG$2:AG731),$AG$2:$AG$1001,0),MATCH(COLUMNS($AN$1006:AU1006),$AN$1006:$BO$1006,0)), HYPERLINK("#",""), HYPERLINK(CONCATENATE("#Metadata!", ADDRESS(INDEX($AI$2:$AI$1001,MATCH(ROWS($AG$2:AG731),$AG$2:$AG$1001,0),0), INDEX($AN$1004:$BO$1004,1,MATCH(COLUMNS($AN$1006:AU1006),$AN$1006:$BO$1006,0)))),"Fix")))</f>
        <v>0</v>
      </c>
      <c r="J731" s="4">
        <f>IF(OR(INDEX($AH$2:$AH$1001,MATCH(ROWS($AG$2:AG731),$AG$2:$AG$1001,0),1)&gt;=100000,INDEX($AN$1005:$BO$1005,1,MATCH(COLUMNS($AN$1006:AV1006),$AN$1006:$BO$1006,0))&gt;=100000), " ",IF(INDEX($AN$2:$BO$1001,MATCH(ROWS($AG$2:AG731),$AG$2:$AG$1001,0),MATCH(COLUMNS($AN$1006:AV1006),$AN$1006:$BO$1006,0)), HYPERLINK("#",""), HYPERLINK(CONCATENATE("#Metadata!", ADDRESS(INDEX($AI$2:$AI$1001,MATCH(ROWS($AG$2:AG731),$AG$2:$AG$1001,0),0), INDEX($AN$1004:$BO$1004,1,MATCH(COLUMNS($AN$1006:AV1006),$AN$1006:$BO$1006,0)))),"Fix")))</f>
        <v>0</v>
      </c>
      <c r="K731" s="4">
        <f>IF(OR(INDEX($AH$2:$AH$1001,MATCH(ROWS($AG$2:AG731),$AG$2:$AG$1001,0),1)&gt;=100000,INDEX($AN$1005:$BO$1005,1,MATCH(COLUMNS($AN$1006:AW1006),$AN$1006:$BO$1006,0))&gt;=100000), " ",IF(INDEX($AN$2:$BO$1001,MATCH(ROWS($AG$2:AG731),$AG$2:$AG$1001,0),MATCH(COLUMNS($AN$1006:AW1006),$AN$1006:$BO$1006,0)), HYPERLINK("#",""), HYPERLINK(CONCATENATE("#Metadata!", ADDRESS(INDEX($AI$2:$AI$1001,MATCH(ROWS($AG$2:AG731),$AG$2:$AG$1001,0),0), INDEX($AN$1004:$BO$1004,1,MATCH(COLUMNS($AN$1006:AW1006),$AN$1006:$BO$1006,0)))),"Fix")))</f>
        <v>0</v>
      </c>
      <c r="L731" s="4">
        <f>IF(OR(INDEX($AH$2:$AH$1001,MATCH(ROWS($AG$2:AG731),$AG$2:$AG$1001,0),1)&gt;=100000,INDEX($AN$1005:$BO$1005,1,MATCH(COLUMNS($AN$1006:AX1006),$AN$1006:$BO$1006,0))&gt;=100000), " ",IF(INDEX($AN$2:$BO$1001,MATCH(ROWS($AG$2:AG731),$AG$2:$AG$1001,0),MATCH(COLUMNS($AN$1006:AX1006),$AN$1006:$BO$1006,0)), HYPERLINK("#",""), HYPERLINK(CONCATENATE("#Metadata!", ADDRESS(INDEX($AI$2:$AI$1001,MATCH(ROWS($AG$2:AG731),$AG$2:$AG$1001,0),0), INDEX($AN$1004:$BO$1004,1,MATCH(COLUMNS($AN$1006:AX1006),$AN$1006:$BO$1006,0)))),"Fix")))</f>
        <v>0</v>
      </c>
      <c r="M731" s="4">
        <f>IF(OR(INDEX($AH$2:$AH$1001,MATCH(ROWS($AG$2:AG731),$AG$2:$AG$1001,0),1)&gt;=100000,INDEX($AN$1005:$BO$1005,1,MATCH(COLUMNS($AN$1006:AY1006),$AN$1006:$BO$1006,0))&gt;=100000), " ",IF(INDEX($AN$2:$BO$1001,MATCH(ROWS($AG$2:AG731),$AG$2:$AG$1001,0),MATCH(COLUMNS($AN$1006:AY1006),$AN$1006:$BO$1006,0)), HYPERLINK("#",""), HYPERLINK(CONCATENATE("#Metadata!", ADDRESS(INDEX($AI$2:$AI$1001,MATCH(ROWS($AG$2:AG731),$AG$2:$AG$1001,0),0), INDEX($AN$1004:$BO$1004,1,MATCH(COLUMNS($AN$1006:AY1006),$AN$1006:$BO$1006,0)))),"Fix")))</f>
        <v>0</v>
      </c>
      <c r="N731" s="4">
        <f>IF(OR(INDEX($AH$2:$AH$1001,MATCH(ROWS($AG$2:AG731),$AG$2:$AG$1001,0),1)&gt;=100000,INDEX($AN$1005:$BO$1005,1,MATCH(COLUMNS($AN$1006:AZ1006),$AN$1006:$BO$1006,0))&gt;=100000), " ",IF(INDEX($AN$2:$BO$1001,MATCH(ROWS($AG$2:AG731),$AG$2:$AG$1001,0),MATCH(COLUMNS($AN$1006:AZ1006),$AN$1006:$BO$1006,0)), HYPERLINK("#",""), HYPERLINK(CONCATENATE("#Metadata!", ADDRESS(INDEX($AI$2:$AI$1001,MATCH(ROWS($AG$2:AG731),$AG$2:$AG$1001,0),0), INDEX($AN$1004:$BO$1004,1,MATCH(COLUMNS($AN$1006:AZ1006),$AN$1006:$BO$1006,0)))),"Fix")))</f>
        <v>0</v>
      </c>
      <c r="O731" s="4">
        <f>IF(OR(INDEX($AH$2:$AH$1001,MATCH(ROWS($AG$2:AG731),$AG$2:$AG$1001,0),1)&gt;=100000,INDEX($AN$1005:$BO$1005,1,MATCH(COLUMNS($AN$1006:BA1006),$AN$1006:$BO$1006,0))&gt;=100000), " ",IF(INDEX($AN$2:$BO$1001,MATCH(ROWS($AG$2:AG731),$AG$2:$AG$1001,0),MATCH(COLUMNS($AN$1006:BA1006),$AN$1006:$BO$1006,0)), HYPERLINK("#",""), HYPERLINK(CONCATENATE("#Metadata!", ADDRESS(INDEX($AI$2:$AI$1001,MATCH(ROWS($AG$2:AG731),$AG$2:$AG$1001,0),0), INDEX($AN$1004:$BO$1004,1,MATCH(COLUMNS($AN$1006:BA1006),$AN$1006:$BO$1006,0)))),"Fix")))</f>
        <v>0</v>
      </c>
      <c r="P731" s="4">
        <f>IF(OR(INDEX($AH$2:$AH$1001,MATCH(ROWS($AG$2:AG731),$AG$2:$AG$1001,0),1)&gt;=100000,INDEX($AN$1005:$BO$1005,1,MATCH(COLUMNS($AN$1006:BB1006),$AN$1006:$BO$1006,0))&gt;=100000), " ",IF(INDEX($AN$2:$BO$1001,MATCH(ROWS($AG$2:AG731),$AG$2:$AG$1001,0),MATCH(COLUMNS($AN$1006:BB1006),$AN$1006:$BO$1006,0)), HYPERLINK("#",""), HYPERLINK(CONCATENATE("#Metadata!", ADDRESS(INDEX($AI$2:$AI$1001,MATCH(ROWS($AG$2:AG731),$AG$2:$AG$1001,0),0), INDEX($AN$1004:$BO$1004,1,MATCH(COLUMNS($AN$1006:BB1006),$AN$1006:$BO$1006,0)))),"Fix")))</f>
        <v>0</v>
      </c>
      <c r="Q731" s="4">
        <f>IF(OR(INDEX($AH$2:$AH$1001,MATCH(ROWS($AG$2:AG731),$AG$2:$AG$1001,0),1)&gt;=100000,INDEX($AN$1005:$BO$1005,1,MATCH(COLUMNS($AN$1006:BC1006),$AN$1006:$BO$1006,0))&gt;=100000), " ",IF(INDEX($AN$2:$BO$1001,MATCH(ROWS($AG$2:AG731),$AG$2:$AG$1001,0),MATCH(COLUMNS($AN$1006:BC1006),$AN$1006:$BO$1006,0)), HYPERLINK("#",""), HYPERLINK(CONCATENATE("#Metadata!", ADDRESS(INDEX($AI$2:$AI$1001,MATCH(ROWS($AG$2:AG731),$AG$2:$AG$1001,0),0), INDEX($AN$1004:$BO$1004,1,MATCH(COLUMNS($AN$1006:BC1006),$AN$1006:$BO$1006,0)))),"Fix")))</f>
        <v>0</v>
      </c>
      <c r="R731" s="4">
        <f>IF(OR(INDEX($AH$2:$AH$1001,MATCH(ROWS($AG$2:AG731),$AG$2:$AG$1001,0),1)&gt;=100000,INDEX($AN$1005:$BO$1005,1,MATCH(COLUMNS($AN$1006:BD1006),$AN$1006:$BO$1006,0))&gt;=100000), " ",IF(INDEX($AN$2:$BO$1001,MATCH(ROWS($AG$2:AG731),$AG$2:$AG$1001,0),MATCH(COLUMNS($AN$1006:BD1006),$AN$1006:$BO$1006,0)), HYPERLINK("#",""), HYPERLINK(CONCATENATE("#Metadata!", ADDRESS(INDEX($AI$2:$AI$1001,MATCH(ROWS($AG$2:AG731),$AG$2:$AG$1001,0),0), INDEX($AN$1004:$BO$1004,1,MATCH(COLUMNS($AN$1006:BD1006),$AN$1006:$BO$1006,0)))),"Fix")))</f>
        <v>0</v>
      </c>
      <c r="S731" s="4">
        <f>IF(OR(INDEX($AH$2:$AH$1001,MATCH(ROWS($AG$2:AG731),$AG$2:$AG$1001,0),1)&gt;=100000,INDEX($AN$1005:$BO$1005,1,MATCH(COLUMNS($AN$1006:BE1006),$AN$1006:$BO$1006,0))&gt;=100000), " ",IF(INDEX($AN$2:$BO$1001,MATCH(ROWS($AG$2:AG731),$AG$2:$AG$1001,0),MATCH(COLUMNS($AN$1006:BE1006),$AN$1006:$BO$1006,0)), HYPERLINK("#",""), HYPERLINK(CONCATENATE("#Metadata!", ADDRESS(INDEX($AI$2:$AI$1001,MATCH(ROWS($AG$2:AG731),$AG$2:$AG$1001,0),0), INDEX($AN$1004:$BO$1004,1,MATCH(COLUMNS($AN$1006:BE1006),$AN$1006:$BO$1006,0)))),"Fix")))</f>
        <v>0</v>
      </c>
      <c r="T731" s="4">
        <f>IF(OR(INDEX($AH$2:$AH$1001,MATCH(ROWS($AG$2:AG731),$AG$2:$AG$1001,0),1)&gt;=100000,INDEX($AN$1005:$BO$1005,1,MATCH(COLUMNS($AN$1006:BF1006),$AN$1006:$BO$1006,0))&gt;=100000), " ",IF(INDEX($AN$2:$BO$1001,MATCH(ROWS($AG$2:AG731),$AG$2:$AG$1001,0),MATCH(COLUMNS($AN$1006:BF1006),$AN$1006:$BO$1006,0)), HYPERLINK("#",""), HYPERLINK(CONCATENATE("#Metadata!", ADDRESS(INDEX($AI$2:$AI$1001,MATCH(ROWS($AG$2:AG731),$AG$2:$AG$1001,0),0), INDEX($AN$1004:$BO$1004,1,MATCH(COLUMNS($AN$1006:BF1006),$AN$1006:$BO$1006,0)))),"Fix")))</f>
        <v>0</v>
      </c>
      <c r="U731" s="4">
        <f>IF(OR(INDEX($AH$2:$AH$1001,MATCH(ROWS($AG$2:AG731),$AG$2:$AG$1001,0),1)&gt;=100000,INDEX($AN$1005:$BO$1005,1,MATCH(COLUMNS($AN$1006:BG1006),$AN$1006:$BO$1006,0))&gt;=100000), " ",IF(INDEX($AN$2:$BO$1001,MATCH(ROWS($AG$2:AG731),$AG$2:$AG$1001,0),MATCH(COLUMNS($AN$1006:BG1006),$AN$1006:$BO$1006,0)), HYPERLINK("#",""), HYPERLINK(CONCATENATE("#Metadata!", ADDRESS(INDEX($AI$2:$AI$1001,MATCH(ROWS($AG$2:AG731),$AG$2:$AG$1001,0),0), INDEX($AN$1004:$BO$1004,1,MATCH(COLUMNS($AN$1006:BG1006),$AN$1006:$BO$1006,0)))),"Fix")))</f>
        <v>0</v>
      </c>
      <c r="V731" s="4">
        <f>IF(OR(INDEX($AH$2:$AH$1001,MATCH(ROWS($AG$2:AG731),$AG$2:$AG$1001,0),1)&gt;=100000,INDEX($AN$1005:$BO$1005,1,MATCH(COLUMNS($AN$1006:BH1006),$AN$1006:$BO$1006,0))&gt;=100000), " ",IF(INDEX($AN$2:$BO$1001,MATCH(ROWS($AG$2:AG731),$AG$2:$AG$1001,0),MATCH(COLUMNS($AN$1006:BH1006),$AN$1006:$BO$1006,0)), HYPERLINK("#",""), HYPERLINK(CONCATENATE("#Metadata!", ADDRESS(INDEX($AI$2:$AI$1001,MATCH(ROWS($AG$2:AG731),$AG$2:$AG$1001,0),0), INDEX($AN$1004:$BO$1004,1,MATCH(COLUMNS($AN$1006:BH1006),$AN$1006:$BO$1006,0)))),"Fix")))</f>
        <v>0</v>
      </c>
      <c r="W731" s="4">
        <f>IF(OR(INDEX($AH$2:$AH$1001,MATCH(ROWS($AG$2:AG731),$AG$2:$AG$1001,0),1)&gt;=100000,INDEX($AN$1005:$BO$1005,1,MATCH(COLUMNS($AN$1006:BI1006),$AN$1006:$BO$1006,0))&gt;=100000), " ",IF(INDEX($AN$2:$BO$1001,MATCH(ROWS($AG$2:AG731),$AG$2:$AG$1001,0),MATCH(COLUMNS($AN$1006:BI1006),$AN$1006:$BO$1006,0)), HYPERLINK("#",""), HYPERLINK(CONCATENATE("#Metadata!", ADDRESS(INDEX($AI$2:$AI$1001,MATCH(ROWS($AG$2:AG731),$AG$2:$AG$1001,0),0), INDEX($AN$1004:$BO$1004,1,MATCH(COLUMNS($AN$1006:BI1006),$AN$1006:$BO$1006,0)))),"Fix")))</f>
        <v>0</v>
      </c>
      <c r="X731" s="4">
        <f>IF(OR(INDEX($AH$2:$AH$1001,MATCH(ROWS($AG$2:AG731),$AG$2:$AG$1001,0),1)&gt;=100000,INDEX($AN$1005:$BO$1005,1,MATCH(COLUMNS($AN$1006:BJ1006),$AN$1006:$BO$1006,0))&gt;=100000), " ",IF(INDEX($AN$2:$BO$1001,MATCH(ROWS($AG$2:AG731),$AG$2:$AG$1001,0),MATCH(COLUMNS($AN$1006:BJ1006),$AN$1006:$BO$1006,0)), HYPERLINK("#",""), HYPERLINK(CONCATENATE("#Metadata!", ADDRESS(INDEX($AI$2:$AI$1001,MATCH(ROWS($AG$2:AG731),$AG$2:$AG$1001,0),0), INDEX($AN$1004:$BO$1004,1,MATCH(COLUMNS($AN$1006:BJ1006),$AN$1006:$BO$1006,0)))),"Fix")))</f>
        <v>0</v>
      </c>
      <c r="Y731" s="4">
        <f>IF(OR(INDEX($AH$2:$AH$1001,MATCH(ROWS($AG$2:AG731),$AG$2:$AG$1001,0),1)&gt;=100000,INDEX($AN$1005:$BO$1005,1,MATCH(COLUMNS($AN$1006:BK1006),$AN$1006:$BO$1006,0))&gt;=100000), " ",IF(INDEX($AN$2:$BO$1001,MATCH(ROWS($AG$2:AG731),$AG$2:$AG$1001,0),MATCH(COLUMNS($AN$1006:BK1006),$AN$1006:$BO$1006,0)), HYPERLINK("#",""), HYPERLINK(CONCATENATE("#Metadata!", ADDRESS(INDEX($AI$2:$AI$1001,MATCH(ROWS($AG$2:AG731),$AG$2:$AG$1001,0),0), INDEX($AN$1004:$BO$1004,1,MATCH(COLUMNS($AN$1006:BK1006),$AN$1006:$BO$1006,0)))),"Fix")))</f>
        <v>0</v>
      </c>
      <c r="Z731" s="4">
        <f>IF(OR(INDEX($AH$2:$AH$1001,MATCH(ROWS($AG$2:AG731),$AG$2:$AG$1001,0),1)&gt;=100000,INDEX($AN$1005:$BO$1005,1,MATCH(COLUMNS($AN$1006:BL1006),$AN$1006:$BO$1006,0))&gt;=100000), " ",IF(INDEX($AN$2:$BO$1001,MATCH(ROWS($AG$2:AG731),$AG$2:$AG$1001,0),MATCH(COLUMNS($AN$1006:BL1006),$AN$1006:$BO$1006,0)), HYPERLINK("#",""), HYPERLINK(CONCATENATE("#Metadata!", ADDRESS(INDEX($AI$2:$AI$1001,MATCH(ROWS($AG$2:AG731),$AG$2:$AG$1001,0),0), INDEX($AN$1004:$BO$1004,1,MATCH(COLUMNS($AN$1006:BL1006),$AN$1006:$BO$1006,0)))),"Fix")))</f>
        <v>0</v>
      </c>
      <c r="AA731" s="4">
        <f>IF(OR(INDEX($AH$2:$AH$1001,MATCH(ROWS($AG$2:AG731),$AG$2:$AG$1001,0),1)&gt;=100000,INDEX($AN$1005:$BO$1005,1,MATCH(COLUMNS($AN$1006:BM1006),$AN$1006:$BO$1006,0))&gt;=100000), " ",IF(INDEX($AN$2:$BO$1001,MATCH(ROWS($AG$2:AG731),$AG$2:$AG$1001,0),MATCH(COLUMNS($AN$1006:BM1006),$AN$1006:$BO$1006,0)), HYPERLINK("#",""), HYPERLINK(CONCATENATE("#Metadata!", ADDRESS(INDEX($AI$2:$AI$1001,MATCH(ROWS($AG$2:AG731),$AG$2:$AG$1001,0),0), INDEX($AN$1004:$BO$1004,1,MATCH(COLUMNS($AN$1006:BM1006),$AN$1006:$BO$1006,0)))),"Fix")))</f>
        <v>0</v>
      </c>
      <c r="AB731" s="4">
        <f>IF(OR(INDEX($AH$2:$AH$1001,MATCH(ROWS($AG$2:AG731),$AG$2:$AG$1001,0),1)&gt;=100000,INDEX($AN$1005:$BO$1005,1,MATCH(COLUMNS($AN$1006:BN1006),$AN$1006:$BO$1006,0))&gt;=100000), " ",IF(INDEX($AN$2:$BO$1001,MATCH(ROWS($AG$2:AG731),$AG$2:$AG$1001,0),MATCH(COLUMNS($AN$1006:BN1006),$AN$1006:$BO$1006,0)), HYPERLINK("#",""), HYPERLINK(CONCATENATE("#Metadata!", ADDRESS(INDEX($AI$2:$AI$1001,MATCH(ROWS($AG$2:AG731),$AG$2:$AG$1001,0),0), INDEX($AN$1004:$BO$1004,1,MATCH(COLUMNS($AN$1006:BN1006),$AN$1006:$BO$1006,0)))),"Fix")))</f>
        <v>0</v>
      </c>
      <c r="AC731" s="4">
        <f>IF(OR(INDEX($AH$2:$AH$1001,MATCH(ROWS($AG$2:AG731),$AG$2:$AG$1001,0),1)&gt;=100000,INDEX($AN$1005:$BO$1005,1,MATCH(COLUMNS($AN$1006:BO1006),$AN$1006:$BO$1006,0))&gt;=100000), " ",IF(INDEX($AN$2:$BO$1001,MATCH(ROWS($AG$2:AG731),$AG$2:$AG$1001,0),MATCH(COLUMNS($AN$1006:BO1006),$AN$1006:$BO$1006,0)), HYPERLINK("#",""), HYPERLINK(CONCATENATE("#Metadata!", ADDRESS(INDEX($AI$2:$AI$1001,MATCH(ROWS($AG$2:AG731),$AG$2:$AG$1001,0),0), INDEX($AN$1004:$BO$1004,1,MATCH(COLUMNS($AN$1006:BO1006),$AN$1006:$BO$1006,0)))),"Fix")))</f>
        <v>0</v>
      </c>
      <c r="AG731">
        <v>0</v>
      </c>
      <c r="AH731">
        <v>0</v>
      </c>
      <c r="AI731">
        <v>0</v>
      </c>
      <c r="AJ731">
        <f>IF(AK731,TRUE,AND(AN731:BO731))</f>
        <v>0</v>
      </c>
      <c r="AK731">
        <f>COUNTBLANK(Metadata!B731:AC731)=COLUMNS(Metadata!B731:AC731)</f>
        <v>0</v>
      </c>
      <c r="AL731">
        <v>0</v>
      </c>
      <c r="AN731">
        <f>AND(IF(Metadata!B731="",FALSE,TRUE),COUNTIF(Metadata!B:B, Metadata!B731) = 1,NOT(ISERROR(SUMPRODUCT(SEARCH(MID(Metadata!B731,ROW(INDIRECT("1:"&amp;LEN(Metadata!B731))), 1),"0123456789abcdefghijklmnopqrstuvwxyzABCDEFGHIJKLMNOPQRSTUVWXYZ.")))))</f>
        <v>0</v>
      </c>
      <c r="AO731">
        <f>IF(Metadata!C731="",FALSE,TRUE)</f>
        <v>0</v>
      </c>
      <c r="AP731">
        <f>IF(Metadata!D731="",FALSE,TRUE)</f>
        <v>0</v>
      </c>
      <c r="AQ731">
        <f>OR(AND(IF(Metadata!E731="",FALSE,TRUE),OR(exact(Metadata!E731,"not collected"),exact(Metadata!E731,"not provided"),exact(Metadata!E731,"restricted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R731">
        <f>IF(Metadata!F731="",FALSE,TRUE)</f>
        <v>0</v>
      </c>
      <c r="AS731">
        <f>OR(AND(IF(Metadata!G731="",FALSE,TRUE),OR(exact(Metadata!G731,"not collected"),exact(Metadata!G731,"not provided"))),AND(IF(Metadata!G731="",FALSE,TRUE),OR(exact(Metadata!G731,"TRUE"),exact(Metadata!G731,"FALSE"))))</f>
        <v>0</v>
      </c>
      <c r="AT731">
        <f>OR(AND(IF(Metadata!H731="",FALSE,TRUE),OR(exact(Metadata!H731,"not collected"),exact(Metadata!H731,"not provided"),exact(Metadata!H731,"restricted access"))),AND(IF(Metadata!H731="",FALSE,ISNUMBER(VALUE(Metadata!H731))),Metadata!H731&gt;=-413.0))</f>
        <v>0</v>
      </c>
      <c r="AU731">
        <f>AND(IF(Metadata!I731="",FALSE,TRUE),exact(Metadata!I731,"meters"))</f>
        <v>0</v>
      </c>
      <c r="AV731">
        <f>AND(IF(Metadata!J731="",FALSE,TRUE),OR(exact(Metadata!J731,"Host-associated"),exact(Metadata!J731,"Free-living")))</f>
        <v>0</v>
      </c>
      <c r="AW731">
        <f>AND(IF(Metadata!K731="",FALSE,TRUE),OR(exact(Metadata!K731,"Animal"),exact(Metadata!K731,"Fungus"),exact(Metadata!K731,"Plant"),exact(Metadata!K731,"Saline"),exact(Metadata!K731,"Non-saline")))</f>
        <v>0</v>
      </c>
      <c r="AX731">
        <f>AND(IF(Metadata!L731="",FALSE,TRUE),OR(exact(Metadata!L731,"Plant secretion"),exact(Metadata!L731,"Plant rhizosphere"),exact(Metadata!L731,"Plant surface"),exact(Metadata!L731,"Plant corpus"),exact(Metadata!L731,"Fungus surface"),exact(Metadata!L731,"Fungus corpus"),exact(Metadata!L731,"Animal surface"),exact(Metadata!L731,"Animal proximal gut"),exact(Metadata!L731,"Animal corpus"),exact(Metadata!L731,"Animal distal gut"),exact(Metadata!L731,"Animal secretion"),exact(Metadata!L731,"Sub-surface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Y731">
        <f>IF(Metadata!M731="",FALSE,TRUE)</f>
        <v>0</v>
      </c>
      <c r="AZ731">
        <f>IF(Metadata!N731="",FALSE,TRUE)</f>
        <v>0</v>
      </c>
      <c r="BA731">
        <f>IF(Metadata!O731="",FALSE,TRUE)</f>
        <v>0</v>
      </c>
      <c r="BB731">
        <f>OR(AND(IF(Metadata!P731="",FALSE,TRUE),OR(exact(Metadata!P731,"not collected"),exact(Metadata!P731,"not provided"),exact(Metadata!P731,"restricted access"))),AND(IF(Metadata!P731="",FALSE,TRUE),OR(exact(Metadata!P731,"air"),exact(Metadata!P731,"built environment"),exact(Metadata!P731,"host-associated"),exact(Metadata!P731,"human-associated"),exact(Metadata!P731,"human-skin"),exact(Metadata!P731,"human-oral"),exact(Metadata!P731,"human-gut"),exact(Metadata!P731,"human-vaginal"),exact(Metadata!P731,"microbial mat/biofilm"),exact(Metadata!P731,"misc environment"),exact(Metadata!P731,"plant-associated"),exact(Metadata!P731,"sediment"),exact(Metadata!P731,"soil"),exact(Metadata!P731,"wastewater/sludge"),exact(Metadata!P731,"water"))))</f>
        <v>0</v>
      </c>
      <c r="BC731">
        <f>IF(Metadata!Q731="",FALSE,TRUE)</f>
        <v>0</v>
      </c>
      <c r="BD731">
        <f>IF(Metadata!R731="",FALSE,TRUE)</f>
        <v>0</v>
      </c>
      <c r="BE731">
        <f>OR(AND(IF(Metadata!S731="",FALSE,TRUE),OR(exact(Metadata!S731,"not collected"),exact(Metadata!S731,"not provided"),exact(Metadata!S731,"restricted access"))),AND(IF(Metadata!S731="",FALSE,ISNUMBER(VALUE(Metadata!S731))),Metadata!S731&gt;=-90.00,Metadata!S731&lt;=90.00))</f>
        <v>0</v>
      </c>
      <c r="BF731">
        <f>AND(IF(Metadata!T731="",FALSE,TRUE),exact(Metadata!T731,"Decimal degrees"))</f>
        <v>0</v>
      </c>
      <c r="BG731">
        <f>OR(AND(IF(Metadata!U731="",FALSE,TRUE),OR(exact(Metadata!U731,"not collected"),exact(Metadata!U731,"not provided"),exact(Metadata!U731,"restricted access"))),AND(IF(Metadata!U731="",FALSE,ISNUMBER(VALUE(Metadata!U731))),Metadata!U731&gt;=-180.00,Metadata!U731&lt;=180.00))</f>
        <v>0</v>
      </c>
      <c r="BH731">
        <f>AND(IF(Metadata!V731="",FALSE,TRUE),exact(Metadata!V731,"Decimal degrees"))</f>
        <v>0</v>
      </c>
      <c r="BI731">
        <f>IF(Metadata!W731="",FALSE,TRUE)</f>
        <v>0</v>
      </c>
      <c r="BJ731">
        <f>OR(AND(IF(Metadata!X731="",FALSE,TRUE),OR(exact(Metadata!X731,"not collected"),exact(Metadata!X731,"not provided"),exact(Metadata!X731,"restricted access"))),AND(IF(Metadata!X731="",FALSE,TRUE),OR(exact(Metadata!X731,"TRUE"),exact(Metadata!X731,"FALSE"))))</f>
        <v>0</v>
      </c>
      <c r="BK731">
        <f>AND(IF(Metadata!Y731="",FALSE,TRUE),exact(Metadata!Y731,"other"))</f>
        <v>0</v>
      </c>
      <c r="BL731">
        <f>IF(Metadata!Z731="",FALSE,TRUE)</f>
        <v>0</v>
      </c>
      <c r="BM731">
        <f>OR(AND(IF(Metadata!AA731="",FALSE,TRUE),OR(exact(Metadata!AA731,"not collected"),exact(Metadata!AA731,"not provided"))),AND(IF(Metadata!AA731="",FALSE,IF(ISERROR(INT(Metadata!AA731)),FALSE,INT(Metadata!AA731)=Metadata!AA731)),Metadata!AA731&gt;0))</f>
        <v>0</v>
      </c>
      <c r="BN731">
        <f>AND(IF(Metadata!AB731="",FALSE,TRUE),exact(Metadata!AB731,"Not applicable"))</f>
        <v>0</v>
      </c>
      <c r="BO731">
        <f>IF(Metadata!AC731="",FALSE,TRUE)</f>
        <v>0</v>
      </c>
    </row>
    <row r="732" spans="1:67">
      <c r="A732" s="5">
        <f>IF(B732=" "," ",HYPERLINK(CONCATENATE("#metadata!",ADDRESS(INDEX($AI$2:$AI$1001,MATCH(ROWS($AG$2:AG732),$AG$2:$AG$1001,0),0),1)),INDEX($AL$2:$AL$1001,MATCH(ROWS($AG$2:AG732),$AG$2:$AG$1001,0),0)))</f>
        <v>0</v>
      </c>
      <c r="B732" s="4">
        <f>IF(OR(INDEX($AH$2:$AH$1001,MATCH(ROWS($AG$2:AG732),$AG$2:$AG$1001,0),1)&gt;=100000,INDEX($AN$1005:$BO$1005,1,MATCH(COLUMNS($AN$1006:AN1006),$AN$1006:$BO$1006,0))&gt;=100000), " ",IF(INDEX($AN$2:$BO$1001,MATCH(ROWS($AG$2:AG732),$AG$2:$AG$1001,0),MATCH(COLUMNS($AN$1006:AN1006),$AN$1006:$BO$1006,0)), HYPERLINK("#",""), HYPERLINK(CONCATENATE("#Metadata!", ADDRESS(INDEX($AI$2:$AI$1001,MATCH(ROWS($AG$2:AG732),$AG$2:$AG$1001,0),0), INDEX($AN$1004:$BO$1004,1,MATCH(COLUMNS($AN$1006:AN1006),$AN$1006:$BO$1006,0)))),"Fix")))</f>
        <v>0</v>
      </c>
      <c r="C732" s="4">
        <f>IF(OR(INDEX($AH$2:$AH$1001,MATCH(ROWS($AG$2:AG732),$AG$2:$AG$1001,0),1)&gt;=100000,INDEX($AN$1005:$BO$1005,1,MATCH(COLUMNS($AN$1006:AO1006),$AN$1006:$BO$1006,0))&gt;=100000), " ",IF(INDEX($AN$2:$BO$1001,MATCH(ROWS($AG$2:AG732),$AG$2:$AG$1001,0),MATCH(COLUMNS($AN$1006:AO1006),$AN$1006:$BO$1006,0)), HYPERLINK("#",""), HYPERLINK(CONCATENATE("#Metadata!", ADDRESS(INDEX($AI$2:$AI$1001,MATCH(ROWS($AG$2:AG732),$AG$2:$AG$1001,0),0), INDEX($AN$1004:$BO$1004,1,MATCH(COLUMNS($AN$1006:AO1006),$AN$1006:$BO$1006,0)))),"Fix")))</f>
        <v>0</v>
      </c>
      <c r="D732" s="4">
        <f>IF(OR(INDEX($AH$2:$AH$1001,MATCH(ROWS($AG$2:AG732),$AG$2:$AG$1001,0),1)&gt;=100000,INDEX($AN$1005:$BO$1005,1,MATCH(COLUMNS($AN$1006:AP1006),$AN$1006:$BO$1006,0))&gt;=100000), " ",IF(INDEX($AN$2:$BO$1001,MATCH(ROWS($AG$2:AG732),$AG$2:$AG$1001,0),MATCH(COLUMNS($AN$1006:AP1006),$AN$1006:$BO$1006,0)), HYPERLINK("#",""), HYPERLINK(CONCATENATE("#Metadata!", ADDRESS(INDEX($AI$2:$AI$1001,MATCH(ROWS($AG$2:AG732),$AG$2:$AG$1001,0),0), INDEX($AN$1004:$BO$1004,1,MATCH(COLUMNS($AN$1006:AP1006),$AN$1006:$BO$1006,0)))),"Fix")))</f>
        <v>0</v>
      </c>
      <c r="E732" s="4">
        <f>IF(OR(INDEX($AH$2:$AH$1001,MATCH(ROWS($AG$2:AG732),$AG$2:$AG$1001,0),1)&gt;=100000,INDEX($AN$1005:$BO$1005,1,MATCH(COLUMNS($AN$1006:AQ1006),$AN$1006:$BO$1006,0))&gt;=100000), " ",IF(INDEX($AN$2:$BO$1001,MATCH(ROWS($AG$2:AG732),$AG$2:$AG$1001,0),MATCH(COLUMNS($AN$1006:AQ1006),$AN$1006:$BO$1006,0)), HYPERLINK("#",""), HYPERLINK(CONCATENATE("#Metadata!", ADDRESS(INDEX($AI$2:$AI$1001,MATCH(ROWS($AG$2:AG732),$AG$2:$AG$1001,0),0), INDEX($AN$1004:$BO$1004,1,MATCH(COLUMNS($AN$1006:AQ1006),$AN$1006:$BO$1006,0)))),"Fix")))</f>
        <v>0</v>
      </c>
      <c r="F732" s="4">
        <f>IF(OR(INDEX($AH$2:$AH$1001,MATCH(ROWS($AG$2:AG732),$AG$2:$AG$1001,0),1)&gt;=100000,INDEX($AN$1005:$BO$1005,1,MATCH(COLUMNS($AN$1006:AR1006),$AN$1006:$BO$1006,0))&gt;=100000), " ",IF(INDEX($AN$2:$BO$1001,MATCH(ROWS($AG$2:AG732),$AG$2:$AG$1001,0),MATCH(COLUMNS($AN$1006:AR1006),$AN$1006:$BO$1006,0)), HYPERLINK("#",""), HYPERLINK(CONCATENATE("#Metadata!", ADDRESS(INDEX($AI$2:$AI$1001,MATCH(ROWS($AG$2:AG732),$AG$2:$AG$1001,0),0), INDEX($AN$1004:$BO$1004,1,MATCH(COLUMNS($AN$1006:AR1006),$AN$1006:$BO$1006,0)))),"Fix")))</f>
        <v>0</v>
      </c>
      <c r="G732" s="4">
        <f>IF(OR(INDEX($AH$2:$AH$1001,MATCH(ROWS($AG$2:AG732),$AG$2:$AG$1001,0),1)&gt;=100000,INDEX($AN$1005:$BO$1005,1,MATCH(COLUMNS($AN$1006:AS1006),$AN$1006:$BO$1006,0))&gt;=100000), " ",IF(INDEX($AN$2:$BO$1001,MATCH(ROWS($AG$2:AG732),$AG$2:$AG$1001,0),MATCH(COLUMNS($AN$1006:AS1006),$AN$1006:$BO$1006,0)), HYPERLINK("#",""), HYPERLINK(CONCATENATE("#Metadata!", ADDRESS(INDEX($AI$2:$AI$1001,MATCH(ROWS($AG$2:AG732),$AG$2:$AG$1001,0),0), INDEX($AN$1004:$BO$1004,1,MATCH(COLUMNS($AN$1006:AS1006),$AN$1006:$BO$1006,0)))),"Fix")))</f>
        <v>0</v>
      </c>
      <c r="H732" s="4">
        <f>IF(OR(INDEX($AH$2:$AH$1001,MATCH(ROWS($AG$2:AG732),$AG$2:$AG$1001,0),1)&gt;=100000,INDEX($AN$1005:$BO$1005,1,MATCH(COLUMNS($AN$1006:AT1006),$AN$1006:$BO$1006,0))&gt;=100000), " ",IF(INDEX($AN$2:$BO$1001,MATCH(ROWS($AG$2:AG732),$AG$2:$AG$1001,0),MATCH(COLUMNS($AN$1006:AT1006),$AN$1006:$BO$1006,0)), HYPERLINK("#",""), HYPERLINK(CONCATENATE("#Metadata!", ADDRESS(INDEX($AI$2:$AI$1001,MATCH(ROWS($AG$2:AG732),$AG$2:$AG$1001,0),0), INDEX($AN$1004:$BO$1004,1,MATCH(COLUMNS($AN$1006:AT1006),$AN$1006:$BO$1006,0)))),"Fix")))</f>
        <v>0</v>
      </c>
      <c r="I732" s="4">
        <f>IF(OR(INDEX($AH$2:$AH$1001,MATCH(ROWS($AG$2:AG732),$AG$2:$AG$1001,0),1)&gt;=100000,INDEX($AN$1005:$BO$1005,1,MATCH(COLUMNS($AN$1006:AU1006),$AN$1006:$BO$1006,0))&gt;=100000), " ",IF(INDEX($AN$2:$BO$1001,MATCH(ROWS($AG$2:AG732),$AG$2:$AG$1001,0),MATCH(COLUMNS($AN$1006:AU1006),$AN$1006:$BO$1006,0)), HYPERLINK("#",""), HYPERLINK(CONCATENATE("#Metadata!", ADDRESS(INDEX($AI$2:$AI$1001,MATCH(ROWS($AG$2:AG732),$AG$2:$AG$1001,0),0), INDEX($AN$1004:$BO$1004,1,MATCH(COLUMNS($AN$1006:AU1006),$AN$1006:$BO$1006,0)))),"Fix")))</f>
        <v>0</v>
      </c>
      <c r="J732" s="4">
        <f>IF(OR(INDEX($AH$2:$AH$1001,MATCH(ROWS($AG$2:AG732),$AG$2:$AG$1001,0),1)&gt;=100000,INDEX($AN$1005:$BO$1005,1,MATCH(COLUMNS($AN$1006:AV1006),$AN$1006:$BO$1006,0))&gt;=100000), " ",IF(INDEX($AN$2:$BO$1001,MATCH(ROWS($AG$2:AG732),$AG$2:$AG$1001,0),MATCH(COLUMNS($AN$1006:AV1006),$AN$1006:$BO$1006,0)), HYPERLINK("#",""), HYPERLINK(CONCATENATE("#Metadata!", ADDRESS(INDEX($AI$2:$AI$1001,MATCH(ROWS($AG$2:AG732),$AG$2:$AG$1001,0),0), INDEX($AN$1004:$BO$1004,1,MATCH(COLUMNS($AN$1006:AV1006),$AN$1006:$BO$1006,0)))),"Fix")))</f>
        <v>0</v>
      </c>
      <c r="K732" s="4">
        <f>IF(OR(INDEX($AH$2:$AH$1001,MATCH(ROWS($AG$2:AG732),$AG$2:$AG$1001,0),1)&gt;=100000,INDEX($AN$1005:$BO$1005,1,MATCH(COLUMNS($AN$1006:AW1006),$AN$1006:$BO$1006,0))&gt;=100000), " ",IF(INDEX($AN$2:$BO$1001,MATCH(ROWS($AG$2:AG732),$AG$2:$AG$1001,0),MATCH(COLUMNS($AN$1006:AW1006),$AN$1006:$BO$1006,0)), HYPERLINK("#",""), HYPERLINK(CONCATENATE("#Metadata!", ADDRESS(INDEX($AI$2:$AI$1001,MATCH(ROWS($AG$2:AG732),$AG$2:$AG$1001,0),0), INDEX($AN$1004:$BO$1004,1,MATCH(COLUMNS($AN$1006:AW1006),$AN$1006:$BO$1006,0)))),"Fix")))</f>
        <v>0</v>
      </c>
      <c r="L732" s="4">
        <f>IF(OR(INDEX($AH$2:$AH$1001,MATCH(ROWS($AG$2:AG732),$AG$2:$AG$1001,0),1)&gt;=100000,INDEX($AN$1005:$BO$1005,1,MATCH(COLUMNS($AN$1006:AX1006),$AN$1006:$BO$1006,0))&gt;=100000), " ",IF(INDEX($AN$2:$BO$1001,MATCH(ROWS($AG$2:AG732),$AG$2:$AG$1001,0),MATCH(COLUMNS($AN$1006:AX1006),$AN$1006:$BO$1006,0)), HYPERLINK("#",""), HYPERLINK(CONCATENATE("#Metadata!", ADDRESS(INDEX($AI$2:$AI$1001,MATCH(ROWS($AG$2:AG732),$AG$2:$AG$1001,0),0), INDEX($AN$1004:$BO$1004,1,MATCH(COLUMNS($AN$1006:AX1006),$AN$1006:$BO$1006,0)))),"Fix")))</f>
        <v>0</v>
      </c>
      <c r="M732" s="4">
        <f>IF(OR(INDEX($AH$2:$AH$1001,MATCH(ROWS($AG$2:AG732),$AG$2:$AG$1001,0),1)&gt;=100000,INDEX($AN$1005:$BO$1005,1,MATCH(COLUMNS($AN$1006:AY1006),$AN$1006:$BO$1006,0))&gt;=100000), " ",IF(INDEX($AN$2:$BO$1001,MATCH(ROWS($AG$2:AG732),$AG$2:$AG$1001,0),MATCH(COLUMNS($AN$1006:AY1006),$AN$1006:$BO$1006,0)), HYPERLINK("#",""), HYPERLINK(CONCATENATE("#Metadata!", ADDRESS(INDEX($AI$2:$AI$1001,MATCH(ROWS($AG$2:AG732),$AG$2:$AG$1001,0),0), INDEX($AN$1004:$BO$1004,1,MATCH(COLUMNS($AN$1006:AY1006),$AN$1006:$BO$1006,0)))),"Fix")))</f>
        <v>0</v>
      </c>
      <c r="N732" s="4">
        <f>IF(OR(INDEX($AH$2:$AH$1001,MATCH(ROWS($AG$2:AG732),$AG$2:$AG$1001,0),1)&gt;=100000,INDEX($AN$1005:$BO$1005,1,MATCH(COLUMNS($AN$1006:AZ1006),$AN$1006:$BO$1006,0))&gt;=100000), " ",IF(INDEX($AN$2:$BO$1001,MATCH(ROWS($AG$2:AG732),$AG$2:$AG$1001,0),MATCH(COLUMNS($AN$1006:AZ1006),$AN$1006:$BO$1006,0)), HYPERLINK("#",""), HYPERLINK(CONCATENATE("#Metadata!", ADDRESS(INDEX($AI$2:$AI$1001,MATCH(ROWS($AG$2:AG732),$AG$2:$AG$1001,0),0), INDEX($AN$1004:$BO$1004,1,MATCH(COLUMNS($AN$1006:AZ1006),$AN$1006:$BO$1006,0)))),"Fix")))</f>
        <v>0</v>
      </c>
      <c r="O732" s="4">
        <f>IF(OR(INDEX($AH$2:$AH$1001,MATCH(ROWS($AG$2:AG732),$AG$2:$AG$1001,0),1)&gt;=100000,INDEX($AN$1005:$BO$1005,1,MATCH(COLUMNS($AN$1006:BA1006),$AN$1006:$BO$1006,0))&gt;=100000), " ",IF(INDEX($AN$2:$BO$1001,MATCH(ROWS($AG$2:AG732),$AG$2:$AG$1001,0),MATCH(COLUMNS($AN$1006:BA1006),$AN$1006:$BO$1006,0)), HYPERLINK("#",""), HYPERLINK(CONCATENATE("#Metadata!", ADDRESS(INDEX($AI$2:$AI$1001,MATCH(ROWS($AG$2:AG732),$AG$2:$AG$1001,0),0), INDEX($AN$1004:$BO$1004,1,MATCH(COLUMNS($AN$1006:BA1006),$AN$1006:$BO$1006,0)))),"Fix")))</f>
        <v>0</v>
      </c>
      <c r="P732" s="4">
        <f>IF(OR(INDEX($AH$2:$AH$1001,MATCH(ROWS($AG$2:AG732),$AG$2:$AG$1001,0),1)&gt;=100000,INDEX($AN$1005:$BO$1005,1,MATCH(COLUMNS($AN$1006:BB1006),$AN$1006:$BO$1006,0))&gt;=100000), " ",IF(INDEX($AN$2:$BO$1001,MATCH(ROWS($AG$2:AG732),$AG$2:$AG$1001,0),MATCH(COLUMNS($AN$1006:BB1006),$AN$1006:$BO$1006,0)), HYPERLINK("#",""), HYPERLINK(CONCATENATE("#Metadata!", ADDRESS(INDEX($AI$2:$AI$1001,MATCH(ROWS($AG$2:AG732),$AG$2:$AG$1001,0),0), INDEX($AN$1004:$BO$1004,1,MATCH(COLUMNS($AN$1006:BB1006),$AN$1006:$BO$1006,0)))),"Fix")))</f>
        <v>0</v>
      </c>
      <c r="Q732" s="4">
        <f>IF(OR(INDEX($AH$2:$AH$1001,MATCH(ROWS($AG$2:AG732),$AG$2:$AG$1001,0),1)&gt;=100000,INDEX($AN$1005:$BO$1005,1,MATCH(COLUMNS($AN$1006:BC1006),$AN$1006:$BO$1006,0))&gt;=100000), " ",IF(INDEX($AN$2:$BO$1001,MATCH(ROWS($AG$2:AG732),$AG$2:$AG$1001,0),MATCH(COLUMNS($AN$1006:BC1006),$AN$1006:$BO$1006,0)), HYPERLINK("#",""), HYPERLINK(CONCATENATE("#Metadata!", ADDRESS(INDEX($AI$2:$AI$1001,MATCH(ROWS($AG$2:AG732),$AG$2:$AG$1001,0),0), INDEX($AN$1004:$BO$1004,1,MATCH(COLUMNS($AN$1006:BC1006),$AN$1006:$BO$1006,0)))),"Fix")))</f>
        <v>0</v>
      </c>
      <c r="R732" s="4">
        <f>IF(OR(INDEX($AH$2:$AH$1001,MATCH(ROWS($AG$2:AG732),$AG$2:$AG$1001,0),1)&gt;=100000,INDEX($AN$1005:$BO$1005,1,MATCH(COLUMNS($AN$1006:BD1006),$AN$1006:$BO$1006,0))&gt;=100000), " ",IF(INDEX($AN$2:$BO$1001,MATCH(ROWS($AG$2:AG732),$AG$2:$AG$1001,0),MATCH(COLUMNS($AN$1006:BD1006),$AN$1006:$BO$1006,0)), HYPERLINK("#",""), HYPERLINK(CONCATENATE("#Metadata!", ADDRESS(INDEX($AI$2:$AI$1001,MATCH(ROWS($AG$2:AG732),$AG$2:$AG$1001,0),0), INDEX($AN$1004:$BO$1004,1,MATCH(COLUMNS($AN$1006:BD1006),$AN$1006:$BO$1006,0)))),"Fix")))</f>
        <v>0</v>
      </c>
      <c r="S732" s="4">
        <f>IF(OR(INDEX($AH$2:$AH$1001,MATCH(ROWS($AG$2:AG732),$AG$2:$AG$1001,0),1)&gt;=100000,INDEX($AN$1005:$BO$1005,1,MATCH(COLUMNS($AN$1006:BE1006),$AN$1006:$BO$1006,0))&gt;=100000), " ",IF(INDEX($AN$2:$BO$1001,MATCH(ROWS($AG$2:AG732),$AG$2:$AG$1001,0),MATCH(COLUMNS($AN$1006:BE1006),$AN$1006:$BO$1006,0)), HYPERLINK("#",""), HYPERLINK(CONCATENATE("#Metadata!", ADDRESS(INDEX($AI$2:$AI$1001,MATCH(ROWS($AG$2:AG732),$AG$2:$AG$1001,0),0), INDEX($AN$1004:$BO$1004,1,MATCH(COLUMNS($AN$1006:BE1006),$AN$1006:$BO$1006,0)))),"Fix")))</f>
        <v>0</v>
      </c>
      <c r="T732" s="4">
        <f>IF(OR(INDEX($AH$2:$AH$1001,MATCH(ROWS($AG$2:AG732),$AG$2:$AG$1001,0),1)&gt;=100000,INDEX($AN$1005:$BO$1005,1,MATCH(COLUMNS($AN$1006:BF1006),$AN$1006:$BO$1006,0))&gt;=100000), " ",IF(INDEX($AN$2:$BO$1001,MATCH(ROWS($AG$2:AG732),$AG$2:$AG$1001,0),MATCH(COLUMNS($AN$1006:BF1006),$AN$1006:$BO$1006,0)), HYPERLINK("#",""), HYPERLINK(CONCATENATE("#Metadata!", ADDRESS(INDEX($AI$2:$AI$1001,MATCH(ROWS($AG$2:AG732),$AG$2:$AG$1001,0),0), INDEX($AN$1004:$BO$1004,1,MATCH(COLUMNS($AN$1006:BF1006),$AN$1006:$BO$1006,0)))),"Fix")))</f>
        <v>0</v>
      </c>
      <c r="U732" s="4">
        <f>IF(OR(INDEX($AH$2:$AH$1001,MATCH(ROWS($AG$2:AG732),$AG$2:$AG$1001,0),1)&gt;=100000,INDEX($AN$1005:$BO$1005,1,MATCH(COLUMNS($AN$1006:BG1006),$AN$1006:$BO$1006,0))&gt;=100000), " ",IF(INDEX($AN$2:$BO$1001,MATCH(ROWS($AG$2:AG732),$AG$2:$AG$1001,0),MATCH(COLUMNS($AN$1006:BG1006),$AN$1006:$BO$1006,0)), HYPERLINK("#",""), HYPERLINK(CONCATENATE("#Metadata!", ADDRESS(INDEX($AI$2:$AI$1001,MATCH(ROWS($AG$2:AG732),$AG$2:$AG$1001,0),0), INDEX($AN$1004:$BO$1004,1,MATCH(COLUMNS($AN$1006:BG1006),$AN$1006:$BO$1006,0)))),"Fix")))</f>
        <v>0</v>
      </c>
      <c r="V732" s="4">
        <f>IF(OR(INDEX($AH$2:$AH$1001,MATCH(ROWS($AG$2:AG732),$AG$2:$AG$1001,0),1)&gt;=100000,INDEX($AN$1005:$BO$1005,1,MATCH(COLUMNS($AN$1006:BH1006),$AN$1006:$BO$1006,0))&gt;=100000), " ",IF(INDEX($AN$2:$BO$1001,MATCH(ROWS($AG$2:AG732),$AG$2:$AG$1001,0),MATCH(COLUMNS($AN$1006:BH1006),$AN$1006:$BO$1006,0)), HYPERLINK("#",""), HYPERLINK(CONCATENATE("#Metadata!", ADDRESS(INDEX($AI$2:$AI$1001,MATCH(ROWS($AG$2:AG732),$AG$2:$AG$1001,0),0), INDEX($AN$1004:$BO$1004,1,MATCH(COLUMNS($AN$1006:BH1006),$AN$1006:$BO$1006,0)))),"Fix")))</f>
        <v>0</v>
      </c>
      <c r="W732" s="4">
        <f>IF(OR(INDEX($AH$2:$AH$1001,MATCH(ROWS($AG$2:AG732),$AG$2:$AG$1001,0),1)&gt;=100000,INDEX($AN$1005:$BO$1005,1,MATCH(COLUMNS($AN$1006:BI1006),$AN$1006:$BO$1006,0))&gt;=100000), " ",IF(INDEX($AN$2:$BO$1001,MATCH(ROWS($AG$2:AG732),$AG$2:$AG$1001,0),MATCH(COLUMNS($AN$1006:BI1006),$AN$1006:$BO$1006,0)), HYPERLINK("#",""), HYPERLINK(CONCATENATE("#Metadata!", ADDRESS(INDEX($AI$2:$AI$1001,MATCH(ROWS($AG$2:AG732),$AG$2:$AG$1001,0),0), INDEX($AN$1004:$BO$1004,1,MATCH(COLUMNS($AN$1006:BI1006),$AN$1006:$BO$1006,0)))),"Fix")))</f>
        <v>0</v>
      </c>
      <c r="X732" s="4">
        <f>IF(OR(INDEX($AH$2:$AH$1001,MATCH(ROWS($AG$2:AG732),$AG$2:$AG$1001,0),1)&gt;=100000,INDEX($AN$1005:$BO$1005,1,MATCH(COLUMNS($AN$1006:BJ1006),$AN$1006:$BO$1006,0))&gt;=100000), " ",IF(INDEX($AN$2:$BO$1001,MATCH(ROWS($AG$2:AG732),$AG$2:$AG$1001,0),MATCH(COLUMNS($AN$1006:BJ1006),$AN$1006:$BO$1006,0)), HYPERLINK("#",""), HYPERLINK(CONCATENATE("#Metadata!", ADDRESS(INDEX($AI$2:$AI$1001,MATCH(ROWS($AG$2:AG732),$AG$2:$AG$1001,0),0), INDEX($AN$1004:$BO$1004,1,MATCH(COLUMNS($AN$1006:BJ1006),$AN$1006:$BO$1006,0)))),"Fix")))</f>
        <v>0</v>
      </c>
      <c r="Y732" s="4">
        <f>IF(OR(INDEX($AH$2:$AH$1001,MATCH(ROWS($AG$2:AG732),$AG$2:$AG$1001,0),1)&gt;=100000,INDEX($AN$1005:$BO$1005,1,MATCH(COLUMNS($AN$1006:BK1006),$AN$1006:$BO$1006,0))&gt;=100000), " ",IF(INDEX($AN$2:$BO$1001,MATCH(ROWS($AG$2:AG732),$AG$2:$AG$1001,0),MATCH(COLUMNS($AN$1006:BK1006),$AN$1006:$BO$1006,0)), HYPERLINK("#",""), HYPERLINK(CONCATENATE("#Metadata!", ADDRESS(INDEX($AI$2:$AI$1001,MATCH(ROWS($AG$2:AG732),$AG$2:$AG$1001,0),0), INDEX($AN$1004:$BO$1004,1,MATCH(COLUMNS($AN$1006:BK1006),$AN$1006:$BO$1006,0)))),"Fix")))</f>
        <v>0</v>
      </c>
      <c r="Z732" s="4">
        <f>IF(OR(INDEX($AH$2:$AH$1001,MATCH(ROWS($AG$2:AG732),$AG$2:$AG$1001,0),1)&gt;=100000,INDEX($AN$1005:$BO$1005,1,MATCH(COLUMNS($AN$1006:BL1006),$AN$1006:$BO$1006,0))&gt;=100000), " ",IF(INDEX($AN$2:$BO$1001,MATCH(ROWS($AG$2:AG732),$AG$2:$AG$1001,0),MATCH(COLUMNS($AN$1006:BL1006),$AN$1006:$BO$1006,0)), HYPERLINK("#",""), HYPERLINK(CONCATENATE("#Metadata!", ADDRESS(INDEX($AI$2:$AI$1001,MATCH(ROWS($AG$2:AG732),$AG$2:$AG$1001,0),0), INDEX($AN$1004:$BO$1004,1,MATCH(COLUMNS($AN$1006:BL1006),$AN$1006:$BO$1006,0)))),"Fix")))</f>
        <v>0</v>
      </c>
      <c r="AA732" s="4">
        <f>IF(OR(INDEX($AH$2:$AH$1001,MATCH(ROWS($AG$2:AG732),$AG$2:$AG$1001,0),1)&gt;=100000,INDEX($AN$1005:$BO$1005,1,MATCH(COLUMNS($AN$1006:BM1006),$AN$1006:$BO$1006,0))&gt;=100000), " ",IF(INDEX($AN$2:$BO$1001,MATCH(ROWS($AG$2:AG732),$AG$2:$AG$1001,0),MATCH(COLUMNS($AN$1006:BM1006),$AN$1006:$BO$1006,0)), HYPERLINK("#",""), HYPERLINK(CONCATENATE("#Metadata!", ADDRESS(INDEX($AI$2:$AI$1001,MATCH(ROWS($AG$2:AG732),$AG$2:$AG$1001,0),0), INDEX($AN$1004:$BO$1004,1,MATCH(COLUMNS($AN$1006:BM1006),$AN$1006:$BO$1006,0)))),"Fix")))</f>
        <v>0</v>
      </c>
      <c r="AB732" s="4">
        <f>IF(OR(INDEX($AH$2:$AH$1001,MATCH(ROWS($AG$2:AG732),$AG$2:$AG$1001,0),1)&gt;=100000,INDEX($AN$1005:$BO$1005,1,MATCH(COLUMNS($AN$1006:BN1006),$AN$1006:$BO$1006,0))&gt;=100000), " ",IF(INDEX($AN$2:$BO$1001,MATCH(ROWS($AG$2:AG732),$AG$2:$AG$1001,0),MATCH(COLUMNS($AN$1006:BN1006),$AN$1006:$BO$1006,0)), HYPERLINK("#",""), HYPERLINK(CONCATENATE("#Metadata!", ADDRESS(INDEX($AI$2:$AI$1001,MATCH(ROWS($AG$2:AG732),$AG$2:$AG$1001,0),0), INDEX($AN$1004:$BO$1004,1,MATCH(COLUMNS($AN$1006:BN1006),$AN$1006:$BO$1006,0)))),"Fix")))</f>
        <v>0</v>
      </c>
      <c r="AC732" s="4">
        <f>IF(OR(INDEX($AH$2:$AH$1001,MATCH(ROWS($AG$2:AG732),$AG$2:$AG$1001,0),1)&gt;=100000,INDEX($AN$1005:$BO$1005,1,MATCH(COLUMNS($AN$1006:BO1006),$AN$1006:$BO$1006,0))&gt;=100000), " ",IF(INDEX($AN$2:$BO$1001,MATCH(ROWS($AG$2:AG732),$AG$2:$AG$1001,0),MATCH(COLUMNS($AN$1006:BO1006),$AN$1006:$BO$1006,0)), HYPERLINK("#",""), HYPERLINK(CONCATENATE("#Metadata!", ADDRESS(INDEX($AI$2:$AI$1001,MATCH(ROWS($AG$2:AG732),$AG$2:$AG$1001,0),0), INDEX($AN$1004:$BO$1004,1,MATCH(COLUMNS($AN$1006:BO1006),$AN$1006:$BO$1006,0)))),"Fix")))</f>
        <v>0</v>
      </c>
      <c r="AG732">
        <v>0</v>
      </c>
      <c r="AH732">
        <v>0</v>
      </c>
      <c r="AI732">
        <v>0</v>
      </c>
      <c r="AJ732">
        <f>IF(AK732,TRUE,AND(AN732:BO732))</f>
        <v>0</v>
      </c>
      <c r="AK732">
        <f>COUNTBLANK(Metadata!B732:AC732)=COLUMNS(Metadata!B732:AC732)</f>
        <v>0</v>
      </c>
      <c r="AL732">
        <v>0</v>
      </c>
      <c r="AN732">
        <f>AND(IF(Metadata!B732="",FALSE,TRUE),COUNTIF(Metadata!B:B, Metadata!B732) = 1,NOT(ISERROR(SUMPRODUCT(SEARCH(MID(Metadata!B732,ROW(INDIRECT("1:"&amp;LEN(Metadata!B732))), 1),"0123456789abcdefghijklmnopqrstuvwxyzABCDEFGHIJKLMNOPQRSTUVWXYZ.")))))</f>
        <v>0</v>
      </c>
      <c r="AO732">
        <f>IF(Metadata!C732="",FALSE,TRUE)</f>
        <v>0</v>
      </c>
      <c r="AP732">
        <f>IF(Metadata!D732="",FALSE,TRUE)</f>
        <v>0</v>
      </c>
      <c r="AQ732">
        <f>OR(AND(IF(Metadata!E732="",FALSE,TRUE),OR(exact(Metadata!E732,"not collected"),exact(Metadata!E732,"not provided"),exact(Metadata!E732,"restricted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R732">
        <f>IF(Metadata!F732="",FALSE,TRUE)</f>
        <v>0</v>
      </c>
      <c r="AS732">
        <f>OR(AND(IF(Metadata!G732="",FALSE,TRUE),OR(exact(Metadata!G732,"not collected"),exact(Metadata!G732,"not provided"))),AND(IF(Metadata!G732="",FALSE,TRUE),OR(exact(Metadata!G732,"TRUE"),exact(Metadata!G732,"FALSE"))))</f>
        <v>0</v>
      </c>
      <c r="AT732">
        <f>OR(AND(IF(Metadata!H732="",FALSE,TRUE),OR(exact(Metadata!H732,"not collected"),exact(Metadata!H732,"not provided"),exact(Metadata!H732,"restricted access"))),AND(IF(Metadata!H732="",FALSE,ISNUMBER(VALUE(Metadata!H732))),Metadata!H732&gt;=-413.0))</f>
        <v>0</v>
      </c>
      <c r="AU732">
        <f>AND(IF(Metadata!I732="",FALSE,TRUE),exact(Metadata!I732,"meters"))</f>
        <v>0</v>
      </c>
      <c r="AV732">
        <f>AND(IF(Metadata!J732="",FALSE,TRUE),OR(exact(Metadata!J732,"Host-associated"),exact(Metadata!J732,"Free-living")))</f>
        <v>0</v>
      </c>
      <c r="AW732">
        <f>AND(IF(Metadata!K732="",FALSE,TRUE),OR(exact(Metadata!K732,"Animal"),exact(Metadata!K732,"Fungus"),exact(Metadata!K732,"Plant"),exact(Metadata!K732,"Saline"),exact(Metadata!K732,"Non-saline")))</f>
        <v>0</v>
      </c>
      <c r="AX732">
        <f>AND(IF(Metadata!L732="",FALSE,TRUE),OR(exact(Metadata!L732,"Plant secretion"),exact(Metadata!L732,"Plant rhizosphere"),exact(Metadata!L732,"Plant surface"),exact(Metadata!L732,"Plant corpus"),exact(Metadata!L732,"Fungus surface"),exact(Metadata!L732,"Fungus corpus"),exact(Metadata!L732,"Animal surface"),exact(Metadata!L732,"Animal proximal gut"),exact(Metadata!L732,"Animal corpus"),exact(Metadata!L732,"Animal distal gut"),exact(Metadata!L732,"Animal secretion"),exact(Metadata!L732,"Sub-surface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Y732">
        <f>IF(Metadata!M732="",FALSE,TRUE)</f>
        <v>0</v>
      </c>
      <c r="AZ732">
        <f>IF(Metadata!N732="",FALSE,TRUE)</f>
        <v>0</v>
      </c>
      <c r="BA732">
        <f>IF(Metadata!O732="",FALSE,TRUE)</f>
        <v>0</v>
      </c>
      <c r="BB732">
        <f>OR(AND(IF(Metadata!P732="",FALSE,TRUE),OR(exact(Metadata!P732,"not collected"),exact(Metadata!P732,"not provided"),exact(Metadata!P732,"restricted access"))),AND(IF(Metadata!P732="",FALSE,TRUE),OR(exact(Metadata!P732,"air"),exact(Metadata!P732,"built environment"),exact(Metadata!P732,"host-associated"),exact(Metadata!P732,"human-associated"),exact(Metadata!P732,"human-skin"),exact(Metadata!P732,"human-oral"),exact(Metadata!P732,"human-gut"),exact(Metadata!P732,"human-vaginal"),exact(Metadata!P732,"microbial mat/biofilm"),exact(Metadata!P732,"misc environment"),exact(Metadata!P732,"plant-associated"),exact(Metadata!P732,"sediment"),exact(Metadata!P732,"soil"),exact(Metadata!P732,"wastewater/sludge"),exact(Metadata!P732,"water"))))</f>
        <v>0</v>
      </c>
      <c r="BC732">
        <f>IF(Metadata!Q732="",FALSE,TRUE)</f>
        <v>0</v>
      </c>
      <c r="BD732">
        <f>IF(Metadata!R732="",FALSE,TRUE)</f>
        <v>0</v>
      </c>
      <c r="BE732">
        <f>OR(AND(IF(Metadata!S732="",FALSE,TRUE),OR(exact(Metadata!S732,"not collected"),exact(Metadata!S732,"not provided"),exact(Metadata!S732,"restricted access"))),AND(IF(Metadata!S732="",FALSE,ISNUMBER(VALUE(Metadata!S732))),Metadata!S732&gt;=-90.00,Metadata!S732&lt;=90.00))</f>
        <v>0</v>
      </c>
      <c r="BF732">
        <f>AND(IF(Metadata!T732="",FALSE,TRUE),exact(Metadata!T732,"Decimal degrees"))</f>
        <v>0</v>
      </c>
      <c r="BG732">
        <f>OR(AND(IF(Metadata!U732="",FALSE,TRUE),OR(exact(Metadata!U732,"not collected"),exact(Metadata!U732,"not provided"),exact(Metadata!U732,"restricted access"))),AND(IF(Metadata!U732="",FALSE,ISNUMBER(VALUE(Metadata!U732))),Metadata!U732&gt;=-180.00,Metadata!U732&lt;=180.00))</f>
        <v>0</v>
      </c>
      <c r="BH732">
        <f>AND(IF(Metadata!V732="",FALSE,TRUE),exact(Metadata!V732,"Decimal degrees"))</f>
        <v>0</v>
      </c>
      <c r="BI732">
        <f>IF(Metadata!W732="",FALSE,TRUE)</f>
        <v>0</v>
      </c>
      <c r="BJ732">
        <f>OR(AND(IF(Metadata!X732="",FALSE,TRUE),OR(exact(Metadata!X732,"not collected"),exact(Metadata!X732,"not provided"),exact(Metadata!X732,"restricted access"))),AND(IF(Metadata!X732="",FALSE,TRUE),OR(exact(Metadata!X732,"TRUE"),exact(Metadata!X732,"FALSE"))))</f>
        <v>0</v>
      </c>
      <c r="BK732">
        <f>AND(IF(Metadata!Y732="",FALSE,TRUE),exact(Metadata!Y732,"other"))</f>
        <v>0</v>
      </c>
      <c r="BL732">
        <f>IF(Metadata!Z732="",FALSE,TRUE)</f>
        <v>0</v>
      </c>
      <c r="BM732">
        <f>OR(AND(IF(Metadata!AA732="",FALSE,TRUE),OR(exact(Metadata!AA732,"not collected"),exact(Metadata!AA732,"not provided"))),AND(IF(Metadata!AA732="",FALSE,IF(ISERROR(INT(Metadata!AA732)),FALSE,INT(Metadata!AA732)=Metadata!AA732)),Metadata!AA732&gt;0))</f>
        <v>0</v>
      </c>
      <c r="BN732">
        <f>AND(IF(Metadata!AB732="",FALSE,TRUE),exact(Metadata!AB732,"Not applicable"))</f>
        <v>0</v>
      </c>
      <c r="BO732">
        <f>IF(Metadata!AC732="",FALSE,TRUE)</f>
        <v>0</v>
      </c>
    </row>
    <row r="733" spans="1:67">
      <c r="A733" s="5">
        <f>IF(B733=" "," ",HYPERLINK(CONCATENATE("#metadata!",ADDRESS(INDEX($AI$2:$AI$1001,MATCH(ROWS($AG$2:AG733),$AG$2:$AG$1001,0),0),1)),INDEX($AL$2:$AL$1001,MATCH(ROWS($AG$2:AG733),$AG$2:$AG$1001,0),0)))</f>
        <v>0</v>
      </c>
      <c r="B733" s="4">
        <f>IF(OR(INDEX($AH$2:$AH$1001,MATCH(ROWS($AG$2:AG733),$AG$2:$AG$1001,0),1)&gt;=100000,INDEX($AN$1005:$BO$1005,1,MATCH(COLUMNS($AN$1006:AN1006),$AN$1006:$BO$1006,0))&gt;=100000), " ",IF(INDEX($AN$2:$BO$1001,MATCH(ROWS($AG$2:AG733),$AG$2:$AG$1001,0),MATCH(COLUMNS($AN$1006:AN1006),$AN$1006:$BO$1006,0)), HYPERLINK("#",""), HYPERLINK(CONCATENATE("#Metadata!", ADDRESS(INDEX($AI$2:$AI$1001,MATCH(ROWS($AG$2:AG733),$AG$2:$AG$1001,0),0), INDEX($AN$1004:$BO$1004,1,MATCH(COLUMNS($AN$1006:AN1006),$AN$1006:$BO$1006,0)))),"Fix")))</f>
        <v>0</v>
      </c>
      <c r="C733" s="4">
        <f>IF(OR(INDEX($AH$2:$AH$1001,MATCH(ROWS($AG$2:AG733),$AG$2:$AG$1001,0),1)&gt;=100000,INDEX($AN$1005:$BO$1005,1,MATCH(COLUMNS($AN$1006:AO1006),$AN$1006:$BO$1006,0))&gt;=100000), " ",IF(INDEX($AN$2:$BO$1001,MATCH(ROWS($AG$2:AG733),$AG$2:$AG$1001,0),MATCH(COLUMNS($AN$1006:AO1006),$AN$1006:$BO$1006,0)), HYPERLINK("#",""), HYPERLINK(CONCATENATE("#Metadata!", ADDRESS(INDEX($AI$2:$AI$1001,MATCH(ROWS($AG$2:AG733),$AG$2:$AG$1001,0),0), INDEX($AN$1004:$BO$1004,1,MATCH(COLUMNS($AN$1006:AO1006),$AN$1006:$BO$1006,0)))),"Fix")))</f>
        <v>0</v>
      </c>
      <c r="D733" s="4">
        <f>IF(OR(INDEX($AH$2:$AH$1001,MATCH(ROWS($AG$2:AG733),$AG$2:$AG$1001,0),1)&gt;=100000,INDEX($AN$1005:$BO$1005,1,MATCH(COLUMNS($AN$1006:AP1006),$AN$1006:$BO$1006,0))&gt;=100000), " ",IF(INDEX($AN$2:$BO$1001,MATCH(ROWS($AG$2:AG733),$AG$2:$AG$1001,0),MATCH(COLUMNS($AN$1006:AP1006),$AN$1006:$BO$1006,0)), HYPERLINK("#",""), HYPERLINK(CONCATENATE("#Metadata!", ADDRESS(INDEX($AI$2:$AI$1001,MATCH(ROWS($AG$2:AG733),$AG$2:$AG$1001,0),0), INDEX($AN$1004:$BO$1004,1,MATCH(COLUMNS($AN$1006:AP1006),$AN$1006:$BO$1006,0)))),"Fix")))</f>
        <v>0</v>
      </c>
      <c r="E733" s="4">
        <f>IF(OR(INDEX($AH$2:$AH$1001,MATCH(ROWS($AG$2:AG733),$AG$2:$AG$1001,0),1)&gt;=100000,INDEX($AN$1005:$BO$1005,1,MATCH(COLUMNS($AN$1006:AQ1006),$AN$1006:$BO$1006,0))&gt;=100000), " ",IF(INDEX($AN$2:$BO$1001,MATCH(ROWS($AG$2:AG733),$AG$2:$AG$1001,0),MATCH(COLUMNS($AN$1006:AQ1006),$AN$1006:$BO$1006,0)), HYPERLINK("#",""), HYPERLINK(CONCATENATE("#Metadata!", ADDRESS(INDEX($AI$2:$AI$1001,MATCH(ROWS($AG$2:AG733),$AG$2:$AG$1001,0),0), INDEX($AN$1004:$BO$1004,1,MATCH(COLUMNS($AN$1006:AQ1006),$AN$1006:$BO$1006,0)))),"Fix")))</f>
        <v>0</v>
      </c>
      <c r="F733" s="4">
        <f>IF(OR(INDEX($AH$2:$AH$1001,MATCH(ROWS($AG$2:AG733),$AG$2:$AG$1001,0),1)&gt;=100000,INDEX($AN$1005:$BO$1005,1,MATCH(COLUMNS($AN$1006:AR1006),$AN$1006:$BO$1006,0))&gt;=100000), " ",IF(INDEX($AN$2:$BO$1001,MATCH(ROWS($AG$2:AG733),$AG$2:$AG$1001,0),MATCH(COLUMNS($AN$1006:AR1006),$AN$1006:$BO$1006,0)), HYPERLINK("#",""), HYPERLINK(CONCATENATE("#Metadata!", ADDRESS(INDEX($AI$2:$AI$1001,MATCH(ROWS($AG$2:AG733),$AG$2:$AG$1001,0),0), INDEX($AN$1004:$BO$1004,1,MATCH(COLUMNS($AN$1006:AR1006),$AN$1006:$BO$1006,0)))),"Fix")))</f>
        <v>0</v>
      </c>
      <c r="G733" s="4">
        <f>IF(OR(INDEX($AH$2:$AH$1001,MATCH(ROWS($AG$2:AG733),$AG$2:$AG$1001,0),1)&gt;=100000,INDEX($AN$1005:$BO$1005,1,MATCH(COLUMNS($AN$1006:AS1006),$AN$1006:$BO$1006,0))&gt;=100000), " ",IF(INDEX($AN$2:$BO$1001,MATCH(ROWS($AG$2:AG733),$AG$2:$AG$1001,0),MATCH(COLUMNS($AN$1006:AS1006),$AN$1006:$BO$1006,0)), HYPERLINK("#",""), HYPERLINK(CONCATENATE("#Metadata!", ADDRESS(INDEX($AI$2:$AI$1001,MATCH(ROWS($AG$2:AG733),$AG$2:$AG$1001,0),0), INDEX($AN$1004:$BO$1004,1,MATCH(COLUMNS($AN$1006:AS1006),$AN$1006:$BO$1006,0)))),"Fix")))</f>
        <v>0</v>
      </c>
      <c r="H733" s="4">
        <f>IF(OR(INDEX($AH$2:$AH$1001,MATCH(ROWS($AG$2:AG733),$AG$2:$AG$1001,0),1)&gt;=100000,INDEX($AN$1005:$BO$1005,1,MATCH(COLUMNS($AN$1006:AT1006),$AN$1006:$BO$1006,0))&gt;=100000), " ",IF(INDEX($AN$2:$BO$1001,MATCH(ROWS($AG$2:AG733),$AG$2:$AG$1001,0),MATCH(COLUMNS($AN$1006:AT1006),$AN$1006:$BO$1006,0)), HYPERLINK("#",""), HYPERLINK(CONCATENATE("#Metadata!", ADDRESS(INDEX($AI$2:$AI$1001,MATCH(ROWS($AG$2:AG733),$AG$2:$AG$1001,0),0), INDEX($AN$1004:$BO$1004,1,MATCH(COLUMNS($AN$1006:AT1006),$AN$1006:$BO$1006,0)))),"Fix")))</f>
        <v>0</v>
      </c>
      <c r="I733" s="4">
        <f>IF(OR(INDEX($AH$2:$AH$1001,MATCH(ROWS($AG$2:AG733),$AG$2:$AG$1001,0),1)&gt;=100000,INDEX($AN$1005:$BO$1005,1,MATCH(COLUMNS($AN$1006:AU1006),$AN$1006:$BO$1006,0))&gt;=100000), " ",IF(INDEX($AN$2:$BO$1001,MATCH(ROWS($AG$2:AG733),$AG$2:$AG$1001,0),MATCH(COLUMNS($AN$1006:AU1006),$AN$1006:$BO$1006,0)), HYPERLINK("#",""), HYPERLINK(CONCATENATE("#Metadata!", ADDRESS(INDEX($AI$2:$AI$1001,MATCH(ROWS($AG$2:AG733),$AG$2:$AG$1001,0),0), INDEX($AN$1004:$BO$1004,1,MATCH(COLUMNS($AN$1006:AU1006),$AN$1006:$BO$1006,0)))),"Fix")))</f>
        <v>0</v>
      </c>
      <c r="J733" s="4">
        <f>IF(OR(INDEX($AH$2:$AH$1001,MATCH(ROWS($AG$2:AG733),$AG$2:$AG$1001,0),1)&gt;=100000,INDEX($AN$1005:$BO$1005,1,MATCH(COLUMNS($AN$1006:AV1006),$AN$1006:$BO$1006,0))&gt;=100000), " ",IF(INDEX($AN$2:$BO$1001,MATCH(ROWS($AG$2:AG733),$AG$2:$AG$1001,0),MATCH(COLUMNS($AN$1006:AV1006),$AN$1006:$BO$1006,0)), HYPERLINK("#",""), HYPERLINK(CONCATENATE("#Metadata!", ADDRESS(INDEX($AI$2:$AI$1001,MATCH(ROWS($AG$2:AG733),$AG$2:$AG$1001,0),0), INDEX($AN$1004:$BO$1004,1,MATCH(COLUMNS($AN$1006:AV1006),$AN$1006:$BO$1006,0)))),"Fix")))</f>
        <v>0</v>
      </c>
      <c r="K733" s="4">
        <f>IF(OR(INDEX($AH$2:$AH$1001,MATCH(ROWS($AG$2:AG733),$AG$2:$AG$1001,0),1)&gt;=100000,INDEX($AN$1005:$BO$1005,1,MATCH(COLUMNS($AN$1006:AW1006),$AN$1006:$BO$1006,0))&gt;=100000), " ",IF(INDEX($AN$2:$BO$1001,MATCH(ROWS($AG$2:AG733),$AG$2:$AG$1001,0),MATCH(COLUMNS($AN$1006:AW1006),$AN$1006:$BO$1006,0)), HYPERLINK("#",""), HYPERLINK(CONCATENATE("#Metadata!", ADDRESS(INDEX($AI$2:$AI$1001,MATCH(ROWS($AG$2:AG733),$AG$2:$AG$1001,0),0), INDEX($AN$1004:$BO$1004,1,MATCH(COLUMNS($AN$1006:AW1006),$AN$1006:$BO$1006,0)))),"Fix")))</f>
        <v>0</v>
      </c>
      <c r="L733" s="4">
        <f>IF(OR(INDEX($AH$2:$AH$1001,MATCH(ROWS($AG$2:AG733),$AG$2:$AG$1001,0),1)&gt;=100000,INDEX($AN$1005:$BO$1005,1,MATCH(COLUMNS($AN$1006:AX1006),$AN$1006:$BO$1006,0))&gt;=100000), " ",IF(INDEX($AN$2:$BO$1001,MATCH(ROWS($AG$2:AG733),$AG$2:$AG$1001,0),MATCH(COLUMNS($AN$1006:AX1006),$AN$1006:$BO$1006,0)), HYPERLINK("#",""), HYPERLINK(CONCATENATE("#Metadata!", ADDRESS(INDEX($AI$2:$AI$1001,MATCH(ROWS($AG$2:AG733),$AG$2:$AG$1001,0),0), INDEX($AN$1004:$BO$1004,1,MATCH(COLUMNS($AN$1006:AX1006),$AN$1006:$BO$1006,0)))),"Fix")))</f>
        <v>0</v>
      </c>
      <c r="M733" s="4">
        <f>IF(OR(INDEX($AH$2:$AH$1001,MATCH(ROWS($AG$2:AG733),$AG$2:$AG$1001,0),1)&gt;=100000,INDEX($AN$1005:$BO$1005,1,MATCH(COLUMNS($AN$1006:AY1006),$AN$1006:$BO$1006,0))&gt;=100000), " ",IF(INDEX($AN$2:$BO$1001,MATCH(ROWS($AG$2:AG733),$AG$2:$AG$1001,0),MATCH(COLUMNS($AN$1006:AY1006),$AN$1006:$BO$1006,0)), HYPERLINK("#",""), HYPERLINK(CONCATENATE("#Metadata!", ADDRESS(INDEX($AI$2:$AI$1001,MATCH(ROWS($AG$2:AG733),$AG$2:$AG$1001,0),0), INDEX($AN$1004:$BO$1004,1,MATCH(COLUMNS($AN$1006:AY1006),$AN$1006:$BO$1006,0)))),"Fix")))</f>
        <v>0</v>
      </c>
      <c r="N733" s="4">
        <f>IF(OR(INDEX($AH$2:$AH$1001,MATCH(ROWS($AG$2:AG733),$AG$2:$AG$1001,0),1)&gt;=100000,INDEX($AN$1005:$BO$1005,1,MATCH(COLUMNS($AN$1006:AZ1006),$AN$1006:$BO$1006,0))&gt;=100000), " ",IF(INDEX($AN$2:$BO$1001,MATCH(ROWS($AG$2:AG733),$AG$2:$AG$1001,0),MATCH(COLUMNS($AN$1006:AZ1006),$AN$1006:$BO$1006,0)), HYPERLINK("#",""), HYPERLINK(CONCATENATE("#Metadata!", ADDRESS(INDEX($AI$2:$AI$1001,MATCH(ROWS($AG$2:AG733),$AG$2:$AG$1001,0),0), INDEX($AN$1004:$BO$1004,1,MATCH(COLUMNS($AN$1006:AZ1006),$AN$1006:$BO$1006,0)))),"Fix")))</f>
        <v>0</v>
      </c>
      <c r="O733" s="4">
        <f>IF(OR(INDEX($AH$2:$AH$1001,MATCH(ROWS($AG$2:AG733),$AG$2:$AG$1001,0),1)&gt;=100000,INDEX($AN$1005:$BO$1005,1,MATCH(COLUMNS($AN$1006:BA1006),$AN$1006:$BO$1006,0))&gt;=100000), " ",IF(INDEX($AN$2:$BO$1001,MATCH(ROWS($AG$2:AG733),$AG$2:$AG$1001,0),MATCH(COLUMNS($AN$1006:BA1006),$AN$1006:$BO$1006,0)), HYPERLINK("#",""), HYPERLINK(CONCATENATE("#Metadata!", ADDRESS(INDEX($AI$2:$AI$1001,MATCH(ROWS($AG$2:AG733),$AG$2:$AG$1001,0),0), INDEX($AN$1004:$BO$1004,1,MATCH(COLUMNS($AN$1006:BA1006),$AN$1006:$BO$1006,0)))),"Fix")))</f>
        <v>0</v>
      </c>
      <c r="P733" s="4">
        <f>IF(OR(INDEX($AH$2:$AH$1001,MATCH(ROWS($AG$2:AG733),$AG$2:$AG$1001,0),1)&gt;=100000,INDEX($AN$1005:$BO$1005,1,MATCH(COLUMNS($AN$1006:BB1006),$AN$1006:$BO$1006,0))&gt;=100000), " ",IF(INDEX($AN$2:$BO$1001,MATCH(ROWS($AG$2:AG733),$AG$2:$AG$1001,0),MATCH(COLUMNS($AN$1006:BB1006),$AN$1006:$BO$1006,0)), HYPERLINK("#",""), HYPERLINK(CONCATENATE("#Metadata!", ADDRESS(INDEX($AI$2:$AI$1001,MATCH(ROWS($AG$2:AG733),$AG$2:$AG$1001,0),0), INDEX($AN$1004:$BO$1004,1,MATCH(COLUMNS($AN$1006:BB1006),$AN$1006:$BO$1006,0)))),"Fix")))</f>
        <v>0</v>
      </c>
      <c r="Q733" s="4">
        <f>IF(OR(INDEX($AH$2:$AH$1001,MATCH(ROWS($AG$2:AG733),$AG$2:$AG$1001,0),1)&gt;=100000,INDEX($AN$1005:$BO$1005,1,MATCH(COLUMNS($AN$1006:BC1006),$AN$1006:$BO$1006,0))&gt;=100000), " ",IF(INDEX($AN$2:$BO$1001,MATCH(ROWS($AG$2:AG733),$AG$2:$AG$1001,0),MATCH(COLUMNS($AN$1006:BC1006),$AN$1006:$BO$1006,0)), HYPERLINK("#",""), HYPERLINK(CONCATENATE("#Metadata!", ADDRESS(INDEX($AI$2:$AI$1001,MATCH(ROWS($AG$2:AG733),$AG$2:$AG$1001,0),0), INDEX($AN$1004:$BO$1004,1,MATCH(COLUMNS($AN$1006:BC1006),$AN$1006:$BO$1006,0)))),"Fix")))</f>
        <v>0</v>
      </c>
      <c r="R733" s="4">
        <f>IF(OR(INDEX($AH$2:$AH$1001,MATCH(ROWS($AG$2:AG733),$AG$2:$AG$1001,0),1)&gt;=100000,INDEX($AN$1005:$BO$1005,1,MATCH(COLUMNS($AN$1006:BD1006),$AN$1006:$BO$1006,0))&gt;=100000), " ",IF(INDEX($AN$2:$BO$1001,MATCH(ROWS($AG$2:AG733),$AG$2:$AG$1001,0),MATCH(COLUMNS($AN$1006:BD1006),$AN$1006:$BO$1006,0)), HYPERLINK("#",""), HYPERLINK(CONCATENATE("#Metadata!", ADDRESS(INDEX($AI$2:$AI$1001,MATCH(ROWS($AG$2:AG733),$AG$2:$AG$1001,0),0), INDEX($AN$1004:$BO$1004,1,MATCH(COLUMNS($AN$1006:BD1006),$AN$1006:$BO$1006,0)))),"Fix")))</f>
        <v>0</v>
      </c>
      <c r="S733" s="4">
        <f>IF(OR(INDEX($AH$2:$AH$1001,MATCH(ROWS($AG$2:AG733),$AG$2:$AG$1001,0),1)&gt;=100000,INDEX($AN$1005:$BO$1005,1,MATCH(COLUMNS($AN$1006:BE1006),$AN$1006:$BO$1006,0))&gt;=100000), " ",IF(INDEX($AN$2:$BO$1001,MATCH(ROWS($AG$2:AG733),$AG$2:$AG$1001,0),MATCH(COLUMNS($AN$1006:BE1006),$AN$1006:$BO$1006,0)), HYPERLINK("#",""), HYPERLINK(CONCATENATE("#Metadata!", ADDRESS(INDEX($AI$2:$AI$1001,MATCH(ROWS($AG$2:AG733),$AG$2:$AG$1001,0),0), INDEX($AN$1004:$BO$1004,1,MATCH(COLUMNS($AN$1006:BE1006),$AN$1006:$BO$1006,0)))),"Fix")))</f>
        <v>0</v>
      </c>
      <c r="T733" s="4">
        <f>IF(OR(INDEX($AH$2:$AH$1001,MATCH(ROWS($AG$2:AG733),$AG$2:$AG$1001,0),1)&gt;=100000,INDEX($AN$1005:$BO$1005,1,MATCH(COLUMNS($AN$1006:BF1006),$AN$1006:$BO$1006,0))&gt;=100000), " ",IF(INDEX($AN$2:$BO$1001,MATCH(ROWS($AG$2:AG733),$AG$2:$AG$1001,0),MATCH(COLUMNS($AN$1006:BF1006),$AN$1006:$BO$1006,0)), HYPERLINK("#",""), HYPERLINK(CONCATENATE("#Metadata!", ADDRESS(INDEX($AI$2:$AI$1001,MATCH(ROWS($AG$2:AG733),$AG$2:$AG$1001,0),0), INDEX($AN$1004:$BO$1004,1,MATCH(COLUMNS($AN$1006:BF1006),$AN$1006:$BO$1006,0)))),"Fix")))</f>
        <v>0</v>
      </c>
      <c r="U733" s="4">
        <f>IF(OR(INDEX($AH$2:$AH$1001,MATCH(ROWS($AG$2:AG733),$AG$2:$AG$1001,0),1)&gt;=100000,INDEX($AN$1005:$BO$1005,1,MATCH(COLUMNS($AN$1006:BG1006),$AN$1006:$BO$1006,0))&gt;=100000), " ",IF(INDEX($AN$2:$BO$1001,MATCH(ROWS($AG$2:AG733),$AG$2:$AG$1001,0),MATCH(COLUMNS($AN$1006:BG1006),$AN$1006:$BO$1006,0)), HYPERLINK("#",""), HYPERLINK(CONCATENATE("#Metadata!", ADDRESS(INDEX($AI$2:$AI$1001,MATCH(ROWS($AG$2:AG733),$AG$2:$AG$1001,0),0), INDEX($AN$1004:$BO$1004,1,MATCH(COLUMNS($AN$1006:BG1006),$AN$1006:$BO$1006,0)))),"Fix")))</f>
        <v>0</v>
      </c>
      <c r="V733" s="4">
        <f>IF(OR(INDEX($AH$2:$AH$1001,MATCH(ROWS($AG$2:AG733),$AG$2:$AG$1001,0),1)&gt;=100000,INDEX($AN$1005:$BO$1005,1,MATCH(COLUMNS($AN$1006:BH1006),$AN$1006:$BO$1006,0))&gt;=100000), " ",IF(INDEX($AN$2:$BO$1001,MATCH(ROWS($AG$2:AG733),$AG$2:$AG$1001,0),MATCH(COLUMNS($AN$1006:BH1006),$AN$1006:$BO$1006,0)), HYPERLINK("#",""), HYPERLINK(CONCATENATE("#Metadata!", ADDRESS(INDEX($AI$2:$AI$1001,MATCH(ROWS($AG$2:AG733),$AG$2:$AG$1001,0),0), INDEX($AN$1004:$BO$1004,1,MATCH(COLUMNS($AN$1006:BH1006),$AN$1006:$BO$1006,0)))),"Fix")))</f>
        <v>0</v>
      </c>
      <c r="W733" s="4">
        <f>IF(OR(INDEX($AH$2:$AH$1001,MATCH(ROWS($AG$2:AG733),$AG$2:$AG$1001,0),1)&gt;=100000,INDEX($AN$1005:$BO$1005,1,MATCH(COLUMNS($AN$1006:BI1006),$AN$1006:$BO$1006,0))&gt;=100000), " ",IF(INDEX($AN$2:$BO$1001,MATCH(ROWS($AG$2:AG733),$AG$2:$AG$1001,0),MATCH(COLUMNS($AN$1006:BI1006),$AN$1006:$BO$1006,0)), HYPERLINK("#",""), HYPERLINK(CONCATENATE("#Metadata!", ADDRESS(INDEX($AI$2:$AI$1001,MATCH(ROWS($AG$2:AG733),$AG$2:$AG$1001,0),0), INDEX($AN$1004:$BO$1004,1,MATCH(COLUMNS($AN$1006:BI1006),$AN$1006:$BO$1006,0)))),"Fix")))</f>
        <v>0</v>
      </c>
      <c r="X733" s="4">
        <f>IF(OR(INDEX($AH$2:$AH$1001,MATCH(ROWS($AG$2:AG733),$AG$2:$AG$1001,0),1)&gt;=100000,INDEX($AN$1005:$BO$1005,1,MATCH(COLUMNS($AN$1006:BJ1006),$AN$1006:$BO$1006,0))&gt;=100000), " ",IF(INDEX($AN$2:$BO$1001,MATCH(ROWS($AG$2:AG733),$AG$2:$AG$1001,0),MATCH(COLUMNS($AN$1006:BJ1006),$AN$1006:$BO$1006,0)), HYPERLINK("#",""), HYPERLINK(CONCATENATE("#Metadata!", ADDRESS(INDEX($AI$2:$AI$1001,MATCH(ROWS($AG$2:AG733),$AG$2:$AG$1001,0),0), INDEX($AN$1004:$BO$1004,1,MATCH(COLUMNS($AN$1006:BJ1006),$AN$1006:$BO$1006,0)))),"Fix")))</f>
        <v>0</v>
      </c>
      <c r="Y733" s="4">
        <f>IF(OR(INDEX($AH$2:$AH$1001,MATCH(ROWS($AG$2:AG733),$AG$2:$AG$1001,0),1)&gt;=100000,INDEX($AN$1005:$BO$1005,1,MATCH(COLUMNS($AN$1006:BK1006),$AN$1006:$BO$1006,0))&gt;=100000), " ",IF(INDEX($AN$2:$BO$1001,MATCH(ROWS($AG$2:AG733),$AG$2:$AG$1001,0),MATCH(COLUMNS($AN$1006:BK1006),$AN$1006:$BO$1006,0)), HYPERLINK("#",""), HYPERLINK(CONCATENATE("#Metadata!", ADDRESS(INDEX($AI$2:$AI$1001,MATCH(ROWS($AG$2:AG733),$AG$2:$AG$1001,0),0), INDEX($AN$1004:$BO$1004,1,MATCH(COLUMNS($AN$1006:BK1006),$AN$1006:$BO$1006,0)))),"Fix")))</f>
        <v>0</v>
      </c>
      <c r="Z733" s="4">
        <f>IF(OR(INDEX($AH$2:$AH$1001,MATCH(ROWS($AG$2:AG733),$AG$2:$AG$1001,0),1)&gt;=100000,INDEX($AN$1005:$BO$1005,1,MATCH(COLUMNS($AN$1006:BL1006),$AN$1006:$BO$1006,0))&gt;=100000), " ",IF(INDEX($AN$2:$BO$1001,MATCH(ROWS($AG$2:AG733),$AG$2:$AG$1001,0),MATCH(COLUMNS($AN$1006:BL1006),$AN$1006:$BO$1006,0)), HYPERLINK("#",""), HYPERLINK(CONCATENATE("#Metadata!", ADDRESS(INDEX($AI$2:$AI$1001,MATCH(ROWS($AG$2:AG733),$AG$2:$AG$1001,0),0), INDEX($AN$1004:$BO$1004,1,MATCH(COLUMNS($AN$1006:BL1006),$AN$1006:$BO$1006,0)))),"Fix")))</f>
        <v>0</v>
      </c>
      <c r="AA733" s="4">
        <f>IF(OR(INDEX($AH$2:$AH$1001,MATCH(ROWS($AG$2:AG733),$AG$2:$AG$1001,0),1)&gt;=100000,INDEX($AN$1005:$BO$1005,1,MATCH(COLUMNS($AN$1006:BM1006),$AN$1006:$BO$1006,0))&gt;=100000), " ",IF(INDEX($AN$2:$BO$1001,MATCH(ROWS($AG$2:AG733),$AG$2:$AG$1001,0),MATCH(COLUMNS($AN$1006:BM1006),$AN$1006:$BO$1006,0)), HYPERLINK("#",""), HYPERLINK(CONCATENATE("#Metadata!", ADDRESS(INDEX($AI$2:$AI$1001,MATCH(ROWS($AG$2:AG733),$AG$2:$AG$1001,0),0), INDEX($AN$1004:$BO$1004,1,MATCH(COLUMNS($AN$1006:BM1006),$AN$1006:$BO$1006,0)))),"Fix")))</f>
        <v>0</v>
      </c>
      <c r="AB733" s="4">
        <f>IF(OR(INDEX($AH$2:$AH$1001,MATCH(ROWS($AG$2:AG733),$AG$2:$AG$1001,0),1)&gt;=100000,INDEX($AN$1005:$BO$1005,1,MATCH(COLUMNS($AN$1006:BN1006),$AN$1006:$BO$1006,0))&gt;=100000), " ",IF(INDEX($AN$2:$BO$1001,MATCH(ROWS($AG$2:AG733),$AG$2:$AG$1001,0),MATCH(COLUMNS($AN$1006:BN1006),$AN$1006:$BO$1006,0)), HYPERLINK("#",""), HYPERLINK(CONCATENATE("#Metadata!", ADDRESS(INDEX($AI$2:$AI$1001,MATCH(ROWS($AG$2:AG733),$AG$2:$AG$1001,0),0), INDEX($AN$1004:$BO$1004,1,MATCH(COLUMNS($AN$1006:BN1006),$AN$1006:$BO$1006,0)))),"Fix")))</f>
        <v>0</v>
      </c>
      <c r="AC733" s="4">
        <f>IF(OR(INDEX($AH$2:$AH$1001,MATCH(ROWS($AG$2:AG733),$AG$2:$AG$1001,0),1)&gt;=100000,INDEX($AN$1005:$BO$1005,1,MATCH(COLUMNS($AN$1006:BO1006),$AN$1006:$BO$1006,0))&gt;=100000), " ",IF(INDEX($AN$2:$BO$1001,MATCH(ROWS($AG$2:AG733),$AG$2:$AG$1001,0),MATCH(COLUMNS($AN$1006:BO1006),$AN$1006:$BO$1006,0)), HYPERLINK("#",""), HYPERLINK(CONCATENATE("#Metadata!", ADDRESS(INDEX($AI$2:$AI$1001,MATCH(ROWS($AG$2:AG733),$AG$2:$AG$1001,0),0), INDEX($AN$1004:$BO$1004,1,MATCH(COLUMNS($AN$1006:BO1006),$AN$1006:$BO$1006,0)))),"Fix")))</f>
        <v>0</v>
      </c>
      <c r="AG733">
        <v>0</v>
      </c>
      <c r="AH733">
        <v>0</v>
      </c>
      <c r="AI733">
        <v>0</v>
      </c>
      <c r="AJ733">
        <f>IF(AK733,TRUE,AND(AN733:BO733))</f>
        <v>0</v>
      </c>
      <c r="AK733">
        <f>COUNTBLANK(Metadata!B733:AC733)=COLUMNS(Metadata!B733:AC733)</f>
        <v>0</v>
      </c>
      <c r="AL733">
        <v>0</v>
      </c>
      <c r="AN733">
        <f>AND(IF(Metadata!B733="",FALSE,TRUE),COUNTIF(Metadata!B:B, Metadata!B733) = 1,NOT(ISERROR(SUMPRODUCT(SEARCH(MID(Metadata!B733,ROW(INDIRECT("1:"&amp;LEN(Metadata!B733))), 1),"0123456789abcdefghijklmnopqrstuvwxyzABCDEFGHIJKLMNOPQRSTUVWXYZ.")))))</f>
        <v>0</v>
      </c>
      <c r="AO733">
        <f>IF(Metadata!C733="",FALSE,TRUE)</f>
        <v>0</v>
      </c>
      <c r="AP733">
        <f>IF(Metadata!D733="",FALSE,TRUE)</f>
        <v>0</v>
      </c>
      <c r="AQ733">
        <f>OR(AND(IF(Metadata!E733="",FALSE,TRUE),OR(exact(Metadata!E733,"not collected"),exact(Metadata!E733,"not provided"),exact(Metadata!E733,"restricted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R733">
        <f>IF(Metadata!F733="",FALSE,TRUE)</f>
        <v>0</v>
      </c>
      <c r="AS733">
        <f>OR(AND(IF(Metadata!G733="",FALSE,TRUE),OR(exact(Metadata!G733,"not collected"),exact(Metadata!G733,"not provided"))),AND(IF(Metadata!G733="",FALSE,TRUE),OR(exact(Metadata!G733,"TRUE"),exact(Metadata!G733,"FALSE"))))</f>
        <v>0</v>
      </c>
      <c r="AT733">
        <f>OR(AND(IF(Metadata!H733="",FALSE,TRUE),OR(exact(Metadata!H733,"not collected"),exact(Metadata!H733,"not provided"),exact(Metadata!H733,"restricted access"))),AND(IF(Metadata!H733="",FALSE,ISNUMBER(VALUE(Metadata!H733))),Metadata!H733&gt;=-413.0))</f>
        <v>0</v>
      </c>
      <c r="AU733">
        <f>AND(IF(Metadata!I733="",FALSE,TRUE),exact(Metadata!I733,"meters"))</f>
        <v>0</v>
      </c>
      <c r="AV733">
        <f>AND(IF(Metadata!J733="",FALSE,TRUE),OR(exact(Metadata!J733,"Host-associated"),exact(Metadata!J733,"Free-living")))</f>
        <v>0</v>
      </c>
      <c r="AW733">
        <f>AND(IF(Metadata!K733="",FALSE,TRUE),OR(exact(Metadata!K733,"Animal"),exact(Metadata!K733,"Fungus"),exact(Metadata!K733,"Plant"),exact(Metadata!K733,"Saline"),exact(Metadata!K733,"Non-saline")))</f>
        <v>0</v>
      </c>
      <c r="AX733">
        <f>AND(IF(Metadata!L733="",FALSE,TRUE),OR(exact(Metadata!L733,"Plant secretion"),exact(Metadata!L733,"Plant rhizosphere"),exact(Metadata!L733,"Plant surface"),exact(Metadata!L733,"Plant corpus"),exact(Metadata!L733,"Fungus surface"),exact(Metadata!L733,"Fungus corpus"),exact(Metadata!L733,"Animal surface"),exact(Metadata!L733,"Animal proximal gut"),exact(Metadata!L733,"Animal corpus"),exact(Metadata!L733,"Animal distal gut"),exact(Metadata!L733,"Animal secretion"),exact(Metadata!L733,"Sub-surface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Y733">
        <f>IF(Metadata!M733="",FALSE,TRUE)</f>
        <v>0</v>
      </c>
      <c r="AZ733">
        <f>IF(Metadata!N733="",FALSE,TRUE)</f>
        <v>0</v>
      </c>
      <c r="BA733">
        <f>IF(Metadata!O733="",FALSE,TRUE)</f>
        <v>0</v>
      </c>
      <c r="BB733">
        <f>OR(AND(IF(Metadata!P733="",FALSE,TRUE),OR(exact(Metadata!P733,"not collected"),exact(Metadata!P733,"not provided"),exact(Metadata!P733,"restricted access"))),AND(IF(Metadata!P733="",FALSE,TRUE),OR(exact(Metadata!P733,"air"),exact(Metadata!P733,"built environment"),exact(Metadata!P733,"host-associated"),exact(Metadata!P733,"human-associated"),exact(Metadata!P733,"human-skin"),exact(Metadata!P733,"human-oral"),exact(Metadata!P733,"human-gut"),exact(Metadata!P733,"human-vaginal"),exact(Metadata!P733,"microbial mat/biofilm"),exact(Metadata!P733,"misc environment"),exact(Metadata!P733,"plant-associated"),exact(Metadata!P733,"sediment"),exact(Metadata!P733,"soil"),exact(Metadata!P733,"wastewater/sludge"),exact(Metadata!P733,"water"))))</f>
        <v>0</v>
      </c>
      <c r="BC733">
        <f>IF(Metadata!Q733="",FALSE,TRUE)</f>
        <v>0</v>
      </c>
      <c r="BD733">
        <f>IF(Metadata!R733="",FALSE,TRUE)</f>
        <v>0</v>
      </c>
      <c r="BE733">
        <f>OR(AND(IF(Metadata!S733="",FALSE,TRUE),OR(exact(Metadata!S733,"not collected"),exact(Metadata!S733,"not provided"),exact(Metadata!S733,"restricted access"))),AND(IF(Metadata!S733="",FALSE,ISNUMBER(VALUE(Metadata!S733))),Metadata!S733&gt;=-90.00,Metadata!S733&lt;=90.00))</f>
        <v>0</v>
      </c>
      <c r="BF733">
        <f>AND(IF(Metadata!T733="",FALSE,TRUE),exact(Metadata!T733,"Decimal degrees"))</f>
        <v>0</v>
      </c>
      <c r="BG733">
        <f>OR(AND(IF(Metadata!U733="",FALSE,TRUE),OR(exact(Metadata!U733,"not collected"),exact(Metadata!U733,"not provided"),exact(Metadata!U733,"restricted access"))),AND(IF(Metadata!U733="",FALSE,ISNUMBER(VALUE(Metadata!U733))),Metadata!U733&gt;=-180.00,Metadata!U733&lt;=180.00))</f>
        <v>0</v>
      </c>
      <c r="BH733">
        <f>AND(IF(Metadata!V733="",FALSE,TRUE),exact(Metadata!V733,"Decimal degrees"))</f>
        <v>0</v>
      </c>
      <c r="BI733">
        <f>IF(Metadata!W733="",FALSE,TRUE)</f>
        <v>0</v>
      </c>
      <c r="BJ733">
        <f>OR(AND(IF(Metadata!X733="",FALSE,TRUE),OR(exact(Metadata!X733,"not collected"),exact(Metadata!X733,"not provided"),exact(Metadata!X733,"restricted access"))),AND(IF(Metadata!X733="",FALSE,TRUE),OR(exact(Metadata!X733,"TRUE"),exact(Metadata!X733,"FALSE"))))</f>
        <v>0</v>
      </c>
      <c r="BK733">
        <f>AND(IF(Metadata!Y733="",FALSE,TRUE),exact(Metadata!Y733,"other"))</f>
        <v>0</v>
      </c>
      <c r="BL733">
        <f>IF(Metadata!Z733="",FALSE,TRUE)</f>
        <v>0</v>
      </c>
      <c r="BM733">
        <f>OR(AND(IF(Metadata!AA733="",FALSE,TRUE),OR(exact(Metadata!AA733,"not collected"),exact(Metadata!AA733,"not provided"))),AND(IF(Metadata!AA733="",FALSE,IF(ISERROR(INT(Metadata!AA733)),FALSE,INT(Metadata!AA733)=Metadata!AA733)),Metadata!AA733&gt;0))</f>
        <v>0</v>
      </c>
      <c r="BN733">
        <f>AND(IF(Metadata!AB733="",FALSE,TRUE),exact(Metadata!AB733,"Not applicable"))</f>
        <v>0</v>
      </c>
      <c r="BO733">
        <f>IF(Metadata!AC733="",FALSE,TRUE)</f>
        <v>0</v>
      </c>
    </row>
    <row r="734" spans="1:67">
      <c r="A734" s="5">
        <f>IF(B734=" "," ",HYPERLINK(CONCATENATE("#metadata!",ADDRESS(INDEX($AI$2:$AI$1001,MATCH(ROWS($AG$2:AG734),$AG$2:$AG$1001,0),0),1)),INDEX($AL$2:$AL$1001,MATCH(ROWS($AG$2:AG734),$AG$2:$AG$1001,0),0)))</f>
        <v>0</v>
      </c>
      <c r="B734" s="4">
        <f>IF(OR(INDEX($AH$2:$AH$1001,MATCH(ROWS($AG$2:AG734),$AG$2:$AG$1001,0),1)&gt;=100000,INDEX($AN$1005:$BO$1005,1,MATCH(COLUMNS($AN$1006:AN1006),$AN$1006:$BO$1006,0))&gt;=100000), " ",IF(INDEX($AN$2:$BO$1001,MATCH(ROWS($AG$2:AG734),$AG$2:$AG$1001,0),MATCH(COLUMNS($AN$1006:AN1006),$AN$1006:$BO$1006,0)), HYPERLINK("#",""), HYPERLINK(CONCATENATE("#Metadata!", ADDRESS(INDEX($AI$2:$AI$1001,MATCH(ROWS($AG$2:AG734),$AG$2:$AG$1001,0),0), INDEX($AN$1004:$BO$1004,1,MATCH(COLUMNS($AN$1006:AN1006),$AN$1006:$BO$1006,0)))),"Fix")))</f>
        <v>0</v>
      </c>
      <c r="C734" s="4">
        <f>IF(OR(INDEX($AH$2:$AH$1001,MATCH(ROWS($AG$2:AG734),$AG$2:$AG$1001,0),1)&gt;=100000,INDEX($AN$1005:$BO$1005,1,MATCH(COLUMNS($AN$1006:AO1006),$AN$1006:$BO$1006,0))&gt;=100000), " ",IF(INDEX($AN$2:$BO$1001,MATCH(ROWS($AG$2:AG734),$AG$2:$AG$1001,0),MATCH(COLUMNS($AN$1006:AO1006),$AN$1006:$BO$1006,0)), HYPERLINK("#",""), HYPERLINK(CONCATENATE("#Metadata!", ADDRESS(INDEX($AI$2:$AI$1001,MATCH(ROWS($AG$2:AG734),$AG$2:$AG$1001,0),0), INDEX($AN$1004:$BO$1004,1,MATCH(COLUMNS($AN$1006:AO1006),$AN$1006:$BO$1006,0)))),"Fix")))</f>
        <v>0</v>
      </c>
      <c r="D734" s="4">
        <f>IF(OR(INDEX($AH$2:$AH$1001,MATCH(ROWS($AG$2:AG734),$AG$2:$AG$1001,0),1)&gt;=100000,INDEX($AN$1005:$BO$1005,1,MATCH(COLUMNS($AN$1006:AP1006),$AN$1006:$BO$1006,0))&gt;=100000), " ",IF(INDEX($AN$2:$BO$1001,MATCH(ROWS($AG$2:AG734),$AG$2:$AG$1001,0),MATCH(COLUMNS($AN$1006:AP1006),$AN$1006:$BO$1006,0)), HYPERLINK("#",""), HYPERLINK(CONCATENATE("#Metadata!", ADDRESS(INDEX($AI$2:$AI$1001,MATCH(ROWS($AG$2:AG734),$AG$2:$AG$1001,0),0), INDEX($AN$1004:$BO$1004,1,MATCH(COLUMNS($AN$1006:AP1006),$AN$1006:$BO$1006,0)))),"Fix")))</f>
        <v>0</v>
      </c>
      <c r="E734" s="4">
        <f>IF(OR(INDEX($AH$2:$AH$1001,MATCH(ROWS($AG$2:AG734),$AG$2:$AG$1001,0),1)&gt;=100000,INDEX($AN$1005:$BO$1005,1,MATCH(COLUMNS($AN$1006:AQ1006),$AN$1006:$BO$1006,0))&gt;=100000), " ",IF(INDEX($AN$2:$BO$1001,MATCH(ROWS($AG$2:AG734),$AG$2:$AG$1001,0),MATCH(COLUMNS($AN$1006:AQ1006),$AN$1006:$BO$1006,0)), HYPERLINK("#",""), HYPERLINK(CONCATENATE("#Metadata!", ADDRESS(INDEX($AI$2:$AI$1001,MATCH(ROWS($AG$2:AG734),$AG$2:$AG$1001,0),0), INDEX($AN$1004:$BO$1004,1,MATCH(COLUMNS($AN$1006:AQ1006),$AN$1006:$BO$1006,0)))),"Fix")))</f>
        <v>0</v>
      </c>
      <c r="F734" s="4">
        <f>IF(OR(INDEX($AH$2:$AH$1001,MATCH(ROWS($AG$2:AG734),$AG$2:$AG$1001,0),1)&gt;=100000,INDEX($AN$1005:$BO$1005,1,MATCH(COLUMNS($AN$1006:AR1006),$AN$1006:$BO$1006,0))&gt;=100000), " ",IF(INDEX($AN$2:$BO$1001,MATCH(ROWS($AG$2:AG734),$AG$2:$AG$1001,0),MATCH(COLUMNS($AN$1006:AR1006),$AN$1006:$BO$1006,0)), HYPERLINK("#",""), HYPERLINK(CONCATENATE("#Metadata!", ADDRESS(INDEX($AI$2:$AI$1001,MATCH(ROWS($AG$2:AG734),$AG$2:$AG$1001,0),0), INDEX($AN$1004:$BO$1004,1,MATCH(COLUMNS($AN$1006:AR1006),$AN$1006:$BO$1006,0)))),"Fix")))</f>
        <v>0</v>
      </c>
      <c r="G734" s="4">
        <f>IF(OR(INDEX($AH$2:$AH$1001,MATCH(ROWS($AG$2:AG734),$AG$2:$AG$1001,0),1)&gt;=100000,INDEX($AN$1005:$BO$1005,1,MATCH(COLUMNS($AN$1006:AS1006),$AN$1006:$BO$1006,0))&gt;=100000), " ",IF(INDEX($AN$2:$BO$1001,MATCH(ROWS($AG$2:AG734),$AG$2:$AG$1001,0),MATCH(COLUMNS($AN$1006:AS1006),$AN$1006:$BO$1006,0)), HYPERLINK("#",""), HYPERLINK(CONCATENATE("#Metadata!", ADDRESS(INDEX($AI$2:$AI$1001,MATCH(ROWS($AG$2:AG734),$AG$2:$AG$1001,0),0), INDEX($AN$1004:$BO$1004,1,MATCH(COLUMNS($AN$1006:AS1006),$AN$1006:$BO$1006,0)))),"Fix")))</f>
        <v>0</v>
      </c>
      <c r="H734" s="4">
        <f>IF(OR(INDEX($AH$2:$AH$1001,MATCH(ROWS($AG$2:AG734),$AG$2:$AG$1001,0),1)&gt;=100000,INDEX($AN$1005:$BO$1005,1,MATCH(COLUMNS($AN$1006:AT1006),$AN$1006:$BO$1006,0))&gt;=100000), " ",IF(INDEX($AN$2:$BO$1001,MATCH(ROWS($AG$2:AG734),$AG$2:$AG$1001,0),MATCH(COLUMNS($AN$1006:AT1006),$AN$1006:$BO$1006,0)), HYPERLINK("#",""), HYPERLINK(CONCATENATE("#Metadata!", ADDRESS(INDEX($AI$2:$AI$1001,MATCH(ROWS($AG$2:AG734),$AG$2:$AG$1001,0),0), INDEX($AN$1004:$BO$1004,1,MATCH(COLUMNS($AN$1006:AT1006),$AN$1006:$BO$1006,0)))),"Fix")))</f>
        <v>0</v>
      </c>
      <c r="I734" s="4">
        <f>IF(OR(INDEX($AH$2:$AH$1001,MATCH(ROWS($AG$2:AG734),$AG$2:$AG$1001,0),1)&gt;=100000,INDEX($AN$1005:$BO$1005,1,MATCH(COLUMNS($AN$1006:AU1006),$AN$1006:$BO$1006,0))&gt;=100000), " ",IF(INDEX($AN$2:$BO$1001,MATCH(ROWS($AG$2:AG734),$AG$2:$AG$1001,0),MATCH(COLUMNS($AN$1006:AU1006),$AN$1006:$BO$1006,0)), HYPERLINK("#",""), HYPERLINK(CONCATENATE("#Metadata!", ADDRESS(INDEX($AI$2:$AI$1001,MATCH(ROWS($AG$2:AG734),$AG$2:$AG$1001,0),0), INDEX($AN$1004:$BO$1004,1,MATCH(COLUMNS($AN$1006:AU1006),$AN$1006:$BO$1006,0)))),"Fix")))</f>
        <v>0</v>
      </c>
      <c r="J734" s="4">
        <f>IF(OR(INDEX($AH$2:$AH$1001,MATCH(ROWS($AG$2:AG734),$AG$2:$AG$1001,0),1)&gt;=100000,INDEX($AN$1005:$BO$1005,1,MATCH(COLUMNS($AN$1006:AV1006),$AN$1006:$BO$1006,0))&gt;=100000), " ",IF(INDEX($AN$2:$BO$1001,MATCH(ROWS($AG$2:AG734),$AG$2:$AG$1001,0),MATCH(COLUMNS($AN$1006:AV1006),$AN$1006:$BO$1006,0)), HYPERLINK("#",""), HYPERLINK(CONCATENATE("#Metadata!", ADDRESS(INDEX($AI$2:$AI$1001,MATCH(ROWS($AG$2:AG734),$AG$2:$AG$1001,0),0), INDEX($AN$1004:$BO$1004,1,MATCH(COLUMNS($AN$1006:AV1006),$AN$1006:$BO$1006,0)))),"Fix")))</f>
        <v>0</v>
      </c>
      <c r="K734" s="4">
        <f>IF(OR(INDEX($AH$2:$AH$1001,MATCH(ROWS($AG$2:AG734),$AG$2:$AG$1001,0),1)&gt;=100000,INDEX($AN$1005:$BO$1005,1,MATCH(COLUMNS($AN$1006:AW1006),$AN$1006:$BO$1006,0))&gt;=100000), " ",IF(INDEX($AN$2:$BO$1001,MATCH(ROWS($AG$2:AG734),$AG$2:$AG$1001,0),MATCH(COLUMNS($AN$1006:AW1006),$AN$1006:$BO$1006,0)), HYPERLINK("#",""), HYPERLINK(CONCATENATE("#Metadata!", ADDRESS(INDEX($AI$2:$AI$1001,MATCH(ROWS($AG$2:AG734),$AG$2:$AG$1001,0),0), INDEX($AN$1004:$BO$1004,1,MATCH(COLUMNS($AN$1006:AW1006),$AN$1006:$BO$1006,0)))),"Fix")))</f>
        <v>0</v>
      </c>
      <c r="L734" s="4">
        <f>IF(OR(INDEX($AH$2:$AH$1001,MATCH(ROWS($AG$2:AG734),$AG$2:$AG$1001,0),1)&gt;=100000,INDEX($AN$1005:$BO$1005,1,MATCH(COLUMNS($AN$1006:AX1006),$AN$1006:$BO$1006,0))&gt;=100000), " ",IF(INDEX($AN$2:$BO$1001,MATCH(ROWS($AG$2:AG734),$AG$2:$AG$1001,0),MATCH(COLUMNS($AN$1006:AX1006),$AN$1006:$BO$1006,0)), HYPERLINK("#",""), HYPERLINK(CONCATENATE("#Metadata!", ADDRESS(INDEX($AI$2:$AI$1001,MATCH(ROWS($AG$2:AG734),$AG$2:$AG$1001,0),0), INDEX($AN$1004:$BO$1004,1,MATCH(COLUMNS($AN$1006:AX1006),$AN$1006:$BO$1006,0)))),"Fix")))</f>
        <v>0</v>
      </c>
      <c r="M734" s="4">
        <f>IF(OR(INDEX($AH$2:$AH$1001,MATCH(ROWS($AG$2:AG734),$AG$2:$AG$1001,0),1)&gt;=100000,INDEX($AN$1005:$BO$1005,1,MATCH(COLUMNS($AN$1006:AY1006),$AN$1006:$BO$1006,0))&gt;=100000), " ",IF(INDEX($AN$2:$BO$1001,MATCH(ROWS($AG$2:AG734),$AG$2:$AG$1001,0),MATCH(COLUMNS($AN$1006:AY1006),$AN$1006:$BO$1006,0)), HYPERLINK("#",""), HYPERLINK(CONCATENATE("#Metadata!", ADDRESS(INDEX($AI$2:$AI$1001,MATCH(ROWS($AG$2:AG734),$AG$2:$AG$1001,0),0), INDEX($AN$1004:$BO$1004,1,MATCH(COLUMNS($AN$1006:AY1006),$AN$1006:$BO$1006,0)))),"Fix")))</f>
        <v>0</v>
      </c>
      <c r="N734" s="4">
        <f>IF(OR(INDEX($AH$2:$AH$1001,MATCH(ROWS($AG$2:AG734),$AG$2:$AG$1001,0),1)&gt;=100000,INDEX($AN$1005:$BO$1005,1,MATCH(COLUMNS($AN$1006:AZ1006),$AN$1006:$BO$1006,0))&gt;=100000), " ",IF(INDEX($AN$2:$BO$1001,MATCH(ROWS($AG$2:AG734),$AG$2:$AG$1001,0),MATCH(COLUMNS($AN$1006:AZ1006),$AN$1006:$BO$1006,0)), HYPERLINK("#",""), HYPERLINK(CONCATENATE("#Metadata!", ADDRESS(INDEX($AI$2:$AI$1001,MATCH(ROWS($AG$2:AG734),$AG$2:$AG$1001,0),0), INDEX($AN$1004:$BO$1004,1,MATCH(COLUMNS($AN$1006:AZ1006),$AN$1006:$BO$1006,0)))),"Fix")))</f>
        <v>0</v>
      </c>
      <c r="O734" s="4">
        <f>IF(OR(INDEX($AH$2:$AH$1001,MATCH(ROWS($AG$2:AG734),$AG$2:$AG$1001,0),1)&gt;=100000,INDEX($AN$1005:$BO$1005,1,MATCH(COLUMNS($AN$1006:BA1006),$AN$1006:$BO$1006,0))&gt;=100000), " ",IF(INDEX($AN$2:$BO$1001,MATCH(ROWS($AG$2:AG734),$AG$2:$AG$1001,0),MATCH(COLUMNS($AN$1006:BA1006),$AN$1006:$BO$1006,0)), HYPERLINK("#",""), HYPERLINK(CONCATENATE("#Metadata!", ADDRESS(INDEX($AI$2:$AI$1001,MATCH(ROWS($AG$2:AG734),$AG$2:$AG$1001,0),0), INDEX($AN$1004:$BO$1004,1,MATCH(COLUMNS($AN$1006:BA1006),$AN$1006:$BO$1006,0)))),"Fix")))</f>
        <v>0</v>
      </c>
      <c r="P734" s="4">
        <f>IF(OR(INDEX($AH$2:$AH$1001,MATCH(ROWS($AG$2:AG734),$AG$2:$AG$1001,0),1)&gt;=100000,INDEX($AN$1005:$BO$1005,1,MATCH(COLUMNS($AN$1006:BB1006),$AN$1006:$BO$1006,0))&gt;=100000), " ",IF(INDEX($AN$2:$BO$1001,MATCH(ROWS($AG$2:AG734),$AG$2:$AG$1001,0),MATCH(COLUMNS($AN$1006:BB1006),$AN$1006:$BO$1006,0)), HYPERLINK("#",""), HYPERLINK(CONCATENATE("#Metadata!", ADDRESS(INDEX($AI$2:$AI$1001,MATCH(ROWS($AG$2:AG734),$AG$2:$AG$1001,0),0), INDEX($AN$1004:$BO$1004,1,MATCH(COLUMNS($AN$1006:BB1006),$AN$1006:$BO$1006,0)))),"Fix")))</f>
        <v>0</v>
      </c>
      <c r="Q734" s="4">
        <f>IF(OR(INDEX($AH$2:$AH$1001,MATCH(ROWS($AG$2:AG734),$AG$2:$AG$1001,0),1)&gt;=100000,INDEX($AN$1005:$BO$1005,1,MATCH(COLUMNS($AN$1006:BC1006),$AN$1006:$BO$1006,0))&gt;=100000), " ",IF(INDEX($AN$2:$BO$1001,MATCH(ROWS($AG$2:AG734),$AG$2:$AG$1001,0),MATCH(COLUMNS($AN$1006:BC1006),$AN$1006:$BO$1006,0)), HYPERLINK("#",""), HYPERLINK(CONCATENATE("#Metadata!", ADDRESS(INDEX($AI$2:$AI$1001,MATCH(ROWS($AG$2:AG734),$AG$2:$AG$1001,0),0), INDEX($AN$1004:$BO$1004,1,MATCH(COLUMNS($AN$1006:BC1006),$AN$1006:$BO$1006,0)))),"Fix")))</f>
        <v>0</v>
      </c>
      <c r="R734" s="4">
        <f>IF(OR(INDEX($AH$2:$AH$1001,MATCH(ROWS($AG$2:AG734),$AG$2:$AG$1001,0),1)&gt;=100000,INDEX($AN$1005:$BO$1005,1,MATCH(COLUMNS($AN$1006:BD1006),$AN$1006:$BO$1006,0))&gt;=100000), " ",IF(INDEX($AN$2:$BO$1001,MATCH(ROWS($AG$2:AG734),$AG$2:$AG$1001,0),MATCH(COLUMNS($AN$1006:BD1006),$AN$1006:$BO$1006,0)), HYPERLINK("#",""), HYPERLINK(CONCATENATE("#Metadata!", ADDRESS(INDEX($AI$2:$AI$1001,MATCH(ROWS($AG$2:AG734),$AG$2:$AG$1001,0),0), INDEX($AN$1004:$BO$1004,1,MATCH(COLUMNS($AN$1006:BD1006),$AN$1006:$BO$1006,0)))),"Fix")))</f>
        <v>0</v>
      </c>
      <c r="S734" s="4">
        <f>IF(OR(INDEX($AH$2:$AH$1001,MATCH(ROWS($AG$2:AG734),$AG$2:$AG$1001,0),1)&gt;=100000,INDEX($AN$1005:$BO$1005,1,MATCH(COLUMNS($AN$1006:BE1006),$AN$1006:$BO$1006,0))&gt;=100000), " ",IF(INDEX($AN$2:$BO$1001,MATCH(ROWS($AG$2:AG734),$AG$2:$AG$1001,0),MATCH(COLUMNS($AN$1006:BE1006),$AN$1006:$BO$1006,0)), HYPERLINK("#",""), HYPERLINK(CONCATENATE("#Metadata!", ADDRESS(INDEX($AI$2:$AI$1001,MATCH(ROWS($AG$2:AG734),$AG$2:$AG$1001,0),0), INDEX($AN$1004:$BO$1004,1,MATCH(COLUMNS($AN$1006:BE1006),$AN$1006:$BO$1006,0)))),"Fix")))</f>
        <v>0</v>
      </c>
      <c r="T734" s="4">
        <f>IF(OR(INDEX($AH$2:$AH$1001,MATCH(ROWS($AG$2:AG734),$AG$2:$AG$1001,0),1)&gt;=100000,INDEX($AN$1005:$BO$1005,1,MATCH(COLUMNS($AN$1006:BF1006),$AN$1006:$BO$1006,0))&gt;=100000), " ",IF(INDEX($AN$2:$BO$1001,MATCH(ROWS($AG$2:AG734),$AG$2:$AG$1001,0),MATCH(COLUMNS($AN$1006:BF1006),$AN$1006:$BO$1006,0)), HYPERLINK("#",""), HYPERLINK(CONCATENATE("#Metadata!", ADDRESS(INDEX($AI$2:$AI$1001,MATCH(ROWS($AG$2:AG734),$AG$2:$AG$1001,0),0), INDEX($AN$1004:$BO$1004,1,MATCH(COLUMNS($AN$1006:BF1006),$AN$1006:$BO$1006,0)))),"Fix")))</f>
        <v>0</v>
      </c>
      <c r="U734" s="4">
        <f>IF(OR(INDEX($AH$2:$AH$1001,MATCH(ROWS($AG$2:AG734),$AG$2:$AG$1001,0),1)&gt;=100000,INDEX($AN$1005:$BO$1005,1,MATCH(COLUMNS($AN$1006:BG1006),$AN$1006:$BO$1006,0))&gt;=100000), " ",IF(INDEX($AN$2:$BO$1001,MATCH(ROWS($AG$2:AG734),$AG$2:$AG$1001,0),MATCH(COLUMNS($AN$1006:BG1006),$AN$1006:$BO$1006,0)), HYPERLINK("#",""), HYPERLINK(CONCATENATE("#Metadata!", ADDRESS(INDEX($AI$2:$AI$1001,MATCH(ROWS($AG$2:AG734),$AG$2:$AG$1001,0),0), INDEX($AN$1004:$BO$1004,1,MATCH(COLUMNS($AN$1006:BG1006),$AN$1006:$BO$1006,0)))),"Fix")))</f>
        <v>0</v>
      </c>
      <c r="V734" s="4">
        <f>IF(OR(INDEX($AH$2:$AH$1001,MATCH(ROWS($AG$2:AG734),$AG$2:$AG$1001,0),1)&gt;=100000,INDEX($AN$1005:$BO$1005,1,MATCH(COLUMNS($AN$1006:BH1006),$AN$1006:$BO$1006,0))&gt;=100000), " ",IF(INDEX($AN$2:$BO$1001,MATCH(ROWS($AG$2:AG734),$AG$2:$AG$1001,0),MATCH(COLUMNS($AN$1006:BH1006),$AN$1006:$BO$1006,0)), HYPERLINK("#",""), HYPERLINK(CONCATENATE("#Metadata!", ADDRESS(INDEX($AI$2:$AI$1001,MATCH(ROWS($AG$2:AG734),$AG$2:$AG$1001,0),0), INDEX($AN$1004:$BO$1004,1,MATCH(COLUMNS($AN$1006:BH1006),$AN$1006:$BO$1006,0)))),"Fix")))</f>
        <v>0</v>
      </c>
      <c r="W734" s="4">
        <f>IF(OR(INDEX($AH$2:$AH$1001,MATCH(ROWS($AG$2:AG734),$AG$2:$AG$1001,0),1)&gt;=100000,INDEX($AN$1005:$BO$1005,1,MATCH(COLUMNS($AN$1006:BI1006),$AN$1006:$BO$1006,0))&gt;=100000), " ",IF(INDEX($AN$2:$BO$1001,MATCH(ROWS($AG$2:AG734),$AG$2:$AG$1001,0),MATCH(COLUMNS($AN$1006:BI1006),$AN$1006:$BO$1006,0)), HYPERLINK("#",""), HYPERLINK(CONCATENATE("#Metadata!", ADDRESS(INDEX($AI$2:$AI$1001,MATCH(ROWS($AG$2:AG734),$AG$2:$AG$1001,0),0), INDEX($AN$1004:$BO$1004,1,MATCH(COLUMNS($AN$1006:BI1006),$AN$1006:$BO$1006,0)))),"Fix")))</f>
        <v>0</v>
      </c>
      <c r="X734" s="4">
        <f>IF(OR(INDEX($AH$2:$AH$1001,MATCH(ROWS($AG$2:AG734),$AG$2:$AG$1001,0),1)&gt;=100000,INDEX($AN$1005:$BO$1005,1,MATCH(COLUMNS($AN$1006:BJ1006),$AN$1006:$BO$1006,0))&gt;=100000), " ",IF(INDEX($AN$2:$BO$1001,MATCH(ROWS($AG$2:AG734),$AG$2:$AG$1001,0),MATCH(COLUMNS($AN$1006:BJ1006),$AN$1006:$BO$1006,0)), HYPERLINK("#",""), HYPERLINK(CONCATENATE("#Metadata!", ADDRESS(INDEX($AI$2:$AI$1001,MATCH(ROWS($AG$2:AG734),$AG$2:$AG$1001,0),0), INDEX($AN$1004:$BO$1004,1,MATCH(COLUMNS($AN$1006:BJ1006),$AN$1006:$BO$1006,0)))),"Fix")))</f>
        <v>0</v>
      </c>
      <c r="Y734" s="4">
        <f>IF(OR(INDEX($AH$2:$AH$1001,MATCH(ROWS($AG$2:AG734),$AG$2:$AG$1001,0),1)&gt;=100000,INDEX($AN$1005:$BO$1005,1,MATCH(COLUMNS($AN$1006:BK1006),$AN$1006:$BO$1006,0))&gt;=100000), " ",IF(INDEX($AN$2:$BO$1001,MATCH(ROWS($AG$2:AG734),$AG$2:$AG$1001,0),MATCH(COLUMNS($AN$1006:BK1006),$AN$1006:$BO$1006,0)), HYPERLINK("#",""), HYPERLINK(CONCATENATE("#Metadata!", ADDRESS(INDEX($AI$2:$AI$1001,MATCH(ROWS($AG$2:AG734),$AG$2:$AG$1001,0),0), INDEX($AN$1004:$BO$1004,1,MATCH(COLUMNS($AN$1006:BK1006),$AN$1006:$BO$1006,0)))),"Fix")))</f>
        <v>0</v>
      </c>
      <c r="Z734" s="4">
        <f>IF(OR(INDEX($AH$2:$AH$1001,MATCH(ROWS($AG$2:AG734),$AG$2:$AG$1001,0),1)&gt;=100000,INDEX($AN$1005:$BO$1005,1,MATCH(COLUMNS($AN$1006:BL1006),$AN$1006:$BO$1006,0))&gt;=100000), " ",IF(INDEX($AN$2:$BO$1001,MATCH(ROWS($AG$2:AG734),$AG$2:$AG$1001,0),MATCH(COLUMNS($AN$1006:BL1006),$AN$1006:$BO$1006,0)), HYPERLINK("#",""), HYPERLINK(CONCATENATE("#Metadata!", ADDRESS(INDEX($AI$2:$AI$1001,MATCH(ROWS($AG$2:AG734),$AG$2:$AG$1001,0),0), INDEX($AN$1004:$BO$1004,1,MATCH(COLUMNS($AN$1006:BL1006),$AN$1006:$BO$1006,0)))),"Fix")))</f>
        <v>0</v>
      </c>
      <c r="AA734" s="4">
        <f>IF(OR(INDEX($AH$2:$AH$1001,MATCH(ROWS($AG$2:AG734),$AG$2:$AG$1001,0),1)&gt;=100000,INDEX($AN$1005:$BO$1005,1,MATCH(COLUMNS($AN$1006:BM1006),$AN$1006:$BO$1006,0))&gt;=100000), " ",IF(INDEX($AN$2:$BO$1001,MATCH(ROWS($AG$2:AG734),$AG$2:$AG$1001,0),MATCH(COLUMNS($AN$1006:BM1006),$AN$1006:$BO$1006,0)), HYPERLINK("#",""), HYPERLINK(CONCATENATE("#Metadata!", ADDRESS(INDEX($AI$2:$AI$1001,MATCH(ROWS($AG$2:AG734),$AG$2:$AG$1001,0),0), INDEX($AN$1004:$BO$1004,1,MATCH(COLUMNS($AN$1006:BM1006),$AN$1006:$BO$1006,0)))),"Fix")))</f>
        <v>0</v>
      </c>
      <c r="AB734" s="4">
        <f>IF(OR(INDEX($AH$2:$AH$1001,MATCH(ROWS($AG$2:AG734),$AG$2:$AG$1001,0),1)&gt;=100000,INDEX($AN$1005:$BO$1005,1,MATCH(COLUMNS($AN$1006:BN1006),$AN$1006:$BO$1006,0))&gt;=100000), " ",IF(INDEX($AN$2:$BO$1001,MATCH(ROWS($AG$2:AG734),$AG$2:$AG$1001,0),MATCH(COLUMNS($AN$1006:BN1006),$AN$1006:$BO$1006,0)), HYPERLINK("#",""), HYPERLINK(CONCATENATE("#Metadata!", ADDRESS(INDEX($AI$2:$AI$1001,MATCH(ROWS($AG$2:AG734),$AG$2:$AG$1001,0),0), INDEX($AN$1004:$BO$1004,1,MATCH(COLUMNS($AN$1006:BN1006),$AN$1006:$BO$1006,0)))),"Fix")))</f>
        <v>0</v>
      </c>
      <c r="AC734" s="4">
        <f>IF(OR(INDEX($AH$2:$AH$1001,MATCH(ROWS($AG$2:AG734),$AG$2:$AG$1001,0),1)&gt;=100000,INDEX($AN$1005:$BO$1005,1,MATCH(COLUMNS($AN$1006:BO1006),$AN$1006:$BO$1006,0))&gt;=100000), " ",IF(INDEX($AN$2:$BO$1001,MATCH(ROWS($AG$2:AG734),$AG$2:$AG$1001,0),MATCH(COLUMNS($AN$1006:BO1006),$AN$1006:$BO$1006,0)), HYPERLINK("#",""), HYPERLINK(CONCATENATE("#Metadata!", ADDRESS(INDEX($AI$2:$AI$1001,MATCH(ROWS($AG$2:AG734),$AG$2:$AG$1001,0),0), INDEX($AN$1004:$BO$1004,1,MATCH(COLUMNS($AN$1006:BO1006),$AN$1006:$BO$1006,0)))),"Fix")))</f>
        <v>0</v>
      </c>
      <c r="AG734">
        <v>0</v>
      </c>
      <c r="AH734">
        <v>0</v>
      </c>
      <c r="AI734">
        <v>0</v>
      </c>
      <c r="AJ734">
        <f>IF(AK734,TRUE,AND(AN734:BO734))</f>
        <v>0</v>
      </c>
      <c r="AK734">
        <f>COUNTBLANK(Metadata!B734:AC734)=COLUMNS(Metadata!B734:AC734)</f>
        <v>0</v>
      </c>
      <c r="AL734">
        <v>0</v>
      </c>
      <c r="AN734">
        <f>AND(IF(Metadata!B734="",FALSE,TRUE),COUNTIF(Metadata!B:B, Metadata!B734) = 1,NOT(ISERROR(SUMPRODUCT(SEARCH(MID(Metadata!B734,ROW(INDIRECT("1:"&amp;LEN(Metadata!B734))), 1),"0123456789abcdefghijklmnopqrstuvwxyzABCDEFGHIJKLMNOPQRSTUVWXYZ.")))))</f>
        <v>0</v>
      </c>
      <c r="AO734">
        <f>IF(Metadata!C734="",FALSE,TRUE)</f>
        <v>0</v>
      </c>
      <c r="AP734">
        <f>IF(Metadata!D734="",FALSE,TRUE)</f>
        <v>0</v>
      </c>
      <c r="AQ734">
        <f>OR(AND(IF(Metadata!E734="",FALSE,TRUE),OR(exact(Metadata!E734,"not collected"),exact(Metadata!E734,"not provided"),exact(Metadata!E734,"restricted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R734">
        <f>IF(Metadata!F734="",FALSE,TRUE)</f>
        <v>0</v>
      </c>
      <c r="AS734">
        <f>OR(AND(IF(Metadata!G734="",FALSE,TRUE),OR(exact(Metadata!G734,"not collected"),exact(Metadata!G734,"not provided"))),AND(IF(Metadata!G734="",FALSE,TRUE),OR(exact(Metadata!G734,"TRUE"),exact(Metadata!G734,"FALSE"))))</f>
        <v>0</v>
      </c>
      <c r="AT734">
        <f>OR(AND(IF(Metadata!H734="",FALSE,TRUE),OR(exact(Metadata!H734,"not collected"),exact(Metadata!H734,"not provided"),exact(Metadata!H734,"restricted access"))),AND(IF(Metadata!H734="",FALSE,ISNUMBER(VALUE(Metadata!H734))),Metadata!H734&gt;=-413.0))</f>
        <v>0</v>
      </c>
      <c r="AU734">
        <f>AND(IF(Metadata!I734="",FALSE,TRUE),exact(Metadata!I734,"meters"))</f>
        <v>0</v>
      </c>
      <c r="AV734">
        <f>AND(IF(Metadata!J734="",FALSE,TRUE),OR(exact(Metadata!J734,"Host-associated"),exact(Metadata!J734,"Free-living")))</f>
        <v>0</v>
      </c>
      <c r="AW734">
        <f>AND(IF(Metadata!K734="",FALSE,TRUE),OR(exact(Metadata!K734,"Animal"),exact(Metadata!K734,"Fungus"),exact(Metadata!K734,"Plant"),exact(Metadata!K734,"Saline"),exact(Metadata!K734,"Non-saline")))</f>
        <v>0</v>
      </c>
      <c r="AX734">
        <f>AND(IF(Metadata!L734="",FALSE,TRUE),OR(exact(Metadata!L734,"Plant secretion"),exact(Metadata!L734,"Plant rhizosphere"),exact(Metadata!L734,"Plant surface"),exact(Metadata!L734,"Plant corpus"),exact(Metadata!L734,"Fungus surface"),exact(Metadata!L734,"Fungus corpus"),exact(Metadata!L734,"Animal surface"),exact(Metadata!L734,"Animal proximal gut"),exact(Metadata!L734,"Animal corpus"),exact(Metadata!L734,"Animal distal gut"),exact(Metadata!L734,"Animal secretion"),exact(Metadata!L734,"Sub-surface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Y734">
        <f>IF(Metadata!M734="",FALSE,TRUE)</f>
        <v>0</v>
      </c>
      <c r="AZ734">
        <f>IF(Metadata!N734="",FALSE,TRUE)</f>
        <v>0</v>
      </c>
      <c r="BA734">
        <f>IF(Metadata!O734="",FALSE,TRUE)</f>
        <v>0</v>
      </c>
      <c r="BB734">
        <f>OR(AND(IF(Metadata!P734="",FALSE,TRUE),OR(exact(Metadata!P734,"not collected"),exact(Metadata!P734,"not provided"),exact(Metadata!P734,"restricted access"))),AND(IF(Metadata!P734="",FALSE,TRUE),OR(exact(Metadata!P734,"air"),exact(Metadata!P734,"built environment"),exact(Metadata!P734,"host-associated"),exact(Metadata!P734,"human-associated"),exact(Metadata!P734,"human-skin"),exact(Metadata!P734,"human-oral"),exact(Metadata!P734,"human-gut"),exact(Metadata!P734,"human-vaginal"),exact(Metadata!P734,"microbial mat/biofilm"),exact(Metadata!P734,"misc environment"),exact(Metadata!P734,"plant-associated"),exact(Metadata!P734,"sediment"),exact(Metadata!P734,"soil"),exact(Metadata!P734,"wastewater/sludge"),exact(Metadata!P734,"water"))))</f>
        <v>0</v>
      </c>
      <c r="BC734">
        <f>IF(Metadata!Q734="",FALSE,TRUE)</f>
        <v>0</v>
      </c>
      <c r="BD734">
        <f>IF(Metadata!R734="",FALSE,TRUE)</f>
        <v>0</v>
      </c>
      <c r="BE734">
        <f>OR(AND(IF(Metadata!S734="",FALSE,TRUE),OR(exact(Metadata!S734,"not collected"),exact(Metadata!S734,"not provided"),exact(Metadata!S734,"restricted access"))),AND(IF(Metadata!S734="",FALSE,ISNUMBER(VALUE(Metadata!S734))),Metadata!S734&gt;=-90.00,Metadata!S734&lt;=90.00))</f>
        <v>0</v>
      </c>
      <c r="BF734">
        <f>AND(IF(Metadata!T734="",FALSE,TRUE),exact(Metadata!T734,"Decimal degrees"))</f>
        <v>0</v>
      </c>
      <c r="BG734">
        <f>OR(AND(IF(Metadata!U734="",FALSE,TRUE),OR(exact(Metadata!U734,"not collected"),exact(Metadata!U734,"not provided"),exact(Metadata!U734,"restricted access"))),AND(IF(Metadata!U734="",FALSE,ISNUMBER(VALUE(Metadata!U734))),Metadata!U734&gt;=-180.00,Metadata!U734&lt;=180.00))</f>
        <v>0</v>
      </c>
      <c r="BH734">
        <f>AND(IF(Metadata!V734="",FALSE,TRUE),exact(Metadata!V734,"Decimal degrees"))</f>
        <v>0</v>
      </c>
      <c r="BI734">
        <f>IF(Metadata!W734="",FALSE,TRUE)</f>
        <v>0</v>
      </c>
      <c r="BJ734">
        <f>OR(AND(IF(Metadata!X734="",FALSE,TRUE),OR(exact(Metadata!X734,"not collected"),exact(Metadata!X734,"not provided"),exact(Metadata!X734,"restricted access"))),AND(IF(Metadata!X734="",FALSE,TRUE),OR(exact(Metadata!X734,"TRUE"),exact(Metadata!X734,"FALSE"))))</f>
        <v>0</v>
      </c>
      <c r="BK734">
        <f>AND(IF(Metadata!Y734="",FALSE,TRUE),exact(Metadata!Y734,"other"))</f>
        <v>0</v>
      </c>
      <c r="BL734">
        <f>IF(Metadata!Z734="",FALSE,TRUE)</f>
        <v>0</v>
      </c>
      <c r="BM734">
        <f>OR(AND(IF(Metadata!AA734="",FALSE,TRUE),OR(exact(Metadata!AA734,"not collected"),exact(Metadata!AA734,"not provided"))),AND(IF(Metadata!AA734="",FALSE,IF(ISERROR(INT(Metadata!AA734)),FALSE,INT(Metadata!AA734)=Metadata!AA734)),Metadata!AA734&gt;0))</f>
        <v>0</v>
      </c>
      <c r="BN734">
        <f>AND(IF(Metadata!AB734="",FALSE,TRUE),exact(Metadata!AB734,"Not applicable"))</f>
        <v>0</v>
      </c>
      <c r="BO734">
        <f>IF(Metadata!AC734="",FALSE,TRUE)</f>
        <v>0</v>
      </c>
    </row>
    <row r="735" spans="1:67">
      <c r="A735" s="5">
        <f>IF(B735=" "," ",HYPERLINK(CONCATENATE("#metadata!",ADDRESS(INDEX($AI$2:$AI$1001,MATCH(ROWS($AG$2:AG735),$AG$2:$AG$1001,0),0),1)),INDEX($AL$2:$AL$1001,MATCH(ROWS($AG$2:AG735),$AG$2:$AG$1001,0),0)))</f>
        <v>0</v>
      </c>
      <c r="B735" s="4">
        <f>IF(OR(INDEX($AH$2:$AH$1001,MATCH(ROWS($AG$2:AG735),$AG$2:$AG$1001,0),1)&gt;=100000,INDEX($AN$1005:$BO$1005,1,MATCH(COLUMNS($AN$1006:AN1006),$AN$1006:$BO$1006,0))&gt;=100000), " ",IF(INDEX($AN$2:$BO$1001,MATCH(ROWS($AG$2:AG735),$AG$2:$AG$1001,0),MATCH(COLUMNS($AN$1006:AN1006),$AN$1006:$BO$1006,0)), HYPERLINK("#",""), HYPERLINK(CONCATENATE("#Metadata!", ADDRESS(INDEX($AI$2:$AI$1001,MATCH(ROWS($AG$2:AG735),$AG$2:$AG$1001,0),0), INDEX($AN$1004:$BO$1004,1,MATCH(COLUMNS($AN$1006:AN1006),$AN$1006:$BO$1006,0)))),"Fix")))</f>
        <v>0</v>
      </c>
      <c r="C735" s="4">
        <f>IF(OR(INDEX($AH$2:$AH$1001,MATCH(ROWS($AG$2:AG735),$AG$2:$AG$1001,0),1)&gt;=100000,INDEX($AN$1005:$BO$1005,1,MATCH(COLUMNS($AN$1006:AO1006),$AN$1006:$BO$1006,0))&gt;=100000), " ",IF(INDEX($AN$2:$BO$1001,MATCH(ROWS($AG$2:AG735),$AG$2:$AG$1001,0),MATCH(COLUMNS($AN$1006:AO1006),$AN$1006:$BO$1006,0)), HYPERLINK("#",""), HYPERLINK(CONCATENATE("#Metadata!", ADDRESS(INDEX($AI$2:$AI$1001,MATCH(ROWS($AG$2:AG735),$AG$2:$AG$1001,0),0), INDEX($AN$1004:$BO$1004,1,MATCH(COLUMNS($AN$1006:AO1006),$AN$1006:$BO$1006,0)))),"Fix")))</f>
        <v>0</v>
      </c>
      <c r="D735" s="4">
        <f>IF(OR(INDEX($AH$2:$AH$1001,MATCH(ROWS($AG$2:AG735),$AG$2:$AG$1001,0),1)&gt;=100000,INDEX($AN$1005:$BO$1005,1,MATCH(COLUMNS($AN$1006:AP1006),$AN$1006:$BO$1006,0))&gt;=100000), " ",IF(INDEX($AN$2:$BO$1001,MATCH(ROWS($AG$2:AG735),$AG$2:$AG$1001,0),MATCH(COLUMNS($AN$1006:AP1006),$AN$1006:$BO$1006,0)), HYPERLINK("#",""), HYPERLINK(CONCATENATE("#Metadata!", ADDRESS(INDEX($AI$2:$AI$1001,MATCH(ROWS($AG$2:AG735),$AG$2:$AG$1001,0),0), INDEX($AN$1004:$BO$1004,1,MATCH(COLUMNS($AN$1006:AP1006),$AN$1006:$BO$1006,0)))),"Fix")))</f>
        <v>0</v>
      </c>
      <c r="E735" s="4">
        <f>IF(OR(INDEX($AH$2:$AH$1001,MATCH(ROWS($AG$2:AG735),$AG$2:$AG$1001,0),1)&gt;=100000,INDEX($AN$1005:$BO$1005,1,MATCH(COLUMNS($AN$1006:AQ1006),$AN$1006:$BO$1006,0))&gt;=100000), " ",IF(INDEX($AN$2:$BO$1001,MATCH(ROWS($AG$2:AG735),$AG$2:$AG$1001,0),MATCH(COLUMNS($AN$1006:AQ1006),$AN$1006:$BO$1006,0)), HYPERLINK("#",""), HYPERLINK(CONCATENATE("#Metadata!", ADDRESS(INDEX($AI$2:$AI$1001,MATCH(ROWS($AG$2:AG735),$AG$2:$AG$1001,0),0), INDEX($AN$1004:$BO$1004,1,MATCH(COLUMNS($AN$1006:AQ1006),$AN$1006:$BO$1006,0)))),"Fix")))</f>
        <v>0</v>
      </c>
      <c r="F735" s="4">
        <f>IF(OR(INDEX($AH$2:$AH$1001,MATCH(ROWS($AG$2:AG735),$AG$2:$AG$1001,0),1)&gt;=100000,INDEX($AN$1005:$BO$1005,1,MATCH(COLUMNS($AN$1006:AR1006),$AN$1006:$BO$1006,0))&gt;=100000), " ",IF(INDEX($AN$2:$BO$1001,MATCH(ROWS($AG$2:AG735),$AG$2:$AG$1001,0),MATCH(COLUMNS($AN$1006:AR1006),$AN$1006:$BO$1006,0)), HYPERLINK("#",""), HYPERLINK(CONCATENATE("#Metadata!", ADDRESS(INDEX($AI$2:$AI$1001,MATCH(ROWS($AG$2:AG735),$AG$2:$AG$1001,0),0), INDEX($AN$1004:$BO$1004,1,MATCH(COLUMNS($AN$1006:AR1006),$AN$1006:$BO$1006,0)))),"Fix")))</f>
        <v>0</v>
      </c>
      <c r="G735" s="4">
        <f>IF(OR(INDEX($AH$2:$AH$1001,MATCH(ROWS($AG$2:AG735),$AG$2:$AG$1001,0),1)&gt;=100000,INDEX($AN$1005:$BO$1005,1,MATCH(COLUMNS($AN$1006:AS1006),$AN$1006:$BO$1006,0))&gt;=100000), " ",IF(INDEX($AN$2:$BO$1001,MATCH(ROWS($AG$2:AG735),$AG$2:$AG$1001,0),MATCH(COLUMNS($AN$1006:AS1006),$AN$1006:$BO$1006,0)), HYPERLINK("#",""), HYPERLINK(CONCATENATE("#Metadata!", ADDRESS(INDEX($AI$2:$AI$1001,MATCH(ROWS($AG$2:AG735),$AG$2:$AG$1001,0),0), INDEX($AN$1004:$BO$1004,1,MATCH(COLUMNS($AN$1006:AS1006),$AN$1006:$BO$1006,0)))),"Fix")))</f>
        <v>0</v>
      </c>
      <c r="H735" s="4">
        <f>IF(OR(INDEX($AH$2:$AH$1001,MATCH(ROWS($AG$2:AG735),$AG$2:$AG$1001,0),1)&gt;=100000,INDEX($AN$1005:$BO$1005,1,MATCH(COLUMNS($AN$1006:AT1006),$AN$1006:$BO$1006,0))&gt;=100000), " ",IF(INDEX($AN$2:$BO$1001,MATCH(ROWS($AG$2:AG735),$AG$2:$AG$1001,0),MATCH(COLUMNS($AN$1006:AT1006),$AN$1006:$BO$1006,0)), HYPERLINK("#",""), HYPERLINK(CONCATENATE("#Metadata!", ADDRESS(INDEX($AI$2:$AI$1001,MATCH(ROWS($AG$2:AG735),$AG$2:$AG$1001,0),0), INDEX($AN$1004:$BO$1004,1,MATCH(COLUMNS($AN$1006:AT1006),$AN$1006:$BO$1006,0)))),"Fix")))</f>
        <v>0</v>
      </c>
      <c r="I735" s="4">
        <f>IF(OR(INDEX($AH$2:$AH$1001,MATCH(ROWS($AG$2:AG735),$AG$2:$AG$1001,0),1)&gt;=100000,INDEX($AN$1005:$BO$1005,1,MATCH(COLUMNS($AN$1006:AU1006),$AN$1006:$BO$1006,0))&gt;=100000), " ",IF(INDEX($AN$2:$BO$1001,MATCH(ROWS($AG$2:AG735),$AG$2:$AG$1001,0),MATCH(COLUMNS($AN$1006:AU1006),$AN$1006:$BO$1006,0)), HYPERLINK("#",""), HYPERLINK(CONCATENATE("#Metadata!", ADDRESS(INDEX($AI$2:$AI$1001,MATCH(ROWS($AG$2:AG735),$AG$2:$AG$1001,0),0), INDEX($AN$1004:$BO$1004,1,MATCH(COLUMNS($AN$1006:AU1006),$AN$1006:$BO$1006,0)))),"Fix")))</f>
        <v>0</v>
      </c>
      <c r="J735" s="4">
        <f>IF(OR(INDEX($AH$2:$AH$1001,MATCH(ROWS($AG$2:AG735),$AG$2:$AG$1001,0),1)&gt;=100000,INDEX($AN$1005:$BO$1005,1,MATCH(COLUMNS($AN$1006:AV1006),$AN$1006:$BO$1006,0))&gt;=100000), " ",IF(INDEX($AN$2:$BO$1001,MATCH(ROWS($AG$2:AG735),$AG$2:$AG$1001,0),MATCH(COLUMNS($AN$1006:AV1006),$AN$1006:$BO$1006,0)), HYPERLINK("#",""), HYPERLINK(CONCATENATE("#Metadata!", ADDRESS(INDEX($AI$2:$AI$1001,MATCH(ROWS($AG$2:AG735),$AG$2:$AG$1001,0),0), INDEX($AN$1004:$BO$1004,1,MATCH(COLUMNS($AN$1006:AV1006),$AN$1006:$BO$1006,0)))),"Fix")))</f>
        <v>0</v>
      </c>
      <c r="K735" s="4">
        <f>IF(OR(INDEX($AH$2:$AH$1001,MATCH(ROWS($AG$2:AG735),$AG$2:$AG$1001,0),1)&gt;=100000,INDEX($AN$1005:$BO$1005,1,MATCH(COLUMNS($AN$1006:AW1006),$AN$1006:$BO$1006,0))&gt;=100000), " ",IF(INDEX($AN$2:$BO$1001,MATCH(ROWS($AG$2:AG735),$AG$2:$AG$1001,0),MATCH(COLUMNS($AN$1006:AW1006),$AN$1006:$BO$1006,0)), HYPERLINK("#",""), HYPERLINK(CONCATENATE("#Metadata!", ADDRESS(INDEX($AI$2:$AI$1001,MATCH(ROWS($AG$2:AG735),$AG$2:$AG$1001,0),0), INDEX($AN$1004:$BO$1004,1,MATCH(COLUMNS($AN$1006:AW1006),$AN$1006:$BO$1006,0)))),"Fix")))</f>
        <v>0</v>
      </c>
      <c r="L735" s="4">
        <f>IF(OR(INDEX($AH$2:$AH$1001,MATCH(ROWS($AG$2:AG735),$AG$2:$AG$1001,0),1)&gt;=100000,INDEX($AN$1005:$BO$1005,1,MATCH(COLUMNS($AN$1006:AX1006),$AN$1006:$BO$1006,0))&gt;=100000), " ",IF(INDEX($AN$2:$BO$1001,MATCH(ROWS($AG$2:AG735),$AG$2:$AG$1001,0),MATCH(COLUMNS($AN$1006:AX1006),$AN$1006:$BO$1006,0)), HYPERLINK("#",""), HYPERLINK(CONCATENATE("#Metadata!", ADDRESS(INDEX($AI$2:$AI$1001,MATCH(ROWS($AG$2:AG735),$AG$2:$AG$1001,0),0), INDEX($AN$1004:$BO$1004,1,MATCH(COLUMNS($AN$1006:AX1006),$AN$1006:$BO$1006,0)))),"Fix")))</f>
        <v>0</v>
      </c>
      <c r="M735" s="4">
        <f>IF(OR(INDEX($AH$2:$AH$1001,MATCH(ROWS($AG$2:AG735),$AG$2:$AG$1001,0),1)&gt;=100000,INDEX($AN$1005:$BO$1005,1,MATCH(COLUMNS($AN$1006:AY1006),$AN$1006:$BO$1006,0))&gt;=100000), " ",IF(INDEX($AN$2:$BO$1001,MATCH(ROWS($AG$2:AG735),$AG$2:$AG$1001,0),MATCH(COLUMNS($AN$1006:AY1006),$AN$1006:$BO$1006,0)), HYPERLINK("#",""), HYPERLINK(CONCATENATE("#Metadata!", ADDRESS(INDEX($AI$2:$AI$1001,MATCH(ROWS($AG$2:AG735),$AG$2:$AG$1001,0),0), INDEX($AN$1004:$BO$1004,1,MATCH(COLUMNS($AN$1006:AY1006),$AN$1006:$BO$1006,0)))),"Fix")))</f>
        <v>0</v>
      </c>
      <c r="N735" s="4">
        <f>IF(OR(INDEX($AH$2:$AH$1001,MATCH(ROWS($AG$2:AG735),$AG$2:$AG$1001,0),1)&gt;=100000,INDEX($AN$1005:$BO$1005,1,MATCH(COLUMNS($AN$1006:AZ1006),$AN$1006:$BO$1006,0))&gt;=100000), " ",IF(INDEX($AN$2:$BO$1001,MATCH(ROWS($AG$2:AG735),$AG$2:$AG$1001,0),MATCH(COLUMNS($AN$1006:AZ1006),$AN$1006:$BO$1006,0)), HYPERLINK("#",""), HYPERLINK(CONCATENATE("#Metadata!", ADDRESS(INDEX($AI$2:$AI$1001,MATCH(ROWS($AG$2:AG735),$AG$2:$AG$1001,0),0), INDEX($AN$1004:$BO$1004,1,MATCH(COLUMNS($AN$1006:AZ1006),$AN$1006:$BO$1006,0)))),"Fix")))</f>
        <v>0</v>
      </c>
      <c r="O735" s="4">
        <f>IF(OR(INDEX($AH$2:$AH$1001,MATCH(ROWS($AG$2:AG735),$AG$2:$AG$1001,0),1)&gt;=100000,INDEX($AN$1005:$BO$1005,1,MATCH(COLUMNS($AN$1006:BA1006),$AN$1006:$BO$1006,0))&gt;=100000), " ",IF(INDEX($AN$2:$BO$1001,MATCH(ROWS($AG$2:AG735),$AG$2:$AG$1001,0),MATCH(COLUMNS($AN$1006:BA1006),$AN$1006:$BO$1006,0)), HYPERLINK("#",""), HYPERLINK(CONCATENATE("#Metadata!", ADDRESS(INDEX($AI$2:$AI$1001,MATCH(ROWS($AG$2:AG735),$AG$2:$AG$1001,0),0), INDEX($AN$1004:$BO$1004,1,MATCH(COLUMNS($AN$1006:BA1006),$AN$1006:$BO$1006,0)))),"Fix")))</f>
        <v>0</v>
      </c>
      <c r="P735" s="4">
        <f>IF(OR(INDEX($AH$2:$AH$1001,MATCH(ROWS($AG$2:AG735),$AG$2:$AG$1001,0),1)&gt;=100000,INDEX($AN$1005:$BO$1005,1,MATCH(COLUMNS($AN$1006:BB1006),$AN$1006:$BO$1006,0))&gt;=100000), " ",IF(INDEX($AN$2:$BO$1001,MATCH(ROWS($AG$2:AG735),$AG$2:$AG$1001,0),MATCH(COLUMNS($AN$1006:BB1006),$AN$1006:$BO$1006,0)), HYPERLINK("#",""), HYPERLINK(CONCATENATE("#Metadata!", ADDRESS(INDEX($AI$2:$AI$1001,MATCH(ROWS($AG$2:AG735),$AG$2:$AG$1001,0),0), INDEX($AN$1004:$BO$1004,1,MATCH(COLUMNS($AN$1006:BB1006),$AN$1006:$BO$1006,0)))),"Fix")))</f>
        <v>0</v>
      </c>
      <c r="Q735" s="4">
        <f>IF(OR(INDEX($AH$2:$AH$1001,MATCH(ROWS($AG$2:AG735),$AG$2:$AG$1001,0),1)&gt;=100000,INDEX($AN$1005:$BO$1005,1,MATCH(COLUMNS($AN$1006:BC1006),$AN$1006:$BO$1006,0))&gt;=100000), " ",IF(INDEX($AN$2:$BO$1001,MATCH(ROWS($AG$2:AG735),$AG$2:$AG$1001,0),MATCH(COLUMNS($AN$1006:BC1006),$AN$1006:$BO$1006,0)), HYPERLINK("#",""), HYPERLINK(CONCATENATE("#Metadata!", ADDRESS(INDEX($AI$2:$AI$1001,MATCH(ROWS($AG$2:AG735),$AG$2:$AG$1001,0),0), INDEX($AN$1004:$BO$1004,1,MATCH(COLUMNS($AN$1006:BC1006),$AN$1006:$BO$1006,0)))),"Fix")))</f>
        <v>0</v>
      </c>
      <c r="R735" s="4">
        <f>IF(OR(INDEX($AH$2:$AH$1001,MATCH(ROWS($AG$2:AG735),$AG$2:$AG$1001,0),1)&gt;=100000,INDEX($AN$1005:$BO$1005,1,MATCH(COLUMNS($AN$1006:BD1006),$AN$1006:$BO$1006,0))&gt;=100000), " ",IF(INDEX($AN$2:$BO$1001,MATCH(ROWS($AG$2:AG735),$AG$2:$AG$1001,0),MATCH(COLUMNS($AN$1006:BD1006),$AN$1006:$BO$1006,0)), HYPERLINK("#",""), HYPERLINK(CONCATENATE("#Metadata!", ADDRESS(INDEX($AI$2:$AI$1001,MATCH(ROWS($AG$2:AG735),$AG$2:$AG$1001,0),0), INDEX($AN$1004:$BO$1004,1,MATCH(COLUMNS($AN$1006:BD1006),$AN$1006:$BO$1006,0)))),"Fix")))</f>
        <v>0</v>
      </c>
      <c r="S735" s="4">
        <f>IF(OR(INDEX($AH$2:$AH$1001,MATCH(ROWS($AG$2:AG735),$AG$2:$AG$1001,0),1)&gt;=100000,INDEX($AN$1005:$BO$1005,1,MATCH(COLUMNS($AN$1006:BE1006),$AN$1006:$BO$1006,0))&gt;=100000), " ",IF(INDEX($AN$2:$BO$1001,MATCH(ROWS($AG$2:AG735),$AG$2:$AG$1001,0),MATCH(COLUMNS($AN$1006:BE1006),$AN$1006:$BO$1006,0)), HYPERLINK("#",""), HYPERLINK(CONCATENATE("#Metadata!", ADDRESS(INDEX($AI$2:$AI$1001,MATCH(ROWS($AG$2:AG735),$AG$2:$AG$1001,0),0), INDEX($AN$1004:$BO$1004,1,MATCH(COLUMNS($AN$1006:BE1006),$AN$1006:$BO$1006,0)))),"Fix")))</f>
        <v>0</v>
      </c>
      <c r="T735" s="4">
        <f>IF(OR(INDEX($AH$2:$AH$1001,MATCH(ROWS($AG$2:AG735),$AG$2:$AG$1001,0),1)&gt;=100000,INDEX($AN$1005:$BO$1005,1,MATCH(COLUMNS($AN$1006:BF1006),$AN$1006:$BO$1006,0))&gt;=100000), " ",IF(INDEX($AN$2:$BO$1001,MATCH(ROWS($AG$2:AG735),$AG$2:$AG$1001,0),MATCH(COLUMNS($AN$1006:BF1006),$AN$1006:$BO$1006,0)), HYPERLINK("#",""), HYPERLINK(CONCATENATE("#Metadata!", ADDRESS(INDEX($AI$2:$AI$1001,MATCH(ROWS($AG$2:AG735),$AG$2:$AG$1001,0),0), INDEX($AN$1004:$BO$1004,1,MATCH(COLUMNS($AN$1006:BF1006),$AN$1006:$BO$1006,0)))),"Fix")))</f>
        <v>0</v>
      </c>
      <c r="U735" s="4">
        <f>IF(OR(INDEX($AH$2:$AH$1001,MATCH(ROWS($AG$2:AG735),$AG$2:$AG$1001,0),1)&gt;=100000,INDEX($AN$1005:$BO$1005,1,MATCH(COLUMNS($AN$1006:BG1006),$AN$1006:$BO$1006,0))&gt;=100000), " ",IF(INDEX($AN$2:$BO$1001,MATCH(ROWS($AG$2:AG735),$AG$2:$AG$1001,0),MATCH(COLUMNS($AN$1006:BG1006),$AN$1006:$BO$1006,0)), HYPERLINK("#",""), HYPERLINK(CONCATENATE("#Metadata!", ADDRESS(INDEX($AI$2:$AI$1001,MATCH(ROWS($AG$2:AG735),$AG$2:$AG$1001,0),0), INDEX($AN$1004:$BO$1004,1,MATCH(COLUMNS($AN$1006:BG1006),$AN$1006:$BO$1006,0)))),"Fix")))</f>
        <v>0</v>
      </c>
      <c r="V735" s="4">
        <f>IF(OR(INDEX($AH$2:$AH$1001,MATCH(ROWS($AG$2:AG735),$AG$2:$AG$1001,0),1)&gt;=100000,INDEX($AN$1005:$BO$1005,1,MATCH(COLUMNS($AN$1006:BH1006),$AN$1006:$BO$1006,0))&gt;=100000), " ",IF(INDEX($AN$2:$BO$1001,MATCH(ROWS($AG$2:AG735),$AG$2:$AG$1001,0),MATCH(COLUMNS($AN$1006:BH1006),$AN$1006:$BO$1006,0)), HYPERLINK("#",""), HYPERLINK(CONCATENATE("#Metadata!", ADDRESS(INDEX($AI$2:$AI$1001,MATCH(ROWS($AG$2:AG735),$AG$2:$AG$1001,0),0), INDEX($AN$1004:$BO$1004,1,MATCH(COLUMNS($AN$1006:BH1006),$AN$1006:$BO$1006,0)))),"Fix")))</f>
        <v>0</v>
      </c>
      <c r="W735" s="4">
        <f>IF(OR(INDEX($AH$2:$AH$1001,MATCH(ROWS($AG$2:AG735),$AG$2:$AG$1001,0),1)&gt;=100000,INDEX($AN$1005:$BO$1005,1,MATCH(COLUMNS($AN$1006:BI1006),$AN$1006:$BO$1006,0))&gt;=100000), " ",IF(INDEX($AN$2:$BO$1001,MATCH(ROWS($AG$2:AG735),$AG$2:$AG$1001,0),MATCH(COLUMNS($AN$1006:BI1006),$AN$1006:$BO$1006,0)), HYPERLINK("#",""), HYPERLINK(CONCATENATE("#Metadata!", ADDRESS(INDEX($AI$2:$AI$1001,MATCH(ROWS($AG$2:AG735),$AG$2:$AG$1001,0),0), INDEX($AN$1004:$BO$1004,1,MATCH(COLUMNS($AN$1006:BI1006),$AN$1006:$BO$1006,0)))),"Fix")))</f>
        <v>0</v>
      </c>
      <c r="X735" s="4">
        <f>IF(OR(INDEX($AH$2:$AH$1001,MATCH(ROWS($AG$2:AG735),$AG$2:$AG$1001,0),1)&gt;=100000,INDEX($AN$1005:$BO$1005,1,MATCH(COLUMNS($AN$1006:BJ1006),$AN$1006:$BO$1006,0))&gt;=100000), " ",IF(INDEX($AN$2:$BO$1001,MATCH(ROWS($AG$2:AG735),$AG$2:$AG$1001,0),MATCH(COLUMNS($AN$1006:BJ1006),$AN$1006:$BO$1006,0)), HYPERLINK("#",""), HYPERLINK(CONCATENATE("#Metadata!", ADDRESS(INDEX($AI$2:$AI$1001,MATCH(ROWS($AG$2:AG735),$AG$2:$AG$1001,0),0), INDEX($AN$1004:$BO$1004,1,MATCH(COLUMNS($AN$1006:BJ1006),$AN$1006:$BO$1006,0)))),"Fix")))</f>
        <v>0</v>
      </c>
      <c r="Y735" s="4">
        <f>IF(OR(INDEX($AH$2:$AH$1001,MATCH(ROWS($AG$2:AG735),$AG$2:$AG$1001,0),1)&gt;=100000,INDEX($AN$1005:$BO$1005,1,MATCH(COLUMNS($AN$1006:BK1006),$AN$1006:$BO$1006,0))&gt;=100000), " ",IF(INDEX($AN$2:$BO$1001,MATCH(ROWS($AG$2:AG735),$AG$2:$AG$1001,0),MATCH(COLUMNS($AN$1006:BK1006),$AN$1006:$BO$1006,0)), HYPERLINK("#",""), HYPERLINK(CONCATENATE("#Metadata!", ADDRESS(INDEX($AI$2:$AI$1001,MATCH(ROWS($AG$2:AG735),$AG$2:$AG$1001,0),0), INDEX($AN$1004:$BO$1004,1,MATCH(COLUMNS($AN$1006:BK1006),$AN$1006:$BO$1006,0)))),"Fix")))</f>
        <v>0</v>
      </c>
      <c r="Z735" s="4">
        <f>IF(OR(INDEX($AH$2:$AH$1001,MATCH(ROWS($AG$2:AG735),$AG$2:$AG$1001,0),1)&gt;=100000,INDEX($AN$1005:$BO$1005,1,MATCH(COLUMNS($AN$1006:BL1006),$AN$1006:$BO$1006,0))&gt;=100000), " ",IF(INDEX($AN$2:$BO$1001,MATCH(ROWS($AG$2:AG735),$AG$2:$AG$1001,0),MATCH(COLUMNS($AN$1006:BL1006),$AN$1006:$BO$1006,0)), HYPERLINK("#",""), HYPERLINK(CONCATENATE("#Metadata!", ADDRESS(INDEX($AI$2:$AI$1001,MATCH(ROWS($AG$2:AG735),$AG$2:$AG$1001,0),0), INDEX($AN$1004:$BO$1004,1,MATCH(COLUMNS($AN$1006:BL1006),$AN$1006:$BO$1006,0)))),"Fix")))</f>
        <v>0</v>
      </c>
      <c r="AA735" s="4">
        <f>IF(OR(INDEX($AH$2:$AH$1001,MATCH(ROWS($AG$2:AG735),$AG$2:$AG$1001,0),1)&gt;=100000,INDEX($AN$1005:$BO$1005,1,MATCH(COLUMNS($AN$1006:BM1006),$AN$1006:$BO$1006,0))&gt;=100000), " ",IF(INDEX($AN$2:$BO$1001,MATCH(ROWS($AG$2:AG735),$AG$2:$AG$1001,0),MATCH(COLUMNS($AN$1006:BM1006),$AN$1006:$BO$1006,0)), HYPERLINK("#",""), HYPERLINK(CONCATENATE("#Metadata!", ADDRESS(INDEX($AI$2:$AI$1001,MATCH(ROWS($AG$2:AG735),$AG$2:$AG$1001,0),0), INDEX($AN$1004:$BO$1004,1,MATCH(COLUMNS($AN$1006:BM1006),$AN$1006:$BO$1006,0)))),"Fix")))</f>
        <v>0</v>
      </c>
      <c r="AB735" s="4">
        <f>IF(OR(INDEX($AH$2:$AH$1001,MATCH(ROWS($AG$2:AG735),$AG$2:$AG$1001,0),1)&gt;=100000,INDEX($AN$1005:$BO$1005,1,MATCH(COLUMNS($AN$1006:BN1006),$AN$1006:$BO$1006,0))&gt;=100000), " ",IF(INDEX($AN$2:$BO$1001,MATCH(ROWS($AG$2:AG735),$AG$2:$AG$1001,0),MATCH(COLUMNS($AN$1006:BN1006),$AN$1006:$BO$1006,0)), HYPERLINK("#",""), HYPERLINK(CONCATENATE("#Metadata!", ADDRESS(INDEX($AI$2:$AI$1001,MATCH(ROWS($AG$2:AG735),$AG$2:$AG$1001,0),0), INDEX($AN$1004:$BO$1004,1,MATCH(COLUMNS($AN$1006:BN1006),$AN$1006:$BO$1006,0)))),"Fix")))</f>
        <v>0</v>
      </c>
      <c r="AC735" s="4">
        <f>IF(OR(INDEX($AH$2:$AH$1001,MATCH(ROWS($AG$2:AG735),$AG$2:$AG$1001,0),1)&gt;=100000,INDEX($AN$1005:$BO$1005,1,MATCH(COLUMNS($AN$1006:BO1006),$AN$1006:$BO$1006,0))&gt;=100000), " ",IF(INDEX($AN$2:$BO$1001,MATCH(ROWS($AG$2:AG735),$AG$2:$AG$1001,0),MATCH(COLUMNS($AN$1006:BO1006),$AN$1006:$BO$1006,0)), HYPERLINK("#",""), HYPERLINK(CONCATENATE("#Metadata!", ADDRESS(INDEX($AI$2:$AI$1001,MATCH(ROWS($AG$2:AG735),$AG$2:$AG$1001,0),0), INDEX($AN$1004:$BO$1004,1,MATCH(COLUMNS($AN$1006:BO1006),$AN$1006:$BO$1006,0)))),"Fix")))</f>
        <v>0</v>
      </c>
      <c r="AG735">
        <v>0</v>
      </c>
      <c r="AH735">
        <v>0</v>
      </c>
      <c r="AI735">
        <v>0</v>
      </c>
      <c r="AJ735">
        <f>IF(AK735,TRUE,AND(AN735:BO735))</f>
        <v>0</v>
      </c>
      <c r="AK735">
        <f>COUNTBLANK(Metadata!B735:AC735)=COLUMNS(Metadata!B735:AC735)</f>
        <v>0</v>
      </c>
      <c r="AL735">
        <v>0</v>
      </c>
      <c r="AN735">
        <f>AND(IF(Metadata!B735="",FALSE,TRUE),COUNTIF(Metadata!B:B, Metadata!B735) = 1,NOT(ISERROR(SUMPRODUCT(SEARCH(MID(Metadata!B735,ROW(INDIRECT("1:"&amp;LEN(Metadata!B735))), 1),"0123456789abcdefghijklmnopqrstuvwxyzABCDEFGHIJKLMNOPQRSTUVWXYZ.")))))</f>
        <v>0</v>
      </c>
      <c r="AO735">
        <f>IF(Metadata!C735="",FALSE,TRUE)</f>
        <v>0</v>
      </c>
      <c r="AP735">
        <f>IF(Metadata!D735="",FALSE,TRUE)</f>
        <v>0</v>
      </c>
      <c r="AQ735">
        <f>OR(AND(IF(Metadata!E735="",FALSE,TRUE),OR(exact(Metadata!E735,"not collected"),exact(Metadata!E735,"not provided"),exact(Metadata!E735,"restricted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R735">
        <f>IF(Metadata!F735="",FALSE,TRUE)</f>
        <v>0</v>
      </c>
      <c r="AS735">
        <f>OR(AND(IF(Metadata!G735="",FALSE,TRUE),OR(exact(Metadata!G735,"not collected"),exact(Metadata!G735,"not provided"))),AND(IF(Metadata!G735="",FALSE,TRUE),OR(exact(Metadata!G735,"TRUE"),exact(Metadata!G735,"FALSE"))))</f>
        <v>0</v>
      </c>
      <c r="AT735">
        <f>OR(AND(IF(Metadata!H735="",FALSE,TRUE),OR(exact(Metadata!H735,"not collected"),exact(Metadata!H735,"not provided"),exact(Metadata!H735,"restricted access"))),AND(IF(Metadata!H735="",FALSE,ISNUMBER(VALUE(Metadata!H735))),Metadata!H735&gt;=-413.0))</f>
        <v>0</v>
      </c>
      <c r="AU735">
        <f>AND(IF(Metadata!I735="",FALSE,TRUE),exact(Metadata!I735,"meters"))</f>
        <v>0</v>
      </c>
      <c r="AV735">
        <f>AND(IF(Metadata!J735="",FALSE,TRUE),OR(exact(Metadata!J735,"Host-associated"),exact(Metadata!J735,"Free-living")))</f>
        <v>0</v>
      </c>
      <c r="AW735">
        <f>AND(IF(Metadata!K735="",FALSE,TRUE),OR(exact(Metadata!K735,"Animal"),exact(Metadata!K735,"Fungus"),exact(Metadata!K735,"Plant"),exact(Metadata!K735,"Saline"),exact(Metadata!K735,"Non-saline")))</f>
        <v>0</v>
      </c>
      <c r="AX735">
        <f>AND(IF(Metadata!L735="",FALSE,TRUE),OR(exact(Metadata!L735,"Plant secretion"),exact(Metadata!L735,"Plant rhizosphere"),exact(Metadata!L735,"Plant surface"),exact(Metadata!L735,"Plant corpus"),exact(Metadata!L735,"Fungus surface"),exact(Metadata!L735,"Fungus corpus"),exact(Metadata!L735,"Animal surface"),exact(Metadata!L735,"Animal proximal gut"),exact(Metadata!L735,"Animal corpus"),exact(Metadata!L735,"Animal distal gut"),exact(Metadata!L735,"Animal secretion"),exact(Metadata!L735,"Sub-surface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Y735">
        <f>IF(Metadata!M735="",FALSE,TRUE)</f>
        <v>0</v>
      </c>
      <c r="AZ735">
        <f>IF(Metadata!N735="",FALSE,TRUE)</f>
        <v>0</v>
      </c>
      <c r="BA735">
        <f>IF(Metadata!O735="",FALSE,TRUE)</f>
        <v>0</v>
      </c>
      <c r="BB735">
        <f>OR(AND(IF(Metadata!P735="",FALSE,TRUE),OR(exact(Metadata!P735,"not collected"),exact(Metadata!P735,"not provided"),exact(Metadata!P735,"restricted access"))),AND(IF(Metadata!P735="",FALSE,TRUE),OR(exact(Metadata!P735,"air"),exact(Metadata!P735,"built environment"),exact(Metadata!P735,"host-associated"),exact(Metadata!P735,"human-associated"),exact(Metadata!P735,"human-skin"),exact(Metadata!P735,"human-oral"),exact(Metadata!P735,"human-gut"),exact(Metadata!P735,"human-vaginal"),exact(Metadata!P735,"microbial mat/biofilm"),exact(Metadata!P735,"misc environment"),exact(Metadata!P735,"plant-associated"),exact(Metadata!P735,"sediment"),exact(Metadata!P735,"soil"),exact(Metadata!P735,"wastewater/sludge"),exact(Metadata!P735,"water"))))</f>
        <v>0</v>
      </c>
      <c r="BC735">
        <f>IF(Metadata!Q735="",FALSE,TRUE)</f>
        <v>0</v>
      </c>
      <c r="BD735">
        <f>IF(Metadata!R735="",FALSE,TRUE)</f>
        <v>0</v>
      </c>
      <c r="BE735">
        <f>OR(AND(IF(Metadata!S735="",FALSE,TRUE),OR(exact(Metadata!S735,"not collected"),exact(Metadata!S735,"not provided"),exact(Metadata!S735,"restricted access"))),AND(IF(Metadata!S735="",FALSE,ISNUMBER(VALUE(Metadata!S735))),Metadata!S735&gt;=-90.00,Metadata!S735&lt;=90.00))</f>
        <v>0</v>
      </c>
      <c r="BF735">
        <f>AND(IF(Metadata!T735="",FALSE,TRUE),exact(Metadata!T735,"Decimal degrees"))</f>
        <v>0</v>
      </c>
      <c r="BG735">
        <f>OR(AND(IF(Metadata!U735="",FALSE,TRUE),OR(exact(Metadata!U735,"not collected"),exact(Metadata!U735,"not provided"),exact(Metadata!U735,"restricted access"))),AND(IF(Metadata!U735="",FALSE,ISNUMBER(VALUE(Metadata!U735))),Metadata!U735&gt;=-180.00,Metadata!U735&lt;=180.00))</f>
        <v>0</v>
      </c>
      <c r="BH735">
        <f>AND(IF(Metadata!V735="",FALSE,TRUE),exact(Metadata!V735,"Decimal degrees"))</f>
        <v>0</v>
      </c>
      <c r="BI735">
        <f>IF(Metadata!W735="",FALSE,TRUE)</f>
        <v>0</v>
      </c>
      <c r="BJ735">
        <f>OR(AND(IF(Metadata!X735="",FALSE,TRUE),OR(exact(Metadata!X735,"not collected"),exact(Metadata!X735,"not provided"),exact(Metadata!X735,"restricted access"))),AND(IF(Metadata!X735="",FALSE,TRUE),OR(exact(Metadata!X735,"TRUE"),exact(Metadata!X735,"FALSE"))))</f>
        <v>0</v>
      </c>
      <c r="BK735">
        <f>AND(IF(Metadata!Y735="",FALSE,TRUE),exact(Metadata!Y735,"other"))</f>
        <v>0</v>
      </c>
      <c r="BL735">
        <f>IF(Metadata!Z735="",FALSE,TRUE)</f>
        <v>0</v>
      </c>
      <c r="BM735">
        <f>OR(AND(IF(Metadata!AA735="",FALSE,TRUE),OR(exact(Metadata!AA735,"not collected"),exact(Metadata!AA735,"not provided"))),AND(IF(Metadata!AA735="",FALSE,IF(ISERROR(INT(Metadata!AA735)),FALSE,INT(Metadata!AA735)=Metadata!AA735)),Metadata!AA735&gt;0))</f>
        <v>0</v>
      </c>
      <c r="BN735">
        <f>AND(IF(Metadata!AB735="",FALSE,TRUE),exact(Metadata!AB735,"Not applicable"))</f>
        <v>0</v>
      </c>
      <c r="BO735">
        <f>IF(Metadata!AC735="",FALSE,TRUE)</f>
        <v>0</v>
      </c>
    </row>
    <row r="736" spans="1:67">
      <c r="A736" s="5">
        <f>IF(B736=" "," ",HYPERLINK(CONCATENATE("#metadata!",ADDRESS(INDEX($AI$2:$AI$1001,MATCH(ROWS($AG$2:AG736),$AG$2:$AG$1001,0),0),1)),INDEX($AL$2:$AL$1001,MATCH(ROWS($AG$2:AG736),$AG$2:$AG$1001,0),0)))</f>
        <v>0</v>
      </c>
      <c r="B736" s="4">
        <f>IF(OR(INDEX($AH$2:$AH$1001,MATCH(ROWS($AG$2:AG736),$AG$2:$AG$1001,0),1)&gt;=100000,INDEX($AN$1005:$BO$1005,1,MATCH(COLUMNS($AN$1006:AN1006),$AN$1006:$BO$1006,0))&gt;=100000), " ",IF(INDEX($AN$2:$BO$1001,MATCH(ROWS($AG$2:AG736),$AG$2:$AG$1001,0),MATCH(COLUMNS($AN$1006:AN1006),$AN$1006:$BO$1006,0)), HYPERLINK("#",""), HYPERLINK(CONCATENATE("#Metadata!", ADDRESS(INDEX($AI$2:$AI$1001,MATCH(ROWS($AG$2:AG736),$AG$2:$AG$1001,0),0), INDEX($AN$1004:$BO$1004,1,MATCH(COLUMNS($AN$1006:AN1006),$AN$1006:$BO$1006,0)))),"Fix")))</f>
        <v>0</v>
      </c>
      <c r="C736" s="4">
        <f>IF(OR(INDEX($AH$2:$AH$1001,MATCH(ROWS($AG$2:AG736),$AG$2:$AG$1001,0),1)&gt;=100000,INDEX($AN$1005:$BO$1005,1,MATCH(COLUMNS($AN$1006:AO1006),$AN$1006:$BO$1006,0))&gt;=100000), " ",IF(INDEX($AN$2:$BO$1001,MATCH(ROWS($AG$2:AG736),$AG$2:$AG$1001,0),MATCH(COLUMNS($AN$1006:AO1006),$AN$1006:$BO$1006,0)), HYPERLINK("#",""), HYPERLINK(CONCATENATE("#Metadata!", ADDRESS(INDEX($AI$2:$AI$1001,MATCH(ROWS($AG$2:AG736),$AG$2:$AG$1001,0),0), INDEX($AN$1004:$BO$1004,1,MATCH(COLUMNS($AN$1006:AO1006),$AN$1006:$BO$1006,0)))),"Fix")))</f>
        <v>0</v>
      </c>
      <c r="D736" s="4">
        <f>IF(OR(INDEX($AH$2:$AH$1001,MATCH(ROWS($AG$2:AG736),$AG$2:$AG$1001,0),1)&gt;=100000,INDEX($AN$1005:$BO$1005,1,MATCH(COLUMNS($AN$1006:AP1006),$AN$1006:$BO$1006,0))&gt;=100000), " ",IF(INDEX($AN$2:$BO$1001,MATCH(ROWS($AG$2:AG736),$AG$2:$AG$1001,0),MATCH(COLUMNS($AN$1006:AP1006),$AN$1006:$BO$1006,0)), HYPERLINK("#",""), HYPERLINK(CONCATENATE("#Metadata!", ADDRESS(INDEX($AI$2:$AI$1001,MATCH(ROWS($AG$2:AG736),$AG$2:$AG$1001,0),0), INDEX($AN$1004:$BO$1004,1,MATCH(COLUMNS($AN$1006:AP1006),$AN$1006:$BO$1006,0)))),"Fix")))</f>
        <v>0</v>
      </c>
      <c r="E736" s="4">
        <f>IF(OR(INDEX($AH$2:$AH$1001,MATCH(ROWS($AG$2:AG736),$AG$2:$AG$1001,0),1)&gt;=100000,INDEX($AN$1005:$BO$1005,1,MATCH(COLUMNS($AN$1006:AQ1006),$AN$1006:$BO$1006,0))&gt;=100000), " ",IF(INDEX($AN$2:$BO$1001,MATCH(ROWS($AG$2:AG736),$AG$2:$AG$1001,0),MATCH(COLUMNS($AN$1006:AQ1006),$AN$1006:$BO$1006,0)), HYPERLINK("#",""), HYPERLINK(CONCATENATE("#Metadata!", ADDRESS(INDEX($AI$2:$AI$1001,MATCH(ROWS($AG$2:AG736),$AG$2:$AG$1001,0),0), INDEX($AN$1004:$BO$1004,1,MATCH(COLUMNS($AN$1006:AQ1006),$AN$1006:$BO$1006,0)))),"Fix")))</f>
        <v>0</v>
      </c>
      <c r="F736" s="4">
        <f>IF(OR(INDEX($AH$2:$AH$1001,MATCH(ROWS($AG$2:AG736),$AG$2:$AG$1001,0),1)&gt;=100000,INDEX($AN$1005:$BO$1005,1,MATCH(COLUMNS($AN$1006:AR1006),$AN$1006:$BO$1006,0))&gt;=100000), " ",IF(INDEX($AN$2:$BO$1001,MATCH(ROWS($AG$2:AG736),$AG$2:$AG$1001,0),MATCH(COLUMNS($AN$1006:AR1006),$AN$1006:$BO$1006,0)), HYPERLINK("#",""), HYPERLINK(CONCATENATE("#Metadata!", ADDRESS(INDEX($AI$2:$AI$1001,MATCH(ROWS($AG$2:AG736),$AG$2:$AG$1001,0),0), INDEX($AN$1004:$BO$1004,1,MATCH(COLUMNS($AN$1006:AR1006),$AN$1006:$BO$1006,0)))),"Fix")))</f>
        <v>0</v>
      </c>
      <c r="G736" s="4">
        <f>IF(OR(INDEX($AH$2:$AH$1001,MATCH(ROWS($AG$2:AG736),$AG$2:$AG$1001,0),1)&gt;=100000,INDEX($AN$1005:$BO$1005,1,MATCH(COLUMNS($AN$1006:AS1006),$AN$1006:$BO$1006,0))&gt;=100000), " ",IF(INDEX($AN$2:$BO$1001,MATCH(ROWS($AG$2:AG736),$AG$2:$AG$1001,0),MATCH(COLUMNS($AN$1006:AS1006),$AN$1006:$BO$1006,0)), HYPERLINK("#",""), HYPERLINK(CONCATENATE("#Metadata!", ADDRESS(INDEX($AI$2:$AI$1001,MATCH(ROWS($AG$2:AG736),$AG$2:$AG$1001,0),0), INDEX($AN$1004:$BO$1004,1,MATCH(COLUMNS($AN$1006:AS1006),$AN$1006:$BO$1006,0)))),"Fix")))</f>
        <v>0</v>
      </c>
      <c r="H736" s="4">
        <f>IF(OR(INDEX($AH$2:$AH$1001,MATCH(ROWS($AG$2:AG736),$AG$2:$AG$1001,0),1)&gt;=100000,INDEX($AN$1005:$BO$1005,1,MATCH(COLUMNS($AN$1006:AT1006),$AN$1006:$BO$1006,0))&gt;=100000), " ",IF(INDEX($AN$2:$BO$1001,MATCH(ROWS($AG$2:AG736),$AG$2:$AG$1001,0),MATCH(COLUMNS($AN$1006:AT1006),$AN$1006:$BO$1006,0)), HYPERLINK("#",""), HYPERLINK(CONCATENATE("#Metadata!", ADDRESS(INDEX($AI$2:$AI$1001,MATCH(ROWS($AG$2:AG736),$AG$2:$AG$1001,0),0), INDEX($AN$1004:$BO$1004,1,MATCH(COLUMNS($AN$1006:AT1006),$AN$1006:$BO$1006,0)))),"Fix")))</f>
        <v>0</v>
      </c>
      <c r="I736" s="4">
        <f>IF(OR(INDEX($AH$2:$AH$1001,MATCH(ROWS($AG$2:AG736),$AG$2:$AG$1001,0),1)&gt;=100000,INDEX($AN$1005:$BO$1005,1,MATCH(COLUMNS($AN$1006:AU1006),$AN$1006:$BO$1006,0))&gt;=100000), " ",IF(INDEX($AN$2:$BO$1001,MATCH(ROWS($AG$2:AG736),$AG$2:$AG$1001,0),MATCH(COLUMNS($AN$1006:AU1006),$AN$1006:$BO$1006,0)), HYPERLINK("#",""), HYPERLINK(CONCATENATE("#Metadata!", ADDRESS(INDEX($AI$2:$AI$1001,MATCH(ROWS($AG$2:AG736),$AG$2:$AG$1001,0),0), INDEX($AN$1004:$BO$1004,1,MATCH(COLUMNS($AN$1006:AU1006),$AN$1006:$BO$1006,0)))),"Fix")))</f>
        <v>0</v>
      </c>
      <c r="J736" s="4">
        <f>IF(OR(INDEX($AH$2:$AH$1001,MATCH(ROWS($AG$2:AG736),$AG$2:$AG$1001,0),1)&gt;=100000,INDEX($AN$1005:$BO$1005,1,MATCH(COLUMNS($AN$1006:AV1006),$AN$1006:$BO$1006,0))&gt;=100000), " ",IF(INDEX($AN$2:$BO$1001,MATCH(ROWS($AG$2:AG736),$AG$2:$AG$1001,0),MATCH(COLUMNS($AN$1006:AV1006),$AN$1006:$BO$1006,0)), HYPERLINK("#",""), HYPERLINK(CONCATENATE("#Metadata!", ADDRESS(INDEX($AI$2:$AI$1001,MATCH(ROWS($AG$2:AG736),$AG$2:$AG$1001,0),0), INDEX($AN$1004:$BO$1004,1,MATCH(COLUMNS($AN$1006:AV1006),$AN$1006:$BO$1006,0)))),"Fix")))</f>
        <v>0</v>
      </c>
      <c r="K736" s="4">
        <f>IF(OR(INDEX($AH$2:$AH$1001,MATCH(ROWS($AG$2:AG736),$AG$2:$AG$1001,0),1)&gt;=100000,INDEX($AN$1005:$BO$1005,1,MATCH(COLUMNS($AN$1006:AW1006),$AN$1006:$BO$1006,0))&gt;=100000), " ",IF(INDEX($AN$2:$BO$1001,MATCH(ROWS($AG$2:AG736),$AG$2:$AG$1001,0),MATCH(COLUMNS($AN$1006:AW1006),$AN$1006:$BO$1006,0)), HYPERLINK("#",""), HYPERLINK(CONCATENATE("#Metadata!", ADDRESS(INDEX($AI$2:$AI$1001,MATCH(ROWS($AG$2:AG736),$AG$2:$AG$1001,0),0), INDEX($AN$1004:$BO$1004,1,MATCH(COLUMNS($AN$1006:AW1006),$AN$1006:$BO$1006,0)))),"Fix")))</f>
        <v>0</v>
      </c>
      <c r="L736" s="4">
        <f>IF(OR(INDEX($AH$2:$AH$1001,MATCH(ROWS($AG$2:AG736),$AG$2:$AG$1001,0),1)&gt;=100000,INDEX($AN$1005:$BO$1005,1,MATCH(COLUMNS($AN$1006:AX1006),$AN$1006:$BO$1006,0))&gt;=100000), " ",IF(INDEX($AN$2:$BO$1001,MATCH(ROWS($AG$2:AG736),$AG$2:$AG$1001,0),MATCH(COLUMNS($AN$1006:AX1006),$AN$1006:$BO$1006,0)), HYPERLINK("#",""), HYPERLINK(CONCATENATE("#Metadata!", ADDRESS(INDEX($AI$2:$AI$1001,MATCH(ROWS($AG$2:AG736),$AG$2:$AG$1001,0),0), INDEX($AN$1004:$BO$1004,1,MATCH(COLUMNS($AN$1006:AX1006),$AN$1006:$BO$1006,0)))),"Fix")))</f>
        <v>0</v>
      </c>
      <c r="M736" s="4">
        <f>IF(OR(INDEX($AH$2:$AH$1001,MATCH(ROWS($AG$2:AG736),$AG$2:$AG$1001,0),1)&gt;=100000,INDEX($AN$1005:$BO$1005,1,MATCH(COLUMNS($AN$1006:AY1006),$AN$1006:$BO$1006,0))&gt;=100000), " ",IF(INDEX($AN$2:$BO$1001,MATCH(ROWS($AG$2:AG736),$AG$2:$AG$1001,0),MATCH(COLUMNS($AN$1006:AY1006),$AN$1006:$BO$1006,0)), HYPERLINK("#",""), HYPERLINK(CONCATENATE("#Metadata!", ADDRESS(INDEX($AI$2:$AI$1001,MATCH(ROWS($AG$2:AG736),$AG$2:$AG$1001,0),0), INDEX($AN$1004:$BO$1004,1,MATCH(COLUMNS($AN$1006:AY1006),$AN$1006:$BO$1006,0)))),"Fix")))</f>
        <v>0</v>
      </c>
      <c r="N736" s="4">
        <f>IF(OR(INDEX($AH$2:$AH$1001,MATCH(ROWS($AG$2:AG736),$AG$2:$AG$1001,0),1)&gt;=100000,INDEX($AN$1005:$BO$1005,1,MATCH(COLUMNS($AN$1006:AZ1006),$AN$1006:$BO$1006,0))&gt;=100000), " ",IF(INDEX($AN$2:$BO$1001,MATCH(ROWS($AG$2:AG736),$AG$2:$AG$1001,0),MATCH(COLUMNS($AN$1006:AZ1006),$AN$1006:$BO$1006,0)), HYPERLINK("#",""), HYPERLINK(CONCATENATE("#Metadata!", ADDRESS(INDEX($AI$2:$AI$1001,MATCH(ROWS($AG$2:AG736),$AG$2:$AG$1001,0),0), INDEX($AN$1004:$BO$1004,1,MATCH(COLUMNS($AN$1006:AZ1006),$AN$1006:$BO$1006,0)))),"Fix")))</f>
        <v>0</v>
      </c>
      <c r="O736" s="4">
        <f>IF(OR(INDEX($AH$2:$AH$1001,MATCH(ROWS($AG$2:AG736),$AG$2:$AG$1001,0),1)&gt;=100000,INDEX($AN$1005:$BO$1005,1,MATCH(COLUMNS($AN$1006:BA1006),$AN$1006:$BO$1006,0))&gt;=100000), " ",IF(INDEX($AN$2:$BO$1001,MATCH(ROWS($AG$2:AG736),$AG$2:$AG$1001,0),MATCH(COLUMNS($AN$1006:BA1006),$AN$1006:$BO$1006,0)), HYPERLINK("#",""), HYPERLINK(CONCATENATE("#Metadata!", ADDRESS(INDEX($AI$2:$AI$1001,MATCH(ROWS($AG$2:AG736),$AG$2:$AG$1001,0),0), INDEX($AN$1004:$BO$1004,1,MATCH(COLUMNS($AN$1006:BA1006),$AN$1006:$BO$1006,0)))),"Fix")))</f>
        <v>0</v>
      </c>
      <c r="P736" s="4">
        <f>IF(OR(INDEX($AH$2:$AH$1001,MATCH(ROWS($AG$2:AG736),$AG$2:$AG$1001,0),1)&gt;=100000,INDEX($AN$1005:$BO$1005,1,MATCH(COLUMNS($AN$1006:BB1006),$AN$1006:$BO$1006,0))&gt;=100000), " ",IF(INDEX($AN$2:$BO$1001,MATCH(ROWS($AG$2:AG736),$AG$2:$AG$1001,0),MATCH(COLUMNS($AN$1006:BB1006),$AN$1006:$BO$1006,0)), HYPERLINK("#",""), HYPERLINK(CONCATENATE("#Metadata!", ADDRESS(INDEX($AI$2:$AI$1001,MATCH(ROWS($AG$2:AG736),$AG$2:$AG$1001,0),0), INDEX($AN$1004:$BO$1004,1,MATCH(COLUMNS($AN$1006:BB1006),$AN$1006:$BO$1006,0)))),"Fix")))</f>
        <v>0</v>
      </c>
      <c r="Q736" s="4">
        <f>IF(OR(INDEX($AH$2:$AH$1001,MATCH(ROWS($AG$2:AG736),$AG$2:$AG$1001,0),1)&gt;=100000,INDEX($AN$1005:$BO$1005,1,MATCH(COLUMNS($AN$1006:BC1006),$AN$1006:$BO$1006,0))&gt;=100000), " ",IF(INDEX($AN$2:$BO$1001,MATCH(ROWS($AG$2:AG736),$AG$2:$AG$1001,0),MATCH(COLUMNS($AN$1006:BC1006),$AN$1006:$BO$1006,0)), HYPERLINK("#",""), HYPERLINK(CONCATENATE("#Metadata!", ADDRESS(INDEX($AI$2:$AI$1001,MATCH(ROWS($AG$2:AG736),$AG$2:$AG$1001,0),0), INDEX($AN$1004:$BO$1004,1,MATCH(COLUMNS($AN$1006:BC1006),$AN$1006:$BO$1006,0)))),"Fix")))</f>
        <v>0</v>
      </c>
      <c r="R736" s="4">
        <f>IF(OR(INDEX($AH$2:$AH$1001,MATCH(ROWS($AG$2:AG736),$AG$2:$AG$1001,0),1)&gt;=100000,INDEX($AN$1005:$BO$1005,1,MATCH(COLUMNS($AN$1006:BD1006),$AN$1006:$BO$1006,0))&gt;=100000), " ",IF(INDEX($AN$2:$BO$1001,MATCH(ROWS($AG$2:AG736),$AG$2:$AG$1001,0),MATCH(COLUMNS($AN$1006:BD1006),$AN$1006:$BO$1006,0)), HYPERLINK("#",""), HYPERLINK(CONCATENATE("#Metadata!", ADDRESS(INDEX($AI$2:$AI$1001,MATCH(ROWS($AG$2:AG736),$AG$2:$AG$1001,0),0), INDEX($AN$1004:$BO$1004,1,MATCH(COLUMNS($AN$1006:BD1006),$AN$1006:$BO$1006,0)))),"Fix")))</f>
        <v>0</v>
      </c>
      <c r="S736" s="4">
        <f>IF(OR(INDEX($AH$2:$AH$1001,MATCH(ROWS($AG$2:AG736),$AG$2:$AG$1001,0),1)&gt;=100000,INDEX($AN$1005:$BO$1005,1,MATCH(COLUMNS($AN$1006:BE1006),$AN$1006:$BO$1006,0))&gt;=100000), " ",IF(INDEX($AN$2:$BO$1001,MATCH(ROWS($AG$2:AG736),$AG$2:$AG$1001,0),MATCH(COLUMNS($AN$1006:BE1006),$AN$1006:$BO$1006,0)), HYPERLINK("#",""), HYPERLINK(CONCATENATE("#Metadata!", ADDRESS(INDEX($AI$2:$AI$1001,MATCH(ROWS($AG$2:AG736),$AG$2:$AG$1001,0),0), INDEX($AN$1004:$BO$1004,1,MATCH(COLUMNS($AN$1006:BE1006),$AN$1006:$BO$1006,0)))),"Fix")))</f>
        <v>0</v>
      </c>
      <c r="T736" s="4">
        <f>IF(OR(INDEX($AH$2:$AH$1001,MATCH(ROWS($AG$2:AG736),$AG$2:$AG$1001,0),1)&gt;=100000,INDEX($AN$1005:$BO$1005,1,MATCH(COLUMNS($AN$1006:BF1006),$AN$1006:$BO$1006,0))&gt;=100000), " ",IF(INDEX($AN$2:$BO$1001,MATCH(ROWS($AG$2:AG736),$AG$2:$AG$1001,0),MATCH(COLUMNS($AN$1006:BF1006),$AN$1006:$BO$1006,0)), HYPERLINK("#",""), HYPERLINK(CONCATENATE("#Metadata!", ADDRESS(INDEX($AI$2:$AI$1001,MATCH(ROWS($AG$2:AG736),$AG$2:$AG$1001,0),0), INDEX($AN$1004:$BO$1004,1,MATCH(COLUMNS($AN$1006:BF1006),$AN$1006:$BO$1006,0)))),"Fix")))</f>
        <v>0</v>
      </c>
      <c r="U736" s="4">
        <f>IF(OR(INDEX($AH$2:$AH$1001,MATCH(ROWS($AG$2:AG736),$AG$2:$AG$1001,0),1)&gt;=100000,INDEX($AN$1005:$BO$1005,1,MATCH(COLUMNS($AN$1006:BG1006),$AN$1006:$BO$1006,0))&gt;=100000), " ",IF(INDEX($AN$2:$BO$1001,MATCH(ROWS($AG$2:AG736),$AG$2:$AG$1001,0),MATCH(COLUMNS($AN$1006:BG1006),$AN$1006:$BO$1006,0)), HYPERLINK("#",""), HYPERLINK(CONCATENATE("#Metadata!", ADDRESS(INDEX($AI$2:$AI$1001,MATCH(ROWS($AG$2:AG736),$AG$2:$AG$1001,0),0), INDEX($AN$1004:$BO$1004,1,MATCH(COLUMNS($AN$1006:BG1006),$AN$1006:$BO$1006,0)))),"Fix")))</f>
        <v>0</v>
      </c>
      <c r="V736" s="4">
        <f>IF(OR(INDEX($AH$2:$AH$1001,MATCH(ROWS($AG$2:AG736),$AG$2:$AG$1001,0),1)&gt;=100000,INDEX($AN$1005:$BO$1005,1,MATCH(COLUMNS($AN$1006:BH1006),$AN$1006:$BO$1006,0))&gt;=100000), " ",IF(INDEX($AN$2:$BO$1001,MATCH(ROWS($AG$2:AG736),$AG$2:$AG$1001,0),MATCH(COLUMNS($AN$1006:BH1006),$AN$1006:$BO$1006,0)), HYPERLINK("#",""), HYPERLINK(CONCATENATE("#Metadata!", ADDRESS(INDEX($AI$2:$AI$1001,MATCH(ROWS($AG$2:AG736),$AG$2:$AG$1001,0),0), INDEX($AN$1004:$BO$1004,1,MATCH(COLUMNS($AN$1006:BH1006),$AN$1006:$BO$1006,0)))),"Fix")))</f>
        <v>0</v>
      </c>
      <c r="W736" s="4">
        <f>IF(OR(INDEX($AH$2:$AH$1001,MATCH(ROWS($AG$2:AG736),$AG$2:$AG$1001,0),1)&gt;=100000,INDEX($AN$1005:$BO$1005,1,MATCH(COLUMNS($AN$1006:BI1006),$AN$1006:$BO$1006,0))&gt;=100000), " ",IF(INDEX($AN$2:$BO$1001,MATCH(ROWS($AG$2:AG736),$AG$2:$AG$1001,0),MATCH(COLUMNS($AN$1006:BI1006),$AN$1006:$BO$1006,0)), HYPERLINK("#",""), HYPERLINK(CONCATENATE("#Metadata!", ADDRESS(INDEX($AI$2:$AI$1001,MATCH(ROWS($AG$2:AG736),$AG$2:$AG$1001,0),0), INDEX($AN$1004:$BO$1004,1,MATCH(COLUMNS($AN$1006:BI1006),$AN$1006:$BO$1006,0)))),"Fix")))</f>
        <v>0</v>
      </c>
      <c r="X736" s="4">
        <f>IF(OR(INDEX($AH$2:$AH$1001,MATCH(ROWS($AG$2:AG736),$AG$2:$AG$1001,0),1)&gt;=100000,INDEX($AN$1005:$BO$1005,1,MATCH(COLUMNS($AN$1006:BJ1006),$AN$1006:$BO$1006,0))&gt;=100000), " ",IF(INDEX($AN$2:$BO$1001,MATCH(ROWS($AG$2:AG736),$AG$2:$AG$1001,0),MATCH(COLUMNS($AN$1006:BJ1006),$AN$1006:$BO$1006,0)), HYPERLINK("#",""), HYPERLINK(CONCATENATE("#Metadata!", ADDRESS(INDEX($AI$2:$AI$1001,MATCH(ROWS($AG$2:AG736),$AG$2:$AG$1001,0),0), INDEX($AN$1004:$BO$1004,1,MATCH(COLUMNS($AN$1006:BJ1006),$AN$1006:$BO$1006,0)))),"Fix")))</f>
        <v>0</v>
      </c>
      <c r="Y736" s="4">
        <f>IF(OR(INDEX($AH$2:$AH$1001,MATCH(ROWS($AG$2:AG736),$AG$2:$AG$1001,0),1)&gt;=100000,INDEX($AN$1005:$BO$1005,1,MATCH(COLUMNS($AN$1006:BK1006),$AN$1006:$BO$1006,0))&gt;=100000), " ",IF(INDEX($AN$2:$BO$1001,MATCH(ROWS($AG$2:AG736),$AG$2:$AG$1001,0),MATCH(COLUMNS($AN$1006:BK1006),$AN$1006:$BO$1006,0)), HYPERLINK("#",""), HYPERLINK(CONCATENATE("#Metadata!", ADDRESS(INDEX($AI$2:$AI$1001,MATCH(ROWS($AG$2:AG736),$AG$2:$AG$1001,0),0), INDEX($AN$1004:$BO$1004,1,MATCH(COLUMNS($AN$1006:BK1006),$AN$1006:$BO$1006,0)))),"Fix")))</f>
        <v>0</v>
      </c>
      <c r="Z736" s="4">
        <f>IF(OR(INDEX($AH$2:$AH$1001,MATCH(ROWS($AG$2:AG736),$AG$2:$AG$1001,0),1)&gt;=100000,INDEX($AN$1005:$BO$1005,1,MATCH(COLUMNS($AN$1006:BL1006),$AN$1006:$BO$1006,0))&gt;=100000), " ",IF(INDEX($AN$2:$BO$1001,MATCH(ROWS($AG$2:AG736),$AG$2:$AG$1001,0),MATCH(COLUMNS($AN$1006:BL1006),$AN$1006:$BO$1006,0)), HYPERLINK("#",""), HYPERLINK(CONCATENATE("#Metadata!", ADDRESS(INDEX($AI$2:$AI$1001,MATCH(ROWS($AG$2:AG736),$AG$2:$AG$1001,0),0), INDEX($AN$1004:$BO$1004,1,MATCH(COLUMNS($AN$1006:BL1006),$AN$1006:$BO$1006,0)))),"Fix")))</f>
        <v>0</v>
      </c>
      <c r="AA736" s="4">
        <f>IF(OR(INDEX($AH$2:$AH$1001,MATCH(ROWS($AG$2:AG736),$AG$2:$AG$1001,0),1)&gt;=100000,INDEX($AN$1005:$BO$1005,1,MATCH(COLUMNS($AN$1006:BM1006),$AN$1006:$BO$1006,0))&gt;=100000), " ",IF(INDEX($AN$2:$BO$1001,MATCH(ROWS($AG$2:AG736),$AG$2:$AG$1001,0),MATCH(COLUMNS($AN$1006:BM1006),$AN$1006:$BO$1006,0)), HYPERLINK("#",""), HYPERLINK(CONCATENATE("#Metadata!", ADDRESS(INDEX($AI$2:$AI$1001,MATCH(ROWS($AG$2:AG736),$AG$2:$AG$1001,0),0), INDEX($AN$1004:$BO$1004,1,MATCH(COLUMNS($AN$1006:BM1006),$AN$1006:$BO$1006,0)))),"Fix")))</f>
        <v>0</v>
      </c>
      <c r="AB736" s="4">
        <f>IF(OR(INDEX($AH$2:$AH$1001,MATCH(ROWS($AG$2:AG736),$AG$2:$AG$1001,0),1)&gt;=100000,INDEX($AN$1005:$BO$1005,1,MATCH(COLUMNS($AN$1006:BN1006),$AN$1006:$BO$1006,0))&gt;=100000), " ",IF(INDEX($AN$2:$BO$1001,MATCH(ROWS($AG$2:AG736),$AG$2:$AG$1001,0),MATCH(COLUMNS($AN$1006:BN1006),$AN$1006:$BO$1006,0)), HYPERLINK("#",""), HYPERLINK(CONCATENATE("#Metadata!", ADDRESS(INDEX($AI$2:$AI$1001,MATCH(ROWS($AG$2:AG736),$AG$2:$AG$1001,0),0), INDEX($AN$1004:$BO$1004,1,MATCH(COLUMNS($AN$1006:BN1006),$AN$1006:$BO$1006,0)))),"Fix")))</f>
        <v>0</v>
      </c>
      <c r="AC736" s="4">
        <f>IF(OR(INDEX($AH$2:$AH$1001,MATCH(ROWS($AG$2:AG736),$AG$2:$AG$1001,0),1)&gt;=100000,INDEX($AN$1005:$BO$1005,1,MATCH(COLUMNS($AN$1006:BO1006),$AN$1006:$BO$1006,0))&gt;=100000), " ",IF(INDEX($AN$2:$BO$1001,MATCH(ROWS($AG$2:AG736),$AG$2:$AG$1001,0),MATCH(COLUMNS($AN$1006:BO1006),$AN$1006:$BO$1006,0)), HYPERLINK("#",""), HYPERLINK(CONCATENATE("#Metadata!", ADDRESS(INDEX($AI$2:$AI$1001,MATCH(ROWS($AG$2:AG736),$AG$2:$AG$1001,0),0), INDEX($AN$1004:$BO$1004,1,MATCH(COLUMNS($AN$1006:BO1006),$AN$1006:$BO$1006,0)))),"Fix")))</f>
        <v>0</v>
      </c>
      <c r="AG736">
        <v>0</v>
      </c>
      <c r="AH736">
        <v>0</v>
      </c>
      <c r="AI736">
        <v>0</v>
      </c>
      <c r="AJ736">
        <f>IF(AK736,TRUE,AND(AN736:BO736))</f>
        <v>0</v>
      </c>
      <c r="AK736">
        <f>COUNTBLANK(Metadata!B736:AC736)=COLUMNS(Metadata!B736:AC736)</f>
        <v>0</v>
      </c>
      <c r="AL736">
        <v>0</v>
      </c>
      <c r="AN736">
        <f>AND(IF(Metadata!B736="",FALSE,TRUE),COUNTIF(Metadata!B:B, Metadata!B736) = 1,NOT(ISERROR(SUMPRODUCT(SEARCH(MID(Metadata!B736,ROW(INDIRECT("1:"&amp;LEN(Metadata!B736))), 1),"0123456789abcdefghijklmnopqrstuvwxyzABCDEFGHIJKLMNOPQRSTUVWXYZ.")))))</f>
        <v>0</v>
      </c>
      <c r="AO736">
        <f>IF(Metadata!C736="",FALSE,TRUE)</f>
        <v>0</v>
      </c>
      <c r="AP736">
        <f>IF(Metadata!D736="",FALSE,TRUE)</f>
        <v>0</v>
      </c>
      <c r="AQ736">
        <f>OR(AND(IF(Metadata!E736="",FALSE,TRUE),OR(exact(Metadata!E736,"not collected"),exact(Metadata!E736,"not provided"),exact(Metadata!E736,"restricted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R736">
        <f>IF(Metadata!F736="",FALSE,TRUE)</f>
        <v>0</v>
      </c>
      <c r="AS736">
        <f>OR(AND(IF(Metadata!G736="",FALSE,TRUE),OR(exact(Metadata!G736,"not collected"),exact(Metadata!G736,"not provided"))),AND(IF(Metadata!G736="",FALSE,TRUE),OR(exact(Metadata!G736,"TRUE"),exact(Metadata!G736,"FALSE"))))</f>
        <v>0</v>
      </c>
      <c r="AT736">
        <f>OR(AND(IF(Metadata!H736="",FALSE,TRUE),OR(exact(Metadata!H736,"not collected"),exact(Metadata!H736,"not provided"),exact(Metadata!H736,"restricted access"))),AND(IF(Metadata!H736="",FALSE,ISNUMBER(VALUE(Metadata!H736))),Metadata!H736&gt;=-413.0))</f>
        <v>0</v>
      </c>
      <c r="AU736">
        <f>AND(IF(Metadata!I736="",FALSE,TRUE),exact(Metadata!I736,"meters"))</f>
        <v>0</v>
      </c>
      <c r="AV736">
        <f>AND(IF(Metadata!J736="",FALSE,TRUE),OR(exact(Metadata!J736,"Host-associated"),exact(Metadata!J736,"Free-living")))</f>
        <v>0</v>
      </c>
      <c r="AW736">
        <f>AND(IF(Metadata!K736="",FALSE,TRUE),OR(exact(Metadata!K736,"Animal"),exact(Metadata!K736,"Fungus"),exact(Metadata!K736,"Plant"),exact(Metadata!K736,"Saline"),exact(Metadata!K736,"Non-saline")))</f>
        <v>0</v>
      </c>
      <c r="AX736">
        <f>AND(IF(Metadata!L736="",FALSE,TRUE),OR(exact(Metadata!L736,"Plant secretion"),exact(Metadata!L736,"Plant rhizosphere"),exact(Metadata!L736,"Plant surface"),exact(Metadata!L736,"Plant corpus"),exact(Metadata!L736,"Fungus surface"),exact(Metadata!L736,"Fungus corpus"),exact(Metadata!L736,"Animal surface"),exact(Metadata!L736,"Animal proximal gut"),exact(Metadata!L736,"Animal corpus"),exact(Metadata!L736,"Animal distal gut"),exact(Metadata!L736,"Animal secretion"),exact(Metadata!L736,"Sub-surface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Y736">
        <f>IF(Metadata!M736="",FALSE,TRUE)</f>
        <v>0</v>
      </c>
      <c r="AZ736">
        <f>IF(Metadata!N736="",FALSE,TRUE)</f>
        <v>0</v>
      </c>
      <c r="BA736">
        <f>IF(Metadata!O736="",FALSE,TRUE)</f>
        <v>0</v>
      </c>
      <c r="BB736">
        <f>OR(AND(IF(Metadata!P736="",FALSE,TRUE),OR(exact(Metadata!P736,"not collected"),exact(Metadata!P736,"not provided"),exact(Metadata!P736,"restricted access"))),AND(IF(Metadata!P736="",FALSE,TRUE),OR(exact(Metadata!P736,"air"),exact(Metadata!P736,"built environment"),exact(Metadata!P736,"host-associated"),exact(Metadata!P736,"human-associated"),exact(Metadata!P736,"human-skin"),exact(Metadata!P736,"human-oral"),exact(Metadata!P736,"human-gut"),exact(Metadata!P736,"human-vaginal"),exact(Metadata!P736,"microbial mat/biofilm"),exact(Metadata!P736,"misc environment"),exact(Metadata!P736,"plant-associated"),exact(Metadata!P736,"sediment"),exact(Metadata!P736,"soil"),exact(Metadata!P736,"wastewater/sludge"),exact(Metadata!P736,"water"))))</f>
        <v>0</v>
      </c>
      <c r="BC736">
        <f>IF(Metadata!Q736="",FALSE,TRUE)</f>
        <v>0</v>
      </c>
      <c r="BD736">
        <f>IF(Metadata!R736="",FALSE,TRUE)</f>
        <v>0</v>
      </c>
      <c r="BE736">
        <f>OR(AND(IF(Metadata!S736="",FALSE,TRUE),OR(exact(Metadata!S736,"not collected"),exact(Metadata!S736,"not provided"),exact(Metadata!S736,"restricted access"))),AND(IF(Metadata!S736="",FALSE,ISNUMBER(VALUE(Metadata!S736))),Metadata!S736&gt;=-90.00,Metadata!S736&lt;=90.00))</f>
        <v>0</v>
      </c>
      <c r="BF736">
        <f>AND(IF(Metadata!T736="",FALSE,TRUE),exact(Metadata!T736,"Decimal degrees"))</f>
        <v>0</v>
      </c>
      <c r="BG736">
        <f>OR(AND(IF(Metadata!U736="",FALSE,TRUE),OR(exact(Metadata!U736,"not collected"),exact(Metadata!U736,"not provided"),exact(Metadata!U736,"restricted access"))),AND(IF(Metadata!U736="",FALSE,ISNUMBER(VALUE(Metadata!U736))),Metadata!U736&gt;=-180.00,Metadata!U736&lt;=180.00))</f>
        <v>0</v>
      </c>
      <c r="BH736">
        <f>AND(IF(Metadata!V736="",FALSE,TRUE),exact(Metadata!V736,"Decimal degrees"))</f>
        <v>0</v>
      </c>
      <c r="BI736">
        <f>IF(Metadata!W736="",FALSE,TRUE)</f>
        <v>0</v>
      </c>
      <c r="BJ736">
        <f>OR(AND(IF(Metadata!X736="",FALSE,TRUE),OR(exact(Metadata!X736,"not collected"),exact(Metadata!X736,"not provided"),exact(Metadata!X736,"restricted access"))),AND(IF(Metadata!X736="",FALSE,TRUE),OR(exact(Metadata!X736,"TRUE"),exact(Metadata!X736,"FALSE"))))</f>
        <v>0</v>
      </c>
      <c r="BK736">
        <f>AND(IF(Metadata!Y736="",FALSE,TRUE),exact(Metadata!Y736,"other"))</f>
        <v>0</v>
      </c>
      <c r="BL736">
        <f>IF(Metadata!Z736="",FALSE,TRUE)</f>
        <v>0</v>
      </c>
      <c r="BM736">
        <f>OR(AND(IF(Metadata!AA736="",FALSE,TRUE),OR(exact(Metadata!AA736,"not collected"),exact(Metadata!AA736,"not provided"))),AND(IF(Metadata!AA736="",FALSE,IF(ISERROR(INT(Metadata!AA736)),FALSE,INT(Metadata!AA736)=Metadata!AA736)),Metadata!AA736&gt;0))</f>
        <v>0</v>
      </c>
      <c r="BN736">
        <f>AND(IF(Metadata!AB736="",FALSE,TRUE),exact(Metadata!AB736,"Not applicable"))</f>
        <v>0</v>
      </c>
      <c r="BO736">
        <f>IF(Metadata!AC736="",FALSE,TRUE)</f>
        <v>0</v>
      </c>
    </row>
    <row r="737" spans="1:67">
      <c r="A737" s="5">
        <f>IF(B737=" "," ",HYPERLINK(CONCATENATE("#metadata!",ADDRESS(INDEX($AI$2:$AI$1001,MATCH(ROWS($AG$2:AG737),$AG$2:$AG$1001,0),0),1)),INDEX($AL$2:$AL$1001,MATCH(ROWS($AG$2:AG737),$AG$2:$AG$1001,0),0)))</f>
        <v>0</v>
      </c>
      <c r="B737" s="4">
        <f>IF(OR(INDEX($AH$2:$AH$1001,MATCH(ROWS($AG$2:AG737),$AG$2:$AG$1001,0),1)&gt;=100000,INDEX($AN$1005:$BO$1005,1,MATCH(COLUMNS($AN$1006:AN1006),$AN$1006:$BO$1006,0))&gt;=100000), " ",IF(INDEX($AN$2:$BO$1001,MATCH(ROWS($AG$2:AG737),$AG$2:$AG$1001,0),MATCH(COLUMNS($AN$1006:AN1006),$AN$1006:$BO$1006,0)), HYPERLINK("#",""), HYPERLINK(CONCATENATE("#Metadata!", ADDRESS(INDEX($AI$2:$AI$1001,MATCH(ROWS($AG$2:AG737),$AG$2:$AG$1001,0),0), INDEX($AN$1004:$BO$1004,1,MATCH(COLUMNS($AN$1006:AN1006),$AN$1006:$BO$1006,0)))),"Fix")))</f>
        <v>0</v>
      </c>
      <c r="C737" s="4">
        <f>IF(OR(INDEX($AH$2:$AH$1001,MATCH(ROWS($AG$2:AG737),$AG$2:$AG$1001,0),1)&gt;=100000,INDEX($AN$1005:$BO$1005,1,MATCH(COLUMNS($AN$1006:AO1006),$AN$1006:$BO$1006,0))&gt;=100000), " ",IF(INDEX($AN$2:$BO$1001,MATCH(ROWS($AG$2:AG737),$AG$2:$AG$1001,0),MATCH(COLUMNS($AN$1006:AO1006),$AN$1006:$BO$1006,0)), HYPERLINK("#",""), HYPERLINK(CONCATENATE("#Metadata!", ADDRESS(INDEX($AI$2:$AI$1001,MATCH(ROWS($AG$2:AG737),$AG$2:$AG$1001,0),0), INDEX($AN$1004:$BO$1004,1,MATCH(COLUMNS($AN$1006:AO1006),$AN$1006:$BO$1006,0)))),"Fix")))</f>
        <v>0</v>
      </c>
      <c r="D737" s="4">
        <f>IF(OR(INDEX($AH$2:$AH$1001,MATCH(ROWS($AG$2:AG737),$AG$2:$AG$1001,0),1)&gt;=100000,INDEX($AN$1005:$BO$1005,1,MATCH(COLUMNS($AN$1006:AP1006),$AN$1006:$BO$1006,0))&gt;=100000), " ",IF(INDEX($AN$2:$BO$1001,MATCH(ROWS($AG$2:AG737),$AG$2:$AG$1001,0),MATCH(COLUMNS($AN$1006:AP1006),$AN$1006:$BO$1006,0)), HYPERLINK("#",""), HYPERLINK(CONCATENATE("#Metadata!", ADDRESS(INDEX($AI$2:$AI$1001,MATCH(ROWS($AG$2:AG737),$AG$2:$AG$1001,0),0), INDEX($AN$1004:$BO$1004,1,MATCH(COLUMNS($AN$1006:AP1006),$AN$1006:$BO$1006,0)))),"Fix")))</f>
        <v>0</v>
      </c>
      <c r="E737" s="4">
        <f>IF(OR(INDEX($AH$2:$AH$1001,MATCH(ROWS($AG$2:AG737),$AG$2:$AG$1001,0),1)&gt;=100000,INDEX($AN$1005:$BO$1005,1,MATCH(COLUMNS($AN$1006:AQ1006),$AN$1006:$BO$1006,0))&gt;=100000), " ",IF(INDEX($AN$2:$BO$1001,MATCH(ROWS($AG$2:AG737),$AG$2:$AG$1001,0),MATCH(COLUMNS($AN$1006:AQ1006),$AN$1006:$BO$1006,0)), HYPERLINK("#",""), HYPERLINK(CONCATENATE("#Metadata!", ADDRESS(INDEX($AI$2:$AI$1001,MATCH(ROWS($AG$2:AG737),$AG$2:$AG$1001,0),0), INDEX($AN$1004:$BO$1004,1,MATCH(COLUMNS($AN$1006:AQ1006),$AN$1006:$BO$1006,0)))),"Fix")))</f>
        <v>0</v>
      </c>
      <c r="F737" s="4">
        <f>IF(OR(INDEX($AH$2:$AH$1001,MATCH(ROWS($AG$2:AG737),$AG$2:$AG$1001,0),1)&gt;=100000,INDEX($AN$1005:$BO$1005,1,MATCH(COLUMNS($AN$1006:AR1006),$AN$1006:$BO$1006,0))&gt;=100000), " ",IF(INDEX($AN$2:$BO$1001,MATCH(ROWS($AG$2:AG737),$AG$2:$AG$1001,0),MATCH(COLUMNS($AN$1006:AR1006),$AN$1006:$BO$1006,0)), HYPERLINK("#",""), HYPERLINK(CONCATENATE("#Metadata!", ADDRESS(INDEX($AI$2:$AI$1001,MATCH(ROWS($AG$2:AG737),$AG$2:$AG$1001,0),0), INDEX($AN$1004:$BO$1004,1,MATCH(COLUMNS($AN$1006:AR1006),$AN$1006:$BO$1006,0)))),"Fix")))</f>
        <v>0</v>
      </c>
      <c r="G737" s="4">
        <f>IF(OR(INDEX($AH$2:$AH$1001,MATCH(ROWS($AG$2:AG737),$AG$2:$AG$1001,0),1)&gt;=100000,INDEX($AN$1005:$BO$1005,1,MATCH(COLUMNS($AN$1006:AS1006),$AN$1006:$BO$1006,0))&gt;=100000), " ",IF(INDEX($AN$2:$BO$1001,MATCH(ROWS($AG$2:AG737),$AG$2:$AG$1001,0),MATCH(COLUMNS($AN$1006:AS1006),$AN$1006:$BO$1006,0)), HYPERLINK("#",""), HYPERLINK(CONCATENATE("#Metadata!", ADDRESS(INDEX($AI$2:$AI$1001,MATCH(ROWS($AG$2:AG737),$AG$2:$AG$1001,0),0), INDEX($AN$1004:$BO$1004,1,MATCH(COLUMNS($AN$1006:AS1006),$AN$1006:$BO$1006,0)))),"Fix")))</f>
        <v>0</v>
      </c>
      <c r="H737" s="4">
        <f>IF(OR(INDEX($AH$2:$AH$1001,MATCH(ROWS($AG$2:AG737),$AG$2:$AG$1001,0),1)&gt;=100000,INDEX($AN$1005:$BO$1005,1,MATCH(COLUMNS($AN$1006:AT1006),$AN$1006:$BO$1006,0))&gt;=100000), " ",IF(INDEX($AN$2:$BO$1001,MATCH(ROWS($AG$2:AG737),$AG$2:$AG$1001,0),MATCH(COLUMNS($AN$1006:AT1006),$AN$1006:$BO$1006,0)), HYPERLINK("#",""), HYPERLINK(CONCATENATE("#Metadata!", ADDRESS(INDEX($AI$2:$AI$1001,MATCH(ROWS($AG$2:AG737),$AG$2:$AG$1001,0),0), INDEX($AN$1004:$BO$1004,1,MATCH(COLUMNS($AN$1006:AT1006),$AN$1006:$BO$1006,0)))),"Fix")))</f>
        <v>0</v>
      </c>
      <c r="I737" s="4">
        <f>IF(OR(INDEX($AH$2:$AH$1001,MATCH(ROWS($AG$2:AG737),$AG$2:$AG$1001,0),1)&gt;=100000,INDEX($AN$1005:$BO$1005,1,MATCH(COLUMNS($AN$1006:AU1006),$AN$1006:$BO$1006,0))&gt;=100000), " ",IF(INDEX($AN$2:$BO$1001,MATCH(ROWS($AG$2:AG737),$AG$2:$AG$1001,0),MATCH(COLUMNS($AN$1006:AU1006),$AN$1006:$BO$1006,0)), HYPERLINK("#",""), HYPERLINK(CONCATENATE("#Metadata!", ADDRESS(INDEX($AI$2:$AI$1001,MATCH(ROWS($AG$2:AG737),$AG$2:$AG$1001,0),0), INDEX($AN$1004:$BO$1004,1,MATCH(COLUMNS($AN$1006:AU1006),$AN$1006:$BO$1006,0)))),"Fix")))</f>
        <v>0</v>
      </c>
      <c r="J737" s="4">
        <f>IF(OR(INDEX($AH$2:$AH$1001,MATCH(ROWS($AG$2:AG737),$AG$2:$AG$1001,0),1)&gt;=100000,INDEX($AN$1005:$BO$1005,1,MATCH(COLUMNS($AN$1006:AV1006),$AN$1006:$BO$1006,0))&gt;=100000), " ",IF(INDEX($AN$2:$BO$1001,MATCH(ROWS($AG$2:AG737),$AG$2:$AG$1001,0),MATCH(COLUMNS($AN$1006:AV1006),$AN$1006:$BO$1006,0)), HYPERLINK("#",""), HYPERLINK(CONCATENATE("#Metadata!", ADDRESS(INDEX($AI$2:$AI$1001,MATCH(ROWS($AG$2:AG737),$AG$2:$AG$1001,0),0), INDEX($AN$1004:$BO$1004,1,MATCH(COLUMNS($AN$1006:AV1006),$AN$1006:$BO$1006,0)))),"Fix")))</f>
        <v>0</v>
      </c>
      <c r="K737" s="4">
        <f>IF(OR(INDEX($AH$2:$AH$1001,MATCH(ROWS($AG$2:AG737),$AG$2:$AG$1001,0),1)&gt;=100000,INDEX($AN$1005:$BO$1005,1,MATCH(COLUMNS($AN$1006:AW1006),$AN$1006:$BO$1006,0))&gt;=100000), " ",IF(INDEX($AN$2:$BO$1001,MATCH(ROWS($AG$2:AG737),$AG$2:$AG$1001,0),MATCH(COLUMNS($AN$1006:AW1006),$AN$1006:$BO$1006,0)), HYPERLINK("#",""), HYPERLINK(CONCATENATE("#Metadata!", ADDRESS(INDEX($AI$2:$AI$1001,MATCH(ROWS($AG$2:AG737),$AG$2:$AG$1001,0),0), INDEX($AN$1004:$BO$1004,1,MATCH(COLUMNS($AN$1006:AW1006),$AN$1006:$BO$1006,0)))),"Fix")))</f>
        <v>0</v>
      </c>
      <c r="L737" s="4">
        <f>IF(OR(INDEX($AH$2:$AH$1001,MATCH(ROWS($AG$2:AG737),$AG$2:$AG$1001,0),1)&gt;=100000,INDEX($AN$1005:$BO$1005,1,MATCH(COLUMNS($AN$1006:AX1006),$AN$1006:$BO$1006,0))&gt;=100000), " ",IF(INDEX($AN$2:$BO$1001,MATCH(ROWS($AG$2:AG737),$AG$2:$AG$1001,0),MATCH(COLUMNS($AN$1006:AX1006),$AN$1006:$BO$1006,0)), HYPERLINK("#",""), HYPERLINK(CONCATENATE("#Metadata!", ADDRESS(INDEX($AI$2:$AI$1001,MATCH(ROWS($AG$2:AG737),$AG$2:$AG$1001,0),0), INDEX($AN$1004:$BO$1004,1,MATCH(COLUMNS($AN$1006:AX1006),$AN$1006:$BO$1006,0)))),"Fix")))</f>
        <v>0</v>
      </c>
      <c r="M737" s="4">
        <f>IF(OR(INDEX($AH$2:$AH$1001,MATCH(ROWS($AG$2:AG737),$AG$2:$AG$1001,0),1)&gt;=100000,INDEX($AN$1005:$BO$1005,1,MATCH(COLUMNS($AN$1006:AY1006),$AN$1006:$BO$1006,0))&gt;=100000), " ",IF(INDEX($AN$2:$BO$1001,MATCH(ROWS($AG$2:AG737),$AG$2:$AG$1001,0),MATCH(COLUMNS($AN$1006:AY1006),$AN$1006:$BO$1006,0)), HYPERLINK("#",""), HYPERLINK(CONCATENATE("#Metadata!", ADDRESS(INDEX($AI$2:$AI$1001,MATCH(ROWS($AG$2:AG737),$AG$2:$AG$1001,0),0), INDEX($AN$1004:$BO$1004,1,MATCH(COLUMNS($AN$1006:AY1006),$AN$1006:$BO$1006,0)))),"Fix")))</f>
        <v>0</v>
      </c>
      <c r="N737" s="4">
        <f>IF(OR(INDEX($AH$2:$AH$1001,MATCH(ROWS($AG$2:AG737),$AG$2:$AG$1001,0),1)&gt;=100000,INDEX($AN$1005:$BO$1005,1,MATCH(COLUMNS($AN$1006:AZ1006),$AN$1006:$BO$1006,0))&gt;=100000), " ",IF(INDEX($AN$2:$BO$1001,MATCH(ROWS($AG$2:AG737),$AG$2:$AG$1001,0),MATCH(COLUMNS($AN$1006:AZ1006),$AN$1006:$BO$1006,0)), HYPERLINK("#",""), HYPERLINK(CONCATENATE("#Metadata!", ADDRESS(INDEX($AI$2:$AI$1001,MATCH(ROWS($AG$2:AG737),$AG$2:$AG$1001,0),0), INDEX($AN$1004:$BO$1004,1,MATCH(COLUMNS($AN$1006:AZ1006),$AN$1006:$BO$1006,0)))),"Fix")))</f>
        <v>0</v>
      </c>
      <c r="O737" s="4">
        <f>IF(OR(INDEX($AH$2:$AH$1001,MATCH(ROWS($AG$2:AG737),$AG$2:$AG$1001,0),1)&gt;=100000,INDEX($AN$1005:$BO$1005,1,MATCH(COLUMNS($AN$1006:BA1006),$AN$1006:$BO$1006,0))&gt;=100000), " ",IF(INDEX($AN$2:$BO$1001,MATCH(ROWS($AG$2:AG737),$AG$2:$AG$1001,0),MATCH(COLUMNS($AN$1006:BA1006),$AN$1006:$BO$1006,0)), HYPERLINK("#",""), HYPERLINK(CONCATENATE("#Metadata!", ADDRESS(INDEX($AI$2:$AI$1001,MATCH(ROWS($AG$2:AG737),$AG$2:$AG$1001,0),0), INDEX($AN$1004:$BO$1004,1,MATCH(COLUMNS($AN$1006:BA1006),$AN$1006:$BO$1006,0)))),"Fix")))</f>
        <v>0</v>
      </c>
      <c r="P737" s="4">
        <f>IF(OR(INDEX($AH$2:$AH$1001,MATCH(ROWS($AG$2:AG737),$AG$2:$AG$1001,0),1)&gt;=100000,INDEX($AN$1005:$BO$1005,1,MATCH(COLUMNS($AN$1006:BB1006),$AN$1006:$BO$1006,0))&gt;=100000), " ",IF(INDEX($AN$2:$BO$1001,MATCH(ROWS($AG$2:AG737),$AG$2:$AG$1001,0),MATCH(COLUMNS($AN$1006:BB1006),$AN$1006:$BO$1006,0)), HYPERLINK("#",""), HYPERLINK(CONCATENATE("#Metadata!", ADDRESS(INDEX($AI$2:$AI$1001,MATCH(ROWS($AG$2:AG737),$AG$2:$AG$1001,0),0), INDEX($AN$1004:$BO$1004,1,MATCH(COLUMNS($AN$1006:BB1006),$AN$1006:$BO$1006,0)))),"Fix")))</f>
        <v>0</v>
      </c>
      <c r="Q737" s="4">
        <f>IF(OR(INDEX($AH$2:$AH$1001,MATCH(ROWS($AG$2:AG737),$AG$2:$AG$1001,0),1)&gt;=100000,INDEX($AN$1005:$BO$1005,1,MATCH(COLUMNS($AN$1006:BC1006),$AN$1006:$BO$1006,0))&gt;=100000), " ",IF(INDEX($AN$2:$BO$1001,MATCH(ROWS($AG$2:AG737),$AG$2:$AG$1001,0),MATCH(COLUMNS($AN$1006:BC1006),$AN$1006:$BO$1006,0)), HYPERLINK("#",""), HYPERLINK(CONCATENATE("#Metadata!", ADDRESS(INDEX($AI$2:$AI$1001,MATCH(ROWS($AG$2:AG737),$AG$2:$AG$1001,0),0), INDEX($AN$1004:$BO$1004,1,MATCH(COLUMNS($AN$1006:BC1006),$AN$1006:$BO$1006,0)))),"Fix")))</f>
        <v>0</v>
      </c>
      <c r="R737" s="4">
        <f>IF(OR(INDEX($AH$2:$AH$1001,MATCH(ROWS($AG$2:AG737),$AG$2:$AG$1001,0),1)&gt;=100000,INDEX($AN$1005:$BO$1005,1,MATCH(COLUMNS($AN$1006:BD1006),$AN$1006:$BO$1006,0))&gt;=100000), " ",IF(INDEX($AN$2:$BO$1001,MATCH(ROWS($AG$2:AG737),$AG$2:$AG$1001,0),MATCH(COLUMNS($AN$1006:BD1006),$AN$1006:$BO$1006,0)), HYPERLINK("#",""), HYPERLINK(CONCATENATE("#Metadata!", ADDRESS(INDEX($AI$2:$AI$1001,MATCH(ROWS($AG$2:AG737),$AG$2:$AG$1001,0),0), INDEX($AN$1004:$BO$1004,1,MATCH(COLUMNS($AN$1006:BD1006),$AN$1006:$BO$1006,0)))),"Fix")))</f>
        <v>0</v>
      </c>
      <c r="S737" s="4">
        <f>IF(OR(INDEX($AH$2:$AH$1001,MATCH(ROWS($AG$2:AG737),$AG$2:$AG$1001,0),1)&gt;=100000,INDEX($AN$1005:$BO$1005,1,MATCH(COLUMNS($AN$1006:BE1006),$AN$1006:$BO$1006,0))&gt;=100000), " ",IF(INDEX($AN$2:$BO$1001,MATCH(ROWS($AG$2:AG737),$AG$2:$AG$1001,0),MATCH(COLUMNS($AN$1006:BE1006),$AN$1006:$BO$1006,0)), HYPERLINK("#",""), HYPERLINK(CONCATENATE("#Metadata!", ADDRESS(INDEX($AI$2:$AI$1001,MATCH(ROWS($AG$2:AG737),$AG$2:$AG$1001,0),0), INDEX($AN$1004:$BO$1004,1,MATCH(COLUMNS($AN$1006:BE1006),$AN$1006:$BO$1006,0)))),"Fix")))</f>
        <v>0</v>
      </c>
      <c r="T737" s="4">
        <f>IF(OR(INDEX($AH$2:$AH$1001,MATCH(ROWS($AG$2:AG737),$AG$2:$AG$1001,0),1)&gt;=100000,INDEX($AN$1005:$BO$1005,1,MATCH(COLUMNS($AN$1006:BF1006),$AN$1006:$BO$1006,0))&gt;=100000), " ",IF(INDEX($AN$2:$BO$1001,MATCH(ROWS($AG$2:AG737),$AG$2:$AG$1001,0),MATCH(COLUMNS($AN$1006:BF1006),$AN$1006:$BO$1006,0)), HYPERLINK("#",""), HYPERLINK(CONCATENATE("#Metadata!", ADDRESS(INDEX($AI$2:$AI$1001,MATCH(ROWS($AG$2:AG737),$AG$2:$AG$1001,0),0), INDEX($AN$1004:$BO$1004,1,MATCH(COLUMNS($AN$1006:BF1006),$AN$1006:$BO$1006,0)))),"Fix")))</f>
        <v>0</v>
      </c>
      <c r="U737" s="4">
        <f>IF(OR(INDEX($AH$2:$AH$1001,MATCH(ROWS($AG$2:AG737),$AG$2:$AG$1001,0),1)&gt;=100000,INDEX($AN$1005:$BO$1005,1,MATCH(COLUMNS($AN$1006:BG1006),$AN$1006:$BO$1006,0))&gt;=100000), " ",IF(INDEX($AN$2:$BO$1001,MATCH(ROWS($AG$2:AG737),$AG$2:$AG$1001,0),MATCH(COLUMNS($AN$1006:BG1006),$AN$1006:$BO$1006,0)), HYPERLINK("#",""), HYPERLINK(CONCATENATE("#Metadata!", ADDRESS(INDEX($AI$2:$AI$1001,MATCH(ROWS($AG$2:AG737),$AG$2:$AG$1001,0),0), INDEX($AN$1004:$BO$1004,1,MATCH(COLUMNS($AN$1006:BG1006),$AN$1006:$BO$1006,0)))),"Fix")))</f>
        <v>0</v>
      </c>
      <c r="V737" s="4">
        <f>IF(OR(INDEX($AH$2:$AH$1001,MATCH(ROWS($AG$2:AG737),$AG$2:$AG$1001,0),1)&gt;=100000,INDEX($AN$1005:$BO$1005,1,MATCH(COLUMNS($AN$1006:BH1006),$AN$1006:$BO$1006,0))&gt;=100000), " ",IF(INDEX($AN$2:$BO$1001,MATCH(ROWS($AG$2:AG737),$AG$2:$AG$1001,0),MATCH(COLUMNS($AN$1006:BH1006),$AN$1006:$BO$1006,0)), HYPERLINK("#",""), HYPERLINK(CONCATENATE("#Metadata!", ADDRESS(INDEX($AI$2:$AI$1001,MATCH(ROWS($AG$2:AG737),$AG$2:$AG$1001,0),0), INDEX($AN$1004:$BO$1004,1,MATCH(COLUMNS($AN$1006:BH1006),$AN$1006:$BO$1006,0)))),"Fix")))</f>
        <v>0</v>
      </c>
      <c r="W737" s="4">
        <f>IF(OR(INDEX($AH$2:$AH$1001,MATCH(ROWS($AG$2:AG737),$AG$2:$AG$1001,0),1)&gt;=100000,INDEX($AN$1005:$BO$1005,1,MATCH(COLUMNS($AN$1006:BI1006),$AN$1006:$BO$1006,0))&gt;=100000), " ",IF(INDEX($AN$2:$BO$1001,MATCH(ROWS($AG$2:AG737),$AG$2:$AG$1001,0),MATCH(COLUMNS($AN$1006:BI1006),$AN$1006:$BO$1006,0)), HYPERLINK("#",""), HYPERLINK(CONCATENATE("#Metadata!", ADDRESS(INDEX($AI$2:$AI$1001,MATCH(ROWS($AG$2:AG737),$AG$2:$AG$1001,0),0), INDEX($AN$1004:$BO$1004,1,MATCH(COLUMNS($AN$1006:BI1006),$AN$1006:$BO$1006,0)))),"Fix")))</f>
        <v>0</v>
      </c>
      <c r="X737" s="4">
        <f>IF(OR(INDEX($AH$2:$AH$1001,MATCH(ROWS($AG$2:AG737),$AG$2:$AG$1001,0),1)&gt;=100000,INDEX($AN$1005:$BO$1005,1,MATCH(COLUMNS($AN$1006:BJ1006),$AN$1006:$BO$1006,0))&gt;=100000), " ",IF(INDEX($AN$2:$BO$1001,MATCH(ROWS($AG$2:AG737),$AG$2:$AG$1001,0),MATCH(COLUMNS($AN$1006:BJ1006),$AN$1006:$BO$1006,0)), HYPERLINK("#",""), HYPERLINK(CONCATENATE("#Metadata!", ADDRESS(INDEX($AI$2:$AI$1001,MATCH(ROWS($AG$2:AG737),$AG$2:$AG$1001,0),0), INDEX($AN$1004:$BO$1004,1,MATCH(COLUMNS($AN$1006:BJ1006),$AN$1006:$BO$1006,0)))),"Fix")))</f>
        <v>0</v>
      </c>
      <c r="Y737" s="4">
        <f>IF(OR(INDEX($AH$2:$AH$1001,MATCH(ROWS($AG$2:AG737),$AG$2:$AG$1001,0),1)&gt;=100000,INDEX($AN$1005:$BO$1005,1,MATCH(COLUMNS($AN$1006:BK1006),$AN$1006:$BO$1006,0))&gt;=100000), " ",IF(INDEX($AN$2:$BO$1001,MATCH(ROWS($AG$2:AG737),$AG$2:$AG$1001,0),MATCH(COLUMNS($AN$1006:BK1006),$AN$1006:$BO$1006,0)), HYPERLINK("#",""), HYPERLINK(CONCATENATE("#Metadata!", ADDRESS(INDEX($AI$2:$AI$1001,MATCH(ROWS($AG$2:AG737),$AG$2:$AG$1001,0),0), INDEX($AN$1004:$BO$1004,1,MATCH(COLUMNS($AN$1006:BK1006),$AN$1006:$BO$1006,0)))),"Fix")))</f>
        <v>0</v>
      </c>
      <c r="Z737" s="4">
        <f>IF(OR(INDEX($AH$2:$AH$1001,MATCH(ROWS($AG$2:AG737),$AG$2:$AG$1001,0),1)&gt;=100000,INDEX($AN$1005:$BO$1005,1,MATCH(COLUMNS($AN$1006:BL1006),$AN$1006:$BO$1006,0))&gt;=100000), " ",IF(INDEX($AN$2:$BO$1001,MATCH(ROWS($AG$2:AG737),$AG$2:$AG$1001,0),MATCH(COLUMNS($AN$1006:BL1006),$AN$1006:$BO$1006,0)), HYPERLINK("#",""), HYPERLINK(CONCATENATE("#Metadata!", ADDRESS(INDEX($AI$2:$AI$1001,MATCH(ROWS($AG$2:AG737),$AG$2:$AG$1001,0),0), INDEX($AN$1004:$BO$1004,1,MATCH(COLUMNS($AN$1006:BL1006),$AN$1006:$BO$1006,0)))),"Fix")))</f>
        <v>0</v>
      </c>
      <c r="AA737" s="4">
        <f>IF(OR(INDEX($AH$2:$AH$1001,MATCH(ROWS($AG$2:AG737),$AG$2:$AG$1001,0),1)&gt;=100000,INDEX($AN$1005:$BO$1005,1,MATCH(COLUMNS($AN$1006:BM1006),$AN$1006:$BO$1006,0))&gt;=100000), " ",IF(INDEX($AN$2:$BO$1001,MATCH(ROWS($AG$2:AG737),$AG$2:$AG$1001,0),MATCH(COLUMNS($AN$1006:BM1006),$AN$1006:$BO$1006,0)), HYPERLINK("#",""), HYPERLINK(CONCATENATE("#Metadata!", ADDRESS(INDEX($AI$2:$AI$1001,MATCH(ROWS($AG$2:AG737),$AG$2:$AG$1001,0),0), INDEX($AN$1004:$BO$1004,1,MATCH(COLUMNS($AN$1006:BM1006),$AN$1006:$BO$1006,0)))),"Fix")))</f>
        <v>0</v>
      </c>
      <c r="AB737" s="4">
        <f>IF(OR(INDEX($AH$2:$AH$1001,MATCH(ROWS($AG$2:AG737),$AG$2:$AG$1001,0),1)&gt;=100000,INDEX($AN$1005:$BO$1005,1,MATCH(COLUMNS($AN$1006:BN1006),$AN$1006:$BO$1006,0))&gt;=100000), " ",IF(INDEX($AN$2:$BO$1001,MATCH(ROWS($AG$2:AG737),$AG$2:$AG$1001,0),MATCH(COLUMNS($AN$1006:BN1006),$AN$1006:$BO$1006,0)), HYPERLINK("#",""), HYPERLINK(CONCATENATE("#Metadata!", ADDRESS(INDEX($AI$2:$AI$1001,MATCH(ROWS($AG$2:AG737),$AG$2:$AG$1001,0),0), INDEX($AN$1004:$BO$1004,1,MATCH(COLUMNS($AN$1006:BN1006),$AN$1006:$BO$1006,0)))),"Fix")))</f>
        <v>0</v>
      </c>
      <c r="AC737" s="4">
        <f>IF(OR(INDEX($AH$2:$AH$1001,MATCH(ROWS($AG$2:AG737),$AG$2:$AG$1001,0),1)&gt;=100000,INDEX($AN$1005:$BO$1005,1,MATCH(COLUMNS($AN$1006:BO1006),$AN$1006:$BO$1006,0))&gt;=100000), " ",IF(INDEX($AN$2:$BO$1001,MATCH(ROWS($AG$2:AG737),$AG$2:$AG$1001,0),MATCH(COLUMNS($AN$1006:BO1006),$AN$1006:$BO$1006,0)), HYPERLINK("#",""), HYPERLINK(CONCATENATE("#Metadata!", ADDRESS(INDEX($AI$2:$AI$1001,MATCH(ROWS($AG$2:AG737),$AG$2:$AG$1001,0),0), INDEX($AN$1004:$BO$1004,1,MATCH(COLUMNS($AN$1006:BO1006),$AN$1006:$BO$1006,0)))),"Fix")))</f>
        <v>0</v>
      </c>
      <c r="AG737">
        <v>0</v>
      </c>
      <c r="AH737">
        <v>0</v>
      </c>
      <c r="AI737">
        <v>0</v>
      </c>
      <c r="AJ737">
        <f>IF(AK737,TRUE,AND(AN737:BO737))</f>
        <v>0</v>
      </c>
      <c r="AK737">
        <f>COUNTBLANK(Metadata!B737:AC737)=COLUMNS(Metadata!B737:AC737)</f>
        <v>0</v>
      </c>
      <c r="AL737">
        <v>0</v>
      </c>
      <c r="AN737">
        <f>AND(IF(Metadata!B737="",FALSE,TRUE),COUNTIF(Metadata!B:B, Metadata!B737) = 1,NOT(ISERROR(SUMPRODUCT(SEARCH(MID(Metadata!B737,ROW(INDIRECT("1:"&amp;LEN(Metadata!B737))), 1),"0123456789abcdefghijklmnopqrstuvwxyzABCDEFGHIJKLMNOPQRSTUVWXYZ.")))))</f>
        <v>0</v>
      </c>
      <c r="AO737">
        <f>IF(Metadata!C737="",FALSE,TRUE)</f>
        <v>0</v>
      </c>
      <c r="AP737">
        <f>IF(Metadata!D737="",FALSE,TRUE)</f>
        <v>0</v>
      </c>
      <c r="AQ737">
        <f>OR(AND(IF(Metadata!E737="",FALSE,TRUE),OR(exact(Metadata!E737,"not collected"),exact(Metadata!E737,"not provided"),exact(Metadata!E737,"restricted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R737">
        <f>IF(Metadata!F737="",FALSE,TRUE)</f>
        <v>0</v>
      </c>
      <c r="AS737">
        <f>OR(AND(IF(Metadata!G737="",FALSE,TRUE),OR(exact(Metadata!G737,"not collected"),exact(Metadata!G737,"not provided"))),AND(IF(Metadata!G737="",FALSE,TRUE),OR(exact(Metadata!G737,"TRUE"),exact(Metadata!G737,"FALSE"))))</f>
        <v>0</v>
      </c>
      <c r="AT737">
        <f>OR(AND(IF(Metadata!H737="",FALSE,TRUE),OR(exact(Metadata!H737,"not collected"),exact(Metadata!H737,"not provided"),exact(Metadata!H737,"restricted access"))),AND(IF(Metadata!H737="",FALSE,ISNUMBER(VALUE(Metadata!H737))),Metadata!H737&gt;=-413.0))</f>
        <v>0</v>
      </c>
      <c r="AU737">
        <f>AND(IF(Metadata!I737="",FALSE,TRUE),exact(Metadata!I737,"meters"))</f>
        <v>0</v>
      </c>
      <c r="AV737">
        <f>AND(IF(Metadata!J737="",FALSE,TRUE),OR(exact(Metadata!J737,"Host-associated"),exact(Metadata!J737,"Free-living")))</f>
        <v>0</v>
      </c>
      <c r="AW737">
        <f>AND(IF(Metadata!K737="",FALSE,TRUE),OR(exact(Metadata!K737,"Animal"),exact(Metadata!K737,"Fungus"),exact(Metadata!K737,"Plant"),exact(Metadata!K737,"Saline"),exact(Metadata!K737,"Non-saline")))</f>
        <v>0</v>
      </c>
      <c r="AX737">
        <f>AND(IF(Metadata!L737="",FALSE,TRUE),OR(exact(Metadata!L737,"Plant secretion"),exact(Metadata!L737,"Plant rhizosphere"),exact(Metadata!L737,"Plant surface"),exact(Metadata!L737,"Plant corpus"),exact(Metadata!L737,"Fungus surface"),exact(Metadata!L737,"Fungus corpus"),exact(Metadata!L737,"Animal surface"),exact(Metadata!L737,"Animal proximal gut"),exact(Metadata!L737,"Animal corpus"),exact(Metadata!L737,"Animal distal gut"),exact(Metadata!L737,"Animal secretion"),exact(Metadata!L737,"Sub-surface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Y737">
        <f>IF(Metadata!M737="",FALSE,TRUE)</f>
        <v>0</v>
      </c>
      <c r="AZ737">
        <f>IF(Metadata!N737="",FALSE,TRUE)</f>
        <v>0</v>
      </c>
      <c r="BA737">
        <f>IF(Metadata!O737="",FALSE,TRUE)</f>
        <v>0</v>
      </c>
      <c r="BB737">
        <f>OR(AND(IF(Metadata!P737="",FALSE,TRUE),OR(exact(Metadata!P737,"not collected"),exact(Metadata!P737,"not provided"),exact(Metadata!P737,"restricted access"))),AND(IF(Metadata!P737="",FALSE,TRUE),OR(exact(Metadata!P737,"air"),exact(Metadata!P737,"built environment"),exact(Metadata!P737,"host-associated"),exact(Metadata!P737,"human-associated"),exact(Metadata!P737,"human-skin"),exact(Metadata!P737,"human-oral"),exact(Metadata!P737,"human-gut"),exact(Metadata!P737,"human-vaginal"),exact(Metadata!P737,"microbial mat/biofilm"),exact(Metadata!P737,"misc environment"),exact(Metadata!P737,"plant-associated"),exact(Metadata!P737,"sediment"),exact(Metadata!P737,"soil"),exact(Metadata!P737,"wastewater/sludge"),exact(Metadata!P737,"water"))))</f>
        <v>0</v>
      </c>
      <c r="BC737">
        <f>IF(Metadata!Q737="",FALSE,TRUE)</f>
        <v>0</v>
      </c>
      <c r="BD737">
        <f>IF(Metadata!R737="",FALSE,TRUE)</f>
        <v>0</v>
      </c>
      <c r="BE737">
        <f>OR(AND(IF(Metadata!S737="",FALSE,TRUE),OR(exact(Metadata!S737,"not collected"),exact(Metadata!S737,"not provided"),exact(Metadata!S737,"restricted access"))),AND(IF(Metadata!S737="",FALSE,ISNUMBER(VALUE(Metadata!S737))),Metadata!S737&gt;=-90.00,Metadata!S737&lt;=90.00))</f>
        <v>0</v>
      </c>
      <c r="BF737">
        <f>AND(IF(Metadata!T737="",FALSE,TRUE),exact(Metadata!T737,"Decimal degrees"))</f>
        <v>0</v>
      </c>
      <c r="BG737">
        <f>OR(AND(IF(Metadata!U737="",FALSE,TRUE),OR(exact(Metadata!U737,"not collected"),exact(Metadata!U737,"not provided"),exact(Metadata!U737,"restricted access"))),AND(IF(Metadata!U737="",FALSE,ISNUMBER(VALUE(Metadata!U737))),Metadata!U737&gt;=-180.00,Metadata!U737&lt;=180.00))</f>
        <v>0</v>
      </c>
      <c r="BH737">
        <f>AND(IF(Metadata!V737="",FALSE,TRUE),exact(Metadata!V737,"Decimal degrees"))</f>
        <v>0</v>
      </c>
      <c r="BI737">
        <f>IF(Metadata!W737="",FALSE,TRUE)</f>
        <v>0</v>
      </c>
      <c r="BJ737">
        <f>OR(AND(IF(Metadata!X737="",FALSE,TRUE),OR(exact(Metadata!X737,"not collected"),exact(Metadata!X737,"not provided"),exact(Metadata!X737,"restricted access"))),AND(IF(Metadata!X737="",FALSE,TRUE),OR(exact(Metadata!X737,"TRUE"),exact(Metadata!X737,"FALSE"))))</f>
        <v>0</v>
      </c>
      <c r="BK737">
        <f>AND(IF(Metadata!Y737="",FALSE,TRUE),exact(Metadata!Y737,"other"))</f>
        <v>0</v>
      </c>
      <c r="BL737">
        <f>IF(Metadata!Z737="",FALSE,TRUE)</f>
        <v>0</v>
      </c>
      <c r="BM737">
        <f>OR(AND(IF(Metadata!AA737="",FALSE,TRUE),OR(exact(Metadata!AA737,"not collected"),exact(Metadata!AA737,"not provided"))),AND(IF(Metadata!AA737="",FALSE,IF(ISERROR(INT(Metadata!AA737)),FALSE,INT(Metadata!AA737)=Metadata!AA737)),Metadata!AA737&gt;0))</f>
        <v>0</v>
      </c>
      <c r="BN737">
        <f>AND(IF(Metadata!AB737="",FALSE,TRUE),exact(Metadata!AB737,"Not applicable"))</f>
        <v>0</v>
      </c>
      <c r="BO737">
        <f>IF(Metadata!AC737="",FALSE,TRUE)</f>
        <v>0</v>
      </c>
    </row>
    <row r="738" spans="1:67">
      <c r="A738" s="5">
        <f>IF(B738=" "," ",HYPERLINK(CONCATENATE("#metadata!",ADDRESS(INDEX($AI$2:$AI$1001,MATCH(ROWS($AG$2:AG738),$AG$2:$AG$1001,0),0),1)),INDEX($AL$2:$AL$1001,MATCH(ROWS($AG$2:AG738),$AG$2:$AG$1001,0),0)))</f>
        <v>0</v>
      </c>
      <c r="B738" s="4">
        <f>IF(OR(INDEX($AH$2:$AH$1001,MATCH(ROWS($AG$2:AG738),$AG$2:$AG$1001,0),1)&gt;=100000,INDEX($AN$1005:$BO$1005,1,MATCH(COLUMNS($AN$1006:AN1006),$AN$1006:$BO$1006,0))&gt;=100000), " ",IF(INDEX($AN$2:$BO$1001,MATCH(ROWS($AG$2:AG738),$AG$2:$AG$1001,0),MATCH(COLUMNS($AN$1006:AN1006),$AN$1006:$BO$1006,0)), HYPERLINK("#",""), HYPERLINK(CONCATENATE("#Metadata!", ADDRESS(INDEX($AI$2:$AI$1001,MATCH(ROWS($AG$2:AG738),$AG$2:$AG$1001,0),0), INDEX($AN$1004:$BO$1004,1,MATCH(COLUMNS($AN$1006:AN1006),$AN$1006:$BO$1006,0)))),"Fix")))</f>
        <v>0</v>
      </c>
      <c r="C738" s="4">
        <f>IF(OR(INDEX($AH$2:$AH$1001,MATCH(ROWS($AG$2:AG738),$AG$2:$AG$1001,0),1)&gt;=100000,INDEX($AN$1005:$BO$1005,1,MATCH(COLUMNS($AN$1006:AO1006),$AN$1006:$BO$1006,0))&gt;=100000), " ",IF(INDEX($AN$2:$BO$1001,MATCH(ROWS($AG$2:AG738),$AG$2:$AG$1001,0),MATCH(COLUMNS($AN$1006:AO1006),$AN$1006:$BO$1006,0)), HYPERLINK("#",""), HYPERLINK(CONCATENATE("#Metadata!", ADDRESS(INDEX($AI$2:$AI$1001,MATCH(ROWS($AG$2:AG738),$AG$2:$AG$1001,0),0), INDEX($AN$1004:$BO$1004,1,MATCH(COLUMNS($AN$1006:AO1006),$AN$1006:$BO$1006,0)))),"Fix")))</f>
        <v>0</v>
      </c>
      <c r="D738" s="4">
        <f>IF(OR(INDEX($AH$2:$AH$1001,MATCH(ROWS($AG$2:AG738),$AG$2:$AG$1001,0),1)&gt;=100000,INDEX($AN$1005:$BO$1005,1,MATCH(COLUMNS($AN$1006:AP1006),$AN$1006:$BO$1006,0))&gt;=100000), " ",IF(INDEX($AN$2:$BO$1001,MATCH(ROWS($AG$2:AG738),$AG$2:$AG$1001,0),MATCH(COLUMNS($AN$1006:AP1006),$AN$1006:$BO$1006,0)), HYPERLINK("#",""), HYPERLINK(CONCATENATE("#Metadata!", ADDRESS(INDEX($AI$2:$AI$1001,MATCH(ROWS($AG$2:AG738),$AG$2:$AG$1001,0),0), INDEX($AN$1004:$BO$1004,1,MATCH(COLUMNS($AN$1006:AP1006),$AN$1006:$BO$1006,0)))),"Fix")))</f>
        <v>0</v>
      </c>
      <c r="E738" s="4">
        <f>IF(OR(INDEX($AH$2:$AH$1001,MATCH(ROWS($AG$2:AG738),$AG$2:$AG$1001,0),1)&gt;=100000,INDEX($AN$1005:$BO$1005,1,MATCH(COLUMNS($AN$1006:AQ1006),$AN$1006:$BO$1006,0))&gt;=100000), " ",IF(INDEX($AN$2:$BO$1001,MATCH(ROWS($AG$2:AG738),$AG$2:$AG$1001,0),MATCH(COLUMNS($AN$1006:AQ1006),$AN$1006:$BO$1006,0)), HYPERLINK("#",""), HYPERLINK(CONCATENATE("#Metadata!", ADDRESS(INDEX($AI$2:$AI$1001,MATCH(ROWS($AG$2:AG738),$AG$2:$AG$1001,0),0), INDEX($AN$1004:$BO$1004,1,MATCH(COLUMNS($AN$1006:AQ1006),$AN$1006:$BO$1006,0)))),"Fix")))</f>
        <v>0</v>
      </c>
      <c r="F738" s="4">
        <f>IF(OR(INDEX($AH$2:$AH$1001,MATCH(ROWS($AG$2:AG738),$AG$2:$AG$1001,0),1)&gt;=100000,INDEX($AN$1005:$BO$1005,1,MATCH(COLUMNS($AN$1006:AR1006),$AN$1006:$BO$1006,0))&gt;=100000), " ",IF(INDEX($AN$2:$BO$1001,MATCH(ROWS($AG$2:AG738),$AG$2:$AG$1001,0),MATCH(COLUMNS($AN$1006:AR1006),$AN$1006:$BO$1006,0)), HYPERLINK("#",""), HYPERLINK(CONCATENATE("#Metadata!", ADDRESS(INDEX($AI$2:$AI$1001,MATCH(ROWS($AG$2:AG738),$AG$2:$AG$1001,0),0), INDEX($AN$1004:$BO$1004,1,MATCH(COLUMNS($AN$1006:AR1006),$AN$1006:$BO$1006,0)))),"Fix")))</f>
        <v>0</v>
      </c>
      <c r="G738" s="4">
        <f>IF(OR(INDEX($AH$2:$AH$1001,MATCH(ROWS($AG$2:AG738),$AG$2:$AG$1001,0),1)&gt;=100000,INDEX($AN$1005:$BO$1005,1,MATCH(COLUMNS($AN$1006:AS1006),$AN$1006:$BO$1006,0))&gt;=100000), " ",IF(INDEX($AN$2:$BO$1001,MATCH(ROWS($AG$2:AG738),$AG$2:$AG$1001,0),MATCH(COLUMNS($AN$1006:AS1006),$AN$1006:$BO$1006,0)), HYPERLINK("#",""), HYPERLINK(CONCATENATE("#Metadata!", ADDRESS(INDEX($AI$2:$AI$1001,MATCH(ROWS($AG$2:AG738),$AG$2:$AG$1001,0),0), INDEX($AN$1004:$BO$1004,1,MATCH(COLUMNS($AN$1006:AS1006),$AN$1006:$BO$1006,0)))),"Fix")))</f>
        <v>0</v>
      </c>
      <c r="H738" s="4">
        <f>IF(OR(INDEX($AH$2:$AH$1001,MATCH(ROWS($AG$2:AG738),$AG$2:$AG$1001,0),1)&gt;=100000,INDEX($AN$1005:$BO$1005,1,MATCH(COLUMNS($AN$1006:AT1006),$AN$1006:$BO$1006,0))&gt;=100000), " ",IF(INDEX($AN$2:$BO$1001,MATCH(ROWS($AG$2:AG738),$AG$2:$AG$1001,0),MATCH(COLUMNS($AN$1006:AT1006),$AN$1006:$BO$1006,0)), HYPERLINK("#",""), HYPERLINK(CONCATENATE("#Metadata!", ADDRESS(INDEX($AI$2:$AI$1001,MATCH(ROWS($AG$2:AG738),$AG$2:$AG$1001,0),0), INDEX($AN$1004:$BO$1004,1,MATCH(COLUMNS($AN$1006:AT1006),$AN$1006:$BO$1006,0)))),"Fix")))</f>
        <v>0</v>
      </c>
      <c r="I738" s="4">
        <f>IF(OR(INDEX($AH$2:$AH$1001,MATCH(ROWS($AG$2:AG738),$AG$2:$AG$1001,0),1)&gt;=100000,INDEX($AN$1005:$BO$1005,1,MATCH(COLUMNS($AN$1006:AU1006),$AN$1006:$BO$1006,0))&gt;=100000), " ",IF(INDEX($AN$2:$BO$1001,MATCH(ROWS($AG$2:AG738),$AG$2:$AG$1001,0),MATCH(COLUMNS($AN$1006:AU1006),$AN$1006:$BO$1006,0)), HYPERLINK("#",""), HYPERLINK(CONCATENATE("#Metadata!", ADDRESS(INDEX($AI$2:$AI$1001,MATCH(ROWS($AG$2:AG738),$AG$2:$AG$1001,0),0), INDEX($AN$1004:$BO$1004,1,MATCH(COLUMNS($AN$1006:AU1006),$AN$1006:$BO$1006,0)))),"Fix")))</f>
        <v>0</v>
      </c>
      <c r="J738" s="4">
        <f>IF(OR(INDEX($AH$2:$AH$1001,MATCH(ROWS($AG$2:AG738),$AG$2:$AG$1001,0),1)&gt;=100000,INDEX($AN$1005:$BO$1005,1,MATCH(COLUMNS($AN$1006:AV1006),$AN$1006:$BO$1006,0))&gt;=100000), " ",IF(INDEX($AN$2:$BO$1001,MATCH(ROWS($AG$2:AG738),$AG$2:$AG$1001,0),MATCH(COLUMNS($AN$1006:AV1006),$AN$1006:$BO$1006,0)), HYPERLINK("#",""), HYPERLINK(CONCATENATE("#Metadata!", ADDRESS(INDEX($AI$2:$AI$1001,MATCH(ROWS($AG$2:AG738),$AG$2:$AG$1001,0),0), INDEX($AN$1004:$BO$1004,1,MATCH(COLUMNS($AN$1006:AV1006),$AN$1006:$BO$1006,0)))),"Fix")))</f>
        <v>0</v>
      </c>
      <c r="K738" s="4">
        <f>IF(OR(INDEX($AH$2:$AH$1001,MATCH(ROWS($AG$2:AG738),$AG$2:$AG$1001,0),1)&gt;=100000,INDEX($AN$1005:$BO$1005,1,MATCH(COLUMNS($AN$1006:AW1006),$AN$1006:$BO$1006,0))&gt;=100000), " ",IF(INDEX($AN$2:$BO$1001,MATCH(ROWS($AG$2:AG738),$AG$2:$AG$1001,0),MATCH(COLUMNS($AN$1006:AW1006),$AN$1006:$BO$1006,0)), HYPERLINK("#",""), HYPERLINK(CONCATENATE("#Metadata!", ADDRESS(INDEX($AI$2:$AI$1001,MATCH(ROWS($AG$2:AG738),$AG$2:$AG$1001,0),0), INDEX($AN$1004:$BO$1004,1,MATCH(COLUMNS($AN$1006:AW1006),$AN$1006:$BO$1006,0)))),"Fix")))</f>
        <v>0</v>
      </c>
      <c r="L738" s="4">
        <f>IF(OR(INDEX($AH$2:$AH$1001,MATCH(ROWS($AG$2:AG738),$AG$2:$AG$1001,0),1)&gt;=100000,INDEX($AN$1005:$BO$1005,1,MATCH(COLUMNS($AN$1006:AX1006),$AN$1006:$BO$1006,0))&gt;=100000), " ",IF(INDEX($AN$2:$BO$1001,MATCH(ROWS($AG$2:AG738),$AG$2:$AG$1001,0),MATCH(COLUMNS($AN$1006:AX1006),$AN$1006:$BO$1006,0)), HYPERLINK("#",""), HYPERLINK(CONCATENATE("#Metadata!", ADDRESS(INDEX($AI$2:$AI$1001,MATCH(ROWS($AG$2:AG738),$AG$2:$AG$1001,0),0), INDEX($AN$1004:$BO$1004,1,MATCH(COLUMNS($AN$1006:AX1006),$AN$1006:$BO$1006,0)))),"Fix")))</f>
        <v>0</v>
      </c>
      <c r="M738" s="4">
        <f>IF(OR(INDEX($AH$2:$AH$1001,MATCH(ROWS($AG$2:AG738),$AG$2:$AG$1001,0),1)&gt;=100000,INDEX($AN$1005:$BO$1005,1,MATCH(COLUMNS($AN$1006:AY1006),$AN$1006:$BO$1006,0))&gt;=100000), " ",IF(INDEX($AN$2:$BO$1001,MATCH(ROWS($AG$2:AG738),$AG$2:$AG$1001,0),MATCH(COLUMNS($AN$1006:AY1006),$AN$1006:$BO$1006,0)), HYPERLINK("#",""), HYPERLINK(CONCATENATE("#Metadata!", ADDRESS(INDEX($AI$2:$AI$1001,MATCH(ROWS($AG$2:AG738),$AG$2:$AG$1001,0),0), INDEX($AN$1004:$BO$1004,1,MATCH(COLUMNS($AN$1006:AY1006),$AN$1006:$BO$1006,0)))),"Fix")))</f>
        <v>0</v>
      </c>
      <c r="N738" s="4">
        <f>IF(OR(INDEX($AH$2:$AH$1001,MATCH(ROWS($AG$2:AG738),$AG$2:$AG$1001,0),1)&gt;=100000,INDEX($AN$1005:$BO$1005,1,MATCH(COLUMNS($AN$1006:AZ1006),$AN$1006:$BO$1006,0))&gt;=100000), " ",IF(INDEX($AN$2:$BO$1001,MATCH(ROWS($AG$2:AG738),$AG$2:$AG$1001,0),MATCH(COLUMNS($AN$1006:AZ1006),$AN$1006:$BO$1006,0)), HYPERLINK("#",""), HYPERLINK(CONCATENATE("#Metadata!", ADDRESS(INDEX($AI$2:$AI$1001,MATCH(ROWS($AG$2:AG738),$AG$2:$AG$1001,0),0), INDEX($AN$1004:$BO$1004,1,MATCH(COLUMNS($AN$1006:AZ1006),$AN$1006:$BO$1006,0)))),"Fix")))</f>
        <v>0</v>
      </c>
      <c r="O738" s="4">
        <f>IF(OR(INDEX($AH$2:$AH$1001,MATCH(ROWS($AG$2:AG738),$AG$2:$AG$1001,0),1)&gt;=100000,INDEX($AN$1005:$BO$1005,1,MATCH(COLUMNS($AN$1006:BA1006),$AN$1006:$BO$1006,0))&gt;=100000), " ",IF(INDEX($AN$2:$BO$1001,MATCH(ROWS($AG$2:AG738),$AG$2:$AG$1001,0),MATCH(COLUMNS($AN$1006:BA1006),$AN$1006:$BO$1006,0)), HYPERLINK("#",""), HYPERLINK(CONCATENATE("#Metadata!", ADDRESS(INDEX($AI$2:$AI$1001,MATCH(ROWS($AG$2:AG738),$AG$2:$AG$1001,0),0), INDEX($AN$1004:$BO$1004,1,MATCH(COLUMNS($AN$1006:BA1006),$AN$1006:$BO$1006,0)))),"Fix")))</f>
        <v>0</v>
      </c>
      <c r="P738" s="4">
        <f>IF(OR(INDEX($AH$2:$AH$1001,MATCH(ROWS($AG$2:AG738),$AG$2:$AG$1001,0),1)&gt;=100000,INDEX($AN$1005:$BO$1005,1,MATCH(COLUMNS($AN$1006:BB1006),$AN$1006:$BO$1006,0))&gt;=100000), " ",IF(INDEX($AN$2:$BO$1001,MATCH(ROWS($AG$2:AG738),$AG$2:$AG$1001,0),MATCH(COLUMNS($AN$1006:BB1006),$AN$1006:$BO$1006,0)), HYPERLINK("#",""), HYPERLINK(CONCATENATE("#Metadata!", ADDRESS(INDEX($AI$2:$AI$1001,MATCH(ROWS($AG$2:AG738),$AG$2:$AG$1001,0),0), INDEX($AN$1004:$BO$1004,1,MATCH(COLUMNS($AN$1006:BB1006),$AN$1006:$BO$1006,0)))),"Fix")))</f>
        <v>0</v>
      </c>
      <c r="Q738" s="4">
        <f>IF(OR(INDEX($AH$2:$AH$1001,MATCH(ROWS($AG$2:AG738),$AG$2:$AG$1001,0),1)&gt;=100000,INDEX($AN$1005:$BO$1005,1,MATCH(COLUMNS($AN$1006:BC1006),$AN$1006:$BO$1006,0))&gt;=100000), " ",IF(INDEX($AN$2:$BO$1001,MATCH(ROWS($AG$2:AG738),$AG$2:$AG$1001,0),MATCH(COLUMNS($AN$1006:BC1006),$AN$1006:$BO$1006,0)), HYPERLINK("#",""), HYPERLINK(CONCATENATE("#Metadata!", ADDRESS(INDEX($AI$2:$AI$1001,MATCH(ROWS($AG$2:AG738),$AG$2:$AG$1001,0),0), INDEX($AN$1004:$BO$1004,1,MATCH(COLUMNS($AN$1006:BC1006),$AN$1006:$BO$1006,0)))),"Fix")))</f>
        <v>0</v>
      </c>
      <c r="R738" s="4">
        <f>IF(OR(INDEX($AH$2:$AH$1001,MATCH(ROWS($AG$2:AG738),$AG$2:$AG$1001,0),1)&gt;=100000,INDEX($AN$1005:$BO$1005,1,MATCH(COLUMNS($AN$1006:BD1006),$AN$1006:$BO$1006,0))&gt;=100000), " ",IF(INDEX($AN$2:$BO$1001,MATCH(ROWS($AG$2:AG738),$AG$2:$AG$1001,0),MATCH(COLUMNS($AN$1006:BD1006),$AN$1006:$BO$1006,0)), HYPERLINK("#",""), HYPERLINK(CONCATENATE("#Metadata!", ADDRESS(INDEX($AI$2:$AI$1001,MATCH(ROWS($AG$2:AG738),$AG$2:$AG$1001,0),0), INDEX($AN$1004:$BO$1004,1,MATCH(COLUMNS($AN$1006:BD1006),$AN$1006:$BO$1006,0)))),"Fix")))</f>
        <v>0</v>
      </c>
      <c r="S738" s="4">
        <f>IF(OR(INDEX($AH$2:$AH$1001,MATCH(ROWS($AG$2:AG738),$AG$2:$AG$1001,0),1)&gt;=100000,INDEX($AN$1005:$BO$1005,1,MATCH(COLUMNS($AN$1006:BE1006),$AN$1006:$BO$1006,0))&gt;=100000), " ",IF(INDEX($AN$2:$BO$1001,MATCH(ROWS($AG$2:AG738),$AG$2:$AG$1001,0),MATCH(COLUMNS($AN$1006:BE1006),$AN$1006:$BO$1006,0)), HYPERLINK("#",""), HYPERLINK(CONCATENATE("#Metadata!", ADDRESS(INDEX($AI$2:$AI$1001,MATCH(ROWS($AG$2:AG738),$AG$2:$AG$1001,0),0), INDEX($AN$1004:$BO$1004,1,MATCH(COLUMNS($AN$1006:BE1006),$AN$1006:$BO$1006,0)))),"Fix")))</f>
        <v>0</v>
      </c>
      <c r="T738" s="4">
        <f>IF(OR(INDEX($AH$2:$AH$1001,MATCH(ROWS($AG$2:AG738),$AG$2:$AG$1001,0),1)&gt;=100000,INDEX($AN$1005:$BO$1005,1,MATCH(COLUMNS($AN$1006:BF1006),$AN$1006:$BO$1006,0))&gt;=100000), " ",IF(INDEX($AN$2:$BO$1001,MATCH(ROWS($AG$2:AG738),$AG$2:$AG$1001,0),MATCH(COLUMNS($AN$1006:BF1006),$AN$1006:$BO$1006,0)), HYPERLINK("#",""), HYPERLINK(CONCATENATE("#Metadata!", ADDRESS(INDEX($AI$2:$AI$1001,MATCH(ROWS($AG$2:AG738),$AG$2:$AG$1001,0),0), INDEX($AN$1004:$BO$1004,1,MATCH(COLUMNS($AN$1006:BF1006),$AN$1006:$BO$1006,0)))),"Fix")))</f>
        <v>0</v>
      </c>
      <c r="U738" s="4">
        <f>IF(OR(INDEX($AH$2:$AH$1001,MATCH(ROWS($AG$2:AG738),$AG$2:$AG$1001,0),1)&gt;=100000,INDEX($AN$1005:$BO$1005,1,MATCH(COLUMNS($AN$1006:BG1006),$AN$1006:$BO$1006,0))&gt;=100000), " ",IF(INDEX($AN$2:$BO$1001,MATCH(ROWS($AG$2:AG738),$AG$2:$AG$1001,0),MATCH(COLUMNS($AN$1006:BG1006),$AN$1006:$BO$1006,0)), HYPERLINK("#",""), HYPERLINK(CONCATENATE("#Metadata!", ADDRESS(INDEX($AI$2:$AI$1001,MATCH(ROWS($AG$2:AG738),$AG$2:$AG$1001,0),0), INDEX($AN$1004:$BO$1004,1,MATCH(COLUMNS($AN$1006:BG1006),$AN$1006:$BO$1006,0)))),"Fix")))</f>
        <v>0</v>
      </c>
      <c r="V738" s="4">
        <f>IF(OR(INDEX($AH$2:$AH$1001,MATCH(ROWS($AG$2:AG738),$AG$2:$AG$1001,0),1)&gt;=100000,INDEX($AN$1005:$BO$1005,1,MATCH(COLUMNS($AN$1006:BH1006),$AN$1006:$BO$1006,0))&gt;=100000), " ",IF(INDEX($AN$2:$BO$1001,MATCH(ROWS($AG$2:AG738),$AG$2:$AG$1001,0),MATCH(COLUMNS($AN$1006:BH1006),$AN$1006:$BO$1006,0)), HYPERLINK("#",""), HYPERLINK(CONCATENATE("#Metadata!", ADDRESS(INDEX($AI$2:$AI$1001,MATCH(ROWS($AG$2:AG738),$AG$2:$AG$1001,0),0), INDEX($AN$1004:$BO$1004,1,MATCH(COLUMNS($AN$1006:BH1006),$AN$1006:$BO$1006,0)))),"Fix")))</f>
        <v>0</v>
      </c>
      <c r="W738" s="4">
        <f>IF(OR(INDEX($AH$2:$AH$1001,MATCH(ROWS($AG$2:AG738),$AG$2:$AG$1001,0),1)&gt;=100000,INDEX($AN$1005:$BO$1005,1,MATCH(COLUMNS($AN$1006:BI1006),$AN$1006:$BO$1006,0))&gt;=100000), " ",IF(INDEX($AN$2:$BO$1001,MATCH(ROWS($AG$2:AG738),$AG$2:$AG$1001,0),MATCH(COLUMNS($AN$1006:BI1006),$AN$1006:$BO$1006,0)), HYPERLINK("#",""), HYPERLINK(CONCATENATE("#Metadata!", ADDRESS(INDEX($AI$2:$AI$1001,MATCH(ROWS($AG$2:AG738),$AG$2:$AG$1001,0),0), INDEX($AN$1004:$BO$1004,1,MATCH(COLUMNS($AN$1006:BI1006),$AN$1006:$BO$1006,0)))),"Fix")))</f>
        <v>0</v>
      </c>
      <c r="X738" s="4">
        <f>IF(OR(INDEX($AH$2:$AH$1001,MATCH(ROWS($AG$2:AG738),$AG$2:$AG$1001,0),1)&gt;=100000,INDEX($AN$1005:$BO$1005,1,MATCH(COLUMNS($AN$1006:BJ1006),$AN$1006:$BO$1006,0))&gt;=100000), " ",IF(INDEX($AN$2:$BO$1001,MATCH(ROWS($AG$2:AG738),$AG$2:$AG$1001,0),MATCH(COLUMNS($AN$1006:BJ1006),$AN$1006:$BO$1006,0)), HYPERLINK("#",""), HYPERLINK(CONCATENATE("#Metadata!", ADDRESS(INDEX($AI$2:$AI$1001,MATCH(ROWS($AG$2:AG738),$AG$2:$AG$1001,0),0), INDEX($AN$1004:$BO$1004,1,MATCH(COLUMNS($AN$1006:BJ1006),$AN$1006:$BO$1006,0)))),"Fix")))</f>
        <v>0</v>
      </c>
      <c r="Y738" s="4">
        <f>IF(OR(INDEX($AH$2:$AH$1001,MATCH(ROWS($AG$2:AG738),$AG$2:$AG$1001,0),1)&gt;=100000,INDEX($AN$1005:$BO$1005,1,MATCH(COLUMNS($AN$1006:BK1006),$AN$1006:$BO$1006,0))&gt;=100000), " ",IF(INDEX($AN$2:$BO$1001,MATCH(ROWS($AG$2:AG738),$AG$2:$AG$1001,0),MATCH(COLUMNS($AN$1006:BK1006),$AN$1006:$BO$1006,0)), HYPERLINK("#",""), HYPERLINK(CONCATENATE("#Metadata!", ADDRESS(INDEX($AI$2:$AI$1001,MATCH(ROWS($AG$2:AG738),$AG$2:$AG$1001,0),0), INDEX($AN$1004:$BO$1004,1,MATCH(COLUMNS($AN$1006:BK1006),$AN$1006:$BO$1006,0)))),"Fix")))</f>
        <v>0</v>
      </c>
      <c r="Z738" s="4">
        <f>IF(OR(INDEX($AH$2:$AH$1001,MATCH(ROWS($AG$2:AG738),$AG$2:$AG$1001,0),1)&gt;=100000,INDEX($AN$1005:$BO$1005,1,MATCH(COLUMNS($AN$1006:BL1006),$AN$1006:$BO$1006,0))&gt;=100000), " ",IF(INDEX($AN$2:$BO$1001,MATCH(ROWS($AG$2:AG738),$AG$2:$AG$1001,0),MATCH(COLUMNS($AN$1006:BL1006),$AN$1006:$BO$1006,0)), HYPERLINK("#",""), HYPERLINK(CONCATENATE("#Metadata!", ADDRESS(INDEX($AI$2:$AI$1001,MATCH(ROWS($AG$2:AG738),$AG$2:$AG$1001,0),0), INDEX($AN$1004:$BO$1004,1,MATCH(COLUMNS($AN$1006:BL1006),$AN$1006:$BO$1006,0)))),"Fix")))</f>
        <v>0</v>
      </c>
      <c r="AA738" s="4">
        <f>IF(OR(INDEX($AH$2:$AH$1001,MATCH(ROWS($AG$2:AG738),$AG$2:$AG$1001,0),1)&gt;=100000,INDEX($AN$1005:$BO$1005,1,MATCH(COLUMNS($AN$1006:BM1006),$AN$1006:$BO$1006,0))&gt;=100000), " ",IF(INDEX($AN$2:$BO$1001,MATCH(ROWS($AG$2:AG738),$AG$2:$AG$1001,0),MATCH(COLUMNS($AN$1006:BM1006),$AN$1006:$BO$1006,0)), HYPERLINK("#",""), HYPERLINK(CONCATENATE("#Metadata!", ADDRESS(INDEX($AI$2:$AI$1001,MATCH(ROWS($AG$2:AG738),$AG$2:$AG$1001,0),0), INDEX($AN$1004:$BO$1004,1,MATCH(COLUMNS($AN$1006:BM1006),$AN$1006:$BO$1006,0)))),"Fix")))</f>
        <v>0</v>
      </c>
      <c r="AB738" s="4">
        <f>IF(OR(INDEX($AH$2:$AH$1001,MATCH(ROWS($AG$2:AG738),$AG$2:$AG$1001,0),1)&gt;=100000,INDEX($AN$1005:$BO$1005,1,MATCH(COLUMNS($AN$1006:BN1006),$AN$1006:$BO$1006,0))&gt;=100000), " ",IF(INDEX($AN$2:$BO$1001,MATCH(ROWS($AG$2:AG738),$AG$2:$AG$1001,0),MATCH(COLUMNS($AN$1006:BN1006),$AN$1006:$BO$1006,0)), HYPERLINK("#",""), HYPERLINK(CONCATENATE("#Metadata!", ADDRESS(INDEX($AI$2:$AI$1001,MATCH(ROWS($AG$2:AG738),$AG$2:$AG$1001,0),0), INDEX($AN$1004:$BO$1004,1,MATCH(COLUMNS($AN$1006:BN1006),$AN$1006:$BO$1006,0)))),"Fix")))</f>
        <v>0</v>
      </c>
      <c r="AC738" s="4">
        <f>IF(OR(INDEX($AH$2:$AH$1001,MATCH(ROWS($AG$2:AG738),$AG$2:$AG$1001,0),1)&gt;=100000,INDEX($AN$1005:$BO$1005,1,MATCH(COLUMNS($AN$1006:BO1006),$AN$1006:$BO$1006,0))&gt;=100000), " ",IF(INDEX($AN$2:$BO$1001,MATCH(ROWS($AG$2:AG738),$AG$2:$AG$1001,0),MATCH(COLUMNS($AN$1006:BO1006),$AN$1006:$BO$1006,0)), HYPERLINK("#",""), HYPERLINK(CONCATENATE("#Metadata!", ADDRESS(INDEX($AI$2:$AI$1001,MATCH(ROWS($AG$2:AG738),$AG$2:$AG$1001,0),0), INDEX($AN$1004:$BO$1004,1,MATCH(COLUMNS($AN$1006:BO1006),$AN$1006:$BO$1006,0)))),"Fix")))</f>
        <v>0</v>
      </c>
      <c r="AG738">
        <v>0</v>
      </c>
      <c r="AH738">
        <v>0</v>
      </c>
      <c r="AI738">
        <v>0</v>
      </c>
      <c r="AJ738">
        <f>IF(AK738,TRUE,AND(AN738:BO738))</f>
        <v>0</v>
      </c>
      <c r="AK738">
        <f>COUNTBLANK(Metadata!B738:AC738)=COLUMNS(Metadata!B738:AC738)</f>
        <v>0</v>
      </c>
      <c r="AL738">
        <v>0</v>
      </c>
      <c r="AN738">
        <f>AND(IF(Metadata!B738="",FALSE,TRUE),COUNTIF(Metadata!B:B, Metadata!B738) = 1,NOT(ISERROR(SUMPRODUCT(SEARCH(MID(Metadata!B738,ROW(INDIRECT("1:"&amp;LEN(Metadata!B738))), 1),"0123456789abcdefghijklmnopqrstuvwxyzABCDEFGHIJKLMNOPQRSTUVWXYZ.")))))</f>
        <v>0</v>
      </c>
      <c r="AO738">
        <f>IF(Metadata!C738="",FALSE,TRUE)</f>
        <v>0</v>
      </c>
      <c r="AP738">
        <f>IF(Metadata!D738="",FALSE,TRUE)</f>
        <v>0</v>
      </c>
      <c r="AQ738">
        <f>OR(AND(IF(Metadata!E738="",FALSE,TRUE),OR(exact(Metadata!E738,"not collected"),exact(Metadata!E738,"not provided"),exact(Metadata!E738,"restricted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R738">
        <f>IF(Metadata!F738="",FALSE,TRUE)</f>
        <v>0</v>
      </c>
      <c r="AS738">
        <f>OR(AND(IF(Metadata!G738="",FALSE,TRUE),OR(exact(Metadata!G738,"not collected"),exact(Metadata!G738,"not provided"))),AND(IF(Metadata!G738="",FALSE,TRUE),OR(exact(Metadata!G738,"TRUE"),exact(Metadata!G738,"FALSE"))))</f>
        <v>0</v>
      </c>
      <c r="AT738">
        <f>OR(AND(IF(Metadata!H738="",FALSE,TRUE),OR(exact(Metadata!H738,"not collected"),exact(Metadata!H738,"not provided"),exact(Metadata!H738,"restricted access"))),AND(IF(Metadata!H738="",FALSE,ISNUMBER(VALUE(Metadata!H738))),Metadata!H738&gt;=-413.0))</f>
        <v>0</v>
      </c>
      <c r="AU738">
        <f>AND(IF(Metadata!I738="",FALSE,TRUE),exact(Metadata!I738,"meters"))</f>
        <v>0</v>
      </c>
      <c r="AV738">
        <f>AND(IF(Metadata!J738="",FALSE,TRUE),OR(exact(Metadata!J738,"Host-associated"),exact(Metadata!J738,"Free-living")))</f>
        <v>0</v>
      </c>
      <c r="AW738">
        <f>AND(IF(Metadata!K738="",FALSE,TRUE),OR(exact(Metadata!K738,"Animal"),exact(Metadata!K738,"Fungus"),exact(Metadata!K738,"Plant"),exact(Metadata!K738,"Saline"),exact(Metadata!K738,"Non-saline")))</f>
        <v>0</v>
      </c>
      <c r="AX738">
        <f>AND(IF(Metadata!L738="",FALSE,TRUE),OR(exact(Metadata!L738,"Plant secretion"),exact(Metadata!L738,"Plant rhizosphere"),exact(Metadata!L738,"Plant surface"),exact(Metadata!L738,"Plant corpus"),exact(Metadata!L738,"Fungus surface"),exact(Metadata!L738,"Fungus corpus"),exact(Metadata!L738,"Animal surface"),exact(Metadata!L738,"Animal proximal gut"),exact(Metadata!L738,"Animal corpus"),exact(Metadata!L738,"Animal distal gut"),exact(Metadata!L738,"Animal secretion"),exact(Metadata!L738,"Sub-surface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Y738">
        <f>IF(Metadata!M738="",FALSE,TRUE)</f>
        <v>0</v>
      </c>
      <c r="AZ738">
        <f>IF(Metadata!N738="",FALSE,TRUE)</f>
        <v>0</v>
      </c>
      <c r="BA738">
        <f>IF(Metadata!O738="",FALSE,TRUE)</f>
        <v>0</v>
      </c>
      <c r="BB738">
        <f>OR(AND(IF(Metadata!P738="",FALSE,TRUE),OR(exact(Metadata!P738,"not collected"),exact(Metadata!P738,"not provided"),exact(Metadata!P738,"restricted access"))),AND(IF(Metadata!P738="",FALSE,TRUE),OR(exact(Metadata!P738,"air"),exact(Metadata!P738,"built environment"),exact(Metadata!P738,"host-associated"),exact(Metadata!P738,"human-associated"),exact(Metadata!P738,"human-skin"),exact(Metadata!P738,"human-oral"),exact(Metadata!P738,"human-gut"),exact(Metadata!P738,"human-vaginal"),exact(Metadata!P738,"microbial mat/biofilm"),exact(Metadata!P738,"misc environment"),exact(Metadata!P738,"plant-associated"),exact(Metadata!P738,"sediment"),exact(Metadata!P738,"soil"),exact(Metadata!P738,"wastewater/sludge"),exact(Metadata!P738,"water"))))</f>
        <v>0</v>
      </c>
      <c r="BC738">
        <f>IF(Metadata!Q738="",FALSE,TRUE)</f>
        <v>0</v>
      </c>
      <c r="BD738">
        <f>IF(Metadata!R738="",FALSE,TRUE)</f>
        <v>0</v>
      </c>
      <c r="BE738">
        <f>OR(AND(IF(Metadata!S738="",FALSE,TRUE),OR(exact(Metadata!S738,"not collected"),exact(Metadata!S738,"not provided"),exact(Metadata!S738,"restricted access"))),AND(IF(Metadata!S738="",FALSE,ISNUMBER(VALUE(Metadata!S738))),Metadata!S738&gt;=-90.00,Metadata!S738&lt;=90.00))</f>
        <v>0</v>
      </c>
      <c r="BF738">
        <f>AND(IF(Metadata!T738="",FALSE,TRUE),exact(Metadata!T738,"Decimal degrees"))</f>
        <v>0</v>
      </c>
      <c r="BG738">
        <f>OR(AND(IF(Metadata!U738="",FALSE,TRUE),OR(exact(Metadata!U738,"not collected"),exact(Metadata!U738,"not provided"),exact(Metadata!U738,"restricted access"))),AND(IF(Metadata!U738="",FALSE,ISNUMBER(VALUE(Metadata!U738))),Metadata!U738&gt;=-180.00,Metadata!U738&lt;=180.00))</f>
        <v>0</v>
      </c>
      <c r="BH738">
        <f>AND(IF(Metadata!V738="",FALSE,TRUE),exact(Metadata!V738,"Decimal degrees"))</f>
        <v>0</v>
      </c>
      <c r="BI738">
        <f>IF(Metadata!W738="",FALSE,TRUE)</f>
        <v>0</v>
      </c>
      <c r="BJ738">
        <f>OR(AND(IF(Metadata!X738="",FALSE,TRUE),OR(exact(Metadata!X738,"not collected"),exact(Metadata!X738,"not provided"),exact(Metadata!X738,"restricted access"))),AND(IF(Metadata!X738="",FALSE,TRUE),OR(exact(Metadata!X738,"TRUE"),exact(Metadata!X738,"FALSE"))))</f>
        <v>0</v>
      </c>
      <c r="BK738">
        <f>AND(IF(Metadata!Y738="",FALSE,TRUE),exact(Metadata!Y738,"other"))</f>
        <v>0</v>
      </c>
      <c r="BL738">
        <f>IF(Metadata!Z738="",FALSE,TRUE)</f>
        <v>0</v>
      </c>
      <c r="BM738">
        <f>OR(AND(IF(Metadata!AA738="",FALSE,TRUE),OR(exact(Metadata!AA738,"not collected"),exact(Metadata!AA738,"not provided"))),AND(IF(Metadata!AA738="",FALSE,IF(ISERROR(INT(Metadata!AA738)),FALSE,INT(Metadata!AA738)=Metadata!AA738)),Metadata!AA738&gt;0))</f>
        <v>0</v>
      </c>
      <c r="BN738">
        <f>AND(IF(Metadata!AB738="",FALSE,TRUE),exact(Metadata!AB738,"Not applicable"))</f>
        <v>0</v>
      </c>
      <c r="BO738">
        <f>IF(Metadata!AC738="",FALSE,TRUE)</f>
        <v>0</v>
      </c>
    </row>
    <row r="739" spans="1:67">
      <c r="A739" s="5">
        <f>IF(B739=" "," ",HYPERLINK(CONCATENATE("#metadata!",ADDRESS(INDEX($AI$2:$AI$1001,MATCH(ROWS($AG$2:AG739),$AG$2:$AG$1001,0),0),1)),INDEX($AL$2:$AL$1001,MATCH(ROWS($AG$2:AG739),$AG$2:$AG$1001,0),0)))</f>
        <v>0</v>
      </c>
      <c r="B739" s="4">
        <f>IF(OR(INDEX($AH$2:$AH$1001,MATCH(ROWS($AG$2:AG739),$AG$2:$AG$1001,0),1)&gt;=100000,INDEX($AN$1005:$BO$1005,1,MATCH(COLUMNS($AN$1006:AN1006),$AN$1006:$BO$1006,0))&gt;=100000), " ",IF(INDEX($AN$2:$BO$1001,MATCH(ROWS($AG$2:AG739),$AG$2:$AG$1001,0),MATCH(COLUMNS($AN$1006:AN1006),$AN$1006:$BO$1006,0)), HYPERLINK("#",""), HYPERLINK(CONCATENATE("#Metadata!", ADDRESS(INDEX($AI$2:$AI$1001,MATCH(ROWS($AG$2:AG739),$AG$2:$AG$1001,0),0), INDEX($AN$1004:$BO$1004,1,MATCH(COLUMNS($AN$1006:AN1006),$AN$1006:$BO$1006,0)))),"Fix")))</f>
        <v>0</v>
      </c>
      <c r="C739" s="4">
        <f>IF(OR(INDEX($AH$2:$AH$1001,MATCH(ROWS($AG$2:AG739),$AG$2:$AG$1001,0),1)&gt;=100000,INDEX($AN$1005:$BO$1005,1,MATCH(COLUMNS($AN$1006:AO1006),$AN$1006:$BO$1006,0))&gt;=100000), " ",IF(INDEX($AN$2:$BO$1001,MATCH(ROWS($AG$2:AG739),$AG$2:$AG$1001,0),MATCH(COLUMNS($AN$1006:AO1006),$AN$1006:$BO$1006,0)), HYPERLINK("#",""), HYPERLINK(CONCATENATE("#Metadata!", ADDRESS(INDEX($AI$2:$AI$1001,MATCH(ROWS($AG$2:AG739),$AG$2:$AG$1001,0),0), INDEX($AN$1004:$BO$1004,1,MATCH(COLUMNS($AN$1006:AO1006),$AN$1006:$BO$1006,0)))),"Fix")))</f>
        <v>0</v>
      </c>
      <c r="D739" s="4">
        <f>IF(OR(INDEX($AH$2:$AH$1001,MATCH(ROWS($AG$2:AG739),$AG$2:$AG$1001,0),1)&gt;=100000,INDEX($AN$1005:$BO$1005,1,MATCH(COLUMNS($AN$1006:AP1006),$AN$1006:$BO$1006,0))&gt;=100000), " ",IF(INDEX($AN$2:$BO$1001,MATCH(ROWS($AG$2:AG739),$AG$2:$AG$1001,0),MATCH(COLUMNS($AN$1006:AP1006),$AN$1006:$BO$1006,0)), HYPERLINK("#",""), HYPERLINK(CONCATENATE("#Metadata!", ADDRESS(INDEX($AI$2:$AI$1001,MATCH(ROWS($AG$2:AG739),$AG$2:$AG$1001,0),0), INDEX($AN$1004:$BO$1004,1,MATCH(COLUMNS($AN$1006:AP1006),$AN$1006:$BO$1006,0)))),"Fix")))</f>
        <v>0</v>
      </c>
      <c r="E739" s="4">
        <f>IF(OR(INDEX($AH$2:$AH$1001,MATCH(ROWS($AG$2:AG739),$AG$2:$AG$1001,0),1)&gt;=100000,INDEX($AN$1005:$BO$1005,1,MATCH(COLUMNS($AN$1006:AQ1006),$AN$1006:$BO$1006,0))&gt;=100000), " ",IF(INDEX($AN$2:$BO$1001,MATCH(ROWS($AG$2:AG739),$AG$2:$AG$1001,0),MATCH(COLUMNS($AN$1006:AQ1006),$AN$1006:$BO$1006,0)), HYPERLINK("#",""), HYPERLINK(CONCATENATE("#Metadata!", ADDRESS(INDEX($AI$2:$AI$1001,MATCH(ROWS($AG$2:AG739),$AG$2:$AG$1001,0),0), INDEX($AN$1004:$BO$1004,1,MATCH(COLUMNS($AN$1006:AQ1006),$AN$1006:$BO$1006,0)))),"Fix")))</f>
        <v>0</v>
      </c>
      <c r="F739" s="4">
        <f>IF(OR(INDEX($AH$2:$AH$1001,MATCH(ROWS($AG$2:AG739),$AG$2:$AG$1001,0),1)&gt;=100000,INDEX($AN$1005:$BO$1005,1,MATCH(COLUMNS($AN$1006:AR1006),$AN$1006:$BO$1006,0))&gt;=100000), " ",IF(INDEX($AN$2:$BO$1001,MATCH(ROWS($AG$2:AG739),$AG$2:$AG$1001,0),MATCH(COLUMNS($AN$1006:AR1006),$AN$1006:$BO$1006,0)), HYPERLINK("#",""), HYPERLINK(CONCATENATE("#Metadata!", ADDRESS(INDEX($AI$2:$AI$1001,MATCH(ROWS($AG$2:AG739),$AG$2:$AG$1001,0),0), INDEX($AN$1004:$BO$1004,1,MATCH(COLUMNS($AN$1006:AR1006),$AN$1006:$BO$1006,0)))),"Fix")))</f>
        <v>0</v>
      </c>
      <c r="G739" s="4">
        <f>IF(OR(INDEX($AH$2:$AH$1001,MATCH(ROWS($AG$2:AG739),$AG$2:$AG$1001,0),1)&gt;=100000,INDEX($AN$1005:$BO$1005,1,MATCH(COLUMNS($AN$1006:AS1006),$AN$1006:$BO$1006,0))&gt;=100000), " ",IF(INDEX($AN$2:$BO$1001,MATCH(ROWS($AG$2:AG739),$AG$2:$AG$1001,0),MATCH(COLUMNS($AN$1006:AS1006),$AN$1006:$BO$1006,0)), HYPERLINK("#",""), HYPERLINK(CONCATENATE("#Metadata!", ADDRESS(INDEX($AI$2:$AI$1001,MATCH(ROWS($AG$2:AG739),$AG$2:$AG$1001,0),0), INDEX($AN$1004:$BO$1004,1,MATCH(COLUMNS($AN$1006:AS1006),$AN$1006:$BO$1006,0)))),"Fix")))</f>
        <v>0</v>
      </c>
      <c r="H739" s="4">
        <f>IF(OR(INDEX($AH$2:$AH$1001,MATCH(ROWS($AG$2:AG739),$AG$2:$AG$1001,0),1)&gt;=100000,INDEX($AN$1005:$BO$1005,1,MATCH(COLUMNS($AN$1006:AT1006),$AN$1006:$BO$1006,0))&gt;=100000), " ",IF(INDEX($AN$2:$BO$1001,MATCH(ROWS($AG$2:AG739),$AG$2:$AG$1001,0),MATCH(COLUMNS($AN$1006:AT1006),$AN$1006:$BO$1006,0)), HYPERLINK("#",""), HYPERLINK(CONCATENATE("#Metadata!", ADDRESS(INDEX($AI$2:$AI$1001,MATCH(ROWS($AG$2:AG739),$AG$2:$AG$1001,0),0), INDEX($AN$1004:$BO$1004,1,MATCH(COLUMNS($AN$1006:AT1006),$AN$1006:$BO$1006,0)))),"Fix")))</f>
        <v>0</v>
      </c>
      <c r="I739" s="4">
        <f>IF(OR(INDEX($AH$2:$AH$1001,MATCH(ROWS($AG$2:AG739),$AG$2:$AG$1001,0),1)&gt;=100000,INDEX($AN$1005:$BO$1005,1,MATCH(COLUMNS($AN$1006:AU1006),$AN$1006:$BO$1006,0))&gt;=100000), " ",IF(INDEX($AN$2:$BO$1001,MATCH(ROWS($AG$2:AG739),$AG$2:$AG$1001,0),MATCH(COLUMNS($AN$1006:AU1006),$AN$1006:$BO$1006,0)), HYPERLINK("#",""), HYPERLINK(CONCATENATE("#Metadata!", ADDRESS(INDEX($AI$2:$AI$1001,MATCH(ROWS($AG$2:AG739),$AG$2:$AG$1001,0),0), INDEX($AN$1004:$BO$1004,1,MATCH(COLUMNS($AN$1006:AU1006),$AN$1006:$BO$1006,0)))),"Fix")))</f>
        <v>0</v>
      </c>
      <c r="J739" s="4">
        <f>IF(OR(INDEX($AH$2:$AH$1001,MATCH(ROWS($AG$2:AG739),$AG$2:$AG$1001,0),1)&gt;=100000,INDEX($AN$1005:$BO$1005,1,MATCH(COLUMNS($AN$1006:AV1006),$AN$1006:$BO$1006,0))&gt;=100000), " ",IF(INDEX($AN$2:$BO$1001,MATCH(ROWS($AG$2:AG739),$AG$2:$AG$1001,0),MATCH(COLUMNS($AN$1006:AV1006),$AN$1006:$BO$1006,0)), HYPERLINK("#",""), HYPERLINK(CONCATENATE("#Metadata!", ADDRESS(INDEX($AI$2:$AI$1001,MATCH(ROWS($AG$2:AG739),$AG$2:$AG$1001,0),0), INDEX($AN$1004:$BO$1004,1,MATCH(COLUMNS($AN$1006:AV1006),$AN$1006:$BO$1006,0)))),"Fix")))</f>
        <v>0</v>
      </c>
      <c r="K739" s="4">
        <f>IF(OR(INDEX($AH$2:$AH$1001,MATCH(ROWS($AG$2:AG739),$AG$2:$AG$1001,0),1)&gt;=100000,INDEX($AN$1005:$BO$1005,1,MATCH(COLUMNS($AN$1006:AW1006),$AN$1006:$BO$1006,0))&gt;=100000), " ",IF(INDEX($AN$2:$BO$1001,MATCH(ROWS($AG$2:AG739),$AG$2:$AG$1001,0),MATCH(COLUMNS($AN$1006:AW1006),$AN$1006:$BO$1006,0)), HYPERLINK("#",""), HYPERLINK(CONCATENATE("#Metadata!", ADDRESS(INDEX($AI$2:$AI$1001,MATCH(ROWS($AG$2:AG739),$AG$2:$AG$1001,0),0), INDEX($AN$1004:$BO$1004,1,MATCH(COLUMNS($AN$1006:AW1006),$AN$1006:$BO$1006,0)))),"Fix")))</f>
        <v>0</v>
      </c>
      <c r="L739" s="4">
        <f>IF(OR(INDEX($AH$2:$AH$1001,MATCH(ROWS($AG$2:AG739),$AG$2:$AG$1001,0),1)&gt;=100000,INDEX($AN$1005:$BO$1005,1,MATCH(COLUMNS($AN$1006:AX1006),$AN$1006:$BO$1006,0))&gt;=100000), " ",IF(INDEX($AN$2:$BO$1001,MATCH(ROWS($AG$2:AG739),$AG$2:$AG$1001,0),MATCH(COLUMNS($AN$1006:AX1006),$AN$1006:$BO$1006,0)), HYPERLINK("#",""), HYPERLINK(CONCATENATE("#Metadata!", ADDRESS(INDEX($AI$2:$AI$1001,MATCH(ROWS($AG$2:AG739),$AG$2:$AG$1001,0),0), INDEX($AN$1004:$BO$1004,1,MATCH(COLUMNS($AN$1006:AX1006),$AN$1006:$BO$1006,0)))),"Fix")))</f>
        <v>0</v>
      </c>
      <c r="M739" s="4">
        <f>IF(OR(INDEX($AH$2:$AH$1001,MATCH(ROWS($AG$2:AG739),$AG$2:$AG$1001,0),1)&gt;=100000,INDEX($AN$1005:$BO$1005,1,MATCH(COLUMNS($AN$1006:AY1006),$AN$1006:$BO$1006,0))&gt;=100000), " ",IF(INDEX($AN$2:$BO$1001,MATCH(ROWS($AG$2:AG739),$AG$2:$AG$1001,0),MATCH(COLUMNS($AN$1006:AY1006),$AN$1006:$BO$1006,0)), HYPERLINK("#",""), HYPERLINK(CONCATENATE("#Metadata!", ADDRESS(INDEX($AI$2:$AI$1001,MATCH(ROWS($AG$2:AG739),$AG$2:$AG$1001,0),0), INDEX($AN$1004:$BO$1004,1,MATCH(COLUMNS($AN$1006:AY1006),$AN$1006:$BO$1006,0)))),"Fix")))</f>
        <v>0</v>
      </c>
      <c r="N739" s="4">
        <f>IF(OR(INDEX($AH$2:$AH$1001,MATCH(ROWS($AG$2:AG739),$AG$2:$AG$1001,0),1)&gt;=100000,INDEX($AN$1005:$BO$1005,1,MATCH(COLUMNS($AN$1006:AZ1006),$AN$1006:$BO$1006,0))&gt;=100000), " ",IF(INDEX($AN$2:$BO$1001,MATCH(ROWS($AG$2:AG739),$AG$2:$AG$1001,0),MATCH(COLUMNS($AN$1006:AZ1006),$AN$1006:$BO$1006,0)), HYPERLINK("#",""), HYPERLINK(CONCATENATE("#Metadata!", ADDRESS(INDEX($AI$2:$AI$1001,MATCH(ROWS($AG$2:AG739),$AG$2:$AG$1001,0),0), INDEX($AN$1004:$BO$1004,1,MATCH(COLUMNS($AN$1006:AZ1006),$AN$1006:$BO$1006,0)))),"Fix")))</f>
        <v>0</v>
      </c>
      <c r="O739" s="4">
        <f>IF(OR(INDEX($AH$2:$AH$1001,MATCH(ROWS($AG$2:AG739),$AG$2:$AG$1001,0),1)&gt;=100000,INDEX($AN$1005:$BO$1005,1,MATCH(COLUMNS($AN$1006:BA1006),$AN$1006:$BO$1006,0))&gt;=100000), " ",IF(INDEX($AN$2:$BO$1001,MATCH(ROWS($AG$2:AG739),$AG$2:$AG$1001,0),MATCH(COLUMNS($AN$1006:BA1006),$AN$1006:$BO$1006,0)), HYPERLINK("#",""), HYPERLINK(CONCATENATE("#Metadata!", ADDRESS(INDEX($AI$2:$AI$1001,MATCH(ROWS($AG$2:AG739),$AG$2:$AG$1001,0),0), INDEX($AN$1004:$BO$1004,1,MATCH(COLUMNS($AN$1006:BA1006),$AN$1006:$BO$1006,0)))),"Fix")))</f>
        <v>0</v>
      </c>
      <c r="P739" s="4">
        <f>IF(OR(INDEX($AH$2:$AH$1001,MATCH(ROWS($AG$2:AG739),$AG$2:$AG$1001,0),1)&gt;=100000,INDEX($AN$1005:$BO$1005,1,MATCH(COLUMNS($AN$1006:BB1006),$AN$1006:$BO$1006,0))&gt;=100000), " ",IF(INDEX($AN$2:$BO$1001,MATCH(ROWS($AG$2:AG739),$AG$2:$AG$1001,0),MATCH(COLUMNS($AN$1006:BB1006),$AN$1006:$BO$1006,0)), HYPERLINK("#",""), HYPERLINK(CONCATENATE("#Metadata!", ADDRESS(INDEX($AI$2:$AI$1001,MATCH(ROWS($AG$2:AG739),$AG$2:$AG$1001,0),0), INDEX($AN$1004:$BO$1004,1,MATCH(COLUMNS($AN$1006:BB1006),$AN$1006:$BO$1006,0)))),"Fix")))</f>
        <v>0</v>
      </c>
      <c r="Q739" s="4">
        <f>IF(OR(INDEX($AH$2:$AH$1001,MATCH(ROWS($AG$2:AG739),$AG$2:$AG$1001,0),1)&gt;=100000,INDEX($AN$1005:$BO$1005,1,MATCH(COLUMNS($AN$1006:BC1006),$AN$1006:$BO$1006,0))&gt;=100000), " ",IF(INDEX($AN$2:$BO$1001,MATCH(ROWS($AG$2:AG739),$AG$2:$AG$1001,0),MATCH(COLUMNS($AN$1006:BC1006),$AN$1006:$BO$1006,0)), HYPERLINK("#",""), HYPERLINK(CONCATENATE("#Metadata!", ADDRESS(INDEX($AI$2:$AI$1001,MATCH(ROWS($AG$2:AG739),$AG$2:$AG$1001,0),0), INDEX($AN$1004:$BO$1004,1,MATCH(COLUMNS($AN$1006:BC1006),$AN$1006:$BO$1006,0)))),"Fix")))</f>
        <v>0</v>
      </c>
      <c r="R739" s="4">
        <f>IF(OR(INDEX($AH$2:$AH$1001,MATCH(ROWS($AG$2:AG739),$AG$2:$AG$1001,0),1)&gt;=100000,INDEX($AN$1005:$BO$1005,1,MATCH(COLUMNS($AN$1006:BD1006),$AN$1006:$BO$1006,0))&gt;=100000), " ",IF(INDEX($AN$2:$BO$1001,MATCH(ROWS($AG$2:AG739),$AG$2:$AG$1001,0),MATCH(COLUMNS($AN$1006:BD1006),$AN$1006:$BO$1006,0)), HYPERLINK("#",""), HYPERLINK(CONCATENATE("#Metadata!", ADDRESS(INDEX($AI$2:$AI$1001,MATCH(ROWS($AG$2:AG739),$AG$2:$AG$1001,0),0), INDEX($AN$1004:$BO$1004,1,MATCH(COLUMNS($AN$1006:BD1006),$AN$1006:$BO$1006,0)))),"Fix")))</f>
        <v>0</v>
      </c>
      <c r="S739" s="4">
        <f>IF(OR(INDEX($AH$2:$AH$1001,MATCH(ROWS($AG$2:AG739),$AG$2:$AG$1001,0),1)&gt;=100000,INDEX($AN$1005:$BO$1005,1,MATCH(COLUMNS($AN$1006:BE1006),$AN$1006:$BO$1006,0))&gt;=100000), " ",IF(INDEX($AN$2:$BO$1001,MATCH(ROWS($AG$2:AG739),$AG$2:$AG$1001,0),MATCH(COLUMNS($AN$1006:BE1006),$AN$1006:$BO$1006,0)), HYPERLINK("#",""), HYPERLINK(CONCATENATE("#Metadata!", ADDRESS(INDEX($AI$2:$AI$1001,MATCH(ROWS($AG$2:AG739),$AG$2:$AG$1001,0),0), INDEX($AN$1004:$BO$1004,1,MATCH(COLUMNS($AN$1006:BE1006),$AN$1006:$BO$1006,0)))),"Fix")))</f>
        <v>0</v>
      </c>
      <c r="T739" s="4">
        <f>IF(OR(INDEX($AH$2:$AH$1001,MATCH(ROWS($AG$2:AG739),$AG$2:$AG$1001,0),1)&gt;=100000,INDEX($AN$1005:$BO$1005,1,MATCH(COLUMNS($AN$1006:BF1006),$AN$1006:$BO$1006,0))&gt;=100000), " ",IF(INDEX($AN$2:$BO$1001,MATCH(ROWS($AG$2:AG739),$AG$2:$AG$1001,0),MATCH(COLUMNS($AN$1006:BF1006),$AN$1006:$BO$1006,0)), HYPERLINK("#",""), HYPERLINK(CONCATENATE("#Metadata!", ADDRESS(INDEX($AI$2:$AI$1001,MATCH(ROWS($AG$2:AG739),$AG$2:$AG$1001,0),0), INDEX($AN$1004:$BO$1004,1,MATCH(COLUMNS($AN$1006:BF1006),$AN$1006:$BO$1006,0)))),"Fix")))</f>
        <v>0</v>
      </c>
      <c r="U739" s="4">
        <f>IF(OR(INDEX($AH$2:$AH$1001,MATCH(ROWS($AG$2:AG739),$AG$2:$AG$1001,0),1)&gt;=100000,INDEX($AN$1005:$BO$1005,1,MATCH(COLUMNS($AN$1006:BG1006),$AN$1006:$BO$1006,0))&gt;=100000), " ",IF(INDEX($AN$2:$BO$1001,MATCH(ROWS($AG$2:AG739),$AG$2:$AG$1001,0),MATCH(COLUMNS($AN$1006:BG1006),$AN$1006:$BO$1006,0)), HYPERLINK("#",""), HYPERLINK(CONCATENATE("#Metadata!", ADDRESS(INDEX($AI$2:$AI$1001,MATCH(ROWS($AG$2:AG739),$AG$2:$AG$1001,0),0), INDEX($AN$1004:$BO$1004,1,MATCH(COLUMNS($AN$1006:BG1006),$AN$1006:$BO$1006,0)))),"Fix")))</f>
        <v>0</v>
      </c>
      <c r="V739" s="4">
        <f>IF(OR(INDEX($AH$2:$AH$1001,MATCH(ROWS($AG$2:AG739),$AG$2:$AG$1001,0),1)&gt;=100000,INDEX($AN$1005:$BO$1005,1,MATCH(COLUMNS($AN$1006:BH1006),$AN$1006:$BO$1006,0))&gt;=100000), " ",IF(INDEX($AN$2:$BO$1001,MATCH(ROWS($AG$2:AG739),$AG$2:$AG$1001,0),MATCH(COLUMNS($AN$1006:BH1006),$AN$1006:$BO$1006,0)), HYPERLINK("#",""), HYPERLINK(CONCATENATE("#Metadata!", ADDRESS(INDEX($AI$2:$AI$1001,MATCH(ROWS($AG$2:AG739),$AG$2:$AG$1001,0),0), INDEX($AN$1004:$BO$1004,1,MATCH(COLUMNS($AN$1006:BH1006),$AN$1006:$BO$1006,0)))),"Fix")))</f>
        <v>0</v>
      </c>
      <c r="W739" s="4">
        <f>IF(OR(INDEX($AH$2:$AH$1001,MATCH(ROWS($AG$2:AG739),$AG$2:$AG$1001,0),1)&gt;=100000,INDEX($AN$1005:$BO$1005,1,MATCH(COLUMNS($AN$1006:BI1006),$AN$1006:$BO$1006,0))&gt;=100000), " ",IF(INDEX($AN$2:$BO$1001,MATCH(ROWS($AG$2:AG739),$AG$2:$AG$1001,0),MATCH(COLUMNS($AN$1006:BI1006),$AN$1006:$BO$1006,0)), HYPERLINK("#",""), HYPERLINK(CONCATENATE("#Metadata!", ADDRESS(INDEX($AI$2:$AI$1001,MATCH(ROWS($AG$2:AG739),$AG$2:$AG$1001,0),0), INDEX($AN$1004:$BO$1004,1,MATCH(COLUMNS($AN$1006:BI1006),$AN$1006:$BO$1006,0)))),"Fix")))</f>
        <v>0</v>
      </c>
      <c r="X739" s="4">
        <f>IF(OR(INDEX($AH$2:$AH$1001,MATCH(ROWS($AG$2:AG739),$AG$2:$AG$1001,0),1)&gt;=100000,INDEX($AN$1005:$BO$1005,1,MATCH(COLUMNS($AN$1006:BJ1006),$AN$1006:$BO$1006,0))&gt;=100000), " ",IF(INDEX($AN$2:$BO$1001,MATCH(ROWS($AG$2:AG739),$AG$2:$AG$1001,0),MATCH(COLUMNS($AN$1006:BJ1006),$AN$1006:$BO$1006,0)), HYPERLINK("#",""), HYPERLINK(CONCATENATE("#Metadata!", ADDRESS(INDEX($AI$2:$AI$1001,MATCH(ROWS($AG$2:AG739),$AG$2:$AG$1001,0),0), INDEX($AN$1004:$BO$1004,1,MATCH(COLUMNS($AN$1006:BJ1006),$AN$1006:$BO$1006,0)))),"Fix")))</f>
        <v>0</v>
      </c>
      <c r="Y739" s="4">
        <f>IF(OR(INDEX($AH$2:$AH$1001,MATCH(ROWS($AG$2:AG739),$AG$2:$AG$1001,0),1)&gt;=100000,INDEX($AN$1005:$BO$1005,1,MATCH(COLUMNS($AN$1006:BK1006),$AN$1006:$BO$1006,0))&gt;=100000), " ",IF(INDEX($AN$2:$BO$1001,MATCH(ROWS($AG$2:AG739),$AG$2:$AG$1001,0),MATCH(COLUMNS($AN$1006:BK1006),$AN$1006:$BO$1006,0)), HYPERLINK("#",""), HYPERLINK(CONCATENATE("#Metadata!", ADDRESS(INDEX($AI$2:$AI$1001,MATCH(ROWS($AG$2:AG739),$AG$2:$AG$1001,0),0), INDEX($AN$1004:$BO$1004,1,MATCH(COLUMNS($AN$1006:BK1006),$AN$1006:$BO$1006,0)))),"Fix")))</f>
        <v>0</v>
      </c>
      <c r="Z739" s="4">
        <f>IF(OR(INDEX($AH$2:$AH$1001,MATCH(ROWS($AG$2:AG739),$AG$2:$AG$1001,0),1)&gt;=100000,INDEX($AN$1005:$BO$1005,1,MATCH(COLUMNS($AN$1006:BL1006),$AN$1006:$BO$1006,0))&gt;=100000), " ",IF(INDEX($AN$2:$BO$1001,MATCH(ROWS($AG$2:AG739),$AG$2:$AG$1001,0),MATCH(COLUMNS($AN$1006:BL1006),$AN$1006:$BO$1006,0)), HYPERLINK("#",""), HYPERLINK(CONCATENATE("#Metadata!", ADDRESS(INDEX($AI$2:$AI$1001,MATCH(ROWS($AG$2:AG739),$AG$2:$AG$1001,0),0), INDEX($AN$1004:$BO$1004,1,MATCH(COLUMNS($AN$1006:BL1006),$AN$1006:$BO$1006,0)))),"Fix")))</f>
        <v>0</v>
      </c>
      <c r="AA739" s="4">
        <f>IF(OR(INDEX($AH$2:$AH$1001,MATCH(ROWS($AG$2:AG739),$AG$2:$AG$1001,0),1)&gt;=100000,INDEX($AN$1005:$BO$1005,1,MATCH(COLUMNS($AN$1006:BM1006),$AN$1006:$BO$1006,0))&gt;=100000), " ",IF(INDEX($AN$2:$BO$1001,MATCH(ROWS($AG$2:AG739),$AG$2:$AG$1001,0),MATCH(COLUMNS($AN$1006:BM1006),$AN$1006:$BO$1006,0)), HYPERLINK("#",""), HYPERLINK(CONCATENATE("#Metadata!", ADDRESS(INDEX($AI$2:$AI$1001,MATCH(ROWS($AG$2:AG739),$AG$2:$AG$1001,0),0), INDEX($AN$1004:$BO$1004,1,MATCH(COLUMNS($AN$1006:BM1006),$AN$1006:$BO$1006,0)))),"Fix")))</f>
        <v>0</v>
      </c>
      <c r="AB739" s="4">
        <f>IF(OR(INDEX($AH$2:$AH$1001,MATCH(ROWS($AG$2:AG739),$AG$2:$AG$1001,0),1)&gt;=100000,INDEX($AN$1005:$BO$1005,1,MATCH(COLUMNS($AN$1006:BN1006),$AN$1006:$BO$1006,0))&gt;=100000), " ",IF(INDEX($AN$2:$BO$1001,MATCH(ROWS($AG$2:AG739),$AG$2:$AG$1001,0),MATCH(COLUMNS($AN$1006:BN1006),$AN$1006:$BO$1006,0)), HYPERLINK("#",""), HYPERLINK(CONCATENATE("#Metadata!", ADDRESS(INDEX($AI$2:$AI$1001,MATCH(ROWS($AG$2:AG739),$AG$2:$AG$1001,0),0), INDEX($AN$1004:$BO$1004,1,MATCH(COLUMNS($AN$1006:BN1006),$AN$1006:$BO$1006,0)))),"Fix")))</f>
        <v>0</v>
      </c>
      <c r="AC739" s="4">
        <f>IF(OR(INDEX($AH$2:$AH$1001,MATCH(ROWS($AG$2:AG739),$AG$2:$AG$1001,0),1)&gt;=100000,INDEX($AN$1005:$BO$1005,1,MATCH(COLUMNS($AN$1006:BO1006),$AN$1006:$BO$1006,0))&gt;=100000), " ",IF(INDEX($AN$2:$BO$1001,MATCH(ROWS($AG$2:AG739),$AG$2:$AG$1001,0),MATCH(COLUMNS($AN$1006:BO1006),$AN$1006:$BO$1006,0)), HYPERLINK("#",""), HYPERLINK(CONCATENATE("#Metadata!", ADDRESS(INDEX($AI$2:$AI$1001,MATCH(ROWS($AG$2:AG739),$AG$2:$AG$1001,0),0), INDEX($AN$1004:$BO$1004,1,MATCH(COLUMNS($AN$1006:BO1006),$AN$1006:$BO$1006,0)))),"Fix")))</f>
        <v>0</v>
      </c>
      <c r="AG739">
        <v>0</v>
      </c>
      <c r="AH739">
        <v>0</v>
      </c>
      <c r="AI739">
        <v>0</v>
      </c>
      <c r="AJ739">
        <f>IF(AK739,TRUE,AND(AN739:BO739))</f>
        <v>0</v>
      </c>
      <c r="AK739">
        <f>COUNTBLANK(Metadata!B739:AC739)=COLUMNS(Metadata!B739:AC739)</f>
        <v>0</v>
      </c>
      <c r="AL739">
        <v>0</v>
      </c>
      <c r="AN739">
        <f>AND(IF(Metadata!B739="",FALSE,TRUE),COUNTIF(Metadata!B:B, Metadata!B739) = 1,NOT(ISERROR(SUMPRODUCT(SEARCH(MID(Metadata!B739,ROW(INDIRECT("1:"&amp;LEN(Metadata!B739))), 1),"0123456789abcdefghijklmnopqrstuvwxyzABCDEFGHIJKLMNOPQRSTUVWXYZ.")))))</f>
        <v>0</v>
      </c>
      <c r="AO739">
        <f>IF(Metadata!C739="",FALSE,TRUE)</f>
        <v>0</v>
      </c>
      <c r="AP739">
        <f>IF(Metadata!D739="",FALSE,TRUE)</f>
        <v>0</v>
      </c>
      <c r="AQ739">
        <f>OR(AND(IF(Metadata!E739="",FALSE,TRUE),OR(exact(Metadata!E739,"not collected"),exact(Metadata!E739,"not provided"),exact(Metadata!E739,"restricted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R739">
        <f>IF(Metadata!F739="",FALSE,TRUE)</f>
        <v>0</v>
      </c>
      <c r="AS739">
        <f>OR(AND(IF(Metadata!G739="",FALSE,TRUE),OR(exact(Metadata!G739,"not collected"),exact(Metadata!G739,"not provided"))),AND(IF(Metadata!G739="",FALSE,TRUE),OR(exact(Metadata!G739,"TRUE"),exact(Metadata!G739,"FALSE"))))</f>
        <v>0</v>
      </c>
      <c r="AT739">
        <f>OR(AND(IF(Metadata!H739="",FALSE,TRUE),OR(exact(Metadata!H739,"not collected"),exact(Metadata!H739,"not provided"),exact(Metadata!H739,"restricted access"))),AND(IF(Metadata!H739="",FALSE,ISNUMBER(VALUE(Metadata!H739))),Metadata!H739&gt;=-413.0))</f>
        <v>0</v>
      </c>
      <c r="AU739">
        <f>AND(IF(Metadata!I739="",FALSE,TRUE),exact(Metadata!I739,"meters"))</f>
        <v>0</v>
      </c>
      <c r="AV739">
        <f>AND(IF(Metadata!J739="",FALSE,TRUE),OR(exact(Metadata!J739,"Host-associated"),exact(Metadata!J739,"Free-living")))</f>
        <v>0</v>
      </c>
      <c r="AW739">
        <f>AND(IF(Metadata!K739="",FALSE,TRUE),OR(exact(Metadata!K739,"Animal"),exact(Metadata!K739,"Fungus"),exact(Metadata!K739,"Plant"),exact(Metadata!K739,"Saline"),exact(Metadata!K739,"Non-saline")))</f>
        <v>0</v>
      </c>
      <c r="AX739">
        <f>AND(IF(Metadata!L739="",FALSE,TRUE),OR(exact(Metadata!L739,"Plant secretion"),exact(Metadata!L739,"Plant rhizosphere"),exact(Metadata!L739,"Plant surface"),exact(Metadata!L739,"Plant corpus"),exact(Metadata!L739,"Fungus surface"),exact(Metadata!L739,"Fungus corpus"),exact(Metadata!L739,"Animal surface"),exact(Metadata!L739,"Animal proximal gut"),exact(Metadata!L739,"Animal corpus"),exact(Metadata!L739,"Animal distal gut"),exact(Metadata!L739,"Animal secretion"),exact(Metadata!L739,"Sub-surface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Y739">
        <f>IF(Metadata!M739="",FALSE,TRUE)</f>
        <v>0</v>
      </c>
      <c r="AZ739">
        <f>IF(Metadata!N739="",FALSE,TRUE)</f>
        <v>0</v>
      </c>
      <c r="BA739">
        <f>IF(Metadata!O739="",FALSE,TRUE)</f>
        <v>0</v>
      </c>
      <c r="BB739">
        <f>OR(AND(IF(Metadata!P739="",FALSE,TRUE),OR(exact(Metadata!P739,"not collected"),exact(Metadata!P739,"not provided"),exact(Metadata!P739,"restricted access"))),AND(IF(Metadata!P739="",FALSE,TRUE),OR(exact(Metadata!P739,"air"),exact(Metadata!P739,"built environment"),exact(Metadata!P739,"host-associated"),exact(Metadata!P739,"human-associated"),exact(Metadata!P739,"human-skin"),exact(Metadata!P739,"human-oral"),exact(Metadata!P739,"human-gut"),exact(Metadata!P739,"human-vaginal"),exact(Metadata!P739,"microbial mat/biofilm"),exact(Metadata!P739,"misc environment"),exact(Metadata!P739,"plant-associated"),exact(Metadata!P739,"sediment"),exact(Metadata!P739,"soil"),exact(Metadata!P739,"wastewater/sludge"),exact(Metadata!P739,"water"))))</f>
        <v>0</v>
      </c>
      <c r="BC739">
        <f>IF(Metadata!Q739="",FALSE,TRUE)</f>
        <v>0</v>
      </c>
      <c r="BD739">
        <f>IF(Metadata!R739="",FALSE,TRUE)</f>
        <v>0</v>
      </c>
      <c r="BE739">
        <f>OR(AND(IF(Metadata!S739="",FALSE,TRUE),OR(exact(Metadata!S739,"not collected"),exact(Metadata!S739,"not provided"),exact(Metadata!S739,"restricted access"))),AND(IF(Metadata!S739="",FALSE,ISNUMBER(VALUE(Metadata!S739))),Metadata!S739&gt;=-90.00,Metadata!S739&lt;=90.00))</f>
        <v>0</v>
      </c>
      <c r="BF739">
        <f>AND(IF(Metadata!T739="",FALSE,TRUE),exact(Metadata!T739,"Decimal degrees"))</f>
        <v>0</v>
      </c>
      <c r="BG739">
        <f>OR(AND(IF(Metadata!U739="",FALSE,TRUE),OR(exact(Metadata!U739,"not collected"),exact(Metadata!U739,"not provided"),exact(Metadata!U739,"restricted access"))),AND(IF(Metadata!U739="",FALSE,ISNUMBER(VALUE(Metadata!U739))),Metadata!U739&gt;=-180.00,Metadata!U739&lt;=180.00))</f>
        <v>0</v>
      </c>
      <c r="BH739">
        <f>AND(IF(Metadata!V739="",FALSE,TRUE),exact(Metadata!V739,"Decimal degrees"))</f>
        <v>0</v>
      </c>
      <c r="BI739">
        <f>IF(Metadata!W739="",FALSE,TRUE)</f>
        <v>0</v>
      </c>
      <c r="BJ739">
        <f>OR(AND(IF(Metadata!X739="",FALSE,TRUE),OR(exact(Metadata!X739,"not collected"),exact(Metadata!X739,"not provided"),exact(Metadata!X739,"restricted access"))),AND(IF(Metadata!X739="",FALSE,TRUE),OR(exact(Metadata!X739,"TRUE"),exact(Metadata!X739,"FALSE"))))</f>
        <v>0</v>
      </c>
      <c r="BK739">
        <f>AND(IF(Metadata!Y739="",FALSE,TRUE),exact(Metadata!Y739,"other"))</f>
        <v>0</v>
      </c>
      <c r="BL739">
        <f>IF(Metadata!Z739="",FALSE,TRUE)</f>
        <v>0</v>
      </c>
      <c r="BM739">
        <f>OR(AND(IF(Metadata!AA739="",FALSE,TRUE),OR(exact(Metadata!AA739,"not collected"),exact(Metadata!AA739,"not provided"))),AND(IF(Metadata!AA739="",FALSE,IF(ISERROR(INT(Metadata!AA739)),FALSE,INT(Metadata!AA739)=Metadata!AA739)),Metadata!AA739&gt;0))</f>
        <v>0</v>
      </c>
      <c r="BN739">
        <f>AND(IF(Metadata!AB739="",FALSE,TRUE),exact(Metadata!AB739,"Not applicable"))</f>
        <v>0</v>
      </c>
      <c r="BO739">
        <f>IF(Metadata!AC739="",FALSE,TRUE)</f>
        <v>0</v>
      </c>
    </row>
    <row r="740" spans="1:67">
      <c r="A740" s="5">
        <f>IF(B740=" "," ",HYPERLINK(CONCATENATE("#metadata!",ADDRESS(INDEX($AI$2:$AI$1001,MATCH(ROWS($AG$2:AG740),$AG$2:$AG$1001,0),0),1)),INDEX($AL$2:$AL$1001,MATCH(ROWS($AG$2:AG740),$AG$2:$AG$1001,0),0)))</f>
        <v>0</v>
      </c>
      <c r="B740" s="4">
        <f>IF(OR(INDEX($AH$2:$AH$1001,MATCH(ROWS($AG$2:AG740),$AG$2:$AG$1001,0),1)&gt;=100000,INDEX($AN$1005:$BO$1005,1,MATCH(COLUMNS($AN$1006:AN1006),$AN$1006:$BO$1006,0))&gt;=100000), " ",IF(INDEX($AN$2:$BO$1001,MATCH(ROWS($AG$2:AG740),$AG$2:$AG$1001,0),MATCH(COLUMNS($AN$1006:AN1006),$AN$1006:$BO$1006,0)), HYPERLINK("#",""), HYPERLINK(CONCATENATE("#Metadata!", ADDRESS(INDEX($AI$2:$AI$1001,MATCH(ROWS($AG$2:AG740),$AG$2:$AG$1001,0),0), INDEX($AN$1004:$BO$1004,1,MATCH(COLUMNS($AN$1006:AN1006),$AN$1006:$BO$1006,0)))),"Fix")))</f>
        <v>0</v>
      </c>
      <c r="C740" s="4">
        <f>IF(OR(INDEX($AH$2:$AH$1001,MATCH(ROWS($AG$2:AG740),$AG$2:$AG$1001,0),1)&gt;=100000,INDEX($AN$1005:$BO$1005,1,MATCH(COLUMNS($AN$1006:AO1006),$AN$1006:$BO$1006,0))&gt;=100000), " ",IF(INDEX($AN$2:$BO$1001,MATCH(ROWS($AG$2:AG740),$AG$2:$AG$1001,0),MATCH(COLUMNS($AN$1006:AO1006),$AN$1006:$BO$1006,0)), HYPERLINK("#",""), HYPERLINK(CONCATENATE("#Metadata!", ADDRESS(INDEX($AI$2:$AI$1001,MATCH(ROWS($AG$2:AG740),$AG$2:$AG$1001,0),0), INDEX($AN$1004:$BO$1004,1,MATCH(COLUMNS($AN$1006:AO1006),$AN$1006:$BO$1006,0)))),"Fix")))</f>
        <v>0</v>
      </c>
      <c r="D740" s="4">
        <f>IF(OR(INDEX($AH$2:$AH$1001,MATCH(ROWS($AG$2:AG740),$AG$2:$AG$1001,0),1)&gt;=100000,INDEX($AN$1005:$BO$1005,1,MATCH(COLUMNS($AN$1006:AP1006),$AN$1006:$BO$1006,0))&gt;=100000), " ",IF(INDEX($AN$2:$BO$1001,MATCH(ROWS($AG$2:AG740),$AG$2:$AG$1001,0),MATCH(COLUMNS($AN$1006:AP1006),$AN$1006:$BO$1006,0)), HYPERLINK("#",""), HYPERLINK(CONCATENATE("#Metadata!", ADDRESS(INDEX($AI$2:$AI$1001,MATCH(ROWS($AG$2:AG740),$AG$2:$AG$1001,0),0), INDEX($AN$1004:$BO$1004,1,MATCH(COLUMNS($AN$1006:AP1006),$AN$1006:$BO$1006,0)))),"Fix")))</f>
        <v>0</v>
      </c>
      <c r="E740" s="4">
        <f>IF(OR(INDEX($AH$2:$AH$1001,MATCH(ROWS($AG$2:AG740),$AG$2:$AG$1001,0),1)&gt;=100000,INDEX($AN$1005:$BO$1005,1,MATCH(COLUMNS($AN$1006:AQ1006),$AN$1006:$BO$1006,0))&gt;=100000), " ",IF(INDEX($AN$2:$BO$1001,MATCH(ROWS($AG$2:AG740),$AG$2:$AG$1001,0),MATCH(COLUMNS($AN$1006:AQ1006),$AN$1006:$BO$1006,0)), HYPERLINK("#",""), HYPERLINK(CONCATENATE("#Metadata!", ADDRESS(INDEX($AI$2:$AI$1001,MATCH(ROWS($AG$2:AG740),$AG$2:$AG$1001,0),0), INDEX($AN$1004:$BO$1004,1,MATCH(COLUMNS($AN$1006:AQ1006),$AN$1006:$BO$1006,0)))),"Fix")))</f>
        <v>0</v>
      </c>
      <c r="F740" s="4">
        <f>IF(OR(INDEX($AH$2:$AH$1001,MATCH(ROWS($AG$2:AG740),$AG$2:$AG$1001,0),1)&gt;=100000,INDEX($AN$1005:$BO$1005,1,MATCH(COLUMNS($AN$1006:AR1006),$AN$1006:$BO$1006,0))&gt;=100000), " ",IF(INDEX($AN$2:$BO$1001,MATCH(ROWS($AG$2:AG740),$AG$2:$AG$1001,0),MATCH(COLUMNS($AN$1006:AR1006),$AN$1006:$BO$1006,0)), HYPERLINK("#",""), HYPERLINK(CONCATENATE("#Metadata!", ADDRESS(INDEX($AI$2:$AI$1001,MATCH(ROWS($AG$2:AG740),$AG$2:$AG$1001,0),0), INDEX($AN$1004:$BO$1004,1,MATCH(COLUMNS($AN$1006:AR1006),$AN$1006:$BO$1006,0)))),"Fix")))</f>
        <v>0</v>
      </c>
      <c r="G740" s="4">
        <f>IF(OR(INDEX($AH$2:$AH$1001,MATCH(ROWS($AG$2:AG740),$AG$2:$AG$1001,0),1)&gt;=100000,INDEX($AN$1005:$BO$1005,1,MATCH(COLUMNS($AN$1006:AS1006),$AN$1006:$BO$1006,0))&gt;=100000), " ",IF(INDEX($AN$2:$BO$1001,MATCH(ROWS($AG$2:AG740),$AG$2:$AG$1001,0),MATCH(COLUMNS($AN$1006:AS1006),$AN$1006:$BO$1006,0)), HYPERLINK("#",""), HYPERLINK(CONCATENATE("#Metadata!", ADDRESS(INDEX($AI$2:$AI$1001,MATCH(ROWS($AG$2:AG740),$AG$2:$AG$1001,0),0), INDEX($AN$1004:$BO$1004,1,MATCH(COLUMNS($AN$1006:AS1006),$AN$1006:$BO$1006,0)))),"Fix")))</f>
        <v>0</v>
      </c>
      <c r="H740" s="4">
        <f>IF(OR(INDEX($AH$2:$AH$1001,MATCH(ROWS($AG$2:AG740),$AG$2:$AG$1001,0),1)&gt;=100000,INDEX($AN$1005:$BO$1005,1,MATCH(COLUMNS($AN$1006:AT1006),$AN$1006:$BO$1006,0))&gt;=100000), " ",IF(INDEX($AN$2:$BO$1001,MATCH(ROWS($AG$2:AG740),$AG$2:$AG$1001,0),MATCH(COLUMNS($AN$1006:AT1006),$AN$1006:$BO$1006,0)), HYPERLINK("#",""), HYPERLINK(CONCATENATE("#Metadata!", ADDRESS(INDEX($AI$2:$AI$1001,MATCH(ROWS($AG$2:AG740),$AG$2:$AG$1001,0),0), INDEX($AN$1004:$BO$1004,1,MATCH(COLUMNS($AN$1006:AT1006),$AN$1006:$BO$1006,0)))),"Fix")))</f>
        <v>0</v>
      </c>
      <c r="I740" s="4">
        <f>IF(OR(INDEX($AH$2:$AH$1001,MATCH(ROWS($AG$2:AG740),$AG$2:$AG$1001,0),1)&gt;=100000,INDEX($AN$1005:$BO$1005,1,MATCH(COLUMNS($AN$1006:AU1006),$AN$1006:$BO$1006,0))&gt;=100000), " ",IF(INDEX($AN$2:$BO$1001,MATCH(ROWS($AG$2:AG740),$AG$2:$AG$1001,0),MATCH(COLUMNS($AN$1006:AU1006),$AN$1006:$BO$1006,0)), HYPERLINK("#",""), HYPERLINK(CONCATENATE("#Metadata!", ADDRESS(INDEX($AI$2:$AI$1001,MATCH(ROWS($AG$2:AG740),$AG$2:$AG$1001,0),0), INDEX($AN$1004:$BO$1004,1,MATCH(COLUMNS($AN$1006:AU1006),$AN$1006:$BO$1006,0)))),"Fix")))</f>
        <v>0</v>
      </c>
      <c r="J740" s="4">
        <f>IF(OR(INDEX($AH$2:$AH$1001,MATCH(ROWS($AG$2:AG740),$AG$2:$AG$1001,0),1)&gt;=100000,INDEX($AN$1005:$BO$1005,1,MATCH(COLUMNS($AN$1006:AV1006),$AN$1006:$BO$1006,0))&gt;=100000), " ",IF(INDEX($AN$2:$BO$1001,MATCH(ROWS($AG$2:AG740),$AG$2:$AG$1001,0),MATCH(COLUMNS($AN$1006:AV1006),$AN$1006:$BO$1006,0)), HYPERLINK("#",""), HYPERLINK(CONCATENATE("#Metadata!", ADDRESS(INDEX($AI$2:$AI$1001,MATCH(ROWS($AG$2:AG740),$AG$2:$AG$1001,0),0), INDEX($AN$1004:$BO$1004,1,MATCH(COLUMNS($AN$1006:AV1006),$AN$1006:$BO$1006,0)))),"Fix")))</f>
        <v>0</v>
      </c>
      <c r="K740" s="4">
        <f>IF(OR(INDEX($AH$2:$AH$1001,MATCH(ROWS($AG$2:AG740),$AG$2:$AG$1001,0),1)&gt;=100000,INDEX($AN$1005:$BO$1005,1,MATCH(COLUMNS($AN$1006:AW1006),$AN$1006:$BO$1006,0))&gt;=100000), " ",IF(INDEX($AN$2:$BO$1001,MATCH(ROWS($AG$2:AG740),$AG$2:$AG$1001,0),MATCH(COLUMNS($AN$1006:AW1006),$AN$1006:$BO$1006,0)), HYPERLINK("#",""), HYPERLINK(CONCATENATE("#Metadata!", ADDRESS(INDEX($AI$2:$AI$1001,MATCH(ROWS($AG$2:AG740),$AG$2:$AG$1001,0),0), INDEX($AN$1004:$BO$1004,1,MATCH(COLUMNS($AN$1006:AW1006),$AN$1006:$BO$1006,0)))),"Fix")))</f>
        <v>0</v>
      </c>
      <c r="L740" s="4">
        <f>IF(OR(INDEX($AH$2:$AH$1001,MATCH(ROWS($AG$2:AG740),$AG$2:$AG$1001,0),1)&gt;=100000,INDEX($AN$1005:$BO$1005,1,MATCH(COLUMNS($AN$1006:AX1006),$AN$1006:$BO$1006,0))&gt;=100000), " ",IF(INDEX($AN$2:$BO$1001,MATCH(ROWS($AG$2:AG740),$AG$2:$AG$1001,0),MATCH(COLUMNS($AN$1006:AX1006),$AN$1006:$BO$1006,0)), HYPERLINK("#",""), HYPERLINK(CONCATENATE("#Metadata!", ADDRESS(INDEX($AI$2:$AI$1001,MATCH(ROWS($AG$2:AG740),$AG$2:$AG$1001,0),0), INDEX($AN$1004:$BO$1004,1,MATCH(COLUMNS($AN$1006:AX1006),$AN$1006:$BO$1006,0)))),"Fix")))</f>
        <v>0</v>
      </c>
      <c r="M740" s="4">
        <f>IF(OR(INDEX($AH$2:$AH$1001,MATCH(ROWS($AG$2:AG740),$AG$2:$AG$1001,0),1)&gt;=100000,INDEX($AN$1005:$BO$1005,1,MATCH(COLUMNS($AN$1006:AY1006),$AN$1006:$BO$1006,0))&gt;=100000), " ",IF(INDEX($AN$2:$BO$1001,MATCH(ROWS($AG$2:AG740),$AG$2:$AG$1001,0),MATCH(COLUMNS($AN$1006:AY1006),$AN$1006:$BO$1006,0)), HYPERLINK("#",""), HYPERLINK(CONCATENATE("#Metadata!", ADDRESS(INDEX($AI$2:$AI$1001,MATCH(ROWS($AG$2:AG740),$AG$2:$AG$1001,0),0), INDEX($AN$1004:$BO$1004,1,MATCH(COLUMNS($AN$1006:AY1006),$AN$1006:$BO$1006,0)))),"Fix")))</f>
        <v>0</v>
      </c>
      <c r="N740" s="4">
        <f>IF(OR(INDEX($AH$2:$AH$1001,MATCH(ROWS($AG$2:AG740),$AG$2:$AG$1001,0),1)&gt;=100000,INDEX($AN$1005:$BO$1005,1,MATCH(COLUMNS($AN$1006:AZ1006),$AN$1006:$BO$1006,0))&gt;=100000), " ",IF(INDEX($AN$2:$BO$1001,MATCH(ROWS($AG$2:AG740),$AG$2:$AG$1001,0),MATCH(COLUMNS($AN$1006:AZ1006),$AN$1006:$BO$1006,0)), HYPERLINK("#",""), HYPERLINK(CONCATENATE("#Metadata!", ADDRESS(INDEX($AI$2:$AI$1001,MATCH(ROWS($AG$2:AG740),$AG$2:$AG$1001,0),0), INDEX($AN$1004:$BO$1004,1,MATCH(COLUMNS($AN$1006:AZ1006),$AN$1006:$BO$1006,0)))),"Fix")))</f>
        <v>0</v>
      </c>
      <c r="O740" s="4">
        <f>IF(OR(INDEX($AH$2:$AH$1001,MATCH(ROWS($AG$2:AG740),$AG$2:$AG$1001,0),1)&gt;=100000,INDEX($AN$1005:$BO$1005,1,MATCH(COLUMNS($AN$1006:BA1006),$AN$1006:$BO$1006,0))&gt;=100000), " ",IF(INDEX($AN$2:$BO$1001,MATCH(ROWS($AG$2:AG740),$AG$2:$AG$1001,0),MATCH(COLUMNS($AN$1006:BA1006),$AN$1006:$BO$1006,0)), HYPERLINK("#",""), HYPERLINK(CONCATENATE("#Metadata!", ADDRESS(INDEX($AI$2:$AI$1001,MATCH(ROWS($AG$2:AG740),$AG$2:$AG$1001,0),0), INDEX($AN$1004:$BO$1004,1,MATCH(COLUMNS($AN$1006:BA1006),$AN$1006:$BO$1006,0)))),"Fix")))</f>
        <v>0</v>
      </c>
      <c r="P740" s="4">
        <f>IF(OR(INDEX($AH$2:$AH$1001,MATCH(ROWS($AG$2:AG740),$AG$2:$AG$1001,0),1)&gt;=100000,INDEX($AN$1005:$BO$1005,1,MATCH(COLUMNS($AN$1006:BB1006),$AN$1006:$BO$1006,0))&gt;=100000), " ",IF(INDEX($AN$2:$BO$1001,MATCH(ROWS($AG$2:AG740),$AG$2:$AG$1001,0),MATCH(COLUMNS($AN$1006:BB1006),$AN$1006:$BO$1006,0)), HYPERLINK("#",""), HYPERLINK(CONCATENATE("#Metadata!", ADDRESS(INDEX($AI$2:$AI$1001,MATCH(ROWS($AG$2:AG740),$AG$2:$AG$1001,0),0), INDEX($AN$1004:$BO$1004,1,MATCH(COLUMNS($AN$1006:BB1006),$AN$1006:$BO$1006,0)))),"Fix")))</f>
        <v>0</v>
      </c>
      <c r="Q740" s="4">
        <f>IF(OR(INDEX($AH$2:$AH$1001,MATCH(ROWS($AG$2:AG740),$AG$2:$AG$1001,0),1)&gt;=100000,INDEX($AN$1005:$BO$1005,1,MATCH(COLUMNS($AN$1006:BC1006),$AN$1006:$BO$1006,0))&gt;=100000), " ",IF(INDEX($AN$2:$BO$1001,MATCH(ROWS($AG$2:AG740),$AG$2:$AG$1001,0),MATCH(COLUMNS($AN$1006:BC1006),$AN$1006:$BO$1006,0)), HYPERLINK("#",""), HYPERLINK(CONCATENATE("#Metadata!", ADDRESS(INDEX($AI$2:$AI$1001,MATCH(ROWS($AG$2:AG740),$AG$2:$AG$1001,0),0), INDEX($AN$1004:$BO$1004,1,MATCH(COLUMNS($AN$1006:BC1006),$AN$1006:$BO$1006,0)))),"Fix")))</f>
        <v>0</v>
      </c>
      <c r="R740" s="4">
        <f>IF(OR(INDEX($AH$2:$AH$1001,MATCH(ROWS($AG$2:AG740),$AG$2:$AG$1001,0),1)&gt;=100000,INDEX($AN$1005:$BO$1005,1,MATCH(COLUMNS($AN$1006:BD1006),$AN$1006:$BO$1006,0))&gt;=100000), " ",IF(INDEX($AN$2:$BO$1001,MATCH(ROWS($AG$2:AG740),$AG$2:$AG$1001,0),MATCH(COLUMNS($AN$1006:BD1006),$AN$1006:$BO$1006,0)), HYPERLINK("#",""), HYPERLINK(CONCATENATE("#Metadata!", ADDRESS(INDEX($AI$2:$AI$1001,MATCH(ROWS($AG$2:AG740),$AG$2:$AG$1001,0),0), INDEX($AN$1004:$BO$1004,1,MATCH(COLUMNS($AN$1006:BD1006),$AN$1006:$BO$1006,0)))),"Fix")))</f>
        <v>0</v>
      </c>
      <c r="S740" s="4">
        <f>IF(OR(INDEX($AH$2:$AH$1001,MATCH(ROWS($AG$2:AG740),$AG$2:$AG$1001,0),1)&gt;=100000,INDEX($AN$1005:$BO$1005,1,MATCH(COLUMNS($AN$1006:BE1006),$AN$1006:$BO$1006,0))&gt;=100000), " ",IF(INDEX($AN$2:$BO$1001,MATCH(ROWS($AG$2:AG740),$AG$2:$AG$1001,0),MATCH(COLUMNS($AN$1006:BE1006),$AN$1006:$BO$1006,0)), HYPERLINK("#",""), HYPERLINK(CONCATENATE("#Metadata!", ADDRESS(INDEX($AI$2:$AI$1001,MATCH(ROWS($AG$2:AG740),$AG$2:$AG$1001,0),0), INDEX($AN$1004:$BO$1004,1,MATCH(COLUMNS($AN$1006:BE1006),$AN$1006:$BO$1006,0)))),"Fix")))</f>
        <v>0</v>
      </c>
      <c r="T740" s="4">
        <f>IF(OR(INDEX($AH$2:$AH$1001,MATCH(ROWS($AG$2:AG740),$AG$2:$AG$1001,0),1)&gt;=100000,INDEX($AN$1005:$BO$1005,1,MATCH(COLUMNS($AN$1006:BF1006),$AN$1006:$BO$1006,0))&gt;=100000), " ",IF(INDEX($AN$2:$BO$1001,MATCH(ROWS($AG$2:AG740),$AG$2:$AG$1001,0),MATCH(COLUMNS($AN$1006:BF1006),$AN$1006:$BO$1006,0)), HYPERLINK("#",""), HYPERLINK(CONCATENATE("#Metadata!", ADDRESS(INDEX($AI$2:$AI$1001,MATCH(ROWS($AG$2:AG740),$AG$2:$AG$1001,0),0), INDEX($AN$1004:$BO$1004,1,MATCH(COLUMNS($AN$1006:BF1006),$AN$1006:$BO$1006,0)))),"Fix")))</f>
        <v>0</v>
      </c>
      <c r="U740" s="4">
        <f>IF(OR(INDEX($AH$2:$AH$1001,MATCH(ROWS($AG$2:AG740),$AG$2:$AG$1001,0),1)&gt;=100000,INDEX($AN$1005:$BO$1005,1,MATCH(COLUMNS($AN$1006:BG1006),$AN$1006:$BO$1006,0))&gt;=100000), " ",IF(INDEX($AN$2:$BO$1001,MATCH(ROWS($AG$2:AG740),$AG$2:$AG$1001,0),MATCH(COLUMNS($AN$1006:BG1006),$AN$1006:$BO$1006,0)), HYPERLINK("#",""), HYPERLINK(CONCATENATE("#Metadata!", ADDRESS(INDEX($AI$2:$AI$1001,MATCH(ROWS($AG$2:AG740),$AG$2:$AG$1001,0),0), INDEX($AN$1004:$BO$1004,1,MATCH(COLUMNS($AN$1006:BG1006),$AN$1006:$BO$1006,0)))),"Fix")))</f>
        <v>0</v>
      </c>
      <c r="V740" s="4">
        <f>IF(OR(INDEX($AH$2:$AH$1001,MATCH(ROWS($AG$2:AG740),$AG$2:$AG$1001,0),1)&gt;=100000,INDEX($AN$1005:$BO$1005,1,MATCH(COLUMNS($AN$1006:BH1006),$AN$1006:$BO$1006,0))&gt;=100000), " ",IF(INDEX($AN$2:$BO$1001,MATCH(ROWS($AG$2:AG740),$AG$2:$AG$1001,0),MATCH(COLUMNS($AN$1006:BH1006),$AN$1006:$BO$1006,0)), HYPERLINK("#",""), HYPERLINK(CONCATENATE("#Metadata!", ADDRESS(INDEX($AI$2:$AI$1001,MATCH(ROWS($AG$2:AG740),$AG$2:$AG$1001,0),0), INDEX($AN$1004:$BO$1004,1,MATCH(COLUMNS($AN$1006:BH1006),$AN$1006:$BO$1006,0)))),"Fix")))</f>
        <v>0</v>
      </c>
      <c r="W740" s="4">
        <f>IF(OR(INDEX($AH$2:$AH$1001,MATCH(ROWS($AG$2:AG740),$AG$2:$AG$1001,0),1)&gt;=100000,INDEX($AN$1005:$BO$1005,1,MATCH(COLUMNS($AN$1006:BI1006),$AN$1006:$BO$1006,0))&gt;=100000), " ",IF(INDEX($AN$2:$BO$1001,MATCH(ROWS($AG$2:AG740),$AG$2:$AG$1001,0),MATCH(COLUMNS($AN$1006:BI1006),$AN$1006:$BO$1006,0)), HYPERLINK("#",""), HYPERLINK(CONCATENATE("#Metadata!", ADDRESS(INDEX($AI$2:$AI$1001,MATCH(ROWS($AG$2:AG740),$AG$2:$AG$1001,0),0), INDEX($AN$1004:$BO$1004,1,MATCH(COLUMNS($AN$1006:BI1006),$AN$1006:$BO$1006,0)))),"Fix")))</f>
        <v>0</v>
      </c>
      <c r="X740" s="4">
        <f>IF(OR(INDEX($AH$2:$AH$1001,MATCH(ROWS($AG$2:AG740),$AG$2:$AG$1001,0),1)&gt;=100000,INDEX($AN$1005:$BO$1005,1,MATCH(COLUMNS($AN$1006:BJ1006),$AN$1006:$BO$1006,0))&gt;=100000), " ",IF(INDEX($AN$2:$BO$1001,MATCH(ROWS($AG$2:AG740),$AG$2:$AG$1001,0),MATCH(COLUMNS($AN$1006:BJ1006),$AN$1006:$BO$1006,0)), HYPERLINK("#",""), HYPERLINK(CONCATENATE("#Metadata!", ADDRESS(INDEX($AI$2:$AI$1001,MATCH(ROWS($AG$2:AG740),$AG$2:$AG$1001,0),0), INDEX($AN$1004:$BO$1004,1,MATCH(COLUMNS($AN$1006:BJ1006),$AN$1006:$BO$1006,0)))),"Fix")))</f>
        <v>0</v>
      </c>
      <c r="Y740" s="4">
        <f>IF(OR(INDEX($AH$2:$AH$1001,MATCH(ROWS($AG$2:AG740),$AG$2:$AG$1001,0),1)&gt;=100000,INDEX($AN$1005:$BO$1005,1,MATCH(COLUMNS($AN$1006:BK1006),$AN$1006:$BO$1006,0))&gt;=100000), " ",IF(INDEX($AN$2:$BO$1001,MATCH(ROWS($AG$2:AG740),$AG$2:$AG$1001,0),MATCH(COLUMNS($AN$1006:BK1006),$AN$1006:$BO$1006,0)), HYPERLINK("#",""), HYPERLINK(CONCATENATE("#Metadata!", ADDRESS(INDEX($AI$2:$AI$1001,MATCH(ROWS($AG$2:AG740),$AG$2:$AG$1001,0),0), INDEX($AN$1004:$BO$1004,1,MATCH(COLUMNS($AN$1006:BK1006),$AN$1006:$BO$1006,0)))),"Fix")))</f>
        <v>0</v>
      </c>
      <c r="Z740" s="4">
        <f>IF(OR(INDEX($AH$2:$AH$1001,MATCH(ROWS($AG$2:AG740),$AG$2:$AG$1001,0),1)&gt;=100000,INDEX($AN$1005:$BO$1005,1,MATCH(COLUMNS($AN$1006:BL1006),$AN$1006:$BO$1006,0))&gt;=100000), " ",IF(INDEX($AN$2:$BO$1001,MATCH(ROWS($AG$2:AG740),$AG$2:$AG$1001,0),MATCH(COLUMNS($AN$1006:BL1006),$AN$1006:$BO$1006,0)), HYPERLINK("#",""), HYPERLINK(CONCATENATE("#Metadata!", ADDRESS(INDEX($AI$2:$AI$1001,MATCH(ROWS($AG$2:AG740),$AG$2:$AG$1001,0),0), INDEX($AN$1004:$BO$1004,1,MATCH(COLUMNS($AN$1006:BL1006),$AN$1006:$BO$1006,0)))),"Fix")))</f>
        <v>0</v>
      </c>
      <c r="AA740" s="4">
        <f>IF(OR(INDEX($AH$2:$AH$1001,MATCH(ROWS($AG$2:AG740),$AG$2:$AG$1001,0),1)&gt;=100000,INDEX($AN$1005:$BO$1005,1,MATCH(COLUMNS($AN$1006:BM1006),$AN$1006:$BO$1006,0))&gt;=100000), " ",IF(INDEX($AN$2:$BO$1001,MATCH(ROWS($AG$2:AG740),$AG$2:$AG$1001,0),MATCH(COLUMNS($AN$1006:BM1006),$AN$1006:$BO$1006,0)), HYPERLINK("#",""), HYPERLINK(CONCATENATE("#Metadata!", ADDRESS(INDEX($AI$2:$AI$1001,MATCH(ROWS($AG$2:AG740),$AG$2:$AG$1001,0),0), INDEX($AN$1004:$BO$1004,1,MATCH(COLUMNS($AN$1006:BM1006),$AN$1006:$BO$1006,0)))),"Fix")))</f>
        <v>0</v>
      </c>
      <c r="AB740" s="4">
        <f>IF(OR(INDEX($AH$2:$AH$1001,MATCH(ROWS($AG$2:AG740),$AG$2:$AG$1001,0),1)&gt;=100000,INDEX($AN$1005:$BO$1005,1,MATCH(COLUMNS($AN$1006:BN1006),$AN$1006:$BO$1006,0))&gt;=100000), " ",IF(INDEX($AN$2:$BO$1001,MATCH(ROWS($AG$2:AG740),$AG$2:$AG$1001,0),MATCH(COLUMNS($AN$1006:BN1006),$AN$1006:$BO$1006,0)), HYPERLINK("#",""), HYPERLINK(CONCATENATE("#Metadata!", ADDRESS(INDEX($AI$2:$AI$1001,MATCH(ROWS($AG$2:AG740),$AG$2:$AG$1001,0),0), INDEX($AN$1004:$BO$1004,1,MATCH(COLUMNS($AN$1006:BN1006),$AN$1006:$BO$1006,0)))),"Fix")))</f>
        <v>0</v>
      </c>
      <c r="AC740" s="4">
        <f>IF(OR(INDEX($AH$2:$AH$1001,MATCH(ROWS($AG$2:AG740),$AG$2:$AG$1001,0),1)&gt;=100000,INDEX($AN$1005:$BO$1005,1,MATCH(COLUMNS($AN$1006:BO1006),$AN$1006:$BO$1006,0))&gt;=100000), " ",IF(INDEX($AN$2:$BO$1001,MATCH(ROWS($AG$2:AG740),$AG$2:$AG$1001,0),MATCH(COLUMNS($AN$1006:BO1006),$AN$1006:$BO$1006,0)), HYPERLINK("#",""), HYPERLINK(CONCATENATE("#Metadata!", ADDRESS(INDEX($AI$2:$AI$1001,MATCH(ROWS($AG$2:AG740),$AG$2:$AG$1001,0),0), INDEX($AN$1004:$BO$1004,1,MATCH(COLUMNS($AN$1006:BO1006),$AN$1006:$BO$1006,0)))),"Fix")))</f>
        <v>0</v>
      </c>
      <c r="AG740">
        <v>0</v>
      </c>
      <c r="AH740">
        <v>0</v>
      </c>
      <c r="AI740">
        <v>0</v>
      </c>
      <c r="AJ740">
        <f>IF(AK740,TRUE,AND(AN740:BO740))</f>
        <v>0</v>
      </c>
      <c r="AK740">
        <f>COUNTBLANK(Metadata!B740:AC740)=COLUMNS(Metadata!B740:AC740)</f>
        <v>0</v>
      </c>
      <c r="AL740">
        <v>0</v>
      </c>
      <c r="AN740">
        <f>AND(IF(Metadata!B740="",FALSE,TRUE),COUNTIF(Metadata!B:B, Metadata!B740) = 1,NOT(ISERROR(SUMPRODUCT(SEARCH(MID(Metadata!B740,ROW(INDIRECT("1:"&amp;LEN(Metadata!B740))), 1),"0123456789abcdefghijklmnopqrstuvwxyzABCDEFGHIJKLMNOPQRSTUVWXYZ.")))))</f>
        <v>0</v>
      </c>
      <c r="AO740">
        <f>IF(Metadata!C740="",FALSE,TRUE)</f>
        <v>0</v>
      </c>
      <c r="AP740">
        <f>IF(Metadata!D740="",FALSE,TRUE)</f>
        <v>0</v>
      </c>
      <c r="AQ740">
        <f>OR(AND(IF(Metadata!E740="",FALSE,TRUE),OR(exact(Metadata!E740,"not collected"),exact(Metadata!E740,"not provided"),exact(Metadata!E740,"restricted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R740">
        <f>IF(Metadata!F740="",FALSE,TRUE)</f>
        <v>0</v>
      </c>
      <c r="AS740">
        <f>OR(AND(IF(Metadata!G740="",FALSE,TRUE),OR(exact(Metadata!G740,"not collected"),exact(Metadata!G740,"not provided"))),AND(IF(Metadata!G740="",FALSE,TRUE),OR(exact(Metadata!G740,"TRUE"),exact(Metadata!G740,"FALSE"))))</f>
        <v>0</v>
      </c>
      <c r="AT740">
        <f>OR(AND(IF(Metadata!H740="",FALSE,TRUE),OR(exact(Metadata!H740,"not collected"),exact(Metadata!H740,"not provided"),exact(Metadata!H740,"restricted access"))),AND(IF(Metadata!H740="",FALSE,ISNUMBER(VALUE(Metadata!H740))),Metadata!H740&gt;=-413.0))</f>
        <v>0</v>
      </c>
      <c r="AU740">
        <f>AND(IF(Metadata!I740="",FALSE,TRUE),exact(Metadata!I740,"meters"))</f>
        <v>0</v>
      </c>
      <c r="AV740">
        <f>AND(IF(Metadata!J740="",FALSE,TRUE),OR(exact(Metadata!J740,"Host-associated"),exact(Metadata!J740,"Free-living")))</f>
        <v>0</v>
      </c>
      <c r="AW740">
        <f>AND(IF(Metadata!K740="",FALSE,TRUE),OR(exact(Metadata!K740,"Animal"),exact(Metadata!K740,"Fungus"),exact(Metadata!K740,"Plant"),exact(Metadata!K740,"Saline"),exact(Metadata!K740,"Non-saline")))</f>
        <v>0</v>
      </c>
      <c r="AX740">
        <f>AND(IF(Metadata!L740="",FALSE,TRUE),OR(exact(Metadata!L740,"Plant secretion"),exact(Metadata!L740,"Plant rhizosphere"),exact(Metadata!L740,"Plant surface"),exact(Metadata!L740,"Plant corpus"),exact(Metadata!L740,"Fungus surface"),exact(Metadata!L740,"Fungus corpus"),exact(Metadata!L740,"Animal surface"),exact(Metadata!L740,"Animal proximal gut"),exact(Metadata!L740,"Animal corpus"),exact(Metadata!L740,"Animal distal gut"),exact(Metadata!L740,"Animal secretion"),exact(Metadata!L740,"Sub-surface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Y740">
        <f>IF(Metadata!M740="",FALSE,TRUE)</f>
        <v>0</v>
      </c>
      <c r="AZ740">
        <f>IF(Metadata!N740="",FALSE,TRUE)</f>
        <v>0</v>
      </c>
      <c r="BA740">
        <f>IF(Metadata!O740="",FALSE,TRUE)</f>
        <v>0</v>
      </c>
      <c r="BB740">
        <f>OR(AND(IF(Metadata!P740="",FALSE,TRUE),OR(exact(Metadata!P740,"not collected"),exact(Metadata!P740,"not provided"),exact(Metadata!P740,"restricted access"))),AND(IF(Metadata!P740="",FALSE,TRUE),OR(exact(Metadata!P740,"air"),exact(Metadata!P740,"built environment"),exact(Metadata!P740,"host-associated"),exact(Metadata!P740,"human-associated"),exact(Metadata!P740,"human-skin"),exact(Metadata!P740,"human-oral"),exact(Metadata!P740,"human-gut"),exact(Metadata!P740,"human-vaginal"),exact(Metadata!P740,"microbial mat/biofilm"),exact(Metadata!P740,"misc environment"),exact(Metadata!P740,"plant-associated"),exact(Metadata!P740,"sediment"),exact(Metadata!P740,"soil"),exact(Metadata!P740,"wastewater/sludge"),exact(Metadata!P740,"water"))))</f>
        <v>0</v>
      </c>
      <c r="BC740">
        <f>IF(Metadata!Q740="",FALSE,TRUE)</f>
        <v>0</v>
      </c>
      <c r="BD740">
        <f>IF(Metadata!R740="",FALSE,TRUE)</f>
        <v>0</v>
      </c>
      <c r="BE740">
        <f>OR(AND(IF(Metadata!S740="",FALSE,TRUE),OR(exact(Metadata!S740,"not collected"),exact(Metadata!S740,"not provided"),exact(Metadata!S740,"restricted access"))),AND(IF(Metadata!S740="",FALSE,ISNUMBER(VALUE(Metadata!S740))),Metadata!S740&gt;=-90.00,Metadata!S740&lt;=90.00))</f>
        <v>0</v>
      </c>
      <c r="BF740">
        <f>AND(IF(Metadata!T740="",FALSE,TRUE),exact(Metadata!T740,"Decimal degrees"))</f>
        <v>0</v>
      </c>
      <c r="BG740">
        <f>OR(AND(IF(Metadata!U740="",FALSE,TRUE),OR(exact(Metadata!U740,"not collected"),exact(Metadata!U740,"not provided"),exact(Metadata!U740,"restricted access"))),AND(IF(Metadata!U740="",FALSE,ISNUMBER(VALUE(Metadata!U740))),Metadata!U740&gt;=-180.00,Metadata!U740&lt;=180.00))</f>
        <v>0</v>
      </c>
      <c r="BH740">
        <f>AND(IF(Metadata!V740="",FALSE,TRUE),exact(Metadata!V740,"Decimal degrees"))</f>
        <v>0</v>
      </c>
      <c r="BI740">
        <f>IF(Metadata!W740="",FALSE,TRUE)</f>
        <v>0</v>
      </c>
      <c r="BJ740">
        <f>OR(AND(IF(Metadata!X740="",FALSE,TRUE),OR(exact(Metadata!X740,"not collected"),exact(Metadata!X740,"not provided"),exact(Metadata!X740,"restricted access"))),AND(IF(Metadata!X740="",FALSE,TRUE),OR(exact(Metadata!X740,"TRUE"),exact(Metadata!X740,"FALSE"))))</f>
        <v>0</v>
      </c>
      <c r="BK740">
        <f>AND(IF(Metadata!Y740="",FALSE,TRUE),exact(Metadata!Y740,"other"))</f>
        <v>0</v>
      </c>
      <c r="BL740">
        <f>IF(Metadata!Z740="",FALSE,TRUE)</f>
        <v>0</v>
      </c>
      <c r="BM740">
        <f>OR(AND(IF(Metadata!AA740="",FALSE,TRUE),OR(exact(Metadata!AA740,"not collected"),exact(Metadata!AA740,"not provided"))),AND(IF(Metadata!AA740="",FALSE,IF(ISERROR(INT(Metadata!AA740)),FALSE,INT(Metadata!AA740)=Metadata!AA740)),Metadata!AA740&gt;0))</f>
        <v>0</v>
      </c>
      <c r="BN740">
        <f>AND(IF(Metadata!AB740="",FALSE,TRUE),exact(Metadata!AB740,"Not applicable"))</f>
        <v>0</v>
      </c>
      <c r="BO740">
        <f>IF(Metadata!AC740="",FALSE,TRUE)</f>
        <v>0</v>
      </c>
    </row>
    <row r="741" spans="1:67">
      <c r="A741" s="5">
        <f>IF(B741=" "," ",HYPERLINK(CONCATENATE("#metadata!",ADDRESS(INDEX($AI$2:$AI$1001,MATCH(ROWS($AG$2:AG741),$AG$2:$AG$1001,0),0),1)),INDEX($AL$2:$AL$1001,MATCH(ROWS($AG$2:AG741),$AG$2:$AG$1001,0),0)))</f>
        <v>0</v>
      </c>
      <c r="B741" s="4">
        <f>IF(OR(INDEX($AH$2:$AH$1001,MATCH(ROWS($AG$2:AG741),$AG$2:$AG$1001,0),1)&gt;=100000,INDEX($AN$1005:$BO$1005,1,MATCH(COLUMNS($AN$1006:AN1006),$AN$1006:$BO$1006,0))&gt;=100000), " ",IF(INDEX($AN$2:$BO$1001,MATCH(ROWS($AG$2:AG741),$AG$2:$AG$1001,0),MATCH(COLUMNS($AN$1006:AN1006),$AN$1006:$BO$1006,0)), HYPERLINK("#",""), HYPERLINK(CONCATENATE("#Metadata!", ADDRESS(INDEX($AI$2:$AI$1001,MATCH(ROWS($AG$2:AG741),$AG$2:$AG$1001,0),0), INDEX($AN$1004:$BO$1004,1,MATCH(COLUMNS($AN$1006:AN1006),$AN$1006:$BO$1006,0)))),"Fix")))</f>
        <v>0</v>
      </c>
      <c r="C741" s="4">
        <f>IF(OR(INDEX($AH$2:$AH$1001,MATCH(ROWS($AG$2:AG741),$AG$2:$AG$1001,0),1)&gt;=100000,INDEX($AN$1005:$BO$1005,1,MATCH(COLUMNS($AN$1006:AO1006),$AN$1006:$BO$1006,0))&gt;=100000), " ",IF(INDEX($AN$2:$BO$1001,MATCH(ROWS($AG$2:AG741),$AG$2:$AG$1001,0),MATCH(COLUMNS($AN$1006:AO1006),$AN$1006:$BO$1006,0)), HYPERLINK("#",""), HYPERLINK(CONCATENATE("#Metadata!", ADDRESS(INDEX($AI$2:$AI$1001,MATCH(ROWS($AG$2:AG741),$AG$2:$AG$1001,0),0), INDEX($AN$1004:$BO$1004,1,MATCH(COLUMNS($AN$1006:AO1006),$AN$1006:$BO$1006,0)))),"Fix")))</f>
        <v>0</v>
      </c>
      <c r="D741" s="4">
        <f>IF(OR(INDEX($AH$2:$AH$1001,MATCH(ROWS($AG$2:AG741),$AG$2:$AG$1001,0),1)&gt;=100000,INDEX($AN$1005:$BO$1005,1,MATCH(COLUMNS($AN$1006:AP1006),$AN$1006:$BO$1006,0))&gt;=100000), " ",IF(INDEX($AN$2:$BO$1001,MATCH(ROWS($AG$2:AG741),$AG$2:$AG$1001,0),MATCH(COLUMNS($AN$1006:AP1006),$AN$1006:$BO$1006,0)), HYPERLINK("#",""), HYPERLINK(CONCATENATE("#Metadata!", ADDRESS(INDEX($AI$2:$AI$1001,MATCH(ROWS($AG$2:AG741),$AG$2:$AG$1001,0),0), INDEX($AN$1004:$BO$1004,1,MATCH(COLUMNS($AN$1006:AP1006),$AN$1006:$BO$1006,0)))),"Fix")))</f>
        <v>0</v>
      </c>
      <c r="E741" s="4">
        <f>IF(OR(INDEX($AH$2:$AH$1001,MATCH(ROWS($AG$2:AG741),$AG$2:$AG$1001,0),1)&gt;=100000,INDEX($AN$1005:$BO$1005,1,MATCH(COLUMNS($AN$1006:AQ1006),$AN$1006:$BO$1006,0))&gt;=100000), " ",IF(INDEX($AN$2:$BO$1001,MATCH(ROWS($AG$2:AG741),$AG$2:$AG$1001,0),MATCH(COLUMNS($AN$1006:AQ1006),$AN$1006:$BO$1006,0)), HYPERLINK("#",""), HYPERLINK(CONCATENATE("#Metadata!", ADDRESS(INDEX($AI$2:$AI$1001,MATCH(ROWS($AG$2:AG741),$AG$2:$AG$1001,0),0), INDEX($AN$1004:$BO$1004,1,MATCH(COLUMNS($AN$1006:AQ1006),$AN$1006:$BO$1006,0)))),"Fix")))</f>
        <v>0</v>
      </c>
      <c r="F741" s="4">
        <f>IF(OR(INDEX($AH$2:$AH$1001,MATCH(ROWS($AG$2:AG741),$AG$2:$AG$1001,0),1)&gt;=100000,INDEX($AN$1005:$BO$1005,1,MATCH(COLUMNS($AN$1006:AR1006),$AN$1006:$BO$1006,0))&gt;=100000), " ",IF(INDEX($AN$2:$BO$1001,MATCH(ROWS($AG$2:AG741),$AG$2:$AG$1001,0),MATCH(COLUMNS($AN$1006:AR1006),$AN$1006:$BO$1006,0)), HYPERLINK("#",""), HYPERLINK(CONCATENATE("#Metadata!", ADDRESS(INDEX($AI$2:$AI$1001,MATCH(ROWS($AG$2:AG741),$AG$2:$AG$1001,0),0), INDEX($AN$1004:$BO$1004,1,MATCH(COLUMNS($AN$1006:AR1006),$AN$1006:$BO$1006,0)))),"Fix")))</f>
        <v>0</v>
      </c>
      <c r="G741" s="4">
        <f>IF(OR(INDEX($AH$2:$AH$1001,MATCH(ROWS($AG$2:AG741),$AG$2:$AG$1001,0),1)&gt;=100000,INDEX($AN$1005:$BO$1005,1,MATCH(COLUMNS($AN$1006:AS1006),$AN$1006:$BO$1006,0))&gt;=100000), " ",IF(INDEX($AN$2:$BO$1001,MATCH(ROWS($AG$2:AG741),$AG$2:$AG$1001,0),MATCH(COLUMNS($AN$1006:AS1006),$AN$1006:$BO$1006,0)), HYPERLINK("#",""), HYPERLINK(CONCATENATE("#Metadata!", ADDRESS(INDEX($AI$2:$AI$1001,MATCH(ROWS($AG$2:AG741),$AG$2:$AG$1001,0),0), INDEX($AN$1004:$BO$1004,1,MATCH(COLUMNS($AN$1006:AS1006),$AN$1006:$BO$1006,0)))),"Fix")))</f>
        <v>0</v>
      </c>
      <c r="H741" s="4">
        <f>IF(OR(INDEX($AH$2:$AH$1001,MATCH(ROWS($AG$2:AG741),$AG$2:$AG$1001,0),1)&gt;=100000,INDEX($AN$1005:$BO$1005,1,MATCH(COLUMNS($AN$1006:AT1006),$AN$1006:$BO$1006,0))&gt;=100000), " ",IF(INDEX($AN$2:$BO$1001,MATCH(ROWS($AG$2:AG741),$AG$2:$AG$1001,0),MATCH(COLUMNS($AN$1006:AT1006),$AN$1006:$BO$1006,0)), HYPERLINK("#",""), HYPERLINK(CONCATENATE("#Metadata!", ADDRESS(INDEX($AI$2:$AI$1001,MATCH(ROWS($AG$2:AG741),$AG$2:$AG$1001,0),0), INDEX($AN$1004:$BO$1004,1,MATCH(COLUMNS($AN$1006:AT1006),$AN$1006:$BO$1006,0)))),"Fix")))</f>
        <v>0</v>
      </c>
      <c r="I741" s="4">
        <f>IF(OR(INDEX($AH$2:$AH$1001,MATCH(ROWS($AG$2:AG741),$AG$2:$AG$1001,0),1)&gt;=100000,INDEX($AN$1005:$BO$1005,1,MATCH(COLUMNS($AN$1006:AU1006),$AN$1006:$BO$1006,0))&gt;=100000), " ",IF(INDEX($AN$2:$BO$1001,MATCH(ROWS($AG$2:AG741),$AG$2:$AG$1001,0),MATCH(COLUMNS($AN$1006:AU1006),$AN$1006:$BO$1006,0)), HYPERLINK("#",""), HYPERLINK(CONCATENATE("#Metadata!", ADDRESS(INDEX($AI$2:$AI$1001,MATCH(ROWS($AG$2:AG741),$AG$2:$AG$1001,0),0), INDEX($AN$1004:$BO$1004,1,MATCH(COLUMNS($AN$1006:AU1006),$AN$1006:$BO$1006,0)))),"Fix")))</f>
        <v>0</v>
      </c>
      <c r="J741" s="4">
        <f>IF(OR(INDEX($AH$2:$AH$1001,MATCH(ROWS($AG$2:AG741),$AG$2:$AG$1001,0),1)&gt;=100000,INDEX($AN$1005:$BO$1005,1,MATCH(COLUMNS($AN$1006:AV1006),$AN$1006:$BO$1006,0))&gt;=100000), " ",IF(INDEX($AN$2:$BO$1001,MATCH(ROWS($AG$2:AG741),$AG$2:$AG$1001,0),MATCH(COLUMNS($AN$1006:AV1006),$AN$1006:$BO$1006,0)), HYPERLINK("#",""), HYPERLINK(CONCATENATE("#Metadata!", ADDRESS(INDEX($AI$2:$AI$1001,MATCH(ROWS($AG$2:AG741),$AG$2:$AG$1001,0),0), INDEX($AN$1004:$BO$1004,1,MATCH(COLUMNS($AN$1006:AV1006),$AN$1006:$BO$1006,0)))),"Fix")))</f>
        <v>0</v>
      </c>
      <c r="K741" s="4">
        <f>IF(OR(INDEX($AH$2:$AH$1001,MATCH(ROWS($AG$2:AG741),$AG$2:$AG$1001,0),1)&gt;=100000,INDEX($AN$1005:$BO$1005,1,MATCH(COLUMNS($AN$1006:AW1006),$AN$1006:$BO$1006,0))&gt;=100000), " ",IF(INDEX($AN$2:$BO$1001,MATCH(ROWS($AG$2:AG741),$AG$2:$AG$1001,0),MATCH(COLUMNS($AN$1006:AW1006),$AN$1006:$BO$1006,0)), HYPERLINK("#",""), HYPERLINK(CONCATENATE("#Metadata!", ADDRESS(INDEX($AI$2:$AI$1001,MATCH(ROWS($AG$2:AG741),$AG$2:$AG$1001,0),0), INDEX($AN$1004:$BO$1004,1,MATCH(COLUMNS($AN$1006:AW1006),$AN$1006:$BO$1006,0)))),"Fix")))</f>
        <v>0</v>
      </c>
      <c r="L741" s="4">
        <f>IF(OR(INDEX($AH$2:$AH$1001,MATCH(ROWS($AG$2:AG741),$AG$2:$AG$1001,0),1)&gt;=100000,INDEX($AN$1005:$BO$1005,1,MATCH(COLUMNS($AN$1006:AX1006),$AN$1006:$BO$1006,0))&gt;=100000), " ",IF(INDEX($AN$2:$BO$1001,MATCH(ROWS($AG$2:AG741),$AG$2:$AG$1001,0),MATCH(COLUMNS($AN$1006:AX1006),$AN$1006:$BO$1006,0)), HYPERLINK("#",""), HYPERLINK(CONCATENATE("#Metadata!", ADDRESS(INDEX($AI$2:$AI$1001,MATCH(ROWS($AG$2:AG741),$AG$2:$AG$1001,0),0), INDEX($AN$1004:$BO$1004,1,MATCH(COLUMNS($AN$1006:AX1006),$AN$1006:$BO$1006,0)))),"Fix")))</f>
        <v>0</v>
      </c>
      <c r="M741" s="4">
        <f>IF(OR(INDEX($AH$2:$AH$1001,MATCH(ROWS($AG$2:AG741),$AG$2:$AG$1001,0),1)&gt;=100000,INDEX($AN$1005:$BO$1005,1,MATCH(COLUMNS($AN$1006:AY1006),$AN$1006:$BO$1006,0))&gt;=100000), " ",IF(INDEX($AN$2:$BO$1001,MATCH(ROWS($AG$2:AG741),$AG$2:$AG$1001,0),MATCH(COLUMNS($AN$1006:AY1006),$AN$1006:$BO$1006,0)), HYPERLINK("#",""), HYPERLINK(CONCATENATE("#Metadata!", ADDRESS(INDEX($AI$2:$AI$1001,MATCH(ROWS($AG$2:AG741),$AG$2:$AG$1001,0),0), INDEX($AN$1004:$BO$1004,1,MATCH(COLUMNS($AN$1006:AY1006),$AN$1006:$BO$1006,0)))),"Fix")))</f>
        <v>0</v>
      </c>
      <c r="N741" s="4">
        <f>IF(OR(INDEX($AH$2:$AH$1001,MATCH(ROWS($AG$2:AG741),$AG$2:$AG$1001,0),1)&gt;=100000,INDEX($AN$1005:$BO$1005,1,MATCH(COLUMNS($AN$1006:AZ1006),$AN$1006:$BO$1006,0))&gt;=100000), " ",IF(INDEX($AN$2:$BO$1001,MATCH(ROWS($AG$2:AG741),$AG$2:$AG$1001,0),MATCH(COLUMNS($AN$1006:AZ1006),$AN$1006:$BO$1006,0)), HYPERLINK("#",""), HYPERLINK(CONCATENATE("#Metadata!", ADDRESS(INDEX($AI$2:$AI$1001,MATCH(ROWS($AG$2:AG741),$AG$2:$AG$1001,0),0), INDEX($AN$1004:$BO$1004,1,MATCH(COLUMNS($AN$1006:AZ1006),$AN$1006:$BO$1006,0)))),"Fix")))</f>
        <v>0</v>
      </c>
      <c r="O741" s="4">
        <f>IF(OR(INDEX($AH$2:$AH$1001,MATCH(ROWS($AG$2:AG741),$AG$2:$AG$1001,0),1)&gt;=100000,INDEX($AN$1005:$BO$1005,1,MATCH(COLUMNS($AN$1006:BA1006),$AN$1006:$BO$1006,0))&gt;=100000), " ",IF(INDEX($AN$2:$BO$1001,MATCH(ROWS($AG$2:AG741),$AG$2:$AG$1001,0),MATCH(COLUMNS($AN$1006:BA1006),$AN$1006:$BO$1006,0)), HYPERLINK("#",""), HYPERLINK(CONCATENATE("#Metadata!", ADDRESS(INDEX($AI$2:$AI$1001,MATCH(ROWS($AG$2:AG741),$AG$2:$AG$1001,0),0), INDEX($AN$1004:$BO$1004,1,MATCH(COLUMNS($AN$1006:BA1006),$AN$1006:$BO$1006,0)))),"Fix")))</f>
        <v>0</v>
      </c>
      <c r="P741" s="4">
        <f>IF(OR(INDEX($AH$2:$AH$1001,MATCH(ROWS($AG$2:AG741),$AG$2:$AG$1001,0),1)&gt;=100000,INDEX($AN$1005:$BO$1005,1,MATCH(COLUMNS($AN$1006:BB1006),$AN$1006:$BO$1006,0))&gt;=100000), " ",IF(INDEX($AN$2:$BO$1001,MATCH(ROWS($AG$2:AG741),$AG$2:$AG$1001,0),MATCH(COLUMNS($AN$1006:BB1006),$AN$1006:$BO$1006,0)), HYPERLINK("#",""), HYPERLINK(CONCATENATE("#Metadata!", ADDRESS(INDEX($AI$2:$AI$1001,MATCH(ROWS($AG$2:AG741),$AG$2:$AG$1001,0),0), INDEX($AN$1004:$BO$1004,1,MATCH(COLUMNS($AN$1006:BB1006),$AN$1006:$BO$1006,0)))),"Fix")))</f>
        <v>0</v>
      </c>
      <c r="Q741" s="4">
        <f>IF(OR(INDEX($AH$2:$AH$1001,MATCH(ROWS($AG$2:AG741),$AG$2:$AG$1001,0),1)&gt;=100000,INDEX($AN$1005:$BO$1005,1,MATCH(COLUMNS($AN$1006:BC1006),$AN$1006:$BO$1006,0))&gt;=100000), " ",IF(INDEX($AN$2:$BO$1001,MATCH(ROWS($AG$2:AG741),$AG$2:$AG$1001,0),MATCH(COLUMNS($AN$1006:BC1006),$AN$1006:$BO$1006,0)), HYPERLINK("#",""), HYPERLINK(CONCATENATE("#Metadata!", ADDRESS(INDEX($AI$2:$AI$1001,MATCH(ROWS($AG$2:AG741),$AG$2:$AG$1001,0),0), INDEX($AN$1004:$BO$1004,1,MATCH(COLUMNS($AN$1006:BC1006),$AN$1006:$BO$1006,0)))),"Fix")))</f>
        <v>0</v>
      </c>
      <c r="R741" s="4">
        <f>IF(OR(INDEX($AH$2:$AH$1001,MATCH(ROWS($AG$2:AG741),$AG$2:$AG$1001,0),1)&gt;=100000,INDEX($AN$1005:$BO$1005,1,MATCH(COLUMNS($AN$1006:BD1006),$AN$1006:$BO$1006,0))&gt;=100000), " ",IF(INDEX($AN$2:$BO$1001,MATCH(ROWS($AG$2:AG741),$AG$2:$AG$1001,0),MATCH(COLUMNS($AN$1006:BD1006),$AN$1006:$BO$1006,0)), HYPERLINK("#",""), HYPERLINK(CONCATENATE("#Metadata!", ADDRESS(INDEX($AI$2:$AI$1001,MATCH(ROWS($AG$2:AG741),$AG$2:$AG$1001,0),0), INDEX($AN$1004:$BO$1004,1,MATCH(COLUMNS($AN$1006:BD1006),$AN$1006:$BO$1006,0)))),"Fix")))</f>
        <v>0</v>
      </c>
      <c r="S741" s="4">
        <f>IF(OR(INDEX($AH$2:$AH$1001,MATCH(ROWS($AG$2:AG741),$AG$2:$AG$1001,0),1)&gt;=100000,INDEX($AN$1005:$BO$1005,1,MATCH(COLUMNS($AN$1006:BE1006),$AN$1006:$BO$1006,0))&gt;=100000), " ",IF(INDEX($AN$2:$BO$1001,MATCH(ROWS($AG$2:AG741),$AG$2:$AG$1001,0),MATCH(COLUMNS($AN$1006:BE1006),$AN$1006:$BO$1006,0)), HYPERLINK("#",""), HYPERLINK(CONCATENATE("#Metadata!", ADDRESS(INDEX($AI$2:$AI$1001,MATCH(ROWS($AG$2:AG741),$AG$2:$AG$1001,0),0), INDEX($AN$1004:$BO$1004,1,MATCH(COLUMNS($AN$1006:BE1006),$AN$1006:$BO$1006,0)))),"Fix")))</f>
        <v>0</v>
      </c>
      <c r="T741" s="4">
        <f>IF(OR(INDEX($AH$2:$AH$1001,MATCH(ROWS($AG$2:AG741),$AG$2:$AG$1001,0),1)&gt;=100000,INDEX($AN$1005:$BO$1005,1,MATCH(COLUMNS($AN$1006:BF1006),$AN$1006:$BO$1006,0))&gt;=100000), " ",IF(INDEX($AN$2:$BO$1001,MATCH(ROWS($AG$2:AG741),$AG$2:$AG$1001,0),MATCH(COLUMNS($AN$1006:BF1006),$AN$1006:$BO$1006,0)), HYPERLINK("#",""), HYPERLINK(CONCATENATE("#Metadata!", ADDRESS(INDEX($AI$2:$AI$1001,MATCH(ROWS($AG$2:AG741),$AG$2:$AG$1001,0),0), INDEX($AN$1004:$BO$1004,1,MATCH(COLUMNS($AN$1006:BF1006),$AN$1006:$BO$1006,0)))),"Fix")))</f>
        <v>0</v>
      </c>
      <c r="U741" s="4">
        <f>IF(OR(INDEX($AH$2:$AH$1001,MATCH(ROWS($AG$2:AG741),$AG$2:$AG$1001,0),1)&gt;=100000,INDEX($AN$1005:$BO$1005,1,MATCH(COLUMNS($AN$1006:BG1006),$AN$1006:$BO$1006,0))&gt;=100000), " ",IF(INDEX($AN$2:$BO$1001,MATCH(ROWS($AG$2:AG741),$AG$2:$AG$1001,0),MATCH(COLUMNS($AN$1006:BG1006),$AN$1006:$BO$1006,0)), HYPERLINK("#",""), HYPERLINK(CONCATENATE("#Metadata!", ADDRESS(INDEX($AI$2:$AI$1001,MATCH(ROWS($AG$2:AG741),$AG$2:$AG$1001,0),0), INDEX($AN$1004:$BO$1004,1,MATCH(COLUMNS($AN$1006:BG1006),$AN$1006:$BO$1006,0)))),"Fix")))</f>
        <v>0</v>
      </c>
      <c r="V741" s="4">
        <f>IF(OR(INDEX($AH$2:$AH$1001,MATCH(ROWS($AG$2:AG741),$AG$2:$AG$1001,0),1)&gt;=100000,INDEX($AN$1005:$BO$1005,1,MATCH(COLUMNS($AN$1006:BH1006),$AN$1006:$BO$1006,0))&gt;=100000), " ",IF(INDEX($AN$2:$BO$1001,MATCH(ROWS($AG$2:AG741),$AG$2:$AG$1001,0),MATCH(COLUMNS($AN$1006:BH1006),$AN$1006:$BO$1006,0)), HYPERLINK("#",""), HYPERLINK(CONCATENATE("#Metadata!", ADDRESS(INDEX($AI$2:$AI$1001,MATCH(ROWS($AG$2:AG741),$AG$2:$AG$1001,0),0), INDEX($AN$1004:$BO$1004,1,MATCH(COLUMNS($AN$1006:BH1006),$AN$1006:$BO$1006,0)))),"Fix")))</f>
        <v>0</v>
      </c>
      <c r="W741" s="4">
        <f>IF(OR(INDEX($AH$2:$AH$1001,MATCH(ROWS($AG$2:AG741),$AG$2:$AG$1001,0),1)&gt;=100000,INDEX($AN$1005:$BO$1005,1,MATCH(COLUMNS($AN$1006:BI1006),$AN$1006:$BO$1006,0))&gt;=100000), " ",IF(INDEX($AN$2:$BO$1001,MATCH(ROWS($AG$2:AG741),$AG$2:$AG$1001,0),MATCH(COLUMNS($AN$1006:BI1006),$AN$1006:$BO$1006,0)), HYPERLINK("#",""), HYPERLINK(CONCATENATE("#Metadata!", ADDRESS(INDEX($AI$2:$AI$1001,MATCH(ROWS($AG$2:AG741),$AG$2:$AG$1001,0),0), INDEX($AN$1004:$BO$1004,1,MATCH(COLUMNS($AN$1006:BI1006),$AN$1006:$BO$1006,0)))),"Fix")))</f>
        <v>0</v>
      </c>
      <c r="X741" s="4">
        <f>IF(OR(INDEX($AH$2:$AH$1001,MATCH(ROWS($AG$2:AG741),$AG$2:$AG$1001,0),1)&gt;=100000,INDEX($AN$1005:$BO$1005,1,MATCH(COLUMNS($AN$1006:BJ1006),$AN$1006:$BO$1006,0))&gt;=100000), " ",IF(INDEX($AN$2:$BO$1001,MATCH(ROWS($AG$2:AG741),$AG$2:$AG$1001,0),MATCH(COLUMNS($AN$1006:BJ1006),$AN$1006:$BO$1006,0)), HYPERLINK("#",""), HYPERLINK(CONCATENATE("#Metadata!", ADDRESS(INDEX($AI$2:$AI$1001,MATCH(ROWS($AG$2:AG741),$AG$2:$AG$1001,0),0), INDEX($AN$1004:$BO$1004,1,MATCH(COLUMNS($AN$1006:BJ1006),$AN$1006:$BO$1006,0)))),"Fix")))</f>
        <v>0</v>
      </c>
      <c r="Y741" s="4">
        <f>IF(OR(INDEX($AH$2:$AH$1001,MATCH(ROWS($AG$2:AG741),$AG$2:$AG$1001,0),1)&gt;=100000,INDEX($AN$1005:$BO$1005,1,MATCH(COLUMNS($AN$1006:BK1006),$AN$1006:$BO$1006,0))&gt;=100000), " ",IF(INDEX($AN$2:$BO$1001,MATCH(ROWS($AG$2:AG741),$AG$2:$AG$1001,0),MATCH(COLUMNS($AN$1006:BK1006),$AN$1006:$BO$1006,0)), HYPERLINK("#",""), HYPERLINK(CONCATENATE("#Metadata!", ADDRESS(INDEX($AI$2:$AI$1001,MATCH(ROWS($AG$2:AG741),$AG$2:$AG$1001,0),0), INDEX($AN$1004:$BO$1004,1,MATCH(COLUMNS($AN$1006:BK1006),$AN$1006:$BO$1006,0)))),"Fix")))</f>
        <v>0</v>
      </c>
      <c r="Z741" s="4">
        <f>IF(OR(INDEX($AH$2:$AH$1001,MATCH(ROWS($AG$2:AG741),$AG$2:$AG$1001,0),1)&gt;=100000,INDEX($AN$1005:$BO$1005,1,MATCH(COLUMNS($AN$1006:BL1006),$AN$1006:$BO$1006,0))&gt;=100000), " ",IF(INDEX($AN$2:$BO$1001,MATCH(ROWS($AG$2:AG741),$AG$2:$AG$1001,0),MATCH(COLUMNS($AN$1006:BL1006),$AN$1006:$BO$1006,0)), HYPERLINK("#",""), HYPERLINK(CONCATENATE("#Metadata!", ADDRESS(INDEX($AI$2:$AI$1001,MATCH(ROWS($AG$2:AG741),$AG$2:$AG$1001,0),0), INDEX($AN$1004:$BO$1004,1,MATCH(COLUMNS($AN$1006:BL1006),$AN$1006:$BO$1006,0)))),"Fix")))</f>
        <v>0</v>
      </c>
      <c r="AA741" s="4">
        <f>IF(OR(INDEX($AH$2:$AH$1001,MATCH(ROWS($AG$2:AG741),$AG$2:$AG$1001,0),1)&gt;=100000,INDEX($AN$1005:$BO$1005,1,MATCH(COLUMNS($AN$1006:BM1006),$AN$1006:$BO$1006,0))&gt;=100000), " ",IF(INDEX($AN$2:$BO$1001,MATCH(ROWS($AG$2:AG741),$AG$2:$AG$1001,0),MATCH(COLUMNS($AN$1006:BM1006),$AN$1006:$BO$1006,0)), HYPERLINK("#",""), HYPERLINK(CONCATENATE("#Metadata!", ADDRESS(INDEX($AI$2:$AI$1001,MATCH(ROWS($AG$2:AG741),$AG$2:$AG$1001,0),0), INDEX($AN$1004:$BO$1004,1,MATCH(COLUMNS($AN$1006:BM1006),$AN$1006:$BO$1006,0)))),"Fix")))</f>
        <v>0</v>
      </c>
      <c r="AB741" s="4">
        <f>IF(OR(INDEX($AH$2:$AH$1001,MATCH(ROWS($AG$2:AG741),$AG$2:$AG$1001,0),1)&gt;=100000,INDEX($AN$1005:$BO$1005,1,MATCH(COLUMNS($AN$1006:BN1006),$AN$1006:$BO$1006,0))&gt;=100000), " ",IF(INDEX($AN$2:$BO$1001,MATCH(ROWS($AG$2:AG741),$AG$2:$AG$1001,0),MATCH(COLUMNS($AN$1006:BN1006),$AN$1006:$BO$1006,0)), HYPERLINK("#",""), HYPERLINK(CONCATENATE("#Metadata!", ADDRESS(INDEX($AI$2:$AI$1001,MATCH(ROWS($AG$2:AG741),$AG$2:$AG$1001,0),0), INDEX($AN$1004:$BO$1004,1,MATCH(COLUMNS($AN$1006:BN1006),$AN$1006:$BO$1006,0)))),"Fix")))</f>
        <v>0</v>
      </c>
      <c r="AC741" s="4">
        <f>IF(OR(INDEX($AH$2:$AH$1001,MATCH(ROWS($AG$2:AG741),$AG$2:$AG$1001,0),1)&gt;=100000,INDEX($AN$1005:$BO$1005,1,MATCH(COLUMNS($AN$1006:BO1006),$AN$1006:$BO$1006,0))&gt;=100000), " ",IF(INDEX($AN$2:$BO$1001,MATCH(ROWS($AG$2:AG741),$AG$2:$AG$1001,0),MATCH(COLUMNS($AN$1006:BO1006),$AN$1006:$BO$1006,0)), HYPERLINK("#",""), HYPERLINK(CONCATENATE("#Metadata!", ADDRESS(INDEX($AI$2:$AI$1001,MATCH(ROWS($AG$2:AG741),$AG$2:$AG$1001,0),0), INDEX($AN$1004:$BO$1004,1,MATCH(COLUMNS($AN$1006:BO1006),$AN$1006:$BO$1006,0)))),"Fix")))</f>
        <v>0</v>
      </c>
      <c r="AG741">
        <v>0</v>
      </c>
      <c r="AH741">
        <v>0</v>
      </c>
      <c r="AI741">
        <v>0</v>
      </c>
      <c r="AJ741">
        <f>IF(AK741,TRUE,AND(AN741:BO741))</f>
        <v>0</v>
      </c>
      <c r="AK741">
        <f>COUNTBLANK(Metadata!B741:AC741)=COLUMNS(Metadata!B741:AC741)</f>
        <v>0</v>
      </c>
      <c r="AL741">
        <v>0</v>
      </c>
      <c r="AN741">
        <f>AND(IF(Metadata!B741="",FALSE,TRUE),COUNTIF(Metadata!B:B, Metadata!B741) = 1,NOT(ISERROR(SUMPRODUCT(SEARCH(MID(Metadata!B741,ROW(INDIRECT("1:"&amp;LEN(Metadata!B741))), 1),"0123456789abcdefghijklmnopqrstuvwxyzABCDEFGHIJKLMNOPQRSTUVWXYZ.")))))</f>
        <v>0</v>
      </c>
      <c r="AO741">
        <f>IF(Metadata!C741="",FALSE,TRUE)</f>
        <v>0</v>
      </c>
      <c r="AP741">
        <f>IF(Metadata!D741="",FALSE,TRUE)</f>
        <v>0</v>
      </c>
      <c r="AQ741">
        <f>OR(AND(IF(Metadata!E741="",FALSE,TRUE),OR(exact(Metadata!E741,"not collected"),exact(Metadata!E741,"not provided"),exact(Metadata!E741,"restricted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R741">
        <f>IF(Metadata!F741="",FALSE,TRUE)</f>
        <v>0</v>
      </c>
      <c r="AS741">
        <f>OR(AND(IF(Metadata!G741="",FALSE,TRUE),OR(exact(Metadata!G741,"not collected"),exact(Metadata!G741,"not provided"))),AND(IF(Metadata!G741="",FALSE,TRUE),OR(exact(Metadata!G741,"TRUE"),exact(Metadata!G741,"FALSE"))))</f>
        <v>0</v>
      </c>
      <c r="AT741">
        <f>OR(AND(IF(Metadata!H741="",FALSE,TRUE),OR(exact(Metadata!H741,"not collected"),exact(Metadata!H741,"not provided"),exact(Metadata!H741,"restricted access"))),AND(IF(Metadata!H741="",FALSE,ISNUMBER(VALUE(Metadata!H741))),Metadata!H741&gt;=-413.0))</f>
        <v>0</v>
      </c>
      <c r="AU741">
        <f>AND(IF(Metadata!I741="",FALSE,TRUE),exact(Metadata!I741,"meters"))</f>
        <v>0</v>
      </c>
      <c r="AV741">
        <f>AND(IF(Metadata!J741="",FALSE,TRUE),OR(exact(Metadata!J741,"Host-associated"),exact(Metadata!J741,"Free-living")))</f>
        <v>0</v>
      </c>
      <c r="AW741">
        <f>AND(IF(Metadata!K741="",FALSE,TRUE),OR(exact(Metadata!K741,"Animal"),exact(Metadata!K741,"Fungus"),exact(Metadata!K741,"Plant"),exact(Metadata!K741,"Saline"),exact(Metadata!K741,"Non-saline")))</f>
        <v>0</v>
      </c>
      <c r="AX741">
        <f>AND(IF(Metadata!L741="",FALSE,TRUE),OR(exact(Metadata!L741,"Plant secretion"),exact(Metadata!L741,"Plant rhizosphere"),exact(Metadata!L741,"Plant surface"),exact(Metadata!L741,"Plant corpus"),exact(Metadata!L741,"Fungus surface"),exact(Metadata!L741,"Fungus corpus"),exact(Metadata!L741,"Animal surface"),exact(Metadata!L741,"Animal proximal gut"),exact(Metadata!L741,"Animal corpus"),exact(Metadata!L741,"Animal distal gut"),exact(Metadata!L741,"Animal secretion"),exact(Metadata!L741,"Sub-surface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Y741">
        <f>IF(Metadata!M741="",FALSE,TRUE)</f>
        <v>0</v>
      </c>
      <c r="AZ741">
        <f>IF(Metadata!N741="",FALSE,TRUE)</f>
        <v>0</v>
      </c>
      <c r="BA741">
        <f>IF(Metadata!O741="",FALSE,TRUE)</f>
        <v>0</v>
      </c>
      <c r="BB741">
        <f>OR(AND(IF(Metadata!P741="",FALSE,TRUE),OR(exact(Metadata!P741,"not collected"),exact(Metadata!P741,"not provided"),exact(Metadata!P741,"restricted access"))),AND(IF(Metadata!P741="",FALSE,TRUE),OR(exact(Metadata!P741,"air"),exact(Metadata!P741,"built environment"),exact(Metadata!P741,"host-associated"),exact(Metadata!P741,"human-associated"),exact(Metadata!P741,"human-skin"),exact(Metadata!P741,"human-oral"),exact(Metadata!P741,"human-gut"),exact(Metadata!P741,"human-vaginal"),exact(Metadata!P741,"microbial mat/biofilm"),exact(Metadata!P741,"misc environment"),exact(Metadata!P741,"plant-associated"),exact(Metadata!P741,"sediment"),exact(Metadata!P741,"soil"),exact(Metadata!P741,"wastewater/sludge"),exact(Metadata!P741,"water"))))</f>
        <v>0</v>
      </c>
      <c r="BC741">
        <f>IF(Metadata!Q741="",FALSE,TRUE)</f>
        <v>0</v>
      </c>
      <c r="BD741">
        <f>IF(Metadata!R741="",FALSE,TRUE)</f>
        <v>0</v>
      </c>
      <c r="BE741">
        <f>OR(AND(IF(Metadata!S741="",FALSE,TRUE),OR(exact(Metadata!S741,"not collected"),exact(Metadata!S741,"not provided"),exact(Metadata!S741,"restricted access"))),AND(IF(Metadata!S741="",FALSE,ISNUMBER(VALUE(Metadata!S741))),Metadata!S741&gt;=-90.00,Metadata!S741&lt;=90.00))</f>
        <v>0</v>
      </c>
      <c r="BF741">
        <f>AND(IF(Metadata!T741="",FALSE,TRUE),exact(Metadata!T741,"Decimal degrees"))</f>
        <v>0</v>
      </c>
      <c r="BG741">
        <f>OR(AND(IF(Metadata!U741="",FALSE,TRUE),OR(exact(Metadata!U741,"not collected"),exact(Metadata!U741,"not provided"),exact(Metadata!U741,"restricted access"))),AND(IF(Metadata!U741="",FALSE,ISNUMBER(VALUE(Metadata!U741))),Metadata!U741&gt;=-180.00,Metadata!U741&lt;=180.00))</f>
        <v>0</v>
      </c>
      <c r="BH741">
        <f>AND(IF(Metadata!V741="",FALSE,TRUE),exact(Metadata!V741,"Decimal degrees"))</f>
        <v>0</v>
      </c>
      <c r="BI741">
        <f>IF(Metadata!W741="",FALSE,TRUE)</f>
        <v>0</v>
      </c>
      <c r="BJ741">
        <f>OR(AND(IF(Metadata!X741="",FALSE,TRUE),OR(exact(Metadata!X741,"not collected"),exact(Metadata!X741,"not provided"),exact(Metadata!X741,"restricted access"))),AND(IF(Metadata!X741="",FALSE,TRUE),OR(exact(Metadata!X741,"TRUE"),exact(Metadata!X741,"FALSE"))))</f>
        <v>0</v>
      </c>
      <c r="BK741">
        <f>AND(IF(Metadata!Y741="",FALSE,TRUE),exact(Metadata!Y741,"other"))</f>
        <v>0</v>
      </c>
      <c r="BL741">
        <f>IF(Metadata!Z741="",FALSE,TRUE)</f>
        <v>0</v>
      </c>
      <c r="BM741">
        <f>OR(AND(IF(Metadata!AA741="",FALSE,TRUE),OR(exact(Metadata!AA741,"not collected"),exact(Metadata!AA741,"not provided"))),AND(IF(Metadata!AA741="",FALSE,IF(ISERROR(INT(Metadata!AA741)),FALSE,INT(Metadata!AA741)=Metadata!AA741)),Metadata!AA741&gt;0))</f>
        <v>0</v>
      </c>
      <c r="BN741">
        <f>AND(IF(Metadata!AB741="",FALSE,TRUE),exact(Metadata!AB741,"Not applicable"))</f>
        <v>0</v>
      </c>
      <c r="BO741">
        <f>IF(Metadata!AC741="",FALSE,TRUE)</f>
        <v>0</v>
      </c>
    </row>
    <row r="742" spans="1:67">
      <c r="A742" s="5">
        <f>IF(B742=" "," ",HYPERLINK(CONCATENATE("#metadata!",ADDRESS(INDEX($AI$2:$AI$1001,MATCH(ROWS($AG$2:AG742),$AG$2:$AG$1001,0),0),1)),INDEX($AL$2:$AL$1001,MATCH(ROWS($AG$2:AG742),$AG$2:$AG$1001,0),0)))</f>
        <v>0</v>
      </c>
      <c r="B742" s="4">
        <f>IF(OR(INDEX($AH$2:$AH$1001,MATCH(ROWS($AG$2:AG742),$AG$2:$AG$1001,0),1)&gt;=100000,INDEX($AN$1005:$BO$1005,1,MATCH(COLUMNS($AN$1006:AN1006),$AN$1006:$BO$1006,0))&gt;=100000), " ",IF(INDEX($AN$2:$BO$1001,MATCH(ROWS($AG$2:AG742),$AG$2:$AG$1001,0),MATCH(COLUMNS($AN$1006:AN1006),$AN$1006:$BO$1006,0)), HYPERLINK("#",""), HYPERLINK(CONCATENATE("#Metadata!", ADDRESS(INDEX($AI$2:$AI$1001,MATCH(ROWS($AG$2:AG742),$AG$2:$AG$1001,0),0), INDEX($AN$1004:$BO$1004,1,MATCH(COLUMNS($AN$1006:AN1006),$AN$1006:$BO$1006,0)))),"Fix")))</f>
        <v>0</v>
      </c>
      <c r="C742" s="4">
        <f>IF(OR(INDEX($AH$2:$AH$1001,MATCH(ROWS($AG$2:AG742),$AG$2:$AG$1001,0),1)&gt;=100000,INDEX($AN$1005:$BO$1005,1,MATCH(COLUMNS($AN$1006:AO1006),$AN$1006:$BO$1006,0))&gt;=100000), " ",IF(INDEX($AN$2:$BO$1001,MATCH(ROWS($AG$2:AG742),$AG$2:$AG$1001,0),MATCH(COLUMNS($AN$1006:AO1006),$AN$1006:$BO$1006,0)), HYPERLINK("#",""), HYPERLINK(CONCATENATE("#Metadata!", ADDRESS(INDEX($AI$2:$AI$1001,MATCH(ROWS($AG$2:AG742),$AG$2:$AG$1001,0),0), INDEX($AN$1004:$BO$1004,1,MATCH(COLUMNS($AN$1006:AO1006),$AN$1006:$BO$1006,0)))),"Fix")))</f>
        <v>0</v>
      </c>
      <c r="D742" s="4">
        <f>IF(OR(INDEX($AH$2:$AH$1001,MATCH(ROWS($AG$2:AG742),$AG$2:$AG$1001,0),1)&gt;=100000,INDEX($AN$1005:$BO$1005,1,MATCH(COLUMNS($AN$1006:AP1006),$AN$1006:$BO$1006,0))&gt;=100000), " ",IF(INDEX($AN$2:$BO$1001,MATCH(ROWS($AG$2:AG742),$AG$2:$AG$1001,0),MATCH(COLUMNS($AN$1006:AP1006),$AN$1006:$BO$1006,0)), HYPERLINK("#",""), HYPERLINK(CONCATENATE("#Metadata!", ADDRESS(INDEX($AI$2:$AI$1001,MATCH(ROWS($AG$2:AG742),$AG$2:$AG$1001,0),0), INDEX($AN$1004:$BO$1004,1,MATCH(COLUMNS($AN$1006:AP1006),$AN$1006:$BO$1006,0)))),"Fix")))</f>
        <v>0</v>
      </c>
      <c r="E742" s="4">
        <f>IF(OR(INDEX($AH$2:$AH$1001,MATCH(ROWS($AG$2:AG742),$AG$2:$AG$1001,0),1)&gt;=100000,INDEX($AN$1005:$BO$1005,1,MATCH(COLUMNS($AN$1006:AQ1006),$AN$1006:$BO$1006,0))&gt;=100000), " ",IF(INDEX($AN$2:$BO$1001,MATCH(ROWS($AG$2:AG742),$AG$2:$AG$1001,0),MATCH(COLUMNS($AN$1006:AQ1006),$AN$1006:$BO$1006,0)), HYPERLINK("#",""), HYPERLINK(CONCATENATE("#Metadata!", ADDRESS(INDEX($AI$2:$AI$1001,MATCH(ROWS($AG$2:AG742),$AG$2:$AG$1001,0),0), INDEX($AN$1004:$BO$1004,1,MATCH(COLUMNS($AN$1006:AQ1006),$AN$1006:$BO$1006,0)))),"Fix")))</f>
        <v>0</v>
      </c>
      <c r="F742" s="4">
        <f>IF(OR(INDEX($AH$2:$AH$1001,MATCH(ROWS($AG$2:AG742),$AG$2:$AG$1001,0),1)&gt;=100000,INDEX($AN$1005:$BO$1005,1,MATCH(COLUMNS($AN$1006:AR1006),$AN$1006:$BO$1006,0))&gt;=100000), " ",IF(INDEX($AN$2:$BO$1001,MATCH(ROWS($AG$2:AG742),$AG$2:$AG$1001,0),MATCH(COLUMNS($AN$1006:AR1006),$AN$1006:$BO$1006,0)), HYPERLINK("#",""), HYPERLINK(CONCATENATE("#Metadata!", ADDRESS(INDEX($AI$2:$AI$1001,MATCH(ROWS($AG$2:AG742),$AG$2:$AG$1001,0),0), INDEX($AN$1004:$BO$1004,1,MATCH(COLUMNS($AN$1006:AR1006),$AN$1006:$BO$1006,0)))),"Fix")))</f>
        <v>0</v>
      </c>
      <c r="G742" s="4">
        <f>IF(OR(INDEX($AH$2:$AH$1001,MATCH(ROWS($AG$2:AG742),$AG$2:$AG$1001,0),1)&gt;=100000,INDEX($AN$1005:$BO$1005,1,MATCH(COLUMNS($AN$1006:AS1006),$AN$1006:$BO$1006,0))&gt;=100000), " ",IF(INDEX($AN$2:$BO$1001,MATCH(ROWS($AG$2:AG742),$AG$2:$AG$1001,0),MATCH(COLUMNS($AN$1006:AS1006),$AN$1006:$BO$1006,0)), HYPERLINK("#",""), HYPERLINK(CONCATENATE("#Metadata!", ADDRESS(INDEX($AI$2:$AI$1001,MATCH(ROWS($AG$2:AG742),$AG$2:$AG$1001,0),0), INDEX($AN$1004:$BO$1004,1,MATCH(COLUMNS($AN$1006:AS1006),$AN$1006:$BO$1006,0)))),"Fix")))</f>
        <v>0</v>
      </c>
      <c r="H742" s="4">
        <f>IF(OR(INDEX($AH$2:$AH$1001,MATCH(ROWS($AG$2:AG742),$AG$2:$AG$1001,0),1)&gt;=100000,INDEX($AN$1005:$BO$1005,1,MATCH(COLUMNS($AN$1006:AT1006),$AN$1006:$BO$1006,0))&gt;=100000), " ",IF(INDEX($AN$2:$BO$1001,MATCH(ROWS($AG$2:AG742),$AG$2:$AG$1001,0),MATCH(COLUMNS($AN$1006:AT1006),$AN$1006:$BO$1006,0)), HYPERLINK("#",""), HYPERLINK(CONCATENATE("#Metadata!", ADDRESS(INDEX($AI$2:$AI$1001,MATCH(ROWS($AG$2:AG742),$AG$2:$AG$1001,0),0), INDEX($AN$1004:$BO$1004,1,MATCH(COLUMNS($AN$1006:AT1006),$AN$1006:$BO$1006,0)))),"Fix")))</f>
        <v>0</v>
      </c>
      <c r="I742" s="4">
        <f>IF(OR(INDEX($AH$2:$AH$1001,MATCH(ROWS($AG$2:AG742),$AG$2:$AG$1001,0),1)&gt;=100000,INDEX($AN$1005:$BO$1005,1,MATCH(COLUMNS($AN$1006:AU1006),$AN$1006:$BO$1006,0))&gt;=100000), " ",IF(INDEX($AN$2:$BO$1001,MATCH(ROWS($AG$2:AG742),$AG$2:$AG$1001,0),MATCH(COLUMNS($AN$1006:AU1006),$AN$1006:$BO$1006,0)), HYPERLINK("#",""), HYPERLINK(CONCATENATE("#Metadata!", ADDRESS(INDEX($AI$2:$AI$1001,MATCH(ROWS($AG$2:AG742),$AG$2:$AG$1001,0),0), INDEX($AN$1004:$BO$1004,1,MATCH(COLUMNS($AN$1006:AU1006),$AN$1006:$BO$1006,0)))),"Fix")))</f>
        <v>0</v>
      </c>
      <c r="J742" s="4">
        <f>IF(OR(INDEX($AH$2:$AH$1001,MATCH(ROWS($AG$2:AG742),$AG$2:$AG$1001,0),1)&gt;=100000,INDEX($AN$1005:$BO$1005,1,MATCH(COLUMNS($AN$1006:AV1006),$AN$1006:$BO$1006,0))&gt;=100000), " ",IF(INDEX($AN$2:$BO$1001,MATCH(ROWS($AG$2:AG742),$AG$2:$AG$1001,0),MATCH(COLUMNS($AN$1006:AV1006),$AN$1006:$BO$1006,0)), HYPERLINK("#",""), HYPERLINK(CONCATENATE("#Metadata!", ADDRESS(INDEX($AI$2:$AI$1001,MATCH(ROWS($AG$2:AG742),$AG$2:$AG$1001,0),0), INDEX($AN$1004:$BO$1004,1,MATCH(COLUMNS($AN$1006:AV1006),$AN$1006:$BO$1006,0)))),"Fix")))</f>
        <v>0</v>
      </c>
      <c r="K742" s="4">
        <f>IF(OR(INDEX($AH$2:$AH$1001,MATCH(ROWS($AG$2:AG742),$AG$2:$AG$1001,0),1)&gt;=100000,INDEX($AN$1005:$BO$1005,1,MATCH(COLUMNS($AN$1006:AW1006),$AN$1006:$BO$1006,0))&gt;=100000), " ",IF(INDEX($AN$2:$BO$1001,MATCH(ROWS($AG$2:AG742),$AG$2:$AG$1001,0),MATCH(COLUMNS($AN$1006:AW1006),$AN$1006:$BO$1006,0)), HYPERLINK("#",""), HYPERLINK(CONCATENATE("#Metadata!", ADDRESS(INDEX($AI$2:$AI$1001,MATCH(ROWS($AG$2:AG742),$AG$2:$AG$1001,0),0), INDEX($AN$1004:$BO$1004,1,MATCH(COLUMNS($AN$1006:AW1006),$AN$1006:$BO$1006,0)))),"Fix")))</f>
        <v>0</v>
      </c>
      <c r="L742" s="4">
        <f>IF(OR(INDEX($AH$2:$AH$1001,MATCH(ROWS($AG$2:AG742),$AG$2:$AG$1001,0),1)&gt;=100000,INDEX($AN$1005:$BO$1005,1,MATCH(COLUMNS($AN$1006:AX1006),$AN$1006:$BO$1006,0))&gt;=100000), " ",IF(INDEX($AN$2:$BO$1001,MATCH(ROWS($AG$2:AG742),$AG$2:$AG$1001,0),MATCH(COLUMNS($AN$1006:AX1006),$AN$1006:$BO$1006,0)), HYPERLINK("#",""), HYPERLINK(CONCATENATE("#Metadata!", ADDRESS(INDEX($AI$2:$AI$1001,MATCH(ROWS($AG$2:AG742),$AG$2:$AG$1001,0),0), INDEX($AN$1004:$BO$1004,1,MATCH(COLUMNS($AN$1006:AX1006),$AN$1006:$BO$1006,0)))),"Fix")))</f>
        <v>0</v>
      </c>
      <c r="M742" s="4">
        <f>IF(OR(INDEX($AH$2:$AH$1001,MATCH(ROWS($AG$2:AG742),$AG$2:$AG$1001,0),1)&gt;=100000,INDEX($AN$1005:$BO$1005,1,MATCH(COLUMNS($AN$1006:AY1006),$AN$1006:$BO$1006,0))&gt;=100000), " ",IF(INDEX($AN$2:$BO$1001,MATCH(ROWS($AG$2:AG742),$AG$2:$AG$1001,0),MATCH(COLUMNS($AN$1006:AY1006),$AN$1006:$BO$1006,0)), HYPERLINK("#",""), HYPERLINK(CONCATENATE("#Metadata!", ADDRESS(INDEX($AI$2:$AI$1001,MATCH(ROWS($AG$2:AG742),$AG$2:$AG$1001,0),0), INDEX($AN$1004:$BO$1004,1,MATCH(COLUMNS($AN$1006:AY1006),$AN$1006:$BO$1006,0)))),"Fix")))</f>
        <v>0</v>
      </c>
      <c r="N742" s="4">
        <f>IF(OR(INDEX($AH$2:$AH$1001,MATCH(ROWS($AG$2:AG742),$AG$2:$AG$1001,0),1)&gt;=100000,INDEX($AN$1005:$BO$1005,1,MATCH(COLUMNS($AN$1006:AZ1006),$AN$1006:$BO$1006,0))&gt;=100000), " ",IF(INDEX($AN$2:$BO$1001,MATCH(ROWS($AG$2:AG742),$AG$2:$AG$1001,0),MATCH(COLUMNS($AN$1006:AZ1006),$AN$1006:$BO$1006,0)), HYPERLINK("#",""), HYPERLINK(CONCATENATE("#Metadata!", ADDRESS(INDEX($AI$2:$AI$1001,MATCH(ROWS($AG$2:AG742),$AG$2:$AG$1001,0),0), INDEX($AN$1004:$BO$1004,1,MATCH(COLUMNS($AN$1006:AZ1006),$AN$1006:$BO$1006,0)))),"Fix")))</f>
        <v>0</v>
      </c>
      <c r="O742" s="4">
        <f>IF(OR(INDEX($AH$2:$AH$1001,MATCH(ROWS($AG$2:AG742),$AG$2:$AG$1001,0),1)&gt;=100000,INDEX($AN$1005:$BO$1005,1,MATCH(COLUMNS($AN$1006:BA1006),$AN$1006:$BO$1006,0))&gt;=100000), " ",IF(INDEX($AN$2:$BO$1001,MATCH(ROWS($AG$2:AG742),$AG$2:$AG$1001,0),MATCH(COLUMNS($AN$1006:BA1006),$AN$1006:$BO$1006,0)), HYPERLINK("#",""), HYPERLINK(CONCATENATE("#Metadata!", ADDRESS(INDEX($AI$2:$AI$1001,MATCH(ROWS($AG$2:AG742),$AG$2:$AG$1001,0),0), INDEX($AN$1004:$BO$1004,1,MATCH(COLUMNS($AN$1006:BA1006),$AN$1006:$BO$1006,0)))),"Fix")))</f>
        <v>0</v>
      </c>
      <c r="P742" s="4">
        <f>IF(OR(INDEX($AH$2:$AH$1001,MATCH(ROWS($AG$2:AG742),$AG$2:$AG$1001,0),1)&gt;=100000,INDEX($AN$1005:$BO$1005,1,MATCH(COLUMNS($AN$1006:BB1006),$AN$1006:$BO$1006,0))&gt;=100000), " ",IF(INDEX($AN$2:$BO$1001,MATCH(ROWS($AG$2:AG742),$AG$2:$AG$1001,0),MATCH(COLUMNS($AN$1006:BB1006),$AN$1006:$BO$1006,0)), HYPERLINK("#",""), HYPERLINK(CONCATENATE("#Metadata!", ADDRESS(INDEX($AI$2:$AI$1001,MATCH(ROWS($AG$2:AG742),$AG$2:$AG$1001,0),0), INDEX($AN$1004:$BO$1004,1,MATCH(COLUMNS($AN$1006:BB1006),$AN$1006:$BO$1006,0)))),"Fix")))</f>
        <v>0</v>
      </c>
      <c r="Q742" s="4">
        <f>IF(OR(INDEX($AH$2:$AH$1001,MATCH(ROWS($AG$2:AG742),$AG$2:$AG$1001,0),1)&gt;=100000,INDEX($AN$1005:$BO$1005,1,MATCH(COLUMNS($AN$1006:BC1006),$AN$1006:$BO$1006,0))&gt;=100000), " ",IF(INDEX($AN$2:$BO$1001,MATCH(ROWS($AG$2:AG742),$AG$2:$AG$1001,0),MATCH(COLUMNS($AN$1006:BC1006),$AN$1006:$BO$1006,0)), HYPERLINK("#",""), HYPERLINK(CONCATENATE("#Metadata!", ADDRESS(INDEX($AI$2:$AI$1001,MATCH(ROWS($AG$2:AG742),$AG$2:$AG$1001,0),0), INDEX($AN$1004:$BO$1004,1,MATCH(COLUMNS($AN$1006:BC1006),$AN$1006:$BO$1006,0)))),"Fix")))</f>
        <v>0</v>
      </c>
      <c r="R742" s="4">
        <f>IF(OR(INDEX($AH$2:$AH$1001,MATCH(ROWS($AG$2:AG742),$AG$2:$AG$1001,0),1)&gt;=100000,INDEX($AN$1005:$BO$1005,1,MATCH(COLUMNS($AN$1006:BD1006),$AN$1006:$BO$1006,0))&gt;=100000), " ",IF(INDEX($AN$2:$BO$1001,MATCH(ROWS($AG$2:AG742),$AG$2:$AG$1001,0),MATCH(COLUMNS($AN$1006:BD1006),$AN$1006:$BO$1006,0)), HYPERLINK("#",""), HYPERLINK(CONCATENATE("#Metadata!", ADDRESS(INDEX($AI$2:$AI$1001,MATCH(ROWS($AG$2:AG742),$AG$2:$AG$1001,0),0), INDEX($AN$1004:$BO$1004,1,MATCH(COLUMNS($AN$1006:BD1006),$AN$1006:$BO$1006,0)))),"Fix")))</f>
        <v>0</v>
      </c>
      <c r="S742" s="4">
        <f>IF(OR(INDEX($AH$2:$AH$1001,MATCH(ROWS($AG$2:AG742),$AG$2:$AG$1001,0),1)&gt;=100000,INDEX($AN$1005:$BO$1005,1,MATCH(COLUMNS($AN$1006:BE1006),$AN$1006:$BO$1006,0))&gt;=100000), " ",IF(INDEX($AN$2:$BO$1001,MATCH(ROWS($AG$2:AG742),$AG$2:$AG$1001,0),MATCH(COLUMNS($AN$1006:BE1006),$AN$1006:$BO$1006,0)), HYPERLINK("#",""), HYPERLINK(CONCATENATE("#Metadata!", ADDRESS(INDEX($AI$2:$AI$1001,MATCH(ROWS($AG$2:AG742),$AG$2:$AG$1001,0),0), INDEX($AN$1004:$BO$1004,1,MATCH(COLUMNS($AN$1006:BE1006),$AN$1006:$BO$1006,0)))),"Fix")))</f>
        <v>0</v>
      </c>
      <c r="T742" s="4">
        <f>IF(OR(INDEX($AH$2:$AH$1001,MATCH(ROWS($AG$2:AG742),$AG$2:$AG$1001,0),1)&gt;=100000,INDEX($AN$1005:$BO$1005,1,MATCH(COLUMNS($AN$1006:BF1006),$AN$1006:$BO$1006,0))&gt;=100000), " ",IF(INDEX($AN$2:$BO$1001,MATCH(ROWS($AG$2:AG742),$AG$2:$AG$1001,0),MATCH(COLUMNS($AN$1006:BF1006),$AN$1006:$BO$1006,0)), HYPERLINK("#",""), HYPERLINK(CONCATENATE("#Metadata!", ADDRESS(INDEX($AI$2:$AI$1001,MATCH(ROWS($AG$2:AG742),$AG$2:$AG$1001,0),0), INDEX($AN$1004:$BO$1004,1,MATCH(COLUMNS($AN$1006:BF1006),$AN$1006:$BO$1006,0)))),"Fix")))</f>
        <v>0</v>
      </c>
      <c r="U742" s="4">
        <f>IF(OR(INDEX($AH$2:$AH$1001,MATCH(ROWS($AG$2:AG742),$AG$2:$AG$1001,0),1)&gt;=100000,INDEX($AN$1005:$BO$1005,1,MATCH(COLUMNS($AN$1006:BG1006),$AN$1006:$BO$1006,0))&gt;=100000), " ",IF(INDEX($AN$2:$BO$1001,MATCH(ROWS($AG$2:AG742),$AG$2:$AG$1001,0),MATCH(COLUMNS($AN$1006:BG1006),$AN$1006:$BO$1006,0)), HYPERLINK("#",""), HYPERLINK(CONCATENATE("#Metadata!", ADDRESS(INDEX($AI$2:$AI$1001,MATCH(ROWS($AG$2:AG742),$AG$2:$AG$1001,0),0), INDEX($AN$1004:$BO$1004,1,MATCH(COLUMNS($AN$1006:BG1006),$AN$1006:$BO$1006,0)))),"Fix")))</f>
        <v>0</v>
      </c>
      <c r="V742" s="4">
        <f>IF(OR(INDEX($AH$2:$AH$1001,MATCH(ROWS($AG$2:AG742),$AG$2:$AG$1001,0),1)&gt;=100000,INDEX($AN$1005:$BO$1005,1,MATCH(COLUMNS($AN$1006:BH1006),$AN$1006:$BO$1006,0))&gt;=100000), " ",IF(INDEX($AN$2:$BO$1001,MATCH(ROWS($AG$2:AG742),$AG$2:$AG$1001,0),MATCH(COLUMNS($AN$1006:BH1006),$AN$1006:$BO$1006,0)), HYPERLINK("#",""), HYPERLINK(CONCATENATE("#Metadata!", ADDRESS(INDEX($AI$2:$AI$1001,MATCH(ROWS($AG$2:AG742),$AG$2:$AG$1001,0),0), INDEX($AN$1004:$BO$1004,1,MATCH(COLUMNS($AN$1006:BH1006),$AN$1006:$BO$1006,0)))),"Fix")))</f>
        <v>0</v>
      </c>
      <c r="W742" s="4">
        <f>IF(OR(INDEX($AH$2:$AH$1001,MATCH(ROWS($AG$2:AG742),$AG$2:$AG$1001,0),1)&gt;=100000,INDEX($AN$1005:$BO$1005,1,MATCH(COLUMNS($AN$1006:BI1006),$AN$1006:$BO$1006,0))&gt;=100000), " ",IF(INDEX($AN$2:$BO$1001,MATCH(ROWS($AG$2:AG742),$AG$2:$AG$1001,0),MATCH(COLUMNS($AN$1006:BI1006),$AN$1006:$BO$1006,0)), HYPERLINK("#",""), HYPERLINK(CONCATENATE("#Metadata!", ADDRESS(INDEX($AI$2:$AI$1001,MATCH(ROWS($AG$2:AG742),$AG$2:$AG$1001,0),0), INDEX($AN$1004:$BO$1004,1,MATCH(COLUMNS($AN$1006:BI1006),$AN$1006:$BO$1006,0)))),"Fix")))</f>
        <v>0</v>
      </c>
      <c r="X742" s="4">
        <f>IF(OR(INDEX($AH$2:$AH$1001,MATCH(ROWS($AG$2:AG742),$AG$2:$AG$1001,0),1)&gt;=100000,INDEX($AN$1005:$BO$1005,1,MATCH(COLUMNS($AN$1006:BJ1006),$AN$1006:$BO$1006,0))&gt;=100000), " ",IF(INDEX($AN$2:$BO$1001,MATCH(ROWS($AG$2:AG742),$AG$2:$AG$1001,0),MATCH(COLUMNS($AN$1006:BJ1006),$AN$1006:$BO$1006,0)), HYPERLINK("#",""), HYPERLINK(CONCATENATE("#Metadata!", ADDRESS(INDEX($AI$2:$AI$1001,MATCH(ROWS($AG$2:AG742),$AG$2:$AG$1001,0),0), INDEX($AN$1004:$BO$1004,1,MATCH(COLUMNS($AN$1006:BJ1006),$AN$1006:$BO$1006,0)))),"Fix")))</f>
        <v>0</v>
      </c>
      <c r="Y742" s="4">
        <f>IF(OR(INDEX($AH$2:$AH$1001,MATCH(ROWS($AG$2:AG742),$AG$2:$AG$1001,0),1)&gt;=100000,INDEX($AN$1005:$BO$1005,1,MATCH(COLUMNS($AN$1006:BK1006),$AN$1006:$BO$1006,0))&gt;=100000), " ",IF(INDEX($AN$2:$BO$1001,MATCH(ROWS($AG$2:AG742),$AG$2:$AG$1001,0),MATCH(COLUMNS($AN$1006:BK1006),$AN$1006:$BO$1006,0)), HYPERLINK("#",""), HYPERLINK(CONCATENATE("#Metadata!", ADDRESS(INDEX($AI$2:$AI$1001,MATCH(ROWS($AG$2:AG742),$AG$2:$AG$1001,0),0), INDEX($AN$1004:$BO$1004,1,MATCH(COLUMNS($AN$1006:BK1006),$AN$1006:$BO$1006,0)))),"Fix")))</f>
        <v>0</v>
      </c>
      <c r="Z742" s="4">
        <f>IF(OR(INDEX($AH$2:$AH$1001,MATCH(ROWS($AG$2:AG742),$AG$2:$AG$1001,0),1)&gt;=100000,INDEX($AN$1005:$BO$1005,1,MATCH(COLUMNS($AN$1006:BL1006),$AN$1006:$BO$1006,0))&gt;=100000), " ",IF(INDEX($AN$2:$BO$1001,MATCH(ROWS($AG$2:AG742),$AG$2:$AG$1001,0),MATCH(COLUMNS($AN$1006:BL1006),$AN$1006:$BO$1006,0)), HYPERLINK("#",""), HYPERLINK(CONCATENATE("#Metadata!", ADDRESS(INDEX($AI$2:$AI$1001,MATCH(ROWS($AG$2:AG742),$AG$2:$AG$1001,0),0), INDEX($AN$1004:$BO$1004,1,MATCH(COLUMNS($AN$1006:BL1006),$AN$1006:$BO$1006,0)))),"Fix")))</f>
        <v>0</v>
      </c>
      <c r="AA742" s="4">
        <f>IF(OR(INDEX($AH$2:$AH$1001,MATCH(ROWS($AG$2:AG742),$AG$2:$AG$1001,0),1)&gt;=100000,INDEX($AN$1005:$BO$1005,1,MATCH(COLUMNS($AN$1006:BM1006),$AN$1006:$BO$1006,0))&gt;=100000), " ",IF(INDEX($AN$2:$BO$1001,MATCH(ROWS($AG$2:AG742),$AG$2:$AG$1001,0),MATCH(COLUMNS($AN$1006:BM1006),$AN$1006:$BO$1006,0)), HYPERLINK("#",""), HYPERLINK(CONCATENATE("#Metadata!", ADDRESS(INDEX($AI$2:$AI$1001,MATCH(ROWS($AG$2:AG742),$AG$2:$AG$1001,0),0), INDEX($AN$1004:$BO$1004,1,MATCH(COLUMNS($AN$1006:BM1006),$AN$1006:$BO$1006,0)))),"Fix")))</f>
        <v>0</v>
      </c>
      <c r="AB742" s="4">
        <f>IF(OR(INDEX($AH$2:$AH$1001,MATCH(ROWS($AG$2:AG742),$AG$2:$AG$1001,0),1)&gt;=100000,INDEX($AN$1005:$BO$1005,1,MATCH(COLUMNS($AN$1006:BN1006),$AN$1006:$BO$1006,0))&gt;=100000), " ",IF(INDEX($AN$2:$BO$1001,MATCH(ROWS($AG$2:AG742),$AG$2:$AG$1001,0),MATCH(COLUMNS($AN$1006:BN1006),$AN$1006:$BO$1006,0)), HYPERLINK("#",""), HYPERLINK(CONCATENATE("#Metadata!", ADDRESS(INDEX($AI$2:$AI$1001,MATCH(ROWS($AG$2:AG742),$AG$2:$AG$1001,0),0), INDEX($AN$1004:$BO$1004,1,MATCH(COLUMNS($AN$1006:BN1006),$AN$1006:$BO$1006,0)))),"Fix")))</f>
        <v>0</v>
      </c>
      <c r="AC742" s="4">
        <f>IF(OR(INDEX($AH$2:$AH$1001,MATCH(ROWS($AG$2:AG742),$AG$2:$AG$1001,0),1)&gt;=100000,INDEX($AN$1005:$BO$1005,1,MATCH(COLUMNS($AN$1006:BO1006),$AN$1006:$BO$1006,0))&gt;=100000), " ",IF(INDEX($AN$2:$BO$1001,MATCH(ROWS($AG$2:AG742),$AG$2:$AG$1001,0),MATCH(COLUMNS($AN$1006:BO1006),$AN$1006:$BO$1006,0)), HYPERLINK("#",""), HYPERLINK(CONCATENATE("#Metadata!", ADDRESS(INDEX($AI$2:$AI$1001,MATCH(ROWS($AG$2:AG742),$AG$2:$AG$1001,0),0), INDEX($AN$1004:$BO$1004,1,MATCH(COLUMNS($AN$1006:BO1006),$AN$1006:$BO$1006,0)))),"Fix")))</f>
        <v>0</v>
      </c>
      <c r="AG742">
        <v>0</v>
      </c>
      <c r="AH742">
        <v>0</v>
      </c>
      <c r="AI742">
        <v>0</v>
      </c>
      <c r="AJ742">
        <f>IF(AK742,TRUE,AND(AN742:BO742))</f>
        <v>0</v>
      </c>
      <c r="AK742">
        <f>COUNTBLANK(Metadata!B742:AC742)=COLUMNS(Metadata!B742:AC742)</f>
        <v>0</v>
      </c>
      <c r="AL742">
        <v>0</v>
      </c>
      <c r="AN742">
        <f>AND(IF(Metadata!B742="",FALSE,TRUE),COUNTIF(Metadata!B:B, Metadata!B742) = 1,NOT(ISERROR(SUMPRODUCT(SEARCH(MID(Metadata!B742,ROW(INDIRECT("1:"&amp;LEN(Metadata!B742))), 1),"0123456789abcdefghijklmnopqrstuvwxyzABCDEFGHIJKLMNOPQRSTUVWXYZ.")))))</f>
        <v>0</v>
      </c>
      <c r="AO742">
        <f>IF(Metadata!C742="",FALSE,TRUE)</f>
        <v>0</v>
      </c>
      <c r="AP742">
        <f>IF(Metadata!D742="",FALSE,TRUE)</f>
        <v>0</v>
      </c>
      <c r="AQ742">
        <f>OR(AND(IF(Metadata!E742="",FALSE,TRUE),OR(exact(Metadata!E742,"not collected"),exact(Metadata!E742,"not provided"),exact(Metadata!E742,"restricted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R742">
        <f>IF(Metadata!F742="",FALSE,TRUE)</f>
        <v>0</v>
      </c>
      <c r="AS742">
        <f>OR(AND(IF(Metadata!G742="",FALSE,TRUE),OR(exact(Metadata!G742,"not collected"),exact(Metadata!G742,"not provided"))),AND(IF(Metadata!G742="",FALSE,TRUE),OR(exact(Metadata!G742,"TRUE"),exact(Metadata!G742,"FALSE"))))</f>
        <v>0</v>
      </c>
      <c r="AT742">
        <f>OR(AND(IF(Metadata!H742="",FALSE,TRUE),OR(exact(Metadata!H742,"not collected"),exact(Metadata!H742,"not provided"),exact(Metadata!H742,"restricted access"))),AND(IF(Metadata!H742="",FALSE,ISNUMBER(VALUE(Metadata!H742))),Metadata!H742&gt;=-413.0))</f>
        <v>0</v>
      </c>
      <c r="AU742">
        <f>AND(IF(Metadata!I742="",FALSE,TRUE),exact(Metadata!I742,"meters"))</f>
        <v>0</v>
      </c>
      <c r="AV742">
        <f>AND(IF(Metadata!J742="",FALSE,TRUE),OR(exact(Metadata!J742,"Host-associated"),exact(Metadata!J742,"Free-living")))</f>
        <v>0</v>
      </c>
      <c r="AW742">
        <f>AND(IF(Metadata!K742="",FALSE,TRUE),OR(exact(Metadata!K742,"Animal"),exact(Metadata!K742,"Fungus"),exact(Metadata!K742,"Plant"),exact(Metadata!K742,"Saline"),exact(Metadata!K742,"Non-saline")))</f>
        <v>0</v>
      </c>
      <c r="AX742">
        <f>AND(IF(Metadata!L742="",FALSE,TRUE),OR(exact(Metadata!L742,"Plant secretion"),exact(Metadata!L742,"Plant rhizosphere"),exact(Metadata!L742,"Plant surface"),exact(Metadata!L742,"Plant corpus"),exact(Metadata!L742,"Fungus surface"),exact(Metadata!L742,"Fungus corpus"),exact(Metadata!L742,"Animal surface"),exact(Metadata!L742,"Animal proximal gut"),exact(Metadata!L742,"Animal corpus"),exact(Metadata!L742,"Animal distal gut"),exact(Metadata!L742,"Animal secretion"),exact(Metadata!L742,"Sub-surface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Y742">
        <f>IF(Metadata!M742="",FALSE,TRUE)</f>
        <v>0</v>
      </c>
      <c r="AZ742">
        <f>IF(Metadata!N742="",FALSE,TRUE)</f>
        <v>0</v>
      </c>
      <c r="BA742">
        <f>IF(Metadata!O742="",FALSE,TRUE)</f>
        <v>0</v>
      </c>
      <c r="BB742">
        <f>OR(AND(IF(Metadata!P742="",FALSE,TRUE),OR(exact(Metadata!P742,"not collected"),exact(Metadata!P742,"not provided"),exact(Metadata!P742,"restricted access"))),AND(IF(Metadata!P742="",FALSE,TRUE),OR(exact(Metadata!P742,"air"),exact(Metadata!P742,"built environment"),exact(Metadata!P742,"host-associated"),exact(Metadata!P742,"human-associated"),exact(Metadata!P742,"human-skin"),exact(Metadata!P742,"human-oral"),exact(Metadata!P742,"human-gut"),exact(Metadata!P742,"human-vaginal"),exact(Metadata!P742,"microbial mat/biofilm"),exact(Metadata!P742,"misc environment"),exact(Metadata!P742,"plant-associated"),exact(Metadata!P742,"sediment"),exact(Metadata!P742,"soil"),exact(Metadata!P742,"wastewater/sludge"),exact(Metadata!P742,"water"))))</f>
        <v>0</v>
      </c>
      <c r="BC742">
        <f>IF(Metadata!Q742="",FALSE,TRUE)</f>
        <v>0</v>
      </c>
      <c r="BD742">
        <f>IF(Metadata!R742="",FALSE,TRUE)</f>
        <v>0</v>
      </c>
      <c r="BE742">
        <f>OR(AND(IF(Metadata!S742="",FALSE,TRUE),OR(exact(Metadata!S742,"not collected"),exact(Metadata!S742,"not provided"),exact(Metadata!S742,"restricted access"))),AND(IF(Metadata!S742="",FALSE,ISNUMBER(VALUE(Metadata!S742))),Metadata!S742&gt;=-90.00,Metadata!S742&lt;=90.00))</f>
        <v>0</v>
      </c>
      <c r="BF742">
        <f>AND(IF(Metadata!T742="",FALSE,TRUE),exact(Metadata!T742,"Decimal degrees"))</f>
        <v>0</v>
      </c>
      <c r="BG742">
        <f>OR(AND(IF(Metadata!U742="",FALSE,TRUE),OR(exact(Metadata!U742,"not collected"),exact(Metadata!U742,"not provided"),exact(Metadata!U742,"restricted access"))),AND(IF(Metadata!U742="",FALSE,ISNUMBER(VALUE(Metadata!U742))),Metadata!U742&gt;=-180.00,Metadata!U742&lt;=180.00))</f>
        <v>0</v>
      </c>
      <c r="BH742">
        <f>AND(IF(Metadata!V742="",FALSE,TRUE),exact(Metadata!V742,"Decimal degrees"))</f>
        <v>0</v>
      </c>
      <c r="BI742">
        <f>IF(Metadata!W742="",FALSE,TRUE)</f>
        <v>0</v>
      </c>
      <c r="BJ742">
        <f>OR(AND(IF(Metadata!X742="",FALSE,TRUE),OR(exact(Metadata!X742,"not collected"),exact(Metadata!X742,"not provided"),exact(Metadata!X742,"restricted access"))),AND(IF(Metadata!X742="",FALSE,TRUE),OR(exact(Metadata!X742,"TRUE"),exact(Metadata!X742,"FALSE"))))</f>
        <v>0</v>
      </c>
      <c r="BK742">
        <f>AND(IF(Metadata!Y742="",FALSE,TRUE),exact(Metadata!Y742,"other"))</f>
        <v>0</v>
      </c>
      <c r="BL742">
        <f>IF(Metadata!Z742="",FALSE,TRUE)</f>
        <v>0</v>
      </c>
      <c r="BM742">
        <f>OR(AND(IF(Metadata!AA742="",FALSE,TRUE),OR(exact(Metadata!AA742,"not collected"),exact(Metadata!AA742,"not provided"))),AND(IF(Metadata!AA742="",FALSE,IF(ISERROR(INT(Metadata!AA742)),FALSE,INT(Metadata!AA742)=Metadata!AA742)),Metadata!AA742&gt;0))</f>
        <v>0</v>
      </c>
      <c r="BN742">
        <f>AND(IF(Metadata!AB742="",FALSE,TRUE),exact(Metadata!AB742,"Not applicable"))</f>
        <v>0</v>
      </c>
      <c r="BO742">
        <f>IF(Metadata!AC742="",FALSE,TRUE)</f>
        <v>0</v>
      </c>
    </row>
    <row r="743" spans="1:67">
      <c r="A743" s="5">
        <f>IF(B743=" "," ",HYPERLINK(CONCATENATE("#metadata!",ADDRESS(INDEX($AI$2:$AI$1001,MATCH(ROWS($AG$2:AG743),$AG$2:$AG$1001,0),0),1)),INDEX($AL$2:$AL$1001,MATCH(ROWS($AG$2:AG743),$AG$2:$AG$1001,0),0)))</f>
        <v>0</v>
      </c>
      <c r="B743" s="4">
        <f>IF(OR(INDEX($AH$2:$AH$1001,MATCH(ROWS($AG$2:AG743),$AG$2:$AG$1001,0),1)&gt;=100000,INDEX($AN$1005:$BO$1005,1,MATCH(COLUMNS($AN$1006:AN1006),$AN$1006:$BO$1006,0))&gt;=100000), " ",IF(INDEX($AN$2:$BO$1001,MATCH(ROWS($AG$2:AG743),$AG$2:$AG$1001,0),MATCH(COLUMNS($AN$1006:AN1006),$AN$1006:$BO$1006,0)), HYPERLINK("#",""), HYPERLINK(CONCATENATE("#Metadata!", ADDRESS(INDEX($AI$2:$AI$1001,MATCH(ROWS($AG$2:AG743),$AG$2:$AG$1001,0),0), INDEX($AN$1004:$BO$1004,1,MATCH(COLUMNS($AN$1006:AN1006),$AN$1006:$BO$1006,0)))),"Fix")))</f>
        <v>0</v>
      </c>
      <c r="C743" s="4">
        <f>IF(OR(INDEX($AH$2:$AH$1001,MATCH(ROWS($AG$2:AG743),$AG$2:$AG$1001,0),1)&gt;=100000,INDEX($AN$1005:$BO$1005,1,MATCH(COLUMNS($AN$1006:AO1006),$AN$1006:$BO$1006,0))&gt;=100000), " ",IF(INDEX($AN$2:$BO$1001,MATCH(ROWS($AG$2:AG743),$AG$2:$AG$1001,0),MATCH(COLUMNS($AN$1006:AO1006),$AN$1006:$BO$1006,0)), HYPERLINK("#",""), HYPERLINK(CONCATENATE("#Metadata!", ADDRESS(INDEX($AI$2:$AI$1001,MATCH(ROWS($AG$2:AG743),$AG$2:$AG$1001,0),0), INDEX($AN$1004:$BO$1004,1,MATCH(COLUMNS($AN$1006:AO1006),$AN$1006:$BO$1006,0)))),"Fix")))</f>
        <v>0</v>
      </c>
      <c r="D743" s="4">
        <f>IF(OR(INDEX($AH$2:$AH$1001,MATCH(ROWS($AG$2:AG743),$AG$2:$AG$1001,0),1)&gt;=100000,INDEX($AN$1005:$BO$1005,1,MATCH(COLUMNS($AN$1006:AP1006),$AN$1006:$BO$1006,0))&gt;=100000), " ",IF(INDEX($AN$2:$BO$1001,MATCH(ROWS($AG$2:AG743),$AG$2:$AG$1001,0),MATCH(COLUMNS($AN$1006:AP1006),$AN$1006:$BO$1006,0)), HYPERLINK("#",""), HYPERLINK(CONCATENATE("#Metadata!", ADDRESS(INDEX($AI$2:$AI$1001,MATCH(ROWS($AG$2:AG743),$AG$2:$AG$1001,0),0), INDEX($AN$1004:$BO$1004,1,MATCH(COLUMNS($AN$1006:AP1006),$AN$1006:$BO$1006,0)))),"Fix")))</f>
        <v>0</v>
      </c>
      <c r="E743" s="4">
        <f>IF(OR(INDEX($AH$2:$AH$1001,MATCH(ROWS($AG$2:AG743),$AG$2:$AG$1001,0),1)&gt;=100000,INDEX($AN$1005:$BO$1005,1,MATCH(COLUMNS($AN$1006:AQ1006),$AN$1006:$BO$1006,0))&gt;=100000), " ",IF(INDEX($AN$2:$BO$1001,MATCH(ROWS($AG$2:AG743),$AG$2:$AG$1001,0),MATCH(COLUMNS($AN$1006:AQ1006),$AN$1006:$BO$1006,0)), HYPERLINK("#",""), HYPERLINK(CONCATENATE("#Metadata!", ADDRESS(INDEX($AI$2:$AI$1001,MATCH(ROWS($AG$2:AG743),$AG$2:$AG$1001,0),0), INDEX($AN$1004:$BO$1004,1,MATCH(COLUMNS($AN$1006:AQ1006),$AN$1006:$BO$1006,0)))),"Fix")))</f>
        <v>0</v>
      </c>
      <c r="F743" s="4">
        <f>IF(OR(INDEX($AH$2:$AH$1001,MATCH(ROWS($AG$2:AG743),$AG$2:$AG$1001,0),1)&gt;=100000,INDEX($AN$1005:$BO$1005,1,MATCH(COLUMNS($AN$1006:AR1006),$AN$1006:$BO$1006,0))&gt;=100000), " ",IF(INDEX($AN$2:$BO$1001,MATCH(ROWS($AG$2:AG743),$AG$2:$AG$1001,0),MATCH(COLUMNS($AN$1006:AR1006),$AN$1006:$BO$1006,0)), HYPERLINK("#",""), HYPERLINK(CONCATENATE("#Metadata!", ADDRESS(INDEX($AI$2:$AI$1001,MATCH(ROWS($AG$2:AG743),$AG$2:$AG$1001,0),0), INDEX($AN$1004:$BO$1004,1,MATCH(COLUMNS($AN$1006:AR1006),$AN$1006:$BO$1006,0)))),"Fix")))</f>
        <v>0</v>
      </c>
      <c r="G743" s="4">
        <f>IF(OR(INDEX($AH$2:$AH$1001,MATCH(ROWS($AG$2:AG743),$AG$2:$AG$1001,0),1)&gt;=100000,INDEX($AN$1005:$BO$1005,1,MATCH(COLUMNS($AN$1006:AS1006),$AN$1006:$BO$1006,0))&gt;=100000), " ",IF(INDEX($AN$2:$BO$1001,MATCH(ROWS($AG$2:AG743),$AG$2:$AG$1001,0),MATCH(COLUMNS($AN$1006:AS1006),$AN$1006:$BO$1006,0)), HYPERLINK("#",""), HYPERLINK(CONCATENATE("#Metadata!", ADDRESS(INDEX($AI$2:$AI$1001,MATCH(ROWS($AG$2:AG743),$AG$2:$AG$1001,0),0), INDEX($AN$1004:$BO$1004,1,MATCH(COLUMNS($AN$1006:AS1006),$AN$1006:$BO$1006,0)))),"Fix")))</f>
        <v>0</v>
      </c>
      <c r="H743" s="4">
        <f>IF(OR(INDEX($AH$2:$AH$1001,MATCH(ROWS($AG$2:AG743),$AG$2:$AG$1001,0),1)&gt;=100000,INDEX($AN$1005:$BO$1005,1,MATCH(COLUMNS($AN$1006:AT1006),$AN$1006:$BO$1006,0))&gt;=100000), " ",IF(INDEX($AN$2:$BO$1001,MATCH(ROWS($AG$2:AG743),$AG$2:$AG$1001,0),MATCH(COLUMNS($AN$1006:AT1006),$AN$1006:$BO$1006,0)), HYPERLINK("#",""), HYPERLINK(CONCATENATE("#Metadata!", ADDRESS(INDEX($AI$2:$AI$1001,MATCH(ROWS($AG$2:AG743),$AG$2:$AG$1001,0),0), INDEX($AN$1004:$BO$1004,1,MATCH(COLUMNS($AN$1006:AT1006),$AN$1006:$BO$1006,0)))),"Fix")))</f>
        <v>0</v>
      </c>
      <c r="I743" s="4">
        <f>IF(OR(INDEX($AH$2:$AH$1001,MATCH(ROWS($AG$2:AG743),$AG$2:$AG$1001,0),1)&gt;=100000,INDEX($AN$1005:$BO$1005,1,MATCH(COLUMNS($AN$1006:AU1006),$AN$1006:$BO$1006,0))&gt;=100000), " ",IF(INDEX($AN$2:$BO$1001,MATCH(ROWS($AG$2:AG743),$AG$2:$AG$1001,0),MATCH(COLUMNS($AN$1006:AU1006),$AN$1006:$BO$1006,0)), HYPERLINK("#",""), HYPERLINK(CONCATENATE("#Metadata!", ADDRESS(INDEX($AI$2:$AI$1001,MATCH(ROWS($AG$2:AG743),$AG$2:$AG$1001,0),0), INDEX($AN$1004:$BO$1004,1,MATCH(COLUMNS($AN$1006:AU1006),$AN$1006:$BO$1006,0)))),"Fix")))</f>
        <v>0</v>
      </c>
      <c r="J743" s="4">
        <f>IF(OR(INDEX($AH$2:$AH$1001,MATCH(ROWS($AG$2:AG743),$AG$2:$AG$1001,0),1)&gt;=100000,INDEX($AN$1005:$BO$1005,1,MATCH(COLUMNS($AN$1006:AV1006),$AN$1006:$BO$1006,0))&gt;=100000), " ",IF(INDEX($AN$2:$BO$1001,MATCH(ROWS($AG$2:AG743),$AG$2:$AG$1001,0),MATCH(COLUMNS($AN$1006:AV1006),$AN$1006:$BO$1006,0)), HYPERLINK("#",""), HYPERLINK(CONCATENATE("#Metadata!", ADDRESS(INDEX($AI$2:$AI$1001,MATCH(ROWS($AG$2:AG743),$AG$2:$AG$1001,0),0), INDEX($AN$1004:$BO$1004,1,MATCH(COLUMNS($AN$1006:AV1006),$AN$1006:$BO$1006,0)))),"Fix")))</f>
        <v>0</v>
      </c>
      <c r="K743" s="4">
        <f>IF(OR(INDEX($AH$2:$AH$1001,MATCH(ROWS($AG$2:AG743),$AG$2:$AG$1001,0),1)&gt;=100000,INDEX($AN$1005:$BO$1005,1,MATCH(COLUMNS($AN$1006:AW1006),$AN$1006:$BO$1006,0))&gt;=100000), " ",IF(INDEX($AN$2:$BO$1001,MATCH(ROWS($AG$2:AG743),$AG$2:$AG$1001,0),MATCH(COLUMNS($AN$1006:AW1006),$AN$1006:$BO$1006,0)), HYPERLINK("#",""), HYPERLINK(CONCATENATE("#Metadata!", ADDRESS(INDEX($AI$2:$AI$1001,MATCH(ROWS($AG$2:AG743),$AG$2:$AG$1001,0),0), INDEX($AN$1004:$BO$1004,1,MATCH(COLUMNS($AN$1006:AW1006),$AN$1006:$BO$1006,0)))),"Fix")))</f>
        <v>0</v>
      </c>
      <c r="L743" s="4">
        <f>IF(OR(INDEX($AH$2:$AH$1001,MATCH(ROWS($AG$2:AG743),$AG$2:$AG$1001,0),1)&gt;=100000,INDEX($AN$1005:$BO$1005,1,MATCH(COLUMNS($AN$1006:AX1006),$AN$1006:$BO$1006,0))&gt;=100000), " ",IF(INDEX($AN$2:$BO$1001,MATCH(ROWS($AG$2:AG743),$AG$2:$AG$1001,0),MATCH(COLUMNS($AN$1006:AX1006),$AN$1006:$BO$1006,0)), HYPERLINK("#",""), HYPERLINK(CONCATENATE("#Metadata!", ADDRESS(INDEX($AI$2:$AI$1001,MATCH(ROWS($AG$2:AG743),$AG$2:$AG$1001,0),0), INDEX($AN$1004:$BO$1004,1,MATCH(COLUMNS($AN$1006:AX1006),$AN$1006:$BO$1006,0)))),"Fix")))</f>
        <v>0</v>
      </c>
      <c r="M743" s="4">
        <f>IF(OR(INDEX($AH$2:$AH$1001,MATCH(ROWS($AG$2:AG743),$AG$2:$AG$1001,0),1)&gt;=100000,INDEX($AN$1005:$BO$1005,1,MATCH(COLUMNS($AN$1006:AY1006),$AN$1006:$BO$1006,0))&gt;=100000), " ",IF(INDEX($AN$2:$BO$1001,MATCH(ROWS($AG$2:AG743),$AG$2:$AG$1001,0),MATCH(COLUMNS($AN$1006:AY1006),$AN$1006:$BO$1006,0)), HYPERLINK("#",""), HYPERLINK(CONCATENATE("#Metadata!", ADDRESS(INDEX($AI$2:$AI$1001,MATCH(ROWS($AG$2:AG743),$AG$2:$AG$1001,0),0), INDEX($AN$1004:$BO$1004,1,MATCH(COLUMNS($AN$1006:AY1006),$AN$1006:$BO$1006,0)))),"Fix")))</f>
        <v>0</v>
      </c>
      <c r="N743" s="4">
        <f>IF(OR(INDEX($AH$2:$AH$1001,MATCH(ROWS($AG$2:AG743),$AG$2:$AG$1001,0),1)&gt;=100000,INDEX($AN$1005:$BO$1005,1,MATCH(COLUMNS($AN$1006:AZ1006),$AN$1006:$BO$1006,0))&gt;=100000), " ",IF(INDEX($AN$2:$BO$1001,MATCH(ROWS($AG$2:AG743),$AG$2:$AG$1001,0),MATCH(COLUMNS($AN$1006:AZ1006),$AN$1006:$BO$1006,0)), HYPERLINK("#",""), HYPERLINK(CONCATENATE("#Metadata!", ADDRESS(INDEX($AI$2:$AI$1001,MATCH(ROWS($AG$2:AG743),$AG$2:$AG$1001,0),0), INDEX($AN$1004:$BO$1004,1,MATCH(COLUMNS($AN$1006:AZ1006),$AN$1006:$BO$1006,0)))),"Fix")))</f>
        <v>0</v>
      </c>
      <c r="O743" s="4">
        <f>IF(OR(INDEX($AH$2:$AH$1001,MATCH(ROWS($AG$2:AG743),$AG$2:$AG$1001,0),1)&gt;=100000,INDEX($AN$1005:$BO$1005,1,MATCH(COLUMNS($AN$1006:BA1006),$AN$1006:$BO$1006,0))&gt;=100000), " ",IF(INDEX($AN$2:$BO$1001,MATCH(ROWS($AG$2:AG743),$AG$2:$AG$1001,0),MATCH(COLUMNS($AN$1006:BA1006),$AN$1006:$BO$1006,0)), HYPERLINK("#",""), HYPERLINK(CONCATENATE("#Metadata!", ADDRESS(INDEX($AI$2:$AI$1001,MATCH(ROWS($AG$2:AG743),$AG$2:$AG$1001,0),0), INDEX($AN$1004:$BO$1004,1,MATCH(COLUMNS($AN$1006:BA1006),$AN$1006:$BO$1006,0)))),"Fix")))</f>
        <v>0</v>
      </c>
      <c r="P743" s="4">
        <f>IF(OR(INDEX($AH$2:$AH$1001,MATCH(ROWS($AG$2:AG743),$AG$2:$AG$1001,0),1)&gt;=100000,INDEX($AN$1005:$BO$1005,1,MATCH(COLUMNS($AN$1006:BB1006),$AN$1006:$BO$1006,0))&gt;=100000), " ",IF(INDEX($AN$2:$BO$1001,MATCH(ROWS($AG$2:AG743),$AG$2:$AG$1001,0),MATCH(COLUMNS($AN$1006:BB1006),$AN$1006:$BO$1006,0)), HYPERLINK("#",""), HYPERLINK(CONCATENATE("#Metadata!", ADDRESS(INDEX($AI$2:$AI$1001,MATCH(ROWS($AG$2:AG743),$AG$2:$AG$1001,0),0), INDEX($AN$1004:$BO$1004,1,MATCH(COLUMNS($AN$1006:BB1006),$AN$1006:$BO$1006,0)))),"Fix")))</f>
        <v>0</v>
      </c>
      <c r="Q743" s="4">
        <f>IF(OR(INDEX($AH$2:$AH$1001,MATCH(ROWS($AG$2:AG743),$AG$2:$AG$1001,0),1)&gt;=100000,INDEX($AN$1005:$BO$1005,1,MATCH(COLUMNS($AN$1006:BC1006),$AN$1006:$BO$1006,0))&gt;=100000), " ",IF(INDEX($AN$2:$BO$1001,MATCH(ROWS($AG$2:AG743),$AG$2:$AG$1001,0),MATCH(COLUMNS($AN$1006:BC1006),$AN$1006:$BO$1006,0)), HYPERLINK("#",""), HYPERLINK(CONCATENATE("#Metadata!", ADDRESS(INDEX($AI$2:$AI$1001,MATCH(ROWS($AG$2:AG743),$AG$2:$AG$1001,0),0), INDEX($AN$1004:$BO$1004,1,MATCH(COLUMNS($AN$1006:BC1006),$AN$1006:$BO$1006,0)))),"Fix")))</f>
        <v>0</v>
      </c>
      <c r="R743" s="4">
        <f>IF(OR(INDEX($AH$2:$AH$1001,MATCH(ROWS($AG$2:AG743),$AG$2:$AG$1001,0),1)&gt;=100000,INDEX($AN$1005:$BO$1005,1,MATCH(COLUMNS($AN$1006:BD1006),$AN$1006:$BO$1006,0))&gt;=100000), " ",IF(INDEX($AN$2:$BO$1001,MATCH(ROWS($AG$2:AG743),$AG$2:$AG$1001,0),MATCH(COLUMNS($AN$1006:BD1006),$AN$1006:$BO$1006,0)), HYPERLINK("#",""), HYPERLINK(CONCATENATE("#Metadata!", ADDRESS(INDEX($AI$2:$AI$1001,MATCH(ROWS($AG$2:AG743),$AG$2:$AG$1001,0),0), INDEX($AN$1004:$BO$1004,1,MATCH(COLUMNS($AN$1006:BD1006),$AN$1006:$BO$1006,0)))),"Fix")))</f>
        <v>0</v>
      </c>
      <c r="S743" s="4">
        <f>IF(OR(INDEX($AH$2:$AH$1001,MATCH(ROWS($AG$2:AG743),$AG$2:$AG$1001,0),1)&gt;=100000,INDEX($AN$1005:$BO$1005,1,MATCH(COLUMNS($AN$1006:BE1006),$AN$1006:$BO$1006,0))&gt;=100000), " ",IF(INDEX($AN$2:$BO$1001,MATCH(ROWS($AG$2:AG743),$AG$2:$AG$1001,0),MATCH(COLUMNS($AN$1006:BE1006),$AN$1006:$BO$1006,0)), HYPERLINK("#",""), HYPERLINK(CONCATENATE("#Metadata!", ADDRESS(INDEX($AI$2:$AI$1001,MATCH(ROWS($AG$2:AG743),$AG$2:$AG$1001,0),0), INDEX($AN$1004:$BO$1004,1,MATCH(COLUMNS($AN$1006:BE1006),$AN$1006:$BO$1006,0)))),"Fix")))</f>
        <v>0</v>
      </c>
      <c r="T743" s="4">
        <f>IF(OR(INDEX($AH$2:$AH$1001,MATCH(ROWS($AG$2:AG743),$AG$2:$AG$1001,0),1)&gt;=100000,INDEX($AN$1005:$BO$1005,1,MATCH(COLUMNS($AN$1006:BF1006),$AN$1006:$BO$1006,0))&gt;=100000), " ",IF(INDEX($AN$2:$BO$1001,MATCH(ROWS($AG$2:AG743),$AG$2:$AG$1001,0),MATCH(COLUMNS($AN$1006:BF1006),$AN$1006:$BO$1006,0)), HYPERLINK("#",""), HYPERLINK(CONCATENATE("#Metadata!", ADDRESS(INDEX($AI$2:$AI$1001,MATCH(ROWS($AG$2:AG743),$AG$2:$AG$1001,0),0), INDEX($AN$1004:$BO$1004,1,MATCH(COLUMNS($AN$1006:BF1006),$AN$1006:$BO$1006,0)))),"Fix")))</f>
        <v>0</v>
      </c>
      <c r="U743" s="4">
        <f>IF(OR(INDEX($AH$2:$AH$1001,MATCH(ROWS($AG$2:AG743),$AG$2:$AG$1001,0),1)&gt;=100000,INDEX($AN$1005:$BO$1005,1,MATCH(COLUMNS($AN$1006:BG1006),$AN$1006:$BO$1006,0))&gt;=100000), " ",IF(INDEX($AN$2:$BO$1001,MATCH(ROWS($AG$2:AG743),$AG$2:$AG$1001,0),MATCH(COLUMNS($AN$1006:BG1006),$AN$1006:$BO$1006,0)), HYPERLINK("#",""), HYPERLINK(CONCATENATE("#Metadata!", ADDRESS(INDEX($AI$2:$AI$1001,MATCH(ROWS($AG$2:AG743),$AG$2:$AG$1001,0),0), INDEX($AN$1004:$BO$1004,1,MATCH(COLUMNS($AN$1006:BG1006),$AN$1006:$BO$1006,0)))),"Fix")))</f>
        <v>0</v>
      </c>
      <c r="V743" s="4">
        <f>IF(OR(INDEX($AH$2:$AH$1001,MATCH(ROWS($AG$2:AG743),$AG$2:$AG$1001,0),1)&gt;=100000,INDEX($AN$1005:$BO$1005,1,MATCH(COLUMNS($AN$1006:BH1006),$AN$1006:$BO$1006,0))&gt;=100000), " ",IF(INDEX($AN$2:$BO$1001,MATCH(ROWS($AG$2:AG743),$AG$2:$AG$1001,0),MATCH(COLUMNS($AN$1006:BH1006),$AN$1006:$BO$1006,0)), HYPERLINK("#",""), HYPERLINK(CONCATENATE("#Metadata!", ADDRESS(INDEX($AI$2:$AI$1001,MATCH(ROWS($AG$2:AG743),$AG$2:$AG$1001,0),0), INDEX($AN$1004:$BO$1004,1,MATCH(COLUMNS($AN$1006:BH1006),$AN$1006:$BO$1006,0)))),"Fix")))</f>
        <v>0</v>
      </c>
      <c r="W743" s="4">
        <f>IF(OR(INDEX($AH$2:$AH$1001,MATCH(ROWS($AG$2:AG743),$AG$2:$AG$1001,0),1)&gt;=100000,INDEX($AN$1005:$BO$1005,1,MATCH(COLUMNS($AN$1006:BI1006),$AN$1006:$BO$1006,0))&gt;=100000), " ",IF(INDEX($AN$2:$BO$1001,MATCH(ROWS($AG$2:AG743),$AG$2:$AG$1001,0),MATCH(COLUMNS($AN$1006:BI1006),$AN$1006:$BO$1006,0)), HYPERLINK("#",""), HYPERLINK(CONCATENATE("#Metadata!", ADDRESS(INDEX($AI$2:$AI$1001,MATCH(ROWS($AG$2:AG743),$AG$2:$AG$1001,0),0), INDEX($AN$1004:$BO$1004,1,MATCH(COLUMNS($AN$1006:BI1006),$AN$1006:$BO$1006,0)))),"Fix")))</f>
        <v>0</v>
      </c>
      <c r="X743" s="4">
        <f>IF(OR(INDEX($AH$2:$AH$1001,MATCH(ROWS($AG$2:AG743),$AG$2:$AG$1001,0),1)&gt;=100000,INDEX($AN$1005:$BO$1005,1,MATCH(COLUMNS($AN$1006:BJ1006),$AN$1006:$BO$1006,0))&gt;=100000), " ",IF(INDEX($AN$2:$BO$1001,MATCH(ROWS($AG$2:AG743),$AG$2:$AG$1001,0),MATCH(COLUMNS($AN$1006:BJ1006),$AN$1006:$BO$1006,0)), HYPERLINK("#",""), HYPERLINK(CONCATENATE("#Metadata!", ADDRESS(INDEX($AI$2:$AI$1001,MATCH(ROWS($AG$2:AG743),$AG$2:$AG$1001,0),0), INDEX($AN$1004:$BO$1004,1,MATCH(COLUMNS($AN$1006:BJ1006),$AN$1006:$BO$1006,0)))),"Fix")))</f>
        <v>0</v>
      </c>
      <c r="Y743" s="4">
        <f>IF(OR(INDEX($AH$2:$AH$1001,MATCH(ROWS($AG$2:AG743),$AG$2:$AG$1001,0),1)&gt;=100000,INDEX($AN$1005:$BO$1005,1,MATCH(COLUMNS($AN$1006:BK1006),$AN$1006:$BO$1006,0))&gt;=100000), " ",IF(INDEX($AN$2:$BO$1001,MATCH(ROWS($AG$2:AG743),$AG$2:$AG$1001,0),MATCH(COLUMNS($AN$1006:BK1006),$AN$1006:$BO$1006,0)), HYPERLINK("#",""), HYPERLINK(CONCATENATE("#Metadata!", ADDRESS(INDEX($AI$2:$AI$1001,MATCH(ROWS($AG$2:AG743),$AG$2:$AG$1001,0),0), INDEX($AN$1004:$BO$1004,1,MATCH(COLUMNS($AN$1006:BK1006),$AN$1006:$BO$1006,0)))),"Fix")))</f>
        <v>0</v>
      </c>
      <c r="Z743" s="4">
        <f>IF(OR(INDEX($AH$2:$AH$1001,MATCH(ROWS($AG$2:AG743),$AG$2:$AG$1001,0),1)&gt;=100000,INDEX($AN$1005:$BO$1005,1,MATCH(COLUMNS($AN$1006:BL1006),$AN$1006:$BO$1006,0))&gt;=100000), " ",IF(INDEX($AN$2:$BO$1001,MATCH(ROWS($AG$2:AG743),$AG$2:$AG$1001,0),MATCH(COLUMNS($AN$1006:BL1006),$AN$1006:$BO$1006,0)), HYPERLINK("#",""), HYPERLINK(CONCATENATE("#Metadata!", ADDRESS(INDEX($AI$2:$AI$1001,MATCH(ROWS($AG$2:AG743),$AG$2:$AG$1001,0),0), INDEX($AN$1004:$BO$1004,1,MATCH(COLUMNS($AN$1006:BL1006),$AN$1006:$BO$1006,0)))),"Fix")))</f>
        <v>0</v>
      </c>
      <c r="AA743" s="4">
        <f>IF(OR(INDEX($AH$2:$AH$1001,MATCH(ROWS($AG$2:AG743),$AG$2:$AG$1001,0),1)&gt;=100000,INDEX($AN$1005:$BO$1005,1,MATCH(COLUMNS($AN$1006:BM1006),$AN$1006:$BO$1006,0))&gt;=100000), " ",IF(INDEX($AN$2:$BO$1001,MATCH(ROWS($AG$2:AG743),$AG$2:$AG$1001,0),MATCH(COLUMNS($AN$1006:BM1006),$AN$1006:$BO$1006,0)), HYPERLINK("#",""), HYPERLINK(CONCATENATE("#Metadata!", ADDRESS(INDEX($AI$2:$AI$1001,MATCH(ROWS($AG$2:AG743),$AG$2:$AG$1001,0),0), INDEX($AN$1004:$BO$1004,1,MATCH(COLUMNS($AN$1006:BM1006),$AN$1006:$BO$1006,0)))),"Fix")))</f>
        <v>0</v>
      </c>
      <c r="AB743" s="4">
        <f>IF(OR(INDEX($AH$2:$AH$1001,MATCH(ROWS($AG$2:AG743),$AG$2:$AG$1001,0),1)&gt;=100000,INDEX($AN$1005:$BO$1005,1,MATCH(COLUMNS($AN$1006:BN1006),$AN$1006:$BO$1006,0))&gt;=100000), " ",IF(INDEX($AN$2:$BO$1001,MATCH(ROWS($AG$2:AG743),$AG$2:$AG$1001,0),MATCH(COLUMNS($AN$1006:BN1006),$AN$1006:$BO$1006,0)), HYPERLINK("#",""), HYPERLINK(CONCATENATE("#Metadata!", ADDRESS(INDEX($AI$2:$AI$1001,MATCH(ROWS($AG$2:AG743),$AG$2:$AG$1001,0),0), INDEX($AN$1004:$BO$1004,1,MATCH(COLUMNS($AN$1006:BN1006),$AN$1006:$BO$1006,0)))),"Fix")))</f>
        <v>0</v>
      </c>
      <c r="AC743" s="4">
        <f>IF(OR(INDEX($AH$2:$AH$1001,MATCH(ROWS($AG$2:AG743),$AG$2:$AG$1001,0),1)&gt;=100000,INDEX($AN$1005:$BO$1005,1,MATCH(COLUMNS($AN$1006:BO1006),$AN$1006:$BO$1006,0))&gt;=100000), " ",IF(INDEX($AN$2:$BO$1001,MATCH(ROWS($AG$2:AG743),$AG$2:$AG$1001,0),MATCH(COLUMNS($AN$1006:BO1006),$AN$1006:$BO$1006,0)), HYPERLINK("#",""), HYPERLINK(CONCATENATE("#Metadata!", ADDRESS(INDEX($AI$2:$AI$1001,MATCH(ROWS($AG$2:AG743),$AG$2:$AG$1001,0),0), INDEX($AN$1004:$BO$1004,1,MATCH(COLUMNS($AN$1006:BO1006),$AN$1006:$BO$1006,0)))),"Fix")))</f>
        <v>0</v>
      </c>
      <c r="AG743">
        <v>0</v>
      </c>
      <c r="AH743">
        <v>0</v>
      </c>
      <c r="AI743">
        <v>0</v>
      </c>
      <c r="AJ743">
        <f>IF(AK743,TRUE,AND(AN743:BO743))</f>
        <v>0</v>
      </c>
      <c r="AK743">
        <f>COUNTBLANK(Metadata!B743:AC743)=COLUMNS(Metadata!B743:AC743)</f>
        <v>0</v>
      </c>
      <c r="AL743">
        <v>0</v>
      </c>
      <c r="AN743">
        <f>AND(IF(Metadata!B743="",FALSE,TRUE),COUNTIF(Metadata!B:B, Metadata!B743) = 1,NOT(ISERROR(SUMPRODUCT(SEARCH(MID(Metadata!B743,ROW(INDIRECT("1:"&amp;LEN(Metadata!B743))), 1),"0123456789abcdefghijklmnopqrstuvwxyzABCDEFGHIJKLMNOPQRSTUVWXYZ.")))))</f>
        <v>0</v>
      </c>
      <c r="AO743">
        <f>IF(Metadata!C743="",FALSE,TRUE)</f>
        <v>0</v>
      </c>
      <c r="AP743">
        <f>IF(Metadata!D743="",FALSE,TRUE)</f>
        <v>0</v>
      </c>
      <c r="AQ743">
        <f>OR(AND(IF(Metadata!E743="",FALSE,TRUE),OR(exact(Metadata!E743,"not collected"),exact(Metadata!E743,"not provided"),exact(Metadata!E743,"restricted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R743">
        <f>IF(Metadata!F743="",FALSE,TRUE)</f>
        <v>0</v>
      </c>
      <c r="AS743">
        <f>OR(AND(IF(Metadata!G743="",FALSE,TRUE),OR(exact(Metadata!G743,"not collected"),exact(Metadata!G743,"not provided"))),AND(IF(Metadata!G743="",FALSE,TRUE),OR(exact(Metadata!G743,"TRUE"),exact(Metadata!G743,"FALSE"))))</f>
        <v>0</v>
      </c>
      <c r="AT743">
        <f>OR(AND(IF(Metadata!H743="",FALSE,TRUE),OR(exact(Metadata!H743,"not collected"),exact(Metadata!H743,"not provided"),exact(Metadata!H743,"restricted access"))),AND(IF(Metadata!H743="",FALSE,ISNUMBER(VALUE(Metadata!H743))),Metadata!H743&gt;=-413.0))</f>
        <v>0</v>
      </c>
      <c r="AU743">
        <f>AND(IF(Metadata!I743="",FALSE,TRUE),exact(Metadata!I743,"meters"))</f>
        <v>0</v>
      </c>
      <c r="AV743">
        <f>AND(IF(Metadata!J743="",FALSE,TRUE),OR(exact(Metadata!J743,"Host-associated"),exact(Metadata!J743,"Free-living")))</f>
        <v>0</v>
      </c>
      <c r="AW743">
        <f>AND(IF(Metadata!K743="",FALSE,TRUE),OR(exact(Metadata!K743,"Animal"),exact(Metadata!K743,"Fungus"),exact(Metadata!K743,"Plant"),exact(Metadata!K743,"Saline"),exact(Metadata!K743,"Non-saline")))</f>
        <v>0</v>
      </c>
      <c r="AX743">
        <f>AND(IF(Metadata!L743="",FALSE,TRUE),OR(exact(Metadata!L743,"Plant secretion"),exact(Metadata!L743,"Plant rhizosphere"),exact(Metadata!L743,"Plant surface"),exact(Metadata!L743,"Plant corpus"),exact(Metadata!L743,"Fungus surface"),exact(Metadata!L743,"Fungus corpus"),exact(Metadata!L743,"Animal surface"),exact(Metadata!L743,"Animal proximal gut"),exact(Metadata!L743,"Animal corpus"),exact(Metadata!L743,"Animal distal gut"),exact(Metadata!L743,"Animal secretion"),exact(Metadata!L743,"Sub-surface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Y743">
        <f>IF(Metadata!M743="",FALSE,TRUE)</f>
        <v>0</v>
      </c>
      <c r="AZ743">
        <f>IF(Metadata!N743="",FALSE,TRUE)</f>
        <v>0</v>
      </c>
      <c r="BA743">
        <f>IF(Metadata!O743="",FALSE,TRUE)</f>
        <v>0</v>
      </c>
      <c r="BB743">
        <f>OR(AND(IF(Metadata!P743="",FALSE,TRUE),OR(exact(Metadata!P743,"not collected"),exact(Metadata!P743,"not provided"),exact(Metadata!P743,"restricted access"))),AND(IF(Metadata!P743="",FALSE,TRUE),OR(exact(Metadata!P743,"air"),exact(Metadata!P743,"built environment"),exact(Metadata!P743,"host-associated"),exact(Metadata!P743,"human-associated"),exact(Metadata!P743,"human-skin"),exact(Metadata!P743,"human-oral"),exact(Metadata!P743,"human-gut"),exact(Metadata!P743,"human-vaginal"),exact(Metadata!P743,"microbial mat/biofilm"),exact(Metadata!P743,"misc environment"),exact(Metadata!P743,"plant-associated"),exact(Metadata!P743,"sediment"),exact(Metadata!P743,"soil"),exact(Metadata!P743,"wastewater/sludge"),exact(Metadata!P743,"water"))))</f>
        <v>0</v>
      </c>
      <c r="BC743">
        <f>IF(Metadata!Q743="",FALSE,TRUE)</f>
        <v>0</v>
      </c>
      <c r="BD743">
        <f>IF(Metadata!R743="",FALSE,TRUE)</f>
        <v>0</v>
      </c>
      <c r="BE743">
        <f>OR(AND(IF(Metadata!S743="",FALSE,TRUE),OR(exact(Metadata!S743,"not collected"),exact(Metadata!S743,"not provided"),exact(Metadata!S743,"restricted access"))),AND(IF(Metadata!S743="",FALSE,ISNUMBER(VALUE(Metadata!S743))),Metadata!S743&gt;=-90.00,Metadata!S743&lt;=90.00))</f>
        <v>0</v>
      </c>
      <c r="BF743">
        <f>AND(IF(Metadata!T743="",FALSE,TRUE),exact(Metadata!T743,"Decimal degrees"))</f>
        <v>0</v>
      </c>
      <c r="BG743">
        <f>OR(AND(IF(Metadata!U743="",FALSE,TRUE),OR(exact(Metadata!U743,"not collected"),exact(Metadata!U743,"not provided"),exact(Metadata!U743,"restricted access"))),AND(IF(Metadata!U743="",FALSE,ISNUMBER(VALUE(Metadata!U743))),Metadata!U743&gt;=-180.00,Metadata!U743&lt;=180.00))</f>
        <v>0</v>
      </c>
      <c r="BH743">
        <f>AND(IF(Metadata!V743="",FALSE,TRUE),exact(Metadata!V743,"Decimal degrees"))</f>
        <v>0</v>
      </c>
      <c r="BI743">
        <f>IF(Metadata!W743="",FALSE,TRUE)</f>
        <v>0</v>
      </c>
      <c r="BJ743">
        <f>OR(AND(IF(Metadata!X743="",FALSE,TRUE),OR(exact(Metadata!X743,"not collected"),exact(Metadata!X743,"not provided"),exact(Metadata!X743,"restricted access"))),AND(IF(Metadata!X743="",FALSE,TRUE),OR(exact(Metadata!X743,"TRUE"),exact(Metadata!X743,"FALSE"))))</f>
        <v>0</v>
      </c>
      <c r="BK743">
        <f>AND(IF(Metadata!Y743="",FALSE,TRUE),exact(Metadata!Y743,"other"))</f>
        <v>0</v>
      </c>
      <c r="BL743">
        <f>IF(Metadata!Z743="",FALSE,TRUE)</f>
        <v>0</v>
      </c>
      <c r="BM743">
        <f>OR(AND(IF(Metadata!AA743="",FALSE,TRUE),OR(exact(Metadata!AA743,"not collected"),exact(Metadata!AA743,"not provided"))),AND(IF(Metadata!AA743="",FALSE,IF(ISERROR(INT(Metadata!AA743)),FALSE,INT(Metadata!AA743)=Metadata!AA743)),Metadata!AA743&gt;0))</f>
        <v>0</v>
      </c>
      <c r="BN743">
        <f>AND(IF(Metadata!AB743="",FALSE,TRUE),exact(Metadata!AB743,"Not applicable"))</f>
        <v>0</v>
      </c>
      <c r="BO743">
        <f>IF(Metadata!AC743="",FALSE,TRUE)</f>
        <v>0</v>
      </c>
    </row>
    <row r="744" spans="1:67">
      <c r="A744" s="5">
        <f>IF(B744=" "," ",HYPERLINK(CONCATENATE("#metadata!",ADDRESS(INDEX($AI$2:$AI$1001,MATCH(ROWS($AG$2:AG744),$AG$2:$AG$1001,0),0),1)),INDEX($AL$2:$AL$1001,MATCH(ROWS($AG$2:AG744),$AG$2:$AG$1001,0),0)))</f>
        <v>0</v>
      </c>
      <c r="B744" s="4">
        <f>IF(OR(INDEX($AH$2:$AH$1001,MATCH(ROWS($AG$2:AG744),$AG$2:$AG$1001,0),1)&gt;=100000,INDEX($AN$1005:$BO$1005,1,MATCH(COLUMNS($AN$1006:AN1006),$AN$1006:$BO$1006,0))&gt;=100000), " ",IF(INDEX($AN$2:$BO$1001,MATCH(ROWS($AG$2:AG744),$AG$2:$AG$1001,0),MATCH(COLUMNS($AN$1006:AN1006),$AN$1006:$BO$1006,0)), HYPERLINK("#",""), HYPERLINK(CONCATENATE("#Metadata!", ADDRESS(INDEX($AI$2:$AI$1001,MATCH(ROWS($AG$2:AG744),$AG$2:$AG$1001,0),0), INDEX($AN$1004:$BO$1004,1,MATCH(COLUMNS($AN$1006:AN1006),$AN$1006:$BO$1006,0)))),"Fix")))</f>
        <v>0</v>
      </c>
      <c r="C744" s="4">
        <f>IF(OR(INDEX($AH$2:$AH$1001,MATCH(ROWS($AG$2:AG744),$AG$2:$AG$1001,0),1)&gt;=100000,INDEX($AN$1005:$BO$1005,1,MATCH(COLUMNS($AN$1006:AO1006),$AN$1006:$BO$1006,0))&gt;=100000), " ",IF(INDEX($AN$2:$BO$1001,MATCH(ROWS($AG$2:AG744),$AG$2:$AG$1001,0),MATCH(COLUMNS($AN$1006:AO1006),$AN$1006:$BO$1006,0)), HYPERLINK("#",""), HYPERLINK(CONCATENATE("#Metadata!", ADDRESS(INDEX($AI$2:$AI$1001,MATCH(ROWS($AG$2:AG744),$AG$2:$AG$1001,0),0), INDEX($AN$1004:$BO$1004,1,MATCH(COLUMNS($AN$1006:AO1006),$AN$1006:$BO$1006,0)))),"Fix")))</f>
        <v>0</v>
      </c>
      <c r="D744" s="4">
        <f>IF(OR(INDEX($AH$2:$AH$1001,MATCH(ROWS($AG$2:AG744),$AG$2:$AG$1001,0),1)&gt;=100000,INDEX($AN$1005:$BO$1005,1,MATCH(COLUMNS($AN$1006:AP1006),$AN$1006:$BO$1006,0))&gt;=100000), " ",IF(INDEX($AN$2:$BO$1001,MATCH(ROWS($AG$2:AG744),$AG$2:$AG$1001,0),MATCH(COLUMNS($AN$1006:AP1006),$AN$1006:$BO$1006,0)), HYPERLINK("#",""), HYPERLINK(CONCATENATE("#Metadata!", ADDRESS(INDEX($AI$2:$AI$1001,MATCH(ROWS($AG$2:AG744),$AG$2:$AG$1001,0),0), INDEX($AN$1004:$BO$1004,1,MATCH(COLUMNS($AN$1006:AP1006),$AN$1006:$BO$1006,0)))),"Fix")))</f>
        <v>0</v>
      </c>
      <c r="E744" s="4">
        <f>IF(OR(INDEX($AH$2:$AH$1001,MATCH(ROWS($AG$2:AG744),$AG$2:$AG$1001,0),1)&gt;=100000,INDEX($AN$1005:$BO$1005,1,MATCH(COLUMNS($AN$1006:AQ1006),$AN$1006:$BO$1006,0))&gt;=100000), " ",IF(INDEX($AN$2:$BO$1001,MATCH(ROWS($AG$2:AG744),$AG$2:$AG$1001,0),MATCH(COLUMNS($AN$1006:AQ1006),$AN$1006:$BO$1006,0)), HYPERLINK("#",""), HYPERLINK(CONCATENATE("#Metadata!", ADDRESS(INDEX($AI$2:$AI$1001,MATCH(ROWS($AG$2:AG744),$AG$2:$AG$1001,0),0), INDEX($AN$1004:$BO$1004,1,MATCH(COLUMNS($AN$1006:AQ1006),$AN$1006:$BO$1006,0)))),"Fix")))</f>
        <v>0</v>
      </c>
      <c r="F744" s="4">
        <f>IF(OR(INDEX($AH$2:$AH$1001,MATCH(ROWS($AG$2:AG744),$AG$2:$AG$1001,0),1)&gt;=100000,INDEX($AN$1005:$BO$1005,1,MATCH(COLUMNS($AN$1006:AR1006),$AN$1006:$BO$1006,0))&gt;=100000), " ",IF(INDEX($AN$2:$BO$1001,MATCH(ROWS($AG$2:AG744),$AG$2:$AG$1001,0),MATCH(COLUMNS($AN$1006:AR1006),$AN$1006:$BO$1006,0)), HYPERLINK("#",""), HYPERLINK(CONCATENATE("#Metadata!", ADDRESS(INDEX($AI$2:$AI$1001,MATCH(ROWS($AG$2:AG744),$AG$2:$AG$1001,0),0), INDEX($AN$1004:$BO$1004,1,MATCH(COLUMNS($AN$1006:AR1006),$AN$1006:$BO$1006,0)))),"Fix")))</f>
        <v>0</v>
      </c>
      <c r="G744" s="4">
        <f>IF(OR(INDEX($AH$2:$AH$1001,MATCH(ROWS($AG$2:AG744),$AG$2:$AG$1001,0),1)&gt;=100000,INDEX($AN$1005:$BO$1005,1,MATCH(COLUMNS($AN$1006:AS1006),$AN$1006:$BO$1006,0))&gt;=100000), " ",IF(INDEX($AN$2:$BO$1001,MATCH(ROWS($AG$2:AG744),$AG$2:$AG$1001,0),MATCH(COLUMNS($AN$1006:AS1006),$AN$1006:$BO$1006,0)), HYPERLINK("#",""), HYPERLINK(CONCATENATE("#Metadata!", ADDRESS(INDEX($AI$2:$AI$1001,MATCH(ROWS($AG$2:AG744),$AG$2:$AG$1001,0),0), INDEX($AN$1004:$BO$1004,1,MATCH(COLUMNS($AN$1006:AS1006),$AN$1006:$BO$1006,0)))),"Fix")))</f>
        <v>0</v>
      </c>
      <c r="H744" s="4">
        <f>IF(OR(INDEX($AH$2:$AH$1001,MATCH(ROWS($AG$2:AG744),$AG$2:$AG$1001,0),1)&gt;=100000,INDEX($AN$1005:$BO$1005,1,MATCH(COLUMNS($AN$1006:AT1006),$AN$1006:$BO$1006,0))&gt;=100000), " ",IF(INDEX($AN$2:$BO$1001,MATCH(ROWS($AG$2:AG744),$AG$2:$AG$1001,0),MATCH(COLUMNS($AN$1006:AT1006),$AN$1006:$BO$1006,0)), HYPERLINK("#",""), HYPERLINK(CONCATENATE("#Metadata!", ADDRESS(INDEX($AI$2:$AI$1001,MATCH(ROWS($AG$2:AG744),$AG$2:$AG$1001,0),0), INDEX($AN$1004:$BO$1004,1,MATCH(COLUMNS($AN$1006:AT1006),$AN$1006:$BO$1006,0)))),"Fix")))</f>
        <v>0</v>
      </c>
      <c r="I744" s="4">
        <f>IF(OR(INDEX($AH$2:$AH$1001,MATCH(ROWS($AG$2:AG744),$AG$2:$AG$1001,0),1)&gt;=100000,INDEX($AN$1005:$BO$1005,1,MATCH(COLUMNS($AN$1006:AU1006),$AN$1006:$BO$1006,0))&gt;=100000), " ",IF(INDEX($AN$2:$BO$1001,MATCH(ROWS($AG$2:AG744),$AG$2:$AG$1001,0),MATCH(COLUMNS($AN$1006:AU1006),$AN$1006:$BO$1006,0)), HYPERLINK("#",""), HYPERLINK(CONCATENATE("#Metadata!", ADDRESS(INDEX($AI$2:$AI$1001,MATCH(ROWS($AG$2:AG744),$AG$2:$AG$1001,0),0), INDEX($AN$1004:$BO$1004,1,MATCH(COLUMNS($AN$1006:AU1006),$AN$1006:$BO$1006,0)))),"Fix")))</f>
        <v>0</v>
      </c>
      <c r="J744" s="4">
        <f>IF(OR(INDEX($AH$2:$AH$1001,MATCH(ROWS($AG$2:AG744),$AG$2:$AG$1001,0),1)&gt;=100000,INDEX($AN$1005:$BO$1005,1,MATCH(COLUMNS($AN$1006:AV1006),$AN$1006:$BO$1006,0))&gt;=100000), " ",IF(INDEX($AN$2:$BO$1001,MATCH(ROWS($AG$2:AG744),$AG$2:$AG$1001,0),MATCH(COLUMNS($AN$1006:AV1006),$AN$1006:$BO$1006,0)), HYPERLINK("#",""), HYPERLINK(CONCATENATE("#Metadata!", ADDRESS(INDEX($AI$2:$AI$1001,MATCH(ROWS($AG$2:AG744),$AG$2:$AG$1001,0),0), INDEX($AN$1004:$BO$1004,1,MATCH(COLUMNS($AN$1006:AV1006),$AN$1006:$BO$1006,0)))),"Fix")))</f>
        <v>0</v>
      </c>
      <c r="K744" s="4">
        <f>IF(OR(INDEX($AH$2:$AH$1001,MATCH(ROWS($AG$2:AG744),$AG$2:$AG$1001,0),1)&gt;=100000,INDEX($AN$1005:$BO$1005,1,MATCH(COLUMNS($AN$1006:AW1006),$AN$1006:$BO$1006,0))&gt;=100000), " ",IF(INDEX($AN$2:$BO$1001,MATCH(ROWS($AG$2:AG744),$AG$2:$AG$1001,0),MATCH(COLUMNS($AN$1006:AW1006),$AN$1006:$BO$1006,0)), HYPERLINK("#",""), HYPERLINK(CONCATENATE("#Metadata!", ADDRESS(INDEX($AI$2:$AI$1001,MATCH(ROWS($AG$2:AG744),$AG$2:$AG$1001,0),0), INDEX($AN$1004:$BO$1004,1,MATCH(COLUMNS($AN$1006:AW1006),$AN$1006:$BO$1006,0)))),"Fix")))</f>
        <v>0</v>
      </c>
      <c r="L744" s="4">
        <f>IF(OR(INDEX($AH$2:$AH$1001,MATCH(ROWS($AG$2:AG744),$AG$2:$AG$1001,0),1)&gt;=100000,INDEX($AN$1005:$BO$1005,1,MATCH(COLUMNS($AN$1006:AX1006),$AN$1006:$BO$1006,0))&gt;=100000), " ",IF(INDEX($AN$2:$BO$1001,MATCH(ROWS($AG$2:AG744),$AG$2:$AG$1001,0),MATCH(COLUMNS($AN$1006:AX1006),$AN$1006:$BO$1006,0)), HYPERLINK("#",""), HYPERLINK(CONCATENATE("#Metadata!", ADDRESS(INDEX($AI$2:$AI$1001,MATCH(ROWS($AG$2:AG744),$AG$2:$AG$1001,0),0), INDEX($AN$1004:$BO$1004,1,MATCH(COLUMNS($AN$1006:AX1006),$AN$1006:$BO$1006,0)))),"Fix")))</f>
        <v>0</v>
      </c>
      <c r="M744" s="4">
        <f>IF(OR(INDEX($AH$2:$AH$1001,MATCH(ROWS($AG$2:AG744),$AG$2:$AG$1001,0),1)&gt;=100000,INDEX($AN$1005:$BO$1005,1,MATCH(COLUMNS($AN$1006:AY1006),$AN$1006:$BO$1006,0))&gt;=100000), " ",IF(INDEX($AN$2:$BO$1001,MATCH(ROWS($AG$2:AG744),$AG$2:$AG$1001,0),MATCH(COLUMNS($AN$1006:AY1006),$AN$1006:$BO$1006,0)), HYPERLINK("#",""), HYPERLINK(CONCATENATE("#Metadata!", ADDRESS(INDEX($AI$2:$AI$1001,MATCH(ROWS($AG$2:AG744),$AG$2:$AG$1001,0),0), INDEX($AN$1004:$BO$1004,1,MATCH(COLUMNS($AN$1006:AY1006),$AN$1006:$BO$1006,0)))),"Fix")))</f>
        <v>0</v>
      </c>
      <c r="N744" s="4">
        <f>IF(OR(INDEX($AH$2:$AH$1001,MATCH(ROWS($AG$2:AG744),$AG$2:$AG$1001,0),1)&gt;=100000,INDEX($AN$1005:$BO$1005,1,MATCH(COLUMNS($AN$1006:AZ1006),$AN$1006:$BO$1006,0))&gt;=100000), " ",IF(INDEX($AN$2:$BO$1001,MATCH(ROWS($AG$2:AG744),$AG$2:$AG$1001,0),MATCH(COLUMNS($AN$1006:AZ1006),$AN$1006:$BO$1006,0)), HYPERLINK("#",""), HYPERLINK(CONCATENATE("#Metadata!", ADDRESS(INDEX($AI$2:$AI$1001,MATCH(ROWS($AG$2:AG744),$AG$2:$AG$1001,0),0), INDEX($AN$1004:$BO$1004,1,MATCH(COLUMNS($AN$1006:AZ1006),$AN$1006:$BO$1006,0)))),"Fix")))</f>
        <v>0</v>
      </c>
      <c r="O744" s="4">
        <f>IF(OR(INDEX($AH$2:$AH$1001,MATCH(ROWS($AG$2:AG744),$AG$2:$AG$1001,0),1)&gt;=100000,INDEX($AN$1005:$BO$1005,1,MATCH(COLUMNS($AN$1006:BA1006),$AN$1006:$BO$1006,0))&gt;=100000), " ",IF(INDEX($AN$2:$BO$1001,MATCH(ROWS($AG$2:AG744),$AG$2:$AG$1001,0),MATCH(COLUMNS($AN$1006:BA1006),$AN$1006:$BO$1006,0)), HYPERLINK("#",""), HYPERLINK(CONCATENATE("#Metadata!", ADDRESS(INDEX($AI$2:$AI$1001,MATCH(ROWS($AG$2:AG744),$AG$2:$AG$1001,0),0), INDEX($AN$1004:$BO$1004,1,MATCH(COLUMNS($AN$1006:BA1006),$AN$1006:$BO$1006,0)))),"Fix")))</f>
        <v>0</v>
      </c>
      <c r="P744" s="4">
        <f>IF(OR(INDEX($AH$2:$AH$1001,MATCH(ROWS($AG$2:AG744),$AG$2:$AG$1001,0),1)&gt;=100000,INDEX($AN$1005:$BO$1005,1,MATCH(COLUMNS($AN$1006:BB1006),$AN$1006:$BO$1006,0))&gt;=100000), " ",IF(INDEX($AN$2:$BO$1001,MATCH(ROWS($AG$2:AG744),$AG$2:$AG$1001,0),MATCH(COLUMNS($AN$1006:BB1006),$AN$1006:$BO$1006,0)), HYPERLINK("#",""), HYPERLINK(CONCATENATE("#Metadata!", ADDRESS(INDEX($AI$2:$AI$1001,MATCH(ROWS($AG$2:AG744),$AG$2:$AG$1001,0),0), INDEX($AN$1004:$BO$1004,1,MATCH(COLUMNS($AN$1006:BB1006),$AN$1006:$BO$1006,0)))),"Fix")))</f>
        <v>0</v>
      </c>
      <c r="Q744" s="4">
        <f>IF(OR(INDEX($AH$2:$AH$1001,MATCH(ROWS($AG$2:AG744),$AG$2:$AG$1001,0),1)&gt;=100000,INDEX($AN$1005:$BO$1005,1,MATCH(COLUMNS($AN$1006:BC1006),$AN$1006:$BO$1006,0))&gt;=100000), " ",IF(INDEX($AN$2:$BO$1001,MATCH(ROWS($AG$2:AG744),$AG$2:$AG$1001,0),MATCH(COLUMNS($AN$1006:BC1006),$AN$1006:$BO$1006,0)), HYPERLINK("#",""), HYPERLINK(CONCATENATE("#Metadata!", ADDRESS(INDEX($AI$2:$AI$1001,MATCH(ROWS($AG$2:AG744),$AG$2:$AG$1001,0),0), INDEX($AN$1004:$BO$1004,1,MATCH(COLUMNS($AN$1006:BC1006),$AN$1006:$BO$1006,0)))),"Fix")))</f>
        <v>0</v>
      </c>
      <c r="R744" s="4">
        <f>IF(OR(INDEX($AH$2:$AH$1001,MATCH(ROWS($AG$2:AG744),$AG$2:$AG$1001,0),1)&gt;=100000,INDEX($AN$1005:$BO$1005,1,MATCH(COLUMNS($AN$1006:BD1006),$AN$1006:$BO$1006,0))&gt;=100000), " ",IF(INDEX($AN$2:$BO$1001,MATCH(ROWS($AG$2:AG744),$AG$2:$AG$1001,0),MATCH(COLUMNS($AN$1006:BD1006),$AN$1006:$BO$1006,0)), HYPERLINK("#",""), HYPERLINK(CONCATENATE("#Metadata!", ADDRESS(INDEX($AI$2:$AI$1001,MATCH(ROWS($AG$2:AG744),$AG$2:$AG$1001,0),0), INDEX($AN$1004:$BO$1004,1,MATCH(COLUMNS($AN$1006:BD1006),$AN$1006:$BO$1006,0)))),"Fix")))</f>
        <v>0</v>
      </c>
      <c r="S744" s="4">
        <f>IF(OR(INDEX($AH$2:$AH$1001,MATCH(ROWS($AG$2:AG744),$AG$2:$AG$1001,0),1)&gt;=100000,INDEX($AN$1005:$BO$1005,1,MATCH(COLUMNS($AN$1006:BE1006),$AN$1006:$BO$1006,0))&gt;=100000), " ",IF(INDEX($AN$2:$BO$1001,MATCH(ROWS($AG$2:AG744),$AG$2:$AG$1001,0),MATCH(COLUMNS($AN$1006:BE1006),$AN$1006:$BO$1006,0)), HYPERLINK("#",""), HYPERLINK(CONCATENATE("#Metadata!", ADDRESS(INDEX($AI$2:$AI$1001,MATCH(ROWS($AG$2:AG744),$AG$2:$AG$1001,0),0), INDEX($AN$1004:$BO$1004,1,MATCH(COLUMNS($AN$1006:BE1006),$AN$1006:$BO$1006,0)))),"Fix")))</f>
        <v>0</v>
      </c>
      <c r="T744" s="4">
        <f>IF(OR(INDEX($AH$2:$AH$1001,MATCH(ROWS($AG$2:AG744),$AG$2:$AG$1001,0),1)&gt;=100000,INDEX($AN$1005:$BO$1005,1,MATCH(COLUMNS($AN$1006:BF1006),$AN$1006:$BO$1006,0))&gt;=100000), " ",IF(INDEX($AN$2:$BO$1001,MATCH(ROWS($AG$2:AG744),$AG$2:$AG$1001,0),MATCH(COLUMNS($AN$1006:BF1006),$AN$1006:$BO$1006,0)), HYPERLINK("#",""), HYPERLINK(CONCATENATE("#Metadata!", ADDRESS(INDEX($AI$2:$AI$1001,MATCH(ROWS($AG$2:AG744),$AG$2:$AG$1001,0),0), INDEX($AN$1004:$BO$1004,1,MATCH(COLUMNS($AN$1006:BF1006),$AN$1006:$BO$1006,0)))),"Fix")))</f>
        <v>0</v>
      </c>
      <c r="U744" s="4">
        <f>IF(OR(INDEX($AH$2:$AH$1001,MATCH(ROWS($AG$2:AG744),$AG$2:$AG$1001,0),1)&gt;=100000,INDEX($AN$1005:$BO$1005,1,MATCH(COLUMNS($AN$1006:BG1006),$AN$1006:$BO$1006,0))&gt;=100000), " ",IF(INDEX($AN$2:$BO$1001,MATCH(ROWS($AG$2:AG744),$AG$2:$AG$1001,0),MATCH(COLUMNS($AN$1006:BG1006),$AN$1006:$BO$1006,0)), HYPERLINK("#",""), HYPERLINK(CONCATENATE("#Metadata!", ADDRESS(INDEX($AI$2:$AI$1001,MATCH(ROWS($AG$2:AG744),$AG$2:$AG$1001,0),0), INDEX($AN$1004:$BO$1004,1,MATCH(COLUMNS($AN$1006:BG1006),$AN$1006:$BO$1006,0)))),"Fix")))</f>
        <v>0</v>
      </c>
      <c r="V744" s="4">
        <f>IF(OR(INDEX($AH$2:$AH$1001,MATCH(ROWS($AG$2:AG744),$AG$2:$AG$1001,0),1)&gt;=100000,INDEX($AN$1005:$BO$1005,1,MATCH(COLUMNS($AN$1006:BH1006),$AN$1006:$BO$1006,0))&gt;=100000), " ",IF(INDEX($AN$2:$BO$1001,MATCH(ROWS($AG$2:AG744),$AG$2:$AG$1001,0),MATCH(COLUMNS($AN$1006:BH1006),$AN$1006:$BO$1006,0)), HYPERLINK("#",""), HYPERLINK(CONCATENATE("#Metadata!", ADDRESS(INDEX($AI$2:$AI$1001,MATCH(ROWS($AG$2:AG744),$AG$2:$AG$1001,0),0), INDEX($AN$1004:$BO$1004,1,MATCH(COLUMNS($AN$1006:BH1006),$AN$1006:$BO$1006,0)))),"Fix")))</f>
        <v>0</v>
      </c>
      <c r="W744" s="4">
        <f>IF(OR(INDEX($AH$2:$AH$1001,MATCH(ROWS($AG$2:AG744),$AG$2:$AG$1001,0),1)&gt;=100000,INDEX($AN$1005:$BO$1005,1,MATCH(COLUMNS($AN$1006:BI1006),$AN$1006:$BO$1006,0))&gt;=100000), " ",IF(INDEX($AN$2:$BO$1001,MATCH(ROWS($AG$2:AG744),$AG$2:$AG$1001,0),MATCH(COLUMNS($AN$1006:BI1006),$AN$1006:$BO$1006,0)), HYPERLINK("#",""), HYPERLINK(CONCATENATE("#Metadata!", ADDRESS(INDEX($AI$2:$AI$1001,MATCH(ROWS($AG$2:AG744),$AG$2:$AG$1001,0),0), INDEX($AN$1004:$BO$1004,1,MATCH(COLUMNS($AN$1006:BI1006),$AN$1006:$BO$1006,0)))),"Fix")))</f>
        <v>0</v>
      </c>
      <c r="X744" s="4">
        <f>IF(OR(INDEX($AH$2:$AH$1001,MATCH(ROWS($AG$2:AG744),$AG$2:$AG$1001,0),1)&gt;=100000,INDEX($AN$1005:$BO$1005,1,MATCH(COLUMNS($AN$1006:BJ1006),$AN$1006:$BO$1006,0))&gt;=100000), " ",IF(INDEX($AN$2:$BO$1001,MATCH(ROWS($AG$2:AG744),$AG$2:$AG$1001,0),MATCH(COLUMNS($AN$1006:BJ1006),$AN$1006:$BO$1006,0)), HYPERLINK("#",""), HYPERLINK(CONCATENATE("#Metadata!", ADDRESS(INDEX($AI$2:$AI$1001,MATCH(ROWS($AG$2:AG744),$AG$2:$AG$1001,0),0), INDEX($AN$1004:$BO$1004,1,MATCH(COLUMNS($AN$1006:BJ1006),$AN$1006:$BO$1006,0)))),"Fix")))</f>
        <v>0</v>
      </c>
      <c r="Y744" s="4">
        <f>IF(OR(INDEX($AH$2:$AH$1001,MATCH(ROWS($AG$2:AG744),$AG$2:$AG$1001,0),1)&gt;=100000,INDEX($AN$1005:$BO$1005,1,MATCH(COLUMNS($AN$1006:BK1006),$AN$1006:$BO$1006,0))&gt;=100000), " ",IF(INDEX($AN$2:$BO$1001,MATCH(ROWS($AG$2:AG744),$AG$2:$AG$1001,0),MATCH(COLUMNS($AN$1006:BK1006),$AN$1006:$BO$1006,0)), HYPERLINK("#",""), HYPERLINK(CONCATENATE("#Metadata!", ADDRESS(INDEX($AI$2:$AI$1001,MATCH(ROWS($AG$2:AG744),$AG$2:$AG$1001,0),0), INDEX($AN$1004:$BO$1004,1,MATCH(COLUMNS($AN$1006:BK1006),$AN$1006:$BO$1006,0)))),"Fix")))</f>
        <v>0</v>
      </c>
      <c r="Z744" s="4">
        <f>IF(OR(INDEX($AH$2:$AH$1001,MATCH(ROWS($AG$2:AG744),$AG$2:$AG$1001,0),1)&gt;=100000,INDEX($AN$1005:$BO$1005,1,MATCH(COLUMNS($AN$1006:BL1006),$AN$1006:$BO$1006,0))&gt;=100000), " ",IF(INDEX($AN$2:$BO$1001,MATCH(ROWS($AG$2:AG744),$AG$2:$AG$1001,0),MATCH(COLUMNS($AN$1006:BL1006),$AN$1006:$BO$1006,0)), HYPERLINK("#",""), HYPERLINK(CONCATENATE("#Metadata!", ADDRESS(INDEX($AI$2:$AI$1001,MATCH(ROWS($AG$2:AG744),$AG$2:$AG$1001,0),0), INDEX($AN$1004:$BO$1004,1,MATCH(COLUMNS($AN$1006:BL1006),$AN$1006:$BO$1006,0)))),"Fix")))</f>
        <v>0</v>
      </c>
      <c r="AA744" s="4">
        <f>IF(OR(INDEX($AH$2:$AH$1001,MATCH(ROWS($AG$2:AG744),$AG$2:$AG$1001,0),1)&gt;=100000,INDEX($AN$1005:$BO$1005,1,MATCH(COLUMNS($AN$1006:BM1006),$AN$1006:$BO$1006,0))&gt;=100000), " ",IF(INDEX($AN$2:$BO$1001,MATCH(ROWS($AG$2:AG744),$AG$2:$AG$1001,0),MATCH(COLUMNS($AN$1006:BM1006),$AN$1006:$BO$1006,0)), HYPERLINK("#",""), HYPERLINK(CONCATENATE("#Metadata!", ADDRESS(INDEX($AI$2:$AI$1001,MATCH(ROWS($AG$2:AG744),$AG$2:$AG$1001,0),0), INDEX($AN$1004:$BO$1004,1,MATCH(COLUMNS($AN$1006:BM1006),$AN$1006:$BO$1006,0)))),"Fix")))</f>
        <v>0</v>
      </c>
      <c r="AB744" s="4">
        <f>IF(OR(INDEX($AH$2:$AH$1001,MATCH(ROWS($AG$2:AG744),$AG$2:$AG$1001,0),1)&gt;=100000,INDEX($AN$1005:$BO$1005,1,MATCH(COLUMNS($AN$1006:BN1006),$AN$1006:$BO$1006,0))&gt;=100000), " ",IF(INDEX($AN$2:$BO$1001,MATCH(ROWS($AG$2:AG744),$AG$2:$AG$1001,0),MATCH(COLUMNS($AN$1006:BN1006),$AN$1006:$BO$1006,0)), HYPERLINK("#",""), HYPERLINK(CONCATENATE("#Metadata!", ADDRESS(INDEX($AI$2:$AI$1001,MATCH(ROWS($AG$2:AG744),$AG$2:$AG$1001,0),0), INDEX($AN$1004:$BO$1004,1,MATCH(COLUMNS($AN$1006:BN1006),$AN$1006:$BO$1006,0)))),"Fix")))</f>
        <v>0</v>
      </c>
      <c r="AC744" s="4">
        <f>IF(OR(INDEX($AH$2:$AH$1001,MATCH(ROWS($AG$2:AG744),$AG$2:$AG$1001,0),1)&gt;=100000,INDEX($AN$1005:$BO$1005,1,MATCH(COLUMNS($AN$1006:BO1006),$AN$1006:$BO$1006,0))&gt;=100000), " ",IF(INDEX($AN$2:$BO$1001,MATCH(ROWS($AG$2:AG744),$AG$2:$AG$1001,0),MATCH(COLUMNS($AN$1006:BO1006),$AN$1006:$BO$1006,0)), HYPERLINK("#",""), HYPERLINK(CONCATENATE("#Metadata!", ADDRESS(INDEX($AI$2:$AI$1001,MATCH(ROWS($AG$2:AG744),$AG$2:$AG$1001,0),0), INDEX($AN$1004:$BO$1004,1,MATCH(COLUMNS($AN$1006:BO1006),$AN$1006:$BO$1006,0)))),"Fix")))</f>
        <v>0</v>
      </c>
      <c r="AG744">
        <v>0</v>
      </c>
      <c r="AH744">
        <v>0</v>
      </c>
      <c r="AI744">
        <v>0</v>
      </c>
      <c r="AJ744">
        <f>IF(AK744,TRUE,AND(AN744:BO744))</f>
        <v>0</v>
      </c>
      <c r="AK744">
        <f>COUNTBLANK(Metadata!B744:AC744)=COLUMNS(Metadata!B744:AC744)</f>
        <v>0</v>
      </c>
      <c r="AL744">
        <v>0</v>
      </c>
      <c r="AN744">
        <f>AND(IF(Metadata!B744="",FALSE,TRUE),COUNTIF(Metadata!B:B, Metadata!B744) = 1,NOT(ISERROR(SUMPRODUCT(SEARCH(MID(Metadata!B744,ROW(INDIRECT("1:"&amp;LEN(Metadata!B744))), 1),"0123456789abcdefghijklmnopqrstuvwxyzABCDEFGHIJKLMNOPQRSTUVWXYZ.")))))</f>
        <v>0</v>
      </c>
      <c r="AO744">
        <f>IF(Metadata!C744="",FALSE,TRUE)</f>
        <v>0</v>
      </c>
      <c r="AP744">
        <f>IF(Metadata!D744="",FALSE,TRUE)</f>
        <v>0</v>
      </c>
      <c r="AQ744">
        <f>OR(AND(IF(Metadata!E744="",FALSE,TRUE),OR(exact(Metadata!E744,"not collected"),exact(Metadata!E744,"not provided"),exact(Metadata!E744,"restricted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R744">
        <f>IF(Metadata!F744="",FALSE,TRUE)</f>
        <v>0</v>
      </c>
      <c r="AS744">
        <f>OR(AND(IF(Metadata!G744="",FALSE,TRUE),OR(exact(Metadata!G744,"not collected"),exact(Metadata!G744,"not provided"))),AND(IF(Metadata!G744="",FALSE,TRUE),OR(exact(Metadata!G744,"TRUE"),exact(Metadata!G744,"FALSE"))))</f>
        <v>0</v>
      </c>
      <c r="AT744">
        <f>OR(AND(IF(Metadata!H744="",FALSE,TRUE),OR(exact(Metadata!H744,"not collected"),exact(Metadata!H744,"not provided"),exact(Metadata!H744,"restricted access"))),AND(IF(Metadata!H744="",FALSE,ISNUMBER(VALUE(Metadata!H744))),Metadata!H744&gt;=-413.0))</f>
        <v>0</v>
      </c>
      <c r="AU744">
        <f>AND(IF(Metadata!I744="",FALSE,TRUE),exact(Metadata!I744,"meters"))</f>
        <v>0</v>
      </c>
      <c r="AV744">
        <f>AND(IF(Metadata!J744="",FALSE,TRUE),OR(exact(Metadata!J744,"Host-associated"),exact(Metadata!J744,"Free-living")))</f>
        <v>0</v>
      </c>
      <c r="AW744">
        <f>AND(IF(Metadata!K744="",FALSE,TRUE),OR(exact(Metadata!K744,"Animal"),exact(Metadata!K744,"Fungus"),exact(Metadata!K744,"Plant"),exact(Metadata!K744,"Saline"),exact(Metadata!K744,"Non-saline")))</f>
        <v>0</v>
      </c>
      <c r="AX744">
        <f>AND(IF(Metadata!L744="",FALSE,TRUE),OR(exact(Metadata!L744,"Plant secretion"),exact(Metadata!L744,"Plant rhizosphere"),exact(Metadata!L744,"Plant surface"),exact(Metadata!L744,"Plant corpus"),exact(Metadata!L744,"Fungus surface"),exact(Metadata!L744,"Fungus corpus"),exact(Metadata!L744,"Animal surface"),exact(Metadata!L744,"Animal proximal gut"),exact(Metadata!L744,"Animal corpus"),exact(Metadata!L744,"Animal distal gut"),exact(Metadata!L744,"Animal secretion"),exact(Metadata!L744,"Sub-surface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Y744">
        <f>IF(Metadata!M744="",FALSE,TRUE)</f>
        <v>0</v>
      </c>
      <c r="AZ744">
        <f>IF(Metadata!N744="",FALSE,TRUE)</f>
        <v>0</v>
      </c>
      <c r="BA744">
        <f>IF(Metadata!O744="",FALSE,TRUE)</f>
        <v>0</v>
      </c>
      <c r="BB744">
        <f>OR(AND(IF(Metadata!P744="",FALSE,TRUE),OR(exact(Metadata!P744,"not collected"),exact(Metadata!P744,"not provided"),exact(Metadata!P744,"restricted access"))),AND(IF(Metadata!P744="",FALSE,TRUE),OR(exact(Metadata!P744,"air"),exact(Metadata!P744,"built environment"),exact(Metadata!P744,"host-associated"),exact(Metadata!P744,"human-associated"),exact(Metadata!P744,"human-skin"),exact(Metadata!P744,"human-oral"),exact(Metadata!P744,"human-gut"),exact(Metadata!P744,"human-vaginal"),exact(Metadata!P744,"microbial mat/biofilm"),exact(Metadata!P744,"misc environment"),exact(Metadata!P744,"plant-associated"),exact(Metadata!P744,"sediment"),exact(Metadata!P744,"soil"),exact(Metadata!P744,"wastewater/sludge"),exact(Metadata!P744,"water"))))</f>
        <v>0</v>
      </c>
      <c r="BC744">
        <f>IF(Metadata!Q744="",FALSE,TRUE)</f>
        <v>0</v>
      </c>
      <c r="BD744">
        <f>IF(Metadata!R744="",FALSE,TRUE)</f>
        <v>0</v>
      </c>
      <c r="BE744">
        <f>OR(AND(IF(Metadata!S744="",FALSE,TRUE),OR(exact(Metadata!S744,"not collected"),exact(Metadata!S744,"not provided"),exact(Metadata!S744,"restricted access"))),AND(IF(Metadata!S744="",FALSE,ISNUMBER(VALUE(Metadata!S744))),Metadata!S744&gt;=-90.00,Metadata!S744&lt;=90.00))</f>
        <v>0</v>
      </c>
      <c r="BF744">
        <f>AND(IF(Metadata!T744="",FALSE,TRUE),exact(Metadata!T744,"Decimal degrees"))</f>
        <v>0</v>
      </c>
      <c r="BG744">
        <f>OR(AND(IF(Metadata!U744="",FALSE,TRUE),OR(exact(Metadata!U744,"not collected"),exact(Metadata!U744,"not provided"),exact(Metadata!U744,"restricted access"))),AND(IF(Metadata!U744="",FALSE,ISNUMBER(VALUE(Metadata!U744))),Metadata!U744&gt;=-180.00,Metadata!U744&lt;=180.00))</f>
        <v>0</v>
      </c>
      <c r="BH744">
        <f>AND(IF(Metadata!V744="",FALSE,TRUE),exact(Metadata!V744,"Decimal degrees"))</f>
        <v>0</v>
      </c>
      <c r="BI744">
        <f>IF(Metadata!W744="",FALSE,TRUE)</f>
        <v>0</v>
      </c>
      <c r="BJ744">
        <f>OR(AND(IF(Metadata!X744="",FALSE,TRUE),OR(exact(Metadata!X744,"not collected"),exact(Metadata!X744,"not provided"),exact(Metadata!X744,"restricted access"))),AND(IF(Metadata!X744="",FALSE,TRUE),OR(exact(Metadata!X744,"TRUE"),exact(Metadata!X744,"FALSE"))))</f>
        <v>0</v>
      </c>
      <c r="BK744">
        <f>AND(IF(Metadata!Y744="",FALSE,TRUE),exact(Metadata!Y744,"other"))</f>
        <v>0</v>
      </c>
      <c r="BL744">
        <f>IF(Metadata!Z744="",FALSE,TRUE)</f>
        <v>0</v>
      </c>
      <c r="BM744">
        <f>OR(AND(IF(Metadata!AA744="",FALSE,TRUE),OR(exact(Metadata!AA744,"not collected"),exact(Metadata!AA744,"not provided"))),AND(IF(Metadata!AA744="",FALSE,IF(ISERROR(INT(Metadata!AA744)),FALSE,INT(Metadata!AA744)=Metadata!AA744)),Metadata!AA744&gt;0))</f>
        <v>0</v>
      </c>
      <c r="BN744">
        <f>AND(IF(Metadata!AB744="",FALSE,TRUE),exact(Metadata!AB744,"Not applicable"))</f>
        <v>0</v>
      </c>
      <c r="BO744">
        <f>IF(Metadata!AC744="",FALSE,TRUE)</f>
        <v>0</v>
      </c>
    </row>
    <row r="745" spans="1:67">
      <c r="A745" s="5">
        <f>IF(B745=" "," ",HYPERLINK(CONCATENATE("#metadata!",ADDRESS(INDEX($AI$2:$AI$1001,MATCH(ROWS($AG$2:AG745),$AG$2:$AG$1001,0),0),1)),INDEX($AL$2:$AL$1001,MATCH(ROWS($AG$2:AG745),$AG$2:$AG$1001,0),0)))</f>
        <v>0</v>
      </c>
      <c r="B745" s="4">
        <f>IF(OR(INDEX($AH$2:$AH$1001,MATCH(ROWS($AG$2:AG745),$AG$2:$AG$1001,0),1)&gt;=100000,INDEX($AN$1005:$BO$1005,1,MATCH(COLUMNS($AN$1006:AN1006),$AN$1006:$BO$1006,0))&gt;=100000), " ",IF(INDEX($AN$2:$BO$1001,MATCH(ROWS($AG$2:AG745),$AG$2:$AG$1001,0),MATCH(COLUMNS($AN$1006:AN1006),$AN$1006:$BO$1006,0)), HYPERLINK("#",""), HYPERLINK(CONCATENATE("#Metadata!", ADDRESS(INDEX($AI$2:$AI$1001,MATCH(ROWS($AG$2:AG745),$AG$2:$AG$1001,0),0), INDEX($AN$1004:$BO$1004,1,MATCH(COLUMNS($AN$1006:AN1006),$AN$1006:$BO$1006,0)))),"Fix")))</f>
        <v>0</v>
      </c>
      <c r="C745" s="4">
        <f>IF(OR(INDEX($AH$2:$AH$1001,MATCH(ROWS($AG$2:AG745),$AG$2:$AG$1001,0),1)&gt;=100000,INDEX($AN$1005:$BO$1005,1,MATCH(COLUMNS($AN$1006:AO1006),$AN$1006:$BO$1006,0))&gt;=100000), " ",IF(INDEX($AN$2:$BO$1001,MATCH(ROWS($AG$2:AG745),$AG$2:$AG$1001,0),MATCH(COLUMNS($AN$1006:AO1006),$AN$1006:$BO$1006,0)), HYPERLINK("#",""), HYPERLINK(CONCATENATE("#Metadata!", ADDRESS(INDEX($AI$2:$AI$1001,MATCH(ROWS($AG$2:AG745),$AG$2:$AG$1001,0),0), INDEX($AN$1004:$BO$1004,1,MATCH(COLUMNS($AN$1006:AO1006),$AN$1006:$BO$1006,0)))),"Fix")))</f>
        <v>0</v>
      </c>
      <c r="D745" s="4">
        <f>IF(OR(INDEX($AH$2:$AH$1001,MATCH(ROWS($AG$2:AG745),$AG$2:$AG$1001,0),1)&gt;=100000,INDEX($AN$1005:$BO$1005,1,MATCH(COLUMNS($AN$1006:AP1006),$AN$1006:$BO$1006,0))&gt;=100000), " ",IF(INDEX($AN$2:$BO$1001,MATCH(ROWS($AG$2:AG745),$AG$2:$AG$1001,0),MATCH(COLUMNS($AN$1006:AP1006),$AN$1006:$BO$1006,0)), HYPERLINK("#",""), HYPERLINK(CONCATENATE("#Metadata!", ADDRESS(INDEX($AI$2:$AI$1001,MATCH(ROWS($AG$2:AG745),$AG$2:$AG$1001,0),0), INDEX($AN$1004:$BO$1004,1,MATCH(COLUMNS($AN$1006:AP1006),$AN$1006:$BO$1006,0)))),"Fix")))</f>
        <v>0</v>
      </c>
      <c r="E745" s="4">
        <f>IF(OR(INDEX($AH$2:$AH$1001,MATCH(ROWS($AG$2:AG745),$AG$2:$AG$1001,0),1)&gt;=100000,INDEX($AN$1005:$BO$1005,1,MATCH(COLUMNS($AN$1006:AQ1006),$AN$1006:$BO$1006,0))&gt;=100000), " ",IF(INDEX($AN$2:$BO$1001,MATCH(ROWS($AG$2:AG745),$AG$2:$AG$1001,0),MATCH(COLUMNS($AN$1006:AQ1006),$AN$1006:$BO$1006,0)), HYPERLINK("#",""), HYPERLINK(CONCATENATE("#Metadata!", ADDRESS(INDEX($AI$2:$AI$1001,MATCH(ROWS($AG$2:AG745),$AG$2:$AG$1001,0),0), INDEX($AN$1004:$BO$1004,1,MATCH(COLUMNS($AN$1006:AQ1006),$AN$1006:$BO$1006,0)))),"Fix")))</f>
        <v>0</v>
      </c>
      <c r="F745" s="4">
        <f>IF(OR(INDEX($AH$2:$AH$1001,MATCH(ROWS($AG$2:AG745),$AG$2:$AG$1001,0),1)&gt;=100000,INDEX($AN$1005:$BO$1005,1,MATCH(COLUMNS($AN$1006:AR1006),$AN$1006:$BO$1006,0))&gt;=100000), " ",IF(INDEX($AN$2:$BO$1001,MATCH(ROWS($AG$2:AG745),$AG$2:$AG$1001,0),MATCH(COLUMNS($AN$1006:AR1006),$AN$1006:$BO$1006,0)), HYPERLINK("#",""), HYPERLINK(CONCATENATE("#Metadata!", ADDRESS(INDEX($AI$2:$AI$1001,MATCH(ROWS($AG$2:AG745),$AG$2:$AG$1001,0),0), INDEX($AN$1004:$BO$1004,1,MATCH(COLUMNS($AN$1006:AR1006),$AN$1006:$BO$1006,0)))),"Fix")))</f>
        <v>0</v>
      </c>
      <c r="G745" s="4">
        <f>IF(OR(INDEX($AH$2:$AH$1001,MATCH(ROWS($AG$2:AG745),$AG$2:$AG$1001,0),1)&gt;=100000,INDEX($AN$1005:$BO$1005,1,MATCH(COLUMNS($AN$1006:AS1006),$AN$1006:$BO$1006,0))&gt;=100000), " ",IF(INDEX($AN$2:$BO$1001,MATCH(ROWS($AG$2:AG745),$AG$2:$AG$1001,0),MATCH(COLUMNS($AN$1006:AS1006),$AN$1006:$BO$1006,0)), HYPERLINK("#",""), HYPERLINK(CONCATENATE("#Metadata!", ADDRESS(INDEX($AI$2:$AI$1001,MATCH(ROWS($AG$2:AG745),$AG$2:$AG$1001,0),0), INDEX($AN$1004:$BO$1004,1,MATCH(COLUMNS($AN$1006:AS1006),$AN$1006:$BO$1006,0)))),"Fix")))</f>
        <v>0</v>
      </c>
      <c r="H745" s="4">
        <f>IF(OR(INDEX($AH$2:$AH$1001,MATCH(ROWS($AG$2:AG745),$AG$2:$AG$1001,0),1)&gt;=100000,INDEX($AN$1005:$BO$1005,1,MATCH(COLUMNS($AN$1006:AT1006),$AN$1006:$BO$1006,0))&gt;=100000), " ",IF(INDEX($AN$2:$BO$1001,MATCH(ROWS($AG$2:AG745),$AG$2:$AG$1001,0),MATCH(COLUMNS($AN$1006:AT1006),$AN$1006:$BO$1006,0)), HYPERLINK("#",""), HYPERLINK(CONCATENATE("#Metadata!", ADDRESS(INDEX($AI$2:$AI$1001,MATCH(ROWS($AG$2:AG745),$AG$2:$AG$1001,0),0), INDEX($AN$1004:$BO$1004,1,MATCH(COLUMNS($AN$1006:AT1006),$AN$1006:$BO$1006,0)))),"Fix")))</f>
        <v>0</v>
      </c>
      <c r="I745" s="4">
        <f>IF(OR(INDEX($AH$2:$AH$1001,MATCH(ROWS($AG$2:AG745),$AG$2:$AG$1001,0),1)&gt;=100000,INDEX($AN$1005:$BO$1005,1,MATCH(COLUMNS($AN$1006:AU1006),$AN$1006:$BO$1006,0))&gt;=100000), " ",IF(INDEX($AN$2:$BO$1001,MATCH(ROWS($AG$2:AG745),$AG$2:$AG$1001,0),MATCH(COLUMNS($AN$1006:AU1006),$AN$1006:$BO$1006,0)), HYPERLINK("#",""), HYPERLINK(CONCATENATE("#Metadata!", ADDRESS(INDEX($AI$2:$AI$1001,MATCH(ROWS($AG$2:AG745),$AG$2:$AG$1001,0),0), INDEX($AN$1004:$BO$1004,1,MATCH(COLUMNS($AN$1006:AU1006),$AN$1006:$BO$1006,0)))),"Fix")))</f>
        <v>0</v>
      </c>
      <c r="J745" s="4">
        <f>IF(OR(INDEX($AH$2:$AH$1001,MATCH(ROWS($AG$2:AG745),$AG$2:$AG$1001,0),1)&gt;=100000,INDEX($AN$1005:$BO$1005,1,MATCH(COLUMNS($AN$1006:AV1006),$AN$1006:$BO$1006,0))&gt;=100000), " ",IF(INDEX($AN$2:$BO$1001,MATCH(ROWS($AG$2:AG745),$AG$2:$AG$1001,0),MATCH(COLUMNS($AN$1006:AV1006),$AN$1006:$BO$1006,0)), HYPERLINK("#",""), HYPERLINK(CONCATENATE("#Metadata!", ADDRESS(INDEX($AI$2:$AI$1001,MATCH(ROWS($AG$2:AG745),$AG$2:$AG$1001,0),0), INDEX($AN$1004:$BO$1004,1,MATCH(COLUMNS($AN$1006:AV1006),$AN$1006:$BO$1006,0)))),"Fix")))</f>
        <v>0</v>
      </c>
      <c r="K745" s="4">
        <f>IF(OR(INDEX($AH$2:$AH$1001,MATCH(ROWS($AG$2:AG745),$AG$2:$AG$1001,0),1)&gt;=100000,INDEX($AN$1005:$BO$1005,1,MATCH(COLUMNS($AN$1006:AW1006),$AN$1006:$BO$1006,0))&gt;=100000), " ",IF(INDEX($AN$2:$BO$1001,MATCH(ROWS($AG$2:AG745),$AG$2:$AG$1001,0),MATCH(COLUMNS($AN$1006:AW1006),$AN$1006:$BO$1006,0)), HYPERLINK("#",""), HYPERLINK(CONCATENATE("#Metadata!", ADDRESS(INDEX($AI$2:$AI$1001,MATCH(ROWS($AG$2:AG745),$AG$2:$AG$1001,0),0), INDEX($AN$1004:$BO$1004,1,MATCH(COLUMNS($AN$1006:AW1006),$AN$1006:$BO$1006,0)))),"Fix")))</f>
        <v>0</v>
      </c>
      <c r="L745" s="4">
        <f>IF(OR(INDEX($AH$2:$AH$1001,MATCH(ROWS($AG$2:AG745),$AG$2:$AG$1001,0),1)&gt;=100000,INDEX($AN$1005:$BO$1005,1,MATCH(COLUMNS($AN$1006:AX1006),$AN$1006:$BO$1006,0))&gt;=100000), " ",IF(INDEX($AN$2:$BO$1001,MATCH(ROWS($AG$2:AG745),$AG$2:$AG$1001,0),MATCH(COLUMNS($AN$1006:AX1006),$AN$1006:$BO$1006,0)), HYPERLINK("#",""), HYPERLINK(CONCATENATE("#Metadata!", ADDRESS(INDEX($AI$2:$AI$1001,MATCH(ROWS($AG$2:AG745),$AG$2:$AG$1001,0),0), INDEX($AN$1004:$BO$1004,1,MATCH(COLUMNS($AN$1006:AX1006),$AN$1006:$BO$1006,0)))),"Fix")))</f>
        <v>0</v>
      </c>
      <c r="M745" s="4">
        <f>IF(OR(INDEX($AH$2:$AH$1001,MATCH(ROWS($AG$2:AG745),$AG$2:$AG$1001,0),1)&gt;=100000,INDEX($AN$1005:$BO$1005,1,MATCH(COLUMNS($AN$1006:AY1006),$AN$1006:$BO$1006,0))&gt;=100000), " ",IF(INDEX($AN$2:$BO$1001,MATCH(ROWS($AG$2:AG745),$AG$2:$AG$1001,0),MATCH(COLUMNS($AN$1006:AY1006),$AN$1006:$BO$1006,0)), HYPERLINK("#",""), HYPERLINK(CONCATENATE("#Metadata!", ADDRESS(INDEX($AI$2:$AI$1001,MATCH(ROWS($AG$2:AG745),$AG$2:$AG$1001,0),0), INDEX($AN$1004:$BO$1004,1,MATCH(COLUMNS($AN$1006:AY1006),$AN$1006:$BO$1006,0)))),"Fix")))</f>
        <v>0</v>
      </c>
      <c r="N745" s="4">
        <f>IF(OR(INDEX($AH$2:$AH$1001,MATCH(ROWS($AG$2:AG745),$AG$2:$AG$1001,0),1)&gt;=100000,INDEX($AN$1005:$BO$1005,1,MATCH(COLUMNS($AN$1006:AZ1006),$AN$1006:$BO$1006,0))&gt;=100000), " ",IF(INDEX($AN$2:$BO$1001,MATCH(ROWS($AG$2:AG745),$AG$2:$AG$1001,0),MATCH(COLUMNS($AN$1006:AZ1006),$AN$1006:$BO$1006,0)), HYPERLINK("#",""), HYPERLINK(CONCATENATE("#Metadata!", ADDRESS(INDEX($AI$2:$AI$1001,MATCH(ROWS($AG$2:AG745),$AG$2:$AG$1001,0),0), INDEX($AN$1004:$BO$1004,1,MATCH(COLUMNS($AN$1006:AZ1006),$AN$1006:$BO$1006,0)))),"Fix")))</f>
        <v>0</v>
      </c>
      <c r="O745" s="4">
        <f>IF(OR(INDEX($AH$2:$AH$1001,MATCH(ROWS($AG$2:AG745),$AG$2:$AG$1001,0),1)&gt;=100000,INDEX($AN$1005:$BO$1005,1,MATCH(COLUMNS($AN$1006:BA1006),$AN$1006:$BO$1006,0))&gt;=100000), " ",IF(INDEX($AN$2:$BO$1001,MATCH(ROWS($AG$2:AG745),$AG$2:$AG$1001,0),MATCH(COLUMNS($AN$1006:BA1006),$AN$1006:$BO$1006,0)), HYPERLINK("#",""), HYPERLINK(CONCATENATE("#Metadata!", ADDRESS(INDEX($AI$2:$AI$1001,MATCH(ROWS($AG$2:AG745),$AG$2:$AG$1001,0),0), INDEX($AN$1004:$BO$1004,1,MATCH(COLUMNS($AN$1006:BA1006),$AN$1006:$BO$1006,0)))),"Fix")))</f>
        <v>0</v>
      </c>
      <c r="P745" s="4">
        <f>IF(OR(INDEX($AH$2:$AH$1001,MATCH(ROWS($AG$2:AG745),$AG$2:$AG$1001,0),1)&gt;=100000,INDEX($AN$1005:$BO$1005,1,MATCH(COLUMNS($AN$1006:BB1006),$AN$1006:$BO$1006,0))&gt;=100000), " ",IF(INDEX($AN$2:$BO$1001,MATCH(ROWS($AG$2:AG745),$AG$2:$AG$1001,0),MATCH(COLUMNS($AN$1006:BB1006),$AN$1006:$BO$1006,0)), HYPERLINK("#",""), HYPERLINK(CONCATENATE("#Metadata!", ADDRESS(INDEX($AI$2:$AI$1001,MATCH(ROWS($AG$2:AG745),$AG$2:$AG$1001,0),0), INDEX($AN$1004:$BO$1004,1,MATCH(COLUMNS($AN$1006:BB1006),$AN$1006:$BO$1006,0)))),"Fix")))</f>
        <v>0</v>
      </c>
      <c r="Q745" s="4">
        <f>IF(OR(INDEX($AH$2:$AH$1001,MATCH(ROWS($AG$2:AG745),$AG$2:$AG$1001,0),1)&gt;=100000,INDEX($AN$1005:$BO$1005,1,MATCH(COLUMNS($AN$1006:BC1006),$AN$1006:$BO$1006,0))&gt;=100000), " ",IF(INDEX($AN$2:$BO$1001,MATCH(ROWS($AG$2:AG745),$AG$2:$AG$1001,0),MATCH(COLUMNS($AN$1006:BC1006),$AN$1006:$BO$1006,0)), HYPERLINK("#",""), HYPERLINK(CONCATENATE("#Metadata!", ADDRESS(INDEX($AI$2:$AI$1001,MATCH(ROWS($AG$2:AG745),$AG$2:$AG$1001,0),0), INDEX($AN$1004:$BO$1004,1,MATCH(COLUMNS($AN$1006:BC1006),$AN$1006:$BO$1006,0)))),"Fix")))</f>
        <v>0</v>
      </c>
      <c r="R745" s="4">
        <f>IF(OR(INDEX($AH$2:$AH$1001,MATCH(ROWS($AG$2:AG745),$AG$2:$AG$1001,0),1)&gt;=100000,INDEX($AN$1005:$BO$1005,1,MATCH(COLUMNS($AN$1006:BD1006),$AN$1006:$BO$1006,0))&gt;=100000), " ",IF(INDEX($AN$2:$BO$1001,MATCH(ROWS($AG$2:AG745),$AG$2:$AG$1001,0),MATCH(COLUMNS($AN$1006:BD1006),$AN$1006:$BO$1006,0)), HYPERLINK("#",""), HYPERLINK(CONCATENATE("#Metadata!", ADDRESS(INDEX($AI$2:$AI$1001,MATCH(ROWS($AG$2:AG745),$AG$2:$AG$1001,0),0), INDEX($AN$1004:$BO$1004,1,MATCH(COLUMNS($AN$1006:BD1006),$AN$1006:$BO$1006,0)))),"Fix")))</f>
        <v>0</v>
      </c>
      <c r="S745" s="4">
        <f>IF(OR(INDEX($AH$2:$AH$1001,MATCH(ROWS($AG$2:AG745),$AG$2:$AG$1001,0),1)&gt;=100000,INDEX($AN$1005:$BO$1005,1,MATCH(COLUMNS($AN$1006:BE1006),$AN$1006:$BO$1006,0))&gt;=100000), " ",IF(INDEX($AN$2:$BO$1001,MATCH(ROWS($AG$2:AG745),$AG$2:$AG$1001,0),MATCH(COLUMNS($AN$1006:BE1006),$AN$1006:$BO$1006,0)), HYPERLINK("#",""), HYPERLINK(CONCATENATE("#Metadata!", ADDRESS(INDEX($AI$2:$AI$1001,MATCH(ROWS($AG$2:AG745),$AG$2:$AG$1001,0),0), INDEX($AN$1004:$BO$1004,1,MATCH(COLUMNS($AN$1006:BE1006),$AN$1006:$BO$1006,0)))),"Fix")))</f>
        <v>0</v>
      </c>
      <c r="T745" s="4">
        <f>IF(OR(INDEX($AH$2:$AH$1001,MATCH(ROWS($AG$2:AG745),$AG$2:$AG$1001,0),1)&gt;=100000,INDEX($AN$1005:$BO$1005,1,MATCH(COLUMNS($AN$1006:BF1006),$AN$1006:$BO$1006,0))&gt;=100000), " ",IF(INDEX($AN$2:$BO$1001,MATCH(ROWS($AG$2:AG745),$AG$2:$AG$1001,0),MATCH(COLUMNS($AN$1006:BF1006),$AN$1006:$BO$1006,0)), HYPERLINK("#",""), HYPERLINK(CONCATENATE("#Metadata!", ADDRESS(INDEX($AI$2:$AI$1001,MATCH(ROWS($AG$2:AG745),$AG$2:$AG$1001,0),0), INDEX($AN$1004:$BO$1004,1,MATCH(COLUMNS($AN$1006:BF1006),$AN$1006:$BO$1006,0)))),"Fix")))</f>
        <v>0</v>
      </c>
      <c r="U745" s="4">
        <f>IF(OR(INDEX($AH$2:$AH$1001,MATCH(ROWS($AG$2:AG745),$AG$2:$AG$1001,0),1)&gt;=100000,INDEX($AN$1005:$BO$1005,1,MATCH(COLUMNS($AN$1006:BG1006),$AN$1006:$BO$1006,0))&gt;=100000), " ",IF(INDEX($AN$2:$BO$1001,MATCH(ROWS($AG$2:AG745),$AG$2:$AG$1001,0),MATCH(COLUMNS($AN$1006:BG1006),$AN$1006:$BO$1006,0)), HYPERLINK("#",""), HYPERLINK(CONCATENATE("#Metadata!", ADDRESS(INDEX($AI$2:$AI$1001,MATCH(ROWS($AG$2:AG745),$AG$2:$AG$1001,0),0), INDEX($AN$1004:$BO$1004,1,MATCH(COLUMNS($AN$1006:BG1006),$AN$1006:$BO$1006,0)))),"Fix")))</f>
        <v>0</v>
      </c>
      <c r="V745" s="4">
        <f>IF(OR(INDEX($AH$2:$AH$1001,MATCH(ROWS($AG$2:AG745),$AG$2:$AG$1001,0),1)&gt;=100000,INDEX($AN$1005:$BO$1005,1,MATCH(COLUMNS($AN$1006:BH1006),$AN$1006:$BO$1006,0))&gt;=100000), " ",IF(INDEX($AN$2:$BO$1001,MATCH(ROWS($AG$2:AG745),$AG$2:$AG$1001,0),MATCH(COLUMNS($AN$1006:BH1006),$AN$1006:$BO$1006,0)), HYPERLINK("#",""), HYPERLINK(CONCATENATE("#Metadata!", ADDRESS(INDEX($AI$2:$AI$1001,MATCH(ROWS($AG$2:AG745),$AG$2:$AG$1001,0),0), INDEX($AN$1004:$BO$1004,1,MATCH(COLUMNS($AN$1006:BH1006),$AN$1006:$BO$1006,0)))),"Fix")))</f>
        <v>0</v>
      </c>
      <c r="W745" s="4">
        <f>IF(OR(INDEX($AH$2:$AH$1001,MATCH(ROWS($AG$2:AG745),$AG$2:$AG$1001,0),1)&gt;=100000,INDEX($AN$1005:$BO$1005,1,MATCH(COLUMNS($AN$1006:BI1006),$AN$1006:$BO$1006,0))&gt;=100000), " ",IF(INDEX($AN$2:$BO$1001,MATCH(ROWS($AG$2:AG745),$AG$2:$AG$1001,0),MATCH(COLUMNS($AN$1006:BI1006),$AN$1006:$BO$1006,0)), HYPERLINK("#",""), HYPERLINK(CONCATENATE("#Metadata!", ADDRESS(INDEX($AI$2:$AI$1001,MATCH(ROWS($AG$2:AG745),$AG$2:$AG$1001,0),0), INDEX($AN$1004:$BO$1004,1,MATCH(COLUMNS($AN$1006:BI1006),$AN$1006:$BO$1006,0)))),"Fix")))</f>
        <v>0</v>
      </c>
      <c r="X745" s="4">
        <f>IF(OR(INDEX($AH$2:$AH$1001,MATCH(ROWS($AG$2:AG745),$AG$2:$AG$1001,0),1)&gt;=100000,INDEX($AN$1005:$BO$1005,1,MATCH(COLUMNS($AN$1006:BJ1006),$AN$1006:$BO$1006,0))&gt;=100000), " ",IF(INDEX($AN$2:$BO$1001,MATCH(ROWS($AG$2:AG745),$AG$2:$AG$1001,0),MATCH(COLUMNS($AN$1006:BJ1006),$AN$1006:$BO$1006,0)), HYPERLINK("#",""), HYPERLINK(CONCATENATE("#Metadata!", ADDRESS(INDEX($AI$2:$AI$1001,MATCH(ROWS($AG$2:AG745),$AG$2:$AG$1001,0),0), INDEX($AN$1004:$BO$1004,1,MATCH(COLUMNS($AN$1006:BJ1006),$AN$1006:$BO$1006,0)))),"Fix")))</f>
        <v>0</v>
      </c>
      <c r="Y745" s="4">
        <f>IF(OR(INDEX($AH$2:$AH$1001,MATCH(ROWS($AG$2:AG745),$AG$2:$AG$1001,0),1)&gt;=100000,INDEX($AN$1005:$BO$1005,1,MATCH(COLUMNS($AN$1006:BK1006),$AN$1006:$BO$1006,0))&gt;=100000), " ",IF(INDEX($AN$2:$BO$1001,MATCH(ROWS($AG$2:AG745),$AG$2:$AG$1001,0),MATCH(COLUMNS($AN$1006:BK1006),$AN$1006:$BO$1006,0)), HYPERLINK("#",""), HYPERLINK(CONCATENATE("#Metadata!", ADDRESS(INDEX($AI$2:$AI$1001,MATCH(ROWS($AG$2:AG745),$AG$2:$AG$1001,0),0), INDEX($AN$1004:$BO$1004,1,MATCH(COLUMNS($AN$1006:BK1006),$AN$1006:$BO$1006,0)))),"Fix")))</f>
        <v>0</v>
      </c>
      <c r="Z745" s="4">
        <f>IF(OR(INDEX($AH$2:$AH$1001,MATCH(ROWS($AG$2:AG745),$AG$2:$AG$1001,0),1)&gt;=100000,INDEX($AN$1005:$BO$1005,1,MATCH(COLUMNS($AN$1006:BL1006),$AN$1006:$BO$1006,0))&gt;=100000), " ",IF(INDEX($AN$2:$BO$1001,MATCH(ROWS($AG$2:AG745),$AG$2:$AG$1001,0),MATCH(COLUMNS($AN$1006:BL1006),$AN$1006:$BO$1006,0)), HYPERLINK("#",""), HYPERLINK(CONCATENATE("#Metadata!", ADDRESS(INDEX($AI$2:$AI$1001,MATCH(ROWS($AG$2:AG745),$AG$2:$AG$1001,0),0), INDEX($AN$1004:$BO$1004,1,MATCH(COLUMNS($AN$1006:BL1006),$AN$1006:$BO$1006,0)))),"Fix")))</f>
        <v>0</v>
      </c>
      <c r="AA745" s="4">
        <f>IF(OR(INDEX($AH$2:$AH$1001,MATCH(ROWS($AG$2:AG745),$AG$2:$AG$1001,0),1)&gt;=100000,INDEX($AN$1005:$BO$1005,1,MATCH(COLUMNS($AN$1006:BM1006),$AN$1006:$BO$1006,0))&gt;=100000), " ",IF(INDEX($AN$2:$BO$1001,MATCH(ROWS($AG$2:AG745),$AG$2:$AG$1001,0),MATCH(COLUMNS($AN$1006:BM1006),$AN$1006:$BO$1006,0)), HYPERLINK("#",""), HYPERLINK(CONCATENATE("#Metadata!", ADDRESS(INDEX($AI$2:$AI$1001,MATCH(ROWS($AG$2:AG745),$AG$2:$AG$1001,0),0), INDEX($AN$1004:$BO$1004,1,MATCH(COLUMNS($AN$1006:BM1006),$AN$1006:$BO$1006,0)))),"Fix")))</f>
        <v>0</v>
      </c>
      <c r="AB745" s="4">
        <f>IF(OR(INDEX($AH$2:$AH$1001,MATCH(ROWS($AG$2:AG745),$AG$2:$AG$1001,0),1)&gt;=100000,INDEX($AN$1005:$BO$1005,1,MATCH(COLUMNS($AN$1006:BN1006),$AN$1006:$BO$1006,0))&gt;=100000), " ",IF(INDEX($AN$2:$BO$1001,MATCH(ROWS($AG$2:AG745),$AG$2:$AG$1001,0),MATCH(COLUMNS($AN$1006:BN1006),$AN$1006:$BO$1006,0)), HYPERLINK("#",""), HYPERLINK(CONCATENATE("#Metadata!", ADDRESS(INDEX($AI$2:$AI$1001,MATCH(ROWS($AG$2:AG745),$AG$2:$AG$1001,0),0), INDEX($AN$1004:$BO$1004,1,MATCH(COLUMNS($AN$1006:BN1006),$AN$1006:$BO$1006,0)))),"Fix")))</f>
        <v>0</v>
      </c>
      <c r="AC745" s="4">
        <f>IF(OR(INDEX($AH$2:$AH$1001,MATCH(ROWS($AG$2:AG745),$AG$2:$AG$1001,0),1)&gt;=100000,INDEX($AN$1005:$BO$1005,1,MATCH(COLUMNS($AN$1006:BO1006),$AN$1006:$BO$1006,0))&gt;=100000), " ",IF(INDEX($AN$2:$BO$1001,MATCH(ROWS($AG$2:AG745),$AG$2:$AG$1001,0),MATCH(COLUMNS($AN$1006:BO1006),$AN$1006:$BO$1006,0)), HYPERLINK("#",""), HYPERLINK(CONCATENATE("#Metadata!", ADDRESS(INDEX($AI$2:$AI$1001,MATCH(ROWS($AG$2:AG745),$AG$2:$AG$1001,0),0), INDEX($AN$1004:$BO$1004,1,MATCH(COLUMNS($AN$1006:BO1006),$AN$1006:$BO$1006,0)))),"Fix")))</f>
        <v>0</v>
      </c>
      <c r="AG745">
        <v>0</v>
      </c>
      <c r="AH745">
        <v>0</v>
      </c>
      <c r="AI745">
        <v>0</v>
      </c>
      <c r="AJ745">
        <f>IF(AK745,TRUE,AND(AN745:BO745))</f>
        <v>0</v>
      </c>
      <c r="AK745">
        <f>COUNTBLANK(Metadata!B745:AC745)=COLUMNS(Metadata!B745:AC745)</f>
        <v>0</v>
      </c>
      <c r="AL745">
        <v>0</v>
      </c>
      <c r="AN745">
        <f>AND(IF(Metadata!B745="",FALSE,TRUE),COUNTIF(Metadata!B:B, Metadata!B745) = 1,NOT(ISERROR(SUMPRODUCT(SEARCH(MID(Metadata!B745,ROW(INDIRECT("1:"&amp;LEN(Metadata!B745))), 1),"0123456789abcdefghijklmnopqrstuvwxyzABCDEFGHIJKLMNOPQRSTUVWXYZ.")))))</f>
        <v>0</v>
      </c>
      <c r="AO745">
        <f>IF(Metadata!C745="",FALSE,TRUE)</f>
        <v>0</v>
      </c>
      <c r="AP745">
        <f>IF(Metadata!D745="",FALSE,TRUE)</f>
        <v>0</v>
      </c>
      <c r="AQ745">
        <f>OR(AND(IF(Metadata!E745="",FALSE,TRUE),OR(exact(Metadata!E745,"not collected"),exact(Metadata!E745,"not provided"),exact(Metadata!E745,"restricted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R745">
        <f>IF(Metadata!F745="",FALSE,TRUE)</f>
        <v>0</v>
      </c>
      <c r="AS745">
        <f>OR(AND(IF(Metadata!G745="",FALSE,TRUE),OR(exact(Metadata!G745,"not collected"),exact(Metadata!G745,"not provided"))),AND(IF(Metadata!G745="",FALSE,TRUE),OR(exact(Metadata!G745,"TRUE"),exact(Metadata!G745,"FALSE"))))</f>
        <v>0</v>
      </c>
      <c r="AT745">
        <f>OR(AND(IF(Metadata!H745="",FALSE,TRUE),OR(exact(Metadata!H745,"not collected"),exact(Metadata!H745,"not provided"),exact(Metadata!H745,"restricted access"))),AND(IF(Metadata!H745="",FALSE,ISNUMBER(VALUE(Metadata!H745))),Metadata!H745&gt;=-413.0))</f>
        <v>0</v>
      </c>
      <c r="AU745">
        <f>AND(IF(Metadata!I745="",FALSE,TRUE),exact(Metadata!I745,"meters"))</f>
        <v>0</v>
      </c>
      <c r="AV745">
        <f>AND(IF(Metadata!J745="",FALSE,TRUE),OR(exact(Metadata!J745,"Host-associated"),exact(Metadata!J745,"Free-living")))</f>
        <v>0</v>
      </c>
      <c r="AW745">
        <f>AND(IF(Metadata!K745="",FALSE,TRUE),OR(exact(Metadata!K745,"Animal"),exact(Metadata!K745,"Fungus"),exact(Metadata!K745,"Plant"),exact(Metadata!K745,"Saline"),exact(Metadata!K745,"Non-saline")))</f>
        <v>0</v>
      </c>
      <c r="AX745">
        <f>AND(IF(Metadata!L745="",FALSE,TRUE),OR(exact(Metadata!L745,"Plant secretion"),exact(Metadata!L745,"Plant rhizosphere"),exact(Metadata!L745,"Plant surface"),exact(Metadata!L745,"Plant corpus"),exact(Metadata!L745,"Fungus surface"),exact(Metadata!L745,"Fungus corpus"),exact(Metadata!L745,"Animal surface"),exact(Metadata!L745,"Animal proximal gut"),exact(Metadata!L745,"Animal corpus"),exact(Metadata!L745,"Animal distal gut"),exact(Metadata!L745,"Animal secretion"),exact(Metadata!L745,"Sub-surface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Y745">
        <f>IF(Metadata!M745="",FALSE,TRUE)</f>
        <v>0</v>
      </c>
      <c r="AZ745">
        <f>IF(Metadata!N745="",FALSE,TRUE)</f>
        <v>0</v>
      </c>
      <c r="BA745">
        <f>IF(Metadata!O745="",FALSE,TRUE)</f>
        <v>0</v>
      </c>
      <c r="BB745">
        <f>OR(AND(IF(Metadata!P745="",FALSE,TRUE),OR(exact(Metadata!P745,"not collected"),exact(Metadata!P745,"not provided"),exact(Metadata!P745,"restricted access"))),AND(IF(Metadata!P745="",FALSE,TRUE),OR(exact(Metadata!P745,"air"),exact(Metadata!P745,"built environment"),exact(Metadata!P745,"host-associated"),exact(Metadata!P745,"human-associated"),exact(Metadata!P745,"human-skin"),exact(Metadata!P745,"human-oral"),exact(Metadata!P745,"human-gut"),exact(Metadata!P745,"human-vaginal"),exact(Metadata!P745,"microbial mat/biofilm"),exact(Metadata!P745,"misc environment"),exact(Metadata!P745,"plant-associated"),exact(Metadata!P745,"sediment"),exact(Metadata!P745,"soil"),exact(Metadata!P745,"wastewater/sludge"),exact(Metadata!P745,"water"))))</f>
        <v>0</v>
      </c>
      <c r="BC745">
        <f>IF(Metadata!Q745="",FALSE,TRUE)</f>
        <v>0</v>
      </c>
      <c r="BD745">
        <f>IF(Metadata!R745="",FALSE,TRUE)</f>
        <v>0</v>
      </c>
      <c r="BE745">
        <f>OR(AND(IF(Metadata!S745="",FALSE,TRUE),OR(exact(Metadata!S745,"not collected"),exact(Metadata!S745,"not provided"),exact(Metadata!S745,"restricted access"))),AND(IF(Metadata!S745="",FALSE,ISNUMBER(VALUE(Metadata!S745))),Metadata!S745&gt;=-90.00,Metadata!S745&lt;=90.00))</f>
        <v>0</v>
      </c>
      <c r="BF745">
        <f>AND(IF(Metadata!T745="",FALSE,TRUE),exact(Metadata!T745,"Decimal degrees"))</f>
        <v>0</v>
      </c>
      <c r="BG745">
        <f>OR(AND(IF(Metadata!U745="",FALSE,TRUE),OR(exact(Metadata!U745,"not collected"),exact(Metadata!U745,"not provided"),exact(Metadata!U745,"restricted access"))),AND(IF(Metadata!U745="",FALSE,ISNUMBER(VALUE(Metadata!U745))),Metadata!U745&gt;=-180.00,Metadata!U745&lt;=180.00))</f>
        <v>0</v>
      </c>
      <c r="BH745">
        <f>AND(IF(Metadata!V745="",FALSE,TRUE),exact(Metadata!V745,"Decimal degrees"))</f>
        <v>0</v>
      </c>
      <c r="BI745">
        <f>IF(Metadata!W745="",FALSE,TRUE)</f>
        <v>0</v>
      </c>
      <c r="BJ745">
        <f>OR(AND(IF(Metadata!X745="",FALSE,TRUE),OR(exact(Metadata!X745,"not collected"),exact(Metadata!X745,"not provided"),exact(Metadata!X745,"restricted access"))),AND(IF(Metadata!X745="",FALSE,TRUE),OR(exact(Metadata!X745,"TRUE"),exact(Metadata!X745,"FALSE"))))</f>
        <v>0</v>
      </c>
      <c r="BK745">
        <f>AND(IF(Metadata!Y745="",FALSE,TRUE),exact(Metadata!Y745,"other"))</f>
        <v>0</v>
      </c>
      <c r="BL745">
        <f>IF(Metadata!Z745="",FALSE,TRUE)</f>
        <v>0</v>
      </c>
      <c r="BM745">
        <f>OR(AND(IF(Metadata!AA745="",FALSE,TRUE),OR(exact(Metadata!AA745,"not collected"),exact(Metadata!AA745,"not provided"))),AND(IF(Metadata!AA745="",FALSE,IF(ISERROR(INT(Metadata!AA745)),FALSE,INT(Metadata!AA745)=Metadata!AA745)),Metadata!AA745&gt;0))</f>
        <v>0</v>
      </c>
      <c r="BN745">
        <f>AND(IF(Metadata!AB745="",FALSE,TRUE),exact(Metadata!AB745,"Not applicable"))</f>
        <v>0</v>
      </c>
      <c r="BO745">
        <f>IF(Metadata!AC745="",FALSE,TRUE)</f>
        <v>0</v>
      </c>
    </row>
    <row r="746" spans="1:67">
      <c r="A746" s="5">
        <f>IF(B746=" "," ",HYPERLINK(CONCATENATE("#metadata!",ADDRESS(INDEX($AI$2:$AI$1001,MATCH(ROWS($AG$2:AG746),$AG$2:$AG$1001,0),0),1)),INDEX($AL$2:$AL$1001,MATCH(ROWS($AG$2:AG746),$AG$2:$AG$1001,0),0)))</f>
        <v>0</v>
      </c>
      <c r="B746" s="4">
        <f>IF(OR(INDEX($AH$2:$AH$1001,MATCH(ROWS($AG$2:AG746),$AG$2:$AG$1001,0),1)&gt;=100000,INDEX($AN$1005:$BO$1005,1,MATCH(COLUMNS($AN$1006:AN1006),$AN$1006:$BO$1006,0))&gt;=100000), " ",IF(INDEX($AN$2:$BO$1001,MATCH(ROWS($AG$2:AG746),$AG$2:$AG$1001,0),MATCH(COLUMNS($AN$1006:AN1006),$AN$1006:$BO$1006,0)), HYPERLINK("#",""), HYPERLINK(CONCATENATE("#Metadata!", ADDRESS(INDEX($AI$2:$AI$1001,MATCH(ROWS($AG$2:AG746),$AG$2:$AG$1001,0),0), INDEX($AN$1004:$BO$1004,1,MATCH(COLUMNS($AN$1006:AN1006),$AN$1006:$BO$1006,0)))),"Fix")))</f>
        <v>0</v>
      </c>
      <c r="C746" s="4">
        <f>IF(OR(INDEX($AH$2:$AH$1001,MATCH(ROWS($AG$2:AG746),$AG$2:$AG$1001,0),1)&gt;=100000,INDEX($AN$1005:$BO$1005,1,MATCH(COLUMNS($AN$1006:AO1006),$AN$1006:$BO$1006,0))&gt;=100000), " ",IF(INDEX($AN$2:$BO$1001,MATCH(ROWS($AG$2:AG746),$AG$2:$AG$1001,0),MATCH(COLUMNS($AN$1006:AO1006),$AN$1006:$BO$1006,0)), HYPERLINK("#",""), HYPERLINK(CONCATENATE("#Metadata!", ADDRESS(INDEX($AI$2:$AI$1001,MATCH(ROWS($AG$2:AG746),$AG$2:$AG$1001,0),0), INDEX($AN$1004:$BO$1004,1,MATCH(COLUMNS($AN$1006:AO1006),$AN$1006:$BO$1006,0)))),"Fix")))</f>
        <v>0</v>
      </c>
      <c r="D746" s="4">
        <f>IF(OR(INDEX($AH$2:$AH$1001,MATCH(ROWS($AG$2:AG746),$AG$2:$AG$1001,0),1)&gt;=100000,INDEX($AN$1005:$BO$1005,1,MATCH(COLUMNS($AN$1006:AP1006),$AN$1006:$BO$1006,0))&gt;=100000), " ",IF(INDEX($AN$2:$BO$1001,MATCH(ROWS($AG$2:AG746),$AG$2:$AG$1001,0),MATCH(COLUMNS($AN$1006:AP1006),$AN$1006:$BO$1006,0)), HYPERLINK("#",""), HYPERLINK(CONCATENATE("#Metadata!", ADDRESS(INDEX($AI$2:$AI$1001,MATCH(ROWS($AG$2:AG746),$AG$2:$AG$1001,0),0), INDEX($AN$1004:$BO$1004,1,MATCH(COLUMNS($AN$1006:AP1006),$AN$1006:$BO$1006,0)))),"Fix")))</f>
        <v>0</v>
      </c>
      <c r="E746" s="4">
        <f>IF(OR(INDEX($AH$2:$AH$1001,MATCH(ROWS($AG$2:AG746),$AG$2:$AG$1001,0),1)&gt;=100000,INDEX($AN$1005:$BO$1005,1,MATCH(COLUMNS($AN$1006:AQ1006),$AN$1006:$BO$1006,0))&gt;=100000), " ",IF(INDEX($AN$2:$BO$1001,MATCH(ROWS($AG$2:AG746),$AG$2:$AG$1001,0),MATCH(COLUMNS($AN$1006:AQ1006),$AN$1006:$BO$1006,0)), HYPERLINK("#",""), HYPERLINK(CONCATENATE("#Metadata!", ADDRESS(INDEX($AI$2:$AI$1001,MATCH(ROWS($AG$2:AG746),$AG$2:$AG$1001,0),0), INDEX($AN$1004:$BO$1004,1,MATCH(COLUMNS($AN$1006:AQ1006),$AN$1006:$BO$1006,0)))),"Fix")))</f>
        <v>0</v>
      </c>
      <c r="F746" s="4">
        <f>IF(OR(INDEX($AH$2:$AH$1001,MATCH(ROWS($AG$2:AG746),$AG$2:$AG$1001,0),1)&gt;=100000,INDEX($AN$1005:$BO$1005,1,MATCH(COLUMNS($AN$1006:AR1006),$AN$1006:$BO$1006,0))&gt;=100000), " ",IF(INDEX($AN$2:$BO$1001,MATCH(ROWS($AG$2:AG746),$AG$2:$AG$1001,0),MATCH(COLUMNS($AN$1006:AR1006),$AN$1006:$BO$1006,0)), HYPERLINK("#",""), HYPERLINK(CONCATENATE("#Metadata!", ADDRESS(INDEX($AI$2:$AI$1001,MATCH(ROWS($AG$2:AG746),$AG$2:$AG$1001,0),0), INDEX($AN$1004:$BO$1004,1,MATCH(COLUMNS($AN$1006:AR1006),$AN$1006:$BO$1006,0)))),"Fix")))</f>
        <v>0</v>
      </c>
      <c r="G746" s="4">
        <f>IF(OR(INDEX($AH$2:$AH$1001,MATCH(ROWS($AG$2:AG746),$AG$2:$AG$1001,0),1)&gt;=100000,INDEX($AN$1005:$BO$1005,1,MATCH(COLUMNS($AN$1006:AS1006),$AN$1006:$BO$1006,0))&gt;=100000), " ",IF(INDEX($AN$2:$BO$1001,MATCH(ROWS($AG$2:AG746),$AG$2:$AG$1001,0),MATCH(COLUMNS($AN$1006:AS1006),$AN$1006:$BO$1006,0)), HYPERLINK("#",""), HYPERLINK(CONCATENATE("#Metadata!", ADDRESS(INDEX($AI$2:$AI$1001,MATCH(ROWS($AG$2:AG746),$AG$2:$AG$1001,0),0), INDEX($AN$1004:$BO$1004,1,MATCH(COLUMNS($AN$1006:AS1006),$AN$1006:$BO$1006,0)))),"Fix")))</f>
        <v>0</v>
      </c>
      <c r="H746" s="4">
        <f>IF(OR(INDEX($AH$2:$AH$1001,MATCH(ROWS($AG$2:AG746),$AG$2:$AG$1001,0),1)&gt;=100000,INDEX($AN$1005:$BO$1005,1,MATCH(COLUMNS($AN$1006:AT1006),$AN$1006:$BO$1006,0))&gt;=100000), " ",IF(INDEX($AN$2:$BO$1001,MATCH(ROWS($AG$2:AG746),$AG$2:$AG$1001,0),MATCH(COLUMNS($AN$1006:AT1006),$AN$1006:$BO$1006,0)), HYPERLINK("#",""), HYPERLINK(CONCATENATE("#Metadata!", ADDRESS(INDEX($AI$2:$AI$1001,MATCH(ROWS($AG$2:AG746),$AG$2:$AG$1001,0),0), INDEX($AN$1004:$BO$1004,1,MATCH(COLUMNS($AN$1006:AT1006),$AN$1006:$BO$1006,0)))),"Fix")))</f>
        <v>0</v>
      </c>
      <c r="I746" s="4">
        <f>IF(OR(INDEX($AH$2:$AH$1001,MATCH(ROWS($AG$2:AG746),$AG$2:$AG$1001,0),1)&gt;=100000,INDEX($AN$1005:$BO$1005,1,MATCH(COLUMNS($AN$1006:AU1006),$AN$1006:$BO$1006,0))&gt;=100000), " ",IF(INDEX($AN$2:$BO$1001,MATCH(ROWS($AG$2:AG746),$AG$2:$AG$1001,0),MATCH(COLUMNS($AN$1006:AU1006),$AN$1006:$BO$1006,0)), HYPERLINK("#",""), HYPERLINK(CONCATENATE("#Metadata!", ADDRESS(INDEX($AI$2:$AI$1001,MATCH(ROWS($AG$2:AG746),$AG$2:$AG$1001,0),0), INDEX($AN$1004:$BO$1004,1,MATCH(COLUMNS($AN$1006:AU1006),$AN$1006:$BO$1006,0)))),"Fix")))</f>
        <v>0</v>
      </c>
      <c r="J746" s="4">
        <f>IF(OR(INDEX($AH$2:$AH$1001,MATCH(ROWS($AG$2:AG746),$AG$2:$AG$1001,0),1)&gt;=100000,INDEX($AN$1005:$BO$1005,1,MATCH(COLUMNS($AN$1006:AV1006),$AN$1006:$BO$1006,0))&gt;=100000), " ",IF(INDEX($AN$2:$BO$1001,MATCH(ROWS($AG$2:AG746),$AG$2:$AG$1001,0),MATCH(COLUMNS($AN$1006:AV1006),$AN$1006:$BO$1006,0)), HYPERLINK("#",""), HYPERLINK(CONCATENATE("#Metadata!", ADDRESS(INDEX($AI$2:$AI$1001,MATCH(ROWS($AG$2:AG746),$AG$2:$AG$1001,0),0), INDEX($AN$1004:$BO$1004,1,MATCH(COLUMNS($AN$1006:AV1006),$AN$1006:$BO$1006,0)))),"Fix")))</f>
        <v>0</v>
      </c>
      <c r="K746" s="4">
        <f>IF(OR(INDEX($AH$2:$AH$1001,MATCH(ROWS($AG$2:AG746),$AG$2:$AG$1001,0),1)&gt;=100000,INDEX($AN$1005:$BO$1005,1,MATCH(COLUMNS($AN$1006:AW1006),$AN$1006:$BO$1006,0))&gt;=100000), " ",IF(INDEX($AN$2:$BO$1001,MATCH(ROWS($AG$2:AG746),$AG$2:$AG$1001,0),MATCH(COLUMNS($AN$1006:AW1006),$AN$1006:$BO$1006,0)), HYPERLINK("#",""), HYPERLINK(CONCATENATE("#Metadata!", ADDRESS(INDEX($AI$2:$AI$1001,MATCH(ROWS($AG$2:AG746),$AG$2:$AG$1001,0),0), INDEX($AN$1004:$BO$1004,1,MATCH(COLUMNS($AN$1006:AW1006),$AN$1006:$BO$1006,0)))),"Fix")))</f>
        <v>0</v>
      </c>
      <c r="L746" s="4">
        <f>IF(OR(INDEX($AH$2:$AH$1001,MATCH(ROWS($AG$2:AG746),$AG$2:$AG$1001,0),1)&gt;=100000,INDEX($AN$1005:$BO$1005,1,MATCH(COLUMNS($AN$1006:AX1006),$AN$1006:$BO$1006,0))&gt;=100000), " ",IF(INDEX($AN$2:$BO$1001,MATCH(ROWS($AG$2:AG746),$AG$2:$AG$1001,0),MATCH(COLUMNS($AN$1006:AX1006),$AN$1006:$BO$1006,0)), HYPERLINK("#",""), HYPERLINK(CONCATENATE("#Metadata!", ADDRESS(INDEX($AI$2:$AI$1001,MATCH(ROWS($AG$2:AG746),$AG$2:$AG$1001,0),0), INDEX($AN$1004:$BO$1004,1,MATCH(COLUMNS($AN$1006:AX1006),$AN$1006:$BO$1006,0)))),"Fix")))</f>
        <v>0</v>
      </c>
      <c r="M746" s="4">
        <f>IF(OR(INDEX($AH$2:$AH$1001,MATCH(ROWS($AG$2:AG746),$AG$2:$AG$1001,0),1)&gt;=100000,INDEX($AN$1005:$BO$1005,1,MATCH(COLUMNS($AN$1006:AY1006),$AN$1006:$BO$1006,0))&gt;=100000), " ",IF(INDEX($AN$2:$BO$1001,MATCH(ROWS($AG$2:AG746),$AG$2:$AG$1001,0),MATCH(COLUMNS($AN$1006:AY1006),$AN$1006:$BO$1006,0)), HYPERLINK("#",""), HYPERLINK(CONCATENATE("#Metadata!", ADDRESS(INDEX($AI$2:$AI$1001,MATCH(ROWS($AG$2:AG746),$AG$2:$AG$1001,0),0), INDEX($AN$1004:$BO$1004,1,MATCH(COLUMNS($AN$1006:AY1006),$AN$1006:$BO$1006,0)))),"Fix")))</f>
        <v>0</v>
      </c>
      <c r="N746" s="4">
        <f>IF(OR(INDEX($AH$2:$AH$1001,MATCH(ROWS($AG$2:AG746),$AG$2:$AG$1001,0),1)&gt;=100000,INDEX($AN$1005:$BO$1005,1,MATCH(COLUMNS($AN$1006:AZ1006),$AN$1006:$BO$1006,0))&gt;=100000), " ",IF(INDEX($AN$2:$BO$1001,MATCH(ROWS($AG$2:AG746),$AG$2:$AG$1001,0),MATCH(COLUMNS($AN$1006:AZ1006),$AN$1006:$BO$1006,0)), HYPERLINK("#",""), HYPERLINK(CONCATENATE("#Metadata!", ADDRESS(INDEX($AI$2:$AI$1001,MATCH(ROWS($AG$2:AG746),$AG$2:$AG$1001,0),0), INDEX($AN$1004:$BO$1004,1,MATCH(COLUMNS($AN$1006:AZ1006),$AN$1006:$BO$1006,0)))),"Fix")))</f>
        <v>0</v>
      </c>
      <c r="O746" s="4">
        <f>IF(OR(INDEX($AH$2:$AH$1001,MATCH(ROWS($AG$2:AG746),$AG$2:$AG$1001,0),1)&gt;=100000,INDEX($AN$1005:$BO$1005,1,MATCH(COLUMNS($AN$1006:BA1006),$AN$1006:$BO$1006,0))&gt;=100000), " ",IF(INDEX($AN$2:$BO$1001,MATCH(ROWS($AG$2:AG746),$AG$2:$AG$1001,0),MATCH(COLUMNS($AN$1006:BA1006),$AN$1006:$BO$1006,0)), HYPERLINK("#",""), HYPERLINK(CONCATENATE("#Metadata!", ADDRESS(INDEX($AI$2:$AI$1001,MATCH(ROWS($AG$2:AG746),$AG$2:$AG$1001,0),0), INDEX($AN$1004:$BO$1004,1,MATCH(COLUMNS($AN$1006:BA1006),$AN$1006:$BO$1006,0)))),"Fix")))</f>
        <v>0</v>
      </c>
      <c r="P746" s="4">
        <f>IF(OR(INDEX($AH$2:$AH$1001,MATCH(ROWS($AG$2:AG746),$AG$2:$AG$1001,0),1)&gt;=100000,INDEX($AN$1005:$BO$1005,1,MATCH(COLUMNS($AN$1006:BB1006),$AN$1006:$BO$1006,0))&gt;=100000), " ",IF(INDEX($AN$2:$BO$1001,MATCH(ROWS($AG$2:AG746),$AG$2:$AG$1001,0),MATCH(COLUMNS($AN$1006:BB1006),$AN$1006:$BO$1006,0)), HYPERLINK("#",""), HYPERLINK(CONCATENATE("#Metadata!", ADDRESS(INDEX($AI$2:$AI$1001,MATCH(ROWS($AG$2:AG746),$AG$2:$AG$1001,0),0), INDEX($AN$1004:$BO$1004,1,MATCH(COLUMNS($AN$1006:BB1006),$AN$1006:$BO$1006,0)))),"Fix")))</f>
        <v>0</v>
      </c>
      <c r="Q746" s="4">
        <f>IF(OR(INDEX($AH$2:$AH$1001,MATCH(ROWS($AG$2:AG746),$AG$2:$AG$1001,0),1)&gt;=100000,INDEX($AN$1005:$BO$1005,1,MATCH(COLUMNS($AN$1006:BC1006),$AN$1006:$BO$1006,0))&gt;=100000), " ",IF(INDEX($AN$2:$BO$1001,MATCH(ROWS($AG$2:AG746),$AG$2:$AG$1001,0),MATCH(COLUMNS($AN$1006:BC1006),$AN$1006:$BO$1006,0)), HYPERLINK("#",""), HYPERLINK(CONCATENATE("#Metadata!", ADDRESS(INDEX($AI$2:$AI$1001,MATCH(ROWS($AG$2:AG746),$AG$2:$AG$1001,0),0), INDEX($AN$1004:$BO$1004,1,MATCH(COLUMNS($AN$1006:BC1006),$AN$1006:$BO$1006,0)))),"Fix")))</f>
        <v>0</v>
      </c>
      <c r="R746" s="4">
        <f>IF(OR(INDEX($AH$2:$AH$1001,MATCH(ROWS($AG$2:AG746),$AG$2:$AG$1001,0),1)&gt;=100000,INDEX($AN$1005:$BO$1005,1,MATCH(COLUMNS($AN$1006:BD1006),$AN$1006:$BO$1006,0))&gt;=100000), " ",IF(INDEX($AN$2:$BO$1001,MATCH(ROWS($AG$2:AG746),$AG$2:$AG$1001,0),MATCH(COLUMNS($AN$1006:BD1006),$AN$1006:$BO$1006,0)), HYPERLINK("#",""), HYPERLINK(CONCATENATE("#Metadata!", ADDRESS(INDEX($AI$2:$AI$1001,MATCH(ROWS($AG$2:AG746),$AG$2:$AG$1001,0),0), INDEX($AN$1004:$BO$1004,1,MATCH(COLUMNS($AN$1006:BD1006),$AN$1006:$BO$1006,0)))),"Fix")))</f>
        <v>0</v>
      </c>
      <c r="S746" s="4">
        <f>IF(OR(INDEX($AH$2:$AH$1001,MATCH(ROWS($AG$2:AG746),$AG$2:$AG$1001,0),1)&gt;=100000,INDEX($AN$1005:$BO$1005,1,MATCH(COLUMNS($AN$1006:BE1006),$AN$1006:$BO$1006,0))&gt;=100000), " ",IF(INDEX($AN$2:$BO$1001,MATCH(ROWS($AG$2:AG746),$AG$2:$AG$1001,0),MATCH(COLUMNS($AN$1006:BE1006),$AN$1006:$BO$1006,0)), HYPERLINK("#",""), HYPERLINK(CONCATENATE("#Metadata!", ADDRESS(INDEX($AI$2:$AI$1001,MATCH(ROWS($AG$2:AG746),$AG$2:$AG$1001,0),0), INDEX($AN$1004:$BO$1004,1,MATCH(COLUMNS($AN$1006:BE1006),$AN$1006:$BO$1006,0)))),"Fix")))</f>
        <v>0</v>
      </c>
      <c r="T746" s="4">
        <f>IF(OR(INDEX($AH$2:$AH$1001,MATCH(ROWS($AG$2:AG746),$AG$2:$AG$1001,0),1)&gt;=100000,INDEX($AN$1005:$BO$1005,1,MATCH(COLUMNS($AN$1006:BF1006),$AN$1006:$BO$1006,0))&gt;=100000), " ",IF(INDEX($AN$2:$BO$1001,MATCH(ROWS($AG$2:AG746),$AG$2:$AG$1001,0),MATCH(COLUMNS($AN$1006:BF1006),$AN$1006:$BO$1006,0)), HYPERLINK("#",""), HYPERLINK(CONCATENATE("#Metadata!", ADDRESS(INDEX($AI$2:$AI$1001,MATCH(ROWS($AG$2:AG746),$AG$2:$AG$1001,0),0), INDEX($AN$1004:$BO$1004,1,MATCH(COLUMNS($AN$1006:BF1006),$AN$1006:$BO$1006,0)))),"Fix")))</f>
        <v>0</v>
      </c>
      <c r="U746" s="4">
        <f>IF(OR(INDEX($AH$2:$AH$1001,MATCH(ROWS($AG$2:AG746),$AG$2:$AG$1001,0),1)&gt;=100000,INDEX($AN$1005:$BO$1005,1,MATCH(COLUMNS($AN$1006:BG1006),$AN$1006:$BO$1006,0))&gt;=100000), " ",IF(INDEX($AN$2:$BO$1001,MATCH(ROWS($AG$2:AG746),$AG$2:$AG$1001,0),MATCH(COLUMNS($AN$1006:BG1006),$AN$1006:$BO$1006,0)), HYPERLINK("#",""), HYPERLINK(CONCATENATE("#Metadata!", ADDRESS(INDEX($AI$2:$AI$1001,MATCH(ROWS($AG$2:AG746),$AG$2:$AG$1001,0),0), INDEX($AN$1004:$BO$1004,1,MATCH(COLUMNS($AN$1006:BG1006),$AN$1006:$BO$1006,0)))),"Fix")))</f>
        <v>0</v>
      </c>
      <c r="V746" s="4">
        <f>IF(OR(INDEX($AH$2:$AH$1001,MATCH(ROWS($AG$2:AG746),$AG$2:$AG$1001,0),1)&gt;=100000,INDEX($AN$1005:$BO$1005,1,MATCH(COLUMNS($AN$1006:BH1006),$AN$1006:$BO$1006,0))&gt;=100000), " ",IF(INDEX($AN$2:$BO$1001,MATCH(ROWS($AG$2:AG746),$AG$2:$AG$1001,0),MATCH(COLUMNS($AN$1006:BH1006),$AN$1006:$BO$1006,0)), HYPERLINK("#",""), HYPERLINK(CONCATENATE("#Metadata!", ADDRESS(INDEX($AI$2:$AI$1001,MATCH(ROWS($AG$2:AG746),$AG$2:$AG$1001,0),0), INDEX($AN$1004:$BO$1004,1,MATCH(COLUMNS($AN$1006:BH1006),$AN$1006:$BO$1006,0)))),"Fix")))</f>
        <v>0</v>
      </c>
      <c r="W746" s="4">
        <f>IF(OR(INDEX($AH$2:$AH$1001,MATCH(ROWS($AG$2:AG746),$AG$2:$AG$1001,0),1)&gt;=100000,INDEX($AN$1005:$BO$1005,1,MATCH(COLUMNS($AN$1006:BI1006),$AN$1006:$BO$1006,0))&gt;=100000), " ",IF(INDEX($AN$2:$BO$1001,MATCH(ROWS($AG$2:AG746),$AG$2:$AG$1001,0),MATCH(COLUMNS($AN$1006:BI1006),$AN$1006:$BO$1006,0)), HYPERLINK("#",""), HYPERLINK(CONCATENATE("#Metadata!", ADDRESS(INDEX($AI$2:$AI$1001,MATCH(ROWS($AG$2:AG746),$AG$2:$AG$1001,0),0), INDEX($AN$1004:$BO$1004,1,MATCH(COLUMNS($AN$1006:BI1006),$AN$1006:$BO$1006,0)))),"Fix")))</f>
        <v>0</v>
      </c>
      <c r="X746" s="4">
        <f>IF(OR(INDEX($AH$2:$AH$1001,MATCH(ROWS($AG$2:AG746),$AG$2:$AG$1001,0),1)&gt;=100000,INDEX($AN$1005:$BO$1005,1,MATCH(COLUMNS($AN$1006:BJ1006),$AN$1006:$BO$1006,0))&gt;=100000), " ",IF(INDEX($AN$2:$BO$1001,MATCH(ROWS($AG$2:AG746),$AG$2:$AG$1001,0),MATCH(COLUMNS($AN$1006:BJ1006),$AN$1006:$BO$1006,0)), HYPERLINK("#",""), HYPERLINK(CONCATENATE("#Metadata!", ADDRESS(INDEX($AI$2:$AI$1001,MATCH(ROWS($AG$2:AG746),$AG$2:$AG$1001,0),0), INDEX($AN$1004:$BO$1004,1,MATCH(COLUMNS($AN$1006:BJ1006),$AN$1006:$BO$1006,0)))),"Fix")))</f>
        <v>0</v>
      </c>
      <c r="Y746" s="4">
        <f>IF(OR(INDEX($AH$2:$AH$1001,MATCH(ROWS($AG$2:AG746),$AG$2:$AG$1001,0),1)&gt;=100000,INDEX($AN$1005:$BO$1005,1,MATCH(COLUMNS($AN$1006:BK1006),$AN$1006:$BO$1006,0))&gt;=100000), " ",IF(INDEX($AN$2:$BO$1001,MATCH(ROWS($AG$2:AG746),$AG$2:$AG$1001,0),MATCH(COLUMNS($AN$1006:BK1006),$AN$1006:$BO$1006,0)), HYPERLINK("#",""), HYPERLINK(CONCATENATE("#Metadata!", ADDRESS(INDEX($AI$2:$AI$1001,MATCH(ROWS($AG$2:AG746),$AG$2:$AG$1001,0),0), INDEX($AN$1004:$BO$1004,1,MATCH(COLUMNS($AN$1006:BK1006),$AN$1006:$BO$1006,0)))),"Fix")))</f>
        <v>0</v>
      </c>
      <c r="Z746" s="4">
        <f>IF(OR(INDEX($AH$2:$AH$1001,MATCH(ROWS($AG$2:AG746),$AG$2:$AG$1001,0),1)&gt;=100000,INDEX($AN$1005:$BO$1005,1,MATCH(COLUMNS($AN$1006:BL1006),$AN$1006:$BO$1006,0))&gt;=100000), " ",IF(INDEX($AN$2:$BO$1001,MATCH(ROWS($AG$2:AG746),$AG$2:$AG$1001,0),MATCH(COLUMNS($AN$1006:BL1006),$AN$1006:$BO$1006,0)), HYPERLINK("#",""), HYPERLINK(CONCATENATE("#Metadata!", ADDRESS(INDEX($AI$2:$AI$1001,MATCH(ROWS($AG$2:AG746),$AG$2:$AG$1001,0),0), INDEX($AN$1004:$BO$1004,1,MATCH(COLUMNS($AN$1006:BL1006),$AN$1006:$BO$1006,0)))),"Fix")))</f>
        <v>0</v>
      </c>
      <c r="AA746" s="4">
        <f>IF(OR(INDEX($AH$2:$AH$1001,MATCH(ROWS($AG$2:AG746),$AG$2:$AG$1001,0),1)&gt;=100000,INDEX($AN$1005:$BO$1005,1,MATCH(COLUMNS($AN$1006:BM1006),$AN$1006:$BO$1006,0))&gt;=100000), " ",IF(INDEX($AN$2:$BO$1001,MATCH(ROWS($AG$2:AG746),$AG$2:$AG$1001,0),MATCH(COLUMNS($AN$1006:BM1006),$AN$1006:$BO$1006,0)), HYPERLINK("#",""), HYPERLINK(CONCATENATE("#Metadata!", ADDRESS(INDEX($AI$2:$AI$1001,MATCH(ROWS($AG$2:AG746),$AG$2:$AG$1001,0),0), INDEX($AN$1004:$BO$1004,1,MATCH(COLUMNS($AN$1006:BM1006),$AN$1006:$BO$1006,0)))),"Fix")))</f>
        <v>0</v>
      </c>
      <c r="AB746" s="4">
        <f>IF(OR(INDEX($AH$2:$AH$1001,MATCH(ROWS($AG$2:AG746),$AG$2:$AG$1001,0),1)&gt;=100000,INDEX($AN$1005:$BO$1005,1,MATCH(COLUMNS($AN$1006:BN1006),$AN$1006:$BO$1006,0))&gt;=100000), " ",IF(INDEX($AN$2:$BO$1001,MATCH(ROWS($AG$2:AG746),$AG$2:$AG$1001,0),MATCH(COLUMNS($AN$1006:BN1006),$AN$1006:$BO$1006,0)), HYPERLINK("#",""), HYPERLINK(CONCATENATE("#Metadata!", ADDRESS(INDEX($AI$2:$AI$1001,MATCH(ROWS($AG$2:AG746),$AG$2:$AG$1001,0),0), INDEX($AN$1004:$BO$1004,1,MATCH(COLUMNS($AN$1006:BN1006),$AN$1006:$BO$1006,0)))),"Fix")))</f>
        <v>0</v>
      </c>
      <c r="AC746" s="4">
        <f>IF(OR(INDEX($AH$2:$AH$1001,MATCH(ROWS($AG$2:AG746),$AG$2:$AG$1001,0),1)&gt;=100000,INDEX($AN$1005:$BO$1005,1,MATCH(COLUMNS($AN$1006:BO1006),$AN$1006:$BO$1006,0))&gt;=100000), " ",IF(INDEX($AN$2:$BO$1001,MATCH(ROWS($AG$2:AG746),$AG$2:$AG$1001,0),MATCH(COLUMNS($AN$1006:BO1006),$AN$1006:$BO$1006,0)), HYPERLINK("#",""), HYPERLINK(CONCATENATE("#Metadata!", ADDRESS(INDEX($AI$2:$AI$1001,MATCH(ROWS($AG$2:AG746),$AG$2:$AG$1001,0),0), INDEX($AN$1004:$BO$1004,1,MATCH(COLUMNS($AN$1006:BO1006),$AN$1006:$BO$1006,0)))),"Fix")))</f>
        <v>0</v>
      </c>
      <c r="AG746">
        <v>0</v>
      </c>
      <c r="AH746">
        <v>0</v>
      </c>
      <c r="AI746">
        <v>0</v>
      </c>
      <c r="AJ746">
        <f>IF(AK746,TRUE,AND(AN746:BO746))</f>
        <v>0</v>
      </c>
      <c r="AK746">
        <f>COUNTBLANK(Metadata!B746:AC746)=COLUMNS(Metadata!B746:AC746)</f>
        <v>0</v>
      </c>
      <c r="AL746">
        <v>0</v>
      </c>
      <c r="AN746">
        <f>AND(IF(Metadata!B746="",FALSE,TRUE),COUNTIF(Metadata!B:B, Metadata!B746) = 1,NOT(ISERROR(SUMPRODUCT(SEARCH(MID(Metadata!B746,ROW(INDIRECT("1:"&amp;LEN(Metadata!B746))), 1),"0123456789abcdefghijklmnopqrstuvwxyzABCDEFGHIJKLMNOPQRSTUVWXYZ.")))))</f>
        <v>0</v>
      </c>
      <c r="AO746">
        <f>IF(Metadata!C746="",FALSE,TRUE)</f>
        <v>0</v>
      </c>
      <c r="AP746">
        <f>IF(Metadata!D746="",FALSE,TRUE)</f>
        <v>0</v>
      </c>
      <c r="AQ746">
        <f>OR(AND(IF(Metadata!E746="",FALSE,TRUE),OR(exact(Metadata!E746,"not collected"),exact(Metadata!E746,"not provided"),exact(Metadata!E746,"restricted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R746">
        <f>IF(Metadata!F746="",FALSE,TRUE)</f>
        <v>0</v>
      </c>
      <c r="AS746">
        <f>OR(AND(IF(Metadata!G746="",FALSE,TRUE),OR(exact(Metadata!G746,"not collected"),exact(Metadata!G746,"not provided"))),AND(IF(Metadata!G746="",FALSE,TRUE),OR(exact(Metadata!G746,"TRUE"),exact(Metadata!G746,"FALSE"))))</f>
        <v>0</v>
      </c>
      <c r="AT746">
        <f>OR(AND(IF(Metadata!H746="",FALSE,TRUE),OR(exact(Metadata!H746,"not collected"),exact(Metadata!H746,"not provided"),exact(Metadata!H746,"restricted access"))),AND(IF(Metadata!H746="",FALSE,ISNUMBER(VALUE(Metadata!H746))),Metadata!H746&gt;=-413.0))</f>
        <v>0</v>
      </c>
      <c r="AU746">
        <f>AND(IF(Metadata!I746="",FALSE,TRUE),exact(Metadata!I746,"meters"))</f>
        <v>0</v>
      </c>
      <c r="AV746">
        <f>AND(IF(Metadata!J746="",FALSE,TRUE),OR(exact(Metadata!J746,"Host-associated"),exact(Metadata!J746,"Free-living")))</f>
        <v>0</v>
      </c>
      <c r="AW746">
        <f>AND(IF(Metadata!K746="",FALSE,TRUE),OR(exact(Metadata!K746,"Animal"),exact(Metadata!K746,"Fungus"),exact(Metadata!K746,"Plant"),exact(Metadata!K746,"Saline"),exact(Metadata!K746,"Non-saline")))</f>
        <v>0</v>
      </c>
      <c r="AX746">
        <f>AND(IF(Metadata!L746="",FALSE,TRUE),OR(exact(Metadata!L746,"Plant secretion"),exact(Metadata!L746,"Plant rhizosphere"),exact(Metadata!L746,"Plant surface"),exact(Metadata!L746,"Plant corpus"),exact(Metadata!L746,"Fungus surface"),exact(Metadata!L746,"Fungus corpus"),exact(Metadata!L746,"Animal surface"),exact(Metadata!L746,"Animal proximal gut"),exact(Metadata!L746,"Animal corpus"),exact(Metadata!L746,"Animal distal gut"),exact(Metadata!L746,"Animal secretion"),exact(Metadata!L746,"Sub-surface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Y746">
        <f>IF(Metadata!M746="",FALSE,TRUE)</f>
        <v>0</v>
      </c>
      <c r="AZ746">
        <f>IF(Metadata!N746="",FALSE,TRUE)</f>
        <v>0</v>
      </c>
      <c r="BA746">
        <f>IF(Metadata!O746="",FALSE,TRUE)</f>
        <v>0</v>
      </c>
      <c r="BB746">
        <f>OR(AND(IF(Metadata!P746="",FALSE,TRUE),OR(exact(Metadata!P746,"not collected"),exact(Metadata!P746,"not provided"),exact(Metadata!P746,"restricted access"))),AND(IF(Metadata!P746="",FALSE,TRUE),OR(exact(Metadata!P746,"air"),exact(Metadata!P746,"built environment"),exact(Metadata!P746,"host-associated"),exact(Metadata!P746,"human-associated"),exact(Metadata!P746,"human-skin"),exact(Metadata!P746,"human-oral"),exact(Metadata!P746,"human-gut"),exact(Metadata!P746,"human-vaginal"),exact(Metadata!P746,"microbial mat/biofilm"),exact(Metadata!P746,"misc environment"),exact(Metadata!P746,"plant-associated"),exact(Metadata!P746,"sediment"),exact(Metadata!P746,"soil"),exact(Metadata!P746,"wastewater/sludge"),exact(Metadata!P746,"water"))))</f>
        <v>0</v>
      </c>
      <c r="BC746">
        <f>IF(Metadata!Q746="",FALSE,TRUE)</f>
        <v>0</v>
      </c>
      <c r="BD746">
        <f>IF(Metadata!R746="",FALSE,TRUE)</f>
        <v>0</v>
      </c>
      <c r="BE746">
        <f>OR(AND(IF(Metadata!S746="",FALSE,TRUE),OR(exact(Metadata!S746,"not collected"),exact(Metadata!S746,"not provided"),exact(Metadata!S746,"restricted access"))),AND(IF(Metadata!S746="",FALSE,ISNUMBER(VALUE(Metadata!S746))),Metadata!S746&gt;=-90.00,Metadata!S746&lt;=90.00))</f>
        <v>0</v>
      </c>
      <c r="BF746">
        <f>AND(IF(Metadata!T746="",FALSE,TRUE),exact(Metadata!T746,"Decimal degrees"))</f>
        <v>0</v>
      </c>
      <c r="BG746">
        <f>OR(AND(IF(Metadata!U746="",FALSE,TRUE),OR(exact(Metadata!U746,"not collected"),exact(Metadata!U746,"not provided"),exact(Metadata!U746,"restricted access"))),AND(IF(Metadata!U746="",FALSE,ISNUMBER(VALUE(Metadata!U746))),Metadata!U746&gt;=-180.00,Metadata!U746&lt;=180.00))</f>
        <v>0</v>
      </c>
      <c r="BH746">
        <f>AND(IF(Metadata!V746="",FALSE,TRUE),exact(Metadata!V746,"Decimal degrees"))</f>
        <v>0</v>
      </c>
      <c r="BI746">
        <f>IF(Metadata!W746="",FALSE,TRUE)</f>
        <v>0</v>
      </c>
      <c r="BJ746">
        <f>OR(AND(IF(Metadata!X746="",FALSE,TRUE),OR(exact(Metadata!X746,"not collected"),exact(Metadata!X746,"not provided"),exact(Metadata!X746,"restricted access"))),AND(IF(Metadata!X746="",FALSE,TRUE),OR(exact(Metadata!X746,"TRUE"),exact(Metadata!X746,"FALSE"))))</f>
        <v>0</v>
      </c>
      <c r="BK746">
        <f>AND(IF(Metadata!Y746="",FALSE,TRUE),exact(Metadata!Y746,"other"))</f>
        <v>0</v>
      </c>
      <c r="BL746">
        <f>IF(Metadata!Z746="",FALSE,TRUE)</f>
        <v>0</v>
      </c>
      <c r="BM746">
        <f>OR(AND(IF(Metadata!AA746="",FALSE,TRUE),OR(exact(Metadata!AA746,"not collected"),exact(Metadata!AA746,"not provided"))),AND(IF(Metadata!AA746="",FALSE,IF(ISERROR(INT(Metadata!AA746)),FALSE,INT(Metadata!AA746)=Metadata!AA746)),Metadata!AA746&gt;0))</f>
        <v>0</v>
      </c>
      <c r="BN746">
        <f>AND(IF(Metadata!AB746="",FALSE,TRUE),exact(Metadata!AB746,"Not applicable"))</f>
        <v>0</v>
      </c>
      <c r="BO746">
        <f>IF(Metadata!AC746="",FALSE,TRUE)</f>
        <v>0</v>
      </c>
    </row>
    <row r="747" spans="1:67">
      <c r="A747" s="5">
        <f>IF(B747=" "," ",HYPERLINK(CONCATENATE("#metadata!",ADDRESS(INDEX($AI$2:$AI$1001,MATCH(ROWS($AG$2:AG747),$AG$2:$AG$1001,0),0),1)),INDEX($AL$2:$AL$1001,MATCH(ROWS($AG$2:AG747),$AG$2:$AG$1001,0),0)))</f>
        <v>0</v>
      </c>
      <c r="B747" s="4">
        <f>IF(OR(INDEX($AH$2:$AH$1001,MATCH(ROWS($AG$2:AG747),$AG$2:$AG$1001,0),1)&gt;=100000,INDEX($AN$1005:$BO$1005,1,MATCH(COLUMNS($AN$1006:AN1006),$AN$1006:$BO$1006,0))&gt;=100000), " ",IF(INDEX($AN$2:$BO$1001,MATCH(ROWS($AG$2:AG747),$AG$2:$AG$1001,0),MATCH(COLUMNS($AN$1006:AN1006),$AN$1006:$BO$1006,0)), HYPERLINK("#",""), HYPERLINK(CONCATENATE("#Metadata!", ADDRESS(INDEX($AI$2:$AI$1001,MATCH(ROWS($AG$2:AG747),$AG$2:$AG$1001,0),0), INDEX($AN$1004:$BO$1004,1,MATCH(COLUMNS($AN$1006:AN1006),$AN$1006:$BO$1006,0)))),"Fix")))</f>
        <v>0</v>
      </c>
      <c r="C747" s="4">
        <f>IF(OR(INDEX($AH$2:$AH$1001,MATCH(ROWS($AG$2:AG747),$AG$2:$AG$1001,0),1)&gt;=100000,INDEX($AN$1005:$BO$1005,1,MATCH(COLUMNS($AN$1006:AO1006),$AN$1006:$BO$1006,0))&gt;=100000), " ",IF(INDEX($AN$2:$BO$1001,MATCH(ROWS($AG$2:AG747),$AG$2:$AG$1001,0),MATCH(COLUMNS($AN$1006:AO1006),$AN$1006:$BO$1006,0)), HYPERLINK("#",""), HYPERLINK(CONCATENATE("#Metadata!", ADDRESS(INDEX($AI$2:$AI$1001,MATCH(ROWS($AG$2:AG747),$AG$2:$AG$1001,0),0), INDEX($AN$1004:$BO$1004,1,MATCH(COLUMNS($AN$1006:AO1006),$AN$1006:$BO$1006,0)))),"Fix")))</f>
        <v>0</v>
      </c>
      <c r="D747" s="4">
        <f>IF(OR(INDEX($AH$2:$AH$1001,MATCH(ROWS($AG$2:AG747),$AG$2:$AG$1001,0),1)&gt;=100000,INDEX($AN$1005:$BO$1005,1,MATCH(COLUMNS($AN$1006:AP1006),$AN$1006:$BO$1006,0))&gt;=100000), " ",IF(INDEX($AN$2:$BO$1001,MATCH(ROWS($AG$2:AG747),$AG$2:$AG$1001,0),MATCH(COLUMNS($AN$1006:AP1006),$AN$1006:$BO$1006,0)), HYPERLINK("#",""), HYPERLINK(CONCATENATE("#Metadata!", ADDRESS(INDEX($AI$2:$AI$1001,MATCH(ROWS($AG$2:AG747),$AG$2:$AG$1001,0),0), INDEX($AN$1004:$BO$1004,1,MATCH(COLUMNS($AN$1006:AP1006),$AN$1006:$BO$1006,0)))),"Fix")))</f>
        <v>0</v>
      </c>
      <c r="E747" s="4">
        <f>IF(OR(INDEX($AH$2:$AH$1001,MATCH(ROWS($AG$2:AG747),$AG$2:$AG$1001,0),1)&gt;=100000,INDEX($AN$1005:$BO$1005,1,MATCH(COLUMNS($AN$1006:AQ1006),$AN$1006:$BO$1006,0))&gt;=100000), " ",IF(INDEX($AN$2:$BO$1001,MATCH(ROWS($AG$2:AG747),$AG$2:$AG$1001,0),MATCH(COLUMNS($AN$1006:AQ1006),$AN$1006:$BO$1006,0)), HYPERLINK("#",""), HYPERLINK(CONCATENATE("#Metadata!", ADDRESS(INDEX($AI$2:$AI$1001,MATCH(ROWS($AG$2:AG747),$AG$2:$AG$1001,0),0), INDEX($AN$1004:$BO$1004,1,MATCH(COLUMNS($AN$1006:AQ1006),$AN$1006:$BO$1006,0)))),"Fix")))</f>
        <v>0</v>
      </c>
      <c r="F747" s="4">
        <f>IF(OR(INDEX($AH$2:$AH$1001,MATCH(ROWS($AG$2:AG747),$AG$2:$AG$1001,0),1)&gt;=100000,INDEX($AN$1005:$BO$1005,1,MATCH(COLUMNS($AN$1006:AR1006),$AN$1006:$BO$1006,0))&gt;=100000), " ",IF(INDEX($AN$2:$BO$1001,MATCH(ROWS($AG$2:AG747),$AG$2:$AG$1001,0),MATCH(COLUMNS($AN$1006:AR1006),$AN$1006:$BO$1006,0)), HYPERLINK("#",""), HYPERLINK(CONCATENATE("#Metadata!", ADDRESS(INDEX($AI$2:$AI$1001,MATCH(ROWS($AG$2:AG747),$AG$2:$AG$1001,0),0), INDEX($AN$1004:$BO$1004,1,MATCH(COLUMNS($AN$1006:AR1006),$AN$1006:$BO$1006,0)))),"Fix")))</f>
        <v>0</v>
      </c>
      <c r="G747" s="4">
        <f>IF(OR(INDEX($AH$2:$AH$1001,MATCH(ROWS($AG$2:AG747),$AG$2:$AG$1001,0),1)&gt;=100000,INDEX($AN$1005:$BO$1005,1,MATCH(COLUMNS($AN$1006:AS1006),$AN$1006:$BO$1006,0))&gt;=100000), " ",IF(INDEX($AN$2:$BO$1001,MATCH(ROWS($AG$2:AG747),$AG$2:$AG$1001,0),MATCH(COLUMNS($AN$1006:AS1006),$AN$1006:$BO$1006,0)), HYPERLINK("#",""), HYPERLINK(CONCATENATE("#Metadata!", ADDRESS(INDEX($AI$2:$AI$1001,MATCH(ROWS($AG$2:AG747),$AG$2:$AG$1001,0),0), INDEX($AN$1004:$BO$1004,1,MATCH(COLUMNS($AN$1006:AS1006),$AN$1006:$BO$1006,0)))),"Fix")))</f>
        <v>0</v>
      </c>
      <c r="H747" s="4">
        <f>IF(OR(INDEX($AH$2:$AH$1001,MATCH(ROWS($AG$2:AG747),$AG$2:$AG$1001,0),1)&gt;=100000,INDEX($AN$1005:$BO$1005,1,MATCH(COLUMNS($AN$1006:AT1006),$AN$1006:$BO$1006,0))&gt;=100000), " ",IF(INDEX($AN$2:$BO$1001,MATCH(ROWS($AG$2:AG747),$AG$2:$AG$1001,0),MATCH(COLUMNS($AN$1006:AT1006),$AN$1006:$BO$1006,0)), HYPERLINK("#",""), HYPERLINK(CONCATENATE("#Metadata!", ADDRESS(INDEX($AI$2:$AI$1001,MATCH(ROWS($AG$2:AG747),$AG$2:$AG$1001,0),0), INDEX($AN$1004:$BO$1004,1,MATCH(COLUMNS($AN$1006:AT1006),$AN$1006:$BO$1006,0)))),"Fix")))</f>
        <v>0</v>
      </c>
      <c r="I747" s="4">
        <f>IF(OR(INDEX($AH$2:$AH$1001,MATCH(ROWS($AG$2:AG747),$AG$2:$AG$1001,0),1)&gt;=100000,INDEX($AN$1005:$BO$1005,1,MATCH(COLUMNS($AN$1006:AU1006),$AN$1006:$BO$1006,0))&gt;=100000), " ",IF(INDEX($AN$2:$BO$1001,MATCH(ROWS($AG$2:AG747),$AG$2:$AG$1001,0),MATCH(COLUMNS($AN$1006:AU1006),$AN$1006:$BO$1006,0)), HYPERLINK("#",""), HYPERLINK(CONCATENATE("#Metadata!", ADDRESS(INDEX($AI$2:$AI$1001,MATCH(ROWS($AG$2:AG747),$AG$2:$AG$1001,0),0), INDEX($AN$1004:$BO$1004,1,MATCH(COLUMNS($AN$1006:AU1006),$AN$1006:$BO$1006,0)))),"Fix")))</f>
        <v>0</v>
      </c>
      <c r="J747" s="4">
        <f>IF(OR(INDEX($AH$2:$AH$1001,MATCH(ROWS($AG$2:AG747),$AG$2:$AG$1001,0),1)&gt;=100000,INDEX($AN$1005:$BO$1005,1,MATCH(COLUMNS($AN$1006:AV1006),$AN$1006:$BO$1006,0))&gt;=100000), " ",IF(INDEX($AN$2:$BO$1001,MATCH(ROWS($AG$2:AG747),$AG$2:$AG$1001,0),MATCH(COLUMNS($AN$1006:AV1006),$AN$1006:$BO$1006,0)), HYPERLINK("#",""), HYPERLINK(CONCATENATE("#Metadata!", ADDRESS(INDEX($AI$2:$AI$1001,MATCH(ROWS($AG$2:AG747),$AG$2:$AG$1001,0),0), INDEX($AN$1004:$BO$1004,1,MATCH(COLUMNS($AN$1006:AV1006),$AN$1006:$BO$1006,0)))),"Fix")))</f>
        <v>0</v>
      </c>
      <c r="K747" s="4">
        <f>IF(OR(INDEX($AH$2:$AH$1001,MATCH(ROWS($AG$2:AG747),$AG$2:$AG$1001,0),1)&gt;=100000,INDEX($AN$1005:$BO$1005,1,MATCH(COLUMNS($AN$1006:AW1006),$AN$1006:$BO$1006,0))&gt;=100000), " ",IF(INDEX($AN$2:$BO$1001,MATCH(ROWS($AG$2:AG747),$AG$2:$AG$1001,0),MATCH(COLUMNS($AN$1006:AW1006),$AN$1006:$BO$1006,0)), HYPERLINK("#",""), HYPERLINK(CONCATENATE("#Metadata!", ADDRESS(INDEX($AI$2:$AI$1001,MATCH(ROWS($AG$2:AG747),$AG$2:$AG$1001,0),0), INDEX($AN$1004:$BO$1004,1,MATCH(COLUMNS($AN$1006:AW1006),$AN$1006:$BO$1006,0)))),"Fix")))</f>
        <v>0</v>
      </c>
      <c r="L747" s="4">
        <f>IF(OR(INDEX($AH$2:$AH$1001,MATCH(ROWS($AG$2:AG747),$AG$2:$AG$1001,0),1)&gt;=100000,INDEX($AN$1005:$BO$1005,1,MATCH(COLUMNS($AN$1006:AX1006),$AN$1006:$BO$1006,0))&gt;=100000), " ",IF(INDEX($AN$2:$BO$1001,MATCH(ROWS($AG$2:AG747),$AG$2:$AG$1001,0),MATCH(COLUMNS($AN$1006:AX1006),$AN$1006:$BO$1006,0)), HYPERLINK("#",""), HYPERLINK(CONCATENATE("#Metadata!", ADDRESS(INDEX($AI$2:$AI$1001,MATCH(ROWS($AG$2:AG747),$AG$2:$AG$1001,0),0), INDEX($AN$1004:$BO$1004,1,MATCH(COLUMNS($AN$1006:AX1006),$AN$1006:$BO$1006,0)))),"Fix")))</f>
        <v>0</v>
      </c>
      <c r="M747" s="4">
        <f>IF(OR(INDEX($AH$2:$AH$1001,MATCH(ROWS($AG$2:AG747),$AG$2:$AG$1001,0),1)&gt;=100000,INDEX($AN$1005:$BO$1005,1,MATCH(COLUMNS($AN$1006:AY1006),$AN$1006:$BO$1006,0))&gt;=100000), " ",IF(INDEX($AN$2:$BO$1001,MATCH(ROWS($AG$2:AG747),$AG$2:$AG$1001,0),MATCH(COLUMNS($AN$1006:AY1006),$AN$1006:$BO$1006,0)), HYPERLINK("#",""), HYPERLINK(CONCATENATE("#Metadata!", ADDRESS(INDEX($AI$2:$AI$1001,MATCH(ROWS($AG$2:AG747),$AG$2:$AG$1001,0),0), INDEX($AN$1004:$BO$1004,1,MATCH(COLUMNS($AN$1006:AY1006),$AN$1006:$BO$1006,0)))),"Fix")))</f>
        <v>0</v>
      </c>
      <c r="N747" s="4">
        <f>IF(OR(INDEX($AH$2:$AH$1001,MATCH(ROWS($AG$2:AG747),$AG$2:$AG$1001,0),1)&gt;=100000,INDEX($AN$1005:$BO$1005,1,MATCH(COLUMNS($AN$1006:AZ1006),$AN$1006:$BO$1006,0))&gt;=100000), " ",IF(INDEX($AN$2:$BO$1001,MATCH(ROWS($AG$2:AG747),$AG$2:$AG$1001,0),MATCH(COLUMNS($AN$1006:AZ1006),$AN$1006:$BO$1006,0)), HYPERLINK("#",""), HYPERLINK(CONCATENATE("#Metadata!", ADDRESS(INDEX($AI$2:$AI$1001,MATCH(ROWS($AG$2:AG747),$AG$2:$AG$1001,0),0), INDEX($AN$1004:$BO$1004,1,MATCH(COLUMNS($AN$1006:AZ1006),$AN$1006:$BO$1006,0)))),"Fix")))</f>
        <v>0</v>
      </c>
      <c r="O747" s="4">
        <f>IF(OR(INDEX($AH$2:$AH$1001,MATCH(ROWS($AG$2:AG747),$AG$2:$AG$1001,0),1)&gt;=100000,INDEX($AN$1005:$BO$1005,1,MATCH(COLUMNS($AN$1006:BA1006),$AN$1006:$BO$1006,0))&gt;=100000), " ",IF(INDEX($AN$2:$BO$1001,MATCH(ROWS($AG$2:AG747),$AG$2:$AG$1001,0),MATCH(COLUMNS($AN$1006:BA1006),$AN$1006:$BO$1006,0)), HYPERLINK("#",""), HYPERLINK(CONCATENATE("#Metadata!", ADDRESS(INDEX($AI$2:$AI$1001,MATCH(ROWS($AG$2:AG747),$AG$2:$AG$1001,0),0), INDEX($AN$1004:$BO$1004,1,MATCH(COLUMNS($AN$1006:BA1006),$AN$1006:$BO$1006,0)))),"Fix")))</f>
        <v>0</v>
      </c>
      <c r="P747" s="4">
        <f>IF(OR(INDEX($AH$2:$AH$1001,MATCH(ROWS($AG$2:AG747),$AG$2:$AG$1001,0),1)&gt;=100000,INDEX($AN$1005:$BO$1005,1,MATCH(COLUMNS($AN$1006:BB1006),$AN$1006:$BO$1006,0))&gt;=100000), " ",IF(INDEX($AN$2:$BO$1001,MATCH(ROWS($AG$2:AG747),$AG$2:$AG$1001,0),MATCH(COLUMNS($AN$1006:BB1006),$AN$1006:$BO$1006,0)), HYPERLINK("#",""), HYPERLINK(CONCATENATE("#Metadata!", ADDRESS(INDEX($AI$2:$AI$1001,MATCH(ROWS($AG$2:AG747),$AG$2:$AG$1001,0),0), INDEX($AN$1004:$BO$1004,1,MATCH(COLUMNS($AN$1006:BB1006),$AN$1006:$BO$1006,0)))),"Fix")))</f>
        <v>0</v>
      </c>
      <c r="Q747" s="4">
        <f>IF(OR(INDEX($AH$2:$AH$1001,MATCH(ROWS($AG$2:AG747),$AG$2:$AG$1001,0),1)&gt;=100000,INDEX($AN$1005:$BO$1005,1,MATCH(COLUMNS($AN$1006:BC1006),$AN$1006:$BO$1006,0))&gt;=100000), " ",IF(INDEX($AN$2:$BO$1001,MATCH(ROWS($AG$2:AG747),$AG$2:$AG$1001,0),MATCH(COLUMNS($AN$1006:BC1006),$AN$1006:$BO$1006,0)), HYPERLINK("#",""), HYPERLINK(CONCATENATE("#Metadata!", ADDRESS(INDEX($AI$2:$AI$1001,MATCH(ROWS($AG$2:AG747),$AG$2:$AG$1001,0),0), INDEX($AN$1004:$BO$1004,1,MATCH(COLUMNS($AN$1006:BC1006),$AN$1006:$BO$1006,0)))),"Fix")))</f>
        <v>0</v>
      </c>
      <c r="R747" s="4">
        <f>IF(OR(INDEX($AH$2:$AH$1001,MATCH(ROWS($AG$2:AG747),$AG$2:$AG$1001,0),1)&gt;=100000,INDEX($AN$1005:$BO$1005,1,MATCH(COLUMNS($AN$1006:BD1006),$AN$1006:$BO$1006,0))&gt;=100000), " ",IF(INDEX($AN$2:$BO$1001,MATCH(ROWS($AG$2:AG747),$AG$2:$AG$1001,0),MATCH(COLUMNS($AN$1006:BD1006),$AN$1006:$BO$1006,0)), HYPERLINK("#",""), HYPERLINK(CONCATENATE("#Metadata!", ADDRESS(INDEX($AI$2:$AI$1001,MATCH(ROWS($AG$2:AG747),$AG$2:$AG$1001,0),0), INDEX($AN$1004:$BO$1004,1,MATCH(COLUMNS($AN$1006:BD1006),$AN$1006:$BO$1006,0)))),"Fix")))</f>
        <v>0</v>
      </c>
      <c r="S747" s="4">
        <f>IF(OR(INDEX($AH$2:$AH$1001,MATCH(ROWS($AG$2:AG747),$AG$2:$AG$1001,0),1)&gt;=100000,INDEX($AN$1005:$BO$1005,1,MATCH(COLUMNS($AN$1006:BE1006),$AN$1006:$BO$1006,0))&gt;=100000), " ",IF(INDEX($AN$2:$BO$1001,MATCH(ROWS($AG$2:AG747),$AG$2:$AG$1001,0),MATCH(COLUMNS($AN$1006:BE1006),$AN$1006:$BO$1006,0)), HYPERLINK("#",""), HYPERLINK(CONCATENATE("#Metadata!", ADDRESS(INDEX($AI$2:$AI$1001,MATCH(ROWS($AG$2:AG747),$AG$2:$AG$1001,0),0), INDEX($AN$1004:$BO$1004,1,MATCH(COLUMNS($AN$1006:BE1006),$AN$1006:$BO$1006,0)))),"Fix")))</f>
        <v>0</v>
      </c>
      <c r="T747" s="4">
        <f>IF(OR(INDEX($AH$2:$AH$1001,MATCH(ROWS($AG$2:AG747),$AG$2:$AG$1001,0),1)&gt;=100000,INDEX($AN$1005:$BO$1005,1,MATCH(COLUMNS($AN$1006:BF1006),$AN$1006:$BO$1006,0))&gt;=100000), " ",IF(INDEX($AN$2:$BO$1001,MATCH(ROWS($AG$2:AG747),$AG$2:$AG$1001,0),MATCH(COLUMNS($AN$1006:BF1006),$AN$1006:$BO$1006,0)), HYPERLINK("#",""), HYPERLINK(CONCATENATE("#Metadata!", ADDRESS(INDEX($AI$2:$AI$1001,MATCH(ROWS($AG$2:AG747),$AG$2:$AG$1001,0),0), INDEX($AN$1004:$BO$1004,1,MATCH(COLUMNS($AN$1006:BF1006),$AN$1006:$BO$1006,0)))),"Fix")))</f>
        <v>0</v>
      </c>
      <c r="U747" s="4">
        <f>IF(OR(INDEX($AH$2:$AH$1001,MATCH(ROWS($AG$2:AG747),$AG$2:$AG$1001,0),1)&gt;=100000,INDEX($AN$1005:$BO$1005,1,MATCH(COLUMNS($AN$1006:BG1006),$AN$1006:$BO$1006,0))&gt;=100000), " ",IF(INDEX($AN$2:$BO$1001,MATCH(ROWS($AG$2:AG747),$AG$2:$AG$1001,0),MATCH(COLUMNS($AN$1006:BG1006),$AN$1006:$BO$1006,0)), HYPERLINK("#",""), HYPERLINK(CONCATENATE("#Metadata!", ADDRESS(INDEX($AI$2:$AI$1001,MATCH(ROWS($AG$2:AG747),$AG$2:$AG$1001,0),0), INDEX($AN$1004:$BO$1004,1,MATCH(COLUMNS($AN$1006:BG1006),$AN$1006:$BO$1006,0)))),"Fix")))</f>
        <v>0</v>
      </c>
      <c r="V747" s="4">
        <f>IF(OR(INDEX($AH$2:$AH$1001,MATCH(ROWS($AG$2:AG747),$AG$2:$AG$1001,0),1)&gt;=100000,INDEX($AN$1005:$BO$1005,1,MATCH(COLUMNS($AN$1006:BH1006),$AN$1006:$BO$1006,0))&gt;=100000), " ",IF(INDEX($AN$2:$BO$1001,MATCH(ROWS($AG$2:AG747),$AG$2:$AG$1001,0),MATCH(COLUMNS($AN$1006:BH1006),$AN$1006:$BO$1006,0)), HYPERLINK("#",""), HYPERLINK(CONCATENATE("#Metadata!", ADDRESS(INDEX($AI$2:$AI$1001,MATCH(ROWS($AG$2:AG747),$AG$2:$AG$1001,0),0), INDEX($AN$1004:$BO$1004,1,MATCH(COLUMNS($AN$1006:BH1006),$AN$1006:$BO$1006,0)))),"Fix")))</f>
        <v>0</v>
      </c>
      <c r="W747" s="4">
        <f>IF(OR(INDEX($AH$2:$AH$1001,MATCH(ROWS($AG$2:AG747),$AG$2:$AG$1001,0),1)&gt;=100000,INDEX($AN$1005:$BO$1005,1,MATCH(COLUMNS($AN$1006:BI1006),$AN$1006:$BO$1006,0))&gt;=100000), " ",IF(INDEX($AN$2:$BO$1001,MATCH(ROWS($AG$2:AG747),$AG$2:$AG$1001,0),MATCH(COLUMNS($AN$1006:BI1006),$AN$1006:$BO$1006,0)), HYPERLINK("#",""), HYPERLINK(CONCATENATE("#Metadata!", ADDRESS(INDEX($AI$2:$AI$1001,MATCH(ROWS($AG$2:AG747),$AG$2:$AG$1001,0),0), INDEX($AN$1004:$BO$1004,1,MATCH(COLUMNS($AN$1006:BI1006),$AN$1006:$BO$1006,0)))),"Fix")))</f>
        <v>0</v>
      </c>
      <c r="X747" s="4">
        <f>IF(OR(INDEX($AH$2:$AH$1001,MATCH(ROWS($AG$2:AG747),$AG$2:$AG$1001,0),1)&gt;=100000,INDEX($AN$1005:$BO$1005,1,MATCH(COLUMNS($AN$1006:BJ1006),$AN$1006:$BO$1006,0))&gt;=100000), " ",IF(INDEX($AN$2:$BO$1001,MATCH(ROWS($AG$2:AG747),$AG$2:$AG$1001,0),MATCH(COLUMNS($AN$1006:BJ1006),$AN$1006:$BO$1006,0)), HYPERLINK("#",""), HYPERLINK(CONCATENATE("#Metadata!", ADDRESS(INDEX($AI$2:$AI$1001,MATCH(ROWS($AG$2:AG747),$AG$2:$AG$1001,0),0), INDEX($AN$1004:$BO$1004,1,MATCH(COLUMNS($AN$1006:BJ1006),$AN$1006:$BO$1006,0)))),"Fix")))</f>
        <v>0</v>
      </c>
      <c r="Y747" s="4">
        <f>IF(OR(INDEX($AH$2:$AH$1001,MATCH(ROWS($AG$2:AG747),$AG$2:$AG$1001,0),1)&gt;=100000,INDEX($AN$1005:$BO$1005,1,MATCH(COLUMNS($AN$1006:BK1006),$AN$1006:$BO$1006,0))&gt;=100000), " ",IF(INDEX($AN$2:$BO$1001,MATCH(ROWS($AG$2:AG747),$AG$2:$AG$1001,0),MATCH(COLUMNS($AN$1006:BK1006),$AN$1006:$BO$1006,0)), HYPERLINK("#",""), HYPERLINK(CONCATENATE("#Metadata!", ADDRESS(INDEX($AI$2:$AI$1001,MATCH(ROWS($AG$2:AG747),$AG$2:$AG$1001,0),0), INDEX($AN$1004:$BO$1004,1,MATCH(COLUMNS($AN$1006:BK1006),$AN$1006:$BO$1006,0)))),"Fix")))</f>
        <v>0</v>
      </c>
      <c r="Z747" s="4">
        <f>IF(OR(INDEX($AH$2:$AH$1001,MATCH(ROWS($AG$2:AG747),$AG$2:$AG$1001,0),1)&gt;=100000,INDEX($AN$1005:$BO$1005,1,MATCH(COLUMNS($AN$1006:BL1006),$AN$1006:$BO$1006,0))&gt;=100000), " ",IF(INDEX($AN$2:$BO$1001,MATCH(ROWS($AG$2:AG747),$AG$2:$AG$1001,0),MATCH(COLUMNS($AN$1006:BL1006),$AN$1006:$BO$1006,0)), HYPERLINK("#",""), HYPERLINK(CONCATENATE("#Metadata!", ADDRESS(INDEX($AI$2:$AI$1001,MATCH(ROWS($AG$2:AG747),$AG$2:$AG$1001,0),0), INDEX($AN$1004:$BO$1004,1,MATCH(COLUMNS($AN$1006:BL1006),$AN$1006:$BO$1006,0)))),"Fix")))</f>
        <v>0</v>
      </c>
      <c r="AA747" s="4">
        <f>IF(OR(INDEX($AH$2:$AH$1001,MATCH(ROWS($AG$2:AG747),$AG$2:$AG$1001,0),1)&gt;=100000,INDEX($AN$1005:$BO$1005,1,MATCH(COLUMNS($AN$1006:BM1006),$AN$1006:$BO$1006,0))&gt;=100000), " ",IF(INDEX($AN$2:$BO$1001,MATCH(ROWS($AG$2:AG747),$AG$2:$AG$1001,0),MATCH(COLUMNS($AN$1006:BM1006),$AN$1006:$BO$1006,0)), HYPERLINK("#",""), HYPERLINK(CONCATENATE("#Metadata!", ADDRESS(INDEX($AI$2:$AI$1001,MATCH(ROWS($AG$2:AG747),$AG$2:$AG$1001,0),0), INDEX($AN$1004:$BO$1004,1,MATCH(COLUMNS($AN$1006:BM1006),$AN$1006:$BO$1006,0)))),"Fix")))</f>
        <v>0</v>
      </c>
      <c r="AB747" s="4">
        <f>IF(OR(INDEX($AH$2:$AH$1001,MATCH(ROWS($AG$2:AG747),$AG$2:$AG$1001,0),1)&gt;=100000,INDEX($AN$1005:$BO$1005,1,MATCH(COLUMNS($AN$1006:BN1006),$AN$1006:$BO$1006,0))&gt;=100000), " ",IF(INDEX($AN$2:$BO$1001,MATCH(ROWS($AG$2:AG747),$AG$2:$AG$1001,0),MATCH(COLUMNS($AN$1006:BN1006),$AN$1006:$BO$1006,0)), HYPERLINK("#",""), HYPERLINK(CONCATENATE("#Metadata!", ADDRESS(INDEX($AI$2:$AI$1001,MATCH(ROWS($AG$2:AG747),$AG$2:$AG$1001,0),0), INDEX($AN$1004:$BO$1004,1,MATCH(COLUMNS($AN$1006:BN1006),$AN$1006:$BO$1006,0)))),"Fix")))</f>
        <v>0</v>
      </c>
      <c r="AC747" s="4">
        <f>IF(OR(INDEX($AH$2:$AH$1001,MATCH(ROWS($AG$2:AG747),$AG$2:$AG$1001,0),1)&gt;=100000,INDEX($AN$1005:$BO$1005,1,MATCH(COLUMNS($AN$1006:BO1006),$AN$1006:$BO$1006,0))&gt;=100000), " ",IF(INDEX($AN$2:$BO$1001,MATCH(ROWS($AG$2:AG747),$AG$2:$AG$1001,0),MATCH(COLUMNS($AN$1006:BO1006),$AN$1006:$BO$1006,0)), HYPERLINK("#",""), HYPERLINK(CONCATENATE("#Metadata!", ADDRESS(INDEX($AI$2:$AI$1001,MATCH(ROWS($AG$2:AG747),$AG$2:$AG$1001,0),0), INDEX($AN$1004:$BO$1004,1,MATCH(COLUMNS($AN$1006:BO1006),$AN$1006:$BO$1006,0)))),"Fix")))</f>
        <v>0</v>
      </c>
      <c r="AG747">
        <v>0</v>
      </c>
      <c r="AH747">
        <v>0</v>
      </c>
      <c r="AI747">
        <v>0</v>
      </c>
      <c r="AJ747">
        <f>IF(AK747,TRUE,AND(AN747:BO747))</f>
        <v>0</v>
      </c>
      <c r="AK747">
        <f>COUNTBLANK(Metadata!B747:AC747)=COLUMNS(Metadata!B747:AC747)</f>
        <v>0</v>
      </c>
      <c r="AL747">
        <v>0</v>
      </c>
      <c r="AN747">
        <f>AND(IF(Metadata!B747="",FALSE,TRUE),COUNTIF(Metadata!B:B, Metadata!B747) = 1,NOT(ISERROR(SUMPRODUCT(SEARCH(MID(Metadata!B747,ROW(INDIRECT("1:"&amp;LEN(Metadata!B747))), 1),"0123456789abcdefghijklmnopqrstuvwxyzABCDEFGHIJKLMNOPQRSTUVWXYZ.")))))</f>
        <v>0</v>
      </c>
      <c r="AO747">
        <f>IF(Metadata!C747="",FALSE,TRUE)</f>
        <v>0</v>
      </c>
      <c r="AP747">
        <f>IF(Metadata!D747="",FALSE,TRUE)</f>
        <v>0</v>
      </c>
      <c r="AQ747">
        <f>OR(AND(IF(Metadata!E747="",FALSE,TRUE),OR(exact(Metadata!E747,"not collected"),exact(Metadata!E747,"not provided"),exact(Metadata!E747,"restricted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R747">
        <f>IF(Metadata!F747="",FALSE,TRUE)</f>
        <v>0</v>
      </c>
      <c r="AS747">
        <f>OR(AND(IF(Metadata!G747="",FALSE,TRUE),OR(exact(Metadata!G747,"not collected"),exact(Metadata!G747,"not provided"))),AND(IF(Metadata!G747="",FALSE,TRUE),OR(exact(Metadata!G747,"TRUE"),exact(Metadata!G747,"FALSE"))))</f>
        <v>0</v>
      </c>
      <c r="AT747">
        <f>OR(AND(IF(Metadata!H747="",FALSE,TRUE),OR(exact(Metadata!H747,"not collected"),exact(Metadata!H747,"not provided"),exact(Metadata!H747,"restricted access"))),AND(IF(Metadata!H747="",FALSE,ISNUMBER(VALUE(Metadata!H747))),Metadata!H747&gt;=-413.0))</f>
        <v>0</v>
      </c>
      <c r="AU747">
        <f>AND(IF(Metadata!I747="",FALSE,TRUE),exact(Metadata!I747,"meters"))</f>
        <v>0</v>
      </c>
      <c r="AV747">
        <f>AND(IF(Metadata!J747="",FALSE,TRUE),OR(exact(Metadata!J747,"Host-associated"),exact(Metadata!J747,"Free-living")))</f>
        <v>0</v>
      </c>
      <c r="AW747">
        <f>AND(IF(Metadata!K747="",FALSE,TRUE),OR(exact(Metadata!K747,"Animal"),exact(Metadata!K747,"Fungus"),exact(Metadata!K747,"Plant"),exact(Metadata!K747,"Saline"),exact(Metadata!K747,"Non-saline")))</f>
        <v>0</v>
      </c>
      <c r="AX747">
        <f>AND(IF(Metadata!L747="",FALSE,TRUE),OR(exact(Metadata!L747,"Plant secretion"),exact(Metadata!L747,"Plant rhizosphere"),exact(Metadata!L747,"Plant surface"),exact(Metadata!L747,"Plant corpus"),exact(Metadata!L747,"Fungus surface"),exact(Metadata!L747,"Fungus corpus"),exact(Metadata!L747,"Animal surface"),exact(Metadata!L747,"Animal proximal gut"),exact(Metadata!L747,"Animal corpus"),exact(Metadata!L747,"Animal distal gut"),exact(Metadata!L747,"Animal secretion"),exact(Metadata!L747,"Sub-surface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Y747">
        <f>IF(Metadata!M747="",FALSE,TRUE)</f>
        <v>0</v>
      </c>
      <c r="AZ747">
        <f>IF(Metadata!N747="",FALSE,TRUE)</f>
        <v>0</v>
      </c>
      <c r="BA747">
        <f>IF(Metadata!O747="",FALSE,TRUE)</f>
        <v>0</v>
      </c>
      <c r="BB747">
        <f>OR(AND(IF(Metadata!P747="",FALSE,TRUE),OR(exact(Metadata!P747,"not collected"),exact(Metadata!P747,"not provided"),exact(Metadata!P747,"restricted access"))),AND(IF(Metadata!P747="",FALSE,TRUE),OR(exact(Metadata!P747,"air"),exact(Metadata!P747,"built environment"),exact(Metadata!P747,"host-associated"),exact(Metadata!P747,"human-associated"),exact(Metadata!P747,"human-skin"),exact(Metadata!P747,"human-oral"),exact(Metadata!P747,"human-gut"),exact(Metadata!P747,"human-vaginal"),exact(Metadata!P747,"microbial mat/biofilm"),exact(Metadata!P747,"misc environment"),exact(Metadata!P747,"plant-associated"),exact(Metadata!P747,"sediment"),exact(Metadata!P747,"soil"),exact(Metadata!P747,"wastewater/sludge"),exact(Metadata!P747,"water"))))</f>
        <v>0</v>
      </c>
      <c r="BC747">
        <f>IF(Metadata!Q747="",FALSE,TRUE)</f>
        <v>0</v>
      </c>
      <c r="BD747">
        <f>IF(Metadata!R747="",FALSE,TRUE)</f>
        <v>0</v>
      </c>
      <c r="BE747">
        <f>OR(AND(IF(Metadata!S747="",FALSE,TRUE),OR(exact(Metadata!S747,"not collected"),exact(Metadata!S747,"not provided"),exact(Metadata!S747,"restricted access"))),AND(IF(Metadata!S747="",FALSE,ISNUMBER(VALUE(Metadata!S747))),Metadata!S747&gt;=-90.00,Metadata!S747&lt;=90.00))</f>
        <v>0</v>
      </c>
      <c r="BF747">
        <f>AND(IF(Metadata!T747="",FALSE,TRUE),exact(Metadata!T747,"Decimal degrees"))</f>
        <v>0</v>
      </c>
      <c r="BG747">
        <f>OR(AND(IF(Metadata!U747="",FALSE,TRUE),OR(exact(Metadata!U747,"not collected"),exact(Metadata!U747,"not provided"),exact(Metadata!U747,"restricted access"))),AND(IF(Metadata!U747="",FALSE,ISNUMBER(VALUE(Metadata!U747))),Metadata!U747&gt;=-180.00,Metadata!U747&lt;=180.00))</f>
        <v>0</v>
      </c>
      <c r="BH747">
        <f>AND(IF(Metadata!V747="",FALSE,TRUE),exact(Metadata!V747,"Decimal degrees"))</f>
        <v>0</v>
      </c>
      <c r="BI747">
        <f>IF(Metadata!W747="",FALSE,TRUE)</f>
        <v>0</v>
      </c>
      <c r="BJ747">
        <f>OR(AND(IF(Metadata!X747="",FALSE,TRUE),OR(exact(Metadata!X747,"not collected"),exact(Metadata!X747,"not provided"),exact(Metadata!X747,"restricted access"))),AND(IF(Metadata!X747="",FALSE,TRUE),OR(exact(Metadata!X747,"TRUE"),exact(Metadata!X747,"FALSE"))))</f>
        <v>0</v>
      </c>
      <c r="BK747">
        <f>AND(IF(Metadata!Y747="",FALSE,TRUE),exact(Metadata!Y747,"other"))</f>
        <v>0</v>
      </c>
      <c r="BL747">
        <f>IF(Metadata!Z747="",FALSE,TRUE)</f>
        <v>0</v>
      </c>
      <c r="BM747">
        <f>OR(AND(IF(Metadata!AA747="",FALSE,TRUE),OR(exact(Metadata!AA747,"not collected"),exact(Metadata!AA747,"not provided"))),AND(IF(Metadata!AA747="",FALSE,IF(ISERROR(INT(Metadata!AA747)),FALSE,INT(Metadata!AA747)=Metadata!AA747)),Metadata!AA747&gt;0))</f>
        <v>0</v>
      </c>
      <c r="BN747">
        <f>AND(IF(Metadata!AB747="",FALSE,TRUE),exact(Metadata!AB747,"Not applicable"))</f>
        <v>0</v>
      </c>
      <c r="BO747">
        <f>IF(Metadata!AC747="",FALSE,TRUE)</f>
        <v>0</v>
      </c>
    </row>
    <row r="748" spans="1:67">
      <c r="A748" s="5">
        <f>IF(B748=" "," ",HYPERLINK(CONCATENATE("#metadata!",ADDRESS(INDEX($AI$2:$AI$1001,MATCH(ROWS($AG$2:AG748),$AG$2:$AG$1001,0),0),1)),INDEX($AL$2:$AL$1001,MATCH(ROWS($AG$2:AG748),$AG$2:$AG$1001,0),0)))</f>
        <v>0</v>
      </c>
      <c r="B748" s="4">
        <f>IF(OR(INDEX($AH$2:$AH$1001,MATCH(ROWS($AG$2:AG748),$AG$2:$AG$1001,0),1)&gt;=100000,INDEX($AN$1005:$BO$1005,1,MATCH(COLUMNS($AN$1006:AN1006),$AN$1006:$BO$1006,0))&gt;=100000), " ",IF(INDEX($AN$2:$BO$1001,MATCH(ROWS($AG$2:AG748),$AG$2:$AG$1001,0),MATCH(COLUMNS($AN$1006:AN1006),$AN$1006:$BO$1006,0)), HYPERLINK("#",""), HYPERLINK(CONCATENATE("#Metadata!", ADDRESS(INDEX($AI$2:$AI$1001,MATCH(ROWS($AG$2:AG748),$AG$2:$AG$1001,0),0), INDEX($AN$1004:$BO$1004,1,MATCH(COLUMNS($AN$1006:AN1006),$AN$1006:$BO$1006,0)))),"Fix")))</f>
        <v>0</v>
      </c>
      <c r="C748" s="4">
        <f>IF(OR(INDEX($AH$2:$AH$1001,MATCH(ROWS($AG$2:AG748),$AG$2:$AG$1001,0),1)&gt;=100000,INDEX($AN$1005:$BO$1005,1,MATCH(COLUMNS($AN$1006:AO1006),$AN$1006:$BO$1006,0))&gt;=100000), " ",IF(INDEX($AN$2:$BO$1001,MATCH(ROWS($AG$2:AG748),$AG$2:$AG$1001,0),MATCH(COLUMNS($AN$1006:AO1006),$AN$1006:$BO$1006,0)), HYPERLINK("#",""), HYPERLINK(CONCATENATE("#Metadata!", ADDRESS(INDEX($AI$2:$AI$1001,MATCH(ROWS($AG$2:AG748),$AG$2:$AG$1001,0),0), INDEX($AN$1004:$BO$1004,1,MATCH(COLUMNS($AN$1006:AO1006),$AN$1006:$BO$1006,0)))),"Fix")))</f>
        <v>0</v>
      </c>
      <c r="D748" s="4">
        <f>IF(OR(INDEX($AH$2:$AH$1001,MATCH(ROWS($AG$2:AG748),$AG$2:$AG$1001,0),1)&gt;=100000,INDEX($AN$1005:$BO$1005,1,MATCH(COLUMNS($AN$1006:AP1006),$AN$1006:$BO$1006,0))&gt;=100000), " ",IF(INDEX($AN$2:$BO$1001,MATCH(ROWS($AG$2:AG748),$AG$2:$AG$1001,0),MATCH(COLUMNS($AN$1006:AP1006),$AN$1006:$BO$1006,0)), HYPERLINK("#",""), HYPERLINK(CONCATENATE("#Metadata!", ADDRESS(INDEX($AI$2:$AI$1001,MATCH(ROWS($AG$2:AG748),$AG$2:$AG$1001,0),0), INDEX($AN$1004:$BO$1004,1,MATCH(COLUMNS($AN$1006:AP1006),$AN$1006:$BO$1006,0)))),"Fix")))</f>
        <v>0</v>
      </c>
      <c r="E748" s="4">
        <f>IF(OR(INDEX($AH$2:$AH$1001,MATCH(ROWS($AG$2:AG748),$AG$2:$AG$1001,0),1)&gt;=100000,INDEX($AN$1005:$BO$1005,1,MATCH(COLUMNS($AN$1006:AQ1006),$AN$1006:$BO$1006,0))&gt;=100000), " ",IF(INDEX($AN$2:$BO$1001,MATCH(ROWS($AG$2:AG748),$AG$2:$AG$1001,0),MATCH(COLUMNS($AN$1006:AQ1006),$AN$1006:$BO$1006,0)), HYPERLINK("#",""), HYPERLINK(CONCATENATE("#Metadata!", ADDRESS(INDEX($AI$2:$AI$1001,MATCH(ROWS($AG$2:AG748),$AG$2:$AG$1001,0),0), INDEX($AN$1004:$BO$1004,1,MATCH(COLUMNS($AN$1006:AQ1006),$AN$1006:$BO$1006,0)))),"Fix")))</f>
        <v>0</v>
      </c>
      <c r="F748" s="4">
        <f>IF(OR(INDEX($AH$2:$AH$1001,MATCH(ROWS($AG$2:AG748),$AG$2:$AG$1001,0),1)&gt;=100000,INDEX($AN$1005:$BO$1005,1,MATCH(COLUMNS($AN$1006:AR1006),$AN$1006:$BO$1006,0))&gt;=100000), " ",IF(INDEX($AN$2:$BO$1001,MATCH(ROWS($AG$2:AG748),$AG$2:$AG$1001,0),MATCH(COLUMNS($AN$1006:AR1006),$AN$1006:$BO$1006,0)), HYPERLINK("#",""), HYPERLINK(CONCATENATE("#Metadata!", ADDRESS(INDEX($AI$2:$AI$1001,MATCH(ROWS($AG$2:AG748),$AG$2:$AG$1001,0),0), INDEX($AN$1004:$BO$1004,1,MATCH(COLUMNS($AN$1006:AR1006),$AN$1006:$BO$1006,0)))),"Fix")))</f>
        <v>0</v>
      </c>
      <c r="G748" s="4">
        <f>IF(OR(INDEX($AH$2:$AH$1001,MATCH(ROWS($AG$2:AG748),$AG$2:$AG$1001,0),1)&gt;=100000,INDEX($AN$1005:$BO$1005,1,MATCH(COLUMNS($AN$1006:AS1006),$AN$1006:$BO$1006,0))&gt;=100000), " ",IF(INDEX($AN$2:$BO$1001,MATCH(ROWS($AG$2:AG748),$AG$2:$AG$1001,0),MATCH(COLUMNS($AN$1006:AS1006),$AN$1006:$BO$1006,0)), HYPERLINK("#",""), HYPERLINK(CONCATENATE("#Metadata!", ADDRESS(INDEX($AI$2:$AI$1001,MATCH(ROWS($AG$2:AG748),$AG$2:$AG$1001,0),0), INDEX($AN$1004:$BO$1004,1,MATCH(COLUMNS($AN$1006:AS1006),$AN$1006:$BO$1006,0)))),"Fix")))</f>
        <v>0</v>
      </c>
      <c r="H748" s="4">
        <f>IF(OR(INDEX($AH$2:$AH$1001,MATCH(ROWS($AG$2:AG748),$AG$2:$AG$1001,0),1)&gt;=100000,INDEX($AN$1005:$BO$1005,1,MATCH(COLUMNS($AN$1006:AT1006),$AN$1006:$BO$1006,0))&gt;=100000), " ",IF(INDEX($AN$2:$BO$1001,MATCH(ROWS($AG$2:AG748),$AG$2:$AG$1001,0),MATCH(COLUMNS($AN$1006:AT1006),$AN$1006:$BO$1006,0)), HYPERLINK("#",""), HYPERLINK(CONCATENATE("#Metadata!", ADDRESS(INDEX($AI$2:$AI$1001,MATCH(ROWS($AG$2:AG748),$AG$2:$AG$1001,0),0), INDEX($AN$1004:$BO$1004,1,MATCH(COLUMNS($AN$1006:AT1006),$AN$1006:$BO$1006,0)))),"Fix")))</f>
        <v>0</v>
      </c>
      <c r="I748" s="4">
        <f>IF(OR(INDEX($AH$2:$AH$1001,MATCH(ROWS($AG$2:AG748),$AG$2:$AG$1001,0),1)&gt;=100000,INDEX($AN$1005:$BO$1005,1,MATCH(COLUMNS($AN$1006:AU1006),$AN$1006:$BO$1006,0))&gt;=100000), " ",IF(INDEX($AN$2:$BO$1001,MATCH(ROWS($AG$2:AG748),$AG$2:$AG$1001,0),MATCH(COLUMNS($AN$1006:AU1006),$AN$1006:$BO$1006,0)), HYPERLINK("#",""), HYPERLINK(CONCATENATE("#Metadata!", ADDRESS(INDEX($AI$2:$AI$1001,MATCH(ROWS($AG$2:AG748),$AG$2:$AG$1001,0),0), INDEX($AN$1004:$BO$1004,1,MATCH(COLUMNS($AN$1006:AU1006),$AN$1006:$BO$1006,0)))),"Fix")))</f>
        <v>0</v>
      </c>
      <c r="J748" s="4">
        <f>IF(OR(INDEX($AH$2:$AH$1001,MATCH(ROWS($AG$2:AG748),$AG$2:$AG$1001,0),1)&gt;=100000,INDEX($AN$1005:$BO$1005,1,MATCH(COLUMNS($AN$1006:AV1006),$AN$1006:$BO$1006,0))&gt;=100000), " ",IF(INDEX($AN$2:$BO$1001,MATCH(ROWS($AG$2:AG748),$AG$2:$AG$1001,0),MATCH(COLUMNS($AN$1006:AV1006),$AN$1006:$BO$1006,0)), HYPERLINK("#",""), HYPERLINK(CONCATENATE("#Metadata!", ADDRESS(INDEX($AI$2:$AI$1001,MATCH(ROWS($AG$2:AG748),$AG$2:$AG$1001,0),0), INDEX($AN$1004:$BO$1004,1,MATCH(COLUMNS($AN$1006:AV1006),$AN$1006:$BO$1006,0)))),"Fix")))</f>
        <v>0</v>
      </c>
      <c r="K748" s="4">
        <f>IF(OR(INDEX($AH$2:$AH$1001,MATCH(ROWS($AG$2:AG748),$AG$2:$AG$1001,0),1)&gt;=100000,INDEX($AN$1005:$BO$1005,1,MATCH(COLUMNS($AN$1006:AW1006),$AN$1006:$BO$1006,0))&gt;=100000), " ",IF(INDEX($AN$2:$BO$1001,MATCH(ROWS($AG$2:AG748),$AG$2:$AG$1001,0),MATCH(COLUMNS($AN$1006:AW1006),$AN$1006:$BO$1006,0)), HYPERLINK("#",""), HYPERLINK(CONCATENATE("#Metadata!", ADDRESS(INDEX($AI$2:$AI$1001,MATCH(ROWS($AG$2:AG748),$AG$2:$AG$1001,0),0), INDEX($AN$1004:$BO$1004,1,MATCH(COLUMNS($AN$1006:AW1006),$AN$1006:$BO$1006,0)))),"Fix")))</f>
        <v>0</v>
      </c>
      <c r="L748" s="4">
        <f>IF(OR(INDEX($AH$2:$AH$1001,MATCH(ROWS($AG$2:AG748),$AG$2:$AG$1001,0),1)&gt;=100000,INDEX($AN$1005:$BO$1005,1,MATCH(COLUMNS($AN$1006:AX1006),$AN$1006:$BO$1006,0))&gt;=100000), " ",IF(INDEX($AN$2:$BO$1001,MATCH(ROWS($AG$2:AG748),$AG$2:$AG$1001,0),MATCH(COLUMNS($AN$1006:AX1006),$AN$1006:$BO$1006,0)), HYPERLINK("#",""), HYPERLINK(CONCATENATE("#Metadata!", ADDRESS(INDEX($AI$2:$AI$1001,MATCH(ROWS($AG$2:AG748),$AG$2:$AG$1001,0),0), INDEX($AN$1004:$BO$1004,1,MATCH(COLUMNS($AN$1006:AX1006),$AN$1006:$BO$1006,0)))),"Fix")))</f>
        <v>0</v>
      </c>
      <c r="M748" s="4">
        <f>IF(OR(INDEX($AH$2:$AH$1001,MATCH(ROWS($AG$2:AG748),$AG$2:$AG$1001,0),1)&gt;=100000,INDEX($AN$1005:$BO$1005,1,MATCH(COLUMNS($AN$1006:AY1006),$AN$1006:$BO$1006,0))&gt;=100000), " ",IF(INDEX($AN$2:$BO$1001,MATCH(ROWS($AG$2:AG748),$AG$2:$AG$1001,0),MATCH(COLUMNS($AN$1006:AY1006),$AN$1006:$BO$1006,0)), HYPERLINK("#",""), HYPERLINK(CONCATENATE("#Metadata!", ADDRESS(INDEX($AI$2:$AI$1001,MATCH(ROWS($AG$2:AG748),$AG$2:$AG$1001,0),0), INDEX($AN$1004:$BO$1004,1,MATCH(COLUMNS($AN$1006:AY1006),$AN$1006:$BO$1006,0)))),"Fix")))</f>
        <v>0</v>
      </c>
      <c r="N748" s="4">
        <f>IF(OR(INDEX($AH$2:$AH$1001,MATCH(ROWS($AG$2:AG748),$AG$2:$AG$1001,0),1)&gt;=100000,INDEX($AN$1005:$BO$1005,1,MATCH(COLUMNS($AN$1006:AZ1006),$AN$1006:$BO$1006,0))&gt;=100000), " ",IF(INDEX($AN$2:$BO$1001,MATCH(ROWS($AG$2:AG748),$AG$2:$AG$1001,0),MATCH(COLUMNS($AN$1006:AZ1006),$AN$1006:$BO$1006,0)), HYPERLINK("#",""), HYPERLINK(CONCATENATE("#Metadata!", ADDRESS(INDEX($AI$2:$AI$1001,MATCH(ROWS($AG$2:AG748),$AG$2:$AG$1001,0),0), INDEX($AN$1004:$BO$1004,1,MATCH(COLUMNS($AN$1006:AZ1006),$AN$1006:$BO$1006,0)))),"Fix")))</f>
        <v>0</v>
      </c>
      <c r="O748" s="4">
        <f>IF(OR(INDEX($AH$2:$AH$1001,MATCH(ROWS($AG$2:AG748),$AG$2:$AG$1001,0),1)&gt;=100000,INDEX($AN$1005:$BO$1005,1,MATCH(COLUMNS($AN$1006:BA1006),$AN$1006:$BO$1006,0))&gt;=100000), " ",IF(INDEX($AN$2:$BO$1001,MATCH(ROWS($AG$2:AG748),$AG$2:$AG$1001,0),MATCH(COLUMNS($AN$1006:BA1006),$AN$1006:$BO$1006,0)), HYPERLINK("#",""), HYPERLINK(CONCATENATE("#Metadata!", ADDRESS(INDEX($AI$2:$AI$1001,MATCH(ROWS($AG$2:AG748),$AG$2:$AG$1001,0),0), INDEX($AN$1004:$BO$1004,1,MATCH(COLUMNS($AN$1006:BA1006),$AN$1006:$BO$1006,0)))),"Fix")))</f>
        <v>0</v>
      </c>
      <c r="P748" s="4">
        <f>IF(OR(INDEX($AH$2:$AH$1001,MATCH(ROWS($AG$2:AG748),$AG$2:$AG$1001,0),1)&gt;=100000,INDEX($AN$1005:$BO$1005,1,MATCH(COLUMNS($AN$1006:BB1006),$AN$1006:$BO$1006,0))&gt;=100000), " ",IF(INDEX($AN$2:$BO$1001,MATCH(ROWS($AG$2:AG748),$AG$2:$AG$1001,0),MATCH(COLUMNS($AN$1006:BB1006),$AN$1006:$BO$1006,0)), HYPERLINK("#",""), HYPERLINK(CONCATENATE("#Metadata!", ADDRESS(INDEX($AI$2:$AI$1001,MATCH(ROWS($AG$2:AG748),$AG$2:$AG$1001,0),0), INDEX($AN$1004:$BO$1004,1,MATCH(COLUMNS($AN$1006:BB1006),$AN$1006:$BO$1006,0)))),"Fix")))</f>
        <v>0</v>
      </c>
      <c r="Q748" s="4">
        <f>IF(OR(INDEX($AH$2:$AH$1001,MATCH(ROWS($AG$2:AG748),$AG$2:$AG$1001,0),1)&gt;=100000,INDEX($AN$1005:$BO$1005,1,MATCH(COLUMNS($AN$1006:BC1006),$AN$1006:$BO$1006,0))&gt;=100000), " ",IF(INDEX($AN$2:$BO$1001,MATCH(ROWS($AG$2:AG748),$AG$2:$AG$1001,0),MATCH(COLUMNS($AN$1006:BC1006),$AN$1006:$BO$1006,0)), HYPERLINK("#",""), HYPERLINK(CONCATENATE("#Metadata!", ADDRESS(INDEX($AI$2:$AI$1001,MATCH(ROWS($AG$2:AG748),$AG$2:$AG$1001,0),0), INDEX($AN$1004:$BO$1004,1,MATCH(COLUMNS($AN$1006:BC1006),$AN$1006:$BO$1006,0)))),"Fix")))</f>
        <v>0</v>
      </c>
      <c r="R748" s="4">
        <f>IF(OR(INDEX($AH$2:$AH$1001,MATCH(ROWS($AG$2:AG748),$AG$2:$AG$1001,0),1)&gt;=100000,INDEX($AN$1005:$BO$1005,1,MATCH(COLUMNS($AN$1006:BD1006),$AN$1006:$BO$1006,0))&gt;=100000), " ",IF(INDEX($AN$2:$BO$1001,MATCH(ROWS($AG$2:AG748),$AG$2:$AG$1001,0),MATCH(COLUMNS($AN$1006:BD1006),$AN$1006:$BO$1006,0)), HYPERLINK("#",""), HYPERLINK(CONCATENATE("#Metadata!", ADDRESS(INDEX($AI$2:$AI$1001,MATCH(ROWS($AG$2:AG748),$AG$2:$AG$1001,0),0), INDEX($AN$1004:$BO$1004,1,MATCH(COLUMNS($AN$1006:BD1006),$AN$1006:$BO$1006,0)))),"Fix")))</f>
        <v>0</v>
      </c>
      <c r="S748" s="4">
        <f>IF(OR(INDEX($AH$2:$AH$1001,MATCH(ROWS($AG$2:AG748),$AG$2:$AG$1001,0),1)&gt;=100000,INDEX($AN$1005:$BO$1005,1,MATCH(COLUMNS($AN$1006:BE1006),$AN$1006:$BO$1006,0))&gt;=100000), " ",IF(INDEX($AN$2:$BO$1001,MATCH(ROWS($AG$2:AG748),$AG$2:$AG$1001,0),MATCH(COLUMNS($AN$1006:BE1006),$AN$1006:$BO$1006,0)), HYPERLINK("#",""), HYPERLINK(CONCATENATE("#Metadata!", ADDRESS(INDEX($AI$2:$AI$1001,MATCH(ROWS($AG$2:AG748),$AG$2:$AG$1001,0),0), INDEX($AN$1004:$BO$1004,1,MATCH(COLUMNS($AN$1006:BE1006),$AN$1006:$BO$1006,0)))),"Fix")))</f>
        <v>0</v>
      </c>
      <c r="T748" s="4">
        <f>IF(OR(INDEX($AH$2:$AH$1001,MATCH(ROWS($AG$2:AG748),$AG$2:$AG$1001,0),1)&gt;=100000,INDEX($AN$1005:$BO$1005,1,MATCH(COLUMNS($AN$1006:BF1006),$AN$1006:$BO$1006,0))&gt;=100000), " ",IF(INDEX($AN$2:$BO$1001,MATCH(ROWS($AG$2:AG748),$AG$2:$AG$1001,0),MATCH(COLUMNS($AN$1006:BF1006),$AN$1006:$BO$1006,0)), HYPERLINK("#",""), HYPERLINK(CONCATENATE("#Metadata!", ADDRESS(INDEX($AI$2:$AI$1001,MATCH(ROWS($AG$2:AG748),$AG$2:$AG$1001,0),0), INDEX($AN$1004:$BO$1004,1,MATCH(COLUMNS($AN$1006:BF1006),$AN$1006:$BO$1006,0)))),"Fix")))</f>
        <v>0</v>
      </c>
      <c r="U748" s="4">
        <f>IF(OR(INDEX($AH$2:$AH$1001,MATCH(ROWS($AG$2:AG748),$AG$2:$AG$1001,0),1)&gt;=100000,INDEX($AN$1005:$BO$1005,1,MATCH(COLUMNS($AN$1006:BG1006),$AN$1006:$BO$1006,0))&gt;=100000), " ",IF(INDEX($AN$2:$BO$1001,MATCH(ROWS($AG$2:AG748),$AG$2:$AG$1001,0),MATCH(COLUMNS($AN$1006:BG1006),$AN$1006:$BO$1006,0)), HYPERLINK("#",""), HYPERLINK(CONCATENATE("#Metadata!", ADDRESS(INDEX($AI$2:$AI$1001,MATCH(ROWS($AG$2:AG748),$AG$2:$AG$1001,0),0), INDEX($AN$1004:$BO$1004,1,MATCH(COLUMNS($AN$1006:BG1006),$AN$1006:$BO$1006,0)))),"Fix")))</f>
        <v>0</v>
      </c>
      <c r="V748" s="4">
        <f>IF(OR(INDEX($AH$2:$AH$1001,MATCH(ROWS($AG$2:AG748),$AG$2:$AG$1001,0),1)&gt;=100000,INDEX($AN$1005:$BO$1005,1,MATCH(COLUMNS($AN$1006:BH1006),$AN$1006:$BO$1006,0))&gt;=100000), " ",IF(INDEX($AN$2:$BO$1001,MATCH(ROWS($AG$2:AG748),$AG$2:$AG$1001,0),MATCH(COLUMNS($AN$1006:BH1006),$AN$1006:$BO$1006,0)), HYPERLINK("#",""), HYPERLINK(CONCATENATE("#Metadata!", ADDRESS(INDEX($AI$2:$AI$1001,MATCH(ROWS($AG$2:AG748),$AG$2:$AG$1001,0),0), INDEX($AN$1004:$BO$1004,1,MATCH(COLUMNS($AN$1006:BH1006),$AN$1006:$BO$1006,0)))),"Fix")))</f>
        <v>0</v>
      </c>
      <c r="W748" s="4">
        <f>IF(OR(INDEX($AH$2:$AH$1001,MATCH(ROWS($AG$2:AG748),$AG$2:$AG$1001,0),1)&gt;=100000,INDEX($AN$1005:$BO$1005,1,MATCH(COLUMNS($AN$1006:BI1006),$AN$1006:$BO$1006,0))&gt;=100000), " ",IF(INDEX($AN$2:$BO$1001,MATCH(ROWS($AG$2:AG748),$AG$2:$AG$1001,0),MATCH(COLUMNS($AN$1006:BI1006),$AN$1006:$BO$1006,0)), HYPERLINK("#",""), HYPERLINK(CONCATENATE("#Metadata!", ADDRESS(INDEX($AI$2:$AI$1001,MATCH(ROWS($AG$2:AG748),$AG$2:$AG$1001,0),0), INDEX($AN$1004:$BO$1004,1,MATCH(COLUMNS($AN$1006:BI1006),$AN$1006:$BO$1006,0)))),"Fix")))</f>
        <v>0</v>
      </c>
      <c r="X748" s="4">
        <f>IF(OR(INDEX($AH$2:$AH$1001,MATCH(ROWS($AG$2:AG748),$AG$2:$AG$1001,0),1)&gt;=100000,INDEX($AN$1005:$BO$1005,1,MATCH(COLUMNS($AN$1006:BJ1006),$AN$1006:$BO$1006,0))&gt;=100000), " ",IF(INDEX($AN$2:$BO$1001,MATCH(ROWS($AG$2:AG748),$AG$2:$AG$1001,0),MATCH(COLUMNS($AN$1006:BJ1006),$AN$1006:$BO$1006,0)), HYPERLINK("#",""), HYPERLINK(CONCATENATE("#Metadata!", ADDRESS(INDEX($AI$2:$AI$1001,MATCH(ROWS($AG$2:AG748),$AG$2:$AG$1001,0),0), INDEX($AN$1004:$BO$1004,1,MATCH(COLUMNS($AN$1006:BJ1006),$AN$1006:$BO$1006,0)))),"Fix")))</f>
        <v>0</v>
      </c>
      <c r="Y748" s="4">
        <f>IF(OR(INDEX($AH$2:$AH$1001,MATCH(ROWS($AG$2:AG748),$AG$2:$AG$1001,0),1)&gt;=100000,INDEX($AN$1005:$BO$1005,1,MATCH(COLUMNS($AN$1006:BK1006),$AN$1006:$BO$1006,0))&gt;=100000), " ",IF(INDEX($AN$2:$BO$1001,MATCH(ROWS($AG$2:AG748),$AG$2:$AG$1001,0),MATCH(COLUMNS($AN$1006:BK1006),$AN$1006:$BO$1006,0)), HYPERLINK("#",""), HYPERLINK(CONCATENATE("#Metadata!", ADDRESS(INDEX($AI$2:$AI$1001,MATCH(ROWS($AG$2:AG748),$AG$2:$AG$1001,0),0), INDEX($AN$1004:$BO$1004,1,MATCH(COLUMNS($AN$1006:BK1006),$AN$1006:$BO$1006,0)))),"Fix")))</f>
        <v>0</v>
      </c>
      <c r="Z748" s="4">
        <f>IF(OR(INDEX($AH$2:$AH$1001,MATCH(ROWS($AG$2:AG748),$AG$2:$AG$1001,0),1)&gt;=100000,INDEX($AN$1005:$BO$1005,1,MATCH(COLUMNS($AN$1006:BL1006),$AN$1006:$BO$1006,0))&gt;=100000), " ",IF(INDEX($AN$2:$BO$1001,MATCH(ROWS($AG$2:AG748),$AG$2:$AG$1001,0),MATCH(COLUMNS($AN$1006:BL1006),$AN$1006:$BO$1006,0)), HYPERLINK("#",""), HYPERLINK(CONCATENATE("#Metadata!", ADDRESS(INDEX($AI$2:$AI$1001,MATCH(ROWS($AG$2:AG748),$AG$2:$AG$1001,0),0), INDEX($AN$1004:$BO$1004,1,MATCH(COLUMNS($AN$1006:BL1006),$AN$1006:$BO$1006,0)))),"Fix")))</f>
        <v>0</v>
      </c>
      <c r="AA748" s="4">
        <f>IF(OR(INDEX($AH$2:$AH$1001,MATCH(ROWS($AG$2:AG748),$AG$2:$AG$1001,0),1)&gt;=100000,INDEX($AN$1005:$BO$1005,1,MATCH(COLUMNS($AN$1006:BM1006),$AN$1006:$BO$1006,0))&gt;=100000), " ",IF(INDEX($AN$2:$BO$1001,MATCH(ROWS($AG$2:AG748),$AG$2:$AG$1001,0),MATCH(COLUMNS($AN$1006:BM1006),$AN$1006:$BO$1006,0)), HYPERLINK("#",""), HYPERLINK(CONCATENATE("#Metadata!", ADDRESS(INDEX($AI$2:$AI$1001,MATCH(ROWS($AG$2:AG748),$AG$2:$AG$1001,0),0), INDEX($AN$1004:$BO$1004,1,MATCH(COLUMNS($AN$1006:BM1006),$AN$1006:$BO$1006,0)))),"Fix")))</f>
        <v>0</v>
      </c>
      <c r="AB748" s="4">
        <f>IF(OR(INDEX($AH$2:$AH$1001,MATCH(ROWS($AG$2:AG748),$AG$2:$AG$1001,0),1)&gt;=100000,INDEX($AN$1005:$BO$1005,1,MATCH(COLUMNS($AN$1006:BN1006),$AN$1006:$BO$1006,0))&gt;=100000), " ",IF(INDEX($AN$2:$BO$1001,MATCH(ROWS($AG$2:AG748),$AG$2:$AG$1001,0),MATCH(COLUMNS($AN$1006:BN1006),$AN$1006:$BO$1006,0)), HYPERLINK("#",""), HYPERLINK(CONCATENATE("#Metadata!", ADDRESS(INDEX($AI$2:$AI$1001,MATCH(ROWS($AG$2:AG748),$AG$2:$AG$1001,0),0), INDEX($AN$1004:$BO$1004,1,MATCH(COLUMNS($AN$1006:BN1006),$AN$1006:$BO$1006,0)))),"Fix")))</f>
        <v>0</v>
      </c>
      <c r="AC748" s="4">
        <f>IF(OR(INDEX($AH$2:$AH$1001,MATCH(ROWS($AG$2:AG748),$AG$2:$AG$1001,0),1)&gt;=100000,INDEX($AN$1005:$BO$1005,1,MATCH(COLUMNS($AN$1006:BO1006),$AN$1006:$BO$1006,0))&gt;=100000), " ",IF(INDEX($AN$2:$BO$1001,MATCH(ROWS($AG$2:AG748),$AG$2:$AG$1001,0),MATCH(COLUMNS($AN$1006:BO1006),$AN$1006:$BO$1006,0)), HYPERLINK("#",""), HYPERLINK(CONCATENATE("#Metadata!", ADDRESS(INDEX($AI$2:$AI$1001,MATCH(ROWS($AG$2:AG748),$AG$2:$AG$1001,0),0), INDEX($AN$1004:$BO$1004,1,MATCH(COLUMNS($AN$1006:BO1006),$AN$1006:$BO$1006,0)))),"Fix")))</f>
        <v>0</v>
      </c>
      <c r="AG748">
        <v>0</v>
      </c>
      <c r="AH748">
        <v>0</v>
      </c>
      <c r="AI748">
        <v>0</v>
      </c>
      <c r="AJ748">
        <f>IF(AK748,TRUE,AND(AN748:BO748))</f>
        <v>0</v>
      </c>
      <c r="AK748">
        <f>COUNTBLANK(Metadata!B748:AC748)=COLUMNS(Metadata!B748:AC748)</f>
        <v>0</v>
      </c>
      <c r="AL748">
        <v>0</v>
      </c>
      <c r="AN748">
        <f>AND(IF(Metadata!B748="",FALSE,TRUE),COUNTIF(Metadata!B:B, Metadata!B748) = 1,NOT(ISERROR(SUMPRODUCT(SEARCH(MID(Metadata!B748,ROW(INDIRECT("1:"&amp;LEN(Metadata!B748))), 1),"0123456789abcdefghijklmnopqrstuvwxyzABCDEFGHIJKLMNOPQRSTUVWXYZ.")))))</f>
        <v>0</v>
      </c>
      <c r="AO748">
        <f>IF(Metadata!C748="",FALSE,TRUE)</f>
        <v>0</v>
      </c>
      <c r="AP748">
        <f>IF(Metadata!D748="",FALSE,TRUE)</f>
        <v>0</v>
      </c>
      <c r="AQ748">
        <f>OR(AND(IF(Metadata!E748="",FALSE,TRUE),OR(exact(Metadata!E748,"not collected"),exact(Metadata!E748,"not provided"),exact(Metadata!E748,"restricted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R748">
        <f>IF(Metadata!F748="",FALSE,TRUE)</f>
        <v>0</v>
      </c>
      <c r="AS748">
        <f>OR(AND(IF(Metadata!G748="",FALSE,TRUE),OR(exact(Metadata!G748,"not collected"),exact(Metadata!G748,"not provided"))),AND(IF(Metadata!G748="",FALSE,TRUE),OR(exact(Metadata!G748,"TRUE"),exact(Metadata!G748,"FALSE"))))</f>
        <v>0</v>
      </c>
      <c r="AT748">
        <f>OR(AND(IF(Metadata!H748="",FALSE,TRUE),OR(exact(Metadata!H748,"not collected"),exact(Metadata!H748,"not provided"),exact(Metadata!H748,"restricted access"))),AND(IF(Metadata!H748="",FALSE,ISNUMBER(VALUE(Metadata!H748))),Metadata!H748&gt;=-413.0))</f>
        <v>0</v>
      </c>
      <c r="AU748">
        <f>AND(IF(Metadata!I748="",FALSE,TRUE),exact(Metadata!I748,"meters"))</f>
        <v>0</v>
      </c>
      <c r="AV748">
        <f>AND(IF(Metadata!J748="",FALSE,TRUE),OR(exact(Metadata!J748,"Host-associated"),exact(Metadata!J748,"Free-living")))</f>
        <v>0</v>
      </c>
      <c r="AW748">
        <f>AND(IF(Metadata!K748="",FALSE,TRUE),OR(exact(Metadata!K748,"Animal"),exact(Metadata!K748,"Fungus"),exact(Metadata!K748,"Plant"),exact(Metadata!K748,"Saline"),exact(Metadata!K748,"Non-saline")))</f>
        <v>0</v>
      </c>
      <c r="AX748">
        <f>AND(IF(Metadata!L748="",FALSE,TRUE),OR(exact(Metadata!L748,"Plant secretion"),exact(Metadata!L748,"Plant rhizosphere"),exact(Metadata!L748,"Plant surface"),exact(Metadata!L748,"Plant corpus"),exact(Metadata!L748,"Fungus surface"),exact(Metadata!L748,"Fungus corpus"),exact(Metadata!L748,"Animal surface"),exact(Metadata!L748,"Animal proximal gut"),exact(Metadata!L748,"Animal corpus"),exact(Metadata!L748,"Animal distal gut"),exact(Metadata!L748,"Animal secretion"),exact(Metadata!L748,"Sub-surface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Y748">
        <f>IF(Metadata!M748="",FALSE,TRUE)</f>
        <v>0</v>
      </c>
      <c r="AZ748">
        <f>IF(Metadata!N748="",FALSE,TRUE)</f>
        <v>0</v>
      </c>
      <c r="BA748">
        <f>IF(Metadata!O748="",FALSE,TRUE)</f>
        <v>0</v>
      </c>
      <c r="BB748">
        <f>OR(AND(IF(Metadata!P748="",FALSE,TRUE),OR(exact(Metadata!P748,"not collected"),exact(Metadata!P748,"not provided"),exact(Metadata!P748,"restricted access"))),AND(IF(Metadata!P748="",FALSE,TRUE),OR(exact(Metadata!P748,"air"),exact(Metadata!P748,"built environment"),exact(Metadata!P748,"host-associated"),exact(Metadata!P748,"human-associated"),exact(Metadata!P748,"human-skin"),exact(Metadata!P748,"human-oral"),exact(Metadata!P748,"human-gut"),exact(Metadata!P748,"human-vaginal"),exact(Metadata!P748,"microbial mat/biofilm"),exact(Metadata!P748,"misc environment"),exact(Metadata!P748,"plant-associated"),exact(Metadata!P748,"sediment"),exact(Metadata!P748,"soil"),exact(Metadata!P748,"wastewater/sludge"),exact(Metadata!P748,"water"))))</f>
        <v>0</v>
      </c>
      <c r="BC748">
        <f>IF(Metadata!Q748="",FALSE,TRUE)</f>
        <v>0</v>
      </c>
      <c r="BD748">
        <f>IF(Metadata!R748="",FALSE,TRUE)</f>
        <v>0</v>
      </c>
      <c r="BE748">
        <f>OR(AND(IF(Metadata!S748="",FALSE,TRUE),OR(exact(Metadata!S748,"not collected"),exact(Metadata!S748,"not provided"),exact(Metadata!S748,"restricted access"))),AND(IF(Metadata!S748="",FALSE,ISNUMBER(VALUE(Metadata!S748))),Metadata!S748&gt;=-90.00,Metadata!S748&lt;=90.00))</f>
        <v>0</v>
      </c>
      <c r="BF748">
        <f>AND(IF(Metadata!T748="",FALSE,TRUE),exact(Metadata!T748,"Decimal degrees"))</f>
        <v>0</v>
      </c>
      <c r="BG748">
        <f>OR(AND(IF(Metadata!U748="",FALSE,TRUE),OR(exact(Metadata!U748,"not collected"),exact(Metadata!U748,"not provided"),exact(Metadata!U748,"restricted access"))),AND(IF(Metadata!U748="",FALSE,ISNUMBER(VALUE(Metadata!U748))),Metadata!U748&gt;=-180.00,Metadata!U748&lt;=180.00))</f>
        <v>0</v>
      </c>
      <c r="BH748">
        <f>AND(IF(Metadata!V748="",FALSE,TRUE),exact(Metadata!V748,"Decimal degrees"))</f>
        <v>0</v>
      </c>
      <c r="BI748">
        <f>IF(Metadata!W748="",FALSE,TRUE)</f>
        <v>0</v>
      </c>
      <c r="BJ748">
        <f>OR(AND(IF(Metadata!X748="",FALSE,TRUE),OR(exact(Metadata!X748,"not collected"),exact(Metadata!X748,"not provided"),exact(Metadata!X748,"restricted access"))),AND(IF(Metadata!X748="",FALSE,TRUE),OR(exact(Metadata!X748,"TRUE"),exact(Metadata!X748,"FALSE"))))</f>
        <v>0</v>
      </c>
      <c r="BK748">
        <f>AND(IF(Metadata!Y748="",FALSE,TRUE),exact(Metadata!Y748,"other"))</f>
        <v>0</v>
      </c>
      <c r="BL748">
        <f>IF(Metadata!Z748="",FALSE,TRUE)</f>
        <v>0</v>
      </c>
      <c r="BM748">
        <f>OR(AND(IF(Metadata!AA748="",FALSE,TRUE),OR(exact(Metadata!AA748,"not collected"),exact(Metadata!AA748,"not provided"))),AND(IF(Metadata!AA748="",FALSE,IF(ISERROR(INT(Metadata!AA748)),FALSE,INT(Metadata!AA748)=Metadata!AA748)),Metadata!AA748&gt;0))</f>
        <v>0</v>
      </c>
      <c r="BN748">
        <f>AND(IF(Metadata!AB748="",FALSE,TRUE),exact(Metadata!AB748,"Not applicable"))</f>
        <v>0</v>
      </c>
      <c r="BO748">
        <f>IF(Metadata!AC748="",FALSE,TRUE)</f>
        <v>0</v>
      </c>
    </row>
    <row r="749" spans="1:67">
      <c r="A749" s="5">
        <f>IF(B749=" "," ",HYPERLINK(CONCATENATE("#metadata!",ADDRESS(INDEX($AI$2:$AI$1001,MATCH(ROWS($AG$2:AG749),$AG$2:$AG$1001,0),0),1)),INDEX($AL$2:$AL$1001,MATCH(ROWS($AG$2:AG749),$AG$2:$AG$1001,0),0)))</f>
        <v>0</v>
      </c>
      <c r="B749" s="4">
        <f>IF(OR(INDEX($AH$2:$AH$1001,MATCH(ROWS($AG$2:AG749),$AG$2:$AG$1001,0),1)&gt;=100000,INDEX($AN$1005:$BO$1005,1,MATCH(COLUMNS($AN$1006:AN1006),$AN$1006:$BO$1006,0))&gt;=100000), " ",IF(INDEX($AN$2:$BO$1001,MATCH(ROWS($AG$2:AG749),$AG$2:$AG$1001,0),MATCH(COLUMNS($AN$1006:AN1006),$AN$1006:$BO$1006,0)), HYPERLINK("#",""), HYPERLINK(CONCATENATE("#Metadata!", ADDRESS(INDEX($AI$2:$AI$1001,MATCH(ROWS($AG$2:AG749),$AG$2:$AG$1001,0),0), INDEX($AN$1004:$BO$1004,1,MATCH(COLUMNS($AN$1006:AN1006),$AN$1006:$BO$1006,0)))),"Fix")))</f>
        <v>0</v>
      </c>
      <c r="C749" s="4">
        <f>IF(OR(INDEX($AH$2:$AH$1001,MATCH(ROWS($AG$2:AG749),$AG$2:$AG$1001,0),1)&gt;=100000,INDEX($AN$1005:$BO$1005,1,MATCH(COLUMNS($AN$1006:AO1006),$AN$1006:$BO$1006,0))&gt;=100000), " ",IF(INDEX($AN$2:$BO$1001,MATCH(ROWS($AG$2:AG749),$AG$2:$AG$1001,0),MATCH(COLUMNS($AN$1006:AO1006),$AN$1006:$BO$1006,0)), HYPERLINK("#",""), HYPERLINK(CONCATENATE("#Metadata!", ADDRESS(INDEX($AI$2:$AI$1001,MATCH(ROWS($AG$2:AG749),$AG$2:$AG$1001,0),0), INDEX($AN$1004:$BO$1004,1,MATCH(COLUMNS($AN$1006:AO1006),$AN$1006:$BO$1006,0)))),"Fix")))</f>
        <v>0</v>
      </c>
      <c r="D749" s="4">
        <f>IF(OR(INDEX($AH$2:$AH$1001,MATCH(ROWS($AG$2:AG749),$AG$2:$AG$1001,0),1)&gt;=100000,INDEX($AN$1005:$BO$1005,1,MATCH(COLUMNS($AN$1006:AP1006),$AN$1006:$BO$1006,0))&gt;=100000), " ",IF(INDEX($AN$2:$BO$1001,MATCH(ROWS($AG$2:AG749),$AG$2:$AG$1001,0),MATCH(COLUMNS($AN$1006:AP1006),$AN$1006:$BO$1006,0)), HYPERLINK("#",""), HYPERLINK(CONCATENATE("#Metadata!", ADDRESS(INDEX($AI$2:$AI$1001,MATCH(ROWS($AG$2:AG749),$AG$2:$AG$1001,0),0), INDEX($AN$1004:$BO$1004,1,MATCH(COLUMNS($AN$1006:AP1006),$AN$1006:$BO$1006,0)))),"Fix")))</f>
        <v>0</v>
      </c>
      <c r="E749" s="4">
        <f>IF(OR(INDEX($AH$2:$AH$1001,MATCH(ROWS($AG$2:AG749),$AG$2:$AG$1001,0),1)&gt;=100000,INDEX($AN$1005:$BO$1005,1,MATCH(COLUMNS($AN$1006:AQ1006),$AN$1006:$BO$1006,0))&gt;=100000), " ",IF(INDEX($AN$2:$BO$1001,MATCH(ROWS($AG$2:AG749),$AG$2:$AG$1001,0),MATCH(COLUMNS($AN$1006:AQ1006),$AN$1006:$BO$1006,0)), HYPERLINK("#",""), HYPERLINK(CONCATENATE("#Metadata!", ADDRESS(INDEX($AI$2:$AI$1001,MATCH(ROWS($AG$2:AG749),$AG$2:$AG$1001,0),0), INDEX($AN$1004:$BO$1004,1,MATCH(COLUMNS($AN$1006:AQ1006),$AN$1006:$BO$1006,0)))),"Fix")))</f>
        <v>0</v>
      </c>
      <c r="F749" s="4">
        <f>IF(OR(INDEX($AH$2:$AH$1001,MATCH(ROWS($AG$2:AG749),$AG$2:$AG$1001,0),1)&gt;=100000,INDEX($AN$1005:$BO$1005,1,MATCH(COLUMNS($AN$1006:AR1006),$AN$1006:$BO$1006,0))&gt;=100000), " ",IF(INDEX($AN$2:$BO$1001,MATCH(ROWS($AG$2:AG749),$AG$2:$AG$1001,0),MATCH(COLUMNS($AN$1006:AR1006),$AN$1006:$BO$1006,0)), HYPERLINK("#",""), HYPERLINK(CONCATENATE("#Metadata!", ADDRESS(INDEX($AI$2:$AI$1001,MATCH(ROWS($AG$2:AG749),$AG$2:$AG$1001,0),0), INDEX($AN$1004:$BO$1004,1,MATCH(COLUMNS($AN$1006:AR1006),$AN$1006:$BO$1006,0)))),"Fix")))</f>
        <v>0</v>
      </c>
      <c r="G749" s="4">
        <f>IF(OR(INDEX($AH$2:$AH$1001,MATCH(ROWS($AG$2:AG749),$AG$2:$AG$1001,0),1)&gt;=100000,INDEX($AN$1005:$BO$1005,1,MATCH(COLUMNS($AN$1006:AS1006),$AN$1006:$BO$1006,0))&gt;=100000), " ",IF(INDEX($AN$2:$BO$1001,MATCH(ROWS($AG$2:AG749),$AG$2:$AG$1001,0),MATCH(COLUMNS($AN$1006:AS1006),$AN$1006:$BO$1006,0)), HYPERLINK("#",""), HYPERLINK(CONCATENATE("#Metadata!", ADDRESS(INDEX($AI$2:$AI$1001,MATCH(ROWS($AG$2:AG749),$AG$2:$AG$1001,0),0), INDEX($AN$1004:$BO$1004,1,MATCH(COLUMNS($AN$1006:AS1006),$AN$1006:$BO$1006,0)))),"Fix")))</f>
        <v>0</v>
      </c>
      <c r="H749" s="4">
        <f>IF(OR(INDEX($AH$2:$AH$1001,MATCH(ROWS($AG$2:AG749),$AG$2:$AG$1001,0),1)&gt;=100000,INDEX($AN$1005:$BO$1005,1,MATCH(COLUMNS($AN$1006:AT1006),$AN$1006:$BO$1006,0))&gt;=100000), " ",IF(INDEX($AN$2:$BO$1001,MATCH(ROWS($AG$2:AG749),$AG$2:$AG$1001,0),MATCH(COLUMNS($AN$1006:AT1006),$AN$1006:$BO$1006,0)), HYPERLINK("#",""), HYPERLINK(CONCATENATE("#Metadata!", ADDRESS(INDEX($AI$2:$AI$1001,MATCH(ROWS($AG$2:AG749),$AG$2:$AG$1001,0),0), INDEX($AN$1004:$BO$1004,1,MATCH(COLUMNS($AN$1006:AT1006),$AN$1006:$BO$1006,0)))),"Fix")))</f>
        <v>0</v>
      </c>
      <c r="I749" s="4">
        <f>IF(OR(INDEX($AH$2:$AH$1001,MATCH(ROWS($AG$2:AG749),$AG$2:$AG$1001,0),1)&gt;=100000,INDEX($AN$1005:$BO$1005,1,MATCH(COLUMNS($AN$1006:AU1006),$AN$1006:$BO$1006,0))&gt;=100000), " ",IF(INDEX($AN$2:$BO$1001,MATCH(ROWS($AG$2:AG749),$AG$2:$AG$1001,0),MATCH(COLUMNS($AN$1006:AU1006),$AN$1006:$BO$1006,0)), HYPERLINK("#",""), HYPERLINK(CONCATENATE("#Metadata!", ADDRESS(INDEX($AI$2:$AI$1001,MATCH(ROWS($AG$2:AG749),$AG$2:$AG$1001,0),0), INDEX($AN$1004:$BO$1004,1,MATCH(COLUMNS($AN$1006:AU1006),$AN$1006:$BO$1006,0)))),"Fix")))</f>
        <v>0</v>
      </c>
      <c r="J749" s="4">
        <f>IF(OR(INDEX($AH$2:$AH$1001,MATCH(ROWS($AG$2:AG749),$AG$2:$AG$1001,0),1)&gt;=100000,INDEX($AN$1005:$BO$1005,1,MATCH(COLUMNS($AN$1006:AV1006),$AN$1006:$BO$1006,0))&gt;=100000), " ",IF(INDEX($AN$2:$BO$1001,MATCH(ROWS($AG$2:AG749),$AG$2:$AG$1001,0),MATCH(COLUMNS($AN$1006:AV1006),$AN$1006:$BO$1006,0)), HYPERLINK("#",""), HYPERLINK(CONCATENATE("#Metadata!", ADDRESS(INDEX($AI$2:$AI$1001,MATCH(ROWS($AG$2:AG749),$AG$2:$AG$1001,0),0), INDEX($AN$1004:$BO$1004,1,MATCH(COLUMNS($AN$1006:AV1006),$AN$1006:$BO$1006,0)))),"Fix")))</f>
        <v>0</v>
      </c>
      <c r="K749" s="4">
        <f>IF(OR(INDEX($AH$2:$AH$1001,MATCH(ROWS($AG$2:AG749),$AG$2:$AG$1001,0),1)&gt;=100000,INDEX($AN$1005:$BO$1005,1,MATCH(COLUMNS($AN$1006:AW1006),$AN$1006:$BO$1006,0))&gt;=100000), " ",IF(INDEX($AN$2:$BO$1001,MATCH(ROWS($AG$2:AG749),$AG$2:$AG$1001,0),MATCH(COLUMNS($AN$1006:AW1006),$AN$1006:$BO$1006,0)), HYPERLINK("#",""), HYPERLINK(CONCATENATE("#Metadata!", ADDRESS(INDEX($AI$2:$AI$1001,MATCH(ROWS($AG$2:AG749),$AG$2:$AG$1001,0),0), INDEX($AN$1004:$BO$1004,1,MATCH(COLUMNS($AN$1006:AW1006),$AN$1006:$BO$1006,0)))),"Fix")))</f>
        <v>0</v>
      </c>
      <c r="L749" s="4">
        <f>IF(OR(INDEX($AH$2:$AH$1001,MATCH(ROWS($AG$2:AG749),$AG$2:$AG$1001,0),1)&gt;=100000,INDEX($AN$1005:$BO$1005,1,MATCH(COLUMNS($AN$1006:AX1006),$AN$1006:$BO$1006,0))&gt;=100000), " ",IF(INDEX($AN$2:$BO$1001,MATCH(ROWS($AG$2:AG749),$AG$2:$AG$1001,0),MATCH(COLUMNS($AN$1006:AX1006),$AN$1006:$BO$1006,0)), HYPERLINK("#",""), HYPERLINK(CONCATENATE("#Metadata!", ADDRESS(INDEX($AI$2:$AI$1001,MATCH(ROWS($AG$2:AG749),$AG$2:$AG$1001,0),0), INDEX($AN$1004:$BO$1004,1,MATCH(COLUMNS($AN$1006:AX1006),$AN$1006:$BO$1006,0)))),"Fix")))</f>
        <v>0</v>
      </c>
      <c r="M749" s="4">
        <f>IF(OR(INDEX($AH$2:$AH$1001,MATCH(ROWS($AG$2:AG749),$AG$2:$AG$1001,0),1)&gt;=100000,INDEX($AN$1005:$BO$1005,1,MATCH(COLUMNS($AN$1006:AY1006),$AN$1006:$BO$1006,0))&gt;=100000), " ",IF(INDEX($AN$2:$BO$1001,MATCH(ROWS($AG$2:AG749),$AG$2:$AG$1001,0),MATCH(COLUMNS($AN$1006:AY1006),$AN$1006:$BO$1006,0)), HYPERLINK("#",""), HYPERLINK(CONCATENATE("#Metadata!", ADDRESS(INDEX($AI$2:$AI$1001,MATCH(ROWS($AG$2:AG749),$AG$2:$AG$1001,0),0), INDEX($AN$1004:$BO$1004,1,MATCH(COLUMNS($AN$1006:AY1006),$AN$1006:$BO$1006,0)))),"Fix")))</f>
        <v>0</v>
      </c>
      <c r="N749" s="4">
        <f>IF(OR(INDEX($AH$2:$AH$1001,MATCH(ROWS($AG$2:AG749),$AG$2:$AG$1001,0),1)&gt;=100000,INDEX($AN$1005:$BO$1005,1,MATCH(COLUMNS($AN$1006:AZ1006),$AN$1006:$BO$1006,0))&gt;=100000), " ",IF(INDEX($AN$2:$BO$1001,MATCH(ROWS($AG$2:AG749),$AG$2:$AG$1001,0),MATCH(COLUMNS($AN$1006:AZ1006),$AN$1006:$BO$1006,0)), HYPERLINK("#",""), HYPERLINK(CONCATENATE("#Metadata!", ADDRESS(INDEX($AI$2:$AI$1001,MATCH(ROWS($AG$2:AG749),$AG$2:$AG$1001,0),0), INDEX($AN$1004:$BO$1004,1,MATCH(COLUMNS($AN$1006:AZ1006),$AN$1006:$BO$1006,0)))),"Fix")))</f>
        <v>0</v>
      </c>
      <c r="O749" s="4">
        <f>IF(OR(INDEX($AH$2:$AH$1001,MATCH(ROWS($AG$2:AG749),$AG$2:$AG$1001,0),1)&gt;=100000,INDEX($AN$1005:$BO$1005,1,MATCH(COLUMNS($AN$1006:BA1006),$AN$1006:$BO$1006,0))&gt;=100000), " ",IF(INDEX($AN$2:$BO$1001,MATCH(ROWS($AG$2:AG749),$AG$2:$AG$1001,0),MATCH(COLUMNS($AN$1006:BA1006),$AN$1006:$BO$1006,0)), HYPERLINK("#",""), HYPERLINK(CONCATENATE("#Metadata!", ADDRESS(INDEX($AI$2:$AI$1001,MATCH(ROWS($AG$2:AG749),$AG$2:$AG$1001,0),0), INDEX($AN$1004:$BO$1004,1,MATCH(COLUMNS($AN$1006:BA1006),$AN$1006:$BO$1006,0)))),"Fix")))</f>
        <v>0</v>
      </c>
      <c r="P749" s="4">
        <f>IF(OR(INDEX($AH$2:$AH$1001,MATCH(ROWS($AG$2:AG749),$AG$2:$AG$1001,0),1)&gt;=100000,INDEX($AN$1005:$BO$1005,1,MATCH(COLUMNS($AN$1006:BB1006),$AN$1006:$BO$1006,0))&gt;=100000), " ",IF(INDEX($AN$2:$BO$1001,MATCH(ROWS($AG$2:AG749),$AG$2:$AG$1001,0),MATCH(COLUMNS($AN$1006:BB1006),$AN$1006:$BO$1006,0)), HYPERLINK("#",""), HYPERLINK(CONCATENATE("#Metadata!", ADDRESS(INDEX($AI$2:$AI$1001,MATCH(ROWS($AG$2:AG749),$AG$2:$AG$1001,0),0), INDEX($AN$1004:$BO$1004,1,MATCH(COLUMNS($AN$1006:BB1006),$AN$1006:$BO$1006,0)))),"Fix")))</f>
        <v>0</v>
      </c>
      <c r="Q749" s="4">
        <f>IF(OR(INDEX($AH$2:$AH$1001,MATCH(ROWS($AG$2:AG749),$AG$2:$AG$1001,0),1)&gt;=100000,INDEX($AN$1005:$BO$1005,1,MATCH(COLUMNS($AN$1006:BC1006),$AN$1006:$BO$1006,0))&gt;=100000), " ",IF(INDEX($AN$2:$BO$1001,MATCH(ROWS($AG$2:AG749),$AG$2:$AG$1001,0),MATCH(COLUMNS($AN$1006:BC1006),$AN$1006:$BO$1006,0)), HYPERLINK("#",""), HYPERLINK(CONCATENATE("#Metadata!", ADDRESS(INDEX($AI$2:$AI$1001,MATCH(ROWS($AG$2:AG749),$AG$2:$AG$1001,0),0), INDEX($AN$1004:$BO$1004,1,MATCH(COLUMNS($AN$1006:BC1006),$AN$1006:$BO$1006,0)))),"Fix")))</f>
        <v>0</v>
      </c>
      <c r="R749" s="4">
        <f>IF(OR(INDEX($AH$2:$AH$1001,MATCH(ROWS($AG$2:AG749),$AG$2:$AG$1001,0),1)&gt;=100000,INDEX($AN$1005:$BO$1005,1,MATCH(COLUMNS($AN$1006:BD1006),$AN$1006:$BO$1006,0))&gt;=100000), " ",IF(INDEX($AN$2:$BO$1001,MATCH(ROWS($AG$2:AG749),$AG$2:$AG$1001,0),MATCH(COLUMNS($AN$1006:BD1006),$AN$1006:$BO$1006,0)), HYPERLINK("#",""), HYPERLINK(CONCATENATE("#Metadata!", ADDRESS(INDEX($AI$2:$AI$1001,MATCH(ROWS($AG$2:AG749),$AG$2:$AG$1001,0),0), INDEX($AN$1004:$BO$1004,1,MATCH(COLUMNS($AN$1006:BD1006),$AN$1006:$BO$1006,0)))),"Fix")))</f>
        <v>0</v>
      </c>
      <c r="S749" s="4">
        <f>IF(OR(INDEX($AH$2:$AH$1001,MATCH(ROWS($AG$2:AG749),$AG$2:$AG$1001,0),1)&gt;=100000,INDEX($AN$1005:$BO$1005,1,MATCH(COLUMNS($AN$1006:BE1006),$AN$1006:$BO$1006,0))&gt;=100000), " ",IF(INDEX($AN$2:$BO$1001,MATCH(ROWS($AG$2:AG749),$AG$2:$AG$1001,0),MATCH(COLUMNS($AN$1006:BE1006),$AN$1006:$BO$1006,0)), HYPERLINK("#",""), HYPERLINK(CONCATENATE("#Metadata!", ADDRESS(INDEX($AI$2:$AI$1001,MATCH(ROWS($AG$2:AG749),$AG$2:$AG$1001,0),0), INDEX($AN$1004:$BO$1004,1,MATCH(COLUMNS($AN$1006:BE1006),$AN$1006:$BO$1006,0)))),"Fix")))</f>
        <v>0</v>
      </c>
      <c r="T749" s="4">
        <f>IF(OR(INDEX($AH$2:$AH$1001,MATCH(ROWS($AG$2:AG749),$AG$2:$AG$1001,0),1)&gt;=100000,INDEX($AN$1005:$BO$1005,1,MATCH(COLUMNS($AN$1006:BF1006),$AN$1006:$BO$1006,0))&gt;=100000), " ",IF(INDEX($AN$2:$BO$1001,MATCH(ROWS($AG$2:AG749),$AG$2:$AG$1001,0),MATCH(COLUMNS($AN$1006:BF1006),$AN$1006:$BO$1006,0)), HYPERLINK("#",""), HYPERLINK(CONCATENATE("#Metadata!", ADDRESS(INDEX($AI$2:$AI$1001,MATCH(ROWS($AG$2:AG749),$AG$2:$AG$1001,0),0), INDEX($AN$1004:$BO$1004,1,MATCH(COLUMNS($AN$1006:BF1006),$AN$1006:$BO$1006,0)))),"Fix")))</f>
        <v>0</v>
      </c>
      <c r="U749" s="4">
        <f>IF(OR(INDEX($AH$2:$AH$1001,MATCH(ROWS($AG$2:AG749),$AG$2:$AG$1001,0),1)&gt;=100000,INDEX($AN$1005:$BO$1005,1,MATCH(COLUMNS($AN$1006:BG1006),$AN$1006:$BO$1006,0))&gt;=100000), " ",IF(INDEX($AN$2:$BO$1001,MATCH(ROWS($AG$2:AG749),$AG$2:$AG$1001,0),MATCH(COLUMNS($AN$1006:BG1006),$AN$1006:$BO$1006,0)), HYPERLINK("#",""), HYPERLINK(CONCATENATE("#Metadata!", ADDRESS(INDEX($AI$2:$AI$1001,MATCH(ROWS($AG$2:AG749),$AG$2:$AG$1001,0),0), INDEX($AN$1004:$BO$1004,1,MATCH(COLUMNS($AN$1006:BG1006),$AN$1006:$BO$1006,0)))),"Fix")))</f>
        <v>0</v>
      </c>
      <c r="V749" s="4">
        <f>IF(OR(INDEX($AH$2:$AH$1001,MATCH(ROWS($AG$2:AG749),$AG$2:$AG$1001,0),1)&gt;=100000,INDEX($AN$1005:$BO$1005,1,MATCH(COLUMNS($AN$1006:BH1006),$AN$1006:$BO$1006,0))&gt;=100000), " ",IF(INDEX($AN$2:$BO$1001,MATCH(ROWS($AG$2:AG749),$AG$2:$AG$1001,0),MATCH(COLUMNS($AN$1006:BH1006),$AN$1006:$BO$1006,0)), HYPERLINK("#",""), HYPERLINK(CONCATENATE("#Metadata!", ADDRESS(INDEX($AI$2:$AI$1001,MATCH(ROWS($AG$2:AG749),$AG$2:$AG$1001,0),0), INDEX($AN$1004:$BO$1004,1,MATCH(COLUMNS($AN$1006:BH1006),$AN$1006:$BO$1006,0)))),"Fix")))</f>
        <v>0</v>
      </c>
      <c r="W749" s="4">
        <f>IF(OR(INDEX($AH$2:$AH$1001,MATCH(ROWS($AG$2:AG749),$AG$2:$AG$1001,0),1)&gt;=100000,INDEX($AN$1005:$BO$1005,1,MATCH(COLUMNS($AN$1006:BI1006),$AN$1006:$BO$1006,0))&gt;=100000), " ",IF(INDEX($AN$2:$BO$1001,MATCH(ROWS($AG$2:AG749),$AG$2:$AG$1001,0),MATCH(COLUMNS($AN$1006:BI1006),$AN$1006:$BO$1006,0)), HYPERLINK("#",""), HYPERLINK(CONCATENATE("#Metadata!", ADDRESS(INDEX($AI$2:$AI$1001,MATCH(ROWS($AG$2:AG749),$AG$2:$AG$1001,0),0), INDEX($AN$1004:$BO$1004,1,MATCH(COLUMNS($AN$1006:BI1006),$AN$1006:$BO$1006,0)))),"Fix")))</f>
        <v>0</v>
      </c>
      <c r="X749" s="4">
        <f>IF(OR(INDEX($AH$2:$AH$1001,MATCH(ROWS($AG$2:AG749),$AG$2:$AG$1001,0),1)&gt;=100000,INDEX($AN$1005:$BO$1005,1,MATCH(COLUMNS($AN$1006:BJ1006),$AN$1006:$BO$1006,0))&gt;=100000), " ",IF(INDEX($AN$2:$BO$1001,MATCH(ROWS($AG$2:AG749),$AG$2:$AG$1001,0),MATCH(COLUMNS($AN$1006:BJ1006),$AN$1006:$BO$1006,0)), HYPERLINK("#",""), HYPERLINK(CONCATENATE("#Metadata!", ADDRESS(INDEX($AI$2:$AI$1001,MATCH(ROWS($AG$2:AG749),$AG$2:$AG$1001,0),0), INDEX($AN$1004:$BO$1004,1,MATCH(COLUMNS($AN$1006:BJ1006),$AN$1006:$BO$1006,0)))),"Fix")))</f>
        <v>0</v>
      </c>
      <c r="Y749" s="4">
        <f>IF(OR(INDEX($AH$2:$AH$1001,MATCH(ROWS($AG$2:AG749),$AG$2:$AG$1001,0),1)&gt;=100000,INDEX($AN$1005:$BO$1005,1,MATCH(COLUMNS($AN$1006:BK1006),$AN$1006:$BO$1006,0))&gt;=100000), " ",IF(INDEX($AN$2:$BO$1001,MATCH(ROWS($AG$2:AG749),$AG$2:$AG$1001,0),MATCH(COLUMNS($AN$1006:BK1006),$AN$1006:$BO$1006,0)), HYPERLINK("#",""), HYPERLINK(CONCATENATE("#Metadata!", ADDRESS(INDEX($AI$2:$AI$1001,MATCH(ROWS($AG$2:AG749),$AG$2:$AG$1001,0),0), INDEX($AN$1004:$BO$1004,1,MATCH(COLUMNS($AN$1006:BK1006),$AN$1006:$BO$1006,0)))),"Fix")))</f>
        <v>0</v>
      </c>
      <c r="Z749" s="4">
        <f>IF(OR(INDEX($AH$2:$AH$1001,MATCH(ROWS($AG$2:AG749),$AG$2:$AG$1001,0),1)&gt;=100000,INDEX($AN$1005:$BO$1005,1,MATCH(COLUMNS($AN$1006:BL1006),$AN$1006:$BO$1006,0))&gt;=100000), " ",IF(INDEX($AN$2:$BO$1001,MATCH(ROWS($AG$2:AG749),$AG$2:$AG$1001,0),MATCH(COLUMNS($AN$1006:BL1006),$AN$1006:$BO$1006,0)), HYPERLINK("#",""), HYPERLINK(CONCATENATE("#Metadata!", ADDRESS(INDEX($AI$2:$AI$1001,MATCH(ROWS($AG$2:AG749),$AG$2:$AG$1001,0),0), INDEX($AN$1004:$BO$1004,1,MATCH(COLUMNS($AN$1006:BL1006),$AN$1006:$BO$1006,0)))),"Fix")))</f>
        <v>0</v>
      </c>
      <c r="AA749" s="4">
        <f>IF(OR(INDEX($AH$2:$AH$1001,MATCH(ROWS($AG$2:AG749),$AG$2:$AG$1001,0),1)&gt;=100000,INDEX($AN$1005:$BO$1005,1,MATCH(COLUMNS($AN$1006:BM1006),$AN$1006:$BO$1006,0))&gt;=100000), " ",IF(INDEX($AN$2:$BO$1001,MATCH(ROWS($AG$2:AG749),$AG$2:$AG$1001,0),MATCH(COLUMNS($AN$1006:BM1006),$AN$1006:$BO$1006,0)), HYPERLINK("#",""), HYPERLINK(CONCATENATE("#Metadata!", ADDRESS(INDEX($AI$2:$AI$1001,MATCH(ROWS($AG$2:AG749),$AG$2:$AG$1001,0),0), INDEX($AN$1004:$BO$1004,1,MATCH(COLUMNS($AN$1006:BM1006),$AN$1006:$BO$1006,0)))),"Fix")))</f>
        <v>0</v>
      </c>
      <c r="AB749" s="4">
        <f>IF(OR(INDEX($AH$2:$AH$1001,MATCH(ROWS($AG$2:AG749),$AG$2:$AG$1001,0),1)&gt;=100000,INDEX($AN$1005:$BO$1005,1,MATCH(COLUMNS($AN$1006:BN1006),$AN$1006:$BO$1006,0))&gt;=100000), " ",IF(INDEX($AN$2:$BO$1001,MATCH(ROWS($AG$2:AG749),$AG$2:$AG$1001,0),MATCH(COLUMNS($AN$1006:BN1006),$AN$1006:$BO$1006,0)), HYPERLINK("#",""), HYPERLINK(CONCATENATE("#Metadata!", ADDRESS(INDEX($AI$2:$AI$1001,MATCH(ROWS($AG$2:AG749),$AG$2:$AG$1001,0),0), INDEX($AN$1004:$BO$1004,1,MATCH(COLUMNS($AN$1006:BN1006),$AN$1006:$BO$1006,0)))),"Fix")))</f>
        <v>0</v>
      </c>
      <c r="AC749" s="4">
        <f>IF(OR(INDEX($AH$2:$AH$1001,MATCH(ROWS($AG$2:AG749),$AG$2:$AG$1001,0),1)&gt;=100000,INDEX($AN$1005:$BO$1005,1,MATCH(COLUMNS($AN$1006:BO1006),$AN$1006:$BO$1006,0))&gt;=100000), " ",IF(INDEX($AN$2:$BO$1001,MATCH(ROWS($AG$2:AG749),$AG$2:$AG$1001,0),MATCH(COLUMNS($AN$1006:BO1006),$AN$1006:$BO$1006,0)), HYPERLINK("#",""), HYPERLINK(CONCATENATE("#Metadata!", ADDRESS(INDEX($AI$2:$AI$1001,MATCH(ROWS($AG$2:AG749),$AG$2:$AG$1001,0),0), INDEX($AN$1004:$BO$1004,1,MATCH(COLUMNS($AN$1006:BO1006),$AN$1006:$BO$1006,0)))),"Fix")))</f>
        <v>0</v>
      </c>
      <c r="AG749">
        <v>0</v>
      </c>
      <c r="AH749">
        <v>0</v>
      </c>
      <c r="AI749">
        <v>0</v>
      </c>
      <c r="AJ749">
        <f>IF(AK749,TRUE,AND(AN749:BO749))</f>
        <v>0</v>
      </c>
      <c r="AK749">
        <f>COUNTBLANK(Metadata!B749:AC749)=COLUMNS(Metadata!B749:AC749)</f>
        <v>0</v>
      </c>
      <c r="AL749">
        <v>0</v>
      </c>
      <c r="AN749">
        <f>AND(IF(Metadata!B749="",FALSE,TRUE),COUNTIF(Metadata!B:B, Metadata!B749) = 1,NOT(ISERROR(SUMPRODUCT(SEARCH(MID(Metadata!B749,ROW(INDIRECT("1:"&amp;LEN(Metadata!B749))), 1),"0123456789abcdefghijklmnopqrstuvwxyzABCDEFGHIJKLMNOPQRSTUVWXYZ.")))))</f>
        <v>0</v>
      </c>
      <c r="AO749">
        <f>IF(Metadata!C749="",FALSE,TRUE)</f>
        <v>0</v>
      </c>
      <c r="AP749">
        <f>IF(Metadata!D749="",FALSE,TRUE)</f>
        <v>0</v>
      </c>
      <c r="AQ749">
        <f>OR(AND(IF(Metadata!E749="",FALSE,TRUE),OR(exact(Metadata!E749,"not collected"),exact(Metadata!E749,"not provided"),exact(Metadata!E749,"restricted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R749">
        <f>IF(Metadata!F749="",FALSE,TRUE)</f>
        <v>0</v>
      </c>
      <c r="AS749">
        <f>OR(AND(IF(Metadata!G749="",FALSE,TRUE),OR(exact(Metadata!G749,"not collected"),exact(Metadata!G749,"not provided"))),AND(IF(Metadata!G749="",FALSE,TRUE),OR(exact(Metadata!G749,"TRUE"),exact(Metadata!G749,"FALSE"))))</f>
        <v>0</v>
      </c>
      <c r="AT749">
        <f>OR(AND(IF(Metadata!H749="",FALSE,TRUE),OR(exact(Metadata!H749,"not collected"),exact(Metadata!H749,"not provided"),exact(Metadata!H749,"restricted access"))),AND(IF(Metadata!H749="",FALSE,ISNUMBER(VALUE(Metadata!H749))),Metadata!H749&gt;=-413.0))</f>
        <v>0</v>
      </c>
      <c r="AU749">
        <f>AND(IF(Metadata!I749="",FALSE,TRUE),exact(Metadata!I749,"meters"))</f>
        <v>0</v>
      </c>
      <c r="AV749">
        <f>AND(IF(Metadata!J749="",FALSE,TRUE),OR(exact(Metadata!J749,"Host-associated"),exact(Metadata!J749,"Free-living")))</f>
        <v>0</v>
      </c>
      <c r="AW749">
        <f>AND(IF(Metadata!K749="",FALSE,TRUE),OR(exact(Metadata!K749,"Animal"),exact(Metadata!K749,"Fungus"),exact(Metadata!K749,"Plant"),exact(Metadata!K749,"Saline"),exact(Metadata!K749,"Non-saline")))</f>
        <v>0</v>
      </c>
      <c r="AX749">
        <f>AND(IF(Metadata!L749="",FALSE,TRUE),OR(exact(Metadata!L749,"Plant secretion"),exact(Metadata!L749,"Plant rhizosphere"),exact(Metadata!L749,"Plant surface"),exact(Metadata!L749,"Plant corpus"),exact(Metadata!L749,"Fungus surface"),exact(Metadata!L749,"Fungus corpus"),exact(Metadata!L749,"Animal surface"),exact(Metadata!L749,"Animal proximal gut"),exact(Metadata!L749,"Animal corpus"),exact(Metadata!L749,"Animal distal gut"),exact(Metadata!L749,"Animal secretion"),exact(Metadata!L749,"Sub-surface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Y749">
        <f>IF(Metadata!M749="",FALSE,TRUE)</f>
        <v>0</v>
      </c>
      <c r="AZ749">
        <f>IF(Metadata!N749="",FALSE,TRUE)</f>
        <v>0</v>
      </c>
      <c r="BA749">
        <f>IF(Metadata!O749="",FALSE,TRUE)</f>
        <v>0</v>
      </c>
      <c r="BB749">
        <f>OR(AND(IF(Metadata!P749="",FALSE,TRUE),OR(exact(Metadata!P749,"not collected"),exact(Metadata!P749,"not provided"),exact(Metadata!P749,"restricted access"))),AND(IF(Metadata!P749="",FALSE,TRUE),OR(exact(Metadata!P749,"air"),exact(Metadata!P749,"built environment"),exact(Metadata!P749,"host-associated"),exact(Metadata!P749,"human-associated"),exact(Metadata!P749,"human-skin"),exact(Metadata!P749,"human-oral"),exact(Metadata!P749,"human-gut"),exact(Metadata!P749,"human-vaginal"),exact(Metadata!P749,"microbial mat/biofilm"),exact(Metadata!P749,"misc environment"),exact(Metadata!P749,"plant-associated"),exact(Metadata!P749,"sediment"),exact(Metadata!P749,"soil"),exact(Metadata!P749,"wastewater/sludge"),exact(Metadata!P749,"water"))))</f>
        <v>0</v>
      </c>
      <c r="BC749">
        <f>IF(Metadata!Q749="",FALSE,TRUE)</f>
        <v>0</v>
      </c>
      <c r="BD749">
        <f>IF(Metadata!R749="",FALSE,TRUE)</f>
        <v>0</v>
      </c>
      <c r="BE749">
        <f>OR(AND(IF(Metadata!S749="",FALSE,TRUE),OR(exact(Metadata!S749,"not collected"),exact(Metadata!S749,"not provided"),exact(Metadata!S749,"restricted access"))),AND(IF(Metadata!S749="",FALSE,ISNUMBER(VALUE(Metadata!S749))),Metadata!S749&gt;=-90.00,Metadata!S749&lt;=90.00))</f>
        <v>0</v>
      </c>
      <c r="BF749">
        <f>AND(IF(Metadata!T749="",FALSE,TRUE),exact(Metadata!T749,"Decimal degrees"))</f>
        <v>0</v>
      </c>
      <c r="BG749">
        <f>OR(AND(IF(Metadata!U749="",FALSE,TRUE),OR(exact(Metadata!U749,"not collected"),exact(Metadata!U749,"not provided"),exact(Metadata!U749,"restricted access"))),AND(IF(Metadata!U749="",FALSE,ISNUMBER(VALUE(Metadata!U749))),Metadata!U749&gt;=-180.00,Metadata!U749&lt;=180.00))</f>
        <v>0</v>
      </c>
      <c r="BH749">
        <f>AND(IF(Metadata!V749="",FALSE,TRUE),exact(Metadata!V749,"Decimal degrees"))</f>
        <v>0</v>
      </c>
      <c r="BI749">
        <f>IF(Metadata!W749="",FALSE,TRUE)</f>
        <v>0</v>
      </c>
      <c r="BJ749">
        <f>OR(AND(IF(Metadata!X749="",FALSE,TRUE),OR(exact(Metadata!X749,"not collected"),exact(Metadata!X749,"not provided"),exact(Metadata!X749,"restricted access"))),AND(IF(Metadata!X749="",FALSE,TRUE),OR(exact(Metadata!X749,"TRUE"),exact(Metadata!X749,"FALSE"))))</f>
        <v>0</v>
      </c>
      <c r="BK749">
        <f>AND(IF(Metadata!Y749="",FALSE,TRUE),exact(Metadata!Y749,"other"))</f>
        <v>0</v>
      </c>
      <c r="BL749">
        <f>IF(Metadata!Z749="",FALSE,TRUE)</f>
        <v>0</v>
      </c>
      <c r="BM749">
        <f>OR(AND(IF(Metadata!AA749="",FALSE,TRUE),OR(exact(Metadata!AA749,"not collected"),exact(Metadata!AA749,"not provided"))),AND(IF(Metadata!AA749="",FALSE,IF(ISERROR(INT(Metadata!AA749)),FALSE,INT(Metadata!AA749)=Metadata!AA749)),Metadata!AA749&gt;0))</f>
        <v>0</v>
      </c>
      <c r="BN749">
        <f>AND(IF(Metadata!AB749="",FALSE,TRUE),exact(Metadata!AB749,"Not applicable"))</f>
        <v>0</v>
      </c>
      <c r="BO749">
        <f>IF(Metadata!AC749="",FALSE,TRUE)</f>
        <v>0</v>
      </c>
    </row>
    <row r="750" spans="1:67">
      <c r="A750" s="5">
        <f>IF(B750=" "," ",HYPERLINK(CONCATENATE("#metadata!",ADDRESS(INDEX($AI$2:$AI$1001,MATCH(ROWS($AG$2:AG750),$AG$2:$AG$1001,0),0),1)),INDEX($AL$2:$AL$1001,MATCH(ROWS($AG$2:AG750),$AG$2:$AG$1001,0),0)))</f>
        <v>0</v>
      </c>
      <c r="B750" s="4">
        <f>IF(OR(INDEX($AH$2:$AH$1001,MATCH(ROWS($AG$2:AG750),$AG$2:$AG$1001,0),1)&gt;=100000,INDEX($AN$1005:$BO$1005,1,MATCH(COLUMNS($AN$1006:AN1006),$AN$1006:$BO$1006,0))&gt;=100000), " ",IF(INDEX($AN$2:$BO$1001,MATCH(ROWS($AG$2:AG750),$AG$2:$AG$1001,0),MATCH(COLUMNS($AN$1006:AN1006),$AN$1006:$BO$1006,0)), HYPERLINK("#",""), HYPERLINK(CONCATENATE("#Metadata!", ADDRESS(INDEX($AI$2:$AI$1001,MATCH(ROWS($AG$2:AG750),$AG$2:$AG$1001,0),0), INDEX($AN$1004:$BO$1004,1,MATCH(COLUMNS($AN$1006:AN1006),$AN$1006:$BO$1006,0)))),"Fix")))</f>
        <v>0</v>
      </c>
      <c r="C750" s="4">
        <f>IF(OR(INDEX($AH$2:$AH$1001,MATCH(ROWS($AG$2:AG750),$AG$2:$AG$1001,0),1)&gt;=100000,INDEX($AN$1005:$BO$1005,1,MATCH(COLUMNS($AN$1006:AO1006),$AN$1006:$BO$1006,0))&gt;=100000), " ",IF(INDEX($AN$2:$BO$1001,MATCH(ROWS($AG$2:AG750),$AG$2:$AG$1001,0),MATCH(COLUMNS($AN$1006:AO1006),$AN$1006:$BO$1006,0)), HYPERLINK("#",""), HYPERLINK(CONCATENATE("#Metadata!", ADDRESS(INDEX($AI$2:$AI$1001,MATCH(ROWS($AG$2:AG750),$AG$2:$AG$1001,0),0), INDEX($AN$1004:$BO$1004,1,MATCH(COLUMNS($AN$1006:AO1006),$AN$1006:$BO$1006,0)))),"Fix")))</f>
        <v>0</v>
      </c>
      <c r="D750" s="4">
        <f>IF(OR(INDEX($AH$2:$AH$1001,MATCH(ROWS($AG$2:AG750),$AG$2:$AG$1001,0),1)&gt;=100000,INDEX($AN$1005:$BO$1005,1,MATCH(COLUMNS($AN$1006:AP1006),$AN$1006:$BO$1006,0))&gt;=100000), " ",IF(INDEX($AN$2:$BO$1001,MATCH(ROWS($AG$2:AG750),$AG$2:$AG$1001,0),MATCH(COLUMNS($AN$1006:AP1006),$AN$1006:$BO$1006,0)), HYPERLINK("#",""), HYPERLINK(CONCATENATE("#Metadata!", ADDRESS(INDEX($AI$2:$AI$1001,MATCH(ROWS($AG$2:AG750),$AG$2:$AG$1001,0),0), INDEX($AN$1004:$BO$1004,1,MATCH(COLUMNS($AN$1006:AP1006),$AN$1006:$BO$1006,0)))),"Fix")))</f>
        <v>0</v>
      </c>
      <c r="E750" s="4">
        <f>IF(OR(INDEX($AH$2:$AH$1001,MATCH(ROWS($AG$2:AG750),$AG$2:$AG$1001,0),1)&gt;=100000,INDEX($AN$1005:$BO$1005,1,MATCH(COLUMNS($AN$1006:AQ1006),$AN$1006:$BO$1006,0))&gt;=100000), " ",IF(INDEX($AN$2:$BO$1001,MATCH(ROWS($AG$2:AG750),$AG$2:$AG$1001,0),MATCH(COLUMNS($AN$1006:AQ1006),$AN$1006:$BO$1006,0)), HYPERLINK("#",""), HYPERLINK(CONCATENATE("#Metadata!", ADDRESS(INDEX($AI$2:$AI$1001,MATCH(ROWS($AG$2:AG750),$AG$2:$AG$1001,0),0), INDEX($AN$1004:$BO$1004,1,MATCH(COLUMNS($AN$1006:AQ1006),$AN$1006:$BO$1006,0)))),"Fix")))</f>
        <v>0</v>
      </c>
      <c r="F750" s="4">
        <f>IF(OR(INDEX($AH$2:$AH$1001,MATCH(ROWS($AG$2:AG750),$AG$2:$AG$1001,0),1)&gt;=100000,INDEX($AN$1005:$BO$1005,1,MATCH(COLUMNS($AN$1006:AR1006),$AN$1006:$BO$1006,0))&gt;=100000), " ",IF(INDEX($AN$2:$BO$1001,MATCH(ROWS($AG$2:AG750),$AG$2:$AG$1001,0),MATCH(COLUMNS($AN$1006:AR1006),$AN$1006:$BO$1006,0)), HYPERLINK("#",""), HYPERLINK(CONCATENATE("#Metadata!", ADDRESS(INDEX($AI$2:$AI$1001,MATCH(ROWS($AG$2:AG750),$AG$2:$AG$1001,0),0), INDEX($AN$1004:$BO$1004,1,MATCH(COLUMNS($AN$1006:AR1006),$AN$1006:$BO$1006,0)))),"Fix")))</f>
        <v>0</v>
      </c>
      <c r="G750" s="4">
        <f>IF(OR(INDEX($AH$2:$AH$1001,MATCH(ROWS($AG$2:AG750),$AG$2:$AG$1001,0),1)&gt;=100000,INDEX($AN$1005:$BO$1005,1,MATCH(COLUMNS($AN$1006:AS1006),$AN$1006:$BO$1006,0))&gt;=100000), " ",IF(INDEX($AN$2:$BO$1001,MATCH(ROWS($AG$2:AG750),$AG$2:$AG$1001,0),MATCH(COLUMNS($AN$1006:AS1006),$AN$1006:$BO$1006,0)), HYPERLINK("#",""), HYPERLINK(CONCATENATE("#Metadata!", ADDRESS(INDEX($AI$2:$AI$1001,MATCH(ROWS($AG$2:AG750),$AG$2:$AG$1001,0),0), INDEX($AN$1004:$BO$1004,1,MATCH(COLUMNS($AN$1006:AS1006),$AN$1006:$BO$1006,0)))),"Fix")))</f>
        <v>0</v>
      </c>
      <c r="H750" s="4">
        <f>IF(OR(INDEX($AH$2:$AH$1001,MATCH(ROWS($AG$2:AG750),$AG$2:$AG$1001,0),1)&gt;=100000,INDEX($AN$1005:$BO$1005,1,MATCH(COLUMNS($AN$1006:AT1006),$AN$1006:$BO$1006,0))&gt;=100000), " ",IF(INDEX($AN$2:$BO$1001,MATCH(ROWS($AG$2:AG750),$AG$2:$AG$1001,0),MATCH(COLUMNS($AN$1006:AT1006),$AN$1006:$BO$1006,0)), HYPERLINK("#",""), HYPERLINK(CONCATENATE("#Metadata!", ADDRESS(INDEX($AI$2:$AI$1001,MATCH(ROWS($AG$2:AG750),$AG$2:$AG$1001,0),0), INDEX($AN$1004:$BO$1004,1,MATCH(COLUMNS($AN$1006:AT1006),$AN$1006:$BO$1006,0)))),"Fix")))</f>
        <v>0</v>
      </c>
      <c r="I750" s="4">
        <f>IF(OR(INDEX($AH$2:$AH$1001,MATCH(ROWS($AG$2:AG750),$AG$2:$AG$1001,0),1)&gt;=100000,INDEX($AN$1005:$BO$1005,1,MATCH(COLUMNS($AN$1006:AU1006),$AN$1006:$BO$1006,0))&gt;=100000), " ",IF(INDEX($AN$2:$BO$1001,MATCH(ROWS($AG$2:AG750),$AG$2:$AG$1001,0),MATCH(COLUMNS($AN$1006:AU1006),$AN$1006:$BO$1006,0)), HYPERLINK("#",""), HYPERLINK(CONCATENATE("#Metadata!", ADDRESS(INDEX($AI$2:$AI$1001,MATCH(ROWS($AG$2:AG750),$AG$2:$AG$1001,0),0), INDEX($AN$1004:$BO$1004,1,MATCH(COLUMNS($AN$1006:AU1006),$AN$1006:$BO$1006,0)))),"Fix")))</f>
        <v>0</v>
      </c>
      <c r="J750" s="4">
        <f>IF(OR(INDEX($AH$2:$AH$1001,MATCH(ROWS($AG$2:AG750),$AG$2:$AG$1001,0),1)&gt;=100000,INDEX($AN$1005:$BO$1005,1,MATCH(COLUMNS($AN$1006:AV1006),$AN$1006:$BO$1006,0))&gt;=100000), " ",IF(INDEX($AN$2:$BO$1001,MATCH(ROWS($AG$2:AG750),$AG$2:$AG$1001,0),MATCH(COLUMNS($AN$1006:AV1006),$AN$1006:$BO$1006,0)), HYPERLINK("#",""), HYPERLINK(CONCATENATE("#Metadata!", ADDRESS(INDEX($AI$2:$AI$1001,MATCH(ROWS($AG$2:AG750),$AG$2:$AG$1001,0),0), INDEX($AN$1004:$BO$1004,1,MATCH(COLUMNS($AN$1006:AV1006),$AN$1006:$BO$1006,0)))),"Fix")))</f>
        <v>0</v>
      </c>
      <c r="K750" s="4">
        <f>IF(OR(INDEX($AH$2:$AH$1001,MATCH(ROWS($AG$2:AG750),$AG$2:$AG$1001,0),1)&gt;=100000,INDEX($AN$1005:$BO$1005,1,MATCH(COLUMNS($AN$1006:AW1006),$AN$1006:$BO$1006,0))&gt;=100000), " ",IF(INDEX($AN$2:$BO$1001,MATCH(ROWS($AG$2:AG750),$AG$2:$AG$1001,0),MATCH(COLUMNS($AN$1006:AW1006),$AN$1006:$BO$1006,0)), HYPERLINK("#",""), HYPERLINK(CONCATENATE("#Metadata!", ADDRESS(INDEX($AI$2:$AI$1001,MATCH(ROWS($AG$2:AG750),$AG$2:$AG$1001,0),0), INDEX($AN$1004:$BO$1004,1,MATCH(COLUMNS($AN$1006:AW1006),$AN$1006:$BO$1006,0)))),"Fix")))</f>
        <v>0</v>
      </c>
      <c r="L750" s="4">
        <f>IF(OR(INDEX($AH$2:$AH$1001,MATCH(ROWS($AG$2:AG750),$AG$2:$AG$1001,0),1)&gt;=100000,INDEX($AN$1005:$BO$1005,1,MATCH(COLUMNS($AN$1006:AX1006),$AN$1006:$BO$1006,0))&gt;=100000), " ",IF(INDEX($AN$2:$BO$1001,MATCH(ROWS($AG$2:AG750),$AG$2:$AG$1001,0),MATCH(COLUMNS($AN$1006:AX1006),$AN$1006:$BO$1006,0)), HYPERLINK("#",""), HYPERLINK(CONCATENATE("#Metadata!", ADDRESS(INDEX($AI$2:$AI$1001,MATCH(ROWS($AG$2:AG750),$AG$2:$AG$1001,0),0), INDEX($AN$1004:$BO$1004,1,MATCH(COLUMNS($AN$1006:AX1006),$AN$1006:$BO$1006,0)))),"Fix")))</f>
        <v>0</v>
      </c>
      <c r="M750" s="4">
        <f>IF(OR(INDEX($AH$2:$AH$1001,MATCH(ROWS($AG$2:AG750),$AG$2:$AG$1001,0),1)&gt;=100000,INDEX($AN$1005:$BO$1005,1,MATCH(COLUMNS($AN$1006:AY1006),$AN$1006:$BO$1006,0))&gt;=100000), " ",IF(INDEX($AN$2:$BO$1001,MATCH(ROWS($AG$2:AG750),$AG$2:$AG$1001,0),MATCH(COLUMNS($AN$1006:AY1006),$AN$1006:$BO$1006,0)), HYPERLINK("#",""), HYPERLINK(CONCATENATE("#Metadata!", ADDRESS(INDEX($AI$2:$AI$1001,MATCH(ROWS($AG$2:AG750),$AG$2:$AG$1001,0),0), INDEX($AN$1004:$BO$1004,1,MATCH(COLUMNS($AN$1006:AY1006),$AN$1006:$BO$1006,0)))),"Fix")))</f>
        <v>0</v>
      </c>
      <c r="N750" s="4">
        <f>IF(OR(INDEX($AH$2:$AH$1001,MATCH(ROWS($AG$2:AG750),$AG$2:$AG$1001,0),1)&gt;=100000,INDEX($AN$1005:$BO$1005,1,MATCH(COLUMNS($AN$1006:AZ1006),$AN$1006:$BO$1006,0))&gt;=100000), " ",IF(INDEX($AN$2:$BO$1001,MATCH(ROWS($AG$2:AG750),$AG$2:$AG$1001,0),MATCH(COLUMNS($AN$1006:AZ1006),$AN$1006:$BO$1006,0)), HYPERLINK("#",""), HYPERLINK(CONCATENATE("#Metadata!", ADDRESS(INDEX($AI$2:$AI$1001,MATCH(ROWS($AG$2:AG750),$AG$2:$AG$1001,0),0), INDEX($AN$1004:$BO$1004,1,MATCH(COLUMNS($AN$1006:AZ1006),$AN$1006:$BO$1006,0)))),"Fix")))</f>
        <v>0</v>
      </c>
      <c r="O750" s="4">
        <f>IF(OR(INDEX($AH$2:$AH$1001,MATCH(ROWS($AG$2:AG750),$AG$2:$AG$1001,0),1)&gt;=100000,INDEX($AN$1005:$BO$1005,1,MATCH(COLUMNS($AN$1006:BA1006),$AN$1006:$BO$1006,0))&gt;=100000), " ",IF(INDEX($AN$2:$BO$1001,MATCH(ROWS($AG$2:AG750),$AG$2:$AG$1001,0),MATCH(COLUMNS($AN$1006:BA1006),$AN$1006:$BO$1006,0)), HYPERLINK("#",""), HYPERLINK(CONCATENATE("#Metadata!", ADDRESS(INDEX($AI$2:$AI$1001,MATCH(ROWS($AG$2:AG750),$AG$2:$AG$1001,0),0), INDEX($AN$1004:$BO$1004,1,MATCH(COLUMNS($AN$1006:BA1006),$AN$1006:$BO$1006,0)))),"Fix")))</f>
        <v>0</v>
      </c>
      <c r="P750" s="4">
        <f>IF(OR(INDEX($AH$2:$AH$1001,MATCH(ROWS($AG$2:AG750),$AG$2:$AG$1001,0),1)&gt;=100000,INDEX($AN$1005:$BO$1005,1,MATCH(COLUMNS($AN$1006:BB1006),$AN$1006:$BO$1006,0))&gt;=100000), " ",IF(INDEX($AN$2:$BO$1001,MATCH(ROWS($AG$2:AG750),$AG$2:$AG$1001,0),MATCH(COLUMNS($AN$1006:BB1006),$AN$1006:$BO$1006,0)), HYPERLINK("#",""), HYPERLINK(CONCATENATE("#Metadata!", ADDRESS(INDEX($AI$2:$AI$1001,MATCH(ROWS($AG$2:AG750),$AG$2:$AG$1001,0),0), INDEX($AN$1004:$BO$1004,1,MATCH(COLUMNS($AN$1006:BB1006),$AN$1006:$BO$1006,0)))),"Fix")))</f>
        <v>0</v>
      </c>
      <c r="Q750" s="4">
        <f>IF(OR(INDEX($AH$2:$AH$1001,MATCH(ROWS($AG$2:AG750),$AG$2:$AG$1001,0),1)&gt;=100000,INDEX($AN$1005:$BO$1005,1,MATCH(COLUMNS($AN$1006:BC1006),$AN$1006:$BO$1006,0))&gt;=100000), " ",IF(INDEX($AN$2:$BO$1001,MATCH(ROWS($AG$2:AG750),$AG$2:$AG$1001,0),MATCH(COLUMNS($AN$1006:BC1006),$AN$1006:$BO$1006,0)), HYPERLINK("#",""), HYPERLINK(CONCATENATE("#Metadata!", ADDRESS(INDEX($AI$2:$AI$1001,MATCH(ROWS($AG$2:AG750),$AG$2:$AG$1001,0),0), INDEX($AN$1004:$BO$1004,1,MATCH(COLUMNS($AN$1006:BC1006),$AN$1006:$BO$1006,0)))),"Fix")))</f>
        <v>0</v>
      </c>
      <c r="R750" s="4">
        <f>IF(OR(INDEX($AH$2:$AH$1001,MATCH(ROWS($AG$2:AG750),$AG$2:$AG$1001,0),1)&gt;=100000,INDEX($AN$1005:$BO$1005,1,MATCH(COLUMNS($AN$1006:BD1006),$AN$1006:$BO$1006,0))&gt;=100000), " ",IF(INDEX($AN$2:$BO$1001,MATCH(ROWS($AG$2:AG750),$AG$2:$AG$1001,0),MATCH(COLUMNS($AN$1006:BD1006),$AN$1006:$BO$1006,0)), HYPERLINK("#",""), HYPERLINK(CONCATENATE("#Metadata!", ADDRESS(INDEX($AI$2:$AI$1001,MATCH(ROWS($AG$2:AG750),$AG$2:$AG$1001,0),0), INDEX($AN$1004:$BO$1004,1,MATCH(COLUMNS($AN$1006:BD1006),$AN$1006:$BO$1006,0)))),"Fix")))</f>
        <v>0</v>
      </c>
      <c r="S750" s="4">
        <f>IF(OR(INDEX($AH$2:$AH$1001,MATCH(ROWS($AG$2:AG750),$AG$2:$AG$1001,0),1)&gt;=100000,INDEX($AN$1005:$BO$1005,1,MATCH(COLUMNS($AN$1006:BE1006),$AN$1006:$BO$1006,0))&gt;=100000), " ",IF(INDEX($AN$2:$BO$1001,MATCH(ROWS($AG$2:AG750),$AG$2:$AG$1001,0),MATCH(COLUMNS($AN$1006:BE1006),$AN$1006:$BO$1006,0)), HYPERLINK("#",""), HYPERLINK(CONCATENATE("#Metadata!", ADDRESS(INDEX($AI$2:$AI$1001,MATCH(ROWS($AG$2:AG750),$AG$2:$AG$1001,0),0), INDEX($AN$1004:$BO$1004,1,MATCH(COLUMNS($AN$1006:BE1006),$AN$1006:$BO$1006,0)))),"Fix")))</f>
        <v>0</v>
      </c>
      <c r="T750" s="4">
        <f>IF(OR(INDEX($AH$2:$AH$1001,MATCH(ROWS($AG$2:AG750),$AG$2:$AG$1001,0),1)&gt;=100000,INDEX($AN$1005:$BO$1005,1,MATCH(COLUMNS($AN$1006:BF1006),$AN$1006:$BO$1006,0))&gt;=100000), " ",IF(INDEX($AN$2:$BO$1001,MATCH(ROWS($AG$2:AG750),$AG$2:$AG$1001,0),MATCH(COLUMNS($AN$1006:BF1006),$AN$1006:$BO$1006,0)), HYPERLINK("#",""), HYPERLINK(CONCATENATE("#Metadata!", ADDRESS(INDEX($AI$2:$AI$1001,MATCH(ROWS($AG$2:AG750),$AG$2:$AG$1001,0),0), INDEX($AN$1004:$BO$1004,1,MATCH(COLUMNS($AN$1006:BF1006),$AN$1006:$BO$1006,0)))),"Fix")))</f>
        <v>0</v>
      </c>
      <c r="U750" s="4">
        <f>IF(OR(INDEX($AH$2:$AH$1001,MATCH(ROWS($AG$2:AG750),$AG$2:$AG$1001,0),1)&gt;=100000,INDEX($AN$1005:$BO$1005,1,MATCH(COLUMNS($AN$1006:BG1006),$AN$1006:$BO$1006,0))&gt;=100000), " ",IF(INDEX($AN$2:$BO$1001,MATCH(ROWS($AG$2:AG750),$AG$2:$AG$1001,0),MATCH(COLUMNS($AN$1006:BG1006),$AN$1006:$BO$1006,0)), HYPERLINK("#",""), HYPERLINK(CONCATENATE("#Metadata!", ADDRESS(INDEX($AI$2:$AI$1001,MATCH(ROWS($AG$2:AG750),$AG$2:$AG$1001,0),0), INDEX($AN$1004:$BO$1004,1,MATCH(COLUMNS($AN$1006:BG1006),$AN$1006:$BO$1006,0)))),"Fix")))</f>
        <v>0</v>
      </c>
      <c r="V750" s="4">
        <f>IF(OR(INDEX($AH$2:$AH$1001,MATCH(ROWS($AG$2:AG750),$AG$2:$AG$1001,0),1)&gt;=100000,INDEX($AN$1005:$BO$1005,1,MATCH(COLUMNS($AN$1006:BH1006),$AN$1006:$BO$1006,0))&gt;=100000), " ",IF(INDEX($AN$2:$BO$1001,MATCH(ROWS($AG$2:AG750),$AG$2:$AG$1001,0),MATCH(COLUMNS($AN$1006:BH1006),$AN$1006:$BO$1006,0)), HYPERLINK("#",""), HYPERLINK(CONCATENATE("#Metadata!", ADDRESS(INDEX($AI$2:$AI$1001,MATCH(ROWS($AG$2:AG750),$AG$2:$AG$1001,0),0), INDEX($AN$1004:$BO$1004,1,MATCH(COLUMNS($AN$1006:BH1006),$AN$1006:$BO$1006,0)))),"Fix")))</f>
        <v>0</v>
      </c>
      <c r="W750" s="4">
        <f>IF(OR(INDEX($AH$2:$AH$1001,MATCH(ROWS($AG$2:AG750),$AG$2:$AG$1001,0),1)&gt;=100000,INDEX($AN$1005:$BO$1005,1,MATCH(COLUMNS($AN$1006:BI1006),$AN$1006:$BO$1006,0))&gt;=100000), " ",IF(INDEX($AN$2:$BO$1001,MATCH(ROWS($AG$2:AG750),$AG$2:$AG$1001,0),MATCH(COLUMNS($AN$1006:BI1006),$AN$1006:$BO$1006,0)), HYPERLINK("#",""), HYPERLINK(CONCATENATE("#Metadata!", ADDRESS(INDEX($AI$2:$AI$1001,MATCH(ROWS($AG$2:AG750),$AG$2:$AG$1001,0),0), INDEX($AN$1004:$BO$1004,1,MATCH(COLUMNS($AN$1006:BI1006),$AN$1006:$BO$1006,0)))),"Fix")))</f>
        <v>0</v>
      </c>
      <c r="X750" s="4">
        <f>IF(OR(INDEX($AH$2:$AH$1001,MATCH(ROWS($AG$2:AG750),$AG$2:$AG$1001,0),1)&gt;=100000,INDEX($AN$1005:$BO$1005,1,MATCH(COLUMNS($AN$1006:BJ1006),$AN$1006:$BO$1006,0))&gt;=100000), " ",IF(INDEX($AN$2:$BO$1001,MATCH(ROWS($AG$2:AG750),$AG$2:$AG$1001,0),MATCH(COLUMNS($AN$1006:BJ1006),$AN$1006:$BO$1006,0)), HYPERLINK("#",""), HYPERLINK(CONCATENATE("#Metadata!", ADDRESS(INDEX($AI$2:$AI$1001,MATCH(ROWS($AG$2:AG750),$AG$2:$AG$1001,0),0), INDEX($AN$1004:$BO$1004,1,MATCH(COLUMNS($AN$1006:BJ1006),$AN$1006:$BO$1006,0)))),"Fix")))</f>
        <v>0</v>
      </c>
      <c r="Y750" s="4">
        <f>IF(OR(INDEX($AH$2:$AH$1001,MATCH(ROWS($AG$2:AG750),$AG$2:$AG$1001,0),1)&gt;=100000,INDEX($AN$1005:$BO$1005,1,MATCH(COLUMNS($AN$1006:BK1006),$AN$1006:$BO$1006,0))&gt;=100000), " ",IF(INDEX($AN$2:$BO$1001,MATCH(ROWS($AG$2:AG750),$AG$2:$AG$1001,0),MATCH(COLUMNS($AN$1006:BK1006),$AN$1006:$BO$1006,0)), HYPERLINK("#",""), HYPERLINK(CONCATENATE("#Metadata!", ADDRESS(INDEX($AI$2:$AI$1001,MATCH(ROWS($AG$2:AG750),$AG$2:$AG$1001,0),0), INDEX($AN$1004:$BO$1004,1,MATCH(COLUMNS($AN$1006:BK1006),$AN$1006:$BO$1006,0)))),"Fix")))</f>
        <v>0</v>
      </c>
      <c r="Z750" s="4">
        <f>IF(OR(INDEX($AH$2:$AH$1001,MATCH(ROWS($AG$2:AG750),$AG$2:$AG$1001,0),1)&gt;=100000,INDEX($AN$1005:$BO$1005,1,MATCH(COLUMNS($AN$1006:BL1006),$AN$1006:$BO$1006,0))&gt;=100000), " ",IF(INDEX($AN$2:$BO$1001,MATCH(ROWS($AG$2:AG750),$AG$2:$AG$1001,0),MATCH(COLUMNS($AN$1006:BL1006),$AN$1006:$BO$1006,0)), HYPERLINK("#",""), HYPERLINK(CONCATENATE("#Metadata!", ADDRESS(INDEX($AI$2:$AI$1001,MATCH(ROWS($AG$2:AG750),$AG$2:$AG$1001,0),0), INDEX($AN$1004:$BO$1004,1,MATCH(COLUMNS($AN$1006:BL1006),$AN$1006:$BO$1006,0)))),"Fix")))</f>
        <v>0</v>
      </c>
      <c r="AA750" s="4">
        <f>IF(OR(INDEX($AH$2:$AH$1001,MATCH(ROWS($AG$2:AG750),$AG$2:$AG$1001,0),1)&gt;=100000,INDEX($AN$1005:$BO$1005,1,MATCH(COLUMNS($AN$1006:BM1006),$AN$1006:$BO$1006,0))&gt;=100000), " ",IF(INDEX($AN$2:$BO$1001,MATCH(ROWS($AG$2:AG750),$AG$2:$AG$1001,0),MATCH(COLUMNS($AN$1006:BM1006),$AN$1006:$BO$1006,0)), HYPERLINK("#",""), HYPERLINK(CONCATENATE("#Metadata!", ADDRESS(INDEX($AI$2:$AI$1001,MATCH(ROWS($AG$2:AG750),$AG$2:$AG$1001,0),0), INDEX($AN$1004:$BO$1004,1,MATCH(COLUMNS($AN$1006:BM1006),$AN$1006:$BO$1006,0)))),"Fix")))</f>
        <v>0</v>
      </c>
      <c r="AB750" s="4">
        <f>IF(OR(INDEX($AH$2:$AH$1001,MATCH(ROWS($AG$2:AG750),$AG$2:$AG$1001,0),1)&gt;=100000,INDEX($AN$1005:$BO$1005,1,MATCH(COLUMNS($AN$1006:BN1006),$AN$1006:$BO$1006,0))&gt;=100000), " ",IF(INDEX($AN$2:$BO$1001,MATCH(ROWS($AG$2:AG750),$AG$2:$AG$1001,0),MATCH(COLUMNS($AN$1006:BN1006),$AN$1006:$BO$1006,0)), HYPERLINK("#",""), HYPERLINK(CONCATENATE("#Metadata!", ADDRESS(INDEX($AI$2:$AI$1001,MATCH(ROWS($AG$2:AG750),$AG$2:$AG$1001,0),0), INDEX($AN$1004:$BO$1004,1,MATCH(COLUMNS($AN$1006:BN1006),$AN$1006:$BO$1006,0)))),"Fix")))</f>
        <v>0</v>
      </c>
      <c r="AC750" s="4">
        <f>IF(OR(INDEX($AH$2:$AH$1001,MATCH(ROWS($AG$2:AG750),$AG$2:$AG$1001,0),1)&gt;=100000,INDEX($AN$1005:$BO$1005,1,MATCH(COLUMNS($AN$1006:BO1006),$AN$1006:$BO$1006,0))&gt;=100000), " ",IF(INDEX($AN$2:$BO$1001,MATCH(ROWS($AG$2:AG750),$AG$2:$AG$1001,0),MATCH(COLUMNS($AN$1006:BO1006),$AN$1006:$BO$1006,0)), HYPERLINK("#",""), HYPERLINK(CONCATENATE("#Metadata!", ADDRESS(INDEX($AI$2:$AI$1001,MATCH(ROWS($AG$2:AG750),$AG$2:$AG$1001,0),0), INDEX($AN$1004:$BO$1004,1,MATCH(COLUMNS($AN$1006:BO1006),$AN$1006:$BO$1006,0)))),"Fix")))</f>
        <v>0</v>
      </c>
      <c r="AG750">
        <v>0</v>
      </c>
      <c r="AH750">
        <v>0</v>
      </c>
      <c r="AI750">
        <v>0</v>
      </c>
      <c r="AJ750">
        <f>IF(AK750,TRUE,AND(AN750:BO750))</f>
        <v>0</v>
      </c>
      <c r="AK750">
        <f>COUNTBLANK(Metadata!B750:AC750)=COLUMNS(Metadata!B750:AC750)</f>
        <v>0</v>
      </c>
      <c r="AL750">
        <v>0</v>
      </c>
      <c r="AN750">
        <f>AND(IF(Metadata!B750="",FALSE,TRUE),COUNTIF(Metadata!B:B, Metadata!B750) = 1,NOT(ISERROR(SUMPRODUCT(SEARCH(MID(Metadata!B750,ROW(INDIRECT("1:"&amp;LEN(Metadata!B750))), 1),"0123456789abcdefghijklmnopqrstuvwxyzABCDEFGHIJKLMNOPQRSTUVWXYZ.")))))</f>
        <v>0</v>
      </c>
      <c r="AO750">
        <f>IF(Metadata!C750="",FALSE,TRUE)</f>
        <v>0</v>
      </c>
      <c r="AP750">
        <f>IF(Metadata!D750="",FALSE,TRUE)</f>
        <v>0</v>
      </c>
      <c r="AQ750">
        <f>OR(AND(IF(Metadata!E750="",FALSE,TRUE),OR(exact(Metadata!E750,"not collected"),exact(Metadata!E750,"not provided"),exact(Metadata!E750,"restricted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R750">
        <f>IF(Metadata!F750="",FALSE,TRUE)</f>
        <v>0</v>
      </c>
      <c r="AS750">
        <f>OR(AND(IF(Metadata!G750="",FALSE,TRUE),OR(exact(Metadata!G750,"not collected"),exact(Metadata!G750,"not provided"))),AND(IF(Metadata!G750="",FALSE,TRUE),OR(exact(Metadata!G750,"TRUE"),exact(Metadata!G750,"FALSE"))))</f>
        <v>0</v>
      </c>
      <c r="AT750">
        <f>OR(AND(IF(Metadata!H750="",FALSE,TRUE),OR(exact(Metadata!H750,"not collected"),exact(Metadata!H750,"not provided"),exact(Metadata!H750,"restricted access"))),AND(IF(Metadata!H750="",FALSE,ISNUMBER(VALUE(Metadata!H750))),Metadata!H750&gt;=-413.0))</f>
        <v>0</v>
      </c>
      <c r="AU750">
        <f>AND(IF(Metadata!I750="",FALSE,TRUE),exact(Metadata!I750,"meters"))</f>
        <v>0</v>
      </c>
      <c r="AV750">
        <f>AND(IF(Metadata!J750="",FALSE,TRUE),OR(exact(Metadata!J750,"Host-associated"),exact(Metadata!J750,"Free-living")))</f>
        <v>0</v>
      </c>
      <c r="AW750">
        <f>AND(IF(Metadata!K750="",FALSE,TRUE),OR(exact(Metadata!K750,"Animal"),exact(Metadata!K750,"Fungus"),exact(Metadata!K750,"Plant"),exact(Metadata!K750,"Saline"),exact(Metadata!K750,"Non-saline")))</f>
        <v>0</v>
      </c>
      <c r="AX750">
        <f>AND(IF(Metadata!L750="",FALSE,TRUE),OR(exact(Metadata!L750,"Plant secretion"),exact(Metadata!L750,"Plant rhizosphere"),exact(Metadata!L750,"Plant surface"),exact(Metadata!L750,"Plant corpus"),exact(Metadata!L750,"Fungus surface"),exact(Metadata!L750,"Fungus corpus"),exact(Metadata!L750,"Animal surface"),exact(Metadata!L750,"Animal proximal gut"),exact(Metadata!L750,"Animal corpus"),exact(Metadata!L750,"Animal distal gut"),exact(Metadata!L750,"Animal secretion"),exact(Metadata!L750,"Sub-surface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Y750">
        <f>IF(Metadata!M750="",FALSE,TRUE)</f>
        <v>0</v>
      </c>
      <c r="AZ750">
        <f>IF(Metadata!N750="",FALSE,TRUE)</f>
        <v>0</v>
      </c>
      <c r="BA750">
        <f>IF(Metadata!O750="",FALSE,TRUE)</f>
        <v>0</v>
      </c>
      <c r="BB750">
        <f>OR(AND(IF(Metadata!P750="",FALSE,TRUE),OR(exact(Metadata!P750,"not collected"),exact(Metadata!P750,"not provided"),exact(Metadata!P750,"restricted access"))),AND(IF(Metadata!P750="",FALSE,TRUE),OR(exact(Metadata!P750,"air"),exact(Metadata!P750,"built environment"),exact(Metadata!P750,"host-associated"),exact(Metadata!P750,"human-associated"),exact(Metadata!P750,"human-skin"),exact(Metadata!P750,"human-oral"),exact(Metadata!P750,"human-gut"),exact(Metadata!P750,"human-vaginal"),exact(Metadata!P750,"microbial mat/biofilm"),exact(Metadata!P750,"misc environment"),exact(Metadata!P750,"plant-associated"),exact(Metadata!P750,"sediment"),exact(Metadata!P750,"soil"),exact(Metadata!P750,"wastewater/sludge"),exact(Metadata!P750,"water"))))</f>
        <v>0</v>
      </c>
      <c r="BC750">
        <f>IF(Metadata!Q750="",FALSE,TRUE)</f>
        <v>0</v>
      </c>
      <c r="BD750">
        <f>IF(Metadata!R750="",FALSE,TRUE)</f>
        <v>0</v>
      </c>
      <c r="BE750">
        <f>OR(AND(IF(Metadata!S750="",FALSE,TRUE),OR(exact(Metadata!S750,"not collected"),exact(Metadata!S750,"not provided"),exact(Metadata!S750,"restricted access"))),AND(IF(Metadata!S750="",FALSE,ISNUMBER(VALUE(Metadata!S750))),Metadata!S750&gt;=-90.00,Metadata!S750&lt;=90.00))</f>
        <v>0</v>
      </c>
      <c r="BF750">
        <f>AND(IF(Metadata!T750="",FALSE,TRUE),exact(Metadata!T750,"Decimal degrees"))</f>
        <v>0</v>
      </c>
      <c r="BG750">
        <f>OR(AND(IF(Metadata!U750="",FALSE,TRUE),OR(exact(Metadata!U750,"not collected"),exact(Metadata!U750,"not provided"),exact(Metadata!U750,"restricted access"))),AND(IF(Metadata!U750="",FALSE,ISNUMBER(VALUE(Metadata!U750))),Metadata!U750&gt;=-180.00,Metadata!U750&lt;=180.00))</f>
        <v>0</v>
      </c>
      <c r="BH750">
        <f>AND(IF(Metadata!V750="",FALSE,TRUE),exact(Metadata!V750,"Decimal degrees"))</f>
        <v>0</v>
      </c>
      <c r="BI750">
        <f>IF(Metadata!W750="",FALSE,TRUE)</f>
        <v>0</v>
      </c>
      <c r="BJ750">
        <f>OR(AND(IF(Metadata!X750="",FALSE,TRUE),OR(exact(Metadata!X750,"not collected"),exact(Metadata!X750,"not provided"),exact(Metadata!X750,"restricted access"))),AND(IF(Metadata!X750="",FALSE,TRUE),OR(exact(Metadata!X750,"TRUE"),exact(Metadata!X750,"FALSE"))))</f>
        <v>0</v>
      </c>
      <c r="BK750">
        <f>AND(IF(Metadata!Y750="",FALSE,TRUE),exact(Metadata!Y750,"other"))</f>
        <v>0</v>
      </c>
      <c r="BL750">
        <f>IF(Metadata!Z750="",FALSE,TRUE)</f>
        <v>0</v>
      </c>
      <c r="BM750">
        <f>OR(AND(IF(Metadata!AA750="",FALSE,TRUE),OR(exact(Metadata!AA750,"not collected"),exact(Metadata!AA750,"not provided"))),AND(IF(Metadata!AA750="",FALSE,IF(ISERROR(INT(Metadata!AA750)),FALSE,INT(Metadata!AA750)=Metadata!AA750)),Metadata!AA750&gt;0))</f>
        <v>0</v>
      </c>
      <c r="BN750">
        <f>AND(IF(Metadata!AB750="",FALSE,TRUE),exact(Metadata!AB750,"Not applicable"))</f>
        <v>0</v>
      </c>
      <c r="BO750">
        <f>IF(Metadata!AC750="",FALSE,TRUE)</f>
        <v>0</v>
      </c>
    </row>
    <row r="751" spans="1:67">
      <c r="A751" s="5">
        <f>IF(B751=" "," ",HYPERLINK(CONCATENATE("#metadata!",ADDRESS(INDEX($AI$2:$AI$1001,MATCH(ROWS($AG$2:AG751),$AG$2:$AG$1001,0),0),1)),INDEX($AL$2:$AL$1001,MATCH(ROWS($AG$2:AG751),$AG$2:$AG$1001,0),0)))</f>
        <v>0</v>
      </c>
      <c r="B751" s="4">
        <f>IF(OR(INDEX($AH$2:$AH$1001,MATCH(ROWS($AG$2:AG751),$AG$2:$AG$1001,0),1)&gt;=100000,INDEX($AN$1005:$BO$1005,1,MATCH(COLUMNS($AN$1006:AN1006),$AN$1006:$BO$1006,0))&gt;=100000), " ",IF(INDEX($AN$2:$BO$1001,MATCH(ROWS($AG$2:AG751),$AG$2:$AG$1001,0),MATCH(COLUMNS($AN$1006:AN1006),$AN$1006:$BO$1006,0)), HYPERLINK("#",""), HYPERLINK(CONCATENATE("#Metadata!", ADDRESS(INDEX($AI$2:$AI$1001,MATCH(ROWS($AG$2:AG751),$AG$2:$AG$1001,0),0), INDEX($AN$1004:$BO$1004,1,MATCH(COLUMNS($AN$1006:AN1006),$AN$1006:$BO$1006,0)))),"Fix")))</f>
        <v>0</v>
      </c>
      <c r="C751" s="4">
        <f>IF(OR(INDEX($AH$2:$AH$1001,MATCH(ROWS($AG$2:AG751),$AG$2:$AG$1001,0),1)&gt;=100000,INDEX($AN$1005:$BO$1005,1,MATCH(COLUMNS($AN$1006:AO1006),$AN$1006:$BO$1006,0))&gt;=100000), " ",IF(INDEX($AN$2:$BO$1001,MATCH(ROWS($AG$2:AG751),$AG$2:$AG$1001,0),MATCH(COLUMNS($AN$1006:AO1006),$AN$1006:$BO$1006,0)), HYPERLINK("#",""), HYPERLINK(CONCATENATE("#Metadata!", ADDRESS(INDEX($AI$2:$AI$1001,MATCH(ROWS($AG$2:AG751),$AG$2:$AG$1001,0),0), INDEX($AN$1004:$BO$1004,1,MATCH(COLUMNS($AN$1006:AO1006),$AN$1006:$BO$1006,0)))),"Fix")))</f>
        <v>0</v>
      </c>
      <c r="D751" s="4">
        <f>IF(OR(INDEX($AH$2:$AH$1001,MATCH(ROWS($AG$2:AG751),$AG$2:$AG$1001,0),1)&gt;=100000,INDEX($AN$1005:$BO$1005,1,MATCH(COLUMNS($AN$1006:AP1006),$AN$1006:$BO$1006,0))&gt;=100000), " ",IF(INDEX($AN$2:$BO$1001,MATCH(ROWS($AG$2:AG751),$AG$2:$AG$1001,0),MATCH(COLUMNS($AN$1006:AP1006),$AN$1006:$BO$1006,0)), HYPERLINK("#",""), HYPERLINK(CONCATENATE("#Metadata!", ADDRESS(INDEX($AI$2:$AI$1001,MATCH(ROWS($AG$2:AG751),$AG$2:$AG$1001,0),0), INDEX($AN$1004:$BO$1004,1,MATCH(COLUMNS($AN$1006:AP1006),$AN$1006:$BO$1006,0)))),"Fix")))</f>
        <v>0</v>
      </c>
      <c r="E751" s="4">
        <f>IF(OR(INDEX($AH$2:$AH$1001,MATCH(ROWS($AG$2:AG751),$AG$2:$AG$1001,0),1)&gt;=100000,INDEX($AN$1005:$BO$1005,1,MATCH(COLUMNS($AN$1006:AQ1006),$AN$1006:$BO$1006,0))&gt;=100000), " ",IF(INDEX($AN$2:$BO$1001,MATCH(ROWS($AG$2:AG751),$AG$2:$AG$1001,0),MATCH(COLUMNS($AN$1006:AQ1006),$AN$1006:$BO$1006,0)), HYPERLINK("#",""), HYPERLINK(CONCATENATE("#Metadata!", ADDRESS(INDEX($AI$2:$AI$1001,MATCH(ROWS($AG$2:AG751),$AG$2:$AG$1001,0),0), INDEX($AN$1004:$BO$1004,1,MATCH(COLUMNS($AN$1006:AQ1006),$AN$1006:$BO$1006,0)))),"Fix")))</f>
        <v>0</v>
      </c>
      <c r="F751" s="4">
        <f>IF(OR(INDEX($AH$2:$AH$1001,MATCH(ROWS($AG$2:AG751),$AG$2:$AG$1001,0),1)&gt;=100000,INDEX($AN$1005:$BO$1005,1,MATCH(COLUMNS($AN$1006:AR1006),$AN$1006:$BO$1006,0))&gt;=100000), " ",IF(INDEX($AN$2:$BO$1001,MATCH(ROWS($AG$2:AG751),$AG$2:$AG$1001,0),MATCH(COLUMNS($AN$1006:AR1006),$AN$1006:$BO$1006,0)), HYPERLINK("#",""), HYPERLINK(CONCATENATE("#Metadata!", ADDRESS(INDEX($AI$2:$AI$1001,MATCH(ROWS($AG$2:AG751),$AG$2:$AG$1001,0),0), INDEX($AN$1004:$BO$1004,1,MATCH(COLUMNS($AN$1006:AR1006),$AN$1006:$BO$1006,0)))),"Fix")))</f>
        <v>0</v>
      </c>
      <c r="G751" s="4">
        <f>IF(OR(INDEX($AH$2:$AH$1001,MATCH(ROWS($AG$2:AG751),$AG$2:$AG$1001,0),1)&gt;=100000,INDEX($AN$1005:$BO$1005,1,MATCH(COLUMNS($AN$1006:AS1006),$AN$1006:$BO$1006,0))&gt;=100000), " ",IF(INDEX($AN$2:$BO$1001,MATCH(ROWS($AG$2:AG751),$AG$2:$AG$1001,0),MATCH(COLUMNS($AN$1006:AS1006),$AN$1006:$BO$1006,0)), HYPERLINK("#",""), HYPERLINK(CONCATENATE("#Metadata!", ADDRESS(INDEX($AI$2:$AI$1001,MATCH(ROWS($AG$2:AG751),$AG$2:$AG$1001,0),0), INDEX($AN$1004:$BO$1004,1,MATCH(COLUMNS($AN$1006:AS1006),$AN$1006:$BO$1006,0)))),"Fix")))</f>
        <v>0</v>
      </c>
      <c r="H751" s="4">
        <f>IF(OR(INDEX($AH$2:$AH$1001,MATCH(ROWS($AG$2:AG751),$AG$2:$AG$1001,0),1)&gt;=100000,INDEX($AN$1005:$BO$1005,1,MATCH(COLUMNS($AN$1006:AT1006),$AN$1006:$BO$1006,0))&gt;=100000), " ",IF(INDEX($AN$2:$BO$1001,MATCH(ROWS($AG$2:AG751),$AG$2:$AG$1001,0),MATCH(COLUMNS($AN$1006:AT1006),$AN$1006:$BO$1006,0)), HYPERLINK("#",""), HYPERLINK(CONCATENATE("#Metadata!", ADDRESS(INDEX($AI$2:$AI$1001,MATCH(ROWS($AG$2:AG751),$AG$2:$AG$1001,0),0), INDEX($AN$1004:$BO$1004,1,MATCH(COLUMNS($AN$1006:AT1006),$AN$1006:$BO$1006,0)))),"Fix")))</f>
        <v>0</v>
      </c>
      <c r="I751" s="4">
        <f>IF(OR(INDEX($AH$2:$AH$1001,MATCH(ROWS($AG$2:AG751),$AG$2:$AG$1001,0),1)&gt;=100000,INDEX($AN$1005:$BO$1005,1,MATCH(COLUMNS($AN$1006:AU1006),$AN$1006:$BO$1006,0))&gt;=100000), " ",IF(INDEX($AN$2:$BO$1001,MATCH(ROWS($AG$2:AG751),$AG$2:$AG$1001,0),MATCH(COLUMNS($AN$1006:AU1006),$AN$1006:$BO$1006,0)), HYPERLINK("#",""), HYPERLINK(CONCATENATE("#Metadata!", ADDRESS(INDEX($AI$2:$AI$1001,MATCH(ROWS($AG$2:AG751),$AG$2:$AG$1001,0),0), INDEX($AN$1004:$BO$1004,1,MATCH(COLUMNS($AN$1006:AU1006),$AN$1006:$BO$1006,0)))),"Fix")))</f>
        <v>0</v>
      </c>
      <c r="J751" s="4">
        <f>IF(OR(INDEX($AH$2:$AH$1001,MATCH(ROWS($AG$2:AG751),$AG$2:$AG$1001,0),1)&gt;=100000,INDEX($AN$1005:$BO$1005,1,MATCH(COLUMNS($AN$1006:AV1006),$AN$1006:$BO$1006,0))&gt;=100000), " ",IF(INDEX($AN$2:$BO$1001,MATCH(ROWS($AG$2:AG751),$AG$2:$AG$1001,0),MATCH(COLUMNS($AN$1006:AV1006),$AN$1006:$BO$1006,0)), HYPERLINK("#",""), HYPERLINK(CONCATENATE("#Metadata!", ADDRESS(INDEX($AI$2:$AI$1001,MATCH(ROWS($AG$2:AG751),$AG$2:$AG$1001,0),0), INDEX($AN$1004:$BO$1004,1,MATCH(COLUMNS($AN$1006:AV1006),$AN$1006:$BO$1006,0)))),"Fix")))</f>
        <v>0</v>
      </c>
      <c r="K751" s="4">
        <f>IF(OR(INDEX($AH$2:$AH$1001,MATCH(ROWS($AG$2:AG751),$AG$2:$AG$1001,0),1)&gt;=100000,INDEX($AN$1005:$BO$1005,1,MATCH(COLUMNS($AN$1006:AW1006),$AN$1006:$BO$1006,0))&gt;=100000), " ",IF(INDEX($AN$2:$BO$1001,MATCH(ROWS($AG$2:AG751),$AG$2:$AG$1001,0),MATCH(COLUMNS($AN$1006:AW1006),$AN$1006:$BO$1006,0)), HYPERLINK("#",""), HYPERLINK(CONCATENATE("#Metadata!", ADDRESS(INDEX($AI$2:$AI$1001,MATCH(ROWS($AG$2:AG751),$AG$2:$AG$1001,0),0), INDEX($AN$1004:$BO$1004,1,MATCH(COLUMNS($AN$1006:AW1006),$AN$1006:$BO$1006,0)))),"Fix")))</f>
        <v>0</v>
      </c>
      <c r="L751" s="4">
        <f>IF(OR(INDEX($AH$2:$AH$1001,MATCH(ROWS($AG$2:AG751),$AG$2:$AG$1001,0),1)&gt;=100000,INDEX($AN$1005:$BO$1005,1,MATCH(COLUMNS($AN$1006:AX1006),$AN$1006:$BO$1006,0))&gt;=100000), " ",IF(INDEX($AN$2:$BO$1001,MATCH(ROWS($AG$2:AG751),$AG$2:$AG$1001,0),MATCH(COLUMNS($AN$1006:AX1006),$AN$1006:$BO$1006,0)), HYPERLINK("#",""), HYPERLINK(CONCATENATE("#Metadata!", ADDRESS(INDEX($AI$2:$AI$1001,MATCH(ROWS($AG$2:AG751),$AG$2:$AG$1001,0),0), INDEX($AN$1004:$BO$1004,1,MATCH(COLUMNS($AN$1006:AX1006),$AN$1006:$BO$1006,0)))),"Fix")))</f>
        <v>0</v>
      </c>
      <c r="M751" s="4">
        <f>IF(OR(INDEX($AH$2:$AH$1001,MATCH(ROWS($AG$2:AG751),$AG$2:$AG$1001,0),1)&gt;=100000,INDEX($AN$1005:$BO$1005,1,MATCH(COLUMNS($AN$1006:AY1006),$AN$1006:$BO$1006,0))&gt;=100000), " ",IF(INDEX($AN$2:$BO$1001,MATCH(ROWS($AG$2:AG751),$AG$2:$AG$1001,0),MATCH(COLUMNS($AN$1006:AY1006),$AN$1006:$BO$1006,0)), HYPERLINK("#",""), HYPERLINK(CONCATENATE("#Metadata!", ADDRESS(INDEX($AI$2:$AI$1001,MATCH(ROWS($AG$2:AG751),$AG$2:$AG$1001,0),0), INDEX($AN$1004:$BO$1004,1,MATCH(COLUMNS($AN$1006:AY1006),$AN$1006:$BO$1006,0)))),"Fix")))</f>
        <v>0</v>
      </c>
      <c r="N751" s="4">
        <f>IF(OR(INDEX($AH$2:$AH$1001,MATCH(ROWS($AG$2:AG751),$AG$2:$AG$1001,0),1)&gt;=100000,INDEX($AN$1005:$BO$1005,1,MATCH(COLUMNS($AN$1006:AZ1006),$AN$1006:$BO$1006,0))&gt;=100000), " ",IF(INDEX($AN$2:$BO$1001,MATCH(ROWS($AG$2:AG751),$AG$2:$AG$1001,0),MATCH(COLUMNS($AN$1006:AZ1006),$AN$1006:$BO$1006,0)), HYPERLINK("#",""), HYPERLINK(CONCATENATE("#Metadata!", ADDRESS(INDEX($AI$2:$AI$1001,MATCH(ROWS($AG$2:AG751),$AG$2:$AG$1001,0),0), INDEX($AN$1004:$BO$1004,1,MATCH(COLUMNS($AN$1006:AZ1006),$AN$1006:$BO$1006,0)))),"Fix")))</f>
        <v>0</v>
      </c>
      <c r="O751" s="4">
        <f>IF(OR(INDEX($AH$2:$AH$1001,MATCH(ROWS($AG$2:AG751),$AG$2:$AG$1001,0),1)&gt;=100000,INDEX($AN$1005:$BO$1005,1,MATCH(COLUMNS($AN$1006:BA1006),$AN$1006:$BO$1006,0))&gt;=100000), " ",IF(INDEX($AN$2:$BO$1001,MATCH(ROWS($AG$2:AG751),$AG$2:$AG$1001,0),MATCH(COLUMNS($AN$1006:BA1006),$AN$1006:$BO$1006,0)), HYPERLINK("#",""), HYPERLINK(CONCATENATE("#Metadata!", ADDRESS(INDEX($AI$2:$AI$1001,MATCH(ROWS($AG$2:AG751),$AG$2:$AG$1001,0),0), INDEX($AN$1004:$BO$1004,1,MATCH(COLUMNS($AN$1006:BA1006),$AN$1006:$BO$1006,0)))),"Fix")))</f>
        <v>0</v>
      </c>
      <c r="P751" s="4">
        <f>IF(OR(INDEX($AH$2:$AH$1001,MATCH(ROWS($AG$2:AG751),$AG$2:$AG$1001,0),1)&gt;=100000,INDEX($AN$1005:$BO$1005,1,MATCH(COLUMNS($AN$1006:BB1006),$AN$1006:$BO$1006,0))&gt;=100000), " ",IF(INDEX($AN$2:$BO$1001,MATCH(ROWS($AG$2:AG751),$AG$2:$AG$1001,0),MATCH(COLUMNS($AN$1006:BB1006),$AN$1006:$BO$1006,0)), HYPERLINK("#",""), HYPERLINK(CONCATENATE("#Metadata!", ADDRESS(INDEX($AI$2:$AI$1001,MATCH(ROWS($AG$2:AG751),$AG$2:$AG$1001,0),0), INDEX($AN$1004:$BO$1004,1,MATCH(COLUMNS($AN$1006:BB1006),$AN$1006:$BO$1006,0)))),"Fix")))</f>
        <v>0</v>
      </c>
      <c r="Q751" s="4">
        <f>IF(OR(INDEX($AH$2:$AH$1001,MATCH(ROWS($AG$2:AG751),$AG$2:$AG$1001,0),1)&gt;=100000,INDEX($AN$1005:$BO$1005,1,MATCH(COLUMNS($AN$1006:BC1006),$AN$1006:$BO$1006,0))&gt;=100000), " ",IF(INDEX($AN$2:$BO$1001,MATCH(ROWS($AG$2:AG751),$AG$2:$AG$1001,0),MATCH(COLUMNS($AN$1006:BC1006),$AN$1006:$BO$1006,0)), HYPERLINK("#",""), HYPERLINK(CONCATENATE("#Metadata!", ADDRESS(INDEX($AI$2:$AI$1001,MATCH(ROWS($AG$2:AG751),$AG$2:$AG$1001,0),0), INDEX($AN$1004:$BO$1004,1,MATCH(COLUMNS($AN$1006:BC1006),$AN$1006:$BO$1006,0)))),"Fix")))</f>
        <v>0</v>
      </c>
      <c r="R751" s="4">
        <f>IF(OR(INDEX($AH$2:$AH$1001,MATCH(ROWS($AG$2:AG751),$AG$2:$AG$1001,0),1)&gt;=100000,INDEX($AN$1005:$BO$1005,1,MATCH(COLUMNS($AN$1006:BD1006),$AN$1006:$BO$1006,0))&gt;=100000), " ",IF(INDEX($AN$2:$BO$1001,MATCH(ROWS($AG$2:AG751),$AG$2:$AG$1001,0),MATCH(COLUMNS($AN$1006:BD1006),$AN$1006:$BO$1006,0)), HYPERLINK("#",""), HYPERLINK(CONCATENATE("#Metadata!", ADDRESS(INDEX($AI$2:$AI$1001,MATCH(ROWS($AG$2:AG751),$AG$2:$AG$1001,0),0), INDEX($AN$1004:$BO$1004,1,MATCH(COLUMNS($AN$1006:BD1006),$AN$1006:$BO$1006,0)))),"Fix")))</f>
        <v>0</v>
      </c>
      <c r="S751" s="4">
        <f>IF(OR(INDEX($AH$2:$AH$1001,MATCH(ROWS($AG$2:AG751),$AG$2:$AG$1001,0),1)&gt;=100000,INDEX($AN$1005:$BO$1005,1,MATCH(COLUMNS($AN$1006:BE1006),$AN$1006:$BO$1006,0))&gt;=100000), " ",IF(INDEX($AN$2:$BO$1001,MATCH(ROWS($AG$2:AG751),$AG$2:$AG$1001,0),MATCH(COLUMNS($AN$1006:BE1006),$AN$1006:$BO$1006,0)), HYPERLINK("#",""), HYPERLINK(CONCATENATE("#Metadata!", ADDRESS(INDEX($AI$2:$AI$1001,MATCH(ROWS($AG$2:AG751),$AG$2:$AG$1001,0),0), INDEX($AN$1004:$BO$1004,1,MATCH(COLUMNS($AN$1006:BE1006),$AN$1006:$BO$1006,0)))),"Fix")))</f>
        <v>0</v>
      </c>
      <c r="T751" s="4">
        <f>IF(OR(INDEX($AH$2:$AH$1001,MATCH(ROWS($AG$2:AG751),$AG$2:$AG$1001,0),1)&gt;=100000,INDEX($AN$1005:$BO$1005,1,MATCH(COLUMNS($AN$1006:BF1006),$AN$1006:$BO$1006,0))&gt;=100000), " ",IF(INDEX($AN$2:$BO$1001,MATCH(ROWS($AG$2:AG751),$AG$2:$AG$1001,0),MATCH(COLUMNS($AN$1006:BF1006),$AN$1006:$BO$1006,0)), HYPERLINK("#",""), HYPERLINK(CONCATENATE("#Metadata!", ADDRESS(INDEX($AI$2:$AI$1001,MATCH(ROWS($AG$2:AG751),$AG$2:$AG$1001,0),0), INDEX($AN$1004:$BO$1004,1,MATCH(COLUMNS($AN$1006:BF1006),$AN$1006:$BO$1006,0)))),"Fix")))</f>
        <v>0</v>
      </c>
      <c r="U751" s="4">
        <f>IF(OR(INDEX($AH$2:$AH$1001,MATCH(ROWS($AG$2:AG751),$AG$2:$AG$1001,0),1)&gt;=100000,INDEX($AN$1005:$BO$1005,1,MATCH(COLUMNS($AN$1006:BG1006),$AN$1006:$BO$1006,0))&gt;=100000), " ",IF(INDEX($AN$2:$BO$1001,MATCH(ROWS($AG$2:AG751),$AG$2:$AG$1001,0),MATCH(COLUMNS($AN$1006:BG1006),$AN$1006:$BO$1006,0)), HYPERLINK("#",""), HYPERLINK(CONCATENATE("#Metadata!", ADDRESS(INDEX($AI$2:$AI$1001,MATCH(ROWS($AG$2:AG751),$AG$2:$AG$1001,0),0), INDEX($AN$1004:$BO$1004,1,MATCH(COLUMNS($AN$1006:BG1006),$AN$1006:$BO$1006,0)))),"Fix")))</f>
        <v>0</v>
      </c>
      <c r="V751" s="4">
        <f>IF(OR(INDEX($AH$2:$AH$1001,MATCH(ROWS($AG$2:AG751),$AG$2:$AG$1001,0),1)&gt;=100000,INDEX($AN$1005:$BO$1005,1,MATCH(COLUMNS($AN$1006:BH1006),$AN$1006:$BO$1006,0))&gt;=100000), " ",IF(INDEX($AN$2:$BO$1001,MATCH(ROWS($AG$2:AG751),$AG$2:$AG$1001,0),MATCH(COLUMNS($AN$1006:BH1006),$AN$1006:$BO$1006,0)), HYPERLINK("#",""), HYPERLINK(CONCATENATE("#Metadata!", ADDRESS(INDEX($AI$2:$AI$1001,MATCH(ROWS($AG$2:AG751),$AG$2:$AG$1001,0),0), INDEX($AN$1004:$BO$1004,1,MATCH(COLUMNS($AN$1006:BH1006),$AN$1006:$BO$1006,0)))),"Fix")))</f>
        <v>0</v>
      </c>
      <c r="W751" s="4">
        <f>IF(OR(INDEX($AH$2:$AH$1001,MATCH(ROWS($AG$2:AG751),$AG$2:$AG$1001,0),1)&gt;=100000,INDEX($AN$1005:$BO$1005,1,MATCH(COLUMNS($AN$1006:BI1006),$AN$1006:$BO$1006,0))&gt;=100000), " ",IF(INDEX($AN$2:$BO$1001,MATCH(ROWS($AG$2:AG751),$AG$2:$AG$1001,0),MATCH(COLUMNS($AN$1006:BI1006),$AN$1006:$BO$1006,0)), HYPERLINK("#",""), HYPERLINK(CONCATENATE("#Metadata!", ADDRESS(INDEX($AI$2:$AI$1001,MATCH(ROWS($AG$2:AG751),$AG$2:$AG$1001,0),0), INDEX($AN$1004:$BO$1004,1,MATCH(COLUMNS($AN$1006:BI1006),$AN$1006:$BO$1006,0)))),"Fix")))</f>
        <v>0</v>
      </c>
      <c r="X751" s="4">
        <f>IF(OR(INDEX($AH$2:$AH$1001,MATCH(ROWS($AG$2:AG751),$AG$2:$AG$1001,0),1)&gt;=100000,INDEX($AN$1005:$BO$1005,1,MATCH(COLUMNS($AN$1006:BJ1006),$AN$1006:$BO$1006,0))&gt;=100000), " ",IF(INDEX($AN$2:$BO$1001,MATCH(ROWS($AG$2:AG751),$AG$2:$AG$1001,0),MATCH(COLUMNS($AN$1006:BJ1006),$AN$1006:$BO$1006,0)), HYPERLINK("#",""), HYPERLINK(CONCATENATE("#Metadata!", ADDRESS(INDEX($AI$2:$AI$1001,MATCH(ROWS($AG$2:AG751),$AG$2:$AG$1001,0),0), INDEX($AN$1004:$BO$1004,1,MATCH(COLUMNS($AN$1006:BJ1006),$AN$1006:$BO$1006,0)))),"Fix")))</f>
        <v>0</v>
      </c>
      <c r="Y751" s="4">
        <f>IF(OR(INDEX($AH$2:$AH$1001,MATCH(ROWS($AG$2:AG751),$AG$2:$AG$1001,0),1)&gt;=100000,INDEX($AN$1005:$BO$1005,1,MATCH(COLUMNS($AN$1006:BK1006),$AN$1006:$BO$1006,0))&gt;=100000), " ",IF(INDEX($AN$2:$BO$1001,MATCH(ROWS($AG$2:AG751),$AG$2:$AG$1001,0),MATCH(COLUMNS($AN$1006:BK1006),$AN$1006:$BO$1006,0)), HYPERLINK("#",""), HYPERLINK(CONCATENATE("#Metadata!", ADDRESS(INDEX($AI$2:$AI$1001,MATCH(ROWS($AG$2:AG751),$AG$2:$AG$1001,0),0), INDEX($AN$1004:$BO$1004,1,MATCH(COLUMNS($AN$1006:BK1006),$AN$1006:$BO$1006,0)))),"Fix")))</f>
        <v>0</v>
      </c>
      <c r="Z751" s="4">
        <f>IF(OR(INDEX($AH$2:$AH$1001,MATCH(ROWS($AG$2:AG751),$AG$2:$AG$1001,0),1)&gt;=100000,INDEX($AN$1005:$BO$1005,1,MATCH(COLUMNS($AN$1006:BL1006),$AN$1006:$BO$1006,0))&gt;=100000), " ",IF(INDEX($AN$2:$BO$1001,MATCH(ROWS($AG$2:AG751),$AG$2:$AG$1001,0),MATCH(COLUMNS($AN$1006:BL1006),$AN$1006:$BO$1006,0)), HYPERLINK("#",""), HYPERLINK(CONCATENATE("#Metadata!", ADDRESS(INDEX($AI$2:$AI$1001,MATCH(ROWS($AG$2:AG751),$AG$2:$AG$1001,0),0), INDEX($AN$1004:$BO$1004,1,MATCH(COLUMNS($AN$1006:BL1006),$AN$1006:$BO$1006,0)))),"Fix")))</f>
        <v>0</v>
      </c>
      <c r="AA751" s="4">
        <f>IF(OR(INDEX($AH$2:$AH$1001,MATCH(ROWS($AG$2:AG751),$AG$2:$AG$1001,0),1)&gt;=100000,INDEX($AN$1005:$BO$1005,1,MATCH(COLUMNS($AN$1006:BM1006),$AN$1006:$BO$1006,0))&gt;=100000), " ",IF(INDEX($AN$2:$BO$1001,MATCH(ROWS($AG$2:AG751),$AG$2:$AG$1001,0),MATCH(COLUMNS($AN$1006:BM1006),$AN$1006:$BO$1006,0)), HYPERLINK("#",""), HYPERLINK(CONCATENATE("#Metadata!", ADDRESS(INDEX($AI$2:$AI$1001,MATCH(ROWS($AG$2:AG751),$AG$2:$AG$1001,0),0), INDEX($AN$1004:$BO$1004,1,MATCH(COLUMNS($AN$1006:BM1006),$AN$1006:$BO$1006,0)))),"Fix")))</f>
        <v>0</v>
      </c>
      <c r="AB751" s="4">
        <f>IF(OR(INDEX($AH$2:$AH$1001,MATCH(ROWS($AG$2:AG751),$AG$2:$AG$1001,0),1)&gt;=100000,INDEX($AN$1005:$BO$1005,1,MATCH(COLUMNS($AN$1006:BN1006),$AN$1006:$BO$1006,0))&gt;=100000), " ",IF(INDEX($AN$2:$BO$1001,MATCH(ROWS($AG$2:AG751),$AG$2:$AG$1001,0),MATCH(COLUMNS($AN$1006:BN1006),$AN$1006:$BO$1006,0)), HYPERLINK("#",""), HYPERLINK(CONCATENATE("#Metadata!", ADDRESS(INDEX($AI$2:$AI$1001,MATCH(ROWS($AG$2:AG751),$AG$2:$AG$1001,0),0), INDEX($AN$1004:$BO$1004,1,MATCH(COLUMNS($AN$1006:BN1006),$AN$1006:$BO$1006,0)))),"Fix")))</f>
        <v>0</v>
      </c>
      <c r="AC751" s="4">
        <f>IF(OR(INDEX($AH$2:$AH$1001,MATCH(ROWS($AG$2:AG751),$AG$2:$AG$1001,0),1)&gt;=100000,INDEX($AN$1005:$BO$1005,1,MATCH(COLUMNS($AN$1006:BO1006),$AN$1006:$BO$1006,0))&gt;=100000), " ",IF(INDEX($AN$2:$BO$1001,MATCH(ROWS($AG$2:AG751),$AG$2:$AG$1001,0),MATCH(COLUMNS($AN$1006:BO1006),$AN$1006:$BO$1006,0)), HYPERLINK("#",""), HYPERLINK(CONCATENATE("#Metadata!", ADDRESS(INDEX($AI$2:$AI$1001,MATCH(ROWS($AG$2:AG751),$AG$2:$AG$1001,0),0), INDEX($AN$1004:$BO$1004,1,MATCH(COLUMNS($AN$1006:BO1006),$AN$1006:$BO$1006,0)))),"Fix")))</f>
        <v>0</v>
      </c>
      <c r="AG751">
        <v>0</v>
      </c>
      <c r="AH751">
        <v>0</v>
      </c>
      <c r="AI751">
        <v>0</v>
      </c>
      <c r="AJ751">
        <f>IF(AK751,TRUE,AND(AN751:BO751))</f>
        <v>0</v>
      </c>
      <c r="AK751">
        <f>COUNTBLANK(Metadata!B751:AC751)=COLUMNS(Metadata!B751:AC751)</f>
        <v>0</v>
      </c>
      <c r="AL751">
        <v>0</v>
      </c>
      <c r="AN751">
        <f>AND(IF(Metadata!B751="",FALSE,TRUE),COUNTIF(Metadata!B:B, Metadata!B751) = 1,NOT(ISERROR(SUMPRODUCT(SEARCH(MID(Metadata!B751,ROW(INDIRECT("1:"&amp;LEN(Metadata!B751))), 1),"0123456789abcdefghijklmnopqrstuvwxyzABCDEFGHIJKLMNOPQRSTUVWXYZ.")))))</f>
        <v>0</v>
      </c>
      <c r="AO751">
        <f>IF(Metadata!C751="",FALSE,TRUE)</f>
        <v>0</v>
      </c>
      <c r="AP751">
        <f>IF(Metadata!D751="",FALSE,TRUE)</f>
        <v>0</v>
      </c>
      <c r="AQ751">
        <f>OR(AND(IF(Metadata!E751="",FALSE,TRUE),OR(exact(Metadata!E751,"not collected"),exact(Metadata!E751,"not provided"),exact(Metadata!E751,"restricted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R751">
        <f>IF(Metadata!F751="",FALSE,TRUE)</f>
        <v>0</v>
      </c>
      <c r="AS751">
        <f>OR(AND(IF(Metadata!G751="",FALSE,TRUE),OR(exact(Metadata!G751,"not collected"),exact(Metadata!G751,"not provided"))),AND(IF(Metadata!G751="",FALSE,TRUE),OR(exact(Metadata!G751,"TRUE"),exact(Metadata!G751,"FALSE"))))</f>
        <v>0</v>
      </c>
      <c r="AT751">
        <f>OR(AND(IF(Metadata!H751="",FALSE,TRUE),OR(exact(Metadata!H751,"not collected"),exact(Metadata!H751,"not provided"),exact(Metadata!H751,"restricted access"))),AND(IF(Metadata!H751="",FALSE,ISNUMBER(VALUE(Metadata!H751))),Metadata!H751&gt;=-413.0))</f>
        <v>0</v>
      </c>
      <c r="AU751">
        <f>AND(IF(Metadata!I751="",FALSE,TRUE),exact(Metadata!I751,"meters"))</f>
        <v>0</v>
      </c>
      <c r="AV751">
        <f>AND(IF(Metadata!J751="",FALSE,TRUE),OR(exact(Metadata!J751,"Host-associated"),exact(Metadata!J751,"Free-living")))</f>
        <v>0</v>
      </c>
      <c r="AW751">
        <f>AND(IF(Metadata!K751="",FALSE,TRUE),OR(exact(Metadata!K751,"Animal"),exact(Metadata!K751,"Fungus"),exact(Metadata!K751,"Plant"),exact(Metadata!K751,"Saline"),exact(Metadata!K751,"Non-saline")))</f>
        <v>0</v>
      </c>
      <c r="AX751">
        <f>AND(IF(Metadata!L751="",FALSE,TRUE),OR(exact(Metadata!L751,"Plant secretion"),exact(Metadata!L751,"Plant rhizosphere"),exact(Metadata!L751,"Plant surface"),exact(Metadata!L751,"Plant corpus"),exact(Metadata!L751,"Fungus surface"),exact(Metadata!L751,"Fungus corpus"),exact(Metadata!L751,"Animal surface"),exact(Metadata!L751,"Animal proximal gut"),exact(Metadata!L751,"Animal corpus"),exact(Metadata!L751,"Animal distal gut"),exact(Metadata!L751,"Animal secretion"),exact(Metadata!L751,"Sub-surface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Y751">
        <f>IF(Metadata!M751="",FALSE,TRUE)</f>
        <v>0</v>
      </c>
      <c r="AZ751">
        <f>IF(Metadata!N751="",FALSE,TRUE)</f>
        <v>0</v>
      </c>
      <c r="BA751">
        <f>IF(Metadata!O751="",FALSE,TRUE)</f>
        <v>0</v>
      </c>
      <c r="BB751">
        <f>OR(AND(IF(Metadata!P751="",FALSE,TRUE),OR(exact(Metadata!P751,"not collected"),exact(Metadata!P751,"not provided"),exact(Metadata!P751,"restricted access"))),AND(IF(Metadata!P751="",FALSE,TRUE),OR(exact(Metadata!P751,"air"),exact(Metadata!P751,"built environment"),exact(Metadata!P751,"host-associated"),exact(Metadata!P751,"human-associated"),exact(Metadata!P751,"human-skin"),exact(Metadata!P751,"human-oral"),exact(Metadata!P751,"human-gut"),exact(Metadata!P751,"human-vaginal"),exact(Metadata!P751,"microbial mat/biofilm"),exact(Metadata!P751,"misc environment"),exact(Metadata!P751,"plant-associated"),exact(Metadata!P751,"sediment"),exact(Metadata!P751,"soil"),exact(Metadata!P751,"wastewater/sludge"),exact(Metadata!P751,"water"))))</f>
        <v>0</v>
      </c>
      <c r="BC751">
        <f>IF(Metadata!Q751="",FALSE,TRUE)</f>
        <v>0</v>
      </c>
      <c r="BD751">
        <f>IF(Metadata!R751="",FALSE,TRUE)</f>
        <v>0</v>
      </c>
      <c r="BE751">
        <f>OR(AND(IF(Metadata!S751="",FALSE,TRUE),OR(exact(Metadata!S751,"not collected"),exact(Metadata!S751,"not provided"),exact(Metadata!S751,"restricted access"))),AND(IF(Metadata!S751="",FALSE,ISNUMBER(VALUE(Metadata!S751))),Metadata!S751&gt;=-90.00,Metadata!S751&lt;=90.00))</f>
        <v>0</v>
      </c>
      <c r="BF751">
        <f>AND(IF(Metadata!T751="",FALSE,TRUE),exact(Metadata!T751,"Decimal degrees"))</f>
        <v>0</v>
      </c>
      <c r="BG751">
        <f>OR(AND(IF(Metadata!U751="",FALSE,TRUE),OR(exact(Metadata!U751,"not collected"),exact(Metadata!U751,"not provided"),exact(Metadata!U751,"restricted access"))),AND(IF(Metadata!U751="",FALSE,ISNUMBER(VALUE(Metadata!U751))),Metadata!U751&gt;=-180.00,Metadata!U751&lt;=180.00))</f>
        <v>0</v>
      </c>
      <c r="BH751">
        <f>AND(IF(Metadata!V751="",FALSE,TRUE),exact(Metadata!V751,"Decimal degrees"))</f>
        <v>0</v>
      </c>
      <c r="BI751">
        <f>IF(Metadata!W751="",FALSE,TRUE)</f>
        <v>0</v>
      </c>
      <c r="BJ751">
        <f>OR(AND(IF(Metadata!X751="",FALSE,TRUE),OR(exact(Metadata!X751,"not collected"),exact(Metadata!X751,"not provided"),exact(Metadata!X751,"restricted access"))),AND(IF(Metadata!X751="",FALSE,TRUE),OR(exact(Metadata!X751,"TRUE"),exact(Metadata!X751,"FALSE"))))</f>
        <v>0</v>
      </c>
      <c r="BK751">
        <f>AND(IF(Metadata!Y751="",FALSE,TRUE),exact(Metadata!Y751,"other"))</f>
        <v>0</v>
      </c>
      <c r="BL751">
        <f>IF(Metadata!Z751="",FALSE,TRUE)</f>
        <v>0</v>
      </c>
      <c r="BM751">
        <f>OR(AND(IF(Metadata!AA751="",FALSE,TRUE),OR(exact(Metadata!AA751,"not collected"),exact(Metadata!AA751,"not provided"))),AND(IF(Metadata!AA751="",FALSE,IF(ISERROR(INT(Metadata!AA751)),FALSE,INT(Metadata!AA751)=Metadata!AA751)),Metadata!AA751&gt;0))</f>
        <v>0</v>
      </c>
      <c r="BN751">
        <f>AND(IF(Metadata!AB751="",FALSE,TRUE),exact(Metadata!AB751,"Not applicable"))</f>
        <v>0</v>
      </c>
      <c r="BO751">
        <f>IF(Metadata!AC751="",FALSE,TRUE)</f>
        <v>0</v>
      </c>
    </row>
    <row r="752" spans="1:67">
      <c r="A752" s="5">
        <f>IF(B752=" "," ",HYPERLINK(CONCATENATE("#metadata!",ADDRESS(INDEX($AI$2:$AI$1001,MATCH(ROWS($AG$2:AG752),$AG$2:$AG$1001,0),0),1)),INDEX($AL$2:$AL$1001,MATCH(ROWS($AG$2:AG752),$AG$2:$AG$1001,0),0)))</f>
        <v>0</v>
      </c>
      <c r="B752" s="4">
        <f>IF(OR(INDEX($AH$2:$AH$1001,MATCH(ROWS($AG$2:AG752),$AG$2:$AG$1001,0),1)&gt;=100000,INDEX($AN$1005:$BO$1005,1,MATCH(COLUMNS($AN$1006:AN1006),$AN$1006:$BO$1006,0))&gt;=100000), " ",IF(INDEX($AN$2:$BO$1001,MATCH(ROWS($AG$2:AG752),$AG$2:$AG$1001,0),MATCH(COLUMNS($AN$1006:AN1006),$AN$1006:$BO$1006,0)), HYPERLINK("#",""), HYPERLINK(CONCATENATE("#Metadata!", ADDRESS(INDEX($AI$2:$AI$1001,MATCH(ROWS($AG$2:AG752),$AG$2:$AG$1001,0),0), INDEX($AN$1004:$BO$1004,1,MATCH(COLUMNS($AN$1006:AN1006),$AN$1006:$BO$1006,0)))),"Fix")))</f>
        <v>0</v>
      </c>
      <c r="C752" s="4">
        <f>IF(OR(INDEX($AH$2:$AH$1001,MATCH(ROWS($AG$2:AG752),$AG$2:$AG$1001,0),1)&gt;=100000,INDEX($AN$1005:$BO$1005,1,MATCH(COLUMNS($AN$1006:AO1006),$AN$1006:$BO$1006,0))&gt;=100000), " ",IF(INDEX($AN$2:$BO$1001,MATCH(ROWS($AG$2:AG752),$AG$2:$AG$1001,0),MATCH(COLUMNS($AN$1006:AO1006),$AN$1006:$BO$1006,0)), HYPERLINK("#",""), HYPERLINK(CONCATENATE("#Metadata!", ADDRESS(INDEX($AI$2:$AI$1001,MATCH(ROWS($AG$2:AG752),$AG$2:$AG$1001,0),0), INDEX($AN$1004:$BO$1004,1,MATCH(COLUMNS($AN$1006:AO1006),$AN$1006:$BO$1006,0)))),"Fix")))</f>
        <v>0</v>
      </c>
      <c r="D752" s="4">
        <f>IF(OR(INDEX($AH$2:$AH$1001,MATCH(ROWS($AG$2:AG752),$AG$2:$AG$1001,0),1)&gt;=100000,INDEX($AN$1005:$BO$1005,1,MATCH(COLUMNS($AN$1006:AP1006),$AN$1006:$BO$1006,0))&gt;=100000), " ",IF(INDEX($AN$2:$BO$1001,MATCH(ROWS($AG$2:AG752),$AG$2:$AG$1001,0),MATCH(COLUMNS($AN$1006:AP1006),$AN$1006:$BO$1006,0)), HYPERLINK("#",""), HYPERLINK(CONCATENATE("#Metadata!", ADDRESS(INDEX($AI$2:$AI$1001,MATCH(ROWS($AG$2:AG752),$AG$2:$AG$1001,0),0), INDEX($AN$1004:$BO$1004,1,MATCH(COLUMNS($AN$1006:AP1006),$AN$1006:$BO$1006,0)))),"Fix")))</f>
        <v>0</v>
      </c>
      <c r="E752" s="4">
        <f>IF(OR(INDEX($AH$2:$AH$1001,MATCH(ROWS($AG$2:AG752),$AG$2:$AG$1001,0),1)&gt;=100000,INDEX($AN$1005:$BO$1005,1,MATCH(COLUMNS($AN$1006:AQ1006),$AN$1006:$BO$1006,0))&gt;=100000), " ",IF(INDEX($AN$2:$BO$1001,MATCH(ROWS($AG$2:AG752),$AG$2:$AG$1001,0),MATCH(COLUMNS($AN$1006:AQ1006),$AN$1006:$BO$1006,0)), HYPERLINK("#",""), HYPERLINK(CONCATENATE("#Metadata!", ADDRESS(INDEX($AI$2:$AI$1001,MATCH(ROWS($AG$2:AG752),$AG$2:$AG$1001,0),0), INDEX($AN$1004:$BO$1004,1,MATCH(COLUMNS($AN$1006:AQ1006),$AN$1006:$BO$1006,0)))),"Fix")))</f>
        <v>0</v>
      </c>
      <c r="F752" s="4">
        <f>IF(OR(INDEX($AH$2:$AH$1001,MATCH(ROWS($AG$2:AG752),$AG$2:$AG$1001,0),1)&gt;=100000,INDEX($AN$1005:$BO$1005,1,MATCH(COLUMNS($AN$1006:AR1006),$AN$1006:$BO$1006,0))&gt;=100000), " ",IF(INDEX($AN$2:$BO$1001,MATCH(ROWS($AG$2:AG752),$AG$2:$AG$1001,0),MATCH(COLUMNS($AN$1006:AR1006),$AN$1006:$BO$1006,0)), HYPERLINK("#",""), HYPERLINK(CONCATENATE("#Metadata!", ADDRESS(INDEX($AI$2:$AI$1001,MATCH(ROWS($AG$2:AG752),$AG$2:$AG$1001,0),0), INDEX($AN$1004:$BO$1004,1,MATCH(COLUMNS($AN$1006:AR1006),$AN$1006:$BO$1006,0)))),"Fix")))</f>
        <v>0</v>
      </c>
      <c r="G752" s="4">
        <f>IF(OR(INDEX($AH$2:$AH$1001,MATCH(ROWS($AG$2:AG752),$AG$2:$AG$1001,0),1)&gt;=100000,INDEX($AN$1005:$BO$1005,1,MATCH(COLUMNS($AN$1006:AS1006),$AN$1006:$BO$1006,0))&gt;=100000), " ",IF(INDEX($AN$2:$BO$1001,MATCH(ROWS($AG$2:AG752),$AG$2:$AG$1001,0),MATCH(COLUMNS($AN$1006:AS1006),$AN$1006:$BO$1006,0)), HYPERLINK("#",""), HYPERLINK(CONCATENATE("#Metadata!", ADDRESS(INDEX($AI$2:$AI$1001,MATCH(ROWS($AG$2:AG752),$AG$2:$AG$1001,0),0), INDEX($AN$1004:$BO$1004,1,MATCH(COLUMNS($AN$1006:AS1006),$AN$1006:$BO$1006,0)))),"Fix")))</f>
        <v>0</v>
      </c>
      <c r="H752" s="4">
        <f>IF(OR(INDEX($AH$2:$AH$1001,MATCH(ROWS($AG$2:AG752),$AG$2:$AG$1001,0),1)&gt;=100000,INDEX($AN$1005:$BO$1005,1,MATCH(COLUMNS($AN$1006:AT1006),$AN$1006:$BO$1006,0))&gt;=100000), " ",IF(INDEX($AN$2:$BO$1001,MATCH(ROWS($AG$2:AG752),$AG$2:$AG$1001,0),MATCH(COLUMNS($AN$1006:AT1006),$AN$1006:$BO$1006,0)), HYPERLINK("#",""), HYPERLINK(CONCATENATE("#Metadata!", ADDRESS(INDEX($AI$2:$AI$1001,MATCH(ROWS($AG$2:AG752),$AG$2:$AG$1001,0),0), INDEX($AN$1004:$BO$1004,1,MATCH(COLUMNS($AN$1006:AT1006),$AN$1006:$BO$1006,0)))),"Fix")))</f>
        <v>0</v>
      </c>
      <c r="I752" s="4">
        <f>IF(OR(INDEX($AH$2:$AH$1001,MATCH(ROWS($AG$2:AG752),$AG$2:$AG$1001,0),1)&gt;=100000,INDEX($AN$1005:$BO$1005,1,MATCH(COLUMNS($AN$1006:AU1006),$AN$1006:$BO$1006,0))&gt;=100000), " ",IF(INDEX($AN$2:$BO$1001,MATCH(ROWS($AG$2:AG752),$AG$2:$AG$1001,0),MATCH(COLUMNS($AN$1006:AU1006),$AN$1006:$BO$1006,0)), HYPERLINK("#",""), HYPERLINK(CONCATENATE("#Metadata!", ADDRESS(INDEX($AI$2:$AI$1001,MATCH(ROWS($AG$2:AG752),$AG$2:$AG$1001,0),0), INDEX($AN$1004:$BO$1004,1,MATCH(COLUMNS($AN$1006:AU1006),$AN$1006:$BO$1006,0)))),"Fix")))</f>
        <v>0</v>
      </c>
      <c r="J752" s="4">
        <f>IF(OR(INDEX($AH$2:$AH$1001,MATCH(ROWS($AG$2:AG752),$AG$2:$AG$1001,0),1)&gt;=100000,INDEX($AN$1005:$BO$1005,1,MATCH(COLUMNS($AN$1006:AV1006),$AN$1006:$BO$1006,0))&gt;=100000), " ",IF(INDEX($AN$2:$BO$1001,MATCH(ROWS($AG$2:AG752),$AG$2:$AG$1001,0),MATCH(COLUMNS($AN$1006:AV1006),$AN$1006:$BO$1006,0)), HYPERLINK("#",""), HYPERLINK(CONCATENATE("#Metadata!", ADDRESS(INDEX($AI$2:$AI$1001,MATCH(ROWS($AG$2:AG752),$AG$2:$AG$1001,0),0), INDEX($AN$1004:$BO$1004,1,MATCH(COLUMNS($AN$1006:AV1006),$AN$1006:$BO$1006,0)))),"Fix")))</f>
        <v>0</v>
      </c>
      <c r="K752" s="4">
        <f>IF(OR(INDEX($AH$2:$AH$1001,MATCH(ROWS($AG$2:AG752),$AG$2:$AG$1001,0),1)&gt;=100000,INDEX($AN$1005:$BO$1005,1,MATCH(COLUMNS($AN$1006:AW1006),$AN$1006:$BO$1006,0))&gt;=100000), " ",IF(INDEX($AN$2:$BO$1001,MATCH(ROWS($AG$2:AG752),$AG$2:$AG$1001,0),MATCH(COLUMNS($AN$1006:AW1006),$AN$1006:$BO$1006,0)), HYPERLINK("#",""), HYPERLINK(CONCATENATE("#Metadata!", ADDRESS(INDEX($AI$2:$AI$1001,MATCH(ROWS($AG$2:AG752),$AG$2:$AG$1001,0),0), INDEX($AN$1004:$BO$1004,1,MATCH(COLUMNS($AN$1006:AW1006),$AN$1006:$BO$1006,0)))),"Fix")))</f>
        <v>0</v>
      </c>
      <c r="L752" s="4">
        <f>IF(OR(INDEX($AH$2:$AH$1001,MATCH(ROWS($AG$2:AG752),$AG$2:$AG$1001,0),1)&gt;=100000,INDEX($AN$1005:$BO$1005,1,MATCH(COLUMNS($AN$1006:AX1006),$AN$1006:$BO$1006,0))&gt;=100000), " ",IF(INDEX($AN$2:$BO$1001,MATCH(ROWS($AG$2:AG752),$AG$2:$AG$1001,0),MATCH(COLUMNS($AN$1006:AX1006),$AN$1006:$BO$1006,0)), HYPERLINK("#",""), HYPERLINK(CONCATENATE("#Metadata!", ADDRESS(INDEX($AI$2:$AI$1001,MATCH(ROWS($AG$2:AG752),$AG$2:$AG$1001,0),0), INDEX($AN$1004:$BO$1004,1,MATCH(COLUMNS($AN$1006:AX1006),$AN$1006:$BO$1006,0)))),"Fix")))</f>
        <v>0</v>
      </c>
      <c r="M752" s="4">
        <f>IF(OR(INDEX($AH$2:$AH$1001,MATCH(ROWS($AG$2:AG752),$AG$2:$AG$1001,0),1)&gt;=100000,INDEX($AN$1005:$BO$1005,1,MATCH(COLUMNS($AN$1006:AY1006),$AN$1006:$BO$1006,0))&gt;=100000), " ",IF(INDEX($AN$2:$BO$1001,MATCH(ROWS($AG$2:AG752),$AG$2:$AG$1001,0),MATCH(COLUMNS($AN$1006:AY1006),$AN$1006:$BO$1006,0)), HYPERLINK("#",""), HYPERLINK(CONCATENATE("#Metadata!", ADDRESS(INDEX($AI$2:$AI$1001,MATCH(ROWS($AG$2:AG752),$AG$2:$AG$1001,0),0), INDEX($AN$1004:$BO$1004,1,MATCH(COLUMNS($AN$1006:AY1006),$AN$1006:$BO$1006,0)))),"Fix")))</f>
        <v>0</v>
      </c>
      <c r="N752" s="4">
        <f>IF(OR(INDEX($AH$2:$AH$1001,MATCH(ROWS($AG$2:AG752),$AG$2:$AG$1001,0),1)&gt;=100000,INDEX($AN$1005:$BO$1005,1,MATCH(COLUMNS($AN$1006:AZ1006),$AN$1006:$BO$1006,0))&gt;=100000), " ",IF(INDEX($AN$2:$BO$1001,MATCH(ROWS($AG$2:AG752),$AG$2:$AG$1001,0),MATCH(COLUMNS($AN$1006:AZ1006),$AN$1006:$BO$1006,0)), HYPERLINK("#",""), HYPERLINK(CONCATENATE("#Metadata!", ADDRESS(INDEX($AI$2:$AI$1001,MATCH(ROWS($AG$2:AG752),$AG$2:$AG$1001,0),0), INDEX($AN$1004:$BO$1004,1,MATCH(COLUMNS($AN$1006:AZ1006),$AN$1006:$BO$1006,0)))),"Fix")))</f>
        <v>0</v>
      </c>
      <c r="O752" s="4">
        <f>IF(OR(INDEX($AH$2:$AH$1001,MATCH(ROWS($AG$2:AG752),$AG$2:$AG$1001,0),1)&gt;=100000,INDEX($AN$1005:$BO$1005,1,MATCH(COLUMNS($AN$1006:BA1006),$AN$1006:$BO$1006,0))&gt;=100000), " ",IF(INDEX($AN$2:$BO$1001,MATCH(ROWS($AG$2:AG752),$AG$2:$AG$1001,0),MATCH(COLUMNS($AN$1006:BA1006),$AN$1006:$BO$1006,0)), HYPERLINK("#",""), HYPERLINK(CONCATENATE("#Metadata!", ADDRESS(INDEX($AI$2:$AI$1001,MATCH(ROWS($AG$2:AG752),$AG$2:$AG$1001,0),0), INDEX($AN$1004:$BO$1004,1,MATCH(COLUMNS($AN$1006:BA1006),$AN$1006:$BO$1006,0)))),"Fix")))</f>
        <v>0</v>
      </c>
      <c r="P752" s="4">
        <f>IF(OR(INDEX($AH$2:$AH$1001,MATCH(ROWS($AG$2:AG752),$AG$2:$AG$1001,0),1)&gt;=100000,INDEX($AN$1005:$BO$1005,1,MATCH(COLUMNS($AN$1006:BB1006),$AN$1006:$BO$1006,0))&gt;=100000), " ",IF(INDEX($AN$2:$BO$1001,MATCH(ROWS($AG$2:AG752),$AG$2:$AG$1001,0),MATCH(COLUMNS($AN$1006:BB1006),$AN$1006:$BO$1006,0)), HYPERLINK("#",""), HYPERLINK(CONCATENATE("#Metadata!", ADDRESS(INDEX($AI$2:$AI$1001,MATCH(ROWS($AG$2:AG752),$AG$2:$AG$1001,0),0), INDEX($AN$1004:$BO$1004,1,MATCH(COLUMNS($AN$1006:BB1006),$AN$1006:$BO$1006,0)))),"Fix")))</f>
        <v>0</v>
      </c>
      <c r="Q752" s="4">
        <f>IF(OR(INDEX($AH$2:$AH$1001,MATCH(ROWS($AG$2:AG752),$AG$2:$AG$1001,0),1)&gt;=100000,INDEX($AN$1005:$BO$1005,1,MATCH(COLUMNS($AN$1006:BC1006),$AN$1006:$BO$1006,0))&gt;=100000), " ",IF(INDEX($AN$2:$BO$1001,MATCH(ROWS($AG$2:AG752),$AG$2:$AG$1001,0),MATCH(COLUMNS($AN$1006:BC1006),$AN$1006:$BO$1006,0)), HYPERLINK("#",""), HYPERLINK(CONCATENATE("#Metadata!", ADDRESS(INDEX($AI$2:$AI$1001,MATCH(ROWS($AG$2:AG752),$AG$2:$AG$1001,0),0), INDEX($AN$1004:$BO$1004,1,MATCH(COLUMNS($AN$1006:BC1006),$AN$1006:$BO$1006,0)))),"Fix")))</f>
        <v>0</v>
      </c>
      <c r="R752" s="4">
        <f>IF(OR(INDEX($AH$2:$AH$1001,MATCH(ROWS($AG$2:AG752),$AG$2:$AG$1001,0),1)&gt;=100000,INDEX($AN$1005:$BO$1005,1,MATCH(COLUMNS($AN$1006:BD1006),$AN$1006:$BO$1006,0))&gt;=100000), " ",IF(INDEX($AN$2:$BO$1001,MATCH(ROWS($AG$2:AG752),$AG$2:$AG$1001,0),MATCH(COLUMNS($AN$1006:BD1006),$AN$1006:$BO$1006,0)), HYPERLINK("#",""), HYPERLINK(CONCATENATE("#Metadata!", ADDRESS(INDEX($AI$2:$AI$1001,MATCH(ROWS($AG$2:AG752),$AG$2:$AG$1001,0),0), INDEX($AN$1004:$BO$1004,1,MATCH(COLUMNS($AN$1006:BD1006),$AN$1006:$BO$1006,0)))),"Fix")))</f>
        <v>0</v>
      </c>
      <c r="S752" s="4">
        <f>IF(OR(INDEX($AH$2:$AH$1001,MATCH(ROWS($AG$2:AG752),$AG$2:$AG$1001,0),1)&gt;=100000,INDEX($AN$1005:$BO$1005,1,MATCH(COLUMNS($AN$1006:BE1006),$AN$1006:$BO$1006,0))&gt;=100000), " ",IF(INDEX($AN$2:$BO$1001,MATCH(ROWS($AG$2:AG752),$AG$2:$AG$1001,0),MATCH(COLUMNS($AN$1006:BE1006),$AN$1006:$BO$1006,0)), HYPERLINK("#",""), HYPERLINK(CONCATENATE("#Metadata!", ADDRESS(INDEX($AI$2:$AI$1001,MATCH(ROWS($AG$2:AG752),$AG$2:$AG$1001,0),0), INDEX($AN$1004:$BO$1004,1,MATCH(COLUMNS($AN$1006:BE1006),$AN$1006:$BO$1006,0)))),"Fix")))</f>
        <v>0</v>
      </c>
      <c r="T752" s="4">
        <f>IF(OR(INDEX($AH$2:$AH$1001,MATCH(ROWS($AG$2:AG752),$AG$2:$AG$1001,0),1)&gt;=100000,INDEX($AN$1005:$BO$1005,1,MATCH(COLUMNS($AN$1006:BF1006),$AN$1006:$BO$1006,0))&gt;=100000), " ",IF(INDEX($AN$2:$BO$1001,MATCH(ROWS($AG$2:AG752),$AG$2:$AG$1001,0),MATCH(COLUMNS($AN$1006:BF1006),$AN$1006:$BO$1006,0)), HYPERLINK("#",""), HYPERLINK(CONCATENATE("#Metadata!", ADDRESS(INDEX($AI$2:$AI$1001,MATCH(ROWS($AG$2:AG752),$AG$2:$AG$1001,0),0), INDEX($AN$1004:$BO$1004,1,MATCH(COLUMNS($AN$1006:BF1006),$AN$1006:$BO$1006,0)))),"Fix")))</f>
        <v>0</v>
      </c>
      <c r="U752" s="4">
        <f>IF(OR(INDEX($AH$2:$AH$1001,MATCH(ROWS($AG$2:AG752),$AG$2:$AG$1001,0),1)&gt;=100000,INDEX($AN$1005:$BO$1005,1,MATCH(COLUMNS($AN$1006:BG1006),$AN$1006:$BO$1006,0))&gt;=100000), " ",IF(INDEX($AN$2:$BO$1001,MATCH(ROWS($AG$2:AG752),$AG$2:$AG$1001,0),MATCH(COLUMNS($AN$1006:BG1006),$AN$1006:$BO$1006,0)), HYPERLINK("#",""), HYPERLINK(CONCATENATE("#Metadata!", ADDRESS(INDEX($AI$2:$AI$1001,MATCH(ROWS($AG$2:AG752),$AG$2:$AG$1001,0),0), INDEX($AN$1004:$BO$1004,1,MATCH(COLUMNS($AN$1006:BG1006),$AN$1006:$BO$1006,0)))),"Fix")))</f>
        <v>0</v>
      </c>
      <c r="V752" s="4">
        <f>IF(OR(INDEX($AH$2:$AH$1001,MATCH(ROWS($AG$2:AG752),$AG$2:$AG$1001,0),1)&gt;=100000,INDEX($AN$1005:$BO$1005,1,MATCH(COLUMNS($AN$1006:BH1006),$AN$1006:$BO$1006,0))&gt;=100000), " ",IF(INDEX($AN$2:$BO$1001,MATCH(ROWS($AG$2:AG752),$AG$2:$AG$1001,0),MATCH(COLUMNS($AN$1006:BH1006),$AN$1006:$BO$1006,0)), HYPERLINK("#",""), HYPERLINK(CONCATENATE("#Metadata!", ADDRESS(INDEX($AI$2:$AI$1001,MATCH(ROWS($AG$2:AG752),$AG$2:$AG$1001,0),0), INDEX($AN$1004:$BO$1004,1,MATCH(COLUMNS($AN$1006:BH1006),$AN$1006:$BO$1006,0)))),"Fix")))</f>
        <v>0</v>
      </c>
      <c r="W752" s="4">
        <f>IF(OR(INDEX($AH$2:$AH$1001,MATCH(ROWS($AG$2:AG752),$AG$2:$AG$1001,0),1)&gt;=100000,INDEX($AN$1005:$BO$1005,1,MATCH(COLUMNS($AN$1006:BI1006),$AN$1006:$BO$1006,0))&gt;=100000), " ",IF(INDEX($AN$2:$BO$1001,MATCH(ROWS($AG$2:AG752),$AG$2:$AG$1001,0),MATCH(COLUMNS($AN$1006:BI1006),$AN$1006:$BO$1006,0)), HYPERLINK("#",""), HYPERLINK(CONCATENATE("#Metadata!", ADDRESS(INDEX($AI$2:$AI$1001,MATCH(ROWS($AG$2:AG752),$AG$2:$AG$1001,0),0), INDEX($AN$1004:$BO$1004,1,MATCH(COLUMNS($AN$1006:BI1006),$AN$1006:$BO$1006,0)))),"Fix")))</f>
        <v>0</v>
      </c>
      <c r="X752" s="4">
        <f>IF(OR(INDEX($AH$2:$AH$1001,MATCH(ROWS($AG$2:AG752),$AG$2:$AG$1001,0),1)&gt;=100000,INDEX($AN$1005:$BO$1005,1,MATCH(COLUMNS($AN$1006:BJ1006),$AN$1006:$BO$1006,0))&gt;=100000), " ",IF(INDEX($AN$2:$BO$1001,MATCH(ROWS($AG$2:AG752),$AG$2:$AG$1001,0),MATCH(COLUMNS($AN$1006:BJ1006),$AN$1006:$BO$1006,0)), HYPERLINK("#",""), HYPERLINK(CONCATENATE("#Metadata!", ADDRESS(INDEX($AI$2:$AI$1001,MATCH(ROWS($AG$2:AG752),$AG$2:$AG$1001,0),0), INDEX($AN$1004:$BO$1004,1,MATCH(COLUMNS($AN$1006:BJ1006),$AN$1006:$BO$1006,0)))),"Fix")))</f>
        <v>0</v>
      </c>
      <c r="Y752" s="4">
        <f>IF(OR(INDEX($AH$2:$AH$1001,MATCH(ROWS($AG$2:AG752),$AG$2:$AG$1001,0),1)&gt;=100000,INDEX($AN$1005:$BO$1005,1,MATCH(COLUMNS($AN$1006:BK1006),$AN$1006:$BO$1006,0))&gt;=100000), " ",IF(INDEX($AN$2:$BO$1001,MATCH(ROWS($AG$2:AG752),$AG$2:$AG$1001,0),MATCH(COLUMNS($AN$1006:BK1006),$AN$1006:$BO$1006,0)), HYPERLINK("#",""), HYPERLINK(CONCATENATE("#Metadata!", ADDRESS(INDEX($AI$2:$AI$1001,MATCH(ROWS($AG$2:AG752),$AG$2:$AG$1001,0),0), INDEX($AN$1004:$BO$1004,1,MATCH(COLUMNS($AN$1006:BK1006),$AN$1006:$BO$1006,0)))),"Fix")))</f>
        <v>0</v>
      </c>
      <c r="Z752" s="4">
        <f>IF(OR(INDEX($AH$2:$AH$1001,MATCH(ROWS($AG$2:AG752),$AG$2:$AG$1001,0),1)&gt;=100000,INDEX($AN$1005:$BO$1005,1,MATCH(COLUMNS($AN$1006:BL1006),$AN$1006:$BO$1006,0))&gt;=100000), " ",IF(INDEX($AN$2:$BO$1001,MATCH(ROWS($AG$2:AG752),$AG$2:$AG$1001,0),MATCH(COLUMNS($AN$1006:BL1006),$AN$1006:$BO$1006,0)), HYPERLINK("#",""), HYPERLINK(CONCATENATE("#Metadata!", ADDRESS(INDEX($AI$2:$AI$1001,MATCH(ROWS($AG$2:AG752),$AG$2:$AG$1001,0),0), INDEX($AN$1004:$BO$1004,1,MATCH(COLUMNS($AN$1006:BL1006),$AN$1006:$BO$1006,0)))),"Fix")))</f>
        <v>0</v>
      </c>
      <c r="AA752" s="4">
        <f>IF(OR(INDEX($AH$2:$AH$1001,MATCH(ROWS($AG$2:AG752),$AG$2:$AG$1001,0),1)&gt;=100000,INDEX($AN$1005:$BO$1005,1,MATCH(COLUMNS($AN$1006:BM1006),$AN$1006:$BO$1006,0))&gt;=100000), " ",IF(INDEX($AN$2:$BO$1001,MATCH(ROWS($AG$2:AG752),$AG$2:$AG$1001,0),MATCH(COLUMNS($AN$1006:BM1006),$AN$1006:$BO$1006,0)), HYPERLINK("#",""), HYPERLINK(CONCATENATE("#Metadata!", ADDRESS(INDEX($AI$2:$AI$1001,MATCH(ROWS($AG$2:AG752),$AG$2:$AG$1001,0),0), INDEX($AN$1004:$BO$1004,1,MATCH(COLUMNS($AN$1006:BM1006),$AN$1006:$BO$1006,0)))),"Fix")))</f>
        <v>0</v>
      </c>
      <c r="AB752" s="4">
        <f>IF(OR(INDEX($AH$2:$AH$1001,MATCH(ROWS($AG$2:AG752),$AG$2:$AG$1001,0),1)&gt;=100000,INDEX($AN$1005:$BO$1005,1,MATCH(COLUMNS($AN$1006:BN1006),$AN$1006:$BO$1006,0))&gt;=100000), " ",IF(INDEX($AN$2:$BO$1001,MATCH(ROWS($AG$2:AG752),$AG$2:$AG$1001,0),MATCH(COLUMNS($AN$1006:BN1006),$AN$1006:$BO$1006,0)), HYPERLINK("#",""), HYPERLINK(CONCATENATE("#Metadata!", ADDRESS(INDEX($AI$2:$AI$1001,MATCH(ROWS($AG$2:AG752),$AG$2:$AG$1001,0),0), INDEX($AN$1004:$BO$1004,1,MATCH(COLUMNS($AN$1006:BN1006),$AN$1006:$BO$1006,0)))),"Fix")))</f>
        <v>0</v>
      </c>
      <c r="AC752" s="4">
        <f>IF(OR(INDEX($AH$2:$AH$1001,MATCH(ROWS($AG$2:AG752),$AG$2:$AG$1001,0),1)&gt;=100000,INDEX($AN$1005:$BO$1005,1,MATCH(COLUMNS($AN$1006:BO1006),$AN$1006:$BO$1006,0))&gt;=100000), " ",IF(INDEX($AN$2:$BO$1001,MATCH(ROWS($AG$2:AG752),$AG$2:$AG$1001,0),MATCH(COLUMNS($AN$1006:BO1006),$AN$1006:$BO$1006,0)), HYPERLINK("#",""), HYPERLINK(CONCATENATE("#Metadata!", ADDRESS(INDEX($AI$2:$AI$1001,MATCH(ROWS($AG$2:AG752),$AG$2:$AG$1001,0),0), INDEX($AN$1004:$BO$1004,1,MATCH(COLUMNS($AN$1006:BO1006),$AN$1006:$BO$1006,0)))),"Fix")))</f>
        <v>0</v>
      </c>
      <c r="AG752">
        <v>0</v>
      </c>
      <c r="AH752">
        <v>0</v>
      </c>
      <c r="AI752">
        <v>0</v>
      </c>
      <c r="AJ752">
        <f>IF(AK752,TRUE,AND(AN752:BO752))</f>
        <v>0</v>
      </c>
      <c r="AK752">
        <f>COUNTBLANK(Metadata!B752:AC752)=COLUMNS(Metadata!B752:AC752)</f>
        <v>0</v>
      </c>
      <c r="AL752">
        <v>0</v>
      </c>
      <c r="AN752">
        <f>AND(IF(Metadata!B752="",FALSE,TRUE),COUNTIF(Metadata!B:B, Metadata!B752) = 1,NOT(ISERROR(SUMPRODUCT(SEARCH(MID(Metadata!B752,ROW(INDIRECT("1:"&amp;LEN(Metadata!B752))), 1),"0123456789abcdefghijklmnopqrstuvwxyzABCDEFGHIJKLMNOPQRSTUVWXYZ.")))))</f>
        <v>0</v>
      </c>
      <c r="AO752">
        <f>IF(Metadata!C752="",FALSE,TRUE)</f>
        <v>0</v>
      </c>
      <c r="AP752">
        <f>IF(Metadata!D752="",FALSE,TRUE)</f>
        <v>0</v>
      </c>
      <c r="AQ752">
        <f>OR(AND(IF(Metadata!E752="",FALSE,TRUE),OR(exact(Metadata!E752,"not collected"),exact(Metadata!E752,"not provided"),exact(Metadata!E752,"restricted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R752">
        <f>IF(Metadata!F752="",FALSE,TRUE)</f>
        <v>0</v>
      </c>
      <c r="AS752">
        <f>OR(AND(IF(Metadata!G752="",FALSE,TRUE),OR(exact(Metadata!G752,"not collected"),exact(Metadata!G752,"not provided"))),AND(IF(Metadata!G752="",FALSE,TRUE),OR(exact(Metadata!G752,"TRUE"),exact(Metadata!G752,"FALSE"))))</f>
        <v>0</v>
      </c>
      <c r="AT752">
        <f>OR(AND(IF(Metadata!H752="",FALSE,TRUE),OR(exact(Metadata!H752,"not collected"),exact(Metadata!H752,"not provided"),exact(Metadata!H752,"restricted access"))),AND(IF(Metadata!H752="",FALSE,ISNUMBER(VALUE(Metadata!H752))),Metadata!H752&gt;=-413.0))</f>
        <v>0</v>
      </c>
      <c r="AU752">
        <f>AND(IF(Metadata!I752="",FALSE,TRUE),exact(Metadata!I752,"meters"))</f>
        <v>0</v>
      </c>
      <c r="AV752">
        <f>AND(IF(Metadata!J752="",FALSE,TRUE),OR(exact(Metadata!J752,"Host-associated"),exact(Metadata!J752,"Free-living")))</f>
        <v>0</v>
      </c>
      <c r="AW752">
        <f>AND(IF(Metadata!K752="",FALSE,TRUE),OR(exact(Metadata!K752,"Animal"),exact(Metadata!K752,"Fungus"),exact(Metadata!K752,"Plant"),exact(Metadata!K752,"Saline"),exact(Metadata!K752,"Non-saline")))</f>
        <v>0</v>
      </c>
      <c r="AX752">
        <f>AND(IF(Metadata!L752="",FALSE,TRUE),OR(exact(Metadata!L752,"Plant secretion"),exact(Metadata!L752,"Plant rhizosphere"),exact(Metadata!L752,"Plant surface"),exact(Metadata!L752,"Plant corpus"),exact(Metadata!L752,"Fungus surface"),exact(Metadata!L752,"Fungus corpus"),exact(Metadata!L752,"Animal surface"),exact(Metadata!L752,"Animal proximal gut"),exact(Metadata!L752,"Animal corpus"),exact(Metadata!L752,"Animal distal gut"),exact(Metadata!L752,"Animal secretion"),exact(Metadata!L752,"Sub-surface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Y752">
        <f>IF(Metadata!M752="",FALSE,TRUE)</f>
        <v>0</v>
      </c>
      <c r="AZ752">
        <f>IF(Metadata!N752="",FALSE,TRUE)</f>
        <v>0</v>
      </c>
      <c r="BA752">
        <f>IF(Metadata!O752="",FALSE,TRUE)</f>
        <v>0</v>
      </c>
      <c r="BB752">
        <f>OR(AND(IF(Metadata!P752="",FALSE,TRUE),OR(exact(Metadata!P752,"not collected"),exact(Metadata!P752,"not provided"),exact(Metadata!P752,"restricted access"))),AND(IF(Metadata!P752="",FALSE,TRUE),OR(exact(Metadata!P752,"air"),exact(Metadata!P752,"built environment"),exact(Metadata!P752,"host-associated"),exact(Metadata!P752,"human-associated"),exact(Metadata!P752,"human-skin"),exact(Metadata!P752,"human-oral"),exact(Metadata!P752,"human-gut"),exact(Metadata!P752,"human-vaginal"),exact(Metadata!P752,"microbial mat/biofilm"),exact(Metadata!P752,"misc environment"),exact(Metadata!P752,"plant-associated"),exact(Metadata!P752,"sediment"),exact(Metadata!P752,"soil"),exact(Metadata!P752,"wastewater/sludge"),exact(Metadata!P752,"water"))))</f>
        <v>0</v>
      </c>
      <c r="BC752">
        <f>IF(Metadata!Q752="",FALSE,TRUE)</f>
        <v>0</v>
      </c>
      <c r="BD752">
        <f>IF(Metadata!R752="",FALSE,TRUE)</f>
        <v>0</v>
      </c>
      <c r="BE752">
        <f>OR(AND(IF(Metadata!S752="",FALSE,TRUE),OR(exact(Metadata!S752,"not collected"),exact(Metadata!S752,"not provided"),exact(Metadata!S752,"restricted access"))),AND(IF(Metadata!S752="",FALSE,ISNUMBER(VALUE(Metadata!S752))),Metadata!S752&gt;=-90.00,Metadata!S752&lt;=90.00))</f>
        <v>0</v>
      </c>
      <c r="BF752">
        <f>AND(IF(Metadata!T752="",FALSE,TRUE),exact(Metadata!T752,"Decimal degrees"))</f>
        <v>0</v>
      </c>
      <c r="BG752">
        <f>OR(AND(IF(Metadata!U752="",FALSE,TRUE),OR(exact(Metadata!U752,"not collected"),exact(Metadata!U752,"not provided"),exact(Metadata!U752,"restricted access"))),AND(IF(Metadata!U752="",FALSE,ISNUMBER(VALUE(Metadata!U752))),Metadata!U752&gt;=-180.00,Metadata!U752&lt;=180.00))</f>
        <v>0</v>
      </c>
      <c r="BH752">
        <f>AND(IF(Metadata!V752="",FALSE,TRUE),exact(Metadata!V752,"Decimal degrees"))</f>
        <v>0</v>
      </c>
      <c r="BI752">
        <f>IF(Metadata!W752="",FALSE,TRUE)</f>
        <v>0</v>
      </c>
      <c r="BJ752">
        <f>OR(AND(IF(Metadata!X752="",FALSE,TRUE),OR(exact(Metadata!X752,"not collected"),exact(Metadata!X752,"not provided"),exact(Metadata!X752,"restricted access"))),AND(IF(Metadata!X752="",FALSE,TRUE),OR(exact(Metadata!X752,"TRUE"),exact(Metadata!X752,"FALSE"))))</f>
        <v>0</v>
      </c>
      <c r="BK752">
        <f>AND(IF(Metadata!Y752="",FALSE,TRUE),exact(Metadata!Y752,"other"))</f>
        <v>0</v>
      </c>
      <c r="BL752">
        <f>IF(Metadata!Z752="",FALSE,TRUE)</f>
        <v>0</v>
      </c>
      <c r="BM752">
        <f>OR(AND(IF(Metadata!AA752="",FALSE,TRUE),OR(exact(Metadata!AA752,"not collected"),exact(Metadata!AA752,"not provided"))),AND(IF(Metadata!AA752="",FALSE,IF(ISERROR(INT(Metadata!AA752)),FALSE,INT(Metadata!AA752)=Metadata!AA752)),Metadata!AA752&gt;0))</f>
        <v>0</v>
      </c>
      <c r="BN752">
        <f>AND(IF(Metadata!AB752="",FALSE,TRUE),exact(Metadata!AB752,"Not applicable"))</f>
        <v>0</v>
      </c>
      <c r="BO752">
        <f>IF(Metadata!AC752="",FALSE,TRUE)</f>
        <v>0</v>
      </c>
    </row>
    <row r="753" spans="1:67">
      <c r="A753" s="5">
        <f>IF(B753=" "," ",HYPERLINK(CONCATENATE("#metadata!",ADDRESS(INDEX($AI$2:$AI$1001,MATCH(ROWS($AG$2:AG753),$AG$2:$AG$1001,0),0),1)),INDEX($AL$2:$AL$1001,MATCH(ROWS($AG$2:AG753),$AG$2:$AG$1001,0),0)))</f>
        <v>0</v>
      </c>
      <c r="B753" s="4">
        <f>IF(OR(INDEX($AH$2:$AH$1001,MATCH(ROWS($AG$2:AG753),$AG$2:$AG$1001,0),1)&gt;=100000,INDEX($AN$1005:$BO$1005,1,MATCH(COLUMNS($AN$1006:AN1006),$AN$1006:$BO$1006,0))&gt;=100000), " ",IF(INDEX($AN$2:$BO$1001,MATCH(ROWS($AG$2:AG753),$AG$2:$AG$1001,0),MATCH(COLUMNS($AN$1006:AN1006),$AN$1006:$BO$1006,0)), HYPERLINK("#",""), HYPERLINK(CONCATENATE("#Metadata!", ADDRESS(INDEX($AI$2:$AI$1001,MATCH(ROWS($AG$2:AG753),$AG$2:$AG$1001,0),0), INDEX($AN$1004:$BO$1004,1,MATCH(COLUMNS($AN$1006:AN1006),$AN$1006:$BO$1006,0)))),"Fix")))</f>
        <v>0</v>
      </c>
      <c r="C753" s="4">
        <f>IF(OR(INDEX($AH$2:$AH$1001,MATCH(ROWS($AG$2:AG753),$AG$2:$AG$1001,0),1)&gt;=100000,INDEX($AN$1005:$BO$1005,1,MATCH(COLUMNS($AN$1006:AO1006),$AN$1006:$BO$1006,0))&gt;=100000), " ",IF(INDEX($AN$2:$BO$1001,MATCH(ROWS($AG$2:AG753),$AG$2:$AG$1001,0),MATCH(COLUMNS($AN$1006:AO1006),$AN$1006:$BO$1006,0)), HYPERLINK("#",""), HYPERLINK(CONCATENATE("#Metadata!", ADDRESS(INDEX($AI$2:$AI$1001,MATCH(ROWS($AG$2:AG753),$AG$2:$AG$1001,0),0), INDEX($AN$1004:$BO$1004,1,MATCH(COLUMNS($AN$1006:AO1006),$AN$1006:$BO$1006,0)))),"Fix")))</f>
        <v>0</v>
      </c>
      <c r="D753" s="4">
        <f>IF(OR(INDEX($AH$2:$AH$1001,MATCH(ROWS($AG$2:AG753),$AG$2:$AG$1001,0),1)&gt;=100000,INDEX($AN$1005:$BO$1005,1,MATCH(COLUMNS($AN$1006:AP1006),$AN$1006:$BO$1006,0))&gt;=100000), " ",IF(INDEX($AN$2:$BO$1001,MATCH(ROWS($AG$2:AG753),$AG$2:$AG$1001,0),MATCH(COLUMNS($AN$1006:AP1006),$AN$1006:$BO$1006,0)), HYPERLINK("#",""), HYPERLINK(CONCATENATE("#Metadata!", ADDRESS(INDEX($AI$2:$AI$1001,MATCH(ROWS($AG$2:AG753),$AG$2:$AG$1001,0),0), INDEX($AN$1004:$BO$1004,1,MATCH(COLUMNS($AN$1006:AP1006),$AN$1006:$BO$1006,0)))),"Fix")))</f>
        <v>0</v>
      </c>
      <c r="E753" s="4">
        <f>IF(OR(INDEX($AH$2:$AH$1001,MATCH(ROWS($AG$2:AG753),$AG$2:$AG$1001,0),1)&gt;=100000,INDEX($AN$1005:$BO$1005,1,MATCH(COLUMNS($AN$1006:AQ1006),$AN$1006:$BO$1006,0))&gt;=100000), " ",IF(INDEX($AN$2:$BO$1001,MATCH(ROWS($AG$2:AG753),$AG$2:$AG$1001,0),MATCH(COLUMNS($AN$1006:AQ1006),$AN$1006:$BO$1006,0)), HYPERLINK("#",""), HYPERLINK(CONCATENATE("#Metadata!", ADDRESS(INDEX($AI$2:$AI$1001,MATCH(ROWS($AG$2:AG753),$AG$2:$AG$1001,0),0), INDEX($AN$1004:$BO$1004,1,MATCH(COLUMNS($AN$1006:AQ1006),$AN$1006:$BO$1006,0)))),"Fix")))</f>
        <v>0</v>
      </c>
      <c r="F753" s="4">
        <f>IF(OR(INDEX($AH$2:$AH$1001,MATCH(ROWS($AG$2:AG753),$AG$2:$AG$1001,0),1)&gt;=100000,INDEX($AN$1005:$BO$1005,1,MATCH(COLUMNS($AN$1006:AR1006),$AN$1006:$BO$1006,0))&gt;=100000), " ",IF(INDEX($AN$2:$BO$1001,MATCH(ROWS($AG$2:AG753),$AG$2:$AG$1001,0),MATCH(COLUMNS($AN$1006:AR1006),$AN$1006:$BO$1006,0)), HYPERLINK("#",""), HYPERLINK(CONCATENATE("#Metadata!", ADDRESS(INDEX($AI$2:$AI$1001,MATCH(ROWS($AG$2:AG753),$AG$2:$AG$1001,0),0), INDEX($AN$1004:$BO$1004,1,MATCH(COLUMNS($AN$1006:AR1006),$AN$1006:$BO$1006,0)))),"Fix")))</f>
        <v>0</v>
      </c>
      <c r="G753" s="4">
        <f>IF(OR(INDEX($AH$2:$AH$1001,MATCH(ROWS($AG$2:AG753),$AG$2:$AG$1001,0),1)&gt;=100000,INDEX($AN$1005:$BO$1005,1,MATCH(COLUMNS($AN$1006:AS1006),$AN$1006:$BO$1006,0))&gt;=100000), " ",IF(INDEX($AN$2:$BO$1001,MATCH(ROWS($AG$2:AG753),$AG$2:$AG$1001,0),MATCH(COLUMNS($AN$1006:AS1006),$AN$1006:$BO$1006,0)), HYPERLINK("#",""), HYPERLINK(CONCATENATE("#Metadata!", ADDRESS(INDEX($AI$2:$AI$1001,MATCH(ROWS($AG$2:AG753),$AG$2:$AG$1001,0),0), INDEX($AN$1004:$BO$1004,1,MATCH(COLUMNS($AN$1006:AS1006),$AN$1006:$BO$1006,0)))),"Fix")))</f>
        <v>0</v>
      </c>
      <c r="H753" s="4">
        <f>IF(OR(INDEX($AH$2:$AH$1001,MATCH(ROWS($AG$2:AG753),$AG$2:$AG$1001,0),1)&gt;=100000,INDEX($AN$1005:$BO$1005,1,MATCH(COLUMNS($AN$1006:AT1006),$AN$1006:$BO$1006,0))&gt;=100000), " ",IF(INDEX($AN$2:$BO$1001,MATCH(ROWS($AG$2:AG753),$AG$2:$AG$1001,0),MATCH(COLUMNS($AN$1006:AT1006),$AN$1006:$BO$1006,0)), HYPERLINK("#",""), HYPERLINK(CONCATENATE("#Metadata!", ADDRESS(INDEX($AI$2:$AI$1001,MATCH(ROWS($AG$2:AG753),$AG$2:$AG$1001,0),0), INDEX($AN$1004:$BO$1004,1,MATCH(COLUMNS($AN$1006:AT1006),$AN$1006:$BO$1006,0)))),"Fix")))</f>
        <v>0</v>
      </c>
      <c r="I753" s="4">
        <f>IF(OR(INDEX($AH$2:$AH$1001,MATCH(ROWS($AG$2:AG753),$AG$2:$AG$1001,0),1)&gt;=100000,INDEX($AN$1005:$BO$1005,1,MATCH(COLUMNS($AN$1006:AU1006),$AN$1006:$BO$1006,0))&gt;=100000), " ",IF(INDEX($AN$2:$BO$1001,MATCH(ROWS($AG$2:AG753),$AG$2:$AG$1001,0),MATCH(COLUMNS($AN$1006:AU1006),$AN$1006:$BO$1006,0)), HYPERLINK("#",""), HYPERLINK(CONCATENATE("#Metadata!", ADDRESS(INDEX($AI$2:$AI$1001,MATCH(ROWS($AG$2:AG753),$AG$2:$AG$1001,0),0), INDEX($AN$1004:$BO$1004,1,MATCH(COLUMNS($AN$1006:AU1006),$AN$1006:$BO$1006,0)))),"Fix")))</f>
        <v>0</v>
      </c>
      <c r="J753" s="4">
        <f>IF(OR(INDEX($AH$2:$AH$1001,MATCH(ROWS($AG$2:AG753),$AG$2:$AG$1001,0),1)&gt;=100000,INDEX($AN$1005:$BO$1005,1,MATCH(COLUMNS($AN$1006:AV1006),$AN$1006:$BO$1006,0))&gt;=100000), " ",IF(INDEX($AN$2:$BO$1001,MATCH(ROWS($AG$2:AG753),$AG$2:$AG$1001,0),MATCH(COLUMNS($AN$1006:AV1006),$AN$1006:$BO$1006,0)), HYPERLINK("#",""), HYPERLINK(CONCATENATE("#Metadata!", ADDRESS(INDEX($AI$2:$AI$1001,MATCH(ROWS($AG$2:AG753),$AG$2:$AG$1001,0),0), INDEX($AN$1004:$BO$1004,1,MATCH(COLUMNS($AN$1006:AV1006),$AN$1006:$BO$1006,0)))),"Fix")))</f>
        <v>0</v>
      </c>
      <c r="K753" s="4">
        <f>IF(OR(INDEX($AH$2:$AH$1001,MATCH(ROWS($AG$2:AG753),$AG$2:$AG$1001,0),1)&gt;=100000,INDEX($AN$1005:$BO$1005,1,MATCH(COLUMNS($AN$1006:AW1006),$AN$1006:$BO$1006,0))&gt;=100000), " ",IF(INDEX($AN$2:$BO$1001,MATCH(ROWS($AG$2:AG753),$AG$2:$AG$1001,0),MATCH(COLUMNS($AN$1006:AW1006),$AN$1006:$BO$1006,0)), HYPERLINK("#",""), HYPERLINK(CONCATENATE("#Metadata!", ADDRESS(INDEX($AI$2:$AI$1001,MATCH(ROWS($AG$2:AG753),$AG$2:$AG$1001,0),0), INDEX($AN$1004:$BO$1004,1,MATCH(COLUMNS($AN$1006:AW1006),$AN$1006:$BO$1006,0)))),"Fix")))</f>
        <v>0</v>
      </c>
      <c r="L753" s="4">
        <f>IF(OR(INDEX($AH$2:$AH$1001,MATCH(ROWS($AG$2:AG753),$AG$2:$AG$1001,0),1)&gt;=100000,INDEX($AN$1005:$BO$1005,1,MATCH(COLUMNS($AN$1006:AX1006),$AN$1006:$BO$1006,0))&gt;=100000), " ",IF(INDEX($AN$2:$BO$1001,MATCH(ROWS($AG$2:AG753),$AG$2:$AG$1001,0),MATCH(COLUMNS($AN$1006:AX1006),$AN$1006:$BO$1006,0)), HYPERLINK("#",""), HYPERLINK(CONCATENATE("#Metadata!", ADDRESS(INDEX($AI$2:$AI$1001,MATCH(ROWS($AG$2:AG753),$AG$2:$AG$1001,0),0), INDEX($AN$1004:$BO$1004,1,MATCH(COLUMNS($AN$1006:AX1006),$AN$1006:$BO$1006,0)))),"Fix")))</f>
        <v>0</v>
      </c>
      <c r="M753" s="4">
        <f>IF(OR(INDEX($AH$2:$AH$1001,MATCH(ROWS($AG$2:AG753),$AG$2:$AG$1001,0),1)&gt;=100000,INDEX($AN$1005:$BO$1005,1,MATCH(COLUMNS($AN$1006:AY1006),$AN$1006:$BO$1006,0))&gt;=100000), " ",IF(INDEX($AN$2:$BO$1001,MATCH(ROWS($AG$2:AG753),$AG$2:$AG$1001,0),MATCH(COLUMNS($AN$1006:AY1006),$AN$1006:$BO$1006,0)), HYPERLINK("#",""), HYPERLINK(CONCATENATE("#Metadata!", ADDRESS(INDEX($AI$2:$AI$1001,MATCH(ROWS($AG$2:AG753),$AG$2:$AG$1001,0),0), INDEX($AN$1004:$BO$1004,1,MATCH(COLUMNS($AN$1006:AY1006),$AN$1006:$BO$1006,0)))),"Fix")))</f>
        <v>0</v>
      </c>
      <c r="N753" s="4">
        <f>IF(OR(INDEX($AH$2:$AH$1001,MATCH(ROWS($AG$2:AG753),$AG$2:$AG$1001,0),1)&gt;=100000,INDEX($AN$1005:$BO$1005,1,MATCH(COLUMNS($AN$1006:AZ1006),$AN$1006:$BO$1006,0))&gt;=100000), " ",IF(INDEX($AN$2:$BO$1001,MATCH(ROWS($AG$2:AG753),$AG$2:$AG$1001,0),MATCH(COLUMNS($AN$1006:AZ1006),$AN$1006:$BO$1006,0)), HYPERLINK("#",""), HYPERLINK(CONCATENATE("#Metadata!", ADDRESS(INDEX($AI$2:$AI$1001,MATCH(ROWS($AG$2:AG753),$AG$2:$AG$1001,0),0), INDEX($AN$1004:$BO$1004,1,MATCH(COLUMNS($AN$1006:AZ1006),$AN$1006:$BO$1006,0)))),"Fix")))</f>
        <v>0</v>
      </c>
      <c r="O753" s="4">
        <f>IF(OR(INDEX($AH$2:$AH$1001,MATCH(ROWS($AG$2:AG753),$AG$2:$AG$1001,0),1)&gt;=100000,INDEX($AN$1005:$BO$1005,1,MATCH(COLUMNS($AN$1006:BA1006),$AN$1006:$BO$1006,0))&gt;=100000), " ",IF(INDEX($AN$2:$BO$1001,MATCH(ROWS($AG$2:AG753),$AG$2:$AG$1001,0),MATCH(COLUMNS($AN$1006:BA1006),$AN$1006:$BO$1006,0)), HYPERLINK("#",""), HYPERLINK(CONCATENATE("#Metadata!", ADDRESS(INDEX($AI$2:$AI$1001,MATCH(ROWS($AG$2:AG753),$AG$2:$AG$1001,0),0), INDEX($AN$1004:$BO$1004,1,MATCH(COLUMNS($AN$1006:BA1006),$AN$1006:$BO$1006,0)))),"Fix")))</f>
        <v>0</v>
      </c>
      <c r="P753" s="4">
        <f>IF(OR(INDEX($AH$2:$AH$1001,MATCH(ROWS($AG$2:AG753),$AG$2:$AG$1001,0),1)&gt;=100000,INDEX($AN$1005:$BO$1005,1,MATCH(COLUMNS($AN$1006:BB1006),$AN$1006:$BO$1006,0))&gt;=100000), " ",IF(INDEX($AN$2:$BO$1001,MATCH(ROWS($AG$2:AG753),$AG$2:$AG$1001,0),MATCH(COLUMNS($AN$1006:BB1006),$AN$1006:$BO$1006,0)), HYPERLINK("#",""), HYPERLINK(CONCATENATE("#Metadata!", ADDRESS(INDEX($AI$2:$AI$1001,MATCH(ROWS($AG$2:AG753),$AG$2:$AG$1001,0),0), INDEX($AN$1004:$BO$1004,1,MATCH(COLUMNS($AN$1006:BB1006),$AN$1006:$BO$1006,0)))),"Fix")))</f>
        <v>0</v>
      </c>
      <c r="Q753" s="4">
        <f>IF(OR(INDEX($AH$2:$AH$1001,MATCH(ROWS($AG$2:AG753),$AG$2:$AG$1001,0),1)&gt;=100000,INDEX($AN$1005:$BO$1005,1,MATCH(COLUMNS($AN$1006:BC1006),$AN$1006:$BO$1006,0))&gt;=100000), " ",IF(INDEX($AN$2:$BO$1001,MATCH(ROWS($AG$2:AG753),$AG$2:$AG$1001,0),MATCH(COLUMNS($AN$1006:BC1006),$AN$1006:$BO$1006,0)), HYPERLINK("#",""), HYPERLINK(CONCATENATE("#Metadata!", ADDRESS(INDEX($AI$2:$AI$1001,MATCH(ROWS($AG$2:AG753),$AG$2:$AG$1001,0),0), INDEX($AN$1004:$BO$1004,1,MATCH(COLUMNS($AN$1006:BC1006),$AN$1006:$BO$1006,0)))),"Fix")))</f>
        <v>0</v>
      </c>
      <c r="R753" s="4">
        <f>IF(OR(INDEX($AH$2:$AH$1001,MATCH(ROWS($AG$2:AG753),$AG$2:$AG$1001,0),1)&gt;=100000,INDEX($AN$1005:$BO$1005,1,MATCH(COLUMNS($AN$1006:BD1006),$AN$1006:$BO$1006,0))&gt;=100000), " ",IF(INDEX($AN$2:$BO$1001,MATCH(ROWS($AG$2:AG753),$AG$2:$AG$1001,0),MATCH(COLUMNS($AN$1006:BD1006),$AN$1006:$BO$1006,0)), HYPERLINK("#",""), HYPERLINK(CONCATENATE("#Metadata!", ADDRESS(INDEX($AI$2:$AI$1001,MATCH(ROWS($AG$2:AG753),$AG$2:$AG$1001,0),0), INDEX($AN$1004:$BO$1004,1,MATCH(COLUMNS($AN$1006:BD1006),$AN$1006:$BO$1006,0)))),"Fix")))</f>
        <v>0</v>
      </c>
      <c r="S753" s="4">
        <f>IF(OR(INDEX($AH$2:$AH$1001,MATCH(ROWS($AG$2:AG753),$AG$2:$AG$1001,0),1)&gt;=100000,INDEX($AN$1005:$BO$1005,1,MATCH(COLUMNS($AN$1006:BE1006),$AN$1006:$BO$1006,0))&gt;=100000), " ",IF(INDEX($AN$2:$BO$1001,MATCH(ROWS($AG$2:AG753),$AG$2:$AG$1001,0),MATCH(COLUMNS($AN$1006:BE1006),$AN$1006:$BO$1006,0)), HYPERLINK("#",""), HYPERLINK(CONCATENATE("#Metadata!", ADDRESS(INDEX($AI$2:$AI$1001,MATCH(ROWS($AG$2:AG753),$AG$2:$AG$1001,0),0), INDEX($AN$1004:$BO$1004,1,MATCH(COLUMNS($AN$1006:BE1006),$AN$1006:$BO$1006,0)))),"Fix")))</f>
        <v>0</v>
      </c>
      <c r="T753" s="4">
        <f>IF(OR(INDEX($AH$2:$AH$1001,MATCH(ROWS($AG$2:AG753),$AG$2:$AG$1001,0),1)&gt;=100000,INDEX($AN$1005:$BO$1005,1,MATCH(COLUMNS($AN$1006:BF1006),$AN$1006:$BO$1006,0))&gt;=100000), " ",IF(INDEX($AN$2:$BO$1001,MATCH(ROWS($AG$2:AG753),$AG$2:$AG$1001,0),MATCH(COLUMNS($AN$1006:BF1006),$AN$1006:$BO$1006,0)), HYPERLINK("#",""), HYPERLINK(CONCATENATE("#Metadata!", ADDRESS(INDEX($AI$2:$AI$1001,MATCH(ROWS($AG$2:AG753),$AG$2:$AG$1001,0),0), INDEX($AN$1004:$BO$1004,1,MATCH(COLUMNS($AN$1006:BF1006),$AN$1006:$BO$1006,0)))),"Fix")))</f>
        <v>0</v>
      </c>
      <c r="U753" s="4">
        <f>IF(OR(INDEX($AH$2:$AH$1001,MATCH(ROWS($AG$2:AG753),$AG$2:$AG$1001,0),1)&gt;=100000,INDEX($AN$1005:$BO$1005,1,MATCH(COLUMNS($AN$1006:BG1006),$AN$1006:$BO$1006,0))&gt;=100000), " ",IF(INDEX($AN$2:$BO$1001,MATCH(ROWS($AG$2:AG753),$AG$2:$AG$1001,0),MATCH(COLUMNS($AN$1006:BG1006),$AN$1006:$BO$1006,0)), HYPERLINK("#",""), HYPERLINK(CONCATENATE("#Metadata!", ADDRESS(INDEX($AI$2:$AI$1001,MATCH(ROWS($AG$2:AG753),$AG$2:$AG$1001,0),0), INDEX($AN$1004:$BO$1004,1,MATCH(COLUMNS($AN$1006:BG1006),$AN$1006:$BO$1006,0)))),"Fix")))</f>
        <v>0</v>
      </c>
      <c r="V753" s="4">
        <f>IF(OR(INDEX($AH$2:$AH$1001,MATCH(ROWS($AG$2:AG753),$AG$2:$AG$1001,0),1)&gt;=100000,INDEX($AN$1005:$BO$1005,1,MATCH(COLUMNS($AN$1006:BH1006),$AN$1006:$BO$1006,0))&gt;=100000), " ",IF(INDEX($AN$2:$BO$1001,MATCH(ROWS($AG$2:AG753),$AG$2:$AG$1001,0),MATCH(COLUMNS($AN$1006:BH1006),$AN$1006:$BO$1006,0)), HYPERLINK("#",""), HYPERLINK(CONCATENATE("#Metadata!", ADDRESS(INDEX($AI$2:$AI$1001,MATCH(ROWS($AG$2:AG753),$AG$2:$AG$1001,0),0), INDEX($AN$1004:$BO$1004,1,MATCH(COLUMNS($AN$1006:BH1006),$AN$1006:$BO$1006,0)))),"Fix")))</f>
        <v>0</v>
      </c>
      <c r="W753" s="4">
        <f>IF(OR(INDEX($AH$2:$AH$1001,MATCH(ROWS($AG$2:AG753),$AG$2:$AG$1001,0),1)&gt;=100000,INDEX($AN$1005:$BO$1005,1,MATCH(COLUMNS($AN$1006:BI1006),$AN$1006:$BO$1006,0))&gt;=100000), " ",IF(INDEX($AN$2:$BO$1001,MATCH(ROWS($AG$2:AG753),$AG$2:$AG$1001,0),MATCH(COLUMNS($AN$1006:BI1006),$AN$1006:$BO$1006,0)), HYPERLINK("#",""), HYPERLINK(CONCATENATE("#Metadata!", ADDRESS(INDEX($AI$2:$AI$1001,MATCH(ROWS($AG$2:AG753),$AG$2:$AG$1001,0),0), INDEX($AN$1004:$BO$1004,1,MATCH(COLUMNS($AN$1006:BI1006),$AN$1006:$BO$1006,0)))),"Fix")))</f>
        <v>0</v>
      </c>
      <c r="X753" s="4">
        <f>IF(OR(INDEX($AH$2:$AH$1001,MATCH(ROWS($AG$2:AG753),$AG$2:$AG$1001,0),1)&gt;=100000,INDEX($AN$1005:$BO$1005,1,MATCH(COLUMNS($AN$1006:BJ1006),$AN$1006:$BO$1006,0))&gt;=100000), " ",IF(INDEX($AN$2:$BO$1001,MATCH(ROWS($AG$2:AG753),$AG$2:$AG$1001,0),MATCH(COLUMNS($AN$1006:BJ1006),$AN$1006:$BO$1006,0)), HYPERLINK("#",""), HYPERLINK(CONCATENATE("#Metadata!", ADDRESS(INDEX($AI$2:$AI$1001,MATCH(ROWS($AG$2:AG753),$AG$2:$AG$1001,0),0), INDEX($AN$1004:$BO$1004,1,MATCH(COLUMNS($AN$1006:BJ1006),$AN$1006:$BO$1006,0)))),"Fix")))</f>
        <v>0</v>
      </c>
      <c r="Y753" s="4">
        <f>IF(OR(INDEX($AH$2:$AH$1001,MATCH(ROWS($AG$2:AG753),$AG$2:$AG$1001,0),1)&gt;=100000,INDEX($AN$1005:$BO$1005,1,MATCH(COLUMNS($AN$1006:BK1006),$AN$1006:$BO$1006,0))&gt;=100000), " ",IF(INDEX($AN$2:$BO$1001,MATCH(ROWS($AG$2:AG753),$AG$2:$AG$1001,0),MATCH(COLUMNS($AN$1006:BK1006),$AN$1006:$BO$1006,0)), HYPERLINK("#",""), HYPERLINK(CONCATENATE("#Metadata!", ADDRESS(INDEX($AI$2:$AI$1001,MATCH(ROWS($AG$2:AG753),$AG$2:$AG$1001,0),0), INDEX($AN$1004:$BO$1004,1,MATCH(COLUMNS($AN$1006:BK1006),$AN$1006:$BO$1006,0)))),"Fix")))</f>
        <v>0</v>
      </c>
      <c r="Z753" s="4">
        <f>IF(OR(INDEX($AH$2:$AH$1001,MATCH(ROWS($AG$2:AG753),$AG$2:$AG$1001,0),1)&gt;=100000,INDEX($AN$1005:$BO$1005,1,MATCH(COLUMNS($AN$1006:BL1006),$AN$1006:$BO$1006,0))&gt;=100000), " ",IF(INDEX($AN$2:$BO$1001,MATCH(ROWS($AG$2:AG753),$AG$2:$AG$1001,0),MATCH(COLUMNS($AN$1006:BL1006),$AN$1006:$BO$1006,0)), HYPERLINK("#",""), HYPERLINK(CONCATENATE("#Metadata!", ADDRESS(INDEX($AI$2:$AI$1001,MATCH(ROWS($AG$2:AG753),$AG$2:$AG$1001,0),0), INDEX($AN$1004:$BO$1004,1,MATCH(COLUMNS($AN$1006:BL1006),$AN$1006:$BO$1006,0)))),"Fix")))</f>
        <v>0</v>
      </c>
      <c r="AA753" s="4">
        <f>IF(OR(INDEX($AH$2:$AH$1001,MATCH(ROWS($AG$2:AG753),$AG$2:$AG$1001,0),1)&gt;=100000,INDEX($AN$1005:$BO$1005,1,MATCH(COLUMNS($AN$1006:BM1006),$AN$1006:$BO$1006,0))&gt;=100000), " ",IF(INDEX($AN$2:$BO$1001,MATCH(ROWS($AG$2:AG753),$AG$2:$AG$1001,0),MATCH(COLUMNS($AN$1006:BM1006),$AN$1006:$BO$1006,0)), HYPERLINK("#",""), HYPERLINK(CONCATENATE("#Metadata!", ADDRESS(INDEX($AI$2:$AI$1001,MATCH(ROWS($AG$2:AG753),$AG$2:$AG$1001,0),0), INDEX($AN$1004:$BO$1004,1,MATCH(COLUMNS($AN$1006:BM1006),$AN$1006:$BO$1006,0)))),"Fix")))</f>
        <v>0</v>
      </c>
      <c r="AB753" s="4">
        <f>IF(OR(INDEX($AH$2:$AH$1001,MATCH(ROWS($AG$2:AG753),$AG$2:$AG$1001,0),1)&gt;=100000,INDEX($AN$1005:$BO$1005,1,MATCH(COLUMNS($AN$1006:BN1006),$AN$1006:$BO$1006,0))&gt;=100000), " ",IF(INDEX($AN$2:$BO$1001,MATCH(ROWS($AG$2:AG753),$AG$2:$AG$1001,0),MATCH(COLUMNS($AN$1006:BN1006),$AN$1006:$BO$1006,0)), HYPERLINK("#",""), HYPERLINK(CONCATENATE("#Metadata!", ADDRESS(INDEX($AI$2:$AI$1001,MATCH(ROWS($AG$2:AG753),$AG$2:$AG$1001,0),0), INDEX($AN$1004:$BO$1004,1,MATCH(COLUMNS($AN$1006:BN1006),$AN$1006:$BO$1006,0)))),"Fix")))</f>
        <v>0</v>
      </c>
      <c r="AC753" s="4">
        <f>IF(OR(INDEX($AH$2:$AH$1001,MATCH(ROWS($AG$2:AG753),$AG$2:$AG$1001,0),1)&gt;=100000,INDEX($AN$1005:$BO$1005,1,MATCH(COLUMNS($AN$1006:BO1006),$AN$1006:$BO$1006,0))&gt;=100000), " ",IF(INDEX($AN$2:$BO$1001,MATCH(ROWS($AG$2:AG753),$AG$2:$AG$1001,0),MATCH(COLUMNS($AN$1006:BO1006),$AN$1006:$BO$1006,0)), HYPERLINK("#",""), HYPERLINK(CONCATENATE("#Metadata!", ADDRESS(INDEX($AI$2:$AI$1001,MATCH(ROWS($AG$2:AG753),$AG$2:$AG$1001,0),0), INDEX($AN$1004:$BO$1004,1,MATCH(COLUMNS($AN$1006:BO1006),$AN$1006:$BO$1006,0)))),"Fix")))</f>
        <v>0</v>
      </c>
      <c r="AG753">
        <v>0</v>
      </c>
      <c r="AH753">
        <v>0</v>
      </c>
      <c r="AI753">
        <v>0</v>
      </c>
      <c r="AJ753">
        <f>IF(AK753,TRUE,AND(AN753:BO753))</f>
        <v>0</v>
      </c>
      <c r="AK753">
        <f>COUNTBLANK(Metadata!B753:AC753)=COLUMNS(Metadata!B753:AC753)</f>
        <v>0</v>
      </c>
      <c r="AL753">
        <v>0</v>
      </c>
      <c r="AN753">
        <f>AND(IF(Metadata!B753="",FALSE,TRUE),COUNTIF(Metadata!B:B, Metadata!B753) = 1,NOT(ISERROR(SUMPRODUCT(SEARCH(MID(Metadata!B753,ROW(INDIRECT("1:"&amp;LEN(Metadata!B753))), 1),"0123456789abcdefghijklmnopqrstuvwxyzABCDEFGHIJKLMNOPQRSTUVWXYZ.")))))</f>
        <v>0</v>
      </c>
      <c r="AO753">
        <f>IF(Metadata!C753="",FALSE,TRUE)</f>
        <v>0</v>
      </c>
      <c r="AP753">
        <f>IF(Metadata!D753="",FALSE,TRUE)</f>
        <v>0</v>
      </c>
      <c r="AQ753">
        <f>OR(AND(IF(Metadata!E753="",FALSE,TRUE),OR(exact(Metadata!E753,"not collected"),exact(Metadata!E753,"not provided"),exact(Metadata!E753,"restricted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R753">
        <f>IF(Metadata!F753="",FALSE,TRUE)</f>
        <v>0</v>
      </c>
      <c r="AS753">
        <f>OR(AND(IF(Metadata!G753="",FALSE,TRUE),OR(exact(Metadata!G753,"not collected"),exact(Metadata!G753,"not provided"))),AND(IF(Metadata!G753="",FALSE,TRUE),OR(exact(Metadata!G753,"TRUE"),exact(Metadata!G753,"FALSE"))))</f>
        <v>0</v>
      </c>
      <c r="AT753">
        <f>OR(AND(IF(Metadata!H753="",FALSE,TRUE),OR(exact(Metadata!H753,"not collected"),exact(Metadata!H753,"not provided"),exact(Metadata!H753,"restricted access"))),AND(IF(Metadata!H753="",FALSE,ISNUMBER(VALUE(Metadata!H753))),Metadata!H753&gt;=-413.0))</f>
        <v>0</v>
      </c>
      <c r="AU753">
        <f>AND(IF(Metadata!I753="",FALSE,TRUE),exact(Metadata!I753,"meters"))</f>
        <v>0</v>
      </c>
      <c r="AV753">
        <f>AND(IF(Metadata!J753="",FALSE,TRUE),OR(exact(Metadata!J753,"Host-associated"),exact(Metadata!J753,"Free-living")))</f>
        <v>0</v>
      </c>
      <c r="AW753">
        <f>AND(IF(Metadata!K753="",FALSE,TRUE),OR(exact(Metadata!K753,"Animal"),exact(Metadata!K753,"Fungus"),exact(Metadata!K753,"Plant"),exact(Metadata!K753,"Saline"),exact(Metadata!K753,"Non-saline")))</f>
        <v>0</v>
      </c>
      <c r="AX753">
        <f>AND(IF(Metadata!L753="",FALSE,TRUE),OR(exact(Metadata!L753,"Plant secretion"),exact(Metadata!L753,"Plant rhizosphere"),exact(Metadata!L753,"Plant surface"),exact(Metadata!L753,"Plant corpus"),exact(Metadata!L753,"Fungus surface"),exact(Metadata!L753,"Fungus corpus"),exact(Metadata!L753,"Animal surface"),exact(Metadata!L753,"Animal proximal gut"),exact(Metadata!L753,"Animal corpus"),exact(Metadata!L753,"Animal distal gut"),exact(Metadata!L753,"Animal secretion"),exact(Metadata!L753,"Sub-surface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Y753">
        <f>IF(Metadata!M753="",FALSE,TRUE)</f>
        <v>0</v>
      </c>
      <c r="AZ753">
        <f>IF(Metadata!N753="",FALSE,TRUE)</f>
        <v>0</v>
      </c>
      <c r="BA753">
        <f>IF(Metadata!O753="",FALSE,TRUE)</f>
        <v>0</v>
      </c>
      <c r="BB753">
        <f>OR(AND(IF(Metadata!P753="",FALSE,TRUE),OR(exact(Metadata!P753,"not collected"),exact(Metadata!P753,"not provided"),exact(Metadata!P753,"restricted access"))),AND(IF(Metadata!P753="",FALSE,TRUE),OR(exact(Metadata!P753,"air"),exact(Metadata!P753,"built environment"),exact(Metadata!P753,"host-associated"),exact(Metadata!P753,"human-associated"),exact(Metadata!P753,"human-skin"),exact(Metadata!P753,"human-oral"),exact(Metadata!P753,"human-gut"),exact(Metadata!P753,"human-vaginal"),exact(Metadata!P753,"microbial mat/biofilm"),exact(Metadata!P753,"misc environment"),exact(Metadata!P753,"plant-associated"),exact(Metadata!P753,"sediment"),exact(Metadata!P753,"soil"),exact(Metadata!P753,"wastewater/sludge"),exact(Metadata!P753,"water"))))</f>
        <v>0</v>
      </c>
      <c r="BC753">
        <f>IF(Metadata!Q753="",FALSE,TRUE)</f>
        <v>0</v>
      </c>
      <c r="BD753">
        <f>IF(Metadata!R753="",FALSE,TRUE)</f>
        <v>0</v>
      </c>
      <c r="BE753">
        <f>OR(AND(IF(Metadata!S753="",FALSE,TRUE),OR(exact(Metadata!S753,"not collected"),exact(Metadata!S753,"not provided"),exact(Metadata!S753,"restricted access"))),AND(IF(Metadata!S753="",FALSE,ISNUMBER(VALUE(Metadata!S753))),Metadata!S753&gt;=-90.00,Metadata!S753&lt;=90.00))</f>
        <v>0</v>
      </c>
      <c r="BF753">
        <f>AND(IF(Metadata!T753="",FALSE,TRUE),exact(Metadata!T753,"Decimal degrees"))</f>
        <v>0</v>
      </c>
      <c r="BG753">
        <f>OR(AND(IF(Metadata!U753="",FALSE,TRUE),OR(exact(Metadata!U753,"not collected"),exact(Metadata!U753,"not provided"),exact(Metadata!U753,"restricted access"))),AND(IF(Metadata!U753="",FALSE,ISNUMBER(VALUE(Metadata!U753))),Metadata!U753&gt;=-180.00,Metadata!U753&lt;=180.00))</f>
        <v>0</v>
      </c>
      <c r="BH753">
        <f>AND(IF(Metadata!V753="",FALSE,TRUE),exact(Metadata!V753,"Decimal degrees"))</f>
        <v>0</v>
      </c>
      <c r="BI753">
        <f>IF(Metadata!W753="",FALSE,TRUE)</f>
        <v>0</v>
      </c>
      <c r="BJ753">
        <f>OR(AND(IF(Metadata!X753="",FALSE,TRUE),OR(exact(Metadata!X753,"not collected"),exact(Metadata!X753,"not provided"),exact(Metadata!X753,"restricted access"))),AND(IF(Metadata!X753="",FALSE,TRUE),OR(exact(Metadata!X753,"TRUE"),exact(Metadata!X753,"FALSE"))))</f>
        <v>0</v>
      </c>
      <c r="BK753">
        <f>AND(IF(Metadata!Y753="",FALSE,TRUE),exact(Metadata!Y753,"other"))</f>
        <v>0</v>
      </c>
      <c r="BL753">
        <f>IF(Metadata!Z753="",FALSE,TRUE)</f>
        <v>0</v>
      </c>
      <c r="BM753">
        <f>OR(AND(IF(Metadata!AA753="",FALSE,TRUE),OR(exact(Metadata!AA753,"not collected"),exact(Metadata!AA753,"not provided"))),AND(IF(Metadata!AA753="",FALSE,IF(ISERROR(INT(Metadata!AA753)),FALSE,INT(Metadata!AA753)=Metadata!AA753)),Metadata!AA753&gt;0))</f>
        <v>0</v>
      </c>
      <c r="BN753">
        <f>AND(IF(Metadata!AB753="",FALSE,TRUE),exact(Metadata!AB753,"Not applicable"))</f>
        <v>0</v>
      </c>
      <c r="BO753">
        <f>IF(Metadata!AC753="",FALSE,TRUE)</f>
        <v>0</v>
      </c>
    </row>
    <row r="754" spans="1:67">
      <c r="A754" s="5">
        <f>IF(B754=" "," ",HYPERLINK(CONCATENATE("#metadata!",ADDRESS(INDEX($AI$2:$AI$1001,MATCH(ROWS($AG$2:AG754),$AG$2:$AG$1001,0),0),1)),INDEX($AL$2:$AL$1001,MATCH(ROWS($AG$2:AG754),$AG$2:$AG$1001,0),0)))</f>
        <v>0</v>
      </c>
      <c r="B754" s="4">
        <f>IF(OR(INDEX($AH$2:$AH$1001,MATCH(ROWS($AG$2:AG754),$AG$2:$AG$1001,0),1)&gt;=100000,INDEX($AN$1005:$BO$1005,1,MATCH(COLUMNS($AN$1006:AN1006),$AN$1006:$BO$1006,0))&gt;=100000), " ",IF(INDEX($AN$2:$BO$1001,MATCH(ROWS($AG$2:AG754),$AG$2:$AG$1001,0),MATCH(COLUMNS($AN$1006:AN1006),$AN$1006:$BO$1006,0)), HYPERLINK("#",""), HYPERLINK(CONCATENATE("#Metadata!", ADDRESS(INDEX($AI$2:$AI$1001,MATCH(ROWS($AG$2:AG754),$AG$2:$AG$1001,0),0), INDEX($AN$1004:$BO$1004,1,MATCH(COLUMNS($AN$1006:AN1006),$AN$1006:$BO$1006,0)))),"Fix")))</f>
        <v>0</v>
      </c>
      <c r="C754" s="4">
        <f>IF(OR(INDEX($AH$2:$AH$1001,MATCH(ROWS($AG$2:AG754),$AG$2:$AG$1001,0),1)&gt;=100000,INDEX($AN$1005:$BO$1005,1,MATCH(COLUMNS($AN$1006:AO1006),$AN$1006:$BO$1006,0))&gt;=100000), " ",IF(INDEX($AN$2:$BO$1001,MATCH(ROWS($AG$2:AG754),$AG$2:$AG$1001,0),MATCH(COLUMNS($AN$1006:AO1006),$AN$1006:$BO$1006,0)), HYPERLINK("#",""), HYPERLINK(CONCATENATE("#Metadata!", ADDRESS(INDEX($AI$2:$AI$1001,MATCH(ROWS($AG$2:AG754),$AG$2:$AG$1001,0),0), INDEX($AN$1004:$BO$1004,1,MATCH(COLUMNS($AN$1006:AO1006),$AN$1006:$BO$1006,0)))),"Fix")))</f>
        <v>0</v>
      </c>
      <c r="D754" s="4">
        <f>IF(OR(INDEX($AH$2:$AH$1001,MATCH(ROWS($AG$2:AG754),$AG$2:$AG$1001,0),1)&gt;=100000,INDEX($AN$1005:$BO$1005,1,MATCH(COLUMNS($AN$1006:AP1006),$AN$1006:$BO$1006,0))&gt;=100000), " ",IF(INDEX($AN$2:$BO$1001,MATCH(ROWS($AG$2:AG754),$AG$2:$AG$1001,0),MATCH(COLUMNS($AN$1006:AP1006),$AN$1006:$BO$1006,0)), HYPERLINK("#",""), HYPERLINK(CONCATENATE("#Metadata!", ADDRESS(INDEX($AI$2:$AI$1001,MATCH(ROWS($AG$2:AG754),$AG$2:$AG$1001,0),0), INDEX($AN$1004:$BO$1004,1,MATCH(COLUMNS($AN$1006:AP1006),$AN$1006:$BO$1006,0)))),"Fix")))</f>
        <v>0</v>
      </c>
      <c r="E754" s="4">
        <f>IF(OR(INDEX($AH$2:$AH$1001,MATCH(ROWS($AG$2:AG754),$AG$2:$AG$1001,0),1)&gt;=100000,INDEX($AN$1005:$BO$1005,1,MATCH(COLUMNS($AN$1006:AQ1006),$AN$1006:$BO$1006,0))&gt;=100000), " ",IF(INDEX($AN$2:$BO$1001,MATCH(ROWS($AG$2:AG754),$AG$2:$AG$1001,0),MATCH(COLUMNS($AN$1006:AQ1006),$AN$1006:$BO$1006,0)), HYPERLINK("#",""), HYPERLINK(CONCATENATE("#Metadata!", ADDRESS(INDEX($AI$2:$AI$1001,MATCH(ROWS($AG$2:AG754),$AG$2:$AG$1001,0),0), INDEX($AN$1004:$BO$1004,1,MATCH(COLUMNS($AN$1006:AQ1006),$AN$1006:$BO$1006,0)))),"Fix")))</f>
        <v>0</v>
      </c>
      <c r="F754" s="4">
        <f>IF(OR(INDEX($AH$2:$AH$1001,MATCH(ROWS($AG$2:AG754),$AG$2:$AG$1001,0),1)&gt;=100000,INDEX($AN$1005:$BO$1005,1,MATCH(COLUMNS($AN$1006:AR1006),$AN$1006:$BO$1006,0))&gt;=100000), " ",IF(INDEX($AN$2:$BO$1001,MATCH(ROWS($AG$2:AG754),$AG$2:$AG$1001,0),MATCH(COLUMNS($AN$1006:AR1006),$AN$1006:$BO$1006,0)), HYPERLINK("#",""), HYPERLINK(CONCATENATE("#Metadata!", ADDRESS(INDEX($AI$2:$AI$1001,MATCH(ROWS($AG$2:AG754),$AG$2:$AG$1001,0),0), INDEX($AN$1004:$BO$1004,1,MATCH(COLUMNS($AN$1006:AR1006),$AN$1006:$BO$1006,0)))),"Fix")))</f>
        <v>0</v>
      </c>
      <c r="G754" s="4">
        <f>IF(OR(INDEX($AH$2:$AH$1001,MATCH(ROWS($AG$2:AG754),$AG$2:$AG$1001,0),1)&gt;=100000,INDEX($AN$1005:$BO$1005,1,MATCH(COLUMNS($AN$1006:AS1006),$AN$1006:$BO$1006,0))&gt;=100000), " ",IF(INDEX($AN$2:$BO$1001,MATCH(ROWS($AG$2:AG754),$AG$2:$AG$1001,0),MATCH(COLUMNS($AN$1006:AS1006),$AN$1006:$BO$1006,0)), HYPERLINK("#",""), HYPERLINK(CONCATENATE("#Metadata!", ADDRESS(INDEX($AI$2:$AI$1001,MATCH(ROWS($AG$2:AG754),$AG$2:$AG$1001,0),0), INDEX($AN$1004:$BO$1004,1,MATCH(COLUMNS($AN$1006:AS1006),$AN$1006:$BO$1006,0)))),"Fix")))</f>
        <v>0</v>
      </c>
      <c r="H754" s="4">
        <f>IF(OR(INDEX($AH$2:$AH$1001,MATCH(ROWS($AG$2:AG754),$AG$2:$AG$1001,0),1)&gt;=100000,INDEX($AN$1005:$BO$1005,1,MATCH(COLUMNS($AN$1006:AT1006),$AN$1006:$BO$1006,0))&gt;=100000), " ",IF(INDEX($AN$2:$BO$1001,MATCH(ROWS($AG$2:AG754),$AG$2:$AG$1001,0),MATCH(COLUMNS($AN$1006:AT1006),$AN$1006:$BO$1006,0)), HYPERLINK("#",""), HYPERLINK(CONCATENATE("#Metadata!", ADDRESS(INDEX($AI$2:$AI$1001,MATCH(ROWS($AG$2:AG754),$AG$2:$AG$1001,0),0), INDEX($AN$1004:$BO$1004,1,MATCH(COLUMNS($AN$1006:AT1006),$AN$1006:$BO$1006,0)))),"Fix")))</f>
        <v>0</v>
      </c>
      <c r="I754" s="4">
        <f>IF(OR(INDEX($AH$2:$AH$1001,MATCH(ROWS($AG$2:AG754),$AG$2:$AG$1001,0),1)&gt;=100000,INDEX($AN$1005:$BO$1005,1,MATCH(COLUMNS($AN$1006:AU1006),$AN$1006:$BO$1006,0))&gt;=100000), " ",IF(INDEX($AN$2:$BO$1001,MATCH(ROWS($AG$2:AG754),$AG$2:$AG$1001,0),MATCH(COLUMNS($AN$1006:AU1006),$AN$1006:$BO$1006,0)), HYPERLINK("#",""), HYPERLINK(CONCATENATE("#Metadata!", ADDRESS(INDEX($AI$2:$AI$1001,MATCH(ROWS($AG$2:AG754),$AG$2:$AG$1001,0),0), INDEX($AN$1004:$BO$1004,1,MATCH(COLUMNS($AN$1006:AU1006),$AN$1006:$BO$1006,0)))),"Fix")))</f>
        <v>0</v>
      </c>
      <c r="J754" s="4">
        <f>IF(OR(INDEX($AH$2:$AH$1001,MATCH(ROWS($AG$2:AG754),$AG$2:$AG$1001,0),1)&gt;=100000,INDEX($AN$1005:$BO$1005,1,MATCH(COLUMNS($AN$1006:AV1006),$AN$1006:$BO$1006,0))&gt;=100000), " ",IF(INDEX($AN$2:$BO$1001,MATCH(ROWS($AG$2:AG754),$AG$2:$AG$1001,0),MATCH(COLUMNS($AN$1006:AV1006),$AN$1006:$BO$1006,0)), HYPERLINK("#",""), HYPERLINK(CONCATENATE("#Metadata!", ADDRESS(INDEX($AI$2:$AI$1001,MATCH(ROWS($AG$2:AG754),$AG$2:$AG$1001,0),0), INDEX($AN$1004:$BO$1004,1,MATCH(COLUMNS($AN$1006:AV1006),$AN$1006:$BO$1006,0)))),"Fix")))</f>
        <v>0</v>
      </c>
      <c r="K754" s="4">
        <f>IF(OR(INDEX($AH$2:$AH$1001,MATCH(ROWS($AG$2:AG754),$AG$2:$AG$1001,0),1)&gt;=100000,INDEX($AN$1005:$BO$1005,1,MATCH(COLUMNS($AN$1006:AW1006),$AN$1006:$BO$1006,0))&gt;=100000), " ",IF(INDEX($AN$2:$BO$1001,MATCH(ROWS($AG$2:AG754),$AG$2:$AG$1001,0),MATCH(COLUMNS($AN$1006:AW1006),$AN$1006:$BO$1006,0)), HYPERLINK("#",""), HYPERLINK(CONCATENATE("#Metadata!", ADDRESS(INDEX($AI$2:$AI$1001,MATCH(ROWS($AG$2:AG754),$AG$2:$AG$1001,0),0), INDEX($AN$1004:$BO$1004,1,MATCH(COLUMNS($AN$1006:AW1006),$AN$1006:$BO$1006,0)))),"Fix")))</f>
        <v>0</v>
      </c>
      <c r="L754" s="4">
        <f>IF(OR(INDEX($AH$2:$AH$1001,MATCH(ROWS($AG$2:AG754),$AG$2:$AG$1001,0),1)&gt;=100000,INDEX($AN$1005:$BO$1005,1,MATCH(COLUMNS($AN$1006:AX1006),$AN$1006:$BO$1006,0))&gt;=100000), " ",IF(INDEX($AN$2:$BO$1001,MATCH(ROWS($AG$2:AG754),$AG$2:$AG$1001,0),MATCH(COLUMNS($AN$1006:AX1006),$AN$1006:$BO$1006,0)), HYPERLINK("#",""), HYPERLINK(CONCATENATE("#Metadata!", ADDRESS(INDEX($AI$2:$AI$1001,MATCH(ROWS($AG$2:AG754),$AG$2:$AG$1001,0),0), INDEX($AN$1004:$BO$1004,1,MATCH(COLUMNS($AN$1006:AX1006),$AN$1006:$BO$1006,0)))),"Fix")))</f>
        <v>0</v>
      </c>
      <c r="M754" s="4">
        <f>IF(OR(INDEX($AH$2:$AH$1001,MATCH(ROWS($AG$2:AG754),$AG$2:$AG$1001,0),1)&gt;=100000,INDEX($AN$1005:$BO$1005,1,MATCH(COLUMNS($AN$1006:AY1006),$AN$1006:$BO$1006,0))&gt;=100000), " ",IF(INDEX($AN$2:$BO$1001,MATCH(ROWS($AG$2:AG754),$AG$2:$AG$1001,0),MATCH(COLUMNS($AN$1006:AY1006),$AN$1006:$BO$1006,0)), HYPERLINK("#",""), HYPERLINK(CONCATENATE("#Metadata!", ADDRESS(INDEX($AI$2:$AI$1001,MATCH(ROWS($AG$2:AG754),$AG$2:$AG$1001,0),0), INDEX($AN$1004:$BO$1004,1,MATCH(COLUMNS($AN$1006:AY1006),$AN$1006:$BO$1006,0)))),"Fix")))</f>
        <v>0</v>
      </c>
      <c r="N754" s="4">
        <f>IF(OR(INDEX($AH$2:$AH$1001,MATCH(ROWS($AG$2:AG754),$AG$2:$AG$1001,0),1)&gt;=100000,INDEX($AN$1005:$BO$1005,1,MATCH(COLUMNS($AN$1006:AZ1006),$AN$1006:$BO$1006,0))&gt;=100000), " ",IF(INDEX($AN$2:$BO$1001,MATCH(ROWS($AG$2:AG754),$AG$2:$AG$1001,0),MATCH(COLUMNS($AN$1006:AZ1006),$AN$1006:$BO$1006,0)), HYPERLINK("#",""), HYPERLINK(CONCATENATE("#Metadata!", ADDRESS(INDEX($AI$2:$AI$1001,MATCH(ROWS($AG$2:AG754),$AG$2:$AG$1001,0),0), INDEX($AN$1004:$BO$1004,1,MATCH(COLUMNS($AN$1006:AZ1006),$AN$1006:$BO$1006,0)))),"Fix")))</f>
        <v>0</v>
      </c>
      <c r="O754" s="4">
        <f>IF(OR(INDEX($AH$2:$AH$1001,MATCH(ROWS($AG$2:AG754),$AG$2:$AG$1001,0),1)&gt;=100000,INDEX($AN$1005:$BO$1005,1,MATCH(COLUMNS($AN$1006:BA1006),$AN$1006:$BO$1006,0))&gt;=100000), " ",IF(INDEX($AN$2:$BO$1001,MATCH(ROWS($AG$2:AG754),$AG$2:$AG$1001,0),MATCH(COLUMNS($AN$1006:BA1006),$AN$1006:$BO$1006,0)), HYPERLINK("#",""), HYPERLINK(CONCATENATE("#Metadata!", ADDRESS(INDEX($AI$2:$AI$1001,MATCH(ROWS($AG$2:AG754),$AG$2:$AG$1001,0),0), INDEX($AN$1004:$BO$1004,1,MATCH(COLUMNS($AN$1006:BA1006),$AN$1006:$BO$1006,0)))),"Fix")))</f>
        <v>0</v>
      </c>
      <c r="P754" s="4">
        <f>IF(OR(INDEX($AH$2:$AH$1001,MATCH(ROWS($AG$2:AG754),$AG$2:$AG$1001,0),1)&gt;=100000,INDEX($AN$1005:$BO$1005,1,MATCH(COLUMNS($AN$1006:BB1006),$AN$1006:$BO$1006,0))&gt;=100000), " ",IF(INDEX($AN$2:$BO$1001,MATCH(ROWS($AG$2:AG754),$AG$2:$AG$1001,0),MATCH(COLUMNS($AN$1006:BB1006),$AN$1006:$BO$1006,0)), HYPERLINK("#",""), HYPERLINK(CONCATENATE("#Metadata!", ADDRESS(INDEX($AI$2:$AI$1001,MATCH(ROWS($AG$2:AG754),$AG$2:$AG$1001,0),0), INDEX($AN$1004:$BO$1004,1,MATCH(COLUMNS($AN$1006:BB1006),$AN$1006:$BO$1006,0)))),"Fix")))</f>
        <v>0</v>
      </c>
      <c r="Q754" s="4">
        <f>IF(OR(INDEX($AH$2:$AH$1001,MATCH(ROWS($AG$2:AG754),$AG$2:$AG$1001,0),1)&gt;=100000,INDEX($AN$1005:$BO$1005,1,MATCH(COLUMNS($AN$1006:BC1006),$AN$1006:$BO$1006,0))&gt;=100000), " ",IF(INDEX($AN$2:$BO$1001,MATCH(ROWS($AG$2:AG754),$AG$2:$AG$1001,0),MATCH(COLUMNS($AN$1006:BC1006),$AN$1006:$BO$1006,0)), HYPERLINK("#",""), HYPERLINK(CONCATENATE("#Metadata!", ADDRESS(INDEX($AI$2:$AI$1001,MATCH(ROWS($AG$2:AG754),$AG$2:$AG$1001,0),0), INDEX($AN$1004:$BO$1004,1,MATCH(COLUMNS($AN$1006:BC1006),$AN$1006:$BO$1006,0)))),"Fix")))</f>
        <v>0</v>
      </c>
      <c r="R754" s="4">
        <f>IF(OR(INDEX($AH$2:$AH$1001,MATCH(ROWS($AG$2:AG754),$AG$2:$AG$1001,0),1)&gt;=100000,INDEX($AN$1005:$BO$1005,1,MATCH(COLUMNS($AN$1006:BD1006),$AN$1006:$BO$1006,0))&gt;=100000), " ",IF(INDEX($AN$2:$BO$1001,MATCH(ROWS($AG$2:AG754),$AG$2:$AG$1001,0),MATCH(COLUMNS($AN$1006:BD1006),$AN$1006:$BO$1006,0)), HYPERLINK("#",""), HYPERLINK(CONCATENATE("#Metadata!", ADDRESS(INDEX($AI$2:$AI$1001,MATCH(ROWS($AG$2:AG754),$AG$2:$AG$1001,0),0), INDEX($AN$1004:$BO$1004,1,MATCH(COLUMNS($AN$1006:BD1006),$AN$1006:$BO$1006,0)))),"Fix")))</f>
        <v>0</v>
      </c>
      <c r="S754" s="4">
        <f>IF(OR(INDEX($AH$2:$AH$1001,MATCH(ROWS($AG$2:AG754),$AG$2:$AG$1001,0),1)&gt;=100000,INDEX($AN$1005:$BO$1005,1,MATCH(COLUMNS($AN$1006:BE1006),$AN$1006:$BO$1006,0))&gt;=100000), " ",IF(INDEX($AN$2:$BO$1001,MATCH(ROWS($AG$2:AG754),$AG$2:$AG$1001,0),MATCH(COLUMNS($AN$1006:BE1006),$AN$1006:$BO$1006,0)), HYPERLINK("#",""), HYPERLINK(CONCATENATE("#Metadata!", ADDRESS(INDEX($AI$2:$AI$1001,MATCH(ROWS($AG$2:AG754),$AG$2:$AG$1001,0),0), INDEX($AN$1004:$BO$1004,1,MATCH(COLUMNS($AN$1006:BE1006),$AN$1006:$BO$1006,0)))),"Fix")))</f>
        <v>0</v>
      </c>
      <c r="T754" s="4">
        <f>IF(OR(INDEX($AH$2:$AH$1001,MATCH(ROWS($AG$2:AG754),$AG$2:$AG$1001,0),1)&gt;=100000,INDEX($AN$1005:$BO$1005,1,MATCH(COLUMNS($AN$1006:BF1006),$AN$1006:$BO$1006,0))&gt;=100000), " ",IF(INDEX($AN$2:$BO$1001,MATCH(ROWS($AG$2:AG754),$AG$2:$AG$1001,0),MATCH(COLUMNS($AN$1006:BF1006),$AN$1006:$BO$1006,0)), HYPERLINK("#",""), HYPERLINK(CONCATENATE("#Metadata!", ADDRESS(INDEX($AI$2:$AI$1001,MATCH(ROWS($AG$2:AG754),$AG$2:$AG$1001,0),0), INDEX($AN$1004:$BO$1004,1,MATCH(COLUMNS($AN$1006:BF1006),$AN$1006:$BO$1006,0)))),"Fix")))</f>
        <v>0</v>
      </c>
      <c r="U754" s="4">
        <f>IF(OR(INDEX($AH$2:$AH$1001,MATCH(ROWS($AG$2:AG754),$AG$2:$AG$1001,0),1)&gt;=100000,INDEX($AN$1005:$BO$1005,1,MATCH(COLUMNS($AN$1006:BG1006),$AN$1006:$BO$1006,0))&gt;=100000), " ",IF(INDEX($AN$2:$BO$1001,MATCH(ROWS($AG$2:AG754),$AG$2:$AG$1001,0),MATCH(COLUMNS($AN$1006:BG1006),$AN$1006:$BO$1006,0)), HYPERLINK("#",""), HYPERLINK(CONCATENATE("#Metadata!", ADDRESS(INDEX($AI$2:$AI$1001,MATCH(ROWS($AG$2:AG754),$AG$2:$AG$1001,0),0), INDEX($AN$1004:$BO$1004,1,MATCH(COLUMNS($AN$1006:BG1006),$AN$1006:$BO$1006,0)))),"Fix")))</f>
        <v>0</v>
      </c>
      <c r="V754" s="4">
        <f>IF(OR(INDEX($AH$2:$AH$1001,MATCH(ROWS($AG$2:AG754),$AG$2:$AG$1001,0),1)&gt;=100000,INDEX($AN$1005:$BO$1005,1,MATCH(COLUMNS($AN$1006:BH1006),$AN$1006:$BO$1006,0))&gt;=100000), " ",IF(INDEX($AN$2:$BO$1001,MATCH(ROWS($AG$2:AG754),$AG$2:$AG$1001,0),MATCH(COLUMNS($AN$1006:BH1006),$AN$1006:$BO$1006,0)), HYPERLINK("#",""), HYPERLINK(CONCATENATE("#Metadata!", ADDRESS(INDEX($AI$2:$AI$1001,MATCH(ROWS($AG$2:AG754),$AG$2:$AG$1001,0),0), INDEX($AN$1004:$BO$1004,1,MATCH(COLUMNS($AN$1006:BH1006),$AN$1006:$BO$1006,0)))),"Fix")))</f>
        <v>0</v>
      </c>
      <c r="W754" s="4">
        <f>IF(OR(INDEX($AH$2:$AH$1001,MATCH(ROWS($AG$2:AG754),$AG$2:$AG$1001,0),1)&gt;=100000,INDEX($AN$1005:$BO$1005,1,MATCH(COLUMNS($AN$1006:BI1006),$AN$1006:$BO$1006,0))&gt;=100000), " ",IF(INDEX($AN$2:$BO$1001,MATCH(ROWS($AG$2:AG754),$AG$2:$AG$1001,0),MATCH(COLUMNS($AN$1006:BI1006),$AN$1006:$BO$1006,0)), HYPERLINK("#",""), HYPERLINK(CONCATENATE("#Metadata!", ADDRESS(INDEX($AI$2:$AI$1001,MATCH(ROWS($AG$2:AG754),$AG$2:$AG$1001,0),0), INDEX($AN$1004:$BO$1004,1,MATCH(COLUMNS($AN$1006:BI1006),$AN$1006:$BO$1006,0)))),"Fix")))</f>
        <v>0</v>
      </c>
      <c r="X754" s="4">
        <f>IF(OR(INDEX($AH$2:$AH$1001,MATCH(ROWS($AG$2:AG754),$AG$2:$AG$1001,0),1)&gt;=100000,INDEX($AN$1005:$BO$1005,1,MATCH(COLUMNS($AN$1006:BJ1006),$AN$1006:$BO$1006,0))&gt;=100000), " ",IF(INDEX($AN$2:$BO$1001,MATCH(ROWS($AG$2:AG754),$AG$2:$AG$1001,0),MATCH(COLUMNS($AN$1006:BJ1006),$AN$1006:$BO$1006,0)), HYPERLINK("#",""), HYPERLINK(CONCATENATE("#Metadata!", ADDRESS(INDEX($AI$2:$AI$1001,MATCH(ROWS($AG$2:AG754),$AG$2:$AG$1001,0),0), INDEX($AN$1004:$BO$1004,1,MATCH(COLUMNS($AN$1006:BJ1006),$AN$1006:$BO$1006,0)))),"Fix")))</f>
        <v>0</v>
      </c>
      <c r="Y754" s="4">
        <f>IF(OR(INDEX($AH$2:$AH$1001,MATCH(ROWS($AG$2:AG754),$AG$2:$AG$1001,0),1)&gt;=100000,INDEX($AN$1005:$BO$1005,1,MATCH(COLUMNS($AN$1006:BK1006),$AN$1006:$BO$1006,0))&gt;=100000), " ",IF(INDEX($AN$2:$BO$1001,MATCH(ROWS($AG$2:AG754),$AG$2:$AG$1001,0),MATCH(COLUMNS($AN$1006:BK1006),$AN$1006:$BO$1006,0)), HYPERLINK("#",""), HYPERLINK(CONCATENATE("#Metadata!", ADDRESS(INDEX($AI$2:$AI$1001,MATCH(ROWS($AG$2:AG754),$AG$2:$AG$1001,0),0), INDEX($AN$1004:$BO$1004,1,MATCH(COLUMNS($AN$1006:BK1006),$AN$1006:$BO$1006,0)))),"Fix")))</f>
        <v>0</v>
      </c>
      <c r="Z754" s="4">
        <f>IF(OR(INDEX($AH$2:$AH$1001,MATCH(ROWS($AG$2:AG754),$AG$2:$AG$1001,0),1)&gt;=100000,INDEX($AN$1005:$BO$1005,1,MATCH(COLUMNS($AN$1006:BL1006),$AN$1006:$BO$1006,0))&gt;=100000), " ",IF(INDEX($AN$2:$BO$1001,MATCH(ROWS($AG$2:AG754),$AG$2:$AG$1001,0),MATCH(COLUMNS($AN$1006:BL1006),$AN$1006:$BO$1006,0)), HYPERLINK("#",""), HYPERLINK(CONCATENATE("#Metadata!", ADDRESS(INDEX($AI$2:$AI$1001,MATCH(ROWS($AG$2:AG754),$AG$2:$AG$1001,0),0), INDEX($AN$1004:$BO$1004,1,MATCH(COLUMNS($AN$1006:BL1006),$AN$1006:$BO$1006,0)))),"Fix")))</f>
        <v>0</v>
      </c>
      <c r="AA754" s="4">
        <f>IF(OR(INDEX($AH$2:$AH$1001,MATCH(ROWS($AG$2:AG754),$AG$2:$AG$1001,0),1)&gt;=100000,INDEX($AN$1005:$BO$1005,1,MATCH(COLUMNS($AN$1006:BM1006),$AN$1006:$BO$1006,0))&gt;=100000), " ",IF(INDEX($AN$2:$BO$1001,MATCH(ROWS($AG$2:AG754),$AG$2:$AG$1001,0),MATCH(COLUMNS($AN$1006:BM1006),$AN$1006:$BO$1006,0)), HYPERLINK("#",""), HYPERLINK(CONCATENATE("#Metadata!", ADDRESS(INDEX($AI$2:$AI$1001,MATCH(ROWS($AG$2:AG754),$AG$2:$AG$1001,0),0), INDEX($AN$1004:$BO$1004,1,MATCH(COLUMNS($AN$1006:BM1006),$AN$1006:$BO$1006,0)))),"Fix")))</f>
        <v>0</v>
      </c>
      <c r="AB754" s="4">
        <f>IF(OR(INDEX($AH$2:$AH$1001,MATCH(ROWS($AG$2:AG754),$AG$2:$AG$1001,0),1)&gt;=100000,INDEX($AN$1005:$BO$1005,1,MATCH(COLUMNS($AN$1006:BN1006),$AN$1006:$BO$1006,0))&gt;=100000), " ",IF(INDEX($AN$2:$BO$1001,MATCH(ROWS($AG$2:AG754),$AG$2:$AG$1001,0),MATCH(COLUMNS($AN$1006:BN1006),$AN$1006:$BO$1006,0)), HYPERLINK("#",""), HYPERLINK(CONCATENATE("#Metadata!", ADDRESS(INDEX($AI$2:$AI$1001,MATCH(ROWS($AG$2:AG754),$AG$2:$AG$1001,0),0), INDEX($AN$1004:$BO$1004,1,MATCH(COLUMNS($AN$1006:BN1006),$AN$1006:$BO$1006,0)))),"Fix")))</f>
        <v>0</v>
      </c>
      <c r="AC754" s="4">
        <f>IF(OR(INDEX($AH$2:$AH$1001,MATCH(ROWS($AG$2:AG754),$AG$2:$AG$1001,0),1)&gt;=100000,INDEX($AN$1005:$BO$1005,1,MATCH(COLUMNS($AN$1006:BO1006),$AN$1006:$BO$1006,0))&gt;=100000), " ",IF(INDEX($AN$2:$BO$1001,MATCH(ROWS($AG$2:AG754),$AG$2:$AG$1001,0),MATCH(COLUMNS($AN$1006:BO1006),$AN$1006:$BO$1006,0)), HYPERLINK("#",""), HYPERLINK(CONCATENATE("#Metadata!", ADDRESS(INDEX($AI$2:$AI$1001,MATCH(ROWS($AG$2:AG754),$AG$2:$AG$1001,0),0), INDEX($AN$1004:$BO$1004,1,MATCH(COLUMNS($AN$1006:BO1006),$AN$1006:$BO$1006,0)))),"Fix")))</f>
        <v>0</v>
      </c>
      <c r="AG754">
        <v>0</v>
      </c>
      <c r="AH754">
        <v>0</v>
      </c>
      <c r="AI754">
        <v>0</v>
      </c>
      <c r="AJ754">
        <f>IF(AK754,TRUE,AND(AN754:BO754))</f>
        <v>0</v>
      </c>
      <c r="AK754">
        <f>COUNTBLANK(Metadata!B754:AC754)=COLUMNS(Metadata!B754:AC754)</f>
        <v>0</v>
      </c>
      <c r="AL754">
        <v>0</v>
      </c>
      <c r="AN754">
        <f>AND(IF(Metadata!B754="",FALSE,TRUE),COUNTIF(Metadata!B:B, Metadata!B754) = 1,NOT(ISERROR(SUMPRODUCT(SEARCH(MID(Metadata!B754,ROW(INDIRECT("1:"&amp;LEN(Metadata!B754))), 1),"0123456789abcdefghijklmnopqrstuvwxyzABCDEFGHIJKLMNOPQRSTUVWXYZ.")))))</f>
        <v>0</v>
      </c>
      <c r="AO754">
        <f>IF(Metadata!C754="",FALSE,TRUE)</f>
        <v>0</v>
      </c>
      <c r="AP754">
        <f>IF(Metadata!D754="",FALSE,TRUE)</f>
        <v>0</v>
      </c>
      <c r="AQ754">
        <f>OR(AND(IF(Metadata!E754="",FALSE,TRUE),OR(exact(Metadata!E754,"not collected"),exact(Metadata!E754,"not provided"),exact(Metadata!E754,"restricted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R754">
        <f>IF(Metadata!F754="",FALSE,TRUE)</f>
        <v>0</v>
      </c>
      <c r="AS754">
        <f>OR(AND(IF(Metadata!G754="",FALSE,TRUE),OR(exact(Metadata!G754,"not collected"),exact(Metadata!G754,"not provided"))),AND(IF(Metadata!G754="",FALSE,TRUE),OR(exact(Metadata!G754,"TRUE"),exact(Metadata!G754,"FALSE"))))</f>
        <v>0</v>
      </c>
      <c r="AT754">
        <f>OR(AND(IF(Metadata!H754="",FALSE,TRUE),OR(exact(Metadata!H754,"not collected"),exact(Metadata!H754,"not provided"),exact(Metadata!H754,"restricted access"))),AND(IF(Metadata!H754="",FALSE,ISNUMBER(VALUE(Metadata!H754))),Metadata!H754&gt;=-413.0))</f>
        <v>0</v>
      </c>
      <c r="AU754">
        <f>AND(IF(Metadata!I754="",FALSE,TRUE),exact(Metadata!I754,"meters"))</f>
        <v>0</v>
      </c>
      <c r="AV754">
        <f>AND(IF(Metadata!J754="",FALSE,TRUE),OR(exact(Metadata!J754,"Host-associated"),exact(Metadata!J754,"Free-living")))</f>
        <v>0</v>
      </c>
      <c r="AW754">
        <f>AND(IF(Metadata!K754="",FALSE,TRUE),OR(exact(Metadata!K754,"Animal"),exact(Metadata!K754,"Fungus"),exact(Metadata!K754,"Plant"),exact(Metadata!K754,"Saline"),exact(Metadata!K754,"Non-saline")))</f>
        <v>0</v>
      </c>
      <c r="AX754">
        <f>AND(IF(Metadata!L754="",FALSE,TRUE),OR(exact(Metadata!L754,"Plant secretion"),exact(Metadata!L754,"Plant rhizosphere"),exact(Metadata!L754,"Plant surface"),exact(Metadata!L754,"Plant corpus"),exact(Metadata!L754,"Fungus surface"),exact(Metadata!L754,"Fungus corpus"),exact(Metadata!L754,"Animal surface"),exact(Metadata!L754,"Animal proximal gut"),exact(Metadata!L754,"Animal corpus"),exact(Metadata!L754,"Animal distal gut"),exact(Metadata!L754,"Animal secretion"),exact(Metadata!L754,"Sub-surface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Y754">
        <f>IF(Metadata!M754="",FALSE,TRUE)</f>
        <v>0</v>
      </c>
      <c r="AZ754">
        <f>IF(Metadata!N754="",FALSE,TRUE)</f>
        <v>0</v>
      </c>
      <c r="BA754">
        <f>IF(Metadata!O754="",FALSE,TRUE)</f>
        <v>0</v>
      </c>
      <c r="BB754">
        <f>OR(AND(IF(Metadata!P754="",FALSE,TRUE),OR(exact(Metadata!P754,"not collected"),exact(Metadata!P754,"not provided"),exact(Metadata!P754,"restricted access"))),AND(IF(Metadata!P754="",FALSE,TRUE),OR(exact(Metadata!P754,"air"),exact(Metadata!P754,"built environment"),exact(Metadata!P754,"host-associated"),exact(Metadata!P754,"human-associated"),exact(Metadata!P754,"human-skin"),exact(Metadata!P754,"human-oral"),exact(Metadata!P754,"human-gut"),exact(Metadata!P754,"human-vaginal"),exact(Metadata!P754,"microbial mat/biofilm"),exact(Metadata!P754,"misc environment"),exact(Metadata!P754,"plant-associated"),exact(Metadata!P754,"sediment"),exact(Metadata!P754,"soil"),exact(Metadata!P754,"wastewater/sludge"),exact(Metadata!P754,"water"))))</f>
        <v>0</v>
      </c>
      <c r="BC754">
        <f>IF(Metadata!Q754="",FALSE,TRUE)</f>
        <v>0</v>
      </c>
      <c r="BD754">
        <f>IF(Metadata!R754="",FALSE,TRUE)</f>
        <v>0</v>
      </c>
      <c r="BE754">
        <f>OR(AND(IF(Metadata!S754="",FALSE,TRUE),OR(exact(Metadata!S754,"not collected"),exact(Metadata!S754,"not provided"),exact(Metadata!S754,"restricted access"))),AND(IF(Metadata!S754="",FALSE,ISNUMBER(VALUE(Metadata!S754))),Metadata!S754&gt;=-90.00,Metadata!S754&lt;=90.00))</f>
        <v>0</v>
      </c>
      <c r="BF754">
        <f>AND(IF(Metadata!T754="",FALSE,TRUE),exact(Metadata!T754,"Decimal degrees"))</f>
        <v>0</v>
      </c>
      <c r="BG754">
        <f>OR(AND(IF(Metadata!U754="",FALSE,TRUE),OR(exact(Metadata!U754,"not collected"),exact(Metadata!U754,"not provided"),exact(Metadata!U754,"restricted access"))),AND(IF(Metadata!U754="",FALSE,ISNUMBER(VALUE(Metadata!U754))),Metadata!U754&gt;=-180.00,Metadata!U754&lt;=180.00))</f>
        <v>0</v>
      </c>
      <c r="BH754">
        <f>AND(IF(Metadata!V754="",FALSE,TRUE),exact(Metadata!V754,"Decimal degrees"))</f>
        <v>0</v>
      </c>
      <c r="BI754">
        <f>IF(Metadata!W754="",FALSE,TRUE)</f>
        <v>0</v>
      </c>
      <c r="BJ754">
        <f>OR(AND(IF(Metadata!X754="",FALSE,TRUE),OR(exact(Metadata!X754,"not collected"),exact(Metadata!X754,"not provided"),exact(Metadata!X754,"restricted access"))),AND(IF(Metadata!X754="",FALSE,TRUE),OR(exact(Metadata!X754,"TRUE"),exact(Metadata!X754,"FALSE"))))</f>
        <v>0</v>
      </c>
      <c r="BK754">
        <f>AND(IF(Metadata!Y754="",FALSE,TRUE),exact(Metadata!Y754,"other"))</f>
        <v>0</v>
      </c>
      <c r="BL754">
        <f>IF(Metadata!Z754="",FALSE,TRUE)</f>
        <v>0</v>
      </c>
      <c r="BM754">
        <f>OR(AND(IF(Metadata!AA754="",FALSE,TRUE),OR(exact(Metadata!AA754,"not collected"),exact(Metadata!AA754,"not provided"))),AND(IF(Metadata!AA754="",FALSE,IF(ISERROR(INT(Metadata!AA754)),FALSE,INT(Metadata!AA754)=Metadata!AA754)),Metadata!AA754&gt;0))</f>
        <v>0</v>
      </c>
      <c r="BN754">
        <f>AND(IF(Metadata!AB754="",FALSE,TRUE),exact(Metadata!AB754,"Not applicable"))</f>
        <v>0</v>
      </c>
      <c r="BO754">
        <f>IF(Metadata!AC754="",FALSE,TRUE)</f>
        <v>0</v>
      </c>
    </row>
    <row r="755" spans="1:67">
      <c r="A755" s="5">
        <f>IF(B755=" "," ",HYPERLINK(CONCATENATE("#metadata!",ADDRESS(INDEX($AI$2:$AI$1001,MATCH(ROWS($AG$2:AG755),$AG$2:$AG$1001,0),0),1)),INDEX($AL$2:$AL$1001,MATCH(ROWS($AG$2:AG755),$AG$2:$AG$1001,0),0)))</f>
        <v>0</v>
      </c>
      <c r="B755" s="4">
        <f>IF(OR(INDEX($AH$2:$AH$1001,MATCH(ROWS($AG$2:AG755),$AG$2:$AG$1001,0),1)&gt;=100000,INDEX($AN$1005:$BO$1005,1,MATCH(COLUMNS($AN$1006:AN1006),$AN$1006:$BO$1006,0))&gt;=100000), " ",IF(INDEX($AN$2:$BO$1001,MATCH(ROWS($AG$2:AG755),$AG$2:$AG$1001,0),MATCH(COLUMNS($AN$1006:AN1006),$AN$1006:$BO$1006,0)), HYPERLINK("#",""), HYPERLINK(CONCATENATE("#Metadata!", ADDRESS(INDEX($AI$2:$AI$1001,MATCH(ROWS($AG$2:AG755),$AG$2:$AG$1001,0),0), INDEX($AN$1004:$BO$1004,1,MATCH(COLUMNS($AN$1006:AN1006),$AN$1006:$BO$1006,0)))),"Fix")))</f>
        <v>0</v>
      </c>
      <c r="C755" s="4">
        <f>IF(OR(INDEX($AH$2:$AH$1001,MATCH(ROWS($AG$2:AG755),$AG$2:$AG$1001,0),1)&gt;=100000,INDEX($AN$1005:$BO$1005,1,MATCH(COLUMNS($AN$1006:AO1006),$AN$1006:$BO$1006,0))&gt;=100000), " ",IF(INDEX($AN$2:$BO$1001,MATCH(ROWS($AG$2:AG755),$AG$2:$AG$1001,0),MATCH(COLUMNS($AN$1006:AO1006),$AN$1006:$BO$1006,0)), HYPERLINK("#",""), HYPERLINK(CONCATENATE("#Metadata!", ADDRESS(INDEX($AI$2:$AI$1001,MATCH(ROWS($AG$2:AG755),$AG$2:$AG$1001,0),0), INDEX($AN$1004:$BO$1004,1,MATCH(COLUMNS($AN$1006:AO1006),$AN$1006:$BO$1006,0)))),"Fix")))</f>
        <v>0</v>
      </c>
      <c r="D755" s="4">
        <f>IF(OR(INDEX($AH$2:$AH$1001,MATCH(ROWS($AG$2:AG755),$AG$2:$AG$1001,0),1)&gt;=100000,INDEX($AN$1005:$BO$1005,1,MATCH(COLUMNS($AN$1006:AP1006),$AN$1006:$BO$1006,0))&gt;=100000), " ",IF(INDEX($AN$2:$BO$1001,MATCH(ROWS($AG$2:AG755),$AG$2:$AG$1001,0),MATCH(COLUMNS($AN$1006:AP1006),$AN$1006:$BO$1006,0)), HYPERLINK("#",""), HYPERLINK(CONCATENATE("#Metadata!", ADDRESS(INDEX($AI$2:$AI$1001,MATCH(ROWS($AG$2:AG755),$AG$2:$AG$1001,0),0), INDEX($AN$1004:$BO$1004,1,MATCH(COLUMNS($AN$1006:AP1006),$AN$1006:$BO$1006,0)))),"Fix")))</f>
        <v>0</v>
      </c>
      <c r="E755" s="4">
        <f>IF(OR(INDEX($AH$2:$AH$1001,MATCH(ROWS($AG$2:AG755),$AG$2:$AG$1001,0),1)&gt;=100000,INDEX($AN$1005:$BO$1005,1,MATCH(COLUMNS($AN$1006:AQ1006),$AN$1006:$BO$1006,0))&gt;=100000), " ",IF(INDEX($AN$2:$BO$1001,MATCH(ROWS($AG$2:AG755),$AG$2:$AG$1001,0),MATCH(COLUMNS($AN$1006:AQ1006),$AN$1006:$BO$1006,0)), HYPERLINK("#",""), HYPERLINK(CONCATENATE("#Metadata!", ADDRESS(INDEX($AI$2:$AI$1001,MATCH(ROWS($AG$2:AG755),$AG$2:$AG$1001,0),0), INDEX($AN$1004:$BO$1004,1,MATCH(COLUMNS($AN$1006:AQ1006),$AN$1006:$BO$1006,0)))),"Fix")))</f>
        <v>0</v>
      </c>
      <c r="F755" s="4">
        <f>IF(OR(INDEX($AH$2:$AH$1001,MATCH(ROWS($AG$2:AG755),$AG$2:$AG$1001,0),1)&gt;=100000,INDEX($AN$1005:$BO$1005,1,MATCH(COLUMNS($AN$1006:AR1006),$AN$1006:$BO$1006,0))&gt;=100000), " ",IF(INDEX($AN$2:$BO$1001,MATCH(ROWS($AG$2:AG755),$AG$2:$AG$1001,0),MATCH(COLUMNS($AN$1006:AR1006),$AN$1006:$BO$1006,0)), HYPERLINK("#",""), HYPERLINK(CONCATENATE("#Metadata!", ADDRESS(INDEX($AI$2:$AI$1001,MATCH(ROWS($AG$2:AG755),$AG$2:$AG$1001,0),0), INDEX($AN$1004:$BO$1004,1,MATCH(COLUMNS($AN$1006:AR1006),$AN$1006:$BO$1006,0)))),"Fix")))</f>
        <v>0</v>
      </c>
      <c r="G755" s="4">
        <f>IF(OR(INDEX($AH$2:$AH$1001,MATCH(ROWS($AG$2:AG755),$AG$2:$AG$1001,0),1)&gt;=100000,INDEX($AN$1005:$BO$1005,1,MATCH(COLUMNS($AN$1006:AS1006),$AN$1006:$BO$1006,0))&gt;=100000), " ",IF(INDEX($AN$2:$BO$1001,MATCH(ROWS($AG$2:AG755),$AG$2:$AG$1001,0),MATCH(COLUMNS($AN$1006:AS1006),$AN$1006:$BO$1006,0)), HYPERLINK("#",""), HYPERLINK(CONCATENATE("#Metadata!", ADDRESS(INDEX($AI$2:$AI$1001,MATCH(ROWS($AG$2:AG755),$AG$2:$AG$1001,0),0), INDEX($AN$1004:$BO$1004,1,MATCH(COLUMNS($AN$1006:AS1006),$AN$1006:$BO$1006,0)))),"Fix")))</f>
        <v>0</v>
      </c>
      <c r="H755" s="4">
        <f>IF(OR(INDEX($AH$2:$AH$1001,MATCH(ROWS($AG$2:AG755),$AG$2:$AG$1001,0),1)&gt;=100000,INDEX($AN$1005:$BO$1005,1,MATCH(COLUMNS($AN$1006:AT1006),$AN$1006:$BO$1006,0))&gt;=100000), " ",IF(INDEX($AN$2:$BO$1001,MATCH(ROWS($AG$2:AG755),$AG$2:$AG$1001,0),MATCH(COLUMNS($AN$1006:AT1006),$AN$1006:$BO$1006,0)), HYPERLINK("#",""), HYPERLINK(CONCATENATE("#Metadata!", ADDRESS(INDEX($AI$2:$AI$1001,MATCH(ROWS($AG$2:AG755),$AG$2:$AG$1001,0),0), INDEX($AN$1004:$BO$1004,1,MATCH(COLUMNS($AN$1006:AT1006),$AN$1006:$BO$1006,0)))),"Fix")))</f>
        <v>0</v>
      </c>
      <c r="I755" s="4">
        <f>IF(OR(INDEX($AH$2:$AH$1001,MATCH(ROWS($AG$2:AG755),$AG$2:$AG$1001,0),1)&gt;=100000,INDEX($AN$1005:$BO$1005,1,MATCH(COLUMNS($AN$1006:AU1006),$AN$1006:$BO$1006,0))&gt;=100000), " ",IF(INDEX($AN$2:$BO$1001,MATCH(ROWS($AG$2:AG755),$AG$2:$AG$1001,0),MATCH(COLUMNS($AN$1006:AU1006),$AN$1006:$BO$1006,0)), HYPERLINK("#",""), HYPERLINK(CONCATENATE("#Metadata!", ADDRESS(INDEX($AI$2:$AI$1001,MATCH(ROWS($AG$2:AG755),$AG$2:$AG$1001,0),0), INDEX($AN$1004:$BO$1004,1,MATCH(COLUMNS($AN$1006:AU1006),$AN$1006:$BO$1006,0)))),"Fix")))</f>
        <v>0</v>
      </c>
      <c r="J755" s="4">
        <f>IF(OR(INDEX($AH$2:$AH$1001,MATCH(ROWS($AG$2:AG755),$AG$2:$AG$1001,0),1)&gt;=100000,INDEX($AN$1005:$BO$1005,1,MATCH(COLUMNS($AN$1006:AV1006),$AN$1006:$BO$1006,0))&gt;=100000), " ",IF(INDEX($AN$2:$BO$1001,MATCH(ROWS($AG$2:AG755),$AG$2:$AG$1001,0),MATCH(COLUMNS($AN$1006:AV1006),$AN$1006:$BO$1006,0)), HYPERLINK("#",""), HYPERLINK(CONCATENATE("#Metadata!", ADDRESS(INDEX($AI$2:$AI$1001,MATCH(ROWS($AG$2:AG755),$AG$2:$AG$1001,0),0), INDEX($AN$1004:$BO$1004,1,MATCH(COLUMNS($AN$1006:AV1006),$AN$1006:$BO$1006,0)))),"Fix")))</f>
        <v>0</v>
      </c>
      <c r="K755" s="4">
        <f>IF(OR(INDEX($AH$2:$AH$1001,MATCH(ROWS($AG$2:AG755),$AG$2:$AG$1001,0),1)&gt;=100000,INDEX($AN$1005:$BO$1005,1,MATCH(COLUMNS($AN$1006:AW1006),$AN$1006:$BO$1006,0))&gt;=100000), " ",IF(INDEX($AN$2:$BO$1001,MATCH(ROWS($AG$2:AG755),$AG$2:$AG$1001,0),MATCH(COLUMNS($AN$1006:AW1006),$AN$1006:$BO$1006,0)), HYPERLINK("#",""), HYPERLINK(CONCATENATE("#Metadata!", ADDRESS(INDEX($AI$2:$AI$1001,MATCH(ROWS($AG$2:AG755),$AG$2:$AG$1001,0),0), INDEX($AN$1004:$BO$1004,1,MATCH(COLUMNS($AN$1006:AW1006),$AN$1006:$BO$1006,0)))),"Fix")))</f>
        <v>0</v>
      </c>
      <c r="L755" s="4">
        <f>IF(OR(INDEX($AH$2:$AH$1001,MATCH(ROWS($AG$2:AG755),$AG$2:$AG$1001,0),1)&gt;=100000,INDEX($AN$1005:$BO$1005,1,MATCH(COLUMNS($AN$1006:AX1006),$AN$1006:$BO$1006,0))&gt;=100000), " ",IF(INDEX($AN$2:$BO$1001,MATCH(ROWS($AG$2:AG755),$AG$2:$AG$1001,0),MATCH(COLUMNS($AN$1006:AX1006),$AN$1006:$BO$1006,0)), HYPERLINK("#",""), HYPERLINK(CONCATENATE("#Metadata!", ADDRESS(INDEX($AI$2:$AI$1001,MATCH(ROWS($AG$2:AG755),$AG$2:$AG$1001,0),0), INDEX($AN$1004:$BO$1004,1,MATCH(COLUMNS($AN$1006:AX1006),$AN$1006:$BO$1006,0)))),"Fix")))</f>
        <v>0</v>
      </c>
      <c r="M755" s="4">
        <f>IF(OR(INDEX($AH$2:$AH$1001,MATCH(ROWS($AG$2:AG755),$AG$2:$AG$1001,0),1)&gt;=100000,INDEX($AN$1005:$BO$1005,1,MATCH(COLUMNS($AN$1006:AY1006),$AN$1006:$BO$1006,0))&gt;=100000), " ",IF(INDEX($AN$2:$BO$1001,MATCH(ROWS($AG$2:AG755),$AG$2:$AG$1001,0),MATCH(COLUMNS($AN$1006:AY1006),$AN$1006:$BO$1006,0)), HYPERLINK("#",""), HYPERLINK(CONCATENATE("#Metadata!", ADDRESS(INDEX($AI$2:$AI$1001,MATCH(ROWS($AG$2:AG755),$AG$2:$AG$1001,0),0), INDEX($AN$1004:$BO$1004,1,MATCH(COLUMNS($AN$1006:AY1006),$AN$1006:$BO$1006,0)))),"Fix")))</f>
        <v>0</v>
      </c>
      <c r="N755" s="4">
        <f>IF(OR(INDEX($AH$2:$AH$1001,MATCH(ROWS($AG$2:AG755),$AG$2:$AG$1001,0),1)&gt;=100000,INDEX($AN$1005:$BO$1005,1,MATCH(COLUMNS($AN$1006:AZ1006),$AN$1006:$BO$1006,0))&gt;=100000), " ",IF(INDEX($AN$2:$BO$1001,MATCH(ROWS($AG$2:AG755),$AG$2:$AG$1001,0),MATCH(COLUMNS($AN$1006:AZ1006),$AN$1006:$BO$1006,0)), HYPERLINK("#",""), HYPERLINK(CONCATENATE("#Metadata!", ADDRESS(INDEX($AI$2:$AI$1001,MATCH(ROWS($AG$2:AG755),$AG$2:$AG$1001,0),0), INDEX($AN$1004:$BO$1004,1,MATCH(COLUMNS($AN$1006:AZ1006),$AN$1006:$BO$1006,0)))),"Fix")))</f>
        <v>0</v>
      </c>
      <c r="O755" s="4">
        <f>IF(OR(INDEX($AH$2:$AH$1001,MATCH(ROWS($AG$2:AG755),$AG$2:$AG$1001,0),1)&gt;=100000,INDEX($AN$1005:$BO$1005,1,MATCH(COLUMNS($AN$1006:BA1006),$AN$1006:$BO$1006,0))&gt;=100000), " ",IF(INDEX($AN$2:$BO$1001,MATCH(ROWS($AG$2:AG755),$AG$2:$AG$1001,0),MATCH(COLUMNS($AN$1006:BA1006),$AN$1006:$BO$1006,0)), HYPERLINK("#",""), HYPERLINK(CONCATENATE("#Metadata!", ADDRESS(INDEX($AI$2:$AI$1001,MATCH(ROWS($AG$2:AG755),$AG$2:$AG$1001,0),0), INDEX($AN$1004:$BO$1004,1,MATCH(COLUMNS($AN$1006:BA1006),$AN$1006:$BO$1006,0)))),"Fix")))</f>
        <v>0</v>
      </c>
      <c r="P755" s="4">
        <f>IF(OR(INDEX($AH$2:$AH$1001,MATCH(ROWS($AG$2:AG755),$AG$2:$AG$1001,0),1)&gt;=100000,INDEX($AN$1005:$BO$1005,1,MATCH(COLUMNS($AN$1006:BB1006),$AN$1006:$BO$1006,0))&gt;=100000), " ",IF(INDEX($AN$2:$BO$1001,MATCH(ROWS($AG$2:AG755),$AG$2:$AG$1001,0),MATCH(COLUMNS($AN$1006:BB1006),$AN$1006:$BO$1006,0)), HYPERLINK("#",""), HYPERLINK(CONCATENATE("#Metadata!", ADDRESS(INDEX($AI$2:$AI$1001,MATCH(ROWS($AG$2:AG755),$AG$2:$AG$1001,0),0), INDEX($AN$1004:$BO$1004,1,MATCH(COLUMNS($AN$1006:BB1006),$AN$1006:$BO$1006,0)))),"Fix")))</f>
        <v>0</v>
      </c>
      <c r="Q755" s="4">
        <f>IF(OR(INDEX($AH$2:$AH$1001,MATCH(ROWS($AG$2:AG755),$AG$2:$AG$1001,0),1)&gt;=100000,INDEX($AN$1005:$BO$1005,1,MATCH(COLUMNS($AN$1006:BC1006),$AN$1006:$BO$1006,0))&gt;=100000), " ",IF(INDEX($AN$2:$BO$1001,MATCH(ROWS($AG$2:AG755),$AG$2:$AG$1001,0),MATCH(COLUMNS($AN$1006:BC1006),$AN$1006:$BO$1006,0)), HYPERLINK("#",""), HYPERLINK(CONCATENATE("#Metadata!", ADDRESS(INDEX($AI$2:$AI$1001,MATCH(ROWS($AG$2:AG755),$AG$2:$AG$1001,0),0), INDEX($AN$1004:$BO$1004,1,MATCH(COLUMNS($AN$1006:BC1006),$AN$1006:$BO$1006,0)))),"Fix")))</f>
        <v>0</v>
      </c>
      <c r="R755" s="4">
        <f>IF(OR(INDEX($AH$2:$AH$1001,MATCH(ROWS($AG$2:AG755),$AG$2:$AG$1001,0),1)&gt;=100000,INDEX($AN$1005:$BO$1005,1,MATCH(COLUMNS($AN$1006:BD1006),$AN$1006:$BO$1006,0))&gt;=100000), " ",IF(INDEX($AN$2:$BO$1001,MATCH(ROWS($AG$2:AG755),$AG$2:$AG$1001,0),MATCH(COLUMNS($AN$1006:BD1006),$AN$1006:$BO$1006,0)), HYPERLINK("#",""), HYPERLINK(CONCATENATE("#Metadata!", ADDRESS(INDEX($AI$2:$AI$1001,MATCH(ROWS($AG$2:AG755),$AG$2:$AG$1001,0),0), INDEX($AN$1004:$BO$1004,1,MATCH(COLUMNS($AN$1006:BD1006),$AN$1006:$BO$1006,0)))),"Fix")))</f>
        <v>0</v>
      </c>
      <c r="S755" s="4">
        <f>IF(OR(INDEX($AH$2:$AH$1001,MATCH(ROWS($AG$2:AG755),$AG$2:$AG$1001,0),1)&gt;=100000,INDEX($AN$1005:$BO$1005,1,MATCH(COLUMNS($AN$1006:BE1006),$AN$1006:$BO$1006,0))&gt;=100000), " ",IF(INDEX($AN$2:$BO$1001,MATCH(ROWS($AG$2:AG755),$AG$2:$AG$1001,0),MATCH(COLUMNS($AN$1006:BE1006),$AN$1006:$BO$1006,0)), HYPERLINK("#",""), HYPERLINK(CONCATENATE("#Metadata!", ADDRESS(INDEX($AI$2:$AI$1001,MATCH(ROWS($AG$2:AG755),$AG$2:$AG$1001,0),0), INDEX($AN$1004:$BO$1004,1,MATCH(COLUMNS($AN$1006:BE1006),$AN$1006:$BO$1006,0)))),"Fix")))</f>
        <v>0</v>
      </c>
      <c r="T755" s="4">
        <f>IF(OR(INDEX($AH$2:$AH$1001,MATCH(ROWS($AG$2:AG755),$AG$2:$AG$1001,0),1)&gt;=100000,INDEX($AN$1005:$BO$1005,1,MATCH(COLUMNS($AN$1006:BF1006),$AN$1006:$BO$1006,0))&gt;=100000), " ",IF(INDEX($AN$2:$BO$1001,MATCH(ROWS($AG$2:AG755),$AG$2:$AG$1001,0),MATCH(COLUMNS($AN$1006:BF1006),$AN$1006:$BO$1006,0)), HYPERLINK("#",""), HYPERLINK(CONCATENATE("#Metadata!", ADDRESS(INDEX($AI$2:$AI$1001,MATCH(ROWS($AG$2:AG755),$AG$2:$AG$1001,0),0), INDEX($AN$1004:$BO$1004,1,MATCH(COLUMNS($AN$1006:BF1006),$AN$1006:$BO$1006,0)))),"Fix")))</f>
        <v>0</v>
      </c>
      <c r="U755" s="4">
        <f>IF(OR(INDEX($AH$2:$AH$1001,MATCH(ROWS($AG$2:AG755),$AG$2:$AG$1001,0),1)&gt;=100000,INDEX($AN$1005:$BO$1005,1,MATCH(COLUMNS($AN$1006:BG1006),$AN$1006:$BO$1006,0))&gt;=100000), " ",IF(INDEX($AN$2:$BO$1001,MATCH(ROWS($AG$2:AG755),$AG$2:$AG$1001,0),MATCH(COLUMNS($AN$1006:BG1006),$AN$1006:$BO$1006,0)), HYPERLINK("#",""), HYPERLINK(CONCATENATE("#Metadata!", ADDRESS(INDEX($AI$2:$AI$1001,MATCH(ROWS($AG$2:AG755),$AG$2:$AG$1001,0),0), INDEX($AN$1004:$BO$1004,1,MATCH(COLUMNS($AN$1006:BG1006),$AN$1006:$BO$1006,0)))),"Fix")))</f>
        <v>0</v>
      </c>
      <c r="V755" s="4">
        <f>IF(OR(INDEX($AH$2:$AH$1001,MATCH(ROWS($AG$2:AG755),$AG$2:$AG$1001,0),1)&gt;=100000,INDEX($AN$1005:$BO$1005,1,MATCH(COLUMNS($AN$1006:BH1006),$AN$1006:$BO$1006,0))&gt;=100000), " ",IF(INDEX($AN$2:$BO$1001,MATCH(ROWS($AG$2:AG755),$AG$2:$AG$1001,0),MATCH(COLUMNS($AN$1006:BH1006),$AN$1006:$BO$1006,0)), HYPERLINK("#",""), HYPERLINK(CONCATENATE("#Metadata!", ADDRESS(INDEX($AI$2:$AI$1001,MATCH(ROWS($AG$2:AG755),$AG$2:$AG$1001,0),0), INDEX($AN$1004:$BO$1004,1,MATCH(COLUMNS($AN$1006:BH1006),$AN$1006:$BO$1006,0)))),"Fix")))</f>
        <v>0</v>
      </c>
      <c r="W755" s="4">
        <f>IF(OR(INDEX($AH$2:$AH$1001,MATCH(ROWS($AG$2:AG755),$AG$2:$AG$1001,0),1)&gt;=100000,INDEX($AN$1005:$BO$1005,1,MATCH(COLUMNS($AN$1006:BI1006),$AN$1006:$BO$1006,0))&gt;=100000), " ",IF(INDEX($AN$2:$BO$1001,MATCH(ROWS($AG$2:AG755),$AG$2:$AG$1001,0),MATCH(COLUMNS($AN$1006:BI1006),$AN$1006:$BO$1006,0)), HYPERLINK("#",""), HYPERLINK(CONCATENATE("#Metadata!", ADDRESS(INDEX($AI$2:$AI$1001,MATCH(ROWS($AG$2:AG755),$AG$2:$AG$1001,0),0), INDEX($AN$1004:$BO$1004,1,MATCH(COLUMNS($AN$1006:BI1006),$AN$1006:$BO$1006,0)))),"Fix")))</f>
        <v>0</v>
      </c>
      <c r="X755" s="4">
        <f>IF(OR(INDEX($AH$2:$AH$1001,MATCH(ROWS($AG$2:AG755),$AG$2:$AG$1001,0),1)&gt;=100000,INDEX($AN$1005:$BO$1005,1,MATCH(COLUMNS($AN$1006:BJ1006),$AN$1006:$BO$1006,0))&gt;=100000), " ",IF(INDEX($AN$2:$BO$1001,MATCH(ROWS($AG$2:AG755),$AG$2:$AG$1001,0),MATCH(COLUMNS($AN$1006:BJ1006),$AN$1006:$BO$1006,0)), HYPERLINK("#",""), HYPERLINK(CONCATENATE("#Metadata!", ADDRESS(INDEX($AI$2:$AI$1001,MATCH(ROWS($AG$2:AG755),$AG$2:$AG$1001,0),0), INDEX($AN$1004:$BO$1004,1,MATCH(COLUMNS($AN$1006:BJ1006),$AN$1006:$BO$1006,0)))),"Fix")))</f>
        <v>0</v>
      </c>
      <c r="Y755" s="4">
        <f>IF(OR(INDEX($AH$2:$AH$1001,MATCH(ROWS($AG$2:AG755),$AG$2:$AG$1001,0),1)&gt;=100000,INDEX($AN$1005:$BO$1005,1,MATCH(COLUMNS($AN$1006:BK1006),$AN$1006:$BO$1006,0))&gt;=100000), " ",IF(INDEX($AN$2:$BO$1001,MATCH(ROWS($AG$2:AG755),$AG$2:$AG$1001,0),MATCH(COLUMNS($AN$1006:BK1006),$AN$1006:$BO$1006,0)), HYPERLINK("#",""), HYPERLINK(CONCATENATE("#Metadata!", ADDRESS(INDEX($AI$2:$AI$1001,MATCH(ROWS($AG$2:AG755),$AG$2:$AG$1001,0),0), INDEX($AN$1004:$BO$1004,1,MATCH(COLUMNS($AN$1006:BK1006),$AN$1006:$BO$1006,0)))),"Fix")))</f>
        <v>0</v>
      </c>
      <c r="Z755" s="4">
        <f>IF(OR(INDEX($AH$2:$AH$1001,MATCH(ROWS($AG$2:AG755),$AG$2:$AG$1001,0),1)&gt;=100000,INDEX($AN$1005:$BO$1005,1,MATCH(COLUMNS($AN$1006:BL1006),$AN$1006:$BO$1006,0))&gt;=100000), " ",IF(INDEX($AN$2:$BO$1001,MATCH(ROWS($AG$2:AG755),$AG$2:$AG$1001,0),MATCH(COLUMNS($AN$1006:BL1006),$AN$1006:$BO$1006,0)), HYPERLINK("#",""), HYPERLINK(CONCATENATE("#Metadata!", ADDRESS(INDEX($AI$2:$AI$1001,MATCH(ROWS($AG$2:AG755),$AG$2:$AG$1001,0),0), INDEX($AN$1004:$BO$1004,1,MATCH(COLUMNS($AN$1006:BL1006),$AN$1006:$BO$1006,0)))),"Fix")))</f>
        <v>0</v>
      </c>
      <c r="AA755" s="4">
        <f>IF(OR(INDEX($AH$2:$AH$1001,MATCH(ROWS($AG$2:AG755),$AG$2:$AG$1001,0),1)&gt;=100000,INDEX($AN$1005:$BO$1005,1,MATCH(COLUMNS($AN$1006:BM1006),$AN$1006:$BO$1006,0))&gt;=100000), " ",IF(INDEX($AN$2:$BO$1001,MATCH(ROWS($AG$2:AG755),$AG$2:$AG$1001,0),MATCH(COLUMNS($AN$1006:BM1006),$AN$1006:$BO$1006,0)), HYPERLINK("#",""), HYPERLINK(CONCATENATE("#Metadata!", ADDRESS(INDEX($AI$2:$AI$1001,MATCH(ROWS($AG$2:AG755),$AG$2:$AG$1001,0),0), INDEX($AN$1004:$BO$1004,1,MATCH(COLUMNS($AN$1006:BM1006),$AN$1006:$BO$1006,0)))),"Fix")))</f>
        <v>0</v>
      </c>
      <c r="AB755" s="4">
        <f>IF(OR(INDEX($AH$2:$AH$1001,MATCH(ROWS($AG$2:AG755),$AG$2:$AG$1001,0),1)&gt;=100000,INDEX($AN$1005:$BO$1005,1,MATCH(COLUMNS($AN$1006:BN1006),$AN$1006:$BO$1006,0))&gt;=100000), " ",IF(INDEX($AN$2:$BO$1001,MATCH(ROWS($AG$2:AG755),$AG$2:$AG$1001,0),MATCH(COLUMNS($AN$1006:BN1006),$AN$1006:$BO$1006,0)), HYPERLINK("#",""), HYPERLINK(CONCATENATE("#Metadata!", ADDRESS(INDEX($AI$2:$AI$1001,MATCH(ROWS($AG$2:AG755),$AG$2:$AG$1001,0),0), INDEX($AN$1004:$BO$1004,1,MATCH(COLUMNS($AN$1006:BN1006),$AN$1006:$BO$1006,0)))),"Fix")))</f>
        <v>0</v>
      </c>
      <c r="AC755" s="4">
        <f>IF(OR(INDEX($AH$2:$AH$1001,MATCH(ROWS($AG$2:AG755),$AG$2:$AG$1001,0),1)&gt;=100000,INDEX($AN$1005:$BO$1005,1,MATCH(COLUMNS($AN$1006:BO1006),$AN$1006:$BO$1006,0))&gt;=100000), " ",IF(INDEX($AN$2:$BO$1001,MATCH(ROWS($AG$2:AG755),$AG$2:$AG$1001,0),MATCH(COLUMNS($AN$1006:BO1006),$AN$1006:$BO$1006,0)), HYPERLINK("#",""), HYPERLINK(CONCATENATE("#Metadata!", ADDRESS(INDEX($AI$2:$AI$1001,MATCH(ROWS($AG$2:AG755),$AG$2:$AG$1001,0),0), INDEX($AN$1004:$BO$1004,1,MATCH(COLUMNS($AN$1006:BO1006),$AN$1006:$BO$1006,0)))),"Fix")))</f>
        <v>0</v>
      </c>
      <c r="AG755">
        <v>0</v>
      </c>
      <c r="AH755">
        <v>0</v>
      </c>
      <c r="AI755">
        <v>0</v>
      </c>
      <c r="AJ755">
        <f>IF(AK755,TRUE,AND(AN755:BO755))</f>
        <v>0</v>
      </c>
      <c r="AK755">
        <f>COUNTBLANK(Metadata!B755:AC755)=COLUMNS(Metadata!B755:AC755)</f>
        <v>0</v>
      </c>
      <c r="AL755">
        <v>0</v>
      </c>
      <c r="AN755">
        <f>AND(IF(Metadata!B755="",FALSE,TRUE),COUNTIF(Metadata!B:B, Metadata!B755) = 1,NOT(ISERROR(SUMPRODUCT(SEARCH(MID(Metadata!B755,ROW(INDIRECT("1:"&amp;LEN(Metadata!B755))), 1),"0123456789abcdefghijklmnopqrstuvwxyzABCDEFGHIJKLMNOPQRSTUVWXYZ.")))))</f>
        <v>0</v>
      </c>
      <c r="AO755">
        <f>IF(Metadata!C755="",FALSE,TRUE)</f>
        <v>0</v>
      </c>
      <c r="AP755">
        <f>IF(Metadata!D755="",FALSE,TRUE)</f>
        <v>0</v>
      </c>
      <c r="AQ755">
        <f>OR(AND(IF(Metadata!E755="",FALSE,TRUE),OR(exact(Metadata!E755,"not collected"),exact(Metadata!E755,"not provided"),exact(Metadata!E755,"restricted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R755">
        <f>IF(Metadata!F755="",FALSE,TRUE)</f>
        <v>0</v>
      </c>
      <c r="AS755">
        <f>OR(AND(IF(Metadata!G755="",FALSE,TRUE),OR(exact(Metadata!G755,"not collected"),exact(Metadata!G755,"not provided"))),AND(IF(Metadata!G755="",FALSE,TRUE),OR(exact(Metadata!G755,"TRUE"),exact(Metadata!G755,"FALSE"))))</f>
        <v>0</v>
      </c>
      <c r="AT755">
        <f>OR(AND(IF(Metadata!H755="",FALSE,TRUE),OR(exact(Metadata!H755,"not collected"),exact(Metadata!H755,"not provided"),exact(Metadata!H755,"restricted access"))),AND(IF(Metadata!H755="",FALSE,ISNUMBER(VALUE(Metadata!H755))),Metadata!H755&gt;=-413.0))</f>
        <v>0</v>
      </c>
      <c r="AU755">
        <f>AND(IF(Metadata!I755="",FALSE,TRUE),exact(Metadata!I755,"meters"))</f>
        <v>0</v>
      </c>
      <c r="AV755">
        <f>AND(IF(Metadata!J755="",FALSE,TRUE),OR(exact(Metadata!J755,"Host-associated"),exact(Metadata!J755,"Free-living")))</f>
        <v>0</v>
      </c>
      <c r="AW755">
        <f>AND(IF(Metadata!K755="",FALSE,TRUE),OR(exact(Metadata!K755,"Animal"),exact(Metadata!K755,"Fungus"),exact(Metadata!K755,"Plant"),exact(Metadata!K755,"Saline"),exact(Metadata!K755,"Non-saline")))</f>
        <v>0</v>
      </c>
      <c r="AX755">
        <f>AND(IF(Metadata!L755="",FALSE,TRUE),OR(exact(Metadata!L755,"Plant secretion"),exact(Metadata!L755,"Plant rhizosphere"),exact(Metadata!L755,"Plant surface"),exact(Metadata!L755,"Plant corpus"),exact(Metadata!L755,"Fungus surface"),exact(Metadata!L755,"Fungus corpus"),exact(Metadata!L755,"Animal surface"),exact(Metadata!L755,"Animal proximal gut"),exact(Metadata!L755,"Animal corpus"),exact(Metadata!L755,"Animal distal gut"),exact(Metadata!L755,"Animal secretion"),exact(Metadata!L755,"Sub-surface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Y755">
        <f>IF(Metadata!M755="",FALSE,TRUE)</f>
        <v>0</v>
      </c>
      <c r="AZ755">
        <f>IF(Metadata!N755="",FALSE,TRUE)</f>
        <v>0</v>
      </c>
      <c r="BA755">
        <f>IF(Metadata!O755="",FALSE,TRUE)</f>
        <v>0</v>
      </c>
      <c r="BB755">
        <f>OR(AND(IF(Metadata!P755="",FALSE,TRUE),OR(exact(Metadata!P755,"not collected"),exact(Metadata!P755,"not provided"),exact(Metadata!P755,"restricted access"))),AND(IF(Metadata!P755="",FALSE,TRUE),OR(exact(Metadata!P755,"air"),exact(Metadata!P755,"built environment"),exact(Metadata!P755,"host-associated"),exact(Metadata!P755,"human-associated"),exact(Metadata!P755,"human-skin"),exact(Metadata!P755,"human-oral"),exact(Metadata!P755,"human-gut"),exact(Metadata!P755,"human-vaginal"),exact(Metadata!P755,"microbial mat/biofilm"),exact(Metadata!P755,"misc environment"),exact(Metadata!P755,"plant-associated"),exact(Metadata!P755,"sediment"),exact(Metadata!P755,"soil"),exact(Metadata!P755,"wastewater/sludge"),exact(Metadata!P755,"water"))))</f>
        <v>0</v>
      </c>
      <c r="BC755">
        <f>IF(Metadata!Q755="",FALSE,TRUE)</f>
        <v>0</v>
      </c>
      <c r="BD755">
        <f>IF(Metadata!R755="",FALSE,TRUE)</f>
        <v>0</v>
      </c>
      <c r="BE755">
        <f>OR(AND(IF(Metadata!S755="",FALSE,TRUE),OR(exact(Metadata!S755,"not collected"),exact(Metadata!S755,"not provided"),exact(Metadata!S755,"restricted access"))),AND(IF(Metadata!S755="",FALSE,ISNUMBER(VALUE(Metadata!S755))),Metadata!S755&gt;=-90.00,Metadata!S755&lt;=90.00))</f>
        <v>0</v>
      </c>
      <c r="BF755">
        <f>AND(IF(Metadata!T755="",FALSE,TRUE),exact(Metadata!T755,"Decimal degrees"))</f>
        <v>0</v>
      </c>
      <c r="BG755">
        <f>OR(AND(IF(Metadata!U755="",FALSE,TRUE),OR(exact(Metadata!U755,"not collected"),exact(Metadata!U755,"not provided"),exact(Metadata!U755,"restricted access"))),AND(IF(Metadata!U755="",FALSE,ISNUMBER(VALUE(Metadata!U755))),Metadata!U755&gt;=-180.00,Metadata!U755&lt;=180.00))</f>
        <v>0</v>
      </c>
      <c r="BH755">
        <f>AND(IF(Metadata!V755="",FALSE,TRUE),exact(Metadata!V755,"Decimal degrees"))</f>
        <v>0</v>
      </c>
      <c r="BI755">
        <f>IF(Metadata!W755="",FALSE,TRUE)</f>
        <v>0</v>
      </c>
      <c r="BJ755">
        <f>OR(AND(IF(Metadata!X755="",FALSE,TRUE),OR(exact(Metadata!X755,"not collected"),exact(Metadata!X755,"not provided"),exact(Metadata!X755,"restricted access"))),AND(IF(Metadata!X755="",FALSE,TRUE),OR(exact(Metadata!X755,"TRUE"),exact(Metadata!X755,"FALSE"))))</f>
        <v>0</v>
      </c>
      <c r="BK755">
        <f>AND(IF(Metadata!Y755="",FALSE,TRUE),exact(Metadata!Y755,"other"))</f>
        <v>0</v>
      </c>
      <c r="BL755">
        <f>IF(Metadata!Z755="",FALSE,TRUE)</f>
        <v>0</v>
      </c>
      <c r="BM755">
        <f>OR(AND(IF(Metadata!AA755="",FALSE,TRUE),OR(exact(Metadata!AA755,"not collected"),exact(Metadata!AA755,"not provided"))),AND(IF(Metadata!AA755="",FALSE,IF(ISERROR(INT(Metadata!AA755)),FALSE,INT(Metadata!AA755)=Metadata!AA755)),Metadata!AA755&gt;0))</f>
        <v>0</v>
      </c>
      <c r="BN755">
        <f>AND(IF(Metadata!AB755="",FALSE,TRUE),exact(Metadata!AB755,"Not applicable"))</f>
        <v>0</v>
      </c>
      <c r="BO755">
        <f>IF(Metadata!AC755="",FALSE,TRUE)</f>
        <v>0</v>
      </c>
    </row>
    <row r="756" spans="1:67">
      <c r="A756" s="5">
        <f>IF(B756=" "," ",HYPERLINK(CONCATENATE("#metadata!",ADDRESS(INDEX($AI$2:$AI$1001,MATCH(ROWS($AG$2:AG756),$AG$2:$AG$1001,0),0),1)),INDEX($AL$2:$AL$1001,MATCH(ROWS($AG$2:AG756),$AG$2:$AG$1001,0),0)))</f>
        <v>0</v>
      </c>
      <c r="B756" s="4">
        <f>IF(OR(INDEX($AH$2:$AH$1001,MATCH(ROWS($AG$2:AG756),$AG$2:$AG$1001,0),1)&gt;=100000,INDEX($AN$1005:$BO$1005,1,MATCH(COLUMNS($AN$1006:AN1006),$AN$1006:$BO$1006,0))&gt;=100000), " ",IF(INDEX($AN$2:$BO$1001,MATCH(ROWS($AG$2:AG756),$AG$2:$AG$1001,0),MATCH(COLUMNS($AN$1006:AN1006),$AN$1006:$BO$1006,0)), HYPERLINK("#",""), HYPERLINK(CONCATENATE("#Metadata!", ADDRESS(INDEX($AI$2:$AI$1001,MATCH(ROWS($AG$2:AG756),$AG$2:$AG$1001,0),0), INDEX($AN$1004:$BO$1004,1,MATCH(COLUMNS($AN$1006:AN1006),$AN$1006:$BO$1006,0)))),"Fix")))</f>
        <v>0</v>
      </c>
      <c r="C756" s="4">
        <f>IF(OR(INDEX($AH$2:$AH$1001,MATCH(ROWS($AG$2:AG756),$AG$2:$AG$1001,0),1)&gt;=100000,INDEX($AN$1005:$BO$1005,1,MATCH(COLUMNS($AN$1006:AO1006),$AN$1006:$BO$1006,0))&gt;=100000), " ",IF(INDEX($AN$2:$BO$1001,MATCH(ROWS($AG$2:AG756),$AG$2:$AG$1001,0),MATCH(COLUMNS($AN$1006:AO1006),$AN$1006:$BO$1006,0)), HYPERLINK("#",""), HYPERLINK(CONCATENATE("#Metadata!", ADDRESS(INDEX($AI$2:$AI$1001,MATCH(ROWS($AG$2:AG756),$AG$2:$AG$1001,0),0), INDEX($AN$1004:$BO$1004,1,MATCH(COLUMNS($AN$1006:AO1006),$AN$1006:$BO$1006,0)))),"Fix")))</f>
        <v>0</v>
      </c>
      <c r="D756" s="4">
        <f>IF(OR(INDEX($AH$2:$AH$1001,MATCH(ROWS($AG$2:AG756),$AG$2:$AG$1001,0),1)&gt;=100000,INDEX($AN$1005:$BO$1005,1,MATCH(COLUMNS($AN$1006:AP1006),$AN$1006:$BO$1006,0))&gt;=100000), " ",IF(INDEX($AN$2:$BO$1001,MATCH(ROWS($AG$2:AG756),$AG$2:$AG$1001,0),MATCH(COLUMNS($AN$1006:AP1006),$AN$1006:$BO$1006,0)), HYPERLINK("#",""), HYPERLINK(CONCATENATE("#Metadata!", ADDRESS(INDEX($AI$2:$AI$1001,MATCH(ROWS($AG$2:AG756),$AG$2:$AG$1001,0),0), INDEX($AN$1004:$BO$1004,1,MATCH(COLUMNS($AN$1006:AP1006),$AN$1006:$BO$1006,0)))),"Fix")))</f>
        <v>0</v>
      </c>
      <c r="E756" s="4">
        <f>IF(OR(INDEX($AH$2:$AH$1001,MATCH(ROWS($AG$2:AG756),$AG$2:$AG$1001,0),1)&gt;=100000,INDEX($AN$1005:$BO$1005,1,MATCH(COLUMNS($AN$1006:AQ1006),$AN$1006:$BO$1006,0))&gt;=100000), " ",IF(INDEX($AN$2:$BO$1001,MATCH(ROWS($AG$2:AG756),$AG$2:$AG$1001,0),MATCH(COLUMNS($AN$1006:AQ1006),$AN$1006:$BO$1006,0)), HYPERLINK("#",""), HYPERLINK(CONCATENATE("#Metadata!", ADDRESS(INDEX($AI$2:$AI$1001,MATCH(ROWS($AG$2:AG756),$AG$2:$AG$1001,0),0), INDEX($AN$1004:$BO$1004,1,MATCH(COLUMNS($AN$1006:AQ1006),$AN$1006:$BO$1006,0)))),"Fix")))</f>
        <v>0</v>
      </c>
      <c r="F756" s="4">
        <f>IF(OR(INDEX($AH$2:$AH$1001,MATCH(ROWS($AG$2:AG756),$AG$2:$AG$1001,0),1)&gt;=100000,INDEX($AN$1005:$BO$1005,1,MATCH(COLUMNS($AN$1006:AR1006),$AN$1006:$BO$1006,0))&gt;=100000), " ",IF(INDEX($AN$2:$BO$1001,MATCH(ROWS($AG$2:AG756),$AG$2:$AG$1001,0),MATCH(COLUMNS($AN$1006:AR1006),$AN$1006:$BO$1006,0)), HYPERLINK("#",""), HYPERLINK(CONCATENATE("#Metadata!", ADDRESS(INDEX($AI$2:$AI$1001,MATCH(ROWS($AG$2:AG756),$AG$2:$AG$1001,0),0), INDEX($AN$1004:$BO$1004,1,MATCH(COLUMNS($AN$1006:AR1006),$AN$1006:$BO$1006,0)))),"Fix")))</f>
        <v>0</v>
      </c>
      <c r="G756" s="4">
        <f>IF(OR(INDEX($AH$2:$AH$1001,MATCH(ROWS($AG$2:AG756),$AG$2:$AG$1001,0),1)&gt;=100000,INDEX($AN$1005:$BO$1005,1,MATCH(COLUMNS($AN$1006:AS1006),$AN$1006:$BO$1006,0))&gt;=100000), " ",IF(INDEX($AN$2:$BO$1001,MATCH(ROWS($AG$2:AG756),$AG$2:$AG$1001,0),MATCH(COLUMNS($AN$1006:AS1006),$AN$1006:$BO$1006,0)), HYPERLINK("#",""), HYPERLINK(CONCATENATE("#Metadata!", ADDRESS(INDEX($AI$2:$AI$1001,MATCH(ROWS($AG$2:AG756),$AG$2:$AG$1001,0),0), INDEX($AN$1004:$BO$1004,1,MATCH(COLUMNS($AN$1006:AS1006),$AN$1006:$BO$1006,0)))),"Fix")))</f>
        <v>0</v>
      </c>
      <c r="H756" s="4">
        <f>IF(OR(INDEX($AH$2:$AH$1001,MATCH(ROWS($AG$2:AG756),$AG$2:$AG$1001,0),1)&gt;=100000,INDEX($AN$1005:$BO$1005,1,MATCH(COLUMNS($AN$1006:AT1006),$AN$1006:$BO$1006,0))&gt;=100000), " ",IF(INDEX($AN$2:$BO$1001,MATCH(ROWS($AG$2:AG756),$AG$2:$AG$1001,0),MATCH(COLUMNS($AN$1006:AT1006),$AN$1006:$BO$1006,0)), HYPERLINK("#",""), HYPERLINK(CONCATENATE("#Metadata!", ADDRESS(INDEX($AI$2:$AI$1001,MATCH(ROWS($AG$2:AG756),$AG$2:$AG$1001,0),0), INDEX($AN$1004:$BO$1004,1,MATCH(COLUMNS($AN$1006:AT1006),$AN$1006:$BO$1006,0)))),"Fix")))</f>
        <v>0</v>
      </c>
      <c r="I756" s="4">
        <f>IF(OR(INDEX($AH$2:$AH$1001,MATCH(ROWS($AG$2:AG756),$AG$2:$AG$1001,0),1)&gt;=100000,INDEX($AN$1005:$BO$1005,1,MATCH(COLUMNS($AN$1006:AU1006),$AN$1006:$BO$1006,0))&gt;=100000), " ",IF(INDEX($AN$2:$BO$1001,MATCH(ROWS($AG$2:AG756),$AG$2:$AG$1001,0),MATCH(COLUMNS($AN$1006:AU1006),$AN$1006:$BO$1006,0)), HYPERLINK("#",""), HYPERLINK(CONCATENATE("#Metadata!", ADDRESS(INDEX($AI$2:$AI$1001,MATCH(ROWS($AG$2:AG756),$AG$2:$AG$1001,0),0), INDEX($AN$1004:$BO$1004,1,MATCH(COLUMNS($AN$1006:AU1006),$AN$1006:$BO$1006,0)))),"Fix")))</f>
        <v>0</v>
      </c>
      <c r="J756" s="4">
        <f>IF(OR(INDEX($AH$2:$AH$1001,MATCH(ROWS($AG$2:AG756),$AG$2:$AG$1001,0),1)&gt;=100000,INDEX($AN$1005:$BO$1005,1,MATCH(COLUMNS($AN$1006:AV1006),$AN$1006:$BO$1006,0))&gt;=100000), " ",IF(INDEX($AN$2:$BO$1001,MATCH(ROWS($AG$2:AG756),$AG$2:$AG$1001,0),MATCH(COLUMNS($AN$1006:AV1006),$AN$1006:$BO$1006,0)), HYPERLINK("#",""), HYPERLINK(CONCATENATE("#Metadata!", ADDRESS(INDEX($AI$2:$AI$1001,MATCH(ROWS($AG$2:AG756),$AG$2:$AG$1001,0),0), INDEX($AN$1004:$BO$1004,1,MATCH(COLUMNS($AN$1006:AV1006),$AN$1006:$BO$1006,0)))),"Fix")))</f>
        <v>0</v>
      </c>
      <c r="K756" s="4">
        <f>IF(OR(INDEX($AH$2:$AH$1001,MATCH(ROWS($AG$2:AG756),$AG$2:$AG$1001,0),1)&gt;=100000,INDEX($AN$1005:$BO$1005,1,MATCH(COLUMNS($AN$1006:AW1006),$AN$1006:$BO$1006,0))&gt;=100000), " ",IF(INDEX($AN$2:$BO$1001,MATCH(ROWS($AG$2:AG756),$AG$2:$AG$1001,0),MATCH(COLUMNS($AN$1006:AW1006),$AN$1006:$BO$1006,0)), HYPERLINK("#",""), HYPERLINK(CONCATENATE("#Metadata!", ADDRESS(INDEX($AI$2:$AI$1001,MATCH(ROWS($AG$2:AG756),$AG$2:$AG$1001,0),0), INDEX($AN$1004:$BO$1004,1,MATCH(COLUMNS($AN$1006:AW1006),$AN$1006:$BO$1006,0)))),"Fix")))</f>
        <v>0</v>
      </c>
      <c r="L756" s="4">
        <f>IF(OR(INDEX($AH$2:$AH$1001,MATCH(ROWS($AG$2:AG756),$AG$2:$AG$1001,0),1)&gt;=100000,INDEX($AN$1005:$BO$1005,1,MATCH(COLUMNS($AN$1006:AX1006),$AN$1006:$BO$1006,0))&gt;=100000), " ",IF(INDEX($AN$2:$BO$1001,MATCH(ROWS($AG$2:AG756),$AG$2:$AG$1001,0),MATCH(COLUMNS($AN$1006:AX1006),$AN$1006:$BO$1006,0)), HYPERLINK("#",""), HYPERLINK(CONCATENATE("#Metadata!", ADDRESS(INDEX($AI$2:$AI$1001,MATCH(ROWS($AG$2:AG756),$AG$2:$AG$1001,0),0), INDEX($AN$1004:$BO$1004,1,MATCH(COLUMNS($AN$1006:AX1006),$AN$1006:$BO$1006,0)))),"Fix")))</f>
        <v>0</v>
      </c>
      <c r="M756" s="4">
        <f>IF(OR(INDEX($AH$2:$AH$1001,MATCH(ROWS($AG$2:AG756),$AG$2:$AG$1001,0),1)&gt;=100000,INDEX($AN$1005:$BO$1005,1,MATCH(COLUMNS($AN$1006:AY1006),$AN$1006:$BO$1006,0))&gt;=100000), " ",IF(INDEX($AN$2:$BO$1001,MATCH(ROWS($AG$2:AG756),$AG$2:$AG$1001,0),MATCH(COLUMNS($AN$1006:AY1006),$AN$1006:$BO$1006,0)), HYPERLINK("#",""), HYPERLINK(CONCATENATE("#Metadata!", ADDRESS(INDEX($AI$2:$AI$1001,MATCH(ROWS($AG$2:AG756),$AG$2:$AG$1001,0),0), INDEX($AN$1004:$BO$1004,1,MATCH(COLUMNS($AN$1006:AY1006),$AN$1006:$BO$1006,0)))),"Fix")))</f>
        <v>0</v>
      </c>
      <c r="N756" s="4">
        <f>IF(OR(INDEX($AH$2:$AH$1001,MATCH(ROWS($AG$2:AG756),$AG$2:$AG$1001,0),1)&gt;=100000,INDEX($AN$1005:$BO$1005,1,MATCH(COLUMNS($AN$1006:AZ1006),$AN$1006:$BO$1006,0))&gt;=100000), " ",IF(INDEX($AN$2:$BO$1001,MATCH(ROWS($AG$2:AG756),$AG$2:$AG$1001,0),MATCH(COLUMNS($AN$1006:AZ1006),$AN$1006:$BO$1006,0)), HYPERLINK("#",""), HYPERLINK(CONCATENATE("#Metadata!", ADDRESS(INDEX($AI$2:$AI$1001,MATCH(ROWS($AG$2:AG756),$AG$2:$AG$1001,0),0), INDEX($AN$1004:$BO$1004,1,MATCH(COLUMNS($AN$1006:AZ1006),$AN$1006:$BO$1006,0)))),"Fix")))</f>
        <v>0</v>
      </c>
      <c r="O756" s="4">
        <f>IF(OR(INDEX($AH$2:$AH$1001,MATCH(ROWS($AG$2:AG756),$AG$2:$AG$1001,0),1)&gt;=100000,INDEX($AN$1005:$BO$1005,1,MATCH(COLUMNS($AN$1006:BA1006),$AN$1006:$BO$1006,0))&gt;=100000), " ",IF(INDEX($AN$2:$BO$1001,MATCH(ROWS($AG$2:AG756),$AG$2:$AG$1001,0),MATCH(COLUMNS($AN$1006:BA1006),$AN$1006:$BO$1006,0)), HYPERLINK("#",""), HYPERLINK(CONCATENATE("#Metadata!", ADDRESS(INDEX($AI$2:$AI$1001,MATCH(ROWS($AG$2:AG756),$AG$2:$AG$1001,0),0), INDEX($AN$1004:$BO$1004,1,MATCH(COLUMNS($AN$1006:BA1006),$AN$1006:$BO$1006,0)))),"Fix")))</f>
        <v>0</v>
      </c>
      <c r="P756" s="4">
        <f>IF(OR(INDEX($AH$2:$AH$1001,MATCH(ROWS($AG$2:AG756),$AG$2:$AG$1001,0),1)&gt;=100000,INDEX($AN$1005:$BO$1005,1,MATCH(COLUMNS($AN$1006:BB1006),$AN$1006:$BO$1006,0))&gt;=100000), " ",IF(INDEX($AN$2:$BO$1001,MATCH(ROWS($AG$2:AG756),$AG$2:$AG$1001,0),MATCH(COLUMNS($AN$1006:BB1006),$AN$1006:$BO$1006,0)), HYPERLINK("#",""), HYPERLINK(CONCATENATE("#Metadata!", ADDRESS(INDEX($AI$2:$AI$1001,MATCH(ROWS($AG$2:AG756),$AG$2:$AG$1001,0),0), INDEX($AN$1004:$BO$1004,1,MATCH(COLUMNS($AN$1006:BB1006),$AN$1006:$BO$1006,0)))),"Fix")))</f>
        <v>0</v>
      </c>
      <c r="Q756" s="4">
        <f>IF(OR(INDEX($AH$2:$AH$1001,MATCH(ROWS($AG$2:AG756),$AG$2:$AG$1001,0),1)&gt;=100000,INDEX($AN$1005:$BO$1005,1,MATCH(COLUMNS($AN$1006:BC1006),$AN$1006:$BO$1006,0))&gt;=100000), " ",IF(INDEX($AN$2:$BO$1001,MATCH(ROWS($AG$2:AG756),$AG$2:$AG$1001,0),MATCH(COLUMNS($AN$1006:BC1006),$AN$1006:$BO$1006,0)), HYPERLINK("#",""), HYPERLINK(CONCATENATE("#Metadata!", ADDRESS(INDEX($AI$2:$AI$1001,MATCH(ROWS($AG$2:AG756),$AG$2:$AG$1001,0),0), INDEX($AN$1004:$BO$1004,1,MATCH(COLUMNS($AN$1006:BC1006),$AN$1006:$BO$1006,0)))),"Fix")))</f>
        <v>0</v>
      </c>
      <c r="R756" s="4">
        <f>IF(OR(INDEX($AH$2:$AH$1001,MATCH(ROWS($AG$2:AG756),$AG$2:$AG$1001,0),1)&gt;=100000,INDEX($AN$1005:$BO$1005,1,MATCH(COLUMNS($AN$1006:BD1006),$AN$1006:$BO$1006,0))&gt;=100000), " ",IF(INDEX($AN$2:$BO$1001,MATCH(ROWS($AG$2:AG756),$AG$2:$AG$1001,0),MATCH(COLUMNS($AN$1006:BD1006),$AN$1006:$BO$1006,0)), HYPERLINK("#",""), HYPERLINK(CONCATENATE("#Metadata!", ADDRESS(INDEX($AI$2:$AI$1001,MATCH(ROWS($AG$2:AG756),$AG$2:$AG$1001,0),0), INDEX($AN$1004:$BO$1004,1,MATCH(COLUMNS($AN$1006:BD1006),$AN$1006:$BO$1006,0)))),"Fix")))</f>
        <v>0</v>
      </c>
      <c r="S756" s="4">
        <f>IF(OR(INDEX($AH$2:$AH$1001,MATCH(ROWS($AG$2:AG756),$AG$2:$AG$1001,0),1)&gt;=100000,INDEX($AN$1005:$BO$1005,1,MATCH(COLUMNS($AN$1006:BE1006),$AN$1006:$BO$1006,0))&gt;=100000), " ",IF(INDEX($AN$2:$BO$1001,MATCH(ROWS($AG$2:AG756),$AG$2:$AG$1001,0),MATCH(COLUMNS($AN$1006:BE1006),$AN$1006:$BO$1006,0)), HYPERLINK("#",""), HYPERLINK(CONCATENATE("#Metadata!", ADDRESS(INDEX($AI$2:$AI$1001,MATCH(ROWS($AG$2:AG756),$AG$2:$AG$1001,0),0), INDEX($AN$1004:$BO$1004,1,MATCH(COLUMNS($AN$1006:BE1006),$AN$1006:$BO$1006,0)))),"Fix")))</f>
        <v>0</v>
      </c>
      <c r="T756" s="4">
        <f>IF(OR(INDEX($AH$2:$AH$1001,MATCH(ROWS($AG$2:AG756),$AG$2:$AG$1001,0),1)&gt;=100000,INDEX($AN$1005:$BO$1005,1,MATCH(COLUMNS($AN$1006:BF1006),$AN$1006:$BO$1006,0))&gt;=100000), " ",IF(INDEX($AN$2:$BO$1001,MATCH(ROWS($AG$2:AG756),$AG$2:$AG$1001,0),MATCH(COLUMNS($AN$1006:BF1006),$AN$1006:$BO$1006,0)), HYPERLINK("#",""), HYPERLINK(CONCATENATE("#Metadata!", ADDRESS(INDEX($AI$2:$AI$1001,MATCH(ROWS($AG$2:AG756),$AG$2:$AG$1001,0),0), INDEX($AN$1004:$BO$1004,1,MATCH(COLUMNS($AN$1006:BF1006),$AN$1006:$BO$1006,0)))),"Fix")))</f>
        <v>0</v>
      </c>
      <c r="U756" s="4">
        <f>IF(OR(INDEX($AH$2:$AH$1001,MATCH(ROWS($AG$2:AG756),$AG$2:$AG$1001,0),1)&gt;=100000,INDEX($AN$1005:$BO$1005,1,MATCH(COLUMNS($AN$1006:BG1006),$AN$1006:$BO$1006,0))&gt;=100000), " ",IF(INDEX($AN$2:$BO$1001,MATCH(ROWS($AG$2:AG756),$AG$2:$AG$1001,0),MATCH(COLUMNS($AN$1006:BG1006),$AN$1006:$BO$1006,0)), HYPERLINK("#",""), HYPERLINK(CONCATENATE("#Metadata!", ADDRESS(INDEX($AI$2:$AI$1001,MATCH(ROWS($AG$2:AG756),$AG$2:$AG$1001,0),0), INDEX($AN$1004:$BO$1004,1,MATCH(COLUMNS($AN$1006:BG1006),$AN$1006:$BO$1006,0)))),"Fix")))</f>
        <v>0</v>
      </c>
      <c r="V756" s="4">
        <f>IF(OR(INDEX($AH$2:$AH$1001,MATCH(ROWS($AG$2:AG756),$AG$2:$AG$1001,0),1)&gt;=100000,INDEX($AN$1005:$BO$1005,1,MATCH(COLUMNS($AN$1006:BH1006),$AN$1006:$BO$1006,0))&gt;=100000), " ",IF(INDEX($AN$2:$BO$1001,MATCH(ROWS($AG$2:AG756),$AG$2:$AG$1001,0),MATCH(COLUMNS($AN$1006:BH1006),$AN$1006:$BO$1006,0)), HYPERLINK("#",""), HYPERLINK(CONCATENATE("#Metadata!", ADDRESS(INDEX($AI$2:$AI$1001,MATCH(ROWS($AG$2:AG756),$AG$2:$AG$1001,0),0), INDEX($AN$1004:$BO$1004,1,MATCH(COLUMNS($AN$1006:BH1006),$AN$1006:$BO$1006,0)))),"Fix")))</f>
        <v>0</v>
      </c>
      <c r="W756" s="4">
        <f>IF(OR(INDEX($AH$2:$AH$1001,MATCH(ROWS($AG$2:AG756),$AG$2:$AG$1001,0),1)&gt;=100000,INDEX($AN$1005:$BO$1005,1,MATCH(COLUMNS($AN$1006:BI1006),$AN$1006:$BO$1006,0))&gt;=100000), " ",IF(INDEX($AN$2:$BO$1001,MATCH(ROWS($AG$2:AG756),$AG$2:$AG$1001,0),MATCH(COLUMNS($AN$1006:BI1006),$AN$1006:$BO$1006,0)), HYPERLINK("#",""), HYPERLINK(CONCATENATE("#Metadata!", ADDRESS(INDEX($AI$2:$AI$1001,MATCH(ROWS($AG$2:AG756),$AG$2:$AG$1001,0),0), INDEX($AN$1004:$BO$1004,1,MATCH(COLUMNS($AN$1006:BI1006),$AN$1006:$BO$1006,0)))),"Fix")))</f>
        <v>0</v>
      </c>
      <c r="X756" s="4">
        <f>IF(OR(INDEX($AH$2:$AH$1001,MATCH(ROWS($AG$2:AG756),$AG$2:$AG$1001,0),1)&gt;=100000,INDEX($AN$1005:$BO$1005,1,MATCH(COLUMNS($AN$1006:BJ1006),$AN$1006:$BO$1006,0))&gt;=100000), " ",IF(INDEX($AN$2:$BO$1001,MATCH(ROWS($AG$2:AG756),$AG$2:$AG$1001,0),MATCH(COLUMNS($AN$1006:BJ1006),$AN$1006:$BO$1006,0)), HYPERLINK("#",""), HYPERLINK(CONCATENATE("#Metadata!", ADDRESS(INDEX($AI$2:$AI$1001,MATCH(ROWS($AG$2:AG756),$AG$2:$AG$1001,0),0), INDEX($AN$1004:$BO$1004,1,MATCH(COLUMNS($AN$1006:BJ1006),$AN$1006:$BO$1006,0)))),"Fix")))</f>
        <v>0</v>
      </c>
      <c r="Y756" s="4">
        <f>IF(OR(INDEX($AH$2:$AH$1001,MATCH(ROWS($AG$2:AG756),$AG$2:$AG$1001,0),1)&gt;=100000,INDEX($AN$1005:$BO$1005,1,MATCH(COLUMNS($AN$1006:BK1006),$AN$1006:$BO$1006,0))&gt;=100000), " ",IF(INDEX($AN$2:$BO$1001,MATCH(ROWS($AG$2:AG756),$AG$2:$AG$1001,0),MATCH(COLUMNS($AN$1006:BK1006),$AN$1006:$BO$1006,0)), HYPERLINK("#",""), HYPERLINK(CONCATENATE("#Metadata!", ADDRESS(INDEX($AI$2:$AI$1001,MATCH(ROWS($AG$2:AG756),$AG$2:$AG$1001,0),0), INDEX($AN$1004:$BO$1004,1,MATCH(COLUMNS($AN$1006:BK1006),$AN$1006:$BO$1006,0)))),"Fix")))</f>
        <v>0</v>
      </c>
      <c r="Z756" s="4">
        <f>IF(OR(INDEX($AH$2:$AH$1001,MATCH(ROWS($AG$2:AG756),$AG$2:$AG$1001,0),1)&gt;=100000,INDEX($AN$1005:$BO$1005,1,MATCH(COLUMNS($AN$1006:BL1006),$AN$1006:$BO$1006,0))&gt;=100000), " ",IF(INDEX($AN$2:$BO$1001,MATCH(ROWS($AG$2:AG756),$AG$2:$AG$1001,0),MATCH(COLUMNS($AN$1006:BL1006),$AN$1006:$BO$1006,0)), HYPERLINK("#",""), HYPERLINK(CONCATENATE("#Metadata!", ADDRESS(INDEX($AI$2:$AI$1001,MATCH(ROWS($AG$2:AG756),$AG$2:$AG$1001,0),0), INDEX($AN$1004:$BO$1004,1,MATCH(COLUMNS($AN$1006:BL1006),$AN$1006:$BO$1006,0)))),"Fix")))</f>
        <v>0</v>
      </c>
      <c r="AA756" s="4">
        <f>IF(OR(INDEX($AH$2:$AH$1001,MATCH(ROWS($AG$2:AG756),$AG$2:$AG$1001,0),1)&gt;=100000,INDEX($AN$1005:$BO$1005,1,MATCH(COLUMNS($AN$1006:BM1006),$AN$1006:$BO$1006,0))&gt;=100000), " ",IF(INDEX($AN$2:$BO$1001,MATCH(ROWS($AG$2:AG756),$AG$2:$AG$1001,0),MATCH(COLUMNS($AN$1006:BM1006),$AN$1006:$BO$1006,0)), HYPERLINK("#",""), HYPERLINK(CONCATENATE("#Metadata!", ADDRESS(INDEX($AI$2:$AI$1001,MATCH(ROWS($AG$2:AG756),$AG$2:$AG$1001,0),0), INDEX($AN$1004:$BO$1004,1,MATCH(COLUMNS($AN$1006:BM1006),$AN$1006:$BO$1006,0)))),"Fix")))</f>
        <v>0</v>
      </c>
      <c r="AB756" s="4">
        <f>IF(OR(INDEX($AH$2:$AH$1001,MATCH(ROWS($AG$2:AG756),$AG$2:$AG$1001,0),1)&gt;=100000,INDEX($AN$1005:$BO$1005,1,MATCH(COLUMNS($AN$1006:BN1006),$AN$1006:$BO$1006,0))&gt;=100000), " ",IF(INDEX($AN$2:$BO$1001,MATCH(ROWS($AG$2:AG756),$AG$2:$AG$1001,0),MATCH(COLUMNS($AN$1006:BN1006),$AN$1006:$BO$1006,0)), HYPERLINK("#",""), HYPERLINK(CONCATENATE("#Metadata!", ADDRESS(INDEX($AI$2:$AI$1001,MATCH(ROWS($AG$2:AG756),$AG$2:$AG$1001,0),0), INDEX($AN$1004:$BO$1004,1,MATCH(COLUMNS($AN$1006:BN1006),$AN$1006:$BO$1006,0)))),"Fix")))</f>
        <v>0</v>
      </c>
      <c r="AC756" s="4">
        <f>IF(OR(INDEX($AH$2:$AH$1001,MATCH(ROWS($AG$2:AG756),$AG$2:$AG$1001,0),1)&gt;=100000,INDEX($AN$1005:$BO$1005,1,MATCH(COLUMNS($AN$1006:BO1006),$AN$1006:$BO$1006,0))&gt;=100000), " ",IF(INDEX($AN$2:$BO$1001,MATCH(ROWS($AG$2:AG756),$AG$2:$AG$1001,0),MATCH(COLUMNS($AN$1006:BO1006),$AN$1006:$BO$1006,0)), HYPERLINK("#",""), HYPERLINK(CONCATENATE("#Metadata!", ADDRESS(INDEX($AI$2:$AI$1001,MATCH(ROWS($AG$2:AG756),$AG$2:$AG$1001,0),0), INDEX($AN$1004:$BO$1004,1,MATCH(COLUMNS($AN$1006:BO1006),$AN$1006:$BO$1006,0)))),"Fix")))</f>
        <v>0</v>
      </c>
      <c r="AG756">
        <v>0</v>
      </c>
      <c r="AH756">
        <v>0</v>
      </c>
      <c r="AI756">
        <v>0</v>
      </c>
      <c r="AJ756">
        <f>IF(AK756,TRUE,AND(AN756:BO756))</f>
        <v>0</v>
      </c>
      <c r="AK756">
        <f>COUNTBLANK(Metadata!B756:AC756)=COLUMNS(Metadata!B756:AC756)</f>
        <v>0</v>
      </c>
      <c r="AL756">
        <v>0</v>
      </c>
      <c r="AN756">
        <f>AND(IF(Metadata!B756="",FALSE,TRUE),COUNTIF(Metadata!B:B, Metadata!B756) = 1,NOT(ISERROR(SUMPRODUCT(SEARCH(MID(Metadata!B756,ROW(INDIRECT("1:"&amp;LEN(Metadata!B756))), 1),"0123456789abcdefghijklmnopqrstuvwxyzABCDEFGHIJKLMNOPQRSTUVWXYZ.")))))</f>
        <v>0</v>
      </c>
      <c r="AO756">
        <f>IF(Metadata!C756="",FALSE,TRUE)</f>
        <v>0</v>
      </c>
      <c r="AP756">
        <f>IF(Metadata!D756="",FALSE,TRUE)</f>
        <v>0</v>
      </c>
      <c r="AQ756">
        <f>OR(AND(IF(Metadata!E756="",FALSE,TRUE),OR(exact(Metadata!E756,"not collected"),exact(Metadata!E756,"not provided"),exact(Metadata!E756,"restricted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R756">
        <f>IF(Metadata!F756="",FALSE,TRUE)</f>
        <v>0</v>
      </c>
      <c r="AS756">
        <f>OR(AND(IF(Metadata!G756="",FALSE,TRUE),OR(exact(Metadata!G756,"not collected"),exact(Metadata!G756,"not provided"))),AND(IF(Metadata!G756="",FALSE,TRUE),OR(exact(Metadata!G756,"TRUE"),exact(Metadata!G756,"FALSE"))))</f>
        <v>0</v>
      </c>
      <c r="AT756">
        <f>OR(AND(IF(Metadata!H756="",FALSE,TRUE),OR(exact(Metadata!H756,"not collected"),exact(Metadata!H756,"not provided"),exact(Metadata!H756,"restricted access"))),AND(IF(Metadata!H756="",FALSE,ISNUMBER(VALUE(Metadata!H756))),Metadata!H756&gt;=-413.0))</f>
        <v>0</v>
      </c>
      <c r="AU756">
        <f>AND(IF(Metadata!I756="",FALSE,TRUE),exact(Metadata!I756,"meters"))</f>
        <v>0</v>
      </c>
      <c r="AV756">
        <f>AND(IF(Metadata!J756="",FALSE,TRUE),OR(exact(Metadata!J756,"Host-associated"),exact(Metadata!J756,"Free-living")))</f>
        <v>0</v>
      </c>
      <c r="AW756">
        <f>AND(IF(Metadata!K756="",FALSE,TRUE),OR(exact(Metadata!K756,"Animal"),exact(Metadata!K756,"Fungus"),exact(Metadata!K756,"Plant"),exact(Metadata!K756,"Saline"),exact(Metadata!K756,"Non-saline")))</f>
        <v>0</v>
      </c>
      <c r="AX756">
        <f>AND(IF(Metadata!L756="",FALSE,TRUE),OR(exact(Metadata!L756,"Plant secretion"),exact(Metadata!L756,"Plant rhizosphere"),exact(Metadata!L756,"Plant surface"),exact(Metadata!L756,"Plant corpus"),exact(Metadata!L756,"Fungus surface"),exact(Metadata!L756,"Fungus corpus"),exact(Metadata!L756,"Animal surface"),exact(Metadata!L756,"Animal proximal gut"),exact(Metadata!L756,"Animal corpus"),exact(Metadata!L756,"Animal distal gut"),exact(Metadata!L756,"Animal secretion"),exact(Metadata!L756,"Sub-surface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Y756">
        <f>IF(Metadata!M756="",FALSE,TRUE)</f>
        <v>0</v>
      </c>
      <c r="AZ756">
        <f>IF(Metadata!N756="",FALSE,TRUE)</f>
        <v>0</v>
      </c>
      <c r="BA756">
        <f>IF(Metadata!O756="",FALSE,TRUE)</f>
        <v>0</v>
      </c>
      <c r="BB756">
        <f>OR(AND(IF(Metadata!P756="",FALSE,TRUE),OR(exact(Metadata!P756,"not collected"),exact(Metadata!P756,"not provided"),exact(Metadata!P756,"restricted access"))),AND(IF(Metadata!P756="",FALSE,TRUE),OR(exact(Metadata!P756,"air"),exact(Metadata!P756,"built environment"),exact(Metadata!P756,"host-associated"),exact(Metadata!P756,"human-associated"),exact(Metadata!P756,"human-skin"),exact(Metadata!P756,"human-oral"),exact(Metadata!P756,"human-gut"),exact(Metadata!P756,"human-vaginal"),exact(Metadata!P756,"microbial mat/biofilm"),exact(Metadata!P756,"misc environment"),exact(Metadata!P756,"plant-associated"),exact(Metadata!P756,"sediment"),exact(Metadata!P756,"soil"),exact(Metadata!P756,"wastewater/sludge"),exact(Metadata!P756,"water"))))</f>
        <v>0</v>
      </c>
      <c r="BC756">
        <f>IF(Metadata!Q756="",FALSE,TRUE)</f>
        <v>0</v>
      </c>
      <c r="BD756">
        <f>IF(Metadata!R756="",FALSE,TRUE)</f>
        <v>0</v>
      </c>
      <c r="BE756">
        <f>OR(AND(IF(Metadata!S756="",FALSE,TRUE),OR(exact(Metadata!S756,"not collected"),exact(Metadata!S756,"not provided"),exact(Metadata!S756,"restricted access"))),AND(IF(Metadata!S756="",FALSE,ISNUMBER(VALUE(Metadata!S756))),Metadata!S756&gt;=-90.00,Metadata!S756&lt;=90.00))</f>
        <v>0</v>
      </c>
      <c r="BF756">
        <f>AND(IF(Metadata!T756="",FALSE,TRUE),exact(Metadata!T756,"Decimal degrees"))</f>
        <v>0</v>
      </c>
      <c r="BG756">
        <f>OR(AND(IF(Metadata!U756="",FALSE,TRUE),OR(exact(Metadata!U756,"not collected"),exact(Metadata!U756,"not provided"),exact(Metadata!U756,"restricted access"))),AND(IF(Metadata!U756="",FALSE,ISNUMBER(VALUE(Metadata!U756))),Metadata!U756&gt;=-180.00,Metadata!U756&lt;=180.00))</f>
        <v>0</v>
      </c>
      <c r="BH756">
        <f>AND(IF(Metadata!V756="",FALSE,TRUE),exact(Metadata!V756,"Decimal degrees"))</f>
        <v>0</v>
      </c>
      <c r="BI756">
        <f>IF(Metadata!W756="",FALSE,TRUE)</f>
        <v>0</v>
      </c>
      <c r="BJ756">
        <f>OR(AND(IF(Metadata!X756="",FALSE,TRUE),OR(exact(Metadata!X756,"not collected"),exact(Metadata!X756,"not provided"),exact(Metadata!X756,"restricted access"))),AND(IF(Metadata!X756="",FALSE,TRUE),OR(exact(Metadata!X756,"TRUE"),exact(Metadata!X756,"FALSE"))))</f>
        <v>0</v>
      </c>
      <c r="BK756">
        <f>AND(IF(Metadata!Y756="",FALSE,TRUE),exact(Metadata!Y756,"other"))</f>
        <v>0</v>
      </c>
      <c r="BL756">
        <f>IF(Metadata!Z756="",FALSE,TRUE)</f>
        <v>0</v>
      </c>
      <c r="BM756">
        <f>OR(AND(IF(Metadata!AA756="",FALSE,TRUE),OR(exact(Metadata!AA756,"not collected"),exact(Metadata!AA756,"not provided"))),AND(IF(Metadata!AA756="",FALSE,IF(ISERROR(INT(Metadata!AA756)),FALSE,INT(Metadata!AA756)=Metadata!AA756)),Metadata!AA756&gt;0))</f>
        <v>0</v>
      </c>
      <c r="BN756">
        <f>AND(IF(Metadata!AB756="",FALSE,TRUE),exact(Metadata!AB756,"Not applicable"))</f>
        <v>0</v>
      </c>
      <c r="BO756">
        <f>IF(Metadata!AC756="",FALSE,TRUE)</f>
        <v>0</v>
      </c>
    </row>
    <row r="757" spans="1:67">
      <c r="A757" s="5">
        <f>IF(B757=" "," ",HYPERLINK(CONCATENATE("#metadata!",ADDRESS(INDEX($AI$2:$AI$1001,MATCH(ROWS($AG$2:AG757),$AG$2:$AG$1001,0),0),1)),INDEX($AL$2:$AL$1001,MATCH(ROWS($AG$2:AG757),$AG$2:$AG$1001,0),0)))</f>
        <v>0</v>
      </c>
      <c r="B757" s="4">
        <f>IF(OR(INDEX($AH$2:$AH$1001,MATCH(ROWS($AG$2:AG757),$AG$2:$AG$1001,0),1)&gt;=100000,INDEX($AN$1005:$BO$1005,1,MATCH(COLUMNS($AN$1006:AN1006),$AN$1006:$BO$1006,0))&gt;=100000), " ",IF(INDEX($AN$2:$BO$1001,MATCH(ROWS($AG$2:AG757),$AG$2:$AG$1001,0),MATCH(COLUMNS($AN$1006:AN1006),$AN$1006:$BO$1006,0)), HYPERLINK("#",""), HYPERLINK(CONCATENATE("#Metadata!", ADDRESS(INDEX($AI$2:$AI$1001,MATCH(ROWS($AG$2:AG757),$AG$2:$AG$1001,0),0), INDEX($AN$1004:$BO$1004,1,MATCH(COLUMNS($AN$1006:AN1006),$AN$1006:$BO$1006,0)))),"Fix")))</f>
        <v>0</v>
      </c>
      <c r="C757" s="4">
        <f>IF(OR(INDEX($AH$2:$AH$1001,MATCH(ROWS($AG$2:AG757),$AG$2:$AG$1001,0),1)&gt;=100000,INDEX($AN$1005:$BO$1005,1,MATCH(COLUMNS($AN$1006:AO1006),$AN$1006:$BO$1006,0))&gt;=100000), " ",IF(INDEX($AN$2:$BO$1001,MATCH(ROWS($AG$2:AG757),$AG$2:$AG$1001,0),MATCH(COLUMNS($AN$1006:AO1006),$AN$1006:$BO$1006,0)), HYPERLINK("#",""), HYPERLINK(CONCATENATE("#Metadata!", ADDRESS(INDEX($AI$2:$AI$1001,MATCH(ROWS($AG$2:AG757),$AG$2:$AG$1001,0),0), INDEX($AN$1004:$BO$1004,1,MATCH(COLUMNS($AN$1006:AO1006),$AN$1006:$BO$1006,0)))),"Fix")))</f>
        <v>0</v>
      </c>
      <c r="D757" s="4">
        <f>IF(OR(INDEX($AH$2:$AH$1001,MATCH(ROWS($AG$2:AG757),$AG$2:$AG$1001,0),1)&gt;=100000,INDEX($AN$1005:$BO$1005,1,MATCH(COLUMNS($AN$1006:AP1006),$AN$1006:$BO$1006,0))&gt;=100000), " ",IF(INDEX($AN$2:$BO$1001,MATCH(ROWS($AG$2:AG757),$AG$2:$AG$1001,0),MATCH(COLUMNS($AN$1006:AP1006),$AN$1006:$BO$1006,0)), HYPERLINK("#",""), HYPERLINK(CONCATENATE("#Metadata!", ADDRESS(INDEX($AI$2:$AI$1001,MATCH(ROWS($AG$2:AG757),$AG$2:$AG$1001,0),0), INDEX($AN$1004:$BO$1004,1,MATCH(COLUMNS($AN$1006:AP1006),$AN$1006:$BO$1006,0)))),"Fix")))</f>
        <v>0</v>
      </c>
      <c r="E757" s="4">
        <f>IF(OR(INDEX($AH$2:$AH$1001,MATCH(ROWS($AG$2:AG757),$AG$2:$AG$1001,0),1)&gt;=100000,INDEX($AN$1005:$BO$1005,1,MATCH(COLUMNS($AN$1006:AQ1006),$AN$1006:$BO$1006,0))&gt;=100000), " ",IF(INDEX($AN$2:$BO$1001,MATCH(ROWS($AG$2:AG757),$AG$2:$AG$1001,0),MATCH(COLUMNS($AN$1006:AQ1006),$AN$1006:$BO$1006,0)), HYPERLINK("#",""), HYPERLINK(CONCATENATE("#Metadata!", ADDRESS(INDEX($AI$2:$AI$1001,MATCH(ROWS($AG$2:AG757),$AG$2:$AG$1001,0),0), INDEX($AN$1004:$BO$1004,1,MATCH(COLUMNS($AN$1006:AQ1006),$AN$1006:$BO$1006,0)))),"Fix")))</f>
        <v>0</v>
      </c>
      <c r="F757" s="4">
        <f>IF(OR(INDEX($AH$2:$AH$1001,MATCH(ROWS($AG$2:AG757),$AG$2:$AG$1001,0),1)&gt;=100000,INDEX($AN$1005:$BO$1005,1,MATCH(COLUMNS($AN$1006:AR1006),$AN$1006:$BO$1006,0))&gt;=100000), " ",IF(INDEX($AN$2:$BO$1001,MATCH(ROWS($AG$2:AG757),$AG$2:$AG$1001,0),MATCH(COLUMNS($AN$1006:AR1006),$AN$1006:$BO$1006,0)), HYPERLINK("#",""), HYPERLINK(CONCATENATE("#Metadata!", ADDRESS(INDEX($AI$2:$AI$1001,MATCH(ROWS($AG$2:AG757),$AG$2:$AG$1001,0),0), INDEX($AN$1004:$BO$1004,1,MATCH(COLUMNS($AN$1006:AR1006),$AN$1006:$BO$1006,0)))),"Fix")))</f>
        <v>0</v>
      </c>
      <c r="G757" s="4">
        <f>IF(OR(INDEX($AH$2:$AH$1001,MATCH(ROWS($AG$2:AG757),$AG$2:$AG$1001,0),1)&gt;=100000,INDEX($AN$1005:$BO$1005,1,MATCH(COLUMNS($AN$1006:AS1006),$AN$1006:$BO$1006,0))&gt;=100000), " ",IF(INDEX($AN$2:$BO$1001,MATCH(ROWS($AG$2:AG757),$AG$2:$AG$1001,0),MATCH(COLUMNS($AN$1006:AS1006),$AN$1006:$BO$1006,0)), HYPERLINK("#",""), HYPERLINK(CONCATENATE("#Metadata!", ADDRESS(INDEX($AI$2:$AI$1001,MATCH(ROWS($AG$2:AG757),$AG$2:$AG$1001,0),0), INDEX($AN$1004:$BO$1004,1,MATCH(COLUMNS($AN$1006:AS1006),$AN$1006:$BO$1006,0)))),"Fix")))</f>
        <v>0</v>
      </c>
      <c r="H757" s="4">
        <f>IF(OR(INDEX($AH$2:$AH$1001,MATCH(ROWS($AG$2:AG757),$AG$2:$AG$1001,0),1)&gt;=100000,INDEX($AN$1005:$BO$1005,1,MATCH(COLUMNS($AN$1006:AT1006),$AN$1006:$BO$1006,0))&gt;=100000), " ",IF(INDEX($AN$2:$BO$1001,MATCH(ROWS($AG$2:AG757),$AG$2:$AG$1001,0),MATCH(COLUMNS($AN$1006:AT1006),$AN$1006:$BO$1006,0)), HYPERLINK("#",""), HYPERLINK(CONCATENATE("#Metadata!", ADDRESS(INDEX($AI$2:$AI$1001,MATCH(ROWS($AG$2:AG757),$AG$2:$AG$1001,0),0), INDEX($AN$1004:$BO$1004,1,MATCH(COLUMNS($AN$1006:AT1006),$AN$1006:$BO$1006,0)))),"Fix")))</f>
        <v>0</v>
      </c>
      <c r="I757" s="4">
        <f>IF(OR(INDEX($AH$2:$AH$1001,MATCH(ROWS($AG$2:AG757),$AG$2:$AG$1001,0),1)&gt;=100000,INDEX($AN$1005:$BO$1005,1,MATCH(COLUMNS($AN$1006:AU1006),$AN$1006:$BO$1006,0))&gt;=100000), " ",IF(INDEX($AN$2:$BO$1001,MATCH(ROWS($AG$2:AG757),$AG$2:$AG$1001,0),MATCH(COLUMNS($AN$1006:AU1006),$AN$1006:$BO$1006,0)), HYPERLINK("#",""), HYPERLINK(CONCATENATE("#Metadata!", ADDRESS(INDEX($AI$2:$AI$1001,MATCH(ROWS($AG$2:AG757),$AG$2:$AG$1001,0),0), INDEX($AN$1004:$BO$1004,1,MATCH(COLUMNS($AN$1006:AU1006),$AN$1006:$BO$1006,0)))),"Fix")))</f>
        <v>0</v>
      </c>
      <c r="J757" s="4">
        <f>IF(OR(INDEX($AH$2:$AH$1001,MATCH(ROWS($AG$2:AG757),$AG$2:$AG$1001,0),1)&gt;=100000,INDEX($AN$1005:$BO$1005,1,MATCH(COLUMNS($AN$1006:AV1006),$AN$1006:$BO$1006,0))&gt;=100000), " ",IF(INDEX($AN$2:$BO$1001,MATCH(ROWS($AG$2:AG757),$AG$2:$AG$1001,0),MATCH(COLUMNS($AN$1006:AV1006),$AN$1006:$BO$1006,0)), HYPERLINK("#",""), HYPERLINK(CONCATENATE("#Metadata!", ADDRESS(INDEX($AI$2:$AI$1001,MATCH(ROWS($AG$2:AG757),$AG$2:$AG$1001,0),0), INDEX($AN$1004:$BO$1004,1,MATCH(COLUMNS($AN$1006:AV1006),$AN$1006:$BO$1006,0)))),"Fix")))</f>
        <v>0</v>
      </c>
      <c r="K757" s="4">
        <f>IF(OR(INDEX($AH$2:$AH$1001,MATCH(ROWS($AG$2:AG757),$AG$2:$AG$1001,0),1)&gt;=100000,INDEX($AN$1005:$BO$1005,1,MATCH(COLUMNS($AN$1006:AW1006),$AN$1006:$BO$1006,0))&gt;=100000), " ",IF(INDEX($AN$2:$BO$1001,MATCH(ROWS($AG$2:AG757),$AG$2:$AG$1001,0),MATCH(COLUMNS($AN$1006:AW1006),$AN$1006:$BO$1006,0)), HYPERLINK("#",""), HYPERLINK(CONCATENATE("#Metadata!", ADDRESS(INDEX($AI$2:$AI$1001,MATCH(ROWS($AG$2:AG757),$AG$2:$AG$1001,0),0), INDEX($AN$1004:$BO$1004,1,MATCH(COLUMNS($AN$1006:AW1006),$AN$1006:$BO$1006,0)))),"Fix")))</f>
        <v>0</v>
      </c>
      <c r="L757" s="4">
        <f>IF(OR(INDEX($AH$2:$AH$1001,MATCH(ROWS($AG$2:AG757),$AG$2:$AG$1001,0),1)&gt;=100000,INDEX($AN$1005:$BO$1005,1,MATCH(COLUMNS($AN$1006:AX1006),$AN$1006:$BO$1006,0))&gt;=100000), " ",IF(INDEX($AN$2:$BO$1001,MATCH(ROWS($AG$2:AG757),$AG$2:$AG$1001,0),MATCH(COLUMNS($AN$1006:AX1006),$AN$1006:$BO$1006,0)), HYPERLINK("#",""), HYPERLINK(CONCATENATE("#Metadata!", ADDRESS(INDEX($AI$2:$AI$1001,MATCH(ROWS($AG$2:AG757),$AG$2:$AG$1001,0),0), INDEX($AN$1004:$BO$1004,1,MATCH(COLUMNS($AN$1006:AX1006),$AN$1006:$BO$1006,0)))),"Fix")))</f>
        <v>0</v>
      </c>
      <c r="M757" s="4">
        <f>IF(OR(INDEX($AH$2:$AH$1001,MATCH(ROWS($AG$2:AG757),$AG$2:$AG$1001,0),1)&gt;=100000,INDEX($AN$1005:$BO$1005,1,MATCH(COLUMNS($AN$1006:AY1006),$AN$1006:$BO$1006,0))&gt;=100000), " ",IF(INDEX($AN$2:$BO$1001,MATCH(ROWS($AG$2:AG757),$AG$2:$AG$1001,0),MATCH(COLUMNS($AN$1006:AY1006),$AN$1006:$BO$1006,0)), HYPERLINK("#",""), HYPERLINK(CONCATENATE("#Metadata!", ADDRESS(INDEX($AI$2:$AI$1001,MATCH(ROWS($AG$2:AG757),$AG$2:$AG$1001,0),0), INDEX($AN$1004:$BO$1004,1,MATCH(COLUMNS($AN$1006:AY1006),$AN$1006:$BO$1006,0)))),"Fix")))</f>
        <v>0</v>
      </c>
      <c r="N757" s="4">
        <f>IF(OR(INDEX($AH$2:$AH$1001,MATCH(ROWS($AG$2:AG757),$AG$2:$AG$1001,0),1)&gt;=100000,INDEX($AN$1005:$BO$1005,1,MATCH(COLUMNS($AN$1006:AZ1006),$AN$1006:$BO$1006,0))&gt;=100000), " ",IF(INDEX($AN$2:$BO$1001,MATCH(ROWS($AG$2:AG757),$AG$2:$AG$1001,0),MATCH(COLUMNS($AN$1006:AZ1006),$AN$1006:$BO$1006,0)), HYPERLINK("#",""), HYPERLINK(CONCATENATE("#Metadata!", ADDRESS(INDEX($AI$2:$AI$1001,MATCH(ROWS($AG$2:AG757),$AG$2:$AG$1001,0),0), INDEX($AN$1004:$BO$1004,1,MATCH(COLUMNS($AN$1006:AZ1006),$AN$1006:$BO$1006,0)))),"Fix")))</f>
        <v>0</v>
      </c>
      <c r="O757" s="4">
        <f>IF(OR(INDEX($AH$2:$AH$1001,MATCH(ROWS($AG$2:AG757),$AG$2:$AG$1001,0),1)&gt;=100000,INDEX($AN$1005:$BO$1005,1,MATCH(COLUMNS($AN$1006:BA1006),$AN$1006:$BO$1006,0))&gt;=100000), " ",IF(INDEX($AN$2:$BO$1001,MATCH(ROWS($AG$2:AG757),$AG$2:$AG$1001,0),MATCH(COLUMNS($AN$1006:BA1006),$AN$1006:$BO$1006,0)), HYPERLINK("#",""), HYPERLINK(CONCATENATE("#Metadata!", ADDRESS(INDEX($AI$2:$AI$1001,MATCH(ROWS($AG$2:AG757),$AG$2:$AG$1001,0),0), INDEX($AN$1004:$BO$1004,1,MATCH(COLUMNS($AN$1006:BA1006),$AN$1006:$BO$1006,0)))),"Fix")))</f>
        <v>0</v>
      </c>
      <c r="P757" s="4">
        <f>IF(OR(INDEX($AH$2:$AH$1001,MATCH(ROWS($AG$2:AG757),$AG$2:$AG$1001,0),1)&gt;=100000,INDEX($AN$1005:$BO$1005,1,MATCH(COLUMNS($AN$1006:BB1006),$AN$1006:$BO$1006,0))&gt;=100000), " ",IF(INDEX($AN$2:$BO$1001,MATCH(ROWS($AG$2:AG757),$AG$2:$AG$1001,0),MATCH(COLUMNS($AN$1006:BB1006),$AN$1006:$BO$1006,0)), HYPERLINK("#",""), HYPERLINK(CONCATENATE("#Metadata!", ADDRESS(INDEX($AI$2:$AI$1001,MATCH(ROWS($AG$2:AG757),$AG$2:$AG$1001,0),0), INDEX($AN$1004:$BO$1004,1,MATCH(COLUMNS($AN$1006:BB1006),$AN$1006:$BO$1006,0)))),"Fix")))</f>
        <v>0</v>
      </c>
      <c r="Q757" s="4">
        <f>IF(OR(INDEX($AH$2:$AH$1001,MATCH(ROWS($AG$2:AG757),$AG$2:$AG$1001,0),1)&gt;=100000,INDEX($AN$1005:$BO$1005,1,MATCH(COLUMNS($AN$1006:BC1006),$AN$1006:$BO$1006,0))&gt;=100000), " ",IF(INDEX($AN$2:$BO$1001,MATCH(ROWS($AG$2:AG757),$AG$2:$AG$1001,0),MATCH(COLUMNS($AN$1006:BC1006),$AN$1006:$BO$1006,0)), HYPERLINK("#",""), HYPERLINK(CONCATENATE("#Metadata!", ADDRESS(INDEX($AI$2:$AI$1001,MATCH(ROWS($AG$2:AG757),$AG$2:$AG$1001,0),0), INDEX($AN$1004:$BO$1004,1,MATCH(COLUMNS($AN$1006:BC1006),$AN$1006:$BO$1006,0)))),"Fix")))</f>
        <v>0</v>
      </c>
      <c r="R757" s="4">
        <f>IF(OR(INDEX($AH$2:$AH$1001,MATCH(ROWS($AG$2:AG757),$AG$2:$AG$1001,0),1)&gt;=100000,INDEX($AN$1005:$BO$1005,1,MATCH(COLUMNS($AN$1006:BD1006),$AN$1006:$BO$1006,0))&gt;=100000), " ",IF(INDEX($AN$2:$BO$1001,MATCH(ROWS($AG$2:AG757),$AG$2:$AG$1001,0),MATCH(COLUMNS($AN$1006:BD1006),$AN$1006:$BO$1006,0)), HYPERLINK("#",""), HYPERLINK(CONCATENATE("#Metadata!", ADDRESS(INDEX($AI$2:$AI$1001,MATCH(ROWS($AG$2:AG757),$AG$2:$AG$1001,0),0), INDEX($AN$1004:$BO$1004,1,MATCH(COLUMNS($AN$1006:BD1006),$AN$1006:$BO$1006,0)))),"Fix")))</f>
        <v>0</v>
      </c>
      <c r="S757" s="4">
        <f>IF(OR(INDEX($AH$2:$AH$1001,MATCH(ROWS($AG$2:AG757),$AG$2:$AG$1001,0),1)&gt;=100000,INDEX($AN$1005:$BO$1005,1,MATCH(COLUMNS($AN$1006:BE1006),$AN$1006:$BO$1006,0))&gt;=100000), " ",IF(INDEX($AN$2:$BO$1001,MATCH(ROWS($AG$2:AG757),$AG$2:$AG$1001,0),MATCH(COLUMNS($AN$1006:BE1006),$AN$1006:$BO$1006,0)), HYPERLINK("#",""), HYPERLINK(CONCATENATE("#Metadata!", ADDRESS(INDEX($AI$2:$AI$1001,MATCH(ROWS($AG$2:AG757),$AG$2:$AG$1001,0),0), INDEX($AN$1004:$BO$1004,1,MATCH(COLUMNS($AN$1006:BE1006),$AN$1006:$BO$1006,0)))),"Fix")))</f>
        <v>0</v>
      </c>
      <c r="T757" s="4">
        <f>IF(OR(INDEX($AH$2:$AH$1001,MATCH(ROWS($AG$2:AG757),$AG$2:$AG$1001,0),1)&gt;=100000,INDEX($AN$1005:$BO$1005,1,MATCH(COLUMNS($AN$1006:BF1006),$AN$1006:$BO$1006,0))&gt;=100000), " ",IF(INDEX($AN$2:$BO$1001,MATCH(ROWS($AG$2:AG757),$AG$2:$AG$1001,0),MATCH(COLUMNS($AN$1006:BF1006),$AN$1006:$BO$1006,0)), HYPERLINK("#",""), HYPERLINK(CONCATENATE("#Metadata!", ADDRESS(INDEX($AI$2:$AI$1001,MATCH(ROWS($AG$2:AG757),$AG$2:$AG$1001,0),0), INDEX($AN$1004:$BO$1004,1,MATCH(COLUMNS($AN$1006:BF1006),$AN$1006:$BO$1006,0)))),"Fix")))</f>
        <v>0</v>
      </c>
      <c r="U757" s="4">
        <f>IF(OR(INDEX($AH$2:$AH$1001,MATCH(ROWS($AG$2:AG757),$AG$2:$AG$1001,0),1)&gt;=100000,INDEX($AN$1005:$BO$1005,1,MATCH(COLUMNS($AN$1006:BG1006),$AN$1006:$BO$1006,0))&gt;=100000), " ",IF(INDEX($AN$2:$BO$1001,MATCH(ROWS($AG$2:AG757),$AG$2:$AG$1001,0),MATCH(COLUMNS($AN$1006:BG1006),$AN$1006:$BO$1006,0)), HYPERLINK("#",""), HYPERLINK(CONCATENATE("#Metadata!", ADDRESS(INDEX($AI$2:$AI$1001,MATCH(ROWS($AG$2:AG757),$AG$2:$AG$1001,0),0), INDEX($AN$1004:$BO$1004,1,MATCH(COLUMNS($AN$1006:BG1006),$AN$1006:$BO$1006,0)))),"Fix")))</f>
        <v>0</v>
      </c>
      <c r="V757" s="4">
        <f>IF(OR(INDEX($AH$2:$AH$1001,MATCH(ROWS($AG$2:AG757),$AG$2:$AG$1001,0),1)&gt;=100000,INDEX($AN$1005:$BO$1005,1,MATCH(COLUMNS($AN$1006:BH1006),$AN$1006:$BO$1006,0))&gt;=100000), " ",IF(INDEX($AN$2:$BO$1001,MATCH(ROWS($AG$2:AG757),$AG$2:$AG$1001,0),MATCH(COLUMNS($AN$1006:BH1006),$AN$1006:$BO$1006,0)), HYPERLINK("#",""), HYPERLINK(CONCATENATE("#Metadata!", ADDRESS(INDEX($AI$2:$AI$1001,MATCH(ROWS($AG$2:AG757),$AG$2:$AG$1001,0),0), INDEX($AN$1004:$BO$1004,1,MATCH(COLUMNS($AN$1006:BH1006),$AN$1006:$BO$1006,0)))),"Fix")))</f>
        <v>0</v>
      </c>
      <c r="W757" s="4">
        <f>IF(OR(INDEX($AH$2:$AH$1001,MATCH(ROWS($AG$2:AG757),$AG$2:$AG$1001,0),1)&gt;=100000,INDEX($AN$1005:$BO$1005,1,MATCH(COLUMNS($AN$1006:BI1006),$AN$1006:$BO$1006,0))&gt;=100000), " ",IF(INDEX($AN$2:$BO$1001,MATCH(ROWS($AG$2:AG757),$AG$2:$AG$1001,0),MATCH(COLUMNS($AN$1006:BI1006),$AN$1006:$BO$1006,0)), HYPERLINK("#",""), HYPERLINK(CONCATENATE("#Metadata!", ADDRESS(INDEX($AI$2:$AI$1001,MATCH(ROWS($AG$2:AG757),$AG$2:$AG$1001,0),0), INDEX($AN$1004:$BO$1004,1,MATCH(COLUMNS($AN$1006:BI1006),$AN$1006:$BO$1006,0)))),"Fix")))</f>
        <v>0</v>
      </c>
      <c r="X757" s="4">
        <f>IF(OR(INDEX($AH$2:$AH$1001,MATCH(ROWS($AG$2:AG757),$AG$2:$AG$1001,0),1)&gt;=100000,INDEX($AN$1005:$BO$1005,1,MATCH(COLUMNS($AN$1006:BJ1006),$AN$1006:$BO$1006,0))&gt;=100000), " ",IF(INDEX($AN$2:$BO$1001,MATCH(ROWS($AG$2:AG757),$AG$2:$AG$1001,0),MATCH(COLUMNS($AN$1006:BJ1006),$AN$1006:$BO$1006,0)), HYPERLINK("#",""), HYPERLINK(CONCATENATE("#Metadata!", ADDRESS(INDEX($AI$2:$AI$1001,MATCH(ROWS($AG$2:AG757),$AG$2:$AG$1001,0),0), INDEX($AN$1004:$BO$1004,1,MATCH(COLUMNS($AN$1006:BJ1006),$AN$1006:$BO$1006,0)))),"Fix")))</f>
        <v>0</v>
      </c>
      <c r="Y757" s="4">
        <f>IF(OR(INDEX($AH$2:$AH$1001,MATCH(ROWS($AG$2:AG757),$AG$2:$AG$1001,0),1)&gt;=100000,INDEX($AN$1005:$BO$1005,1,MATCH(COLUMNS($AN$1006:BK1006),$AN$1006:$BO$1006,0))&gt;=100000), " ",IF(INDEX($AN$2:$BO$1001,MATCH(ROWS($AG$2:AG757),$AG$2:$AG$1001,0),MATCH(COLUMNS($AN$1006:BK1006),$AN$1006:$BO$1006,0)), HYPERLINK("#",""), HYPERLINK(CONCATENATE("#Metadata!", ADDRESS(INDEX($AI$2:$AI$1001,MATCH(ROWS($AG$2:AG757),$AG$2:$AG$1001,0),0), INDEX($AN$1004:$BO$1004,1,MATCH(COLUMNS($AN$1006:BK1006),$AN$1006:$BO$1006,0)))),"Fix")))</f>
        <v>0</v>
      </c>
      <c r="Z757" s="4">
        <f>IF(OR(INDEX($AH$2:$AH$1001,MATCH(ROWS($AG$2:AG757),$AG$2:$AG$1001,0),1)&gt;=100000,INDEX($AN$1005:$BO$1005,1,MATCH(COLUMNS($AN$1006:BL1006),$AN$1006:$BO$1006,0))&gt;=100000), " ",IF(INDEX($AN$2:$BO$1001,MATCH(ROWS($AG$2:AG757),$AG$2:$AG$1001,0),MATCH(COLUMNS($AN$1006:BL1006),$AN$1006:$BO$1006,0)), HYPERLINK("#",""), HYPERLINK(CONCATENATE("#Metadata!", ADDRESS(INDEX($AI$2:$AI$1001,MATCH(ROWS($AG$2:AG757),$AG$2:$AG$1001,0),0), INDEX($AN$1004:$BO$1004,1,MATCH(COLUMNS($AN$1006:BL1006),$AN$1006:$BO$1006,0)))),"Fix")))</f>
        <v>0</v>
      </c>
      <c r="AA757" s="4">
        <f>IF(OR(INDEX($AH$2:$AH$1001,MATCH(ROWS($AG$2:AG757),$AG$2:$AG$1001,0),1)&gt;=100000,INDEX($AN$1005:$BO$1005,1,MATCH(COLUMNS($AN$1006:BM1006),$AN$1006:$BO$1006,0))&gt;=100000), " ",IF(INDEX($AN$2:$BO$1001,MATCH(ROWS($AG$2:AG757),$AG$2:$AG$1001,0),MATCH(COLUMNS($AN$1006:BM1006),$AN$1006:$BO$1006,0)), HYPERLINK("#",""), HYPERLINK(CONCATENATE("#Metadata!", ADDRESS(INDEX($AI$2:$AI$1001,MATCH(ROWS($AG$2:AG757),$AG$2:$AG$1001,0),0), INDEX($AN$1004:$BO$1004,1,MATCH(COLUMNS($AN$1006:BM1006),$AN$1006:$BO$1006,0)))),"Fix")))</f>
        <v>0</v>
      </c>
      <c r="AB757" s="4">
        <f>IF(OR(INDEX($AH$2:$AH$1001,MATCH(ROWS($AG$2:AG757),$AG$2:$AG$1001,0),1)&gt;=100000,INDEX($AN$1005:$BO$1005,1,MATCH(COLUMNS($AN$1006:BN1006),$AN$1006:$BO$1006,0))&gt;=100000), " ",IF(INDEX($AN$2:$BO$1001,MATCH(ROWS($AG$2:AG757),$AG$2:$AG$1001,0),MATCH(COLUMNS($AN$1006:BN1006),$AN$1006:$BO$1006,0)), HYPERLINK("#",""), HYPERLINK(CONCATENATE("#Metadata!", ADDRESS(INDEX($AI$2:$AI$1001,MATCH(ROWS($AG$2:AG757),$AG$2:$AG$1001,0),0), INDEX($AN$1004:$BO$1004,1,MATCH(COLUMNS($AN$1006:BN1006),$AN$1006:$BO$1006,0)))),"Fix")))</f>
        <v>0</v>
      </c>
      <c r="AC757" s="4">
        <f>IF(OR(INDEX($AH$2:$AH$1001,MATCH(ROWS($AG$2:AG757),$AG$2:$AG$1001,0),1)&gt;=100000,INDEX($AN$1005:$BO$1005,1,MATCH(COLUMNS($AN$1006:BO1006),$AN$1006:$BO$1006,0))&gt;=100000), " ",IF(INDEX($AN$2:$BO$1001,MATCH(ROWS($AG$2:AG757),$AG$2:$AG$1001,0),MATCH(COLUMNS($AN$1006:BO1006),$AN$1006:$BO$1006,0)), HYPERLINK("#",""), HYPERLINK(CONCATENATE("#Metadata!", ADDRESS(INDEX($AI$2:$AI$1001,MATCH(ROWS($AG$2:AG757),$AG$2:$AG$1001,0),0), INDEX($AN$1004:$BO$1004,1,MATCH(COLUMNS($AN$1006:BO1006),$AN$1006:$BO$1006,0)))),"Fix")))</f>
        <v>0</v>
      </c>
      <c r="AG757">
        <v>0</v>
      </c>
      <c r="AH757">
        <v>0</v>
      </c>
      <c r="AI757">
        <v>0</v>
      </c>
      <c r="AJ757">
        <f>IF(AK757,TRUE,AND(AN757:BO757))</f>
        <v>0</v>
      </c>
      <c r="AK757">
        <f>COUNTBLANK(Metadata!B757:AC757)=COLUMNS(Metadata!B757:AC757)</f>
        <v>0</v>
      </c>
      <c r="AL757">
        <v>0</v>
      </c>
      <c r="AN757">
        <f>AND(IF(Metadata!B757="",FALSE,TRUE),COUNTIF(Metadata!B:B, Metadata!B757) = 1,NOT(ISERROR(SUMPRODUCT(SEARCH(MID(Metadata!B757,ROW(INDIRECT("1:"&amp;LEN(Metadata!B757))), 1),"0123456789abcdefghijklmnopqrstuvwxyzABCDEFGHIJKLMNOPQRSTUVWXYZ.")))))</f>
        <v>0</v>
      </c>
      <c r="AO757">
        <f>IF(Metadata!C757="",FALSE,TRUE)</f>
        <v>0</v>
      </c>
      <c r="AP757">
        <f>IF(Metadata!D757="",FALSE,TRUE)</f>
        <v>0</v>
      </c>
      <c r="AQ757">
        <f>OR(AND(IF(Metadata!E757="",FALSE,TRUE),OR(exact(Metadata!E757,"not collected"),exact(Metadata!E757,"not provided"),exact(Metadata!E757,"restricted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R757">
        <f>IF(Metadata!F757="",FALSE,TRUE)</f>
        <v>0</v>
      </c>
      <c r="AS757">
        <f>OR(AND(IF(Metadata!G757="",FALSE,TRUE),OR(exact(Metadata!G757,"not collected"),exact(Metadata!G757,"not provided"))),AND(IF(Metadata!G757="",FALSE,TRUE),OR(exact(Metadata!G757,"TRUE"),exact(Metadata!G757,"FALSE"))))</f>
        <v>0</v>
      </c>
      <c r="AT757">
        <f>OR(AND(IF(Metadata!H757="",FALSE,TRUE),OR(exact(Metadata!H757,"not collected"),exact(Metadata!H757,"not provided"),exact(Metadata!H757,"restricted access"))),AND(IF(Metadata!H757="",FALSE,ISNUMBER(VALUE(Metadata!H757))),Metadata!H757&gt;=-413.0))</f>
        <v>0</v>
      </c>
      <c r="AU757">
        <f>AND(IF(Metadata!I757="",FALSE,TRUE),exact(Metadata!I757,"meters"))</f>
        <v>0</v>
      </c>
      <c r="AV757">
        <f>AND(IF(Metadata!J757="",FALSE,TRUE),OR(exact(Metadata!J757,"Host-associated"),exact(Metadata!J757,"Free-living")))</f>
        <v>0</v>
      </c>
      <c r="AW757">
        <f>AND(IF(Metadata!K757="",FALSE,TRUE),OR(exact(Metadata!K757,"Animal"),exact(Metadata!K757,"Fungus"),exact(Metadata!K757,"Plant"),exact(Metadata!K757,"Saline"),exact(Metadata!K757,"Non-saline")))</f>
        <v>0</v>
      </c>
      <c r="AX757">
        <f>AND(IF(Metadata!L757="",FALSE,TRUE),OR(exact(Metadata!L757,"Plant secretion"),exact(Metadata!L757,"Plant rhizosphere"),exact(Metadata!L757,"Plant surface"),exact(Metadata!L757,"Plant corpus"),exact(Metadata!L757,"Fungus surface"),exact(Metadata!L757,"Fungus corpus"),exact(Metadata!L757,"Animal surface"),exact(Metadata!L757,"Animal proximal gut"),exact(Metadata!L757,"Animal corpus"),exact(Metadata!L757,"Animal distal gut"),exact(Metadata!L757,"Animal secretion"),exact(Metadata!L757,"Sub-surface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Y757">
        <f>IF(Metadata!M757="",FALSE,TRUE)</f>
        <v>0</v>
      </c>
      <c r="AZ757">
        <f>IF(Metadata!N757="",FALSE,TRUE)</f>
        <v>0</v>
      </c>
      <c r="BA757">
        <f>IF(Metadata!O757="",FALSE,TRUE)</f>
        <v>0</v>
      </c>
      <c r="BB757">
        <f>OR(AND(IF(Metadata!P757="",FALSE,TRUE),OR(exact(Metadata!P757,"not collected"),exact(Metadata!P757,"not provided"),exact(Metadata!P757,"restricted access"))),AND(IF(Metadata!P757="",FALSE,TRUE),OR(exact(Metadata!P757,"air"),exact(Metadata!P757,"built environment"),exact(Metadata!P757,"host-associated"),exact(Metadata!P757,"human-associated"),exact(Metadata!P757,"human-skin"),exact(Metadata!P757,"human-oral"),exact(Metadata!P757,"human-gut"),exact(Metadata!P757,"human-vaginal"),exact(Metadata!P757,"microbial mat/biofilm"),exact(Metadata!P757,"misc environment"),exact(Metadata!P757,"plant-associated"),exact(Metadata!P757,"sediment"),exact(Metadata!P757,"soil"),exact(Metadata!P757,"wastewater/sludge"),exact(Metadata!P757,"water"))))</f>
        <v>0</v>
      </c>
      <c r="BC757">
        <f>IF(Metadata!Q757="",FALSE,TRUE)</f>
        <v>0</v>
      </c>
      <c r="BD757">
        <f>IF(Metadata!R757="",FALSE,TRUE)</f>
        <v>0</v>
      </c>
      <c r="BE757">
        <f>OR(AND(IF(Metadata!S757="",FALSE,TRUE),OR(exact(Metadata!S757,"not collected"),exact(Metadata!S757,"not provided"),exact(Metadata!S757,"restricted access"))),AND(IF(Metadata!S757="",FALSE,ISNUMBER(VALUE(Metadata!S757))),Metadata!S757&gt;=-90.00,Metadata!S757&lt;=90.00))</f>
        <v>0</v>
      </c>
      <c r="BF757">
        <f>AND(IF(Metadata!T757="",FALSE,TRUE),exact(Metadata!T757,"Decimal degrees"))</f>
        <v>0</v>
      </c>
      <c r="BG757">
        <f>OR(AND(IF(Metadata!U757="",FALSE,TRUE),OR(exact(Metadata!U757,"not collected"),exact(Metadata!U757,"not provided"),exact(Metadata!U757,"restricted access"))),AND(IF(Metadata!U757="",FALSE,ISNUMBER(VALUE(Metadata!U757))),Metadata!U757&gt;=-180.00,Metadata!U757&lt;=180.00))</f>
        <v>0</v>
      </c>
      <c r="BH757">
        <f>AND(IF(Metadata!V757="",FALSE,TRUE),exact(Metadata!V757,"Decimal degrees"))</f>
        <v>0</v>
      </c>
      <c r="BI757">
        <f>IF(Metadata!W757="",FALSE,TRUE)</f>
        <v>0</v>
      </c>
      <c r="BJ757">
        <f>OR(AND(IF(Metadata!X757="",FALSE,TRUE),OR(exact(Metadata!X757,"not collected"),exact(Metadata!X757,"not provided"),exact(Metadata!X757,"restricted access"))),AND(IF(Metadata!X757="",FALSE,TRUE),OR(exact(Metadata!X757,"TRUE"),exact(Metadata!X757,"FALSE"))))</f>
        <v>0</v>
      </c>
      <c r="BK757">
        <f>AND(IF(Metadata!Y757="",FALSE,TRUE),exact(Metadata!Y757,"other"))</f>
        <v>0</v>
      </c>
      <c r="BL757">
        <f>IF(Metadata!Z757="",FALSE,TRUE)</f>
        <v>0</v>
      </c>
      <c r="BM757">
        <f>OR(AND(IF(Metadata!AA757="",FALSE,TRUE),OR(exact(Metadata!AA757,"not collected"),exact(Metadata!AA757,"not provided"))),AND(IF(Metadata!AA757="",FALSE,IF(ISERROR(INT(Metadata!AA757)),FALSE,INT(Metadata!AA757)=Metadata!AA757)),Metadata!AA757&gt;0))</f>
        <v>0</v>
      </c>
      <c r="BN757">
        <f>AND(IF(Metadata!AB757="",FALSE,TRUE),exact(Metadata!AB757,"Not applicable"))</f>
        <v>0</v>
      </c>
      <c r="BO757">
        <f>IF(Metadata!AC757="",FALSE,TRUE)</f>
        <v>0</v>
      </c>
    </row>
    <row r="758" spans="1:67">
      <c r="A758" s="5">
        <f>IF(B758=" "," ",HYPERLINK(CONCATENATE("#metadata!",ADDRESS(INDEX($AI$2:$AI$1001,MATCH(ROWS($AG$2:AG758),$AG$2:$AG$1001,0),0),1)),INDEX($AL$2:$AL$1001,MATCH(ROWS($AG$2:AG758),$AG$2:$AG$1001,0),0)))</f>
        <v>0</v>
      </c>
      <c r="B758" s="4">
        <f>IF(OR(INDEX($AH$2:$AH$1001,MATCH(ROWS($AG$2:AG758),$AG$2:$AG$1001,0),1)&gt;=100000,INDEX($AN$1005:$BO$1005,1,MATCH(COLUMNS($AN$1006:AN1006),$AN$1006:$BO$1006,0))&gt;=100000), " ",IF(INDEX($AN$2:$BO$1001,MATCH(ROWS($AG$2:AG758),$AG$2:$AG$1001,0),MATCH(COLUMNS($AN$1006:AN1006),$AN$1006:$BO$1006,0)), HYPERLINK("#",""), HYPERLINK(CONCATENATE("#Metadata!", ADDRESS(INDEX($AI$2:$AI$1001,MATCH(ROWS($AG$2:AG758),$AG$2:$AG$1001,0),0), INDEX($AN$1004:$BO$1004,1,MATCH(COLUMNS($AN$1006:AN1006),$AN$1006:$BO$1006,0)))),"Fix")))</f>
        <v>0</v>
      </c>
      <c r="C758" s="4">
        <f>IF(OR(INDEX($AH$2:$AH$1001,MATCH(ROWS($AG$2:AG758),$AG$2:$AG$1001,0),1)&gt;=100000,INDEX($AN$1005:$BO$1005,1,MATCH(COLUMNS($AN$1006:AO1006),$AN$1006:$BO$1006,0))&gt;=100000), " ",IF(INDEX($AN$2:$BO$1001,MATCH(ROWS($AG$2:AG758),$AG$2:$AG$1001,0),MATCH(COLUMNS($AN$1006:AO1006),$AN$1006:$BO$1006,0)), HYPERLINK("#",""), HYPERLINK(CONCATENATE("#Metadata!", ADDRESS(INDEX($AI$2:$AI$1001,MATCH(ROWS($AG$2:AG758),$AG$2:$AG$1001,0),0), INDEX($AN$1004:$BO$1004,1,MATCH(COLUMNS($AN$1006:AO1006),$AN$1006:$BO$1006,0)))),"Fix")))</f>
        <v>0</v>
      </c>
      <c r="D758" s="4">
        <f>IF(OR(INDEX($AH$2:$AH$1001,MATCH(ROWS($AG$2:AG758),$AG$2:$AG$1001,0),1)&gt;=100000,INDEX($AN$1005:$BO$1005,1,MATCH(COLUMNS($AN$1006:AP1006),$AN$1006:$BO$1006,0))&gt;=100000), " ",IF(INDEX($AN$2:$BO$1001,MATCH(ROWS($AG$2:AG758),$AG$2:$AG$1001,0),MATCH(COLUMNS($AN$1006:AP1006),$AN$1006:$BO$1006,0)), HYPERLINK("#",""), HYPERLINK(CONCATENATE("#Metadata!", ADDRESS(INDEX($AI$2:$AI$1001,MATCH(ROWS($AG$2:AG758),$AG$2:$AG$1001,0),0), INDEX($AN$1004:$BO$1004,1,MATCH(COLUMNS($AN$1006:AP1006),$AN$1006:$BO$1006,0)))),"Fix")))</f>
        <v>0</v>
      </c>
      <c r="E758" s="4">
        <f>IF(OR(INDEX($AH$2:$AH$1001,MATCH(ROWS($AG$2:AG758),$AG$2:$AG$1001,0),1)&gt;=100000,INDEX($AN$1005:$BO$1005,1,MATCH(COLUMNS($AN$1006:AQ1006),$AN$1006:$BO$1006,0))&gt;=100000), " ",IF(INDEX($AN$2:$BO$1001,MATCH(ROWS($AG$2:AG758),$AG$2:$AG$1001,0),MATCH(COLUMNS($AN$1006:AQ1006),$AN$1006:$BO$1006,0)), HYPERLINK("#",""), HYPERLINK(CONCATENATE("#Metadata!", ADDRESS(INDEX($AI$2:$AI$1001,MATCH(ROWS($AG$2:AG758),$AG$2:$AG$1001,0),0), INDEX($AN$1004:$BO$1004,1,MATCH(COLUMNS($AN$1006:AQ1006),$AN$1006:$BO$1006,0)))),"Fix")))</f>
        <v>0</v>
      </c>
      <c r="F758" s="4">
        <f>IF(OR(INDEX($AH$2:$AH$1001,MATCH(ROWS($AG$2:AG758),$AG$2:$AG$1001,0),1)&gt;=100000,INDEX($AN$1005:$BO$1005,1,MATCH(COLUMNS($AN$1006:AR1006),$AN$1006:$BO$1006,0))&gt;=100000), " ",IF(INDEX($AN$2:$BO$1001,MATCH(ROWS($AG$2:AG758),$AG$2:$AG$1001,0),MATCH(COLUMNS($AN$1006:AR1006),$AN$1006:$BO$1006,0)), HYPERLINK("#",""), HYPERLINK(CONCATENATE("#Metadata!", ADDRESS(INDEX($AI$2:$AI$1001,MATCH(ROWS($AG$2:AG758),$AG$2:$AG$1001,0),0), INDEX($AN$1004:$BO$1004,1,MATCH(COLUMNS($AN$1006:AR1006),$AN$1006:$BO$1006,0)))),"Fix")))</f>
        <v>0</v>
      </c>
      <c r="G758" s="4">
        <f>IF(OR(INDEX($AH$2:$AH$1001,MATCH(ROWS($AG$2:AG758),$AG$2:$AG$1001,0),1)&gt;=100000,INDEX($AN$1005:$BO$1005,1,MATCH(COLUMNS($AN$1006:AS1006),$AN$1006:$BO$1006,0))&gt;=100000), " ",IF(INDEX($AN$2:$BO$1001,MATCH(ROWS($AG$2:AG758),$AG$2:$AG$1001,0),MATCH(COLUMNS($AN$1006:AS1006),$AN$1006:$BO$1006,0)), HYPERLINK("#",""), HYPERLINK(CONCATENATE("#Metadata!", ADDRESS(INDEX($AI$2:$AI$1001,MATCH(ROWS($AG$2:AG758),$AG$2:$AG$1001,0),0), INDEX($AN$1004:$BO$1004,1,MATCH(COLUMNS($AN$1006:AS1006),$AN$1006:$BO$1006,0)))),"Fix")))</f>
        <v>0</v>
      </c>
      <c r="H758" s="4">
        <f>IF(OR(INDEX($AH$2:$AH$1001,MATCH(ROWS($AG$2:AG758),$AG$2:$AG$1001,0),1)&gt;=100000,INDEX($AN$1005:$BO$1005,1,MATCH(COLUMNS($AN$1006:AT1006),$AN$1006:$BO$1006,0))&gt;=100000), " ",IF(INDEX($AN$2:$BO$1001,MATCH(ROWS($AG$2:AG758),$AG$2:$AG$1001,0),MATCH(COLUMNS($AN$1006:AT1006),$AN$1006:$BO$1006,0)), HYPERLINK("#",""), HYPERLINK(CONCATENATE("#Metadata!", ADDRESS(INDEX($AI$2:$AI$1001,MATCH(ROWS($AG$2:AG758),$AG$2:$AG$1001,0),0), INDEX($AN$1004:$BO$1004,1,MATCH(COLUMNS($AN$1006:AT1006),$AN$1006:$BO$1006,0)))),"Fix")))</f>
        <v>0</v>
      </c>
      <c r="I758" s="4">
        <f>IF(OR(INDEX($AH$2:$AH$1001,MATCH(ROWS($AG$2:AG758),$AG$2:$AG$1001,0),1)&gt;=100000,INDEX($AN$1005:$BO$1005,1,MATCH(COLUMNS($AN$1006:AU1006),$AN$1006:$BO$1006,0))&gt;=100000), " ",IF(INDEX($AN$2:$BO$1001,MATCH(ROWS($AG$2:AG758),$AG$2:$AG$1001,0),MATCH(COLUMNS($AN$1006:AU1006),$AN$1006:$BO$1006,0)), HYPERLINK("#",""), HYPERLINK(CONCATENATE("#Metadata!", ADDRESS(INDEX($AI$2:$AI$1001,MATCH(ROWS($AG$2:AG758),$AG$2:$AG$1001,0),0), INDEX($AN$1004:$BO$1004,1,MATCH(COLUMNS($AN$1006:AU1006),$AN$1006:$BO$1006,0)))),"Fix")))</f>
        <v>0</v>
      </c>
      <c r="J758" s="4">
        <f>IF(OR(INDEX($AH$2:$AH$1001,MATCH(ROWS($AG$2:AG758),$AG$2:$AG$1001,0),1)&gt;=100000,INDEX($AN$1005:$BO$1005,1,MATCH(COLUMNS($AN$1006:AV1006),$AN$1006:$BO$1006,0))&gt;=100000), " ",IF(INDEX($AN$2:$BO$1001,MATCH(ROWS($AG$2:AG758),$AG$2:$AG$1001,0),MATCH(COLUMNS($AN$1006:AV1006),$AN$1006:$BO$1006,0)), HYPERLINK("#",""), HYPERLINK(CONCATENATE("#Metadata!", ADDRESS(INDEX($AI$2:$AI$1001,MATCH(ROWS($AG$2:AG758),$AG$2:$AG$1001,0),0), INDEX($AN$1004:$BO$1004,1,MATCH(COLUMNS($AN$1006:AV1006),$AN$1006:$BO$1006,0)))),"Fix")))</f>
        <v>0</v>
      </c>
      <c r="K758" s="4">
        <f>IF(OR(INDEX($AH$2:$AH$1001,MATCH(ROWS($AG$2:AG758),$AG$2:$AG$1001,0),1)&gt;=100000,INDEX($AN$1005:$BO$1005,1,MATCH(COLUMNS($AN$1006:AW1006),$AN$1006:$BO$1006,0))&gt;=100000), " ",IF(INDEX($AN$2:$BO$1001,MATCH(ROWS($AG$2:AG758),$AG$2:$AG$1001,0),MATCH(COLUMNS($AN$1006:AW1006),$AN$1006:$BO$1006,0)), HYPERLINK("#",""), HYPERLINK(CONCATENATE("#Metadata!", ADDRESS(INDEX($AI$2:$AI$1001,MATCH(ROWS($AG$2:AG758),$AG$2:$AG$1001,0),0), INDEX($AN$1004:$BO$1004,1,MATCH(COLUMNS($AN$1006:AW1006),$AN$1006:$BO$1006,0)))),"Fix")))</f>
        <v>0</v>
      </c>
      <c r="L758" s="4">
        <f>IF(OR(INDEX($AH$2:$AH$1001,MATCH(ROWS($AG$2:AG758),$AG$2:$AG$1001,0),1)&gt;=100000,INDEX($AN$1005:$BO$1005,1,MATCH(COLUMNS($AN$1006:AX1006),$AN$1006:$BO$1006,0))&gt;=100000), " ",IF(INDEX($AN$2:$BO$1001,MATCH(ROWS($AG$2:AG758),$AG$2:$AG$1001,0),MATCH(COLUMNS($AN$1006:AX1006),$AN$1006:$BO$1006,0)), HYPERLINK("#",""), HYPERLINK(CONCATENATE("#Metadata!", ADDRESS(INDEX($AI$2:$AI$1001,MATCH(ROWS($AG$2:AG758),$AG$2:$AG$1001,0),0), INDEX($AN$1004:$BO$1004,1,MATCH(COLUMNS($AN$1006:AX1006),$AN$1006:$BO$1006,0)))),"Fix")))</f>
        <v>0</v>
      </c>
      <c r="M758" s="4">
        <f>IF(OR(INDEX($AH$2:$AH$1001,MATCH(ROWS($AG$2:AG758),$AG$2:$AG$1001,0),1)&gt;=100000,INDEX($AN$1005:$BO$1005,1,MATCH(COLUMNS($AN$1006:AY1006),$AN$1006:$BO$1006,0))&gt;=100000), " ",IF(INDEX($AN$2:$BO$1001,MATCH(ROWS($AG$2:AG758),$AG$2:$AG$1001,0),MATCH(COLUMNS($AN$1006:AY1006),$AN$1006:$BO$1006,0)), HYPERLINK("#",""), HYPERLINK(CONCATENATE("#Metadata!", ADDRESS(INDEX($AI$2:$AI$1001,MATCH(ROWS($AG$2:AG758),$AG$2:$AG$1001,0),0), INDEX($AN$1004:$BO$1004,1,MATCH(COLUMNS($AN$1006:AY1006),$AN$1006:$BO$1006,0)))),"Fix")))</f>
        <v>0</v>
      </c>
      <c r="N758" s="4">
        <f>IF(OR(INDEX($AH$2:$AH$1001,MATCH(ROWS($AG$2:AG758),$AG$2:$AG$1001,0),1)&gt;=100000,INDEX($AN$1005:$BO$1005,1,MATCH(COLUMNS($AN$1006:AZ1006),$AN$1006:$BO$1006,0))&gt;=100000), " ",IF(INDEX($AN$2:$BO$1001,MATCH(ROWS($AG$2:AG758),$AG$2:$AG$1001,0),MATCH(COLUMNS($AN$1006:AZ1006),$AN$1006:$BO$1006,0)), HYPERLINK("#",""), HYPERLINK(CONCATENATE("#Metadata!", ADDRESS(INDEX($AI$2:$AI$1001,MATCH(ROWS($AG$2:AG758),$AG$2:$AG$1001,0),0), INDEX($AN$1004:$BO$1004,1,MATCH(COLUMNS($AN$1006:AZ1006),$AN$1006:$BO$1006,0)))),"Fix")))</f>
        <v>0</v>
      </c>
      <c r="O758" s="4">
        <f>IF(OR(INDEX($AH$2:$AH$1001,MATCH(ROWS($AG$2:AG758),$AG$2:$AG$1001,0),1)&gt;=100000,INDEX($AN$1005:$BO$1005,1,MATCH(COLUMNS($AN$1006:BA1006),$AN$1006:$BO$1006,0))&gt;=100000), " ",IF(INDEX($AN$2:$BO$1001,MATCH(ROWS($AG$2:AG758),$AG$2:$AG$1001,0),MATCH(COLUMNS($AN$1006:BA1006),$AN$1006:$BO$1006,0)), HYPERLINK("#",""), HYPERLINK(CONCATENATE("#Metadata!", ADDRESS(INDEX($AI$2:$AI$1001,MATCH(ROWS($AG$2:AG758),$AG$2:$AG$1001,0),0), INDEX($AN$1004:$BO$1004,1,MATCH(COLUMNS($AN$1006:BA1006),$AN$1006:$BO$1006,0)))),"Fix")))</f>
        <v>0</v>
      </c>
      <c r="P758" s="4">
        <f>IF(OR(INDEX($AH$2:$AH$1001,MATCH(ROWS($AG$2:AG758),$AG$2:$AG$1001,0),1)&gt;=100000,INDEX($AN$1005:$BO$1005,1,MATCH(COLUMNS($AN$1006:BB1006),$AN$1006:$BO$1006,0))&gt;=100000), " ",IF(INDEX($AN$2:$BO$1001,MATCH(ROWS($AG$2:AG758),$AG$2:$AG$1001,0),MATCH(COLUMNS($AN$1006:BB1006),$AN$1006:$BO$1006,0)), HYPERLINK("#",""), HYPERLINK(CONCATENATE("#Metadata!", ADDRESS(INDEX($AI$2:$AI$1001,MATCH(ROWS($AG$2:AG758),$AG$2:$AG$1001,0),0), INDEX($AN$1004:$BO$1004,1,MATCH(COLUMNS($AN$1006:BB1006),$AN$1006:$BO$1006,0)))),"Fix")))</f>
        <v>0</v>
      </c>
      <c r="Q758" s="4">
        <f>IF(OR(INDEX($AH$2:$AH$1001,MATCH(ROWS($AG$2:AG758),$AG$2:$AG$1001,0),1)&gt;=100000,INDEX($AN$1005:$BO$1005,1,MATCH(COLUMNS($AN$1006:BC1006),$AN$1006:$BO$1006,0))&gt;=100000), " ",IF(INDEX($AN$2:$BO$1001,MATCH(ROWS($AG$2:AG758),$AG$2:$AG$1001,0),MATCH(COLUMNS($AN$1006:BC1006),$AN$1006:$BO$1006,0)), HYPERLINK("#",""), HYPERLINK(CONCATENATE("#Metadata!", ADDRESS(INDEX($AI$2:$AI$1001,MATCH(ROWS($AG$2:AG758),$AG$2:$AG$1001,0),0), INDEX($AN$1004:$BO$1004,1,MATCH(COLUMNS($AN$1006:BC1006),$AN$1006:$BO$1006,0)))),"Fix")))</f>
        <v>0</v>
      </c>
      <c r="R758" s="4">
        <f>IF(OR(INDEX($AH$2:$AH$1001,MATCH(ROWS($AG$2:AG758),$AG$2:$AG$1001,0),1)&gt;=100000,INDEX($AN$1005:$BO$1005,1,MATCH(COLUMNS($AN$1006:BD1006),$AN$1006:$BO$1006,0))&gt;=100000), " ",IF(INDEX($AN$2:$BO$1001,MATCH(ROWS($AG$2:AG758),$AG$2:$AG$1001,0),MATCH(COLUMNS($AN$1006:BD1006),$AN$1006:$BO$1006,0)), HYPERLINK("#",""), HYPERLINK(CONCATENATE("#Metadata!", ADDRESS(INDEX($AI$2:$AI$1001,MATCH(ROWS($AG$2:AG758),$AG$2:$AG$1001,0),0), INDEX($AN$1004:$BO$1004,1,MATCH(COLUMNS($AN$1006:BD1006),$AN$1006:$BO$1006,0)))),"Fix")))</f>
        <v>0</v>
      </c>
      <c r="S758" s="4">
        <f>IF(OR(INDEX($AH$2:$AH$1001,MATCH(ROWS($AG$2:AG758),$AG$2:$AG$1001,0),1)&gt;=100000,INDEX($AN$1005:$BO$1005,1,MATCH(COLUMNS($AN$1006:BE1006),$AN$1006:$BO$1006,0))&gt;=100000), " ",IF(INDEX($AN$2:$BO$1001,MATCH(ROWS($AG$2:AG758),$AG$2:$AG$1001,0),MATCH(COLUMNS($AN$1006:BE1006),$AN$1006:$BO$1006,0)), HYPERLINK("#",""), HYPERLINK(CONCATENATE("#Metadata!", ADDRESS(INDEX($AI$2:$AI$1001,MATCH(ROWS($AG$2:AG758),$AG$2:$AG$1001,0),0), INDEX($AN$1004:$BO$1004,1,MATCH(COLUMNS($AN$1006:BE1006),$AN$1006:$BO$1006,0)))),"Fix")))</f>
        <v>0</v>
      </c>
      <c r="T758" s="4">
        <f>IF(OR(INDEX($AH$2:$AH$1001,MATCH(ROWS($AG$2:AG758),$AG$2:$AG$1001,0),1)&gt;=100000,INDEX($AN$1005:$BO$1005,1,MATCH(COLUMNS($AN$1006:BF1006),$AN$1006:$BO$1006,0))&gt;=100000), " ",IF(INDEX($AN$2:$BO$1001,MATCH(ROWS($AG$2:AG758),$AG$2:$AG$1001,0),MATCH(COLUMNS($AN$1006:BF1006),$AN$1006:$BO$1006,0)), HYPERLINK("#",""), HYPERLINK(CONCATENATE("#Metadata!", ADDRESS(INDEX($AI$2:$AI$1001,MATCH(ROWS($AG$2:AG758),$AG$2:$AG$1001,0),0), INDEX($AN$1004:$BO$1004,1,MATCH(COLUMNS($AN$1006:BF1006),$AN$1006:$BO$1006,0)))),"Fix")))</f>
        <v>0</v>
      </c>
      <c r="U758" s="4">
        <f>IF(OR(INDEX($AH$2:$AH$1001,MATCH(ROWS($AG$2:AG758),$AG$2:$AG$1001,0),1)&gt;=100000,INDEX($AN$1005:$BO$1005,1,MATCH(COLUMNS($AN$1006:BG1006),$AN$1006:$BO$1006,0))&gt;=100000), " ",IF(INDEX($AN$2:$BO$1001,MATCH(ROWS($AG$2:AG758),$AG$2:$AG$1001,0),MATCH(COLUMNS($AN$1006:BG1006),$AN$1006:$BO$1006,0)), HYPERLINK("#",""), HYPERLINK(CONCATENATE("#Metadata!", ADDRESS(INDEX($AI$2:$AI$1001,MATCH(ROWS($AG$2:AG758),$AG$2:$AG$1001,0),0), INDEX($AN$1004:$BO$1004,1,MATCH(COLUMNS($AN$1006:BG1006),$AN$1006:$BO$1006,0)))),"Fix")))</f>
        <v>0</v>
      </c>
      <c r="V758" s="4">
        <f>IF(OR(INDEX($AH$2:$AH$1001,MATCH(ROWS($AG$2:AG758),$AG$2:$AG$1001,0),1)&gt;=100000,INDEX($AN$1005:$BO$1005,1,MATCH(COLUMNS($AN$1006:BH1006),$AN$1006:$BO$1006,0))&gt;=100000), " ",IF(INDEX($AN$2:$BO$1001,MATCH(ROWS($AG$2:AG758),$AG$2:$AG$1001,0),MATCH(COLUMNS($AN$1006:BH1006),$AN$1006:$BO$1006,0)), HYPERLINK("#",""), HYPERLINK(CONCATENATE("#Metadata!", ADDRESS(INDEX($AI$2:$AI$1001,MATCH(ROWS($AG$2:AG758),$AG$2:$AG$1001,0),0), INDEX($AN$1004:$BO$1004,1,MATCH(COLUMNS($AN$1006:BH1006),$AN$1006:$BO$1006,0)))),"Fix")))</f>
        <v>0</v>
      </c>
      <c r="W758" s="4">
        <f>IF(OR(INDEX($AH$2:$AH$1001,MATCH(ROWS($AG$2:AG758),$AG$2:$AG$1001,0),1)&gt;=100000,INDEX($AN$1005:$BO$1005,1,MATCH(COLUMNS($AN$1006:BI1006),$AN$1006:$BO$1006,0))&gt;=100000), " ",IF(INDEX($AN$2:$BO$1001,MATCH(ROWS($AG$2:AG758),$AG$2:$AG$1001,0),MATCH(COLUMNS($AN$1006:BI1006),$AN$1006:$BO$1006,0)), HYPERLINK("#",""), HYPERLINK(CONCATENATE("#Metadata!", ADDRESS(INDEX($AI$2:$AI$1001,MATCH(ROWS($AG$2:AG758),$AG$2:$AG$1001,0),0), INDEX($AN$1004:$BO$1004,1,MATCH(COLUMNS($AN$1006:BI1006),$AN$1006:$BO$1006,0)))),"Fix")))</f>
        <v>0</v>
      </c>
      <c r="X758" s="4">
        <f>IF(OR(INDEX($AH$2:$AH$1001,MATCH(ROWS($AG$2:AG758),$AG$2:$AG$1001,0),1)&gt;=100000,INDEX($AN$1005:$BO$1005,1,MATCH(COLUMNS($AN$1006:BJ1006),$AN$1006:$BO$1006,0))&gt;=100000), " ",IF(INDEX($AN$2:$BO$1001,MATCH(ROWS($AG$2:AG758),$AG$2:$AG$1001,0),MATCH(COLUMNS($AN$1006:BJ1006),$AN$1006:$BO$1006,0)), HYPERLINK("#",""), HYPERLINK(CONCATENATE("#Metadata!", ADDRESS(INDEX($AI$2:$AI$1001,MATCH(ROWS($AG$2:AG758),$AG$2:$AG$1001,0),0), INDEX($AN$1004:$BO$1004,1,MATCH(COLUMNS($AN$1006:BJ1006),$AN$1006:$BO$1006,0)))),"Fix")))</f>
        <v>0</v>
      </c>
      <c r="Y758" s="4">
        <f>IF(OR(INDEX($AH$2:$AH$1001,MATCH(ROWS($AG$2:AG758),$AG$2:$AG$1001,0),1)&gt;=100000,INDEX($AN$1005:$BO$1005,1,MATCH(COLUMNS($AN$1006:BK1006),$AN$1006:$BO$1006,0))&gt;=100000), " ",IF(INDEX($AN$2:$BO$1001,MATCH(ROWS($AG$2:AG758),$AG$2:$AG$1001,0),MATCH(COLUMNS($AN$1006:BK1006),$AN$1006:$BO$1006,0)), HYPERLINK("#",""), HYPERLINK(CONCATENATE("#Metadata!", ADDRESS(INDEX($AI$2:$AI$1001,MATCH(ROWS($AG$2:AG758),$AG$2:$AG$1001,0),0), INDEX($AN$1004:$BO$1004,1,MATCH(COLUMNS($AN$1006:BK1006),$AN$1006:$BO$1006,0)))),"Fix")))</f>
        <v>0</v>
      </c>
      <c r="Z758" s="4">
        <f>IF(OR(INDEX($AH$2:$AH$1001,MATCH(ROWS($AG$2:AG758),$AG$2:$AG$1001,0),1)&gt;=100000,INDEX($AN$1005:$BO$1005,1,MATCH(COLUMNS($AN$1006:BL1006),$AN$1006:$BO$1006,0))&gt;=100000), " ",IF(INDEX($AN$2:$BO$1001,MATCH(ROWS($AG$2:AG758),$AG$2:$AG$1001,0),MATCH(COLUMNS($AN$1006:BL1006),$AN$1006:$BO$1006,0)), HYPERLINK("#",""), HYPERLINK(CONCATENATE("#Metadata!", ADDRESS(INDEX($AI$2:$AI$1001,MATCH(ROWS($AG$2:AG758),$AG$2:$AG$1001,0),0), INDEX($AN$1004:$BO$1004,1,MATCH(COLUMNS($AN$1006:BL1006),$AN$1006:$BO$1006,0)))),"Fix")))</f>
        <v>0</v>
      </c>
      <c r="AA758" s="4">
        <f>IF(OR(INDEX($AH$2:$AH$1001,MATCH(ROWS($AG$2:AG758),$AG$2:$AG$1001,0),1)&gt;=100000,INDEX($AN$1005:$BO$1005,1,MATCH(COLUMNS($AN$1006:BM1006),$AN$1006:$BO$1006,0))&gt;=100000), " ",IF(INDEX($AN$2:$BO$1001,MATCH(ROWS($AG$2:AG758),$AG$2:$AG$1001,0),MATCH(COLUMNS($AN$1006:BM1006),$AN$1006:$BO$1006,0)), HYPERLINK("#",""), HYPERLINK(CONCATENATE("#Metadata!", ADDRESS(INDEX($AI$2:$AI$1001,MATCH(ROWS($AG$2:AG758),$AG$2:$AG$1001,0),0), INDEX($AN$1004:$BO$1004,1,MATCH(COLUMNS($AN$1006:BM1006),$AN$1006:$BO$1006,0)))),"Fix")))</f>
        <v>0</v>
      </c>
      <c r="AB758" s="4">
        <f>IF(OR(INDEX($AH$2:$AH$1001,MATCH(ROWS($AG$2:AG758),$AG$2:$AG$1001,0),1)&gt;=100000,INDEX($AN$1005:$BO$1005,1,MATCH(COLUMNS($AN$1006:BN1006),$AN$1006:$BO$1006,0))&gt;=100000), " ",IF(INDEX($AN$2:$BO$1001,MATCH(ROWS($AG$2:AG758),$AG$2:$AG$1001,0),MATCH(COLUMNS($AN$1006:BN1006),$AN$1006:$BO$1006,0)), HYPERLINK("#",""), HYPERLINK(CONCATENATE("#Metadata!", ADDRESS(INDEX($AI$2:$AI$1001,MATCH(ROWS($AG$2:AG758),$AG$2:$AG$1001,0),0), INDEX($AN$1004:$BO$1004,1,MATCH(COLUMNS($AN$1006:BN1006),$AN$1006:$BO$1006,0)))),"Fix")))</f>
        <v>0</v>
      </c>
      <c r="AC758" s="4">
        <f>IF(OR(INDEX($AH$2:$AH$1001,MATCH(ROWS($AG$2:AG758),$AG$2:$AG$1001,0),1)&gt;=100000,INDEX($AN$1005:$BO$1005,1,MATCH(COLUMNS($AN$1006:BO1006),$AN$1006:$BO$1006,0))&gt;=100000), " ",IF(INDEX($AN$2:$BO$1001,MATCH(ROWS($AG$2:AG758),$AG$2:$AG$1001,0),MATCH(COLUMNS($AN$1006:BO1006),$AN$1006:$BO$1006,0)), HYPERLINK("#",""), HYPERLINK(CONCATENATE("#Metadata!", ADDRESS(INDEX($AI$2:$AI$1001,MATCH(ROWS($AG$2:AG758),$AG$2:$AG$1001,0),0), INDEX($AN$1004:$BO$1004,1,MATCH(COLUMNS($AN$1006:BO1006),$AN$1006:$BO$1006,0)))),"Fix")))</f>
        <v>0</v>
      </c>
      <c r="AG758">
        <v>0</v>
      </c>
      <c r="AH758">
        <v>0</v>
      </c>
      <c r="AI758">
        <v>0</v>
      </c>
      <c r="AJ758">
        <f>IF(AK758,TRUE,AND(AN758:BO758))</f>
        <v>0</v>
      </c>
      <c r="AK758">
        <f>COUNTBLANK(Metadata!B758:AC758)=COLUMNS(Metadata!B758:AC758)</f>
        <v>0</v>
      </c>
      <c r="AL758">
        <v>0</v>
      </c>
      <c r="AN758">
        <f>AND(IF(Metadata!B758="",FALSE,TRUE),COUNTIF(Metadata!B:B, Metadata!B758) = 1,NOT(ISERROR(SUMPRODUCT(SEARCH(MID(Metadata!B758,ROW(INDIRECT("1:"&amp;LEN(Metadata!B758))), 1),"0123456789abcdefghijklmnopqrstuvwxyzABCDEFGHIJKLMNOPQRSTUVWXYZ.")))))</f>
        <v>0</v>
      </c>
      <c r="AO758">
        <f>IF(Metadata!C758="",FALSE,TRUE)</f>
        <v>0</v>
      </c>
      <c r="AP758">
        <f>IF(Metadata!D758="",FALSE,TRUE)</f>
        <v>0</v>
      </c>
      <c r="AQ758">
        <f>OR(AND(IF(Metadata!E758="",FALSE,TRUE),OR(exact(Metadata!E758,"not collected"),exact(Metadata!E758,"not provided"),exact(Metadata!E758,"restricted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R758">
        <f>IF(Metadata!F758="",FALSE,TRUE)</f>
        <v>0</v>
      </c>
      <c r="AS758">
        <f>OR(AND(IF(Metadata!G758="",FALSE,TRUE),OR(exact(Metadata!G758,"not collected"),exact(Metadata!G758,"not provided"))),AND(IF(Metadata!G758="",FALSE,TRUE),OR(exact(Metadata!G758,"TRUE"),exact(Metadata!G758,"FALSE"))))</f>
        <v>0</v>
      </c>
      <c r="AT758">
        <f>OR(AND(IF(Metadata!H758="",FALSE,TRUE),OR(exact(Metadata!H758,"not collected"),exact(Metadata!H758,"not provided"),exact(Metadata!H758,"restricted access"))),AND(IF(Metadata!H758="",FALSE,ISNUMBER(VALUE(Metadata!H758))),Metadata!H758&gt;=-413.0))</f>
        <v>0</v>
      </c>
      <c r="AU758">
        <f>AND(IF(Metadata!I758="",FALSE,TRUE),exact(Metadata!I758,"meters"))</f>
        <v>0</v>
      </c>
      <c r="AV758">
        <f>AND(IF(Metadata!J758="",FALSE,TRUE),OR(exact(Metadata!J758,"Host-associated"),exact(Metadata!J758,"Free-living")))</f>
        <v>0</v>
      </c>
      <c r="AW758">
        <f>AND(IF(Metadata!K758="",FALSE,TRUE),OR(exact(Metadata!K758,"Animal"),exact(Metadata!K758,"Fungus"),exact(Metadata!K758,"Plant"),exact(Metadata!K758,"Saline"),exact(Metadata!K758,"Non-saline")))</f>
        <v>0</v>
      </c>
      <c r="AX758">
        <f>AND(IF(Metadata!L758="",FALSE,TRUE),OR(exact(Metadata!L758,"Plant secretion"),exact(Metadata!L758,"Plant rhizosphere"),exact(Metadata!L758,"Plant surface"),exact(Metadata!L758,"Plant corpus"),exact(Metadata!L758,"Fungus surface"),exact(Metadata!L758,"Fungus corpus"),exact(Metadata!L758,"Animal surface"),exact(Metadata!L758,"Animal proximal gut"),exact(Metadata!L758,"Animal corpus"),exact(Metadata!L758,"Animal distal gut"),exact(Metadata!L758,"Animal secretion"),exact(Metadata!L758,"Sub-surface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Y758">
        <f>IF(Metadata!M758="",FALSE,TRUE)</f>
        <v>0</v>
      </c>
      <c r="AZ758">
        <f>IF(Metadata!N758="",FALSE,TRUE)</f>
        <v>0</v>
      </c>
      <c r="BA758">
        <f>IF(Metadata!O758="",FALSE,TRUE)</f>
        <v>0</v>
      </c>
      <c r="BB758">
        <f>OR(AND(IF(Metadata!P758="",FALSE,TRUE),OR(exact(Metadata!P758,"not collected"),exact(Metadata!P758,"not provided"),exact(Metadata!P758,"restricted access"))),AND(IF(Metadata!P758="",FALSE,TRUE),OR(exact(Metadata!P758,"air"),exact(Metadata!P758,"built environment"),exact(Metadata!P758,"host-associated"),exact(Metadata!P758,"human-associated"),exact(Metadata!P758,"human-skin"),exact(Metadata!P758,"human-oral"),exact(Metadata!P758,"human-gut"),exact(Metadata!P758,"human-vaginal"),exact(Metadata!P758,"microbial mat/biofilm"),exact(Metadata!P758,"misc environment"),exact(Metadata!P758,"plant-associated"),exact(Metadata!P758,"sediment"),exact(Metadata!P758,"soil"),exact(Metadata!P758,"wastewater/sludge"),exact(Metadata!P758,"water"))))</f>
        <v>0</v>
      </c>
      <c r="BC758">
        <f>IF(Metadata!Q758="",FALSE,TRUE)</f>
        <v>0</v>
      </c>
      <c r="BD758">
        <f>IF(Metadata!R758="",FALSE,TRUE)</f>
        <v>0</v>
      </c>
      <c r="BE758">
        <f>OR(AND(IF(Metadata!S758="",FALSE,TRUE),OR(exact(Metadata!S758,"not collected"),exact(Metadata!S758,"not provided"),exact(Metadata!S758,"restricted access"))),AND(IF(Metadata!S758="",FALSE,ISNUMBER(VALUE(Metadata!S758))),Metadata!S758&gt;=-90.00,Metadata!S758&lt;=90.00))</f>
        <v>0</v>
      </c>
      <c r="BF758">
        <f>AND(IF(Metadata!T758="",FALSE,TRUE),exact(Metadata!T758,"Decimal degrees"))</f>
        <v>0</v>
      </c>
      <c r="BG758">
        <f>OR(AND(IF(Metadata!U758="",FALSE,TRUE),OR(exact(Metadata!U758,"not collected"),exact(Metadata!U758,"not provided"),exact(Metadata!U758,"restricted access"))),AND(IF(Metadata!U758="",FALSE,ISNUMBER(VALUE(Metadata!U758))),Metadata!U758&gt;=-180.00,Metadata!U758&lt;=180.00))</f>
        <v>0</v>
      </c>
      <c r="BH758">
        <f>AND(IF(Metadata!V758="",FALSE,TRUE),exact(Metadata!V758,"Decimal degrees"))</f>
        <v>0</v>
      </c>
      <c r="BI758">
        <f>IF(Metadata!W758="",FALSE,TRUE)</f>
        <v>0</v>
      </c>
      <c r="BJ758">
        <f>OR(AND(IF(Metadata!X758="",FALSE,TRUE),OR(exact(Metadata!X758,"not collected"),exact(Metadata!X758,"not provided"),exact(Metadata!X758,"restricted access"))),AND(IF(Metadata!X758="",FALSE,TRUE),OR(exact(Metadata!X758,"TRUE"),exact(Metadata!X758,"FALSE"))))</f>
        <v>0</v>
      </c>
      <c r="BK758">
        <f>AND(IF(Metadata!Y758="",FALSE,TRUE),exact(Metadata!Y758,"other"))</f>
        <v>0</v>
      </c>
      <c r="BL758">
        <f>IF(Metadata!Z758="",FALSE,TRUE)</f>
        <v>0</v>
      </c>
      <c r="BM758">
        <f>OR(AND(IF(Metadata!AA758="",FALSE,TRUE),OR(exact(Metadata!AA758,"not collected"),exact(Metadata!AA758,"not provided"))),AND(IF(Metadata!AA758="",FALSE,IF(ISERROR(INT(Metadata!AA758)),FALSE,INT(Metadata!AA758)=Metadata!AA758)),Metadata!AA758&gt;0))</f>
        <v>0</v>
      </c>
      <c r="BN758">
        <f>AND(IF(Metadata!AB758="",FALSE,TRUE),exact(Metadata!AB758,"Not applicable"))</f>
        <v>0</v>
      </c>
      <c r="BO758">
        <f>IF(Metadata!AC758="",FALSE,TRUE)</f>
        <v>0</v>
      </c>
    </row>
    <row r="759" spans="1:67">
      <c r="A759" s="5">
        <f>IF(B759=" "," ",HYPERLINK(CONCATENATE("#metadata!",ADDRESS(INDEX($AI$2:$AI$1001,MATCH(ROWS($AG$2:AG759),$AG$2:$AG$1001,0),0),1)),INDEX($AL$2:$AL$1001,MATCH(ROWS($AG$2:AG759),$AG$2:$AG$1001,0),0)))</f>
        <v>0</v>
      </c>
      <c r="B759" s="4">
        <f>IF(OR(INDEX($AH$2:$AH$1001,MATCH(ROWS($AG$2:AG759),$AG$2:$AG$1001,0),1)&gt;=100000,INDEX($AN$1005:$BO$1005,1,MATCH(COLUMNS($AN$1006:AN1006),$AN$1006:$BO$1006,0))&gt;=100000), " ",IF(INDEX($AN$2:$BO$1001,MATCH(ROWS($AG$2:AG759),$AG$2:$AG$1001,0),MATCH(COLUMNS($AN$1006:AN1006),$AN$1006:$BO$1006,0)), HYPERLINK("#",""), HYPERLINK(CONCATENATE("#Metadata!", ADDRESS(INDEX($AI$2:$AI$1001,MATCH(ROWS($AG$2:AG759),$AG$2:$AG$1001,0),0), INDEX($AN$1004:$BO$1004,1,MATCH(COLUMNS($AN$1006:AN1006),$AN$1006:$BO$1006,0)))),"Fix")))</f>
        <v>0</v>
      </c>
      <c r="C759" s="4">
        <f>IF(OR(INDEX($AH$2:$AH$1001,MATCH(ROWS($AG$2:AG759),$AG$2:$AG$1001,0),1)&gt;=100000,INDEX($AN$1005:$BO$1005,1,MATCH(COLUMNS($AN$1006:AO1006),$AN$1006:$BO$1006,0))&gt;=100000), " ",IF(INDEX($AN$2:$BO$1001,MATCH(ROWS($AG$2:AG759),$AG$2:$AG$1001,0),MATCH(COLUMNS($AN$1006:AO1006),$AN$1006:$BO$1006,0)), HYPERLINK("#",""), HYPERLINK(CONCATENATE("#Metadata!", ADDRESS(INDEX($AI$2:$AI$1001,MATCH(ROWS($AG$2:AG759),$AG$2:$AG$1001,0),0), INDEX($AN$1004:$BO$1004,1,MATCH(COLUMNS($AN$1006:AO1006),$AN$1006:$BO$1006,0)))),"Fix")))</f>
        <v>0</v>
      </c>
      <c r="D759" s="4">
        <f>IF(OR(INDEX($AH$2:$AH$1001,MATCH(ROWS($AG$2:AG759),$AG$2:$AG$1001,0),1)&gt;=100000,INDEX($AN$1005:$BO$1005,1,MATCH(COLUMNS($AN$1006:AP1006),$AN$1006:$BO$1006,0))&gt;=100000), " ",IF(INDEX($AN$2:$BO$1001,MATCH(ROWS($AG$2:AG759),$AG$2:$AG$1001,0),MATCH(COLUMNS($AN$1006:AP1006),$AN$1006:$BO$1006,0)), HYPERLINK("#",""), HYPERLINK(CONCATENATE("#Metadata!", ADDRESS(INDEX($AI$2:$AI$1001,MATCH(ROWS($AG$2:AG759),$AG$2:$AG$1001,0),0), INDEX($AN$1004:$BO$1004,1,MATCH(COLUMNS($AN$1006:AP1006),$AN$1006:$BO$1006,0)))),"Fix")))</f>
        <v>0</v>
      </c>
      <c r="E759" s="4">
        <f>IF(OR(INDEX($AH$2:$AH$1001,MATCH(ROWS($AG$2:AG759),$AG$2:$AG$1001,0),1)&gt;=100000,INDEX($AN$1005:$BO$1005,1,MATCH(COLUMNS($AN$1006:AQ1006),$AN$1006:$BO$1006,0))&gt;=100000), " ",IF(INDEX($AN$2:$BO$1001,MATCH(ROWS($AG$2:AG759),$AG$2:$AG$1001,0),MATCH(COLUMNS($AN$1006:AQ1006),$AN$1006:$BO$1006,0)), HYPERLINK("#",""), HYPERLINK(CONCATENATE("#Metadata!", ADDRESS(INDEX($AI$2:$AI$1001,MATCH(ROWS($AG$2:AG759),$AG$2:$AG$1001,0),0), INDEX($AN$1004:$BO$1004,1,MATCH(COLUMNS($AN$1006:AQ1006),$AN$1006:$BO$1006,0)))),"Fix")))</f>
        <v>0</v>
      </c>
      <c r="F759" s="4">
        <f>IF(OR(INDEX($AH$2:$AH$1001,MATCH(ROWS($AG$2:AG759),$AG$2:$AG$1001,0),1)&gt;=100000,INDEX($AN$1005:$BO$1005,1,MATCH(COLUMNS($AN$1006:AR1006),$AN$1006:$BO$1006,0))&gt;=100000), " ",IF(INDEX($AN$2:$BO$1001,MATCH(ROWS($AG$2:AG759),$AG$2:$AG$1001,0),MATCH(COLUMNS($AN$1006:AR1006),$AN$1006:$BO$1006,0)), HYPERLINK("#",""), HYPERLINK(CONCATENATE("#Metadata!", ADDRESS(INDEX($AI$2:$AI$1001,MATCH(ROWS($AG$2:AG759),$AG$2:$AG$1001,0),0), INDEX($AN$1004:$BO$1004,1,MATCH(COLUMNS($AN$1006:AR1006),$AN$1006:$BO$1006,0)))),"Fix")))</f>
        <v>0</v>
      </c>
      <c r="G759" s="4">
        <f>IF(OR(INDEX($AH$2:$AH$1001,MATCH(ROWS($AG$2:AG759),$AG$2:$AG$1001,0),1)&gt;=100000,INDEX($AN$1005:$BO$1005,1,MATCH(COLUMNS($AN$1006:AS1006),$AN$1006:$BO$1006,0))&gt;=100000), " ",IF(INDEX($AN$2:$BO$1001,MATCH(ROWS($AG$2:AG759),$AG$2:$AG$1001,0),MATCH(COLUMNS($AN$1006:AS1006),$AN$1006:$BO$1006,0)), HYPERLINK("#",""), HYPERLINK(CONCATENATE("#Metadata!", ADDRESS(INDEX($AI$2:$AI$1001,MATCH(ROWS($AG$2:AG759),$AG$2:$AG$1001,0),0), INDEX($AN$1004:$BO$1004,1,MATCH(COLUMNS($AN$1006:AS1006),$AN$1006:$BO$1006,0)))),"Fix")))</f>
        <v>0</v>
      </c>
      <c r="H759" s="4">
        <f>IF(OR(INDEX($AH$2:$AH$1001,MATCH(ROWS($AG$2:AG759),$AG$2:$AG$1001,0),1)&gt;=100000,INDEX($AN$1005:$BO$1005,1,MATCH(COLUMNS($AN$1006:AT1006),$AN$1006:$BO$1006,0))&gt;=100000), " ",IF(INDEX($AN$2:$BO$1001,MATCH(ROWS($AG$2:AG759),$AG$2:$AG$1001,0),MATCH(COLUMNS($AN$1006:AT1006),$AN$1006:$BO$1006,0)), HYPERLINK("#",""), HYPERLINK(CONCATENATE("#Metadata!", ADDRESS(INDEX($AI$2:$AI$1001,MATCH(ROWS($AG$2:AG759),$AG$2:$AG$1001,0),0), INDEX($AN$1004:$BO$1004,1,MATCH(COLUMNS($AN$1006:AT1006),$AN$1006:$BO$1006,0)))),"Fix")))</f>
        <v>0</v>
      </c>
      <c r="I759" s="4">
        <f>IF(OR(INDEX($AH$2:$AH$1001,MATCH(ROWS($AG$2:AG759),$AG$2:$AG$1001,0),1)&gt;=100000,INDEX($AN$1005:$BO$1005,1,MATCH(COLUMNS($AN$1006:AU1006),$AN$1006:$BO$1006,0))&gt;=100000), " ",IF(INDEX($AN$2:$BO$1001,MATCH(ROWS($AG$2:AG759),$AG$2:$AG$1001,0),MATCH(COLUMNS($AN$1006:AU1006),$AN$1006:$BO$1006,0)), HYPERLINK("#",""), HYPERLINK(CONCATENATE("#Metadata!", ADDRESS(INDEX($AI$2:$AI$1001,MATCH(ROWS($AG$2:AG759),$AG$2:$AG$1001,0),0), INDEX($AN$1004:$BO$1004,1,MATCH(COLUMNS($AN$1006:AU1006),$AN$1006:$BO$1006,0)))),"Fix")))</f>
        <v>0</v>
      </c>
      <c r="J759" s="4">
        <f>IF(OR(INDEX($AH$2:$AH$1001,MATCH(ROWS($AG$2:AG759),$AG$2:$AG$1001,0),1)&gt;=100000,INDEX($AN$1005:$BO$1005,1,MATCH(COLUMNS($AN$1006:AV1006),$AN$1006:$BO$1006,0))&gt;=100000), " ",IF(INDEX($AN$2:$BO$1001,MATCH(ROWS($AG$2:AG759),$AG$2:$AG$1001,0),MATCH(COLUMNS($AN$1006:AV1006),$AN$1006:$BO$1006,0)), HYPERLINK("#",""), HYPERLINK(CONCATENATE("#Metadata!", ADDRESS(INDEX($AI$2:$AI$1001,MATCH(ROWS($AG$2:AG759),$AG$2:$AG$1001,0),0), INDEX($AN$1004:$BO$1004,1,MATCH(COLUMNS($AN$1006:AV1006),$AN$1006:$BO$1006,0)))),"Fix")))</f>
        <v>0</v>
      </c>
      <c r="K759" s="4">
        <f>IF(OR(INDEX($AH$2:$AH$1001,MATCH(ROWS($AG$2:AG759),$AG$2:$AG$1001,0),1)&gt;=100000,INDEX($AN$1005:$BO$1005,1,MATCH(COLUMNS($AN$1006:AW1006),$AN$1006:$BO$1006,0))&gt;=100000), " ",IF(INDEX($AN$2:$BO$1001,MATCH(ROWS($AG$2:AG759),$AG$2:$AG$1001,0),MATCH(COLUMNS($AN$1006:AW1006),$AN$1006:$BO$1006,0)), HYPERLINK("#",""), HYPERLINK(CONCATENATE("#Metadata!", ADDRESS(INDEX($AI$2:$AI$1001,MATCH(ROWS($AG$2:AG759),$AG$2:$AG$1001,0),0), INDEX($AN$1004:$BO$1004,1,MATCH(COLUMNS($AN$1006:AW1006),$AN$1006:$BO$1006,0)))),"Fix")))</f>
        <v>0</v>
      </c>
      <c r="L759" s="4">
        <f>IF(OR(INDEX($AH$2:$AH$1001,MATCH(ROWS($AG$2:AG759),$AG$2:$AG$1001,0),1)&gt;=100000,INDEX($AN$1005:$BO$1005,1,MATCH(COLUMNS($AN$1006:AX1006),$AN$1006:$BO$1006,0))&gt;=100000), " ",IF(INDEX($AN$2:$BO$1001,MATCH(ROWS($AG$2:AG759),$AG$2:$AG$1001,0),MATCH(COLUMNS($AN$1006:AX1006),$AN$1006:$BO$1006,0)), HYPERLINK("#",""), HYPERLINK(CONCATENATE("#Metadata!", ADDRESS(INDEX($AI$2:$AI$1001,MATCH(ROWS($AG$2:AG759),$AG$2:$AG$1001,0),0), INDEX($AN$1004:$BO$1004,1,MATCH(COLUMNS($AN$1006:AX1006),$AN$1006:$BO$1006,0)))),"Fix")))</f>
        <v>0</v>
      </c>
      <c r="M759" s="4">
        <f>IF(OR(INDEX($AH$2:$AH$1001,MATCH(ROWS($AG$2:AG759),$AG$2:$AG$1001,0),1)&gt;=100000,INDEX($AN$1005:$BO$1005,1,MATCH(COLUMNS($AN$1006:AY1006),$AN$1006:$BO$1006,0))&gt;=100000), " ",IF(INDEX($AN$2:$BO$1001,MATCH(ROWS($AG$2:AG759),$AG$2:$AG$1001,0),MATCH(COLUMNS($AN$1006:AY1006),$AN$1006:$BO$1006,0)), HYPERLINK("#",""), HYPERLINK(CONCATENATE("#Metadata!", ADDRESS(INDEX($AI$2:$AI$1001,MATCH(ROWS($AG$2:AG759),$AG$2:$AG$1001,0),0), INDEX($AN$1004:$BO$1004,1,MATCH(COLUMNS($AN$1006:AY1006),$AN$1006:$BO$1006,0)))),"Fix")))</f>
        <v>0</v>
      </c>
      <c r="N759" s="4">
        <f>IF(OR(INDEX($AH$2:$AH$1001,MATCH(ROWS($AG$2:AG759),$AG$2:$AG$1001,0),1)&gt;=100000,INDEX($AN$1005:$BO$1005,1,MATCH(COLUMNS($AN$1006:AZ1006),$AN$1006:$BO$1006,0))&gt;=100000), " ",IF(INDEX($AN$2:$BO$1001,MATCH(ROWS($AG$2:AG759),$AG$2:$AG$1001,0),MATCH(COLUMNS($AN$1006:AZ1006),$AN$1006:$BO$1006,0)), HYPERLINK("#",""), HYPERLINK(CONCATENATE("#Metadata!", ADDRESS(INDEX($AI$2:$AI$1001,MATCH(ROWS($AG$2:AG759),$AG$2:$AG$1001,0),0), INDEX($AN$1004:$BO$1004,1,MATCH(COLUMNS($AN$1006:AZ1006),$AN$1006:$BO$1006,0)))),"Fix")))</f>
        <v>0</v>
      </c>
      <c r="O759" s="4">
        <f>IF(OR(INDEX($AH$2:$AH$1001,MATCH(ROWS($AG$2:AG759),$AG$2:$AG$1001,0),1)&gt;=100000,INDEX($AN$1005:$BO$1005,1,MATCH(COLUMNS($AN$1006:BA1006),$AN$1006:$BO$1006,0))&gt;=100000), " ",IF(INDEX($AN$2:$BO$1001,MATCH(ROWS($AG$2:AG759),$AG$2:$AG$1001,0),MATCH(COLUMNS($AN$1006:BA1006),$AN$1006:$BO$1006,0)), HYPERLINK("#",""), HYPERLINK(CONCATENATE("#Metadata!", ADDRESS(INDEX($AI$2:$AI$1001,MATCH(ROWS($AG$2:AG759),$AG$2:$AG$1001,0),0), INDEX($AN$1004:$BO$1004,1,MATCH(COLUMNS($AN$1006:BA1006),$AN$1006:$BO$1006,0)))),"Fix")))</f>
        <v>0</v>
      </c>
      <c r="P759" s="4">
        <f>IF(OR(INDEX($AH$2:$AH$1001,MATCH(ROWS($AG$2:AG759),$AG$2:$AG$1001,0),1)&gt;=100000,INDEX($AN$1005:$BO$1005,1,MATCH(COLUMNS($AN$1006:BB1006),$AN$1006:$BO$1006,0))&gt;=100000), " ",IF(INDEX($AN$2:$BO$1001,MATCH(ROWS($AG$2:AG759),$AG$2:$AG$1001,0),MATCH(COLUMNS($AN$1006:BB1006),$AN$1006:$BO$1006,0)), HYPERLINK("#",""), HYPERLINK(CONCATENATE("#Metadata!", ADDRESS(INDEX($AI$2:$AI$1001,MATCH(ROWS($AG$2:AG759),$AG$2:$AG$1001,0),0), INDEX($AN$1004:$BO$1004,1,MATCH(COLUMNS($AN$1006:BB1006),$AN$1006:$BO$1006,0)))),"Fix")))</f>
        <v>0</v>
      </c>
      <c r="Q759" s="4">
        <f>IF(OR(INDEX($AH$2:$AH$1001,MATCH(ROWS($AG$2:AG759),$AG$2:$AG$1001,0),1)&gt;=100000,INDEX($AN$1005:$BO$1005,1,MATCH(COLUMNS($AN$1006:BC1006),$AN$1006:$BO$1006,0))&gt;=100000), " ",IF(INDEX($AN$2:$BO$1001,MATCH(ROWS($AG$2:AG759),$AG$2:$AG$1001,0),MATCH(COLUMNS($AN$1006:BC1006),$AN$1006:$BO$1006,0)), HYPERLINK("#",""), HYPERLINK(CONCATENATE("#Metadata!", ADDRESS(INDEX($AI$2:$AI$1001,MATCH(ROWS($AG$2:AG759),$AG$2:$AG$1001,0),0), INDEX($AN$1004:$BO$1004,1,MATCH(COLUMNS($AN$1006:BC1006),$AN$1006:$BO$1006,0)))),"Fix")))</f>
        <v>0</v>
      </c>
      <c r="R759" s="4">
        <f>IF(OR(INDEX($AH$2:$AH$1001,MATCH(ROWS($AG$2:AG759),$AG$2:$AG$1001,0),1)&gt;=100000,INDEX($AN$1005:$BO$1005,1,MATCH(COLUMNS($AN$1006:BD1006),$AN$1006:$BO$1006,0))&gt;=100000), " ",IF(INDEX($AN$2:$BO$1001,MATCH(ROWS($AG$2:AG759),$AG$2:$AG$1001,0),MATCH(COLUMNS($AN$1006:BD1006),$AN$1006:$BO$1006,0)), HYPERLINK("#",""), HYPERLINK(CONCATENATE("#Metadata!", ADDRESS(INDEX($AI$2:$AI$1001,MATCH(ROWS($AG$2:AG759),$AG$2:$AG$1001,0),0), INDEX($AN$1004:$BO$1004,1,MATCH(COLUMNS($AN$1006:BD1006),$AN$1006:$BO$1006,0)))),"Fix")))</f>
        <v>0</v>
      </c>
      <c r="S759" s="4">
        <f>IF(OR(INDEX($AH$2:$AH$1001,MATCH(ROWS($AG$2:AG759),$AG$2:$AG$1001,0),1)&gt;=100000,INDEX($AN$1005:$BO$1005,1,MATCH(COLUMNS($AN$1006:BE1006),$AN$1006:$BO$1006,0))&gt;=100000), " ",IF(INDEX($AN$2:$BO$1001,MATCH(ROWS($AG$2:AG759),$AG$2:$AG$1001,0),MATCH(COLUMNS($AN$1006:BE1006),$AN$1006:$BO$1006,0)), HYPERLINK("#",""), HYPERLINK(CONCATENATE("#Metadata!", ADDRESS(INDEX($AI$2:$AI$1001,MATCH(ROWS($AG$2:AG759),$AG$2:$AG$1001,0),0), INDEX($AN$1004:$BO$1004,1,MATCH(COLUMNS($AN$1006:BE1006),$AN$1006:$BO$1006,0)))),"Fix")))</f>
        <v>0</v>
      </c>
      <c r="T759" s="4">
        <f>IF(OR(INDEX($AH$2:$AH$1001,MATCH(ROWS($AG$2:AG759),$AG$2:$AG$1001,0),1)&gt;=100000,INDEX($AN$1005:$BO$1005,1,MATCH(COLUMNS($AN$1006:BF1006),$AN$1006:$BO$1006,0))&gt;=100000), " ",IF(INDEX($AN$2:$BO$1001,MATCH(ROWS($AG$2:AG759),$AG$2:$AG$1001,0),MATCH(COLUMNS($AN$1006:BF1006),$AN$1006:$BO$1006,0)), HYPERLINK("#",""), HYPERLINK(CONCATENATE("#Metadata!", ADDRESS(INDEX($AI$2:$AI$1001,MATCH(ROWS($AG$2:AG759),$AG$2:$AG$1001,0),0), INDEX($AN$1004:$BO$1004,1,MATCH(COLUMNS($AN$1006:BF1006),$AN$1006:$BO$1006,0)))),"Fix")))</f>
        <v>0</v>
      </c>
      <c r="U759" s="4">
        <f>IF(OR(INDEX($AH$2:$AH$1001,MATCH(ROWS($AG$2:AG759),$AG$2:$AG$1001,0),1)&gt;=100000,INDEX($AN$1005:$BO$1005,1,MATCH(COLUMNS($AN$1006:BG1006),$AN$1006:$BO$1006,0))&gt;=100000), " ",IF(INDEX($AN$2:$BO$1001,MATCH(ROWS($AG$2:AG759),$AG$2:$AG$1001,0),MATCH(COLUMNS($AN$1006:BG1006),$AN$1006:$BO$1006,0)), HYPERLINK("#",""), HYPERLINK(CONCATENATE("#Metadata!", ADDRESS(INDEX($AI$2:$AI$1001,MATCH(ROWS($AG$2:AG759),$AG$2:$AG$1001,0),0), INDEX($AN$1004:$BO$1004,1,MATCH(COLUMNS($AN$1006:BG1006),$AN$1006:$BO$1006,0)))),"Fix")))</f>
        <v>0</v>
      </c>
      <c r="V759" s="4">
        <f>IF(OR(INDEX($AH$2:$AH$1001,MATCH(ROWS($AG$2:AG759),$AG$2:$AG$1001,0),1)&gt;=100000,INDEX($AN$1005:$BO$1005,1,MATCH(COLUMNS($AN$1006:BH1006),$AN$1006:$BO$1006,0))&gt;=100000), " ",IF(INDEX($AN$2:$BO$1001,MATCH(ROWS($AG$2:AG759),$AG$2:$AG$1001,0),MATCH(COLUMNS($AN$1006:BH1006),$AN$1006:$BO$1006,0)), HYPERLINK("#",""), HYPERLINK(CONCATENATE("#Metadata!", ADDRESS(INDEX($AI$2:$AI$1001,MATCH(ROWS($AG$2:AG759),$AG$2:$AG$1001,0),0), INDEX($AN$1004:$BO$1004,1,MATCH(COLUMNS($AN$1006:BH1006),$AN$1006:$BO$1006,0)))),"Fix")))</f>
        <v>0</v>
      </c>
      <c r="W759" s="4">
        <f>IF(OR(INDEX($AH$2:$AH$1001,MATCH(ROWS($AG$2:AG759),$AG$2:$AG$1001,0),1)&gt;=100000,INDEX($AN$1005:$BO$1005,1,MATCH(COLUMNS($AN$1006:BI1006),$AN$1006:$BO$1006,0))&gt;=100000), " ",IF(INDEX($AN$2:$BO$1001,MATCH(ROWS($AG$2:AG759),$AG$2:$AG$1001,0),MATCH(COLUMNS($AN$1006:BI1006),$AN$1006:$BO$1006,0)), HYPERLINK("#",""), HYPERLINK(CONCATENATE("#Metadata!", ADDRESS(INDEX($AI$2:$AI$1001,MATCH(ROWS($AG$2:AG759),$AG$2:$AG$1001,0),0), INDEX($AN$1004:$BO$1004,1,MATCH(COLUMNS($AN$1006:BI1006),$AN$1006:$BO$1006,0)))),"Fix")))</f>
        <v>0</v>
      </c>
      <c r="X759" s="4">
        <f>IF(OR(INDEX($AH$2:$AH$1001,MATCH(ROWS($AG$2:AG759),$AG$2:$AG$1001,0),1)&gt;=100000,INDEX($AN$1005:$BO$1005,1,MATCH(COLUMNS($AN$1006:BJ1006),$AN$1006:$BO$1006,0))&gt;=100000), " ",IF(INDEX($AN$2:$BO$1001,MATCH(ROWS($AG$2:AG759),$AG$2:$AG$1001,0),MATCH(COLUMNS($AN$1006:BJ1006),$AN$1006:$BO$1006,0)), HYPERLINK("#",""), HYPERLINK(CONCATENATE("#Metadata!", ADDRESS(INDEX($AI$2:$AI$1001,MATCH(ROWS($AG$2:AG759),$AG$2:$AG$1001,0),0), INDEX($AN$1004:$BO$1004,1,MATCH(COLUMNS($AN$1006:BJ1006),$AN$1006:$BO$1006,0)))),"Fix")))</f>
        <v>0</v>
      </c>
      <c r="Y759" s="4">
        <f>IF(OR(INDEX($AH$2:$AH$1001,MATCH(ROWS($AG$2:AG759),$AG$2:$AG$1001,0),1)&gt;=100000,INDEX($AN$1005:$BO$1005,1,MATCH(COLUMNS($AN$1006:BK1006),$AN$1006:$BO$1006,0))&gt;=100000), " ",IF(INDEX($AN$2:$BO$1001,MATCH(ROWS($AG$2:AG759),$AG$2:$AG$1001,0),MATCH(COLUMNS($AN$1006:BK1006),$AN$1006:$BO$1006,0)), HYPERLINK("#",""), HYPERLINK(CONCATENATE("#Metadata!", ADDRESS(INDEX($AI$2:$AI$1001,MATCH(ROWS($AG$2:AG759),$AG$2:$AG$1001,0),0), INDEX($AN$1004:$BO$1004,1,MATCH(COLUMNS($AN$1006:BK1006),$AN$1006:$BO$1006,0)))),"Fix")))</f>
        <v>0</v>
      </c>
      <c r="Z759" s="4">
        <f>IF(OR(INDEX($AH$2:$AH$1001,MATCH(ROWS($AG$2:AG759),$AG$2:$AG$1001,0),1)&gt;=100000,INDEX($AN$1005:$BO$1005,1,MATCH(COLUMNS($AN$1006:BL1006),$AN$1006:$BO$1006,0))&gt;=100000), " ",IF(INDEX($AN$2:$BO$1001,MATCH(ROWS($AG$2:AG759),$AG$2:$AG$1001,0),MATCH(COLUMNS($AN$1006:BL1006),$AN$1006:$BO$1006,0)), HYPERLINK("#",""), HYPERLINK(CONCATENATE("#Metadata!", ADDRESS(INDEX($AI$2:$AI$1001,MATCH(ROWS($AG$2:AG759),$AG$2:$AG$1001,0),0), INDEX($AN$1004:$BO$1004,1,MATCH(COLUMNS($AN$1006:BL1006),$AN$1006:$BO$1006,0)))),"Fix")))</f>
        <v>0</v>
      </c>
      <c r="AA759" s="4">
        <f>IF(OR(INDEX($AH$2:$AH$1001,MATCH(ROWS($AG$2:AG759),$AG$2:$AG$1001,0),1)&gt;=100000,INDEX($AN$1005:$BO$1005,1,MATCH(COLUMNS($AN$1006:BM1006),$AN$1006:$BO$1006,0))&gt;=100000), " ",IF(INDEX($AN$2:$BO$1001,MATCH(ROWS($AG$2:AG759),$AG$2:$AG$1001,0),MATCH(COLUMNS($AN$1006:BM1006),$AN$1006:$BO$1006,0)), HYPERLINK("#",""), HYPERLINK(CONCATENATE("#Metadata!", ADDRESS(INDEX($AI$2:$AI$1001,MATCH(ROWS($AG$2:AG759),$AG$2:$AG$1001,0),0), INDEX($AN$1004:$BO$1004,1,MATCH(COLUMNS($AN$1006:BM1006),$AN$1006:$BO$1006,0)))),"Fix")))</f>
        <v>0</v>
      </c>
      <c r="AB759" s="4">
        <f>IF(OR(INDEX($AH$2:$AH$1001,MATCH(ROWS($AG$2:AG759),$AG$2:$AG$1001,0),1)&gt;=100000,INDEX($AN$1005:$BO$1005,1,MATCH(COLUMNS($AN$1006:BN1006),$AN$1006:$BO$1006,0))&gt;=100000), " ",IF(INDEX($AN$2:$BO$1001,MATCH(ROWS($AG$2:AG759),$AG$2:$AG$1001,0),MATCH(COLUMNS($AN$1006:BN1006),$AN$1006:$BO$1006,0)), HYPERLINK("#",""), HYPERLINK(CONCATENATE("#Metadata!", ADDRESS(INDEX($AI$2:$AI$1001,MATCH(ROWS($AG$2:AG759),$AG$2:$AG$1001,0),0), INDEX($AN$1004:$BO$1004,1,MATCH(COLUMNS($AN$1006:BN1006),$AN$1006:$BO$1006,0)))),"Fix")))</f>
        <v>0</v>
      </c>
      <c r="AC759" s="4">
        <f>IF(OR(INDEX($AH$2:$AH$1001,MATCH(ROWS($AG$2:AG759),$AG$2:$AG$1001,0),1)&gt;=100000,INDEX($AN$1005:$BO$1005,1,MATCH(COLUMNS($AN$1006:BO1006),$AN$1006:$BO$1006,0))&gt;=100000), " ",IF(INDEX($AN$2:$BO$1001,MATCH(ROWS($AG$2:AG759),$AG$2:$AG$1001,0),MATCH(COLUMNS($AN$1006:BO1006),$AN$1006:$BO$1006,0)), HYPERLINK("#",""), HYPERLINK(CONCATENATE("#Metadata!", ADDRESS(INDEX($AI$2:$AI$1001,MATCH(ROWS($AG$2:AG759),$AG$2:$AG$1001,0),0), INDEX($AN$1004:$BO$1004,1,MATCH(COLUMNS($AN$1006:BO1006),$AN$1006:$BO$1006,0)))),"Fix")))</f>
        <v>0</v>
      </c>
      <c r="AG759">
        <v>0</v>
      </c>
      <c r="AH759">
        <v>0</v>
      </c>
      <c r="AI759">
        <v>0</v>
      </c>
      <c r="AJ759">
        <f>IF(AK759,TRUE,AND(AN759:BO759))</f>
        <v>0</v>
      </c>
      <c r="AK759">
        <f>COUNTBLANK(Metadata!B759:AC759)=COLUMNS(Metadata!B759:AC759)</f>
        <v>0</v>
      </c>
      <c r="AL759">
        <v>0</v>
      </c>
      <c r="AN759">
        <f>AND(IF(Metadata!B759="",FALSE,TRUE),COUNTIF(Metadata!B:B, Metadata!B759) = 1,NOT(ISERROR(SUMPRODUCT(SEARCH(MID(Metadata!B759,ROW(INDIRECT("1:"&amp;LEN(Metadata!B759))), 1),"0123456789abcdefghijklmnopqrstuvwxyzABCDEFGHIJKLMNOPQRSTUVWXYZ.")))))</f>
        <v>0</v>
      </c>
      <c r="AO759">
        <f>IF(Metadata!C759="",FALSE,TRUE)</f>
        <v>0</v>
      </c>
      <c r="AP759">
        <f>IF(Metadata!D759="",FALSE,TRUE)</f>
        <v>0</v>
      </c>
      <c r="AQ759">
        <f>OR(AND(IF(Metadata!E759="",FALSE,TRUE),OR(exact(Metadata!E759,"not collected"),exact(Metadata!E759,"not provided"),exact(Metadata!E759,"restricted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R759">
        <f>IF(Metadata!F759="",FALSE,TRUE)</f>
        <v>0</v>
      </c>
      <c r="AS759">
        <f>OR(AND(IF(Metadata!G759="",FALSE,TRUE),OR(exact(Metadata!G759,"not collected"),exact(Metadata!G759,"not provided"))),AND(IF(Metadata!G759="",FALSE,TRUE),OR(exact(Metadata!G759,"TRUE"),exact(Metadata!G759,"FALSE"))))</f>
        <v>0</v>
      </c>
      <c r="AT759">
        <f>OR(AND(IF(Metadata!H759="",FALSE,TRUE),OR(exact(Metadata!H759,"not collected"),exact(Metadata!H759,"not provided"),exact(Metadata!H759,"restricted access"))),AND(IF(Metadata!H759="",FALSE,ISNUMBER(VALUE(Metadata!H759))),Metadata!H759&gt;=-413.0))</f>
        <v>0</v>
      </c>
      <c r="AU759">
        <f>AND(IF(Metadata!I759="",FALSE,TRUE),exact(Metadata!I759,"meters"))</f>
        <v>0</v>
      </c>
      <c r="AV759">
        <f>AND(IF(Metadata!J759="",FALSE,TRUE),OR(exact(Metadata!J759,"Host-associated"),exact(Metadata!J759,"Free-living")))</f>
        <v>0</v>
      </c>
      <c r="AW759">
        <f>AND(IF(Metadata!K759="",FALSE,TRUE),OR(exact(Metadata!K759,"Animal"),exact(Metadata!K759,"Fungus"),exact(Metadata!K759,"Plant"),exact(Metadata!K759,"Saline"),exact(Metadata!K759,"Non-saline")))</f>
        <v>0</v>
      </c>
      <c r="AX759">
        <f>AND(IF(Metadata!L759="",FALSE,TRUE),OR(exact(Metadata!L759,"Plant secretion"),exact(Metadata!L759,"Plant rhizosphere"),exact(Metadata!L759,"Plant surface"),exact(Metadata!L759,"Plant corpus"),exact(Metadata!L759,"Fungus surface"),exact(Metadata!L759,"Fungus corpus"),exact(Metadata!L759,"Animal surface"),exact(Metadata!L759,"Animal proximal gut"),exact(Metadata!L759,"Animal corpus"),exact(Metadata!L759,"Animal distal gut"),exact(Metadata!L759,"Animal secretion"),exact(Metadata!L759,"Sub-surface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Y759">
        <f>IF(Metadata!M759="",FALSE,TRUE)</f>
        <v>0</v>
      </c>
      <c r="AZ759">
        <f>IF(Metadata!N759="",FALSE,TRUE)</f>
        <v>0</v>
      </c>
      <c r="BA759">
        <f>IF(Metadata!O759="",FALSE,TRUE)</f>
        <v>0</v>
      </c>
      <c r="BB759">
        <f>OR(AND(IF(Metadata!P759="",FALSE,TRUE),OR(exact(Metadata!P759,"not collected"),exact(Metadata!P759,"not provided"),exact(Metadata!P759,"restricted access"))),AND(IF(Metadata!P759="",FALSE,TRUE),OR(exact(Metadata!P759,"air"),exact(Metadata!P759,"built environment"),exact(Metadata!P759,"host-associated"),exact(Metadata!P759,"human-associated"),exact(Metadata!P759,"human-skin"),exact(Metadata!P759,"human-oral"),exact(Metadata!P759,"human-gut"),exact(Metadata!P759,"human-vaginal"),exact(Metadata!P759,"microbial mat/biofilm"),exact(Metadata!P759,"misc environment"),exact(Metadata!P759,"plant-associated"),exact(Metadata!P759,"sediment"),exact(Metadata!P759,"soil"),exact(Metadata!P759,"wastewater/sludge"),exact(Metadata!P759,"water"))))</f>
        <v>0</v>
      </c>
      <c r="BC759">
        <f>IF(Metadata!Q759="",FALSE,TRUE)</f>
        <v>0</v>
      </c>
      <c r="BD759">
        <f>IF(Metadata!R759="",FALSE,TRUE)</f>
        <v>0</v>
      </c>
      <c r="BE759">
        <f>OR(AND(IF(Metadata!S759="",FALSE,TRUE),OR(exact(Metadata!S759,"not collected"),exact(Metadata!S759,"not provided"),exact(Metadata!S759,"restricted access"))),AND(IF(Metadata!S759="",FALSE,ISNUMBER(VALUE(Metadata!S759))),Metadata!S759&gt;=-90.00,Metadata!S759&lt;=90.00))</f>
        <v>0</v>
      </c>
      <c r="BF759">
        <f>AND(IF(Metadata!T759="",FALSE,TRUE),exact(Metadata!T759,"Decimal degrees"))</f>
        <v>0</v>
      </c>
      <c r="BG759">
        <f>OR(AND(IF(Metadata!U759="",FALSE,TRUE),OR(exact(Metadata!U759,"not collected"),exact(Metadata!U759,"not provided"),exact(Metadata!U759,"restricted access"))),AND(IF(Metadata!U759="",FALSE,ISNUMBER(VALUE(Metadata!U759))),Metadata!U759&gt;=-180.00,Metadata!U759&lt;=180.00))</f>
        <v>0</v>
      </c>
      <c r="BH759">
        <f>AND(IF(Metadata!V759="",FALSE,TRUE),exact(Metadata!V759,"Decimal degrees"))</f>
        <v>0</v>
      </c>
      <c r="BI759">
        <f>IF(Metadata!W759="",FALSE,TRUE)</f>
        <v>0</v>
      </c>
      <c r="BJ759">
        <f>OR(AND(IF(Metadata!X759="",FALSE,TRUE),OR(exact(Metadata!X759,"not collected"),exact(Metadata!X759,"not provided"),exact(Metadata!X759,"restricted access"))),AND(IF(Metadata!X759="",FALSE,TRUE),OR(exact(Metadata!X759,"TRUE"),exact(Metadata!X759,"FALSE"))))</f>
        <v>0</v>
      </c>
      <c r="BK759">
        <f>AND(IF(Metadata!Y759="",FALSE,TRUE),exact(Metadata!Y759,"other"))</f>
        <v>0</v>
      </c>
      <c r="BL759">
        <f>IF(Metadata!Z759="",FALSE,TRUE)</f>
        <v>0</v>
      </c>
      <c r="BM759">
        <f>OR(AND(IF(Metadata!AA759="",FALSE,TRUE),OR(exact(Metadata!AA759,"not collected"),exact(Metadata!AA759,"not provided"))),AND(IF(Metadata!AA759="",FALSE,IF(ISERROR(INT(Metadata!AA759)),FALSE,INT(Metadata!AA759)=Metadata!AA759)),Metadata!AA759&gt;0))</f>
        <v>0</v>
      </c>
      <c r="BN759">
        <f>AND(IF(Metadata!AB759="",FALSE,TRUE),exact(Metadata!AB759,"Not applicable"))</f>
        <v>0</v>
      </c>
      <c r="BO759">
        <f>IF(Metadata!AC759="",FALSE,TRUE)</f>
        <v>0</v>
      </c>
    </row>
    <row r="760" spans="1:67">
      <c r="A760" s="5">
        <f>IF(B760=" "," ",HYPERLINK(CONCATENATE("#metadata!",ADDRESS(INDEX($AI$2:$AI$1001,MATCH(ROWS($AG$2:AG760),$AG$2:$AG$1001,0),0),1)),INDEX($AL$2:$AL$1001,MATCH(ROWS($AG$2:AG760),$AG$2:$AG$1001,0),0)))</f>
        <v>0</v>
      </c>
      <c r="B760" s="4">
        <f>IF(OR(INDEX($AH$2:$AH$1001,MATCH(ROWS($AG$2:AG760),$AG$2:$AG$1001,0),1)&gt;=100000,INDEX($AN$1005:$BO$1005,1,MATCH(COLUMNS($AN$1006:AN1006),$AN$1006:$BO$1006,0))&gt;=100000), " ",IF(INDEX($AN$2:$BO$1001,MATCH(ROWS($AG$2:AG760),$AG$2:$AG$1001,0),MATCH(COLUMNS($AN$1006:AN1006),$AN$1006:$BO$1006,0)), HYPERLINK("#",""), HYPERLINK(CONCATENATE("#Metadata!", ADDRESS(INDEX($AI$2:$AI$1001,MATCH(ROWS($AG$2:AG760),$AG$2:$AG$1001,0),0), INDEX($AN$1004:$BO$1004,1,MATCH(COLUMNS($AN$1006:AN1006),$AN$1006:$BO$1006,0)))),"Fix")))</f>
        <v>0</v>
      </c>
      <c r="C760" s="4">
        <f>IF(OR(INDEX($AH$2:$AH$1001,MATCH(ROWS($AG$2:AG760),$AG$2:$AG$1001,0),1)&gt;=100000,INDEX($AN$1005:$BO$1005,1,MATCH(COLUMNS($AN$1006:AO1006),$AN$1006:$BO$1006,0))&gt;=100000), " ",IF(INDEX($AN$2:$BO$1001,MATCH(ROWS($AG$2:AG760),$AG$2:$AG$1001,0),MATCH(COLUMNS($AN$1006:AO1006),$AN$1006:$BO$1006,0)), HYPERLINK("#",""), HYPERLINK(CONCATENATE("#Metadata!", ADDRESS(INDEX($AI$2:$AI$1001,MATCH(ROWS($AG$2:AG760),$AG$2:$AG$1001,0),0), INDEX($AN$1004:$BO$1004,1,MATCH(COLUMNS($AN$1006:AO1006),$AN$1006:$BO$1006,0)))),"Fix")))</f>
        <v>0</v>
      </c>
      <c r="D760" s="4">
        <f>IF(OR(INDEX($AH$2:$AH$1001,MATCH(ROWS($AG$2:AG760),$AG$2:$AG$1001,0),1)&gt;=100000,INDEX($AN$1005:$BO$1005,1,MATCH(COLUMNS($AN$1006:AP1006),$AN$1006:$BO$1006,0))&gt;=100000), " ",IF(INDEX($AN$2:$BO$1001,MATCH(ROWS($AG$2:AG760),$AG$2:$AG$1001,0),MATCH(COLUMNS($AN$1006:AP1006),$AN$1006:$BO$1006,0)), HYPERLINK("#",""), HYPERLINK(CONCATENATE("#Metadata!", ADDRESS(INDEX($AI$2:$AI$1001,MATCH(ROWS($AG$2:AG760),$AG$2:$AG$1001,0),0), INDEX($AN$1004:$BO$1004,1,MATCH(COLUMNS($AN$1006:AP1006),$AN$1006:$BO$1006,0)))),"Fix")))</f>
        <v>0</v>
      </c>
      <c r="E760" s="4">
        <f>IF(OR(INDEX($AH$2:$AH$1001,MATCH(ROWS($AG$2:AG760),$AG$2:$AG$1001,0),1)&gt;=100000,INDEX($AN$1005:$BO$1005,1,MATCH(COLUMNS($AN$1006:AQ1006),$AN$1006:$BO$1006,0))&gt;=100000), " ",IF(INDEX($AN$2:$BO$1001,MATCH(ROWS($AG$2:AG760),$AG$2:$AG$1001,0),MATCH(COLUMNS($AN$1006:AQ1006),$AN$1006:$BO$1006,0)), HYPERLINK("#",""), HYPERLINK(CONCATENATE("#Metadata!", ADDRESS(INDEX($AI$2:$AI$1001,MATCH(ROWS($AG$2:AG760),$AG$2:$AG$1001,0),0), INDEX($AN$1004:$BO$1004,1,MATCH(COLUMNS($AN$1006:AQ1006),$AN$1006:$BO$1006,0)))),"Fix")))</f>
        <v>0</v>
      </c>
      <c r="F760" s="4">
        <f>IF(OR(INDEX($AH$2:$AH$1001,MATCH(ROWS($AG$2:AG760),$AG$2:$AG$1001,0),1)&gt;=100000,INDEX($AN$1005:$BO$1005,1,MATCH(COLUMNS($AN$1006:AR1006),$AN$1006:$BO$1006,0))&gt;=100000), " ",IF(INDEX($AN$2:$BO$1001,MATCH(ROWS($AG$2:AG760),$AG$2:$AG$1001,0),MATCH(COLUMNS($AN$1006:AR1006),$AN$1006:$BO$1006,0)), HYPERLINK("#",""), HYPERLINK(CONCATENATE("#Metadata!", ADDRESS(INDEX($AI$2:$AI$1001,MATCH(ROWS($AG$2:AG760),$AG$2:$AG$1001,0),0), INDEX($AN$1004:$BO$1004,1,MATCH(COLUMNS($AN$1006:AR1006),$AN$1006:$BO$1006,0)))),"Fix")))</f>
        <v>0</v>
      </c>
      <c r="G760" s="4">
        <f>IF(OR(INDEX($AH$2:$AH$1001,MATCH(ROWS($AG$2:AG760),$AG$2:$AG$1001,0),1)&gt;=100000,INDEX($AN$1005:$BO$1005,1,MATCH(COLUMNS($AN$1006:AS1006),$AN$1006:$BO$1006,0))&gt;=100000), " ",IF(INDEX($AN$2:$BO$1001,MATCH(ROWS($AG$2:AG760),$AG$2:$AG$1001,0),MATCH(COLUMNS($AN$1006:AS1006),$AN$1006:$BO$1006,0)), HYPERLINK("#",""), HYPERLINK(CONCATENATE("#Metadata!", ADDRESS(INDEX($AI$2:$AI$1001,MATCH(ROWS($AG$2:AG760),$AG$2:$AG$1001,0),0), INDEX($AN$1004:$BO$1004,1,MATCH(COLUMNS($AN$1006:AS1006),$AN$1006:$BO$1006,0)))),"Fix")))</f>
        <v>0</v>
      </c>
      <c r="H760" s="4">
        <f>IF(OR(INDEX($AH$2:$AH$1001,MATCH(ROWS($AG$2:AG760),$AG$2:$AG$1001,0),1)&gt;=100000,INDEX($AN$1005:$BO$1005,1,MATCH(COLUMNS($AN$1006:AT1006),$AN$1006:$BO$1006,0))&gt;=100000), " ",IF(INDEX($AN$2:$BO$1001,MATCH(ROWS($AG$2:AG760),$AG$2:$AG$1001,0),MATCH(COLUMNS($AN$1006:AT1006),$AN$1006:$BO$1006,0)), HYPERLINK("#",""), HYPERLINK(CONCATENATE("#Metadata!", ADDRESS(INDEX($AI$2:$AI$1001,MATCH(ROWS($AG$2:AG760),$AG$2:$AG$1001,0),0), INDEX($AN$1004:$BO$1004,1,MATCH(COLUMNS($AN$1006:AT1006),$AN$1006:$BO$1006,0)))),"Fix")))</f>
        <v>0</v>
      </c>
      <c r="I760" s="4">
        <f>IF(OR(INDEX($AH$2:$AH$1001,MATCH(ROWS($AG$2:AG760),$AG$2:$AG$1001,0),1)&gt;=100000,INDEX($AN$1005:$BO$1005,1,MATCH(COLUMNS($AN$1006:AU1006),$AN$1006:$BO$1006,0))&gt;=100000), " ",IF(INDEX($AN$2:$BO$1001,MATCH(ROWS($AG$2:AG760),$AG$2:$AG$1001,0),MATCH(COLUMNS($AN$1006:AU1006),$AN$1006:$BO$1006,0)), HYPERLINK("#",""), HYPERLINK(CONCATENATE("#Metadata!", ADDRESS(INDEX($AI$2:$AI$1001,MATCH(ROWS($AG$2:AG760),$AG$2:$AG$1001,0),0), INDEX($AN$1004:$BO$1004,1,MATCH(COLUMNS($AN$1006:AU1006),$AN$1006:$BO$1006,0)))),"Fix")))</f>
        <v>0</v>
      </c>
      <c r="J760" s="4">
        <f>IF(OR(INDEX($AH$2:$AH$1001,MATCH(ROWS($AG$2:AG760),$AG$2:$AG$1001,0),1)&gt;=100000,INDEX($AN$1005:$BO$1005,1,MATCH(COLUMNS($AN$1006:AV1006),$AN$1006:$BO$1006,0))&gt;=100000), " ",IF(INDEX($AN$2:$BO$1001,MATCH(ROWS($AG$2:AG760),$AG$2:$AG$1001,0),MATCH(COLUMNS($AN$1006:AV1006),$AN$1006:$BO$1006,0)), HYPERLINK("#",""), HYPERLINK(CONCATENATE("#Metadata!", ADDRESS(INDEX($AI$2:$AI$1001,MATCH(ROWS($AG$2:AG760),$AG$2:$AG$1001,0),0), INDEX($AN$1004:$BO$1004,1,MATCH(COLUMNS($AN$1006:AV1006),$AN$1006:$BO$1006,0)))),"Fix")))</f>
        <v>0</v>
      </c>
      <c r="K760" s="4">
        <f>IF(OR(INDEX($AH$2:$AH$1001,MATCH(ROWS($AG$2:AG760),$AG$2:$AG$1001,0),1)&gt;=100000,INDEX($AN$1005:$BO$1005,1,MATCH(COLUMNS($AN$1006:AW1006),$AN$1006:$BO$1006,0))&gt;=100000), " ",IF(INDEX($AN$2:$BO$1001,MATCH(ROWS($AG$2:AG760),$AG$2:$AG$1001,0),MATCH(COLUMNS($AN$1006:AW1006),$AN$1006:$BO$1006,0)), HYPERLINK("#",""), HYPERLINK(CONCATENATE("#Metadata!", ADDRESS(INDEX($AI$2:$AI$1001,MATCH(ROWS($AG$2:AG760),$AG$2:$AG$1001,0),0), INDEX($AN$1004:$BO$1004,1,MATCH(COLUMNS($AN$1006:AW1006),$AN$1006:$BO$1006,0)))),"Fix")))</f>
        <v>0</v>
      </c>
      <c r="L760" s="4">
        <f>IF(OR(INDEX($AH$2:$AH$1001,MATCH(ROWS($AG$2:AG760),$AG$2:$AG$1001,0),1)&gt;=100000,INDEX($AN$1005:$BO$1005,1,MATCH(COLUMNS($AN$1006:AX1006),$AN$1006:$BO$1006,0))&gt;=100000), " ",IF(INDEX($AN$2:$BO$1001,MATCH(ROWS($AG$2:AG760),$AG$2:$AG$1001,0),MATCH(COLUMNS($AN$1006:AX1006),$AN$1006:$BO$1006,0)), HYPERLINK("#",""), HYPERLINK(CONCATENATE("#Metadata!", ADDRESS(INDEX($AI$2:$AI$1001,MATCH(ROWS($AG$2:AG760),$AG$2:$AG$1001,0),0), INDEX($AN$1004:$BO$1004,1,MATCH(COLUMNS($AN$1006:AX1006),$AN$1006:$BO$1006,0)))),"Fix")))</f>
        <v>0</v>
      </c>
      <c r="M760" s="4">
        <f>IF(OR(INDEX($AH$2:$AH$1001,MATCH(ROWS($AG$2:AG760),$AG$2:$AG$1001,0),1)&gt;=100000,INDEX($AN$1005:$BO$1005,1,MATCH(COLUMNS($AN$1006:AY1006),$AN$1006:$BO$1006,0))&gt;=100000), " ",IF(INDEX($AN$2:$BO$1001,MATCH(ROWS($AG$2:AG760),$AG$2:$AG$1001,0),MATCH(COLUMNS($AN$1006:AY1006),$AN$1006:$BO$1006,0)), HYPERLINK("#",""), HYPERLINK(CONCATENATE("#Metadata!", ADDRESS(INDEX($AI$2:$AI$1001,MATCH(ROWS($AG$2:AG760),$AG$2:$AG$1001,0),0), INDEX($AN$1004:$BO$1004,1,MATCH(COLUMNS($AN$1006:AY1006),$AN$1006:$BO$1006,0)))),"Fix")))</f>
        <v>0</v>
      </c>
      <c r="N760" s="4">
        <f>IF(OR(INDEX($AH$2:$AH$1001,MATCH(ROWS($AG$2:AG760),$AG$2:$AG$1001,0),1)&gt;=100000,INDEX($AN$1005:$BO$1005,1,MATCH(COLUMNS($AN$1006:AZ1006),$AN$1006:$BO$1006,0))&gt;=100000), " ",IF(INDEX($AN$2:$BO$1001,MATCH(ROWS($AG$2:AG760),$AG$2:$AG$1001,0),MATCH(COLUMNS($AN$1006:AZ1006),$AN$1006:$BO$1006,0)), HYPERLINK("#",""), HYPERLINK(CONCATENATE("#Metadata!", ADDRESS(INDEX($AI$2:$AI$1001,MATCH(ROWS($AG$2:AG760),$AG$2:$AG$1001,0),0), INDEX($AN$1004:$BO$1004,1,MATCH(COLUMNS($AN$1006:AZ1006),$AN$1006:$BO$1006,0)))),"Fix")))</f>
        <v>0</v>
      </c>
      <c r="O760" s="4">
        <f>IF(OR(INDEX($AH$2:$AH$1001,MATCH(ROWS($AG$2:AG760),$AG$2:$AG$1001,0),1)&gt;=100000,INDEX($AN$1005:$BO$1005,1,MATCH(COLUMNS($AN$1006:BA1006),$AN$1006:$BO$1006,0))&gt;=100000), " ",IF(INDEX($AN$2:$BO$1001,MATCH(ROWS($AG$2:AG760),$AG$2:$AG$1001,0),MATCH(COLUMNS($AN$1006:BA1006),$AN$1006:$BO$1006,0)), HYPERLINK("#",""), HYPERLINK(CONCATENATE("#Metadata!", ADDRESS(INDEX($AI$2:$AI$1001,MATCH(ROWS($AG$2:AG760),$AG$2:$AG$1001,0),0), INDEX($AN$1004:$BO$1004,1,MATCH(COLUMNS($AN$1006:BA1006),$AN$1006:$BO$1006,0)))),"Fix")))</f>
        <v>0</v>
      </c>
      <c r="P760" s="4">
        <f>IF(OR(INDEX($AH$2:$AH$1001,MATCH(ROWS($AG$2:AG760),$AG$2:$AG$1001,0),1)&gt;=100000,INDEX($AN$1005:$BO$1005,1,MATCH(COLUMNS($AN$1006:BB1006),$AN$1006:$BO$1006,0))&gt;=100000), " ",IF(INDEX($AN$2:$BO$1001,MATCH(ROWS($AG$2:AG760),$AG$2:$AG$1001,0),MATCH(COLUMNS($AN$1006:BB1006),$AN$1006:$BO$1006,0)), HYPERLINK("#",""), HYPERLINK(CONCATENATE("#Metadata!", ADDRESS(INDEX($AI$2:$AI$1001,MATCH(ROWS($AG$2:AG760),$AG$2:$AG$1001,0),0), INDEX($AN$1004:$BO$1004,1,MATCH(COLUMNS($AN$1006:BB1006),$AN$1006:$BO$1006,0)))),"Fix")))</f>
        <v>0</v>
      </c>
      <c r="Q760" s="4">
        <f>IF(OR(INDEX($AH$2:$AH$1001,MATCH(ROWS($AG$2:AG760),$AG$2:$AG$1001,0),1)&gt;=100000,INDEX($AN$1005:$BO$1005,1,MATCH(COLUMNS($AN$1006:BC1006),$AN$1006:$BO$1006,0))&gt;=100000), " ",IF(INDEX($AN$2:$BO$1001,MATCH(ROWS($AG$2:AG760),$AG$2:$AG$1001,0),MATCH(COLUMNS($AN$1006:BC1006),$AN$1006:$BO$1006,0)), HYPERLINK("#",""), HYPERLINK(CONCATENATE("#Metadata!", ADDRESS(INDEX($AI$2:$AI$1001,MATCH(ROWS($AG$2:AG760),$AG$2:$AG$1001,0),0), INDEX($AN$1004:$BO$1004,1,MATCH(COLUMNS($AN$1006:BC1006),$AN$1006:$BO$1006,0)))),"Fix")))</f>
        <v>0</v>
      </c>
      <c r="R760" s="4">
        <f>IF(OR(INDEX($AH$2:$AH$1001,MATCH(ROWS($AG$2:AG760),$AG$2:$AG$1001,0),1)&gt;=100000,INDEX($AN$1005:$BO$1005,1,MATCH(COLUMNS($AN$1006:BD1006),$AN$1006:$BO$1006,0))&gt;=100000), " ",IF(INDEX($AN$2:$BO$1001,MATCH(ROWS($AG$2:AG760),$AG$2:$AG$1001,0),MATCH(COLUMNS($AN$1006:BD1006),$AN$1006:$BO$1006,0)), HYPERLINK("#",""), HYPERLINK(CONCATENATE("#Metadata!", ADDRESS(INDEX($AI$2:$AI$1001,MATCH(ROWS($AG$2:AG760),$AG$2:$AG$1001,0),0), INDEX($AN$1004:$BO$1004,1,MATCH(COLUMNS($AN$1006:BD1006),$AN$1006:$BO$1006,0)))),"Fix")))</f>
        <v>0</v>
      </c>
      <c r="S760" s="4">
        <f>IF(OR(INDEX($AH$2:$AH$1001,MATCH(ROWS($AG$2:AG760),$AG$2:$AG$1001,0),1)&gt;=100000,INDEX($AN$1005:$BO$1005,1,MATCH(COLUMNS($AN$1006:BE1006),$AN$1006:$BO$1006,0))&gt;=100000), " ",IF(INDEX($AN$2:$BO$1001,MATCH(ROWS($AG$2:AG760),$AG$2:$AG$1001,0),MATCH(COLUMNS($AN$1006:BE1006),$AN$1006:$BO$1006,0)), HYPERLINK("#",""), HYPERLINK(CONCATENATE("#Metadata!", ADDRESS(INDEX($AI$2:$AI$1001,MATCH(ROWS($AG$2:AG760),$AG$2:$AG$1001,0),0), INDEX($AN$1004:$BO$1004,1,MATCH(COLUMNS($AN$1006:BE1006),$AN$1006:$BO$1006,0)))),"Fix")))</f>
        <v>0</v>
      </c>
      <c r="T760" s="4">
        <f>IF(OR(INDEX($AH$2:$AH$1001,MATCH(ROWS($AG$2:AG760),$AG$2:$AG$1001,0),1)&gt;=100000,INDEX($AN$1005:$BO$1005,1,MATCH(COLUMNS($AN$1006:BF1006),$AN$1006:$BO$1006,0))&gt;=100000), " ",IF(INDEX($AN$2:$BO$1001,MATCH(ROWS($AG$2:AG760),$AG$2:$AG$1001,0),MATCH(COLUMNS($AN$1006:BF1006),$AN$1006:$BO$1006,0)), HYPERLINK("#",""), HYPERLINK(CONCATENATE("#Metadata!", ADDRESS(INDEX($AI$2:$AI$1001,MATCH(ROWS($AG$2:AG760),$AG$2:$AG$1001,0),0), INDEX($AN$1004:$BO$1004,1,MATCH(COLUMNS($AN$1006:BF1006),$AN$1006:$BO$1006,0)))),"Fix")))</f>
        <v>0</v>
      </c>
      <c r="U760" s="4">
        <f>IF(OR(INDEX($AH$2:$AH$1001,MATCH(ROWS($AG$2:AG760),$AG$2:$AG$1001,0),1)&gt;=100000,INDEX($AN$1005:$BO$1005,1,MATCH(COLUMNS($AN$1006:BG1006),$AN$1006:$BO$1006,0))&gt;=100000), " ",IF(INDEX($AN$2:$BO$1001,MATCH(ROWS($AG$2:AG760),$AG$2:$AG$1001,0),MATCH(COLUMNS($AN$1006:BG1006),$AN$1006:$BO$1006,0)), HYPERLINK("#",""), HYPERLINK(CONCATENATE("#Metadata!", ADDRESS(INDEX($AI$2:$AI$1001,MATCH(ROWS($AG$2:AG760),$AG$2:$AG$1001,0),0), INDEX($AN$1004:$BO$1004,1,MATCH(COLUMNS($AN$1006:BG1006),$AN$1006:$BO$1006,0)))),"Fix")))</f>
        <v>0</v>
      </c>
      <c r="V760" s="4">
        <f>IF(OR(INDEX($AH$2:$AH$1001,MATCH(ROWS($AG$2:AG760),$AG$2:$AG$1001,0),1)&gt;=100000,INDEX($AN$1005:$BO$1005,1,MATCH(COLUMNS($AN$1006:BH1006),$AN$1006:$BO$1006,0))&gt;=100000), " ",IF(INDEX($AN$2:$BO$1001,MATCH(ROWS($AG$2:AG760),$AG$2:$AG$1001,0),MATCH(COLUMNS($AN$1006:BH1006),$AN$1006:$BO$1006,0)), HYPERLINK("#",""), HYPERLINK(CONCATENATE("#Metadata!", ADDRESS(INDEX($AI$2:$AI$1001,MATCH(ROWS($AG$2:AG760),$AG$2:$AG$1001,0),0), INDEX($AN$1004:$BO$1004,1,MATCH(COLUMNS($AN$1006:BH1006),$AN$1006:$BO$1006,0)))),"Fix")))</f>
        <v>0</v>
      </c>
      <c r="W760" s="4">
        <f>IF(OR(INDEX($AH$2:$AH$1001,MATCH(ROWS($AG$2:AG760),$AG$2:$AG$1001,0),1)&gt;=100000,INDEX($AN$1005:$BO$1005,1,MATCH(COLUMNS($AN$1006:BI1006),$AN$1006:$BO$1006,0))&gt;=100000), " ",IF(INDEX($AN$2:$BO$1001,MATCH(ROWS($AG$2:AG760),$AG$2:$AG$1001,0),MATCH(COLUMNS($AN$1006:BI1006),$AN$1006:$BO$1006,0)), HYPERLINK("#",""), HYPERLINK(CONCATENATE("#Metadata!", ADDRESS(INDEX($AI$2:$AI$1001,MATCH(ROWS($AG$2:AG760),$AG$2:$AG$1001,0),0), INDEX($AN$1004:$BO$1004,1,MATCH(COLUMNS($AN$1006:BI1006),$AN$1006:$BO$1006,0)))),"Fix")))</f>
        <v>0</v>
      </c>
      <c r="X760" s="4">
        <f>IF(OR(INDEX($AH$2:$AH$1001,MATCH(ROWS($AG$2:AG760),$AG$2:$AG$1001,0),1)&gt;=100000,INDEX($AN$1005:$BO$1005,1,MATCH(COLUMNS($AN$1006:BJ1006),$AN$1006:$BO$1006,0))&gt;=100000), " ",IF(INDEX($AN$2:$BO$1001,MATCH(ROWS($AG$2:AG760),$AG$2:$AG$1001,0),MATCH(COLUMNS($AN$1006:BJ1006),$AN$1006:$BO$1006,0)), HYPERLINK("#",""), HYPERLINK(CONCATENATE("#Metadata!", ADDRESS(INDEX($AI$2:$AI$1001,MATCH(ROWS($AG$2:AG760),$AG$2:$AG$1001,0),0), INDEX($AN$1004:$BO$1004,1,MATCH(COLUMNS($AN$1006:BJ1006),$AN$1006:$BO$1006,0)))),"Fix")))</f>
        <v>0</v>
      </c>
      <c r="Y760" s="4">
        <f>IF(OR(INDEX($AH$2:$AH$1001,MATCH(ROWS($AG$2:AG760),$AG$2:$AG$1001,0),1)&gt;=100000,INDEX($AN$1005:$BO$1005,1,MATCH(COLUMNS($AN$1006:BK1006),$AN$1006:$BO$1006,0))&gt;=100000), " ",IF(INDEX($AN$2:$BO$1001,MATCH(ROWS($AG$2:AG760),$AG$2:$AG$1001,0),MATCH(COLUMNS($AN$1006:BK1006),$AN$1006:$BO$1006,0)), HYPERLINK("#",""), HYPERLINK(CONCATENATE("#Metadata!", ADDRESS(INDEX($AI$2:$AI$1001,MATCH(ROWS($AG$2:AG760),$AG$2:$AG$1001,0),0), INDEX($AN$1004:$BO$1004,1,MATCH(COLUMNS($AN$1006:BK1006),$AN$1006:$BO$1006,0)))),"Fix")))</f>
        <v>0</v>
      </c>
      <c r="Z760" s="4">
        <f>IF(OR(INDEX($AH$2:$AH$1001,MATCH(ROWS($AG$2:AG760),$AG$2:$AG$1001,0),1)&gt;=100000,INDEX($AN$1005:$BO$1005,1,MATCH(COLUMNS($AN$1006:BL1006),$AN$1006:$BO$1006,0))&gt;=100000), " ",IF(INDEX($AN$2:$BO$1001,MATCH(ROWS($AG$2:AG760),$AG$2:$AG$1001,0),MATCH(COLUMNS($AN$1006:BL1006),$AN$1006:$BO$1006,0)), HYPERLINK("#",""), HYPERLINK(CONCATENATE("#Metadata!", ADDRESS(INDEX($AI$2:$AI$1001,MATCH(ROWS($AG$2:AG760),$AG$2:$AG$1001,0),0), INDEX($AN$1004:$BO$1004,1,MATCH(COLUMNS($AN$1006:BL1006),$AN$1006:$BO$1006,0)))),"Fix")))</f>
        <v>0</v>
      </c>
      <c r="AA760" s="4">
        <f>IF(OR(INDEX($AH$2:$AH$1001,MATCH(ROWS($AG$2:AG760),$AG$2:$AG$1001,0),1)&gt;=100000,INDEX($AN$1005:$BO$1005,1,MATCH(COLUMNS($AN$1006:BM1006),$AN$1006:$BO$1006,0))&gt;=100000), " ",IF(INDEX($AN$2:$BO$1001,MATCH(ROWS($AG$2:AG760),$AG$2:$AG$1001,0),MATCH(COLUMNS($AN$1006:BM1006),$AN$1006:$BO$1006,0)), HYPERLINK("#",""), HYPERLINK(CONCATENATE("#Metadata!", ADDRESS(INDEX($AI$2:$AI$1001,MATCH(ROWS($AG$2:AG760),$AG$2:$AG$1001,0),0), INDEX($AN$1004:$BO$1004,1,MATCH(COLUMNS($AN$1006:BM1006),$AN$1006:$BO$1006,0)))),"Fix")))</f>
        <v>0</v>
      </c>
      <c r="AB760" s="4">
        <f>IF(OR(INDEX($AH$2:$AH$1001,MATCH(ROWS($AG$2:AG760),$AG$2:$AG$1001,0),1)&gt;=100000,INDEX($AN$1005:$BO$1005,1,MATCH(COLUMNS($AN$1006:BN1006),$AN$1006:$BO$1006,0))&gt;=100000), " ",IF(INDEX($AN$2:$BO$1001,MATCH(ROWS($AG$2:AG760),$AG$2:$AG$1001,0),MATCH(COLUMNS($AN$1006:BN1006),$AN$1006:$BO$1006,0)), HYPERLINK("#",""), HYPERLINK(CONCATENATE("#Metadata!", ADDRESS(INDEX($AI$2:$AI$1001,MATCH(ROWS($AG$2:AG760),$AG$2:$AG$1001,0),0), INDEX($AN$1004:$BO$1004,1,MATCH(COLUMNS($AN$1006:BN1006),$AN$1006:$BO$1006,0)))),"Fix")))</f>
        <v>0</v>
      </c>
      <c r="AC760" s="4">
        <f>IF(OR(INDEX($AH$2:$AH$1001,MATCH(ROWS($AG$2:AG760),$AG$2:$AG$1001,0),1)&gt;=100000,INDEX($AN$1005:$BO$1005,1,MATCH(COLUMNS($AN$1006:BO1006),$AN$1006:$BO$1006,0))&gt;=100000), " ",IF(INDEX($AN$2:$BO$1001,MATCH(ROWS($AG$2:AG760),$AG$2:$AG$1001,0),MATCH(COLUMNS($AN$1006:BO1006),$AN$1006:$BO$1006,0)), HYPERLINK("#",""), HYPERLINK(CONCATENATE("#Metadata!", ADDRESS(INDEX($AI$2:$AI$1001,MATCH(ROWS($AG$2:AG760),$AG$2:$AG$1001,0),0), INDEX($AN$1004:$BO$1004,1,MATCH(COLUMNS($AN$1006:BO1006),$AN$1006:$BO$1006,0)))),"Fix")))</f>
        <v>0</v>
      </c>
      <c r="AG760">
        <v>0</v>
      </c>
      <c r="AH760">
        <v>0</v>
      </c>
      <c r="AI760">
        <v>0</v>
      </c>
      <c r="AJ760">
        <f>IF(AK760,TRUE,AND(AN760:BO760))</f>
        <v>0</v>
      </c>
      <c r="AK760">
        <f>COUNTBLANK(Metadata!B760:AC760)=COLUMNS(Metadata!B760:AC760)</f>
        <v>0</v>
      </c>
      <c r="AL760">
        <v>0</v>
      </c>
      <c r="AN760">
        <f>AND(IF(Metadata!B760="",FALSE,TRUE),COUNTIF(Metadata!B:B, Metadata!B760) = 1,NOT(ISERROR(SUMPRODUCT(SEARCH(MID(Metadata!B760,ROW(INDIRECT("1:"&amp;LEN(Metadata!B760))), 1),"0123456789abcdefghijklmnopqrstuvwxyzABCDEFGHIJKLMNOPQRSTUVWXYZ.")))))</f>
        <v>0</v>
      </c>
      <c r="AO760">
        <f>IF(Metadata!C760="",FALSE,TRUE)</f>
        <v>0</v>
      </c>
      <c r="AP760">
        <f>IF(Metadata!D760="",FALSE,TRUE)</f>
        <v>0</v>
      </c>
      <c r="AQ760">
        <f>OR(AND(IF(Metadata!E760="",FALSE,TRUE),OR(exact(Metadata!E760,"not collected"),exact(Metadata!E760,"not provided"),exact(Metadata!E760,"restricted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R760">
        <f>IF(Metadata!F760="",FALSE,TRUE)</f>
        <v>0</v>
      </c>
      <c r="AS760">
        <f>OR(AND(IF(Metadata!G760="",FALSE,TRUE),OR(exact(Metadata!G760,"not collected"),exact(Metadata!G760,"not provided"))),AND(IF(Metadata!G760="",FALSE,TRUE),OR(exact(Metadata!G760,"TRUE"),exact(Metadata!G760,"FALSE"))))</f>
        <v>0</v>
      </c>
      <c r="AT760">
        <f>OR(AND(IF(Metadata!H760="",FALSE,TRUE),OR(exact(Metadata!H760,"not collected"),exact(Metadata!H760,"not provided"),exact(Metadata!H760,"restricted access"))),AND(IF(Metadata!H760="",FALSE,ISNUMBER(VALUE(Metadata!H760))),Metadata!H760&gt;=-413.0))</f>
        <v>0</v>
      </c>
      <c r="AU760">
        <f>AND(IF(Metadata!I760="",FALSE,TRUE),exact(Metadata!I760,"meters"))</f>
        <v>0</v>
      </c>
      <c r="AV760">
        <f>AND(IF(Metadata!J760="",FALSE,TRUE),OR(exact(Metadata!J760,"Host-associated"),exact(Metadata!J760,"Free-living")))</f>
        <v>0</v>
      </c>
      <c r="AW760">
        <f>AND(IF(Metadata!K760="",FALSE,TRUE),OR(exact(Metadata!K760,"Animal"),exact(Metadata!K760,"Fungus"),exact(Metadata!K760,"Plant"),exact(Metadata!K760,"Saline"),exact(Metadata!K760,"Non-saline")))</f>
        <v>0</v>
      </c>
      <c r="AX760">
        <f>AND(IF(Metadata!L760="",FALSE,TRUE),OR(exact(Metadata!L760,"Plant secretion"),exact(Metadata!L760,"Plant rhizosphere"),exact(Metadata!L760,"Plant surface"),exact(Metadata!L760,"Plant corpus"),exact(Metadata!L760,"Fungus surface"),exact(Metadata!L760,"Fungus corpus"),exact(Metadata!L760,"Animal surface"),exact(Metadata!L760,"Animal proximal gut"),exact(Metadata!L760,"Animal corpus"),exact(Metadata!L760,"Animal distal gut"),exact(Metadata!L760,"Animal secretion"),exact(Metadata!L760,"Sub-surface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Y760">
        <f>IF(Metadata!M760="",FALSE,TRUE)</f>
        <v>0</v>
      </c>
      <c r="AZ760">
        <f>IF(Metadata!N760="",FALSE,TRUE)</f>
        <v>0</v>
      </c>
      <c r="BA760">
        <f>IF(Metadata!O760="",FALSE,TRUE)</f>
        <v>0</v>
      </c>
      <c r="BB760">
        <f>OR(AND(IF(Metadata!P760="",FALSE,TRUE),OR(exact(Metadata!P760,"not collected"),exact(Metadata!P760,"not provided"),exact(Metadata!P760,"restricted access"))),AND(IF(Metadata!P760="",FALSE,TRUE),OR(exact(Metadata!P760,"air"),exact(Metadata!P760,"built environment"),exact(Metadata!P760,"host-associated"),exact(Metadata!P760,"human-associated"),exact(Metadata!P760,"human-skin"),exact(Metadata!P760,"human-oral"),exact(Metadata!P760,"human-gut"),exact(Metadata!P760,"human-vaginal"),exact(Metadata!P760,"microbial mat/biofilm"),exact(Metadata!P760,"misc environment"),exact(Metadata!P760,"plant-associated"),exact(Metadata!P760,"sediment"),exact(Metadata!P760,"soil"),exact(Metadata!P760,"wastewater/sludge"),exact(Metadata!P760,"water"))))</f>
        <v>0</v>
      </c>
      <c r="BC760">
        <f>IF(Metadata!Q760="",FALSE,TRUE)</f>
        <v>0</v>
      </c>
      <c r="BD760">
        <f>IF(Metadata!R760="",FALSE,TRUE)</f>
        <v>0</v>
      </c>
      <c r="BE760">
        <f>OR(AND(IF(Metadata!S760="",FALSE,TRUE),OR(exact(Metadata!S760,"not collected"),exact(Metadata!S760,"not provided"),exact(Metadata!S760,"restricted access"))),AND(IF(Metadata!S760="",FALSE,ISNUMBER(VALUE(Metadata!S760))),Metadata!S760&gt;=-90.00,Metadata!S760&lt;=90.00))</f>
        <v>0</v>
      </c>
      <c r="BF760">
        <f>AND(IF(Metadata!T760="",FALSE,TRUE),exact(Metadata!T760,"Decimal degrees"))</f>
        <v>0</v>
      </c>
      <c r="BG760">
        <f>OR(AND(IF(Metadata!U760="",FALSE,TRUE),OR(exact(Metadata!U760,"not collected"),exact(Metadata!U760,"not provided"),exact(Metadata!U760,"restricted access"))),AND(IF(Metadata!U760="",FALSE,ISNUMBER(VALUE(Metadata!U760))),Metadata!U760&gt;=-180.00,Metadata!U760&lt;=180.00))</f>
        <v>0</v>
      </c>
      <c r="BH760">
        <f>AND(IF(Metadata!V760="",FALSE,TRUE),exact(Metadata!V760,"Decimal degrees"))</f>
        <v>0</v>
      </c>
      <c r="BI760">
        <f>IF(Metadata!W760="",FALSE,TRUE)</f>
        <v>0</v>
      </c>
      <c r="BJ760">
        <f>OR(AND(IF(Metadata!X760="",FALSE,TRUE),OR(exact(Metadata!X760,"not collected"),exact(Metadata!X760,"not provided"),exact(Metadata!X760,"restricted access"))),AND(IF(Metadata!X760="",FALSE,TRUE),OR(exact(Metadata!X760,"TRUE"),exact(Metadata!X760,"FALSE"))))</f>
        <v>0</v>
      </c>
      <c r="BK760">
        <f>AND(IF(Metadata!Y760="",FALSE,TRUE),exact(Metadata!Y760,"other"))</f>
        <v>0</v>
      </c>
      <c r="BL760">
        <f>IF(Metadata!Z760="",FALSE,TRUE)</f>
        <v>0</v>
      </c>
      <c r="BM760">
        <f>OR(AND(IF(Metadata!AA760="",FALSE,TRUE),OR(exact(Metadata!AA760,"not collected"),exact(Metadata!AA760,"not provided"))),AND(IF(Metadata!AA760="",FALSE,IF(ISERROR(INT(Metadata!AA760)),FALSE,INT(Metadata!AA760)=Metadata!AA760)),Metadata!AA760&gt;0))</f>
        <v>0</v>
      </c>
      <c r="BN760">
        <f>AND(IF(Metadata!AB760="",FALSE,TRUE),exact(Metadata!AB760,"Not applicable"))</f>
        <v>0</v>
      </c>
      <c r="BO760">
        <f>IF(Metadata!AC760="",FALSE,TRUE)</f>
        <v>0</v>
      </c>
    </row>
    <row r="761" spans="1:67">
      <c r="A761" s="5">
        <f>IF(B761=" "," ",HYPERLINK(CONCATENATE("#metadata!",ADDRESS(INDEX($AI$2:$AI$1001,MATCH(ROWS($AG$2:AG761),$AG$2:$AG$1001,0),0),1)),INDEX($AL$2:$AL$1001,MATCH(ROWS($AG$2:AG761),$AG$2:$AG$1001,0),0)))</f>
        <v>0</v>
      </c>
      <c r="B761" s="4">
        <f>IF(OR(INDEX($AH$2:$AH$1001,MATCH(ROWS($AG$2:AG761),$AG$2:$AG$1001,0),1)&gt;=100000,INDEX($AN$1005:$BO$1005,1,MATCH(COLUMNS($AN$1006:AN1006),$AN$1006:$BO$1006,0))&gt;=100000), " ",IF(INDEX($AN$2:$BO$1001,MATCH(ROWS($AG$2:AG761),$AG$2:$AG$1001,0),MATCH(COLUMNS($AN$1006:AN1006),$AN$1006:$BO$1006,0)), HYPERLINK("#",""), HYPERLINK(CONCATENATE("#Metadata!", ADDRESS(INDEX($AI$2:$AI$1001,MATCH(ROWS($AG$2:AG761),$AG$2:$AG$1001,0),0), INDEX($AN$1004:$BO$1004,1,MATCH(COLUMNS($AN$1006:AN1006),$AN$1006:$BO$1006,0)))),"Fix")))</f>
        <v>0</v>
      </c>
      <c r="C761" s="4">
        <f>IF(OR(INDEX($AH$2:$AH$1001,MATCH(ROWS($AG$2:AG761),$AG$2:$AG$1001,0),1)&gt;=100000,INDEX($AN$1005:$BO$1005,1,MATCH(COLUMNS($AN$1006:AO1006),$AN$1006:$BO$1006,0))&gt;=100000), " ",IF(INDEX($AN$2:$BO$1001,MATCH(ROWS($AG$2:AG761),$AG$2:$AG$1001,0),MATCH(COLUMNS($AN$1006:AO1006),$AN$1006:$BO$1006,0)), HYPERLINK("#",""), HYPERLINK(CONCATENATE("#Metadata!", ADDRESS(INDEX($AI$2:$AI$1001,MATCH(ROWS($AG$2:AG761),$AG$2:$AG$1001,0),0), INDEX($AN$1004:$BO$1004,1,MATCH(COLUMNS($AN$1006:AO1006),$AN$1006:$BO$1006,0)))),"Fix")))</f>
        <v>0</v>
      </c>
      <c r="D761" s="4">
        <f>IF(OR(INDEX($AH$2:$AH$1001,MATCH(ROWS($AG$2:AG761),$AG$2:$AG$1001,0),1)&gt;=100000,INDEX($AN$1005:$BO$1005,1,MATCH(COLUMNS($AN$1006:AP1006),$AN$1006:$BO$1006,0))&gt;=100000), " ",IF(INDEX($AN$2:$BO$1001,MATCH(ROWS($AG$2:AG761),$AG$2:$AG$1001,0),MATCH(COLUMNS($AN$1006:AP1006),$AN$1006:$BO$1006,0)), HYPERLINK("#",""), HYPERLINK(CONCATENATE("#Metadata!", ADDRESS(INDEX($AI$2:$AI$1001,MATCH(ROWS($AG$2:AG761),$AG$2:$AG$1001,0),0), INDEX($AN$1004:$BO$1004,1,MATCH(COLUMNS($AN$1006:AP1006),$AN$1006:$BO$1006,0)))),"Fix")))</f>
        <v>0</v>
      </c>
      <c r="E761" s="4">
        <f>IF(OR(INDEX($AH$2:$AH$1001,MATCH(ROWS($AG$2:AG761),$AG$2:$AG$1001,0),1)&gt;=100000,INDEX($AN$1005:$BO$1005,1,MATCH(COLUMNS($AN$1006:AQ1006),$AN$1006:$BO$1006,0))&gt;=100000), " ",IF(INDEX($AN$2:$BO$1001,MATCH(ROWS($AG$2:AG761),$AG$2:$AG$1001,0),MATCH(COLUMNS($AN$1006:AQ1006),$AN$1006:$BO$1006,0)), HYPERLINK("#",""), HYPERLINK(CONCATENATE("#Metadata!", ADDRESS(INDEX($AI$2:$AI$1001,MATCH(ROWS($AG$2:AG761),$AG$2:$AG$1001,0),0), INDEX($AN$1004:$BO$1004,1,MATCH(COLUMNS($AN$1006:AQ1006),$AN$1006:$BO$1006,0)))),"Fix")))</f>
        <v>0</v>
      </c>
      <c r="F761" s="4">
        <f>IF(OR(INDEX($AH$2:$AH$1001,MATCH(ROWS($AG$2:AG761),$AG$2:$AG$1001,0),1)&gt;=100000,INDEX($AN$1005:$BO$1005,1,MATCH(COLUMNS($AN$1006:AR1006),$AN$1006:$BO$1006,0))&gt;=100000), " ",IF(INDEX($AN$2:$BO$1001,MATCH(ROWS($AG$2:AG761),$AG$2:$AG$1001,0),MATCH(COLUMNS($AN$1006:AR1006),$AN$1006:$BO$1006,0)), HYPERLINK("#",""), HYPERLINK(CONCATENATE("#Metadata!", ADDRESS(INDEX($AI$2:$AI$1001,MATCH(ROWS($AG$2:AG761),$AG$2:$AG$1001,0),0), INDEX($AN$1004:$BO$1004,1,MATCH(COLUMNS($AN$1006:AR1006),$AN$1006:$BO$1006,0)))),"Fix")))</f>
        <v>0</v>
      </c>
      <c r="G761" s="4">
        <f>IF(OR(INDEX($AH$2:$AH$1001,MATCH(ROWS($AG$2:AG761),$AG$2:$AG$1001,0),1)&gt;=100000,INDEX($AN$1005:$BO$1005,1,MATCH(COLUMNS($AN$1006:AS1006),$AN$1006:$BO$1006,0))&gt;=100000), " ",IF(INDEX($AN$2:$BO$1001,MATCH(ROWS($AG$2:AG761),$AG$2:$AG$1001,0),MATCH(COLUMNS($AN$1006:AS1006),$AN$1006:$BO$1006,0)), HYPERLINK("#",""), HYPERLINK(CONCATENATE("#Metadata!", ADDRESS(INDEX($AI$2:$AI$1001,MATCH(ROWS($AG$2:AG761),$AG$2:$AG$1001,0),0), INDEX($AN$1004:$BO$1004,1,MATCH(COLUMNS($AN$1006:AS1006),$AN$1006:$BO$1006,0)))),"Fix")))</f>
        <v>0</v>
      </c>
      <c r="H761" s="4">
        <f>IF(OR(INDEX($AH$2:$AH$1001,MATCH(ROWS($AG$2:AG761),$AG$2:$AG$1001,0),1)&gt;=100000,INDEX($AN$1005:$BO$1005,1,MATCH(COLUMNS($AN$1006:AT1006),$AN$1006:$BO$1006,0))&gt;=100000), " ",IF(INDEX($AN$2:$BO$1001,MATCH(ROWS($AG$2:AG761),$AG$2:$AG$1001,0),MATCH(COLUMNS($AN$1006:AT1006),$AN$1006:$BO$1006,0)), HYPERLINK("#",""), HYPERLINK(CONCATENATE("#Metadata!", ADDRESS(INDEX($AI$2:$AI$1001,MATCH(ROWS($AG$2:AG761),$AG$2:$AG$1001,0),0), INDEX($AN$1004:$BO$1004,1,MATCH(COLUMNS($AN$1006:AT1006),$AN$1006:$BO$1006,0)))),"Fix")))</f>
        <v>0</v>
      </c>
      <c r="I761" s="4">
        <f>IF(OR(INDEX($AH$2:$AH$1001,MATCH(ROWS($AG$2:AG761),$AG$2:$AG$1001,0),1)&gt;=100000,INDEX($AN$1005:$BO$1005,1,MATCH(COLUMNS($AN$1006:AU1006),$AN$1006:$BO$1006,0))&gt;=100000), " ",IF(INDEX($AN$2:$BO$1001,MATCH(ROWS($AG$2:AG761),$AG$2:$AG$1001,0),MATCH(COLUMNS($AN$1006:AU1006),$AN$1006:$BO$1006,0)), HYPERLINK("#",""), HYPERLINK(CONCATENATE("#Metadata!", ADDRESS(INDEX($AI$2:$AI$1001,MATCH(ROWS($AG$2:AG761),$AG$2:$AG$1001,0),0), INDEX($AN$1004:$BO$1004,1,MATCH(COLUMNS($AN$1006:AU1006),$AN$1006:$BO$1006,0)))),"Fix")))</f>
        <v>0</v>
      </c>
      <c r="J761" s="4">
        <f>IF(OR(INDEX($AH$2:$AH$1001,MATCH(ROWS($AG$2:AG761),$AG$2:$AG$1001,0),1)&gt;=100000,INDEX($AN$1005:$BO$1005,1,MATCH(COLUMNS($AN$1006:AV1006),$AN$1006:$BO$1006,0))&gt;=100000), " ",IF(INDEX($AN$2:$BO$1001,MATCH(ROWS($AG$2:AG761),$AG$2:$AG$1001,0),MATCH(COLUMNS($AN$1006:AV1006),$AN$1006:$BO$1006,0)), HYPERLINK("#",""), HYPERLINK(CONCATENATE("#Metadata!", ADDRESS(INDEX($AI$2:$AI$1001,MATCH(ROWS($AG$2:AG761),$AG$2:$AG$1001,0),0), INDEX($AN$1004:$BO$1004,1,MATCH(COLUMNS($AN$1006:AV1006),$AN$1006:$BO$1006,0)))),"Fix")))</f>
        <v>0</v>
      </c>
      <c r="K761" s="4">
        <f>IF(OR(INDEX($AH$2:$AH$1001,MATCH(ROWS($AG$2:AG761),$AG$2:$AG$1001,0),1)&gt;=100000,INDEX($AN$1005:$BO$1005,1,MATCH(COLUMNS($AN$1006:AW1006),$AN$1006:$BO$1006,0))&gt;=100000), " ",IF(INDEX($AN$2:$BO$1001,MATCH(ROWS($AG$2:AG761),$AG$2:$AG$1001,0),MATCH(COLUMNS($AN$1006:AW1006),$AN$1006:$BO$1006,0)), HYPERLINK("#",""), HYPERLINK(CONCATENATE("#Metadata!", ADDRESS(INDEX($AI$2:$AI$1001,MATCH(ROWS($AG$2:AG761),$AG$2:$AG$1001,0),0), INDEX($AN$1004:$BO$1004,1,MATCH(COLUMNS($AN$1006:AW1006),$AN$1006:$BO$1006,0)))),"Fix")))</f>
        <v>0</v>
      </c>
      <c r="L761" s="4">
        <f>IF(OR(INDEX($AH$2:$AH$1001,MATCH(ROWS($AG$2:AG761),$AG$2:$AG$1001,0),1)&gt;=100000,INDEX($AN$1005:$BO$1005,1,MATCH(COLUMNS($AN$1006:AX1006),$AN$1006:$BO$1006,0))&gt;=100000), " ",IF(INDEX($AN$2:$BO$1001,MATCH(ROWS($AG$2:AG761),$AG$2:$AG$1001,0),MATCH(COLUMNS($AN$1006:AX1006),$AN$1006:$BO$1006,0)), HYPERLINK("#",""), HYPERLINK(CONCATENATE("#Metadata!", ADDRESS(INDEX($AI$2:$AI$1001,MATCH(ROWS($AG$2:AG761),$AG$2:$AG$1001,0),0), INDEX($AN$1004:$BO$1004,1,MATCH(COLUMNS($AN$1006:AX1006),$AN$1006:$BO$1006,0)))),"Fix")))</f>
        <v>0</v>
      </c>
      <c r="M761" s="4">
        <f>IF(OR(INDEX($AH$2:$AH$1001,MATCH(ROWS($AG$2:AG761),$AG$2:$AG$1001,0),1)&gt;=100000,INDEX($AN$1005:$BO$1005,1,MATCH(COLUMNS($AN$1006:AY1006),$AN$1006:$BO$1006,0))&gt;=100000), " ",IF(INDEX($AN$2:$BO$1001,MATCH(ROWS($AG$2:AG761),$AG$2:$AG$1001,0),MATCH(COLUMNS($AN$1006:AY1006),$AN$1006:$BO$1006,0)), HYPERLINK("#",""), HYPERLINK(CONCATENATE("#Metadata!", ADDRESS(INDEX($AI$2:$AI$1001,MATCH(ROWS($AG$2:AG761),$AG$2:$AG$1001,0),0), INDEX($AN$1004:$BO$1004,1,MATCH(COLUMNS($AN$1006:AY1006),$AN$1006:$BO$1006,0)))),"Fix")))</f>
        <v>0</v>
      </c>
      <c r="N761" s="4">
        <f>IF(OR(INDEX($AH$2:$AH$1001,MATCH(ROWS($AG$2:AG761),$AG$2:$AG$1001,0),1)&gt;=100000,INDEX($AN$1005:$BO$1005,1,MATCH(COLUMNS($AN$1006:AZ1006),$AN$1006:$BO$1006,0))&gt;=100000), " ",IF(INDEX($AN$2:$BO$1001,MATCH(ROWS($AG$2:AG761),$AG$2:$AG$1001,0),MATCH(COLUMNS($AN$1006:AZ1006),$AN$1006:$BO$1006,0)), HYPERLINK("#",""), HYPERLINK(CONCATENATE("#Metadata!", ADDRESS(INDEX($AI$2:$AI$1001,MATCH(ROWS($AG$2:AG761),$AG$2:$AG$1001,0),0), INDEX($AN$1004:$BO$1004,1,MATCH(COLUMNS($AN$1006:AZ1006),$AN$1006:$BO$1006,0)))),"Fix")))</f>
        <v>0</v>
      </c>
      <c r="O761" s="4">
        <f>IF(OR(INDEX($AH$2:$AH$1001,MATCH(ROWS($AG$2:AG761),$AG$2:$AG$1001,0),1)&gt;=100000,INDEX($AN$1005:$BO$1005,1,MATCH(COLUMNS($AN$1006:BA1006),$AN$1006:$BO$1006,0))&gt;=100000), " ",IF(INDEX($AN$2:$BO$1001,MATCH(ROWS($AG$2:AG761),$AG$2:$AG$1001,0),MATCH(COLUMNS($AN$1006:BA1006),$AN$1006:$BO$1006,0)), HYPERLINK("#",""), HYPERLINK(CONCATENATE("#Metadata!", ADDRESS(INDEX($AI$2:$AI$1001,MATCH(ROWS($AG$2:AG761),$AG$2:$AG$1001,0),0), INDEX($AN$1004:$BO$1004,1,MATCH(COLUMNS($AN$1006:BA1006),$AN$1006:$BO$1006,0)))),"Fix")))</f>
        <v>0</v>
      </c>
      <c r="P761" s="4">
        <f>IF(OR(INDEX($AH$2:$AH$1001,MATCH(ROWS($AG$2:AG761),$AG$2:$AG$1001,0),1)&gt;=100000,INDEX($AN$1005:$BO$1005,1,MATCH(COLUMNS($AN$1006:BB1006),$AN$1006:$BO$1006,0))&gt;=100000), " ",IF(INDEX($AN$2:$BO$1001,MATCH(ROWS($AG$2:AG761),$AG$2:$AG$1001,0),MATCH(COLUMNS($AN$1006:BB1006),$AN$1006:$BO$1006,0)), HYPERLINK("#",""), HYPERLINK(CONCATENATE("#Metadata!", ADDRESS(INDEX($AI$2:$AI$1001,MATCH(ROWS($AG$2:AG761),$AG$2:$AG$1001,0),0), INDEX($AN$1004:$BO$1004,1,MATCH(COLUMNS($AN$1006:BB1006),$AN$1006:$BO$1006,0)))),"Fix")))</f>
        <v>0</v>
      </c>
      <c r="Q761" s="4">
        <f>IF(OR(INDEX($AH$2:$AH$1001,MATCH(ROWS($AG$2:AG761),$AG$2:$AG$1001,0),1)&gt;=100000,INDEX($AN$1005:$BO$1005,1,MATCH(COLUMNS($AN$1006:BC1006),$AN$1006:$BO$1006,0))&gt;=100000), " ",IF(INDEX($AN$2:$BO$1001,MATCH(ROWS($AG$2:AG761),$AG$2:$AG$1001,0),MATCH(COLUMNS($AN$1006:BC1006),$AN$1006:$BO$1006,0)), HYPERLINK("#",""), HYPERLINK(CONCATENATE("#Metadata!", ADDRESS(INDEX($AI$2:$AI$1001,MATCH(ROWS($AG$2:AG761),$AG$2:$AG$1001,0),0), INDEX($AN$1004:$BO$1004,1,MATCH(COLUMNS($AN$1006:BC1006),$AN$1006:$BO$1006,0)))),"Fix")))</f>
        <v>0</v>
      </c>
      <c r="R761" s="4">
        <f>IF(OR(INDEX($AH$2:$AH$1001,MATCH(ROWS($AG$2:AG761),$AG$2:$AG$1001,0),1)&gt;=100000,INDEX($AN$1005:$BO$1005,1,MATCH(COLUMNS($AN$1006:BD1006),$AN$1006:$BO$1006,0))&gt;=100000), " ",IF(INDEX($AN$2:$BO$1001,MATCH(ROWS($AG$2:AG761),$AG$2:$AG$1001,0),MATCH(COLUMNS($AN$1006:BD1006),$AN$1006:$BO$1006,0)), HYPERLINK("#",""), HYPERLINK(CONCATENATE("#Metadata!", ADDRESS(INDEX($AI$2:$AI$1001,MATCH(ROWS($AG$2:AG761),$AG$2:$AG$1001,0),0), INDEX($AN$1004:$BO$1004,1,MATCH(COLUMNS($AN$1006:BD1006),$AN$1006:$BO$1006,0)))),"Fix")))</f>
        <v>0</v>
      </c>
      <c r="S761" s="4">
        <f>IF(OR(INDEX($AH$2:$AH$1001,MATCH(ROWS($AG$2:AG761),$AG$2:$AG$1001,0),1)&gt;=100000,INDEX($AN$1005:$BO$1005,1,MATCH(COLUMNS($AN$1006:BE1006),$AN$1006:$BO$1006,0))&gt;=100000), " ",IF(INDEX($AN$2:$BO$1001,MATCH(ROWS($AG$2:AG761),$AG$2:$AG$1001,0),MATCH(COLUMNS($AN$1006:BE1006),$AN$1006:$BO$1006,0)), HYPERLINK("#",""), HYPERLINK(CONCATENATE("#Metadata!", ADDRESS(INDEX($AI$2:$AI$1001,MATCH(ROWS($AG$2:AG761),$AG$2:$AG$1001,0),0), INDEX($AN$1004:$BO$1004,1,MATCH(COLUMNS($AN$1006:BE1006),$AN$1006:$BO$1006,0)))),"Fix")))</f>
        <v>0</v>
      </c>
      <c r="T761" s="4">
        <f>IF(OR(INDEX($AH$2:$AH$1001,MATCH(ROWS($AG$2:AG761),$AG$2:$AG$1001,0),1)&gt;=100000,INDEX($AN$1005:$BO$1005,1,MATCH(COLUMNS($AN$1006:BF1006),$AN$1006:$BO$1006,0))&gt;=100000), " ",IF(INDEX($AN$2:$BO$1001,MATCH(ROWS($AG$2:AG761),$AG$2:$AG$1001,0),MATCH(COLUMNS($AN$1006:BF1006),$AN$1006:$BO$1006,0)), HYPERLINK("#",""), HYPERLINK(CONCATENATE("#Metadata!", ADDRESS(INDEX($AI$2:$AI$1001,MATCH(ROWS($AG$2:AG761),$AG$2:$AG$1001,0),0), INDEX($AN$1004:$BO$1004,1,MATCH(COLUMNS($AN$1006:BF1006),$AN$1006:$BO$1006,0)))),"Fix")))</f>
        <v>0</v>
      </c>
      <c r="U761" s="4">
        <f>IF(OR(INDEX($AH$2:$AH$1001,MATCH(ROWS($AG$2:AG761),$AG$2:$AG$1001,0),1)&gt;=100000,INDEX($AN$1005:$BO$1005,1,MATCH(COLUMNS($AN$1006:BG1006),$AN$1006:$BO$1006,0))&gt;=100000), " ",IF(INDEX($AN$2:$BO$1001,MATCH(ROWS($AG$2:AG761),$AG$2:$AG$1001,0),MATCH(COLUMNS($AN$1006:BG1006),$AN$1006:$BO$1006,0)), HYPERLINK("#",""), HYPERLINK(CONCATENATE("#Metadata!", ADDRESS(INDEX($AI$2:$AI$1001,MATCH(ROWS($AG$2:AG761),$AG$2:$AG$1001,0),0), INDEX($AN$1004:$BO$1004,1,MATCH(COLUMNS($AN$1006:BG1006),$AN$1006:$BO$1006,0)))),"Fix")))</f>
        <v>0</v>
      </c>
      <c r="V761" s="4">
        <f>IF(OR(INDEX($AH$2:$AH$1001,MATCH(ROWS($AG$2:AG761),$AG$2:$AG$1001,0),1)&gt;=100000,INDEX($AN$1005:$BO$1005,1,MATCH(COLUMNS($AN$1006:BH1006),$AN$1006:$BO$1006,0))&gt;=100000), " ",IF(INDEX($AN$2:$BO$1001,MATCH(ROWS($AG$2:AG761),$AG$2:$AG$1001,0),MATCH(COLUMNS($AN$1006:BH1006),$AN$1006:$BO$1006,0)), HYPERLINK("#",""), HYPERLINK(CONCATENATE("#Metadata!", ADDRESS(INDEX($AI$2:$AI$1001,MATCH(ROWS($AG$2:AG761),$AG$2:$AG$1001,0),0), INDEX($AN$1004:$BO$1004,1,MATCH(COLUMNS($AN$1006:BH1006),$AN$1006:$BO$1006,0)))),"Fix")))</f>
        <v>0</v>
      </c>
      <c r="W761" s="4">
        <f>IF(OR(INDEX($AH$2:$AH$1001,MATCH(ROWS($AG$2:AG761),$AG$2:$AG$1001,0),1)&gt;=100000,INDEX($AN$1005:$BO$1005,1,MATCH(COLUMNS($AN$1006:BI1006),$AN$1006:$BO$1006,0))&gt;=100000), " ",IF(INDEX($AN$2:$BO$1001,MATCH(ROWS($AG$2:AG761),$AG$2:$AG$1001,0),MATCH(COLUMNS($AN$1006:BI1006),$AN$1006:$BO$1006,0)), HYPERLINK("#",""), HYPERLINK(CONCATENATE("#Metadata!", ADDRESS(INDEX($AI$2:$AI$1001,MATCH(ROWS($AG$2:AG761),$AG$2:$AG$1001,0),0), INDEX($AN$1004:$BO$1004,1,MATCH(COLUMNS($AN$1006:BI1006),$AN$1006:$BO$1006,0)))),"Fix")))</f>
        <v>0</v>
      </c>
      <c r="X761" s="4">
        <f>IF(OR(INDEX($AH$2:$AH$1001,MATCH(ROWS($AG$2:AG761),$AG$2:$AG$1001,0),1)&gt;=100000,INDEX($AN$1005:$BO$1005,1,MATCH(COLUMNS($AN$1006:BJ1006),$AN$1006:$BO$1006,0))&gt;=100000), " ",IF(INDEX($AN$2:$BO$1001,MATCH(ROWS($AG$2:AG761),$AG$2:$AG$1001,0),MATCH(COLUMNS($AN$1006:BJ1006),$AN$1006:$BO$1006,0)), HYPERLINK("#",""), HYPERLINK(CONCATENATE("#Metadata!", ADDRESS(INDEX($AI$2:$AI$1001,MATCH(ROWS($AG$2:AG761),$AG$2:$AG$1001,0),0), INDEX($AN$1004:$BO$1004,1,MATCH(COLUMNS($AN$1006:BJ1006),$AN$1006:$BO$1006,0)))),"Fix")))</f>
        <v>0</v>
      </c>
      <c r="Y761" s="4">
        <f>IF(OR(INDEX($AH$2:$AH$1001,MATCH(ROWS($AG$2:AG761),$AG$2:$AG$1001,0),1)&gt;=100000,INDEX($AN$1005:$BO$1005,1,MATCH(COLUMNS($AN$1006:BK1006),$AN$1006:$BO$1006,0))&gt;=100000), " ",IF(INDEX($AN$2:$BO$1001,MATCH(ROWS($AG$2:AG761),$AG$2:$AG$1001,0),MATCH(COLUMNS($AN$1006:BK1006),$AN$1006:$BO$1006,0)), HYPERLINK("#",""), HYPERLINK(CONCATENATE("#Metadata!", ADDRESS(INDEX($AI$2:$AI$1001,MATCH(ROWS($AG$2:AG761),$AG$2:$AG$1001,0),0), INDEX($AN$1004:$BO$1004,1,MATCH(COLUMNS($AN$1006:BK1006),$AN$1006:$BO$1006,0)))),"Fix")))</f>
        <v>0</v>
      </c>
      <c r="Z761" s="4">
        <f>IF(OR(INDEX($AH$2:$AH$1001,MATCH(ROWS($AG$2:AG761),$AG$2:$AG$1001,0),1)&gt;=100000,INDEX($AN$1005:$BO$1005,1,MATCH(COLUMNS($AN$1006:BL1006),$AN$1006:$BO$1006,0))&gt;=100000), " ",IF(INDEX($AN$2:$BO$1001,MATCH(ROWS($AG$2:AG761),$AG$2:$AG$1001,0),MATCH(COLUMNS($AN$1006:BL1006),$AN$1006:$BO$1006,0)), HYPERLINK("#",""), HYPERLINK(CONCATENATE("#Metadata!", ADDRESS(INDEX($AI$2:$AI$1001,MATCH(ROWS($AG$2:AG761),$AG$2:$AG$1001,0),0), INDEX($AN$1004:$BO$1004,1,MATCH(COLUMNS($AN$1006:BL1006),$AN$1006:$BO$1006,0)))),"Fix")))</f>
        <v>0</v>
      </c>
      <c r="AA761" s="4">
        <f>IF(OR(INDEX($AH$2:$AH$1001,MATCH(ROWS($AG$2:AG761),$AG$2:$AG$1001,0),1)&gt;=100000,INDEX($AN$1005:$BO$1005,1,MATCH(COLUMNS($AN$1006:BM1006),$AN$1006:$BO$1006,0))&gt;=100000), " ",IF(INDEX($AN$2:$BO$1001,MATCH(ROWS($AG$2:AG761),$AG$2:$AG$1001,0),MATCH(COLUMNS($AN$1006:BM1006),$AN$1006:$BO$1006,0)), HYPERLINK("#",""), HYPERLINK(CONCATENATE("#Metadata!", ADDRESS(INDEX($AI$2:$AI$1001,MATCH(ROWS($AG$2:AG761),$AG$2:$AG$1001,0),0), INDEX($AN$1004:$BO$1004,1,MATCH(COLUMNS($AN$1006:BM1006),$AN$1006:$BO$1006,0)))),"Fix")))</f>
        <v>0</v>
      </c>
      <c r="AB761" s="4">
        <f>IF(OR(INDEX($AH$2:$AH$1001,MATCH(ROWS($AG$2:AG761),$AG$2:$AG$1001,0),1)&gt;=100000,INDEX($AN$1005:$BO$1005,1,MATCH(COLUMNS($AN$1006:BN1006),$AN$1006:$BO$1006,0))&gt;=100000), " ",IF(INDEX($AN$2:$BO$1001,MATCH(ROWS($AG$2:AG761),$AG$2:$AG$1001,0),MATCH(COLUMNS($AN$1006:BN1006),$AN$1006:$BO$1006,0)), HYPERLINK("#",""), HYPERLINK(CONCATENATE("#Metadata!", ADDRESS(INDEX($AI$2:$AI$1001,MATCH(ROWS($AG$2:AG761),$AG$2:$AG$1001,0),0), INDEX($AN$1004:$BO$1004,1,MATCH(COLUMNS($AN$1006:BN1006),$AN$1006:$BO$1006,0)))),"Fix")))</f>
        <v>0</v>
      </c>
      <c r="AC761" s="4">
        <f>IF(OR(INDEX($AH$2:$AH$1001,MATCH(ROWS($AG$2:AG761),$AG$2:$AG$1001,0),1)&gt;=100000,INDEX($AN$1005:$BO$1005,1,MATCH(COLUMNS($AN$1006:BO1006),$AN$1006:$BO$1006,0))&gt;=100000), " ",IF(INDEX($AN$2:$BO$1001,MATCH(ROWS($AG$2:AG761),$AG$2:$AG$1001,0),MATCH(COLUMNS($AN$1006:BO1006),$AN$1006:$BO$1006,0)), HYPERLINK("#",""), HYPERLINK(CONCATENATE("#Metadata!", ADDRESS(INDEX($AI$2:$AI$1001,MATCH(ROWS($AG$2:AG761),$AG$2:$AG$1001,0),0), INDEX($AN$1004:$BO$1004,1,MATCH(COLUMNS($AN$1006:BO1006),$AN$1006:$BO$1006,0)))),"Fix")))</f>
        <v>0</v>
      </c>
      <c r="AG761">
        <v>0</v>
      </c>
      <c r="AH761">
        <v>0</v>
      </c>
      <c r="AI761">
        <v>0</v>
      </c>
      <c r="AJ761">
        <f>IF(AK761,TRUE,AND(AN761:BO761))</f>
        <v>0</v>
      </c>
      <c r="AK761">
        <f>COUNTBLANK(Metadata!B761:AC761)=COLUMNS(Metadata!B761:AC761)</f>
        <v>0</v>
      </c>
      <c r="AL761">
        <v>0</v>
      </c>
      <c r="AN761">
        <f>AND(IF(Metadata!B761="",FALSE,TRUE),COUNTIF(Metadata!B:B, Metadata!B761) = 1,NOT(ISERROR(SUMPRODUCT(SEARCH(MID(Metadata!B761,ROW(INDIRECT("1:"&amp;LEN(Metadata!B761))), 1),"0123456789abcdefghijklmnopqrstuvwxyzABCDEFGHIJKLMNOPQRSTUVWXYZ.")))))</f>
        <v>0</v>
      </c>
      <c r="AO761">
        <f>IF(Metadata!C761="",FALSE,TRUE)</f>
        <v>0</v>
      </c>
      <c r="AP761">
        <f>IF(Metadata!D761="",FALSE,TRUE)</f>
        <v>0</v>
      </c>
      <c r="AQ761">
        <f>OR(AND(IF(Metadata!E761="",FALSE,TRUE),OR(exact(Metadata!E761,"not collected"),exact(Metadata!E761,"not provided"),exact(Metadata!E761,"restricted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R761">
        <f>IF(Metadata!F761="",FALSE,TRUE)</f>
        <v>0</v>
      </c>
      <c r="AS761">
        <f>OR(AND(IF(Metadata!G761="",FALSE,TRUE),OR(exact(Metadata!G761,"not collected"),exact(Metadata!G761,"not provided"))),AND(IF(Metadata!G761="",FALSE,TRUE),OR(exact(Metadata!G761,"TRUE"),exact(Metadata!G761,"FALSE"))))</f>
        <v>0</v>
      </c>
      <c r="AT761">
        <f>OR(AND(IF(Metadata!H761="",FALSE,TRUE),OR(exact(Metadata!H761,"not collected"),exact(Metadata!H761,"not provided"),exact(Metadata!H761,"restricted access"))),AND(IF(Metadata!H761="",FALSE,ISNUMBER(VALUE(Metadata!H761))),Metadata!H761&gt;=-413.0))</f>
        <v>0</v>
      </c>
      <c r="AU761">
        <f>AND(IF(Metadata!I761="",FALSE,TRUE),exact(Metadata!I761,"meters"))</f>
        <v>0</v>
      </c>
      <c r="AV761">
        <f>AND(IF(Metadata!J761="",FALSE,TRUE),OR(exact(Metadata!J761,"Host-associated"),exact(Metadata!J761,"Free-living")))</f>
        <v>0</v>
      </c>
      <c r="AW761">
        <f>AND(IF(Metadata!K761="",FALSE,TRUE),OR(exact(Metadata!K761,"Animal"),exact(Metadata!K761,"Fungus"),exact(Metadata!K761,"Plant"),exact(Metadata!K761,"Saline"),exact(Metadata!K761,"Non-saline")))</f>
        <v>0</v>
      </c>
      <c r="AX761">
        <f>AND(IF(Metadata!L761="",FALSE,TRUE),OR(exact(Metadata!L761,"Plant secretion"),exact(Metadata!L761,"Plant rhizosphere"),exact(Metadata!L761,"Plant surface"),exact(Metadata!L761,"Plant corpus"),exact(Metadata!L761,"Fungus surface"),exact(Metadata!L761,"Fungus corpus"),exact(Metadata!L761,"Animal surface"),exact(Metadata!L761,"Animal proximal gut"),exact(Metadata!L761,"Animal corpus"),exact(Metadata!L761,"Animal distal gut"),exact(Metadata!L761,"Animal secretion"),exact(Metadata!L761,"Sub-surface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Y761">
        <f>IF(Metadata!M761="",FALSE,TRUE)</f>
        <v>0</v>
      </c>
      <c r="AZ761">
        <f>IF(Metadata!N761="",FALSE,TRUE)</f>
        <v>0</v>
      </c>
      <c r="BA761">
        <f>IF(Metadata!O761="",FALSE,TRUE)</f>
        <v>0</v>
      </c>
      <c r="BB761">
        <f>OR(AND(IF(Metadata!P761="",FALSE,TRUE),OR(exact(Metadata!P761,"not collected"),exact(Metadata!P761,"not provided"),exact(Metadata!P761,"restricted access"))),AND(IF(Metadata!P761="",FALSE,TRUE),OR(exact(Metadata!P761,"air"),exact(Metadata!P761,"built environment"),exact(Metadata!P761,"host-associated"),exact(Metadata!P761,"human-associated"),exact(Metadata!P761,"human-skin"),exact(Metadata!P761,"human-oral"),exact(Metadata!P761,"human-gut"),exact(Metadata!P761,"human-vaginal"),exact(Metadata!P761,"microbial mat/biofilm"),exact(Metadata!P761,"misc environment"),exact(Metadata!P761,"plant-associated"),exact(Metadata!P761,"sediment"),exact(Metadata!P761,"soil"),exact(Metadata!P761,"wastewater/sludge"),exact(Metadata!P761,"water"))))</f>
        <v>0</v>
      </c>
      <c r="BC761">
        <f>IF(Metadata!Q761="",FALSE,TRUE)</f>
        <v>0</v>
      </c>
      <c r="BD761">
        <f>IF(Metadata!R761="",FALSE,TRUE)</f>
        <v>0</v>
      </c>
      <c r="BE761">
        <f>OR(AND(IF(Metadata!S761="",FALSE,TRUE),OR(exact(Metadata!S761,"not collected"),exact(Metadata!S761,"not provided"),exact(Metadata!S761,"restricted access"))),AND(IF(Metadata!S761="",FALSE,ISNUMBER(VALUE(Metadata!S761))),Metadata!S761&gt;=-90.00,Metadata!S761&lt;=90.00))</f>
        <v>0</v>
      </c>
      <c r="BF761">
        <f>AND(IF(Metadata!T761="",FALSE,TRUE),exact(Metadata!T761,"Decimal degrees"))</f>
        <v>0</v>
      </c>
      <c r="BG761">
        <f>OR(AND(IF(Metadata!U761="",FALSE,TRUE),OR(exact(Metadata!U761,"not collected"),exact(Metadata!U761,"not provided"),exact(Metadata!U761,"restricted access"))),AND(IF(Metadata!U761="",FALSE,ISNUMBER(VALUE(Metadata!U761))),Metadata!U761&gt;=-180.00,Metadata!U761&lt;=180.00))</f>
        <v>0</v>
      </c>
      <c r="BH761">
        <f>AND(IF(Metadata!V761="",FALSE,TRUE),exact(Metadata!V761,"Decimal degrees"))</f>
        <v>0</v>
      </c>
      <c r="BI761">
        <f>IF(Metadata!W761="",FALSE,TRUE)</f>
        <v>0</v>
      </c>
      <c r="BJ761">
        <f>OR(AND(IF(Metadata!X761="",FALSE,TRUE),OR(exact(Metadata!X761,"not collected"),exact(Metadata!X761,"not provided"),exact(Metadata!X761,"restricted access"))),AND(IF(Metadata!X761="",FALSE,TRUE),OR(exact(Metadata!X761,"TRUE"),exact(Metadata!X761,"FALSE"))))</f>
        <v>0</v>
      </c>
      <c r="BK761">
        <f>AND(IF(Metadata!Y761="",FALSE,TRUE),exact(Metadata!Y761,"other"))</f>
        <v>0</v>
      </c>
      <c r="BL761">
        <f>IF(Metadata!Z761="",FALSE,TRUE)</f>
        <v>0</v>
      </c>
      <c r="BM761">
        <f>OR(AND(IF(Metadata!AA761="",FALSE,TRUE),OR(exact(Metadata!AA761,"not collected"),exact(Metadata!AA761,"not provided"))),AND(IF(Metadata!AA761="",FALSE,IF(ISERROR(INT(Metadata!AA761)),FALSE,INT(Metadata!AA761)=Metadata!AA761)),Metadata!AA761&gt;0))</f>
        <v>0</v>
      </c>
      <c r="BN761">
        <f>AND(IF(Metadata!AB761="",FALSE,TRUE),exact(Metadata!AB761,"Not applicable"))</f>
        <v>0</v>
      </c>
      <c r="BO761">
        <f>IF(Metadata!AC761="",FALSE,TRUE)</f>
        <v>0</v>
      </c>
    </row>
    <row r="762" spans="1:67">
      <c r="A762" s="5">
        <f>IF(B762=" "," ",HYPERLINK(CONCATENATE("#metadata!",ADDRESS(INDEX($AI$2:$AI$1001,MATCH(ROWS($AG$2:AG762),$AG$2:$AG$1001,0),0),1)),INDEX($AL$2:$AL$1001,MATCH(ROWS($AG$2:AG762),$AG$2:$AG$1001,0),0)))</f>
        <v>0</v>
      </c>
      <c r="B762" s="4">
        <f>IF(OR(INDEX($AH$2:$AH$1001,MATCH(ROWS($AG$2:AG762),$AG$2:$AG$1001,0),1)&gt;=100000,INDEX($AN$1005:$BO$1005,1,MATCH(COLUMNS($AN$1006:AN1006),$AN$1006:$BO$1006,0))&gt;=100000), " ",IF(INDEX($AN$2:$BO$1001,MATCH(ROWS($AG$2:AG762),$AG$2:$AG$1001,0),MATCH(COLUMNS($AN$1006:AN1006),$AN$1006:$BO$1006,0)), HYPERLINK("#",""), HYPERLINK(CONCATENATE("#Metadata!", ADDRESS(INDEX($AI$2:$AI$1001,MATCH(ROWS($AG$2:AG762),$AG$2:$AG$1001,0),0), INDEX($AN$1004:$BO$1004,1,MATCH(COLUMNS($AN$1006:AN1006),$AN$1006:$BO$1006,0)))),"Fix")))</f>
        <v>0</v>
      </c>
      <c r="C762" s="4">
        <f>IF(OR(INDEX($AH$2:$AH$1001,MATCH(ROWS($AG$2:AG762),$AG$2:$AG$1001,0),1)&gt;=100000,INDEX($AN$1005:$BO$1005,1,MATCH(COLUMNS($AN$1006:AO1006),$AN$1006:$BO$1006,0))&gt;=100000), " ",IF(INDEX($AN$2:$BO$1001,MATCH(ROWS($AG$2:AG762),$AG$2:$AG$1001,0),MATCH(COLUMNS($AN$1006:AO1006),$AN$1006:$BO$1006,0)), HYPERLINK("#",""), HYPERLINK(CONCATENATE("#Metadata!", ADDRESS(INDEX($AI$2:$AI$1001,MATCH(ROWS($AG$2:AG762),$AG$2:$AG$1001,0),0), INDEX($AN$1004:$BO$1004,1,MATCH(COLUMNS($AN$1006:AO1006),$AN$1006:$BO$1006,0)))),"Fix")))</f>
        <v>0</v>
      </c>
      <c r="D762" s="4">
        <f>IF(OR(INDEX($AH$2:$AH$1001,MATCH(ROWS($AG$2:AG762),$AG$2:$AG$1001,0),1)&gt;=100000,INDEX($AN$1005:$BO$1005,1,MATCH(COLUMNS($AN$1006:AP1006),$AN$1006:$BO$1006,0))&gt;=100000), " ",IF(INDEX($AN$2:$BO$1001,MATCH(ROWS($AG$2:AG762),$AG$2:$AG$1001,0),MATCH(COLUMNS($AN$1006:AP1006),$AN$1006:$BO$1006,0)), HYPERLINK("#",""), HYPERLINK(CONCATENATE("#Metadata!", ADDRESS(INDEX($AI$2:$AI$1001,MATCH(ROWS($AG$2:AG762),$AG$2:$AG$1001,0),0), INDEX($AN$1004:$BO$1004,1,MATCH(COLUMNS($AN$1006:AP1006),$AN$1006:$BO$1006,0)))),"Fix")))</f>
        <v>0</v>
      </c>
      <c r="E762" s="4">
        <f>IF(OR(INDEX($AH$2:$AH$1001,MATCH(ROWS($AG$2:AG762),$AG$2:$AG$1001,0),1)&gt;=100000,INDEX($AN$1005:$BO$1005,1,MATCH(COLUMNS($AN$1006:AQ1006),$AN$1006:$BO$1006,0))&gt;=100000), " ",IF(INDEX($AN$2:$BO$1001,MATCH(ROWS($AG$2:AG762),$AG$2:$AG$1001,0),MATCH(COLUMNS($AN$1006:AQ1006),$AN$1006:$BO$1006,0)), HYPERLINK("#",""), HYPERLINK(CONCATENATE("#Metadata!", ADDRESS(INDEX($AI$2:$AI$1001,MATCH(ROWS($AG$2:AG762),$AG$2:$AG$1001,0),0), INDEX($AN$1004:$BO$1004,1,MATCH(COLUMNS($AN$1006:AQ1006),$AN$1006:$BO$1006,0)))),"Fix")))</f>
        <v>0</v>
      </c>
      <c r="F762" s="4">
        <f>IF(OR(INDEX($AH$2:$AH$1001,MATCH(ROWS($AG$2:AG762),$AG$2:$AG$1001,0),1)&gt;=100000,INDEX($AN$1005:$BO$1005,1,MATCH(COLUMNS($AN$1006:AR1006),$AN$1006:$BO$1006,0))&gt;=100000), " ",IF(INDEX($AN$2:$BO$1001,MATCH(ROWS($AG$2:AG762),$AG$2:$AG$1001,0),MATCH(COLUMNS($AN$1006:AR1006),$AN$1006:$BO$1006,0)), HYPERLINK("#",""), HYPERLINK(CONCATENATE("#Metadata!", ADDRESS(INDEX($AI$2:$AI$1001,MATCH(ROWS($AG$2:AG762),$AG$2:$AG$1001,0),0), INDEX($AN$1004:$BO$1004,1,MATCH(COLUMNS($AN$1006:AR1006),$AN$1006:$BO$1006,0)))),"Fix")))</f>
        <v>0</v>
      </c>
      <c r="G762" s="4">
        <f>IF(OR(INDEX($AH$2:$AH$1001,MATCH(ROWS($AG$2:AG762),$AG$2:$AG$1001,0),1)&gt;=100000,INDEX($AN$1005:$BO$1005,1,MATCH(COLUMNS($AN$1006:AS1006),$AN$1006:$BO$1006,0))&gt;=100000), " ",IF(INDEX($AN$2:$BO$1001,MATCH(ROWS($AG$2:AG762),$AG$2:$AG$1001,0),MATCH(COLUMNS($AN$1006:AS1006),$AN$1006:$BO$1006,0)), HYPERLINK("#",""), HYPERLINK(CONCATENATE("#Metadata!", ADDRESS(INDEX($AI$2:$AI$1001,MATCH(ROWS($AG$2:AG762),$AG$2:$AG$1001,0),0), INDEX($AN$1004:$BO$1004,1,MATCH(COLUMNS($AN$1006:AS1006),$AN$1006:$BO$1006,0)))),"Fix")))</f>
        <v>0</v>
      </c>
      <c r="H762" s="4">
        <f>IF(OR(INDEX($AH$2:$AH$1001,MATCH(ROWS($AG$2:AG762),$AG$2:$AG$1001,0),1)&gt;=100000,INDEX($AN$1005:$BO$1005,1,MATCH(COLUMNS($AN$1006:AT1006),$AN$1006:$BO$1006,0))&gt;=100000), " ",IF(INDEX($AN$2:$BO$1001,MATCH(ROWS($AG$2:AG762),$AG$2:$AG$1001,0),MATCH(COLUMNS($AN$1006:AT1006),$AN$1006:$BO$1006,0)), HYPERLINK("#",""), HYPERLINK(CONCATENATE("#Metadata!", ADDRESS(INDEX($AI$2:$AI$1001,MATCH(ROWS($AG$2:AG762),$AG$2:$AG$1001,0),0), INDEX($AN$1004:$BO$1004,1,MATCH(COLUMNS($AN$1006:AT1006),$AN$1006:$BO$1006,0)))),"Fix")))</f>
        <v>0</v>
      </c>
      <c r="I762" s="4">
        <f>IF(OR(INDEX($AH$2:$AH$1001,MATCH(ROWS($AG$2:AG762),$AG$2:$AG$1001,0),1)&gt;=100000,INDEX($AN$1005:$BO$1005,1,MATCH(COLUMNS($AN$1006:AU1006),$AN$1006:$BO$1006,0))&gt;=100000), " ",IF(INDEX($AN$2:$BO$1001,MATCH(ROWS($AG$2:AG762),$AG$2:$AG$1001,0),MATCH(COLUMNS($AN$1006:AU1006),$AN$1006:$BO$1006,0)), HYPERLINK("#",""), HYPERLINK(CONCATENATE("#Metadata!", ADDRESS(INDEX($AI$2:$AI$1001,MATCH(ROWS($AG$2:AG762),$AG$2:$AG$1001,0),0), INDEX($AN$1004:$BO$1004,1,MATCH(COLUMNS($AN$1006:AU1006),$AN$1006:$BO$1006,0)))),"Fix")))</f>
        <v>0</v>
      </c>
      <c r="J762" s="4">
        <f>IF(OR(INDEX($AH$2:$AH$1001,MATCH(ROWS($AG$2:AG762),$AG$2:$AG$1001,0),1)&gt;=100000,INDEX($AN$1005:$BO$1005,1,MATCH(COLUMNS($AN$1006:AV1006),$AN$1006:$BO$1006,0))&gt;=100000), " ",IF(INDEX($AN$2:$BO$1001,MATCH(ROWS($AG$2:AG762),$AG$2:$AG$1001,0),MATCH(COLUMNS($AN$1006:AV1006),$AN$1006:$BO$1006,0)), HYPERLINK("#",""), HYPERLINK(CONCATENATE("#Metadata!", ADDRESS(INDEX($AI$2:$AI$1001,MATCH(ROWS($AG$2:AG762),$AG$2:$AG$1001,0),0), INDEX($AN$1004:$BO$1004,1,MATCH(COLUMNS($AN$1006:AV1006),$AN$1006:$BO$1006,0)))),"Fix")))</f>
        <v>0</v>
      </c>
      <c r="K762" s="4">
        <f>IF(OR(INDEX($AH$2:$AH$1001,MATCH(ROWS($AG$2:AG762),$AG$2:$AG$1001,0),1)&gt;=100000,INDEX($AN$1005:$BO$1005,1,MATCH(COLUMNS($AN$1006:AW1006),$AN$1006:$BO$1006,0))&gt;=100000), " ",IF(INDEX($AN$2:$BO$1001,MATCH(ROWS($AG$2:AG762),$AG$2:$AG$1001,0),MATCH(COLUMNS($AN$1006:AW1006),$AN$1006:$BO$1006,0)), HYPERLINK("#",""), HYPERLINK(CONCATENATE("#Metadata!", ADDRESS(INDEX($AI$2:$AI$1001,MATCH(ROWS($AG$2:AG762),$AG$2:$AG$1001,0),0), INDEX($AN$1004:$BO$1004,1,MATCH(COLUMNS($AN$1006:AW1006),$AN$1006:$BO$1006,0)))),"Fix")))</f>
        <v>0</v>
      </c>
      <c r="L762" s="4">
        <f>IF(OR(INDEX($AH$2:$AH$1001,MATCH(ROWS($AG$2:AG762),$AG$2:$AG$1001,0),1)&gt;=100000,INDEX($AN$1005:$BO$1005,1,MATCH(COLUMNS($AN$1006:AX1006),$AN$1006:$BO$1006,0))&gt;=100000), " ",IF(INDEX($AN$2:$BO$1001,MATCH(ROWS($AG$2:AG762),$AG$2:$AG$1001,0),MATCH(COLUMNS($AN$1006:AX1006),$AN$1006:$BO$1006,0)), HYPERLINK("#",""), HYPERLINK(CONCATENATE("#Metadata!", ADDRESS(INDEX($AI$2:$AI$1001,MATCH(ROWS($AG$2:AG762),$AG$2:$AG$1001,0),0), INDEX($AN$1004:$BO$1004,1,MATCH(COLUMNS($AN$1006:AX1006),$AN$1006:$BO$1006,0)))),"Fix")))</f>
        <v>0</v>
      </c>
      <c r="M762" s="4">
        <f>IF(OR(INDEX($AH$2:$AH$1001,MATCH(ROWS($AG$2:AG762),$AG$2:$AG$1001,0),1)&gt;=100000,INDEX($AN$1005:$BO$1005,1,MATCH(COLUMNS($AN$1006:AY1006),$AN$1006:$BO$1006,0))&gt;=100000), " ",IF(INDEX($AN$2:$BO$1001,MATCH(ROWS($AG$2:AG762),$AG$2:$AG$1001,0),MATCH(COLUMNS($AN$1006:AY1006),$AN$1006:$BO$1006,0)), HYPERLINK("#",""), HYPERLINK(CONCATENATE("#Metadata!", ADDRESS(INDEX($AI$2:$AI$1001,MATCH(ROWS($AG$2:AG762),$AG$2:$AG$1001,0),0), INDEX($AN$1004:$BO$1004,1,MATCH(COLUMNS($AN$1006:AY1006),$AN$1006:$BO$1006,0)))),"Fix")))</f>
        <v>0</v>
      </c>
      <c r="N762" s="4">
        <f>IF(OR(INDEX($AH$2:$AH$1001,MATCH(ROWS($AG$2:AG762),$AG$2:$AG$1001,0),1)&gt;=100000,INDEX($AN$1005:$BO$1005,1,MATCH(COLUMNS($AN$1006:AZ1006),$AN$1006:$BO$1006,0))&gt;=100000), " ",IF(INDEX($AN$2:$BO$1001,MATCH(ROWS($AG$2:AG762),$AG$2:$AG$1001,0),MATCH(COLUMNS($AN$1006:AZ1006),$AN$1006:$BO$1006,0)), HYPERLINK("#",""), HYPERLINK(CONCATENATE("#Metadata!", ADDRESS(INDEX($AI$2:$AI$1001,MATCH(ROWS($AG$2:AG762),$AG$2:$AG$1001,0),0), INDEX($AN$1004:$BO$1004,1,MATCH(COLUMNS($AN$1006:AZ1006),$AN$1006:$BO$1006,0)))),"Fix")))</f>
        <v>0</v>
      </c>
      <c r="O762" s="4">
        <f>IF(OR(INDEX($AH$2:$AH$1001,MATCH(ROWS($AG$2:AG762),$AG$2:$AG$1001,0),1)&gt;=100000,INDEX($AN$1005:$BO$1005,1,MATCH(COLUMNS($AN$1006:BA1006),$AN$1006:$BO$1006,0))&gt;=100000), " ",IF(INDEX($AN$2:$BO$1001,MATCH(ROWS($AG$2:AG762),$AG$2:$AG$1001,0),MATCH(COLUMNS($AN$1006:BA1006),$AN$1006:$BO$1006,0)), HYPERLINK("#",""), HYPERLINK(CONCATENATE("#Metadata!", ADDRESS(INDEX($AI$2:$AI$1001,MATCH(ROWS($AG$2:AG762),$AG$2:$AG$1001,0),0), INDEX($AN$1004:$BO$1004,1,MATCH(COLUMNS($AN$1006:BA1006),$AN$1006:$BO$1006,0)))),"Fix")))</f>
        <v>0</v>
      </c>
      <c r="P762" s="4">
        <f>IF(OR(INDEX($AH$2:$AH$1001,MATCH(ROWS($AG$2:AG762),$AG$2:$AG$1001,0),1)&gt;=100000,INDEX($AN$1005:$BO$1005,1,MATCH(COLUMNS($AN$1006:BB1006),$AN$1006:$BO$1006,0))&gt;=100000), " ",IF(INDEX($AN$2:$BO$1001,MATCH(ROWS($AG$2:AG762),$AG$2:$AG$1001,0),MATCH(COLUMNS($AN$1006:BB1006),$AN$1006:$BO$1006,0)), HYPERLINK("#",""), HYPERLINK(CONCATENATE("#Metadata!", ADDRESS(INDEX($AI$2:$AI$1001,MATCH(ROWS($AG$2:AG762),$AG$2:$AG$1001,0),0), INDEX($AN$1004:$BO$1004,1,MATCH(COLUMNS($AN$1006:BB1006),$AN$1006:$BO$1006,0)))),"Fix")))</f>
        <v>0</v>
      </c>
      <c r="Q762" s="4">
        <f>IF(OR(INDEX($AH$2:$AH$1001,MATCH(ROWS($AG$2:AG762),$AG$2:$AG$1001,0),1)&gt;=100000,INDEX($AN$1005:$BO$1005,1,MATCH(COLUMNS($AN$1006:BC1006),$AN$1006:$BO$1006,0))&gt;=100000), " ",IF(INDEX($AN$2:$BO$1001,MATCH(ROWS($AG$2:AG762),$AG$2:$AG$1001,0),MATCH(COLUMNS($AN$1006:BC1006),$AN$1006:$BO$1006,0)), HYPERLINK("#",""), HYPERLINK(CONCATENATE("#Metadata!", ADDRESS(INDEX($AI$2:$AI$1001,MATCH(ROWS($AG$2:AG762),$AG$2:$AG$1001,0),0), INDEX($AN$1004:$BO$1004,1,MATCH(COLUMNS($AN$1006:BC1006),$AN$1006:$BO$1006,0)))),"Fix")))</f>
        <v>0</v>
      </c>
      <c r="R762" s="4">
        <f>IF(OR(INDEX($AH$2:$AH$1001,MATCH(ROWS($AG$2:AG762),$AG$2:$AG$1001,0),1)&gt;=100000,INDEX($AN$1005:$BO$1005,1,MATCH(COLUMNS($AN$1006:BD1006),$AN$1006:$BO$1006,0))&gt;=100000), " ",IF(INDEX($AN$2:$BO$1001,MATCH(ROWS($AG$2:AG762),$AG$2:$AG$1001,0),MATCH(COLUMNS($AN$1006:BD1006),$AN$1006:$BO$1006,0)), HYPERLINK("#",""), HYPERLINK(CONCATENATE("#Metadata!", ADDRESS(INDEX($AI$2:$AI$1001,MATCH(ROWS($AG$2:AG762),$AG$2:$AG$1001,0),0), INDEX($AN$1004:$BO$1004,1,MATCH(COLUMNS($AN$1006:BD1006),$AN$1006:$BO$1006,0)))),"Fix")))</f>
        <v>0</v>
      </c>
      <c r="S762" s="4">
        <f>IF(OR(INDEX($AH$2:$AH$1001,MATCH(ROWS($AG$2:AG762),$AG$2:$AG$1001,0),1)&gt;=100000,INDEX($AN$1005:$BO$1005,1,MATCH(COLUMNS($AN$1006:BE1006),$AN$1006:$BO$1006,0))&gt;=100000), " ",IF(INDEX($AN$2:$BO$1001,MATCH(ROWS($AG$2:AG762),$AG$2:$AG$1001,0),MATCH(COLUMNS($AN$1006:BE1006),$AN$1006:$BO$1006,0)), HYPERLINK("#",""), HYPERLINK(CONCATENATE("#Metadata!", ADDRESS(INDEX($AI$2:$AI$1001,MATCH(ROWS($AG$2:AG762),$AG$2:$AG$1001,0),0), INDEX($AN$1004:$BO$1004,1,MATCH(COLUMNS($AN$1006:BE1006),$AN$1006:$BO$1006,0)))),"Fix")))</f>
        <v>0</v>
      </c>
      <c r="T762" s="4">
        <f>IF(OR(INDEX($AH$2:$AH$1001,MATCH(ROWS($AG$2:AG762),$AG$2:$AG$1001,0),1)&gt;=100000,INDEX($AN$1005:$BO$1005,1,MATCH(COLUMNS($AN$1006:BF1006),$AN$1006:$BO$1006,0))&gt;=100000), " ",IF(INDEX($AN$2:$BO$1001,MATCH(ROWS($AG$2:AG762),$AG$2:$AG$1001,0),MATCH(COLUMNS($AN$1006:BF1006),$AN$1006:$BO$1006,0)), HYPERLINK("#",""), HYPERLINK(CONCATENATE("#Metadata!", ADDRESS(INDEX($AI$2:$AI$1001,MATCH(ROWS($AG$2:AG762),$AG$2:$AG$1001,0),0), INDEX($AN$1004:$BO$1004,1,MATCH(COLUMNS($AN$1006:BF1006),$AN$1006:$BO$1006,0)))),"Fix")))</f>
        <v>0</v>
      </c>
      <c r="U762" s="4">
        <f>IF(OR(INDEX($AH$2:$AH$1001,MATCH(ROWS($AG$2:AG762),$AG$2:$AG$1001,0),1)&gt;=100000,INDEX($AN$1005:$BO$1005,1,MATCH(COLUMNS($AN$1006:BG1006),$AN$1006:$BO$1006,0))&gt;=100000), " ",IF(INDEX($AN$2:$BO$1001,MATCH(ROWS($AG$2:AG762),$AG$2:$AG$1001,0),MATCH(COLUMNS($AN$1006:BG1006),$AN$1006:$BO$1006,0)), HYPERLINK("#",""), HYPERLINK(CONCATENATE("#Metadata!", ADDRESS(INDEX($AI$2:$AI$1001,MATCH(ROWS($AG$2:AG762),$AG$2:$AG$1001,0),0), INDEX($AN$1004:$BO$1004,1,MATCH(COLUMNS($AN$1006:BG1006),$AN$1006:$BO$1006,0)))),"Fix")))</f>
        <v>0</v>
      </c>
      <c r="V762" s="4">
        <f>IF(OR(INDEX($AH$2:$AH$1001,MATCH(ROWS($AG$2:AG762),$AG$2:$AG$1001,0),1)&gt;=100000,INDEX($AN$1005:$BO$1005,1,MATCH(COLUMNS($AN$1006:BH1006),$AN$1006:$BO$1006,0))&gt;=100000), " ",IF(INDEX($AN$2:$BO$1001,MATCH(ROWS($AG$2:AG762),$AG$2:$AG$1001,0),MATCH(COLUMNS($AN$1006:BH1006),$AN$1006:$BO$1006,0)), HYPERLINK("#",""), HYPERLINK(CONCATENATE("#Metadata!", ADDRESS(INDEX($AI$2:$AI$1001,MATCH(ROWS($AG$2:AG762),$AG$2:$AG$1001,0),0), INDEX($AN$1004:$BO$1004,1,MATCH(COLUMNS($AN$1006:BH1006),$AN$1006:$BO$1006,0)))),"Fix")))</f>
        <v>0</v>
      </c>
      <c r="W762" s="4">
        <f>IF(OR(INDEX($AH$2:$AH$1001,MATCH(ROWS($AG$2:AG762),$AG$2:$AG$1001,0),1)&gt;=100000,INDEX($AN$1005:$BO$1005,1,MATCH(COLUMNS($AN$1006:BI1006),$AN$1006:$BO$1006,0))&gt;=100000), " ",IF(INDEX($AN$2:$BO$1001,MATCH(ROWS($AG$2:AG762),$AG$2:$AG$1001,0),MATCH(COLUMNS($AN$1006:BI1006),$AN$1006:$BO$1006,0)), HYPERLINK("#",""), HYPERLINK(CONCATENATE("#Metadata!", ADDRESS(INDEX($AI$2:$AI$1001,MATCH(ROWS($AG$2:AG762),$AG$2:$AG$1001,0),0), INDEX($AN$1004:$BO$1004,1,MATCH(COLUMNS($AN$1006:BI1006),$AN$1006:$BO$1006,0)))),"Fix")))</f>
        <v>0</v>
      </c>
      <c r="X762" s="4">
        <f>IF(OR(INDEX($AH$2:$AH$1001,MATCH(ROWS($AG$2:AG762),$AG$2:$AG$1001,0),1)&gt;=100000,INDEX($AN$1005:$BO$1005,1,MATCH(COLUMNS($AN$1006:BJ1006),$AN$1006:$BO$1006,0))&gt;=100000), " ",IF(INDEX($AN$2:$BO$1001,MATCH(ROWS($AG$2:AG762),$AG$2:$AG$1001,0),MATCH(COLUMNS($AN$1006:BJ1006),$AN$1006:$BO$1006,0)), HYPERLINK("#",""), HYPERLINK(CONCATENATE("#Metadata!", ADDRESS(INDEX($AI$2:$AI$1001,MATCH(ROWS($AG$2:AG762),$AG$2:$AG$1001,0),0), INDEX($AN$1004:$BO$1004,1,MATCH(COLUMNS($AN$1006:BJ1006),$AN$1006:$BO$1006,0)))),"Fix")))</f>
        <v>0</v>
      </c>
      <c r="Y762" s="4">
        <f>IF(OR(INDEX($AH$2:$AH$1001,MATCH(ROWS($AG$2:AG762),$AG$2:$AG$1001,0),1)&gt;=100000,INDEX($AN$1005:$BO$1005,1,MATCH(COLUMNS($AN$1006:BK1006),$AN$1006:$BO$1006,0))&gt;=100000), " ",IF(INDEX($AN$2:$BO$1001,MATCH(ROWS($AG$2:AG762),$AG$2:$AG$1001,0),MATCH(COLUMNS($AN$1006:BK1006),$AN$1006:$BO$1006,0)), HYPERLINK("#",""), HYPERLINK(CONCATENATE("#Metadata!", ADDRESS(INDEX($AI$2:$AI$1001,MATCH(ROWS($AG$2:AG762),$AG$2:$AG$1001,0),0), INDEX($AN$1004:$BO$1004,1,MATCH(COLUMNS($AN$1006:BK1006),$AN$1006:$BO$1006,0)))),"Fix")))</f>
        <v>0</v>
      </c>
      <c r="Z762" s="4">
        <f>IF(OR(INDEX($AH$2:$AH$1001,MATCH(ROWS($AG$2:AG762),$AG$2:$AG$1001,0),1)&gt;=100000,INDEX($AN$1005:$BO$1005,1,MATCH(COLUMNS($AN$1006:BL1006),$AN$1006:$BO$1006,0))&gt;=100000), " ",IF(INDEX($AN$2:$BO$1001,MATCH(ROWS($AG$2:AG762),$AG$2:$AG$1001,0),MATCH(COLUMNS($AN$1006:BL1006),$AN$1006:$BO$1006,0)), HYPERLINK("#",""), HYPERLINK(CONCATENATE("#Metadata!", ADDRESS(INDEX($AI$2:$AI$1001,MATCH(ROWS($AG$2:AG762),$AG$2:$AG$1001,0),0), INDEX($AN$1004:$BO$1004,1,MATCH(COLUMNS($AN$1006:BL1006),$AN$1006:$BO$1006,0)))),"Fix")))</f>
        <v>0</v>
      </c>
      <c r="AA762" s="4">
        <f>IF(OR(INDEX($AH$2:$AH$1001,MATCH(ROWS($AG$2:AG762),$AG$2:$AG$1001,0),1)&gt;=100000,INDEX($AN$1005:$BO$1005,1,MATCH(COLUMNS($AN$1006:BM1006),$AN$1006:$BO$1006,0))&gt;=100000), " ",IF(INDEX($AN$2:$BO$1001,MATCH(ROWS($AG$2:AG762),$AG$2:$AG$1001,0),MATCH(COLUMNS($AN$1006:BM1006),$AN$1006:$BO$1006,0)), HYPERLINK("#",""), HYPERLINK(CONCATENATE("#Metadata!", ADDRESS(INDEX($AI$2:$AI$1001,MATCH(ROWS($AG$2:AG762),$AG$2:$AG$1001,0),0), INDEX($AN$1004:$BO$1004,1,MATCH(COLUMNS($AN$1006:BM1006),$AN$1006:$BO$1006,0)))),"Fix")))</f>
        <v>0</v>
      </c>
      <c r="AB762" s="4">
        <f>IF(OR(INDEX($AH$2:$AH$1001,MATCH(ROWS($AG$2:AG762),$AG$2:$AG$1001,0),1)&gt;=100000,INDEX($AN$1005:$BO$1005,1,MATCH(COLUMNS($AN$1006:BN1006),$AN$1006:$BO$1006,0))&gt;=100000), " ",IF(INDEX($AN$2:$BO$1001,MATCH(ROWS($AG$2:AG762),$AG$2:$AG$1001,0),MATCH(COLUMNS($AN$1006:BN1006),$AN$1006:$BO$1006,0)), HYPERLINK("#",""), HYPERLINK(CONCATENATE("#Metadata!", ADDRESS(INDEX($AI$2:$AI$1001,MATCH(ROWS($AG$2:AG762),$AG$2:$AG$1001,0),0), INDEX($AN$1004:$BO$1004,1,MATCH(COLUMNS($AN$1006:BN1006),$AN$1006:$BO$1006,0)))),"Fix")))</f>
        <v>0</v>
      </c>
      <c r="AC762" s="4">
        <f>IF(OR(INDEX($AH$2:$AH$1001,MATCH(ROWS($AG$2:AG762),$AG$2:$AG$1001,0),1)&gt;=100000,INDEX($AN$1005:$BO$1005,1,MATCH(COLUMNS($AN$1006:BO1006),$AN$1006:$BO$1006,0))&gt;=100000), " ",IF(INDEX($AN$2:$BO$1001,MATCH(ROWS($AG$2:AG762),$AG$2:$AG$1001,0),MATCH(COLUMNS($AN$1006:BO1006),$AN$1006:$BO$1006,0)), HYPERLINK("#",""), HYPERLINK(CONCATENATE("#Metadata!", ADDRESS(INDEX($AI$2:$AI$1001,MATCH(ROWS($AG$2:AG762),$AG$2:$AG$1001,0),0), INDEX($AN$1004:$BO$1004,1,MATCH(COLUMNS($AN$1006:BO1006),$AN$1006:$BO$1006,0)))),"Fix")))</f>
        <v>0</v>
      </c>
      <c r="AG762">
        <v>0</v>
      </c>
      <c r="AH762">
        <v>0</v>
      </c>
      <c r="AI762">
        <v>0</v>
      </c>
      <c r="AJ762">
        <f>IF(AK762,TRUE,AND(AN762:BO762))</f>
        <v>0</v>
      </c>
      <c r="AK762">
        <f>COUNTBLANK(Metadata!B762:AC762)=COLUMNS(Metadata!B762:AC762)</f>
        <v>0</v>
      </c>
      <c r="AL762">
        <v>0</v>
      </c>
      <c r="AN762">
        <f>AND(IF(Metadata!B762="",FALSE,TRUE),COUNTIF(Metadata!B:B, Metadata!B762) = 1,NOT(ISERROR(SUMPRODUCT(SEARCH(MID(Metadata!B762,ROW(INDIRECT("1:"&amp;LEN(Metadata!B762))), 1),"0123456789abcdefghijklmnopqrstuvwxyzABCDEFGHIJKLMNOPQRSTUVWXYZ.")))))</f>
        <v>0</v>
      </c>
      <c r="AO762">
        <f>IF(Metadata!C762="",FALSE,TRUE)</f>
        <v>0</v>
      </c>
      <c r="AP762">
        <f>IF(Metadata!D762="",FALSE,TRUE)</f>
        <v>0</v>
      </c>
      <c r="AQ762">
        <f>OR(AND(IF(Metadata!E762="",FALSE,TRUE),OR(exact(Metadata!E762,"not collected"),exact(Metadata!E762,"not provided"),exact(Metadata!E762,"restricted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R762">
        <f>IF(Metadata!F762="",FALSE,TRUE)</f>
        <v>0</v>
      </c>
      <c r="AS762">
        <f>OR(AND(IF(Metadata!G762="",FALSE,TRUE),OR(exact(Metadata!G762,"not collected"),exact(Metadata!G762,"not provided"))),AND(IF(Metadata!G762="",FALSE,TRUE),OR(exact(Metadata!G762,"TRUE"),exact(Metadata!G762,"FALSE"))))</f>
        <v>0</v>
      </c>
      <c r="AT762">
        <f>OR(AND(IF(Metadata!H762="",FALSE,TRUE),OR(exact(Metadata!H762,"not collected"),exact(Metadata!H762,"not provided"),exact(Metadata!H762,"restricted access"))),AND(IF(Metadata!H762="",FALSE,ISNUMBER(VALUE(Metadata!H762))),Metadata!H762&gt;=-413.0))</f>
        <v>0</v>
      </c>
      <c r="AU762">
        <f>AND(IF(Metadata!I762="",FALSE,TRUE),exact(Metadata!I762,"meters"))</f>
        <v>0</v>
      </c>
      <c r="AV762">
        <f>AND(IF(Metadata!J762="",FALSE,TRUE),OR(exact(Metadata!J762,"Host-associated"),exact(Metadata!J762,"Free-living")))</f>
        <v>0</v>
      </c>
      <c r="AW762">
        <f>AND(IF(Metadata!K762="",FALSE,TRUE),OR(exact(Metadata!K762,"Animal"),exact(Metadata!K762,"Fungus"),exact(Metadata!K762,"Plant"),exact(Metadata!K762,"Saline"),exact(Metadata!K762,"Non-saline")))</f>
        <v>0</v>
      </c>
      <c r="AX762">
        <f>AND(IF(Metadata!L762="",FALSE,TRUE),OR(exact(Metadata!L762,"Plant secretion"),exact(Metadata!L762,"Plant rhizosphere"),exact(Metadata!L762,"Plant surface"),exact(Metadata!L762,"Plant corpus"),exact(Metadata!L762,"Fungus surface"),exact(Metadata!L762,"Fungus corpus"),exact(Metadata!L762,"Animal surface"),exact(Metadata!L762,"Animal proximal gut"),exact(Metadata!L762,"Animal corpus"),exact(Metadata!L762,"Animal distal gut"),exact(Metadata!L762,"Animal secretion"),exact(Metadata!L762,"Sub-surface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Y762">
        <f>IF(Metadata!M762="",FALSE,TRUE)</f>
        <v>0</v>
      </c>
      <c r="AZ762">
        <f>IF(Metadata!N762="",FALSE,TRUE)</f>
        <v>0</v>
      </c>
      <c r="BA762">
        <f>IF(Metadata!O762="",FALSE,TRUE)</f>
        <v>0</v>
      </c>
      <c r="BB762">
        <f>OR(AND(IF(Metadata!P762="",FALSE,TRUE),OR(exact(Metadata!P762,"not collected"),exact(Metadata!P762,"not provided"),exact(Metadata!P762,"restricted access"))),AND(IF(Metadata!P762="",FALSE,TRUE),OR(exact(Metadata!P762,"air"),exact(Metadata!P762,"built environment"),exact(Metadata!P762,"host-associated"),exact(Metadata!P762,"human-associated"),exact(Metadata!P762,"human-skin"),exact(Metadata!P762,"human-oral"),exact(Metadata!P762,"human-gut"),exact(Metadata!P762,"human-vaginal"),exact(Metadata!P762,"microbial mat/biofilm"),exact(Metadata!P762,"misc environment"),exact(Metadata!P762,"plant-associated"),exact(Metadata!P762,"sediment"),exact(Metadata!P762,"soil"),exact(Metadata!P762,"wastewater/sludge"),exact(Metadata!P762,"water"))))</f>
        <v>0</v>
      </c>
      <c r="BC762">
        <f>IF(Metadata!Q762="",FALSE,TRUE)</f>
        <v>0</v>
      </c>
      <c r="BD762">
        <f>IF(Metadata!R762="",FALSE,TRUE)</f>
        <v>0</v>
      </c>
      <c r="BE762">
        <f>OR(AND(IF(Metadata!S762="",FALSE,TRUE),OR(exact(Metadata!S762,"not collected"),exact(Metadata!S762,"not provided"),exact(Metadata!S762,"restricted access"))),AND(IF(Metadata!S762="",FALSE,ISNUMBER(VALUE(Metadata!S762))),Metadata!S762&gt;=-90.00,Metadata!S762&lt;=90.00))</f>
        <v>0</v>
      </c>
      <c r="BF762">
        <f>AND(IF(Metadata!T762="",FALSE,TRUE),exact(Metadata!T762,"Decimal degrees"))</f>
        <v>0</v>
      </c>
      <c r="BG762">
        <f>OR(AND(IF(Metadata!U762="",FALSE,TRUE),OR(exact(Metadata!U762,"not collected"),exact(Metadata!U762,"not provided"),exact(Metadata!U762,"restricted access"))),AND(IF(Metadata!U762="",FALSE,ISNUMBER(VALUE(Metadata!U762))),Metadata!U762&gt;=-180.00,Metadata!U762&lt;=180.00))</f>
        <v>0</v>
      </c>
      <c r="BH762">
        <f>AND(IF(Metadata!V762="",FALSE,TRUE),exact(Metadata!V762,"Decimal degrees"))</f>
        <v>0</v>
      </c>
      <c r="BI762">
        <f>IF(Metadata!W762="",FALSE,TRUE)</f>
        <v>0</v>
      </c>
      <c r="BJ762">
        <f>OR(AND(IF(Metadata!X762="",FALSE,TRUE),OR(exact(Metadata!X762,"not collected"),exact(Metadata!X762,"not provided"),exact(Metadata!X762,"restricted access"))),AND(IF(Metadata!X762="",FALSE,TRUE),OR(exact(Metadata!X762,"TRUE"),exact(Metadata!X762,"FALSE"))))</f>
        <v>0</v>
      </c>
      <c r="BK762">
        <f>AND(IF(Metadata!Y762="",FALSE,TRUE),exact(Metadata!Y762,"other"))</f>
        <v>0</v>
      </c>
      <c r="BL762">
        <f>IF(Metadata!Z762="",FALSE,TRUE)</f>
        <v>0</v>
      </c>
      <c r="BM762">
        <f>OR(AND(IF(Metadata!AA762="",FALSE,TRUE),OR(exact(Metadata!AA762,"not collected"),exact(Metadata!AA762,"not provided"))),AND(IF(Metadata!AA762="",FALSE,IF(ISERROR(INT(Metadata!AA762)),FALSE,INT(Metadata!AA762)=Metadata!AA762)),Metadata!AA762&gt;0))</f>
        <v>0</v>
      </c>
      <c r="BN762">
        <f>AND(IF(Metadata!AB762="",FALSE,TRUE),exact(Metadata!AB762,"Not applicable"))</f>
        <v>0</v>
      </c>
      <c r="BO762">
        <f>IF(Metadata!AC762="",FALSE,TRUE)</f>
        <v>0</v>
      </c>
    </row>
    <row r="763" spans="1:67">
      <c r="A763" s="5">
        <f>IF(B763=" "," ",HYPERLINK(CONCATENATE("#metadata!",ADDRESS(INDEX($AI$2:$AI$1001,MATCH(ROWS($AG$2:AG763),$AG$2:$AG$1001,0),0),1)),INDEX($AL$2:$AL$1001,MATCH(ROWS($AG$2:AG763),$AG$2:$AG$1001,0),0)))</f>
        <v>0</v>
      </c>
      <c r="B763" s="4">
        <f>IF(OR(INDEX($AH$2:$AH$1001,MATCH(ROWS($AG$2:AG763),$AG$2:$AG$1001,0),1)&gt;=100000,INDEX($AN$1005:$BO$1005,1,MATCH(COLUMNS($AN$1006:AN1006),$AN$1006:$BO$1006,0))&gt;=100000), " ",IF(INDEX($AN$2:$BO$1001,MATCH(ROWS($AG$2:AG763),$AG$2:$AG$1001,0),MATCH(COLUMNS($AN$1006:AN1006),$AN$1006:$BO$1006,0)), HYPERLINK("#",""), HYPERLINK(CONCATENATE("#Metadata!", ADDRESS(INDEX($AI$2:$AI$1001,MATCH(ROWS($AG$2:AG763),$AG$2:$AG$1001,0),0), INDEX($AN$1004:$BO$1004,1,MATCH(COLUMNS($AN$1006:AN1006),$AN$1006:$BO$1006,0)))),"Fix")))</f>
        <v>0</v>
      </c>
      <c r="C763" s="4">
        <f>IF(OR(INDEX($AH$2:$AH$1001,MATCH(ROWS($AG$2:AG763),$AG$2:$AG$1001,0),1)&gt;=100000,INDEX($AN$1005:$BO$1005,1,MATCH(COLUMNS($AN$1006:AO1006),$AN$1006:$BO$1006,0))&gt;=100000), " ",IF(INDEX($AN$2:$BO$1001,MATCH(ROWS($AG$2:AG763),$AG$2:$AG$1001,0),MATCH(COLUMNS($AN$1006:AO1006),$AN$1006:$BO$1006,0)), HYPERLINK("#",""), HYPERLINK(CONCATENATE("#Metadata!", ADDRESS(INDEX($AI$2:$AI$1001,MATCH(ROWS($AG$2:AG763),$AG$2:$AG$1001,0),0), INDEX($AN$1004:$BO$1004,1,MATCH(COLUMNS($AN$1006:AO1006),$AN$1006:$BO$1006,0)))),"Fix")))</f>
        <v>0</v>
      </c>
      <c r="D763" s="4">
        <f>IF(OR(INDEX($AH$2:$AH$1001,MATCH(ROWS($AG$2:AG763),$AG$2:$AG$1001,0),1)&gt;=100000,INDEX($AN$1005:$BO$1005,1,MATCH(COLUMNS($AN$1006:AP1006),$AN$1006:$BO$1006,0))&gt;=100000), " ",IF(INDEX($AN$2:$BO$1001,MATCH(ROWS($AG$2:AG763),$AG$2:$AG$1001,0),MATCH(COLUMNS($AN$1006:AP1006),$AN$1006:$BO$1006,0)), HYPERLINK("#",""), HYPERLINK(CONCATENATE("#Metadata!", ADDRESS(INDEX($AI$2:$AI$1001,MATCH(ROWS($AG$2:AG763),$AG$2:$AG$1001,0),0), INDEX($AN$1004:$BO$1004,1,MATCH(COLUMNS($AN$1006:AP1006),$AN$1006:$BO$1006,0)))),"Fix")))</f>
        <v>0</v>
      </c>
      <c r="E763" s="4">
        <f>IF(OR(INDEX($AH$2:$AH$1001,MATCH(ROWS($AG$2:AG763),$AG$2:$AG$1001,0),1)&gt;=100000,INDEX($AN$1005:$BO$1005,1,MATCH(COLUMNS($AN$1006:AQ1006),$AN$1006:$BO$1006,0))&gt;=100000), " ",IF(INDEX($AN$2:$BO$1001,MATCH(ROWS($AG$2:AG763),$AG$2:$AG$1001,0),MATCH(COLUMNS($AN$1006:AQ1006),$AN$1006:$BO$1006,0)), HYPERLINK("#",""), HYPERLINK(CONCATENATE("#Metadata!", ADDRESS(INDEX($AI$2:$AI$1001,MATCH(ROWS($AG$2:AG763),$AG$2:$AG$1001,0),0), INDEX($AN$1004:$BO$1004,1,MATCH(COLUMNS($AN$1006:AQ1006),$AN$1006:$BO$1006,0)))),"Fix")))</f>
        <v>0</v>
      </c>
      <c r="F763" s="4">
        <f>IF(OR(INDEX($AH$2:$AH$1001,MATCH(ROWS($AG$2:AG763),$AG$2:$AG$1001,0),1)&gt;=100000,INDEX($AN$1005:$BO$1005,1,MATCH(COLUMNS($AN$1006:AR1006),$AN$1006:$BO$1006,0))&gt;=100000), " ",IF(INDEX($AN$2:$BO$1001,MATCH(ROWS($AG$2:AG763),$AG$2:$AG$1001,0),MATCH(COLUMNS($AN$1006:AR1006),$AN$1006:$BO$1006,0)), HYPERLINK("#",""), HYPERLINK(CONCATENATE("#Metadata!", ADDRESS(INDEX($AI$2:$AI$1001,MATCH(ROWS($AG$2:AG763),$AG$2:$AG$1001,0),0), INDEX($AN$1004:$BO$1004,1,MATCH(COLUMNS($AN$1006:AR1006),$AN$1006:$BO$1006,0)))),"Fix")))</f>
        <v>0</v>
      </c>
      <c r="G763" s="4">
        <f>IF(OR(INDEX($AH$2:$AH$1001,MATCH(ROWS($AG$2:AG763),$AG$2:$AG$1001,0),1)&gt;=100000,INDEX($AN$1005:$BO$1005,1,MATCH(COLUMNS($AN$1006:AS1006),$AN$1006:$BO$1006,0))&gt;=100000), " ",IF(INDEX($AN$2:$BO$1001,MATCH(ROWS($AG$2:AG763),$AG$2:$AG$1001,0),MATCH(COLUMNS($AN$1006:AS1006),$AN$1006:$BO$1006,0)), HYPERLINK("#",""), HYPERLINK(CONCATENATE("#Metadata!", ADDRESS(INDEX($AI$2:$AI$1001,MATCH(ROWS($AG$2:AG763),$AG$2:$AG$1001,0),0), INDEX($AN$1004:$BO$1004,1,MATCH(COLUMNS($AN$1006:AS1006),$AN$1006:$BO$1006,0)))),"Fix")))</f>
        <v>0</v>
      </c>
      <c r="H763" s="4">
        <f>IF(OR(INDEX($AH$2:$AH$1001,MATCH(ROWS($AG$2:AG763),$AG$2:$AG$1001,0),1)&gt;=100000,INDEX($AN$1005:$BO$1005,1,MATCH(COLUMNS($AN$1006:AT1006),$AN$1006:$BO$1006,0))&gt;=100000), " ",IF(INDEX($AN$2:$BO$1001,MATCH(ROWS($AG$2:AG763),$AG$2:$AG$1001,0),MATCH(COLUMNS($AN$1006:AT1006),$AN$1006:$BO$1006,0)), HYPERLINK("#",""), HYPERLINK(CONCATENATE("#Metadata!", ADDRESS(INDEX($AI$2:$AI$1001,MATCH(ROWS($AG$2:AG763),$AG$2:$AG$1001,0),0), INDEX($AN$1004:$BO$1004,1,MATCH(COLUMNS($AN$1006:AT1006),$AN$1006:$BO$1006,0)))),"Fix")))</f>
        <v>0</v>
      </c>
      <c r="I763" s="4">
        <f>IF(OR(INDEX($AH$2:$AH$1001,MATCH(ROWS($AG$2:AG763),$AG$2:$AG$1001,0),1)&gt;=100000,INDEX($AN$1005:$BO$1005,1,MATCH(COLUMNS($AN$1006:AU1006),$AN$1006:$BO$1006,0))&gt;=100000), " ",IF(INDEX($AN$2:$BO$1001,MATCH(ROWS($AG$2:AG763),$AG$2:$AG$1001,0),MATCH(COLUMNS($AN$1006:AU1006),$AN$1006:$BO$1006,0)), HYPERLINK("#",""), HYPERLINK(CONCATENATE("#Metadata!", ADDRESS(INDEX($AI$2:$AI$1001,MATCH(ROWS($AG$2:AG763),$AG$2:$AG$1001,0),0), INDEX($AN$1004:$BO$1004,1,MATCH(COLUMNS($AN$1006:AU1006),$AN$1006:$BO$1006,0)))),"Fix")))</f>
        <v>0</v>
      </c>
      <c r="J763" s="4">
        <f>IF(OR(INDEX($AH$2:$AH$1001,MATCH(ROWS($AG$2:AG763),$AG$2:$AG$1001,0),1)&gt;=100000,INDEX($AN$1005:$BO$1005,1,MATCH(COLUMNS($AN$1006:AV1006),$AN$1006:$BO$1006,0))&gt;=100000), " ",IF(INDEX($AN$2:$BO$1001,MATCH(ROWS($AG$2:AG763),$AG$2:$AG$1001,0),MATCH(COLUMNS($AN$1006:AV1006),$AN$1006:$BO$1006,0)), HYPERLINK("#",""), HYPERLINK(CONCATENATE("#Metadata!", ADDRESS(INDEX($AI$2:$AI$1001,MATCH(ROWS($AG$2:AG763),$AG$2:$AG$1001,0),0), INDEX($AN$1004:$BO$1004,1,MATCH(COLUMNS($AN$1006:AV1006),$AN$1006:$BO$1006,0)))),"Fix")))</f>
        <v>0</v>
      </c>
      <c r="K763" s="4">
        <f>IF(OR(INDEX($AH$2:$AH$1001,MATCH(ROWS($AG$2:AG763),$AG$2:$AG$1001,0),1)&gt;=100000,INDEX($AN$1005:$BO$1005,1,MATCH(COLUMNS($AN$1006:AW1006),$AN$1006:$BO$1006,0))&gt;=100000), " ",IF(INDEX($AN$2:$BO$1001,MATCH(ROWS($AG$2:AG763),$AG$2:$AG$1001,0),MATCH(COLUMNS($AN$1006:AW1006),$AN$1006:$BO$1006,0)), HYPERLINK("#",""), HYPERLINK(CONCATENATE("#Metadata!", ADDRESS(INDEX($AI$2:$AI$1001,MATCH(ROWS($AG$2:AG763),$AG$2:$AG$1001,0),0), INDEX($AN$1004:$BO$1004,1,MATCH(COLUMNS($AN$1006:AW1006),$AN$1006:$BO$1006,0)))),"Fix")))</f>
        <v>0</v>
      </c>
      <c r="L763" s="4">
        <f>IF(OR(INDEX($AH$2:$AH$1001,MATCH(ROWS($AG$2:AG763),$AG$2:$AG$1001,0),1)&gt;=100000,INDEX($AN$1005:$BO$1005,1,MATCH(COLUMNS($AN$1006:AX1006),$AN$1006:$BO$1006,0))&gt;=100000), " ",IF(INDEX($AN$2:$BO$1001,MATCH(ROWS($AG$2:AG763),$AG$2:$AG$1001,0),MATCH(COLUMNS($AN$1006:AX1006),$AN$1006:$BO$1006,0)), HYPERLINK("#",""), HYPERLINK(CONCATENATE("#Metadata!", ADDRESS(INDEX($AI$2:$AI$1001,MATCH(ROWS($AG$2:AG763),$AG$2:$AG$1001,0),0), INDEX($AN$1004:$BO$1004,1,MATCH(COLUMNS($AN$1006:AX1006),$AN$1006:$BO$1006,0)))),"Fix")))</f>
        <v>0</v>
      </c>
      <c r="M763" s="4">
        <f>IF(OR(INDEX($AH$2:$AH$1001,MATCH(ROWS($AG$2:AG763),$AG$2:$AG$1001,0),1)&gt;=100000,INDEX($AN$1005:$BO$1005,1,MATCH(COLUMNS($AN$1006:AY1006),$AN$1006:$BO$1006,0))&gt;=100000), " ",IF(INDEX($AN$2:$BO$1001,MATCH(ROWS($AG$2:AG763),$AG$2:$AG$1001,0),MATCH(COLUMNS($AN$1006:AY1006),$AN$1006:$BO$1006,0)), HYPERLINK("#",""), HYPERLINK(CONCATENATE("#Metadata!", ADDRESS(INDEX($AI$2:$AI$1001,MATCH(ROWS($AG$2:AG763),$AG$2:$AG$1001,0),0), INDEX($AN$1004:$BO$1004,1,MATCH(COLUMNS($AN$1006:AY1006),$AN$1006:$BO$1006,0)))),"Fix")))</f>
        <v>0</v>
      </c>
      <c r="N763" s="4">
        <f>IF(OR(INDEX($AH$2:$AH$1001,MATCH(ROWS($AG$2:AG763),$AG$2:$AG$1001,0),1)&gt;=100000,INDEX($AN$1005:$BO$1005,1,MATCH(COLUMNS($AN$1006:AZ1006),$AN$1006:$BO$1006,0))&gt;=100000), " ",IF(INDEX($AN$2:$BO$1001,MATCH(ROWS($AG$2:AG763),$AG$2:$AG$1001,0),MATCH(COLUMNS($AN$1006:AZ1006),$AN$1006:$BO$1006,0)), HYPERLINK("#",""), HYPERLINK(CONCATENATE("#Metadata!", ADDRESS(INDEX($AI$2:$AI$1001,MATCH(ROWS($AG$2:AG763),$AG$2:$AG$1001,0),0), INDEX($AN$1004:$BO$1004,1,MATCH(COLUMNS($AN$1006:AZ1006),$AN$1006:$BO$1006,0)))),"Fix")))</f>
        <v>0</v>
      </c>
      <c r="O763" s="4">
        <f>IF(OR(INDEX($AH$2:$AH$1001,MATCH(ROWS($AG$2:AG763),$AG$2:$AG$1001,0),1)&gt;=100000,INDEX($AN$1005:$BO$1005,1,MATCH(COLUMNS($AN$1006:BA1006),$AN$1006:$BO$1006,0))&gt;=100000), " ",IF(INDEX($AN$2:$BO$1001,MATCH(ROWS($AG$2:AG763),$AG$2:$AG$1001,0),MATCH(COLUMNS($AN$1006:BA1006),$AN$1006:$BO$1006,0)), HYPERLINK("#",""), HYPERLINK(CONCATENATE("#Metadata!", ADDRESS(INDEX($AI$2:$AI$1001,MATCH(ROWS($AG$2:AG763),$AG$2:$AG$1001,0),0), INDEX($AN$1004:$BO$1004,1,MATCH(COLUMNS($AN$1006:BA1006),$AN$1006:$BO$1006,0)))),"Fix")))</f>
        <v>0</v>
      </c>
      <c r="P763" s="4">
        <f>IF(OR(INDEX($AH$2:$AH$1001,MATCH(ROWS($AG$2:AG763),$AG$2:$AG$1001,0),1)&gt;=100000,INDEX($AN$1005:$BO$1005,1,MATCH(COLUMNS($AN$1006:BB1006),$AN$1006:$BO$1006,0))&gt;=100000), " ",IF(INDEX($AN$2:$BO$1001,MATCH(ROWS($AG$2:AG763),$AG$2:$AG$1001,0),MATCH(COLUMNS($AN$1006:BB1006),$AN$1006:$BO$1006,0)), HYPERLINK("#",""), HYPERLINK(CONCATENATE("#Metadata!", ADDRESS(INDEX($AI$2:$AI$1001,MATCH(ROWS($AG$2:AG763),$AG$2:$AG$1001,0),0), INDEX($AN$1004:$BO$1004,1,MATCH(COLUMNS($AN$1006:BB1006),$AN$1006:$BO$1006,0)))),"Fix")))</f>
        <v>0</v>
      </c>
      <c r="Q763" s="4">
        <f>IF(OR(INDEX($AH$2:$AH$1001,MATCH(ROWS($AG$2:AG763),$AG$2:$AG$1001,0),1)&gt;=100000,INDEX($AN$1005:$BO$1005,1,MATCH(COLUMNS($AN$1006:BC1006),$AN$1006:$BO$1006,0))&gt;=100000), " ",IF(INDEX($AN$2:$BO$1001,MATCH(ROWS($AG$2:AG763),$AG$2:$AG$1001,0),MATCH(COLUMNS($AN$1006:BC1006),$AN$1006:$BO$1006,0)), HYPERLINK("#",""), HYPERLINK(CONCATENATE("#Metadata!", ADDRESS(INDEX($AI$2:$AI$1001,MATCH(ROWS($AG$2:AG763),$AG$2:$AG$1001,0),0), INDEX($AN$1004:$BO$1004,1,MATCH(COLUMNS($AN$1006:BC1006),$AN$1006:$BO$1006,0)))),"Fix")))</f>
        <v>0</v>
      </c>
      <c r="R763" s="4">
        <f>IF(OR(INDEX($AH$2:$AH$1001,MATCH(ROWS($AG$2:AG763),$AG$2:$AG$1001,0),1)&gt;=100000,INDEX($AN$1005:$BO$1005,1,MATCH(COLUMNS($AN$1006:BD1006),$AN$1006:$BO$1006,0))&gt;=100000), " ",IF(INDEX($AN$2:$BO$1001,MATCH(ROWS($AG$2:AG763),$AG$2:$AG$1001,0),MATCH(COLUMNS($AN$1006:BD1006),$AN$1006:$BO$1006,0)), HYPERLINK("#",""), HYPERLINK(CONCATENATE("#Metadata!", ADDRESS(INDEX($AI$2:$AI$1001,MATCH(ROWS($AG$2:AG763),$AG$2:$AG$1001,0),0), INDEX($AN$1004:$BO$1004,1,MATCH(COLUMNS($AN$1006:BD1006),$AN$1006:$BO$1006,0)))),"Fix")))</f>
        <v>0</v>
      </c>
      <c r="S763" s="4">
        <f>IF(OR(INDEX($AH$2:$AH$1001,MATCH(ROWS($AG$2:AG763),$AG$2:$AG$1001,0),1)&gt;=100000,INDEX($AN$1005:$BO$1005,1,MATCH(COLUMNS($AN$1006:BE1006),$AN$1006:$BO$1006,0))&gt;=100000), " ",IF(INDEX($AN$2:$BO$1001,MATCH(ROWS($AG$2:AG763),$AG$2:$AG$1001,0),MATCH(COLUMNS($AN$1006:BE1006),$AN$1006:$BO$1006,0)), HYPERLINK("#",""), HYPERLINK(CONCATENATE("#Metadata!", ADDRESS(INDEX($AI$2:$AI$1001,MATCH(ROWS($AG$2:AG763),$AG$2:$AG$1001,0),0), INDEX($AN$1004:$BO$1004,1,MATCH(COLUMNS($AN$1006:BE1006),$AN$1006:$BO$1006,0)))),"Fix")))</f>
        <v>0</v>
      </c>
      <c r="T763" s="4">
        <f>IF(OR(INDEX($AH$2:$AH$1001,MATCH(ROWS($AG$2:AG763),$AG$2:$AG$1001,0),1)&gt;=100000,INDEX($AN$1005:$BO$1005,1,MATCH(COLUMNS($AN$1006:BF1006),$AN$1006:$BO$1006,0))&gt;=100000), " ",IF(INDEX($AN$2:$BO$1001,MATCH(ROWS($AG$2:AG763),$AG$2:$AG$1001,0),MATCH(COLUMNS($AN$1006:BF1006),$AN$1006:$BO$1006,0)), HYPERLINK("#",""), HYPERLINK(CONCATENATE("#Metadata!", ADDRESS(INDEX($AI$2:$AI$1001,MATCH(ROWS($AG$2:AG763),$AG$2:$AG$1001,0),0), INDEX($AN$1004:$BO$1004,1,MATCH(COLUMNS($AN$1006:BF1006),$AN$1006:$BO$1006,0)))),"Fix")))</f>
        <v>0</v>
      </c>
      <c r="U763" s="4">
        <f>IF(OR(INDEX($AH$2:$AH$1001,MATCH(ROWS($AG$2:AG763),$AG$2:$AG$1001,0),1)&gt;=100000,INDEX($AN$1005:$BO$1005,1,MATCH(COLUMNS($AN$1006:BG1006),$AN$1006:$BO$1006,0))&gt;=100000), " ",IF(INDEX($AN$2:$BO$1001,MATCH(ROWS($AG$2:AG763),$AG$2:$AG$1001,0),MATCH(COLUMNS($AN$1006:BG1006),$AN$1006:$BO$1006,0)), HYPERLINK("#",""), HYPERLINK(CONCATENATE("#Metadata!", ADDRESS(INDEX($AI$2:$AI$1001,MATCH(ROWS($AG$2:AG763),$AG$2:$AG$1001,0),0), INDEX($AN$1004:$BO$1004,1,MATCH(COLUMNS($AN$1006:BG1006),$AN$1006:$BO$1006,0)))),"Fix")))</f>
        <v>0</v>
      </c>
      <c r="V763" s="4">
        <f>IF(OR(INDEX($AH$2:$AH$1001,MATCH(ROWS($AG$2:AG763),$AG$2:$AG$1001,0),1)&gt;=100000,INDEX($AN$1005:$BO$1005,1,MATCH(COLUMNS($AN$1006:BH1006),$AN$1006:$BO$1006,0))&gt;=100000), " ",IF(INDEX($AN$2:$BO$1001,MATCH(ROWS($AG$2:AG763),$AG$2:$AG$1001,0),MATCH(COLUMNS($AN$1006:BH1006),$AN$1006:$BO$1006,0)), HYPERLINK("#",""), HYPERLINK(CONCATENATE("#Metadata!", ADDRESS(INDEX($AI$2:$AI$1001,MATCH(ROWS($AG$2:AG763),$AG$2:$AG$1001,0),0), INDEX($AN$1004:$BO$1004,1,MATCH(COLUMNS($AN$1006:BH1006),$AN$1006:$BO$1006,0)))),"Fix")))</f>
        <v>0</v>
      </c>
      <c r="W763" s="4">
        <f>IF(OR(INDEX($AH$2:$AH$1001,MATCH(ROWS($AG$2:AG763),$AG$2:$AG$1001,0),1)&gt;=100000,INDEX($AN$1005:$BO$1005,1,MATCH(COLUMNS($AN$1006:BI1006),$AN$1006:$BO$1006,0))&gt;=100000), " ",IF(INDEX($AN$2:$BO$1001,MATCH(ROWS($AG$2:AG763),$AG$2:$AG$1001,0),MATCH(COLUMNS($AN$1006:BI1006),$AN$1006:$BO$1006,0)), HYPERLINK("#",""), HYPERLINK(CONCATENATE("#Metadata!", ADDRESS(INDEX($AI$2:$AI$1001,MATCH(ROWS($AG$2:AG763),$AG$2:$AG$1001,0),0), INDEX($AN$1004:$BO$1004,1,MATCH(COLUMNS($AN$1006:BI1006),$AN$1006:$BO$1006,0)))),"Fix")))</f>
        <v>0</v>
      </c>
      <c r="X763" s="4">
        <f>IF(OR(INDEX($AH$2:$AH$1001,MATCH(ROWS($AG$2:AG763),$AG$2:$AG$1001,0),1)&gt;=100000,INDEX($AN$1005:$BO$1005,1,MATCH(COLUMNS($AN$1006:BJ1006),$AN$1006:$BO$1006,0))&gt;=100000), " ",IF(INDEX($AN$2:$BO$1001,MATCH(ROWS($AG$2:AG763),$AG$2:$AG$1001,0),MATCH(COLUMNS($AN$1006:BJ1006),$AN$1006:$BO$1006,0)), HYPERLINK("#",""), HYPERLINK(CONCATENATE("#Metadata!", ADDRESS(INDEX($AI$2:$AI$1001,MATCH(ROWS($AG$2:AG763),$AG$2:$AG$1001,0),0), INDEX($AN$1004:$BO$1004,1,MATCH(COLUMNS($AN$1006:BJ1006),$AN$1006:$BO$1006,0)))),"Fix")))</f>
        <v>0</v>
      </c>
      <c r="Y763" s="4">
        <f>IF(OR(INDEX($AH$2:$AH$1001,MATCH(ROWS($AG$2:AG763),$AG$2:$AG$1001,0),1)&gt;=100000,INDEX($AN$1005:$BO$1005,1,MATCH(COLUMNS($AN$1006:BK1006),$AN$1006:$BO$1006,0))&gt;=100000), " ",IF(INDEX($AN$2:$BO$1001,MATCH(ROWS($AG$2:AG763),$AG$2:$AG$1001,0),MATCH(COLUMNS($AN$1006:BK1006),$AN$1006:$BO$1006,0)), HYPERLINK("#",""), HYPERLINK(CONCATENATE("#Metadata!", ADDRESS(INDEX($AI$2:$AI$1001,MATCH(ROWS($AG$2:AG763),$AG$2:$AG$1001,0),0), INDEX($AN$1004:$BO$1004,1,MATCH(COLUMNS($AN$1006:BK1006),$AN$1006:$BO$1006,0)))),"Fix")))</f>
        <v>0</v>
      </c>
      <c r="Z763" s="4">
        <f>IF(OR(INDEX($AH$2:$AH$1001,MATCH(ROWS($AG$2:AG763),$AG$2:$AG$1001,0),1)&gt;=100000,INDEX($AN$1005:$BO$1005,1,MATCH(COLUMNS($AN$1006:BL1006),$AN$1006:$BO$1006,0))&gt;=100000), " ",IF(INDEX($AN$2:$BO$1001,MATCH(ROWS($AG$2:AG763),$AG$2:$AG$1001,0),MATCH(COLUMNS($AN$1006:BL1006),$AN$1006:$BO$1006,0)), HYPERLINK("#",""), HYPERLINK(CONCATENATE("#Metadata!", ADDRESS(INDEX($AI$2:$AI$1001,MATCH(ROWS($AG$2:AG763),$AG$2:$AG$1001,0),0), INDEX($AN$1004:$BO$1004,1,MATCH(COLUMNS($AN$1006:BL1006),$AN$1006:$BO$1006,0)))),"Fix")))</f>
        <v>0</v>
      </c>
      <c r="AA763" s="4">
        <f>IF(OR(INDEX($AH$2:$AH$1001,MATCH(ROWS($AG$2:AG763),$AG$2:$AG$1001,0),1)&gt;=100000,INDEX($AN$1005:$BO$1005,1,MATCH(COLUMNS($AN$1006:BM1006),$AN$1006:$BO$1006,0))&gt;=100000), " ",IF(INDEX($AN$2:$BO$1001,MATCH(ROWS($AG$2:AG763),$AG$2:$AG$1001,0),MATCH(COLUMNS($AN$1006:BM1006),$AN$1006:$BO$1006,0)), HYPERLINK("#",""), HYPERLINK(CONCATENATE("#Metadata!", ADDRESS(INDEX($AI$2:$AI$1001,MATCH(ROWS($AG$2:AG763),$AG$2:$AG$1001,0),0), INDEX($AN$1004:$BO$1004,1,MATCH(COLUMNS($AN$1006:BM1006),$AN$1006:$BO$1006,0)))),"Fix")))</f>
        <v>0</v>
      </c>
      <c r="AB763" s="4">
        <f>IF(OR(INDEX($AH$2:$AH$1001,MATCH(ROWS($AG$2:AG763),$AG$2:$AG$1001,0),1)&gt;=100000,INDEX($AN$1005:$BO$1005,1,MATCH(COLUMNS($AN$1006:BN1006),$AN$1006:$BO$1006,0))&gt;=100000), " ",IF(INDEX($AN$2:$BO$1001,MATCH(ROWS($AG$2:AG763),$AG$2:$AG$1001,0),MATCH(COLUMNS($AN$1006:BN1006),$AN$1006:$BO$1006,0)), HYPERLINK("#",""), HYPERLINK(CONCATENATE("#Metadata!", ADDRESS(INDEX($AI$2:$AI$1001,MATCH(ROWS($AG$2:AG763),$AG$2:$AG$1001,0),0), INDEX($AN$1004:$BO$1004,1,MATCH(COLUMNS($AN$1006:BN1006),$AN$1006:$BO$1006,0)))),"Fix")))</f>
        <v>0</v>
      </c>
      <c r="AC763" s="4">
        <f>IF(OR(INDEX($AH$2:$AH$1001,MATCH(ROWS($AG$2:AG763),$AG$2:$AG$1001,0),1)&gt;=100000,INDEX($AN$1005:$BO$1005,1,MATCH(COLUMNS($AN$1006:BO1006),$AN$1006:$BO$1006,0))&gt;=100000), " ",IF(INDEX($AN$2:$BO$1001,MATCH(ROWS($AG$2:AG763),$AG$2:$AG$1001,0),MATCH(COLUMNS($AN$1006:BO1006),$AN$1006:$BO$1006,0)), HYPERLINK("#",""), HYPERLINK(CONCATENATE("#Metadata!", ADDRESS(INDEX($AI$2:$AI$1001,MATCH(ROWS($AG$2:AG763),$AG$2:$AG$1001,0),0), INDEX($AN$1004:$BO$1004,1,MATCH(COLUMNS($AN$1006:BO1006),$AN$1006:$BO$1006,0)))),"Fix")))</f>
        <v>0</v>
      </c>
      <c r="AG763">
        <v>0</v>
      </c>
      <c r="AH763">
        <v>0</v>
      </c>
      <c r="AI763">
        <v>0</v>
      </c>
      <c r="AJ763">
        <f>IF(AK763,TRUE,AND(AN763:BO763))</f>
        <v>0</v>
      </c>
      <c r="AK763">
        <f>COUNTBLANK(Metadata!B763:AC763)=COLUMNS(Metadata!B763:AC763)</f>
        <v>0</v>
      </c>
      <c r="AL763">
        <v>0</v>
      </c>
      <c r="AN763">
        <f>AND(IF(Metadata!B763="",FALSE,TRUE),COUNTIF(Metadata!B:B, Metadata!B763) = 1,NOT(ISERROR(SUMPRODUCT(SEARCH(MID(Metadata!B763,ROW(INDIRECT("1:"&amp;LEN(Metadata!B763))), 1),"0123456789abcdefghijklmnopqrstuvwxyzABCDEFGHIJKLMNOPQRSTUVWXYZ.")))))</f>
        <v>0</v>
      </c>
      <c r="AO763">
        <f>IF(Metadata!C763="",FALSE,TRUE)</f>
        <v>0</v>
      </c>
      <c r="AP763">
        <f>IF(Metadata!D763="",FALSE,TRUE)</f>
        <v>0</v>
      </c>
      <c r="AQ763">
        <f>OR(AND(IF(Metadata!E763="",FALSE,TRUE),OR(exact(Metadata!E763,"not collected"),exact(Metadata!E763,"not provided"),exact(Metadata!E763,"restricted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R763">
        <f>IF(Metadata!F763="",FALSE,TRUE)</f>
        <v>0</v>
      </c>
      <c r="AS763">
        <f>OR(AND(IF(Metadata!G763="",FALSE,TRUE),OR(exact(Metadata!G763,"not collected"),exact(Metadata!G763,"not provided"))),AND(IF(Metadata!G763="",FALSE,TRUE),OR(exact(Metadata!G763,"TRUE"),exact(Metadata!G763,"FALSE"))))</f>
        <v>0</v>
      </c>
      <c r="AT763">
        <f>OR(AND(IF(Metadata!H763="",FALSE,TRUE),OR(exact(Metadata!H763,"not collected"),exact(Metadata!H763,"not provided"),exact(Metadata!H763,"restricted access"))),AND(IF(Metadata!H763="",FALSE,ISNUMBER(VALUE(Metadata!H763))),Metadata!H763&gt;=-413.0))</f>
        <v>0</v>
      </c>
      <c r="AU763">
        <f>AND(IF(Metadata!I763="",FALSE,TRUE),exact(Metadata!I763,"meters"))</f>
        <v>0</v>
      </c>
      <c r="AV763">
        <f>AND(IF(Metadata!J763="",FALSE,TRUE),OR(exact(Metadata!J763,"Host-associated"),exact(Metadata!J763,"Free-living")))</f>
        <v>0</v>
      </c>
      <c r="AW763">
        <f>AND(IF(Metadata!K763="",FALSE,TRUE),OR(exact(Metadata!K763,"Animal"),exact(Metadata!K763,"Fungus"),exact(Metadata!K763,"Plant"),exact(Metadata!K763,"Saline"),exact(Metadata!K763,"Non-saline")))</f>
        <v>0</v>
      </c>
      <c r="AX763">
        <f>AND(IF(Metadata!L763="",FALSE,TRUE),OR(exact(Metadata!L763,"Plant secretion"),exact(Metadata!L763,"Plant rhizosphere"),exact(Metadata!L763,"Plant surface"),exact(Metadata!L763,"Plant corpus"),exact(Metadata!L763,"Fungus surface"),exact(Metadata!L763,"Fungus corpus"),exact(Metadata!L763,"Animal surface"),exact(Metadata!L763,"Animal proximal gut"),exact(Metadata!L763,"Animal corpus"),exact(Metadata!L763,"Animal distal gut"),exact(Metadata!L763,"Animal secretion"),exact(Metadata!L763,"Sub-surface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Y763">
        <f>IF(Metadata!M763="",FALSE,TRUE)</f>
        <v>0</v>
      </c>
      <c r="AZ763">
        <f>IF(Metadata!N763="",FALSE,TRUE)</f>
        <v>0</v>
      </c>
      <c r="BA763">
        <f>IF(Metadata!O763="",FALSE,TRUE)</f>
        <v>0</v>
      </c>
      <c r="BB763">
        <f>OR(AND(IF(Metadata!P763="",FALSE,TRUE),OR(exact(Metadata!P763,"not collected"),exact(Metadata!P763,"not provided"),exact(Metadata!P763,"restricted access"))),AND(IF(Metadata!P763="",FALSE,TRUE),OR(exact(Metadata!P763,"air"),exact(Metadata!P763,"built environment"),exact(Metadata!P763,"host-associated"),exact(Metadata!P763,"human-associated"),exact(Metadata!P763,"human-skin"),exact(Metadata!P763,"human-oral"),exact(Metadata!P763,"human-gut"),exact(Metadata!P763,"human-vaginal"),exact(Metadata!P763,"microbial mat/biofilm"),exact(Metadata!P763,"misc environment"),exact(Metadata!P763,"plant-associated"),exact(Metadata!P763,"sediment"),exact(Metadata!P763,"soil"),exact(Metadata!P763,"wastewater/sludge"),exact(Metadata!P763,"water"))))</f>
        <v>0</v>
      </c>
      <c r="BC763">
        <f>IF(Metadata!Q763="",FALSE,TRUE)</f>
        <v>0</v>
      </c>
      <c r="BD763">
        <f>IF(Metadata!R763="",FALSE,TRUE)</f>
        <v>0</v>
      </c>
      <c r="BE763">
        <f>OR(AND(IF(Metadata!S763="",FALSE,TRUE),OR(exact(Metadata!S763,"not collected"),exact(Metadata!S763,"not provided"),exact(Metadata!S763,"restricted access"))),AND(IF(Metadata!S763="",FALSE,ISNUMBER(VALUE(Metadata!S763))),Metadata!S763&gt;=-90.00,Metadata!S763&lt;=90.00))</f>
        <v>0</v>
      </c>
      <c r="BF763">
        <f>AND(IF(Metadata!T763="",FALSE,TRUE),exact(Metadata!T763,"Decimal degrees"))</f>
        <v>0</v>
      </c>
      <c r="BG763">
        <f>OR(AND(IF(Metadata!U763="",FALSE,TRUE),OR(exact(Metadata!U763,"not collected"),exact(Metadata!U763,"not provided"),exact(Metadata!U763,"restricted access"))),AND(IF(Metadata!U763="",FALSE,ISNUMBER(VALUE(Metadata!U763))),Metadata!U763&gt;=-180.00,Metadata!U763&lt;=180.00))</f>
        <v>0</v>
      </c>
      <c r="BH763">
        <f>AND(IF(Metadata!V763="",FALSE,TRUE),exact(Metadata!V763,"Decimal degrees"))</f>
        <v>0</v>
      </c>
      <c r="BI763">
        <f>IF(Metadata!W763="",FALSE,TRUE)</f>
        <v>0</v>
      </c>
      <c r="BJ763">
        <f>OR(AND(IF(Metadata!X763="",FALSE,TRUE),OR(exact(Metadata!X763,"not collected"),exact(Metadata!X763,"not provided"),exact(Metadata!X763,"restricted access"))),AND(IF(Metadata!X763="",FALSE,TRUE),OR(exact(Metadata!X763,"TRUE"),exact(Metadata!X763,"FALSE"))))</f>
        <v>0</v>
      </c>
      <c r="BK763">
        <f>AND(IF(Metadata!Y763="",FALSE,TRUE),exact(Metadata!Y763,"other"))</f>
        <v>0</v>
      </c>
      <c r="BL763">
        <f>IF(Metadata!Z763="",FALSE,TRUE)</f>
        <v>0</v>
      </c>
      <c r="BM763">
        <f>OR(AND(IF(Metadata!AA763="",FALSE,TRUE),OR(exact(Metadata!AA763,"not collected"),exact(Metadata!AA763,"not provided"))),AND(IF(Metadata!AA763="",FALSE,IF(ISERROR(INT(Metadata!AA763)),FALSE,INT(Metadata!AA763)=Metadata!AA763)),Metadata!AA763&gt;0))</f>
        <v>0</v>
      </c>
      <c r="BN763">
        <f>AND(IF(Metadata!AB763="",FALSE,TRUE),exact(Metadata!AB763,"Not applicable"))</f>
        <v>0</v>
      </c>
      <c r="BO763">
        <f>IF(Metadata!AC763="",FALSE,TRUE)</f>
        <v>0</v>
      </c>
    </row>
    <row r="764" spans="1:67">
      <c r="A764" s="5">
        <f>IF(B764=" "," ",HYPERLINK(CONCATENATE("#metadata!",ADDRESS(INDEX($AI$2:$AI$1001,MATCH(ROWS($AG$2:AG764),$AG$2:$AG$1001,0),0),1)),INDEX($AL$2:$AL$1001,MATCH(ROWS($AG$2:AG764),$AG$2:$AG$1001,0),0)))</f>
        <v>0</v>
      </c>
      <c r="B764" s="4">
        <f>IF(OR(INDEX($AH$2:$AH$1001,MATCH(ROWS($AG$2:AG764),$AG$2:$AG$1001,0),1)&gt;=100000,INDEX($AN$1005:$BO$1005,1,MATCH(COLUMNS($AN$1006:AN1006),$AN$1006:$BO$1006,0))&gt;=100000), " ",IF(INDEX($AN$2:$BO$1001,MATCH(ROWS($AG$2:AG764),$AG$2:$AG$1001,0),MATCH(COLUMNS($AN$1006:AN1006),$AN$1006:$BO$1006,0)), HYPERLINK("#",""), HYPERLINK(CONCATENATE("#Metadata!", ADDRESS(INDEX($AI$2:$AI$1001,MATCH(ROWS($AG$2:AG764),$AG$2:$AG$1001,0),0), INDEX($AN$1004:$BO$1004,1,MATCH(COLUMNS($AN$1006:AN1006),$AN$1006:$BO$1006,0)))),"Fix")))</f>
        <v>0</v>
      </c>
      <c r="C764" s="4">
        <f>IF(OR(INDEX($AH$2:$AH$1001,MATCH(ROWS($AG$2:AG764),$AG$2:$AG$1001,0),1)&gt;=100000,INDEX($AN$1005:$BO$1005,1,MATCH(COLUMNS($AN$1006:AO1006),$AN$1006:$BO$1006,0))&gt;=100000), " ",IF(INDEX($AN$2:$BO$1001,MATCH(ROWS($AG$2:AG764),$AG$2:$AG$1001,0),MATCH(COLUMNS($AN$1006:AO1006),$AN$1006:$BO$1006,0)), HYPERLINK("#",""), HYPERLINK(CONCATENATE("#Metadata!", ADDRESS(INDEX($AI$2:$AI$1001,MATCH(ROWS($AG$2:AG764),$AG$2:$AG$1001,0),0), INDEX($AN$1004:$BO$1004,1,MATCH(COLUMNS($AN$1006:AO1006),$AN$1006:$BO$1006,0)))),"Fix")))</f>
        <v>0</v>
      </c>
      <c r="D764" s="4">
        <f>IF(OR(INDEX($AH$2:$AH$1001,MATCH(ROWS($AG$2:AG764),$AG$2:$AG$1001,0),1)&gt;=100000,INDEX($AN$1005:$BO$1005,1,MATCH(COLUMNS($AN$1006:AP1006),$AN$1006:$BO$1006,0))&gt;=100000), " ",IF(INDEX($AN$2:$BO$1001,MATCH(ROWS($AG$2:AG764),$AG$2:$AG$1001,0),MATCH(COLUMNS($AN$1006:AP1006),$AN$1006:$BO$1006,0)), HYPERLINK("#",""), HYPERLINK(CONCATENATE("#Metadata!", ADDRESS(INDEX($AI$2:$AI$1001,MATCH(ROWS($AG$2:AG764),$AG$2:$AG$1001,0),0), INDEX($AN$1004:$BO$1004,1,MATCH(COLUMNS($AN$1006:AP1006),$AN$1006:$BO$1006,0)))),"Fix")))</f>
        <v>0</v>
      </c>
      <c r="E764" s="4">
        <f>IF(OR(INDEX($AH$2:$AH$1001,MATCH(ROWS($AG$2:AG764),$AG$2:$AG$1001,0),1)&gt;=100000,INDEX($AN$1005:$BO$1005,1,MATCH(COLUMNS($AN$1006:AQ1006),$AN$1006:$BO$1006,0))&gt;=100000), " ",IF(INDEX($AN$2:$BO$1001,MATCH(ROWS($AG$2:AG764),$AG$2:$AG$1001,0),MATCH(COLUMNS($AN$1006:AQ1006),$AN$1006:$BO$1006,0)), HYPERLINK("#",""), HYPERLINK(CONCATENATE("#Metadata!", ADDRESS(INDEX($AI$2:$AI$1001,MATCH(ROWS($AG$2:AG764),$AG$2:$AG$1001,0),0), INDEX($AN$1004:$BO$1004,1,MATCH(COLUMNS($AN$1006:AQ1006),$AN$1006:$BO$1006,0)))),"Fix")))</f>
        <v>0</v>
      </c>
      <c r="F764" s="4">
        <f>IF(OR(INDEX($AH$2:$AH$1001,MATCH(ROWS($AG$2:AG764),$AG$2:$AG$1001,0),1)&gt;=100000,INDEX($AN$1005:$BO$1005,1,MATCH(COLUMNS($AN$1006:AR1006),$AN$1006:$BO$1006,0))&gt;=100000), " ",IF(INDEX($AN$2:$BO$1001,MATCH(ROWS($AG$2:AG764),$AG$2:$AG$1001,0),MATCH(COLUMNS($AN$1006:AR1006),$AN$1006:$BO$1006,0)), HYPERLINK("#",""), HYPERLINK(CONCATENATE("#Metadata!", ADDRESS(INDEX($AI$2:$AI$1001,MATCH(ROWS($AG$2:AG764),$AG$2:$AG$1001,0),0), INDEX($AN$1004:$BO$1004,1,MATCH(COLUMNS($AN$1006:AR1006),$AN$1006:$BO$1006,0)))),"Fix")))</f>
        <v>0</v>
      </c>
      <c r="G764" s="4">
        <f>IF(OR(INDEX($AH$2:$AH$1001,MATCH(ROWS($AG$2:AG764),$AG$2:$AG$1001,0),1)&gt;=100000,INDEX($AN$1005:$BO$1005,1,MATCH(COLUMNS($AN$1006:AS1006),$AN$1006:$BO$1006,0))&gt;=100000), " ",IF(INDEX($AN$2:$BO$1001,MATCH(ROWS($AG$2:AG764),$AG$2:$AG$1001,0),MATCH(COLUMNS($AN$1006:AS1006),$AN$1006:$BO$1006,0)), HYPERLINK("#",""), HYPERLINK(CONCATENATE("#Metadata!", ADDRESS(INDEX($AI$2:$AI$1001,MATCH(ROWS($AG$2:AG764),$AG$2:$AG$1001,0),0), INDEX($AN$1004:$BO$1004,1,MATCH(COLUMNS($AN$1006:AS1006),$AN$1006:$BO$1006,0)))),"Fix")))</f>
        <v>0</v>
      </c>
      <c r="H764" s="4">
        <f>IF(OR(INDEX($AH$2:$AH$1001,MATCH(ROWS($AG$2:AG764),$AG$2:$AG$1001,0),1)&gt;=100000,INDEX($AN$1005:$BO$1005,1,MATCH(COLUMNS($AN$1006:AT1006),$AN$1006:$BO$1006,0))&gt;=100000), " ",IF(INDEX($AN$2:$BO$1001,MATCH(ROWS($AG$2:AG764),$AG$2:$AG$1001,0),MATCH(COLUMNS($AN$1006:AT1006),$AN$1006:$BO$1006,0)), HYPERLINK("#",""), HYPERLINK(CONCATENATE("#Metadata!", ADDRESS(INDEX($AI$2:$AI$1001,MATCH(ROWS($AG$2:AG764),$AG$2:$AG$1001,0),0), INDEX($AN$1004:$BO$1004,1,MATCH(COLUMNS($AN$1006:AT1006),$AN$1006:$BO$1006,0)))),"Fix")))</f>
        <v>0</v>
      </c>
      <c r="I764" s="4">
        <f>IF(OR(INDEX($AH$2:$AH$1001,MATCH(ROWS($AG$2:AG764),$AG$2:$AG$1001,0),1)&gt;=100000,INDEX($AN$1005:$BO$1005,1,MATCH(COLUMNS($AN$1006:AU1006),$AN$1006:$BO$1006,0))&gt;=100000), " ",IF(INDEX($AN$2:$BO$1001,MATCH(ROWS($AG$2:AG764),$AG$2:$AG$1001,0),MATCH(COLUMNS($AN$1006:AU1006),$AN$1006:$BO$1006,0)), HYPERLINK("#",""), HYPERLINK(CONCATENATE("#Metadata!", ADDRESS(INDEX($AI$2:$AI$1001,MATCH(ROWS($AG$2:AG764),$AG$2:$AG$1001,0),0), INDEX($AN$1004:$BO$1004,1,MATCH(COLUMNS($AN$1006:AU1006),$AN$1006:$BO$1006,0)))),"Fix")))</f>
        <v>0</v>
      </c>
      <c r="J764" s="4">
        <f>IF(OR(INDEX($AH$2:$AH$1001,MATCH(ROWS($AG$2:AG764),$AG$2:$AG$1001,0),1)&gt;=100000,INDEX($AN$1005:$BO$1005,1,MATCH(COLUMNS($AN$1006:AV1006),$AN$1006:$BO$1006,0))&gt;=100000), " ",IF(INDEX($AN$2:$BO$1001,MATCH(ROWS($AG$2:AG764),$AG$2:$AG$1001,0),MATCH(COLUMNS($AN$1006:AV1006),$AN$1006:$BO$1006,0)), HYPERLINK("#",""), HYPERLINK(CONCATENATE("#Metadata!", ADDRESS(INDEX($AI$2:$AI$1001,MATCH(ROWS($AG$2:AG764),$AG$2:$AG$1001,0),0), INDEX($AN$1004:$BO$1004,1,MATCH(COLUMNS($AN$1006:AV1006),$AN$1006:$BO$1006,0)))),"Fix")))</f>
        <v>0</v>
      </c>
      <c r="K764" s="4">
        <f>IF(OR(INDEX($AH$2:$AH$1001,MATCH(ROWS($AG$2:AG764),$AG$2:$AG$1001,0),1)&gt;=100000,INDEX($AN$1005:$BO$1005,1,MATCH(COLUMNS($AN$1006:AW1006),$AN$1006:$BO$1006,0))&gt;=100000), " ",IF(INDEX($AN$2:$BO$1001,MATCH(ROWS($AG$2:AG764),$AG$2:$AG$1001,0),MATCH(COLUMNS($AN$1006:AW1006),$AN$1006:$BO$1006,0)), HYPERLINK("#",""), HYPERLINK(CONCATENATE("#Metadata!", ADDRESS(INDEX($AI$2:$AI$1001,MATCH(ROWS($AG$2:AG764),$AG$2:$AG$1001,0),0), INDEX($AN$1004:$BO$1004,1,MATCH(COLUMNS($AN$1006:AW1006),$AN$1006:$BO$1006,0)))),"Fix")))</f>
        <v>0</v>
      </c>
      <c r="L764" s="4">
        <f>IF(OR(INDEX($AH$2:$AH$1001,MATCH(ROWS($AG$2:AG764),$AG$2:$AG$1001,0),1)&gt;=100000,INDEX($AN$1005:$BO$1005,1,MATCH(COLUMNS($AN$1006:AX1006),$AN$1006:$BO$1006,0))&gt;=100000), " ",IF(INDEX($AN$2:$BO$1001,MATCH(ROWS($AG$2:AG764),$AG$2:$AG$1001,0),MATCH(COLUMNS($AN$1006:AX1006),$AN$1006:$BO$1006,0)), HYPERLINK("#",""), HYPERLINK(CONCATENATE("#Metadata!", ADDRESS(INDEX($AI$2:$AI$1001,MATCH(ROWS($AG$2:AG764),$AG$2:$AG$1001,0),0), INDEX($AN$1004:$BO$1004,1,MATCH(COLUMNS($AN$1006:AX1006),$AN$1006:$BO$1006,0)))),"Fix")))</f>
        <v>0</v>
      </c>
      <c r="M764" s="4">
        <f>IF(OR(INDEX($AH$2:$AH$1001,MATCH(ROWS($AG$2:AG764),$AG$2:$AG$1001,0),1)&gt;=100000,INDEX($AN$1005:$BO$1005,1,MATCH(COLUMNS($AN$1006:AY1006),$AN$1006:$BO$1006,0))&gt;=100000), " ",IF(INDEX($AN$2:$BO$1001,MATCH(ROWS($AG$2:AG764),$AG$2:$AG$1001,0),MATCH(COLUMNS($AN$1006:AY1006),$AN$1006:$BO$1006,0)), HYPERLINK("#",""), HYPERLINK(CONCATENATE("#Metadata!", ADDRESS(INDEX($AI$2:$AI$1001,MATCH(ROWS($AG$2:AG764),$AG$2:$AG$1001,0),0), INDEX($AN$1004:$BO$1004,1,MATCH(COLUMNS($AN$1006:AY1006),$AN$1006:$BO$1006,0)))),"Fix")))</f>
        <v>0</v>
      </c>
      <c r="N764" s="4">
        <f>IF(OR(INDEX($AH$2:$AH$1001,MATCH(ROWS($AG$2:AG764),$AG$2:$AG$1001,0),1)&gt;=100000,INDEX($AN$1005:$BO$1005,1,MATCH(COLUMNS($AN$1006:AZ1006),$AN$1006:$BO$1006,0))&gt;=100000), " ",IF(INDEX($AN$2:$BO$1001,MATCH(ROWS($AG$2:AG764),$AG$2:$AG$1001,0),MATCH(COLUMNS($AN$1006:AZ1006),$AN$1006:$BO$1006,0)), HYPERLINK("#",""), HYPERLINK(CONCATENATE("#Metadata!", ADDRESS(INDEX($AI$2:$AI$1001,MATCH(ROWS($AG$2:AG764),$AG$2:$AG$1001,0),0), INDEX($AN$1004:$BO$1004,1,MATCH(COLUMNS($AN$1006:AZ1006),$AN$1006:$BO$1006,0)))),"Fix")))</f>
        <v>0</v>
      </c>
      <c r="O764" s="4">
        <f>IF(OR(INDEX($AH$2:$AH$1001,MATCH(ROWS($AG$2:AG764),$AG$2:$AG$1001,0),1)&gt;=100000,INDEX($AN$1005:$BO$1005,1,MATCH(COLUMNS($AN$1006:BA1006),$AN$1006:$BO$1006,0))&gt;=100000), " ",IF(INDEX($AN$2:$BO$1001,MATCH(ROWS($AG$2:AG764),$AG$2:$AG$1001,0),MATCH(COLUMNS($AN$1006:BA1006),$AN$1006:$BO$1006,0)), HYPERLINK("#",""), HYPERLINK(CONCATENATE("#Metadata!", ADDRESS(INDEX($AI$2:$AI$1001,MATCH(ROWS($AG$2:AG764),$AG$2:$AG$1001,0),0), INDEX($AN$1004:$BO$1004,1,MATCH(COLUMNS($AN$1006:BA1006),$AN$1006:$BO$1006,0)))),"Fix")))</f>
        <v>0</v>
      </c>
      <c r="P764" s="4">
        <f>IF(OR(INDEX($AH$2:$AH$1001,MATCH(ROWS($AG$2:AG764),$AG$2:$AG$1001,0),1)&gt;=100000,INDEX($AN$1005:$BO$1005,1,MATCH(COLUMNS($AN$1006:BB1006),$AN$1006:$BO$1006,0))&gt;=100000), " ",IF(INDEX($AN$2:$BO$1001,MATCH(ROWS($AG$2:AG764),$AG$2:$AG$1001,0),MATCH(COLUMNS($AN$1006:BB1006),$AN$1006:$BO$1006,0)), HYPERLINK("#",""), HYPERLINK(CONCATENATE("#Metadata!", ADDRESS(INDEX($AI$2:$AI$1001,MATCH(ROWS($AG$2:AG764),$AG$2:$AG$1001,0),0), INDEX($AN$1004:$BO$1004,1,MATCH(COLUMNS($AN$1006:BB1006),$AN$1006:$BO$1006,0)))),"Fix")))</f>
        <v>0</v>
      </c>
      <c r="Q764" s="4">
        <f>IF(OR(INDEX($AH$2:$AH$1001,MATCH(ROWS($AG$2:AG764),$AG$2:$AG$1001,0),1)&gt;=100000,INDEX($AN$1005:$BO$1005,1,MATCH(COLUMNS($AN$1006:BC1006),$AN$1006:$BO$1006,0))&gt;=100000), " ",IF(INDEX($AN$2:$BO$1001,MATCH(ROWS($AG$2:AG764),$AG$2:$AG$1001,0),MATCH(COLUMNS($AN$1006:BC1006),$AN$1006:$BO$1006,0)), HYPERLINK("#",""), HYPERLINK(CONCATENATE("#Metadata!", ADDRESS(INDEX($AI$2:$AI$1001,MATCH(ROWS($AG$2:AG764),$AG$2:$AG$1001,0),0), INDEX($AN$1004:$BO$1004,1,MATCH(COLUMNS($AN$1006:BC1006),$AN$1006:$BO$1006,0)))),"Fix")))</f>
        <v>0</v>
      </c>
      <c r="R764" s="4">
        <f>IF(OR(INDEX($AH$2:$AH$1001,MATCH(ROWS($AG$2:AG764),$AG$2:$AG$1001,0),1)&gt;=100000,INDEX($AN$1005:$BO$1005,1,MATCH(COLUMNS($AN$1006:BD1006),$AN$1006:$BO$1006,0))&gt;=100000), " ",IF(INDEX($AN$2:$BO$1001,MATCH(ROWS($AG$2:AG764),$AG$2:$AG$1001,0),MATCH(COLUMNS($AN$1006:BD1006),$AN$1006:$BO$1006,0)), HYPERLINK("#",""), HYPERLINK(CONCATENATE("#Metadata!", ADDRESS(INDEX($AI$2:$AI$1001,MATCH(ROWS($AG$2:AG764),$AG$2:$AG$1001,0),0), INDEX($AN$1004:$BO$1004,1,MATCH(COLUMNS($AN$1006:BD1006),$AN$1006:$BO$1006,0)))),"Fix")))</f>
        <v>0</v>
      </c>
      <c r="S764" s="4">
        <f>IF(OR(INDEX($AH$2:$AH$1001,MATCH(ROWS($AG$2:AG764),$AG$2:$AG$1001,0),1)&gt;=100000,INDEX($AN$1005:$BO$1005,1,MATCH(COLUMNS($AN$1006:BE1006),$AN$1006:$BO$1006,0))&gt;=100000), " ",IF(INDEX($AN$2:$BO$1001,MATCH(ROWS($AG$2:AG764),$AG$2:$AG$1001,0),MATCH(COLUMNS($AN$1006:BE1006),$AN$1006:$BO$1006,0)), HYPERLINK("#",""), HYPERLINK(CONCATENATE("#Metadata!", ADDRESS(INDEX($AI$2:$AI$1001,MATCH(ROWS($AG$2:AG764),$AG$2:$AG$1001,0),0), INDEX($AN$1004:$BO$1004,1,MATCH(COLUMNS($AN$1006:BE1006),$AN$1006:$BO$1006,0)))),"Fix")))</f>
        <v>0</v>
      </c>
      <c r="T764" s="4">
        <f>IF(OR(INDEX($AH$2:$AH$1001,MATCH(ROWS($AG$2:AG764),$AG$2:$AG$1001,0),1)&gt;=100000,INDEX($AN$1005:$BO$1005,1,MATCH(COLUMNS($AN$1006:BF1006),$AN$1006:$BO$1006,0))&gt;=100000), " ",IF(INDEX($AN$2:$BO$1001,MATCH(ROWS($AG$2:AG764),$AG$2:$AG$1001,0),MATCH(COLUMNS($AN$1006:BF1006),$AN$1006:$BO$1006,0)), HYPERLINK("#",""), HYPERLINK(CONCATENATE("#Metadata!", ADDRESS(INDEX($AI$2:$AI$1001,MATCH(ROWS($AG$2:AG764),$AG$2:$AG$1001,0),0), INDEX($AN$1004:$BO$1004,1,MATCH(COLUMNS($AN$1006:BF1006),$AN$1006:$BO$1006,0)))),"Fix")))</f>
        <v>0</v>
      </c>
      <c r="U764" s="4">
        <f>IF(OR(INDEX($AH$2:$AH$1001,MATCH(ROWS($AG$2:AG764),$AG$2:$AG$1001,0),1)&gt;=100000,INDEX($AN$1005:$BO$1005,1,MATCH(COLUMNS($AN$1006:BG1006),$AN$1006:$BO$1006,0))&gt;=100000), " ",IF(INDEX($AN$2:$BO$1001,MATCH(ROWS($AG$2:AG764),$AG$2:$AG$1001,0),MATCH(COLUMNS($AN$1006:BG1006),$AN$1006:$BO$1006,0)), HYPERLINK("#",""), HYPERLINK(CONCATENATE("#Metadata!", ADDRESS(INDEX($AI$2:$AI$1001,MATCH(ROWS($AG$2:AG764),$AG$2:$AG$1001,0),0), INDEX($AN$1004:$BO$1004,1,MATCH(COLUMNS($AN$1006:BG1006),$AN$1006:$BO$1006,0)))),"Fix")))</f>
        <v>0</v>
      </c>
      <c r="V764" s="4">
        <f>IF(OR(INDEX($AH$2:$AH$1001,MATCH(ROWS($AG$2:AG764),$AG$2:$AG$1001,0),1)&gt;=100000,INDEX($AN$1005:$BO$1005,1,MATCH(COLUMNS($AN$1006:BH1006),$AN$1006:$BO$1006,0))&gt;=100000), " ",IF(INDEX($AN$2:$BO$1001,MATCH(ROWS($AG$2:AG764),$AG$2:$AG$1001,0),MATCH(COLUMNS($AN$1006:BH1006),$AN$1006:$BO$1006,0)), HYPERLINK("#",""), HYPERLINK(CONCATENATE("#Metadata!", ADDRESS(INDEX($AI$2:$AI$1001,MATCH(ROWS($AG$2:AG764),$AG$2:$AG$1001,0),0), INDEX($AN$1004:$BO$1004,1,MATCH(COLUMNS($AN$1006:BH1006),$AN$1006:$BO$1006,0)))),"Fix")))</f>
        <v>0</v>
      </c>
      <c r="W764" s="4">
        <f>IF(OR(INDEX($AH$2:$AH$1001,MATCH(ROWS($AG$2:AG764),$AG$2:$AG$1001,0),1)&gt;=100000,INDEX($AN$1005:$BO$1005,1,MATCH(COLUMNS($AN$1006:BI1006),$AN$1006:$BO$1006,0))&gt;=100000), " ",IF(INDEX($AN$2:$BO$1001,MATCH(ROWS($AG$2:AG764),$AG$2:$AG$1001,0),MATCH(COLUMNS($AN$1006:BI1006),$AN$1006:$BO$1006,0)), HYPERLINK("#",""), HYPERLINK(CONCATENATE("#Metadata!", ADDRESS(INDEX($AI$2:$AI$1001,MATCH(ROWS($AG$2:AG764),$AG$2:$AG$1001,0),0), INDEX($AN$1004:$BO$1004,1,MATCH(COLUMNS($AN$1006:BI1006),$AN$1006:$BO$1006,0)))),"Fix")))</f>
        <v>0</v>
      </c>
      <c r="X764" s="4">
        <f>IF(OR(INDEX($AH$2:$AH$1001,MATCH(ROWS($AG$2:AG764),$AG$2:$AG$1001,0),1)&gt;=100000,INDEX($AN$1005:$BO$1005,1,MATCH(COLUMNS($AN$1006:BJ1006),$AN$1006:$BO$1006,0))&gt;=100000), " ",IF(INDEX($AN$2:$BO$1001,MATCH(ROWS($AG$2:AG764),$AG$2:$AG$1001,0),MATCH(COLUMNS($AN$1006:BJ1006),$AN$1006:$BO$1006,0)), HYPERLINK("#",""), HYPERLINK(CONCATENATE("#Metadata!", ADDRESS(INDEX($AI$2:$AI$1001,MATCH(ROWS($AG$2:AG764),$AG$2:$AG$1001,0),0), INDEX($AN$1004:$BO$1004,1,MATCH(COLUMNS($AN$1006:BJ1006),$AN$1006:$BO$1006,0)))),"Fix")))</f>
        <v>0</v>
      </c>
      <c r="Y764" s="4">
        <f>IF(OR(INDEX($AH$2:$AH$1001,MATCH(ROWS($AG$2:AG764),$AG$2:$AG$1001,0),1)&gt;=100000,INDEX($AN$1005:$BO$1005,1,MATCH(COLUMNS($AN$1006:BK1006),$AN$1006:$BO$1006,0))&gt;=100000), " ",IF(INDEX($AN$2:$BO$1001,MATCH(ROWS($AG$2:AG764),$AG$2:$AG$1001,0),MATCH(COLUMNS($AN$1006:BK1006),$AN$1006:$BO$1006,0)), HYPERLINK("#",""), HYPERLINK(CONCATENATE("#Metadata!", ADDRESS(INDEX($AI$2:$AI$1001,MATCH(ROWS($AG$2:AG764),$AG$2:$AG$1001,0),0), INDEX($AN$1004:$BO$1004,1,MATCH(COLUMNS($AN$1006:BK1006),$AN$1006:$BO$1006,0)))),"Fix")))</f>
        <v>0</v>
      </c>
      <c r="Z764" s="4">
        <f>IF(OR(INDEX($AH$2:$AH$1001,MATCH(ROWS($AG$2:AG764),$AG$2:$AG$1001,0),1)&gt;=100000,INDEX($AN$1005:$BO$1005,1,MATCH(COLUMNS($AN$1006:BL1006),$AN$1006:$BO$1006,0))&gt;=100000), " ",IF(INDEX($AN$2:$BO$1001,MATCH(ROWS($AG$2:AG764),$AG$2:$AG$1001,0),MATCH(COLUMNS($AN$1006:BL1006),$AN$1006:$BO$1006,0)), HYPERLINK("#",""), HYPERLINK(CONCATENATE("#Metadata!", ADDRESS(INDEX($AI$2:$AI$1001,MATCH(ROWS($AG$2:AG764),$AG$2:$AG$1001,0),0), INDEX($AN$1004:$BO$1004,1,MATCH(COLUMNS($AN$1006:BL1006),$AN$1006:$BO$1006,0)))),"Fix")))</f>
        <v>0</v>
      </c>
      <c r="AA764" s="4">
        <f>IF(OR(INDEX($AH$2:$AH$1001,MATCH(ROWS($AG$2:AG764),$AG$2:$AG$1001,0),1)&gt;=100000,INDEX($AN$1005:$BO$1005,1,MATCH(COLUMNS($AN$1006:BM1006),$AN$1006:$BO$1006,0))&gt;=100000), " ",IF(INDEX($AN$2:$BO$1001,MATCH(ROWS($AG$2:AG764),$AG$2:$AG$1001,0),MATCH(COLUMNS($AN$1006:BM1006),$AN$1006:$BO$1006,0)), HYPERLINK("#",""), HYPERLINK(CONCATENATE("#Metadata!", ADDRESS(INDEX($AI$2:$AI$1001,MATCH(ROWS($AG$2:AG764),$AG$2:$AG$1001,0),0), INDEX($AN$1004:$BO$1004,1,MATCH(COLUMNS($AN$1006:BM1006),$AN$1006:$BO$1006,0)))),"Fix")))</f>
        <v>0</v>
      </c>
      <c r="AB764" s="4">
        <f>IF(OR(INDEX($AH$2:$AH$1001,MATCH(ROWS($AG$2:AG764),$AG$2:$AG$1001,0),1)&gt;=100000,INDEX($AN$1005:$BO$1005,1,MATCH(COLUMNS($AN$1006:BN1006),$AN$1006:$BO$1006,0))&gt;=100000), " ",IF(INDEX($AN$2:$BO$1001,MATCH(ROWS($AG$2:AG764),$AG$2:$AG$1001,0),MATCH(COLUMNS($AN$1006:BN1006),$AN$1006:$BO$1006,0)), HYPERLINK("#",""), HYPERLINK(CONCATENATE("#Metadata!", ADDRESS(INDEX($AI$2:$AI$1001,MATCH(ROWS($AG$2:AG764),$AG$2:$AG$1001,0),0), INDEX($AN$1004:$BO$1004,1,MATCH(COLUMNS($AN$1006:BN1006),$AN$1006:$BO$1006,0)))),"Fix")))</f>
        <v>0</v>
      </c>
      <c r="AC764" s="4">
        <f>IF(OR(INDEX($AH$2:$AH$1001,MATCH(ROWS($AG$2:AG764),$AG$2:$AG$1001,0),1)&gt;=100000,INDEX($AN$1005:$BO$1005,1,MATCH(COLUMNS($AN$1006:BO1006),$AN$1006:$BO$1006,0))&gt;=100000), " ",IF(INDEX($AN$2:$BO$1001,MATCH(ROWS($AG$2:AG764),$AG$2:$AG$1001,0),MATCH(COLUMNS($AN$1006:BO1006),$AN$1006:$BO$1006,0)), HYPERLINK("#",""), HYPERLINK(CONCATENATE("#Metadata!", ADDRESS(INDEX($AI$2:$AI$1001,MATCH(ROWS($AG$2:AG764),$AG$2:$AG$1001,0),0), INDEX($AN$1004:$BO$1004,1,MATCH(COLUMNS($AN$1006:BO1006),$AN$1006:$BO$1006,0)))),"Fix")))</f>
        <v>0</v>
      </c>
      <c r="AG764">
        <v>0</v>
      </c>
      <c r="AH764">
        <v>0</v>
      </c>
      <c r="AI764">
        <v>0</v>
      </c>
      <c r="AJ764">
        <f>IF(AK764,TRUE,AND(AN764:BO764))</f>
        <v>0</v>
      </c>
      <c r="AK764">
        <f>COUNTBLANK(Metadata!B764:AC764)=COLUMNS(Metadata!B764:AC764)</f>
        <v>0</v>
      </c>
      <c r="AL764">
        <v>0</v>
      </c>
      <c r="AN764">
        <f>AND(IF(Metadata!B764="",FALSE,TRUE),COUNTIF(Metadata!B:B, Metadata!B764) = 1,NOT(ISERROR(SUMPRODUCT(SEARCH(MID(Metadata!B764,ROW(INDIRECT("1:"&amp;LEN(Metadata!B764))), 1),"0123456789abcdefghijklmnopqrstuvwxyzABCDEFGHIJKLMNOPQRSTUVWXYZ.")))))</f>
        <v>0</v>
      </c>
      <c r="AO764">
        <f>IF(Metadata!C764="",FALSE,TRUE)</f>
        <v>0</v>
      </c>
      <c r="AP764">
        <f>IF(Metadata!D764="",FALSE,TRUE)</f>
        <v>0</v>
      </c>
      <c r="AQ764">
        <f>OR(AND(IF(Metadata!E764="",FALSE,TRUE),OR(exact(Metadata!E764,"not collected"),exact(Metadata!E764,"not provided"),exact(Metadata!E764,"restricted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R764">
        <f>IF(Metadata!F764="",FALSE,TRUE)</f>
        <v>0</v>
      </c>
      <c r="AS764">
        <f>OR(AND(IF(Metadata!G764="",FALSE,TRUE),OR(exact(Metadata!G764,"not collected"),exact(Metadata!G764,"not provided"))),AND(IF(Metadata!G764="",FALSE,TRUE),OR(exact(Metadata!G764,"TRUE"),exact(Metadata!G764,"FALSE"))))</f>
        <v>0</v>
      </c>
      <c r="AT764">
        <f>OR(AND(IF(Metadata!H764="",FALSE,TRUE),OR(exact(Metadata!H764,"not collected"),exact(Metadata!H764,"not provided"),exact(Metadata!H764,"restricted access"))),AND(IF(Metadata!H764="",FALSE,ISNUMBER(VALUE(Metadata!H764))),Metadata!H764&gt;=-413.0))</f>
        <v>0</v>
      </c>
      <c r="AU764">
        <f>AND(IF(Metadata!I764="",FALSE,TRUE),exact(Metadata!I764,"meters"))</f>
        <v>0</v>
      </c>
      <c r="AV764">
        <f>AND(IF(Metadata!J764="",FALSE,TRUE),OR(exact(Metadata!J764,"Host-associated"),exact(Metadata!J764,"Free-living")))</f>
        <v>0</v>
      </c>
      <c r="AW764">
        <f>AND(IF(Metadata!K764="",FALSE,TRUE),OR(exact(Metadata!K764,"Animal"),exact(Metadata!K764,"Fungus"),exact(Metadata!K764,"Plant"),exact(Metadata!K764,"Saline"),exact(Metadata!K764,"Non-saline")))</f>
        <v>0</v>
      </c>
      <c r="AX764">
        <f>AND(IF(Metadata!L764="",FALSE,TRUE),OR(exact(Metadata!L764,"Plant secretion"),exact(Metadata!L764,"Plant rhizosphere"),exact(Metadata!L764,"Plant surface"),exact(Metadata!L764,"Plant corpus"),exact(Metadata!L764,"Fungus surface"),exact(Metadata!L764,"Fungus corpus"),exact(Metadata!L764,"Animal surface"),exact(Metadata!L764,"Animal proximal gut"),exact(Metadata!L764,"Animal corpus"),exact(Metadata!L764,"Animal distal gut"),exact(Metadata!L764,"Animal secretion"),exact(Metadata!L764,"Sub-surface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Y764">
        <f>IF(Metadata!M764="",FALSE,TRUE)</f>
        <v>0</v>
      </c>
      <c r="AZ764">
        <f>IF(Metadata!N764="",FALSE,TRUE)</f>
        <v>0</v>
      </c>
      <c r="BA764">
        <f>IF(Metadata!O764="",FALSE,TRUE)</f>
        <v>0</v>
      </c>
      <c r="BB764">
        <f>OR(AND(IF(Metadata!P764="",FALSE,TRUE),OR(exact(Metadata!P764,"not collected"),exact(Metadata!P764,"not provided"),exact(Metadata!P764,"restricted access"))),AND(IF(Metadata!P764="",FALSE,TRUE),OR(exact(Metadata!P764,"air"),exact(Metadata!P764,"built environment"),exact(Metadata!P764,"host-associated"),exact(Metadata!P764,"human-associated"),exact(Metadata!P764,"human-skin"),exact(Metadata!P764,"human-oral"),exact(Metadata!P764,"human-gut"),exact(Metadata!P764,"human-vaginal"),exact(Metadata!P764,"microbial mat/biofilm"),exact(Metadata!P764,"misc environment"),exact(Metadata!P764,"plant-associated"),exact(Metadata!P764,"sediment"),exact(Metadata!P764,"soil"),exact(Metadata!P764,"wastewater/sludge"),exact(Metadata!P764,"water"))))</f>
        <v>0</v>
      </c>
      <c r="BC764">
        <f>IF(Metadata!Q764="",FALSE,TRUE)</f>
        <v>0</v>
      </c>
      <c r="BD764">
        <f>IF(Metadata!R764="",FALSE,TRUE)</f>
        <v>0</v>
      </c>
      <c r="BE764">
        <f>OR(AND(IF(Metadata!S764="",FALSE,TRUE),OR(exact(Metadata!S764,"not collected"),exact(Metadata!S764,"not provided"),exact(Metadata!S764,"restricted access"))),AND(IF(Metadata!S764="",FALSE,ISNUMBER(VALUE(Metadata!S764))),Metadata!S764&gt;=-90.00,Metadata!S764&lt;=90.00))</f>
        <v>0</v>
      </c>
      <c r="BF764">
        <f>AND(IF(Metadata!T764="",FALSE,TRUE),exact(Metadata!T764,"Decimal degrees"))</f>
        <v>0</v>
      </c>
      <c r="BG764">
        <f>OR(AND(IF(Metadata!U764="",FALSE,TRUE),OR(exact(Metadata!U764,"not collected"),exact(Metadata!U764,"not provided"),exact(Metadata!U764,"restricted access"))),AND(IF(Metadata!U764="",FALSE,ISNUMBER(VALUE(Metadata!U764))),Metadata!U764&gt;=-180.00,Metadata!U764&lt;=180.00))</f>
        <v>0</v>
      </c>
      <c r="BH764">
        <f>AND(IF(Metadata!V764="",FALSE,TRUE),exact(Metadata!V764,"Decimal degrees"))</f>
        <v>0</v>
      </c>
      <c r="BI764">
        <f>IF(Metadata!W764="",FALSE,TRUE)</f>
        <v>0</v>
      </c>
      <c r="BJ764">
        <f>OR(AND(IF(Metadata!X764="",FALSE,TRUE),OR(exact(Metadata!X764,"not collected"),exact(Metadata!X764,"not provided"),exact(Metadata!X764,"restricted access"))),AND(IF(Metadata!X764="",FALSE,TRUE),OR(exact(Metadata!X764,"TRUE"),exact(Metadata!X764,"FALSE"))))</f>
        <v>0</v>
      </c>
      <c r="BK764">
        <f>AND(IF(Metadata!Y764="",FALSE,TRUE),exact(Metadata!Y764,"other"))</f>
        <v>0</v>
      </c>
      <c r="BL764">
        <f>IF(Metadata!Z764="",FALSE,TRUE)</f>
        <v>0</v>
      </c>
      <c r="BM764">
        <f>OR(AND(IF(Metadata!AA764="",FALSE,TRUE),OR(exact(Metadata!AA764,"not collected"),exact(Metadata!AA764,"not provided"))),AND(IF(Metadata!AA764="",FALSE,IF(ISERROR(INT(Metadata!AA764)),FALSE,INT(Metadata!AA764)=Metadata!AA764)),Metadata!AA764&gt;0))</f>
        <v>0</v>
      </c>
      <c r="BN764">
        <f>AND(IF(Metadata!AB764="",FALSE,TRUE),exact(Metadata!AB764,"Not applicable"))</f>
        <v>0</v>
      </c>
      <c r="BO764">
        <f>IF(Metadata!AC764="",FALSE,TRUE)</f>
        <v>0</v>
      </c>
    </row>
    <row r="765" spans="1:67">
      <c r="A765" s="5">
        <f>IF(B765=" "," ",HYPERLINK(CONCATENATE("#metadata!",ADDRESS(INDEX($AI$2:$AI$1001,MATCH(ROWS($AG$2:AG765),$AG$2:$AG$1001,0),0),1)),INDEX($AL$2:$AL$1001,MATCH(ROWS($AG$2:AG765),$AG$2:$AG$1001,0),0)))</f>
        <v>0</v>
      </c>
      <c r="B765" s="4">
        <f>IF(OR(INDEX($AH$2:$AH$1001,MATCH(ROWS($AG$2:AG765),$AG$2:$AG$1001,0),1)&gt;=100000,INDEX($AN$1005:$BO$1005,1,MATCH(COLUMNS($AN$1006:AN1006),$AN$1006:$BO$1006,0))&gt;=100000), " ",IF(INDEX($AN$2:$BO$1001,MATCH(ROWS($AG$2:AG765),$AG$2:$AG$1001,0),MATCH(COLUMNS($AN$1006:AN1006),$AN$1006:$BO$1006,0)), HYPERLINK("#",""), HYPERLINK(CONCATENATE("#Metadata!", ADDRESS(INDEX($AI$2:$AI$1001,MATCH(ROWS($AG$2:AG765),$AG$2:$AG$1001,0),0), INDEX($AN$1004:$BO$1004,1,MATCH(COLUMNS($AN$1006:AN1006),$AN$1006:$BO$1006,0)))),"Fix")))</f>
        <v>0</v>
      </c>
      <c r="C765" s="4">
        <f>IF(OR(INDEX($AH$2:$AH$1001,MATCH(ROWS($AG$2:AG765),$AG$2:$AG$1001,0),1)&gt;=100000,INDEX($AN$1005:$BO$1005,1,MATCH(COLUMNS($AN$1006:AO1006),$AN$1006:$BO$1006,0))&gt;=100000), " ",IF(INDEX($AN$2:$BO$1001,MATCH(ROWS($AG$2:AG765),$AG$2:$AG$1001,0),MATCH(COLUMNS($AN$1006:AO1006),$AN$1006:$BO$1006,0)), HYPERLINK("#",""), HYPERLINK(CONCATENATE("#Metadata!", ADDRESS(INDEX($AI$2:$AI$1001,MATCH(ROWS($AG$2:AG765),$AG$2:$AG$1001,0),0), INDEX($AN$1004:$BO$1004,1,MATCH(COLUMNS($AN$1006:AO1006),$AN$1006:$BO$1006,0)))),"Fix")))</f>
        <v>0</v>
      </c>
      <c r="D765" s="4">
        <f>IF(OR(INDEX($AH$2:$AH$1001,MATCH(ROWS($AG$2:AG765),$AG$2:$AG$1001,0),1)&gt;=100000,INDEX($AN$1005:$BO$1005,1,MATCH(COLUMNS($AN$1006:AP1006),$AN$1006:$BO$1006,0))&gt;=100000), " ",IF(INDEX($AN$2:$BO$1001,MATCH(ROWS($AG$2:AG765),$AG$2:$AG$1001,0),MATCH(COLUMNS($AN$1006:AP1006),$AN$1006:$BO$1006,0)), HYPERLINK("#",""), HYPERLINK(CONCATENATE("#Metadata!", ADDRESS(INDEX($AI$2:$AI$1001,MATCH(ROWS($AG$2:AG765),$AG$2:$AG$1001,0),0), INDEX($AN$1004:$BO$1004,1,MATCH(COLUMNS($AN$1006:AP1006),$AN$1006:$BO$1006,0)))),"Fix")))</f>
        <v>0</v>
      </c>
      <c r="E765" s="4">
        <f>IF(OR(INDEX($AH$2:$AH$1001,MATCH(ROWS($AG$2:AG765),$AG$2:$AG$1001,0),1)&gt;=100000,INDEX($AN$1005:$BO$1005,1,MATCH(COLUMNS($AN$1006:AQ1006),$AN$1006:$BO$1006,0))&gt;=100000), " ",IF(INDEX($AN$2:$BO$1001,MATCH(ROWS($AG$2:AG765),$AG$2:$AG$1001,0),MATCH(COLUMNS($AN$1006:AQ1006),$AN$1006:$BO$1006,0)), HYPERLINK("#",""), HYPERLINK(CONCATENATE("#Metadata!", ADDRESS(INDEX($AI$2:$AI$1001,MATCH(ROWS($AG$2:AG765),$AG$2:$AG$1001,0),0), INDEX($AN$1004:$BO$1004,1,MATCH(COLUMNS($AN$1006:AQ1006),$AN$1006:$BO$1006,0)))),"Fix")))</f>
        <v>0</v>
      </c>
      <c r="F765" s="4">
        <f>IF(OR(INDEX($AH$2:$AH$1001,MATCH(ROWS($AG$2:AG765),$AG$2:$AG$1001,0),1)&gt;=100000,INDEX($AN$1005:$BO$1005,1,MATCH(COLUMNS($AN$1006:AR1006),$AN$1006:$BO$1006,0))&gt;=100000), " ",IF(INDEX($AN$2:$BO$1001,MATCH(ROWS($AG$2:AG765),$AG$2:$AG$1001,0),MATCH(COLUMNS($AN$1006:AR1006),$AN$1006:$BO$1006,0)), HYPERLINK("#",""), HYPERLINK(CONCATENATE("#Metadata!", ADDRESS(INDEX($AI$2:$AI$1001,MATCH(ROWS($AG$2:AG765),$AG$2:$AG$1001,0),0), INDEX($AN$1004:$BO$1004,1,MATCH(COLUMNS($AN$1006:AR1006),$AN$1006:$BO$1006,0)))),"Fix")))</f>
        <v>0</v>
      </c>
      <c r="G765" s="4">
        <f>IF(OR(INDEX($AH$2:$AH$1001,MATCH(ROWS($AG$2:AG765),$AG$2:$AG$1001,0),1)&gt;=100000,INDEX($AN$1005:$BO$1005,1,MATCH(COLUMNS($AN$1006:AS1006),$AN$1006:$BO$1006,0))&gt;=100000), " ",IF(INDEX($AN$2:$BO$1001,MATCH(ROWS($AG$2:AG765),$AG$2:$AG$1001,0),MATCH(COLUMNS($AN$1006:AS1006),$AN$1006:$BO$1006,0)), HYPERLINK("#",""), HYPERLINK(CONCATENATE("#Metadata!", ADDRESS(INDEX($AI$2:$AI$1001,MATCH(ROWS($AG$2:AG765),$AG$2:$AG$1001,0),0), INDEX($AN$1004:$BO$1004,1,MATCH(COLUMNS($AN$1006:AS1006),$AN$1006:$BO$1006,0)))),"Fix")))</f>
        <v>0</v>
      </c>
      <c r="H765" s="4">
        <f>IF(OR(INDEX($AH$2:$AH$1001,MATCH(ROWS($AG$2:AG765),$AG$2:$AG$1001,0),1)&gt;=100000,INDEX($AN$1005:$BO$1005,1,MATCH(COLUMNS($AN$1006:AT1006),$AN$1006:$BO$1006,0))&gt;=100000), " ",IF(INDEX($AN$2:$BO$1001,MATCH(ROWS($AG$2:AG765),$AG$2:$AG$1001,0),MATCH(COLUMNS($AN$1006:AT1006),$AN$1006:$BO$1006,0)), HYPERLINK("#",""), HYPERLINK(CONCATENATE("#Metadata!", ADDRESS(INDEX($AI$2:$AI$1001,MATCH(ROWS($AG$2:AG765),$AG$2:$AG$1001,0),0), INDEX($AN$1004:$BO$1004,1,MATCH(COLUMNS($AN$1006:AT1006),$AN$1006:$BO$1006,0)))),"Fix")))</f>
        <v>0</v>
      </c>
      <c r="I765" s="4">
        <f>IF(OR(INDEX($AH$2:$AH$1001,MATCH(ROWS($AG$2:AG765),$AG$2:$AG$1001,0),1)&gt;=100000,INDEX($AN$1005:$BO$1005,1,MATCH(COLUMNS($AN$1006:AU1006),$AN$1006:$BO$1006,0))&gt;=100000), " ",IF(INDEX($AN$2:$BO$1001,MATCH(ROWS($AG$2:AG765),$AG$2:$AG$1001,0),MATCH(COLUMNS($AN$1006:AU1006),$AN$1006:$BO$1006,0)), HYPERLINK("#",""), HYPERLINK(CONCATENATE("#Metadata!", ADDRESS(INDEX($AI$2:$AI$1001,MATCH(ROWS($AG$2:AG765),$AG$2:$AG$1001,0),0), INDEX($AN$1004:$BO$1004,1,MATCH(COLUMNS($AN$1006:AU1006),$AN$1006:$BO$1006,0)))),"Fix")))</f>
        <v>0</v>
      </c>
      <c r="J765" s="4">
        <f>IF(OR(INDEX($AH$2:$AH$1001,MATCH(ROWS($AG$2:AG765),$AG$2:$AG$1001,0),1)&gt;=100000,INDEX($AN$1005:$BO$1005,1,MATCH(COLUMNS($AN$1006:AV1006),$AN$1006:$BO$1006,0))&gt;=100000), " ",IF(INDEX($AN$2:$BO$1001,MATCH(ROWS($AG$2:AG765),$AG$2:$AG$1001,0),MATCH(COLUMNS($AN$1006:AV1006),$AN$1006:$BO$1006,0)), HYPERLINK("#",""), HYPERLINK(CONCATENATE("#Metadata!", ADDRESS(INDEX($AI$2:$AI$1001,MATCH(ROWS($AG$2:AG765),$AG$2:$AG$1001,0),0), INDEX($AN$1004:$BO$1004,1,MATCH(COLUMNS($AN$1006:AV1006),$AN$1006:$BO$1006,0)))),"Fix")))</f>
        <v>0</v>
      </c>
      <c r="K765" s="4">
        <f>IF(OR(INDEX($AH$2:$AH$1001,MATCH(ROWS($AG$2:AG765),$AG$2:$AG$1001,0),1)&gt;=100000,INDEX($AN$1005:$BO$1005,1,MATCH(COLUMNS($AN$1006:AW1006),$AN$1006:$BO$1006,0))&gt;=100000), " ",IF(INDEX($AN$2:$BO$1001,MATCH(ROWS($AG$2:AG765),$AG$2:$AG$1001,0),MATCH(COLUMNS($AN$1006:AW1006),$AN$1006:$BO$1006,0)), HYPERLINK("#",""), HYPERLINK(CONCATENATE("#Metadata!", ADDRESS(INDEX($AI$2:$AI$1001,MATCH(ROWS($AG$2:AG765),$AG$2:$AG$1001,0),0), INDEX($AN$1004:$BO$1004,1,MATCH(COLUMNS($AN$1006:AW1006),$AN$1006:$BO$1006,0)))),"Fix")))</f>
        <v>0</v>
      </c>
      <c r="L765" s="4">
        <f>IF(OR(INDEX($AH$2:$AH$1001,MATCH(ROWS($AG$2:AG765),$AG$2:$AG$1001,0),1)&gt;=100000,INDEX($AN$1005:$BO$1005,1,MATCH(COLUMNS($AN$1006:AX1006),$AN$1006:$BO$1006,0))&gt;=100000), " ",IF(INDEX($AN$2:$BO$1001,MATCH(ROWS($AG$2:AG765),$AG$2:$AG$1001,0),MATCH(COLUMNS($AN$1006:AX1006),$AN$1006:$BO$1006,0)), HYPERLINK("#",""), HYPERLINK(CONCATENATE("#Metadata!", ADDRESS(INDEX($AI$2:$AI$1001,MATCH(ROWS($AG$2:AG765),$AG$2:$AG$1001,0),0), INDEX($AN$1004:$BO$1004,1,MATCH(COLUMNS($AN$1006:AX1006),$AN$1006:$BO$1006,0)))),"Fix")))</f>
        <v>0</v>
      </c>
      <c r="M765" s="4">
        <f>IF(OR(INDEX($AH$2:$AH$1001,MATCH(ROWS($AG$2:AG765),$AG$2:$AG$1001,0),1)&gt;=100000,INDEX($AN$1005:$BO$1005,1,MATCH(COLUMNS($AN$1006:AY1006),$AN$1006:$BO$1006,0))&gt;=100000), " ",IF(INDEX($AN$2:$BO$1001,MATCH(ROWS($AG$2:AG765),$AG$2:$AG$1001,0),MATCH(COLUMNS($AN$1006:AY1006),$AN$1006:$BO$1006,0)), HYPERLINK("#",""), HYPERLINK(CONCATENATE("#Metadata!", ADDRESS(INDEX($AI$2:$AI$1001,MATCH(ROWS($AG$2:AG765),$AG$2:$AG$1001,0),0), INDEX($AN$1004:$BO$1004,1,MATCH(COLUMNS($AN$1006:AY1006),$AN$1006:$BO$1006,0)))),"Fix")))</f>
        <v>0</v>
      </c>
      <c r="N765" s="4">
        <f>IF(OR(INDEX($AH$2:$AH$1001,MATCH(ROWS($AG$2:AG765),$AG$2:$AG$1001,0),1)&gt;=100000,INDEX($AN$1005:$BO$1005,1,MATCH(COLUMNS($AN$1006:AZ1006),$AN$1006:$BO$1006,0))&gt;=100000), " ",IF(INDEX($AN$2:$BO$1001,MATCH(ROWS($AG$2:AG765),$AG$2:$AG$1001,0),MATCH(COLUMNS($AN$1006:AZ1006),$AN$1006:$BO$1006,0)), HYPERLINK("#",""), HYPERLINK(CONCATENATE("#Metadata!", ADDRESS(INDEX($AI$2:$AI$1001,MATCH(ROWS($AG$2:AG765),$AG$2:$AG$1001,0),0), INDEX($AN$1004:$BO$1004,1,MATCH(COLUMNS($AN$1006:AZ1006),$AN$1006:$BO$1006,0)))),"Fix")))</f>
        <v>0</v>
      </c>
      <c r="O765" s="4">
        <f>IF(OR(INDEX($AH$2:$AH$1001,MATCH(ROWS($AG$2:AG765),$AG$2:$AG$1001,0),1)&gt;=100000,INDEX($AN$1005:$BO$1005,1,MATCH(COLUMNS($AN$1006:BA1006),$AN$1006:$BO$1006,0))&gt;=100000), " ",IF(INDEX($AN$2:$BO$1001,MATCH(ROWS($AG$2:AG765),$AG$2:$AG$1001,0),MATCH(COLUMNS($AN$1006:BA1006),$AN$1006:$BO$1006,0)), HYPERLINK("#",""), HYPERLINK(CONCATENATE("#Metadata!", ADDRESS(INDEX($AI$2:$AI$1001,MATCH(ROWS($AG$2:AG765),$AG$2:$AG$1001,0),0), INDEX($AN$1004:$BO$1004,1,MATCH(COLUMNS($AN$1006:BA1006),$AN$1006:$BO$1006,0)))),"Fix")))</f>
        <v>0</v>
      </c>
      <c r="P765" s="4">
        <f>IF(OR(INDEX($AH$2:$AH$1001,MATCH(ROWS($AG$2:AG765),$AG$2:$AG$1001,0),1)&gt;=100000,INDEX($AN$1005:$BO$1005,1,MATCH(COLUMNS($AN$1006:BB1006),$AN$1006:$BO$1006,0))&gt;=100000), " ",IF(INDEX($AN$2:$BO$1001,MATCH(ROWS($AG$2:AG765),$AG$2:$AG$1001,0),MATCH(COLUMNS($AN$1006:BB1006),$AN$1006:$BO$1006,0)), HYPERLINK("#",""), HYPERLINK(CONCATENATE("#Metadata!", ADDRESS(INDEX($AI$2:$AI$1001,MATCH(ROWS($AG$2:AG765),$AG$2:$AG$1001,0),0), INDEX($AN$1004:$BO$1004,1,MATCH(COLUMNS($AN$1006:BB1006),$AN$1006:$BO$1006,0)))),"Fix")))</f>
        <v>0</v>
      </c>
      <c r="Q765" s="4">
        <f>IF(OR(INDEX($AH$2:$AH$1001,MATCH(ROWS($AG$2:AG765),$AG$2:$AG$1001,0),1)&gt;=100000,INDEX($AN$1005:$BO$1005,1,MATCH(COLUMNS($AN$1006:BC1006),$AN$1006:$BO$1006,0))&gt;=100000), " ",IF(INDEX($AN$2:$BO$1001,MATCH(ROWS($AG$2:AG765),$AG$2:$AG$1001,0),MATCH(COLUMNS($AN$1006:BC1006),$AN$1006:$BO$1006,0)), HYPERLINK("#",""), HYPERLINK(CONCATENATE("#Metadata!", ADDRESS(INDEX($AI$2:$AI$1001,MATCH(ROWS($AG$2:AG765),$AG$2:$AG$1001,0),0), INDEX($AN$1004:$BO$1004,1,MATCH(COLUMNS($AN$1006:BC1006),$AN$1006:$BO$1006,0)))),"Fix")))</f>
        <v>0</v>
      </c>
      <c r="R765" s="4">
        <f>IF(OR(INDEX($AH$2:$AH$1001,MATCH(ROWS($AG$2:AG765),$AG$2:$AG$1001,0),1)&gt;=100000,INDEX($AN$1005:$BO$1005,1,MATCH(COLUMNS($AN$1006:BD1006),$AN$1006:$BO$1006,0))&gt;=100000), " ",IF(INDEX($AN$2:$BO$1001,MATCH(ROWS($AG$2:AG765),$AG$2:$AG$1001,0),MATCH(COLUMNS($AN$1006:BD1006),$AN$1006:$BO$1006,0)), HYPERLINK("#",""), HYPERLINK(CONCATENATE("#Metadata!", ADDRESS(INDEX($AI$2:$AI$1001,MATCH(ROWS($AG$2:AG765),$AG$2:$AG$1001,0),0), INDEX($AN$1004:$BO$1004,1,MATCH(COLUMNS($AN$1006:BD1006),$AN$1006:$BO$1006,0)))),"Fix")))</f>
        <v>0</v>
      </c>
      <c r="S765" s="4">
        <f>IF(OR(INDEX($AH$2:$AH$1001,MATCH(ROWS($AG$2:AG765),$AG$2:$AG$1001,0),1)&gt;=100000,INDEX($AN$1005:$BO$1005,1,MATCH(COLUMNS($AN$1006:BE1006),$AN$1006:$BO$1006,0))&gt;=100000), " ",IF(INDEX($AN$2:$BO$1001,MATCH(ROWS($AG$2:AG765),$AG$2:$AG$1001,0),MATCH(COLUMNS($AN$1006:BE1006),$AN$1006:$BO$1006,0)), HYPERLINK("#",""), HYPERLINK(CONCATENATE("#Metadata!", ADDRESS(INDEX($AI$2:$AI$1001,MATCH(ROWS($AG$2:AG765),$AG$2:$AG$1001,0),0), INDEX($AN$1004:$BO$1004,1,MATCH(COLUMNS($AN$1006:BE1006),$AN$1006:$BO$1006,0)))),"Fix")))</f>
        <v>0</v>
      </c>
      <c r="T765" s="4">
        <f>IF(OR(INDEX($AH$2:$AH$1001,MATCH(ROWS($AG$2:AG765),$AG$2:$AG$1001,0),1)&gt;=100000,INDEX($AN$1005:$BO$1005,1,MATCH(COLUMNS($AN$1006:BF1006),$AN$1006:$BO$1006,0))&gt;=100000), " ",IF(INDEX($AN$2:$BO$1001,MATCH(ROWS($AG$2:AG765),$AG$2:$AG$1001,0),MATCH(COLUMNS($AN$1006:BF1006),$AN$1006:$BO$1006,0)), HYPERLINK("#",""), HYPERLINK(CONCATENATE("#Metadata!", ADDRESS(INDEX($AI$2:$AI$1001,MATCH(ROWS($AG$2:AG765),$AG$2:$AG$1001,0),0), INDEX($AN$1004:$BO$1004,1,MATCH(COLUMNS($AN$1006:BF1006),$AN$1006:$BO$1006,0)))),"Fix")))</f>
        <v>0</v>
      </c>
      <c r="U765" s="4">
        <f>IF(OR(INDEX($AH$2:$AH$1001,MATCH(ROWS($AG$2:AG765),$AG$2:$AG$1001,0),1)&gt;=100000,INDEX($AN$1005:$BO$1005,1,MATCH(COLUMNS($AN$1006:BG1006),$AN$1006:$BO$1006,0))&gt;=100000), " ",IF(INDEX($AN$2:$BO$1001,MATCH(ROWS($AG$2:AG765),$AG$2:$AG$1001,0),MATCH(COLUMNS($AN$1006:BG1006),$AN$1006:$BO$1006,0)), HYPERLINK("#",""), HYPERLINK(CONCATENATE("#Metadata!", ADDRESS(INDEX($AI$2:$AI$1001,MATCH(ROWS($AG$2:AG765),$AG$2:$AG$1001,0),0), INDEX($AN$1004:$BO$1004,1,MATCH(COLUMNS($AN$1006:BG1006),$AN$1006:$BO$1006,0)))),"Fix")))</f>
        <v>0</v>
      </c>
      <c r="V765" s="4">
        <f>IF(OR(INDEX($AH$2:$AH$1001,MATCH(ROWS($AG$2:AG765),$AG$2:$AG$1001,0),1)&gt;=100000,INDEX($AN$1005:$BO$1005,1,MATCH(COLUMNS($AN$1006:BH1006),$AN$1006:$BO$1006,0))&gt;=100000), " ",IF(INDEX($AN$2:$BO$1001,MATCH(ROWS($AG$2:AG765),$AG$2:$AG$1001,0),MATCH(COLUMNS($AN$1006:BH1006),$AN$1006:$BO$1006,0)), HYPERLINK("#",""), HYPERLINK(CONCATENATE("#Metadata!", ADDRESS(INDEX($AI$2:$AI$1001,MATCH(ROWS($AG$2:AG765),$AG$2:$AG$1001,0),0), INDEX($AN$1004:$BO$1004,1,MATCH(COLUMNS($AN$1006:BH1006),$AN$1006:$BO$1006,0)))),"Fix")))</f>
        <v>0</v>
      </c>
      <c r="W765" s="4">
        <f>IF(OR(INDEX($AH$2:$AH$1001,MATCH(ROWS($AG$2:AG765),$AG$2:$AG$1001,0),1)&gt;=100000,INDEX($AN$1005:$BO$1005,1,MATCH(COLUMNS($AN$1006:BI1006),$AN$1006:$BO$1006,0))&gt;=100000), " ",IF(INDEX($AN$2:$BO$1001,MATCH(ROWS($AG$2:AG765),$AG$2:$AG$1001,0),MATCH(COLUMNS($AN$1006:BI1006),$AN$1006:$BO$1006,0)), HYPERLINK("#",""), HYPERLINK(CONCATENATE("#Metadata!", ADDRESS(INDEX($AI$2:$AI$1001,MATCH(ROWS($AG$2:AG765),$AG$2:$AG$1001,0),0), INDEX($AN$1004:$BO$1004,1,MATCH(COLUMNS($AN$1006:BI1006),$AN$1006:$BO$1006,0)))),"Fix")))</f>
        <v>0</v>
      </c>
      <c r="X765" s="4">
        <f>IF(OR(INDEX($AH$2:$AH$1001,MATCH(ROWS($AG$2:AG765),$AG$2:$AG$1001,0),1)&gt;=100000,INDEX($AN$1005:$BO$1005,1,MATCH(COLUMNS($AN$1006:BJ1006),$AN$1006:$BO$1006,0))&gt;=100000), " ",IF(INDEX($AN$2:$BO$1001,MATCH(ROWS($AG$2:AG765),$AG$2:$AG$1001,0),MATCH(COLUMNS($AN$1006:BJ1006),$AN$1006:$BO$1006,0)), HYPERLINK("#",""), HYPERLINK(CONCATENATE("#Metadata!", ADDRESS(INDEX($AI$2:$AI$1001,MATCH(ROWS($AG$2:AG765),$AG$2:$AG$1001,0),0), INDEX($AN$1004:$BO$1004,1,MATCH(COLUMNS($AN$1006:BJ1006),$AN$1006:$BO$1006,0)))),"Fix")))</f>
        <v>0</v>
      </c>
      <c r="Y765" s="4">
        <f>IF(OR(INDEX($AH$2:$AH$1001,MATCH(ROWS($AG$2:AG765),$AG$2:$AG$1001,0),1)&gt;=100000,INDEX($AN$1005:$BO$1005,1,MATCH(COLUMNS($AN$1006:BK1006),$AN$1006:$BO$1006,0))&gt;=100000), " ",IF(INDEX($AN$2:$BO$1001,MATCH(ROWS($AG$2:AG765),$AG$2:$AG$1001,0),MATCH(COLUMNS($AN$1006:BK1006),$AN$1006:$BO$1006,0)), HYPERLINK("#",""), HYPERLINK(CONCATENATE("#Metadata!", ADDRESS(INDEX($AI$2:$AI$1001,MATCH(ROWS($AG$2:AG765),$AG$2:$AG$1001,0),0), INDEX($AN$1004:$BO$1004,1,MATCH(COLUMNS($AN$1006:BK1006),$AN$1006:$BO$1006,0)))),"Fix")))</f>
        <v>0</v>
      </c>
      <c r="Z765" s="4">
        <f>IF(OR(INDEX($AH$2:$AH$1001,MATCH(ROWS($AG$2:AG765),$AG$2:$AG$1001,0),1)&gt;=100000,INDEX($AN$1005:$BO$1005,1,MATCH(COLUMNS($AN$1006:BL1006),$AN$1006:$BO$1006,0))&gt;=100000), " ",IF(INDEX($AN$2:$BO$1001,MATCH(ROWS($AG$2:AG765),$AG$2:$AG$1001,0),MATCH(COLUMNS($AN$1006:BL1006),$AN$1006:$BO$1006,0)), HYPERLINK("#",""), HYPERLINK(CONCATENATE("#Metadata!", ADDRESS(INDEX($AI$2:$AI$1001,MATCH(ROWS($AG$2:AG765),$AG$2:$AG$1001,0),0), INDEX($AN$1004:$BO$1004,1,MATCH(COLUMNS($AN$1006:BL1006),$AN$1006:$BO$1006,0)))),"Fix")))</f>
        <v>0</v>
      </c>
      <c r="AA765" s="4">
        <f>IF(OR(INDEX($AH$2:$AH$1001,MATCH(ROWS($AG$2:AG765),$AG$2:$AG$1001,0),1)&gt;=100000,INDEX($AN$1005:$BO$1005,1,MATCH(COLUMNS($AN$1006:BM1006),$AN$1006:$BO$1006,0))&gt;=100000), " ",IF(INDEX($AN$2:$BO$1001,MATCH(ROWS($AG$2:AG765),$AG$2:$AG$1001,0),MATCH(COLUMNS($AN$1006:BM1006),$AN$1006:$BO$1006,0)), HYPERLINK("#",""), HYPERLINK(CONCATENATE("#Metadata!", ADDRESS(INDEX($AI$2:$AI$1001,MATCH(ROWS($AG$2:AG765),$AG$2:$AG$1001,0),0), INDEX($AN$1004:$BO$1004,1,MATCH(COLUMNS($AN$1006:BM1006),$AN$1006:$BO$1006,0)))),"Fix")))</f>
        <v>0</v>
      </c>
      <c r="AB765" s="4">
        <f>IF(OR(INDEX($AH$2:$AH$1001,MATCH(ROWS($AG$2:AG765),$AG$2:$AG$1001,0),1)&gt;=100000,INDEX($AN$1005:$BO$1005,1,MATCH(COLUMNS($AN$1006:BN1006),$AN$1006:$BO$1006,0))&gt;=100000), " ",IF(INDEX($AN$2:$BO$1001,MATCH(ROWS($AG$2:AG765),$AG$2:$AG$1001,0),MATCH(COLUMNS($AN$1006:BN1006),$AN$1006:$BO$1006,0)), HYPERLINK("#",""), HYPERLINK(CONCATENATE("#Metadata!", ADDRESS(INDEX($AI$2:$AI$1001,MATCH(ROWS($AG$2:AG765),$AG$2:$AG$1001,0),0), INDEX($AN$1004:$BO$1004,1,MATCH(COLUMNS($AN$1006:BN1006),$AN$1006:$BO$1006,0)))),"Fix")))</f>
        <v>0</v>
      </c>
      <c r="AC765" s="4">
        <f>IF(OR(INDEX($AH$2:$AH$1001,MATCH(ROWS($AG$2:AG765),$AG$2:$AG$1001,0),1)&gt;=100000,INDEX($AN$1005:$BO$1005,1,MATCH(COLUMNS($AN$1006:BO1006),$AN$1006:$BO$1006,0))&gt;=100000), " ",IF(INDEX($AN$2:$BO$1001,MATCH(ROWS($AG$2:AG765),$AG$2:$AG$1001,0),MATCH(COLUMNS($AN$1006:BO1006),$AN$1006:$BO$1006,0)), HYPERLINK("#",""), HYPERLINK(CONCATENATE("#Metadata!", ADDRESS(INDEX($AI$2:$AI$1001,MATCH(ROWS($AG$2:AG765),$AG$2:$AG$1001,0),0), INDEX($AN$1004:$BO$1004,1,MATCH(COLUMNS($AN$1006:BO1006),$AN$1006:$BO$1006,0)))),"Fix")))</f>
        <v>0</v>
      </c>
      <c r="AG765">
        <v>0</v>
      </c>
      <c r="AH765">
        <v>0</v>
      </c>
      <c r="AI765">
        <v>0</v>
      </c>
      <c r="AJ765">
        <f>IF(AK765,TRUE,AND(AN765:BO765))</f>
        <v>0</v>
      </c>
      <c r="AK765">
        <f>COUNTBLANK(Metadata!B765:AC765)=COLUMNS(Metadata!B765:AC765)</f>
        <v>0</v>
      </c>
      <c r="AL765">
        <v>0</v>
      </c>
      <c r="AN765">
        <f>AND(IF(Metadata!B765="",FALSE,TRUE),COUNTIF(Metadata!B:B, Metadata!B765) = 1,NOT(ISERROR(SUMPRODUCT(SEARCH(MID(Metadata!B765,ROW(INDIRECT("1:"&amp;LEN(Metadata!B765))), 1),"0123456789abcdefghijklmnopqrstuvwxyzABCDEFGHIJKLMNOPQRSTUVWXYZ.")))))</f>
        <v>0</v>
      </c>
      <c r="AO765">
        <f>IF(Metadata!C765="",FALSE,TRUE)</f>
        <v>0</v>
      </c>
      <c r="AP765">
        <f>IF(Metadata!D765="",FALSE,TRUE)</f>
        <v>0</v>
      </c>
      <c r="AQ765">
        <f>OR(AND(IF(Metadata!E765="",FALSE,TRUE),OR(exact(Metadata!E765,"not collected"),exact(Metadata!E765,"not provided"),exact(Metadata!E765,"restricted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R765">
        <f>IF(Metadata!F765="",FALSE,TRUE)</f>
        <v>0</v>
      </c>
      <c r="AS765">
        <f>OR(AND(IF(Metadata!G765="",FALSE,TRUE),OR(exact(Metadata!G765,"not collected"),exact(Metadata!G765,"not provided"))),AND(IF(Metadata!G765="",FALSE,TRUE),OR(exact(Metadata!G765,"TRUE"),exact(Metadata!G765,"FALSE"))))</f>
        <v>0</v>
      </c>
      <c r="AT765">
        <f>OR(AND(IF(Metadata!H765="",FALSE,TRUE),OR(exact(Metadata!H765,"not collected"),exact(Metadata!H765,"not provided"),exact(Metadata!H765,"restricted access"))),AND(IF(Metadata!H765="",FALSE,ISNUMBER(VALUE(Metadata!H765))),Metadata!H765&gt;=-413.0))</f>
        <v>0</v>
      </c>
      <c r="AU765">
        <f>AND(IF(Metadata!I765="",FALSE,TRUE),exact(Metadata!I765,"meters"))</f>
        <v>0</v>
      </c>
      <c r="AV765">
        <f>AND(IF(Metadata!J765="",FALSE,TRUE),OR(exact(Metadata!J765,"Host-associated"),exact(Metadata!J765,"Free-living")))</f>
        <v>0</v>
      </c>
      <c r="AW765">
        <f>AND(IF(Metadata!K765="",FALSE,TRUE),OR(exact(Metadata!K765,"Animal"),exact(Metadata!K765,"Fungus"),exact(Metadata!K765,"Plant"),exact(Metadata!K765,"Saline"),exact(Metadata!K765,"Non-saline")))</f>
        <v>0</v>
      </c>
      <c r="AX765">
        <f>AND(IF(Metadata!L765="",FALSE,TRUE),OR(exact(Metadata!L765,"Plant secretion"),exact(Metadata!L765,"Plant rhizosphere"),exact(Metadata!L765,"Plant surface"),exact(Metadata!L765,"Plant corpus"),exact(Metadata!L765,"Fungus surface"),exact(Metadata!L765,"Fungus corpus"),exact(Metadata!L765,"Animal surface"),exact(Metadata!L765,"Animal proximal gut"),exact(Metadata!L765,"Animal corpus"),exact(Metadata!L765,"Animal distal gut"),exact(Metadata!L765,"Animal secretion"),exact(Metadata!L765,"Sub-surface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Y765">
        <f>IF(Metadata!M765="",FALSE,TRUE)</f>
        <v>0</v>
      </c>
      <c r="AZ765">
        <f>IF(Metadata!N765="",FALSE,TRUE)</f>
        <v>0</v>
      </c>
      <c r="BA765">
        <f>IF(Metadata!O765="",FALSE,TRUE)</f>
        <v>0</v>
      </c>
      <c r="BB765">
        <f>OR(AND(IF(Metadata!P765="",FALSE,TRUE),OR(exact(Metadata!P765,"not collected"),exact(Metadata!P765,"not provided"),exact(Metadata!P765,"restricted access"))),AND(IF(Metadata!P765="",FALSE,TRUE),OR(exact(Metadata!P765,"air"),exact(Metadata!P765,"built environment"),exact(Metadata!P765,"host-associated"),exact(Metadata!P765,"human-associated"),exact(Metadata!P765,"human-skin"),exact(Metadata!P765,"human-oral"),exact(Metadata!P765,"human-gut"),exact(Metadata!P765,"human-vaginal"),exact(Metadata!P765,"microbial mat/biofilm"),exact(Metadata!P765,"misc environment"),exact(Metadata!P765,"plant-associated"),exact(Metadata!P765,"sediment"),exact(Metadata!P765,"soil"),exact(Metadata!P765,"wastewater/sludge"),exact(Metadata!P765,"water"))))</f>
        <v>0</v>
      </c>
      <c r="BC765">
        <f>IF(Metadata!Q765="",FALSE,TRUE)</f>
        <v>0</v>
      </c>
      <c r="BD765">
        <f>IF(Metadata!R765="",FALSE,TRUE)</f>
        <v>0</v>
      </c>
      <c r="BE765">
        <f>OR(AND(IF(Metadata!S765="",FALSE,TRUE),OR(exact(Metadata!S765,"not collected"),exact(Metadata!S765,"not provided"),exact(Metadata!S765,"restricted access"))),AND(IF(Metadata!S765="",FALSE,ISNUMBER(VALUE(Metadata!S765))),Metadata!S765&gt;=-90.00,Metadata!S765&lt;=90.00))</f>
        <v>0</v>
      </c>
      <c r="BF765">
        <f>AND(IF(Metadata!T765="",FALSE,TRUE),exact(Metadata!T765,"Decimal degrees"))</f>
        <v>0</v>
      </c>
      <c r="BG765">
        <f>OR(AND(IF(Metadata!U765="",FALSE,TRUE),OR(exact(Metadata!U765,"not collected"),exact(Metadata!U765,"not provided"),exact(Metadata!U765,"restricted access"))),AND(IF(Metadata!U765="",FALSE,ISNUMBER(VALUE(Metadata!U765))),Metadata!U765&gt;=-180.00,Metadata!U765&lt;=180.00))</f>
        <v>0</v>
      </c>
      <c r="BH765">
        <f>AND(IF(Metadata!V765="",FALSE,TRUE),exact(Metadata!V765,"Decimal degrees"))</f>
        <v>0</v>
      </c>
      <c r="BI765">
        <f>IF(Metadata!W765="",FALSE,TRUE)</f>
        <v>0</v>
      </c>
      <c r="BJ765">
        <f>OR(AND(IF(Metadata!X765="",FALSE,TRUE),OR(exact(Metadata!X765,"not collected"),exact(Metadata!X765,"not provided"),exact(Metadata!X765,"restricted access"))),AND(IF(Metadata!X765="",FALSE,TRUE),OR(exact(Metadata!X765,"TRUE"),exact(Metadata!X765,"FALSE"))))</f>
        <v>0</v>
      </c>
      <c r="BK765">
        <f>AND(IF(Metadata!Y765="",FALSE,TRUE),exact(Metadata!Y765,"other"))</f>
        <v>0</v>
      </c>
      <c r="BL765">
        <f>IF(Metadata!Z765="",FALSE,TRUE)</f>
        <v>0</v>
      </c>
      <c r="BM765">
        <f>OR(AND(IF(Metadata!AA765="",FALSE,TRUE),OR(exact(Metadata!AA765,"not collected"),exact(Metadata!AA765,"not provided"))),AND(IF(Metadata!AA765="",FALSE,IF(ISERROR(INT(Metadata!AA765)),FALSE,INT(Metadata!AA765)=Metadata!AA765)),Metadata!AA765&gt;0))</f>
        <v>0</v>
      </c>
      <c r="BN765">
        <f>AND(IF(Metadata!AB765="",FALSE,TRUE),exact(Metadata!AB765,"Not applicable"))</f>
        <v>0</v>
      </c>
      <c r="BO765">
        <f>IF(Metadata!AC765="",FALSE,TRUE)</f>
        <v>0</v>
      </c>
    </row>
    <row r="766" spans="1:67">
      <c r="A766" s="5">
        <f>IF(B766=" "," ",HYPERLINK(CONCATENATE("#metadata!",ADDRESS(INDEX($AI$2:$AI$1001,MATCH(ROWS($AG$2:AG766),$AG$2:$AG$1001,0),0),1)),INDEX($AL$2:$AL$1001,MATCH(ROWS($AG$2:AG766),$AG$2:$AG$1001,0),0)))</f>
        <v>0</v>
      </c>
      <c r="B766" s="4">
        <f>IF(OR(INDEX($AH$2:$AH$1001,MATCH(ROWS($AG$2:AG766),$AG$2:$AG$1001,0),1)&gt;=100000,INDEX($AN$1005:$BO$1005,1,MATCH(COLUMNS($AN$1006:AN1006),$AN$1006:$BO$1006,0))&gt;=100000), " ",IF(INDEX($AN$2:$BO$1001,MATCH(ROWS($AG$2:AG766),$AG$2:$AG$1001,0),MATCH(COLUMNS($AN$1006:AN1006),$AN$1006:$BO$1006,0)), HYPERLINK("#",""), HYPERLINK(CONCATENATE("#Metadata!", ADDRESS(INDEX($AI$2:$AI$1001,MATCH(ROWS($AG$2:AG766),$AG$2:$AG$1001,0),0), INDEX($AN$1004:$BO$1004,1,MATCH(COLUMNS($AN$1006:AN1006),$AN$1006:$BO$1006,0)))),"Fix")))</f>
        <v>0</v>
      </c>
      <c r="C766" s="4">
        <f>IF(OR(INDEX($AH$2:$AH$1001,MATCH(ROWS($AG$2:AG766),$AG$2:$AG$1001,0),1)&gt;=100000,INDEX($AN$1005:$BO$1005,1,MATCH(COLUMNS($AN$1006:AO1006),$AN$1006:$BO$1006,0))&gt;=100000), " ",IF(INDEX($AN$2:$BO$1001,MATCH(ROWS($AG$2:AG766),$AG$2:$AG$1001,0),MATCH(COLUMNS($AN$1006:AO1006),$AN$1006:$BO$1006,0)), HYPERLINK("#",""), HYPERLINK(CONCATENATE("#Metadata!", ADDRESS(INDEX($AI$2:$AI$1001,MATCH(ROWS($AG$2:AG766),$AG$2:$AG$1001,0),0), INDEX($AN$1004:$BO$1004,1,MATCH(COLUMNS($AN$1006:AO1006),$AN$1006:$BO$1006,0)))),"Fix")))</f>
        <v>0</v>
      </c>
      <c r="D766" s="4">
        <f>IF(OR(INDEX($AH$2:$AH$1001,MATCH(ROWS($AG$2:AG766),$AG$2:$AG$1001,0),1)&gt;=100000,INDEX($AN$1005:$BO$1005,1,MATCH(COLUMNS($AN$1006:AP1006),$AN$1006:$BO$1006,0))&gt;=100000), " ",IF(INDEX($AN$2:$BO$1001,MATCH(ROWS($AG$2:AG766),$AG$2:$AG$1001,0),MATCH(COLUMNS($AN$1006:AP1006),$AN$1006:$BO$1006,0)), HYPERLINK("#",""), HYPERLINK(CONCATENATE("#Metadata!", ADDRESS(INDEX($AI$2:$AI$1001,MATCH(ROWS($AG$2:AG766),$AG$2:$AG$1001,0),0), INDEX($AN$1004:$BO$1004,1,MATCH(COLUMNS($AN$1006:AP1006),$AN$1006:$BO$1006,0)))),"Fix")))</f>
        <v>0</v>
      </c>
      <c r="E766" s="4">
        <f>IF(OR(INDEX($AH$2:$AH$1001,MATCH(ROWS($AG$2:AG766),$AG$2:$AG$1001,0),1)&gt;=100000,INDEX($AN$1005:$BO$1005,1,MATCH(COLUMNS($AN$1006:AQ1006),$AN$1006:$BO$1006,0))&gt;=100000), " ",IF(INDEX($AN$2:$BO$1001,MATCH(ROWS($AG$2:AG766),$AG$2:$AG$1001,0),MATCH(COLUMNS($AN$1006:AQ1006),$AN$1006:$BO$1006,0)), HYPERLINK("#",""), HYPERLINK(CONCATENATE("#Metadata!", ADDRESS(INDEX($AI$2:$AI$1001,MATCH(ROWS($AG$2:AG766),$AG$2:$AG$1001,0),0), INDEX($AN$1004:$BO$1004,1,MATCH(COLUMNS($AN$1006:AQ1006),$AN$1006:$BO$1006,0)))),"Fix")))</f>
        <v>0</v>
      </c>
      <c r="F766" s="4">
        <f>IF(OR(INDEX($AH$2:$AH$1001,MATCH(ROWS($AG$2:AG766),$AG$2:$AG$1001,0),1)&gt;=100000,INDEX($AN$1005:$BO$1005,1,MATCH(COLUMNS($AN$1006:AR1006),$AN$1006:$BO$1006,0))&gt;=100000), " ",IF(INDEX($AN$2:$BO$1001,MATCH(ROWS($AG$2:AG766),$AG$2:$AG$1001,0),MATCH(COLUMNS($AN$1006:AR1006),$AN$1006:$BO$1006,0)), HYPERLINK("#",""), HYPERLINK(CONCATENATE("#Metadata!", ADDRESS(INDEX($AI$2:$AI$1001,MATCH(ROWS($AG$2:AG766),$AG$2:$AG$1001,0),0), INDEX($AN$1004:$BO$1004,1,MATCH(COLUMNS($AN$1006:AR1006),$AN$1006:$BO$1006,0)))),"Fix")))</f>
        <v>0</v>
      </c>
      <c r="G766" s="4">
        <f>IF(OR(INDEX($AH$2:$AH$1001,MATCH(ROWS($AG$2:AG766),$AG$2:$AG$1001,0),1)&gt;=100000,INDEX($AN$1005:$BO$1005,1,MATCH(COLUMNS($AN$1006:AS1006),$AN$1006:$BO$1006,0))&gt;=100000), " ",IF(INDEX($AN$2:$BO$1001,MATCH(ROWS($AG$2:AG766),$AG$2:$AG$1001,0),MATCH(COLUMNS($AN$1006:AS1006),$AN$1006:$BO$1006,0)), HYPERLINK("#",""), HYPERLINK(CONCATENATE("#Metadata!", ADDRESS(INDEX($AI$2:$AI$1001,MATCH(ROWS($AG$2:AG766),$AG$2:$AG$1001,0),0), INDEX($AN$1004:$BO$1004,1,MATCH(COLUMNS($AN$1006:AS1006),$AN$1006:$BO$1006,0)))),"Fix")))</f>
        <v>0</v>
      </c>
      <c r="H766" s="4">
        <f>IF(OR(INDEX($AH$2:$AH$1001,MATCH(ROWS($AG$2:AG766),$AG$2:$AG$1001,0),1)&gt;=100000,INDEX($AN$1005:$BO$1005,1,MATCH(COLUMNS($AN$1006:AT1006),$AN$1006:$BO$1006,0))&gt;=100000), " ",IF(INDEX($AN$2:$BO$1001,MATCH(ROWS($AG$2:AG766),$AG$2:$AG$1001,0),MATCH(COLUMNS($AN$1006:AT1006),$AN$1006:$BO$1006,0)), HYPERLINK("#",""), HYPERLINK(CONCATENATE("#Metadata!", ADDRESS(INDEX($AI$2:$AI$1001,MATCH(ROWS($AG$2:AG766),$AG$2:$AG$1001,0),0), INDEX($AN$1004:$BO$1004,1,MATCH(COLUMNS($AN$1006:AT1006),$AN$1006:$BO$1006,0)))),"Fix")))</f>
        <v>0</v>
      </c>
      <c r="I766" s="4">
        <f>IF(OR(INDEX($AH$2:$AH$1001,MATCH(ROWS($AG$2:AG766),$AG$2:$AG$1001,0),1)&gt;=100000,INDEX($AN$1005:$BO$1005,1,MATCH(COLUMNS($AN$1006:AU1006),$AN$1006:$BO$1006,0))&gt;=100000), " ",IF(INDEX($AN$2:$BO$1001,MATCH(ROWS($AG$2:AG766),$AG$2:$AG$1001,0),MATCH(COLUMNS($AN$1006:AU1006),$AN$1006:$BO$1006,0)), HYPERLINK("#",""), HYPERLINK(CONCATENATE("#Metadata!", ADDRESS(INDEX($AI$2:$AI$1001,MATCH(ROWS($AG$2:AG766),$AG$2:$AG$1001,0),0), INDEX($AN$1004:$BO$1004,1,MATCH(COLUMNS($AN$1006:AU1006),$AN$1006:$BO$1006,0)))),"Fix")))</f>
        <v>0</v>
      </c>
      <c r="J766" s="4">
        <f>IF(OR(INDEX($AH$2:$AH$1001,MATCH(ROWS($AG$2:AG766),$AG$2:$AG$1001,0),1)&gt;=100000,INDEX($AN$1005:$BO$1005,1,MATCH(COLUMNS($AN$1006:AV1006),$AN$1006:$BO$1006,0))&gt;=100000), " ",IF(INDEX($AN$2:$BO$1001,MATCH(ROWS($AG$2:AG766),$AG$2:$AG$1001,0),MATCH(COLUMNS($AN$1006:AV1006),$AN$1006:$BO$1006,0)), HYPERLINK("#",""), HYPERLINK(CONCATENATE("#Metadata!", ADDRESS(INDEX($AI$2:$AI$1001,MATCH(ROWS($AG$2:AG766),$AG$2:$AG$1001,0),0), INDEX($AN$1004:$BO$1004,1,MATCH(COLUMNS($AN$1006:AV1006),$AN$1006:$BO$1006,0)))),"Fix")))</f>
        <v>0</v>
      </c>
      <c r="K766" s="4">
        <f>IF(OR(INDEX($AH$2:$AH$1001,MATCH(ROWS($AG$2:AG766),$AG$2:$AG$1001,0),1)&gt;=100000,INDEX($AN$1005:$BO$1005,1,MATCH(COLUMNS($AN$1006:AW1006),$AN$1006:$BO$1006,0))&gt;=100000), " ",IF(INDEX($AN$2:$BO$1001,MATCH(ROWS($AG$2:AG766),$AG$2:$AG$1001,0),MATCH(COLUMNS($AN$1006:AW1006),$AN$1006:$BO$1006,0)), HYPERLINK("#",""), HYPERLINK(CONCATENATE("#Metadata!", ADDRESS(INDEX($AI$2:$AI$1001,MATCH(ROWS($AG$2:AG766),$AG$2:$AG$1001,0),0), INDEX($AN$1004:$BO$1004,1,MATCH(COLUMNS($AN$1006:AW1006),$AN$1006:$BO$1006,0)))),"Fix")))</f>
        <v>0</v>
      </c>
      <c r="L766" s="4">
        <f>IF(OR(INDEX($AH$2:$AH$1001,MATCH(ROWS($AG$2:AG766),$AG$2:$AG$1001,0),1)&gt;=100000,INDEX($AN$1005:$BO$1005,1,MATCH(COLUMNS($AN$1006:AX1006),$AN$1006:$BO$1006,0))&gt;=100000), " ",IF(INDEX($AN$2:$BO$1001,MATCH(ROWS($AG$2:AG766),$AG$2:$AG$1001,0),MATCH(COLUMNS($AN$1006:AX1006),$AN$1006:$BO$1006,0)), HYPERLINK("#",""), HYPERLINK(CONCATENATE("#Metadata!", ADDRESS(INDEX($AI$2:$AI$1001,MATCH(ROWS($AG$2:AG766),$AG$2:$AG$1001,0),0), INDEX($AN$1004:$BO$1004,1,MATCH(COLUMNS($AN$1006:AX1006),$AN$1006:$BO$1006,0)))),"Fix")))</f>
        <v>0</v>
      </c>
      <c r="M766" s="4">
        <f>IF(OR(INDEX($AH$2:$AH$1001,MATCH(ROWS($AG$2:AG766),$AG$2:$AG$1001,0),1)&gt;=100000,INDEX($AN$1005:$BO$1005,1,MATCH(COLUMNS($AN$1006:AY1006),$AN$1006:$BO$1006,0))&gt;=100000), " ",IF(INDEX($AN$2:$BO$1001,MATCH(ROWS($AG$2:AG766),$AG$2:$AG$1001,0),MATCH(COLUMNS($AN$1006:AY1006),$AN$1006:$BO$1006,0)), HYPERLINK("#",""), HYPERLINK(CONCATENATE("#Metadata!", ADDRESS(INDEX($AI$2:$AI$1001,MATCH(ROWS($AG$2:AG766),$AG$2:$AG$1001,0),0), INDEX($AN$1004:$BO$1004,1,MATCH(COLUMNS($AN$1006:AY1006),$AN$1006:$BO$1006,0)))),"Fix")))</f>
        <v>0</v>
      </c>
      <c r="N766" s="4">
        <f>IF(OR(INDEX($AH$2:$AH$1001,MATCH(ROWS($AG$2:AG766),$AG$2:$AG$1001,0),1)&gt;=100000,INDEX($AN$1005:$BO$1005,1,MATCH(COLUMNS($AN$1006:AZ1006),$AN$1006:$BO$1006,0))&gt;=100000), " ",IF(INDEX($AN$2:$BO$1001,MATCH(ROWS($AG$2:AG766),$AG$2:$AG$1001,0),MATCH(COLUMNS($AN$1006:AZ1006),$AN$1006:$BO$1006,0)), HYPERLINK("#",""), HYPERLINK(CONCATENATE("#Metadata!", ADDRESS(INDEX($AI$2:$AI$1001,MATCH(ROWS($AG$2:AG766),$AG$2:$AG$1001,0),0), INDEX($AN$1004:$BO$1004,1,MATCH(COLUMNS($AN$1006:AZ1006),$AN$1006:$BO$1006,0)))),"Fix")))</f>
        <v>0</v>
      </c>
      <c r="O766" s="4">
        <f>IF(OR(INDEX($AH$2:$AH$1001,MATCH(ROWS($AG$2:AG766),$AG$2:$AG$1001,0),1)&gt;=100000,INDEX($AN$1005:$BO$1005,1,MATCH(COLUMNS($AN$1006:BA1006),$AN$1006:$BO$1006,0))&gt;=100000), " ",IF(INDEX($AN$2:$BO$1001,MATCH(ROWS($AG$2:AG766),$AG$2:$AG$1001,0),MATCH(COLUMNS($AN$1006:BA1006),$AN$1006:$BO$1006,0)), HYPERLINK("#",""), HYPERLINK(CONCATENATE("#Metadata!", ADDRESS(INDEX($AI$2:$AI$1001,MATCH(ROWS($AG$2:AG766),$AG$2:$AG$1001,0),0), INDEX($AN$1004:$BO$1004,1,MATCH(COLUMNS($AN$1006:BA1006),$AN$1006:$BO$1006,0)))),"Fix")))</f>
        <v>0</v>
      </c>
      <c r="P766" s="4">
        <f>IF(OR(INDEX($AH$2:$AH$1001,MATCH(ROWS($AG$2:AG766),$AG$2:$AG$1001,0),1)&gt;=100000,INDEX($AN$1005:$BO$1005,1,MATCH(COLUMNS($AN$1006:BB1006),$AN$1006:$BO$1006,0))&gt;=100000), " ",IF(INDEX($AN$2:$BO$1001,MATCH(ROWS($AG$2:AG766),$AG$2:$AG$1001,0),MATCH(COLUMNS($AN$1006:BB1006),$AN$1006:$BO$1006,0)), HYPERLINK("#",""), HYPERLINK(CONCATENATE("#Metadata!", ADDRESS(INDEX($AI$2:$AI$1001,MATCH(ROWS($AG$2:AG766),$AG$2:$AG$1001,0),0), INDEX($AN$1004:$BO$1004,1,MATCH(COLUMNS($AN$1006:BB1006),$AN$1006:$BO$1006,0)))),"Fix")))</f>
        <v>0</v>
      </c>
      <c r="Q766" s="4">
        <f>IF(OR(INDEX($AH$2:$AH$1001,MATCH(ROWS($AG$2:AG766),$AG$2:$AG$1001,0),1)&gt;=100000,INDEX($AN$1005:$BO$1005,1,MATCH(COLUMNS($AN$1006:BC1006),$AN$1006:$BO$1006,0))&gt;=100000), " ",IF(INDEX($AN$2:$BO$1001,MATCH(ROWS($AG$2:AG766),$AG$2:$AG$1001,0),MATCH(COLUMNS($AN$1006:BC1006),$AN$1006:$BO$1006,0)), HYPERLINK("#",""), HYPERLINK(CONCATENATE("#Metadata!", ADDRESS(INDEX($AI$2:$AI$1001,MATCH(ROWS($AG$2:AG766),$AG$2:$AG$1001,0),0), INDEX($AN$1004:$BO$1004,1,MATCH(COLUMNS($AN$1006:BC1006),$AN$1006:$BO$1006,0)))),"Fix")))</f>
        <v>0</v>
      </c>
      <c r="R766" s="4">
        <f>IF(OR(INDEX($AH$2:$AH$1001,MATCH(ROWS($AG$2:AG766),$AG$2:$AG$1001,0),1)&gt;=100000,INDEX($AN$1005:$BO$1005,1,MATCH(COLUMNS($AN$1006:BD1006),$AN$1006:$BO$1006,0))&gt;=100000), " ",IF(INDEX($AN$2:$BO$1001,MATCH(ROWS($AG$2:AG766),$AG$2:$AG$1001,0),MATCH(COLUMNS($AN$1006:BD1006),$AN$1006:$BO$1006,0)), HYPERLINK("#",""), HYPERLINK(CONCATENATE("#Metadata!", ADDRESS(INDEX($AI$2:$AI$1001,MATCH(ROWS($AG$2:AG766),$AG$2:$AG$1001,0),0), INDEX($AN$1004:$BO$1004,1,MATCH(COLUMNS($AN$1006:BD1006),$AN$1006:$BO$1006,0)))),"Fix")))</f>
        <v>0</v>
      </c>
      <c r="S766" s="4">
        <f>IF(OR(INDEX($AH$2:$AH$1001,MATCH(ROWS($AG$2:AG766),$AG$2:$AG$1001,0),1)&gt;=100000,INDEX($AN$1005:$BO$1005,1,MATCH(COLUMNS($AN$1006:BE1006),$AN$1006:$BO$1006,0))&gt;=100000), " ",IF(INDEX($AN$2:$BO$1001,MATCH(ROWS($AG$2:AG766),$AG$2:$AG$1001,0),MATCH(COLUMNS($AN$1006:BE1006),$AN$1006:$BO$1006,0)), HYPERLINK("#",""), HYPERLINK(CONCATENATE("#Metadata!", ADDRESS(INDEX($AI$2:$AI$1001,MATCH(ROWS($AG$2:AG766),$AG$2:$AG$1001,0),0), INDEX($AN$1004:$BO$1004,1,MATCH(COLUMNS($AN$1006:BE1006),$AN$1006:$BO$1006,0)))),"Fix")))</f>
        <v>0</v>
      </c>
      <c r="T766" s="4">
        <f>IF(OR(INDEX($AH$2:$AH$1001,MATCH(ROWS($AG$2:AG766),$AG$2:$AG$1001,0),1)&gt;=100000,INDEX($AN$1005:$BO$1005,1,MATCH(COLUMNS($AN$1006:BF1006),$AN$1006:$BO$1006,0))&gt;=100000), " ",IF(INDEX($AN$2:$BO$1001,MATCH(ROWS($AG$2:AG766),$AG$2:$AG$1001,0),MATCH(COLUMNS($AN$1006:BF1006),$AN$1006:$BO$1006,0)), HYPERLINK("#",""), HYPERLINK(CONCATENATE("#Metadata!", ADDRESS(INDEX($AI$2:$AI$1001,MATCH(ROWS($AG$2:AG766),$AG$2:$AG$1001,0),0), INDEX($AN$1004:$BO$1004,1,MATCH(COLUMNS($AN$1006:BF1006),$AN$1006:$BO$1006,0)))),"Fix")))</f>
        <v>0</v>
      </c>
      <c r="U766" s="4">
        <f>IF(OR(INDEX($AH$2:$AH$1001,MATCH(ROWS($AG$2:AG766),$AG$2:$AG$1001,0),1)&gt;=100000,INDEX($AN$1005:$BO$1005,1,MATCH(COLUMNS($AN$1006:BG1006),$AN$1006:$BO$1006,0))&gt;=100000), " ",IF(INDEX($AN$2:$BO$1001,MATCH(ROWS($AG$2:AG766),$AG$2:$AG$1001,0),MATCH(COLUMNS($AN$1006:BG1006),$AN$1006:$BO$1006,0)), HYPERLINK("#",""), HYPERLINK(CONCATENATE("#Metadata!", ADDRESS(INDEX($AI$2:$AI$1001,MATCH(ROWS($AG$2:AG766),$AG$2:$AG$1001,0),0), INDEX($AN$1004:$BO$1004,1,MATCH(COLUMNS($AN$1006:BG1006),$AN$1006:$BO$1006,0)))),"Fix")))</f>
        <v>0</v>
      </c>
      <c r="V766" s="4">
        <f>IF(OR(INDEX($AH$2:$AH$1001,MATCH(ROWS($AG$2:AG766),$AG$2:$AG$1001,0),1)&gt;=100000,INDEX($AN$1005:$BO$1005,1,MATCH(COLUMNS($AN$1006:BH1006),$AN$1006:$BO$1006,0))&gt;=100000), " ",IF(INDEX($AN$2:$BO$1001,MATCH(ROWS($AG$2:AG766),$AG$2:$AG$1001,0),MATCH(COLUMNS($AN$1006:BH1006),$AN$1006:$BO$1006,0)), HYPERLINK("#",""), HYPERLINK(CONCATENATE("#Metadata!", ADDRESS(INDEX($AI$2:$AI$1001,MATCH(ROWS($AG$2:AG766),$AG$2:$AG$1001,0),0), INDEX($AN$1004:$BO$1004,1,MATCH(COLUMNS($AN$1006:BH1006),$AN$1006:$BO$1006,0)))),"Fix")))</f>
        <v>0</v>
      </c>
      <c r="W766" s="4">
        <f>IF(OR(INDEX($AH$2:$AH$1001,MATCH(ROWS($AG$2:AG766),$AG$2:$AG$1001,0),1)&gt;=100000,INDEX($AN$1005:$BO$1005,1,MATCH(COLUMNS($AN$1006:BI1006),$AN$1006:$BO$1006,0))&gt;=100000), " ",IF(INDEX($AN$2:$BO$1001,MATCH(ROWS($AG$2:AG766),$AG$2:$AG$1001,0),MATCH(COLUMNS($AN$1006:BI1006),$AN$1006:$BO$1006,0)), HYPERLINK("#",""), HYPERLINK(CONCATENATE("#Metadata!", ADDRESS(INDEX($AI$2:$AI$1001,MATCH(ROWS($AG$2:AG766),$AG$2:$AG$1001,0),0), INDEX($AN$1004:$BO$1004,1,MATCH(COLUMNS($AN$1006:BI1006),$AN$1006:$BO$1006,0)))),"Fix")))</f>
        <v>0</v>
      </c>
      <c r="X766" s="4">
        <f>IF(OR(INDEX($AH$2:$AH$1001,MATCH(ROWS($AG$2:AG766),$AG$2:$AG$1001,0),1)&gt;=100000,INDEX($AN$1005:$BO$1005,1,MATCH(COLUMNS($AN$1006:BJ1006),$AN$1006:$BO$1006,0))&gt;=100000), " ",IF(INDEX($AN$2:$BO$1001,MATCH(ROWS($AG$2:AG766),$AG$2:$AG$1001,0),MATCH(COLUMNS($AN$1006:BJ1006),$AN$1006:$BO$1006,0)), HYPERLINK("#",""), HYPERLINK(CONCATENATE("#Metadata!", ADDRESS(INDEX($AI$2:$AI$1001,MATCH(ROWS($AG$2:AG766),$AG$2:$AG$1001,0),0), INDEX($AN$1004:$BO$1004,1,MATCH(COLUMNS($AN$1006:BJ1006),$AN$1006:$BO$1006,0)))),"Fix")))</f>
        <v>0</v>
      </c>
      <c r="Y766" s="4">
        <f>IF(OR(INDEX($AH$2:$AH$1001,MATCH(ROWS($AG$2:AG766),$AG$2:$AG$1001,0),1)&gt;=100000,INDEX($AN$1005:$BO$1005,1,MATCH(COLUMNS($AN$1006:BK1006),$AN$1006:$BO$1006,0))&gt;=100000), " ",IF(INDEX($AN$2:$BO$1001,MATCH(ROWS($AG$2:AG766),$AG$2:$AG$1001,0),MATCH(COLUMNS($AN$1006:BK1006),$AN$1006:$BO$1006,0)), HYPERLINK("#",""), HYPERLINK(CONCATENATE("#Metadata!", ADDRESS(INDEX($AI$2:$AI$1001,MATCH(ROWS($AG$2:AG766),$AG$2:$AG$1001,0),0), INDEX($AN$1004:$BO$1004,1,MATCH(COLUMNS($AN$1006:BK1006),$AN$1006:$BO$1006,0)))),"Fix")))</f>
        <v>0</v>
      </c>
      <c r="Z766" s="4">
        <f>IF(OR(INDEX($AH$2:$AH$1001,MATCH(ROWS($AG$2:AG766),$AG$2:$AG$1001,0),1)&gt;=100000,INDEX($AN$1005:$BO$1005,1,MATCH(COLUMNS($AN$1006:BL1006),$AN$1006:$BO$1006,0))&gt;=100000), " ",IF(INDEX($AN$2:$BO$1001,MATCH(ROWS($AG$2:AG766),$AG$2:$AG$1001,0),MATCH(COLUMNS($AN$1006:BL1006),$AN$1006:$BO$1006,0)), HYPERLINK("#",""), HYPERLINK(CONCATENATE("#Metadata!", ADDRESS(INDEX($AI$2:$AI$1001,MATCH(ROWS($AG$2:AG766),$AG$2:$AG$1001,0),0), INDEX($AN$1004:$BO$1004,1,MATCH(COLUMNS($AN$1006:BL1006),$AN$1006:$BO$1006,0)))),"Fix")))</f>
        <v>0</v>
      </c>
      <c r="AA766" s="4">
        <f>IF(OR(INDEX($AH$2:$AH$1001,MATCH(ROWS($AG$2:AG766),$AG$2:$AG$1001,0),1)&gt;=100000,INDEX($AN$1005:$BO$1005,1,MATCH(COLUMNS($AN$1006:BM1006),$AN$1006:$BO$1006,0))&gt;=100000), " ",IF(INDEX($AN$2:$BO$1001,MATCH(ROWS($AG$2:AG766),$AG$2:$AG$1001,0),MATCH(COLUMNS($AN$1006:BM1006),$AN$1006:$BO$1006,0)), HYPERLINK("#",""), HYPERLINK(CONCATENATE("#Metadata!", ADDRESS(INDEX($AI$2:$AI$1001,MATCH(ROWS($AG$2:AG766),$AG$2:$AG$1001,0),0), INDEX($AN$1004:$BO$1004,1,MATCH(COLUMNS($AN$1006:BM1006),$AN$1006:$BO$1006,0)))),"Fix")))</f>
        <v>0</v>
      </c>
      <c r="AB766" s="4">
        <f>IF(OR(INDEX($AH$2:$AH$1001,MATCH(ROWS($AG$2:AG766),$AG$2:$AG$1001,0),1)&gt;=100000,INDEX($AN$1005:$BO$1005,1,MATCH(COLUMNS($AN$1006:BN1006),$AN$1006:$BO$1006,0))&gt;=100000), " ",IF(INDEX($AN$2:$BO$1001,MATCH(ROWS($AG$2:AG766),$AG$2:$AG$1001,0),MATCH(COLUMNS($AN$1006:BN1006),$AN$1006:$BO$1006,0)), HYPERLINK("#",""), HYPERLINK(CONCATENATE("#Metadata!", ADDRESS(INDEX($AI$2:$AI$1001,MATCH(ROWS($AG$2:AG766),$AG$2:$AG$1001,0),0), INDEX($AN$1004:$BO$1004,1,MATCH(COLUMNS($AN$1006:BN1006),$AN$1006:$BO$1006,0)))),"Fix")))</f>
        <v>0</v>
      </c>
      <c r="AC766" s="4">
        <f>IF(OR(INDEX($AH$2:$AH$1001,MATCH(ROWS($AG$2:AG766),$AG$2:$AG$1001,0),1)&gt;=100000,INDEX($AN$1005:$BO$1005,1,MATCH(COLUMNS($AN$1006:BO1006),$AN$1006:$BO$1006,0))&gt;=100000), " ",IF(INDEX($AN$2:$BO$1001,MATCH(ROWS($AG$2:AG766),$AG$2:$AG$1001,0),MATCH(COLUMNS($AN$1006:BO1006),$AN$1006:$BO$1006,0)), HYPERLINK("#",""), HYPERLINK(CONCATENATE("#Metadata!", ADDRESS(INDEX($AI$2:$AI$1001,MATCH(ROWS($AG$2:AG766),$AG$2:$AG$1001,0),0), INDEX($AN$1004:$BO$1004,1,MATCH(COLUMNS($AN$1006:BO1006),$AN$1006:$BO$1006,0)))),"Fix")))</f>
        <v>0</v>
      </c>
      <c r="AG766">
        <v>0</v>
      </c>
      <c r="AH766">
        <v>0</v>
      </c>
      <c r="AI766">
        <v>0</v>
      </c>
      <c r="AJ766">
        <f>IF(AK766,TRUE,AND(AN766:BO766))</f>
        <v>0</v>
      </c>
      <c r="AK766">
        <f>COUNTBLANK(Metadata!B766:AC766)=COLUMNS(Metadata!B766:AC766)</f>
        <v>0</v>
      </c>
      <c r="AL766">
        <v>0</v>
      </c>
      <c r="AN766">
        <f>AND(IF(Metadata!B766="",FALSE,TRUE),COUNTIF(Metadata!B:B, Metadata!B766) = 1,NOT(ISERROR(SUMPRODUCT(SEARCH(MID(Metadata!B766,ROW(INDIRECT("1:"&amp;LEN(Metadata!B766))), 1),"0123456789abcdefghijklmnopqrstuvwxyzABCDEFGHIJKLMNOPQRSTUVWXYZ.")))))</f>
        <v>0</v>
      </c>
      <c r="AO766">
        <f>IF(Metadata!C766="",FALSE,TRUE)</f>
        <v>0</v>
      </c>
      <c r="AP766">
        <f>IF(Metadata!D766="",FALSE,TRUE)</f>
        <v>0</v>
      </c>
      <c r="AQ766">
        <f>OR(AND(IF(Metadata!E766="",FALSE,TRUE),OR(exact(Metadata!E766,"not collected"),exact(Metadata!E766,"not provided"),exact(Metadata!E766,"restricted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R766">
        <f>IF(Metadata!F766="",FALSE,TRUE)</f>
        <v>0</v>
      </c>
      <c r="AS766">
        <f>OR(AND(IF(Metadata!G766="",FALSE,TRUE),OR(exact(Metadata!G766,"not collected"),exact(Metadata!G766,"not provided"))),AND(IF(Metadata!G766="",FALSE,TRUE),OR(exact(Metadata!G766,"TRUE"),exact(Metadata!G766,"FALSE"))))</f>
        <v>0</v>
      </c>
      <c r="AT766">
        <f>OR(AND(IF(Metadata!H766="",FALSE,TRUE),OR(exact(Metadata!H766,"not collected"),exact(Metadata!H766,"not provided"),exact(Metadata!H766,"restricted access"))),AND(IF(Metadata!H766="",FALSE,ISNUMBER(VALUE(Metadata!H766))),Metadata!H766&gt;=-413.0))</f>
        <v>0</v>
      </c>
      <c r="AU766">
        <f>AND(IF(Metadata!I766="",FALSE,TRUE),exact(Metadata!I766,"meters"))</f>
        <v>0</v>
      </c>
      <c r="AV766">
        <f>AND(IF(Metadata!J766="",FALSE,TRUE),OR(exact(Metadata!J766,"Host-associated"),exact(Metadata!J766,"Free-living")))</f>
        <v>0</v>
      </c>
      <c r="AW766">
        <f>AND(IF(Metadata!K766="",FALSE,TRUE),OR(exact(Metadata!K766,"Animal"),exact(Metadata!K766,"Fungus"),exact(Metadata!K766,"Plant"),exact(Metadata!K766,"Saline"),exact(Metadata!K766,"Non-saline")))</f>
        <v>0</v>
      </c>
      <c r="AX766">
        <f>AND(IF(Metadata!L766="",FALSE,TRUE),OR(exact(Metadata!L766,"Plant secretion"),exact(Metadata!L766,"Plant rhizosphere"),exact(Metadata!L766,"Plant surface"),exact(Metadata!L766,"Plant corpus"),exact(Metadata!L766,"Fungus surface"),exact(Metadata!L766,"Fungus corpus"),exact(Metadata!L766,"Animal surface"),exact(Metadata!L766,"Animal proximal gut"),exact(Metadata!L766,"Animal corpus"),exact(Metadata!L766,"Animal distal gut"),exact(Metadata!L766,"Animal secretion"),exact(Metadata!L766,"Sub-surface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Y766">
        <f>IF(Metadata!M766="",FALSE,TRUE)</f>
        <v>0</v>
      </c>
      <c r="AZ766">
        <f>IF(Metadata!N766="",FALSE,TRUE)</f>
        <v>0</v>
      </c>
      <c r="BA766">
        <f>IF(Metadata!O766="",FALSE,TRUE)</f>
        <v>0</v>
      </c>
      <c r="BB766">
        <f>OR(AND(IF(Metadata!P766="",FALSE,TRUE),OR(exact(Metadata!P766,"not collected"),exact(Metadata!P766,"not provided"),exact(Metadata!P766,"restricted access"))),AND(IF(Metadata!P766="",FALSE,TRUE),OR(exact(Metadata!P766,"air"),exact(Metadata!P766,"built environment"),exact(Metadata!P766,"host-associated"),exact(Metadata!P766,"human-associated"),exact(Metadata!P766,"human-skin"),exact(Metadata!P766,"human-oral"),exact(Metadata!P766,"human-gut"),exact(Metadata!P766,"human-vaginal"),exact(Metadata!P766,"microbial mat/biofilm"),exact(Metadata!P766,"misc environment"),exact(Metadata!P766,"plant-associated"),exact(Metadata!P766,"sediment"),exact(Metadata!P766,"soil"),exact(Metadata!P766,"wastewater/sludge"),exact(Metadata!P766,"water"))))</f>
        <v>0</v>
      </c>
      <c r="BC766">
        <f>IF(Metadata!Q766="",FALSE,TRUE)</f>
        <v>0</v>
      </c>
      <c r="BD766">
        <f>IF(Metadata!R766="",FALSE,TRUE)</f>
        <v>0</v>
      </c>
      <c r="BE766">
        <f>OR(AND(IF(Metadata!S766="",FALSE,TRUE),OR(exact(Metadata!S766,"not collected"),exact(Metadata!S766,"not provided"),exact(Metadata!S766,"restricted access"))),AND(IF(Metadata!S766="",FALSE,ISNUMBER(VALUE(Metadata!S766))),Metadata!S766&gt;=-90.00,Metadata!S766&lt;=90.00))</f>
        <v>0</v>
      </c>
      <c r="BF766">
        <f>AND(IF(Metadata!T766="",FALSE,TRUE),exact(Metadata!T766,"Decimal degrees"))</f>
        <v>0</v>
      </c>
      <c r="BG766">
        <f>OR(AND(IF(Metadata!U766="",FALSE,TRUE),OR(exact(Metadata!U766,"not collected"),exact(Metadata!U766,"not provided"),exact(Metadata!U766,"restricted access"))),AND(IF(Metadata!U766="",FALSE,ISNUMBER(VALUE(Metadata!U766))),Metadata!U766&gt;=-180.00,Metadata!U766&lt;=180.00))</f>
        <v>0</v>
      </c>
      <c r="BH766">
        <f>AND(IF(Metadata!V766="",FALSE,TRUE),exact(Metadata!V766,"Decimal degrees"))</f>
        <v>0</v>
      </c>
      <c r="BI766">
        <f>IF(Metadata!W766="",FALSE,TRUE)</f>
        <v>0</v>
      </c>
      <c r="BJ766">
        <f>OR(AND(IF(Metadata!X766="",FALSE,TRUE),OR(exact(Metadata!X766,"not collected"),exact(Metadata!X766,"not provided"),exact(Metadata!X766,"restricted access"))),AND(IF(Metadata!X766="",FALSE,TRUE),OR(exact(Metadata!X766,"TRUE"),exact(Metadata!X766,"FALSE"))))</f>
        <v>0</v>
      </c>
      <c r="BK766">
        <f>AND(IF(Metadata!Y766="",FALSE,TRUE),exact(Metadata!Y766,"other"))</f>
        <v>0</v>
      </c>
      <c r="BL766">
        <f>IF(Metadata!Z766="",FALSE,TRUE)</f>
        <v>0</v>
      </c>
      <c r="BM766">
        <f>OR(AND(IF(Metadata!AA766="",FALSE,TRUE),OR(exact(Metadata!AA766,"not collected"),exact(Metadata!AA766,"not provided"))),AND(IF(Metadata!AA766="",FALSE,IF(ISERROR(INT(Metadata!AA766)),FALSE,INT(Metadata!AA766)=Metadata!AA766)),Metadata!AA766&gt;0))</f>
        <v>0</v>
      </c>
      <c r="BN766">
        <f>AND(IF(Metadata!AB766="",FALSE,TRUE),exact(Metadata!AB766,"Not applicable"))</f>
        <v>0</v>
      </c>
      <c r="BO766">
        <f>IF(Metadata!AC766="",FALSE,TRUE)</f>
        <v>0</v>
      </c>
    </row>
    <row r="767" spans="1:67">
      <c r="A767" s="5">
        <f>IF(B767=" "," ",HYPERLINK(CONCATENATE("#metadata!",ADDRESS(INDEX($AI$2:$AI$1001,MATCH(ROWS($AG$2:AG767),$AG$2:$AG$1001,0),0),1)),INDEX($AL$2:$AL$1001,MATCH(ROWS($AG$2:AG767),$AG$2:$AG$1001,0),0)))</f>
        <v>0</v>
      </c>
      <c r="B767" s="4">
        <f>IF(OR(INDEX($AH$2:$AH$1001,MATCH(ROWS($AG$2:AG767),$AG$2:$AG$1001,0),1)&gt;=100000,INDEX($AN$1005:$BO$1005,1,MATCH(COLUMNS($AN$1006:AN1006),$AN$1006:$BO$1006,0))&gt;=100000), " ",IF(INDEX($AN$2:$BO$1001,MATCH(ROWS($AG$2:AG767),$AG$2:$AG$1001,0),MATCH(COLUMNS($AN$1006:AN1006),$AN$1006:$BO$1006,0)), HYPERLINK("#",""), HYPERLINK(CONCATENATE("#Metadata!", ADDRESS(INDEX($AI$2:$AI$1001,MATCH(ROWS($AG$2:AG767),$AG$2:$AG$1001,0),0), INDEX($AN$1004:$BO$1004,1,MATCH(COLUMNS($AN$1006:AN1006),$AN$1006:$BO$1006,0)))),"Fix")))</f>
        <v>0</v>
      </c>
      <c r="C767" s="4">
        <f>IF(OR(INDEX($AH$2:$AH$1001,MATCH(ROWS($AG$2:AG767),$AG$2:$AG$1001,0),1)&gt;=100000,INDEX($AN$1005:$BO$1005,1,MATCH(COLUMNS($AN$1006:AO1006),$AN$1006:$BO$1006,0))&gt;=100000), " ",IF(INDEX($AN$2:$BO$1001,MATCH(ROWS($AG$2:AG767),$AG$2:$AG$1001,0),MATCH(COLUMNS($AN$1006:AO1006),$AN$1006:$BO$1006,0)), HYPERLINK("#",""), HYPERLINK(CONCATENATE("#Metadata!", ADDRESS(INDEX($AI$2:$AI$1001,MATCH(ROWS($AG$2:AG767),$AG$2:$AG$1001,0),0), INDEX($AN$1004:$BO$1004,1,MATCH(COLUMNS($AN$1006:AO1006),$AN$1006:$BO$1006,0)))),"Fix")))</f>
        <v>0</v>
      </c>
      <c r="D767" s="4">
        <f>IF(OR(INDEX($AH$2:$AH$1001,MATCH(ROWS($AG$2:AG767),$AG$2:$AG$1001,0),1)&gt;=100000,INDEX($AN$1005:$BO$1005,1,MATCH(COLUMNS($AN$1006:AP1006),$AN$1006:$BO$1006,0))&gt;=100000), " ",IF(INDEX($AN$2:$BO$1001,MATCH(ROWS($AG$2:AG767),$AG$2:$AG$1001,0),MATCH(COLUMNS($AN$1006:AP1006),$AN$1006:$BO$1006,0)), HYPERLINK("#",""), HYPERLINK(CONCATENATE("#Metadata!", ADDRESS(INDEX($AI$2:$AI$1001,MATCH(ROWS($AG$2:AG767),$AG$2:$AG$1001,0),0), INDEX($AN$1004:$BO$1004,1,MATCH(COLUMNS($AN$1006:AP1006),$AN$1006:$BO$1006,0)))),"Fix")))</f>
        <v>0</v>
      </c>
      <c r="E767" s="4">
        <f>IF(OR(INDEX($AH$2:$AH$1001,MATCH(ROWS($AG$2:AG767),$AG$2:$AG$1001,0),1)&gt;=100000,INDEX($AN$1005:$BO$1005,1,MATCH(COLUMNS($AN$1006:AQ1006),$AN$1006:$BO$1006,0))&gt;=100000), " ",IF(INDEX($AN$2:$BO$1001,MATCH(ROWS($AG$2:AG767),$AG$2:$AG$1001,0),MATCH(COLUMNS($AN$1006:AQ1006),$AN$1006:$BO$1006,0)), HYPERLINK("#",""), HYPERLINK(CONCATENATE("#Metadata!", ADDRESS(INDEX($AI$2:$AI$1001,MATCH(ROWS($AG$2:AG767),$AG$2:$AG$1001,0),0), INDEX($AN$1004:$BO$1004,1,MATCH(COLUMNS($AN$1006:AQ1006),$AN$1006:$BO$1006,0)))),"Fix")))</f>
        <v>0</v>
      </c>
      <c r="F767" s="4">
        <f>IF(OR(INDEX($AH$2:$AH$1001,MATCH(ROWS($AG$2:AG767),$AG$2:$AG$1001,0),1)&gt;=100000,INDEX($AN$1005:$BO$1005,1,MATCH(COLUMNS($AN$1006:AR1006),$AN$1006:$BO$1006,0))&gt;=100000), " ",IF(INDEX($AN$2:$BO$1001,MATCH(ROWS($AG$2:AG767),$AG$2:$AG$1001,0),MATCH(COLUMNS($AN$1006:AR1006),$AN$1006:$BO$1006,0)), HYPERLINK("#",""), HYPERLINK(CONCATENATE("#Metadata!", ADDRESS(INDEX($AI$2:$AI$1001,MATCH(ROWS($AG$2:AG767),$AG$2:$AG$1001,0),0), INDEX($AN$1004:$BO$1004,1,MATCH(COLUMNS($AN$1006:AR1006),$AN$1006:$BO$1006,0)))),"Fix")))</f>
        <v>0</v>
      </c>
      <c r="G767" s="4">
        <f>IF(OR(INDEX($AH$2:$AH$1001,MATCH(ROWS($AG$2:AG767),$AG$2:$AG$1001,0),1)&gt;=100000,INDEX($AN$1005:$BO$1005,1,MATCH(COLUMNS($AN$1006:AS1006),$AN$1006:$BO$1006,0))&gt;=100000), " ",IF(INDEX($AN$2:$BO$1001,MATCH(ROWS($AG$2:AG767),$AG$2:$AG$1001,0),MATCH(COLUMNS($AN$1006:AS1006),$AN$1006:$BO$1006,0)), HYPERLINK("#",""), HYPERLINK(CONCATENATE("#Metadata!", ADDRESS(INDEX($AI$2:$AI$1001,MATCH(ROWS($AG$2:AG767),$AG$2:$AG$1001,0),0), INDEX($AN$1004:$BO$1004,1,MATCH(COLUMNS($AN$1006:AS1006),$AN$1006:$BO$1006,0)))),"Fix")))</f>
        <v>0</v>
      </c>
      <c r="H767" s="4">
        <f>IF(OR(INDEX($AH$2:$AH$1001,MATCH(ROWS($AG$2:AG767),$AG$2:$AG$1001,0),1)&gt;=100000,INDEX($AN$1005:$BO$1005,1,MATCH(COLUMNS($AN$1006:AT1006),$AN$1006:$BO$1006,0))&gt;=100000), " ",IF(INDEX($AN$2:$BO$1001,MATCH(ROWS($AG$2:AG767),$AG$2:$AG$1001,0),MATCH(COLUMNS($AN$1006:AT1006),$AN$1006:$BO$1006,0)), HYPERLINK("#",""), HYPERLINK(CONCATENATE("#Metadata!", ADDRESS(INDEX($AI$2:$AI$1001,MATCH(ROWS($AG$2:AG767),$AG$2:$AG$1001,0),0), INDEX($AN$1004:$BO$1004,1,MATCH(COLUMNS($AN$1006:AT1006),$AN$1006:$BO$1006,0)))),"Fix")))</f>
        <v>0</v>
      </c>
      <c r="I767" s="4">
        <f>IF(OR(INDEX($AH$2:$AH$1001,MATCH(ROWS($AG$2:AG767),$AG$2:$AG$1001,0),1)&gt;=100000,INDEX($AN$1005:$BO$1005,1,MATCH(COLUMNS($AN$1006:AU1006),$AN$1006:$BO$1006,0))&gt;=100000), " ",IF(INDEX($AN$2:$BO$1001,MATCH(ROWS($AG$2:AG767),$AG$2:$AG$1001,0),MATCH(COLUMNS($AN$1006:AU1006),$AN$1006:$BO$1006,0)), HYPERLINK("#",""), HYPERLINK(CONCATENATE("#Metadata!", ADDRESS(INDEX($AI$2:$AI$1001,MATCH(ROWS($AG$2:AG767),$AG$2:$AG$1001,0),0), INDEX($AN$1004:$BO$1004,1,MATCH(COLUMNS($AN$1006:AU1006),$AN$1006:$BO$1006,0)))),"Fix")))</f>
        <v>0</v>
      </c>
      <c r="J767" s="4">
        <f>IF(OR(INDEX($AH$2:$AH$1001,MATCH(ROWS($AG$2:AG767),$AG$2:$AG$1001,0),1)&gt;=100000,INDEX($AN$1005:$BO$1005,1,MATCH(COLUMNS($AN$1006:AV1006),$AN$1006:$BO$1006,0))&gt;=100000), " ",IF(INDEX($AN$2:$BO$1001,MATCH(ROWS($AG$2:AG767),$AG$2:$AG$1001,0),MATCH(COLUMNS($AN$1006:AV1006),$AN$1006:$BO$1006,0)), HYPERLINK("#",""), HYPERLINK(CONCATENATE("#Metadata!", ADDRESS(INDEX($AI$2:$AI$1001,MATCH(ROWS($AG$2:AG767),$AG$2:$AG$1001,0),0), INDEX($AN$1004:$BO$1004,1,MATCH(COLUMNS($AN$1006:AV1006),$AN$1006:$BO$1006,0)))),"Fix")))</f>
        <v>0</v>
      </c>
      <c r="K767" s="4">
        <f>IF(OR(INDEX($AH$2:$AH$1001,MATCH(ROWS($AG$2:AG767),$AG$2:$AG$1001,0),1)&gt;=100000,INDEX($AN$1005:$BO$1005,1,MATCH(COLUMNS($AN$1006:AW1006),$AN$1006:$BO$1006,0))&gt;=100000), " ",IF(INDEX($AN$2:$BO$1001,MATCH(ROWS($AG$2:AG767),$AG$2:$AG$1001,0),MATCH(COLUMNS($AN$1006:AW1006),$AN$1006:$BO$1006,0)), HYPERLINK("#",""), HYPERLINK(CONCATENATE("#Metadata!", ADDRESS(INDEX($AI$2:$AI$1001,MATCH(ROWS($AG$2:AG767),$AG$2:$AG$1001,0),0), INDEX($AN$1004:$BO$1004,1,MATCH(COLUMNS($AN$1006:AW1006),$AN$1006:$BO$1006,0)))),"Fix")))</f>
        <v>0</v>
      </c>
      <c r="L767" s="4">
        <f>IF(OR(INDEX($AH$2:$AH$1001,MATCH(ROWS($AG$2:AG767),$AG$2:$AG$1001,0),1)&gt;=100000,INDEX($AN$1005:$BO$1005,1,MATCH(COLUMNS($AN$1006:AX1006),$AN$1006:$BO$1006,0))&gt;=100000), " ",IF(INDEX($AN$2:$BO$1001,MATCH(ROWS($AG$2:AG767),$AG$2:$AG$1001,0),MATCH(COLUMNS($AN$1006:AX1006),$AN$1006:$BO$1006,0)), HYPERLINK("#",""), HYPERLINK(CONCATENATE("#Metadata!", ADDRESS(INDEX($AI$2:$AI$1001,MATCH(ROWS($AG$2:AG767),$AG$2:$AG$1001,0),0), INDEX($AN$1004:$BO$1004,1,MATCH(COLUMNS($AN$1006:AX1006),$AN$1006:$BO$1006,0)))),"Fix")))</f>
        <v>0</v>
      </c>
      <c r="M767" s="4">
        <f>IF(OR(INDEX($AH$2:$AH$1001,MATCH(ROWS($AG$2:AG767),$AG$2:$AG$1001,0),1)&gt;=100000,INDEX($AN$1005:$BO$1005,1,MATCH(COLUMNS($AN$1006:AY1006),$AN$1006:$BO$1006,0))&gt;=100000), " ",IF(INDEX($AN$2:$BO$1001,MATCH(ROWS($AG$2:AG767),$AG$2:$AG$1001,0),MATCH(COLUMNS($AN$1006:AY1006),$AN$1006:$BO$1006,0)), HYPERLINK("#",""), HYPERLINK(CONCATENATE("#Metadata!", ADDRESS(INDEX($AI$2:$AI$1001,MATCH(ROWS($AG$2:AG767),$AG$2:$AG$1001,0),0), INDEX($AN$1004:$BO$1004,1,MATCH(COLUMNS($AN$1006:AY1006),$AN$1006:$BO$1006,0)))),"Fix")))</f>
        <v>0</v>
      </c>
      <c r="N767" s="4">
        <f>IF(OR(INDEX($AH$2:$AH$1001,MATCH(ROWS($AG$2:AG767),$AG$2:$AG$1001,0),1)&gt;=100000,INDEX($AN$1005:$BO$1005,1,MATCH(COLUMNS($AN$1006:AZ1006),$AN$1006:$BO$1006,0))&gt;=100000), " ",IF(INDEX($AN$2:$BO$1001,MATCH(ROWS($AG$2:AG767),$AG$2:$AG$1001,0),MATCH(COLUMNS($AN$1006:AZ1006),$AN$1006:$BO$1006,0)), HYPERLINK("#",""), HYPERLINK(CONCATENATE("#Metadata!", ADDRESS(INDEX($AI$2:$AI$1001,MATCH(ROWS($AG$2:AG767),$AG$2:$AG$1001,0),0), INDEX($AN$1004:$BO$1004,1,MATCH(COLUMNS($AN$1006:AZ1006),$AN$1006:$BO$1006,0)))),"Fix")))</f>
        <v>0</v>
      </c>
      <c r="O767" s="4">
        <f>IF(OR(INDEX($AH$2:$AH$1001,MATCH(ROWS($AG$2:AG767),$AG$2:$AG$1001,0),1)&gt;=100000,INDEX($AN$1005:$BO$1005,1,MATCH(COLUMNS($AN$1006:BA1006),$AN$1006:$BO$1006,0))&gt;=100000), " ",IF(INDEX($AN$2:$BO$1001,MATCH(ROWS($AG$2:AG767),$AG$2:$AG$1001,0),MATCH(COLUMNS($AN$1006:BA1006),$AN$1006:$BO$1006,0)), HYPERLINK("#",""), HYPERLINK(CONCATENATE("#Metadata!", ADDRESS(INDEX($AI$2:$AI$1001,MATCH(ROWS($AG$2:AG767),$AG$2:$AG$1001,0),0), INDEX($AN$1004:$BO$1004,1,MATCH(COLUMNS($AN$1006:BA1006),$AN$1006:$BO$1006,0)))),"Fix")))</f>
        <v>0</v>
      </c>
      <c r="P767" s="4">
        <f>IF(OR(INDEX($AH$2:$AH$1001,MATCH(ROWS($AG$2:AG767),$AG$2:$AG$1001,0),1)&gt;=100000,INDEX($AN$1005:$BO$1005,1,MATCH(COLUMNS($AN$1006:BB1006),$AN$1006:$BO$1006,0))&gt;=100000), " ",IF(INDEX($AN$2:$BO$1001,MATCH(ROWS($AG$2:AG767),$AG$2:$AG$1001,0),MATCH(COLUMNS($AN$1006:BB1006),$AN$1006:$BO$1006,0)), HYPERLINK("#",""), HYPERLINK(CONCATENATE("#Metadata!", ADDRESS(INDEX($AI$2:$AI$1001,MATCH(ROWS($AG$2:AG767),$AG$2:$AG$1001,0),0), INDEX($AN$1004:$BO$1004,1,MATCH(COLUMNS($AN$1006:BB1006),$AN$1006:$BO$1006,0)))),"Fix")))</f>
        <v>0</v>
      </c>
      <c r="Q767" s="4">
        <f>IF(OR(INDEX($AH$2:$AH$1001,MATCH(ROWS($AG$2:AG767),$AG$2:$AG$1001,0),1)&gt;=100000,INDEX($AN$1005:$BO$1005,1,MATCH(COLUMNS($AN$1006:BC1006),$AN$1006:$BO$1006,0))&gt;=100000), " ",IF(INDEX($AN$2:$BO$1001,MATCH(ROWS($AG$2:AG767),$AG$2:$AG$1001,0),MATCH(COLUMNS($AN$1006:BC1006),$AN$1006:$BO$1006,0)), HYPERLINK("#",""), HYPERLINK(CONCATENATE("#Metadata!", ADDRESS(INDEX($AI$2:$AI$1001,MATCH(ROWS($AG$2:AG767),$AG$2:$AG$1001,0),0), INDEX($AN$1004:$BO$1004,1,MATCH(COLUMNS($AN$1006:BC1006),$AN$1006:$BO$1006,0)))),"Fix")))</f>
        <v>0</v>
      </c>
      <c r="R767" s="4">
        <f>IF(OR(INDEX($AH$2:$AH$1001,MATCH(ROWS($AG$2:AG767),$AG$2:$AG$1001,0),1)&gt;=100000,INDEX($AN$1005:$BO$1005,1,MATCH(COLUMNS($AN$1006:BD1006),$AN$1006:$BO$1006,0))&gt;=100000), " ",IF(INDEX($AN$2:$BO$1001,MATCH(ROWS($AG$2:AG767),$AG$2:$AG$1001,0),MATCH(COLUMNS($AN$1006:BD1006),$AN$1006:$BO$1006,0)), HYPERLINK("#",""), HYPERLINK(CONCATENATE("#Metadata!", ADDRESS(INDEX($AI$2:$AI$1001,MATCH(ROWS($AG$2:AG767),$AG$2:$AG$1001,0),0), INDEX($AN$1004:$BO$1004,1,MATCH(COLUMNS($AN$1006:BD1006),$AN$1006:$BO$1006,0)))),"Fix")))</f>
        <v>0</v>
      </c>
      <c r="S767" s="4">
        <f>IF(OR(INDEX($AH$2:$AH$1001,MATCH(ROWS($AG$2:AG767),$AG$2:$AG$1001,0),1)&gt;=100000,INDEX($AN$1005:$BO$1005,1,MATCH(COLUMNS($AN$1006:BE1006),$AN$1006:$BO$1006,0))&gt;=100000), " ",IF(INDEX($AN$2:$BO$1001,MATCH(ROWS($AG$2:AG767),$AG$2:$AG$1001,0),MATCH(COLUMNS($AN$1006:BE1006),$AN$1006:$BO$1006,0)), HYPERLINK("#",""), HYPERLINK(CONCATENATE("#Metadata!", ADDRESS(INDEX($AI$2:$AI$1001,MATCH(ROWS($AG$2:AG767),$AG$2:$AG$1001,0),0), INDEX($AN$1004:$BO$1004,1,MATCH(COLUMNS($AN$1006:BE1006),$AN$1006:$BO$1006,0)))),"Fix")))</f>
        <v>0</v>
      </c>
      <c r="T767" s="4">
        <f>IF(OR(INDEX($AH$2:$AH$1001,MATCH(ROWS($AG$2:AG767),$AG$2:$AG$1001,0),1)&gt;=100000,INDEX($AN$1005:$BO$1005,1,MATCH(COLUMNS($AN$1006:BF1006),$AN$1006:$BO$1006,0))&gt;=100000), " ",IF(INDEX($AN$2:$BO$1001,MATCH(ROWS($AG$2:AG767),$AG$2:$AG$1001,0),MATCH(COLUMNS($AN$1006:BF1006),$AN$1006:$BO$1006,0)), HYPERLINK("#",""), HYPERLINK(CONCATENATE("#Metadata!", ADDRESS(INDEX($AI$2:$AI$1001,MATCH(ROWS($AG$2:AG767),$AG$2:$AG$1001,0),0), INDEX($AN$1004:$BO$1004,1,MATCH(COLUMNS($AN$1006:BF1006),$AN$1006:$BO$1006,0)))),"Fix")))</f>
        <v>0</v>
      </c>
      <c r="U767" s="4">
        <f>IF(OR(INDEX($AH$2:$AH$1001,MATCH(ROWS($AG$2:AG767),$AG$2:$AG$1001,0),1)&gt;=100000,INDEX($AN$1005:$BO$1005,1,MATCH(COLUMNS($AN$1006:BG1006),$AN$1006:$BO$1006,0))&gt;=100000), " ",IF(INDEX($AN$2:$BO$1001,MATCH(ROWS($AG$2:AG767),$AG$2:$AG$1001,0),MATCH(COLUMNS($AN$1006:BG1006),$AN$1006:$BO$1006,0)), HYPERLINK("#",""), HYPERLINK(CONCATENATE("#Metadata!", ADDRESS(INDEX($AI$2:$AI$1001,MATCH(ROWS($AG$2:AG767),$AG$2:$AG$1001,0),0), INDEX($AN$1004:$BO$1004,1,MATCH(COLUMNS($AN$1006:BG1006),$AN$1006:$BO$1006,0)))),"Fix")))</f>
        <v>0</v>
      </c>
      <c r="V767" s="4">
        <f>IF(OR(INDEX($AH$2:$AH$1001,MATCH(ROWS($AG$2:AG767),$AG$2:$AG$1001,0),1)&gt;=100000,INDEX($AN$1005:$BO$1005,1,MATCH(COLUMNS($AN$1006:BH1006),$AN$1006:$BO$1006,0))&gt;=100000), " ",IF(INDEX($AN$2:$BO$1001,MATCH(ROWS($AG$2:AG767),$AG$2:$AG$1001,0),MATCH(COLUMNS($AN$1006:BH1006),$AN$1006:$BO$1006,0)), HYPERLINK("#",""), HYPERLINK(CONCATENATE("#Metadata!", ADDRESS(INDEX($AI$2:$AI$1001,MATCH(ROWS($AG$2:AG767),$AG$2:$AG$1001,0),0), INDEX($AN$1004:$BO$1004,1,MATCH(COLUMNS($AN$1006:BH1006),$AN$1006:$BO$1006,0)))),"Fix")))</f>
        <v>0</v>
      </c>
      <c r="W767" s="4">
        <f>IF(OR(INDEX($AH$2:$AH$1001,MATCH(ROWS($AG$2:AG767),$AG$2:$AG$1001,0),1)&gt;=100000,INDEX($AN$1005:$BO$1005,1,MATCH(COLUMNS($AN$1006:BI1006),$AN$1006:$BO$1006,0))&gt;=100000), " ",IF(INDEX($AN$2:$BO$1001,MATCH(ROWS($AG$2:AG767),$AG$2:$AG$1001,0),MATCH(COLUMNS($AN$1006:BI1006),$AN$1006:$BO$1006,0)), HYPERLINK("#",""), HYPERLINK(CONCATENATE("#Metadata!", ADDRESS(INDEX($AI$2:$AI$1001,MATCH(ROWS($AG$2:AG767),$AG$2:$AG$1001,0),0), INDEX($AN$1004:$BO$1004,1,MATCH(COLUMNS($AN$1006:BI1006),$AN$1006:$BO$1006,0)))),"Fix")))</f>
        <v>0</v>
      </c>
      <c r="X767" s="4">
        <f>IF(OR(INDEX($AH$2:$AH$1001,MATCH(ROWS($AG$2:AG767),$AG$2:$AG$1001,0),1)&gt;=100000,INDEX($AN$1005:$BO$1005,1,MATCH(COLUMNS($AN$1006:BJ1006),$AN$1006:$BO$1006,0))&gt;=100000), " ",IF(INDEX($AN$2:$BO$1001,MATCH(ROWS($AG$2:AG767),$AG$2:$AG$1001,0),MATCH(COLUMNS($AN$1006:BJ1006),$AN$1006:$BO$1006,0)), HYPERLINK("#",""), HYPERLINK(CONCATENATE("#Metadata!", ADDRESS(INDEX($AI$2:$AI$1001,MATCH(ROWS($AG$2:AG767),$AG$2:$AG$1001,0),0), INDEX($AN$1004:$BO$1004,1,MATCH(COLUMNS($AN$1006:BJ1006),$AN$1006:$BO$1006,0)))),"Fix")))</f>
        <v>0</v>
      </c>
      <c r="Y767" s="4">
        <f>IF(OR(INDEX($AH$2:$AH$1001,MATCH(ROWS($AG$2:AG767),$AG$2:$AG$1001,0),1)&gt;=100000,INDEX($AN$1005:$BO$1005,1,MATCH(COLUMNS($AN$1006:BK1006),$AN$1006:$BO$1006,0))&gt;=100000), " ",IF(INDEX($AN$2:$BO$1001,MATCH(ROWS($AG$2:AG767),$AG$2:$AG$1001,0),MATCH(COLUMNS($AN$1006:BK1006),$AN$1006:$BO$1006,0)), HYPERLINK("#",""), HYPERLINK(CONCATENATE("#Metadata!", ADDRESS(INDEX($AI$2:$AI$1001,MATCH(ROWS($AG$2:AG767),$AG$2:$AG$1001,0),0), INDEX($AN$1004:$BO$1004,1,MATCH(COLUMNS($AN$1006:BK1006),$AN$1006:$BO$1006,0)))),"Fix")))</f>
        <v>0</v>
      </c>
      <c r="Z767" s="4">
        <f>IF(OR(INDEX($AH$2:$AH$1001,MATCH(ROWS($AG$2:AG767),$AG$2:$AG$1001,0),1)&gt;=100000,INDEX($AN$1005:$BO$1005,1,MATCH(COLUMNS($AN$1006:BL1006),$AN$1006:$BO$1006,0))&gt;=100000), " ",IF(INDEX($AN$2:$BO$1001,MATCH(ROWS($AG$2:AG767),$AG$2:$AG$1001,0),MATCH(COLUMNS($AN$1006:BL1006),$AN$1006:$BO$1006,0)), HYPERLINK("#",""), HYPERLINK(CONCATENATE("#Metadata!", ADDRESS(INDEX($AI$2:$AI$1001,MATCH(ROWS($AG$2:AG767),$AG$2:$AG$1001,0),0), INDEX($AN$1004:$BO$1004,1,MATCH(COLUMNS($AN$1006:BL1006),$AN$1006:$BO$1006,0)))),"Fix")))</f>
        <v>0</v>
      </c>
      <c r="AA767" s="4">
        <f>IF(OR(INDEX($AH$2:$AH$1001,MATCH(ROWS($AG$2:AG767),$AG$2:$AG$1001,0),1)&gt;=100000,INDEX($AN$1005:$BO$1005,1,MATCH(COLUMNS($AN$1006:BM1006),$AN$1006:$BO$1006,0))&gt;=100000), " ",IF(INDEX($AN$2:$BO$1001,MATCH(ROWS($AG$2:AG767),$AG$2:$AG$1001,0),MATCH(COLUMNS($AN$1006:BM1006),$AN$1006:$BO$1006,0)), HYPERLINK("#",""), HYPERLINK(CONCATENATE("#Metadata!", ADDRESS(INDEX($AI$2:$AI$1001,MATCH(ROWS($AG$2:AG767),$AG$2:$AG$1001,0),0), INDEX($AN$1004:$BO$1004,1,MATCH(COLUMNS($AN$1006:BM1006),$AN$1006:$BO$1006,0)))),"Fix")))</f>
        <v>0</v>
      </c>
      <c r="AB767" s="4">
        <f>IF(OR(INDEX($AH$2:$AH$1001,MATCH(ROWS($AG$2:AG767),$AG$2:$AG$1001,0),1)&gt;=100000,INDEX($AN$1005:$BO$1005,1,MATCH(COLUMNS($AN$1006:BN1006),$AN$1006:$BO$1006,0))&gt;=100000), " ",IF(INDEX($AN$2:$BO$1001,MATCH(ROWS($AG$2:AG767),$AG$2:$AG$1001,0),MATCH(COLUMNS($AN$1006:BN1006),$AN$1006:$BO$1006,0)), HYPERLINK("#",""), HYPERLINK(CONCATENATE("#Metadata!", ADDRESS(INDEX($AI$2:$AI$1001,MATCH(ROWS($AG$2:AG767),$AG$2:$AG$1001,0),0), INDEX($AN$1004:$BO$1004,1,MATCH(COLUMNS($AN$1006:BN1006),$AN$1006:$BO$1006,0)))),"Fix")))</f>
        <v>0</v>
      </c>
      <c r="AC767" s="4">
        <f>IF(OR(INDEX($AH$2:$AH$1001,MATCH(ROWS($AG$2:AG767),$AG$2:$AG$1001,0),1)&gt;=100000,INDEX($AN$1005:$BO$1005,1,MATCH(COLUMNS($AN$1006:BO1006),$AN$1006:$BO$1006,0))&gt;=100000), " ",IF(INDEX($AN$2:$BO$1001,MATCH(ROWS($AG$2:AG767),$AG$2:$AG$1001,0),MATCH(COLUMNS($AN$1006:BO1006),$AN$1006:$BO$1006,0)), HYPERLINK("#",""), HYPERLINK(CONCATENATE("#Metadata!", ADDRESS(INDEX($AI$2:$AI$1001,MATCH(ROWS($AG$2:AG767),$AG$2:$AG$1001,0),0), INDEX($AN$1004:$BO$1004,1,MATCH(COLUMNS($AN$1006:BO1006),$AN$1006:$BO$1006,0)))),"Fix")))</f>
        <v>0</v>
      </c>
      <c r="AG767">
        <v>0</v>
      </c>
      <c r="AH767">
        <v>0</v>
      </c>
      <c r="AI767">
        <v>0</v>
      </c>
      <c r="AJ767">
        <f>IF(AK767,TRUE,AND(AN767:BO767))</f>
        <v>0</v>
      </c>
      <c r="AK767">
        <f>COUNTBLANK(Metadata!B767:AC767)=COLUMNS(Metadata!B767:AC767)</f>
        <v>0</v>
      </c>
      <c r="AL767">
        <v>0</v>
      </c>
      <c r="AN767">
        <f>AND(IF(Metadata!B767="",FALSE,TRUE),COUNTIF(Metadata!B:B, Metadata!B767) = 1,NOT(ISERROR(SUMPRODUCT(SEARCH(MID(Metadata!B767,ROW(INDIRECT("1:"&amp;LEN(Metadata!B767))), 1),"0123456789abcdefghijklmnopqrstuvwxyzABCDEFGHIJKLMNOPQRSTUVWXYZ.")))))</f>
        <v>0</v>
      </c>
      <c r="AO767">
        <f>IF(Metadata!C767="",FALSE,TRUE)</f>
        <v>0</v>
      </c>
      <c r="AP767">
        <f>IF(Metadata!D767="",FALSE,TRUE)</f>
        <v>0</v>
      </c>
      <c r="AQ767">
        <f>OR(AND(IF(Metadata!E767="",FALSE,TRUE),OR(exact(Metadata!E767,"not collected"),exact(Metadata!E767,"not provided"),exact(Metadata!E767,"restricted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R767">
        <f>IF(Metadata!F767="",FALSE,TRUE)</f>
        <v>0</v>
      </c>
      <c r="AS767">
        <f>OR(AND(IF(Metadata!G767="",FALSE,TRUE),OR(exact(Metadata!G767,"not collected"),exact(Metadata!G767,"not provided"))),AND(IF(Metadata!G767="",FALSE,TRUE),OR(exact(Metadata!G767,"TRUE"),exact(Metadata!G767,"FALSE"))))</f>
        <v>0</v>
      </c>
      <c r="AT767">
        <f>OR(AND(IF(Metadata!H767="",FALSE,TRUE),OR(exact(Metadata!H767,"not collected"),exact(Metadata!H767,"not provided"),exact(Metadata!H767,"restricted access"))),AND(IF(Metadata!H767="",FALSE,ISNUMBER(VALUE(Metadata!H767))),Metadata!H767&gt;=-413.0))</f>
        <v>0</v>
      </c>
      <c r="AU767">
        <f>AND(IF(Metadata!I767="",FALSE,TRUE),exact(Metadata!I767,"meters"))</f>
        <v>0</v>
      </c>
      <c r="AV767">
        <f>AND(IF(Metadata!J767="",FALSE,TRUE),OR(exact(Metadata!J767,"Host-associated"),exact(Metadata!J767,"Free-living")))</f>
        <v>0</v>
      </c>
      <c r="AW767">
        <f>AND(IF(Metadata!K767="",FALSE,TRUE),OR(exact(Metadata!K767,"Animal"),exact(Metadata!K767,"Fungus"),exact(Metadata!K767,"Plant"),exact(Metadata!K767,"Saline"),exact(Metadata!K767,"Non-saline")))</f>
        <v>0</v>
      </c>
      <c r="AX767">
        <f>AND(IF(Metadata!L767="",FALSE,TRUE),OR(exact(Metadata!L767,"Plant secretion"),exact(Metadata!L767,"Plant rhizosphere"),exact(Metadata!L767,"Plant surface"),exact(Metadata!L767,"Plant corpus"),exact(Metadata!L767,"Fungus surface"),exact(Metadata!L767,"Fungus corpus"),exact(Metadata!L767,"Animal surface"),exact(Metadata!L767,"Animal proximal gut"),exact(Metadata!L767,"Animal corpus"),exact(Metadata!L767,"Animal distal gut"),exact(Metadata!L767,"Animal secretion"),exact(Metadata!L767,"Sub-surface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Y767">
        <f>IF(Metadata!M767="",FALSE,TRUE)</f>
        <v>0</v>
      </c>
      <c r="AZ767">
        <f>IF(Metadata!N767="",FALSE,TRUE)</f>
        <v>0</v>
      </c>
      <c r="BA767">
        <f>IF(Metadata!O767="",FALSE,TRUE)</f>
        <v>0</v>
      </c>
      <c r="BB767">
        <f>OR(AND(IF(Metadata!P767="",FALSE,TRUE),OR(exact(Metadata!P767,"not collected"),exact(Metadata!P767,"not provided"),exact(Metadata!P767,"restricted access"))),AND(IF(Metadata!P767="",FALSE,TRUE),OR(exact(Metadata!P767,"air"),exact(Metadata!P767,"built environment"),exact(Metadata!P767,"host-associated"),exact(Metadata!P767,"human-associated"),exact(Metadata!P767,"human-skin"),exact(Metadata!P767,"human-oral"),exact(Metadata!P767,"human-gut"),exact(Metadata!P767,"human-vaginal"),exact(Metadata!P767,"microbial mat/biofilm"),exact(Metadata!P767,"misc environment"),exact(Metadata!P767,"plant-associated"),exact(Metadata!P767,"sediment"),exact(Metadata!P767,"soil"),exact(Metadata!P767,"wastewater/sludge"),exact(Metadata!P767,"water"))))</f>
        <v>0</v>
      </c>
      <c r="BC767">
        <f>IF(Metadata!Q767="",FALSE,TRUE)</f>
        <v>0</v>
      </c>
      <c r="BD767">
        <f>IF(Metadata!R767="",FALSE,TRUE)</f>
        <v>0</v>
      </c>
      <c r="BE767">
        <f>OR(AND(IF(Metadata!S767="",FALSE,TRUE),OR(exact(Metadata!S767,"not collected"),exact(Metadata!S767,"not provided"),exact(Metadata!S767,"restricted access"))),AND(IF(Metadata!S767="",FALSE,ISNUMBER(VALUE(Metadata!S767))),Metadata!S767&gt;=-90.00,Metadata!S767&lt;=90.00))</f>
        <v>0</v>
      </c>
      <c r="BF767">
        <f>AND(IF(Metadata!T767="",FALSE,TRUE),exact(Metadata!T767,"Decimal degrees"))</f>
        <v>0</v>
      </c>
      <c r="BG767">
        <f>OR(AND(IF(Metadata!U767="",FALSE,TRUE),OR(exact(Metadata!U767,"not collected"),exact(Metadata!U767,"not provided"),exact(Metadata!U767,"restricted access"))),AND(IF(Metadata!U767="",FALSE,ISNUMBER(VALUE(Metadata!U767))),Metadata!U767&gt;=-180.00,Metadata!U767&lt;=180.00))</f>
        <v>0</v>
      </c>
      <c r="BH767">
        <f>AND(IF(Metadata!V767="",FALSE,TRUE),exact(Metadata!V767,"Decimal degrees"))</f>
        <v>0</v>
      </c>
      <c r="BI767">
        <f>IF(Metadata!W767="",FALSE,TRUE)</f>
        <v>0</v>
      </c>
      <c r="BJ767">
        <f>OR(AND(IF(Metadata!X767="",FALSE,TRUE),OR(exact(Metadata!X767,"not collected"),exact(Metadata!X767,"not provided"),exact(Metadata!X767,"restricted access"))),AND(IF(Metadata!X767="",FALSE,TRUE),OR(exact(Metadata!X767,"TRUE"),exact(Metadata!X767,"FALSE"))))</f>
        <v>0</v>
      </c>
      <c r="BK767">
        <f>AND(IF(Metadata!Y767="",FALSE,TRUE),exact(Metadata!Y767,"other"))</f>
        <v>0</v>
      </c>
      <c r="BL767">
        <f>IF(Metadata!Z767="",FALSE,TRUE)</f>
        <v>0</v>
      </c>
      <c r="BM767">
        <f>OR(AND(IF(Metadata!AA767="",FALSE,TRUE),OR(exact(Metadata!AA767,"not collected"),exact(Metadata!AA767,"not provided"))),AND(IF(Metadata!AA767="",FALSE,IF(ISERROR(INT(Metadata!AA767)),FALSE,INT(Metadata!AA767)=Metadata!AA767)),Metadata!AA767&gt;0))</f>
        <v>0</v>
      </c>
      <c r="BN767">
        <f>AND(IF(Metadata!AB767="",FALSE,TRUE),exact(Metadata!AB767,"Not applicable"))</f>
        <v>0</v>
      </c>
      <c r="BO767">
        <f>IF(Metadata!AC767="",FALSE,TRUE)</f>
        <v>0</v>
      </c>
    </row>
    <row r="768" spans="1:67">
      <c r="A768" s="5">
        <f>IF(B768=" "," ",HYPERLINK(CONCATENATE("#metadata!",ADDRESS(INDEX($AI$2:$AI$1001,MATCH(ROWS($AG$2:AG768),$AG$2:$AG$1001,0),0),1)),INDEX($AL$2:$AL$1001,MATCH(ROWS($AG$2:AG768),$AG$2:$AG$1001,0),0)))</f>
        <v>0</v>
      </c>
      <c r="B768" s="4">
        <f>IF(OR(INDEX($AH$2:$AH$1001,MATCH(ROWS($AG$2:AG768),$AG$2:$AG$1001,0),1)&gt;=100000,INDEX($AN$1005:$BO$1005,1,MATCH(COLUMNS($AN$1006:AN1006),$AN$1006:$BO$1006,0))&gt;=100000), " ",IF(INDEX($AN$2:$BO$1001,MATCH(ROWS($AG$2:AG768),$AG$2:$AG$1001,0),MATCH(COLUMNS($AN$1006:AN1006),$AN$1006:$BO$1006,0)), HYPERLINK("#",""), HYPERLINK(CONCATENATE("#Metadata!", ADDRESS(INDEX($AI$2:$AI$1001,MATCH(ROWS($AG$2:AG768),$AG$2:$AG$1001,0),0), INDEX($AN$1004:$BO$1004,1,MATCH(COLUMNS($AN$1006:AN1006),$AN$1006:$BO$1006,0)))),"Fix")))</f>
        <v>0</v>
      </c>
      <c r="C768" s="4">
        <f>IF(OR(INDEX($AH$2:$AH$1001,MATCH(ROWS($AG$2:AG768),$AG$2:$AG$1001,0),1)&gt;=100000,INDEX($AN$1005:$BO$1005,1,MATCH(COLUMNS($AN$1006:AO1006),$AN$1006:$BO$1006,0))&gt;=100000), " ",IF(INDEX($AN$2:$BO$1001,MATCH(ROWS($AG$2:AG768),$AG$2:$AG$1001,0),MATCH(COLUMNS($AN$1006:AO1006),$AN$1006:$BO$1006,0)), HYPERLINK("#",""), HYPERLINK(CONCATENATE("#Metadata!", ADDRESS(INDEX($AI$2:$AI$1001,MATCH(ROWS($AG$2:AG768),$AG$2:$AG$1001,0),0), INDEX($AN$1004:$BO$1004,1,MATCH(COLUMNS($AN$1006:AO1006),$AN$1006:$BO$1006,0)))),"Fix")))</f>
        <v>0</v>
      </c>
      <c r="D768" s="4">
        <f>IF(OR(INDEX($AH$2:$AH$1001,MATCH(ROWS($AG$2:AG768),$AG$2:$AG$1001,0),1)&gt;=100000,INDEX($AN$1005:$BO$1005,1,MATCH(COLUMNS($AN$1006:AP1006),$AN$1006:$BO$1006,0))&gt;=100000), " ",IF(INDEX($AN$2:$BO$1001,MATCH(ROWS($AG$2:AG768),$AG$2:$AG$1001,0),MATCH(COLUMNS($AN$1006:AP1006),$AN$1006:$BO$1006,0)), HYPERLINK("#",""), HYPERLINK(CONCATENATE("#Metadata!", ADDRESS(INDEX($AI$2:$AI$1001,MATCH(ROWS($AG$2:AG768),$AG$2:$AG$1001,0),0), INDEX($AN$1004:$BO$1004,1,MATCH(COLUMNS($AN$1006:AP1006),$AN$1006:$BO$1006,0)))),"Fix")))</f>
        <v>0</v>
      </c>
      <c r="E768" s="4">
        <f>IF(OR(INDEX($AH$2:$AH$1001,MATCH(ROWS($AG$2:AG768),$AG$2:$AG$1001,0),1)&gt;=100000,INDEX($AN$1005:$BO$1005,1,MATCH(COLUMNS($AN$1006:AQ1006),$AN$1006:$BO$1006,0))&gt;=100000), " ",IF(INDEX($AN$2:$BO$1001,MATCH(ROWS($AG$2:AG768),$AG$2:$AG$1001,0),MATCH(COLUMNS($AN$1006:AQ1006),$AN$1006:$BO$1006,0)), HYPERLINK("#",""), HYPERLINK(CONCATENATE("#Metadata!", ADDRESS(INDEX($AI$2:$AI$1001,MATCH(ROWS($AG$2:AG768),$AG$2:$AG$1001,0),0), INDEX($AN$1004:$BO$1004,1,MATCH(COLUMNS($AN$1006:AQ1006),$AN$1006:$BO$1006,0)))),"Fix")))</f>
        <v>0</v>
      </c>
      <c r="F768" s="4">
        <f>IF(OR(INDEX($AH$2:$AH$1001,MATCH(ROWS($AG$2:AG768),$AG$2:$AG$1001,0),1)&gt;=100000,INDEX($AN$1005:$BO$1005,1,MATCH(COLUMNS($AN$1006:AR1006),$AN$1006:$BO$1006,0))&gt;=100000), " ",IF(INDEX($AN$2:$BO$1001,MATCH(ROWS($AG$2:AG768),$AG$2:$AG$1001,0),MATCH(COLUMNS($AN$1006:AR1006),$AN$1006:$BO$1006,0)), HYPERLINK("#",""), HYPERLINK(CONCATENATE("#Metadata!", ADDRESS(INDEX($AI$2:$AI$1001,MATCH(ROWS($AG$2:AG768),$AG$2:$AG$1001,0),0), INDEX($AN$1004:$BO$1004,1,MATCH(COLUMNS($AN$1006:AR1006),$AN$1006:$BO$1006,0)))),"Fix")))</f>
        <v>0</v>
      </c>
      <c r="G768" s="4">
        <f>IF(OR(INDEX($AH$2:$AH$1001,MATCH(ROWS($AG$2:AG768),$AG$2:$AG$1001,0),1)&gt;=100000,INDEX($AN$1005:$BO$1005,1,MATCH(COLUMNS($AN$1006:AS1006),$AN$1006:$BO$1006,0))&gt;=100000), " ",IF(INDEX($AN$2:$BO$1001,MATCH(ROWS($AG$2:AG768),$AG$2:$AG$1001,0),MATCH(COLUMNS($AN$1006:AS1006),$AN$1006:$BO$1006,0)), HYPERLINK("#",""), HYPERLINK(CONCATENATE("#Metadata!", ADDRESS(INDEX($AI$2:$AI$1001,MATCH(ROWS($AG$2:AG768),$AG$2:$AG$1001,0),0), INDEX($AN$1004:$BO$1004,1,MATCH(COLUMNS($AN$1006:AS1006),$AN$1006:$BO$1006,0)))),"Fix")))</f>
        <v>0</v>
      </c>
      <c r="H768" s="4">
        <f>IF(OR(INDEX($AH$2:$AH$1001,MATCH(ROWS($AG$2:AG768),$AG$2:$AG$1001,0),1)&gt;=100000,INDEX($AN$1005:$BO$1005,1,MATCH(COLUMNS($AN$1006:AT1006),$AN$1006:$BO$1006,0))&gt;=100000), " ",IF(INDEX($AN$2:$BO$1001,MATCH(ROWS($AG$2:AG768),$AG$2:$AG$1001,0),MATCH(COLUMNS($AN$1006:AT1006),$AN$1006:$BO$1006,0)), HYPERLINK("#",""), HYPERLINK(CONCATENATE("#Metadata!", ADDRESS(INDEX($AI$2:$AI$1001,MATCH(ROWS($AG$2:AG768),$AG$2:$AG$1001,0),0), INDEX($AN$1004:$BO$1004,1,MATCH(COLUMNS($AN$1006:AT1006),$AN$1006:$BO$1006,0)))),"Fix")))</f>
        <v>0</v>
      </c>
      <c r="I768" s="4">
        <f>IF(OR(INDEX($AH$2:$AH$1001,MATCH(ROWS($AG$2:AG768),$AG$2:$AG$1001,0),1)&gt;=100000,INDEX($AN$1005:$BO$1005,1,MATCH(COLUMNS($AN$1006:AU1006),$AN$1006:$BO$1006,0))&gt;=100000), " ",IF(INDEX($AN$2:$BO$1001,MATCH(ROWS($AG$2:AG768),$AG$2:$AG$1001,0),MATCH(COLUMNS($AN$1006:AU1006),$AN$1006:$BO$1006,0)), HYPERLINK("#",""), HYPERLINK(CONCATENATE("#Metadata!", ADDRESS(INDEX($AI$2:$AI$1001,MATCH(ROWS($AG$2:AG768),$AG$2:$AG$1001,0),0), INDEX($AN$1004:$BO$1004,1,MATCH(COLUMNS($AN$1006:AU1006),$AN$1006:$BO$1006,0)))),"Fix")))</f>
        <v>0</v>
      </c>
      <c r="J768" s="4">
        <f>IF(OR(INDEX($AH$2:$AH$1001,MATCH(ROWS($AG$2:AG768),$AG$2:$AG$1001,0),1)&gt;=100000,INDEX($AN$1005:$BO$1005,1,MATCH(COLUMNS($AN$1006:AV1006),$AN$1006:$BO$1006,0))&gt;=100000), " ",IF(INDEX($AN$2:$BO$1001,MATCH(ROWS($AG$2:AG768),$AG$2:$AG$1001,0),MATCH(COLUMNS($AN$1006:AV1006),$AN$1006:$BO$1006,0)), HYPERLINK("#",""), HYPERLINK(CONCATENATE("#Metadata!", ADDRESS(INDEX($AI$2:$AI$1001,MATCH(ROWS($AG$2:AG768),$AG$2:$AG$1001,0),0), INDEX($AN$1004:$BO$1004,1,MATCH(COLUMNS($AN$1006:AV1006),$AN$1006:$BO$1006,0)))),"Fix")))</f>
        <v>0</v>
      </c>
      <c r="K768" s="4">
        <f>IF(OR(INDEX($AH$2:$AH$1001,MATCH(ROWS($AG$2:AG768),$AG$2:$AG$1001,0),1)&gt;=100000,INDEX($AN$1005:$BO$1005,1,MATCH(COLUMNS($AN$1006:AW1006),$AN$1006:$BO$1006,0))&gt;=100000), " ",IF(INDEX($AN$2:$BO$1001,MATCH(ROWS($AG$2:AG768),$AG$2:$AG$1001,0),MATCH(COLUMNS($AN$1006:AW1006),$AN$1006:$BO$1006,0)), HYPERLINK("#",""), HYPERLINK(CONCATENATE("#Metadata!", ADDRESS(INDEX($AI$2:$AI$1001,MATCH(ROWS($AG$2:AG768),$AG$2:$AG$1001,0),0), INDEX($AN$1004:$BO$1004,1,MATCH(COLUMNS($AN$1006:AW1006),$AN$1006:$BO$1006,0)))),"Fix")))</f>
        <v>0</v>
      </c>
      <c r="L768" s="4">
        <f>IF(OR(INDEX($AH$2:$AH$1001,MATCH(ROWS($AG$2:AG768),$AG$2:$AG$1001,0),1)&gt;=100000,INDEX($AN$1005:$BO$1005,1,MATCH(COLUMNS($AN$1006:AX1006),$AN$1006:$BO$1006,0))&gt;=100000), " ",IF(INDEX($AN$2:$BO$1001,MATCH(ROWS($AG$2:AG768),$AG$2:$AG$1001,0),MATCH(COLUMNS($AN$1006:AX1006),$AN$1006:$BO$1006,0)), HYPERLINK("#",""), HYPERLINK(CONCATENATE("#Metadata!", ADDRESS(INDEX($AI$2:$AI$1001,MATCH(ROWS($AG$2:AG768),$AG$2:$AG$1001,0),0), INDEX($AN$1004:$BO$1004,1,MATCH(COLUMNS($AN$1006:AX1006),$AN$1006:$BO$1006,0)))),"Fix")))</f>
        <v>0</v>
      </c>
      <c r="M768" s="4">
        <f>IF(OR(INDEX($AH$2:$AH$1001,MATCH(ROWS($AG$2:AG768),$AG$2:$AG$1001,0),1)&gt;=100000,INDEX($AN$1005:$BO$1005,1,MATCH(COLUMNS($AN$1006:AY1006),$AN$1006:$BO$1006,0))&gt;=100000), " ",IF(INDEX($AN$2:$BO$1001,MATCH(ROWS($AG$2:AG768),$AG$2:$AG$1001,0),MATCH(COLUMNS($AN$1006:AY1006),$AN$1006:$BO$1006,0)), HYPERLINK("#",""), HYPERLINK(CONCATENATE("#Metadata!", ADDRESS(INDEX($AI$2:$AI$1001,MATCH(ROWS($AG$2:AG768),$AG$2:$AG$1001,0),0), INDEX($AN$1004:$BO$1004,1,MATCH(COLUMNS($AN$1006:AY1006),$AN$1006:$BO$1006,0)))),"Fix")))</f>
        <v>0</v>
      </c>
      <c r="N768" s="4">
        <f>IF(OR(INDEX($AH$2:$AH$1001,MATCH(ROWS($AG$2:AG768),$AG$2:$AG$1001,0),1)&gt;=100000,INDEX($AN$1005:$BO$1005,1,MATCH(COLUMNS($AN$1006:AZ1006),$AN$1006:$BO$1006,0))&gt;=100000), " ",IF(INDEX($AN$2:$BO$1001,MATCH(ROWS($AG$2:AG768),$AG$2:$AG$1001,0),MATCH(COLUMNS($AN$1006:AZ1006),$AN$1006:$BO$1006,0)), HYPERLINK("#",""), HYPERLINK(CONCATENATE("#Metadata!", ADDRESS(INDEX($AI$2:$AI$1001,MATCH(ROWS($AG$2:AG768),$AG$2:$AG$1001,0),0), INDEX($AN$1004:$BO$1004,1,MATCH(COLUMNS($AN$1006:AZ1006),$AN$1006:$BO$1006,0)))),"Fix")))</f>
        <v>0</v>
      </c>
      <c r="O768" s="4">
        <f>IF(OR(INDEX($AH$2:$AH$1001,MATCH(ROWS($AG$2:AG768),$AG$2:$AG$1001,0),1)&gt;=100000,INDEX($AN$1005:$BO$1005,1,MATCH(COLUMNS($AN$1006:BA1006),$AN$1006:$BO$1006,0))&gt;=100000), " ",IF(INDEX($AN$2:$BO$1001,MATCH(ROWS($AG$2:AG768),$AG$2:$AG$1001,0),MATCH(COLUMNS($AN$1006:BA1006),$AN$1006:$BO$1006,0)), HYPERLINK("#",""), HYPERLINK(CONCATENATE("#Metadata!", ADDRESS(INDEX($AI$2:$AI$1001,MATCH(ROWS($AG$2:AG768),$AG$2:$AG$1001,0),0), INDEX($AN$1004:$BO$1004,1,MATCH(COLUMNS($AN$1006:BA1006),$AN$1006:$BO$1006,0)))),"Fix")))</f>
        <v>0</v>
      </c>
      <c r="P768" s="4">
        <f>IF(OR(INDEX($AH$2:$AH$1001,MATCH(ROWS($AG$2:AG768),$AG$2:$AG$1001,0),1)&gt;=100000,INDEX($AN$1005:$BO$1005,1,MATCH(COLUMNS($AN$1006:BB1006),$AN$1006:$BO$1006,0))&gt;=100000), " ",IF(INDEX($AN$2:$BO$1001,MATCH(ROWS($AG$2:AG768),$AG$2:$AG$1001,0),MATCH(COLUMNS($AN$1006:BB1006),$AN$1006:$BO$1006,0)), HYPERLINK("#",""), HYPERLINK(CONCATENATE("#Metadata!", ADDRESS(INDEX($AI$2:$AI$1001,MATCH(ROWS($AG$2:AG768),$AG$2:$AG$1001,0),0), INDEX($AN$1004:$BO$1004,1,MATCH(COLUMNS($AN$1006:BB1006),$AN$1006:$BO$1006,0)))),"Fix")))</f>
        <v>0</v>
      </c>
      <c r="Q768" s="4">
        <f>IF(OR(INDEX($AH$2:$AH$1001,MATCH(ROWS($AG$2:AG768),$AG$2:$AG$1001,0),1)&gt;=100000,INDEX($AN$1005:$BO$1005,1,MATCH(COLUMNS($AN$1006:BC1006),$AN$1006:$BO$1006,0))&gt;=100000), " ",IF(INDEX($AN$2:$BO$1001,MATCH(ROWS($AG$2:AG768),$AG$2:$AG$1001,0),MATCH(COLUMNS($AN$1006:BC1006),$AN$1006:$BO$1006,0)), HYPERLINK("#",""), HYPERLINK(CONCATENATE("#Metadata!", ADDRESS(INDEX($AI$2:$AI$1001,MATCH(ROWS($AG$2:AG768),$AG$2:$AG$1001,0),0), INDEX($AN$1004:$BO$1004,1,MATCH(COLUMNS($AN$1006:BC1006),$AN$1006:$BO$1006,0)))),"Fix")))</f>
        <v>0</v>
      </c>
      <c r="R768" s="4">
        <f>IF(OR(INDEX($AH$2:$AH$1001,MATCH(ROWS($AG$2:AG768),$AG$2:$AG$1001,0),1)&gt;=100000,INDEX($AN$1005:$BO$1005,1,MATCH(COLUMNS($AN$1006:BD1006),$AN$1006:$BO$1006,0))&gt;=100000), " ",IF(INDEX($AN$2:$BO$1001,MATCH(ROWS($AG$2:AG768),$AG$2:$AG$1001,0),MATCH(COLUMNS($AN$1006:BD1006),$AN$1006:$BO$1006,0)), HYPERLINK("#",""), HYPERLINK(CONCATENATE("#Metadata!", ADDRESS(INDEX($AI$2:$AI$1001,MATCH(ROWS($AG$2:AG768),$AG$2:$AG$1001,0),0), INDEX($AN$1004:$BO$1004,1,MATCH(COLUMNS($AN$1006:BD1006),$AN$1006:$BO$1006,0)))),"Fix")))</f>
        <v>0</v>
      </c>
      <c r="S768" s="4">
        <f>IF(OR(INDEX($AH$2:$AH$1001,MATCH(ROWS($AG$2:AG768),$AG$2:$AG$1001,0),1)&gt;=100000,INDEX($AN$1005:$BO$1005,1,MATCH(COLUMNS($AN$1006:BE1006),$AN$1006:$BO$1006,0))&gt;=100000), " ",IF(INDEX($AN$2:$BO$1001,MATCH(ROWS($AG$2:AG768),$AG$2:$AG$1001,0),MATCH(COLUMNS($AN$1006:BE1006),$AN$1006:$BO$1006,0)), HYPERLINK("#",""), HYPERLINK(CONCATENATE("#Metadata!", ADDRESS(INDEX($AI$2:$AI$1001,MATCH(ROWS($AG$2:AG768),$AG$2:$AG$1001,0),0), INDEX($AN$1004:$BO$1004,1,MATCH(COLUMNS($AN$1006:BE1006),$AN$1006:$BO$1006,0)))),"Fix")))</f>
        <v>0</v>
      </c>
      <c r="T768" s="4">
        <f>IF(OR(INDEX($AH$2:$AH$1001,MATCH(ROWS($AG$2:AG768),$AG$2:$AG$1001,0),1)&gt;=100000,INDEX($AN$1005:$BO$1005,1,MATCH(COLUMNS($AN$1006:BF1006),$AN$1006:$BO$1006,0))&gt;=100000), " ",IF(INDEX($AN$2:$BO$1001,MATCH(ROWS($AG$2:AG768),$AG$2:$AG$1001,0),MATCH(COLUMNS($AN$1006:BF1006),$AN$1006:$BO$1006,0)), HYPERLINK("#",""), HYPERLINK(CONCATENATE("#Metadata!", ADDRESS(INDEX($AI$2:$AI$1001,MATCH(ROWS($AG$2:AG768),$AG$2:$AG$1001,0),0), INDEX($AN$1004:$BO$1004,1,MATCH(COLUMNS($AN$1006:BF1006),$AN$1006:$BO$1006,0)))),"Fix")))</f>
        <v>0</v>
      </c>
      <c r="U768" s="4">
        <f>IF(OR(INDEX($AH$2:$AH$1001,MATCH(ROWS($AG$2:AG768),$AG$2:$AG$1001,0),1)&gt;=100000,INDEX($AN$1005:$BO$1005,1,MATCH(COLUMNS($AN$1006:BG1006),$AN$1006:$BO$1006,0))&gt;=100000), " ",IF(INDEX($AN$2:$BO$1001,MATCH(ROWS($AG$2:AG768),$AG$2:$AG$1001,0),MATCH(COLUMNS($AN$1006:BG1006),$AN$1006:$BO$1006,0)), HYPERLINK("#",""), HYPERLINK(CONCATENATE("#Metadata!", ADDRESS(INDEX($AI$2:$AI$1001,MATCH(ROWS($AG$2:AG768),$AG$2:$AG$1001,0),0), INDEX($AN$1004:$BO$1004,1,MATCH(COLUMNS($AN$1006:BG1006),$AN$1006:$BO$1006,0)))),"Fix")))</f>
        <v>0</v>
      </c>
      <c r="V768" s="4">
        <f>IF(OR(INDEX($AH$2:$AH$1001,MATCH(ROWS($AG$2:AG768),$AG$2:$AG$1001,0),1)&gt;=100000,INDEX($AN$1005:$BO$1005,1,MATCH(COLUMNS($AN$1006:BH1006),$AN$1006:$BO$1006,0))&gt;=100000), " ",IF(INDEX($AN$2:$BO$1001,MATCH(ROWS($AG$2:AG768),$AG$2:$AG$1001,0),MATCH(COLUMNS($AN$1006:BH1006),$AN$1006:$BO$1006,0)), HYPERLINK("#",""), HYPERLINK(CONCATENATE("#Metadata!", ADDRESS(INDEX($AI$2:$AI$1001,MATCH(ROWS($AG$2:AG768),$AG$2:$AG$1001,0),0), INDEX($AN$1004:$BO$1004,1,MATCH(COLUMNS($AN$1006:BH1006),$AN$1006:$BO$1006,0)))),"Fix")))</f>
        <v>0</v>
      </c>
      <c r="W768" s="4">
        <f>IF(OR(INDEX($AH$2:$AH$1001,MATCH(ROWS($AG$2:AG768),$AG$2:$AG$1001,0),1)&gt;=100000,INDEX($AN$1005:$BO$1005,1,MATCH(COLUMNS($AN$1006:BI1006),$AN$1006:$BO$1006,0))&gt;=100000), " ",IF(INDEX($AN$2:$BO$1001,MATCH(ROWS($AG$2:AG768),$AG$2:$AG$1001,0),MATCH(COLUMNS($AN$1006:BI1006),$AN$1006:$BO$1006,0)), HYPERLINK("#",""), HYPERLINK(CONCATENATE("#Metadata!", ADDRESS(INDEX($AI$2:$AI$1001,MATCH(ROWS($AG$2:AG768),$AG$2:$AG$1001,0),0), INDEX($AN$1004:$BO$1004,1,MATCH(COLUMNS($AN$1006:BI1006),$AN$1006:$BO$1006,0)))),"Fix")))</f>
        <v>0</v>
      </c>
      <c r="X768" s="4">
        <f>IF(OR(INDEX($AH$2:$AH$1001,MATCH(ROWS($AG$2:AG768),$AG$2:$AG$1001,0),1)&gt;=100000,INDEX($AN$1005:$BO$1005,1,MATCH(COLUMNS($AN$1006:BJ1006),$AN$1006:$BO$1006,0))&gt;=100000), " ",IF(INDEX($AN$2:$BO$1001,MATCH(ROWS($AG$2:AG768),$AG$2:$AG$1001,0),MATCH(COLUMNS($AN$1006:BJ1006),$AN$1006:$BO$1006,0)), HYPERLINK("#",""), HYPERLINK(CONCATENATE("#Metadata!", ADDRESS(INDEX($AI$2:$AI$1001,MATCH(ROWS($AG$2:AG768),$AG$2:$AG$1001,0),0), INDEX($AN$1004:$BO$1004,1,MATCH(COLUMNS($AN$1006:BJ1006),$AN$1006:$BO$1006,0)))),"Fix")))</f>
        <v>0</v>
      </c>
      <c r="Y768" s="4">
        <f>IF(OR(INDEX($AH$2:$AH$1001,MATCH(ROWS($AG$2:AG768),$AG$2:$AG$1001,0),1)&gt;=100000,INDEX($AN$1005:$BO$1005,1,MATCH(COLUMNS($AN$1006:BK1006),$AN$1006:$BO$1006,0))&gt;=100000), " ",IF(INDEX($AN$2:$BO$1001,MATCH(ROWS($AG$2:AG768),$AG$2:$AG$1001,0),MATCH(COLUMNS($AN$1006:BK1006),$AN$1006:$BO$1006,0)), HYPERLINK("#",""), HYPERLINK(CONCATENATE("#Metadata!", ADDRESS(INDEX($AI$2:$AI$1001,MATCH(ROWS($AG$2:AG768),$AG$2:$AG$1001,0),0), INDEX($AN$1004:$BO$1004,1,MATCH(COLUMNS($AN$1006:BK1006),$AN$1006:$BO$1006,0)))),"Fix")))</f>
        <v>0</v>
      </c>
      <c r="Z768" s="4">
        <f>IF(OR(INDEX($AH$2:$AH$1001,MATCH(ROWS($AG$2:AG768),$AG$2:$AG$1001,0),1)&gt;=100000,INDEX($AN$1005:$BO$1005,1,MATCH(COLUMNS($AN$1006:BL1006),$AN$1006:$BO$1006,0))&gt;=100000), " ",IF(INDEX($AN$2:$BO$1001,MATCH(ROWS($AG$2:AG768),$AG$2:$AG$1001,0),MATCH(COLUMNS($AN$1006:BL1006),$AN$1006:$BO$1006,0)), HYPERLINK("#",""), HYPERLINK(CONCATENATE("#Metadata!", ADDRESS(INDEX($AI$2:$AI$1001,MATCH(ROWS($AG$2:AG768),$AG$2:$AG$1001,0),0), INDEX($AN$1004:$BO$1004,1,MATCH(COLUMNS($AN$1006:BL1006),$AN$1006:$BO$1006,0)))),"Fix")))</f>
        <v>0</v>
      </c>
      <c r="AA768" s="4">
        <f>IF(OR(INDEX($AH$2:$AH$1001,MATCH(ROWS($AG$2:AG768),$AG$2:$AG$1001,0),1)&gt;=100000,INDEX($AN$1005:$BO$1005,1,MATCH(COLUMNS($AN$1006:BM1006),$AN$1006:$BO$1006,0))&gt;=100000), " ",IF(INDEX($AN$2:$BO$1001,MATCH(ROWS($AG$2:AG768),$AG$2:$AG$1001,0),MATCH(COLUMNS($AN$1006:BM1006),$AN$1006:$BO$1006,0)), HYPERLINK("#",""), HYPERLINK(CONCATENATE("#Metadata!", ADDRESS(INDEX($AI$2:$AI$1001,MATCH(ROWS($AG$2:AG768),$AG$2:$AG$1001,0),0), INDEX($AN$1004:$BO$1004,1,MATCH(COLUMNS($AN$1006:BM1006),$AN$1006:$BO$1006,0)))),"Fix")))</f>
        <v>0</v>
      </c>
      <c r="AB768" s="4">
        <f>IF(OR(INDEX($AH$2:$AH$1001,MATCH(ROWS($AG$2:AG768),$AG$2:$AG$1001,0),1)&gt;=100000,INDEX($AN$1005:$BO$1005,1,MATCH(COLUMNS($AN$1006:BN1006),$AN$1006:$BO$1006,0))&gt;=100000), " ",IF(INDEX($AN$2:$BO$1001,MATCH(ROWS($AG$2:AG768),$AG$2:$AG$1001,0),MATCH(COLUMNS($AN$1006:BN1006),$AN$1006:$BO$1006,0)), HYPERLINK("#",""), HYPERLINK(CONCATENATE("#Metadata!", ADDRESS(INDEX($AI$2:$AI$1001,MATCH(ROWS($AG$2:AG768),$AG$2:$AG$1001,0),0), INDEX($AN$1004:$BO$1004,1,MATCH(COLUMNS($AN$1006:BN1006),$AN$1006:$BO$1006,0)))),"Fix")))</f>
        <v>0</v>
      </c>
      <c r="AC768" s="4">
        <f>IF(OR(INDEX($AH$2:$AH$1001,MATCH(ROWS($AG$2:AG768),$AG$2:$AG$1001,0),1)&gt;=100000,INDEX($AN$1005:$BO$1005,1,MATCH(COLUMNS($AN$1006:BO1006),$AN$1006:$BO$1006,0))&gt;=100000), " ",IF(INDEX($AN$2:$BO$1001,MATCH(ROWS($AG$2:AG768),$AG$2:$AG$1001,0),MATCH(COLUMNS($AN$1006:BO1006),$AN$1006:$BO$1006,0)), HYPERLINK("#",""), HYPERLINK(CONCATENATE("#Metadata!", ADDRESS(INDEX($AI$2:$AI$1001,MATCH(ROWS($AG$2:AG768),$AG$2:$AG$1001,0),0), INDEX($AN$1004:$BO$1004,1,MATCH(COLUMNS($AN$1006:BO1006),$AN$1006:$BO$1006,0)))),"Fix")))</f>
        <v>0</v>
      </c>
      <c r="AG768">
        <v>0</v>
      </c>
      <c r="AH768">
        <v>0</v>
      </c>
      <c r="AI768">
        <v>0</v>
      </c>
      <c r="AJ768">
        <f>IF(AK768,TRUE,AND(AN768:BO768))</f>
        <v>0</v>
      </c>
      <c r="AK768">
        <f>COUNTBLANK(Metadata!B768:AC768)=COLUMNS(Metadata!B768:AC768)</f>
        <v>0</v>
      </c>
      <c r="AL768">
        <v>0</v>
      </c>
      <c r="AN768">
        <f>AND(IF(Metadata!B768="",FALSE,TRUE),COUNTIF(Metadata!B:B, Metadata!B768) = 1,NOT(ISERROR(SUMPRODUCT(SEARCH(MID(Metadata!B768,ROW(INDIRECT("1:"&amp;LEN(Metadata!B768))), 1),"0123456789abcdefghijklmnopqrstuvwxyzABCDEFGHIJKLMNOPQRSTUVWXYZ.")))))</f>
        <v>0</v>
      </c>
      <c r="AO768">
        <f>IF(Metadata!C768="",FALSE,TRUE)</f>
        <v>0</v>
      </c>
      <c r="AP768">
        <f>IF(Metadata!D768="",FALSE,TRUE)</f>
        <v>0</v>
      </c>
      <c r="AQ768">
        <f>OR(AND(IF(Metadata!E768="",FALSE,TRUE),OR(exact(Metadata!E768,"not collected"),exact(Metadata!E768,"not provided"),exact(Metadata!E768,"restricted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R768">
        <f>IF(Metadata!F768="",FALSE,TRUE)</f>
        <v>0</v>
      </c>
      <c r="AS768">
        <f>OR(AND(IF(Metadata!G768="",FALSE,TRUE),OR(exact(Metadata!G768,"not collected"),exact(Metadata!G768,"not provided"))),AND(IF(Metadata!G768="",FALSE,TRUE),OR(exact(Metadata!G768,"TRUE"),exact(Metadata!G768,"FALSE"))))</f>
        <v>0</v>
      </c>
      <c r="AT768">
        <f>OR(AND(IF(Metadata!H768="",FALSE,TRUE),OR(exact(Metadata!H768,"not collected"),exact(Metadata!H768,"not provided"),exact(Metadata!H768,"restricted access"))),AND(IF(Metadata!H768="",FALSE,ISNUMBER(VALUE(Metadata!H768))),Metadata!H768&gt;=-413.0))</f>
        <v>0</v>
      </c>
      <c r="AU768">
        <f>AND(IF(Metadata!I768="",FALSE,TRUE),exact(Metadata!I768,"meters"))</f>
        <v>0</v>
      </c>
      <c r="AV768">
        <f>AND(IF(Metadata!J768="",FALSE,TRUE),OR(exact(Metadata!J768,"Host-associated"),exact(Metadata!J768,"Free-living")))</f>
        <v>0</v>
      </c>
      <c r="AW768">
        <f>AND(IF(Metadata!K768="",FALSE,TRUE),OR(exact(Metadata!K768,"Animal"),exact(Metadata!K768,"Fungus"),exact(Metadata!K768,"Plant"),exact(Metadata!K768,"Saline"),exact(Metadata!K768,"Non-saline")))</f>
        <v>0</v>
      </c>
      <c r="AX768">
        <f>AND(IF(Metadata!L768="",FALSE,TRUE),OR(exact(Metadata!L768,"Plant secretion"),exact(Metadata!L768,"Plant rhizosphere"),exact(Metadata!L768,"Plant surface"),exact(Metadata!L768,"Plant corpus"),exact(Metadata!L768,"Fungus surface"),exact(Metadata!L768,"Fungus corpus"),exact(Metadata!L768,"Animal surface"),exact(Metadata!L768,"Animal proximal gut"),exact(Metadata!L768,"Animal corpus"),exact(Metadata!L768,"Animal distal gut"),exact(Metadata!L768,"Animal secretion"),exact(Metadata!L768,"Sub-surface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Y768">
        <f>IF(Metadata!M768="",FALSE,TRUE)</f>
        <v>0</v>
      </c>
      <c r="AZ768">
        <f>IF(Metadata!N768="",FALSE,TRUE)</f>
        <v>0</v>
      </c>
      <c r="BA768">
        <f>IF(Metadata!O768="",FALSE,TRUE)</f>
        <v>0</v>
      </c>
      <c r="BB768">
        <f>OR(AND(IF(Metadata!P768="",FALSE,TRUE),OR(exact(Metadata!P768,"not collected"),exact(Metadata!P768,"not provided"),exact(Metadata!P768,"restricted access"))),AND(IF(Metadata!P768="",FALSE,TRUE),OR(exact(Metadata!P768,"air"),exact(Metadata!P768,"built environment"),exact(Metadata!P768,"host-associated"),exact(Metadata!P768,"human-associated"),exact(Metadata!P768,"human-skin"),exact(Metadata!P768,"human-oral"),exact(Metadata!P768,"human-gut"),exact(Metadata!P768,"human-vaginal"),exact(Metadata!P768,"microbial mat/biofilm"),exact(Metadata!P768,"misc environment"),exact(Metadata!P768,"plant-associated"),exact(Metadata!P768,"sediment"),exact(Metadata!P768,"soil"),exact(Metadata!P768,"wastewater/sludge"),exact(Metadata!P768,"water"))))</f>
        <v>0</v>
      </c>
      <c r="BC768">
        <f>IF(Metadata!Q768="",FALSE,TRUE)</f>
        <v>0</v>
      </c>
      <c r="BD768">
        <f>IF(Metadata!R768="",FALSE,TRUE)</f>
        <v>0</v>
      </c>
      <c r="BE768">
        <f>OR(AND(IF(Metadata!S768="",FALSE,TRUE),OR(exact(Metadata!S768,"not collected"),exact(Metadata!S768,"not provided"),exact(Metadata!S768,"restricted access"))),AND(IF(Metadata!S768="",FALSE,ISNUMBER(VALUE(Metadata!S768))),Metadata!S768&gt;=-90.00,Metadata!S768&lt;=90.00))</f>
        <v>0</v>
      </c>
      <c r="BF768">
        <f>AND(IF(Metadata!T768="",FALSE,TRUE),exact(Metadata!T768,"Decimal degrees"))</f>
        <v>0</v>
      </c>
      <c r="BG768">
        <f>OR(AND(IF(Metadata!U768="",FALSE,TRUE),OR(exact(Metadata!U768,"not collected"),exact(Metadata!U768,"not provided"),exact(Metadata!U768,"restricted access"))),AND(IF(Metadata!U768="",FALSE,ISNUMBER(VALUE(Metadata!U768))),Metadata!U768&gt;=-180.00,Metadata!U768&lt;=180.00))</f>
        <v>0</v>
      </c>
      <c r="BH768">
        <f>AND(IF(Metadata!V768="",FALSE,TRUE),exact(Metadata!V768,"Decimal degrees"))</f>
        <v>0</v>
      </c>
      <c r="BI768">
        <f>IF(Metadata!W768="",FALSE,TRUE)</f>
        <v>0</v>
      </c>
      <c r="BJ768">
        <f>OR(AND(IF(Metadata!X768="",FALSE,TRUE),OR(exact(Metadata!X768,"not collected"),exact(Metadata!X768,"not provided"),exact(Metadata!X768,"restricted access"))),AND(IF(Metadata!X768="",FALSE,TRUE),OR(exact(Metadata!X768,"TRUE"),exact(Metadata!X768,"FALSE"))))</f>
        <v>0</v>
      </c>
      <c r="BK768">
        <f>AND(IF(Metadata!Y768="",FALSE,TRUE),exact(Metadata!Y768,"other"))</f>
        <v>0</v>
      </c>
      <c r="BL768">
        <f>IF(Metadata!Z768="",FALSE,TRUE)</f>
        <v>0</v>
      </c>
      <c r="BM768">
        <f>OR(AND(IF(Metadata!AA768="",FALSE,TRUE),OR(exact(Metadata!AA768,"not collected"),exact(Metadata!AA768,"not provided"))),AND(IF(Metadata!AA768="",FALSE,IF(ISERROR(INT(Metadata!AA768)),FALSE,INT(Metadata!AA768)=Metadata!AA768)),Metadata!AA768&gt;0))</f>
        <v>0</v>
      </c>
      <c r="BN768">
        <f>AND(IF(Metadata!AB768="",FALSE,TRUE),exact(Metadata!AB768,"Not applicable"))</f>
        <v>0</v>
      </c>
      <c r="BO768">
        <f>IF(Metadata!AC768="",FALSE,TRUE)</f>
        <v>0</v>
      </c>
    </row>
    <row r="769" spans="1:67">
      <c r="A769" s="5">
        <f>IF(B769=" "," ",HYPERLINK(CONCATENATE("#metadata!",ADDRESS(INDEX($AI$2:$AI$1001,MATCH(ROWS($AG$2:AG769),$AG$2:$AG$1001,0),0),1)),INDEX($AL$2:$AL$1001,MATCH(ROWS($AG$2:AG769),$AG$2:$AG$1001,0),0)))</f>
        <v>0</v>
      </c>
      <c r="B769" s="4">
        <f>IF(OR(INDEX($AH$2:$AH$1001,MATCH(ROWS($AG$2:AG769),$AG$2:$AG$1001,0),1)&gt;=100000,INDEX($AN$1005:$BO$1005,1,MATCH(COLUMNS($AN$1006:AN1006),$AN$1006:$BO$1006,0))&gt;=100000), " ",IF(INDEX($AN$2:$BO$1001,MATCH(ROWS($AG$2:AG769),$AG$2:$AG$1001,0),MATCH(COLUMNS($AN$1006:AN1006),$AN$1006:$BO$1006,0)), HYPERLINK("#",""), HYPERLINK(CONCATENATE("#Metadata!", ADDRESS(INDEX($AI$2:$AI$1001,MATCH(ROWS($AG$2:AG769),$AG$2:$AG$1001,0),0), INDEX($AN$1004:$BO$1004,1,MATCH(COLUMNS($AN$1006:AN1006),$AN$1006:$BO$1006,0)))),"Fix")))</f>
        <v>0</v>
      </c>
      <c r="C769" s="4">
        <f>IF(OR(INDEX($AH$2:$AH$1001,MATCH(ROWS($AG$2:AG769),$AG$2:$AG$1001,0),1)&gt;=100000,INDEX($AN$1005:$BO$1005,1,MATCH(COLUMNS($AN$1006:AO1006),$AN$1006:$BO$1006,0))&gt;=100000), " ",IF(INDEX($AN$2:$BO$1001,MATCH(ROWS($AG$2:AG769),$AG$2:$AG$1001,0),MATCH(COLUMNS($AN$1006:AO1006),$AN$1006:$BO$1006,0)), HYPERLINK("#",""), HYPERLINK(CONCATENATE("#Metadata!", ADDRESS(INDEX($AI$2:$AI$1001,MATCH(ROWS($AG$2:AG769),$AG$2:$AG$1001,0),0), INDEX($AN$1004:$BO$1004,1,MATCH(COLUMNS($AN$1006:AO1006),$AN$1006:$BO$1006,0)))),"Fix")))</f>
        <v>0</v>
      </c>
      <c r="D769" s="4">
        <f>IF(OR(INDEX($AH$2:$AH$1001,MATCH(ROWS($AG$2:AG769),$AG$2:$AG$1001,0),1)&gt;=100000,INDEX($AN$1005:$BO$1005,1,MATCH(COLUMNS($AN$1006:AP1006),$AN$1006:$BO$1006,0))&gt;=100000), " ",IF(INDEX($AN$2:$BO$1001,MATCH(ROWS($AG$2:AG769),$AG$2:$AG$1001,0),MATCH(COLUMNS($AN$1006:AP1006),$AN$1006:$BO$1006,0)), HYPERLINK("#",""), HYPERLINK(CONCATENATE("#Metadata!", ADDRESS(INDEX($AI$2:$AI$1001,MATCH(ROWS($AG$2:AG769),$AG$2:$AG$1001,0),0), INDEX($AN$1004:$BO$1004,1,MATCH(COLUMNS($AN$1006:AP1006),$AN$1006:$BO$1006,0)))),"Fix")))</f>
        <v>0</v>
      </c>
      <c r="E769" s="4">
        <f>IF(OR(INDEX($AH$2:$AH$1001,MATCH(ROWS($AG$2:AG769),$AG$2:$AG$1001,0),1)&gt;=100000,INDEX($AN$1005:$BO$1005,1,MATCH(COLUMNS($AN$1006:AQ1006),$AN$1006:$BO$1006,0))&gt;=100000), " ",IF(INDEX($AN$2:$BO$1001,MATCH(ROWS($AG$2:AG769),$AG$2:$AG$1001,0),MATCH(COLUMNS($AN$1006:AQ1006),$AN$1006:$BO$1006,0)), HYPERLINK("#",""), HYPERLINK(CONCATENATE("#Metadata!", ADDRESS(INDEX($AI$2:$AI$1001,MATCH(ROWS($AG$2:AG769),$AG$2:$AG$1001,0),0), INDEX($AN$1004:$BO$1004,1,MATCH(COLUMNS($AN$1006:AQ1006),$AN$1006:$BO$1006,0)))),"Fix")))</f>
        <v>0</v>
      </c>
      <c r="F769" s="4">
        <f>IF(OR(INDEX($AH$2:$AH$1001,MATCH(ROWS($AG$2:AG769),$AG$2:$AG$1001,0),1)&gt;=100000,INDEX($AN$1005:$BO$1005,1,MATCH(COLUMNS($AN$1006:AR1006),$AN$1006:$BO$1006,0))&gt;=100000), " ",IF(INDEX($AN$2:$BO$1001,MATCH(ROWS($AG$2:AG769),$AG$2:$AG$1001,0),MATCH(COLUMNS($AN$1006:AR1006),$AN$1006:$BO$1006,0)), HYPERLINK("#",""), HYPERLINK(CONCATENATE("#Metadata!", ADDRESS(INDEX($AI$2:$AI$1001,MATCH(ROWS($AG$2:AG769),$AG$2:$AG$1001,0),0), INDEX($AN$1004:$BO$1004,1,MATCH(COLUMNS($AN$1006:AR1006),$AN$1006:$BO$1006,0)))),"Fix")))</f>
        <v>0</v>
      </c>
      <c r="G769" s="4">
        <f>IF(OR(INDEX($AH$2:$AH$1001,MATCH(ROWS($AG$2:AG769),$AG$2:$AG$1001,0),1)&gt;=100000,INDEX($AN$1005:$BO$1005,1,MATCH(COLUMNS($AN$1006:AS1006),$AN$1006:$BO$1006,0))&gt;=100000), " ",IF(INDEX($AN$2:$BO$1001,MATCH(ROWS($AG$2:AG769),$AG$2:$AG$1001,0),MATCH(COLUMNS($AN$1006:AS1006),$AN$1006:$BO$1006,0)), HYPERLINK("#",""), HYPERLINK(CONCATENATE("#Metadata!", ADDRESS(INDEX($AI$2:$AI$1001,MATCH(ROWS($AG$2:AG769),$AG$2:$AG$1001,0),0), INDEX($AN$1004:$BO$1004,1,MATCH(COLUMNS($AN$1006:AS1006),$AN$1006:$BO$1006,0)))),"Fix")))</f>
        <v>0</v>
      </c>
      <c r="H769" s="4">
        <f>IF(OR(INDEX($AH$2:$AH$1001,MATCH(ROWS($AG$2:AG769),$AG$2:$AG$1001,0),1)&gt;=100000,INDEX($AN$1005:$BO$1005,1,MATCH(COLUMNS($AN$1006:AT1006),$AN$1006:$BO$1006,0))&gt;=100000), " ",IF(INDEX($AN$2:$BO$1001,MATCH(ROWS($AG$2:AG769),$AG$2:$AG$1001,0),MATCH(COLUMNS($AN$1006:AT1006),$AN$1006:$BO$1006,0)), HYPERLINK("#",""), HYPERLINK(CONCATENATE("#Metadata!", ADDRESS(INDEX($AI$2:$AI$1001,MATCH(ROWS($AG$2:AG769),$AG$2:$AG$1001,0),0), INDEX($AN$1004:$BO$1004,1,MATCH(COLUMNS($AN$1006:AT1006),$AN$1006:$BO$1006,0)))),"Fix")))</f>
        <v>0</v>
      </c>
      <c r="I769" s="4">
        <f>IF(OR(INDEX($AH$2:$AH$1001,MATCH(ROWS($AG$2:AG769),$AG$2:$AG$1001,0),1)&gt;=100000,INDEX($AN$1005:$BO$1005,1,MATCH(COLUMNS($AN$1006:AU1006),$AN$1006:$BO$1006,0))&gt;=100000), " ",IF(INDEX($AN$2:$BO$1001,MATCH(ROWS($AG$2:AG769),$AG$2:$AG$1001,0),MATCH(COLUMNS($AN$1006:AU1006),$AN$1006:$BO$1006,0)), HYPERLINK("#",""), HYPERLINK(CONCATENATE("#Metadata!", ADDRESS(INDEX($AI$2:$AI$1001,MATCH(ROWS($AG$2:AG769),$AG$2:$AG$1001,0),0), INDEX($AN$1004:$BO$1004,1,MATCH(COLUMNS($AN$1006:AU1006),$AN$1006:$BO$1006,0)))),"Fix")))</f>
        <v>0</v>
      </c>
      <c r="J769" s="4">
        <f>IF(OR(INDEX($AH$2:$AH$1001,MATCH(ROWS($AG$2:AG769),$AG$2:$AG$1001,0),1)&gt;=100000,INDEX($AN$1005:$BO$1005,1,MATCH(COLUMNS($AN$1006:AV1006),$AN$1006:$BO$1006,0))&gt;=100000), " ",IF(INDEX($AN$2:$BO$1001,MATCH(ROWS($AG$2:AG769),$AG$2:$AG$1001,0),MATCH(COLUMNS($AN$1006:AV1006),$AN$1006:$BO$1006,0)), HYPERLINK("#",""), HYPERLINK(CONCATENATE("#Metadata!", ADDRESS(INDEX($AI$2:$AI$1001,MATCH(ROWS($AG$2:AG769),$AG$2:$AG$1001,0),0), INDEX($AN$1004:$BO$1004,1,MATCH(COLUMNS($AN$1006:AV1006),$AN$1006:$BO$1006,0)))),"Fix")))</f>
        <v>0</v>
      </c>
      <c r="K769" s="4">
        <f>IF(OR(INDEX($AH$2:$AH$1001,MATCH(ROWS($AG$2:AG769),$AG$2:$AG$1001,0),1)&gt;=100000,INDEX($AN$1005:$BO$1005,1,MATCH(COLUMNS($AN$1006:AW1006),$AN$1006:$BO$1006,0))&gt;=100000), " ",IF(INDEX($AN$2:$BO$1001,MATCH(ROWS($AG$2:AG769),$AG$2:$AG$1001,0),MATCH(COLUMNS($AN$1006:AW1006),$AN$1006:$BO$1006,0)), HYPERLINK("#",""), HYPERLINK(CONCATENATE("#Metadata!", ADDRESS(INDEX($AI$2:$AI$1001,MATCH(ROWS($AG$2:AG769),$AG$2:$AG$1001,0),0), INDEX($AN$1004:$BO$1004,1,MATCH(COLUMNS($AN$1006:AW1006),$AN$1006:$BO$1006,0)))),"Fix")))</f>
        <v>0</v>
      </c>
      <c r="L769" s="4">
        <f>IF(OR(INDEX($AH$2:$AH$1001,MATCH(ROWS($AG$2:AG769),$AG$2:$AG$1001,0),1)&gt;=100000,INDEX($AN$1005:$BO$1005,1,MATCH(COLUMNS($AN$1006:AX1006),$AN$1006:$BO$1006,0))&gt;=100000), " ",IF(INDEX($AN$2:$BO$1001,MATCH(ROWS($AG$2:AG769),$AG$2:$AG$1001,0),MATCH(COLUMNS($AN$1006:AX1006),$AN$1006:$BO$1006,0)), HYPERLINK("#",""), HYPERLINK(CONCATENATE("#Metadata!", ADDRESS(INDEX($AI$2:$AI$1001,MATCH(ROWS($AG$2:AG769),$AG$2:$AG$1001,0),0), INDEX($AN$1004:$BO$1004,1,MATCH(COLUMNS($AN$1006:AX1006),$AN$1006:$BO$1006,0)))),"Fix")))</f>
        <v>0</v>
      </c>
      <c r="M769" s="4">
        <f>IF(OR(INDEX($AH$2:$AH$1001,MATCH(ROWS($AG$2:AG769),$AG$2:$AG$1001,0),1)&gt;=100000,INDEX($AN$1005:$BO$1005,1,MATCH(COLUMNS($AN$1006:AY1006),$AN$1006:$BO$1006,0))&gt;=100000), " ",IF(INDEX($AN$2:$BO$1001,MATCH(ROWS($AG$2:AG769),$AG$2:$AG$1001,0),MATCH(COLUMNS($AN$1006:AY1006),$AN$1006:$BO$1006,0)), HYPERLINK("#",""), HYPERLINK(CONCATENATE("#Metadata!", ADDRESS(INDEX($AI$2:$AI$1001,MATCH(ROWS($AG$2:AG769),$AG$2:$AG$1001,0),0), INDEX($AN$1004:$BO$1004,1,MATCH(COLUMNS($AN$1006:AY1006),$AN$1006:$BO$1006,0)))),"Fix")))</f>
        <v>0</v>
      </c>
      <c r="N769" s="4">
        <f>IF(OR(INDEX($AH$2:$AH$1001,MATCH(ROWS($AG$2:AG769),$AG$2:$AG$1001,0),1)&gt;=100000,INDEX($AN$1005:$BO$1005,1,MATCH(COLUMNS($AN$1006:AZ1006),$AN$1006:$BO$1006,0))&gt;=100000), " ",IF(INDEX($AN$2:$BO$1001,MATCH(ROWS($AG$2:AG769),$AG$2:$AG$1001,0),MATCH(COLUMNS($AN$1006:AZ1006),$AN$1006:$BO$1006,0)), HYPERLINK("#",""), HYPERLINK(CONCATENATE("#Metadata!", ADDRESS(INDEX($AI$2:$AI$1001,MATCH(ROWS($AG$2:AG769),$AG$2:$AG$1001,0),0), INDEX($AN$1004:$BO$1004,1,MATCH(COLUMNS($AN$1006:AZ1006),$AN$1006:$BO$1006,0)))),"Fix")))</f>
        <v>0</v>
      </c>
      <c r="O769" s="4">
        <f>IF(OR(INDEX($AH$2:$AH$1001,MATCH(ROWS($AG$2:AG769),$AG$2:$AG$1001,0),1)&gt;=100000,INDEX($AN$1005:$BO$1005,1,MATCH(COLUMNS($AN$1006:BA1006),$AN$1006:$BO$1006,0))&gt;=100000), " ",IF(INDEX($AN$2:$BO$1001,MATCH(ROWS($AG$2:AG769),$AG$2:$AG$1001,0),MATCH(COLUMNS($AN$1006:BA1006),$AN$1006:$BO$1006,0)), HYPERLINK("#",""), HYPERLINK(CONCATENATE("#Metadata!", ADDRESS(INDEX($AI$2:$AI$1001,MATCH(ROWS($AG$2:AG769),$AG$2:$AG$1001,0),0), INDEX($AN$1004:$BO$1004,1,MATCH(COLUMNS($AN$1006:BA1006),$AN$1006:$BO$1006,0)))),"Fix")))</f>
        <v>0</v>
      </c>
      <c r="P769" s="4">
        <f>IF(OR(INDEX($AH$2:$AH$1001,MATCH(ROWS($AG$2:AG769),$AG$2:$AG$1001,0),1)&gt;=100000,INDEX($AN$1005:$BO$1005,1,MATCH(COLUMNS($AN$1006:BB1006),$AN$1006:$BO$1006,0))&gt;=100000), " ",IF(INDEX($AN$2:$BO$1001,MATCH(ROWS($AG$2:AG769),$AG$2:$AG$1001,0),MATCH(COLUMNS($AN$1006:BB1006),$AN$1006:$BO$1006,0)), HYPERLINK("#",""), HYPERLINK(CONCATENATE("#Metadata!", ADDRESS(INDEX($AI$2:$AI$1001,MATCH(ROWS($AG$2:AG769),$AG$2:$AG$1001,0),0), INDEX($AN$1004:$BO$1004,1,MATCH(COLUMNS($AN$1006:BB1006),$AN$1006:$BO$1006,0)))),"Fix")))</f>
        <v>0</v>
      </c>
      <c r="Q769" s="4">
        <f>IF(OR(INDEX($AH$2:$AH$1001,MATCH(ROWS($AG$2:AG769),$AG$2:$AG$1001,0),1)&gt;=100000,INDEX($AN$1005:$BO$1005,1,MATCH(COLUMNS($AN$1006:BC1006),$AN$1006:$BO$1006,0))&gt;=100000), " ",IF(INDEX($AN$2:$BO$1001,MATCH(ROWS($AG$2:AG769),$AG$2:$AG$1001,0),MATCH(COLUMNS($AN$1006:BC1006),$AN$1006:$BO$1006,0)), HYPERLINK("#",""), HYPERLINK(CONCATENATE("#Metadata!", ADDRESS(INDEX($AI$2:$AI$1001,MATCH(ROWS($AG$2:AG769),$AG$2:$AG$1001,0),0), INDEX($AN$1004:$BO$1004,1,MATCH(COLUMNS($AN$1006:BC1006),$AN$1006:$BO$1006,0)))),"Fix")))</f>
        <v>0</v>
      </c>
      <c r="R769" s="4">
        <f>IF(OR(INDEX($AH$2:$AH$1001,MATCH(ROWS($AG$2:AG769),$AG$2:$AG$1001,0),1)&gt;=100000,INDEX($AN$1005:$BO$1005,1,MATCH(COLUMNS($AN$1006:BD1006),$AN$1006:$BO$1006,0))&gt;=100000), " ",IF(INDEX($AN$2:$BO$1001,MATCH(ROWS($AG$2:AG769),$AG$2:$AG$1001,0),MATCH(COLUMNS($AN$1006:BD1006),$AN$1006:$BO$1006,0)), HYPERLINK("#",""), HYPERLINK(CONCATENATE("#Metadata!", ADDRESS(INDEX($AI$2:$AI$1001,MATCH(ROWS($AG$2:AG769),$AG$2:$AG$1001,0),0), INDEX($AN$1004:$BO$1004,1,MATCH(COLUMNS($AN$1006:BD1006),$AN$1006:$BO$1006,0)))),"Fix")))</f>
        <v>0</v>
      </c>
      <c r="S769" s="4">
        <f>IF(OR(INDEX($AH$2:$AH$1001,MATCH(ROWS($AG$2:AG769),$AG$2:$AG$1001,0),1)&gt;=100000,INDEX($AN$1005:$BO$1005,1,MATCH(COLUMNS($AN$1006:BE1006),$AN$1006:$BO$1006,0))&gt;=100000), " ",IF(INDEX($AN$2:$BO$1001,MATCH(ROWS($AG$2:AG769),$AG$2:$AG$1001,0),MATCH(COLUMNS($AN$1006:BE1006),$AN$1006:$BO$1006,0)), HYPERLINK("#",""), HYPERLINK(CONCATENATE("#Metadata!", ADDRESS(INDEX($AI$2:$AI$1001,MATCH(ROWS($AG$2:AG769),$AG$2:$AG$1001,0),0), INDEX($AN$1004:$BO$1004,1,MATCH(COLUMNS($AN$1006:BE1006),$AN$1006:$BO$1006,0)))),"Fix")))</f>
        <v>0</v>
      </c>
      <c r="T769" s="4">
        <f>IF(OR(INDEX($AH$2:$AH$1001,MATCH(ROWS($AG$2:AG769),$AG$2:$AG$1001,0),1)&gt;=100000,INDEX($AN$1005:$BO$1005,1,MATCH(COLUMNS($AN$1006:BF1006),$AN$1006:$BO$1006,0))&gt;=100000), " ",IF(INDEX($AN$2:$BO$1001,MATCH(ROWS($AG$2:AG769),$AG$2:$AG$1001,0),MATCH(COLUMNS($AN$1006:BF1006),$AN$1006:$BO$1006,0)), HYPERLINK("#",""), HYPERLINK(CONCATENATE("#Metadata!", ADDRESS(INDEX($AI$2:$AI$1001,MATCH(ROWS($AG$2:AG769),$AG$2:$AG$1001,0),0), INDEX($AN$1004:$BO$1004,1,MATCH(COLUMNS($AN$1006:BF1006),$AN$1006:$BO$1006,0)))),"Fix")))</f>
        <v>0</v>
      </c>
      <c r="U769" s="4">
        <f>IF(OR(INDEX($AH$2:$AH$1001,MATCH(ROWS($AG$2:AG769),$AG$2:$AG$1001,0),1)&gt;=100000,INDEX($AN$1005:$BO$1005,1,MATCH(COLUMNS($AN$1006:BG1006),$AN$1006:$BO$1006,0))&gt;=100000), " ",IF(INDEX($AN$2:$BO$1001,MATCH(ROWS($AG$2:AG769),$AG$2:$AG$1001,0),MATCH(COLUMNS($AN$1006:BG1006),$AN$1006:$BO$1006,0)), HYPERLINK("#",""), HYPERLINK(CONCATENATE("#Metadata!", ADDRESS(INDEX($AI$2:$AI$1001,MATCH(ROWS($AG$2:AG769),$AG$2:$AG$1001,0),0), INDEX($AN$1004:$BO$1004,1,MATCH(COLUMNS($AN$1006:BG1006),$AN$1006:$BO$1006,0)))),"Fix")))</f>
        <v>0</v>
      </c>
      <c r="V769" s="4">
        <f>IF(OR(INDEX($AH$2:$AH$1001,MATCH(ROWS($AG$2:AG769),$AG$2:$AG$1001,0),1)&gt;=100000,INDEX($AN$1005:$BO$1005,1,MATCH(COLUMNS($AN$1006:BH1006),$AN$1006:$BO$1006,0))&gt;=100000), " ",IF(INDEX($AN$2:$BO$1001,MATCH(ROWS($AG$2:AG769),$AG$2:$AG$1001,0),MATCH(COLUMNS($AN$1006:BH1006),$AN$1006:$BO$1006,0)), HYPERLINK("#",""), HYPERLINK(CONCATENATE("#Metadata!", ADDRESS(INDEX($AI$2:$AI$1001,MATCH(ROWS($AG$2:AG769),$AG$2:$AG$1001,0),0), INDEX($AN$1004:$BO$1004,1,MATCH(COLUMNS($AN$1006:BH1006),$AN$1006:$BO$1006,0)))),"Fix")))</f>
        <v>0</v>
      </c>
      <c r="W769" s="4">
        <f>IF(OR(INDEX($AH$2:$AH$1001,MATCH(ROWS($AG$2:AG769),$AG$2:$AG$1001,0),1)&gt;=100000,INDEX($AN$1005:$BO$1005,1,MATCH(COLUMNS($AN$1006:BI1006),$AN$1006:$BO$1006,0))&gt;=100000), " ",IF(INDEX($AN$2:$BO$1001,MATCH(ROWS($AG$2:AG769),$AG$2:$AG$1001,0),MATCH(COLUMNS($AN$1006:BI1006),$AN$1006:$BO$1006,0)), HYPERLINK("#",""), HYPERLINK(CONCATENATE("#Metadata!", ADDRESS(INDEX($AI$2:$AI$1001,MATCH(ROWS($AG$2:AG769),$AG$2:$AG$1001,0),0), INDEX($AN$1004:$BO$1004,1,MATCH(COLUMNS($AN$1006:BI1006),$AN$1006:$BO$1006,0)))),"Fix")))</f>
        <v>0</v>
      </c>
      <c r="X769" s="4">
        <f>IF(OR(INDEX($AH$2:$AH$1001,MATCH(ROWS($AG$2:AG769),$AG$2:$AG$1001,0),1)&gt;=100000,INDEX($AN$1005:$BO$1005,1,MATCH(COLUMNS($AN$1006:BJ1006),$AN$1006:$BO$1006,0))&gt;=100000), " ",IF(INDEX($AN$2:$BO$1001,MATCH(ROWS($AG$2:AG769),$AG$2:$AG$1001,0),MATCH(COLUMNS($AN$1006:BJ1006),$AN$1006:$BO$1006,0)), HYPERLINK("#",""), HYPERLINK(CONCATENATE("#Metadata!", ADDRESS(INDEX($AI$2:$AI$1001,MATCH(ROWS($AG$2:AG769),$AG$2:$AG$1001,0),0), INDEX($AN$1004:$BO$1004,1,MATCH(COLUMNS($AN$1006:BJ1006),$AN$1006:$BO$1006,0)))),"Fix")))</f>
        <v>0</v>
      </c>
      <c r="Y769" s="4">
        <f>IF(OR(INDEX($AH$2:$AH$1001,MATCH(ROWS($AG$2:AG769),$AG$2:$AG$1001,0),1)&gt;=100000,INDEX($AN$1005:$BO$1005,1,MATCH(COLUMNS($AN$1006:BK1006),$AN$1006:$BO$1006,0))&gt;=100000), " ",IF(INDEX($AN$2:$BO$1001,MATCH(ROWS($AG$2:AG769),$AG$2:$AG$1001,0),MATCH(COLUMNS($AN$1006:BK1006),$AN$1006:$BO$1006,0)), HYPERLINK("#",""), HYPERLINK(CONCATENATE("#Metadata!", ADDRESS(INDEX($AI$2:$AI$1001,MATCH(ROWS($AG$2:AG769),$AG$2:$AG$1001,0),0), INDEX($AN$1004:$BO$1004,1,MATCH(COLUMNS($AN$1006:BK1006),$AN$1006:$BO$1006,0)))),"Fix")))</f>
        <v>0</v>
      </c>
      <c r="Z769" s="4">
        <f>IF(OR(INDEX($AH$2:$AH$1001,MATCH(ROWS($AG$2:AG769),$AG$2:$AG$1001,0),1)&gt;=100000,INDEX($AN$1005:$BO$1005,1,MATCH(COLUMNS($AN$1006:BL1006),$AN$1006:$BO$1006,0))&gt;=100000), " ",IF(INDEX($AN$2:$BO$1001,MATCH(ROWS($AG$2:AG769),$AG$2:$AG$1001,0),MATCH(COLUMNS($AN$1006:BL1006),$AN$1006:$BO$1006,0)), HYPERLINK("#",""), HYPERLINK(CONCATENATE("#Metadata!", ADDRESS(INDEX($AI$2:$AI$1001,MATCH(ROWS($AG$2:AG769),$AG$2:$AG$1001,0),0), INDEX($AN$1004:$BO$1004,1,MATCH(COLUMNS($AN$1006:BL1006),$AN$1006:$BO$1006,0)))),"Fix")))</f>
        <v>0</v>
      </c>
      <c r="AA769" s="4">
        <f>IF(OR(INDEX($AH$2:$AH$1001,MATCH(ROWS($AG$2:AG769),$AG$2:$AG$1001,0),1)&gt;=100000,INDEX($AN$1005:$BO$1005,1,MATCH(COLUMNS($AN$1006:BM1006),$AN$1006:$BO$1006,0))&gt;=100000), " ",IF(INDEX($AN$2:$BO$1001,MATCH(ROWS($AG$2:AG769),$AG$2:$AG$1001,0),MATCH(COLUMNS($AN$1006:BM1006),$AN$1006:$BO$1006,0)), HYPERLINK("#",""), HYPERLINK(CONCATENATE("#Metadata!", ADDRESS(INDEX($AI$2:$AI$1001,MATCH(ROWS($AG$2:AG769),$AG$2:$AG$1001,0),0), INDEX($AN$1004:$BO$1004,1,MATCH(COLUMNS($AN$1006:BM1006),$AN$1006:$BO$1006,0)))),"Fix")))</f>
        <v>0</v>
      </c>
      <c r="AB769" s="4">
        <f>IF(OR(INDEX($AH$2:$AH$1001,MATCH(ROWS($AG$2:AG769),$AG$2:$AG$1001,0),1)&gt;=100000,INDEX($AN$1005:$BO$1005,1,MATCH(COLUMNS($AN$1006:BN1006),$AN$1006:$BO$1006,0))&gt;=100000), " ",IF(INDEX($AN$2:$BO$1001,MATCH(ROWS($AG$2:AG769),$AG$2:$AG$1001,0),MATCH(COLUMNS($AN$1006:BN1006),$AN$1006:$BO$1006,0)), HYPERLINK("#",""), HYPERLINK(CONCATENATE("#Metadata!", ADDRESS(INDEX($AI$2:$AI$1001,MATCH(ROWS($AG$2:AG769),$AG$2:$AG$1001,0),0), INDEX($AN$1004:$BO$1004,1,MATCH(COLUMNS($AN$1006:BN1006),$AN$1006:$BO$1006,0)))),"Fix")))</f>
        <v>0</v>
      </c>
      <c r="AC769" s="4">
        <f>IF(OR(INDEX($AH$2:$AH$1001,MATCH(ROWS($AG$2:AG769),$AG$2:$AG$1001,0),1)&gt;=100000,INDEX($AN$1005:$BO$1005,1,MATCH(COLUMNS($AN$1006:BO1006),$AN$1006:$BO$1006,0))&gt;=100000), " ",IF(INDEX($AN$2:$BO$1001,MATCH(ROWS($AG$2:AG769),$AG$2:$AG$1001,0),MATCH(COLUMNS($AN$1006:BO1006),$AN$1006:$BO$1006,0)), HYPERLINK("#",""), HYPERLINK(CONCATENATE("#Metadata!", ADDRESS(INDEX($AI$2:$AI$1001,MATCH(ROWS($AG$2:AG769),$AG$2:$AG$1001,0),0), INDEX($AN$1004:$BO$1004,1,MATCH(COLUMNS($AN$1006:BO1006),$AN$1006:$BO$1006,0)))),"Fix")))</f>
        <v>0</v>
      </c>
      <c r="AG769">
        <v>0</v>
      </c>
      <c r="AH769">
        <v>0</v>
      </c>
      <c r="AI769">
        <v>0</v>
      </c>
      <c r="AJ769">
        <f>IF(AK769,TRUE,AND(AN769:BO769))</f>
        <v>0</v>
      </c>
      <c r="AK769">
        <f>COUNTBLANK(Metadata!B769:AC769)=COLUMNS(Metadata!B769:AC769)</f>
        <v>0</v>
      </c>
      <c r="AL769">
        <v>0</v>
      </c>
      <c r="AN769">
        <f>AND(IF(Metadata!B769="",FALSE,TRUE),COUNTIF(Metadata!B:B, Metadata!B769) = 1,NOT(ISERROR(SUMPRODUCT(SEARCH(MID(Metadata!B769,ROW(INDIRECT("1:"&amp;LEN(Metadata!B769))), 1),"0123456789abcdefghijklmnopqrstuvwxyzABCDEFGHIJKLMNOPQRSTUVWXYZ.")))))</f>
        <v>0</v>
      </c>
      <c r="AO769">
        <f>IF(Metadata!C769="",FALSE,TRUE)</f>
        <v>0</v>
      </c>
      <c r="AP769">
        <f>IF(Metadata!D769="",FALSE,TRUE)</f>
        <v>0</v>
      </c>
      <c r="AQ769">
        <f>OR(AND(IF(Metadata!E769="",FALSE,TRUE),OR(exact(Metadata!E769,"not collected"),exact(Metadata!E769,"not provided"),exact(Metadata!E769,"restricted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R769">
        <f>IF(Metadata!F769="",FALSE,TRUE)</f>
        <v>0</v>
      </c>
      <c r="AS769">
        <f>OR(AND(IF(Metadata!G769="",FALSE,TRUE),OR(exact(Metadata!G769,"not collected"),exact(Metadata!G769,"not provided"))),AND(IF(Metadata!G769="",FALSE,TRUE),OR(exact(Metadata!G769,"TRUE"),exact(Metadata!G769,"FALSE"))))</f>
        <v>0</v>
      </c>
      <c r="AT769">
        <f>OR(AND(IF(Metadata!H769="",FALSE,TRUE),OR(exact(Metadata!H769,"not collected"),exact(Metadata!H769,"not provided"),exact(Metadata!H769,"restricted access"))),AND(IF(Metadata!H769="",FALSE,ISNUMBER(VALUE(Metadata!H769))),Metadata!H769&gt;=-413.0))</f>
        <v>0</v>
      </c>
      <c r="AU769">
        <f>AND(IF(Metadata!I769="",FALSE,TRUE),exact(Metadata!I769,"meters"))</f>
        <v>0</v>
      </c>
      <c r="AV769">
        <f>AND(IF(Metadata!J769="",FALSE,TRUE),OR(exact(Metadata!J769,"Host-associated"),exact(Metadata!J769,"Free-living")))</f>
        <v>0</v>
      </c>
      <c r="AW769">
        <f>AND(IF(Metadata!K769="",FALSE,TRUE),OR(exact(Metadata!K769,"Animal"),exact(Metadata!K769,"Fungus"),exact(Metadata!K769,"Plant"),exact(Metadata!K769,"Saline"),exact(Metadata!K769,"Non-saline")))</f>
        <v>0</v>
      </c>
      <c r="AX769">
        <f>AND(IF(Metadata!L769="",FALSE,TRUE),OR(exact(Metadata!L769,"Plant secretion"),exact(Metadata!L769,"Plant rhizosphere"),exact(Metadata!L769,"Plant surface"),exact(Metadata!L769,"Plant corpus"),exact(Metadata!L769,"Fungus surface"),exact(Metadata!L769,"Fungus corpus"),exact(Metadata!L769,"Animal surface"),exact(Metadata!L769,"Animal proximal gut"),exact(Metadata!L769,"Animal corpus"),exact(Metadata!L769,"Animal distal gut"),exact(Metadata!L769,"Animal secretion"),exact(Metadata!L769,"Sub-surface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Y769">
        <f>IF(Metadata!M769="",FALSE,TRUE)</f>
        <v>0</v>
      </c>
      <c r="AZ769">
        <f>IF(Metadata!N769="",FALSE,TRUE)</f>
        <v>0</v>
      </c>
      <c r="BA769">
        <f>IF(Metadata!O769="",FALSE,TRUE)</f>
        <v>0</v>
      </c>
      <c r="BB769">
        <f>OR(AND(IF(Metadata!P769="",FALSE,TRUE),OR(exact(Metadata!P769,"not collected"),exact(Metadata!P769,"not provided"),exact(Metadata!P769,"restricted access"))),AND(IF(Metadata!P769="",FALSE,TRUE),OR(exact(Metadata!P769,"air"),exact(Metadata!P769,"built environment"),exact(Metadata!P769,"host-associated"),exact(Metadata!P769,"human-associated"),exact(Metadata!P769,"human-skin"),exact(Metadata!P769,"human-oral"),exact(Metadata!P769,"human-gut"),exact(Metadata!P769,"human-vaginal"),exact(Metadata!P769,"microbial mat/biofilm"),exact(Metadata!P769,"misc environment"),exact(Metadata!P769,"plant-associated"),exact(Metadata!P769,"sediment"),exact(Metadata!P769,"soil"),exact(Metadata!P769,"wastewater/sludge"),exact(Metadata!P769,"water"))))</f>
        <v>0</v>
      </c>
      <c r="BC769">
        <f>IF(Metadata!Q769="",FALSE,TRUE)</f>
        <v>0</v>
      </c>
      <c r="BD769">
        <f>IF(Metadata!R769="",FALSE,TRUE)</f>
        <v>0</v>
      </c>
      <c r="BE769">
        <f>OR(AND(IF(Metadata!S769="",FALSE,TRUE),OR(exact(Metadata!S769,"not collected"),exact(Metadata!S769,"not provided"),exact(Metadata!S769,"restricted access"))),AND(IF(Metadata!S769="",FALSE,ISNUMBER(VALUE(Metadata!S769))),Metadata!S769&gt;=-90.00,Metadata!S769&lt;=90.00))</f>
        <v>0</v>
      </c>
      <c r="BF769">
        <f>AND(IF(Metadata!T769="",FALSE,TRUE),exact(Metadata!T769,"Decimal degrees"))</f>
        <v>0</v>
      </c>
      <c r="BG769">
        <f>OR(AND(IF(Metadata!U769="",FALSE,TRUE),OR(exact(Metadata!U769,"not collected"),exact(Metadata!U769,"not provided"),exact(Metadata!U769,"restricted access"))),AND(IF(Metadata!U769="",FALSE,ISNUMBER(VALUE(Metadata!U769))),Metadata!U769&gt;=-180.00,Metadata!U769&lt;=180.00))</f>
        <v>0</v>
      </c>
      <c r="BH769">
        <f>AND(IF(Metadata!V769="",FALSE,TRUE),exact(Metadata!V769,"Decimal degrees"))</f>
        <v>0</v>
      </c>
      <c r="BI769">
        <f>IF(Metadata!W769="",FALSE,TRUE)</f>
        <v>0</v>
      </c>
      <c r="BJ769">
        <f>OR(AND(IF(Metadata!X769="",FALSE,TRUE),OR(exact(Metadata!X769,"not collected"),exact(Metadata!X769,"not provided"),exact(Metadata!X769,"restricted access"))),AND(IF(Metadata!X769="",FALSE,TRUE),OR(exact(Metadata!X769,"TRUE"),exact(Metadata!X769,"FALSE"))))</f>
        <v>0</v>
      </c>
      <c r="BK769">
        <f>AND(IF(Metadata!Y769="",FALSE,TRUE),exact(Metadata!Y769,"other"))</f>
        <v>0</v>
      </c>
      <c r="BL769">
        <f>IF(Metadata!Z769="",FALSE,TRUE)</f>
        <v>0</v>
      </c>
      <c r="BM769">
        <f>OR(AND(IF(Metadata!AA769="",FALSE,TRUE),OR(exact(Metadata!AA769,"not collected"),exact(Metadata!AA769,"not provided"))),AND(IF(Metadata!AA769="",FALSE,IF(ISERROR(INT(Metadata!AA769)),FALSE,INT(Metadata!AA769)=Metadata!AA769)),Metadata!AA769&gt;0))</f>
        <v>0</v>
      </c>
      <c r="BN769">
        <f>AND(IF(Metadata!AB769="",FALSE,TRUE),exact(Metadata!AB769,"Not applicable"))</f>
        <v>0</v>
      </c>
      <c r="BO769">
        <f>IF(Metadata!AC769="",FALSE,TRUE)</f>
        <v>0</v>
      </c>
    </row>
    <row r="770" spans="1:67">
      <c r="A770" s="5">
        <f>IF(B770=" "," ",HYPERLINK(CONCATENATE("#metadata!",ADDRESS(INDEX($AI$2:$AI$1001,MATCH(ROWS($AG$2:AG770),$AG$2:$AG$1001,0),0),1)),INDEX($AL$2:$AL$1001,MATCH(ROWS($AG$2:AG770),$AG$2:$AG$1001,0),0)))</f>
        <v>0</v>
      </c>
      <c r="B770" s="4">
        <f>IF(OR(INDEX($AH$2:$AH$1001,MATCH(ROWS($AG$2:AG770),$AG$2:$AG$1001,0),1)&gt;=100000,INDEX($AN$1005:$BO$1005,1,MATCH(COLUMNS($AN$1006:AN1006),$AN$1006:$BO$1006,0))&gt;=100000), " ",IF(INDEX($AN$2:$BO$1001,MATCH(ROWS($AG$2:AG770),$AG$2:$AG$1001,0),MATCH(COLUMNS($AN$1006:AN1006),$AN$1006:$BO$1006,0)), HYPERLINK("#",""), HYPERLINK(CONCATENATE("#Metadata!", ADDRESS(INDEX($AI$2:$AI$1001,MATCH(ROWS($AG$2:AG770),$AG$2:$AG$1001,0),0), INDEX($AN$1004:$BO$1004,1,MATCH(COLUMNS($AN$1006:AN1006),$AN$1006:$BO$1006,0)))),"Fix")))</f>
        <v>0</v>
      </c>
      <c r="C770" s="4">
        <f>IF(OR(INDEX($AH$2:$AH$1001,MATCH(ROWS($AG$2:AG770),$AG$2:$AG$1001,0),1)&gt;=100000,INDEX($AN$1005:$BO$1005,1,MATCH(COLUMNS($AN$1006:AO1006),$AN$1006:$BO$1006,0))&gt;=100000), " ",IF(INDEX($AN$2:$BO$1001,MATCH(ROWS($AG$2:AG770),$AG$2:$AG$1001,0),MATCH(COLUMNS($AN$1006:AO1006),$AN$1006:$BO$1006,0)), HYPERLINK("#",""), HYPERLINK(CONCATENATE("#Metadata!", ADDRESS(INDEX($AI$2:$AI$1001,MATCH(ROWS($AG$2:AG770),$AG$2:$AG$1001,0),0), INDEX($AN$1004:$BO$1004,1,MATCH(COLUMNS($AN$1006:AO1006),$AN$1006:$BO$1006,0)))),"Fix")))</f>
        <v>0</v>
      </c>
      <c r="D770" s="4">
        <f>IF(OR(INDEX($AH$2:$AH$1001,MATCH(ROWS($AG$2:AG770),$AG$2:$AG$1001,0),1)&gt;=100000,INDEX($AN$1005:$BO$1005,1,MATCH(COLUMNS($AN$1006:AP1006),$AN$1006:$BO$1006,0))&gt;=100000), " ",IF(INDEX($AN$2:$BO$1001,MATCH(ROWS($AG$2:AG770),$AG$2:$AG$1001,0),MATCH(COLUMNS($AN$1006:AP1006),$AN$1006:$BO$1006,0)), HYPERLINK("#",""), HYPERLINK(CONCATENATE("#Metadata!", ADDRESS(INDEX($AI$2:$AI$1001,MATCH(ROWS($AG$2:AG770),$AG$2:$AG$1001,0),0), INDEX($AN$1004:$BO$1004,1,MATCH(COLUMNS($AN$1006:AP1006),$AN$1006:$BO$1006,0)))),"Fix")))</f>
        <v>0</v>
      </c>
      <c r="E770" s="4">
        <f>IF(OR(INDEX($AH$2:$AH$1001,MATCH(ROWS($AG$2:AG770),$AG$2:$AG$1001,0),1)&gt;=100000,INDEX($AN$1005:$BO$1005,1,MATCH(COLUMNS($AN$1006:AQ1006),$AN$1006:$BO$1006,0))&gt;=100000), " ",IF(INDEX($AN$2:$BO$1001,MATCH(ROWS($AG$2:AG770),$AG$2:$AG$1001,0),MATCH(COLUMNS($AN$1006:AQ1006),$AN$1006:$BO$1006,0)), HYPERLINK("#",""), HYPERLINK(CONCATENATE("#Metadata!", ADDRESS(INDEX($AI$2:$AI$1001,MATCH(ROWS($AG$2:AG770),$AG$2:$AG$1001,0),0), INDEX($AN$1004:$BO$1004,1,MATCH(COLUMNS($AN$1006:AQ1006),$AN$1006:$BO$1006,0)))),"Fix")))</f>
        <v>0</v>
      </c>
      <c r="F770" s="4">
        <f>IF(OR(INDEX($AH$2:$AH$1001,MATCH(ROWS($AG$2:AG770),$AG$2:$AG$1001,0),1)&gt;=100000,INDEX($AN$1005:$BO$1005,1,MATCH(COLUMNS($AN$1006:AR1006),$AN$1006:$BO$1006,0))&gt;=100000), " ",IF(INDEX($AN$2:$BO$1001,MATCH(ROWS($AG$2:AG770),$AG$2:$AG$1001,0),MATCH(COLUMNS($AN$1006:AR1006),$AN$1006:$BO$1006,0)), HYPERLINK("#",""), HYPERLINK(CONCATENATE("#Metadata!", ADDRESS(INDEX($AI$2:$AI$1001,MATCH(ROWS($AG$2:AG770),$AG$2:$AG$1001,0),0), INDEX($AN$1004:$BO$1004,1,MATCH(COLUMNS($AN$1006:AR1006),$AN$1006:$BO$1006,0)))),"Fix")))</f>
        <v>0</v>
      </c>
      <c r="G770" s="4">
        <f>IF(OR(INDEX($AH$2:$AH$1001,MATCH(ROWS($AG$2:AG770),$AG$2:$AG$1001,0),1)&gt;=100000,INDEX($AN$1005:$BO$1005,1,MATCH(COLUMNS($AN$1006:AS1006),$AN$1006:$BO$1006,0))&gt;=100000), " ",IF(INDEX($AN$2:$BO$1001,MATCH(ROWS($AG$2:AG770),$AG$2:$AG$1001,0),MATCH(COLUMNS($AN$1006:AS1006),$AN$1006:$BO$1006,0)), HYPERLINK("#",""), HYPERLINK(CONCATENATE("#Metadata!", ADDRESS(INDEX($AI$2:$AI$1001,MATCH(ROWS($AG$2:AG770),$AG$2:$AG$1001,0),0), INDEX($AN$1004:$BO$1004,1,MATCH(COLUMNS($AN$1006:AS1006),$AN$1006:$BO$1006,0)))),"Fix")))</f>
        <v>0</v>
      </c>
      <c r="H770" s="4">
        <f>IF(OR(INDEX($AH$2:$AH$1001,MATCH(ROWS($AG$2:AG770),$AG$2:$AG$1001,0),1)&gt;=100000,INDEX($AN$1005:$BO$1005,1,MATCH(COLUMNS($AN$1006:AT1006),$AN$1006:$BO$1006,0))&gt;=100000), " ",IF(INDEX($AN$2:$BO$1001,MATCH(ROWS($AG$2:AG770),$AG$2:$AG$1001,0),MATCH(COLUMNS($AN$1006:AT1006),$AN$1006:$BO$1006,0)), HYPERLINK("#",""), HYPERLINK(CONCATENATE("#Metadata!", ADDRESS(INDEX($AI$2:$AI$1001,MATCH(ROWS($AG$2:AG770),$AG$2:$AG$1001,0),0), INDEX($AN$1004:$BO$1004,1,MATCH(COLUMNS($AN$1006:AT1006),$AN$1006:$BO$1006,0)))),"Fix")))</f>
        <v>0</v>
      </c>
      <c r="I770" s="4">
        <f>IF(OR(INDEX($AH$2:$AH$1001,MATCH(ROWS($AG$2:AG770),$AG$2:$AG$1001,0),1)&gt;=100000,INDEX($AN$1005:$BO$1005,1,MATCH(COLUMNS($AN$1006:AU1006),$AN$1006:$BO$1006,0))&gt;=100000), " ",IF(INDEX($AN$2:$BO$1001,MATCH(ROWS($AG$2:AG770),$AG$2:$AG$1001,0),MATCH(COLUMNS($AN$1006:AU1006),$AN$1006:$BO$1006,0)), HYPERLINK("#",""), HYPERLINK(CONCATENATE("#Metadata!", ADDRESS(INDEX($AI$2:$AI$1001,MATCH(ROWS($AG$2:AG770),$AG$2:$AG$1001,0),0), INDEX($AN$1004:$BO$1004,1,MATCH(COLUMNS($AN$1006:AU1006),$AN$1006:$BO$1006,0)))),"Fix")))</f>
        <v>0</v>
      </c>
      <c r="J770" s="4">
        <f>IF(OR(INDEX($AH$2:$AH$1001,MATCH(ROWS($AG$2:AG770),$AG$2:$AG$1001,0),1)&gt;=100000,INDEX($AN$1005:$BO$1005,1,MATCH(COLUMNS($AN$1006:AV1006),$AN$1006:$BO$1006,0))&gt;=100000), " ",IF(INDEX($AN$2:$BO$1001,MATCH(ROWS($AG$2:AG770),$AG$2:$AG$1001,0),MATCH(COLUMNS($AN$1006:AV1006),$AN$1006:$BO$1006,0)), HYPERLINK("#",""), HYPERLINK(CONCATENATE("#Metadata!", ADDRESS(INDEX($AI$2:$AI$1001,MATCH(ROWS($AG$2:AG770),$AG$2:$AG$1001,0),0), INDEX($AN$1004:$BO$1004,1,MATCH(COLUMNS($AN$1006:AV1006),$AN$1006:$BO$1006,0)))),"Fix")))</f>
        <v>0</v>
      </c>
      <c r="K770" s="4">
        <f>IF(OR(INDEX($AH$2:$AH$1001,MATCH(ROWS($AG$2:AG770),$AG$2:$AG$1001,0),1)&gt;=100000,INDEX($AN$1005:$BO$1005,1,MATCH(COLUMNS($AN$1006:AW1006),$AN$1006:$BO$1006,0))&gt;=100000), " ",IF(INDEX($AN$2:$BO$1001,MATCH(ROWS($AG$2:AG770),$AG$2:$AG$1001,0),MATCH(COLUMNS($AN$1006:AW1006),$AN$1006:$BO$1006,0)), HYPERLINK("#",""), HYPERLINK(CONCATENATE("#Metadata!", ADDRESS(INDEX($AI$2:$AI$1001,MATCH(ROWS($AG$2:AG770),$AG$2:$AG$1001,0),0), INDEX($AN$1004:$BO$1004,1,MATCH(COLUMNS($AN$1006:AW1006),$AN$1006:$BO$1006,0)))),"Fix")))</f>
        <v>0</v>
      </c>
      <c r="L770" s="4">
        <f>IF(OR(INDEX($AH$2:$AH$1001,MATCH(ROWS($AG$2:AG770),$AG$2:$AG$1001,0),1)&gt;=100000,INDEX($AN$1005:$BO$1005,1,MATCH(COLUMNS($AN$1006:AX1006),$AN$1006:$BO$1006,0))&gt;=100000), " ",IF(INDEX($AN$2:$BO$1001,MATCH(ROWS($AG$2:AG770),$AG$2:$AG$1001,0),MATCH(COLUMNS($AN$1006:AX1006),$AN$1006:$BO$1006,0)), HYPERLINK("#",""), HYPERLINK(CONCATENATE("#Metadata!", ADDRESS(INDEX($AI$2:$AI$1001,MATCH(ROWS($AG$2:AG770),$AG$2:$AG$1001,0),0), INDEX($AN$1004:$BO$1004,1,MATCH(COLUMNS($AN$1006:AX1006),$AN$1006:$BO$1006,0)))),"Fix")))</f>
        <v>0</v>
      </c>
      <c r="M770" s="4">
        <f>IF(OR(INDEX($AH$2:$AH$1001,MATCH(ROWS($AG$2:AG770),$AG$2:$AG$1001,0),1)&gt;=100000,INDEX($AN$1005:$BO$1005,1,MATCH(COLUMNS($AN$1006:AY1006),$AN$1006:$BO$1006,0))&gt;=100000), " ",IF(INDEX($AN$2:$BO$1001,MATCH(ROWS($AG$2:AG770),$AG$2:$AG$1001,0),MATCH(COLUMNS($AN$1006:AY1006),$AN$1006:$BO$1006,0)), HYPERLINK("#",""), HYPERLINK(CONCATENATE("#Metadata!", ADDRESS(INDEX($AI$2:$AI$1001,MATCH(ROWS($AG$2:AG770),$AG$2:$AG$1001,0),0), INDEX($AN$1004:$BO$1004,1,MATCH(COLUMNS($AN$1006:AY1006),$AN$1006:$BO$1006,0)))),"Fix")))</f>
        <v>0</v>
      </c>
      <c r="N770" s="4">
        <f>IF(OR(INDEX($AH$2:$AH$1001,MATCH(ROWS($AG$2:AG770),$AG$2:$AG$1001,0),1)&gt;=100000,INDEX($AN$1005:$BO$1005,1,MATCH(COLUMNS($AN$1006:AZ1006),$AN$1006:$BO$1006,0))&gt;=100000), " ",IF(INDEX($AN$2:$BO$1001,MATCH(ROWS($AG$2:AG770),$AG$2:$AG$1001,0),MATCH(COLUMNS($AN$1006:AZ1006),$AN$1006:$BO$1006,0)), HYPERLINK("#",""), HYPERLINK(CONCATENATE("#Metadata!", ADDRESS(INDEX($AI$2:$AI$1001,MATCH(ROWS($AG$2:AG770),$AG$2:$AG$1001,0),0), INDEX($AN$1004:$BO$1004,1,MATCH(COLUMNS($AN$1006:AZ1006),$AN$1006:$BO$1006,0)))),"Fix")))</f>
        <v>0</v>
      </c>
      <c r="O770" s="4">
        <f>IF(OR(INDEX($AH$2:$AH$1001,MATCH(ROWS($AG$2:AG770),$AG$2:$AG$1001,0),1)&gt;=100000,INDEX($AN$1005:$BO$1005,1,MATCH(COLUMNS($AN$1006:BA1006),$AN$1006:$BO$1006,0))&gt;=100000), " ",IF(INDEX($AN$2:$BO$1001,MATCH(ROWS($AG$2:AG770),$AG$2:$AG$1001,0),MATCH(COLUMNS($AN$1006:BA1006),$AN$1006:$BO$1006,0)), HYPERLINK("#",""), HYPERLINK(CONCATENATE("#Metadata!", ADDRESS(INDEX($AI$2:$AI$1001,MATCH(ROWS($AG$2:AG770),$AG$2:$AG$1001,0),0), INDEX($AN$1004:$BO$1004,1,MATCH(COLUMNS($AN$1006:BA1006),$AN$1006:$BO$1006,0)))),"Fix")))</f>
        <v>0</v>
      </c>
      <c r="P770" s="4">
        <f>IF(OR(INDEX($AH$2:$AH$1001,MATCH(ROWS($AG$2:AG770),$AG$2:$AG$1001,0),1)&gt;=100000,INDEX($AN$1005:$BO$1005,1,MATCH(COLUMNS($AN$1006:BB1006),$AN$1006:$BO$1006,0))&gt;=100000), " ",IF(INDEX($AN$2:$BO$1001,MATCH(ROWS($AG$2:AG770),$AG$2:$AG$1001,0),MATCH(COLUMNS($AN$1006:BB1006),$AN$1006:$BO$1006,0)), HYPERLINK("#",""), HYPERLINK(CONCATENATE("#Metadata!", ADDRESS(INDEX($AI$2:$AI$1001,MATCH(ROWS($AG$2:AG770),$AG$2:$AG$1001,0),0), INDEX($AN$1004:$BO$1004,1,MATCH(COLUMNS($AN$1006:BB1006),$AN$1006:$BO$1006,0)))),"Fix")))</f>
        <v>0</v>
      </c>
      <c r="Q770" s="4">
        <f>IF(OR(INDEX($AH$2:$AH$1001,MATCH(ROWS($AG$2:AG770),$AG$2:$AG$1001,0),1)&gt;=100000,INDEX($AN$1005:$BO$1005,1,MATCH(COLUMNS($AN$1006:BC1006),$AN$1006:$BO$1006,0))&gt;=100000), " ",IF(INDEX($AN$2:$BO$1001,MATCH(ROWS($AG$2:AG770),$AG$2:$AG$1001,0),MATCH(COLUMNS($AN$1006:BC1006),$AN$1006:$BO$1006,0)), HYPERLINK("#",""), HYPERLINK(CONCATENATE("#Metadata!", ADDRESS(INDEX($AI$2:$AI$1001,MATCH(ROWS($AG$2:AG770),$AG$2:$AG$1001,0),0), INDEX($AN$1004:$BO$1004,1,MATCH(COLUMNS($AN$1006:BC1006),$AN$1006:$BO$1006,0)))),"Fix")))</f>
        <v>0</v>
      </c>
      <c r="R770" s="4">
        <f>IF(OR(INDEX($AH$2:$AH$1001,MATCH(ROWS($AG$2:AG770),$AG$2:$AG$1001,0),1)&gt;=100000,INDEX($AN$1005:$BO$1005,1,MATCH(COLUMNS($AN$1006:BD1006),$AN$1006:$BO$1006,0))&gt;=100000), " ",IF(INDEX($AN$2:$BO$1001,MATCH(ROWS($AG$2:AG770),$AG$2:$AG$1001,0),MATCH(COLUMNS($AN$1006:BD1006),$AN$1006:$BO$1006,0)), HYPERLINK("#",""), HYPERLINK(CONCATENATE("#Metadata!", ADDRESS(INDEX($AI$2:$AI$1001,MATCH(ROWS($AG$2:AG770),$AG$2:$AG$1001,0),0), INDEX($AN$1004:$BO$1004,1,MATCH(COLUMNS($AN$1006:BD1006),$AN$1006:$BO$1006,0)))),"Fix")))</f>
        <v>0</v>
      </c>
      <c r="S770" s="4">
        <f>IF(OR(INDEX($AH$2:$AH$1001,MATCH(ROWS($AG$2:AG770),$AG$2:$AG$1001,0),1)&gt;=100000,INDEX($AN$1005:$BO$1005,1,MATCH(COLUMNS($AN$1006:BE1006),$AN$1006:$BO$1006,0))&gt;=100000), " ",IF(INDEX($AN$2:$BO$1001,MATCH(ROWS($AG$2:AG770),$AG$2:$AG$1001,0),MATCH(COLUMNS($AN$1006:BE1006),$AN$1006:$BO$1006,0)), HYPERLINK("#",""), HYPERLINK(CONCATENATE("#Metadata!", ADDRESS(INDEX($AI$2:$AI$1001,MATCH(ROWS($AG$2:AG770),$AG$2:$AG$1001,0),0), INDEX($AN$1004:$BO$1004,1,MATCH(COLUMNS($AN$1006:BE1006),$AN$1006:$BO$1006,0)))),"Fix")))</f>
        <v>0</v>
      </c>
      <c r="T770" s="4">
        <f>IF(OR(INDEX($AH$2:$AH$1001,MATCH(ROWS($AG$2:AG770),$AG$2:$AG$1001,0),1)&gt;=100000,INDEX($AN$1005:$BO$1005,1,MATCH(COLUMNS($AN$1006:BF1006),$AN$1006:$BO$1006,0))&gt;=100000), " ",IF(INDEX($AN$2:$BO$1001,MATCH(ROWS($AG$2:AG770),$AG$2:$AG$1001,0),MATCH(COLUMNS($AN$1006:BF1006),$AN$1006:$BO$1006,0)), HYPERLINK("#",""), HYPERLINK(CONCATENATE("#Metadata!", ADDRESS(INDEX($AI$2:$AI$1001,MATCH(ROWS($AG$2:AG770),$AG$2:$AG$1001,0),0), INDEX($AN$1004:$BO$1004,1,MATCH(COLUMNS($AN$1006:BF1006),$AN$1006:$BO$1006,0)))),"Fix")))</f>
        <v>0</v>
      </c>
      <c r="U770" s="4">
        <f>IF(OR(INDEX($AH$2:$AH$1001,MATCH(ROWS($AG$2:AG770),$AG$2:$AG$1001,0),1)&gt;=100000,INDEX($AN$1005:$BO$1005,1,MATCH(COLUMNS($AN$1006:BG1006),$AN$1006:$BO$1006,0))&gt;=100000), " ",IF(INDEX($AN$2:$BO$1001,MATCH(ROWS($AG$2:AG770),$AG$2:$AG$1001,0),MATCH(COLUMNS($AN$1006:BG1006),$AN$1006:$BO$1006,0)), HYPERLINK("#",""), HYPERLINK(CONCATENATE("#Metadata!", ADDRESS(INDEX($AI$2:$AI$1001,MATCH(ROWS($AG$2:AG770),$AG$2:$AG$1001,0),0), INDEX($AN$1004:$BO$1004,1,MATCH(COLUMNS($AN$1006:BG1006),$AN$1006:$BO$1006,0)))),"Fix")))</f>
        <v>0</v>
      </c>
      <c r="V770" s="4">
        <f>IF(OR(INDEX($AH$2:$AH$1001,MATCH(ROWS($AG$2:AG770),$AG$2:$AG$1001,0),1)&gt;=100000,INDEX($AN$1005:$BO$1005,1,MATCH(COLUMNS($AN$1006:BH1006),$AN$1006:$BO$1006,0))&gt;=100000), " ",IF(INDEX($AN$2:$BO$1001,MATCH(ROWS($AG$2:AG770),$AG$2:$AG$1001,0),MATCH(COLUMNS($AN$1006:BH1006),$AN$1006:$BO$1006,0)), HYPERLINK("#",""), HYPERLINK(CONCATENATE("#Metadata!", ADDRESS(INDEX($AI$2:$AI$1001,MATCH(ROWS($AG$2:AG770),$AG$2:$AG$1001,0),0), INDEX($AN$1004:$BO$1004,1,MATCH(COLUMNS($AN$1006:BH1006),$AN$1006:$BO$1006,0)))),"Fix")))</f>
        <v>0</v>
      </c>
      <c r="W770" s="4">
        <f>IF(OR(INDEX($AH$2:$AH$1001,MATCH(ROWS($AG$2:AG770),$AG$2:$AG$1001,0),1)&gt;=100000,INDEX($AN$1005:$BO$1005,1,MATCH(COLUMNS($AN$1006:BI1006),$AN$1006:$BO$1006,0))&gt;=100000), " ",IF(INDEX($AN$2:$BO$1001,MATCH(ROWS($AG$2:AG770),$AG$2:$AG$1001,0),MATCH(COLUMNS($AN$1006:BI1006),$AN$1006:$BO$1006,0)), HYPERLINK("#",""), HYPERLINK(CONCATENATE("#Metadata!", ADDRESS(INDEX($AI$2:$AI$1001,MATCH(ROWS($AG$2:AG770),$AG$2:$AG$1001,0),0), INDEX($AN$1004:$BO$1004,1,MATCH(COLUMNS($AN$1006:BI1006),$AN$1006:$BO$1006,0)))),"Fix")))</f>
        <v>0</v>
      </c>
      <c r="X770" s="4">
        <f>IF(OR(INDEX($AH$2:$AH$1001,MATCH(ROWS($AG$2:AG770),$AG$2:$AG$1001,0),1)&gt;=100000,INDEX($AN$1005:$BO$1005,1,MATCH(COLUMNS($AN$1006:BJ1006),$AN$1006:$BO$1006,0))&gt;=100000), " ",IF(INDEX($AN$2:$BO$1001,MATCH(ROWS($AG$2:AG770),$AG$2:$AG$1001,0),MATCH(COLUMNS($AN$1006:BJ1006),$AN$1006:$BO$1006,0)), HYPERLINK("#",""), HYPERLINK(CONCATENATE("#Metadata!", ADDRESS(INDEX($AI$2:$AI$1001,MATCH(ROWS($AG$2:AG770),$AG$2:$AG$1001,0),0), INDEX($AN$1004:$BO$1004,1,MATCH(COLUMNS($AN$1006:BJ1006),$AN$1006:$BO$1006,0)))),"Fix")))</f>
        <v>0</v>
      </c>
      <c r="Y770" s="4">
        <f>IF(OR(INDEX($AH$2:$AH$1001,MATCH(ROWS($AG$2:AG770),$AG$2:$AG$1001,0),1)&gt;=100000,INDEX($AN$1005:$BO$1005,1,MATCH(COLUMNS($AN$1006:BK1006),$AN$1006:$BO$1006,0))&gt;=100000), " ",IF(INDEX($AN$2:$BO$1001,MATCH(ROWS($AG$2:AG770),$AG$2:$AG$1001,0),MATCH(COLUMNS($AN$1006:BK1006),$AN$1006:$BO$1006,0)), HYPERLINK("#",""), HYPERLINK(CONCATENATE("#Metadata!", ADDRESS(INDEX($AI$2:$AI$1001,MATCH(ROWS($AG$2:AG770),$AG$2:$AG$1001,0),0), INDEX($AN$1004:$BO$1004,1,MATCH(COLUMNS($AN$1006:BK1006),$AN$1006:$BO$1006,0)))),"Fix")))</f>
        <v>0</v>
      </c>
      <c r="Z770" s="4">
        <f>IF(OR(INDEX($AH$2:$AH$1001,MATCH(ROWS($AG$2:AG770),$AG$2:$AG$1001,0),1)&gt;=100000,INDEX($AN$1005:$BO$1005,1,MATCH(COLUMNS($AN$1006:BL1006),$AN$1006:$BO$1006,0))&gt;=100000), " ",IF(INDEX($AN$2:$BO$1001,MATCH(ROWS($AG$2:AG770),$AG$2:$AG$1001,0),MATCH(COLUMNS($AN$1006:BL1006),$AN$1006:$BO$1006,0)), HYPERLINK("#",""), HYPERLINK(CONCATENATE("#Metadata!", ADDRESS(INDEX($AI$2:$AI$1001,MATCH(ROWS($AG$2:AG770),$AG$2:$AG$1001,0),0), INDEX($AN$1004:$BO$1004,1,MATCH(COLUMNS($AN$1006:BL1006),$AN$1006:$BO$1006,0)))),"Fix")))</f>
        <v>0</v>
      </c>
      <c r="AA770" s="4">
        <f>IF(OR(INDEX($AH$2:$AH$1001,MATCH(ROWS($AG$2:AG770),$AG$2:$AG$1001,0),1)&gt;=100000,INDEX($AN$1005:$BO$1005,1,MATCH(COLUMNS($AN$1006:BM1006),$AN$1006:$BO$1006,0))&gt;=100000), " ",IF(INDEX($AN$2:$BO$1001,MATCH(ROWS($AG$2:AG770),$AG$2:$AG$1001,0),MATCH(COLUMNS($AN$1006:BM1006),$AN$1006:$BO$1006,0)), HYPERLINK("#",""), HYPERLINK(CONCATENATE("#Metadata!", ADDRESS(INDEX($AI$2:$AI$1001,MATCH(ROWS($AG$2:AG770),$AG$2:$AG$1001,0),0), INDEX($AN$1004:$BO$1004,1,MATCH(COLUMNS($AN$1006:BM1006),$AN$1006:$BO$1006,0)))),"Fix")))</f>
        <v>0</v>
      </c>
      <c r="AB770" s="4">
        <f>IF(OR(INDEX($AH$2:$AH$1001,MATCH(ROWS($AG$2:AG770),$AG$2:$AG$1001,0),1)&gt;=100000,INDEX($AN$1005:$BO$1005,1,MATCH(COLUMNS($AN$1006:BN1006),$AN$1006:$BO$1006,0))&gt;=100000), " ",IF(INDEX($AN$2:$BO$1001,MATCH(ROWS($AG$2:AG770),$AG$2:$AG$1001,0),MATCH(COLUMNS($AN$1006:BN1006),$AN$1006:$BO$1006,0)), HYPERLINK("#",""), HYPERLINK(CONCATENATE("#Metadata!", ADDRESS(INDEX($AI$2:$AI$1001,MATCH(ROWS($AG$2:AG770),$AG$2:$AG$1001,0),0), INDEX($AN$1004:$BO$1004,1,MATCH(COLUMNS($AN$1006:BN1006),$AN$1006:$BO$1006,0)))),"Fix")))</f>
        <v>0</v>
      </c>
      <c r="AC770" s="4">
        <f>IF(OR(INDEX($AH$2:$AH$1001,MATCH(ROWS($AG$2:AG770),$AG$2:$AG$1001,0),1)&gt;=100000,INDEX($AN$1005:$BO$1005,1,MATCH(COLUMNS($AN$1006:BO1006),$AN$1006:$BO$1006,0))&gt;=100000), " ",IF(INDEX($AN$2:$BO$1001,MATCH(ROWS($AG$2:AG770),$AG$2:$AG$1001,0),MATCH(COLUMNS($AN$1006:BO1006),$AN$1006:$BO$1006,0)), HYPERLINK("#",""), HYPERLINK(CONCATENATE("#Metadata!", ADDRESS(INDEX($AI$2:$AI$1001,MATCH(ROWS($AG$2:AG770),$AG$2:$AG$1001,0),0), INDEX($AN$1004:$BO$1004,1,MATCH(COLUMNS($AN$1006:BO1006),$AN$1006:$BO$1006,0)))),"Fix")))</f>
        <v>0</v>
      </c>
      <c r="AG770">
        <v>0</v>
      </c>
      <c r="AH770">
        <v>0</v>
      </c>
      <c r="AI770">
        <v>0</v>
      </c>
      <c r="AJ770">
        <f>IF(AK770,TRUE,AND(AN770:BO770))</f>
        <v>0</v>
      </c>
      <c r="AK770">
        <f>COUNTBLANK(Metadata!B770:AC770)=COLUMNS(Metadata!B770:AC770)</f>
        <v>0</v>
      </c>
      <c r="AL770">
        <v>0</v>
      </c>
      <c r="AN770">
        <f>AND(IF(Metadata!B770="",FALSE,TRUE),COUNTIF(Metadata!B:B, Metadata!B770) = 1,NOT(ISERROR(SUMPRODUCT(SEARCH(MID(Metadata!B770,ROW(INDIRECT("1:"&amp;LEN(Metadata!B770))), 1),"0123456789abcdefghijklmnopqrstuvwxyzABCDEFGHIJKLMNOPQRSTUVWXYZ.")))))</f>
        <v>0</v>
      </c>
      <c r="AO770">
        <f>IF(Metadata!C770="",FALSE,TRUE)</f>
        <v>0</v>
      </c>
      <c r="AP770">
        <f>IF(Metadata!D770="",FALSE,TRUE)</f>
        <v>0</v>
      </c>
      <c r="AQ770">
        <f>OR(AND(IF(Metadata!E770="",FALSE,TRUE),OR(exact(Metadata!E770,"not collected"),exact(Metadata!E770,"not provided"),exact(Metadata!E770,"restricted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R770">
        <f>IF(Metadata!F770="",FALSE,TRUE)</f>
        <v>0</v>
      </c>
      <c r="AS770">
        <f>OR(AND(IF(Metadata!G770="",FALSE,TRUE),OR(exact(Metadata!G770,"not collected"),exact(Metadata!G770,"not provided"))),AND(IF(Metadata!G770="",FALSE,TRUE),OR(exact(Metadata!G770,"TRUE"),exact(Metadata!G770,"FALSE"))))</f>
        <v>0</v>
      </c>
      <c r="AT770">
        <f>OR(AND(IF(Metadata!H770="",FALSE,TRUE),OR(exact(Metadata!H770,"not collected"),exact(Metadata!H770,"not provided"),exact(Metadata!H770,"restricted access"))),AND(IF(Metadata!H770="",FALSE,ISNUMBER(VALUE(Metadata!H770))),Metadata!H770&gt;=-413.0))</f>
        <v>0</v>
      </c>
      <c r="AU770">
        <f>AND(IF(Metadata!I770="",FALSE,TRUE),exact(Metadata!I770,"meters"))</f>
        <v>0</v>
      </c>
      <c r="AV770">
        <f>AND(IF(Metadata!J770="",FALSE,TRUE),OR(exact(Metadata!J770,"Host-associated"),exact(Metadata!J770,"Free-living")))</f>
        <v>0</v>
      </c>
      <c r="AW770">
        <f>AND(IF(Metadata!K770="",FALSE,TRUE),OR(exact(Metadata!K770,"Animal"),exact(Metadata!K770,"Fungus"),exact(Metadata!K770,"Plant"),exact(Metadata!K770,"Saline"),exact(Metadata!K770,"Non-saline")))</f>
        <v>0</v>
      </c>
      <c r="AX770">
        <f>AND(IF(Metadata!L770="",FALSE,TRUE),OR(exact(Metadata!L770,"Plant secretion"),exact(Metadata!L770,"Plant rhizosphere"),exact(Metadata!L770,"Plant surface"),exact(Metadata!L770,"Plant corpus"),exact(Metadata!L770,"Fungus surface"),exact(Metadata!L770,"Fungus corpus"),exact(Metadata!L770,"Animal surface"),exact(Metadata!L770,"Animal proximal gut"),exact(Metadata!L770,"Animal corpus"),exact(Metadata!L770,"Animal distal gut"),exact(Metadata!L770,"Animal secretion"),exact(Metadata!L770,"Sub-surface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Y770">
        <f>IF(Metadata!M770="",FALSE,TRUE)</f>
        <v>0</v>
      </c>
      <c r="AZ770">
        <f>IF(Metadata!N770="",FALSE,TRUE)</f>
        <v>0</v>
      </c>
      <c r="BA770">
        <f>IF(Metadata!O770="",FALSE,TRUE)</f>
        <v>0</v>
      </c>
      <c r="BB770">
        <f>OR(AND(IF(Metadata!P770="",FALSE,TRUE),OR(exact(Metadata!P770,"not collected"),exact(Metadata!P770,"not provided"),exact(Metadata!P770,"restricted access"))),AND(IF(Metadata!P770="",FALSE,TRUE),OR(exact(Metadata!P770,"air"),exact(Metadata!P770,"built environment"),exact(Metadata!P770,"host-associated"),exact(Metadata!P770,"human-associated"),exact(Metadata!P770,"human-skin"),exact(Metadata!P770,"human-oral"),exact(Metadata!P770,"human-gut"),exact(Metadata!P770,"human-vaginal"),exact(Metadata!P770,"microbial mat/biofilm"),exact(Metadata!P770,"misc environment"),exact(Metadata!P770,"plant-associated"),exact(Metadata!P770,"sediment"),exact(Metadata!P770,"soil"),exact(Metadata!P770,"wastewater/sludge"),exact(Metadata!P770,"water"))))</f>
        <v>0</v>
      </c>
      <c r="BC770">
        <f>IF(Metadata!Q770="",FALSE,TRUE)</f>
        <v>0</v>
      </c>
      <c r="BD770">
        <f>IF(Metadata!R770="",FALSE,TRUE)</f>
        <v>0</v>
      </c>
      <c r="BE770">
        <f>OR(AND(IF(Metadata!S770="",FALSE,TRUE),OR(exact(Metadata!S770,"not collected"),exact(Metadata!S770,"not provided"),exact(Metadata!S770,"restricted access"))),AND(IF(Metadata!S770="",FALSE,ISNUMBER(VALUE(Metadata!S770))),Metadata!S770&gt;=-90.00,Metadata!S770&lt;=90.00))</f>
        <v>0</v>
      </c>
      <c r="BF770">
        <f>AND(IF(Metadata!T770="",FALSE,TRUE),exact(Metadata!T770,"Decimal degrees"))</f>
        <v>0</v>
      </c>
      <c r="BG770">
        <f>OR(AND(IF(Metadata!U770="",FALSE,TRUE),OR(exact(Metadata!U770,"not collected"),exact(Metadata!U770,"not provided"),exact(Metadata!U770,"restricted access"))),AND(IF(Metadata!U770="",FALSE,ISNUMBER(VALUE(Metadata!U770))),Metadata!U770&gt;=-180.00,Metadata!U770&lt;=180.00))</f>
        <v>0</v>
      </c>
      <c r="BH770">
        <f>AND(IF(Metadata!V770="",FALSE,TRUE),exact(Metadata!V770,"Decimal degrees"))</f>
        <v>0</v>
      </c>
      <c r="BI770">
        <f>IF(Metadata!W770="",FALSE,TRUE)</f>
        <v>0</v>
      </c>
      <c r="BJ770">
        <f>OR(AND(IF(Metadata!X770="",FALSE,TRUE),OR(exact(Metadata!X770,"not collected"),exact(Metadata!X770,"not provided"),exact(Metadata!X770,"restricted access"))),AND(IF(Metadata!X770="",FALSE,TRUE),OR(exact(Metadata!X770,"TRUE"),exact(Metadata!X770,"FALSE"))))</f>
        <v>0</v>
      </c>
      <c r="BK770">
        <f>AND(IF(Metadata!Y770="",FALSE,TRUE),exact(Metadata!Y770,"other"))</f>
        <v>0</v>
      </c>
      <c r="BL770">
        <f>IF(Metadata!Z770="",FALSE,TRUE)</f>
        <v>0</v>
      </c>
      <c r="BM770">
        <f>OR(AND(IF(Metadata!AA770="",FALSE,TRUE),OR(exact(Metadata!AA770,"not collected"),exact(Metadata!AA770,"not provided"))),AND(IF(Metadata!AA770="",FALSE,IF(ISERROR(INT(Metadata!AA770)),FALSE,INT(Metadata!AA770)=Metadata!AA770)),Metadata!AA770&gt;0))</f>
        <v>0</v>
      </c>
      <c r="BN770">
        <f>AND(IF(Metadata!AB770="",FALSE,TRUE),exact(Metadata!AB770,"Not applicable"))</f>
        <v>0</v>
      </c>
      <c r="BO770">
        <f>IF(Metadata!AC770="",FALSE,TRUE)</f>
        <v>0</v>
      </c>
    </row>
    <row r="771" spans="1:67">
      <c r="A771" s="5">
        <f>IF(B771=" "," ",HYPERLINK(CONCATENATE("#metadata!",ADDRESS(INDEX($AI$2:$AI$1001,MATCH(ROWS($AG$2:AG771),$AG$2:$AG$1001,0),0),1)),INDEX($AL$2:$AL$1001,MATCH(ROWS($AG$2:AG771),$AG$2:$AG$1001,0),0)))</f>
        <v>0</v>
      </c>
      <c r="B771" s="4">
        <f>IF(OR(INDEX($AH$2:$AH$1001,MATCH(ROWS($AG$2:AG771),$AG$2:$AG$1001,0),1)&gt;=100000,INDEX($AN$1005:$BO$1005,1,MATCH(COLUMNS($AN$1006:AN1006),$AN$1006:$BO$1006,0))&gt;=100000), " ",IF(INDEX($AN$2:$BO$1001,MATCH(ROWS($AG$2:AG771),$AG$2:$AG$1001,0),MATCH(COLUMNS($AN$1006:AN1006),$AN$1006:$BO$1006,0)), HYPERLINK("#",""), HYPERLINK(CONCATENATE("#Metadata!", ADDRESS(INDEX($AI$2:$AI$1001,MATCH(ROWS($AG$2:AG771),$AG$2:$AG$1001,0),0), INDEX($AN$1004:$BO$1004,1,MATCH(COLUMNS($AN$1006:AN1006),$AN$1006:$BO$1006,0)))),"Fix")))</f>
        <v>0</v>
      </c>
      <c r="C771" s="4">
        <f>IF(OR(INDEX($AH$2:$AH$1001,MATCH(ROWS($AG$2:AG771),$AG$2:$AG$1001,0),1)&gt;=100000,INDEX($AN$1005:$BO$1005,1,MATCH(COLUMNS($AN$1006:AO1006),$AN$1006:$BO$1006,0))&gt;=100000), " ",IF(INDEX($AN$2:$BO$1001,MATCH(ROWS($AG$2:AG771),$AG$2:$AG$1001,0),MATCH(COLUMNS($AN$1006:AO1006),$AN$1006:$BO$1006,0)), HYPERLINK("#",""), HYPERLINK(CONCATENATE("#Metadata!", ADDRESS(INDEX($AI$2:$AI$1001,MATCH(ROWS($AG$2:AG771),$AG$2:$AG$1001,0),0), INDEX($AN$1004:$BO$1004,1,MATCH(COLUMNS($AN$1006:AO1006),$AN$1006:$BO$1006,0)))),"Fix")))</f>
        <v>0</v>
      </c>
      <c r="D771" s="4">
        <f>IF(OR(INDEX($AH$2:$AH$1001,MATCH(ROWS($AG$2:AG771),$AG$2:$AG$1001,0),1)&gt;=100000,INDEX($AN$1005:$BO$1005,1,MATCH(COLUMNS($AN$1006:AP1006),$AN$1006:$BO$1006,0))&gt;=100000), " ",IF(INDEX($AN$2:$BO$1001,MATCH(ROWS($AG$2:AG771),$AG$2:$AG$1001,0),MATCH(COLUMNS($AN$1006:AP1006),$AN$1006:$BO$1006,0)), HYPERLINK("#",""), HYPERLINK(CONCATENATE("#Metadata!", ADDRESS(INDEX($AI$2:$AI$1001,MATCH(ROWS($AG$2:AG771),$AG$2:$AG$1001,0),0), INDEX($AN$1004:$BO$1004,1,MATCH(COLUMNS($AN$1006:AP1006),$AN$1006:$BO$1006,0)))),"Fix")))</f>
        <v>0</v>
      </c>
      <c r="E771" s="4">
        <f>IF(OR(INDEX($AH$2:$AH$1001,MATCH(ROWS($AG$2:AG771),$AG$2:$AG$1001,0),1)&gt;=100000,INDEX($AN$1005:$BO$1005,1,MATCH(COLUMNS($AN$1006:AQ1006),$AN$1006:$BO$1006,0))&gt;=100000), " ",IF(INDEX($AN$2:$BO$1001,MATCH(ROWS($AG$2:AG771),$AG$2:$AG$1001,0),MATCH(COLUMNS($AN$1006:AQ1006),$AN$1006:$BO$1006,0)), HYPERLINK("#",""), HYPERLINK(CONCATENATE("#Metadata!", ADDRESS(INDEX($AI$2:$AI$1001,MATCH(ROWS($AG$2:AG771),$AG$2:$AG$1001,0),0), INDEX($AN$1004:$BO$1004,1,MATCH(COLUMNS($AN$1006:AQ1006),$AN$1006:$BO$1006,0)))),"Fix")))</f>
        <v>0</v>
      </c>
      <c r="F771" s="4">
        <f>IF(OR(INDEX($AH$2:$AH$1001,MATCH(ROWS($AG$2:AG771),$AG$2:$AG$1001,0),1)&gt;=100000,INDEX($AN$1005:$BO$1005,1,MATCH(COLUMNS($AN$1006:AR1006),$AN$1006:$BO$1006,0))&gt;=100000), " ",IF(INDEX($AN$2:$BO$1001,MATCH(ROWS($AG$2:AG771),$AG$2:$AG$1001,0),MATCH(COLUMNS($AN$1006:AR1006),$AN$1006:$BO$1006,0)), HYPERLINK("#",""), HYPERLINK(CONCATENATE("#Metadata!", ADDRESS(INDEX($AI$2:$AI$1001,MATCH(ROWS($AG$2:AG771),$AG$2:$AG$1001,0),0), INDEX($AN$1004:$BO$1004,1,MATCH(COLUMNS($AN$1006:AR1006),$AN$1006:$BO$1006,0)))),"Fix")))</f>
        <v>0</v>
      </c>
      <c r="G771" s="4">
        <f>IF(OR(INDEX($AH$2:$AH$1001,MATCH(ROWS($AG$2:AG771),$AG$2:$AG$1001,0),1)&gt;=100000,INDEX($AN$1005:$BO$1005,1,MATCH(COLUMNS($AN$1006:AS1006),$AN$1006:$BO$1006,0))&gt;=100000), " ",IF(INDEX($AN$2:$BO$1001,MATCH(ROWS($AG$2:AG771),$AG$2:$AG$1001,0),MATCH(COLUMNS($AN$1006:AS1006),$AN$1006:$BO$1006,0)), HYPERLINK("#",""), HYPERLINK(CONCATENATE("#Metadata!", ADDRESS(INDEX($AI$2:$AI$1001,MATCH(ROWS($AG$2:AG771),$AG$2:$AG$1001,0),0), INDEX($AN$1004:$BO$1004,1,MATCH(COLUMNS($AN$1006:AS1006),$AN$1006:$BO$1006,0)))),"Fix")))</f>
        <v>0</v>
      </c>
      <c r="H771" s="4">
        <f>IF(OR(INDEX($AH$2:$AH$1001,MATCH(ROWS($AG$2:AG771),$AG$2:$AG$1001,0),1)&gt;=100000,INDEX($AN$1005:$BO$1005,1,MATCH(COLUMNS($AN$1006:AT1006),$AN$1006:$BO$1006,0))&gt;=100000), " ",IF(INDEX($AN$2:$BO$1001,MATCH(ROWS($AG$2:AG771),$AG$2:$AG$1001,0),MATCH(COLUMNS($AN$1006:AT1006),$AN$1006:$BO$1006,0)), HYPERLINK("#",""), HYPERLINK(CONCATENATE("#Metadata!", ADDRESS(INDEX($AI$2:$AI$1001,MATCH(ROWS($AG$2:AG771),$AG$2:$AG$1001,0),0), INDEX($AN$1004:$BO$1004,1,MATCH(COLUMNS($AN$1006:AT1006),$AN$1006:$BO$1006,0)))),"Fix")))</f>
        <v>0</v>
      </c>
      <c r="I771" s="4">
        <f>IF(OR(INDEX($AH$2:$AH$1001,MATCH(ROWS($AG$2:AG771),$AG$2:$AG$1001,0),1)&gt;=100000,INDEX($AN$1005:$BO$1005,1,MATCH(COLUMNS($AN$1006:AU1006),$AN$1006:$BO$1006,0))&gt;=100000), " ",IF(INDEX($AN$2:$BO$1001,MATCH(ROWS($AG$2:AG771),$AG$2:$AG$1001,0),MATCH(COLUMNS($AN$1006:AU1006),$AN$1006:$BO$1006,0)), HYPERLINK("#",""), HYPERLINK(CONCATENATE("#Metadata!", ADDRESS(INDEX($AI$2:$AI$1001,MATCH(ROWS($AG$2:AG771),$AG$2:$AG$1001,0),0), INDEX($AN$1004:$BO$1004,1,MATCH(COLUMNS($AN$1006:AU1006),$AN$1006:$BO$1006,0)))),"Fix")))</f>
        <v>0</v>
      </c>
      <c r="J771" s="4">
        <f>IF(OR(INDEX($AH$2:$AH$1001,MATCH(ROWS($AG$2:AG771),$AG$2:$AG$1001,0),1)&gt;=100000,INDEX($AN$1005:$BO$1005,1,MATCH(COLUMNS($AN$1006:AV1006),$AN$1006:$BO$1006,0))&gt;=100000), " ",IF(INDEX($AN$2:$BO$1001,MATCH(ROWS($AG$2:AG771),$AG$2:$AG$1001,0),MATCH(COLUMNS($AN$1006:AV1006),$AN$1006:$BO$1006,0)), HYPERLINK("#",""), HYPERLINK(CONCATENATE("#Metadata!", ADDRESS(INDEX($AI$2:$AI$1001,MATCH(ROWS($AG$2:AG771),$AG$2:$AG$1001,0),0), INDEX($AN$1004:$BO$1004,1,MATCH(COLUMNS($AN$1006:AV1006),$AN$1006:$BO$1006,0)))),"Fix")))</f>
        <v>0</v>
      </c>
      <c r="K771" s="4">
        <f>IF(OR(INDEX($AH$2:$AH$1001,MATCH(ROWS($AG$2:AG771),$AG$2:$AG$1001,0),1)&gt;=100000,INDEX($AN$1005:$BO$1005,1,MATCH(COLUMNS($AN$1006:AW1006),$AN$1006:$BO$1006,0))&gt;=100000), " ",IF(INDEX($AN$2:$BO$1001,MATCH(ROWS($AG$2:AG771),$AG$2:$AG$1001,0),MATCH(COLUMNS($AN$1006:AW1006),$AN$1006:$BO$1006,0)), HYPERLINK("#",""), HYPERLINK(CONCATENATE("#Metadata!", ADDRESS(INDEX($AI$2:$AI$1001,MATCH(ROWS($AG$2:AG771),$AG$2:$AG$1001,0),0), INDEX($AN$1004:$BO$1004,1,MATCH(COLUMNS($AN$1006:AW1006),$AN$1006:$BO$1006,0)))),"Fix")))</f>
        <v>0</v>
      </c>
      <c r="L771" s="4">
        <f>IF(OR(INDEX($AH$2:$AH$1001,MATCH(ROWS($AG$2:AG771),$AG$2:$AG$1001,0),1)&gt;=100000,INDEX($AN$1005:$BO$1005,1,MATCH(COLUMNS($AN$1006:AX1006),$AN$1006:$BO$1006,0))&gt;=100000), " ",IF(INDEX($AN$2:$BO$1001,MATCH(ROWS($AG$2:AG771),$AG$2:$AG$1001,0),MATCH(COLUMNS($AN$1006:AX1006),$AN$1006:$BO$1006,0)), HYPERLINK("#",""), HYPERLINK(CONCATENATE("#Metadata!", ADDRESS(INDEX($AI$2:$AI$1001,MATCH(ROWS($AG$2:AG771),$AG$2:$AG$1001,0),0), INDEX($AN$1004:$BO$1004,1,MATCH(COLUMNS($AN$1006:AX1006),$AN$1006:$BO$1006,0)))),"Fix")))</f>
        <v>0</v>
      </c>
      <c r="M771" s="4">
        <f>IF(OR(INDEX($AH$2:$AH$1001,MATCH(ROWS($AG$2:AG771),$AG$2:$AG$1001,0),1)&gt;=100000,INDEX($AN$1005:$BO$1005,1,MATCH(COLUMNS($AN$1006:AY1006),$AN$1006:$BO$1006,0))&gt;=100000), " ",IF(INDEX($AN$2:$BO$1001,MATCH(ROWS($AG$2:AG771),$AG$2:$AG$1001,0),MATCH(COLUMNS($AN$1006:AY1006),$AN$1006:$BO$1006,0)), HYPERLINK("#",""), HYPERLINK(CONCATENATE("#Metadata!", ADDRESS(INDEX($AI$2:$AI$1001,MATCH(ROWS($AG$2:AG771),$AG$2:$AG$1001,0),0), INDEX($AN$1004:$BO$1004,1,MATCH(COLUMNS($AN$1006:AY1006),$AN$1006:$BO$1006,0)))),"Fix")))</f>
        <v>0</v>
      </c>
      <c r="N771" s="4">
        <f>IF(OR(INDEX($AH$2:$AH$1001,MATCH(ROWS($AG$2:AG771),$AG$2:$AG$1001,0),1)&gt;=100000,INDEX($AN$1005:$BO$1005,1,MATCH(COLUMNS($AN$1006:AZ1006),$AN$1006:$BO$1006,0))&gt;=100000), " ",IF(INDEX($AN$2:$BO$1001,MATCH(ROWS($AG$2:AG771),$AG$2:$AG$1001,0),MATCH(COLUMNS($AN$1006:AZ1006),$AN$1006:$BO$1006,0)), HYPERLINK("#",""), HYPERLINK(CONCATENATE("#Metadata!", ADDRESS(INDEX($AI$2:$AI$1001,MATCH(ROWS($AG$2:AG771),$AG$2:$AG$1001,0),0), INDEX($AN$1004:$BO$1004,1,MATCH(COLUMNS($AN$1006:AZ1006),$AN$1006:$BO$1006,0)))),"Fix")))</f>
        <v>0</v>
      </c>
      <c r="O771" s="4">
        <f>IF(OR(INDEX($AH$2:$AH$1001,MATCH(ROWS($AG$2:AG771),$AG$2:$AG$1001,0),1)&gt;=100000,INDEX($AN$1005:$BO$1005,1,MATCH(COLUMNS($AN$1006:BA1006),$AN$1006:$BO$1006,0))&gt;=100000), " ",IF(INDEX($AN$2:$BO$1001,MATCH(ROWS($AG$2:AG771),$AG$2:$AG$1001,0),MATCH(COLUMNS($AN$1006:BA1006),$AN$1006:$BO$1006,0)), HYPERLINK("#",""), HYPERLINK(CONCATENATE("#Metadata!", ADDRESS(INDEX($AI$2:$AI$1001,MATCH(ROWS($AG$2:AG771),$AG$2:$AG$1001,0),0), INDEX($AN$1004:$BO$1004,1,MATCH(COLUMNS($AN$1006:BA1006),$AN$1006:$BO$1006,0)))),"Fix")))</f>
        <v>0</v>
      </c>
      <c r="P771" s="4">
        <f>IF(OR(INDEX($AH$2:$AH$1001,MATCH(ROWS($AG$2:AG771),$AG$2:$AG$1001,0),1)&gt;=100000,INDEX($AN$1005:$BO$1005,1,MATCH(COLUMNS($AN$1006:BB1006),$AN$1006:$BO$1006,0))&gt;=100000), " ",IF(INDEX($AN$2:$BO$1001,MATCH(ROWS($AG$2:AG771),$AG$2:$AG$1001,0),MATCH(COLUMNS($AN$1006:BB1006),$AN$1006:$BO$1006,0)), HYPERLINK("#",""), HYPERLINK(CONCATENATE("#Metadata!", ADDRESS(INDEX($AI$2:$AI$1001,MATCH(ROWS($AG$2:AG771),$AG$2:$AG$1001,0),0), INDEX($AN$1004:$BO$1004,1,MATCH(COLUMNS($AN$1006:BB1006),$AN$1006:$BO$1006,0)))),"Fix")))</f>
        <v>0</v>
      </c>
      <c r="Q771" s="4">
        <f>IF(OR(INDEX($AH$2:$AH$1001,MATCH(ROWS($AG$2:AG771),$AG$2:$AG$1001,0),1)&gt;=100000,INDEX($AN$1005:$BO$1005,1,MATCH(COLUMNS($AN$1006:BC1006),$AN$1006:$BO$1006,0))&gt;=100000), " ",IF(INDEX($AN$2:$BO$1001,MATCH(ROWS($AG$2:AG771),$AG$2:$AG$1001,0),MATCH(COLUMNS($AN$1006:BC1006),$AN$1006:$BO$1006,0)), HYPERLINK("#",""), HYPERLINK(CONCATENATE("#Metadata!", ADDRESS(INDEX($AI$2:$AI$1001,MATCH(ROWS($AG$2:AG771),$AG$2:$AG$1001,0),0), INDEX($AN$1004:$BO$1004,1,MATCH(COLUMNS($AN$1006:BC1006),$AN$1006:$BO$1006,0)))),"Fix")))</f>
        <v>0</v>
      </c>
      <c r="R771" s="4">
        <f>IF(OR(INDEX($AH$2:$AH$1001,MATCH(ROWS($AG$2:AG771),$AG$2:$AG$1001,0),1)&gt;=100000,INDEX($AN$1005:$BO$1005,1,MATCH(COLUMNS($AN$1006:BD1006),$AN$1006:$BO$1006,0))&gt;=100000), " ",IF(INDEX($AN$2:$BO$1001,MATCH(ROWS($AG$2:AG771),$AG$2:$AG$1001,0),MATCH(COLUMNS($AN$1006:BD1006),$AN$1006:$BO$1006,0)), HYPERLINK("#",""), HYPERLINK(CONCATENATE("#Metadata!", ADDRESS(INDEX($AI$2:$AI$1001,MATCH(ROWS($AG$2:AG771),$AG$2:$AG$1001,0),0), INDEX($AN$1004:$BO$1004,1,MATCH(COLUMNS($AN$1006:BD1006),$AN$1006:$BO$1006,0)))),"Fix")))</f>
        <v>0</v>
      </c>
      <c r="S771" s="4">
        <f>IF(OR(INDEX($AH$2:$AH$1001,MATCH(ROWS($AG$2:AG771),$AG$2:$AG$1001,0),1)&gt;=100000,INDEX($AN$1005:$BO$1005,1,MATCH(COLUMNS($AN$1006:BE1006),$AN$1006:$BO$1006,0))&gt;=100000), " ",IF(INDEX($AN$2:$BO$1001,MATCH(ROWS($AG$2:AG771),$AG$2:$AG$1001,0),MATCH(COLUMNS($AN$1006:BE1006),$AN$1006:$BO$1006,0)), HYPERLINK("#",""), HYPERLINK(CONCATENATE("#Metadata!", ADDRESS(INDEX($AI$2:$AI$1001,MATCH(ROWS($AG$2:AG771),$AG$2:$AG$1001,0),0), INDEX($AN$1004:$BO$1004,1,MATCH(COLUMNS($AN$1006:BE1006),$AN$1006:$BO$1006,0)))),"Fix")))</f>
        <v>0</v>
      </c>
      <c r="T771" s="4">
        <f>IF(OR(INDEX($AH$2:$AH$1001,MATCH(ROWS($AG$2:AG771),$AG$2:$AG$1001,0),1)&gt;=100000,INDEX($AN$1005:$BO$1005,1,MATCH(COLUMNS($AN$1006:BF1006),$AN$1006:$BO$1006,0))&gt;=100000), " ",IF(INDEX($AN$2:$BO$1001,MATCH(ROWS($AG$2:AG771),$AG$2:$AG$1001,0),MATCH(COLUMNS($AN$1006:BF1006),$AN$1006:$BO$1006,0)), HYPERLINK("#",""), HYPERLINK(CONCATENATE("#Metadata!", ADDRESS(INDEX($AI$2:$AI$1001,MATCH(ROWS($AG$2:AG771),$AG$2:$AG$1001,0),0), INDEX($AN$1004:$BO$1004,1,MATCH(COLUMNS($AN$1006:BF1006),$AN$1006:$BO$1006,0)))),"Fix")))</f>
        <v>0</v>
      </c>
      <c r="U771" s="4">
        <f>IF(OR(INDEX($AH$2:$AH$1001,MATCH(ROWS($AG$2:AG771),$AG$2:$AG$1001,0),1)&gt;=100000,INDEX($AN$1005:$BO$1005,1,MATCH(COLUMNS($AN$1006:BG1006),$AN$1006:$BO$1006,0))&gt;=100000), " ",IF(INDEX($AN$2:$BO$1001,MATCH(ROWS($AG$2:AG771),$AG$2:$AG$1001,0),MATCH(COLUMNS($AN$1006:BG1006),$AN$1006:$BO$1006,0)), HYPERLINK("#",""), HYPERLINK(CONCATENATE("#Metadata!", ADDRESS(INDEX($AI$2:$AI$1001,MATCH(ROWS($AG$2:AG771),$AG$2:$AG$1001,0),0), INDEX($AN$1004:$BO$1004,1,MATCH(COLUMNS($AN$1006:BG1006),$AN$1006:$BO$1006,0)))),"Fix")))</f>
        <v>0</v>
      </c>
      <c r="V771" s="4">
        <f>IF(OR(INDEX($AH$2:$AH$1001,MATCH(ROWS($AG$2:AG771),$AG$2:$AG$1001,0),1)&gt;=100000,INDEX($AN$1005:$BO$1005,1,MATCH(COLUMNS($AN$1006:BH1006),$AN$1006:$BO$1006,0))&gt;=100000), " ",IF(INDEX($AN$2:$BO$1001,MATCH(ROWS($AG$2:AG771),$AG$2:$AG$1001,0),MATCH(COLUMNS($AN$1006:BH1006),$AN$1006:$BO$1006,0)), HYPERLINK("#",""), HYPERLINK(CONCATENATE("#Metadata!", ADDRESS(INDEX($AI$2:$AI$1001,MATCH(ROWS($AG$2:AG771),$AG$2:$AG$1001,0),0), INDEX($AN$1004:$BO$1004,1,MATCH(COLUMNS($AN$1006:BH1006),$AN$1006:$BO$1006,0)))),"Fix")))</f>
        <v>0</v>
      </c>
      <c r="W771" s="4">
        <f>IF(OR(INDEX($AH$2:$AH$1001,MATCH(ROWS($AG$2:AG771),$AG$2:$AG$1001,0),1)&gt;=100000,INDEX($AN$1005:$BO$1005,1,MATCH(COLUMNS($AN$1006:BI1006),$AN$1006:$BO$1006,0))&gt;=100000), " ",IF(INDEX($AN$2:$BO$1001,MATCH(ROWS($AG$2:AG771),$AG$2:$AG$1001,0),MATCH(COLUMNS($AN$1006:BI1006),$AN$1006:$BO$1006,0)), HYPERLINK("#",""), HYPERLINK(CONCATENATE("#Metadata!", ADDRESS(INDEX($AI$2:$AI$1001,MATCH(ROWS($AG$2:AG771),$AG$2:$AG$1001,0),0), INDEX($AN$1004:$BO$1004,1,MATCH(COLUMNS($AN$1006:BI1006),$AN$1006:$BO$1006,0)))),"Fix")))</f>
        <v>0</v>
      </c>
      <c r="X771" s="4">
        <f>IF(OR(INDEX($AH$2:$AH$1001,MATCH(ROWS($AG$2:AG771),$AG$2:$AG$1001,0),1)&gt;=100000,INDEX($AN$1005:$BO$1005,1,MATCH(COLUMNS($AN$1006:BJ1006),$AN$1006:$BO$1006,0))&gt;=100000), " ",IF(INDEX($AN$2:$BO$1001,MATCH(ROWS($AG$2:AG771),$AG$2:$AG$1001,0),MATCH(COLUMNS($AN$1006:BJ1006),$AN$1006:$BO$1006,0)), HYPERLINK("#",""), HYPERLINK(CONCATENATE("#Metadata!", ADDRESS(INDEX($AI$2:$AI$1001,MATCH(ROWS($AG$2:AG771),$AG$2:$AG$1001,0),0), INDEX($AN$1004:$BO$1004,1,MATCH(COLUMNS($AN$1006:BJ1006),$AN$1006:$BO$1006,0)))),"Fix")))</f>
        <v>0</v>
      </c>
      <c r="Y771" s="4">
        <f>IF(OR(INDEX($AH$2:$AH$1001,MATCH(ROWS($AG$2:AG771),$AG$2:$AG$1001,0),1)&gt;=100000,INDEX($AN$1005:$BO$1005,1,MATCH(COLUMNS($AN$1006:BK1006),$AN$1006:$BO$1006,0))&gt;=100000), " ",IF(INDEX($AN$2:$BO$1001,MATCH(ROWS($AG$2:AG771),$AG$2:$AG$1001,0),MATCH(COLUMNS($AN$1006:BK1006),$AN$1006:$BO$1006,0)), HYPERLINK("#",""), HYPERLINK(CONCATENATE("#Metadata!", ADDRESS(INDEX($AI$2:$AI$1001,MATCH(ROWS($AG$2:AG771),$AG$2:$AG$1001,0),0), INDEX($AN$1004:$BO$1004,1,MATCH(COLUMNS($AN$1006:BK1006),$AN$1006:$BO$1006,0)))),"Fix")))</f>
        <v>0</v>
      </c>
      <c r="Z771" s="4">
        <f>IF(OR(INDEX($AH$2:$AH$1001,MATCH(ROWS($AG$2:AG771),$AG$2:$AG$1001,0),1)&gt;=100000,INDEX($AN$1005:$BO$1005,1,MATCH(COLUMNS($AN$1006:BL1006),$AN$1006:$BO$1006,0))&gt;=100000), " ",IF(INDEX($AN$2:$BO$1001,MATCH(ROWS($AG$2:AG771),$AG$2:$AG$1001,0),MATCH(COLUMNS($AN$1006:BL1006),$AN$1006:$BO$1006,0)), HYPERLINK("#",""), HYPERLINK(CONCATENATE("#Metadata!", ADDRESS(INDEX($AI$2:$AI$1001,MATCH(ROWS($AG$2:AG771),$AG$2:$AG$1001,0),0), INDEX($AN$1004:$BO$1004,1,MATCH(COLUMNS($AN$1006:BL1006),$AN$1006:$BO$1006,0)))),"Fix")))</f>
        <v>0</v>
      </c>
      <c r="AA771" s="4">
        <f>IF(OR(INDEX($AH$2:$AH$1001,MATCH(ROWS($AG$2:AG771),$AG$2:$AG$1001,0),1)&gt;=100000,INDEX($AN$1005:$BO$1005,1,MATCH(COLUMNS($AN$1006:BM1006),$AN$1006:$BO$1006,0))&gt;=100000), " ",IF(INDEX($AN$2:$BO$1001,MATCH(ROWS($AG$2:AG771),$AG$2:$AG$1001,0),MATCH(COLUMNS($AN$1006:BM1006),$AN$1006:$BO$1006,0)), HYPERLINK("#",""), HYPERLINK(CONCATENATE("#Metadata!", ADDRESS(INDEX($AI$2:$AI$1001,MATCH(ROWS($AG$2:AG771),$AG$2:$AG$1001,0),0), INDEX($AN$1004:$BO$1004,1,MATCH(COLUMNS($AN$1006:BM1006),$AN$1006:$BO$1006,0)))),"Fix")))</f>
        <v>0</v>
      </c>
      <c r="AB771" s="4">
        <f>IF(OR(INDEX($AH$2:$AH$1001,MATCH(ROWS($AG$2:AG771),$AG$2:$AG$1001,0),1)&gt;=100000,INDEX($AN$1005:$BO$1005,1,MATCH(COLUMNS($AN$1006:BN1006),$AN$1006:$BO$1006,0))&gt;=100000), " ",IF(INDEX($AN$2:$BO$1001,MATCH(ROWS($AG$2:AG771),$AG$2:$AG$1001,0),MATCH(COLUMNS($AN$1006:BN1006),$AN$1006:$BO$1006,0)), HYPERLINK("#",""), HYPERLINK(CONCATENATE("#Metadata!", ADDRESS(INDEX($AI$2:$AI$1001,MATCH(ROWS($AG$2:AG771),$AG$2:$AG$1001,0),0), INDEX($AN$1004:$BO$1004,1,MATCH(COLUMNS($AN$1006:BN1006),$AN$1006:$BO$1006,0)))),"Fix")))</f>
        <v>0</v>
      </c>
      <c r="AC771" s="4">
        <f>IF(OR(INDEX($AH$2:$AH$1001,MATCH(ROWS($AG$2:AG771),$AG$2:$AG$1001,0),1)&gt;=100000,INDEX($AN$1005:$BO$1005,1,MATCH(COLUMNS($AN$1006:BO1006),$AN$1006:$BO$1006,0))&gt;=100000), " ",IF(INDEX($AN$2:$BO$1001,MATCH(ROWS($AG$2:AG771),$AG$2:$AG$1001,0),MATCH(COLUMNS($AN$1006:BO1006),$AN$1006:$BO$1006,0)), HYPERLINK("#",""), HYPERLINK(CONCATENATE("#Metadata!", ADDRESS(INDEX($AI$2:$AI$1001,MATCH(ROWS($AG$2:AG771),$AG$2:$AG$1001,0),0), INDEX($AN$1004:$BO$1004,1,MATCH(COLUMNS($AN$1006:BO1006),$AN$1006:$BO$1006,0)))),"Fix")))</f>
        <v>0</v>
      </c>
      <c r="AG771">
        <v>0</v>
      </c>
      <c r="AH771">
        <v>0</v>
      </c>
      <c r="AI771">
        <v>0</v>
      </c>
      <c r="AJ771">
        <f>IF(AK771,TRUE,AND(AN771:BO771))</f>
        <v>0</v>
      </c>
      <c r="AK771">
        <f>COUNTBLANK(Metadata!B771:AC771)=COLUMNS(Metadata!B771:AC771)</f>
        <v>0</v>
      </c>
      <c r="AL771">
        <v>0</v>
      </c>
      <c r="AN771">
        <f>AND(IF(Metadata!B771="",FALSE,TRUE),COUNTIF(Metadata!B:B, Metadata!B771) = 1,NOT(ISERROR(SUMPRODUCT(SEARCH(MID(Metadata!B771,ROW(INDIRECT("1:"&amp;LEN(Metadata!B771))), 1),"0123456789abcdefghijklmnopqrstuvwxyzABCDEFGHIJKLMNOPQRSTUVWXYZ.")))))</f>
        <v>0</v>
      </c>
      <c r="AO771">
        <f>IF(Metadata!C771="",FALSE,TRUE)</f>
        <v>0</v>
      </c>
      <c r="AP771">
        <f>IF(Metadata!D771="",FALSE,TRUE)</f>
        <v>0</v>
      </c>
      <c r="AQ771">
        <f>OR(AND(IF(Metadata!E771="",FALSE,TRUE),OR(exact(Metadata!E771,"not collected"),exact(Metadata!E771,"not provided"),exact(Metadata!E771,"restricted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R771">
        <f>IF(Metadata!F771="",FALSE,TRUE)</f>
        <v>0</v>
      </c>
      <c r="AS771">
        <f>OR(AND(IF(Metadata!G771="",FALSE,TRUE),OR(exact(Metadata!G771,"not collected"),exact(Metadata!G771,"not provided"))),AND(IF(Metadata!G771="",FALSE,TRUE),OR(exact(Metadata!G771,"TRUE"),exact(Metadata!G771,"FALSE"))))</f>
        <v>0</v>
      </c>
      <c r="AT771">
        <f>OR(AND(IF(Metadata!H771="",FALSE,TRUE),OR(exact(Metadata!H771,"not collected"),exact(Metadata!H771,"not provided"),exact(Metadata!H771,"restricted access"))),AND(IF(Metadata!H771="",FALSE,ISNUMBER(VALUE(Metadata!H771))),Metadata!H771&gt;=-413.0))</f>
        <v>0</v>
      </c>
      <c r="AU771">
        <f>AND(IF(Metadata!I771="",FALSE,TRUE),exact(Metadata!I771,"meters"))</f>
        <v>0</v>
      </c>
      <c r="AV771">
        <f>AND(IF(Metadata!J771="",FALSE,TRUE),OR(exact(Metadata!J771,"Host-associated"),exact(Metadata!J771,"Free-living")))</f>
        <v>0</v>
      </c>
      <c r="AW771">
        <f>AND(IF(Metadata!K771="",FALSE,TRUE),OR(exact(Metadata!K771,"Animal"),exact(Metadata!K771,"Fungus"),exact(Metadata!K771,"Plant"),exact(Metadata!K771,"Saline"),exact(Metadata!K771,"Non-saline")))</f>
        <v>0</v>
      </c>
      <c r="AX771">
        <f>AND(IF(Metadata!L771="",FALSE,TRUE),OR(exact(Metadata!L771,"Plant secretion"),exact(Metadata!L771,"Plant rhizosphere"),exact(Metadata!L771,"Plant surface"),exact(Metadata!L771,"Plant corpus"),exact(Metadata!L771,"Fungus surface"),exact(Metadata!L771,"Fungus corpus"),exact(Metadata!L771,"Animal surface"),exact(Metadata!L771,"Animal proximal gut"),exact(Metadata!L771,"Animal corpus"),exact(Metadata!L771,"Animal distal gut"),exact(Metadata!L771,"Animal secretion"),exact(Metadata!L771,"Sub-surface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Y771">
        <f>IF(Metadata!M771="",FALSE,TRUE)</f>
        <v>0</v>
      </c>
      <c r="AZ771">
        <f>IF(Metadata!N771="",FALSE,TRUE)</f>
        <v>0</v>
      </c>
      <c r="BA771">
        <f>IF(Metadata!O771="",FALSE,TRUE)</f>
        <v>0</v>
      </c>
      <c r="BB771">
        <f>OR(AND(IF(Metadata!P771="",FALSE,TRUE),OR(exact(Metadata!P771,"not collected"),exact(Metadata!P771,"not provided"),exact(Metadata!P771,"restricted access"))),AND(IF(Metadata!P771="",FALSE,TRUE),OR(exact(Metadata!P771,"air"),exact(Metadata!P771,"built environment"),exact(Metadata!P771,"host-associated"),exact(Metadata!P771,"human-associated"),exact(Metadata!P771,"human-skin"),exact(Metadata!P771,"human-oral"),exact(Metadata!P771,"human-gut"),exact(Metadata!P771,"human-vaginal"),exact(Metadata!P771,"microbial mat/biofilm"),exact(Metadata!P771,"misc environment"),exact(Metadata!P771,"plant-associated"),exact(Metadata!P771,"sediment"),exact(Metadata!P771,"soil"),exact(Metadata!P771,"wastewater/sludge"),exact(Metadata!P771,"water"))))</f>
        <v>0</v>
      </c>
      <c r="BC771">
        <f>IF(Metadata!Q771="",FALSE,TRUE)</f>
        <v>0</v>
      </c>
      <c r="BD771">
        <f>IF(Metadata!R771="",FALSE,TRUE)</f>
        <v>0</v>
      </c>
      <c r="BE771">
        <f>OR(AND(IF(Metadata!S771="",FALSE,TRUE),OR(exact(Metadata!S771,"not collected"),exact(Metadata!S771,"not provided"),exact(Metadata!S771,"restricted access"))),AND(IF(Metadata!S771="",FALSE,ISNUMBER(VALUE(Metadata!S771))),Metadata!S771&gt;=-90.00,Metadata!S771&lt;=90.00))</f>
        <v>0</v>
      </c>
      <c r="BF771">
        <f>AND(IF(Metadata!T771="",FALSE,TRUE),exact(Metadata!T771,"Decimal degrees"))</f>
        <v>0</v>
      </c>
      <c r="BG771">
        <f>OR(AND(IF(Metadata!U771="",FALSE,TRUE),OR(exact(Metadata!U771,"not collected"),exact(Metadata!U771,"not provided"),exact(Metadata!U771,"restricted access"))),AND(IF(Metadata!U771="",FALSE,ISNUMBER(VALUE(Metadata!U771))),Metadata!U771&gt;=-180.00,Metadata!U771&lt;=180.00))</f>
        <v>0</v>
      </c>
      <c r="BH771">
        <f>AND(IF(Metadata!V771="",FALSE,TRUE),exact(Metadata!V771,"Decimal degrees"))</f>
        <v>0</v>
      </c>
      <c r="BI771">
        <f>IF(Metadata!W771="",FALSE,TRUE)</f>
        <v>0</v>
      </c>
      <c r="BJ771">
        <f>OR(AND(IF(Metadata!X771="",FALSE,TRUE),OR(exact(Metadata!X771,"not collected"),exact(Metadata!X771,"not provided"),exact(Metadata!X771,"restricted access"))),AND(IF(Metadata!X771="",FALSE,TRUE),OR(exact(Metadata!X771,"TRUE"),exact(Metadata!X771,"FALSE"))))</f>
        <v>0</v>
      </c>
      <c r="BK771">
        <f>AND(IF(Metadata!Y771="",FALSE,TRUE),exact(Metadata!Y771,"other"))</f>
        <v>0</v>
      </c>
      <c r="BL771">
        <f>IF(Metadata!Z771="",FALSE,TRUE)</f>
        <v>0</v>
      </c>
      <c r="BM771">
        <f>OR(AND(IF(Metadata!AA771="",FALSE,TRUE),OR(exact(Metadata!AA771,"not collected"),exact(Metadata!AA771,"not provided"))),AND(IF(Metadata!AA771="",FALSE,IF(ISERROR(INT(Metadata!AA771)),FALSE,INT(Metadata!AA771)=Metadata!AA771)),Metadata!AA771&gt;0))</f>
        <v>0</v>
      </c>
      <c r="BN771">
        <f>AND(IF(Metadata!AB771="",FALSE,TRUE),exact(Metadata!AB771,"Not applicable"))</f>
        <v>0</v>
      </c>
      <c r="BO771">
        <f>IF(Metadata!AC771="",FALSE,TRUE)</f>
        <v>0</v>
      </c>
    </row>
    <row r="772" spans="1:67">
      <c r="A772" s="5">
        <f>IF(B772=" "," ",HYPERLINK(CONCATENATE("#metadata!",ADDRESS(INDEX($AI$2:$AI$1001,MATCH(ROWS($AG$2:AG772),$AG$2:$AG$1001,0),0),1)),INDEX($AL$2:$AL$1001,MATCH(ROWS($AG$2:AG772),$AG$2:$AG$1001,0),0)))</f>
        <v>0</v>
      </c>
      <c r="B772" s="4">
        <f>IF(OR(INDEX($AH$2:$AH$1001,MATCH(ROWS($AG$2:AG772),$AG$2:$AG$1001,0),1)&gt;=100000,INDEX($AN$1005:$BO$1005,1,MATCH(COLUMNS($AN$1006:AN1006),$AN$1006:$BO$1006,0))&gt;=100000), " ",IF(INDEX($AN$2:$BO$1001,MATCH(ROWS($AG$2:AG772),$AG$2:$AG$1001,0),MATCH(COLUMNS($AN$1006:AN1006),$AN$1006:$BO$1006,0)), HYPERLINK("#",""), HYPERLINK(CONCATENATE("#Metadata!", ADDRESS(INDEX($AI$2:$AI$1001,MATCH(ROWS($AG$2:AG772),$AG$2:$AG$1001,0),0), INDEX($AN$1004:$BO$1004,1,MATCH(COLUMNS($AN$1006:AN1006),$AN$1006:$BO$1006,0)))),"Fix")))</f>
        <v>0</v>
      </c>
      <c r="C772" s="4">
        <f>IF(OR(INDEX($AH$2:$AH$1001,MATCH(ROWS($AG$2:AG772),$AG$2:$AG$1001,0),1)&gt;=100000,INDEX($AN$1005:$BO$1005,1,MATCH(COLUMNS($AN$1006:AO1006),$AN$1006:$BO$1006,0))&gt;=100000), " ",IF(INDEX($AN$2:$BO$1001,MATCH(ROWS($AG$2:AG772),$AG$2:$AG$1001,0),MATCH(COLUMNS($AN$1006:AO1006),$AN$1006:$BO$1006,0)), HYPERLINK("#",""), HYPERLINK(CONCATENATE("#Metadata!", ADDRESS(INDEX($AI$2:$AI$1001,MATCH(ROWS($AG$2:AG772),$AG$2:$AG$1001,0),0), INDEX($AN$1004:$BO$1004,1,MATCH(COLUMNS($AN$1006:AO1006),$AN$1006:$BO$1006,0)))),"Fix")))</f>
        <v>0</v>
      </c>
      <c r="D772" s="4">
        <f>IF(OR(INDEX($AH$2:$AH$1001,MATCH(ROWS($AG$2:AG772),$AG$2:$AG$1001,0),1)&gt;=100000,INDEX($AN$1005:$BO$1005,1,MATCH(COLUMNS($AN$1006:AP1006),$AN$1006:$BO$1006,0))&gt;=100000), " ",IF(INDEX($AN$2:$BO$1001,MATCH(ROWS($AG$2:AG772),$AG$2:$AG$1001,0),MATCH(COLUMNS($AN$1006:AP1006),$AN$1006:$BO$1006,0)), HYPERLINK("#",""), HYPERLINK(CONCATENATE("#Metadata!", ADDRESS(INDEX($AI$2:$AI$1001,MATCH(ROWS($AG$2:AG772),$AG$2:$AG$1001,0),0), INDEX($AN$1004:$BO$1004,1,MATCH(COLUMNS($AN$1006:AP1006),$AN$1006:$BO$1006,0)))),"Fix")))</f>
        <v>0</v>
      </c>
      <c r="E772" s="4">
        <f>IF(OR(INDEX($AH$2:$AH$1001,MATCH(ROWS($AG$2:AG772),$AG$2:$AG$1001,0),1)&gt;=100000,INDEX($AN$1005:$BO$1005,1,MATCH(COLUMNS($AN$1006:AQ1006),$AN$1006:$BO$1006,0))&gt;=100000), " ",IF(INDEX($AN$2:$BO$1001,MATCH(ROWS($AG$2:AG772),$AG$2:$AG$1001,0),MATCH(COLUMNS($AN$1006:AQ1006),$AN$1006:$BO$1006,0)), HYPERLINK("#",""), HYPERLINK(CONCATENATE("#Metadata!", ADDRESS(INDEX($AI$2:$AI$1001,MATCH(ROWS($AG$2:AG772),$AG$2:$AG$1001,0),0), INDEX($AN$1004:$BO$1004,1,MATCH(COLUMNS($AN$1006:AQ1006),$AN$1006:$BO$1006,0)))),"Fix")))</f>
        <v>0</v>
      </c>
      <c r="F772" s="4">
        <f>IF(OR(INDEX($AH$2:$AH$1001,MATCH(ROWS($AG$2:AG772),$AG$2:$AG$1001,0),1)&gt;=100000,INDEX($AN$1005:$BO$1005,1,MATCH(COLUMNS($AN$1006:AR1006),$AN$1006:$BO$1006,0))&gt;=100000), " ",IF(INDEX($AN$2:$BO$1001,MATCH(ROWS($AG$2:AG772),$AG$2:$AG$1001,0),MATCH(COLUMNS($AN$1006:AR1006),$AN$1006:$BO$1006,0)), HYPERLINK("#",""), HYPERLINK(CONCATENATE("#Metadata!", ADDRESS(INDEX($AI$2:$AI$1001,MATCH(ROWS($AG$2:AG772),$AG$2:$AG$1001,0),0), INDEX($AN$1004:$BO$1004,1,MATCH(COLUMNS($AN$1006:AR1006),$AN$1006:$BO$1006,0)))),"Fix")))</f>
        <v>0</v>
      </c>
      <c r="G772" s="4">
        <f>IF(OR(INDEX($AH$2:$AH$1001,MATCH(ROWS($AG$2:AG772),$AG$2:$AG$1001,0),1)&gt;=100000,INDEX($AN$1005:$BO$1005,1,MATCH(COLUMNS($AN$1006:AS1006),$AN$1006:$BO$1006,0))&gt;=100000), " ",IF(INDEX($AN$2:$BO$1001,MATCH(ROWS($AG$2:AG772),$AG$2:$AG$1001,0),MATCH(COLUMNS($AN$1006:AS1006),$AN$1006:$BO$1006,0)), HYPERLINK("#",""), HYPERLINK(CONCATENATE("#Metadata!", ADDRESS(INDEX($AI$2:$AI$1001,MATCH(ROWS($AG$2:AG772),$AG$2:$AG$1001,0),0), INDEX($AN$1004:$BO$1004,1,MATCH(COLUMNS($AN$1006:AS1006),$AN$1006:$BO$1006,0)))),"Fix")))</f>
        <v>0</v>
      </c>
      <c r="H772" s="4">
        <f>IF(OR(INDEX($AH$2:$AH$1001,MATCH(ROWS($AG$2:AG772),$AG$2:$AG$1001,0),1)&gt;=100000,INDEX($AN$1005:$BO$1005,1,MATCH(COLUMNS($AN$1006:AT1006),$AN$1006:$BO$1006,0))&gt;=100000), " ",IF(INDEX($AN$2:$BO$1001,MATCH(ROWS($AG$2:AG772),$AG$2:$AG$1001,0),MATCH(COLUMNS($AN$1006:AT1006),$AN$1006:$BO$1006,0)), HYPERLINK("#",""), HYPERLINK(CONCATENATE("#Metadata!", ADDRESS(INDEX($AI$2:$AI$1001,MATCH(ROWS($AG$2:AG772),$AG$2:$AG$1001,0),0), INDEX($AN$1004:$BO$1004,1,MATCH(COLUMNS($AN$1006:AT1006),$AN$1006:$BO$1006,0)))),"Fix")))</f>
        <v>0</v>
      </c>
      <c r="I772" s="4">
        <f>IF(OR(INDEX($AH$2:$AH$1001,MATCH(ROWS($AG$2:AG772),$AG$2:$AG$1001,0),1)&gt;=100000,INDEX($AN$1005:$BO$1005,1,MATCH(COLUMNS($AN$1006:AU1006),$AN$1006:$BO$1006,0))&gt;=100000), " ",IF(INDEX($AN$2:$BO$1001,MATCH(ROWS($AG$2:AG772),$AG$2:$AG$1001,0),MATCH(COLUMNS($AN$1006:AU1006),$AN$1006:$BO$1006,0)), HYPERLINK("#",""), HYPERLINK(CONCATENATE("#Metadata!", ADDRESS(INDEX($AI$2:$AI$1001,MATCH(ROWS($AG$2:AG772),$AG$2:$AG$1001,0),0), INDEX($AN$1004:$BO$1004,1,MATCH(COLUMNS($AN$1006:AU1006),$AN$1006:$BO$1006,0)))),"Fix")))</f>
        <v>0</v>
      </c>
      <c r="J772" s="4">
        <f>IF(OR(INDEX($AH$2:$AH$1001,MATCH(ROWS($AG$2:AG772),$AG$2:$AG$1001,0),1)&gt;=100000,INDEX($AN$1005:$BO$1005,1,MATCH(COLUMNS($AN$1006:AV1006),$AN$1006:$BO$1006,0))&gt;=100000), " ",IF(INDEX($AN$2:$BO$1001,MATCH(ROWS($AG$2:AG772),$AG$2:$AG$1001,0),MATCH(COLUMNS($AN$1006:AV1006),$AN$1006:$BO$1006,0)), HYPERLINK("#",""), HYPERLINK(CONCATENATE("#Metadata!", ADDRESS(INDEX($AI$2:$AI$1001,MATCH(ROWS($AG$2:AG772),$AG$2:$AG$1001,0),0), INDEX($AN$1004:$BO$1004,1,MATCH(COLUMNS($AN$1006:AV1006),$AN$1006:$BO$1006,0)))),"Fix")))</f>
        <v>0</v>
      </c>
      <c r="K772" s="4">
        <f>IF(OR(INDEX($AH$2:$AH$1001,MATCH(ROWS($AG$2:AG772),$AG$2:$AG$1001,0),1)&gt;=100000,INDEX($AN$1005:$BO$1005,1,MATCH(COLUMNS($AN$1006:AW1006),$AN$1006:$BO$1006,0))&gt;=100000), " ",IF(INDEX($AN$2:$BO$1001,MATCH(ROWS($AG$2:AG772),$AG$2:$AG$1001,0),MATCH(COLUMNS($AN$1006:AW1006),$AN$1006:$BO$1006,0)), HYPERLINK("#",""), HYPERLINK(CONCATENATE("#Metadata!", ADDRESS(INDEX($AI$2:$AI$1001,MATCH(ROWS($AG$2:AG772),$AG$2:$AG$1001,0),0), INDEX($AN$1004:$BO$1004,1,MATCH(COLUMNS($AN$1006:AW1006),$AN$1006:$BO$1006,0)))),"Fix")))</f>
        <v>0</v>
      </c>
      <c r="L772" s="4">
        <f>IF(OR(INDEX($AH$2:$AH$1001,MATCH(ROWS($AG$2:AG772),$AG$2:$AG$1001,0),1)&gt;=100000,INDEX($AN$1005:$BO$1005,1,MATCH(COLUMNS($AN$1006:AX1006),$AN$1006:$BO$1006,0))&gt;=100000), " ",IF(INDEX($AN$2:$BO$1001,MATCH(ROWS($AG$2:AG772),$AG$2:$AG$1001,0),MATCH(COLUMNS($AN$1006:AX1006),$AN$1006:$BO$1006,0)), HYPERLINK("#",""), HYPERLINK(CONCATENATE("#Metadata!", ADDRESS(INDEX($AI$2:$AI$1001,MATCH(ROWS($AG$2:AG772),$AG$2:$AG$1001,0),0), INDEX($AN$1004:$BO$1004,1,MATCH(COLUMNS($AN$1006:AX1006),$AN$1006:$BO$1006,0)))),"Fix")))</f>
        <v>0</v>
      </c>
      <c r="M772" s="4">
        <f>IF(OR(INDEX($AH$2:$AH$1001,MATCH(ROWS($AG$2:AG772),$AG$2:$AG$1001,0),1)&gt;=100000,INDEX($AN$1005:$BO$1005,1,MATCH(COLUMNS($AN$1006:AY1006),$AN$1006:$BO$1006,0))&gt;=100000), " ",IF(INDEX($AN$2:$BO$1001,MATCH(ROWS($AG$2:AG772),$AG$2:$AG$1001,0),MATCH(COLUMNS($AN$1006:AY1006),$AN$1006:$BO$1006,0)), HYPERLINK("#",""), HYPERLINK(CONCATENATE("#Metadata!", ADDRESS(INDEX($AI$2:$AI$1001,MATCH(ROWS($AG$2:AG772),$AG$2:$AG$1001,0),0), INDEX($AN$1004:$BO$1004,1,MATCH(COLUMNS($AN$1006:AY1006),$AN$1006:$BO$1006,0)))),"Fix")))</f>
        <v>0</v>
      </c>
      <c r="N772" s="4">
        <f>IF(OR(INDEX($AH$2:$AH$1001,MATCH(ROWS($AG$2:AG772),$AG$2:$AG$1001,0),1)&gt;=100000,INDEX($AN$1005:$BO$1005,1,MATCH(COLUMNS($AN$1006:AZ1006),$AN$1006:$BO$1006,0))&gt;=100000), " ",IF(INDEX($AN$2:$BO$1001,MATCH(ROWS($AG$2:AG772),$AG$2:$AG$1001,0),MATCH(COLUMNS($AN$1006:AZ1006),$AN$1006:$BO$1006,0)), HYPERLINK("#",""), HYPERLINK(CONCATENATE("#Metadata!", ADDRESS(INDEX($AI$2:$AI$1001,MATCH(ROWS($AG$2:AG772),$AG$2:$AG$1001,0),0), INDEX($AN$1004:$BO$1004,1,MATCH(COLUMNS($AN$1006:AZ1006),$AN$1006:$BO$1006,0)))),"Fix")))</f>
        <v>0</v>
      </c>
      <c r="O772" s="4">
        <f>IF(OR(INDEX($AH$2:$AH$1001,MATCH(ROWS($AG$2:AG772),$AG$2:$AG$1001,0),1)&gt;=100000,INDEX($AN$1005:$BO$1005,1,MATCH(COLUMNS($AN$1006:BA1006),$AN$1006:$BO$1006,0))&gt;=100000), " ",IF(INDEX($AN$2:$BO$1001,MATCH(ROWS($AG$2:AG772),$AG$2:$AG$1001,0),MATCH(COLUMNS($AN$1006:BA1006),$AN$1006:$BO$1006,0)), HYPERLINK("#",""), HYPERLINK(CONCATENATE("#Metadata!", ADDRESS(INDEX($AI$2:$AI$1001,MATCH(ROWS($AG$2:AG772),$AG$2:$AG$1001,0),0), INDEX($AN$1004:$BO$1004,1,MATCH(COLUMNS($AN$1006:BA1006),$AN$1006:$BO$1006,0)))),"Fix")))</f>
        <v>0</v>
      </c>
      <c r="P772" s="4">
        <f>IF(OR(INDEX($AH$2:$AH$1001,MATCH(ROWS($AG$2:AG772),$AG$2:$AG$1001,0),1)&gt;=100000,INDEX($AN$1005:$BO$1005,1,MATCH(COLUMNS($AN$1006:BB1006),$AN$1006:$BO$1006,0))&gt;=100000), " ",IF(INDEX($AN$2:$BO$1001,MATCH(ROWS($AG$2:AG772),$AG$2:$AG$1001,0),MATCH(COLUMNS($AN$1006:BB1006),$AN$1006:$BO$1006,0)), HYPERLINK("#",""), HYPERLINK(CONCATENATE("#Metadata!", ADDRESS(INDEX($AI$2:$AI$1001,MATCH(ROWS($AG$2:AG772),$AG$2:$AG$1001,0),0), INDEX($AN$1004:$BO$1004,1,MATCH(COLUMNS($AN$1006:BB1006),$AN$1006:$BO$1006,0)))),"Fix")))</f>
        <v>0</v>
      </c>
      <c r="Q772" s="4">
        <f>IF(OR(INDEX($AH$2:$AH$1001,MATCH(ROWS($AG$2:AG772),$AG$2:$AG$1001,0),1)&gt;=100000,INDEX($AN$1005:$BO$1005,1,MATCH(COLUMNS($AN$1006:BC1006),$AN$1006:$BO$1006,0))&gt;=100000), " ",IF(INDEX($AN$2:$BO$1001,MATCH(ROWS($AG$2:AG772),$AG$2:$AG$1001,0),MATCH(COLUMNS($AN$1006:BC1006),$AN$1006:$BO$1006,0)), HYPERLINK("#",""), HYPERLINK(CONCATENATE("#Metadata!", ADDRESS(INDEX($AI$2:$AI$1001,MATCH(ROWS($AG$2:AG772),$AG$2:$AG$1001,0),0), INDEX($AN$1004:$BO$1004,1,MATCH(COLUMNS($AN$1006:BC1006),$AN$1006:$BO$1006,0)))),"Fix")))</f>
        <v>0</v>
      </c>
      <c r="R772" s="4">
        <f>IF(OR(INDEX($AH$2:$AH$1001,MATCH(ROWS($AG$2:AG772),$AG$2:$AG$1001,0),1)&gt;=100000,INDEX($AN$1005:$BO$1005,1,MATCH(COLUMNS($AN$1006:BD1006),$AN$1006:$BO$1006,0))&gt;=100000), " ",IF(INDEX($AN$2:$BO$1001,MATCH(ROWS($AG$2:AG772),$AG$2:$AG$1001,0),MATCH(COLUMNS($AN$1006:BD1006),$AN$1006:$BO$1006,0)), HYPERLINK("#",""), HYPERLINK(CONCATENATE("#Metadata!", ADDRESS(INDEX($AI$2:$AI$1001,MATCH(ROWS($AG$2:AG772),$AG$2:$AG$1001,0),0), INDEX($AN$1004:$BO$1004,1,MATCH(COLUMNS($AN$1006:BD1006),$AN$1006:$BO$1006,0)))),"Fix")))</f>
        <v>0</v>
      </c>
      <c r="S772" s="4">
        <f>IF(OR(INDEX($AH$2:$AH$1001,MATCH(ROWS($AG$2:AG772),$AG$2:$AG$1001,0),1)&gt;=100000,INDEX($AN$1005:$BO$1005,1,MATCH(COLUMNS($AN$1006:BE1006),$AN$1006:$BO$1006,0))&gt;=100000), " ",IF(INDEX($AN$2:$BO$1001,MATCH(ROWS($AG$2:AG772),$AG$2:$AG$1001,0),MATCH(COLUMNS($AN$1006:BE1006),$AN$1006:$BO$1006,0)), HYPERLINK("#",""), HYPERLINK(CONCATENATE("#Metadata!", ADDRESS(INDEX($AI$2:$AI$1001,MATCH(ROWS($AG$2:AG772),$AG$2:$AG$1001,0),0), INDEX($AN$1004:$BO$1004,1,MATCH(COLUMNS($AN$1006:BE1006),$AN$1006:$BO$1006,0)))),"Fix")))</f>
        <v>0</v>
      </c>
      <c r="T772" s="4">
        <f>IF(OR(INDEX($AH$2:$AH$1001,MATCH(ROWS($AG$2:AG772),$AG$2:$AG$1001,0),1)&gt;=100000,INDEX($AN$1005:$BO$1005,1,MATCH(COLUMNS($AN$1006:BF1006),$AN$1006:$BO$1006,0))&gt;=100000), " ",IF(INDEX($AN$2:$BO$1001,MATCH(ROWS($AG$2:AG772),$AG$2:$AG$1001,0),MATCH(COLUMNS($AN$1006:BF1006),$AN$1006:$BO$1006,0)), HYPERLINK("#",""), HYPERLINK(CONCATENATE("#Metadata!", ADDRESS(INDEX($AI$2:$AI$1001,MATCH(ROWS($AG$2:AG772),$AG$2:$AG$1001,0),0), INDEX($AN$1004:$BO$1004,1,MATCH(COLUMNS($AN$1006:BF1006),$AN$1006:$BO$1006,0)))),"Fix")))</f>
        <v>0</v>
      </c>
      <c r="U772" s="4">
        <f>IF(OR(INDEX($AH$2:$AH$1001,MATCH(ROWS($AG$2:AG772),$AG$2:$AG$1001,0),1)&gt;=100000,INDEX($AN$1005:$BO$1005,1,MATCH(COLUMNS($AN$1006:BG1006),$AN$1006:$BO$1006,0))&gt;=100000), " ",IF(INDEX($AN$2:$BO$1001,MATCH(ROWS($AG$2:AG772),$AG$2:$AG$1001,0),MATCH(COLUMNS($AN$1006:BG1006),$AN$1006:$BO$1006,0)), HYPERLINK("#",""), HYPERLINK(CONCATENATE("#Metadata!", ADDRESS(INDEX($AI$2:$AI$1001,MATCH(ROWS($AG$2:AG772),$AG$2:$AG$1001,0),0), INDEX($AN$1004:$BO$1004,1,MATCH(COLUMNS($AN$1006:BG1006),$AN$1006:$BO$1006,0)))),"Fix")))</f>
        <v>0</v>
      </c>
      <c r="V772" s="4">
        <f>IF(OR(INDEX($AH$2:$AH$1001,MATCH(ROWS($AG$2:AG772),$AG$2:$AG$1001,0),1)&gt;=100000,INDEX($AN$1005:$BO$1005,1,MATCH(COLUMNS($AN$1006:BH1006),$AN$1006:$BO$1006,0))&gt;=100000), " ",IF(INDEX($AN$2:$BO$1001,MATCH(ROWS($AG$2:AG772),$AG$2:$AG$1001,0),MATCH(COLUMNS($AN$1006:BH1006),$AN$1006:$BO$1006,0)), HYPERLINK("#",""), HYPERLINK(CONCATENATE("#Metadata!", ADDRESS(INDEX($AI$2:$AI$1001,MATCH(ROWS($AG$2:AG772),$AG$2:$AG$1001,0),0), INDEX($AN$1004:$BO$1004,1,MATCH(COLUMNS($AN$1006:BH1006),$AN$1006:$BO$1006,0)))),"Fix")))</f>
        <v>0</v>
      </c>
      <c r="W772" s="4">
        <f>IF(OR(INDEX($AH$2:$AH$1001,MATCH(ROWS($AG$2:AG772),$AG$2:$AG$1001,0),1)&gt;=100000,INDEX($AN$1005:$BO$1005,1,MATCH(COLUMNS($AN$1006:BI1006),$AN$1006:$BO$1006,0))&gt;=100000), " ",IF(INDEX($AN$2:$BO$1001,MATCH(ROWS($AG$2:AG772),$AG$2:$AG$1001,0),MATCH(COLUMNS($AN$1006:BI1006),$AN$1006:$BO$1006,0)), HYPERLINK("#",""), HYPERLINK(CONCATENATE("#Metadata!", ADDRESS(INDEX($AI$2:$AI$1001,MATCH(ROWS($AG$2:AG772),$AG$2:$AG$1001,0),0), INDEX($AN$1004:$BO$1004,1,MATCH(COLUMNS($AN$1006:BI1006),$AN$1006:$BO$1006,0)))),"Fix")))</f>
        <v>0</v>
      </c>
      <c r="X772" s="4">
        <f>IF(OR(INDEX($AH$2:$AH$1001,MATCH(ROWS($AG$2:AG772),$AG$2:$AG$1001,0),1)&gt;=100000,INDEX($AN$1005:$BO$1005,1,MATCH(COLUMNS($AN$1006:BJ1006),$AN$1006:$BO$1006,0))&gt;=100000), " ",IF(INDEX($AN$2:$BO$1001,MATCH(ROWS($AG$2:AG772),$AG$2:$AG$1001,0),MATCH(COLUMNS($AN$1006:BJ1006),$AN$1006:$BO$1006,0)), HYPERLINK("#",""), HYPERLINK(CONCATENATE("#Metadata!", ADDRESS(INDEX($AI$2:$AI$1001,MATCH(ROWS($AG$2:AG772),$AG$2:$AG$1001,0),0), INDEX($AN$1004:$BO$1004,1,MATCH(COLUMNS($AN$1006:BJ1006),$AN$1006:$BO$1006,0)))),"Fix")))</f>
        <v>0</v>
      </c>
      <c r="Y772" s="4">
        <f>IF(OR(INDEX($AH$2:$AH$1001,MATCH(ROWS($AG$2:AG772),$AG$2:$AG$1001,0),1)&gt;=100000,INDEX($AN$1005:$BO$1005,1,MATCH(COLUMNS($AN$1006:BK1006),$AN$1006:$BO$1006,0))&gt;=100000), " ",IF(INDEX($AN$2:$BO$1001,MATCH(ROWS($AG$2:AG772),$AG$2:$AG$1001,0),MATCH(COLUMNS($AN$1006:BK1006),$AN$1006:$BO$1006,0)), HYPERLINK("#",""), HYPERLINK(CONCATENATE("#Metadata!", ADDRESS(INDEX($AI$2:$AI$1001,MATCH(ROWS($AG$2:AG772),$AG$2:$AG$1001,0),0), INDEX($AN$1004:$BO$1004,1,MATCH(COLUMNS($AN$1006:BK1006),$AN$1006:$BO$1006,0)))),"Fix")))</f>
        <v>0</v>
      </c>
      <c r="Z772" s="4">
        <f>IF(OR(INDEX($AH$2:$AH$1001,MATCH(ROWS($AG$2:AG772),$AG$2:$AG$1001,0),1)&gt;=100000,INDEX($AN$1005:$BO$1005,1,MATCH(COLUMNS($AN$1006:BL1006),$AN$1006:$BO$1006,0))&gt;=100000), " ",IF(INDEX($AN$2:$BO$1001,MATCH(ROWS($AG$2:AG772),$AG$2:$AG$1001,0),MATCH(COLUMNS($AN$1006:BL1006),$AN$1006:$BO$1006,0)), HYPERLINK("#",""), HYPERLINK(CONCATENATE("#Metadata!", ADDRESS(INDEX($AI$2:$AI$1001,MATCH(ROWS($AG$2:AG772),$AG$2:$AG$1001,0),0), INDEX($AN$1004:$BO$1004,1,MATCH(COLUMNS($AN$1006:BL1006),$AN$1006:$BO$1006,0)))),"Fix")))</f>
        <v>0</v>
      </c>
      <c r="AA772" s="4">
        <f>IF(OR(INDEX($AH$2:$AH$1001,MATCH(ROWS($AG$2:AG772),$AG$2:$AG$1001,0),1)&gt;=100000,INDEX($AN$1005:$BO$1005,1,MATCH(COLUMNS($AN$1006:BM1006),$AN$1006:$BO$1006,0))&gt;=100000), " ",IF(INDEX($AN$2:$BO$1001,MATCH(ROWS($AG$2:AG772),$AG$2:$AG$1001,0),MATCH(COLUMNS($AN$1006:BM1006),$AN$1006:$BO$1006,0)), HYPERLINK("#",""), HYPERLINK(CONCATENATE("#Metadata!", ADDRESS(INDEX($AI$2:$AI$1001,MATCH(ROWS($AG$2:AG772),$AG$2:$AG$1001,0),0), INDEX($AN$1004:$BO$1004,1,MATCH(COLUMNS($AN$1006:BM1006),$AN$1006:$BO$1006,0)))),"Fix")))</f>
        <v>0</v>
      </c>
      <c r="AB772" s="4">
        <f>IF(OR(INDEX($AH$2:$AH$1001,MATCH(ROWS($AG$2:AG772),$AG$2:$AG$1001,0),1)&gt;=100000,INDEX($AN$1005:$BO$1005,1,MATCH(COLUMNS($AN$1006:BN1006),$AN$1006:$BO$1006,0))&gt;=100000), " ",IF(INDEX($AN$2:$BO$1001,MATCH(ROWS($AG$2:AG772),$AG$2:$AG$1001,0),MATCH(COLUMNS($AN$1006:BN1006),$AN$1006:$BO$1006,0)), HYPERLINK("#",""), HYPERLINK(CONCATENATE("#Metadata!", ADDRESS(INDEX($AI$2:$AI$1001,MATCH(ROWS($AG$2:AG772),$AG$2:$AG$1001,0),0), INDEX($AN$1004:$BO$1004,1,MATCH(COLUMNS($AN$1006:BN1006),$AN$1006:$BO$1006,0)))),"Fix")))</f>
        <v>0</v>
      </c>
      <c r="AC772" s="4">
        <f>IF(OR(INDEX($AH$2:$AH$1001,MATCH(ROWS($AG$2:AG772),$AG$2:$AG$1001,0),1)&gt;=100000,INDEX($AN$1005:$BO$1005,1,MATCH(COLUMNS($AN$1006:BO1006),$AN$1006:$BO$1006,0))&gt;=100000), " ",IF(INDEX($AN$2:$BO$1001,MATCH(ROWS($AG$2:AG772),$AG$2:$AG$1001,0),MATCH(COLUMNS($AN$1006:BO1006),$AN$1006:$BO$1006,0)), HYPERLINK("#",""), HYPERLINK(CONCATENATE("#Metadata!", ADDRESS(INDEX($AI$2:$AI$1001,MATCH(ROWS($AG$2:AG772),$AG$2:$AG$1001,0),0), INDEX($AN$1004:$BO$1004,1,MATCH(COLUMNS($AN$1006:BO1006),$AN$1006:$BO$1006,0)))),"Fix")))</f>
        <v>0</v>
      </c>
      <c r="AG772">
        <v>0</v>
      </c>
      <c r="AH772">
        <v>0</v>
      </c>
      <c r="AI772">
        <v>0</v>
      </c>
      <c r="AJ772">
        <f>IF(AK772,TRUE,AND(AN772:BO772))</f>
        <v>0</v>
      </c>
      <c r="AK772">
        <f>COUNTBLANK(Metadata!B772:AC772)=COLUMNS(Metadata!B772:AC772)</f>
        <v>0</v>
      </c>
      <c r="AL772">
        <v>0</v>
      </c>
      <c r="AN772">
        <f>AND(IF(Metadata!B772="",FALSE,TRUE),COUNTIF(Metadata!B:B, Metadata!B772) = 1,NOT(ISERROR(SUMPRODUCT(SEARCH(MID(Metadata!B772,ROW(INDIRECT("1:"&amp;LEN(Metadata!B772))), 1),"0123456789abcdefghijklmnopqrstuvwxyzABCDEFGHIJKLMNOPQRSTUVWXYZ.")))))</f>
        <v>0</v>
      </c>
      <c r="AO772">
        <f>IF(Metadata!C772="",FALSE,TRUE)</f>
        <v>0</v>
      </c>
      <c r="AP772">
        <f>IF(Metadata!D772="",FALSE,TRUE)</f>
        <v>0</v>
      </c>
      <c r="AQ772">
        <f>OR(AND(IF(Metadata!E772="",FALSE,TRUE),OR(exact(Metadata!E772,"not collected"),exact(Metadata!E772,"not provided"),exact(Metadata!E772,"restricted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R772">
        <f>IF(Metadata!F772="",FALSE,TRUE)</f>
        <v>0</v>
      </c>
      <c r="AS772">
        <f>OR(AND(IF(Metadata!G772="",FALSE,TRUE),OR(exact(Metadata!G772,"not collected"),exact(Metadata!G772,"not provided"))),AND(IF(Metadata!G772="",FALSE,TRUE),OR(exact(Metadata!G772,"TRUE"),exact(Metadata!G772,"FALSE"))))</f>
        <v>0</v>
      </c>
      <c r="AT772">
        <f>OR(AND(IF(Metadata!H772="",FALSE,TRUE),OR(exact(Metadata!H772,"not collected"),exact(Metadata!H772,"not provided"),exact(Metadata!H772,"restricted access"))),AND(IF(Metadata!H772="",FALSE,ISNUMBER(VALUE(Metadata!H772))),Metadata!H772&gt;=-413.0))</f>
        <v>0</v>
      </c>
      <c r="AU772">
        <f>AND(IF(Metadata!I772="",FALSE,TRUE),exact(Metadata!I772,"meters"))</f>
        <v>0</v>
      </c>
      <c r="AV772">
        <f>AND(IF(Metadata!J772="",FALSE,TRUE),OR(exact(Metadata!J772,"Host-associated"),exact(Metadata!J772,"Free-living")))</f>
        <v>0</v>
      </c>
      <c r="AW772">
        <f>AND(IF(Metadata!K772="",FALSE,TRUE),OR(exact(Metadata!K772,"Animal"),exact(Metadata!K772,"Fungus"),exact(Metadata!K772,"Plant"),exact(Metadata!K772,"Saline"),exact(Metadata!K772,"Non-saline")))</f>
        <v>0</v>
      </c>
      <c r="AX772">
        <f>AND(IF(Metadata!L772="",FALSE,TRUE),OR(exact(Metadata!L772,"Plant secretion"),exact(Metadata!L772,"Plant rhizosphere"),exact(Metadata!L772,"Plant surface"),exact(Metadata!L772,"Plant corpus"),exact(Metadata!L772,"Fungus surface"),exact(Metadata!L772,"Fungus corpus"),exact(Metadata!L772,"Animal surface"),exact(Metadata!L772,"Animal proximal gut"),exact(Metadata!L772,"Animal corpus"),exact(Metadata!L772,"Animal distal gut"),exact(Metadata!L772,"Animal secretion"),exact(Metadata!L772,"Sub-surface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Y772">
        <f>IF(Metadata!M772="",FALSE,TRUE)</f>
        <v>0</v>
      </c>
      <c r="AZ772">
        <f>IF(Metadata!N772="",FALSE,TRUE)</f>
        <v>0</v>
      </c>
      <c r="BA772">
        <f>IF(Metadata!O772="",FALSE,TRUE)</f>
        <v>0</v>
      </c>
      <c r="BB772">
        <f>OR(AND(IF(Metadata!P772="",FALSE,TRUE),OR(exact(Metadata!P772,"not collected"),exact(Metadata!P772,"not provided"),exact(Metadata!P772,"restricted access"))),AND(IF(Metadata!P772="",FALSE,TRUE),OR(exact(Metadata!P772,"air"),exact(Metadata!P772,"built environment"),exact(Metadata!P772,"host-associated"),exact(Metadata!P772,"human-associated"),exact(Metadata!P772,"human-skin"),exact(Metadata!P772,"human-oral"),exact(Metadata!P772,"human-gut"),exact(Metadata!P772,"human-vaginal"),exact(Metadata!P772,"microbial mat/biofilm"),exact(Metadata!P772,"misc environment"),exact(Metadata!P772,"plant-associated"),exact(Metadata!P772,"sediment"),exact(Metadata!P772,"soil"),exact(Metadata!P772,"wastewater/sludge"),exact(Metadata!P772,"water"))))</f>
        <v>0</v>
      </c>
      <c r="BC772">
        <f>IF(Metadata!Q772="",FALSE,TRUE)</f>
        <v>0</v>
      </c>
      <c r="BD772">
        <f>IF(Metadata!R772="",FALSE,TRUE)</f>
        <v>0</v>
      </c>
      <c r="BE772">
        <f>OR(AND(IF(Metadata!S772="",FALSE,TRUE),OR(exact(Metadata!S772,"not collected"),exact(Metadata!S772,"not provided"),exact(Metadata!S772,"restricted access"))),AND(IF(Metadata!S772="",FALSE,ISNUMBER(VALUE(Metadata!S772))),Metadata!S772&gt;=-90.00,Metadata!S772&lt;=90.00))</f>
        <v>0</v>
      </c>
      <c r="BF772">
        <f>AND(IF(Metadata!T772="",FALSE,TRUE),exact(Metadata!T772,"Decimal degrees"))</f>
        <v>0</v>
      </c>
      <c r="BG772">
        <f>OR(AND(IF(Metadata!U772="",FALSE,TRUE),OR(exact(Metadata!U772,"not collected"),exact(Metadata!U772,"not provided"),exact(Metadata!U772,"restricted access"))),AND(IF(Metadata!U772="",FALSE,ISNUMBER(VALUE(Metadata!U772))),Metadata!U772&gt;=-180.00,Metadata!U772&lt;=180.00))</f>
        <v>0</v>
      </c>
      <c r="BH772">
        <f>AND(IF(Metadata!V772="",FALSE,TRUE),exact(Metadata!V772,"Decimal degrees"))</f>
        <v>0</v>
      </c>
      <c r="BI772">
        <f>IF(Metadata!W772="",FALSE,TRUE)</f>
        <v>0</v>
      </c>
      <c r="BJ772">
        <f>OR(AND(IF(Metadata!X772="",FALSE,TRUE),OR(exact(Metadata!X772,"not collected"),exact(Metadata!X772,"not provided"),exact(Metadata!X772,"restricted access"))),AND(IF(Metadata!X772="",FALSE,TRUE),OR(exact(Metadata!X772,"TRUE"),exact(Metadata!X772,"FALSE"))))</f>
        <v>0</v>
      </c>
      <c r="BK772">
        <f>AND(IF(Metadata!Y772="",FALSE,TRUE),exact(Metadata!Y772,"other"))</f>
        <v>0</v>
      </c>
      <c r="BL772">
        <f>IF(Metadata!Z772="",FALSE,TRUE)</f>
        <v>0</v>
      </c>
      <c r="BM772">
        <f>OR(AND(IF(Metadata!AA772="",FALSE,TRUE),OR(exact(Metadata!AA772,"not collected"),exact(Metadata!AA772,"not provided"))),AND(IF(Metadata!AA772="",FALSE,IF(ISERROR(INT(Metadata!AA772)),FALSE,INT(Metadata!AA772)=Metadata!AA772)),Metadata!AA772&gt;0))</f>
        <v>0</v>
      </c>
      <c r="BN772">
        <f>AND(IF(Metadata!AB772="",FALSE,TRUE),exact(Metadata!AB772,"Not applicable"))</f>
        <v>0</v>
      </c>
      <c r="BO772">
        <f>IF(Metadata!AC772="",FALSE,TRUE)</f>
        <v>0</v>
      </c>
    </row>
    <row r="773" spans="1:67">
      <c r="A773" s="5">
        <f>IF(B773=" "," ",HYPERLINK(CONCATENATE("#metadata!",ADDRESS(INDEX($AI$2:$AI$1001,MATCH(ROWS($AG$2:AG773),$AG$2:$AG$1001,0),0),1)),INDEX($AL$2:$AL$1001,MATCH(ROWS($AG$2:AG773),$AG$2:$AG$1001,0),0)))</f>
        <v>0</v>
      </c>
      <c r="B773" s="4">
        <f>IF(OR(INDEX($AH$2:$AH$1001,MATCH(ROWS($AG$2:AG773),$AG$2:$AG$1001,0),1)&gt;=100000,INDEX($AN$1005:$BO$1005,1,MATCH(COLUMNS($AN$1006:AN1006),$AN$1006:$BO$1006,0))&gt;=100000), " ",IF(INDEX($AN$2:$BO$1001,MATCH(ROWS($AG$2:AG773),$AG$2:$AG$1001,0),MATCH(COLUMNS($AN$1006:AN1006),$AN$1006:$BO$1006,0)), HYPERLINK("#",""), HYPERLINK(CONCATENATE("#Metadata!", ADDRESS(INDEX($AI$2:$AI$1001,MATCH(ROWS($AG$2:AG773),$AG$2:$AG$1001,0),0), INDEX($AN$1004:$BO$1004,1,MATCH(COLUMNS($AN$1006:AN1006),$AN$1006:$BO$1006,0)))),"Fix")))</f>
        <v>0</v>
      </c>
      <c r="C773" s="4">
        <f>IF(OR(INDEX($AH$2:$AH$1001,MATCH(ROWS($AG$2:AG773),$AG$2:$AG$1001,0),1)&gt;=100000,INDEX($AN$1005:$BO$1005,1,MATCH(COLUMNS($AN$1006:AO1006),$AN$1006:$BO$1006,0))&gt;=100000), " ",IF(INDEX($AN$2:$BO$1001,MATCH(ROWS($AG$2:AG773),$AG$2:$AG$1001,0),MATCH(COLUMNS($AN$1006:AO1006),$AN$1006:$BO$1006,0)), HYPERLINK("#",""), HYPERLINK(CONCATENATE("#Metadata!", ADDRESS(INDEX($AI$2:$AI$1001,MATCH(ROWS($AG$2:AG773),$AG$2:$AG$1001,0),0), INDEX($AN$1004:$BO$1004,1,MATCH(COLUMNS($AN$1006:AO1006),$AN$1006:$BO$1006,0)))),"Fix")))</f>
        <v>0</v>
      </c>
      <c r="D773" s="4">
        <f>IF(OR(INDEX($AH$2:$AH$1001,MATCH(ROWS($AG$2:AG773),$AG$2:$AG$1001,0),1)&gt;=100000,INDEX($AN$1005:$BO$1005,1,MATCH(COLUMNS($AN$1006:AP1006),$AN$1006:$BO$1006,0))&gt;=100000), " ",IF(INDEX($AN$2:$BO$1001,MATCH(ROWS($AG$2:AG773),$AG$2:$AG$1001,0),MATCH(COLUMNS($AN$1006:AP1006),$AN$1006:$BO$1006,0)), HYPERLINK("#",""), HYPERLINK(CONCATENATE("#Metadata!", ADDRESS(INDEX($AI$2:$AI$1001,MATCH(ROWS($AG$2:AG773),$AG$2:$AG$1001,0),0), INDEX($AN$1004:$BO$1004,1,MATCH(COLUMNS($AN$1006:AP1006),$AN$1006:$BO$1006,0)))),"Fix")))</f>
        <v>0</v>
      </c>
      <c r="E773" s="4">
        <f>IF(OR(INDEX($AH$2:$AH$1001,MATCH(ROWS($AG$2:AG773),$AG$2:$AG$1001,0),1)&gt;=100000,INDEX($AN$1005:$BO$1005,1,MATCH(COLUMNS($AN$1006:AQ1006),$AN$1006:$BO$1006,0))&gt;=100000), " ",IF(INDEX($AN$2:$BO$1001,MATCH(ROWS($AG$2:AG773),$AG$2:$AG$1001,0),MATCH(COLUMNS($AN$1006:AQ1006),$AN$1006:$BO$1006,0)), HYPERLINK("#",""), HYPERLINK(CONCATENATE("#Metadata!", ADDRESS(INDEX($AI$2:$AI$1001,MATCH(ROWS($AG$2:AG773),$AG$2:$AG$1001,0),0), INDEX($AN$1004:$BO$1004,1,MATCH(COLUMNS($AN$1006:AQ1006),$AN$1006:$BO$1006,0)))),"Fix")))</f>
        <v>0</v>
      </c>
      <c r="F773" s="4">
        <f>IF(OR(INDEX($AH$2:$AH$1001,MATCH(ROWS($AG$2:AG773),$AG$2:$AG$1001,0),1)&gt;=100000,INDEX($AN$1005:$BO$1005,1,MATCH(COLUMNS($AN$1006:AR1006),$AN$1006:$BO$1006,0))&gt;=100000), " ",IF(INDEX($AN$2:$BO$1001,MATCH(ROWS($AG$2:AG773),$AG$2:$AG$1001,0),MATCH(COLUMNS($AN$1006:AR1006),$AN$1006:$BO$1006,0)), HYPERLINK("#",""), HYPERLINK(CONCATENATE("#Metadata!", ADDRESS(INDEX($AI$2:$AI$1001,MATCH(ROWS($AG$2:AG773),$AG$2:$AG$1001,0),0), INDEX($AN$1004:$BO$1004,1,MATCH(COLUMNS($AN$1006:AR1006),$AN$1006:$BO$1006,0)))),"Fix")))</f>
        <v>0</v>
      </c>
      <c r="G773" s="4">
        <f>IF(OR(INDEX($AH$2:$AH$1001,MATCH(ROWS($AG$2:AG773),$AG$2:$AG$1001,0),1)&gt;=100000,INDEX($AN$1005:$BO$1005,1,MATCH(COLUMNS($AN$1006:AS1006),$AN$1006:$BO$1006,0))&gt;=100000), " ",IF(INDEX($AN$2:$BO$1001,MATCH(ROWS($AG$2:AG773),$AG$2:$AG$1001,0),MATCH(COLUMNS($AN$1006:AS1006),$AN$1006:$BO$1006,0)), HYPERLINK("#",""), HYPERLINK(CONCATENATE("#Metadata!", ADDRESS(INDEX($AI$2:$AI$1001,MATCH(ROWS($AG$2:AG773),$AG$2:$AG$1001,0),0), INDEX($AN$1004:$BO$1004,1,MATCH(COLUMNS($AN$1006:AS1006),$AN$1006:$BO$1006,0)))),"Fix")))</f>
        <v>0</v>
      </c>
      <c r="H773" s="4">
        <f>IF(OR(INDEX($AH$2:$AH$1001,MATCH(ROWS($AG$2:AG773),$AG$2:$AG$1001,0),1)&gt;=100000,INDEX($AN$1005:$BO$1005,1,MATCH(COLUMNS($AN$1006:AT1006),$AN$1006:$BO$1006,0))&gt;=100000), " ",IF(INDEX($AN$2:$BO$1001,MATCH(ROWS($AG$2:AG773),$AG$2:$AG$1001,0),MATCH(COLUMNS($AN$1006:AT1006),$AN$1006:$BO$1006,0)), HYPERLINK("#",""), HYPERLINK(CONCATENATE("#Metadata!", ADDRESS(INDEX($AI$2:$AI$1001,MATCH(ROWS($AG$2:AG773),$AG$2:$AG$1001,0),0), INDEX($AN$1004:$BO$1004,1,MATCH(COLUMNS($AN$1006:AT1006),$AN$1006:$BO$1006,0)))),"Fix")))</f>
        <v>0</v>
      </c>
      <c r="I773" s="4">
        <f>IF(OR(INDEX($AH$2:$AH$1001,MATCH(ROWS($AG$2:AG773),$AG$2:$AG$1001,0),1)&gt;=100000,INDEX($AN$1005:$BO$1005,1,MATCH(COLUMNS($AN$1006:AU1006),$AN$1006:$BO$1006,0))&gt;=100000), " ",IF(INDEX($AN$2:$BO$1001,MATCH(ROWS($AG$2:AG773),$AG$2:$AG$1001,0),MATCH(COLUMNS($AN$1006:AU1006),$AN$1006:$BO$1006,0)), HYPERLINK("#",""), HYPERLINK(CONCATENATE("#Metadata!", ADDRESS(INDEX($AI$2:$AI$1001,MATCH(ROWS($AG$2:AG773),$AG$2:$AG$1001,0),0), INDEX($AN$1004:$BO$1004,1,MATCH(COLUMNS($AN$1006:AU1006),$AN$1006:$BO$1006,0)))),"Fix")))</f>
        <v>0</v>
      </c>
      <c r="J773" s="4">
        <f>IF(OR(INDEX($AH$2:$AH$1001,MATCH(ROWS($AG$2:AG773),$AG$2:$AG$1001,0),1)&gt;=100000,INDEX($AN$1005:$BO$1005,1,MATCH(COLUMNS($AN$1006:AV1006),$AN$1006:$BO$1006,0))&gt;=100000), " ",IF(INDEX($AN$2:$BO$1001,MATCH(ROWS($AG$2:AG773),$AG$2:$AG$1001,0),MATCH(COLUMNS($AN$1006:AV1006),$AN$1006:$BO$1006,0)), HYPERLINK("#",""), HYPERLINK(CONCATENATE("#Metadata!", ADDRESS(INDEX($AI$2:$AI$1001,MATCH(ROWS($AG$2:AG773),$AG$2:$AG$1001,0),0), INDEX($AN$1004:$BO$1004,1,MATCH(COLUMNS($AN$1006:AV1006),$AN$1006:$BO$1006,0)))),"Fix")))</f>
        <v>0</v>
      </c>
      <c r="K773" s="4">
        <f>IF(OR(INDEX($AH$2:$AH$1001,MATCH(ROWS($AG$2:AG773),$AG$2:$AG$1001,0),1)&gt;=100000,INDEX($AN$1005:$BO$1005,1,MATCH(COLUMNS($AN$1006:AW1006),$AN$1006:$BO$1006,0))&gt;=100000), " ",IF(INDEX($AN$2:$BO$1001,MATCH(ROWS($AG$2:AG773),$AG$2:$AG$1001,0),MATCH(COLUMNS($AN$1006:AW1006),$AN$1006:$BO$1006,0)), HYPERLINK("#",""), HYPERLINK(CONCATENATE("#Metadata!", ADDRESS(INDEX($AI$2:$AI$1001,MATCH(ROWS($AG$2:AG773),$AG$2:$AG$1001,0),0), INDEX($AN$1004:$BO$1004,1,MATCH(COLUMNS($AN$1006:AW1006),$AN$1006:$BO$1006,0)))),"Fix")))</f>
        <v>0</v>
      </c>
      <c r="L773" s="4">
        <f>IF(OR(INDEX($AH$2:$AH$1001,MATCH(ROWS($AG$2:AG773),$AG$2:$AG$1001,0),1)&gt;=100000,INDEX($AN$1005:$BO$1005,1,MATCH(COLUMNS($AN$1006:AX1006),$AN$1006:$BO$1006,0))&gt;=100000), " ",IF(INDEX($AN$2:$BO$1001,MATCH(ROWS($AG$2:AG773),$AG$2:$AG$1001,0),MATCH(COLUMNS($AN$1006:AX1006),$AN$1006:$BO$1006,0)), HYPERLINK("#",""), HYPERLINK(CONCATENATE("#Metadata!", ADDRESS(INDEX($AI$2:$AI$1001,MATCH(ROWS($AG$2:AG773),$AG$2:$AG$1001,0),0), INDEX($AN$1004:$BO$1004,1,MATCH(COLUMNS($AN$1006:AX1006),$AN$1006:$BO$1006,0)))),"Fix")))</f>
        <v>0</v>
      </c>
      <c r="M773" s="4">
        <f>IF(OR(INDEX($AH$2:$AH$1001,MATCH(ROWS($AG$2:AG773),$AG$2:$AG$1001,0),1)&gt;=100000,INDEX($AN$1005:$BO$1005,1,MATCH(COLUMNS($AN$1006:AY1006),$AN$1006:$BO$1006,0))&gt;=100000), " ",IF(INDEX($AN$2:$BO$1001,MATCH(ROWS($AG$2:AG773),$AG$2:$AG$1001,0),MATCH(COLUMNS($AN$1006:AY1006),$AN$1006:$BO$1006,0)), HYPERLINK("#",""), HYPERLINK(CONCATENATE("#Metadata!", ADDRESS(INDEX($AI$2:$AI$1001,MATCH(ROWS($AG$2:AG773),$AG$2:$AG$1001,0),0), INDEX($AN$1004:$BO$1004,1,MATCH(COLUMNS($AN$1006:AY1006),$AN$1006:$BO$1006,0)))),"Fix")))</f>
        <v>0</v>
      </c>
      <c r="N773" s="4">
        <f>IF(OR(INDEX($AH$2:$AH$1001,MATCH(ROWS($AG$2:AG773),$AG$2:$AG$1001,0),1)&gt;=100000,INDEX($AN$1005:$BO$1005,1,MATCH(COLUMNS($AN$1006:AZ1006),$AN$1006:$BO$1006,0))&gt;=100000), " ",IF(INDEX($AN$2:$BO$1001,MATCH(ROWS($AG$2:AG773),$AG$2:$AG$1001,0),MATCH(COLUMNS($AN$1006:AZ1006),$AN$1006:$BO$1006,0)), HYPERLINK("#",""), HYPERLINK(CONCATENATE("#Metadata!", ADDRESS(INDEX($AI$2:$AI$1001,MATCH(ROWS($AG$2:AG773),$AG$2:$AG$1001,0),0), INDEX($AN$1004:$BO$1004,1,MATCH(COLUMNS($AN$1006:AZ1006),$AN$1006:$BO$1006,0)))),"Fix")))</f>
        <v>0</v>
      </c>
      <c r="O773" s="4">
        <f>IF(OR(INDEX($AH$2:$AH$1001,MATCH(ROWS($AG$2:AG773),$AG$2:$AG$1001,0),1)&gt;=100000,INDEX($AN$1005:$BO$1005,1,MATCH(COLUMNS($AN$1006:BA1006),$AN$1006:$BO$1006,0))&gt;=100000), " ",IF(INDEX($AN$2:$BO$1001,MATCH(ROWS($AG$2:AG773),$AG$2:$AG$1001,0),MATCH(COLUMNS($AN$1006:BA1006),$AN$1006:$BO$1006,0)), HYPERLINK("#",""), HYPERLINK(CONCATENATE("#Metadata!", ADDRESS(INDEX($AI$2:$AI$1001,MATCH(ROWS($AG$2:AG773),$AG$2:$AG$1001,0),0), INDEX($AN$1004:$BO$1004,1,MATCH(COLUMNS($AN$1006:BA1006),$AN$1006:$BO$1006,0)))),"Fix")))</f>
        <v>0</v>
      </c>
      <c r="P773" s="4">
        <f>IF(OR(INDEX($AH$2:$AH$1001,MATCH(ROWS($AG$2:AG773),$AG$2:$AG$1001,0),1)&gt;=100000,INDEX($AN$1005:$BO$1005,1,MATCH(COLUMNS($AN$1006:BB1006),$AN$1006:$BO$1006,0))&gt;=100000), " ",IF(INDEX($AN$2:$BO$1001,MATCH(ROWS($AG$2:AG773),$AG$2:$AG$1001,0),MATCH(COLUMNS($AN$1006:BB1006),$AN$1006:$BO$1006,0)), HYPERLINK("#",""), HYPERLINK(CONCATENATE("#Metadata!", ADDRESS(INDEX($AI$2:$AI$1001,MATCH(ROWS($AG$2:AG773),$AG$2:$AG$1001,0),0), INDEX($AN$1004:$BO$1004,1,MATCH(COLUMNS($AN$1006:BB1006),$AN$1006:$BO$1006,0)))),"Fix")))</f>
        <v>0</v>
      </c>
      <c r="Q773" s="4">
        <f>IF(OR(INDEX($AH$2:$AH$1001,MATCH(ROWS($AG$2:AG773),$AG$2:$AG$1001,0),1)&gt;=100000,INDEX($AN$1005:$BO$1005,1,MATCH(COLUMNS($AN$1006:BC1006),$AN$1006:$BO$1006,0))&gt;=100000), " ",IF(INDEX($AN$2:$BO$1001,MATCH(ROWS($AG$2:AG773),$AG$2:$AG$1001,0),MATCH(COLUMNS($AN$1006:BC1006),$AN$1006:$BO$1006,0)), HYPERLINK("#",""), HYPERLINK(CONCATENATE("#Metadata!", ADDRESS(INDEX($AI$2:$AI$1001,MATCH(ROWS($AG$2:AG773),$AG$2:$AG$1001,0),0), INDEX($AN$1004:$BO$1004,1,MATCH(COLUMNS($AN$1006:BC1006),$AN$1006:$BO$1006,0)))),"Fix")))</f>
        <v>0</v>
      </c>
      <c r="R773" s="4">
        <f>IF(OR(INDEX($AH$2:$AH$1001,MATCH(ROWS($AG$2:AG773),$AG$2:$AG$1001,0),1)&gt;=100000,INDEX($AN$1005:$BO$1005,1,MATCH(COLUMNS($AN$1006:BD1006),$AN$1006:$BO$1006,0))&gt;=100000), " ",IF(INDEX($AN$2:$BO$1001,MATCH(ROWS($AG$2:AG773),$AG$2:$AG$1001,0),MATCH(COLUMNS($AN$1006:BD1006),$AN$1006:$BO$1006,0)), HYPERLINK("#",""), HYPERLINK(CONCATENATE("#Metadata!", ADDRESS(INDEX($AI$2:$AI$1001,MATCH(ROWS($AG$2:AG773),$AG$2:$AG$1001,0),0), INDEX($AN$1004:$BO$1004,1,MATCH(COLUMNS($AN$1006:BD1006),$AN$1006:$BO$1006,0)))),"Fix")))</f>
        <v>0</v>
      </c>
      <c r="S773" s="4">
        <f>IF(OR(INDEX($AH$2:$AH$1001,MATCH(ROWS($AG$2:AG773),$AG$2:$AG$1001,0),1)&gt;=100000,INDEX($AN$1005:$BO$1005,1,MATCH(COLUMNS($AN$1006:BE1006),$AN$1006:$BO$1006,0))&gt;=100000), " ",IF(INDEX($AN$2:$BO$1001,MATCH(ROWS($AG$2:AG773),$AG$2:$AG$1001,0),MATCH(COLUMNS($AN$1006:BE1006),$AN$1006:$BO$1006,0)), HYPERLINK("#",""), HYPERLINK(CONCATENATE("#Metadata!", ADDRESS(INDEX($AI$2:$AI$1001,MATCH(ROWS($AG$2:AG773),$AG$2:$AG$1001,0),0), INDEX($AN$1004:$BO$1004,1,MATCH(COLUMNS($AN$1006:BE1006),$AN$1006:$BO$1006,0)))),"Fix")))</f>
        <v>0</v>
      </c>
      <c r="T773" s="4">
        <f>IF(OR(INDEX($AH$2:$AH$1001,MATCH(ROWS($AG$2:AG773),$AG$2:$AG$1001,0),1)&gt;=100000,INDEX($AN$1005:$BO$1005,1,MATCH(COLUMNS($AN$1006:BF1006),$AN$1006:$BO$1006,0))&gt;=100000), " ",IF(INDEX($AN$2:$BO$1001,MATCH(ROWS($AG$2:AG773),$AG$2:$AG$1001,0),MATCH(COLUMNS($AN$1006:BF1006),$AN$1006:$BO$1006,0)), HYPERLINK("#",""), HYPERLINK(CONCATENATE("#Metadata!", ADDRESS(INDEX($AI$2:$AI$1001,MATCH(ROWS($AG$2:AG773),$AG$2:$AG$1001,0),0), INDEX($AN$1004:$BO$1004,1,MATCH(COLUMNS($AN$1006:BF1006),$AN$1006:$BO$1006,0)))),"Fix")))</f>
        <v>0</v>
      </c>
      <c r="U773" s="4">
        <f>IF(OR(INDEX($AH$2:$AH$1001,MATCH(ROWS($AG$2:AG773),$AG$2:$AG$1001,0),1)&gt;=100000,INDEX($AN$1005:$BO$1005,1,MATCH(COLUMNS($AN$1006:BG1006),$AN$1006:$BO$1006,0))&gt;=100000), " ",IF(INDEX($AN$2:$BO$1001,MATCH(ROWS($AG$2:AG773),$AG$2:$AG$1001,0),MATCH(COLUMNS($AN$1006:BG1006),$AN$1006:$BO$1006,0)), HYPERLINK("#",""), HYPERLINK(CONCATENATE("#Metadata!", ADDRESS(INDEX($AI$2:$AI$1001,MATCH(ROWS($AG$2:AG773),$AG$2:$AG$1001,0),0), INDEX($AN$1004:$BO$1004,1,MATCH(COLUMNS($AN$1006:BG1006),$AN$1006:$BO$1006,0)))),"Fix")))</f>
        <v>0</v>
      </c>
      <c r="V773" s="4">
        <f>IF(OR(INDEX($AH$2:$AH$1001,MATCH(ROWS($AG$2:AG773),$AG$2:$AG$1001,0),1)&gt;=100000,INDEX($AN$1005:$BO$1005,1,MATCH(COLUMNS($AN$1006:BH1006),$AN$1006:$BO$1006,0))&gt;=100000), " ",IF(INDEX($AN$2:$BO$1001,MATCH(ROWS($AG$2:AG773),$AG$2:$AG$1001,0),MATCH(COLUMNS($AN$1006:BH1006),$AN$1006:$BO$1006,0)), HYPERLINK("#",""), HYPERLINK(CONCATENATE("#Metadata!", ADDRESS(INDEX($AI$2:$AI$1001,MATCH(ROWS($AG$2:AG773),$AG$2:$AG$1001,0),0), INDEX($AN$1004:$BO$1004,1,MATCH(COLUMNS($AN$1006:BH1006),$AN$1006:$BO$1006,0)))),"Fix")))</f>
        <v>0</v>
      </c>
      <c r="W773" s="4">
        <f>IF(OR(INDEX($AH$2:$AH$1001,MATCH(ROWS($AG$2:AG773),$AG$2:$AG$1001,0),1)&gt;=100000,INDEX($AN$1005:$BO$1005,1,MATCH(COLUMNS($AN$1006:BI1006),$AN$1006:$BO$1006,0))&gt;=100000), " ",IF(INDEX($AN$2:$BO$1001,MATCH(ROWS($AG$2:AG773),$AG$2:$AG$1001,0),MATCH(COLUMNS($AN$1006:BI1006),$AN$1006:$BO$1006,0)), HYPERLINK("#",""), HYPERLINK(CONCATENATE("#Metadata!", ADDRESS(INDEX($AI$2:$AI$1001,MATCH(ROWS($AG$2:AG773),$AG$2:$AG$1001,0),0), INDEX($AN$1004:$BO$1004,1,MATCH(COLUMNS($AN$1006:BI1006),$AN$1006:$BO$1006,0)))),"Fix")))</f>
        <v>0</v>
      </c>
      <c r="X773" s="4">
        <f>IF(OR(INDEX($AH$2:$AH$1001,MATCH(ROWS($AG$2:AG773),$AG$2:$AG$1001,0),1)&gt;=100000,INDEX($AN$1005:$BO$1005,1,MATCH(COLUMNS($AN$1006:BJ1006),$AN$1006:$BO$1006,0))&gt;=100000), " ",IF(INDEX($AN$2:$BO$1001,MATCH(ROWS($AG$2:AG773),$AG$2:$AG$1001,0),MATCH(COLUMNS($AN$1006:BJ1006),$AN$1006:$BO$1006,0)), HYPERLINK("#",""), HYPERLINK(CONCATENATE("#Metadata!", ADDRESS(INDEX($AI$2:$AI$1001,MATCH(ROWS($AG$2:AG773),$AG$2:$AG$1001,0),0), INDEX($AN$1004:$BO$1004,1,MATCH(COLUMNS($AN$1006:BJ1006),$AN$1006:$BO$1006,0)))),"Fix")))</f>
        <v>0</v>
      </c>
      <c r="Y773" s="4">
        <f>IF(OR(INDEX($AH$2:$AH$1001,MATCH(ROWS($AG$2:AG773),$AG$2:$AG$1001,0),1)&gt;=100000,INDEX($AN$1005:$BO$1005,1,MATCH(COLUMNS($AN$1006:BK1006),$AN$1006:$BO$1006,0))&gt;=100000), " ",IF(INDEX($AN$2:$BO$1001,MATCH(ROWS($AG$2:AG773),$AG$2:$AG$1001,0),MATCH(COLUMNS($AN$1006:BK1006),$AN$1006:$BO$1006,0)), HYPERLINK("#",""), HYPERLINK(CONCATENATE("#Metadata!", ADDRESS(INDEX($AI$2:$AI$1001,MATCH(ROWS($AG$2:AG773),$AG$2:$AG$1001,0),0), INDEX($AN$1004:$BO$1004,1,MATCH(COLUMNS($AN$1006:BK1006),$AN$1006:$BO$1006,0)))),"Fix")))</f>
        <v>0</v>
      </c>
      <c r="Z773" s="4">
        <f>IF(OR(INDEX($AH$2:$AH$1001,MATCH(ROWS($AG$2:AG773),$AG$2:$AG$1001,0),1)&gt;=100000,INDEX($AN$1005:$BO$1005,1,MATCH(COLUMNS($AN$1006:BL1006),$AN$1006:$BO$1006,0))&gt;=100000), " ",IF(INDEX($AN$2:$BO$1001,MATCH(ROWS($AG$2:AG773),$AG$2:$AG$1001,0),MATCH(COLUMNS($AN$1006:BL1006),$AN$1006:$BO$1006,0)), HYPERLINK("#",""), HYPERLINK(CONCATENATE("#Metadata!", ADDRESS(INDEX($AI$2:$AI$1001,MATCH(ROWS($AG$2:AG773),$AG$2:$AG$1001,0),0), INDEX($AN$1004:$BO$1004,1,MATCH(COLUMNS($AN$1006:BL1006),$AN$1006:$BO$1006,0)))),"Fix")))</f>
        <v>0</v>
      </c>
      <c r="AA773" s="4">
        <f>IF(OR(INDEX($AH$2:$AH$1001,MATCH(ROWS($AG$2:AG773),$AG$2:$AG$1001,0),1)&gt;=100000,INDEX($AN$1005:$BO$1005,1,MATCH(COLUMNS($AN$1006:BM1006),$AN$1006:$BO$1006,0))&gt;=100000), " ",IF(INDEX($AN$2:$BO$1001,MATCH(ROWS($AG$2:AG773),$AG$2:$AG$1001,0),MATCH(COLUMNS($AN$1006:BM1006),$AN$1006:$BO$1006,0)), HYPERLINK("#",""), HYPERLINK(CONCATENATE("#Metadata!", ADDRESS(INDEX($AI$2:$AI$1001,MATCH(ROWS($AG$2:AG773),$AG$2:$AG$1001,0),0), INDEX($AN$1004:$BO$1004,1,MATCH(COLUMNS($AN$1006:BM1006),$AN$1006:$BO$1006,0)))),"Fix")))</f>
        <v>0</v>
      </c>
      <c r="AB773" s="4">
        <f>IF(OR(INDEX($AH$2:$AH$1001,MATCH(ROWS($AG$2:AG773),$AG$2:$AG$1001,0),1)&gt;=100000,INDEX($AN$1005:$BO$1005,1,MATCH(COLUMNS($AN$1006:BN1006),$AN$1006:$BO$1006,0))&gt;=100000), " ",IF(INDEX($AN$2:$BO$1001,MATCH(ROWS($AG$2:AG773),$AG$2:$AG$1001,0),MATCH(COLUMNS($AN$1006:BN1006),$AN$1006:$BO$1006,0)), HYPERLINK("#",""), HYPERLINK(CONCATENATE("#Metadata!", ADDRESS(INDEX($AI$2:$AI$1001,MATCH(ROWS($AG$2:AG773),$AG$2:$AG$1001,0),0), INDEX($AN$1004:$BO$1004,1,MATCH(COLUMNS($AN$1006:BN1006),$AN$1006:$BO$1006,0)))),"Fix")))</f>
        <v>0</v>
      </c>
      <c r="AC773" s="4">
        <f>IF(OR(INDEX($AH$2:$AH$1001,MATCH(ROWS($AG$2:AG773),$AG$2:$AG$1001,0),1)&gt;=100000,INDEX($AN$1005:$BO$1005,1,MATCH(COLUMNS($AN$1006:BO1006),$AN$1006:$BO$1006,0))&gt;=100000), " ",IF(INDEX($AN$2:$BO$1001,MATCH(ROWS($AG$2:AG773),$AG$2:$AG$1001,0),MATCH(COLUMNS($AN$1006:BO1006),$AN$1006:$BO$1006,0)), HYPERLINK("#",""), HYPERLINK(CONCATENATE("#Metadata!", ADDRESS(INDEX($AI$2:$AI$1001,MATCH(ROWS($AG$2:AG773),$AG$2:$AG$1001,0),0), INDEX($AN$1004:$BO$1004,1,MATCH(COLUMNS($AN$1006:BO1006),$AN$1006:$BO$1006,0)))),"Fix")))</f>
        <v>0</v>
      </c>
      <c r="AG773">
        <v>0</v>
      </c>
      <c r="AH773">
        <v>0</v>
      </c>
      <c r="AI773">
        <v>0</v>
      </c>
      <c r="AJ773">
        <f>IF(AK773,TRUE,AND(AN773:BO773))</f>
        <v>0</v>
      </c>
      <c r="AK773">
        <f>COUNTBLANK(Metadata!B773:AC773)=COLUMNS(Metadata!B773:AC773)</f>
        <v>0</v>
      </c>
      <c r="AL773">
        <v>0</v>
      </c>
      <c r="AN773">
        <f>AND(IF(Metadata!B773="",FALSE,TRUE),COUNTIF(Metadata!B:B, Metadata!B773) = 1,NOT(ISERROR(SUMPRODUCT(SEARCH(MID(Metadata!B773,ROW(INDIRECT("1:"&amp;LEN(Metadata!B773))), 1),"0123456789abcdefghijklmnopqrstuvwxyzABCDEFGHIJKLMNOPQRSTUVWXYZ.")))))</f>
        <v>0</v>
      </c>
      <c r="AO773">
        <f>IF(Metadata!C773="",FALSE,TRUE)</f>
        <v>0</v>
      </c>
      <c r="AP773">
        <f>IF(Metadata!D773="",FALSE,TRUE)</f>
        <v>0</v>
      </c>
      <c r="AQ773">
        <f>OR(AND(IF(Metadata!E773="",FALSE,TRUE),OR(exact(Metadata!E773,"not collected"),exact(Metadata!E773,"not provided"),exact(Metadata!E773,"restricted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R773">
        <f>IF(Metadata!F773="",FALSE,TRUE)</f>
        <v>0</v>
      </c>
      <c r="AS773">
        <f>OR(AND(IF(Metadata!G773="",FALSE,TRUE),OR(exact(Metadata!G773,"not collected"),exact(Metadata!G773,"not provided"))),AND(IF(Metadata!G773="",FALSE,TRUE),OR(exact(Metadata!G773,"TRUE"),exact(Metadata!G773,"FALSE"))))</f>
        <v>0</v>
      </c>
      <c r="AT773">
        <f>OR(AND(IF(Metadata!H773="",FALSE,TRUE),OR(exact(Metadata!H773,"not collected"),exact(Metadata!H773,"not provided"),exact(Metadata!H773,"restricted access"))),AND(IF(Metadata!H773="",FALSE,ISNUMBER(VALUE(Metadata!H773))),Metadata!H773&gt;=-413.0))</f>
        <v>0</v>
      </c>
      <c r="AU773">
        <f>AND(IF(Metadata!I773="",FALSE,TRUE),exact(Metadata!I773,"meters"))</f>
        <v>0</v>
      </c>
      <c r="AV773">
        <f>AND(IF(Metadata!J773="",FALSE,TRUE),OR(exact(Metadata!J773,"Host-associated"),exact(Metadata!J773,"Free-living")))</f>
        <v>0</v>
      </c>
      <c r="AW773">
        <f>AND(IF(Metadata!K773="",FALSE,TRUE),OR(exact(Metadata!K773,"Animal"),exact(Metadata!K773,"Fungus"),exact(Metadata!K773,"Plant"),exact(Metadata!K773,"Saline"),exact(Metadata!K773,"Non-saline")))</f>
        <v>0</v>
      </c>
      <c r="AX773">
        <f>AND(IF(Metadata!L773="",FALSE,TRUE),OR(exact(Metadata!L773,"Plant secretion"),exact(Metadata!L773,"Plant rhizosphere"),exact(Metadata!L773,"Plant surface"),exact(Metadata!L773,"Plant corpus"),exact(Metadata!L773,"Fungus surface"),exact(Metadata!L773,"Fungus corpus"),exact(Metadata!L773,"Animal surface"),exact(Metadata!L773,"Animal proximal gut"),exact(Metadata!L773,"Animal corpus"),exact(Metadata!L773,"Animal distal gut"),exact(Metadata!L773,"Animal secretion"),exact(Metadata!L773,"Sub-surface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Y773">
        <f>IF(Metadata!M773="",FALSE,TRUE)</f>
        <v>0</v>
      </c>
      <c r="AZ773">
        <f>IF(Metadata!N773="",FALSE,TRUE)</f>
        <v>0</v>
      </c>
      <c r="BA773">
        <f>IF(Metadata!O773="",FALSE,TRUE)</f>
        <v>0</v>
      </c>
      <c r="BB773">
        <f>OR(AND(IF(Metadata!P773="",FALSE,TRUE),OR(exact(Metadata!P773,"not collected"),exact(Metadata!P773,"not provided"),exact(Metadata!P773,"restricted access"))),AND(IF(Metadata!P773="",FALSE,TRUE),OR(exact(Metadata!P773,"air"),exact(Metadata!P773,"built environment"),exact(Metadata!P773,"host-associated"),exact(Metadata!P773,"human-associated"),exact(Metadata!P773,"human-skin"),exact(Metadata!P773,"human-oral"),exact(Metadata!P773,"human-gut"),exact(Metadata!P773,"human-vaginal"),exact(Metadata!P773,"microbial mat/biofilm"),exact(Metadata!P773,"misc environment"),exact(Metadata!P773,"plant-associated"),exact(Metadata!P773,"sediment"),exact(Metadata!P773,"soil"),exact(Metadata!P773,"wastewater/sludge"),exact(Metadata!P773,"water"))))</f>
        <v>0</v>
      </c>
      <c r="BC773">
        <f>IF(Metadata!Q773="",FALSE,TRUE)</f>
        <v>0</v>
      </c>
      <c r="BD773">
        <f>IF(Metadata!R773="",FALSE,TRUE)</f>
        <v>0</v>
      </c>
      <c r="BE773">
        <f>OR(AND(IF(Metadata!S773="",FALSE,TRUE),OR(exact(Metadata!S773,"not collected"),exact(Metadata!S773,"not provided"),exact(Metadata!S773,"restricted access"))),AND(IF(Metadata!S773="",FALSE,ISNUMBER(VALUE(Metadata!S773))),Metadata!S773&gt;=-90.00,Metadata!S773&lt;=90.00))</f>
        <v>0</v>
      </c>
      <c r="BF773">
        <f>AND(IF(Metadata!T773="",FALSE,TRUE),exact(Metadata!T773,"Decimal degrees"))</f>
        <v>0</v>
      </c>
      <c r="BG773">
        <f>OR(AND(IF(Metadata!U773="",FALSE,TRUE),OR(exact(Metadata!U773,"not collected"),exact(Metadata!U773,"not provided"),exact(Metadata!U773,"restricted access"))),AND(IF(Metadata!U773="",FALSE,ISNUMBER(VALUE(Metadata!U773))),Metadata!U773&gt;=-180.00,Metadata!U773&lt;=180.00))</f>
        <v>0</v>
      </c>
      <c r="BH773">
        <f>AND(IF(Metadata!V773="",FALSE,TRUE),exact(Metadata!V773,"Decimal degrees"))</f>
        <v>0</v>
      </c>
      <c r="BI773">
        <f>IF(Metadata!W773="",FALSE,TRUE)</f>
        <v>0</v>
      </c>
      <c r="BJ773">
        <f>OR(AND(IF(Metadata!X773="",FALSE,TRUE),OR(exact(Metadata!X773,"not collected"),exact(Metadata!X773,"not provided"),exact(Metadata!X773,"restricted access"))),AND(IF(Metadata!X773="",FALSE,TRUE),OR(exact(Metadata!X773,"TRUE"),exact(Metadata!X773,"FALSE"))))</f>
        <v>0</v>
      </c>
      <c r="BK773">
        <f>AND(IF(Metadata!Y773="",FALSE,TRUE),exact(Metadata!Y773,"other"))</f>
        <v>0</v>
      </c>
      <c r="BL773">
        <f>IF(Metadata!Z773="",FALSE,TRUE)</f>
        <v>0</v>
      </c>
      <c r="BM773">
        <f>OR(AND(IF(Metadata!AA773="",FALSE,TRUE),OR(exact(Metadata!AA773,"not collected"),exact(Metadata!AA773,"not provided"))),AND(IF(Metadata!AA773="",FALSE,IF(ISERROR(INT(Metadata!AA773)),FALSE,INT(Metadata!AA773)=Metadata!AA773)),Metadata!AA773&gt;0))</f>
        <v>0</v>
      </c>
      <c r="BN773">
        <f>AND(IF(Metadata!AB773="",FALSE,TRUE),exact(Metadata!AB773,"Not applicable"))</f>
        <v>0</v>
      </c>
      <c r="BO773">
        <f>IF(Metadata!AC773="",FALSE,TRUE)</f>
        <v>0</v>
      </c>
    </row>
    <row r="774" spans="1:67">
      <c r="A774" s="5">
        <f>IF(B774=" "," ",HYPERLINK(CONCATENATE("#metadata!",ADDRESS(INDEX($AI$2:$AI$1001,MATCH(ROWS($AG$2:AG774),$AG$2:$AG$1001,0),0),1)),INDEX($AL$2:$AL$1001,MATCH(ROWS($AG$2:AG774),$AG$2:$AG$1001,0),0)))</f>
        <v>0</v>
      </c>
      <c r="B774" s="4">
        <f>IF(OR(INDEX($AH$2:$AH$1001,MATCH(ROWS($AG$2:AG774),$AG$2:$AG$1001,0),1)&gt;=100000,INDEX($AN$1005:$BO$1005,1,MATCH(COLUMNS($AN$1006:AN1006),$AN$1006:$BO$1006,0))&gt;=100000), " ",IF(INDEX($AN$2:$BO$1001,MATCH(ROWS($AG$2:AG774),$AG$2:$AG$1001,0),MATCH(COLUMNS($AN$1006:AN1006),$AN$1006:$BO$1006,0)), HYPERLINK("#",""), HYPERLINK(CONCATENATE("#Metadata!", ADDRESS(INDEX($AI$2:$AI$1001,MATCH(ROWS($AG$2:AG774),$AG$2:$AG$1001,0),0), INDEX($AN$1004:$BO$1004,1,MATCH(COLUMNS($AN$1006:AN1006),$AN$1006:$BO$1006,0)))),"Fix")))</f>
        <v>0</v>
      </c>
      <c r="C774" s="4">
        <f>IF(OR(INDEX($AH$2:$AH$1001,MATCH(ROWS($AG$2:AG774),$AG$2:$AG$1001,0),1)&gt;=100000,INDEX($AN$1005:$BO$1005,1,MATCH(COLUMNS($AN$1006:AO1006),$AN$1006:$BO$1006,0))&gt;=100000), " ",IF(INDEX($AN$2:$BO$1001,MATCH(ROWS($AG$2:AG774),$AG$2:$AG$1001,0),MATCH(COLUMNS($AN$1006:AO1006),$AN$1006:$BO$1006,0)), HYPERLINK("#",""), HYPERLINK(CONCATENATE("#Metadata!", ADDRESS(INDEX($AI$2:$AI$1001,MATCH(ROWS($AG$2:AG774),$AG$2:$AG$1001,0),0), INDEX($AN$1004:$BO$1004,1,MATCH(COLUMNS($AN$1006:AO1006),$AN$1006:$BO$1006,0)))),"Fix")))</f>
        <v>0</v>
      </c>
      <c r="D774" s="4">
        <f>IF(OR(INDEX($AH$2:$AH$1001,MATCH(ROWS($AG$2:AG774),$AG$2:$AG$1001,0),1)&gt;=100000,INDEX($AN$1005:$BO$1005,1,MATCH(COLUMNS($AN$1006:AP1006),$AN$1006:$BO$1006,0))&gt;=100000), " ",IF(INDEX($AN$2:$BO$1001,MATCH(ROWS($AG$2:AG774),$AG$2:$AG$1001,0),MATCH(COLUMNS($AN$1006:AP1006),$AN$1006:$BO$1006,0)), HYPERLINK("#",""), HYPERLINK(CONCATENATE("#Metadata!", ADDRESS(INDEX($AI$2:$AI$1001,MATCH(ROWS($AG$2:AG774),$AG$2:$AG$1001,0),0), INDEX($AN$1004:$BO$1004,1,MATCH(COLUMNS($AN$1006:AP1006),$AN$1006:$BO$1006,0)))),"Fix")))</f>
        <v>0</v>
      </c>
      <c r="E774" s="4">
        <f>IF(OR(INDEX($AH$2:$AH$1001,MATCH(ROWS($AG$2:AG774),$AG$2:$AG$1001,0),1)&gt;=100000,INDEX($AN$1005:$BO$1005,1,MATCH(COLUMNS($AN$1006:AQ1006),$AN$1006:$BO$1006,0))&gt;=100000), " ",IF(INDEX($AN$2:$BO$1001,MATCH(ROWS($AG$2:AG774),$AG$2:$AG$1001,0),MATCH(COLUMNS($AN$1006:AQ1006),$AN$1006:$BO$1006,0)), HYPERLINK("#",""), HYPERLINK(CONCATENATE("#Metadata!", ADDRESS(INDEX($AI$2:$AI$1001,MATCH(ROWS($AG$2:AG774),$AG$2:$AG$1001,0),0), INDEX($AN$1004:$BO$1004,1,MATCH(COLUMNS($AN$1006:AQ1006),$AN$1006:$BO$1006,0)))),"Fix")))</f>
        <v>0</v>
      </c>
      <c r="F774" s="4">
        <f>IF(OR(INDEX($AH$2:$AH$1001,MATCH(ROWS($AG$2:AG774),$AG$2:$AG$1001,0),1)&gt;=100000,INDEX($AN$1005:$BO$1005,1,MATCH(COLUMNS($AN$1006:AR1006),$AN$1006:$BO$1006,0))&gt;=100000), " ",IF(INDEX($AN$2:$BO$1001,MATCH(ROWS($AG$2:AG774),$AG$2:$AG$1001,0),MATCH(COLUMNS($AN$1006:AR1006),$AN$1006:$BO$1006,0)), HYPERLINK("#",""), HYPERLINK(CONCATENATE("#Metadata!", ADDRESS(INDEX($AI$2:$AI$1001,MATCH(ROWS($AG$2:AG774),$AG$2:$AG$1001,0),0), INDEX($AN$1004:$BO$1004,1,MATCH(COLUMNS($AN$1006:AR1006),$AN$1006:$BO$1006,0)))),"Fix")))</f>
        <v>0</v>
      </c>
      <c r="G774" s="4">
        <f>IF(OR(INDEX($AH$2:$AH$1001,MATCH(ROWS($AG$2:AG774),$AG$2:$AG$1001,0),1)&gt;=100000,INDEX($AN$1005:$BO$1005,1,MATCH(COLUMNS($AN$1006:AS1006),$AN$1006:$BO$1006,0))&gt;=100000), " ",IF(INDEX($AN$2:$BO$1001,MATCH(ROWS($AG$2:AG774),$AG$2:$AG$1001,0),MATCH(COLUMNS($AN$1006:AS1006),$AN$1006:$BO$1006,0)), HYPERLINK("#",""), HYPERLINK(CONCATENATE("#Metadata!", ADDRESS(INDEX($AI$2:$AI$1001,MATCH(ROWS($AG$2:AG774),$AG$2:$AG$1001,0),0), INDEX($AN$1004:$BO$1004,1,MATCH(COLUMNS($AN$1006:AS1006),$AN$1006:$BO$1006,0)))),"Fix")))</f>
        <v>0</v>
      </c>
      <c r="H774" s="4">
        <f>IF(OR(INDEX($AH$2:$AH$1001,MATCH(ROWS($AG$2:AG774),$AG$2:$AG$1001,0),1)&gt;=100000,INDEX($AN$1005:$BO$1005,1,MATCH(COLUMNS($AN$1006:AT1006),$AN$1006:$BO$1006,0))&gt;=100000), " ",IF(INDEX($AN$2:$BO$1001,MATCH(ROWS($AG$2:AG774),$AG$2:$AG$1001,0),MATCH(COLUMNS($AN$1006:AT1006),$AN$1006:$BO$1006,0)), HYPERLINK("#",""), HYPERLINK(CONCATENATE("#Metadata!", ADDRESS(INDEX($AI$2:$AI$1001,MATCH(ROWS($AG$2:AG774),$AG$2:$AG$1001,0),0), INDEX($AN$1004:$BO$1004,1,MATCH(COLUMNS($AN$1006:AT1006),$AN$1006:$BO$1006,0)))),"Fix")))</f>
        <v>0</v>
      </c>
      <c r="I774" s="4">
        <f>IF(OR(INDEX($AH$2:$AH$1001,MATCH(ROWS($AG$2:AG774),$AG$2:$AG$1001,0),1)&gt;=100000,INDEX($AN$1005:$BO$1005,1,MATCH(COLUMNS($AN$1006:AU1006),$AN$1006:$BO$1006,0))&gt;=100000), " ",IF(INDEX($AN$2:$BO$1001,MATCH(ROWS($AG$2:AG774),$AG$2:$AG$1001,0),MATCH(COLUMNS($AN$1006:AU1006),$AN$1006:$BO$1006,0)), HYPERLINK("#",""), HYPERLINK(CONCATENATE("#Metadata!", ADDRESS(INDEX($AI$2:$AI$1001,MATCH(ROWS($AG$2:AG774),$AG$2:$AG$1001,0),0), INDEX($AN$1004:$BO$1004,1,MATCH(COLUMNS($AN$1006:AU1006),$AN$1006:$BO$1006,0)))),"Fix")))</f>
        <v>0</v>
      </c>
      <c r="J774" s="4">
        <f>IF(OR(INDEX($AH$2:$AH$1001,MATCH(ROWS($AG$2:AG774),$AG$2:$AG$1001,0),1)&gt;=100000,INDEX($AN$1005:$BO$1005,1,MATCH(COLUMNS($AN$1006:AV1006),$AN$1006:$BO$1006,0))&gt;=100000), " ",IF(INDEX($AN$2:$BO$1001,MATCH(ROWS($AG$2:AG774),$AG$2:$AG$1001,0),MATCH(COLUMNS($AN$1006:AV1006),$AN$1006:$BO$1006,0)), HYPERLINK("#",""), HYPERLINK(CONCATENATE("#Metadata!", ADDRESS(INDEX($AI$2:$AI$1001,MATCH(ROWS($AG$2:AG774),$AG$2:$AG$1001,0),0), INDEX($AN$1004:$BO$1004,1,MATCH(COLUMNS($AN$1006:AV1006),$AN$1006:$BO$1006,0)))),"Fix")))</f>
        <v>0</v>
      </c>
      <c r="K774" s="4">
        <f>IF(OR(INDEX($AH$2:$AH$1001,MATCH(ROWS($AG$2:AG774),$AG$2:$AG$1001,0),1)&gt;=100000,INDEX($AN$1005:$BO$1005,1,MATCH(COLUMNS($AN$1006:AW1006),$AN$1006:$BO$1006,0))&gt;=100000), " ",IF(INDEX($AN$2:$BO$1001,MATCH(ROWS($AG$2:AG774),$AG$2:$AG$1001,0),MATCH(COLUMNS($AN$1006:AW1006),$AN$1006:$BO$1006,0)), HYPERLINK("#",""), HYPERLINK(CONCATENATE("#Metadata!", ADDRESS(INDEX($AI$2:$AI$1001,MATCH(ROWS($AG$2:AG774),$AG$2:$AG$1001,0),0), INDEX($AN$1004:$BO$1004,1,MATCH(COLUMNS($AN$1006:AW1006),$AN$1006:$BO$1006,0)))),"Fix")))</f>
        <v>0</v>
      </c>
      <c r="L774" s="4">
        <f>IF(OR(INDEX($AH$2:$AH$1001,MATCH(ROWS($AG$2:AG774),$AG$2:$AG$1001,0),1)&gt;=100000,INDEX($AN$1005:$BO$1005,1,MATCH(COLUMNS($AN$1006:AX1006),$AN$1006:$BO$1006,0))&gt;=100000), " ",IF(INDEX($AN$2:$BO$1001,MATCH(ROWS($AG$2:AG774),$AG$2:$AG$1001,0),MATCH(COLUMNS($AN$1006:AX1006),$AN$1006:$BO$1006,0)), HYPERLINK("#",""), HYPERLINK(CONCATENATE("#Metadata!", ADDRESS(INDEX($AI$2:$AI$1001,MATCH(ROWS($AG$2:AG774),$AG$2:$AG$1001,0),0), INDEX($AN$1004:$BO$1004,1,MATCH(COLUMNS($AN$1006:AX1006),$AN$1006:$BO$1006,0)))),"Fix")))</f>
        <v>0</v>
      </c>
      <c r="M774" s="4">
        <f>IF(OR(INDEX($AH$2:$AH$1001,MATCH(ROWS($AG$2:AG774),$AG$2:$AG$1001,0),1)&gt;=100000,INDEX($AN$1005:$BO$1005,1,MATCH(COLUMNS($AN$1006:AY1006),$AN$1006:$BO$1006,0))&gt;=100000), " ",IF(INDEX($AN$2:$BO$1001,MATCH(ROWS($AG$2:AG774),$AG$2:$AG$1001,0),MATCH(COLUMNS($AN$1006:AY1006),$AN$1006:$BO$1006,0)), HYPERLINK("#",""), HYPERLINK(CONCATENATE("#Metadata!", ADDRESS(INDEX($AI$2:$AI$1001,MATCH(ROWS($AG$2:AG774),$AG$2:$AG$1001,0),0), INDEX($AN$1004:$BO$1004,1,MATCH(COLUMNS($AN$1006:AY1006),$AN$1006:$BO$1006,0)))),"Fix")))</f>
        <v>0</v>
      </c>
      <c r="N774" s="4">
        <f>IF(OR(INDEX($AH$2:$AH$1001,MATCH(ROWS($AG$2:AG774),$AG$2:$AG$1001,0),1)&gt;=100000,INDEX($AN$1005:$BO$1005,1,MATCH(COLUMNS($AN$1006:AZ1006),$AN$1006:$BO$1006,0))&gt;=100000), " ",IF(INDEX($AN$2:$BO$1001,MATCH(ROWS($AG$2:AG774),$AG$2:$AG$1001,0),MATCH(COLUMNS($AN$1006:AZ1006),$AN$1006:$BO$1006,0)), HYPERLINK("#",""), HYPERLINK(CONCATENATE("#Metadata!", ADDRESS(INDEX($AI$2:$AI$1001,MATCH(ROWS($AG$2:AG774),$AG$2:$AG$1001,0),0), INDEX($AN$1004:$BO$1004,1,MATCH(COLUMNS($AN$1006:AZ1006),$AN$1006:$BO$1006,0)))),"Fix")))</f>
        <v>0</v>
      </c>
      <c r="O774" s="4">
        <f>IF(OR(INDEX($AH$2:$AH$1001,MATCH(ROWS($AG$2:AG774),$AG$2:$AG$1001,0),1)&gt;=100000,INDEX($AN$1005:$BO$1005,1,MATCH(COLUMNS($AN$1006:BA1006),$AN$1006:$BO$1006,0))&gt;=100000), " ",IF(INDEX($AN$2:$BO$1001,MATCH(ROWS($AG$2:AG774),$AG$2:$AG$1001,0),MATCH(COLUMNS($AN$1006:BA1006),$AN$1006:$BO$1006,0)), HYPERLINK("#",""), HYPERLINK(CONCATENATE("#Metadata!", ADDRESS(INDEX($AI$2:$AI$1001,MATCH(ROWS($AG$2:AG774),$AG$2:$AG$1001,0),0), INDEX($AN$1004:$BO$1004,1,MATCH(COLUMNS($AN$1006:BA1006),$AN$1006:$BO$1006,0)))),"Fix")))</f>
        <v>0</v>
      </c>
      <c r="P774" s="4">
        <f>IF(OR(INDEX($AH$2:$AH$1001,MATCH(ROWS($AG$2:AG774),$AG$2:$AG$1001,0),1)&gt;=100000,INDEX($AN$1005:$BO$1005,1,MATCH(COLUMNS($AN$1006:BB1006),$AN$1006:$BO$1006,0))&gt;=100000), " ",IF(INDEX($AN$2:$BO$1001,MATCH(ROWS($AG$2:AG774),$AG$2:$AG$1001,0),MATCH(COLUMNS($AN$1006:BB1006),$AN$1006:$BO$1006,0)), HYPERLINK("#",""), HYPERLINK(CONCATENATE("#Metadata!", ADDRESS(INDEX($AI$2:$AI$1001,MATCH(ROWS($AG$2:AG774),$AG$2:$AG$1001,0),0), INDEX($AN$1004:$BO$1004,1,MATCH(COLUMNS($AN$1006:BB1006),$AN$1006:$BO$1006,0)))),"Fix")))</f>
        <v>0</v>
      </c>
      <c r="Q774" s="4">
        <f>IF(OR(INDEX($AH$2:$AH$1001,MATCH(ROWS($AG$2:AG774),$AG$2:$AG$1001,0),1)&gt;=100000,INDEX($AN$1005:$BO$1005,1,MATCH(COLUMNS($AN$1006:BC1006),$AN$1006:$BO$1006,0))&gt;=100000), " ",IF(INDEX($AN$2:$BO$1001,MATCH(ROWS($AG$2:AG774),$AG$2:$AG$1001,0),MATCH(COLUMNS($AN$1006:BC1006),$AN$1006:$BO$1006,0)), HYPERLINK("#",""), HYPERLINK(CONCATENATE("#Metadata!", ADDRESS(INDEX($AI$2:$AI$1001,MATCH(ROWS($AG$2:AG774),$AG$2:$AG$1001,0),0), INDEX($AN$1004:$BO$1004,1,MATCH(COLUMNS($AN$1006:BC1006),$AN$1006:$BO$1006,0)))),"Fix")))</f>
        <v>0</v>
      </c>
      <c r="R774" s="4">
        <f>IF(OR(INDEX($AH$2:$AH$1001,MATCH(ROWS($AG$2:AG774),$AG$2:$AG$1001,0),1)&gt;=100000,INDEX($AN$1005:$BO$1005,1,MATCH(COLUMNS($AN$1006:BD1006),$AN$1006:$BO$1006,0))&gt;=100000), " ",IF(INDEX($AN$2:$BO$1001,MATCH(ROWS($AG$2:AG774),$AG$2:$AG$1001,0),MATCH(COLUMNS($AN$1006:BD1006),$AN$1006:$BO$1006,0)), HYPERLINK("#",""), HYPERLINK(CONCATENATE("#Metadata!", ADDRESS(INDEX($AI$2:$AI$1001,MATCH(ROWS($AG$2:AG774),$AG$2:$AG$1001,0),0), INDEX($AN$1004:$BO$1004,1,MATCH(COLUMNS($AN$1006:BD1006),$AN$1006:$BO$1006,0)))),"Fix")))</f>
        <v>0</v>
      </c>
      <c r="S774" s="4">
        <f>IF(OR(INDEX($AH$2:$AH$1001,MATCH(ROWS($AG$2:AG774),$AG$2:$AG$1001,0),1)&gt;=100000,INDEX($AN$1005:$BO$1005,1,MATCH(COLUMNS($AN$1006:BE1006),$AN$1006:$BO$1006,0))&gt;=100000), " ",IF(INDEX($AN$2:$BO$1001,MATCH(ROWS($AG$2:AG774),$AG$2:$AG$1001,0),MATCH(COLUMNS($AN$1006:BE1006),$AN$1006:$BO$1006,0)), HYPERLINK("#",""), HYPERLINK(CONCATENATE("#Metadata!", ADDRESS(INDEX($AI$2:$AI$1001,MATCH(ROWS($AG$2:AG774),$AG$2:$AG$1001,0),0), INDEX($AN$1004:$BO$1004,1,MATCH(COLUMNS($AN$1006:BE1006),$AN$1006:$BO$1006,0)))),"Fix")))</f>
        <v>0</v>
      </c>
      <c r="T774" s="4">
        <f>IF(OR(INDEX($AH$2:$AH$1001,MATCH(ROWS($AG$2:AG774),$AG$2:$AG$1001,0),1)&gt;=100000,INDEX($AN$1005:$BO$1005,1,MATCH(COLUMNS($AN$1006:BF1006),$AN$1006:$BO$1006,0))&gt;=100000), " ",IF(INDEX($AN$2:$BO$1001,MATCH(ROWS($AG$2:AG774),$AG$2:$AG$1001,0),MATCH(COLUMNS($AN$1006:BF1006),$AN$1006:$BO$1006,0)), HYPERLINK("#",""), HYPERLINK(CONCATENATE("#Metadata!", ADDRESS(INDEX($AI$2:$AI$1001,MATCH(ROWS($AG$2:AG774),$AG$2:$AG$1001,0),0), INDEX($AN$1004:$BO$1004,1,MATCH(COLUMNS($AN$1006:BF1006),$AN$1006:$BO$1006,0)))),"Fix")))</f>
        <v>0</v>
      </c>
      <c r="U774" s="4">
        <f>IF(OR(INDEX($AH$2:$AH$1001,MATCH(ROWS($AG$2:AG774),$AG$2:$AG$1001,0),1)&gt;=100000,INDEX($AN$1005:$BO$1005,1,MATCH(COLUMNS($AN$1006:BG1006),$AN$1006:$BO$1006,0))&gt;=100000), " ",IF(INDEX($AN$2:$BO$1001,MATCH(ROWS($AG$2:AG774),$AG$2:$AG$1001,0),MATCH(COLUMNS($AN$1006:BG1006),$AN$1006:$BO$1006,0)), HYPERLINK("#",""), HYPERLINK(CONCATENATE("#Metadata!", ADDRESS(INDEX($AI$2:$AI$1001,MATCH(ROWS($AG$2:AG774),$AG$2:$AG$1001,0),0), INDEX($AN$1004:$BO$1004,1,MATCH(COLUMNS($AN$1006:BG1006),$AN$1006:$BO$1006,0)))),"Fix")))</f>
        <v>0</v>
      </c>
      <c r="V774" s="4">
        <f>IF(OR(INDEX($AH$2:$AH$1001,MATCH(ROWS($AG$2:AG774),$AG$2:$AG$1001,0),1)&gt;=100000,INDEX($AN$1005:$BO$1005,1,MATCH(COLUMNS($AN$1006:BH1006),$AN$1006:$BO$1006,0))&gt;=100000), " ",IF(INDEX($AN$2:$BO$1001,MATCH(ROWS($AG$2:AG774),$AG$2:$AG$1001,0),MATCH(COLUMNS($AN$1006:BH1006),$AN$1006:$BO$1006,0)), HYPERLINK("#",""), HYPERLINK(CONCATENATE("#Metadata!", ADDRESS(INDEX($AI$2:$AI$1001,MATCH(ROWS($AG$2:AG774),$AG$2:$AG$1001,0),0), INDEX($AN$1004:$BO$1004,1,MATCH(COLUMNS($AN$1006:BH1006),$AN$1006:$BO$1006,0)))),"Fix")))</f>
        <v>0</v>
      </c>
      <c r="W774" s="4">
        <f>IF(OR(INDEX($AH$2:$AH$1001,MATCH(ROWS($AG$2:AG774),$AG$2:$AG$1001,0),1)&gt;=100000,INDEX($AN$1005:$BO$1005,1,MATCH(COLUMNS($AN$1006:BI1006),$AN$1006:$BO$1006,0))&gt;=100000), " ",IF(INDEX($AN$2:$BO$1001,MATCH(ROWS($AG$2:AG774),$AG$2:$AG$1001,0),MATCH(COLUMNS($AN$1006:BI1006),$AN$1006:$BO$1006,0)), HYPERLINK("#",""), HYPERLINK(CONCATENATE("#Metadata!", ADDRESS(INDEX($AI$2:$AI$1001,MATCH(ROWS($AG$2:AG774),$AG$2:$AG$1001,0),0), INDEX($AN$1004:$BO$1004,1,MATCH(COLUMNS($AN$1006:BI1006),$AN$1006:$BO$1006,0)))),"Fix")))</f>
        <v>0</v>
      </c>
      <c r="X774" s="4">
        <f>IF(OR(INDEX($AH$2:$AH$1001,MATCH(ROWS($AG$2:AG774),$AG$2:$AG$1001,0),1)&gt;=100000,INDEX($AN$1005:$BO$1005,1,MATCH(COLUMNS($AN$1006:BJ1006),$AN$1006:$BO$1006,0))&gt;=100000), " ",IF(INDEX($AN$2:$BO$1001,MATCH(ROWS($AG$2:AG774),$AG$2:$AG$1001,0),MATCH(COLUMNS($AN$1006:BJ1006),$AN$1006:$BO$1006,0)), HYPERLINK("#",""), HYPERLINK(CONCATENATE("#Metadata!", ADDRESS(INDEX($AI$2:$AI$1001,MATCH(ROWS($AG$2:AG774),$AG$2:$AG$1001,0),0), INDEX($AN$1004:$BO$1004,1,MATCH(COLUMNS($AN$1006:BJ1006),$AN$1006:$BO$1006,0)))),"Fix")))</f>
        <v>0</v>
      </c>
      <c r="Y774" s="4">
        <f>IF(OR(INDEX($AH$2:$AH$1001,MATCH(ROWS($AG$2:AG774),$AG$2:$AG$1001,0),1)&gt;=100000,INDEX($AN$1005:$BO$1005,1,MATCH(COLUMNS($AN$1006:BK1006),$AN$1006:$BO$1006,0))&gt;=100000), " ",IF(INDEX($AN$2:$BO$1001,MATCH(ROWS($AG$2:AG774),$AG$2:$AG$1001,0),MATCH(COLUMNS($AN$1006:BK1006),$AN$1006:$BO$1006,0)), HYPERLINK("#",""), HYPERLINK(CONCATENATE("#Metadata!", ADDRESS(INDEX($AI$2:$AI$1001,MATCH(ROWS($AG$2:AG774),$AG$2:$AG$1001,0),0), INDEX($AN$1004:$BO$1004,1,MATCH(COLUMNS($AN$1006:BK1006),$AN$1006:$BO$1006,0)))),"Fix")))</f>
        <v>0</v>
      </c>
      <c r="Z774" s="4">
        <f>IF(OR(INDEX($AH$2:$AH$1001,MATCH(ROWS($AG$2:AG774),$AG$2:$AG$1001,0),1)&gt;=100000,INDEX($AN$1005:$BO$1005,1,MATCH(COLUMNS($AN$1006:BL1006),$AN$1006:$BO$1006,0))&gt;=100000), " ",IF(INDEX($AN$2:$BO$1001,MATCH(ROWS($AG$2:AG774),$AG$2:$AG$1001,0),MATCH(COLUMNS($AN$1006:BL1006),$AN$1006:$BO$1006,0)), HYPERLINK("#",""), HYPERLINK(CONCATENATE("#Metadata!", ADDRESS(INDEX($AI$2:$AI$1001,MATCH(ROWS($AG$2:AG774),$AG$2:$AG$1001,0),0), INDEX($AN$1004:$BO$1004,1,MATCH(COLUMNS($AN$1006:BL1006),$AN$1006:$BO$1006,0)))),"Fix")))</f>
        <v>0</v>
      </c>
      <c r="AA774" s="4">
        <f>IF(OR(INDEX($AH$2:$AH$1001,MATCH(ROWS($AG$2:AG774),$AG$2:$AG$1001,0),1)&gt;=100000,INDEX($AN$1005:$BO$1005,1,MATCH(COLUMNS($AN$1006:BM1006),$AN$1006:$BO$1006,0))&gt;=100000), " ",IF(INDEX($AN$2:$BO$1001,MATCH(ROWS($AG$2:AG774),$AG$2:$AG$1001,0),MATCH(COLUMNS($AN$1006:BM1006),$AN$1006:$BO$1006,0)), HYPERLINK("#",""), HYPERLINK(CONCATENATE("#Metadata!", ADDRESS(INDEX($AI$2:$AI$1001,MATCH(ROWS($AG$2:AG774),$AG$2:$AG$1001,0),0), INDEX($AN$1004:$BO$1004,1,MATCH(COLUMNS($AN$1006:BM1006),$AN$1006:$BO$1006,0)))),"Fix")))</f>
        <v>0</v>
      </c>
      <c r="AB774" s="4">
        <f>IF(OR(INDEX($AH$2:$AH$1001,MATCH(ROWS($AG$2:AG774),$AG$2:$AG$1001,0),1)&gt;=100000,INDEX($AN$1005:$BO$1005,1,MATCH(COLUMNS($AN$1006:BN1006),$AN$1006:$BO$1006,0))&gt;=100000), " ",IF(INDEX($AN$2:$BO$1001,MATCH(ROWS($AG$2:AG774),$AG$2:$AG$1001,0),MATCH(COLUMNS($AN$1006:BN1006),$AN$1006:$BO$1006,0)), HYPERLINK("#",""), HYPERLINK(CONCATENATE("#Metadata!", ADDRESS(INDEX($AI$2:$AI$1001,MATCH(ROWS($AG$2:AG774),$AG$2:$AG$1001,0),0), INDEX($AN$1004:$BO$1004,1,MATCH(COLUMNS($AN$1006:BN1006),$AN$1006:$BO$1006,0)))),"Fix")))</f>
        <v>0</v>
      </c>
      <c r="AC774" s="4">
        <f>IF(OR(INDEX($AH$2:$AH$1001,MATCH(ROWS($AG$2:AG774),$AG$2:$AG$1001,0),1)&gt;=100000,INDEX($AN$1005:$BO$1005,1,MATCH(COLUMNS($AN$1006:BO1006),$AN$1006:$BO$1006,0))&gt;=100000), " ",IF(INDEX($AN$2:$BO$1001,MATCH(ROWS($AG$2:AG774),$AG$2:$AG$1001,0),MATCH(COLUMNS($AN$1006:BO1006),$AN$1006:$BO$1006,0)), HYPERLINK("#",""), HYPERLINK(CONCATENATE("#Metadata!", ADDRESS(INDEX($AI$2:$AI$1001,MATCH(ROWS($AG$2:AG774),$AG$2:$AG$1001,0),0), INDEX($AN$1004:$BO$1004,1,MATCH(COLUMNS($AN$1006:BO1006),$AN$1006:$BO$1006,0)))),"Fix")))</f>
        <v>0</v>
      </c>
      <c r="AG774">
        <v>0</v>
      </c>
      <c r="AH774">
        <v>0</v>
      </c>
      <c r="AI774">
        <v>0</v>
      </c>
      <c r="AJ774">
        <f>IF(AK774,TRUE,AND(AN774:BO774))</f>
        <v>0</v>
      </c>
      <c r="AK774">
        <f>COUNTBLANK(Metadata!B774:AC774)=COLUMNS(Metadata!B774:AC774)</f>
        <v>0</v>
      </c>
      <c r="AL774">
        <v>0</v>
      </c>
      <c r="AN774">
        <f>AND(IF(Metadata!B774="",FALSE,TRUE),COUNTIF(Metadata!B:B, Metadata!B774) = 1,NOT(ISERROR(SUMPRODUCT(SEARCH(MID(Metadata!B774,ROW(INDIRECT("1:"&amp;LEN(Metadata!B774))), 1),"0123456789abcdefghijklmnopqrstuvwxyzABCDEFGHIJKLMNOPQRSTUVWXYZ.")))))</f>
        <v>0</v>
      </c>
      <c r="AO774">
        <f>IF(Metadata!C774="",FALSE,TRUE)</f>
        <v>0</v>
      </c>
      <c r="AP774">
        <f>IF(Metadata!D774="",FALSE,TRUE)</f>
        <v>0</v>
      </c>
      <c r="AQ774">
        <f>OR(AND(IF(Metadata!E774="",FALSE,TRUE),OR(exact(Metadata!E774,"not collected"),exact(Metadata!E774,"not provided"),exact(Metadata!E774,"restricted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R774">
        <f>IF(Metadata!F774="",FALSE,TRUE)</f>
        <v>0</v>
      </c>
      <c r="AS774">
        <f>OR(AND(IF(Metadata!G774="",FALSE,TRUE),OR(exact(Metadata!G774,"not collected"),exact(Metadata!G774,"not provided"))),AND(IF(Metadata!G774="",FALSE,TRUE),OR(exact(Metadata!G774,"TRUE"),exact(Metadata!G774,"FALSE"))))</f>
        <v>0</v>
      </c>
      <c r="AT774">
        <f>OR(AND(IF(Metadata!H774="",FALSE,TRUE),OR(exact(Metadata!H774,"not collected"),exact(Metadata!H774,"not provided"),exact(Metadata!H774,"restricted access"))),AND(IF(Metadata!H774="",FALSE,ISNUMBER(VALUE(Metadata!H774))),Metadata!H774&gt;=-413.0))</f>
        <v>0</v>
      </c>
      <c r="AU774">
        <f>AND(IF(Metadata!I774="",FALSE,TRUE),exact(Metadata!I774,"meters"))</f>
        <v>0</v>
      </c>
      <c r="AV774">
        <f>AND(IF(Metadata!J774="",FALSE,TRUE),OR(exact(Metadata!J774,"Host-associated"),exact(Metadata!J774,"Free-living")))</f>
        <v>0</v>
      </c>
      <c r="AW774">
        <f>AND(IF(Metadata!K774="",FALSE,TRUE),OR(exact(Metadata!K774,"Animal"),exact(Metadata!K774,"Fungus"),exact(Metadata!K774,"Plant"),exact(Metadata!K774,"Saline"),exact(Metadata!K774,"Non-saline")))</f>
        <v>0</v>
      </c>
      <c r="AX774">
        <f>AND(IF(Metadata!L774="",FALSE,TRUE),OR(exact(Metadata!L774,"Plant secretion"),exact(Metadata!L774,"Plant rhizosphere"),exact(Metadata!L774,"Plant surface"),exact(Metadata!L774,"Plant corpus"),exact(Metadata!L774,"Fungus surface"),exact(Metadata!L774,"Fungus corpus"),exact(Metadata!L774,"Animal surface"),exact(Metadata!L774,"Animal proximal gut"),exact(Metadata!L774,"Animal corpus"),exact(Metadata!L774,"Animal distal gut"),exact(Metadata!L774,"Animal secretion"),exact(Metadata!L774,"Sub-surface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Y774">
        <f>IF(Metadata!M774="",FALSE,TRUE)</f>
        <v>0</v>
      </c>
      <c r="AZ774">
        <f>IF(Metadata!N774="",FALSE,TRUE)</f>
        <v>0</v>
      </c>
      <c r="BA774">
        <f>IF(Metadata!O774="",FALSE,TRUE)</f>
        <v>0</v>
      </c>
      <c r="BB774">
        <f>OR(AND(IF(Metadata!P774="",FALSE,TRUE),OR(exact(Metadata!P774,"not collected"),exact(Metadata!P774,"not provided"),exact(Metadata!P774,"restricted access"))),AND(IF(Metadata!P774="",FALSE,TRUE),OR(exact(Metadata!P774,"air"),exact(Metadata!P774,"built environment"),exact(Metadata!P774,"host-associated"),exact(Metadata!P774,"human-associated"),exact(Metadata!P774,"human-skin"),exact(Metadata!P774,"human-oral"),exact(Metadata!P774,"human-gut"),exact(Metadata!P774,"human-vaginal"),exact(Metadata!P774,"microbial mat/biofilm"),exact(Metadata!P774,"misc environment"),exact(Metadata!P774,"plant-associated"),exact(Metadata!P774,"sediment"),exact(Metadata!P774,"soil"),exact(Metadata!P774,"wastewater/sludge"),exact(Metadata!P774,"water"))))</f>
        <v>0</v>
      </c>
      <c r="BC774">
        <f>IF(Metadata!Q774="",FALSE,TRUE)</f>
        <v>0</v>
      </c>
      <c r="BD774">
        <f>IF(Metadata!R774="",FALSE,TRUE)</f>
        <v>0</v>
      </c>
      <c r="BE774">
        <f>OR(AND(IF(Metadata!S774="",FALSE,TRUE),OR(exact(Metadata!S774,"not collected"),exact(Metadata!S774,"not provided"),exact(Metadata!S774,"restricted access"))),AND(IF(Metadata!S774="",FALSE,ISNUMBER(VALUE(Metadata!S774))),Metadata!S774&gt;=-90.00,Metadata!S774&lt;=90.00))</f>
        <v>0</v>
      </c>
      <c r="BF774">
        <f>AND(IF(Metadata!T774="",FALSE,TRUE),exact(Metadata!T774,"Decimal degrees"))</f>
        <v>0</v>
      </c>
      <c r="BG774">
        <f>OR(AND(IF(Metadata!U774="",FALSE,TRUE),OR(exact(Metadata!U774,"not collected"),exact(Metadata!U774,"not provided"),exact(Metadata!U774,"restricted access"))),AND(IF(Metadata!U774="",FALSE,ISNUMBER(VALUE(Metadata!U774))),Metadata!U774&gt;=-180.00,Metadata!U774&lt;=180.00))</f>
        <v>0</v>
      </c>
      <c r="BH774">
        <f>AND(IF(Metadata!V774="",FALSE,TRUE),exact(Metadata!V774,"Decimal degrees"))</f>
        <v>0</v>
      </c>
      <c r="BI774">
        <f>IF(Metadata!W774="",FALSE,TRUE)</f>
        <v>0</v>
      </c>
      <c r="BJ774">
        <f>OR(AND(IF(Metadata!X774="",FALSE,TRUE),OR(exact(Metadata!X774,"not collected"),exact(Metadata!X774,"not provided"),exact(Metadata!X774,"restricted access"))),AND(IF(Metadata!X774="",FALSE,TRUE),OR(exact(Metadata!X774,"TRUE"),exact(Metadata!X774,"FALSE"))))</f>
        <v>0</v>
      </c>
      <c r="BK774">
        <f>AND(IF(Metadata!Y774="",FALSE,TRUE),exact(Metadata!Y774,"other"))</f>
        <v>0</v>
      </c>
      <c r="BL774">
        <f>IF(Metadata!Z774="",FALSE,TRUE)</f>
        <v>0</v>
      </c>
      <c r="BM774">
        <f>OR(AND(IF(Metadata!AA774="",FALSE,TRUE),OR(exact(Metadata!AA774,"not collected"),exact(Metadata!AA774,"not provided"))),AND(IF(Metadata!AA774="",FALSE,IF(ISERROR(INT(Metadata!AA774)),FALSE,INT(Metadata!AA774)=Metadata!AA774)),Metadata!AA774&gt;0))</f>
        <v>0</v>
      </c>
      <c r="BN774">
        <f>AND(IF(Metadata!AB774="",FALSE,TRUE),exact(Metadata!AB774,"Not applicable"))</f>
        <v>0</v>
      </c>
      <c r="BO774">
        <f>IF(Metadata!AC774="",FALSE,TRUE)</f>
        <v>0</v>
      </c>
    </row>
    <row r="775" spans="1:67">
      <c r="A775" s="5">
        <f>IF(B775=" "," ",HYPERLINK(CONCATENATE("#metadata!",ADDRESS(INDEX($AI$2:$AI$1001,MATCH(ROWS($AG$2:AG775),$AG$2:$AG$1001,0),0),1)),INDEX($AL$2:$AL$1001,MATCH(ROWS($AG$2:AG775),$AG$2:$AG$1001,0),0)))</f>
        <v>0</v>
      </c>
      <c r="B775" s="4">
        <f>IF(OR(INDEX($AH$2:$AH$1001,MATCH(ROWS($AG$2:AG775),$AG$2:$AG$1001,0),1)&gt;=100000,INDEX($AN$1005:$BO$1005,1,MATCH(COLUMNS($AN$1006:AN1006),$AN$1006:$BO$1006,0))&gt;=100000), " ",IF(INDEX($AN$2:$BO$1001,MATCH(ROWS($AG$2:AG775),$AG$2:$AG$1001,0),MATCH(COLUMNS($AN$1006:AN1006),$AN$1006:$BO$1006,0)), HYPERLINK("#",""), HYPERLINK(CONCATENATE("#Metadata!", ADDRESS(INDEX($AI$2:$AI$1001,MATCH(ROWS($AG$2:AG775),$AG$2:$AG$1001,0),0), INDEX($AN$1004:$BO$1004,1,MATCH(COLUMNS($AN$1006:AN1006),$AN$1006:$BO$1006,0)))),"Fix")))</f>
        <v>0</v>
      </c>
      <c r="C775" s="4">
        <f>IF(OR(INDEX($AH$2:$AH$1001,MATCH(ROWS($AG$2:AG775),$AG$2:$AG$1001,0),1)&gt;=100000,INDEX($AN$1005:$BO$1005,1,MATCH(COLUMNS($AN$1006:AO1006),$AN$1006:$BO$1006,0))&gt;=100000), " ",IF(INDEX($AN$2:$BO$1001,MATCH(ROWS($AG$2:AG775),$AG$2:$AG$1001,0),MATCH(COLUMNS($AN$1006:AO1006),$AN$1006:$BO$1006,0)), HYPERLINK("#",""), HYPERLINK(CONCATENATE("#Metadata!", ADDRESS(INDEX($AI$2:$AI$1001,MATCH(ROWS($AG$2:AG775),$AG$2:$AG$1001,0),0), INDEX($AN$1004:$BO$1004,1,MATCH(COLUMNS($AN$1006:AO1006),$AN$1006:$BO$1006,0)))),"Fix")))</f>
        <v>0</v>
      </c>
      <c r="D775" s="4">
        <f>IF(OR(INDEX($AH$2:$AH$1001,MATCH(ROWS($AG$2:AG775),$AG$2:$AG$1001,0),1)&gt;=100000,INDEX($AN$1005:$BO$1005,1,MATCH(COLUMNS($AN$1006:AP1006),$AN$1006:$BO$1006,0))&gt;=100000), " ",IF(INDEX($AN$2:$BO$1001,MATCH(ROWS($AG$2:AG775),$AG$2:$AG$1001,0),MATCH(COLUMNS($AN$1006:AP1006),$AN$1006:$BO$1006,0)), HYPERLINK("#",""), HYPERLINK(CONCATENATE("#Metadata!", ADDRESS(INDEX($AI$2:$AI$1001,MATCH(ROWS($AG$2:AG775),$AG$2:$AG$1001,0),0), INDEX($AN$1004:$BO$1004,1,MATCH(COLUMNS($AN$1006:AP1006),$AN$1006:$BO$1006,0)))),"Fix")))</f>
        <v>0</v>
      </c>
      <c r="E775" s="4">
        <f>IF(OR(INDEX($AH$2:$AH$1001,MATCH(ROWS($AG$2:AG775),$AG$2:$AG$1001,0),1)&gt;=100000,INDEX($AN$1005:$BO$1005,1,MATCH(COLUMNS($AN$1006:AQ1006),$AN$1006:$BO$1006,0))&gt;=100000), " ",IF(INDEX($AN$2:$BO$1001,MATCH(ROWS($AG$2:AG775),$AG$2:$AG$1001,0),MATCH(COLUMNS($AN$1006:AQ1006),$AN$1006:$BO$1006,0)), HYPERLINK("#",""), HYPERLINK(CONCATENATE("#Metadata!", ADDRESS(INDEX($AI$2:$AI$1001,MATCH(ROWS($AG$2:AG775),$AG$2:$AG$1001,0),0), INDEX($AN$1004:$BO$1004,1,MATCH(COLUMNS($AN$1006:AQ1006),$AN$1006:$BO$1006,0)))),"Fix")))</f>
        <v>0</v>
      </c>
      <c r="F775" s="4">
        <f>IF(OR(INDEX($AH$2:$AH$1001,MATCH(ROWS($AG$2:AG775),$AG$2:$AG$1001,0),1)&gt;=100000,INDEX($AN$1005:$BO$1005,1,MATCH(COLUMNS($AN$1006:AR1006),$AN$1006:$BO$1006,0))&gt;=100000), " ",IF(INDEX($AN$2:$BO$1001,MATCH(ROWS($AG$2:AG775),$AG$2:$AG$1001,0),MATCH(COLUMNS($AN$1006:AR1006),$AN$1006:$BO$1006,0)), HYPERLINK("#",""), HYPERLINK(CONCATENATE("#Metadata!", ADDRESS(INDEX($AI$2:$AI$1001,MATCH(ROWS($AG$2:AG775),$AG$2:$AG$1001,0),0), INDEX($AN$1004:$BO$1004,1,MATCH(COLUMNS($AN$1006:AR1006),$AN$1006:$BO$1006,0)))),"Fix")))</f>
        <v>0</v>
      </c>
      <c r="G775" s="4">
        <f>IF(OR(INDEX($AH$2:$AH$1001,MATCH(ROWS($AG$2:AG775),$AG$2:$AG$1001,0),1)&gt;=100000,INDEX($AN$1005:$BO$1005,1,MATCH(COLUMNS($AN$1006:AS1006),$AN$1006:$BO$1006,0))&gt;=100000), " ",IF(INDEX($AN$2:$BO$1001,MATCH(ROWS($AG$2:AG775),$AG$2:$AG$1001,0),MATCH(COLUMNS($AN$1006:AS1006),$AN$1006:$BO$1006,0)), HYPERLINK("#",""), HYPERLINK(CONCATENATE("#Metadata!", ADDRESS(INDEX($AI$2:$AI$1001,MATCH(ROWS($AG$2:AG775),$AG$2:$AG$1001,0),0), INDEX($AN$1004:$BO$1004,1,MATCH(COLUMNS($AN$1006:AS1006),$AN$1006:$BO$1006,0)))),"Fix")))</f>
        <v>0</v>
      </c>
      <c r="H775" s="4">
        <f>IF(OR(INDEX($AH$2:$AH$1001,MATCH(ROWS($AG$2:AG775),$AG$2:$AG$1001,0),1)&gt;=100000,INDEX($AN$1005:$BO$1005,1,MATCH(COLUMNS($AN$1006:AT1006),$AN$1006:$BO$1006,0))&gt;=100000), " ",IF(INDEX($AN$2:$BO$1001,MATCH(ROWS($AG$2:AG775),$AG$2:$AG$1001,0),MATCH(COLUMNS($AN$1006:AT1006),$AN$1006:$BO$1006,0)), HYPERLINK("#",""), HYPERLINK(CONCATENATE("#Metadata!", ADDRESS(INDEX($AI$2:$AI$1001,MATCH(ROWS($AG$2:AG775),$AG$2:$AG$1001,0),0), INDEX($AN$1004:$BO$1004,1,MATCH(COLUMNS($AN$1006:AT1006),$AN$1006:$BO$1006,0)))),"Fix")))</f>
        <v>0</v>
      </c>
      <c r="I775" s="4">
        <f>IF(OR(INDEX($AH$2:$AH$1001,MATCH(ROWS($AG$2:AG775),$AG$2:$AG$1001,0),1)&gt;=100000,INDEX($AN$1005:$BO$1005,1,MATCH(COLUMNS($AN$1006:AU1006),$AN$1006:$BO$1006,0))&gt;=100000), " ",IF(INDEX($AN$2:$BO$1001,MATCH(ROWS($AG$2:AG775),$AG$2:$AG$1001,0),MATCH(COLUMNS($AN$1006:AU1006),$AN$1006:$BO$1006,0)), HYPERLINK("#",""), HYPERLINK(CONCATENATE("#Metadata!", ADDRESS(INDEX($AI$2:$AI$1001,MATCH(ROWS($AG$2:AG775),$AG$2:$AG$1001,0),0), INDEX($AN$1004:$BO$1004,1,MATCH(COLUMNS($AN$1006:AU1006),$AN$1006:$BO$1006,0)))),"Fix")))</f>
        <v>0</v>
      </c>
      <c r="J775" s="4">
        <f>IF(OR(INDEX($AH$2:$AH$1001,MATCH(ROWS($AG$2:AG775),$AG$2:$AG$1001,0),1)&gt;=100000,INDEX($AN$1005:$BO$1005,1,MATCH(COLUMNS($AN$1006:AV1006),$AN$1006:$BO$1006,0))&gt;=100000), " ",IF(INDEX($AN$2:$BO$1001,MATCH(ROWS($AG$2:AG775),$AG$2:$AG$1001,0),MATCH(COLUMNS($AN$1006:AV1006),$AN$1006:$BO$1006,0)), HYPERLINK("#",""), HYPERLINK(CONCATENATE("#Metadata!", ADDRESS(INDEX($AI$2:$AI$1001,MATCH(ROWS($AG$2:AG775),$AG$2:$AG$1001,0),0), INDEX($AN$1004:$BO$1004,1,MATCH(COLUMNS($AN$1006:AV1006),$AN$1006:$BO$1006,0)))),"Fix")))</f>
        <v>0</v>
      </c>
      <c r="K775" s="4">
        <f>IF(OR(INDEX($AH$2:$AH$1001,MATCH(ROWS($AG$2:AG775),$AG$2:$AG$1001,0),1)&gt;=100000,INDEX($AN$1005:$BO$1005,1,MATCH(COLUMNS($AN$1006:AW1006),$AN$1006:$BO$1006,0))&gt;=100000), " ",IF(INDEX($AN$2:$BO$1001,MATCH(ROWS($AG$2:AG775),$AG$2:$AG$1001,0),MATCH(COLUMNS($AN$1006:AW1006),$AN$1006:$BO$1006,0)), HYPERLINK("#",""), HYPERLINK(CONCATENATE("#Metadata!", ADDRESS(INDEX($AI$2:$AI$1001,MATCH(ROWS($AG$2:AG775),$AG$2:$AG$1001,0),0), INDEX($AN$1004:$BO$1004,1,MATCH(COLUMNS($AN$1006:AW1006),$AN$1006:$BO$1006,0)))),"Fix")))</f>
        <v>0</v>
      </c>
      <c r="L775" s="4">
        <f>IF(OR(INDEX($AH$2:$AH$1001,MATCH(ROWS($AG$2:AG775),$AG$2:$AG$1001,0),1)&gt;=100000,INDEX($AN$1005:$BO$1005,1,MATCH(COLUMNS($AN$1006:AX1006),$AN$1006:$BO$1006,0))&gt;=100000), " ",IF(INDEX($AN$2:$BO$1001,MATCH(ROWS($AG$2:AG775),$AG$2:$AG$1001,0),MATCH(COLUMNS($AN$1006:AX1006),$AN$1006:$BO$1006,0)), HYPERLINK("#",""), HYPERLINK(CONCATENATE("#Metadata!", ADDRESS(INDEX($AI$2:$AI$1001,MATCH(ROWS($AG$2:AG775),$AG$2:$AG$1001,0),0), INDEX($AN$1004:$BO$1004,1,MATCH(COLUMNS($AN$1006:AX1006),$AN$1006:$BO$1006,0)))),"Fix")))</f>
        <v>0</v>
      </c>
      <c r="M775" s="4">
        <f>IF(OR(INDEX($AH$2:$AH$1001,MATCH(ROWS($AG$2:AG775),$AG$2:$AG$1001,0),1)&gt;=100000,INDEX($AN$1005:$BO$1005,1,MATCH(COLUMNS($AN$1006:AY1006),$AN$1006:$BO$1006,0))&gt;=100000), " ",IF(INDEX($AN$2:$BO$1001,MATCH(ROWS($AG$2:AG775),$AG$2:$AG$1001,0),MATCH(COLUMNS($AN$1006:AY1006),$AN$1006:$BO$1006,0)), HYPERLINK("#",""), HYPERLINK(CONCATENATE("#Metadata!", ADDRESS(INDEX($AI$2:$AI$1001,MATCH(ROWS($AG$2:AG775),$AG$2:$AG$1001,0),0), INDEX($AN$1004:$BO$1004,1,MATCH(COLUMNS($AN$1006:AY1006),$AN$1006:$BO$1006,0)))),"Fix")))</f>
        <v>0</v>
      </c>
      <c r="N775" s="4">
        <f>IF(OR(INDEX($AH$2:$AH$1001,MATCH(ROWS($AG$2:AG775),$AG$2:$AG$1001,0),1)&gt;=100000,INDEX($AN$1005:$BO$1005,1,MATCH(COLUMNS($AN$1006:AZ1006),$AN$1006:$BO$1006,0))&gt;=100000), " ",IF(INDEX($AN$2:$BO$1001,MATCH(ROWS($AG$2:AG775),$AG$2:$AG$1001,0),MATCH(COLUMNS($AN$1006:AZ1006),$AN$1006:$BO$1006,0)), HYPERLINK("#",""), HYPERLINK(CONCATENATE("#Metadata!", ADDRESS(INDEX($AI$2:$AI$1001,MATCH(ROWS($AG$2:AG775),$AG$2:$AG$1001,0),0), INDEX($AN$1004:$BO$1004,1,MATCH(COLUMNS($AN$1006:AZ1006),$AN$1006:$BO$1006,0)))),"Fix")))</f>
        <v>0</v>
      </c>
      <c r="O775" s="4">
        <f>IF(OR(INDEX($AH$2:$AH$1001,MATCH(ROWS($AG$2:AG775),$AG$2:$AG$1001,0),1)&gt;=100000,INDEX($AN$1005:$BO$1005,1,MATCH(COLUMNS($AN$1006:BA1006),$AN$1006:$BO$1006,0))&gt;=100000), " ",IF(INDEX($AN$2:$BO$1001,MATCH(ROWS($AG$2:AG775),$AG$2:$AG$1001,0),MATCH(COLUMNS($AN$1006:BA1006),$AN$1006:$BO$1006,0)), HYPERLINK("#",""), HYPERLINK(CONCATENATE("#Metadata!", ADDRESS(INDEX($AI$2:$AI$1001,MATCH(ROWS($AG$2:AG775),$AG$2:$AG$1001,0),0), INDEX($AN$1004:$BO$1004,1,MATCH(COLUMNS($AN$1006:BA1006),$AN$1006:$BO$1006,0)))),"Fix")))</f>
        <v>0</v>
      </c>
      <c r="P775" s="4">
        <f>IF(OR(INDEX($AH$2:$AH$1001,MATCH(ROWS($AG$2:AG775),$AG$2:$AG$1001,0),1)&gt;=100000,INDEX($AN$1005:$BO$1005,1,MATCH(COLUMNS($AN$1006:BB1006),$AN$1006:$BO$1006,0))&gt;=100000), " ",IF(INDEX($AN$2:$BO$1001,MATCH(ROWS($AG$2:AG775),$AG$2:$AG$1001,0),MATCH(COLUMNS($AN$1006:BB1006),$AN$1006:$BO$1006,0)), HYPERLINK("#",""), HYPERLINK(CONCATENATE("#Metadata!", ADDRESS(INDEX($AI$2:$AI$1001,MATCH(ROWS($AG$2:AG775),$AG$2:$AG$1001,0),0), INDEX($AN$1004:$BO$1004,1,MATCH(COLUMNS($AN$1006:BB1006),$AN$1006:$BO$1006,0)))),"Fix")))</f>
        <v>0</v>
      </c>
      <c r="Q775" s="4">
        <f>IF(OR(INDEX($AH$2:$AH$1001,MATCH(ROWS($AG$2:AG775),$AG$2:$AG$1001,0),1)&gt;=100000,INDEX($AN$1005:$BO$1005,1,MATCH(COLUMNS($AN$1006:BC1006),$AN$1006:$BO$1006,0))&gt;=100000), " ",IF(INDEX($AN$2:$BO$1001,MATCH(ROWS($AG$2:AG775),$AG$2:$AG$1001,0),MATCH(COLUMNS($AN$1006:BC1006),$AN$1006:$BO$1006,0)), HYPERLINK("#",""), HYPERLINK(CONCATENATE("#Metadata!", ADDRESS(INDEX($AI$2:$AI$1001,MATCH(ROWS($AG$2:AG775),$AG$2:$AG$1001,0),0), INDEX($AN$1004:$BO$1004,1,MATCH(COLUMNS($AN$1006:BC1006),$AN$1006:$BO$1006,0)))),"Fix")))</f>
        <v>0</v>
      </c>
      <c r="R775" s="4">
        <f>IF(OR(INDEX($AH$2:$AH$1001,MATCH(ROWS($AG$2:AG775),$AG$2:$AG$1001,0),1)&gt;=100000,INDEX($AN$1005:$BO$1005,1,MATCH(COLUMNS($AN$1006:BD1006),$AN$1006:$BO$1006,0))&gt;=100000), " ",IF(INDEX($AN$2:$BO$1001,MATCH(ROWS($AG$2:AG775),$AG$2:$AG$1001,0),MATCH(COLUMNS($AN$1006:BD1006),$AN$1006:$BO$1006,0)), HYPERLINK("#",""), HYPERLINK(CONCATENATE("#Metadata!", ADDRESS(INDEX($AI$2:$AI$1001,MATCH(ROWS($AG$2:AG775),$AG$2:$AG$1001,0),0), INDEX($AN$1004:$BO$1004,1,MATCH(COLUMNS($AN$1006:BD1006),$AN$1006:$BO$1006,0)))),"Fix")))</f>
        <v>0</v>
      </c>
      <c r="S775" s="4">
        <f>IF(OR(INDEX($AH$2:$AH$1001,MATCH(ROWS($AG$2:AG775),$AG$2:$AG$1001,0),1)&gt;=100000,INDEX($AN$1005:$BO$1005,1,MATCH(COLUMNS($AN$1006:BE1006),$AN$1006:$BO$1006,0))&gt;=100000), " ",IF(INDEX($AN$2:$BO$1001,MATCH(ROWS($AG$2:AG775),$AG$2:$AG$1001,0),MATCH(COLUMNS($AN$1006:BE1006),$AN$1006:$BO$1006,0)), HYPERLINK("#",""), HYPERLINK(CONCATENATE("#Metadata!", ADDRESS(INDEX($AI$2:$AI$1001,MATCH(ROWS($AG$2:AG775),$AG$2:$AG$1001,0),0), INDEX($AN$1004:$BO$1004,1,MATCH(COLUMNS($AN$1006:BE1006),$AN$1006:$BO$1006,0)))),"Fix")))</f>
        <v>0</v>
      </c>
      <c r="T775" s="4">
        <f>IF(OR(INDEX($AH$2:$AH$1001,MATCH(ROWS($AG$2:AG775),$AG$2:$AG$1001,0),1)&gt;=100000,INDEX($AN$1005:$BO$1005,1,MATCH(COLUMNS($AN$1006:BF1006),$AN$1006:$BO$1006,0))&gt;=100000), " ",IF(INDEX($AN$2:$BO$1001,MATCH(ROWS($AG$2:AG775),$AG$2:$AG$1001,0),MATCH(COLUMNS($AN$1006:BF1006),$AN$1006:$BO$1006,0)), HYPERLINK("#",""), HYPERLINK(CONCATENATE("#Metadata!", ADDRESS(INDEX($AI$2:$AI$1001,MATCH(ROWS($AG$2:AG775),$AG$2:$AG$1001,0),0), INDEX($AN$1004:$BO$1004,1,MATCH(COLUMNS($AN$1006:BF1006),$AN$1006:$BO$1006,0)))),"Fix")))</f>
        <v>0</v>
      </c>
      <c r="U775" s="4">
        <f>IF(OR(INDEX($AH$2:$AH$1001,MATCH(ROWS($AG$2:AG775),$AG$2:$AG$1001,0),1)&gt;=100000,INDEX($AN$1005:$BO$1005,1,MATCH(COLUMNS($AN$1006:BG1006),$AN$1006:$BO$1006,0))&gt;=100000), " ",IF(INDEX($AN$2:$BO$1001,MATCH(ROWS($AG$2:AG775),$AG$2:$AG$1001,0),MATCH(COLUMNS($AN$1006:BG1006),$AN$1006:$BO$1006,0)), HYPERLINK("#",""), HYPERLINK(CONCATENATE("#Metadata!", ADDRESS(INDEX($AI$2:$AI$1001,MATCH(ROWS($AG$2:AG775),$AG$2:$AG$1001,0),0), INDEX($AN$1004:$BO$1004,1,MATCH(COLUMNS($AN$1006:BG1006),$AN$1006:$BO$1006,0)))),"Fix")))</f>
        <v>0</v>
      </c>
      <c r="V775" s="4">
        <f>IF(OR(INDEX($AH$2:$AH$1001,MATCH(ROWS($AG$2:AG775),$AG$2:$AG$1001,0),1)&gt;=100000,INDEX($AN$1005:$BO$1005,1,MATCH(COLUMNS($AN$1006:BH1006),$AN$1006:$BO$1006,0))&gt;=100000), " ",IF(INDEX($AN$2:$BO$1001,MATCH(ROWS($AG$2:AG775),$AG$2:$AG$1001,0),MATCH(COLUMNS($AN$1006:BH1006),$AN$1006:$BO$1006,0)), HYPERLINK("#",""), HYPERLINK(CONCATENATE("#Metadata!", ADDRESS(INDEX($AI$2:$AI$1001,MATCH(ROWS($AG$2:AG775),$AG$2:$AG$1001,0),0), INDEX($AN$1004:$BO$1004,1,MATCH(COLUMNS($AN$1006:BH1006),$AN$1006:$BO$1006,0)))),"Fix")))</f>
        <v>0</v>
      </c>
      <c r="W775" s="4">
        <f>IF(OR(INDEX($AH$2:$AH$1001,MATCH(ROWS($AG$2:AG775),$AG$2:$AG$1001,0),1)&gt;=100000,INDEX($AN$1005:$BO$1005,1,MATCH(COLUMNS($AN$1006:BI1006),$AN$1006:$BO$1006,0))&gt;=100000), " ",IF(INDEX($AN$2:$BO$1001,MATCH(ROWS($AG$2:AG775),$AG$2:$AG$1001,0),MATCH(COLUMNS($AN$1006:BI1006),$AN$1006:$BO$1006,0)), HYPERLINK("#",""), HYPERLINK(CONCATENATE("#Metadata!", ADDRESS(INDEX($AI$2:$AI$1001,MATCH(ROWS($AG$2:AG775),$AG$2:$AG$1001,0),0), INDEX($AN$1004:$BO$1004,1,MATCH(COLUMNS($AN$1006:BI1006),$AN$1006:$BO$1006,0)))),"Fix")))</f>
        <v>0</v>
      </c>
      <c r="X775" s="4">
        <f>IF(OR(INDEX($AH$2:$AH$1001,MATCH(ROWS($AG$2:AG775),$AG$2:$AG$1001,0),1)&gt;=100000,INDEX($AN$1005:$BO$1005,1,MATCH(COLUMNS($AN$1006:BJ1006),$AN$1006:$BO$1006,0))&gt;=100000), " ",IF(INDEX($AN$2:$BO$1001,MATCH(ROWS($AG$2:AG775),$AG$2:$AG$1001,0),MATCH(COLUMNS($AN$1006:BJ1006),$AN$1006:$BO$1006,0)), HYPERLINK("#",""), HYPERLINK(CONCATENATE("#Metadata!", ADDRESS(INDEX($AI$2:$AI$1001,MATCH(ROWS($AG$2:AG775),$AG$2:$AG$1001,0),0), INDEX($AN$1004:$BO$1004,1,MATCH(COLUMNS($AN$1006:BJ1006),$AN$1006:$BO$1006,0)))),"Fix")))</f>
        <v>0</v>
      </c>
      <c r="Y775" s="4">
        <f>IF(OR(INDEX($AH$2:$AH$1001,MATCH(ROWS($AG$2:AG775),$AG$2:$AG$1001,0),1)&gt;=100000,INDEX($AN$1005:$BO$1005,1,MATCH(COLUMNS($AN$1006:BK1006),$AN$1006:$BO$1006,0))&gt;=100000), " ",IF(INDEX($AN$2:$BO$1001,MATCH(ROWS($AG$2:AG775),$AG$2:$AG$1001,0),MATCH(COLUMNS($AN$1006:BK1006),$AN$1006:$BO$1006,0)), HYPERLINK("#",""), HYPERLINK(CONCATENATE("#Metadata!", ADDRESS(INDEX($AI$2:$AI$1001,MATCH(ROWS($AG$2:AG775),$AG$2:$AG$1001,0),0), INDEX($AN$1004:$BO$1004,1,MATCH(COLUMNS($AN$1006:BK1006),$AN$1006:$BO$1006,0)))),"Fix")))</f>
        <v>0</v>
      </c>
      <c r="Z775" s="4">
        <f>IF(OR(INDEX($AH$2:$AH$1001,MATCH(ROWS($AG$2:AG775),$AG$2:$AG$1001,0),1)&gt;=100000,INDEX($AN$1005:$BO$1005,1,MATCH(COLUMNS($AN$1006:BL1006),$AN$1006:$BO$1006,0))&gt;=100000), " ",IF(INDEX($AN$2:$BO$1001,MATCH(ROWS($AG$2:AG775),$AG$2:$AG$1001,0),MATCH(COLUMNS($AN$1006:BL1006),$AN$1006:$BO$1006,0)), HYPERLINK("#",""), HYPERLINK(CONCATENATE("#Metadata!", ADDRESS(INDEX($AI$2:$AI$1001,MATCH(ROWS($AG$2:AG775),$AG$2:$AG$1001,0),0), INDEX($AN$1004:$BO$1004,1,MATCH(COLUMNS($AN$1006:BL1006),$AN$1006:$BO$1006,0)))),"Fix")))</f>
        <v>0</v>
      </c>
      <c r="AA775" s="4">
        <f>IF(OR(INDEX($AH$2:$AH$1001,MATCH(ROWS($AG$2:AG775),$AG$2:$AG$1001,0),1)&gt;=100000,INDEX($AN$1005:$BO$1005,1,MATCH(COLUMNS($AN$1006:BM1006),$AN$1006:$BO$1006,0))&gt;=100000), " ",IF(INDEX($AN$2:$BO$1001,MATCH(ROWS($AG$2:AG775),$AG$2:$AG$1001,0),MATCH(COLUMNS($AN$1006:BM1006),$AN$1006:$BO$1006,0)), HYPERLINK("#",""), HYPERLINK(CONCATENATE("#Metadata!", ADDRESS(INDEX($AI$2:$AI$1001,MATCH(ROWS($AG$2:AG775),$AG$2:$AG$1001,0),0), INDEX($AN$1004:$BO$1004,1,MATCH(COLUMNS($AN$1006:BM1006),$AN$1006:$BO$1006,0)))),"Fix")))</f>
        <v>0</v>
      </c>
      <c r="AB775" s="4">
        <f>IF(OR(INDEX($AH$2:$AH$1001,MATCH(ROWS($AG$2:AG775),$AG$2:$AG$1001,0),1)&gt;=100000,INDEX($AN$1005:$BO$1005,1,MATCH(COLUMNS($AN$1006:BN1006),$AN$1006:$BO$1006,0))&gt;=100000), " ",IF(INDEX($AN$2:$BO$1001,MATCH(ROWS($AG$2:AG775),$AG$2:$AG$1001,0),MATCH(COLUMNS($AN$1006:BN1006),$AN$1006:$BO$1006,0)), HYPERLINK("#",""), HYPERLINK(CONCATENATE("#Metadata!", ADDRESS(INDEX($AI$2:$AI$1001,MATCH(ROWS($AG$2:AG775),$AG$2:$AG$1001,0),0), INDEX($AN$1004:$BO$1004,1,MATCH(COLUMNS($AN$1006:BN1006),$AN$1006:$BO$1006,0)))),"Fix")))</f>
        <v>0</v>
      </c>
      <c r="AC775" s="4">
        <f>IF(OR(INDEX($AH$2:$AH$1001,MATCH(ROWS($AG$2:AG775),$AG$2:$AG$1001,0),1)&gt;=100000,INDEX($AN$1005:$BO$1005,1,MATCH(COLUMNS($AN$1006:BO1006),$AN$1006:$BO$1006,0))&gt;=100000), " ",IF(INDEX($AN$2:$BO$1001,MATCH(ROWS($AG$2:AG775),$AG$2:$AG$1001,0),MATCH(COLUMNS($AN$1006:BO1006),$AN$1006:$BO$1006,0)), HYPERLINK("#",""), HYPERLINK(CONCATENATE("#Metadata!", ADDRESS(INDEX($AI$2:$AI$1001,MATCH(ROWS($AG$2:AG775),$AG$2:$AG$1001,0),0), INDEX($AN$1004:$BO$1004,1,MATCH(COLUMNS($AN$1006:BO1006),$AN$1006:$BO$1006,0)))),"Fix")))</f>
        <v>0</v>
      </c>
      <c r="AG775">
        <v>0</v>
      </c>
      <c r="AH775">
        <v>0</v>
      </c>
      <c r="AI775">
        <v>0</v>
      </c>
      <c r="AJ775">
        <f>IF(AK775,TRUE,AND(AN775:BO775))</f>
        <v>0</v>
      </c>
      <c r="AK775">
        <f>COUNTBLANK(Metadata!B775:AC775)=COLUMNS(Metadata!B775:AC775)</f>
        <v>0</v>
      </c>
      <c r="AL775">
        <v>0</v>
      </c>
      <c r="AN775">
        <f>AND(IF(Metadata!B775="",FALSE,TRUE),COUNTIF(Metadata!B:B, Metadata!B775) = 1,NOT(ISERROR(SUMPRODUCT(SEARCH(MID(Metadata!B775,ROW(INDIRECT("1:"&amp;LEN(Metadata!B775))), 1),"0123456789abcdefghijklmnopqrstuvwxyzABCDEFGHIJKLMNOPQRSTUVWXYZ.")))))</f>
        <v>0</v>
      </c>
      <c r="AO775">
        <f>IF(Metadata!C775="",FALSE,TRUE)</f>
        <v>0</v>
      </c>
      <c r="AP775">
        <f>IF(Metadata!D775="",FALSE,TRUE)</f>
        <v>0</v>
      </c>
      <c r="AQ775">
        <f>OR(AND(IF(Metadata!E775="",FALSE,TRUE),OR(exact(Metadata!E775,"not collected"),exact(Metadata!E775,"not provided"),exact(Metadata!E775,"restricted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R775">
        <f>IF(Metadata!F775="",FALSE,TRUE)</f>
        <v>0</v>
      </c>
      <c r="AS775">
        <f>OR(AND(IF(Metadata!G775="",FALSE,TRUE),OR(exact(Metadata!G775,"not collected"),exact(Metadata!G775,"not provided"))),AND(IF(Metadata!G775="",FALSE,TRUE),OR(exact(Metadata!G775,"TRUE"),exact(Metadata!G775,"FALSE"))))</f>
        <v>0</v>
      </c>
      <c r="AT775">
        <f>OR(AND(IF(Metadata!H775="",FALSE,TRUE),OR(exact(Metadata!H775,"not collected"),exact(Metadata!H775,"not provided"),exact(Metadata!H775,"restricted access"))),AND(IF(Metadata!H775="",FALSE,ISNUMBER(VALUE(Metadata!H775))),Metadata!H775&gt;=-413.0))</f>
        <v>0</v>
      </c>
      <c r="AU775">
        <f>AND(IF(Metadata!I775="",FALSE,TRUE),exact(Metadata!I775,"meters"))</f>
        <v>0</v>
      </c>
      <c r="AV775">
        <f>AND(IF(Metadata!J775="",FALSE,TRUE),OR(exact(Metadata!J775,"Host-associated"),exact(Metadata!J775,"Free-living")))</f>
        <v>0</v>
      </c>
      <c r="AW775">
        <f>AND(IF(Metadata!K775="",FALSE,TRUE),OR(exact(Metadata!K775,"Animal"),exact(Metadata!K775,"Fungus"),exact(Metadata!K775,"Plant"),exact(Metadata!K775,"Saline"),exact(Metadata!K775,"Non-saline")))</f>
        <v>0</v>
      </c>
      <c r="AX775">
        <f>AND(IF(Metadata!L775="",FALSE,TRUE),OR(exact(Metadata!L775,"Plant secretion"),exact(Metadata!L775,"Plant rhizosphere"),exact(Metadata!L775,"Plant surface"),exact(Metadata!L775,"Plant corpus"),exact(Metadata!L775,"Fungus surface"),exact(Metadata!L775,"Fungus corpus"),exact(Metadata!L775,"Animal surface"),exact(Metadata!L775,"Animal proximal gut"),exact(Metadata!L775,"Animal corpus"),exact(Metadata!L775,"Animal distal gut"),exact(Metadata!L775,"Animal secretion"),exact(Metadata!L775,"Sub-surface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Y775">
        <f>IF(Metadata!M775="",FALSE,TRUE)</f>
        <v>0</v>
      </c>
      <c r="AZ775">
        <f>IF(Metadata!N775="",FALSE,TRUE)</f>
        <v>0</v>
      </c>
      <c r="BA775">
        <f>IF(Metadata!O775="",FALSE,TRUE)</f>
        <v>0</v>
      </c>
      <c r="BB775">
        <f>OR(AND(IF(Metadata!P775="",FALSE,TRUE),OR(exact(Metadata!P775,"not collected"),exact(Metadata!P775,"not provided"),exact(Metadata!P775,"restricted access"))),AND(IF(Metadata!P775="",FALSE,TRUE),OR(exact(Metadata!P775,"air"),exact(Metadata!P775,"built environment"),exact(Metadata!P775,"host-associated"),exact(Metadata!P775,"human-associated"),exact(Metadata!P775,"human-skin"),exact(Metadata!P775,"human-oral"),exact(Metadata!P775,"human-gut"),exact(Metadata!P775,"human-vaginal"),exact(Metadata!P775,"microbial mat/biofilm"),exact(Metadata!P775,"misc environment"),exact(Metadata!P775,"plant-associated"),exact(Metadata!P775,"sediment"),exact(Metadata!P775,"soil"),exact(Metadata!P775,"wastewater/sludge"),exact(Metadata!P775,"water"))))</f>
        <v>0</v>
      </c>
      <c r="BC775">
        <f>IF(Metadata!Q775="",FALSE,TRUE)</f>
        <v>0</v>
      </c>
      <c r="BD775">
        <f>IF(Metadata!R775="",FALSE,TRUE)</f>
        <v>0</v>
      </c>
      <c r="BE775">
        <f>OR(AND(IF(Metadata!S775="",FALSE,TRUE),OR(exact(Metadata!S775,"not collected"),exact(Metadata!S775,"not provided"),exact(Metadata!S775,"restricted access"))),AND(IF(Metadata!S775="",FALSE,ISNUMBER(VALUE(Metadata!S775))),Metadata!S775&gt;=-90.00,Metadata!S775&lt;=90.00))</f>
        <v>0</v>
      </c>
      <c r="BF775">
        <f>AND(IF(Metadata!T775="",FALSE,TRUE),exact(Metadata!T775,"Decimal degrees"))</f>
        <v>0</v>
      </c>
      <c r="BG775">
        <f>OR(AND(IF(Metadata!U775="",FALSE,TRUE),OR(exact(Metadata!U775,"not collected"),exact(Metadata!U775,"not provided"),exact(Metadata!U775,"restricted access"))),AND(IF(Metadata!U775="",FALSE,ISNUMBER(VALUE(Metadata!U775))),Metadata!U775&gt;=-180.00,Metadata!U775&lt;=180.00))</f>
        <v>0</v>
      </c>
      <c r="BH775">
        <f>AND(IF(Metadata!V775="",FALSE,TRUE),exact(Metadata!V775,"Decimal degrees"))</f>
        <v>0</v>
      </c>
      <c r="BI775">
        <f>IF(Metadata!W775="",FALSE,TRUE)</f>
        <v>0</v>
      </c>
      <c r="BJ775">
        <f>OR(AND(IF(Metadata!X775="",FALSE,TRUE),OR(exact(Metadata!X775,"not collected"),exact(Metadata!X775,"not provided"),exact(Metadata!X775,"restricted access"))),AND(IF(Metadata!X775="",FALSE,TRUE),OR(exact(Metadata!X775,"TRUE"),exact(Metadata!X775,"FALSE"))))</f>
        <v>0</v>
      </c>
      <c r="BK775">
        <f>AND(IF(Metadata!Y775="",FALSE,TRUE),exact(Metadata!Y775,"other"))</f>
        <v>0</v>
      </c>
      <c r="BL775">
        <f>IF(Metadata!Z775="",FALSE,TRUE)</f>
        <v>0</v>
      </c>
      <c r="BM775">
        <f>OR(AND(IF(Metadata!AA775="",FALSE,TRUE),OR(exact(Metadata!AA775,"not collected"),exact(Metadata!AA775,"not provided"))),AND(IF(Metadata!AA775="",FALSE,IF(ISERROR(INT(Metadata!AA775)),FALSE,INT(Metadata!AA775)=Metadata!AA775)),Metadata!AA775&gt;0))</f>
        <v>0</v>
      </c>
      <c r="BN775">
        <f>AND(IF(Metadata!AB775="",FALSE,TRUE),exact(Metadata!AB775,"Not applicable"))</f>
        <v>0</v>
      </c>
      <c r="BO775">
        <f>IF(Metadata!AC775="",FALSE,TRUE)</f>
        <v>0</v>
      </c>
    </row>
    <row r="776" spans="1:67">
      <c r="A776" s="5">
        <f>IF(B776=" "," ",HYPERLINK(CONCATENATE("#metadata!",ADDRESS(INDEX($AI$2:$AI$1001,MATCH(ROWS($AG$2:AG776),$AG$2:$AG$1001,0),0),1)),INDEX($AL$2:$AL$1001,MATCH(ROWS($AG$2:AG776),$AG$2:$AG$1001,0),0)))</f>
        <v>0</v>
      </c>
      <c r="B776" s="4">
        <f>IF(OR(INDEX($AH$2:$AH$1001,MATCH(ROWS($AG$2:AG776),$AG$2:$AG$1001,0),1)&gt;=100000,INDEX($AN$1005:$BO$1005,1,MATCH(COLUMNS($AN$1006:AN1006),$AN$1006:$BO$1006,0))&gt;=100000), " ",IF(INDEX($AN$2:$BO$1001,MATCH(ROWS($AG$2:AG776),$AG$2:$AG$1001,0),MATCH(COLUMNS($AN$1006:AN1006),$AN$1006:$BO$1006,0)), HYPERLINK("#",""), HYPERLINK(CONCATENATE("#Metadata!", ADDRESS(INDEX($AI$2:$AI$1001,MATCH(ROWS($AG$2:AG776),$AG$2:$AG$1001,0),0), INDEX($AN$1004:$BO$1004,1,MATCH(COLUMNS($AN$1006:AN1006),$AN$1006:$BO$1006,0)))),"Fix")))</f>
        <v>0</v>
      </c>
      <c r="C776" s="4">
        <f>IF(OR(INDEX($AH$2:$AH$1001,MATCH(ROWS($AG$2:AG776),$AG$2:$AG$1001,0),1)&gt;=100000,INDEX($AN$1005:$BO$1005,1,MATCH(COLUMNS($AN$1006:AO1006),$AN$1006:$BO$1006,0))&gt;=100000), " ",IF(INDEX($AN$2:$BO$1001,MATCH(ROWS($AG$2:AG776),$AG$2:$AG$1001,0),MATCH(COLUMNS($AN$1006:AO1006),$AN$1006:$BO$1006,0)), HYPERLINK("#",""), HYPERLINK(CONCATENATE("#Metadata!", ADDRESS(INDEX($AI$2:$AI$1001,MATCH(ROWS($AG$2:AG776),$AG$2:$AG$1001,0),0), INDEX($AN$1004:$BO$1004,1,MATCH(COLUMNS($AN$1006:AO1006),$AN$1006:$BO$1006,0)))),"Fix")))</f>
        <v>0</v>
      </c>
      <c r="D776" s="4">
        <f>IF(OR(INDEX($AH$2:$AH$1001,MATCH(ROWS($AG$2:AG776),$AG$2:$AG$1001,0),1)&gt;=100000,INDEX($AN$1005:$BO$1005,1,MATCH(COLUMNS($AN$1006:AP1006),$AN$1006:$BO$1006,0))&gt;=100000), " ",IF(INDEX($AN$2:$BO$1001,MATCH(ROWS($AG$2:AG776),$AG$2:$AG$1001,0),MATCH(COLUMNS($AN$1006:AP1006),$AN$1006:$BO$1006,0)), HYPERLINK("#",""), HYPERLINK(CONCATENATE("#Metadata!", ADDRESS(INDEX($AI$2:$AI$1001,MATCH(ROWS($AG$2:AG776),$AG$2:$AG$1001,0),0), INDEX($AN$1004:$BO$1004,1,MATCH(COLUMNS($AN$1006:AP1006),$AN$1006:$BO$1006,0)))),"Fix")))</f>
        <v>0</v>
      </c>
      <c r="E776" s="4">
        <f>IF(OR(INDEX($AH$2:$AH$1001,MATCH(ROWS($AG$2:AG776),$AG$2:$AG$1001,0),1)&gt;=100000,INDEX($AN$1005:$BO$1005,1,MATCH(COLUMNS($AN$1006:AQ1006),$AN$1006:$BO$1006,0))&gt;=100000), " ",IF(INDEX($AN$2:$BO$1001,MATCH(ROWS($AG$2:AG776),$AG$2:$AG$1001,0),MATCH(COLUMNS($AN$1006:AQ1006),$AN$1006:$BO$1006,0)), HYPERLINK("#",""), HYPERLINK(CONCATENATE("#Metadata!", ADDRESS(INDEX($AI$2:$AI$1001,MATCH(ROWS($AG$2:AG776),$AG$2:$AG$1001,0),0), INDEX($AN$1004:$BO$1004,1,MATCH(COLUMNS($AN$1006:AQ1006),$AN$1006:$BO$1006,0)))),"Fix")))</f>
        <v>0</v>
      </c>
      <c r="F776" s="4">
        <f>IF(OR(INDEX($AH$2:$AH$1001,MATCH(ROWS($AG$2:AG776),$AG$2:$AG$1001,0),1)&gt;=100000,INDEX($AN$1005:$BO$1005,1,MATCH(COLUMNS($AN$1006:AR1006),$AN$1006:$BO$1006,0))&gt;=100000), " ",IF(INDEX($AN$2:$BO$1001,MATCH(ROWS($AG$2:AG776),$AG$2:$AG$1001,0),MATCH(COLUMNS($AN$1006:AR1006),$AN$1006:$BO$1006,0)), HYPERLINK("#",""), HYPERLINK(CONCATENATE("#Metadata!", ADDRESS(INDEX($AI$2:$AI$1001,MATCH(ROWS($AG$2:AG776),$AG$2:$AG$1001,0),0), INDEX($AN$1004:$BO$1004,1,MATCH(COLUMNS($AN$1006:AR1006),$AN$1006:$BO$1006,0)))),"Fix")))</f>
        <v>0</v>
      </c>
      <c r="G776" s="4">
        <f>IF(OR(INDEX($AH$2:$AH$1001,MATCH(ROWS($AG$2:AG776),$AG$2:$AG$1001,0),1)&gt;=100000,INDEX($AN$1005:$BO$1005,1,MATCH(COLUMNS($AN$1006:AS1006),$AN$1006:$BO$1006,0))&gt;=100000), " ",IF(INDEX($AN$2:$BO$1001,MATCH(ROWS($AG$2:AG776),$AG$2:$AG$1001,0),MATCH(COLUMNS($AN$1006:AS1006),$AN$1006:$BO$1006,0)), HYPERLINK("#",""), HYPERLINK(CONCATENATE("#Metadata!", ADDRESS(INDEX($AI$2:$AI$1001,MATCH(ROWS($AG$2:AG776),$AG$2:$AG$1001,0),0), INDEX($AN$1004:$BO$1004,1,MATCH(COLUMNS($AN$1006:AS1006),$AN$1006:$BO$1006,0)))),"Fix")))</f>
        <v>0</v>
      </c>
      <c r="H776" s="4">
        <f>IF(OR(INDEX($AH$2:$AH$1001,MATCH(ROWS($AG$2:AG776),$AG$2:$AG$1001,0),1)&gt;=100000,INDEX($AN$1005:$BO$1005,1,MATCH(COLUMNS($AN$1006:AT1006),$AN$1006:$BO$1006,0))&gt;=100000), " ",IF(INDEX($AN$2:$BO$1001,MATCH(ROWS($AG$2:AG776),$AG$2:$AG$1001,0),MATCH(COLUMNS($AN$1006:AT1006),$AN$1006:$BO$1006,0)), HYPERLINK("#",""), HYPERLINK(CONCATENATE("#Metadata!", ADDRESS(INDEX($AI$2:$AI$1001,MATCH(ROWS($AG$2:AG776),$AG$2:$AG$1001,0),0), INDEX($AN$1004:$BO$1004,1,MATCH(COLUMNS($AN$1006:AT1006),$AN$1006:$BO$1006,0)))),"Fix")))</f>
        <v>0</v>
      </c>
      <c r="I776" s="4">
        <f>IF(OR(INDEX($AH$2:$AH$1001,MATCH(ROWS($AG$2:AG776),$AG$2:$AG$1001,0),1)&gt;=100000,INDEX($AN$1005:$BO$1005,1,MATCH(COLUMNS($AN$1006:AU1006),$AN$1006:$BO$1006,0))&gt;=100000), " ",IF(INDEX($AN$2:$BO$1001,MATCH(ROWS($AG$2:AG776),$AG$2:$AG$1001,0),MATCH(COLUMNS($AN$1006:AU1006),$AN$1006:$BO$1006,0)), HYPERLINK("#",""), HYPERLINK(CONCATENATE("#Metadata!", ADDRESS(INDEX($AI$2:$AI$1001,MATCH(ROWS($AG$2:AG776),$AG$2:$AG$1001,0),0), INDEX($AN$1004:$BO$1004,1,MATCH(COLUMNS($AN$1006:AU1006),$AN$1006:$BO$1006,0)))),"Fix")))</f>
        <v>0</v>
      </c>
      <c r="J776" s="4">
        <f>IF(OR(INDEX($AH$2:$AH$1001,MATCH(ROWS($AG$2:AG776),$AG$2:$AG$1001,0),1)&gt;=100000,INDEX($AN$1005:$BO$1005,1,MATCH(COLUMNS($AN$1006:AV1006),$AN$1006:$BO$1006,0))&gt;=100000), " ",IF(INDEX($AN$2:$BO$1001,MATCH(ROWS($AG$2:AG776),$AG$2:$AG$1001,0),MATCH(COLUMNS($AN$1006:AV1006),$AN$1006:$BO$1006,0)), HYPERLINK("#",""), HYPERLINK(CONCATENATE("#Metadata!", ADDRESS(INDEX($AI$2:$AI$1001,MATCH(ROWS($AG$2:AG776),$AG$2:$AG$1001,0),0), INDEX($AN$1004:$BO$1004,1,MATCH(COLUMNS($AN$1006:AV1006),$AN$1006:$BO$1006,0)))),"Fix")))</f>
        <v>0</v>
      </c>
      <c r="K776" s="4">
        <f>IF(OR(INDEX($AH$2:$AH$1001,MATCH(ROWS($AG$2:AG776),$AG$2:$AG$1001,0),1)&gt;=100000,INDEX($AN$1005:$BO$1005,1,MATCH(COLUMNS($AN$1006:AW1006),$AN$1006:$BO$1006,0))&gt;=100000), " ",IF(INDEX($AN$2:$BO$1001,MATCH(ROWS($AG$2:AG776),$AG$2:$AG$1001,0),MATCH(COLUMNS($AN$1006:AW1006),$AN$1006:$BO$1006,0)), HYPERLINK("#",""), HYPERLINK(CONCATENATE("#Metadata!", ADDRESS(INDEX($AI$2:$AI$1001,MATCH(ROWS($AG$2:AG776),$AG$2:$AG$1001,0),0), INDEX($AN$1004:$BO$1004,1,MATCH(COLUMNS($AN$1006:AW1006),$AN$1006:$BO$1006,0)))),"Fix")))</f>
        <v>0</v>
      </c>
      <c r="L776" s="4">
        <f>IF(OR(INDEX($AH$2:$AH$1001,MATCH(ROWS($AG$2:AG776),$AG$2:$AG$1001,0),1)&gt;=100000,INDEX($AN$1005:$BO$1005,1,MATCH(COLUMNS($AN$1006:AX1006),$AN$1006:$BO$1006,0))&gt;=100000), " ",IF(INDEX($AN$2:$BO$1001,MATCH(ROWS($AG$2:AG776),$AG$2:$AG$1001,0),MATCH(COLUMNS($AN$1006:AX1006),$AN$1006:$BO$1006,0)), HYPERLINK("#",""), HYPERLINK(CONCATENATE("#Metadata!", ADDRESS(INDEX($AI$2:$AI$1001,MATCH(ROWS($AG$2:AG776),$AG$2:$AG$1001,0),0), INDEX($AN$1004:$BO$1004,1,MATCH(COLUMNS($AN$1006:AX1006),$AN$1006:$BO$1006,0)))),"Fix")))</f>
        <v>0</v>
      </c>
      <c r="M776" s="4">
        <f>IF(OR(INDEX($AH$2:$AH$1001,MATCH(ROWS($AG$2:AG776),$AG$2:$AG$1001,0),1)&gt;=100000,INDEX($AN$1005:$BO$1005,1,MATCH(COLUMNS($AN$1006:AY1006),$AN$1006:$BO$1006,0))&gt;=100000), " ",IF(INDEX($AN$2:$BO$1001,MATCH(ROWS($AG$2:AG776),$AG$2:$AG$1001,0),MATCH(COLUMNS($AN$1006:AY1006),$AN$1006:$BO$1006,0)), HYPERLINK("#",""), HYPERLINK(CONCATENATE("#Metadata!", ADDRESS(INDEX($AI$2:$AI$1001,MATCH(ROWS($AG$2:AG776),$AG$2:$AG$1001,0),0), INDEX($AN$1004:$BO$1004,1,MATCH(COLUMNS($AN$1006:AY1006),$AN$1006:$BO$1006,0)))),"Fix")))</f>
        <v>0</v>
      </c>
      <c r="N776" s="4">
        <f>IF(OR(INDEX($AH$2:$AH$1001,MATCH(ROWS($AG$2:AG776),$AG$2:$AG$1001,0),1)&gt;=100000,INDEX($AN$1005:$BO$1005,1,MATCH(COLUMNS($AN$1006:AZ1006),$AN$1006:$BO$1006,0))&gt;=100000), " ",IF(INDEX($AN$2:$BO$1001,MATCH(ROWS($AG$2:AG776),$AG$2:$AG$1001,0),MATCH(COLUMNS($AN$1006:AZ1006),$AN$1006:$BO$1006,0)), HYPERLINK("#",""), HYPERLINK(CONCATENATE("#Metadata!", ADDRESS(INDEX($AI$2:$AI$1001,MATCH(ROWS($AG$2:AG776),$AG$2:$AG$1001,0),0), INDEX($AN$1004:$BO$1004,1,MATCH(COLUMNS($AN$1006:AZ1006),$AN$1006:$BO$1006,0)))),"Fix")))</f>
        <v>0</v>
      </c>
      <c r="O776" s="4">
        <f>IF(OR(INDEX($AH$2:$AH$1001,MATCH(ROWS($AG$2:AG776),$AG$2:$AG$1001,0),1)&gt;=100000,INDEX($AN$1005:$BO$1005,1,MATCH(COLUMNS($AN$1006:BA1006),$AN$1006:$BO$1006,0))&gt;=100000), " ",IF(INDEX($AN$2:$BO$1001,MATCH(ROWS($AG$2:AG776),$AG$2:$AG$1001,0),MATCH(COLUMNS($AN$1006:BA1006),$AN$1006:$BO$1006,0)), HYPERLINK("#",""), HYPERLINK(CONCATENATE("#Metadata!", ADDRESS(INDEX($AI$2:$AI$1001,MATCH(ROWS($AG$2:AG776),$AG$2:$AG$1001,0),0), INDEX($AN$1004:$BO$1004,1,MATCH(COLUMNS($AN$1006:BA1006),$AN$1006:$BO$1006,0)))),"Fix")))</f>
        <v>0</v>
      </c>
      <c r="P776" s="4">
        <f>IF(OR(INDEX($AH$2:$AH$1001,MATCH(ROWS($AG$2:AG776),$AG$2:$AG$1001,0),1)&gt;=100000,INDEX($AN$1005:$BO$1005,1,MATCH(COLUMNS($AN$1006:BB1006),$AN$1006:$BO$1006,0))&gt;=100000), " ",IF(INDEX($AN$2:$BO$1001,MATCH(ROWS($AG$2:AG776),$AG$2:$AG$1001,0),MATCH(COLUMNS($AN$1006:BB1006),$AN$1006:$BO$1006,0)), HYPERLINK("#",""), HYPERLINK(CONCATENATE("#Metadata!", ADDRESS(INDEX($AI$2:$AI$1001,MATCH(ROWS($AG$2:AG776),$AG$2:$AG$1001,0),0), INDEX($AN$1004:$BO$1004,1,MATCH(COLUMNS($AN$1006:BB1006),$AN$1006:$BO$1006,0)))),"Fix")))</f>
        <v>0</v>
      </c>
      <c r="Q776" s="4">
        <f>IF(OR(INDEX($AH$2:$AH$1001,MATCH(ROWS($AG$2:AG776),$AG$2:$AG$1001,0),1)&gt;=100000,INDEX($AN$1005:$BO$1005,1,MATCH(COLUMNS($AN$1006:BC1006),$AN$1006:$BO$1006,0))&gt;=100000), " ",IF(INDEX($AN$2:$BO$1001,MATCH(ROWS($AG$2:AG776),$AG$2:$AG$1001,0),MATCH(COLUMNS($AN$1006:BC1006),$AN$1006:$BO$1006,0)), HYPERLINK("#",""), HYPERLINK(CONCATENATE("#Metadata!", ADDRESS(INDEX($AI$2:$AI$1001,MATCH(ROWS($AG$2:AG776),$AG$2:$AG$1001,0),0), INDEX($AN$1004:$BO$1004,1,MATCH(COLUMNS($AN$1006:BC1006),$AN$1006:$BO$1006,0)))),"Fix")))</f>
        <v>0</v>
      </c>
      <c r="R776" s="4">
        <f>IF(OR(INDEX($AH$2:$AH$1001,MATCH(ROWS($AG$2:AG776),$AG$2:$AG$1001,0),1)&gt;=100000,INDEX($AN$1005:$BO$1005,1,MATCH(COLUMNS($AN$1006:BD1006),$AN$1006:$BO$1006,0))&gt;=100000), " ",IF(INDEX($AN$2:$BO$1001,MATCH(ROWS($AG$2:AG776),$AG$2:$AG$1001,0),MATCH(COLUMNS($AN$1006:BD1006),$AN$1006:$BO$1006,0)), HYPERLINK("#",""), HYPERLINK(CONCATENATE("#Metadata!", ADDRESS(INDEX($AI$2:$AI$1001,MATCH(ROWS($AG$2:AG776),$AG$2:$AG$1001,0),0), INDEX($AN$1004:$BO$1004,1,MATCH(COLUMNS($AN$1006:BD1006),$AN$1006:$BO$1006,0)))),"Fix")))</f>
        <v>0</v>
      </c>
      <c r="S776" s="4">
        <f>IF(OR(INDEX($AH$2:$AH$1001,MATCH(ROWS($AG$2:AG776),$AG$2:$AG$1001,0),1)&gt;=100000,INDEX($AN$1005:$BO$1005,1,MATCH(COLUMNS($AN$1006:BE1006),$AN$1006:$BO$1006,0))&gt;=100000), " ",IF(INDEX($AN$2:$BO$1001,MATCH(ROWS($AG$2:AG776),$AG$2:$AG$1001,0),MATCH(COLUMNS($AN$1006:BE1006),$AN$1006:$BO$1006,0)), HYPERLINK("#",""), HYPERLINK(CONCATENATE("#Metadata!", ADDRESS(INDEX($AI$2:$AI$1001,MATCH(ROWS($AG$2:AG776),$AG$2:$AG$1001,0),0), INDEX($AN$1004:$BO$1004,1,MATCH(COLUMNS($AN$1006:BE1006),$AN$1006:$BO$1006,0)))),"Fix")))</f>
        <v>0</v>
      </c>
      <c r="T776" s="4">
        <f>IF(OR(INDEX($AH$2:$AH$1001,MATCH(ROWS($AG$2:AG776),$AG$2:$AG$1001,0),1)&gt;=100000,INDEX($AN$1005:$BO$1005,1,MATCH(COLUMNS($AN$1006:BF1006),$AN$1006:$BO$1006,0))&gt;=100000), " ",IF(INDEX($AN$2:$BO$1001,MATCH(ROWS($AG$2:AG776),$AG$2:$AG$1001,0),MATCH(COLUMNS($AN$1006:BF1006),$AN$1006:$BO$1006,0)), HYPERLINK("#",""), HYPERLINK(CONCATENATE("#Metadata!", ADDRESS(INDEX($AI$2:$AI$1001,MATCH(ROWS($AG$2:AG776),$AG$2:$AG$1001,0),0), INDEX($AN$1004:$BO$1004,1,MATCH(COLUMNS($AN$1006:BF1006),$AN$1006:$BO$1006,0)))),"Fix")))</f>
        <v>0</v>
      </c>
      <c r="U776" s="4">
        <f>IF(OR(INDEX($AH$2:$AH$1001,MATCH(ROWS($AG$2:AG776),$AG$2:$AG$1001,0),1)&gt;=100000,INDEX($AN$1005:$BO$1005,1,MATCH(COLUMNS($AN$1006:BG1006),$AN$1006:$BO$1006,0))&gt;=100000), " ",IF(INDEX($AN$2:$BO$1001,MATCH(ROWS($AG$2:AG776),$AG$2:$AG$1001,0),MATCH(COLUMNS($AN$1006:BG1006),$AN$1006:$BO$1006,0)), HYPERLINK("#",""), HYPERLINK(CONCATENATE("#Metadata!", ADDRESS(INDEX($AI$2:$AI$1001,MATCH(ROWS($AG$2:AG776),$AG$2:$AG$1001,0),0), INDEX($AN$1004:$BO$1004,1,MATCH(COLUMNS($AN$1006:BG1006),$AN$1006:$BO$1006,0)))),"Fix")))</f>
        <v>0</v>
      </c>
      <c r="V776" s="4">
        <f>IF(OR(INDEX($AH$2:$AH$1001,MATCH(ROWS($AG$2:AG776),$AG$2:$AG$1001,0),1)&gt;=100000,INDEX($AN$1005:$BO$1005,1,MATCH(COLUMNS($AN$1006:BH1006),$AN$1006:$BO$1006,0))&gt;=100000), " ",IF(INDEX($AN$2:$BO$1001,MATCH(ROWS($AG$2:AG776),$AG$2:$AG$1001,0),MATCH(COLUMNS($AN$1006:BH1006),$AN$1006:$BO$1006,0)), HYPERLINK("#",""), HYPERLINK(CONCATENATE("#Metadata!", ADDRESS(INDEX($AI$2:$AI$1001,MATCH(ROWS($AG$2:AG776),$AG$2:$AG$1001,0),0), INDEX($AN$1004:$BO$1004,1,MATCH(COLUMNS($AN$1006:BH1006),$AN$1006:$BO$1006,0)))),"Fix")))</f>
        <v>0</v>
      </c>
      <c r="W776" s="4">
        <f>IF(OR(INDEX($AH$2:$AH$1001,MATCH(ROWS($AG$2:AG776),$AG$2:$AG$1001,0),1)&gt;=100000,INDEX($AN$1005:$BO$1005,1,MATCH(COLUMNS($AN$1006:BI1006),$AN$1006:$BO$1006,0))&gt;=100000), " ",IF(INDEX($AN$2:$BO$1001,MATCH(ROWS($AG$2:AG776),$AG$2:$AG$1001,0),MATCH(COLUMNS($AN$1006:BI1006),$AN$1006:$BO$1006,0)), HYPERLINK("#",""), HYPERLINK(CONCATENATE("#Metadata!", ADDRESS(INDEX($AI$2:$AI$1001,MATCH(ROWS($AG$2:AG776),$AG$2:$AG$1001,0),0), INDEX($AN$1004:$BO$1004,1,MATCH(COLUMNS($AN$1006:BI1006),$AN$1006:$BO$1006,0)))),"Fix")))</f>
        <v>0</v>
      </c>
      <c r="X776" s="4">
        <f>IF(OR(INDEX($AH$2:$AH$1001,MATCH(ROWS($AG$2:AG776),$AG$2:$AG$1001,0),1)&gt;=100000,INDEX($AN$1005:$BO$1005,1,MATCH(COLUMNS($AN$1006:BJ1006),$AN$1006:$BO$1006,0))&gt;=100000), " ",IF(INDEX($AN$2:$BO$1001,MATCH(ROWS($AG$2:AG776),$AG$2:$AG$1001,0),MATCH(COLUMNS($AN$1006:BJ1006),$AN$1006:$BO$1006,0)), HYPERLINK("#",""), HYPERLINK(CONCATENATE("#Metadata!", ADDRESS(INDEX($AI$2:$AI$1001,MATCH(ROWS($AG$2:AG776),$AG$2:$AG$1001,0),0), INDEX($AN$1004:$BO$1004,1,MATCH(COLUMNS($AN$1006:BJ1006),$AN$1006:$BO$1006,0)))),"Fix")))</f>
        <v>0</v>
      </c>
      <c r="Y776" s="4">
        <f>IF(OR(INDEX($AH$2:$AH$1001,MATCH(ROWS($AG$2:AG776),$AG$2:$AG$1001,0),1)&gt;=100000,INDEX($AN$1005:$BO$1005,1,MATCH(COLUMNS($AN$1006:BK1006),$AN$1006:$BO$1006,0))&gt;=100000), " ",IF(INDEX($AN$2:$BO$1001,MATCH(ROWS($AG$2:AG776),$AG$2:$AG$1001,0),MATCH(COLUMNS($AN$1006:BK1006),$AN$1006:$BO$1006,0)), HYPERLINK("#",""), HYPERLINK(CONCATENATE("#Metadata!", ADDRESS(INDEX($AI$2:$AI$1001,MATCH(ROWS($AG$2:AG776),$AG$2:$AG$1001,0),0), INDEX($AN$1004:$BO$1004,1,MATCH(COLUMNS($AN$1006:BK1006),$AN$1006:$BO$1006,0)))),"Fix")))</f>
        <v>0</v>
      </c>
      <c r="Z776" s="4">
        <f>IF(OR(INDEX($AH$2:$AH$1001,MATCH(ROWS($AG$2:AG776),$AG$2:$AG$1001,0),1)&gt;=100000,INDEX($AN$1005:$BO$1005,1,MATCH(COLUMNS($AN$1006:BL1006),$AN$1006:$BO$1006,0))&gt;=100000), " ",IF(INDEX($AN$2:$BO$1001,MATCH(ROWS($AG$2:AG776),$AG$2:$AG$1001,0),MATCH(COLUMNS($AN$1006:BL1006),$AN$1006:$BO$1006,0)), HYPERLINK("#",""), HYPERLINK(CONCATENATE("#Metadata!", ADDRESS(INDEX($AI$2:$AI$1001,MATCH(ROWS($AG$2:AG776),$AG$2:$AG$1001,0),0), INDEX($AN$1004:$BO$1004,1,MATCH(COLUMNS($AN$1006:BL1006),$AN$1006:$BO$1006,0)))),"Fix")))</f>
        <v>0</v>
      </c>
      <c r="AA776" s="4">
        <f>IF(OR(INDEX($AH$2:$AH$1001,MATCH(ROWS($AG$2:AG776),$AG$2:$AG$1001,0),1)&gt;=100000,INDEX($AN$1005:$BO$1005,1,MATCH(COLUMNS($AN$1006:BM1006),$AN$1006:$BO$1006,0))&gt;=100000), " ",IF(INDEX($AN$2:$BO$1001,MATCH(ROWS($AG$2:AG776),$AG$2:$AG$1001,0),MATCH(COLUMNS($AN$1006:BM1006),$AN$1006:$BO$1006,0)), HYPERLINK("#",""), HYPERLINK(CONCATENATE("#Metadata!", ADDRESS(INDEX($AI$2:$AI$1001,MATCH(ROWS($AG$2:AG776),$AG$2:$AG$1001,0),0), INDEX($AN$1004:$BO$1004,1,MATCH(COLUMNS($AN$1006:BM1006),$AN$1006:$BO$1006,0)))),"Fix")))</f>
        <v>0</v>
      </c>
      <c r="AB776" s="4">
        <f>IF(OR(INDEX($AH$2:$AH$1001,MATCH(ROWS($AG$2:AG776),$AG$2:$AG$1001,0),1)&gt;=100000,INDEX($AN$1005:$BO$1005,1,MATCH(COLUMNS($AN$1006:BN1006),$AN$1006:$BO$1006,0))&gt;=100000), " ",IF(INDEX($AN$2:$BO$1001,MATCH(ROWS($AG$2:AG776),$AG$2:$AG$1001,0),MATCH(COLUMNS($AN$1006:BN1006),$AN$1006:$BO$1006,0)), HYPERLINK("#",""), HYPERLINK(CONCATENATE("#Metadata!", ADDRESS(INDEX($AI$2:$AI$1001,MATCH(ROWS($AG$2:AG776),$AG$2:$AG$1001,0),0), INDEX($AN$1004:$BO$1004,1,MATCH(COLUMNS($AN$1006:BN1006),$AN$1006:$BO$1006,0)))),"Fix")))</f>
        <v>0</v>
      </c>
      <c r="AC776" s="4">
        <f>IF(OR(INDEX($AH$2:$AH$1001,MATCH(ROWS($AG$2:AG776),$AG$2:$AG$1001,0),1)&gt;=100000,INDEX($AN$1005:$BO$1005,1,MATCH(COLUMNS($AN$1006:BO1006),$AN$1006:$BO$1006,0))&gt;=100000), " ",IF(INDEX($AN$2:$BO$1001,MATCH(ROWS($AG$2:AG776),$AG$2:$AG$1001,0),MATCH(COLUMNS($AN$1006:BO1006),$AN$1006:$BO$1006,0)), HYPERLINK("#",""), HYPERLINK(CONCATENATE("#Metadata!", ADDRESS(INDEX($AI$2:$AI$1001,MATCH(ROWS($AG$2:AG776),$AG$2:$AG$1001,0),0), INDEX($AN$1004:$BO$1004,1,MATCH(COLUMNS($AN$1006:BO1006),$AN$1006:$BO$1006,0)))),"Fix")))</f>
        <v>0</v>
      </c>
      <c r="AG776">
        <v>0</v>
      </c>
      <c r="AH776">
        <v>0</v>
      </c>
      <c r="AI776">
        <v>0</v>
      </c>
      <c r="AJ776">
        <f>IF(AK776,TRUE,AND(AN776:BO776))</f>
        <v>0</v>
      </c>
      <c r="AK776">
        <f>COUNTBLANK(Metadata!B776:AC776)=COLUMNS(Metadata!B776:AC776)</f>
        <v>0</v>
      </c>
      <c r="AL776">
        <v>0</v>
      </c>
      <c r="AN776">
        <f>AND(IF(Metadata!B776="",FALSE,TRUE),COUNTIF(Metadata!B:B, Metadata!B776) = 1,NOT(ISERROR(SUMPRODUCT(SEARCH(MID(Metadata!B776,ROW(INDIRECT("1:"&amp;LEN(Metadata!B776))), 1),"0123456789abcdefghijklmnopqrstuvwxyzABCDEFGHIJKLMNOPQRSTUVWXYZ.")))))</f>
        <v>0</v>
      </c>
      <c r="AO776">
        <f>IF(Metadata!C776="",FALSE,TRUE)</f>
        <v>0</v>
      </c>
      <c r="AP776">
        <f>IF(Metadata!D776="",FALSE,TRUE)</f>
        <v>0</v>
      </c>
      <c r="AQ776">
        <f>OR(AND(IF(Metadata!E776="",FALSE,TRUE),OR(exact(Metadata!E776,"not collected"),exact(Metadata!E776,"not provided"),exact(Metadata!E776,"restricted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R776">
        <f>IF(Metadata!F776="",FALSE,TRUE)</f>
        <v>0</v>
      </c>
      <c r="AS776">
        <f>OR(AND(IF(Metadata!G776="",FALSE,TRUE),OR(exact(Metadata!G776,"not collected"),exact(Metadata!G776,"not provided"))),AND(IF(Metadata!G776="",FALSE,TRUE),OR(exact(Metadata!G776,"TRUE"),exact(Metadata!G776,"FALSE"))))</f>
        <v>0</v>
      </c>
      <c r="AT776">
        <f>OR(AND(IF(Metadata!H776="",FALSE,TRUE),OR(exact(Metadata!H776,"not collected"),exact(Metadata!H776,"not provided"),exact(Metadata!H776,"restricted access"))),AND(IF(Metadata!H776="",FALSE,ISNUMBER(VALUE(Metadata!H776))),Metadata!H776&gt;=-413.0))</f>
        <v>0</v>
      </c>
      <c r="AU776">
        <f>AND(IF(Metadata!I776="",FALSE,TRUE),exact(Metadata!I776,"meters"))</f>
        <v>0</v>
      </c>
      <c r="AV776">
        <f>AND(IF(Metadata!J776="",FALSE,TRUE),OR(exact(Metadata!J776,"Host-associated"),exact(Metadata!J776,"Free-living")))</f>
        <v>0</v>
      </c>
      <c r="AW776">
        <f>AND(IF(Metadata!K776="",FALSE,TRUE),OR(exact(Metadata!K776,"Animal"),exact(Metadata!K776,"Fungus"),exact(Metadata!K776,"Plant"),exact(Metadata!K776,"Saline"),exact(Metadata!K776,"Non-saline")))</f>
        <v>0</v>
      </c>
      <c r="AX776">
        <f>AND(IF(Metadata!L776="",FALSE,TRUE),OR(exact(Metadata!L776,"Plant secretion"),exact(Metadata!L776,"Plant rhizosphere"),exact(Metadata!L776,"Plant surface"),exact(Metadata!L776,"Plant corpus"),exact(Metadata!L776,"Fungus surface"),exact(Metadata!L776,"Fungus corpus"),exact(Metadata!L776,"Animal surface"),exact(Metadata!L776,"Animal proximal gut"),exact(Metadata!L776,"Animal corpus"),exact(Metadata!L776,"Animal distal gut"),exact(Metadata!L776,"Animal secretion"),exact(Metadata!L776,"Sub-surface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Y776">
        <f>IF(Metadata!M776="",FALSE,TRUE)</f>
        <v>0</v>
      </c>
      <c r="AZ776">
        <f>IF(Metadata!N776="",FALSE,TRUE)</f>
        <v>0</v>
      </c>
      <c r="BA776">
        <f>IF(Metadata!O776="",FALSE,TRUE)</f>
        <v>0</v>
      </c>
      <c r="BB776">
        <f>OR(AND(IF(Metadata!P776="",FALSE,TRUE),OR(exact(Metadata!P776,"not collected"),exact(Metadata!P776,"not provided"),exact(Metadata!P776,"restricted access"))),AND(IF(Metadata!P776="",FALSE,TRUE),OR(exact(Metadata!P776,"air"),exact(Metadata!P776,"built environment"),exact(Metadata!P776,"host-associated"),exact(Metadata!P776,"human-associated"),exact(Metadata!P776,"human-skin"),exact(Metadata!P776,"human-oral"),exact(Metadata!P776,"human-gut"),exact(Metadata!P776,"human-vaginal"),exact(Metadata!P776,"microbial mat/biofilm"),exact(Metadata!P776,"misc environment"),exact(Metadata!P776,"plant-associated"),exact(Metadata!P776,"sediment"),exact(Metadata!P776,"soil"),exact(Metadata!P776,"wastewater/sludge"),exact(Metadata!P776,"water"))))</f>
        <v>0</v>
      </c>
      <c r="BC776">
        <f>IF(Metadata!Q776="",FALSE,TRUE)</f>
        <v>0</v>
      </c>
      <c r="BD776">
        <f>IF(Metadata!R776="",FALSE,TRUE)</f>
        <v>0</v>
      </c>
      <c r="BE776">
        <f>OR(AND(IF(Metadata!S776="",FALSE,TRUE),OR(exact(Metadata!S776,"not collected"),exact(Metadata!S776,"not provided"),exact(Metadata!S776,"restricted access"))),AND(IF(Metadata!S776="",FALSE,ISNUMBER(VALUE(Metadata!S776))),Metadata!S776&gt;=-90.00,Metadata!S776&lt;=90.00))</f>
        <v>0</v>
      </c>
      <c r="BF776">
        <f>AND(IF(Metadata!T776="",FALSE,TRUE),exact(Metadata!T776,"Decimal degrees"))</f>
        <v>0</v>
      </c>
      <c r="BG776">
        <f>OR(AND(IF(Metadata!U776="",FALSE,TRUE),OR(exact(Metadata!U776,"not collected"),exact(Metadata!U776,"not provided"),exact(Metadata!U776,"restricted access"))),AND(IF(Metadata!U776="",FALSE,ISNUMBER(VALUE(Metadata!U776))),Metadata!U776&gt;=-180.00,Metadata!U776&lt;=180.00))</f>
        <v>0</v>
      </c>
      <c r="BH776">
        <f>AND(IF(Metadata!V776="",FALSE,TRUE),exact(Metadata!V776,"Decimal degrees"))</f>
        <v>0</v>
      </c>
      <c r="BI776">
        <f>IF(Metadata!W776="",FALSE,TRUE)</f>
        <v>0</v>
      </c>
      <c r="BJ776">
        <f>OR(AND(IF(Metadata!X776="",FALSE,TRUE),OR(exact(Metadata!X776,"not collected"),exact(Metadata!X776,"not provided"),exact(Metadata!X776,"restricted access"))),AND(IF(Metadata!X776="",FALSE,TRUE),OR(exact(Metadata!X776,"TRUE"),exact(Metadata!X776,"FALSE"))))</f>
        <v>0</v>
      </c>
      <c r="BK776">
        <f>AND(IF(Metadata!Y776="",FALSE,TRUE),exact(Metadata!Y776,"other"))</f>
        <v>0</v>
      </c>
      <c r="BL776">
        <f>IF(Metadata!Z776="",FALSE,TRUE)</f>
        <v>0</v>
      </c>
      <c r="BM776">
        <f>OR(AND(IF(Metadata!AA776="",FALSE,TRUE),OR(exact(Metadata!AA776,"not collected"),exact(Metadata!AA776,"not provided"))),AND(IF(Metadata!AA776="",FALSE,IF(ISERROR(INT(Metadata!AA776)),FALSE,INT(Metadata!AA776)=Metadata!AA776)),Metadata!AA776&gt;0))</f>
        <v>0</v>
      </c>
      <c r="BN776">
        <f>AND(IF(Metadata!AB776="",FALSE,TRUE),exact(Metadata!AB776,"Not applicable"))</f>
        <v>0</v>
      </c>
      <c r="BO776">
        <f>IF(Metadata!AC776="",FALSE,TRUE)</f>
        <v>0</v>
      </c>
    </row>
    <row r="777" spans="1:67">
      <c r="A777" s="5">
        <f>IF(B777=" "," ",HYPERLINK(CONCATENATE("#metadata!",ADDRESS(INDEX($AI$2:$AI$1001,MATCH(ROWS($AG$2:AG777),$AG$2:$AG$1001,0),0),1)),INDEX($AL$2:$AL$1001,MATCH(ROWS($AG$2:AG777),$AG$2:$AG$1001,0),0)))</f>
        <v>0</v>
      </c>
      <c r="B777" s="4">
        <f>IF(OR(INDEX($AH$2:$AH$1001,MATCH(ROWS($AG$2:AG777),$AG$2:$AG$1001,0),1)&gt;=100000,INDEX($AN$1005:$BO$1005,1,MATCH(COLUMNS($AN$1006:AN1006),$AN$1006:$BO$1006,0))&gt;=100000), " ",IF(INDEX($AN$2:$BO$1001,MATCH(ROWS($AG$2:AG777),$AG$2:$AG$1001,0),MATCH(COLUMNS($AN$1006:AN1006),$AN$1006:$BO$1006,0)), HYPERLINK("#",""), HYPERLINK(CONCATENATE("#Metadata!", ADDRESS(INDEX($AI$2:$AI$1001,MATCH(ROWS($AG$2:AG777),$AG$2:$AG$1001,0),0), INDEX($AN$1004:$BO$1004,1,MATCH(COLUMNS($AN$1006:AN1006),$AN$1006:$BO$1006,0)))),"Fix")))</f>
        <v>0</v>
      </c>
      <c r="C777" s="4">
        <f>IF(OR(INDEX($AH$2:$AH$1001,MATCH(ROWS($AG$2:AG777),$AG$2:$AG$1001,0),1)&gt;=100000,INDEX($AN$1005:$BO$1005,1,MATCH(COLUMNS($AN$1006:AO1006),$AN$1006:$BO$1006,0))&gt;=100000), " ",IF(INDEX($AN$2:$BO$1001,MATCH(ROWS($AG$2:AG777),$AG$2:$AG$1001,0),MATCH(COLUMNS($AN$1006:AO1006),$AN$1006:$BO$1006,0)), HYPERLINK("#",""), HYPERLINK(CONCATENATE("#Metadata!", ADDRESS(INDEX($AI$2:$AI$1001,MATCH(ROWS($AG$2:AG777),$AG$2:$AG$1001,0),0), INDEX($AN$1004:$BO$1004,1,MATCH(COLUMNS($AN$1006:AO1006),$AN$1006:$BO$1006,0)))),"Fix")))</f>
        <v>0</v>
      </c>
      <c r="D777" s="4">
        <f>IF(OR(INDEX($AH$2:$AH$1001,MATCH(ROWS($AG$2:AG777),$AG$2:$AG$1001,0),1)&gt;=100000,INDEX($AN$1005:$BO$1005,1,MATCH(COLUMNS($AN$1006:AP1006),$AN$1006:$BO$1006,0))&gt;=100000), " ",IF(INDEX($AN$2:$BO$1001,MATCH(ROWS($AG$2:AG777),$AG$2:$AG$1001,0),MATCH(COLUMNS($AN$1006:AP1006),$AN$1006:$BO$1006,0)), HYPERLINK("#",""), HYPERLINK(CONCATENATE("#Metadata!", ADDRESS(INDEX($AI$2:$AI$1001,MATCH(ROWS($AG$2:AG777),$AG$2:$AG$1001,0),0), INDEX($AN$1004:$BO$1004,1,MATCH(COLUMNS($AN$1006:AP1006),$AN$1006:$BO$1006,0)))),"Fix")))</f>
        <v>0</v>
      </c>
      <c r="E777" s="4">
        <f>IF(OR(INDEX($AH$2:$AH$1001,MATCH(ROWS($AG$2:AG777),$AG$2:$AG$1001,0),1)&gt;=100000,INDEX($AN$1005:$BO$1005,1,MATCH(COLUMNS($AN$1006:AQ1006),$AN$1006:$BO$1006,0))&gt;=100000), " ",IF(INDEX($AN$2:$BO$1001,MATCH(ROWS($AG$2:AG777),$AG$2:$AG$1001,0),MATCH(COLUMNS($AN$1006:AQ1006),$AN$1006:$BO$1006,0)), HYPERLINK("#",""), HYPERLINK(CONCATENATE("#Metadata!", ADDRESS(INDEX($AI$2:$AI$1001,MATCH(ROWS($AG$2:AG777),$AG$2:$AG$1001,0),0), INDEX($AN$1004:$BO$1004,1,MATCH(COLUMNS($AN$1006:AQ1006),$AN$1006:$BO$1006,0)))),"Fix")))</f>
        <v>0</v>
      </c>
      <c r="F777" s="4">
        <f>IF(OR(INDEX($AH$2:$AH$1001,MATCH(ROWS($AG$2:AG777),$AG$2:$AG$1001,0),1)&gt;=100000,INDEX($AN$1005:$BO$1005,1,MATCH(COLUMNS($AN$1006:AR1006),$AN$1006:$BO$1006,0))&gt;=100000), " ",IF(INDEX($AN$2:$BO$1001,MATCH(ROWS($AG$2:AG777),$AG$2:$AG$1001,0),MATCH(COLUMNS($AN$1006:AR1006),$AN$1006:$BO$1006,0)), HYPERLINK("#",""), HYPERLINK(CONCATENATE("#Metadata!", ADDRESS(INDEX($AI$2:$AI$1001,MATCH(ROWS($AG$2:AG777),$AG$2:$AG$1001,0),0), INDEX($AN$1004:$BO$1004,1,MATCH(COLUMNS($AN$1006:AR1006),$AN$1006:$BO$1006,0)))),"Fix")))</f>
        <v>0</v>
      </c>
      <c r="G777" s="4">
        <f>IF(OR(INDEX($AH$2:$AH$1001,MATCH(ROWS($AG$2:AG777),$AG$2:$AG$1001,0),1)&gt;=100000,INDEX($AN$1005:$BO$1005,1,MATCH(COLUMNS($AN$1006:AS1006),$AN$1006:$BO$1006,0))&gt;=100000), " ",IF(INDEX($AN$2:$BO$1001,MATCH(ROWS($AG$2:AG777),$AG$2:$AG$1001,0),MATCH(COLUMNS($AN$1006:AS1006),$AN$1006:$BO$1006,0)), HYPERLINK("#",""), HYPERLINK(CONCATENATE("#Metadata!", ADDRESS(INDEX($AI$2:$AI$1001,MATCH(ROWS($AG$2:AG777),$AG$2:$AG$1001,0),0), INDEX($AN$1004:$BO$1004,1,MATCH(COLUMNS($AN$1006:AS1006),$AN$1006:$BO$1006,0)))),"Fix")))</f>
        <v>0</v>
      </c>
      <c r="H777" s="4">
        <f>IF(OR(INDEX($AH$2:$AH$1001,MATCH(ROWS($AG$2:AG777),$AG$2:$AG$1001,0),1)&gt;=100000,INDEX($AN$1005:$BO$1005,1,MATCH(COLUMNS($AN$1006:AT1006),$AN$1006:$BO$1006,0))&gt;=100000), " ",IF(INDEX($AN$2:$BO$1001,MATCH(ROWS($AG$2:AG777),$AG$2:$AG$1001,0),MATCH(COLUMNS($AN$1006:AT1006),$AN$1006:$BO$1006,0)), HYPERLINK("#",""), HYPERLINK(CONCATENATE("#Metadata!", ADDRESS(INDEX($AI$2:$AI$1001,MATCH(ROWS($AG$2:AG777),$AG$2:$AG$1001,0),0), INDEX($AN$1004:$BO$1004,1,MATCH(COLUMNS($AN$1006:AT1006),$AN$1006:$BO$1006,0)))),"Fix")))</f>
        <v>0</v>
      </c>
      <c r="I777" s="4">
        <f>IF(OR(INDEX($AH$2:$AH$1001,MATCH(ROWS($AG$2:AG777),$AG$2:$AG$1001,0),1)&gt;=100000,INDEX($AN$1005:$BO$1005,1,MATCH(COLUMNS($AN$1006:AU1006),$AN$1006:$BO$1006,0))&gt;=100000), " ",IF(INDEX($AN$2:$BO$1001,MATCH(ROWS($AG$2:AG777),$AG$2:$AG$1001,0),MATCH(COLUMNS($AN$1006:AU1006),$AN$1006:$BO$1006,0)), HYPERLINK("#",""), HYPERLINK(CONCATENATE("#Metadata!", ADDRESS(INDEX($AI$2:$AI$1001,MATCH(ROWS($AG$2:AG777),$AG$2:$AG$1001,0),0), INDEX($AN$1004:$BO$1004,1,MATCH(COLUMNS($AN$1006:AU1006),$AN$1006:$BO$1006,0)))),"Fix")))</f>
        <v>0</v>
      </c>
      <c r="J777" s="4">
        <f>IF(OR(INDEX($AH$2:$AH$1001,MATCH(ROWS($AG$2:AG777),$AG$2:$AG$1001,0),1)&gt;=100000,INDEX($AN$1005:$BO$1005,1,MATCH(COLUMNS($AN$1006:AV1006),$AN$1006:$BO$1006,0))&gt;=100000), " ",IF(INDEX($AN$2:$BO$1001,MATCH(ROWS($AG$2:AG777),$AG$2:$AG$1001,0),MATCH(COLUMNS($AN$1006:AV1006),$AN$1006:$BO$1006,0)), HYPERLINK("#",""), HYPERLINK(CONCATENATE("#Metadata!", ADDRESS(INDEX($AI$2:$AI$1001,MATCH(ROWS($AG$2:AG777),$AG$2:$AG$1001,0),0), INDEX($AN$1004:$BO$1004,1,MATCH(COLUMNS($AN$1006:AV1006),$AN$1006:$BO$1006,0)))),"Fix")))</f>
        <v>0</v>
      </c>
      <c r="K777" s="4">
        <f>IF(OR(INDEX($AH$2:$AH$1001,MATCH(ROWS($AG$2:AG777),$AG$2:$AG$1001,0),1)&gt;=100000,INDEX($AN$1005:$BO$1005,1,MATCH(COLUMNS($AN$1006:AW1006),$AN$1006:$BO$1006,0))&gt;=100000), " ",IF(INDEX($AN$2:$BO$1001,MATCH(ROWS($AG$2:AG777),$AG$2:$AG$1001,0),MATCH(COLUMNS($AN$1006:AW1006),$AN$1006:$BO$1006,0)), HYPERLINK("#",""), HYPERLINK(CONCATENATE("#Metadata!", ADDRESS(INDEX($AI$2:$AI$1001,MATCH(ROWS($AG$2:AG777),$AG$2:$AG$1001,0),0), INDEX($AN$1004:$BO$1004,1,MATCH(COLUMNS($AN$1006:AW1006),$AN$1006:$BO$1006,0)))),"Fix")))</f>
        <v>0</v>
      </c>
      <c r="L777" s="4">
        <f>IF(OR(INDEX($AH$2:$AH$1001,MATCH(ROWS($AG$2:AG777),$AG$2:$AG$1001,0),1)&gt;=100000,INDEX($AN$1005:$BO$1005,1,MATCH(COLUMNS($AN$1006:AX1006),$AN$1006:$BO$1006,0))&gt;=100000), " ",IF(INDEX($AN$2:$BO$1001,MATCH(ROWS($AG$2:AG777),$AG$2:$AG$1001,0),MATCH(COLUMNS($AN$1006:AX1006),$AN$1006:$BO$1006,0)), HYPERLINK("#",""), HYPERLINK(CONCATENATE("#Metadata!", ADDRESS(INDEX($AI$2:$AI$1001,MATCH(ROWS($AG$2:AG777),$AG$2:$AG$1001,0),0), INDEX($AN$1004:$BO$1004,1,MATCH(COLUMNS($AN$1006:AX1006),$AN$1006:$BO$1006,0)))),"Fix")))</f>
        <v>0</v>
      </c>
      <c r="M777" s="4">
        <f>IF(OR(INDEX($AH$2:$AH$1001,MATCH(ROWS($AG$2:AG777),$AG$2:$AG$1001,0),1)&gt;=100000,INDEX($AN$1005:$BO$1005,1,MATCH(COLUMNS($AN$1006:AY1006),$AN$1006:$BO$1006,0))&gt;=100000), " ",IF(INDEX($AN$2:$BO$1001,MATCH(ROWS($AG$2:AG777),$AG$2:$AG$1001,0),MATCH(COLUMNS($AN$1006:AY1006),$AN$1006:$BO$1006,0)), HYPERLINK("#",""), HYPERLINK(CONCATENATE("#Metadata!", ADDRESS(INDEX($AI$2:$AI$1001,MATCH(ROWS($AG$2:AG777),$AG$2:$AG$1001,0),0), INDEX($AN$1004:$BO$1004,1,MATCH(COLUMNS($AN$1006:AY1006),$AN$1006:$BO$1006,0)))),"Fix")))</f>
        <v>0</v>
      </c>
      <c r="N777" s="4">
        <f>IF(OR(INDEX($AH$2:$AH$1001,MATCH(ROWS($AG$2:AG777),$AG$2:$AG$1001,0),1)&gt;=100000,INDEX($AN$1005:$BO$1005,1,MATCH(COLUMNS($AN$1006:AZ1006),$AN$1006:$BO$1006,0))&gt;=100000), " ",IF(INDEX($AN$2:$BO$1001,MATCH(ROWS($AG$2:AG777),$AG$2:$AG$1001,0),MATCH(COLUMNS($AN$1006:AZ1006),$AN$1006:$BO$1006,0)), HYPERLINK("#",""), HYPERLINK(CONCATENATE("#Metadata!", ADDRESS(INDEX($AI$2:$AI$1001,MATCH(ROWS($AG$2:AG777),$AG$2:$AG$1001,0),0), INDEX($AN$1004:$BO$1004,1,MATCH(COLUMNS($AN$1006:AZ1006),$AN$1006:$BO$1006,0)))),"Fix")))</f>
        <v>0</v>
      </c>
      <c r="O777" s="4">
        <f>IF(OR(INDEX($AH$2:$AH$1001,MATCH(ROWS($AG$2:AG777),$AG$2:$AG$1001,0),1)&gt;=100000,INDEX($AN$1005:$BO$1005,1,MATCH(COLUMNS($AN$1006:BA1006),$AN$1006:$BO$1006,0))&gt;=100000), " ",IF(INDEX($AN$2:$BO$1001,MATCH(ROWS($AG$2:AG777),$AG$2:$AG$1001,0),MATCH(COLUMNS($AN$1006:BA1006),$AN$1006:$BO$1006,0)), HYPERLINK("#",""), HYPERLINK(CONCATENATE("#Metadata!", ADDRESS(INDEX($AI$2:$AI$1001,MATCH(ROWS($AG$2:AG777),$AG$2:$AG$1001,0),0), INDEX($AN$1004:$BO$1004,1,MATCH(COLUMNS($AN$1006:BA1006),$AN$1006:$BO$1006,0)))),"Fix")))</f>
        <v>0</v>
      </c>
      <c r="P777" s="4">
        <f>IF(OR(INDEX($AH$2:$AH$1001,MATCH(ROWS($AG$2:AG777),$AG$2:$AG$1001,0),1)&gt;=100000,INDEX($AN$1005:$BO$1005,1,MATCH(COLUMNS($AN$1006:BB1006),$AN$1006:$BO$1006,0))&gt;=100000), " ",IF(INDEX($AN$2:$BO$1001,MATCH(ROWS($AG$2:AG777),$AG$2:$AG$1001,0),MATCH(COLUMNS($AN$1006:BB1006),$AN$1006:$BO$1006,0)), HYPERLINK("#",""), HYPERLINK(CONCATENATE("#Metadata!", ADDRESS(INDEX($AI$2:$AI$1001,MATCH(ROWS($AG$2:AG777),$AG$2:$AG$1001,0),0), INDEX($AN$1004:$BO$1004,1,MATCH(COLUMNS($AN$1006:BB1006),$AN$1006:$BO$1006,0)))),"Fix")))</f>
        <v>0</v>
      </c>
      <c r="Q777" s="4">
        <f>IF(OR(INDEX($AH$2:$AH$1001,MATCH(ROWS($AG$2:AG777),$AG$2:$AG$1001,0),1)&gt;=100000,INDEX($AN$1005:$BO$1005,1,MATCH(COLUMNS($AN$1006:BC1006),$AN$1006:$BO$1006,0))&gt;=100000), " ",IF(INDEX($AN$2:$BO$1001,MATCH(ROWS($AG$2:AG777),$AG$2:$AG$1001,0),MATCH(COLUMNS($AN$1006:BC1006),$AN$1006:$BO$1006,0)), HYPERLINK("#",""), HYPERLINK(CONCATENATE("#Metadata!", ADDRESS(INDEX($AI$2:$AI$1001,MATCH(ROWS($AG$2:AG777),$AG$2:$AG$1001,0),0), INDEX($AN$1004:$BO$1004,1,MATCH(COLUMNS($AN$1006:BC1006),$AN$1006:$BO$1006,0)))),"Fix")))</f>
        <v>0</v>
      </c>
      <c r="R777" s="4">
        <f>IF(OR(INDEX($AH$2:$AH$1001,MATCH(ROWS($AG$2:AG777),$AG$2:$AG$1001,0),1)&gt;=100000,INDEX($AN$1005:$BO$1005,1,MATCH(COLUMNS($AN$1006:BD1006),$AN$1006:$BO$1006,0))&gt;=100000), " ",IF(INDEX($AN$2:$BO$1001,MATCH(ROWS($AG$2:AG777),$AG$2:$AG$1001,0),MATCH(COLUMNS($AN$1006:BD1006),$AN$1006:$BO$1006,0)), HYPERLINK("#",""), HYPERLINK(CONCATENATE("#Metadata!", ADDRESS(INDEX($AI$2:$AI$1001,MATCH(ROWS($AG$2:AG777),$AG$2:$AG$1001,0),0), INDEX($AN$1004:$BO$1004,1,MATCH(COLUMNS($AN$1006:BD1006),$AN$1006:$BO$1006,0)))),"Fix")))</f>
        <v>0</v>
      </c>
      <c r="S777" s="4">
        <f>IF(OR(INDEX($AH$2:$AH$1001,MATCH(ROWS($AG$2:AG777),$AG$2:$AG$1001,0),1)&gt;=100000,INDEX($AN$1005:$BO$1005,1,MATCH(COLUMNS($AN$1006:BE1006),$AN$1006:$BO$1006,0))&gt;=100000), " ",IF(INDEX($AN$2:$BO$1001,MATCH(ROWS($AG$2:AG777),$AG$2:$AG$1001,0),MATCH(COLUMNS($AN$1006:BE1006),$AN$1006:$BO$1006,0)), HYPERLINK("#",""), HYPERLINK(CONCATENATE("#Metadata!", ADDRESS(INDEX($AI$2:$AI$1001,MATCH(ROWS($AG$2:AG777),$AG$2:$AG$1001,0),0), INDEX($AN$1004:$BO$1004,1,MATCH(COLUMNS($AN$1006:BE1006),$AN$1006:$BO$1006,0)))),"Fix")))</f>
        <v>0</v>
      </c>
      <c r="T777" s="4">
        <f>IF(OR(INDEX($AH$2:$AH$1001,MATCH(ROWS($AG$2:AG777),$AG$2:$AG$1001,0),1)&gt;=100000,INDEX($AN$1005:$BO$1005,1,MATCH(COLUMNS($AN$1006:BF1006),$AN$1006:$BO$1006,0))&gt;=100000), " ",IF(INDEX($AN$2:$BO$1001,MATCH(ROWS($AG$2:AG777),$AG$2:$AG$1001,0),MATCH(COLUMNS($AN$1006:BF1006),$AN$1006:$BO$1006,0)), HYPERLINK("#",""), HYPERLINK(CONCATENATE("#Metadata!", ADDRESS(INDEX($AI$2:$AI$1001,MATCH(ROWS($AG$2:AG777),$AG$2:$AG$1001,0),0), INDEX($AN$1004:$BO$1004,1,MATCH(COLUMNS($AN$1006:BF1006),$AN$1006:$BO$1006,0)))),"Fix")))</f>
        <v>0</v>
      </c>
      <c r="U777" s="4">
        <f>IF(OR(INDEX($AH$2:$AH$1001,MATCH(ROWS($AG$2:AG777),$AG$2:$AG$1001,0),1)&gt;=100000,INDEX($AN$1005:$BO$1005,1,MATCH(COLUMNS($AN$1006:BG1006),$AN$1006:$BO$1006,0))&gt;=100000), " ",IF(INDEX($AN$2:$BO$1001,MATCH(ROWS($AG$2:AG777),$AG$2:$AG$1001,0),MATCH(COLUMNS($AN$1006:BG1006),$AN$1006:$BO$1006,0)), HYPERLINK("#",""), HYPERLINK(CONCATENATE("#Metadata!", ADDRESS(INDEX($AI$2:$AI$1001,MATCH(ROWS($AG$2:AG777),$AG$2:$AG$1001,0),0), INDEX($AN$1004:$BO$1004,1,MATCH(COLUMNS($AN$1006:BG1006),$AN$1006:$BO$1006,0)))),"Fix")))</f>
        <v>0</v>
      </c>
      <c r="V777" s="4">
        <f>IF(OR(INDEX($AH$2:$AH$1001,MATCH(ROWS($AG$2:AG777),$AG$2:$AG$1001,0),1)&gt;=100000,INDEX($AN$1005:$BO$1005,1,MATCH(COLUMNS($AN$1006:BH1006),$AN$1006:$BO$1006,0))&gt;=100000), " ",IF(INDEX($AN$2:$BO$1001,MATCH(ROWS($AG$2:AG777),$AG$2:$AG$1001,0),MATCH(COLUMNS($AN$1006:BH1006),$AN$1006:$BO$1006,0)), HYPERLINK("#",""), HYPERLINK(CONCATENATE("#Metadata!", ADDRESS(INDEX($AI$2:$AI$1001,MATCH(ROWS($AG$2:AG777),$AG$2:$AG$1001,0),0), INDEX($AN$1004:$BO$1004,1,MATCH(COLUMNS($AN$1006:BH1006),$AN$1006:$BO$1006,0)))),"Fix")))</f>
        <v>0</v>
      </c>
      <c r="W777" s="4">
        <f>IF(OR(INDEX($AH$2:$AH$1001,MATCH(ROWS($AG$2:AG777),$AG$2:$AG$1001,0),1)&gt;=100000,INDEX($AN$1005:$BO$1005,1,MATCH(COLUMNS($AN$1006:BI1006),$AN$1006:$BO$1006,0))&gt;=100000), " ",IF(INDEX($AN$2:$BO$1001,MATCH(ROWS($AG$2:AG777),$AG$2:$AG$1001,0),MATCH(COLUMNS($AN$1006:BI1006),$AN$1006:$BO$1006,0)), HYPERLINK("#",""), HYPERLINK(CONCATENATE("#Metadata!", ADDRESS(INDEX($AI$2:$AI$1001,MATCH(ROWS($AG$2:AG777),$AG$2:$AG$1001,0),0), INDEX($AN$1004:$BO$1004,1,MATCH(COLUMNS($AN$1006:BI1006),$AN$1006:$BO$1006,0)))),"Fix")))</f>
        <v>0</v>
      </c>
      <c r="X777" s="4">
        <f>IF(OR(INDEX($AH$2:$AH$1001,MATCH(ROWS($AG$2:AG777),$AG$2:$AG$1001,0),1)&gt;=100000,INDEX($AN$1005:$BO$1005,1,MATCH(COLUMNS($AN$1006:BJ1006),$AN$1006:$BO$1006,0))&gt;=100000), " ",IF(INDEX($AN$2:$BO$1001,MATCH(ROWS($AG$2:AG777),$AG$2:$AG$1001,0),MATCH(COLUMNS($AN$1006:BJ1006),$AN$1006:$BO$1006,0)), HYPERLINK("#",""), HYPERLINK(CONCATENATE("#Metadata!", ADDRESS(INDEX($AI$2:$AI$1001,MATCH(ROWS($AG$2:AG777),$AG$2:$AG$1001,0),0), INDEX($AN$1004:$BO$1004,1,MATCH(COLUMNS($AN$1006:BJ1006),$AN$1006:$BO$1006,0)))),"Fix")))</f>
        <v>0</v>
      </c>
      <c r="Y777" s="4">
        <f>IF(OR(INDEX($AH$2:$AH$1001,MATCH(ROWS($AG$2:AG777),$AG$2:$AG$1001,0),1)&gt;=100000,INDEX($AN$1005:$BO$1005,1,MATCH(COLUMNS($AN$1006:BK1006),$AN$1006:$BO$1006,0))&gt;=100000), " ",IF(INDEX($AN$2:$BO$1001,MATCH(ROWS($AG$2:AG777),$AG$2:$AG$1001,0),MATCH(COLUMNS($AN$1006:BK1006),$AN$1006:$BO$1006,0)), HYPERLINK("#",""), HYPERLINK(CONCATENATE("#Metadata!", ADDRESS(INDEX($AI$2:$AI$1001,MATCH(ROWS($AG$2:AG777),$AG$2:$AG$1001,0),0), INDEX($AN$1004:$BO$1004,1,MATCH(COLUMNS($AN$1006:BK1006),$AN$1006:$BO$1006,0)))),"Fix")))</f>
        <v>0</v>
      </c>
      <c r="Z777" s="4">
        <f>IF(OR(INDEX($AH$2:$AH$1001,MATCH(ROWS($AG$2:AG777),$AG$2:$AG$1001,0),1)&gt;=100000,INDEX($AN$1005:$BO$1005,1,MATCH(COLUMNS($AN$1006:BL1006),$AN$1006:$BO$1006,0))&gt;=100000), " ",IF(INDEX($AN$2:$BO$1001,MATCH(ROWS($AG$2:AG777),$AG$2:$AG$1001,0),MATCH(COLUMNS($AN$1006:BL1006),$AN$1006:$BO$1006,0)), HYPERLINK("#",""), HYPERLINK(CONCATENATE("#Metadata!", ADDRESS(INDEX($AI$2:$AI$1001,MATCH(ROWS($AG$2:AG777),$AG$2:$AG$1001,0),0), INDEX($AN$1004:$BO$1004,1,MATCH(COLUMNS($AN$1006:BL1006),$AN$1006:$BO$1006,0)))),"Fix")))</f>
        <v>0</v>
      </c>
      <c r="AA777" s="4">
        <f>IF(OR(INDEX($AH$2:$AH$1001,MATCH(ROWS($AG$2:AG777),$AG$2:$AG$1001,0),1)&gt;=100000,INDEX($AN$1005:$BO$1005,1,MATCH(COLUMNS($AN$1006:BM1006),$AN$1006:$BO$1006,0))&gt;=100000), " ",IF(INDEX($AN$2:$BO$1001,MATCH(ROWS($AG$2:AG777),$AG$2:$AG$1001,0),MATCH(COLUMNS($AN$1006:BM1006),$AN$1006:$BO$1006,0)), HYPERLINK("#",""), HYPERLINK(CONCATENATE("#Metadata!", ADDRESS(INDEX($AI$2:$AI$1001,MATCH(ROWS($AG$2:AG777),$AG$2:$AG$1001,0),0), INDEX($AN$1004:$BO$1004,1,MATCH(COLUMNS($AN$1006:BM1006),$AN$1006:$BO$1006,0)))),"Fix")))</f>
        <v>0</v>
      </c>
      <c r="AB777" s="4">
        <f>IF(OR(INDEX($AH$2:$AH$1001,MATCH(ROWS($AG$2:AG777),$AG$2:$AG$1001,0),1)&gt;=100000,INDEX($AN$1005:$BO$1005,1,MATCH(COLUMNS($AN$1006:BN1006),$AN$1006:$BO$1006,0))&gt;=100000), " ",IF(INDEX($AN$2:$BO$1001,MATCH(ROWS($AG$2:AG777),$AG$2:$AG$1001,0),MATCH(COLUMNS($AN$1006:BN1006),$AN$1006:$BO$1006,0)), HYPERLINK("#",""), HYPERLINK(CONCATENATE("#Metadata!", ADDRESS(INDEX($AI$2:$AI$1001,MATCH(ROWS($AG$2:AG777),$AG$2:$AG$1001,0),0), INDEX($AN$1004:$BO$1004,1,MATCH(COLUMNS($AN$1006:BN1006),$AN$1006:$BO$1006,0)))),"Fix")))</f>
        <v>0</v>
      </c>
      <c r="AC777" s="4">
        <f>IF(OR(INDEX($AH$2:$AH$1001,MATCH(ROWS($AG$2:AG777),$AG$2:$AG$1001,0),1)&gt;=100000,INDEX($AN$1005:$BO$1005,1,MATCH(COLUMNS($AN$1006:BO1006),$AN$1006:$BO$1006,0))&gt;=100000), " ",IF(INDEX($AN$2:$BO$1001,MATCH(ROWS($AG$2:AG777),$AG$2:$AG$1001,0),MATCH(COLUMNS($AN$1006:BO1006),$AN$1006:$BO$1006,0)), HYPERLINK("#",""), HYPERLINK(CONCATENATE("#Metadata!", ADDRESS(INDEX($AI$2:$AI$1001,MATCH(ROWS($AG$2:AG777),$AG$2:$AG$1001,0),0), INDEX($AN$1004:$BO$1004,1,MATCH(COLUMNS($AN$1006:BO1006),$AN$1006:$BO$1006,0)))),"Fix")))</f>
        <v>0</v>
      </c>
      <c r="AG777">
        <v>0</v>
      </c>
      <c r="AH777">
        <v>0</v>
      </c>
      <c r="AI777">
        <v>0</v>
      </c>
      <c r="AJ777">
        <f>IF(AK777,TRUE,AND(AN777:BO777))</f>
        <v>0</v>
      </c>
      <c r="AK777">
        <f>COUNTBLANK(Metadata!B777:AC777)=COLUMNS(Metadata!B777:AC777)</f>
        <v>0</v>
      </c>
      <c r="AL777">
        <v>0</v>
      </c>
      <c r="AN777">
        <f>AND(IF(Metadata!B777="",FALSE,TRUE),COUNTIF(Metadata!B:B, Metadata!B777) = 1,NOT(ISERROR(SUMPRODUCT(SEARCH(MID(Metadata!B777,ROW(INDIRECT("1:"&amp;LEN(Metadata!B777))), 1),"0123456789abcdefghijklmnopqrstuvwxyzABCDEFGHIJKLMNOPQRSTUVWXYZ.")))))</f>
        <v>0</v>
      </c>
      <c r="AO777">
        <f>IF(Metadata!C777="",FALSE,TRUE)</f>
        <v>0</v>
      </c>
      <c r="AP777">
        <f>IF(Metadata!D777="",FALSE,TRUE)</f>
        <v>0</v>
      </c>
      <c r="AQ777">
        <f>OR(AND(IF(Metadata!E777="",FALSE,TRUE),OR(exact(Metadata!E777,"not collected"),exact(Metadata!E777,"not provided"),exact(Metadata!E777,"restricted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R777">
        <f>IF(Metadata!F777="",FALSE,TRUE)</f>
        <v>0</v>
      </c>
      <c r="AS777">
        <f>OR(AND(IF(Metadata!G777="",FALSE,TRUE),OR(exact(Metadata!G777,"not collected"),exact(Metadata!G777,"not provided"))),AND(IF(Metadata!G777="",FALSE,TRUE),OR(exact(Metadata!G777,"TRUE"),exact(Metadata!G777,"FALSE"))))</f>
        <v>0</v>
      </c>
      <c r="AT777">
        <f>OR(AND(IF(Metadata!H777="",FALSE,TRUE),OR(exact(Metadata!H777,"not collected"),exact(Metadata!H777,"not provided"),exact(Metadata!H777,"restricted access"))),AND(IF(Metadata!H777="",FALSE,ISNUMBER(VALUE(Metadata!H777))),Metadata!H777&gt;=-413.0))</f>
        <v>0</v>
      </c>
      <c r="AU777">
        <f>AND(IF(Metadata!I777="",FALSE,TRUE),exact(Metadata!I777,"meters"))</f>
        <v>0</v>
      </c>
      <c r="AV777">
        <f>AND(IF(Metadata!J777="",FALSE,TRUE),OR(exact(Metadata!J777,"Host-associated"),exact(Metadata!J777,"Free-living")))</f>
        <v>0</v>
      </c>
      <c r="AW777">
        <f>AND(IF(Metadata!K777="",FALSE,TRUE),OR(exact(Metadata!K777,"Animal"),exact(Metadata!K777,"Fungus"),exact(Metadata!K777,"Plant"),exact(Metadata!K777,"Saline"),exact(Metadata!K777,"Non-saline")))</f>
        <v>0</v>
      </c>
      <c r="AX777">
        <f>AND(IF(Metadata!L777="",FALSE,TRUE),OR(exact(Metadata!L777,"Plant secretion"),exact(Metadata!L777,"Plant rhizosphere"),exact(Metadata!L777,"Plant surface"),exact(Metadata!L777,"Plant corpus"),exact(Metadata!L777,"Fungus surface"),exact(Metadata!L777,"Fungus corpus"),exact(Metadata!L777,"Animal surface"),exact(Metadata!L777,"Animal proximal gut"),exact(Metadata!L777,"Animal corpus"),exact(Metadata!L777,"Animal distal gut"),exact(Metadata!L777,"Animal secretion"),exact(Metadata!L777,"Sub-surface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Y777">
        <f>IF(Metadata!M777="",FALSE,TRUE)</f>
        <v>0</v>
      </c>
      <c r="AZ777">
        <f>IF(Metadata!N777="",FALSE,TRUE)</f>
        <v>0</v>
      </c>
      <c r="BA777">
        <f>IF(Metadata!O777="",FALSE,TRUE)</f>
        <v>0</v>
      </c>
      <c r="BB777">
        <f>OR(AND(IF(Metadata!P777="",FALSE,TRUE),OR(exact(Metadata!P777,"not collected"),exact(Metadata!P777,"not provided"),exact(Metadata!P777,"restricted access"))),AND(IF(Metadata!P777="",FALSE,TRUE),OR(exact(Metadata!P777,"air"),exact(Metadata!P777,"built environment"),exact(Metadata!P777,"host-associated"),exact(Metadata!P777,"human-associated"),exact(Metadata!P777,"human-skin"),exact(Metadata!P777,"human-oral"),exact(Metadata!P777,"human-gut"),exact(Metadata!P777,"human-vaginal"),exact(Metadata!P777,"microbial mat/biofilm"),exact(Metadata!P777,"misc environment"),exact(Metadata!P777,"plant-associated"),exact(Metadata!P777,"sediment"),exact(Metadata!P777,"soil"),exact(Metadata!P777,"wastewater/sludge"),exact(Metadata!P777,"water"))))</f>
        <v>0</v>
      </c>
      <c r="BC777">
        <f>IF(Metadata!Q777="",FALSE,TRUE)</f>
        <v>0</v>
      </c>
      <c r="BD777">
        <f>IF(Metadata!R777="",FALSE,TRUE)</f>
        <v>0</v>
      </c>
      <c r="BE777">
        <f>OR(AND(IF(Metadata!S777="",FALSE,TRUE),OR(exact(Metadata!S777,"not collected"),exact(Metadata!S777,"not provided"),exact(Metadata!S777,"restricted access"))),AND(IF(Metadata!S777="",FALSE,ISNUMBER(VALUE(Metadata!S777))),Metadata!S777&gt;=-90.00,Metadata!S777&lt;=90.00))</f>
        <v>0</v>
      </c>
      <c r="BF777">
        <f>AND(IF(Metadata!T777="",FALSE,TRUE),exact(Metadata!T777,"Decimal degrees"))</f>
        <v>0</v>
      </c>
      <c r="BG777">
        <f>OR(AND(IF(Metadata!U777="",FALSE,TRUE),OR(exact(Metadata!U777,"not collected"),exact(Metadata!U777,"not provided"),exact(Metadata!U777,"restricted access"))),AND(IF(Metadata!U777="",FALSE,ISNUMBER(VALUE(Metadata!U777))),Metadata!U777&gt;=-180.00,Metadata!U777&lt;=180.00))</f>
        <v>0</v>
      </c>
      <c r="BH777">
        <f>AND(IF(Metadata!V777="",FALSE,TRUE),exact(Metadata!V777,"Decimal degrees"))</f>
        <v>0</v>
      </c>
      <c r="BI777">
        <f>IF(Metadata!W777="",FALSE,TRUE)</f>
        <v>0</v>
      </c>
      <c r="BJ777">
        <f>OR(AND(IF(Metadata!X777="",FALSE,TRUE),OR(exact(Metadata!X777,"not collected"),exact(Metadata!X777,"not provided"),exact(Metadata!X777,"restricted access"))),AND(IF(Metadata!X777="",FALSE,TRUE),OR(exact(Metadata!X777,"TRUE"),exact(Metadata!X777,"FALSE"))))</f>
        <v>0</v>
      </c>
      <c r="BK777">
        <f>AND(IF(Metadata!Y777="",FALSE,TRUE),exact(Metadata!Y777,"other"))</f>
        <v>0</v>
      </c>
      <c r="BL777">
        <f>IF(Metadata!Z777="",FALSE,TRUE)</f>
        <v>0</v>
      </c>
      <c r="BM777">
        <f>OR(AND(IF(Metadata!AA777="",FALSE,TRUE),OR(exact(Metadata!AA777,"not collected"),exact(Metadata!AA777,"not provided"))),AND(IF(Metadata!AA777="",FALSE,IF(ISERROR(INT(Metadata!AA777)),FALSE,INT(Metadata!AA777)=Metadata!AA777)),Metadata!AA777&gt;0))</f>
        <v>0</v>
      </c>
      <c r="BN777">
        <f>AND(IF(Metadata!AB777="",FALSE,TRUE),exact(Metadata!AB777,"Not applicable"))</f>
        <v>0</v>
      </c>
      <c r="BO777">
        <f>IF(Metadata!AC777="",FALSE,TRUE)</f>
        <v>0</v>
      </c>
    </row>
    <row r="778" spans="1:67">
      <c r="A778" s="5">
        <f>IF(B778=" "," ",HYPERLINK(CONCATENATE("#metadata!",ADDRESS(INDEX($AI$2:$AI$1001,MATCH(ROWS($AG$2:AG778),$AG$2:$AG$1001,0),0),1)),INDEX($AL$2:$AL$1001,MATCH(ROWS($AG$2:AG778),$AG$2:$AG$1001,0),0)))</f>
        <v>0</v>
      </c>
      <c r="B778" s="4">
        <f>IF(OR(INDEX($AH$2:$AH$1001,MATCH(ROWS($AG$2:AG778),$AG$2:$AG$1001,0),1)&gt;=100000,INDEX($AN$1005:$BO$1005,1,MATCH(COLUMNS($AN$1006:AN1006),$AN$1006:$BO$1006,0))&gt;=100000), " ",IF(INDEX($AN$2:$BO$1001,MATCH(ROWS($AG$2:AG778),$AG$2:$AG$1001,0),MATCH(COLUMNS($AN$1006:AN1006),$AN$1006:$BO$1006,0)), HYPERLINK("#",""), HYPERLINK(CONCATENATE("#Metadata!", ADDRESS(INDEX($AI$2:$AI$1001,MATCH(ROWS($AG$2:AG778),$AG$2:$AG$1001,0),0), INDEX($AN$1004:$BO$1004,1,MATCH(COLUMNS($AN$1006:AN1006),$AN$1006:$BO$1006,0)))),"Fix")))</f>
        <v>0</v>
      </c>
      <c r="C778" s="4">
        <f>IF(OR(INDEX($AH$2:$AH$1001,MATCH(ROWS($AG$2:AG778),$AG$2:$AG$1001,0),1)&gt;=100000,INDEX($AN$1005:$BO$1005,1,MATCH(COLUMNS($AN$1006:AO1006),$AN$1006:$BO$1006,0))&gt;=100000), " ",IF(INDEX($AN$2:$BO$1001,MATCH(ROWS($AG$2:AG778),$AG$2:$AG$1001,0),MATCH(COLUMNS($AN$1006:AO1006),$AN$1006:$BO$1006,0)), HYPERLINK("#",""), HYPERLINK(CONCATENATE("#Metadata!", ADDRESS(INDEX($AI$2:$AI$1001,MATCH(ROWS($AG$2:AG778),$AG$2:$AG$1001,0),0), INDEX($AN$1004:$BO$1004,1,MATCH(COLUMNS($AN$1006:AO1006),$AN$1006:$BO$1006,0)))),"Fix")))</f>
        <v>0</v>
      </c>
      <c r="D778" s="4">
        <f>IF(OR(INDEX($AH$2:$AH$1001,MATCH(ROWS($AG$2:AG778),$AG$2:$AG$1001,0),1)&gt;=100000,INDEX($AN$1005:$BO$1005,1,MATCH(COLUMNS($AN$1006:AP1006),$AN$1006:$BO$1006,0))&gt;=100000), " ",IF(INDEX($AN$2:$BO$1001,MATCH(ROWS($AG$2:AG778),$AG$2:$AG$1001,0),MATCH(COLUMNS($AN$1006:AP1006),$AN$1006:$BO$1006,0)), HYPERLINK("#",""), HYPERLINK(CONCATENATE("#Metadata!", ADDRESS(INDEX($AI$2:$AI$1001,MATCH(ROWS($AG$2:AG778),$AG$2:$AG$1001,0),0), INDEX($AN$1004:$BO$1004,1,MATCH(COLUMNS($AN$1006:AP1006),$AN$1006:$BO$1006,0)))),"Fix")))</f>
        <v>0</v>
      </c>
      <c r="E778" s="4">
        <f>IF(OR(INDEX($AH$2:$AH$1001,MATCH(ROWS($AG$2:AG778),$AG$2:$AG$1001,0),1)&gt;=100000,INDEX($AN$1005:$BO$1005,1,MATCH(COLUMNS($AN$1006:AQ1006),$AN$1006:$BO$1006,0))&gt;=100000), " ",IF(INDEX($AN$2:$BO$1001,MATCH(ROWS($AG$2:AG778),$AG$2:$AG$1001,0),MATCH(COLUMNS($AN$1006:AQ1006),$AN$1006:$BO$1006,0)), HYPERLINK("#",""), HYPERLINK(CONCATENATE("#Metadata!", ADDRESS(INDEX($AI$2:$AI$1001,MATCH(ROWS($AG$2:AG778),$AG$2:$AG$1001,0),0), INDEX($AN$1004:$BO$1004,1,MATCH(COLUMNS($AN$1006:AQ1006),$AN$1006:$BO$1006,0)))),"Fix")))</f>
        <v>0</v>
      </c>
      <c r="F778" s="4">
        <f>IF(OR(INDEX($AH$2:$AH$1001,MATCH(ROWS($AG$2:AG778),$AG$2:$AG$1001,0),1)&gt;=100000,INDEX($AN$1005:$BO$1005,1,MATCH(COLUMNS($AN$1006:AR1006),$AN$1006:$BO$1006,0))&gt;=100000), " ",IF(INDEX($AN$2:$BO$1001,MATCH(ROWS($AG$2:AG778),$AG$2:$AG$1001,0),MATCH(COLUMNS($AN$1006:AR1006),$AN$1006:$BO$1006,0)), HYPERLINK("#",""), HYPERLINK(CONCATENATE("#Metadata!", ADDRESS(INDEX($AI$2:$AI$1001,MATCH(ROWS($AG$2:AG778),$AG$2:$AG$1001,0),0), INDEX($AN$1004:$BO$1004,1,MATCH(COLUMNS($AN$1006:AR1006),$AN$1006:$BO$1006,0)))),"Fix")))</f>
        <v>0</v>
      </c>
      <c r="G778" s="4">
        <f>IF(OR(INDEX($AH$2:$AH$1001,MATCH(ROWS($AG$2:AG778),$AG$2:$AG$1001,0),1)&gt;=100000,INDEX($AN$1005:$BO$1005,1,MATCH(COLUMNS($AN$1006:AS1006),$AN$1006:$BO$1006,0))&gt;=100000), " ",IF(INDEX($AN$2:$BO$1001,MATCH(ROWS($AG$2:AG778),$AG$2:$AG$1001,0),MATCH(COLUMNS($AN$1006:AS1006),$AN$1006:$BO$1006,0)), HYPERLINK("#",""), HYPERLINK(CONCATENATE("#Metadata!", ADDRESS(INDEX($AI$2:$AI$1001,MATCH(ROWS($AG$2:AG778),$AG$2:$AG$1001,0),0), INDEX($AN$1004:$BO$1004,1,MATCH(COLUMNS($AN$1006:AS1006),$AN$1006:$BO$1006,0)))),"Fix")))</f>
        <v>0</v>
      </c>
      <c r="H778" s="4">
        <f>IF(OR(INDEX($AH$2:$AH$1001,MATCH(ROWS($AG$2:AG778),$AG$2:$AG$1001,0),1)&gt;=100000,INDEX($AN$1005:$BO$1005,1,MATCH(COLUMNS($AN$1006:AT1006),$AN$1006:$BO$1006,0))&gt;=100000), " ",IF(INDEX($AN$2:$BO$1001,MATCH(ROWS($AG$2:AG778),$AG$2:$AG$1001,0),MATCH(COLUMNS($AN$1006:AT1006),$AN$1006:$BO$1006,0)), HYPERLINK("#",""), HYPERLINK(CONCATENATE("#Metadata!", ADDRESS(INDEX($AI$2:$AI$1001,MATCH(ROWS($AG$2:AG778),$AG$2:$AG$1001,0),0), INDEX($AN$1004:$BO$1004,1,MATCH(COLUMNS($AN$1006:AT1006),$AN$1006:$BO$1006,0)))),"Fix")))</f>
        <v>0</v>
      </c>
      <c r="I778" s="4">
        <f>IF(OR(INDEX($AH$2:$AH$1001,MATCH(ROWS($AG$2:AG778),$AG$2:$AG$1001,0),1)&gt;=100000,INDEX($AN$1005:$BO$1005,1,MATCH(COLUMNS($AN$1006:AU1006),$AN$1006:$BO$1006,0))&gt;=100000), " ",IF(INDEX($AN$2:$BO$1001,MATCH(ROWS($AG$2:AG778),$AG$2:$AG$1001,0),MATCH(COLUMNS($AN$1006:AU1006),$AN$1006:$BO$1006,0)), HYPERLINK("#",""), HYPERLINK(CONCATENATE("#Metadata!", ADDRESS(INDEX($AI$2:$AI$1001,MATCH(ROWS($AG$2:AG778),$AG$2:$AG$1001,0),0), INDEX($AN$1004:$BO$1004,1,MATCH(COLUMNS($AN$1006:AU1006),$AN$1006:$BO$1006,0)))),"Fix")))</f>
        <v>0</v>
      </c>
      <c r="J778" s="4">
        <f>IF(OR(INDEX($AH$2:$AH$1001,MATCH(ROWS($AG$2:AG778),$AG$2:$AG$1001,0),1)&gt;=100000,INDEX($AN$1005:$BO$1005,1,MATCH(COLUMNS($AN$1006:AV1006),$AN$1006:$BO$1006,0))&gt;=100000), " ",IF(INDEX($AN$2:$BO$1001,MATCH(ROWS($AG$2:AG778),$AG$2:$AG$1001,0),MATCH(COLUMNS($AN$1006:AV1006),$AN$1006:$BO$1006,0)), HYPERLINK("#",""), HYPERLINK(CONCATENATE("#Metadata!", ADDRESS(INDEX($AI$2:$AI$1001,MATCH(ROWS($AG$2:AG778),$AG$2:$AG$1001,0),0), INDEX($AN$1004:$BO$1004,1,MATCH(COLUMNS($AN$1006:AV1006),$AN$1006:$BO$1006,0)))),"Fix")))</f>
        <v>0</v>
      </c>
      <c r="K778" s="4">
        <f>IF(OR(INDEX($AH$2:$AH$1001,MATCH(ROWS($AG$2:AG778),$AG$2:$AG$1001,0),1)&gt;=100000,INDEX($AN$1005:$BO$1005,1,MATCH(COLUMNS($AN$1006:AW1006),$AN$1006:$BO$1006,0))&gt;=100000), " ",IF(INDEX($AN$2:$BO$1001,MATCH(ROWS($AG$2:AG778),$AG$2:$AG$1001,0),MATCH(COLUMNS($AN$1006:AW1006),$AN$1006:$BO$1006,0)), HYPERLINK("#",""), HYPERLINK(CONCATENATE("#Metadata!", ADDRESS(INDEX($AI$2:$AI$1001,MATCH(ROWS($AG$2:AG778),$AG$2:$AG$1001,0),0), INDEX($AN$1004:$BO$1004,1,MATCH(COLUMNS($AN$1006:AW1006),$AN$1006:$BO$1006,0)))),"Fix")))</f>
        <v>0</v>
      </c>
      <c r="L778" s="4">
        <f>IF(OR(INDEX($AH$2:$AH$1001,MATCH(ROWS($AG$2:AG778),$AG$2:$AG$1001,0),1)&gt;=100000,INDEX($AN$1005:$BO$1005,1,MATCH(COLUMNS($AN$1006:AX1006),$AN$1006:$BO$1006,0))&gt;=100000), " ",IF(INDEX($AN$2:$BO$1001,MATCH(ROWS($AG$2:AG778),$AG$2:$AG$1001,0),MATCH(COLUMNS($AN$1006:AX1006),$AN$1006:$BO$1006,0)), HYPERLINK("#",""), HYPERLINK(CONCATENATE("#Metadata!", ADDRESS(INDEX($AI$2:$AI$1001,MATCH(ROWS($AG$2:AG778),$AG$2:$AG$1001,0),0), INDEX($AN$1004:$BO$1004,1,MATCH(COLUMNS($AN$1006:AX1006),$AN$1006:$BO$1006,0)))),"Fix")))</f>
        <v>0</v>
      </c>
      <c r="M778" s="4">
        <f>IF(OR(INDEX($AH$2:$AH$1001,MATCH(ROWS($AG$2:AG778),$AG$2:$AG$1001,0),1)&gt;=100000,INDEX($AN$1005:$BO$1005,1,MATCH(COLUMNS($AN$1006:AY1006),$AN$1006:$BO$1006,0))&gt;=100000), " ",IF(INDEX($AN$2:$BO$1001,MATCH(ROWS($AG$2:AG778),$AG$2:$AG$1001,0),MATCH(COLUMNS($AN$1006:AY1006),$AN$1006:$BO$1006,0)), HYPERLINK("#",""), HYPERLINK(CONCATENATE("#Metadata!", ADDRESS(INDEX($AI$2:$AI$1001,MATCH(ROWS($AG$2:AG778),$AG$2:$AG$1001,0),0), INDEX($AN$1004:$BO$1004,1,MATCH(COLUMNS($AN$1006:AY1006),$AN$1006:$BO$1006,0)))),"Fix")))</f>
        <v>0</v>
      </c>
      <c r="N778" s="4">
        <f>IF(OR(INDEX($AH$2:$AH$1001,MATCH(ROWS($AG$2:AG778),$AG$2:$AG$1001,0),1)&gt;=100000,INDEX($AN$1005:$BO$1005,1,MATCH(COLUMNS($AN$1006:AZ1006),$AN$1006:$BO$1006,0))&gt;=100000), " ",IF(INDEX($AN$2:$BO$1001,MATCH(ROWS($AG$2:AG778),$AG$2:$AG$1001,0),MATCH(COLUMNS($AN$1006:AZ1006),$AN$1006:$BO$1006,0)), HYPERLINK("#",""), HYPERLINK(CONCATENATE("#Metadata!", ADDRESS(INDEX($AI$2:$AI$1001,MATCH(ROWS($AG$2:AG778),$AG$2:$AG$1001,0),0), INDEX($AN$1004:$BO$1004,1,MATCH(COLUMNS($AN$1006:AZ1006),$AN$1006:$BO$1006,0)))),"Fix")))</f>
        <v>0</v>
      </c>
      <c r="O778" s="4">
        <f>IF(OR(INDEX($AH$2:$AH$1001,MATCH(ROWS($AG$2:AG778),$AG$2:$AG$1001,0),1)&gt;=100000,INDEX($AN$1005:$BO$1005,1,MATCH(COLUMNS($AN$1006:BA1006),$AN$1006:$BO$1006,0))&gt;=100000), " ",IF(INDEX($AN$2:$BO$1001,MATCH(ROWS($AG$2:AG778),$AG$2:$AG$1001,0),MATCH(COLUMNS($AN$1006:BA1006),$AN$1006:$BO$1006,0)), HYPERLINK("#",""), HYPERLINK(CONCATENATE("#Metadata!", ADDRESS(INDEX($AI$2:$AI$1001,MATCH(ROWS($AG$2:AG778),$AG$2:$AG$1001,0),0), INDEX($AN$1004:$BO$1004,1,MATCH(COLUMNS($AN$1006:BA1006),$AN$1006:$BO$1006,0)))),"Fix")))</f>
        <v>0</v>
      </c>
      <c r="P778" s="4">
        <f>IF(OR(INDEX($AH$2:$AH$1001,MATCH(ROWS($AG$2:AG778),$AG$2:$AG$1001,0),1)&gt;=100000,INDEX($AN$1005:$BO$1005,1,MATCH(COLUMNS($AN$1006:BB1006),$AN$1006:$BO$1006,0))&gt;=100000), " ",IF(INDEX($AN$2:$BO$1001,MATCH(ROWS($AG$2:AG778),$AG$2:$AG$1001,0),MATCH(COLUMNS($AN$1006:BB1006),$AN$1006:$BO$1006,0)), HYPERLINK("#",""), HYPERLINK(CONCATENATE("#Metadata!", ADDRESS(INDEX($AI$2:$AI$1001,MATCH(ROWS($AG$2:AG778),$AG$2:$AG$1001,0),0), INDEX($AN$1004:$BO$1004,1,MATCH(COLUMNS($AN$1006:BB1006),$AN$1006:$BO$1006,0)))),"Fix")))</f>
        <v>0</v>
      </c>
      <c r="Q778" s="4">
        <f>IF(OR(INDEX($AH$2:$AH$1001,MATCH(ROWS($AG$2:AG778),$AG$2:$AG$1001,0),1)&gt;=100000,INDEX($AN$1005:$BO$1005,1,MATCH(COLUMNS($AN$1006:BC1006),$AN$1006:$BO$1006,0))&gt;=100000), " ",IF(INDEX($AN$2:$BO$1001,MATCH(ROWS($AG$2:AG778),$AG$2:$AG$1001,0),MATCH(COLUMNS($AN$1006:BC1006),$AN$1006:$BO$1006,0)), HYPERLINK("#",""), HYPERLINK(CONCATENATE("#Metadata!", ADDRESS(INDEX($AI$2:$AI$1001,MATCH(ROWS($AG$2:AG778),$AG$2:$AG$1001,0),0), INDEX($AN$1004:$BO$1004,1,MATCH(COLUMNS($AN$1006:BC1006),$AN$1006:$BO$1006,0)))),"Fix")))</f>
        <v>0</v>
      </c>
      <c r="R778" s="4">
        <f>IF(OR(INDEX($AH$2:$AH$1001,MATCH(ROWS($AG$2:AG778),$AG$2:$AG$1001,0),1)&gt;=100000,INDEX($AN$1005:$BO$1005,1,MATCH(COLUMNS($AN$1006:BD1006),$AN$1006:$BO$1006,0))&gt;=100000), " ",IF(INDEX($AN$2:$BO$1001,MATCH(ROWS($AG$2:AG778),$AG$2:$AG$1001,0),MATCH(COLUMNS($AN$1006:BD1006),$AN$1006:$BO$1006,0)), HYPERLINK("#",""), HYPERLINK(CONCATENATE("#Metadata!", ADDRESS(INDEX($AI$2:$AI$1001,MATCH(ROWS($AG$2:AG778),$AG$2:$AG$1001,0),0), INDEX($AN$1004:$BO$1004,1,MATCH(COLUMNS($AN$1006:BD1006),$AN$1006:$BO$1006,0)))),"Fix")))</f>
        <v>0</v>
      </c>
      <c r="S778" s="4">
        <f>IF(OR(INDEX($AH$2:$AH$1001,MATCH(ROWS($AG$2:AG778),$AG$2:$AG$1001,0),1)&gt;=100000,INDEX($AN$1005:$BO$1005,1,MATCH(COLUMNS($AN$1006:BE1006),$AN$1006:$BO$1006,0))&gt;=100000), " ",IF(INDEX($AN$2:$BO$1001,MATCH(ROWS($AG$2:AG778),$AG$2:$AG$1001,0),MATCH(COLUMNS($AN$1006:BE1006),$AN$1006:$BO$1006,0)), HYPERLINK("#",""), HYPERLINK(CONCATENATE("#Metadata!", ADDRESS(INDEX($AI$2:$AI$1001,MATCH(ROWS($AG$2:AG778),$AG$2:$AG$1001,0),0), INDEX($AN$1004:$BO$1004,1,MATCH(COLUMNS($AN$1006:BE1006),$AN$1006:$BO$1006,0)))),"Fix")))</f>
        <v>0</v>
      </c>
      <c r="T778" s="4">
        <f>IF(OR(INDEX($AH$2:$AH$1001,MATCH(ROWS($AG$2:AG778),$AG$2:$AG$1001,0),1)&gt;=100000,INDEX($AN$1005:$BO$1005,1,MATCH(COLUMNS($AN$1006:BF1006),$AN$1006:$BO$1006,0))&gt;=100000), " ",IF(INDEX($AN$2:$BO$1001,MATCH(ROWS($AG$2:AG778),$AG$2:$AG$1001,0),MATCH(COLUMNS($AN$1006:BF1006),$AN$1006:$BO$1006,0)), HYPERLINK("#",""), HYPERLINK(CONCATENATE("#Metadata!", ADDRESS(INDEX($AI$2:$AI$1001,MATCH(ROWS($AG$2:AG778),$AG$2:$AG$1001,0),0), INDEX($AN$1004:$BO$1004,1,MATCH(COLUMNS($AN$1006:BF1006),$AN$1006:$BO$1006,0)))),"Fix")))</f>
        <v>0</v>
      </c>
      <c r="U778" s="4">
        <f>IF(OR(INDEX($AH$2:$AH$1001,MATCH(ROWS($AG$2:AG778),$AG$2:$AG$1001,0),1)&gt;=100000,INDEX($AN$1005:$BO$1005,1,MATCH(COLUMNS($AN$1006:BG1006),$AN$1006:$BO$1006,0))&gt;=100000), " ",IF(INDEX($AN$2:$BO$1001,MATCH(ROWS($AG$2:AG778),$AG$2:$AG$1001,0),MATCH(COLUMNS($AN$1006:BG1006),$AN$1006:$BO$1006,0)), HYPERLINK("#",""), HYPERLINK(CONCATENATE("#Metadata!", ADDRESS(INDEX($AI$2:$AI$1001,MATCH(ROWS($AG$2:AG778),$AG$2:$AG$1001,0),0), INDEX($AN$1004:$BO$1004,1,MATCH(COLUMNS($AN$1006:BG1006),$AN$1006:$BO$1006,0)))),"Fix")))</f>
        <v>0</v>
      </c>
      <c r="V778" s="4">
        <f>IF(OR(INDEX($AH$2:$AH$1001,MATCH(ROWS($AG$2:AG778),$AG$2:$AG$1001,0),1)&gt;=100000,INDEX($AN$1005:$BO$1005,1,MATCH(COLUMNS($AN$1006:BH1006),$AN$1006:$BO$1006,0))&gt;=100000), " ",IF(INDEX($AN$2:$BO$1001,MATCH(ROWS($AG$2:AG778),$AG$2:$AG$1001,0),MATCH(COLUMNS($AN$1006:BH1006),$AN$1006:$BO$1006,0)), HYPERLINK("#",""), HYPERLINK(CONCATENATE("#Metadata!", ADDRESS(INDEX($AI$2:$AI$1001,MATCH(ROWS($AG$2:AG778),$AG$2:$AG$1001,0),0), INDEX($AN$1004:$BO$1004,1,MATCH(COLUMNS($AN$1006:BH1006),$AN$1006:$BO$1006,0)))),"Fix")))</f>
        <v>0</v>
      </c>
      <c r="W778" s="4">
        <f>IF(OR(INDEX($AH$2:$AH$1001,MATCH(ROWS($AG$2:AG778),$AG$2:$AG$1001,0),1)&gt;=100000,INDEX($AN$1005:$BO$1005,1,MATCH(COLUMNS($AN$1006:BI1006),$AN$1006:$BO$1006,0))&gt;=100000), " ",IF(INDEX($AN$2:$BO$1001,MATCH(ROWS($AG$2:AG778),$AG$2:$AG$1001,0),MATCH(COLUMNS($AN$1006:BI1006),$AN$1006:$BO$1006,0)), HYPERLINK("#",""), HYPERLINK(CONCATENATE("#Metadata!", ADDRESS(INDEX($AI$2:$AI$1001,MATCH(ROWS($AG$2:AG778),$AG$2:$AG$1001,0),0), INDEX($AN$1004:$BO$1004,1,MATCH(COLUMNS($AN$1006:BI1006),$AN$1006:$BO$1006,0)))),"Fix")))</f>
        <v>0</v>
      </c>
      <c r="X778" s="4">
        <f>IF(OR(INDEX($AH$2:$AH$1001,MATCH(ROWS($AG$2:AG778),$AG$2:$AG$1001,0),1)&gt;=100000,INDEX($AN$1005:$BO$1005,1,MATCH(COLUMNS($AN$1006:BJ1006),$AN$1006:$BO$1006,0))&gt;=100000), " ",IF(INDEX($AN$2:$BO$1001,MATCH(ROWS($AG$2:AG778),$AG$2:$AG$1001,0),MATCH(COLUMNS($AN$1006:BJ1006),$AN$1006:$BO$1006,0)), HYPERLINK("#",""), HYPERLINK(CONCATENATE("#Metadata!", ADDRESS(INDEX($AI$2:$AI$1001,MATCH(ROWS($AG$2:AG778),$AG$2:$AG$1001,0),0), INDEX($AN$1004:$BO$1004,1,MATCH(COLUMNS($AN$1006:BJ1006),$AN$1006:$BO$1006,0)))),"Fix")))</f>
        <v>0</v>
      </c>
      <c r="Y778" s="4">
        <f>IF(OR(INDEX($AH$2:$AH$1001,MATCH(ROWS($AG$2:AG778),$AG$2:$AG$1001,0),1)&gt;=100000,INDEX($AN$1005:$BO$1005,1,MATCH(COLUMNS($AN$1006:BK1006),$AN$1006:$BO$1006,0))&gt;=100000), " ",IF(INDEX($AN$2:$BO$1001,MATCH(ROWS($AG$2:AG778),$AG$2:$AG$1001,0),MATCH(COLUMNS($AN$1006:BK1006),$AN$1006:$BO$1006,0)), HYPERLINK("#",""), HYPERLINK(CONCATENATE("#Metadata!", ADDRESS(INDEX($AI$2:$AI$1001,MATCH(ROWS($AG$2:AG778),$AG$2:$AG$1001,0),0), INDEX($AN$1004:$BO$1004,1,MATCH(COLUMNS($AN$1006:BK1006),$AN$1006:$BO$1006,0)))),"Fix")))</f>
        <v>0</v>
      </c>
      <c r="Z778" s="4">
        <f>IF(OR(INDEX($AH$2:$AH$1001,MATCH(ROWS($AG$2:AG778),$AG$2:$AG$1001,0),1)&gt;=100000,INDEX($AN$1005:$BO$1005,1,MATCH(COLUMNS($AN$1006:BL1006),$AN$1006:$BO$1006,0))&gt;=100000), " ",IF(INDEX($AN$2:$BO$1001,MATCH(ROWS($AG$2:AG778),$AG$2:$AG$1001,0),MATCH(COLUMNS($AN$1006:BL1006),$AN$1006:$BO$1006,0)), HYPERLINK("#",""), HYPERLINK(CONCATENATE("#Metadata!", ADDRESS(INDEX($AI$2:$AI$1001,MATCH(ROWS($AG$2:AG778),$AG$2:$AG$1001,0),0), INDEX($AN$1004:$BO$1004,1,MATCH(COLUMNS($AN$1006:BL1006),$AN$1006:$BO$1006,0)))),"Fix")))</f>
        <v>0</v>
      </c>
      <c r="AA778" s="4">
        <f>IF(OR(INDEX($AH$2:$AH$1001,MATCH(ROWS($AG$2:AG778),$AG$2:$AG$1001,0),1)&gt;=100000,INDEX($AN$1005:$BO$1005,1,MATCH(COLUMNS($AN$1006:BM1006),$AN$1006:$BO$1006,0))&gt;=100000), " ",IF(INDEX($AN$2:$BO$1001,MATCH(ROWS($AG$2:AG778),$AG$2:$AG$1001,0),MATCH(COLUMNS($AN$1006:BM1006),$AN$1006:$BO$1006,0)), HYPERLINK("#",""), HYPERLINK(CONCATENATE("#Metadata!", ADDRESS(INDEX($AI$2:$AI$1001,MATCH(ROWS($AG$2:AG778),$AG$2:$AG$1001,0),0), INDEX($AN$1004:$BO$1004,1,MATCH(COLUMNS($AN$1006:BM1006),$AN$1006:$BO$1006,0)))),"Fix")))</f>
        <v>0</v>
      </c>
      <c r="AB778" s="4">
        <f>IF(OR(INDEX($AH$2:$AH$1001,MATCH(ROWS($AG$2:AG778),$AG$2:$AG$1001,0),1)&gt;=100000,INDEX($AN$1005:$BO$1005,1,MATCH(COLUMNS($AN$1006:BN1006),$AN$1006:$BO$1006,0))&gt;=100000), " ",IF(INDEX($AN$2:$BO$1001,MATCH(ROWS($AG$2:AG778),$AG$2:$AG$1001,0),MATCH(COLUMNS($AN$1006:BN1006),$AN$1006:$BO$1006,0)), HYPERLINK("#",""), HYPERLINK(CONCATENATE("#Metadata!", ADDRESS(INDEX($AI$2:$AI$1001,MATCH(ROWS($AG$2:AG778),$AG$2:$AG$1001,0),0), INDEX($AN$1004:$BO$1004,1,MATCH(COLUMNS($AN$1006:BN1006),$AN$1006:$BO$1006,0)))),"Fix")))</f>
        <v>0</v>
      </c>
      <c r="AC778" s="4">
        <f>IF(OR(INDEX($AH$2:$AH$1001,MATCH(ROWS($AG$2:AG778),$AG$2:$AG$1001,0),1)&gt;=100000,INDEX($AN$1005:$BO$1005,1,MATCH(COLUMNS($AN$1006:BO1006),$AN$1006:$BO$1006,0))&gt;=100000), " ",IF(INDEX($AN$2:$BO$1001,MATCH(ROWS($AG$2:AG778),$AG$2:$AG$1001,0),MATCH(COLUMNS($AN$1006:BO1006),$AN$1006:$BO$1006,0)), HYPERLINK("#",""), HYPERLINK(CONCATENATE("#Metadata!", ADDRESS(INDEX($AI$2:$AI$1001,MATCH(ROWS($AG$2:AG778),$AG$2:$AG$1001,0),0), INDEX($AN$1004:$BO$1004,1,MATCH(COLUMNS($AN$1006:BO1006),$AN$1006:$BO$1006,0)))),"Fix")))</f>
        <v>0</v>
      </c>
      <c r="AG778">
        <v>0</v>
      </c>
      <c r="AH778">
        <v>0</v>
      </c>
      <c r="AI778">
        <v>0</v>
      </c>
      <c r="AJ778">
        <f>IF(AK778,TRUE,AND(AN778:BO778))</f>
        <v>0</v>
      </c>
      <c r="AK778">
        <f>COUNTBLANK(Metadata!B778:AC778)=COLUMNS(Metadata!B778:AC778)</f>
        <v>0</v>
      </c>
      <c r="AL778">
        <v>0</v>
      </c>
      <c r="AN778">
        <f>AND(IF(Metadata!B778="",FALSE,TRUE),COUNTIF(Metadata!B:B, Metadata!B778) = 1,NOT(ISERROR(SUMPRODUCT(SEARCH(MID(Metadata!B778,ROW(INDIRECT("1:"&amp;LEN(Metadata!B778))), 1),"0123456789abcdefghijklmnopqrstuvwxyzABCDEFGHIJKLMNOPQRSTUVWXYZ.")))))</f>
        <v>0</v>
      </c>
      <c r="AO778">
        <f>IF(Metadata!C778="",FALSE,TRUE)</f>
        <v>0</v>
      </c>
      <c r="AP778">
        <f>IF(Metadata!D778="",FALSE,TRUE)</f>
        <v>0</v>
      </c>
      <c r="AQ778">
        <f>OR(AND(IF(Metadata!E778="",FALSE,TRUE),OR(exact(Metadata!E778,"not collected"),exact(Metadata!E778,"not provided"),exact(Metadata!E778,"restricted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R778">
        <f>IF(Metadata!F778="",FALSE,TRUE)</f>
        <v>0</v>
      </c>
      <c r="AS778">
        <f>OR(AND(IF(Metadata!G778="",FALSE,TRUE),OR(exact(Metadata!G778,"not collected"),exact(Metadata!G778,"not provided"))),AND(IF(Metadata!G778="",FALSE,TRUE),OR(exact(Metadata!G778,"TRUE"),exact(Metadata!G778,"FALSE"))))</f>
        <v>0</v>
      </c>
      <c r="AT778">
        <f>OR(AND(IF(Metadata!H778="",FALSE,TRUE),OR(exact(Metadata!H778,"not collected"),exact(Metadata!H778,"not provided"),exact(Metadata!H778,"restricted access"))),AND(IF(Metadata!H778="",FALSE,ISNUMBER(VALUE(Metadata!H778))),Metadata!H778&gt;=-413.0))</f>
        <v>0</v>
      </c>
      <c r="AU778">
        <f>AND(IF(Metadata!I778="",FALSE,TRUE),exact(Metadata!I778,"meters"))</f>
        <v>0</v>
      </c>
      <c r="AV778">
        <f>AND(IF(Metadata!J778="",FALSE,TRUE),OR(exact(Metadata!J778,"Host-associated"),exact(Metadata!J778,"Free-living")))</f>
        <v>0</v>
      </c>
      <c r="AW778">
        <f>AND(IF(Metadata!K778="",FALSE,TRUE),OR(exact(Metadata!K778,"Animal"),exact(Metadata!K778,"Fungus"),exact(Metadata!K778,"Plant"),exact(Metadata!K778,"Saline"),exact(Metadata!K778,"Non-saline")))</f>
        <v>0</v>
      </c>
      <c r="AX778">
        <f>AND(IF(Metadata!L778="",FALSE,TRUE),OR(exact(Metadata!L778,"Plant secretion"),exact(Metadata!L778,"Plant rhizosphere"),exact(Metadata!L778,"Plant surface"),exact(Metadata!L778,"Plant corpus"),exact(Metadata!L778,"Fungus surface"),exact(Metadata!L778,"Fungus corpus"),exact(Metadata!L778,"Animal surface"),exact(Metadata!L778,"Animal proximal gut"),exact(Metadata!L778,"Animal corpus"),exact(Metadata!L778,"Animal distal gut"),exact(Metadata!L778,"Animal secretion"),exact(Metadata!L778,"Sub-surface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Y778">
        <f>IF(Metadata!M778="",FALSE,TRUE)</f>
        <v>0</v>
      </c>
      <c r="AZ778">
        <f>IF(Metadata!N778="",FALSE,TRUE)</f>
        <v>0</v>
      </c>
      <c r="BA778">
        <f>IF(Metadata!O778="",FALSE,TRUE)</f>
        <v>0</v>
      </c>
      <c r="BB778">
        <f>OR(AND(IF(Metadata!P778="",FALSE,TRUE),OR(exact(Metadata!P778,"not collected"),exact(Metadata!P778,"not provided"),exact(Metadata!P778,"restricted access"))),AND(IF(Metadata!P778="",FALSE,TRUE),OR(exact(Metadata!P778,"air"),exact(Metadata!P778,"built environment"),exact(Metadata!P778,"host-associated"),exact(Metadata!P778,"human-associated"),exact(Metadata!P778,"human-skin"),exact(Metadata!P778,"human-oral"),exact(Metadata!P778,"human-gut"),exact(Metadata!P778,"human-vaginal"),exact(Metadata!P778,"microbial mat/biofilm"),exact(Metadata!P778,"misc environment"),exact(Metadata!P778,"plant-associated"),exact(Metadata!P778,"sediment"),exact(Metadata!P778,"soil"),exact(Metadata!P778,"wastewater/sludge"),exact(Metadata!P778,"water"))))</f>
        <v>0</v>
      </c>
      <c r="BC778">
        <f>IF(Metadata!Q778="",FALSE,TRUE)</f>
        <v>0</v>
      </c>
      <c r="BD778">
        <f>IF(Metadata!R778="",FALSE,TRUE)</f>
        <v>0</v>
      </c>
      <c r="BE778">
        <f>OR(AND(IF(Metadata!S778="",FALSE,TRUE),OR(exact(Metadata!S778,"not collected"),exact(Metadata!S778,"not provided"),exact(Metadata!S778,"restricted access"))),AND(IF(Metadata!S778="",FALSE,ISNUMBER(VALUE(Metadata!S778))),Metadata!S778&gt;=-90.00,Metadata!S778&lt;=90.00))</f>
        <v>0</v>
      </c>
      <c r="BF778">
        <f>AND(IF(Metadata!T778="",FALSE,TRUE),exact(Metadata!T778,"Decimal degrees"))</f>
        <v>0</v>
      </c>
      <c r="BG778">
        <f>OR(AND(IF(Metadata!U778="",FALSE,TRUE),OR(exact(Metadata!U778,"not collected"),exact(Metadata!U778,"not provided"),exact(Metadata!U778,"restricted access"))),AND(IF(Metadata!U778="",FALSE,ISNUMBER(VALUE(Metadata!U778))),Metadata!U778&gt;=-180.00,Metadata!U778&lt;=180.00))</f>
        <v>0</v>
      </c>
      <c r="BH778">
        <f>AND(IF(Metadata!V778="",FALSE,TRUE),exact(Metadata!V778,"Decimal degrees"))</f>
        <v>0</v>
      </c>
      <c r="BI778">
        <f>IF(Metadata!W778="",FALSE,TRUE)</f>
        <v>0</v>
      </c>
      <c r="BJ778">
        <f>OR(AND(IF(Metadata!X778="",FALSE,TRUE),OR(exact(Metadata!X778,"not collected"),exact(Metadata!X778,"not provided"),exact(Metadata!X778,"restricted access"))),AND(IF(Metadata!X778="",FALSE,TRUE),OR(exact(Metadata!X778,"TRUE"),exact(Metadata!X778,"FALSE"))))</f>
        <v>0</v>
      </c>
      <c r="BK778">
        <f>AND(IF(Metadata!Y778="",FALSE,TRUE),exact(Metadata!Y778,"other"))</f>
        <v>0</v>
      </c>
      <c r="BL778">
        <f>IF(Metadata!Z778="",FALSE,TRUE)</f>
        <v>0</v>
      </c>
      <c r="BM778">
        <f>OR(AND(IF(Metadata!AA778="",FALSE,TRUE),OR(exact(Metadata!AA778,"not collected"),exact(Metadata!AA778,"not provided"))),AND(IF(Metadata!AA778="",FALSE,IF(ISERROR(INT(Metadata!AA778)),FALSE,INT(Metadata!AA778)=Metadata!AA778)),Metadata!AA778&gt;0))</f>
        <v>0</v>
      </c>
      <c r="BN778">
        <f>AND(IF(Metadata!AB778="",FALSE,TRUE),exact(Metadata!AB778,"Not applicable"))</f>
        <v>0</v>
      </c>
      <c r="BO778">
        <f>IF(Metadata!AC778="",FALSE,TRUE)</f>
        <v>0</v>
      </c>
    </row>
    <row r="779" spans="1:67">
      <c r="A779" s="5">
        <f>IF(B779=" "," ",HYPERLINK(CONCATENATE("#metadata!",ADDRESS(INDEX($AI$2:$AI$1001,MATCH(ROWS($AG$2:AG779),$AG$2:$AG$1001,0),0),1)),INDEX($AL$2:$AL$1001,MATCH(ROWS($AG$2:AG779),$AG$2:$AG$1001,0),0)))</f>
        <v>0</v>
      </c>
      <c r="B779" s="4">
        <f>IF(OR(INDEX($AH$2:$AH$1001,MATCH(ROWS($AG$2:AG779),$AG$2:$AG$1001,0),1)&gt;=100000,INDEX($AN$1005:$BO$1005,1,MATCH(COLUMNS($AN$1006:AN1006),$AN$1006:$BO$1006,0))&gt;=100000), " ",IF(INDEX($AN$2:$BO$1001,MATCH(ROWS($AG$2:AG779),$AG$2:$AG$1001,0),MATCH(COLUMNS($AN$1006:AN1006),$AN$1006:$BO$1006,0)), HYPERLINK("#",""), HYPERLINK(CONCATENATE("#Metadata!", ADDRESS(INDEX($AI$2:$AI$1001,MATCH(ROWS($AG$2:AG779),$AG$2:$AG$1001,0),0), INDEX($AN$1004:$BO$1004,1,MATCH(COLUMNS($AN$1006:AN1006),$AN$1006:$BO$1006,0)))),"Fix")))</f>
        <v>0</v>
      </c>
      <c r="C779" s="4">
        <f>IF(OR(INDEX($AH$2:$AH$1001,MATCH(ROWS($AG$2:AG779),$AG$2:$AG$1001,0),1)&gt;=100000,INDEX($AN$1005:$BO$1005,1,MATCH(COLUMNS($AN$1006:AO1006),$AN$1006:$BO$1006,0))&gt;=100000), " ",IF(INDEX($AN$2:$BO$1001,MATCH(ROWS($AG$2:AG779),$AG$2:$AG$1001,0),MATCH(COLUMNS($AN$1006:AO1006),$AN$1006:$BO$1006,0)), HYPERLINK("#",""), HYPERLINK(CONCATENATE("#Metadata!", ADDRESS(INDEX($AI$2:$AI$1001,MATCH(ROWS($AG$2:AG779),$AG$2:$AG$1001,0),0), INDEX($AN$1004:$BO$1004,1,MATCH(COLUMNS($AN$1006:AO1006),$AN$1006:$BO$1006,0)))),"Fix")))</f>
        <v>0</v>
      </c>
      <c r="D779" s="4">
        <f>IF(OR(INDEX($AH$2:$AH$1001,MATCH(ROWS($AG$2:AG779),$AG$2:$AG$1001,0),1)&gt;=100000,INDEX($AN$1005:$BO$1005,1,MATCH(COLUMNS($AN$1006:AP1006),$AN$1006:$BO$1006,0))&gt;=100000), " ",IF(INDEX($AN$2:$BO$1001,MATCH(ROWS($AG$2:AG779),$AG$2:$AG$1001,0),MATCH(COLUMNS($AN$1006:AP1006),$AN$1006:$BO$1006,0)), HYPERLINK("#",""), HYPERLINK(CONCATENATE("#Metadata!", ADDRESS(INDEX($AI$2:$AI$1001,MATCH(ROWS($AG$2:AG779),$AG$2:$AG$1001,0),0), INDEX($AN$1004:$BO$1004,1,MATCH(COLUMNS($AN$1006:AP1006),$AN$1006:$BO$1006,0)))),"Fix")))</f>
        <v>0</v>
      </c>
      <c r="E779" s="4">
        <f>IF(OR(INDEX($AH$2:$AH$1001,MATCH(ROWS($AG$2:AG779),$AG$2:$AG$1001,0),1)&gt;=100000,INDEX($AN$1005:$BO$1005,1,MATCH(COLUMNS($AN$1006:AQ1006),$AN$1006:$BO$1006,0))&gt;=100000), " ",IF(INDEX($AN$2:$BO$1001,MATCH(ROWS($AG$2:AG779),$AG$2:$AG$1001,0),MATCH(COLUMNS($AN$1006:AQ1006),$AN$1006:$BO$1006,0)), HYPERLINK("#",""), HYPERLINK(CONCATENATE("#Metadata!", ADDRESS(INDEX($AI$2:$AI$1001,MATCH(ROWS($AG$2:AG779),$AG$2:$AG$1001,0),0), INDEX($AN$1004:$BO$1004,1,MATCH(COLUMNS($AN$1006:AQ1006),$AN$1006:$BO$1006,0)))),"Fix")))</f>
        <v>0</v>
      </c>
      <c r="F779" s="4">
        <f>IF(OR(INDEX($AH$2:$AH$1001,MATCH(ROWS($AG$2:AG779),$AG$2:$AG$1001,0),1)&gt;=100000,INDEX($AN$1005:$BO$1005,1,MATCH(COLUMNS($AN$1006:AR1006),$AN$1006:$BO$1006,0))&gt;=100000), " ",IF(INDEX($AN$2:$BO$1001,MATCH(ROWS($AG$2:AG779),$AG$2:$AG$1001,0),MATCH(COLUMNS($AN$1006:AR1006),$AN$1006:$BO$1006,0)), HYPERLINK("#",""), HYPERLINK(CONCATENATE("#Metadata!", ADDRESS(INDEX($AI$2:$AI$1001,MATCH(ROWS($AG$2:AG779),$AG$2:$AG$1001,0),0), INDEX($AN$1004:$BO$1004,1,MATCH(COLUMNS($AN$1006:AR1006),$AN$1006:$BO$1006,0)))),"Fix")))</f>
        <v>0</v>
      </c>
      <c r="G779" s="4">
        <f>IF(OR(INDEX($AH$2:$AH$1001,MATCH(ROWS($AG$2:AG779),$AG$2:$AG$1001,0),1)&gt;=100000,INDEX($AN$1005:$BO$1005,1,MATCH(COLUMNS($AN$1006:AS1006),$AN$1006:$BO$1006,0))&gt;=100000), " ",IF(INDEX($AN$2:$BO$1001,MATCH(ROWS($AG$2:AG779),$AG$2:$AG$1001,0),MATCH(COLUMNS($AN$1006:AS1006),$AN$1006:$BO$1006,0)), HYPERLINK("#",""), HYPERLINK(CONCATENATE("#Metadata!", ADDRESS(INDEX($AI$2:$AI$1001,MATCH(ROWS($AG$2:AG779),$AG$2:$AG$1001,0),0), INDEX($AN$1004:$BO$1004,1,MATCH(COLUMNS($AN$1006:AS1006),$AN$1006:$BO$1006,0)))),"Fix")))</f>
        <v>0</v>
      </c>
      <c r="H779" s="4">
        <f>IF(OR(INDEX($AH$2:$AH$1001,MATCH(ROWS($AG$2:AG779),$AG$2:$AG$1001,0),1)&gt;=100000,INDEX($AN$1005:$BO$1005,1,MATCH(COLUMNS($AN$1006:AT1006),$AN$1006:$BO$1006,0))&gt;=100000), " ",IF(INDEX($AN$2:$BO$1001,MATCH(ROWS($AG$2:AG779),$AG$2:$AG$1001,0),MATCH(COLUMNS($AN$1006:AT1006),$AN$1006:$BO$1006,0)), HYPERLINK("#",""), HYPERLINK(CONCATENATE("#Metadata!", ADDRESS(INDEX($AI$2:$AI$1001,MATCH(ROWS($AG$2:AG779),$AG$2:$AG$1001,0),0), INDEX($AN$1004:$BO$1004,1,MATCH(COLUMNS($AN$1006:AT1006),$AN$1006:$BO$1006,0)))),"Fix")))</f>
        <v>0</v>
      </c>
      <c r="I779" s="4">
        <f>IF(OR(INDEX($AH$2:$AH$1001,MATCH(ROWS($AG$2:AG779),$AG$2:$AG$1001,0),1)&gt;=100000,INDEX($AN$1005:$BO$1005,1,MATCH(COLUMNS($AN$1006:AU1006),$AN$1006:$BO$1006,0))&gt;=100000), " ",IF(INDEX($AN$2:$BO$1001,MATCH(ROWS($AG$2:AG779),$AG$2:$AG$1001,0),MATCH(COLUMNS($AN$1006:AU1006),$AN$1006:$BO$1006,0)), HYPERLINK("#",""), HYPERLINK(CONCATENATE("#Metadata!", ADDRESS(INDEX($AI$2:$AI$1001,MATCH(ROWS($AG$2:AG779),$AG$2:$AG$1001,0),0), INDEX($AN$1004:$BO$1004,1,MATCH(COLUMNS($AN$1006:AU1006),$AN$1006:$BO$1006,0)))),"Fix")))</f>
        <v>0</v>
      </c>
      <c r="J779" s="4">
        <f>IF(OR(INDEX($AH$2:$AH$1001,MATCH(ROWS($AG$2:AG779),$AG$2:$AG$1001,0),1)&gt;=100000,INDEX($AN$1005:$BO$1005,1,MATCH(COLUMNS($AN$1006:AV1006),$AN$1006:$BO$1006,0))&gt;=100000), " ",IF(INDEX($AN$2:$BO$1001,MATCH(ROWS($AG$2:AG779),$AG$2:$AG$1001,0),MATCH(COLUMNS($AN$1006:AV1006),$AN$1006:$BO$1006,0)), HYPERLINK("#",""), HYPERLINK(CONCATENATE("#Metadata!", ADDRESS(INDEX($AI$2:$AI$1001,MATCH(ROWS($AG$2:AG779),$AG$2:$AG$1001,0),0), INDEX($AN$1004:$BO$1004,1,MATCH(COLUMNS($AN$1006:AV1006),$AN$1006:$BO$1006,0)))),"Fix")))</f>
        <v>0</v>
      </c>
      <c r="K779" s="4">
        <f>IF(OR(INDEX($AH$2:$AH$1001,MATCH(ROWS($AG$2:AG779),$AG$2:$AG$1001,0),1)&gt;=100000,INDEX($AN$1005:$BO$1005,1,MATCH(COLUMNS($AN$1006:AW1006),$AN$1006:$BO$1006,0))&gt;=100000), " ",IF(INDEX($AN$2:$BO$1001,MATCH(ROWS($AG$2:AG779),$AG$2:$AG$1001,0),MATCH(COLUMNS($AN$1006:AW1006),$AN$1006:$BO$1006,0)), HYPERLINK("#",""), HYPERLINK(CONCATENATE("#Metadata!", ADDRESS(INDEX($AI$2:$AI$1001,MATCH(ROWS($AG$2:AG779),$AG$2:$AG$1001,0),0), INDEX($AN$1004:$BO$1004,1,MATCH(COLUMNS($AN$1006:AW1006),$AN$1006:$BO$1006,0)))),"Fix")))</f>
        <v>0</v>
      </c>
      <c r="L779" s="4">
        <f>IF(OR(INDEX($AH$2:$AH$1001,MATCH(ROWS($AG$2:AG779),$AG$2:$AG$1001,0),1)&gt;=100000,INDEX($AN$1005:$BO$1005,1,MATCH(COLUMNS($AN$1006:AX1006),$AN$1006:$BO$1006,0))&gt;=100000), " ",IF(INDEX($AN$2:$BO$1001,MATCH(ROWS($AG$2:AG779),$AG$2:$AG$1001,0),MATCH(COLUMNS($AN$1006:AX1006),$AN$1006:$BO$1006,0)), HYPERLINK("#",""), HYPERLINK(CONCATENATE("#Metadata!", ADDRESS(INDEX($AI$2:$AI$1001,MATCH(ROWS($AG$2:AG779),$AG$2:$AG$1001,0),0), INDEX($AN$1004:$BO$1004,1,MATCH(COLUMNS($AN$1006:AX1006),$AN$1006:$BO$1006,0)))),"Fix")))</f>
        <v>0</v>
      </c>
      <c r="M779" s="4">
        <f>IF(OR(INDEX($AH$2:$AH$1001,MATCH(ROWS($AG$2:AG779),$AG$2:$AG$1001,0),1)&gt;=100000,INDEX($AN$1005:$BO$1005,1,MATCH(COLUMNS($AN$1006:AY1006),$AN$1006:$BO$1006,0))&gt;=100000), " ",IF(INDEX($AN$2:$BO$1001,MATCH(ROWS($AG$2:AG779),$AG$2:$AG$1001,0),MATCH(COLUMNS($AN$1006:AY1006),$AN$1006:$BO$1006,0)), HYPERLINK("#",""), HYPERLINK(CONCATENATE("#Metadata!", ADDRESS(INDEX($AI$2:$AI$1001,MATCH(ROWS($AG$2:AG779),$AG$2:$AG$1001,0),0), INDEX($AN$1004:$BO$1004,1,MATCH(COLUMNS($AN$1006:AY1006),$AN$1006:$BO$1006,0)))),"Fix")))</f>
        <v>0</v>
      </c>
      <c r="N779" s="4">
        <f>IF(OR(INDEX($AH$2:$AH$1001,MATCH(ROWS($AG$2:AG779),$AG$2:$AG$1001,0),1)&gt;=100000,INDEX($AN$1005:$BO$1005,1,MATCH(COLUMNS($AN$1006:AZ1006),$AN$1006:$BO$1006,0))&gt;=100000), " ",IF(INDEX($AN$2:$BO$1001,MATCH(ROWS($AG$2:AG779),$AG$2:$AG$1001,0),MATCH(COLUMNS($AN$1006:AZ1006),$AN$1006:$BO$1006,0)), HYPERLINK("#",""), HYPERLINK(CONCATENATE("#Metadata!", ADDRESS(INDEX($AI$2:$AI$1001,MATCH(ROWS($AG$2:AG779),$AG$2:$AG$1001,0),0), INDEX($AN$1004:$BO$1004,1,MATCH(COLUMNS($AN$1006:AZ1006),$AN$1006:$BO$1006,0)))),"Fix")))</f>
        <v>0</v>
      </c>
      <c r="O779" s="4">
        <f>IF(OR(INDEX($AH$2:$AH$1001,MATCH(ROWS($AG$2:AG779),$AG$2:$AG$1001,0),1)&gt;=100000,INDEX($AN$1005:$BO$1005,1,MATCH(COLUMNS($AN$1006:BA1006),$AN$1006:$BO$1006,0))&gt;=100000), " ",IF(INDEX($AN$2:$BO$1001,MATCH(ROWS($AG$2:AG779),$AG$2:$AG$1001,0),MATCH(COLUMNS($AN$1006:BA1006),$AN$1006:$BO$1006,0)), HYPERLINK("#",""), HYPERLINK(CONCATENATE("#Metadata!", ADDRESS(INDEX($AI$2:$AI$1001,MATCH(ROWS($AG$2:AG779),$AG$2:$AG$1001,0),0), INDEX($AN$1004:$BO$1004,1,MATCH(COLUMNS($AN$1006:BA1006),$AN$1006:$BO$1006,0)))),"Fix")))</f>
        <v>0</v>
      </c>
      <c r="P779" s="4">
        <f>IF(OR(INDEX($AH$2:$AH$1001,MATCH(ROWS($AG$2:AG779),$AG$2:$AG$1001,0),1)&gt;=100000,INDEX($AN$1005:$BO$1005,1,MATCH(COLUMNS($AN$1006:BB1006),$AN$1006:$BO$1006,0))&gt;=100000), " ",IF(INDEX($AN$2:$BO$1001,MATCH(ROWS($AG$2:AG779),$AG$2:$AG$1001,0),MATCH(COLUMNS($AN$1006:BB1006),$AN$1006:$BO$1006,0)), HYPERLINK("#",""), HYPERLINK(CONCATENATE("#Metadata!", ADDRESS(INDEX($AI$2:$AI$1001,MATCH(ROWS($AG$2:AG779),$AG$2:$AG$1001,0),0), INDEX($AN$1004:$BO$1004,1,MATCH(COLUMNS($AN$1006:BB1006),$AN$1006:$BO$1006,0)))),"Fix")))</f>
        <v>0</v>
      </c>
      <c r="Q779" s="4">
        <f>IF(OR(INDEX($AH$2:$AH$1001,MATCH(ROWS($AG$2:AG779),$AG$2:$AG$1001,0),1)&gt;=100000,INDEX($AN$1005:$BO$1005,1,MATCH(COLUMNS($AN$1006:BC1006),$AN$1006:$BO$1006,0))&gt;=100000), " ",IF(INDEX($AN$2:$BO$1001,MATCH(ROWS($AG$2:AG779),$AG$2:$AG$1001,0),MATCH(COLUMNS($AN$1006:BC1006),$AN$1006:$BO$1006,0)), HYPERLINK("#",""), HYPERLINK(CONCATENATE("#Metadata!", ADDRESS(INDEX($AI$2:$AI$1001,MATCH(ROWS($AG$2:AG779),$AG$2:$AG$1001,0),0), INDEX($AN$1004:$BO$1004,1,MATCH(COLUMNS($AN$1006:BC1006),$AN$1006:$BO$1006,0)))),"Fix")))</f>
        <v>0</v>
      </c>
      <c r="R779" s="4">
        <f>IF(OR(INDEX($AH$2:$AH$1001,MATCH(ROWS($AG$2:AG779),$AG$2:$AG$1001,0),1)&gt;=100000,INDEX($AN$1005:$BO$1005,1,MATCH(COLUMNS($AN$1006:BD1006),$AN$1006:$BO$1006,0))&gt;=100000), " ",IF(INDEX($AN$2:$BO$1001,MATCH(ROWS($AG$2:AG779),$AG$2:$AG$1001,0),MATCH(COLUMNS($AN$1006:BD1006),$AN$1006:$BO$1006,0)), HYPERLINK("#",""), HYPERLINK(CONCATENATE("#Metadata!", ADDRESS(INDEX($AI$2:$AI$1001,MATCH(ROWS($AG$2:AG779),$AG$2:$AG$1001,0),0), INDEX($AN$1004:$BO$1004,1,MATCH(COLUMNS($AN$1006:BD1006),$AN$1006:$BO$1006,0)))),"Fix")))</f>
        <v>0</v>
      </c>
      <c r="S779" s="4">
        <f>IF(OR(INDEX($AH$2:$AH$1001,MATCH(ROWS($AG$2:AG779),$AG$2:$AG$1001,0),1)&gt;=100000,INDEX($AN$1005:$BO$1005,1,MATCH(COLUMNS($AN$1006:BE1006),$AN$1006:$BO$1006,0))&gt;=100000), " ",IF(INDEX($AN$2:$BO$1001,MATCH(ROWS($AG$2:AG779),$AG$2:$AG$1001,0),MATCH(COLUMNS($AN$1006:BE1006),$AN$1006:$BO$1006,0)), HYPERLINK("#",""), HYPERLINK(CONCATENATE("#Metadata!", ADDRESS(INDEX($AI$2:$AI$1001,MATCH(ROWS($AG$2:AG779),$AG$2:$AG$1001,0),0), INDEX($AN$1004:$BO$1004,1,MATCH(COLUMNS($AN$1006:BE1006),$AN$1006:$BO$1006,0)))),"Fix")))</f>
        <v>0</v>
      </c>
      <c r="T779" s="4">
        <f>IF(OR(INDEX($AH$2:$AH$1001,MATCH(ROWS($AG$2:AG779),$AG$2:$AG$1001,0),1)&gt;=100000,INDEX($AN$1005:$BO$1005,1,MATCH(COLUMNS($AN$1006:BF1006),$AN$1006:$BO$1006,0))&gt;=100000), " ",IF(INDEX($AN$2:$BO$1001,MATCH(ROWS($AG$2:AG779),$AG$2:$AG$1001,0),MATCH(COLUMNS($AN$1006:BF1006),$AN$1006:$BO$1006,0)), HYPERLINK("#",""), HYPERLINK(CONCATENATE("#Metadata!", ADDRESS(INDEX($AI$2:$AI$1001,MATCH(ROWS($AG$2:AG779),$AG$2:$AG$1001,0),0), INDEX($AN$1004:$BO$1004,1,MATCH(COLUMNS($AN$1006:BF1006),$AN$1006:$BO$1006,0)))),"Fix")))</f>
        <v>0</v>
      </c>
      <c r="U779" s="4">
        <f>IF(OR(INDEX($AH$2:$AH$1001,MATCH(ROWS($AG$2:AG779),$AG$2:$AG$1001,0),1)&gt;=100000,INDEX($AN$1005:$BO$1005,1,MATCH(COLUMNS($AN$1006:BG1006),$AN$1006:$BO$1006,0))&gt;=100000), " ",IF(INDEX($AN$2:$BO$1001,MATCH(ROWS($AG$2:AG779),$AG$2:$AG$1001,0),MATCH(COLUMNS($AN$1006:BG1006),$AN$1006:$BO$1006,0)), HYPERLINK("#",""), HYPERLINK(CONCATENATE("#Metadata!", ADDRESS(INDEX($AI$2:$AI$1001,MATCH(ROWS($AG$2:AG779),$AG$2:$AG$1001,0),0), INDEX($AN$1004:$BO$1004,1,MATCH(COLUMNS($AN$1006:BG1006),$AN$1006:$BO$1006,0)))),"Fix")))</f>
        <v>0</v>
      </c>
      <c r="V779" s="4">
        <f>IF(OR(INDEX($AH$2:$AH$1001,MATCH(ROWS($AG$2:AG779),$AG$2:$AG$1001,0),1)&gt;=100000,INDEX($AN$1005:$BO$1005,1,MATCH(COLUMNS($AN$1006:BH1006),$AN$1006:$BO$1006,0))&gt;=100000), " ",IF(INDEX($AN$2:$BO$1001,MATCH(ROWS($AG$2:AG779),$AG$2:$AG$1001,0),MATCH(COLUMNS($AN$1006:BH1006),$AN$1006:$BO$1006,0)), HYPERLINK("#",""), HYPERLINK(CONCATENATE("#Metadata!", ADDRESS(INDEX($AI$2:$AI$1001,MATCH(ROWS($AG$2:AG779),$AG$2:$AG$1001,0),0), INDEX($AN$1004:$BO$1004,1,MATCH(COLUMNS($AN$1006:BH1006),$AN$1006:$BO$1006,0)))),"Fix")))</f>
        <v>0</v>
      </c>
      <c r="W779" s="4">
        <f>IF(OR(INDEX($AH$2:$AH$1001,MATCH(ROWS($AG$2:AG779),$AG$2:$AG$1001,0),1)&gt;=100000,INDEX($AN$1005:$BO$1005,1,MATCH(COLUMNS($AN$1006:BI1006),$AN$1006:$BO$1006,0))&gt;=100000), " ",IF(INDEX($AN$2:$BO$1001,MATCH(ROWS($AG$2:AG779),$AG$2:$AG$1001,0),MATCH(COLUMNS($AN$1006:BI1006),$AN$1006:$BO$1006,0)), HYPERLINK("#",""), HYPERLINK(CONCATENATE("#Metadata!", ADDRESS(INDEX($AI$2:$AI$1001,MATCH(ROWS($AG$2:AG779),$AG$2:$AG$1001,0),0), INDEX($AN$1004:$BO$1004,1,MATCH(COLUMNS($AN$1006:BI1006),$AN$1006:$BO$1006,0)))),"Fix")))</f>
        <v>0</v>
      </c>
      <c r="X779" s="4">
        <f>IF(OR(INDEX($AH$2:$AH$1001,MATCH(ROWS($AG$2:AG779),$AG$2:$AG$1001,0),1)&gt;=100000,INDEX($AN$1005:$BO$1005,1,MATCH(COLUMNS($AN$1006:BJ1006),$AN$1006:$BO$1006,0))&gt;=100000), " ",IF(INDEX($AN$2:$BO$1001,MATCH(ROWS($AG$2:AG779),$AG$2:$AG$1001,0),MATCH(COLUMNS($AN$1006:BJ1006),$AN$1006:$BO$1006,0)), HYPERLINK("#",""), HYPERLINK(CONCATENATE("#Metadata!", ADDRESS(INDEX($AI$2:$AI$1001,MATCH(ROWS($AG$2:AG779),$AG$2:$AG$1001,0),0), INDEX($AN$1004:$BO$1004,1,MATCH(COLUMNS($AN$1006:BJ1006),$AN$1006:$BO$1006,0)))),"Fix")))</f>
        <v>0</v>
      </c>
      <c r="Y779" s="4">
        <f>IF(OR(INDEX($AH$2:$AH$1001,MATCH(ROWS($AG$2:AG779),$AG$2:$AG$1001,0),1)&gt;=100000,INDEX($AN$1005:$BO$1005,1,MATCH(COLUMNS($AN$1006:BK1006),$AN$1006:$BO$1006,0))&gt;=100000), " ",IF(INDEX($AN$2:$BO$1001,MATCH(ROWS($AG$2:AG779),$AG$2:$AG$1001,0),MATCH(COLUMNS($AN$1006:BK1006),$AN$1006:$BO$1006,0)), HYPERLINK("#",""), HYPERLINK(CONCATENATE("#Metadata!", ADDRESS(INDEX($AI$2:$AI$1001,MATCH(ROWS($AG$2:AG779),$AG$2:$AG$1001,0),0), INDEX($AN$1004:$BO$1004,1,MATCH(COLUMNS($AN$1006:BK1006),$AN$1006:$BO$1006,0)))),"Fix")))</f>
        <v>0</v>
      </c>
      <c r="Z779" s="4">
        <f>IF(OR(INDEX($AH$2:$AH$1001,MATCH(ROWS($AG$2:AG779),$AG$2:$AG$1001,0),1)&gt;=100000,INDEX($AN$1005:$BO$1005,1,MATCH(COLUMNS($AN$1006:BL1006),$AN$1006:$BO$1006,0))&gt;=100000), " ",IF(INDEX($AN$2:$BO$1001,MATCH(ROWS($AG$2:AG779),$AG$2:$AG$1001,0),MATCH(COLUMNS($AN$1006:BL1006),$AN$1006:$BO$1006,0)), HYPERLINK("#",""), HYPERLINK(CONCATENATE("#Metadata!", ADDRESS(INDEX($AI$2:$AI$1001,MATCH(ROWS($AG$2:AG779),$AG$2:$AG$1001,0),0), INDEX($AN$1004:$BO$1004,1,MATCH(COLUMNS($AN$1006:BL1006),$AN$1006:$BO$1006,0)))),"Fix")))</f>
        <v>0</v>
      </c>
      <c r="AA779" s="4">
        <f>IF(OR(INDEX($AH$2:$AH$1001,MATCH(ROWS($AG$2:AG779),$AG$2:$AG$1001,0),1)&gt;=100000,INDEX($AN$1005:$BO$1005,1,MATCH(COLUMNS($AN$1006:BM1006),$AN$1006:$BO$1006,0))&gt;=100000), " ",IF(INDEX($AN$2:$BO$1001,MATCH(ROWS($AG$2:AG779),$AG$2:$AG$1001,0),MATCH(COLUMNS($AN$1006:BM1006),$AN$1006:$BO$1006,0)), HYPERLINK("#",""), HYPERLINK(CONCATENATE("#Metadata!", ADDRESS(INDEX($AI$2:$AI$1001,MATCH(ROWS($AG$2:AG779),$AG$2:$AG$1001,0),0), INDEX($AN$1004:$BO$1004,1,MATCH(COLUMNS($AN$1006:BM1006),$AN$1006:$BO$1006,0)))),"Fix")))</f>
        <v>0</v>
      </c>
      <c r="AB779" s="4">
        <f>IF(OR(INDEX($AH$2:$AH$1001,MATCH(ROWS($AG$2:AG779),$AG$2:$AG$1001,0),1)&gt;=100000,INDEX($AN$1005:$BO$1005,1,MATCH(COLUMNS($AN$1006:BN1006),$AN$1006:$BO$1006,0))&gt;=100000), " ",IF(INDEX($AN$2:$BO$1001,MATCH(ROWS($AG$2:AG779),$AG$2:$AG$1001,0),MATCH(COLUMNS($AN$1006:BN1006),$AN$1006:$BO$1006,0)), HYPERLINK("#",""), HYPERLINK(CONCATENATE("#Metadata!", ADDRESS(INDEX($AI$2:$AI$1001,MATCH(ROWS($AG$2:AG779),$AG$2:$AG$1001,0),0), INDEX($AN$1004:$BO$1004,1,MATCH(COLUMNS($AN$1006:BN1006),$AN$1006:$BO$1006,0)))),"Fix")))</f>
        <v>0</v>
      </c>
      <c r="AC779" s="4">
        <f>IF(OR(INDEX($AH$2:$AH$1001,MATCH(ROWS($AG$2:AG779),$AG$2:$AG$1001,0),1)&gt;=100000,INDEX($AN$1005:$BO$1005,1,MATCH(COLUMNS($AN$1006:BO1006),$AN$1006:$BO$1006,0))&gt;=100000), " ",IF(INDEX($AN$2:$BO$1001,MATCH(ROWS($AG$2:AG779),$AG$2:$AG$1001,0),MATCH(COLUMNS($AN$1006:BO1006),$AN$1006:$BO$1006,0)), HYPERLINK("#",""), HYPERLINK(CONCATENATE("#Metadata!", ADDRESS(INDEX($AI$2:$AI$1001,MATCH(ROWS($AG$2:AG779),$AG$2:$AG$1001,0),0), INDEX($AN$1004:$BO$1004,1,MATCH(COLUMNS($AN$1006:BO1006),$AN$1006:$BO$1006,0)))),"Fix")))</f>
        <v>0</v>
      </c>
      <c r="AG779">
        <v>0</v>
      </c>
      <c r="AH779">
        <v>0</v>
      </c>
      <c r="AI779">
        <v>0</v>
      </c>
      <c r="AJ779">
        <f>IF(AK779,TRUE,AND(AN779:BO779))</f>
        <v>0</v>
      </c>
      <c r="AK779">
        <f>COUNTBLANK(Metadata!B779:AC779)=COLUMNS(Metadata!B779:AC779)</f>
        <v>0</v>
      </c>
      <c r="AL779">
        <v>0</v>
      </c>
      <c r="AN779">
        <f>AND(IF(Metadata!B779="",FALSE,TRUE),COUNTIF(Metadata!B:B, Metadata!B779) = 1,NOT(ISERROR(SUMPRODUCT(SEARCH(MID(Metadata!B779,ROW(INDIRECT("1:"&amp;LEN(Metadata!B779))), 1),"0123456789abcdefghijklmnopqrstuvwxyzABCDEFGHIJKLMNOPQRSTUVWXYZ.")))))</f>
        <v>0</v>
      </c>
      <c r="AO779">
        <f>IF(Metadata!C779="",FALSE,TRUE)</f>
        <v>0</v>
      </c>
      <c r="AP779">
        <f>IF(Metadata!D779="",FALSE,TRUE)</f>
        <v>0</v>
      </c>
      <c r="AQ779">
        <f>OR(AND(IF(Metadata!E779="",FALSE,TRUE),OR(exact(Metadata!E779,"not collected"),exact(Metadata!E779,"not provided"),exact(Metadata!E779,"restricted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R779">
        <f>IF(Metadata!F779="",FALSE,TRUE)</f>
        <v>0</v>
      </c>
      <c r="AS779">
        <f>OR(AND(IF(Metadata!G779="",FALSE,TRUE),OR(exact(Metadata!G779,"not collected"),exact(Metadata!G779,"not provided"))),AND(IF(Metadata!G779="",FALSE,TRUE),OR(exact(Metadata!G779,"TRUE"),exact(Metadata!G779,"FALSE"))))</f>
        <v>0</v>
      </c>
      <c r="AT779">
        <f>OR(AND(IF(Metadata!H779="",FALSE,TRUE),OR(exact(Metadata!H779,"not collected"),exact(Metadata!H779,"not provided"),exact(Metadata!H779,"restricted access"))),AND(IF(Metadata!H779="",FALSE,ISNUMBER(VALUE(Metadata!H779))),Metadata!H779&gt;=-413.0))</f>
        <v>0</v>
      </c>
      <c r="AU779">
        <f>AND(IF(Metadata!I779="",FALSE,TRUE),exact(Metadata!I779,"meters"))</f>
        <v>0</v>
      </c>
      <c r="AV779">
        <f>AND(IF(Metadata!J779="",FALSE,TRUE),OR(exact(Metadata!J779,"Host-associated"),exact(Metadata!J779,"Free-living")))</f>
        <v>0</v>
      </c>
      <c r="AW779">
        <f>AND(IF(Metadata!K779="",FALSE,TRUE),OR(exact(Metadata!K779,"Animal"),exact(Metadata!K779,"Fungus"),exact(Metadata!K779,"Plant"),exact(Metadata!K779,"Saline"),exact(Metadata!K779,"Non-saline")))</f>
        <v>0</v>
      </c>
      <c r="AX779">
        <f>AND(IF(Metadata!L779="",FALSE,TRUE),OR(exact(Metadata!L779,"Plant secretion"),exact(Metadata!L779,"Plant rhizosphere"),exact(Metadata!L779,"Plant surface"),exact(Metadata!L779,"Plant corpus"),exact(Metadata!L779,"Fungus surface"),exact(Metadata!L779,"Fungus corpus"),exact(Metadata!L779,"Animal surface"),exact(Metadata!L779,"Animal proximal gut"),exact(Metadata!L779,"Animal corpus"),exact(Metadata!L779,"Animal distal gut"),exact(Metadata!L779,"Animal secretion"),exact(Metadata!L779,"Sub-surface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Y779">
        <f>IF(Metadata!M779="",FALSE,TRUE)</f>
        <v>0</v>
      </c>
      <c r="AZ779">
        <f>IF(Metadata!N779="",FALSE,TRUE)</f>
        <v>0</v>
      </c>
      <c r="BA779">
        <f>IF(Metadata!O779="",FALSE,TRUE)</f>
        <v>0</v>
      </c>
      <c r="BB779">
        <f>OR(AND(IF(Metadata!P779="",FALSE,TRUE),OR(exact(Metadata!P779,"not collected"),exact(Metadata!P779,"not provided"),exact(Metadata!P779,"restricted access"))),AND(IF(Metadata!P779="",FALSE,TRUE),OR(exact(Metadata!P779,"air"),exact(Metadata!P779,"built environment"),exact(Metadata!P779,"host-associated"),exact(Metadata!P779,"human-associated"),exact(Metadata!P779,"human-skin"),exact(Metadata!P779,"human-oral"),exact(Metadata!P779,"human-gut"),exact(Metadata!P779,"human-vaginal"),exact(Metadata!P779,"microbial mat/biofilm"),exact(Metadata!P779,"misc environment"),exact(Metadata!P779,"plant-associated"),exact(Metadata!P779,"sediment"),exact(Metadata!P779,"soil"),exact(Metadata!P779,"wastewater/sludge"),exact(Metadata!P779,"water"))))</f>
        <v>0</v>
      </c>
      <c r="BC779">
        <f>IF(Metadata!Q779="",FALSE,TRUE)</f>
        <v>0</v>
      </c>
      <c r="BD779">
        <f>IF(Metadata!R779="",FALSE,TRUE)</f>
        <v>0</v>
      </c>
      <c r="BE779">
        <f>OR(AND(IF(Metadata!S779="",FALSE,TRUE),OR(exact(Metadata!S779,"not collected"),exact(Metadata!S779,"not provided"),exact(Metadata!S779,"restricted access"))),AND(IF(Metadata!S779="",FALSE,ISNUMBER(VALUE(Metadata!S779))),Metadata!S779&gt;=-90.00,Metadata!S779&lt;=90.00))</f>
        <v>0</v>
      </c>
      <c r="BF779">
        <f>AND(IF(Metadata!T779="",FALSE,TRUE),exact(Metadata!T779,"Decimal degrees"))</f>
        <v>0</v>
      </c>
      <c r="BG779">
        <f>OR(AND(IF(Metadata!U779="",FALSE,TRUE),OR(exact(Metadata!U779,"not collected"),exact(Metadata!U779,"not provided"),exact(Metadata!U779,"restricted access"))),AND(IF(Metadata!U779="",FALSE,ISNUMBER(VALUE(Metadata!U779))),Metadata!U779&gt;=-180.00,Metadata!U779&lt;=180.00))</f>
        <v>0</v>
      </c>
      <c r="BH779">
        <f>AND(IF(Metadata!V779="",FALSE,TRUE),exact(Metadata!V779,"Decimal degrees"))</f>
        <v>0</v>
      </c>
      <c r="BI779">
        <f>IF(Metadata!W779="",FALSE,TRUE)</f>
        <v>0</v>
      </c>
      <c r="BJ779">
        <f>OR(AND(IF(Metadata!X779="",FALSE,TRUE),OR(exact(Metadata!X779,"not collected"),exact(Metadata!X779,"not provided"),exact(Metadata!X779,"restricted access"))),AND(IF(Metadata!X779="",FALSE,TRUE),OR(exact(Metadata!X779,"TRUE"),exact(Metadata!X779,"FALSE"))))</f>
        <v>0</v>
      </c>
      <c r="BK779">
        <f>AND(IF(Metadata!Y779="",FALSE,TRUE),exact(Metadata!Y779,"other"))</f>
        <v>0</v>
      </c>
      <c r="BL779">
        <f>IF(Metadata!Z779="",FALSE,TRUE)</f>
        <v>0</v>
      </c>
      <c r="BM779">
        <f>OR(AND(IF(Metadata!AA779="",FALSE,TRUE),OR(exact(Metadata!AA779,"not collected"),exact(Metadata!AA779,"not provided"))),AND(IF(Metadata!AA779="",FALSE,IF(ISERROR(INT(Metadata!AA779)),FALSE,INT(Metadata!AA779)=Metadata!AA779)),Metadata!AA779&gt;0))</f>
        <v>0</v>
      </c>
      <c r="BN779">
        <f>AND(IF(Metadata!AB779="",FALSE,TRUE),exact(Metadata!AB779,"Not applicable"))</f>
        <v>0</v>
      </c>
      <c r="BO779">
        <f>IF(Metadata!AC779="",FALSE,TRUE)</f>
        <v>0</v>
      </c>
    </row>
    <row r="780" spans="1:67">
      <c r="A780" s="5">
        <f>IF(B780=" "," ",HYPERLINK(CONCATENATE("#metadata!",ADDRESS(INDEX($AI$2:$AI$1001,MATCH(ROWS($AG$2:AG780),$AG$2:$AG$1001,0),0),1)),INDEX($AL$2:$AL$1001,MATCH(ROWS($AG$2:AG780),$AG$2:$AG$1001,0),0)))</f>
        <v>0</v>
      </c>
      <c r="B780" s="4">
        <f>IF(OR(INDEX($AH$2:$AH$1001,MATCH(ROWS($AG$2:AG780),$AG$2:$AG$1001,0),1)&gt;=100000,INDEX($AN$1005:$BO$1005,1,MATCH(COLUMNS($AN$1006:AN1006),$AN$1006:$BO$1006,0))&gt;=100000), " ",IF(INDEX($AN$2:$BO$1001,MATCH(ROWS($AG$2:AG780),$AG$2:$AG$1001,0),MATCH(COLUMNS($AN$1006:AN1006),$AN$1006:$BO$1006,0)), HYPERLINK("#",""), HYPERLINK(CONCATENATE("#Metadata!", ADDRESS(INDEX($AI$2:$AI$1001,MATCH(ROWS($AG$2:AG780),$AG$2:$AG$1001,0),0), INDEX($AN$1004:$BO$1004,1,MATCH(COLUMNS($AN$1006:AN1006),$AN$1006:$BO$1006,0)))),"Fix")))</f>
        <v>0</v>
      </c>
      <c r="C780" s="4">
        <f>IF(OR(INDEX($AH$2:$AH$1001,MATCH(ROWS($AG$2:AG780),$AG$2:$AG$1001,0),1)&gt;=100000,INDEX($AN$1005:$BO$1005,1,MATCH(COLUMNS($AN$1006:AO1006),$AN$1006:$BO$1006,0))&gt;=100000), " ",IF(INDEX($AN$2:$BO$1001,MATCH(ROWS($AG$2:AG780),$AG$2:$AG$1001,0),MATCH(COLUMNS($AN$1006:AO1006),$AN$1006:$BO$1006,0)), HYPERLINK("#",""), HYPERLINK(CONCATENATE("#Metadata!", ADDRESS(INDEX($AI$2:$AI$1001,MATCH(ROWS($AG$2:AG780),$AG$2:$AG$1001,0),0), INDEX($AN$1004:$BO$1004,1,MATCH(COLUMNS($AN$1006:AO1006),$AN$1006:$BO$1006,0)))),"Fix")))</f>
        <v>0</v>
      </c>
      <c r="D780" s="4">
        <f>IF(OR(INDEX($AH$2:$AH$1001,MATCH(ROWS($AG$2:AG780),$AG$2:$AG$1001,0),1)&gt;=100000,INDEX($AN$1005:$BO$1005,1,MATCH(COLUMNS($AN$1006:AP1006),$AN$1006:$BO$1006,0))&gt;=100000), " ",IF(INDEX($AN$2:$BO$1001,MATCH(ROWS($AG$2:AG780),$AG$2:$AG$1001,0),MATCH(COLUMNS($AN$1006:AP1006),$AN$1006:$BO$1006,0)), HYPERLINK("#",""), HYPERLINK(CONCATENATE("#Metadata!", ADDRESS(INDEX($AI$2:$AI$1001,MATCH(ROWS($AG$2:AG780),$AG$2:$AG$1001,0),0), INDEX($AN$1004:$BO$1004,1,MATCH(COLUMNS($AN$1006:AP1006),$AN$1006:$BO$1006,0)))),"Fix")))</f>
        <v>0</v>
      </c>
      <c r="E780" s="4">
        <f>IF(OR(INDEX($AH$2:$AH$1001,MATCH(ROWS($AG$2:AG780),$AG$2:$AG$1001,0),1)&gt;=100000,INDEX($AN$1005:$BO$1005,1,MATCH(COLUMNS($AN$1006:AQ1006),$AN$1006:$BO$1006,0))&gt;=100000), " ",IF(INDEX($AN$2:$BO$1001,MATCH(ROWS($AG$2:AG780),$AG$2:$AG$1001,0),MATCH(COLUMNS($AN$1006:AQ1006),$AN$1006:$BO$1006,0)), HYPERLINK("#",""), HYPERLINK(CONCATENATE("#Metadata!", ADDRESS(INDEX($AI$2:$AI$1001,MATCH(ROWS($AG$2:AG780),$AG$2:$AG$1001,0),0), INDEX($AN$1004:$BO$1004,1,MATCH(COLUMNS($AN$1006:AQ1006),$AN$1006:$BO$1006,0)))),"Fix")))</f>
        <v>0</v>
      </c>
      <c r="F780" s="4">
        <f>IF(OR(INDEX($AH$2:$AH$1001,MATCH(ROWS($AG$2:AG780),$AG$2:$AG$1001,0),1)&gt;=100000,INDEX($AN$1005:$BO$1005,1,MATCH(COLUMNS($AN$1006:AR1006),$AN$1006:$BO$1006,0))&gt;=100000), " ",IF(INDEX($AN$2:$BO$1001,MATCH(ROWS($AG$2:AG780),$AG$2:$AG$1001,0),MATCH(COLUMNS($AN$1006:AR1006),$AN$1006:$BO$1006,0)), HYPERLINK("#",""), HYPERLINK(CONCATENATE("#Metadata!", ADDRESS(INDEX($AI$2:$AI$1001,MATCH(ROWS($AG$2:AG780),$AG$2:$AG$1001,0),0), INDEX($AN$1004:$BO$1004,1,MATCH(COLUMNS($AN$1006:AR1006),$AN$1006:$BO$1006,0)))),"Fix")))</f>
        <v>0</v>
      </c>
      <c r="G780" s="4">
        <f>IF(OR(INDEX($AH$2:$AH$1001,MATCH(ROWS($AG$2:AG780),$AG$2:$AG$1001,0),1)&gt;=100000,INDEX($AN$1005:$BO$1005,1,MATCH(COLUMNS($AN$1006:AS1006),$AN$1006:$BO$1006,0))&gt;=100000), " ",IF(INDEX($AN$2:$BO$1001,MATCH(ROWS($AG$2:AG780),$AG$2:$AG$1001,0),MATCH(COLUMNS($AN$1006:AS1006),$AN$1006:$BO$1006,0)), HYPERLINK("#",""), HYPERLINK(CONCATENATE("#Metadata!", ADDRESS(INDEX($AI$2:$AI$1001,MATCH(ROWS($AG$2:AG780),$AG$2:$AG$1001,0),0), INDEX($AN$1004:$BO$1004,1,MATCH(COLUMNS($AN$1006:AS1006),$AN$1006:$BO$1006,0)))),"Fix")))</f>
        <v>0</v>
      </c>
      <c r="H780" s="4">
        <f>IF(OR(INDEX($AH$2:$AH$1001,MATCH(ROWS($AG$2:AG780),$AG$2:$AG$1001,0),1)&gt;=100000,INDEX($AN$1005:$BO$1005,1,MATCH(COLUMNS($AN$1006:AT1006),$AN$1006:$BO$1006,0))&gt;=100000), " ",IF(INDEX($AN$2:$BO$1001,MATCH(ROWS($AG$2:AG780),$AG$2:$AG$1001,0),MATCH(COLUMNS($AN$1006:AT1006),$AN$1006:$BO$1006,0)), HYPERLINK("#",""), HYPERLINK(CONCATENATE("#Metadata!", ADDRESS(INDEX($AI$2:$AI$1001,MATCH(ROWS($AG$2:AG780),$AG$2:$AG$1001,0),0), INDEX($AN$1004:$BO$1004,1,MATCH(COLUMNS($AN$1006:AT1006),$AN$1006:$BO$1006,0)))),"Fix")))</f>
        <v>0</v>
      </c>
      <c r="I780" s="4">
        <f>IF(OR(INDEX($AH$2:$AH$1001,MATCH(ROWS($AG$2:AG780),$AG$2:$AG$1001,0),1)&gt;=100000,INDEX($AN$1005:$BO$1005,1,MATCH(COLUMNS($AN$1006:AU1006),$AN$1006:$BO$1006,0))&gt;=100000), " ",IF(INDEX($AN$2:$BO$1001,MATCH(ROWS($AG$2:AG780),$AG$2:$AG$1001,0),MATCH(COLUMNS($AN$1006:AU1006),$AN$1006:$BO$1006,0)), HYPERLINK("#",""), HYPERLINK(CONCATENATE("#Metadata!", ADDRESS(INDEX($AI$2:$AI$1001,MATCH(ROWS($AG$2:AG780),$AG$2:$AG$1001,0),0), INDEX($AN$1004:$BO$1004,1,MATCH(COLUMNS($AN$1006:AU1006),$AN$1006:$BO$1006,0)))),"Fix")))</f>
        <v>0</v>
      </c>
      <c r="J780" s="4">
        <f>IF(OR(INDEX($AH$2:$AH$1001,MATCH(ROWS($AG$2:AG780),$AG$2:$AG$1001,0),1)&gt;=100000,INDEX($AN$1005:$BO$1005,1,MATCH(COLUMNS($AN$1006:AV1006),$AN$1006:$BO$1006,0))&gt;=100000), " ",IF(INDEX($AN$2:$BO$1001,MATCH(ROWS($AG$2:AG780),$AG$2:$AG$1001,0),MATCH(COLUMNS($AN$1006:AV1006),$AN$1006:$BO$1006,0)), HYPERLINK("#",""), HYPERLINK(CONCATENATE("#Metadata!", ADDRESS(INDEX($AI$2:$AI$1001,MATCH(ROWS($AG$2:AG780),$AG$2:$AG$1001,0),0), INDEX($AN$1004:$BO$1004,1,MATCH(COLUMNS($AN$1006:AV1006),$AN$1006:$BO$1006,0)))),"Fix")))</f>
        <v>0</v>
      </c>
      <c r="K780" s="4">
        <f>IF(OR(INDEX($AH$2:$AH$1001,MATCH(ROWS($AG$2:AG780),$AG$2:$AG$1001,0),1)&gt;=100000,INDEX($AN$1005:$BO$1005,1,MATCH(COLUMNS($AN$1006:AW1006),$AN$1006:$BO$1006,0))&gt;=100000), " ",IF(INDEX($AN$2:$BO$1001,MATCH(ROWS($AG$2:AG780),$AG$2:$AG$1001,0),MATCH(COLUMNS($AN$1006:AW1006),$AN$1006:$BO$1006,0)), HYPERLINK("#",""), HYPERLINK(CONCATENATE("#Metadata!", ADDRESS(INDEX($AI$2:$AI$1001,MATCH(ROWS($AG$2:AG780),$AG$2:$AG$1001,0),0), INDEX($AN$1004:$BO$1004,1,MATCH(COLUMNS($AN$1006:AW1006),$AN$1006:$BO$1006,0)))),"Fix")))</f>
        <v>0</v>
      </c>
      <c r="L780" s="4">
        <f>IF(OR(INDEX($AH$2:$AH$1001,MATCH(ROWS($AG$2:AG780),$AG$2:$AG$1001,0),1)&gt;=100000,INDEX($AN$1005:$BO$1005,1,MATCH(COLUMNS($AN$1006:AX1006),$AN$1006:$BO$1006,0))&gt;=100000), " ",IF(INDEX($AN$2:$BO$1001,MATCH(ROWS($AG$2:AG780),$AG$2:$AG$1001,0),MATCH(COLUMNS($AN$1006:AX1006),$AN$1006:$BO$1006,0)), HYPERLINK("#",""), HYPERLINK(CONCATENATE("#Metadata!", ADDRESS(INDEX($AI$2:$AI$1001,MATCH(ROWS($AG$2:AG780),$AG$2:$AG$1001,0),0), INDEX($AN$1004:$BO$1004,1,MATCH(COLUMNS($AN$1006:AX1006),$AN$1006:$BO$1006,0)))),"Fix")))</f>
        <v>0</v>
      </c>
      <c r="M780" s="4">
        <f>IF(OR(INDEX($AH$2:$AH$1001,MATCH(ROWS($AG$2:AG780),$AG$2:$AG$1001,0),1)&gt;=100000,INDEX($AN$1005:$BO$1005,1,MATCH(COLUMNS($AN$1006:AY1006),$AN$1006:$BO$1006,0))&gt;=100000), " ",IF(INDEX($AN$2:$BO$1001,MATCH(ROWS($AG$2:AG780),$AG$2:$AG$1001,0),MATCH(COLUMNS($AN$1006:AY1006),$AN$1006:$BO$1006,0)), HYPERLINK("#",""), HYPERLINK(CONCATENATE("#Metadata!", ADDRESS(INDEX($AI$2:$AI$1001,MATCH(ROWS($AG$2:AG780),$AG$2:$AG$1001,0),0), INDEX($AN$1004:$BO$1004,1,MATCH(COLUMNS($AN$1006:AY1006),$AN$1006:$BO$1006,0)))),"Fix")))</f>
        <v>0</v>
      </c>
      <c r="N780" s="4">
        <f>IF(OR(INDEX($AH$2:$AH$1001,MATCH(ROWS($AG$2:AG780),$AG$2:$AG$1001,0),1)&gt;=100000,INDEX($AN$1005:$BO$1005,1,MATCH(COLUMNS($AN$1006:AZ1006),$AN$1006:$BO$1006,0))&gt;=100000), " ",IF(INDEX($AN$2:$BO$1001,MATCH(ROWS($AG$2:AG780),$AG$2:$AG$1001,0),MATCH(COLUMNS($AN$1006:AZ1006),$AN$1006:$BO$1006,0)), HYPERLINK("#",""), HYPERLINK(CONCATENATE("#Metadata!", ADDRESS(INDEX($AI$2:$AI$1001,MATCH(ROWS($AG$2:AG780),$AG$2:$AG$1001,0),0), INDEX($AN$1004:$BO$1004,1,MATCH(COLUMNS($AN$1006:AZ1006),$AN$1006:$BO$1006,0)))),"Fix")))</f>
        <v>0</v>
      </c>
      <c r="O780" s="4">
        <f>IF(OR(INDEX($AH$2:$AH$1001,MATCH(ROWS($AG$2:AG780),$AG$2:$AG$1001,0),1)&gt;=100000,INDEX($AN$1005:$BO$1005,1,MATCH(COLUMNS($AN$1006:BA1006),$AN$1006:$BO$1006,0))&gt;=100000), " ",IF(INDEX($AN$2:$BO$1001,MATCH(ROWS($AG$2:AG780),$AG$2:$AG$1001,0),MATCH(COLUMNS($AN$1006:BA1006),$AN$1006:$BO$1006,0)), HYPERLINK("#",""), HYPERLINK(CONCATENATE("#Metadata!", ADDRESS(INDEX($AI$2:$AI$1001,MATCH(ROWS($AG$2:AG780),$AG$2:$AG$1001,0),0), INDEX($AN$1004:$BO$1004,1,MATCH(COLUMNS($AN$1006:BA1006),$AN$1006:$BO$1006,0)))),"Fix")))</f>
        <v>0</v>
      </c>
      <c r="P780" s="4">
        <f>IF(OR(INDEX($AH$2:$AH$1001,MATCH(ROWS($AG$2:AG780),$AG$2:$AG$1001,0),1)&gt;=100000,INDEX($AN$1005:$BO$1005,1,MATCH(COLUMNS($AN$1006:BB1006),$AN$1006:$BO$1006,0))&gt;=100000), " ",IF(INDEX($AN$2:$BO$1001,MATCH(ROWS($AG$2:AG780),$AG$2:$AG$1001,0),MATCH(COLUMNS($AN$1006:BB1006),$AN$1006:$BO$1006,0)), HYPERLINK("#",""), HYPERLINK(CONCATENATE("#Metadata!", ADDRESS(INDEX($AI$2:$AI$1001,MATCH(ROWS($AG$2:AG780),$AG$2:$AG$1001,0),0), INDEX($AN$1004:$BO$1004,1,MATCH(COLUMNS($AN$1006:BB1006),$AN$1006:$BO$1006,0)))),"Fix")))</f>
        <v>0</v>
      </c>
      <c r="Q780" s="4">
        <f>IF(OR(INDEX($AH$2:$AH$1001,MATCH(ROWS($AG$2:AG780),$AG$2:$AG$1001,0),1)&gt;=100000,INDEX($AN$1005:$BO$1005,1,MATCH(COLUMNS($AN$1006:BC1006),$AN$1006:$BO$1006,0))&gt;=100000), " ",IF(INDEX($AN$2:$BO$1001,MATCH(ROWS($AG$2:AG780),$AG$2:$AG$1001,0),MATCH(COLUMNS($AN$1006:BC1006),$AN$1006:$BO$1006,0)), HYPERLINK("#",""), HYPERLINK(CONCATENATE("#Metadata!", ADDRESS(INDEX($AI$2:$AI$1001,MATCH(ROWS($AG$2:AG780),$AG$2:$AG$1001,0),0), INDEX($AN$1004:$BO$1004,1,MATCH(COLUMNS($AN$1006:BC1006),$AN$1006:$BO$1006,0)))),"Fix")))</f>
        <v>0</v>
      </c>
      <c r="R780" s="4">
        <f>IF(OR(INDEX($AH$2:$AH$1001,MATCH(ROWS($AG$2:AG780),$AG$2:$AG$1001,0),1)&gt;=100000,INDEX($AN$1005:$BO$1005,1,MATCH(COLUMNS($AN$1006:BD1006),$AN$1006:$BO$1006,0))&gt;=100000), " ",IF(INDEX($AN$2:$BO$1001,MATCH(ROWS($AG$2:AG780),$AG$2:$AG$1001,0),MATCH(COLUMNS($AN$1006:BD1006),$AN$1006:$BO$1006,0)), HYPERLINK("#",""), HYPERLINK(CONCATENATE("#Metadata!", ADDRESS(INDEX($AI$2:$AI$1001,MATCH(ROWS($AG$2:AG780),$AG$2:$AG$1001,0),0), INDEX($AN$1004:$BO$1004,1,MATCH(COLUMNS($AN$1006:BD1006),$AN$1006:$BO$1006,0)))),"Fix")))</f>
        <v>0</v>
      </c>
      <c r="S780" s="4">
        <f>IF(OR(INDEX($AH$2:$AH$1001,MATCH(ROWS($AG$2:AG780),$AG$2:$AG$1001,0),1)&gt;=100000,INDEX($AN$1005:$BO$1005,1,MATCH(COLUMNS($AN$1006:BE1006),$AN$1006:$BO$1006,0))&gt;=100000), " ",IF(INDEX($AN$2:$BO$1001,MATCH(ROWS($AG$2:AG780),$AG$2:$AG$1001,0),MATCH(COLUMNS($AN$1006:BE1006),$AN$1006:$BO$1006,0)), HYPERLINK("#",""), HYPERLINK(CONCATENATE("#Metadata!", ADDRESS(INDEX($AI$2:$AI$1001,MATCH(ROWS($AG$2:AG780),$AG$2:$AG$1001,0),0), INDEX($AN$1004:$BO$1004,1,MATCH(COLUMNS($AN$1006:BE1006),$AN$1006:$BO$1006,0)))),"Fix")))</f>
        <v>0</v>
      </c>
      <c r="T780" s="4">
        <f>IF(OR(INDEX($AH$2:$AH$1001,MATCH(ROWS($AG$2:AG780),$AG$2:$AG$1001,0),1)&gt;=100000,INDEX($AN$1005:$BO$1005,1,MATCH(COLUMNS($AN$1006:BF1006),$AN$1006:$BO$1006,0))&gt;=100000), " ",IF(INDEX($AN$2:$BO$1001,MATCH(ROWS($AG$2:AG780),$AG$2:$AG$1001,0),MATCH(COLUMNS($AN$1006:BF1006),$AN$1006:$BO$1006,0)), HYPERLINK("#",""), HYPERLINK(CONCATENATE("#Metadata!", ADDRESS(INDEX($AI$2:$AI$1001,MATCH(ROWS($AG$2:AG780),$AG$2:$AG$1001,0),0), INDEX($AN$1004:$BO$1004,1,MATCH(COLUMNS($AN$1006:BF1006),$AN$1006:$BO$1006,0)))),"Fix")))</f>
        <v>0</v>
      </c>
      <c r="U780" s="4">
        <f>IF(OR(INDEX($AH$2:$AH$1001,MATCH(ROWS($AG$2:AG780),$AG$2:$AG$1001,0),1)&gt;=100000,INDEX($AN$1005:$BO$1005,1,MATCH(COLUMNS($AN$1006:BG1006),$AN$1006:$BO$1006,0))&gt;=100000), " ",IF(INDEX($AN$2:$BO$1001,MATCH(ROWS($AG$2:AG780),$AG$2:$AG$1001,0),MATCH(COLUMNS($AN$1006:BG1006),$AN$1006:$BO$1006,0)), HYPERLINK("#",""), HYPERLINK(CONCATENATE("#Metadata!", ADDRESS(INDEX($AI$2:$AI$1001,MATCH(ROWS($AG$2:AG780),$AG$2:$AG$1001,0),0), INDEX($AN$1004:$BO$1004,1,MATCH(COLUMNS($AN$1006:BG1006),$AN$1006:$BO$1006,0)))),"Fix")))</f>
        <v>0</v>
      </c>
      <c r="V780" s="4">
        <f>IF(OR(INDEX($AH$2:$AH$1001,MATCH(ROWS($AG$2:AG780),$AG$2:$AG$1001,0),1)&gt;=100000,INDEX($AN$1005:$BO$1005,1,MATCH(COLUMNS($AN$1006:BH1006),$AN$1006:$BO$1006,0))&gt;=100000), " ",IF(INDEX($AN$2:$BO$1001,MATCH(ROWS($AG$2:AG780),$AG$2:$AG$1001,0),MATCH(COLUMNS($AN$1006:BH1006),$AN$1006:$BO$1006,0)), HYPERLINK("#",""), HYPERLINK(CONCATENATE("#Metadata!", ADDRESS(INDEX($AI$2:$AI$1001,MATCH(ROWS($AG$2:AG780),$AG$2:$AG$1001,0),0), INDEX($AN$1004:$BO$1004,1,MATCH(COLUMNS($AN$1006:BH1006),$AN$1006:$BO$1006,0)))),"Fix")))</f>
        <v>0</v>
      </c>
      <c r="W780" s="4">
        <f>IF(OR(INDEX($AH$2:$AH$1001,MATCH(ROWS($AG$2:AG780),$AG$2:$AG$1001,0),1)&gt;=100000,INDEX($AN$1005:$BO$1005,1,MATCH(COLUMNS($AN$1006:BI1006),$AN$1006:$BO$1006,0))&gt;=100000), " ",IF(INDEX($AN$2:$BO$1001,MATCH(ROWS($AG$2:AG780),$AG$2:$AG$1001,0),MATCH(COLUMNS($AN$1006:BI1006),$AN$1006:$BO$1006,0)), HYPERLINK("#",""), HYPERLINK(CONCATENATE("#Metadata!", ADDRESS(INDEX($AI$2:$AI$1001,MATCH(ROWS($AG$2:AG780),$AG$2:$AG$1001,0),0), INDEX($AN$1004:$BO$1004,1,MATCH(COLUMNS($AN$1006:BI1006),$AN$1006:$BO$1006,0)))),"Fix")))</f>
        <v>0</v>
      </c>
      <c r="X780" s="4">
        <f>IF(OR(INDEX($AH$2:$AH$1001,MATCH(ROWS($AG$2:AG780),$AG$2:$AG$1001,0),1)&gt;=100000,INDEX($AN$1005:$BO$1005,1,MATCH(COLUMNS($AN$1006:BJ1006),$AN$1006:$BO$1006,0))&gt;=100000), " ",IF(INDEX($AN$2:$BO$1001,MATCH(ROWS($AG$2:AG780),$AG$2:$AG$1001,0),MATCH(COLUMNS($AN$1006:BJ1006),$AN$1006:$BO$1006,0)), HYPERLINK("#",""), HYPERLINK(CONCATENATE("#Metadata!", ADDRESS(INDEX($AI$2:$AI$1001,MATCH(ROWS($AG$2:AG780),$AG$2:$AG$1001,0),0), INDEX($AN$1004:$BO$1004,1,MATCH(COLUMNS($AN$1006:BJ1006),$AN$1006:$BO$1006,0)))),"Fix")))</f>
        <v>0</v>
      </c>
      <c r="Y780" s="4">
        <f>IF(OR(INDEX($AH$2:$AH$1001,MATCH(ROWS($AG$2:AG780),$AG$2:$AG$1001,0),1)&gt;=100000,INDEX($AN$1005:$BO$1005,1,MATCH(COLUMNS($AN$1006:BK1006),$AN$1006:$BO$1006,0))&gt;=100000), " ",IF(INDEX($AN$2:$BO$1001,MATCH(ROWS($AG$2:AG780),$AG$2:$AG$1001,0),MATCH(COLUMNS($AN$1006:BK1006),$AN$1006:$BO$1006,0)), HYPERLINK("#",""), HYPERLINK(CONCATENATE("#Metadata!", ADDRESS(INDEX($AI$2:$AI$1001,MATCH(ROWS($AG$2:AG780),$AG$2:$AG$1001,0),0), INDEX($AN$1004:$BO$1004,1,MATCH(COLUMNS($AN$1006:BK1006),$AN$1006:$BO$1006,0)))),"Fix")))</f>
        <v>0</v>
      </c>
      <c r="Z780" s="4">
        <f>IF(OR(INDEX($AH$2:$AH$1001,MATCH(ROWS($AG$2:AG780),$AG$2:$AG$1001,0),1)&gt;=100000,INDEX($AN$1005:$BO$1005,1,MATCH(COLUMNS($AN$1006:BL1006),$AN$1006:$BO$1006,0))&gt;=100000), " ",IF(INDEX($AN$2:$BO$1001,MATCH(ROWS($AG$2:AG780),$AG$2:$AG$1001,0),MATCH(COLUMNS($AN$1006:BL1006),$AN$1006:$BO$1006,0)), HYPERLINK("#",""), HYPERLINK(CONCATENATE("#Metadata!", ADDRESS(INDEX($AI$2:$AI$1001,MATCH(ROWS($AG$2:AG780),$AG$2:$AG$1001,0),0), INDEX($AN$1004:$BO$1004,1,MATCH(COLUMNS($AN$1006:BL1006),$AN$1006:$BO$1006,0)))),"Fix")))</f>
        <v>0</v>
      </c>
      <c r="AA780" s="4">
        <f>IF(OR(INDEX($AH$2:$AH$1001,MATCH(ROWS($AG$2:AG780),$AG$2:$AG$1001,0),1)&gt;=100000,INDEX($AN$1005:$BO$1005,1,MATCH(COLUMNS($AN$1006:BM1006),$AN$1006:$BO$1006,0))&gt;=100000), " ",IF(INDEX($AN$2:$BO$1001,MATCH(ROWS($AG$2:AG780),$AG$2:$AG$1001,0),MATCH(COLUMNS($AN$1006:BM1006),$AN$1006:$BO$1006,0)), HYPERLINK("#",""), HYPERLINK(CONCATENATE("#Metadata!", ADDRESS(INDEX($AI$2:$AI$1001,MATCH(ROWS($AG$2:AG780),$AG$2:$AG$1001,0),0), INDEX($AN$1004:$BO$1004,1,MATCH(COLUMNS($AN$1006:BM1006),$AN$1006:$BO$1006,0)))),"Fix")))</f>
        <v>0</v>
      </c>
      <c r="AB780" s="4">
        <f>IF(OR(INDEX($AH$2:$AH$1001,MATCH(ROWS($AG$2:AG780),$AG$2:$AG$1001,0),1)&gt;=100000,INDEX($AN$1005:$BO$1005,1,MATCH(COLUMNS($AN$1006:BN1006),$AN$1006:$BO$1006,0))&gt;=100000), " ",IF(INDEX($AN$2:$BO$1001,MATCH(ROWS($AG$2:AG780),$AG$2:$AG$1001,0),MATCH(COLUMNS($AN$1006:BN1006),$AN$1006:$BO$1006,0)), HYPERLINK("#",""), HYPERLINK(CONCATENATE("#Metadata!", ADDRESS(INDEX($AI$2:$AI$1001,MATCH(ROWS($AG$2:AG780),$AG$2:$AG$1001,0),0), INDEX($AN$1004:$BO$1004,1,MATCH(COLUMNS($AN$1006:BN1006),$AN$1006:$BO$1006,0)))),"Fix")))</f>
        <v>0</v>
      </c>
      <c r="AC780" s="4">
        <f>IF(OR(INDEX($AH$2:$AH$1001,MATCH(ROWS($AG$2:AG780),$AG$2:$AG$1001,0),1)&gt;=100000,INDEX($AN$1005:$BO$1005,1,MATCH(COLUMNS($AN$1006:BO1006),$AN$1006:$BO$1006,0))&gt;=100000), " ",IF(INDEX($AN$2:$BO$1001,MATCH(ROWS($AG$2:AG780),$AG$2:$AG$1001,0),MATCH(COLUMNS($AN$1006:BO1006),$AN$1006:$BO$1006,0)), HYPERLINK("#",""), HYPERLINK(CONCATENATE("#Metadata!", ADDRESS(INDEX($AI$2:$AI$1001,MATCH(ROWS($AG$2:AG780),$AG$2:$AG$1001,0),0), INDEX($AN$1004:$BO$1004,1,MATCH(COLUMNS($AN$1006:BO1006),$AN$1006:$BO$1006,0)))),"Fix")))</f>
        <v>0</v>
      </c>
      <c r="AG780">
        <v>0</v>
      </c>
      <c r="AH780">
        <v>0</v>
      </c>
      <c r="AI780">
        <v>0</v>
      </c>
      <c r="AJ780">
        <f>IF(AK780,TRUE,AND(AN780:BO780))</f>
        <v>0</v>
      </c>
      <c r="AK780">
        <f>COUNTBLANK(Metadata!B780:AC780)=COLUMNS(Metadata!B780:AC780)</f>
        <v>0</v>
      </c>
      <c r="AL780">
        <v>0</v>
      </c>
      <c r="AN780">
        <f>AND(IF(Metadata!B780="",FALSE,TRUE),COUNTIF(Metadata!B:B, Metadata!B780) = 1,NOT(ISERROR(SUMPRODUCT(SEARCH(MID(Metadata!B780,ROW(INDIRECT("1:"&amp;LEN(Metadata!B780))), 1),"0123456789abcdefghijklmnopqrstuvwxyzABCDEFGHIJKLMNOPQRSTUVWXYZ.")))))</f>
        <v>0</v>
      </c>
      <c r="AO780">
        <f>IF(Metadata!C780="",FALSE,TRUE)</f>
        <v>0</v>
      </c>
      <c r="AP780">
        <f>IF(Metadata!D780="",FALSE,TRUE)</f>
        <v>0</v>
      </c>
      <c r="AQ780">
        <f>OR(AND(IF(Metadata!E780="",FALSE,TRUE),OR(exact(Metadata!E780,"not collected"),exact(Metadata!E780,"not provided"),exact(Metadata!E780,"restricted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R780">
        <f>IF(Metadata!F780="",FALSE,TRUE)</f>
        <v>0</v>
      </c>
      <c r="AS780">
        <f>OR(AND(IF(Metadata!G780="",FALSE,TRUE),OR(exact(Metadata!G780,"not collected"),exact(Metadata!G780,"not provided"))),AND(IF(Metadata!G780="",FALSE,TRUE),OR(exact(Metadata!G780,"TRUE"),exact(Metadata!G780,"FALSE"))))</f>
        <v>0</v>
      </c>
      <c r="AT780">
        <f>OR(AND(IF(Metadata!H780="",FALSE,TRUE),OR(exact(Metadata!H780,"not collected"),exact(Metadata!H780,"not provided"),exact(Metadata!H780,"restricted access"))),AND(IF(Metadata!H780="",FALSE,ISNUMBER(VALUE(Metadata!H780))),Metadata!H780&gt;=-413.0))</f>
        <v>0</v>
      </c>
      <c r="AU780">
        <f>AND(IF(Metadata!I780="",FALSE,TRUE),exact(Metadata!I780,"meters"))</f>
        <v>0</v>
      </c>
      <c r="AV780">
        <f>AND(IF(Metadata!J780="",FALSE,TRUE),OR(exact(Metadata!J780,"Host-associated"),exact(Metadata!J780,"Free-living")))</f>
        <v>0</v>
      </c>
      <c r="AW780">
        <f>AND(IF(Metadata!K780="",FALSE,TRUE),OR(exact(Metadata!K780,"Animal"),exact(Metadata!K780,"Fungus"),exact(Metadata!K780,"Plant"),exact(Metadata!K780,"Saline"),exact(Metadata!K780,"Non-saline")))</f>
        <v>0</v>
      </c>
      <c r="AX780">
        <f>AND(IF(Metadata!L780="",FALSE,TRUE),OR(exact(Metadata!L780,"Plant secretion"),exact(Metadata!L780,"Plant rhizosphere"),exact(Metadata!L780,"Plant surface"),exact(Metadata!L780,"Plant corpus"),exact(Metadata!L780,"Fungus surface"),exact(Metadata!L780,"Fungus corpus"),exact(Metadata!L780,"Animal surface"),exact(Metadata!L780,"Animal proximal gut"),exact(Metadata!L780,"Animal corpus"),exact(Metadata!L780,"Animal distal gut"),exact(Metadata!L780,"Animal secretion"),exact(Metadata!L780,"Sub-surface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Y780">
        <f>IF(Metadata!M780="",FALSE,TRUE)</f>
        <v>0</v>
      </c>
      <c r="AZ780">
        <f>IF(Metadata!N780="",FALSE,TRUE)</f>
        <v>0</v>
      </c>
      <c r="BA780">
        <f>IF(Metadata!O780="",FALSE,TRUE)</f>
        <v>0</v>
      </c>
      <c r="BB780">
        <f>OR(AND(IF(Metadata!P780="",FALSE,TRUE),OR(exact(Metadata!P780,"not collected"),exact(Metadata!P780,"not provided"),exact(Metadata!P780,"restricted access"))),AND(IF(Metadata!P780="",FALSE,TRUE),OR(exact(Metadata!P780,"air"),exact(Metadata!P780,"built environment"),exact(Metadata!P780,"host-associated"),exact(Metadata!P780,"human-associated"),exact(Metadata!P780,"human-skin"),exact(Metadata!P780,"human-oral"),exact(Metadata!P780,"human-gut"),exact(Metadata!P780,"human-vaginal"),exact(Metadata!P780,"microbial mat/biofilm"),exact(Metadata!P780,"misc environment"),exact(Metadata!P780,"plant-associated"),exact(Metadata!P780,"sediment"),exact(Metadata!P780,"soil"),exact(Metadata!P780,"wastewater/sludge"),exact(Metadata!P780,"water"))))</f>
        <v>0</v>
      </c>
      <c r="BC780">
        <f>IF(Metadata!Q780="",FALSE,TRUE)</f>
        <v>0</v>
      </c>
      <c r="BD780">
        <f>IF(Metadata!R780="",FALSE,TRUE)</f>
        <v>0</v>
      </c>
      <c r="BE780">
        <f>OR(AND(IF(Metadata!S780="",FALSE,TRUE),OR(exact(Metadata!S780,"not collected"),exact(Metadata!S780,"not provided"),exact(Metadata!S780,"restricted access"))),AND(IF(Metadata!S780="",FALSE,ISNUMBER(VALUE(Metadata!S780))),Metadata!S780&gt;=-90.00,Metadata!S780&lt;=90.00))</f>
        <v>0</v>
      </c>
      <c r="BF780">
        <f>AND(IF(Metadata!T780="",FALSE,TRUE),exact(Metadata!T780,"Decimal degrees"))</f>
        <v>0</v>
      </c>
      <c r="BG780">
        <f>OR(AND(IF(Metadata!U780="",FALSE,TRUE),OR(exact(Metadata!U780,"not collected"),exact(Metadata!U780,"not provided"),exact(Metadata!U780,"restricted access"))),AND(IF(Metadata!U780="",FALSE,ISNUMBER(VALUE(Metadata!U780))),Metadata!U780&gt;=-180.00,Metadata!U780&lt;=180.00))</f>
        <v>0</v>
      </c>
      <c r="BH780">
        <f>AND(IF(Metadata!V780="",FALSE,TRUE),exact(Metadata!V780,"Decimal degrees"))</f>
        <v>0</v>
      </c>
      <c r="BI780">
        <f>IF(Metadata!W780="",FALSE,TRUE)</f>
        <v>0</v>
      </c>
      <c r="BJ780">
        <f>OR(AND(IF(Metadata!X780="",FALSE,TRUE),OR(exact(Metadata!X780,"not collected"),exact(Metadata!X780,"not provided"),exact(Metadata!X780,"restricted access"))),AND(IF(Metadata!X780="",FALSE,TRUE),OR(exact(Metadata!X780,"TRUE"),exact(Metadata!X780,"FALSE"))))</f>
        <v>0</v>
      </c>
      <c r="BK780">
        <f>AND(IF(Metadata!Y780="",FALSE,TRUE),exact(Metadata!Y780,"other"))</f>
        <v>0</v>
      </c>
      <c r="BL780">
        <f>IF(Metadata!Z780="",FALSE,TRUE)</f>
        <v>0</v>
      </c>
      <c r="BM780">
        <f>OR(AND(IF(Metadata!AA780="",FALSE,TRUE),OR(exact(Metadata!AA780,"not collected"),exact(Metadata!AA780,"not provided"))),AND(IF(Metadata!AA780="",FALSE,IF(ISERROR(INT(Metadata!AA780)),FALSE,INT(Metadata!AA780)=Metadata!AA780)),Metadata!AA780&gt;0))</f>
        <v>0</v>
      </c>
      <c r="BN780">
        <f>AND(IF(Metadata!AB780="",FALSE,TRUE),exact(Metadata!AB780,"Not applicable"))</f>
        <v>0</v>
      </c>
      <c r="BO780">
        <f>IF(Metadata!AC780="",FALSE,TRUE)</f>
        <v>0</v>
      </c>
    </row>
    <row r="781" spans="1:67">
      <c r="A781" s="5">
        <f>IF(B781=" "," ",HYPERLINK(CONCATENATE("#metadata!",ADDRESS(INDEX($AI$2:$AI$1001,MATCH(ROWS($AG$2:AG781),$AG$2:$AG$1001,0),0),1)),INDEX($AL$2:$AL$1001,MATCH(ROWS($AG$2:AG781),$AG$2:$AG$1001,0),0)))</f>
        <v>0</v>
      </c>
      <c r="B781" s="4">
        <f>IF(OR(INDEX($AH$2:$AH$1001,MATCH(ROWS($AG$2:AG781),$AG$2:$AG$1001,0),1)&gt;=100000,INDEX($AN$1005:$BO$1005,1,MATCH(COLUMNS($AN$1006:AN1006),$AN$1006:$BO$1006,0))&gt;=100000), " ",IF(INDEX($AN$2:$BO$1001,MATCH(ROWS($AG$2:AG781),$AG$2:$AG$1001,0),MATCH(COLUMNS($AN$1006:AN1006),$AN$1006:$BO$1006,0)), HYPERLINK("#",""), HYPERLINK(CONCATENATE("#Metadata!", ADDRESS(INDEX($AI$2:$AI$1001,MATCH(ROWS($AG$2:AG781),$AG$2:$AG$1001,0),0), INDEX($AN$1004:$BO$1004,1,MATCH(COLUMNS($AN$1006:AN1006),$AN$1006:$BO$1006,0)))),"Fix")))</f>
        <v>0</v>
      </c>
      <c r="C781" s="4">
        <f>IF(OR(INDEX($AH$2:$AH$1001,MATCH(ROWS($AG$2:AG781),$AG$2:$AG$1001,0),1)&gt;=100000,INDEX($AN$1005:$BO$1005,1,MATCH(COLUMNS($AN$1006:AO1006),$AN$1006:$BO$1006,0))&gt;=100000), " ",IF(INDEX($AN$2:$BO$1001,MATCH(ROWS($AG$2:AG781),$AG$2:$AG$1001,0),MATCH(COLUMNS($AN$1006:AO1006),$AN$1006:$BO$1006,0)), HYPERLINK("#",""), HYPERLINK(CONCATENATE("#Metadata!", ADDRESS(INDEX($AI$2:$AI$1001,MATCH(ROWS($AG$2:AG781),$AG$2:$AG$1001,0),0), INDEX($AN$1004:$BO$1004,1,MATCH(COLUMNS($AN$1006:AO1006),$AN$1006:$BO$1006,0)))),"Fix")))</f>
        <v>0</v>
      </c>
      <c r="D781" s="4">
        <f>IF(OR(INDEX($AH$2:$AH$1001,MATCH(ROWS($AG$2:AG781),$AG$2:$AG$1001,0),1)&gt;=100000,INDEX($AN$1005:$BO$1005,1,MATCH(COLUMNS($AN$1006:AP1006),$AN$1006:$BO$1006,0))&gt;=100000), " ",IF(INDEX($AN$2:$BO$1001,MATCH(ROWS($AG$2:AG781),$AG$2:$AG$1001,0),MATCH(COLUMNS($AN$1006:AP1006),$AN$1006:$BO$1006,0)), HYPERLINK("#",""), HYPERLINK(CONCATENATE("#Metadata!", ADDRESS(INDEX($AI$2:$AI$1001,MATCH(ROWS($AG$2:AG781),$AG$2:$AG$1001,0),0), INDEX($AN$1004:$BO$1004,1,MATCH(COLUMNS($AN$1006:AP1006),$AN$1006:$BO$1006,0)))),"Fix")))</f>
        <v>0</v>
      </c>
      <c r="E781" s="4">
        <f>IF(OR(INDEX($AH$2:$AH$1001,MATCH(ROWS($AG$2:AG781),$AG$2:$AG$1001,0),1)&gt;=100000,INDEX($AN$1005:$BO$1005,1,MATCH(COLUMNS($AN$1006:AQ1006),$AN$1006:$BO$1006,0))&gt;=100000), " ",IF(INDEX($AN$2:$BO$1001,MATCH(ROWS($AG$2:AG781),$AG$2:$AG$1001,0),MATCH(COLUMNS($AN$1006:AQ1006),$AN$1006:$BO$1006,0)), HYPERLINK("#",""), HYPERLINK(CONCATENATE("#Metadata!", ADDRESS(INDEX($AI$2:$AI$1001,MATCH(ROWS($AG$2:AG781),$AG$2:$AG$1001,0),0), INDEX($AN$1004:$BO$1004,1,MATCH(COLUMNS($AN$1006:AQ1006),$AN$1006:$BO$1006,0)))),"Fix")))</f>
        <v>0</v>
      </c>
      <c r="F781" s="4">
        <f>IF(OR(INDEX($AH$2:$AH$1001,MATCH(ROWS($AG$2:AG781),$AG$2:$AG$1001,0),1)&gt;=100000,INDEX($AN$1005:$BO$1005,1,MATCH(COLUMNS($AN$1006:AR1006),$AN$1006:$BO$1006,0))&gt;=100000), " ",IF(INDEX($AN$2:$BO$1001,MATCH(ROWS($AG$2:AG781),$AG$2:$AG$1001,0),MATCH(COLUMNS($AN$1006:AR1006),$AN$1006:$BO$1006,0)), HYPERLINK("#",""), HYPERLINK(CONCATENATE("#Metadata!", ADDRESS(INDEX($AI$2:$AI$1001,MATCH(ROWS($AG$2:AG781),$AG$2:$AG$1001,0),0), INDEX($AN$1004:$BO$1004,1,MATCH(COLUMNS($AN$1006:AR1006),$AN$1006:$BO$1006,0)))),"Fix")))</f>
        <v>0</v>
      </c>
      <c r="G781" s="4">
        <f>IF(OR(INDEX($AH$2:$AH$1001,MATCH(ROWS($AG$2:AG781),$AG$2:$AG$1001,0),1)&gt;=100000,INDEX($AN$1005:$BO$1005,1,MATCH(COLUMNS($AN$1006:AS1006),$AN$1006:$BO$1006,0))&gt;=100000), " ",IF(INDEX($AN$2:$BO$1001,MATCH(ROWS($AG$2:AG781),$AG$2:$AG$1001,0),MATCH(COLUMNS($AN$1006:AS1006),$AN$1006:$BO$1006,0)), HYPERLINK("#",""), HYPERLINK(CONCATENATE("#Metadata!", ADDRESS(INDEX($AI$2:$AI$1001,MATCH(ROWS($AG$2:AG781),$AG$2:$AG$1001,0),0), INDEX($AN$1004:$BO$1004,1,MATCH(COLUMNS($AN$1006:AS1006),$AN$1006:$BO$1006,0)))),"Fix")))</f>
        <v>0</v>
      </c>
      <c r="H781" s="4">
        <f>IF(OR(INDEX($AH$2:$AH$1001,MATCH(ROWS($AG$2:AG781),$AG$2:$AG$1001,0),1)&gt;=100000,INDEX($AN$1005:$BO$1005,1,MATCH(COLUMNS($AN$1006:AT1006),$AN$1006:$BO$1006,0))&gt;=100000), " ",IF(INDEX($AN$2:$BO$1001,MATCH(ROWS($AG$2:AG781),$AG$2:$AG$1001,0),MATCH(COLUMNS($AN$1006:AT1006),$AN$1006:$BO$1006,0)), HYPERLINK("#",""), HYPERLINK(CONCATENATE("#Metadata!", ADDRESS(INDEX($AI$2:$AI$1001,MATCH(ROWS($AG$2:AG781),$AG$2:$AG$1001,0),0), INDEX($AN$1004:$BO$1004,1,MATCH(COLUMNS($AN$1006:AT1006),$AN$1006:$BO$1006,0)))),"Fix")))</f>
        <v>0</v>
      </c>
      <c r="I781" s="4">
        <f>IF(OR(INDEX($AH$2:$AH$1001,MATCH(ROWS($AG$2:AG781),$AG$2:$AG$1001,0),1)&gt;=100000,INDEX($AN$1005:$BO$1005,1,MATCH(COLUMNS($AN$1006:AU1006),$AN$1006:$BO$1006,0))&gt;=100000), " ",IF(INDEX($AN$2:$BO$1001,MATCH(ROWS($AG$2:AG781),$AG$2:$AG$1001,0),MATCH(COLUMNS($AN$1006:AU1006),$AN$1006:$BO$1006,0)), HYPERLINK("#",""), HYPERLINK(CONCATENATE("#Metadata!", ADDRESS(INDEX($AI$2:$AI$1001,MATCH(ROWS($AG$2:AG781),$AG$2:$AG$1001,0),0), INDEX($AN$1004:$BO$1004,1,MATCH(COLUMNS($AN$1006:AU1006),$AN$1006:$BO$1006,0)))),"Fix")))</f>
        <v>0</v>
      </c>
      <c r="J781" s="4">
        <f>IF(OR(INDEX($AH$2:$AH$1001,MATCH(ROWS($AG$2:AG781),$AG$2:$AG$1001,0),1)&gt;=100000,INDEX($AN$1005:$BO$1005,1,MATCH(COLUMNS($AN$1006:AV1006),$AN$1006:$BO$1006,0))&gt;=100000), " ",IF(INDEX($AN$2:$BO$1001,MATCH(ROWS($AG$2:AG781),$AG$2:$AG$1001,0),MATCH(COLUMNS($AN$1006:AV1006),$AN$1006:$BO$1006,0)), HYPERLINK("#",""), HYPERLINK(CONCATENATE("#Metadata!", ADDRESS(INDEX($AI$2:$AI$1001,MATCH(ROWS($AG$2:AG781),$AG$2:$AG$1001,0),0), INDEX($AN$1004:$BO$1004,1,MATCH(COLUMNS($AN$1006:AV1006),$AN$1006:$BO$1006,0)))),"Fix")))</f>
        <v>0</v>
      </c>
      <c r="K781" s="4">
        <f>IF(OR(INDEX($AH$2:$AH$1001,MATCH(ROWS($AG$2:AG781),$AG$2:$AG$1001,0),1)&gt;=100000,INDEX($AN$1005:$BO$1005,1,MATCH(COLUMNS($AN$1006:AW1006),$AN$1006:$BO$1006,0))&gt;=100000), " ",IF(INDEX($AN$2:$BO$1001,MATCH(ROWS($AG$2:AG781),$AG$2:$AG$1001,0),MATCH(COLUMNS($AN$1006:AW1006),$AN$1006:$BO$1006,0)), HYPERLINK("#",""), HYPERLINK(CONCATENATE("#Metadata!", ADDRESS(INDEX($AI$2:$AI$1001,MATCH(ROWS($AG$2:AG781),$AG$2:$AG$1001,0),0), INDEX($AN$1004:$BO$1004,1,MATCH(COLUMNS($AN$1006:AW1006),$AN$1006:$BO$1006,0)))),"Fix")))</f>
        <v>0</v>
      </c>
      <c r="L781" s="4">
        <f>IF(OR(INDEX($AH$2:$AH$1001,MATCH(ROWS($AG$2:AG781),$AG$2:$AG$1001,0),1)&gt;=100000,INDEX($AN$1005:$BO$1005,1,MATCH(COLUMNS($AN$1006:AX1006),$AN$1006:$BO$1006,0))&gt;=100000), " ",IF(INDEX($AN$2:$BO$1001,MATCH(ROWS($AG$2:AG781),$AG$2:$AG$1001,0),MATCH(COLUMNS($AN$1006:AX1006),$AN$1006:$BO$1006,0)), HYPERLINK("#",""), HYPERLINK(CONCATENATE("#Metadata!", ADDRESS(INDEX($AI$2:$AI$1001,MATCH(ROWS($AG$2:AG781),$AG$2:$AG$1001,0),0), INDEX($AN$1004:$BO$1004,1,MATCH(COLUMNS($AN$1006:AX1006),$AN$1006:$BO$1006,0)))),"Fix")))</f>
        <v>0</v>
      </c>
      <c r="M781" s="4">
        <f>IF(OR(INDEX($AH$2:$AH$1001,MATCH(ROWS($AG$2:AG781),$AG$2:$AG$1001,0),1)&gt;=100000,INDEX($AN$1005:$BO$1005,1,MATCH(COLUMNS($AN$1006:AY1006),$AN$1006:$BO$1006,0))&gt;=100000), " ",IF(INDEX($AN$2:$BO$1001,MATCH(ROWS($AG$2:AG781),$AG$2:$AG$1001,0),MATCH(COLUMNS($AN$1006:AY1006),$AN$1006:$BO$1006,0)), HYPERLINK("#",""), HYPERLINK(CONCATENATE("#Metadata!", ADDRESS(INDEX($AI$2:$AI$1001,MATCH(ROWS($AG$2:AG781),$AG$2:$AG$1001,0),0), INDEX($AN$1004:$BO$1004,1,MATCH(COLUMNS($AN$1006:AY1006),$AN$1006:$BO$1006,0)))),"Fix")))</f>
        <v>0</v>
      </c>
      <c r="N781" s="4">
        <f>IF(OR(INDEX($AH$2:$AH$1001,MATCH(ROWS($AG$2:AG781),$AG$2:$AG$1001,0),1)&gt;=100000,INDEX($AN$1005:$BO$1005,1,MATCH(COLUMNS($AN$1006:AZ1006),$AN$1006:$BO$1006,0))&gt;=100000), " ",IF(INDEX($AN$2:$BO$1001,MATCH(ROWS($AG$2:AG781),$AG$2:$AG$1001,0),MATCH(COLUMNS($AN$1006:AZ1006),$AN$1006:$BO$1006,0)), HYPERLINK("#",""), HYPERLINK(CONCATENATE("#Metadata!", ADDRESS(INDEX($AI$2:$AI$1001,MATCH(ROWS($AG$2:AG781),$AG$2:$AG$1001,0),0), INDEX($AN$1004:$BO$1004,1,MATCH(COLUMNS($AN$1006:AZ1006),$AN$1006:$BO$1006,0)))),"Fix")))</f>
        <v>0</v>
      </c>
      <c r="O781" s="4">
        <f>IF(OR(INDEX($AH$2:$AH$1001,MATCH(ROWS($AG$2:AG781),$AG$2:$AG$1001,0),1)&gt;=100000,INDEX($AN$1005:$BO$1005,1,MATCH(COLUMNS($AN$1006:BA1006),$AN$1006:$BO$1006,0))&gt;=100000), " ",IF(INDEX($AN$2:$BO$1001,MATCH(ROWS($AG$2:AG781),$AG$2:$AG$1001,0),MATCH(COLUMNS($AN$1006:BA1006),$AN$1006:$BO$1006,0)), HYPERLINK("#",""), HYPERLINK(CONCATENATE("#Metadata!", ADDRESS(INDEX($AI$2:$AI$1001,MATCH(ROWS($AG$2:AG781),$AG$2:$AG$1001,0),0), INDEX($AN$1004:$BO$1004,1,MATCH(COLUMNS($AN$1006:BA1006),$AN$1006:$BO$1006,0)))),"Fix")))</f>
        <v>0</v>
      </c>
      <c r="P781" s="4">
        <f>IF(OR(INDEX($AH$2:$AH$1001,MATCH(ROWS($AG$2:AG781),$AG$2:$AG$1001,0),1)&gt;=100000,INDEX($AN$1005:$BO$1005,1,MATCH(COLUMNS($AN$1006:BB1006),$AN$1006:$BO$1006,0))&gt;=100000), " ",IF(INDEX($AN$2:$BO$1001,MATCH(ROWS($AG$2:AG781),$AG$2:$AG$1001,0),MATCH(COLUMNS($AN$1006:BB1006),$AN$1006:$BO$1006,0)), HYPERLINK("#",""), HYPERLINK(CONCATENATE("#Metadata!", ADDRESS(INDEX($AI$2:$AI$1001,MATCH(ROWS($AG$2:AG781),$AG$2:$AG$1001,0),0), INDEX($AN$1004:$BO$1004,1,MATCH(COLUMNS($AN$1006:BB1006),$AN$1006:$BO$1006,0)))),"Fix")))</f>
        <v>0</v>
      </c>
      <c r="Q781" s="4">
        <f>IF(OR(INDEX($AH$2:$AH$1001,MATCH(ROWS($AG$2:AG781),$AG$2:$AG$1001,0),1)&gt;=100000,INDEX($AN$1005:$BO$1005,1,MATCH(COLUMNS($AN$1006:BC1006),$AN$1006:$BO$1006,0))&gt;=100000), " ",IF(INDEX($AN$2:$BO$1001,MATCH(ROWS($AG$2:AG781),$AG$2:$AG$1001,0),MATCH(COLUMNS($AN$1006:BC1006),$AN$1006:$BO$1006,0)), HYPERLINK("#",""), HYPERLINK(CONCATENATE("#Metadata!", ADDRESS(INDEX($AI$2:$AI$1001,MATCH(ROWS($AG$2:AG781),$AG$2:$AG$1001,0),0), INDEX($AN$1004:$BO$1004,1,MATCH(COLUMNS($AN$1006:BC1006),$AN$1006:$BO$1006,0)))),"Fix")))</f>
        <v>0</v>
      </c>
      <c r="R781" s="4">
        <f>IF(OR(INDEX($AH$2:$AH$1001,MATCH(ROWS($AG$2:AG781),$AG$2:$AG$1001,0),1)&gt;=100000,INDEX($AN$1005:$BO$1005,1,MATCH(COLUMNS($AN$1006:BD1006),$AN$1006:$BO$1006,0))&gt;=100000), " ",IF(INDEX($AN$2:$BO$1001,MATCH(ROWS($AG$2:AG781),$AG$2:$AG$1001,0),MATCH(COLUMNS($AN$1006:BD1006),$AN$1006:$BO$1006,0)), HYPERLINK("#",""), HYPERLINK(CONCATENATE("#Metadata!", ADDRESS(INDEX($AI$2:$AI$1001,MATCH(ROWS($AG$2:AG781),$AG$2:$AG$1001,0),0), INDEX($AN$1004:$BO$1004,1,MATCH(COLUMNS($AN$1006:BD1006),$AN$1006:$BO$1006,0)))),"Fix")))</f>
        <v>0</v>
      </c>
      <c r="S781" s="4">
        <f>IF(OR(INDEX($AH$2:$AH$1001,MATCH(ROWS($AG$2:AG781),$AG$2:$AG$1001,0),1)&gt;=100000,INDEX($AN$1005:$BO$1005,1,MATCH(COLUMNS($AN$1006:BE1006),$AN$1006:$BO$1006,0))&gt;=100000), " ",IF(INDEX($AN$2:$BO$1001,MATCH(ROWS($AG$2:AG781),$AG$2:$AG$1001,0),MATCH(COLUMNS($AN$1006:BE1006),$AN$1006:$BO$1006,0)), HYPERLINK("#",""), HYPERLINK(CONCATENATE("#Metadata!", ADDRESS(INDEX($AI$2:$AI$1001,MATCH(ROWS($AG$2:AG781),$AG$2:$AG$1001,0),0), INDEX($AN$1004:$BO$1004,1,MATCH(COLUMNS($AN$1006:BE1006),$AN$1006:$BO$1006,0)))),"Fix")))</f>
        <v>0</v>
      </c>
      <c r="T781" s="4">
        <f>IF(OR(INDEX($AH$2:$AH$1001,MATCH(ROWS($AG$2:AG781),$AG$2:$AG$1001,0),1)&gt;=100000,INDEX($AN$1005:$BO$1005,1,MATCH(COLUMNS($AN$1006:BF1006),$AN$1006:$BO$1006,0))&gt;=100000), " ",IF(INDEX($AN$2:$BO$1001,MATCH(ROWS($AG$2:AG781),$AG$2:$AG$1001,0),MATCH(COLUMNS($AN$1006:BF1006),$AN$1006:$BO$1006,0)), HYPERLINK("#",""), HYPERLINK(CONCATENATE("#Metadata!", ADDRESS(INDEX($AI$2:$AI$1001,MATCH(ROWS($AG$2:AG781),$AG$2:$AG$1001,0),0), INDEX($AN$1004:$BO$1004,1,MATCH(COLUMNS($AN$1006:BF1006),$AN$1006:$BO$1006,0)))),"Fix")))</f>
        <v>0</v>
      </c>
      <c r="U781" s="4">
        <f>IF(OR(INDEX($AH$2:$AH$1001,MATCH(ROWS($AG$2:AG781),$AG$2:$AG$1001,0),1)&gt;=100000,INDEX($AN$1005:$BO$1005,1,MATCH(COLUMNS($AN$1006:BG1006),$AN$1006:$BO$1006,0))&gt;=100000), " ",IF(INDEX($AN$2:$BO$1001,MATCH(ROWS($AG$2:AG781),$AG$2:$AG$1001,0),MATCH(COLUMNS($AN$1006:BG1006),$AN$1006:$BO$1006,0)), HYPERLINK("#",""), HYPERLINK(CONCATENATE("#Metadata!", ADDRESS(INDEX($AI$2:$AI$1001,MATCH(ROWS($AG$2:AG781),$AG$2:$AG$1001,0),0), INDEX($AN$1004:$BO$1004,1,MATCH(COLUMNS($AN$1006:BG1006),$AN$1006:$BO$1006,0)))),"Fix")))</f>
        <v>0</v>
      </c>
      <c r="V781" s="4">
        <f>IF(OR(INDEX($AH$2:$AH$1001,MATCH(ROWS($AG$2:AG781),$AG$2:$AG$1001,0),1)&gt;=100000,INDEX($AN$1005:$BO$1005,1,MATCH(COLUMNS($AN$1006:BH1006),$AN$1006:$BO$1006,0))&gt;=100000), " ",IF(INDEX($AN$2:$BO$1001,MATCH(ROWS($AG$2:AG781),$AG$2:$AG$1001,0),MATCH(COLUMNS($AN$1006:BH1006),$AN$1006:$BO$1006,0)), HYPERLINK("#",""), HYPERLINK(CONCATENATE("#Metadata!", ADDRESS(INDEX($AI$2:$AI$1001,MATCH(ROWS($AG$2:AG781),$AG$2:$AG$1001,0),0), INDEX($AN$1004:$BO$1004,1,MATCH(COLUMNS($AN$1006:BH1006),$AN$1006:$BO$1006,0)))),"Fix")))</f>
        <v>0</v>
      </c>
      <c r="W781" s="4">
        <f>IF(OR(INDEX($AH$2:$AH$1001,MATCH(ROWS($AG$2:AG781),$AG$2:$AG$1001,0),1)&gt;=100000,INDEX($AN$1005:$BO$1005,1,MATCH(COLUMNS($AN$1006:BI1006),$AN$1006:$BO$1006,0))&gt;=100000), " ",IF(INDEX($AN$2:$BO$1001,MATCH(ROWS($AG$2:AG781),$AG$2:$AG$1001,0),MATCH(COLUMNS($AN$1006:BI1006),$AN$1006:$BO$1006,0)), HYPERLINK("#",""), HYPERLINK(CONCATENATE("#Metadata!", ADDRESS(INDEX($AI$2:$AI$1001,MATCH(ROWS($AG$2:AG781),$AG$2:$AG$1001,0),0), INDEX($AN$1004:$BO$1004,1,MATCH(COLUMNS($AN$1006:BI1006),$AN$1006:$BO$1006,0)))),"Fix")))</f>
        <v>0</v>
      </c>
      <c r="X781" s="4">
        <f>IF(OR(INDEX($AH$2:$AH$1001,MATCH(ROWS($AG$2:AG781),$AG$2:$AG$1001,0),1)&gt;=100000,INDEX($AN$1005:$BO$1005,1,MATCH(COLUMNS($AN$1006:BJ1006),$AN$1006:$BO$1006,0))&gt;=100000), " ",IF(INDEX($AN$2:$BO$1001,MATCH(ROWS($AG$2:AG781),$AG$2:$AG$1001,0),MATCH(COLUMNS($AN$1006:BJ1006),$AN$1006:$BO$1006,0)), HYPERLINK("#",""), HYPERLINK(CONCATENATE("#Metadata!", ADDRESS(INDEX($AI$2:$AI$1001,MATCH(ROWS($AG$2:AG781),$AG$2:$AG$1001,0),0), INDEX($AN$1004:$BO$1004,1,MATCH(COLUMNS($AN$1006:BJ1006),$AN$1006:$BO$1006,0)))),"Fix")))</f>
        <v>0</v>
      </c>
      <c r="Y781" s="4">
        <f>IF(OR(INDEX($AH$2:$AH$1001,MATCH(ROWS($AG$2:AG781),$AG$2:$AG$1001,0),1)&gt;=100000,INDEX($AN$1005:$BO$1005,1,MATCH(COLUMNS($AN$1006:BK1006),$AN$1006:$BO$1006,0))&gt;=100000), " ",IF(INDEX($AN$2:$BO$1001,MATCH(ROWS($AG$2:AG781),$AG$2:$AG$1001,0),MATCH(COLUMNS($AN$1006:BK1006),$AN$1006:$BO$1006,0)), HYPERLINK("#",""), HYPERLINK(CONCATENATE("#Metadata!", ADDRESS(INDEX($AI$2:$AI$1001,MATCH(ROWS($AG$2:AG781),$AG$2:$AG$1001,0),0), INDEX($AN$1004:$BO$1004,1,MATCH(COLUMNS($AN$1006:BK1006),$AN$1006:$BO$1006,0)))),"Fix")))</f>
        <v>0</v>
      </c>
      <c r="Z781" s="4">
        <f>IF(OR(INDEX($AH$2:$AH$1001,MATCH(ROWS($AG$2:AG781),$AG$2:$AG$1001,0),1)&gt;=100000,INDEX($AN$1005:$BO$1005,1,MATCH(COLUMNS($AN$1006:BL1006),$AN$1006:$BO$1006,0))&gt;=100000), " ",IF(INDEX($AN$2:$BO$1001,MATCH(ROWS($AG$2:AG781),$AG$2:$AG$1001,0),MATCH(COLUMNS($AN$1006:BL1006),$AN$1006:$BO$1006,0)), HYPERLINK("#",""), HYPERLINK(CONCATENATE("#Metadata!", ADDRESS(INDEX($AI$2:$AI$1001,MATCH(ROWS($AG$2:AG781),$AG$2:$AG$1001,0),0), INDEX($AN$1004:$BO$1004,1,MATCH(COLUMNS($AN$1006:BL1006),$AN$1006:$BO$1006,0)))),"Fix")))</f>
        <v>0</v>
      </c>
      <c r="AA781" s="4">
        <f>IF(OR(INDEX($AH$2:$AH$1001,MATCH(ROWS($AG$2:AG781),$AG$2:$AG$1001,0),1)&gt;=100000,INDEX($AN$1005:$BO$1005,1,MATCH(COLUMNS($AN$1006:BM1006),$AN$1006:$BO$1006,0))&gt;=100000), " ",IF(INDEX($AN$2:$BO$1001,MATCH(ROWS($AG$2:AG781),$AG$2:$AG$1001,0),MATCH(COLUMNS($AN$1006:BM1006),$AN$1006:$BO$1006,0)), HYPERLINK("#",""), HYPERLINK(CONCATENATE("#Metadata!", ADDRESS(INDEX($AI$2:$AI$1001,MATCH(ROWS($AG$2:AG781),$AG$2:$AG$1001,0),0), INDEX($AN$1004:$BO$1004,1,MATCH(COLUMNS($AN$1006:BM1006),$AN$1006:$BO$1006,0)))),"Fix")))</f>
        <v>0</v>
      </c>
      <c r="AB781" s="4">
        <f>IF(OR(INDEX($AH$2:$AH$1001,MATCH(ROWS($AG$2:AG781),$AG$2:$AG$1001,0),1)&gt;=100000,INDEX($AN$1005:$BO$1005,1,MATCH(COLUMNS($AN$1006:BN1006),$AN$1006:$BO$1006,0))&gt;=100000), " ",IF(INDEX($AN$2:$BO$1001,MATCH(ROWS($AG$2:AG781),$AG$2:$AG$1001,0),MATCH(COLUMNS($AN$1006:BN1006),$AN$1006:$BO$1006,0)), HYPERLINK("#",""), HYPERLINK(CONCATENATE("#Metadata!", ADDRESS(INDEX($AI$2:$AI$1001,MATCH(ROWS($AG$2:AG781),$AG$2:$AG$1001,0),0), INDEX($AN$1004:$BO$1004,1,MATCH(COLUMNS($AN$1006:BN1006),$AN$1006:$BO$1006,0)))),"Fix")))</f>
        <v>0</v>
      </c>
      <c r="AC781" s="4">
        <f>IF(OR(INDEX($AH$2:$AH$1001,MATCH(ROWS($AG$2:AG781),$AG$2:$AG$1001,0),1)&gt;=100000,INDEX($AN$1005:$BO$1005,1,MATCH(COLUMNS($AN$1006:BO1006),$AN$1006:$BO$1006,0))&gt;=100000), " ",IF(INDEX($AN$2:$BO$1001,MATCH(ROWS($AG$2:AG781),$AG$2:$AG$1001,0),MATCH(COLUMNS($AN$1006:BO1006),$AN$1006:$BO$1006,0)), HYPERLINK("#",""), HYPERLINK(CONCATENATE("#Metadata!", ADDRESS(INDEX($AI$2:$AI$1001,MATCH(ROWS($AG$2:AG781),$AG$2:$AG$1001,0),0), INDEX($AN$1004:$BO$1004,1,MATCH(COLUMNS($AN$1006:BO1006),$AN$1006:$BO$1006,0)))),"Fix")))</f>
        <v>0</v>
      </c>
      <c r="AG781">
        <v>0</v>
      </c>
      <c r="AH781">
        <v>0</v>
      </c>
      <c r="AI781">
        <v>0</v>
      </c>
      <c r="AJ781">
        <f>IF(AK781,TRUE,AND(AN781:BO781))</f>
        <v>0</v>
      </c>
      <c r="AK781">
        <f>COUNTBLANK(Metadata!B781:AC781)=COLUMNS(Metadata!B781:AC781)</f>
        <v>0</v>
      </c>
      <c r="AL781">
        <v>0</v>
      </c>
      <c r="AN781">
        <f>AND(IF(Metadata!B781="",FALSE,TRUE),COUNTIF(Metadata!B:B, Metadata!B781) = 1,NOT(ISERROR(SUMPRODUCT(SEARCH(MID(Metadata!B781,ROW(INDIRECT("1:"&amp;LEN(Metadata!B781))), 1),"0123456789abcdefghijklmnopqrstuvwxyzABCDEFGHIJKLMNOPQRSTUVWXYZ.")))))</f>
        <v>0</v>
      </c>
      <c r="AO781">
        <f>IF(Metadata!C781="",FALSE,TRUE)</f>
        <v>0</v>
      </c>
      <c r="AP781">
        <f>IF(Metadata!D781="",FALSE,TRUE)</f>
        <v>0</v>
      </c>
      <c r="AQ781">
        <f>OR(AND(IF(Metadata!E781="",FALSE,TRUE),OR(exact(Metadata!E781,"not collected"),exact(Metadata!E781,"not provided"),exact(Metadata!E781,"restricted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R781">
        <f>IF(Metadata!F781="",FALSE,TRUE)</f>
        <v>0</v>
      </c>
      <c r="AS781">
        <f>OR(AND(IF(Metadata!G781="",FALSE,TRUE),OR(exact(Metadata!G781,"not collected"),exact(Metadata!G781,"not provided"))),AND(IF(Metadata!G781="",FALSE,TRUE),OR(exact(Metadata!G781,"TRUE"),exact(Metadata!G781,"FALSE"))))</f>
        <v>0</v>
      </c>
      <c r="AT781">
        <f>OR(AND(IF(Metadata!H781="",FALSE,TRUE),OR(exact(Metadata!H781,"not collected"),exact(Metadata!H781,"not provided"),exact(Metadata!H781,"restricted access"))),AND(IF(Metadata!H781="",FALSE,ISNUMBER(VALUE(Metadata!H781))),Metadata!H781&gt;=-413.0))</f>
        <v>0</v>
      </c>
      <c r="AU781">
        <f>AND(IF(Metadata!I781="",FALSE,TRUE),exact(Metadata!I781,"meters"))</f>
        <v>0</v>
      </c>
      <c r="AV781">
        <f>AND(IF(Metadata!J781="",FALSE,TRUE),OR(exact(Metadata!J781,"Host-associated"),exact(Metadata!J781,"Free-living")))</f>
        <v>0</v>
      </c>
      <c r="AW781">
        <f>AND(IF(Metadata!K781="",FALSE,TRUE),OR(exact(Metadata!K781,"Animal"),exact(Metadata!K781,"Fungus"),exact(Metadata!K781,"Plant"),exact(Metadata!K781,"Saline"),exact(Metadata!K781,"Non-saline")))</f>
        <v>0</v>
      </c>
      <c r="AX781">
        <f>AND(IF(Metadata!L781="",FALSE,TRUE),OR(exact(Metadata!L781,"Plant secretion"),exact(Metadata!L781,"Plant rhizosphere"),exact(Metadata!L781,"Plant surface"),exact(Metadata!L781,"Plant corpus"),exact(Metadata!L781,"Fungus surface"),exact(Metadata!L781,"Fungus corpus"),exact(Metadata!L781,"Animal surface"),exact(Metadata!L781,"Animal proximal gut"),exact(Metadata!L781,"Animal corpus"),exact(Metadata!L781,"Animal distal gut"),exact(Metadata!L781,"Animal secretion"),exact(Metadata!L781,"Sub-surface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Y781">
        <f>IF(Metadata!M781="",FALSE,TRUE)</f>
        <v>0</v>
      </c>
      <c r="AZ781">
        <f>IF(Metadata!N781="",FALSE,TRUE)</f>
        <v>0</v>
      </c>
      <c r="BA781">
        <f>IF(Metadata!O781="",FALSE,TRUE)</f>
        <v>0</v>
      </c>
      <c r="BB781">
        <f>OR(AND(IF(Metadata!P781="",FALSE,TRUE),OR(exact(Metadata!P781,"not collected"),exact(Metadata!P781,"not provided"),exact(Metadata!P781,"restricted access"))),AND(IF(Metadata!P781="",FALSE,TRUE),OR(exact(Metadata!P781,"air"),exact(Metadata!P781,"built environment"),exact(Metadata!P781,"host-associated"),exact(Metadata!P781,"human-associated"),exact(Metadata!P781,"human-skin"),exact(Metadata!P781,"human-oral"),exact(Metadata!P781,"human-gut"),exact(Metadata!P781,"human-vaginal"),exact(Metadata!P781,"microbial mat/biofilm"),exact(Metadata!P781,"misc environment"),exact(Metadata!P781,"plant-associated"),exact(Metadata!P781,"sediment"),exact(Metadata!P781,"soil"),exact(Metadata!P781,"wastewater/sludge"),exact(Metadata!P781,"water"))))</f>
        <v>0</v>
      </c>
      <c r="BC781">
        <f>IF(Metadata!Q781="",FALSE,TRUE)</f>
        <v>0</v>
      </c>
      <c r="BD781">
        <f>IF(Metadata!R781="",FALSE,TRUE)</f>
        <v>0</v>
      </c>
      <c r="BE781">
        <f>OR(AND(IF(Metadata!S781="",FALSE,TRUE),OR(exact(Metadata!S781,"not collected"),exact(Metadata!S781,"not provided"),exact(Metadata!S781,"restricted access"))),AND(IF(Metadata!S781="",FALSE,ISNUMBER(VALUE(Metadata!S781))),Metadata!S781&gt;=-90.00,Metadata!S781&lt;=90.00))</f>
        <v>0</v>
      </c>
      <c r="BF781">
        <f>AND(IF(Metadata!T781="",FALSE,TRUE),exact(Metadata!T781,"Decimal degrees"))</f>
        <v>0</v>
      </c>
      <c r="BG781">
        <f>OR(AND(IF(Metadata!U781="",FALSE,TRUE),OR(exact(Metadata!U781,"not collected"),exact(Metadata!U781,"not provided"),exact(Metadata!U781,"restricted access"))),AND(IF(Metadata!U781="",FALSE,ISNUMBER(VALUE(Metadata!U781))),Metadata!U781&gt;=-180.00,Metadata!U781&lt;=180.00))</f>
        <v>0</v>
      </c>
      <c r="BH781">
        <f>AND(IF(Metadata!V781="",FALSE,TRUE),exact(Metadata!V781,"Decimal degrees"))</f>
        <v>0</v>
      </c>
      <c r="BI781">
        <f>IF(Metadata!W781="",FALSE,TRUE)</f>
        <v>0</v>
      </c>
      <c r="BJ781">
        <f>OR(AND(IF(Metadata!X781="",FALSE,TRUE),OR(exact(Metadata!X781,"not collected"),exact(Metadata!X781,"not provided"),exact(Metadata!X781,"restricted access"))),AND(IF(Metadata!X781="",FALSE,TRUE),OR(exact(Metadata!X781,"TRUE"),exact(Metadata!X781,"FALSE"))))</f>
        <v>0</v>
      </c>
      <c r="BK781">
        <f>AND(IF(Metadata!Y781="",FALSE,TRUE),exact(Metadata!Y781,"other"))</f>
        <v>0</v>
      </c>
      <c r="BL781">
        <f>IF(Metadata!Z781="",FALSE,TRUE)</f>
        <v>0</v>
      </c>
      <c r="BM781">
        <f>OR(AND(IF(Metadata!AA781="",FALSE,TRUE),OR(exact(Metadata!AA781,"not collected"),exact(Metadata!AA781,"not provided"))),AND(IF(Metadata!AA781="",FALSE,IF(ISERROR(INT(Metadata!AA781)),FALSE,INT(Metadata!AA781)=Metadata!AA781)),Metadata!AA781&gt;0))</f>
        <v>0</v>
      </c>
      <c r="BN781">
        <f>AND(IF(Metadata!AB781="",FALSE,TRUE),exact(Metadata!AB781,"Not applicable"))</f>
        <v>0</v>
      </c>
      <c r="BO781">
        <f>IF(Metadata!AC781="",FALSE,TRUE)</f>
        <v>0</v>
      </c>
    </row>
    <row r="782" spans="1:67">
      <c r="A782" s="5">
        <f>IF(B782=" "," ",HYPERLINK(CONCATENATE("#metadata!",ADDRESS(INDEX($AI$2:$AI$1001,MATCH(ROWS($AG$2:AG782),$AG$2:$AG$1001,0),0),1)),INDEX($AL$2:$AL$1001,MATCH(ROWS($AG$2:AG782),$AG$2:$AG$1001,0),0)))</f>
        <v>0</v>
      </c>
      <c r="B782" s="4">
        <f>IF(OR(INDEX($AH$2:$AH$1001,MATCH(ROWS($AG$2:AG782),$AG$2:$AG$1001,0),1)&gt;=100000,INDEX($AN$1005:$BO$1005,1,MATCH(COLUMNS($AN$1006:AN1006),$AN$1006:$BO$1006,0))&gt;=100000), " ",IF(INDEX($AN$2:$BO$1001,MATCH(ROWS($AG$2:AG782),$AG$2:$AG$1001,0),MATCH(COLUMNS($AN$1006:AN1006),$AN$1006:$BO$1006,0)), HYPERLINK("#",""), HYPERLINK(CONCATENATE("#Metadata!", ADDRESS(INDEX($AI$2:$AI$1001,MATCH(ROWS($AG$2:AG782),$AG$2:$AG$1001,0),0), INDEX($AN$1004:$BO$1004,1,MATCH(COLUMNS($AN$1006:AN1006),$AN$1006:$BO$1006,0)))),"Fix")))</f>
        <v>0</v>
      </c>
      <c r="C782" s="4">
        <f>IF(OR(INDEX($AH$2:$AH$1001,MATCH(ROWS($AG$2:AG782),$AG$2:$AG$1001,0),1)&gt;=100000,INDEX($AN$1005:$BO$1005,1,MATCH(COLUMNS($AN$1006:AO1006),$AN$1006:$BO$1006,0))&gt;=100000), " ",IF(INDEX($AN$2:$BO$1001,MATCH(ROWS($AG$2:AG782),$AG$2:$AG$1001,0),MATCH(COLUMNS($AN$1006:AO1006),$AN$1006:$BO$1006,0)), HYPERLINK("#",""), HYPERLINK(CONCATENATE("#Metadata!", ADDRESS(INDEX($AI$2:$AI$1001,MATCH(ROWS($AG$2:AG782),$AG$2:$AG$1001,0),0), INDEX($AN$1004:$BO$1004,1,MATCH(COLUMNS($AN$1006:AO1006),$AN$1006:$BO$1006,0)))),"Fix")))</f>
        <v>0</v>
      </c>
      <c r="D782" s="4">
        <f>IF(OR(INDEX($AH$2:$AH$1001,MATCH(ROWS($AG$2:AG782),$AG$2:$AG$1001,0),1)&gt;=100000,INDEX($AN$1005:$BO$1005,1,MATCH(COLUMNS($AN$1006:AP1006),$AN$1006:$BO$1006,0))&gt;=100000), " ",IF(INDEX($AN$2:$BO$1001,MATCH(ROWS($AG$2:AG782),$AG$2:$AG$1001,0),MATCH(COLUMNS($AN$1006:AP1006),$AN$1006:$BO$1006,0)), HYPERLINK("#",""), HYPERLINK(CONCATENATE("#Metadata!", ADDRESS(INDEX($AI$2:$AI$1001,MATCH(ROWS($AG$2:AG782),$AG$2:$AG$1001,0),0), INDEX($AN$1004:$BO$1004,1,MATCH(COLUMNS($AN$1006:AP1006),$AN$1006:$BO$1006,0)))),"Fix")))</f>
        <v>0</v>
      </c>
      <c r="E782" s="4">
        <f>IF(OR(INDEX($AH$2:$AH$1001,MATCH(ROWS($AG$2:AG782),$AG$2:$AG$1001,0),1)&gt;=100000,INDEX($AN$1005:$BO$1005,1,MATCH(COLUMNS($AN$1006:AQ1006),$AN$1006:$BO$1006,0))&gt;=100000), " ",IF(INDEX($AN$2:$BO$1001,MATCH(ROWS($AG$2:AG782),$AG$2:$AG$1001,0),MATCH(COLUMNS($AN$1006:AQ1006),$AN$1006:$BO$1006,0)), HYPERLINK("#",""), HYPERLINK(CONCATENATE("#Metadata!", ADDRESS(INDEX($AI$2:$AI$1001,MATCH(ROWS($AG$2:AG782),$AG$2:$AG$1001,0),0), INDEX($AN$1004:$BO$1004,1,MATCH(COLUMNS($AN$1006:AQ1006),$AN$1006:$BO$1006,0)))),"Fix")))</f>
        <v>0</v>
      </c>
      <c r="F782" s="4">
        <f>IF(OR(INDEX($AH$2:$AH$1001,MATCH(ROWS($AG$2:AG782),$AG$2:$AG$1001,0),1)&gt;=100000,INDEX($AN$1005:$BO$1005,1,MATCH(COLUMNS($AN$1006:AR1006),$AN$1006:$BO$1006,0))&gt;=100000), " ",IF(INDEX($AN$2:$BO$1001,MATCH(ROWS($AG$2:AG782),$AG$2:$AG$1001,0),MATCH(COLUMNS($AN$1006:AR1006),$AN$1006:$BO$1006,0)), HYPERLINK("#",""), HYPERLINK(CONCATENATE("#Metadata!", ADDRESS(INDEX($AI$2:$AI$1001,MATCH(ROWS($AG$2:AG782),$AG$2:$AG$1001,0),0), INDEX($AN$1004:$BO$1004,1,MATCH(COLUMNS($AN$1006:AR1006),$AN$1006:$BO$1006,0)))),"Fix")))</f>
        <v>0</v>
      </c>
      <c r="G782" s="4">
        <f>IF(OR(INDEX($AH$2:$AH$1001,MATCH(ROWS($AG$2:AG782),$AG$2:$AG$1001,0),1)&gt;=100000,INDEX($AN$1005:$BO$1005,1,MATCH(COLUMNS($AN$1006:AS1006),$AN$1006:$BO$1006,0))&gt;=100000), " ",IF(INDEX($AN$2:$BO$1001,MATCH(ROWS($AG$2:AG782),$AG$2:$AG$1001,0),MATCH(COLUMNS($AN$1006:AS1006),$AN$1006:$BO$1006,0)), HYPERLINK("#",""), HYPERLINK(CONCATENATE("#Metadata!", ADDRESS(INDEX($AI$2:$AI$1001,MATCH(ROWS($AG$2:AG782),$AG$2:$AG$1001,0),0), INDEX($AN$1004:$BO$1004,1,MATCH(COLUMNS($AN$1006:AS1006),$AN$1006:$BO$1006,0)))),"Fix")))</f>
        <v>0</v>
      </c>
      <c r="H782" s="4">
        <f>IF(OR(INDEX($AH$2:$AH$1001,MATCH(ROWS($AG$2:AG782),$AG$2:$AG$1001,0),1)&gt;=100000,INDEX($AN$1005:$BO$1005,1,MATCH(COLUMNS($AN$1006:AT1006),$AN$1006:$BO$1006,0))&gt;=100000), " ",IF(INDEX($AN$2:$BO$1001,MATCH(ROWS($AG$2:AG782),$AG$2:$AG$1001,0),MATCH(COLUMNS($AN$1006:AT1006),$AN$1006:$BO$1006,0)), HYPERLINK("#",""), HYPERLINK(CONCATENATE("#Metadata!", ADDRESS(INDEX($AI$2:$AI$1001,MATCH(ROWS($AG$2:AG782),$AG$2:$AG$1001,0),0), INDEX($AN$1004:$BO$1004,1,MATCH(COLUMNS($AN$1006:AT1006),$AN$1006:$BO$1006,0)))),"Fix")))</f>
        <v>0</v>
      </c>
      <c r="I782" s="4">
        <f>IF(OR(INDEX($AH$2:$AH$1001,MATCH(ROWS($AG$2:AG782),$AG$2:$AG$1001,0),1)&gt;=100000,INDEX($AN$1005:$BO$1005,1,MATCH(COLUMNS($AN$1006:AU1006),$AN$1006:$BO$1006,0))&gt;=100000), " ",IF(INDEX($AN$2:$BO$1001,MATCH(ROWS($AG$2:AG782),$AG$2:$AG$1001,0),MATCH(COLUMNS($AN$1006:AU1006),$AN$1006:$BO$1006,0)), HYPERLINK("#",""), HYPERLINK(CONCATENATE("#Metadata!", ADDRESS(INDEX($AI$2:$AI$1001,MATCH(ROWS($AG$2:AG782),$AG$2:$AG$1001,0),0), INDEX($AN$1004:$BO$1004,1,MATCH(COLUMNS($AN$1006:AU1006),$AN$1006:$BO$1006,0)))),"Fix")))</f>
        <v>0</v>
      </c>
      <c r="J782" s="4">
        <f>IF(OR(INDEX($AH$2:$AH$1001,MATCH(ROWS($AG$2:AG782),$AG$2:$AG$1001,0),1)&gt;=100000,INDEX($AN$1005:$BO$1005,1,MATCH(COLUMNS($AN$1006:AV1006),$AN$1006:$BO$1006,0))&gt;=100000), " ",IF(INDEX($AN$2:$BO$1001,MATCH(ROWS($AG$2:AG782),$AG$2:$AG$1001,0),MATCH(COLUMNS($AN$1006:AV1006),$AN$1006:$BO$1006,0)), HYPERLINK("#",""), HYPERLINK(CONCATENATE("#Metadata!", ADDRESS(INDEX($AI$2:$AI$1001,MATCH(ROWS($AG$2:AG782),$AG$2:$AG$1001,0),0), INDEX($AN$1004:$BO$1004,1,MATCH(COLUMNS($AN$1006:AV1006),$AN$1006:$BO$1006,0)))),"Fix")))</f>
        <v>0</v>
      </c>
      <c r="K782" s="4">
        <f>IF(OR(INDEX($AH$2:$AH$1001,MATCH(ROWS($AG$2:AG782),$AG$2:$AG$1001,0),1)&gt;=100000,INDEX($AN$1005:$BO$1005,1,MATCH(COLUMNS($AN$1006:AW1006),$AN$1006:$BO$1006,0))&gt;=100000), " ",IF(INDEX($AN$2:$BO$1001,MATCH(ROWS($AG$2:AG782),$AG$2:$AG$1001,0),MATCH(COLUMNS($AN$1006:AW1006),$AN$1006:$BO$1006,0)), HYPERLINK("#",""), HYPERLINK(CONCATENATE("#Metadata!", ADDRESS(INDEX($AI$2:$AI$1001,MATCH(ROWS($AG$2:AG782),$AG$2:$AG$1001,0),0), INDEX($AN$1004:$BO$1004,1,MATCH(COLUMNS($AN$1006:AW1006),$AN$1006:$BO$1006,0)))),"Fix")))</f>
        <v>0</v>
      </c>
      <c r="L782" s="4">
        <f>IF(OR(INDEX($AH$2:$AH$1001,MATCH(ROWS($AG$2:AG782),$AG$2:$AG$1001,0),1)&gt;=100000,INDEX($AN$1005:$BO$1005,1,MATCH(COLUMNS($AN$1006:AX1006),$AN$1006:$BO$1006,0))&gt;=100000), " ",IF(INDEX($AN$2:$BO$1001,MATCH(ROWS($AG$2:AG782),$AG$2:$AG$1001,0),MATCH(COLUMNS($AN$1006:AX1006),$AN$1006:$BO$1006,0)), HYPERLINK("#",""), HYPERLINK(CONCATENATE("#Metadata!", ADDRESS(INDEX($AI$2:$AI$1001,MATCH(ROWS($AG$2:AG782),$AG$2:$AG$1001,0),0), INDEX($AN$1004:$BO$1004,1,MATCH(COLUMNS($AN$1006:AX1006),$AN$1006:$BO$1006,0)))),"Fix")))</f>
        <v>0</v>
      </c>
      <c r="M782" s="4">
        <f>IF(OR(INDEX($AH$2:$AH$1001,MATCH(ROWS($AG$2:AG782),$AG$2:$AG$1001,0),1)&gt;=100000,INDEX($AN$1005:$BO$1005,1,MATCH(COLUMNS($AN$1006:AY1006),$AN$1006:$BO$1006,0))&gt;=100000), " ",IF(INDEX($AN$2:$BO$1001,MATCH(ROWS($AG$2:AG782),$AG$2:$AG$1001,0),MATCH(COLUMNS($AN$1006:AY1006),$AN$1006:$BO$1006,0)), HYPERLINK("#",""), HYPERLINK(CONCATENATE("#Metadata!", ADDRESS(INDEX($AI$2:$AI$1001,MATCH(ROWS($AG$2:AG782),$AG$2:$AG$1001,0),0), INDEX($AN$1004:$BO$1004,1,MATCH(COLUMNS($AN$1006:AY1006),$AN$1006:$BO$1006,0)))),"Fix")))</f>
        <v>0</v>
      </c>
      <c r="N782" s="4">
        <f>IF(OR(INDEX($AH$2:$AH$1001,MATCH(ROWS($AG$2:AG782),$AG$2:$AG$1001,0),1)&gt;=100000,INDEX($AN$1005:$BO$1005,1,MATCH(COLUMNS($AN$1006:AZ1006),$AN$1006:$BO$1006,0))&gt;=100000), " ",IF(INDEX($AN$2:$BO$1001,MATCH(ROWS($AG$2:AG782),$AG$2:$AG$1001,0),MATCH(COLUMNS($AN$1006:AZ1006),$AN$1006:$BO$1006,0)), HYPERLINK("#",""), HYPERLINK(CONCATENATE("#Metadata!", ADDRESS(INDEX($AI$2:$AI$1001,MATCH(ROWS($AG$2:AG782),$AG$2:$AG$1001,0),0), INDEX($AN$1004:$BO$1004,1,MATCH(COLUMNS($AN$1006:AZ1006),$AN$1006:$BO$1006,0)))),"Fix")))</f>
        <v>0</v>
      </c>
      <c r="O782" s="4">
        <f>IF(OR(INDEX($AH$2:$AH$1001,MATCH(ROWS($AG$2:AG782),$AG$2:$AG$1001,0),1)&gt;=100000,INDEX($AN$1005:$BO$1005,1,MATCH(COLUMNS($AN$1006:BA1006),$AN$1006:$BO$1006,0))&gt;=100000), " ",IF(INDEX($AN$2:$BO$1001,MATCH(ROWS($AG$2:AG782),$AG$2:$AG$1001,0),MATCH(COLUMNS($AN$1006:BA1006),$AN$1006:$BO$1006,0)), HYPERLINK("#",""), HYPERLINK(CONCATENATE("#Metadata!", ADDRESS(INDEX($AI$2:$AI$1001,MATCH(ROWS($AG$2:AG782),$AG$2:$AG$1001,0),0), INDEX($AN$1004:$BO$1004,1,MATCH(COLUMNS($AN$1006:BA1006),$AN$1006:$BO$1006,0)))),"Fix")))</f>
        <v>0</v>
      </c>
      <c r="P782" s="4">
        <f>IF(OR(INDEX($AH$2:$AH$1001,MATCH(ROWS($AG$2:AG782),$AG$2:$AG$1001,0),1)&gt;=100000,INDEX($AN$1005:$BO$1005,1,MATCH(COLUMNS($AN$1006:BB1006),$AN$1006:$BO$1006,0))&gt;=100000), " ",IF(INDEX($AN$2:$BO$1001,MATCH(ROWS($AG$2:AG782),$AG$2:$AG$1001,0),MATCH(COLUMNS($AN$1006:BB1006),$AN$1006:$BO$1006,0)), HYPERLINK("#",""), HYPERLINK(CONCATENATE("#Metadata!", ADDRESS(INDEX($AI$2:$AI$1001,MATCH(ROWS($AG$2:AG782),$AG$2:$AG$1001,0),0), INDEX($AN$1004:$BO$1004,1,MATCH(COLUMNS($AN$1006:BB1006),$AN$1006:$BO$1006,0)))),"Fix")))</f>
        <v>0</v>
      </c>
      <c r="Q782" s="4">
        <f>IF(OR(INDEX($AH$2:$AH$1001,MATCH(ROWS($AG$2:AG782),$AG$2:$AG$1001,0),1)&gt;=100000,INDEX($AN$1005:$BO$1005,1,MATCH(COLUMNS($AN$1006:BC1006),$AN$1006:$BO$1006,0))&gt;=100000), " ",IF(INDEX($AN$2:$BO$1001,MATCH(ROWS($AG$2:AG782),$AG$2:$AG$1001,0),MATCH(COLUMNS($AN$1006:BC1006),$AN$1006:$BO$1006,0)), HYPERLINK("#",""), HYPERLINK(CONCATENATE("#Metadata!", ADDRESS(INDEX($AI$2:$AI$1001,MATCH(ROWS($AG$2:AG782),$AG$2:$AG$1001,0),0), INDEX($AN$1004:$BO$1004,1,MATCH(COLUMNS($AN$1006:BC1006),$AN$1006:$BO$1006,0)))),"Fix")))</f>
        <v>0</v>
      </c>
      <c r="R782" s="4">
        <f>IF(OR(INDEX($AH$2:$AH$1001,MATCH(ROWS($AG$2:AG782),$AG$2:$AG$1001,0),1)&gt;=100000,INDEX($AN$1005:$BO$1005,1,MATCH(COLUMNS($AN$1006:BD1006),$AN$1006:$BO$1006,0))&gt;=100000), " ",IF(INDEX($AN$2:$BO$1001,MATCH(ROWS($AG$2:AG782),$AG$2:$AG$1001,0),MATCH(COLUMNS($AN$1006:BD1006),$AN$1006:$BO$1006,0)), HYPERLINK("#",""), HYPERLINK(CONCATENATE("#Metadata!", ADDRESS(INDEX($AI$2:$AI$1001,MATCH(ROWS($AG$2:AG782),$AG$2:$AG$1001,0),0), INDEX($AN$1004:$BO$1004,1,MATCH(COLUMNS($AN$1006:BD1006),$AN$1006:$BO$1006,0)))),"Fix")))</f>
        <v>0</v>
      </c>
      <c r="S782" s="4">
        <f>IF(OR(INDEX($AH$2:$AH$1001,MATCH(ROWS($AG$2:AG782),$AG$2:$AG$1001,0),1)&gt;=100000,INDEX($AN$1005:$BO$1005,1,MATCH(COLUMNS($AN$1006:BE1006),$AN$1006:$BO$1006,0))&gt;=100000), " ",IF(INDEX($AN$2:$BO$1001,MATCH(ROWS($AG$2:AG782),$AG$2:$AG$1001,0),MATCH(COLUMNS($AN$1006:BE1006),$AN$1006:$BO$1006,0)), HYPERLINK("#",""), HYPERLINK(CONCATENATE("#Metadata!", ADDRESS(INDEX($AI$2:$AI$1001,MATCH(ROWS($AG$2:AG782),$AG$2:$AG$1001,0),0), INDEX($AN$1004:$BO$1004,1,MATCH(COLUMNS($AN$1006:BE1006),$AN$1006:$BO$1006,0)))),"Fix")))</f>
        <v>0</v>
      </c>
      <c r="T782" s="4">
        <f>IF(OR(INDEX($AH$2:$AH$1001,MATCH(ROWS($AG$2:AG782),$AG$2:$AG$1001,0),1)&gt;=100000,INDEX($AN$1005:$BO$1005,1,MATCH(COLUMNS($AN$1006:BF1006),$AN$1006:$BO$1006,0))&gt;=100000), " ",IF(INDEX($AN$2:$BO$1001,MATCH(ROWS($AG$2:AG782),$AG$2:$AG$1001,0),MATCH(COLUMNS($AN$1006:BF1006),$AN$1006:$BO$1006,0)), HYPERLINK("#",""), HYPERLINK(CONCATENATE("#Metadata!", ADDRESS(INDEX($AI$2:$AI$1001,MATCH(ROWS($AG$2:AG782),$AG$2:$AG$1001,0),0), INDEX($AN$1004:$BO$1004,1,MATCH(COLUMNS($AN$1006:BF1006),$AN$1006:$BO$1006,0)))),"Fix")))</f>
        <v>0</v>
      </c>
      <c r="U782" s="4">
        <f>IF(OR(INDEX($AH$2:$AH$1001,MATCH(ROWS($AG$2:AG782),$AG$2:$AG$1001,0),1)&gt;=100000,INDEX($AN$1005:$BO$1005,1,MATCH(COLUMNS($AN$1006:BG1006),$AN$1006:$BO$1006,0))&gt;=100000), " ",IF(INDEX($AN$2:$BO$1001,MATCH(ROWS($AG$2:AG782),$AG$2:$AG$1001,0),MATCH(COLUMNS($AN$1006:BG1006),$AN$1006:$BO$1006,0)), HYPERLINK("#",""), HYPERLINK(CONCATENATE("#Metadata!", ADDRESS(INDEX($AI$2:$AI$1001,MATCH(ROWS($AG$2:AG782),$AG$2:$AG$1001,0),0), INDEX($AN$1004:$BO$1004,1,MATCH(COLUMNS($AN$1006:BG1006),$AN$1006:$BO$1006,0)))),"Fix")))</f>
        <v>0</v>
      </c>
      <c r="V782" s="4">
        <f>IF(OR(INDEX($AH$2:$AH$1001,MATCH(ROWS($AG$2:AG782),$AG$2:$AG$1001,0),1)&gt;=100000,INDEX($AN$1005:$BO$1005,1,MATCH(COLUMNS($AN$1006:BH1006),$AN$1006:$BO$1006,0))&gt;=100000), " ",IF(INDEX($AN$2:$BO$1001,MATCH(ROWS($AG$2:AG782),$AG$2:$AG$1001,0),MATCH(COLUMNS($AN$1006:BH1006),$AN$1006:$BO$1006,0)), HYPERLINK("#",""), HYPERLINK(CONCATENATE("#Metadata!", ADDRESS(INDEX($AI$2:$AI$1001,MATCH(ROWS($AG$2:AG782),$AG$2:$AG$1001,0),0), INDEX($AN$1004:$BO$1004,1,MATCH(COLUMNS($AN$1006:BH1006),$AN$1006:$BO$1006,0)))),"Fix")))</f>
        <v>0</v>
      </c>
      <c r="W782" s="4">
        <f>IF(OR(INDEX($AH$2:$AH$1001,MATCH(ROWS($AG$2:AG782),$AG$2:$AG$1001,0),1)&gt;=100000,INDEX($AN$1005:$BO$1005,1,MATCH(COLUMNS($AN$1006:BI1006),$AN$1006:$BO$1006,0))&gt;=100000), " ",IF(INDEX($AN$2:$BO$1001,MATCH(ROWS($AG$2:AG782),$AG$2:$AG$1001,0),MATCH(COLUMNS($AN$1006:BI1006),$AN$1006:$BO$1006,0)), HYPERLINK("#",""), HYPERLINK(CONCATENATE("#Metadata!", ADDRESS(INDEX($AI$2:$AI$1001,MATCH(ROWS($AG$2:AG782),$AG$2:$AG$1001,0),0), INDEX($AN$1004:$BO$1004,1,MATCH(COLUMNS($AN$1006:BI1006),$AN$1006:$BO$1006,0)))),"Fix")))</f>
        <v>0</v>
      </c>
      <c r="X782" s="4">
        <f>IF(OR(INDEX($AH$2:$AH$1001,MATCH(ROWS($AG$2:AG782),$AG$2:$AG$1001,0),1)&gt;=100000,INDEX($AN$1005:$BO$1005,1,MATCH(COLUMNS($AN$1006:BJ1006),$AN$1006:$BO$1006,0))&gt;=100000), " ",IF(INDEX($AN$2:$BO$1001,MATCH(ROWS($AG$2:AG782),$AG$2:$AG$1001,0),MATCH(COLUMNS($AN$1006:BJ1006),$AN$1006:$BO$1006,0)), HYPERLINK("#",""), HYPERLINK(CONCATENATE("#Metadata!", ADDRESS(INDEX($AI$2:$AI$1001,MATCH(ROWS($AG$2:AG782),$AG$2:$AG$1001,0),0), INDEX($AN$1004:$BO$1004,1,MATCH(COLUMNS($AN$1006:BJ1006),$AN$1006:$BO$1006,0)))),"Fix")))</f>
        <v>0</v>
      </c>
      <c r="Y782" s="4">
        <f>IF(OR(INDEX($AH$2:$AH$1001,MATCH(ROWS($AG$2:AG782),$AG$2:$AG$1001,0),1)&gt;=100000,INDEX($AN$1005:$BO$1005,1,MATCH(COLUMNS($AN$1006:BK1006),$AN$1006:$BO$1006,0))&gt;=100000), " ",IF(INDEX($AN$2:$BO$1001,MATCH(ROWS($AG$2:AG782),$AG$2:$AG$1001,0),MATCH(COLUMNS($AN$1006:BK1006),$AN$1006:$BO$1006,0)), HYPERLINK("#",""), HYPERLINK(CONCATENATE("#Metadata!", ADDRESS(INDEX($AI$2:$AI$1001,MATCH(ROWS($AG$2:AG782),$AG$2:$AG$1001,0),0), INDEX($AN$1004:$BO$1004,1,MATCH(COLUMNS($AN$1006:BK1006),$AN$1006:$BO$1006,0)))),"Fix")))</f>
        <v>0</v>
      </c>
      <c r="Z782" s="4">
        <f>IF(OR(INDEX($AH$2:$AH$1001,MATCH(ROWS($AG$2:AG782),$AG$2:$AG$1001,0),1)&gt;=100000,INDEX($AN$1005:$BO$1005,1,MATCH(COLUMNS($AN$1006:BL1006),$AN$1006:$BO$1006,0))&gt;=100000), " ",IF(INDEX($AN$2:$BO$1001,MATCH(ROWS($AG$2:AG782),$AG$2:$AG$1001,0),MATCH(COLUMNS($AN$1006:BL1006),$AN$1006:$BO$1006,0)), HYPERLINK("#",""), HYPERLINK(CONCATENATE("#Metadata!", ADDRESS(INDEX($AI$2:$AI$1001,MATCH(ROWS($AG$2:AG782),$AG$2:$AG$1001,0),0), INDEX($AN$1004:$BO$1004,1,MATCH(COLUMNS($AN$1006:BL1006),$AN$1006:$BO$1006,0)))),"Fix")))</f>
        <v>0</v>
      </c>
      <c r="AA782" s="4">
        <f>IF(OR(INDEX($AH$2:$AH$1001,MATCH(ROWS($AG$2:AG782),$AG$2:$AG$1001,0),1)&gt;=100000,INDEX($AN$1005:$BO$1005,1,MATCH(COLUMNS($AN$1006:BM1006),$AN$1006:$BO$1006,0))&gt;=100000), " ",IF(INDEX($AN$2:$BO$1001,MATCH(ROWS($AG$2:AG782),$AG$2:$AG$1001,0),MATCH(COLUMNS($AN$1006:BM1006),$AN$1006:$BO$1006,0)), HYPERLINK("#",""), HYPERLINK(CONCATENATE("#Metadata!", ADDRESS(INDEX($AI$2:$AI$1001,MATCH(ROWS($AG$2:AG782),$AG$2:$AG$1001,0),0), INDEX($AN$1004:$BO$1004,1,MATCH(COLUMNS($AN$1006:BM1006),$AN$1006:$BO$1006,0)))),"Fix")))</f>
        <v>0</v>
      </c>
      <c r="AB782" s="4">
        <f>IF(OR(INDEX($AH$2:$AH$1001,MATCH(ROWS($AG$2:AG782),$AG$2:$AG$1001,0),1)&gt;=100000,INDEX($AN$1005:$BO$1005,1,MATCH(COLUMNS($AN$1006:BN1006),$AN$1006:$BO$1006,0))&gt;=100000), " ",IF(INDEX($AN$2:$BO$1001,MATCH(ROWS($AG$2:AG782),$AG$2:$AG$1001,0),MATCH(COLUMNS($AN$1006:BN1006),$AN$1006:$BO$1006,0)), HYPERLINK("#",""), HYPERLINK(CONCATENATE("#Metadata!", ADDRESS(INDEX($AI$2:$AI$1001,MATCH(ROWS($AG$2:AG782),$AG$2:$AG$1001,0),0), INDEX($AN$1004:$BO$1004,1,MATCH(COLUMNS($AN$1006:BN1006),$AN$1006:$BO$1006,0)))),"Fix")))</f>
        <v>0</v>
      </c>
      <c r="AC782" s="4">
        <f>IF(OR(INDEX($AH$2:$AH$1001,MATCH(ROWS($AG$2:AG782),$AG$2:$AG$1001,0),1)&gt;=100000,INDEX($AN$1005:$BO$1005,1,MATCH(COLUMNS($AN$1006:BO1006),$AN$1006:$BO$1006,0))&gt;=100000), " ",IF(INDEX($AN$2:$BO$1001,MATCH(ROWS($AG$2:AG782),$AG$2:$AG$1001,0),MATCH(COLUMNS($AN$1006:BO1006),$AN$1006:$BO$1006,0)), HYPERLINK("#",""), HYPERLINK(CONCATENATE("#Metadata!", ADDRESS(INDEX($AI$2:$AI$1001,MATCH(ROWS($AG$2:AG782),$AG$2:$AG$1001,0),0), INDEX($AN$1004:$BO$1004,1,MATCH(COLUMNS($AN$1006:BO1006),$AN$1006:$BO$1006,0)))),"Fix")))</f>
        <v>0</v>
      </c>
      <c r="AG782">
        <v>0</v>
      </c>
      <c r="AH782">
        <v>0</v>
      </c>
      <c r="AI782">
        <v>0</v>
      </c>
      <c r="AJ782">
        <f>IF(AK782,TRUE,AND(AN782:BO782))</f>
        <v>0</v>
      </c>
      <c r="AK782">
        <f>COUNTBLANK(Metadata!B782:AC782)=COLUMNS(Metadata!B782:AC782)</f>
        <v>0</v>
      </c>
      <c r="AL782">
        <v>0</v>
      </c>
      <c r="AN782">
        <f>AND(IF(Metadata!B782="",FALSE,TRUE),COUNTIF(Metadata!B:B, Metadata!B782) = 1,NOT(ISERROR(SUMPRODUCT(SEARCH(MID(Metadata!B782,ROW(INDIRECT("1:"&amp;LEN(Metadata!B782))), 1),"0123456789abcdefghijklmnopqrstuvwxyzABCDEFGHIJKLMNOPQRSTUVWXYZ.")))))</f>
        <v>0</v>
      </c>
      <c r="AO782">
        <f>IF(Metadata!C782="",FALSE,TRUE)</f>
        <v>0</v>
      </c>
      <c r="AP782">
        <f>IF(Metadata!D782="",FALSE,TRUE)</f>
        <v>0</v>
      </c>
      <c r="AQ782">
        <f>OR(AND(IF(Metadata!E782="",FALSE,TRUE),OR(exact(Metadata!E782,"not collected"),exact(Metadata!E782,"not provided"),exact(Metadata!E782,"restricted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R782">
        <f>IF(Metadata!F782="",FALSE,TRUE)</f>
        <v>0</v>
      </c>
      <c r="AS782">
        <f>OR(AND(IF(Metadata!G782="",FALSE,TRUE),OR(exact(Metadata!G782,"not collected"),exact(Metadata!G782,"not provided"))),AND(IF(Metadata!G782="",FALSE,TRUE),OR(exact(Metadata!G782,"TRUE"),exact(Metadata!G782,"FALSE"))))</f>
        <v>0</v>
      </c>
      <c r="AT782">
        <f>OR(AND(IF(Metadata!H782="",FALSE,TRUE),OR(exact(Metadata!H782,"not collected"),exact(Metadata!H782,"not provided"),exact(Metadata!H782,"restricted access"))),AND(IF(Metadata!H782="",FALSE,ISNUMBER(VALUE(Metadata!H782))),Metadata!H782&gt;=-413.0))</f>
        <v>0</v>
      </c>
      <c r="AU782">
        <f>AND(IF(Metadata!I782="",FALSE,TRUE),exact(Metadata!I782,"meters"))</f>
        <v>0</v>
      </c>
      <c r="AV782">
        <f>AND(IF(Metadata!J782="",FALSE,TRUE),OR(exact(Metadata!J782,"Host-associated"),exact(Metadata!J782,"Free-living")))</f>
        <v>0</v>
      </c>
      <c r="AW782">
        <f>AND(IF(Metadata!K782="",FALSE,TRUE),OR(exact(Metadata!K782,"Animal"),exact(Metadata!K782,"Fungus"),exact(Metadata!K782,"Plant"),exact(Metadata!K782,"Saline"),exact(Metadata!K782,"Non-saline")))</f>
        <v>0</v>
      </c>
      <c r="AX782">
        <f>AND(IF(Metadata!L782="",FALSE,TRUE),OR(exact(Metadata!L782,"Plant secretion"),exact(Metadata!L782,"Plant rhizosphere"),exact(Metadata!L782,"Plant surface"),exact(Metadata!L782,"Plant corpus"),exact(Metadata!L782,"Fungus surface"),exact(Metadata!L782,"Fungus corpus"),exact(Metadata!L782,"Animal surface"),exact(Metadata!L782,"Animal proximal gut"),exact(Metadata!L782,"Animal corpus"),exact(Metadata!L782,"Animal distal gut"),exact(Metadata!L782,"Animal secretion"),exact(Metadata!L782,"Sub-surface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Y782">
        <f>IF(Metadata!M782="",FALSE,TRUE)</f>
        <v>0</v>
      </c>
      <c r="AZ782">
        <f>IF(Metadata!N782="",FALSE,TRUE)</f>
        <v>0</v>
      </c>
      <c r="BA782">
        <f>IF(Metadata!O782="",FALSE,TRUE)</f>
        <v>0</v>
      </c>
      <c r="BB782">
        <f>OR(AND(IF(Metadata!P782="",FALSE,TRUE),OR(exact(Metadata!P782,"not collected"),exact(Metadata!P782,"not provided"),exact(Metadata!P782,"restricted access"))),AND(IF(Metadata!P782="",FALSE,TRUE),OR(exact(Metadata!P782,"air"),exact(Metadata!P782,"built environment"),exact(Metadata!P782,"host-associated"),exact(Metadata!P782,"human-associated"),exact(Metadata!P782,"human-skin"),exact(Metadata!P782,"human-oral"),exact(Metadata!P782,"human-gut"),exact(Metadata!P782,"human-vaginal"),exact(Metadata!P782,"microbial mat/biofilm"),exact(Metadata!P782,"misc environment"),exact(Metadata!P782,"plant-associated"),exact(Metadata!P782,"sediment"),exact(Metadata!P782,"soil"),exact(Metadata!P782,"wastewater/sludge"),exact(Metadata!P782,"water"))))</f>
        <v>0</v>
      </c>
      <c r="BC782">
        <f>IF(Metadata!Q782="",FALSE,TRUE)</f>
        <v>0</v>
      </c>
      <c r="BD782">
        <f>IF(Metadata!R782="",FALSE,TRUE)</f>
        <v>0</v>
      </c>
      <c r="BE782">
        <f>OR(AND(IF(Metadata!S782="",FALSE,TRUE),OR(exact(Metadata!S782,"not collected"),exact(Metadata!S782,"not provided"),exact(Metadata!S782,"restricted access"))),AND(IF(Metadata!S782="",FALSE,ISNUMBER(VALUE(Metadata!S782))),Metadata!S782&gt;=-90.00,Metadata!S782&lt;=90.00))</f>
        <v>0</v>
      </c>
      <c r="BF782">
        <f>AND(IF(Metadata!T782="",FALSE,TRUE),exact(Metadata!T782,"Decimal degrees"))</f>
        <v>0</v>
      </c>
      <c r="BG782">
        <f>OR(AND(IF(Metadata!U782="",FALSE,TRUE),OR(exact(Metadata!U782,"not collected"),exact(Metadata!U782,"not provided"),exact(Metadata!U782,"restricted access"))),AND(IF(Metadata!U782="",FALSE,ISNUMBER(VALUE(Metadata!U782))),Metadata!U782&gt;=-180.00,Metadata!U782&lt;=180.00))</f>
        <v>0</v>
      </c>
      <c r="BH782">
        <f>AND(IF(Metadata!V782="",FALSE,TRUE),exact(Metadata!V782,"Decimal degrees"))</f>
        <v>0</v>
      </c>
      <c r="BI782">
        <f>IF(Metadata!W782="",FALSE,TRUE)</f>
        <v>0</v>
      </c>
      <c r="BJ782">
        <f>OR(AND(IF(Metadata!X782="",FALSE,TRUE),OR(exact(Metadata!X782,"not collected"),exact(Metadata!X782,"not provided"),exact(Metadata!X782,"restricted access"))),AND(IF(Metadata!X782="",FALSE,TRUE),OR(exact(Metadata!X782,"TRUE"),exact(Metadata!X782,"FALSE"))))</f>
        <v>0</v>
      </c>
      <c r="BK782">
        <f>AND(IF(Metadata!Y782="",FALSE,TRUE),exact(Metadata!Y782,"other"))</f>
        <v>0</v>
      </c>
      <c r="BL782">
        <f>IF(Metadata!Z782="",FALSE,TRUE)</f>
        <v>0</v>
      </c>
      <c r="BM782">
        <f>OR(AND(IF(Metadata!AA782="",FALSE,TRUE),OR(exact(Metadata!AA782,"not collected"),exact(Metadata!AA782,"not provided"))),AND(IF(Metadata!AA782="",FALSE,IF(ISERROR(INT(Metadata!AA782)),FALSE,INT(Metadata!AA782)=Metadata!AA782)),Metadata!AA782&gt;0))</f>
        <v>0</v>
      </c>
      <c r="BN782">
        <f>AND(IF(Metadata!AB782="",FALSE,TRUE),exact(Metadata!AB782,"Not applicable"))</f>
        <v>0</v>
      </c>
      <c r="BO782">
        <f>IF(Metadata!AC782="",FALSE,TRUE)</f>
        <v>0</v>
      </c>
    </row>
    <row r="783" spans="1:67">
      <c r="A783" s="5">
        <f>IF(B783=" "," ",HYPERLINK(CONCATENATE("#metadata!",ADDRESS(INDEX($AI$2:$AI$1001,MATCH(ROWS($AG$2:AG783),$AG$2:$AG$1001,0),0),1)),INDEX($AL$2:$AL$1001,MATCH(ROWS($AG$2:AG783),$AG$2:$AG$1001,0),0)))</f>
        <v>0</v>
      </c>
      <c r="B783" s="4">
        <f>IF(OR(INDEX($AH$2:$AH$1001,MATCH(ROWS($AG$2:AG783),$AG$2:$AG$1001,0),1)&gt;=100000,INDEX($AN$1005:$BO$1005,1,MATCH(COLUMNS($AN$1006:AN1006),$AN$1006:$BO$1006,0))&gt;=100000), " ",IF(INDEX($AN$2:$BO$1001,MATCH(ROWS($AG$2:AG783),$AG$2:$AG$1001,0),MATCH(COLUMNS($AN$1006:AN1006),$AN$1006:$BO$1006,0)), HYPERLINK("#",""), HYPERLINK(CONCATENATE("#Metadata!", ADDRESS(INDEX($AI$2:$AI$1001,MATCH(ROWS($AG$2:AG783),$AG$2:$AG$1001,0),0), INDEX($AN$1004:$BO$1004,1,MATCH(COLUMNS($AN$1006:AN1006),$AN$1006:$BO$1006,0)))),"Fix")))</f>
        <v>0</v>
      </c>
      <c r="C783" s="4">
        <f>IF(OR(INDEX($AH$2:$AH$1001,MATCH(ROWS($AG$2:AG783),$AG$2:$AG$1001,0),1)&gt;=100000,INDEX($AN$1005:$BO$1005,1,MATCH(COLUMNS($AN$1006:AO1006),$AN$1006:$BO$1006,0))&gt;=100000), " ",IF(INDEX($AN$2:$BO$1001,MATCH(ROWS($AG$2:AG783),$AG$2:$AG$1001,0),MATCH(COLUMNS($AN$1006:AO1006),$AN$1006:$BO$1006,0)), HYPERLINK("#",""), HYPERLINK(CONCATENATE("#Metadata!", ADDRESS(INDEX($AI$2:$AI$1001,MATCH(ROWS($AG$2:AG783),$AG$2:$AG$1001,0),0), INDEX($AN$1004:$BO$1004,1,MATCH(COLUMNS($AN$1006:AO1006),$AN$1006:$BO$1006,0)))),"Fix")))</f>
        <v>0</v>
      </c>
      <c r="D783" s="4">
        <f>IF(OR(INDEX($AH$2:$AH$1001,MATCH(ROWS($AG$2:AG783),$AG$2:$AG$1001,0),1)&gt;=100000,INDEX($AN$1005:$BO$1005,1,MATCH(COLUMNS($AN$1006:AP1006),$AN$1006:$BO$1006,0))&gt;=100000), " ",IF(INDEX($AN$2:$BO$1001,MATCH(ROWS($AG$2:AG783),$AG$2:$AG$1001,0),MATCH(COLUMNS($AN$1006:AP1006),$AN$1006:$BO$1006,0)), HYPERLINK("#",""), HYPERLINK(CONCATENATE("#Metadata!", ADDRESS(INDEX($AI$2:$AI$1001,MATCH(ROWS($AG$2:AG783),$AG$2:$AG$1001,0),0), INDEX($AN$1004:$BO$1004,1,MATCH(COLUMNS($AN$1006:AP1006),$AN$1006:$BO$1006,0)))),"Fix")))</f>
        <v>0</v>
      </c>
      <c r="E783" s="4">
        <f>IF(OR(INDEX($AH$2:$AH$1001,MATCH(ROWS($AG$2:AG783),$AG$2:$AG$1001,0),1)&gt;=100000,INDEX($AN$1005:$BO$1005,1,MATCH(COLUMNS($AN$1006:AQ1006),$AN$1006:$BO$1006,0))&gt;=100000), " ",IF(INDEX($AN$2:$BO$1001,MATCH(ROWS($AG$2:AG783),$AG$2:$AG$1001,0),MATCH(COLUMNS($AN$1006:AQ1006),$AN$1006:$BO$1006,0)), HYPERLINK("#",""), HYPERLINK(CONCATENATE("#Metadata!", ADDRESS(INDEX($AI$2:$AI$1001,MATCH(ROWS($AG$2:AG783),$AG$2:$AG$1001,0),0), INDEX($AN$1004:$BO$1004,1,MATCH(COLUMNS($AN$1006:AQ1006),$AN$1006:$BO$1006,0)))),"Fix")))</f>
        <v>0</v>
      </c>
      <c r="F783" s="4">
        <f>IF(OR(INDEX($AH$2:$AH$1001,MATCH(ROWS($AG$2:AG783),$AG$2:$AG$1001,0),1)&gt;=100000,INDEX($AN$1005:$BO$1005,1,MATCH(COLUMNS($AN$1006:AR1006),$AN$1006:$BO$1006,0))&gt;=100000), " ",IF(INDEX($AN$2:$BO$1001,MATCH(ROWS($AG$2:AG783),$AG$2:$AG$1001,0),MATCH(COLUMNS($AN$1006:AR1006),$AN$1006:$BO$1006,0)), HYPERLINK("#",""), HYPERLINK(CONCATENATE("#Metadata!", ADDRESS(INDEX($AI$2:$AI$1001,MATCH(ROWS($AG$2:AG783),$AG$2:$AG$1001,0),0), INDEX($AN$1004:$BO$1004,1,MATCH(COLUMNS($AN$1006:AR1006),$AN$1006:$BO$1006,0)))),"Fix")))</f>
        <v>0</v>
      </c>
      <c r="G783" s="4">
        <f>IF(OR(INDEX($AH$2:$AH$1001,MATCH(ROWS($AG$2:AG783),$AG$2:$AG$1001,0),1)&gt;=100000,INDEX($AN$1005:$BO$1005,1,MATCH(COLUMNS($AN$1006:AS1006),$AN$1006:$BO$1006,0))&gt;=100000), " ",IF(INDEX($AN$2:$BO$1001,MATCH(ROWS($AG$2:AG783),$AG$2:$AG$1001,0),MATCH(COLUMNS($AN$1006:AS1006),$AN$1006:$BO$1006,0)), HYPERLINK("#",""), HYPERLINK(CONCATENATE("#Metadata!", ADDRESS(INDEX($AI$2:$AI$1001,MATCH(ROWS($AG$2:AG783),$AG$2:$AG$1001,0),0), INDEX($AN$1004:$BO$1004,1,MATCH(COLUMNS($AN$1006:AS1006),$AN$1006:$BO$1006,0)))),"Fix")))</f>
        <v>0</v>
      </c>
      <c r="H783" s="4">
        <f>IF(OR(INDEX($AH$2:$AH$1001,MATCH(ROWS($AG$2:AG783),$AG$2:$AG$1001,0),1)&gt;=100000,INDEX($AN$1005:$BO$1005,1,MATCH(COLUMNS($AN$1006:AT1006),$AN$1006:$BO$1006,0))&gt;=100000), " ",IF(INDEX($AN$2:$BO$1001,MATCH(ROWS($AG$2:AG783),$AG$2:$AG$1001,0),MATCH(COLUMNS($AN$1006:AT1006),$AN$1006:$BO$1006,0)), HYPERLINK("#",""), HYPERLINK(CONCATENATE("#Metadata!", ADDRESS(INDEX($AI$2:$AI$1001,MATCH(ROWS($AG$2:AG783),$AG$2:$AG$1001,0),0), INDEX($AN$1004:$BO$1004,1,MATCH(COLUMNS($AN$1006:AT1006),$AN$1006:$BO$1006,0)))),"Fix")))</f>
        <v>0</v>
      </c>
      <c r="I783" s="4">
        <f>IF(OR(INDEX($AH$2:$AH$1001,MATCH(ROWS($AG$2:AG783),$AG$2:$AG$1001,0),1)&gt;=100000,INDEX($AN$1005:$BO$1005,1,MATCH(COLUMNS($AN$1006:AU1006),$AN$1006:$BO$1006,0))&gt;=100000), " ",IF(INDEX($AN$2:$BO$1001,MATCH(ROWS($AG$2:AG783),$AG$2:$AG$1001,0),MATCH(COLUMNS($AN$1006:AU1006),$AN$1006:$BO$1006,0)), HYPERLINK("#",""), HYPERLINK(CONCATENATE("#Metadata!", ADDRESS(INDEX($AI$2:$AI$1001,MATCH(ROWS($AG$2:AG783),$AG$2:$AG$1001,0),0), INDEX($AN$1004:$BO$1004,1,MATCH(COLUMNS($AN$1006:AU1006),$AN$1006:$BO$1006,0)))),"Fix")))</f>
        <v>0</v>
      </c>
      <c r="J783" s="4">
        <f>IF(OR(INDEX($AH$2:$AH$1001,MATCH(ROWS($AG$2:AG783),$AG$2:$AG$1001,0),1)&gt;=100000,INDEX($AN$1005:$BO$1005,1,MATCH(COLUMNS($AN$1006:AV1006),$AN$1006:$BO$1006,0))&gt;=100000), " ",IF(INDEX($AN$2:$BO$1001,MATCH(ROWS($AG$2:AG783),$AG$2:$AG$1001,0),MATCH(COLUMNS($AN$1006:AV1006),$AN$1006:$BO$1006,0)), HYPERLINK("#",""), HYPERLINK(CONCATENATE("#Metadata!", ADDRESS(INDEX($AI$2:$AI$1001,MATCH(ROWS($AG$2:AG783),$AG$2:$AG$1001,0),0), INDEX($AN$1004:$BO$1004,1,MATCH(COLUMNS($AN$1006:AV1006),$AN$1006:$BO$1006,0)))),"Fix")))</f>
        <v>0</v>
      </c>
      <c r="K783" s="4">
        <f>IF(OR(INDEX($AH$2:$AH$1001,MATCH(ROWS($AG$2:AG783),$AG$2:$AG$1001,0),1)&gt;=100000,INDEX($AN$1005:$BO$1005,1,MATCH(COLUMNS($AN$1006:AW1006),$AN$1006:$BO$1006,0))&gt;=100000), " ",IF(INDEX($AN$2:$BO$1001,MATCH(ROWS($AG$2:AG783),$AG$2:$AG$1001,0),MATCH(COLUMNS($AN$1006:AW1006),$AN$1006:$BO$1006,0)), HYPERLINK("#",""), HYPERLINK(CONCATENATE("#Metadata!", ADDRESS(INDEX($AI$2:$AI$1001,MATCH(ROWS($AG$2:AG783),$AG$2:$AG$1001,0),0), INDEX($AN$1004:$BO$1004,1,MATCH(COLUMNS($AN$1006:AW1006),$AN$1006:$BO$1006,0)))),"Fix")))</f>
        <v>0</v>
      </c>
      <c r="L783" s="4">
        <f>IF(OR(INDEX($AH$2:$AH$1001,MATCH(ROWS($AG$2:AG783),$AG$2:$AG$1001,0),1)&gt;=100000,INDEX($AN$1005:$BO$1005,1,MATCH(COLUMNS($AN$1006:AX1006),$AN$1006:$BO$1006,0))&gt;=100000), " ",IF(INDEX($AN$2:$BO$1001,MATCH(ROWS($AG$2:AG783),$AG$2:$AG$1001,0),MATCH(COLUMNS($AN$1006:AX1006),$AN$1006:$BO$1006,0)), HYPERLINK("#",""), HYPERLINK(CONCATENATE("#Metadata!", ADDRESS(INDEX($AI$2:$AI$1001,MATCH(ROWS($AG$2:AG783),$AG$2:$AG$1001,0),0), INDEX($AN$1004:$BO$1004,1,MATCH(COLUMNS($AN$1006:AX1006),$AN$1006:$BO$1006,0)))),"Fix")))</f>
        <v>0</v>
      </c>
      <c r="M783" s="4">
        <f>IF(OR(INDEX($AH$2:$AH$1001,MATCH(ROWS($AG$2:AG783),$AG$2:$AG$1001,0),1)&gt;=100000,INDEX($AN$1005:$BO$1005,1,MATCH(COLUMNS($AN$1006:AY1006),$AN$1006:$BO$1006,0))&gt;=100000), " ",IF(INDEX($AN$2:$BO$1001,MATCH(ROWS($AG$2:AG783),$AG$2:$AG$1001,0),MATCH(COLUMNS($AN$1006:AY1006),$AN$1006:$BO$1006,0)), HYPERLINK("#",""), HYPERLINK(CONCATENATE("#Metadata!", ADDRESS(INDEX($AI$2:$AI$1001,MATCH(ROWS($AG$2:AG783),$AG$2:$AG$1001,0),0), INDEX($AN$1004:$BO$1004,1,MATCH(COLUMNS($AN$1006:AY1006),$AN$1006:$BO$1006,0)))),"Fix")))</f>
        <v>0</v>
      </c>
      <c r="N783" s="4">
        <f>IF(OR(INDEX($AH$2:$AH$1001,MATCH(ROWS($AG$2:AG783),$AG$2:$AG$1001,0),1)&gt;=100000,INDEX($AN$1005:$BO$1005,1,MATCH(COLUMNS($AN$1006:AZ1006),$AN$1006:$BO$1006,0))&gt;=100000), " ",IF(INDEX($AN$2:$BO$1001,MATCH(ROWS($AG$2:AG783),$AG$2:$AG$1001,0),MATCH(COLUMNS($AN$1006:AZ1006),$AN$1006:$BO$1006,0)), HYPERLINK("#",""), HYPERLINK(CONCATENATE("#Metadata!", ADDRESS(INDEX($AI$2:$AI$1001,MATCH(ROWS($AG$2:AG783),$AG$2:$AG$1001,0),0), INDEX($AN$1004:$BO$1004,1,MATCH(COLUMNS($AN$1006:AZ1006),$AN$1006:$BO$1006,0)))),"Fix")))</f>
        <v>0</v>
      </c>
      <c r="O783" s="4">
        <f>IF(OR(INDEX($AH$2:$AH$1001,MATCH(ROWS($AG$2:AG783),$AG$2:$AG$1001,0),1)&gt;=100000,INDEX($AN$1005:$BO$1005,1,MATCH(COLUMNS($AN$1006:BA1006),$AN$1006:$BO$1006,0))&gt;=100000), " ",IF(INDEX($AN$2:$BO$1001,MATCH(ROWS($AG$2:AG783),$AG$2:$AG$1001,0),MATCH(COLUMNS($AN$1006:BA1006),$AN$1006:$BO$1006,0)), HYPERLINK("#",""), HYPERLINK(CONCATENATE("#Metadata!", ADDRESS(INDEX($AI$2:$AI$1001,MATCH(ROWS($AG$2:AG783),$AG$2:$AG$1001,0),0), INDEX($AN$1004:$BO$1004,1,MATCH(COLUMNS($AN$1006:BA1006),$AN$1006:$BO$1006,0)))),"Fix")))</f>
        <v>0</v>
      </c>
      <c r="P783" s="4">
        <f>IF(OR(INDEX($AH$2:$AH$1001,MATCH(ROWS($AG$2:AG783),$AG$2:$AG$1001,0),1)&gt;=100000,INDEX($AN$1005:$BO$1005,1,MATCH(COLUMNS($AN$1006:BB1006),$AN$1006:$BO$1006,0))&gt;=100000), " ",IF(INDEX($AN$2:$BO$1001,MATCH(ROWS($AG$2:AG783),$AG$2:$AG$1001,0),MATCH(COLUMNS($AN$1006:BB1006),$AN$1006:$BO$1006,0)), HYPERLINK("#",""), HYPERLINK(CONCATENATE("#Metadata!", ADDRESS(INDEX($AI$2:$AI$1001,MATCH(ROWS($AG$2:AG783),$AG$2:$AG$1001,0),0), INDEX($AN$1004:$BO$1004,1,MATCH(COLUMNS($AN$1006:BB1006),$AN$1006:$BO$1006,0)))),"Fix")))</f>
        <v>0</v>
      </c>
      <c r="Q783" s="4">
        <f>IF(OR(INDEX($AH$2:$AH$1001,MATCH(ROWS($AG$2:AG783),$AG$2:$AG$1001,0),1)&gt;=100000,INDEX($AN$1005:$BO$1005,1,MATCH(COLUMNS($AN$1006:BC1006),$AN$1006:$BO$1006,0))&gt;=100000), " ",IF(INDEX($AN$2:$BO$1001,MATCH(ROWS($AG$2:AG783),$AG$2:$AG$1001,0),MATCH(COLUMNS($AN$1006:BC1006),$AN$1006:$BO$1006,0)), HYPERLINK("#",""), HYPERLINK(CONCATENATE("#Metadata!", ADDRESS(INDEX($AI$2:$AI$1001,MATCH(ROWS($AG$2:AG783),$AG$2:$AG$1001,0),0), INDEX($AN$1004:$BO$1004,1,MATCH(COLUMNS($AN$1006:BC1006),$AN$1006:$BO$1006,0)))),"Fix")))</f>
        <v>0</v>
      </c>
      <c r="R783" s="4">
        <f>IF(OR(INDEX($AH$2:$AH$1001,MATCH(ROWS($AG$2:AG783),$AG$2:$AG$1001,0),1)&gt;=100000,INDEX($AN$1005:$BO$1005,1,MATCH(COLUMNS($AN$1006:BD1006),$AN$1006:$BO$1006,0))&gt;=100000), " ",IF(INDEX($AN$2:$BO$1001,MATCH(ROWS($AG$2:AG783),$AG$2:$AG$1001,0),MATCH(COLUMNS($AN$1006:BD1006),$AN$1006:$BO$1006,0)), HYPERLINK("#",""), HYPERLINK(CONCATENATE("#Metadata!", ADDRESS(INDEX($AI$2:$AI$1001,MATCH(ROWS($AG$2:AG783),$AG$2:$AG$1001,0),0), INDEX($AN$1004:$BO$1004,1,MATCH(COLUMNS($AN$1006:BD1006),$AN$1006:$BO$1006,0)))),"Fix")))</f>
        <v>0</v>
      </c>
      <c r="S783" s="4">
        <f>IF(OR(INDEX($AH$2:$AH$1001,MATCH(ROWS($AG$2:AG783),$AG$2:$AG$1001,0),1)&gt;=100000,INDEX($AN$1005:$BO$1005,1,MATCH(COLUMNS($AN$1006:BE1006),$AN$1006:$BO$1006,0))&gt;=100000), " ",IF(INDEX($AN$2:$BO$1001,MATCH(ROWS($AG$2:AG783),$AG$2:$AG$1001,0),MATCH(COLUMNS($AN$1006:BE1006),$AN$1006:$BO$1006,0)), HYPERLINK("#",""), HYPERLINK(CONCATENATE("#Metadata!", ADDRESS(INDEX($AI$2:$AI$1001,MATCH(ROWS($AG$2:AG783),$AG$2:$AG$1001,0),0), INDEX($AN$1004:$BO$1004,1,MATCH(COLUMNS($AN$1006:BE1006),$AN$1006:$BO$1006,0)))),"Fix")))</f>
        <v>0</v>
      </c>
      <c r="T783" s="4">
        <f>IF(OR(INDEX($AH$2:$AH$1001,MATCH(ROWS($AG$2:AG783),$AG$2:$AG$1001,0),1)&gt;=100000,INDEX($AN$1005:$BO$1005,1,MATCH(COLUMNS($AN$1006:BF1006),$AN$1006:$BO$1006,0))&gt;=100000), " ",IF(INDEX($AN$2:$BO$1001,MATCH(ROWS($AG$2:AG783),$AG$2:$AG$1001,0),MATCH(COLUMNS($AN$1006:BF1006),$AN$1006:$BO$1006,0)), HYPERLINK("#",""), HYPERLINK(CONCATENATE("#Metadata!", ADDRESS(INDEX($AI$2:$AI$1001,MATCH(ROWS($AG$2:AG783),$AG$2:$AG$1001,0),0), INDEX($AN$1004:$BO$1004,1,MATCH(COLUMNS($AN$1006:BF1006),$AN$1006:$BO$1006,0)))),"Fix")))</f>
        <v>0</v>
      </c>
      <c r="U783" s="4">
        <f>IF(OR(INDEX($AH$2:$AH$1001,MATCH(ROWS($AG$2:AG783),$AG$2:$AG$1001,0),1)&gt;=100000,INDEX($AN$1005:$BO$1005,1,MATCH(COLUMNS($AN$1006:BG1006),$AN$1006:$BO$1006,0))&gt;=100000), " ",IF(INDEX($AN$2:$BO$1001,MATCH(ROWS($AG$2:AG783),$AG$2:$AG$1001,0),MATCH(COLUMNS($AN$1006:BG1006),$AN$1006:$BO$1006,0)), HYPERLINK("#",""), HYPERLINK(CONCATENATE("#Metadata!", ADDRESS(INDEX($AI$2:$AI$1001,MATCH(ROWS($AG$2:AG783),$AG$2:$AG$1001,0),0), INDEX($AN$1004:$BO$1004,1,MATCH(COLUMNS($AN$1006:BG1006),$AN$1006:$BO$1006,0)))),"Fix")))</f>
        <v>0</v>
      </c>
      <c r="V783" s="4">
        <f>IF(OR(INDEX($AH$2:$AH$1001,MATCH(ROWS($AG$2:AG783),$AG$2:$AG$1001,0),1)&gt;=100000,INDEX($AN$1005:$BO$1005,1,MATCH(COLUMNS($AN$1006:BH1006),$AN$1006:$BO$1006,0))&gt;=100000), " ",IF(INDEX($AN$2:$BO$1001,MATCH(ROWS($AG$2:AG783),$AG$2:$AG$1001,0),MATCH(COLUMNS($AN$1006:BH1006),$AN$1006:$BO$1006,0)), HYPERLINK("#",""), HYPERLINK(CONCATENATE("#Metadata!", ADDRESS(INDEX($AI$2:$AI$1001,MATCH(ROWS($AG$2:AG783),$AG$2:$AG$1001,0),0), INDEX($AN$1004:$BO$1004,1,MATCH(COLUMNS($AN$1006:BH1006),$AN$1006:$BO$1006,0)))),"Fix")))</f>
        <v>0</v>
      </c>
      <c r="W783" s="4">
        <f>IF(OR(INDEX($AH$2:$AH$1001,MATCH(ROWS($AG$2:AG783),$AG$2:$AG$1001,0),1)&gt;=100000,INDEX($AN$1005:$BO$1005,1,MATCH(COLUMNS($AN$1006:BI1006),$AN$1006:$BO$1006,0))&gt;=100000), " ",IF(INDEX($AN$2:$BO$1001,MATCH(ROWS($AG$2:AG783),$AG$2:$AG$1001,0),MATCH(COLUMNS($AN$1006:BI1006),$AN$1006:$BO$1006,0)), HYPERLINK("#",""), HYPERLINK(CONCATENATE("#Metadata!", ADDRESS(INDEX($AI$2:$AI$1001,MATCH(ROWS($AG$2:AG783),$AG$2:$AG$1001,0),0), INDEX($AN$1004:$BO$1004,1,MATCH(COLUMNS($AN$1006:BI1006),$AN$1006:$BO$1006,0)))),"Fix")))</f>
        <v>0</v>
      </c>
      <c r="X783" s="4">
        <f>IF(OR(INDEX($AH$2:$AH$1001,MATCH(ROWS($AG$2:AG783),$AG$2:$AG$1001,0),1)&gt;=100000,INDEX($AN$1005:$BO$1005,1,MATCH(COLUMNS($AN$1006:BJ1006),$AN$1006:$BO$1006,0))&gt;=100000), " ",IF(INDEX($AN$2:$BO$1001,MATCH(ROWS($AG$2:AG783),$AG$2:$AG$1001,0),MATCH(COLUMNS($AN$1006:BJ1006),$AN$1006:$BO$1006,0)), HYPERLINK("#",""), HYPERLINK(CONCATENATE("#Metadata!", ADDRESS(INDEX($AI$2:$AI$1001,MATCH(ROWS($AG$2:AG783),$AG$2:$AG$1001,0),0), INDEX($AN$1004:$BO$1004,1,MATCH(COLUMNS($AN$1006:BJ1006),$AN$1006:$BO$1006,0)))),"Fix")))</f>
        <v>0</v>
      </c>
      <c r="Y783" s="4">
        <f>IF(OR(INDEX($AH$2:$AH$1001,MATCH(ROWS($AG$2:AG783),$AG$2:$AG$1001,0),1)&gt;=100000,INDEX($AN$1005:$BO$1005,1,MATCH(COLUMNS($AN$1006:BK1006),$AN$1006:$BO$1006,0))&gt;=100000), " ",IF(INDEX($AN$2:$BO$1001,MATCH(ROWS($AG$2:AG783),$AG$2:$AG$1001,0),MATCH(COLUMNS($AN$1006:BK1006),$AN$1006:$BO$1006,0)), HYPERLINK("#",""), HYPERLINK(CONCATENATE("#Metadata!", ADDRESS(INDEX($AI$2:$AI$1001,MATCH(ROWS($AG$2:AG783),$AG$2:$AG$1001,0),0), INDEX($AN$1004:$BO$1004,1,MATCH(COLUMNS($AN$1006:BK1006),$AN$1006:$BO$1006,0)))),"Fix")))</f>
        <v>0</v>
      </c>
      <c r="Z783" s="4">
        <f>IF(OR(INDEX($AH$2:$AH$1001,MATCH(ROWS($AG$2:AG783),$AG$2:$AG$1001,0),1)&gt;=100000,INDEX($AN$1005:$BO$1005,1,MATCH(COLUMNS($AN$1006:BL1006),$AN$1006:$BO$1006,0))&gt;=100000), " ",IF(INDEX($AN$2:$BO$1001,MATCH(ROWS($AG$2:AG783),$AG$2:$AG$1001,0),MATCH(COLUMNS($AN$1006:BL1006),$AN$1006:$BO$1006,0)), HYPERLINK("#",""), HYPERLINK(CONCATENATE("#Metadata!", ADDRESS(INDEX($AI$2:$AI$1001,MATCH(ROWS($AG$2:AG783),$AG$2:$AG$1001,0),0), INDEX($AN$1004:$BO$1004,1,MATCH(COLUMNS($AN$1006:BL1006),$AN$1006:$BO$1006,0)))),"Fix")))</f>
        <v>0</v>
      </c>
      <c r="AA783" s="4">
        <f>IF(OR(INDEX($AH$2:$AH$1001,MATCH(ROWS($AG$2:AG783),$AG$2:$AG$1001,0),1)&gt;=100000,INDEX($AN$1005:$BO$1005,1,MATCH(COLUMNS($AN$1006:BM1006),$AN$1006:$BO$1006,0))&gt;=100000), " ",IF(INDEX($AN$2:$BO$1001,MATCH(ROWS($AG$2:AG783),$AG$2:$AG$1001,0),MATCH(COLUMNS($AN$1006:BM1006),$AN$1006:$BO$1006,0)), HYPERLINK("#",""), HYPERLINK(CONCATENATE("#Metadata!", ADDRESS(INDEX($AI$2:$AI$1001,MATCH(ROWS($AG$2:AG783),$AG$2:$AG$1001,0),0), INDEX($AN$1004:$BO$1004,1,MATCH(COLUMNS($AN$1006:BM1006),$AN$1006:$BO$1006,0)))),"Fix")))</f>
        <v>0</v>
      </c>
      <c r="AB783" s="4">
        <f>IF(OR(INDEX($AH$2:$AH$1001,MATCH(ROWS($AG$2:AG783),$AG$2:$AG$1001,0),1)&gt;=100000,INDEX($AN$1005:$BO$1005,1,MATCH(COLUMNS($AN$1006:BN1006),$AN$1006:$BO$1006,0))&gt;=100000), " ",IF(INDEX($AN$2:$BO$1001,MATCH(ROWS($AG$2:AG783),$AG$2:$AG$1001,0),MATCH(COLUMNS($AN$1006:BN1006),$AN$1006:$BO$1006,0)), HYPERLINK("#",""), HYPERLINK(CONCATENATE("#Metadata!", ADDRESS(INDEX($AI$2:$AI$1001,MATCH(ROWS($AG$2:AG783),$AG$2:$AG$1001,0),0), INDEX($AN$1004:$BO$1004,1,MATCH(COLUMNS($AN$1006:BN1006),$AN$1006:$BO$1006,0)))),"Fix")))</f>
        <v>0</v>
      </c>
      <c r="AC783" s="4">
        <f>IF(OR(INDEX($AH$2:$AH$1001,MATCH(ROWS($AG$2:AG783),$AG$2:$AG$1001,0),1)&gt;=100000,INDEX($AN$1005:$BO$1005,1,MATCH(COLUMNS($AN$1006:BO1006),$AN$1006:$BO$1006,0))&gt;=100000), " ",IF(INDEX($AN$2:$BO$1001,MATCH(ROWS($AG$2:AG783),$AG$2:$AG$1001,0),MATCH(COLUMNS($AN$1006:BO1006),$AN$1006:$BO$1006,0)), HYPERLINK("#",""), HYPERLINK(CONCATENATE("#Metadata!", ADDRESS(INDEX($AI$2:$AI$1001,MATCH(ROWS($AG$2:AG783),$AG$2:$AG$1001,0),0), INDEX($AN$1004:$BO$1004,1,MATCH(COLUMNS($AN$1006:BO1006),$AN$1006:$BO$1006,0)))),"Fix")))</f>
        <v>0</v>
      </c>
      <c r="AG783">
        <v>0</v>
      </c>
      <c r="AH783">
        <v>0</v>
      </c>
      <c r="AI783">
        <v>0</v>
      </c>
      <c r="AJ783">
        <f>IF(AK783,TRUE,AND(AN783:BO783))</f>
        <v>0</v>
      </c>
      <c r="AK783">
        <f>COUNTBLANK(Metadata!B783:AC783)=COLUMNS(Metadata!B783:AC783)</f>
        <v>0</v>
      </c>
      <c r="AL783">
        <v>0</v>
      </c>
      <c r="AN783">
        <f>AND(IF(Metadata!B783="",FALSE,TRUE),COUNTIF(Metadata!B:B, Metadata!B783) = 1,NOT(ISERROR(SUMPRODUCT(SEARCH(MID(Metadata!B783,ROW(INDIRECT("1:"&amp;LEN(Metadata!B783))), 1),"0123456789abcdefghijklmnopqrstuvwxyzABCDEFGHIJKLMNOPQRSTUVWXYZ.")))))</f>
        <v>0</v>
      </c>
      <c r="AO783">
        <f>IF(Metadata!C783="",FALSE,TRUE)</f>
        <v>0</v>
      </c>
      <c r="AP783">
        <f>IF(Metadata!D783="",FALSE,TRUE)</f>
        <v>0</v>
      </c>
      <c r="AQ783">
        <f>OR(AND(IF(Metadata!E783="",FALSE,TRUE),OR(exact(Metadata!E783,"not collected"),exact(Metadata!E783,"not provided"),exact(Metadata!E783,"restricted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R783">
        <f>IF(Metadata!F783="",FALSE,TRUE)</f>
        <v>0</v>
      </c>
      <c r="AS783">
        <f>OR(AND(IF(Metadata!G783="",FALSE,TRUE),OR(exact(Metadata!G783,"not collected"),exact(Metadata!G783,"not provided"))),AND(IF(Metadata!G783="",FALSE,TRUE),OR(exact(Metadata!G783,"TRUE"),exact(Metadata!G783,"FALSE"))))</f>
        <v>0</v>
      </c>
      <c r="AT783">
        <f>OR(AND(IF(Metadata!H783="",FALSE,TRUE),OR(exact(Metadata!H783,"not collected"),exact(Metadata!H783,"not provided"),exact(Metadata!H783,"restricted access"))),AND(IF(Metadata!H783="",FALSE,ISNUMBER(VALUE(Metadata!H783))),Metadata!H783&gt;=-413.0))</f>
        <v>0</v>
      </c>
      <c r="AU783">
        <f>AND(IF(Metadata!I783="",FALSE,TRUE),exact(Metadata!I783,"meters"))</f>
        <v>0</v>
      </c>
      <c r="AV783">
        <f>AND(IF(Metadata!J783="",FALSE,TRUE),OR(exact(Metadata!J783,"Host-associated"),exact(Metadata!J783,"Free-living")))</f>
        <v>0</v>
      </c>
      <c r="AW783">
        <f>AND(IF(Metadata!K783="",FALSE,TRUE),OR(exact(Metadata!K783,"Animal"),exact(Metadata!K783,"Fungus"),exact(Metadata!K783,"Plant"),exact(Metadata!K783,"Saline"),exact(Metadata!K783,"Non-saline")))</f>
        <v>0</v>
      </c>
      <c r="AX783">
        <f>AND(IF(Metadata!L783="",FALSE,TRUE),OR(exact(Metadata!L783,"Plant secretion"),exact(Metadata!L783,"Plant rhizosphere"),exact(Metadata!L783,"Plant surface"),exact(Metadata!L783,"Plant corpus"),exact(Metadata!L783,"Fungus surface"),exact(Metadata!L783,"Fungus corpus"),exact(Metadata!L783,"Animal surface"),exact(Metadata!L783,"Animal proximal gut"),exact(Metadata!L783,"Animal corpus"),exact(Metadata!L783,"Animal distal gut"),exact(Metadata!L783,"Animal secretion"),exact(Metadata!L783,"Sub-surface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Y783">
        <f>IF(Metadata!M783="",FALSE,TRUE)</f>
        <v>0</v>
      </c>
      <c r="AZ783">
        <f>IF(Metadata!N783="",FALSE,TRUE)</f>
        <v>0</v>
      </c>
      <c r="BA783">
        <f>IF(Metadata!O783="",FALSE,TRUE)</f>
        <v>0</v>
      </c>
      <c r="BB783">
        <f>OR(AND(IF(Metadata!P783="",FALSE,TRUE),OR(exact(Metadata!P783,"not collected"),exact(Metadata!P783,"not provided"),exact(Metadata!P783,"restricted access"))),AND(IF(Metadata!P783="",FALSE,TRUE),OR(exact(Metadata!P783,"air"),exact(Metadata!P783,"built environment"),exact(Metadata!P783,"host-associated"),exact(Metadata!P783,"human-associated"),exact(Metadata!P783,"human-skin"),exact(Metadata!P783,"human-oral"),exact(Metadata!P783,"human-gut"),exact(Metadata!P783,"human-vaginal"),exact(Metadata!P783,"microbial mat/biofilm"),exact(Metadata!P783,"misc environment"),exact(Metadata!P783,"plant-associated"),exact(Metadata!P783,"sediment"),exact(Metadata!P783,"soil"),exact(Metadata!P783,"wastewater/sludge"),exact(Metadata!P783,"water"))))</f>
        <v>0</v>
      </c>
      <c r="BC783">
        <f>IF(Metadata!Q783="",FALSE,TRUE)</f>
        <v>0</v>
      </c>
      <c r="BD783">
        <f>IF(Metadata!R783="",FALSE,TRUE)</f>
        <v>0</v>
      </c>
      <c r="BE783">
        <f>OR(AND(IF(Metadata!S783="",FALSE,TRUE),OR(exact(Metadata!S783,"not collected"),exact(Metadata!S783,"not provided"),exact(Metadata!S783,"restricted access"))),AND(IF(Metadata!S783="",FALSE,ISNUMBER(VALUE(Metadata!S783))),Metadata!S783&gt;=-90.00,Metadata!S783&lt;=90.00))</f>
        <v>0</v>
      </c>
      <c r="BF783">
        <f>AND(IF(Metadata!T783="",FALSE,TRUE),exact(Metadata!T783,"Decimal degrees"))</f>
        <v>0</v>
      </c>
      <c r="BG783">
        <f>OR(AND(IF(Metadata!U783="",FALSE,TRUE),OR(exact(Metadata!U783,"not collected"),exact(Metadata!U783,"not provided"),exact(Metadata!U783,"restricted access"))),AND(IF(Metadata!U783="",FALSE,ISNUMBER(VALUE(Metadata!U783))),Metadata!U783&gt;=-180.00,Metadata!U783&lt;=180.00))</f>
        <v>0</v>
      </c>
      <c r="BH783">
        <f>AND(IF(Metadata!V783="",FALSE,TRUE),exact(Metadata!V783,"Decimal degrees"))</f>
        <v>0</v>
      </c>
      <c r="BI783">
        <f>IF(Metadata!W783="",FALSE,TRUE)</f>
        <v>0</v>
      </c>
      <c r="BJ783">
        <f>OR(AND(IF(Metadata!X783="",FALSE,TRUE),OR(exact(Metadata!X783,"not collected"),exact(Metadata!X783,"not provided"),exact(Metadata!X783,"restricted access"))),AND(IF(Metadata!X783="",FALSE,TRUE),OR(exact(Metadata!X783,"TRUE"),exact(Metadata!X783,"FALSE"))))</f>
        <v>0</v>
      </c>
      <c r="BK783">
        <f>AND(IF(Metadata!Y783="",FALSE,TRUE),exact(Metadata!Y783,"other"))</f>
        <v>0</v>
      </c>
      <c r="BL783">
        <f>IF(Metadata!Z783="",FALSE,TRUE)</f>
        <v>0</v>
      </c>
      <c r="BM783">
        <f>OR(AND(IF(Metadata!AA783="",FALSE,TRUE),OR(exact(Metadata!AA783,"not collected"),exact(Metadata!AA783,"not provided"))),AND(IF(Metadata!AA783="",FALSE,IF(ISERROR(INT(Metadata!AA783)),FALSE,INT(Metadata!AA783)=Metadata!AA783)),Metadata!AA783&gt;0))</f>
        <v>0</v>
      </c>
      <c r="BN783">
        <f>AND(IF(Metadata!AB783="",FALSE,TRUE),exact(Metadata!AB783,"Not applicable"))</f>
        <v>0</v>
      </c>
      <c r="BO783">
        <f>IF(Metadata!AC783="",FALSE,TRUE)</f>
        <v>0</v>
      </c>
    </row>
    <row r="784" spans="1:67">
      <c r="A784" s="5">
        <f>IF(B784=" "," ",HYPERLINK(CONCATENATE("#metadata!",ADDRESS(INDEX($AI$2:$AI$1001,MATCH(ROWS($AG$2:AG784),$AG$2:$AG$1001,0),0),1)),INDEX($AL$2:$AL$1001,MATCH(ROWS($AG$2:AG784),$AG$2:$AG$1001,0),0)))</f>
        <v>0</v>
      </c>
      <c r="B784" s="4">
        <f>IF(OR(INDEX($AH$2:$AH$1001,MATCH(ROWS($AG$2:AG784),$AG$2:$AG$1001,0),1)&gt;=100000,INDEX($AN$1005:$BO$1005,1,MATCH(COLUMNS($AN$1006:AN1006),$AN$1006:$BO$1006,0))&gt;=100000), " ",IF(INDEX($AN$2:$BO$1001,MATCH(ROWS($AG$2:AG784),$AG$2:$AG$1001,0),MATCH(COLUMNS($AN$1006:AN1006),$AN$1006:$BO$1006,0)), HYPERLINK("#",""), HYPERLINK(CONCATENATE("#Metadata!", ADDRESS(INDEX($AI$2:$AI$1001,MATCH(ROWS($AG$2:AG784),$AG$2:$AG$1001,0),0), INDEX($AN$1004:$BO$1004,1,MATCH(COLUMNS($AN$1006:AN1006),$AN$1006:$BO$1006,0)))),"Fix")))</f>
        <v>0</v>
      </c>
      <c r="C784" s="4">
        <f>IF(OR(INDEX($AH$2:$AH$1001,MATCH(ROWS($AG$2:AG784),$AG$2:$AG$1001,0),1)&gt;=100000,INDEX($AN$1005:$BO$1005,1,MATCH(COLUMNS($AN$1006:AO1006),$AN$1006:$BO$1006,0))&gt;=100000), " ",IF(INDEX($AN$2:$BO$1001,MATCH(ROWS($AG$2:AG784),$AG$2:$AG$1001,0),MATCH(COLUMNS($AN$1006:AO1006),$AN$1006:$BO$1006,0)), HYPERLINK("#",""), HYPERLINK(CONCATENATE("#Metadata!", ADDRESS(INDEX($AI$2:$AI$1001,MATCH(ROWS($AG$2:AG784),$AG$2:$AG$1001,0),0), INDEX($AN$1004:$BO$1004,1,MATCH(COLUMNS($AN$1006:AO1006),$AN$1006:$BO$1006,0)))),"Fix")))</f>
        <v>0</v>
      </c>
      <c r="D784" s="4">
        <f>IF(OR(INDEX($AH$2:$AH$1001,MATCH(ROWS($AG$2:AG784),$AG$2:$AG$1001,0),1)&gt;=100000,INDEX($AN$1005:$BO$1005,1,MATCH(COLUMNS($AN$1006:AP1006),$AN$1006:$BO$1006,0))&gt;=100000), " ",IF(INDEX($AN$2:$BO$1001,MATCH(ROWS($AG$2:AG784),$AG$2:$AG$1001,0),MATCH(COLUMNS($AN$1006:AP1006),$AN$1006:$BO$1006,0)), HYPERLINK("#",""), HYPERLINK(CONCATENATE("#Metadata!", ADDRESS(INDEX($AI$2:$AI$1001,MATCH(ROWS($AG$2:AG784),$AG$2:$AG$1001,0),0), INDEX($AN$1004:$BO$1004,1,MATCH(COLUMNS($AN$1006:AP1006),$AN$1006:$BO$1006,0)))),"Fix")))</f>
        <v>0</v>
      </c>
      <c r="E784" s="4">
        <f>IF(OR(INDEX($AH$2:$AH$1001,MATCH(ROWS($AG$2:AG784),$AG$2:$AG$1001,0),1)&gt;=100000,INDEX($AN$1005:$BO$1005,1,MATCH(COLUMNS($AN$1006:AQ1006),$AN$1006:$BO$1006,0))&gt;=100000), " ",IF(INDEX($AN$2:$BO$1001,MATCH(ROWS($AG$2:AG784),$AG$2:$AG$1001,0),MATCH(COLUMNS($AN$1006:AQ1006),$AN$1006:$BO$1006,0)), HYPERLINK("#",""), HYPERLINK(CONCATENATE("#Metadata!", ADDRESS(INDEX($AI$2:$AI$1001,MATCH(ROWS($AG$2:AG784),$AG$2:$AG$1001,0),0), INDEX($AN$1004:$BO$1004,1,MATCH(COLUMNS($AN$1006:AQ1006),$AN$1006:$BO$1006,0)))),"Fix")))</f>
        <v>0</v>
      </c>
      <c r="F784" s="4">
        <f>IF(OR(INDEX($AH$2:$AH$1001,MATCH(ROWS($AG$2:AG784),$AG$2:$AG$1001,0),1)&gt;=100000,INDEX($AN$1005:$BO$1005,1,MATCH(COLUMNS($AN$1006:AR1006),$AN$1006:$BO$1006,0))&gt;=100000), " ",IF(INDEX($AN$2:$BO$1001,MATCH(ROWS($AG$2:AG784),$AG$2:$AG$1001,0),MATCH(COLUMNS($AN$1006:AR1006),$AN$1006:$BO$1006,0)), HYPERLINK("#",""), HYPERLINK(CONCATENATE("#Metadata!", ADDRESS(INDEX($AI$2:$AI$1001,MATCH(ROWS($AG$2:AG784),$AG$2:$AG$1001,0),0), INDEX($AN$1004:$BO$1004,1,MATCH(COLUMNS($AN$1006:AR1006),$AN$1006:$BO$1006,0)))),"Fix")))</f>
        <v>0</v>
      </c>
      <c r="G784" s="4">
        <f>IF(OR(INDEX($AH$2:$AH$1001,MATCH(ROWS($AG$2:AG784),$AG$2:$AG$1001,0),1)&gt;=100000,INDEX($AN$1005:$BO$1005,1,MATCH(COLUMNS($AN$1006:AS1006),$AN$1006:$BO$1006,0))&gt;=100000), " ",IF(INDEX($AN$2:$BO$1001,MATCH(ROWS($AG$2:AG784),$AG$2:$AG$1001,0),MATCH(COLUMNS($AN$1006:AS1006),$AN$1006:$BO$1006,0)), HYPERLINK("#",""), HYPERLINK(CONCATENATE("#Metadata!", ADDRESS(INDEX($AI$2:$AI$1001,MATCH(ROWS($AG$2:AG784),$AG$2:$AG$1001,0),0), INDEX($AN$1004:$BO$1004,1,MATCH(COLUMNS($AN$1006:AS1006),$AN$1006:$BO$1006,0)))),"Fix")))</f>
        <v>0</v>
      </c>
      <c r="H784" s="4">
        <f>IF(OR(INDEX($AH$2:$AH$1001,MATCH(ROWS($AG$2:AG784),$AG$2:$AG$1001,0),1)&gt;=100000,INDEX($AN$1005:$BO$1005,1,MATCH(COLUMNS($AN$1006:AT1006),$AN$1006:$BO$1006,0))&gt;=100000), " ",IF(INDEX($AN$2:$BO$1001,MATCH(ROWS($AG$2:AG784),$AG$2:$AG$1001,0),MATCH(COLUMNS($AN$1006:AT1006),$AN$1006:$BO$1006,0)), HYPERLINK("#",""), HYPERLINK(CONCATENATE("#Metadata!", ADDRESS(INDEX($AI$2:$AI$1001,MATCH(ROWS($AG$2:AG784),$AG$2:$AG$1001,0),0), INDEX($AN$1004:$BO$1004,1,MATCH(COLUMNS($AN$1006:AT1006),$AN$1006:$BO$1006,0)))),"Fix")))</f>
        <v>0</v>
      </c>
      <c r="I784" s="4">
        <f>IF(OR(INDEX($AH$2:$AH$1001,MATCH(ROWS($AG$2:AG784),$AG$2:$AG$1001,0),1)&gt;=100000,INDEX($AN$1005:$BO$1005,1,MATCH(COLUMNS($AN$1006:AU1006),$AN$1006:$BO$1006,0))&gt;=100000), " ",IF(INDEX($AN$2:$BO$1001,MATCH(ROWS($AG$2:AG784),$AG$2:$AG$1001,0),MATCH(COLUMNS($AN$1006:AU1006),$AN$1006:$BO$1006,0)), HYPERLINK("#",""), HYPERLINK(CONCATENATE("#Metadata!", ADDRESS(INDEX($AI$2:$AI$1001,MATCH(ROWS($AG$2:AG784),$AG$2:$AG$1001,0),0), INDEX($AN$1004:$BO$1004,1,MATCH(COLUMNS($AN$1006:AU1006),$AN$1006:$BO$1006,0)))),"Fix")))</f>
        <v>0</v>
      </c>
      <c r="J784" s="4">
        <f>IF(OR(INDEX($AH$2:$AH$1001,MATCH(ROWS($AG$2:AG784),$AG$2:$AG$1001,0),1)&gt;=100000,INDEX($AN$1005:$BO$1005,1,MATCH(COLUMNS($AN$1006:AV1006),$AN$1006:$BO$1006,0))&gt;=100000), " ",IF(INDEX($AN$2:$BO$1001,MATCH(ROWS($AG$2:AG784),$AG$2:$AG$1001,0),MATCH(COLUMNS($AN$1006:AV1006),$AN$1006:$BO$1006,0)), HYPERLINK("#",""), HYPERLINK(CONCATENATE("#Metadata!", ADDRESS(INDEX($AI$2:$AI$1001,MATCH(ROWS($AG$2:AG784),$AG$2:$AG$1001,0),0), INDEX($AN$1004:$BO$1004,1,MATCH(COLUMNS($AN$1006:AV1006),$AN$1006:$BO$1006,0)))),"Fix")))</f>
        <v>0</v>
      </c>
      <c r="K784" s="4">
        <f>IF(OR(INDEX($AH$2:$AH$1001,MATCH(ROWS($AG$2:AG784),$AG$2:$AG$1001,0),1)&gt;=100000,INDEX($AN$1005:$BO$1005,1,MATCH(COLUMNS($AN$1006:AW1006),$AN$1006:$BO$1006,0))&gt;=100000), " ",IF(INDEX($AN$2:$BO$1001,MATCH(ROWS($AG$2:AG784),$AG$2:$AG$1001,0),MATCH(COLUMNS($AN$1006:AW1006),$AN$1006:$BO$1006,0)), HYPERLINK("#",""), HYPERLINK(CONCATENATE("#Metadata!", ADDRESS(INDEX($AI$2:$AI$1001,MATCH(ROWS($AG$2:AG784),$AG$2:$AG$1001,0),0), INDEX($AN$1004:$BO$1004,1,MATCH(COLUMNS($AN$1006:AW1006),$AN$1006:$BO$1006,0)))),"Fix")))</f>
        <v>0</v>
      </c>
      <c r="L784" s="4">
        <f>IF(OR(INDEX($AH$2:$AH$1001,MATCH(ROWS($AG$2:AG784),$AG$2:$AG$1001,0),1)&gt;=100000,INDEX($AN$1005:$BO$1005,1,MATCH(COLUMNS($AN$1006:AX1006),$AN$1006:$BO$1006,0))&gt;=100000), " ",IF(INDEX($AN$2:$BO$1001,MATCH(ROWS($AG$2:AG784),$AG$2:$AG$1001,0),MATCH(COLUMNS($AN$1006:AX1006),$AN$1006:$BO$1006,0)), HYPERLINK("#",""), HYPERLINK(CONCATENATE("#Metadata!", ADDRESS(INDEX($AI$2:$AI$1001,MATCH(ROWS($AG$2:AG784),$AG$2:$AG$1001,0),0), INDEX($AN$1004:$BO$1004,1,MATCH(COLUMNS($AN$1006:AX1006),$AN$1006:$BO$1006,0)))),"Fix")))</f>
        <v>0</v>
      </c>
      <c r="M784" s="4">
        <f>IF(OR(INDEX($AH$2:$AH$1001,MATCH(ROWS($AG$2:AG784),$AG$2:$AG$1001,0),1)&gt;=100000,INDEX($AN$1005:$BO$1005,1,MATCH(COLUMNS($AN$1006:AY1006),$AN$1006:$BO$1006,0))&gt;=100000), " ",IF(INDEX($AN$2:$BO$1001,MATCH(ROWS($AG$2:AG784),$AG$2:$AG$1001,0),MATCH(COLUMNS($AN$1006:AY1006),$AN$1006:$BO$1006,0)), HYPERLINK("#",""), HYPERLINK(CONCATENATE("#Metadata!", ADDRESS(INDEX($AI$2:$AI$1001,MATCH(ROWS($AG$2:AG784),$AG$2:$AG$1001,0),0), INDEX($AN$1004:$BO$1004,1,MATCH(COLUMNS($AN$1006:AY1006),$AN$1006:$BO$1006,0)))),"Fix")))</f>
        <v>0</v>
      </c>
      <c r="N784" s="4">
        <f>IF(OR(INDEX($AH$2:$AH$1001,MATCH(ROWS($AG$2:AG784),$AG$2:$AG$1001,0),1)&gt;=100000,INDEX($AN$1005:$BO$1005,1,MATCH(COLUMNS($AN$1006:AZ1006),$AN$1006:$BO$1006,0))&gt;=100000), " ",IF(INDEX($AN$2:$BO$1001,MATCH(ROWS($AG$2:AG784),$AG$2:$AG$1001,0),MATCH(COLUMNS($AN$1006:AZ1006),$AN$1006:$BO$1006,0)), HYPERLINK("#",""), HYPERLINK(CONCATENATE("#Metadata!", ADDRESS(INDEX($AI$2:$AI$1001,MATCH(ROWS($AG$2:AG784),$AG$2:$AG$1001,0),0), INDEX($AN$1004:$BO$1004,1,MATCH(COLUMNS($AN$1006:AZ1006),$AN$1006:$BO$1006,0)))),"Fix")))</f>
        <v>0</v>
      </c>
      <c r="O784" s="4">
        <f>IF(OR(INDEX($AH$2:$AH$1001,MATCH(ROWS($AG$2:AG784),$AG$2:$AG$1001,0),1)&gt;=100000,INDEX($AN$1005:$BO$1005,1,MATCH(COLUMNS($AN$1006:BA1006),$AN$1006:$BO$1006,0))&gt;=100000), " ",IF(INDEX($AN$2:$BO$1001,MATCH(ROWS($AG$2:AG784),$AG$2:$AG$1001,0),MATCH(COLUMNS($AN$1006:BA1006),$AN$1006:$BO$1006,0)), HYPERLINK("#",""), HYPERLINK(CONCATENATE("#Metadata!", ADDRESS(INDEX($AI$2:$AI$1001,MATCH(ROWS($AG$2:AG784),$AG$2:$AG$1001,0),0), INDEX($AN$1004:$BO$1004,1,MATCH(COLUMNS($AN$1006:BA1006),$AN$1006:$BO$1006,0)))),"Fix")))</f>
        <v>0</v>
      </c>
      <c r="P784" s="4">
        <f>IF(OR(INDEX($AH$2:$AH$1001,MATCH(ROWS($AG$2:AG784),$AG$2:$AG$1001,0),1)&gt;=100000,INDEX($AN$1005:$BO$1005,1,MATCH(COLUMNS($AN$1006:BB1006),$AN$1006:$BO$1006,0))&gt;=100000), " ",IF(INDEX($AN$2:$BO$1001,MATCH(ROWS($AG$2:AG784),$AG$2:$AG$1001,0),MATCH(COLUMNS($AN$1006:BB1006),$AN$1006:$BO$1006,0)), HYPERLINK("#",""), HYPERLINK(CONCATENATE("#Metadata!", ADDRESS(INDEX($AI$2:$AI$1001,MATCH(ROWS($AG$2:AG784),$AG$2:$AG$1001,0),0), INDEX($AN$1004:$BO$1004,1,MATCH(COLUMNS($AN$1006:BB1006),$AN$1006:$BO$1006,0)))),"Fix")))</f>
        <v>0</v>
      </c>
      <c r="Q784" s="4">
        <f>IF(OR(INDEX($AH$2:$AH$1001,MATCH(ROWS($AG$2:AG784),$AG$2:$AG$1001,0),1)&gt;=100000,INDEX($AN$1005:$BO$1005,1,MATCH(COLUMNS($AN$1006:BC1006),$AN$1006:$BO$1006,0))&gt;=100000), " ",IF(INDEX($AN$2:$BO$1001,MATCH(ROWS($AG$2:AG784),$AG$2:$AG$1001,0),MATCH(COLUMNS($AN$1006:BC1006),$AN$1006:$BO$1006,0)), HYPERLINK("#",""), HYPERLINK(CONCATENATE("#Metadata!", ADDRESS(INDEX($AI$2:$AI$1001,MATCH(ROWS($AG$2:AG784),$AG$2:$AG$1001,0),0), INDEX($AN$1004:$BO$1004,1,MATCH(COLUMNS($AN$1006:BC1006),$AN$1006:$BO$1006,0)))),"Fix")))</f>
        <v>0</v>
      </c>
      <c r="R784" s="4">
        <f>IF(OR(INDEX($AH$2:$AH$1001,MATCH(ROWS($AG$2:AG784),$AG$2:$AG$1001,0),1)&gt;=100000,INDEX($AN$1005:$BO$1005,1,MATCH(COLUMNS($AN$1006:BD1006),$AN$1006:$BO$1006,0))&gt;=100000), " ",IF(INDEX($AN$2:$BO$1001,MATCH(ROWS($AG$2:AG784),$AG$2:$AG$1001,0),MATCH(COLUMNS($AN$1006:BD1006),$AN$1006:$BO$1006,0)), HYPERLINK("#",""), HYPERLINK(CONCATENATE("#Metadata!", ADDRESS(INDEX($AI$2:$AI$1001,MATCH(ROWS($AG$2:AG784),$AG$2:$AG$1001,0),0), INDEX($AN$1004:$BO$1004,1,MATCH(COLUMNS($AN$1006:BD1006),$AN$1006:$BO$1006,0)))),"Fix")))</f>
        <v>0</v>
      </c>
      <c r="S784" s="4">
        <f>IF(OR(INDEX($AH$2:$AH$1001,MATCH(ROWS($AG$2:AG784),$AG$2:$AG$1001,0),1)&gt;=100000,INDEX($AN$1005:$BO$1005,1,MATCH(COLUMNS($AN$1006:BE1006),$AN$1006:$BO$1006,0))&gt;=100000), " ",IF(INDEX($AN$2:$BO$1001,MATCH(ROWS($AG$2:AG784),$AG$2:$AG$1001,0),MATCH(COLUMNS($AN$1006:BE1006),$AN$1006:$BO$1006,0)), HYPERLINK("#",""), HYPERLINK(CONCATENATE("#Metadata!", ADDRESS(INDEX($AI$2:$AI$1001,MATCH(ROWS($AG$2:AG784),$AG$2:$AG$1001,0),0), INDEX($AN$1004:$BO$1004,1,MATCH(COLUMNS($AN$1006:BE1006),$AN$1006:$BO$1006,0)))),"Fix")))</f>
        <v>0</v>
      </c>
      <c r="T784" s="4">
        <f>IF(OR(INDEX($AH$2:$AH$1001,MATCH(ROWS($AG$2:AG784),$AG$2:$AG$1001,0),1)&gt;=100000,INDEX($AN$1005:$BO$1005,1,MATCH(COLUMNS($AN$1006:BF1006),$AN$1006:$BO$1006,0))&gt;=100000), " ",IF(INDEX($AN$2:$BO$1001,MATCH(ROWS($AG$2:AG784),$AG$2:$AG$1001,0),MATCH(COLUMNS($AN$1006:BF1006),$AN$1006:$BO$1006,0)), HYPERLINK("#",""), HYPERLINK(CONCATENATE("#Metadata!", ADDRESS(INDEX($AI$2:$AI$1001,MATCH(ROWS($AG$2:AG784),$AG$2:$AG$1001,0),0), INDEX($AN$1004:$BO$1004,1,MATCH(COLUMNS($AN$1006:BF1006),$AN$1006:$BO$1006,0)))),"Fix")))</f>
        <v>0</v>
      </c>
      <c r="U784" s="4">
        <f>IF(OR(INDEX($AH$2:$AH$1001,MATCH(ROWS($AG$2:AG784),$AG$2:$AG$1001,0),1)&gt;=100000,INDEX($AN$1005:$BO$1005,1,MATCH(COLUMNS($AN$1006:BG1006),$AN$1006:$BO$1006,0))&gt;=100000), " ",IF(INDEX($AN$2:$BO$1001,MATCH(ROWS($AG$2:AG784),$AG$2:$AG$1001,0),MATCH(COLUMNS($AN$1006:BG1006),$AN$1006:$BO$1006,0)), HYPERLINK("#",""), HYPERLINK(CONCATENATE("#Metadata!", ADDRESS(INDEX($AI$2:$AI$1001,MATCH(ROWS($AG$2:AG784),$AG$2:$AG$1001,0),0), INDEX($AN$1004:$BO$1004,1,MATCH(COLUMNS($AN$1006:BG1006),$AN$1006:$BO$1006,0)))),"Fix")))</f>
        <v>0</v>
      </c>
      <c r="V784" s="4">
        <f>IF(OR(INDEX($AH$2:$AH$1001,MATCH(ROWS($AG$2:AG784),$AG$2:$AG$1001,0),1)&gt;=100000,INDEX($AN$1005:$BO$1005,1,MATCH(COLUMNS($AN$1006:BH1006),$AN$1006:$BO$1006,0))&gt;=100000), " ",IF(INDEX($AN$2:$BO$1001,MATCH(ROWS($AG$2:AG784),$AG$2:$AG$1001,0),MATCH(COLUMNS($AN$1006:BH1006),$AN$1006:$BO$1006,0)), HYPERLINK("#",""), HYPERLINK(CONCATENATE("#Metadata!", ADDRESS(INDEX($AI$2:$AI$1001,MATCH(ROWS($AG$2:AG784),$AG$2:$AG$1001,0),0), INDEX($AN$1004:$BO$1004,1,MATCH(COLUMNS($AN$1006:BH1006),$AN$1006:$BO$1006,0)))),"Fix")))</f>
        <v>0</v>
      </c>
      <c r="W784" s="4">
        <f>IF(OR(INDEX($AH$2:$AH$1001,MATCH(ROWS($AG$2:AG784),$AG$2:$AG$1001,0),1)&gt;=100000,INDEX($AN$1005:$BO$1005,1,MATCH(COLUMNS($AN$1006:BI1006),$AN$1006:$BO$1006,0))&gt;=100000), " ",IF(INDEX($AN$2:$BO$1001,MATCH(ROWS($AG$2:AG784),$AG$2:$AG$1001,0),MATCH(COLUMNS($AN$1006:BI1006),$AN$1006:$BO$1006,0)), HYPERLINK("#",""), HYPERLINK(CONCATENATE("#Metadata!", ADDRESS(INDEX($AI$2:$AI$1001,MATCH(ROWS($AG$2:AG784),$AG$2:$AG$1001,0),0), INDEX($AN$1004:$BO$1004,1,MATCH(COLUMNS($AN$1006:BI1006),$AN$1006:$BO$1006,0)))),"Fix")))</f>
        <v>0</v>
      </c>
      <c r="X784" s="4">
        <f>IF(OR(INDEX($AH$2:$AH$1001,MATCH(ROWS($AG$2:AG784),$AG$2:$AG$1001,0),1)&gt;=100000,INDEX($AN$1005:$BO$1005,1,MATCH(COLUMNS($AN$1006:BJ1006),$AN$1006:$BO$1006,0))&gt;=100000), " ",IF(INDEX($AN$2:$BO$1001,MATCH(ROWS($AG$2:AG784),$AG$2:$AG$1001,0),MATCH(COLUMNS($AN$1006:BJ1006),$AN$1006:$BO$1006,0)), HYPERLINK("#",""), HYPERLINK(CONCATENATE("#Metadata!", ADDRESS(INDEX($AI$2:$AI$1001,MATCH(ROWS($AG$2:AG784),$AG$2:$AG$1001,0),0), INDEX($AN$1004:$BO$1004,1,MATCH(COLUMNS($AN$1006:BJ1006),$AN$1006:$BO$1006,0)))),"Fix")))</f>
        <v>0</v>
      </c>
      <c r="Y784" s="4">
        <f>IF(OR(INDEX($AH$2:$AH$1001,MATCH(ROWS($AG$2:AG784),$AG$2:$AG$1001,0),1)&gt;=100000,INDEX($AN$1005:$BO$1005,1,MATCH(COLUMNS($AN$1006:BK1006),$AN$1006:$BO$1006,0))&gt;=100000), " ",IF(INDEX($AN$2:$BO$1001,MATCH(ROWS($AG$2:AG784),$AG$2:$AG$1001,0),MATCH(COLUMNS($AN$1006:BK1006),$AN$1006:$BO$1006,0)), HYPERLINK("#",""), HYPERLINK(CONCATENATE("#Metadata!", ADDRESS(INDEX($AI$2:$AI$1001,MATCH(ROWS($AG$2:AG784),$AG$2:$AG$1001,0),0), INDEX($AN$1004:$BO$1004,1,MATCH(COLUMNS($AN$1006:BK1006),$AN$1006:$BO$1006,0)))),"Fix")))</f>
        <v>0</v>
      </c>
      <c r="Z784" s="4">
        <f>IF(OR(INDEX($AH$2:$AH$1001,MATCH(ROWS($AG$2:AG784),$AG$2:$AG$1001,0),1)&gt;=100000,INDEX($AN$1005:$BO$1005,1,MATCH(COLUMNS($AN$1006:BL1006),$AN$1006:$BO$1006,0))&gt;=100000), " ",IF(INDEX($AN$2:$BO$1001,MATCH(ROWS($AG$2:AG784),$AG$2:$AG$1001,0),MATCH(COLUMNS($AN$1006:BL1006),$AN$1006:$BO$1006,0)), HYPERLINK("#",""), HYPERLINK(CONCATENATE("#Metadata!", ADDRESS(INDEX($AI$2:$AI$1001,MATCH(ROWS($AG$2:AG784),$AG$2:$AG$1001,0),0), INDEX($AN$1004:$BO$1004,1,MATCH(COLUMNS($AN$1006:BL1006),$AN$1006:$BO$1006,0)))),"Fix")))</f>
        <v>0</v>
      </c>
      <c r="AA784" s="4">
        <f>IF(OR(INDEX($AH$2:$AH$1001,MATCH(ROWS($AG$2:AG784),$AG$2:$AG$1001,0),1)&gt;=100000,INDEX($AN$1005:$BO$1005,1,MATCH(COLUMNS($AN$1006:BM1006),$AN$1006:$BO$1006,0))&gt;=100000), " ",IF(INDEX($AN$2:$BO$1001,MATCH(ROWS($AG$2:AG784),$AG$2:$AG$1001,0),MATCH(COLUMNS($AN$1006:BM1006),$AN$1006:$BO$1006,0)), HYPERLINK("#",""), HYPERLINK(CONCATENATE("#Metadata!", ADDRESS(INDEX($AI$2:$AI$1001,MATCH(ROWS($AG$2:AG784),$AG$2:$AG$1001,0),0), INDEX($AN$1004:$BO$1004,1,MATCH(COLUMNS($AN$1006:BM1006),$AN$1006:$BO$1006,0)))),"Fix")))</f>
        <v>0</v>
      </c>
      <c r="AB784" s="4">
        <f>IF(OR(INDEX($AH$2:$AH$1001,MATCH(ROWS($AG$2:AG784),$AG$2:$AG$1001,0),1)&gt;=100000,INDEX($AN$1005:$BO$1005,1,MATCH(COLUMNS($AN$1006:BN1006),$AN$1006:$BO$1006,0))&gt;=100000), " ",IF(INDEX($AN$2:$BO$1001,MATCH(ROWS($AG$2:AG784),$AG$2:$AG$1001,0),MATCH(COLUMNS($AN$1006:BN1006),$AN$1006:$BO$1006,0)), HYPERLINK("#",""), HYPERLINK(CONCATENATE("#Metadata!", ADDRESS(INDEX($AI$2:$AI$1001,MATCH(ROWS($AG$2:AG784),$AG$2:$AG$1001,0),0), INDEX($AN$1004:$BO$1004,1,MATCH(COLUMNS($AN$1006:BN1006),$AN$1006:$BO$1006,0)))),"Fix")))</f>
        <v>0</v>
      </c>
      <c r="AC784" s="4">
        <f>IF(OR(INDEX($AH$2:$AH$1001,MATCH(ROWS($AG$2:AG784),$AG$2:$AG$1001,0),1)&gt;=100000,INDEX($AN$1005:$BO$1005,1,MATCH(COLUMNS($AN$1006:BO1006),$AN$1006:$BO$1006,0))&gt;=100000), " ",IF(INDEX($AN$2:$BO$1001,MATCH(ROWS($AG$2:AG784),$AG$2:$AG$1001,0),MATCH(COLUMNS($AN$1006:BO1006),$AN$1006:$BO$1006,0)), HYPERLINK("#",""), HYPERLINK(CONCATENATE("#Metadata!", ADDRESS(INDEX($AI$2:$AI$1001,MATCH(ROWS($AG$2:AG784),$AG$2:$AG$1001,0),0), INDEX($AN$1004:$BO$1004,1,MATCH(COLUMNS($AN$1006:BO1006),$AN$1006:$BO$1006,0)))),"Fix")))</f>
        <v>0</v>
      </c>
      <c r="AG784">
        <v>0</v>
      </c>
      <c r="AH784">
        <v>0</v>
      </c>
      <c r="AI784">
        <v>0</v>
      </c>
      <c r="AJ784">
        <f>IF(AK784,TRUE,AND(AN784:BO784))</f>
        <v>0</v>
      </c>
      <c r="AK784">
        <f>COUNTBLANK(Metadata!B784:AC784)=COLUMNS(Metadata!B784:AC784)</f>
        <v>0</v>
      </c>
      <c r="AL784">
        <v>0</v>
      </c>
      <c r="AN784">
        <f>AND(IF(Metadata!B784="",FALSE,TRUE),COUNTIF(Metadata!B:B, Metadata!B784) = 1,NOT(ISERROR(SUMPRODUCT(SEARCH(MID(Metadata!B784,ROW(INDIRECT("1:"&amp;LEN(Metadata!B784))), 1),"0123456789abcdefghijklmnopqrstuvwxyzABCDEFGHIJKLMNOPQRSTUVWXYZ.")))))</f>
        <v>0</v>
      </c>
      <c r="AO784">
        <f>IF(Metadata!C784="",FALSE,TRUE)</f>
        <v>0</v>
      </c>
      <c r="AP784">
        <f>IF(Metadata!D784="",FALSE,TRUE)</f>
        <v>0</v>
      </c>
      <c r="AQ784">
        <f>OR(AND(IF(Metadata!E784="",FALSE,TRUE),OR(exact(Metadata!E784,"not collected"),exact(Metadata!E784,"not provided"),exact(Metadata!E784,"restricted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R784">
        <f>IF(Metadata!F784="",FALSE,TRUE)</f>
        <v>0</v>
      </c>
      <c r="AS784">
        <f>OR(AND(IF(Metadata!G784="",FALSE,TRUE),OR(exact(Metadata!G784,"not collected"),exact(Metadata!G784,"not provided"))),AND(IF(Metadata!G784="",FALSE,TRUE),OR(exact(Metadata!G784,"TRUE"),exact(Metadata!G784,"FALSE"))))</f>
        <v>0</v>
      </c>
      <c r="AT784">
        <f>OR(AND(IF(Metadata!H784="",FALSE,TRUE),OR(exact(Metadata!H784,"not collected"),exact(Metadata!H784,"not provided"),exact(Metadata!H784,"restricted access"))),AND(IF(Metadata!H784="",FALSE,ISNUMBER(VALUE(Metadata!H784))),Metadata!H784&gt;=-413.0))</f>
        <v>0</v>
      </c>
      <c r="AU784">
        <f>AND(IF(Metadata!I784="",FALSE,TRUE),exact(Metadata!I784,"meters"))</f>
        <v>0</v>
      </c>
      <c r="AV784">
        <f>AND(IF(Metadata!J784="",FALSE,TRUE),OR(exact(Metadata!J784,"Host-associated"),exact(Metadata!J784,"Free-living")))</f>
        <v>0</v>
      </c>
      <c r="AW784">
        <f>AND(IF(Metadata!K784="",FALSE,TRUE),OR(exact(Metadata!K784,"Animal"),exact(Metadata!K784,"Fungus"),exact(Metadata!K784,"Plant"),exact(Metadata!K784,"Saline"),exact(Metadata!K784,"Non-saline")))</f>
        <v>0</v>
      </c>
      <c r="AX784">
        <f>AND(IF(Metadata!L784="",FALSE,TRUE),OR(exact(Metadata!L784,"Plant secretion"),exact(Metadata!L784,"Plant rhizosphere"),exact(Metadata!L784,"Plant surface"),exact(Metadata!L784,"Plant corpus"),exact(Metadata!L784,"Fungus surface"),exact(Metadata!L784,"Fungus corpus"),exact(Metadata!L784,"Animal surface"),exact(Metadata!L784,"Animal proximal gut"),exact(Metadata!L784,"Animal corpus"),exact(Metadata!L784,"Animal distal gut"),exact(Metadata!L784,"Animal secretion"),exact(Metadata!L784,"Sub-surface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Y784">
        <f>IF(Metadata!M784="",FALSE,TRUE)</f>
        <v>0</v>
      </c>
      <c r="AZ784">
        <f>IF(Metadata!N784="",FALSE,TRUE)</f>
        <v>0</v>
      </c>
      <c r="BA784">
        <f>IF(Metadata!O784="",FALSE,TRUE)</f>
        <v>0</v>
      </c>
      <c r="BB784">
        <f>OR(AND(IF(Metadata!P784="",FALSE,TRUE),OR(exact(Metadata!P784,"not collected"),exact(Metadata!P784,"not provided"),exact(Metadata!P784,"restricted access"))),AND(IF(Metadata!P784="",FALSE,TRUE),OR(exact(Metadata!P784,"air"),exact(Metadata!P784,"built environment"),exact(Metadata!P784,"host-associated"),exact(Metadata!P784,"human-associated"),exact(Metadata!P784,"human-skin"),exact(Metadata!P784,"human-oral"),exact(Metadata!P784,"human-gut"),exact(Metadata!P784,"human-vaginal"),exact(Metadata!P784,"microbial mat/biofilm"),exact(Metadata!P784,"misc environment"),exact(Metadata!P784,"plant-associated"),exact(Metadata!P784,"sediment"),exact(Metadata!P784,"soil"),exact(Metadata!P784,"wastewater/sludge"),exact(Metadata!P784,"water"))))</f>
        <v>0</v>
      </c>
      <c r="BC784">
        <f>IF(Metadata!Q784="",FALSE,TRUE)</f>
        <v>0</v>
      </c>
      <c r="BD784">
        <f>IF(Metadata!R784="",FALSE,TRUE)</f>
        <v>0</v>
      </c>
      <c r="BE784">
        <f>OR(AND(IF(Metadata!S784="",FALSE,TRUE),OR(exact(Metadata!S784,"not collected"),exact(Metadata!S784,"not provided"),exact(Metadata!S784,"restricted access"))),AND(IF(Metadata!S784="",FALSE,ISNUMBER(VALUE(Metadata!S784))),Metadata!S784&gt;=-90.00,Metadata!S784&lt;=90.00))</f>
        <v>0</v>
      </c>
      <c r="BF784">
        <f>AND(IF(Metadata!T784="",FALSE,TRUE),exact(Metadata!T784,"Decimal degrees"))</f>
        <v>0</v>
      </c>
      <c r="BG784">
        <f>OR(AND(IF(Metadata!U784="",FALSE,TRUE),OR(exact(Metadata!U784,"not collected"),exact(Metadata!U784,"not provided"),exact(Metadata!U784,"restricted access"))),AND(IF(Metadata!U784="",FALSE,ISNUMBER(VALUE(Metadata!U784))),Metadata!U784&gt;=-180.00,Metadata!U784&lt;=180.00))</f>
        <v>0</v>
      </c>
      <c r="BH784">
        <f>AND(IF(Metadata!V784="",FALSE,TRUE),exact(Metadata!V784,"Decimal degrees"))</f>
        <v>0</v>
      </c>
      <c r="BI784">
        <f>IF(Metadata!W784="",FALSE,TRUE)</f>
        <v>0</v>
      </c>
      <c r="BJ784">
        <f>OR(AND(IF(Metadata!X784="",FALSE,TRUE),OR(exact(Metadata!X784,"not collected"),exact(Metadata!X784,"not provided"),exact(Metadata!X784,"restricted access"))),AND(IF(Metadata!X784="",FALSE,TRUE),OR(exact(Metadata!X784,"TRUE"),exact(Metadata!X784,"FALSE"))))</f>
        <v>0</v>
      </c>
      <c r="BK784">
        <f>AND(IF(Metadata!Y784="",FALSE,TRUE),exact(Metadata!Y784,"other"))</f>
        <v>0</v>
      </c>
      <c r="BL784">
        <f>IF(Metadata!Z784="",FALSE,TRUE)</f>
        <v>0</v>
      </c>
      <c r="BM784">
        <f>OR(AND(IF(Metadata!AA784="",FALSE,TRUE),OR(exact(Metadata!AA784,"not collected"),exact(Metadata!AA784,"not provided"))),AND(IF(Metadata!AA784="",FALSE,IF(ISERROR(INT(Metadata!AA784)),FALSE,INT(Metadata!AA784)=Metadata!AA784)),Metadata!AA784&gt;0))</f>
        <v>0</v>
      </c>
      <c r="BN784">
        <f>AND(IF(Metadata!AB784="",FALSE,TRUE),exact(Metadata!AB784,"Not applicable"))</f>
        <v>0</v>
      </c>
      <c r="BO784">
        <f>IF(Metadata!AC784="",FALSE,TRUE)</f>
        <v>0</v>
      </c>
    </row>
    <row r="785" spans="1:67">
      <c r="A785" s="5">
        <f>IF(B785=" "," ",HYPERLINK(CONCATENATE("#metadata!",ADDRESS(INDEX($AI$2:$AI$1001,MATCH(ROWS($AG$2:AG785),$AG$2:$AG$1001,0),0),1)),INDEX($AL$2:$AL$1001,MATCH(ROWS($AG$2:AG785),$AG$2:$AG$1001,0),0)))</f>
        <v>0</v>
      </c>
      <c r="B785" s="4">
        <f>IF(OR(INDEX($AH$2:$AH$1001,MATCH(ROWS($AG$2:AG785),$AG$2:$AG$1001,0),1)&gt;=100000,INDEX($AN$1005:$BO$1005,1,MATCH(COLUMNS($AN$1006:AN1006),$AN$1006:$BO$1006,0))&gt;=100000), " ",IF(INDEX($AN$2:$BO$1001,MATCH(ROWS($AG$2:AG785),$AG$2:$AG$1001,0),MATCH(COLUMNS($AN$1006:AN1006),$AN$1006:$BO$1006,0)), HYPERLINK("#",""), HYPERLINK(CONCATENATE("#Metadata!", ADDRESS(INDEX($AI$2:$AI$1001,MATCH(ROWS($AG$2:AG785),$AG$2:$AG$1001,0),0), INDEX($AN$1004:$BO$1004,1,MATCH(COLUMNS($AN$1006:AN1006),$AN$1006:$BO$1006,0)))),"Fix")))</f>
        <v>0</v>
      </c>
      <c r="C785" s="4">
        <f>IF(OR(INDEX($AH$2:$AH$1001,MATCH(ROWS($AG$2:AG785),$AG$2:$AG$1001,0),1)&gt;=100000,INDEX($AN$1005:$BO$1005,1,MATCH(COLUMNS($AN$1006:AO1006),$AN$1006:$BO$1006,0))&gt;=100000), " ",IF(INDEX($AN$2:$BO$1001,MATCH(ROWS($AG$2:AG785),$AG$2:$AG$1001,0),MATCH(COLUMNS($AN$1006:AO1006),$AN$1006:$BO$1006,0)), HYPERLINK("#",""), HYPERLINK(CONCATENATE("#Metadata!", ADDRESS(INDEX($AI$2:$AI$1001,MATCH(ROWS($AG$2:AG785),$AG$2:$AG$1001,0),0), INDEX($AN$1004:$BO$1004,1,MATCH(COLUMNS($AN$1006:AO1006),$AN$1006:$BO$1006,0)))),"Fix")))</f>
        <v>0</v>
      </c>
      <c r="D785" s="4">
        <f>IF(OR(INDEX($AH$2:$AH$1001,MATCH(ROWS($AG$2:AG785),$AG$2:$AG$1001,0),1)&gt;=100000,INDEX($AN$1005:$BO$1005,1,MATCH(COLUMNS($AN$1006:AP1006),$AN$1006:$BO$1006,0))&gt;=100000), " ",IF(INDEX($AN$2:$BO$1001,MATCH(ROWS($AG$2:AG785),$AG$2:$AG$1001,0),MATCH(COLUMNS($AN$1006:AP1006),$AN$1006:$BO$1006,0)), HYPERLINK("#",""), HYPERLINK(CONCATENATE("#Metadata!", ADDRESS(INDEX($AI$2:$AI$1001,MATCH(ROWS($AG$2:AG785),$AG$2:$AG$1001,0),0), INDEX($AN$1004:$BO$1004,1,MATCH(COLUMNS($AN$1006:AP1006),$AN$1006:$BO$1006,0)))),"Fix")))</f>
        <v>0</v>
      </c>
      <c r="E785" s="4">
        <f>IF(OR(INDEX($AH$2:$AH$1001,MATCH(ROWS($AG$2:AG785),$AG$2:$AG$1001,0),1)&gt;=100000,INDEX($AN$1005:$BO$1005,1,MATCH(COLUMNS($AN$1006:AQ1006),$AN$1006:$BO$1006,0))&gt;=100000), " ",IF(INDEX($AN$2:$BO$1001,MATCH(ROWS($AG$2:AG785),$AG$2:$AG$1001,0),MATCH(COLUMNS($AN$1006:AQ1006),$AN$1006:$BO$1006,0)), HYPERLINK("#",""), HYPERLINK(CONCATENATE("#Metadata!", ADDRESS(INDEX($AI$2:$AI$1001,MATCH(ROWS($AG$2:AG785),$AG$2:$AG$1001,0),0), INDEX($AN$1004:$BO$1004,1,MATCH(COLUMNS($AN$1006:AQ1006),$AN$1006:$BO$1006,0)))),"Fix")))</f>
        <v>0</v>
      </c>
      <c r="F785" s="4">
        <f>IF(OR(INDEX($AH$2:$AH$1001,MATCH(ROWS($AG$2:AG785),$AG$2:$AG$1001,0),1)&gt;=100000,INDEX($AN$1005:$BO$1005,1,MATCH(COLUMNS($AN$1006:AR1006),$AN$1006:$BO$1006,0))&gt;=100000), " ",IF(INDEX($AN$2:$BO$1001,MATCH(ROWS($AG$2:AG785),$AG$2:$AG$1001,0),MATCH(COLUMNS($AN$1006:AR1006),$AN$1006:$BO$1006,0)), HYPERLINK("#",""), HYPERLINK(CONCATENATE("#Metadata!", ADDRESS(INDEX($AI$2:$AI$1001,MATCH(ROWS($AG$2:AG785),$AG$2:$AG$1001,0),0), INDEX($AN$1004:$BO$1004,1,MATCH(COLUMNS($AN$1006:AR1006),$AN$1006:$BO$1006,0)))),"Fix")))</f>
        <v>0</v>
      </c>
      <c r="G785" s="4">
        <f>IF(OR(INDEX($AH$2:$AH$1001,MATCH(ROWS($AG$2:AG785),$AG$2:$AG$1001,0),1)&gt;=100000,INDEX($AN$1005:$BO$1005,1,MATCH(COLUMNS($AN$1006:AS1006),$AN$1006:$BO$1006,0))&gt;=100000), " ",IF(INDEX($AN$2:$BO$1001,MATCH(ROWS($AG$2:AG785),$AG$2:$AG$1001,0),MATCH(COLUMNS($AN$1006:AS1006),$AN$1006:$BO$1006,0)), HYPERLINK("#",""), HYPERLINK(CONCATENATE("#Metadata!", ADDRESS(INDEX($AI$2:$AI$1001,MATCH(ROWS($AG$2:AG785),$AG$2:$AG$1001,0),0), INDEX($AN$1004:$BO$1004,1,MATCH(COLUMNS($AN$1006:AS1006),$AN$1006:$BO$1006,0)))),"Fix")))</f>
        <v>0</v>
      </c>
      <c r="H785" s="4">
        <f>IF(OR(INDEX($AH$2:$AH$1001,MATCH(ROWS($AG$2:AG785),$AG$2:$AG$1001,0),1)&gt;=100000,INDEX($AN$1005:$BO$1005,1,MATCH(COLUMNS($AN$1006:AT1006),$AN$1006:$BO$1006,0))&gt;=100000), " ",IF(INDEX($AN$2:$BO$1001,MATCH(ROWS($AG$2:AG785),$AG$2:$AG$1001,0),MATCH(COLUMNS($AN$1006:AT1006),$AN$1006:$BO$1006,0)), HYPERLINK("#",""), HYPERLINK(CONCATENATE("#Metadata!", ADDRESS(INDEX($AI$2:$AI$1001,MATCH(ROWS($AG$2:AG785),$AG$2:$AG$1001,0),0), INDEX($AN$1004:$BO$1004,1,MATCH(COLUMNS($AN$1006:AT1006),$AN$1006:$BO$1006,0)))),"Fix")))</f>
        <v>0</v>
      </c>
      <c r="I785" s="4">
        <f>IF(OR(INDEX($AH$2:$AH$1001,MATCH(ROWS($AG$2:AG785),$AG$2:$AG$1001,0),1)&gt;=100000,INDEX($AN$1005:$BO$1005,1,MATCH(COLUMNS($AN$1006:AU1006),$AN$1006:$BO$1006,0))&gt;=100000), " ",IF(INDEX($AN$2:$BO$1001,MATCH(ROWS($AG$2:AG785),$AG$2:$AG$1001,0),MATCH(COLUMNS($AN$1006:AU1006),$AN$1006:$BO$1006,0)), HYPERLINK("#",""), HYPERLINK(CONCATENATE("#Metadata!", ADDRESS(INDEX($AI$2:$AI$1001,MATCH(ROWS($AG$2:AG785),$AG$2:$AG$1001,0),0), INDEX($AN$1004:$BO$1004,1,MATCH(COLUMNS($AN$1006:AU1006),$AN$1006:$BO$1006,0)))),"Fix")))</f>
        <v>0</v>
      </c>
      <c r="J785" s="4">
        <f>IF(OR(INDEX($AH$2:$AH$1001,MATCH(ROWS($AG$2:AG785),$AG$2:$AG$1001,0),1)&gt;=100000,INDEX($AN$1005:$BO$1005,1,MATCH(COLUMNS($AN$1006:AV1006),$AN$1006:$BO$1006,0))&gt;=100000), " ",IF(INDEX($AN$2:$BO$1001,MATCH(ROWS($AG$2:AG785),$AG$2:$AG$1001,0),MATCH(COLUMNS($AN$1006:AV1006),$AN$1006:$BO$1006,0)), HYPERLINK("#",""), HYPERLINK(CONCATENATE("#Metadata!", ADDRESS(INDEX($AI$2:$AI$1001,MATCH(ROWS($AG$2:AG785),$AG$2:$AG$1001,0),0), INDEX($AN$1004:$BO$1004,1,MATCH(COLUMNS($AN$1006:AV1006),$AN$1006:$BO$1006,0)))),"Fix")))</f>
        <v>0</v>
      </c>
      <c r="K785" s="4">
        <f>IF(OR(INDEX($AH$2:$AH$1001,MATCH(ROWS($AG$2:AG785),$AG$2:$AG$1001,0),1)&gt;=100000,INDEX($AN$1005:$BO$1005,1,MATCH(COLUMNS($AN$1006:AW1006),$AN$1006:$BO$1006,0))&gt;=100000), " ",IF(INDEX($AN$2:$BO$1001,MATCH(ROWS($AG$2:AG785),$AG$2:$AG$1001,0),MATCH(COLUMNS($AN$1006:AW1006),$AN$1006:$BO$1006,0)), HYPERLINK("#",""), HYPERLINK(CONCATENATE("#Metadata!", ADDRESS(INDEX($AI$2:$AI$1001,MATCH(ROWS($AG$2:AG785),$AG$2:$AG$1001,0),0), INDEX($AN$1004:$BO$1004,1,MATCH(COLUMNS($AN$1006:AW1006),$AN$1006:$BO$1006,0)))),"Fix")))</f>
        <v>0</v>
      </c>
      <c r="L785" s="4">
        <f>IF(OR(INDEX($AH$2:$AH$1001,MATCH(ROWS($AG$2:AG785),$AG$2:$AG$1001,0),1)&gt;=100000,INDEX($AN$1005:$BO$1005,1,MATCH(COLUMNS($AN$1006:AX1006),$AN$1006:$BO$1006,0))&gt;=100000), " ",IF(INDEX($AN$2:$BO$1001,MATCH(ROWS($AG$2:AG785),$AG$2:$AG$1001,0),MATCH(COLUMNS($AN$1006:AX1006),$AN$1006:$BO$1006,0)), HYPERLINK("#",""), HYPERLINK(CONCATENATE("#Metadata!", ADDRESS(INDEX($AI$2:$AI$1001,MATCH(ROWS($AG$2:AG785),$AG$2:$AG$1001,0),0), INDEX($AN$1004:$BO$1004,1,MATCH(COLUMNS($AN$1006:AX1006),$AN$1006:$BO$1006,0)))),"Fix")))</f>
        <v>0</v>
      </c>
      <c r="M785" s="4">
        <f>IF(OR(INDEX($AH$2:$AH$1001,MATCH(ROWS($AG$2:AG785),$AG$2:$AG$1001,0),1)&gt;=100000,INDEX($AN$1005:$BO$1005,1,MATCH(COLUMNS($AN$1006:AY1006),$AN$1006:$BO$1006,0))&gt;=100000), " ",IF(INDEX($AN$2:$BO$1001,MATCH(ROWS($AG$2:AG785),$AG$2:$AG$1001,0),MATCH(COLUMNS($AN$1006:AY1006),$AN$1006:$BO$1006,0)), HYPERLINK("#",""), HYPERLINK(CONCATENATE("#Metadata!", ADDRESS(INDEX($AI$2:$AI$1001,MATCH(ROWS($AG$2:AG785),$AG$2:$AG$1001,0),0), INDEX($AN$1004:$BO$1004,1,MATCH(COLUMNS($AN$1006:AY1006),$AN$1006:$BO$1006,0)))),"Fix")))</f>
        <v>0</v>
      </c>
      <c r="N785" s="4">
        <f>IF(OR(INDEX($AH$2:$AH$1001,MATCH(ROWS($AG$2:AG785),$AG$2:$AG$1001,0),1)&gt;=100000,INDEX($AN$1005:$BO$1005,1,MATCH(COLUMNS($AN$1006:AZ1006),$AN$1006:$BO$1006,0))&gt;=100000), " ",IF(INDEX($AN$2:$BO$1001,MATCH(ROWS($AG$2:AG785),$AG$2:$AG$1001,0),MATCH(COLUMNS($AN$1006:AZ1006),$AN$1006:$BO$1006,0)), HYPERLINK("#",""), HYPERLINK(CONCATENATE("#Metadata!", ADDRESS(INDEX($AI$2:$AI$1001,MATCH(ROWS($AG$2:AG785),$AG$2:$AG$1001,0),0), INDEX($AN$1004:$BO$1004,1,MATCH(COLUMNS($AN$1006:AZ1006),$AN$1006:$BO$1006,0)))),"Fix")))</f>
        <v>0</v>
      </c>
      <c r="O785" s="4">
        <f>IF(OR(INDEX($AH$2:$AH$1001,MATCH(ROWS($AG$2:AG785),$AG$2:$AG$1001,0),1)&gt;=100000,INDEX($AN$1005:$BO$1005,1,MATCH(COLUMNS($AN$1006:BA1006),$AN$1006:$BO$1006,0))&gt;=100000), " ",IF(INDEX($AN$2:$BO$1001,MATCH(ROWS($AG$2:AG785),$AG$2:$AG$1001,0),MATCH(COLUMNS($AN$1006:BA1006),$AN$1006:$BO$1006,0)), HYPERLINK("#",""), HYPERLINK(CONCATENATE("#Metadata!", ADDRESS(INDEX($AI$2:$AI$1001,MATCH(ROWS($AG$2:AG785),$AG$2:$AG$1001,0),0), INDEX($AN$1004:$BO$1004,1,MATCH(COLUMNS($AN$1006:BA1006),$AN$1006:$BO$1006,0)))),"Fix")))</f>
        <v>0</v>
      </c>
      <c r="P785" s="4">
        <f>IF(OR(INDEX($AH$2:$AH$1001,MATCH(ROWS($AG$2:AG785),$AG$2:$AG$1001,0),1)&gt;=100000,INDEX($AN$1005:$BO$1005,1,MATCH(COLUMNS($AN$1006:BB1006),$AN$1006:$BO$1006,0))&gt;=100000), " ",IF(INDEX($AN$2:$BO$1001,MATCH(ROWS($AG$2:AG785),$AG$2:$AG$1001,0),MATCH(COLUMNS($AN$1006:BB1006),$AN$1006:$BO$1006,0)), HYPERLINK("#",""), HYPERLINK(CONCATENATE("#Metadata!", ADDRESS(INDEX($AI$2:$AI$1001,MATCH(ROWS($AG$2:AG785),$AG$2:$AG$1001,0),0), INDEX($AN$1004:$BO$1004,1,MATCH(COLUMNS($AN$1006:BB1006),$AN$1006:$BO$1006,0)))),"Fix")))</f>
        <v>0</v>
      </c>
      <c r="Q785" s="4">
        <f>IF(OR(INDEX($AH$2:$AH$1001,MATCH(ROWS($AG$2:AG785),$AG$2:$AG$1001,0),1)&gt;=100000,INDEX($AN$1005:$BO$1005,1,MATCH(COLUMNS($AN$1006:BC1006),$AN$1006:$BO$1006,0))&gt;=100000), " ",IF(INDEX($AN$2:$BO$1001,MATCH(ROWS($AG$2:AG785),$AG$2:$AG$1001,0),MATCH(COLUMNS($AN$1006:BC1006),$AN$1006:$BO$1006,0)), HYPERLINK("#",""), HYPERLINK(CONCATENATE("#Metadata!", ADDRESS(INDEX($AI$2:$AI$1001,MATCH(ROWS($AG$2:AG785),$AG$2:$AG$1001,0),0), INDEX($AN$1004:$BO$1004,1,MATCH(COLUMNS($AN$1006:BC1006),$AN$1006:$BO$1006,0)))),"Fix")))</f>
        <v>0</v>
      </c>
      <c r="R785" s="4">
        <f>IF(OR(INDEX($AH$2:$AH$1001,MATCH(ROWS($AG$2:AG785),$AG$2:$AG$1001,0),1)&gt;=100000,INDEX($AN$1005:$BO$1005,1,MATCH(COLUMNS($AN$1006:BD1006),$AN$1006:$BO$1006,0))&gt;=100000), " ",IF(INDEX($AN$2:$BO$1001,MATCH(ROWS($AG$2:AG785),$AG$2:$AG$1001,0),MATCH(COLUMNS($AN$1006:BD1006),$AN$1006:$BO$1006,0)), HYPERLINK("#",""), HYPERLINK(CONCATENATE("#Metadata!", ADDRESS(INDEX($AI$2:$AI$1001,MATCH(ROWS($AG$2:AG785),$AG$2:$AG$1001,0),0), INDEX($AN$1004:$BO$1004,1,MATCH(COLUMNS($AN$1006:BD1006),$AN$1006:$BO$1006,0)))),"Fix")))</f>
        <v>0</v>
      </c>
      <c r="S785" s="4">
        <f>IF(OR(INDEX($AH$2:$AH$1001,MATCH(ROWS($AG$2:AG785),$AG$2:$AG$1001,0),1)&gt;=100000,INDEX($AN$1005:$BO$1005,1,MATCH(COLUMNS($AN$1006:BE1006),$AN$1006:$BO$1006,0))&gt;=100000), " ",IF(INDEX($AN$2:$BO$1001,MATCH(ROWS($AG$2:AG785),$AG$2:$AG$1001,0),MATCH(COLUMNS($AN$1006:BE1006),$AN$1006:$BO$1006,0)), HYPERLINK("#",""), HYPERLINK(CONCATENATE("#Metadata!", ADDRESS(INDEX($AI$2:$AI$1001,MATCH(ROWS($AG$2:AG785),$AG$2:$AG$1001,0),0), INDEX($AN$1004:$BO$1004,1,MATCH(COLUMNS($AN$1006:BE1006),$AN$1006:$BO$1006,0)))),"Fix")))</f>
        <v>0</v>
      </c>
      <c r="T785" s="4">
        <f>IF(OR(INDEX($AH$2:$AH$1001,MATCH(ROWS($AG$2:AG785),$AG$2:$AG$1001,0),1)&gt;=100000,INDEX($AN$1005:$BO$1005,1,MATCH(COLUMNS($AN$1006:BF1006),$AN$1006:$BO$1006,0))&gt;=100000), " ",IF(INDEX($AN$2:$BO$1001,MATCH(ROWS($AG$2:AG785),$AG$2:$AG$1001,0),MATCH(COLUMNS($AN$1006:BF1006),$AN$1006:$BO$1006,0)), HYPERLINK("#",""), HYPERLINK(CONCATENATE("#Metadata!", ADDRESS(INDEX($AI$2:$AI$1001,MATCH(ROWS($AG$2:AG785),$AG$2:$AG$1001,0),0), INDEX($AN$1004:$BO$1004,1,MATCH(COLUMNS($AN$1006:BF1006),$AN$1006:$BO$1006,0)))),"Fix")))</f>
        <v>0</v>
      </c>
      <c r="U785" s="4">
        <f>IF(OR(INDEX($AH$2:$AH$1001,MATCH(ROWS($AG$2:AG785),$AG$2:$AG$1001,0),1)&gt;=100000,INDEX($AN$1005:$BO$1005,1,MATCH(COLUMNS($AN$1006:BG1006),$AN$1006:$BO$1006,0))&gt;=100000), " ",IF(INDEX($AN$2:$BO$1001,MATCH(ROWS($AG$2:AG785),$AG$2:$AG$1001,0),MATCH(COLUMNS($AN$1006:BG1006),$AN$1006:$BO$1006,0)), HYPERLINK("#",""), HYPERLINK(CONCATENATE("#Metadata!", ADDRESS(INDEX($AI$2:$AI$1001,MATCH(ROWS($AG$2:AG785),$AG$2:$AG$1001,0),0), INDEX($AN$1004:$BO$1004,1,MATCH(COLUMNS($AN$1006:BG1006),$AN$1006:$BO$1006,0)))),"Fix")))</f>
        <v>0</v>
      </c>
      <c r="V785" s="4">
        <f>IF(OR(INDEX($AH$2:$AH$1001,MATCH(ROWS($AG$2:AG785),$AG$2:$AG$1001,0),1)&gt;=100000,INDEX($AN$1005:$BO$1005,1,MATCH(COLUMNS($AN$1006:BH1006),$AN$1006:$BO$1006,0))&gt;=100000), " ",IF(INDEX($AN$2:$BO$1001,MATCH(ROWS($AG$2:AG785),$AG$2:$AG$1001,0),MATCH(COLUMNS($AN$1006:BH1006),$AN$1006:$BO$1006,0)), HYPERLINK("#",""), HYPERLINK(CONCATENATE("#Metadata!", ADDRESS(INDEX($AI$2:$AI$1001,MATCH(ROWS($AG$2:AG785),$AG$2:$AG$1001,0),0), INDEX($AN$1004:$BO$1004,1,MATCH(COLUMNS($AN$1006:BH1006),$AN$1006:$BO$1006,0)))),"Fix")))</f>
        <v>0</v>
      </c>
      <c r="W785" s="4">
        <f>IF(OR(INDEX($AH$2:$AH$1001,MATCH(ROWS($AG$2:AG785),$AG$2:$AG$1001,0),1)&gt;=100000,INDEX($AN$1005:$BO$1005,1,MATCH(COLUMNS($AN$1006:BI1006),$AN$1006:$BO$1006,0))&gt;=100000), " ",IF(INDEX($AN$2:$BO$1001,MATCH(ROWS($AG$2:AG785),$AG$2:$AG$1001,0),MATCH(COLUMNS($AN$1006:BI1006),$AN$1006:$BO$1006,0)), HYPERLINK("#",""), HYPERLINK(CONCATENATE("#Metadata!", ADDRESS(INDEX($AI$2:$AI$1001,MATCH(ROWS($AG$2:AG785),$AG$2:$AG$1001,0),0), INDEX($AN$1004:$BO$1004,1,MATCH(COLUMNS($AN$1006:BI1006),$AN$1006:$BO$1006,0)))),"Fix")))</f>
        <v>0</v>
      </c>
      <c r="X785" s="4">
        <f>IF(OR(INDEX($AH$2:$AH$1001,MATCH(ROWS($AG$2:AG785),$AG$2:$AG$1001,0),1)&gt;=100000,INDEX($AN$1005:$BO$1005,1,MATCH(COLUMNS($AN$1006:BJ1006),$AN$1006:$BO$1006,0))&gt;=100000), " ",IF(INDEX($AN$2:$BO$1001,MATCH(ROWS($AG$2:AG785),$AG$2:$AG$1001,0),MATCH(COLUMNS($AN$1006:BJ1006),$AN$1006:$BO$1006,0)), HYPERLINK("#",""), HYPERLINK(CONCATENATE("#Metadata!", ADDRESS(INDEX($AI$2:$AI$1001,MATCH(ROWS($AG$2:AG785),$AG$2:$AG$1001,0),0), INDEX($AN$1004:$BO$1004,1,MATCH(COLUMNS($AN$1006:BJ1006),$AN$1006:$BO$1006,0)))),"Fix")))</f>
        <v>0</v>
      </c>
      <c r="Y785" s="4">
        <f>IF(OR(INDEX($AH$2:$AH$1001,MATCH(ROWS($AG$2:AG785),$AG$2:$AG$1001,0),1)&gt;=100000,INDEX($AN$1005:$BO$1005,1,MATCH(COLUMNS($AN$1006:BK1006),$AN$1006:$BO$1006,0))&gt;=100000), " ",IF(INDEX($AN$2:$BO$1001,MATCH(ROWS($AG$2:AG785),$AG$2:$AG$1001,0),MATCH(COLUMNS($AN$1006:BK1006),$AN$1006:$BO$1006,0)), HYPERLINK("#",""), HYPERLINK(CONCATENATE("#Metadata!", ADDRESS(INDEX($AI$2:$AI$1001,MATCH(ROWS($AG$2:AG785),$AG$2:$AG$1001,0),0), INDEX($AN$1004:$BO$1004,1,MATCH(COLUMNS($AN$1006:BK1006),$AN$1006:$BO$1006,0)))),"Fix")))</f>
        <v>0</v>
      </c>
      <c r="Z785" s="4">
        <f>IF(OR(INDEX($AH$2:$AH$1001,MATCH(ROWS($AG$2:AG785),$AG$2:$AG$1001,0),1)&gt;=100000,INDEX($AN$1005:$BO$1005,1,MATCH(COLUMNS($AN$1006:BL1006),$AN$1006:$BO$1006,0))&gt;=100000), " ",IF(INDEX($AN$2:$BO$1001,MATCH(ROWS($AG$2:AG785),$AG$2:$AG$1001,0),MATCH(COLUMNS($AN$1006:BL1006),$AN$1006:$BO$1006,0)), HYPERLINK("#",""), HYPERLINK(CONCATENATE("#Metadata!", ADDRESS(INDEX($AI$2:$AI$1001,MATCH(ROWS($AG$2:AG785),$AG$2:$AG$1001,0),0), INDEX($AN$1004:$BO$1004,1,MATCH(COLUMNS($AN$1006:BL1006),$AN$1006:$BO$1006,0)))),"Fix")))</f>
        <v>0</v>
      </c>
      <c r="AA785" s="4">
        <f>IF(OR(INDEX($AH$2:$AH$1001,MATCH(ROWS($AG$2:AG785),$AG$2:$AG$1001,0),1)&gt;=100000,INDEX($AN$1005:$BO$1005,1,MATCH(COLUMNS($AN$1006:BM1006),$AN$1006:$BO$1006,0))&gt;=100000), " ",IF(INDEX($AN$2:$BO$1001,MATCH(ROWS($AG$2:AG785),$AG$2:$AG$1001,0),MATCH(COLUMNS($AN$1006:BM1006),$AN$1006:$BO$1006,0)), HYPERLINK("#",""), HYPERLINK(CONCATENATE("#Metadata!", ADDRESS(INDEX($AI$2:$AI$1001,MATCH(ROWS($AG$2:AG785),$AG$2:$AG$1001,0),0), INDEX($AN$1004:$BO$1004,1,MATCH(COLUMNS($AN$1006:BM1006),$AN$1006:$BO$1006,0)))),"Fix")))</f>
        <v>0</v>
      </c>
      <c r="AB785" s="4">
        <f>IF(OR(INDEX($AH$2:$AH$1001,MATCH(ROWS($AG$2:AG785),$AG$2:$AG$1001,0),1)&gt;=100000,INDEX($AN$1005:$BO$1005,1,MATCH(COLUMNS($AN$1006:BN1006),$AN$1006:$BO$1006,0))&gt;=100000), " ",IF(INDEX($AN$2:$BO$1001,MATCH(ROWS($AG$2:AG785),$AG$2:$AG$1001,0),MATCH(COLUMNS($AN$1006:BN1006),$AN$1006:$BO$1006,0)), HYPERLINK("#",""), HYPERLINK(CONCATENATE("#Metadata!", ADDRESS(INDEX($AI$2:$AI$1001,MATCH(ROWS($AG$2:AG785),$AG$2:$AG$1001,0),0), INDEX($AN$1004:$BO$1004,1,MATCH(COLUMNS($AN$1006:BN1006),$AN$1006:$BO$1006,0)))),"Fix")))</f>
        <v>0</v>
      </c>
      <c r="AC785" s="4">
        <f>IF(OR(INDEX($AH$2:$AH$1001,MATCH(ROWS($AG$2:AG785),$AG$2:$AG$1001,0),1)&gt;=100000,INDEX($AN$1005:$BO$1005,1,MATCH(COLUMNS($AN$1006:BO1006),$AN$1006:$BO$1006,0))&gt;=100000), " ",IF(INDEX($AN$2:$BO$1001,MATCH(ROWS($AG$2:AG785),$AG$2:$AG$1001,0),MATCH(COLUMNS($AN$1006:BO1006),$AN$1006:$BO$1006,0)), HYPERLINK("#",""), HYPERLINK(CONCATENATE("#Metadata!", ADDRESS(INDEX($AI$2:$AI$1001,MATCH(ROWS($AG$2:AG785),$AG$2:$AG$1001,0),0), INDEX($AN$1004:$BO$1004,1,MATCH(COLUMNS($AN$1006:BO1006),$AN$1006:$BO$1006,0)))),"Fix")))</f>
        <v>0</v>
      </c>
      <c r="AG785">
        <v>0</v>
      </c>
      <c r="AH785">
        <v>0</v>
      </c>
      <c r="AI785">
        <v>0</v>
      </c>
      <c r="AJ785">
        <f>IF(AK785,TRUE,AND(AN785:BO785))</f>
        <v>0</v>
      </c>
      <c r="AK785">
        <f>COUNTBLANK(Metadata!B785:AC785)=COLUMNS(Metadata!B785:AC785)</f>
        <v>0</v>
      </c>
      <c r="AL785">
        <v>0</v>
      </c>
      <c r="AN785">
        <f>AND(IF(Metadata!B785="",FALSE,TRUE),COUNTIF(Metadata!B:B, Metadata!B785) = 1,NOT(ISERROR(SUMPRODUCT(SEARCH(MID(Metadata!B785,ROW(INDIRECT("1:"&amp;LEN(Metadata!B785))), 1),"0123456789abcdefghijklmnopqrstuvwxyzABCDEFGHIJKLMNOPQRSTUVWXYZ.")))))</f>
        <v>0</v>
      </c>
      <c r="AO785">
        <f>IF(Metadata!C785="",FALSE,TRUE)</f>
        <v>0</v>
      </c>
      <c r="AP785">
        <f>IF(Metadata!D785="",FALSE,TRUE)</f>
        <v>0</v>
      </c>
      <c r="AQ785">
        <f>OR(AND(IF(Metadata!E785="",FALSE,TRUE),OR(exact(Metadata!E785,"not collected"),exact(Metadata!E785,"not provided"),exact(Metadata!E785,"restricted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R785">
        <f>IF(Metadata!F785="",FALSE,TRUE)</f>
        <v>0</v>
      </c>
      <c r="AS785">
        <f>OR(AND(IF(Metadata!G785="",FALSE,TRUE),OR(exact(Metadata!G785,"not collected"),exact(Metadata!G785,"not provided"))),AND(IF(Metadata!G785="",FALSE,TRUE),OR(exact(Metadata!G785,"TRUE"),exact(Metadata!G785,"FALSE"))))</f>
        <v>0</v>
      </c>
      <c r="AT785">
        <f>OR(AND(IF(Metadata!H785="",FALSE,TRUE),OR(exact(Metadata!H785,"not collected"),exact(Metadata!H785,"not provided"),exact(Metadata!H785,"restricted access"))),AND(IF(Metadata!H785="",FALSE,ISNUMBER(VALUE(Metadata!H785))),Metadata!H785&gt;=-413.0))</f>
        <v>0</v>
      </c>
      <c r="AU785">
        <f>AND(IF(Metadata!I785="",FALSE,TRUE),exact(Metadata!I785,"meters"))</f>
        <v>0</v>
      </c>
      <c r="AV785">
        <f>AND(IF(Metadata!J785="",FALSE,TRUE),OR(exact(Metadata!J785,"Host-associated"),exact(Metadata!J785,"Free-living")))</f>
        <v>0</v>
      </c>
      <c r="AW785">
        <f>AND(IF(Metadata!K785="",FALSE,TRUE),OR(exact(Metadata!K785,"Animal"),exact(Metadata!K785,"Fungus"),exact(Metadata!K785,"Plant"),exact(Metadata!K785,"Saline"),exact(Metadata!K785,"Non-saline")))</f>
        <v>0</v>
      </c>
      <c r="AX785">
        <f>AND(IF(Metadata!L785="",FALSE,TRUE),OR(exact(Metadata!L785,"Plant secretion"),exact(Metadata!L785,"Plant rhizosphere"),exact(Metadata!L785,"Plant surface"),exact(Metadata!L785,"Plant corpus"),exact(Metadata!L785,"Fungus surface"),exact(Metadata!L785,"Fungus corpus"),exact(Metadata!L785,"Animal surface"),exact(Metadata!L785,"Animal proximal gut"),exact(Metadata!L785,"Animal corpus"),exact(Metadata!L785,"Animal distal gut"),exact(Metadata!L785,"Animal secretion"),exact(Metadata!L785,"Sub-surface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Y785">
        <f>IF(Metadata!M785="",FALSE,TRUE)</f>
        <v>0</v>
      </c>
      <c r="AZ785">
        <f>IF(Metadata!N785="",FALSE,TRUE)</f>
        <v>0</v>
      </c>
      <c r="BA785">
        <f>IF(Metadata!O785="",FALSE,TRUE)</f>
        <v>0</v>
      </c>
      <c r="BB785">
        <f>OR(AND(IF(Metadata!P785="",FALSE,TRUE),OR(exact(Metadata!P785,"not collected"),exact(Metadata!P785,"not provided"),exact(Metadata!P785,"restricted access"))),AND(IF(Metadata!P785="",FALSE,TRUE),OR(exact(Metadata!P785,"air"),exact(Metadata!P785,"built environment"),exact(Metadata!P785,"host-associated"),exact(Metadata!P785,"human-associated"),exact(Metadata!P785,"human-skin"),exact(Metadata!P785,"human-oral"),exact(Metadata!P785,"human-gut"),exact(Metadata!P785,"human-vaginal"),exact(Metadata!P785,"microbial mat/biofilm"),exact(Metadata!P785,"misc environment"),exact(Metadata!P785,"plant-associated"),exact(Metadata!P785,"sediment"),exact(Metadata!P785,"soil"),exact(Metadata!P785,"wastewater/sludge"),exact(Metadata!P785,"water"))))</f>
        <v>0</v>
      </c>
      <c r="BC785">
        <f>IF(Metadata!Q785="",FALSE,TRUE)</f>
        <v>0</v>
      </c>
      <c r="BD785">
        <f>IF(Metadata!R785="",FALSE,TRUE)</f>
        <v>0</v>
      </c>
      <c r="BE785">
        <f>OR(AND(IF(Metadata!S785="",FALSE,TRUE),OR(exact(Metadata!S785,"not collected"),exact(Metadata!S785,"not provided"),exact(Metadata!S785,"restricted access"))),AND(IF(Metadata!S785="",FALSE,ISNUMBER(VALUE(Metadata!S785))),Metadata!S785&gt;=-90.00,Metadata!S785&lt;=90.00))</f>
        <v>0</v>
      </c>
      <c r="BF785">
        <f>AND(IF(Metadata!T785="",FALSE,TRUE),exact(Metadata!T785,"Decimal degrees"))</f>
        <v>0</v>
      </c>
      <c r="BG785">
        <f>OR(AND(IF(Metadata!U785="",FALSE,TRUE),OR(exact(Metadata!U785,"not collected"),exact(Metadata!U785,"not provided"),exact(Metadata!U785,"restricted access"))),AND(IF(Metadata!U785="",FALSE,ISNUMBER(VALUE(Metadata!U785))),Metadata!U785&gt;=-180.00,Metadata!U785&lt;=180.00))</f>
        <v>0</v>
      </c>
      <c r="BH785">
        <f>AND(IF(Metadata!V785="",FALSE,TRUE),exact(Metadata!V785,"Decimal degrees"))</f>
        <v>0</v>
      </c>
      <c r="BI785">
        <f>IF(Metadata!W785="",FALSE,TRUE)</f>
        <v>0</v>
      </c>
      <c r="BJ785">
        <f>OR(AND(IF(Metadata!X785="",FALSE,TRUE),OR(exact(Metadata!X785,"not collected"),exact(Metadata!X785,"not provided"),exact(Metadata!X785,"restricted access"))),AND(IF(Metadata!X785="",FALSE,TRUE),OR(exact(Metadata!X785,"TRUE"),exact(Metadata!X785,"FALSE"))))</f>
        <v>0</v>
      </c>
      <c r="BK785">
        <f>AND(IF(Metadata!Y785="",FALSE,TRUE),exact(Metadata!Y785,"other"))</f>
        <v>0</v>
      </c>
      <c r="BL785">
        <f>IF(Metadata!Z785="",FALSE,TRUE)</f>
        <v>0</v>
      </c>
      <c r="BM785">
        <f>OR(AND(IF(Metadata!AA785="",FALSE,TRUE),OR(exact(Metadata!AA785,"not collected"),exact(Metadata!AA785,"not provided"))),AND(IF(Metadata!AA785="",FALSE,IF(ISERROR(INT(Metadata!AA785)),FALSE,INT(Metadata!AA785)=Metadata!AA785)),Metadata!AA785&gt;0))</f>
        <v>0</v>
      </c>
      <c r="BN785">
        <f>AND(IF(Metadata!AB785="",FALSE,TRUE),exact(Metadata!AB785,"Not applicable"))</f>
        <v>0</v>
      </c>
      <c r="BO785">
        <f>IF(Metadata!AC785="",FALSE,TRUE)</f>
        <v>0</v>
      </c>
    </row>
    <row r="786" spans="1:67">
      <c r="A786" s="5">
        <f>IF(B786=" "," ",HYPERLINK(CONCATENATE("#metadata!",ADDRESS(INDEX($AI$2:$AI$1001,MATCH(ROWS($AG$2:AG786),$AG$2:$AG$1001,0),0),1)),INDEX($AL$2:$AL$1001,MATCH(ROWS($AG$2:AG786),$AG$2:$AG$1001,0),0)))</f>
        <v>0</v>
      </c>
      <c r="B786" s="4">
        <f>IF(OR(INDEX($AH$2:$AH$1001,MATCH(ROWS($AG$2:AG786),$AG$2:$AG$1001,0),1)&gt;=100000,INDEX($AN$1005:$BO$1005,1,MATCH(COLUMNS($AN$1006:AN1006),$AN$1006:$BO$1006,0))&gt;=100000), " ",IF(INDEX($AN$2:$BO$1001,MATCH(ROWS($AG$2:AG786),$AG$2:$AG$1001,0),MATCH(COLUMNS($AN$1006:AN1006),$AN$1006:$BO$1006,0)), HYPERLINK("#",""), HYPERLINK(CONCATENATE("#Metadata!", ADDRESS(INDEX($AI$2:$AI$1001,MATCH(ROWS($AG$2:AG786),$AG$2:$AG$1001,0),0), INDEX($AN$1004:$BO$1004,1,MATCH(COLUMNS($AN$1006:AN1006),$AN$1006:$BO$1006,0)))),"Fix")))</f>
        <v>0</v>
      </c>
      <c r="C786" s="4">
        <f>IF(OR(INDEX($AH$2:$AH$1001,MATCH(ROWS($AG$2:AG786),$AG$2:$AG$1001,0),1)&gt;=100000,INDEX($AN$1005:$BO$1005,1,MATCH(COLUMNS($AN$1006:AO1006),$AN$1006:$BO$1006,0))&gt;=100000), " ",IF(INDEX($AN$2:$BO$1001,MATCH(ROWS($AG$2:AG786),$AG$2:$AG$1001,0),MATCH(COLUMNS($AN$1006:AO1006),$AN$1006:$BO$1006,0)), HYPERLINK("#",""), HYPERLINK(CONCATENATE("#Metadata!", ADDRESS(INDEX($AI$2:$AI$1001,MATCH(ROWS($AG$2:AG786),$AG$2:$AG$1001,0),0), INDEX($AN$1004:$BO$1004,1,MATCH(COLUMNS($AN$1006:AO1006),$AN$1006:$BO$1006,0)))),"Fix")))</f>
        <v>0</v>
      </c>
      <c r="D786" s="4">
        <f>IF(OR(INDEX($AH$2:$AH$1001,MATCH(ROWS($AG$2:AG786),$AG$2:$AG$1001,0),1)&gt;=100000,INDEX($AN$1005:$BO$1005,1,MATCH(COLUMNS($AN$1006:AP1006),$AN$1006:$BO$1006,0))&gt;=100000), " ",IF(INDEX($AN$2:$BO$1001,MATCH(ROWS($AG$2:AG786),$AG$2:$AG$1001,0),MATCH(COLUMNS($AN$1006:AP1006),$AN$1006:$BO$1006,0)), HYPERLINK("#",""), HYPERLINK(CONCATENATE("#Metadata!", ADDRESS(INDEX($AI$2:$AI$1001,MATCH(ROWS($AG$2:AG786),$AG$2:$AG$1001,0),0), INDEX($AN$1004:$BO$1004,1,MATCH(COLUMNS($AN$1006:AP1006),$AN$1006:$BO$1006,0)))),"Fix")))</f>
        <v>0</v>
      </c>
      <c r="E786" s="4">
        <f>IF(OR(INDEX($AH$2:$AH$1001,MATCH(ROWS($AG$2:AG786),$AG$2:$AG$1001,0),1)&gt;=100000,INDEX($AN$1005:$BO$1005,1,MATCH(COLUMNS($AN$1006:AQ1006),$AN$1006:$BO$1006,0))&gt;=100000), " ",IF(INDEX($AN$2:$BO$1001,MATCH(ROWS($AG$2:AG786),$AG$2:$AG$1001,0),MATCH(COLUMNS($AN$1006:AQ1006),$AN$1006:$BO$1006,0)), HYPERLINK("#",""), HYPERLINK(CONCATENATE("#Metadata!", ADDRESS(INDEX($AI$2:$AI$1001,MATCH(ROWS($AG$2:AG786),$AG$2:$AG$1001,0),0), INDEX($AN$1004:$BO$1004,1,MATCH(COLUMNS($AN$1006:AQ1006),$AN$1006:$BO$1006,0)))),"Fix")))</f>
        <v>0</v>
      </c>
      <c r="F786" s="4">
        <f>IF(OR(INDEX($AH$2:$AH$1001,MATCH(ROWS($AG$2:AG786),$AG$2:$AG$1001,0),1)&gt;=100000,INDEX($AN$1005:$BO$1005,1,MATCH(COLUMNS($AN$1006:AR1006),$AN$1006:$BO$1006,0))&gt;=100000), " ",IF(INDEX($AN$2:$BO$1001,MATCH(ROWS($AG$2:AG786),$AG$2:$AG$1001,0),MATCH(COLUMNS($AN$1006:AR1006),$AN$1006:$BO$1006,0)), HYPERLINK("#",""), HYPERLINK(CONCATENATE("#Metadata!", ADDRESS(INDEX($AI$2:$AI$1001,MATCH(ROWS($AG$2:AG786),$AG$2:$AG$1001,0),0), INDEX($AN$1004:$BO$1004,1,MATCH(COLUMNS($AN$1006:AR1006),$AN$1006:$BO$1006,0)))),"Fix")))</f>
        <v>0</v>
      </c>
      <c r="G786" s="4">
        <f>IF(OR(INDEX($AH$2:$AH$1001,MATCH(ROWS($AG$2:AG786),$AG$2:$AG$1001,0),1)&gt;=100000,INDEX($AN$1005:$BO$1005,1,MATCH(COLUMNS($AN$1006:AS1006),$AN$1006:$BO$1006,0))&gt;=100000), " ",IF(INDEX($AN$2:$BO$1001,MATCH(ROWS($AG$2:AG786),$AG$2:$AG$1001,0),MATCH(COLUMNS($AN$1006:AS1006),$AN$1006:$BO$1006,0)), HYPERLINK("#",""), HYPERLINK(CONCATENATE("#Metadata!", ADDRESS(INDEX($AI$2:$AI$1001,MATCH(ROWS($AG$2:AG786),$AG$2:$AG$1001,0),0), INDEX($AN$1004:$BO$1004,1,MATCH(COLUMNS($AN$1006:AS1006),$AN$1006:$BO$1006,0)))),"Fix")))</f>
        <v>0</v>
      </c>
      <c r="H786" s="4">
        <f>IF(OR(INDEX($AH$2:$AH$1001,MATCH(ROWS($AG$2:AG786),$AG$2:$AG$1001,0),1)&gt;=100000,INDEX($AN$1005:$BO$1005,1,MATCH(COLUMNS($AN$1006:AT1006),$AN$1006:$BO$1006,0))&gt;=100000), " ",IF(INDEX($AN$2:$BO$1001,MATCH(ROWS($AG$2:AG786),$AG$2:$AG$1001,0),MATCH(COLUMNS($AN$1006:AT1006),$AN$1006:$BO$1006,0)), HYPERLINK("#",""), HYPERLINK(CONCATENATE("#Metadata!", ADDRESS(INDEX($AI$2:$AI$1001,MATCH(ROWS($AG$2:AG786),$AG$2:$AG$1001,0),0), INDEX($AN$1004:$BO$1004,1,MATCH(COLUMNS($AN$1006:AT1006),$AN$1006:$BO$1006,0)))),"Fix")))</f>
        <v>0</v>
      </c>
      <c r="I786" s="4">
        <f>IF(OR(INDEX($AH$2:$AH$1001,MATCH(ROWS($AG$2:AG786),$AG$2:$AG$1001,0),1)&gt;=100000,INDEX($AN$1005:$BO$1005,1,MATCH(COLUMNS($AN$1006:AU1006),$AN$1006:$BO$1006,0))&gt;=100000), " ",IF(INDEX($AN$2:$BO$1001,MATCH(ROWS($AG$2:AG786),$AG$2:$AG$1001,0),MATCH(COLUMNS($AN$1006:AU1006),$AN$1006:$BO$1006,0)), HYPERLINK("#",""), HYPERLINK(CONCATENATE("#Metadata!", ADDRESS(INDEX($AI$2:$AI$1001,MATCH(ROWS($AG$2:AG786),$AG$2:$AG$1001,0),0), INDEX($AN$1004:$BO$1004,1,MATCH(COLUMNS($AN$1006:AU1006),$AN$1006:$BO$1006,0)))),"Fix")))</f>
        <v>0</v>
      </c>
      <c r="J786" s="4">
        <f>IF(OR(INDEX($AH$2:$AH$1001,MATCH(ROWS($AG$2:AG786),$AG$2:$AG$1001,0),1)&gt;=100000,INDEX($AN$1005:$BO$1005,1,MATCH(COLUMNS($AN$1006:AV1006),$AN$1006:$BO$1006,0))&gt;=100000), " ",IF(INDEX($AN$2:$BO$1001,MATCH(ROWS($AG$2:AG786),$AG$2:$AG$1001,0),MATCH(COLUMNS($AN$1006:AV1006),$AN$1006:$BO$1006,0)), HYPERLINK("#",""), HYPERLINK(CONCATENATE("#Metadata!", ADDRESS(INDEX($AI$2:$AI$1001,MATCH(ROWS($AG$2:AG786),$AG$2:$AG$1001,0),0), INDEX($AN$1004:$BO$1004,1,MATCH(COLUMNS($AN$1006:AV1006),$AN$1006:$BO$1006,0)))),"Fix")))</f>
        <v>0</v>
      </c>
      <c r="K786" s="4">
        <f>IF(OR(INDEX($AH$2:$AH$1001,MATCH(ROWS($AG$2:AG786),$AG$2:$AG$1001,0),1)&gt;=100000,INDEX($AN$1005:$BO$1005,1,MATCH(COLUMNS($AN$1006:AW1006),$AN$1006:$BO$1006,0))&gt;=100000), " ",IF(INDEX($AN$2:$BO$1001,MATCH(ROWS($AG$2:AG786),$AG$2:$AG$1001,0),MATCH(COLUMNS($AN$1006:AW1006),$AN$1006:$BO$1006,0)), HYPERLINK("#",""), HYPERLINK(CONCATENATE("#Metadata!", ADDRESS(INDEX($AI$2:$AI$1001,MATCH(ROWS($AG$2:AG786),$AG$2:$AG$1001,0),0), INDEX($AN$1004:$BO$1004,1,MATCH(COLUMNS($AN$1006:AW1006),$AN$1006:$BO$1006,0)))),"Fix")))</f>
        <v>0</v>
      </c>
      <c r="L786" s="4">
        <f>IF(OR(INDEX($AH$2:$AH$1001,MATCH(ROWS($AG$2:AG786),$AG$2:$AG$1001,0),1)&gt;=100000,INDEX($AN$1005:$BO$1005,1,MATCH(COLUMNS($AN$1006:AX1006),$AN$1006:$BO$1006,0))&gt;=100000), " ",IF(INDEX($AN$2:$BO$1001,MATCH(ROWS($AG$2:AG786),$AG$2:$AG$1001,0),MATCH(COLUMNS($AN$1006:AX1006),$AN$1006:$BO$1006,0)), HYPERLINK("#",""), HYPERLINK(CONCATENATE("#Metadata!", ADDRESS(INDEX($AI$2:$AI$1001,MATCH(ROWS($AG$2:AG786),$AG$2:$AG$1001,0),0), INDEX($AN$1004:$BO$1004,1,MATCH(COLUMNS($AN$1006:AX1006),$AN$1006:$BO$1006,0)))),"Fix")))</f>
        <v>0</v>
      </c>
      <c r="M786" s="4">
        <f>IF(OR(INDEX($AH$2:$AH$1001,MATCH(ROWS($AG$2:AG786),$AG$2:$AG$1001,0),1)&gt;=100000,INDEX($AN$1005:$BO$1005,1,MATCH(COLUMNS($AN$1006:AY1006),$AN$1006:$BO$1006,0))&gt;=100000), " ",IF(INDEX($AN$2:$BO$1001,MATCH(ROWS($AG$2:AG786),$AG$2:$AG$1001,0),MATCH(COLUMNS($AN$1006:AY1006),$AN$1006:$BO$1006,0)), HYPERLINK("#",""), HYPERLINK(CONCATENATE("#Metadata!", ADDRESS(INDEX($AI$2:$AI$1001,MATCH(ROWS($AG$2:AG786),$AG$2:$AG$1001,0),0), INDEX($AN$1004:$BO$1004,1,MATCH(COLUMNS($AN$1006:AY1006),$AN$1006:$BO$1006,0)))),"Fix")))</f>
        <v>0</v>
      </c>
      <c r="N786" s="4">
        <f>IF(OR(INDEX($AH$2:$AH$1001,MATCH(ROWS($AG$2:AG786),$AG$2:$AG$1001,0),1)&gt;=100000,INDEX($AN$1005:$BO$1005,1,MATCH(COLUMNS($AN$1006:AZ1006),$AN$1006:$BO$1006,0))&gt;=100000), " ",IF(INDEX($AN$2:$BO$1001,MATCH(ROWS($AG$2:AG786),$AG$2:$AG$1001,0),MATCH(COLUMNS($AN$1006:AZ1006),$AN$1006:$BO$1006,0)), HYPERLINK("#",""), HYPERLINK(CONCATENATE("#Metadata!", ADDRESS(INDEX($AI$2:$AI$1001,MATCH(ROWS($AG$2:AG786),$AG$2:$AG$1001,0),0), INDEX($AN$1004:$BO$1004,1,MATCH(COLUMNS($AN$1006:AZ1006),$AN$1006:$BO$1006,0)))),"Fix")))</f>
        <v>0</v>
      </c>
      <c r="O786" s="4">
        <f>IF(OR(INDEX($AH$2:$AH$1001,MATCH(ROWS($AG$2:AG786),$AG$2:$AG$1001,0),1)&gt;=100000,INDEX($AN$1005:$BO$1005,1,MATCH(COLUMNS($AN$1006:BA1006),$AN$1006:$BO$1006,0))&gt;=100000), " ",IF(INDEX($AN$2:$BO$1001,MATCH(ROWS($AG$2:AG786),$AG$2:$AG$1001,0),MATCH(COLUMNS($AN$1006:BA1006),$AN$1006:$BO$1006,0)), HYPERLINK("#",""), HYPERLINK(CONCATENATE("#Metadata!", ADDRESS(INDEX($AI$2:$AI$1001,MATCH(ROWS($AG$2:AG786),$AG$2:$AG$1001,0),0), INDEX($AN$1004:$BO$1004,1,MATCH(COLUMNS($AN$1006:BA1006),$AN$1006:$BO$1006,0)))),"Fix")))</f>
        <v>0</v>
      </c>
      <c r="P786" s="4">
        <f>IF(OR(INDEX($AH$2:$AH$1001,MATCH(ROWS($AG$2:AG786),$AG$2:$AG$1001,0),1)&gt;=100000,INDEX($AN$1005:$BO$1005,1,MATCH(COLUMNS($AN$1006:BB1006),$AN$1006:$BO$1006,0))&gt;=100000), " ",IF(INDEX($AN$2:$BO$1001,MATCH(ROWS($AG$2:AG786),$AG$2:$AG$1001,0),MATCH(COLUMNS($AN$1006:BB1006),$AN$1006:$BO$1006,0)), HYPERLINK("#",""), HYPERLINK(CONCATENATE("#Metadata!", ADDRESS(INDEX($AI$2:$AI$1001,MATCH(ROWS($AG$2:AG786),$AG$2:$AG$1001,0),0), INDEX($AN$1004:$BO$1004,1,MATCH(COLUMNS($AN$1006:BB1006),$AN$1006:$BO$1006,0)))),"Fix")))</f>
        <v>0</v>
      </c>
      <c r="Q786" s="4">
        <f>IF(OR(INDEX($AH$2:$AH$1001,MATCH(ROWS($AG$2:AG786),$AG$2:$AG$1001,0),1)&gt;=100000,INDEX($AN$1005:$BO$1005,1,MATCH(COLUMNS($AN$1006:BC1006),$AN$1006:$BO$1006,0))&gt;=100000), " ",IF(INDEX($AN$2:$BO$1001,MATCH(ROWS($AG$2:AG786),$AG$2:$AG$1001,0),MATCH(COLUMNS($AN$1006:BC1006),$AN$1006:$BO$1006,0)), HYPERLINK("#",""), HYPERLINK(CONCATENATE("#Metadata!", ADDRESS(INDEX($AI$2:$AI$1001,MATCH(ROWS($AG$2:AG786),$AG$2:$AG$1001,0),0), INDEX($AN$1004:$BO$1004,1,MATCH(COLUMNS($AN$1006:BC1006),$AN$1006:$BO$1006,0)))),"Fix")))</f>
        <v>0</v>
      </c>
      <c r="R786" s="4">
        <f>IF(OR(INDEX($AH$2:$AH$1001,MATCH(ROWS($AG$2:AG786),$AG$2:$AG$1001,0),1)&gt;=100000,INDEX($AN$1005:$BO$1005,1,MATCH(COLUMNS($AN$1006:BD1006),$AN$1006:$BO$1006,0))&gt;=100000), " ",IF(INDEX($AN$2:$BO$1001,MATCH(ROWS($AG$2:AG786),$AG$2:$AG$1001,0),MATCH(COLUMNS($AN$1006:BD1006),$AN$1006:$BO$1006,0)), HYPERLINK("#",""), HYPERLINK(CONCATENATE("#Metadata!", ADDRESS(INDEX($AI$2:$AI$1001,MATCH(ROWS($AG$2:AG786),$AG$2:$AG$1001,0),0), INDEX($AN$1004:$BO$1004,1,MATCH(COLUMNS($AN$1006:BD1006),$AN$1006:$BO$1006,0)))),"Fix")))</f>
        <v>0</v>
      </c>
      <c r="S786" s="4">
        <f>IF(OR(INDEX($AH$2:$AH$1001,MATCH(ROWS($AG$2:AG786),$AG$2:$AG$1001,0),1)&gt;=100000,INDEX($AN$1005:$BO$1005,1,MATCH(COLUMNS($AN$1006:BE1006),$AN$1006:$BO$1006,0))&gt;=100000), " ",IF(INDEX($AN$2:$BO$1001,MATCH(ROWS($AG$2:AG786),$AG$2:$AG$1001,0),MATCH(COLUMNS($AN$1006:BE1006),$AN$1006:$BO$1006,0)), HYPERLINK("#",""), HYPERLINK(CONCATENATE("#Metadata!", ADDRESS(INDEX($AI$2:$AI$1001,MATCH(ROWS($AG$2:AG786),$AG$2:$AG$1001,0),0), INDEX($AN$1004:$BO$1004,1,MATCH(COLUMNS($AN$1006:BE1006),$AN$1006:$BO$1006,0)))),"Fix")))</f>
        <v>0</v>
      </c>
      <c r="T786" s="4">
        <f>IF(OR(INDEX($AH$2:$AH$1001,MATCH(ROWS($AG$2:AG786),$AG$2:$AG$1001,0),1)&gt;=100000,INDEX($AN$1005:$BO$1005,1,MATCH(COLUMNS($AN$1006:BF1006),$AN$1006:$BO$1006,0))&gt;=100000), " ",IF(INDEX($AN$2:$BO$1001,MATCH(ROWS($AG$2:AG786),$AG$2:$AG$1001,0),MATCH(COLUMNS($AN$1006:BF1006),$AN$1006:$BO$1006,0)), HYPERLINK("#",""), HYPERLINK(CONCATENATE("#Metadata!", ADDRESS(INDEX($AI$2:$AI$1001,MATCH(ROWS($AG$2:AG786),$AG$2:$AG$1001,0),0), INDEX($AN$1004:$BO$1004,1,MATCH(COLUMNS($AN$1006:BF1006),$AN$1006:$BO$1006,0)))),"Fix")))</f>
        <v>0</v>
      </c>
      <c r="U786" s="4">
        <f>IF(OR(INDEX($AH$2:$AH$1001,MATCH(ROWS($AG$2:AG786),$AG$2:$AG$1001,0),1)&gt;=100000,INDEX($AN$1005:$BO$1005,1,MATCH(COLUMNS($AN$1006:BG1006),$AN$1006:$BO$1006,0))&gt;=100000), " ",IF(INDEX($AN$2:$BO$1001,MATCH(ROWS($AG$2:AG786),$AG$2:$AG$1001,0),MATCH(COLUMNS($AN$1006:BG1006),$AN$1006:$BO$1006,0)), HYPERLINK("#",""), HYPERLINK(CONCATENATE("#Metadata!", ADDRESS(INDEX($AI$2:$AI$1001,MATCH(ROWS($AG$2:AG786),$AG$2:$AG$1001,0),0), INDEX($AN$1004:$BO$1004,1,MATCH(COLUMNS($AN$1006:BG1006),$AN$1006:$BO$1006,0)))),"Fix")))</f>
        <v>0</v>
      </c>
      <c r="V786" s="4">
        <f>IF(OR(INDEX($AH$2:$AH$1001,MATCH(ROWS($AG$2:AG786),$AG$2:$AG$1001,0),1)&gt;=100000,INDEX($AN$1005:$BO$1005,1,MATCH(COLUMNS($AN$1006:BH1006),$AN$1006:$BO$1006,0))&gt;=100000), " ",IF(INDEX($AN$2:$BO$1001,MATCH(ROWS($AG$2:AG786),$AG$2:$AG$1001,0),MATCH(COLUMNS($AN$1006:BH1006),$AN$1006:$BO$1006,0)), HYPERLINK("#",""), HYPERLINK(CONCATENATE("#Metadata!", ADDRESS(INDEX($AI$2:$AI$1001,MATCH(ROWS($AG$2:AG786),$AG$2:$AG$1001,0),0), INDEX($AN$1004:$BO$1004,1,MATCH(COLUMNS($AN$1006:BH1006),$AN$1006:$BO$1006,0)))),"Fix")))</f>
        <v>0</v>
      </c>
      <c r="W786" s="4">
        <f>IF(OR(INDEX($AH$2:$AH$1001,MATCH(ROWS($AG$2:AG786),$AG$2:$AG$1001,0),1)&gt;=100000,INDEX($AN$1005:$BO$1005,1,MATCH(COLUMNS($AN$1006:BI1006),$AN$1006:$BO$1006,0))&gt;=100000), " ",IF(INDEX($AN$2:$BO$1001,MATCH(ROWS($AG$2:AG786),$AG$2:$AG$1001,0),MATCH(COLUMNS($AN$1006:BI1006),$AN$1006:$BO$1006,0)), HYPERLINK("#",""), HYPERLINK(CONCATENATE("#Metadata!", ADDRESS(INDEX($AI$2:$AI$1001,MATCH(ROWS($AG$2:AG786),$AG$2:$AG$1001,0),0), INDEX($AN$1004:$BO$1004,1,MATCH(COLUMNS($AN$1006:BI1006),$AN$1006:$BO$1006,0)))),"Fix")))</f>
        <v>0</v>
      </c>
      <c r="X786" s="4">
        <f>IF(OR(INDEX($AH$2:$AH$1001,MATCH(ROWS($AG$2:AG786),$AG$2:$AG$1001,0),1)&gt;=100000,INDEX($AN$1005:$BO$1005,1,MATCH(COLUMNS($AN$1006:BJ1006),$AN$1006:$BO$1006,0))&gt;=100000), " ",IF(INDEX($AN$2:$BO$1001,MATCH(ROWS($AG$2:AG786),$AG$2:$AG$1001,0),MATCH(COLUMNS($AN$1006:BJ1006),$AN$1006:$BO$1006,0)), HYPERLINK("#",""), HYPERLINK(CONCATENATE("#Metadata!", ADDRESS(INDEX($AI$2:$AI$1001,MATCH(ROWS($AG$2:AG786),$AG$2:$AG$1001,0),0), INDEX($AN$1004:$BO$1004,1,MATCH(COLUMNS($AN$1006:BJ1006),$AN$1006:$BO$1006,0)))),"Fix")))</f>
        <v>0</v>
      </c>
      <c r="Y786" s="4">
        <f>IF(OR(INDEX($AH$2:$AH$1001,MATCH(ROWS($AG$2:AG786),$AG$2:$AG$1001,0),1)&gt;=100000,INDEX($AN$1005:$BO$1005,1,MATCH(COLUMNS($AN$1006:BK1006),$AN$1006:$BO$1006,0))&gt;=100000), " ",IF(INDEX($AN$2:$BO$1001,MATCH(ROWS($AG$2:AG786),$AG$2:$AG$1001,0),MATCH(COLUMNS($AN$1006:BK1006),$AN$1006:$BO$1006,0)), HYPERLINK("#",""), HYPERLINK(CONCATENATE("#Metadata!", ADDRESS(INDEX($AI$2:$AI$1001,MATCH(ROWS($AG$2:AG786),$AG$2:$AG$1001,0),0), INDEX($AN$1004:$BO$1004,1,MATCH(COLUMNS($AN$1006:BK1006),$AN$1006:$BO$1006,0)))),"Fix")))</f>
        <v>0</v>
      </c>
      <c r="Z786" s="4">
        <f>IF(OR(INDEX($AH$2:$AH$1001,MATCH(ROWS($AG$2:AG786),$AG$2:$AG$1001,0),1)&gt;=100000,INDEX($AN$1005:$BO$1005,1,MATCH(COLUMNS($AN$1006:BL1006),$AN$1006:$BO$1006,0))&gt;=100000), " ",IF(INDEX($AN$2:$BO$1001,MATCH(ROWS($AG$2:AG786),$AG$2:$AG$1001,0),MATCH(COLUMNS($AN$1006:BL1006),$AN$1006:$BO$1006,0)), HYPERLINK("#",""), HYPERLINK(CONCATENATE("#Metadata!", ADDRESS(INDEX($AI$2:$AI$1001,MATCH(ROWS($AG$2:AG786),$AG$2:$AG$1001,0),0), INDEX($AN$1004:$BO$1004,1,MATCH(COLUMNS($AN$1006:BL1006),$AN$1006:$BO$1006,0)))),"Fix")))</f>
        <v>0</v>
      </c>
      <c r="AA786" s="4">
        <f>IF(OR(INDEX($AH$2:$AH$1001,MATCH(ROWS($AG$2:AG786),$AG$2:$AG$1001,0),1)&gt;=100000,INDEX($AN$1005:$BO$1005,1,MATCH(COLUMNS($AN$1006:BM1006),$AN$1006:$BO$1006,0))&gt;=100000), " ",IF(INDEX($AN$2:$BO$1001,MATCH(ROWS($AG$2:AG786),$AG$2:$AG$1001,0),MATCH(COLUMNS($AN$1006:BM1006),$AN$1006:$BO$1006,0)), HYPERLINK("#",""), HYPERLINK(CONCATENATE("#Metadata!", ADDRESS(INDEX($AI$2:$AI$1001,MATCH(ROWS($AG$2:AG786),$AG$2:$AG$1001,0),0), INDEX($AN$1004:$BO$1004,1,MATCH(COLUMNS($AN$1006:BM1006),$AN$1006:$BO$1006,0)))),"Fix")))</f>
        <v>0</v>
      </c>
      <c r="AB786" s="4">
        <f>IF(OR(INDEX($AH$2:$AH$1001,MATCH(ROWS($AG$2:AG786),$AG$2:$AG$1001,0),1)&gt;=100000,INDEX($AN$1005:$BO$1005,1,MATCH(COLUMNS($AN$1006:BN1006),$AN$1006:$BO$1006,0))&gt;=100000), " ",IF(INDEX($AN$2:$BO$1001,MATCH(ROWS($AG$2:AG786),$AG$2:$AG$1001,0),MATCH(COLUMNS($AN$1006:BN1006),$AN$1006:$BO$1006,0)), HYPERLINK("#",""), HYPERLINK(CONCATENATE("#Metadata!", ADDRESS(INDEX($AI$2:$AI$1001,MATCH(ROWS($AG$2:AG786),$AG$2:$AG$1001,0),0), INDEX($AN$1004:$BO$1004,1,MATCH(COLUMNS($AN$1006:BN1006),$AN$1006:$BO$1006,0)))),"Fix")))</f>
        <v>0</v>
      </c>
      <c r="AC786" s="4">
        <f>IF(OR(INDEX($AH$2:$AH$1001,MATCH(ROWS($AG$2:AG786),$AG$2:$AG$1001,0),1)&gt;=100000,INDEX($AN$1005:$BO$1005,1,MATCH(COLUMNS($AN$1006:BO1006),$AN$1006:$BO$1006,0))&gt;=100000), " ",IF(INDEX($AN$2:$BO$1001,MATCH(ROWS($AG$2:AG786),$AG$2:$AG$1001,0),MATCH(COLUMNS($AN$1006:BO1006),$AN$1006:$BO$1006,0)), HYPERLINK("#",""), HYPERLINK(CONCATENATE("#Metadata!", ADDRESS(INDEX($AI$2:$AI$1001,MATCH(ROWS($AG$2:AG786),$AG$2:$AG$1001,0),0), INDEX($AN$1004:$BO$1004,1,MATCH(COLUMNS($AN$1006:BO1006),$AN$1006:$BO$1006,0)))),"Fix")))</f>
        <v>0</v>
      </c>
      <c r="AG786">
        <v>0</v>
      </c>
      <c r="AH786">
        <v>0</v>
      </c>
      <c r="AI786">
        <v>0</v>
      </c>
      <c r="AJ786">
        <f>IF(AK786,TRUE,AND(AN786:BO786))</f>
        <v>0</v>
      </c>
      <c r="AK786">
        <f>COUNTBLANK(Metadata!B786:AC786)=COLUMNS(Metadata!B786:AC786)</f>
        <v>0</v>
      </c>
      <c r="AL786">
        <v>0</v>
      </c>
      <c r="AN786">
        <f>AND(IF(Metadata!B786="",FALSE,TRUE),COUNTIF(Metadata!B:B, Metadata!B786) = 1,NOT(ISERROR(SUMPRODUCT(SEARCH(MID(Metadata!B786,ROW(INDIRECT("1:"&amp;LEN(Metadata!B786))), 1),"0123456789abcdefghijklmnopqrstuvwxyzABCDEFGHIJKLMNOPQRSTUVWXYZ.")))))</f>
        <v>0</v>
      </c>
      <c r="AO786">
        <f>IF(Metadata!C786="",FALSE,TRUE)</f>
        <v>0</v>
      </c>
      <c r="AP786">
        <f>IF(Metadata!D786="",FALSE,TRUE)</f>
        <v>0</v>
      </c>
      <c r="AQ786">
        <f>OR(AND(IF(Metadata!E786="",FALSE,TRUE),OR(exact(Metadata!E786,"not collected"),exact(Metadata!E786,"not provided"),exact(Metadata!E786,"restricted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R786">
        <f>IF(Metadata!F786="",FALSE,TRUE)</f>
        <v>0</v>
      </c>
      <c r="AS786">
        <f>OR(AND(IF(Metadata!G786="",FALSE,TRUE),OR(exact(Metadata!G786,"not collected"),exact(Metadata!G786,"not provided"))),AND(IF(Metadata!G786="",FALSE,TRUE),OR(exact(Metadata!G786,"TRUE"),exact(Metadata!G786,"FALSE"))))</f>
        <v>0</v>
      </c>
      <c r="AT786">
        <f>OR(AND(IF(Metadata!H786="",FALSE,TRUE),OR(exact(Metadata!H786,"not collected"),exact(Metadata!H786,"not provided"),exact(Metadata!H786,"restricted access"))),AND(IF(Metadata!H786="",FALSE,ISNUMBER(VALUE(Metadata!H786))),Metadata!H786&gt;=-413.0))</f>
        <v>0</v>
      </c>
      <c r="AU786">
        <f>AND(IF(Metadata!I786="",FALSE,TRUE),exact(Metadata!I786,"meters"))</f>
        <v>0</v>
      </c>
      <c r="AV786">
        <f>AND(IF(Metadata!J786="",FALSE,TRUE),OR(exact(Metadata!J786,"Host-associated"),exact(Metadata!J786,"Free-living")))</f>
        <v>0</v>
      </c>
      <c r="AW786">
        <f>AND(IF(Metadata!K786="",FALSE,TRUE),OR(exact(Metadata!K786,"Animal"),exact(Metadata!K786,"Fungus"),exact(Metadata!K786,"Plant"),exact(Metadata!K786,"Saline"),exact(Metadata!K786,"Non-saline")))</f>
        <v>0</v>
      </c>
      <c r="AX786">
        <f>AND(IF(Metadata!L786="",FALSE,TRUE),OR(exact(Metadata!L786,"Plant secretion"),exact(Metadata!L786,"Plant rhizosphere"),exact(Metadata!L786,"Plant surface"),exact(Metadata!L786,"Plant corpus"),exact(Metadata!L786,"Fungus surface"),exact(Metadata!L786,"Fungus corpus"),exact(Metadata!L786,"Animal surface"),exact(Metadata!L786,"Animal proximal gut"),exact(Metadata!L786,"Animal corpus"),exact(Metadata!L786,"Animal distal gut"),exact(Metadata!L786,"Animal secretion"),exact(Metadata!L786,"Sub-surface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Y786">
        <f>IF(Metadata!M786="",FALSE,TRUE)</f>
        <v>0</v>
      </c>
      <c r="AZ786">
        <f>IF(Metadata!N786="",FALSE,TRUE)</f>
        <v>0</v>
      </c>
      <c r="BA786">
        <f>IF(Metadata!O786="",FALSE,TRUE)</f>
        <v>0</v>
      </c>
      <c r="BB786">
        <f>OR(AND(IF(Metadata!P786="",FALSE,TRUE),OR(exact(Metadata!P786,"not collected"),exact(Metadata!P786,"not provided"),exact(Metadata!P786,"restricted access"))),AND(IF(Metadata!P786="",FALSE,TRUE),OR(exact(Metadata!P786,"air"),exact(Metadata!P786,"built environment"),exact(Metadata!P786,"host-associated"),exact(Metadata!P786,"human-associated"),exact(Metadata!P786,"human-skin"),exact(Metadata!P786,"human-oral"),exact(Metadata!P786,"human-gut"),exact(Metadata!P786,"human-vaginal"),exact(Metadata!P786,"microbial mat/biofilm"),exact(Metadata!P786,"misc environment"),exact(Metadata!P786,"plant-associated"),exact(Metadata!P786,"sediment"),exact(Metadata!P786,"soil"),exact(Metadata!P786,"wastewater/sludge"),exact(Metadata!P786,"water"))))</f>
        <v>0</v>
      </c>
      <c r="BC786">
        <f>IF(Metadata!Q786="",FALSE,TRUE)</f>
        <v>0</v>
      </c>
      <c r="BD786">
        <f>IF(Metadata!R786="",FALSE,TRUE)</f>
        <v>0</v>
      </c>
      <c r="BE786">
        <f>OR(AND(IF(Metadata!S786="",FALSE,TRUE),OR(exact(Metadata!S786,"not collected"),exact(Metadata!S786,"not provided"),exact(Metadata!S786,"restricted access"))),AND(IF(Metadata!S786="",FALSE,ISNUMBER(VALUE(Metadata!S786))),Metadata!S786&gt;=-90.00,Metadata!S786&lt;=90.00))</f>
        <v>0</v>
      </c>
      <c r="BF786">
        <f>AND(IF(Metadata!T786="",FALSE,TRUE),exact(Metadata!T786,"Decimal degrees"))</f>
        <v>0</v>
      </c>
      <c r="BG786">
        <f>OR(AND(IF(Metadata!U786="",FALSE,TRUE),OR(exact(Metadata!U786,"not collected"),exact(Metadata!U786,"not provided"),exact(Metadata!U786,"restricted access"))),AND(IF(Metadata!U786="",FALSE,ISNUMBER(VALUE(Metadata!U786))),Metadata!U786&gt;=-180.00,Metadata!U786&lt;=180.00))</f>
        <v>0</v>
      </c>
      <c r="BH786">
        <f>AND(IF(Metadata!V786="",FALSE,TRUE),exact(Metadata!V786,"Decimal degrees"))</f>
        <v>0</v>
      </c>
      <c r="BI786">
        <f>IF(Metadata!W786="",FALSE,TRUE)</f>
        <v>0</v>
      </c>
      <c r="BJ786">
        <f>OR(AND(IF(Metadata!X786="",FALSE,TRUE),OR(exact(Metadata!X786,"not collected"),exact(Metadata!X786,"not provided"),exact(Metadata!X786,"restricted access"))),AND(IF(Metadata!X786="",FALSE,TRUE),OR(exact(Metadata!X786,"TRUE"),exact(Metadata!X786,"FALSE"))))</f>
        <v>0</v>
      </c>
      <c r="BK786">
        <f>AND(IF(Metadata!Y786="",FALSE,TRUE),exact(Metadata!Y786,"other"))</f>
        <v>0</v>
      </c>
      <c r="BL786">
        <f>IF(Metadata!Z786="",FALSE,TRUE)</f>
        <v>0</v>
      </c>
      <c r="BM786">
        <f>OR(AND(IF(Metadata!AA786="",FALSE,TRUE),OR(exact(Metadata!AA786,"not collected"),exact(Metadata!AA786,"not provided"))),AND(IF(Metadata!AA786="",FALSE,IF(ISERROR(INT(Metadata!AA786)),FALSE,INT(Metadata!AA786)=Metadata!AA786)),Metadata!AA786&gt;0))</f>
        <v>0</v>
      </c>
      <c r="BN786">
        <f>AND(IF(Metadata!AB786="",FALSE,TRUE),exact(Metadata!AB786,"Not applicable"))</f>
        <v>0</v>
      </c>
      <c r="BO786">
        <f>IF(Metadata!AC786="",FALSE,TRUE)</f>
        <v>0</v>
      </c>
    </row>
    <row r="787" spans="1:67">
      <c r="A787" s="5">
        <f>IF(B787=" "," ",HYPERLINK(CONCATENATE("#metadata!",ADDRESS(INDEX($AI$2:$AI$1001,MATCH(ROWS($AG$2:AG787),$AG$2:$AG$1001,0),0),1)),INDEX($AL$2:$AL$1001,MATCH(ROWS($AG$2:AG787),$AG$2:$AG$1001,0),0)))</f>
        <v>0</v>
      </c>
      <c r="B787" s="4">
        <f>IF(OR(INDEX($AH$2:$AH$1001,MATCH(ROWS($AG$2:AG787),$AG$2:$AG$1001,0),1)&gt;=100000,INDEX($AN$1005:$BO$1005,1,MATCH(COLUMNS($AN$1006:AN1006),$AN$1006:$BO$1006,0))&gt;=100000), " ",IF(INDEX($AN$2:$BO$1001,MATCH(ROWS($AG$2:AG787),$AG$2:$AG$1001,0),MATCH(COLUMNS($AN$1006:AN1006),$AN$1006:$BO$1006,0)), HYPERLINK("#",""), HYPERLINK(CONCATENATE("#Metadata!", ADDRESS(INDEX($AI$2:$AI$1001,MATCH(ROWS($AG$2:AG787),$AG$2:$AG$1001,0),0), INDEX($AN$1004:$BO$1004,1,MATCH(COLUMNS($AN$1006:AN1006),$AN$1006:$BO$1006,0)))),"Fix")))</f>
        <v>0</v>
      </c>
      <c r="C787" s="4">
        <f>IF(OR(INDEX($AH$2:$AH$1001,MATCH(ROWS($AG$2:AG787),$AG$2:$AG$1001,0),1)&gt;=100000,INDEX($AN$1005:$BO$1005,1,MATCH(COLUMNS($AN$1006:AO1006),$AN$1006:$BO$1006,0))&gt;=100000), " ",IF(INDEX($AN$2:$BO$1001,MATCH(ROWS($AG$2:AG787),$AG$2:$AG$1001,0),MATCH(COLUMNS($AN$1006:AO1006),$AN$1006:$BO$1006,0)), HYPERLINK("#",""), HYPERLINK(CONCATENATE("#Metadata!", ADDRESS(INDEX($AI$2:$AI$1001,MATCH(ROWS($AG$2:AG787),$AG$2:$AG$1001,0),0), INDEX($AN$1004:$BO$1004,1,MATCH(COLUMNS($AN$1006:AO1006),$AN$1006:$BO$1006,0)))),"Fix")))</f>
        <v>0</v>
      </c>
      <c r="D787" s="4">
        <f>IF(OR(INDEX($AH$2:$AH$1001,MATCH(ROWS($AG$2:AG787),$AG$2:$AG$1001,0),1)&gt;=100000,INDEX($AN$1005:$BO$1005,1,MATCH(COLUMNS($AN$1006:AP1006),$AN$1006:$BO$1006,0))&gt;=100000), " ",IF(INDEX($AN$2:$BO$1001,MATCH(ROWS($AG$2:AG787),$AG$2:$AG$1001,0),MATCH(COLUMNS($AN$1006:AP1006),$AN$1006:$BO$1006,0)), HYPERLINK("#",""), HYPERLINK(CONCATENATE("#Metadata!", ADDRESS(INDEX($AI$2:$AI$1001,MATCH(ROWS($AG$2:AG787),$AG$2:$AG$1001,0),0), INDEX($AN$1004:$BO$1004,1,MATCH(COLUMNS($AN$1006:AP1006),$AN$1006:$BO$1006,0)))),"Fix")))</f>
        <v>0</v>
      </c>
      <c r="E787" s="4">
        <f>IF(OR(INDEX($AH$2:$AH$1001,MATCH(ROWS($AG$2:AG787),$AG$2:$AG$1001,0),1)&gt;=100000,INDEX($AN$1005:$BO$1005,1,MATCH(COLUMNS($AN$1006:AQ1006),$AN$1006:$BO$1006,0))&gt;=100000), " ",IF(INDEX($AN$2:$BO$1001,MATCH(ROWS($AG$2:AG787),$AG$2:$AG$1001,0),MATCH(COLUMNS($AN$1006:AQ1006),$AN$1006:$BO$1006,0)), HYPERLINK("#",""), HYPERLINK(CONCATENATE("#Metadata!", ADDRESS(INDEX($AI$2:$AI$1001,MATCH(ROWS($AG$2:AG787),$AG$2:$AG$1001,0),0), INDEX($AN$1004:$BO$1004,1,MATCH(COLUMNS($AN$1006:AQ1006),$AN$1006:$BO$1006,0)))),"Fix")))</f>
        <v>0</v>
      </c>
      <c r="F787" s="4">
        <f>IF(OR(INDEX($AH$2:$AH$1001,MATCH(ROWS($AG$2:AG787),$AG$2:$AG$1001,0),1)&gt;=100000,INDEX($AN$1005:$BO$1005,1,MATCH(COLUMNS($AN$1006:AR1006),$AN$1006:$BO$1006,0))&gt;=100000), " ",IF(INDEX($AN$2:$BO$1001,MATCH(ROWS($AG$2:AG787),$AG$2:$AG$1001,0),MATCH(COLUMNS($AN$1006:AR1006),$AN$1006:$BO$1006,0)), HYPERLINK("#",""), HYPERLINK(CONCATENATE("#Metadata!", ADDRESS(INDEX($AI$2:$AI$1001,MATCH(ROWS($AG$2:AG787),$AG$2:$AG$1001,0),0), INDEX($AN$1004:$BO$1004,1,MATCH(COLUMNS($AN$1006:AR1006),$AN$1006:$BO$1006,0)))),"Fix")))</f>
        <v>0</v>
      </c>
      <c r="G787" s="4">
        <f>IF(OR(INDEX($AH$2:$AH$1001,MATCH(ROWS($AG$2:AG787),$AG$2:$AG$1001,0),1)&gt;=100000,INDEX($AN$1005:$BO$1005,1,MATCH(COLUMNS($AN$1006:AS1006),$AN$1006:$BO$1006,0))&gt;=100000), " ",IF(INDEX($AN$2:$BO$1001,MATCH(ROWS($AG$2:AG787),$AG$2:$AG$1001,0),MATCH(COLUMNS($AN$1006:AS1006),$AN$1006:$BO$1006,0)), HYPERLINK("#",""), HYPERLINK(CONCATENATE("#Metadata!", ADDRESS(INDEX($AI$2:$AI$1001,MATCH(ROWS($AG$2:AG787),$AG$2:$AG$1001,0),0), INDEX($AN$1004:$BO$1004,1,MATCH(COLUMNS($AN$1006:AS1006),$AN$1006:$BO$1006,0)))),"Fix")))</f>
        <v>0</v>
      </c>
      <c r="H787" s="4">
        <f>IF(OR(INDEX($AH$2:$AH$1001,MATCH(ROWS($AG$2:AG787),$AG$2:$AG$1001,0),1)&gt;=100000,INDEX($AN$1005:$BO$1005,1,MATCH(COLUMNS($AN$1006:AT1006),$AN$1006:$BO$1006,0))&gt;=100000), " ",IF(INDEX($AN$2:$BO$1001,MATCH(ROWS($AG$2:AG787),$AG$2:$AG$1001,0),MATCH(COLUMNS($AN$1006:AT1006),$AN$1006:$BO$1006,0)), HYPERLINK("#",""), HYPERLINK(CONCATENATE("#Metadata!", ADDRESS(INDEX($AI$2:$AI$1001,MATCH(ROWS($AG$2:AG787),$AG$2:$AG$1001,0),0), INDEX($AN$1004:$BO$1004,1,MATCH(COLUMNS($AN$1006:AT1006),$AN$1006:$BO$1006,0)))),"Fix")))</f>
        <v>0</v>
      </c>
      <c r="I787" s="4">
        <f>IF(OR(INDEX($AH$2:$AH$1001,MATCH(ROWS($AG$2:AG787),$AG$2:$AG$1001,0),1)&gt;=100000,INDEX($AN$1005:$BO$1005,1,MATCH(COLUMNS($AN$1006:AU1006),$AN$1006:$BO$1006,0))&gt;=100000), " ",IF(INDEX($AN$2:$BO$1001,MATCH(ROWS($AG$2:AG787),$AG$2:$AG$1001,0),MATCH(COLUMNS($AN$1006:AU1006),$AN$1006:$BO$1006,0)), HYPERLINK("#",""), HYPERLINK(CONCATENATE("#Metadata!", ADDRESS(INDEX($AI$2:$AI$1001,MATCH(ROWS($AG$2:AG787),$AG$2:$AG$1001,0),0), INDEX($AN$1004:$BO$1004,1,MATCH(COLUMNS($AN$1006:AU1006),$AN$1006:$BO$1006,0)))),"Fix")))</f>
        <v>0</v>
      </c>
      <c r="J787" s="4">
        <f>IF(OR(INDEX($AH$2:$AH$1001,MATCH(ROWS($AG$2:AG787),$AG$2:$AG$1001,0),1)&gt;=100000,INDEX($AN$1005:$BO$1005,1,MATCH(COLUMNS($AN$1006:AV1006),$AN$1006:$BO$1006,0))&gt;=100000), " ",IF(INDEX($AN$2:$BO$1001,MATCH(ROWS($AG$2:AG787),$AG$2:$AG$1001,0),MATCH(COLUMNS($AN$1006:AV1006),$AN$1006:$BO$1006,0)), HYPERLINK("#",""), HYPERLINK(CONCATENATE("#Metadata!", ADDRESS(INDEX($AI$2:$AI$1001,MATCH(ROWS($AG$2:AG787),$AG$2:$AG$1001,0),0), INDEX($AN$1004:$BO$1004,1,MATCH(COLUMNS($AN$1006:AV1006),$AN$1006:$BO$1006,0)))),"Fix")))</f>
        <v>0</v>
      </c>
      <c r="K787" s="4">
        <f>IF(OR(INDEX($AH$2:$AH$1001,MATCH(ROWS($AG$2:AG787),$AG$2:$AG$1001,0),1)&gt;=100000,INDEX($AN$1005:$BO$1005,1,MATCH(COLUMNS($AN$1006:AW1006),$AN$1006:$BO$1006,0))&gt;=100000), " ",IF(INDEX($AN$2:$BO$1001,MATCH(ROWS($AG$2:AG787),$AG$2:$AG$1001,0),MATCH(COLUMNS($AN$1006:AW1006),$AN$1006:$BO$1006,0)), HYPERLINK("#",""), HYPERLINK(CONCATENATE("#Metadata!", ADDRESS(INDEX($AI$2:$AI$1001,MATCH(ROWS($AG$2:AG787),$AG$2:$AG$1001,0),0), INDEX($AN$1004:$BO$1004,1,MATCH(COLUMNS($AN$1006:AW1006),$AN$1006:$BO$1006,0)))),"Fix")))</f>
        <v>0</v>
      </c>
      <c r="L787" s="4">
        <f>IF(OR(INDEX($AH$2:$AH$1001,MATCH(ROWS($AG$2:AG787),$AG$2:$AG$1001,0),1)&gt;=100000,INDEX($AN$1005:$BO$1005,1,MATCH(COLUMNS($AN$1006:AX1006),$AN$1006:$BO$1006,0))&gt;=100000), " ",IF(INDEX($AN$2:$BO$1001,MATCH(ROWS($AG$2:AG787),$AG$2:$AG$1001,0),MATCH(COLUMNS($AN$1006:AX1006),$AN$1006:$BO$1006,0)), HYPERLINK("#",""), HYPERLINK(CONCATENATE("#Metadata!", ADDRESS(INDEX($AI$2:$AI$1001,MATCH(ROWS($AG$2:AG787),$AG$2:$AG$1001,0),0), INDEX($AN$1004:$BO$1004,1,MATCH(COLUMNS($AN$1006:AX1006),$AN$1006:$BO$1006,0)))),"Fix")))</f>
        <v>0</v>
      </c>
      <c r="M787" s="4">
        <f>IF(OR(INDEX($AH$2:$AH$1001,MATCH(ROWS($AG$2:AG787),$AG$2:$AG$1001,0),1)&gt;=100000,INDEX($AN$1005:$BO$1005,1,MATCH(COLUMNS($AN$1006:AY1006),$AN$1006:$BO$1006,0))&gt;=100000), " ",IF(INDEX($AN$2:$BO$1001,MATCH(ROWS($AG$2:AG787),$AG$2:$AG$1001,0),MATCH(COLUMNS($AN$1006:AY1006),$AN$1006:$BO$1006,0)), HYPERLINK("#",""), HYPERLINK(CONCATENATE("#Metadata!", ADDRESS(INDEX($AI$2:$AI$1001,MATCH(ROWS($AG$2:AG787),$AG$2:$AG$1001,0),0), INDEX($AN$1004:$BO$1004,1,MATCH(COLUMNS($AN$1006:AY1006),$AN$1006:$BO$1006,0)))),"Fix")))</f>
        <v>0</v>
      </c>
      <c r="N787" s="4">
        <f>IF(OR(INDEX($AH$2:$AH$1001,MATCH(ROWS($AG$2:AG787),$AG$2:$AG$1001,0),1)&gt;=100000,INDEX($AN$1005:$BO$1005,1,MATCH(COLUMNS($AN$1006:AZ1006),$AN$1006:$BO$1006,0))&gt;=100000), " ",IF(INDEX($AN$2:$BO$1001,MATCH(ROWS($AG$2:AG787),$AG$2:$AG$1001,0),MATCH(COLUMNS($AN$1006:AZ1006),$AN$1006:$BO$1006,0)), HYPERLINK("#",""), HYPERLINK(CONCATENATE("#Metadata!", ADDRESS(INDEX($AI$2:$AI$1001,MATCH(ROWS($AG$2:AG787),$AG$2:$AG$1001,0),0), INDEX($AN$1004:$BO$1004,1,MATCH(COLUMNS($AN$1006:AZ1006),$AN$1006:$BO$1006,0)))),"Fix")))</f>
        <v>0</v>
      </c>
      <c r="O787" s="4">
        <f>IF(OR(INDEX($AH$2:$AH$1001,MATCH(ROWS($AG$2:AG787),$AG$2:$AG$1001,0),1)&gt;=100000,INDEX($AN$1005:$BO$1005,1,MATCH(COLUMNS($AN$1006:BA1006),$AN$1006:$BO$1006,0))&gt;=100000), " ",IF(INDEX($AN$2:$BO$1001,MATCH(ROWS($AG$2:AG787),$AG$2:$AG$1001,0),MATCH(COLUMNS($AN$1006:BA1006),$AN$1006:$BO$1006,0)), HYPERLINK("#",""), HYPERLINK(CONCATENATE("#Metadata!", ADDRESS(INDEX($AI$2:$AI$1001,MATCH(ROWS($AG$2:AG787),$AG$2:$AG$1001,0),0), INDEX($AN$1004:$BO$1004,1,MATCH(COLUMNS($AN$1006:BA1006),$AN$1006:$BO$1006,0)))),"Fix")))</f>
        <v>0</v>
      </c>
      <c r="P787" s="4">
        <f>IF(OR(INDEX($AH$2:$AH$1001,MATCH(ROWS($AG$2:AG787),$AG$2:$AG$1001,0),1)&gt;=100000,INDEX($AN$1005:$BO$1005,1,MATCH(COLUMNS($AN$1006:BB1006),$AN$1006:$BO$1006,0))&gt;=100000), " ",IF(INDEX($AN$2:$BO$1001,MATCH(ROWS($AG$2:AG787),$AG$2:$AG$1001,0),MATCH(COLUMNS($AN$1006:BB1006),$AN$1006:$BO$1006,0)), HYPERLINK("#",""), HYPERLINK(CONCATENATE("#Metadata!", ADDRESS(INDEX($AI$2:$AI$1001,MATCH(ROWS($AG$2:AG787),$AG$2:$AG$1001,0),0), INDEX($AN$1004:$BO$1004,1,MATCH(COLUMNS($AN$1006:BB1006),$AN$1006:$BO$1006,0)))),"Fix")))</f>
        <v>0</v>
      </c>
      <c r="Q787" s="4">
        <f>IF(OR(INDEX($AH$2:$AH$1001,MATCH(ROWS($AG$2:AG787),$AG$2:$AG$1001,0),1)&gt;=100000,INDEX($AN$1005:$BO$1005,1,MATCH(COLUMNS($AN$1006:BC1006),$AN$1006:$BO$1006,0))&gt;=100000), " ",IF(INDEX($AN$2:$BO$1001,MATCH(ROWS($AG$2:AG787),$AG$2:$AG$1001,0),MATCH(COLUMNS($AN$1006:BC1006),$AN$1006:$BO$1006,0)), HYPERLINK("#",""), HYPERLINK(CONCATENATE("#Metadata!", ADDRESS(INDEX($AI$2:$AI$1001,MATCH(ROWS($AG$2:AG787),$AG$2:$AG$1001,0),0), INDEX($AN$1004:$BO$1004,1,MATCH(COLUMNS($AN$1006:BC1006),$AN$1006:$BO$1006,0)))),"Fix")))</f>
        <v>0</v>
      </c>
      <c r="R787" s="4">
        <f>IF(OR(INDEX($AH$2:$AH$1001,MATCH(ROWS($AG$2:AG787),$AG$2:$AG$1001,0),1)&gt;=100000,INDEX($AN$1005:$BO$1005,1,MATCH(COLUMNS($AN$1006:BD1006),$AN$1006:$BO$1006,0))&gt;=100000), " ",IF(INDEX($AN$2:$BO$1001,MATCH(ROWS($AG$2:AG787),$AG$2:$AG$1001,0),MATCH(COLUMNS($AN$1006:BD1006),$AN$1006:$BO$1006,0)), HYPERLINK("#",""), HYPERLINK(CONCATENATE("#Metadata!", ADDRESS(INDEX($AI$2:$AI$1001,MATCH(ROWS($AG$2:AG787),$AG$2:$AG$1001,0),0), INDEX($AN$1004:$BO$1004,1,MATCH(COLUMNS($AN$1006:BD1006),$AN$1006:$BO$1006,0)))),"Fix")))</f>
        <v>0</v>
      </c>
      <c r="S787" s="4">
        <f>IF(OR(INDEX($AH$2:$AH$1001,MATCH(ROWS($AG$2:AG787),$AG$2:$AG$1001,0),1)&gt;=100000,INDEX($AN$1005:$BO$1005,1,MATCH(COLUMNS($AN$1006:BE1006),$AN$1006:$BO$1006,0))&gt;=100000), " ",IF(INDEX($AN$2:$BO$1001,MATCH(ROWS($AG$2:AG787),$AG$2:$AG$1001,0),MATCH(COLUMNS($AN$1006:BE1006),$AN$1006:$BO$1006,0)), HYPERLINK("#",""), HYPERLINK(CONCATENATE("#Metadata!", ADDRESS(INDEX($AI$2:$AI$1001,MATCH(ROWS($AG$2:AG787),$AG$2:$AG$1001,0),0), INDEX($AN$1004:$BO$1004,1,MATCH(COLUMNS($AN$1006:BE1006),$AN$1006:$BO$1006,0)))),"Fix")))</f>
        <v>0</v>
      </c>
      <c r="T787" s="4">
        <f>IF(OR(INDEX($AH$2:$AH$1001,MATCH(ROWS($AG$2:AG787),$AG$2:$AG$1001,0),1)&gt;=100000,INDEX($AN$1005:$BO$1005,1,MATCH(COLUMNS($AN$1006:BF1006),$AN$1006:$BO$1006,0))&gt;=100000), " ",IF(INDEX($AN$2:$BO$1001,MATCH(ROWS($AG$2:AG787),$AG$2:$AG$1001,0),MATCH(COLUMNS($AN$1006:BF1006),$AN$1006:$BO$1006,0)), HYPERLINK("#",""), HYPERLINK(CONCATENATE("#Metadata!", ADDRESS(INDEX($AI$2:$AI$1001,MATCH(ROWS($AG$2:AG787),$AG$2:$AG$1001,0),0), INDEX($AN$1004:$BO$1004,1,MATCH(COLUMNS($AN$1006:BF1006),$AN$1006:$BO$1006,0)))),"Fix")))</f>
        <v>0</v>
      </c>
      <c r="U787" s="4">
        <f>IF(OR(INDEX($AH$2:$AH$1001,MATCH(ROWS($AG$2:AG787),$AG$2:$AG$1001,0),1)&gt;=100000,INDEX($AN$1005:$BO$1005,1,MATCH(COLUMNS($AN$1006:BG1006),$AN$1006:$BO$1006,0))&gt;=100000), " ",IF(INDEX($AN$2:$BO$1001,MATCH(ROWS($AG$2:AG787),$AG$2:$AG$1001,0),MATCH(COLUMNS($AN$1006:BG1006),$AN$1006:$BO$1006,0)), HYPERLINK("#",""), HYPERLINK(CONCATENATE("#Metadata!", ADDRESS(INDEX($AI$2:$AI$1001,MATCH(ROWS($AG$2:AG787),$AG$2:$AG$1001,0),0), INDEX($AN$1004:$BO$1004,1,MATCH(COLUMNS($AN$1006:BG1006),$AN$1006:$BO$1006,0)))),"Fix")))</f>
        <v>0</v>
      </c>
      <c r="V787" s="4">
        <f>IF(OR(INDEX($AH$2:$AH$1001,MATCH(ROWS($AG$2:AG787),$AG$2:$AG$1001,0),1)&gt;=100000,INDEX($AN$1005:$BO$1005,1,MATCH(COLUMNS($AN$1006:BH1006),$AN$1006:$BO$1006,0))&gt;=100000), " ",IF(INDEX($AN$2:$BO$1001,MATCH(ROWS($AG$2:AG787),$AG$2:$AG$1001,0),MATCH(COLUMNS($AN$1006:BH1006),$AN$1006:$BO$1006,0)), HYPERLINK("#",""), HYPERLINK(CONCATENATE("#Metadata!", ADDRESS(INDEX($AI$2:$AI$1001,MATCH(ROWS($AG$2:AG787),$AG$2:$AG$1001,0),0), INDEX($AN$1004:$BO$1004,1,MATCH(COLUMNS($AN$1006:BH1006),$AN$1006:$BO$1006,0)))),"Fix")))</f>
        <v>0</v>
      </c>
      <c r="W787" s="4">
        <f>IF(OR(INDEX($AH$2:$AH$1001,MATCH(ROWS($AG$2:AG787),$AG$2:$AG$1001,0),1)&gt;=100000,INDEX($AN$1005:$BO$1005,1,MATCH(COLUMNS($AN$1006:BI1006),$AN$1006:$BO$1006,0))&gt;=100000), " ",IF(INDEX($AN$2:$BO$1001,MATCH(ROWS($AG$2:AG787),$AG$2:$AG$1001,0),MATCH(COLUMNS($AN$1006:BI1006),$AN$1006:$BO$1006,0)), HYPERLINK("#",""), HYPERLINK(CONCATENATE("#Metadata!", ADDRESS(INDEX($AI$2:$AI$1001,MATCH(ROWS($AG$2:AG787),$AG$2:$AG$1001,0),0), INDEX($AN$1004:$BO$1004,1,MATCH(COLUMNS($AN$1006:BI1006),$AN$1006:$BO$1006,0)))),"Fix")))</f>
        <v>0</v>
      </c>
      <c r="X787" s="4">
        <f>IF(OR(INDEX($AH$2:$AH$1001,MATCH(ROWS($AG$2:AG787),$AG$2:$AG$1001,0),1)&gt;=100000,INDEX($AN$1005:$BO$1005,1,MATCH(COLUMNS($AN$1006:BJ1006),$AN$1006:$BO$1006,0))&gt;=100000), " ",IF(INDEX($AN$2:$BO$1001,MATCH(ROWS($AG$2:AG787),$AG$2:$AG$1001,0),MATCH(COLUMNS($AN$1006:BJ1006),$AN$1006:$BO$1006,0)), HYPERLINK("#",""), HYPERLINK(CONCATENATE("#Metadata!", ADDRESS(INDEX($AI$2:$AI$1001,MATCH(ROWS($AG$2:AG787),$AG$2:$AG$1001,0),0), INDEX($AN$1004:$BO$1004,1,MATCH(COLUMNS($AN$1006:BJ1006),$AN$1006:$BO$1006,0)))),"Fix")))</f>
        <v>0</v>
      </c>
      <c r="Y787" s="4">
        <f>IF(OR(INDEX($AH$2:$AH$1001,MATCH(ROWS($AG$2:AG787),$AG$2:$AG$1001,0),1)&gt;=100000,INDEX($AN$1005:$BO$1005,1,MATCH(COLUMNS($AN$1006:BK1006),$AN$1006:$BO$1006,0))&gt;=100000), " ",IF(INDEX($AN$2:$BO$1001,MATCH(ROWS($AG$2:AG787),$AG$2:$AG$1001,0),MATCH(COLUMNS($AN$1006:BK1006),$AN$1006:$BO$1006,0)), HYPERLINK("#",""), HYPERLINK(CONCATENATE("#Metadata!", ADDRESS(INDEX($AI$2:$AI$1001,MATCH(ROWS($AG$2:AG787),$AG$2:$AG$1001,0),0), INDEX($AN$1004:$BO$1004,1,MATCH(COLUMNS($AN$1006:BK1006),$AN$1006:$BO$1006,0)))),"Fix")))</f>
        <v>0</v>
      </c>
      <c r="Z787" s="4">
        <f>IF(OR(INDEX($AH$2:$AH$1001,MATCH(ROWS($AG$2:AG787),$AG$2:$AG$1001,0),1)&gt;=100000,INDEX($AN$1005:$BO$1005,1,MATCH(COLUMNS($AN$1006:BL1006),$AN$1006:$BO$1006,0))&gt;=100000), " ",IF(INDEX($AN$2:$BO$1001,MATCH(ROWS($AG$2:AG787),$AG$2:$AG$1001,0),MATCH(COLUMNS($AN$1006:BL1006),$AN$1006:$BO$1006,0)), HYPERLINK("#",""), HYPERLINK(CONCATENATE("#Metadata!", ADDRESS(INDEX($AI$2:$AI$1001,MATCH(ROWS($AG$2:AG787),$AG$2:$AG$1001,0),0), INDEX($AN$1004:$BO$1004,1,MATCH(COLUMNS($AN$1006:BL1006),$AN$1006:$BO$1006,0)))),"Fix")))</f>
        <v>0</v>
      </c>
      <c r="AA787" s="4">
        <f>IF(OR(INDEX($AH$2:$AH$1001,MATCH(ROWS($AG$2:AG787),$AG$2:$AG$1001,0),1)&gt;=100000,INDEX($AN$1005:$BO$1005,1,MATCH(COLUMNS($AN$1006:BM1006),$AN$1006:$BO$1006,0))&gt;=100000), " ",IF(INDEX($AN$2:$BO$1001,MATCH(ROWS($AG$2:AG787),$AG$2:$AG$1001,0),MATCH(COLUMNS($AN$1006:BM1006),$AN$1006:$BO$1006,0)), HYPERLINK("#",""), HYPERLINK(CONCATENATE("#Metadata!", ADDRESS(INDEX($AI$2:$AI$1001,MATCH(ROWS($AG$2:AG787),$AG$2:$AG$1001,0),0), INDEX($AN$1004:$BO$1004,1,MATCH(COLUMNS($AN$1006:BM1006),$AN$1006:$BO$1006,0)))),"Fix")))</f>
        <v>0</v>
      </c>
      <c r="AB787" s="4">
        <f>IF(OR(INDEX($AH$2:$AH$1001,MATCH(ROWS($AG$2:AG787),$AG$2:$AG$1001,0),1)&gt;=100000,INDEX($AN$1005:$BO$1005,1,MATCH(COLUMNS($AN$1006:BN1006),$AN$1006:$BO$1006,0))&gt;=100000), " ",IF(INDEX($AN$2:$BO$1001,MATCH(ROWS($AG$2:AG787),$AG$2:$AG$1001,0),MATCH(COLUMNS($AN$1006:BN1006),$AN$1006:$BO$1006,0)), HYPERLINK("#",""), HYPERLINK(CONCATENATE("#Metadata!", ADDRESS(INDEX($AI$2:$AI$1001,MATCH(ROWS($AG$2:AG787),$AG$2:$AG$1001,0),0), INDEX($AN$1004:$BO$1004,1,MATCH(COLUMNS($AN$1006:BN1006),$AN$1006:$BO$1006,0)))),"Fix")))</f>
        <v>0</v>
      </c>
      <c r="AC787" s="4">
        <f>IF(OR(INDEX($AH$2:$AH$1001,MATCH(ROWS($AG$2:AG787),$AG$2:$AG$1001,0),1)&gt;=100000,INDEX($AN$1005:$BO$1005,1,MATCH(COLUMNS($AN$1006:BO1006),$AN$1006:$BO$1006,0))&gt;=100000), " ",IF(INDEX($AN$2:$BO$1001,MATCH(ROWS($AG$2:AG787),$AG$2:$AG$1001,0),MATCH(COLUMNS($AN$1006:BO1006),$AN$1006:$BO$1006,0)), HYPERLINK("#",""), HYPERLINK(CONCATENATE("#Metadata!", ADDRESS(INDEX($AI$2:$AI$1001,MATCH(ROWS($AG$2:AG787),$AG$2:$AG$1001,0),0), INDEX($AN$1004:$BO$1004,1,MATCH(COLUMNS($AN$1006:BO1006),$AN$1006:$BO$1006,0)))),"Fix")))</f>
        <v>0</v>
      </c>
      <c r="AG787">
        <v>0</v>
      </c>
      <c r="AH787">
        <v>0</v>
      </c>
      <c r="AI787">
        <v>0</v>
      </c>
      <c r="AJ787">
        <f>IF(AK787,TRUE,AND(AN787:BO787))</f>
        <v>0</v>
      </c>
      <c r="AK787">
        <f>COUNTBLANK(Metadata!B787:AC787)=COLUMNS(Metadata!B787:AC787)</f>
        <v>0</v>
      </c>
      <c r="AL787">
        <v>0</v>
      </c>
      <c r="AN787">
        <f>AND(IF(Metadata!B787="",FALSE,TRUE),COUNTIF(Metadata!B:B, Metadata!B787) = 1,NOT(ISERROR(SUMPRODUCT(SEARCH(MID(Metadata!B787,ROW(INDIRECT("1:"&amp;LEN(Metadata!B787))), 1),"0123456789abcdefghijklmnopqrstuvwxyzABCDEFGHIJKLMNOPQRSTUVWXYZ.")))))</f>
        <v>0</v>
      </c>
      <c r="AO787">
        <f>IF(Metadata!C787="",FALSE,TRUE)</f>
        <v>0</v>
      </c>
      <c r="AP787">
        <f>IF(Metadata!D787="",FALSE,TRUE)</f>
        <v>0</v>
      </c>
      <c r="AQ787">
        <f>OR(AND(IF(Metadata!E787="",FALSE,TRUE),OR(exact(Metadata!E787,"not collected"),exact(Metadata!E787,"not provided"),exact(Metadata!E787,"restricted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R787">
        <f>IF(Metadata!F787="",FALSE,TRUE)</f>
        <v>0</v>
      </c>
      <c r="AS787">
        <f>OR(AND(IF(Metadata!G787="",FALSE,TRUE),OR(exact(Metadata!G787,"not collected"),exact(Metadata!G787,"not provided"))),AND(IF(Metadata!G787="",FALSE,TRUE),OR(exact(Metadata!G787,"TRUE"),exact(Metadata!G787,"FALSE"))))</f>
        <v>0</v>
      </c>
      <c r="AT787">
        <f>OR(AND(IF(Metadata!H787="",FALSE,TRUE),OR(exact(Metadata!H787,"not collected"),exact(Metadata!H787,"not provided"),exact(Metadata!H787,"restricted access"))),AND(IF(Metadata!H787="",FALSE,ISNUMBER(VALUE(Metadata!H787))),Metadata!H787&gt;=-413.0))</f>
        <v>0</v>
      </c>
      <c r="AU787">
        <f>AND(IF(Metadata!I787="",FALSE,TRUE),exact(Metadata!I787,"meters"))</f>
        <v>0</v>
      </c>
      <c r="AV787">
        <f>AND(IF(Metadata!J787="",FALSE,TRUE),OR(exact(Metadata!J787,"Host-associated"),exact(Metadata!J787,"Free-living")))</f>
        <v>0</v>
      </c>
      <c r="AW787">
        <f>AND(IF(Metadata!K787="",FALSE,TRUE),OR(exact(Metadata!K787,"Animal"),exact(Metadata!K787,"Fungus"),exact(Metadata!K787,"Plant"),exact(Metadata!K787,"Saline"),exact(Metadata!K787,"Non-saline")))</f>
        <v>0</v>
      </c>
      <c r="AX787">
        <f>AND(IF(Metadata!L787="",FALSE,TRUE),OR(exact(Metadata!L787,"Plant secretion"),exact(Metadata!L787,"Plant rhizosphere"),exact(Metadata!L787,"Plant surface"),exact(Metadata!L787,"Plant corpus"),exact(Metadata!L787,"Fungus surface"),exact(Metadata!L787,"Fungus corpus"),exact(Metadata!L787,"Animal surface"),exact(Metadata!L787,"Animal proximal gut"),exact(Metadata!L787,"Animal corpus"),exact(Metadata!L787,"Animal distal gut"),exact(Metadata!L787,"Animal secretion"),exact(Metadata!L787,"Sub-surface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Y787">
        <f>IF(Metadata!M787="",FALSE,TRUE)</f>
        <v>0</v>
      </c>
      <c r="AZ787">
        <f>IF(Metadata!N787="",FALSE,TRUE)</f>
        <v>0</v>
      </c>
      <c r="BA787">
        <f>IF(Metadata!O787="",FALSE,TRUE)</f>
        <v>0</v>
      </c>
      <c r="BB787">
        <f>OR(AND(IF(Metadata!P787="",FALSE,TRUE),OR(exact(Metadata!P787,"not collected"),exact(Metadata!P787,"not provided"),exact(Metadata!P787,"restricted access"))),AND(IF(Metadata!P787="",FALSE,TRUE),OR(exact(Metadata!P787,"air"),exact(Metadata!P787,"built environment"),exact(Metadata!P787,"host-associated"),exact(Metadata!P787,"human-associated"),exact(Metadata!P787,"human-skin"),exact(Metadata!P787,"human-oral"),exact(Metadata!P787,"human-gut"),exact(Metadata!P787,"human-vaginal"),exact(Metadata!P787,"microbial mat/biofilm"),exact(Metadata!P787,"misc environment"),exact(Metadata!P787,"plant-associated"),exact(Metadata!P787,"sediment"),exact(Metadata!P787,"soil"),exact(Metadata!P787,"wastewater/sludge"),exact(Metadata!P787,"water"))))</f>
        <v>0</v>
      </c>
      <c r="BC787">
        <f>IF(Metadata!Q787="",FALSE,TRUE)</f>
        <v>0</v>
      </c>
      <c r="BD787">
        <f>IF(Metadata!R787="",FALSE,TRUE)</f>
        <v>0</v>
      </c>
      <c r="BE787">
        <f>OR(AND(IF(Metadata!S787="",FALSE,TRUE),OR(exact(Metadata!S787,"not collected"),exact(Metadata!S787,"not provided"),exact(Metadata!S787,"restricted access"))),AND(IF(Metadata!S787="",FALSE,ISNUMBER(VALUE(Metadata!S787))),Metadata!S787&gt;=-90.00,Metadata!S787&lt;=90.00))</f>
        <v>0</v>
      </c>
      <c r="BF787">
        <f>AND(IF(Metadata!T787="",FALSE,TRUE),exact(Metadata!T787,"Decimal degrees"))</f>
        <v>0</v>
      </c>
      <c r="BG787">
        <f>OR(AND(IF(Metadata!U787="",FALSE,TRUE),OR(exact(Metadata!U787,"not collected"),exact(Metadata!U787,"not provided"),exact(Metadata!U787,"restricted access"))),AND(IF(Metadata!U787="",FALSE,ISNUMBER(VALUE(Metadata!U787))),Metadata!U787&gt;=-180.00,Metadata!U787&lt;=180.00))</f>
        <v>0</v>
      </c>
      <c r="BH787">
        <f>AND(IF(Metadata!V787="",FALSE,TRUE),exact(Metadata!V787,"Decimal degrees"))</f>
        <v>0</v>
      </c>
      <c r="BI787">
        <f>IF(Metadata!W787="",FALSE,TRUE)</f>
        <v>0</v>
      </c>
      <c r="BJ787">
        <f>OR(AND(IF(Metadata!X787="",FALSE,TRUE),OR(exact(Metadata!X787,"not collected"),exact(Metadata!X787,"not provided"),exact(Metadata!X787,"restricted access"))),AND(IF(Metadata!X787="",FALSE,TRUE),OR(exact(Metadata!X787,"TRUE"),exact(Metadata!X787,"FALSE"))))</f>
        <v>0</v>
      </c>
      <c r="BK787">
        <f>AND(IF(Metadata!Y787="",FALSE,TRUE),exact(Metadata!Y787,"other"))</f>
        <v>0</v>
      </c>
      <c r="BL787">
        <f>IF(Metadata!Z787="",FALSE,TRUE)</f>
        <v>0</v>
      </c>
      <c r="BM787">
        <f>OR(AND(IF(Metadata!AA787="",FALSE,TRUE),OR(exact(Metadata!AA787,"not collected"),exact(Metadata!AA787,"not provided"))),AND(IF(Metadata!AA787="",FALSE,IF(ISERROR(INT(Metadata!AA787)),FALSE,INT(Metadata!AA787)=Metadata!AA787)),Metadata!AA787&gt;0))</f>
        <v>0</v>
      </c>
      <c r="BN787">
        <f>AND(IF(Metadata!AB787="",FALSE,TRUE),exact(Metadata!AB787,"Not applicable"))</f>
        <v>0</v>
      </c>
      <c r="BO787">
        <f>IF(Metadata!AC787="",FALSE,TRUE)</f>
        <v>0</v>
      </c>
    </row>
    <row r="788" spans="1:67">
      <c r="A788" s="5">
        <f>IF(B788=" "," ",HYPERLINK(CONCATENATE("#metadata!",ADDRESS(INDEX($AI$2:$AI$1001,MATCH(ROWS($AG$2:AG788),$AG$2:$AG$1001,0),0),1)),INDEX($AL$2:$AL$1001,MATCH(ROWS($AG$2:AG788),$AG$2:$AG$1001,0),0)))</f>
        <v>0</v>
      </c>
      <c r="B788" s="4">
        <f>IF(OR(INDEX($AH$2:$AH$1001,MATCH(ROWS($AG$2:AG788),$AG$2:$AG$1001,0),1)&gt;=100000,INDEX($AN$1005:$BO$1005,1,MATCH(COLUMNS($AN$1006:AN1006),$AN$1006:$BO$1006,0))&gt;=100000), " ",IF(INDEX($AN$2:$BO$1001,MATCH(ROWS($AG$2:AG788),$AG$2:$AG$1001,0),MATCH(COLUMNS($AN$1006:AN1006),$AN$1006:$BO$1006,0)), HYPERLINK("#",""), HYPERLINK(CONCATENATE("#Metadata!", ADDRESS(INDEX($AI$2:$AI$1001,MATCH(ROWS($AG$2:AG788),$AG$2:$AG$1001,0),0), INDEX($AN$1004:$BO$1004,1,MATCH(COLUMNS($AN$1006:AN1006),$AN$1006:$BO$1006,0)))),"Fix")))</f>
        <v>0</v>
      </c>
      <c r="C788" s="4">
        <f>IF(OR(INDEX($AH$2:$AH$1001,MATCH(ROWS($AG$2:AG788),$AG$2:$AG$1001,0),1)&gt;=100000,INDEX($AN$1005:$BO$1005,1,MATCH(COLUMNS($AN$1006:AO1006),$AN$1006:$BO$1006,0))&gt;=100000), " ",IF(INDEX($AN$2:$BO$1001,MATCH(ROWS($AG$2:AG788),$AG$2:$AG$1001,0),MATCH(COLUMNS($AN$1006:AO1006),$AN$1006:$BO$1006,0)), HYPERLINK("#",""), HYPERLINK(CONCATENATE("#Metadata!", ADDRESS(INDEX($AI$2:$AI$1001,MATCH(ROWS($AG$2:AG788),$AG$2:$AG$1001,0),0), INDEX($AN$1004:$BO$1004,1,MATCH(COLUMNS($AN$1006:AO1006),$AN$1006:$BO$1006,0)))),"Fix")))</f>
        <v>0</v>
      </c>
      <c r="D788" s="4">
        <f>IF(OR(INDEX($AH$2:$AH$1001,MATCH(ROWS($AG$2:AG788),$AG$2:$AG$1001,0),1)&gt;=100000,INDEX($AN$1005:$BO$1005,1,MATCH(COLUMNS($AN$1006:AP1006),$AN$1006:$BO$1006,0))&gt;=100000), " ",IF(INDEX($AN$2:$BO$1001,MATCH(ROWS($AG$2:AG788),$AG$2:$AG$1001,0),MATCH(COLUMNS($AN$1006:AP1006),$AN$1006:$BO$1006,0)), HYPERLINK("#",""), HYPERLINK(CONCATENATE("#Metadata!", ADDRESS(INDEX($AI$2:$AI$1001,MATCH(ROWS($AG$2:AG788),$AG$2:$AG$1001,0),0), INDEX($AN$1004:$BO$1004,1,MATCH(COLUMNS($AN$1006:AP1006),$AN$1006:$BO$1006,0)))),"Fix")))</f>
        <v>0</v>
      </c>
      <c r="E788" s="4">
        <f>IF(OR(INDEX($AH$2:$AH$1001,MATCH(ROWS($AG$2:AG788),$AG$2:$AG$1001,0),1)&gt;=100000,INDEX($AN$1005:$BO$1005,1,MATCH(COLUMNS($AN$1006:AQ1006),$AN$1006:$BO$1006,0))&gt;=100000), " ",IF(INDEX($AN$2:$BO$1001,MATCH(ROWS($AG$2:AG788),$AG$2:$AG$1001,0),MATCH(COLUMNS($AN$1006:AQ1006),$AN$1006:$BO$1006,0)), HYPERLINK("#",""), HYPERLINK(CONCATENATE("#Metadata!", ADDRESS(INDEX($AI$2:$AI$1001,MATCH(ROWS($AG$2:AG788),$AG$2:$AG$1001,0),0), INDEX($AN$1004:$BO$1004,1,MATCH(COLUMNS($AN$1006:AQ1006),$AN$1006:$BO$1006,0)))),"Fix")))</f>
        <v>0</v>
      </c>
      <c r="F788" s="4">
        <f>IF(OR(INDEX($AH$2:$AH$1001,MATCH(ROWS($AG$2:AG788),$AG$2:$AG$1001,0),1)&gt;=100000,INDEX($AN$1005:$BO$1005,1,MATCH(COLUMNS($AN$1006:AR1006),$AN$1006:$BO$1006,0))&gt;=100000), " ",IF(INDEX($AN$2:$BO$1001,MATCH(ROWS($AG$2:AG788),$AG$2:$AG$1001,0),MATCH(COLUMNS($AN$1006:AR1006),$AN$1006:$BO$1006,0)), HYPERLINK("#",""), HYPERLINK(CONCATENATE("#Metadata!", ADDRESS(INDEX($AI$2:$AI$1001,MATCH(ROWS($AG$2:AG788),$AG$2:$AG$1001,0),0), INDEX($AN$1004:$BO$1004,1,MATCH(COLUMNS($AN$1006:AR1006),$AN$1006:$BO$1006,0)))),"Fix")))</f>
        <v>0</v>
      </c>
      <c r="G788" s="4">
        <f>IF(OR(INDEX($AH$2:$AH$1001,MATCH(ROWS($AG$2:AG788),$AG$2:$AG$1001,0),1)&gt;=100000,INDEX($AN$1005:$BO$1005,1,MATCH(COLUMNS($AN$1006:AS1006),$AN$1006:$BO$1006,0))&gt;=100000), " ",IF(INDEX($AN$2:$BO$1001,MATCH(ROWS($AG$2:AG788),$AG$2:$AG$1001,0),MATCH(COLUMNS($AN$1006:AS1006),$AN$1006:$BO$1006,0)), HYPERLINK("#",""), HYPERLINK(CONCATENATE("#Metadata!", ADDRESS(INDEX($AI$2:$AI$1001,MATCH(ROWS($AG$2:AG788),$AG$2:$AG$1001,0),0), INDEX($AN$1004:$BO$1004,1,MATCH(COLUMNS($AN$1006:AS1006),$AN$1006:$BO$1006,0)))),"Fix")))</f>
        <v>0</v>
      </c>
      <c r="H788" s="4">
        <f>IF(OR(INDEX($AH$2:$AH$1001,MATCH(ROWS($AG$2:AG788),$AG$2:$AG$1001,0),1)&gt;=100000,INDEX($AN$1005:$BO$1005,1,MATCH(COLUMNS($AN$1006:AT1006),$AN$1006:$BO$1006,0))&gt;=100000), " ",IF(INDEX($AN$2:$BO$1001,MATCH(ROWS($AG$2:AG788),$AG$2:$AG$1001,0),MATCH(COLUMNS($AN$1006:AT1006),$AN$1006:$BO$1006,0)), HYPERLINK("#",""), HYPERLINK(CONCATENATE("#Metadata!", ADDRESS(INDEX($AI$2:$AI$1001,MATCH(ROWS($AG$2:AG788),$AG$2:$AG$1001,0),0), INDEX($AN$1004:$BO$1004,1,MATCH(COLUMNS($AN$1006:AT1006),$AN$1006:$BO$1006,0)))),"Fix")))</f>
        <v>0</v>
      </c>
      <c r="I788" s="4">
        <f>IF(OR(INDEX($AH$2:$AH$1001,MATCH(ROWS($AG$2:AG788),$AG$2:$AG$1001,0),1)&gt;=100000,INDEX($AN$1005:$BO$1005,1,MATCH(COLUMNS($AN$1006:AU1006),$AN$1006:$BO$1006,0))&gt;=100000), " ",IF(INDEX($AN$2:$BO$1001,MATCH(ROWS($AG$2:AG788),$AG$2:$AG$1001,0),MATCH(COLUMNS($AN$1006:AU1006),$AN$1006:$BO$1006,0)), HYPERLINK("#",""), HYPERLINK(CONCATENATE("#Metadata!", ADDRESS(INDEX($AI$2:$AI$1001,MATCH(ROWS($AG$2:AG788),$AG$2:$AG$1001,0),0), INDEX($AN$1004:$BO$1004,1,MATCH(COLUMNS($AN$1006:AU1006),$AN$1006:$BO$1006,0)))),"Fix")))</f>
        <v>0</v>
      </c>
      <c r="J788" s="4">
        <f>IF(OR(INDEX($AH$2:$AH$1001,MATCH(ROWS($AG$2:AG788),$AG$2:$AG$1001,0),1)&gt;=100000,INDEX($AN$1005:$BO$1005,1,MATCH(COLUMNS($AN$1006:AV1006),$AN$1006:$BO$1006,0))&gt;=100000), " ",IF(INDEX($AN$2:$BO$1001,MATCH(ROWS($AG$2:AG788),$AG$2:$AG$1001,0),MATCH(COLUMNS($AN$1006:AV1006),$AN$1006:$BO$1006,0)), HYPERLINK("#",""), HYPERLINK(CONCATENATE("#Metadata!", ADDRESS(INDEX($AI$2:$AI$1001,MATCH(ROWS($AG$2:AG788),$AG$2:$AG$1001,0),0), INDEX($AN$1004:$BO$1004,1,MATCH(COLUMNS($AN$1006:AV1006),$AN$1006:$BO$1006,0)))),"Fix")))</f>
        <v>0</v>
      </c>
      <c r="K788" s="4">
        <f>IF(OR(INDEX($AH$2:$AH$1001,MATCH(ROWS($AG$2:AG788),$AG$2:$AG$1001,0),1)&gt;=100000,INDEX($AN$1005:$BO$1005,1,MATCH(COLUMNS($AN$1006:AW1006),$AN$1006:$BO$1006,0))&gt;=100000), " ",IF(INDEX($AN$2:$BO$1001,MATCH(ROWS($AG$2:AG788),$AG$2:$AG$1001,0),MATCH(COLUMNS($AN$1006:AW1006),$AN$1006:$BO$1006,0)), HYPERLINK("#",""), HYPERLINK(CONCATENATE("#Metadata!", ADDRESS(INDEX($AI$2:$AI$1001,MATCH(ROWS($AG$2:AG788),$AG$2:$AG$1001,0),0), INDEX($AN$1004:$BO$1004,1,MATCH(COLUMNS($AN$1006:AW1006),$AN$1006:$BO$1006,0)))),"Fix")))</f>
        <v>0</v>
      </c>
      <c r="L788" s="4">
        <f>IF(OR(INDEX($AH$2:$AH$1001,MATCH(ROWS($AG$2:AG788),$AG$2:$AG$1001,0),1)&gt;=100000,INDEX($AN$1005:$BO$1005,1,MATCH(COLUMNS($AN$1006:AX1006),$AN$1006:$BO$1006,0))&gt;=100000), " ",IF(INDEX($AN$2:$BO$1001,MATCH(ROWS($AG$2:AG788),$AG$2:$AG$1001,0),MATCH(COLUMNS($AN$1006:AX1006),$AN$1006:$BO$1006,0)), HYPERLINK("#",""), HYPERLINK(CONCATENATE("#Metadata!", ADDRESS(INDEX($AI$2:$AI$1001,MATCH(ROWS($AG$2:AG788),$AG$2:$AG$1001,0),0), INDEX($AN$1004:$BO$1004,1,MATCH(COLUMNS($AN$1006:AX1006),$AN$1006:$BO$1006,0)))),"Fix")))</f>
        <v>0</v>
      </c>
      <c r="M788" s="4">
        <f>IF(OR(INDEX($AH$2:$AH$1001,MATCH(ROWS($AG$2:AG788),$AG$2:$AG$1001,0),1)&gt;=100000,INDEX($AN$1005:$BO$1005,1,MATCH(COLUMNS($AN$1006:AY1006),$AN$1006:$BO$1006,0))&gt;=100000), " ",IF(INDEX($AN$2:$BO$1001,MATCH(ROWS($AG$2:AG788),$AG$2:$AG$1001,0),MATCH(COLUMNS($AN$1006:AY1006),$AN$1006:$BO$1006,0)), HYPERLINK("#",""), HYPERLINK(CONCATENATE("#Metadata!", ADDRESS(INDEX($AI$2:$AI$1001,MATCH(ROWS($AG$2:AG788),$AG$2:$AG$1001,0),0), INDEX($AN$1004:$BO$1004,1,MATCH(COLUMNS($AN$1006:AY1006),$AN$1006:$BO$1006,0)))),"Fix")))</f>
        <v>0</v>
      </c>
      <c r="N788" s="4">
        <f>IF(OR(INDEX($AH$2:$AH$1001,MATCH(ROWS($AG$2:AG788),$AG$2:$AG$1001,0),1)&gt;=100000,INDEX($AN$1005:$BO$1005,1,MATCH(COLUMNS($AN$1006:AZ1006),$AN$1006:$BO$1006,0))&gt;=100000), " ",IF(INDEX($AN$2:$BO$1001,MATCH(ROWS($AG$2:AG788),$AG$2:$AG$1001,0),MATCH(COLUMNS($AN$1006:AZ1006),$AN$1006:$BO$1006,0)), HYPERLINK("#",""), HYPERLINK(CONCATENATE("#Metadata!", ADDRESS(INDEX($AI$2:$AI$1001,MATCH(ROWS($AG$2:AG788),$AG$2:$AG$1001,0),0), INDEX($AN$1004:$BO$1004,1,MATCH(COLUMNS($AN$1006:AZ1006),$AN$1006:$BO$1006,0)))),"Fix")))</f>
        <v>0</v>
      </c>
      <c r="O788" s="4">
        <f>IF(OR(INDEX($AH$2:$AH$1001,MATCH(ROWS($AG$2:AG788),$AG$2:$AG$1001,0),1)&gt;=100000,INDEX($AN$1005:$BO$1005,1,MATCH(COLUMNS($AN$1006:BA1006),$AN$1006:$BO$1006,0))&gt;=100000), " ",IF(INDEX($AN$2:$BO$1001,MATCH(ROWS($AG$2:AG788),$AG$2:$AG$1001,0),MATCH(COLUMNS($AN$1006:BA1006),$AN$1006:$BO$1006,0)), HYPERLINK("#",""), HYPERLINK(CONCATENATE("#Metadata!", ADDRESS(INDEX($AI$2:$AI$1001,MATCH(ROWS($AG$2:AG788),$AG$2:$AG$1001,0),0), INDEX($AN$1004:$BO$1004,1,MATCH(COLUMNS($AN$1006:BA1006),$AN$1006:$BO$1006,0)))),"Fix")))</f>
        <v>0</v>
      </c>
      <c r="P788" s="4">
        <f>IF(OR(INDEX($AH$2:$AH$1001,MATCH(ROWS($AG$2:AG788),$AG$2:$AG$1001,0),1)&gt;=100000,INDEX($AN$1005:$BO$1005,1,MATCH(COLUMNS($AN$1006:BB1006),$AN$1006:$BO$1006,0))&gt;=100000), " ",IF(INDEX($AN$2:$BO$1001,MATCH(ROWS($AG$2:AG788),$AG$2:$AG$1001,0),MATCH(COLUMNS($AN$1006:BB1006),$AN$1006:$BO$1006,0)), HYPERLINK("#",""), HYPERLINK(CONCATENATE("#Metadata!", ADDRESS(INDEX($AI$2:$AI$1001,MATCH(ROWS($AG$2:AG788),$AG$2:$AG$1001,0),0), INDEX($AN$1004:$BO$1004,1,MATCH(COLUMNS($AN$1006:BB1006),$AN$1006:$BO$1006,0)))),"Fix")))</f>
        <v>0</v>
      </c>
      <c r="Q788" s="4">
        <f>IF(OR(INDEX($AH$2:$AH$1001,MATCH(ROWS($AG$2:AG788),$AG$2:$AG$1001,0),1)&gt;=100000,INDEX($AN$1005:$BO$1005,1,MATCH(COLUMNS($AN$1006:BC1006),$AN$1006:$BO$1006,0))&gt;=100000), " ",IF(INDEX($AN$2:$BO$1001,MATCH(ROWS($AG$2:AG788),$AG$2:$AG$1001,0),MATCH(COLUMNS($AN$1006:BC1006),$AN$1006:$BO$1006,0)), HYPERLINK("#",""), HYPERLINK(CONCATENATE("#Metadata!", ADDRESS(INDEX($AI$2:$AI$1001,MATCH(ROWS($AG$2:AG788),$AG$2:$AG$1001,0),0), INDEX($AN$1004:$BO$1004,1,MATCH(COLUMNS($AN$1006:BC1006),$AN$1006:$BO$1006,0)))),"Fix")))</f>
        <v>0</v>
      </c>
      <c r="R788" s="4">
        <f>IF(OR(INDEX($AH$2:$AH$1001,MATCH(ROWS($AG$2:AG788),$AG$2:$AG$1001,0),1)&gt;=100000,INDEX($AN$1005:$BO$1005,1,MATCH(COLUMNS($AN$1006:BD1006),$AN$1006:$BO$1006,0))&gt;=100000), " ",IF(INDEX($AN$2:$BO$1001,MATCH(ROWS($AG$2:AG788),$AG$2:$AG$1001,0),MATCH(COLUMNS($AN$1006:BD1006),$AN$1006:$BO$1006,0)), HYPERLINK("#",""), HYPERLINK(CONCATENATE("#Metadata!", ADDRESS(INDEX($AI$2:$AI$1001,MATCH(ROWS($AG$2:AG788),$AG$2:$AG$1001,0),0), INDEX($AN$1004:$BO$1004,1,MATCH(COLUMNS($AN$1006:BD1006),$AN$1006:$BO$1006,0)))),"Fix")))</f>
        <v>0</v>
      </c>
      <c r="S788" s="4">
        <f>IF(OR(INDEX($AH$2:$AH$1001,MATCH(ROWS($AG$2:AG788),$AG$2:$AG$1001,0),1)&gt;=100000,INDEX($AN$1005:$BO$1005,1,MATCH(COLUMNS($AN$1006:BE1006),$AN$1006:$BO$1006,0))&gt;=100000), " ",IF(INDEX($AN$2:$BO$1001,MATCH(ROWS($AG$2:AG788),$AG$2:$AG$1001,0),MATCH(COLUMNS($AN$1006:BE1006),$AN$1006:$BO$1006,0)), HYPERLINK("#",""), HYPERLINK(CONCATENATE("#Metadata!", ADDRESS(INDEX($AI$2:$AI$1001,MATCH(ROWS($AG$2:AG788),$AG$2:$AG$1001,0),0), INDEX($AN$1004:$BO$1004,1,MATCH(COLUMNS($AN$1006:BE1006),$AN$1006:$BO$1006,0)))),"Fix")))</f>
        <v>0</v>
      </c>
      <c r="T788" s="4">
        <f>IF(OR(INDEX($AH$2:$AH$1001,MATCH(ROWS($AG$2:AG788),$AG$2:$AG$1001,0),1)&gt;=100000,INDEX($AN$1005:$BO$1005,1,MATCH(COLUMNS($AN$1006:BF1006),$AN$1006:$BO$1006,0))&gt;=100000), " ",IF(INDEX($AN$2:$BO$1001,MATCH(ROWS($AG$2:AG788),$AG$2:$AG$1001,0),MATCH(COLUMNS($AN$1006:BF1006),$AN$1006:$BO$1006,0)), HYPERLINK("#",""), HYPERLINK(CONCATENATE("#Metadata!", ADDRESS(INDEX($AI$2:$AI$1001,MATCH(ROWS($AG$2:AG788),$AG$2:$AG$1001,0),0), INDEX($AN$1004:$BO$1004,1,MATCH(COLUMNS($AN$1006:BF1006),$AN$1006:$BO$1006,0)))),"Fix")))</f>
        <v>0</v>
      </c>
      <c r="U788" s="4">
        <f>IF(OR(INDEX($AH$2:$AH$1001,MATCH(ROWS($AG$2:AG788),$AG$2:$AG$1001,0),1)&gt;=100000,INDEX($AN$1005:$BO$1005,1,MATCH(COLUMNS($AN$1006:BG1006),$AN$1006:$BO$1006,0))&gt;=100000), " ",IF(INDEX($AN$2:$BO$1001,MATCH(ROWS($AG$2:AG788),$AG$2:$AG$1001,0),MATCH(COLUMNS($AN$1006:BG1006),$AN$1006:$BO$1006,0)), HYPERLINK("#",""), HYPERLINK(CONCATENATE("#Metadata!", ADDRESS(INDEX($AI$2:$AI$1001,MATCH(ROWS($AG$2:AG788),$AG$2:$AG$1001,0),0), INDEX($AN$1004:$BO$1004,1,MATCH(COLUMNS($AN$1006:BG1006),$AN$1006:$BO$1006,0)))),"Fix")))</f>
        <v>0</v>
      </c>
      <c r="V788" s="4">
        <f>IF(OR(INDEX($AH$2:$AH$1001,MATCH(ROWS($AG$2:AG788),$AG$2:$AG$1001,0),1)&gt;=100000,INDEX($AN$1005:$BO$1005,1,MATCH(COLUMNS($AN$1006:BH1006),$AN$1006:$BO$1006,0))&gt;=100000), " ",IF(INDEX($AN$2:$BO$1001,MATCH(ROWS($AG$2:AG788),$AG$2:$AG$1001,0),MATCH(COLUMNS($AN$1006:BH1006),$AN$1006:$BO$1006,0)), HYPERLINK("#",""), HYPERLINK(CONCATENATE("#Metadata!", ADDRESS(INDEX($AI$2:$AI$1001,MATCH(ROWS($AG$2:AG788),$AG$2:$AG$1001,0),0), INDEX($AN$1004:$BO$1004,1,MATCH(COLUMNS($AN$1006:BH1006),$AN$1006:$BO$1006,0)))),"Fix")))</f>
        <v>0</v>
      </c>
      <c r="W788" s="4">
        <f>IF(OR(INDEX($AH$2:$AH$1001,MATCH(ROWS($AG$2:AG788),$AG$2:$AG$1001,0),1)&gt;=100000,INDEX($AN$1005:$BO$1005,1,MATCH(COLUMNS($AN$1006:BI1006),$AN$1006:$BO$1006,0))&gt;=100000), " ",IF(INDEX($AN$2:$BO$1001,MATCH(ROWS($AG$2:AG788),$AG$2:$AG$1001,0),MATCH(COLUMNS($AN$1006:BI1006),$AN$1006:$BO$1006,0)), HYPERLINK("#",""), HYPERLINK(CONCATENATE("#Metadata!", ADDRESS(INDEX($AI$2:$AI$1001,MATCH(ROWS($AG$2:AG788),$AG$2:$AG$1001,0),0), INDEX($AN$1004:$BO$1004,1,MATCH(COLUMNS($AN$1006:BI1006),$AN$1006:$BO$1006,0)))),"Fix")))</f>
        <v>0</v>
      </c>
      <c r="X788" s="4">
        <f>IF(OR(INDEX($AH$2:$AH$1001,MATCH(ROWS($AG$2:AG788),$AG$2:$AG$1001,0),1)&gt;=100000,INDEX($AN$1005:$BO$1005,1,MATCH(COLUMNS($AN$1006:BJ1006),$AN$1006:$BO$1006,0))&gt;=100000), " ",IF(INDEX($AN$2:$BO$1001,MATCH(ROWS($AG$2:AG788),$AG$2:$AG$1001,0),MATCH(COLUMNS($AN$1006:BJ1006),$AN$1006:$BO$1006,0)), HYPERLINK("#",""), HYPERLINK(CONCATENATE("#Metadata!", ADDRESS(INDEX($AI$2:$AI$1001,MATCH(ROWS($AG$2:AG788),$AG$2:$AG$1001,0),0), INDEX($AN$1004:$BO$1004,1,MATCH(COLUMNS($AN$1006:BJ1006),$AN$1006:$BO$1006,0)))),"Fix")))</f>
        <v>0</v>
      </c>
      <c r="Y788" s="4">
        <f>IF(OR(INDEX($AH$2:$AH$1001,MATCH(ROWS($AG$2:AG788),$AG$2:$AG$1001,0),1)&gt;=100000,INDEX($AN$1005:$BO$1005,1,MATCH(COLUMNS($AN$1006:BK1006),$AN$1006:$BO$1006,0))&gt;=100000), " ",IF(INDEX($AN$2:$BO$1001,MATCH(ROWS($AG$2:AG788),$AG$2:$AG$1001,0),MATCH(COLUMNS($AN$1006:BK1006),$AN$1006:$BO$1006,0)), HYPERLINK("#",""), HYPERLINK(CONCATENATE("#Metadata!", ADDRESS(INDEX($AI$2:$AI$1001,MATCH(ROWS($AG$2:AG788),$AG$2:$AG$1001,0),0), INDEX($AN$1004:$BO$1004,1,MATCH(COLUMNS($AN$1006:BK1006),$AN$1006:$BO$1006,0)))),"Fix")))</f>
        <v>0</v>
      </c>
      <c r="Z788" s="4">
        <f>IF(OR(INDEX($AH$2:$AH$1001,MATCH(ROWS($AG$2:AG788),$AG$2:$AG$1001,0),1)&gt;=100000,INDEX($AN$1005:$BO$1005,1,MATCH(COLUMNS($AN$1006:BL1006),$AN$1006:$BO$1006,0))&gt;=100000), " ",IF(INDEX($AN$2:$BO$1001,MATCH(ROWS($AG$2:AG788),$AG$2:$AG$1001,0),MATCH(COLUMNS($AN$1006:BL1006),$AN$1006:$BO$1006,0)), HYPERLINK("#",""), HYPERLINK(CONCATENATE("#Metadata!", ADDRESS(INDEX($AI$2:$AI$1001,MATCH(ROWS($AG$2:AG788),$AG$2:$AG$1001,0),0), INDEX($AN$1004:$BO$1004,1,MATCH(COLUMNS($AN$1006:BL1006),$AN$1006:$BO$1006,0)))),"Fix")))</f>
        <v>0</v>
      </c>
      <c r="AA788" s="4">
        <f>IF(OR(INDEX($AH$2:$AH$1001,MATCH(ROWS($AG$2:AG788),$AG$2:$AG$1001,0),1)&gt;=100000,INDEX($AN$1005:$BO$1005,1,MATCH(COLUMNS($AN$1006:BM1006),$AN$1006:$BO$1006,0))&gt;=100000), " ",IF(INDEX($AN$2:$BO$1001,MATCH(ROWS($AG$2:AG788),$AG$2:$AG$1001,0),MATCH(COLUMNS($AN$1006:BM1006),$AN$1006:$BO$1006,0)), HYPERLINK("#",""), HYPERLINK(CONCATENATE("#Metadata!", ADDRESS(INDEX($AI$2:$AI$1001,MATCH(ROWS($AG$2:AG788),$AG$2:$AG$1001,0),0), INDEX($AN$1004:$BO$1004,1,MATCH(COLUMNS($AN$1006:BM1006),$AN$1006:$BO$1006,0)))),"Fix")))</f>
        <v>0</v>
      </c>
      <c r="AB788" s="4">
        <f>IF(OR(INDEX($AH$2:$AH$1001,MATCH(ROWS($AG$2:AG788),$AG$2:$AG$1001,0),1)&gt;=100000,INDEX($AN$1005:$BO$1005,1,MATCH(COLUMNS($AN$1006:BN1006),$AN$1006:$BO$1006,0))&gt;=100000), " ",IF(INDEX($AN$2:$BO$1001,MATCH(ROWS($AG$2:AG788),$AG$2:$AG$1001,0),MATCH(COLUMNS($AN$1006:BN1006),$AN$1006:$BO$1006,0)), HYPERLINK("#",""), HYPERLINK(CONCATENATE("#Metadata!", ADDRESS(INDEX($AI$2:$AI$1001,MATCH(ROWS($AG$2:AG788),$AG$2:$AG$1001,0),0), INDEX($AN$1004:$BO$1004,1,MATCH(COLUMNS($AN$1006:BN1006),$AN$1006:$BO$1006,0)))),"Fix")))</f>
        <v>0</v>
      </c>
      <c r="AC788" s="4">
        <f>IF(OR(INDEX($AH$2:$AH$1001,MATCH(ROWS($AG$2:AG788),$AG$2:$AG$1001,0),1)&gt;=100000,INDEX($AN$1005:$BO$1005,1,MATCH(COLUMNS($AN$1006:BO1006),$AN$1006:$BO$1006,0))&gt;=100000), " ",IF(INDEX($AN$2:$BO$1001,MATCH(ROWS($AG$2:AG788),$AG$2:$AG$1001,0),MATCH(COLUMNS($AN$1006:BO1006),$AN$1006:$BO$1006,0)), HYPERLINK("#",""), HYPERLINK(CONCATENATE("#Metadata!", ADDRESS(INDEX($AI$2:$AI$1001,MATCH(ROWS($AG$2:AG788),$AG$2:$AG$1001,0),0), INDEX($AN$1004:$BO$1004,1,MATCH(COLUMNS($AN$1006:BO1006),$AN$1006:$BO$1006,0)))),"Fix")))</f>
        <v>0</v>
      </c>
      <c r="AG788">
        <v>0</v>
      </c>
      <c r="AH788">
        <v>0</v>
      </c>
      <c r="AI788">
        <v>0</v>
      </c>
      <c r="AJ788">
        <f>IF(AK788,TRUE,AND(AN788:BO788))</f>
        <v>0</v>
      </c>
      <c r="AK788">
        <f>COUNTBLANK(Metadata!B788:AC788)=COLUMNS(Metadata!B788:AC788)</f>
        <v>0</v>
      </c>
      <c r="AL788">
        <v>0</v>
      </c>
      <c r="AN788">
        <f>AND(IF(Metadata!B788="",FALSE,TRUE),COUNTIF(Metadata!B:B, Metadata!B788) = 1,NOT(ISERROR(SUMPRODUCT(SEARCH(MID(Metadata!B788,ROW(INDIRECT("1:"&amp;LEN(Metadata!B788))), 1),"0123456789abcdefghijklmnopqrstuvwxyzABCDEFGHIJKLMNOPQRSTUVWXYZ.")))))</f>
        <v>0</v>
      </c>
      <c r="AO788">
        <f>IF(Metadata!C788="",FALSE,TRUE)</f>
        <v>0</v>
      </c>
      <c r="AP788">
        <f>IF(Metadata!D788="",FALSE,TRUE)</f>
        <v>0</v>
      </c>
      <c r="AQ788">
        <f>OR(AND(IF(Metadata!E788="",FALSE,TRUE),OR(exact(Metadata!E788,"not collected"),exact(Metadata!E788,"not provided"),exact(Metadata!E788,"restricted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R788">
        <f>IF(Metadata!F788="",FALSE,TRUE)</f>
        <v>0</v>
      </c>
      <c r="AS788">
        <f>OR(AND(IF(Metadata!G788="",FALSE,TRUE),OR(exact(Metadata!G788,"not collected"),exact(Metadata!G788,"not provided"))),AND(IF(Metadata!G788="",FALSE,TRUE),OR(exact(Metadata!G788,"TRUE"),exact(Metadata!G788,"FALSE"))))</f>
        <v>0</v>
      </c>
      <c r="AT788">
        <f>OR(AND(IF(Metadata!H788="",FALSE,TRUE),OR(exact(Metadata!H788,"not collected"),exact(Metadata!H788,"not provided"),exact(Metadata!H788,"restricted access"))),AND(IF(Metadata!H788="",FALSE,ISNUMBER(VALUE(Metadata!H788))),Metadata!H788&gt;=-413.0))</f>
        <v>0</v>
      </c>
      <c r="AU788">
        <f>AND(IF(Metadata!I788="",FALSE,TRUE),exact(Metadata!I788,"meters"))</f>
        <v>0</v>
      </c>
      <c r="AV788">
        <f>AND(IF(Metadata!J788="",FALSE,TRUE),OR(exact(Metadata!J788,"Host-associated"),exact(Metadata!J788,"Free-living")))</f>
        <v>0</v>
      </c>
      <c r="AW788">
        <f>AND(IF(Metadata!K788="",FALSE,TRUE),OR(exact(Metadata!K788,"Animal"),exact(Metadata!K788,"Fungus"),exact(Metadata!K788,"Plant"),exact(Metadata!K788,"Saline"),exact(Metadata!K788,"Non-saline")))</f>
        <v>0</v>
      </c>
      <c r="AX788">
        <f>AND(IF(Metadata!L788="",FALSE,TRUE),OR(exact(Metadata!L788,"Plant secretion"),exact(Metadata!L788,"Plant rhizosphere"),exact(Metadata!L788,"Plant surface"),exact(Metadata!L788,"Plant corpus"),exact(Metadata!L788,"Fungus surface"),exact(Metadata!L788,"Fungus corpus"),exact(Metadata!L788,"Animal surface"),exact(Metadata!L788,"Animal proximal gut"),exact(Metadata!L788,"Animal corpus"),exact(Metadata!L788,"Animal distal gut"),exact(Metadata!L788,"Animal secretion"),exact(Metadata!L788,"Sub-surface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Y788">
        <f>IF(Metadata!M788="",FALSE,TRUE)</f>
        <v>0</v>
      </c>
      <c r="AZ788">
        <f>IF(Metadata!N788="",FALSE,TRUE)</f>
        <v>0</v>
      </c>
      <c r="BA788">
        <f>IF(Metadata!O788="",FALSE,TRUE)</f>
        <v>0</v>
      </c>
      <c r="BB788">
        <f>OR(AND(IF(Metadata!P788="",FALSE,TRUE),OR(exact(Metadata!P788,"not collected"),exact(Metadata!P788,"not provided"),exact(Metadata!P788,"restricted access"))),AND(IF(Metadata!P788="",FALSE,TRUE),OR(exact(Metadata!P788,"air"),exact(Metadata!P788,"built environment"),exact(Metadata!P788,"host-associated"),exact(Metadata!P788,"human-associated"),exact(Metadata!P788,"human-skin"),exact(Metadata!P788,"human-oral"),exact(Metadata!P788,"human-gut"),exact(Metadata!P788,"human-vaginal"),exact(Metadata!P788,"microbial mat/biofilm"),exact(Metadata!P788,"misc environment"),exact(Metadata!P788,"plant-associated"),exact(Metadata!P788,"sediment"),exact(Metadata!P788,"soil"),exact(Metadata!P788,"wastewater/sludge"),exact(Metadata!P788,"water"))))</f>
        <v>0</v>
      </c>
      <c r="BC788">
        <f>IF(Metadata!Q788="",FALSE,TRUE)</f>
        <v>0</v>
      </c>
      <c r="BD788">
        <f>IF(Metadata!R788="",FALSE,TRUE)</f>
        <v>0</v>
      </c>
      <c r="BE788">
        <f>OR(AND(IF(Metadata!S788="",FALSE,TRUE),OR(exact(Metadata!S788,"not collected"),exact(Metadata!S788,"not provided"),exact(Metadata!S788,"restricted access"))),AND(IF(Metadata!S788="",FALSE,ISNUMBER(VALUE(Metadata!S788))),Metadata!S788&gt;=-90.00,Metadata!S788&lt;=90.00))</f>
        <v>0</v>
      </c>
      <c r="BF788">
        <f>AND(IF(Metadata!T788="",FALSE,TRUE),exact(Metadata!T788,"Decimal degrees"))</f>
        <v>0</v>
      </c>
      <c r="BG788">
        <f>OR(AND(IF(Metadata!U788="",FALSE,TRUE),OR(exact(Metadata!U788,"not collected"),exact(Metadata!U788,"not provided"),exact(Metadata!U788,"restricted access"))),AND(IF(Metadata!U788="",FALSE,ISNUMBER(VALUE(Metadata!U788))),Metadata!U788&gt;=-180.00,Metadata!U788&lt;=180.00))</f>
        <v>0</v>
      </c>
      <c r="BH788">
        <f>AND(IF(Metadata!V788="",FALSE,TRUE),exact(Metadata!V788,"Decimal degrees"))</f>
        <v>0</v>
      </c>
      <c r="BI788">
        <f>IF(Metadata!W788="",FALSE,TRUE)</f>
        <v>0</v>
      </c>
      <c r="BJ788">
        <f>OR(AND(IF(Metadata!X788="",FALSE,TRUE),OR(exact(Metadata!X788,"not collected"),exact(Metadata!X788,"not provided"),exact(Metadata!X788,"restricted access"))),AND(IF(Metadata!X788="",FALSE,TRUE),OR(exact(Metadata!X788,"TRUE"),exact(Metadata!X788,"FALSE"))))</f>
        <v>0</v>
      </c>
      <c r="BK788">
        <f>AND(IF(Metadata!Y788="",FALSE,TRUE),exact(Metadata!Y788,"other"))</f>
        <v>0</v>
      </c>
      <c r="BL788">
        <f>IF(Metadata!Z788="",FALSE,TRUE)</f>
        <v>0</v>
      </c>
      <c r="BM788">
        <f>OR(AND(IF(Metadata!AA788="",FALSE,TRUE),OR(exact(Metadata!AA788,"not collected"),exact(Metadata!AA788,"not provided"))),AND(IF(Metadata!AA788="",FALSE,IF(ISERROR(INT(Metadata!AA788)),FALSE,INT(Metadata!AA788)=Metadata!AA788)),Metadata!AA788&gt;0))</f>
        <v>0</v>
      </c>
      <c r="BN788">
        <f>AND(IF(Metadata!AB788="",FALSE,TRUE),exact(Metadata!AB788,"Not applicable"))</f>
        <v>0</v>
      </c>
      <c r="BO788">
        <f>IF(Metadata!AC788="",FALSE,TRUE)</f>
        <v>0</v>
      </c>
    </row>
    <row r="789" spans="1:67">
      <c r="A789" s="5">
        <f>IF(B789=" "," ",HYPERLINK(CONCATENATE("#metadata!",ADDRESS(INDEX($AI$2:$AI$1001,MATCH(ROWS($AG$2:AG789),$AG$2:$AG$1001,0),0),1)),INDEX($AL$2:$AL$1001,MATCH(ROWS($AG$2:AG789),$AG$2:$AG$1001,0),0)))</f>
        <v>0</v>
      </c>
      <c r="B789" s="4">
        <f>IF(OR(INDEX($AH$2:$AH$1001,MATCH(ROWS($AG$2:AG789),$AG$2:$AG$1001,0),1)&gt;=100000,INDEX($AN$1005:$BO$1005,1,MATCH(COLUMNS($AN$1006:AN1006),$AN$1006:$BO$1006,0))&gt;=100000), " ",IF(INDEX($AN$2:$BO$1001,MATCH(ROWS($AG$2:AG789),$AG$2:$AG$1001,0),MATCH(COLUMNS($AN$1006:AN1006),$AN$1006:$BO$1006,0)), HYPERLINK("#",""), HYPERLINK(CONCATENATE("#Metadata!", ADDRESS(INDEX($AI$2:$AI$1001,MATCH(ROWS($AG$2:AG789),$AG$2:$AG$1001,0),0), INDEX($AN$1004:$BO$1004,1,MATCH(COLUMNS($AN$1006:AN1006),$AN$1006:$BO$1006,0)))),"Fix")))</f>
        <v>0</v>
      </c>
      <c r="C789" s="4">
        <f>IF(OR(INDEX($AH$2:$AH$1001,MATCH(ROWS($AG$2:AG789),$AG$2:$AG$1001,0),1)&gt;=100000,INDEX($AN$1005:$BO$1005,1,MATCH(COLUMNS($AN$1006:AO1006),$AN$1006:$BO$1006,0))&gt;=100000), " ",IF(INDEX($AN$2:$BO$1001,MATCH(ROWS($AG$2:AG789),$AG$2:$AG$1001,0),MATCH(COLUMNS($AN$1006:AO1006),$AN$1006:$BO$1006,0)), HYPERLINK("#",""), HYPERLINK(CONCATENATE("#Metadata!", ADDRESS(INDEX($AI$2:$AI$1001,MATCH(ROWS($AG$2:AG789),$AG$2:$AG$1001,0),0), INDEX($AN$1004:$BO$1004,1,MATCH(COLUMNS($AN$1006:AO1006),$AN$1006:$BO$1006,0)))),"Fix")))</f>
        <v>0</v>
      </c>
      <c r="D789" s="4">
        <f>IF(OR(INDEX($AH$2:$AH$1001,MATCH(ROWS($AG$2:AG789),$AG$2:$AG$1001,0),1)&gt;=100000,INDEX($AN$1005:$BO$1005,1,MATCH(COLUMNS($AN$1006:AP1006),$AN$1006:$BO$1006,0))&gt;=100000), " ",IF(INDEX($AN$2:$BO$1001,MATCH(ROWS($AG$2:AG789),$AG$2:$AG$1001,0),MATCH(COLUMNS($AN$1006:AP1006),$AN$1006:$BO$1006,0)), HYPERLINK("#",""), HYPERLINK(CONCATENATE("#Metadata!", ADDRESS(INDEX($AI$2:$AI$1001,MATCH(ROWS($AG$2:AG789),$AG$2:$AG$1001,0),0), INDEX($AN$1004:$BO$1004,1,MATCH(COLUMNS($AN$1006:AP1006),$AN$1006:$BO$1006,0)))),"Fix")))</f>
        <v>0</v>
      </c>
      <c r="E789" s="4">
        <f>IF(OR(INDEX($AH$2:$AH$1001,MATCH(ROWS($AG$2:AG789),$AG$2:$AG$1001,0),1)&gt;=100000,INDEX($AN$1005:$BO$1005,1,MATCH(COLUMNS($AN$1006:AQ1006),$AN$1006:$BO$1006,0))&gt;=100000), " ",IF(INDEX($AN$2:$BO$1001,MATCH(ROWS($AG$2:AG789),$AG$2:$AG$1001,0),MATCH(COLUMNS($AN$1006:AQ1006),$AN$1006:$BO$1006,0)), HYPERLINK("#",""), HYPERLINK(CONCATENATE("#Metadata!", ADDRESS(INDEX($AI$2:$AI$1001,MATCH(ROWS($AG$2:AG789),$AG$2:$AG$1001,0),0), INDEX($AN$1004:$BO$1004,1,MATCH(COLUMNS($AN$1006:AQ1006),$AN$1006:$BO$1006,0)))),"Fix")))</f>
        <v>0</v>
      </c>
      <c r="F789" s="4">
        <f>IF(OR(INDEX($AH$2:$AH$1001,MATCH(ROWS($AG$2:AG789),$AG$2:$AG$1001,0),1)&gt;=100000,INDEX($AN$1005:$BO$1005,1,MATCH(COLUMNS($AN$1006:AR1006),$AN$1006:$BO$1006,0))&gt;=100000), " ",IF(INDEX($AN$2:$BO$1001,MATCH(ROWS($AG$2:AG789),$AG$2:$AG$1001,0),MATCH(COLUMNS($AN$1006:AR1006),$AN$1006:$BO$1006,0)), HYPERLINK("#",""), HYPERLINK(CONCATENATE("#Metadata!", ADDRESS(INDEX($AI$2:$AI$1001,MATCH(ROWS($AG$2:AG789),$AG$2:$AG$1001,0),0), INDEX($AN$1004:$BO$1004,1,MATCH(COLUMNS($AN$1006:AR1006),$AN$1006:$BO$1006,0)))),"Fix")))</f>
        <v>0</v>
      </c>
      <c r="G789" s="4">
        <f>IF(OR(INDEX($AH$2:$AH$1001,MATCH(ROWS($AG$2:AG789),$AG$2:$AG$1001,0),1)&gt;=100000,INDEX($AN$1005:$BO$1005,1,MATCH(COLUMNS($AN$1006:AS1006),$AN$1006:$BO$1006,0))&gt;=100000), " ",IF(INDEX($AN$2:$BO$1001,MATCH(ROWS($AG$2:AG789),$AG$2:$AG$1001,0),MATCH(COLUMNS($AN$1006:AS1006),$AN$1006:$BO$1006,0)), HYPERLINK("#",""), HYPERLINK(CONCATENATE("#Metadata!", ADDRESS(INDEX($AI$2:$AI$1001,MATCH(ROWS($AG$2:AG789),$AG$2:$AG$1001,0),0), INDEX($AN$1004:$BO$1004,1,MATCH(COLUMNS($AN$1006:AS1006),$AN$1006:$BO$1006,0)))),"Fix")))</f>
        <v>0</v>
      </c>
      <c r="H789" s="4">
        <f>IF(OR(INDEX($AH$2:$AH$1001,MATCH(ROWS($AG$2:AG789),$AG$2:$AG$1001,0),1)&gt;=100000,INDEX($AN$1005:$BO$1005,1,MATCH(COLUMNS($AN$1006:AT1006),$AN$1006:$BO$1006,0))&gt;=100000), " ",IF(INDEX($AN$2:$BO$1001,MATCH(ROWS($AG$2:AG789),$AG$2:$AG$1001,0),MATCH(COLUMNS($AN$1006:AT1006),$AN$1006:$BO$1006,0)), HYPERLINK("#",""), HYPERLINK(CONCATENATE("#Metadata!", ADDRESS(INDEX($AI$2:$AI$1001,MATCH(ROWS($AG$2:AG789),$AG$2:$AG$1001,0),0), INDEX($AN$1004:$BO$1004,1,MATCH(COLUMNS($AN$1006:AT1006),$AN$1006:$BO$1006,0)))),"Fix")))</f>
        <v>0</v>
      </c>
      <c r="I789" s="4">
        <f>IF(OR(INDEX($AH$2:$AH$1001,MATCH(ROWS($AG$2:AG789),$AG$2:$AG$1001,0),1)&gt;=100000,INDEX($AN$1005:$BO$1005,1,MATCH(COLUMNS($AN$1006:AU1006),$AN$1006:$BO$1006,0))&gt;=100000), " ",IF(INDEX($AN$2:$BO$1001,MATCH(ROWS($AG$2:AG789),$AG$2:$AG$1001,0),MATCH(COLUMNS($AN$1006:AU1006),$AN$1006:$BO$1006,0)), HYPERLINK("#",""), HYPERLINK(CONCATENATE("#Metadata!", ADDRESS(INDEX($AI$2:$AI$1001,MATCH(ROWS($AG$2:AG789),$AG$2:$AG$1001,0),0), INDEX($AN$1004:$BO$1004,1,MATCH(COLUMNS($AN$1006:AU1006),$AN$1006:$BO$1006,0)))),"Fix")))</f>
        <v>0</v>
      </c>
      <c r="J789" s="4">
        <f>IF(OR(INDEX($AH$2:$AH$1001,MATCH(ROWS($AG$2:AG789),$AG$2:$AG$1001,0),1)&gt;=100000,INDEX($AN$1005:$BO$1005,1,MATCH(COLUMNS($AN$1006:AV1006),$AN$1006:$BO$1006,0))&gt;=100000), " ",IF(INDEX($AN$2:$BO$1001,MATCH(ROWS($AG$2:AG789),$AG$2:$AG$1001,0),MATCH(COLUMNS($AN$1006:AV1006),$AN$1006:$BO$1006,0)), HYPERLINK("#",""), HYPERLINK(CONCATENATE("#Metadata!", ADDRESS(INDEX($AI$2:$AI$1001,MATCH(ROWS($AG$2:AG789),$AG$2:$AG$1001,0),0), INDEX($AN$1004:$BO$1004,1,MATCH(COLUMNS($AN$1006:AV1006),$AN$1006:$BO$1006,0)))),"Fix")))</f>
        <v>0</v>
      </c>
      <c r="K789" s="4">
        <f>IF(OR(INDEX($AH$2:$AH$1001,MATCH(ROWS($AG$2:AG789),$AG$2:$AG$1001,0),1)&gt;=100000,INDEX($AN$1005:$BO$1005,1,MATCH(COLUMNS($AN$1006:AW1006),$AN$1006:$BO$1006,0))&gt;=100000), " ",IF(INDEX($AN$2:$BO$1001,MATCH(ROWS($AG$2:AG789),$AG$2:$AG$1001,0),MATCH(COLUMNS($AN$1006:AW1006),$AN$1006:$BO$1006,0)), HYPERLINK("#",""), HYPERLINK(CONCATENATE("#Metadata!", ADDRESS(INDEX($AI$2:$AI$1001,MATCH(ROWS($AG$2:AG789),$AG$2:$AG$1001,0),0), INDEX($AN$1004:$BO$1004,1,MATCH(COLUMNS($AN$1006:AW1006),$AN$1006:$BO$1006,0)))),"Fix")))</f>
        <v>0</v>
      </c>
      <c r="L789" s="4">
        <f>IF(OR(INDEX($AH$2:$AH$1001,MATCH(ROWS($AG$2:AG789),$AG$2:$AG$1001,0),1)&gt;=100000,INDEX($AN$1005:$BO$1005,1,MATCH(COLUMNS($AN$1006:AX1006),$AN$1006:$BO$1006,0))&gt;=100000), " ",IF(INDEX($AN$2:$BO$1001,MATCH(ROWS($AG$2:AG789),$AG$2:$AG$1001,0),MATCH(COLUMNS($AN$1006:AX1006),$AN$1006:$BO$1006,0)), HYPERLINK("#",""), HYPERLINK(CONCATENATE("#Metadata!", ADDRESS(INDEX($AI$2:$AI$1001,MATCH(ROWS($AG$2:AG789),$AG$2:$AG$1001,0),0), INDEX($AN$1004:$BO$1004,1,MATCH(COLUMNS($AN$1006:AX1006),$AN$1006:$BO$1006,0)))),"Fix")))</f>
        <v>0</v>
      </c>
      <c r="M789" s="4">
        <f>IF(OR(INDEX($AH$2:$AH$1001,MATCH(ROWS($AG$2:AG789),$AG$2:$AG$1001,0),1)&gt;=100000,INDEX($AN$1005:$BO$1005,1,MATCH(COLUMNS($AN$1006:AY1006),$AN$1006:$BO$1006,0))&gt;=100000), " ",IF(INDEX($AN$2:$BO$1001,MATCH(ROWS($AG$2:AG789),$AG$2:$AG$1001,0),MATCH(COLUMNS($AN$1006:AY1006),$AN$1006:$BO$1006,0)), HYPERLINK("#",""), HYPERLINK(CONCATENATE("#Metadata!", ADDRESS(INDEX($AI$2:$AI$1001,MATCH(ROWS($AG$2:AG789),$AG$2:$AG$1001,0),0), INDEX($AN$1004:$BO$1004,1,MATCH(COLUMNS($AN$1006:AY1006),$AN$1006:$BO$1006,0)))),"Fix")))</f>
        <v>0</v>
      </c>
      <c r="N789" s="4">
        <f>IF(OR(INDEX($AH$2:$AH$1001,MATCH(ROWS($AG$2:AG789),$AG$2:$AG$1001,0),1)&gt;=100000,INDEX($AN$1005:$BO$1005,1,MATCH(COLUMNS($AN$1006:AZ1006),$AN$1006:$BO$1006,0))&gt;=100000), " ",IF(INDEX($AN$2:$BO$1001,MATCH(ROWS($AG$2:AG789),$AG$2:$AG$1001,0),MATCH(COLUMNS($AN$1006:AZ1006),$AN$1006:$BO$1006,0)), HYPERLINK("#",""), HYPERLINK(CONCATENATE("#Metadata!", ADDRESS(INDEX($AI$2:$AI$1001,MATCH(ROWS($AG$2:AG789),$AG$2:$AG$1001,0),0), INDEX($AN$1004:$BO$1004,1,MATCH(COLUMNS($AN$1006:AZ1006),$AN$1006:$BO$1006,0)))),"Fix")))</f>
        <v>0</v>
      </c>
      <c r="O789" s="4">
        <f>IF(OR(INDEX($AH$2:$AH$1001,MATCH(ROWS($AG$2:AG789),$AG$2:$AG$1001,0),1)&gt;=100000,INDEX($AN$1005:$BO$1005,1,MATCH(COLUMNS($AN$1006:BA1006),$AN$1006:$BO$1006,0))&gt;=100000), " ",IF(INDEX($AN$2:$BO$1001,MATCH(ROWS($AG$2:AG789),$AG$2:$AG$1001,0),MATCH(COLUMNS($AN$1006:BA1006),$AN$1006:$BO$1006,0)), HYPERLINK("#",""), HYPERLINK(CONCATENATE("#Metadata!", ADDRESS(INDEX($AI$2:$AI$1001,MATCH(ROWS($AG$2:AG789),$AG$2:$AG$1001,0),0), INDEX($AN$1004:$BO$1004,1,MATCH(COLUMNS($AN$1006:BA1006),$AN$1006:$BO$1006,0)))),"Fix")))</f>
        <v>0</v>
      </c>
      <c r="P789" s="4">
        <f>IF(OR(INDEX($AH$2:$AH$1001,MATCH(ROWS($AG$2:AG789),$AG$2:$AG$1001,0),1)&gt;=100000,INDEX($AN$1005:$BO$1005,1,MATCH(COLUMNS($AN$1006:BB1006),$AN$1006:$BO$1006,0))&gt;=100000), " ",IF(INDEX($AN$2:$BO$1001,MATCH(ROWS($AG$2:AG789),$AG$2:$AG$1001,0),MATCH(COLUMNS($AN$1006:BB1006),$AN$1006:$BO$1006,0)), HYPERLINK("#",""), HYPERLINK(CONCATENATE("#Metadata!", ADDRESS(INDEX($AI$2:$AI$1001,MATCH(ROWS($AG$2:AG789),$AG$2:$AG$1001,0),0), INDEX($AN$1004:$BO$1004,1,MATCH(COLUMNS($AN$1006:BB1006),$AN$1006:$BO$1006,0)))),"Fix")))</f>
        <v>0</v>
      </c>
      <c r="Q789" s="4">
        <f>IF(OR(INDEX($AH$2:$AH$1001,MATCH(ROWS($AG$2:AG789),$AG$2:$AG$1001,0),1)&gt;=100000,INDEX($AN$1005:$BO$1005,1,MATCH(COLUMNS($AN$1006:BC1006),$AN$1006:$BO$1006,0))&gt;=100000), " ",IF(INDEX($AN$2:$BO$1001,MATCH(ROWS($AG$2:AG789),$AG$2:$AG$1001,0),MATCH(COLUMNS($AN$1006:BC1006),$AN$1006:$BO$1006,0)), HYPERLINK("#",""), HYPERLINK(CONCATENATE("#Metadata!", ADDRESS(INDEX($AI$2:$AI$1001,MATCH(ROWS($AG$2:AG789),$AG$2:$AG$1001,0),0), INDEX($AN$1004:$BO$1004,1,MATCH(COLUMNS($AN$1006:BC1006),$AN$1006:$BO$1006,0)))),"Fix")))</f>
        <v>0</v>
      </c>
      <c r="R789" s="4">
        <f>IF(OR(INDEX($AH$2:$AH$1001,MATCH(ROWS($AG$2:AG789),$AG$2:$AG$1001,0),1)&gt;=100000,INDEX($AN$1005:$BO$1005,1,MATCH(COLUMNS($AN$1006:BD1006),$AN$1006:$BO$1006,0))&gt;=100000), " ",IF(INDEX($AN$2:$BO$1001,MATCH(ROWS($AG$2:AG789),$AG$2:$AG$1001,0),MATCH(COLUMNS($AN$1006:BD1006),$AN$1006:$BO$1006,0)), HYPERLINK("#",""), HYPERLINK(CONCATENATE("#Metadata!", ADDRESS(INDEX($AI$2:$AI$1001,MATCH(ROWS($AG$2:AG789),$AG$2:$AG$1001,0),0), INDEX($AN$1004:$BO$1004,1,MATCH(COLUMNS($AN$1006:BD1006),$AN$1006:$BO$1006,0)))),"Fix")))</f>
        <v>0</v>
      </c>
      <c r="S789" s="4">
        <f>IF(OR(INDEX($AH$2:$AH$1001,MATCH(ROWS($AG$2:AG789),$AG$2:$AG$1001,0),1)&gt;=100000,INDEX($AN$1005:$BO$1005,1,MATCH(COLUMNS($AN$1006:BE1006),$AN$1006:$BO$1006,0))&gt;=100000), " ",IF(INDEX($AN$2:$BO$1001,MATCH(ROWS($AG$2:AG789),$AG$2:$AG$1001,0),MATCH(COLUMNS($AN$1006:BE1006),$AN$1006:$BO$1006,0)), HYPERLINK("#",""), HYPERLINK(CONCATENATE("#Metadata!", ADDRESS(INDEX($AI$2:$AI$1001,MATCH(ROWS($AG$2:AG789),$AG$2:$AG$1001,0),0), INDEX($AN$1004:$BO$1004,1,MATCH(COLUMNS($AN$1006:BE1006),$AN$1006:$BO$1006,0)))),"Fix")))</f>
        <v>0</v>
      </c>
      <c r="T789" s="4">
        <f>IF(OR(INDEX($AH$2:$AH$1001,MATCH(ROWS($AG$2:AG789),$AG$2:$AG$1001,0),1)&gt;=100000,INDEX($AN$1005:$BO$1005,1,MATCH(COLUMNS($AN$1006:BF1006),$AN$1006:$BO$1006,0))&gt;=100000), " ",IF(INDEX($AN$2:$BO$1001,MATCH(ROWS($AG$2:AG789),$AG$2:$AG$1001,0),MATCH(COLUMNS($AN$1006:BF1006),$AN$1006:$BO$1006,0)), HYPERLINK("#",""), HYPERLINK(CONCATENATE("#Metadata!", ADDRESS(INDEX($AI$2:$AI$1001,MATCH(ROWS($AG$2:AG789),$AG$2:$AG$1001,0),0), INDEX($AN$1004:$BO$1004,1,MATCH(COLUMNS($AN$1006:BF1006),$AN$1006:$BO$1006,0)))),"Fix")))</f>
        <v>0</v>
      </c>
      <c r="U789" s="4">
        <f>IF(OR(INDEX($AH$2:$AH$1001,MATCH(ROWS($AG$2:AG789),$AG$2:$AG$1001,0),1)&gt;=100000,INDEX($AN$1005:$BO$1005,1,MATCH(COLUMNS($AN$1006:BG1006),$AN$1006:$BO$1006,0))&gt;=100000), " ",IF(INDEX($AN$2:$BO$1001,MATCH(ROWS($AG$2:AG789),$AG$2:$AG$1001,0),MATCH(COLUMNS($AN$1006:BG1006),$AN$1006:$BO$1006,0)), HYPERLINK("#",""), HYPERLINK(CONCATENATE("#Metadata!", ADDRESS(INDEX($AI$2:$AI$1001,MATCH(ROWS($AG$2:AG789),$AG$2:$AG$1001,0),0), INDEX($AN$1004:$BO$1004,1,MATCH(COLUMNS($AN$1006:BG1006),$AN$1006:$BO$1006,0)))),"Fix")))</f>
        <v>0</v>
      </c>
      <c r="V789" s="4">
        <f>IF(OR(INDEX($AH$2:$AH$1001,MATCH(ROWS($AG$2:AG789),$AG$2:$AG$1001,0),1)&gt;=100000,INDEX($AN$1005:$BO$1005,1,MATCH(COLUMNS($AN$1006:BH1006),$AN$1006:$BO$1006,0))&gt;=100000), " ",IF(INDEX($AN$2:$BO$1001,MATCH(ROWS($AG$2:AG789),$AG$2:$AG$1001,0),MATCH(COLUMNS($AN$1006:BH1006),$AN$1006:$BO$1006,0)), HYPERLINK("#",""), HYPERLINK(CONCATENATE("#Metadata!", ADDRESS(INDEX($AI$2:$AI$1001,MATCH(ROWS($AG$2:AG789),$AG$2:$AG$1001,0),0), INDEX($AN$1004:$BO$1004,1,MATCH(COLUMNS($AN$1006:BH1006),$AN$1006:$BO$1006,0)))),"Fix")))</f>
        <v>0</v>
      </c>
      <c r="W789" s="4">
        <f>IF(OR(INDEX($AH$2:$AH$1001,MATCH(ROWS($AG$2:AG789),$AG$2:$AG$1001,0),1)&gt;=100000,INDEX($AN$1005:$BO$1005,1,MATCH(COLUMNS($AN$1006:BI1006),$AN$1006:$BO$1006,0))&gt;=100000), " ",IF(INDEX($AN$2:$BO$1001,MATCH(ROWS($AG$2:AG789),$AG$2:$AG$1001,0),MATCH(COLUMNS($AN$1006:BI1006),$AN$1006:$BO$1006,0)), HYPERLINK("#",""), HYPERLINK(CONCATENATE("#Metadata!", ADDRESS(INDEX($AI$2:$AI$1001,MATCH(ROWS($AG$2:AG789),$AG$2:$AG$1001,0),0), INDEX($AN$1004:$BO$1004,1,MATCH(COLUMNS($AN$1006:BI1006),$AN$1006:$BO$1006,0)))),"Fix")))</f>
        <v>0</v>
      </c>
      <c r="X789" s="4">
        <f>IF(OR(INDEX($AH$2:$AH$1001,MATCH(ROWS($AG$2:AG789),$AG$2:$AG$1001,0),1)&gt;=100000,INDEX($AN$1005:$BO$1005,1,MATCH(COLUMNS($AN$1006:BJ1006),$AN$1006:$BO$1006,0))&gt;=100000), " ",IF(INDEX($AN$2:$BO$1001,MATCH(ROWS($AG$2:AG789),$AG$2:$AG$1001,0),MATCH(COLUMNS($AN$1006:BJ1006),$AN$1006:$BO$1006,0)), HYPERLINK("#",""), HYPERLINK(CONCATENATE("#Metadata!", ADDRESS(INDEX($AI$2:$AI$1001,MATCH(ROWS($AG$2:AG789),$AG$2:$AG$1001,0),0), INDEX($AN$1004:$BO$1004,1,MATCH(COLUMNS($AN$1006:BJ1006),$AN$1006:$BO$1006,0)))),"Fix")))</f>
        <v>0</v>
      </c>
      <c r="Y789" s="4">
        <f>IF(OR(INDEX($AH$2:$AH$1001,MATCH(ROWS($AG$2:AG789),$AG$2:$AG$1001,0),1)&gt;=100000,INDEX($AN$1005:$BO$1005,1,MATCH(COLUMNS($AN$1006:BK1006),$AN$1006:$BO$1006,0))&gt;=100000), " ",IF(INDEX($AN$2:$BO$1001,MATCH(ROWS($AG$2:AG789),$AG$2:$AG$1001,0),MATCH(COLUMNS($AN$1006:BK1006),$AN$1006:$BO$1006,0)), HYPERLINK("#",""), HYPERLINK(CONCATENATE("#Metadata!", ADDRESS(INDEX($AI$2:$AI$1001,MATCH(ROWS($AG$2:AG789),$AG$2:$AG$1001,0),0), INDEX($AN$1004:$BO$1004,1,MATCH(COLUMNS($AN$1006:BK1006),$AN$1006:$BO$1006,0)))),"Fix")))</f>
        <v>0</v>
      </c>
      <c r="Z789" s="4">
        <f>IF(OR(INDEX($AH$2:$AH$1001,MATCH(ROWS($AG$2:AG789),$AG$2:$AG$1001,0),1)&gt;=100000,INDEX($AN$1005:$BO$1005,1,MATCH(COLUMNS($AN$1006:BL1006),$AN$1006:$BO$1006,0))&gt;=100000), " ",IF(INDEX($AN$2:$BO$1001,MATCH(ROWS($AG$2:AG789),$AG$2:$AG$1001,0),MATCH(COLUMNS($AN$1006:BL1006),$AN$1006:$BO$1006,0)), HYPERLINK("#",""), HYPERLINK(CONCATENATE("#Metadata!", ADDRESS(INDEX($AI$2:$AI$1001,MATCH(ROWS($AG$2:AG789),$AG$2:$AG$1001,0),0), INDEX($AN$1004:$BO$1004,1,MATCH(COLUMNS($AN$1006:BL1006),$AN$1006:$BO$1006,0)))),"Fix")))</f>
        <v>0</v>
      </c>
      <c r="AA789" s="4">
        <f>IF(OR(INDEX($AH$2:$AH$1001,MATCH(ROWS($AG$2:AG789),$AG$2:$AG$1001,0),1)&gt;=100000,INDEX($AN$1005:$BO$1005,1,MATCH(COLUMNS($AN$1006:BM1006),$AN$1006:$BO$1006,0))&gt;=100000), " ",IF(INDEX($AN$2:$BO$1001,MATCH(ROWS($AG$2:AG789),$AG$2:$AG$1001,0),MATCH(COLUMNS($AN$1006:BM1006),$AN$1006:$BO$1006,0)), HYPERLINK("#",""), HYPERLINK(CONCATENATE("#Metadata!", ADDRESS(INDEX($AI$2:$AI$1001,MATCH(ROWS($AG$2:AG789),$AG$2:$AG$1001,0),0), INDEX($AN$1004:$BO$1004,1,MATCH(COLUMNS($AN$1006:BM1006),$AN$1006:$BO$1006,0)))),"Fix")))</f>
        <v>0</v>
      </c>
      <c r="AB789" s="4">
        <f>IF(OR(INDEX($AH$2:$AH$1001,MATCH(ROWS($AG$2:AG789),$AG$2:$AG$1001,0),1)&gt;=100000,INDEX($AN$1005:$BO$1005,1,MATCH(COLUMNS($AN$1006:BN1006),$AN$1006:$BO$1006,0))&gt;=100000), " ",IF(INDEX($AN$2:$BO$1001,MATCH(ROWS($AG$2:AG789),$AG$2:$AG$1001,0),MATCH(COLUMNS($AN$1006:BN1006),$AN$1006:$BO$1006,0)), HYPERLINK("#",""), HYPERLINK(CONCATENATE("#Metadata!", ADDRESS(INDEX($AI$2:$AI$1001,MATCH(ROWS($AG$2:AG789),$AG$2:$AG$1001,0),0), INDEX($AN$1004:$BO$1004,1,MATCH(COLUMNS($AN$1006:BN1006),$AN$1006:$BO$1006,0)))),"Fix")))</f>
        <v>0</v>
      </c>
      <c r="AC789" s="4">
        <f>IF(OR(INDEX($AH$2:$AH$1001,MATCH(ROWS($AG$2:AG789),$AG$2:$AG$1001,0),1)&gt;=100000,INDEX($AN$1005:$BO$1005,1,MATCH(COLUMNS($AN$1006:BO1006),$AN$1006:$BO$1006,0))&gt;=100000), " ",IF(INDEX($AN$2:$BO$1001,MATCH(ROWS($AG$2:AG789),$AG$2:$AG$1001,0),MATCH(COLUMNS($AN$1006:BO1006),$AN$1006:$BO$1006,0)), HYPERLINK("#",""), HYPERLINK(CONCATENATE("#Metadata!", ADDRESS(INDEX($AI$2:$AI$1001,MATCH(ROWS($AG$2:AG789),$AG$2:$AG$1001,0),0), INDEX($AN$1004:$BO$1004,1,MATCH(COLUMNS($AN$1006:BO1006),$AN$1006:$BO$1006,0)))),"Fix")))</f>
        <v>0</v>
      </c>
      <c r="AG789">
        <v>0</v>
      </c>
      <c r="AH789">
        <v>0</v>
      </c>
      <c r="AI789">
        <v>0</v>
      </c>
      <c r="AJ789">
        <f>IF(AK789,TRUE,AND(AN789:BO789))</f>
        <v>0</v>
      </c>
      <c r="AK789">
        <f>COUNTBLANK(Metadata!B789:AC789)=COLUMNS(Metadata!B789:AC789)</f>
        <v>0</v>
      </c>
      <c r="AL789">
        <v>0</v>
      </c>
      <c r="AN789">
        <f>AND(IF(Metadata!B789="",FALSE,TRUE),COUNTIF(Metadata!B:B, Metadata!B789) = 1,NOT(ISERROR(SUMPRODUCT(SEARCH(MID(Metadata!B789,ROW(INDIRECT("1:"&amp;LEN(Metadata!B789))), 1),"0123456789abcdefghijklmnopqrstuvwxyzABCDEFGHIJKLMNOPQRSTUVWXYZ.")))))</f>
        <v>0</v>
      </c>
      <c r="AO789">
        <f>IF(Metadata!C789="",FALSE,TRUE)</f>
        <v>0</v>
      </c>
      <c r="AP789">
        <f>IF(Metadata!D789="",FALSE,TRUE)</f>
        <v>0</v>
      </c>
      <c r="AQ789">
        <f>OR(AND(IF(Metadata!E789="",FALSE,TRUE),OR(exact(Metadata!E789,"not collected"),exact(Metadata!E789,"not provided"),exact(Metadata!E789,"restricted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R789">
        <f>IF(Metadata!F789="",FALSE,TRUE)</f>
        <v>0</v>
      </c>
      <c r="AS789">
        <f>OR(AND(IF(Metadata!G789="",FALSE,TRUE),OR(exact(Metadata!G789,"not collected"),exact(Metadata!G789,"not provided"))),AND(IF(Metadata!G789="",FALSE,TRUE),OR(exact(Metadata!G789,"TRUE"),exact(Metadata!G789,"FALSE"))))</f>
        <v>0</v>
      </c>
      <c r="AT789">
        <f>OR(AND(IF(Metadata!H789="",FALSE,TRUE),OR(exact(Metadata!H789,"not collected"),exact(Metadata!H789,"not provided"),exact(Metadata!H789,"restricted access"))),AND(IF(Metadata!H789="",FALSE,ISNUMBER(VALUE(Metadata!H789))),Metadata!H789&gt;=-413.0))</f>
        <v>0</v>
      </c>
      <c r="AU789">
        <f>AND(IF(Metadata!I789="",FALSE,TRUE),exact(Metadata!I789,"meters"))</f>
        <v>0</v>
      </c>
      <c r="AV789">
        <f>AND(IF(Metadata!J789="",FALSE,TRUE),OR(exact(Metadata!J789,"Host-associated"),exact(Metadata!J789,"Free-living")))</f>
        <v>0</v>
      </c>
      <c r="AW789">
        <f>AND(IF(Metadata!K789="",FALSE,TRUE),OR(exact(Metadata!K789,"Animal"),exact(Metadata!K789,"Fungus"),exact(Metadata!K789,"Plant"),exact(Metadata!K789,"Saline"),exact(Metadata!K789,"Non-saline")))</f>
        <v>0</v>
      </c>
      <c r="AX789">
        <f>AND(IF(Metadata!L789="",FALSE,TRUE),OR(exact(Metadata!L789,"Plant secretion"),exact(Metadata!L789,"Plant rhizosphere"),exact(Metadata!L789,"Plant surface"),exact(Metadata!L789,"Plant corpus"),exact(Metadata!L789,"Fungus surface"),exact(Metadata!L789,"Fungus corpus"),exact(Metadata!L789,"Animal surface"),exact(Metadata!L789,"Animal proximal gut"),exact(Metadata!L789,"Animal corpus"),exact(Metadata!L789,"Animal distal gut"),exact(Metadata!L789,"Animal secretion"),exact(Metadata!L789,"Sub-surface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Y789">
        <f>IF(Metadata!M789="",FALSE,TRUE)</f>
        <v>0</v>
      </c>
      <c r="AZ789">
        <f>IF(Metadata!N789="",FALSE,TRUE)</f>
        <v>0</v>
      </c>
      <c r="BA789">
        <f>IF(Metadata!O789="",FALSE,TRUE)</f>
        <v>0</v>
      </c>
      <c r="BB789">
        <f>OR(AND(IF(Metadata!P789="",FALSE,TRUE),OR(exact(Metadata!P789,"not collected"),exact(Metadata!P789,"not provided"),exact(Metadata!P789,"restricted access"))),AND(IF(Metadata!P789="",FALSE,TRUE),OR(exact(Metadata!P789,"air"),exact(Metadata!P789,"built environment"),exact(Metadata!P789,"host-associated"),exact(Metadata!P789,"human-associated"),exact(Metadata!P789,"human-skin"),exact(Metadata!P789,"human-oral"),exact(Metadata!P789,"human-gut"),exact(Metadata!P789,"human-vaginal"),exact(Metadata!P789,"microbial mat/biofilm"),exact(Metadata!P789,"misc environment"),exact(Metadata!P789,"plant-associated"),exact(Metadata!P789,"sediment"),exact(Metadata!P789,"soil"),exact(Metadata!P789,"wastewater/sludge"),exact(Metadata!P789,"water"))))</f>
        <v>0</v>
      </c>
      <c r="BC789">
        <f>IF(Metadata!Q789="",FALSE,TRUE)</f>
        <v>0</v>
      </c>
      <c r="BD789">
        <f>IF(Metadata!R789="",FALSE,TRUE)</f>
        <v>0</v>
      </c>
      <c r="BE789">
        <f>OR(AND(IF(Metadata!S789="",FALSE,TRUE),OR(exact(Metadata!S789,"not collected"),exact(Metadata!S789,"not provided"),exact(Metadata!S789,"restricted access"))),AND(IF(Metadata!S789="",FALSE,ISNUMBER(VALUE(Metadata!S789))),Metadata!S789&gt;=-90.00,Metadata!S789&lt;=90.00))</f>
        <v>0</v>
      </c>
      <c r="BF789">
        <f>AND(IF(Metadata!T789="",FALSE,TRUE),exact(Metadata!T789,"Decimal degrees"))</f>
        <v>0</v>
      </c>
      <c r="BG789">
        <f>OR(AND(IF(Metadata!U789="",FALSE,TRUE),OR(exact(Metadata!U789,"not collected"),exact(Metadata!U789,"not provided"),exact(Metadata!U789,"restricted access"))),AND(IF(Metadata!U789="",FALSE,ISNUMBER(VALUE(Metadata!U789))),Metadata!U789&gt;=-180.00,Metadata!U789&lt;=180.00))</f>
        <v>0</v>
      </c>
      <c r="BH789">
        <f>AND(IF(Metadata!V789="",FALSE,TRUE),exact(Metadata!V789,"Decimal degrees"))</f>
        <v>0</v>
      </c>
      <c r="BI789">
        <f>IF(Metadata!W789="",FALSE,TRUE)</f>
        <v>0</v>
      </c>
      <c r="BJ789">
        <f>OR(AND(IF(Metadata!X789="",FALSE,TRUE),OR(exact(Metadata!X789,"not collected"),exact(Metadata!X789,"not provided"),exact(Metadata!X789,"restricted access"))),AND(IF(Metadata!X789="",FALSE,TRUE),OR(exact(Metadata!X789,"TRUE"),exact(Metadata!X789,"FALSE"))))</f>
        <v>0</v>
      </c>
      <c r="BK789">
        <f>AND(IF(Metadata!Y789="",FALSE,TRUE),exact(Metadata!Y789,"other"))</f>
        <v>0</v>
      </c>
      <c r="BL789">
        <f>IF(Metadata!Z789="",FALSE,TRUE)</f>
        <v>0</v>
      </c>
      <c r="BM789">
        <f>OR(AND(IF(Metadata!AA789="",FALSE,TRUE),OR(exact(Metadata!AA789,"not collected"),exact(Metadata!AA789,"not provided"))),AND(IF(Metadata!AA789="",FALSE,IF(ISERROR(INT(Metadata!AA789)),FALSE,INT(Metadata!AA789)=Metadata!AA789)),Metadata!AA789&gt;0))</f>
        <v>0</v>
      </c>
      <c r="BN789">
        <f>AND(IF(Metadata!AB789="",FALSE,TRUE),exact(Metadata!AB789,"Not applicable"))</f>
        <v>0</v>
      </c>
      <c r="BO789">
        <f>IF(Metadata!AC789="",FALSE,TRUE)</f>
        <v>0</v>
      </c>
    </row>
    <row r="790" spans="1:67">
      <c r="A790" s="5">
        <f>IF(B790=" "," ",HYPERLINK(CONCATENATE("#metadata!",ADDRESS(INDEX($AI$2:$AI$1001,MATCH(ROWS($AG$2:AG790),$AG$2:$AG$1001,0),0),1)),INDEX($AL$2:$AL$1001,MATCH(ROWS($AG$2:AG790),$AG$2:$AG$1001,0),0)))</f>
        <v>0</v>
      </c>
      <c r="B790" s="4">
        <f>IF(OR(INDEX($AH$2:$AH$1001,MATCH(ROWS($AG$2:AG790),$AG$2:$AG$1001,0),1)&gt;=100000,INDEX($AN$1005:$BO$1005,1,MATCH(COLUMNS($AN$1006:AN1006),$AN$1006:$BO$1006,0))&gt;=100000), " ",IF(INDEX($AN$2:$BO$1001,MATCH(ROWS($AG$2:AG790),$AG$2:$AG$1001,0),MATCH(COLUMNS($AN$1006:AN1006),$AN$1006:$BO$1006,0)), HYPERLINK("#",""), HYPERLINK(CONCATENATE("#Metadata!", ADDRESS(INDEX($AI$2:$AI$1001,MATCH(ROWS($AG$2:AG790),$AG$2:$AG$1001,0),0), INDEX($AN$1004:$BO$1004,1,MATCH(COLUMNS($AN$1006:AN1006),$AN$1006:$BO$1006,0)))),"Fix")))</f>
        <v>0</v>
      </c>
      <c r="C790" s="4">
        <f>IF(OR(INDEX($AH$2:$AH$1001,MATCH(ROWS($AG$2:AG790),$AG$2:$AG$1001,0),1)&gt;=100000,INDEX($AN$1005:$BO$1005,1,MATCH(COLUMNS($AN$1006:AO1006),$AN$1006:$BO$1006,0))&gt;=100000), " ",IF(INDEX($AN$2:$BO$1001,MATCH(ROWS($AG$2:AG790),$AG$2:$AG$1001,0),MATCH(COLUMNS($AN$1006:AO1006),$AN$1006:$BO$1006,0)), HYPERLINK("#",""), HYPERLINK(CONCATENATE("#Metadata!", ADDRESS(INDEX($AI$2:$AI$1001,MATCH(ROWS($AG$2:AG790),$AG$2:$AG$1001,0),0), INDEX($AN$1004:$BO$1004,1,MATCH(COLUMNS($AN$1006:AO1006),$AN$1006:$BO$1006,0)))),"Fix")))</f>
        <v>0</v>
      </c>
      <c r="D790" s="4">
        <f>IF(OR(INDEX($AH$2:$AH$1001,MATCH(ROWS($AG$2:AG790),$AG$2:$AG$1001,0),1)&gt;=100000,INDEX($AN$1005:$BO$1005,1,MATCH(COLUMNS($AN$1006:AP1006),$AN$1006:$BO$1006,0))&gt;=100000), " ",IF(INDEX($AN$2:$BO$1001,MATCH(ROWS($AG$2:AG790),$AG$2:$AG$1001,0),MATCH(COLUMNS($AN$1006:AP1006),$AN$1006:$BO$1006,0)), HYPERLINK("#",""), HYPERLINK(CONCATENATE("#Metadata!", ADDRESS(INDEX($AI$2:$AI$1001,MATCH(ROWS($AG$2:AG790),$AG$2:$AG$1001,0),0), INDEX($AN$1004:$BO$1004,1,MATCH(COLUMNS($AN$1006:AP1006),$AN$1006:$BO$1006,0)))),"Fix")))</f>
        <v>0</v>
      </c>
      <c r="E790" s="4">
        <f>IF(OR(INDEX($AH$2:$AH$1001,MATCH(ROWS($AG$2:AG790),$AG$2:$AG$1001,0),1)&gt;=100000,INDEX($AN$1005:$BO$1005,1,MATCH(COLUMNS($AN$1006:AQ1006),$AN$1006:$BO$1006,0))&gt;=100000), " ",IF(INDEX($AN$2:$BO$1001,MATCH(ROWS($AG$2:AG790),$AG$2:$AG$1001,0),MATCH(COLUMNS($AN$1006:AQ1006),$AN$1006:$BO$1006,0)), HYPERLINK("#",""), HYPERLINK(CONCATENATE("#Metadata!", ADDRESS(INDEX($AI$2:$AI$1001,MATCH(ROWS($AG$2:AG790),$AG$2:$AG$1001,0),0), INDEX($AN$1004:$BO$1004,1,MATCH(COLUMNS($AN$1006:AQ1006),$AN$1006:$BO$1006,0)))),"Fix")))</f>
        <v>0</v>
      </c>
      <c r="F790" s="4">
        <f>IF(OR(INDEX($AH$2:$AH$1001,MATCH(ROWS($AG$2:AG790),$AG$2:$AG$1001,0),1)&gt;=100000,INDEX($AN$1005:$BO$1005,1,MATCH(COLUMNS($AN$1006:AR1006),$AN$1006:$BO$1006,0))&gt;=100000), " ",IF(INDEX($AN$2:$BO$1001,MATCH(ROWS($AG$2:AG790),$AG$2:$AG$1001,0),MATCH(COLUMNS($AN$1006:AR1006),$AN$1006:$BO$1006,0)), HYPERLINK("#",""), HYPERLINK(CONCATENATE("#Metadata!", ADDRESS(INDEX($AI$2:$AI$1001,MATCH(ROWS($AG$2:AG790),$AG$2:$AG$1001,0),0), INDEX($AN$1004:$BO$1004,1,MATCH(COLUMNS($AN$1006:AR1006),$AN$1006:$BO$1006,0)))),"Fix")))</f>
        <v>0</v>
      </c>
      <c r="G790" s="4">
        <f>IF(OR(INDEX($AH$2:$AH$1001,MATCH(ROWS($AG$2:AG790),$AG$2:$AG$1001,0),1)&gt;=100000,INDEX($AN$1005:$BO$1005,1,MATCH(COLUMNS($AN$1006:AS1006),$AN$1006:$BO$1006,0))&gt;=100000), " ",IF(INDEX($AN$2:$BO$1001,MATCH(ROWS($AG$2:AG790),$AG$2:$AG$1001,0),MATCH(COLUMNS($AN$1006:AS1006),$AN$1006:$BO$1006,0)), HYPERLINK("#",""), HYPERLINK(CONCATENATE("#Metadata!", ADDRESS(INDEX($AI$2:$AI$1001,MATCH(ROWS($AG$2:AG790),$AG$2:$AG$1001,0),0), INDEX($AN$1004:$BO$1004,1,MATCH(COLUMNS($AN$1006:AS1006),$AN$1006:$BO$1006,0)))),"Fix")))</f>
        <v>0</v>
      </c>
      <c r="H790" s="4">
        <f>IF(OR(INDEX($AH$2:$AH$1001,MATCH(ROWS($AG$2:AG790),$AG$2:$AG$1001,0),1)&gt;=100000,INDEX($AN$1005:$BO$1005,1,MATCH(COLUMNS($AN$1006:AT1006),$AN$1006:$BO$1006,0))&gt;=100000), " ",IF(INDEX($AN$2:$BO$1001,MATCH(ROWS($AG$2:AG790),$AG$2:$AG$1001,0),MATCH(COLUMNS($AN$1006:AT1006),$AN$1006:$BO$1006,0)), HYPERLINK("#",""), HYPERLINK(CONCATENATE("#Metadata!", ADDRESS(INDEX($AI$2:$AI$1001,MATCH(ROWS($AG$2:AG790),$AG$2:$AG$1001,0),0), INDEX($AN$1004:$BO$1004,1,MATCH(COLUMNS($AN$1006:AT1006),$AN$1006:$BO$1006,0)))),"Fix")))</f>
        <v>0</v>
      </c>
      <c r="I790" s="4">
        <f>IF(OR(INDEX($AH$2:$AH$1001,MATCH(ROWS($AG$2:AG790),$AG$2:$AG$1001,0),1)&gt;=100000,INDEX($AN$1005:$BO$1005,1,MATCH(COLUMNS($AN$1006:AU1006),$AN$1006:$BO$1006,0))&gt;=100000), " ",IF(INDEX($AN$2:$BO$1001,MATCH(ROWS($AG$2:AG790),$AG$2:$AG$1001,0),MATCH(COLUMNS($AN$1006:AU1006),$AN$1006:$BO$1006,0)), HYPERLINK("#",""), HYPERLINK(CONCATENATE("#Metadata!", ADDRESS(INDEX($AI$2:$AI$1001,MATCH(ROWS($AG$2:AG790),$AG$2:$AG$1001,0),0), INDEX($AN$1004:$BO$1004,1,MATCH(COLUMNS($AN$1006:AU1006),$AN$1006:$BO$1006,0)))),"Fix")))</f>
        <v>0</v>
      </c>
      <c r="J790" s="4">
        <f>IF(OR(INDEX($AH$2:$AH$1001,MATCH(ROWS($AG$2:AG790),$AG$2:$AG$1001,0),1)&gt;=100000,INDEX($AN$1005:$BO$1005,1,MATCH(COLUMNS($AN$1006:AV1006),$AN$1006:$BO$1006,0))&gt;=100000), " ",IF(INDEX($AN$2:$BO$1001,MATCH(ROWS($AG$2:AG790),$AG$2:$AG$1001,0),MATCH(COLUMNS($AN$1006:AV1006),$AN$1006:$BO$1006,0)), HYPERLINK("#",""), HYPERLINK(CONCATENATE("#Metadata!", ADDRESS(INDEX($AI$2:$AI$1001,MATCH(ROWS($AG$2:AG790),$AG$2:$AG$1001,0),0), INDEX($AN$1004:$BO$1004,1,MATCH(COLUMNS($AN$1006:AV1006),$AN$1006:$BO$1006,0)))),"Fix")))</f>
        <v>0</v>
      </c>
      <c r="K790" s="4">
        <f>IF(OR(INDEX($AH$2:$AH$1001,MATCH(ROWS($AG$2:AG790),$AG$2:$AG$1001,0),1)&gt;=100000,INDEX($AN$1005:$BO$1005,1,MATCH(COLUMNS($AN$1006:AW1006),$AN$1006:$BO$1006,0))&gt;=100000), " ",IF(INDEX($AN$2:$BO$1001,MATCH(ROWS($AG$2:AG790),$AG$2:$AG$1001,0),MATCH(COLUMNS($AN$1006:AW1006),$AN$1006:$BO$1006,0)), HYPERLINK("#",""), HYPERLINK(CONCATENATE("#Metadata!", ADDRESS(INDEX($AI$2:$AI$1001,MATCH(ROWS($AG$2:AG790),$AG$2:$AG$1001,0),0), INDEX($AN$1004:$BO$1004,1,MATCH(COLUMNS($AN$1006:AW1006),$AN$1006:$BO$1006,0)))),"Fix")))</f>
        <v>0</v>
      </c>
      <c r="L790" s="4">
        <f>IF(OR(INDEX($AH$2:$AH$1001,MATCH(ROWS($AG$2:AG790),$AG$2:$AG$1001,0),1)&gt;=100000,INDEX($AN$1005:$BO$1005,1,MATCH(COLUMNS($AN$1006:AX1006),$AN$1006:$BO$1006,0))&gt;=100000), " ",IF(INDEX($AN$2:$BO$1001,MATCH(ROWS($AG$2:AG790),$AG$2:$AG$1001,0),MATCH(COLUMNS($AN$1006:AX1006),$AN$1006:$BO$1006,0)), HYPERLINK("#",""), HYPERLINK(CONCATENATE("#Metadata!", ADDRESS(INDEX($AI$2:$AI$1001,MATCH(ROWS($AG$2:AG790),$AG$2:$AG$1001,0),0), INDEX($AN$1004:$BO$1004,1,MATCH(COLUMNS($AN$1006:AX1006),$AN$1006:$BO$1006,0)))),"Fix")))</f>
        <v>0</v>
      </c>
      <c r="M790" s="4">
        <f>IF(OR(INDEX($AH$2:$AH$1001,MATCH(ROWS($AG$2:AG790),$AG$2:$AG$1001,0),1)&gt;=100000,INDEX($AN$1005:$BO$1005,1,MATCH(COLUMNS($AN$1006:AY1006),$AN$1006:$BO$1006,0))&gt;=100000), " ",IF(INDEX($AN$2:$BO$1001,MATCH(ROWS($AG$2:AG790),$AG$2:$AG$1001,0),MATCH(COLUMNS($AN$1006:AY1006),$AN$1006:$BO$1006,0)), HYPERLINK("#",""), HYPERLINK(CONCATENATE("#Metadata!", ADDRESS(INDEX($AI$2:$AI$1001,MATCH(ROWS($AG$2:AG790),$AG$2:$AG$1001,0),0), INDEX($AN$1004:$BO$1004,1,MATCH(COLUMNS($AN$1006:AY1006),$AN$1006:$BO$1006,0)))),"Fix")))</f>
        <v>0</v>
      </c>
      <c r="N790" s="4">
        <f>IF(OR(INDEX($AH$2:$AH$1001,MATCH(ROWS($AG$2:AG790),$AG$2:$AG$1001,0),1)&gt;=100000,INDEX($AN$1005:$BO$1005,1,MATCH(COLUMNS($AN$1006:AZ1006),$AN$1006:$BO$1006,0))&gt;=100000), " ",IF(INDEX($AN$2:$BO$1001,MATCH(ROWS($AG$2:AG790),$AG$2:$AG$1001,0),MATCH(COLUMNS($AN$1006:AZ1006),$AN$1006:$BO$1006,0)), HYPERLINK("#",""), HYPERLINK(CONCATENATE("#Metadata!", ADDRESS(INDEX($AI$2:$AI$1001,MATCH(ROWS($AG$2:AG790),$AG$2:$AG$1001,0),0), INDEX($AN$1004:$BO$1004,1,MATCH(COLUMNS($AN$1006:AZ1006),$AN$1006:$BO$1006,0)))),"Fix")))</f>
        <v>0</v>
      </c>
      <c r="O790" s="4">
        <f>IF(OR(INDEX($AH$2:$AH$1001,MATCH(ROWS($AG$2:AG790),$AG$2:$AG$1001,0),1)&gt;=100000,INDEX($AN$1005:$BO$1005,1,MATCH(COLUMNS($AN$1006:BA1006),$AN$1006:$BO$1006,0))&gt;=100000), " ",IF(INDEX($AN$2:$BO$1001,MATCH(ROWS($AG$2:AG790),$AG$2:$AG$1001,0),MATCH(COLUMNS($AN$1006:BA1006),$AN$1006:$BO$1006,0)), HYPERLINK("#",""), HYPERLINK(CONCATENATE("#Metadata!", ADDRESS(INDEX($AI$2:$AI$1001,MATCH(ROWS($AG$2:AG790),$AG$2:$AG$1001,0),0), INDEX($AN$1004:$BO$1004,1,MATCH(COLUMNS($AN$1006:BA1006),$AN$1006:$BO$1006,0)))),"Fix")))</f>
        <v>0</v>
      </c>
      <c r="P790" s="4">
        <f>IF(OR(INDEX($AH$2:$AH$1001,MATCH(ROWS($AG$2:AG790),$AG$2:$AG$1001,0),1)&gt;=100000,INDEX($AN$1005:$BO$1005,1,MATCH(COLUMNS($AN$1006:BB1006),$AN$1006:$BO$1006,0))&gt;=100000), " ",IF(INDEX($AN$2:$BO$1001,MATCH(ROWS($AG$2:AG790),$AG$2:$AG$1001,0),MATCH(COLUMNS($AN$1006:BB1006),$AN$1006:$BO$1006,0)), HYPERLINK("#",""), HYPERLINK(CONCATENATE("#Metadata!", ADDRESS(INDEX($AI$2:$AI$1001,MATCH(ROWS($AG$2:AG790),$AG$2:$AG$1001,0),0), INDEX($AN$1004:$BO$1004,1,MATCH(COLUMNS($AN$1006:BB1006),$AN$1006:$BO$1006,0)))),"Fix")))</f>
        <v>0</v>
      </c>
      <c r="Q790" s="4">
        <f>IF(OR(INDEX($AH$2:$AH$1001,MATCH(ROWS($AG$2:AG790),$AG$2:$AG$1001,0),1)&gt;=100000,INDEX($AN$1005:$BO$1005,1,MATCH(COLUMNS($AN$1006:BC1006),$AN$1006:$BO$1006,0))&gt;=100000), " ",IF(INDEX($AN$2:$BO$1001,MATCH(ROWS($AG$2:AG790),$AG$2:$AG$1001,0),MATCH(COLUMNS($AN$1006:BC1006),$AN$1006:$BO$1006,0)), HYPERLINK("#",""), HYPERLINK(CONCATENATE("#Metadata!", ADDRESS(INDEX($AI$2:$AI$1001,MATCH(ROWS($AG$2:AG790),$AG$2:$AG$1001,0),0), INDEX($AN$1004:$BO$1004,1,MATCH(COLUMNS($AN$1006:BC1006),$AN$1006:$BO$1006,0)))),"Fix")))</f>
        <v>0</v>
      </c>
      <c r="R790" s="4">
        <f>IF(OR(INDEX($AH$2:$AH$1001,MATCH(ROWS($AG$2:AG790),$AG$2:$AG$1001,0),1)&gt;=100000,INDEX($AN$1005:$BO$1005,1,MATCH(COLUMNS($AN$1006:BD1006),$AN$1006:$BO$1006,0))&gt;=100000), " ",IF(INDEX($AN$2:$BO$1001,MATCH(ROWS($AG$2:AG790),$AG$2:$AG$1001,0),MATCH(COLUMNS($AN$1006:BD1006),$AN$1006:$BO$1006,0)), HYPERLINK("#",""), HYPERLINK(CONCATENATE("#Metadata!", ADDRESS(INDEX($AI$2:$AI$1001,MATCH(ROWS($AG$2:AG790),$AG$2:$AG$1001,0),0), INDEX($AN$1004:$BO$1004,1,MATCH(COLUMNS($AN$1006:BD1006),$AN$1006:$BO$1006,0)))),"Fix")))</f>
        <v>0</v>
      </c>
      <c r="S790" s="4">
        <f>IF(OR(INDEX($AH$2:$AH$1001,MATCH(ROWS($AG$2:AG790),$AG$2:$AG$1001,0),1)&gt;=100000,INDEX($AN$1005:$BO$1005,1,MATCH(COLUMNS($AN$1006:BE1006),$AN$1006:$BO$1006,0))&gt;=100000), " ",IF(INDEX($AN$2:$BO$1001,MATCH(ROWS($AG$2:AG790),$AG$2:$AG$1001,0),MATCH(COLUMNS($AN$1006:BE1006),$AN$1006:$BO$1006,0)), HYPERLINK("#",""), HYPERLINK(CONCATENATE("#Metadata!", ADDRESS(INDEX($AI$2:$AI$1001,MATCH(ROWS($AG$2:AG790),$AG$2:$AG$1001,0),0), INDEX($AN$1004:$BO$1004,1,MATCH(COLUMNS($AN$1006:BE1006),$AN$1006:$BO$1006,0)))),"Fix")))</f>
        <v>0</v>
      </c>
      <c r="T790" s="4">
        <f>IF(OR(INDEX($AH$2:$AH$1001,MATCH(ROWS($AG$2:AG790),$AG$2:$AG$1001,0),1)&gt;=100000,INDEX($AN$1005:$BO$1005,1,MATCH(COLUMNS($AN$1006:BF1006),$AN$1006:$BO$1006,0))&gt;=100000), " ",IF(INDEX($AN$2:$BO$1001,MATCH(ROWS($AG$2:AG790),$AG$2:$AG$1001,0),MATCH(COLUMNS($AN$1006:BF1006),$AN$1006:$BO$1006,0)), HYPERLINK("#",""), HYPERLINK(CONCATENATE("#Metadata!", ADDRESS(INDEX($AI$2:$AI$1001,MATCH(ROWS($AG$2:AG790),$AG$2:$AG$1001,0),0), INDEX($AN$1004:$BO$1004,1,MATCH(COLUMNS($AN$1006:BF1006),$AN$1006:$BO$1006,0)))),"Fix")))</f>
        <v>0</v>
      </c>
      <c r="U790" s="4">
        <f>IF(OR(INDEX($AH$2:$AH$1001,MATCH(ROWS($AG$2:AG790),$AG$2:$AG$1001,0),1)&gt;=100000,INDEX($AN$1005:$BO$1005,1,MATCH(COLUMNS($AN$1006:BG1006),$AN$1006:$BO$1006,0))&gt;=100000), " ",IF(INDEX($AN$2:$BO$1001,MATCH(ROWS($AG$2:AG790),$AG$2:$AG$1001,0),MATCH(COLUMNS($AN$1006:BG1006),$AN$1006:$BO$1006,0)), HYPERLINK("#",""), HYPERLINK(CONCATENATE("#Metadata!", ADDRESS(INDEX($AI$2:$AI$1001,MATCH(ROWS($AG$2:AG790),$AG$2:$AG$1001,0),0), INDEX($AN$1004:$BO$1004,1,MATCH(COLUMNS($AN$1006:BG1006),$AN$1006:$BO$1006,0)))),"Fix")))</f>
        <v>0</v>
      </c>
      <c r="V790" s="4">
        <f>IF(OR(INDEX($AH$2:$AH$1001,MATCH(ROWS($AG$2:AG790),$AG$2:$AG$1001,0),1)&gt;=100000,INDEX($AN$1005:$BO$1005,1,MATCH(COLUMNS($AN$1006:BH1006),$AN$1006:$BO$1006,0))&gt;=100000), " ",IF(INDEX($AN$2:$BO$1001,MATCH(ROWS($AG$2:AG790),$AG$2:$AG$1001,0),MATCH(COLUMNS($AN$1006:BH1006),$AN$1006:$BO$1006,0)), HYPERLINK("#",""), HYPERLINK(CONCATENATE("#Metadata!", ADDRESS(INDEX($AI$2:$AI$1001,MATCH(ROWS($AG$2:AG790),$AG$2:$AG$1001,0),0), INDEX($AN$1004:$BO$1004,1,MATCH(COLUMNS($AN$1006:BH1006),$AN$1006:$BO$1006,0)))),"Fix")))</f>
        <v>0</v>
      </c>
      <c r="W790" s="4">
        <f>IF(OR(INDEX($AH$2:$AH$1001,MATCH(ROWS($AG$2:AG790),$AG$2:$AG$1001,0),1)&gt;=100000,INDEX($AN$1005:$BO$1005,1,MATCH(COLUMNS($AN$1006:BI1006),$AN$1006:$BO$1006,0))&gt;=100000), " ",IF(INDEX($AN$2:$BO$1001,MATCH(ROWS($AG$2:AG790),$AG$2:$AG$1001,0),MATCH(COLUMNS($AN$1006:BI1006),$AN$1006:$BO$1006,0)), HYPERLINK("#",""), HYPERLINK(CONCATENATE("#Metadata!", ADDRESS(INDEX($AI$2:$AI$1001,MATCH(ROWS($AG$2:AG790),$AG$2:$AG$1001,0),0), INDEX($AN$1004:$BO$1004,1,MATCH(COLUMNS($AN$1006:BI1006),$AN$1006:$BO$1006,0)))),"Fix")))</f>
        <v>0</v>
      </c>
      <c r="X790" s="4">
        <f>IF(OR(INDEX($AH$2:$AH$1001,MATCH(ROWS($AG$2:AG790),$AG$2:$AG$1001,0),1)&gt;=100000,INDEX($AN$1005:$BO$1005,1,MATCH(COLUMNS($AN$1006:BJ1006),$AN$1006:$BO$1006,0))&gt;=100000), " ",IF(INDEX($AN$2:$BO$1001,MATCH(ROWS($AG$2:AG790),$AG$2:$AG$1001,0),MATCH(COLUMNS($AN$1006:BJ1006),$AN$1006:$BO$1006,0)), HYPERLINK("#",""), HYPERLINK(CONCATENATE("#Metadata!", ADDRESS(INDEX($AI$2:$AI$1001,MATCH(ROWS($AG$2:AG790),$AG$2:$AG$1001,0),0), INDEX($AN$1004:$BO$1004,1,MATCH(COLUMNS($AN$1006:BJ1006),$AN$1006:$BO$1006,0)))),"Fix")))</f>
        <v>0</v>
      </c>
      <c r="Y790" s="4">
        <f>IF(OR(INDEX($AH$2:$AH$1001,MATCH(ROWS($AG$2:AG790),$AG$2:$AG$1001,0),1)&gt;=100000,INDEX($AN$1005:$BO$1005,1,MATCH(COLUMNS($AN$1006:BK1006),$AN$1006:$BO$1006,0))&gt;=100000), " ",IF(INDEX($AN$2:$BO$1001,MATCH(ROWS($AG$2:AG790),$AG$2:$AG$1001,0),MATCH(COLUMNS($AN$1006:BK1006),$AN$1006:$BO$1006,0)), HYPERLINK("#",""), HYPERLINK(CONCATENATE("#Metadata!", ADDRESS(INDEX($AI$2:$AI$1001,MATCH(ROWS($AG$2:AG790),$AG$2:$AG$1001,0),0), INDEX($AN$1004:$BO$1004,1,MATCH(COLUMNS($AN$1006:BK1006),$AN$1006:$BO$1006,0)))),"Fix")))</f>
        <v>0</v>
      </c>
      <c r="Z790" s="4">
        <f>IF(OR(INDEX($AH$2:$AH$1001,MATCH(ROWS($AG$2:AG790),$AG$2:$AG$1001,0),1)&gt;=100000,INDEX($AN$1005:$BO$1005,1,MATCH(COLUMNS($AN$1006:BL1006),$AN$1006:$BO$1006,0))&gt;=100000), " ",IF(INDEX($AN$2:$BO$1001,MATCH(ROWS($AG$2:AG790),$AG$2:$AG$1001,0),MATCH(COLUMNS($AN$1006:BL1006),$AN$1006:$BO$1006,0)), HYPERLINK("#",""), HYPERLINK(CONCATENATE("#Metadata!", ADDRESS(INDEX($AI$2:$AI$1001,MATCH(ROWS($AG$2:AG790),$AG$2:$AG$1001,0),0), INDEX($AN$1004:$BO$1004,1,MATCH(COLUMNS($AN$1006:BL1006),$AN$1006:$BO$1006,0)))),"Fix")))</f>
        <v>0</v>
      </c>
      <c r="AA790" s="4">
        <f>IF(OR(INDEX($AH$2:$AH$1001,MATCH(ROWS($AG$2:AG790),$AG$2:$AG$1001,0),1)&gt;=100000,INDEX($AN$1005:$BO$1005,1,MATCH(COLUMNS($AN$1006:BM1006),$AN$1006:$BO$1006,0))&gt;=100000), " ",IF(INDEX($AN$2:$BO$1001,MATCH(ROWS($AG$2:AG790),$AG$2:$AG$1001,0),MATCH(COLUMNS($AN$1006:BM1006),$AN$1006:$BO$1006,0)), HYPERLINK("#",""), HYPERLINK(CONCATENATE("#Metadata!", ADDRESS(INDEX($AI$2:$AI$1001,MATCH(ROWS($AG$2:AG790),$AG$2:$AG$1001,0),0), INDEX($AN$1004:$BO$1004,1,MATCH(COLUMNS($AN$1006:BM1006),$AN$1006:$BO$1006,0)))),"Fix")))</f>
        <v>0</v>
      </c>
      <c r="AB790" s="4">
        <f>IF(OR(INDEX($AH$2:$AH$1001,MATCH(ROWS($AG$2:AG790),$AG$2:$AG$1001,0),1)&gt;=100000,INDEX($AN$1005:$BO$1005,1,MATCH(COLUMNS($AN$1006:BN1006),$AN$1006:$BO$1006,0))&gt;=100000), " ",IF(INDEX($AN$2:$BO$1001,MATCH(ROWS($AG$2:AG790),$AG$2:$AG$1001,0),MATCH(COLUMNS($AN$1006:BN1006),$AN$1006:$BO$1006,0)), HYPERLINK("#",""), HYPERLINK(CONCATENATE("#Metadata!", ADDRESS(INDEX($AI$2:$AI$1001,MATCH(ROWS($AG$2:AG790),$AG$2:$AG$1001,0),0), INDEX($AN$1004:$BO$1004,1,MATCH(COLUMNS($AN$1006:BN1006),$AN$1006:$BO$1006,0)))),"Fix")))</f>
        <v>0</v>
      </c>
      <c r="AC790" s="4">
        <f>IF(OR(INDEX($AH$2:$AH$1001,MATCH(ROWS($AG$2:AG790),$AG$2:$AG$1001,0),1)&gt;=100000,INDEX($AN$1005:$BO$1005,1,MATCH(COLUMNS($AN$1006:BO1006),$AN$1006:$BO$1006,0))&gt;=100000), " ",IF(INDEX($AN$2:$BO$1001,MATCH(ROWS($AG$2:AG790),$AG$2:$AG$1001,0),MATCH(COLUMNS($AN$1006:BO1006),$AN$1006:$BO$1006,0)), HYPERLINK("#",""), HYPERLINK(CONCATENATE("#Metadata!", ADDRESS(INDEX($AI$2:$AI$1001,MATCH(ROWS($AG$2:AG790),$AG$2:$AG$1001,0),0), INDEX($AN$1004:$BO$1004,1,MATCH(COLUMNS($AN$1006:BO1006),$AN$1006:$BO$1006,0)))),"Fix")))</f>
        <v>0</v>
      </c>
      <c r="AG790">
        <v>0</v>
      </c>
      <c r="AH790">
        <v>0</v>
      </c>
      <c r="AI790">
        <v>0</v>
      </c>
      <c r="AJ790">
        <f>IF(AK790,TRUE,AND(AN790:BO790))</f>
        <v>0</v>
      </c>
      <c r="AK790">
        <f>COUNTBLANK(Metadata!B790:AC790)=COLUMNS(Metadata!B790:AC790)</f>
        <v>0</v>
      </c>
      <c r="AL790">
        <v>0</v>
      </c>
      <c r="AN790">
        <f>AND(IF(Metadata!B790="",FALSE,TRUE),COUNTIF(Metadata!B:B, Metadata!B790) = 1,NOT(ISERROR(SUMPRODUCT(SEARCH(MID(Metadata!B790,ROW(INDIRECT("1:"&amp;LEN(Metadata!B790))), 1),"0123456789abcdefghijklmnopqrstuvwxyzABCDEFGHIJKLMNOPQRSTUVWXYZ.")))))</f>
        <v>0</v>
      </c>
      <c r="AO790">
        <f>IF(Metadata!C790="",FALSE,TRUE)</f>
        <v>0</v>
      </c>
      <c r="AP790">
        <f>IF(Metadata!D790="",FALSE,TRUE)</f>
        <v>0</v>
      </c>
      <c r="AQ790">
        <f>OR(AND(IF(Metadata!E790="",FALSE,TRUE),OR(exact(Metadata!E790,"not collected"),exact(Metadata!E790,"not provided"),exact(Metadata!E790,"restricted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R790">
        <f>IF(Metadata!F790="",FALSE,TRUE)</f>
        <v>0</v>
      </c>
      <c r="AS790">
        <f>OR(AND(IF(Metadata!G790="",FALSE,TRUE),OR(exact(Metadata!G790,"not collected"),exact(Metadata!G790,"not provided"))),AND(IF(Metadata!G790="",FALSE,TRUE),OR(exact(Metadata!G790,"TRUE"),exact(Metadata!G790,"FALSE"))))</f>
        <v>0</v>
      </c>
      <c r="AT790">
        <f>OR(AND(IF(Metadata!H790="",FALSE,TRUE),OR(exact(Metadata!H790,"not collected"),exact(Metadata!H790,"not provided"),exact(Metadata!H790,"restricted access"))),AND(IF(Metadata!H790="",FALSE,ISNUMBER(VALUE(Metadata!H790))),Metadata!H790&gt;=-413.0))</f>
        <v>0</v>
      </c>
      <c r="AU790">
        <f>AND(IF(Metadata!I790="",FALSE,TRUE),exact(Metadata!I790,"meters"))</f>
        <v>0</v>
      </c>
      <c r="AV790">
        <f>AND(IF(Metadata!J790="",FALSE,TRUE),OR(exact(Metadata!J790,"Host-associated"),exact(Metadata!J790,"Free-living")))</f>
        <v>0</v>
      </c>
      <c r="AW790">
        <f>AND(IF(Metadata!K790="",FALSE,TRUE),OR(exact(Metadata!K790,"Animal"),exact(Metadata!K790,"Fungus"),exact(Metadata!K790,"Plant"),exact(Metadata!K790,"Saline"),exact(Metadata!K790,"Non-saline")))</f>
        <v>0</v>
      </c>
      <c r="AX790">
        <f>AND(IF(Metadata!L790="",FALSE,TRUE),OR(exact(Metadata!L790,"Plant secretion"),exact(Metadata!L790,"Plant rhizosphere"),exact(Metadata!L790,"Plant surface"),exact(Metadata!L790,"Plant corpus"),exact(Metadata!L790,"Fungus surface"),exact(Metadata!L790,"Fungus corpus"),exact(Metadata!L790,"Animal surface"),exact(Metadata!L790,"Animal proximal gut"),exact(Metadata!L790,"Animal corpus"),exact(Metadata!L790,"Animal distal gut"),exact(Metadata!L790,"Animal secretion"),exact(Metadata!L790,"Sub-surface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Y790">
        <f>IF(Metadata!M790="",FALSE,TRUE)</f>
        <v>0</v>
      </c>
      <c r="AZ790">
        <f>IF(Metadata!N790="",FALSE,TRUE)</f>
        <v>0</v>
      </c>
      <c r="BA790">
        <f>IF(Metadata!O790="",FALSE,TRUE)</f>
        <v>0</v>
      </c>
      <c r="BB790">
        <f>OR(AND(IF(Metadata!P790="",FALSE,TRUE),OR(exact(Metadata!P790,"not collected"),exact(Metadata!P790,"not provided"),exact(Metadata!P790,"restricted access"))),AND(IF(Metadata!P790="",FALSE,TRUE),OR(exact(Metadata!P790,"air"),exact(Metadata!P790,"built environment"),exact(Metadata!P790,"host-associated"),exact(Metadata!P790,"human-associated"),exact(Metadata!P790,"human-skin"),exact(Metadata!P790,"human-oral"),exact(Metadata!P790,"human-gut"),exact(Metadata!P790,"human-vaginal"),exact(Metadata!P790,"microbial mat/biofilm"),exact(Metadata!P790,"misc environment"),exact(Metadata!P790,"plant-associated"),exact(Metadata!P790,"sediment"),exact(Metadata!P790,"soil"),exact(Metadata!P790,"wastewater/sludge"),exact(Metadata!P790,"water"))))</f>
        <v>0</v>
      </c>
      <c r="BC790">
        <f>IF(Metadata!Q790="",FALSE,TRUE)</f>
        <v>0</v>
      </c>
      <c r="BD790">
        <f>IF(Metadata!R790="",FALSE,TRUE)</f>
        <v>0</v>
      </c>
      <c r="BE790">
        <f>OR(AND(IF(Metadata!S790="",FALSE,TRUE),OR(exact(Metadata!S790,"not collected"),exact(Metadata!S790,"not provided"),exact(Metadata!S790,"restricted access"))),AND(IF(Metadata!S790="",FALSE,ISNUMBER(VALUE(Metadata!S790))),Metadata!S790&gt;=-90.00,Metadata!S790&lt;=90.00))</f>
        <v>0</v>
      </c>
      <c r="BF790">
        <f>AND(IF(Metadata!T790="",FALSE,TRUE),exact(Metadata!T790,"Decimal degrees"))</f>
        <v>0</v>
      </c>
      <c r="BG790">
        <f>OR(AND(IF(Metadata!U790="",FALSE,TRUE),OR(exact(Metadata!U790,"not collected"),exact(Metadata!U790,"not provided"),exact(Metadata!U790,"restricted access"))),AND(IF(Metadata!U790="",FALSE,ISNUMBER(VALUE(Metadata!U790))),Metadata!U790&gt;=-180.00,Metadata!U790&lt;=180.00))</f>
        <v>0</v>
      </c>
      <c r="BH790">
        <f>AND(IF(Metadata!V790="",FALSE,TRUE),exact(Metadata!V790,"Decimal degrees"))</f>
        <v>0</v>
      </c>
      <c r="BI790">
        <f>IF(Metadata!W790="",FALSE,TRUE)</f>
        <v>0</v>
      </c>
      <c r="BJ790">
        <f>OR(AND(IF(Metadata!X790="",FALSE,TRUE),OR(exact(Metadata!X790,"not collected"),exact(Metadata!X790,"not provided"),exact(Metadata!X790,"restricted access"))),AND(IF(Metadata!X790="",FALSE,TRUE),OR(exact(Metadata!X790,"TRUE"),exact(Metadata!X790,"FALSE"))))</f>
        <v>0</v>
      </c>
      <c r="BK790">
        <f>AND(IF(Metadata!Y790="",FALSE,TRUE),exact(Metadata!Y790,"other"))</f>
        <v>0</v>
      </c>
      <c r="BL790">
        <f>IF(Metadata!Z790="",FALSE,TRUE)</f>
        <v>0</v>
      </c>
      <c r="BM790">
        <f>OR(AND(IF(Metadata!AA790="",FALSE,TRUE),OR(exact(Metadata!AA790,"not collected"),exact(Metadata!AA790,"not provided"))),AND(IF(Metadata!AA790="",FALSE,IF(ISERROR(INT(Metadata!AA790)),FALSE,INT(Metadata!AA790)=Metadata!AA790)),Metadata!AA790&gt;0))</f>
        <v>0</v>
      </c>
      <c r="BN790">
        <f>AND(IF(Metadata!AB790="",FALSE,TRUE),exact(Metadata!AB790,"Not applicable"))</f>
        <v>0</v>
      </c>
      <c r="BO790">
        <f>IF(Metadata!AC790="",FALSE,TRUE)</f>
        <v>0</v>
      </c>
    </row>
    <row r="791" spans="1:67">
      <c r="A791" s="5">
        <f>IF(B791=" "," ",HYPERLINK(CONCATENATE("#metadata!",ADDRESS(INDEX($AI$2:$AI$1001,MATCH(ROWS($AG$2:AG791),$AG$2:$AG$1001,0),0),1)),INDEX($AL$2:$AL$1001,MATCH(ROWS($AG$2:AG791),$AG$2:$AG$1001,0),0)))</f>
        <v>0</v>
      </c>
      <c r="B791" s="4">
        <f>IF(OR(INDEX($AH$2:$AH$1001,MATCH(ROWS($AG$2:AG791),$AG$2:$AG$1001,0),1)&gt;=100000,INDEX($AN$1005:$BO$1005,1,MATCH(COLUMNS($AN$1006:AN1006),$AN$1006:$BO$1006,0))&gt;=100000), " ",IF(INDEX($AN$2:$BO$1001,MATCH(ROWS($AG$2:AG791),$AG$2:$AG$1001,0),MATCH(COLUMNS($AN$1006:AN1006),$AN$1006:$BO$1006,0)), HYPERLINK("#",""), HYPERLINK(CONCATENATE("#Metadata!", ADDRESS(INDEX($AI$2:$AI$1001,MATCH(ROWS($AG$2:AG791),$AG$2:$AG$1001,0),0), INDEX($AN$1004:$BO$1004,1,MATCH(COLUMNS($AN$1006:AN1006),$AN$1006:$BO$1006,0)))),"Fix")))</f>
        <v>0</v>
      </c>
      <c r="C791" s="4">
        <f>IF(OR(INDEX($AH$2:$AH$1001,MATCH(ROWS($AG$2:AG791),$AG$2:$AG$1001,0),1)&gt;=100000,INDEX($AN$1005:$BO$1005,1,MATCH(COLUMNS($AN$1006:AO1006),$AN$1006:$BO$1006,0))&gt;=100000), " ",IF(INDEX($AN$2:$BO$1001,MATCH(ROWS($AG$2:AG791),$AG$2:$AG$1001,0),MATCH(COLUMNS($AN$1006:AO1006),$AN$1006:$BO$1006,0)), HYPERLINK("#",""), HYPERLINK(CONCATENATE("#Metadata!", ADDRESS(INDEX($AI$2:$AI$1001,MATCH(ROWS($AG$2:AG791),$AG$2:$AG$1001,0),0), INDEX($AN$1004:$BO$1004,1,MATCH(COLUMNS($AN$1006:AO1006),$AN$1006:$BO$1006,0)))),"Fix")))</f>
        <v>0</v>
      </c>
      <c r="D791" s="4">
        <f>IF(OR(INDEX($AH$2:$AH$1001,MATCH(ROWS($AG$2:AG791),$AG$2:$AG$1001,0),1)&gt;=100000,INDEX($AN$1005:$BO$1005,1,MATCH(COLUMNS($AN$1006:AP1006),$AN$1006:$BO$1006,0))&gt;=100000), " ",IF(INDEX($AN$2:$BO$1001,MATCH(ROWS($AG$2:AG791),$AG$2:$AG$1001,0),MATCH(COLUMNS($AN$1006:AP1006),$AN$1006:$BO$1006,0)), HYPERLINK("#",""), HYPERLINK(CONCATENATE("#Metadata!", ADDRESS(INDEX($AI$2:$AI$1001,MATCH(ROWS($AG$2:AG791),$AG$2:$AG$1001,0),0), INDEX($AN$1004:$BO$1004,1,MATCH(COLUMNS($AN$1006:AP1006),$AN$1006:$BO$1006,0)))),"Fix")))</f>
        <v>0</v>
      </c>
      <c r="E791" s="4">
        <f>IF(OR(INDEX($AH$2:$AH$1001,MATCH(ROWS($AG$2:AG791),$AG$2:$AG$1001,0),1)&gt;=100000,INDEX($AN$1005:$BO$1005,1,MATCH(COLUMNS($AN$1006:AQ1006),$AN$1006:$BO$1006,0))&gt;=100000), " ",IF(INDEX($AN$2:$BO$1001,MATCH(ROWS($AG$2:AG791),$AG$2:$AG$1001,0),MATCH(COLUMNS($AN$1006:AQ1006),$AN$1006:$BO$1006,0)), HYPERLINK("#",""), HYPERLINK(CONCATENATE("#Metadata!", ADDRESS(INDEX($AI$2:$AI$1001,MATCH(ROWS($AG$2:AG791),$AG$2:$AG$1001,0),0), INDEX($AN$1004:$BO$1004,1,MATCH(COLUMNS($AN$1006:AQ1006),$AN$1006:$BO$1006,0)))),"Fix")))</f>
        <v>0</v>
      </c>
      <c r="F791" s="4">
        <f>IF(OR(INDEX($AH$2:$AH$1001,MATCH(ROWS($AG$2:AG791),$AG$2:$AG$1001,0),1)&gt;=100000,INDEX($AN$1005:$BO$1005,1,MATCH(COLUMNS($AN$1006:AR1006),$AN$1006:$BO$1006,0))&gt;=100000), " ",IF(INDEX($AN$2:$BO$1001,MATCH(ROWS($AG$2:AG791),$AG$2:$AG$1001,0),MATCH(COLUMNS($AN$1006:AR1006),$AN$1006:$BO$1006,0)), HYPERLINK("#",""), HYPERLINK(CONCATENATE("#Metadata!", ADDRESS(INDEX($AI$2:$AI$1001,MATCH(ROWS($AG$2:AG791),$AG$2:$AG$1001,0),0), INDEX($AN$1004:$BO$1004,1,MATCH(COLUMNS($AN$1006:AR1006),$AN$1006:$BO$1006,0)))),"Fix")))</f>
        <v>0</v>
      </c>
      <c r="G791" s="4">
        <f>IF(OR(INDEX($AH$2:$AH$1001,MATCH(ROWS($AG$2:AG791),$AG$2:$AG$1001,0),1)&gt;=100000,INDEX($AN$1005:$BO$1005,1,MATCH(COLUMNS($AN$1006:AS1006),$AN$1006:$BO$1006,0))&gt;=100000), " ",IF(INDEX($AN$2:$BO$1001,MATCH(ROWS($AG$2:AG791),$AG$2:$AG$1001,0),MATCH(COLUMNS($AN$1006:AS1006),$AN$1006:$BO$1006,0)), HYPERLINK("#",""), HYPERLINK(CONCATENATE("#Metadata!", ADDRESS(INDEX($AI$2:$AI$1001,MATCH(ROWS($AG$2:AG791),$AG$2:$AG$1001,0),0), INDEX($AN$1004:$BO$1004,1,MATCH(COLUMNS($AN$1006:AS1006),$AN$1006:$BO$1006,0)))),"Fix")))</f>
        <v>0</v>
      </c>
      <c r="H791" s="4">
        <f>IF(OR(INDEX($AH$2:$AH$1001,MATCH(ROWS($AG$2:AG791),$AG$2:$AG$1001,0),1)&gt;=100000,INDEX($AN$1005:$BO$1005,1,MATCH(COLUMNS($AN$1006:AT1006),$AN$1006:$BO$1006,0))&gt;=100000), " ",IF(INDEX($AN$2:$BO$1001,MATCH(ROWS($AG$2:AG791),$AG$2:$AG$1001,0),MATCH(COLUMNS($AN$1006:AT1006),$AN$1006:$BO$1006,0)), HYPERLINK("#",""), HYPERLINK(CONCATENATE("#Metadata!", ADDRESS(INDEX($AI$2:$AI$1001,MATCH(ROWS($AG$2:AG791),$AG$2:$AG$1001,0),0), INDEX($AN$1004:$BO$1004,1,MATCH(COLUMNS($AN$1006:AT1006),$AN$1006:$BO$1006,0)))),"Fix")))</f>
        <v>0</v>
      </c>
      <c r="I791" s="4">
        <f>IF(OR(INDEX($AH$2:$AH$1001,MATCH(ROWS($AG$2:AG791),$AG$2:$AG$1001,0),1)&gt;=100000,INDEX($AN$1005:$BO$1005,1,MATCH(COLUMNS($AN$1006:AU1006),$AN$1006:$BO$1006,0))&gt;=100000), " ",IF(INDEX($AN$2:$BO$1001,MATCH(ROWS($AG$2:AG791),$AG$2:$AG$1001,0),MATCH(COLUMNS($AN$1006:AU1006),$AN$1006:$BO$1006,0)), HYPERLINK("#",""), HYPERLINK(CONCATENATE("#Metadata!", ADDRESS(INDEX($AI$2:$AI$1001,MATCH(ROWS($AG$2:AG791),$AG$2:$AG$1001,0),0), INDEX($AN$1004:$BO$1004,1,MATCH(COLUMNS($AN$1006:AU1006),$AN$1006:$BO$1006,0)))),"Fix")))</f>
        <v>0</v>
      </c>
      <c r="J791" s="4">
        <f>IF(OR(INDEX($AH$2:$AH$1001,MATCH(ROWS($AG$2:AG791),$AG$2:$AG$1001,0),1)&gt;=100000,INDEX($AN$1005:$BO$1005,1,MATCH(COLUMNS($AN$1006:AV1006),$AN$1006:$BO$1006,0))&gt;=100000), " ",IF(INDEX($AN$2:$BO$1001,MATCH(ROWS($AG$2:AG791),$AG$2:$AG$1001,0),MATCH(COLUMNS($AN$1006:AV1006),$AN$1006:$BO$1006,0)), HYPERLINK("#",""), HYPERLINK(CONCATENATE("#Metadata!", ADDRESS(INDEX($AI$2:$AI$1001,MATCH(ROWS($AG$2:AG791),$AG$2:$AG$1001,0),0), INDEX($AN$1004:$BO$1004,1,MATCH(COLUMNS($AN$1006:AV1006),$AN$1006:$BO$1006,0)))),"Fix")))</f>
        <v>0</v>
      </c>
      <c r="K791" s="4">
        <f>IF(OR(INDEX($AH$2:$AH$1001,MATCH(ROWS($AG$2:AG791),$AG$2:$AG$1001,0),1)&gt;=100000,INDEX($AN$1005:$BO$1005,1,MATCH(COLUMNS($AN$1006:AW1006),$AN$1006:$BO$1006,0))&gt;=100000), " ",IF(INDEX($AN$2:$BO$1001,MATCH(ROWS($AG$2:AG791),$AG$2:$AG$1001,0),MATCH(COLUMNS($AN$1006:AW1006),$AN$1006:$BO$1006,0)), HYPERLINK("#",""), HYPERLINK(CONCATENATE("#Metadata!", ADDRESS(INDEX($AI$2:$AI$1001,MATCH(ROWS($AG$2:AG791),$AG$2:$AG$1001,0),0), INDEX($AN$1004:$BO$1004,1,MATCH(COLUMNS($AN$1006:AW1006),$AN$1006:$BO$1006,0)))),"Fix")))</f>
        <v>0</v>
      </c>
      <c r="L791" s="4">
        <f>IF(OR(INDEX($AH$2:$AH$1001,MATCH(ROWS($AG$2:AG791),$AG$2:$AG$1001,0),1)&gt;=100000,INDEX($AN$1005:$BO$1005,1,MATCH(COLUMNS($AN$1006:AX1006),$AN$1006:$BO$1006,0))&gt;=100000), " ",IF(INDEX($AN$2:$BO$1001,MATCH(ROWS($AG$2:AG791),$AG$2:$AG$1001,0),MATCH(COLUMNS($AN$1006:AX1006),$AN$1006:$BO$1006,0)), HYPERLINK("#",""), HYPERLINK(CONCATENATE("#Metadata!", ADDRESS(INDEX($AI$2:$AI$1001,MATCH(ROWS($AG$2:AG791),$AG$2:$AG$1001,0),0), INDEX($AN$1004:$BO$1004,1,MATCH(COLUMNS($AN$1006:AX1006),$AN$1006:$BO$1006,0)))),"Fix")))</f>
        <v>0</v>
      </c>
      <c r="M791" s="4">
        <f>IF(OR(INDEX($AH$2:$AH$1001,MATCH(ROWS($AG$2:AG791),$AG$2:$AG$1001,0),1)&gt;=100000,INDEX($AN$1005:$BO$1005,1,MATCH(COLUMNS($AN$1006:AY1006),$AN$1006:$BO$1006,0))&gt;=100000), " ",IF(INDEX($AN$2:$BO$1001,MATCH(ROWS($AG$2:AG791),$AG$2:$AG$1001,0),MATCH(COLUMNS($AN$1006:AY1006),$AN$1006:$BO$1006,0)), HYPERLINK("#",""), HYPERLINK(CONCATENATE("#Metadata!", ADDRESS(INDEX($AI$2:$AI$1001,MATCH(ROWS($AG$2:AG791),$AG$2:$AG$1001,0),0), INDEX($AN$1004:$BO$1004,1,MATCH(COLUMNS($AN$1006:AY1006),$AN$1006:$BO$1006,0)))),"Fix")))</f>
        <v>0</v>
      </c>
      <c r="N791" s="4">
        <f>IF(OR(INDEX($AH$2:$AH$1001,MATCH(ROWS($AG$2:AG791),$AG$2:$AG$1001,0),1)&gt;=100000,INDEX($AN$1005:$BO$1005,1,MATCH(COLUMNS($AN$1006:AZ1006),$AN$1006:$BO$1006,0))&gt;=100000), " ",IF(INDEX($AN$2:$BO$1001,MATCH(ROWS($AG$2:AG791),$AG$2:$AG$1001,0),MATCH(COLUMNS($AN$1006:AZ1006),$AN$1006:$BO$1006,0)), HYPERLINK("#",""), HYPERLINK(CONCATENATE("#Metadata!", ADDRESS(INDEX($AI$2:$AI$1001,MATCH(ROWS($AG$2:AG791),$AG$2:$AG$1001,0),0), INDEX($AN$1004:$BO$1004,1,MATCH(COLUMNS($AN$1006:AZ1006),$AN$1006:$BO$1006,0)))),"Fix")))</f>
        <v>0</v>
      </c>
      <c r="O791" s="4">
        <f>IF(OR(INDEX($AH$2:$AH$1001,MATCH(ROWS($AG$2:AG791),$AG$2:$AG$1001,0),1)&gt;=100000,INDEX($AN$1005:$BO$1005,1,MATCH(COLUMNS($AN$1006:BA1006),$AN$1006:$BO$1006,0))&gt;=100000), " ",IF(INDEX($AN$2:$BO$1001,MATCH(ROWS($AG$2:AG791),$AG$2:$AG$1001,0),MATCH(COLUMNS($AN$1006:BA1006),$AN$1006:$BO$1006,0)), HYPERLINK("#",""), HYPERLINK(CONCATENATE("#Metadata!", ADDRESS(INDEX($AI$2:$AI$1001,MATCH(ROWS($AG$2:AG791),$AG$2:$AG$1001,0),0), INDEX($AN$1004:$BO$1004,1,MATCH(COLUMNS($AN$1006:BA1006),$AN$1006:$BO$1006,0)))),"Fix")))</f>
        <v>0</v>
      </c>
      <c r="P791" s="4">
        <f>IF(OR(INDEX($AH$2:$AH$1001,MATCH(ROWS($AG$2:AG791),$AG$2:$AG$1001,0),1)&gt;=100000,INDEX($AN$1005:$BO$1005,1,MATCH(COLUMNS($AN$1006:BB1006),$AN$1006:$BO$1006,0))&gt;=100000), " ",IF(INDEX($AN$2:$BO$1001,MATCH(ROWS($AG$2:AG791),$AG$2:$AG$1001,0),MATCH(COLUMNS($AN$1006:BB1006),$AN$1006:$BO$1006,0)), HYPERLINK("#",""), HYPERLINK(CONCATENATE("#Metadata!", ADDRESS(INDEX($AI$2:$AI$1001,MATCH(ROWS($AG$2:AG791),$AG$2:$AG$1001,0),0), INDEX($AN$1004:$BO$1004,1,MATCH(COLUMNS($AN$1006:BB1006),$AN$1006:$BO$1006,0)))),"Fix")))</f>
        <v>0</v>
      </c>
      <c r="Q791" s="4">
        <f>IF(OR(INDEX($AH$2:$AH$1001,MATCH(ROWS($AG$2:AG791),$AG$2:$AG$1001,0),1)&gt;=100000,INDEX($AN$1005:$BO$1005,1,MATCH(COLUMNS($AN$1006:BC1006),$AN$1006:$BO$1006,0))&gt;=100000), " ",IF(INDEX($AN$2:$BO$1001,MATCH(ROWS($AG$2:AG791),$AG$2:$AG$1001,0),MATCH(COLUMNS($AN$1006:BC1006),$AN$1006:$BO$1006,0)), HYPERLINK("#",""), HYPERLINK(CONCATENATE("#Metadata!", ADDRESS(INDEX($AI$2:$AI$1001,MATCH(ROWS($AG$2:AG791),$AG$2:$AG$1001,0),0), INDEX($AN$1004:$BO$1004,1,MATCH(COLUMNS($AN$1006:BC1006),$AN$1006:$BO$1006,0)))),"Fix")))</f>
        <v>0</v>
      </c>
      <c r="R791" s="4">
        <f>IF(OR(INDEX($AH$2:$AH$1001,MATCH(ROWS($AG$2:AG791),$AG$2:$AG$1001,0),1)&gt;=100000,INDEX($AN$1005:$BO$1005,1,MATCH(COLUMNS($AN$1006:BD1006),$AN$1006:$BO$1006,0))&gt;=100000), " ",IF(INDEX($AN$2:$BO$1001,MATCH(ROWS($AG$2:AG791),$AG$2:$AG$1001,0),MATCH(COLUMNS($AN$1006:BD1006),$AN$1006:$BO$1006,0)), HYPERLINK("#",""), HYPERLINK(CONCATENATE("#Metadata!", ADDRESS(INDEX($AI$2:$AI$1001,MATCH(ROWS($AG$2:AG791),$AG$2:$AG$1001,0),0), INDEX($AN$1004:$BO$1004,1,MATCH(COLUMNS($AN$1006:BD1006),$AN$1006:$BO$1006,0)))),"Fix")))</f>
        <v>0</v>
      </c>
      <c r="S791" s="4">
        <f>IF(OR(INDEX($AH$2:$AH$1001,MATCH(ROWS($AG$2:AG791),$AG$2:$AG$1001,0),1)&gt;=100000,INDEX($AN$1005:$BO$1005,1,MATCH(COLUMNS($AN$1006:BE1006),$AN$1006:$BO$1006,0))&gt;=100000), " ",IF(INDEX($AN$2:$BO$1001,MATCH(ROWS($AG$2:AG791),$AG$2:$AG$1001,0),MATCH(COLUMNS($AN$1006:BE1006),$AN$1006:$BO$1006,0)), HYPERLINK("#",""), HYPERLINK(CONCATENATE("#Metadata!", ADDRESS(INDEX($AI$2:$AI$1001,MATCH(ROWS($AG$2:AG791),$AG$2:$AG$1001,0),0), INDEX($AN$1004:$BO$1004,1,MATCH(COLUMNS($AN$1006:BE1006),$AN$1006:$BO$1006,0)))),"Fix")))</f>
        <v>0</v>
      </c>
      <c r="T791" s="4">
        <f>IF(OR(INDEX($AH$2:$AH$1001,MATCH(ROWS($AG$2:AG791),$AG$2:$AG$1001,0),1)&gt;=100000,INDEX($AN$1005:$BO$1005,1,MATCH(COLUMNS($AN$1006:BF1006),$AN$1006:$BO$1006,0))&gt;=100000), " ",IF(INDEX($AN$2:$BO$1001,MATCH(ROWS($AG$2:AG791),$AG$2:$AG$1001,0),MATCH(COLUMNS($AN$1006:BF1006),$AN$1006:$BO$1006,0)), HYPERLINK("#",""), HYPERLINK(CONCATENATE("#Metadata!", ADDRESS(INDEX($AI$2:$AI$1001,MATCH(ROWS($AG$2:AG791),$AG$2:$AG$1001,0),0), INDEX($AN$1004:$BO$1004,1,MATCH(COLUMNS($AN$1006:BF1006),$AN$1006:$BO$1006,0)))),"Fix")))</f>
        <v>0</v>
      </c>
      <c r="U791" s="4">
        <f>IF(OR(INDEX($AH$2:$AH$1001,MATCH(ROWS($AG$2:AG791),$AG$2:$AG$1001,0),1)&gt;=100000,INDEX($AN$1005:$BO$1005,1,MATCH(COLUMNS($AN$1006:BG1006),$AN$1006:$BO$1006,0))&gt;=100000), " ",IF(INDEX($AN$2:$BO$1001,MATCH(ROWS($AG$2:AG791),$AG$2:$AG$1001,0),MATCH(COLUMNS($AN$1006:BG1006),$AN$1006:$BO$1006,0)), HYPERLINK("#",""), HYPERLINK(CONCATENATE("#Metadata!", ADDRESS(INDEX($AI$2:$AI$1001,MATCH(ROWS($AG$2:AG791),$AG$2:$AG$1001,0),0), INDEX($AN$1004:$BO$1004,1,MATCH(COLUMNS($AN$1006:BG1006),$AN$1006:$BO$1006,0)))),"Fix")))</f>
        <v>0</v>
      </c>
      <c r="V791" s="4">
        <f>IF(OR(INDEX($AH$2:$AH$1001,MATCH(ROWS($AG$2:AG791),$AG$2:$AG$1001,0),1)&gt;=100000,INDEX($AN$1005:$BO$1005,1,MATCH(COLUMNS($AN$1006:BH1006),$AN$1006:$BO$1006,0))&gt;=100000), " ",IF(INDEX($AN$2:$BO$1001,MATCH(ROWS($AG$2:AG791),$AG$2:$AG$1001,0),MATCH(COLUMNS($AN$1006:BH1006),$AN$1006:$BO$1006,0)), HYPERLINK("#",""), HYPERLINK(CONCATENATE("#Metadata!", ADDRESS(INDEX($AI$2:$AI$1001,MATCH(ROWS($AG$2:AG791),$AG$2:$AG$1001,0),0), INDEX($AN$1004:$BO$1004,1,MATCH(COLUMNS($AN$1006:BH1006),$AN$1006:$BO$1006,0)))),"Fix")))</f>
        <v>0</v>
      </c>
      <c r="W791" s="4">
        <f>IF(OR(INDEX($AH$2:$AH$1001,MATCH(ROWS($AG$2:AG791),$AG$2:$AG$1001,0),1)&gt;=100000,INDEX($AN$1005:$BO$1005,1,MATCH(COLUMNS($AN$1006:BI1006),$AN$1006:$BO$1006,0))&gt;=100000), " ",IF(INDEX($AN$2:$BO$1001,MATCH(ROWS($AG$2:AG791),$AG$2:$AG$1001,0),MATCH(COLUMNS($AN$1006:BI1006),$AN$1006:$BO$1006,0)), HYPERLINK("#",""), HYPERLINK(CONCATENATE("#Metadata!", ADDRESS(INDEX($AI$2:$AI$1001,MATCH(ROWS($AG$2:AG791),$AG$2:$AG$1001,0),0), INDEX($AN$1004:$BO$1004,1,MATCH(COLUMNS($AN$1006:BI1006),$AN$1006:$BO$1006,0)))),"Fix")))</f>
        <v>0</v>
      </c>
      <c r="X791" s="4">
        <f>IF(OR(INDEX($AH$2:$AH$1001,MATCH(ROWS($AG$2:AG791),$AG$2:$AG$1001,0),1)&gt;=100000,INDEX($AN$1005:$BO$1005,1,MATCH(COLUMNS($AN$1006:BJ1006),$AN$1006:$BO$1006,0))&gt;=100000), " ",IF(INDEX($AN$2:$BO$1001,MATCH(ROWS($AG$2:AG791),$AG$2:$AG$1001,0),MATCH(COLUMNS($AN$1006:BJ1006),$AN$1006:$BO$1006,0)), HYPERLINK("#",""), HYPERLINK(CONCATENATE("#Metadata!", ADDRESS(INDEX($AI$2:$AI$1001,MATCH(ROWS($AG$2:AG791),$AG$2:$AG$1001,0),0), INDEX($AN$1004:$BO$1004,1,MATCH(COLUMNS($AN$1006:BJ1006),$AN$1006:$BO$1006,0)))),"Fix")))</f>
        <v>0</v>
      </c>
      <c r="Y791" s="4">
        <f>IF(OR(INDEX($AH$2:$AH$1001,MATCH(ROWS($AG$2:AG791),$AG$2:$AG$1001,0),1)&gt;=100000,INDEX($AN$1005:$BO$1005,1,MATCH(COLUMNS($AN$1006:BK1006),$AN$1006:$BO$1006,0))&gt;=100000), " ",IF(INDEX($AN$2:$BO$1001,MATCH(ROWS($AG$2:AG791),$AG$2:$AG$1001,0),MATCH(COLUMNS($AN$1006:BK1006),$AN$1006:$BO$1006,0)), HYPERLINK("#",""), HYPERLINK(CONCATENATE("#Metadata!", ADDRESS(INDEX($AI$2:$AI$1001,MATCH(ROWS($AG$2:AG791),$AG$2:$AG$1001,0),0), INDEX($AN$1004:$BO$1004,1,MATCH(COLUMNS($AN$1006:BK1006),$AN$1006:$BO$1006,0)))),"Fix")))</f>
        <v>0</v>
      </c>
      <c r="Z791" s="4">
        <f>IF(OR(INDEX($AH$2:$AH$1001,MATCH(ROWS($AG$2:AG791),$AG$2:$AG$1001,0),1)&gt;=100000,INDEX($AN$1005:$BO$1005,1,MATCH(COLUMNS($AN$1006:BL1006),$AN$1006:$BO$1006,0))&gt;=100000), " ",IF(INDEX($AN$2:$BO$1001,MATCH(ROWS($AG$2:AG791),$AG$2:$AG$1001,0),MATCH(COLUMNS($AN$1006:BL1006),$AN$1006:$BO$1006,0)), HYPERLINK("#",""), HYPERLINK(CONCATENATE("#Metadata!", ADDRESS(INDEX($AI$2:$AI$1001,MATCH(ROWS($AG$2:AG791),$AG$2:$AG$1001,0),0), INDEX($AN$1004:$BO$1004,1,MATCH(COLUMNS($AN$1006:BL1006),$AN$1006:$BO$1006,0)))),"Fix")))</f>
        <v>0</v>
      </c>
      <c r="AA791" s="4">
        <f>IF(OR(INDEX($AH$2:$AH$1001,MATCH(ROWS($AG$2:AG791),$AG$2:$AG$1001,0),1)&gt;=100000,INDEX($AN$1005:$BO$1005,1,MATCH(COLUMNS($AN$1006:BM1006),$AN$1006:$BO$1006,0))&gt;=100000), " ",IF(INDEX($AN$2:$BO$1001,MATCH(ROWS($AG$2:AG791),$AG$2:$AG$1001,0),MATCH(COLUMNS($AN$1006:BM1006),$AN$1006:$BO$1006,0)), HYPERLINK("#",""), HYPERLINK(CONCATENATE("#Metadata!", ADDRESS(INDEX($AI$2:$AI$1001,MATCH(ROWS($AG$2:AG791),$AG$2:$AG$1001,0),0), INDEX($AN$1004:$BO$1004,1,MATCH(COLUMNS($AN$1006:BM1006),$AN$1006:$BO$1006,0)))),"Fix")))</f>
        <v>0</v>
      </c>
      <c r="AB791" s="4">
        <f>IF(OR(INDEX($AH$2:$AH$1001,MATCH(ROWS($AG$2:AG791),$AG$2:$AG$1001,0),1)&gt;=100000,INDEX($AN$1005:$BO$1005,1,MATCH(COLUMNS($AN$1006:BN1006),$AN$1006:$BO$1006,0))&gt;=100000), " ",IF(INDEX($AN$2:$BO$1001,MATCH(ROWS($AG$2:AG791),$AG$2:$AG$1001,0),MATCH(COLUMNS($AN$1006:BN1006),$AN$1006:$BO$1006,0)), HYPERLINK("#",""), HYPERLINK(CONCATENATE("#Metadata!", ADDRESS(INDEX($AI$2:$AI$1001,MATCH(ROWS($AG$2:AG791),$AG$2:$AG$1001,0),0), INDEX($AN$1004:$BO$1004,1,MATCH(COLUMNS($AN$1006:BN1006),$AN$1006:$BO$1006,0)))),"Fix")))</f>
        <v>0</v>
      </c>
      <c r="AC791" s="4">
        <f>IF(OR(INDEX($AH$2:$AH$1001,MATCH(ROWS($AG$2:AG791),$AG$2:$AG$1001,0),1)&gt;=100000,INDEX($AN$1005:$BO$1005,1,MATCH(COLUMNS($AN$1006:BO1006),$AN$1006:$BO$1006,0))&gt;=100000), " ",IF(INDEX($AN$2:$BO$1001,MATCH(ROWS($AG$2:AG791),$AG$2:$AG$1001,0),MATCH(COLUMNS($AN$1006:BO1006),$AN$1006:$BO$1006,0)), HYPERLINK("#",""), HYPERLINK(CONCATENATE("#Metadata!", ADDRESS(INDEX($AI$2:$AI$1001,MATCH(ROWS($AG$2:AG791),$AG$2:$AG$1001,0),0), INDEX($AN$1004:$BO$1004,1,MATCH(COLUMNS($AN$1006:BO1006),$AN$1006:$BO$1006,0)))),"Fix")))</f>
        <v>0</v>
      </c>
      <c r="AG791">
        <v>0</v>
      </c>
      <c r="AH791">
        <v>0</v>
      </c>
      <c r="AI791">
        <v>0</v>
      </c>
      <c r="AJ791">
        <f>IF(AK791,TRUE,AND(AN791:BO791))</f>
        <v>0</v>
      </c>
      <c r="AK791">
        <f>COUNTBLANK(Metadata!B791:AC791)=COLUMNS(Metadata!B791:AC791)</f>
        <v>0</v>
      </c>
      <c r="AL791">
        <v>0</v>
      </c>
      <c r="AN791">
        <f>AND(IF(Metadata!B791="",FALSE,TRUE),COUNTIF(Metadata!B:B, Metadata!B791) = 1,NOT(ISERROR(SUMPRODUCT(SEARCH(MID(Metadata!B791,ROW(INDIRECT("1:"&amp;LEN(Metadata!B791))), 1),"0123456789abcdefghijklmnopqrstuvwxyzABCDEFGHIJKLMNOPQRSTUVWXYZ.")))))</f>
        <v>0</v>
      </c>
      <c r="AO791">
        <f>IF(Metadata!C791="",FALSE,TRUE)</f>
        <v>0</v>
      </c>
      <c r="AP791">
        <f>IF(Metadata!D791="",FALSE,TRUE)</f>
        <v>0</v>
      </c>
      <c r="AQ791">
        <f>OR(AND(IF(Metadata!E791="",FALSE,TRUE),OR(exact(Metadata!E791,"not collected"),exact(Metadata!E791,"not provided"),exact(Metadata!E791,"restricted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R791">
        <f>IF(Metadata!F791="",FALSE,TRUE)</f>
        <v>0</v>
      </c>
      <c r="AS791">
        <f>OR(AND(IF(Metadata!G791="",FALSE,TRUE),OR(exact(Metadata!G791,"not collected"),exact(Metadata!G791,"not provided"))),AND(IF(Metadata!G791="",FALSE,TRUE),OR(exact(Metadata!G791,"TRUE"),exact(Metadata!G791,"FALSE"))))</f>
        <v>0</v>
      </c>
      <c r="AT791">
        <f>OR(AND(IF(Metadata!H791="",FALSE,TRUE),OR(exact(Metadata!H791,"not collected"),exact(Metadata!H791,"not provided"),exact(Metadata!H791,"restricted access"))),AND(IF(Metadata!H791="",FALSE,ISNUMBER(VALUE(Metadata!H791))),Metadata!H791&gt;=-413.0))</f>
        <v>0</v>
      </c>
      <c r="AU791">
        <f>AND(IF(Metadata!I791="",FALSE,TRUE),exact(Metadata!I791,"meters"))</f>
        <v>0</v>
      </c>
      <c r="AV791">
        <f>AND(IF(Metadata!J791="",FALSE,TRUE),OR(exact(Metadata!J791,"Host-associated"),exact(Metadata!J791,"Free-living")))</f>
        <v>0</v>
      </c>
      <c r="AW791">
        <f>AND(IF(Metadata!K791="",FALSE,TRUE),OR(exact(Metadata!K791,"Animal"),exact(Metadata!K791,"Fungus"),exact(Metadata!K791,"Plant"),exact(Metadata!K791,"Saline"),exact(Metadata!K791,"Non-saline")))</f>
        <v>0</v>
      </c>
      <c r="AX791">
        <f>AND(IF(Metadata!L791="",FALSE,TRUE),OR(exact(Metadata!L791,"Plant secretion"),exact(Metadata!L791,"Plant rhizosphere"),exact(Metadata!L791,"Plant surface"),exact(Metadata!L791,"Plant corpus"),exact(Metadata!L791,"Fungus surface"),exact(Metadata!L791,"Fungus corpus"),exact(Metadata!L791,"Animal surface"),exact(Metadata!L791,"Animal proximal gut"),exact(Metadata!L791,"Animal corpus"),exact(Metadata!L791,"Animal distal gut"),exact(Metadata!L791,"Animal secretion"),exact(Metadata!L791,"Sub-surface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Y791">
        <f>IF(Metadata!M791="",FALSE,TRUE)</f>
        <v>0</v>
      </c>
      <c r="AZ791">
        <f>IF(Metadata!N791="",FALSE,TRUE)</f>
        <v>0</v>
      </c>
      <c r="BA791">
        <f>IF(Metadata!O791="",FALSE,TRUE)</f>
        <v>0</v>
      </c>
      <c r="BB791">
        <f>OR(AND(IF(Metadata!P791="",FALSE,TRUE),OR(exact(Metadata!P791,"not collected"),exact(Metadata!P791,"not provided"),exact(Metadata!P791,"restricted access"))),AND(IF(Metadata!P791="",FALSE,TRUE),OR(exact(Metadata!P791,"air"),exact(Metadata!P791,"built environment"),exact(Metadata!P791,"host-associated"),exact(Metadata!P791,"human-associated"),exact(Metadata!P791,"human-skin"),exact(Metadata!P791,"human-oral"),exact(Metadata!P791,"human-gut"),exact(Metadata!P791,"human-vaginal"),exact(Metadata!P791,"microbial mat/biofilm"),exact(Metadata!P791,"misc environment"),exact(Metadata!P791,"plant-associated"),exact(Metadata!P791,"sediment"),exact(Metadata!P791,"soil"),exact(Metadata!P791,"wastewater/sludge"),exact(Metadata!P791,"water"))))</f>
        <v>0</v>
      </c>
      <c r="BC791">
        <f>IF(Metadata!Q791="",FALSE,TRUE)</f>
        <v>0</v>
      </c>
      <c r="BD791">
        <f>IF(Metadata!R791="",FALSE,TRUE)</f>
        <v>0</v>
      </c>
      <c r="BE791">
        <f>OR(AND(IF(Metadata!S791="",FALSE,TRUE),OR(exact(Metadata!S791,"not collected"),exact(Metadata!S791,"not provided"),exact(Metadata!S791,"restricted access"))),AND(IF(Metadata!S791="",FALSE,ISNUMBER(VALUE(Metadata!S791))),Metadata!S791&gt;=-90.00,Metadata!S791&lt;=90.00))</f>
        <v>0</v>
      </c>
      <c r="BF791">
        <f>AND(IF(Metadata!T791="",FALSE,TRUE),exact(Metadata!T791,"Decimal degrees"))</f>
        <v>0</v>
      </c>
      <c r="BG791">
        <f>OR(AND(IF(Metadata!U791="",FALSE,TRUE),OR(exact(Metadata!U791,"not collected"),exact(Metadata!U791,"not provided"),exact(Metadata!U791,"restricted access"))),AND(IF(Metadata!U791="",FALSE,ISNUMBER(VALUE(Metadata!U791))),Metadata!U791&gt;=-180.00,Metadata!U791&lt;=180.00))</f>
        <v>0</v>
      </c>
      <c r="BH791">
        <f>AND(IF(Metadata!V791="",FALSE,TRUE),exact(Metadata!V791,"Decimal degrees"))</f>
        <v>0</v>
      </c>
      <c r="BI791">
        <f>IF(Metadata!W791="",FALSE,TRUE)</f>
        <v>0</v>
      </c>
      <c r="BJ791">
        <f>OR(AND(IF(Metadata!X791="",FALSE,TRUE),OR(exact(Metadata!X791,"not collected"),exact(Metadata!X791,"not provided"),exact(Metadata!X791,"restricted access"))),AND(IF(Metadata!X791="",FALSE,TRUE),OR(exact(Metadata!X791,"TRUE"),exact(Metadata!X791,"FALSE"))))</f>
        <v>0</v>
      </c>
      <c r="BK791">
        <f>AND(IF(Metadata!Y791="",FALSE,TRUE),exact(Metadata!Y791,"other"))</f>
        <v>0</v>
      </c>
      <c r="BL791">
        <f>IF(Metadata!Z791="",FALSE,TRUE)</f>
        <v>0</v>
      </c>
      <c r="BM791">
        <f>OR(AND(IF(Metadata!AA791="",FALSE,TRUE),OR(exact(Metadata!AA791,"not collected"),exact(Metadata!AA791,"not provided"))),AND(IF(Metadata!AA791="",FALSE,IF(ISERROR(INT(Metadata!AA791)),FALSE,INT(Metadata!AA791)=Metadata!AA791)),Metadata!AA791&gt;0))</f>
        <v>0</v>
      </c>
      <c r="BN791">
        <f>AND(IF(Metadata!AB791="",FALSE,TRUE),exact(Metadata!AB791,"Not applicable"))</f>
        <v>0</v>
      </c>
      <c r="BO791">
        <f>IF(Metadata!AC791="",FALSE,TRUE)</f>
        <v>0</v>
      </c>
    </row>
    <row r="792" spans="1:67">
      <c r="A792" s="5">
        <f>IF(B792=" "," ",HYPERLINK(CONCATENATE("#metadata!",ADDRESS(INDEX($AI$2:$AI$1001,MATCH(ROWS($AG$2:AG792),$AG$2:$AG$1001,0),0),1)),INDEX($AL$2:$AL$1001,MATCH(ROWS($AG$2:AG792),$AG$2:$AG$1001,0),0)))</f>
        <v>0</v>
      </c>
      <c r="B792" s="4">
        <f>IF(OR(INDEX($AH$2:$AH$1001,MATCH(ROWS($AG$2:AG792),$AG$2:$AG$1001,0),1)&gt;=100000,INDEX($AN$1005:$BO$1005,1,MATCH(COLUMNS($AN$1006:AN1006),$AN$1006:$BO$1006,0))&gt;=100000), " ",IF(INDEX($AN$2:$BO$1001,MATCH(ROWS($AG$2:AG792),$AG$2:$AG$1001,0),MATCH(COLUMNS($AN$1006:AN1006),$AN$1006:$BO$1006,0)), HYPERLINK("#",""), HYPERLINK(CONCATENATE("#Metadata!", ADDRESS(INDEX($AI$2:$AI$1001,MATCH(ROWS($AG$2:AG792),$AG$2:$AG$1001,0),0), INDEX($AN$1004:$BO$1004,1,MATCH(COLUMNS($AN$1006:AN1006),$AN$1006:$BO$1006,0)))),"Fix")))</f>
        <v>0</v>
      </c>
      <c r="C792" s="4">
        <f>IF(OR(INDEX($AH$2:$AH$1001,MATCH(ROWS($AG$2:AG792),$AG$2:$AG$1001,0),1)&gt;=100000,INDEX($AN$1005:$BO$1005,1,MATCH(COLUMNS($AN$1006:AO1006),$AN$1006:$BO$1006,0))&gt;=100000), " ",IF(INDEX($AN$2:$BO$1001,MATCH(ROWS($AG$2:AG792),$AG$2:$AG$1001,0),MATCH(COLUMNS($AN$1006:AO1006),$AN$1006:$BO$1006,0)), HYPERLINK("#",""), HYPERLINK(CONCATENATE("#Metadata!", ADDRESS(INDEX($AI$2:$AI$1001,MATCH(ROWS($AG$2:AG792),$AG$2:$AG$1001,0),0), INDEX($AN$1004:$BO$1004,1,MATCH(COLUMNS($AN$1006:AO1006),$AN$1006:$BO$1006,0)))),"Fix")))</f>
        <v>0</v>
      </c>
      <c r="D792" s="4">
        <f>IF(OR(INDEX($AH$2:$AH$1001,MATCH(ROWS($AG$2:AG792),$AG$2:$AG$1001,0),1)&gt;=100000,INDEX($AN$1005:$BO$1005,1,MATCH(COLUMNS($AN$1006:AP1006),$AN$1006:$BO$1006,0))&gt;=100000), " ",IF(INDEX($AN$2:$BO$1001,MATCH(ROWS($AG$2:AG792),$AG$2:$AG$1001,0),MATCH(COLUMNS($AN$1006:AP1006),$AN$1006:$BO$1006,0)), HYPERLINK("#",""), HYPERLINK(CONCATENATE("#Metadata!", ADDRESS(INDEX($AI$2:$AI$1001,MATCH(ROWS($AG$2:AG792),$AG$2:$AG$1001,0),0), INDEX($AN$1004:$BO$1004,1,MATCH(COLUMNS($AN$1006:AP1006),$AN$1006:$BO$1006,0)))),"Fix")))</f>
        <v>0</v>
      </c>
      <c r="E792" s="4">
        <f>IF(OR(INDEX($AH$2:$AH$1001,MATCH(ROWS($AG$2:AG792),$AG$2:$AG$1001,0),1)&gt;=100000,INDEX($AN$1005:$BO$1005,1,MATCH(COLUMNS($AN$1006:AQ1006),$AN$1006:$BO$1006,0))&gt;=100000), " ",IF(INDEX($AN$2:$BO$1001,MATCH(ROWS($AG$2:AG792),$AG$2:$AG$1001,0),MATCH(COLUMNS($AN$1006:AQ1006),$AN$1006:$BO$1006,0)), HYPERLINK("#",""), HYPERLINK(CONCATENATE("#Metadata!", ADDRESS(INDEX($AI$2:$AI$1001,MATCH(ROWS($AG$2:AG792),$AG$2:$AG$1001,0),0), INDEX($AN$1004:$BO$1004,1,MATCH(COLUMNS($AN$1006:AQ1006),$AN$1006:$BO$1006,0)))),"Fix")))</f>
        <v>0</v>
      </c>
      <c r="F792" s="4">
        <f>IF(OR(INDEX($AH$2:$AH$1001,MATCH(ROWS($AG$2:AG792),$AG$2:$AG$1001,0),1)&gt;=100000,INDEX($AN$1005:$BO$1005,1,MATCH(COLUMNS($AN$1006:AR1006),$AN$1006:$BO$1006,0))&gt;=100000), " ",IF(INDEX($AN$2:$BO$1001,MATCH(ROWS($AG$2:AG792),$AG$2:$AG$1001,0),MATCH(COLUMNS($AN$1006:AR1006),$AN$1006:$BO$1006,0)), HYPERLINK("#",""), HYPERLINK(CONCATENATE("#Metadata!", ADDRESS(INDEX($AI$2:$AI$1001,MATCH(ROWS($AG$2:AG792),$AG$2:$AG$1001,0),0), INDEX($AN$1004:$BO$1004,1,MATCH(COLUMNS($AN$1006:AR1006),$AN$1006:$BO$1006,0)))),"Fix")))</f>
        <v>0</v>
      </c>
      <c r="G792" s="4">
        <f>IF(OR(INDEX($AH$2:$AH$1001,MATCH(ROWS($AG$2:AG792),$AG$2:$AG$1001,0),1)&gt;=100000,INDEX($AN$1005:$BO$1005,1,MATCH(COLUMNS($AN$1006:AS1006),$AN$1006:$BO$1006,0))&gt;=100000), " ",IF(INDEX($AN$2:$BO$1001,MATCH(ROWS($AG$2:AG792),$AG$2:$AG$1001,0),MATCH(COLUMNS($AN$1006:AS1006),$AN$1006:$BO$1006,0)), HYPERLINK("#",""), HYPERLINK(CONCATENATE("#Metadata!", ADDRESS(INDEX($AI$2:$AI$1001,MATCH(ROWS($AG$2:AG792),$AG$2:$AG$1001,0),0), INDEX($AN$1004:$BO$1004,1,MATCH(COLUMNS($AN$1006:AS1006),$AN$1006:$BO$1006,0)))),"Fix")))</f>
        <v>0</v>
      </c>
      <c r="H792" s="4">
        <f>IF(OR(INDEX($AH$2:$AH$1001,MATCH(ROWS($AG$2:AG792),$AG$2:$AG$1001,0),1)&gt;=100000,INDEX($AN$1005:$BO$1005,1,MATCH(COLUMNS($AN$1006:AT1006),$AN$1006:$BO$1006,0))&gt;=100000), " ",IF(INDEX($AN$2:$BO$1001,MATCH(ROWS($AG$2:AG792),$AG$2:$AG$1001,0),MATCH(COLUMNS($AN$1006:AT1006),$AN$1006:$BO$1006,0)), HYPERLINK("#",""), HYPERLINK(CONCATENATE("#Metadata!", ADDRESS(INDEX($AI$2:$AI$1001,MATCH(ROWS($AG$2:AG792),$AG$2:$AG$1001,0),0), INDEX($AN$1004:$BO$1004,1,MATCH(COLUMNS($AN$1006:AT1006),$AN$1006:$BO$1006,0)))),"Fix")))</f>
        <v>0</v>
      </c>
      <c r="I792" s="4">
        <f>IF(OR(INDEX($AH$2:$AH$1001,MATCH(ROWS($AG$2:AG792),$AG$2:$AG$1001,0),1)&gt;=100000,INDEX($AN$1005:$BO$1005,1,MATCH(COLUMNS($AN$1006:AU1006),$AN$1006:$BO$1006,0))&gt;=100000), " ",IF(INDEX($AN$2:$BO$1001,MATCH(ROWS($AG$2:AG792),$AG$2:$AG$1001,0),MATCH(COLUMNS($AN$1006:AU1006),$AN$1006:$BO$1006,0)), HYPERLINK("#",""), HYPERLINK(CONCATENATE("#Metadata!", ADDRESS(INDEX($AI$2:$AI$1001,MATCH(ROWS($AG$2:AG792),$AG$2:$AG$1001,0),0), INDEX($AN$1004:$BO$1004,1,MATCH(COLUMNS($AN$1006:AU1006),$AN$1006:$BO$1006,0)))),"Fix")))</f>
        <v>0</v>
      </c>
      <c r="J792" s="4">
        <f>IF(OR(INDEX($AH$2:$AH$1001,MATCH(ROWS($AG$2:AG792),$AG$2:$AG$1001,0),1)&gt;=100000,INDEX($AN$1005:$BO$1005,1,MATCH(COLUMNS($AN$1006:AV1006),$AN$1006:$BO$1006,0))&gt;=100000), " ",IF(INDEX($AN$2:$BO$1001,MATCH(ROWS($AG$2:AG792),$AG$2:$AG$1001,0),MATCH(COLUMNS($AN$1006:AV1006),$AN$1006:$BO$1006,0)), HYPERLINK("#",""), HYPERLINK(CONCATENATE("#Metadata!", ADDRESS(INDEX($AI$2:$AI$1001,MATCH(ROWS($AG$2:AG792),$AG$2:$AG$1001,0),0), INDEX($AN$1004:$BO$1004,1,MATCH(COLUMNS($AN$1006:AV1006),$AN$1006:$BO$1006,0)))),"Fix")))</f>
        <v>0</v>
      </c>
      <c r="K792" s="4">
        <f>IF(OR(INDEX($AH$2:$AH$1001,MATCH(ROWS($AG$2:AG792),$AG$2:$AG$1001,0),1)&gt;=100000,INDEX($AN$1005:$BO$1005,1,MATCH(COLUMNS($AN$1006:AW1006),$AN$1006:$BO$1006,0))&gt;=100000), " ",IF(INDEX($AN$2:$BO$1001,MATCH(ROWS($AG$2:AG792),$AG$2:$AG$1001,0),MATCH(COLUMNS($AN$1006:AW1006),$AN$1006:$BO$1006,0)), HYPERLINK("#",""), HYPERLINK(CONCATENATE("#Metadata!", ADDRESS(INDEX($AI$2:$AI$1001,MATCH(ROWS($AG$2:AG792),$AG$2:$AG$1001,0),0), INDEX($AN$1004:$BO$1004,1,MATCH(COLUMNS($AN$1006:AW1006),$AN$1006:$BO$1006,0)))),"Fix")))</f>
        <v>0</v>
      </c>
      <c r="L792" s="4">
        <f>IF(OR(INDEX($AH$2:$AH$1001,MATCH(ROWS($AG$2:AG792),$AG$2:$AG$1001,0),1)&gt;=100000,INDEX($AN$1005:$BO$1005,1,MATCH(COLUMNS($AN$1006:AX1006),$AN$1006:$BO$1006,0))&gt;=100000), " ",IF(INDEX($AN$2:$BO$1001,MATCH(ROWS($AG$2:AG792),$AG$2:$AG$1001,0),MATCH(COLUMNS($AN$1006:AX1006),$AN$1006:$BO$1006,0)), HYPERLINK("#",""), HYPERLINK(CONCATENATE("#Metadata!", ADDRESS(INDEX($AI$2:$AI$1001,MATCH(ROWS($AG$2:AG792),$AG$2:$AG$1001,0),0), INDEX($AN$1004:$BO$1004,1,MATCH(COLUMNS($AN$1006:AX1006),$AN$1006:$BO$1006,0)))),"Fix")))</f>
        <v>0</v>
      </c>
      <c r="M792" s="4">
        <f>IF(OR(INDEX($AH$2:$AH$1001,MATCH(ROWS($AG$2:AG792),$AG$2:$AG$1001,0),1)&gt;=100000,INDEX($AN$1005:$BO$1005,1,MATCH(COLUMNS($AN$1006:AY1006),$AN$1006:$BO$1006,0))&gt;=100000), " ",IF(INDEX($AN$2:$BO$1001,MATCH(ROWS($AG$2:AG792),$AG$2:$AG$1001,0),MATCH(COLUMNS($AN$1006:AY1006),$AN$1006:$BO$1006,0)), HYPERLINK("#",""), HYPERLINK(CONCATENATE("#Metadata!", ADDRESS(INDEX($AI$2:$AI$1001,MATCH(ROWS($AG$2:AG792),$AG$2:$AG$1001,0),0), INDEX($AN$1004:$BO$1004,1,MATCH(COLUMNS($AN$1006:AY1006),$AN$1006:$BO$1006,0)))),"Fix")))</f>
        <v>0</v>
      </c>
      <c r="N792" s="4">
        <f>IF(OR(INDEX($AH$2:$AH$1001,MATCH(ROWS($AG$2:AG792),$AG$2:$AG$1001,0),1)&gt;=100000,INDEX($AN$1005:$BO$1005,1,MATCH(COLUMNS($AN$1006:AZ1006),$AN$1006:$BO$1006,0))&gt;=100000), " ",IF(INDEX($AN$2:$BO$1001,MATCH(ROWS($AG$2:AG792),$AG$2:$AG$1001,0),MATCH(COLUMNS($AN$1006:AZ1006),$AN$1006:$BO$1006,0)), HYPERLINK("#",""), HYPERLINK(CONCATENATE("#Metadata!", ADDRESS(INDEX($AI$2:$AI$1001,MATCH(ROWS($AG$2:AG792),$AG$2:$AG$1001,0),0), INDEX($AN$1004:$BO$1004,1,MATCH(COLUMNS($AN$1006:AZ1006),$AN$1006:$BO$1006,0)))),"Fix")))</f>
        <v>0</v>
      </c>
      <c r="O792" s="4">
        <f>IF(OR(INDEX($AH$2:$AH$1001,MATCH(ROWS($AG$2:AG792),$AG$2:$AG$1001,0),1)&gt;=100000,INDEX($AN$1005:$BO$1005,1,MATCH(COLUMNS($AN$1006:BA1006),$AN$1006:$BO$1006,0))&gt;=100000), " ",IF(INDEX($AN$2:$BO$1001,MATCH(ROWS($AG$2:AG792),$AG$2:$AG$1001,0),MATCH(COLUMNS($AN$1006:BA1006),$AN$1006:$BO$1006,0)), HYPERLINK("#",""), HYPERLINK(CONCATENATE("#Metadata!", ADDRESS(INDEX($AI$2:$AI$1001,MATCH(ROWS($AG$2:AG792),$AG$2:$AG$1001,0),0), INDEX($AN$1004:$BO$1004,1,MATCH(COLUMNS($AN$1006:BA1006),$AN$1006:$BO$1006,0)))),"Fix")))</f>
        <v>0</v>
      </c>
      <c r="P792" s="4">
        <f>IF(OR(INDEX($AH$2:$AH$1001,MATCH(ROWS($AG$2:AG792),$AG$2:$AG$1001,0),1)&gt;=100000,INDEX($AN$1005:$BO$1005,1,MATCH(COLUMNS($AN$1006:BB1006),$AN$1006:$BO$1006,0))&gt;=100000), " ",IF(INDEX($AN$2:$BO$1001,MATCH(ROWS($AG$2:AG792),$AG$2:$AG$1001,0),MATCH(COLUMNS($AN$1006:BB1006),$AN$1006:$BO$1006,0)), HYPERLINK("#",""), HYPERLINK(CONCATENATE("#Metadata!", ADDRESS(INDEX($AI$2:$AI$1001,MATCH(ROWS($AG$2:AG792),$AG$2:$AG$1001,0),0), INDEX($AN$1004:$BO$1004,1,MATCH(COLUMNS($AN$1006:BB1006),$AN$1006:$BO$1006,0)))),"Fix")))</f>
        <v>0</v>
      </c>
      <c r="Q792" s="4">
        <f>IF(OR(INDEX($AH$2:$AH$1001,MATCH(ROWS($AG$2:AG792),$AG$2:$AG$1001,0),1)&gt;=100000,INDEX($AN$1005:$BO$1005,1,MATCH(COLUMNS($AN$1006:BC1006),$AN$1006:$BO$1006,0))&gt;=100000), " ",IF(INDEX($AN$2:$BO$1001,MATCH(ROWS($AG$2:AG792),$AG$2:$AG$1001,0),MATCH(COLUMNS($AN$1006:BC1006),$AN$1006:$BO$1006,0)), HYPERLINK("#",""), HYPERLINK(CONCATENATE("#Metadata!", ADDRESS(INDEX($AI$2:$AI$1001,MATCH(ROWS($AG$2:AG792),$AG$2:$AG$1001,0),0), INDEX($AN$1004:$BO$1004,1,MATCH(COLUMNS($AN$1006:BC1006),$AN$1006:$BO$1006,0)))),"Fix")))</f>
        <v>0</v>
      </c>
      <c r="R792" s="4">
        <f>IF(OR(INDEX($AH$2:$AH$1001,MATCH(ROWS($AG$2:AG792),$AG$2:$AG$1001,0),1)&gt;=100000,INDEX($AN$1005:$BO$1005,1,MATCH(COLUMNS($AN$1006:BD1006),$AN$1006:$BO$1006,0))&gt;=100000), " ",IF(INDEX($AN$2:$BO$1001,MATCH(ROWS($AG$2:AG792),$AG$2:$AG$1001,0),MATCH(COLUMNS($AN$1006:BD1006),$AN$1006:$BO$1006,0)), HYPERLINK("#",""), HYPERLINK(CONCATENATE("#Metadata!", ADDRESS(INDEX($AI$2:$AI$1001,MATCH(ROWS($AG$2:AG792),$AG$2:$AG$1001,0),0), INDEX($AN$1004:$BO$1004,1,MATCH(COLUMNS($AN$1006:BD1006),$AN$1006:$BO$1006,0)))),"Fix")))</f>
        <v>0</v>
      </c>
      <c r="S792" s="4">
        <f>IF(OR(INDEX($AH$2:$AH$1001,MATCH(ROWS($AG$2:AG792),$AG$2:$AG$1001,0),1)&gt;=100000,INDEX($AN$1005:$BO$1005,1,MATCH(COLUMNS($AN$1006:BE1006),$AN$1006:$BO$1006,0))&gt;=100000), " ",IF(INDEX($AN$2:$BO$1001,MATCH(ROWS($AG$2:AG792),$AG$2:$AG$1001,0),MATCH(COLUMNS($AN$1006:BE1006),$AN$1006:$BO$1006,0)), HYPERLINK("#",""), HYPERLINK(CONCATENATE("#Metadata!", ADDRESS(INDEX($AI$2:$AI$1001,MATCH(ROWS($AG$2:AG792),$AG$2:$AG$1001,0),0), INDEX($AN$1004:$BO$1004,1,MATCH(COLUMNS($AN$1006:BE1006),$AN$1006:$BO$1006,0)))),"Fix")))</f>
        <v>0</v>
      </c>
      <c r="T792" s="4">
        <f>IF(OR(INDEX($AH$2:$AH$1001,MATCH(ROWS($AG$2:AG792),$AG$2:$AG$1001,0),1)&gt;=100000,INDEX($AN$1005:$BO$1005,1,MATCH(COLUMNS($AN$1006:BF1006),$AN$1006:$BO$1006,0))&gt;=100000), " ",IF(INDEX($AN$2:$BO$1001,MATCH(ROWS($AG$2:AG792),$AG$2:$AG$1001,0),MATCH(COLUMNS($AN$1006:BF1006),$AN$1006:$BO$1006,0)), HYPERLINK("#",""), HYPERLINK(CONCATENATE("#Metadata!", ADDRESS(INDEX($AI$2:$AI$1001,MATCH(ROWS($AG$2:AG792),$AG$2:$AG$1001,0),0), INDEX($AN$1004:$BO$1004,1,MATCH(COLUMNS($AN$1006:BF1006),$AN$1006:$BO$1006,0)))),"Fix")))</f>
        <v>0</v>
      </c>
      <c r="U792" s="4">
        <f>IF(OR(INDEX($AH$2:$AH$1001,MATCH(ROWS($AG$2:AG792),$AG$2:$AG$1001,0),1)&gt;=100000,INDEX($AN$1005:$BO$1005,1,MATCH(COLUMNS($AN$1006:BG1006),$AN$1006:$BO$1006,0))&gt;=100000), " ",IF(INDEX($AN$2:$BO$1001,MATCH(ROWS($AG$2:AG792),$AG$2:$AG$1001,0),MATCH(COLUMNS($AN$1006:BG1006),$AN$1006:$BO$1006,0)), HYPERLINK("#",""), HYPERLINK(CONCATENATE("#Metadata!", ADDRESS(INDEX($AI$2:$AI$1001,MATCH(ROWS($AG$2:AG792),$AG$2:$AG$1001,0),0), INDEX($AN$1004:$BO$1004,1,MATCH(COLUMNS($AN$1006:BG1006),$AN$1006:$BO$1006,0)))),"Fix")))</f>
        <v>0</v>
      </c>
      <c r="V792" s="4">
        <f>IF(OR(INDEX($AH$2:$AH$1001,MATCH(ROWS($AG$2:AG792),$AG$2:$AG$1001,0),1)&gt;=100000,INDEX($AN$1005:$BO$1005,1,MATCH(COLUMNS($AN$1006:BH1006),$AN$1006:$BO$1006,0))&gt;=100000), " ",IF(INDEX($AN$2:$BO$1001,MATCH(ROWS($AG$2:AG792),$AG$2:$AG$1001,0),MATCH(COLUMNS($AN$1006:BH1006),$AN$1006:$BO$1006,0)), HYPERLINK("#",""), HYPERLINK(CONCATENATE("#Metadata!", ADDRESS(INDEX($AI$2:$AI$1001,MATCH(ROWS($AG$2:AG792),$AG$2:$AG$1001,0),0), INDEX($AN$1004:$BO$1004,1,MATCH(COLUMNS($AN$1006:BH1006),$AN$1006:$BO$1006,0)))),"Fix")))</f>
        <v>0</v>
      </c>
      <c r="W792" s="4">
        <f>IF(OR(INDEX($AH$2:$AH$1001,MATCH(ROWS($AG$2:AG792),$AG$2:$AG$1001,0),1)&gt;=100000,INDEX($AN$1005:$BO$1005,1,MATCH(COLUMNS($AN$1006:BI1006),$AN$1006:$BO$1006,0))&gt;=100000), " ",IF(INDEX($AN$2:$BO$1001,MATCH(ROWS($AG$2:AG792),$AG$2:$AG$1001,0),MATCH(COLUMNS($AN$1006:BI1006),$AN$1006:$BO$1006,0)), HYPERLINK("#",""), HYPERLINK(CONCATENATE("#Metadata!", ADDRESS(INDEX($AI$2:$AI$1001,MATCH(ROWS($AG$2:AG792),$AG$2:$AG$1001,0),0), INDEX($AN$1004:$BO$1004,1,MATCH(COLUMNS($AN$1006:BI1006),$AN$1006:$BO$1006,0)))),"Fix")))</f>
        <v>0</v>
      </c>
      <c r="X792" s="4">
        <f>IF(OR(INDEX($AH$2:$AH$1001,MATCH(ROWS($AG$2:AG792),$AG$2:$AG$1001,0),1)&gt;=100000,INDEX($AN$1005:$BO$1005,1,MATCH(COLUMNS($AN$1006:BJ1006),$AN$1006:$BO$1006,0))&gt;=100000), " ",IF(INDEX($AN$2:$BO$1001,MATCH(ROWS($AG$2:AG792),$AG$2:$AG$1001,0),MATCH(COLUMNS($AN$1006:BJ1006),$AN$1006:$BO$1006,0)), HYPERLINK("#",""), HYPERLINK(CONCATENATE("#Metadata!", ADDRESS(INDEX($AI$2:$AI$1001,MATCH(ROWS($AG$2:AG792),$AG$2:$AG$1001,0),0), INDEX($AN$1004:$BO$1004,1,MATCH(COLUMNS($AN$1006:BJ1006),$AN$1006:$BO$1006,0)))),"Fix")))</f>
        <v>0</v>
      </c>
      <c r="Y792" s="4">
        <f>IF(OR(INDEX($AH$2:$AH$1001,MATCH(ROWS($AG$2:AG792),$AG$2:$AG$1001,0),1)&gt;=100000,INDEX($AN$1005:$BO$1005,1,MATCH(COLUMNS($AN$1006:BK1006),$AN$1006:$BO$1006,0))&gt;=100000), " ",IF(INDEX($AN$2:$BO$1001,MATCH(ROWS($AG$2:AG792),$AG$2:$AG$1001,0),MATCH(COLUMNS($AN$1006:BK1006),$AN$1006:$BO$1006,0)), HYPERLINK("#",""), HYPERLINK(CONCATENATE("#Metadata!", ADDRESS(INDEX($AI$2:$AI$1001,MATCH(ROWS($AG$2:AG792),$AG$2:$AG$1001,0),0), INDEX($AN$1004:$BO$1004,1,MATCH(COLUMNS($AN$1006:BK1006),$AN$1006:$BO$1006,0)))),"Fix")))</f>
        <v>0</v>
      </c>
      <c r="Z792" s="4">
        <f>IF(OR(INDEX($AH$2:$AH$1001,MATCH(ROWS($AG$2:AG792),$AG$2:$AG$1001,0),1)&gt;=100000,INDEX($AN$1005:$BO$1005,1,MATCH(COLUMNS($AN$1006:BL1006),$AN$1006:$BO$1006,0))&gt;=100000), " ",IF(INDEX($AN$2:$BO$1001,MATCH(ROWS($AG$2:AG792),$AG$2:$AG$1001,0),MATCH(COLUMNS($AN$1006:BL1006),$AN$1006:$BO$1006,0)), HYPERLINK("#",""), HYPERLINK(CONCATENATE("#Metadata!", ADDRESS(INDEX($AI$2:$AI$1001,MATCH(ROWS($AG$2:AG792),$AG$2:$AG$1001,0),0), INDEX($AN$1004:$BO$1004,1,MATCH(COLUMNS($AN$1006:BL1006),$AN$1006:$BO$1006,0)))),"Fix")))</f>
        <v>0</v>
      </c>
      <c r="AA792" s="4">
        <f>IF(OR(INDEX($AH$2:$AH$1001,MATCH(ROWS($AG$2:AG792),$AG$2:$AG$1001,0),1)&gt;=100000,INDEX($AN$1005:$BO$1005,1,MATCH(COLUMNS($AN$1006:BM1006),$AN$1006:$BO$1006,0))&gt;=100000), " ",IF(INDEX($AN$2:$BO$1001,MATCH(ROWS($AG$2:AG792),$AG$2:$AG$1001,0),MATCH(COLUMNS($AN$1006:BM1006),$AN$1006:$BO$1006,0)), HYPERLINK("#",""), HYPERLINK(CONCATENATE("#Metadata!", ADDRESS(INDEX($AI$2:$AI$1001,MATCH(ROWS($AG$2:AG792),$AG$2:$AG$1001,0),0), INDEX($AN$1004:$BO$1004,1,MATCH(COLUMNS($AN$1006:BM1006),$AN$1006:$BO$1006,0)))),"Fix")))</f>
        <v>0</v>
      </c>
      <c r="AB792" s="4">
        <f>IF(OR(INDEX($AH$2:$AH$1001,MATCH(ROWS($AG$2:AG792),$AG$2:$AG$1001,0),1)&gt;=100000,INDEX($AN$1005:$BO$1005,1,MATCH(COLUMNS($AN$1006:BN1006),$AN$1006:$BO$1006,0))&gt;=100000), " ",IF(INDEX($AN$2:$BO$1001,MATCH(ROWS($AG$2:AG792),$AG$2:$AG$1001,0),MATCH(COLUMNS($AN$1006:BN1006),$AN$1006:$BO$1006,0)), HYPERLINK("#",""), HYPERLINK(CONCATENATE("#Metadata!", ADDRESS(INDEX($AI$2:$AI$1001,MATCH(ROWS($AG$2:AG792),$AG$2:$AG$1001,0),0), INDEX($AN$1004:$BO$1004,1,MATCH(COLUMNS($AN$1006:BN1006),$AN$1006:$BO$1006,0)))),"Fix")))</f>
        <v>0</v>
      </c>
      <c r="AC792" s="4">
        <f>IF(OR(INDEX($AH$2:$AH$1001,MATCH(ROWS($AG$2:AG792),$AG$2:$AG$1001,0),1)&gt;=100000,INDEX($AN$1005:$BO$1005,1,MATCH(COLUMNS($AN$1006:BO1006),$AN$1006:$BO$1006,0))&gt;=100000), " ",IF(INDEX($AN$2:$BO$1001,MATCH(ROWS($AG$2:AG792),$AG$2:$AG$1001,0),MATCH(COLUMNS($AN$1006:BO1006),$AN$1006:$BO$1006,0)), HYPERLINK("#",""), HYPERLINK(CONCATENATE("#Metadata!", ADDRESS(INDEX($AI$2:$AI$1001,MATCH(ROWS($AG$2:AG792),$AG$2:$AG$1001,0),0), INDEX($AN$1004:$BO$1004,1,MATCH(COLUMNS($AN$1006:BO1006),$AN$1006:$BO$1006,0)))),"Fix")))</f>
        <v>0</v>
      </c>
      <c r="AG792">
        <v>0</v>
      </c>
      <c r="AH792">
        <v>0</v>
      </c>
      <c r="AI792">
        <v>0</v>
      </c>
      <c r="AJ792">
        <f>IF(AK792,TRUE,AND(AN792:BO792))</f>
        <v>0</v>
      </c>
      <c r="AK792">
        <f>COUNTBLANK(Metadata!B792:AC792)=COLUMNS(Metadata!B792:AC792)</f>
        <v>0</v>
      </c>
      <c r="AL792">
        <v>0</v>
      </c>
      <c r="AN792">
        <f>AND(IF(Metadata!B792="",FALSE,TRUE),COUNTIF(Metadata!B:B, Metadata!B792) = 1,NOT(ISERROR(SUMPRODUCT(SEARCH(MID(Metadata!B792,ROW(INDIRECT("1:"&amp;LEN(Metadata!B792))), 1),"0123456789abcdefghijklmnopqrstuvwxyzABCDEFGHIJKLMNOPQRSTUVWXYZ.")))))</f>
        <v>0</v>
      </c>
      <c r="AO792">
        <f>IF(Metadata!C792="",FALSE,TRUE)</f>
        <v>0</v>
      </c>
      <c r="AP792">
        <f>IF(Metadata!D792="",FALSE,TRUE)</f>
        <v>0</v>
      </c>
      <c r="AQ792">
        <f>OR(AND(IF(Metadata!E792="",FALSE,TRUE),OR(exact(Metadata!E792,"not collected"),exact(Metadata!E792,"not provided"),exact(Metadata!E792,"restricted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R792">
        <f>IF(Metadata!F792="",FALSE,TRUE)</f>
        <v>0</v>
      </c>
      <c r="AS792">
        <f>OR(AND(IF(Metadata!G792="",FALSE,TRUE),OR(exact(Metadata!G792,"not collected"),exact(Metadata!G792,"not provided"))),AND(IF(Metadata!G792="",FALSE,TRUE),OR(exact(Metadata!G792,"TRUE"),exact(Metadata!G792,"FALSE"))))</f>
        <v>0</v>
      </c>
      <c r="AT792">
        <f>OR(AND(IF(Metadata!H792="",FALSE,TRUE),OR(exact(Metadata!H792,"not collected"),exact(Metadata!H792,"not provided"),exact(Metadata!H792,"restricted access"))),AND(IF(Metadata!H792="",FALSE,ISNUMBER(VALUE(Metadata!H792))),Metadata!H792&gt;=-413.0))</f>
        <v>0</v>
      </c>
      <c r="AU792">
        <f>AND(IF(Metadata!I792="",FALSE,TRUE),exact(Metadata!I792,"meters"))</f>
        <v>0</v>
      </c>
      <c r="AV792">
        <f>AND(IF(Metadata!J792="",FALSE,TRUE),OR(exact(Metadata!J792,"Host-associated"),exact(Metadata!J792,"Free-living")))</f>
        <v>0</v>
      </c>
      <c r="AW792">
        <f>AND(IF(Metadata!K792="",FALSE,TRUE),OR(exact(Metadata!K792,"Animal"),exact(Metadata!K792,"Fungus"),exact(Metadata!K792,"Plant"),exact(Metadata!K792,"Saline"),exact(Metadata!K792,"Non-saline")))</f>
        <v>0</v>
      </c>
      <c r="AX792">
        <f>AND(IF(Metadata!L792="",FALSE,TRUE),OR(exact(Metadata!L792,"Plant secretion"),exact(Metadata!L792,"Plant rhizosphere"),exact(Metadata!L792,"Plant surface"),exact(Metadata!L792,"Plant corpus"),exact(Metadata!L792,"Fungus surface"),exact(Metadata!L792,"Fungus corpus"),exact(Metadata!L792,"Animal surface"),exact(Metadata!L792,"Animal proximal gut"),exact(Metadata!L792,"Animal corpus"),exact(Metadata!L792,"Animal distal gut"),exact(Metadata!L792,"Animal secretion"),exact(Metadata!L792,"Sub-surface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Y792">
        <f>IF(Metadata!M792="",FALSE,TRUE)</f>
        <v>0</v>
      </c>
      <c r="AZ792">
        <f>IF(Metadata!N792="",FALSE,TRUE)</f>
        <v>0</v>
      </c>
      <c r="BA792">
        <f>IF(Metadata!O792="",FALSE,TRUE)</f>
        <v>0</v>
      </c>
      <c r="BB792">
        <f>OR(AND(IF(Metadata!P792="",FALSE,TRUE),OR(exact(Metadata!P792,"not collected"),exact(Metadata!P792,"not provided"),exact(Metadata!P792,"restricted access"))),AND(IF(Metadata!P792="",FALSE,TRUE),OR(exact(Metadata!P792,"air"),exact(Metadata!P792,"built environment"),exact(Metadata!P792,"host-associated"),exact(Metadata!P792,"human-associated"),exact(Metadata!P792,"human-skin"),exact(Metadata!P792,"human-oral"),exact(Metadata!P792,"human-gut"),exact(Metadata!P792,"human-vaginal"),exact(Metadata!P792,"microbial mat/biofilm"),exact(Metadata!P792,"misc environment"),exact(Metadata!P792,"plant-associated"),exact(Metadata!P792,"sediment"),exact(Metadata!P792,"soil"),exact(Metadata!P792,"wastewater/sludge"),exact(Metadata!P792,"water"))))</f>
        <v>0</v>
      </c>
      <c r="BC792">
        <f>IF(Metadata!Q792="",FALSE,TRUE)</f>
        <v>0</v>
      </c>
      <c r="BD792">
        <f>IF(Metadata!R792="",FALSE,TRUE)</f>
        <v>0</v>
      </c>
      <c r="BE792">
        <f>OR(AND(IF(Metadata!S792="",FALSE,TRUE),OR(exact(Metadata!S792,"not collected"),exact(Metadata!S792,"not provided"),exact(Metadata!S792,"restricted access"))),AND(IF(Metadata!S792="",FALSE,ISNUMBER(VALUE(Metadata!S792))),Metadata!S792&gt;=-90.00,Metadata!S792&lt;=90.00))</f>
        <v>0</v>
      </c>
      <c r="BF792">
        <f>AND(IF(Metadata!T792="",FALSE,TRUE),exact(Metadata!T792,"Decimal degrees"))</f>
        <v>0</v>
      </c>
      <c r="BG792">
        <f>OR(AND(IF(Metadata!U792="",FALSE,TRUE),OR(exact(Metadata!U792,"not collected"),exact(Metadata!U792,"not provided"),exact(Metadata!U792,"restricted access"))),AND(IF(Metadata!U792="",FALSE,ISNUMBER(VALUE(Metadata!U792))),Metadata!U792&gt;=-180.00,Metadata!U792&lt;=180.00))</f>
        <v>0</v>
      </c>
      <c r="BH792">
        <f>AND(IF(Metadata!V792="",FALSE,TRUE),exact(Metadata!V792,"Decimal degrees"))</f>
        <v>0</v>
      </c>
      <c r="BI792">
        <f>IF(Metadata!W792="",FALSE,TRUE)</f>
        <v>0</v>
      </c>
      <c r="BJ792">
        <f>OR(AND(IF(Metadata!X792="",FALSE,TRUE),OR(exact(Metadata!X792,"not collected"),exact(Metadata!X792,"not provided"),exact(Metadata!X792,"restricted access"))),AND(IF(Metadata!X792="",FALSE,TRUE),OR(exact(Metadata!X792,"TRUE"),exact(Metadata!X792,"FALSE"))))</f>
        <v>0</v>
      </c>
      <c r="BK792">
        <f>AND(IF(Metadata!Y792="",FALSE,TRUE),exact(Metadata!Y792,"other"))</f>
        <v>0</v>
      </c>
      <c r="BL792">
        <f>IF(Metadata!Z792="",FALSE,TRUE)</f>
        <v>0</v>
      </c>
      <c r="BM792">
        <f>OR(AND(IF(Metadata!AA792="",FALSE,TRUE),OR(exact(Metadata!AA792,"not collected"),exact(Metadata!AA792,"not provided"))),AND(IF(Metadata!AA792="",FALSE,IF(ISERROR(INT(Metadata!AA792)),FALSE,INT(Metadata!AA792)=Metadata!AA792)),Metadata!AA792&gt;0))</f>
        <v>0</v>
      </c>
      <c r="BN792">
        <f>AND(IF(Metadata!AB792="",FALSE,TRUE),exact(Metadata!AB792,"Not applicable"))</f>
        <v>0</v>
      </c>
      <c r="BO792">
        <f>IF(Metadata!AC792="",FALSE,TRUE)</f>
        <v>0</v>
      </c>
    </row>
    <row r="793" spans="1:67">
      <c r="A793" s="5">
        <f>IF(B793=" "," ",HYPERLINK(CONCATENATE("#metadata!",ADDRESS(INDEX($AI$2:$AI$1001,MATCH(ROWS($AG$2:AG793),$AG$2:$AG$1001,0),0),1)),INDEX($AL$2:$AL$1001,MATCH(ROWS($AG$2:AG793),$AG$2:$AG$1001,0),0)))</f>
        <v>0</v>
      </c>
      <c r="B793" s="4">
        <f>IF(OR(INDEX($AH$2:$AH$1001,MATCH(ROWS($AG$2:AG793),$AG$2:$AG$1001,0),1)&gt;=100000,INDEX($AN$1005:$BO$1005,1,MATCH(COLUMNS($AN$1006:AN1006),$AN$1006:$BO$1006,0))&gt;=100000), " ",IF(INDEX($AN$2:$BO$1001,MATCH(ROWS($AG$2:AG793),$AG$2:$AG$1001,0),MATCH(COLUMNS($AN$1006:AN1006),$AN$1006:$BO$1006,0)), HYPERLINK("#",""), HYPERLINK(CONCATENATE("#Metadata!", ADDRESS(INDEX($AI$2:$AI$1001,MATCH(ROWS($AG$2:AG793),$AG$2:$AG$1001,0),0), INDEX($AN$1004:$BO$1004,1,MATCH(COLUMNS($AN$1006:AN1006),$AN$1006:$BO$1006,0)))),"Fix")))</f>
        <v>0</v>
      </c>
      <c r="C793" s="4">
        <f>IF(OR(INDEX($AH$2:$AH$1001,MATCH(ROWS($AG$2:AG793),$AG$2:$AG$1001,0),1)&gt;=100000,INDEX($AN$1005:$BO$1005,1,MATCH(COLUMNS($AN$1006:AO1006),$AN$1006:$BO$1006,0))&gt;=100000), " ",IF(INDEX($AN$2:$BO$1001,MATCH(ROWS($AG$2:AG793),$AG$2:$AG$1001,0),MATCH(COLUMNS($AN$1006:AO1006),$AN$1006:$BO$1006,0)), HYPERLINK("#",""), HYPERLINK(CONCATENATE("#Metadata!", ADDRESS(INDEX($AI$2:$AI$1001,MATCH(ROWS($AG$2:AG793),$AG$2:$AG$1001,0),0), INDEX($AN$1004:$BO$1004,1,MATCH(COLUMNS($AN$1006:AO1006),$AN$1006:$BO$1006,0)))),"Fix")))</f>
        <v>0</v>
      </c>
      <c r="D793" s="4">
        <f>IF(OR(INDEX($AH$2:$AH$1001,MATCH(ROWS($AG$2:AG793),$AG$2:$AG$1001,0),1)&gt;=100000,INDEX($AN$1005:$BO$1005,1,MATCH(COLUMNS($AN$1006:AP1006),$AN$1006:$BO$1006,0))&gt;=100000), " ",IF(INDEX($AN$2:$BO$1001,MATCH(ROWS($AG$2:AG793),$AG$2:$AG$1001,0),MATCH(COLUMNS($AN$1006:AP1006),$AN$1006:$BO$1006,0)), HYPERLINK("#",""), HYPERLINK(CONCATENATE("#Metadata!", ADDRESS(INDEX($AI$2:$AI$1001,MATCH(ROWS($AG$2:AG793),$AG$2:$AG$1001,0),0), INDEX($AN$1004:$BO$1004,1,MATCH(COLUMNS($AN$1006:AP1006),$AN$1006:$BO$1006,0)))),"Fix")))</f>
        <v>0</v>
      </c>
      <c r="E793" s="4">
        <f>IF(OR(INDEX($AH$2:$AH$1001,MATCH(ROWS($AG$2:AG793),$AG$2:$AG$1001,0),1)&gt;=100000,INDEX($AN$1005:$BO$1005,1,MATCH(COLUMNS($AN$1006:AQ1006),$AN$1006:$BO$1006,0))&gt;=100000), " ",IF(INDEX($AN$2:$BO$1001,MATCH(ROWS($AG$2:AG793),$AG$2:$AG$1001,0),MATCH(COLUMNS($AN$1006:AQ1006),$AN$1006:$BO$1006,0)), HYPERLINK("#",""), HYPERLINK(CONCATENATE("#Metadata!", ADDRESS(INDEX($AI$2:$AI$1001,MATCH(ROWS($AG$2:AG793),$AG$2:$AG$1001,0),0), INDEX($AN$1004:$BO$1004,1,MATCH(COLUMNS($AN$1006:AQ1006),$AN$1006:$BO$1006,0)))),"Fix")))</f>
        <v>0</v>
      </c>
      <c r="F793" s="4">
        <f>IF(OR(INDEX($AH$2:$AH$1001,MATCH(ROWS($AG$2:AG793),$AG$2:$AG$1001,0),1)&gt;=100000,INDEX($AN$1005:$BO$1005,1,MATCH(COLUMNS($AN$1006:AR1006),$AN$1006:$BO$1006,0))&gt;=100000), " ",IF(INDEX($AN$2:$BO$1001,MATCH(ROWS($AG$2:AG793),$AG$2:$AG$1001,0),MATCH(COLUMNS($AN$1006:AR1006),$AN$1006:$BO$1006,0)), HYPERLINK("#",""), HYPERLINK(CONCATENATE("#Metadata!", ADDRESS(INDEX($AI$2:$AI$1001,MATCH(ROWS($AG$2:AG793),$AG$2:$AG$1001,0),0), INDEX($AN$1004:$BO$1004,1,MATCH(COLUMNS($AN$1006:AR1006),$AN$1006:$BO$1006,0)))),"Fix")))</f>
        <v>0</v>
      </c>
      <c r="G793" s="4">
        <f>IF(OR(INDEX($AH$2:$AH$1001,MATCH(ROWS($AG$2:AG793),$AG$2:$AG$1001,0),1)&gt;=100000,INDEX($AN$1005:$BO$1005,1,MATCH(COLUMNS($AN$1006:AS1006),$AN$1006:$BO$1006,0))&gt;=100000), " ",IF(INDEX($AN$2:$BO$1001,MATCH(ROWS($AG$2:AG793),$AG$2:$AG$1001,0),MATCH(COLUMNS($AN$1006:AS1006),$AN$1006:$BO$1006,0)), HYPERLINK("#",""), HYPERLINK(CONCATENATE("#Metadata!", ADDRESS(INDEX($AI$2:$AI$1001,MATCH(ROWS($AG$2:AG793),$AG$2:$AG$1001,0),0), INDEX($AN$1004:$BO$1004,1,MATCH(COLUMNS($AN$1006:AS1006),$AN$1006:$BO$1006,0)))),"Fix")))</f>
        <v>0</v>
      </c>
      <c r="H793" s="4">
        <f>IF(OR(INDEX($AH$2:$AH$1001,MATCH(ROWS($AG$2:AG793),$AG$2:$AG$1001,0),1)&gt;=100000,INDEX($AN$1005:$BO$1005,1,MATCH(COLUMNS($AN$1006:AT1006),$AN$1006:$BO$1006,0))&gt;=100000), " ",IF(INDEX($AN$2:$BO$1001,MATCH(ROWS($AG$2:AG793),$AG$2:$AG$1001,0),MATCH(COLUMNS($AN$1006:AT1006),$AN$1006:$BO$1006,0)), HYPERLINK("#",""), HYPERLINK(CONCATENATE("#Metadata!", ADDRESS(INDEX($AI$2:$AI$1001,MATCH(ROWS($AG$2:AG793),$AG$2:$AG$1001,0),0), INDEX($AN$1004:$BO$1004,1,MATCH(COLUMNS($AN$1006:AT1006),$AN$1006:$BO$1006,0)))),"Fix")))</f>
        <v>0</v>
      </c>
      <c r="I793" s="4">
        <f>IF(OR(INDEX($AH$2:$AH$1001,MATCH(ROWS($AG$2:AG793),$AG$2:$AG$1001,0),1)&gt;=100000,INDEX($AN$1005:$BO$1005,1,MATCH(COLUMNS($AN$1006:AU1006),$AN$1006:$BO$1006,0))&gt;=100000), " ",IF(INDEX($AN$2:$BO$1001,MATCH(ROWS($AG$2:AG793),$AG$2:$AG$1001,0),MATCH(COLUMNS($AN$1006:AU1006),$AN$1006:$BO$1006,0)), HYPERLINK("#",""), HYPERLINK(CONCATENATE("#Metadata!", ADDRESS(INDEX($AI$2:$AI$1001,MATCH(ROWS($AG$2:AG793),$AG$2:$AG$1001,0),0), INDEX($AN$1004:$BO$1004,1,MATCH(COLUMNS($AN$1006:AU1006),$AN$1006:$BO$1006,0)))),"Fix")))</f>
        <v>0</v>
      </c>
      <c r="J793" s="4">
        <f>IF(OR(INDEX($AH$2:$AH$1001,MATCH(ROWS($AG$2:AG793),$AG$2:$AG$1001,0),1)&gt;=100000,INDEX($AN$1005:$BO$1005,1,MATCH(COLUMNS($AN$1006:AV1006),$AN$1006:$BO$1006,0))&gt;=100000), " ",IF(INDEX($AN$2:$BO$1001,MATCH(ROWS($AG$2:AG793),$AG$2:$AG$1001,0),MATCH(COLUMNS($AN$1006:AV1006),$AN$1006:$BO$1006,0)), HYPERLINK("#",""), HYPERLINK(CONCATENATE("#Metadata!", ADDRESS(INDEX($AI$2:$AI$1001,MATCH(ROWS($AG$2:AG793),$AG$2:$AG$1001,0),0), INDEX($AN$1004:$BO$1004,1,MATCH(COLUMNS($AN$1006:AV1006),$AN$1006:$BO$1006,0)))),"Fix")))</f>
        <v>0</v>
      </c>
      <c r="K793" s="4">
        <f>IF(OR(INDEX($AH$2:$AH$1001,MATCH(ROWS($AG$2:AG793),$AG$2:$AG$1001,0),1)&gt;=100000,INDEX($AN$1005:$BO$1005,1,MATCH(COLUMNS($AN$1006:AW1006),$AN$1006:$BO$1006,0))&gt;=100000), " ",IF(INDEX($AN$2:$BO$1001,MATCH(ROWS($AG$2:AG793),$AG$2:$AG$1001,0),MATCH(COLUMNS($AN$1006:AW1006),$AN$1006:$BO$1006,0)), HYPERLINK("#",""), HYPERLINK(CONCATENATE("#Metadata!", ADDRESS(INDEX($AI$2:$AI$1001,MATCH(ROWS($AG$2:AG793),$AG$2:$AG$1001,0),0), INDEX($AN$1004:$BO$1004,1,MATCH(COLUMNS($AN$1006:AW1006),$AN$1006:$BO$1006,0)))),"Fix")))</f>
        <v>0</v>
      </c>
      <c r="L793" s="4">
        <f>IF(OR(INDEX($AH$2:$AH$1001,MATCH(ROWS($AG$2:AG793),$AG$2:$AG$1001,0),1)&gt;=100000,INDEX($AN$1005:$BO$1005,1,MATCH(COLUMNS($AN$1006:AX1006),$AN$1006:$BO$1006,0))&gt;=100000), " ",IF(INDEX($AN$2:$BO$1001,MATCH(ROWS($AG$2:AG793),$AG$2:$AG$1001,0),MATCH(COLUMNS($AN$1006:AX1006),$AN$1006:$BO$1006,0)), HYPERLINK("#",""), HYPERLINK(CONCATENATE("#Metadata!", ADDRESS(INDEX($AI$2:$AI$1001,MATCH(ROWS($AG$2:AG793),$AG$2:$AG$1001,0),0), INDEX($AN$1004:$BO$1004,1,MATCH(COLUMNS($AN$1006:AX1006),$AN$1006:$BO$1006,0)))),"Fix")))</f>
        <v>0</v>
      </c>
      <c r="M793" s="4">
        <f>IF(OR(INDEX($AH$2:$AH$1001,MATCH(ROWS($AG$2:AG793),$AG$2:$AG$1001,0),1)&gt;=100000,INDEX($AN$1005:$BO$1005,1,MATCH(COLUMNS($AN$1006:AY1006),$AN$1006:$BO$1006,0))&gt;=100000), " ",IF(INDEX($AN$2:$BO$1001,MATCH(ROWS($AG$2:AG793),$AG$2:$AG$1001,0),MATCH(COLUMNS($AN$1006:AY1006),$AN$1006:$BO$1006,0)), HYPERLINK("#",""), HYPERLINK(CONCATENATE("#Metadata!", ADDRESS(INDEX($AI$2:$AI$1001,MATCH(ROWS($AG$2:AG793),$AG$2:$AG$1001,0),0), INDEX($AN$1004:$BO$1004,1,MATCH(COLUMNS($AN$1006:AY1006),$AN$1006:$BO$1006,0)))),"Fix")))</f>
        <v>0</v>
      </c>
      <c r="N793" s="4">
        <f>IF(OR(INDEX($AH$2:$AH$1001,MATCH(ROWS($AG$2:AG793),$AG$2:$AG$1001,0),1)&gt;=100000,INDEX($AN$1005:$BO$1005,1,MATCH(COLUMNS($AN$1006:AZ1006),$AN$1006:$BO$1006,0))&gt;=100000), " ",IF(INDEX($AN$2:$BO$1001,MATCH(ROWS($AG$2:AG793),$AG$2:$AG$1001,0),MATCH(COLUMNS($AN$1006:AZ1006),$AN$1006:$BO$1006,0)), HYPERLINK("#",""), HYPERLINK(CONCATENATE("#Metadata!", ADDRESS(INDEX($AI$2:$AI$1001,MATCH(ROWS($AG$2:AG793),$AG$2:$AG$1001,0),0), INDEX($AN$1004:$BO$1004,1,MATCH(COLUMNS($AN$1006:AZ1006),$AN$1006:$BO$1006,0)))),"Fix")))</f>
        <v>0</v>
      </c>
      <c r="O793" s="4">
        <f>IF(OR(INDEX($AH$2:$AH$1001,MATCH(ROWS($AG$2:AG793),$AG$2:$AG$1001,0),1)&gt;=100000,INDEX($AN$1005:$BO$1005,1,MATCH(COLUMNS($AN$1006:BA1006),$AN$1006:$BO$1006,0))&gt;=100000), " ",IF(INDEX($AN$2:$BO$1001,MATCH(ROWS($AG$2:AG793),$AG$2:$AG$1001,0),MATCH(COLUMNS($AN$1006:BA1006),$AN$1006:$BO$1006,0)), HYPERLINK("#",""), HYPERLINK(CONCATENATE("#Metadata!", ADDRESS(INDEX($AI$2:$AI$1001,MATCH(ROWS($AG$2:AG793),$AG$2:$AG$1001,0),0), INDEX($AN$1004:$BO$1004,1,MATCH(COLUMNS($AN$1006:BA1006),$AN$1006:$BO$1006,0)))),"Fix")))</f>
        <v>0</v>
      </c>
      <c r="P793" s="4">
        <f>IF(OR(INDEX($AH$2:$AH$1001,MATCH(ROWS($AG$2:AG793),$AG$2:$AG$1001,0),1)&gt;=100000,INDEX($AN$1005:$BO$1005,1,MATCH(COLUMNS($AN$1006:BB1006),$AN$1006:$BO$1006,0))&gt;=100000), " ",IF(INDEX($AN$2:$BO$1001,MATCH(ROWS($AG$2:AG793),$AG$2:$AG$1001,0),MATCH(COLUMNS($AN$1006:BB1006),$AN$1006:$BO$1006,0)), HYPERLINK("#",""), HYPERLINK(CONCATENATE("#Metadata!", ADDRESS(INDEX($AI$2:$AI$1001,MATCH(ROWS($AG$2:AG793),$AG$2:$AG$1001,0),0), INDEX($AN$1004:$BO$1004,1,MATCH(COLUMNS($AN$1006:BB1006),$AN$1006:$BO$1006,0)))),"Fix")))</f>
        <v>0</v>
      </c>
      <c r="Q793" s="4">
        <f>IF(OR(INDEX($AH$2:$AH$1001,MATCH(ROWS($AG$2:AG793),$AG$2:$AG$1001,0),1)&gt;=100000,INDEX($AN$1005:$BO$1005,1,MATCH(COLUMNS($AN$1006:BC1006),$AN$1006:$BO$1006,0))&gt;=100000), " ",IF(INDEX($AN$2:$BO$1001,MATCH(ROWS($AG$2:AG793),$AG$2:$AG$1001,0),MATCH(COLUMNS($AN$1006:BC1006),$AN$1006:$BO$1006,0)), HYPERLINK("#",""), HYPERLINK(CONCATENATE("#Metadata!", ADDRESS(INDEX($AI$2:$AI$1001,MATCH(ROWS($AG$2:AG793),$AG$2:$AG$1001,0),0), INDEX($AN$1004:$BO$1004,1,MATCH(COLUMNS($AN$1006:BC1006),$AN$1006:$BO$1006,0)))),"Fix")))</f>
        <v>0</v>
      </c>
      <c r="R793" s="4">
        <f>IF(OR(INDEX($AH$2:$AH$1001,MATCH(ROWS($AG$2:AG793),$AG$2:$AG$1001,0),1)&gt;=100000,INDEX($AN$1005:$BO$1005,1,MATCH(COLUMNS($AN$1006:BD1006),$AN$1006:$BO$1006,0))&gt;=100000), " ",IF(INDEX($AN$2:$BO$1001,MATCH(ROWS($AG$2:AG793),$AG$2:$AG$1001,0),MATCH(COLUMNS($AN$1006:BD1006),$AN$1006:$BO$1006,0)), HYPERLINK("#",""), HYPERLINK(CONCATENATE("#Metadata!", ADDRESS(INDEX($AI$2:$AI$1001,MATCH(ROWS($AG$2:AG793),$AG$2:$AG$1001,0),0), INDEX($AN$1004:$BO$1004,1,MATCH(COLUMNS($AN$1006:BD1006),$AN$1006:$BO$1006,0)))),"Fix")))</f>
        <v>0</v>
      </c>
      <c r="S793" s="4">
        <f>IF(OR(INDEX($AH$2:$AH$1001,MATCH(ROWS($AG$2:AG793),$AG$2:$AG$1001,0),1)&gt;=100000,INDEX($AN$1005:$BO$1005,1,MATCH(COLUMNS($AN$1006:BE1006),$AN$1006:$BO$1006,0))&gt;=100000), " ",IF(INDEX($AN$2:$BO$1001,MATCH(ROWS($AG$2:AG793),$AG$2:$AG$1001,0),MATCH(COLUMNS($AN$1006:BE1006),$AN$1006:$BO$1006,0)), HYPERLINK("#",""), HYPERLINK(CONCATENATE("#Metadata!", ADDRESS(INDEX($AI$2:$AI$1001,MATCH(ROWS($AG$2:AG793),$AG$2:$AG$1001,0),0), INDEX($AN$1004:$BO$1004,1,MATCH(COLUMNS($AN$1006:BE1006),$AN$1006:$BO$1006,0)))),"Fix")))</f>
        <v>0</v>
      </c>
      <c r="T793" s="4">
        <f>IF(OR(INDEX($AH$2:$AH$1001,MATCH(ROWS($AG$2:AG793),$AG$2:$AG$1001,0),1)&gt;=100000,INDEX($AN$1005:$BO$1005,1,MATCH(COLUMNS($AN$1006:BF1006),$AN$1006:$BO$1006,0))&gt;=100000), " ",IF(INDEX($AN$2:$BO$1001,MATCH(ROWS($AG$2:AG793),$AG$2:$AG$1001,0),MATCH(COLUMNS($AN$1006:BF1006),$AN$1006:$BO$1006,0)), HYPERLINK("#",""), HYPERLINK(CONCATENATE("#Metadata!", ADDRESS(INDEX($AI$2:$AI$1001,MATCH(ROWS($AG$2:AG793),$AG$2:$AG$1001,0),0), INDEX($AN$1004:$BO$1004,1,MATCH(COLUMNS($AN$1006:BF1006),$AN$1006:$BO$1006,0)))),"Fix")))</f>
        <v>0</v>
      </c>
      <c r="U793" s="4">
        <f>IF(OR(INDEX($AH$2:$AH$1001,MATCH(ROWS($AG$2:AG793),$AG$2:$AG$1001,0),1)&gt;=100000,INDEX($AN$1005:$BO$1005,1,MATCH(COLUMNS($AN$1006:BG1006),$AN$1006:$BO$1006,0))&gt;=100000), " ",IF(INDEX($AN$2:$BO$1001,MATCH(ROWS($AG$2:AG793),$AG$2:$AG$1001,0),MATCH(COLUMNS($AN$1006:BG1006),$AN$1006:$BO$1006,0)), HYPERLINK("#",""), HYPERLINK(CONCATENATE("#Metadata!", ADDRESS(INDEX($AI$2:$AI$1001,MATCH(ROWS($AG$2:AG793),$AG$2:$AG$1001,0),0), INDEX($AN$1004:$BO$1004,1,MATCH(COLUMNS($AN$1006:BG1006),$AN$1006:$BO$1006,0)))),"Fix")))</f>
        <v>0</v>
      </c>
      <c r="V793" s="4">
        <f>IF(OR(INDEX($AH$2:$AH$1001,MATCH(ROWS($AG$2:AG793),$AG$2:$AG$1001,0),1)&gt;=100000,INDEX($AN$1005:$BO$1005,1,MATCH(COLUMNS($AN$1006:BH1006),$AN$1006:$BO$1006,0))&gt;=100000), " ",IF(INDEX($AN$2:$BO$1001,MATCH(ROWS($AG$2:AG793),$AG$2:$AG$1001,0),MATCH(COLUMNS($AN$1006:BH1006),$AN$1006:$BO$1006,0)), HYPERLINK("#",""), HYPERLINK(CONCATENATE("#Metadata!", ADDRESS(INDEX($AI$2:$AI$1001,MATCH(ROWS($AG$2:AG793),$AG$2:$AG$1001,0),0), INDEX($AN$1004:$BO$1004,1,MATCH(COLUMNS($AN$1006:BH1006),$AN$1006:$BO$1006,0)))),"Fix")))</f>
        <v>0</v>
      </c>
      <c r="W793" s="4">
        <f>IF(OR(INDEX($AH$2:$AH$1001,MATCH(ROWS($AG$2:AG793),$AG$2:$AG$1001,0),1)&gt;=100000,INDEX($AN$1005:$BO$1005,1,MATCH(COLUMNS($AN$1006:BI1006),$AN$1006:$BO$1006,0))&gt;=100000), " ",IF(INDEX($AN$2:$BO$1001,MATCH(ROWS($AG$2:AG793),$AG$2:$AG$1001,0),MATCH(COLUMNS($AN$1006:BI1006),$AN$1006:$BO$1006,0)), HYPERLINK("#",""), HYPERLINK(CONCATENATE("#Metadata!", ADDRESS(INDEX($AI$2:$AI$1001,MATCH(ROWS($AG$2:AG793),$AG$2:$AG$1001,0),0), INDEX($AN$1004:$BO$1004,1,MATCH(COLUMNS($AN$1006:BI1006),$AN$1006:$BO$1006,0)))),"Fix")))</f>
        <v>0</v>
      </c>
      <c r="X793" s="4">
        <f>IF(OR(INDEX($AH$2:$AH$1001,MATCH(ROWS($AG$2:AG793),$AG$2:$AG$1001,0),1)&gt;=100000,INDEX($AN$1005:$BO$1005,1,MATCH(COLUMNS($AN$1006:BJ1006),$AN$1006:$BO$1006,0))&gt;=100000), " ",IF(INDEX($AN$2:$BO$1001,MATCH(ROWS($AG$2:AG793),$AG$2:$AG$1001,0),MATCH(COLUMNS($AN$1006:BJ1006),$AN$1006:$BO$1006,0)), HYPERLINK("#",""), HYPERLINK(CONCATENATE("#Metadata!", ADDRESS(INDEX($AI$2:$AI$1001,MATCH(ROWS($AG$2:AG793),$AG$2:$AG$1001,0),0), INDEX($AN$1004:$BO$1004,1,MATCH(COLUMNS($AN$1006:BJ1006),$AN$1006:$BO$1006,0)))),"Fix")))</f>
        <v>0</v>
      </c>
      <c r="Y793" s="4">
        <f>IF(OR(INDEX($AH$2:$AH$1001,MATCH(ROWS($AG$2:AG793),$AG$2:$AG$1001,0),1)&gt;=100000,INDEX($AN$1005:$BO$1005,1,MATCH(COLUMNS($AN$1006:BK1006),$AN$1006:$BO$1006,0))&gt;=100000), " ",IF(INDEX($AN$2:$BO$1001,MATCH(ROWS($AG$2:AG793),$AG$2:$AG$1001,0),MATCH(COLUMNS($AN$1006:BK1006),$AN$1006:$BO$1006,0)), HYPERLINK("#",""), HYPERLINK(CONCATENATE("#Metadata!", ADDRESS(INDEX($AI$2:$AI$1001,MATCH(ROWS($AG$2:AG793),$AG$2:$AG$1001,0),0), INDEX($AN$1004:$BO$1004,1,MATCH(COLUMNS($AN$1006:BK1006),$AN$1006:$BO$1006,0)))),"Fix")))</f>
        <v>0</v>
      </c>
      <c r="Z793" s="4">
        <f>IF(OR(INDEX($AH$2:$AH$1001,MATCH(ROWS($AG$2:AG793),$AG$2:$AG$1001,0),1)&gt;=100000,INDEX($AN$1005:$BO$1005,1,MATCH(COLUMNS($AN$1006:BL1006),$AN$1006:$BO$1006,0))&gt;=100000), " ",IF(INDEX($AN$2:$BO$1001,MATCH(ROWS($AG$2:AG793),$AG$2:$AG$1001,0),MATCH(COLUMNS($AN$1006:BL1006),$AN$1006:$BO$1006,0)), HYPERLINK("#",""), HYPERLINK(CONCATENATE("#Metadata!", ADDRESS(INDEX($AI$2:$AI$1001,MATCH(ROWS($AG$2:AG793),$AG$2:$AG$1001,0),0), INDEX($AN$1004:$BO$1004,1,MATCH(COLUMNS($AN$1006:BL1006),$AN$1006:$BO$1006,0)))),"Fix")))</f>
        <v>0</v>
      </c>
      <c r="AA793" s="4">
        <f>IF(OR(INDEX($AH$2:$AH$1001,MATCH(ROWS($AG$2:AG793),$AG$2:$AG$1001,0),1)&gt;=100000,INDEX($AN$1005:$BO$1005,1,MATCH(COLUMNS($AN$1006:BM1006),$AN$1006:$BO$1006,0))&gt;=100000), " ",IF(INDEX($AN$2:$BO$1001,MATCH(ROWS($AG$2:AG793),$AG$2:$AG$1001,0),MATCH(COLUMNS($AN$1006:BM1006),$AN$1006:$BO$1006,0)), HYPERLINK("#",""), HYPERLINK(CONCATENATE("#Metadata!", ADDRESS(INDEX($AI$2:$AI$1001,MATCH(ROWS($AG$2:AG793),$AG$2:$AG$1001,0),0), INDEX($AN$1004:$BO$1004,1,MATCH(COLUMNS($AN$1006:BM1006),$AN$1006:$BO$1006,0)))),"Fix")))</f>
        <v>0</v>
      </c>
      <c r="AB793" s="4">
        <f>IF(OR(INDEX($AH$2:$AH$1001,MATCH(ROWS($AG$2:AG793),$AG$2:$AG$1001,0),1)&gt;=100000,INDEX($AN$1005:$BO$1005,1,MATCH(COLUMNS($AN$1006:BN1006),$AN$1006:$BO$1006,0))&gt;=100000), " ",IF(INDEX($AN$2:$BO$1001,MATCH(ROWS($AG$2:AG793),$AG$2:$AG$1001,0),MATCH(COLUMNS($AN$1006:BN1006),$AN$1006:$BO$1006,0)), HYPERLINK("#",""), HYPERLINK(CONCATENATE("#Metadata!", ADDRESS(INDEX($AI$2:$AI$1001,MATCH(ROWS($AG$2:AG793),$AG$2:$AG$1001,0),0), INDEX($AN$1004:$BO$1004,1,MATCH(COLUMNS($AN$1006:BN1006),$AN$1006:$BO$1006,0)))),"Fix")))</f>
        <v>0</v>
      </c>
      <c r="AC793" s="4">
        <f>IF(OR(INDEX($AH$2:$AH$1001,MATCH(ROWS($AG$2:AG793),$AG$2:$AG$1001,0),1)&gt;=100000,INDEX($AN$1005:$BO$1005,1,MATCH(COLUMNS($AN$1006:BO1006),$AN$1006:$BO$1006,0))&gt;=100000), " ",IF(INDEX($AN$2:$BO$1001,MATCH(ROWS($AG$2:AG793),$AG$2:$AG$1001,0),MATCH(COLUMNS($AN$1006:BO1006),$AN$1006:$BO$1006,0)), HYPERLINK("#",""), HYPERLINK(CONCATENATE("#Metadata!", ADDRESS(INDEX($AI$2:$AI$1001,MATCH(ROWS($AG$2:AG793),$AG$2:$AG$1001,0),0), INDEX($AN$1004:$BO$1004,1,MATCH(COLUMNS($AN$1006:BO1006),$AN$1006:$BO$1006,0)))),"Fix")))</f>
        <v>0</v>
      </c>
      <c r="AG793">
        <v>0</v>
      </c>
      <c r="AH793">
        <v>0</v>
      </c>
      <c r="AI793">
        <v>0</v>
      </c>
      <c r="AJ793">
        <f>IF(AK793,TRUE,AND(AN793:BO793))</f>
        <v>0</v>
      </c>
      <c r="AK793">
        <f>COUNTBLANK(Metadata!B793:AC793)=COLUMNS(Metadata!B793:AC793)</f>
        <v>0</v>
      </c>
      <c r="AL793">
        <v>0</v>
      </c>
      <c r="AN793">
        <f>AND(IF(Metadata!B793="",FALSE,TRUE),COUNTIF(Metadata!B:B, Metadata!B793) = 1,NOT(ISERROR(SUMPRODUCT(SEARCH(MID(Metadata!B793,ROW(INDIRECT("1:"&amp;LEN(Metadata!B793))), 1),"0123456789abcdefghijklmnopqrstuvwxyzABCDEFGHIJKLMNOPQRSTUVWXYZ.")))))</f>
        <v>0</v>
      </c>
      <c r="AO793">
        <f>IF(Metadata!C793="",FALSE,TRUE)</f>
        <v>0</v>
      </c>
      <c r="AP793">
        <f>IF(Metadata!D793="",FALSE,TRUE)</f>
        <v>0</v>
      </c>
      <c r="AQ793">
        <f>OR(AND(IF(Metadata!E793="",FALSE,TRUE),OR(exact(Metadata!E793,"not collected"),exact(Metadata!E793,"not provided"),exact(Metadata!E793,"restricted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R793">
        <f>IF(Metadata!F793="",FALSE,TRUE)</f>
        <v>0</v>
      </c>
      <c r="AS793">
        <f>OR(AND(IF(Metadata!G793="",FALSE,TRUE),OR(exact(Metadata!G793,"not collected"),exact(Metadata!G793,"not provided"))),AND(IF(Metadata!G793="",FALSE,TRUE),OR(exact(Metadata!G793,"TRUE"),exact(Metadata!G793,"FALSE"))))</f>
        <v>0</v>
      </c>
      <c r="AT793">
        <f>OR(AND(IF(Metadata!H793="",FALSE,TRUE),OR(exact(Metadata!H793,"not collected"),exact(Metadata!H793,"not provided"),exact(Metadata!H793,"restricted access"))),AND(IF(Metadata!H793="",FALSE,ISNUMBER(VALUE(Metadata!H793))),Metadata!H793&gt;=-413.0))</f>
        <v>0</v>
      </c>
      <c r="AU793">
        <f>AND(IF(Metadata!I793="",FALSE,TRUE),exact(Metadata!I793,"meters"))</f>
        <v>0</v>
      </c>
      <c r="AV793">
        <f>AND(IF(Metadata!J793="",FALSE,TRUE),OR(exact(Metadata!J793,"Host-associated"),exact(Metadata!J793,"Free-living")))</f>
        <v>0</v>
      </c>
      <c r="AW793">
        <f>AND(IF(Metadata!K793="",FALSE,TRUE),OR(exact(Metadata!K793,"Animal"),exact(Metadata!K793,"Fungus"),exact(Metadata!K793,"Plant"),exact(Metadata!K793,"Saline"),exact(Metadata!K793,"Non-saline")))</f>
        <v>0</v>
      </c>
      <c r="AX793">
        <f>AND(IF(Metadata!L793="",FALSE,TRUE),OR(exact(Metadata!L793,"Plant secretion"),exact(Metadata!L793,"Plant rhizosphere"),exact(Metadata!L793,"Plant surface"),exact(Metadata!L793,"Plant corpus"),exact(Metadata!L793,"Fungus surface"),exact(Metadata!L793,"Fungus corpus"),exact(Metadata!L793,"Animal surface"),exact(Metadata!L793,"Animal proximal gut"),exact(Metadata!L793,"Animal corpus"),exact(Metadata!L793,"Animal distal gut"),exact(Metadata!L793,"Animal secretion"),exact(Metadata!L793,"Sub-surface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Y793">
        <f>IF(Metadata!M793="",FALSE,TRUE)</f>
        <v>0</v>
      </c>
      <c r="AZ793">
        <f>IF(Metadata!N793="",FALSE,TRUE)</f>
        <v>0</v>
      </c>
      <c r="BA793">
        <f>IF(Metadata!O793="",FALSE,TRUE)</f>
        <v>0</v>
      </c>
      <c r="BB793">
        <f>OR(AND(IF(Metadata!P793="",FALSE,TRUE),OR(exact(Metadata!P793,"not collected"),exact(Metadata!P793,"not provided"),exact(Metadata!P793,"restricted access"))),AND(IF(Metadata!P793="",FALSE,TRUE),OR(exact(Metadata!P793,"air"),exact(Metadata!P793,"built environment"),exact(Metadata!P793,"host-associated"),exact(Metadata!P793,"human-associated"),exact(Metadata!P793,"human-skin"),exact(Metadata!P793,"human-oral"),exact(Metadata!P793,"human-gut"),exact(Metadata!P793,"human-vaginal"),exact(Metadata!P793,"microbial mat/biofilm"),exact(Metadata!P793,"misc environment"),exact(Metadata!P793,"plant-associated"),exact(Metadata!P793,"sediment"),exact(Metadata!P793,"soil"),exact(Metadata!P793,"wastewater/sludge"),exact(Metadata!P793,"water"))))</f>
        <v>0</v>
      </c>
      <c r="BC793">
        <f>IF(Metadata!Q793="",FALSE,TRUE)</f>
        <v>0</v>
      </c>
      <c r="BD793">
        <f>IF(Metadata!R793="",FALSE,TRUE)</f>
        <v>0</v>
      </c>
      <c r="BE793">
        <f>OR(AND(IF(Metadata!S793="",FALSE,TRUE),OR(exact(Metadata!S793,"not collected"),exact(Metadata!S793,"not provided"),exact(Metadata!S793,"restricted access"))),AND(IF(Metadata!S793="",FALSE,ISNUMBER(VALUE(Metadata!S793))),Metadata!S793&gt;=-90.00,Metadata!S793&lt;=90.00))</f>
        <v>0</v>
      </c>
      <c r="BF793">
        <f>AND(IF(Metadata!T793="",FALSE,TRUE),exact(Metadata!T793,"Decimal degrees"))</f>
        <v>0</v>
      </c>
      <c r="BG793">
        <f>OR(AND(IF(Metadata!U793="",FALSE,TRUE),OR(exact(Metadata!U793,"not collected"),exact(Metadata!U793,"not provided"),exact(Metadata!U793,"restricted access"))),AND(IF(Metadata!U793="",FALSE,ISNUMBER(VALUE(Metadata!U793))),Metadata!U793&gt;=-180.00,Metadata!U793&lt;=180.00))</f>
        <v>0</v>
      </c>
      <c r="BH793">
        <f>AND(IF(Metadata!V793="",FALSE,TRUE),exact(Metadata!V793,"Decimal degrees"))</f>
        <v>0</v>
      </c>
      <c r="BI793">
        <f>IF(Metadata!W793="",FALSE,TRUE)</f>
        <v>0</v>
      </c>
      <c r="BJ793">
        <f>OR(AND(IF(Metadata!X793="",FALSE,TRUE),OR(exact(Metadata!X793,"not collected"),exact(Metadata!X793,"not provided"),exact(Metadata!X793,"restricted access"))),AND(IF(Metadata!X793="",FALSE,TRUE),OR(exact(Metadata!X793,"TRUE"),exact(Metadata!X793,"FALSE"))))</f>
        <v>0</v>
      </c>
      <c r="BK793">
        <f>AND(IF(Metadata!Y793="",FALSE,TRUE),exact(Metadata!Y793,"other"))</f>
        <v>0</v>
      </c>
      <c r="BL793">
        <f>IF(Metadata!Z793="",FALSE,TRUE)</f>
        <v>0</v>
      </c>
      <c r="BM793">
        <f>OR(AND(IF(Metadata!AA793="",FALSE,TRUE),OR(exact(Metadata!AA793,"not collected"),exact(Metadata!AA793,"not provided"))),AND(IF(Metadata!AA793="",FALSE,IF(ISERROR(INT(Metadata!AA793)),FALSE,INT(Metadata!AA793)=Metadata!AA793)),Metadata!AA793&gt;0))</f>
        <v>0</v>
      </c>
      <c r="BN793">
        <f>AND(IF(Metadata!AB793="",FALSE,TRUE),exact(Metadata!AB793,"Not applicable"))</f>
        <v>0</v>
      </c>
      <c r="BO793">
        <f>IF(Metadata!AC793="",FALSE,TRUE)</f>
        <v>0</v>
      </c>
    </row>
    <row r="794" spans="1:67">
      <c r="A794" s="5">
        <f>IF(B794=" "," ",HYPERLINK(CONCATENATE("#metadata!",ADDRESS(INDEX($AI$2:$AI$1001,MATCH(ROWS($AG$2:AG794),$AG$2:$AG$1001,0),0),1)),INDEX($AL$2:$AL$1001,MATCH(ROWS($AG$2:AG794),$AG$2:$AG$1001,0),0)))</f>
        <v>0</v>
      </c>
      <c r="B794" s="4">
        <f>IF(OR(INDEX($AH$2:$AH$1001,MATCH(ROWS($AG$2:AG794),$AG$2:$AG$1001,0),1)&gt;=100000,INDEX($AN$1005:$BO$1005,1,MATCH(COLUMNS($AN$1006:AN1006),$AN$1006:$BO$1006,0))&gt;=100000), " ",IF(INDEX($AN$2:$BO$1001,MATCH(ROWS($AG$2:AG794),$AG$2:$AG$1001,0),MATCH(COLUMNS($AN$1006:AN1006),$AN$1006:$BO$1006,0)), HYPERLINK("#",""), HYPERLINK(CONCATENATE("#Metadata!", ADDRESS(INDEX($AI$2:$AI$1001,MATCH(ROWS($AG$2:AG794),$AG$2:$AG$1001,0),0), INDEX($AN$1004:$BO$1004,1,MATCH(COLUMNS($AN$1006:AN1006),$AN$1006:$BO$1006,0)))),"Fix")))</f>
        <v>0</v>
      </c>
      <c r="C794" s="4">
        <f>IF(OR(INDEX($AH$2:$AH$1001,MATCH(ROWS($AG$2:AG794),$AG$2:$AG$1001,0),1)&gt;=100000,INDEX($AN$1005:$BO$1005,1,MATCH(COLUMNS($AN$1006:AO1006),$AN$1006:$BO$1006,0))&gt;=100000), " ",IF(INDEX($AN$2:$BO$1001,MATCH(ROWS($AG$2:AG794),$AG$2:$AG$1001,0),MATCH(COLUMNS($AN$1006:AO1006),$AN$1006:$BO$1006,0)), HYPERLINK("#",""), HYPERLINK(CONCATENATE("#Metadata!", ADDRESS(INDEX($AI$2:$AI$1001,MATCH(ROWS($AG$2:AG794),$AG$2:$AG$1001,0),0), INDEX($AN$1004:$BO$1004,1,MATCH(COLUMNS($AN$1006:AO1006),$AN$1006:$BO$1006,0)))),"Fix")))</f>
        <v>0</v>
      </c>
      <c r="D794" s="4">
        <f>IF(OR(INDEX($AH$2:$AH$1001,MATCH(ROWS($AG$2:AG794),$AG$2:$AG$1001,0),1)&gt;=100000,INDEX($AN$1005:$BO$1005,1,MATCH(COLUMNS($AN$1006:AP1006),$AN$1006:$BO$1006,0))&gt;=100000), " ",IF(INDEX($AN$2:$BO$1001,MATCH(ROWS($AG$2:AG794),$AG$2:$AG$1001,0),MATCH(COLUMNS($AN$1006:AP1006),$AN$1006:$BO$1006,0)), HYPERLINK("#",""), HYPERLINK(CONCATENATE("#Metadata!", ADDRESS(INDEX($AI$2:$AI$1001,MATCH(ROWS($AG$2:AG794),$AG$2:$AG$1001,0),0), INDEX($AN$1004:$BO$1004,1,MATCH(COLUMNS($AN$1006:AP1006),$AN$1006:$BO$1006,0)))),"Fix")))</f>
        <v>0</v>
      </c>
      <c r="E794" s="4">
        <f>IF(OR(INDEX($AH$2:$AH$1001,MATCH(ROWS($AG$2:AG794),$AG$2:$AG$1001,0),1)&gt;=100000,INDEX($AN$1005:$BO$1005,1,MATCH(COLUMNS($AN$1006:AQ1006),$AN$1006:$BO$1006,0))&gt;=100000), " ",IF(INDEX($AN$2:$BO$1001,MATCH(ROWS($AG$2:AG794),$AG$2:$AG$1001,0),MATCH(COLUMNS($AN$1006:AQ1006),$AN$1006:$BO$1006,0)), HYPERLINK("#",""), HYPERLINK(CONCATENATE("#Metadata!", ADDRESS(INDEX($AI$2:$AI$1001,MATCH(ROWS($AG$2:AG794),$AG$2:$AG$1001,0),0), INDEX($AN$1004:$BO$1004,1,MATCH(COLUMNS($AN$1006:AQ1006),$AN$1006:$BO$1006,0)))),"Fix")))</f>
        <v>0</v>
      </c>
      <c r="F794" s="4">
        <f>IF(OR(INDEX($AH$2:$AH$1001,MATCH(ROWS($AG$2:AG794),$AG$2:$AG$1001,0),1)&gt;=100000,INDEX($AN$1005:$BO$1005,1,MATCH(COLUMNS($AN$1006:AR1006),$AN$1006:$BO$1006,0))&gt;=100000), " ",IF(INDEX($AN$2:$BO$1001,MATCH(ROWS($AG$2:AG794),$AG$2:$AG$1001,0),MATCH(COLUMNS($AN$1006:AR1006),$AN$1006:$BO$1006,0)), HYPERLINK("#",""), HYPERLINK(CONCATENATE("#Metadata!", ADDRESS(INDEX($AI$2:$AI$1001,MATCH(ROWS($AG$2:AG794),$AG$2:$AG$1001,0),0), INDEX($AN$1004:$BO$1004,1,MATCH(COLUMNS($AN$1006:AR1006),$AN$1006:$BO$1006,0)))),"Fix")))</f>
        <v>0</v>
      </c>
      <c r="G794" s="4">
        <f>IF(OR(INDEX($AH$2:$AH$1001,MATCH(ROWS($AG$2:AG794),$AG$2:$AG$1001,0),1)&gt;=100000,INDEX($AN$1005:$BO$1005,1,MATCH(COLUMNS($AN$1006:AS1006),$AN$1006:$BO$1006,0))&gt;=100000), " ",IF(INDEX($AN$2:$BO$1001,MATCH(ROWS($AG$2:AG794),$AG$2:$AG$1001,0),MATCH(COLUMNS($AN$1006:AS1006),$AN$1006:$BO$1006,0)), HYPERLINK("#",""), HYPERLINK(CONCATENATE("#Metadata!", ADDRESS(INDEX($AI$2:$AI$1001,MATCH(ROWS($AG$2:AG794),$AG$2:$AG$1001,0),0), INDEX($AN$1004:$BO$1004,1,MATCH(COLUMNS($AN$1006:AS1006),$AN$1006:$BO$1006,0)))),"Fix")))</f>
        <v>0</v>
      </c>
      <c r="H794" s="4">
        <f>IF(OR(INDEX($AH$2:$AH$1001,MATCH(ROWS($AG$2:AG794),$AG$2:$AG$1001,0),1)&gt;=100000,INDEX($AN$1005:$BO$1005,1,MATCH(COLUMNS($AN$1006:AT1006),$AN$1006:$BO$1006,0))&gt;=100000), " ",IF(INDEX($AN$2:$BO$1001,MATCH(ROWS($AG$2:AG794),$AG$2:$AG$1001,0),MATCH(COLUMNS($AN$1006:AT1006),$AN$1006:$BO$1006,0)), HYPERLINK("#",""), HYPERLINK(CONCATENATE("#Metadata!", ADDRESS(INDEX($AI$2:$AI$1001,MATCH(ROWS($AG$2:AG794),$AG$2:$AG$1001,0),0), INDEX($AN$1004:$BO$1004,1,MATCH(COLUMNS($AN$1006:AT1006),$AN$1006:$BO$1006,0)))),"Fix")))</f>
        <v>0</v>
      </c>
      <c r="I794" s="4">
        <f>IF(OR(INDEX($AH$2:$AH$1001,MATCH(ROWS($AG$2:AG794),$AG$2:$AG$1001,0),1)&gt;=100000,INDEX($AN$1005:$BO$1005,1,MATCH(COLUMNS($AN$1006:AU1006),$AN$1006:$BO$1006,0))&gt;=100000), " ",IF(INDEX($AN$2:$BO$1001,MATCH(ROWS($AG$2:AG794),$AG$2:$AG$1001,0),MATCH(COLUMNS($AN$1006:AU1006),$AN$1006:$BO$1006,0)), HYPERLINK("#",""), HYPERLINK(CONCATENATE("#Metadata!", ADDRESS(INDEX($AI$2:$AI$1001,MATCH(ROWS($AG$2:AG794),$AG$2:$AG$1001,0),0), INDEX($AN$1004:$BO$1004,1,MATCH(COLUMNS($AN$1006:AU1006),$AN$1006:$BO$1006,0)))),"Fix")))</f>
        <v>0</v>
      </c>
      <c r="J794" s="4">
        <f>IF(OR(INDEX($AH$2:$AH$1001,MATCH(ROWS($AG$2:AG794),$AG$2:$AG$1001,0),1)&gt;=100000,INDEX($AN$1005:$BO$1005,1,MATCH(COLUMNS($AN$1006:AV1006),$AN$1006:$BO$1006,0))&gt;=100000), " ",IF(INDEX($AN$2:$BO$1001,MATCH(ROWS($AG$2:AG794),$AG$2:$AG$1001,0),MATCH(COLUMNS($AN$1006:AV1006),$AN$1006:$BO$1006,0)), HYPERLINK("#",""), HYPERLINK(CONCATENATE("#Metadata!", ADDRESS(INDEX($AI$2:$AI$1001,MATCH(ROWS($AG$2:AG794),$AG$2:$AG$1001,0),0), INDEX($AN$1004:$BO$1004,1,MATCH(COLUMNS($AN$1006:AV1006),$AN$1006:$BO$1006,0)))),"Fix")))</f>
        <v>0</v>
      </c>
      <c r="K794" s="4">
        <f>IF(OR(INDEX($AH$2:$AH$1001,MATCH(ROWS($AG$2:AG794),$AG$2:$AG$1001,0),1)&gt;=100000,INDEX($AN$1005:$BO$1005,1,MATCH(COLUMNS($AN$1006:AW1006),$AN$1006:$BO$1006,0))&gt;=100000), " ",IF(INDEX($AN$2:$BO$1001,MATCH(ROWS($AG$2:AG794),$AG$2:$AG$1001,0),MATCH(COLUMNS($AN$1006:AW1006),$AN$1006:$BO$1006,0)), HYPERLINK("#",""), HYPERLINK(CONCATENATE("#Metadata!", ADDRESS(INDEX($AI$2:$AI$1001,MATCH(ROWS($AG$2:AG794),$AG$2:$AG$1001,0),0), INDEX($AN$1004:$BO$1004,1,MATCH(COLUMNS($AN$1006:AW1006),$AN$1006:$BO$1006,0)))),"Fix")))</f>
        <v>0</v>
      </c>
      <c r="L794" s="4">
        <f>IF(OR(INDEX($AH$2:$AH$1001,MATCH(ROWS($AG$2:AG794),$AG$2:$AG$1001,0),1)&gt;=100000,INDEX($AN$1005:$BO$1005,1,MATCH(COLUMNS($AN$1006:AX1006),$AN$1006:$BO$1006,0))&gt;=100000), " ",IF(INDEX($AN$2:$BO$1001,MATCH(ROWS($AG$2:AG794),$AG$2:$AG$1001,0),MATCH(COLUMNS($AN$1006:AX1006),$AN$1006:$BO$1006,0)), HYPERLINK("#",""), HYPERLINK(CONCATENATE("#Metadata!", ADDRESS(INDEX($AI$2:$AI$1001,MATCH(ROWS($AG$2:AG794),$AG$2:$AG$1001,0),0), INDEX($AN$1004:$BO$1004,1,MATCH(COLUMNS($AN$1006:AX1006),$AN$1006:$BO$1006,0)))),"Fix")))</f>
        <v>0</v>
      </c>
      <c r="M794" s="4">
        <f>IF(OR(INDEX($AH$2:$AH$1001,MATCH(ROWS($AG$2:AG794),$AG$2:$AG$1001,0),1)&gt;=100000,INDEX($AN$1005:$BO$1005,1,MATCH(COLUMNS($AN$1006:AY1006),$AN$1006:$BO$1006,0))&gt;=100000), " ",IF(INDEX($AN$2:$BO$1001,MATCH(ROWS($AG$2:AG794),$AG$2:$AG$1001,0),MATCH(COLUMNS($AN$1006:AY1006),$AN$1006:$BO$1006,0)), HYPERLINK("#",""), HYPERLINK(CONCATENATE("#Metadata!", ADDRESS(INDEX($AI$2:$AI$1001,MATCH(ROWS($AG$2:AG794),$AG$2:$AG$1001,0),0), INDEX($AN$1004:$BO$1004,1,MATCH(COLUMNS($AN$1006:AY1006),$AN$1006:$BO$1006,0)))),"Fix")))</f>
        <v>0</v>
      </c>
      <c r="N794" s="4">
        <f>IF(OR(INDEX($AH$2:$AH$1001,MATCH(ROWS($AG$2:AG794),$AG$2:$AG$1001,0),1)&gt;=100000,INDEX($AN$1005:$BO$1005,1,MATCH(COLUMNS($AN$1006:AZ1006),$AN$1006:$BO$1006,0))&gt;=100000), " ",IF(INDEX($AN$2:$BO$1001,MATCH(ROWS($AG$2:AG794),$AG$2:$AG$1001,0),MATCH(COLUMNS($AN$1006:AZ1006),$AN$1006:$BO$1006,0)), HYPERLINK("#",""), HYPERLINK(CONCATENATE("#Metadata!", ADDRESS(INDEX($AI$2:$AI$1001,MATCH(ROWS($AG$2:AG794),$AG$2:$AG$1001,0),0), INDEX($AN$1004:$BO$1004,1,MATCH(COLUMNS($AN$1006:AZ1006),$AN$1006:$BO$1006,0)))),"Fix")))</f>
        <v>0</v>
      </c>
      <c r="O794" s="4">
        <f>IF(OR(INDEX($AH$2:$AH$1001,MATCH(ROWS($AG$2:AG794),$AG$2:$AG$1001,0),1)&gt;=100000,INDEX($AN$1005:$BO$1005,1,MATCH(COLUMNS($AN$1006:BA1006),$AN$1006:$BO$1006,0))&gt;=100000), " ",IF(INDEX($AN$2:$BO$1001,MATCH(ROWS($AG$2:AG794),$AG$2:$AG$1001,0),MATCH(COLUMNS($AN$1006:BA1006),$AN$1006:$BO$1006,0)), HYPERLINK("#",""), HYPERLINK(CONCATENATE("#Metadata!", ADDRESS(INDEX($AI$2:$AI$1001,MATCH(ROWS($AG$2:AG794),$AG$2:$AG$1001,0),0), INDEX($AN$1004:$BO$1004,1,MATCH(COLUMNS($AN$1006:BA1006),$AN$1006:$BO$1006,0)))),"Fix")))</f>
        <v>0</v>
      </c>
      <c r="P794" s="4">
        <f>IF(OR(INDEX($AH$2:$AH$1001,MATCH(ROWS($AG$2:AG794),$AG$2:$AG$1001,0),1)&gt;=100000,INDEX($AN$1005:$BO$1005,1,MATCH(COLUMNS($AN$1006:BB1006),$AN$1006:$BO$1006,0))&gt;=100000), " ",IF(INDEX($AN$2:$BO$1001,MATCH(ROWS($AG$2:AG794),$AG$2:$AG$1001,0),MATCH(COLUMNS($AN$1006:BB1006),$AN$1006:$BO$1006,0)), HYPERLINK("#",""), HYPERLINK(CONCATENATE("#Metadata!", ADDRESS(INDEX($AI$2:$AI$1001,MATCH(ROWS($AG$2:AG794),$AG$2:$AG$1001,0),0), INDEX($AN$1004:$BO$1004,1,MATCH(COLUMNS($AN$1006:BB1006),$AN$1006:$BO$1006,0)))),"Fix")))</f>
        <v>0</v>
      </c>
      <c r="Q794" s="4">
        <f>IF(OR(INDEX($AH$2:$AH$1001,MATCH(ROWS($AG$2:AG794),$AG$2:$AG$1001,0),1)&gt;=100000,INDEX($AN$1005:$BO$1005,1,MATCH(COLUMNS($AN$1006:BC1006),$AN$1006:$BO$1006,0))&gt;=100000), " ",IF(INDEX($AN$2:$BO$1001,MATCH(ROWS($AG$2:AG794),$AG$2:$AG$1001,0),MATCH(COLUMNS($AN$1006:BC1006),$AN$1006:$BO$1006,0)), HYPERLINK("#",""), HYPERLINK(CONCATENATE("#Metadata!", ADDRESS(INDEX($AI$2:$AI$1001,MATCH(ROWS($AG$2:AG794),$AG$2:$AG$1001,0),0), INDEX($AN$1004:$BO$1004,1,MATCH(COLUMNS($AN$1006:BC1006),$AN$1006:$BO$1006,0)))),"Fix")))</f>
        <v>0</v>
      </c>
      <c r="R794" s="4">
        <f>IF(OR(INDEX($AH$2:$AH$1001,MATCH(ROWS($AG$2:AG794),$AG$2:$AG$1001,0),1)&gt;=100000,INDEX($AN$1005:$BO$1005,1,MATCH(COLUMNS($AN$1006:BD1006),$AN$1006:$BO$1006,0))&gt;=100000), " ",IF(INDEX($AN$2:$BO$1001,MATCH(ROWS($AG$2:AG794),$AG$2:$AG$1001,0),MATCH(COLUMNS($AN$1006:BD1006),$AN$1006:$BO$1006,0)), HYPERLINK("#",""), HYPERLINK(CONCATENATE("#Metadata!", ADDRESS(INDEX($AI$2:$AI$1001,MATCH(ROWS($AG$2:AG794),$AG$2:$AG$1001,0),0), INDEX($AN$1004:$BO$1004,1,MATCH(COLUMNS($AN$1006:BD1006),$AN$1006:$BO$1006,0)))),"Fix")))</f>
        <v>0</v>
      </c>
      <c r="S794" s="4">
        <f>IF(OR(INDEX($AH$2:$AH$1001,MATCH(ROWS($AG$2:AG794),$AG$2:$AG$1001,0),1)&gt;=100000,INDEX($AN$1005:$BO$1005,1,MATCH(COLUMNS($AN$1006:BE1006),$AN$1006:$BO$1006,0))&gt;=100000), " ",IF(INDEX($AN$2:$BO$1001,MATCH(ROWS($AG$2:AG794),$AG$2:$AG$1001,0),MATCH(COLUMNS($AN$1006:BE1006),$AN$1006:$BO$1006,0)), HYPERLINK("#",""), HYPERLINK(CONCATENATE("#Metadata!", ADDRESS(INDEX($AI$2:$AI$1001,MATCH(ROWS($AG$2:AG794),$AG$2:$AG$1001,0),0), INDEX($AN$1004:$BO$1004,1,MATCH(COLUMNS($AN$1006:BE1006),$AN$1006:$BO$1006,0)))),"Fix")))</f>
        <v>0</v>
      </c>
      <c r="T794" s="4">
        <f>IF(OR(INDEX($AH$2:$AH$1001,MATCH(ROWS($AG$2:AG794),$AG$2:$AG$1001,0),1)&gt;=100000,INDEX($AN$1005:$BO$1005,1,MATCH(COLUMNS($AN$1006:BF1006),$AN$1006:$BO$1006,0))&gt;=100000), " ",IF(INDEX($AN$2:$BO$1001,MATCH(ROWS($AG$2:AG794),$AG$2:$AG$1001,0),MATCH(COLUMNS($AN$1006:BF1006),$AN$1006:$BO$1006,0)), HYPERLINK("#",""), HYPERLINK(CONCATENATE("#Metadata!", ADDRESS(INDEX($AI$2:$AI$1001,MATCH(ROWS($AG$2:AG794),$AG$2:$AG$1001,0),0), INDEX($AN$1004:$BO$1004,1,MATCH(COLUMNS($AN$1006:BF1006),$AN$1006:$BO$1006,0)))),"Fix")))</f>
        <v>0</v>
      </c>
      <c r="U794" s="4">
        <f>IF(OR(INDEX($AH$2:$AH$1001,MATCH(ROWS($AG$2:AG794),$AG$2:$AG$1001,0),1)&gt;=100000,INDEX($AN$1005:$BO$1005,1,MATCH(COLUMNS($AN$1006:BG1006),$AN$1006:$BO$1006,0))&gt;=100000), " ",IF(INDEX($AN$2:$BO$1001,MATCH(ROWS($AG$2:AG794),$AG$2:$AG$1001,0),MATCH(COLUMNS($AN$1006:BG1006),$AN$1006:$BO$1006,0)), HYPERLINK("#",""), HYPERLINK(CONCATENATE("#Metadata!", ADDRESS(INDEX($AI$2:$AI$1001,MATCH(ROWS($AG$2:AG794),$AG$2:$AG$1001,0),0), INDEX($AN$1004:$BO$1004,1,MATCH(COLUMNS($AN$1006:BG1006),$AN$1006:$BO$1006,0)))),"Fix")))</f>
        <v>0</v>
      </c>
      <c r="V794" s="4">
        <f>IF(OR(INDEX($AH$2:$AH$1001,MATCH(ROWS($AG$2:AG794),$AG$2:$AG$1001,0),1)&gt;=100000,INDEX($AN$1005:$BO$1005,1,MATCH(COLUMNS($AN$1006:BH1006),$AN$1006:$BO$1006,0))&gt;=100000), " ",IF(INDEX($AN$2:$BO$1001,MATCH(ROWS($AG$2:AG794),$AG$2:$AG$1001,0),MATCH(COLUMNS($AN$1006:BH1006),$AN$1006:$BO$1006,0)), HYPERLINK("#",""), HYPERLINK(CONCATENATE("#Metadata!", ADDRESS(INDEX($AI$2:$AI$1001,MATCH(ROWS($AG$2:AG794),$AG$2:$AG$1001,0),0), INDEX($AN$1004:$BO$1004,1,MATCH(COLUMNS($AN$1006:BH1006),$AN$1006:$BO$1006,0)))),"Fix")))</f>
        <v>0</v>
      </c>
      <c r="W794" s="4">
        <f>IF(OR(INDEX($AH$2:$AH$1001,MATCH(ROWS($AG$2:AG794),$AG$2:$AG$1001,0),1)&gt;=100000,INDEX($AN$1005:$BO$1005,1,MATCH(COLUMNS($AN$1006:BI1006),$AN$1006:$BO$1006,0))&gt;=100000), " ",IF(INDEX($AN$2:$BO$1001,MATCH(ROWS($AG$2:AG794),$AG$2:$AG$1001,0),MATCH(COLUMNS($AN$1006:BI1006),$AN$1006:$BO$1006,0)), HYPERLINK("#",""), HYPERLINK(CONCATENATE("#Metadata!", ADDRESS(INDEX($AI$2:$AI$1001,MATCH(ROWS($AG$2:AG794),$AG$2:$AG$1001,0),0), INDEX($AN$1004:$BO$1004,1,MATCH(COLUMNS($AN$1006:BI1006),$AN$1006:$BO$1006,0)))),"Fix")))</f>
        <v>0</v>
      </c>
      <c r="X794" s="4">
        <f>IF(OR(INDEX($AH$2:$AH$1001,MATCH(ROWS($AG$2:AG794),$AG$2:$AG$1001,0),1)&gt;=100000,INDEX($AN$1005:$BO$1005,1,MATCH(COLUMNS($AN$1006:BJ1006),$AN$1006:$BO$1006,0))&gt;=100000), " ",IF(INDEX($AN$2:$BO$1001,MATCH(ROWS($AG$2:AG794),$AG$2:$AG$1001,0),MATCH(COLUMNS($AN$1006:BJ1006),$AN$1006:$BO$1006,0)), HYPERLINK("#",""), HYPERLINK(CONCATENATE("#Metadata!", ADDRESS(INDEX($AI$2:$AI$1001,MATCH(ROWS($AG$2:AG794),$AG$2:$AG$1001,0),0), INDEX($AN$1004:$BO$1004,1,MATCH(COLUMNS($AN$1006:BJ1006),$AN$1006:$BO$1006,0)))),"Fix")))</f>
        <v>0</v>
      </c>
      <c r="Y794" s="4">
        <f>IF(OR(INDEX($AH$2:$AH$1001,MATCH(ROWS($AG$2:AG794),$AG$2:$AG$1001,0),1)&gt;=100000,INDEX($AN$1005:$BO$1005,1,MATCH(COLUMNS($AN$1006:BK1006),$AN$1006:$BO$1006,0))&gt;=100000), " ",IF(INDEX($AN$2:$BO$1001,MATCH(ROWS($AG$2:AG794),$AG$2:$AG$1001,0),MATCH(COLUMNS($AN$1006:BK1006),$AN$1006:$BO$1006,0)), HYPERLINK("#",""), HYPERLINK(CONCATENATE("#Metadata!", ADDRESS(INDEX($AI$2:$AI$1001,MATCH(ROWS($AG$2:AG794),$AG$2:$AG$1001,0),0), INDEX($AN$1004:$BO$1004,1,MATCH(COLUMNS($AN$1006:BK1006),$AN$1006:$BO$1006,0)))),"Fix")))</f>
        <v>0</v>
      </c>
      <c r="Z794" s="4">
        <f>IF(OR(INDEX($AH$2:$AH$1001,MATCH(ROWS($AG$2:AG794),$AG$2:$AG$1001,0),1)&gt;=100000,INDEX($AN$1005:$BO$1005,1,MATCH(COLUMNS($AN$1006:BL1006),$AN$1006:$BO$1006,0))&gt;=100000), " ",IF(INDEX($AN$2:$BO$1001,MATCH(ROWS($AG$2:AG794),$AG$2:$AG$1001,0),MATCH(COLUMNS($AN$1006:BL1006),$AN$1006:$BO$1006,0)), HYPERLINK("#",""), HYPERLINK(CONCATENATE("#Metadata!", ADDRESS(INDEX($AI$2:$AI$1001,MATCH(ROWS($AG$2:AG794),$AG$2:$AG$1001,0),0), INDEX($AN$1004:$BO$1004,1,MATCH(COLUMNS($AN$1006:BL1006),$AN$1006:$BO$1006,0)))),"Fix")))</f>
        <v>0</v>
      </c>
      <c r="AA794" s="4">
        <f>IF(OR(INDEX($AH$2:$AH$1001,MATCH(ROWS($AG$2:AG794),$AG$2:$AG$1001,0),1)&gt;=100000,INDEX($AN$1005:$BO$1005,1,MATCH(COLUMNS($AN$1006:BM1006),$AN$1006:$BO$1006,0))&gt;=100000), " ",IF(INDEX($AN$2:$BO$1001,MATCH(ROWS($AG$2:AG794),$AG$2:$AG$1001,0),MATCH(COLUMNS($AN$1006:BM1006),$AN$1006:$BO$1006,0)), HYPERLINK("#",""), HYPERLINK(CONCATENATE("#Metadata!", ADDRESS(INDEX($AI$2:$AI$1001,MATCH(ROWS($AG$2:AG794),$AG$2:$AG$1001,0),0), INDEX($AN$1004:$BO$1004,1,MATCH(COLUMNS($AN$1006:BM1006),$AN$1006:$BO$1006,0)))),"Fix")))</f>
        <v>0</v>
      </c>
      <c r="AB794" s="4">
        <f>IF(OR(INDEX($AH$2:$AH$1001,MATCH(ROWS($AG$2:AG794),$AG$2:$AG$1001,0),1)&gt;=100000,INDEX($AN$1005:$BO$1005,1,MATCH(COLUMNS($AN$1006:BN1006),$AN$1006:$BO$1006,0))&gt;=100000), " ",IF(INDEX($AN$2:$BO$1001,MATCH(ROWS($AG$2:AG794),$AG$2:$AG$1001,0),MATCH(COLUMNS($AN$1006:BN1006),$AN$1006:$BO$1006,0)), HYPERLINK("#",""), HYPERLINK(CONCATENATE("#Metadata!", ADDRESS(INDEX($AI$2:$AI$1001,MATCH(ROWS($AG$2:AG794),$AG$2:$AG$1001,0),0), INDEX($AN$1004:$BO$1004,1,MATCH(COLUMNS($AN$1006:BN1006),$AN$1006:$BO$1006,0)))),"Fix")))</f>
        <v>0</v>
      </c>
      <c r="AC794" s="4">
        <f>IF(OR(INDEX($AH$2:$AH$1001,MATCH(ROWS($AG$2:AG794),$AG$2:$AG$1001,0),1)&gt;=100000,INDEX($AN$1005:$BO$1005,1,MATCH(COLUMNS($AN$1006:BO1006),$AN$1006:$BO$1006,0))&gt;=100000), " ",IF(INDEX($AN$2:$BO$1001,MATCH(ROWS($AG$2:AG794),$AG$2:$AG$1001,0),MATCH(COLUMNS($AN$1006:BO1006),$AN$1006:$BO$1006,0)), HYPERLINK("#",""), HYPERLINK(CONCATENATE("#Metadata!", ADDRESS(INDEX($AI$2:$AI$1001,MATCH(ROWS($AG$2:AG794),$AG$2:$AG$1001,0),0), INDEX($AN$1004:$BO$1004,1,MATCH(COLUMNS($AN$1006:BO1006),$AN$1006:$BO$1006,0)))),"Fix")))</f>
        <v>0</v>
      </c>
      <c r="AG794">
        <v>0</v>
      </c>
      <c r="AH794">
        <v>0</v>
      </c>
      <c r="AI794">
        <v>0</v>
      </c>
      <c r="AJ794">
        <f>IF(AK794,TRUE,AND(AN794:BO794))</f>
        <v>0</v>
      </c>
      <c r="AK794">
        <f>COUNTBLANK(Metadata!B794:AC794)=COLUMNS(Metadata!B794:AC794)</f>
        <v>0</v>
      </c>
      <c r="AL794">
        <v>0</v>
      </c>
      <c r="AN794">
        <f>AND(IF(Metadata!B794="",FALSE,TRUE),COUNTIF(Metadata!B:B, Metadata!B794) = 1,NOT(ISERROR(SUMPRODUCT(SEARCH(MID(Metadata!B794,ROW(INDIRECT("1:"&amp;LEN(Metadata!B794))), 1),"0123456789abcdefghijklmnopqrstuvwxyzABCDEFGHIJKLMNOPQRSTUVWXYZ.")))))</f>
        <v>0</v>
      </c>
      <c r="AO794">
        <f>IF(Metadata!C794="",FALSE,TRUE)</f>
        <v>0</v>
      </c>
      <c r="AP794">
        <f>IF(Metadata!D794="",FALSE,TRUE)</f>
        <v>0</v>
      </c>
      <c r="AQ794">
        <f>OR(AND(IF(Metadata!E794="",FALSE,TRUE),OR(exact(Metadata!E794,"not collected"),exact(Metadata!E794,"not provided"),exact(Metadata!E794,"restricted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R794">
        <f>IF(Metadata!F794="",FALSE,TRUE)</f>
        <v>0</v>
      </c>
      <c r="AS794">
        <f>OR(AND(IF(Metadata!G794="",FALSE,TRUE),OR(exact(Metadata!G794,"not collected"),exact(Metadata!G794,"not provided"))),AND(IF(Metadata!G794="",FALSE,TRUE),OR(exact(Metadata!G794,"TRUE"),exact(Metadata!G794,"FALSE"))))</f>
        <v>0</v>
      </c>
      <c r="AT794">
        <f>OR(AND(IF(Metadata!H794="",FALSE,TRUE),OR(exact(Metadata!H794,"not collected"),exact(Metadata!H794,"not provided"),exact(Metadata!H794,"restricted access"))),AND(IF(Metadata!H794="",FALSE,ISNUMBER(VALUE(Metadata!H794))),Metadata!H794&gt;=-413.0))</f>
        <v>0</v>
      </c>
      <c r="AU794">
        <f>AND(IF(Metadata!I794="",FALSE,TRUE),exact(Metadata!I794,"meters"))</f>
        <v>0</v>
      </c>
      <c r="AV794">
        <f>AND(IF(Metadata!J794="",FALSE,TRUE),OR(exact(Metadata!J794,"Host-associated"),exact(Metadata!J794,"Free-living")))</f>
        <v>0</v>
      </c>
      <c r="AW794">
        <f>AND(IF(Metadata!K794="",FALSE,TRUE),OR(exact(Metadata!K794,"Animal"),exact(Metadata!K794,"Fungus"),exact(Metadata!K794,"Plant"),exact(Metadata!K794,"Saline"),exact(Metadata!K794,"Non-saline")))</f>
        <v>0</v>
      </c>
      <c r="AX794">
        <f>AND(IF(Metadata!L794="",FALSE,TRUE),OR(exact(Metadata!L794,"Plant secretion"),exact(Metadata!L794,"Plant rhizosphere"),exact(Metadata!L794,"Plant surface"),exact(Metadata!L794,"Plant corpus"),exact(Metadata!L794,"Fungus surface"),exact(Metadata!L794,"Fungus corpus"),exact(Metadata!L794,"Animal surface"),exact(Metadata!L794,"Animal proximal gut"),exact(Metadata!L794,"Animal corpus"),exact(Metadata!L794,"Animal distal gut"),exact(Metadata!L794,"Animal secretion"),exact(Metadata!L794,"Sub-surface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Y794">
        <f>IF(Metadata!M794="",FALSE,TRUE)</f>
        <v>0</v>
      </c>
      <c r="AZ794">
        <f>IF(Metadata!N794="",FALSE,TRUE)</f>
        <v>0</v>
      </c>
      <c r="BA794">
        <f>IF(Metadata!O794="",FALSE,TRUE)</f>
        <v>0</v>
      </c>
      <c r="BB794">
        <f>OR(AND(IF(Metadata!P794="",FALSE,TRUE),OR(exact(Metadata!P794,"not collected"),exact(Metadata!P794,"not provided"),exact(Metadata!P794,"restricted access"))),AND(IF(Metadata!P794="",FALSE,TRUE),OR(exact(Metadata!P794,"air"),exact(Metadata!P794,"built environment"),exact(Metadata!P794,"host-associated"),exact(Metadata!P794,"human-associated"),exact(Metadata!P794,"human-skin"),exact(Metadata!P794,"human-oral"),exact(Metadata!P794,"human-gut"),exact(Metadata!P794,"human-vaginal"),exact(Metadata!P794,"microbial mat/biofilm"),exact(Metadata!P794,"misc environment"),exact(Metadata!P794,"plant-associated"),exact(Metadata!P794,"sediment"),exact(Metadata!P794,"soil"),exact(Metadata!P794,"wastewater/sludge"),exact(Metadata!P794,"water"))))</f>
        <v>0</v>
      </c>
      <c r="BC794">
        <f>IF(Metadata!Q794="",FALSE,TRUE)</f>
        <v>0</v>
      </c>
      <c r="BD794">
        <f>IF(Metadata!R794="",FALSE,TRUE)</f>
        <v>0</v>
      </c>
      <c r="BE794">
        <f>OR(AND(IF(Metadata!S794="",FALSE,TRUE),OR(exact(Metadata!S794,"not collected"),exact(Metadata!S794,"not provided"),exact(Metadata!S794,"restricted access"))),AND(IF(Metadata!S794="",FALSE,ISNUMBER(VALUE(Metadata!S794))),Metadata!S794&gt;=-90.00,Metadata!S794&lt;=90.00))</f>
        <v>0</v>
      </c>
      <c r="BF794">
        <f>AND(IF(Metadata!T794="",FALSE,TRUE),exact(Metadata!T794,"Decimal degrees"))</f>
        <v>0</v>
      </c>
      <c r="BG794">
        <f>OR(AND(IF(Metadata!U794="",FALSE,TRUE),OR(exact(Metadata!U794,"not collected"),exact(Metadata!U794,"not provided"),exact(Metadata!U794,"restricted access"))),AND(IF(Metadata!U794="",FALSE,ISNUMBER(VALUE(Metadata!U794))),Metadata!U794&gt;=-180.00,Metadata!U794&lt;=180.00))</f>
        <v>0</v>
      </c>
      <c r="BH794">
        <f>AND(IF(Metadata!V794="",FALSE,TRUE),exact(Metadata!V794,"Decimal degrees"))</f>
        <v>0</v>
      </c>
      <c r="BI794">
        <f>IF(Metadata!W794="",FALSE,TRUE)</f>
        <v>0</v>
      </c>
      <c r="BJ794">
        <f>OR(AND(IF(Metadata!X794="",FALSE,TRUE),OR(exact(Metadata!X794,"not collected"),exact(Metadata!X794,"not provided"),exact(Metadata!X794,"restricted access"))),AND(IF(Metadata!X794="",FALSE,TRUE),OR(exact(Metadata!X794,"TRUE"),exact(Metadata!X794,"FALSE"))))</f>
        <v>0</v>
      </c>
      <c r="BK794">
        <f>AND(IF(Metadata!Y794="",FALSE,TRUE),exact(Metadata!Y794,"other"))</f>
        <v>0</v>
      </c>
      <c r="BL794">
        <f>IF(Metadata!Z794="",FALSE,TRUE)</f>
        <v>0</v>
      </c>
      <c r="BM794">
        <f>OR(AND(IF(Metadata!AA794="",FALSE,TRUE),OR(exact(Metadata!AA794,"not collected"),exact(Metadata!AA794,"not provided"))),AND(IF(Metadata!AA794="",FALSE,IF(ISERROR(INT(Metadata!AA794)),FALSE,INT(Metadata!AA794)=Metadata!AA794)),Metadata!AA794&gt;0))</f>
        <v>0</v>
      </c>
      <c r="BN794">
        <f>AND(IF(Metadata!AB794="",FALSE,TRUE),exact(Metadata!AB794,"Not applicable"))</f>
        <v>0</v>
      </c>
      <c r="BO794">
        <f>IF(Metadata!AC794="",FALSE,TRUE)</f>
        <v>0</v>
      </c>
    </row>
    <row r="795" spans="1:67">
      <c r="A795" s="5">
        <f>IF(B795=" "," ",HYPERLINK(CONCATENATE("#metadata!",ADDRESS(INDEX($AI$2:$AI$1001,MATCH(ROWS($AG$2:AG795),$AG$2:$AG$1001,0),0),1)),INDEX($AL$2:$AL$1001,MATCH(ROWS($AG$2:AG795),$AG$2:$AG$1001,0),0)))</f>
        <v>0</v>
      </c>
      <c r="B795" s="4">
        <f>IF(OR(INDEX($AH$2:$AH$1001,MATCH(ROWS($AG$2:AG795),$AG$2:$AG$1001,0),1)&gt;=100000,INDEX($AN$1005:$BO$1005,1,MATCH(COLUMNS($AN$1006:AN1006),$AN$1006:$BO$1006,0))&gt;=100000), " ",IF(INDEX($AN$2:$BO$1001,MATCH(ROWS($AG$2:AG795),$AG$2:$AG$1001,0),MATCH(COLUMNS($AN$1006:AN1006),$AN$1006:$BO$1006,0)), HYPERLINK("#",""), HYPERLINK(CONCATENATE("#Metadata!", ADDRESS(INDEX($AI$2:$AI$1001,MATCH(ROWS($AG$2:AG795),$AG$2:$AG$1001,0),0), INDEX($AN$1004:$BO$1004,1,MATCH(COLUMNS($AN$1006:AN1006),$AN$1006:$BO$1006,0)))),"Fix")))</f>
        <v>0</v>
      </c>
      <c r="C795" s="4">
        <f>IF(OR(INDEX($AH$2:$AH$1001,MATCH(ROWS($AG$2:AG795),$AG$2:$AG$1001,0),1)&gt;=100000,INDEX($AN$1005:$BO$1005,1,MATCH(COLUMNS($AN$1006:AO1006),$AN$1006:$BO$1006,0))&gt;=100000), " ",IF(INDEX($AN$2:$BO$1001,MATCH(ROWS($AG$2:AG795),$AG$2:$AG$1001,0),MATCH(COLUMNS($AN$1006:AO1006),$AN$1006:$BO$1006,0)), HYPERLINK("#",""), HYPERLINK(CONCATENATE("#Metadata!", ADDRESS(INDEX($AI$2:$AI$1001,MATCH(ROWS($AG$2:AG795),$AG$2:$AG$1001,0),0), INDEX($AN$1004:$BO$1004,1,MATCH(COLUMNS($AN$1006:AO1006),$AN$1006:$BO$1006,0)))),"Fix")))</f>
        <v>0</v>
      </c>
      <c r="D795" s="4">
        <f>IF(OR(INDEX($AH$2:$AH$1001,MATCH(ROWS($AG$2:AG795),$AG$2:$AG$1001,0),1)&gt;=100000,INDEX($AN$1005:$BO$1005,1,MATCH(COLUMNS($AN$1006:AP1006),$AN$1006:$BO$1006,0))&gt;=100000), " ",IF(INDEX($AN$2:$BO$1001,MATCH(ROWS($AG$2:AG795),$AG$2:$AG$1001,0),MATCH(COLUMNS($AN$1006:AP1006),$AN$1006:$BO$1006,0)), HYPERLINK("#",""), HYPERLINK(CONCATENATE("#Metadata!", ADDRESS(INDEX($AI$2:$AI$1001,MATCH(ROWS($AG$2:AG795),$AG$2:$AG$1001,0),0), INDEX($AN$1004:$BO$1004,1,MATCH(COLUMNS($AN$1006:AP1006),$AN$1006:$BO$1006,0)))),"Fix")))</f>
        <v>0</v>
      </c>
      <c r="E795" s="4">
        <f>IF(OR(INDEX($AH$2:$AH$1001,MATCH(ROWS($AG$2:AG795),$AG$2:$AG$1001,0),1)&gt;=100000,INDEX($AN$1005:$BO$1005,1,MATCH(COLUMNS($AN$1006:AQ1006),$AN$1006:$BO$1006,0))&gt;=100000), " ",IF(INDEX($AN$2:$BO$1001,MATCH(ROWS($AG$2:AG795),$AG$2:$AG$1001,0),MATCH(COLUMNS($AN$1006:AQ1006),$AN$1006:$BO$1006,0)), HYPERLINK("#",""), HYPERLINK(CONCATENATE("#Metadata!", ADDRESS(INDEX($AI$2:$AI$1001,MATCH(ROWS($AG$2:AG795),$AG$2:$AG$1001,0),0), INDEX($AN$1004:$BO$1004,1,MATCH(COLUMNS($AN$1006:AQ1006),$AN$1006:$BO$1006,0)))),"Fix")))</f>
        <v>0</v>
      </c>
      <c r="F795" s="4">
        <f>IF(OR(INDEX($AH$2:$AH$1001,MATCH(ROWS($AG$2:AG795),$AG$2:$AG$1001,0),1)&gt;=100000,INDEX($AN$1005:$BO$1005,1,MATCH(COLUMNS($AN$1006:AR1006),$AN$1006:$BO$1006,0))&gt;=100000), " ",IF(INDEX($AN$2:$BO$1001,MATCH(ROWS($AG$2:AG795),$AG$2:$AG$1001,0),MATCH(COLUMNS($AN$1006:AR1006),$AN$1006:$BO$1006,0)), HYPERLINK("#",""), HYPERLINK(CONCATENATE("#Metadata!", ADDRESS(INDEX($AI$2:$AI$1001,MATCH(ROWS($AG$2:AG795),$AG$2:$AG$1001,0),0), INDEX($AN$1004:$BO$1004,1,MATCH(COLUMNS($AN$1006:AR1006),$AN$1006:$BO$1006,0)))),"Fix")))</f>
        <v>0</v>
      </c>
      <c r="G795" s="4">
        <f>IF(OR(INDEX($AH$2:$AH$1001,MATCH(ROWS($AG$2:AG795),$AG$2:$AG$1001,0),1)&gt;=100000,INDEX($AN$1005:$BO$1005,1,MATCH(COLUMNS($AN$1006:AS1006),$AN$1006:$BO$1006,0))&gt;=100000), " ",IF(INDEX($AN$2:$BO$1001,MATCH(ROWS($AG$2:AG795),$AG$2:$AG$1001,0),MATCH(COLUMNS($AN$1006:AS1006),$AN$1006:$BO$1006,0)), HYPERLINK("#",""), HYPERLINK(CONCATENATE("#Metadata!", ADDRESS(INDEX($AI$2:$AI$1001,MATCH(ROWS($AG$2:AG795),$AG$2:$AG$1001,0),0), INDEX($AN$1004:$BO$1004,1,MATCH(COLUMNS($AN$1006:AS1006),$AN$1006:$BO$1006,0)))),"Fix")))</f>
        <v>0</v>
      </c>
      <c r="H795" s="4">
        <f>IF(OR(INDEX($AH$2:$AH$1001,MATCH(ROWS($AG$2:AG795),$AG$2:$AG$1001,0),1)&gt;=100000,INDEX($AN$1005:$BO$1005,1,MATCH(COLUMNS($AN$1006:AT1006),$AN$1006:$BO$1006,0))&gt;=100000), " ",IF(INDEX($AN$2:$BO$1001,MATCH(ROWS($AG$2:AG795),$AG$2:$AG$1001,0),MATCH(COLUMNS($AN$1006:AT1006),$AN$1006:$BO$1006,0)), HYPERLINK("#",""), HYPERLINK(CONCATENATE("#Metadata!", ADDRESS(INDEX($AI$2:$AI$1001,MATCH(ROWS($AG$2:AG795),$AG$2:$AG$1001,0),0), INDEX($AN$1004:$BO$1004,1,MATCH(COLUMNS($AN$1006:AT1006),$AN$1006:$BO$1006,0)))),"Fix")))</f>
        <v>0</v>
      </c>
      <c r="I795" s="4">
        <f>IF(OR(INDEX($AH$2:$AH$1001,MATCH(ROWS($AG$2:AG795),$AG$2:$AG$1001,0),1)&gt;=100000,INDEX($AN$1005:$BO$1005,1,MATCH(COLUMNS($AN$1006:AU1006),$AN$1006:$BO$1006,0))&gt;=100000), " ",IF(INDEX($AN$2:$BO$1001,MATCH(ROWS($AG$2:AG795),$AG$2:$AG$1001,0),MATCH(COLUMNS($AN$1006:AU1006),$AN$1006:$BO$1006,0)), HYPERLINK("#",""), HYPERLINK(CONCATENATE("#Metadata!", ADDRESS(INDEX($AI$2:$AI$1001,MATCH(ROWS($AG$2:AG795),$AG$2:$AG$1001,0),0), INDEX($AN$1004:$BO$1004,1,MATCH(COLUMNS($AN$1006:AU1006),$AN$1006:$BO$1006,0)))),"Fix")))</f>
        <v>0</v>
      </c>
      <c r="J795" s="4">
        <f>IF(OR(INDEX($AH$2:$AH$1001,MATCH(ROWS($AG$2:AG795),$AG$2:$AG$1001,0),1)&gt;=100000,INDEX($AN$1005:$BO$1005,1,MATCH(COLUMNS($AN$1006:AV1006),$AN$1006:$BO$1006,0))&gt;=100000), " ",IF(INDEX($AN$2:$BO$1001,MATCH(ROWS($AG$2:AG795),$AG$2:$AG$1001,0),MATCH(COLUMNS($AN$1006:AV1006),$AN$1006:$BO$1006,0)), HYPERLINK("#",""), HYPERLINK(CONCATENATE("#Metadata!", ADDRESS(INDEX($AI$2:$AI$1001,MATCH(ROWS($AG$2:AG795),$AG$2:$AG$1001,0),0), INDEX($AN$1004:$BO$1004,1,MATCH(COLUMNS($AN$1006:AV1006),$AN$1006:$BO$1006,0)))),"Fix")))</f>
        <v>0</v>
      </c>
      <c r="K795" s="4">
        <f>IF(OR(INDEX($AH$2:$AH$1001,MATCH(ROWS($AG$2:AG795),$AG$2:$AG$1001,0),1)&gt;=100000,INDEX($AN$1005:$BO$1005,1,MATCH(COLUMNS($AN$1006:AW1006),$AN$1006:$BO$1006,0))&gt;=100000), " ",IF(INDEX($AN$2:$BO$1001,MATCH(ROWS($AG$2:AG795),$AG$2:$AG$1001,0),MATCH(COLUMNS($AN$1006:AW1006),$AN$1006:$BO$1006,0)), HYPERLINK("#",""), HYPERLINK(CONCATENATE("#Metadata!", ADDRESS(INDEX($AI$2:$AI$1001,MATCH(ROWS($AG$2:AG795),$AG$2:$AG$1001,0),0), INDEX($AN$1004:$BO$1004,1,MATCH(COLUMNS($AN$1006:AW1006),$AN$1006:$BO$1006,0)))),"Fix")))</f>
        <v>0</v>
      </c>
      <c r="L795" s="4">
        <f>IF(OR(INDEX($AH$2:$AH$1001,MATCH(ROWS($AG$2:AG795),$AG$2:$AG$1001,0),1)&gt;=100000,INDEX($AN$1005:$BO$1005,1,MATCH(COLUMNS($AN$1006:AX1006),$AN$1006:$BO$1006,0))&gt;=100000), " ",IF(INDEX($AN$2:$BO$1001,MATCH(ROWS($AG$2:AG795),$AG$2:$AG$1001,0),MATCH(COLUMNS($AN$1006:AX1006),$AN$1006:$BO$1006,0)), HYPERLINK("#",""), HYPERLINK(CONCATENATE("#Metadata!", ADDRESS(INDEX($AI$2:$AI$1001,MATCH(ROWS($AG$2:AG795),$AG$2:$AG$1001,0),0), INDEX($AN$1004:$BO$1004,1,MATCH(COLUMNS($AN$1006:AX1006),$AN$1006:$BO$1006,0)))),"Fix")))</f>
        <v>0</v>
      </c>
      <c r="M795" s="4">
        <f>IF(OR(INDEX($AH$2:$AH$1001,MATCH(ROWS($AG$2:AG795),$AG$2:$AG$1001,0),1)&gt;=100000,INDEX($AN$1005:$BO$1005,1,MATCH(COLUMNS($AN$1006:AY1006),$AN$1006:$BO$1006,0))&gt;=100000), " ",IF(INDEX($AN$2:$BO$1001,MATCH(ROWS($AG$2:AG795),$AG$2:$AG$1001,0),MATCH(COLUMNS($AN$1006:AY1006),$AN$1006:$BO$1006,0)), HYPERLINK("#",""), HYPERLINK(CONCATENATE("#Metadata!", ADDRESS(INDEX($AI$2:$AI$1001,MATCH(ROWS($AG$2:AG795),$AG$2:$AG$1001,0),0), INDEX($AN$1004:$BO$1004,1,MATCH(COLUMNS($AN$1006:AY1006),$AN$1006:$BO$1006,0)))),"Fix")))</f>
        <v>0</v>
      </c>
      <c r="N795" s="4">
        <f>IF(OR(INDEX($AH$2:$AH$1001,MATCH(ROWS($AG$2:AG795),$AG$2:$AG$1001,0),1)&gt;=100000,INDEX($AN$1005:$BO$1005,1,MATCH(COLUMNS($AN$1006:AZ1006),$AN$1006:$BO$1006,0))&gt;=100000), " ",IF(INDEX($AN$2:$BO$1001,MATCH(ROWS($AG$2:AG795),$AG$2:$AG$1001,0),MATCH(COLUMNS($AN$1006:AZ1006),$AN$1006:$BO$1006,0)), HYPERLINK("#",""), HYPERLINK(CONCATENATE("#Metadata!", ADDRESS(INDEX($AI$2:$AI$1001,MATCH(ROWS($AG$2:AG795),$AG$2:$AG$1001,0),0), INDEX($AN$1004:$BO$1004,1,MATCH(COLUMNS($AN$1006:AZ1006),$AN$1006:$BO$1006,0)))),"Fix")))</f>
        <v>0</v>
      </c>
      <c r="O795" s="4">
        <f>IF(OR(INDEX($AH$2:$AH$1001,MATCH(ROWS($AG$2:AG795),$AG$2:$AG$1001,0),1)&gt;=100000,INDEX($AN$1005:$BO$1005,1,MATCH(COLUMNS($AN$1006:BA1006),$AN$1006:$BO$1006,0))&gt;=100000), " ",IF(INDEX($AN$2:$BO$1001,MATCH(ROWS($AG$2:AG795),$AG$2:$AG$1001,0),MATCH(COLUMNS($AN$1006:BA1006),$AN$1006:$BO$1006,0)), HYPERLINK("#",""), HYPERLINK(CONCATENATE("#Metadata!", ADDRESS(INDEX($AI$2:$AI$1001,MATCH(ROWS($AG$2:AG795),$AG$2:$AG$1001,0),0), INDEX($AN$1004:$BO$1004,1,MATCH(COLUMNS($AN$1006:BA1006),$AN$1006:$BO$1006,0)))),"Fix")))</f>
        <v>0</v>
      </c>
      <c r="P795" s="4">
        <f>IF(OR(INDEX($AH$2:$AH$1001,MATCH(ROWS($AG$2:AG795),$AG$2:$AG$1001,0),1)&gt;=100000,INDEX($AN$1005:$BO$1005,1,MATCH(COLUMNS($AN$1006:BB1006),$AN$1006:$BO$1006,0))&gt;=100000), " ",IF(INDEX($AN$2:$BO$1001,MATCH(ROWS($AG$2:AG795),$AG$2:$AG$1001,0),MATCH(COLUMNS($AN$1006:BB1006),$AN$1006:$BO$1006,0)), HYPERLINK("#",""), HYPERLINK(CONCATENATE("#Metadata!", ADDRESS(INDEX($AI$2:$AI$1001,MATCH(ROWS($AG$2:AG795),$AG$2:$AG$1001,0),0), INDEX($AN$1004:$BO$1004,1,MATCH(COLUMNS($AN$1006:BB1006),$AN$1006:$BO$1006,0)))),"Fix")))</f>
        <v>0</v>
      </c>
      <c r="Q795" s="4">
        <f>IF(OR(INDEX($AH$2:$AH$1001,MATCH(ROWS($AG$2:AG795),$AG$2:$AG$1001,0),1)&gt;=100000,INDEX($AN$1005:$BO$1005,1,MATCH(COLUMNS($AN$1006:BC1006),$AN$1006:$BO$1006,0))&gt;=100000), " ",IF(INDEX($AN$2:$BO$1001,MATCH(ROWS($AG$2:AG795),$AG$2:$AG$1001,0),MATCH(COLUMNS($AN$1006:BC1006),$AN$1006:$BO$1006,0)), HYPERLINK("#",""), HYPERLINK(CONCATENATE("#Metadata!", ADDRESS(INDEX($AI$2:$AI$1001,MATCH(ROWS($AG$2:AG795),$AG$2:$AG$1001,0),0), INDEX($AN$1004:$BO$1004,1,MATCH(COLUMNS($AN$1006:BC1006),$AN$1006:$BO$1006,0)))),"Fix")))</f>
        <v>0</v>
      </c>
      <c r="R795" s="4">
        <f>IF(OR(INDEX($AH$2:$AH$1001,MATCH(ROWS($AG$2:AG795),$AG$2:$AG$1001,0),1)&gt;=100000,INDEX($AN$1005:$BO$1005,1,MATCH(COLUMNS($AN$1006:BD1006),$AN$1006:$BO$1006,0))&gt;=100000), " ",IF(INDEX($AN$2:$BO$1001,MATCH(ROWS($AG$2:AG795),$AG$2:$AG$1001,0),MATCH(COLUMNS($AN$1006:BD1006),$AN$1006:$BO$1006,0)), HYPERLINK("#",""), HYPERLINK(CONCATENATE("#Metadata!", ADDRESS(INDEX($AI$2:$AI$1001,MATCH(ROWS($AG$2:AG795),$AG$2:$AG$1001,0),0), INDEX($AN$1004:$BO$1004,1,MATCH(COLUMNS($AN$1006:BD1006),$AN$1006:$BO$1006,0)))),"Fix")))</f>
        <v>0</v>
      </c>
      <c r="S795" s="4">
        <f>IF(OR(INDEX($AH$2:$AH$1001,MATCH(ROWS($AG$2:AG795),$AG$2:$AG$1001,0),1)&gt;=100000,INDEX($AN$1005:$BO$1005,1,MATCH(COLUMNS($AN$1006:BE1006),$AN$1006:$BO$1006,0))&gt;=100000), " ",IF(INDEX($AN$2:$BO$1001,MATCH(ROWS($AG$2:AG795),$AG$2:$AG$1001,0),MATCH(COLUMNS($AN$1006:BE1006),$AN$1006:$BO$1006,0)), HYPERLINK("#",""), HYPERLINK(CONCATENATE("#Metadata!", ADDRESS(INDEX($AI$2:$AI$1001,MATCH(ROWS($AG$2:AG795),$AG$2:$AG$1001,0),0), INDEX($AN$1004:$BO$1004,1,MATCH(COLUMNS($AN$1006:BE1006),$AN$1006:$BO$1006,0)))),"Fix")))</f>
        <v>0</v>
      </c>
      <c r="T795" s="4">
        <f>IF(OR(INDEX($AH$2:$AH$1001,MATCH(ROWS($AG$2:AG795),$AG$2:$AG$1001,0),1)&gt;=100000,INDEX($AN$1005:$BO$1005,1,MATCH(COLUMNS($AN$1006:BF1006),$AN$1006:$BO$1006,0))&gt;=100000), " ",IF(INDEX($AN$2:$BO$1001,MATCH(ROWS($AG$2:AG795),$AG$2:$AG$1001,0),MATCH(COLUMNS($AN$1006:BF1006),$AN$1006:$BO$1006,0)), HYPERLINK("#",""), HYPERLINK(CONCATENATE("#Metadata!", ADDRESS(INDEX($AI$2:$AI$1001,MATCH(ROWS($AG$2:AG795),$AG$2:$AG$1001,0),0), INDEX($AN$1004:$BO$1004,1,MATCH(COLUMNS($AN$1006:BF1006),$AN$1006:$BO$1006,0)))),"Fix")))</f>
        <v>0</v>
      </c>
      <c r="U795" s="4">
        <f>IF(OR(INDEX($AH$2:$AH$1001,MATCH(ROWS($AG$2:AG795),$AG$2:$AG$1001,0),1)&gt;=100000,INDEX($AN$1005:$BO$1005,1,MATCH(COLUMNS($AN$1006:BG1006),$AN$1006:$BO$1006,0))&gt;=100000), " ",IF(INDEX($AN$2:$BO$1001,MATCH(ROWS($AG$2:AG795),$AG$2:$AG$1001,0),MATCH(COLUMNS($AN$1006:BG1006),$AN$1006:$BO$1006,0)), HYPERLINK("#",""), HYPERLINK(CONCATENATE("#Metadata!", ADDRESS(INDEX($AI$2:$AI$1001,MATCH(ROWS($AG$2:AG795),$AG$2:$AG$1001,0),0), INDEX($AN$1004:$BO$1004,1,MATCH(COLUMNS($AN$1006:BG1006),$AN$1006:$BO$1006,0)))),"Fix")))</f>
        <v>0</v>
      </c>
      <c r="V795" s="4">
        <f>IF(OR(INDEX($AH$2:$AH$1001,MATCH(ROWS($AG$2:AG795),$AG$2:$AG$1001,0),1)&gt;=100000,INDEX($AN$1005:$BO$1005,1,MATCH(COLUMNS($AN$1006:BH1006),$AN$1006:$BO$1006,0))&gt;=100000), " ",IF(INDEX($AN$2:$BO$1001,MATCH(ROWS($AG$2:AG795),$AG$2:$AG$1001,0),MATCH(COLUMNS($AN$1006:BH1006),$AN$1006:$BO$1006,0)), HYPERLINK("#",""), HYPERLINK(CONCATENATE("#Metadata!", ADDRESS(INDEX($AI$2:$AI$1001,MATCH(ROWS($AG$2:AG795),$AG$2:$AG$1001,0),0), INDEX($AN$1004:$BO$1004,1,MATCH(COLUMNS($AN$1006:BH1006),$AN$1006:$BO$1006,0)))),"Fix")))</f>
        <v>0</v>
      </c>
      <c r="W795" s="4">
        <f>IF(OR(INDEX($AH$2:$AH$1001,MATCH(ROWS($AG$2:AG795),$AG$2:$AG$1001,0),1)&gt;=100000,INDEX($AN$1005:$BO$1005,1,MATCH(COLUMNS($AN$1006:BI1006),$AN$1006:$BO$1006,0))&gt;=100000), " ",IF(INDEX($AN$2:$BO$1001,MATCH(ROWS($AG$2:AG795),$AG$2:$AG$1001,0),MATCH(COLUMNS($AN$1006:BI1006),$AN$1006:$BO$1006,0)), HYPERLINK("#",""), HYPERLINK(CONCATENATE("#Metadata!", ADDRESS(INDEX($AI$2:$AI$1001,MATCH(ROWS($AG$2:AG795),$AG$2:$AG$1001,0),0), INDEX($AN$1004:$BO$1004,1,MATCH(COLUMNS($AN$1006:BI1006),$AN$1006:$BO$1006,0)))),"Fix")))</f>
        <v>0</v>
      </c>
      <c r="X795" s="4">
        <f>IF(OR(INDEX($AH$2:$AH$1001,MATCH(ROWS($AG$2:AG795),$AG$2:$AG$1001,0),1)&gt;=100000,INDEX($AN$1005:$BO$1005,1,MATCH(COLUMNS($AN$1006:BJ1006),$AN$1006:$BO$1006,0))&gt;=100000), " ",IF(INDEX($AN$2:$BO$1001,MATCH(ROWS($AG$2:AG795),$AG$2:$AG$1001,0),MATCH(COLUMNS($AN$1006:BJ1006),$AN$1006:$BO$1006,0)), HYPERLINK("#",""), HYPERLINK(CONCATENATE("#Metadata!", ADDRESS(INDEX($AI$2:$AI$1001,MATCH(ROWS($AG$2:AG795),$AG$2:$AG$1001,0),0), INDEX($AN$1004:$BO$1004,1,MATCH(COLUMNS($AN$1006:BJ1006),$AN$1006:$BO$1006,0)))),"Fix")))</f>
        <v>0</v>
      </c>
      <c r="Y795" s="4">
        <f>IF(OR(INDEX($AH$2:$AH$1001,MATCH(ROWS($AG$2:AG795),$AG$2:$AG$1001,0),1)&gt;=100000,INDEX($AN$1005:$BO$1005,1,MATCH(COLUMNS($AN$1006:BK1006),$AN$1006:$BO$1006,0))&gt;=100000), " ",IF(INDEX($AN$2:$BO$1001,MATCH(ROWS($AG$2:AG795),$AG$2:$AG$1001,0),MATCH(COLUMNS($AN$1006:BK1006),$AN$1006:$BO$1006,0)), HYPERLINK("#",""), HYPERLINK(CONCATENATE("#Metadata!", ADDRESS(INDEX($AI$2:$AI$1001,MATCH(ROWS($AG$2:AG795),$AG$2:$AG$1001,0),0), INDEX($AN$1004:$BO$1004,1,MATCH(COLUMNS($AN$1006:BK1006),$AN$1006:$BO$1006,0)))),"Fix")))</f>
        <v>0</v>
      </c>
      <c r="Z795" s="4">
        <f>IF(OR(INDEX($AH$2:$AH$1001,MATCH(ROWS($AG$2:AG795),$AG$2:$AG$1001,0),1)&gt;=100000,INDEX($AN$1005:$BO$1005,1,MATCH(COLUMNS($AN$1006:BL1006),$AN$1006:$BO$1006,0))&gt;=100000), " ",IF(INDEX($AN$2:$BO$1001,MATCH(ROWS($AG$2:AG795),$AG$2:$AG$1001,0),MATCH(COLUMNS($AN$1006:BL1006),$AN$1006:$BO$1006,0)), HYPERLINK("#",""), HYPERLINK(CONCATENATE("#Metadata!", ADDRESS(INDEX($AI$2:$AI$1001,MATCH(ROWS($AG$2:AG795),$AG$2:$AG$1001,0),0), INDEX($AN$1004:$BO$1004,1,MATCH(COLUMNS($AN$1006:BL1006),$AN$1006:$BO$1006,0)))),"Fix")))</f>
        <v>0</v>
      </c>
      <c r="AA795" s="4">
        <f>IF(OR(INDEX($AH$2:$AH$1001,MATCH(ROWS($AG$2:AG795),$AG$2:$AG$1001,0),1)&gt;=100000,INDEX($AN$1005:$BO$1005,1,MATCH(COLUMNS($AN$1006:BM1006),$AN$1006:$BO$1006,0))&gt;=100000), " ",IF(INDEX($AN$2:$BO$1001,MATCH(ROWS($AG$2:AG795),$AG$2:$AG$1001,0),MATCH(COLUMNS($AN$1006:BM1006),$AN$1006:$BO$1006,0)), HYPERLINK("#",""), HYPERLINK(CONCATENATE("#Metadata!", ADDRESS(INDEX($AI$2:$AI$1001,MATCH(ROWS($AG$2:AG795),$AG$2:$AG$1001,0),0), INDEX($AN$1004:$BO$1004,1,MATCH(COLUMNS($AN$1006:BM1006),$AN$1006:$BO$1006,0)))),"Fix")))</f>
        <v>0</v>
      </c>
      <c r="AB795" s="4">
        <f>IF(OR(INDEX($AH$2:$AH$1001,MATCH(ROWS($AG$2:AG795),$AG$2:$AG$1001,0),1)&gt;=100000,INDEX($AN$1005:$BO$1005,1,MATCH(COLUMNS($AN$1006:BN1006),$AN$1006:$BO$1006,0))&gt;=100000), " ",IF(INDEX($AN$2:$BO$1001,MATCH(ROWS($AG$2:AG795),$AG$2:$AG$1001,0),MATCH(COLUMNS($AN$1006:BN1006),$AN$1006:$BO$1006,0)), HYPERLINK("#",""), HYPERLINK(CONCATENATE("#Metadata!", ADDRESS(INDEX($AI$2:$AI$1001,MATCH(ROWS($AG$2:AG795),$AG$2:$AG$1001,0),0), INDEX($AN$1004:$BO$1004,1,MATCH(COLUMNS($AN$1006:BN1006),$AN$1006:$BO$1006,0)))),"Fix")))</f>
        <v>0</v>
      </c>
      <c r="AC795" s="4">
        <f>IF(OR(INDEX($AH$2:$AH$1001,MATCH(ROWS($AG$2:AG795),$AG$2:$AG$1001,0),1)&gt;=100000,INDEX($AN$1005:$BO$1005,1,MATCH(COLUMNS($AN$1006:BO1006),$AN$1006:$BO$1006,0))&gt;=100000), " ",IF(INDEX($AN$2:$BO$1001,MATCH(ROWS($AG$2:AG795),$AG$2:$AG$1001,0),MATCH(COLUMNS($AN$1006:BO1006),$AN$1006:$BO$1006,0)), HYPERLINK("#",""), HYPERLINK(CONCATENATE("#Metadata!", ADDRESS(INDEX($AI$2:$AI$1001,MATCH(ROWS($AG$2:AG795),$AG$2:$AG$1001,0),0), INDEX($AN$1004:$BO$1004,1,MATCH(COLUMNS($AN$1006:BO1006),$AN$1006:$BO$1006,0)))),"Fix")))</f>
        <v>0</v>
      </c>
      <c r="AG795">
        <v>0</v>
      </c>
      <c r="AH795">
        <v>0</v>
      </c>
      <c r="AI795">
        <v>0</v>
      </c>
      <c r="AJ795">
        <f>IF(AK795,TRUE,AND(AN795:BO795))</f>
        <v>0</v>
      </c>
      <c r="AK795">
        <f>COUNTBLANK(Metadata!B795:AC795)=COLUMNS(Metadata!B795:AC795)</f>
        <v>0</v>
      </c>
      <c r="AL795">
        <v>0</v>
      </c>
      <c r="AN795">
        <f>AND(IF(Metadata!B795="",FALSE,TRUE),COUNTIF(Metadata!B:B, Metadata!B795) = 1,NOT(ISERROR(SUMPRODUCT(SEARCH(MID(Metadata!B795,ROW(INDIRECT("1:"&amp;LEN(Metadata!B795))), 1),"0123456789abcdefghijklmnopqrstuvwxyzABCDEFGHIJKLMNOPQRSTUVWXYZ.")))))</f>
        <v>0</v>
      </c>
      <c r="AO795">
        <f>IF(Metadata!C795="",FALSE,TRUE)</f>
        <v>0</v>
      </c>
      <c r="AP795">
        <f>IF(Metadata!D795="",FALSE,TRUE)</f>
        <v>0</v>
      </c>
      <c r="AQ795">
        <f>OR(AND(IF(Metadata!E795="",FALSE,TRUE),OR(exact(Metadata!E795,"not collected"),exact(Metadata!E795,"not provided"),exact(Metadata!E795,"restricted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R795">
        <f>IF(Metadata!F795="",FALSE,TRUE)</f>
        <v>0</v>
      </c>
      <c r="AS795">
        <f>OR(AND(IF(Metadata!G795="",FALSE,TRUE),OR(exact(Metadata!G795,"not collected"),exact(Metadata!G795,"not provided"))),AND(IF(Metadata!G795="",FALSE,TRUE),OR(exact(Metadata!G795,"TRUE"),exact(Metadata!G795,"FALSE"))))</f>
        <v>0</v>
      </c>
      <c r="AT795">
        <f>OR(AND(IF(Metadata!H795="",FALSE,TRUE),OR(exact(Metadata!H795,"not collected"),exact(Metadata!H795,"not provided"),exact(Metadata!H795,"restricted access"))),AND(IF(Metadata!H795="",FALSE,ISNUMBER(VALUE(Metadata!H795))),Metadata!H795&gt;=-413.0))</f>
        <v>0</v>
      </c>
      <c r="AU795">
        <f>AND(IF(Metadata!I795="",FALSE,TRUE),exact(Metadata!I795,"meters"))</f>
        <v>0</v>
      </c>
      <c r="AV795">
        <f>AND(IF(Metadata!J795="",FALSE,TRUE),OR(exact(Metadata!J795,"Host-associated"),exact(Metadata!J795,"Free-living")))</f>
        <v>0</v>
      </c>
      <c r="AW795">
        <f>AND(IF(Metadata!K795="",FALSE,TRUE),OR(exact(Metadata!K795,"Animal"),exact(Metadata!K795,"Fungus"),exact(Metadata!K795,"Plant"),exact(Metadata!K795,"Saline"),exact(Metadata!K795,"Non-saline")))</f>
        <v>0</v>
      </c>
      <c r="AX795">
        <f>AND(IF(Metadata!L795="",FALSE,TRUE),OR(exact(Metadata!L795,"Plant secretion"),exact(Metadata!L795,"Plant rhizosphere"),exact(Metadata!L795,"Plant surface"),exact(Metadata!L795,"Plant corpus"),exact(Metadata!L795,"Fungus surface"),exact(Metadata!L795,"Fungus corpus"),exact(Metadata!L795,"Animal surface"),exact(Metadata!L795,"Animal proximal gut"),exact(Metadata!L795,"Animal corpus"),exact(Metadata!L795,"Animal distal gut"),exact(Metadata!L795,"Animal secretion"),exact(Metadata!L795,"Sub-surface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Y795">
        <f>IF(Metadata!M795="",FALSE,TRUE)</f>
        <v>0</v>
      </c>
      <c r="AZ795">
        <f>IF(Metadata!N795="",FALSE,TRUE)</f>
        <v>0</v>
      </c>
      <c r="BA795">
        <f>IF(Metadata!O795="",FALSE,TRUE)</f>
        <v>0</v>
      </c>
      <c r="BB795">
        <f>OR(AND(IF(Metadata!P795="",FALSE,TRUE),OR(exact(Metadata!P795,"not collected"),exact(Metadata!P795,"not provided"),exact(Metadata!P795,"restricted access"))),AND(IF(Metadata!P795="",FALSE,TRUE),OR(exact(Metadata!P795,"air"),exact(Metadata!P795,"built environment"),exact(Metadata!P795,"host-associated"),exact(Metadata!P795,"human-associated"),exact(Metadata!P795,"human-skin"),exact(Metadata!P795,"human-oral"),exact(Metadata!P795,"human-gut"),exact(Metadata!P795,"human-vaginal"),exact(Metadata!P795,"microbial mat/biofilm"),exact(Metadata!P795,"misc environment"),exact(Metadata!P795,"plant-associated"),exact(Metadata!P795,"sediment"),exact(Metadata!P795,"soil"),exact(Metadata!P795,"wastewater/sludge"),exact(Metadata!P795,"water"))))</f>
        <v>0</v>
      </c>
      <c r="BC795">
        <f>IF(Metadata!Q795="",FALSE,TRUE)</f>
        <v>0</v>
      </c>
      <c r="BD795">
        <f>IF(Metadata!R795="",FALSE,TRUE)</f>
        <v>0</v>
      </c>
      <c r="BE795">
        <f>OR(AND(IF(Metadata!S795="",FALSE,TRUE),OR(exact(Metadata!S795,"not collected"),exact(Metadata!S795,"not provided"),exact(Metadata!S795,"restricted access"))),AND(IF(Metadata!S795="",FALSE,ISNUMBER(VALUE(Metadata!S795))),Metadata!S795&gt;=-90.00,Metadata!S795&lt;=90.00))</f>
        <v>0</v>
      </c>
      <c r="BF795">
        <f>AND(IF(Metadata!T795="",FALSE,TRUE),exact(Metadata!T795,"Decimal degrees"))</f>
        <v>0</v>
      </c>
      <c r="BG795">
        <f>OR(AND(IF(Metadata!U795="",FALSE,TRUE),OR(exact(Metadata!U795,"not collected"),exact(Metadata!U795,"not provided"),exact(Metadata!U795,"restricted access"))),AND(IF(Metadata!U795="",FALSE,ISNUMBER(VALUE(Metadata!U795))),Metadata!U795&gt;=-180.00,Metadata!U795&lt;=180.00))</f>
        <v>0</v>
      </c>
      <c r="BH795">
        <f>AND(IF(Metadata!V795="",FALSE,TRUE),exact(Metadata!V795,"Decimal degrees"))</f>
        <v>0</v>
      </c>
      <c r="BI795">
        <f>IF(Metadata!W795="",FALSE,TRUE)</f>
        <v>0</v>
      </c>
      <c r="BJ795">
        <f>OR(AND(IF(Metadata!X795="",FALSE,TRUE),OR(exact(Metadata!X795,"not collected"),exact(Metadata!X795,"not provided"),exact(Metadata!X795,"restricted access"))),AND(IF(Metadata!X795="",FALSE,TRUE),OR(exact(Metadata!X795,"TRUE"),exact(Metadata!X795,"FALSE"))))</f>
        <v>0</v>
      </c>
      <c r="BK795">
        <f>AND(IF(Metadata!Y795="",FALSE,TRUE),exact(Metadata!Y795,"other"))</f>
        <v>0</v>
      </c>
      <c r="BL795">
        <f>IF(Metadata!Z795="",FALSE,TRUE)</f>
        <v>0</v>
      </c>
      <c r="BM795">
        <f>OR(AND(IF(Metadata!AA795="",FALSE,TRUE),OR(exact(Metadata!AA795,"not collected"),exact(Metadata!AA795,"not provided"))),AND(IF(Metadata!AA795="",FALSE,IF(ISERROR(INT(Metadata!AA795)),FALSE,INT(Metadata!AA795)=Metadata!AA795)),Metadata!AA795&gt;0))</f>
        <v>0</v>
      </c>
      <c r="BN795">
        <f>AND(IF(Metadata!AB795="",FALSE,TRUE),exact(Metadata!AB795,"Not applicable"))</f>
        <v>0</v>
      </c>
      <c r="BO795">
        <f>IF(Metadata!AC795="",FALSE,TRUE)</f>
        <v>0</v>
      </c>
    </row>
    <row r="796" spans="1:67">
      <c r="A796" s="5">
        <f>IF(B796=" "," ",HYPERLINK(CONCATENATE("#metadata!",ADDRESS(INDEX($AI$2:$AI$1001,MATCH(ROWS($AG$2:AG796),$AG$2:$AG$1001,0),0),1)),INDEX($AL$2:$AL$1001,MATCH(ROWS($AG$2:AG796),$AG$2:$AG$1001,0),0)))</f>
        <v>0</v>
      </c>
      <c r="B796" s="4">
        <f>IF(OR(INDEX($AH$2:$AH$1001,MATCH(ROWS($AG$2:AG796),$AG$2:$AG$1001,0),1)&gt;=100000,INDEX($AN$1005:$BO$1005,1,MATCH(COLUMNS($AN$1006:AN1006),$AN$1006:$BO$1006,0))&gt;=100000), " ",IF(INDEX($AN$2:$BO$1001,MATCH(ROWS($AG$2:AG796),$AG$2:$AG$1001,0),MATCH(COLUMNS($AN$1006:AN1006),$AN$1006:$BO$1006,0)), HYPERLINK("#",""), HYPERLINK(CONCATENATE("#Metadata!", ADDRESS(INDEX($AI$2:$AI$1001,MATCH(ROWS($AG$2:AG796),$AG$2:$AG$1001,0),0), INDEX($AN$1004:$BO$1004,1,MATCH(COLUMNS($AN$1006:AN1006),$AN$1006:$BO$1006,0)))),"Fix")))</f>
        <v>0</v>
      </c>
      <c r="C796" s="4">
        <f>IF(OR(INDEX($AH$2:$AH$1001,MATCH(ROWS($AG$2:AG796),$AG$2:$AG$1001,0),1)&gt;=100000,INDEX($AN$1005:$BO$1005,1,MATCH(COLUMNS($AN$1006:AO1006),$AN$1006:$BO$1006,0))&gt;=100000), " ",IF(INDEX($AN$2:$BO$1001,MATCH(ROWS($AG$2:AG796),$AG$2:$AG$1001,0),MATCH(COLUMNS($AN$1006:AO1006),$AN$1006:$BO$1006,0)), HYPERLINK("#",""), HYPERLINK(CONCATENATE("#Metadata!", ADDRESS(INDEX($AI$2:$AI$1001,MATCH(ROWS($AG$2:AG796),$AG$2:$AG$1001,0),0), INDEX($AN$1004:$BO$1004,1,MATCH(COLUMNS($AN$1006:AO1006),$AN$1006:$BO$1006,0)))),"Fix")))</f>
        <v>0</v>
      </c>
      <c r="D796" s="4">
        <f>IF(OR(INDEX($AH$2:$AH$1001,MATCH(ROWS($AG$2:AG796),$AG$2:$AG$1001,0),1)&gt;=100000,INDEX($AN$1005:$BO$1005,1,MATCH(COLUMNS($AN$1006:AP1006),$AN$1006:$BO$1006,0))&gt;=100000), " ",IF(INDEX($AN$2:$BO$1001,MATCH(ROWS($AG$2:AG796),$AG$2:$AG$1001,0),MATCH(COLUMNS($AN$1006:AP1006),$AN$1006:$BO$1006,0)), HYPERLINK("#",""), HYPERLINK(CONCATENATE("#Metadata!", ADDRESS(INDEX($AI$2:$AI$1001,MATCH(ROWS($AG$2:AG796),$AG$2:$AG$1001,0),0), INDEX($AN$1004:$BO$1004,1,MATCH(COLUMNS($AN$1006:AP1006),$AN$1006:$BO$1006,0)))),"Fix")))</f>
        <v>0</v>
      </c>
      <c r="E796" s="4">
        <f>IF(OR(INDEX($AH$2:$AH$1001,MATCH(ROWS($AG$2:AG796),$AG$2:$AG$1001,0),1)&gt;=100000,INDEX($AN$1005:$BO$1005,1,MATCH(COLUMNS($AN$1006:AQ1006),$AN$1006:$BO$1006,0))&gt;=100000), " ",IF(INDEX($AN$2:$BO$1001,MATCH(ROWS($AG$2:AG796),$AG$2:$AG$1001,0),MATCH(COLUMNS($AN$1006:AQ1006),$AN$1006:$BO$1006,0)), HYPERLINK("#",""), HYPERLINK(CONCATENATE("#Metadata!", ADDRESS(INDEX($AI$2:$AI$1001,MATCH(ROWS($AG$2:AG796),$AG$2:$AG$1001,0),0), INDEX($AN$1004:$BO$1004,1,MATCH(COLUMNS($AN$1006:AQ1006),$AN$1006:$BO$1006,0)))),"Fix")))</f>
        <v>0</v>
      </c>
      <c r="F796" s="4">
        <f>IF(OR(INDEX($AH$2:$AH$1001,MATCH(ROWS($AG$2:AG796),$AG$2:$AG$1001,0),1)&gt;=100000,INDEX($AN$1005:$BO$1005,1,MATCH(COLUMNS($AN$1006:AR1006),$AN$1006:$BO$1006,0))&gt;=100000), " ",IF(INDEX($AN$2:$BO$1001,MATCH(ROWS($AG$2:AG796),$AG$2:$AG$1001,0),MATCH(COLUMNS($AN$1006:AR1006),$AN$1006:$BO$1006,0)), HYPERLINK("#",""), HYPERLINK(CONCATENATE("#Metadata!", ADDRESS(INDEX($AI$2:$AI$1001,MATCH(ROWS($AG$2:AG796),$AG$2:$AG$1001,0),0), INDEX($AN$1004:$BO$1004,1,MATCH(COLUMNS($AN$1006:AR1006),$AN$1006:$BO$1006,0)))),"Fix")))</f>
        <v>0</v>
      </c>
      <c r="G796" s="4">
        <f>IF(OR(INDEX($AH$2:$AH$1001,MATCH(ROWS($AG$2:AG796),$AG$2:$AG$1001,0),1)&gt;=100000,INDEX($AN$1005:$BO$1005,1,MATCH(COLUMNS($AN$1006:AS1006),$AN$1006:$BO$1006,0))&gt;=100000), " ",IF(INDEX($AN$2:$BO$1001,MATCH(ROWS($AG$2:AG796),$AG$2:$AG$1001,0),MATCH(COLUMNS($AN$1006:AS1006),$AN$1006:$BO$1006,0)), HYPERLINK("#",""), HYPERLINK(CONCATENATE("#Metadata!", ADDRESS(INDEX($AI$2:$AI$1001,MATCH(ROWS($AG$2:AG796),$AG$2:$AG$1001,0),0), INDEX($AN$1004:$BO$1004,1,MATCH(COLUMNS($AN$1006:AS1006),$AN$1006:$BO$1006,0)))),"Fix")))</f>
        <v>0</v>
      </c>
      <c r="H796" s="4">
        <f>IF(OR(INDEX($AH$2:$AH$1001,MATCH(ROWS($AG$2:AG796),$AG$2:$AG$1001,0),1)&gt;=100000,INDEX($AN$1005:$BO$1005,1,MATCH(COLUMNS($AN$1006:AT1006),$AN$1006:$BO$1006,0))&gt;=100000), " ",IF(INDEX($AN$2:$BO$1001,MATCH(ROWS($AG$2:AG796),$AG$2:$AG$1001,0),MATCH(COLUMNS($AN$1006:AT1006),$AN$1006:$BO$1006,0)), HYPERLINK("#",""), HYPERLINK(CONCATENATE("#Metadata!", ADDRESS(INDEX($AI$2:$AI$1001,MATCH(ROWS($AG$2:AG796),$AG$2:$AG$1001,0),0), INDEX($AN$1004:$BO$1004,1,MATCH(COLUMNS($AN$1006:AT1006),$AN$1006:$BO$1006,0)))),"Fix")))</f>
        <v>0</v>
      </c>
      <c r="I796" s="4">
        <f>IF(OR(INDEX($AH$2:$AH$1001,MATCH(ROWS($AG$2:AG796),$AG$2:$AG$1001,0),1)&gt;=100000,INDEX($AN$1005:$BO$1005,1,MATCH(COLUMNS($AN$1006:AU1006),$AN$1006:$BO$1006,0))&gt;=100000), " ",IF(INDEX($AN$2:$BO$1001,MATCH(ROWS($AG$2:AG796),$AG$2:$AG$1001,0),MATCH(COLUMNS($AN$1006:AU1006),$AN$1006:$BO$1006,0)), HYPERLINK("#",""), HYPERLINK(CONCATENATE("#Metadata!", ADDRESS(INDEX($AI$2:$AI$1001,MATCH(ROWS($AG$2:AG796),$AG$2:$AG$1001,0),0), INDEX($AN$1004:$BO$1004,1,MATCH(COLUMNS($AN$1006:AU1006),$AN$1006:$BO$1006,0)))),"Fix")))</f>
        <v>0</v>
      </c>
      <c r="J796" s="4">
        <f>IF(OR(INDEX($AH$2:$AH$1001,MATCH(ROWS($AG$2:AG796),$AG$2:$AG$1001,0),1)&gt;=100000,INDEX($AN$1005:$BO$1005,1,MATCH(COLUMNS($AN$1006:AV1006),$AN$1006:$BO$1006,0))&gt;=100000), " ",IF(INDEX($AN$2:$BO$1001,MATCH(ROWS($AG$2:AG796),$AG$2:$AG$1001,0),MATCH(COLUMNS($AN$1006:AV1006),$AN$1006:$BO$1006,0)), HYPERLINK("#",""), HYPERLINK(CONCATENATE("#Metadata!", ADDRESS(INDEX($AI$2:$AI$1001,MATCH(ROWS($AG$2:AG796),$AG$2:$AG$1001,0),0), INDEX($AN$1004:$BO$1004,1,MATCH(COLUMNS($AN$1006:AV1006),$AN$1006:$BO$1006,0)))),"Fix")))</f>
        <v>0</v>
      </c>
      <c r="K796" s="4">
        <f>IF(OR(INDEX($AH$2:$AH$1001,MATCH(ROWS($AG$2:AG796),$AG$2:$AG$1001,0),1)&gt;=100000,INDEX($AN$1005:$BO$1005,1,MATCH(COLUMNS($AN$1006:AW1006),$AN$1006:$BO$1006,0))&gt;=100000), " ",IF(INDEX($AN$2:$BO$1001,MATCH(ROWS($AG$2:AG796),$AG$2:$AG$1001,0),MATCH(COLUMNS($AN$1006:AW1006),$AN$1006:$BO$1006,0)), HYPERLINK("#",""), HYPERLINK(CONCATENATE("#Metadata!", ADDRESS(INDEX($AI$2:$AI$1001,MATCH(ROWS($AG$2:AG796),$AG$2:$AG$1001,0),0), INDEX($AN$1004:$BO$1004,1,MATCH(COLUMNS($AN$1006:AW1006),$AN$1006:$BO$1006,0)))),"Fix")))</f>
        <v>0</v>
      </c>
      <c r="L796" s="4">
        <f>IF(OR(INDEX($AH$2:$AH$1001,MATCH(ROWS($AG$2:AG796),$AG$2:$AG$1001,0),1)&gt;=100000,INDEX($AN$1005:$BO$1005,1,MATCH(COLUMNS($AN$1006:AX1006),$AN$1006:$BO$1006,0))&gt;=100000), " ",IF(INDEX($AN$2:$BO$1001,MATCH(ROWS($AG$2:AG796),$AG$2:$AG$1001,0),MATCH(COLUMNS($AN$1006:AX1006),$AN$1006:$BO$1006,0)), HYPERLINK("#",""), HYPERLINK(CONCATENATE("#Metadata!", ADDRESS(INDEX($AI$2:$AI$1001,MATCH(ROWS($AG$2:AG796),$AG$2:$AG$1001,0),0), INDEX($AN$1004:$BO$1004,1,MATCH(COLUMNS($AN$1006:AX1006),$AN$1006:$BO$1006,0)))),"Fix")))</f>
        <v>0</v>
      </c>
      <c r="M796" s="4">
        <f>IF(OR(INDEX($AH$2:$AH$1001,MATCH(ROWS($AG$2:AG796),$AG$2:$AG$1001,0),1)&gt;=100000,INDEX($AN$1005:$BO$1005,1,MATCH(COLUMNS($AN$1006:AY1006),$AN$1006:$BO$1006,0))&gt;=100000), " ",IF(INDEX($AN$2:$BO$1001,MATCH(ROWS($AG$2:AG796),$AG$2:$AG$1001,0),MATCH(COLUMNS($AN$1006:AY1006),$AN$1006:$BO$1006,0)), HYPERLINK("#",""), HYPERLINK(CONCATENATE("#Metadata!", ADDRESS(INDEX($AI$2:$AI$1001,MATCH(ROWS($AG$2:AG796),$AG$2:$AG$1001,0),0), INDEX($AN$1004:$BO$1004,1,MATCH(COLUMNS($AN$1006:AY1006),$AN$1006:$BO$1006,0)))),"Fix")))</f>
        <v>0</v>
      </c>
      <c r="N796" s="4">
        <f>IF(OR(INDEX($AH$2:$AH$1001,MATCH(ROWS($AG$2:AG796),$AG$2:$AG$1001,0),1)&gt;=100000,INDEX($AN$1005:$BO$1005,1,MATCH(COLUMNS($AN$1006:AZ1006),$AN$1006:$BO$1006,0))&gt;=100000), " ",IF(INDEX($AN$2:$BO$1001,MATCH(ROWS($AG$2:AG796),$AG$2:$AG$1001,0),MATCH(COLUMNS($AN$1006:AZ1006),$AN$1006:$BO$1006,0)), HYPERLINK("#",""), HYPERLINK(CONCATENATE("#Metadata!", ADDRESS(INDEX($AI$2:$AI$1001,MATCH(ROWS($AG$2:AG796),$AG$2:$AG$1001,0),0), INDEX($AN$1004:$BO$1004,1,MATCH(COLUMNS($AN$1006:AZ1006),$AN$1006:$BO$1006,0)))),"Fix")))</f>
        <v>0</v>
      </c>
      <c r="O796" s="4">
        <f>IF(OR(INDEX($AH$2:$AH$1001,MATCH(ROWS($AG$2:AG796),$AG$2:$AG$1001,0),1)&gt;=100000,INDEX($AN$1005:$BO$1005,1,MATCH(COLUMNS($AN$1006:BA1006),$AN$1006:$BO$1006,0))&gt;=100000), " ",IF(INDEX($AN$2:$BO$1001,MATCH(ROWS($AG$2:AG796),$AG$2:$AG$1001,0),MATCH(COLUMNS($AN$1006:BA1006),$AN$1006:$BO$1006,0)), HYPERLINK("#",""), HYPERLINK(CONCATENATE("#Metadata!", ADDRESS(INDEX($AI$2:$AI$1001,MATCH(ROWS($AG$2:AG796),$AG$2:$AG$1001,0),0), INDEX($AN$1004:$BO$1004,1,MATCH(COLUMNS($AN$1006:BA1006),$AN$1006:$BO$1006,0)))),"Fix")))</f>
        <v>0</v>
      </c>
      <c r="P796" s="4">
        <f>IF(OR(INDEX($AH$2:$AH$1001,MATCH(ROWS($AG$2:AG796),$AG$2:$AG$1001,0),1)&gt;=100000,INDEX($AN$1005:$BO$1005,1,MATCH(COLUMNS($AN$1006:BB1006),$AN$1006:$BO$1006,0))&gt;=100000), " ",IF(INDEX($AN$2:$BO$1001,MATCH(ROWS($AG$2:AG796),$AG$2:$AG$1001,0),MATCH(COLUMNS($AN$1006:BB1006),$AN$1006:$BO$1006,0)), HYPERLINK("#",""), HYPERLINK(CONCATENATE("#Metadata!", ADDRESS(INDEX($AI$2:$AI$1001,MATCH(ROWS($AG$2:AG796),$AG$2:$AG$1001,0),0), INDEX($AN$1004:$BO$1004,1,MATCH(COLUMNS($AN$1006:BB1006),$AN$1006:$BO$1006,0)))),"Fix")))</f>
        <v>0</v>
      </c>
      <c r="Q796" s="4">
        <f>IF(OR(INDEX($AH$2:$AH$1001,MATCH(ROWS($AG$2:AG796),$AG$2:$AG$1001,0),1)&gt;=100000,INDEX($AN$1005:$BO$1005,1,MATCH(COLUMNS($AN$1006:BC1006),$AN$1006:$BO$1006,0))&gt;=100000), " ",IF(INDEX($AN$2:$BO$1001,MATCH(ROWS($AG$2:AG796),$AG$2:$AG$1001,0),MATCH(COLUMNS($AN$1006:BC1006),$AN$1006:$BO$1006,0)), HYPERLINK("#",""), HYPERLINK(CONCATENATE("#Metadata!", ADDRESS(INDEX($AI$2:$AI$1001,MATCH(ROWS($AG$2:AG796),$AG$2:$AG$1001,0),0), INDEX($AN$1004:$BO$1004,1,MATCH(COLUMNS($AN$1006:BC1006),$AN$1006:$BO$1006,0)))),"Fix")))</f>
        <v>0</v>
      </c>
      <c r="R796" s="4">
        <f>IF(OR(INDEX($AH$2:$AH$1001,MATCH(ROWS($AG$2:AG796),$AG$2:$AG$1001,0),1)&gt;=100000,INDEX($AN$1005:$BO$1005,1,MATCH(COLUMNS($AN$1006:BD1006),$AN$1006:$BO$1006,0))&gt;=100000), " ",IF(INDEX($AN$2:$BO$1001,MATCH(ROWS($AG$2:AG796),$AG$2:$AG$1001,0),MATCH(COLUMNS($AN$1006:BD1006),$AN$1006:$BO$1006,0)), HYPERLINK("#",""), HYPERLINK(CONCATENATE("#Metadata!", ADDRESS(INDEX($AI$2:$AI$1001,MATCH(ROWS($AG$2:AG796),$AG$2:$AG$1001,0),0), INDEX($AN$1004:$BO$1004,1,MATCH(COLUMNS($AN$1006:BD1006),$AN$1006:$BO$1006,0)))),"Fix")))</f>
        <v>0</v>
      </c>
      <c r="S796" s="4">
        <f>IF(OR(INDEX($AH$2:$AH$1001,MATCH(ROWS($AG$2:AG796),$AG$2:$AG$1001,0),1)&gt;=100000,INDEX($AN$1005:$BO$1005,1,MATCH(COLUMNS($AN$1006:BE1006),$AN$1006:$BO$1006,0))&gt;=100000), " ",IF(INDEX($AN$2:$BO$1001,MATCH(ROWS($AG$2:AG796),$AG$2:$AG$1001,0),MATCH(COLUMNS($AN$1006:BE1006),$AN$1006:$BO$1006,0)), HYPERLINK("#",""), HYPERLINK(CONCATENATE("#Metadata!", ADDRESS(INDEX($AI$2:$AI$1001,MATCH(ROWS($AG$2:AG796),$AG$2:$AG$1001,0),0), INDEX($AN$1004:$BO$1004,1,MATCH(COLUMNS($AN$1006:BE1006),$AN$1006:$BO$1006,0)))),"Fix")))</f>
        <v>0</v>
      </c>
      <c r="T796" s="4">
        <f>IF(OR(INDEX($AH$2:$AH$1001,MATCH(ROWS($AG$2:AG796),$AG$2:$AG$1001,0),1)&gt;=100000,INDEX($AN$1005:$BO$1005,1,MATCH(COLUMNS($AN$1006:BF1006),$AN$1006:$BO$1006,0))&gt;=100000), " ",IF(INDEX($AN$2:$BO$1001,MATCH(ROWS($AG$2:AG796),$AG$2:$AG$1001,0),MATCH(COLUMNS($AN$1006:BF1006),$AN$1006:$BO$1006,0)), HYPERLINK("#",""), HYPERLINK(CONCATENATE("#Metadata!", ADDRESS(INDEX($AI$2:$AI$1001,MATCH(ROWS($AG$2:AG796),$AG$2:$AG$1001,0),0), INDEX($AN$1004:$BO$1004,1,MATCH(COLUMNS($AN$1006:BF1006),$AN$1006:$BO$1006,0)))),"Fix")))</f>
        <v>0</v>
      </c>
      <c r="U796" s="4">
        <f>IF(OR(INDEX($AH$2:$AH$1001,MATCH(ROWS($AG$2:AG796),$AG$2:$AG$1001,0),1)&gt;=100000,INDEX($AN$1005:$BO$1005,1,MATCH(COLUMNS($AN$1006:BG1006),$AN$1006:$BO$1006,0))&gt;=100000), " ",IF(INDEX($AN$2:$BO$1001,MATCH(ROWS($AG$2:AG796),$AG$2:$AG$1001,0),MATCH(COLUMNS($AN$1006:BG1006),$AN$1006:$BO$1006,0)), HYPERLINK("#",""), HYPERLINK(CONCATENATE("#Metadata!", ADDRESS(INDEX($AI$2:$AI$1001,MATCH(ROWS($AG$2:AG796),$AG$2:$AG$1001,0),0), INDEX($AN$1004:$BO$1004,1,MATCH(COLUMNS($AN$1006:BG1006),$AN$1006:$BO$1006,0)))),"Fix")))</f>
        <v>0</v>
      </c>
      <c r="V796" s="4">
        <f>IF(OR(INDEX($AH$2:$AH$1001,MATCH(ROWS($AG$2:AG796),$AG$2:$AG$1001,0),1)&gt;=100000,INDEX($AN$1005:$BO$1005,1,MATCH(COLUMNS($AN$1006:BH1006),$AN$1006:$BO$1006,0))&gt;=100000), " ",IF(INDEX($AN$2:$BO$1001,MATCH(ROWS($AG$2:AG796),$AG$2:$AG$1001,0),MATCH(COLUMNS($AN$1006:BH1006),$AN$1006:$BO$1006,0)), HYPERLINK("#",""), HYPERLINK(CONCATENATE("#Metadata!", ADDRESS(INDEX($AI$2:$AI$1001,MATCH(ROWS($AG$2:AG796),$AG$2:$AG$1001,0),0), INDEX($AN$1004:$BO$1004,1,MATCH(COLUMNS($AN$1006:BH1006),$AN$1006:$BO$1006,0)))),"Fix")))</f>
        <v>0</v>
      </c>
      <c r="W796" s="4">
        <f>IF(OR(INDEX($AH$2:$AH$1001,MATCH(ROWS($AG$2:AG796),$AG$2:$AG$1001,0),1)&gt;=100000,INDEX($AN$1005:$BO$1005,1,MATCH(COLUMNS($AN$1006:BI1006),$AN$1006:$BO$1006,0))&gt;=100000), " ",IF(INDEX($AN$2:$BO$1001,MATCH(ROWS($AG$2:AG796),$AG$2:$AG$1001,0),MATCH(COLUMNS($AN$1006:BI1006),$AN$1006:$BO$1006,0)), HYPERLINK("#",""), HYPERLINK(CONCATENATE("#Metadata!", ADDRESS(INDEX($AI$2:$AI$1001,MATCH(ROWS($AG$2:AG796),$AG$2:$AG$1001,0),0), INDEX($AN$1004:$BO$1004,1,MATCH(COLUMNS($AN$1006:BI1006),$AN$1006:$BO$1006,0)))),"Fix")))</f>
        <v>0</v>
      </c>
      <c r="X796" s="4">
        <f>IF(OR(INDEX($AH$2:$AH$1001,MATCH(ROWS($AG$2:AG796),$AG$2:$AG$1001,0),1)&gt;=100000,INDEX($AN$1005:$BO$1005,1,MATCH(COLUMNS($AN$1006:BJ1006),$AN$1006:$BO$1006,0))&gt;=100000), " ",IF(INDEX($AN$2:$BO$1001,MATCH(ROWS($AG$2:AG796),$AG$2:$AG$1001,0),MATCH(COLUMNS($AN$1006:BJ1006),$AN$1006:$BO$1006,0)), HYPERLINK("#",""), HYPERLINK(CONCATENATE("#Metadata!", ADDRESS(INDEX($AI$2:$AI$1001,MATCH(ROWS($AG$2:AG796),$AG$2:$AG$1001,0),0), INDEX($AN$1004:$BO$1004,1,MATCH(COLUMNS($AN$1006:BJ1006),$AN$1006:$BO$1006,0)))),"Fix")))</f>
        <v>0</v>
      </c>
      <c r="Y796" s="4">
        <f>IF(OR(INDEX($AH$2:$AH$1001,MATCH(ROWS($AG$2:AG796),$AG$2:$AG$1001,0),1)&gt;=100000,INDEX($AN$1005:$BO$1005,1,MATCH(COLUMNS($AN$1006:BK1006),$AN$1006:$BO$1006,0))&gt;=100000), " ",IF(INDEX($AN$2:$BO$1001,MATCH(ROWS($AG$2:AG796),$AG$2:$AG$1001,0),MATCH(COLUMNS($AN$1006:BK1006),$AN$1006:$BO$1006,0)), HYPERLINK("#",""), HYPERLINK(CONCATENATE("#Metadata!", ADDRESS(INDEX($AI$2:$AI$1001,MATCH(ROWS($AG$2:AG796),$AG$2:$AG$1001,0),0), INDEX($AN$1004:$BO$1004,1,MATCH(COLUMNS($AN$1006:BK1006),$AN$1006:$BO$1006,0)))),"Fix")))</f>
        <v>0</v>
      </c>
      <c r="Z796" s="4">
        <f>IF(OR(INDEX($AH$2:$AH$1001,MATCH(ROWS($AG$2:AG796),$AG$2:$AG$1001,0),1)&gt;=100000,INDEX($AN$1005:$BO$1005,1,MATCH(COLUMNS($AN$1006:BL1006),$AN$1006:$BO$1006,0))&gt;=100000), " ",IF(INDEX($AN$2:$BO$1001,MATCH(ROWS($AG$2:AG796),$AG$2:$AG$1001,0),MATCH(COLUMNS($AN$1006:BL1006),$AN$1006:$BO$1006,0)), HYPERLINK("#",""), HYPERLINK(CONCATENATE("#Metadata!", ADDRESS(INDEX($AI$2:$AI$1001,MATCH(ROWS($AG$2:AG796),$AG$2:$AG$1001,0),0), INDEX($AN$1004:$BO$1004,1,MATCH(COLUMNS($AN$1006:BL1006),$AN$1006:$BO$1006,0)))),"Fix")))</f>
        <v>0</v>
      </c>
      <c r="AA796" s="4">
        <f>IF(OR(INDEX($AH$2:$AH$1001,MATCH(ROWS($AG$2:AG796),$AG$2:$AG$1001,0),1)&gt;=100000,INDEX($AN$1005:$BO$1005,1,MATCH(COLUMNS($AN$1006:BM1006),$AN$1006:$BO$1006,0))&gt;=100000), " ",IF(INDEX($AN$2:$BO$1001,MATCH(ROWS($AG$2:AG796),$AG$2:$AG$1001,0),MATCH(COLUMNS($AN$1006:BM1006),$AN$1006:$BO$1006,0)), HYPERLINK("#",""), HYPERLINK(CONCATENATE("#Metadata!", ADDRESS(INDEX($AI$2:$AI$1001,MATCH(ROWS($AG$2:AG796),$AG$2:$AG$1001,0),0), INDEX($AN$1004:$BO$1004,1,MATCH(COLUMNS($AN$1006:BM1006),$AN$1006:$BO$1006,0)))),"Fix")))</f>
        <v>0</v>
      </c>
      <c r="AB796" s="4">
        <f>IF(OR(INDEX($AH$2:$AH$1001,MATCH(ROWS($AG$2:AG796),$AG$2:$AG$1001,0),1)&gt;=100000,INDEX($AN$1005:$BO$1005,1,MATCH(COLUMNS($AN$1006:BN1006),$AN$1006:$BO$1006,0))&gt;=100000), " ",IF(INDEX($AN$2:$BO$1001,MATCH(ROWS($AG$2:AG796),$AG$2:$AG$1001,0),MATCH(COLUMNS($AN$1006:BN1006),$AN$1006:$BO$1006,0)), HYPERLINK("#",""), HYPERLINK(CONCATENATE("#Metadata!", ADDRESS(INDEX($AI$2:$AI$1001,MATCH(ROWS($AG$2:AG796),$AG$2:$AG$1001,0),0), INDEX($AN$1004:$BO$1004,1,MATCH(COLUMNS($AN$1006:BN1006),$AN$1006:$BO$1006,0)))),"Fix")))</f>
        <v>0</v>
      </c>
      <c r="AC796" s="4">
        <f>IF(OR(INDEX($AH$2:$AH$1001,MATCH(ROWS($AG$2:AG796),$AG$2:$AG$1001,0),1)&gt;=100000,INDEX($AN$1005:$BO$1005,1,MATCH(COLUMNS($AN$1006:BO1006),$AN$1006:$BO$1006,0))&gt;=100000), " ",IF(INDEX($AN$2:$BO$1001,MATCH(ROWS($AG$2:AG796),$AG$2:$AG$1001,0),MATCH(COLUMNS($AN$1006:BO1006),$AN$1006:$BO$1006,0)), HYPERLINK("#",""), HYPERLINK(CONCATENATE("#Metadata!", ADDRESS(INDEX($AI$2:$AI$1001,MATCH(ROWS($AG$2:AG796),$AG$2:$AG$1001,0),0), INDEX($AN$1004:$BO$1004,1,MATCH(COLUMNS($AN$1006:BO1006),$AN$1006:$BO$1006,0)))),"Fix")))</f>
        <v>0</v>
      </c>
      <c r="AG796">
        <v>0</v>
      </c>
      <c r="AH796">
        <v>0</v>
      </c>
      <c r="AI796">
        <v>0</v>
      </c>
      <c r="AJ796">
        <f>IF(AK796,TRUE,AND(AN796:BO796))</f>
        <v>0</v>
      </c>
      <c r="AK796">
        <f>COUNTBLANK(Metadata!B796:AC796)=COLUMNS(Metadata!B796:AC796)</f>
        <v>0</v>
      </c>
      <c r="AL796">
        <v>0</v>
      </c>
      <c r="AN796">
        <f>AND(IF(Metadata!B796="",FALSE,TRUE),COUNTIF(Metadata!B:B, Metadata!B796) = 1,NOT(ISERROR(SUMPRODUCT(SEARCH(MID(Metadata!B796,ROW(INDIRECT("1:"&amp;LEN(Metadata!B796))), 1),"0123456789abcdefghijklmnopqrstuvwxyzABCDEFGHIJKLMNOPQRSTUVWXYZ.")))))</f>
        <v>0</v>
      </c>
      <c r="AO796">
        <f>IF(Metadata!C796="",FALSE,TRUE)</f>
        <v>0</v>
      </c>
      <c r="AP796">
        <f>IF(Metadata!D796="",FALSE,TRUE)</f>
        <v>0</v>
      </c>
      <c r="AQ796">
        <f>OR(AND(IF(Metadata!E796="",FALSE,TRUE),OR(exact(Metadata!E796,"not collected"),exact(Metadata!E796,"not provided"),exact(Metadata!E796,"restricted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R796">
        <f>IF(Metadata!F796="",FALSE,TRUE)</f>
        <v>0</v>
      </c>
      <c r="AS796">
        <f>OR(AND(IF(Metadata!G796="",FALSE,TRUE),OR(exact(Metadata!G796,"not collected"),exact(Metadata!G796,"not provided"))),AND(IF(Metadata!G796="",FALSE,TRUE),OR(exact(Metadata!G796,"TRUE"),exact(Metadata!G796,"FALSE"))))</f>
        <v>0</v>
      </c>
      <c r="AT796">
        <f>OR(AND(IF(Metadata!H796="",FALSE,TRUE),OR(exact(Metadata!H796,"not collected"),exact(Metadata!H796,"not provided"),exact(Metadata!H796,"restricted access"))),AND(IF(Metadata!H796="",FALSE,ISNUMBER(VALUE(Metadata!H796))),Metadata!H796&gt;=-413.0))</f>
        <v>0</v>
      </c>
      <c r="AU796">
        <f>AND(IF(Metadata!I796="",FALSE,TRUE),exact(Metadata!I796,"meters"))</f>
        <v>0</v>
      </c>
      <c r="AV796">
        <f>AND(IF(Metadata!J796="",FALSE,TRUE),OR(exact(Metadata!J796,"Host-associated"),exact(Metadata!J796,"Free-living")))</f>
        <v>0</v>
      </c>
      <c r="AW796">
        <f>AND(IF(Metadata!K796="",FALSE,TRUE),OR(exact(Metadata!K796,"Animal"),exact(Metadata!K796,"Fungus"),exact(Metadata!K796,"Plant"),exact(Metadata!K796,"Saline"),exact(Metadata!K796,"Non-saline")))</f>
        <v>0</v>
      </c>
      <c r="AX796">
        <f>AND(IF(Metadata!L796="",FALSE,TRUE),OR(exact(Metadata!L796,"Plant secretion"),exact(Metadata!L796,"Plant rhizosphere"),exact(Metadata!L796,"Plant surface"),exact(Metadata!L796,"Plant corpus"),exact(Metadata!L796,"Fungus surface"),exact(Metadata!L796,"Fungus corpus"),exact(Metadata!L796,"Animal surface"),exact(Metadata!L796,"Animal proximal gut"),exact(Metadata!L796,"Animal corpus"),exact(Metadata!L796,"Animal distal gut"),exact(Metadata!L796,"Animal secretion"),exact(Metadata!L796,"Sub-surface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Y796">
        <f>IF(Metadata!M796="",FALSE,TRUE)</f>
        <v>0</v>
      </c>
      <c r="AZ796">
        <f>IF(Metadata!N796="",FALSE,TRUE)</f>
        <v>0</v>
      </c>
      <c r="BA796">
        <f>IF(Metadata!O796="",FALSE,TRUE)</f>
        <v>0</v>
      </c>
      <c r="BB796">
        <f>OR(AND(IF(Metadata!P796="",FALSE,TRUE),OR(exact(Metadata!P796,"not collected"),exact(Metadata!P796,"not provided"),exact(Metadata!P796,"restricted access"))),AND(IF(Metadata!P796="",FALSE,TRUE),OR(exact(Metadata!P796,"air"),exact(Metadata!P796,"built environment"),exact(Metadata!P796,"host-associated"),exact(Metadata!P796,"human-associated"),exact(Metadata!P796,"human-skin"),exact(Metadata!P796,"human-oral"),exact(Metadata!P796,"human-gut"),exact(Metadata!P796,"human-vaginal"),exact(Metadata!P796,"microbial mat/biofilm"),exact(Metadata!P796,"misc environment"),exact(Metadata!P796,"plant-associated"),exact(Metadata!P796,"sediment"),exact(Metadata!P796,"soil"),exact(Metadata!P796,"wastewater/sludge"),exact(Metadata!P796,"water"))))</f>
        <v>0</v>
      </c>
      <c r="BC796">
        <f>IF(Metadata!Q796="",FALSE,TRUE)</f>
        <v>0</v>
      </c>
      <c r="BD796">
        <f>IF(Metadata!R796="",FALSE,TRUE)</f>
        <v>0</v>
      </c>
      <c r="BE796">
        <f>OR(AND(IF(Metadata!S796="",FALSE,TRUE),OR(exact(Metadata!S796,"not collected"),exact(Metadata!S796,"not provided"),exact(Metadata!S796,"restricted access"))),AND(IF(Metadata!S796="",FALSE,ISNUMBER(VALUE(Metadata!S796))),Metadata!S796&gt;=-90.00,Metadata!S796&lt;=90.00))</f>
        <v>0</v>
      </c>
      <c r="BF796">
        <f>AND(IF(Metadata!T796="",FALSE,TRUE),exact(Metadata!T796,"Decimal degrees"))</f>
        <v>0</v>
      </c>
      <c r="BG796">
        <f>OR(AND(IF(Metadata!U796="",FALSE,TRUE),OR(exact(Metadata!U796,"not collected"),exact(Metadata!U796,"not provided"),exact(Metadata!U796,"restricted access"))),AND(IF(Metadata!U796="",FALSE,ISNUMBER(VALUE(Metadata!U796))),Metadata!U796&gt;=-180.00,Metadata!U796&lt;=180.00))</f>
        <v>0</v>
      </c>
      <c r="BH796">
        <f>AND(IF(Metadata!V796="",FALSE,TRUE),exact(Metadata!V796,"Decimal degrees"))</f>
        <v>0</v>
      </c>
      <c r="BI796">
        <f>IF(Metadata!W796="",FALSE,TRUE)</f>
        <v>0</v>
      </c>
      <c r="BJ796">
        <f>OR(AND(IF(Metadata!X796="",FALSE,TRUE),OR(exact(Metadata!X796,"not collected"),exact(Metadata!X796,"not provided"),exact(Metadata!X796,"restricted access"))),AND(IF(Metadata!X796="",FALSE,TRUE),OR(exact(Metadata!X796,"TRUE"),exact(Metadata!X796,"FALSE"))))</f>
        <v>0</v>
      </c>
      <c r="BK796">
        <f>AND(IF(Metadata!Y796="",FALSE,TRUE),exact(Metadata!Y796,"other"))</f>
        <v>0</v>
      </c>
      <c r="BL796">
        <f>IF(Metadata!Z796="",FALSE,TRUE)</f>
        <v>0</v>
      </c>
      <c r="BM796">
        <f>OR(AND(IF(Metadata!AA796="",FALSE,TRUE),OR(exact(Metadata!AA796,"not collected"),exact(Metadata!AA796,"not provided"))),AND(IF(Metadata!AA796="",FALSE,IF(ISERROR(INT(Metadata!AA796)),FALSE,INT(Metadata!AA796)=Metadata!AA796)),Metadata!AA796&gt;0))</f>
        <v>0</v>
      </c>
      <c r="BN796">
        <f>AND(IF(Metadata!AB796="",FALSE,TRUE),exact(Metadata!AB796,"Not applicable"))</f>
        <v>0</v>
      </c>
      <c r="BO796">
        <f>IF(Metadata!AC796="",FALSE,TRUE)</f>
        <v>0</v>
      </c>
    </row>
    <row r="797" spans="1:67">
      <c r="A797" s="5">
        <f>IF(B797=" "," ",HYPERLINK(CONCATENATE("#metadata!",ADDRESS(INDEX($AI$2:$AI$1001,MATCH(ROWS($AG$2:AG797),$AG$2:$AG$1001,0),0),1)),INDEX($AL$2:$AL$1001,MATCH(ROWS($AG$2:AG797),$AG$2:$AG$1001,0),0)))</f>
        <v>0</v>
      </c>
      <c r="B797" s="4">
        <f>IF(OR(INDEX($AH$2:$AH$1001,MATCH(ROWS($AG$2:AG797),$AG$2:$AG$1001,0),1)&gt;=100000,INDEX($AN$1005:$BO$1005,1,MATCH(COLUMNS($AN$1006:AN1006),$AN$1006:$BO$1006,0))&gt;=100000), " ",IF(INDEX($AN$2:$BO$1001,MATCH(ROWS($AG$2:AG797),$AG$2:$AG$1001,0),MATCH(COLUMNS($AN$1006:AN1006),$AN$1006:$BO$1006,0)), HYPERLINK("#",""), HYPERLINK(CONCATENATE("#Metadata!", ADDRESS(INDEX($AI$2:$AI$1001,MATCH(ROWS($AG$2:AG797),$AG$2:$AG$1001,0),0), INDEX($AN$1004:$BO$1004,1,MATCH(COLUMNS($AN$1006:AN1006),$AN$1006:$BO$1006,0)))),"Fix")))</f>
        <v>0</v>
      </c>
      <c r="C797" s="4">
        <f>IF(OR(INDEX($AH$2:$AH$1001,MATCH(ROWS($AG$2:AG797),$AG$2:$AG$1001,0),1)&gt;=100000,INDEX($AN$1005:$BO$1005,1,MATCH(COLUMNS($AN$1006:AO1006),$AN$1006:$BO$1006,0))&gt;=100000), " ",IF(INDEX($AN$2:$BO$1001,MATCH(ROWS($AG$2:AG797),$AG$2:$AG$1001,0),MATCH(COLUMNS($AN$1006:AO1006),$AN$1006:$BO$1006,0)), HYPERLINK("#",""), HYPERLINK(CONCATENATE("#Metadata!", ADDRESS(INDEX($AI$2:$AI$1001,MATCH(ROWS($AG$2:AG797),$AG$2:$AG$1001,0),0), INDEX($AN$1004:$BO$1004,1,MATCH(COLUMNS($AN$1006:AO1006),$AN$1006:$BO$1006,0)))),"Fix")))</f>
        <v>0</v>
      </c>
      <c r="D797" s="4">
        <f>IF(OR(INDEX($AH$2:$AH$1001,MATCH(ROWS($AG$2:AG797),$AG$2:$AG$1001,0),1)&gt;=100000,INDEX($AN$1005:$BO$1005,1,MATCH(COLUMNS($AN$1006:AP1006),$AN$1006:$BO$1006,0))&gt;=100000), " ",IF(INDEX($AN$2:$BO$1001,MATCH(ROWS($AG$2:AG797),$AG$2:$AG$1001,0),MATCH(COLUMNS($AN$1006:AP1006),$AN$1006:$BO$1006,0)), HYPERLINK("#",""), HYPERLINK(CONCATENATE("#Metadata!", ADDRESS(INDEX($AI$2:$AI$1001,MATCH(ROWS($AG$2:AG797),$AG$2:$AG$1001,0),0), INDEX($AN$1004:$BO$1004,1,MATCH(COLUMNS($AN$1006:AP1006),$AN$1006:$BO$1006,0)))),"Fix")))</f>
        <v>0</v>
      </c>
      <c r="E797" s="4">
        <f>IF(OR(INDEX($AH$2:$AH$1001,MATCH(ROWS($AG$2:AG797),$AG$2:$AG$1001,0),1)&gt;=100000,INDEX($AN$1005:$BO$1005,1,MATCH(COLUMNS($AN$1006:AQ1006),$AN$1006:$BO$1006,0))&gt;=100000), " ",IF(INDEX($AN$2:$BO$1001,MATCH(ROWS($AG$2:AG797),$AG$2:$AG$1001,0),MATCH(COLUMNS($AN$1006:AQ1006),$AN$1006:$BO$1006,0)), HYPERLINK("#",""), HYPERLINK(CONCATENATE("#Metadata!", ADDRESS(INDEX($AI$2:$AI$1001,MATCH(ROWS($AG$2:AG797),$AG$2:$AG$1001,0),0), INDEX($AN$1004:$BO$1004,1,MATCH(COLUMNS($AN$1006:AQ1006),$AN$1006:$BO$1006,0)))),"Fix")))</f>
        <v>0</v>
      </c>
      <c r="F797" s="4">
        <f>IF(OR(INDEX($AH$2:$AH$1001,MATCH(ROWS($AG$2:AG797),$AG$2:$AG$1001,0),1)&gt;=100000,INDEX($AN$1005:$BO$1005,1,MATCH(COLUMNS($AN$1006:AR1006),$AN$1006:$BO$1006,0))&gt;=100000), " ",IF(INDEX($AN$2:$BO$1001,MATCH(ROWS($AG$2:AG797),$AG$2:$AG$1001,0),MATCH(COLUMNS($AN$1006:AR1006),$AN$1006:$BO$1006,0)), HYPERLINK("#",""), HYPERLINK(CONCATENATE("#Metadata!", ADDRESS(INDEX($AI$2:$AI$1001,MATCH(ROWS($AG$2:AG797),$AG$2:$AG$1001,0),0), INDEX($AN$1004:$BO$1004,1,MATCH(COLUMNS($AN$1006:AR1006),$AN$1006:$BO$1006,0)))),"Fix")))</f>
        <v>0</v>
      </c>
      <c r="G797" s="4">
        <f>IF(OR(INDEX($AH$2:$AH$1001,MATCH(ROWS($AG$2:AG797),$AG$2:$AG$1001,0),1)&gt;=100000,INDEX($AN$1005:$BO$1005,1,MATCH(COLUMNS($AN$1006:AS1006),$AN$1006:$BO$1006,0))&gt;=100000), " ",IF(INDEX($AN$2:$BO$1001,MATCH(ROWS($AG$2:AG797),$AG$2:$AG$1001,0),MATCH(COLUMNS($AN$1006:AS1006),$AN$1006:$BO$1006,0)), HYPERLINK("#",""), HYPERLINK(CONCATENATE("#Metadata!", ADDRESS(INDEX($AI$2:$AI$1001,MATCH(ROWS($AG$2:AG797),$AG$2:$AG$1001,0),0), INDEX($AN$1004:$BO$1004,1,MATCH(COLUMNS($AN$1006:AS1006),$AN$1006:$BO$1006,0)))),"Fix")))</f>
        <v>0</v>
      </c>
      <c r="H797" s="4">
        <f>IF(OR(INDEX($AH$2:$AH$1001,MATCH(ROWS($AG$2:AG797),$AG$2:$AG$1001,0),1)&gt;=100000,INDEX($AN$1005:$BO$1005,1,MATCH(COLUMNS($AN$1006:AT1006),$AN$1006:$BO$1006,0))&gt;=100000), " ",IF(INDEX($AN$2:$BO$1001,MATCH(ROWS($AG$2:AG797),$AG$2:$AG$1001,0),MATCH(COLUMNS($AN$1006:AT1006),$AN$1006:$BO$1006,0)), HYPERLINK("#",""), HYPERLINK(CONCATENATE("#Metadata!", ADDRESS(INDEX($AI$2:$AI$1001,MATCH(ROWS($AG$2:AG797),$AG$2:$AG$1001,0),0), INDEX($AN$1004:$BO$1004,1,MATCH(COLUMNS($AN$1006:AT1006),$AN$1006:$BO$1006,0)))),"Fix")))</f>
        <v>0</v>
      </c>
      <c r="I797" s="4">
        <f>IF(OR(INDEX($AH$2:$AH$1001,MATCH(ROWS($AG$2:AG797),$AG$2:$AG$1001,0),1)&gt;=100000,INDEX($AN$1005:$BO$1005,1,MATCH(COLUMNS($AN$1006:AU1006),$AN$1006:$BO$1006,0))&gt;=100000), " ",IF(INDEX($AN$2:$BO$1001,MATCH(ROWS($AG$2:AG797),$AG$2:$AG$1001,0),MATCH(COLUMNS($AN$1006:AU1006),$AN$1006:$BO$1006,0)), HYPERLINK("#",""), HYPERLINK(CONCATENATE("#Metadata!", ADDRESS(INDEX($AI$2:$AI$1001,MATCH(ROWS($AG$2:AG797),$AG$2:$AG$1001,0),0), INDEX($AN$1004:$BO$1004,1,MATCH(COLUMNS($AN$1006:AU1006),$AN$1006:$BO$1006,0)))),"Fix")))</f>
        <v>0</v>
      </c>
      <c r="J797" s="4">
        <f>IF(OR(INDEX($AH$2:$AH$1001,MATCH(ROWS($AG$2:AG797),$AG$2:$AG$1001,0),1)&gt;=100000,INDEX($AN$1005:$BO$1005,1,MATCH(COLUMNS($AN$1006:AV1006),$AN$1006:$BO$1006,0))&gt;=100000), " ",IF(INDEX($AN$2:$BO$1001,MATCH(ROWS($AG$2:AG797),$AG$2:$AG$1001,0),MATCH(COLUMNS($AN$1006:AV1006),$AN$1006:$BO$1006,0)), HYPERLINK("#",""), HYPERLINK(CONCATENATE("#Metadata!", ADDRESS(INDEX($AI$2:$AI$1001,MATCH(ROWS($AG$2:AG797),$AG$2:$AG$1001,0),0), INDEX($AN$1004:$BO$1004,1,MATCH(COLUMNS($AN$1006:AV1006),$AN$1006:$BO$1006,0)))),"Fix")))</f>
        <v>0</v>
      </c>
      <c r="K797" s="4">
        <f>IF(OR(INDEX($AH$2:$AH$1001,MATCH(ROWS($AG$2:AG797),$AG$2:$AG$1001,0),1)&gt;=100000,INDEX($AN$1005:$BO$1005,1,MATCH(COLUMNS($AN$1006:AW1006),$AN$1006:$BO$1006,0))&gt;=100000), " ",IF(INDEX($AN$2:$BO$1001,MATCH(ROWS($AG$2:AG797),$AG$2:$AG$1001,0),MATCH(COLUMNS($AN$1006:AW1006),$AN$1006:$BO$1006,0)), HYPERLINK("#",""), HYPERLINK(CONCATENATE("#Metadata!", ADDRESS(INDEX($AI$2:$AI$1001,MATCH(ROWS($AG$2:AG797),$AG$2:$AG$1001,0),0), INDEX($AN$1004:$BO$1004,1,MATCH(COLUMNS($AN$1006:AW1006),$AN$1006:$BO$1006,0)))),"Fix")))</f>
        <v>0</v>
      </c>
      <c r="L797" s="4">
        <f>IF(OR(INDEX($AH$2:$AH$1001,MATCH(ROWS($AG$2:AG797),$AG$2:$AG$1001,0),1)&gt;=100000,INDEX($AN$1005:$BO$1005,1,MATCH(COLUMNS($AN$1006:AX1006),$AN$1006:$BO$1006,0))&gt;=100000), " ",IF(INDEX($AN$2:$BO$1001,MATCH(ROWS($AG$2:AG797),$AG$2:$AG$1001,0),MATCH(COLUMNS($AN$1006:AX1006),$AN$1006:$BO$1006,0)), HYPERLINK("#",""), HYPERLINK(CONCATENATE("#Metadata!", ADDRESS(INDEX($AI$2:$AI$1001,MATCH(ROWS($AG$2:AG797),$AG$2:$AG$1001,0),0), INDEX($AN$1004:$BO$1004,1,MATCH(COLUMNS($AN$1006:AX1006),$AN$1006:$BO$1006,0)))),"Fix")))</f>
        <v>0</v>
      </c>
      <c r="M797" s="4">
        <f>IF(OR(INDEX($AH$2:$AH$1001,MATCH(ROWS($AG$2:AG797),$AG$2:$AG$1001,0),1)&gt;=100000,INDEX($AN$1005:$BO$1005,1,MATCH(COLUMNS($AN$1006:AY1006),$AN$1006:$BO$1006,0))&gt;=100000), " ",IF(INDEX($AN$2:$BO$1001,MATCH(ROWS($AG$2:AG797),$AG$2:$AG$1001,0),MATCH(COLUMNS($AN$1006:AY1006),$AN$1006:$BO$1006,0)), HYPERLINK("#",""), HYPERLINK(CONCATENATE("#Metadata!", ADDRESS(INDEX($AI$2:$AI$1001,MATCH(ROWS($AG$2:AG797),$AG$2:$AG$1001,0),0), INDEX($AN$1004:$BO$1004,1,MATCH(COLUMNS($AN$1006:AY1006),$AN$1006:$BO$1006,0)))),"Fix")))</f>
        <v>0</v>
      </c>
      <c r="N797" s="4">
        <f>IF(OR(INDEX($AH$2:$AH$1001,MATCH(ROWS($AG$2:AG797),$AG$2:$AG$1001,0),1)&gt;=100000,INDEX($AN$1005:$BO$1005,1,MATCH(COLUMNS($AN$1006:AZ1006),$AN$1006:$BO$1006,0))&gt;=100000), " ",IF(INDEX($AN$2:$BO$1001,MATCH(ROWS($AG$2:AG797),$AG$2:$AG$1001,0),MATCH(COLUMNS($AN$1006:AZ1006),$AN$1006:$BO$1006,0)), HYPERLINK("#",""), HYPERLINK(CONCATENATE("#Metadata!", ADDRESS(INDEX($AI$2:$AI$1001,MATCH(ROWS($AG$2:AG797),$AG$2:$AG$1001,0),0), INDEX($AN$1004:$BO$1004,1,MATCH(COLUMNS($AN$1006:AZ1006),$AN$1006:$BO$1006,0)))),"Fix")))</f>
        <v>0</v>
      </c>
      <c r="O797" s="4">
        <f>IF(OR(INDEX($AH$2:$AH$1001,MATCH(ROWS($AG$2:AG797),$AG$2:$AG$1001,0),1)&gt;=100000,INDEX($AN$1005:$BO$1005,1,MATCH(COLUMNS($AN$1006:BA1006),$AN$1006:$BO$1006,0))&gt;=100000), " ",IF(INDEX($AN$2:$BO$1001,MATCH(ROWS($AG$2:AG797),$AG$2:$AG$1001,0),MATCH(COLUMNS($AN$1006:BA1006),$AN$1006:$BO$1006,0)), HYPERLINK("#",""), HYPERLINK(CONCATENATE("#Metadata!", ADDRESS(INDEX($AI$2:$AI$1001,MATCH(ROWS($AG$2:AG797),$AG$2:$AG$1001,0),0), INDEX($AN$1004:$BO$1004,1,MATCH(COLUMNS($AN$1006:BA1006),$AN$1006:$BO$1006,0)))),"Fix")))</f>
        <v>0</v>
      </c>
      <c r="P797" s="4">
        <f>IF(OR(INDEX($AH$2:$AH$1001,MATCH(ROWS($AG$2:AG797),$AG$2:$AG$1001,0),1)&gt;=100000,INDEX($AN$1005:$BO$1005,1,MATCH(COLUMNS($AN$1006:BB1006),$AN$1006:$BO$1006,0))&gt;=100000), " ",IF(INDEX($AN$2:$BO$1001,MATCH(ROWS($AG$2:AG797),$AG$2:$AG$1001,0),MATCH(COLUMNS($AN$1006:BB1006),$AN$1006:$BO$1006,0)), HYPERLINK("#",""), HYPERLINK(CONCATENATE("#Metadata!", ADDRESS(INDEX($AI$2:$AI$1001,MATCH(ROWS($AG$2:AG797),$AG$2:$AG$1001,0),0), INDEX($AN$1004:$BO$1004,1,MATCH(COLUMNS($AN$1006:BB1006),$AN$1006:$BO$1006,0)))),"Fix")))</f>
        <v>0</v>
      </c>
      <c r="Q797" s="4">
        <f>IF(OR(INDEX($AH$2:$AH$1001,MATCH(ROWS($AG$2:AG797),$AG$2:$AG$1001,0),1)&gt;=100000,INDEX($AN$1005:$BO$1005,1,MATCH(COLUMNS($AN$1006:BC1006),$AN$1006:$BO$1006,0))&gt;=100000), " ",IF(INDEX($AN$2:$BO$1001,MATCH(ROWS($AG$2:AG797),$AG$2:$AG$1001,0),MATCH(COLUMNS($AN$1006:BC1006),$AN$1006:$BO$1006,0)), HYPERLINK("#",""), HYPERLINK(CONCATENATE("#Metadata!", ADDRESS(INDEX($AI$2:$AI$1001,MATCH(ROWS($AG$2:AG797),$AG$2:$AG$1001,0),0), INDEX($AN$1004:$BO$1004,1,MATCH(COLUMNS($AN$1006:BC1006),$AN$1006:$BO$1006,0)))),"Fix")))</f>
        <v>0</v>
      </c>
      <c r="R797" s="4">
        <f>IF(OR(INDEX($AH$2:$AH$1001,MATCH(ROWS($AG$2:AG797),$AG$2:$AG$1001,0),1)&gt;=100000,INDEX($AN$1005:$BO$1005,1,MATCH(COLUMNS($AN$1006:BD1006),$AN$1006:$BO$1006,0))&gt;=100000), " ",IF(INDEX($AN$2:$BO$1001,MATCH(ROWS($AG$2:AG797),$AG$2:$AG$1001,0),MATCH(COLUMNS($AN$1006:BD1006),$AN$1006:$BO$1006,0)), HYPERLINK("#",""), HYPERLINK(CONCATENATE("#Metadata!", ADDRESS(INDEX($AI$2:$AI$1001,MATCH(ROWS($AG$2:AG797),$AG$2:$AG$1001,0),0), INDEX($AN$1004:$BO$1004,1,MATCH(COLUMNS($AN$1006:BD1006),$AN$1006:$BO$1006,0)))),"Fix")))</f>
        <v>0</v>
      </c>
      <c r="S797" s="4">
        <f>IF(OR(INDEX($AH$2:$AH$1001,MATCH(ROWS($AG$2:AG797),$AG$2:$AG$1001,0),1)&gt;=100000,INDEX($AN$1005:$BO$1005,1,MATCH(COLUMNS($AN$1006:BE1006),$AN$1006:$BO$1006,0))&gt;=100000), " ",IF(INDEX($AN$2:$BO$1001,MATCH(ROWS($AG$2:AG797),$AG$2:$AG$1001,0),MATCH(COLUMNS($AN$1006:BE1006),$AN$1006:$BO$1006,0)), HYPERLINK("#",""), HYPERLINK(CONCATENATE("#Metadata!", ADDRESS(INDEX($AI$2:$AI$1001,MATCH(ROWS($AG$2:AG797),$AG$2:$AG$1001,0),0), INDEX($AN$1004:$BO$1004,1,MATCH(COLUMNS($AN$1006:BE1006),$AN$1006:$BO$1006,0)))),"Fix")))</f>
        <v>0</v>
      </c>
      <c r="T797" s="4">
        <f>IF(OR(INDEX($AH$2:$AH$1001,MATCH(ROWS($AG$2:AG797),$AG$2:$AG$1001,0),1)&gt;=100000,INDEX($AN$1005:$BO$1005,1,MATCH(COLUMNS($AN$1006:BF1006),$AN$1006:$BO$1006,0))&gt;=100000), " ",IF(INDEX($AN$2:$BO$1001,MATCH(ROWS($AG$2:AG797),$AG$2:$AG$1001,0),MATCH(COLUMNS($AN$1006:BF1006),$AN$1006:$BO$1006,0)), HYPERLINK("#",""), HYPERLINK(CONCATENATE("#Metadata!", ADDRESS(INDEX($AI$2:$AI$1001,MATCH(ROWS($AG$2:AG797),$AG$2:$AG$1001,0),0), INDEX($AN$1004:$BO$1004,1,MATCH(COLUMNS($AN$1006:BF1006),$AN$1006:$BO$1006,0)))),"Fix")))</f>
        <v>0</v>
      </c>
      <c r="U797" s="4">
        <f>IF(OR(INDEX($AH$2:$AH$1001,MATCH(ROWS($AG$2:AG797),$AG$2:$AG$1001,0),1)&gt;=100000,INDEX($AN$1005:$BO$1005,1,MATCH(COLUMNS($AN$1006:BG1006),$AN$1006:$BO$1006,0))&gt;=100000), " ",IF(INDEX($AN$2:$BO$1001,MATCH(ROWS($AG$2:AG797),$AG$2:$AG$1001,0),MATCH(COLUMNS($AN$1006:BG1006),$AN$1006:$BO$1006,0)), HYPERLINK("#",""), HYPERLINK(CONCATENATE("#Metadata!", ADDRESS(INDEX($AI$2:$AI$1001,MATCH(ROWS($AG$2:AG797),$AG$2:$AG$1001,0),0), INDEX($AN$1004:$BO$1004,1,MATCH(COLUMNS($AN$1006:BG1006),$AN$1006:$BO$1006,0)))),"Fix")))</f>
        <v>0</v>
      </c>
      <c r="V797" s="4">
        <f>IF(OR(INDEX($AH$2:$AH$1001,MATCH(ROWS($AG$2:AG797),$AG$2:$AG$1001,0),1)&gt;=100000,INDEX($AN$1005:$BO$1005,1,MATCH(COLUMNS($AN$1006:BH1006),$AN$1006:$BO$1006,0))&gt;=100000), " ",IF(INDEX($AN$2:$BO$1001,MATCH(ROWS($AG$2:AG797),$AG$2:$AG$1001,0),MATCH(COLUMNS($AN$1006:BH1006),$AN$1006:$BO$1006,0)), HYPERLINK("#",""), HYPERLINK(CONCATENATE("#Metadata!", ADDRESS(INDEX($AI$2:$AI$1001,MATCH(ROWS($AG$2:AG797),$AG$2:$AG$1001,0),0), INDEX($AN$1004:$BO$1004,1,MATCH(COLUMNS($AN$1006:BH1006),$AN$1006:$BO$1006,0)))),"Fix")))</f>
        <v>0</v>
      </c>
      <c r="W797" s="4">
        <f>IF(OR(INDEX($AH$2:$AH$1001,MATCH(ROWS($AG$2:AG797),$AG$2:$AG$1001,0),1)&gt;=100000,INDEX($AN$1005:$BO$1005,1,MATCH(COLUMNS($AN$1006:BI1006),$AN$1006:$BO$1006,0))&gt;=100000), " ",IF(INDEX($AN$2:$BO$1001,MATCH(ROWS($AG$2:AG797),$AG$2:$AG$1001,0),MATCH(COLUMNS($AN$1006:BI1006),$AN$1006:$BO$1006,0)), HYPERLINK("#",""), HYPERLINK(CONCATENATE("#Metadata!", ADDRESS(INDEX($AI$2:$AI$1001,MATCH(ROWS($AG$2:AG797),$AG$2:$AG$1001,0),0), INDEX($AN$1004:$BO$1004,1,MATCH(COLUMNS($AN$1006:BI1006),$AN$1006:$BO$1006,0)))),"Fix")))</f>
        <v>0</v>
      </c>
      <c r="X797" s="4">
        <f>IF(OR(INDEX($AH$2:$AH$1001,MATCH(ROWS($AG$2:AG797),$AG$2:$AG$1001,0),1)&gt;=100000,INDEX($AN$1005:$BO$1005,1,MATCH(COLUMNS($AN$1006:BJ1006),$AN$1006:$BO$1006,0))&gt;=100000), " ",IF(INDEX($AN$2:$BO$1001,MATCH(ROWS($AG$2:AG797),$AG$2:$AG$1001,0),MATCH(COLUMNS($AN$1006:BJ1006),$AN$1006:$BO$1006,0)), HYPERLINK("#",""), HYPERLINK(CONCATENATE("#Metadata!", ADDRESS(INDEX($AI$2:$AI$1001,MATCH(ROWS($AG$2:AG797),$AG$2:$AG$1001,0),0), INDEX($AN$1004:$BO$1004,1,MATCH(COLUMNS($AN$1006:BJ1006),$AN$1006:$BO$1006,0)))),"Fix")))</f>
        <v>0</v>
      </c>
      <c r="Y797" s="4">
        <f>IF(OR(INDEX($AH$2:$AH$1001,MATCH(ROWS($AG$2:AG797),$AG$2:$AG$1001,0),1)&gt;=100000,INDEX($AN$1005:$BO$1005,1,MATCH(COLUMNS($AN$1006:BK1006),$AN$1006:$BO$1006,0))&gt;=100000), " ",IF(INDEX($AN$2:$BO$1001,MATCH(ROWS($AG$2:AG797),$AG$2:$AG$1001,0),MATCH(COLUMNS($AN$1006:BK1006),$AN$1006:$BO$1006,0)), HYPERLINK("#",""), HYPERLINK(CONCATENATE("#Metadata!", ADDRESS(INDEX($AI$2:$AI$1001,MATCH(ROWS($AG$2:AG797),$AG$2:$AG$1001,0),0), INDEX($AN$1004:$BO$1004,1,MATCH(COLUMNS($AN$1006:BK1006),$AN$1006:$BO$1006,0)))),"Fix")))</f>
        <v>0</v>
      </c>
      <c r="Z797" s="4">
        <f>IF(OR(INDEX($AH$2:$AH$1001,MATCH(ROWS($AG$2:AG797),$AG$2:$AG$1001,0),1)&gt;=100000,INDEX($AN$1005:$BO$1005,1,MATCH(COLUMNS($AN$1006:BL1006),$AN$1006:$BO$1006,0))&gt;=100000), " ",IF(INDEX($AN$2:$BO$1001,MATCH(ROWS($AG$2:AG797),$AG$2:$AG$1001,0),MATCH(COLUMNS($AN$1006:BL1006),$AN$1006:$BO$1006,0)), HYPERLINK("#",""), HYPERLINK(CONCATENATE("#Metadata!", ADDRESS(INDEX($AI$2:$AI$1001,MATCH(ROWS($AG$2:AG797),$AG$2:$AG$1001,0),0), INDEX($AN$1004:$BO$1004,1,MATCH(COLUMNS($AN$1006:BL1006),$AN$1006:$BO$1006,0)))),"Fix")))</f>
        <v>0</v>
      </c>
      <c r="AA797" s="4">
        <f>IF(OR(INDEX($AH$2:$AH$1001,MATCH(ROWS($AG$2:AG797),$AG$2:$AG$1001,0),1)&gt;=100000,INDEX($AN$1005:$BO$1005,1,MATCH(COLUMNS($AN$1006:BM1006),$AN$1006:$BO$1006,0))&gt;=100000), " ",IF(INDEX($AN$2:$BO$1001,MATCH(ROWS($AG$2:AG797),$AG$2:$AG$1001,0),MATCH(COLUMNS($AN$1006:BM1006),$AN$1006:$BO$1006,0)), HYPERLINK("#",""), HYPERLINK(CONCATENATE("#Metadata!", ADDRESS(INDEX($AI$2:$AI$1001,MATCH(ROWS($AG$2:AG797),$AG$2:$AG$1001,0),0), INDEX($AN$1004:$BO$1004,1,MATCH(COLUMNS($AN$1006:BM1006),$AN$1006:$BO$1006,0)))),"Fix")))</f>
        <v>0</v>
      </c>
      <c r="AB797" s="4">
        <f>IF(OR(INDEX($AH$2:$AH$1001,MATCH(ROWS($AG$2:AG797),$AG$2:$AG$1001,0),1)&gt;=100000,INDEX($AN$1005:$BO$1005,1,MATCH(COLUMNS($AN$1006:BN1006),$AN$1006:$BO$1006,0))&gt;=100000), " ",IF(INDEX($AN$2:$BO$1001,MATCH(ROWS($AG$2:AG797),$AG$2:$AG$1001,0),MATCH(COLUMNS($AN$1006:BN1006),$AN$1006:$BO$1006,0)), HYPERLINK("#",""), HYPERLINK(CONCATENATE("#Metadata!", ADDRESS(INDEX($AI$2:$AI$1001,MATCH(ROWS($AG$2:AG797),$AG$2:$AG$1001,0),0), INDEX($AN$1004:$BO$1004,1,MATCH(COLUMNS($AN$1006:BN1006),$AN$1006:$BO$1006,0)))),"Fix")))</f>
        <v>0</v>
      </c>
      <c r="AC797" s="4">
        <f>IF(OR(INDEX($AH$2:$AH$1001,MATCH(ROWS($AG$2:AG797),$AG$2:$AG$1001,0),1)&gt;=100000,INDEX($AN$1005:$BO$1005,1,MATCH(COLUMNS($AN$1006:BO1006),$AN$1006:$BO$1006,0))&gt;=100000), " ",IF(INDEX($AN$2:$BO$1001,MATCH(ROWS($AG$2:AG797),$AG$2:$AG$1001,0),MATCH(COLUMNS($AN$1006:BO1006),$AN$1006:$BO$1006,0)), HYPERLINK("#",""), HYPERLINK(CONCATENATE("#Metadata!", ADDRESS(INDEX($AI$2:$AI$1001,MATCH(ROWS($AG$2:AG797),$AG$2:$AG$1001,0),0), INDEX($AN$1004:$BO$1004,1,MATCH(COLUMNS($AN$1006:BO1006),$AN$1006:$BO$1006,0)))),"Fix")))</f>
        <v>0</v>
      </c>
      <c r="AG797">
        <v>0</v>
      </c>
      <c r="AH797">
        <v>0</v>
      </c>
      <c r="AI797">
        <v>0</v>
      </c>
      <c r="AJ797">
        <f>IF(AK797,TRUE,AND(AN797:BO797))</f>
        <v>0</v>
      </c>
      <c r="AK797">
        <f>COUNTBLANK(Metadata!B797:AC797)=COLUMNS(Metadata!B797:AC797)</f>
        <v>0</v>
      </c>
      <c r="AL797">
        <v>0</v>
      </c>
      <c r="AN797">
        <f>AND(IF(Metadata!B797="",FALSE,TRUE),COUNTIF(Metadata!B:B, Metadata!B797) = 1,NOT(ISERROR(SUMPRODUCT(SEARCH(MID(Metadata!B797,ROW(INDIRECT("1:"&amp;LEN(Metadata!B797))), 1),"0123456789abcdefghijklmnopqrstuvwxyzABCDEFGHIJKLMNOPQRSTUVWXYZ.")))))</f>
        <v>0</v>
      </c>
      <c r="AO797">
        <f>IF(Metadata!C797="",FALSE,TRUE)</f>
        <v>0</v>
      </c>
      <c r="AP797">
        <f>IF(Metadata!D797="",FALSE,TRUE)</f>
        <v>0</v>
      </c>
      <c r="AQ797">
        <f>OR(AND(IF(Metadata!E797="",FALSE,TRUE),OR(exact(Metadata!E797,"not collected"),exact(Metadata!E797,"not provided"),exact(Metadata!E797,"restricted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R797">
        <f>IF(Metadata!F797="",FALSE,TRUE)</f>
        <v>0</v>
      </c>
      <c r="AS797">
        <f>OR(AND(IF(Metadata!G797="",FALSE,TRUE),OR(exact(Metadata!G797,"not collected"),exact(Metadata!G797,"not provided"))),AND(IF(Metadata!G797="",FALSE,TRUE),OR(exact(Metadata!G797,"TRUE"),exact(Metadata!G797,"FALSE"))))</f>
        <v>0</v>
      </c>
      <c r="AT797">
        <f>OR(AND(IF(Metadata!H797="",FALSE,TRUE),OR(exact(Metadata!H797,"not collected"),exact(Metadata!H797,"not provided"),exact(Metadata!H797,"restricted access"))),AND(IF(Metadata!H797="",FALSE,ISNUMBER(VALUE(Metadata!H797))),Metadata!H797&gt;=-413.0))</f>
        <v>0</v>
      </c>
      <c r="AU797">
        <f>AND(IF(Metadata!I797="",FALSE,TRUE),exact(Metadata!I797,"meters"))</f>
        <v>0</v>
      </c>
      <c r="AV797">
        <f>AND(IF(Metadata!J797="",FALSE,TRUE),OR(exact(Metadata!J797,"Host-associated"),exact(Metadata!J797,"Free-living")))</f>
        <v>0</v>
      </c>
      <c r="AW797">
        <f>AND(IF(Metadata!K797="",FALSE,TRUE),OR(exact(Metadata!K797,"Animal"),exact(Metadata!K797,"Fungus"),exact(Metadata!K797,"Plant"),exact(Metadata!K797,"Saline"),exact(Metadata!K797,"Non-saline")))</f>
        <v>0</v>
      </c>
      <c r="AX797">
        <f>AND(IF(Metadata!L797="",FALSE,TRUE),OR(exact(Metadata!L797,"Plant secretion"),exact(Metadata!L797,"Plant rhizosphere"),exact(Metadata!L797,"Plant surface"),exact(Metadata!L797,"Plant corpus"),exact(Metadata!L797,"Fungus surface"),exact(Metadata!L797,"Fungus corpus"),exact(Metadata!L797,"Animal surface"),exact(Metadata!L797,"Animal proximal gut"),exact(Metadata!L797,"Animal corpus"),exact(Metadata!L797,"Animal distal gut"),exact(Metadata!L797,"Animal secretion"),exact(Metadata!L797,"Sub-surface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Y797">
        <f>IF(Metadata!M797="",FALSE,TRUE)</f>
        <v>0</v>
      </c>
      <c r="AZ797">
        <f>IF(Metadata!N797="",FALSE,TRUE)</f>
        <v>0</v>
      </c>
      <c r="BA797">
        <f>IF(Metadata!O797="",FALSE,TRUE)</f>
        <v>0</v>
      </c>
      <c r="BB797">
        <f>OR(AND(IF(Metadata!P797="",FALSE,TRUE),OR(exact(Metadata!P797,"not collected"),exact(Metadata!P797,"not provided"),exact(Metadata!P797,"restricted access"))),AND(IF(Metadata!P797="",FALSE,TRUE),OR(exact(Metadata!P797,"air"),exact(Metadata!P797,"built environment"),exact(Metadata!P797,"host-associated"),exact(Metadata!P797,"human-associated"),exact(Metadata!P797,"human-skin"),exact(Metadata!P797,"human-oral"),exact(Metadata!P797,"human-gut"),exact(Metadata!P797,"human-vaginal"),exact(Metadata!P797,"microbial mat/biofilm"),exact(Metadata!P797,"misc environment"),exact(Metadata!P797,"plant-associated"),exact(Metadata!P797,"sediment"),exact(Metadata!P797,"soil"),exact(Metadata!P797,"wastewater/sludge"),exact(Metadata!P797,"water"))))</f>
        <v>0</v>
      </c>
      <c r="BC797">
        <f>IF(Metadata!Q797="",FALSE,TRUE)</f>
        <v>0</v>
      </c>
      <c r="BD797">
        <f>IF(Metadata!R797="",FALSE,TRUE)</f>
        <v>0</v>
      </c>
      <c r="BE797">
        <f>OR(AND(IF(Metadata!S797="",FALSE,TRUE),OR(exact(Metadata!S797,"not collected"),exact(Metadata!S797,"not provided"),exact(Metadata!S797,"restricted access"))),AND(IF(Metadata!S797="",FALSE,ISNUMBER(VALUE(Metadata!S797))),Metadata!S797&gt;=-90.00,Metadata!S797&lt;=90.00))</f>
        <v>0</v>
      </c>
      <c r="BF797">
        <f>AND(IF(Metadata!T797="",FALSE,TRUE),exact(Metadata!T797,"Decimal degrees"))</f>
        <v>0</v>
      </c>
      <c r="BG797">
        <f>OR(AND(IF(Metadata!U797="",FALSE,TRUE),OR(exact(Metadata!U797,"not collected"),exact(Metadata!U797,"not provided"),exact(Metadata!U797,"restricted access"))),AND(IF(Metadata!U797="",FALSE,ISNUMBER(VALUE(Metadata!U797))),Metadata!U797&gt;=-180.00,Metadata!U797&lt;=180.00))</f>
        <v>0</v>
      </c>
      <c r="BH797">
        <f>AND(IF(Metadata!V797="",FALSE,TRUE),exact(Metadata!V797,"Decimal degrees"))</f>
        <v>0</v>
      </c>
      <c r="BI797">
        <f>IF(Metadata!W797="",FALSE,TRUE)</f>
        <v>0</v>
      </c>
      <c r="BJ797">
        <f>OR(AND(IF(Metadata!X797="",FALSE,TRUE),OR(exact(Metadata!X797,"not collected"),exact(Metadata!X797,"not provided"),exact(Metadata!X797,"restricted access"))),AND(IF(Metadata!X797="",FALSE,TRUE),OR(exact(Metadata!X797,"TRUE"),exact(Metadata!X797,"FALSE"))))</f>
        <v>0</v>
      </c>
      <c r="BK797">
        <f>AND(IF(Metadata!Y797="",FALSE,TRUE),exact(Metadata!Y797,"other"))</f>
        <v>0</v>
      </c>
      <c r="BL797">
        <f>IF(Metadata!Z797="",FALSE,TRUE)</f>
        <v>0</v>
      </c>
      <c r="BM797">
        <f>OR(AND(IF(Metadata!AA797="",FALSE,TRUE),OR(exact(Metadata!AA797,"not collected"),exact(Metadata!AA797,"not provided"))),AND(IF(Metadata!AA797="",FALSE,IF(ISERROR(INT(Metadata!AA797)),FALSE,INT(Metadata!AA797)=Metadata!AA797)),Metadata!AA797&gt;0))</f>
        <v>0</v>
      </c>
      <c r="BN797">
        <f>AND(IF(Metadata!AB797="",FALSE,TRUE),exact(Metadata!AB797,"Not applicable"))</f>
        <v>0</v>
      </c>
      <c r="BO797">
        <f>IF(Metadata!AC797="",FALSE,TRUE)</f>
        <v>0</v>
      </c>
    </row>
    <row r="798" spans="1:67">
      <c r="A798" s="5">
        <f>IF(B798=" "," ",HYPERLINK(CONCATENATE("#metadata!",ADDRESS(INDEX($AI$2:$AI$1001,MATCH(ROWS($AG$2:AG798),$AG$2:$AG$1001,0),0),1)),INDEX($AL$2:$AL$1001,MATCH(ROWS($AG$2:AG798),$AG$2:$AG$1001,0),0)))</f>
        <v>0</v>
      </c>
      <c r="B798" s="4">
        <f>IF(OR(INDEX($AH$2:$AH$1001,MATCH(ROWS($AG$2:AG798),$AG$2:$AG$1001,0),1)&gt;=100000,INDEX($AN$1005:$BO$1005,1,MATCH(COLUMNS($AN$1006:AN1006),$AN$1006:$BO$1006,0))&gt;=100000), " ",IF(INDEX($AN$2:$BO$1001,MATCH(ROWS($AG$2:AG798),$AG$2:$AG$1001,0),MATCH(COLUMNS($AN$1006:AN1006),$AN$1006:$BO$1006,0)), HYPERLINK("#",""), HYPERLINK(CONCATENATE("#Metadata!", ADDRESS(INDEX($AI$2:$AI$1001,MATCH(ROWS($AG$2:AG798),$AG$2:$AG$1001,0),0), INDEX($AN$1004:$BO$1004,1,MATCH(COLUMNS($AN$1006:AN1006),$AN$1006:$BO$1006,0)))),"Fix")))</f>
        <v>0</v>
      </c>
      <c r="C798" s="4">
        <f>IF(OR(INDEX($AH$2:$AH$1001,MATCH(ROWS($AG$2:AG798),$AG$2:$AG$1001,0),1)&gt;=100000,INDEX($AN$1005:$BO$1005,1,MATCH(COLUMNS($AN$1006:AO1006),$AN$1006:$BO$1006,0))&gt;=100000), " ",IF(INDEX($AN$2:$BO$1001,MATCH(ROWS($AG$2:AG798),$AG$2:$AG$1001,0),MATCH(COLUMNS($AN$1006:AO1006),$AN$1006:$BO$1006,0)), HYPERLINK("#",""), HYPERLINK(CONCATENATE("#Metadata!", ADDRESS(INDEX($AI$2:$AI$1001,MATCH(ROWS($AG$2:AG798),$AG$2:$AG$1001,0),0), INDEX($AN$1004:$BO$1004,1,MATCH(COLUMNS($AN$1006:AO1006),$AN$1006:$BO$1006,0)))),"Fix")))</f>
        <v>0</v>
      </c>
      <c r="D798" s="4">
        <f>IF(OR(INDEX($AH$2:$AH$1001,MATCH(ROWS($AG$2:AG798),$AG$2:$AG$1001,0),1)&gt;=100000,INDEX($AN$1005:$BO$1005,1,MATCH(COLUMNS($AN$1006:AP1006),$AN$1006:$BO$1006,0))&gt;=100000), " ",IF(INDEX($AN$2:$BO$1001,MATCH(ROWS($AG$2:AG798),$AG$2:$AG$1001,0),MATCH(COLUMNS($AN$1006:AP1006),$AN$1006:$BO$1006,0)), HYPERLINK("#",""), HYPERLINK(CONCATENATE("#Metadata!", ADDRESS(INDEX($AI$2:$AI$1001,MATCH(ROWS($AG$2:AG798),$AG$2:$AG$1001,0),0), INDEX($AN$1004:$BO$1004,1,MATCH(COLUMNS($AN$1006:AP1006),$AN$1006:$BO$1006,0)))),"Fix")))</f>
        <v>0</v>
      </c>
      <c r="E798" s="4">
        <f>IF(OR(INDEX($AH$2:$AH$1001,MATCH(ROWS($AG$2:AG798),$AG$2:$AG$1001,0),1)&gt;=100000,INDEX($AN$1005:$BO$1005,1,MATCH(COLUMNS($AN$1006:AQ1006),$AN$1006:$BO$1006,0))&gt;=100000), " ",IF(INDEX($AN$2:$BO$1001,MATCH(ROWS($AG$2:AG798),$AG$2:$AG$1001,0),MATCH(COLUMNS($AN$1006:AQ1006),$AN$1006:$BO$1006,0)), HYPERLINK("#",""), HYPERLINK(CONCATENATE("#Metadata!", ADDRESS(INDEX($AI$2:$AI$1001,MATCH(ROWS($AG$2:AG798),$AG$2:$AG$1001,0),0), INDEX($AN$1004:$BO$1004,1,MATCH(COLUMNS($AN$1006:AQ1006),$AN$1006:$BO$1006,0)))),"Fix")))</f>
        <v>0</v>
      </c>
      <c r="F798" s="4">
        <f>IF(OR(INDEX($AH$2:$AH$1001,MATCH(ROWS($AG$2:AG798),$AG$2:$AG$1001,0),1)&gt;=100000,INDEX($AN$1005:$BO$1005,1,MATCH(COLUMNS($AN$1006:AR1006),$AN$1006:$BO$1006,0))&gt;=100000), " ",IF(INDEX($AN$2:$BO$1001,MATCH(ROWS($AG$2:AG798),$AG$2:$AG$1001,0),MATCH(COLUMNS($AN$1006:AR1006),$AN$1006:$BO$1006,0)), HYPERLINK("#",""), HYPERLINK(CONCATENATE("#Metadata!", ADDRESS(INDEX($AI$2:$AI$1001,MATCH(ROWS($AG$2:AG798),$AG$2:$AG$1001,0),0), INDEX($AN$1004:$BO$1004,1,MATCH(COLUMNS($AN$1006:AR1006),$AN$1006:$BO$1006,0)))),"Fix")))</f>
        <v>0</v>
      </c>
      <c r="G798" s="4">
        <f>IF(OR(INDEX($AH$2:$AH$1001,MATCH(ROWS($AG$2:AG798),$AG$2:$AG$1001,0),1)&gt;=100000,INDEX($AN$1005:$BO$1005,1,MATCH(COLUMNS($AN$1006:AS1006),$AN$1006:$BO$1006,0))&gt;=100000), " ",IF(INDEX($AN$2:$BO$1001,MATCH(ROWS($AG$2:AG798),$AG$2:$AG$1001,0),MATCH(COLUMNS($AN$1006:AS1006),$AN$1006:$BO$1006,0)), HYPERLINK("#",""), HYPERLINK(CONCATENATE("#Metadata!", ADDRESS(INDEX($AI$2:$AI$1001,MATCH(ROWS($AG$2:AG798),$AG$2:$AG$1001,0),0), INDEX($AN$1004:$BO$1004,1,MATCH(COLUMNS($AN$1006:AS1006),$AN$1006:$BO$1006,0)))),"Fix")))</f>
        <v>0</v>
      </c>
      <c r="H798" s="4">
        <f>IF(OR(INDEX($AH$2:$AH$1001,MATCH(ROWS($AG$2:AG798),$AG$2:$AG$1001,0),1)&gt;=100000,INDEX($AN$1005:$BO$1005,1,MATCH(COLUMNS($AN$1006:AT1006),$AN$1006:$BO$1006,0))&gt;=100000), " ",IF(INDEX($AN$2:$BO$1001,MATCH(ROWS($AG$2:AG798),$AG$2:$AG$1001,0),MATCH(COLUMNS($AN$1006:AT1006),$AN$1006:$BO$1006,0)), HYPERLINK("#",""), HYPERLINK(CONCATENATE("#Metadata!", ADDRESS(INDEX($AI$2:$AI$1001,MATCH(ROWS($AG$2:AG798),$AG$2:$AG$1001,0),0), INDEX($AN$1004:$BO$1004,1,MATCH(COLUMNS($AN$1006:AT1006),$AN$1006:$BO$1006,0)))),"Fix")))</f>
        <v>0</v>
      </c>
      <c r="I798" s="4">
        <f>IF(OR(INDEX($AH$2:$AH$1001,MATCH(ROWS($AG$2:AG798),$AG$2:$AG$1001,0),1)&gt;=100000,INDEX($AN$1005:$BO$1005,1,MATCH(COLUMNS($AN$1006:AU1006),$AN$1006:$BO$1006,0))&gt;=100000), " ",IF(INDEX($AN$2:$BO$1001,MATCH(ROWS($AG$2:AG798),$AG$2:$AG$1001,0),MATCH(COLUMNS($AN$1006:AU1006),$AN$1006:$BO$1006,0)), HYPERLINK("#",""), HYPERLINK(CONCATENATE("#Metadata!", ADDRESS(INDEX($AI$2:$AI$1001,MATCH(ROWS($AG$2:AG798),$AG$2:$AG$1001,0),0), INDEX($AN$1004:$BO$1004,1,MATCH(COLUMNS($AN$1006:AU1006),$AN$1006:$BO$1006,0)))),"Fix")))</f>
        <v>0</v>
      </c>
      <c r="J798" s="4">
        <f>IF(OR(INDEX($AH$2:$AH$1001,MATCH(ROWS($AG$2:AG798),$AG$2:$AG$1001,0),1)&gt;=100000,INDEX($AN$1005:$BO$1005,1,MATCH(COLUMNS($AN$1006:AV1006),$AN$1006:$BO$1006,0))&gt;=100000), " ",IF(INDEX($AN$2:$BO$1001,MATCH(ROWS($AG$2:AG798),$AG$2:$AG$1001,0),MATCH(COLUMNS($AN$1006:AV1006),$AN$1006:$BO$1006,0)), HYPERLINK("#",""), HYPERLINK(CONCATENATE("#Metadata!", ADDRESS(INDEX($AI$2:$AI$1001,MATCH(ROWS($AG$2:AG798),$AG$2:$AG$1001,0),0), INDEX($AN$1004:$BO$1004,1,MATCH(COLUMNS($AN$1006:AV1006),$AN$1006:$BO$1006,0)))),"Fix")))</f>
        <v>0</v>
      </c>
      <c r="K798" s="4">
        <f>IF(OR(INDEX($AH$2:$AH$1001,MATCH(ROWS($AG$2:AG798),$AG$2:$AG$1001,0),1)&gt;=100000,INDEX($AN$1005:$BO$1005,1,MATCH(COLUMNS($AN$1006:AW1006),$AN$1006:$BO$1006,0))&gt;=100000), " ",IF(INDEX($AN$2:$BO$1001,MATCH(ROWS($AG$2:AG798),$AG$2:$AG$1001,0),MATCH(COLUMNS($AN$1006:AW1006),$AN$1006:$BO$1006,0)), HYPERLINK("#",""), HYPERLINK(CONCATENATE("#Metadata!", ADDRESS(INDEX($AI$2:$AI$1001,MATCH(ROWS($AG$2:AG798),$AG$2:$AG$1001,0),0), INDEX($AN$1004:$BO$1004,1,MATCH(COLUMNS($AN$1006:AW1006),$AN$1006:$BO$1006,0)))),"Fix")))</f>
        <v>0</v>
      </c>
      <c r="L798" s="4">
        <f>IF(OR(INDEX($AH$2:$AH$1001,MATCH(ROWS($AG$2:AG798),$AG$2:$AG$1001,0),1)&gt;=100000,INDEX($AN$1005:$BO$1005,1,MATCH(COLUMNS($AN$1006:AX1006),$AN$1006:$BO$1006,0))&gt;=100000), " ",IF(INDEX($AN$2:$BO$1001,MATCH(ROWS($AG$2:AG798),$AG$2:$AG$1001,0),MATCH(COLUMNS($AN$1006:AX1006),$AN$1006:$BO$1006,0)), HYPERLINK("#",""), HYPERLINK(CONCATENATE("#Metadata!", ADDRESS(INDEX($AI$2:$AI$1001,MATCH(ROWS($AG$2:AG798),$AG$2:$AG$1001,0),0), INDEX($AN$1004:$BO$1004,1,MATCH(COLUMNS($AN$1006:AX1006),$AN$1006:$BO$1006,0)))),"Fix")))</f>
        <v>0</v>
      </c>
      <c r="M798" s="4">
        <f>IF(OR(INDEX($AH$2:$AH$1001,MATCH(ROWS($AG$2:AG798),$AG$2:$AG$1001,0),1)&gt;=100000,INDEX($AN$1005:$BO$1005,1,MATCH(COLUMNS($AN$1006:AY1006),$AN$1006:$BO$1006,0))&gt;=100000), " ",IF(INDEX($AN$2:$BO$1001,MATCH(ROWS($AG$2:AG798),$AG$2:$AG$1001,0),MATCH(COLUMNS($AN$1006:AY1006),$AN$1006:$BO$1006,0)), HYPERLINK("#",""), HYPERLINK(CONCATENATE("#Metadata!", ADDRESS(INDEX($AI$2:$AI$1001,MATCH(ROWS($AG$2:AG798),$AG$2:$AG$1001,0),0), INDEX($AN$1004:$BO$1004,1,MATCH(COLUMNS($AN$1006:AY1006),$AN$1006:$BO$1006,0)))),"Fix")))</f>
        <v>0</v>
      </c>
      <c r="N798" s="4">
        <f>IF(OR(INDEX($AH$2:$AH$1001,MATCH(ROWS($AG$2:AG798),$AG$2:$AG$1001,0),1)&gt;=100000,INDEX($AN$1005:$BO$1005,1,MATCH(COLUMNS($AN$1006:AZ1006),$AN$1006:$BO$1006,0))&gt;=100000), " ",IF(INDEX($AN$2:$BO$1001,MATCH(ROWS($AG$2:AG798),$AG$2:$AG$1001,0),MATCH(COLUMNS($AN$1006:AZ1006),$AN$1006:$BO$1006,0)), HYPERLINK("#",""), HYPERLINK(CONCATENATE("#Metadata!", ADDRESS(INDEX($AI$2:$AI$1001,MATCH(ROWS($AG$2:AG798),$AG$2:$AG$1001,0),0), INDEX($AN$1004:$BO$1004,1,MATCH(COLUMNS($AN$1006:AZ1006),$AN$1006:$BO$1006,0)))),"Fix")))</f>
        <v>0</v>
      </c>
      <c r="O798" s="4">
        <f>IF(OR(INDEX($AH$2:$AH$1001,MATCH(ROWS($AG$2:AG798),$AG$2:$AG$1001,0),1)&gt;=100000,INDEX($AN$1005:$BO$1005,1,MATCH(COLUMNS($AN$1006:BA1006),$AN$1006:$BO$1006,0))&gt;=100000), " ",IF(INDEX($AN$2:$BO$1001,MATCH(ROWS($AG$2:AG798),$AG$2:$AG$1001,0),MATCH(COLUMNS($AN$1006:BA1006),$AN$1006:$BO$1006,0)), HYPERLINK("#",""), HYPERLINK(CONCATENATE("#Metadata!", ADDRESS(INDEX($AI$2:$AI$1001,MATCH(ROWS($AG$2:AG798),$AG$2:$AG$1001,0),0), INDEX($AN$1004:$BO$1004,1,MATCH(COLUMNS($AN$1006:BA1006),$AN$1006:$BO$1006,0)))),"Fix")))</f>
        <v>0</v>
      </c>
      <c r="P798" s="4">
        <f>IF(OR(INDEX($AH$2:$AH$1001,MATCH(ROWS($AG$2:AG798),$AG$2:$AG$1001,0),1)&gt;=100000,INDEX($AN$1005:$BO$1005,1,MATCH(COLUMNS($AN$1006:BB1006),$AN$1006:$BO$1006,0))&gt;=100000), " ",IF(INDEX($AN$2:$BO$1001,MATCH(ROWS($AG$2:AG798),$AG$2:$AG$1001,0),MATCH(COLUMNS($AN$1006:BB1006),$AN$1006:$BO$1006,0)), HYPERLINK("#",""), HYPERLINK(CONCATENATE("#Metadata!", ADDRESS(INDEX($AI$2:$AI$1001,MATCH(ROWS($AG$2:AG798),$AG$2:$AG$1001,0),0), INDEX($AN$1004:$BO$1004,1,MATCH(COLUMNS($AN$1006:BB1006),$AN$1006:$BO$1006,0)))),"Fix")))</f>
        <v>0</v>
      </c>
      <c r="Q798" s="4">
        <f>IF(OR(INDEX($AH$2:$AH$1001,MATCH(ROWS($AG$2:AG798),$AG$2:$AG$1001,0),1)&gt;=100000,INDEX($AN$1005:$BO$1005,1,MATCH(COLUMNS($AN$1006:BC1006),$AN$1006:$BO$1006,0))&gt;=100000), " ",IF(INDEX($AN$2:$BO$1001,MATCH(ROWS($AG$2:AG798),$AG$2:$AG$1001,0),MATCH(COLUMNS($AN$1006:BC1006),$AN$1006:$BO$1006,0)), HYPERLINK("#",""), HYPERLINK(CONCATENATE("#Metadata!", ADDRESS(INDEX($AI$2:$AI$1001,MATCH(ROWS($AG$2:AG798),$AG$2:$AG$1001,0),0), INDEX($AN$1004:$BO$1004,1,MATCH(COLUMNS($AN$1006:BC1006),$AN$1006:$BO$1006,0)))),"Fix")))</f>
        <v>0</v>
      </c>
      <c r="R798" s="4">
        <f>IF(OR(INDEX($AH$2:$AH$1001,MATCH(ROWS($AG$2:AG798),$AG$2:$AG$1001,0),1)&gt;=100000,INDEX($AN$1005:$BO$1005,1,MATCH(COLUMNS($AN$1006:BD1006),$AN$1006:$BO$1006,0))&gt;=100000), " ",IF(INDEX($AN$2:$BO$1001,MATCH(ROWS($AG$2:AG798),$AG$2:$AG$1001,0),MATCH(COLUMNS($AN$1006:BD1006),$AN$1006:$BO$1006,0)), HYPERLINK("#",""), HYPERLINK(CONCATENATE("#Metadata!", ADDRESS(INDEX($AI$2:$AI$1001,MATCH(ROWS($AG$2:AG798),$AG$2:$AG$1001,0),0), INDEX($AN$1004:$BO$1004,1,MATCH(COLUMNS($AN$1006:BD1006),$AN$1006:$BO$1006,0)))),"Fix")))</f>
        <v>0</v>
      </c>
      <c r="S798" s="4">
        <f>IF(OR(INDEX($AH$2:$AH$1001,MATCH(ROWS($AG$2:AG798),$AG$2:$AG$1001,0),1)&gt;=100000,INDEX($AN$1005:$BO$1005,1,MATCH(COLUMNS($AN$1006:BE1006),$AN$1006:$BO$1006,0))&gt;=100000), " ",IF(INDEX($AN$2:$BO$1001,MATCH(ROWS($AG$2:AG798),$AG$2:$AG$1001,0),MATCH(COLUMNS($AN$1006:BE1006),$AN$1006:$BO$1006,0)), HYPERLINK("#",""), HYPERLINK(CONCATENATE("#Metadata!", ADDRESS(INDEX($AI$2:$AI$1001,MATCH(ROWS($AG$2:AG798),$AG$2:$AG$1001,0),0), INDEX($AN$1004:$BO$1004,1,MATCH(COLUMNS($AN$1006:BE1006),$AN$1006:$BO$1006,0)))),"Fix")))</f>
        <v>0</v>
      </c>
      <c r="T798" s="4">
        <f>IF(OR(INDEX($AH$2:$AH$1001,MATCH(ROWS($AG$2:AG798),$AG$2:$AG$1001,0),1)&gt;=100000,INDEX($AN$1005:$BO$1005,1,MATCH(COLUMNS($AN$1006:BF1006),$AN$1006:$BO$1006,0))&gt;=100000), " ",IF(INDEX($AN$2:$BO$1001,MATCH(ROWS($AG$2:AG798),$AG$2:$AG$1001,0),MATCH(COLUMNS($AN$1006:BF1006),$AN$1006:$BO$1006,0)), HYPERLINK("#",""), HYPERLINK(CONCATENATE("#Metadata!", ADDRESS(INDEX($AI$2:$AI$1001,MATCH(ROWS($AG$2:AG798),$AG$2:$AG$1001,0),0), INDEX($AN$1004:$BO$1004,1,MATCH(COLUMNS($AN$1006:BF1006),$AN$1006:$BO$1006,0)))),"Fix")))</f>
        <v>0</v>
      </c>
      <c r="U798" s="4">
        <f>IF(OR(INDEX($AH$2:$AH$1001,MATCH(ROWS($AG$2:AG798),$AG$2:$AG$1001,0),1)&gt;=100000,INDEX($AN$1005:$BO$1005,1,MATCH(COLUMNS($AN$1006:BG1006),$AN$1006:$BO$1006,0))&gt;=100000), " ",IF(INDEX($AN$2:$BO$1001,MATCH(ROWS($AG$2:AG798),$AG$2:$AG$1001,0),MATCH(COLUMNS($AN$1006:BG1006),$AN$1006:$BO$1006,0)), HYPERLINK("#",""), HYPERLINK(CONCATENATE("#Metadata!", ADDRESS(INDEX($AI$2:$AI$1001,MATCH(ROWS($AG$2:AG798),$AG$2:$AG$1001,0),0), INDEX($AN$1004:$BO$1004,1,MATCH(COLUMNS($AN$1006:BG1006),$AN$1006:$BO$1006,0)))),"Fix")))</f>
        <v>0</v>
      </c>
      <c r="V798" s="4">
        <f>IF(OR(INDEX($AH$2:$AH$1001,MATCH(ROWS($AG$2:AG798),$AG$2:$AG$1001,0),1)&gt;=100000,INDEX($AN$1005:$BO$1005,1,MATCH(COLUMNS($AN$1006:BH1006),$AN$1006:$BO$1006,0))&gt;=100000), " ",IF(INDEX($AN$2:$BO$1001,MATCH(ROWS($AG$2:AG798),$AG$2:$AG$1001,0),MATCH(COLUMNS($AN$1006:BH1006),$AN$1006:$BO$1006,0)), HYPERLINK("#",""), HYPERLINK(CONCATENATE("#Metadata!", ADDRESS(INDEX($AI$2:$AI$1001,MATCH(ROWS($AG$2:AG798),$AG$2:$AG$1001,0),0), INDEX($AN$1004:$BO$1004,1,MATCH(COLUMNS($AN$1006:BH1006),$AN$1006:$BO$1006,0)))),"Fix")))</f>
        <v>0</v>
      </c>
      <c r="W798" s="4">
        <f>IF(OR(INDEX($AH$2:$AH$1001,MATCH(ROWS($AG$2:AG798),$AG$2:$AG$1001,0),1)&gt;=100000,INDEX($AN$1005:$BO$1005,1,MATCH(COLUMNS($AN$1006:BI1006),$AN$1006:$BO$1006,0))&gt;=100000), " ",IF(INDEX($AN$2:$BO$1001,MATCH(ROWS($AG$2:AG798),$AG$2:$AG$1001,0),MATCH(COLUMNS($AN$1006:BI1006),$AN$1006:$BO$1006,0)), HYPERLINK("#",""), HYPERLINK(CONCATENATE("#Metadata!", ADDRESS(INDEX($AI$2:$AI$1001,MATCH(ROWS($AG$2:AG798),$AG$2:$AG$1001,0),0), INDEX($AN$1004:$BO$1004,1,MATCH(COLUMNS($AN$1006:BI1006),$AN$1006:$BO$1006,0)))),"Fix")))</f>
        <v>0</v>
      </c>
      <c r="X798" s="4">
        <f>IF(OR(INDEX($AH$2:$AH$1001,MATCH(ROWS($AG$2:AG798),$AG$2:$AG$1001,0),1)&gt;=100000,INDEX($AN$1005:$BO$1005,1,MATCH(COLUMNS($AN$1006:BJ1006),$AN$1006:$BO$1006,0))&gt;=100000), " ",IF(INDEX($AN$2:$BO$1001,MATCH(ROWS($AG$2:AG798),$AG$2:$AG$1001,0),MATCH(COLUMNS($AN$1006:BJ1006),$AN$1006:$BO$1006,0)), HYPERLINK("#",""), HYPERLINK(CONCATENATE("#Metadata!", ADDRESS(INDEX($AI$2:$AI$1001,MATCH(ROWS($AG$2:AG798),$AG$2:$AG$1001,0),0), INDEX($AN$1004:$BO$1004,1,MATCH(COLUMNS($AN$1006:BJ1006),$AN$1006:$BO$1006,0)))),"Fix")))</f>
        <v>0</v>
      </c>
      <c r="Y798" s="4">
        <f>IF(OR(INDEX($AH$2:$AH$1001,MATCH(ROWS($AG$2:AG798),$AG$2:$AG$1001,0),1)&gt;=100000,INDEX($AN$1005:$BO$1005,1,MATCH(COLUMNS($AN$1006:BK1006),$AN$1006:$BO$1006,0))&gt;=100000), " ",IF(INDEX($AN$2:$BO$1001,MATCH(ROWS($AG$2:AG798),$AG$2:$AG$1001,0),MATCH(COLUMNS($AN$1006:BK1006),$AN$1006:$BO$1006,0)), HYPERLINK("#",""), HYPERLINK(CONCATENATE("#Metadata!", ADDRESS(INDEX($AI$2:$AI$1001,MATCH(ROWS($AG$2:AG798),$AG$2:$AG$1001,0),0), INDEX($AN$1004:$BO$1004,1,MATCH(COLUMNS($AN$1006:BK1006),$AN$1006:$BO$1006,0)))),"Fix")))</f>
        <v>0</v>
      </c>
      <c r="Z798" s="4">
        <f>IF(OR(INDEX($AH$2:$AH$1001,MATCH(ROWS($AG$2:AG798),$AG$2:$AG$1001,0),1)&gt;=100000,INDEX($AN$1005:$BO$1005,1,MATCH(COLUMNS($AN$1006:BL1006),$AN$1006:$BO$1006,0))&gt;=100000), " ",IF(INDEX($AN$2:$BO$1001,MATCH(ROWS($AG$2:AG798),$AG$2:$AG$1001,0),MATCH(COLUMNS($AN$1006:BL1006),$AN$1006:$BO$1006,0)), HYPERLINK("#",""), HYPERLINK(CONCATENATE("#Metadata!", ADDRESS(INDEX($AI$2:$AI$1001,MATCH(ROWS($AG$2:AG798),$AG$2:$AG$1001,0),0), INDEX($AN$1004:$BO$1004,1,MATCH(COLUMNS($AN$1006:BL1006),$AN$1006:$BO$1006,0)))),"Fix")))</f>
        <v>0</v>
      </c>
      <c r="AA798" s="4">
        <f>IF(OR(INDEX($AH$2:$AH$1001,MATCH(ROWS($AG$2:AG798),$AG$2:$AG$1001,0),1)&gt;=100000,INDEX($AN$1005:$BO$1005,1,MATCH(COLUMNS($AN$1006:BM1006),$AN$1006:$BO$1006,0))&gt;=100000), " ",IF(INDEX($AN$2:$BO$1001,MATCH(ROWS($AG$2:AG798),$AG$2:$AG$1001,0),MATCH(COLUMNS($AN$1006:BM1006),$AN$1006:$BO$1006,0)), HYPERLINK("#",""), HYPERLINK(CONCATENATE("#Metadata!", ADDRESS(INDEX($AI$2:$AI$1001,MATCH(ROWS($AG$2:AG798),$AG$2:$AG$1001,0),0), INDEX($AN$1004:$BO$1004,1,MATCH(COLUMNS($AN$1006:BM1006),$AN$1006:$BO$1006,0)))),"Fix")))</f>
        <v>0</v>
      </c>
      <c r="AB798" s="4">
        <f>IF(OR(INDEX($AH$2:$AH$1001,MATCH(ROWS($AG$2:AG798),$AG$2:$AG$1001,0),1)&gt;=100000,INDEX($AN$1005:$BO$1005,1,MATCH(COLUMNS($AN$1006:BN1006),$AN$1006:$BO$1006,0))&gt;=100000), " ",IF(INDEX($AN$2:$BO$1001,MATCH(ROWS($AG$2:AG798),$AG$2:$AG$1001,0),MATCH(COLUMNS($AN$1006:BN1006),$AN$1006:$BO$1006,0)), HYPERLINK("#",""), HYPERLINK(CONCATENATE("#Metadata!", ADDRESS(INDEX($AI$2:$AI$1001,MATCH(ROWS($AG$2:AG798),$AG$2:$AG$1001,0),0), INDEX($AN$1004:$BO$1004,1,MATCH(COLUMNS($AN$1006:BN1006),$AN$1006:$BO$1006,0)))),"Fix")))</f>
        <v>0</v>
      </c>
      <c r="AC798" s="4">
        <f>IF(OR(INDEX($AH$2:$AH$1001,MATCH(ROWS($AG$2:AG798),$AG$2:$AG$1001,0),1)&gt;=100000,INDEX($AN$1005:$BO$1005,1,MATCH(COLUMNS($AN$1006:BO1006),$AN$1006:$BO$1006,0))&gt;=100000), " ",IF(INDEX($AN$2:$BO$1001,MATCH(ROWS($AG$2:AG798),$AG$2:$AG$1001,0),MATCH(COLUMNS($AN$1006:BO1006),$AN$1006:$BO$1006,0)), HYPERLINK("#",""), HYPERLINK(CONCATENATE("#Metadata!", ADDRESS(INDEX($AI$2:$AI$1001,MATCH(ROWS($AG$2:AG798),$AG$2:$AG$1001,0),0), INDEX($AN$1004:$BO$1004,1,MATCH(COLUMNS($AN$1006:BO1006),$AN$1006:$BO$1006,0)))),"Fix")))</f>
        <v>0</v>
      </c>
      <c r="AG798">
        <v>0</v>
      </c>
      <c r="AH798">
        <v>0</v>
      </c>
      <c r="AI798">
        <v>0</v>
      </c>
      <c r="AJ798">
        <f>IF(AK798,TRUE,AND(AN798:BO798))</f>
        <v>0</v>
      </c>
      <c r="AK798">
        <f>COUNTBLANK(Metadata!B798:AC798)=COLUMNS(Metadata!B798:AC798)</f>
        <v>0</v>
      </c>
      <c r="AL798">
        <v>0</v>
      </c>
      <c r="AN798">
        <f>AND(IF(Metadata!B798="",FALSE,TRUE),COUNTIF(Metadata!B:B, Metadata!B798) = 1,NOT(ISERROR(SUMPRODUCT(SEARCH(MID(Metadata!B798,ROW(INDIRECT("1:"&amp;LEN(Metadata!B798))), 1),"0123456789abcdefghijklmnopqrstuvwxyzABCDEFGHIJKLMNOPQRSTUVWXYZ.")))))</f>
        <v>0</v>
      </c>
      <c r="AO798">
        <f>IF(Metadata!C798="",FALSE,TRUE)</f>
        <v>0</v>
      </c>
      <c r="AP798">
        <f>IF(Metadata!D798="",FALSE,TRUE)</f>
        <v>0</v>
      </c>
      <c r="AQ798">
        <f>OR(AND(IF(Metadata!E798="",FALSE,TRUE),OR(exact(Metadata!E798,"not collected"),exact(Metadata!E798,"not provided"),exact(Metadata!E798,"restricted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R798">
        <f>IF(Metadata!F798="",FALSE,TRUE)</f>
        <v>0</v>
      </c>
      <c r="AS798">
        <f>OR(AND(IF(Metadata!G798="",FALSE,TRUE),OR(exact(Metadata!G798,"not collected"),exact(Metadata!G798,"not provided"))),AND(IF(Metadata!G798="",FALSE,TRUE),OR(exact(Metadata!G798,"TRUE"),exact(Metadata!G798,"FALSE"))))</f>
        <v>0</v>
      </c>
      <c r="AT798">
        <f>OR(AND(IF(Metadata!H798="",FALSE,TRUE),OR(exact(Metadata!H798,"not collected"),exact(Metadata!H798,"not provided"),exact(Metadata!H798,"restricted access"))),AND(IF(Metadata!H798="",FALSE,ISNUMBER(VALUE(Metadata!H798))),Metadata!H798&gt;=-413.0))</f>
        <v>0</v>
      </c>
      <c r="AU798">
        <f>AND(IF(Metadata!I798="",FALSE,TRUE),exact(Metadata!I798,"meters"))</f>
        <v>0</v>
      </c>
      <c r="AV798">
        <f>AND(IF(Metadata!J798="",FALSE,TRUE),OR(exact(Metadata!J798,"Host-associated"),exact(Metadata!J798,"Free-living")))</f>
        <v>0</v>
      </c>
      <c r="AW798">
        <f>AND(IF(Metadata!K798="",FALSE,TRUE),OR(exact(Metadata!K798,"Animal"),exact(Metadata!K798,"Fungus"),exact(Metadata!K798,"Plant"),exact(Metadata!K798,"Saline"),exact(Metadata!K798,"Non-saline")))</f>
        <v>0</v>
      </c>
      <c r="AX798">
        <f>AND(IF(Metadata!L798="",FALSE,TRUE),OR(exact(Metadata!L798,"Plant secretion"),exact(Metadata!L798,"Plant rhizosphere"),exact(Metadata!L798,"Plant surface"),exact(Metadata!L798,"Plant corpus"),exact(Metadata!L798,"Fungus surface"),exact(Metadata!L798,"Fungus corpus"),exact(Metadata!L798,"Animal surface"),exact(Metadata!L798,"Animal proximal gut"),exact(Metadata!L798,"Animal corpus"),exact(Metadata!L798,"Animal distal gut"),exact(Metadata!L798,"Animal secretion"),exact(Metadata!L798,"Sub-surface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Y798">
        <f>IF(Metadata!M798="",FALSE,TRUE)</f>
        <v>0</v>
      </c>
      <c r="AZ798">
        <f>IF(Metadata!N798="",FALSE,TRUE)</f>
        <v>0</v>
      </c>
      <c r="BA798">
        <f>IF(Metadata!O798="",FALSE,TRUE)</f>
        <v>0</v>
      </c>
      <c r="BB798">
        <f>OR(AND(IF(Metadata!P798="",FALSE,TRUE),OR(exact(Metadata!P798,"not collected"),exact(Metadata!P798,"not provided"),exact(Metadata!P798,"restricted access"))),AND(IF(Metadata!P798="",FALSE,TRUE),OR(exact(Metadata!P798,"air"),exact(Metadata!P798,"built environment"),exact(Metadata!P798,"host-associated"),exact(Metadata!P798,"human-associated"),exact(Metadata!P798,"human-skin"),exact(Metadata!P798,"human-oral"),exact(Metadata!P798,"human-gut"),exact(Metadata!P798,"human-vaginal"),exact(Metadata!P798,"microbial mat/biofilm"),exact(Metadata!P798,"misc environment"),exact(Metadata!P798,"plant-associated"),exact(Metadata!P798,"sediment"),exact(Metadata!P798,"soil"),exact(Metadata!P798,"wastewater/sludge"),exact(Metadata!P798,"water"))))</f>
        <v>0</v>
      </c>
      <c r="BC798">
        <f>IF(Metadata!Q798="",FALSE,TRUE)</f>
        <v>0</v>
      </c>
      <c r="BD798">
        <f>IF(Metadata!R798="",FALSE,TRUE)</f>
        <v>0</v>
      </c>
      <c r="BE798">
        <f>OR(AND(IF(Metadata!S798="",FALSE,TRUE),OR(exact(Metadata!S798,"not collected"),exact(Metadata!S798,"not provided"),exact(Metadata!S798,"restricted access"))),AND(IF(Metadata!S798="",FALSE,ISNUMBER(VALUE(Metadata!S798))),Metadata!S798&gt;=-90.00,Metadata!S798&lt;=90.00))</f>
        <v>0</v>
      </c>
      <c r="BF798">
        <f>AND(IF(Metadata!T798="",FALSE,TRUE),exact(Metadata!T798,"Decimal degrees"))</f>
        <v>0</v>
      </c>
      <c r="BG798">
        <f>OR(AND(IF(Metadata!U798="",FALSE,TRUE),OR(exact(Metadata!U798,"not collected"),exact(Metadata!U798,"not provided"),exact(Metadata!U798,"restricted access"))),AND(IF(Metadata!U798="",FALSE,ISNUMBER(VALUE(Metadata!U798))),Metadata!U798&gt;=-180.00,Metadata!U798&lt;=180.00))</f>
        <v>0</v>
      </c>
      <c r="BH798">
        <f>AND(IF(Metadata!V798="",FALSE,TRUE),exact(Metadata!V798,"Decimal degrees"))</f>
        <v>0</v>
      </c>
      <c r="BI798">
        <f>IF(Metadata!W798="",FALSE,TRUE)</f>
        <v>0</v>
      </c>
      <c r="BJ798">
        <f>OR(AND(IF(Metadata!X798="",FALSE,TRUE),OR(exact(Metadata!X798,"not collected"),exact(Metadata!X798,"not provided"),exact(Metadata!X798,"restricted access"))),AND(IF(Metadata!X798="",FALSE,TRUE),OR(exact(Metadata!X798,"TRUE"),exact(Metadata!X798,"FALSE"))))</f>
        <v>0</v>
      </c>
      <c r="BK798">
        <f>AND(IF(Metadata!Y798="",FALSE,TRUE),exact(Metadata!Y798,"other"))</f>
        <v>0</v>
      </c>
      <c r="BL798">
        <f>IF(Metadata!Z798="",FALSE,TRUE)</f>
        <v>0</v>
      </c>
      <c r="BM798">
        <f>OR(AND(IF(Metadata!AA798="",FALSE,TRUE),OR(exact(Metadata!AA798,"not collected"),exact(Metadata!AA798,"not provided"))),AND(IF(Metadata!AA798="",FALSE,IF(ISERROR(INT(Metadata!AA798)),FALSE,INT(Metadata!AA798)=Metadata!AA798)),Metadata!AA798&gt;0))</f>
        <v>0</v>
      </c>
      <c r="BN798">
        <f>AND(IF(Metadata!AB798="",FALSE,TRUE),exact(Metadata!AB798,"Not applicable"))</f>
        <v>0</v>
      </c>
      <c r="BO798">
        <f>IF(Metadata!AC798="",FALSE,TRUE)</f>
        <v>0</v>
      </c>
    </row>
    <row r="799" spans="1:67">
      <c r="A799" s="5">
        <f>IF(B799=" "," ",HYPERLINK(CONCATENATE("#metadata!",ADDRESS(INDEX($AI$2:$AI$1001,MATCH(ROWS($AG$2:AG799),$AG$2:$AG$1001,0),0),1)),INDEX($AL$2:$AL$1001,MATCH(ROWS($AG$2:AG799),$AG$2:$AG$1001,0),0)))</f>
        <v>0</v>
      </c>
      <c r="B799" s="4">
        <f>IF(OR(INDEX($AH$2:$AH$1001,MATCH(ROWS($AG$2:AG799),$AG$2:$AG$1001,0),1)&gt;=100000,INDEX($AN$1005:$BO$1005,1,MATCH(COLUMNS($AN$1006:AN1006),$AN$1006:$BO$1006,0))&gt;=100000), " ",IF(INDEX($AN$2:$BO$1001,MATCH(ROWS($AG$2:AG799),$AG$2:$AG$1001,0),MATCH(COLUMNS($AN$1006:AN1006),$AN$1006:$BO$1006,0)), HYPERLINK("#",""), HYPERLINK(CONCATENATE("#Metadata!", ADDRESS(INDEX($AI$2:$AI$1001,MATCH(ROWS($AG$2:AG799),$AG$2:$AG$1001,0),0), INDEX($AN$1004:$BO$1004,1,MATCH(COLUMNS($AN$1006:AN1006),$AN$1006:$BO$1006,0)))),"Fix")))</f>
        <v>0</v>
      </c>
      <c r="C799" s="4">
        <f>IF(OR(INDEX($AH$2:$AH$1001,MATCH(ROWS($AG$2:AG799),$AG$2:$AG$1001,0),1)&gt;=100000,INDEX($AN$1005:$BO$1005,1,MATCH(COLUMNS($AN$1006:AO1006),$AN$1006:$BO$1006,0))&gt;=100000), " ",IF(INDEX($AN$2:$BO$1001,MATCH(ROWS($AG$2:AG799),$AG$2:$AG$1001,0),MATCH(COLUMNS($AN$1006:AO1006),$AN$1006:$BO$1006,0)), HYPERLINK("#",""), HYPERLINK(CONCATENATE("#Metadata!", ADDRESS(INDEX($AI$2:$AI$1001,MATCH(ROWS($AG$2:AG799),$AG$2:$AG$1001,0),0), INDEX($AN$1004:$BO$1004,1,MATCH(COLUMNS($AN$1006:AO1006),$AN$1006:$BO$1006,0)))),"Fix")))</f>
        <v>0</v>
      </c>
      <c r="D799" s="4">
        <f>IF(OR(INDEX($AH$2:$AH$1001,MATCH(ROWS($AG$2:AG799),$AG$2:$AG$1001,0),1)&gt;=100000,INDEX($AN$1005:$BO$1005,1,MATCH(COLUMNS($AN$1006:AP1006),$AN$1006:$BO$1006,0))&gt;=100000), " ",IF(INDEX($AN$2:$BO$1001,MATCH(ROWS($AG$2:AG799),$AG$2:$AG$1001,0),MATCH(COLUMNS($AN$1006:AP1006),$AN$1006:$BO$1006,0)), HYPERLINK("#",""), HYPERLINK(CONCATENATE("#Metadata!", ADDRESS(INDEX($AI$2:$AI$1001,MATCH(ROWS($AG$2:AG799),$AG$2:$AG$1001,0),0), INDEX($AN$1004:$BO$1004,1,MATCH(COLUMNS($AN$1006:AP1006),$AN$1006:$BO$1006,0)))),"Fix")))</f>
        <v>0</v>
      </c>
      <c r="E799" s="4">
        <f>IF(OR(INDEX($AH$2:$AH$1001,MATCH(ROWS($AG$2:AG799),$AG$2:$AG$1001,0),1)&gt;=100000,INDEX($AN$1005:$BO$1005,1,MATCH(COLUMNS($AN$1006:AQ1006),$AN$1006:$BO$1006,0))&gt;=100000), " ",IF(INDEX($AN$2:$BO$1001,MATCH(ROWS($AG$2:AG799),$AG$2:$AG$1001,0),MATCH(COLUMNS($AN$1006:AQ1006),$AN$1006:$BO$1006,0)), HYPERLINK("#",""), HYPERLINK(CONCATENATE("#Metadata!", ADDRESS(INDEX($AI$2:$AI$1001,MATCH(ROWS($AG$2:AG799),$AG$2:$AG$1001,0),0), INDEX($AN$1004:$BO$1004,1,MATCH(COLUMNS($AN$1006:AQ1006),$AN$1006:$BO$1006,0)))),"Fix")))</f>
        <v>0</v>
      </c>
      <c r="F799" s="4">
        <f>IF(OR(INDEX($AH$2:$AH$1001,MATCH(ROWS($AG$2:AG799),$AG$2:$AG$1001,0),1)&gt;=100000,INDEX($AN$1005:$BO$1005,1,MATCH(COLUMNS($AN$1006:AR1006),$AN$1006:$BO$1006,0))&gt;=100000), " ",IF(INDEX($AN$2:$BO$1001,MATCH(ROWS($AG$2:AG799),$AG$2:$AG$1001,0),MATCH(COLUMNS($AN$1006:AR1006),$AN$1006:$BO$1006,0)), HYPERLINK("#",""), HYPERLINK(CONCATENATE("#Metadata!", ADDRESS(INDEX($AI$2:$AI$1001,MATCH(ROWS($AG$2:AG799),$AG$2:$AG$1001,0),0), INDEX($AN$1004:$BO$1004,1,MATCH(COLUMNS($AN$1006:AR1006),$AN$1006:$BO$1006,0)))),"Fix")))</f>
        <v>0</v>
      </c>
      <c r="G799" s="4">
        <f>IF(OR(INDEX($AH$2:$AH$1001,MATCH(ROWS($AG$2:AG799),$AG$2:$AG$1001,0),1)&gt;=100000,INDEX($AN$1005:$BO$1005,1,MATCH(COLUMNS($AN$1006:AS1006),$AN$1006:$BO$1006,0))&gt;=100000), " ",IF(INDEX($AN$2:$BO$1001,MATCH(ROWS($AG$2:AG799),$AG$2:$AG$1001,0),MATCH(COLUMNS($AN$1006:AS1006),$AN$1006:$BO$1006,0)), HYPERLINK("#",""), HYPERLINK(CONCATENATE("#Metadata!", ADDRESS(INDEX($AI$2:$AI$1001,MATCH(ROWS($AG$2:AG799),$AG$2:$AG$1001,0),0), INDEX($AN$1004:$BO$1004,1,MATCH(COLUMNS($AN$1006:AS1006),$AN$1006:$BO$1006,0)))),"Fix")))</f>
        <v>0</v>
      </c>
      <c r="H799" s="4">
        <f>IF(OR(INDEX($AH$2:$AH$1001,MATCH(ROWS($AG$2:AG799),$AG$2:$AG$1001,0),1)&gt;=100000,INDEX($AN$1005:$BO$1005,1,MATCH(COLUMNS($AN$1006:AT1006),$AN$1006:$BO$1006,0))&gt;=100000), " ",IF(INDEX($AN$2:$BO$1001,MATCH(ROWS($AG$2:AG799),$AG$2:$AG$1001,0),MATCH(COLUMNS($AN$1006:AT1006),$AN$1006:$BO$1006,0)), HYPERLINK("#",""), HYPERLINK(CONCATENATE("#Metadata!", ADDRESS(INDEX($AI$2:$AI$1001,MATCH(ROWS($AG$2:AG799),$AG$2:$AG$1001,0),0), INDEX($AN$1004:$BO$1004,1,MATCH(COLUMNS($AN$1006:AT1006),$AN$1006:$BO$1006,0)))),"Fix")))</f>
        <v>0</v>
      </c>
      <c r="I799" s="4">
        <f>IF(OR(INDEX($AH$2:$AH$1001,MATCH(ROWS($AG$2:AG799),$AG$2:$AG$1001,0),1)&gt;=100000,INDEX($AN$1005:$BO$1005,1,MATCH(COLUMNS($AN$1006:AU1006),$AN$1006:$BO$1006,0))&gt;=100000), " ",IF(INDEX($AN$2:$BO$1001,MATCH(ROWS($AG$2:AG799),$AG$2:$AG$1001,0),MATCH(COLUMNS($AN$1006:AU1006),$AN$1006:$BO$1006,0)), HYPERLINK("#",""), HYPERLINK(CONCATENATE("#Metadata!", ADDRESS(INDEX($AI$2:$AI$1001,MATCH(ROWS($AG$2:AG799),$AG$2:$AG$1001,0),0), INDEX($AN$1004:$BO$1004,1,MATCH(COLUMNS($AN$1006:AU1006),$AN$1006:$BO$1006,0)))),"Fix")))</f>
        <v>0</v>
      </c>
      <c r="J799" s="4">
        <f>IF(OR(INDEX($AH$2:$AH$1001,MATCH(ROWS($AG$2:AG799),$AG$2:$AG$1001,0),1)&gt;=100000,INDEX($AN$1005:$BO$1005,1,MATCH(COLUMNS($AN$1006:AV1006),$AN$1006:$BO$1006,0))&gt;=100000), " ",IF(INDEX($AN$2:$BO$1001,MATCH(ROWS($AG$2:AG799),$AG$2:$AG$1001,0),MATCH(COLUMNS($AN$1006:AV1006),$AN$1006:$BO$1006,0)), HYPERLINK("#",""), HYPERLINK(CONCATENATE("#Metadata!", ADDRESS(INDEX($AI$2:$AI$1001,MATCH(ROWS($AG$2:AG799),$AG$2:$AG$1001,0),0), INDEX($AN$1004:$BO$1004,1,MATCH(COLUMNS($AN$1006:AV1006),$AN$1006:$BO$1006,0)))),"Fix")))</f>
        <v>0</v>
      </c>
      <c r="K799" s="4">
        <f>IF(OR(INDEX($AH$2:$AH$1001,MATCH(ROWS($AG$2:AG799),$AG$2:$AG$1001,0),1)&gt;=100000,INDEX($AN$1005:$BO$1005,1,MATCH(COLUMNS($AN$1006:AW1006),$AN$1006:$BO$1006,0))&gt;=100000), " ",IF(INDEX($AN$2:$BO$1001,MATCH(ROWS($AG$2:AG799),$AG$2:$AG$1001,0),MATCH(COLUMNS($AN$1006:AW1006),$AN$1006:$BO$1006,0)), HYPERLINK("#",""), HYPERLINK(CONCATENATE("#Metadata!", ADDRESS(INDEX($AI$2:$AI$1001,MATCH(ROWS($AG$2:AG799),$AG$2:$AG$1001,0),0), INDEX($AN$1004:$BO$1004,1,MATCH(COLUMNS($AN$1006:AW1006),$AN$1006:$BO$1006,0)))),"Fix")))</f>
        <v>0</v>
      </c>
      <c r="L799" s="4">
        <f>IF(OR(INDEX($AH$2:$AH$1001,MATCH(ROWS($AG$2:AG799),$AG$2:$AG$1001,0),1)&gt;=100000,INDEX($AN$1005:$BO$1005,1,MATCH(COLUMNS($AN$1006:AX1006),$AN$1006:$BO$1006,0))&gt;=100000), " ",IF(INDEX($AN$2:$BO$1001,MATCH(ROWS($AG$2:AG799),$AG$2:$AG$1001,0),MATCH(COLUMNS($AN$1006:AX1006),$AN$1006:$BO$1006,0)), HYPERLINK("#",""), HYPERLINK(CONCATENATE("#Metadata!", ADDRESS(INDEX($AI$2:$AI$1001,MATCH(ROWS($AG$2:AG799),$AG$2:$AG$1001,0),0), INDEX($AN$1004:$BO$1004,1,MATCH(COLUMNS($AN$1006:AX1006),$AN$1006:$BO$1006,0)))),"Fix")))</f>
        <v>0</v>
      </c>
      <c r="M799" s="4">
        <f>IF(OR(INDEX($AH$2:$AH$1001,MATCH(ROWS($AG$2:AG799),$AG$2:$AG$1001,0),1)&gt;=100000,INDEX($AN$1005:$BO$1005,1,MATCH(COLUMNS($AN$1006:AY1006),$AN$1006:$BO$1006,0))&gt;=100000), " ",IF(INDEX($AN$2:$BO$1001,MATCH(ROWS($AG$2:AG799),$AG$2:$AG$1001,0),MATCH(COLUMNS($AN$1006:AY1006),$AN$1006:$BO$1006,0)), HYPERLINK("#",""), HYPERLINK(CONCATENATE("#Metadata!", ADDRESS(INDEX($AI$2:$AI$1001,MATCH(ROWS($AG$2:AG799),$AG$2:$AG$1001,0),0), INDEX($AN$1004:$BO$1004,1,MATCH(COLUMNS($AN$1006:AY1006),$AN$1006:$BO$1006,0)))),"Fix")))</f>
        <v>0</v>
      </c>
      <c r="N799" s="4">
        <f>IF(OR(INDEX($AH$2:$AH$1001,MATCH(ROWS($AG$2:AG799),$AG$2:$AG$1001,0),1)&gt;=100000,INDEX($AN$1005:$BO$1005,1,MATCH(COLUMNS($AN$1006:AZ1006),$AN$1006:$BO$1006,0))&gt;=100000), " ",IF(INDEX($AN$2:$BO$1001,MATCH(ROWS($AG$2:AG799),$AG$2:$AG$1001,0),MATCH(COLUMNS($AN$1006:AZ1006),$AN$1006:$BO$1006,0)), HYPERLINK("#",""), HYPERLINK(CONCATENATE("#Metadata!", ADDRESS(INDEX($AI$2:$AI$1001,MATCH(ROWS($AG$2:AG799),$AG$2:$AG$1001,0),0), INDEX($AN$1004:$BO$1004,1,MATCH(COLUMNS($AN$1006:AZ1006),$AN$1006:$BO$1006,0)))),"Fix")))</f>
        <v>0</v>
      </c>
      <c r="O799" s="4">
        <f>IF(OR(INDEX($AH$2:$AH$1001,MATCH(ROWS($AG$2:AG799),$AG$2:$AG$1001,0),1)&gt;=100000,INDEX($AN$1005:$BO$1005,1,MATCH(COLUMNS($AN$1006:BA1006),$AN$1006:$BO$1006,0))&gt;=100000), " ",IF(INDEX($AN$2:$BO$1001,MATCH(ROWS($AG$2:AG799),$AG$2:$AG$1001,0),MATCH(COLUMNS($AN$1006:BA1006),$AN$1006:$BO$1006,0)), HYPERLINK("#",""), HYPERLINK(CONCATENATE("#Metadata!", ADDRESS(INDEX($AI$2:$AI$1001,MATCH(ROWS($AG$2:AG799),$AG$2:$AG$1001,0),0), INDEX($AN$1004:$BO$1004,1,MATCH(COLUMNS($AN$1006:BA1006),$AN$1006:$BO$1006,0)))),"Fix")))</f>
        <v>0</v>
      </c>
      <c r="P799" s="4">
        <f>IF(OR(INDEX($AH$2:$AH$1001,MATCH(ROWS($AG$2:AG799),$AG$2:$AG$1001,0),1)&gt;=100000,INDEX($AN$1005:$BO$1005,1,MATCH(COLUMNS($AN$1006:BB1006),$AN$1006:$BO$1006,0))&gt;=100000), " ",IF(INDEX($AN$2:$BO$1001,MATCH(ROWS($AG$2:AG799),$AG$2:$AG$1001,0),MATCH(COLUMNS($AN$1006:BB1006),$AN$1006:$BO$1006,0)), HYPERLINK("#",""), HYPERLINK(CONCATENATE("#Metadata!", ADDRESS(INDEX($AI$2:$AI$1001,MATCH(ROWS($AG$2:AG799),$AG$2:$AG$1001,0),0), INDEX($AN$1004:$BO$1004,1,MATCH(COLUMNS($AN$1006:BB1006),$AN$1006:$BO$1006,0)))),"Fix")))</f>
        <v>0</v>
      </c>
      <c r="Q799" s="4">
        <f>IF(OR(INDEX($AH$2:$AH$1001,MATCH(ROWS($AG$2:AG799),$AG$2:$AG$1001,0),1)&gt;=100000,INDEX($AN$1005:$BO$1005,1,MATCH(COLUMNS($AN$1006:BC1006),$AN$1006:$BO$1006,0))&gt;=100000), " ",IF(INDEX($AN$2:$BO$1001,MATCH(ROWS($AG$2:AG799),$AG$2:$AG$1001,0),MATCH(COLUMNS($AN$1006:BC1006),$AN$1006:$BO$1006,0)), HYPERLINK("#",""), HYPERLINK(CONCATENATE("#Metadata!", ADDRESS(INDEX($AI$2:$AI$1001,MATCH(ROWS($AG$2:AG799),$AG$2:$AG$1001,0),0), INDEX($AN$1004:$BO$1004,1,MATCH(COLUMNS($AN$1006:BC1006),$AN$1006:$BO$1006,0)))),"Fix")))</f>
        <v>0</v>
      </c>
      <c r="R799" s="4">
        <f>IF(OR(INDEX($AH$2:$AH$1001,MATCH(ROWS($AG$2:AG799),$AG$2:$AG$1001,0),1)&gt;=100000,INDEX($AN$1005:$BO$1005,1,MATCH(COLUMNS($AN$1006:BD1006),$AN$1006:$BO$1006,0))&gt;=100000), " ",IF(INDEX($AN$2:$BO$1001,MATCH(ROWS($AG$2:AG799),$AG$2:$AG$1001,0),MATCH(COLUMNS($AN$1006:BD1006),$AN$1006:$BO$1006,0)), HYPERLINK("#",""), HYPERLINK(CONCATENATE("#Metadata!", ADDRESS(INDEX($AI$2:$AI$1001,MATCH(ROWS($AG$2:AG799),$AG$2:$AG$1001,0),0), INDEX($AN$1004:$BO$1004,1,MATCH(COLUMNS($AN$1006:BD1006),$AN$1006:$BO$1006,0)))),"Fix")))</f>
        <v>0</v>
      </c>
      <c r="S799" s="4">
        <f>IF(OR(INDEX($AH$2:$AH$1001,MATCH(ROWS($AG$2:AG799),$AG$2:$AG$1001,0),1)&gt;=100000,INDEX($AN$1005:$BO$1005,1,MATCH(COLUMNS($AN$1006:BE1006),$AN$1006:$BO$1006,0))&gt;=100000), " ",IF(INDEX($AN$2:$BO$1001,MATCH(ROWS($AG$2:AG799),$AG$2:$AG$1001,0),MATCH(COLUMNS($AN$1006:BE1006),$AN$1006:$BO$1006,0)), HYPERLINK("#",""), HYPERLINK(CONCATENATE("#Metadata!", ADDRESS(INDEX($AI$2:$AI$1001,MATCH(ROWS($AG$2:AG799),$AG$2:$AG$1001,0),0), INDEX($AN$1004:$BO$1004,1,MATCH(COLUMNS($AN$1006:BE1006),$AN$1006:$BO$1006,0)))),"Fix")))</f>
        <v>0</v>
      </c>
      <c r="T799" s="4">
        <f>IF(OR(INDEX($AH$2:$AH$1001,MATCH(ROWS($AG$2:AG799),$AG$2:$AG$1001,0),1)&gt;=100000,INDEX($AN$1005:$BO$1005,1,MATCH(COLUMNS($AN$1006:BF1006),$AN$1006:$BO$1006,0))&gt;=100000), " ",IF(INDEX($AN$2:$BO$1001,MATCH(ROWS($AG$2:AG799),$AG$2:$AG$1001,0),MATCH(COLUMNS($AN$1006:BF1006),$AN$1006:$BO$1006,0)), HYPERLINK("#",""), HYPERLINK(CONCATENATE("#Metadata!", ADDRESS(INDEX($AI$2:$AI$1001,MATCH(ROWS($AG$2:AG799),$AG$2:$AG$1001,0),0), INDEX($AN$1004:$BO$1004,1,MATCH(COLUMNS($AN$1006:BF1006),$AN$1006:$BO$1006,0)))),"Fix")))</f>
        <v>0</v>
      </c>
      <c r="U799" s="4">
        <f>IF(OR(INDEX($AH$2:$AH$1001,MATCH(ROWS($AG$2:AG799),$AG$2:$AG$1001,0),1)&gt;=100000,INDEX($AN$1005:$BO$1005,1,MATCH(COLUMNS($AN$1006:BG1006),$AN$1006:$BO$1006,0))&gt;=100000), " ",IF(INDEX($AN$2:$BO$1001,MATCH(ROWS($AG$2:AG799),$AG$2:$AG$1001,0),MATCH(COLUMNS($AN$1006:BG1006),$AN$1006:$BO$1006,0)), HYPERLINK("#",""), HYPERLINK(CONCATENATE("#Metadata!", ADDRESS(INDEX($AI$2:$AI$1001,MATCH(ROWS($AG$2:AG799),$AG$2:$AG$1001,0),0), INDEX($AN$1004:$BO$1004,1,MATCH(COLUMNS($AN$1006:BG1006),$AN$1006:$BO$1006,0)))),"Fix")))</f>
        <v>0</v>
      </c>
      <c r="V799" s="4">
        <f>IF(OR(INDEX($AH$2:$AH$1001,MATCH(ROWS($AG$2:AG799),$AG$2:$AG$1001,0),1)&gt;=100000,INDEX($AN$1005:$BO$1005,1,MATCH(COLUMNS($AN$1006:BH1006),$AN$1006:$BO$1006,0))&gt;=100000), " ",IF(INDEX($AN$2:$BO$1001,MATCH(ROWS($AG$2:AG799),$AG$2:$AG$1001,0),MATCH(COLUMNS($AN$1006:BH1006),$AN$1006:$BO$1006,0)), HYPERLINK("#",""), HYPERLINK(CONCATENATE("#Metadata!", ADDRESS(INDEX($AI$2:$AI$1001,MATCH(ROWS($AG$2:AG799),$AG$2:$AG$1001,0),0), INDEX($AN$1004:$BO$1004,1,MATCH(COLUMNS($AN$1006:BH1006),$AN$1006:$BO$1006,0)))),"Fix")))</f>
        <v>0</v>
      </c>
      <c r="W799" s="4">
        <f>IF(OR(INDEX($AH$2:$AH$1001,MATCH(ROWS($AG$2:AG799),$AG$2:$AG$1001,0),1)&gt;=100000,INDEX($AN$1005:$BO$1005,1,MATCH(COLUMNS($AN$1006:BI1006),$AN$1006:$BO$1006,0))&gt;=100000), " ",IF(INDEX($AN$2:$BO$1001,MATCH(ROWS($AG$2:AG799),$AG$2:$AG$1001,0),MATCH(COLUMNS($AN$1006:BI1006),$AN$1006:$BO$1006,0)), HYPERLINK("#",""), HYPERLINK(CONCATENATE("#Metadata!", ADDRESS(INDEX($AI$2:$AI$1001,MATCH(ROWS($AG$2:AG799),$AG$2:$AG$1001,0),0), INDEX($AN$1004:$BO$1004,1,MATCH(COLUMNS($AN$1006:BI1006),$AN$1006:$BO$1006,0)))),"Fix")))</f>
        <v>0</v>
      </c>
      <c r="X799" s="4">
        <f>IF(OR(INDEX($AH$2:$AH$1001,MATCH(ROWS($AG$2:AG799),$AG$2:$AG$1001,0),1)&gt;=100000,INDEX($AN$1005:$BO$1005,1,MATCH(COLUMNS($AN$1006:BJ1006),$AN$1006:$BO$1006,0))&gt;=100000), " ",IF(INDEX($AN$2:$BO$1001,MATCH(ROWS($AG$2:AG799),$AG$2:$AG$1001,0),MATCH(COLUMNS($AN$1006:BJ1006),$AN$1006:$BO$1006,0)), HYPERLINK("#",""), HYPERLINK(CONCATENATE("#Metadata!", ADDRESS(INDEX($AI$2:$AI$1001,MATCH(ROWS($AG$2:AG799),$AG$2:$AG$1001,0),0), INDEX($AN$1004:$BO$1004,1,MATCH(COLUMNS($AN$1006:BJ1006),$AN$1006:$BO$1006,0)))),"Fix")))</f>
        <v>0</v>
      </c>
      <c r="Y799" s="4">
        <f>IF(OR(INDEX($AH$2:$AH$1001,MATCH(ROWS($AG$2:AG799),$AG$2:$AG$1001,0),1)&gt;=100000,INDEX($AN$1005:$BO$1005,1,MATCH(COLUMNS($AN$1006:BK1006),$AN$1006:$BO$1006,0))&gt;=100000), " ",IF(INDEX($AN$2:$BO$1001,MATCH(ROWS($AG$2:AG799),$AG$2:$AG$1001,0),MATCH(COLUMNS($AN$1006:BK1006),$AN$1006:$BO$1006,0)), HYPERLINK("#",""), HYPERLINK(CONCATENATE("#Metadata!", ADDRESS(INDEX($AI$2:$AI$1001,MATCH(ROWS($AG$2:AG799),$AG$2:$AG$1001,0),0), INDEX($AN$1004:$BO$1004,1,MATCH(COLUMNS($AN$1006:BK1006),$AN$1006:$BO$1006,0)))),"Fix")))</f>
        <v>0</v>
      </c>
      <c r="Z799" s="4">
        <f>IF(OR(INDEX($AH$2:$AH$1001,MATCH(ROWS($AG$2:AG799),$AG$2:$AG$1001,0),1)&gt;=100000,INDEX($AN$1005:$BO$1005,1,MATCH(COLUMNS($AN$1006:BL1006),$AN$1006:$BO$1006,0))&gt;=100000), " ",IF(INDEX($AN$2:$BO$1001,MATCH(ROWS($AG$2:AG799),$AG$2:$AG$1001,0),MATCH(COLUMNS($AN$1006:BL1006),$AN$1006:$BO$1006,0)), HYPERLINK("#",""), HYPERLINK(CONCATENATE("#Metadata!", ADDRESS(INDEX($AI$2:$AI$1001,MATCH(ROWS($AG$2:AG799),$AG$2:$AG$1001,0),0), INDEX($AN$1004:$BO$1004,1,MATCH(COLUMNS($AN$1006:BL1006),$AN$1006:$BO$1006,0)))),"Fix")))</f>
        <v>0</v>
      </c>
      <c r="AA799" s="4">
        <f>IF(OR(INDEX($AH$2:$AH$1001,MATCH(ROWS($AG$2:AG799),$AG$2:$AG$1001,0),1)&gt;=100000,INDEX($AN$1005:$BO$1005,1,MATCH(COLUMNS($AN$1006:BM1006),$AN$1006:$BO$1006,0))&gt;=100000), " ",IF(INDEX($AN$2:$BO$1001,MATCH(ROWS($AG$2:AG799),$AG$2:$AG$1001,0),MATCH(COLUMNS($AN$1006:BM1006),$AN$1006:$BO$1006,0)), HYPERLINK("#",""), HYPERLINK(CONCATENATE("#Metadata!", ADDRESS(INDEX($AI$2:$AI$1001,MATCH(ROWS($AG$2:AG799),$AG$2:$AG$1001,0),0), INDEX($AN$1004:$BO$1004,1,MATCH(COLUMNS($AN$1006:BM1006),$AN$1006:$BO$1006,0)))),"Fix")))</f>
        <v>0</v>
      </c>
      <c r="AB799" s="4">
        <f>IF(OR(INDEX($AH$2:$AH$1001,MATCH(ROWS($AG$2:AG799),$AG$2:$AG$1001,0),1)&gt;=100000,INDEX($AN$1005:$BO$1005,1,MATCH(COLUMNS($AN$1006:BN1006),$AN$1006:$BO$1006,0))&gt;=100000), " ",IF(INDEX($AN$2:$BO$1001,MATCH(ROWS($AG$2:AG799),$AG$2:$AG$1001,0),MATCH(COLUMNS($AN$1006:BN1006),$AN$1006:$BO$1006,0)), HYPERLINK("#",""), HYPERLINK(CONCATENATE("#Metadata!", ADDRESS(INDEX($AI$2:$AI$1001,MATCH(ROWS($AG$2:AG799),$AG$2:$AG$1001,0),0), INDEX($AN$1004:$BO$1004,1,MATCH(COLUMNS($AN$1006:BN1006),$AN$1006:$BO$1006,0)))),"Fix")))</f>
        <v>0</v>
      </c>
      <c r="AC799" s="4">
        <f>IF(OR(INDEX($AH$2:$AH$1001,MATCH(ROWS($AG$2:AG799),$AG$2:$AG$1001,0),1)&gt;=100000,INDEX($AN$1005:$BO$1005,1,MATCH(COLUMNS($AN$1006:BO1006),$AN$1006:$BO$1006,0))&gt;=100000), " ",IF(INDEX($AN$2:$BO$1001,MATCH(ROWS($AG$2:AG799),$AG$2:$AG$1001,0),MATCH(COLUMNS($AN$1006:BO1006),$AN$1006:$BO$1006,0)), HYPERLINK("#",""), HYPERLINK(CONCATENATE("#Metadata!", ADDRESS(INDEX($AI$2:$AI$1001,MATCH(ROWS($AG$2:AG799),$AG$2:$AG$1001,0),0), INDEX($AN$1004:$BO$1004,1,MATCH(COLUMNS($AN$1006:BO1006),$AN$1006:$BO$1006,0)))),"Fix")))</f>
        <v>0</v>
      </c>
      <c r="AG799">
        <v>0</v>
      </c>
      <c r="AH799">
        <v>0</v>
      </c>
      <c r="AI799">
        <v>0</v>
      </c>
      <c r="AJ799">
        <f>IF(AK799,TRUE,AND(AN799:BO799))</f>
        <v>0</v>
      </c>
      <c r="AK799">
        <f>COUNTBLANK(Metadata!B799:AC799)=COLUMNS(Metadata!B799:AC799)</f>
        <v>0</v>
      </c>
      <c r="AL799">
        <v>0</v>
      </c>
      <c r="AN799">
        <f>AND(IF(Metadata!B799="",FALSE,TRUE),COUNTIF(Metadata!B:B, Metadata!B799) = 1,NOT(ISERROR(SUMPRODUCT(SEARCH(MID(Metadata!B799,ROW(INDIRECT("1:"&amp;LEN(Metadata!B799))), 1),"0123456789abcdefghijklmnopqrstuvwxyzABCDEFGHIJKLMNOPQRSTUVWXYZ.")))))</f>
        <v>0</v>
      </c>
      <c r="AO799">
        <f>IF(Metadata!C799="",FALSE,TRUE)</f>
        <v>0</v>
      </c>
      <c r="AP799">
        <f>IF(Metadata!D799="",FALSE,TRUE)</f>
        <v>0</v>
      </c>
      <c r="AQ799">
        <f>OR(AND(IF(Metadata!E799="",FALSE,TRUE),OR(exact(Metadata!E799,"not collected"),exact(Metadata!E799,"not provided"),exact(Metadata!E799,"restricted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R799">
        <f>IF(Metadata!F799="",FALSE,TRUE)</f>
        <v>0</v>
      </c>
      <c r="AS799">
        <f>OR(AND(IF(Metadata!G799="",FALSE,TRUE),OR(exact(Metadata!G799,"not collected"),exact(Metadata!G799,"not provided"))),AND(IF(Metadata!G799="",FALSE,TRUE),OR(exact(Metadata!G799,"TRUE"),exact(Metadata!G799,"FALSE"))))</f>
        <v>0</v>
      </c>
      <c r="AT799">
        <f>OR(AND(IF(Metadata!H799="",FALSE,TRUE),OR(exact(Metadata!H799,"not collected"),exact(Metadata!H799,"not provided"),exact(Metadata!H799,"restricted access"))),AND(IF(Metadata!H799="",FALSE,ISNUMBER(VALUE(Metadata!H799))),Metadata!H799&gt;=-413.0))</f>
        <v>0</v>
      </c>
      <c r="AU799">
        <f>AND(IF(Metadata!I799="",FALSE,TRUE),exact(Metadata!I799,"meters"))</f>
        <v>0</v>
      </c>
      <c r="AV799">
        <f>AND(IF(Metadata!J799="",FALSE,TRUE),OR(exact(Metadata!J799,"Host-associated"),exact(Metadata!J799,"Free-living")))</f>
        <v>0</v>
      </c>
      <c r="AW799">
        <f>AND(IF(Metadata!K799="",FALSE,TRUE),OR(exact(Metadata!K799,"Animal"),exact(Metadata!K799,"Fungus"),exact(Metadata!K799,"Plant"),exact(Metadata!K799,"Saline"),exact(Metadata!K799,"Non-saline")))</f>
        <v>0</v>
      </c>
      <c r="AX799">
        <f>AND(IF(Metadata!L799="",FALSE,TRUE),OR(exact(Metadata!L799,"Plant secretion"),exact(Metadata!L799,"Plant rhizosphere"),exact(Metadata!L799,"Plant surface"),exact(Metadata!L799,"Plant corpus"),exact(Metadata!L799,"Fungus surface"),exact(Metadata!L799,"Fungus corpus"),exact(Metadata!L799,"Animal surface"),exact(Metadata!L799,"Animal proximal gut"),exact(Metadata!L799,"Animal corpus"),exact(Metadata!L799,"Animal distal gut"),exact(Metadata!L799,"Animal secretion"),exact(Metadata!L799,"Sub-surface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Y799">
        <f>IF(Metadata!M799="",FALSE,TRUE)</f>
        <v>0</v>
      </c>
      <c r="AZ799">
        <f>IF(Metadata!N799="",FALSE,TRUE)</f>
        <v>0</v>
      </c>
      <c r="BA799">
        <f>IF(Metadata!O799="",FALSE,TRUE)</f>
        <v>0</v>
      </c>
      <c r="BB799">
        <f>OR(AND(IF(Metadata!P799="",FALSE,TRUE),OR(exact(Metadata!P799,"not collected"),exact(Metadata!P799,"not provided"),exact(Metadata!P799,"restricted access"))),AND(IF(Metadata!P799="",FALSE,TRUE),OR(exact(Metadata!P799,"air"),exact(Metadata!P799,"built environment"),exact(Metadata!P799,"host-associated"),exact(Metadata!P799,"human-associated"),exact(Metadata!P799,"human-skin"),exact(Metadata!P799,"human-oral"),exact(Metadata!P799,"human-gut"),exact(Metadata!P799,"human-vaginal"),exact(Metadata!P799,"microbial mat/biofilm"),exact(Metadata!P799,"misc environment"),exact(Metadata!P799,"plant-associated"),exact(Metadata!P799,"sediment"),exact(Metadata!P799,"soil"),exact(Metadata!P799,"wastewater/sludge"),exact(Metadata!P799,"water"))))</f>
        <v>0</v>
      </c>
      <c r="BC799">
        <f>IF(Metadata!Q799="",FALSE,TRUE)</f>
        <v>0</v>
      </c>
      <c r="BD799">
        <f>IF(Metadata!R799="",FALSE,TRUE)</f>
        <v>0</v>
      </c>
      <c r="BE799">
        <f>OR(AND(IF(Metadata!S799="",FALSE,TRUE),OR(exact(Metadata!S799,"not collected"),exact(Metadata!S799,"not provided"),exact(Metadata!S799,"restricted access"))),AND(IF(Metadata!S799="",FALSE,ISNUMBER(VALUE(Metadata!S799))),Metadata!S799&gt;=-90.00,Metadata!S799&lt;=90.00))</f>
        <v>0</v>
      </c>
      <c r="BF799">
        <f>AND(IF(Metadata!T799="",FALSE,TRUE),exact(Metadata!T799,"Decimal degrees"))</f>
        <v>0</v>
      </c>
      <c r="BG799">
        <f>OR(AND(IF(Metadata!U799="",FALSE,TRUE),OR(exact(Metadata!U799,"not collected"),exact(Metadata!U799,"not provided"),exact(Metadata!U799,"restricted access"))),AND(IF(Metadata!U799="",FALSE,ISNUMBER(VALUE(Metadata!U799))),Metadata!U799&gt;=-180.00,Metadata!U799&lt;=180.00))</f>
        <v>0</v>
      </c>
      <c r="BH799">
        <f>AND(IF(Metadata!V799="",FALSE,TRUE),exact(Metadata!V799,"Decimal degrees"))</f>
        <v>0</v>
      </c>
      <c r="BI799">
        <f>IF(Metadata!W799="",FALSE,TRUE)</f>
        <v>0</v>
      </c>
      <c r="BJ799">
        <f>OR(AND(IF(Metadata!X799="",FALSE,TRUE),OR(exact(Metadata!X799,"not collected"),exact(Metadata!X799,"not provided"),exact(Metadata!X799,"restricted access"))),AND(IF(Metadata!X799="",FALSE,TRUE),OR(exact(Metadata!X799,"TRUE"),exact(Metadata!X799,"FALSE"))))</f>
        <v>0</v>
      </c>
      <c r="BK799">
        <f>AND(IF(Metadata!Y799="",FALSE,TRUE),exact(Metadata!Y799,"other"))</f>
        <v>0</v>
      </c>
      <c r="BL799">
        <f>IF(Metadata!Z799="",FALSE,TRUE)</f>
        <v>0</v>
      </c>
      <c r="BM799">
        <f>OR(AND(IF(Metadata!AA799="",FALSE,TRUE),OR(exact(Metadata!AA799,"not collected"),exact(Metadata!AA799,"not provided"))),AND(IF(Metadata!AA799="",FALSE,IF(ISERROR(INT(Metadata!AA799)),FALSE,INT(Metadata!AA799)=Metadata!AA799)),Metadata!AA799&gt;0))</f>
        <v>0</v>
      </c>
      <c r="BN799">
        <f>AND(IF(Metadata!AB799="",FALSE,TRUE),exact(Metadata!AB799,"Not applicable"))</f>
        <v>0</v>
      </c>
      <c r="BO799">
        <f>IF(Metadata!AC799="",FALSE,TRUE)</f>
        <v>0</v>
      </c>
    </row>
    <row r="800" spans="1:67">
      <c r="A800" s="5">
        <f>IF(B800=" "," ",HYPERLINK(CONCATENATE("#metadata!",ADDRESS(INDEX($AI$2:$AI$1001,MATCH(ROWS($AG$2:AG800),$AG$2:$AG$1001,0),0),1)),INDEX($AL$2:$AL$1001,MATCH(ROWS($AG$2:AG800),$AG$2:$AG$1001,0),0)))</f>
        <v>0</v>
      </c>
      <c r="B800" s="4">
        <f>IF(OR(INDEX($AH$2:$AH$1001,MATCH(ROWS($AG$2:AG800),$AG$2:$AG$1001,0),1)&gt;=100000,INDEX($AN$1005:$BO$1005,1,MATCH(COLUMNS($AN$1006:AN1006),$AN$1006:$BO$1006,0))&gt;=100000), " ",IF(INDEX($AN$2:$BO$1001,MATCH(ROWS($AG$2:AG800),$AG$2:$AG$1001,0),MATCH(COLUMNS($AN$1006:AN1006),$AN$1006:$BO$1006,0)), HYPERLINK("#",""), HYPERLINK(CONCATENATE("#Metadata!", ADDRESS(INDEX($AI$2:$AI$1001,MATCH(ROWS($AG$2:AG800),$AG$2:$AG$1001,0),0), INDEX($AN$1004:$BO$1004,1,MATCH(COLUMNS($AN$1006:AN1006),$AN$1006:$BO$1006,0)))),"Fix")))</f>
        <v>0</v>
      </c>
      <c r="C800" s="4">
        <f>IF(OR(INDEX($AH$2:$AH$1001,MATCH(ROWS($AG$2:AG800),$AG$2:$AG$1001,0),1)&gt;=100000,INDEX($AN$1005:$BO$1005,1,MATCH(COLUMNS($AN$1006:AO1006),$AN$1006:$BO$1006,0))&gt;=100000), " ",IF(INDEX($AN$2:$BO$1001,MATCH(ROWS($AG$2:AG800),$AG$2:$AG$1001,0),MATCH(COLUMNS($AN$1006:AO1006),$AN$1006:$BO$1006,0)), HYPERLINK("#",""), HYPERLINK(CONCATENATE("#Metadata!", ADDRESS(INDEX($AI$2:$AI$1001,MATCH(ROWS($AG$2:AG800),$AG$2:$AG$1001,0),0), INDEX($AN$1004:$BO$1004,1,MATCH(COLUMNS($AN$1006:AO1006),$AN$1006:$BO$1006,0)))),"Fix")))</f>
        <v>0</v>
      </c>
      <c r="D800" s="4">
        <f>IF(OR(INDEX($AH$2:$AH$1001,MATCH(ROWS($AG$2:AG800),$AG$2:$AG$1001,0),1)&gt;=100000,INDEX($AN$1005:$BO$1005,1,MATCH(COLUMNS($AN$1006:AP1006),$AN$1006:$BO$1006,0))&gt;=100000), " ",IF(INDEX($AN$2:$BO$1001,MATCH(ROWS($AG$2:AG800),$AG$2:$AG$1001,0),MATCH(COLUMNS($AN$1006:AP1006),$AN$1006:$BO$1006,0)), HYPERLINK("#",""), HYPERLINK(CONCATENATE("#Metadata!", ADDRESS(INDEX($AI$2:$AI$1001,MATCH(ROWS($AG$2:AG800),$AG$2:$AG$1001,0),0), INDEX($AN$1004:$BO$1004,1,MATCH(COLUMNS($AN$1006:AP1006),$AN$1006:$BO$1006,0)))),"Fix")))</f>
        <v>0</v>
      </c>
      <c r="E800" s="4">
        <f>IF(OR(INDEX($AH$2:$AH$1001,MATCH(ROWS($AG$2:AG800),$AG$2:$AG$1001,0),1)&gt;=100000,INDEX($AN$1005:$BO$1005,1,MATCH(COLUMNS($AN$1006:AQ1006),$AN$1006:$BO$1006,0))&gt;=100000), " ",IF(INDEX($AN$2:$BO$1001,MATCH(ROWS($AG$2:AG800),$AG$2:$AG$1001,0),MATCH(COLUMNS($AN$1006:AQ1006),$AN$1006:$BO$1006,0)), HYPERLINK("#",""), HYPERLINK(CONCATENATE("#Metadata!", ADDRESS(INDEX($AI$2:$AI$1001,MATCH(ROWS($AG$2:AG800),$AG$2:$AG$1001,0),0), INDEX($AN$1004:$BO$1004,1,MATCH(COLUMNS($AN$1006:AQ1006),$AN$1006:$BO$1006,0)))),"Fix")))</f>
        <v>0</v>
      </c>
      <c r="F800" s="4">
        <f>IF(OR(INDEX($AH$2:$AH$1001,MATCH(ROWS($AG$2:AG800),$AG$2:$AG$1001,0),1)&gt;=100000,INDEX($AN$1005:$BO$1005,1,MATCH(COLUMNS($AN$1006:AR1006),$AN$1006:$BO$1006,0))&gt;=100000), " ",IF(INDEX($AN$2:$BO$1001,MATCH(ROWS($AG$2:AG800),$AG$2:$AG$1001,0),MATCH(COLUMNS($AN$1006:AR1006),$AN$1006:$BO$1006,0)), HYPERLINK("#",""), HYPERLINK(CONCATENATE("#Metadata!", ADDRESS(INDEX($AI$2:$AI$1001,MATCH(ROWS($AG$2:AG800),$AG$2:$AG$1001,0),0), INDEX($AN$1004:$BO$1004,1,MATCH(COLUMNS($AN$1006:AR1006),$AN$1006:$BO$1006,0)))),"Fix")))</f>
        <v>0</v>
      </c>
      <c r="G800" s="4">
        <f>IF(OR(INDEX($AH$2:$AH$1001,MATCH(ROWS($AG$2:AG800),$AG$2:$AG$1001,0),1)&gt;=100000,INDEX($AN$1005:$BO$1005,1,MATCH(COLUMNS($AN$1006:AS1006),$AN$1006:$BO$1006,0))&gt;=100000), " ",IF(INDEX($AN$2:$BO$1001,MATCH(ROWS($AG$2:AG800),$AG$2:$AG$1001,0),MATCH(COLUMNS($AN$1006:AS1006),$AN$1006:$BO$1006,0)), HYPERLINK("#",""), HYPERLINK(CONCATENATE("#Metadata!", ADDRESS(INDEX($AI$2:$AI$1001,MATCH(ROWS($AG$2:AG800),$AG$2:$AG$1001,0),0), INDEX($AN$1004:$BO$1004,1,MATCH(COLUMNS($AN$1006:AS1006),$AN$1006:$BO$1006,0)))),"Fix")))</f>
        <v>0</v>
      </c>
      <c r="H800" s="4">
        <f>IF(OR(INDEX($AH$2:$AH$1001,MATCH(ROWS($AG$2:AG800),$AG$2:$AG$1001,0),1)&gt;=100000,INDEX($AN$1005:$BO$1005,1,MATCH(COLUMNS($AN$1006:AT1006),$AN$1006:$BO$1006,0))&gt;=100000), " ",IF(INDEX($AN$2:$BO$1001,MATCH(ROWS($AG$2:AG800),$AG$2:$AG$1001,0),MATCH(COLUMNS($AN$1006:AT1006),$AN$1006:$BO$1006,0)), HYPERLINK("#",""), HYPERLINK(CONCATENATE("#Metadata!", ADDRESS(INDEX($AI$2:$AI$1001,MATCH(ROWS($AG$2:AG800),$AG$2:$AG$1001,0),0), INDEX($AN$1004:$BO$1004,1,MATCH(COLUMNS($AN$1006:AT1006),$AN$1006:$BO$1006,0)))),"Fix")))</f>
        <v>0</v>
      </c>
      <c r="I800" s="4">
        <f>IF(OR(INDEX($AH$2:$AH$1001,MATCH(ROWS($AG$2:AG800),$AG$2:$AG$1001,0),1)&gt;=100000,INDEX($AN$1005:$BO$1005,1,MATCH(COLUMNS($AN$1006:AU1006),$AN$1006:$BO$1006,0))&gt;=100000), " ",IF(INDEX($AN$2:$BO$1001,MATCH(ROWS($AG$2:AG800),$AG$2:$AG$1001,0),MATCH(COLUMNS($AN$1006:AU1006),$AN$1006:$BO$1006,0)), HYPERLINK("#",""), HYPERLINK(CONCATENATE("#Metadata!", ADDRESS(INDEX($AI$2:$AI$1001,MATCH(ROWS($AG$2:AG800),$AG$2:$AG$1001,0),0), INDEX($AN$1004:$BO$1004,1,MATCH(COLUMNS($AN$1006:AU1006),$AN$1006:$BO$1006,0)))),"Fix")))</f>
        <v>0</v>
      </c>
      <c r="J800" s="4">
        <f>IF(OR(INDEX($AH$2:$AH$1001,MATCH(ROWS($AG$2:AG800),$AG$2:$AG$1001,0),1)&gt;=100000,INDEX($AN$1005:$BO$1005,1,MATCH(COLUMNS($AN$1006:AV1006),$AN$1006:$BO$1006,0))&gt;=100000), " ",IF(INDEX($AN$2:$BO$1001,MATCH(ROWS($AG$2:AG800),$AG$2:$AG$1001,0),MATCH(COLUMNS($AN$1006:AV1006),$AN$1006:$BO$1006,0)), HYPERLINK("#",""), HYPERLINK(CONCATENATE("#Metadata!", ADDRESS(INDEX($AI$2:$AI$1001,MATCH(ROWS($AG$2:AG800),$AG$2:$AG$1001,0),0), INDEX($AN$1004:$BO$1004,1,MATCH(COLUMNS($AN$1006:AV1006),$AN$1006:$BO$1006,0)))),"Fix")))</f>
        <v>0</v>
      </c>
      <c r="K800" s="4">
        <f>IF(OR(INDEX($AH$2:$AH$1001,MATCH(ROWS($AG$2:AG800),$AG$2:$AG$1001,0),1)&gt;=100000,INDEX($AN$1005:$BO$1005,1,MATCH(COLUMNS($AN$1006:AW1006),$AN$1006:$BO$1006,0))&gt;=100000), " ",IF(INDEX($AN$2:$BO$1001,MATCH(ROWS($AG$2:AG800),$AG$2:$AG$1001,0),MATCH(COLUMNS($AN$1006:AW1006),$AN$1006:$BO$1006,0)), HYPERLINK("#",""), HYPERLINK(CONCATENATE("#Metadata!", ADDRESS(INDEX($AI$2:$AI$1001,MATCH(ROWS($AG$2:AG800),$AG$2:$AG$1001,0),0), INDEX($AN$1004:$BO$1004,1,MATCH(COLUMNS($AN$1006:AW1006),$AN$1006:$BO$1006,0)))),"Fix")))</f>
        <v>0</v>
      </c>
      <c r="L800" s="4">
        <f>IF(OR(INDEX($AH$2:$AH$1001,MATCH(ROWS($AG$2:AG800),$AG$2:$AG$1001,0),1)&gt;=100000,INDEX($AN$1005:$BO$1005,1,MATCH(COLUMNS($AN$1006:AX1006),$AN$1006:$BO$1006,0))&gt;=100000), " ",IF(INDEX($AN$2:$BO$1001,MATCH(ROWS($AG$2:AG800),$AG$2:$AG$1001,0),MATCH(COLUMNS($AN$1006:AX1006),$AN$1006:$BO$1006,0)), HYPERLINK("#",""), HYPERLINK(CONCATENATE("#Metadata!", ADDRESS(INDEX($AI$2:$AI$1001,MATCH(ROWS($AG$2:AG800),$AG$2:$AG$1001,0),0), INDEX($AN$1004:$BO$1004,1,MATCH(COLUMNS($AN$1006:AX1006),$AN$1006:$BO$1006,0)))),"Fix")))</f>
        <v>0</v>
      </c>
      <c r="M800" s="4">
        <f>IF(OR(INDEX($AH$2:$AH$1001,MATCH(ROWS($AG$2:AG800),$AG$2:$AG$1001,0),1)&gt;=100000,INDEX($AN$1005:$BO$1005,1,MATCH(COLUMNS($AN$1006:AY1006),$AN$1006:$BO$1006,0))&gt;=100000), " ",IF(INDEX($AN$2:$BO$1001,MATCH(ROWS($AG$2:AG800),$AG$2:$AG$1001,0),MATCH(COLUMNS($AN$1006:AY1006),$AN$1006:$BO$1006,0)), HYPERLINK("#",""), HYPERLINK(CONCATENATE("#Metadata!", ADDRESS(INDEX($AI$2:$AI$1001,MATCH(ROWS($AG$2:AG800),$AG$2:$AG$1001,0),0), INDEX($AN$1004:$BO$1004,1,MATCH(COLUMNS($AN$1006:AY1006),$AN$1006:$BO$1006,0)))),"Fix")))</f>
        <v>0</v>
      </c>
      <c r="N800" s="4">
        <f>IF(OR(INDEX($AH$2:$AH$1001,MATCH(ROWS($AG$2:AG800),$AG$2:$AG$1001,0),1)&gt;=100000,INDEX($AN$1005:$BO$1005,1,MATCH(COLUMNS($AN$1006:AZ1006),$AN$1006:$BO$1006,0))&gt;=100000), " ",IF(INDEX($AN$2:$BO$1001,MATCH(ROWS($AG$2:AG800),$AG$2:$AG$1001,0),MATCH(COLUMNS($AN$1006:AZ1006),$AN$1006:$BO$1006,0)), HYPERLINK("#",""), HYPERLINK(CONCATENATE("#Metadata!", ADDRESS(INDEX($AI$2:$AI$1001,MATCH(ROWS($AG$2:AG800),$AG$2:$AG$1001,0),0), INDEX($AN$1004:$BO$1004,1,MATCH(COLUMNS($AN$1006:AZ1006),$AN$1006:$BO$1006,0)))),"Fix")))</f>
        <v>0</v>
      </c>
      <c r="O800" s="4">
        <f>IF(OR(INDEX($AH$2:$AH$1001,MATCH(ROWS($AG$2:AG800),$AG$2:$AG$1001,0),1)&gt;=100000,INDEX($AN$1005:$BO$1005,1,MATCH(COLUMNS($AN$1006:BA1006),$AN$1006:$BO$1006,0))&gt;=100000), " ",IF(INDEX($AN$2:$BO$1001,MATCH(ROWS($AG$2:AG800),$AG$2:$AG$1001,0),MATCH(COLUMNS($AN$1006:BA1006),$AN$1006:$BO$1006,0)), HYPERLINK("#",""), HYPERLINK(CONCATENATE("#Metadata!", ADDRESS(INDEX($AI$2:$AI$1001,MATCH(ROWS($AG$2:AG800),$AG$2:$AG$1001,0),0), INDEX($AN$1004:$BO$1004,1,MATCH(COLUMNS($AN$1006:BA1006),$AN$1006:$BO$1006,0)))),"Fix")))</f>
        <v>0</v>
      </c>
      <c r="P800" s="4">
        <f>IF(OR(INDEX($AH$2:$AH$1001,MATCH(ROWS($AG$2:AG800),$AG$2:$AG$1001,0),1)&gt;=100000,INDEX($AN$1005:$BO$1005,1,MATCH(COLUMNS($AN$1006:BB1006),$AN$1006:$BO$1006,0))&gt;=100000), " ",IF(INDEX($AN$2:$BO$1001,MATCH(ROWS($AG$2:AG800),$AG$2:$AG$1001,0),MATCH(COLUMNS($AN$1006:BB1006),$AN$1006:$BO$1006,0)), HYPERLINK("#",""), HYPERLINK(CONCATENATE("#Metadata!", ADDRESS(INDEX($AI$2:$AI$1001,MATCH(ROWS($AG$2:AG800),$AG$2:$AG$1001,0),0), INDEX($AN$1004:$BO$1004,1,MATCH(COLUMNS($AN$1006:BB1006),$AN$1006:$BO$1006,0)))),"Fix")))</f>
        <v>0</v>
      </c>
      <c r="Q800" s="4">
        <f>IF(OR(INDEX($AH$2:$AH$1001,MATCH(ROWS($AG$2:AG800),$AG$2:$AG$1001,0),1)&gt;=100000,INDEX($AN$1005:$BO$1005,1,MATCH(COLUMNS($AN$1006:BC1006),$AN$1006:$BO$1006,0))&gt;=100000), " ",IF(INDEX($AN$2:$BO$1001,MATCH(ROWS($AG$2:AG800),$AG$2:$AG$1001,0),MATCH(COLUMNS($AN$1006:BC1006),$AN$1006:$BO$1006,0)), HYPERLINK("#",""), HYPERLINK(CONCATENATE("#Metadata!", ADDRESS(INDEX($AI$2:$AI$1001,MATCH(ROWS($AG$2:AG800),$AG$2:$AG$1001,0),0), INDEX($AN$1004:$BO$1004,1,MATCH(COLUMNS($AN$1006:BC1006),$AN$1006:$BO$1006,0)))),"Fix")))</f>
        <v>0</v>
      </c>
      <c r="R800" s="4">
        <f>IF(OR(INDEX($AH$2:$AH$1001,MATCH(ROWS($AG$2:AG800),$AG$2:$AG$1001,0),1)&gt;=100000,INDEX($AN$1005:$BO$1005,1,MATCH(COLUMNS($AN$1006:BD1006),$AN$1006:$BO$1006,0))&gt;=100000), " ",IF(INDEX($AN$2:$BO$1001,MATCH(ROWS($AG$2:AG800),$AG$2:$AG$1001,0),MATCH(COLUMNS($AN$1006:BD1006),$AN$1006:$BO$1006,0)), HYPERLINK("#",""), HYPERLINK(CONCATENATE("#Metadata!", ADDRESS(INDEX($AI$2:$AI$1001,MATCH(ROWS($AG$2:AG800),$AG$2:$AG$1001,0),0), INDEX($AN$1004:$BO$1004,1,MATCH(COLUMNS($AN$1006:BD1006),$AN$1006:$BO$1006,0)))),"Fix")))</f>
        <v>0</v>
      </c>
      <c r="S800" s="4">
        <f>IF(OR(INDEX($AH$2:$AH$1001,MATCH(ROWS($AG$2:AG800),$AG$2:$AG$1001,0),1)&gt;=100000,INDEX($AN$1005:$BO$1005,1,MATCH(COLUMNS($AN$1006:BE1006),$AN$1006:$BO$1006,0))&gt;=100000), " ",IF(INDEX($AN$2:$BO$1001,MATCH(ROWS($AG$2:AG800),$AG$2:$AG$1001,0),MATCH(COLUMNS($AN$1006:BE1006),$AN$1006:$BO$1006,0)), HYPERLINK("#",""), HYPERLINK(CONCATENATE("#Metadata!", ADDRESS(INDEX($AI$2:$AI$1001,MATCH(ROWS($AG$2:AG800),$AG$2:$AG$1001,0),0), INDEX($AN$1004:$BO$1004,1,MATCH(COLUMNS($AN$1006:BE1006),$AN$1006:$BO$1006,0)))),"Fix")))</f>
        <v>0</v>
      </c>
      <c r="T800" s="4">
        <f>IF(OR(INDEX($AH$2:$AH$1001,MATCH(ROWS($AG$2:AG800),$AG$2:$AG$1001,0),1)&gt;=100000,INDEX($AN$1005:$BO$1005,1,MATCH(COLUMNS($AN$1006:BF1006),$AN$1006:$BO$1006,0))&gt;=100000), " ",IF(INDEX($AN$2:$BO$1001,MATCH(ROWS($AG$2:AG800),$AG$2:$AG$1001,0),MATCH(COLUMNS($AN$1006:BF1006),$AN$1006:$BO$1006,0)), HYPERLINK("#",""), HYPERLINK(CONCATENATE("#Metadata!", ADDRESS(INDEX($AI$2:$AI$1001,MATCH(ROWS($AG$2:AG800),$AG$2:$AG$1001,0),0), INDEX($AN$1004:$BO$1004,1,MATCH(COLUMNS($AN$1006:BF1006),$AN$1006:$BO$1006,0)))),"Fix")))</f>
        <v>0</v>
      </c>
      <c r="U800" s="4">
        <f>IF(OR(INDEX($AH$2:$AH$1001,MATCH(ROWS($AG$2:AG800),$AG$2:$AG$1001,0),1)&gt;=100000,INDEX($AN$1005:$BO$1005,1,MATCH(COLUMNS($AN$1006:BG1006),$AN$1006:$BO$1006,0))&gt;=100000), " ",IF(INDEX($AN$2:$BO$1001,MATCH(ROWS($AG$2:AG800),$AG$2:$AG$1001,0),MATCH(COLUMNS($AN$1006:BG1006),$AN$1006:$BO$1006,0)), HYPERLINK("#",""), HYPERLINK(CONCATENATE("#Metadata!", ADDRESS(INDEX($AI$2:$AI$1001,MATCH(ROWS($AG$2:AG800),$AG$2:$AG$1001,0),0), INDEX($AN$1004:$BO$1004,1,MATCH(COLUMNS($AN$1006:BG1006),$AN$1006:$BO$1006,0)))),"Fix")))</f>
        <v>0</v>
      </c>
      <c r="V800" s="4">
        <f>IF(OR(INDEX($AH$2:$AH$1001,MATCH(ROWS($AG$2:AG800),$AG$2:$AG$1001,0),1)&gt;=100000,INDEX($AN$1005:$BO$1005,1,MATCH(COLUMNS($AN$1006:BH1006),$AN$1006:$BO$1006,0))&gt;=100000), " ",IF(INDEX($AN$2:$BO$1001,MATCH(ROWS($AG$2:AG800),$AG$2:$AG$1001,0),MATCH(COLUMNS($AN$1006:BH1006),$AN$1006:$BO$1006,0)), HYPERLINK("#",""), HYPERLINK(CONCATENATE("#Metadata!", ADDRESS(INDEX($AI$2:$AI$1001,MATCH(ROWS($AG$2:AG800),$AG$2:$AG$1001,0),0), INDEX($AN$1004:$BO$1004,1,MATCH(COLUMNS($AN$1006:BH1006),$AN$1006:$BO$1006,0)))),"Fix")))</f>
        <v>0</v>
      </c>
      <c r="W800" s="4">
        <f>IF(OR(INDEX($AH$2:$AH$1001,MATCH(ROWS($AG$2:AG800),$AG$2:$AG$1001,0),1)&gt;=100000,INDEX($AN$1005:$BO$1005,1,MATCH(COLUMNS($AN$1006:BI1006),$AN$1006:$BO$1006,0))&gt;=100000), " ",IF(INDEX($AN$2:$BO$1001,MATCH(ROWS($AG$2:AG800),$AG$2:$AG$1001,0),MATCH(COLUMNS($AN$1006:BI1006),$AN$1006:$BO$1006,0)), HYPERLINK("#",""), HYPERLINK(CONCATENATE("#Metadata!", ADDRESS(INDEX($AI$2:$AI$1001,MATCH(ROWS($AG$2:AG800),$AG$2:$AG$1001,0),0), INDEX($AN$1004:$BO$1004,1,MATCH(COLUMNS($AN$1006:BI1006),$AN$1006:$BO$1006,0)))),"Fix")))</f>
        <v>0</v>
      </c>
      <c r="X800" s="4">
        <f>IF(OR(INDEX($AH$2:$AH$1001,MATCH(ROWS($AG$2:AG800),$AG$2:$AG$1001,0),1)&gt;=100000,INDEX($AN$1005:$BO$1005,1,MATCH(COLUMNS($AN$1006:BJ1006),$AN$1006:$BO$1006,0))&gt;=100000), " ",IF(INDEX($AN$2:$BO$1001,MATCH(ROWS($AG$2:AG800),$AG$2:$AG$1001,0),MATCH(COLUMNS($AN$1006:BJ1006),$AN$1006:$BO$1006,0)), HYPERLINK("#",""), HYPERLINK(CONCATENATE("#Metadata!", ADDRESS(INDEX($AI$2:$AI$1001,MATCH(ROWS($AG$2:AG800),$AG$2:$AG$1001,0),0), INDEX($AN$1004:$BO$1004,1,MATCH(COLUMNS($AN$1006:BJ1006),$AN$1006:$BO$1006,0)))),"Fix")))</f>
        <v>0</v>
      </c>
      <c r="Y800" s="4">
        <f>IF(OR(INDEX($AH$2:$AH$1001,MATCH(ROWS($AG$2:AG800),$AG$2:$AG$1001,0),1)&gt;=100000,INDEX($AN$1005:$BO$1005,1,MATCH(COLUMNS($AN$1006:BK1006),$AN$1006:$BO$1006,0))&gt;=100000), " ",IF(INDEX($AN$2:$BO$1001,MATCH(ROWS($AG$2:AG800),$AG$2:$AG$1001,0),MATCH(COLUMNS($AN$1006:BK1006),$AN$1006:$BO$1006,0)), HYPERLINK("#",""), HYPERLINK(CONCATENATE("#Metadata!", ADDRESS(INDEX($AI$2:$AI$1001,MATCH(ROWS($AG$2:AG800),$AG$2:$AG$1001,0),0), INDEX($AN$1004:$BO$1004,1,MATCH(COLUMNS($AN$1006:BK1006),$AN$1006:$BO$1006,0)))),"Fix")))</f>
        <v>0</v>
      </c>
      <c r="Z800" s="4">
        <f>IF(OR(INDEX($AH$2:$AH$1001,MATCH(ROWS($AG$2:AG800),$AG$2:$AG$1001,0),1)&gt;=100000,INDEX($AN$1005:$BO$1005,1,MATCH(COLUMNS($AN$1006:BL1006),$AN$1006:$BO$1006,0))&gt;=100000), " ",IF(INDEX($AN$2:$BO$1001,MATCH(ROWS($AG$2:AG800),$AG$2:$AG$1001,0),MATCH(COLUMNS($AN$1006:BL1006),$AN$1006:$BO$1006,0)), HYPERLINK("#",""), HYPERLINK(CONCATENATE("#Metadata!", ADDRESS(INDEX($AI$2:$AI$1001,MATCH(ROWS($AG$2:AG800),$AG$2:$AG$1001,0),0), INDEX($AN$1004:$BO$1004,1,MATCH(COLUMNS($AN$1006:BL1006),$AN$1006:$BO$1006,0)))),"Fix")))</f>
        <v>0</v>
      </c>
      <c r="AA800" s="4">
        <f>IF(OR(INDEX($AH$2:$AH$1001,MATCH(ROWS($AG$2:AG800),$AG$2:$AG$1001,0),1)&gt;=100000,INDEX($AN$1005:$BO$1005,1,MATCH(COLUMNS($AN$1006:BM1006),$AN$1006:$BO$1006,0))&gt;=100000), " ",IF(INDEX($AN$2:$BO$1001,MATCH(ROWS($AG$2:AG800),$AG$2:$AG$1001,0),MATCH(COLUMNS($AN$1006:BM1006),$AN$1006:$BO$1006,0)), HYPERLINK("#",""), HYPERLINK(CONCATENATE("#Metadata!", ADDRESS(INDEX($AI$2:$AI$1001,MATCH(ROWS($AG$2:AG800),$AG$2:$AG$1001,0),0), INDEX($AN$1004:$BO$1004,1,MATCH(COLUMNS($AN$1006:BM1006),$AN$1006:$BO$1006,0)))),"Fix")))</f>
        <v>0</v>
      </c>
      <c r="AB800" s="4">
        <f>IF(OR(INDEX($AH$2:$AH$1001,MATCH(ROWS($AG$2:AG800),$AG$2:$AG$1001,0),1)&gt;=100000,INDEX($AN$1005:$BO$1005,1,MATCH(COLUMNS($AN$1006:BN1006),$AN$1006:$BO$1006,0))&gt;=100000), " ",IF(INDEX($AN$2:$BO$1001,MATCH(ROWS($AG$2:AG800),$AG$2:$AG$1001,0),MATCH(COLUMNS($AN$1006:BN1006),$AN$1006:$BO$1006,0)), HYPERLINK("#",""), HYPERLINK(CONCATENATE("#Metadata!", ADDRESS(INDEX($AI$2:$AI$1001,MATCH(ROWS($AG$2:AG800),$AG$2:$AG$1001,0),0), INDEX($AN$1004:$BO$1004,1,MATCH(COLUMNS($AN$1006:BN1006),$AN$1006:$BO$1006,0)))),"Fix")))</f>
        <v>0</v>
      </c>
      <c r="AC800" s="4">
        <f>IF(OR(INDEX($AH$2:$AH$1001,MATCH(ROWS($AG$2:AG800),$AG$2:$AG$1001,0),1)&gt;=100000,INDEX($AN$1005:$BO$1005,1,MATCH(COLUMNS($AN$1006:BO1006),$AN$1006:$BO$1006,0))&gt;=100000), " ",IF(INDEX($AN$2:$BO$1001,MATCH(ROWS($AG$2:AG800),$AG$2:$AG$1001,0),MATCH(COLUMNS($AN$1006:BO1006),$AN$1006:$BO$1006,0)), HYPERLINK("#",""), HYPERLINK(CONCATENATE("#Metadata!", ADDRESS(INDEX($AI$2:$AI$1001,MATCH(ROWS($AG$2:AG800),$AG$2:$AG$1001,0),0), INDEX($AN$1004:$BO$1004,1,MATCH(COLUMNS($AN$1006:BO1006),$AN$1006:$BO$1006,0)))),"Fix")))</f>
        <v>0</v>
      </c>
      <c r="AG800">
        <v>0</v>
      </c>
      <c r="AH800">
        <v>0</v>
      </c>
      <c r="AI800">
        <v>0</v>
      </c>
      <c r="AJ800">
        <f>IF(AK800,TRUE,AND(AN800:BO800))</f>
        <v>0</v>
      </c>
      <c r="AK800">
        <f>COUNTBLANK(Metadata!B800:AC800)=COLUMNS(Metadata!B800:AC800)</f>
        <v>0</v>
      </c>
      <c r="AL800">
        <v>0</v>
      </c>
      <c r="AN800">
        <f>AND(IF(Metadata!B800="",FALSE,TRUE),COUNTIF(Metadata!B:B, Metadata!B800) = 1,NOT(ISERROR(SUMPRODUCT(SEARCH(MID(Metadata!B800,ROW(INDIRECT("1:"&amp;LEN(Metadata!B800))), 1),"0123456789abcdefghijklmnopqrstuvwxyzABCDEFGHIJKLMNOPQRSTUVWXYZ.")))))</f>
        <v>0</v>
      </c>
      <c r="AO800">
        <f>IF(Metadata!C800="",FALSE,TRUE)</f>
        <v>0</v>
      </c>
      <c r="AP800">
        <f>IF(Metadata!D800="",FALSE,TRUE)</f>
        <v>0</v>
      </c>
      <c r="AQ800">
        <f>OR(AND(IF(Metadata!E800="",FALSE,TRUE),OR(exact(Metadata!E800,"not collected"),exact(Metadata!E800,"not provided"),exact(Metadata!E800,"restricted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R800">
        <f>IF(Metadata!F800="",FALSE,TRUE)</f>
        <v>0</v>
      </c>
      <c r="AS800">
        <f>OR(AND(IF(Metadata!G800="",FALSE,TRUE),OR(exact(Metadata!G800,"not collected"),exact(Metadata!G800,"not provided"))),AND(IF(Metadata!G800="",FALSE,TRUE),OR(exact(Metadata!G800,"TRUE"),exact(Metadata!G800,"FALSE"))))</f>
        <v>0</v>
      </c>
      <c r="AT800">
        <f>OR(AND(IF(Metadata!H800="",FALSE,TRUE),OR(exact(Metadata!H800,"not collected"),exact(Metadata!H800,"not provided"),exact(Metadata!H800,"restricted access"))),AND(IF(Metadata!H800="",FALSE,ISNUMBER(VALUE(Metadata!H800))),Metadata!H800&gt;=-413.0))</f>
        <v>0</v>
      </c>
      <c r="AU800">
        <f>AND(IF(Metadata!I800="",FALSE,TRUE),exact(Metadata!I800,"meters"))</f>
        <v>0</v>
      </c>
      <c r="AV800">
        <f>AND(IF(Metadata!J800="",FALSE,TRUE),OR(exact(Metadata!J800,"Host-associated"),exact(Metadata!J800,"Free-living")))</f>
        <v>0</v>
      </c>
      <c r="AW800">
        <f>AND(IF(Metadata!K800="",FALSE,TRUE),OR(exact(Metadata!K800,"Animal"),exact(Metadata!K800,"Fungus"),exact(Metadata!K800,"Plant"),exact(Metadata!K800,"Saline"),exact(Metadata!K800,"Non-saline")))</f>
        <v>0</v>
      </c>
      <c r="AX800">
        <f>AND(IF(Metadata!L800="",FALSE,TRUE),OR(exact(Metadata!L800,"Plant secretion"),exact(Metadata!L800,"Plant rhizosphere"),exact(Metadata!L800,"Plant surface"),exact(Metadata!L800,"Plant corpus"),exact(Metadata!L800,"Fungus surface"),exact(Metadata!L800,"Fungus corpus"),exact(Metadata!L800,"Animal surface"),exact(Metadata!L800,"Animal proximal gut"),exact(Metadata!L800,"Animal corpus"),exact(Metadata!L800,"Animal distal gut"),exact(Metadata!L800,"Animal secretion"),exact(Metadata!L800,"Sub-surface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Y800">
        <f>IF(Metadata!M800="",FALSE,TRUE)</f>
        <v>0</v>
      </c>
      <c r="AZ800">
        <f>IF(Metadata!N800="",FALSE,TRUE)</f>
        <v>0</v>
      </c>
      <c r="BA800">
        <f>IF(Metadata!O800="",FALSE,TRUE)</f>
        <v>0</v>
      </c>
      <c r="BB800">
        <f>OR(AND(IF(Metadata!P800="",FALSE,TRUE),OR(exact(Metadata!P800,"not collected"),exact(Metadata!P800,"not provided"),exact(Metadata!P800,"restricted access"))),AND(IF(Metadata!P800="",FALSE,TRUE),OR(exact(Metadata!P800,"air"),exact(Metadata!P800,"built environment"),exact(Metadata!P800,"host-associated"),exact(Metadata!P800,"human-associated"),exact(Metadata!P800,"human-skin"),exact(Metadata!P800,"human-oral"),exact(Metadata!P800,"human-gut"),exact(Metadata!P800,"human-vaginal"),exact(Metadata!P800,"microbial mat/biofilm"),exact(Metadata!P800,"misc environment"),exact(Metadata!P800,"plant-associated"),exact(Metadata!P800,"sediment"),exact(Metadata!P800,"soil"),exact(Metadata!P800,"wastewater/sludge"),exact(Metadata!P800,"water"))))</f>
        <v>0</v>
      </c>
      <c r="BC800">
        <f>IF(Metadata!Q800="",FALSE,TRUE)</f>
        <v>0</v>
      </c>
      <c r="BD800">
        <f>IF(Metadata!R800="",FALSE,TRUE)</f>
        <v>0</v>
      </c>
      <c r="BE800">
        <f>OR(AND(IF(Metadata!S800="",FALSE,TRUE),OR(exact(Metadata!S800,"not collected"),exact(Metadata!S800,"not provided"),exact(Metadata!S800,"restricted access"))),AND(IF(Metadata!S800="",FALSE,ISNUMBER(VALUE(Metadata!S800))),Metadata!S800&gt;=-90.00,Metadata!S800&lt;=90.00))</f>
        <v>0</v>
      </c>
      <c r="BF800">
        <f>AND(IF(Metadata!T800="",FALSE,TRUE),exact(Metadata!T800,"Decimal degrees"))</f>
        <v>0</v>
      </c>
      <c r="BG800">
        <f>OR(AND(IF(Metadata!U800="",FALSE,TRUE),OR(exact(Metadata!U800,"not collected"),exact(Metadata!U800,"not provided"),exact(Metadata!U800,"restricted access"))),AND(IF(Metadata!U800="",FALSE,ISNUMBER(VALUE(Metadata!U800))),Metadata!U800&gt;=-180.00,Metadata!U800&lt;=180.00))</f>
        <v>0</v>
      </c>
      <c r="BH800">
        <f>AND(IF(Metadata!V800="",FALSE,TRUE),exact(Metadata!V800,"Decimal degrees"))</f>
        <v>0</v>
      </c>
      <c r="BI800">
        <f>IF(Metadata!W800="",FALSE,TRUE)</f>
        <v>0</v>
      </c>
      <c r="BJ800">
        <f>OR(AND(IF(Metadata!X800="",FALSE,TRUE),OR(exact(Metadata!X800,"not collected"),exact(Metadata!X800,"not provided"),exact(Metadata!X800,"restricted access"))),AND(IF(Metadata!X800="",FALSE,TRUE),OR(exact(Metadata!X800,"TRUE"),exact(Metadata!X800,"FALSE"))))</f>
        <v>0</v>
      </c>
      <c r="BK800">
        <f>AND(IF(Metadata!Y800="",FALSE,TRUE),exact(Metadata!Y800,"other"))</f>
        <v>0</v>
      </c>
      <c r="BL800">
        <f>IF(Metadata!Z800="",FALSE,TRUE)</f>
        <v>0</v>
      </c>
      <c r="BM800">
        <f>OR(AND(IF(Metadata!AA800="",FALSE,TRUE),OR(exact(Metadata!AA800,"not collected"),exact(Metadata!AA800,"not provided"))),AND(IF(Metadata!AA800="",FALSE,IF(ISERROR(INT(Metadata!AA800)),FALSE,INT(Metadata!AA800)=Metadata!AA800)),Metadata!AA800&gt;0))</f>
        <v>0</v>
      </c>
      <c r="BN800">
        <f>AND(IF(Metadata!AB800="",FALSE,TRUE),exact(Metadata!AB800,"Not applicable"))</f>
        <v>0</v>
      </c>
      <c r="BO800">
        <f>IF(Metadata!AC800="",FALSE,TRUE)</f>
        <v>0</v>
      </c>
    </row>
    <row r="801" spans="1:67">
      <c r="A801" s="5">
        <f>IF(B801=" "," ",HYPERLINK(CONCATENATE("#metadata!",ADDRESS(INDEX($AI$2:$AI$1001,MATCH(ROWS($AG$2:AG801),$AG$2:$AG$1001,0),0),1)),INDEX($AL$2:$AL$1001,MATCH(ROWS($AG$2:AG801),$AG$2:$AG$1001,0),0)))</f>
        <v>0</v>
      </c>
      <c r="B801" s="4">
        <f>IF(OR(INDEX($AH$2:$AH$1001,MATCH(ROWS($AG$2:AG801),$AG$2:$AG$1001,0),1)&gt;=100000,INDEX($AN$1005:$BO$1005,1,MATCH(COLUMNS($AN$1006:AN1006),$AN$1006:$BO$1006,0))&gt;=100000), " ",IF(INDEX($AN$2:$BO$1001,MATCH(ROWS($AG$2:AG801),$AG$2:$AG$1001,0),MATCH(COLUMNS($AN$1006:AN1006),$AN$1006:$BO$1006,0)), HYPERLINK("#",""), HYPERLINK(CONCATENATE("#Metadata!", ADDRESS(INDEX($AI$2:$AI$1001,MATCH(ROWS($AG$2:AG801),$AG$2:$AG$1001,0),0), INDEX($AN$1004:$BO$1004,1,MATCH(COLUMNS($AN$1006:AN1006),$AN$1006:$BO$1006,0)))),"Fix")))</f>
        <v>0</v>
      </c>
      <c r="C801" s="4">
        <f>IF(OR(INDEX($AH$2:$AH$1001,MATCH(ROWS($AG$2:AG801),$AG$2:$AG$1001,0),1)&gt;=100000,INDEX($AN$1005:$BO$1005,1,MATCH(COLUMNS($AN$1006:AO1006),$AN$1006:$BO$1006,0))&gt;=100000), " ",IF(INDEX($AN$2:$BO$1001,MATCH(ROWS($AG$2:AG801),$AG$2:$AG$1001,0),MATCH(COLUMNS($AN$1006:AO1006),$AN$1006:$BO$1006,0)), HYPERLINK("#",""), HYPERLINK(CONCATENATE("#Metadata!", ADDRESS(INDEX($AI$2:$AI$1001,MATCH(ROWS($AG$2:AG801),$AG$2:$AG$1001,0),0), INDEX($AN$1004:$BO$1004,1,MATCH(COLUMNS($AN$1006:AO1006),$AN$1006:$BO$1006,0)))),"Fix")))</f>
        <v>0</v>
      </c>
      <c r="D801" s="4">
        <f>IF(OR(INDEX($AH$2:$AH$1001,MATCH(ROWS($AG$2:AG801),$AG$2:$AG$1001,0),1)&gt;=100000,INDEX($AN$1005:$BO$1005,1,MATCH(COLUMNS($AN$1006:AP1006),$AN$1006:$BO$1006,0))&gt;=100000), " ",IF(INDEX($AN$2:$BO$1001,MATCH(ROWS($AG$2:AG801),$AG$2:$AG$1001,0),MATCH(COLUMNS($AN$1006:AP1006),$AN$1006:$BO$1006,0)), HYPERLINK("#",""), HYPERLINK(CONCATENATE("#Metadata!", ADDRESS(INDEX($AI$2:$AI$1001,MATCH(ROWS($AG$2:AG801),$AG$2:$AG$1001,0),0), INDEX($AN$1004:$BO$1004,1,MATCH(COLUMNS($AN$1006:AP1006),$AN$1006:$BO$1006,0)))),"Fix")))</f>
        <v>0</v>
      </c>
      <c r="E801" s="4">
        <f>IF(OR(INDEX($AH$2:$AH$1001,MATCH(ROWS($AG$2:AG801),$AG$2:$AG$1001,0),1)&gt;=100000,INDEX($AN$1005:$BO$1005,1,MATCH(COLUMNS($AN$1006:AQ1006),$AN$1006:$BO$1006,0))&gt;=100000), " ",IF(INDEX($AN$2:$BO$1001,MATCH(ROWS($AG$2:AG801),$AG$2:$AG$1001,0),MATCH(COLUMNS($AN$1006:AQ1006),$AN$1006:$BO$1006,0)), HYPERLINK("#",""), HYPERLINK(CONCATENATE("#Metadata!", ADDRESS(INDEX($AI$2:$AI$1001,MATCH(ROWS($AG$2:AG801),$AG$2:$AG$1001,0),0), INDEX($AN$1004:$BO$1004,1,MATCH(COLUMNS($AN$1006:AQ1006),$AN$1006:$BO$1006,0)))),"Fix")))</f>
        <v>0</v>
      </c>
      <c r="F801" s="4">
        <f>IF(OR(INDEX($AH$2:$AH$1001,MATCH(ROWS($AG$2:AG801),$AG$2:$AG$1001,0),1)&gt;=100000,INDEX($AN$1005:$BO$1005,1,MATCH(COLUMNS($AN$1006:AR1006),$AN$1006:$BO$1006,0))&gt;=100000), " ",IF(INDEX($AN$2:$BO$1001,MATCH(ROWS($AG$2:AG801),$AG$2:$AG$1001,0),MATCH(COLUMNS($AN$1006:AR1006),$AN$1006:$BO$1006,0)), HYPERLINK("#",""), HYPERLINK(CONCATENATE("#Metadata!", ADDRESS(INDEX($AI$2:$AI$1001,MATCH(ROWS($AG$2:AG801),$AG$2:$AG$1001,0),0), INDEX($AN$1004:$BO$1004,1,MATCH(COLUMNS($AN$1006:AR1006),$AN$1006:$BO$1006,0)))),"Fix")))</f>
        <v>0</v>
      </c>
      <c r="G801" s="4">
        <f>IF(OR(INDEX($AH$2:$AH$1001,MATCH(ROWS($AG$2:AG801),$AG$2:$AG$1001,0),1)&gt;=100000,INDEX($AN$1005:$BO$1005,1,MATCH(COLUMNS($AN$1006:AS1006),$AN$1006:$BO$1006,0))&gt;=100000), " ",IF(INDEX($AN$2:$BO$1001,MATCH(ROWS($AG$2:AG801),$AG$2:$AG$1001,0),MATCH(COLUMNS($AN$1006:AS1006),$AN$1006:$BO$1006,0)), HYPERLINK("#",""), HYPERLINK(CONCATENATE("#Metadata!", ADDRESS(INDEX($AI$2:$AI$1001,MATCH(ROWS($AG$2:AG801),$AG$2:$AG$1001,0),0), INDEX($AN$1004:$BO$1004,1,MATCH(COLUMNS($AN$1006:AS1006),$AN$1006:$BO$1006,0)))),"Fix")))</f>
        <v>0</v>
      </c>
      <c r="H801" s="4">
        <f>IF(OR(INDEX($AH$2:$AH$1001,MATCH(ROWS($AG$2:AG801),$AG$2:$AG$1001,0),1)&gt;=100000,INDEX($AN$1005:$BO$1005,1,MATCH(COLUMNS($AN$1006:AT1006),$AN$1006:$BO$1006,0))&gt;=100000), " ",IF(INDEX($AN$2:$BO$1001,MATCH(ROWS($AG$2:AG801),$AG$2:$AG$1001,0),MATCH(COLUMNS($AN$1006:AT1006),$AN$1006:$BO$1006,0)), HYPERLINK("#",""), HYPERLINK(CONCATENATE("#Metadata!", ADDRESS(INDEX($AI$2:$AI$1001,MATCH(ROWS($AG$2:AG801),$AG$2:$AG$1001,0),0), INDEX($AN$1004:$BO$1004,1,MATCH(COLUMNS($AN$1006:AT1006),$AN$1006:$BO$1006,0)))),"Fix")))</f>
        <v>0</v>
      </c>
      <c r="I801" s="4">
        <f>IF(OR(INDEX($AH$2:$AH$1001,MATCH(ROWS($AG$2:AG801),$AG$2:$AG$1001,0),1)&gt;=100000,INDEX($AN$1005:$BO$1005,1,MATCH(COLUMNS($AN$1006:AU1006),$AN$1006:$BO$1006,0))&gt;=100000), " ",IF(INDEX($AN$2:$BO$1001,MATCH(ROWS($AG$2:AG801),$AG$2:$AG$1001,0),MATCH(COLUMNS($AN$1006:AU1006),$AN$1006:$BO$1006,0)), HYPERLINK("#",""), HYPERLINK(CONCATENATE("#Metadata!", ADDRESS(INDEX($AI$2:$AI$1001,MATCH(ROWS($AG$2:AG801),$AG$2:$AG$1001,0),0), INDEX($AN$1004:$BO$1004,1,MATCH(COLUMNS($AN$1006:AU1006),$AN$1006:$BO$1006,0)))),"Fix")))</f>
        <v>0</v>
      </c>
      <c r="J801" s="4">
        <f>IF(OR(INDEX($AH$2:$AH$1001,MATCH(ROWS($AG$2:AG801),$AG$2:$AG$1001,0),1)&gt;=100000,INDEX($AN$1005:$BO$1005,1,MATCH(COLUMNS($AN$1006:AV1006),$AN$1006:$BO$1006,0))&gt;=100000), " ",IF(INDEX($AN$2:$BO$1001,MATCH(ROWS($AG$2:AG801),$AG$2:$AG$1001,0),MATCH(COLUMNS($AN$1006:AV1006),$AN$1006:$BO$1006,0)), HYPERLINK("#",""), HYPERLINK(CONCATENATE("#Metadata!", ADDRESS(INDEX($AI$2:$AI$1001,MATCH(ROWS($AG$2:AG801),$AG$2:$AG$1001,0),0), INDEX($AN$1004:$BO$1004,1,MATCH(COLUMNS($AN$1006:AV1006),$AN$1006:$BO$1006,0)))),"Fix")))</f>
        <v>0</v>
      </c>
      <c r="K801" s="4">
        <f>IF(OR(INDEX($AH$2:$AH$1001,MATCH(ROWS($AG$2:AG801),$AG$2:$AG$1001,0),1)&gt;=100000,INDEX($AN$1005:$BO$1005,1,MATCH(COLUMNS($AN$1006:AW1006),$AN$1006:$BO$1006,0))&gt;=100000), " ",IF(INDEX($AN$2:$BO$1001,MATCH(ROWS($AG$2:AG801),$AG$2:$AG$1001,0),MATCH(COLUMNS($AN$1006:AW1006),$AN$1006:$BO$1006,0)), HYPERLINK("#",""), HYPERLINK(CONCATENATE("#Metadata!", ADDRESS(INDEX($AI$2:$AI$1001,MATCH(ROWS($AG$2:AG801),$AG$2:$AG$1001,0),0), INDEX($AN$1004:$BO$1004,1,MATCH(COLUMNS($AN$1006:AW1006),$AN$1006:$BO$1006,0)))),"Fix")))</f>
        <v>0</v>
      </c>
      <c r="L801" s="4">
        <f>IF(OR(INDEX($AH$2:$AH$1001,MATCH(ROWS($AG$2:AG801),$AG$2:$AG$1001,0),1)&gt;=100000,INDEX($AN$1005:$BO$1005,1,MATCH(COLUMNS($AN$1006:AX1006),$AN$1006:$BO$1006,0))&gt;=100000), " ",IF(INDEX($AN$2:$BO$1001,MATCH(ROWS($AG$2:AG801),$AG$2:$AG$1001,0),MATCH(COLUMNS($AN$1006:AX1006),$AN$1006:$BO$1006,0)), HYPERLINK("#",""), HYPERLINK(CONCATENATE("#Metadata!", ADDRESS(INDEX($AI$2:$AI$1001,MATCH(ROWS($AG$2:AG801),$AG$2:$AG$1001,0),0), INDEX($AN$1004:$BO$1004,1,MATCH(COLUMNS($AN$1006:AX1006),$AN$1006:$BO$1006,0)))),"Fix")))</f>
        <v>0</v>
      </c>
      <c r="M801" s="4">
        <f>IF(OR(INDEX($AH$2:$AH$1001,MATCH(ROWS($AG$2:AG801),$AG$2:$AG$1001,0),1)&gt;=100000,INDEX($AN$1005:$BO$1005,1,MATCH(COLUMNS($AN$1006:AY1006),$AN$1006:$BO$1006,0))&gt;=100000), " ",IF(INDEX($AN$2:$BO$1001,MATCH(ROWS($AG$2:AG801),$AG$2:$AG$1001,0),MATCH(COLUMNS($AN$1006:AY1006),$AN$1006:$BO$1006,0)), HYPERLINK("#",""), HYPERLINK(CONCATENATE("#Metadata!", ADDRESS(INDEX($AI$2:$AI$1001,MATCH(ROWS($AG$2:AG801),$AG$2:$AG$1001,0),0), INDEX($AN$1004:$BO$1004,1,MATCH(COLUMNS($AN$1006:AY1006),$AN$1006:$BO$1006,0)))),"Fix")))</f>
        <v>0</v>
      </c>
      <c r="N801" s="4">
        <f>IF(OR(INDEX($AH$2:$AH$1001,MATCH(ROWS($AG$2:AG801),$AG$2:$AG$1001,0),1)&gt;=100000,INDEX($AN$1005:$BO$1005,1,MATCH(COLUMNS($AN$1006:AZ1006),$AN$1006:$BO$1006,0))&gt;=100000), " ",IF(INDEX($AN$2:$BO$1001,MATCH(ROWS($AG$2:AG801),$AG$2:$AG$1001,0),MATCH(COLUMNS($AN$1006:AZ1006),$AN$1006:$BO$1006,0)), HYPERLINK("#",""), HYPERLINK(CONCATENATE("#Metadata!", ADDRESS(INDEX($AI$2:$AI$1001,MATCH(ROWS($AG$2:AG801),$AG$2:$AG$1001,0),0), INDEX($AN$1004:$BO$1004,1,MATCH(COLUMNS($AN$1006:AZ1006),$AN$1006:$BO$1006,0)))),"Fix")))</f>
        <v>0</v>
      </c>
      <c r="O801" s="4">
        <f>IF(OR(INDEX($AH$2:$AH$1001,MATCH(ROWS($AG$2:AG801),$AG$2:$AG$1001,0),1)&gt;=100000,INDEX($AN$1005:$BO$1005,1,MATCH(COLUMNS($AN$1006:BA1006),$AN$1006:$BO$1006,0))&gt;=100000), " ",IF(INDEX($AN$2:$BO$1001,MATCH(ROWS($AG$2:AG801),$AG$2:$AG$1001,0),MATCH(COLUMNS($AN$1006:BA1006),$AN$1006:$BO$1006,0)), HYPERLINK("#",""), HYPERLINK(CONCATENATE("#Metadata!", ADDRESS(INDEX($AI$2:$AI$1001,MATCH(ROWS($AG$2:AG801),$AG$2:$AG$1001,0),0), INDEX($AN$1004:$BO$1004,1,MATCH(COLUMNS($AN$1006:BA1006),$AN$1006:$BO$1006,0)))),"Fix")))</f>
        <v>0</v>
      </c>
      <c r="P801" s="4">
        <f>IF(OR(INDEX($AH$2:$AH$1001,MATCH(ROWS($AG$2:AG801),$AG$2:$AG$1001,0),1)&gt;=100000,INDEX($AN$1005:$BO$1005,1,MATCH(COLUMNS($AN$1006:BB1006),$AN$1006:$BO$1006,0))&gt;=100000), " ",IF(INDEX($AN$2:$BO$1001,MATCH(ROWS($AG$2:AG801),$AG$2:$AG$1001,0),MATCH(COLUMNS($AN$1006:BB1006),$AN$1006:$BO$1006,0)), HYPERLINK("#",""), HYPERLINK(CONCATENATE("#Metadata!", ADDRESS(INDEX($AI$2:$AI$1001,MATCH(ROWS($AG$2:AG801),$AG$2:$AG$1001,0),0), INDEX($AN$1004:$BO$1004,1,MATCH(COLUMNS($AN$1006:BB1006),$AN$1006:$BO$1006,0)))),"Fix")))</f>
        <v>0</v>
      </c>
      <c r="Q801" s="4">
        <f>IF(OR(INDEX($AH$2:$AH$1001,MATCH(ROWS($AG$2:AG801),$AG$2:$AG$1001,0),1)&gt;=100000,INDEX($AN$1005:$BO$1005,1,MATCH(COLUMNS($AN$1006:BC1006),$AN$1006:$BO$1006,0))&gt;=100000), " ",IF(INDEX($AN$2:$BO$1001,MATCH(ROWS($AG$2:AG801),$AG$2:$AG$1001,0),MATCH(COLUMNS($AN$1006:BC1006),$AN$1006:$BO$1006,0)), HYPERLINK("#",""), HYPERLINK(CONCATENATE("#Metadata!", ADDRESS(INDEX($AI$2:$AI$1001,MATCH(ROWS($AG$2:AG801),$AG$2:$AG$1001,0),0), INDEX($AN$1004:$BO$1004,1,MATCH(COLUMNS($AN$1006:BC1006),$AN$1006:$BO$1006,0)))),"Fix")))</f>
        <v>0</v>
      </c>
      <c r="R801" s="4">
        <f>IF(OR(INDEX($AH$2:$AH$1001,MATCH(ROWS($AG$2:AG801),$AG$2:$AG$1001,0),1)&gt;=100000,INDEX($AN$1005:$BO$1005,1,MATCH(COLUMNS($AN$1006:BD1006),$AN$1006:$BO$1006,0))&gt;=100000), " ",IF(INDEX($AN$2:$BO$1001,MATCH(ROWS($AG$2:AG801),$AG$2:$AG$1001,0),MATCH(COLUMNS($AN$1006:BD1006),$AN$1006:$BO$1006,0)), HYPERLINK("#",""), HYPERLINK(CONCATENATE("#Metadata!", ADDRESS(INDEX($AI$2:$AI$1001,MATCH(ROWS($AG$2:AG801),$AG$2:$AG$1001,0),0), INDEX($AN$1004:$BO$1004,1,MATCH(COLUMNS($AN$1006:BD1006),$AN$1006:$BO$1006,0)))),"Fix")))</f>
        <v>0</v>
      </c>
      <c r="S801" s="4">
        <f>IF(OR(INDEX($AH$2:$AH$1001,MATCH(ROWS($AG$2:AG801),$AG$2:$AG$1001,0),1)&gt;=100000,INDEX($AN$1005:$BO$1005,1,MATCH(COLUMNS($AN$1006:BE1006),$AN$1006:$BO$1006,0))&gt;=100000), " ",IF(INDEX($AN$2:$BO$1001,MATCH(ROWS($AG$2:AG801),$AG$2:$AG$1001,0),MATCH(COLUMNS($AN$1006:BE1006),$AN$1006:$BO$1006,0)), HYPERLINK("#",""), HYPERLINK(CONCATENATE("#Metadata!", ADDRESS(INDEX($AI$2:$AI$1001,MATCH(ROWS($AG$2:AG801),$AG$2:$AG$1001,0),0), INDEX($AN$1004:$BO$1004,1,MATCH(COLUMNS($AN$1006:BE1006),$AN$1006:$BO$1006,0)))),"Fix")))</f>
        <v>0</v>
      </c>
      <c r="T801" s="4">
        <f>IF(OR(INDEX($AH$2:$AH$1001,MATCH(ROWS($AG$2:AG801),$AG$2:$AG$1001,0),1)&gt;=100000,INDEX($AN$1005:$BO$1005,1,MATCH(COLUMNS($AN$1006:BF1006),$AN$1006:$BO$1006,0))&gt;=100000), " ",IF(INDEX($AN$2:$BO$1001,MATCH(ROWS($AG$2:AG801),$AG$2:$AG$1001,0),MATCH(COLUMNS($AN$1006:BF1006),$AN$1006:$BO$1006,0)), HYPERLINK("#",""), HYPERLINK(CONCATENATE("#Metadata!", ADDRESS(INDEX($AI$2:$AI$1001,MATCH(ROWS($AG$2:AG801),$AG$2:$AG$1001,0),0), INDEX($AN$1004:$BO$1004,1,MATCH(COLUMNS($AN$1006:BF1006),$AN$1006:$BO$1006,0)))),"Fix")))</f>
        <v>0</v>
      </c>
      <c r="U801" s="4">
        <f>IF(OR(INDEX($AH$2:$AH$1001,MATCH(ROWS($AG$2:AG801),$AG$2:$AG$1001,0),1)&gt;=100000,INDEX($AN$1005:$BO$1005,1,MATCH(COLUMNS($AN$1006:BG1006),$AN$1006:$BO$1006,0))&gt;=100000), " ",IF(INDEX($AN$2:$BO$1001,MATCH(ROWS($AG$2:AG801),$AG$2:$AG$1001,0),MATCH(COLUMNS($AN$1006:BG1006),$AN$1006:$BO$1006,0)), HYPERLINK("#",""), HYPERLINK(CONCATENATE("#Metadata!", ADDRESS(INDEX($AI$2:$AI$1001,MATCH(ROWS($AG$2:AG801),$AG$2:$AG$1001,0),0), INDEX($AN$1004:$BO$1004,1,MATCH(COLUMNS($AN$1006:BG1006),$AN$1006:$BO$1006,0)))),"Fix")))</f>
        <v>0</v>
      </c>
      <c r="V801" s="4">
        <f>IF(OR(INDEX($AH$2:$AH$1001,MATCH(ROWS($AG$2:AG801),$AG$2:$AG$1001,0),1)&gt;=100000,INDEX($AN$1005:$BO$1005,1,MATCH(COLUMNS($AN$1006:BH1006),$AN$1006:$BO$1006,0))&gt;=100000), " ",IF(INDEX($AN$2:$BO$1001,MATCH(ROWS($AG$2:AG801),$AG$2:$AG$1001,0),MATCH(COLUMNS($AN$1006:BH1006),$AN$1006:$BO$1006,0)), HYPERLINK("#",""), HYPERLINK(CONCATENATE("#Metadata!", ADDRESS(INDEX($AI$2:$AI$1001,MATCH(ROWS($AG$2:AG801),$AG$2:$AG$1001,0),0), INDEX($AN$1004:$BO$1004,1,MATCH(COLUMNS($AN$1006:BH1006),$AN$1006:$BO$1006,0)))),"Fix")))</f>
        <v>0</v>
      </c>
      <c r="W801" s="4">
        <f>IF(OR(INDEX($AH$2:$AH$1001,MATCH(ROWS($AG$2:AG801),$AG$2:$AG$1001,0),1)&gt;=100000,INDEX($AN$1005:$BO$1005,1,MATCH(COLUMNS($AN$1006:BI1006),$AN$1006:$BO$1006,0))&gt;=100000), " ",IF(INDEX($AN$2:$BO$1001,MATCH(ROWS($AG$2:AG801),$AG$2:$AG$1001,0),MATCH(COLUMNS($AN$1006:BI1006),$AN$1006:$BO$1006,0)), HYPERLINK("#",""), HYPERLINK(CONCATENATE("#Metadata!", ADDRESS(INDEX($AI$2:$AI$1001,MATCH(ROWS($AG$2:AG801),$AG$2:$AG$1001,0),0), INDEX($AN$1004:$BO$1004,1,MATCH(COLUMNS($AN$1006:BI1006),$AN$1006:$BO$1006,0)))),"Fix")))</f>
        <v>0</v>
      </c>
      <c r="X801" s="4">
        <f>IF(OR(INDEX($AH$2:$AH$1001,MATCH(ROWS($AG$2:AG801),$AG$2:$AG$1001,0),1)&gt;=100000,INDEX($AN$1005:$BO$1005,1,MATCH(COLUMNS($AN$1006:BJ1006),$AN$1006:$BO$1006,0))&gt;=100000), " ",IF(INDEX($AN$2:$BO$1001,MATCH(ROWS($AG$2:AG801),$AG$2:$AG$1001,0),MATCH(COLUMNS($AN$1006:BJ1006),$AN$1006:$BO$1006,0)), HYPERLINK("#",""), HYPERLINK(CONCATENATE("#Metadata!", ADDRESS(INDEX($AI$2:$AI$1001,MATCH(ROWS($AG$2:AG801),$AG$2:$AG$1001,0),0), INDEX($AN$1004:$BO$1004,1,MATCH(COLUMNS($AN$1006:BJ1006),$AN$1006:$BO$1006,0)))),"Fix")))</f>
        <v>0</v>
      </c>
      <c r="Y801" s="4">
        <f>IF(OR(INDEX($AH$2:$AH$1001,MATCH(ROWS($AG$2:AG801),$AG$2:$AG$1001,0),1)&gt;=100000,INDEX($AN$1005:$BO$1005,1,MATCH(COLUMNS($AN$1006:BK1006),$AN$1006:$BO$1006,0))&gt;=100000), " ",IF(INDEX($AN$2:$BO$1001,MATCH(ROWS($AG$2:AG801),$AG$2:$AG$1001,0),MATCH(COLUMNS($AN$1006:BK1006),$AN$1006:$BO$1006,0)), HYPERLINK("#",""), HYPERLINK(CONCATENATE("#Metadata!", ADDRESS(INDEX($AI$2:$AI$1001,MATCH(ROWS($AG$2:AG801),$AG$2:$AG$1001,0),0), INDEX($AN$1004:$BO$1004,1,MATCH(COLUMNS($AN$1006:BK1006),$AN$1006:$BO$1006,0)))),"Fix")))</f>
        <v>0</v>
      </c>
      <c r="Z801" s="4">
        <f>IF(OR(INDEX($AH$2:$AH$1001,MATCH(ROWS($AG$2:AG801),$AG$2:$AG$1001,0),1)&gt;=100000,INDEX($AN$1005:$BO$1005,1,MATCH(COLUMNS($AN$1006:BL1006),$AN$1006:$BO$1006,0))&gt;=100000), " ",IF(INDEX($AN$2:$BO$1001,MATCH(ROWS($AG$2:AG801),$AG$2:$AG$1001,0),MATCH(COLUMNS($AN$1006:BL1006),$AN$1006:$BO$1006,0)), HYPERLINK("#",""), HYPERLINK(CONCATENATE("#Metadata!", ADDRESS(INDEX($AI$2:$AI$1001,MATCH(ROWS($AG$2:AG801),$AG$2:$AG$1001,0),0), INDEX($AN$1004:$BO$1004,1,MATCH(COLUMNS($AN$1006:BL1006),$AN$1006:$BO$1006,0)))),"Fix")))</f>
        <v>0</v>
      </c>
      <c r="AA801" s="4">
        <f>IF(OR(INDEX($AH$2:$AH$1001,MATCH(ROWS($AG$2:AG801),$AG$2:$AG$1001,0),1)&gt;=100000,INDEX($AN$1005:$BO$1005,1,MATCH(COLUMNS($AN$1006:BM1006),$AN$1006:$BO$1006,0))&gt;=100000), " ",IF(INDEX($AN$2:$BO$1001,MATCH(ROWS($AG$2:AG801),$AG$2:$AG$1001,0),MATCH(COLUMNS($AN$1006:BM1006),$AN$1006:$BO$1006,0)), HYPERLINK("#",""), HYPERLINK(CONCATENATE("#Metadata!", ADDRESS(INDEX($AI$2:$AI$1001,MATCH(ROWS($AG$2:AG801),$AG$2:$AG$1001,0),0), INDEX($AN$1004:$BO$1004,1,MATCH(COLUMNS($AN$1006:BM1006),$AN$1006:$BO$1006,0)))),"Fix")))</f>
        <v>0</v>
      </c>
      <c r="AB801" s="4">
        <f>IF(OR(INDEX($AH$2:$AH$1001,MATCH(ROWS($AG$2:AG801),$AG$2:$AG$1001,0),1)&gt;=100000,INDEX($AN$1005:$BO$1005,1,MATCH(COLUMNS($AN$1006:BN1006),$AN$1006:$BO$1006,0))&gt;=100000), " ",IF(INDEX($AN$2:$BO$1001,MATCH(ROWS($AG$2:AG801),$AG$2:$AG$1001,0),MATCH(COLUMNS($AN$1006:BN1006),$AN$1006:$BO$1006,0)), HYPERLINK("#",""), HYPERLINK(CONCATENATE("#Metadata!", ADDRESS(INDEX($AI$2:$AI$1001,MATCH(ROWS($AG$2:AG801),$AG$2:$AG$1001,0),0), INDEX($AN$1004:$BO$1004,1,MATCH(COLUMNS($AN$1006:BN1006),$AN$1006:$BO$1006,0)))),"Fix")))</f>
        <v>0</v>
      </c>
      <c r="AC801" s="4">
        <f>IF(OR(INDEX($AH$2:$AH$1001,MATCH(ROWS($AG$2:AG801),$AG$2:$AG$1001,0),1)&gt;=100000,INDEX($AN$1005:$BO$1005,1,MATCH(COLUMNS($AN$1006:BO1006),$AN$1006:$BO$1006,0))&gt;=100000), " ",IF(INDEX($AN$2:$BO$1001,MATCH(ROWS($AG$2:AG801),$AG$2:$AG$1001,0),MATCH(COLUMNS($AN$1006:BO1006),$AN$1006:$BO$1006,0)), HYPERLINK("#",""), HYPERLINK(CONCATENATE("#Metadata!", ADDRESS(INDEX($AI$2:$AI$1001,MATCH(ROWS($AG$2:AG801),$AG$2:$AG$1001,0),0), INDEX($AN$1004:$BO$1004,1,MATCH(COLUMNS($AN$1006:BO1006),$AN$1006:$BO$1006,0)))),"Fix")))</f>
        <v>0</v>
      </c>
      <c r="AG801">
        <v>0</v>
      </c>
      <c r="AH801">
        <v>0</v>
      </c>
      <c r="AI801">
        <v>0</v>
      </c>
      <c r="AJ801">
        <f>IF(AK801,TRUE,AND(AN801:BO801))</f>
        <v>0</v>
      </c>
      <c r="AK801">
        <f>COUNTBLANK(Metadata!B801:AC801)=COLUMNS(Metadata!B801:AC801)</f>
        <v>0</v>
      </c>
      <c r="AL801">
        <v>0</v>
      </c>
      <c r="AN801">
        <f>AND(IF(Metadata!B801="",FALSE,TRUE),COUNTIF(Metadata!B:B, Metadata!B801) = 1,NOT(ISERROR(SUMPRODUCT(SEARCH(MID(Metadata!B801,ROW(INDIRECT("1:"&amp;LEN(Metadata!B801))), 1),"0123456789abcdefghijklmnopqrstuvwxyzABCDEFGHIJKLMNOPQRSTUVWXYZ.")))))</f>
        <v>0</v>
      </c>
      <c r="AO801">
        <f>IF(Metadata!C801="",FALSE,TRUE)</f>
        <v>0</v>
      </c>
      <c r="AP801">
        <f>IF(Metadata!D801="",FALSE,TRUE)</f>
        <v>0</v>
      </c>
      <c r="AQ801">
        <f>OR(AND(IF(Metadata!E801="",FALSE,TRUE),OR(exact(Metadata!E801,"not collected"),exact(Metadata!E801,"not provided"),exact(Metadata!E801,"restricted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R801">
        <f>IF(Metadata!F801="",FALSE,TRUE)</f>
        <v>0</v>
      </c>
      <c r="AS801">
        <f>OR(AND(IF(Metadata!G801="",FALSE,TRUE),OR(exact(Metadata!G801,"not collected"),exact(Metadata!G801,"not provided"))),AND(IF(Metadata!G801="",FALSE,TRUE),OR(exact(Metadata!G801,"TRUE"),exact(Metadata!G801,"FALSE"))))</f>
        <v>0</v>
      </c>
      <c r="AT801">
        <f>OR(AND(IF(Metadata!H801="",FALSE,TRUE),OR(exact(Metadata!H801,"not collected"),exact(Metadata!H801,"not provided"),exact(Metadata!H801,"restricted access"))),AND(IF(Metadata!H801="",FALSE,ISNUMBER(VALUE(Metadata!H801))),Metadata!H801&gt;=-413.0))</f>
        <v>0</v>
      </c>
      <c r="AU801">
        <f>AND(IF(Metadata!I801="",FALSE,TRUE),exact(Metadata!I801,"meters"))</f>
        <v>0</v>
      </c>
      <c r="AV801">
        <f>AND(IF(Metadata!J801="",FALSE,TRUE),OR(exact(Metadata!J801,"Host-associated"),exact(Metadata!J801,"Free-living")))</f>
        <v>0</v>
      </c>
      <c r="AW801">
        <f>AND(IF(Metadata!K801="",FALSE,TRUE),OR(exact(Metadata!K801,"Animal"),exact(Metadata!K801,"Fungus"),exact(Metadata!K801,"Plant"),exact(Metadata!K801,"Saline"),exact(Metadata!K801,"Non-saline")))</f>
        <v>0</v>
      </c>
      <c r="AX801">
        <f>AND(IF(Metadata!L801="",FALSE,TRUE),OR(exact(Metadata!L801,"Plant secretion"),exact(Metadata!L801,"Plant rhizosphere"),exact(Metadata!L801,"Plant surface"),exact(Metadata!L801,"Plant corpus"),exact(Metadata!L801,"Fungus surface"),exact(Metadata!L801,"Fungus corpus"),exact(Metadata!L801,"Animal surface"),exact(Metadata!L801,"Animal proximal gut"),exact(Metadata!L801,"Animal corpus"),exact(Metadata!L801,"Animal distal gut"),exact(Metadata!L801,"Animal secretion"),exact(Metadata!L801,"Sub-surface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Y801">
        <f>IF(Metadata!M801="",FALSE,TRUE)</f>
        <v>0</v>
      </c>
      <c r="AZ801">
        <f>IF(Metadata!N801="",FALSE,TRUE)</f>
        <v>0</v>
      </c>
      <c r="BA801">
        <f>IF(Metadata!O801="",FALSE,TRUE)</f>
        <v>0</v>
      </c>
      <c r="BB801">
        <f>OR(AND(IF(Metadata!P801="",FALSE,TRUE),OR(exact(Metadata!P801,"not collected"),exact(Metadata!P801,"not provided"),exact(Metadata!P801,"restricted access"))),AND(IF(Metadata!P801="",FALSE,TRUE),OR(exact(Metadata!P801,"air"),exact(Metadata!P801,"built environment"),exact(Metadata!P801,"host-associated"),exact(Metadata!P801,"human-associated"),exact(Metadata!P801,"human-skin"),exact(Metadata!P801,"human-oral"),exact(Metadata!P801,"human-gut"),exact(Metadata!P801,"human-vaginal"),exact(Metadata!P801,"microbial mat/biofilm"),exact(Metadata!P801,"misc environment"),exact(Metadata!P801,"plant-associated"),exact(Metadata!P801,"sediment"),exact(Metadata!P801,"soil"),exact(Metadata!P801,"wastewater/sludge"),exact(Metadata!P801,"water"))))</f>
        <v>0</v>
      </c>
      <c r="BC801">
        <f>IF(Metadata!Q801="",FALSE,TRUE)</f>
        <v>0</v>
      </c>
      <c r="BD801">
        <f>IF(Metadata!R801="",FALSE,TRUE)</f>
        <v>0</v>
      </c>
      <c r="BE801">
        <f>OR(AND(IF(Metadata!S801="",FALSE,TRUE),OR(exact(Metadata!S801,"not collected"),exact(Metadata!S801,"not provided"),exact(Metadata!S801,"restricted access"))),AND(IF(Metadata!S801="",FALSE,ISNUMBER(VALUE(Metadata!S801))),Metadata!S801&gt;=-90.00,Metadata!S801&lt;=90.00))</f>
        <v>0</v>
      </c>
      <c r="BF801">
        <f>AND(IF(Metadata!T801="",FALSE,TRUE),exact(Metadata!T801,"Decimal degrees"))</f>
        <v>0</v>
      </c>
      <c r="BG801">
        <f>OR(AND(IF(Metadata!U801="",FALSE,TRUE),OR(exact(Metadata!U801,"not collected"),exact(Metadata!U801,"not provided"),exact(Metadata!U801,"restricted access"))),AND(IF(Metadata!U801="",FALSE,ISNUMBER(VALUE(Metadata!U801))),Metadata!U801&gt;=-180.00,Metadata!U801&lt;=180.00))</f>
        <v>0</v>
      </c>
      <c r="BH801">
        <f>AND(IF(Metadata!V801="",FALSE,TRUE),exact(Metadata!V801,"Decimal degrees"))</f>
        <v>0</v>
      </c>
      <c r="BI801">
        <f>IF(Metadata!W801="",FALSE,TRUE)</f>
        <v>0</v>
      </c>
      <c r="BJ801">
        <f>OR(AND(IF(Metadata!X801="",FALSE,TRUE),OR(exact(Metadata!X801,"not collected"),exact(Metadata!X801,"not provided"),exact(Metadata!X801,"restricted access"))),AND(IF(Metadata!X801="",FALSE,TRUE),OR(exact(Metadata!X801,"TRUE"),exact(Metadata!X801,"FALSE"))))</f>
        <v>0</v>
      </c>
      <c r="BK801">
        <f>AND(IF(Metadata!Y801="",FALSE,TRUE),exact(Metadata!Y801,"other"))</f>
        <v>0</v>
      </c>
      <c r="BL801">
        <f>IF(Metadata!Z801="",FALSE,TRUE)</f>
        <v>0</v>
      </c>
      <c r="BM801">
        <f>OR(AND(IF(Metadata!AA801="",FALSE,TRUE),OR(exact(Metadata!AA801,"not collected"),exact(Metadata!AA801,"not provided"))),AND(IF(Metadata!AA801="",FALSE,IF(ISERROR(INT(Metadata!AA801)),FALSE,INT(Metadata!AA801)=Metadata!AA801)),Metadata!AA801&gt;0))</f>
        <v>0</v>
      </c>
      <c r="BN801">
        <f>AND(IF(Metadata!AB801="",FALSE,TRUE),exact(Metadata!AB801,"Not applicable"))</f>
        <v>0</v>
      </c>
      <c r="BO801">
        <f>IF(Metadata!AC801="",FALSE,TRUE)</f>
        <v>0</v>
      </c>
    </row>
    <row r="802" spans="1:67">
      <c r="A802" s="5">
        <f>IF(B802=" "," ",HYPERLINK(CONCATENATE("#metadata!",ADDRESS(INDEX($AI$2:$AI$1001,MATCH(ROWS($AG$2:AG802),$AG$2:$AG$1001,0),0),1)),INDEX($AL$2:$AL$1001,MATCH(ROWS($AG$2:AG802),$AG$2:$AG$1001,0),0)))</f>
        <v>0</v>
      </c>
      <c r="B802" s="4">
        <f>IF(OR(INDEX($AH$2:$AH$1001,MATCH(ROWS($AG$2:AG802),$AG$2:$AG$1001,0),1)&gt;=100000,INDEX($AN$1005:$BO$1005,1,MATCH(COLUMNS($AN$1006:AN1006),$AN$1006:$BO$1006,0))&gt;=100000), " ",IF(INDEX($AN$2:$BO$1001,MATCH(ROWS($AG$2:AG802),$AG$2:$AG$1001,0),MATCH(COLUMNS($AN$1006:AN1006),$AN$1006:$BO$1006,0)), HYPERLINK("#",""), HYPERLINK(CONCATENATE("#Metadata!", ADDRESS(INDEX($AI$2:$AI$1001,MATCH(ROWS($AG$2:AG802),$AG$2:$AG$1001,0),0), INDEX($AN$1004:$BO$1004,1,MATCH(COLUMNS($AN$1006:AN1006),$AN$1006:$BO$1006,0)))),"Fix")))</f>
        <v>0</v>
      </c>
      <c r="C802" s="4">
        <f>IF(OR(INDEX($AH$2:$AH$1001,MATCH(ROWS($AG$2:AG802),$AG$2:$AG$1001,0),1)&gt;=100000,INDEX($AN$1005:$BO$1005,1,MATCH(COLUMNS($AN$1006:AO1006),$AN$1006:$BO$1006,0))&gt;=100000), " ",IF(INDEX($AN$2:$BO$1001,MATCH(ROWS($AG$2:AG802),$AG$2:$AG$1001,0),MATCH(COLUMNS($AN$1006:AO1006),$AN$1006:$BO$1006,0)), HYPERLINK("#",""), HYPERLINK(CONCATENATE("#Metadata!", ADDRESS(INDEX($AI$2:$AI$1001,MATCH(ROWS($AG$2:AG802),$AG$2:$AG$1001,0),0), INDEX($AN$1004:$BO$1004,1,MATCH(COLUMNS($AN$1006:AO1006),$AN$1006:$BO$1006,0)))),"Fix")))</f>
        <v>0</v>
      </c>
      <c r="D802" s="4">
        <f>IF(OR(INDEX($AH$2:$AH$1001,MATCH(ROWS($AG$2:AG802),$AG$2:$AG$1001,0),1)&gt;=100000,INDEX($AN$1005:$BO$1005,1,MATCH(COLUMNS($AN$1006:AP1006),$AN$1006:$BO$1006,0))&gt;=100000), " ",IF(INDEX($AN$2:$BO$1001,MATCH(ROWS($AG$2:AG802),$AG$2:$AG$1001,0),MATCH(COLUMNS($AN$1006:AP1006),$AN$1006:$BO$1006,0)), HYPERLINK("#",""), HYPERLINK(CONCATENATE("#Metadata!", ADDRESS(INDEX($AI$2:$AI$1001,MATCH(ROWS($AG$2:AG802),$AG$2:$AG$1001,0),0), INDEX($AN$1004:$BO$1004,1,MATCH(COLUMNS($AN$1006:AP1006),$AN$1006:$BO$1006,0)))),"Fix")))</f>
        <v>0</v>
      </c>
      <c r="E802" s="4">
        <f>IF(OR(INDEX($AH$2:$AH$1001,MATCH(ROWS($AG$2:AG802),$AG$2:$AG$1001,0),1)&gt;=100000,INDEX($AN$1005:$BO$1005,1,MATCH(COLUMNS($AN$1006:AQ1006),$AN$1006:$BO$1006,0))&gt;=100000), " ",IF(INDEX($AN$2:$BO$1001,MATCH(ROWS($AG$2:AG802),$AG$2:$AG$1001,0),MATCH(COLUMNS($AN$1006:AQ1006),$AN$1006:$BO$1006,0)), HYPERLINK("#",""), HYPERLINK(CONCATENATE("#Metadata!", ADDRESS(INDEX($AI$2:$AI$1001,MATCH(ROWS($AG$2:AG802),$AG$2:$AG$1001,0),0), INDEX($AN$1004:$BO$1004,1,MATCH(COLUMNS($AN$1006:AQ1006),$AN$1006:$BO$1006,0)))),"Fix")))</f>
        <v>0</v>
      </c>
      <c r="F802" s="4">
        <f>IF(OR(INDEX($AH$2:$AH$1001,MATCH(ROWS($AG$2:AG802),$AG$2:$AG$1001,0),1)&gt;=100000,INDEX($AN$1005:$BO$1005,1,MATCH(COLUMNS($AN$1006:AR1006),$AN$1006:$BO$1006,0))&gt;=100000), " ",IF(INDEX($AN$2:$BO$1001,MATCH(ROWS($AG$2:AG802),$AG$2:$AG$1001,0),MATCH(COLUMNS($AN$1006:AR1006),$AN$1006:$BO$1006,0)), HYPERLINK("#",""), HYPERLINK(CONCATENATE("#Metadata!", ADDRESS(INDEX($AI$2:$AI$1001,MATCH(ROWS($AG$2:AG802),$AG$2:$AG$1001,0),0), INDEX($AN$1004:$BO$1004,1,MATCH(COLUMNS($AN$1006:AR1006),$AN$1006:$BO$1006,0)))),"Fix")))</f>
        <v>0</v>
      </c>
      <c r="G802" s="4">
        <f>IF(OR(INDEX($AH$2:$AH$1001,MATCH(ROWS($AG$2:AG802),$AG$2:$AG$1001,0),1)&gt;=100000,INDEX($AN$1005:$BO$1005,1,MATCH(COLUMNS($AN$1006:AS1006),$AN$1006:$BO$1006,0))&gt;=100000), " ",IF(INDEX($AN$2:$BO$1001,MATCH(ROWS($AG$2:AG802),$AG$2:$AG$1001,0),MATCH(COLUMNS($AN$1006:AS1006),$AN$1006:$BO$1006,0)), HYPERLINK("#",""), HYPERLINK(CONCATENATE("#Metadata!", ADDRESS(INDEX($AI$2:$AI$1001,MATCH(ROWS($AG$2:AG802),$AG$2:$AG$1001,0),0), INDEX($AN$1004:$BO$1004,1,MATCH(COLUMNS($AN$1006:AS1006),$AN$1006:$BO$1006,0)))),"Fix")))</f>
        <v>0</v>
      </c>
      <c r="H802" s="4">
        <f>IF(OR(INDEX($AH$2:$AH$1001,MATCH(ROWS($AG$2:AG802),$AG$2:$AG$1001,0),1)&gt;=100000,INDEX($AN$1005:$BO$1005,1,MATCH(COLUMNS($AN$1006:AT1006),$AN$1006:$BO$1006,0))&gt;=100000), " ",IF(INDEX($AN$2:$BO$1001,MATCH(ROWS($AG$2:AG802),$AG$2:$AG$1001,0),MATCH(COLUMNS($AN$1006:AT1006),$AN$1006:$BO$1006,0)), HYPERLINK("#",""), HYPERLINK(CONCATENATE("#Metadata!", ADDRESS(INDEX($AI$2:$AI$1001,MATCH(ROWS($AG$2:AG802),$AG$2:$AG$1001,0),0), INDEX($AN$1004:$BO$1004,1,MATCH(COLUMNS($AN$1006:AT1006),$AN$1006:$BO$1006,0)))),"Fix")))</f>
        <v>0</v>
      </c>
      <c r="I802" s="4">
        <f>IF(OR(INDEX($AH$2:$AH$1001,MATCH(ROWS($AG$2:AG802),$AG$2:$AG$1001,0),1)&gt;=100000,INDEX($AN$1005:$BO$1005,1,MATCH(COLUMNS($AN$1006:AU1006),$AN$1006:$BO$1006,0))&gt;=100000), " ",IF(INDEX($AN$2:$BO$1001,MATCH(ROWS($AG$2:AG802),$AG$2:$AG$1001,0),MATCH(COLUMNS($AN$1006:AU1006),$AN$1006:$BO$1006,0)), HYPERLINK("#",""), HYPERLINK(CONCATENATE("#Metadata!", ADDRESS(INDEX($AI$2:$AI$1001,MATCH(ROWS($AG$2:AG802),$AG$2:$AG$1001,0),0), INDEX($AN$1004:$BO$1004,1,MATCH(COLUMNS($AN$1006:AU1006),$AN$1006:$BO$1006,0)))),"Fix")))</f>
        <v>0</v>
      </c>
      <c r="J802" s="4">
        <f>IF(OR(INDEX($AH$2:$AH$1001,MATCH(ROWS($AG$2:AG802),$AG$2:$AG$1001,0),1)&gt;=100000,INDEX($AN$1005:$BO$1005,1,MATCH(COLUMNS($AN$1006:AV1006),$AN$1006:$BO$1006,0))&gt;=100000), " ",IF(INDEX($AN$2:$BO$1001,MATCH(ROWS($AG$2:AG802),$AG$2:$AG$1001,0),MATCH(COLUMNS($AN$1006:AV1006),$AN$1006:$BO$1006,0)), HYPERLINK("#",""), HYPERLINK(CONCATENATE("#Metadata!", ADDRESS(INDEX($AI$2:$AI$1001,MATCH(ROWS($AG$2:AG802),$AG$2:$AG$1001,0),0), INDEX($AN$1004:$BO$1004,1,MATCH(COLUMNS($AN$1006:AV1006),$AN$1006:$BO$1006,0)))),"Fix")))</f>
        <v>0</v>
      </c>
      <c r="K802" s="4">
        <f>IF(OR(INDEX($AH$2:$AH$1001,MATCH(ROWS($AG$2:AG802),$AG$2:$AG$1001,0),1)&gt;=100000,INDEX($AN$1005:$BO$1005,1,MATCH(COLUMNS($AN$1006:AW1006),$AN$1006:$BO$1006,0))&gt;=100000), " ",IF(INDEX($AN$2:$BO$1001,MATCH(ROWS($AG$2:AG802),$AG$2:$AG$1001,0),MATCH(COLUMNS($AN$1006:AW1006),$AN$1006:$BO$1006,0)), HYPERLINK("#",""), HYPERLINK(CONCATENATE("#Metadata!", ADDRESS(INDEX($AI$2:$AI$1001,MATCH(ROWS($AG$2:AG802),$AG$2:$AG$1001,0),0), INDEX($AN$1004:$BO$1004,1,MATCH(COLUMNS($AN$1006:AW1006),$AN$1006:$BO$1006,0)))),"Fix")))</f>
        <v>0</v>
      </c>
      <c r="L802" s="4">
        <f>IF(OR(INDEX($AH$2:$AH$1001,MATCH(ROWS($AG$2:AG802),$AG$2:$AG$1001,0),1)&gt;=100000,INDEX($AN$1005:$BO$1005,1,MATCH(COLUMNS($AN$1006:AX1006),$AN$1006:$BO$1006,0))&gt;=100000), " ",IF(INDEX($AN$2:$BO$1001,MATCH(ROWS($AG$2:AG802),$AG$2:$AG$1001,0),MATCH(COLUMNS($AN$1006:AX1006),$AN$1006:$BO$1006,0)), HYPERLINK("#",""), HYPERLINK(CONCATENATE("#Metadata!", ADDRESS(INDEX($AI$2:$AI$1001,MATCH(ROWS($AG$2:AG802),$AG$2:$AG$1001,0),0), INDEX($AN$1004:$BO$1004,1,MATCH(COLUMNS($AN$1006:AX1006),$AN$1006:$BO$1006,0)))),"Fix")))</f>
        <v>0</v>
      </c>
      <c r="M802" s="4">
        <f>IF(OR(INDEX($AH$2:$AH$1001,MATCH(ROWS($AG$2:AG802),$AG$2:$AG$1001,0),1)&gt;=100000,INDEX($AN$1005:$BO$1005,1,MATCH(COLUMNS($AN$1006:AY1006),$AN$1006:$BO$1006,0))&gt;=100000), " ",IF(INDEX($AN$2:$BO$1001,MATCH(ROWS($AG$2:AG802),$AG$2:$AG$1001,0),MATCH(COLUMNS($AN$1006:AY1006),$AN$1006:$BO$1006,0)), HYPERLINK("#",""), HYPERLINK(CONCATENATE("#Metadata!", ADDRESS(INDEX($AI$2:$AI$1001,MATCH(ROWS($AG$2:AG802),$AG$2:$AG$1001,0),0), INDEX($AN$1004:$BO$1004,1,MATCH(COLUMNS($AN$1006:AY1006),$AN$1006:$BO$1006,0)))),"Fix")))</f>
        <v>0</v>
      </c>
      <c r="N802" s="4">
        <f>IF(OR(INDEX($AH$2:$AH$1001,MATCH(ROWS($AG$2:AG802),$AG$2:$AG$1001,0),1)&gt;=100000,INDEX($AN$1005:$BO$1005,1,MATCH(COLUMNS($AN$1006:AZ1006),$AN$1006:$BO$1006,0))&gt;=100000), " ",IF(INDEX($AN$2:$BO$1001,MATCH(ROWS($AG$2:AG802),$AG$2:$AG$1001,0),MATCH(COLUMNS($AN$1006:AZ1006),$AN$1006:$BO$1006,0)), HYPERLINK("#",""), HYPERLINK(CONCATENATE("#Metadata!", ADDRESS(INDEX($AI$2:$AI$1001,MATCH(ROWS($AG$2:AG802),$AG$2:$AG$1001,0),0), INDEX($AN$1004:$BO$1004,1,MATCH(COLUMNS($AN$1006:AZ1006),$AN$1006:$BO$1006,0)))),"Fix")))</f>
        <v>0</v>
      </c>
      <c r="O802" s="4">
        <f>IF(OR(INDEX($AH$2:$AH$1001,MATCH(ROWS($AG$2:AG802),$AG$2:$AG$1001,0),1)&gt;=100000,INDEX($AN$1005:$BO$1005,1,MATCH(COLUMNS($AN$1006:BA1006),$AN$1006:$BO$1006,0))&gt;=100000), " ",IF(INDEX($AN$2:$BO$1001,MATCH(ROWS($AG$2:AG802),$AG$2:$AG$1001,0),MATCH(COLUMNS($AN$1006:BA1006),$AN$1006:$BO$1006,0)), HYPERLINK("#",""), HYPERLINK(CONCATENATE("#Metadata!", ADDRESS(INDEX($AI$2:$AI$1001,MATCH(ROWS($AG$2:AG802),$AG$2:$AG$1001,0),0), INDEX($AN$1004:$BO$1004,1,MATCH(COLUMNS($AN$1006:BA1006),$AN$1006:$BO$1006,0)))),"Fix")))</f>
        <v>0</v>
      </c>
      <c r="P802" s="4">
        <f>IF(OR(INDEX($AH$2:$AH$1001,MATCH(ROWS($AG$2:AG802),$AG$2:$AG$1001,0),1)&gt;=100000,INDEX($AN$1005:$BO$1005,1,MATCH(COLUMNS($AN$1006:BB1006),$AN$1006:$BO$1006,0))&gt;=100000), " ",IF(INDEX($AN$2:$BO$1001,MATCH(ROWS($AG$2:AG802),$AG$2:$AG$1001,0),MATCH(COLUMNS($AN$1006:BB1006),$AN$1006:$BO$1006,0)), HYPERLINK("#",""), HYPERLINK(CONCATENATE("#Metadata!", ADDRESS(INDEX($AI$2:$AI$1001,MATCH(ROWS($AG$2:AG802),$AG$2:$AG$1001,0),0), INDEX($AN$1004:$BO$1004,1,MATCH(COLUMNS($AN$1006:BB1006),$AN$1006:$BO$1006,0)))),"Fix")))</f>
        <v>0</v>
      </c>
      <c r="Q802" s="4">
        <f>IF(OR(INDEX($AH$2:$AH$1001,MATCH(ROWS($AG$2:AG802),$AG$2:$AG$1001,0),1)&gt;=100000,INDEX($AN$1005:$BO$1005,1,MATCH(COLUMNS($AN$1006:BC1006),$AN$1006:$BO$1006,0))&gt;=100000), " ",IF(INDEX($AN$2:$BO$1001,MATCH(ROWS($AG$2:AG802),$AG$2:$AG$1001,0),MATCH(COLUMNS($AN$1006:BC1006),$AN$1006:$BO$1006,0)), HYPERLINK("#",""), HYPERLINK(CONCATENATE("#Metadata!", ADDRESS(INDEX($AI$2:$AI$1001,MATCH(ROWS($AG$2:AG802),$AG$2:$AG$1001,0),0), INDEX($AN$1004:$BO$1004,1,MATCH(COLUMNS($AN$1006:BC1006),$AN$1006:$BO$1006,0)))),"Fix")))</f>
        <v>0</v>
      </c>
      <c r="R802" s="4">
        <f>IF(OR(INDEX($AH$2:$AH$1001,MATCH(ROWS($AG$2:AG802),$AG$2:$AG$1001,0),1)&gt;=100000,INDEX($AN$1005:$BO$1005,1,MATCH(COLUMNS($AN$1006:BD1006),$AN$1006:$BO$1006,0))&gt;=100000), " ",IF(INDEX($AN$2:$BO$1001,MATCH(ROWS($AG$2:AG802),$AG$2:$AG$1001,0),MATCH(COLUMNS($AN$1006:BD1006),$AN$1006:$BO$1006,0)), HYPERLINK("#",""), HYPERLINK(CONCATENATE("#Metadata!", ADDRESS(INDEX($AI$2:$AI$1001,MATCH(ROWS($AG$2:AG802),$AG$2:$AG$1001,0),0), INDEX($AN$1004:$BO$1004,1,MATCH(COLUMNS($AN$1006:BD1006),$AN$1006:$BO$1006,0)))),"Fix")))</f>
        <v>0</v>
      </c>
      <c r="S802" s="4">
        <f>IF(OR(INDEX($AH$2:$AH$1001,MATCH(ROWS($AG$2:AG802),$AG$2:$AG$1001,0),1)&gt;=100000,INDEX($AN$1005:$BO$1005,1,MATCH(COLUMNS($AN$1006:BE1006),$AN$1006:$BO$1006,0))&gt;=100000), " ",IF(INDEX($AN$2:$BO$1001,MATCH(ROWS($AG$2:AG802),$AG$2:$AG$1001,0),MATCH(COLUMNS($AN$1006:BE1006),$AN$1006:$BO$1006,0)), HYPERLINK("#",""), HYPERLINK(CONCATENATE("#Metadata!", ADDRESS(INDEX($AI$2:$AI$1001,MATCH(ROWS($AG$2:AG802),$AG$2:$AG$1001,0),0), INDEX($AN$1004:$BO$1004,1,MATCH(COLUMNS($AN$1006:BE1006),$AN$1006:$BO$1006,0)))),"Fix")))</f>
        <v>0</v>
      </c>
      <c r="T802" s="4">
        <f>IF(OR(INDEX($AH$2:$AH$1001,MATCH(ROWS($AG$2:AG802),$AG$2:$AG$1001,0),1)&gt;=100000,INDEX($AN$1005:$BO$1005,1,MATCH(COLUMNS($AN$1006:BF1006),$AN$1006:$BO$1006,0))&gt;=100000), " ",IF(INDEX($AN$2:$BO$1001,MATCH(ROWS($AG$2:AG802),$AG$2:$AG$1001,0),MATCH(COLUMNS($AN$1006:BF1006),$AN$1006:$BO$1006,0)), HYPERLINK("#",""), HYPERLINK(CONCATENATE("#Metadata!", ADDRESS(INDEX($AI$2:$AI$1001,MATCH(ROWS($AG$2:AG802),$AG$2:$AG$1001,0),0), INDEX($AN$1004:$BO$1004,1,MATCH(COLUMNS($AN$1006:BF1006),$AN$1006:$BO$1006,0)))),"Fix")))</f>
        <v>0</v>
      </c>
      <c r="U802" s="4">
        <f>IF(OR(INDEX($AH$2:$AH$1001,MATCH(ROWS($AG$2:AG802),$AG$2:$AG$1001,0),1)&gt;=100000,INDEX($AN$1005:$BO$1005,1,MATCH(COLUMNS($AN$1006:BG1006),$AN$1006:$BO$1006,0))&gt;=100000), " ",IF(INDEX($AN$2:$BO$1001,MATCH(ROWS($AG$2:AG802),$AG$2:$AG$1001,0),MATCH(COLUMNS($AN$1006:BG1006),$AN$1006:$BO$1006,0)), HYPERLINK("#",""), HYPERLINK(CONCATENATE("#Metadata!", ADDRESS(INDEX($AI$2:$AI$1001,MATCH(ROWS($AG$2:AG802),$AG$2:$AG$1001,0),0), INDEX($AN$1004:$BO$1004,1,MATCH(COLUMNS($AN$1006:BG1006),$AN$1006:$BO$1006,0)))),"Fix")))</f>
        <v>0</v>
      </c>
      <c r="V802" s="4">
        <f>IF(OR(INDEX($AH$2:$AH$1001,MATCH(ROWS($AG$2:AG802),$AG$2:$AG$1001,0),1)&gt;=100000,INDEX($AN$1005:$BO$1005,1,MATCH(COLUMNS($AN$1006:BH1006),$AN$1006:$BO$1006,0))&gt;=100000), " ",IF(INDEX($AN$2:$BO$1001,MATCH(ROWS($AG$2:AG802),$AG$2:$AG$1001,0),MATCH(COLUMNS($AN$1006:BH1006),$AN$1006:$BO$1006,0)), HYPERLINK("#",""), HYPERLINK(CONCATENATE("#Metadata!", ADDRESS(INDEX($AI$2:$AI$1001,MATCH(ROWS($AG$2:AG802),$AG$2:$AG$1001,0),0), INDEX($AN$1004:$BO$1004,1,MATCH(COLUMNS($AN$1006:BH1006),$AN$1006:$BO$1006,0)))),"Fix")))</f>
        <v>0</v>
      </c>
      <c r="W802" s="4">
        <f>IF(OR(INDEX($AH$2:$AH$1001,MATCH(ROWS($AG$2:AG802),$AG$2:$AG$1001,0),1)&gt;=100000,INDEX($AN$1005:$BO$1005,1,MATCH(COLUMNS($AN$1006:BI1006),$AN$1006:$BO$1006,0))&gt;=100000), " ",IF(INDEX($AN$2:$BO$1001,MATCH(ROWS($AG$2:AG802),$AG$2:$AG$1001,0),MATCH(COLUMNS($AN$1006:BI1006),$AN$1006:$BO$1006,0)), HYPERLINK("#",""), HYPERLINK(CONCATENATE("#Metadata!", ADDRESS(INDEX($AI$2:$AI$1001,MATCH(ROWS($AG$2:AG802),$AG$2:$AG$1001,0),0), INDEX($AN$1004:$BO$1004,1,MATCH(COLUMNS($AN$1006:BI1006),$AN$1006:$BO$1006,0)))),"Fix")))</f>
        <v>0</v>
      </c>
      <c r="X802" s="4">
        <f>IF(OR(INDEX($AH$2:$AH$1001,MATCH(ROWS($AG$2:AG802),$AG$2:$AG$1001,0),1)&gt;=100000,INDEX($AN$1005:$BO$1005,1,MATCH(COLUMNS($AN$1006:BJ1006),$AN$1006:$BO$1006,0))&gt;=100000), " ",IF(INDEX($AN$2:$BO$1001,MATCH(ROWS($AG$2:AG802),$AG$2:$AG$1001,0),MATCH(COLUMNS($AN$1006:BJ1006),$AN$1006:$BO$1006,0)), HYPERLINK("#",""), HYPERLINK(CONCATENATE("#Metadata!", ADDRESS(INDEX($AI$2:$AI$1001,MATCH(ROWS($AG$2:AG802),$AG$2:$AG$1001,0),0), INDEX($AN$1004:$BO$1004,1,MATCH(COLUMNS($AN$1006:BJ1006),$AN$1006:$BO$1006,0)))),"Fix")))</f>
        <v>0</v>
      </c>
      <c r="Y802" s="4">
        <f>IF(OR(INDEX($AH$2:$AH$1001,MATCH(ROWS($AG$2:AG802),$AG$2:$AG$1001,0),1)&gt;=100000,INDEX($AN$1005:$BO$1005,1,MATCH(COLUMNS($AN$1006:BK1006),$AN$1006:$BO$1006,0))&gt;=100000), " ",IF(INDEX($AN$2:$BO$1001,MATCH(ROWS($AG$2:AG802),$AG$2:$AG$1001,0),MATCH(COLUMNS($AN$1006:BK1006),$AN$1006:$BO$1006,0)), HYPERLINK("#",""), HYPERLINK(CONCATENATE("#Metadata!", ADDRESS(INDEX($AI$2:$AI$1001,MATCH(ROWS($AG$2:AG802),$AG$2:$AG$1001,0),0), INDEX($AN$1004:$BO$1004,1,MATCH(COLUMNS($AN$1006:BK1006),$AN$1006:$BO$1006,0)))),"Fix")))</f>
        <v>0</v>
      </c>
      <c r="Z802" s="4">
        <f>IF(OR(INDEX($AH$2:$AH$1001,MATCH(ROWS($AG$2:AG802),$AG$2:$AG$1001,0),1)&gt;=100000,INDEX($AN$1005:$BO$1005,1,MATCH(COLUMNS($AN$1006:BL1006),$AN$1006:$BO$1006,0))&gt;=100000), " ",IF(INDEX($AN$2:$BO$1001,MATCH(ROWS($AG$2:AG802),$AG$2:$AG$1001,0),MATCH(COLUMNS($AN$1006:BL1006),$AN$1006:$BO$1006,0)), HYPERLINK("#",""), HYPERLINK(CONCATENATE("#Metadata!", ADDRESS(INDEX($AI$2:$AI$1001,MATCH(ROWS($AG$2:AG802),$AG$2:$AG$1001,0),0), INDEX($AN$1004:$BO$1004,1,MATCH(COLUMNS($AN$1006:BL1006),$AN$1006:$BO$1006,0)))),"Fix")))</f>
        <v>0</v>
      </c>
      <c r="AA802" s="4">
        <f>IF(OR(INDEX($AH$2:$AH$1001,MATCH(ROWS($AG$2:AG802),$AG$2:$AG$1001,0),1)&gt;=100000,INDEX($AN$1005:$BO$1005,1,MATCH(COLUMNS($AN$1006:BM1006),$AN$1006:$BO$1006,0))&gt;=100000), " ",IF(INDEX($AN$2:$BO$1001,MATCH(ROWS($AG$2:AG802),$AG$2:$AG$1001,0),MATCH(COLUMNS($AN$1006:BM1006),$AN$1006:$BO$1006,0)), HYPERLINK("#",""), HYPERLINK(CONCATENATE("#Metadata!", ADDRESS(INDEX($AI$2:$AI$1001,MATCH(ROWS($AG$2:AG802),$AG$2:$AG$1001,0),0), INDEX($AN$1004:$BO$1004,1,MATCH(COLUMNS($AN$1006:BM1006),$AN$1006:$BO$1006,0)))),"Fix")))</f>
        <v>0</v>
      </c>
      <c r="AB802" s="4">
        <f>IF(OR(INDEX($AH$2:$AH$1001,MATCH(ROWS($AG$2:AG802),$AG$2:$AG$1001,0),1)&gt;=100000,INDEX($AN$1005:$BO$1005,1,MATCH(COLUMNS($AN$1006:BN1006),$AN$1006:$BO$1006,0))&gt;=100000), " ",IF(INDEX($AN$2:$BO$1001,MATCH(ROWS($AG$2:AG802),$AG$2:$AG$1001,0),MATCH(COLUMNS($AN$1006:BN1006),$AN$1006:$BO$1006,0)), HYPERLINK("#",""), HYPERLINK(CONCATENATE("#Metadata!", ADDRESS(INDEX($AI$2:$AI$1001,MATCH(ROWS($AG$2:AG802),$AG$2:$AG$1001,0),0), INDEX($AN$1004:$BO$1004,1,MATCH(COLUMNS($AN$1006:BN1006),$AN$1006:$BO$1006,0)))),"Fix")))</f>
        <v>0</v>
      </c>
      <c r="AC802" s="4">
        <f>IF(OR(INDEX($AH$2:$AH$1001,MATCH(ROWS($AG$2:AG802),$AG$2:$AG$1001,0),1)&gt;=100000,INDEX($AN$1005:$BO$1005,1,MATCH(COLUMNS($AN$1006:BO1006),$AN$1006:$BO$1006,0))&gt;=100000), " ",IF(INDEX($AN$2:$BO$1001,MATCH(ROWS($AG$2:AG802),$AG$2:$AG$1001,0),MATCH(COLUMNS($AN$1006:BO1006),$AN$1006:$BO$1006,0)), HYPERLINK("#",""), HYPERLINK(CONCATENATE("#Metadata!", ADDRESS(INDEX($AI$2:$AI$1001,MATCH(ROWS($AG$2:AG802),$AG$2:$AG$1001,0),0), INDEX($AN$1004:$BO$1004,1,MATCH(COLUMNS($AN$1006:BO1006),$AN$1006:$BO$1006,0)))),"Fix")))</f>
        <v>0</v>
      </c>
      <c r="AG802">
        <v>0</v>
      </c>
      <c r="AH802">
        <v>0</v>
      </c>
      <c r="AI802">
        <v>0</v>
      </c>
      <c r="AJ802">
        <f>IF(AK802,TRUE,AND(AN802:BO802))</f>
        <v>0</v>
      </c>
      <c r="AK802">
        <f>COUNTBLANK(Metadata!B802:AC802)=COLUMNS(Metadata!B802:AC802)</f>
        <v>0</v>
      </c>
      <c r="AL802">
        <v>0</v>
      </c>
      <c r="AN802">
        <f>AND(IF(Metadata!B802="",FALSE,TRUE),COUNTIF(Metadata!B:B, Metadata!B802) = 1,NOT(ISERROR(SUMPRODUCT(SEARCH(MID(Metadata!B802,ROW(INDIRECT("1:"&amp;LEN(Metadata!B802))), 1),"0123456789abcdefghijklmnopqrstuvwxyzABCDEFGHIJKLMNOPQRSTUVWXYZ.")))))</f>
        <v>0</v>
      </c>
      <c r="AO802">
        <f>IF(Metadata!C802="",FALSE,TRUE)</f>
        <v>0</v>
      </c>
      <c r="AP802">
        <f>IF(Metadata!D802="",FALSE,TRUE)</f>
        <v>0</v>
      </c>
      <c r="AQ802">
        <f>OR(AND(IF(Metadata!E802="",FALSE,TRUE),OR(exact(Metadata!E802,"not collected"),exact(Metadata!E802,"not provided"),exact(Metadata!E802,"restricted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R802">
        <f>IF(Metadata!F802="",FALSE,TRUE)</f>
        <v>0</v>
      </c>
      <c r="AS802">
        <f>OR(AND(IF(Metadata!G802="",FALSE,TRUE),OR(exact(Metadata!G802,"not collected"),exact(Metadata!G802,"not provided"))),AND(IF(Metadata!G802="",FALSE,TRUE),OR(exact(Metadata!G802,"TRUE"),exact(Metadata!G802,"FALSE"))))</f>
        <v>0</v>
      </c>
      <c r="AT802">
        <f>OR(AND(IF(Metadata!H802="",FALSE,TRUE),OR(exact(Metadata!H802,"not collected"),exact(Metadata!H802,"not provided"),exact(Metadata!H802,"restricted access"))),AND(IF(Metadata!H802="",FALSE,ISNUMBER(VALUE(Metadata!H802))),Metadata!H802&gt;=-413.0))</f>
        <v>0</v>
      </c>
      <c r="AU802">
        <f>AND(IF(Metadata!I802="",FALSE,TRUE),exact(Metadata!I802,"meters"))</f>
        <v>0</v>
      </c>
      <c r="AV802">
        <f>AND(IF(Metadata!J802="",FALSE,TRUE),OR(exact(Metadata!J802,"Host-associated"),exact(Metadata!J802,"Free-living")))</f>
        <v>0</v>
      </c>
      <c r="AW802">
        <f>AND(IF(Metadata!K802="",FALSE,TRUE),OR(exact(Metadata!K802,"Animal"),exact(Metadata!K802,"Fungus"),exact(Metadata!K802,"Plant"),exact(Metadata!K802,"Saline"),exact(Metadata!K802,"Non-saline")))</f>
        <v>0</v>
      </c>
      <c r="AX802">
        <f>AND(IF(Metadata!L802="",FALSE,TRUE),OR(exact(Metadata!L802,"Plant secretion"),exact(Metadata!L802,"Plant rhizosphere"),exact(Metadata!L802,"Plant surface"),exact(Metadata!L802,"Plant corpus"),exact(Metadata!L802,"Fungus surface"),exact(Metadata!L802,"Fungus corpus"),exact(Metadata!L802,"Animal surface"),exact(Metadata!L802,"Animal proximal gut"),exact(Metadata!L802,"Animal corpus"),exact(Metadata!L802,"Animal distal gut"),exact(Metadata!L802,"Animal secretion"),exact(Metadata!L802,"Sub-surface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Y802">
        <f>IF(Metadata!M802="",FALSE,TRUE)</f>
        <v>0</v>
      </c>
      <c r="AZ802">
        <f>IF(Metadata!N802="",FALSE,TRUE)</f>
        <v>0</v>
      </c>
      <c r="BA802">
        <f>IF(Metadata!O802="",FALSE,TRUE)</f>
        <v>0</v>
      </c>
      <c r="BB802">
        <f>OR(AND(IF(Metadata!P802="",FALSE,TRUE),OR(exact(Metadata!P802,"not collected"),exact(Metadata!P802,"not provided"),exact(Metadata!P802,"restricted access"))),AND(IF(Metadata!P802="",FALSE,TRUE),OR(exact(Metadata!P802,"air"),exact(Metadata!P802,"built environment"),exact(Metadata!P802,"host-associated"),exact(Metadata!P802,"human-associated"),exact(Metadata!P802,"human-skin"),exact(Metadata!P802,"human-oral"),exact(Metadata!P802,"human-gut"),exact(Metadata!P802,"human-vaginal"),exact(Metadata!P802,"microbial mat/biofilm"),exact(Metadata!P802,"misc environment"),exact(Metadata!P802,"plant-associated"),exact(Metadata!P802,"sediment"),exact(Metadata!P802,"soil"),exact(Metadata!P802,"wastewater/sludge"),exact(Metadata!P802,"water"))))</f>
        <v>0</v>
      </c>
      <c r="BC802">
        <f>IF(Metadata!Q802="",FALSE,TRUE)</f>
        <v>0</v>
      </c>
      <c r="BD802">
        <f>IF(Metadata!R802="",FALSE,TRUE)</f>
        <v>0</v>
      </c>
      <c r="BE802">
        <f>OR(AND(IF(Metadata!S802="",FALSE,TRUE),OR(exact(Metadata!S802,"not collected"),exact(Metadata!S802,"not provided"),exact(Metadata!S802,"restricted access"))),AND(IF(Metadata!S802="",FALSE,ISNUMBER(VALUE(Metadata!S802))),Metadata!S802&gt;=-90.00,Metadata!S802&lt;=90.00))</f>
        <v>0</v>
      </c>
      <c r="BF802">
        <f>AND(IF(Metadata!T802="",FALSE,TRUE),exact(Metadata!T802,"Decimal degrees"))</f>
        <v>0</v>
      </c>
      <c r="BG802">
        <f>OR(AND(IF(Metadata!U802="",FALSE,TRUE),OR(exact(Metadata!U802,"not collected"),exact(Metadata!U802,"not provided"),exact(Metadata!U802,"restricted access"))),AND(IF(Metadata!U802="",FALSE,ISNUMBER(VALUE(Metadata!U802))),Metadata!U802&gt;=-180.00,Metadata!U802&lt;=180.00))</f>
        <v>0</v>
      </c>
      <c r="BH802">
        <f>AND(IF(Metadata!V802="",FALSE,TRUE),exact(Metadata!V802,"Decimal degrees"))</f>
        <v>0</v>
      </c>
      <c r="BI802">
        <f>IF(Metadata!W802="",FALSE,TRUE)</f>
        <v>0</v>
      </c>
      <c r="BJ802">
        <f>OR(AND(IF(Metadata!X802="",FALSE,TRUE),OR(exact(Metadata!X802,"not collected"),exact(Metadata!X802,"not provided"),exact(Metadata!X802,"restricted access"))),AND(IF(Metadata!X802="",FALSE,TRUE),OR(exact(Metadata!X802,"TRUE"),exact(Metadata!X802,"FALSE"))))</f>
        <v>0</v>
      </c>
      <c r="BK802">
        <f>AND(IF(Metadata!Y802="",FALSE,TRUE),exact(Metadata!Y802,"other"))</f>
        <v>0</v>
      </c>
      <c r="BL802">
        <f>IF(Metadata!Z802="",FALSE,TRUE)</f>
        <v>0</v>
      </c>
      <c r="BM802">
        <f>OR(AND(IF(Metadata!AA802="",FALSE,TRUE),OR(exact(Metadata!AA802,"not collected"),exact(Metadata!AA802,"not provided"))),AND(IF(Metadata!AA802="",FALSE,IF(ISERROR(INT(Metadata!AA802)),FALSE,INT(Metadata!AA802)=Metadata!AA802)),Metadata!AA802&gt;0))</f>
        <v>0</v>
      </c>
      <c r="BN802">
        <f>AND(IF(Metadata!AB802="",FALSE,TRUE),exact(Metadata!AB802,"Not applicable"))</f>
        <v>0</v>
      </c>
      <c r="BO802">
        <f>IF(Metadata!AC802="",FALSE,TRUE)</f>
        <v>0</v>
      </c>
    </row>
    <row r="803" spans="1:67">
      <c r="A803" s="5">
        <f>IF(B803=" "," ",HYPERLINK(CONCATENATE("#metadata!",ADDRESS(INDEX($AI$2:$AI$1001,MATCH(ROWS($AG$2:AG803),$AG$2:$AG$1001,0),0),1)),INDEX($AL$2:$AL$1001,MATCH(ROWS($AG$2:AG803),$AG$2:$AG$1001,0),0)))</f>
        <v>0</v>
      </c>
      <c r="B803" s="4">
        <f>IF(OR(INDEX($AH$2:$AH$1001,MATCH(ROWS($AG$2:AG803),$AG$2:$AG$1001,0),1)&gt;=100000,INDEX($AN$1005:$BO$1005,1,MATCH(COLUMNS($AN$1006:AN1006),$AN$1006:$BO$1006,0))&gt;=100000), " ",IF(INDEX($AN$2:$BO$1001,MATCH(ROWS($AG$2:AG803),$AG$2:$AG$1001,0),MATCH(COLUMNS($AN$1006:AN1006),$AN$1006:$BO$1006,0)), HYPERLINK("#",""), HYPERLINK(CONCATENATE("#Metadata!", ADDRESS(INDEX($AI$2:$AI$1001,MATCH(ROWS($AG$2:AG803),$AG$2:$AG$1001,0),0), INDEX($AN$1004:$BO$1004,1,MATCH(COLUMNS($AN$1006:AN1006),$AN$1006:$BO$1006,0)))),"Fix")))</f>
        <v>0</v>
      </c>
      <c r="C803" s="4">
        <f>IF(OR(INDEX($AH$2:$AH$1001,MATCH(ROWS($AG$2:AG803),$AG$2:$AG$1001,0),1)&gt;=100000,INDEX($AN$1005:$BO$1005,1,MATCH(COLUMNS($AN$1006:AO1006),$AN$1006:$BO$1006,0))&gt;=100000), " ",IF(INDEX($AN$2:$BO$1001,MATCH(ROWS($AG$2:AG803),$AG$2:$AG$1001,0),MATCH(COLUMNS($AN$1006:AO1006),$AN$1006:$BO$1006,0)), HYPERLINK("#",""), HYPERLINK(CONCATENATE("#Metadata!", ADDRESS(INDEX($AI$2:$AI$1001,MATCH(ROWS($AG$2:AG803),$AG$2:$AG$1001,0),0), INDEX($AN$1004:$BO$1004,1,MATCH(COLUMNS($AN$1006:AO1006),$AN$1006:$BO$1006,0)))),"Fix")))</f>
        <v>0</v>
      </c>
      <c r="D803" s="4">
        <f>IF(OR(INDEX($AH$2:$AH$1001,MATCH(ROWS($AG$2:AG803),$AG$2:$AG$1001,0),1)&gt;=100000,INDEX($AN$1005:$BO$1005,1,MATCH(COLUMNS($AN$1006:AP1006),$AN$1006:$BO$1006,0))&gt;=100000), " ",IF(INDEX($AN$2:$BO$1001,MATCH(ROWS($AG$2:AG803),$AG$2:$AG$1001,0),MATCH(COLUMNS($AN$1006:AP1006),$AN$1006:$BO$1006,0)), HYPERLINK("#",""), HYPERLINK(CONCATENATE("#Metadata!", ADDRESS(INDEX($AI$2:$AI$1001,MATCH(ROWS($AG$2:AG803),$AG$2:$AG$1001,0),0), INDEX($AN$1004:$BO$1004,1,MATCH(COLUMNS($AN$1006:AP1006),$AN$1006:$BO$1006,0)))),"Fix")))</f>
        <v>0</v>
      </c>
      <c r="E803" s="4">
        <f>IF(OR(INDEX($AH$2:$AH$1001,MATCH(ROWS($AG$2:AG803),$AG$2:$AG$1001,0),1)&gt;=100000,INDEX($AN$1005:$BO$1005,1,MATCH(COLUMNS($AN$1006:AQ1006),$AN$1006:$BO$1006,0))&gt;=100000), " ",IF(INDEX($AN$2:$BO$1001,MATCH(ROWS($AG$2:AG803),$AG$2:$AG$1001,0),MATCH(COLUMNS($AN$1006:AQ1006),$AN$1006:$BO$1006,0)), HYPERLINK("#",""), HYPERLINK(CONCATENATE("#Metadata!", ADDRESS(INDEX($AI$2:$AI$1001,MATCH(ROWS($AG$2:AG803),$AG$2:$AG$1001,0),0), INDEX($AN$1004:$BO$1004,1,MATCH(COLUMNS($AN$1006:AQ1006),$AN$1006:$BO$1006,0)))),"Fix")))</f>
        <v>0</v>
      </c>
      <c r="F803" s="4">
        <f>IF(OR(INDEX($AH$2:$AH$1001,MATCH(ROWS($AG$2:AG803),$AG$2:$AG$1001,0),1)&gt;=100000,INDEX($AN$1005:$BO$1005,1,MATCH(COLUMNS($AN$1006:AR1006),$AN$1006:$BO$1006,0))&gt;=100000), " ",IF(INDEX($AN$2:$BO$1001,MATCH(ROWS($AG$2:AG803),$AG$2:$AG$1001,0),MATCH(COLUMNS($AN$1006:AR1006),$AN$1006:$BO$1006,0)), HYPERLINK("#",""), HYPERLINK(CONCATENATE("#Metadata!", ADDRESS(INDEX($AI$2:$AI$1001,MATCH(ROWS($AG$2:AG803),$AG$2:$AG$1001,0),0), INDEX($AN$1004:$BO$1004,1,MATCH(COLUMNS($AN$1006:AR1006),$AN$1006:$BO$1006,0)))),"Fix")))</f>
        <v>0</v>
      </c>
      <c r="G803" s="4">
        <f>IF(OR(INDEX($AH$2:$AH$1001,MATCH(ROWS($AG$2:AG803),$AG$2:$AG$1001,0),1)&gt;=100000,INDEX($AN$1005:$BO$1005,1,MATCH(COLUMNS($AN$1006:AS1006),$AN$1006:$BO$1006,0))&gt;=100000), " ",IF(INDEX($AN$2:$BO$1001,MATCH(ROWS($AG$2:AG803),$AG$2:$AG$1001,0),MATCH(COLUMNS($AN$1006:AS1006),$AN$1006:$BO$1006,0)), HYPERLINK("#",""), HYPERLINK(CONCATENATE("#Metadata!", ADDRESS(INDEX($AI$2:$AI$1001,MATCH(ROWS($AG$2:AG803),$AG$2:$AG$1001,0),0), INDEX($AN$1004:$BO$1004,1,MATCH(COLUMNS($AN$1006:AS1006),$AN$1006:$BO$1006,0)))),"Fix")))</f>
        <v>0</v>
      </c>
      <c r="H803" s="4">
        <f>IF(OR(INDEX($AH$2:$AH$1001,MATCH(ROWS($AG$2:AG803),$AG$2:$AG$1001,0),1)&gt;=100000,INDEX($AN$1005:$BO$1005,1,MATCH(COLUMNS($AN$1006:AT1006),$AN$1006:$BO$1006,0))&gt;=100000), " ",IF(INDEX($AN$2:$BO$1001,MATCH(ROWS($AG$2:AG803),$AG$2:$AG$1001,0),MATCH(COLUMNS($AN$1006:AT1006),$AN$1006:$BO$1006,0)), HYPERLINK("#",""), HYPERLINK(CONCATENATE("#Metadata!", ADDRESS(INDEX($AI$2:$AI$1001,MATCH(ROWS($AG$2:AG803),$AG$2:$AG$1001,0),0), INDEX($AN$1004:$BO$1004,1,MATCH(COLUMNS($AN$1006:AT1006),$AN$1006:$BO$1006,0)))),"Fix")))</f>
        <v>0</v>
      </c>
      <c r="I803" s="4">
        <f>IF(OR(INDEX($AH$2:$AH$1001,MATCH(ROWS($AG$2:AG803),$AG$2:$AG$1001,0),1)&gt;=100000,INDEX($AN$1005:$BO$1005,1,MATCH(COLUMNS($AN$1006:AU1006),$AN$1006:$BO$1006,0))&gt;=100000), " ",IF(INDEX($AN$2:$BO$1001,MATCH(ROWS($AG$2:AG803),$AG$2:$AG$1001,0),MATCH(COLUMNS($AN$1006:AU1006),$AN$1006:$BO$1006,0)), HYPERLINK("#",""), HYPERLINK(CONCATENATE("#Metadata!", ADDRESS(INDEX($AI$2:$AI$1001,MATCH(ROWS($AG$2:AG803),$AG$2:$AG$1001,0),0), INDEX($AN$1004:$BO$1004,1,MATCH(COLUMNS($AN$1006:AU1006),$AN$1006:$BO$1006,0)))),"Fix")))</f>
        <v>0</v>
      </c>
      <c r="J803" s="4">
        <f>IF(OR(INDEX($AH$2:$AH$1001,MATCH(ROWS($AG$2:AG803),$AG$2:$AG$1001,0),1)&gt;=100000,INDEX($AN$1005:$BO$1005,1,MATCH(COLUMNS($AN$1006:AV1006),$AN$1006:$BO$1006,0))&gt;=100000), " ",IF(INDEX($AN$2:$BO$1001,MATCH(ROWS($AG$2:AG803),$AG$2:$AG$1001,0),MATCH(COLUMNS($AN$1006:AV1006),$AN$1006:$BO$1006,0)), HYPERLINK("#",""), HYPERLINK(CONCATENATE("#Metadata!", ADDRESS(INDEX($AI$2:$AI$1001,MATCH(ROWS($AG$2:AG803),$AG$2:$AG$1001,0),0), INDEX($AN$1004:$BO$1004,1,MATCH(COLUMNS($AN$1006:AV1006),$AN$1006:$BO$1006,0)))),"Fix")))</f>
        <v>0</v>
      </c>
      <c r="K803" s="4">
        <f>IF(OR(INDEX($AH$2:$AH$1001,MATCH(ROWS($AG$2:AG803),$AG$2:$AG$1001,0),1)&gt;=100000,INDEX($AN$1005:$BO$1005,1,MATCH(COLUMNS($AN$1006:AW1006),$AN$1006:$BO$1006,0))&gt;=100000), " ",IF(INDEX($AN$2:$BO$1001,MATCH(ROWS($AG$2:AG803),$AG$2:$AG$1001,0),MATCH(COLUMNS($AN$1006:AW1006),$AN$1006:$BO$1006,0)), HYPERLINK("#",""), HYPERLINK(CONCATENATE("#Metadata!", ADDRESS(INDEX($AI$2:$AI$1001,MATCH(ROWS($AG$2:AG803),$AG$2:$AG$1001,0),0), INDEX($AN$1004:$BO$1004,1,MATCH(COLUMNS($AN$1006:AW1006),$AN$1006:$BO$1006,0)))),"Fix")))</f>
        <v>0</v>
      </c>
      <c r="L803" s="4">
        <f>IF(OR(INDEX($AH$2:$AH$1001,MATCH(ROWS($AG$2:AG803),$AG$2:$AG$1001,0),1)&gt;=100000,INDEX($AN$1005:$BO$1005,1,MATCH(COLUMNS($AN$1006:AX1006),$AN$1006:$BO$1006,0))&gt;=100000), " ",IF(INDEX($AN$2:$BO$1001,MATCH(ROWS($AG$2:AG803),$AG$2:$AG$1001,0),MATCH(COLUMNS($AN$1006:AX1006),$AN$1006:$BO$1006,0)), HYPERLINK("#",""), HYPERLINK(CONCATENATE("#Metadata!", ADDRESS(INDEX($AI$2:$AI$1001,MATCH(ROWS($AG$2:AG803),$AG$2:$AG$1001,0),0), INDEX($AN$1004:$BO$1004,1,MATCH(COLUMNS($AN$1006:AX1006),$AN$1006:$BO$1006,0)))),"Fix")))</f>
        <v>0</v>
      </c>
      <c r="M803" s="4">
        <f>IF(OR(INDEX($AH$2:$AH$1001,MATCH(ROWS($AG$2:AG803),$AG$2:$AG$1001,0),1)&gt;=100000,INDEX($AN$1005:$BO$1005,1,MATCH(COLUMNS($AN$1006:AY1006),$AN$1006:$BO$1006,0))&gt;=100000), " ",IF(INDEX($AN$2:$BO$1001,MATCH(ROWS($AG$2:AG803),$AG$2:$AG$1001,0),MATCH(COLUMNS($AN$1006:AY1006),$AN$1006:$BO$1006,0)), HYPERLINK("#",""), HYPERLINK(CONCATENATE("#Metadata!", ADDRESS(INDEX($AI$2:$AI$1001,MATCH(ROWS($AG$2:AG803),$AG$2:$AG$1001,0),0), INDEX($AN$1004:$BO$1004,1,MATCH(COLUMNS($AN$1006:AY1006),$AN$1006:$BO$1006,0)))),"Fix")))</f>
        <v>0</v>
      </c>
      <c r="N803" s="4">
        <f>IF(OR(INDEX($AH$2:$AH$1001,MATCH(ROWS($AG$2:AG803),$AG$2:$AG$1001,0),1)&gt;=100000,INDEX($AN$1005:$BO$1005,1,MATCH(COLUMNS($AN$1006:AZ1006),$AN$1006:$BO$1006,0))&gt;=100000), " ",IF(INDEX($AN$2:$BO$1001,MATCH(ROWS($AG$2:AG803),$AG$2:$AG$1001,0),MATCH(COLUMNS($AN$1006:AZ1006),$AN$1006:$BO$1006,0)), HYPERLINK("#",""), HYPERLINK(CONCATENATE("#Metadata!", ADDRESS(INDEX($AI$2:$AI$1001,MATCH(ROWS($AG$2:AG803),$AG$2:$AG$1001,0),0), INDEX($AN$1004:$BO$1004,1,MATCH(COLUMNS($AN$1006:AZ1006),$AN$1006:$BO$1006,0)))),"Fix")))</f>
        <v>0</v>
      </c>
      <c r="O803" s="4">
        <f>IF(OR(INDEX($AH$2:$AH$1001,MATCH(ROWS($AG$2:AG803),$AG$2:$AG$1001,0),1)&gt;=100000,INDEX($AN$1005:$BO$1005,1,MATCH(COLUMNS($AN$1006:BA1006),$AN$1006:$BO$1006,0))&gt;=100000), " ",IF(INDEX($AN$2:$BO$1001,MATCH(ROWS($AG$2:AG803),$AG$2:$AG$1001,0),MATCH(COLUMNS($AN$1006:BA1006),$AN$1006:$BO$1006,0)), HYPERLINK("#",""), HYPERLINK(CONCATENATE("#Metadata!", ADDRESS(INDEX($AI$2:$AI$1001,MATCH(ROWS($AG$2:AG803),$AG$2:$AG$1001,0),0), INDEX($AN$1004:$BO$1004,1,MATCH(COLUMNS($AN$1006:BA1006),$AN$1006:$BO$1006,0)))),"Fix")))</f>
        <v>0</v>
      </c>
      <c r="P803" s="4">
        <f>IF(OR(INDEX($AH$2:$AH$1001,MATCH(ROWS($AG$2:AG803),$AG$2:$AG$1001,0),1)&gt;=100000,INDEX($AN$1005:$BO$1005,1,MATCH(COLUMNS($AN$1006:BB1006),$AN$1006:$BO$1006,0))&gt;=100000), " ",IF(INDEX($AN$2:$BO$1001,MATCH(ROWS($AG$2:AG803),$AG$2:$AG$1001,0),MATCH(COLUMNS($AN$1006:BB1006),$AN$1006:$BO$1006,0)), HYPERLINK("#",""), HYPERLINK(CONCATENATE("#Metadata!", ADDRESS(INDEX($AI$2:$AI$1001,MATCH(ROWS($AG$2:AG803),$AG$2:$AG$1001,0),0), INDEX($AN$1004:$BO$1004,1,MATCH(COLUMNS($AN$1006:BB1006),$AN$1006:$BO$1006,0)))),"Fix")))</f>
        <v>0</v>
      </c>
      <c r="Q803" s="4">
        <f>IF(OR(INDEX($AH$2:$AH$1001,MATCH(ROWS($AG$2:AG803),$AG$2:$AG$1001,0),1)&gt;=100000,INDEX($AN$1005:$BO$1005,1,MATCH(COLUMNS($AN$1006:BC1006),$AN$1006:$BO$1006,0))&gt;=100000), " ",IF(INDEX($AN$2:$BO$1001,MATCH(ROWS($AG$2:AG803),$AG$2:$AG$1001,0),MATCH(COLUMNS($AN$1006:BC1006),$AN$1006:$BO$1006,0)), HYPERLINK("#",""), HYPERLINK(CONCATENATE("#Metadata!", ADDRESS(INDEX($AI$2:$AI$1001,MATCH(ROWS($AG$2:AG803),$AG$2:$AG$1001,0),0), INDEX($AN$1004:$BO$1004,1,MATCH(COLUMNS($AN$1006:BC1006),$AN$1006:$BO$1006,0)))),"Fix")))</f>
        <v>0</v>
      </c>
      <c r="R803" s="4">
        <f>IF(OR(INDEX($AH$2:$AH$1001,MATCH(ROWS($AG$2:AG803),$AG$2:$AG$1001,0),1)&gt;=100000,INDEX($AN$1005:$BO$1005,1,MATCH(COLUMNS($AN$1006:BD1006),$AN$1006:$BO$1006,0))&gt;=100000), " ",IF(INDEX($AN$2:$BO$1001,MATCH(ROWS($AG$2:AG803),$AG$2:$AG$1001,0),MATCH(COLUMNS($AN$1006:BD1006),$AN$1006:$BO$1006,0)), HYPERLINK("#",""), HYPERLINK(CONCATENATE("#Metadata!", ADDRESS(INDEX($AI$2:$AI$1001,MATCH(ROWS($AG$2:AG803),$AG$2:$AG$1001,0),0), INDEX($AN$1004:$BO$1004,1,MATCH(COLUMNS($AN$1006:BD1006),$AN$1006:$BO$1006,0)))),"Fix")))</f>
        <v>0</v>
      </c>
      <c r="S803" s="4">
        <f>IF(OR(INDEX($AH$2:$AH$1001,MATCH(ROWS($AG$2:AG803),$AG$2:$AG$1001,0),1)&gt;=100000,INDEX($AN$1005:$BO$1005,1,MATCH(COLUMNS($AN$1006:BE1006),$AN$1006:$BO$1006,0))&gt;=100000), " ",IF(INDEX($AN$2:$BO$1001,MATCH(ROWS($AG$2:AG803),$AG$2:$AG$1001,0),MATCH(COLUMNS($AN$1006:BE1006),$AN$1006:$BO$1006,0)), HYPERLINK("#",""), HYPERLINK(CONCATENATE("#Metadata!", ADDRESS(INDEX($AI$2:$AI$1001,MATCH(ROWS($AG$2:AG803),$AG$2:$AG$1001,0),0), INDEX($AN$1004:$BO$1004,1,MATCH(COLUMNS($AN$1006:BE1006),$AN$1006:$BO$1006,0)))),"Fix")))</f>
        <v>0</v>
      </c>
      <c r="T803" s="4">
        <f>IF(OR(INDEX($AH$2:$AH$1001,MATCH(ROWS($AG$2:AG803),$AG$2:$AG$1001,0),1)&gt;=100000,INDEX($AN$1005:$BO$1005,1,MATCH(COLUMNS($AN$1006:BF1006),$AN$1006:$BO$1006,0))&gt;=100000), " ",IF(INDEX($AN$2:$BO$1001,MATCH(ROWS($AG$2:AG803),$AG$2:$AG$1001,0),MATCH(COLUMNS($AN$1006:BF1006),$AN$1006:$BO$1006,0)), HYPERLINK("#",""), HYPERLINK(CONCATENATE("#Metadata!", ADDRESS(INDEX($AI$2:$AI$1001,MATCH(ROWS($AG$2:AG803),$AG$2:$AG$1001,0),0), INDEX($AN$1004:$BO$1004,1,MATCH(COLUMNS($AN$1006:BF1006),$AN$1006:$BO$1006,0)))),"Fix")))</f>
        <v>0</v>
      </c>
      <c r="U803" s="4">
        <f>IF(OR(INDEX($AH$2:$AH$1001,MATCH(ROWS($AG$2:AG803),$AG$2:$AG$1001,0),1)&gt;=100000,INDEX($AN$1005:$BO$1005,1,MATCH(COLUMNS($AN$1006:BG1006),$AN$1006:$BO$1006,0))&gt;=100000), " ",IF(INDEX($AN$2:$BO$1001,MATCH(ROWS($AG$2:AG803),$AG$2:$AG$1001,0),MATCH(COLUMNS($AN$1006:BG1006),$AN$1006:$BO$1006,0)), HYPERLINK("#",""), HYPERLINK(CONCATENATE("#Metadata!", ADDRESS(INDEX($AI$2:$AI$1001,MATCH(ROWS($AG$2:AG803),$AG$2:$AG$1001,0),0), INDEX($AN$1004:$BO$1004,1,MATCH(COLUMNS($AN$1006:BG1006),$AN$1006:$BO$1006,0)))),"Fix")))</f>
        <v>0</v>
      </c>
      <c r="V803" s="4">
        <f>IF(OR(INDEX($AH$2:$AH$1001,MATCH(ROWS($AG$2:AG803),$AG$2:$AG$1001,0),1)&gt;=100000,INDEX($AN$1005:$BO$1005,1,MATCH(COLUMNS($AN$1006:BH1006),$AN$1006:$BO$1006,0))&gt;=100000), " ",IF(INDEX($AN$2:$BO$1001,MATCH(ROWS($AG$2:AG803),$AG$2:$AG$1001,0),MATCH(COLUMNS($AN$1006:BH1006),$AN$1006:$BO$1006,0)), HYPERLINK("#",""), HYPERLINK(CONCATENATE("#Metadata!", ADDRESS(INDEX($AI$2:$AI$1001,MATCH(ROWS($AG$2:AG803),$AG$2:$AG$1001,0),0), INDEX($AN$1004:$BO$1004,1,MATCH(COLUMNS($AN$1006:BH1006),$AN$1006:$BO$1006,0)))),"Fix")))</f>
        <v>0</v>
      </c>
      <c r="W803" s="4">
        <f>IF(OR(INDEX($AH$2:$AH$1001,MATCH(ROWS($AG$2:AG803),$AG$2:$AG$1001,0),1)&gt;=100000,INDEX($AN$1005:$BO$1005,1,MATCH(COLUMNS($AN$1006:BI1006),$AN$1006:$BO$1006,0))&gt;=100000), " ",IF(INDEX($AN$2:$BO$1001,MATCH(ROWS($AG$2:AG803),$AG$2:$AG$1001,0),MATCH(COLUMNS($AN$1006:BI1006),$AN$1006:$BO$1006,0)), HYPERLINK("#",""), HYPERLINK(CONCATENATE("#Metadata!", ADDRESS(INDEX($AI$2:$AI$1001,MATCH(ROWS($AG$2:AG803),$AG$2:$AG$1001,0),0), INDEX($AN$1004:$BO$1004,1,MATCH(COLUMNS($AN$1006:BI1006),$AN$1006:$BO$1006,0)))),"Fix")))</f>
        <v>0</v>
      </c>
      <c r="X803" s="4">
        <f>IF(OR(INDEX($AH$2:$AH$1001,MATCH(ROWS($AG$2:AG803),$AG$2:$AG$1001,0),1)&gt;=100000,INDEX($AN$1005:$BO$1005,1,MATCH(COLUMNS($AN$1006:BJ1006),$AN$1006:$BO$1006,0))&gt;=100000), " ",IF(INDEX($AN$2:$BO$1001,MATCH(ROWS($AG$2:AG803),$AG$2:$AG$1001,0),MATCH(COLUMNS($AN$1006:BJ1006),$AN$1006:$BO$1006,0)), HYPERLINK("#",""), HYPERLINK(CONCATENATE("#Metadata!", ADDRESS(INDEX($AI$2:$AI$1001,MATCH(ROWS($AG$2:AG803),$AG$2:$AG$1001,0),0), INDEX($AN$1004:$BO$1004,1,MATCH(COLUMNS($AN$1006:BJ1006),$AN$1006:$BO$1006,0)))),"Fix")))</f>
        <v>0</v>
      </c>
      <c r="Y803" s="4">
        <f>IF(OR(INDEX($AH$2:$AH$1001,MATCH(ROWS($AG$2:AG803),$AG$2:$AG$1001,0),1)&gt;=100000,INDEX($AN$1005:$BO$1005,1,MATCH(COLUMNS($AN$1006:BK1006),$AN$1006:$BO$1006,0))&gt;=100000), " ",IF(INDEX($AN$2:$BO$1001,MATCH(ROWS($AG$2:AG803),$AG$2:$AG$1001,0),MATCH(COLUMNS($AN$1006:BK1006),$AN$1006:$BO$1006,0)), HYPERLINK("#",""), HYPERLINK(CONCATENATE("#Metadata!", ADDRESS(INDEX($AI$2:$AI$1001,MATCH(ROWS($AG$2:AG803),$AG$2:$AG$1001,0),0), INDEX($AN$1004:$BO$1004,1,MATCH(COLUMNS($AN$1006:BK1006),$AN$1006:$BO$1006,0)))),"Fix")))</f>
        <v>0</v>
      </c>
      <c r="Z803" s="4">
        <f>IF(OR(INDEX($AH$2:$AH$1001,MATCH(ROWS($AG$2:AG803),$AG$2:$AG$1001,0),1)&gt;=100000,INDEX($AN$1005:$BO$1005,1,MATCH(COLUMNS($AN$1006:BL1006),$AN$1006:$BO$1006,0))&gt;=100000), " ",IF(INDEX($AN$2:$BO$1001,MATCH(ROWS($AG$2:AG803),$AG$2:$AG$1001,0),MATCH(COLUMNS($AN$1006:BL1006),$AN$1006:$BO$1006,0)), HYPERLINK("#",""), HYPERLINK(CONCATENATE("#Metadata!", ADDRESS(INDEX($AI$2:$AI$1001,MATCH(ROWS($AG$2:AG803),$AG$2:$AG$1001,0),0), INDEX($AN$1004:$BO$1004,1,MATCH(COLUMNS($AN$1006:BL1006),$AN$1006:$BO$1006,0)))),"Fix")))</f>
        <v>0</v>
      </c>
      <c r="AA803" s="4">
        <f>IF(OR(INDEX($AH$2:$AH$1001,MATCH(ROWS($AG$2:AG803),$AG$2:$AG$1001,0),1)&gt;=100000,INDEX($AN$1005:$BO$1005,1,MATCH(COLUMNS($AN$1006:BM1006),$AN$1006:$BO$1006,0))&gt;=100000), " ",IF(INDEX($AN$2:$BO$1001,MATCH(ROWS($AG$2:AG803),$AG$2:$AG$1001,0),MATCH(COLUMNS($AN$1006:BM1006),$AN$1006:$BO$1006,0)), HYPERLINK("#",""), HYPERLINK(CONCATENATE("#Metadata!", ADDRESS(INDEX($AI$2:$AI$1001,MATCH(ROWS($AG$2:AG803),$AG$2:$AG$1001,0),0), INDEX($AN$1004:$BO$1004,1,MATCH(COLUMNS($AN$1006:BM1006),$AN$1006:$BO$1006,0)))),"Fix")))</f>
        <v>0</v>
      </c>
      <c r="AB803" s="4">
        <f>IF(OR(INDEX($AH$2:$AH$1001,MATCH(ROWS($AG$2:AG803),$AG$2:$AG$1001,0),1)&gt;=100000,INDEX($AN$1005:$BO$1005,1,MATCH(COLUMNS($AN$1006:BN1006),$AN$1006:$BO$1006,0))&gt;=100000), " ",IF(INDEX($AN$2:$BO$1001,MATCH(ROWS($AG$2:AG803),$AG$2:$AG$1001,0),MATCH(COLUMNS($AN$1006:BN1006),$AN$1006:$BO$1006,0)), HYPERLINK("#",""), HYPERLINK(CONCATENATE("#Metadata!", ADDRESS(INDEX($AI$2:$AI$1001,MATCH(ROWS($AG$2:AG803),$AG$2:$AG$1001,0),0), INDEX($AN$1004:$BO$1004,1,MATCH(COLUMNS($AN$1006:BN1006),$AN$1006:$BO$1006,0)))),"Fix")))</f>
        <v>0</v>
      </c>
      <c r="AC803" s="4">
        <f>IF(OR(INDEX($AH$2:$AH$1001,MATCH(ROWS($AG$2:AG803),$AG$2:$AG$1001,0),1)&gt;=100000,INDEX($AN$1005:$BO$1005,1,MATCH(COLUMNS($AN$1006:BO1006),$AN$1006:$BO$1006,0))&gt;=100000), " ",IF(INDEX($AN$2:$BO$1001,MATCH(ROWS($AG$2:AG803),$AG$2:$AG$1001,0),MATCH(COLUMNS($AN$1006:BO1006),$AN$1006:$BO$1006,0)), HYPERLINK("#",""), HYPERLINK(CONCATENATE("#Metadata!", ADDRESS(INDEX($AI$2:$AI$1001,MATCH(ROWS($AG$2:AG803),$AG$2:$AG$1001,0),0), INDEX($AN$1004:$BO$1004,1,MATCH(COLUMNS($AN$1006:BO1006),$AN$1006:$BO$1006,0)))),"Fix")))</f>
        <v>0</v>
      </c>
      <c r="AG803">
        <v>0</v>
      </c>
      <c r="AH803">
        <v>0</v>
      </c>
      <c r="AI803">
        <v>0</v>
      </c>
      <c r="AJ803">
        <f>IF(AK803,TRUE,AND(AN803:BO803))</f>
        <v>0</v>
      </c>
      <c r="AK803">
        <f>COUNTBLANK(Metadata!B803:AC803)=COLUMNS(Metadata!B803:AC803)</f>
        <v>0</v>
      </c>
      <c r="AL803">
        <v>0</v>
      </c>
      <c r="AN803">
        <f>AND(IF(Metadata!B803="",FALSE,TRUE),COUNTIF(Metadata!B:B, Metadata!B803) = 1,NOT(ISERROR(SUMPRODUCT(SEARCH(MID(Metadata!B803,ROW(INDIRECT("1:"&amp;LEN(Metadata!B803))), 1),"0123456789abcdefghijklmnopqrstuvwxyzABCDEFGHIJKLMNOPQRSTUVWXYZ.")))))</f>
        <v>0</v>
      </c>
      <c r="AO803">
        <f>IF(Metadata!C803="",FALSE,TRUE)</f>
        <v>0</v>
      </c>
      <c r="AP803">
        <f>IF(Metadata!D803="",FALSE,TRUE)</f>
        <v>0</v>
      </c>
      <c r="AQ803">
        <f>OR(AND(IF(Metadata!E803="",FALSE,TRUE),OR(exact(Metadata!E803,"not collected"),exact(Metadata!E803,"not provided"),exact(Metadata!E803,"restricted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R803">
        <f>IF(Metadata!F803="",FALSE,TRUE)</f>
        <v>0</v>
      </c>
      <c r="AS803">
        <f>OR(AND(IF(Metadata!G803="",FALSE,TRUE),OR(exact(Metadata!G803,"not collected"),exact(Metadata!G803,"not provided"))),AND(IF(Metadata!G803="",FALSE,TRUE),OR(exact(Metadata!G803,"TRUE"),exact(Metadata!G803,"FALSE"))))</f>
        <v>0</v>
      </c>
      <c r="AT803">
        <f>OR(AND(IF(Metadata!H803="",FALSE,TRUE),OR(exact(Metadata!H803,"not collected"),exact(Metadata!H803,"not provided"),exact(Metadata!H803,"restricted access"))),AND(IF(Metadata!H803="",FALSE,ISNUMBER(VALUE(Metadata!H803))),Metadata!H803&gt;=-413.0))</f>
        <v>0</v>
      </c>
      <c r="AU803">
        <f>AND(IF(Metadata!I803="",FALSE,TRUE),exact(Metadata!I803,"meters"))</f>
        <v>0</v>
      </c>
      <c r="AV803">
        <f>AND(IF(Metadata!J803="",FALSE,TRUE),OR(exact(Metadata!J803,"Host-associated"),exact(Metadata!J803,"Free-living")))</f>
        <v>0</v>
      </c>
      <c r="AW803">
        <f>AND(IF(Metadata!K803="",FALSE,TRUE),OR(exact(Metadata!K803,"Animal"),exact(Metadata!K803,"Fungus"),exact(Metadata!K803,"Plant"),exact(Metadata!K803,"Saline"),exact(Metadata!K803,"Non-saline")))</f>
        <v>0</v>
      </c>
      <c r="AX803">
        <f>AND(IF(Metadata!L803="",FALSE,TRUE),OR(exact(Metadata!L803,"Plant secretion"),exact(Metadata!L803,"Plant rhizosphere"),exact(Metadata!L803,"Plant surface"),exact(Metadata!L803,"Plant corpus"),exact(Metadata!L803,"Fungus surface"),exact(Metadata!L803,"Fungus corpus"),exact(Metadata!L803,"Animal surface"),exact(Metadata!L803,"Animal proximal gut"),exact(Metadata!L803,"Animal corpus"),exact(Metadata!L803,"Animal distal gut"),exact(Metadata!L803,"Animal secretion"),exact(Metadata!L803,"Sub-surface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Y803">
        <f>IF(Metadata!M803="",FALSE,TRUE)</f>
        <v>0</v>
      </c>
      <c r="AZ803">
        <f>IF(Metadata!N803="",FALSE,TRUE)</f>
        <v>0</v>
      </c>
      <c r="BA803">
        <f>IF(Metadata!O803="",FALSE,TRUE)</f>
        <v>0</v>
      </c>
      <c r="BB803">
        <f>OR(AND(IF(Metadata!P803="",FALSE,TRUE),OR(exact(Metadata!P803,"not collected"),exact(Metadata!P803,"not provided"),exact(Metadata!P803,"restricted access"))),AND(IF(Metadata!P803="",FALSE,TRUE),OR(exact(Metadata!P803,"air"),exact(Metadata!P803,"built environment"),exact(Metadata!P803,"host-associated"),exact(Metadata!P803,"human-associated"),exact(Metadata!P803,"human-skin"),exact(Metadata!P803,"human-oral"),exact(Metadata!P803,"human-gut"),exact(Metadata!P803,"human-vaginal"),exact(Metadata!P803,"microbial mat/biofilm"),exact(Metadata!P803,"misc environment"),exact(Metadata!P803,"plant-associated"),exact(Metadata!P803,"sediment"),exact(Metadata!P803,"soil"),exact(Metadata!P803,"wastewater/sludge"),exact(Metadata!P803,"water"))))</f>
        <v>0</v>
      </c>
      <c r="BC803">
        <f>IF(Metadata!Q803="",FALSE,TRUE)</f>
        <v>0</v>
      </c>
      <c r="BD803">
        <f>IF(Metadata!R803="",FALSE,TRUE)</f>
        <v>0</v>
      </c>
      <c r="BE803">
        <f>OR(AND(IF(Metadata!S803="",FALSE,TRUE),OR(exact(Metadata!S803,"not collected"),exact(Metadata!S803,"not provided"),exact(Metadata!S803,"restricted access"))),AND(IF(Metadata!S803="",FALSE,ISNUMBER(VALUE(Metadata!S803))),Metadata!S803&gt;=-90.00,Metadata!S803&lt;=90.00))</f>
        <v>0</v>
      </c>
      <c r="BF803">
        <f>AND(IF(Metadata!T803="",FALSE,TRUE),exact(Metadata!T803,"Decimal degrees"))</f>
        <v>0</v>
      </c>
      <c r="BG803">
        <f>OR(AND(IF(Metadata!U803="",FALSE,TRUE),OR(exact(Metadata!U803,"not collected"),exact(Metadata!U803,"not provided"),exact(Metadata!U803,"restricted access"))),AND(IF(Metadata!U803="",FALSE,ISNUMBER(VALUE(Metadata!U803))),Metadata!U803&gt;=-180.00,Metadata!U803&lt;=180.00))</f>
        <v>0</v>
      </c>
      <c r="BH803">
        <f>AND(IF(Metadata!V803="",FALSE,TRUE),exact(Metadata!V803,"Decimal degrees"))</f>
        <v>0</v>
      </c>
      <c r="BI803">
        <f>IF(Metadata!W803="",FALSE,TRUE)</f>
        <v>0</v>
      </c>
      <c r="BJ803">
        <f>OR(AND(IF(Metadata!X803="",FALSE,TRUE),OR(exact(Metadata!X803,"not collected"),exact(Metadata!X803,"not provided"),exact(Metadata!X803,"restricted access"))),AND(IF(Metadata!X803="",FALSE,TRUE),OR(exact(Metadata!X803,"TRUE"),exact(Metadata!X803,"FALSE"))))</f>
        <v>0</v>
      </c>
      <c r="BK803">
        <f>AND(IF(Metadata!Y803="",FALSE,TRUE),exact(Metadata!Y803,"other"))</f>
        <v>0</v>
      </c>
      <c r="BL803">
        <f>IF(Metadata!Z803="",FALSE,TRUE)</f>
        <v>0</v>
      </c>
      <c r="BM803">
        <f>OR(AND(IF(Metadata!AA803="",FALSE,TRUE),OR(exact(Metadata!AA803,"not collected"),exact(Metadata!AA803,"not provided"))),AND(IF(Metadata!AA803="",FALSE,IF(ISERROR(INT(Metadata!AA803)),FALSE,INT(Metadata!AA803)=Metadata!AA803)),Metadata!AA803&gt;0))</f>
        <v>0</v>
      </c>
      <c r="BN803">
        <f>AND(IF(Metadata!AB803="",FALSE,TRUE),exact(Metadata!AB803,"Not applicable"))</f>
        <v>0</v>
      </c>
      <c r="BO803">
        <f>IF(Metadata!AC803="",FALSE,TRUE)</f>
        <v>0</v>
      </c>
    </row>
    <row r="804" spans="1:67">
      <c r="A804" s="5">
        <f>IF(B804=" "," ",HYPERLINK(CONCATENATE("#metadata!",ADDRESS(INDEX($AI$2:$AI$1001,MATCH(ROWS($AG$2:AG804),$AG$2:$AG$1001,0),0),1)),INDEX($AL$2:$AL$1001,MATCH(ROWS($AG$2:AG804),$AG$2:$AG$1001,0),0)))</f>
        <v>0</v>
      </c>
      <c r="B804" s="4">
        <f>IF(OR(INDEX($AH$2:$AH$1001,MATCH(ROWS($AG$2:AG804),$AG$2:$AG$1001,0),1)&gt;=100000,INDEX($AN$1005:$BO$1005,1,MATCH(COLUMNS($AN$1006:AN1006),$AN$1006:$BO$1006,0))&gt;=100000), " ",IF(INDEX($AN$2:$BO$1001,MATCH(ROWS($AG$2:AG804),$AG$2:$AG$1001,0),MATCH(COLUMNS($AN$1006:AN1006),$AN$1006:$BO$1006,0)), HYPERLINK("#",""), HYPERLINK(CONCATENATE("#Metadata!", ADDRESS(INDEX($AI$2:$AI$1001,MATCH(ROWS($AG$2:AG804),$AG$2:$AG$1001,0),0), INDEX($AN$1004:$BO$1004,1,MATCH(COLUMNS($AN$1006:AN1006),$AN$1006:$BO$1006,0)))),"Fix")))</f>
        <v>0</v>
      </c>
      <c r="C804" s="4">
        <f>IF(OR(INDEX($AH$2:$AH$1001,MATCH(ROWS($AG$2:AG804),$AG$2:$AG$1001,0),1)&gt;=100000,INDEX($AN$1005:$BO$1005,1,MATCH(COLUMNS($AN$1006:AO1006),$AN$1006:$BO$1006,0))&gt;=100000), " ",IF(INDEX($AN$2:$BO$1001,MATCH(ROWS($AG$2:AG804),$AG$2:$AG$1001,0),MATCH(COLUMNS($AN$1006:AO1006),$AN$1006:$BO$1006,0)), HYPERLINK("#",""), HYPERLINK(CONCATENATE("#Metadata!", ADDRESS(INDEX($AI$2:$AI$1001,MATCH(ROWS($AG$2:AG804),$AG$2:$AG$1001,0),0), INDEX($AN$1004:$BO$1004,1,MATCH(COLUMNS($AN$1006:AO1006),$AN$1006:$BO$1006,0)))),"Fix")))</f>
        <v>0</v>
      </c>
      <c r="D804" s="4">
        <f>IF(OR(INDEX($AH$2:$AH$1001,MATCH(ROWS($AG$2:AG804),$AG$2:$AG$1001,0),1)&gt;=100000,INDEX($AN$1005:$BO$1005,1,MATCH(COLUMNS($AN$1006:AP1006),$AN$1006:$BO$1006,0))&gt;=100000), " ",IF(INDEX($AN$2:$BO$1001,MATCH(ROWS($AG$2:AG804),$AG$2:$AG$1001,0),MATCH(COLUMNS($AN$1006:AP1006),$AN$1006:$BO$1006,0)), HYPERLINK("#",""), HYPERLINK(CONCATENATE("#Metadata!", ADDRESS(INDEX($AI$2:$AI$1001,MATCH(ROWS($AG$2:AG804),$AG$2:$AG$1001,0),0), INDEX($AN$1004:$BO$1004,1,MATCH(COLUMNS($AN$1006:AP1006),$AN$1006:$BO$1006,0)))),"Fix")))</f>
        <v>0</v>
      </c>
      <c r="E804" s="4">
        <f>IF(OR(INDEX($AH$2:$AH$1001,MATCH(ROWS($AG$2:AG804),$AG$2:$AG$1001,0),1)&gt;=100000,INDEX($AN$1005:$BO$1005,1,MATCH(COLUMNS($AN$1006:AQ1006),$AN$1006:$BO$1006,0))&gt;=100000), " ",IF(INDEX($AN$2:$BO$1001,MATCH(ROWS($AG$2:AG804),$AG$2:$AG$1001,0),MATCH(COLUMNS($AN$1006:AQ1006),$AN$1006:$BO$1006,0)), HYPERLINK("#",""), HYPERLINK(CONCATENATE("#Metadata!", ADDRESS(INDEX($AI$2:$AI$1001,MATCH(ROWS($AG$2:AG804),$AG$2:$AG$1001,0),0), INDEX($AN$1004:$BO$1004,1,MATCH(COLUMNS($AN$1006:AQ1006),$AN$1006:$BO$1006,0)))),"Fix")))</f>
        <v>0</v>
      </c>
      <c r="F804" s="4">
        <f>IF(OR(INDEX($AH$2:$AH$1001,MATCH(ROWS($AG$2:AG804),$AG$2:$AG$1001,0),1)&gt;=100000,INDEX($AN$1005:$BO$1005,1,MATCH(COLUMNS($AN$1006:AR1006),$AN$1006:$BO$1006,0))&gt;=100000), " ",IF(INDEX($AN$2:$BO$1001,MATCH(ROWS($AG$2:AG804),$AG$2:$AG$1001,0),MATCH(COLUMNS($AN$1006:AR1006),$AN$1006:$BO$1006,0)), HYPERLINK("#",""), HYPERLINK(CONCATENATE("#Metadata!", ADDRESS(INDEX($AI$2:$AI$1001,MATCH(ROWS($AG$2:AG804),$AG$2:$AG$1001,0),0), INDEX($AN$1004:$BO$1004,1,MATCH(COLUMNS($AN$1006:AR1006),$AN$1006:$BO$1006,0)))),"Fix")))</f>
        <v>0</v>
      </c>
      <c r="G804" s="4">
        <f>IF(OR(INDEX($AH$2:$AH$1001,MATCH(ROWS($AG$2:AG804),$AG$2:$AG$1001,0),1)&gt;=100000,INDEX($AN$1005:$BO$1005,1,MATCH(COLUMNS($AN$1006:AS1006),$AN$1006:$BO$1006,0))&gt;=100000), " ",IF(INDEX($AN$2:$BO$1001,MATCH(ROWS($AG$2:AG804),$AG$2:$AG$1001,0),MATCH(COLUMNS($AN$1006:AS1006),$AN$1006:$BO$1006,0)), HYPERLINK("#",""), HYPERLINK(CONCATENATE("#Metadata!", ADDRESS(INDEX($AI$2:$AI$1001,MATCH(ROWS($AG$2:AG804),$AG$2:$AG$1001,0),0), INDEX($AN$1004:$BO$1004,1,MATCH(COLUMNS($AN$1006:AS1006),$AN$1006:$BO$1006,0)))),"Fix")))</f>
        <v>0</v>
      </c>
      <c r="H804" s="4">
        <f>IF(OR(INDEX($AH$2:$AH$1001,MATCH(ROWS($AG$2:AG804),$AG$2:$AG$1001,0),1)&gt;=100000,INDEX($AN$1005:$BO$1005,1,MATCH(COLUMNS($AN$1006:AT1006),$AN$1006:$BO$1006,0))&gt;=100000), " ",IF(INDEX($AN$2:$BO$1001,MATCH(ROWS($AG$2:AG804),$AG$2:$AG$1001,0),MATCH(COLUMNS($AN$1006:AT1006),$AN$1006:$BO$1006,0)), HYPERLINK("#",""), HYPERLINK(CONCATENATE("#Metadata!", ADDRESS(INDEX($AI$2:$AI$1001,MATCH(ROWS($AG$2:AG804),$AG$2:$AG$1001,0),0), INDEX($AN$1004:$BO$1004,1,MATCH(COLUMNS($AN$1006:AT1006),$AN$1006:$BO$1006,0)))),"Fix")))</f>
        <v>0</v>
      </c>
      <c r="I804" s="4">
        <f>IF(OR(INDEX($AH$2:$AH$1001,MATCH(ROWS($AG$2:AG804),$AG$2:$AG$1001,0),1)&gt;=100000,INDEX($AN$1005:$BO$1005,1,MATCH(COLUMNS($AN$1006:AU1006),$AN$1006:$BO$1006,0))&gt;=100000), " ",IF(INDEX($AN$2:$BO$1001,MATCH(ROWS($AG$2:AG804),$AG$2:$AG$1001,0),MATCH(COLUMNS($AN$1006:AU1006),$AN$1006:$BO$1006,0)), HYPERLINK("#",""), HYPERLINK(CONCATENATE("#Metadata!", ADDRESS(INDEX($AI$2:$AI$1001,MATCH(ROWS($AG$2:AG804),$AG$2:$AG$1001,0),0), INDEX($AN$1004:$BO$1004,1,MATCH(COLUMNS($AN$1006:AU1006),$AN$1006:$BO$1006,0)))),"Fix")))</f>
        <v>0</v>
      </c>
      <c r="J804" s="4">
        <f>IF(OR(INDEX($AH$2:$AH$1001,MATCH(ROWS($AG$2:AG804),$AG$2:$AG$1001,0),1)&gt;=100000,INDEX($AN$1005:$BO$1005,1,MATCH(COLUMNS($AN$1006:AV1006),$AN$1006:$BO$1006,0))&gt;=100000), " ",IF(INDEX($AN$2:$BO$1001,MATCH(ROWS($AG$2:AG804),$AG$2:$AG$1001,0),MATCH(COLUMNS($AN$1006:AV1006),$AN$1006:$BO$1006,0)), HYPERLINK("#",""), HYPERLINK(CONCATENATE("#Metadata!", ADDRESS(INDEX($AI$2:$AI$1001,MATCH(ROWS($AG$2:AG804),$AG$2:$AG$1001,0),0), INDEX($AN$1004:$BO$1004,1,MATCH(COLUMNS($AN$1006:AV1006),$AN$1006:$BO$1006,0)))),"Fix")))</f>
        <v>0</v>
      </c>
      <c r="K804" s="4">
        <f>IF(OR(INDEX($AH$2:$AH$1001,MATCH(ROWS($AG$2:AG804),$AG$2:$AG$1001,0),1)&gt;=100000,INDEX($AN$1005:$BO$1005,1,MATCH(COLUMNS($AN$1006:AW1006),$AN$1006:$BO$1006,0))&gt;=100000), " ",IF(INDEX($AN$2:$BO$1001,MATCH(ROWS($AG$2:AG804),$AG$2:$AG$1001,0),MATCH(COLUMNS($AN$1006:AW1006),$AN$1006:$BO$1006,0)), HYPERLINK("#",""), HYPERLINK(CONCATENATE("#Metadata!", ADDRESS(INDEX($AI$2:$AI$1001,MATCH(ROWS($AG$2:AG804),$AG$2:$AG$1001,0),0), INDEX($AN$1004:$BO$1004,1,MATCH(COLUMNS($AN$1006:AW1006),$AN$1006:$BO$1006,0)))),"Fix")))</f>
        <v>0</v>
      </c>
      <c r="L804" s="4">
        <f>IF(OR(INDEX($AH$2:$AH$1001,MATCH(ROWS($AG$2:AG804),$AG$2:$AG$1001,0),1)&gt;=100000,INDEX($AN$1005:$BO$1005,1,MATCH(COLUMNS($AN$1006:AX1006),$AN$1006:$BO$1006,0))&gt;=100000), " ",IF(INDEX($AN$2:$BO$1001,MATCH(ROWS($AG$2:AG804),$AG$2:$AG$1001,0),MATCH(COLUMNS($AN$1006:AX1006),$AN$1006:$BO$1006,0)), HYPERLINK("#",""), HYPERLINK(CONCATENATE("#Metadata!", ADDRESS(INDEX($AI$2:$AI$1001,MATCH(ROWS($AG$2:AG804),$AG$2:$AG$1001,0),0), INDEX($AN$1004:$BO$1004,1,MATCH(COLUMNS($AN$1006:AX1006),$AN$1006:$BO$1006,0)))),"Fix")))</f>
        <v>0</v>
      </c>
      <c r="M804" s="4">
        <f>IF(OR(INDEX($AH$2:$AH$1001,MATCH(ROWS($AG$2:AG804),$AG$2:$AG$1001,0),1)&gt;=100000,INDEX($AN$1005:$BO$1005,1,MATCH(COLUMNS($AN$1006:AY1006),$AN$1006:$BO$1006,0))&gt;=100000), " ",IF(INDEX($AN$2:$BO$1001,MATCH(ROWS($AG$2:AG804),$AG$2:$AG$1001,0),MATCH(COLUMNS($AN$1006:AY1006),$AN$1006:$BO$1006,0)), HYPERLINK("#",""), HYPERLINK(CONCATENATE("#Metadata!", ADDRESS(INDEX($AI$2:$AI$1001,MATCH(ROWS($AG$2:AG804),$AG$2:$AG$1001,0),0), INDEX($AN$1004:$BO$1004,1,MATCH(COLUMNS($AN$1006:AY1006),$AN$1006:$BO$1006,0)))),"Fix")))</f>
        <v>0</v>
      </c>
      <c r="N804" s="4">
        <f>IF(OR(INDEX($AH$2:$AH$1001,MATCH(ROWS($AG$2:AG804),$AG$2:$AG$1001,0),1)&gt;=100000,INDEX($AN$1005:$BO$1005,1,MATCH(COLUMNS($AN$1006:AZ1006),$AN$1006:$BO$1006,0))&gt;=100000), " ",IF(INDEX($AN$2:$BO$1001,MATCH(ROWS($AG$2:AG804),$AG$2:$AG$1001,0),MATCH(COLUMNS($AN$1006:AZ1006),$AN$1006:$BO$1006,0)), HYPERLINK("#",""), HYPERLINK(CONCATENATE("#Metadata!", ADDRESS(INDEX($AI$2:$AI$1001,MATCH(ROWS($AG$2:AG804),$AG$2:$AG$1001,0),0), INDEX($AN$1004:$BO$1004,1,MATCH(COLUMNS($AN$1006:AZ1006),$AN$1006:$BO$1006,0)))),"Fix")))</f>
        <v>0</v>
      </c>
      <c r="O804" s="4">
        <f>IF(OR(INDEX($AH$2:$AH$1001,MATCH(ROWS($AG$2:AG804),$AG$2:$AG$1001,0),1)&gt;=100000,INDEX($AN$1005:$BO$1005,1,MATCH(COLUMNS($AN$1006:BA1006),$AN$1006:$BO$1006,0))&gt;=100000), " ",IF(INDEX($AN$2:$BO$1001,MATCH(ROWS($AG$2:AG804),$AG$2:$AG$1001,0),MATCH(COLUMNS($AN$1006:BA1006),$AN$1006:$BO$1006,0)), HYPERLINK("#",""), HYPERLINK(CONCATENATE("#Metadata!", ADDRESS(INDEX($AI$2:$AI$1001,MATCH(ROWS($AG$2:AG804),$AG$2:$AG$1001,0),0), INDEX($AN$1004:$BO$1004,1,MATCH(COLUMNS($AN$1006:BA1006),$AN$1006:$BO$1006,0)))),"Fix")))</f>
        <v>0</v>
      </c>
      <c r="P804" s="4">
        <f>IF(OR(INDEX($AH$2:$AH$1001,MATCH(ROWS($AG$2:AG804),$AG$2:$AG$1001,0),1)&gt;=100000,INDEX($AN$1005:$BO$1005,1,MATCH(COLUMNS($AN$1006:BB1006),$AN$1006:$BO$1006,0))&gt;=100000), " ",IF(INDEX($AN$2:$BO$1001,MATCH(ROWS($AG$2:AG804),$AG$2:$AG$1001,0),MATCH(COLUMNS($AN$1006:BB1006),$AN$1006:$BO$1006,0)), HYPERLINK("#",""), HYPERLINK(CONCATENATE("#Metadata!", ADDRESS(INDEX($AI$2:$AI$1001,MATCH(ROWS($AG$2:AG804),$AG$2:$AG$1001,0),0), INDEX($AN$1004:$BO$1004,1,MATCH(COLUMNS($AN$1006:BB1006),$AN$1006:$BO$1006,0)))),"Fix")))</f>
        <v>0</v>
      </c>
      <c r="Q804" s="4">
        <f>IF(OR(INDEX($AH$2:$AH$1001,MATCH(ROWS($AG$2:AG804),$AG$2:$AG$1001,0),1)&gt;=100000,INDEX($AN$1005:$BO$1005,1,MATCH(COLUMNS($AN$1006:BC1006),$AN$1006:$BO$1006,0))&gt;=100000), " ",IF(INDEX($AN$2:$BO$1001,MATCH(ROWS($AG$2:AG804),$AG$2:$AG$1001,0),MATCH(COLUMNS($AN$1006:BC1006),$AN$1006:$BO$1006,0)), HYPERLINK("#",""), HYPERLINK(CONCATENATE("#Metadata!", ADDRESS(INDEX($AI$2:$AI$1001,MATCH(ROWS($AG$2:AG804),$AG$2:$AG$1001,0),0), INDEX($AN$1004:$BO$1004,1,MATCH(COLUMNS($AN$1006:BC1006),$AN$1006:$BO$1006,0)))),"Fix")))</f>
        <v>0</v>
      </c>
      <c r="R804" s="4">
        <f>IF(OR(INDEX($AH$2:$AH$1001,MATCH(ROWS($AG$2:AG804),$AG$2:$AG$1001,0),1)&gt;=100000,INDEX($AN$1005:$BO$1005,1,MATCH(COLUMNS($AN$1006:BD1006),$AN$1006:$BO$1006,0))&gt;=100000), " ",IF(INDEX($AN$2:$BO$1001,MATCH(ROWS($AG$2:AG804),$AG$2:$AG$1001,0),MATCH(COLUMNS($AN$1006:BD1006),$AN$1006:$BO$1006,0)), HYPERLINK("#",""), HYPERLINK(CONCATENATE("#Metadata!", ADDRESS(INDEX($AI$2:$AI$1001,MATCH(ROWS($AG$2:AG804),$AG$2:$AG$1001,0),0), INDEX($AN$1004:$BO$1004,1,MATCH(COLUMNS($AN$1006:BD1006),$AN$1006:$BO$1006,0)))),"Fix")))</f>
        <v>0</v>
      </c>
      <c r="S804" s="4">
        <f>IF(OR(INDEX($AH$2:$AH$1001,MATCH(ROWS($AG$2:AG804),$AG$2:$AG$1001,0),1)&gt;=100000,INDEX($AN$1005:$BO$1005,1,MATCH(COLUMNS($AN$1006:BE1006),$AN$1006:$BO$1006,0))&gt;=100000), " ",IF(INDEX($AN$2:$BO$1001,MATCH(ROWS($AG$2:AG804),$AG$2:$AG$1001,0),MATCH(COLUMNS($AN$1006:BE1006),$AN$1006:$BO$1006,0)), HYPERLINK("#",""), HYPERLINK(CONCATENATE("#Metadata!", ADDRESS(INDEX($AI$2:$AI$1001,MATCH(ROWS($AG$2:AG804),$AG$2:$AG$1001,0),0), INDEX($AN$1004:$BO$1004,1,MATCH(COLUMNS($AN$1006:BE1006),$AN$1006:$BO$1006,0)))),"Fix")))</f>
        <v>0</v>
      </c>
      <c r="T804" s="4">
        <f>IF(OR(INDEX($AH$2:$AH$1001,MATCH(ROWS($AG$2:AG804),$AG$2:$AG$1001,0),1)&gt;=100000,INDEX($AN$1005:$BO$1005,1,MATCH(COLUMNS($AN$1006:BF1006),$AN$1006:$BO$1006,0))&gt;=100000), " ",IF(INDEX($AN$2:$BO$1001,MATCH(ROWS($AG$2:AG804),$AG$2:$AG$1001,0),MATCH(COLUMNS($AN$1006:BF1006),$AN$1006:$BO$1006,0)), HYPERLINK("#",""), HYPERLINK(CONCATENATE("#Metadata!", ADDRESS(INDEX($AI$2:$AI$1001,MATCH(ROWS($AG$2:AG804),$AG$2:$AG$1001,0),0), INDEX($AN$1004:$BO$1004,1,MATCH(COLUMNS($AN$1006:BF1006),$AN$1006:$BO$1006,0)))),"Fix")))</f>
        <v>0</v>
      </c>
      <c r="U804" s="4">
        <f>IF(OR(INDEX($AH$2:$AH$1001,MATCH(ROWS($AG$2:AG804),$AG$2:$AG$1001,0),1)&gt;=100000,INDEX($AN$1005:$BO$1005,1,MATCH(COLUMNS($AN$1006:BG1006),$AN$1006:$BO$1006,0))&gt;=100000), " ",IF(INDEX($AN$2:$BO$1001,MATCH(ROWS($AG$2:AG804),$AG$2:$AG$1001,0),MATCH(COLUMNS($AN$1006:BG1006),$AN$1006:$BO$1006,0)), HYPERLINK("#",""), HYPERLINK(CONCATENATE("#Metadata!", ADDRESS(INDEX($AI$2:$AI$1001,MATCH(ROWS($AG$2:AG804),$AG$2:$AG$1001,0),0), INDEX($AN$1004:$BO$1004,1,MATCH(COLUMNS($AN$1006:BG1006),$AN$1006:$BO$1006,0)))),"Fix")))</f>
        <v>0</v>
      </c>
      <c r="V804" s="4">
        <f>IF(OR(INDEX($AH$2:$AH$1001,MATCH(ROWS($AG$2:AG804),$AG$2:$AG$1001,0),1)&gt;=100000,INDEX($AN$1005:$BO$1005,1,MATCH(COLUMNS($AN$1006:BH1006),$AN$1006:$BO$1006,0))&gt;=100000), " ",IF(INDEX($AN$2:$BO$1001,MATCH(ROWS($AG$2:AG804),$AG$2:$AG$1001,0),MATCH(COLUMNS($AN$1006:BH1006),$AN$1006:$BO$1006,0)), HYPERLINK("#",""), HYPERLINK(CONCATENATE("#Metadata!", ADDRESS(INDEX($AI$2:$AI$1001,MATCH(ROWS($AG$2:AG804),$AG$2:$AG$1001,0),0), INDEX($AN$1004:$BO$1004,1,MATCH(COLUMNS($AN$1006:BH1006),$AN$1006:$BO$1006,0)))),"Fix")))</f>
        <v>0</v>
      </c>
      <c r="W804" s="4">
        <f>IF(OR(INDEX($AH$2:$AH$1001,MATCH(ROWS($AG$2:AG804),$AG$2:$AG$1001,0),1)&gt;=100000,INDEX($AN$1005:$BO$1005,1,MATCH(COLUMNS($AN$1006:BI1006),$AN$1006:$BO$1006,0))&gt;=100000), " ",IF(INDEX($AN$2:$BO$1001,MATCH(ROWS($AG$2:AG804),$AG$2:$AG$1001,0),MATCH(COLUMNS($AN$1006:BI1006),$AN$1006:$BO$1006,0)), HYPERLINK("#",""), HYPERLINK(CONCATENATE("#Metadata!", ADDRESS(INDEX($AI$2:$AI$1001,MATCH(ROWS($AG$2:AG804),$AG$2:$AG$1001,0),0), INDEX($AN$1004:$BO$1004,1,MATCH(COLUMNS($AN$1006:BI1006),$AN$1006:$BO$1006,0)))),"Fix")))</f>
        <v>0</v>
      </c>
      <c r="X804" s="4">
        <f>IF(OR(INDEX($AH$2:$AH$1001,MATCH(ROWS($AG$2:AG804),$AG$2:$AG$1001,0),1)&gt;=100000,INDEX($AN$1005:$BO$1005,1,MATCH(COLUMNS($AN$1006:BJ1006),$AN$1006:$BO$1006,0))&gt;=100000), " ",IF(INDEX($AN$2:$BO$1001,MATCH(ROWS($AG$2:AG804),$AG$2:$AG$1001,0),MATCH(COLUMNS($AN$1006:BJ1006),$AN$1006:$BO$1006,0)), HYPERLINK("#",""), HYPERLINK(CONCATENATE("#Metadata!", ADDRESS(INDEX($AI$2:$AI$1001,MATCH(ROWS($AG$2:AG804),$AG$2:$AG$1001,0),0), INDEX($AN$1004:$BO$1004,1,MATCH(COLUMNS($AN$1006:BJ1006),$AN$1006:$BO$1006,0)))),"Fix")))</f>
        <v>0</v>
      </c>
      <c r="Y804" s="4">
        <f>IF(OR(INDEX($AH$2:$AH$1001,MATCH(ROWS($AG$2:AG804),$AG$2:$AG$1001,0),1)&gt;=100000,INDEX($AN$1005:$BO$1005,1,MATCH(COLUMNS($AN$1006:BK1006),$AN$1006:$BO$1006,0))&gt;=100000), " ",IF(INDEX($AN$2:$BO$1001,MATCH(ROWS($AG$2:AG804),$AG$2:$AG$1001,0),MATCH(COLUMNS($AN$1006:BK1006),$AN$1006:$BO$1006,0)), HYPERLINK("#",""), HYPERLINK(CONCATENATE("#Metadata!", ADDRESS(INDEX($AI$2:$AI$1001,MATCH(ROWS($AG$2:AG804),$AG$2:$AG$1001,0),0), INDEX($AN$1004:$BO$1004,1,MATCH(COLUMNS($AN$1006:BK1006),$AN$1006:$BO$1006,0)))),"Fix")))</f>
        <v>0</v>
      </c>
      <c r="Z804" s="4">
        <f>IF(OR(INDEX($AH$2:$AH$1001,MATCH(ROWS($AG$2:AG804),$AG$2:$AG$1001,0),1)&gt;=100000,INDEX($AN$1005:$BO$1005,1,MATCH(COLUMNS($AN$1006:BL1006),$AN$1006:$BO$1006,0))&gt;=100000), " ",IF(INDEX($AN$2:$BO$1001,MATCH(ROWS($AG$2:AG804),$AG$2:$AG$1001,0),MATCH(COLUMNS($AN$1006:BL1006),$AN$1006:$BO$1006,0)), HYPERLINK("#",""), HYPERLINK(CONCATENATE("#Metadata!", ADDRESS(INDEX($AI$2:$AI$1001,MATCH(ROWS($AG$2:AG804),$AG$2:$AG$1001,0),0), INDEX($AN$1004:$BO$1004,1,MATCH(COLUMNS($AN$1006:BL1006),$AN$1006:$BO$1006,0)))),"Fix")))</f>
        <v>0</v>
      </c>
      <c r="AA804" s="4">
        <f>IF(OR(INDEX($AH$2:$AH$1001,MATCH(ROWS($AG$2:AG804),$AG$2:$AG$1001,0),1)&gt;=100000,INDEX($AN$1005:$BO$1005,1,MATCH(COLUMNS($AN$1006:BM1006),$AN$1006:$BO$1006,0))&gt;=100000), " ",IF(INDEX($AN$2:$BO$1001,MATCH(ROWS($AG$2:AG804),$AG$2:$AG$1001,0),MATCH(COLUMNS($AN$1006:BM1006),$AN$1006:$BO$1006,0)), HYPERLINK("#",""), HYPERLINK(CONCATENATE("#Metadata!", ADDRESS(INDEX($AI$2:$AI$1001,MATCH(ROWS($AG$2:AG804),$AG$2:$AG$1001,0),0), INDEX($AN$1004:$BO$1004,1,MATCH(COLUMNS($AN$1006:BM1006),$AN$1006:$BO$1006,0)))),"Fix")))</f>
        <v>0</v>
      </c>
      <c r="AB804" s="4">
        <f>IF(OR(INDEX($AH$2:$AH$1001,MATCH(ROWS($AG$2:AG804),$AG$2:$AG$1001,0),1)&gt;=100000,INDEX($AN$1005:$BO$1005,1,MATCH(COLUMNS($AN$1006:BN1006),$AN$1006:$BO$1006,0))&gt;=100000), " ",IF(INDEX($AN$2:$BO$1001,MATCH(ROWS($AG$2:AG804),$AG$2:$AG$1001,0),MATCH(COLUMNS($AN$1006:BN1006),$AN$1006:$BO$1006,0)), HYPERLINK("#",""), HYPERLINK(CONCATENATE("#Metadata!", ADDRESS(INDEX($AI$2:$AI$1001,MATCH(ROWS($AG$2:AG804),$AG$2:$AG$1001,0),0), INDEX($AN$1004:$BO$1004,1,MATCH(COLUMNS($AN$1006:BN1006),$AN$1006:$BO$1006,0)))),"Fix")))</f>
        <v>0</v>
      </c>
      <c r="AC804" s="4">
        <f>IF(OR(INDEX($AH$2:$AH$1001,MATCH(ROWS($AG$2:AG804),$AG$2:$AG$1001,0),1)&gt;=100000,INDEX($AN$1005:$BO$1005,1,MATCH(COLUMNS($AN$1006:BO1006),$AN$1006:$BO$1006,0))&gt;=100000), " ",IF(INDEX($AN$2:$BO$1001,MATCH(ROWS($AG$2:AG804),$AG$2:$AG$1001,0),MATCH(COLUMNS($AN$1006:BO1006),$AN$1006:$BO$1006,0)), HYPERLINK("#",""), HYPERLINK(CONCATENATE("#Metadata!", ADDRESS(INDEX($AI$2:$AI$1001,MATCH(ROWS($AG$2:AG804),$AG$2:$AG$1001,0),0), INDEX($AN$1004:$BO$1004,1,MATCH(COLUMNS($AN$1006:BO1006),$AN$1006:$BO$1006,0)))),"Fix")))</f>
        <v>0</v>
      </c>
      <c r="AG804">
        <v>0</v>
      </c>
      <c r="AH804">
        <v>0</v>
      </c>
      <c r="AI804">
        <v>0</v>
      </c>
      <c r="AJ804">
        <f>IF(AK804,TRUE,AND(AN804:BO804))</f>
        <v>0</v>
      </c>
      <c r="AK804">
        <f>COUNTBLANK(Metadata!B804:AC804)=COLUMNS(Metadata!B804:AC804)</f>
        <v>0</v>
      </c>
      <c r="AL804">
        <v>0</v>
      </c>
      <c r="AN804">
        <f>AND(IF(Metadata!B804="",FALSE,TRUE),COUNTIF(Metadata!B:B, Metadata!B804) = 1,NOT(ISERROR(SUMPRODUCT(SEARCH(MID(Metadata!B804,ROW(INDIRECT("1:"&amp;LEN(Metadata!B804))), 1),"0123456789abcdefghijklmnopqrstuvwxyzABCDEFGHIJKLMNOPQRSTUVWXYZ.")))))</f>
        <v>0</v>
      </c>
      <c r="AO804">
        <f>IF(Metadata!C804="",FALSE,TRUE)</f>
        <v>0</v>
      </c>
      <c r="AP804">
        <f>IF(Metadata!D804="",FALSE,TRUE)</f>
        <v>0</v>
      </c>
      <c r="AQ804">
        <f>OR(AND(IF(Metadata!E804="",FALSE,TRUE),OR(exact(Metadata!E804,"not collected"),exact(Metadata!E804,"not provided"),exact(Metadata!E804,"restricted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R804">
        <f>IF(Metadata!F804="",FALSE,TRUE)</f>
        <v>0</v>
      </c>
      <c r="AS804">
        <f>OR(AND(IF(Metadata!G804="",FALSE,TRUE),OR(exact(Metadata!G804,"not collected"),exact(Metadata!G804,"not provided"))),AND(IF(Metadata!G804="",FALSE,TRUE),OR(exact(Metadata!G804,"TRUE"),exact(Metadata!G804,"FALSE"))))</f>
        <v>0</v>
      </c>
      <c r="AT804">
        <f>OR(AND(IF(Metadata!H804="",FALSE,TRUE),OR(exact(Metadata!H804,"not collected"),exact(Metadata!H804,"not provided"),exact(Metadata!H804,"restricted access"))),AND(IF(Metadata!H804="",FALSE,ISNUMBER(VALUE(Metadata!H804))),Metadata!H804&gt;=-413.0))</f>
        <v>0</v>
      </c>
      <c r="AU804">
        <f>AND(IF(Metadata!I804="",FALSE,TRUE),exact(Metadata!I804,"meters"))</f>
        <v>0</v>
      </c>
      <c r="AV804">
        <f>AND(IF(Metadata!J804="",FALSE,TRUE),OR(exact(Metadata!J804,"Host-associated"),exact(Metadata!J804,"Free-living")))</f>
        <v>0</v>
      </c>
      <c r="AW804">
        <f>AND(IF(Metadata!K804="",FALSE,TRUE),OR(exact(Metadata!K804,"Animal"),exact(Metadata!K804,"Fungus"),exact(Metadata!K804,"Plant"),exact(Metadata!K804,"Saline"),exact(Metadata!K804,"Non-saline")))</f>
        <v>0</v>
      </c>
      <c r="AX804">
        <f>AND(IF(Metadata!L804="",FALSE,TRUE),OR(exact(Metadata!L804,"Plant secretion"),exact(Metadata!L804,"Plant rhizosphere"),exact(Metadata!L804,"Plant surface"),exact(Metadata!L804,"Plant corpus"),exact(Metadata!L804,"Fungus surface"),exact(Metadata!L804,"Fungus corpus"),exact(Metadata!L804,"Animal surface"),exact(Metadata!L804,"Animal proximal gut"),exact(Metadata!L804,"Animal corpus"),exact(Metadata!L804,"Animal distal gut"),exact(Metadata!L804,"Animal secretion"),exact(Metadata!L804,"Sub-surface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Y804">
        <f>IF(Metadata!M804="",FALSE,TRUE)</f>
        <v>0</v>
      </c>
      <c r="AZ804">
        <f>IF(Metadata!N804="",FALSE,TRUE)</f>
        <v>0</v>
      </c>
      <c r="BA804">
        <f>IF(Metadata!O804="",FALSE,TRUE)</f>
        <v>0</v>
      </c>
      <c r="BB804">
        <f>OR(AND(IF(Metadata!P804="",FALSE,TRUE),OR(exact(Metadata!P804,"not collected"),exact(Metadata!P804,"not provided"),exact(Metadata!P804,"restricted access"))),AND(IF(Metadata!P804="",FALSE,TRUE),OR(exact(Metadata!P804,"air"),exact(Metadata!P804,"built environment"),exact(Metadata!P804,"host-associated"),exact(Metadata!P804,"human-associated"),exact(Metadata!P804,"human-skin"),exact(Metadata!P804,"human-oral"),exact(Metadata!P804,"human-gut"),exact(Metadata!P804,"human-vaginal"),exact(Metadata!P804,"microbial mat/biofilm"),exact(Metadata!P804,"misc environment"),exact(Metadata!P804,"plant-associated"),exact(Metadata!P804,"sediment"),exact(Metadata!P804,"soil"),exact(Metadata!P804,"wastewater/sludge"),exact(Metadata!P804,"water"))))</f>
        <v>0</v>
      </c>
      <c r="BC804">
        <f>IF(Metadata!Q804="",FALSE,TRUE)</f>
        <v>0</v>
      </c>
      <c r="BD804">
        <f>IF(Metadata!R804="",FALSE,TRUE)</f>
        <v>0</v>
      </c>
      <c r="BE804">
        <f>OR(AND(IF(Metadata!S804="",FALSE,TRUE),OR(exact(Metadata!S804,"not collected"),exact(Metadata!S804,"not provided"),exact(Metadata!S804,"restricted access"))),AND(IF(Metadata!S804="",FALSE,ISNUMBER(VALUE(Metadata!S804))),Metadata!S804&gt;=-90.00,Metadata!S804&lt;=90.00))</f>
        <v>0</v>
      </c>
      <c r="BF804">
        <f>AND(IF(Metadata!T804="",FALSE,TRUE),exact(Metadata!T804,"Decimal degrees"))</f>
        <v>0</v>
      </c>
      <c r="BG804">
        <f>OR(AND(IF(Metadata!U804="",FALSE,TRUE),OR(exact(Metadata!U804,"not collected"),exact(Metadata!U804,"not provided"),exact(Metadata!U804,"restricted access"))),AND(IF(Metadata!U804="",FALSE,ISNUMBER(VALUE(Metadata!U804))),Metadata!U804&gt;=-180.00,Metadata!U804&lt;=180.00))</f>
        <v>0</v>
      </c>
      <c r="BH804">
        <f>AND(IF(Metadata!V804="",FALSE,TRUE),exact(Metadata!V804,"Decimal degrees"))</f>
        <v>0</v>
      </c>
      <c r="BI804">
        <f>IF(Metadata!W804="",FALSE,TRUE)</f>
        <v>0</v>
      </c>
      <c r="BJ804">
        <f>OR(AND(IF(Metadata!X804="",FALSE,TRUE),OR(exact(Metadata!X804,"not collected"),exact(Metadata!X804,"not provided"),exact(Metadata!X804,"restricted access"))),AND(IF(Metadata!X804="",FALSE,TRUE),OR(exact(Metadata!X804,"TRUE"),exact(Metadata!X804,"FALSE"))))</f>
        <v>0</v>
      </c>
      <c r="BK804">
        <f>AND(IF(Metadata!Y804="",FALSE,TRUE),exact(Metadata!Y804,"other"))</f>
        <v>0</v>
      </c>
      <c r="BL804">
        <f>IF(Metadata!Z804="",FALSE,TRUE)</f>
        <v>0</v>
      </c>
      <c r="BM804">
        <f>OR(AND(IF(Metadata!AA804="",FALSE,TRUE),OR(exact(Metadata!AA804,"not collected"),exact(Metadata!AA804,"not provided"))),AND(IF(Metadata!AA804="",FALSE,IF(ISERROR(INT(Metadata!AA804)),FALSE,INT(Metadata!AA804)=Metadata!AA804)),Metadata!AA804&gt;0))</f>
        <v>0</v>
      </c>
      <c r="BN804">
        <f>AND(IF(Metadata!AB804="",FALSE,TRUE),exact(Metadata!AB804,"Not applicable"))</f>
        <v>0</v>
      </c>
      <c r="BO804">
        <f>IF(Metadata!AC804="",FALSE,TRUE)</f>
        <v>0</v>
      </c>
    </row>
    <row r="805" spans="1:67">
      <c r="A805" s="5">
        <f>IF(B805=" "," ",HYPERLINK(CONCATENATE("#metadata!",ADDRESS(INDEX($AI$2:$AI$1001,MATCH(ROWS($AG$2:AG805),$AG$2:$AG$1001,0),0),1)),INDEX($AL$2:$AL$1001,MATCH(ROWS($AG$2:AG805),$AG$2:$AG$1001,0),0)))</f>
        <v>0</v>
      </c>
      <c r="B805" s="4">
        <f>IF(OR(INDEX($AH$2:$AH$1001,MATCH(ROWS($AG$2:AG805),$AG$2:$AG$1001,0),1)&gt;=100000,INDEX($AN$1005:$BO$1005,1,MATCH(COLUMNS($AN$1006:AN1006),$AN$1006:$BO$1006,0))&gt;=100000), " ",IF(INDEX($AN$2:$BO$1001,MATCH(ROWS($AG$2:AG805),$AG$2:$AG$1001,0),MATCH(COLUMNS($AN$1006:AN1006),$AN$1006:$BO$1006,0)), HYPERLINK("#",""), HYPERLINK(CONCATENATE("#Metadata!", ADDRESS(INDEX($AI$2:$AI$1001,MATCH(ROWS($AG$2:AG805),$AG$2:$AG$1001,0),0), INDEX($AN$1004:$BO$1004,1,MATCH(COLUMNS($AN$1006:AN1006),$AN$1006:$BO$1006,0)))),"Fix")))</f>
        <v>0</v>
      </c>
      <c r="C805" s="4">
        <f>IF(OR(INDEX($AH$2:$AH$1001,MATCH(ROWS($AG$2:AG805),$AG$2:$AG$1001,0),1)&gt;=100000,INDEX($AN$1005:$BO$1005,1,MATCH(COLUMNS($AN$1006:AO1006),$AN$1006:$BO$1006,0))&gt;=100000), " ",IF(INDEX($AN$2:$BO$1001,MATCH(ROWS($AG$2:AG805),$AG$2:$AG$1001,0),MATCH(COLUMNS($AN$1006:AO1006),$AN$1006:$BO$1006,0)), HYPERLINK("#",""), HYPERLINK(CONCATENATE("#Metadata!", ADDRESS(INDEX($AI$2:$AI$1001,MATCH(ROWS($AG$2:AG805),$AG$2:$AG$1001,0),0), INDEX($AN$1004:$BO$1004,1,MATCH(COLUMNS($AN$1006:AO1006),$AN$1006:$BO$1006,0)))),"Fix")))</f>
        <v>0</v>
      </c>
      <c r="D805" s="4">
        <f>IF(OR(INDEX($AH$2:$AH$1001,MATCH(ROWS($AG$2:AG805),$AG$2:$AG$1001,0),1)&gt;=100000,INDEX($AN$1005:$BO$1005,1,MATCH(COLUMNS($AN$1006:AP1006),$AN$1006:$BO$1006,0))&gt;=100000), " ",IF(INDEX($AN$2:$BO$1001,MATCH(ROWS($AG$2:AG805),$AG$2:$AG$1001,0),MATCH(COLUMNS($AN$1006:AP1006),$AN$1006:$BO$1006,0)), HYPERLINK("#",""), HYPERLINK(CONCATENATE("#Metadata!", ADDRESS(INDEX($AI$2:$AI$1001,MATCH(ROWS($AG$2:AG805),$AG$2:$AG$1001,0),0), INDEX($AN$1004:$BO$1004,1,MATCH(COLUMNS($AN$1006:AP1006),$AN$1006:$BO$1006,0)))),"Fix")))</f>
        <v>0</v>
      </c>
      <c r="E805" s="4">
        <f>IF(OR(INDEX($AH$2:$AH$1001,MATCH(ROWS($AG$2:AG805),$AG$2:$AG$1001,0),1)&gt;=100000,INDEX($AN$1005:$BO$1005,1,MATCH(COLUMNS($AN$1006:AQ1006),$AN$1006:$BO$1006,0))&gt;=100000), " ",IF(INDEX($AN$2:$BO$1001,MATCH(ROWS($AG$2:AG805),$AG$2:$AG$1001,0),MATCH(COLUMNS($AN$1006:AQ1006),$AN$1006:$BO$1006,0)), HYPERLINK("#",""), HYPERLINK(CONCATENATE("#Metadata!", ADDRESS(INDEX($AI$2:$AI$1001,MATCH(ROWS($AG$2:AG805),$AG$2:$AG$1001,0),0), INDEX($AN$1004:$BO$1004,1,MATCH(COLUMNS($AN$1006:AQ1006),$AN$1006:$BO$1006,0)))),"Fix")))</f>
        <v>0</v>
      </c>
      <c r="F805" s="4">
        <f>IF(OR(INDEX($AH$2:$AH$1001,MATCH(ROWS($AG$2:AG805),$AG$2:$AG$1001,0),1)&gt;=100000,INDEX($AN$1005:$BO$1005,1,MATCH(COLUMNS($AN$1006:AR1006),$AN$1006:$BO$1006,0))&gt;=100000), " ",IF(INDEX($AN$2:$BO$1001,MATCH(ROWS($AG$2:AG805),$AG$2:$AG$1001,0),MATCH(COLUMNS($AN$1006:AR1006),$AN$1006:$BO$1006,0)), HYPERLINK("#",""), HYPERLINK(CONCATENATE("#Metadata!", ADDRESS(INDEX($AI$2:$AI$1001,MATCH(ROWS($AG$2:AG805),$AG$2:$AG$1001,0),0), INDEX($AN$1004:$BO$1004,1,MATCH(COLUMNS($AN$1006:AR1006),$AN$1006:$BO$1006,0)))),"Fix")))</f>
        <v>0</v>
      </c>
      <c r="G805" s="4">
        <f>IF(OR(INDEX($AH$2:$AH$1001,MATCH(ROWS($AG$2:AG805),$AG$2:$AG$1001,0),1)&gt;=100000,INDEX($AN$1005:$BO$1005,1,MATCH(COLUMNS($AN$1006:AS1006),$AN$1006:$BO$1006,0))&gt;=100000), " ",IF(INDEX($AN$2:$BO$1001,MATCH(ROWS($AG$2:AG805),$AG$2:$AG$1001,0),MATCH(COLUMNS($AN$1006:AS1006),$AN$1006:$BO$1006,0)), HYPERLINK("#",""), HYPERLINK(CONCATENATE("#Metadata!", ADDRESS(INDEX($AI$2:$AI$1001,MATCH(ROWS($AG$2:AG805),$AG$2:$AG$1001,0),0), INDEX($AN$1004:$BO$1004,1,MATCH(COLUMNS($AN$1006:AS1006),$AN$1006:$BO$1006,0)))),"Fix")))</f>
        <v>0</v>
      </c>
      <c r="H805" s="4">
        <f>IF(OR(INDEX($AH$2:$AH$1001,MATCH(ROWS($AG$2:AG805),$AG$2:$AG$1001,0),1)&gt;=100000,INDEX($AN$1005:$BO$1005,1,MATCH(COLUMNS($AN$1006:AT1006),$AN$1006:$BO$1006,0))&gt;=100000), " ",IF(INDEX($AN$2:$BO$1001,MATCH(ROWS($AG$2:AG805),$AG$2:$AG$1001,0),MATCH(COLUMNS($AN$1006:AT1006),$AN$1006:$BO$1006,0)), HYPERLINK("#",""), HYPERLINK(CONCATENATE("#Metadata!", ADDRESS(INDEX($AI$2:$AI$1001,MATCH(ROWS($AG$2:AG805),$AG$2:$AG$1001,0),0), INDEX($AN$1004:$BO$1004,1,MATCH(COLUMNS($AN$1006:AT1006),$AN$1006:$BO$1006,0)))),"Fix")))</f>
        <v>0</v>
      </c>
      <c r="I805" s="4">
        <f>IF(OR(INDEX($AH$2:$AH$1001,MATCH(ROWS($AG$2:AG805),$AG$2:$AG$1001,0),1)&gt;=100000,INDEX($AN$1005:$BO$1005,1,MATCH(COLUMNS($AN$1006:AU1006),$AN$1006:$BO$1006,0))&gt;=100000), " ",IF(INDEX($AN$2:$BO$1001,MATCH(ROWS($AG$2:AG805),$AG$2:$AG$1001,0),MATCH(COLUMNS($AN$1006:AU1006),$AN$1006:$BO$1006,0)), HYPERLINK("#",""), HYPERLINK(CONCATENATE("#Metadata!", ADDRESS(INDEX($AI$2:$AI$1001,MATCH(ROWS($AG$2:AG805),$AG$2:$AG$1001,0),0), INDEX($AN$1004:$BO$1004,1,MATCH(COLUMNS($AN$1006:AU1006),$AN$1006:$BO$1006,0)))),"Fix")))</f>
        <v>0</v>
      </c>
      <c r="J805" s="4">
        <f>IF(OR(INDEX($AH$2:$AH$1001,MATCH(ROWS($AG$2:AG805),$AG$2:$AG$1001,0),1)&gt;=100000,INDEX($AN$1005:$BO$1005,1,MATCH(COLUMNS($AN$1006:AV1006),$AN$1006:$BO$1006,0))&gt;=100000), " ",IF(INDEX($AN$2:$BO$1001,MATCH(ROWS($AG$2:AG805),$AG$2:$AG$1001,0),MATCH(COLUMNS($AN$1006:AV1006),$AN$1006:$BO$1006,0)), HYPERLINK("#",""), HYPERLINK(CONCATENATE("#Metadata!", ADDRESS(INDEX($AI$2:$AI$1001,MATCH(ROWS($AG$2:AG805),$AG$2:$AG$1001,0),0), INDEX($AN$1004:$BO$1004,1,MATCH(COLUMNS($AN$1006:AV1006),$AN$1006:$BO$1006,0)))),"Fix")))</f>
        <v>0</v>
      </c>
      <c r="K805" s="4">
        <f>IF(OR(INDEX($AH$2:$AH$1001,MATCH(ROWS($AG$2:AG805),$AG$2:$AG$1001,0),1)&gt;=100000,INDEX($AN$1005:$BO$1005,1,MATCH(COLUMNS($AN$1006:AW1006),$AN$1006:$BO$1006,0))&gt;=100000), " ",IF(INDEX($AN$2:$BO$1001,MATCH(ROWS($AG$2:AG805),$AG$2:$AG$1001,0),MATCH(COLUMNS($AN$1006:AW1006),$AN$1006:$BO$1006,0)), HYPERLINK("#",""), HYPERLINK(CONCATENATE("#Metadata!", ADDRESS(INDEX($AI$2:$AI$1001,MATCH(ROWS($AG$2:AG805),$AG$2:$AG$1001,0),0), INDEX($AN$1004:$BO$1004,1,MATCH(COLUMNS($AN$1006:AW1006),$AN$1006:$BO$1006,0)))),"Fix")))</f>
        <v>0</v>
      </c>
      <c r="L805" s="4">
        <f>IF(OR(INDEX($AH$2:$AH$1001,MATCH(ROWS($AG$2:AG805),$AG$2:$AG$1001,0),1)&gt;=100000,INDEX($AN$1005:$BO$1005,1,MATCH(COLUMNS($AN$1006:AX1006),$AN$1006:$BO$1006,0))&gt;=100000), " ",IF(INDEX($AN$2:$BO$1001,MATCH(ROWS($AG$2:AG805),$AG$2:$AG$1001,0),MATCH(COLUMNS($AN$1006:AX1006),$AN$1006:$BO$1006,0)), HYPERLINK("#",""), HYPERLINK(CONCATENATE("#Metadata!", ADDRESS(INDEX($AI$2:$AI$1001,MATCH(ROWS($AG$2:AG805),$AG$2:$AG$1001,0),0), INDEX($AN$1004:$BO$1004,1,MATCH(COLUMNS($AN$1006:AX1006),$AN$1006:$BO$1006,0)))),"Fix")))</f>
        <v>0</v>
      </c>
      <c r="M805" s="4">
        <f>IF(OR(INDEX($AH$2:$AH$1001,MATCH(ROWS($AG$2:AG805),$AG$2:$AG$1001,0),1)&gt;=100000,INDEX($AN$1005:$BO$1005,1,MATCH(COLUMNS($AN$1006:AY1006),$AN$1006:$BO$1006,0))&gt;=100000), " ",IF(INDEX($AN$2:$BO$1001,MATCH(ROWS($AG$2:AG805),$AG$2:$AG$1001,0),MATCH(COLUMNS($AN$1006:AY1006),$AN$1006:$BO$1006,0)), HYPERLINK("#",""), HYPERLINK(CONCATENATE("#Metadata!", ADDRESS(INDEX($AI$2:$AI$1001,MATCH(ROWS($AG$2:AG805),$AG$2:$AG$1001,0),0), INDEX($AN$1004:$BO$1004,1,MATCH(COLUMNS($AN$1006:AY1006),$AN$1006:$BO$1006,0)))),"Fix")))</f>
        <v>0</v>
      </c>
      <c r="N805" s="4">
        <f>IF(OR(INDEX($AH$2:$AH$1001,MATCH(ROWS($AG$2:AG805),$AG$2:$AG$1001,0),1)&gt;=100000,INDEX($AN$1005:$BO$1005,1,MATCH(COLUMNS($AN$1006:AZ1006),$AN$1006:$BO$1006,0))&gt;=100000), " ",IF(INDEX($AN$2:$BO$1001,MATCH(ROWS($AG$2:AG805),$AG$2:$AG$1001,0),MATCH(COLUMNS($AN$1006:AZ1006),$AN$1006:$BO$1006,0)), HYPERLINK("#",""), HYPERLINK(CONCATENATE("#Metadata!", ADDRESS(INDEX($AI$2:$AI$1001,MATCH(ROWS($AG$2:AG805),$AG$2:$AG$1001,0),0), INDEX($AN$1004:$BO$1004,1,MATCH(COLUMNS($AN$1006:AZ1006),$AN$1006:$BO$1006,0)))),"Fix")))</f>
        <v>0</v>
      </c>
      <c r="O805" s="4">
        <f>IF(OR(INDEX($AH$2:$AH$1001,MATCH(ROWS($AG$2:AG805),$AG$2:$AG$1001,0),1)&gt;=100000,INDEX($AN$1005:$BO$1005,1,MATCH(COLUMNS($AN$1006:BA1006),$AN$1006:$BO$1006,0))&gt;=100000), " ",IF(INDEX($AN$2:$BO$1001,MATCH(ROWS($AG$2:AG805),$AG$2:$AG$1001,0),MATCH(COLUMNS($AN$1006:BA1006),$AN$1006:$BO$1006,0)), HYPERLINK("#",""), HYPERLINK(CONCATENATE("#Metadata!", ADDRESS(INDEX($AI$2:$AI$1001,MATCH(ROWS($AG$2:AG805),$AG$2:$AG$1001,0),0), INDEX($AN$1004:$BO$1004,1,MATCH(COLUMNS($AN$1006:BA1006),$AN$1006:$BO$1006,0)))),"Fix")))</f>
        <v>0</v>
      </c>
      <c r="P805" s="4">
        <f>IF(OR(INDEX($AH$2:$AH$1001,MATCH(ROWS($AG$2:AG805),$AG$2:$AG$1001,0),1)&gt;=100000,INDEX($AN$1005:$BO$1005,1,MATCH(COLUMNS($AN$1006:BB1006),$AN$1006:$BO$1006,0))&gt;=100000), " ",IF(INDEX($AN$2:$BO$1001,MATCH(ROWS($AG$2:AG805),$AG$2:$AG$1001,0),MATCH(COLUMNS($AN$1006:BB1006),$AN$1006:$BO$1006,0)), HYPERLINK("#",""), HYPERLINK(CONCATENATE("#Metadata!", ADDRESS(INDEX($AI$2:$AI$1001,MATCH(ROWS($AG$2:AG805),$AG$2:$AG$1001,0),0), INDEX($AN$1004:$BO$1004,1,MATCH(COLUMNS($AN$1006:BB1006),$AN$1006:$BO$1006,0)))),"Fix")))</f>
        <v>0</v>
      </c>
      <c r="Q805" s="4">
        <f>IF(OR(INDEX($AH$2:$AH$1001,MATCH(ROWS($AG$2:AG805),$AG$2:$AG$1001,0),1)&gt;=100000,INDEX($AN$1005:$BO$1005,1,MATCH(COLUMNS($AN$1006:BC1006),$AN$1006:$BO$1006,0))&gt;=100000), " ",IF(INDEX($AN$2:$BO$1001,MATCH(ROWS($AG$2:AG805),$AG$2:$AG$1001,0),MATCH(COLUMNS($AN$1006:BC1006),$AN$1006:$BO$1006,0)), HYPERLINK("#",""), HYPERLINK(CONCATENATE("#Metadata!", ADDRESS(INDEX($AI$2:$AI$1001,MATCH(ROWS($AG$2:AG805),$AG$2:$AG$1001,0),0), INDEX($AN$1004:$BO$1004,1,MATCH(COLUMNS($AN$1006:BC1006),$AN$1006:$BO$1006,0)))),"Fix")))</f>
        <v>0</v>
      </c>
      <c r="R805" s="4">
        <f>IF(OR(INDEX($AH$2:$AH$1001,MATCH(ROWS($AG$2:AG805),$AG$2:$AG$1001,0),1)&gt;=100000,INDEX($AN$1005:$BO$1005,1,MATCH(COLUMNS($AN$1006:BD1006),$AN$1006:$BO$1006,0))&gt;=100000), " ",IF(INDEX($AN$2:$BO$1001,MATCH(ROWS($AG$2:AG805),$AG$2:$AG$1001,0),MATCH(COLUMNS($AN$1006:BD1006),$AN$1006:$BO$1006,0)), HYPERLINK("#",""), HYPERLINK(CONCATENATE("#Metadata!", ADDRESS(INDEX($AI$2:$AI$1001,MATCH(ROWS($AG$2:AG805),$AG$2:$AG$1001,0),0), INDEX($AN$1004:$BO$1004,1,MATCH(COLUMNS($AN$1006:BD1006),$AN$1006:$BO$1006,0)))),"Fix")))</f>
        <v>0</v>
      </c>
      <c r="S805" s="4">
        <f>IF(OR(INDEX($AH$2:$AH$1001,MATCH(ROWS($AG$2:AG805),$AG$2:$AG$1001,0),1)&gt;=100000,INDEX($AN$1005:$BO$1005,1,MATCH(COLUMNS($AN$1006:BE1006),$AN$1006:$BO$1006,0))&gt;=100000), " ",IF(INDEX($AN$2:$BO$1001,MATCH(ROWS($AG$2:AG805),$AG$2:$AG$1001,0),MATCH(COLUMNS($AN$1006:BE1006),$AN$1006:$BO$1006,0)), HYPERLINK("#",""), HYPERLINK(CONCATENATE("#Metadata!", ADDRESS(INDEX($AI$2:$AI$1001,MATCH(ROWS($AG$2:AG805),$AG$2:$AG$1001,0),0), INDEX($AN$1004:$BO$1004,1,MATCH(COLUMNS($AN$1006:BE1006),$AN$1006:$BO$1006,0)))),"Fix")))</f>
        <v>0</v>
      </c>
      <c r="T805" s="4">
        <f>IF(OR(INDEX($AH$2:$AH$1001,MATCH(ROWS($AG$2:AG805),$AG$2:$AG$1001,0),1)&gt;=100000,INDEX($AN$1005:$BO$1005,1,MATCH(COLUMNS($AN$1006:BF1006),$AN$1006:$BO$1006,0))&gt;=100000), " ",IF(INDEX($AN$2:$BO$1001,MATCH(ROWS($AG$2:AG805),$AG$2:$AG$1001,0),MATCH(COLUMNS($AN$1006:BF1006),$AN$1006:$BO$1006,0)), HYPERLINK("#",""), HYPERLINK(CONCATENATE("#Metadata!", ADDRESS(INDEX($AI$2:$AI$1001,MATCH(ROWS($AG$2:AG805),$AG$2:$AG$1001,0),0), INDEX($AN$1004:$BO$1004,1,MATCH(COLUMNS($AN$1006:BF1006),$AN$1006:$BO$1006,0)))),"Fix")))</f>
        <v>0</v>
      </c>
      <c r="U805" s="4">
        <f>IF(OR(INDEX($AH$2:$AH$1001,MATCH(ROWS($AG$2:AG805),$AG$2:$AG$1001,0),1)&gt;=100000,INDEX($AN$1005:$BO$1005,1,MATCH(COLUMNS($AN$1006:BG1006),$AN$1006:$BO$1006,0))&gt;=100000), " ",IF(INDEX($AN$2:$BO$1001,MATCH(ROWS($AG$2:AG805),$AG$2:$AG$1001,0),MATCH(COLUMNS($AN$1006:BG1006),$AN$1006:$BO$1006,0)), HYPERLINK("#",""), HYPERLINK(CONCATENATE("#Metadata!", ADDRESS(INDEX($AI$2:$AI$1001,MATCH(ROWS($AG$2:AG805),$AG$2:$AG$1001,0),0), INDEX($AN$1004:$BO$1004,1,MATCH(COLUMNS($AN$1006:BG1006),$AN$1006:$BO$1006,0)))),"Fix")))</f>
        <v>0</v>
      </c>
      <c r="V805" s="4">
        <f>IF(OR(INDEX($AH$2:$AH$1001,MATCH(ROWS($AG$2:AG805),$AG$2:$AG$1001,0),1)&gt;=100000,INDEX($AN$1005:$BO$1005,1,MATCH(COLUMNS($AN$1006:BH1006),$AN$1006:$BO$1006,0))&gt;=100000), " ",IF(INDEX($AN$2:$BO$1001,MATCH(ROWS($AG$2:AG805),$AG$2:$AG$1001,0),MATCH(COLUMNS($AN$1006:BH1006),$AN$1006:$BO$1006,0)), HYPERLINK("#",""), HYPERLINK(CONCATENATE("#Metadata!", ADDRESS(INDEX($AI$2:$AI$1001,MATCH(ROWS($AG$2:AG805),$AG$2:$AG$1001,0),0), INDEX($AN$1004:$BO$1004,1,MATCH(COLUMNS($AN$1006:BH1006),$AN$1006:$BO$1006,0)))),"Fix")))</f>
        <v>0</v>
      </c>
      <c r="W805" s="4">
        <f>IF(OR(INDEX($AH$2:$AH$1001,MATCH(ROWS($AG$2:AG805),$AG$2:$AG$1001,0),1)&gt;=100000,INDEX($AN$1005:$BO$1005,1,MATCH(COLUMNS($AN$1006:BI1006),$AN$1006:$BO$1006,0))&gt;=100000), " ",IF(INDEX($AN$2:$BO$1001,MATCH(ROWS($AG$2:AG805),$AG$2:$AG$1001,0),MATCH(COLUMNS($AN$1006:BI1006),$AN$1006:$BO$1006,0)), HYPERLINK("#",""), HYPERLINK(CONCATENATE("#Metadata!", ADDRESS(INDEX($AI$2:$AI$1001,MATCH(ROWS($AG$2:AG805),$AG$2:$AG$1001,0),0), INDEX($AN$1004:$BO$1004,1,MATCH(COLUMNS($AN$1006:BI1006),$AN$1006:$BO$1006,0)))),"Fix")))</f>
        <v>0</v>
      </c>
      <c r="X805" s="4">
        <f>IF(OR(INDEX($AH$2:$AH$1001,MATCH(ROWS($AG$2:AG805),$AG$2:$AG$1001,0),1)&gt;=100000,INDEX($AN$1005:$BO$1005,1,MATCH(COLUMNS($AN$1006:BJ1006),$AN$1006:$BO$1006,0))&gt;=100000), " ",IF(INDEX($AN$2:$BO$1001,MATCH(ROWS($AG$2:AG805),$AG$2:$AG$1001,0),MATCH(COLUMNS($AN$1006:BJ1006),$AN$1006:$BO$1006,0)), HYPERLINK("#",""), HYPERLINK(CONCATENATE("#Metadata!", ADDRESS(INDEX($AI$2:$AI$1001,MATCH(ROWS($AG$2:AG805),$AG$2:$AG$1001,0),0), INDEX($AN$1004:$BO$1004,1,MATCH(COLUMNS($AN$1006:BJ1006),$AN$1006:$BO$1006,0)))),"Fix")))</f>
        <v>0</v>
      </c>
      <c r="Y805" s="4">
        <f>IF(OR(INDEX($AH$2:$AH$1001,MATCH(ROWS($AG$2:AG805),$AG$2:$AG$1001,0),1)&gt;=100000,INDEX($AN$1005:$BO$1005,1,MATCH(COLUMNS($AN$1006:BK1006),$AN$1006:$BO$1006,0))&gt;=100000), " ",IF(INDEX($AN$2:$BO$1001,MATCH(ROWS($AG$2:AG805),$AG$2:$AG$1001,0),MATCH(COLUMNS($AN$1006:BK1006),$AN$1006:$BO$1006,0)), HYPERLINK("#",""), HYPERLINK(CONCATENATE("#Metadata!", ADDRESS(INDEX($AI$2:$AI$1001,MATCH(ROWS($AG$2:AG805),$AG$2:$AG$1001,0),0), INDEX($AN$1004:$BO$1004,1,MATCH(COLUMNS($AN$1006:BK1006),$AN$1006:$BO$1006,0)))),"Fix")))</f>
        <v>0</v>
      </c>
      <c r="Z805" s="4">
        <f>IF(OR(INDEX($AH$2:$AH$1001,MATCH(ROWS($AG$2:AG805),$AG$2:$AG$1001,0),1)&gt;=100000,INDEX($AN$1005:$BO$1005,1,MATCH(COLUMNS($AN$1006:BL1006),$AN$1006:$BO$1006,0))&gt;=100000), " ",IF(INDEX($AN$2:$BO$1001,MATCH(ROWS($AG$2:AG805),$AG$2:$AG$1001,0),MATCH(COLUMNS($AN$1006:BL1006),$AN$1006:$BO$1006,0)), HYPERLINK("#",""), HYPERLINK(CONCATENATE("#Metadata!", ADDRESS(INDEX($AI$2:$AI$1001,MATCH(ROWS($AG$2:AG805),$AG$2:$AG$1001,0),0), INDEX($AN$1004:$BO$1004,1,MATCH(COLUMNS($AN$1006:BL1006),$AN$1006:$BO$1006,0)))),"Fix")))</f>
        <v>0</v>
      </c>
      <c r="AA805" s="4">
        <f>IF(OR(INDEX($AH$2:$AH$1001,MATCH(ROWS($AG$2:AG805),$AG$2:$AG$1001,0),1)&gt;=100000,INDEX($AN$1005:$BO$1005,1,MATCH(COLUMNS($AN$1006:BM1006),$AN$1006:$BO$1006,0))&gt;=100000), " ",IF(INDEX($AN$2:$BO$1001,MATCH(ROWS($AG$2:AG805),$AG$2:$AG$1001,0),MATCH(COLUMNS($AN$1006:BM1006),$AN$1006:$BO$1006,0)), HYPERLINK("#",""), HYPERLINK(CONCATENATE("#Metadata!", ADDRESS(INDEX($AI$2:$AI$1001,MATCH(ROWS($AG$2:AG805),$AG$2:$AG$1001,0),0), INDEX($AN$1004:$BO$1004,1,MATCH(COLUMNS($AN$1006:BM1006),$AN$1006:$BO$1006,0)))),"Fix")))</f>
        <v>0</v>
      </c>
      <c r="AB805" s="4">
        <f>IF(OR(INDEX($AH$2:$AH$1001,MATCH(ROWS($AG$2:AG805),$AG$2:$AG$1001,0),1)&gt;=100000,INDEX($AN$1005:$BO$1005,1,MATCH(COLUMNS($AN$1006:BN1006),$AN$1006:$BO$1006,0))&gt;=100000), " ",IF(INDEX($AN$2:$BO$1001,MATCH(ROWS($AG$2:AG805),$AG$2:$AG$1001,0),MATCH(COLUMNS($AN$1006:BN1006),$AN$1006:$BO$1006,0)), HYPERLINK("#",""), HYPERLINK(CONCATENATE("#Metadata!", ADDRESS(INDEX($AI$2:$AI$1001,MATCH(ROWS($AG$2:AG805),$AG$2:$AG$1001,0),0), INDEX($AN$1004:$BO$1004,1,MATCH(COLUMNS($AN$1006:BN1006),$AN$1006:$BO$1006,0)))),"Fix")))</f>
        <v>0</v>
      </c>
      <c r="AC805" s="4">
        <f>IF(OR(INDEX($AH$2:$AH$1001,MATCH(ROWS($AG$2:AG805),$AG$2:$AG$1001,0),1)&gt;=100000,INDEX($AN$1005:$BO$1005,1,MATCH(COLUMNS($AN$1006:BO1006),$AN$1006:$BO$1006,0))&gt;=100000), " ",IF(INDEX($AN$2:$BO$1001,MATCH(ROWS($AG$2:AG805),$AG$2:$AG$1001,0),MATCH(COLUMNS($AN$1006:BO1006),$AN$1006:$BO$1006,0)), HYPERLINK("#",""), HYPERLINK(CONCATENATE("#Metadata!", ADDRESS(INDEX($AI$2:$AI$1001,MATCH(ROWS($AG$2:AG805),$AG$2:$AG$1001,0),0), INDEX($AN$1004:$BO$1004,1,MATCH(COLUMNS($AN$1006:BO1006),$AN$1006:$BO$1006,0)))),"Fix")))</f>
        <v>0</v>
      </c>
      <c r="AG805">
        <v>0</v>
      </c>
      <c r="AH805">
        <v>0</v>
      </c>
      <c r="AI805">
        <v>0</v>
      </c>
      <c r="AJ805">
        <f>IF(AK805,TRUE,AND(AN805:BO805))</f>
        <v>0</v>
      </c>
      <c r="AK805">
        <f>COUNTBLANK(Metadata!B805:AC805)=COLUMNS(Metadata!B805:AC805)</f>
        <v>0</v>
      </c>
      <c r="AL805">
        <v>0</v>
      </c>
      <c r="AN805">
        <f>AND(IF(Metadata!B805="",FALSE,TRUE),COUNTIF(Metadata!B:B, Metadata!B805) = 1,NOT(ISERROR(SUMPRODUCT(SEARCH(MID(Metadata!B805,ROW(INDIRECT("1:"&amp;LEN(Metadata!B805))), 1),"0123456789abcdefghijklmnopqrstuvwxyzABCDEFGHIJKLMNOPQRSTUVWXYZ.")))))</f>
        <v>0</v>
      </c>
      <c r="AO805">
        <f>IF(Metadata!C805="",FALSE,TRUE)</f>
        <v>0</v>
      </c>
      <c r="AP805">
        <f>IF(Metadata!D805="",FALSE,TRUE)</f>
        <v>0</v>
      </c>
      <c r="AQ805">
        <f>OR(AND(IF(Metadata!E805="",FALSE,TRUE),OR(exact(Metadata!E805,"not collected"),exact(Metadata!E805,"not provided"),exact(Metadata!E805,"restricted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R805">
        <f>IF(Metadata!F805="",FALSE,TRUE)</f>
        <v>0</v>
      </c>
      <c r="AS805">
        <f>OR(AND(IF(Metadata!G805="",FALSE,TRUE),OR(exact(Metadata!G805,"not collected"),exact(Metadata!G805,"not provided"))),AND(IF(Metadata!G805="",FALSE,TRUE),OR(exact(Metadata!G805,"TRUE"),exact(Metadata!G805,"FALSE"))))</f>
        <v>0</v>
      </c>
      <c r="AT805">
        <f>OR(AND(IF(Metadata!H805="",FALSE,TRUE),OR(exact(Metadata!H805,"not collected"),exact(Metadata!H805,"not provided"),exact(Metadata!H805,"restricted access"))),AND(IF(Metadata!H805="",FALSE,ISNUMBER(VALUE(Metadata!H805))),Metadata!H805&gt;=-413.0))</f>
        <v>0</v>
      </c>
      <c r="AU805">
        <f>AND(IF(Metadata!I805="",FALSE,TRUE),exact(Metadata!I805,"meters"))</f>
        <v>0</v>
      </c>
      <c r="AV805">
        <f>AND(IF(Metadata!J805="",FALSE,TRUE),OR(exact(Metadata!J805,"Host-associated"),exact(Metadata!J805,"Free-living")))</f>
        <v>0</v>
      </c>
      <c r="AW805">
        <f>AND(IF(Metadata!K805="",FALSE,TRUE),OR(exact(Metadata!K805,"Animal"),exact(Metadata!K805,"Fungus"),exact(Metadata!K805,"Plant"),exact(Metadata!K805,"Saline"),exact(Metadata!K805,"Non-saline")))</f>
        <v>0</v>
      </c>
      <c r="AX805">
        <f>AND(IF(Metadata!L805="",FALSE,TRUE),OR(exact(Metadata!L805,"Plant secretion"),exact(Metadata!L805,"Plant rhizosphere"),exact(Metadata!L805,"Plant surface"),exact(Metadata!L805,"Plant corpus"),exact(Metadata!L805,"Fungus surface"),exact(Metadata!L805,"Fungus corpus"),exact(Metadata!L805,"Animal surface"),exact(Metadata!L805,"Animal proximal gut"),exact(Metadata!L805,"Animal corpus"),exact(Metadata!L805,"Animal distal gut"),exact(Metadata!L805,"Animal secretion"),exact(Metadata!L805,"Sub-surface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Y805">
        <f>IF(Metadata!M805="",FALSE,TRUE)</f>
        <v>0</v>
      </c>
      <c r="AZ805">
        <f>IF(Metadata!N805="",FALSE,TRUE)</f>
        <v>0</v>
      </c>
      <c r="BA805">
        <f>IF(Metadata!O805="",FALSE,TRUE)</f>
        <v>0</v>
      </c>
      <c r="BB805">
        <f>OR(AND(IF(Metadata!P805="",FALSE,TRUE),OR(exact(Metadata!P805,"not collected"),exact(Metadata!P805,"not provided"),exact(Metadata!P805,"restricted access"))),AND(IF(Metadata!P805="",FALSE,TRUE),OR(exact(Metadata!P805,"air"),exact(Metadata!P805,"built environment"),exact(Metadata!P805,"host-associated"),exact(Metadata!P805,"human-associated"),exact(Metadata!P805,"human-skin"),exact(Metadata!P805,"human-oral"),exact(Metadata!P805,"human-gut"),exact(Metadata!P805,"human-vaginal"),exact(Metadata!P805,"microbial mat/biofilm"),exact(Metadata!P805,"misc environment"),exact(Metadata!P805,"plant-associated"),exact(Metadata!P805,"sediment"),exact(Metadata!P805,"soil"),exact(Metadata!P805,"wastewater/sludge"),exact(Metadata!P805,"water"))))</f>
        <v>0</v>
      </c>
      <c r="BC805">
        <f>IF(Metadata!Q805="",FALSE,TRUE)</f>
        <v>0</v>
      </c>
      <c r="BD805">
        <f>IF(Metadata!R805="",FALSE,TRUE)</f>
        <v>0</v>
      </c>
      <c r="BE805">
        <f>OR(AND(IF(Metadata!S805="",FALSE,TRUE),OR(exact(Metadata!S805,"not collected"),exact(Metadata!S805,"not provided"),exact(Metadata!S805,"restricted access"))),AND(IF(Metadata!S805="",FALSE,ISNUMBER(VALUE(Metadata!S805))),Metadata!S805&gt;=-90.00,Metadata!S805&lt;=90.00))</f>
        <v>0</v>
      </c>
      <c r="BF805">
        <f>AND(IF(Metadata!T805="",FALSE,TRUE),exact(Metadata!T805,"Decimal degrees"))</f>
        <v>0</v>
      </c>
      <c r="BG805">
        <f>OR(AND(IF(Metadata!U805="",FALSE,TRUE),OR(exact(Metadata!U805,"not collected"),exact(Metadata!U805,"not provided"),exact(Metadata!U805,"restricted access"))),AND(IF(Metadata!U805="",FALSE,ISNUMBER(VALUE(Metadata!U805))),Metadata!U805&gt;=-180.00,Metadata!U805&lt;=180.00))</f>
        <v>0</v>
      </c>
      <c r="BH805">
        <f>AND(IF(Metadata!V805="",FALSE,TRUE),exact(Metadata!V805,"Decimal degrees"))</f>
        <v>0</v>
      </c>
      <c r="BI805">
        <f>IF(Metadata!W805="",FALSE,TRUE)</f>
        <v>0</v>
      </c>
      <c r="BJ805">
        <f>OR(AND(IF(Metadata!X805="",FALSE,TRUE),OR(exact(Metadata!X805,"not collected"),exact(Metadata!X805,"not provided"),exact(Metadata!X805,"restricted access"))),AND(IF(Metadata!X805="",FALSE,TRUE),OR(exact(Metadata!X805,"TRUE"),exact(Metadata!X805,"FALSE"))))</f>
        <v>0</v>
      </c>
      <c r="BK805">
        <f>AND(IF(Metadata!Y805="",FALSE,TRUE),exact(Metadata!Y805,"other"))</f>
        <v>0</v>
      </c>
      <c r="BL805">
        <f>IF(Metadata!Z805="",FALSE,TRUE)</f>
        <v>0</v>
      </c>
      <c r="BM805">
        <f>OR(AND(IF(Metadata!AA805="",FALSE,TRUE),OR(exact(Metadata!AA805,"not collected"),exact(Metadata!AA805,"not provided"))),AND(IF(Metadata!AA805="",FALSE,IF(ISERROR(INT(Metadata!AA805)),FALSE,INT(Metadata!AA805)=Metadata!AA805)),Metadata!AA805&gt;0))</f>
        <v>0</v>
      </c>
      <c r="BN805">
        <f>AND(IF(Metadata!AB805="",FALSE,TRUE),exact(Metadata!AB805,"Not applicable"))</f>
        <v>0</v>
      </c>
      <c r="BO805">
        <f>IF(Metadata!AC805="",FALSE,TRUE)</f>
        <v>0</v>
      </c>
    </row>
    <row r="806" spans="1:67">
      <c r="A806" s="5">
        <f>IF(B806=" "," ",HYPERLINK(CONCATENATE("#metadata!",ADDRESS(INDEX($AI$2:$AI$1001,MATCH(ROWS($AG$2:AG806),$AG$2:$AG$1001,0),0),1)),INDEX($AL$2:$AL$1001,MATCH(ROWS($AG$2:AG806),$AG$2:$AG$1001,0),0)))</f>
        <v>0</v>
      </c>
      <c r="B806" s="4">
        <f>IF(OR(INDEX($AH$2:$AH$1001,MATCH(ROWS($AG$2:AG806),$AG$2:$AG$1001,0),1)&gt;=100000,INDEX($AN$1005:$BO$1005,1,MATCH(COLUMNS($AN$1006:AN1006),$AN$1006:$BO$1006,0))&gt;=100000), " ",IF(INDEX($AN$2:$BO$1001,MATCH(ROWS($AG$2:AG806),$AG$2:$AG$1001,0),MATCH(COLUMNS($AN$1006:AN1006),$AN$1006:$BO$1006,0)), HYPERLINK("#",""), HYPERLINK(CONCATENATE("#Metadata!", ADDRESS(INDEX($AI$2:$AI$1001,MATCH(ROWS($AG$2:AG806),$AG$2:$AG$1001,0),0), INDEX($AN$1004:$BO$1004,1,MATCH(COLUMNS($AN$1006:AN1006),$AN$1006:$BO$1006,0)))),"Fix")))</f>
        <v>0</v>
      </c>
      <c r="C806" s="4">
        <f>IF(OR(INDEX($AH$2:$AH$1001,MATCH(ROWS($AG$2:AG806),$AG$2:$AG$1001,0),1)&gt;=100000,INDEX($AN$1005:$BO$1005,1,MATCH(COLUMNS($AN$1006:AO1006),$AN$1006:$BO$1006,0))&gt;=100000), " ",IF(INDEX($AN$2:$BO$1001,MATCH(ROWS($AG$2:AG806),$AG$2:$AG$1001,0),MATCH(COLUMNS($AN$1006:AO1006),$AN$1006:$BO$1006,0)), HYPERLINK("#",""), HYPERLINK(CONCATENATE("#Metadata!", ADDRESS(INDEX($AI$2:$AI$1001,MATCH(ROWS($AG$2:AG806),$AG$2:$AG$1001,0),0), INDEX($AN$1004:$BO$1004,1,MATCH(COLUMNS($AN$1006:AO1006),$AN$1006:$BO$1006,0)))),"Fix")))</f>
        <v>0</v>
      </c>
      <c r="D806" s="4">
        <f>IF(OR(INDEX($AH$2:$AH$1001,MATCH(ROWS($AG$2:AG806),$AG$2:$AG$1001,0),1)&gt;=100000,INDEX($AN$1005:$BO$1005,1,MATCH(COLUMNS($AN$1006:AP1006),$AN$1006:$BO$1006,0))&gt;=100000), " ",IF(INDEX($AN$2:$BO$1001,MATCH(ROWS($AG$2:AG806),$AG$2:$AG$1001,0),MATCH(COLUMNS($AN$1006:AP1006),$AN$1006:$BO$1006,0)), HYPERLINK("#",""), HYPERLINK(CONCATENATE("#Metadata!", ADDRESS(INDEX($AI$2:$AI$1001,MATCH(ROWS($AG$2:AG806),$AG$2:$AG$1001,0),0), INDEX($AN$1004:$BO$1004,1,MATCH(COLUMNS($AN$1006:AP1006),$AN$1006:$BO$1006,0)))),"Fix")))</f>
        <v>0</v>
      </c>
      <c r="E806" s="4">
        <f>IF(OR(INDEX($AH$2:$AH$1001,MATCH(ROWS($AG$2:AG806),$AG$2:$AG$1001,0),1)&gt;=100000,INDEX($AN$1005:$BO$1005,1,MATCH(COLUMNS($AN$1006:AQ1006),$AN$1006:$BO$1006,0))&gt;=100000), " ",IF(INDEX($AN$2:$BO$1001,MATCH(ROWS($AG$2:AG806),$AG$2:$AG$1001,0),MATCH(COLUMNS($AN$1006:AQ1006),$AN$1006:$BO$1006,0)), HYPERLINK("#",""), HYPERLINK(CONCATENATE("#Metadata!", ADDRESS(INDEX($AI$2:$AI$1001,MATCH(ROWS($AG$2:AG806),$AG$2:$AG$1001,0),0), INDEX($AN$1004:$BO$1004,1,MATCH(COLUMNS($AN$1006:AQ1006),$AN$1006:$BO$1006,0)))),"Fix")))</f>
        <v>0</v>
      </c>
      <c r="F806" s="4">
        <f>IF(OR(INDEX($AH$2:$AH$1001,MATCH(ROWS($AG$2:AG806),$AG$2:$AG$1001,0),1)&gt;=100000,INDEX($AN$1005:$BO$1005,1,MATCH(COLUMNS($AN$1006:AR1006),$AN$1006:$BO$1006,0))&gt;=100000), " ",IF(INDEX($AN$2:$BO$1001,MATCH(ROWS($AG$2:AG806),$AG$2:$AG$1001,0),MATCH(COLUMNS($AN$1006:AR1006),$AN$1006:$BO$1006,0)), HYPERLINK("#",""), HYPERLINK(CONCATENATE("#Metadata!", ADDRESS(INDEX($AI$2:$AI$1001,MATCH(ROWS($AG$2:AG806),$AG$2:$AG$1001,0),0), INDEX($AN$1004:$BO$1004,1,MATCH(COLUMNS($AN$1006:AR1006),$AN$1006:$BO$1006,0)))),"Fix")))</f>
        <v>0</v>
      </c>
      <c r="G806" s="4">
        <f>IF(OR(INDEX($AH$2:$AH$1001,MATCH(ROWS($AG$2:AG806),$AG$2:$AG$1001,0),1)&gt;=100000,INDEX($AN$1005:$BO$1005,1,MATCH(COLUMNS($AN$1006:AS1006),$AN$1006:$BO$1006,0))&gt;=100000), " ",IF(INDEX($AN$2:$BO$1001,MATCH(ROWS($AG$2:AG806),$AG$2:$AG$1001,0),MATCH(COLUMNS($AN$1006:AS1006),$AN$1006:$BO$1006,0)), HYPERLINK("#",""), HYPERLINK(CONCATENATE("#Metadata!", ADDRESS(INDEX($AI$2:$AI$1001,MATCH(ROWS($AG$2:AG806),$AG$2:$AG$1001,0),0), INDEX($AN$1004:$BO$1004,1,MATCH(COLUMNS($AN$1006:AS1006),$AN$1006:$BO$1006,0)))),"Fix")))</f>
        <v>0</v>
      </c>
      <c r="H806" s="4">
        <f>IF(OR(INDEX($AH$2:$AH$1001,MATCH(ROWS($AG$2:AG806),$AG$2:$AG$1001,0),1)&gt;=100000,INDEX($AN$1005:$BO$1005,1,MATCH(COLUMNS($AN$1006:AT1006),$AN$1006:$BO$1006,0))&gt;=100000), " ",IF(INDEX($AN$2:$BO$1001,MATCH(ROWS($AG$2:AG806),$AG$2:$AG$1001,0),MATCH(COLUMNS($AN$1006:AT1006),$AN$1006:$BO$1006,0)), HYPERLINK("#",""), HYPERLINK(CONCATENATE("#Metadata!", ADDRESS(INDEX($AI$2:$AI$1001,MATCH(ROWS($AG$2:AG806),$AG$2:$AG$1001,0),0), INDEX($AN$1004:$BO$1004,1,MATCH(COLUMNS($AN$1006:AT1006),$AN$1006:$BO$1006,0)))),"Fix")))</f>
        <v>0</v>
      </c>
      <c r="I806" s="4">
        <f>IF(OR(INDEX($AH$2:$AH$1001,MATCH(ROWS($AG$2:AG806),$AG$2:$AG$1001,0),1)&gt;=100000,INDEX($AN$1005:$BO$1005,1,MATCH(COLUMNS($AN$1006:AU1006),$AN$1006:$BO$1006,0))&gt;=100000), " ",IF(INDEX($AN$2:$BO$1001,MATCH(ROWS($AG$2:AG806),$AG$2:$AG$1001,0),MATCH(COLUMNS($AN$1006:AU1006),$AN$1006:$BO$1006,0)), HYPERLINK("#",""), HYPERLINK(CONCATENATE("#Metadata!", ADDRESS(INDEX($AI$2:$AI$1001,MATCH(ROWS($AG$2:AG806),$AG$2:$AG$1001,0),0), INDEX($AN$1004:$BO$1004,1,MATCH(COLUMNS($AN$1006:AU1006),$AN$1006:$BO$1006,0)))),"Fix")))</f>
        <v>0</v>
      </c>
      <c r="J806" s="4">
        <f>IF(OR(INDEX($AH$2:$AH$1001,MATCH(ROWS($AG$2:AG806),$AG$2:$AG$1001,0),1)&gt;=100000,INDEX($AN$1005:$BO$1005,1,MATCH(COLUMNS($AN$1006:AV1006),$AN$1006:$BO$1006,0))&gt;=100000), " ",IF(INDEX($AN$2:$BO$1001,MATCH(ROWS($AG$2:AG806),$AG$2:$AG$1001,0),MATCH(COLUMNS($AN$1006:AV1006),$AN$1006:$BO$1006,0)), HYPERLINK("#",""), HYPERLINK(CONCATENATE("#Metadata!", ADDRESS(INDEX($AI$2:$AI$1001,MATCH(ROWS($AG$2:AG806),$AG$2:$AG$1001,0),0), INDEX($AN$1004:$BO$1004,1,MATCH(COLUMNS($AN$1006:AV1006),$AN$1006:$BO$1006,0)))),"Fix")))</f>
        <v>0</v>
      </c>
      <c r="K806" s="4">
        <f>IF(OR(INDEX($AH$2:$AH$1001,MATCH(ROWS($AG$2:AG806),$AG$2:$AG$1001,0),1)&gt;=100000,INDEX($AN$1005:$BO$1005,1,MATCH(COLUMNS($AN$1006:AW1006),$AN$1006:$BO$1006,0))&gt;=100000), " ",IF(INDEX($AN$2:$BO$1001,MATCH(ROWS($AG$2:AG806),$AG$2:$AG$1001,0),MATCH(COLUMNS($AN$1006:AW1006),$AN$1006:$BO$1006,0)), HYPERLINK("#",""), HYPERLINK(CONCATENATE("#Metadata!", ADDRESS(INDEX($AI$2:$AI$1001,MATCH(ROWS($AG$2:AG806),$AG$2:$AG$1001,0),0), INDEX($AN$1004:$BO$1004,1,MATCH(COLUMNS($AN$1006:AW1006),$AN$1006:$BO$1006,0)))),"Fix")))</f>
        <v>0</v>
      </c>
      <c r="L806" s="4">
        <f>IF(OR(INDEX($AH$2:$AH$1001,MATCH(ROWS($AG$2:AG806),$AG$2:$AG$1001,0),1)&gt;=100000,INDEX($AN$1005:$BO$1005,1,MATCH(COLUMNS($AN$1006:AX1006),$AN$1006:$BO$1006,0))&gt;=100000), " ",IF(INDEX($AN$2:$BO$1001,MATCH(ROWS($AG$2:AG806),$AG$2:$AG$1001,0),MATCH(COLUMNS($AN$1006:AX1006),$AN$1006:$BO$1006,0)), HYPERLINK("#",""), HYPERLINK(CONCATENATE("#Metadata!", ADDRESS(INDEX($AI$2:$AI$1001,MATCH(ROWS($AG$2:AG806),$AG$2:$AG$1001,0),0), INDEX($AN$1004:$BO$1004,1,MATCH(COLUMNS($AN$1006:AX1006),$AN$1006:$BO$1006,0)))),"Fix")))</f>
        <v>0</v>
      </c>
      <c r="M806" s="4">
        <f>IF(OR(INDEX($AH$2:$AH$1001,MATCH(ROWS($AG$2:AG806),$AG$2:$AG$1001,0),1)&gt;=100000,INDEX($AN$1005:$BO$1005,1,MATCH(COLUMNS($AN$1006:AY1006),$AN$1006:$BO$1006,0))&gt;=100000), " ",IF(INDEX($AN$2:$BO$1001,MATCH(ROWS($AG$2:AG806),$AG$2:$AG$1001,0),MATCH(COLUMNS($AN$1006:AY1006),$AN$1006:$BO$1006,0)), HYPERLINK("#",""), HYPERLINK(CONCATENATE("#Metadata!", ADDRESS(INDEX($AI$2:$AI$1001,MATCH(ROWS($AG$2:AG806),$AG$2:$AG$1001,0),0), INDEX($AN$1004:$BO$1004,1,MATCH(COLUMNS($AN$1006:AY1006),$AN$1006:$BO$1006,0)))),"Fix")))</f>
        <v>0</v>
      </c>
      <c r="N806" s="4">
        <f>IF(OR(INDEX($AH$2:$AH$1001,MATCH(ROWS($AG$2:AG806),$AG$2:$AG$1001,0),1)&gt;=100000,INDEX($AN$1005:$BO$1005,1,MATCH(COLUMNS($AN$1006:AZ1006),$AN$1006:$BO$1006,0))&gt;=100000), " ",IF(INDEX($AN$2:$BO$1001,MATCH(ROWS($AG$2:AG806),$AG$2:$AG$1001,0),MATCH(COLUMNS($AN$1006:AZ1006),$AN$1006:$BO$1006,0)), HYPERLINK("#",""), HYPERLINK(CONCATENATE("#Metadata!", ADDRESS(INDEX($AI$2:$AI$1001,MATCH(ROWS($AG$2:AG806),$AG$2:$AG$1001,0),0), INDEX($AN$1004:$BO$1004,1,MATCH(COLUMNS($AN$1006:AZ1006),$AN$1006:$BO$1006,0)))),"Fix")))</f>
        <v>0</v>
      </c>
      <c r="O806" s="4">
        <f>IF(OR(INDEX($AH$2:$AH$1001,MATCH(ROWS($AG$2:AG806),$AG$2:$AG$1001,0),1)&gt;=100000,INDEX($AN$1005:$BO$1005,1,MATCH(COLUMNS($AN$1006:BA1006),$AN$1006:$BO$1006,0))&gt;=100000), " ",IF(INDEX($AN$2:$BO$1001,MATCH(ROWS($AG$2:AG806),$AG$2:$AG$1001,0),MATCH(COLUMNS($AN$1006:BA1006),$AN$1006:$BO$1006,0)), HYPERLINK("#",""), HYPERLINK(CONCATENATE("#Metadata!", ADDRESS(INDEX($AI$2:$AI$1001,MATCH(ROWS($AG$2:AG806),$AG$2:$AG$1001,0),0), INDEX($AN$1004:$BO$1004,1,MATCH(COLUMNS($AN$1006:BA1006),$AN$1006:$BO$1006,0)))),"Fix")))</f>
        <v>0</v>
      </c>
      <c r="P806" s="4">
        <f>IF(OR(INDEX($AH$2:$AH$1001,MATCH(ROWS($AG$2:AG806),$AG$2:$AG$1001,0),1)&gt;=100000,INDEX($AN$1005:$BO$1005,1,MATCH(COLUMNS($AN$1006:BB1006),$AN$1006:$BO$1006,0))&gt;=100000), " ",IF(INDEX($AN$2:$BO$1001,MATCH(ROWS($AG$2:AG806),$AG$2:$AG$1001,0),MATCH(COLUMNS($AN$1006:BB1006),$AN$1006:$BO$1006,0)), HYPERLINK("#",""), HYPERLINK(CONCATENATE("#Metadata!", ADDRESS(INDEX($AI$2:$AI$1001,MATCH(ROWS($AG$2:AG806),$AG$2:$AG$1001,0),0), INDEX($AN$1004:$BO$1004,1,MATCH(COLUMNS($AN$1006:BB1006),$AN$1006:$BO$1006,0)))),"Fix")))</f>
        <v>0</v>
      </c>
      <c r="Q806" s="4">
        <f>IF(OR(INDEX($AH$2:$AH$1001,MATCH(ROWS($AG$2:AG806),$AG$2:$AG$1001,0),1)&gt;=100000,INDEX($AN$1005:$BO$1005,1,MATCH(COLUMNS($AN$1006:BC1006),$AN$1006:$BO$1006,0))&gt;=100000), " ",IF(INDEX($AN$2:$BO$1001,MATCH(ROWS($AG$2:AG806),$AG$2:$AG$1001,0),MATCH(COLUMNS($AN$1006:BC1006),$AN$1006:$BO$1006,0)), HYPERLINK("#",""), HYPERLINK(CONCATENATE("#Metadata!", ADDRESS(INDEX($AI$2:$AI$1001,MATCH(ROWS($AG$2:AG806),$AG$2:$AG$1001,0),0), INDEX($AN$1004:$BO$1004,1,MATCH(COLUMNS($AN$1006:BC1006),$AN$1006:$BO$1006,0)))),"Fix")))</f>
        <v>0</v>
      </c>
      <c r="R806" s="4">
        <f>IF(OR(INDEX($AH$2:$AH$1001,MATCH(ROWS($AG$2:AG806),$AG$2:$AG$1001,0),1)&gt;=100000,INDEX($AN$1005:$BO$1005,1,MATCH(COLUMNS($AN$1006:BD1006),$AN$1006:$BO$1006,0))&gt;=100000), " ",IF(INDEX($AN$2:$BO$1001,MATCH(ROWS($AG$2:AG806),$AG$2:$AG$1001,0),MATCH(COLUMNS($AN$1006:BD1006),$AN$1006:$BO$1006,0)), HYPERLINK("#",""), HYPERLINK(CONCATENATE("#Metadata!", ADDRESS(INDEX($AI$2:$AI$1001,MATCH(ROWS($AG$2:AG806),$AG$2:$AG$1001,0),0), INDEX($AN$1004:$BO$1004,1,MATCH(COLUMNS($AN$1006:BD1006),$AN$1006:$BO$1006,0)))),"Fix")))</f>
        <v>0</v>
      </c>
      <c r="S806" s="4">
        <f>IF(OR(INDEX($AH$2:$AH$1001,MATCH(ROWS($AG$2:AG806),$AG$2:$AG$1001,0),1)&gt;=100000,INDEX($AN$1005:$BO$1005,1,MATCH(COLUMNS($AN$1006:BE1006),$AN$1006:$BO$1006,0))&gt;=100000), " ",IF(INDEX($AN$2:$BO$1001,MATCH(ROWS($AG$2:AG806),$AG$2:$AG$1001,0),MATCH(COLUMNS($AN$1006:BE1006),$AN$1006:$BO$1006,0)), HYPERLINK("#",""), HYPERLINK(CONCATENATE("#Metadata!", ADDRESS(INDEX($AI$2:$AI$1001,MATCH(ROWS($AG$2:AG806),$AG$2:$AG$1001,0),0), INDEX($AN$1004:$BO$1004,1,MATCH(COLUMNS($AN$1006:BE1006),$AN$1006:$BO$1006,0)))),"Fix")))</f>
        <v>0</v>
      </c>
      <c r="T806" s="4">
        <f>IF(OR(INDEX($AH$2:$AH$1001,MATCH(ROWS($AG$2:AG806),$AG$2:$AG$1001,0),1)&gt;=100000,INDEX($AN$1005:$BO$1005,1,MATCH(COLUMNS($AN$1006:BF1006),$AN$1006:$BO$1006,0))&gt;=100000), " ",IF(INDEX($AN$2:$BO$1001,MATCH(ROWS($AG$2:AG806),$AG$2:$AG$1001,0),MATCH(COLUMNS($AN$1006:BF1006),$AN$1006:$BO$1006,0)), HYPERLINK("#",""), HYPERLINK(CONCATENATE("#Metadata!", ADDRESS(INDEX($AI$2:$AI$1001,MATCH(ROWS($AG$2:AG806),$AG$2:$AG$1001,0),0), INDEX($AN$1004:$BO$1004,1,MATCH(COLUMNS($AN$1006:BF1006),$AN$1006:$BO$1006,0)))),"Fix")))</f>
        <v>0</v>
      </c>
      <c r="U806" s="4">
        <f>IF(OR(INDEX($AH$2:$AH$1001,MATCH(ROWS($AG$2:AG806),$AG$2:$AG$1001,0),1)&gt;=100000,INDEX($AN$1005:$BO$1005,1,MATCH(COLUMNS($AN$1006:BG1006),$AN$1006:$BO$1006,0))&gt;=100000), " ",IF(INDEX($AN$2:$BO$1001,MATCH(ROWS($AG$2:AG806),$AG$2:$AG$1001,0),MATCH(COLUMNS($AN$1006:BG1006),$AN$1006:$BO$1006,0)), HYPERLINK("#",""), HYPERLINK(CONCATENATE("#Metadata!", ADDRESS(INDEX($AI$2:$AI$1001,MATCH(ROWS($AG$2:AG806),$AG$2:$AG$1001,0),0), INDEX($AN$1004:$BO$1004,1,MATCH(COLUMNS($AN$1006:BG1006),$AN$1006:$BO$1006,0)))),"Fix")))</f>
        <v>0</v>
      </c>
      <c r="V806" s="4">
        <f>IF(OR(INDEX($AH$2:$AH$1001,MATCH(ROWS($AG$2:AG806),$AG$2:$AG$1001,0),1)&gt;=100000,INDEX($AN$1005:$BO$1005,1,MATCH(COLUMNS($AN$1006:BH1006),$AN$1006:$BO$1006,0))&gt;=100000), " ",IF(INDEX($AN$2:$BO$1001,MATCH(ROWS($AG$2:AG806),$AG$2:$AG$1001,0),MATCH(COLUMNS($AN$1006:BH1006),$AN$1006:$BO$1006,0)), HYPERLINK("#",""), HYPERLINK(CONCATENATE("#Metadata!", ADDRESS(INDEX($AI$2:$AI$1001,MATCH(ROWS($AG$2:AG806),$AG$2:$AG$1001,0),0), INDEX($AN$1004:$BO$1004,1,MATCH(COLUMNS($AN$1006:BH1006),$AN$1006:$BO$1006,0)))),"Fix")))</f>
        <v>0</v>
      </c>
      <c r="W806" s="4">
        <f>IF(OR(INDEX($AH$2:$AH$1001,MATCH(ROWS($AG$2:AG806),$AG$2:$AG$1001,0),1)&gt;=100000,INDEX($AN$1005:$BO$1005,1,MATCH(COLUMNS($AN$1006:BI1006),$AN$1006:$BO$1006,0))&gt;=100000), " ",IF(INDEX($AN$2:$BO$1001,MATCH(ROWS($AG$2:AG806),$AG$2:$AG$1001,0),MATCH(COLUMNS($AN$1006:BI1006),$AN$1006:$BO$1006,0)), HYPERLINK("#",""), HYPERLINK(CONCATENATE("#Metadata!", ADDRESS(INDEX($AI$2:$AI$1001,MATCH(ROWS($AG$2:AG806),$AG$2:$AG$1001,0),0), INDEX($AN$1004:$BO$1004,1,MATCH(COLUMNS($AN$1006:BI1006),$AN$1006:$BO$1006,0)))),"Fix")))</f>
        <v>0</v>
      </c>
      <c r="X806" s="4">
        <f>IF(OR(INDEX($AH$2:$AH$1001,MATCH(ROWS($AG$2:AG806),$AG$2:$AG$1001,0),1)&gt;=100000,INDEX($AN$1005:$BO$1005,1,MATCH(COLUMNS($AN$1006:BJ1006),$AN$1006:$BO$1006,0))&gt;=100000), " ",IF(INDEX($AN$2:$BO$1001,MATCH(ROWS($AG$2:AG806),$AG$2:$AG$1001,0),MATCH(COLUMNS($AN$1006:BJ1006),$AN$1006:$BO$1006,0)), HYPERLINK("#",""), HYPERLINK(CONCATENATE("#Metadata!", ADDRESS(INDEX($AI$2:$AI$1001,MATCH(ROWS($AG$2:AG806),$AG$2:$AG$1001,0),0), INDEX($AN$1004:$BO$1004,1,MATCH(COLUMNS($AN$1006:BJ1006),$AN$1006:$BO$1006,0)))),"Fix")))</f>
        <v>0</v>
      </c>
      <c r="Y806" s="4">
        <f>IF(OR(INDEX($AH$2:$AH$1001,MATCH(ROWS($AG$2:AG806),$AG$2:$AG$1001,0),1)&gt;=100000,INDEX($AN$1005:$BO$1005,1,MATCH(COLUMNS($AN$1006:BK1006),$AN$1006:$BO$1006,0))&gt;=100000), " ",IF(INDEX($AN$2:$BO$1001,MATCH(ROWS($AG$2:AG806),$AG$2:$AG$1001,0),MATCH(COLUMNS($AN$1006:BK1006),$AN$1006:$BO$1006,0)), HYPERLINK("#",""), HYPERLINK(CONCATENATE("#Metadata!", ADDRESS(INDEX($AI$2:$AI$1001,MATCH(ROWS($AG$2:AG806),$AG$2:$AG$1001,0),0), INDEX($AN$1004:$BO$1004,1,MATCH(COLUMNS($AN$1006:BK1006),$AN$1006:$BO$1006,0)))),"Fix")))</f>
        <v>0</v>
      </c>
      <c r="Z806" s="4">
        <f>IF(OR(INDEX($AH$2:$AH$1001,MATCH(ROWS($AG$2:AG806),$AG$2:$AG$1001,0),1)&gt;=100000,INDEX($AN$1005:$BO$1005,1,MATCH(COLUMNS($AN$1006:BL1006),$AN$1006:$BO$1006,0))&gt;=100000), " ",IF(INDEX($AN$2:$BO$1001,MATCH(ROWS($AG$2:AG806),$AG$2:$AG$1001,0),MATCH(COLUMNS($AN$1006:BL1006),$AN$1006:$BO$1006,0)), HYPERLINK("#",""), HYPERLINK(CONCATENATE("#Metadata!", ADDRESS(INDEX($AI$2:$AI$1001,MATCH(ROWS($AG$2:AG806),$AG$2:$AG$1001,0),0), INDEX($AN$1004:$BO$1004,1,MATCH(COLUMNS($AN$1006:BL1006),$AN$1006:$BO$1006,0)))),"Fix")))</f>
        <v>0</v>
      </c>
      <c r="AA806" s="4">
        <f>IF(OR(INDEX($AH$2:$AH$1001,MATCH(ROWS($AG$2:AG806),$AG$2:$AG$1001,0),1)&gt;=100000,INDEX($AN$1005:$BO$1005,1,MATCH(COLUMNS($AN$1006:BM1006),$AN$1006:$BO$1006,0))&gt;=100000), " ",IF(INDEX($AN$2:$BO$1001,MATCH(ROWS($AG$2:AG806),$AG$2:$AG$1001,0),MATCH(COLUMNS($AN$1006:BM1006),$AN$1006:$BO$1006,0)), HYPERLINK("#",""), HYPERLINK(CONCATENATE("#Metadata!", ADDRESS(INDEX($AI$2:$AI$1001,MATCH(ROWS($AG$2:AG806),$AG$2:$AG$1001,0),0), INDEX($AN$1004:$BO$1004,1,MATCH(COLUMNS($AN$1006:BM1006),$AN$1006:$BO$1006,0)))),"Fix")))</f>
        <v>0</v>
      </c>
      <c r="AB806" s="4">
        <f>IF(OR(INDEX($AH$2:$AH$1001,MATCH(ROWS($AG$2:AG806),$AG$2:$AG$1001,0),1)&gt;=100000,INDEX($AN$1005:$BO$1005,1,MATCH(COLUMNS($AN$1006:BN1006),$AN$1006:$BO$1006,0))&gt;=100000), " ",IF(INDEX($AN$2:$BO$1001,MATCH(ROWS($AG$2:AG806),$AG$2:$AG$1001,0),MATCH(COLUMNS($AN$1006:BN1006),$AN$1006:$BO$1006,0)), HYPERLINK("#",""), HYPERLINK(CONCATENATE("#Metadata!", ADDRESS(INDEX($AI$2:$AI$1001,MATCH(ROWS($AG$2:AG806),$AG$2:$AG$1001,0),0), INDEX($AN$1004:$BO$1004,1,MATCH(COLUMNS($AN$1006:BN1006),$AN$1006:$BO$1006,0)))),"Fix")))</f>
        <v>0</v>
      </c>
      <c r="AC806" s="4">
        <f>IF(OR(INDEX($AH$2:$AH$1001,MATCH(ROWS($AG$2:AG806),$AG$2:$AG$1001,0),1)&gt;=100000,INDEX($AN$1005:$BO$1005,1,MATCH(COLUMNS($AN$1006:BO1006),$AN$1006:$BO$1006,0))&gt;=100000), " ",IF(INDEX($AN$2:$BO$1001,MATCH(ROWS($AG$2:AG806),$AG$2:$AG$1001,0),MATCH(COLUMNS($AN$1006:BO1006),$AN$1006:$BO$1006,0)), HYPERLINK("#",""), HYPERLINK(CONCATENATE("#Metadata!", ADDRESS(INDEX($AI$2:$AI$1001,MATCH(ROWS($AG$2:AG806),$AG$2:$AG$1001,0),0), INDEX($AN$1004:$BO$1004,1,MATCH(COLUMNS($AN$1006:BO1006),$AN$1006:$BO$1006,0)))),"Fix")))</f>
        <v>0</v>
      </c>
      <c r="AG806">
        <v>0</v>
      </c>
      <c r="AH806">
        <v>0</v>
      </c>
      <c r="AI806">
        <v>0</v>
      </c>
      <c r="AJ806">
        <f>IF(AK806,TRUE,AND(AN806:BO806))</f>
        <v>0</v>
      </c>
      <c r="AK806">
        <f>COUNTBLANK(Metadata!B806:AC806)=COLUMNS(Metadata!B806:AC806)</f>
        <v>0</v>
      </c>
      <c r="AL806">
        <v>0</v>
      </c>
      <c r="AN806">
        <f>AND(IF(Metadata!B806="",FALSE,TRUE),COUNTIF(Metadata!B:B, Metadata!B806) = 1,NOT(ISERROR(SUMPRODUCT(SEARCH(MID(Metadata!B806,ROW(INDIRECT("1:"&amp;LEN(Metadata!B806))), 1),"0123456789abcdefghijklmnopqrstuvwxyzABCDEFGHIJKLMNOPQRSTUVWXYZ.")))))</f>
        <v>0</v>
      </c>
      <c r="AO806">
        <f>IF(Metadata!C806="",FALSE,TRUE)</f>
        <v>0</v>
      </c>
      <c r="AP806">
        <f>IF(Metadata!D806="",FALSE,TRUE)</f>
        <v>0</v>
      </c>
      <c r="AQ806">
        <f>OR(AND(IF(Metadata!E806="",FALSE,TRUE),OR(exact(Metadata!E806,"not collected"),exact(Metadata!E806,"not provided"),exact(Metadata!E806,"restricted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R806">
        <f>IF(Metadata!F806="",FALSE,TRUE)</f>
        <v>0</v>
      </c>
      <c r="AS806">
        <f>OR(AND(IF(Metadata!G806="",FALSE,TRUE),OR(exact(Metadata!G806,"not collected"),exact(Metadata!G806,"not provided"))),AND(IF(Metadata!G806="",FALSE,TRUE),OR(exact(Metadata!G806,"TRUE"),exact(Metadata!G806,"FALSE"))))</f>
        <v>0</v>
      </c>
      <c r="AT806">
        <f>OR(AND(IF(Metadata!H806="",FALSE,TRUE),OR(exact(Metadata!H806,"not collected"),exact(Metadata!H806,"not provided"),exact(Metadata!H806,"restricted access"))),AND(IF(Metadata!H806="",FALSE,ISNUMBER(VALUE(Metadata!H806))),Metadata!H806&gt;=-413.0))</f>
        <v>0</v>
      </c>
      <c r="AU806">
        <f>AND(IF(Metadata!I806="",FALSE,TRUE),exact(Metadata!I806,"meters"))</f>
        <v>0</v>
      </c>
      <c r="AV806">
        <f>AND(IF(Metadata!J806="",FALSE,TRUE),OR(exact(Metadata!J806,"Host-associated"),exact(Metadata!J806,"Free-living")))</f>
        <v>0</v>
      </c>
      <c r="AW806">
        <f>AND(IF(Metadata!K806="",FALSE,TRUE),OR(exact(Metadata!K806,"Animal"),exact(Metadata!K806,"Fungus"),exact(Metadata!K806,"Plant"),exact(Metadata!K806,"Saline"),exact(Metadata!K806,"Non-saline")))</f>
        <v>0</v>
      </c>
      <c r="AX806">
        <f>AND(IF(Metadata!L806="",FALSE,TRUE),OR(exact(Metadata!L806,"Plant secretion"),exact(Metadata!L806,"Plant rhizosphere"),exact(Metadata!L806,"Plant surface"),exact(Metadata!L806,"Plant corpus"),exact(Metadata!L806,"Fungus surface"),exact(Metadata!L806,"Fungus corpus"),exact(Metadata!L806,"Animal surface"),exact(Metadata!L806,"Animal proximal gut"),exact(Metadata!L806,"Animal corpus"),exact(Metadata!L806,"Animal distal gut"),exact(Metadata!L806,"Animal secretion"),exact(Metadata!L806,"Sub-surface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Y806">
        <f>IF(Metadata!M806="",FALSE,TRUE)</f>
        <v>0</v>
      </c>
      <c r="AZ806">
        <f>IF(Metadata!N806="",FALSE,TRUE)</f>
        <v>0</v>
      </c>
      <c r="BA806">
        <f>IF(Metadata!O806="",FALSE,TRUE)</f>
        <v>0</v>
      </c>
      <c r="BB806">
        <f>OR(AND(IF(Metadata!P806="",FALSE,TRUE),OR(exact(Metadata!P806,"not collected"),exact(Metadata!P806,"not provided"),exact(Metadata!P806,"restricted access"))),AND(IF(Metadata!P806="",FALSE,TRUE),OR(exact(Metadata!P806,"air"),exact(Metadata!P806,"built environment"),exact(Metadata!P806,"host-associated"),exact(Metadata!P806,"human-associated"),exact(Metadata!P806,"human-skin"),exact(Metadata!P806,"human-oral"),exact(Metadata!P806,"human-gut"),exact(Metadata!P806,"human-vaginal"),exact(Metadata!P806,"microbial mat/biofilm"),exact(Metadata!P806,"misc environment"),exact(Metadata!P806,"plant-associated"),exact(Metadata!P806,"sediment"),exact(Metadata!P806,"soil"),exact(Metadata!P806,"wastewater/sludge"),exact(Metadata!P806,"water"))))</f>
        <v>0</v>
      </c>
      <c r="BC806">
        <f>IF(Metadata!Q806="",FALSE,TRUE)</f>
        <v>0</v>
      </c>
      <c r="BD806">
        <f>IF(Metadata!R806="",FALSE,TRUE)</f>
        <v>0</v>
      </c>
      <c r="BE806">
        <f>OR(AND(IF(Metadata!S806="",FALSE,TRUE),OR(exact(Metadata!S806,"not collected"),exact(Metadata!S806,"not provided"),exact(Metadata!S806,"restricted access"))),AND(IF(Metadata!S806="",FALSE,ISNUMBER(VALUE(Metadata!S806))),Metadata!S806&gt;=-90.00,Metadata!S806&lt;=90.00))</f>
        <v>0</v>
      </c>
      <c r="BF806">
        <f>AND(IF(Metadata!T806="",FALSE,TRUE),exact(Metadata!T806,"Decimal degrees"))</f>
        <v>0</v>
      </c>
      <c r="BG806">
        <f>OR(AND(IF(Metadata!U806="",FALSE,TRUE),OR(exact(Metadata!U806,"not collected"),exact(Metadata!U806,"not provided"),exact(Metadata!U806,"restricted access"))),AND(IF(Metadata!U806="",FALSE,ISNUMBER(VALUE(Metadata!U806))),Metadata!U806&gt;=-180.00,Metadata!U806&lt;=180.00))</f>
        <v>0</v>
      </c>
      <c r="BH806">
        <f>AND(IF(Metadata!V806="",FALSE,TRUE),exact(Metadata!V806,"Decimal degrees"))</f>
        <v>0</v>
      </c>
      <c r="BI806">
        <f>IF(Metadata!W806="",FALSE,TRUE)</f>
        <v>0</v>
      </c>
      <c r="BJ806">
        <f>OR(AND(IF(Metadata!X806="",FALSE,TRUE),OR(exact(Metadata!X806,"not collected"),exact(Metadata!X806,"not provided"),exact(Metadata!X806,"restricted access"))),AND(IF(Metadata!X806="",FALSE,TRUE),OR(exact(Metadata!X806,"TRUE"),exact(Metadata!X806,"FALSE"))))</f>
        <v>0</v>
      </c>
      <c r="BK806">
        <f>AND(IF(Metadata!Y806="",FALSE,TRUE),exact(Metadata!Y806,"other"))</f>
        <v>0</v>
      </c>
      <c r="BL806">
        <f>IF(Metadata!Z806="",FALSE,TRUE)</f>
        <v>0</v>
      </c>
      <c r="BM806">
        <f>OR(AND(IF(Metadata!AA806="",FALSE,TRUE),OR(exact(Metadata!AA806,"not collected"),exact(Metadata!AA806,"not provided"))),AND(IF(Metadata!AA806="",FALSE,IF(ISERROR(INT(Metadata!AA806)),FALSE,INT(Metadata!AA806)=Metadata!AA806)),Metadata!AA806&gt;0))</f>
        <v>0</v>
      </c>
      <c r="BN806">
        <f>AND(IF(Metadata!AB806="",FALSE,TRUE),exact(Metadata!AB806,"Not applicable"))</f>
        <v>0</v>
      </c>
      <c r="BO806">
        <f>IF(Metadata!AC806="",FALSE,TRUE)</f>
        <v>0</v>
      </c>
    </row>
    <row r="807" spans="1:67">
      <c r="A807" s="5">
        <f>IF(B807=" "," ",HYPERLINK(CONCATENATE("#metadata!",ADDRESS(INDEX($AI$2:$AI$1001,MATCH(ROWS($AG$2:AG807),$AG$2:$AG$1001,0),0),1)),INDEX($AL$2:$AL$1001,MATCH(ROWS($AG$2:AG807),$AG$2:$AG$1001,0),0)))</f>
        <v>0</v>
      </c>
      <c r="B807" s="4">
        <f>IF(OR(INDEX($AH$2:$AH$1001,MATCH(ROWS($AG$2:AG807),$AG$2:$AG$1001,0),1)&gt;=100000,INDEX($AN$1005:$BO$1005,1,MATCH(COLUMNS($AN$1006:AN1006),$AN$1006:$BO$1006,0))&gt;=100000), " ",IF(INDEX($AN$2:$BO$1001,MATCH(ROWS($AG$2:AG807),$AG$2:$AG$1001,0),MATCH(COLUMNS($AN$1006:AN1006),$AN$1006:$BO$1006,0)), HYPERLINK("#",""), HYPERLINK(CONCATENATE("#Metadata!", ADDRESS(INDEX($AI$2:$AI$1001,MATCH(ROWS($AG$2:AG807),$AG$2:$AG$1001,0),0), INDEX($AN$1004:$BO$1004,1,MATCH(COLUMNS($AN$1006:AN1006),$AN$1006:$BO$1006,0)))),"Fix")))</f>
        <v>0</v>
      </c>
      <c r="C807" s="4">
        <f>IF(OR(INDEX($AH$2:$AH$1001,MATCH(ROWS($AG$2:AG807),$AG$2:$AG$1001,0),1)&gt;=100000,INDEX($AN$1005:$BO$1005,1,MATCH(COLUMNS($AN$1006:AO1006),$AN$1006:$BO$1006,0))&gt;=100000), " ",IF(INDEX($AN$2:$BO$1001,MATCH(ROWS($AG$2:AG807),$AG$2:$AG$1001,0),MATCH(COLUMNS($AN$1006:AO1006),$AN$1006:$BO$1006,0)), HYPERLINK("#",""), HYPERLINK(CONCATENATE("#Metadata!", ADDRESS(INDEX($AI$2:$AI$1001,MATCH(ROWS($AG$2:AG807),$AG$2:$AG$1001,0),0), INDEX($AN$1004:$BO$1004,1,MATCH(COLUMNS($AN$1006:AO1006),$AN$1006:$BO$1006,0)))),"Fix")))</f>
        <v>0</v>
      </c>
      <c r="D807" s="4">
        <f>IF(OR(INDEX($AH$2:$AH$1001,MATCH(ROWS($AG$2:AG807),$AG$2:$AG$1001,0),1)&gt;=100000,INDEX($AN$1005:$BO$1005,1,MATCH(COLUMNS($AN$1006:AP1006),$AN$1006:$BO$1006,0))&gt;=100000), " ",IF(INDEX($AN$2:$BO$1001,MATCH(ROWS($AG$2:AG807),$AG$2:$AG$1001,0),MATCH(COLUMNS($AN$1006:AP1006),$AN$1006:$BO$1006,0)), HYPERLINK("#",""), HYPERLINK(CONCATENATE("#Metadata!", ADDRESS(INDEX($AI$2:$AI$1001,MATCH(ROWS($AG$2:AG807),$AG$2:$AG$1001,0),0), INDEX($AN$1004:$BO$1004,1,MATCH(COLUMNS($AN$1006:AP1006),$AN$1006:$BO$1006,0)))),"Fix")))</f>
        <v>0</v>
      </c>
      <c r="E807" s="4">
        <f>IF(OR(INDEX($AH$2:$AH$1001,MATCH(ROWS($AG$2:AG807),$AG$2:$AG$1001,0),1)&gt;=100000,INDEX($AN$1005:$BO$1005,1,MATCH(COLUMNS($AN$1006:AQ1006),$AN$1006:$BO$1006,0))&gt;=100000), " ",IF(INDEX($AN$2:$BO$1001,MATCH(ROWS($AG$2:AG807),$AG$2:$AG$1001,0),MATCH(COLUMNS($AN$1006:AQ1006),$AN$1006:$BO$1006,0)), HYPERLINK("#",""), HYPERLINK(CONCATENATE("#Metadata!", ADDRESS(INDEX($AI$2:$AI$1001,MATCH(ROWS($AG$2:AG807),$AG$2:$AG$1001,0),0), INDEX($AN$1004:$BO$1004,1,MATCH(COLUMNS($AN$1006:AQ1006),$AN$1006:$BO$1006,0)))),"Fix")))</f>
        <v>0</v>
      </c>
      <c r="F807" s="4">
        <f>IF(OR(INDEX($AH$2:$AH$1001,MATCH(ROWS($AG$2:AG807),$AG$2:$AG$1001,0),1)&gt;=100000,INDEX($AN$1005:$BO$1005,1,MATCH(COLUMNS($AN$1006:AR1006),$AN$1006:$BO$1006,0))&gt;=100000), " ",IF(INDEX($AN$2:$BO$1001,MATCH(ROWS($AG$2:AG807),$AG$2:$AG$1001,0),MATCH(COLUMNS($AN$1006:AR1006),$AN$1006:$BO$1006,0)), HYPERLINK("#",""), HYPERLINK(CONCATENATE("#Metadata!", ADDRESS(INDEX($AI$2:$AI$1001,MATCH(ROWS($AG$2:AG807),$AG$2:$AG$1001,0),0), INDEX($AN$1004:$BO$1004,1,MATCH(COLUMNS($AN$1006:AR1006),$AN$1006:$BO$1006,0)))),"Fix")))</f>
        <v>0</v>
      </c>
      <c r="G807" s="4">
        <f>IF(OR(INDEX($AH$2:$AH$1001,MATCH(ROWS($AG$2:AG807),$AG$2:$AG$1001,0),1)&gt;=100000,INDEX($AN$1005:$BO$1005,1,MATCH(COLUMNS($AN$1006:AS1006),$AN$1006:$BO$1006,0))&gt;=100000), " ",IF(INDEX($AN$2:$BO$1001,MATCH(ROWS($AG$2:AG807),$AG$2:$AG$1001,0),MATCH(COLUMNS($AN$1006:AS1006),$AN$1006:$BO$1006,0)), HYPERLINK("#",""), HYPERLINK(CONCATENATE("#Metadata!", ADDRESS(INDEX($AI$2:$AI$1001,MATCH(ROWS($AG$2:AG807),$AG$2:$AG$1001,0),0), INDEX($AN$1004:$BO$1004,1,MATCH(COLUMNS($AN$1006:AS1006),$AN$1006:$BO$1006,0)))),"Fix")))</f>
        <v>0</v>
      </c>
      <c r="H807" s="4">
        <f>IF(OR(INDEX($AH$2:$AH$1001,MATCH(ROWS($AG$2:AG807),$AG$2:$AG$1001,0),1)&gt;=100000,INDEX($AN$1005:$BO$1005,1,MATCH(COLUMNS($AN$1006:AT1006),$AN$1006:$BO$1006,0))&gt;=100000), " ",IF(INDEX($AN$2:$BO$1001,MATCH(ROWS($AG$2:AG807),$AG$2:$AG$1001,0),MATCH(COLUMNS($AN$1006:AT1006),$AN$1006:$BO$1006,0)), HYPERLINK("#",""), HYPERLINK(CONCATENATE("#Metadata!", ADDRESS(INDEX($AI$2:$AI$1001,MATCH(ROWS($AG$2:AG807),$AG$2:$AG$1001,0),0), INDEX($AN$1004:$BO$1004,1,MATCH(COLUMNS($AN$1006:AT1006),$AN$1006:$BO$1006,0)))),"Fix")))</f>
        <v>0</v>
      </c>
      <c r="I807" s="4">
        <f>IF(OR(INDEX($AH$2:$AH$1001,MATCH(ROWS($AG$2:AG807),$AG$2:$AG$1001,0),1)&gt;=100000,INDEX($AN$1005:$BO$1005,1,MATCH(COLUMNS($AN$1006:AU1006),$AN$1006:$BO$1006,0))&gt;=100000), " ",IF(INDEX($AN$2:$BO$1001,MATCH(ROWS($AG$2:AG807),$AG$2:$AG$1001,0),MATCH(COLUMNS($AN$1006:AU1006),$AN$1006:$BO$1006,0)), HYPERLINK("#",""), HYPERLINK(CONCATENATE("#Metadata!", ADDRESS(INDEX($AI$2:$AI$1001,MATCH(ROWS($AG$2:AG807),$AG$2:$AG$1001,0),0), INDEX($AN$1004:$BO$1004,1,MATCH(COLUMNS($AN$1006:AU1006),$AN$1006:$BO$1006,0)))),"Fix")))</f>
        <v>0</v>
      </c>
      <c r="J807" s="4">
        <f>IF(OR(INDEX($AH$2:$AH$1001,MATCH(ROWS($AG$2:AG807),$AG$2:$AG$1001,0),1)&gt;=100000,INDEX($AN$1005:$BO$1005,1,MATCH(COLUMNS($AN$1006:AV1006),$AN$1006:$BO$1006,0))&gt;=100000), " ",IF(INDEX($AN$2:$BO$1001,MATCH(ROWS($AG$2:AG807),$AG$2:$AG$1001,0),MATCH(COLUMNS($AN$1006:AV1006),$AN$1006:$BO$1006,0)), HYPERLINK("#",""), HYPERLINK(CONCATENATE("#Metadata!", ADDRESS(INDEX($AI$2:$AI$1001,MATCH(ROWS($AG$2:AG807),$AG$2:$AG$1001,0),0), INDEX($AN$1004:$BO$1004,1,MATCH(COLUMNS($AN$1006:AV1006),$AN$1006:$BO$1006,0)))),"Fix")))</f>
        <v>0</v>
      </c>
      <c r="K807" s="4">
        <f>IF(OR(INDEX($AH$2:$AH$1001,MATCH(ROWS($AG$2:AG807),$AG$2:$AG$1001,0),1)&gt;=100000,INDEX($AN$1005:$BO$1005,1,MATCH(COLUMNS($AN$1006:AW1006),$AN$1006:$BO$1006,0))&gt;=100000), " ",IF(INDEX($AN$2:$BO$1001,MATCH(ROWS($AG$2:AG807),$AG$2:$AG$1001,0),MATCH(COLUMNS($AN$1006:AW1006),$AN$1006:$BO$1006,0)), HYPERLINK("#",""), HYPERLINK(CONCATENATE("#Metadata!", ADDRESS(INDEX($AI$2:$AI$1001,MATCH(ROWS($AG$2:AG807),$AG$2:$AG$1001,0),0), INDEX($AN$1004:$BO$1004,1,MATCH(COLUMNS($AN$1006:AW1006),$AN$1006:$BO$1006,0)))),"Fix")))</f>
        <v>0</v>
      </c>
      <c r="L807" s="4">
        <f>IF(OR(INDEX($AH$2:$AH$1001,MATCH(ROWS($AG$2:AG807),$AG$2:$AG$1001,0),1)&gt;=100000,INDEX($AN$1005:$BO$1005,1,MATCH(COLUMNS($AN$1006:AX1006),$AN$1006:$BO$1006,0))&gt;=100000), " ",IF(INDEX($AN$2:$BO$1001,MATCH(ROWS($AG$2:AG807),$AG$2:$AG$1001,0),MATCH(COLUMNS($AN$1006:AX1006),$AN$1006:$BO$1006,0)), HYPERLINK("#",""), HYPERLINK(CONCATENATE("#Metadata!", ADDRESS(INDEX($AI$2:$AI$1001,MATCH(ROWS($AG$2:AG807),$AG$2:$AG$1001,0),0), INDEX($AN$1004:$BO$1004,1,MATCH(COLUMNS($AN$1006:AX1006),$AN$1006:$BO$1006,0)))),"Fix")))</f>
        <v>0</v>
      </c>
      <c r="M807" s="4">
        <f>IF(OR(INDEX($AH$2:$AH$1001,MATCH(ROWS($AG$2:AG807),$AG$2:$AG$1001,0),1)&gt;=100000,INDEX($AN$1005:$BO$1005,1,MATCH(COLUMNS($AN$1006:AY1006),$AN$1006:$BO$1006,0))&gt;=100000), " ",IF(INDEX($AN$2:$BO$1001,MATCH(ROWS($AG$2:AG807),$AG$2:$AG$1001,0),MATCH(COLUMNS($AN$1006:AY1006),$AN$1006:$BO$1006,0)), HYPERLINK("#",""), HYPERLINK(CONCATENATE("#Metadata!", ADDRESS(INDEX($AI$2:$AI$1001,MATCH(ROWS($AG$2:AG807),$AG$2:$AG$1001,0),0), INDEX($AN$1004:$BO$1004,1,MATCH(COLUMNS($AN$1006:AY1006),$AN$1006:$BO$1006,0)))),"Fix")))</f>
        <v>0</v>
      </c>
      <c r="N807" s="4">
        <f>IF(OR(INDEX($AH$2:$AH$1001,MATCH(ROWS($AG$2:AG807),$AG$2:$AG$1001,0),1)&gt;=100000,INDEX($AN$1005:$BO$1005,1,MATCH(COLUMNS($AN$1006:AZ1006),$AN$1006:$BO$1006,0))&gt;=100000), " ",IF(INDEX($AN$2:$BO$1001,MATCH(ROWS($AG$2:AG807),$AG$2:$AG$1001,0),MATCH(COLUMNS($AN$1006:AZ1006),$AN$1006:$BO$1006,0)), HYPERLINK("#",""), HYPERLINK(CONCATENATE("#Metadata!", ADDRESS(INDEX($AI$2:$AI$1001,MATCH(ROWS($AG$2:AG807),$AG$2:$AG$1001,0),0), INDEX($AN$1004:$BO$1004,1,MATCH(COLUMNS($AN$1006:AZ1006),$AN$1006:$BO$1006,0)))),"Fix")))</f>
        <v>0</v>
      </c>
      <c r="O807" s="4">
        <f>IF(OR(INDEX($AH$2:$AH$1001,MATCH(ROWS($AG$2:AG807),$AG$2:$AG$1001,0),1)&gt;=100000,INDEX($AN$1005:$BO$1005,1,MATCH(COLUMNS($AN$1006:BA1006),$AN$1006:$BO$1006,0))&gt;=100000), " ",IF(INDEX($AN$2:$BO$1001,MATCH(ROWS($AG$2:AG807),$AG$2:$AG$1001,0),MATCH(COLUMNS($AN$1006:BA1006),$AN$1006:$BO$1006,0)), HYPERLINK("#",""), HYPERLINK(CONCATENATE("#Metadata!", ADDRESS(INDEX($AI$2:$AI$1001,MATCH(ROWS($AG$2:AG807),$AG$2:$AG$1001,0),0), INDEX($AN$1004:$BO$1004,1,MATCH(COLUMNS($AN$1006:BA1006),$AN$1006:$BO$1006,0)))),"Fix")))</f>
        <v>0</v>
      </c>
      <c r="P807" s="4">
        <f>IF(OR(INDEX($AH$2:$AH$1001,MATCH(ROWS($AG$2:AG807),$AG$2:$AG$1001,0),1)&gt;=100000,INDEX($AN$1005:$BO$1005,1,MATCH(COLUMNS($AN$1006:BB1006),$AN$1006:$BO$1006,0))&gt;=100000), " ",IF(INDEX($AN$2:$BO$1001,MATCH(ROWS($AG$2:AG807),$AG$2:$AG$1001,0),MATCH(COLUMNS($AN$1006:BB1006),$AN$1006:$BO$1006,0)), HYPERLINK("#",""), HYPERLINK(CONCATENATE("#Metadata!", ADDRESS(INDEX($AI$2:$AI$1001,MATCH(ROWS($AG$2:AG807),$AG$2:$AG$1001,0),0), INDEX($AN$1004:$BO$1004,1,MATCH(COLUMNS($AN$1006:BB1006),$AN$1006:$BO$1006,0)))),"Fix")))</f>
        <v>0</v>
      </c>
      <c r="Q807" s="4">
        <f>IF(OR(INDEX($AH$2:$AH$1001,MATCH(ROWS($AG$2:AG807),$AG$2:$AG$1001,0),1)&gt;=100000,INDEX($AN$1005:$BO$1005,1,MATCH(COLUMNS($AN$1006:BC1006),$AN$1006:$BO$1006,0))&gt;=100000), " ",IF(INDEX($AN$2:$BO$1001,MATCH(ROWS($AG$2:AG807),$AG$2:$AG$1001,0),MATCH(COLUMNS($AN$1006:BC1006),$AN$1006:$BO$1006,0)), HYPERLINK("#",""), HYPERLINK(CONCATENATE("#Metadata!", ADDRESS(INDEX($AI$2:$AI$1001,MATCH(ROWS($AG$2:AG807),$AG$2:$AG$1001,0),0), INDEX($AN$1004:$BO$1004,1,MATCH(COLUMNS($AN$1006:BC1006),$AN$1006:$BO$1006,0)))),"Fix")))</f>
        <v>0</v>
      </c>
      <c r="R807" s="4">
        <f>IF(OR(INDEX($AH$2:$AH$1001,MATCH(ROWS($AG$2:AG807),$AG$2:$AG$1001,0),1)&gt;=100000,INDEX($AN$1005:$BO$1005,1,MATCH(COLUMNS($AN$1006:BD1006),$AN$1006:$BO$1006,0))&gt;=100000), " ",IF(INDEX($AN$2:$BO$1001,MATCH(ROWS($AG$2:AG807),$AG$2:$AG$1001,0),MATCH(COLUMNS($AN$1006:BD1006),$AN$1006:$BO$1006,0)), HYPERLINK("#",""), HYPERLINK(CONCATENATE("#Metadata!", ADDRESS(INDEX($AI$2:$AI$1001,MATCH(ROWS($AG$2:AG807),$AG$2:$AG$1001,0),0), INDEX($AN$1004:$BO$1004,1,MATCH(COLUMNS($AN$1006:BD1006),$AN$1006:$BO$1006,0)))),"Fix")))</f>
        <v>0</v>
      </c>
      <c r="S807" s="4">
        <f>IF(OR(INDEX($AH$2:$AH$1001,MATCH(ROWS($AG$2:AG807),$AG$2:$AG$1001,0),1)&gt;=100000,INDEX($AN$1005:$BO$1005,1,MATCH(COLUMNS($AN$1006:BE1006),$AN$1006:$BO$1006,0))&gt;=100000), " ",IF(INDEX($AN$2:$BO$1001,MATCH(ROWS($AG$2:AG807),$AG$2:$AG$1001,0),MATCH(COLUMNS($AN$1006:BE1006),$AN$1006:$BO$1006,0)), HYPERLINK("#",""), HYPERLINK(CONCATENATE("#Metadata!", ADDRESS(INDEX($AI$2:$AI$1001,MATCH(ROWS($AG$2:AG807),$AG$2:$AG$1001,0),0), INDEX($AN$1004:$BO$1004,1,MATCH(COLUMNS($AN$1006:BE1006),$AN$1006:$BO$1006,0)))),"Fix")))</f>
        <v>0</v>
      </c>
      <c r="T807" s="4">
        <f>IF(OR(INDEX($AH$2:$AH$1001,MATCH(ROWS($AG$2:AG807),$AG$2:$AG$1001,0),1)&gt;=100000,INDEX($AN$1005:$BO$1005,1,MATCH(COLUMNS($AN$1006:BF1006),$AN$1006:$BO$1006,0))&gt;=100000), " ",IF(INDEX($AN$2:$BO$1001,MATCH(ROWS($AG$2:AG807),$AG$2:$AG$1001,0),MATCH(COLUMNS($AN$1006:BF1006),$AN$1006:$BO$1006,0)), HYPERLINK("#",""), HYPERLINK(CONCATENATE("#Metadata!", ADDRESS(INDEX($AI$2:$AI$1001,MATCH(ROWS($AG$2:AG807),$AG$2:$AG$1001,0),0), INDEX($AN$1004:$BO$1004,1,MATCH(COLUMNS($AN$1006:BF1006),$AN$1006:$BO$1006,0)))),"Fix")))</f>
        <v>0</v>
      </c>
      <c r="U807" s="4">
        <f>IF(OR(INDEX($AH$2:$AH$1001,MATCH(ROWS($AG$2:AG807),$AG$2:$AG$1001,0),1)&gt;=100000,INDEX($AN$1005:$BO$1005,1,MATCH(COLUMNS($AN$1006:BG1006),$AN$1006:$BO$1006,0))&gt;=100000), " ",IF(INDEX($AN$2:$BO$1001,MATCH(ROWS($AG$2:AG807),$AG$2:$AG$1001,0),MATCH(COLUMNS($AN$1006:BG1006),$AN$1006:$BO$1006,0)), HYPERLINK("#",""), HYPERLINK(CONCATENATE("#Metadata!", ADDRESS(INDEX($AI$2:$AI$1001,MATCH(ROWS($AG$2:AG807),$AG$2:$AG$1001,0),0), INDEX($AN$1004:$BO$1004,1,MATCH(COLUMNS($AN$1006:BG1006),$AN$1006:$BO$1006,0)))),"Fix")))</f>
        <v>0</v>
      </c>
      <c r="V807" s="4">
        <f>IF(OR(INDEX($AH$2:$AH$1001,MATCH(ROWS($AG$2:AG807),$AG$2:$AG$1001,0),1)&gt;=100000,INDEX($AN$1005:$BO$1005,1,MATCH(COLUMNS($AN$1006:BH1006),$AN$1006:$BO$1006,0))&gt;=100000), " ",IF(INDEX($AN$2:$BO$1001,MATCH(ROWS($AG$2:AG807),$AG$2:$AG$1001,0),MATCH(COLUMNS($AN$1006:BH1006),$AN$1006:$BO$1006,0)), HYPERLINK("#",""), HYPERLINK(CONCATENATE("#Metadata!", ADDRESS(INDEX($AI$2:$AI$1001,MATCH(ROWS($AG$2:AG807),$AG$2:$AG$1001,0),0), INDEX($AN$1004:$BO$1004,1,MATCH(COLUMNS($AN$1006:BH1006),$AN$1006:$BO$1006,0)))),"Fix")))</f>
        <v>0</v>
      </c>
      <c r="W807" s="4">
        <f>IF(OR(INDEX($AH$2:$AH$1001,MATCH(ROWS($AG$2:AG807),$AG$2:$AG$1001,0),1)&gt;=100000,INDEX($AN$1005:$BO$1005,1,MATCH(COLUMNS($AN$1006:BI1006),$AN$1006:$BO$1006,0))&gt;=100000), " ",IF(INDEX($AN$2:$BO$1001,MATCH(ROWS($AG$2:AG807),$AG$2:$AG$1001,0),MATCH(COLUMNS($AN$1006:BI1006),$AN$1006:$BO$1006,0)), HYPERLINK("#",""), HYPERLINK(CONCATENATE("#Metadata!", ADDRESS(INDEX($AI$2:$AI$1001,MATCH(ROWS($AG$2:AG807),$AG$2:$AG$1001,0),0), INDEX($AN$1004:$BO$1004,1,MATCH(COLUMNS($AN$1006:BI1006),$AN$1006:$BO$1006,0)))),"Fix")))</f>
        <v>0</v>
      </c>
      <c r="X807" s="4">
        <f>IF(OR(INDEX($AH$2:$AH$1001,MATCH(ROWS($AG$2:AG807),$AG$2:$AG$1001,0),1)&gt;=100000,INDEX($AN$1005:$BO$1005,1,MATCH(COLUMNS($AN$1006:BJ1006),$AN$1006:$BO$1006,0))&gt;=100000), " ",IF(INDEX($AN$2:$BO$1001,MATCH(ROWS($AG$2:AG807),$AG$2:$AG$1001,0),MATCH(COLUMNS($AN$1006:BJ1006),$AN$1006:$BO$1006,0)), HYPERLINK("#",""), HYPERLINK(CONCATENATE("#Metadata!", ADDRESS(INDEX($AI$2:$AI$1001,MATCH(ROWS($AG$2:AG807),$AG$2:$AG$1001,0),0), INDEX($AN$1004:$BO$1004,1,MATCH(COLUMNS($AN$1006:BJ1006),$AN$1006:$BO$1006,0)))),"Fix")))</f>
        <v>0</v>
      </c>
      <c r="Y807" s="4">
        <f>IF(OR(INDEX($AH$2:$AH$1001,MATCH(ROWS($AG$2:AG807),$AG$2:$AG$1001,0),1)&gt;=100000,INDEX($AN$1005:$BO$1005,1,MATCH(COLUMNS($AN$1006:BK1006),$AN$1006:$BO$1006,0))&gt;=100000), " ",IF(INDEX($AN$2:$BO$1001,MATCH(ROWS($AG$2:AG807),$AG$2:$AG$1001,0),MATCH(COLUMNS($AN$1006:BK1006),$AN$1006:$BO$1006,0)), HYPERLINK("#",""), HYPERLINK(CONCATENATE("#Metadata!", ADDRESS(INDEX($AI$2:$AI$1001,MATCH(ROWS($AG$2:AG807),$AG$2:$AG$1001,0),0), INDEX($AN$1004:$BO$1004,1,MATCH(COLUMNS($AN$1006:BK1006),$AN$1006:$BO$1006,0)))),"Fix")))</f>
        <v>0</v>
      </c>
      <c r="Z807" s="4">
        <f>IF(OR(INDEX($AH$2:$AH$1001,MATCH(ROWS($AG$2:AG807),$AG$2:$AG$1001,0),1)&gt;=100000,INDEX($AN$1005:$BO$1005,1,MATCH(COLUMNS($AN$1006:BL1006),$AN$1006:$BO$1006,0))&gt;=100000), " ",IF(INDEX($AN$2:$BO$1001,MATCH(ROWS($AG$2:AG807),$AG$2:$AG$1001,0),MATCH(COLUMNS($AN$1006:BL1006),$AN$1006:$BO$1006,0)), HYPERLINK("#",""), HYPERLINK(CONCATENATE("#Metadata!", ADDRESS(INDEX($AI$2:$AI$1001,MATCH(ROWS($AG$2:AG807),$AG$2:$AG$1001,0),0), INDEX($AN$1004:$BO$1004,1,MATCH(COLUMNS($AN$1006:BL1006),$AN$1006:$BO$1006,0)))),"Fix")))</f>
        <v>0</v>
      </c>
      <c r="AA807" s="4">
        <f>IF(OR(INDEX($AH$2:$AH$1001,MATCH(ROWS($AG$2:AG807),$AG$2:$AG$1001,0),1)&gt;=100000,INDEX($AN$1005:$BO$1005,1,MATCH(COLUMNS($AN$1006:BM1006),$AN$1006:$BO$1006,0))&gt;=100000), " ",IF(INDEX($AN$2:$BO$1001,MATCH(ROWS($AG$2:AG807),$AG$2:$AG$1001,0),MATCH(COLUMNS($AN$1006:BM1006),$AN$1006:$BO$1006,0)), HYPERLINK("#",""), HYPERLINK(CONCATENATE("#Metadata!", ADDRESS(INDEX($AI$2:$AI$1001,MATCH(ROWS($AG$2:AG807),$AG$2:$AG$1001,0),0), INDEX($AN$1004:$BO$1004,1,MATCH(COLUMNS($AN$1006:BM1006),$AN$1006:$BO$1006,0)))),"Fix")))</f>
        <v>0</v>
      </c>
      <c r="AB807" s="4">
        <f>IF(OR(INDEX($AH$2:$AH$1001,MATCH(ROWS($AG$2:AG807),$AG$2:$AG$1001,0),1)&gt;=100000,INDEX($AN$1005:$BO$1005,1,MATCH(COLUMNS($AN$1006:BN1006),$AN$1006:$BO$1006,0))&gt;=100000), " ",IF(INDEX($AN$2:$BO$1001,MATCH(ROWS($AG$2:AG807),$AG$2:$AG$1001,0),MATCH(COLUMNS($AN$1006:BN1006),$AN$1006:$BO$1006,0)), HYPERLINK("#",""), HYPERLINK(CONCATENATE("#Metadata!", ADDRESS(INDEX($AI$2:$AI$1001,MATCH(ROWS($AG$2:AG807),$AG$2:$AG$1001,0),0), INDEX($AN$1004:$BO$1004,1,MATCH(COLUMNS($AN$1006:BN1006),$AN$1006:$BO$1006,0)))),"Fix")))</f>
        <v>0</v>
      </c>
      <c r="AC807" s="4">
        <f>IF(OR(INDEX($AH$2:$AH$1001,MATCH(ROWS($AG$2:AG807),$AG$2:$AG$1001,0),1)&gt;=100000,INDEX($AN$1005:$BO$1005,1,MATCH(COLUMNS($AN$1006:BO1006),$AN$1006:$BO$1006,0))&gt;=100000), " ",IF(INDEX($AN$2:$BO$1001,MATCH(ROWS($AG$2:AG807),$AG$2:$AG$1001,0),MATCH(COLUMNS($AN$1006:BO1006),$AN$1006:$BO$1006,0)), HYPERLINK("#",""), HYPERLINK(CONCATENATE("#Metadata!", ADDRESS(INDEX($AI$2:$AI$1001,MATCH(ROWS($AG$2:AG807),$AG$2:$AG$1001,0),0), INDEX($AN$1004:$BO$1004,1,MATCH(COLUMNS($AN$1006:BO1006),$AN$1006:$BO$1006,0)))),"Fix")))</f>
        <v>0</v>
      </c>
      <c r="AG807">
        <v>0</v>
      </c>
      <c r="AH807">
        <v>0</v>
      </c>
      <c r="AI807">
        <v>0</v>
      </c>
      <c r="AJ807">
        <f>IF(AK807,TRUE,AND(AN807:BO807))</f>
        <v>0</v>
      </c>
      <c r="AK807">
        <f>COUNTBLANK(Metadata!B807:AC807)=COLUMNS(Metadata!B807:AC807)</f>
        <v>0</v>
      </c>
      <c r="AL807">
        <v>0</v>
      </c>
      <c r="AN807">
        <f>AND(IF(Metadata!B807="",FALSE,TRUE),COUNTIF(Metadata!B:B, Metadata!B807) = 1,NOT(ISERROR(SUMPRODUCT(SEARCH(MID(Metadata!B807,ROW(INDIRECT("1:"&amp;LEN(Metadata!B807))), 1),"0123456789abcdefghijklmnopqrstuvwxyzABCDEFGHIJKLMNOPQRSTUVWXYZ.")))))</f>
        <v>0</v>
      </c>
      <c r="AO807">
        <f>IF(Metadata!C807="",FALSE,TRUE)</f>
        <v>0</v>
      </c>
      <c r="AP807">
        <f>IF(Metadata!D807="",FALSE,TRUE)</f>
        <v>0</v>
      </c>
      <c r="AQ807">
        <f>OR(AND(IF(Metadata!E807="",FALSE,TRUE),OR(exact(Metadata!E807,"not collected"),exact(Metadata!E807,"not provided"),exact(Metadata!E807,"restricted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R807">
        <f>IF(Metadata!F807="",FALSE,TRUE)</f>
        <v>0</v>
      </c>
      <c r="AS807">
        <f>OR(AND(IF(Metadata!G807="",FALSE,TRUE),OR(exact(Metadata!G807,"not collected"),exact(Metadata!G807,"not provided"))),AND(IF(Metadata!G807="",FALSE,TRUE),OR(exact(Metadata!G807,"TRUE"),exact(Metadata!G807,"FALSE"))))</f>
        <v>0</v>
      </c>
      <c r="AT807">
        <f>OR(AND(IF(Metadata!H807="",FALSE,TRUE),OR(exact(Metadata!H807,"not collected"),exact(Metadata!H807,"not provided"),exact(Metadata!H807,"restricted access"))),AND(IF(Metadata!H807="",FALSE,ISNUMBER(VALUE(Metadata!H807))),Metadata!H807&gt;=-413.0))</f>
        <v>0</v>
      </c>
      <c r="AU807">
        <f>AND(IF(Metadata!I807="",FALSE,TRUE),exact(Metadata!I807,"meters"))</f>
        <v>0</v>
      </c>
      <c r="AV807">
        <f>AND(IF(Metadata!J807="",FALSE,TRUE),OR(exact(Metadata!J807,"Host-associated"),exact(Metadata!J807,"Free-living")))</f>
        <v>0</v>
      </c>
      <c r="AW807">
        <f>AND(IF(Metadata!K807="",FALSE,TRUE),OR(exact(Metadata!K807,"Animal"),exact(Metadata!K807,"Fungus"),exact(Metadata!K807,"Plant"),exact(Metadata!K807,"Saline"),exact(Metadata!K807,"Non-saline")))</f>
        <v>0</v>
      </c>
      <c r="AX807">
        <f>AND(IF(Metadata!L807="",FALSE,TRUE),OR(exact(Metadata!L807,"Plant secretion"),exact(Metadata!L807,"Plant rhizosphere"),exact(Metadata!L807,"Plant surface"),exact(Metadata!L807,"Plant corpus"),exact(Metadata!L807,"Fungus surface"),exact(Metadata!L807,"Fungus corpus"),exact(Metadata!L807,"Animal surface"),exact(Metadata!L807,"Animal proximal gut"),exact(Metadata!L807,"Animal corpus"),exact(Metadata!L807,"Animal distal gut"),exact(Metadata!L807,"Animal secretion"),exact(Metadata!L807,"Sub-surface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Y807">
        <f>IF(Metadata!M807="",FALSE,TRUE)</f>
        <v>0</v>
      </c>
      <c r="AZ807">
        <f>IF(Metadata!N807="",FALSE,TRUE)</f>
        <v>0</v>
      </c>
      <c r="BA807">
        <f>IF(Metadata!O807="",FALSE,TRUE)</f>
        <v>0</v>
      </c>
      <c r="BB807">
        <f>OR(AND(IF(Metadata!P807="",FALSE,TRUE),OR(exact(Metadata!P807,"not collected"),exact(Metadata!P807,"not provided"),exact(Metadata!P807,"restricted access"))),AND(IF(Metadata!P807="",FALSE,TRUE),OR(exact(Metadata!P807,"air"),exact(Metadata!P807,"built environment"),exact(Metadata!P807,"host-associated"),exact(Metadata!P807,"human-associated"),exact(Metadata!P807,"human-skin"),exact(Metadata!P807,"human-oral"),exact(Metadata!P807,"human-gut"),exact(Metadata!P807,"human-vaginal"),exact(Metadata!P807,"microbial mat/biofilm"),exact(Metadata!P807,"misc environment"),exact(Metadata!P807,"plant-associated"),exact(Metadata!P807,"sediment"),exact(Metadata!P807,"soil"),exact(Metadata!P807,"wastewater/sludge"),exact(Metadata!P807,"water"))))</f>
        <v>0</v>
      </c>
      <c r="BC807">
        <f>IF(Metadata!Q807="",FALSE,TRUE)</f>
        <v>0</v>
      </c>
      <c r="BD807">
        <f>IF(Metadata!R807="",FALSE,TRUE)</f>
        <v>0</v>
      </c>
      <c r="BE807">
        <f>OR(AND(IF(Metadata!S807="",FALSE,TRUE),OR(exact(Metadata!S807,"not collected"),exact(Metadata!S807,"not provided"),exact(Metadata!S807,"restricted access"))),AND(IF(Metadata!S807="",FALSE,ISNUMBER(VALUE(Metadata!S807))),Metadata!S807&gt;=-90.00,Metadata!S807&lt;=90.00))</f>
        <v>0</v>
      </c>
      <c r="BF807">
        <f>AND(IF(Metadata!T807="",FALSE,TRUE),exact(Metadata!T807,"Decimal degrees"))</f>
        <v>0</v>
      </c>
      <c r="BG807">
        <f>OR(AND(IF(Metadata!U807="",FALSE,TRUE),OR(exact(Metadata!U807,"not collected"),exact(Metadata!U807,"not provided"),exact(Metadata!U807,"restricted access"))),AND(IF(Metadata!U807="",FALSE,ISNUMBER(VALUE(Metadata!U807))),Metadata!U807&gt;=-180.00,Metadata!U807&lt;=180.00))</f>
        <v>0</v>
      </c>
      <c r="BH807">
        <f>AND(IF(Metadata!V807="",FALSE,TRUE),exact(Metadata!V807,"Decimal degrees"))</f>
        <v>0</v>
      </c>
      <c r="BI807">
        <f>IF(Metadata!W807="",FALSE,TRUE)</f>
        <v>0</v>
      </c>
      <c r="BJ807">
        <f>OR(AND(IF(Metadata!X807="",FALSE,TRUE),OR(exact(Metadata!X807,"not collected"),exact(Metadata!X807,"not provided"),exact(Metadata!X807,"restricted access"))),AND(IF(Metadata!X807="",FALSE,TRUE),OR(exact(Metadata!X807,"TRUE"),exact(Metadata!X807,"FALSE"))))</f>
        <v>0</v>
      </c>
      <c r="BK807">
        <f>AND(IF(Metadata!Y807="",FALSE,TRUE),exact(Metadata!Y807,"other"))</f>
        <v>0</v>
      </c>
      <c r="BL807">
        <f>IF(Metadata!Z807="",FALSE,TRUE)</f>
        <v>0</v>
      </c>
      <c r="BM807">
        <f>OR(AND(IF(Metadata!AA807="",FALSE,TRUE),OR(exact(Metadata!AA807,"not collected"),exact(Metadata!AA807,"not provided"))),AND(IF(Metadata!AA807="",FALSE,IF(ISERROR(INT(Metadata!AA807)),FALSE,INT(Metadata!AA807)=Metadata!AA807)),Metadata!AA807&gt;0))</f>
        <v>0</v>
      </c>
      <c r="BN807">
        <f>AND(IF(Metadata!AB807="",FALSE,TRUE),exact(Metadata!AB807,"Not applicable"))</f>
        <v>0</v>
      </c>
      <c r="BO807">
        <f>IF(Metadata!AC807="",FALSE,TRUE)</f>
        <v>0</v>
      </c>
    </row>
    <row r="808" spans="1:67">
      <c r="A808" s="5">
        <f>IF(B808=" "," ",HYPERLINK(CONCATENATE("#metadata!",ADDRESS(INDEX($AI$2:$AI$1001,MATCH(ROWS($AG$2:AG808),$AG$2:$AG$1001,0),0),1)),INDEX($AL$2:$AL$1001,MATCH(ROWS($AG$2:AG808),$AG$2:$AG$1001,0),0)))</f>
        <v>0</v>
      </c>
      <c r="B808" s="4">
        <f>IF(OR(INDEX($AH$2:$AH$1001,MATCH(ROWS($AG$2:AG808),$AG$2:$AG$1001,0),1)&gt;=100000,INDEX($AN$1005:$BO$1005,1,MATCH(COLUMNS($AN$1006:AN1006),$AN$1006:$BO$1006,0))&gt;=100000), " ",IF(INDEX($AN$2:$BO$1001,MATCH(ROWS($AG$2:AG808),$AG$2:$AG$1001,0),MATCH(COLUMNS($AN$1006:AN1006),$AN$1006:$BO$1006,0)), HYPERLINK("#",""), HYPERLINK(CONCATENATE("#Metadata!", ADDRESS(INDEX($AI$2:$AI$1001,MATCH(ROWS($AG$2:AG808),$AG$2:$AG$1001,0),0), INDEX($AN$1004:$BO$1004,1,MATCH(COLUMNS($AN$1006:AN1006),$AN$1006:$BO$1006,0)))),"Fix")))</f>
        <v>0</v>
      </c>
      <c r="C808" s="4">
        <f>IF(OR(INDEX($AH$2:$AH$1001,MATCH(ROWS($AG$2:AG808),$AG$2:$AG$1001,0),1)&gt;=100000,INDEX($AN$1005:$BO$1005,1,MATCH(COLUMNS($AN$1006:AO1006),$AN$1006:$BO$1006,0))&gt;=100000), " ",IF(INDEX($AN$2:$BO$1001,MATCH(ROWS($AG$2:AG808),$AG$2:$AG$1001,0),MATCH(COLUMNS($AN$1006:AO1006),$AN$1006:$BO$1006,0)), HYPERLINK("#",""), HYPERLINK(CONCATENATE("#Metadata!", ADDRESS(INDEX($AI$2:$AI$1001,MATCH(ROWS($AG$2:AG808),$AG$2:$AG$1001,0),0), INDEX($AN$1004:$BO$1004,1,MATCH(COLUMNS($AN$1006:AO1006),$AN$1006:$BO$1006,0)))),"Fix")))</f>
        <v>0</v>
      </c>
      <c r="D808" s="4">
        <f>IF(OR(INDEX($AH$2:$AH$1001,MATCH(ROWS($AG$2:AG808),$AG$2:$AG$1001,0),1)&gt;=100000,INDEX($AN$1005:$BO$1005,1,MATCH(COLUMNS($AN$1006:AP1006),$AN$1006:$BO$1006,0))&gt;=100000), " ",IF(INDEX($AN$2:$BO$1001,MATCH(ROWS($AG$2:AG808),$AG$2:$AG$1001,0),MATCH(COLUMNS($AN$1006:AP1006),$AN$1006:$BO$1006,0)), HYPERLINK("#",""), HYPERLINK(CONCATENATE("#Metadata!", ADDRESS(INDEX($AI$2:$AI$1001,MATCH(ROWS($AG$2:AG808),$AG$2:$AG$1001,0),0), INDEX($AN$1004:$BO$1004,1,MATCH(COLUMNS($AN$1006:AP1006),$AN$1006:$BO$1006,0)))),"Fix")))</f>
        <v>0</v>
      </c>
      <c r="E808" s="4">
        <f>IF(OR(INDEX($AH$2:$AH$1001,MATCH(ROWS($AG$2:AG808),$AG$2:$AG$1001,0),1)&gt;=100000,INDEX($AN$1005:$BO$1005,1,MATCH(COLUMNS($AN$1006:AQ1006),$AN$1006:$BO$1006,0))&gt;=100000), " ",IF(INDEX($AN$2:$BO$1001,MATCH(ROWS($AG$2:AG808),$AG$2:$AG$1001,0),MATCH(COLUMNS($AN$1006:AQ1006),$AN$1006:$BO$1006,0)), HYPERLINK("#",""), HYPERLINK(CONCATENATE("#Metadata!", ADDRESS(INDEX($AI$2:$AI$1001,MATCH(ROWS($AG$2:AG808),$AG$2:$AG$1001,0),0), INDEX($AN$1004:$BO$1004,1,MATCH(COLUMNS($AN$1006:AQ1006),$AN$1006:$BO$1006,0)))),"Fix")))</f>
        <v>0</v>
      </c>
      <c r="F808" s="4">
        <f>IF(OR(INDEX($AH$2:$AH$1001,MATCH(ROWS($AG$2:AG808),$AG$2:$AG$1001,0),1)&gt;=100000,INDEX($AN$1005:$BO$1005,1,MATCH(COLUMNS($AN$1006:AR1006),$AN$1006:$BO$1006,0))&gt;=100000), " ",IF(INDEX($AN$2:$BO$1001,MATCH(ROWS($AG$2:AG808),$AG$2:$AG$1001,0),MATCH(COLUMNS($AN$1006:AR1006),$AN$1006:$BO$1006,0)), HYPERLINK("#",""), HYPERLINK(CONCATENATE("#Metadata!", ADDRESS(INDEX($AI$2:$AI$1001,MATCH(ROWS($AG$2:AG808),$AG$2:$AG$1001,0),0), INDEX($AN$1004:$BO$1004,1,MATCH(COLUMNS($AN$1006:AR1006),$AN$1006:$BO$1006,0)))),"Fix")))</f>
        <v>0</v>
      </c>
      <c r="G808" s="4">
        <f>IF(OR(INDEX($AH$2:$AH$1001,MATCH(ROWS($AG$2:AG808),$AG$2:$AG$1001,0),1)&gt;=100000,INDEX($AN$1005:$BO$1005,1,MATCH(COLUMNS($AN$1006:AS1006),$AN$1006:$BO$1006,0))&gt;=100000), " ",IF(INDEX($AN$2:$BO$1001,MATCH(ROWS($AG$2:AG808),$AG$2:$AG$1001,0),MATCH(COLUMNS($AN$1006:AS1006),$AN$1006:$BO$1006,0)), HYPERLINK("#",""), HYPERLINK(CONCATENATE("#Metadata!", ADDRESS(INDEX($AI$2:$AI$1001,MATCH(ROWS($AG$2:AG808),$AG$2:$AG$1001,0),0), INDEX($AN$1004:$BO$1004,1,MATCH(COLUMNS($AN$1006:AS1006),$AN$1006:$BO$1006,0)))),"Fix")))</f>
        <v>0</v>
      </c>
      <c r="H808" s="4">
        <f>IF(OR(INDEX($AH$2:$AH$1001,MATCH(ROWS($AG$2:AG808),$AG$2:$AG$1001,0),1)&gt;=100000,INDEX($AN$1005:$BO$1005,1,MATCH(COLUMNS($AN$1006:AT1006),$AN$1006:$BO$1006,0))&gt;=100000), " ",IF(INDEX($AN$2:$BO$1001,MATCH(ROWS($AG$2:AG808),$AG$2:$AG$1001,0),MATCH(COLUMNS($AN$1006:AT1006),$AN$1006:$BO$1006,0)), HYPERLINK("#",""), HYPERLINK(CONCATENATE("#Metadata!", ADDRESS(INDEX($AI$2:$AI$1001,MATCH(ROWS($AG$2:AG808),$AG$2:$AG$1001,0),0), INDEX($AN$1004:$BO$1004,1,MATCH(COLUMNS($AN$1006:AT1006),$AN$1006:$BO$1006,0)))),"Fix")))</f>
        <v>0</v>
      </c>
      <c r="I808" s="4">
        <f>IF(OR(INDEX($AH$2:$AH$1001,MATCH(ROWS($AG$2:AG808),$AG$2:$AG$1001,0),1)&gt;=100000,INDEX($AN$1005:$BO$1005,1,MATCH(COLUMNS($AN$1006:AU1006),$AN$1006:$BO$1006,0))&gt;=100000), " ",IF(INDEX($AN$2:$BO$1001,MATCH(ROWS($AG$2:AG808),$AG$2:$AG$1001,0),MATCH(COLUMNS($AN$1006:AU1006),$AN$1006:$BO$1006,0)), HYPERLINK("#",""), HYPERLINK(CONCATENATE("#Metadata!", ADDRESS(INDEX($AI$2:$AI$1001,MATCH(ROWS($AG$2:AG808),$AG$2:$AG$1001,0),0), INDEX($AN$1004:$BO$1004,1,MATCH(COLUMNS($AN$1006:AU1006),$AN$1006:$BO$1006,0)))),"Fix")))</f>
        <v>0</v>
      </c>
      <c r="J808" s="4">
        <f>IF(OR(INDEX($AH$2:$AH$1001,MATCH(ROWS($AG$2:AG808),$AG$2:$AG$1001,0),1)&gt;=100000,INDEX($AN$1005:$BO$1005,1,MATCH(COLUMNS($AN$1006:AV1006),$AN$1006:$BO$1006,0))&gt;=100000), " ",IF(INDEX($AN$2:$BO$1001,MATCH(ROWS($AG$2:AG808),$AG$2:$AG$1001,0),MATCH(COLUMNS($AN$1006:AV1006),$AN$1006:$BO$1006,0)), HYPERLINK("#",""), HYPERLINK(CONCATENATE("#Metadata!", ADDRESS(INDEX($AI$2:$AI$1001,MATCH(ROWS($AG$2:AG808),$AG$2:$AG$1001,0),0), INDEX($AN$1004:$BO$1004,1,MATCH(COLUMNS($AN$1006:AV1006),$AN$1006:$BO$1006,0)))),"Fix")))</f>
        <v>0</v>
      </c>
      <c r="K808" s="4">
        <f>IF(OR(INDEX($AH$2:$AH$1001,MATCH(ROWS($AG$2:AG808),$AG$2:$AG$1001,0),1)&gt;=100000,INDEX($AN$1005:$BO$1005,1,MATCH(COLUMNS($AN$1006:AW1006),$AN$1006:$BO$1006,0))&gt;=100000), " ",IF(INDEX($AN$2:$BO$1001,MATCH(ROWS($AG$2:AG808),$AG$2:$AG$1001,0),MATCH(COLUMNS($AN$1006:AW1006),$AN$1006:$BO$1006,0)), HYPERLINK("#",""), HYPERLINK(CONCATENATE("#Metadata!", ADDRESS(INDEX($AI$2:$AI$1001,MATCH(ROWS($AG$2:AG808),$AG$2:$AG$1001,0),0), INDEX($AN$1004:$BO$1004,1,MATCH(COLUMNS($AN$1006:AW1006),$AN$1006:$BO$1006,0)))),"Fix")))</f>
        <v>0</v>
      </c>
      <c r="L808" s="4">
        <f>IF(OR(INDEX($AH$2:$AH$1001,MATCH(ROWS($AG$2:AG808),$AG$2:$AG$1001,0),1)&gt;=100000,INDEX($AN$1005:$BO$1005,1,MATCH(COLUMNS($AN$1006:AX1006),$AN$1006:$BO$1006,0))&gt;=100000), " ",IF(INDEX($AN$2:$BO$1001,MATCH(ROWS($AG$2:AG808),$AG$2:$AG$1001,0),MATCH(COLUMNS($AN$1006:AX1006),$AN$1006:$BO$1006,0)), HYPERLINK("#",""), HYPERLINK(CONCATENATE("#Metadata!", ADDRESS(INDEX($AI$2:$AI$1001,MATCH(ROWS($AG$2:AG808),$AG$2:$AG$1001,0),0), INDEX($AN$1004:$BO$1004,1,MATCH(COLUMNS($AN$1006:AX1006),$AN$1006:$BO$1006,0)))),"Fix")))</f>
        <v>0</v>
      </c>
      <c r="M808" s="4">
        <f>IF(OR(INDEX($AH$2:$AH$1001,MATCH(ROWS($AG$2:AG808),$AG$2:$AG$1001,0),1)&gt;=100000,INDEX($AN$1005:$BO$1005,1,MATCH(COLUMNS($AN$1006:AY1006),$AN$1006:$BO$1006,0))&gt;=100000), " ",IF(INDEX($AN$2:$BO$1001,MATCH(ROWS($AG$2:AG808),$AG$2:$AG$1001,0),MATCH(COLUMNS($AN$1006:AY1006),$AN$1006:$BO$1006,0)), HYPERLINK("#",""), HYPERLINK(CONCATENATE("#Metadata!", ADDRESS(INDEX($AI$2:$AI$1001,MATCH(ROWS($AG$2:AG808),$AG$2:$AG$1001,0),0), INDEX($AN$1004:$BO$1004,1,MATCH(COLUMNS($AN$1006:AY1006),$AN$1006:$BO$1006,0)))),"Fix")))</f>
        <v>0</v>
      </c>
      <c r="N808" s="4">
        <f>IF(OR(INDEX($AH$2:$AH$1001,MATCH(ROWS($AG$2:AG808),$AG$2:$AG$1001,0),1)&gt;=100000,INDEX($AN$1005:$BO$1005,1,MATCH(COLUMNS($AN$1006:AZ1006),$AN$1006:$BO$1006,0))&gt;=100000), " ",IF(INDEX($AN$2:$BO$1001,MATCH(ROWS($AG$2:AG808),$AG$2:$AG$1001,0),MATCH(COLUMNS($AN$1006:AZ1006),$AN$1006:$BO$1006,0)), HYPERLINK("#",""), HYPERLINK(CONCATENATE("#Metadata!", ADDRESS(INDEX($AI$2:$AI$1001,MATCH(ROWS($AG$2:AG808),$AG$2:$AG$1001,0),0), INDEX($AN$1004:$BO$1004,1,MATCH(COLUMNS($AN$1006:AZ1006),$AN$1006:$BO$1006,0)))),"Fix")))</f>
        <v>0</v>
      </c>
      <c r="O808" s="4">
        <f>IF(OR(INDEX($AH$2:$AH$1001,MATCH(ROWS($AG$2:AG808),$AG$2:$AG$1001,0),1)&gt;=100000,INDEX($AN$1005:$BO$1005,1,MATCH(COLUMNS($AN$1006:BA1006),$AN$1006:$BO$1006,0))&gt;=100000), " ",IF(INDEX($AN$2:$BO$1001,MATCH(ROWS($AG$2:AG808),$AG$2:$AG$1001,0),MATCH(COLUMNS($AN$1006:BA1006),$AN$1006:$BO$1006,0)), HYPERLINK("#",""), HYPERLINK(CONCATENATE("#Metadata!", ADDRESS(INDEX($AI$2:$AI$1001,MATCH(ROWS($AG$2:AG808),$AG$2:$AG$1001,0),0), INDEX($AN$1004:$BO$1004,1,MATCH(COLUMNS($AN$1006:BA1006),$AN$1006:$BO$1006,0)))),"Fix")))</f>
        <v>0</v>
      </c>
      <c r="P808" s="4">
        <f>IF(OR(INDEX($AH$2:$AH$1001,MATCH(ROWS($AG$2:AG808),$AG$2:$AG$1001,0),1)&gt;=100000,INDEX($AN$1005:$BO$1005,1,MATCH(COLUMNS($AN$1006:BB1006),$AN$1006:$BO$1006,0))&gt;=100000), " ",IF(INDEX($AN$2:$BO$1001,MATCH(ROWS($AG$2:AG808),$AG$2:$AG$1001,0),MATCH(COLUMNS($AN$1006:BB1006),$AN$1006:$BO$1006,0)), HYPERLINK("#",""), HYPERLINK(CONCATENATE("#Metadata!", ADDRESS(INDEX($AI$2:$AI$1001,MATCH(ROWS($AG$2:AG808),$AG$2:$AG$1001,0),0), INDEX($AN$1004:$BO$1004,1,MATCH(COLUMNS($AN$1006:BB1006),$AN$1006:$BO$1006,0)))),"Fix")))</f>
        <v>0</v>
      </c>
      <c r="Q808" s="4">
        <f>IF(OR(INDEX($AH$2:$AH$1001,MATCH(ROWS($AG$2:AG808),$AG$2:$AG$1001,0),1)&gt;=100000,INDEX($AN$1005:$BO$1005,1,MATCH(COLUMNS($AN$1006:BC1006),$AN$1006:$BO$1006,0))&gt;=100000), " ",IF(INDEX($AN$2:$BO$1001,MATCH(ROWS($AG$2:AG808),$AG$2:$AG$1001,0),MATCH(COLUMNS($AN$1006:BC1006),$AN$1006:$BO$1006,0)), HYPERLINK("#",""), HYPERLINK(CONCATENATE("#Metadata!", ADDRESS(INDEX($AI$2:$AI$1001,MATCH(ROWS($AG$2:AG808),$AG$2:$AG$1001,0),0), INDEX($AN$1004:$BO$1004,1,MATCH(COLUMNS($AN$1006:BC1006),$AN$1006:$BO$1006,0)))),"Fix")))</f>
        <v>0</v>
      </c>
      <c r="R808" s="4">
        <f>IF(OR(INDEX($AH$2:$AH$1001,MATCH(ROWS($AG$2:AG808),$AG$2:$AG$1001,0),1)&gt;=100000,INDEX($AN$1005:$BO$1005,1,MATCH(COLUMNS($AN$1006:BD1006),$AN$1006:$BO$1006,0))&gt;=100000), " ",IF(INDEX($AN$2:$BO$1001,MATCH(ROWS($AG$2:AG808),$AG$2:$AG$1001,0),MATCH(COLUMNS($AN$1006:BD1006),$AN$1006:$BO$1006,0)), HYPERLINK("#",""), HYPERLINK(CONCATENATE("#Metadata!", ADDRESS(INDEX($AI$2:$AI$1001,MATCH(ROWS($AG$2:AG808),$AG$2:$AG$1001,0),0), INDEX($AN$1004:$BO$1004,1,MATCH(COLUMNS($AN$1006:BD1006),$AN$1006:$BO$1006,0)))),"Fix")))</f>
        <v>0</v>
      </c>
      <c r="S808" s="4">
        <f>IF(OR(INDEX($AH$2:$AH$1001,MATCH(ROWS($AG$2:AG808),$AG$2:$AG$1001,0),1)&gt;=100000,INDEX($AN$1005:$BO$1005,1,MATCH(COLUMNS($AN$1006:BE1006),$AN$1006:$BO$1006,0))&gt;=100000), " ",IF(INDEX($AN$2:$BO$1001,MATCH(ROWS($AG$2:AG808),$AG$2:$AG$1001,0),MATCH(COLUMNS($AN$1006:BE1006),$AN$1006:$BO$1006,0)), HYPERLINK("#",""), HYPERLINK(CONCATENATE("#Metadata!", ADDRESS(INDEX($AI$2:$AI$1001,MATCH(ROWS($AG$2:AG808),$AG$2:$AG$1001,0),0), INDEX($AN$1004:$BO$1004,1,MATCH(COLUMNS($AN$1006:BE1006),$AN$1006:$BO$1006,0)))),"Fix")))</f>
        <v>0</v>
      </c>
      <c r="T808" s="4">
        <f>IF(OR(INDEX($AH$2:$AH$1001,MATCH(ROWS($AG$2:AG808),$AG$2:$AG$1001,0),1)&gt;=100000,INDEX($AN$1005:$BO$1005,1,MATCH(COLUMNS($AN$1006:BF1006),$AN$1006:$BO$1006,0))&gt;=100000), " ",IF(INDEX($AN$2:$BO$1001,MATCH(ROWS($AG$2:AG808),$AG$2:$AG$1001,0),MATCH(COLUMNS($AN$1006:BF1006),$AN$1006:$BO$1006,0)), HYPERLINK("#",""), HYPERLINK(CONCATENATE("#Metadata!", ADDRESS(INDEX($AI$2:$AI$1001,MATCH(ROWS($AG$2:AG808),$AG$2:$AG$1001,0),0), INDEX($AN$1004:$BO$1004,1,MATCH(COLUMNS($AN$1006:BF1006),$AN$1006:$BO$1006,0)))),"Fix")))</f>
        <v>0</v>
      </c>
      <c r="U808" s="4">
        <f>IF(OR(INDEX($AH$2:$AH$1001,MATCH(ROWS($AG$2:AG808),$AG$2:$AG$1001,0),1)&gt;=100000,INDEX($AN$1005:$BO$1005,1,MATCH(COLUMNS($AN$1006:BG1006),$AN$1006:$BO$1006,0))&gt;=100000), " ",IF(INDEX($AN$2:$BO$1001,MATCH(ROWS($AG$2:AG808),$AG$2:$AG$1001,0),MATCH(COLUMNS($AN$1006:BG1006),$AN$1006:$BO$1006,0)), HYPERLINK("#",""), HYPERLINK(CONCATENATE("#Metadata!", ADDRESS(INDEX($AI$2:$AI$1001,MATCH(ROWS($AG$2:AG808),$AG$2:$AG$1001,0),0), INDEX($AN$1004:$BO$1004,1,MATCH(COLUMNS($AN$1006:BG1006),$AN$1006:$BO$1006,0)))),"Fix")))</f>
        <v>0</v>
      </c>
      <c r="V808" s="4">
        <f>IF(OR(INDEX($AH$2:$AH$1001,MATCH(ROWS($AG$2:AG808),$AG$2:$AG$1001,0),1)&gt;=100000,INDEX($AN$1005:$BO$1005,1,MATCH(COLUMNS($AN$1006:BH1006),$AN$1006:$BO$1006,0))&gt;=100000), " ",IF(INDEX($AN$2:$BO$1001,MATCH(ROWS($AG$2:AG808),$AG$2:$AG$1001,0),MATCH(COLUMNS($AN$1006:BH1006),$AN$1006:$BO$1006,0)), HYPERLINK("#",""), HYPERLINK(CONCATENATE("#Metadata!", ADDRESS(INDEX($AI$2:$AI$1001,MATCH(ROWS($AG$2:AG808),$AG$2:$AG$1001,0),0), INDEX($AN$1004:$BO$1004,1,MATCH(COLUMNS($AN$1006:BH1006),$AN$1006:$BO$1006,0)))),"Fix")))</f>
        <v>0</v>
      </c>
      <c r="W808" s="4">
        <f>IF(OR(INDEX($AH$2:$AH$1001,MATCH(ROWS($AG$2:AG808),$AG$2:$AG$1001,0),1)&gt;=100000,INDEX($AN$1005:$BO$1005,1,MATCH(COLUMNS($AN$1006:BI1006),$AN$1006:$BO$1006,0))&gt;=100000), " ",IF(INDEX($AN$2:$BO$1001,MATCH(ROWS($AG$2:AG808),$AG$2:$AG$1001,0),MATCH(COLUMNS($AN$1006:BI1006),$AN$1006:$BO$1006,0)), HYPERLINK("#",""), HYPERLINK(CONCATENATE("#Metadata!", ADDRESS(INDEX($AI$2:$AI$1001,MATCH(ROWS($AG$2:AG808),$AG$2:$AG$1001,0),0), INDEX($AN$1004:$BO$1004,1,MATCH(COLUMNS($AN$1006:BI1006),$AN$1006:$BO$1006,0)))),"Fix")))</f>
        <v>0</v>
      </c>
      <c r="X808" s="4">
        <f>IF(OR(INDEX($AH$2:$AH$1001,MATCH(ROWS($AG$2:AG808),$AG$2:$AG$1001,0),1)&gt;=100000,INDEX($AN$1005:$BO$1005,1,MATCH(COLUMNS($AN$1006:BJ1006),$AN$1006:$BO$1006,0))&gt;=100000), " ",IF(INDEX($AN$2:$BO$1001,MATCH(ROWS($AG$2:AG808),$AG$2:$AG$1001,0),MATCH(COLUMNS($AN$1006:BJ1006),$AN$1006:$BO$1006,0)), HYPERLINK("#",""), HYPERLINK(CONCATENATE("#Metadata!", ADDRESS(INDEX($AI$2:$AI$1001,MATCH(ROWS($AG$2:AG808),$AG$2:$AG$1001,0),0), INDEX($AN$1004:$BO$1004,1,MATCH(COLUMNS($AN$1006:BJ1006),$AN$1006:$BO$1006,0)))),"Fix")))</f>
        <v>0</v>
      </c>
      <c r="Y808" s="4">
        <f>IF(OR(INDEX($AH$2:$AH$1001,MATCH(ROWS($AG$2:AG808),$AG$2:$AG$1001,0),1)&gt;=100000,INDEX($AN$1005:$BO$1005,1,MATCH(COLUMNS($AN$1006:BK1006),$AN$1006:$BO$1006,0))&gt;=100000), " ",IF(INDEX($AN$2:$BO$1001,MATCH(ROWS($AG$2:AG808),$AG$2:$AG$1001,0),MATCH(COLUMNS($AN$1006:BK1006),$AN$1006:$BO$1006,0)), HYPERLINK("#",""), HYPERLINK(CONCATENATE("#Metadata!", ADDRESS(INDEX($AI$2:$AI$1001,MATCH(ROWS($AG$2:AG808),$AG$2:$AG$1001,0),0), INDEX($AN$1004:$BO$1004,1,MATCH(COLUMNS($AN$1006:BK1006),$AN$1006:$BO$1006,0)))),"Fix")))</f>
        <v>0</v>
      </c>
      <c r="Z808" s="4">
        <f>IF(OR(INDEX($AH$2:$AH$1001,MATCH(ROWS($AG$2:AG808),$AG$2:$AG$1001,0),1)&gt;=100000,INDEX($AN$1005:$BO$1005,1,MATCH(COLUMNS($AN$1006:BL1006),$AN$1006:$BO$1006,0))&gt;=100000), " ",IF(INDEX($AN$2:$BO$1001,MATCH(ROWS($AG$2:AG808),$AG$2:$AG$1001,0),MATCH(COLUMNS($AN$1006:BL1006),$AN$1006:$BO$1006,0)), HYPERLINK("#",""), HYPERLINK(CONCATENATE("#Metadata!", ADDRESS(INDEX($AI$2:$AI$1001,MATCH(ROWS($AG$2:AG808),$AG$2:$AG$1001,0),0), INDEX($AN$1004:$BO$1004,1,MATCH(COLUMNS($AN$1006:BL1006),$AN$1006:$BO$1006,0)))),"Fix")))</f>
        <v>0</v>
      </c>
      <c r="AA808" s="4">
        <f>IF(OR(INDEX($AH$2:$AH$1001,MATCH(ROWS($AG$2:AG808),$AG$2:$AG$1001,0),1)&gt;=100000,INDEX($AN$1005:$BO$1005,1,MATCH(COLUMNS($AN$1006:BM1006),$AN$1006:$BO$1006,0))&gt;=100000), " ",IF(INDEX($AN$2:$BO$1001,MATCH(ROWS($AG$2:AG808),$AG$2:$AG$1001,0),MATCH(COLUMNS($AN$1006:BM1006),$AN$1006:$BO$1006,0)), HYPERLINK("#",""), HYPERLINK(CONCATENATE("#Metadata!", ADDRESS(INDEX($AI$2:$AI$1001,MATCH(ROWS($AG$2:AG808),$AG$2:$AG$1001,0),0), INDEX($AN$1004:$BO$1004,1,MATCH(COLUMNS($AN$1006:BM1006),$AN$1006:$BO$1006,0)))),"Fix")))</f>
        <v>0</v>
      </c>
      <c r="AB808" s="4">
        <f>IF(OR(INDEX($AH$2:$AH$1001,MATCH(ROWS($AG$2:AG808),$AG$2:$AG$1001,0),1)&gt;=100000,INDEX($AN$1005:$BO$1005,1,MATCH(COLUMNS($AN$1006:BN1006),$AN$1006:$BO$1006,0))&gt;=100000), " ",IF(INDEX($AN$2:$BO$1001,MATCH(ROWS($AG$2:AG808),$AG$2:$AG$1001,0),MATCH(COLUMNS($AN$1006:BN1006),$AN$1006:$BO$1006,0)), HYPERLINK("#",""), HYPERLINK(CONCATENATE("#Metadata!", ADDRESS(INDEX($AI$2:$AI$1001,MATCH(ROWS($AG$2:AG808),$AG$2:$AG$1001,0),0), INDEX($AN$1004:$BO$1004,1,MATCH(COLUMNS($AN$1006:BN1006),$AN$1006:$BO$1006,0)))),"Fix")))</f>
        <v>0</v>
      </c>
      <c r="AC808" s="4">
        <f>IF(OR(INDEX($AH$2:$AH$1001,MATCH(ROWS($AG$2:AG808),$AG$2:$AG$1001,0),1)&gt;=100000,INDEX($AN$1005:$BO$1005,1,MATCH(COLUMNS($AN$1006:BO1006),$AN$1006:$BO$1006,0))&gt;=100000), " ",IF(INDEX($AN$2:$BO$1001,MATCH(ROWS($AG$2:AG808),$AG$2:$AG$1001,0),MATCH(COLUMNS($AN$1006:BO1006),$AN$1006:$BO$1006,0)), HYPERLINK("#",""), HYPERLINK(CONCATENATE("#Metadata!", ADDRESS(INDEX($AI$2:$AI$1001,MATCH(ROWS($AG$2:AG808),$AG$2:$AG$1001,0),0), INDEX($AN$1004:$BO$1004,1,MATCH(COLUMNS($AN$1006:BO1006),$AN$1006:$BO$1006,0)))),"Fix")))</f>
        <v>0</v>
      </c>
      <c r="AG808">
        <v>0</v>
      </c>
      <c r="AH808">
        <v>0</v>
      </c>
      <c r="AI808">
        <v>0</v>
      </c>
      <c r="AJ808">
        <f>IF(AK808,TRUE,AND(AN808:BO808))</f>
        <v>0</v>
      </c>
      <c r="AK808">
        <f>COUNTBLANK(Metadata!B808:AC808)=COLUMNS(Metadata!B808:AC808)</f>
        <v>0</v>
      </c>
      <c r="AL808">
        <v>0</v>
      </c>
      <c r="AN808">
        <f>AND(IF(Metadata!B808="",FALSE,TRUE),COUNTIF(Metadata!B:B, Metadata!B808) = 1,NOT(ISERROR(SUMPRODUCT(SEARCH(MID(Metadata!B808,ROW(INDIRECT("1:"&amp;LEN(Metadata!B808))), 1),"0123456789abcdefghijklmnopqrstuvwxyzABCDEFGHIJKLMNOPQRSTUVWXYZ.")))))</f>
        <v>0</v>
      </c>
      <c r="AO808">
        <f>IF(Metadata!C808="",FALSE,TRUE)</f>
        <v>0</v>
      </c>
      <c r="AP808">
        <f>IF(Metadata!D808="",FALSE,TRUE)</f>
        <v>0</v>
      </c>
      <c r="AQ808">
        <f>OR(AND(IF(Metadata!E808="",FALSE,TRUE),OR(exact(Metadata!E808,"not collected"),exact(Metadata!E808,"not provided"),exact(Metadata!E808,"restricted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R808">
        <f>IF(Metadata!F808="",FALSE,TRUE)</f>
        <v>0</v>
      </c>
      <c r="AS808">
        <f>OR(AND(IF(Metadata!G808="",FALSE,TRUE),OR(exact(Metadata!G808,"not collected"),exact(Metadata!G808,"not provided"))),AND(IF(Metadata!G808="",FALSE,TRUE),OR(exact(Metadata!G808,"TRUE"),exact(Metadata!G808,"FALSE"))))</f>
        <v>0</v>
      </c>
      <c r="AT808">
        <f>OR(AND(IF(Metadata!H808="",FALSE,TRUE),OR(exact(Metadata!H808,"not collected"),exact(Metadata!H808,"not provided"),exact(Metadata!H808,"restricted access"))),AND(IF(Metadata!H808="",FALSE,ISNUMBER(VALUE(Metadata!H808))),Metadata!H808&gt;=-413.0))</f>
        <v>0</v>
      </c>
      <c r="AU808">
        <f>AND(IF(Metadata!I808="",FALSE,TRUE),exact(Metadata!I808,"meters"))</f>
        <v>0</v>
      </c>
      <c r="AV808">
        <f>AND(IF(Metadata!J808="",FALSE,TRUE),OR(exact(Metadata!J808,"Host-associated"),exact(Metadata!J808,"Free-living")))</f>
        <v>0</v>
      </c>
      <c r="AW808">
        <f>AND(IF(Metadata!K808="",FALSE,TRUE),OR(exact(Metadata!K808,"Animal"),exact(Metadata!K808,"Fungus"),exact(Metadata!K808,"Plant"),exact(Metadata!K808,"Saline"),exact(Metadata!K808,"Non-saline")))</f>
        <v>0</v>
      </c>
      <c r="AX808">
        <f>AND(IF(Metadata!L808="",FALSE,TRUE),OR(exact(Metadata!L808,"Plant secretion"),exact(Metadata!L808,"Plant rhizosphere"),exact(Metadata!L808,"Plant surface"),exact(Metadata!L808,"Plant corpus"),exact(Metadata!L808,"Fungus surface"),exact(Metadata!L808,"Fungus corpus"),exact(Metadata!L808,"Animal surface"),exact(Metadata!L808,"Animal proximal gut"),exact(Metadata!L808,"Animal corpus"),exact(Metadata!L808,"Animal distal gut"),exact(Metadata!L808,"Animal secretion"),exact(Metadata!L808,"Sub-surface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Y808">
        <f>IF(Metadata!M808="",FALSE,TRUE)</f>
        <v>0</v>
      </c>
      <c r="AZ808">
        <f>IF(Metadata!N808="",FALSE,TRUE)</f>
        <v>0</v>
      </c>
      <c r="BA808">
        <f>IF(Metadata!O808="",FALSE,TRUE)</f>
        <v>0</v>
      </c>
      <c r="BB808">
        <f>OR(AND(IF(Metadata!P808="",FALSE,TRUE),OR(exact(Metadata!P808,"not collected"),exact(Metadata!P808,"not provided"),exact(Metadata!P808,"restricted access"))),AND(IF(Metadata!P808="",FALSE,TRUE),OR(exact(Metadata!P808,"air"),exact(Metadata!P808,"built environment"),exact(Metadata!P808,"host-associated"),exact(Metadata!P808,"human-associated"),exact(Metadata!P808,"human-skin"),exact(Metadata!P808,"human-oral"),exact(Metadata!P808,"human-gut"),exact(Metadata!P808,"human-vaginal"),exact(Metadata!P808,"microbial mat/biofilm"),exact(Metadata!P808,"misc environment"),exact(Metadata!P808,"plant-associated"),exact(Metadata!P808,"sediment"),exact(Metadata!P808,"soil"),exact(Metadata!P808,"wastewater/sludge"),exact(Metadata!P808,"water"))))</f>
        <v>0</v>
      </c>
      <c r="BC808">
        <f>IF(Metadata!Q808="",FALSE,TRUE)</f>
        <v>0</v>
      </c>
      <c r="BD808">
        <f>IF(Metadata!R808="",FALSE,TRUE)</f>
        <v>0</v>
      </c>
      <c r="BE808">
        <f>OR(AND(IF(Metadata!S808="",FALSE,TRUE),OR(exact(Metadata!S808,"not collected"),exact(Metadata!S808,"not provided"),exact(Metadata!S808,"restricted access"))),AND(IF(Metadata!S808="",FALSE,ISNUMBER(VALUE(Metadata!S808))),Metadata!S808&gt;=-90.00,Metadata!S808&lt;=90.00))</f>
        <v>0</v>
      </c>
      <c r="BF808">
        <f>AND(IF(Metadata!T808="",FALSE,TRUE),exact(Metadata!T808,"Decimal degrees"))</f>
        <v>0</v>
      </c>
      <c r="BG808">
        <f>OR(AND(IF(Metadata!U808="",FALSE,TRUE),OR(exact(Metadata!U808,"not collected"),exact(Metadata!U808,"not provided"),exact(Metadata!U808,"restricted access"))),AND(IF(Metadata!U808="",FALSE,ISNUMBER(VALUE(Metadata!U808))),Metadata!U808&gt;=-180.00,Metadata!U808&lt;=180.00))</f>
        <v>0</v>
      </c>
      <c r="BH808">
        <f>AND(IF(Metadata!V808="",FALSE,TRUE),exact(Metadata!V808,"Decimal degrees"))</f>
        <v>0</v>
      </c>
      <c r="BI808">
        <f>IF(Metadata!W808="",FALSE,TRUE)</f>
        <v>0</v>
      </c>
      <c r="BJ808">
        <f>OR(AND(IF(Metadata!X808="",FALSE,TRUE),OR(exact(Metadata!X808,"not collected"),exact(Metadata!X808,"not provided"),exact(Metadata!X808,"restricted access"))),AND(IF(Metadata!X808="",FALSE,TRUE),OR(exact(Metadata!X808,"TRUE"),exact(Metadata!X808,"FALSE"))))</f>
        <v>0</v>
      </c>
      <c r="BK808">
        <f>AND(IF(Metadata!Y808="",FALSE,TRUE),exact(Metadata!Y808,"other"))</f>
        <v>0</v>
      </c>
      <c r="BL808">
        <f>IF(Metadata!Z808="",FALSE,TRUE)</f>
        <v>0</v>
      </c>
      <c r="BM808">
        <f>OR(AND(IF(Metadata!AA808="",FALSE,TRUE),OR(exact(Metadata!AA808,"not collected"),exact(Metadata!AA808,"not provided"))),AND(IF(Metadata!AA808="",FALSE,IF(ISERROR(INT(Metadata!AA808)),FALSE,INT(Metadata!AA808)=Metadata!AA808)),Metadata!AA808&gt;0))</f>
        <v>0</v>
      </c>
      <c r="BN808">
        <f>AND(IF(Metadata!AB808="",FALSE,TRUE),exact(Metadata!AB808,"Not applicable"))</f>
        <v>0</v>
      </c>
      <c r="BO808">
        <f>IF(Metadata!AC808="",FALSE,TRUE)</f>
        <v>0</v>
      </c>
    </row>
    <row r="809" spans="1:67">
      <c r="A809" s="5">
        <f>IF(B809=" "," ",HYPERLINK(CONCATENATE("#metadata!",ADDRESS(INDEX($AI$2:$AI$1001,MATCH(ROWS($AG$2:AG809),$AG$2:$AG$1001,0),0),1)),INDEX($AL$2:$AL$1001,MATCH(ROWS($AG$2:AG809),$AG$2:$AG$1001,0),0)))</f>
        <v>0</v>
      </c>
      <c r="B809" s="4">
        <f>IF(OR(INDEX($AH$2:$AH$1001,MATCH(ROWS($AG$2:AG809),$AG$2:$AG$1001,0),1)&gt;=100000,INDEX($AN$1005:$BO$1005,1,MATCH(COLUMNS($AN$1006:AN1006),$AN$1006:$BO$1006,0))&gt;=100000), " ",IF(INDEX($AN$2:$BO$1001,MATCH(ROWS($AG$2:AG809),$AG$2:$AG$1001,0),MATCH(COLUMNS($AN$1006:AN1006),$AN$1006:$BO$1006,0)), HYPERLINK("#",""), HYPERLINK(CONCATENATE("#Metadata!", ADDRESS(INDEX($AI$2:$AI$1001,MATCH(ROWS($AG$2:AG809),$AG$2:$AG$1001,0),0), INDEX($AN$1004:$BO$1004,1,MATCH(COLUMNS($AN$1006:AN1006),$AN$1006:$BO$1006,0)))),"Fix")))</f>
        <v>0</v>
      </c>
      <c r="C809" s="4">
        <f>IF(OR(INDEX($AH$2:$AH$1001,MATCH(ROWS($AG$2:AG809),$AG$2:$AG$1001,0),1)&gt;=100000,INDEX($AN$1005:$BO$1005,1,MATCH(COLUMNS($AN$1006:AO1006),$AN$1006:$BO$1006,0))&gt;=100000), " ",IF(INDEX($AN$2:$BO$1001,MATCH(ROWS($AG$2:AG809),$AG$2:$AG$1001,0),MATCH(COLUMNS($AN$1006:AO1006),$AN$1006:$BO$1006,0)), HYPERLINK("#",""), HYPERLINK(CONCATENATE("#Metadata!", ADDRESS(INDEX($AI$2:$AI$1001,MATCH(ROWS($AG$2:AG809),$AG$2:$AG$1001,0),0), INDEX($AN$1004:$BO$1004,1,MATCH(COLUMNS($AN$1006:AO1006),$AN$1006:$BO$1006,0)))),"Fix")))</f>
        <v>0</v>
      </c>
      <c r="D809" s="4">
        <f>IF(OR(INDEX($AH$2:$AH$1001,MATCH(ROWS($AG$2:AG809),$AG$2:$AG$1001,0),1)&gt;=100000,INDEX($AN$1005:$BO$1005,1,MATCH(COLUMNS($AN$1006:AP1006),$AN$1006:$BO$1006,0))&gt;=100000), " ",IF(INDEX($AN$2:$BO$1001,MATCH(ROWS($AG$2:AG809),$AG$2:$AG$1001,0),MATCH(COLUMNS($AN$1006:AP1006),$AN$1006:$BO$1006,0)), HYPERLINK("#",""), HYPERLINK(CONCATENATE("#Metadata!", ADDRESS(INDEX($AI$2:$AI$1001,MATCH(ROWS($AG$2:AG809),$AG$2:$AG$1001,0),0), INDEX($AN$1004:$BO$1004,1,MATCH(COLUMNS($AN$1006:AP1006),$AN$1006:$BO$1006,0)))),"Fix")))</f>
        <v>0</v>
      </c>
      <c r="E809" s="4">
        <f>IF(OR(INDEX($AH$2:$AH$1001,MATCH(ROWS($AG$2:AG809),$AG$2:$AG$1001,0),1)&gt;=100000,INDEX($AN$1005:$BO$1005,1,MATCH(COLUMNS($AN$1006:AQ1006),$AN$1006:$BO$1006,0))&gt;=100000), " ",IF(INDEX($AN$2:$BO$1001,MATCH(ROWS($AG$2:AG809),$AG$2:$AG$1001,0),MATCH(COLUMNS($AN$1006:AQ1006),$AN$1006:$BO$1006,0)), HYPERLINK("#",""), HYPERLINK(CONCATENATE("#Metadata!", ADDRESS(INDEX($AI$2:$AI$1001,MATCH(ROWS($AG$2:AG809),$AG$2:$AG$1001,0),0), INDEX($AN$1004:$BO$1004,1,MATCH(COLUMNS($AN$1006:AQ1006),$AN$1006:$BO$1006,0)))),"Fix")))</f>
        <v>0</v>
      </c>
      <c r="F809" s="4">
        <f>IF(OR(INDEX($AH$2:$AH$1001,MATCH(ROWS($AG$2:AG809),$AG$2:$AG$1001,0),1)&gt;=100000,INDEX($AN$1005:$BO$1005,1,MATCH(COLUMNS($AN$1006:AR1006),$AN$1006:$BO$1006,0))&gt;=100000), " ",IF(INDEX($AN$2:$BO$1001,MATCH(ROWS($AG$2:AG809),$AG$2:$AG$1001,0),MATCH(COLUMNS($AN$1006:AR1006),$AN$1006:$BO$1006,0)), HYPERLINK("#",""), HYPERLINK(CONCATENATE("#Metadata!", ADDRESS(INDEX($AI$2:$AI$1001,MATCH(ROWS($AG$2:AG809),$AG$2:$AG$1001,0),0), INDEX($AN$1004:$BO$1004,1,MATCH(COLUMNS($AN$1006:AR1006),$AN$1006:$BO$1006,0)))),"Fix")))</f>
        <v>0</v>
      </c>
      <c r="G809" s="4">
        <f>IF(OR(INDEX($AH$2:$AH$1001,MATCH(ROWS($AG$2:AG809),$AG$2:$AG$1001,0),1)&gt;=100000,INDEX($AN$1005:$BO$1005,1,MATCH(COLUMNS($AN$1006:AS1006),$AN$1006:$BO$1006,0))&gt;=100000), " ",IF(INDEX($AN$2:$BO$1001,MATCH(ROWS($AG$2:AG809),$AG$2:$AG$1001,0),MATCH(COLUMNS($AN$1006:AS1006),$AN$1006:$BO$1006,0)), HYPERLINK("#",""), HYPERLINK(CONCATENATE("#Metadata!", ADDRESS(INDEX($AI$2:$AI$1001,MATCH(ROWS($AG$2:AG809),$AG$2:$AG$1001,0),0), INDEX($AN$1004:$BO$1004,1,MATCH(COLUMNS($AN$1006:AS1006),$AN$1006:$BO$1006,0)))),"Fix")))</f>
        <v>0</v>
      </c>
      <c r="H809" s="4">
        <f>IF(OR(INDEX($AH$2:$AH$1001,MATCH(ROWS($AG$2:AG809),$AG$2:$AG$1001,0),1)&gt;=100000,INDEX($AN$1005:$BO$1005,1,MATCH(COLUMNS($AN$1006:AT1006),$AN$1006:$BO$1006,0))&gt;=100000), " ",IF(INDEX($AN$2:$BO$1001,MATCH(ROWS($AG$2:AG809),$AG$2:$AG$1001,0),MATCH(COLUMNS($AN$1006:AT1006),$AN$1006:$BO$1006,0)), HYPERLINK("#",""), HYPERLINK(CONCATENATE("#Metadata!", ADDRESS(INDEX($AI$2:$AI$1001,MATCH(ROWS($AG$2:AG809),$AG$2:$AG$1001,0),0), INDEX($AN$1004:$BO$1004,1,MATCH(COLUMNS($AN$1006:AT1006),$AN$1006:$BO$1006,0)))),"Fix")))</f>
        <v>0</v>
      </c>
      <c r="I809" s="4">
        <f>IF(OR(INDEX($AH$2:$AH$1001,MATCH(ROWS($AG$2:AG809),$AG$2:$AG$1001,0),1)&gt;=100000,INDEX($AN$1005:$BO$1005,1,MATCH(COLUMNS($AN$1006:AU1006),$AN$1006:$BO$1006,0))&gt;=100000), " ",IF(INDEX($AN$2:$BO$1001,MATCH(ROWS($AG$2:AG809),$AG$2:$AG$1001,0),MATCH(COLUMNS($AN$1006:AU1006),$AN$1006:$BO$1006,0)), HYPERLINK("#",""), HYPERLINK(CONCATENATE("#Metadata!", ADDRESS(INDEX($AI$2:$AI$1001,MATCH(ROWS($AG$2:AG809),$AG$2:$AG$1001,0),0), INDEX($AN$1004:$BO$1004,1,MATCH(COLUMNS($AN$1006:AU1006),$AN$1006:$BO$1006,0)))),"Fix")))</f>
        <v>0</v>
      </c>
      <c r="J809" s="4">
        <f>IF(OR(INDEX($AH$2:$AH$1001,MATCH(ROWS($AG$2:AG809),$AG$2:$AG$1001,0),1)&gt;=100000,INDEX($AN$1005:$BO$1005,1,MATCH(COLUMNS($AN$1006:AV1006),$AN$1006:$BO$1006,0))&gt;=100000), " ",IF(INDEX($AN$2:$BO$1001,MATCH(ROWS($AG$2:AG809),$AG$2:$AG$1001,0),MATCH(COLUMNS($AN$1006:AV1006),$AN$1006:$BO$1006,0)), HYPERLINK("#",""), HYPERLINK(CONCATENATE("#Metadata!", ADDRESS(INDEX($AI$2:$AI$1001,MATCH(ROWS($AG$2:AG809),$AG$2:$AG$1001,0),0), INDEX($AN$1004:$BO$1004,1,MATCH(COLUMNS($AN$1006:AV1006),$AN$1006:$BO$1006,0)))),"Fix")))</f>
        <v>0</v>
      </c>
      <c r="K809" s="4">
        <f>IF(OR(INDEX($AH$2:$AH$1001,MATCH(ROWS($AG$2:AG809),$AG$2:$AG$1001,0),1)&gt;=100000,INDEX($AN$1005:$BO$1005,1,MATCH(COLUMNS($AN$1006:AW1006),$AN$1006:$BO$1006,0))&gt;=100000), " ",IF(INDEX($AN$2:$BO$1001,MATCH(ROWS($AG$2:AG809),$AG$2:$AG$1001,0),MATCH(COLUMNS($AN$1006:AW1006),$AN$1006:$BO$1006,0)), HYPERLINK("#",""), HYPERLINK(CONCATENATE("#Metadata!", ADDRESS(INDEX($AI$2:$AI$1001,MATCH(ROWS($AG$2:AG809),$AG$2:$AG$1001,0),0), INDEX($AN$1004:$BO$1004,1,MATCH(COLUMNS($AN$1006:AW1006),$AN$1006:$BO$1006,0)))),"Fix")))</f>
        <v>0</v>
      </c>
      <c r="L809" s="4">
        <f>IF(OR(INDEX($AH$2:$AH$1001,MATCH(ROWS($AG$2:AG809),$AG$2:$AG$1001,0),1)&gt;=100000,INDEX($AN$1005:$BO$1005,1,MATCH(COLUMNS($AN$1006:AX1006),$AN$1006:$BO$1006,0))&gt;=100000), " ",IF(INDEX($AN$2:$BO$1001,MATCH(ROWS($AG$2:AG809),$AG$2:$AG$1001,0),MATCH(COLUMNS($AN$1006:AX1006),$AN$1006:$BO$1006,0)), HYPERLINK("#",""), HYPERLINK(CONCATENATE("#Metadata!", ADDRESS(INDEX($AI$2:$AI$1001,MATCH(ROWS($AG$2:AG809),$AG$2:$AG$1001,0),0), INDEX($AN$1004:$BO$1004,1,MATCH(COLUMNS($AN$1006:AX1006),$AN$1006:$BO$1006,0)))),"Fix")))</f>
        <v>0</v>
      </c>
      <c r="M809" s="4">
        <f>IF(OR(INDEX($AH$2:$AH$1001,MATCH(ROWS($AG$2:AG809),$AG$2:$AG$1001,0),1)&gt;=100000,INDEX($AN$1005:$BO$1005,1,MATCH(COLUMNS($AN$1006:AY1006),$AN$1006:$BO$1006,0))&gt;=100000), " ",IF(INDEX($AN$2:$BO$1001,MATCH(ROWS($AG$2:AG809),$AG$2:$AG$1001,0),MATCH(COLUMNS($AN$1006:AY1006),$AN$1006:$BO$1006,0)), HYPERLINK("#",""), HYPERLINK(CONCATENATE("#Metadata!", ADDRESS(INDEX($AI$2:$AI$1001,MATCH(ROWS($AG$2:AG809),$AG$2:$AG$1001,0),0), INDEX($AN$1004:$BO$1004,1,MATCH(COLUMNS($AN$1006:AY1006),$AN$1006:$BO$1006,0)))),"Fix")))</f>
        <v>0</v>
      </c>
      <c r="N809" s="4">
        <f>IF(OR(INDEX($AH$2:$AH$1001,MATCH(ROWS($AG$2:AG809),$AG$2:$AG$1001,0),1)&gt;=100000,INDEX($AN$1005:$BO$1005,1,MATCH(COLUMNS($AN$1006:AZ1006),$AN$1006:$BO$1006,0))&gt;=100000), " ",IF(INDEX($AN$2:$BO$1001,MATCH(ROWS($AG$2:AG809),$AG$2:$AG$1001,0),MATCH(COLUMNS($AN$1006:AZ1006),$AN$1006:$BO$1006,0)), HYPERLINK("#",""), HYPERLINK(CONCATENATE("#Metadata!", ADDRESS(INDEX($AI$2:$AI$1001,MATCH(ROWS($AG$2:AG809),$AG$2:$AG$1001,0),0), INDEX($AN$1004:$BO$1004,1,MATCH(COLUMNS($AN$1006:AZ1006),$AN$1006:$BO$1006,0)))),"Fix")))</f>
        <v>0</v>
      </c>
      <c r="O809" s="4">
        <f>IF(OR(INDEX($AH$2:$AH$1001,MATCH(ROWS($AG$2:AG809),$AG$2:$AG$1001,0),1)&gt;=100000,INDEX($AN$1005:$BO$1005,1,MATCH(COLUMNS($AN$1006:BA1006),$AN$1006:$BO$1006,0))&gt;=100000), " ",IF(INDEX($AN$2:$BO$1001,MATCH(ROWS($AG$2:AG809),$AG$2:$AG$1001,0),MATCH(COLUMNS($AN$1006:BA1006),$AN$1006:$BO$1006,0)), HYPERLINK("#",""), HYPERLINK(CONCATENATE("#Metadata!", ADDRESS(INDEX($AI$2:$AI$1001,MATCH(ROWS($AG$2:AG809),$AG$2:$AG$1001,0),0), INDEX($AN$1004:$BO$1004,1,MATCH(COLUMNS($AN$1006:BA1006),$AN$1006:$BO$1006,0)))),"Fix")))</f>
        <v>0</v>
      </c>
      <c r="P809" s="4">
        <f>IF(OR(INDEX($AH$2:$AH$1001,MATCH(ROWS($AG$2:AG809),$AG$2:$AG$1001,0),1)&gt;=100000,INDEX($AN$1005:$BO$1005,1,MATCH(COLUMNS($AN$1006:BB1006),$AN$1006:$BO$1006,0))&gt;=100000), " ",IF(INDEX($AN$2:$BO$1001,MATCH(ROWS($AG$2:AG809),$AG$2:$AG$1001,0),MATCH(COLUMNS($AN$1006:BB1006),$AN$1006:$BO$1006,0)), HYPERLINK("#",""), HYPERLINK(CONCATENATE("#Metadata!", ADDRESS(INDEX($AI$2:$AI$1001,MATCH(ROWS($AG$2:AG809),$AG$2:$AG$1001,0),0), INDEX($AN$1004:$BO$1004,1,MATCH(COLUMNS($AN$1006:BB1006),$AN$1006:$BO$1006,0)))),"Fix")))</f>
        <v>0</v>
      </c>
      <c r="Q809" s="4">
        <f>IF(OR(INDEX($AH$2:$AH$1001,MATCH(ROWS($AG$2:AG809),$AG$2:$AG$1001,0),1)&gt;=100000,INDEX($AN$1005:$BO$1005,1,MATCH(COLUMNS($AN$1006:BC1006),$AN$1006:$BO$1006,0))&gt;=100000), " ",IF(INDEX($AN$2:$BO$1001,MATCH(ROWS($AG$2:AG809),$AG$2:$AG$1001,0),MATCH(COLUMNS($AN$1006:BC1006),$AN$1006:$BO$1006,0)), HYPERLINK("#",""), HYPERLINK(CONCATENATE("#Metadata!", ADDRESS(INDEX($AI$2:$AI$1001,MATCH(ROWS($AG$2:AG809),$AG$2:$AG$1001,0),0), INDEX($AN$1004:$BO$1004,1,MATCH(COLUMNS($AN$1006:BC1006),$AN$1006:$BO$1006,0)))),"Fix")))</f>
        <v>0</v>
      </c>
      <c r="R809" s="4">
        <f>IF(OR(INDEX($AH$2:$AH$1001,MATCH(ROWS($AG$2:AG809),$AG$2:$AG$1001,0),1)&gt;=100000,INDEX($AN$1005:$BO$1005,1,MATCH(COLUMNS($AN$1006:BD1006),$AN$1006:$BO$1006,0))&gt;=100000), " ",IF(INDEX($AN$2:$BO$1001,MATCH(ROWS($AG$2:AG809),$AG$2:$AG$1001,0),MATCH(COLUMNS($AN$1006:BD1006),$AN$1006:$BO$1006,0)), HYPERLINK("#",""), HYPERLINK(CONCATENATE("#Metadata!", ADDRESS(INDEX($AI$2:$AI$1001,MATCH(ROWS($AG$2:AG809),$AG$2:$AG$1001,0),0), INDEX($AN$1004:$BO$1004,1,MATCH(COLUMNS($AN$1006:BD1006),$AN$1006:$BO$1006,0)))),"Fix")))</f>
        <v>0</v>
      </c>
      <c r="S809" s="4">
        <f>IF(OR(INDEX($AH$2:$AH$1001,MATCH(ROWS($AG$2:AG809),$AG$2:$AG$1001,0),1)&gt;=100000,INDEX($AN$1005:$BO$1005,1,MATCH(COLUMNS($AN$1006:BE1006),$AN$1006:$BO$1006,0))&gt;=100000), " ",IF(INDEX($AN$2:$BO$1001,MATCH(ROWS($AG$2:AG809),$AG$2:$AG$1001,0),MATCH(COLUMNS($AN$1006:BE1006),$AN$1006:$BO$1006,0)), HYPERLINK("#",""), HYPERLINK(CONCATENATE("#Metadata!", ADDRESS(INDEX($AI$2:$AI$1001,MATCH(ROWS($AG$2:AG809),$AG$2:$AG$1001,0),0), INDEX($AN$1004:$BO$1004,1,MATCH(COLUMNS($AN$1006:BE1006),$AN$1006:$BO$1006,0)))),"Fix")))</f>
        <v>0</v>
      </c>
      <c r="T809" s="4">
        <f>IF(OR(INDEX($AH$2:$AH$1001,MATCH(ROWS($AG$2:AG809),$AG$2:$AG$1001,0),1)&gt;=100000,INDEX($AN$1005:$BO$1005,1,MATCH(COLUMNS($AN$1006:BF1006),$AN$1006:$BO$1006,0))&gt;=100000), " ",IF(INDEX($AN$2:$BO$1001,MATCH(ROWS($AG$2:AG809),$AG$2:$AG$1001,0),MATCH(COLUMNS($AN$1006:BF1006),$AN$1006:$BO$1006,0)), HYPERLINK("#",""), HYPERLINK(CONCATENATE("#Metadata!", ADDRESS(INDEX($AI$2:$AI$1001,MATCH(ROWS($AG$2:AG809),$AG$2:$AG$1001,0),0), INDEX($AN$1004:$BO$1004,1,MATCH(COLUMNS($AN$1006:BF1006),$AN$1006:$BO$1006,0)))),"Fix")))</f>
        <v>0</v>
      </c>
      <c r="U809" s="4">
        <f>IF(OR(INDEX($AH$2:$AH$1001,MATCH(ROWS($AG$2:AG809),$AG$2:$AG$1001,0),1)&gt;=100000,INDEX($AN$1005:$BO$1005,1,MATCH(COLUMNS($AN$1006:BG1006),$AN$1006:$BO$1006,0))&gt;=100000), " ",IF(INDEX($AN$2:$BO$1001,MATCH(ROWS($AG$2:AG809),$AG$2:$AG$1001,0),MATCH(COLUMNS($AN$1006:BG1006),$AN$1006:$BO$1006,0)), HYPERLINK("#",""), HYPERLINK(CONCATENATE("#Metadata!", ADDRESS(INDEX($AI$2:$AI$1001,MATCH(ROWS($AG$2:AG809),$AG$2:$AG$1001,0),0), INDEX($AN$1004:$BO$1004,1,MATCH(COLUMNS($AN$1006:BG1006),$AN$1006:$BO$1006,0)))),"Fix")))</f>
        <v>0</v>
      </c>
      <c r="V809" s="4">
        <f>IF(OR(INDEX($AH$2:$AH$1001,MATCH(ROWS($AG$2:AG809),$AG$2:$AG$1001,0),1)&gt;=100000,INDEX($AN$1005:$BO$1005,1,MATCH(COLUMNS($AN$1006:BH1006),$AN$1006:$BO$1006,0))&gt;=100000), " ",IF(INDEX($AN$2:$BO$1001,MATCH(ROWS($AG$2:AG809),$AG$2:$AG$1001,0),MATCH(COLUMNS($AN$1006:BH1006),$AN$1006:$BO$1006,0)), HYPERLINK("#",""), HYPERLINK(CONCATENATE("#Metadata!", ADDRESS(INDEX($AI$2:$AI$1001,MATCH(ROWS($AG$2:AG809),$AG$2:$AG$1001,0),0), INDEX($AN$1004:$BO$1004,1,MATCH(COLUMNS($AN$1006:BH1006),$AN$1006:$BO$1006,0)))),"Fix")))</f>
        <v>0</v>
      </c>
      <c r="W809" s="4">
        <f>IF(OR(INDEX($AH$2:$AH$1001,MATCH(ROWS($AG$2:AG809),$AG$2:$AG$1001,0),1)&gt;=100000,INDEX($AN$1005:$BO$1005,1,MATCH(COLUMNS($AN$1006:BI1006),$AN$1006:$BO$1006,0))&gt;=100000), " ",IF(INDEX($AN$2:$BO$1001,MATCH(ROWS($AG$2:AG809),$AG$2:$AG$1001,0),MATCH(COLUMNS($AN$1006:BI1006),$AN$1006:$BO$1006,0)), HYPERLINK("#",""), HYPERLINK(CONCATENATE("#Metadata!", ADDRESS(INDEX($AI$2:$AI$1001,MATCH(ROWS($AG$2:AG809),$AG$2:$AG$1001,0),0), INDEX($AN$1004:$BO$1004,1,MATCH(COLUMNS($AN$1006:BI1006),$AN$1006:$BO$1006,0)))),"Fix")))</f>
        <v>0</v>
      </c>
      <c r="X809" s="4">
        <f>IF(OR(INDEX($AH$2:$AH$1001,MATCH(ROWS($AG$2:AG809),$AG$2:$AG$1001,0),1)&gt;=100000,INDEX($AN$1005:$BO$1005,1,MATCH(COLUMNS($AN$1006:BJ1006),$AN$1006:$BO$1006,0))&gt;=100000), " ",IF(INDEX($AN$2:$BO$1001,MATCH(ROWS($AG$2:AG809),$AG$2:$AG$1001,0),MATCH(COLUMNS($AN$1006:BJ1006),$AN$1006:$BO$1006,0)), HYPERLINK("#",""), HYPERLINK(CONCATENATE("#Metadata!", ADDRESS(INDEX($AI$2:$AI$1001,MATCH(ROWS($AG$2:AG809),$AG$2:$AG$1001,0),0), INDEX($AN$1004:$BO$1004,1,MATCH(COLUMNS($AN$1006:BJ1006),$AN$1006:$BO$1006,0)))),"Fix")))</f>
        <v>0</v>
      </c>
      <c r="Y809" s="4">
        <f>IF(OR(INDEX($AH$2:$AH$1001,MATCH(ROWS($AG$2:AG809),$AG$2:$AG$1001,0),1)&gt;=100000,INDEX($AN$1005:$BO$1005,1,MATCH(COLUMNS($AN$1006:BK1006),$AN$1006:$BO$1006,0))&gt;=100000), " ",IF(INDEX($AN$2:$BO$1001,MATCH(ROWS($AG$2:AG809),$AG$2:$AG$1001,0),MATCH(COLUMNS($AN$1006:BK1006),$AN$1006:$BO$1006,0)), HYPERLINK("#",""), HYPERLINK(CONCATENATE("#Metadata!", ADDRESS(INDEX($AI$2:$AI$1001,MATCH(ROWS($AG$2:AG809),$AG$2:$AG$1001,0),0), INDEX($AN$1004:$BO$1004,1,MATCH(COLUMNS($AN$1006:BK1006),$AN$1006:$BO$1006,0)))),"Fix")))</f>
        <v>0</v>
      </c>
      <c r="Z809" s="4">
        <f>IF(OR(INDEX($AH$2:$AH$1001,MATCH(ROWS($AG$2:AG809),$AG$2:$AG$1001,0),1)&gt;=100000,INDEX($AN$1005:$BO$1005,1,MATCH(COLUMNS($AN$1006:BL1006),$AN$1006:$BO$1006,0))&gt;=100000), " ",IF(INDEX($AN$2:$BO$1001,MATCH(ROWS($AG$2:AG809),$AG$2:$AG$1001,0),MATCH(COLUMNS($AN$1006:BL1006),$AN$1006:$BO$1006,0)), HYPERLINK("#",""), HYPERLINK(CONCATENATE("#Metadata!", ADDRESS(INDEX($AI$2:$AI$1001,MATCH(ROWS($AG$2:AG809),$AG$2:$AG$1001,0),0), INDEX($AN$1004:$BO$1004,1,MATCH(COLUMNS($AN$1006:BL1006),$AN$1006:$BO$1006,0)))),"Fix")))</f>
        <v>0</v>
      </c>
      <c r="AA809" s="4">
        <f>IF(OR(INDEX($AH$2:$AH$1001,MATCH(ROWS($AG$2:AG809),$AG$2:$AG$1001,0),1)&gt;=100000,INDEX($AN$1005:$BO$1005,1,MATCH(COLUMNS($AN$1006:BM1006),$AN$1006:$BO$1006,0))&gt;=100000), " ",IF(INDEX($AN$2:$BO$1001,MATCH(ROWS($AG$2:AG809),$AG$2:$AG$1001,0),MATCH(COLUMNS($AN$1006:BM1006),$AN$1006:$BO$1006,0)), HYPERLINK("#",""), HYPERLINK(CONCATENATE("#Metadata!", ADDRESS(INDEX($AI$2:$AI$1001,MATCH(ROWS($AG$2:AG809),$AG$2:$AG$1001,0),0), INDEX($AN$1004:$BO$1004,1,MATCH(COLUMNS($AN$1006:BM1006),$AN$1006:$BO$1006,0)))),"Fix")))</f>
        <v>0</v>
      </c>
      <c r="AB809" s="4">
        <f>IF(OR(INDEX($AH$2:$AH$1001,MATCH(ROWS($AG$2:AG809),$AG$2:$AG$1001,0),1)&gt;=100000,INDEX($AN$1005:$BO$1005,1,MATCH(COLUMNS($AN$1006:BN1006),$AN$1006:$BO$1006,0))&gt;=100000), " ",IF(INDEX($AN$2:$BO$1001,MATCH(ROWS($AG$2:AG809),$AG$2:$AG$1001,0),MATCH(COLUMNS($AN$1006:BN1006),$AN$1006:$BO$1006,0)), HYPERLINK("#",""), HYPERLINK(CONCATENATE("#Metadata!", ADDRESS(INDEX($AI$2:$AI$1001,MATCH(ROWS($AG$2:AG809),$AG$2:$AG$1001,0),0), INDEX($AN$1004:$BO$1004,1,MATCH(COLUMNS($AN$1006:BN1006),$AN$1006:$BO$1006,0)))),"Fix")))</f>
        <v>0</v>
      </c>
      <c r="AC809" s="4">
        <f>IF(OR(INDEX($AH$2:$AH$1001,MATCH(ROWS($AG$2:AG809),$AG$2:$AG$1001,0),1)&gt;=100000,INDEX($AN$1005:$BO$1005,1,MATCH(COLUMNS($AN$1006:BO1006),$AN$1006:$BO$1006,0))&gt;=100000), " ",IF(INDEX($AN$2:$BO$1001,MATCH(ROWS($AG$2:AG809),$AG$2:$AG$1001,0),MATCH(COLUMNS($AN$1006:BO1006),$AN$1006:$BO$1006,0)), HYPERLINK("#",""), HYPERLINK(CONCATENATE("#Metadata!", ADDRESS(INDEX($AI$2:$AI$1001,MATCH(ROWS($AG$2:AG809),$AG$2:$AG$1001,0),0), INDEX($AN$1004:$BO$1004,1,MATCH(COLUMNS($AN$1006:BO1006),$AN$1006:$BO$1006,0)))),"Fix")))</f>
        <v>0</v>
      </c>
      <c r="AG809">
        <v>0</v>
      </c>
      <c r="AH809">
        <v>0</v>
      </c>
      <c r="AI809">
        <v>0</v>
      </c>
      <c r="AJ809">
        <f>IF(AK809,TRUE,AND(AN809:BO809))</f>
        <v>0</v>
      </c>
      <c r="AK809">
        <f>COUNTBLANK(Metadata!B809:AC809)=COLUMNS(Metadata!B809:AC809)</f>
        <v>0</v>
      </c>
      <c r="AL809">
        <v>0</v>
      </c>
      <c r="AN809">
        <f>AND(IF(Metadata!B809="",FALSE,TRUE),COUNTIF(Metadata!B:B, Metadata!B809) = 1,NOT(ISERROR(SUMPRODUCT(SEARCH(MID(Metadata!B809,ROW(INDIRECT("1:"&amp;LEN(Metadata!B809))), 1),"0123456789abcdefghijklmnopqrstuvwxyzABCDEFGHIJKLMNOPQRSTUVWXYZ.")))))</f>
        <v>0</v>
      </c>
      <c r="AO809">
        <f>IF(Metadata!C809="",FALSE,TRUE)</f>
        <v>0</v>
      </c>
      <c r="AP809">
        <f>IF(Metadata!D809="",FALSE,TRUE)</f>
        <v>0</v>
      </c>
      <c r="AQ809">
        <f>OR(AND(IF(Metadata!E809="",FALSE,TRUE),OR(exact(Metadata!E809,"not collected"),exact(Metadata!E809,"not provided"),exact(Metadata!E809,"restricted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R809">
        <f>IF(Metadata!F809="",FALSE,TRUE)</f>
        <v>0</v>
      </c>
      <c r="AS809">
        <f>OR(AND(IF(Metadata!G809="",FALSE,TRUE),OR(exact(Metadata!G809,"not collected"),exact(Metadata!G809,"not provided"))),AND(IF(Metadata!G809="",FALSE,TRUE),OR(exact(Metadata!G809,"TRUE"),exact(Metadata!G809,"FALSE"))))</f>
        <v>0</v>
      </c>
      <c r="AT809">
        <f>OR(AND(IF(Metadata!H809="",FALSE,TRUE),OR(exact(Metadata!H809,"not collected"),exact(Metadata!H809,"not provided"),exact(Metadata!H809,"restricted access"))),AND(IF(Metadata!H809="",FALSE,ISNUMBER(VALUE(Metadata!H809))),Metadata!H809&gt;=-413.0))</f>
        <v>0</v>
      </c>
      <c r="AU809">
        <f>AND(IF(Metadata!I809="",FALSE,TRUE),exact(Metadata!I809,"meters"))</f>
        <v>0</v>
      </c>
      <c r="AV809">
        <f>AND(IF(Metadata!J809="",FALSE,TRUE),OR(exact(Metadata!J809,"Host-associated"),exact(Metadata!J809,"Free-living")))</f>
        <v>0</v>
      </c>
      <c r="AW809">
        <f>AND(IF(Metadata!K809="",FALSE,TRUE),OR(exact(Metadata!K809,"Animal"),exact(Metadata!K809,"Fungus"),exact(Metadata!K809,"Plant"),exact(Metadata!K809,"Saline"),exact(Metadata!K809,"Non-saline")))</f>
        <v>0</v>
      </c>
      <c r="AX809">
        <f>AND(IF(Metadata!L809="",FALSE,TRUE),OR(exact(Metadata!L809,"Plant secretion"),exact(Metadata!L809,"Plant rhizosphere"),exact(Metadata!L809,"Plant surface"),exact(Metadata!L809,"Plant corpus"),exact(Metadata!L809,"Fungus surface"),exact(Metadata!L809,"Fungus corpus"),exact(Metadata!L809,"Animal surface"),exact(Metadata!L809,"Animal proximal gut"),exact(Metadata!L809,"Animal corpus"),exact(Metadata!L809,"Animal distal gut"),exact(Metadata!L809,"Animal secretion"),exact(Metadata!L809,"Sub-surface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Y809">
        <f>IF(Metadata!M809="",FALSE,TRUE)</f>
        <v>0</v>
      </c>
      <c r="AZ809">
        <f>IF(Metadata!N809="",FALSE,TRUE)</f>
        <v>0</v>
      </c>
      <c r="BA809">
        <f>IF(Metadata!O809="",FALSE,TRUE)</f>
        <v>0</v>
      </c>
      <c r="BB809">
        <f>OR(AND(IF(Metadata!P809="",FALSE,TRUE),OR(exact(Metadata!P809,"not collected"),exact(Metadata!P809,"not provided"),exact(Metadata!P809,"restricted access"))),AND(IF(Metadata!P809="",FALSE,TRUE),OR(exact(Metadata!P809,"air"),exact(Metadata!P809,"built environment"),exact(Metadata!P809,"host-associated"),exact(Metadata!P809,"human-associated"),exact(Metadata!P809,"human-skin"),exact(Metadata!P809,"human-oral"),exact(Metadata!P809,"human-gut"),exact(Metadata!P809,"human-vaginal"),exact(Metadata!P809,"microbial mat/biofilm"),exact(Metadata!P809,"misc environment"),exact(Metadata!P809,"plant-associated"),exact(Metadata!P809,"sediment"),exact(Metadata!P809,"soil"),exact(Metadata!P809,"wastewater/sludge"),exact(Metadata!P809,"water"))))</f>
        <v>0</v>
      </c>
      <c r="BC809">
        <f>IF(Metadata!Q809="",FALSE,TRUE)</f>
        <v>0</v>
      </c>
      <c r="BD809">
        <f>IF(Metadata!R809="",FALSE,TRUE)</f>
        <v>0</v>
      </c>
      <c r="BE809">
        <f>OR(AND(IF(Metadata!S809="",FALSE,TRUE),OR(exact(Metadata!S809,"not collected"),exact(Metadata!S809,"not provided"),exact(Metadata!S809,"restricted access"))),AND(IF(Metadata!S809="",FALSE,ISNUMBER(VALUE(Metadata!S809))),Metadata!S809&gt;=-90.00,Metadata!S809&lt;=90.00))</f>
        <v>0</v>
      </c>
      <c r="BF809">
        <f>AND(IF(Metadata!T809="",FALSE,TRUE),exact(Metadata!T809,"Decimal degrees"))</f>
        <v>0</v>
      </c>
      <c r="BG809">
        <f>OR(AND(IF(Metadata!U809="",FALSE,TRUE),OR(exact(Metadata!U809,"not collected"),exact(Metadata!U809,"not provided"),exact(Metadata!U809,"restricted access"))),AND(IF(Metadata!U809="",FALSE,ISNUMBER(VALUE(Metadata!U809))),Metadata!U809&gt;=-180.00,Metadata!U809&lt;=180.00))</f>
        <v>0</v>
      </c>
      <c r="BH809">
        <f>AND(IF(Metadata!V809="",FALSE,TRUE),exact(Metadata!V809,"Decimal degrees"))</f>
        <v>0</v>
      </c>
      <c r="BI809">
        <f>IF(Metadata!W809="",FALSE,TRUE)</f>
        <v>0</v>
      </c>
      <c r="BJ809">
        <f>OR(AND(IF(Metadata!X809="",FALSE,TRUE),OR(exact(Metadata!X809,"not collected"),exact(Metadata!X809,"not provided"),exact(Metadata!X809,"restricted access"))),AND(IF(Metadata!X809="",FALSE,TRUE),OR(exact(Metadata!X809,"TRUE"),exact(Metadata!X809,"FALSE"))))</f>
        <v>0</v>
      </c>
      <c r="BK809">
        <f>AND(IF(Metadata!Y809="",FALSE,TRUE),exact(Metadata!Y809,"other"))</f>
        <v>0</v>
      </c>
      <c r="BL809">
        <f>IF(Metadata!Z809="",FALSE,TRUE)</f>
        <v>0</v>
      </c>
      <c r="BM809">
        <f>OR(AND(IF(Metadata!AA809="",FALSE,TRUE),OR(exact(Metadata!AA809,"not collected"),exact(Metadata!AA809,"not provided"))),AND(IF(Metadata!AA809="",FALSE,IF(ISERROR(INT(Metadata!AA809)),FALSE,INT(Metadata!AA809)=Metadata!AA809)),Metadata!AA809&gt;0))</f>
        <v>0</v>
      </c>
      <c r="BN809">
        <f>AND(IF(Metadata!AB809="",FALSE,TRUE),exact(Metadata!AB809,"Not applicable"))</f>
        <v>0</v>
      </c>
      <c r="BO809">
        <f>IF(Metadata!AC809="",FALSE,TRUE)</f>
        <v>0</v>
      </c>
    </row>
    <row r="810" spans="1:67">
      <c r="A810" s="5">
        <f>IF(B810=" "," ",HYPERLINK(CONCATENATE("#metadata!",ADDRESS(INDEX($AI$2:$AI$1001,MATCH(ROWS($AG$2:AG810),$AG$2:$AG$1001,0),0),1)),INDEX($AL$2:$AL$1001,MATCH(ROWS($AG$2:AG810),$AG$2:$AG$1001,0),0)))</f>
        <v>0</v>
      </c>
      <c r="B810" s="4">
        <f>IF(OR(INDEX($AH$2:$AH$1001,MATCH(ROWS($AG$2:AG810),$AG$2:$AG$1001,0),1)&gt;=100000,INDEX($AN$1005:$BO$1005,1,MATCH(COLUMNS($AN$1006:AN1006),$AN$1006:$BO$1006,0))&gt;=100000), " ",IF(INDEX($AN$2:$BO$1001,MATCH(ROWS($AG$2:AG810),$AG$2:$AG$1001,0),MATCH(COLUMNS($AN$1006:AN1006),$AN$1006:$BO$1006,0)), HYPERLINK("#",""), HYPERLINK(CONCATENATE("#Metadata!", ADDRESS(INDEX($AI$2:$AI$1001,MATCH(ROWS($AG$2:AG810),$AG$2:$AG$1001,0),0), INDEX($AN$1004:$BO$1004,1,MATCH(COLUMNS($AN$1006:AN1006),$AN$1006:$BO$1006,0)))),"Fix")))</f>
        <v>0</v>
      </c>
      <c r="C810" s="4">
        <f>IF(OR(INDEX($AH$2:$AH$1001,MATCH(ROWS($AG$2:AG810),$AG$2:$AG$1001,0),1)&gt;=100000,INDEX($AN$1005:$BO$1005,1,MATCH(COLUMNS($AN$1006:AO1006),$AN$1006:$BO$1006,0))&gt;=100000), " ",IF(INDEX($AN$2:$BO$1001,MATCH(ROWS($AG$2:AG810),$AG$2:$AG$1001,0),MATCH(COLUMNS($AN$1006:AO1006),$AN$1006:$BO$1006,0)), HYPERLINK("#",""), HYPERLINK(CONCATENATE("#Metadata!", ADDRESS(INDEX($AI$2:$AI$1001,MATCH(ROWS($AG$2:AG810),$AG$2:$AG$1001,0),0), INDEX($AN$1004:$BO$1004,1,MATCH(COLUMNS($AN$1006:AO1006),$AN$1006:$BO$1006,0)))),"Fix")))</f>
        <v>0</v>
      </c>
      <c r="D810" s="4">
        <f>IF(OR(INDEX($AH$2:$AH$1001,MATCH(ROWS($AG$2:AG810),$AG$2:$AG$1001,0),1)&gt;=100000,INDEX($AN$1005:$BO$1005,1,MATCH(COLUMNS($AN$1006:AP1006),$AN$1006:$BO$1006,0))&gt;=100000), " ",IF(INDEX($AN$2:$BO$1001,MATCH(ROWS($AG$2:AG810),$AG$2:$AG$1001,0),MATCH(COLUMNS($AN$1006:AP1006),$AN$1006:$BO$1006,0)), HYPERLINK("#",""), HYPERLINK(CONCATENATE("#Metadata!", ADDRESS(INDEX($AI$2:$AI$1001,MATCH(ROWS($AG$2:AG810),$AG$2:$AG$1001,0),0), INDEX($AN$1004:$BO$1004,1,MATCH(COLUMNS($AN$1006:AP1006),$AN$1006:$BO$1006,0)))),"Fix")))</f>
        <v>0</v>
      </c>
      <c r="E810" s="4">
        <f>IF(OR(INDEX($AH$2:$AH$1001,MATCH(ROWS($AG$2:AG810),$AG$2:$AG$1001,0),1)&gt;=100000,INDEX($AN$1005:$BO$1005,1,MATCH(COLUMNS($AN$1006:AQ1006),$AN$1006:$BO$1006,0))&gt;=100000), " ",IF(INDEX($AN$2:$BO$1001,MATCH(ROWS($AG$2:AG810),$AG$2:$AG$1001,0),MATCH(COLUMNS($AN$1006:AQ1006),$AN$1006:$BO$1006,0)), HYPERLINK("#",""), HYPERLINK(CONCATENATE("#Metadata!", ADDRESS(INDEX($AI$2:$AI$1001,MATCH(ROWS($AG$2:AG810),$AG$2:$AG$1001,0),0), INDEX($AN$1004:$BO$1004,1,MATCH(COLUMNS($AN$1006:AQ1006),$AN$1006:$BO$1006,0)))),"Fix")))</f>
        <v>0</v>
      </c>
      <c r="F810" s="4">
        <f>IF(OR(INDEX($AH$2:$AH$1001,MATCH(ROWS($AG$2:AG810),$AG$2:$AG$1001,0),1)&gt;=100000,INDEX($AN$1005:$BO$1005,1,MATCH(COLUMNS($AN$1006:AR1006),$AN$1006:$BO$1006,0))&gt;=100000), " ",IF(INDEX($AN$2:$BO$1001,MATCH(ROWS($AG$2:AG810),$AG$2:$AG$1001,0),MATCH(COLUMNS($AN$1006:AR1006),$AN$1006:$BO$1006,0)), HYPERLINK("#",""), HYPERLINK(CONCATENATE("#Metadata!", ADDRESS(INDEX($AI$2:$AI$1001,MATCH(ROWS($AG$2:AG810),$AG$2:$AG$1001,0),0), INDEX($AN$1004:$BO$1004,1,MATCH(COLUMNS($AN$1006:AR1006),$AN$1006:$BO$1006,0)))),"Fix")))</f>
        <v>0</v>
      </c>
      <c r="G810" s="4">
        <f>IF(OR(INDEX($AH$2:$AH$1001,MATCH(ROWS($AG$2:AG810),$AG$2:$AG$1001,0),1)&gt;=100000,INDEX($AN$1005:$BO$1005,1,MATCH(COLUMNS($AN$1006:AS1006),$AN$1006:$BO$1006,0))&gt;=100000), " ",IF(INDEX($AN$2:$BO$1001,MATCH(ROWS($AG$2:AG810),$AG$2:$AG$1001,0),MATCH(COLUMNS($AN$1006:AS1006),$AN$1006:$BO$1006,0)), HYPERLINK("#",""), HYPERLINK(CONCATENATE("#Metadata!", ADDRESS(INDEX($AI$2:$AI$1001,MATCH(ROWS($AG$2:AG810),$AG$2:$AG$1001,0),0), INDEX($AN$1004:$BO$1004,1,MATCH(COLUMNS($AN$1006:AS1006),$AN$1006:$BO$1006,0)))),"Fix")))</f>
        <v>0</v>
      </c>
      <c r="H810" s="4">
        <f>IF(OR(INDEX($AH$2:$AH$1001,MATCH(ROWS($AG$2:AG810),$AG$2:$AG$1001,0),1)&gt;=100000,INDEX($AN$1005:$BO$1005,1,MATCH(COLUMNS($AN$1006:AT1006),$AN$1006:$BO$1006,0))&gt;=100000), " ",IF(INDEX($AN$2:$BO$1001,MATCH(ROWS($AG$2:AG810),$AG$2:$AG$1001,0),MATCH(COLUMNS($AN$1006:AT1006),$AN$1006:$BO$1006,0)), HYPERLINK("#",""), HYPERLINK(CONCATENATE("#Metadata!", ADDRESS(INDEX($AI$2:$AI$1001,MATCH(ROWS($AG$2:AG810),$AG$2:$AG$1001,0),0), INDEX($AN$1004:$BO$1004,1,MATCH(COLUMNS($AN$1006:AT1006),$AN$1006:$BO$1006,0)))),"Fix")))</f>
        <v>0</v>
      </c>
      <c r="I810" s="4">
        <f>IF(OR(INDEX($AH$2:$AH$1001,MATCH(ROWS($AG$2:AG810),$AG$2:$AG$1001,0),1)&gt;=100000,INDEX($AN$1005:$BO$1005,1,MATCH(COLUMNS($AN$1006:AU1006),$AN$1006:$BO$1006,0))&gt;=100000), " ",IF(INDEX($AN$2:$BO$1001,MATCH(ROWS($AG$2:AG810),$AG$2:$AG$1001,0),MATCH(COLUMNS($AN$1006:AU1006),$AN$1006:$BO$1006,0)), HYPERLINK("#",""), HYPERLINK(CONCATENATE("#Metadata!", ADDRESS(INDEX($AI$2:$AI$1001,MATCH(ROWS($AG$2:AG810),$AG$2:$AG$1001,0),0), INDEX($AN$1004:$BO$1004,1,MATCH(COLUMNS($AN$1006:AU1006),$AN$1006:$BO$1006,0)))),"Fix")))</f>
        <v>0</v>
      </c>
      <c r="J810" s="4">
        <f>IF(OR(INDEX($AH$2:$AH$1001,MATCH(ROWS($AG$2:AG810),$AG$2:$AG$1001,0),1)&gt;=100000,INDEX($AN$1005:$BO$1005,1,MATCH(COLUMNS($AN$1006:AV1006),$AN$1006:$BO$1006,0))&gt;=100000), " ",IF(INDEX($AN$2:$BO$1001,MATCH(ROWS($AG$2:AG810),$AG$2:$AG$1001,0),MATCH(COLUMNS($AN$1006:AV1006),$AN$1006:$BO$1006,0)), HYPERLINK("#",""), HYPERLINK(CONCATENATE("#Metadata!", ADDRESS(INDEX($AI$2:$AI$1001,MATCH(ROWS($AG$2:AG810),$AG$2:$AG$1001,0),0), INDEX($AN$1004:$BO$1004,1,MATCH(COLUMNS($AN$1006:AV1006),$AN$1006:$BO$1006,0)))),"Fix")))</f>
        <v>0</v>
      </c>
      <c r="K810" s="4">
        <f>IF(OR(INDEX($AH$2:$AH$1001,MATCH(ROWS($AG$2:AG810),$AG$2:$AG$1001,0),1)&gt;=100000,INDEX($AN$1005:$BO$1005,1,MATCH(COLUMNS($AN$1006:AW1006),$AN$1006:$BO$1006,0))&gt;=100000), " ",IF(INDEX($AN$2:$BO$1001,MATCH(ROWS($AG$2:AG810),$AG$2:$AG$1001,0),MATCH(COLUMNS($AN$1006:AW1006),$AN$1006:$BO$1006,0)), HYPERLINK("#",""), HYPERLINK(CONCATENATE("#Metadata!", ADDRESS(INDEX($AI$2:$AI$1001,MATCH(ROWS($AG$2:AG810),$AG$2:$AG$1001,0),0), INDEX($AN$1004:$BO$1004,1,MATCH(COLUMNS($AN$1006:AW1006),$AN$1006:$BO$1006,0)))),"Fix")))</f>
        <v>0</v>
      </c>
      <c r="L810" s="4">
        <f>IF(OR(INDEX($AH$2:$AH$1001,MATCH(ROWS($AG$2:AG810),$AG$2:$AG$1001,0),1)&gt;=100000,INDEX($AN$1005:$BO$1005,1,MATCH(COLUMNS($AN$1006:AX1006),$AN$1006:$BO$1006,0))&gt;=100000), " ",IF(INDEX($AN$2:$BO$1001,MATCH(ROWS($AG$2:AG810),$AG$2:$AG$1001,0),MATCH(COLUMNS($AN$1006:AX1006),$AN$1006:$BO$1006,0)), HYPERLINK("#",""), HYPERLINK(CONCATENATE("#Metadata!", ADDRESS(INDEX($AI$2:$AI$1001,MATCH(ROWS($AG$2:AG810),$AG$2:$AG$1001,0),0), INDEX($AN$1004:$BO$1004,1,MATCH(COLUMNS($AN$1006:AX1006),$AN$1006:$BO$1006,0)))),"Fix")))</f>
        <v>0</v>
      </c>
      <c r="M810" s="4">
        <f>IF(OR(INDEX($AH$2:$AH$1001,MATCH(ROWS($AG$2:AG810),$AG$2:$AG$1001,0),1)&gt;=100000,INDEX($AN$1005:$BO$1005,1,MATCH(COLUMNS($AN$1006:AY1006),$AN$1006:$BO$1006,0))&gt;=100000), " ",IF(INDEX($AN$2:$BO$1001,MATCH(ROWS($AG$2:AG810),$AG$2:$AG$1001,0),MATCH(COLUMNS($AN$1006:AY1006),$AN$1006:$BO$1006,0)), HYPERLINK("#",""), HYPERLINK(CONCATENATE("#Metadata!", ADDRESS(INDEX($AI$2:$AI$1001,MATCH(ROWS($AG$2:AG810),$AG$2:$AG$1001,0),0), INDEX($AN$1004:$BO$1004,1,MATCH(COLUMNS($AN$1006:AY1006),$AN$1006:$BO$1006,0)))),"Fix")))</f>
        <v>0</v>
      </c>
      <c r="N810" s="4">
        <f>IF(OR(INDEX($AH$2:$AH$1001,MATCH(ROWS($AG$2:AG810),$AG$2:$AG$1001,0),1)&gt;=100000,INDEX($AN$1005:$BO$1005,1,MATCH(COLUMNS($AN$1006:AZ1006),$AN$1006:$BO$1006,0))&gt;=100000), " ",IF(INDEX($AN$2:$BO$1001,MATCH(ROWS($AG$2:AG810),$AG$2:$AG$1001,0),MATCH(COLUMNS($AN$1006:AZ1006),$AN$1006:$BO$1006,0)), HYPERLINK("#",""), HYPERLINK(CONCATENATE("#Metadata!", ADDRESS(INDEX($AI$2:$AI$1001,MATCH(ROWS($AG$2:AG810),$AG$2:$AG$1001,0),0), INDEX($AN$1004:$BO$1004,1,MATCH(COLUMNS($AN$1006:AZ1006),$AN$1006:$BO$1006,0)))),"Fix")))</f>
        <v>0</v>
      </c>
      <c r="O810" s="4">
        <f>IF(OR(INDEX($AH$2:$AH$1001,MATCH(ROWS($AG$2:AG810),$AG$2:$AG$1001,0),1)&gt;=100000,INDEX($AN$1005:$BO$1005,1,MATCH(COLUMNS($AN$1006:BA1006),$AN$1006:$BO$1006,0))&gt;=100000), " ",IF(INDEX($AN$2:$BO$1001,MATCH(ROWS($AG$2:AG810),$AG$2:$AG$1001,0),MATCH(COLUMNS($AN$1006:BA1006),$AN$1006:$BO$1006,0)), HYPERLINK("#",""), HYPERLINK(CONCATENATE("#Metadata!", ADDRESS(INDEX($AI$2:$AI$1001,MATCH(ROWS($AG$2:AG810),$AG$2:$AG$1001,0),0), INDEX($AN$1004:$BO$1004,1,MATCH(COLUMNS($AN$1006:BA1006),$AN$1006:$BO$1006,0)))),"Fix")))</f>
        <v>0</v>
      </c>
      <c r="P810" s="4">
        <f>IF(OR(INDEX($AH$2:$AH$1001,MATCH(ROWS($AG$2:AG810),$AG$2:$AG$1001,0),1)&gt;=100000,INDEX($AN$1005:$BO$1005,1,MATCH(COLUMNS($AN$1006:BB1006),$AN$1006:$BO$1006,0))&gt;=100000), " ",IF(INDEX($AN$2:$BO$1001,MATCH(ROWS($AG$2:AG810),$AG$2:$AG$1001,0),MATCH(COLUMNS($AN$1006:BB1006),$AN$1006:$BO$1006,0)), HYPERLINK("#",""), HYPERLINK(CONCATENATE("#Metadata!", ADDRESS(INDEX($AI$2:$AI$1001,MATCH(ROWS($AG$2:AG810),$AG$2:$AG$1001,0),0), INDEX($AN$1004:$BO$1004,1,MATCH(COLUMNS($AN$1006:BB1006),$AN$1006:$BO$1006,0)))),"Fix")))</f>
        <v>0</v>
      </c>
      <c r="Q810" s="4">
        <f>IF(OR(INDEX($AH$2:$AH$1001,MATCH(ROWS($AG$2:AG810),$AG$2:$AG$1001,0),1)&gt;=100000,INDEX($AN$1005:$BO$1005,1,MATCH(COLUMNS($AN$1006:BC1006),$AN$1006:$BO$1006,0))&gt;=100000), " ",IF(INDEX($AN$2:$BO$1001,MATCH(ROWS($AG$2:AG810),$AG$2:$AG$1001,0),MATCH(COLUMNS($AN$1006:BC1006),$AN$1006:$BO$1006,0)), HYPERLINK("#",""), HYPERLINK(CONCATENATE("#Metadata!", ADDRESS(INDEX($AI$2:$AI$1001,MATCH(ROWS($AG$2:AG810),$AG$2:$AG$1001,0),0), INDEX($AN$1004:$BO$1004,1,MATCH(COLUMNS($AN$1006:BC1006),$AN$1006:$BO$1006,0)))),"Fix")))</f>
        <v>0</v>
      </c>
      <c r="R810" s="4">
        <f>IF(OR(INDEX($AH$2:$AH$1001,MATCH(ROWS($AG$2:AG810),$AG$2:$AG$1001,0),1)&gt;=100000,INDEX($AN$1005:$BO$1005,1,MATCH(COLUMNS($AN$1006:BD1006),$AN$1006:$BO$1006,0))&gt;=100000), " ",IF(INDEX($AN$2:$BO$1001,MATCH(ROWS($AG$2:AG810),$AG$2:$AG$1001,0),MATCH(COLUMNS($AN$1006:BD1006),$AN$1006:$BO$1006,0)), HYPERLINK("#",""), HYPERLINK(CONCATENATE("#Metadata!", ADDRESS(INDEX($AI$2:$AI$1001,MATCH(ROWS($AG$2:AG810),$AG$2:$AG$1001,0),0), INDEX($AN$1004:$BO$1004,1,MATCH(COLUMNS($AN$1006:BD1006),$AN$1006:$BO$1006,0)))),"Fix")))</f>
        <v>0</v>
      </c>
      <c r="S810" s="4">
        <f>IF(OR(INDEX($AH$2:$AH$1001,MATCH(ROWS($AG$2:AG810),$AG$2:$AG$1001,0),1)&gt;=100000,INDEX($AN$1005:$BO$1005,1,MATCH(COLUMNS($AN$1006:BE1006),$AN$1006:$BO$1006,0))&gt;=100000), " ",IF(INDEX($AN$2:$BO$1001,MATCH(ROWS($AG$2:AG810),$AG$2:$AG$1001,0),MATCH(COLUMNS($AN$1006:BE1006),$AN$1006:$BO$1006,0)), HYPERLINK("#",""), HYPERLINK(CONCATENATE("#Metadata!", ADDRESS(INDEX($AI$2:$AI$1001,MATCH(ROWS($AG$2:AG810),$AG$2:$AG$1001,0),0), INDEX($AN$1004:$BO$1004,1,MATCH(COLUMNS($AN$1006:BE1006),$AN$1006:$BO$1006,0)))),"Fix")))</f>
        <v>0</v>
      </c>
      <c r="T810" s="4">
        <f>IF(OR(INDEX($AH$2:$AH$1001,MATCH(ROWS($AG$2:AG810),$AG$2:$AG$1001,0),1)&gt;=100000,INDEX($AN$1005:$BO$1005,1,MATCH(COLUMNS($AN$1006:BF1006),$AN$1006:$BO$1006,0))&gt;=100000), " ",IF(INDEX($AN$2:$BO$1001,MATCH(ROWS($AG$2:AG810),$AG$2:$AG$1001,0),MATCH(COLUMNS($AN$1006:BF1006),$AN$1006:$BO$1006,0)), HYPERLINK("#",""), HYPERLINK(CONCATENATE("#Metadata!", ADDRESS(INDEX($AI$2:$AI$1001,MATCH(ROWS($AG$2:AG810),$AG$2:$AG$1001,0),0), INDEX($AN$1004:$BO$1004,1,MATCH(COLUMNS($AN$1006:BF1006),$AN$1006:$BO$1006,0)))),"Fix")))</f>
        <v>0</v>
      </c>
      <c r="U810" s="4">
        <f>IF(OR(INDEX($AH$2:$AH$1001,MATCH(ROWS($AG$2:AG810),$AG$2:$AG$1001,0),1)&gt;=100000,INDEX($AN$1005:$BO$1005,1,MATCH(COLUMNS($AN$1006:BG1006),$AN$1006:$BO$1006,0))&gt;=100000), " ",IF(INDEX($AN$2:$BO$1001,MATCH(ROWS($AG$2:AG810),$AG$2:$AG$1001,0),MATCH(COLUMNS($AN$1006:BG1006),$AN$1006:$BO$1006,0)), HYPERLINK("#",""), HYPERLINK(CONCATENATE("#Metadata!", ADDRESS(INDEX($AI$2:$AI$1001,MATCH(ROWS($AG$2:AG810),$AG$2:$AG$1001,0),0), INDEX($AN$1004:$BO$1004,1,MATCH(COLUMNS($AN$1006:BG1006),$AN$1006:$BO$1006,0)))),"Fix")))</f>
        <v>0</v>
      </c>
      <c r="V810" s="4">
        <f>IF(OR(INDEX($AH$2:$AH$1001,MATCH(ROWS($AG$2:AG810),$AG$2:$AG$1001,0),1)&gt;=100000,INDEX($AN$1005:$BO$1005,1,MATCH(COLUMNS($AN$1006:BH1006),$AN$1006:$BO$1006,0))&gt;=100000), " ",IF(INDEX($AN$2:$BO$1001,MATCH(ROWS($AG$2:AG810),$AG$2:$AG$1001,0),MATCH(COLUMNS($AN$1006:BH1006),$AN$1006:$BO$1006,0)), HYPERLINK("#",""), HYPERLINK(CONCATENATE("#Metadata!", ADDRESS(INDEX($AI$2:$AI$1001,MATCH(ROWS($AG$2:AG810),$AG$2:$AG$1001,0),0), INDEX($AN$1004:$BO$1004,1,MATCH(COLUMNS($AN$1006:BH1006),$AN$1006:$BO$1006,0)))),"Fix")))</f>
        <v>0</v>
      </c>
      <c r="W810" s="4">
        <f>IF(OR(INDEX($AH$2:$AH$1001,MATCH(ROWS($AG$2:AG810),$AG$2:$AG$1001,0),1)&gt;=100000,INDEX($AN$1005:$BO$1005,1,MATCH(COLUMNS($AN$1006:BI1006),$AN$1006:$BO$1006,0))&gt;=100000), " ",IF(INDEX($AN$2:$BO$1001,MATCH(ROWS($AG$2:AG810),$AG$2:$AG$1001,0),MATCH(COLUMNS($AN$1006:BI1006),$AN$1006:$BO$1006,0)), HYPERLINK("#",""), HYPERLINK(CONCATENATE("#Metadata!", ADDRESS(INDEX($AI$2:$AI$1001,MATCH(ROWS($AG$2:AG810),$AG$2:$AG$1001,0),0), INDEX($AN$1004:$BO$1004,1,MATCH(COLUMNS($AN$1006:BI1006),$AN$1006:$BO$1006,0)))),"Fix")))</f>
        <v>0</v>
      </c>
      <c r="X810" s="4">
        <f>IF(OR(INDEX($AH$2:$AH$1001,MATCH(ROWS($AG$2:AG810),$AG$2:$AG$1001,0),1)&gt;=100000,INDEX($AN$1005:$BO$1005,1,MATCH(COLUMNS($AN$1006:BJ1006),$AN$1006:$BO$1006,0))&gt;=100000), " ",IF(INDEX($AN$2:$BO$1001,MATCH(ROWS($AG$2:AG810),$AG$2:$AG$1001,0),MATCH(COLUMNS($AN$1006:BJ1006),$AN$1006:$BO$1006,0)), HYPERLINK("#",""), HYPERLINK(CONCATENATE("#Metadata!", ADDRESS(INDEX($AI$2:$AI$1001,MATCH(ROWS($AG$2:AG810),$AG$2:$AG$1001,0),0), INDEX($AN$1004:$BO$1004,1,MATCH(COLUMNS($AN$1006:BJ1006),$AN$1006:$BO$1006,0)))),"Fix")))</f>
        <v>0</v>
      </c>
      <c r="Y810" s="4">
        <f>IF(OR(INDEX($AH$2:$AH$1001,MATCH(ROWS($AG$2:AG810),$AG$2:$AG$1001,0),1)&gt;=100000,INDEX($AN$1005:$BO$1005,1,MATCH(COLUMNS($AN$1006:BK1006),$AN$1006:$BO$1006,0))&gt;=100000), " ",IF(INDEX($AN$2:$BO$1001,MATCH(ROWS($AG$2:AG810),$AG$2:$AG$1001,0),MATCH(COLUMNS($AN$1006:BK1006),$AN$1006:$BO$1006,0)), HYPERLINK("#",""), HYPERLINK(CONCATENATE("#Metadata!", ADDRESS(INDEX($AI$2:$AI$1001,MATCH(ROWS($AG$2:AG810),$AG$2:$AG$1001,0),0), INDEX($AN$1004:$BO$1004,1,MATCH(COLUMNS($AN$1006:BK1006),$AN$1006:$BO$1006,0)))),"Fix")))</f>
        <v>0</v>
      </c>
      <c r="Z810" s="4">
        <f>IF(OR(INDEX($AH$2:$AH$1001,MATCH(ROWS($AG$2:AG810),$AG$2:$AG$1001,0),1)&gt;=100000,INDEX($AN$1005:$BO$1005,1,MATCH(COLUMNS($AN$1006:BL1006),$AN$1006:$BO$1006,0))&gt;=100000), " ",IF(INDEX($AN$2:$BO$1001,MATCH(ROWS($AG$2:AG810),$AG$2:$AG$1001,0),MATCH(COLUMNS($AN$1006:BL1006),$AN$1006:$BO$1006,0)), HYPERLINK("#",""), HYPERLINK(CONCATENATE("#Metadata!", ADDRESS(INDEX($AI$2:$AI$1001,MATCH(ROWS($AG$2:AG810),$AG$2:$AG$1001,0),0), INDEX($AN$1004:$BO$1004,1,MATCH(COLUMNS($AN$1006:BL1006),$AN$1006:$BO$1006,0)))),"Fix")))</f>
        <v>0</v>
      </c>
      <c r="AA810" s="4">
        <f>IF(OR(INDEX($AH$2:$AH$1001,MATCH(ROWS($AG$2:AG810),$AG$2:$AG$1001,0),1)&gt;=100000,INDEX($AN$1005:$BO$1005,1,MATCH(COLUMNS($AN$1006:BM1006),$AN$1006:$BO$1006,0))&gt;=100000), " ",IF(INDEX($AN$2:$BO$1001,MATCH(ROWS($AG$2:AG810),$AG$2:$AG$1001,0),MATCH(COLUMNS($AN$1006:BM1006),$AN$1006:$BO$1006,0)), HYPERLINK("#",""), HYPERLINK(CONCATENATE("#Metadata!", ADDRESS(INDEX($AI$2:$AI$1001,MATCH(ROWS($AG$2:AG810),$AG$2:$AG$1001,0),0), INDEX($AN$1004:$BO$1004,1,MATCH(COLUMNS($AN$1006:BM1006),$AN$1006:$BO$1006,0)))),"Fix")))</f>
        <v>0</v>
      </c>
      <c r="AB810" s="4">
        <f>IF(OR(INDEX($AH$2:$AH$1001,MATCH(ROWS($AG$2:AG810),$AG$2:$AG$1001,0),1)&gt;=100000,INDEX($AN$1005:$BO$1005,1,MATCH(COLUMNS($AN$1006:BN1006),$AN$1006:$BO$1006,0))&gt;=100000), " ",IF(INDEX($AN$2:$BO$1001,MATCH(ROWS($AG$2:AG810),$AG$2:$AG$1001,0),MATCH(COLUMNS($AN$1006:BN1006),$AN$1006:$BO$1006,0)), HYPERLINK("#",""), HYPERLINK(CONCATENATE("#Metadata!", ADDRESS(INDEX($AI$2:$AI$1001,MATCH(ROWS($AG$2:AG810),$AG$2:$AG$1001,0),0), INDEX($AN$1004:$BO$1004,1,MATCH(COLUMNS($AN$1006:BN1006),$AN$1006:$BO$1006,0)))),"Fix")))</f>
        <v>0</v>
      </c>
      <c r="AC810" s="4">
        <f>IF(OR(INDEX($AH$2:$AH$1001,MATCH(ROWS($AG$2:AG810),$AG$2:$AG$1001,0),1)&gt;=100000,INDEX($AN$1005:$BO$1005,1,MATCH(COLUMNS($AN$1006:BO1006),$AN$1006:$BO$1006,0))&gt;=100000), " ",IF(INDEX($AN$2:$BO$1001,MATCH(ROWS($AG$2:AG810),$AG$2:$AG$1001,0),MATCH(COLUMNS($AN$1006:BO1006),$AN$1006:$BO$1006,0)), HYPERLINK("#",""), HYPERLINK(CONCATENATE("#Metadata!", ADDRESS(INDEX($AI$2:$AI$1001,MATCH(ROWS($AG$2:AG810),$AG$2:$AG$1001,0),0), INDEX($AN$1004:$BO$1004,1,MATCH(COLUMNS($AN$1006:BO1006),$AN$1006:$BO$1006,0)))),"Fix")))</f>
        <v>0</v>
      </c>
      <c r="AG810">
        <v>0</v>
      </c>
      <c r="AH810">
        <v>0</v>
      </c>
      <c r="AI810">
        <v>0</v>
      </c>
      <c r="AJ810">
        <f>IF(AK810,TRUE,AND(AN810:BO810))</f>
        <v>0</v>
      </c>
      <c r="AK810">
        <f>COUNTBLANK(Metadata!B810:AC810)=COLUMNS(Metadata!B810:AC810)</f>
        <v>0</v>
      </c>
      <c r="AL810">
        <v>0</v>
      </c>
      <c r="AN810">
        <f>AND(IF(Metadata!B810="",FALSE,TRUE),COUNTIF(Metadata!B:B, Metadata!B810) = 1,NOT(ISERROR(SUMPRODUCT(SEARCH(MID(Metadata!B810,ROW(INDIRECT("1:"&amp;LEN(Metadata!B810))), 1),"0123456789abcdefghijklmnopqrstuvwxyzABCDEFGHIJKLMNOPQRSTUVWXYZ.")))))</f>
        <v>0</v>
      </c>
      <c r="AO810">
        <f>IF(Metadata!C810="",FALSE,TRUE)</f>
        <v>0</v>
      </c>
      <c r="AP810">
        <f>IF(Metadata!D810="",FALSE,TRUE)</f>
        <v>0</v>
      </c>
      <c r="AQ810">
        <f>OR(AND(IF(Metadata!E810="",FALSE,TRUE),OR(exact(Metadata!E810,"not collected"),exact(Metadata!E810,"not provided"),exact(Metadata!E810,"restricted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R810">
        <f>IF(Metadata!F810="",FALSE,TRUE)</f>
        <v>0</v>
      </c>
      <c r="AS810">
        <f>OR(AND(IF(Metadata!G810="",FALSE,TRUE),OR(exact(Metadata!G810,"not collected"),exact(Metadata!G810,"not provided"))),AND(IF(Metadata!G810="",FALSE,TRUE),OR(exact(Metadata!G810,"TRUE"),exact(Metadata!G810,"FALSE"))))</f>
        <v>0</v>
      </c>
      <c r="AT810">
        <f>OR(AND(IF(Metadata!H810="",FALSE,TRUE),OR(exact(Metadata!H810,"not collected"),exact(Metadata!H810,"not provided"),exact(Metadata!H810,"restricted access"))),AND(IF(Metadata!H810="",FALSE,ISNUMBER(VALUE(Metadata!H810))),Metadata!H810&gt;=-413.0))</f>
        <v>0</v>
      </c>
      <c r="AU810">
        <f>AND(IF(Metadata!I810="",FALSE,TRUE),exact(Metadata!I810,"meters"))</f>
        <v>0</v>
      </c>
      <c r="AV810">
        <f>AND(IF(Metadata!J810="",FALSE,TRUE),OR(exact(Metadata!J810,"Host-associated"),exact(Metadata!J810,"Free-living")))</f>
        <v>0</v>
      </c>
      <c r="AW810">
        <f>AND(IF(Metadata!K810="",FALSE,TRUE),OR(exact(Metadata!K810,"Animal"),exact(Metadata!K810,"Fungus"),exact(Metadata!K810,"Plant"),exact(Metadata!K810,"Saline"),exact(Metadata!K810,"Non-saline")))</f>
        <v>0</v>
      </c>
      <c r="AX810">
        <f>AND(IF(Metadata!L810="",FALSE,TRUE),OR(exact(Metadata!L810,"Plant secretion"),exact(Metadata!L810,"Plant rhizosphere"),exact(Metadata!L810,"Plant surface"),exact(Metadata!L810,"Plant corpus"),exact(Metadata!L810,"Fungus surface"),exact(Metadata!L810,"Fungus corpus"),exact(Metadata!L810,"Animal surface"),exact(Metadata!L810,"Animal proximal gut"),exact(Metadata!L810,"Animal corpus"),exact(Metadata!L810,"Animal distal gut"),exact(Metadata!L810,"Animal secretion"),exact(Metadata!L810,"Sub-surface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Y810">
        <f>IF(Metadata!M810="",FALSE,TRUE)</f>
        <v>0</v>
      </c>
      <c r="AZ810">
        <f>IF(Metadata!N810="",FALSE,TRUE)</f>
        <v>0</v>
      </c>
      <c r="BA810">
        <f>IF(Metadata!O810="",FALSE,TRUE)</f>
        <v>0</v>
      </c>
      <c r="BB810">
        <f>OR(AND(IF(Metadata!P810="",FALSE,TRUE),OR(exact(Metadata!P810,"not collected"),exact(Metadata!P810,"not provided"),exact(Metadata!P810,"restricted access"))),AND(IF(Metadata!P810="",FALSE,TRUE),OR(exact(Metadata!P810,"air"),exact(Metadata!P810,"built environment"),exact(Metadata!P810,"host-associated"),exact(Metadata!P810,"human-associated"),exact(Metadata!P810,"human-skin"),exact(Metadata!P810,"human-oral"),exact(Metadata!P810,"human-gut"),exact(Metadata!P810,"human-vaginal"),exact(Metadata!P810,"microbial mat/biofilm"),exact(Metadata!P810,"misc environment"),exact(Metadata!P810,"plant-associated"),exact(Metadata!P810,"sediment"),exact(Metadata!P810,"soil"),exact(Metadata!P810,"wastewater/sludge"),exact(Metadata!P810,"water"))))</f>
        <v>0</v>
      </c>
      <c r="BC810">
        <f>IF(Metadata!Q810="",FALSE,TRUE)</f>
        <v>0</v>
      </c>
      <c r="BD810">
        <f>IF(Metadata!R810="",FALSE,TRUE)</f>
        <v>0</v>
      </c>
      <c r="BE810">
        <f>OR(AND(IF(Metadata!S810="",FALSE,TRUE),OR(exact(Metadata!S810,"not collected"),exact(Metadata!S810,"not provided"),exact(Metadata!S810,"restricted access"))),AND(IF(Metadata!S810="",FALSE,ISNUMBER(VALUE(Metadata!S810))),Metadata!S810&gt;=-90.00,Metadata!S810&lt;=90.00))</f>
        <v>0</v>
      </c>
      <c r="BF810">
        <f>AND(IF(Metadata!T810="",FALSE,TRUE),exact(Metadata!T810,"Decimal degrees"))</f>
        <v>0</v>
      </c>
      <c r="BG810">
        <f>OR(AND(IF(Metadata!U810="",FALSE,TRUE),OR(exact(Metadata!U810,"not collected"),exact(Metadata!U810,"not provided"),exact(Metadata!U810,"restricted access"))),AND(IF(Metadata!U810="",FALSE,ISNUMBER(VALUE(Metadata!U810))),Metadata!U810&gt;=-180.00,Metadata!U810&lt;=180.00))</f>
        <v>0</v>
      </c>
      <c r="BH810">
        <f>AND(IF(Metadata!V810="",FALSE,TRUE),exact(Metadata!V810,"Decimal degrees"))</f>
        <v>0</v>
      </c>
      <c r="BI810">
        <f>IF(Metadata!W810="",FALSE,TRUE)</f>
        <v>0</v>
      </c>
      <c r="BJ810">
        <f>OR(AND(IF(Metadata!X810="",FALSE,TRUE),OR(exact(Metadata!X810,"not collected"),exact(Metadata!X810,"not provided"),exact(Metadata!X810,"restricted access"))),AND(IF(Metadata!X810="",FALSE,TRUE),OR(exact(Metadata!X810,"TRUE"),exact(Metadata!X810,"FALSE"))))</f>
        <v>0</v>
      </c>
      <c r="BK810">
        <f>AND(IF(Metadata!Y810="",FALSE,TRUE),exact(Metadata!Y810,"other"))</f>
        <v>0</v>
      </c>
      <c r="BL810">
        <f>IF(Metadata!Z810="",FALSE,TRUE)</f>
        <v>0</v>
      </c>
      <c r="BM810">
        <f>OR(AND(IF(Metadata!AA810="",FALSE,TRUE),OR(exact(Metadata!AA810,"not collected"),exact(Metadata!AA810,"not provided"))),AND(IF(Metadata!AA810="",FALSE,IF(ISERROR(INT(Metadata!AA810)),FALSE,INT(Metadata!AA810)=Metadata!AA810)),Metadata!AA810&gt;0))</f>
        <v>0</v>
      </c>
      <c r="BN810">
        <f>AND(IF(Metadata!AB810="",FALSE,TRUE),exact(Metadata!AB810,"Not applicable"))</f>
        <v>0</v>
      </c>
      <c r="BO810">
        <f>IF(Metadata!AC810="",FALSE,TRUE)</f>
        <v>0</v>
      </c>
    </row>
    <row r="811" spans="1:67">
      <c r="A811" s="5">
        <f>IF(B811=" "," ",HYPERLINK(CONCATENATE("#metadata!",ADDRESS(INDEX($AI$2:$AI$1001,MATCH(ROWS($AG$2:AG811),$AG$2:$AG$1001,0),0),1)),INDEX($AL$2:$AL$1001,MATCH(ROWS($AG$2:AG811),$AG$2:$AG$1001,0),0)))</f>
        <v>0</v>
      </c>
      <c r="B811" s="4">
        <f>IF(OR(INDEX($AH$2:$AH$1001,MATCH(ROWS($AG$2:AG811),$AG$2:$AG$1001,0),1)&gt;=100000,INDEX($AN$1005:$BO$1005,1,MATCH(COLUMNS($AN$1006:AN1006),$AN$1006:$BO$1006,0))&gt;=100000), " ",IF(INDEX($AN$2:$BO$1001,MATCH(ROWS($AG$2:AG811),$AG$2:$AG$1001,0),MATCH(COLUMNS($AN$1006:AN1006),$AN$1006:$BO$1006,0)), HYPERLINK("#",""), HYPERLINK(CONCATENATE("#Metadata!", ADDRESS(INDEX($AI$2:$AI$1001,MATCH(ROWS($AG$2:AG811),$AG$2:$AG$1001,0),0), INDEX($AN$1004:$BO$1004,1,MATCH(COLUMNS($AN$1006:AN1006),$AN$1006:$BO$1006,0)))),"Fix")))</f>
        <v>0</v>
      </c>
      <c r="C811" s="4">
        <f>IF(OR(INDEX($AH$2:$AH$1001,MATCH(ROWS($AG$2:AG811),$AG$2:$AG$1001,0),1)&gt;=100000,INDEX($AN$1005:$BO$1005,1,MATCH(COLUMNS($AN$1006:AO1006),$AN$1006:$BO$1006,0))&gt;=100000), " ",IF(INDEX($AN$2:$BO$1001,MATCH(ROWS($AG$2:AG811),$AG$2:$AG$1001,0),MATCH(COLUMNS($AN$1006:AO1006),$AN$1006:$BO$1006,0)), HYPERLINK("#",""), HYPERLINK(CONCATENATE("#Metadata!", ADDRESS(INDEX($AI$2:$AI$1001,MATCH(ROWS($AG$2:AG811),$AG$2:$AG$1001,0),0), INDEX($AN$1004:$BO$1004,1,MATCH(COLUMNS($AN$1006:AO1006),$AN$1006:$BO$1006,0)))),"Fix")))</f>
        <v>0</v>
      </c>
      <c r="D811" s="4">
        <f>IF(OR(INDEX($AH$2:$AH$1001,MATCH(ROWS($AG$2:AG811),$AG$2:$AG$1001,0),1)&gt;=100000,INDEX($AN$1005:$BO$1005,1,MATCH(COLUMNS($AN$1006:AP1006),$AN$1006:$BO$1006,0))&gt;=100000), " ",IF(INDEX($AN$2:$BO$1001,MATCH(ROWS($AG$2:AG811),$AG$2:$AG$1001,0),MATCH(COLUMNS($AN$1006:AP1006),$AN$1006:$BO$1006,0)), HYPERLINK("#",""), HYPERLINK(CONCATENATE("#Metadata!", ADDRESS(INDEX($AI$2:$AI$1001,MATCH(ROWS($AG$2:AG811),$AG$2:$AG$1001,0),0), INDEX($AN$1004:$BO$1004,1,MATCH(COLUMNS($AN$1006:AP1006),$AN$1006:$BO$1006,0)))),"Fix")))</f>
        <v>0</v>
      </c>
      <c r="E811" s="4">
        <f>IF(OR(INDEX($AH$2:$AH$1001,MATCH(ROWS($AG$2:AG811),$AG$2:$AG$1001,0),1)&gt;=100000,INDEX($AN$1005:$BO$1005,1,MATCH(COLUMNS($AN$1006:AQ1006),$AN$1006:$BO$1006,0))&gt;=100000), " ",IF(INDEX($AN$2:$BO$1001,MATCH(ROWS($AG$2:AG811),$AG$2:$AG$1001,0),MATCH(COLUMNS($AN$1006:AQ1006),$AN$1006:$BO$1006,0)), HYPERLINK("#",""), HYPERLINK(CONCATENATE("#Metadata!", ADDRESS(INDEX($AI$2:$AI$1001,MATCH(ROWS($AG$2:AG811),$AG$2:$AG$1001,0),0), INDEX($AN$1004:$BO$1004,1,MATCH(COLUMNS($AN$1006:AQ1006),$AN$1006:$BO$1006,0)))),"Fix")))</f>
        <v>0</v>
      </c>
      <c r="F811" s="4">
        <f>IF(OR(INDEX($AH$2:$AH$1001,MATCH(ROWS($AG$2:AG811),$AG$2:$AG$1001,0),1)&gt;=100000,INDEX($AN$1005:$BO$1005,1,MATCH(COLUMNS($AN$1006:AR1006),$AN$1006:$BO$1006,0))&gt;=100000), " ",IF(INDEX($AN$2:$BO$1001,MATCH(ROWS($AG$2:AG811),$AG$2:$AG$1001,0),MATCH(COLUMNS($AN$1006:AR1006),$AN$1006:$BO$1006,0)), HYPERLINK("#",""), HYPERLINK(CONCATENATE("#Metadata!", ADDRESS(INDEX($AI$2:$AI$1001,MATCH(ROWS($AG$2:AG811),$AG$2:$AG$1001,0),0), INDEX($AN$1004:$BO$1004,1,MATCH(COLUMNS($AN$1006:AR1006),$AN$1006:$BO$1006,0)))),"Fix")))</f>
        <v>0</v>
      </c>
      <c r="G811" s="4">
        <f>IF(OR(INDEX($AH$2:$AH$1001,MATCH(ROWS($AG$2:AG811),$AG$2:$AG$1001,0),1)&gt;=100000,INDEX($AN$1005:$BO$1005,1,MATCH(COLUMNS($AN$1006:AS1006),$AN$1006:$BO$1006,0))&gt;=100000), " ",IF(INDEX($AN$2:$BO$1001,MATCH(ROWS($AG$2:AG811),$AG$2:$AG$1001,0),MATCH(COLUMNS($AN$1006:AS1006),$AN$1006:$BO$1006,0)), HYPERLINK("#",""), HYPERLINK(CONCATENATE("#Metadata!", ADDRESS(INDEX($AI$2:$AI$1001,MATCH(ROWS($AG$2:AG811),$AG$2:$AG$1001,0),0), INDEX($AN$1004:$BO$1004,1,MATCH(COLUMNS($AN$1006:AS1006),$AN$1006:$BO$1006,0)))),"Fix")))</f>
        <v>0</v>
      </c>
      <c r="H811" s="4">
        <f>IF(OR(INDEX($AH$2:$AH$1001,MATCH(ROWS($AG$2:AG811),$AG$2:$AG$1001,0),1)&gt;=100000,INDEX($AN$1005:$BO$1005,1,MATCH(COLUMNS($AN$1006:AT1006),$AN$1006:$BO$1006,0))&gt;=100000), " ",IF(INDEX($AN$2:$BO$1001,MATCH(ROWS($AG$2:AG811),$AG$2:$AG$1001,0),MATCH(COLUMNS($AN$1006:AT1006),$AN$1006:$BO$1006,0)), HYPERLINK("#",""), HYPERLINK(CONCATENATE("#Metadata!", ADDRESS(INDEX($AI$2:$AI$1001,MATCH(ROWS($AG$2:AG811),$AG$2:$AG$1001,0),0), INDEX($AN$1004:$BO$1004,1,MATCH(COLUMNS($AN$1006:AT1006),$AN$1006:$BO$1006,0)))),"Fix")))</f>
        <v>0</v>
      </c>
      <c r="I811" s="4">
        <f>IF(OR(INDEX($AH$2:$AH$1001,MATCH(ROWS($AG$2:AG811),$AG$2:$AG$1001,0),1)&gt;=100000,INDEX($AN$1005:$BO$1005,1,MATCH(COLUMNS($AN$1006:AU1006),$AN$1006:$BO$1006,0))&gt;=100000), " ",IF(INDEX($AN$2:$BO$1001,MATCH(ROWS($AG$2:AG811),$AG$2:$AG$1001,0),MATCH(COLUMNS($AN$1006:AU1006),$AN$1006:$BO$1006,0)), HYPERLINK("#",""), HYPERLINK(CONCATENATE("#Metadata!", ADDRESS(INDEX($AI$2:$AI$1001,MATCH(ROWS($AG$2:AG811),$AG$2:$AG$1001,0),0), INDEX($AN$1004:$BO$1004,1,MATCH(COLUMNS($AN$1006:AU1006),$AN$1006:$BO$1006,0)))),"Fix")))</f>
        <v>0</v>
      </c>
      <c r="J811" s="4">
        <f>IF(OR(INDEX($AH$2:$AH$1001,MATCH(ROWS($AG$2:AG811),$AG$2:$AG$1001,0),1)&gt;=100000,INDEX($AN$1005:$BO$1005,1,MATCH(COLUMNS($AN$1006:AV1006),$AN$1006:$BO$1006,0))&gt;=100000), " ",IF(INDEX($AN$2:$BO$1001,MATCH(ROWS($AG$2:AG811),$AG$2:$AG$1001,0),MATCH(COLUMNS($AN$1006:AV1006),$AN$1006:$BO$1006,0)), HYPERLINK("#",""), HYPERLINK(CONCATENATE("#Metadata!", ADDRESS(INDEX($AI$2:$AI$1001,MATCH(ROWS($AG$2:AG811),$AG$2:$AG$1001,0),0), INDEX($AN$1004:$BO$1004,1,MATCH(COLUMNS($AN$1006:AV1006),$AN$1006:$BO$1006,0)))),"Fix")))</f>
        <v>0</v>
      </c>
      <c r="K811" s="4">
        <f>IF(OR(INDEX($AH$2:$AH$1001,MATCH(ROWS($AG$2:AG811),$AG$2:$AG$1001,0),1)&gt;=100000,INDEX($AN$1005:$BO$1005,1,MATCH(COLUMNS($AN$1006:AW1006),$AN$1006:$BO$1006,0))&gt;=100000), " ",IF(INDEX($AN$2:$BO$1001,MATCH(ROWS($AG$2:AG811),$AG$2:$AG$1001,0),MATCH(COLUMNS($AN$1006:AW1006),$AN$1006:$BO$1006,0)), HYPERLINK("#",""), HYPERLINK(CONCATENATE("#Metadata!", ADDRESS(INDEX($AI$2:$AI$1001,MATCH(ROWS($AG$2:AG811),$AG$2:$AG$1001,0),0), INDEX($AN$1004:$BO$1004,1,MATCH(COLUMNS($AN$1006:AW1006),$AN$1006:$BO$1006,0)))),"Fix")))</f>
        <v>0</v>
      </c>
      <c r="L811" s="4">
        <f>IF(OR(INDEX($AH$2:$AH$1001,MATCH(ROWS($AG$2:AG811),$AG$2:$AG$1001,0),1)&gt;=100000,INDEX($AN$1005:$BO$1005,1,MATCH(COLUMNS($AN$1006:AX1006),$AN$1006:$BO$1006,0))&gt;=100000), " ",IF(INDEX($AN$2:$BO$1001,MATCH(ROWS($AG$2:AG811),$AG$2:$AG$1001,0),MATCH(COLUMNS($AN$1006:AX1006),$AN$1006:$BO$1006,0)), HYPERLINK("#",""), HYPERLINK(CONCATENATE("#Metadata!", ADDRESS(INDEX($AI$2:$AI$1001,MATCH(ROWS($AG$2:AG811),$AG$2:$AG$1001,0),0), INDEX($AN$1004:$BO$1004,1,MATCH(COLUMNS($AN$1006:AX1006),$AN$1006:$BO$1006,0)))),"Fix")))</f>
        <v>0</v>
      </c>
      <c r="M811" s="4">
        <f>IF(OR(INDEX($AH$2:$AH$1001,MATCH(ROWS($AG$2:AG811),$AG$2:$AG$1001,0),1)&gt;=100000,INDEX($AN$1005:$BO$1005,1,MATCH(COLUMNS($AN$1006:AY1006),$AN$1006:$BO$1006,0))&gt;=100000), " ",IF(INDEX($AN$2:$BO$1001,MATCH(ROWS($AG$2:AG811),$AG$2:$AG$1001,0),MATCH(COLUMNS($AN$1006:AY1006),$AN$1006:$BO$1006,0)), HYPERLINK("#",""), HYPERLINK(CONCATENATE("#Metadata!", ADDRESS(INDEX($AI$2:$AI$1001,MATCH(ROWS($AG$2:AG811),$AG$2:$AG$1001,0),0), INDEX($AN$1004:$BO$1004,1,MATCH(COLUMNS($AN$1006:AY1006),$AN$1006:$BO$1006,0)))),"Fix")))</f>
        <v>0</v>
      </c>
      <c r="N811" s="4">
        <f>IF(OR(INDEX($AH$2:$AH$1001,MATCH(ROWS($AG$2:AG811),$AG$2:$AG$1001,0),1)&gt;=100000,INDEX($AN$1005:$BO$1005,1,MATCH(COLUMNS($AN$1006:AZ1006),$AN$1006:$BO$1006,0))&gt;=100000), " ",IF(INDEX($AN$2:$BO$1001,MATCH(ROWS($AG$2:AG811),$AG$2:$AG$1001,0),MATCH(COLUMNS($AN$1006:AZ1006),$AN$1006:$BO$1006,0)), HYPERLINK("#",""), HYPERLINK(CONCATENATE("#Metadata!", ADDRESS(INDEX($AI$2:$AI$1001,MATCH(ROWS($AG$2:AG811),$AG$2:$AG$1001,0),0), INDEX($AN$1004:$BO$1004,1,MATCH(COLUMNS($AN$1006:AZ1006),$AN$1006:$BO$1006,0)))),"Fix")))</f>
        <v>0</v>
      </c>
      <c r="O811" s="4">
        <f>IF(OR(INDEX($AH$2:$AH$1001,MATCH(ROWS($AG$2:AG811),$AG$2:$AG$1001,0),1)&gt;=100000,INDEX($AN$1005:$BO$1005,1,MATCH(COLUMNS($AN$1006:BA1006),$AN$1006:$BO$1006,0))&gt;=100000), " ",IF(INDEX($AN$2:$BO$1001,MATCH(ROWS($AG$2:AG811),$AG$2:$AG$1001,0),MATCH(COLUMNS($AN$1006:BA1006),$AN$1006:$BO$1006,0)), HYPERLINK("#",""), HYPERLINK(CONCATENATE("#Metadata!", ADDRESS(INDEX($AI$2:$AI$1001,MATCH(ROWS($AG$2:AG811),$AG$2:$AG$1001,0),0), INDEX($AN$1004:$BO$1004,1,MATCH(COLUMNS($AN$1006:BA1006),$AN$1006:$BO$1006,0)))),"Fix")))</f>
        <v>0</v>
      </c>
      <c r="P811" s="4">
        <f>IF(OR(INDEX($AH$2:$AH$1001,MATCH(ROWS($AG$2:AG811),$AG$2:$AG$1001,0),1)&gt;=100000,INDEX($AN$1005:$BO$1005,1,MATCH(COLUMNS($AN$1006:BB1006),$AN$1006:$BO$1006,0))&gt;=100000), " ",IF(INDEX($AN$2:$BO$1001,MATCH(ROWS($AG$2:AG811),$AG$2:$AG$1001,0),MATCH(COLUMNS($AN$1006:BB1006),$AN$1006:$BO$1006,0)), HYPERLINK("#",""), HYPERLINK(CONCATENATE("#Metadata!", ADDRESS(INDEX($AI$2:$AI$1001,MATCH(ROWS($AG$2:AG811),$AG$2:$AG$1001,0),0), INDEX($AN$1004:$BO$1004,1,MATCH(COLUMNS($AN$1006:BB1006),$AN$1006:$BO$1006,0)))),"Fix")))</f>
        <v>0</v>
      </c>
      <c r="Q811" s="4">
        <f>IF(OR(INDEX($AH$2:$AH$1001,MATCH(ROWS($AG$2:AG811),$AG$2:$AG$1001,0),1)&gt;=100000,INDEX($AN$1005:$BO$1005,1,MATCH(COLUMNS($AN$1006:BC1006),$AN$1006:$BO$1006,0))&gt;=100000), " ",IF(INDEX($AN$2:$BO$1001,MATCH(ROWS($AG$2:AG811),$AG$2:$AG$1001,0),MATCH(COLUMNS($AN$1006:BC1006),$AN$1006:$BO$1006,0)), HYPERLINK("#",""), HYPERLINK(CONCATENATE("#Metadata!", ADDRESS(INDEX($AI$2:$AI$1001,MATCH(ROWS($AG$2:AG811),$AG$2:$AG$1001,0),0), INDEX($AN$1004:$BO$1004,1,MATCH(COLUMNS($AN$1006:BC1006),$AN$1006:$BO$1006,0)))),"Fix")))</f>
        <v>0</v>
      </c>
      <c r="R811" s="4">
        <f>IF(OR(INDEX($AH$2:$AH$1001,MATCH(ROWS($AG$2:AG811),$AG$2:$AG$1001,0),1)&gt;=100000,INDEX($AN$1005:$BO$1005,1,MATCH(COLUMNS($AN$1006:BD1006),$AN$1006:$BO$1006,0))&gt;=100000), " ",IF(INDEX($AN$2:$BO$1001,MATCH(ROWS($AG$2:AG811),$AG$2:$AG$1001,0),MATCH(COLUMNS($AN$1006:BD1006),$AN$1006:$BO$1006,0)), HYPERLINK("#",""), HYPERLINK(CONCATENATE("#Metadata!", ADDRESS(INDEX($AI$2:$AI$1001,MATCH(ROWS($AG$2:AG811),$AG$2:$AG$1001,0),0), INDEX($AN$1004:$BO$1004,1,MATCH(COLUMNS($AN$1006:BD1006),$AN$1006:$BO$1006,0)))),"Fix")))</f>
        <v>0</v>
      </c>
      <c r="S811" s="4">
        <f>IF(OR(INDEX($AH$2:$AH$1001,MATCH(ROWS($AG$2:AG811),$AG$2:$AG$1001,0),1)&gt;=100000,INDEX($AN$1005:$BO$1005,1,MATCH(COLUMNS($AN$1006:BE1006),$AN$1006:$BO$1006,0))&gt;=100000), " ",IF(INDEX($AN$2:$BO$1001,MATCH(ROWS($AG$2:AG811),$AG$2:$AG$1001,0),MATCH(COLUMNS($AN$1006:BE1006),$AN$1006:$BO$1006,0)), HYPERLINK("#",""), HYPERLINK(CONCATENATE("#Metadata!", ADDRESS(INDEX($AI$2:$AI$1001,MATCH(ROWS($AG$2:AG811),$AG$2:$AG$1001,0),0), INDEX($AN$1004:$BO$1004,1,MATCH(COLUMNS($AN$1006:BE1006),$AN$1006:$BO$1006,0)))),"Fix")))</f>
        <v>0</v>
      </c>
      <c r="T811" s="4">
        <f>IF(OR(INDEX($AH$2:$AH$1001,MATCH(ROWS($AG$2:AG811),$AG$2:$AG$1001,0),1)&gt;=100000,INDEX($AN$1005:$BO$1005,1,MATCH(COLUMNS($AN$1006:BF1006),$AN$1006:$BO$1006,0))&gt;=100000), " ",IF(INDEX($AN$2:$BO$1001,MATCH(ROWS($AG$2:AG811),$AG$2:$AG$1001,0),MATCH(COLUMNS($AN$1006:BF1006),$AN$1006:$BO$1006,0)), HYPERLINK("#",""), HYPERLINK(CONCATENATE("#Metadata!", ADDRESS(INDEX($AI$2:$AI$1001,MATCH(ROWS($AG$2:AG811),$AG$2:$AG$1001,0),0), INDEX($AN$1004:$BO$1004,1,MATCH(COLUMNS($AN$1006:BF1006),$AN$1006:$BO$1006,0)))),"Fix")))</f>
        <v>0</v>
      </c>
      <c r="U811" s="4">
        <f>IF(OR(INDEX($AH$2:$AH$1001,MATCH(ROWS($AG$2:AG811),$AG$2:$AG$1001,0),1)&gt;=100000,INDEX($AN$1005:$BO$1005,1,MATCH(COLUMNS($AN$1006:BG1006),$AN$1006:$BO$1006,0))&gt;=100000), " ",IF(INDEX($AN$2:$BO$1001,MATCH(ROWS($AG$2:AG811),$AG$2:$AG$1001,0),MATCH(COLUMNS($AN$1006:BG1006),$AN$1006:$BO$1006,0)), HYPERLINK("#",""), HYPERLINK(CONCATENATE("#Metadata!", ADDRESS(INDEX($AI$2:$AI$1001,MATCH(ROWS($AG$2:AG811),$AG$2:$AG$1001,0),0), INDEX($AN$1004:$BO$1004,1,MATCH(COLUMNS($AN$1006:BG1006),$AN$1006:$BO$1006,0)))),"Fix")))</f>
        <v>0</v>
      </c>
      <c r="V811" s="4">
        <f>IF(OR(INDEX($AH$2:$AH$1001,MATCH(ROWS($AG$2:AG811),$AG$2:$AG$1001,0),1)&gt;=100000,INDEX($AN$1005:$BO$1005,1,MATCH(COLUMNS($AN$1006:BH1006),$AN$1006:$BO$1006,0))&gt;=100000), " ",IF(INDEX($AN$2:$BO$1001,MATCH(ROWS($AG$2:AG811),$AG$2:$AG$1001,0),MATCH(COLUMNS($AN$1006:BH1006),$AN$1006:$BO$1006,0)), HYPERLINK("#",""), HYPERLINK(CONCATENATE("#Metadata!", ADDRESS(INDEX($AI$2:$AI$1001,MATCH(ROWS($AG$2:AG811),$AG$2:$AG$1001,0),0), INDEX($AN$1004:$BO$1004,1,MATCH(COLUMNS($AN$1006:BH1006),$AN$1006:$BO$1006,0)))),"Fix")))</f>
        <v>0</v>
      </c>
      <c r="W811" s="4">
        <f>IF(OR(INDEX($AH$2:$AH$1001,MATCH(ROWS($AG$2:AG811),$AG$2:$AG$1001,0),1)&gt;=100000,INDEX($AN$1005:$BO$1005,1,MATCH(COLUMNS($AN$1006:BI1006),$AN$1006:$BO$1006,0))&gt;=100000), " ",IF(INDEX($AN$2:$BO$1001,MATCH(ROWS($AG$2:AG811),$AG$2:$AG$1001,0),MATCH(COLUMNS($AN$1006:BI1006),$AN$1006:$BO$1006,0)), HYPERLINK("#",""), HYPERLINK(CONCATENATE("#Metadata!", ADDRESS(INDEX($AI$2:$AI$1001,MATCH(ROWS($AG$2:AG811),$AG$2:$AG$1001,0),0), INDEX($AN$1004:$BO$1004,1,MATCH(COLUMNS($AN$1006:BI1006),$AN$1006:$BO$1006,0)))),"Fix")))</f>
        <v>0</v>
      </c>
      <c r="X811" s="4">
        <f>IF(OR(INDEX($AH$2:$AH$1001,MATCH(ROWS($AG$2:AG811),$AG$2:$AG$1001,0),1)&gt;=100000,INDEX($AN$1005:$BO$1005,1,MATCH(COLUMNS($AN$1006:BJ1006),$AN$1006:$BO$1006,0))&gt;=100000), " ",IF(INDEX($AN$2:$BO$1001,MATCH(ROWS($AG$2:AG811),$AG$2:$AG$1001,0),MATCH(COLUMNS($AN$1006:BJ1006),$AN$1006:$BO$1006,0)), HYPERLINK("#",""), HYPERLINK(CONCATENATE("#Metadata!", ADDRESS(INDEX($AI$2:$AI$1001,MATCH(ROWS($AG$2:AG811),$AG$2:$AG$1001,0),0), INDEX($AN$1004:$BO$1004,1,MATCH(COLUMNS($AN$1006:BJ1006),$AN$1006:$BO$1006,0)))),"Fix")))</f>
        <v>0</v>
      </c>
      <c r="Y811" s="4">
        <f>IF(OR(INDEX($AH$2:$AH$1001,MATCH(ROWS($AG$2:AG811),$AG$2:$AG$1001,0),1)&gt;=100000,INDEX($AN$1005:$BO$1005,1,MATCH(COLUMNS($AN$1006:BK1006),$AN$1006:$BO$1006,0))&gt;=100000), " ",IF(INDEX($AN$2:$BO$1001,MATCH(ROWS($AG$2:AG811),$AG$2:$AG$1001,0),MATCH(COLUMNS($AN$1006:BK1006),$AN$1006:$BO$1006,0)), HYPERLINK("#",""), HYPERLINK(CONCATENATE("#Metadata!", ADDRESS(INDEX($AI$2:$AI$1001,MATCH(ROWS($AG$2:AG811),$AG$2:$AG$1001,0),0), INDEX($AN$1004:$BO$1004,1,MATCH(COLUMNS($AN$1006:BK1006),$AN$1006:$BO$1006,0)))),"Fix")))</f>
        <v>0</v>
      </c>
      <c r="Z811" s="4">
        <f>IF(OR(INDEX($AH$2:$AH$1001,MATCH(ROWS($AG$2:AG811),$AG$2:$AG$1001,0),1)&gt;=100000,INDEX($AN$1005:$BO$1005,1,MATCH(COLUMNS($AN$1006:BL1006),$AN$1006:$BO$1006,0))&gt;=100000), " ",IF(INDEX($AN$2:$BO$1001,MATCH(ROWS($AG$2:AG811),$AG$2:$AG$1001,0),MATCH(COLUMNS($AN$1006:BL1006),$AN$1006:$BO$1006,0)), HYPERLINK("#",""), HYPERLINK(CONCATENATE("#Metadata!", ADDRESS(INDEX($AI$2:$AI$1001,MATCH(ROWS($AG$2:AG811),$AG$2:$AG$1001,0),0), INDEX($AN$1004:$BO$1004,1,MATCH(COLUMNS($AN$1006:BL1006),$AN$1006:$BO$1006,0)))),"Fix")))</f>
        <v>0</v>
      </c>
      <c r="AA811" s="4">
        <f>IF(OR(INDEX($AH$2:$AH$1001,MATCH(ROWS($AG$2:AG811),$AG$2:$AG$1001,0),1)&gt;=100000,INDEX($AN$1005:$BO$1005,1,MATCH(COLUMNS($AN$1006:BM1006),$AN$1006:$BO$1006,0))&gt;=100000), " ",IF(INDEX($AN$2:$BO$1001,MATCH(ROWS($AG$2:AG811),$AG$2:$AG$1001,0),MATCH(COLUMNS($AN$1006:BM1006),$AN$1006:$BO$1006,0)), HYPERLINK("#",""), HYPERLINK(CONCATENATE("#Metadata!", ADDRESS(INDEX($AI$2:$AI$1001,MATCH(ROWS($AG$2:AG811),$AG$2:$AG$1001,0),0), INDEX($AN$1004:$BO$1004,1,MATCH(COLUMNS($AN$1006:BM1006),$AN$1006:$BO$1006,0)))),"Fix")))</f>
        <v>0</v>
      </c>
      <c r="AB811" s="4">
        <f>IF(OR(INDEX($AH$2:$AH$1001,MATCH(ROWS($AG$2:AG811),$AG$2:$AG$1001,0),1)&gt;=100000,INDEX($AN$1005:$BO$1005,1,MATCH(COLUMNS($AN$1006:BN1006),$AN$1006:$BO$1006,0))&gt;=100000), " ",IF(INDEX($AN$2:$BO$1001,MATCH(ROWS($AG$2:AG811),$AG$2:$AG$1001,0),MATCH(COLUMNS($AN$1006:BN1006),$AN$1006:$BO$1006,0)), HYPERLINK("#",""), HYPERLINK(CONCATENATE("#Metadata!", ADDRESS(INDEX($AI$2:$AI$1001,MATCH(ROWS($AG$2:AG811),$AG$2:$AG$1001,0),0), INDEX($AN$1004:$BO$1004,1,MATCH(COLUMNS($AN$1006:BN1006),$AN$1006:$BO$1006,0)))),"Fix")))</f>
        <v>0</v>
      </c>
      <c r="AC811" s="4">
        <f>IF(OR(INDEX($AH$2:$AH$1001,MATCH(ROWS($AG$2:AG811),$AG$2:$AG$1001,0),1)&gt;=100000,INDEX($AN$1005:$BO$1005,1,MATCH(COLUMNS($AN$1006:BO1006),$AN$1006:$BO$1006,0))&gt;=100000), " ",IF(INDEX($AN$2:$BO$1001,MATCH(ROWS($AG$2:AG811),$AG$2:$AG$1001,0),MATCH(COLUMNS($AN$1006:BO1006),$AN$1006:$BO$1006,0)), HYPERLINK("#",""), HYPERLINK(CONCATENATE("#Metadata!", ADDRESS(INDEX($AI$2:$AI$1001,MATCH(ROWS($AG$2:AG811),$AG$2:$AG$1001,0),0), INDEX($AN$1004:$BO$1004,1,MATCH(COLUMNS($AN$1006:BO1006),$AN$1006:$BO$1006,0)))),"Fix")))</f>
        <v>0</v>
      </c>
      <c r="AG811">
        <v>0</v>
      </c>
      <c r="AH811">
        <v>0</v>
      </c>
      <c r="AI811">
        <v>0</v>
      </c>
      <c r="AJ811">
        <f>IF(AK811,TRUE,AND(AN811:BO811))</f>
        <v>0</v>
      </c>
      <c r="AK811">
        <f>COUNTBLANK(Metadata!B811:AC811)=COLUMNS(Metadata!B811:AC811)</f>
        <v>0</v>
      </c>
      <c r="AL811">
        <v>0</v>
      </c>
      <c r="AN811">
        <f>AND(IF(Metadata!B811="",FALSE,TRUE),COUNTIF(Metadata!B:B, Metadata!B811) = 1,NOT(ISERROR(SUMPRODUCT(SEARCH(MID(Metadata!B811,ROW(INDIRECT("1:"&amp;LEN(Metadata!B811))), 1),"0123456789abcdefghijklmnopqrstuvwxyzABCDEFGHIJKLMNOPQRSTUVWXYZ.")))))</f>
        <v>0</v>
      </c>
      <c r="AO811">
        <f>IF(Metadata!C811="",FALSE,TRUE)</f>
        <v>0</v>
      </c>
      <c r="AP811">
        <f>IF(Metadata!D811="",FALSE,TRUE)</f>
        <v>0</v>
      </c>
      <c r="AQ811">
        <f>OR(AND(IF(Metadata!E811="",FALSE,TRUE),OR(exact(Metadata!E811,"not collected"),exact(Metadata!E811,"not provided"),exact(Metadata!E811,"restricted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R811">
        <f>IF(Metadata!F811="",FALSE,TRUE)</f>
        <v>0</v>
      </c>
      <c r="AS811">
        <f>OR(AND(IF(Metadata!G811="",FALSE,TRUE),OR(exact(Metadata!G811,"not collected"),exact(Metadata!G811,"not provided"))),AND(IF(Metadata!G811="",FALSE,TRUE),OR(exact(Metadata!G811,"TRUE"),exact(Metadata!G811,"FALSE"))))</f>
        <v>0</v>
      </c>
      <c r="AT811">
        <f>OR(AND(IF(Metadata!H811="",FALSE,TRUE),OR(exact(Metadata!H811,"not collected"),exact(Metadata!H811,"not provided"),exact(Metadata!H811,"restricted access"))),AND(IF(Metadata!H811="",FALSE,ISNUMBER(VALUE(Metadata!H811))),Metadata!H811&gt;=-413.0))</f>
        <v>0</v>
      </c>
      <c r="AU811">
        <f>AND(IF(Metadata!I811="",FALSE,TRUE),exact(Metadata!I811,"meters"))</f>
        <v>0</v>
      </c>
      <c r="AV811">
        <f>AND(IF(Metadata!J811="",FALSE,TRUE),OR(exact(Metadata!J811,"Host-associated"),exact(Metadata!J811,"Free-living")))</f>
        <v>0</v>
      </c>
      <c r="AW811">
        <f>AND(IF(Metadata!K811="",FALSE,TRUE),OR(exact(Metadata!K811,"Animal"),exact(Metadata!K811,"Fungus"),exact(Metadata!K811,"Plant"),exact(Metadata!K811,"Saline"),exact(Metadata!K811,"Non-saline")))</f>
        <v>0</v>
      </c>
      <c r="AX811">
        <f>AND(IF(Metadata!L811="",FALSE,TRUE),OR(exact(Metadata!L811,"Plant secretion"),exact(Metadata!L811,"Plant rhizosphere"),exact(Metadata!L811,"Plant surface"),exact(Metadata!L811,"Plant corpus"),exact(Metadata!L811,"Fungus surface"),exact(Metadata!L811,"Fungus corpus"),exact(Metadata!L811,"Animal surface"),exact(Metadata!L811,"Animal proximal gut"),exact(Metadata!L811,"Animal corpus"),exact(Metadata!L811,"Animal distal gut"),exact(Metadata!L811,"Animal secretion"),exact(Metadata!L811,"Sub-surface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Y811">
        <f>IF(Metadata!M811="",FALSE,TRUE)</f>
        <v>0</v>
      </c>
      <c r="AZ811">
        <f>IF(Metadata!N811="",FALSE,TRUE)</f>
        <v>0</v>
      </c>
      <c r="BA811">
        <f>IF(Metadata!O811="",FALSE,TRUE)</f>
        <v>0</v>
      </c>
      <c r="BB811">
        <f>OR(AND(IF(Metadata!P811="",FALSE,TRUE),OR(exact(Metadata!P811,"not collected"),exact(Metadata!P811,"not provided"),exact(Metadata!P811,"restricted access"))),AND(IF(Metadata!P811="",FALSE,TRUE),OR(exact(Metadata!P811,"air"),exact(Metadata!P811,"built environment"),exact(Metadata!P811,"host-associated"),exact(Metadata!P811,"human-associated"),exact(Metadata!P811,"human-skin"),exact(Metadata!P811,"human-oral"),exact(Metadata!P811,"human-gut"),exact(Metadata!P811,"human-vaginal"),exact(Metadata!P811,"microbial mat/biofilm"),exact(Metadata!P811,"misc environment"),exact(Metadata!P811,"plant-associated"),exact(Metadata!P811,"sediment"),exact(Metadata!P811,"soil"),exact(Metadata!P811,"wastewater/sludge"),exact(Metadata!P811,"water"))))</f>
        <v>0</v>
      </c>
      <c r="BC811">
        <f>IF(Metadata!Q811="",FALSE,TRUE)</f>
        <v>0</v>
      </c>
      <c r="BD811">
        <f>IF(Metadata!R811="",FALSE,TRUE)</f>
        <v>0</v>
      </c>
      <c r="BE811">
        <f>OR(AND(IF(Metadata!S811="",FALSE,TRUE),OR(exact(Metadata!S811,"not collected"),exact(Metadata!S811,"not provided"),exact(Metadata!S811,"restricted access"))),AND(IF(Metadata!S811="",FALSE,ISNUMBER(VALUE(Metadata!S811))),Metadata!S811&gt;=-90.00,Metadata!S811&lt;=90.00))</f>
        <v>0</v>
      </c>
      <c r="BF811">
        <f>AND(IF(Metadata!T811="",FALSE,TRUE),exact(Metadata!T811,"Decimal degrees"))</f>
        <v>0</v>
      </c>
      <c r="BG811">
        <f>OR(AND(IF(Metadata!U811="",FALSE,TRUE),OR(exact(Metadata!U811,"not collected"),exact(Metadata!U811,"not provided"),exact(Metadata!U811,"restricted access"))),AND(IF(Metadata!U811="",FALSE,ISNUMBER(VALUE(Metadata!U811))),Metadata!U811&gt;=-180.00,Metadata!U811&lt;=180.00))</f>
        <v>0</v>
      </c>
      <c r="BH811">
        <f>AND(IF(Metadata!V811="",FALSE,TRUE),exact(Metadata!V811,"Decimal degrees"))</f>
        <v>0</v>
      </c>
      <c r="BI811">
        <f>IF(Metadata!W811="",FALSE,TRUE)</f>
        <v>0</v>
      </c>
      <c r="BJ811">
        <f>OR(AND(IF(Metadata!X811="",FALSE,TRUE),OR(exact(Metadata!X811,"not collected"),exact(Metadata!X811,"not provided"),exact(Metadata!X811,"restricted access"))),AND(IF(Metadata!X811="",FALSE,TRUE),OR(exact(Metadata!X811,"TRUE"),exact(Metadata!X811,"FALSE"))))</f>
        <v>0</v>
      </c>
      <c r="BK811">
        <f>AND(IF(Metadata!Y811="",FALSE,TRUE),exact(Metadata!Y811,"other"))</f>
        <v>0</v>
      </c>
      <c r="BL811">
        <f>IF(Metadata!Z811="",FALSE,TRUE)</f>
        <v>0</v>
      </c>
      <c r="BM811">
        <f>OR(AND(IF(Metadata!AA811="",FALSE,TRUE),OR(exact(Metadata!AA811,"not collected"),exact(Metadata!AA811,"not provided"))),AND(IF(Metadata!AA811="",FALSE,IF(ISERROR(INT(Metadata!AA811)),FALSE,INT(Metadata!AA811)=Metadata!AA811)),Metadata!AA811&gt;0))</f>
        <v>0</v>
      </c>
      <c r="BN811">
        <f>AND(IF(Metadata!AB811="",FALSE,TRUE),exact(Metadata!AB811,"Not applicable"))</f>
        <v>0</v>
      </c>
      <c r="BO811">
        <f>IF(Metadata!AC811="",FALSE,TRUE)</f>
        <v>0</v>
      </c>
    </row>
    <row r="812" spans="1:67">
      <c r="A812" s="5">
        <f>IF(B812=" "," ",HYPERLINK(CONCATENATE("#metadata!",ADDRESS(INDEX($AI$2:$AI$1001,MATCH(ROWS($AG$2:AG812),$AG$2:$AG$1001,0),0),1)),INDEX($AL$2:$AL$1001,MATCH(ROWS($AG$2:AG812),$AG$2:$AG$1001,0),0)))</f>
        <v>0</v>
      </c>
      <c r="B812" s="4">
        <f>IF(OR(INDEX($AH$2:$AH$1001,MATCH(ROWS($AG$2:AG812),$AG$2:$AG$1001,0),1)&gt;=100000,INDEX($AN$1005:$BO$1005,1,MATCH(COLUMNS($AN$1006:AN1006),$AN$1006:$BO$1006,0))&gt;=100000), " ",IF(INDEX($AN$2:$BO$1001,MATCH(ROWS($AG$2:AG812),$AG$2:$AG$1001,0),MATCH(COLUMNS($AN$1006:AN1006),$AN$1006:$BO$1006,0)), HYPERLINK("#",""), HYPERLINK(CONCATENATE("#Metadata!", ADDRESS(INDEX($AI$2:$AI$1001,MATCH(ROWS($AG$2:AG812),$AG$2:$AG$1001,0),0), INDEX($AN$1004:$BO$1004,1,MATCH(COLUMNS($AN$1006:AN1006),$AN$1006:$BO$1006,0)))),"Fix")))</f>
        <v>0</v>
      </c>
      <c r="C812" s="4">
        <f>IF(OR(INDEX($AH$2:$AH$1001,MATCH(ROWS($AG$2:AG812),$AG$2:$AG$1001,0),1)&gt;=100000,INDEX($AN$1005:$BO$1005,1,MATCH(COLUMNS($AN$1006:AO1006),$AN$1006:$BO$1006,0))&gt;=100000), " ",IF(INDEX($AN$2:$BO$1001,MATCH(ROWS($AG$2:AG812),$AG$2:$AG$1001,0),MATCH(COLUMNS($AN$1006:AO1006),$AN$1006:$BO$1006,0)), HYPERLINK("#",""), HYPERLINK(CONCATENATE("#Metadata!", ADDRESS(INDEX($AI$2:$AI$1001,MATCH(ROWS($AG$2:AG812),$AG$2:$AG$1001,0),0), INDEX($AN$1004:$BO$1004,1,MATCH(COLUMNS($AN$1006:AO1006),$AN$1006:$BO$1006,0)))),"Fix")))</f>
        <v>0</v>
      </c>
      <c r="D812" s="4">
        <f>IF(OR(INDEX($AH$2:$AH$1001,MATCH(ROWS($AG$2:AG812),$AG$2:$AG$1001,0),1)&gt;=100000,INDEX($AN$1005:$BO$1005,1,MATCH(COLUMNS($AN$1006:AP1006),$AN$1006:$BO$1006,0))&gt;=100000), " ",IF(INDEX($AN$2:$BO$1001,MATCH(ROWS($AG$2:AG812),$AG$2:$AG$1001,0),MATCH(COLUMNS($AN$1006:AP1006),$AN$1006:$BO$1006,0)), HYPERLINK("#",""), HYPERLINK(CONCATENATE("#Metadata!", ADDRESS(INDEX($AI$2:$AI$1001,MATCH(ROWS($AG$2:AG812),$AG$2:$AG$1001,0),0), INDEX($AN$1004:$BO$1004,1,MATCH(COLUMNS($AN$1006:AP1006),$AN$1006:$BO$1006,0)))),"Fix")))</f>
        <v>0</v>
      </c>
      <c r="E812" s="4">
        <f>IF(OR(INDEX($AH$2:$AH$1001,MATCH(ROWS($AG$2:AG812),$AG$2:$AG$1001,0),1)&gt;=100000,INDEX($AN$1005:$BO$1005,1,MATCH(COLUMNS($AN$1006:AQ1006),$AN$1006:$BO$1006,0))&gt;=100000), " ",IF(INDEX($AN$2:$BO$1001,MATCH(ROWS($AG$2:AG812),$AG$2:$AG$1001,0),MATCH(COLUMNS($AN$1006:AQ1006),$AN$1006:$BO$1006,0)), HYPERLINK("#",""), HYPERLINK(CONCATENATE("#Metadata!", ADDRESS(INDEX($AI$2:$AI$1001,MATCH(ROWS($AG$2:AG812),$AG$2:$AG$1001,0),0), INDEX($AN$1004:$BO$1004,1,MATCH(COLUMNS($AN$1006:AQ1006),$AN$1006:$BO$1006,0)))),"Fix")))</f>
        <v>0</v>
      </c>
      <c r="F812" s="4">
        <f>IF(OR(INDEX($AH$2:$AH$1001,MATCH(ROWS($AG$2:AG812),$AG$2:$AG$1001,0),1)&gt;=100000,INDEX($AN$1005:$BO$1005,1,MATCH(COLUMNS($AN$1006:AR1006),$AN$1006:$BO$1006,0))&gt;=100000), " ",IF(INDEX($AN$2:$BO$1001,MATCH(ROWS($AG$2:AG812),$AG$2:$AG$1001,0),MATCH(COLUMNS($AN$1006:AR1006),$AN$1006:$BO$1006,0)), HYPERLINK("#",""), HYPERLINK(CONCATENATE("#Metadata!", ADDRESS(INDEX($AI$2:$AI$1001,MATCH(ROWS($AG$2:AG812),$AG$2:$AG$1001,0),0), INDEX($AN$1004:$BO$1004,1,MATCH(COLUMNS($AN$1006:AR1006),$AN$1006:$BO$1006,0)))),"Fix")))</f>
        <v>0</v>
      </c>
      <c r="G812" s="4">
        <f>IF(OR(INDEX($AH$2:$AH$1001,MATCH(ROWS($AG$2:AG812),$AG$2:$AG$1001,0),1)&gt;=100000,INDEX($AN$1005:$BO$1005,1,MATCH(COLUMNS($AN$1006:AS1006),$AN$1006:$BO$1006,0))&gt;=100000), " ",IF(INDEX($AN$2:$BO$1001,MATCH(ROWS($AG$2:AG812),$AG$2:$AG$1001,0),MATCH(COLUMNS($AN$1006:AS1006),$AN$1006:$BO$1006,0)), HYPERLINK("#",""), HYPERLINK(CONCATENATE("#Metadata!", ADDRESS(INDEX($AI$2:$AI$1001,MATCH(ROWS($AG$2:AG812),$AG$2:$AG$1001,0),0), INDEX($AN$1004:$BO$1004,1,MATCH(COLUMNS($AN$1006:AS1006),$AN$1006:$BO$1006,0)))),"Fix")))</f>
        <v>0</v>
      </c>
      <c r="H812" s="4">
        <f>IF(OR(INDEX($AH$2:$AH$1001,MATCH(ROWS($AG$2:AG812),$AG$2:$AG$1001,0),1)&gt;=100000,INDEX($AN$1005:$BO$1005,1,MATCH(COLUMNS($AN$1006:AT1006),$AN$1006:$BO$1006,0))&gt;=100000), " ",IF(INDEX($AN$2:$BO$1001,MATCH(ROWS($AG$2:AG812),$AG$2:$AG$1001,0),MATCH(COLUMNS($AN$1006:AT1006),$AN$1006:$BO$1006,0)), HYPERLINK("#",""), HYPERLINK(CONCATENATE("#Metadata!", ADDRESS(INDEX($AI$2:$AI$1001,MATCH(ROWS($AG$2:AG812),$AG$2:$AG$1001,0),0), INDEX($AN$1004:$BO$1004,1,MATCH(COLUMNS($AN$1006:AT1006),$AN$1006:$BO$1006,0)))),"Fix")))</f>
        <v>0</v>
      </c>
      <c r="I812" s="4">
        <f>IF(OR(INDEX($AH$2:$AH$1001,MATCH(ROWS($AG$2:AG812),$AG$2:$AG$1001,0),1)&gt;=100000,INDEX($AN$1005:$BO$1005,1,MATCH(COLUMNS($AN$1006:AU1006),$AN$1006:$BO$1006,0))&gt;=100000), " ",IF(INDEX($AN$2:$BO$1001,MATCH(ROWS($AG$2:AG812),$AG$2:$AG$1001,0),MATCH(COLUMNS($AN$1006:AU1006),$AN$1006:$BO$1006,0)), HYPERLINK("#",""), HYPERLINK(CONCATENATE("#Metadata!", ADDRESS(INDEX($AI$2:$AI$1001,MATCH(ROWS($AG$2:AG812),$AG$2:$AG$1001,0),0), INDEX($AN$1004:$BO$1004,1,MATCH(COLUMNS($AN$1006:AU1006),$AN$1006:$BO$1006,0)))),"Fix")))</f>
        <v>0</v>
      </c>
      <c r="J812" s="4">
        <f>IF(OR(INDEX($AH$2:$AH$1001,MATCH(ROWS($AG$2:AG812),$AG$2:$AG$1001,0),1)&gt;=100000,INDEX($AN$1005:$BO$1005,1,MATCH(COLUMNS($AN$1006:AV1006),$AN$1006:$BO$1006,0))&gt;=100000), " ",IF(INDEX($AN$2:$BO$1001,MATCH(ROWS($AG$2:AG812),$AG$2:$AG$1001,0),MATCH(COLUMNS($AN$1006:AV1006),$AN$1006:$BO$1006,0)), HYPERLINK("#",""), HYPERLINK(CONCATENATE("#Metadata!", ADDRESS(INDEX($AI$2:$AI$1001,MATCH(ROWS($AG$2:AG812),$AG$2:$AG$1001,0),0), INDEX($AN$1004:$BO$1004,1,MATCH(COLUMNS($AN$1006:AV1006),$AN$1006:$BO$1006,0)))),"Fix")))</f>
        <v>0</v>
      </c>
      <c r="K812" s="4">
        <f>IF(OR(INDEX($AH$2:$AH$1001,MATCH(ROWS($AG$2:AG812),$AG$2:$AG$1001,0),1)&gt;=100000,INDEX($AN$1005:$BO$1005,1,MATCH(COLUMNS($AN$1006:AW1006),$AN$1006:$BO$1006,0))&gt;=100000), " ",IF(INDEX($AN$2:$BO$1001,MATCH(ROWS($AG$2:AG812),$AG$2:$AG$1001,0),MATCH(COLUMNS($AN$1006:AW1006),$AN$1006:$BO$1006,0)), HYPERLINK("#",""), HYPERLINK(CONCATENATE("#Metadata!", ADDRESS(INDEX($AI$2:$AI$1001,MATCH(ROWS($AG$2:AG812),$AG$2:$AG$1001,0),0), INDEX($AN$1004:$BO$1004,1,MATCH(COLUMNS($AN$1006:AW1006),$AN$1006:$BO$1006,0)))),"Fix")))</f>
        <v>0</v>
      </c>
      <c r="L812" s="4">
        <f>IF(OR(INDEX($AH$2:$AH$1001,MATCH(ROWS($AG$2:AG812),$AG$2:$AG$1001,0),1)&gt;=100000,INDEX($AN$1005:$BO$1005,1,MATCH(COLUMNS($AN$1006:AX1006),$AN$1006:$BO$1006,0))&gt;=100000), " ",IF(INDEX($AN$2:$BO$1001,MATCH(ROWS($AG$2:AG812),$AG$2:$AG$1001,0),MATCH(COLUMNS($AN$1006:AX1006),$AN$1006:$BO$1006,0)), HYPERLINK("#",""), HYPERLINK(CONCATENATE("#Metadata!", ADDRESS(INDEX($AI$2:$AI$1001,MATCH(ROWS($AG$2:AG812),$AG$2:$AG$1001,0),0), INDEX($AN$1004:$BO$1004,1,MATCH(COLUMNS($AN$1006:AX1006),$AN$1006:$BO$1006,0)))),"Fix")))</f>
        <v>0</v>
      </c>
      <c r="M812" s="4">
        <f>IF(OR(INDEX($AH$2:$AH$1001,MATCH(ROWS($AG$2:AG812),$AG$2:$AG$1001,0),1)&gt;=100000,INDEX($AN$1005:$BO$1005,1,MATCH(COLUMNS($AN$1006:AY1006),$AN$1006:$BO$1006,0))&gt;=100000), " ",IF(INDEX($AN$2:$BO$1001,MATCH(ROWS($AG$2:AG812),$AG$2:$AG$1001,0),MATCH(COLUMNS($AN$1006:AY1006),$AN$1006:$BO$1006,0)), HYPERLINK("#",""), HYPERLINK(CONCATENATE("#Metadata!", ADDRESS(INDEX($AI$2:$AI$1001,MATCH(ROWS($AG$2:AG812),$AG$2:$AG$1001,0),0), INDEX($AN$1004:$BO$1004,1,MATCH(COLUMNS($AN$1006:AY1006),$AN$1006:$BO$1006,0)))),"Fix")))</f>
        <v>0</v>
      </c>
      <c r="N812" s="4">
        <f>IF(OR(INDEX($AH$2:$AH$1001,MATCH(ROWS($AG$2:AG812),$AG$2:$AG$1001,0),1)&gt;=100000,INDEX($AN$1005:$BO$1005,1,MATCH(COLUMNS($AN$1006:AZ1006),$AN$1006:$BO$1006,0))&gt;=100000), " ",IF(INDEX($AN$2:$BO$1001,MATCH(ROWS($AG$2:AG812),$AG$2:$AG$1001,0),MATCH(COLUMNS($AN$1006:AZ1006),$AN$1006:$BO$1006,0)), HYPERLINK("#",""), HYPERLINK(CONCATENATE("#Metadata!", ADDRESS(INDEX($AI$2:$AI$1001,MATCH(ROWS($AG$2:AG812),$AG$2:$AG$1001,0),0), INDEX($AN$1004:$BO$1004,1,MATCH(COLUMNS($AN$1006:AZ1006),$AN$1006:$BO$1006,0)))),"Fix")))</f>
        <v>0</v>
      </c>
      <c r="O812" s="4">
        <f>IF(OR(INDEX($AH$2:$AH$1001,MATCH(ROWS($AG$2:AG812),$AG$2:$AG$1001,0),1)&gt;=100000,INDEX($AN$1005:$BO$1005,1,MATCH(COLUMNS($AN$1006:BA1006),$AN$1006:$BO$1006,0))&gt;=100000), " ",IF(INDEX($AN$2:$BO$1001,MATCH(ROWS($AG$2:AG812),$AG$2:$AG$1001,0),MATCH(COLUMNS($AN$1006:BA1006),$AN$1006:$BO$1006,0)), HYPERLINK("#",""), HYPERLINK(CONCATENATE("#Metadata!", ADDRESS(INDEX($AI$2:$AI$1001,MATCH(ROWS($AG$2:AG812),$AG$2:$AG$1001,0),0), INDEX($AN$1004:$BO$1004,1,MATCH(COLUMNS($AN$1006:BA1006),$AN$1006:$BO$1006,0)))),"Fix")))</f>
        <v>0</v>
      </c>
      <c r="P812" s="4">
        <f>IF(OR(INDEX($AH$2:$AH$1001,MATCH(ROWS($AG$2:AG812),$AG$2:$AG$1001,0),1)&gt;=100000,INDEX($AN$1005:$BO$1005,1,MATCH(COLUMNS($AN$1006:BB1006),$AN$1006:$BO$1006,0))&gt;=100000), " ",IF(INDEX($AN$2:$BO$1001,MATCH(ROWS($AG$2:AG812),$AG$2:$AG$1001,0),MATCH(COLUMNS($AN$1006:BB1006),$AN$1006:$BO$1006,0)), HYPERLINK("#",""), HYPERLINK(CONCATENATE("#Metadata!", ADDRESS(INDEX($AI$2:$AI$1001,MATCH(ROWS($AG$2:AG812),$AG$2:$AG$1001,0),0), INDEX($AN$1004:$BO$1004,1,MATCH(COLUMNS($AN$1006:BB1006),$AN$1006:$BO$1006,0)))),"Fix")))</f>
        <v>0</v>
      </c>
      <c r="Q812" s="4">
        <f>IF(OR(INDEX($AH$2:$AH$1001,MATCH(ROWS($AG$2:AG812),$AG$2:$AG$1001,0),1)&gt;=100000,INDEX($AN$1005:$BO$1005,1,MATCH(COLUMNS($AN$1006:BC1006),$AN$1006:$BO$1006,0))&gt;=100000), " ",IF(INDEX($AN$2:$BO$1001,MATCH(ROWS($AG$2:AG812),$AG$2:$AG$1001,0),MATCH(COLUMNS($AN$1006:BC1006),$AN$1006:$BO$1006,0)), HYPERLINK("#",""), HYPERLINK(CONCATENATE("#Metadata!", ADDRESS(INDEX($AI$2:$AI$1001,MATCH(ROWS($AG$2:AG812),$AG$2:$AG$1001,0),0), INDEX($AN$1004:$BO$1004,1,MATCH(COLUMNS($AN$1006:BC1006),$AN$1006:$BO$1006,0)))),"Fix")))</f>
        <v>0</v>
      </c>
      <c r="R812" s="4">
        <f>IF(OR(INDEX($AH$2:$AH$1001,MATCH(ROWS($AG$2:AG812),$AG$2:$AG$1001,0),1)&gt;=100000,INDEX($AN$1005:$BO$1005,1,MATCH(COLUMNS($AN$1006:BD1006),$AN$1006:$BO$1006,0))&gt;=100000), " ",IF(INDEX($AN$2:$BO$1001,MATCH(ROWS($AG$2:AG812),$AG$2:$AG$1001,0),MATCH(COLUMNS($AN$1006:BD1006),$AN$1006:$BO$1006,0)), HYPERLINK("#",""), HYPERLINK(CONCATENATE("#Metadata!", ADDRESS(INDEX($AI$2:$AI$1001,MATCH(ROWS($AG$2:AG812),$AG$2:$AG$1001,0),0), INDEX($AN$1004:$BO$1004,1,MATCH(COLUMNS($AN$1006:BD1006),$AN$1006:$BO$1006,0)))),"Fix")))</f>
        <v>0</v>
      </c>
      <c r="S812" s="4">
        <f>IF(OR(INDEX($AH$2:$AH$1001,MATCH(ROWS($AG$2:AG812),$AG$2:$AG$1001,0),1)&gt;=100000,INDEX($AN$1005:$BO$1005,1,MATCH(COLUMNS($AN$1006:BE1006),$AN$1006:$BO$1006,0))&gt;=100000), " ",IF(INDEX($AN$2:$BO$1001,MATCH(ROWS($AG$2:AG812),$AG$2:$AG$1001,0),MATCH(COLUMNS($AN$1006:BE1006),$AN$1006:$BO$1006,0)), HYPERLINK("#",""), HYPERLINK(CONCATENATE("#Metadata!", ADDRESS(INDEX($AI$2:$AI$1001,MATCH(ROWS($AG$2:AG812),$AG$2:$AG$1001,0),0), INDEX($AN$1004:$BO$1004,1,MATCH(COLUMNS($AN$1006:BE1006),$AN$1006:$BO$1006,0)))),"Fix")))</f>
        <v>0</v>
      </c>
      <c r="T812" s="4">
        <f>IF(OR(INDEX($AH$2:$AH$1001,MATCH(ROWS($AG$2:AG812),$AG$2:$AG$1001,0),1)&gt;=100000,INDEX($AN$1005:$BO$1005,1,MATCH(COLUMNS($AN$1006:BF1006),$AN$1006:$BO$1006,0))&gt;=100000), " ",IF(INDEX($AN$2:$BO$1001,MATCH(ROWS($AG$2:AG812),$AG$2:$AG$1001,0),MATCH(COLUMNS($AN$1006:BF1006),$AN$1006:$BO$1006,0)), HYPERLINK("#",""), HYPERLINK(CONCATENATE("#Metadata!", ADDRESS(INDEX($AI$2:$AI$1001,MATCH(ROWS($AG$2:AG812),$AG$2:$AG$1001,0),0), INDEX($AN$1004:$BO$1004,1,MATCH(COLUMNS($AN$1006:BF1006),$AN$1006:$BO$1006,0)))),"Fix")))</f>
        <v>0</v>
      </c>
      <c r="U812" s="4">
        <f>IF(OR(INDEX($AH$2:$AH$1001,MATCH(ROWS($AG$2:AG812),$AG$2:$AG$1001,0),1)&gt;=100000,INDEX($AN$1005:$BO$1005,1,MATCH(COLUMNS($AN$1006:BG1006),$AN$1006:$BO$1006,0))&gt;=100000), " ",IF(INDEX($AN$2:$BO$1001,MATCH(ROWS($AG$2:AG812),$AG$2:$AG$1001,0),MATCH(COLUMNS($AN$1006:BG1006),$AN$1006:$BO$1006,0)), HYPERLINK("#",""), HYPERLINK(CONCATENATE("#Metadata!", ADDRESS(INDEX($AI$2:$AI$1001,MATCH(ROWS($AG$2:AG812),$AG$2:$AG$1001,0),0), INDEX($AN$1004:$BO$1004,1,MATCH(COLUMNS($AN$1006:BG1006),$AN$1006:$BO$1006,0)))),"Fix")))</f>
        <v>0</v>
      </c>
      <c r="V812" s="4">
        <f>IF(OR(INDEX($AH$2:$AH$1001,MATCH(ROWS($AG$2:AG812),$AG$2:$AG$1001,0),1)&gt;=100000,INDEX($AN$1005:$BO$1005,1,MATCH(COLUMNS($AN$1006:BH1006),$AN$1006:$BO$1006,0))&gt;=100000), " ",IF(INDEX($AN$2:$BO$1001,MATCH(ROWS($AG$2:AG812),$AG$2:$AG$1001,0),MATCH(COLUMNS($AN$1006:BH1006),$AN$1006:$BO$1006,0)), HYPERLINK("#",""), HYPERLINK(CONCATENATE("#Metadata!", ADDRESS(INDEX($AI$2:$AI$1001,MATCH(ROWS($AG$2:AG812),$AG$2:$AG$1001,0),0), INDEX($AN$1004:$BO$1004,1,MATCH(COLUMNS($AN$1006:BH1006),$AN$1006:$BO$1006,0)))),"Fix")))</f>
        <v>0</v>
      </c>
      <c r="W812" s="4">
        <f>IF(OR(INDEX($AH$2:$AH$1001,MATCH(ROWS($AG$2:AG812),$AG$2:$AG$1001,0),1)&gt;=100000,INDEX($AN$1005:$BO$1005,1,MATCH(COLUMNS($AN$1006:BI1006),$AN$1006:$BO$1006,0))&gt;=100000), " ",IF(INDEX($AN$2:$BO$1001,MATCH(ROWS($AG$2:AG812),$AG$2:$AG$1001,0),MATCH(COLUMNS($AN$1006:BI1006),$AN$1006:$BO$1006,0)), HYPERLINK("#",""), HYPERLINK(CONCATENATE("#Metadata!", ADDRESS(INDEX($AI$2:$AI$1001,MATCH(ROWS($AG$2:AG812),$AG$2:$AG$1001,0),0), INDEX($AN$1004:$BO$1004,1,MATCH(COLUMNS($AN$1006:BI1006),$AN$1006:$BO$1006,0)))),"Fix")))</f>
        <v>0</v>
      </c>
      <c r="X812" s="4">
        <f>IF(OR(INDEX($AH$2:$AH$1001,MATCH(ROWS($AG$2:AG812),$AG$2:$AG$1001,0),1)&gt;=100000,INDEX($AN$1005:$BO$1005,1,MATCH(COLUMNS($AN$1006:BJ1006),$AN$1006:$BO$1006,0))&gt;=100000), " ",IF(INDEX($AN$2:$BO$1001,MATCH(ROWS($AG$2:AG812),$AG$2:$AG$1001,0),MATCH(COLUMNS($AN$1006:BJ1006),$AN$1006:$BO$1006,0)), HYPERLINK("#",""), HYPERLINK(CONCATENATE("#Metadata!", ADDRESS(INDEX($AI$2:$AI$1001,MATCH(ROWS($AG$2:AG812),$AG$2:$AG$1001,0),0), INDEX($AN$1004:$BO$1004,1,MATCH(COLUMNS($AN$1006:BJ1006),$AN$1006:$BO$1006,0)))),"Fix")))</f>
        <v>0</v>
      </c>
      <c r="Y812" s="4">
        <f>IF(OR(INDEX($AH$2:$AH$1001,MATCH(ROWS($AG$2:AG812),$AG$2:$AG$1001,0),1)&gt;=100000,INDEX($AN$1005:$BO$1005,1,MATCH(COLUMNS($AN$1006:BK1006),$AN$1006:$BO$1006,0))&gt;=100000), " ",IF(INDEX($AN$2:$BO$1001,MATCH(ROWS($AG$2:AG812),$AG$2:$AG$1001,0),MATCH(COLUMNS($AN$1006:BK1006),$AN$1006:$BO$1006,0)), HYPERLINK("#",""), HYPERLINK(CONCATENATE("#Metadata!", ADDRESS(INDEX($AI$2:$AI$1001,MATCH(ROWS($AG$2:AG812),$AG$2:$AG$1001,0),0), INDEX($AN$1004:$BO$1004,1,MATCH(COLUMNS($AN$1006:BK1006),$AN$1006:$BO$1006,0)))),"Fix")))</f>
        <v>0</v>
      </c>
      <c r="Z812" s="4">
        <f>IF(OR(INDEX($AH$2:$AH$1001,MATCH(ROWS($AG$2:AG812),$AG$2:$AG$1001,0),1)&gt;=100000,INDEX($AN$1005:$BO$1005,1,MATCH(COLUMNS($AN$1006:BL1006),$AN$1006:$BO$1006,0))&gt;=100000), " ",IF(INDEX($AN$2:$BO$1001,MATCH(ROWS($AG$2:AG812),$AG$2:$AG$1001,0),MATCH(COLUMNS($AN$1006:BL1006),$AN$1006:$BO$1006,0)), HYPERLINK("#",""), HYPERLINK(CONCATENATE("#Metadata!", ADDRESS(INDEX($AI$2:$AI$1001,MATCH(ROWS($AG$2:AG812),$AG$2:$AG$1001,0),0), INDEX($AN$1004:$BO$1004,1,MATCH(COLUMNS($AN$1006:BL1006),$AN$1006:$BO$1006,0)))),"Fix")))</f>
        <v>0</v>
      </c>
      <c r="AA812" s="4">
        <f>IF(OR(INDEX($AH$2:$AH$1001,MATCH(ROWS($AG$2:AG812),$AG$2:$AG$1001,0),1)&gt;=100000,INDEX($AN$1005:$BO$1005,1,MATCH(COLUMNS($AN$1006:BM1006),$AN$1006:$BO$1006,0))&gt;=100000), " ",IF(INDEX($AN$2:$BO$1001,MATCH(ROWS($AG$2:AG812),$AG$2:$AG$1001,0),MATCH(COLUMNS($AN$1006:BM1006),$AN$1006:$BO$1006,0)), HYPERLINK("#",""), HYPERLINK(CONCATENATE("#Metadata!", ADDRESS(INDEX($AI$2:$AI$1001,MATCH(ROWS($AG$2:AG812),$AG$2:$AG$1001,0),0), INDEX($AN$1004:$BO$1004,1,MATCH(COLUMNS($AN$1006:BM1006),$AN$1006:$BO$1006,0)))),"Fix")))</f>
        <v>0</v>
      </c>
      <c r="AB812" s="4">
        <f>IF(OR(INDEX($AH$2:$AH$1001,MATCH(ROWS($AG$2:AG812),$AG$2:$AG$1001,0),1)&gt;=100000,INDEX($AN$1005:$BO$1005,1,MATCH(COLUMNS($AN$1006:BN1006),$AN$1006:$BO$1006,0))&gt;=100000), " ",IF(INDEX($AN$2:$BO$1001,MATCH(ROWS($AG$2:AG812),$AG$2:$AG$1001,0),MATCH(COLUMNS($AN$1006:BN1006),$AN$1006:$BO$1006,0)), HYPERLINK("#",""), HYPERLINK(CONCATENATE("#Metadata!", ADDRESS(INDEX($AI$2:$AI$1001,MATCH(ROWS($AG$2:AG812),$AG$2:$AG$1001,0),0), INDEX($AN$1004:$BO$1004,1,MATCH(COLUMNS($AN$1006:BN1006),$AN$1006:$BO$1006,0)))),"Fix")))</f>
        <v>0</v>
      </c>
      <c r="AC812" s="4">
        <f>IF(OR(INDEX($AH$2:$AH$1001,MATCH(ROWS($AG$2:AG812),$AG$2:$AG$1001,0),1)&gt;=100000,INDEX($AN$1005:$BO$1005,1,MATCH(COLUMNS($AN$1006:BO1006),$AN$1006:$BO$1006,0))&gt;=100000), " ",IF(INDEX($AN$2:$BO$1001,MATCH(ROWS($AG$2:AG812),$AG$2:$AG$1001,0),MATCH(COLUMNS($AN$1006:BO1006),$AN$1006:$BO$1006,0)), HYPERLINK("#",""), HYPERLINK(CONCATENATE("#Metadata!", ADDRESS(INDEX($AI$2:$AI$1001,MATCH(ROWS($AG$2:AG812),$AG$2:$AG$1001,0),0), INDEX($AN$1004:$BO$1004,1,MATCH(COLUMNS($AN$1006:BO1006),$AN$1006:$BO$1006,0)))),"Fix")))</f>
        <v>0</v>
      </c>
      <c r="AG812">
        <v>0</v>
      </c>
      <c r="AH812">
        <v>0</v>
      </c>
      <c r="AI812">
        <v>0</v>
      </c>
      <c r="AJ812">
        <f>IF(AK812,TRUE,AND(AN812:BO812))</f>
        <v>0</v>
      </c>
      <c r="AK812">
        <f>COUNTBLANK(Metadata!B812:AC812)=COLUMNS(Metadata!B812:AC812)</f>
        <v>0</v>
      </c>
      <c r="AL812">
        <v>0</v>
      </c>
      <c r="AN812">
        <f>AND(IF(Metadata!B812="",FALSE,TRUE),COUNTIF(Metadata!B:B, Metadata!B812) = 1,NOT(ISERROR(SUMPRODUCT(SEARCH(MID(Metadata!B812,ROW(INDIRECT("1:"&amp;LEN(Metadata!B812))), 1),"0123456789abcdefghijklmnopqrstuvwxyzABCDEFGHIJKLMNOPQRSTUVWXYZ.")))))</f>
        <v>0</v>
      </c>
      <c r="AO812">
        <f>IF(Metadata!C812="",FALSE,TRUE)</f>
        <v>0</v>
      </c>
      <c r="AP812">
        <f>IF(Metadata!D812="",FALSE,TRUE)</f>
        <v>0</v>
      </c>
      <c r="AQ812">
        <f>OR(AND(IF(Metadata!E812="",FALSE,TRUE),OR(exact(Metadata!E812,"not collected"),exact(Metadata!E812,"not provided"),exact(Metadata!E812,"restricted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R812">
        <f>IF(Metadata!F812="",FALSE,TRUE)</f>
        <v>0</v>
      </c>
      <c r="AS812">
        <f>OR(AND(IF(Metadata!G812="",FALSE,TRUE),OR(exact(Metadata!G812,"not collected"),exact(Metadata!G812,"not provided"))),AND(IF(Metadata!G812="",FALSE,TRUE),OR(exact(Metadata!G812,"TRUE"),exact(Metadata!G812,"FALSE"))))</f>
        <v>0</v>
      </c>
      <c r="AT812">
        <f>OR(AND(IF(Metadata!H812="",FALSE,TRUE),OR(exact(Metadata!H812,"not collected"),exact(Metadata!H812,"not provided"),exact(Metadata!H812,"restricted access"))),AND(IF(Metadata!H812="",FALSE,ISNUMBER(VALUE(Metadata!H812))),Metadata!H812&gt;=-413.0))</f>
        <v>0</v>
      </c>
      <c r="AU812">
        <f>AND(IF(Metadata!I812="",FALSE,TRUE),exact(Metadata!I812,"meters"))</f>
        <v>0</v>
      </c>
      <c r="AV812">
        <f>AND(IF(Metadata!J812="",FALSE,TRUE),OR(exact(Metadata!J812,"Host-associated"),exact(Metadata!J812,"Free-living")))</f>
        <v>0</v>
      </c>
      <c r="AW812">
        <f>AND(IF(Metadata!K812="",FALSE,TRUE),OR(exact(Metadata!K812,"Animal"),exact(Metadata!K812,"Fungus"),exact(Metadata!K812,"Plant"),exact(Metadata!K812,"Saline"),exact(Metadata!K812,"Non-saline")))</f>
        <v>0</v>
      </c>
      <c r="AX812">
        <f>AND(IF(Metadata!L812="",FALSE,TRUE),OR(exact(Metadata!L812,"Plant secretion"),exact(Metadata!L812,"Plant rhizosphere"),exact(Metadata!L812,"Plant surface"),exact(Metadata!L812,"Plant corpus"),exact(Metadata!L812,"Fungus surface"),exact(Metadata!L812,"Fungus corpus"),exact(Metadata!L812,"Animal surface"),exact(Metadata!L812,"Animal proximal gut"),exact(Metadata!L812,"Animal corpus"),exact(Metadata!L812,"Animal distal gut"),exact(Metadata!L812,"Animal secretion"),exact(Metadata!L812,"Sub-surface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Y812">
        <f>IF(Metadata!M812="",FALSE,TRUE)</f>
        <v>0</v>
      </c>
      <c r="AZ812">
        <f>IF(Metadata!N812="",FALSE,TRUE)</f>
        <v>0</v>
      </c>
      <c r="BA812">
        <f>IF(Metadata!O812="",FALSE,TRUE)</f>
        <v>0</v>
      </c>
      <c r="BB812">
        <f>OR(AND(IF(Metadata!P812="",FALSE,TRUE),OR(exact(Metadata!P812,"not collected"),exact(Metadata!P812,"not provided"),exact(Metadata!P812,"restricted access"))),AND(IF(Metadata!P812="",FALSE,TRUE),OR(exact(Metadata!P812,"air"),exact(Metadata!P812,"built environment"),exact(Metadata!P812,"host-associated"),exact(Metadata!P812,"human-associated"),exact(Metadata!P812,"human-skin"),exact(Metadata!P812,"human-oral"),exact(Metadata!P812,"human-gut"),exact(Metadata!P812,"human-vaginal"),exact(Metadata!P812,"microbial mat/biofilm"),exact(Metadata!P812,"misc environment"),exact(Metadata!P812,"plant-associated"),exact(Metadata!P812,"sediment"),exact(Metadata!P812,"soil"),exact(Metadata!P812,"wastewater/sludge"),exact(Metadata!P812,"water"))))</f>
        <v>0</v>
      </c>
      <c r="BC812">
        <f>IF(Metadata!Q812="",FALSE,TRUE)</f>
        <v>0</v>
      </c>
      <c r="BD812">
        <f>IF(Metadata!R812="",FALSE,TRUE)</f>
        <v>0</v>
      </c>
      <c r="BE812">
        <f>OR(AND(IF(Metadata!S812="",FALSE,TRUE),OR(exact(Metadata!S812,"not collected"),exact(Metadata!S812,"not provided"),exact(Metadata!S812,"restricted access"))),AND(IF(Metadata!S812="",FALSE,ISNUMBER(VALUE(Metadata!S812))),Metadata!S812&gt;=-90.00,Metadata!S812&lt;=90.00))</f>
        <v>0</v>
      </c>
      <c r="BF812">
        <f>AND(IF(Metadata!T812="",FALSE,TRUE),exact(Metadata!T812,"Decimal degrees"))</f>
        <v>0</v>
      </c>
      <c r="BG812">
        <f>OR(AND(IF(Metadata!U812="",FALSE,TRUE),OR(exact(Metadata!U812,"not collected"),exact(Metadata!U812,"not provided"),exact(Metadata!U812,"restricted access"))),AND(IF(Metadata!U812="",FALSE,ISNUMBER(VALUE(Metadata!U812))),Metadata!U812&gt;=-180.00,Metadata!U812&lt;=180.00))</f>
        <v>0</v>
      </c>
      <c r="BH812">
        <f>AND(IF(Metadata!V812="",FALSE,TRUE),exact(Metadata!V812,"Decimal degrees"))</f>
        <v>0</v>
      </c>
      <c r="BI812">
        <f>IF(Metadata!W812="",FALSE,TRUE)</f>
        <v>0</v>
      </c>
      <c r="BJ812">
        <f>OR(AND(IF(Metadata!X812="",FALSE,TRUE),OR(exact(Metadata!X812,"not collected"),exact(Metadata!X812,"not provided"),exact(Metadata!X812,"restricted access"))),AND(IF(Metadata!X812="",FALSE,TRUE),OR(exact(Metadata!X812,"TRUE"),exact(Metadata!X812,"FALSE"))))</f>
        <v>0</v>
      </c>
      <c r="BK812">
        <f>AND(IF(Metadata!Y812="",FALSE,TRUE),exact(Metadata!Y812,"other"))</f>
        <v>0</v>
      </c>
      <c r="BL812">
        <f>IF(Metadata!Z812="",FALSE,TRUE)</f>
        <v>0</v>
      </c>
      <c r="BM812">
        <f>OR(AND(IF(Metadata!AA812="",FALSE,TRUE),OR(exact(Metadata!AA812,"not collected"),exact(Metadata!AA812,"not provided"))),AND(IF(Metadata!AA812="",FALSE,IF(ISERROR(INT(Metadata!AA812)),FALSE,INT(Metadata!AA812)=Metadata!AA812)),Metadata!AA812&gt;0))</f>
        <v>0</v>
      </c>
      <c r="BN812">
        <f>AND(IF(Metadata!AB812="",FALSE,TRUE),exact(Metadata!AB812,"Not applicable"))</f>
        <v>0</v>
      </c>
      <c r="BO812">
        <f>IF(Metadata!AC812="",FALSE,TRUE)</f>
        <v>0</v>
      </c>
    </row>
    <row r="813" spans="1:67">
      <c r="A813" s="5">
        <f>IF(B813=" "," ",HYPERLINK(CONCATENATE("#metadata!",ADDRESS(INDEX($AI$2:$AI$1001,MATCH(ROWS($AG$2:AG813),$AG$2:$AG$1001,0),0),1)),INDEX($AL$2:$AL$1001,MATCH(ROWS($AG$2:AG813),$AG$2:$AG$1001,0),0)))</f>
        <v>0</v>
      </c>
      <c r="B813" s="4">
        <f>IF(OR(INDEX($AH$2:$AH$1001,MATCH(ROWS($AG$2:AG813),$AG$2:$AG$1001,0),1)&gt;=100000,INDEX($AN$1005:$BO$1005,1,MATCH(COLUMNS($AN$1006:AN1006),$AN$1006:$BO$1006,0))&gt;=100000), " ",IF(INDEX($AN$2:$BO$1001,MATCH(ROWS($AG$2:AG813),$AG$2:$AG$1001,0),MATCH(COLUMNS($AN$1006:AN1006),$AN$1006:$BO$1006,0)), HYPERLINK("#",""), HYPERLINK(CONCATENATE("#Metadata!", ADDRESS(INDEX($AI$2:$AI$1001,MATCH(ROWS($AG$2:AG813),$AG$2:$AG$1001,0),0), INDEX($AN$1004:$BO$1004,1,MATCH(COLUMNS($AN$1006:AN1006),$AN$1006:$BO$1006,0)))),"Fix")))</f>
        <v>0</v>
      </c>
      <c r="C813" s="4">
        <f>IF(OR(INDEX($AH$2:$AH$1001,MATCH(ROWS($AG$2:AG813),$AG$2:$AG$1001,0),1)&gt;=100000,INDEX($AN$1005:$BO$1005,1,MATCH(COLUMNS($AN$1006:AO1006),$AN$1006:$BO$1006,0))&gt;=100000), " ",IF(INDEX($AN$2:$BO$1001,MATCH(ROWS($AG$2:AG813),$AG$2:$AG$1001,0),MATCH(COLUMNS($AN$1006:AO1006),$AN$1006:$BO$1006,0)), HYPERLINK("#",""), HYPERLINK(CONCATENATE("#Metadata!", ADDRESS(INDEX($AI$2:$AI$1001,MATCH(ROWS($AG$2:AG813),$AG$2:$AG$1001,0),0), INDEX($AN$1004:$BO$1004,1,MATCH(COLUMNS($AN$1006:AO1006),$AN$1006:$BO$1006,0)))),"Fix")))</f>
        <v>0</v>
      </c>
      <c r="D813" s="4">
        <f>IF(OR(INDEX($AH$2:$AH$1001,MATCH(ROWS($AG$2:AG813),$AG$2:$AG$1001,0),1)&gt;=100000,INDEX($AN$1005:$BO$1005,1,MATCH(COLUMNS($AN$1006:AP1006),$AN$1006:$BO$1006,0))&gt;=100000), " ",IF(INDEX($AN$2:$BO$1001,MATCH(ROWS($AG$2:AG813),$AG$2:$AG$1001,0),MATCH(COLUMNS($AN$1006:AP1006),$AN$1006:$BO$1006,0)), HYPERLINK("#",""), HYPERLINK(CONCATENATE("#Metadata!", ADDRESS(INDEX($AI$2:$AI$1001,MATCH(ROWS($AG$2:AG813),$AG$2:$AG$1001,0),0), INDEX($AN$1004:$BO$1004,1,MATCH(COLUMNS($AN$1006:AP1006),$AN$1006:$BO$1006,0)))),"Fix")))</f>
        <v>0</v>
      </c>
      <c r="E813" s="4">
        <f>IF(OR(INDEX($AH$2:$AH$1001,MATCH(ROWS($AG$2:AG813),$AG$2:$AG$1001,0),1)&gt;=100000,INDEX($AN$1005:$BO$1005,1,MATCH(COLUMNS($AN$1006:AQ1006),$AN$1006:$BO$1006,0))&gt;=100000), " ",IF(INDEX($AN$2:$BO$1001,MATCH(ROWS($AG$2:AG813),$AG$2:$AG$1001,0),MATCH(COLUMNS($AN$1006:AQ1006),$AN$1006:$BO$1006,0)), HYPERLINK("#",""), HYPERLINK(CONCATENATE("#Metadata!", ADDRESS(INDEX($AI$2:$AI$1001,MATCH(ROWS($AG$2:AG813),$AG$2:$AG$1001,0),0), INDEX($AN$1004:$BO$1004,1,MATCH(COLUMNS($AN$1006:AQ1006),$AN$1006:$BO$1006,0)))),"Fix")))</f>
        <v>0</v>
      </c>
      <c r="F813" s="4">
        <f>IF(OR(INDEX($AH$2:$AH$1001,MATCH(ROWS($AG$2:AG813),$AG$2:$AG$1001,0),1)&gt;=100000,INDEX($AN$1005:$BO$1005,1,MATCH(COLUMNS($AN$1006:AR1006),$AN$1006:$BO$1006,0))&gt;=100000), " ",IF(INDEX($AN$2:$BO$1001,MATCH(ROWS($AG$2:AG813),$AG$2:$AG$1001,0),MATCH(COLUMNS($AN$1006:AR1006),$AN$1006:$BO$1006,0)), HYPERLINK("#",""), HYPERLINK(CONCATENATE("#Metadata!", ADDRESS(INDEX($AI$2:$AI$1001,MATCH(ROWS($AG$2:AG813),$AG$2:$AG$1001,0),0), INDEX($AN$1004:$BO$1004,1,MATCH(COLUMNS($AN$1006:AR1006),$AN$1006:$BO$1006,0)))),"Fix")))</f>
        <v>0</v>
      </c>
      <c r="G813" s="4">
        <f>IF(OR(INDEX($AH$2:$AH$1001,MATCH(ROWS($AG$2:AG813),$AG$2:$AG$1001,0),1)&gt;=100000,INDEX($AN$1005:$BO$1005,1,MATCH(COLUMNS($AN$1006:AS1006),$AN$1006:$BO$1006,0))&gt;=100000), " ",IF(INDEX($AN$2:$BO$1001,MATCH(ROWS($AG$2:AG813),$AG$2:$AG$1001,0),MATCH(COLUMNS($AN$1006:AS1006),$AN$1006:$BO$1006,0)), HYPERLINK("#",""), HYPERLINK(CONCATENATE("#Metadata!", ADDRESS(INDEX($AI$2:$AI$1001,MATCH(ROWS($AG$2:AG813),$AG$2:$AG$1001,0),0), INDEX($AN$1004:$BO$1004,1,MATCH(COLUMNS($AN$1006:AS1006),$AN$1006:$BO$1006,0)))),"Fix")))</f>
        <v>0</v>
      </c>
      <c r="H813" s="4">
        <f>IF(OR(INDEX($AH$2:$AH$1001,MATCH(ROWS($AG$2:AG813),$AG$2:$AG$1001,0),1)&gt;=100000,INDEX($AN$1005:$BO$1005,1,MATCH(COLUMNS($AN$1006:AT1006),$AN$1006:$BO$1006,0))&gt;=100000), " ",IF(INDEX($AN$2:$BO$1001,MATCH(ROWS($AG$2:AG813),$AG$2:$AG$1001,0),MATCH(COLUMNS($AN$1006:AT1006),$AN$1006:$BO$1006,0)), HYPERLINK("#",""), HYPERLINK(CONCATENATE("#Metadata!", ADDRESS(INDEX($AI$2:$AI$1001,MATCH(ROWS($AG$2:AG813),$AG$2:$AG$1001,0),0), INDEX($AN$1004:$BO$1004,1,MATCH(COLUMNS($AN$1006:AT1006),$AN$1006:$BO$1006,0)))),"Fix")))</f>
        <v>0</v>
      </c>
      <c r="I813" s="4">
        <f>IF(OR(INDEX($AH$2:$AH$1001,MATCH(ROWS($AG$2:AG813),$AG$2:$AG$1001,0),1)&gt;=100000,INDEX($AN$1005:$BO$1005,1,MATCH(COLUMNS($AN$1006:AU1006),$AN$1006:$BO$1006,0))&gt;=100000), " ",IF(INDEX($AN$2:$BO$1001,MATCH(ROWS($AG$2:AG813),$AG$2:$AG$1001,0),MATCH(COLUMNS($AN$1006:AU1006),$AN$1006:$BO$1006,0)), HYPERLINK("#",""), HYPERLINK(CONCATENATE("#Metadata!", ADDRESS(INDEX($AI$2:$AI$1001,MATCH(ROWS($AG$2:AG813),$AG$2:$AG$1001,0),0), INDEX($AN$1004:$BO$1004,1,MATCH(COLUMNS($AN$1006:AU1006),$AN$1006:$BO$1006,0)))),"Fix")))</f>
        <v>0</v>
      </c>
      <c r="J813" s="4">
        <f>IF(OR(INDEX($AH$2:$AH$1001,MATCH(ROWS($AG$2:AG813),$AG$2:$AG$1001,0),1)&gt;=100000,INDEX($AN$1005:$BO$1005,1,MATCH(COLUMNS($AN$1006:AV1006),$AN$1006:$BO$1006,0))&gt;=100000), " ",IF(INDEX($AN$2:$BO$1001,MATCH(ROWS($AG$2:AG813),$AG$2:$AG$1001,0),MATCH(COLUMNS($AN$1006:AV1006),$AN$1006:$BO$1006,0)), HYPERLINK("#",""), HYPERLINK(CONCATENATE("#Metadata!", ADDRESS(INDEX($AI$2:$AI$1001,MATCH(ROWS($AG$2:AG813),$AG$2:$AG$1001,0),0), INDEX($AN$1004:$BO$1004,1,MATCH(COLUMNS($AN$1006:AV1006),$AN$1006:$BO$1006,0)))),"Fix")))</f>
        <v>0</v>
      </c>
      <c r="K813" s="4">
        <f>IF(OR(INDEX($AH$2:$AH$1001,MATCH(ROWS($AG$2:AG813),$AG$2:$AG$1001,0),1)&gt;=100000,INDEX($AN$1005:$BO$1005,1,MATCH(COLUMNS($AN$1006:AW1006),$AN$1006:$BO$1006,0))&gt;=100000), " ",IF(INDEX($AN$2:$BO$1001,MATCH(ROWS($AG$2:AG813),$AG$2:$AG$1001,0),MATCH(COLUMNS($AN$1006:AW1006),$AN$1006:$BO$1006,0)), HYPERLINK("#",""), HYPERLINK(CONCATENATE("#Metadata!", ADDRESS(INDEX($AI$2:$AI$1001,MATCH(ROWS($AG$2:AG813),$AG$2:$AG$1001,0),0), INDEX($AN$1004:$BO$1004,1,MATCH(COLUMNS($AN$1006:AW1006),$AN$1006:$BO$1006,0)))),"Fix")))</f>
        <v>0</v>
      </c>
      <c r="L813" s="4">
        <f>IF(OR(INDEX($AH$2:$AH$1001,MATCH(ROWS($AG$2:AG813),$AG$2:$AG$1001,0),1)&gt;=100000,INDEX($AN$1005:$BO$1005,1,MATCH(COLUMNS($AN$1006:AX1006),$AN$1006:$BO$1006,0))&gt;=100000), " ",IF(INDEX($AN$2:$BO$1001,MATCH(ROWS($AG$2:AG813),$AG$2:$AG$1001,0),MATCH(COLUMNS($AN$1006:AX1006),$AN$1006:$BO$1006,0)), HYPERLINK("#",""), HYPERLINK(CONCATENATE("#Metadata!", ADDRESS(INDEX($AI$2:$AI$1001,MATCH(ROWS($AG$2:AG813),$AG$2:$AG$1001,0),0), INDEX($AN$1004:$BO$1004,1,MATCH(COLUMNS($AN$1006:AX1006),$AN$1006:$BO$1006,0)))),"Fix")))</f>
        <v>0</v>
      </c>
      <c r="M813" s="4">
        <f>IF(OR(INDEX($AH$2:$AH$1001,MATCH(ROWS($AG$2:AG813),$AG$2:$AG$1001,0),1)&gt;=100000,INDEX($AN$1005:$BO$1005,1,MATCH(COLUMNS($AN$1006:AY1006),$AN$1006:$BO$1006,0))&gt;=100000), " ",IF(INDEX($AN$2:$BO$1001,MATCH(ROWS($AG$2:AG813),$AG$2:$AG$1001,0),MATCH(COLUMNS($AN$1006:AY1006),$AN$1006:$BO$1006,0)), HYPERLINK("#",""), HYPERLINK(CONCATENATE("#Metadata!", ADDRESS(INDEX($AI$2:$AI$1001,MATCH(ROWS($AG$2:AG813),$AG$2:$AG$1001,0),0), INDEX($AN$1004:$BO$1004,1,MATCH(COLUMNS($AN$1006:AY1006),$AN$1006:$BO$1006,0)))),"Fix")))</f>
        <v>0</v>
      </c>
      <c r="N813" s="4">
        <f>IF(OR(INDEX($AH$2:$AH$1001,MATCH(ROWS($AG$2:AG813),$AG$2:$AG$1001,0),1)&gt;=100000,INDEX($AN$1005:$BO$1005,1,MATCH(COLUMNS($AN$1006:AZ1006),$AN$1006:$BO$1006,0))&gt;=100000), " ",IF(INDEX($AN$2:$BO$1001,MATCH(ROWS($AG$2:AG813),$AG$2:$AG$1001,0),MATCH(COLUMNS($AN$1006:AZ1006),$AN$1006:$BO$1006,0)), HYPERLINK("#",""), HYPERLINK(CONCATENATE("#Metadata!", ADDRESS(INDEX($AI$2:$AI$1001,MATCH(ROWS($AG$2:AG813),$AG$2:$AG$1001,0),0), INDEX($AN$1004:$BO$1004,1,MATCH(COLUMNS($AN$1006:AZ1006),$AN$1006:$BO$1006,0)))),"Fix")))</f>
        <v>0</v>
      </c>
      <c r="O813" s="4">
        <f>IF(OR(INDEX($AH$2:$AH$1001,MATCH(ROWS($AG$2:AG813),$AG$2:$AG$1001,0),1)&gt;=100000,INDEX($AN$1005:$BO$1005,1,MATCH(COLUMNS($AN$1006:BA1006),$AN$1006:$BO$1006,0))&gt;=100000), " ",IF(INDEX($AN$2:$BO$1001,MATCH(ROWS($AG$2:AG813),$AG$2:$AG$1001,0),MATCH(COLUMNS($AN$1006:BA1006),$AN$1006:$BO$1006,0)), HYPERLINK("#",""), HYPERLINK(CONCATENATE("#Metadata!", ADDRESS(INDEX($AI$2:$AI$1001,MATCH(ROWS($AG$2:AG813),$AG$2:$AG$1001,0),0), INDEX($AN$1004:$BO$1004,1,MATCH(COLUMNS($AN$1006:BA1006),$AN$1006:$BO$1006,0)))),"Fix")))</f>
        <v>0</v>
      </c>
      <c r="P813" s="4">
        <f>IF(OR(INDEX($AH$2:$AH$1001,MATCH(ROWS($AG$2:AG813),$AG$2:$AG$1001,0),1)&gt;=100000,INDEX($AN$1005:$BO$1005,1,MATCH(COLUMNS($AN$1006:BB1006),$AN$1006:$BO$1006,0))&gt;=100000), " ",IF(INDEX($AN$2:$BO$1001,MATCH(ROWS($AG$2:AG813),$AG$2:$AG$1001,0),MATCH(COLUMNS($AN$1006:BB1006),$AN$1006:$BO$1006,0)), HYPERLINK("#",""), HYPERLINK(CONCATENATE("#Metadata!", ADDRESS(INDEX($AI$2:$AI$1001,MATCH(ROWS($AG$2:AG813),$AG$2:$AG$1001,0),0), INDEX($AN$1004:$BO$1004,1,MATCH(COLUMNS($AN$1006:BB1006),$AN$1006:$BO$1006,0)))),"Fix")))</f>
        <v>0</v>
      </c>
      <c r="Q813" s="4">
        <f>IF(OR(INDEX($AH$2:$AH$1001,MATCH(ROWS($AG$2:AG813),$AG$2:$AG$1001,0),1)&gt;=100000,INDEX($AN$1005:$BO$1005,1,MATCH(COLUMNS($AN$1006:BC1006),$AN$1006:$BO$1006,0))&gt;=100000), " ",IF(INDEX($AN$2:$BO$1001,MATCH(ROWS($AG$2:AG813),$AG$2:$AG$1001,0),MATCH(COLUMNS($AN$1006:BC1006),$AN$1006:$BO$1006,0)), HYPERLINK("#",""), HYPERLINK(CONCATENATE("#Metadata!", ADDRESS(INDEX($AI$2:$AI$1001,MATCH(ROWS($AG$2:AG813),$AG$2:$AG$1001,0),0), INDEX($AN$1004:$BO$1004,1,MATCH(COLUMNS($AN$1006:BC1006),$AN$1006:$BO$1006,0)))),"Fix")))</f>
        <v>0</v>
      </c>
      <c r="R813" s="4">
        <f>IF(OR(INDEX($AH$2:$AH$1001,MATCH(ROWS($AG$2:AG813),$AG$2:$AG$1001,0),1)&gt;=100000,INDEX($AN$1005:$BO$1005,1,MATCH(COLUMNS($AN$1006:BD1006),$AN$1006:$BO$1006,0))&gt;=100000), " ",IF(INDEX($AN$2:$BO$1001,MATCH(ROWS($AG$2:AG813),$AG$2:$AG$1001,0),MATCH(COLUMNS($AN$1006:BD1006),$AN$1006:$BO$1006,0)), HYPERLINK("#",""), HYPERLINK(CONCATENATE("#Metadata!", ADDRESS(INDEX($AI$2:$AI$1001,MATCH(ROWS($AG$2:AG813),$AG$2:$AG$1001,0),0), INDEX($AN$1004:$BO$1004,1,MATCH(COLUMNS($AN$1006:BD1006),$AN$1006:$BO$1006,0)))),"Fix")))</f>
        <v>0</v>
      </c>
      <c r="S813" s="4">
        <f>IF(OR(INDEX($AH$2:$AH$1001,MATCH(ROWS($AG$2:AG813),$AG$2:$AG$1001,0),1)&gt;=100000,INDEX($AN$1005:$BO$1005,1,MATCH(COLUMNS($AN$1006:BE1006),$AN$1006:$BO$1006,0))&gt;=100000), " ",IF(INDEX($AN$2:$BO$1001,MATCH(ROWS($AG$2:AG813),$AG$2:$AG$1001,0),MATCH(COLUMNS($AN$1006:BE1006),$AN$1006:$BO$1006,0)), HYPERLINK("#",""), HYPERLINK(CONCATENATE("#Metadata!", ADDRESS(INDEX($AI$2:$AI$1001,MATCH(ROWS($AG$2:AG813),$AG$2:$AG$1001,0),0), INDEX($AN$1004:$BO$1004,1,MATCH(COLUMNS($AN$1006:BE1006),$AN$1006:$BO$1006,0)))),"Fix")))</f>
        <v>0</v>
      </c>
      <c r="T813" s="4">
        <f>IF(OR(INDEX($AH$2:$AH$1001,MATCH(ROWS($AG$2:AG813),$AG$2:$AG$1001,0),1)&gt;=100000,INDEX($AN$1005:$BO$1005,1,MATCH(COLUMNS($AN$1006:BF1006),$AN$1006:$BO$1006,0))&gt;=100000), " ",IF(INDEX($AN$2:$BO$1001,MATCH(ROWS($AG$2:AG813),$AG$2:$AG$1001,0),MATCH(COLUMNS($AN$1006:BF1006),$AN$1006:$BO$1006,0)), HYPERLINK("#",""), HYPERLINK(CONCATENATE("#Metadata!", ADDRESS(INDEX($AI$2:$AI$1001,MATCH(ROWS($AG$2:AG813),$AG$2:$AG$1001,0),0), INDEX($AN$1004:$BO$1004,1,MATCH(COLUMNS($AN$1006:BF1006),$AN$1006:$BO$1006,0)))),"Fix")))</f>
        <v>0</v>
      </c>
      <c r="U813" s="4">
        <f>IF(OR(INDEX($AH$2:$AH$1001,MATCH(ROWS($AG$2:AG813),$AG$2:$AG$1001,0),1)&gt;=100000,INDEX($AN$1005:$BO$1005,1,MATCH(COLUMNS($AN$1006:BG1006),$AN$1006:$BO$1006,0))&gt;=100000), " ",IF(INDEX($AN$2:$BO$1001,MATCH(ROWS($AG$2:AG813),$AG$2:$AG$1001,0),MATCH(COLUMNS($AN$1006:BG1006),$AN$1006:$BO$1006,0)), HYPERLINK("#",""), HYPERLINK(CONCATENATE("#Metadata!", ADDRESS(INDEX($AI$2:$AI$1001,MATCH(ROWS($AG$2:AG813),$AG$2:$AG$1001,0),0), INDEX($AN$1004:$BO$1004,1,MATCH(COLUMNS($AN$1006:BG1006),$AN$1006:$BO$1006,0)))),"Fix")))</f>
        <v>0</v>
      </c>
      <c r="V813" s="4">
        <f>IF(OR(INDEX($AH$2:$AH$1001,MATCH(ROWS($AG$2:AG813),$AG$2:$AG$1001,0),1)&gt;=100000,INDEX($AN$1005:$BO$1005,1,MATCH(COLUMNS($AN$1006:BH1006),$AN$1006:$BO$1006,0))&gt;=100000), " ",IF(INDEX($AN$2:$BO$1001,MATCH(ROWS($AG$2:AG813),$AG$2:$AG$1001,0),MATCH(COLUMNS($AN$1006:BH1006),$AN$1006:$BO$1006,0)), HYPERLINK("#",""), HYPERLINK(CONCATENATE("#Metadata!", ADDRESS(INDEX($AI$2:$AI$1001,MATCH(ROWS($AG$2:AG813),$AG$2:$AG$1001,0),0), INDEX($AN$1004:$BO$1004,1,MATCH(COLUMNS($AN$1006:BH1006),$AN$1006:$BO$1006,0)))),"Fix")))</f>
        <v>0</v>
      </c>
      <c r="W813" s="4">
        <f>IF(OR(INDEX($AH$2:$AH$1001,MATCH(ROWS($AG$2:AG813),$AG$2:$AG$1001,0),1)&gt;=100000,INDEX($AN$1005:$BO$1005,1,MATCH(COLUMNS($AN$1006:BI1006),$AN$1006:$BO$1006,0))&gt;=100000), " ",IF(INDEX($AN$2:$BO$1001,MATCH(ROWS($AG$2:AG813),$AG$2:$AG$1001,0),MATCH(COLUMNS($AN$1006:BI1006),$AN$1006:$BO$1006,0)), HYPERLINK("#",""), HYPERLINK(CONCATENATE("#Metadata!", ADDRESS(INDEX($AI$2:$AI$1001,MATCH(ROWS($AG$2:AG813),$AG$2:$AG$1001,0),0), INDEX($AN$1004:$BO$1004,1,MATCH(COLUMNS($AN$1006:BI1006),$AN$1006:$BO$1006,0)))),"Fix")))</f>
        <v>0</v>
      </c>
      <c r="X813" s="4">
        <f>IF(OR(INDEX($AH$2:$AH$1001,MATCH(ROWS($AG$2:AG813),$AG$2:$AG$1001,0),1)&gt;=100000,INDEX($AN$1005:$BO$1005,1,MATCH(COLUMNS($AN$1006:BJ1006),$AN$1006:$BO$1006,0))&gt;=100000), " ",IF(INDEX($AN$2:$BO$1001,MATCH(ROWS($AG$2:AG813),$AG$2:$AG$1001,0),MATCH(COLUMNS($AN$1006:BJ1006),$AN$1006:$BO$1006,0)), HYPERLINK("#",""), HYPERLINK(CONCATENATE("#Metadata!", ADDRESS(INDEX($AI$2:$AI$1001,MATCH(ROWS($AG$2:AG813),$AG$2:$AG$1001,0),0), INDEX($AN$1004:$BO$1004,1,MATCH(COLUMNS($AN$1006:BJ1006),$AN$1006:$BO$1006,0)))),"Fix")))</f>
        <v>0</v>
      </c>
      <c r="Y813" s="4">
        <f>IF(OR(INDEX($AH$2:$AH$1001,MATCH(ROWS($AG$2:AG813),$AG$2:$AG$1001,0),1)&gt;=100000,INDEX($AN$1005:$BO$1005,1,MATCH(COLUMNS($AN$1006:BK1006),$AN$1006:$BO$1006,0))&gt;=100000), " ",IF(INDEX($AN$2:$BO$1001,MATCH(ROWS($AG$2:AG813),$AG$2:$AG$1001,0),MATCH(COLUMNS($AN$1006:BK1006),$AN$1006:$BO$1006,0)), HYPERLINK("#",""), HYPERLINK(CONCATENATE("#Metadata!", ADDRESS(INDEX($AI$2:$AI$1001,MATCH(ROWS($AG$2:AG813),$AG$2:$AG$1001,0),0), INDEX($AN$1004:$BO$1004,1,MATCH(COLUMNS($AN$1006:BK1006),$AN$1006:$BO$1006,0)))),"Fix")))</f>
        <v>0</v>
      </c>
      <c r="Z813" s="4">
        <f>IF(OR(INDEX($AH$2:$AH$1001,MATCH(ROWS($AG$2:AG813),$AG$2:$AG$1001,0),1)&gt;=100000,INDEX($AN$1005:$BO$1005,1,MATCH(COLUMNS($AN$1006:BL1006),$AN$1006:$BO$1006,0))&gt;=100000), " ",IF(INDEX($AN$2:$BO$1001,MATCH(ROWS($AG$2:AG813),$AG$2:$AG$1001,0),MATCH(COLUMNS($AN$1006:BL1006),$AN$1006:$BO$1006,0)), HYPERLINK("#",""), HYPERLINK(CONCATENATE("#Metadata!", ADDRESS(INDEX($AI$2:$AI$1001,MATCH(ROWS($AG$2:AG813),$AG$2:$AG$1001,0),0), INDEX($AN$1004:$BO$1004,1,MATCH(COLUMNS($AN$1006:BL1006),$AN$1006:$BO$1006,0)))),"Fix")))</f>
        <v>0</v>
      </c>
      <c r="AA813" s="4">
        <f>IF(OR(INDEX($AH$2:$AH$1001,MATCH(ROWS($AG$2:AG813),$AG$2:$AG$1001,0),1)&gt;=100000,INDEX($AN$1005:$BO$1005,1,MATCH(COLUMNS($AN$1006:BM1006),$AN$1006:$BO$1006,0))&gt;=100000), " ",IF(INDEX($AN$2:$BO$1001,MATCH(ROWS($AG$2:AG813),$AG$2:$AG$1001,0),MATCH(COLUMNS($AN$1006:BM1006),$AN$1006:$BO$1006,0)), HYPERLINK("#",""), HYPERLINK(CONCATENATE("#Metadata!", ADDRESS(INDEX($AI$2:$AI$1001,MATCH(ROWS($AG$2:AG813),$AG$2:$AG$1001,0),0), INDEX($AN$1004:$BO$1004,1,MATCH(COLUMNS($AN$1006:BM1006),$AN$1006:$BO$1006,0)))),"Fix")))</f>
        <v>0</v>
      </c>
      <c r="AB813" s="4">
        <f>IF(OR(INDEX($AH$2:$AH$1001,MATCH(ROWS($AG$2:AG813),$AG$2:$AG$1001,0),1)&gt;=100000,INDEX($AN$1005:$BO$1005,1,MATCH(COLUMNS($AN$1006:BN1006),$AN$1006:$BO$1006,0))&gt;=100000), " ",IF(INDEX($AN$2:$BO$1001,MATCH(ROWS($AG$2:AG813),$AG$2:$AG$1001,0),MATCH(COLUMNS($AN$1006:BN1006),$AN$1006:$BO$1006,0)), HYPERLINK("#",""), HYPERLINK(CONCATENATE("#Metadata!", ADDRESS(INDEX($AI$2:$AI$1001,MATCH(ROWS($AG$2:AG813),$AG$2:$AG$1001,0),0), INDEX($AN$1004:$BO$1004,1,MATCH(COLUMNS($AN$1006:BN1006),$AN$1006:$BO$1006,0)))),"Fix")))</f>
        <v>0</v>
      </c>
      <c r="AC813" s="4">
        <f>IF(OR(INDEX($AH$2:$AH$1001,MATCH(ROWS($AG$2:AG813),$AG$2:$AG$1001,0),1)&gt;=100000,INDEX($AN$1005:$BO$1005,1,MATCH(COLUMNS($AN$1006:BO1006),$AN$1006:$BO$1006,0))&gt;=100000), " ",IF(INDEX($AN$2:$BO$1001,MATCH(ROWS($AG$2:AG813),$AG$2:$AG$1001,0),MATCH(COLUMNS($AN$1006:BO1006),$AN$1006:$BO$1006,0)), HYPERLINK("#",""), HYPERLINK(CONCATENATE("#Metadata!", ADDRESS(INDEX($AI$2:$AI$1001,MATCH(ROWS($AG$2:AG813),$AG$2:$AG$1001,0),0), INDEX($AN$1004:$BO$1004,1,MATCH(COLUMNS($AN$1006:BO1006),$AN$1006:$BO$1006,0)))),"Fix")))</f>
        <v>0</v>
      </c>
      <c r="AG813">
        <v>0</v>
      </c>
      <c r="AH813">
        <v>0</v>
      </c>
      <c r="AI813">
        <v>0</v>
      </c>
      <c r="AJ813">
        <f>IF(AK813,TRUE,AND(AN813:BO813))</f>
        <v>0</v>
      </c>
      <c r="AK813">
        <f>COUNTBLANK(Metadata!B813:AC813)=COLUMNS(Metadata!B813:AC813)</f>
        <v>0</v>
      </c>
      <c r="AL813">
        <v>0</v>
      </c>
      <c r="AN813">
        <f>AND(IF(Metadata!B813="",FALSE,TRUE),COUNTIF(Metadata!B:B, Metadata!B813) = 1,NOT(ISERROR(SUMPRODUCT(SEARCH(MID(Metadata!B813,ROW(INDIRECT("1:"&amp;LEN(Metadata!B813))), 1),"0123456789abcdefghijklmnopqrstuvwxyzABCDEFGHIJKLMNOPQRSTUVWXYZ.")))))</f>
        <v>0</v>
      </c>
      <c r="AO813">
        <f>IF(Metadata!C813="",FALSE,TRUE)</f>
        <v>0</v>
      </c>
      <c r="AP813">
        <f>IF(Metadata!D813="",FALSE,TRUE)</f>
        <v>0</v>
      </c>
      <c r="AQ813">
        <f>OR(AND(IF(Metadata!E813="",FALSE,TRUE),OR(exact(Metadata!E813,"not collected"),exact(Metadata!E813,"not provided"),exact(Metadata!E813,"restricted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R813">
        <f>IF(Metadata!F813="",FALSE,TRUE)</f>
        <v>0</v>
      </c>
      <c r="AS813">
        <f>OR(AND(IF(Metadata!G813="",FALSE,TRUE),OR(exact(Metadata!G813,"not collected"),exact(Metadata!G813,"not provided"))),AND(IF(Metadata!G813="",FALSE,TRUE),OR(exact(Metadata!G813,"TRUE"),exact(Metadata!G813,"FALSE"))))</f>
        <v>0</v>
      </c>
      <c r="AT813">
        <f>OR(AND(IF(Metadata!H813="",FALSE,TRUE),OR(exact(Metadata!H813,"not collected"),exact(Metadata!H813,"not provided"),exact(Metadata!H813,"restricted access"))),AND(IF(Metadata!H813="",FALSE,ISNUMBER(VALUE(Metadata!H813))),Metadata!H813&gt;=-413.0))</f>
        <v>0</v>
      </c>
      <c r="AU813">
        <f>AND(IF(Metadata!I813="",FALSE,TRUE),exact(Metadata!I813,"meters"))</f>
        <v>0</v>
      </c>
      <c r="AV813">
        <f>AND(IF(Metadata!J813="",FALSE,TRUE),OR(exact(Metadata!J813,"Host-associated"),exact(Metadata!J813,"Free-living")))</f>
        <v>0</v>
      </c>
      <c r="AW813">
        <f>AND(IF(Metadata!K813="",FALSE,TRUE),OR(exact(Metadata!K813,"Animal"),exact(Metadata!K813,"Fungus"),exact(Metadata!K813,"Plant"),exact(Metadata!K813,"Saline"),exact(Metadata!K813,"Non-saline")))</f>
        <v>0</v>
      </c>
      <c r="AX813">
        <f>AND(IF(Metadata!L813="",FALSE,TRUE),OR(exact(Metadata!L813,"Plant secretion"),exact(Metadata!L813,"Plant rhizosphere"),exact(Metadata!L813,"Plant surface"),exact(Metadata!L813,"Plant corpus"),exact(Metadata!L813,"Fungus surface"),exact(Metadata!L813,"Fungus corpus"),exact(Metadata!L813,"Animal surface"),exact(Metadata!L813,"Animal proximal gut"),exact(Metadata!L813,"Animal corpus"),exact(Metadata!L813,"Animal distal gut"),exact(Metadata!L813,"Animal secretion"),exact(Metadata!L813,"Sub-surface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Y813">
        <f>IF(Metadata!M813="",FALSE,TRUE)</f>
        <v>0</v>
      </c>
      <c r="AZ813">
        <f>IF(Metadata!N813="",FALSE,TRUE)</f>
        <v>0</v>
      </c>
      <c r="BA813">
        <f>IF(Metadata!O813="",FALSE,TRUE)</f>
        <v>0</v>
      </c>
      <c r="BB813">
        <f>OR(AND(IF(Metadata!P813="",FALSE,TRUE),OR(exact(Metadata!P813,"not collected"),exact(Metadata!P813,"not provided"),exact(Metadata!P813,"restricted access"))),AND(IF(Metadata!P813="",FALSE,TRUE),OR(exact(Metadata!P813,"air"),exact(Metadata!P813,"built environment"),exact(Metadata!P813,"host-associated"),exact(Metadata!P813,"human-associated"),exact(Metadata!P813,"human-skin"),exact(Metadata!P813,"human-oral"),exact(Metadata!P813,"human-gut"),exact(Metadata!P813,"human-vaginal"),exact(Metadata!P813,"microbial mat/biofilm"),exact(Metadata!P813,"misc environment"),exact(Metadata!P813,"plant-associated"),exact(Metadata!P813,"sediment"),exact(Metadata!P813,"soil"),exact(Metadata!P813,"wastewater/sludge"),exact(Metadata!P813,"water"))))</f>
        <v>0</v>
      </c>
      <c r="BC813">
        <f>IF(Metadata!Q813="",FALSE,TRUE)</f>
        <v>0</v>
      </c>
      <c r="BD813">
        <f>IF(Metadata!R813="",FALSE,TRUE)</f>
        <v>0</v>
      </c>
      <c r="BE813">
        <f>OR(AND(IF(Metadata!S813="",FALSE,TRUE),OR(exact(Metadata!S813,"not collected"),exact(Metadata!S813,"not provided"),exact(Metadata!S813,"restricted access"))),AND(IF(Metadata!S813="",FALSE,ISNUMBER(VALUE(Metadata!S813))),Metadata!S813&gt;=-90.00,Metadata!S813&lt;=90.00))</f>
        <v>0</v>
      </c>
      <c r="BF813">
        <f>AND(IF(Metadata!T813="",FALSE,TRUE),exact(Metadata!T813,"Decimal degrees"))</f>
        <v>0</v>
      </c>
      <c r="BG813">
        <f>OR(AND(IF(Metadata!U813="",FALSE,TRUE),OR(exact(Metadata!U813,"not collected"),exact(Metadata!U813,"not provided"),exact(Metadata!U813,"restricted access"))),AND(IF(Metadata!U813="",FALSE,ISNUMBER(VALUE(Metadata!U813))),Metadata!U813&gt;=-180.00,Metadata!U813&lt;=180.00))</f>
        <v>0</v>
      </c>
      <c r="BH813">
        <f>AND(IF(Metadata!V813="",FALSE,TRUE),exact(Metadata!V813,"Decimal degrees"))</f>
        <v>0</v>
      </c>
      <c r="BI813">
        <f>IF(Metadata!W813="",FALSE,TRUE)</f>
        <v>0</v>
      </c>
      <c r="BJ813">
        <f>OR(AND(IF(Metadata!X813="",FALSE,TRUE),OR(exact(Metadata!X813,"not collected"),exact(Metadata!X813,"not provided"),exact(Metadata!X813,"restricted access"))),AND(IF(Metadata!X813="",FALSE,TRUE),OR(exact(Metadata!X813,"TRUE"),exact(Metadata!X813,"FALSE"))))</f>
        <v>0</v>
      </c>
      <c r="BK813">
        <f>AND(IF(Metadata!Y813="",FALSE,TRUE),exact(Metadata!Y813,"other"))</f>
        <v>0</v>
      </c>
      <c r="BL813">
        <f>IF(Metadata!Z813="",FALSE,TRUE)</f>
        <v>0</v>
      </c>
      <c r="BM813">
        <f>OR(AND(IF(Metadata!AA813="",FALSE,TRUE),OR(exact(Metadata!AA813,"not collected"),exact(Metadata!AA813,"not provided"))),AND(IF(Metadata!AA813="",FALSE,IF(ISERROR(INT(Metadata!AA813)),FALSE,INT(Metadata!AA813)=Metadata!AA813)),Metadata!AA813&gt;0))</f>
        <v>0</v>
      </c>
      <c r="BN813">
        <f>AND(IF(Metadata!AB813="",FALSE,TRUE),exact(Metadata!AB813,"Not applicable"))</f>
        <v>0</v>
      </c>
      <c r="BO813">
        <f>IF(Metadata!AC813="",FALSE,TRUE)</f>
        <v>0</v>
      </c>
    </row>
    <row r="814" spans="1:67">
      <c r="A814" s="5">
        <f>IF(B814=" "," ",HYPERLINK(CONCATENATE("#metadata!",ADDRESS(INDEX($AI$2:$AI$1001,MATCH(ROWS($AG$2:AG814),$AG$2:$AG$1001,0),0),1)),INDEX($AL$2:$AL$1001,MATCH(ROWS($AG$2:AG814),$AG$2:$AG$1001,0),0)))</f>
        <v>0</v>
      </c>
      <c r="B814" s="4">
        <f>IF(OR(INDEX($AH$2:$AH$1001,MATCH(ROWS($AG$2:AG814),$AG$2:$AG$1001,0),1)&gt;=100000,INDEX($AN$1005:$BO$1005,1,MATCH(COLUMNS($AN$1006:AN1006),$AN$1006:$BO$1006,0))&gt;=100000), " ",IF(INDEX($AN$2:$BO$1001,MATCH(ROWS($AG$2:AG814),$AG$2:$AG$1001,0),MATCH(COLUMNS($AN$1006:AN1006),$AN$1006:$BO$1006,0)), HYPERLINK("#",""), HYPERLINK(CONCATENATE("#Metadata!", ADDRESS(INDEX($AI$2:$AI$1001,MATCH(ROWS($AG$2:AG814),$AG$2:$AG$1001,0),0), INDEX($AN$1004:$BO$1004,1,MATCH(COLUMNS($AN$1006:AN1006),$AN$1006:$BO$1006,0)))),"Fix")))</f>
        <v>0</v>
      </c>
      <c r="C814" s="4">
        <f>IF(OR(INDEX($AH$2:$AH$1001,MATCH(ROWS($AG$2:AG814),$AG$2:$AG$1001,0),1)&gt;=100000,INDEX($AN$1005:$BO$1005,1,MATCH(COLUMNS($AN$1006:AO1006),$AN$1006:$BO$1006,0))&gt;=100000), " ",IF(INDEX($AN$2:$BO$1001,MATCH(ROWS($AG$2:AG814),$AG$2:$AG$1001,0),MATCH(COLUMNS($AN$1006:AO1006),$AN$1006:$BO$1006,0)), HYPERLINK("#",""), HYPERLINK(CONCATENATE("#Metadata!", ADDRESS(INDEX($AI$2:$AI$1001,MATCH(ROWS($AG$2:AG814),$AG$2:$AG$1001,0),0), INDEX($AN$1004:$BO$1004,1,MATCH(COLUMNS($AN$1006:AO1006),$AN$1006:$BO$1006,0)))),"Fix")))</f>
        <v>0</v>
      </c>
      <c r="D814" s="4">
        <f>IF(OR(INDEX($AH$2:$AH$1001,MATCH(ROWS($AG$2:AG814),$AG$2:$AG$1001,0),1)&gt;=100000,INDEX($AN$1005:$BO$1005,1,MATCH(COLUMNS($AN$1006:AP1006),$AN$1006:$BO$1006,0))&gt;=100000), " ",IF(INDEX($AN$2:$BO$1001,MATCH(ROWS($AG$2:AG814),$AG$2:$AG$1001,0),MATCH(COLUMNS($AN$1006:AP1006),$AN$1006:$BO$1006,0)), HYPERLINK("#",""), HYPERLINK(CONCATENATE("#Metadata!", ADDRESS(INDEX($AI$2:$AI$1001,MATCH(ROWS($AG$2:AG814),$AG$2:$AG$1001,0),0), INDEX($AN$1004:$BO$1004,1,MATCH(COLUMNS($AN$1006:AP1006),$AN$1006:$BO$1006,0)))),"Fix")))</f>
        <v>0</v>
      </c>
      <c r="E814" s="4">
        <f>IF(OR(INDEX($AH$2:$AH$1001,MATCH(ROWS($AG$2:AG814),$AG$2:$AG$1001,0),1)&gt;=100000,INDEX($AN$1005:$BO$1005,1,MATCH(COLUMNS($AN$1006:AQ1006),$AN$1006:$BO$1006,0))&gt;=100000), " ",IF(INDEX($AN$2:$BO$1001,MATCH(ROWS($AG$2:AG814),$AG$2:$AG$1001,0),MATCH(COLUMNS($AN$1006:AQ1006),$AN$1006:$BO$1006,0)), HYPERLINK("#",""), HYPERLINK(CONCATENATE("#Metadata!", ADDRESS(INDEX($AI$2:$AI$1001,MATCH(ROWS($AG$2:AG814),$AG$2:$AG$1001,0),0), INDEX($AN$1004:$BO$1004,1,MATCH(COLUMNS($AN$1006:AQ1006),$AN$1006:$BO$1006,0)))),"Fix")))</f>
        <v>0</v>
      </c>
      <c r="F814" s="4">
        <f>IF(OR(INDEX($AH$2:$AH$1001,MATCH(ROWS($AG$2:AG814),$AG$2:$AG$1001,0),1)&gt;=100000,INDEX($AN$1005:$BO$1005,1,MATCH(COLUMNS($AN$1006:AR1006),$AN$1006:$BO$1006,0))&gt;=100000), " ",IF(INDEX($AN$2:$BO$1001,MATCH(ROWS($AG$2:AG814),$AG$2:$AG$1001,0),MATCH(COLUMNS($AN$1006:AR1006),$AN$1006:$BO$1006,0)), HYPERLINK("#",""), HYPERLINK(CONCATENATE("#Metadata!", ADDRESS(INDEX($AI$2:$AI$1001,MATCH(ROWS($AG$2:AG814),$AG$2:$AG$1001,0),0), INDEX($AN$1004:$BO$1004,1,MATCH(COLUMNS($AN$1006:AR1006),$AN$1006:$BO$1006,0)))),"Fix")))</f>
        <v>0</v>
      </c>
      <c r="G814" s="4">
        <f>IF(OR(INDEX($AH$2:$AH$1001,MATCH(ROWS($AG$2:AG814),$AG$2:$AG$1001,0),1)&gt;=100000,INDEX($AN$1005:$BO$1005,1,MATCH(COLUMNS($AN$1006:AS1006),$AN$1006:$BO$1006,0))&gt;=100000), " ",IF(INDEX($AN$2:$BO$1001,MATCH(ROWS($AG$2:AG814),$AG$2:$AG$1001,0),MATCH(COLUMNS($AN$1006:AS1006),$AN$1006:$BO$1006,0)), HYPERLINK("#",""), HYPERLINK(CONCATENATE("#Metadata!", ADDRESS(INDEX($AI$2:$AI$1001,MATCH(ROWS($AG$2:AG814),$AG$2:$AG$1001,0),0), INDEX($AN$1004:$BO$1004,1,MATCH(COLUMNS($AN$1006:AS1006),$AN$1006:$BO$1006,0)))),"Fix")))</f>
        <v>0</v>
      </c>
      <c r="H814" s="4">
        <f>IF(OR(INDEX($AH$2:$AH$1001,MATCH(ROWS($AG$2:AG814),$AG$2:$AG$1001,0),1)&gt;=100000,INDEX($AN$1005:$BO$1005,1,MATCH(COLUMNS($AN$1006:AT1006),$AN$1006:$BO$1006,0))&gt;=100000), " ",IF(INDEX($AN$2:$BO$1001,MATCH(ROWS($AG$2:AG814),$AG$2:$AG$1001,0),MATCH(COLUMNS($AN$1006:AT1006),$AN$1006:$BO$1006,0)), HYPERLINK("#",""), HYPERLINK(CONCATENATE("#Metadata!", ADDRESS(INDEX($AI$2:$AI$1001,MATCH(ROWS($AG$2:AG814),$AG$2:$AG$1001,0),0), INDEX($AN$1004:$BO$1004,1,MATCH(COLUMNS($AN$1006:AT1006),$AN$1006:$BO$1006,0)))),"Fix")))</f>
        <v>0</v>
      </c>
      <c r="I814" s="4">
        <f>IF(OR(INDEX($AH$2:$AH$1001,MATCH(ROWS($AG$2:AG814),$AG$2:$AG$1001,0),1)&gt;=100000,INDEX($AN$1005:$BO$1005,1,MATCH(COLUMNS($AN$1006:AU1006),$AN$1006:$BO$1006,0))&gt;=100000), " ",IF(INDEX($AN$2:$BO$1001,MATCH(ROWS($AG$2:AG814),$AG$2:$AG$1001,0),MATCH(COLUMNS($AN$1006:AU1006),$AN$1006:$BO$1006,0)), HYPERLINK("#",""), HYPERLINK(CONCATENATE("#Metadata!", ADDRESS(INDEX($AI$2:$AI$1001,MATCH(ROWS($AG$2:AG814),$AG$2:$AG$1001,0),0), INDEX($AN$1004:$BO$1004,1,MATCH(COLUMNS($AN$1006:AU1006),$AN$1006:$BO$1006,0)))),"Fix")))</f>
        <v>0</v>
      </c>
      <c r="J814" s="4">
        <f>IF(OR(INDEX($AH$2:$AH$1001,MATCH(ROWS($AG$2:AG814),$AG$2:$AG$1001,0),1)&gt;=100000,INDEX($AN$1005:$BO$1005,1,MATCH(COLUMNS($AN$1006:AV1006),$AN$1006:$BO$1006,0))&gt;=100000), " ",IF(INDEX($AN$2:$BO$1001,MATCH(ROWS($AG$2:AG814),$AG$2:$AG$1001,0),MATCH(COLUMNS($AN$1006:AV1006),$AN$1006:$BO$1006,0)), HYPERLINK("#",""), HYPERLINK(CONCATENATE("#Metadata!", ADDRESS(INDEX($AI$2:$AI$1001,MATCH(ROWS($AG$2:AG814),$AG$2:$AG$1001,0),0), INDEX($AN$1004:$BO$1004,1,MATCH(COLUMNS($AN$1006:AV1006),$AN$1006:$BO$1006,0)))),"Fix")))</f>
        <v>0</v>
      </c>
      <c r="K814" s="4">
        <f>IF(OR(INDEX($AH$2:$AH$1001,MATCH(ROWS($AG$2:AG814),$AG$2:$AG$1001,0),1)&gt;=100000,INDEX($AN$1005:$BO$1005,1,MATCH(COLUMNS($AN$1006:AW1006),$AN$1006:$BO$1006,0))&gt;=100000), " ",IF(INDEX($AN$2:$BO$1001,MATCH(ROWS($AG$2:AG814),$AG$2:$AG$1001,0),MATCH(COLUMNS($AN$1006:AW1006),$AN$1006:$BO$1006,0)), HYPERLINK("#",""), HYPERLINK(CONCATENATE("#Metadata!", ADDRESS(INDEX($AI$2:$AI$1001,MATCH(ROWS($AG$2:AG814),$AG$2:$AG$1001,0),0), INDEX($AN$1004:$BO$1004,1,MATCH(COLUMNS($AN$1006:AW1006),$AN$1006:$BO$1006,0)))),"Fix")))</f>
        <v>0</v>
      </c>
      <c r="L814" s="4">
        <f>IF(OR(INDEX($AH$2:$AH$1001,MATCH(ROWS($AG$2:AG814),$AG$2:$AG$1001,0),1)&gt;=100000,INDEX($AN$1005:$BO$1005,1,MATCH(COLUMNS($AN$1006:AX1006),$AN$1006:$BO$1006,0))&gt;=100000), " ",IF(INDEX($AN$2:$BO$1001,MATCH(ROWS($AG$2:AG814),$AG$2:$AG$1001,0),MATCH(COLUMNS($AN$1006:AX1006),$AN$1006:$BO$1006,0)), HYPERLINK("#",""), HYPERLINK(CONCATENATE("#Metadata!", ADDRESS(INDEX($AI$2:$AI$1001,MATCH(ROWS($AG$2:AG814),$AG$2:$AG$1001,0),0), INDEX($AN$1004:$BO$1004,1,MATCH(COLUMNS($AN$1006:AX1006),$AN$1006:$BO$1006,0)))),"Fix")))</f>
        <v>0</v>
      </c>
      <c r="M814" s="4">
        <f>IF(OR(INDEX($AH$2:$AH$1001,MATCH(ROWS($AG$2:AG814),$AG$2:$AG$1001,0),1)&gt;=100000,INDEX($AN$1005:$BO$1005,1,MATCH(COLUMNS($AN$1006:AY1006),$AN$1006:$BO$1006,0))&gt;=100000), " ",IF(INDEX($AN$2:$BO$1001,MATCH(ROWS($AG$2:AG814),$AG$2:$AG$1001,0),MATCH(COLUMNS($AN$1006:AY1006),$AN$1006:$BO$1006,0)), HYPERLINK("#",""), HYPERLINK(CONCATENATE("#Metadata!", ADDRESS(INDEX($AI$2:$AI$1001,MATCH(ROWS($AG$2:AG814),$AG$2:$AG$1001,0),0), INDEX($AN$1004:$BO$1004,1,MATCH(COLUMNS($AN$1006:AY1006),$AN$1006:$BO$1006,0)))),"Fix")))</f>
        <v>0</v>
      </c>
      <c r="N814" s="4">
        <f>IF(OR(INDEX($AH$2:$AH$1001,MATCH(ROWS($AG$2:AG814),$AG$2:$AG$1001,0),1)&gt;=100000,INDEX($AN$1005:$BO$1005,1,MATCH(COLUMNS($AN$1006:AZ1006),$AN$1006:$BO$1006,0))&gt;=100000), " ",IF(INDEX($AN$2:$BO$1001,MATCH(ROWS($AG$2:AG814),$AG$2:$AG$1001,0),MATCH(COLUMNS($AN$1006:AZ1006),$AN$1006:$BO$1006,0)), HYPERLINK("#",""), HYPERLINK(CONCATENATE("#Metadata!", ADDRESS(INDEX($AI$2:$AI$1001,MATCH(ROWS($AG$2:AG814),$AG$2:$AG$1001,0),0), INDEX($AN$1004:$BO$1004,1,MATCH(COLUMNS($AN$1006:AZ1006),$AN$1006:$BO$1006,0)))),"Fix")))</f>
        <v>0</v>
      </c>
      <c r="O814" s="4">
        <f>IF(OR(INDEX($AH$2:$AH$1001,MATCH(ROWS($AG$2:AG814),$AG$2:$AG$1001,0),1)&gt;=100000,INDEX($AN$1005:$BO$1005,1,MATCH(COLUMNS($AN$1006:BA1006),$AN$1006:$BO$1006,0))&gt;=100000), " ",IF(INDEX($AN$2:$BO$1001,MATCH(ROWS($AG$2:AG814),$AG$2:$AG$1001,0),MATCH(COLUMNS($AN$1006:BA1006),$AN$1006:$BO$1006,0)), HYPERLINK("#",""), HYPERLINK(CONCATENATE("#Metadata!", ADDRESS(INDEX($AI$2:$AI$1001,MATCH(ROWS($AG$2:AG814),$AG$2:$AG$1001,0),0), INDEX($AN$1004:$BO$1004,1,MATCH(COLUMNS($AN$1006:BA1006),$AN$1006:$BO$1006,0)))),"Fix")))</f>
        <v>0</v>
      </c>
      <c r="P814" s="4">
        <f>IF(OR(INDEX($AH$2:$AH$1001,MATCH(ROWS($AG$2:AG814),$AG$2:$AG$1001,0),1)&gt;=100000,INDEX($AN$1005:$BO$1005,1,MATCH(COLUMNS($AN$1006:BB1006),$AN$1006:$BO$1006,0))&gt;=100000), " ",IF(INDEX($AN$2:$BO$1001,MATCH(ROWS($AG$2:AG814),$AG$2:$AG$1001,0),MATCH(COLUMNS($AN$1006:BB1006),$AN$1006:$BO$1006,0)), HYPERLINK("#",""), HYPERLINK(CONCATENATE("#Metadata!", ADDRESS(INDEX($AI$2:$AI$1001,MATCH(ROWS($AG$2:AG814),$AG$2:$AG$1001,0),0), INDEX($AN$1004:$BO$1004,1,MATCH(COLUMNS($AN$1006:BB1006),$AN$1006:$BO$1006,0)))),"Fix")))</f>
        <v>0</v>
      </c>
      <c r="Q814" s="4">
        <f>IF(OR(INDEX($AH$2:$AH$1001,MATCH(ROWS($AG$2:AG814),$AG$2:$AG$1001,0),1)&gt;=100000,INDEX($AN$1005:$BO$1005,1,MATCH(COLUMNS($AN$1006:BC1006),$AN$1006:$BO$1006,0))&gt;=100000), " ",IF(INDEX($AN$2:$BO$1001,MATCH(ROWS($AG$2:AG814),$AG$2:$AG$1001,0),MATCH(COLUMNS($AN$1006:BC1006),$AN$1006:$BO$1006,0)), HYPERLINK("#",""), HYPERLINK(CONCATENATE("#Metadata!", ADDRESS(INDEX($AI$2:$AI$1001,MATCH(ROWS($AG$2:AG814),$AG$2:$AG$1001,0),0), INDEX($AN$1004:$BO$1004,1,MATCH(COLUMNS($AN$1006:BC1006),$AN$1006:$BO$1006,0)))),"Fix")))</f>
        <v>0</v>
      </c>
      <c r="R814" s="4">
        <f>IF(OR(INDEX($AH$2:$AH$1001,MATCH(ROWS($AG$2:AG814),$AG$2:$AG$1001,0),1)&gt;=100000,INDEX($AN$1005:$BO$1005,1,MATCH(COLUMNS($AN$1006:BD1006),$AN$1006:$BO$1006,0))&gt;=100000), " ",IF(INDEX($AN$2:$BO$1001,MATCH(ROWS($AG$2:AG814),$AG$2:$AG$1001,0),MATCH(COLUMNS($AN$1006:BD1006),$AN$1006:$BO$1006,0)), HYPERLINK("#",""), HYPERLINK(CONCATENATE("#Metadata!", ADDRESS(INDEX($AI$2:$AI$1001,MATCH(ROWS($AG$2:AG814),$AG$2:$AG$1001,0),0), INDEX($AN$1004:$BO$1004,1,MATCH(COLUMNS($AN$1006:BD1006),$AN$1006:$BO$1006,0)))),"Fix")))</f>
        <v>0</v>
      </c>
      <c r="S814" s="4">
        <f>IF(OR(INDEX($AH$2:$AH$1001,MATCH(ROWS($AG$2:AG814),$AG$2:$AG$1001,0),1)&gt;=100000,INDEX($AN$1005:$BO$1005,1,MATCH(COLUMNS($AN$1006:BE1006),$AN$1006:$BO$1006,0))&gt;=100000), " ",IF(INDEX($AN$2:$BO$1001,MATCH(ROWS($AG$2:AG814),$AG$2:$AG$1001,0),MATCH(COLUMNS($AN$1006:BE1006),$AN$1006:$BO$1006,0)), HYPERLINK("#",""), HYPERLINK(CONCATENATE("#Metadata!", ADDRESS(INDEX($AI$2:$AI$1001,MATCH(ROWS($AG$2:AG814),$AG$2:$AG$1001,0),0), INDEX($AN$1004:$BO$1004,1,MATCH(COLUMNS($AN$1006:BE1006),$AN$1006:$BO$1006,0)))),"Fix")))</f>
        <v>0</v>
      </c>
      <c r="T814" s="4">
        <f>IF(OR(INDEX($AH$2:$AH$1001,MATCH(ROWS($AG$2:AG814),$AG$2:$AG$1001,0),1)&gt;=100000,INDEX($AN$1005:$BO$1005,1,MATCH(COLUMNS($AN$1006:BF1006),$AN$1006:$BO$1006,0))&gt;=100000), " ",IF(INDEX($AN$2:$BO$1001,MATCH(ROWS($AG$2:AG814),$AG$2:$AG$1001,0),MATCH(COLUMNS($AN$1006:BF1006),$AN$1006:$BO$1006,0)), HYPERLINK("#",""), HYPERLINK(CONCATENATE("#Metadata!", ADDRESS(INDEX($AI$2:$AI$1001,MATCH(ROWS($AG$2:AG814),$AG$2:$AG$1001,0),0), INDEX($AN$1004:$BO$1004,1,MATCH(COLUMNS($AN$1006:BF1006),$AN$1006:$BO$1006,0)))),"Fix")))</f>
        <v>0</v>
      </c>
      <c r="U814" s="4">
        <f>IF(OR(INDEX($AH$2:$AH$1001,MATCH(ROWS($AG$2:AG814),$AG$2:$AG$1001,0),1)&gt;=100000,INDEX($AN$1005:$BO$1005,1,MATCH(COLUMNS($AN$1006:BG1006),$AN$1006:$BO$1006,0))&gt;=100000), " ",IF(INDEX($AN$2:$BO$1001,MATCH(ROWS($AG$2:AG814),$AG$2:$AG$1001,0),MATCH(COLUMNS($AN$1006:BG1006),$AN$1006:$BO$1006,0)), HYPERLINK("#",""), HYPERLINK(CONCATENATE("#Metadata!", ADDRESS(INDEX($AI$2:$AI$1001,MATCH(ROWS($AG$2:AG814),$AG$2:$AG$1001,0),0), INDEX($AN$1004:$BO$1004,1,MATCH(COLUMNS($AN$1006:BG1006),$AN$1006:$BO$1006,0)))),"Fix")))</f>
        <v>0</v>
      </c>
      <c r="V814" s="4">
        <f>IF(OR(INDEX($AH$2:$AH$1001,MATCH(ROWS($AG$2:AG814),$AG$2:$AG$1001,0),1)&gt;=100000,INDEX($AN$1005:$BO$1005,1,MATCH(COLUMNS($AN$1006:BH1006),$AN$1006:$BO$1006,0))&gt;=100000), " ",IF(INDEX($AN$2:$BO$1001,MATCH(ROWS($AG$2:AG814),$AG$2:$AG$1001,0),MATCH(COLUMNS($AN$1006:BH1006),$AN$1006:$BO$1006,0)), HYPERLINK("#",""), HYPERLINK(CONCATENATE("#Metadata!", ADDRESS(INDEX($AI$2:$AI$1001,MATCH(ROWS($AG$2:AG814),$AG$2:$AG$1001,0),0), INDEX($AN$1004:$BO$1004,1,MATCH(COLUMNS($AN$1006:BH1006),$AN$1006:$BO$1006,0)))),"Fix")))</f>
        <v>0</v>
      </c>
      <c r="W814" s="4">
        <f>IF(OR(INDEX($AH$2:$AH$1001,MATCH(ROWS($AG$2:AG814),$AG$2:$AG$1001,0),1)&gt;=100000,INDEX($AN$1005:$BO$1005,1,MATCH(COLUMNS($AN$1006:BI1006),$AN$1006:$BO$1006,0))&gt;=100000), " ",IF(INDEX($AN$2:$BO$1001,MATCH(ROWS($AG$2:AG814),$AG$2:$AG$1001,0),MATCH(COLUMNS($AN$1006:BI1006),$AN$1006:$BO$1006,0)), HYPERLINK("#",""), HYPERLINK(CONCATENATE("#Metadata!", ADDRESS(INDEX($AI$2:$AI$1001,MATCH(ROWS($AG$2:AG814),$AG$2:$AG$1001,0),0), INDEX($AN$1004:$BO$1004,1,MATCH(COLUMNS($AN$1006:BI1006),$AN$1006:$BO$1006,0)))),"Fix")))</f>
        <v>0</v>
      </c>
      <c r="X814" s="4">
        <f>IF(OR(INDEX($AH$2:$AH$1001,MATCH(ROWS($AG$2:AG814),$AG$2:$AG$1001,0),1)&gt;=100000,INDEX($AN$1005:$BO$1005,1,MATCH(COLUMNS($AN$1006:BJ1006),$AN$1006:$BO$1006,0))&gt;=100000), " ",IF(INDEX($AN$2:$BO$1001,MATCH(ROWS($AG$2:AG814),$AG$2:$AG$1001,0),MATCH(COLUMNS($AN$1006:BJ1006),$AN$1006:$BO$1006,0)), HYPERLINK("#",""), HYPERLINK(CONCATENATE("#Metadata!", ADDRESS(INDEX($AI$2:$AI$1001,MATCH(ROWS($AG$2:AG814),$AG$2:$AG$1001,0),0), INDEX($AN$1004:$BO$1004,1,MATCH(COLUMNS($AN$1006:BJ1006),$AN$1006:$BO$1006,0)))),"Fix")))</f>
        <v>0</v>
      </c>
      <c r="Y814" s="4">
        <f>IF(OR(INDEX($AH$2:$AH$1001,MATCH(ROWS($AG$2:AG814),$AG$2:$AG$1001,0),1)&gt;=100000,INDEX($AN$1005:$BO$1005,1,MATCH(COLUMNS($AN$1006:BK1006),$AN$1006:$BO$1006,0))&gt;=100000), " ",IF(INDEX($AN$2:$BO$1001,MATCH(ROWS($AG$2:AG814),$AG$2:$AG$1001,0),MATCH(COLUMNS($AN$1006:BK1006),$AN$1006:$BO$1006,0)), HYPERLINK("#",""), HYPERLINK(CONCATENATE("#Metadata!", ADDRESS(INDEX($AI$2:$AI$1001,MATCH(ROWS($AG$2:AG814),$AG$2:$AG$1001,0),0), INDEX($AN$1004:$BO$1004,1,MATCH(COLUMNS($AN$1006:BK1006),$AN$1006:$BO$1006,0)))),"Fix")))</f>
        <v>0</v>
      </c>
      <c r="Z814" s="4">
        <f>IF(OR(INDEX($AH$2:$AH$1001,MATCH(ROWS($AG$2:AG814),$AG$2:$AG$1001,0),1)&gt;=100000,INDEX($AN$1005:$BO$1005,1,MATCH(COLUMNS($AN$1006:BL1006),$AN$1006:$BO$1006,0))&gt;=100000), " ",IF(INDEX($AN$2:$BO$1001,MATCH(ROWS($AG$2:AG814),$AG$2:$AG$1001,0),MATCH(COLUMNS($AN$1006:BL1006),$AN$1006:$BO$1006,0)), HYPERLINK("#",""), HYPERLINK(CONCATENATE("#Metadata!", ADDRESS(INDEX($AI$2:$AI$1001,MATCH(ROWS($AG$2:AG814),$AG$2:$AG$1001,0),0), INDEX($AN$1004:$BO$1004,1,MATCH(COLUMNS($AN$1006:BL1006),$AN$1006:$BO$1006,0)))),"Fix")))</f>
        <v>0</v>
      </c>
      <c r="AA814" s="4">
        <f>IF(OR(INDEX($AH$2:$AH$1001,MATCH(ROWS($AG$2:AG814),$AG$2:$AG$1001,0),1)&gt;=100000,INDEX($AN$1005:$BO$1005,1,MATCH(COLUMNS($AN$1006:BM1006),$AN$1006:$BO$1006,0))&gt;=100000), " ",IF(INDEX($AN$2:$BO$1001,MATCH(ROWS($AG$2:AG814),$AG$2:$AG$1001,0),MATCH(COLUMNS($AN$1006:BM1006),$AN$1006:$BO$1006,0)), HYPERLINK("#",""), HYPERLINK(CONCATENATE("#Metadata!", ADDRESS(INDEX($AI$2:$AI$1001,MATCH(ROWS($AG$2:AG814),$AG$2:$AG$1001,0),0), INDEX($AN$1004:$BO$1004,1,MATCH(COLUMNS($AN$1006:BM1006),$AN$1006:$BO$1006,0)))),"Fix")))</f>
        <v>0</v>
      </c>
      <c r="AB814" s="4">
        <f>IF(OR(INDEX($AH$2:$AH$1001,MATCH(ROWS($AG$2:AG814),$AG$2:$AG$1001,0),1)&gt;=100000,INDEX($AN$1005:$BO$1005,1,MATCH(COLUMNS($AN$1006:BN1006),$AN$1006:$BO$1006,0))&gt;=100000), " ",IF(INDEX($AN$2:$BO$1001,MATCH(ROWS($AG$2:AG814),$AG$2:$AG$1001,0),MATCH(COLUMNS($AN$1006:BN1006),$AN$1006:$BO$1006,0)), HYPERLINK("#",""), HYPERLINK(CONCATENATE("#Metadata!", ADDRESS(INDEX($AI$2:$AI$1001,MATCH(ROWS($AG$2:AG814),$AG$2:$AG$1001,0),0), INDEX($AN$1004:$BO$1004,1,MATCH(COLUMNS($AN$1006:BN1006),$AN$1006:$BO$1006,0)))),"Fix")))</f>
        <v>0</v>
      </c>
      <c r="AC814" s="4">
        <f>IF(OR(INDEX($AH$2:$AH$1001,MATCH(ROWS($AG$2:AG814),$AG$2:$AG$1001,0),1)&gt;=100000,INDEX($AN$1005:$BO$1005,1,MATCH(COLUMNS($AN$1006:BO1006),$AN$1006:$BO$1006,0))&gt;=100000), " ",IF(INDEX($AN$2:$BO$1001,MATCH(ROWS($AG$2:AG814),$AG$2:$AG$1001,0),MATCH(COLUMNS($AN$1006:BO1006),$AN$1006:$BO$1006,0)), HYPERLINK("#",""), HYPERLINK(CONCATENATE("#Metadata!", ADDRESS(INDEX($AI$2:$AI$1001,MATCH(ROWS($AG$2:AG814),$AG$2:$AG$1001,0),0), INDEX($AN$1004:$BO$1004,1,MATCH(COLUMNS($AN$1006:BO1006),$AN$1006:$BO$1006,0)))),"Fix")))</f>
        <v>0</v>
      </c>
      <c r="AG814">
        <v>0</v>
      </c>
      <c r="AH814">
        <v>0</v>
      </c>
      <c r="AI814">
        <v>0</v>
      </c>
      <c r="AJ814">
        <f>IF(AK814,TRUE,AND(AN814:BO814))</f>
        <v>0</v>
      </c>
      <c r="AK814">
        <f>COUNTBLANK(Metadata!B814:AC814)=COLUMNS(Metadata!B814:AC814)</f>
        <v>0</v>
      </c>
      <c r="AL814">
        <v>0</v>
      </c>
      <c r="AN814">
        <f>AND(IF(Metadata!B814="",FALSE,TRUE),COUNTIF(Metadata!B:B, Metadata!B814) = 1,NOT(ISERROR(SUMPRODUCT(SEARCH(MID(Metadata!B814,ROW(INDIRECT("1:"&amp;LEN(Metadata!B814))), 1),"0123456789abcdefghijklmnopqrstuvwxyzABCDEFGHIJKLMNOPQRSTUVWXYZ.")))))</f>
        <v>0</v>
      </c>
      <c r="AO814">
        <f>IF(Metadata!C814="",FALSE,TRUE)</f>
        <v>0</v>
      </c>
      <c r="AP814">
        <f>IF(Metadata!D814="",FALSE,TRUE)</f>
        <v>0</v>
      </c>
      <c r="AQ814">
        <f>OR(AND(IF(Metadata!E814="",FALSE,TRUE),OR(exact(Metadata!E814,"not collected"),exact(Metadata!E814,"not provided"),exact(Metadata!E814,"restricted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R814">
        <f>IF(Metadata!F814="",FALSE,TRUE)</f>
        <v>0</v>
      </c>
      <c r="AS814">
        <f>OR(AND(IF(Metadata!G814="",FALSE,TRUE),OR(exact(Metadata!G814,"not collected"),exact(Metadata!G814,"not provided"))),AND(IF(Metadata!G814="",FALSE,TRUE),OR(exact(Metadata!G814,"TRUE"),exact(Metadata!G814,"FALSE"))))</f>
        <v>0</v>
      </c>
      <c r="AT814">
        <f>OR(AND(IF(Metadata!H814="",FALSE,TRUE),OR(exact(Metadata!H814,"not collected"),exact(Metadata!H814,"not provided"),exact(Metadata!H814,"restricted access"))),AND(IF(Metadata!H814="",FALSE,ISNUMBER(VALUE(Metadata!H814))),Metadata!H814&gt;=-413.0))</f>
        <v>0</v>
      </c>
      <c r="AU814">
        <f>AND(IF(Metadata!I814="",FALSE,TRUE),exact(Metadata!I814,"meters"))</f>
        <v>0</v>
      </c>
      <c r="AV814">
        <f>AND(IF(Metadata!J814="",FALSE,TRUE),OR(exact(Metadata!J814,"Host-associated"),exact(Metadata!J814,"Free-living")))</f>
        <v>0</v>
      </c>
      <c r="AW814">
        <f>AND(IF(Metadata!K814="",FALSE,TRUE),OR(exact(Metadata!K814,"Animal"),exact(Metadata!K814,"Fungus"),exact(Metadata!K814,"Plant"),exact(Metadata!K814,"Saline"),exact(Metadata!K814,"Non-saline")))</f>
        <v>0</v>
      </c>
      <c r="AX814">
        <f>AND(IF(Metadata!L814="",FALSE,TRUE),OR(exact(Metadata!L814,"Plant secretion"),exact(Metadata!L814,"Plant rhizosphere"),exact(Metadata!L814,"Plant surface"),exact(Metadata!L814,"Plant corpus"),exact(Metadata!L814,"Fungus surface"),exact(Metadata!L814,"Fungus corpus"),exact(Metadata!L814,"Animal surface"),exact(Metadata!L814,"Animal proximal gut"),exact(Metadata!L814,"Animal corpus"),exact(Metadata!L814,"Animal distal gut"),exact(Metadata!L814,"Animal secretion"),exact(Metadata!L814,"Sub-surface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Y814">
        <f>IF(Metadata!M814="",FALSE,TRUE)</f>
        <v>0</v>
      </c>
      <c r="AZ814">
        <f>IF(Metadata!N814="",FALSE,TRUE)</f>
        <v>0</v>
      </c>
      <c r="BA814">
        <f>IF(Metadata!O814="",FALSE,TRUE)</f>
        <v>0</v>
      </c>
      <c r="BB814">
        <f>OR(AND(IF(Metadata!P814="",FALSE,TRUE),OR(exact(Metadata!P814,"not collected"),exact(Metadata!P814,"not provided"),exact(Metadata!P814,"restricted access"))),AND(IF(Metadata!P814="",FALSE,TRUE),OR(exact(Metadata!P814,"air"),exact(Metadata!P814,"built environment"),exact(Metadata!P814,"host-associated"),exact(Metadata!P814,"human-associated"),exact(Metadata!P814,"human-skin"),exact(Metadata!P814,"human-oral"),exact(Metadata!P814,"human-gut"),exact(Metadata!P814,"human-vaginal"),exact(Metadata!P814,"microbial mat/biofilm"),exact(Metadata!P814,"misc environment"),exact(Metadata!P814,"plant-associated"),exact(Metadata!P814,"sediment"),exact(Metadata!P814,"soil"),exact(Metadata!P814,"wastewater/sludge"),exact(Metadata!P814,"water"))))</f>
        <v>0</v>
      </c>
      <c r="BC814">
        <f>IF(Metadata!Q814="",FALSE,TRUE)</f>
        <v>0</v>
      </c>
      <c r="BD814">
        <f>IF(Metadata!R814="",FALSE,TRUE)</f>
        <v>0</v>
      </c>
      <c r="BE814">
        <f>OR(AND(IF(Metadata!S814="",FALSE,TRUE),OR(exact(Metadata!S814,"not collected"),exact(Metadata!S814,"not provided"),exact(Metadata!S814,"restricted access"))),AND(IF(Metadata!S814="",FALSE,ISNUMBER(VALUE(Metadata!S814))),Metadata!S814&gt;=-90.00,Metadata!S814&lt;=90.00))</f>
        <v>0</v>
      </c>
      <c r="BF814">
        <f>AND(IF(Metadata!T814="",FALSE,TRUE),exact(Metadata!T814,"Decimal degrees"))</f>
        <v>0</v>
      </c>
      <c r="BG814">
        <f>OR(AND(IF(Metadata!U814="",FALSE,TRUE),OR(exact(Metadata!U814,"not collected"),exact(Metadata!U814,"not provided"),exact(Metadata!U814,"restricted access"))),AND(IF(Metadata!U814="",FALSE,ISNUMBER(VALUE(Metadata!U814))),Metadata!U814&gt;=-180.00,Metadata!U814&lt;=180.00))</f>
        <v>0</v>
      </c>
      <c r="BH814">
        <f>AND(IF(Metadata!V814="",FALSE,TRUE),exact(Metadata!V814,"Decimal degrees"))</f>
        <v>0</v>
      </c>
      <c r="BI814">
        <f>IF(Metadata!W814="",FALSE,TRUE)</f>
        <v>0</v>
      </c>
      <c r="BJ814">
        <f>OR(AND(IF(Metadata!X814="",FALSE,TRUE),OR(exact(Metadata!X814,"not collected"),exact(Metadata!X814,"not provided"),exact(Metadata!X814,"restricted access"))),AND(IF(Metadata!X814="",FALSE,TRUE),OR(exact(Metadata!X814,"TRUE"),exact(Metadata!X814,"FALSE"))))</f>
        <v>0</v>
      </c>
      <c r="BK814">
        <f>AND(IF(Metadata!Y814="",FALSE,TRUE),exact(Metadata!Y814,"other"))</f>
        <v>0</v>
      </c>
      <c r="BL814">
        <f>IF(Metadata!Z814="",FALSE,TRUE)</f>
        <v>0</v>
      </c>
      <c r="BM814">
        <f>OR(AND(IF(Metadata!AA814="",FALSE,TRUE),OR(exact(Metadata!AA814,"not collected"),exact(Metadata!AA814,"not provided"))),AND(IF(Metadata!AA814="",FALSE,IF(ISERROR(INT(Metadata!AA814)),FALSE,INT(Metadata!AA814)=Metadata!AA814)),Metadata!AA814&gt;0))</f>
        <v>0</v>
      </c>
      <c r="BN814">
        <f>AND(IF(Metadata!AB814="",FALSE,TRUE),exact(Metadata!AB814,"Not applicable"))</f>
        <v>0</v>
      </c>
      <c r="BO814">
        <f>IF(Metadata!AC814="",FALSE,TRUE)</f>
        <v>0</v>
      </c>
    </row>
    <row r="815" spans="1:67">
      <c r="A815" s="5">
        <f>IF(B815=" "," ",HYPERLINK(CONCATENATE("#metadata!",ADDRESS(INDEX($AI$2:$AI$1001,MATCH(ROWS($AG$2:AG815),$AG$2:$AG$1001,0),0),1)),INDEX($AL$2:$AL$1001,MATCH(ROWS($AG$2:AG815),$AG$2:$AG$1001,0),0)))</f>
        <v>0</v>
      </c>
      <c r="B815" s="4">
        <f>IF(OR(INDEX($AH$2:$AH$1001,MATCH(ROWS($AG$2:AG815),$AG$2:$AG$1001,0),1)&gt;=100000,INDEX($AN$1005:$BO$1005,1,MATCH(COLUMNS($AN$1006:AN1006),$AN$1006:$BO$1006,0))&gt;=100000), " ",IF(INDEX($AN$2:$BO$1001,MATCH(ROWS($AG$2:AG815),$AG$2:$AG$1001,0),MATCH(COLUMNS($AN$1006:AN1006),$AN$1006:$BO$1006,0)), HYPERLINK("#",""), HYPERLINK(CONCATENATE("#Metadata!", ADDRESS(INDEX($AI$2:$AI$1001,MATCH(ROWS($AG$2:AG815),$AG$2:$AG$1001,0),0), INDEX($AN$1004:$BO$1004,1,MATCH(COLUMNS($AN$1006:AN1006),$AN$1006:$BO$1006,0)))),"Fix")))</f>
        <v>0</v>
      </c>
      <c r="C815" s="4">
        <f>IF(OR(INDEX($AH$2:$AH$1001,MATCH(ROWS($AG$2:AG815),$AG$2:$AG$1001,0),1)&gt;=100000,INDEX($AN$1005:$BO$1005,1,MATCH(COLUMNS($AN$1006:AO1006),$AN$1006:$BO$1006,0))&gt;=100000), " ",IF(INDEX($AN$2:$BO$1001,MATCH(ROWS($AG$2:AG815),$AG$2:$AG$1001,0),MATCH(COLUMNS($AN$1006:AO1006),$AN$1006:$BO$1006,0)), HYPERLINK("#",""), HYPERLINK(CONCATENATE("#Metadata!", ADDRESS(INDEX($AI$2:$AI$1001,MATCH(ROWS($AG$2:AG815),$AG$2:$AG$1001,0),0), INDEX($AN$1004:$BO$1004,1,MATCH(COLUMNS($AN$1006:AO1006),$AN$1006:$BO$1006,0)))),"Fix")))</f>
        <v>0</v>
      </c>
      <c r="D815" s="4">
        <f>IF(OR(INDEX($AH$2:$AH$1001,MATCH(ROWS($AG$2:AG815),$AG$2:$AG$1001,0),1)&gt;=100000,INDEX($AN$1005:$BO$1005,1,MATCH(COLUMNS($AN$1006:AP1006),$AN$1006:$BO$1006,0))&gt;=100000), " ",IF(INDEX($AN$2:$BO$1001,MATCH(ROWS($AG$2:AG815),$AG$2:$AG$1001,0),MATCH(COLUMNS($AN$1006:AP1006),$AN$1006:$BO$1006,0)), HYPERLINK("#",""), HYPERLINK(CONCATENATE("#Metadata!", ADDRESS(INDEX($AI$2:$AI$1001,MATCH(ROWS($AG$2:AG815),$AG$2:$AG$1001,0),0), INDEX($AN$1004:$BO$1004,1,MATCH(COLUMNS($AN$1006:AP1006),$AN$1006:$BO$1006,0)))),"Fix")))</f>
        <v>0</v>
      </c>
      <c r="E815" s="4">
        <f>IF(OR(INDEX($AH$2:$AH$1001,MATCH(ROWS($AG$2:AG815),$AG$2:$AG$1001,0),1)&gt;=100000,INDEX($AN$1005:$BO$1005,1,MATCH(COLUMNS($AN$1006:AQ1006),$AN$1006:$BO$1006,0))&gt;=100000), " ",IF(INDEX($AN$2:$BO$1001,MATCH(ROWS($AG$2:AG815),$AG$2:$AG$1001,0),MATCH(COLUMNS($AN$1006:AQ1006),$AN$1006:$BO$1006,0)), HYPERLINK("#",""), HYPERLINK(CONCATENATE("#Metadata!", ADDRESS(INDEX($AI$2:$AI$1001,MATCH(ROWS($AG$2:AG815),$AG$2:$AG$1001,0),0), INDEX($AN$1004:$BO$1004,1,MATCH(COLUMNS($AN$1006:AQ1006),$AN$1006:$BO$1006,0)))),"Fix")))</f>
        <v>0</v>
      </c>
      <c r="F815" s="4">
        <f>IF(OR(INDEX($AH$2:$AH$1001,MATCH(ROWS($AG$2:AG815),$AG$2:$AG$1001,0),1)&gt;=100000,INDEX($AN$1005:$BO$1005,1,MATCH(COLUMNS($AN$1006:AR1006),$AN$1006:$BO$1006,0))&gt;=100000), " ",IF(INDEX($AN$2:$BO$1001,MATCH(ROWS($AG$2:AG815),$AG$2:$AG$1001,0),MATCH(COLUMNS($AN$1006:AR1006),$AN$1006:$BO$1006,0)), HYPERLINK("#",""), HYPERLINK(CONCATENATE("#Metadata!", ADDRESS(INDEX($AI$2:$AI$1001,MATCH(ROWS($AG$2:AG815),$AG$2:$AG$1001,0),0), INDEX($AN$1004:$BO$1004,1,MATCH(COLUMNS($AN$1006:AR1006),$AN$1006:$BO$1006,0)))),"Fix")))</f>
        <v>0</v>
      </c>
      <c r="G815" s="4">
        <f>IF(OR(INDEX($AH$2:$AH$1001,MATCH(ROWS($AG$2:AG815),$AG$2:$AG$1001,0),1)&gt;=100000,INDEX($AN$1005:$BO$1005,1,MATCH(COLUMNS($AN$1006:AS1006),$AN$1006:$BO$1006,0))&gt;=100000), " ",IF(INDEX($AN$2:$BO$1001,MATCH(ROWS($AG$2:AG815),$AG$2:$AG$1001,0),MATCH(COLUMNS($AN$1006:AS1006),$AN$1006:$BO$1006,0)), HYPERLINK("#",""), HYPERLINK(CONCATENATE("#Metadata!", ADDRESS(INDEX($AI$2:$AI$1001,MATCH(ROWS($AG$2:AG815),$AG$2:$AG$1001,0),0), INDEX($AN$1004:$BO$1004,1,MATCH(COLUMNS($AN$1006:AS1006),$AN$1006:$BO$1006,0)))),"Fix")))</f>
        <v>0</v>
      </c>
      <c r="H815" s="4">
        <f>IF(OR(INDEX($AH$2:$AH$1001,MATCH(ROWS($AG$2:AG815),$AG$2:$AG$1001,0),1)&gt;=100000,INDEX($AN$1005:$BO$1005,1,MATCH(COLUMNS($AN$1006:AT1006),$AN$1006:$BO$1006,0))&gt;=100000), " ",IF(INDEX($AN$2:$BO$1001,MATCH(ROWS($AG$2:AG815),$AG$2:$AG$1001,0),MATCH(COLUMNS($AN$1006:AT1006),$AN$1006:$BO$1006,0)), HYPERLINK("#",""), HYPERLINK(CONCATENATE("#Metadata!", ADDRESS(INDEX($AI$2:$AI$1001,MATCH(ROWS($AG$2:AG815),$AG$2:$AG$1001,0),0), INDEX($AN$1004:$BO$1004,1,MATCH(COLUMNS($AN$1006:AT1006),$AN$1006:$BO$1006,0)))),"Fix")))</f>
        <v>0</v>
      </c>
      <c r="I815" s="4">
        <f>IF(OR(INDEX($AH$2:$AH$1001,MATCH(ROWS($AG$2:AG815),$AG$2:$AG$1001,0),1)&gt;=100000,INDEX($AN$1005:$BO$1005,1,MATCH(COLUMNS($AN$1006:AU1006),$AN$1006:$BO$1006,0))&gt;=100000), " ",IF(INDEX($AN$2:$BO$1001,MATCH(ROWS($AG$2:AG815),$AG$2:$AG$1001,0),MATCH(COLUMNS($AN$1006:AU1006),$AN$1006:$BO$1006,0)), HYPERLINK("#",""), HYPERLINK(CONCATENATE("#Metadata!", ADDRESS(INDEX($AI$2:$AI$1001,MATCH(ROWS($AG$2:AG815),$AG$2:$AG$1001,0),0), INDEX($AN$1004:$BO$1004,1,MATCH(COLUMNS($AN$1006:AU1006),$AN$1006:$BO$1006,0)))),"Fix")))</f>
        <v>0</v>
      </c>
      <c r="J815" s="4">
        <f>IF(OR(INDEX($AH$2:$AH$1001,MATCH(ROWS($AG$2:AG815),$AG$2:$AG$1001,0),1)&gt;=100000,INDEX($AN$1005:$BO$1005,1,MATCH(COLUMNS($AN$1006:AV1006),$AN$1006:$BO$1006,0))&gt;=100000), " ",IF(INDEX($AN$2:$BO$1001,MATCH(ROWS($AG$2:AG815),$AG$2:$AG$1001,0),MATCH(COLUMNS($AN$1006:AV1006),$AN$1006:$BO$1006,0)), HYPERLINK("#",""), HYPERLINK(CONCATENATE("#Metadata!", ADDRESS(INDEX($AI$2:$AI$1001,MATCH(ROWS($AG$2:AG815),$AG$2:$AG$1001,0),0), INDEX($AN$1004:$BO$1004,1,MATCH(COLUMNS($AN$1006:AV1006),$AN$1006:$BO$1006,0)))),"Fix")))</f>
        <v>0</v>
      </c>
      <c r="K815" s="4">
        <f>IF(OR(INDEX($AH$2:$AH$1001,MATCH(ROWS($AG$2:AG815),$AG$2:$AG$1001,0),1)&gt;=100000,INDEX($AN$1005:$BO$1005,1,MATCH(COLUMNS($AN$1006:AW1006),$AN$1006:$BO$1006,0))&gt;=100000), " ",IF(INDEX($AN$2:$BO$1001,MATCH(ROWS($AG$2:AG815),$AG$2:$AG$1001,0),MATCH(COLUMNS($AN$1006:AW1006),$AN$1006:$BO$1006,0)), HYPERLINK("#",""), HYPERLINK(CONCATENATE("#Metadata!", ADDRESS(INDEX($AI$2:$AI$1001,MATCH(ROWS($AG$2:AG815),$AG$2:$AG$1001,0),0), INDEX($AN$1004:$BO$1004,1,MATCH(COLUMNS($AN$1006:AW1006),$AN$1006:$BO$1006,0)))),"Fix")))</f>
        <v>0</v>
      </c>
      <c r="L815" s="4">
        <f>IF(OR(INDEX($AH$2:$AH$1001,MATCH(ROWS($AG$2:AG815),$AG$2:$AG$1001,0),1)&gt;=100000,INDEX($AN$1005:$BO$1005,1,MATCH(COLUMNS($AN$1006:AX1006),$AN$1006:$BO$1006,0))&gt;=100000), " ",IF(INDEX($AN$2:$BO$1001,MATCH(ROWS($AG$2:AG815),$AG$2:$AG$1001,0),MATCH(COLUMNS($AN$1006:AX1006),$AN$1006:$BO$1006,0)), HYPERLINK("#",""), HYPERLINK(CONCATENATE("#Metadata!", ADDRESS(INDEX($AI$2:$AI$1001,MATCH(ROWS($AG$2:AG815),$AG$2:$AG$1001,0),0), INDEX($AN$1004:$BO$1004,1,MATCH(COLUMNS($AN$1006:AX1006),$AN$1006:$BO$1006,0)))),"Fix")))</f>
        <v>0</v>
      </c>
      <c r="M815" s="4">
        <f>IF(OR(INDEX($AH$2:$AH$1001,MATCH(ROWS($AG$2:AG815),$AG$2:$AG$1001,0),1)&gt;=100000,INDEX($AN$1005:$BO$1005,1,MATCH(COLUMNS($AN$1006:AY1006),$AN$1006:$BO$1006,0))&gt;=100000), " ",IF(INDEX($AN$2:$BO$1001,MATCH(ROWS($AG$2:AG815),$AG$2:$AG$1001,0),MATCH(COLUMNS($AN$1006:AY1006),$AN$1006:$BO$1006,0)), HYPERLINK("#",""), HYPERLINK(CONCATENATE("#Metadata!", ADDRESS(INDEX($AI$2:$AI$1001,MATCH(ROWS($AG$2:AG815),$AG$2:$AG$1001,0),0), INDEX($AN$1004:$BO$1004,1,MATCH(COLUMNS($AN$1006:AY1006),$AN$1006:$BO$1006,0)))),"Fix")))</f>
        <v>0</v>
      </c>
      <c r="N815" s="4">
        <f>IF(OR(INDEX($AH$2:$AH$1001,MATCH(ROWS($AG$2:AG815),$AG$2:$AG$1001,0),1)&gt;=100000,INDEX($AN$1005:$BO$1005,1,MATCH(COLUMNS($AN$1006:AZ1006),$AN$1006:$BO$1006,0))&gt;=100000), " ",IF(INDEX($AN$2:$BO$1001,MATCH(ROWS($AG$2:AG815),$AG$2:$AG$1001,0),MATCH(COLUMNS($AN$1006:AZ1006),$AN$1006:$BO$1006,0)), HYPERLINK("#",""), HYPERLINK(CONCATENATE("#Metadata!", ADDRESS(INDEX($AI$2:$AI$1001,MATCH(ROWS($AG$2:AG815),$AG$2:$AG$1001,0),0), INDEX($AN$1004:$BO$1004,1,MATCH(COLUMNS($AN$1006:AZ1006),$AN$1006:$BO$1006,0)))),"Fix")))</f>
        <v>0</v>
      </c>
      <c r="O815" s="4">
        <f>IF(OR(INDEX($AH$2:$AH$1001,MATCH(ROWS($AG$2:AG815),$AG$2:$AG$1001,0),1)&gt;=100000,INDEX($AN$1005:$BO$1005,1,MATCH(COLUMNS($AN$1006:BA1006),$AN$1006:$BO$1006,0))&gt;=100000), " ",IF(INDEX($AN$2:$BO$1001,MATCH(ROWS($AG$2:AG815),$AG$2:$AG$1001,0),MATCH(COLUMNS($AN$1006:BA1006),$AN$1006:$BO$1006,0)), HYPERLINK("#",""), HYPERLINK(CONCATENATE("#Metadata!", ADDRESS(INDEX($AI$2:$AI$1001,MATCH(ROWS($AG$2:AG815),$AG$2:$AG$1001,0),0), INDEX($AN$1004:$BO$1004,1,MATCH(COLUMNS($AN$1006:BA1006),$AN$1006:$BO$1006,0)))),"Fix")))</f>
        <v>0</v>
      </c>
      <c r="P815" s="4">
        <f>IF(OR(INDEX($AH$2:$AH$1001,MATCH(ROWS($AG$2:AG815),$AG$2:$AG$1001,0),1)&gt;=100000,INDEX($AN$1005:$BO$1005,1,MATCH(COLUMNS($AN$1006:BB1006),$AN$1006:$BO$1006,0))&gt;=100000), " ",IF(INDEX($AN$2:$BO$1001,MATCH(ROWS($AG$2:AG815),$AG$2:$AG$1001,0),MATCH(COLUMNS($AN$1006:BB1006),$AN$1006:$BO$1006,0)), HYPERLINK("#",""), HYPERLINK(CONCATENATE("#Metadata!", ADDRESS(INDEX($AI$2:$AI$1001,MATCH(ROWS($AG$2:AG815),$AG$2:$AG$1001,0),0), INDEX($AN$1004:$BO$1004,1,MATCH(COLUMNS($AN$1006:BB1006),$AN$1006:$BO$1006,0)))),"Fix")))</f>
        <v>0</v>
      </c>
      <c r="Q815" s="4">
        <f>IF(OR(INDEX($AH$2:$AH$1001,MATCH(ROWS($AG$2:AG815),$AG$2:$AG$1001,0),1)&gt;=100000,INDEX($AN$1005:$BO$1005,1,MATCH(COLUMNS($AN$1006:BC1006),$AN$1006:$BO$1006,0))&gt;=100000), " ",IF(INDEX($AN$2:$BO$1001,MATCH(ROWS($AG$2:AG815),$AG$2:$AG$1001,0),MATCH(COLUMNS($AN$1006:BC1006),$AN$1006:$BO$1006,0)), HYPERLINK("#",""), HYPERLINK(CONCATENATE("#Metadata!", ADDRESS(INDEX($AI$2:$AI$1001,MATCH(ROWS($AG$2:AG815),$AG$2:$AG$1001,0),0), INDEX($AN$1004:$BO$1004,1,MATCH(COLUMNS($AN$1006:BC1006),$AN$1006:$BO$1006,0)))),"Fix")))</f>
        <v>0</v>
      </c>
      <c r="R815" s="4">
        <f>IF(OR(INDEX($AH$2:$AH$1001,MATCH(ROWS($AG$2:AG815),$AG$2:$AG$1001,0),1)&gt;=100000,INDEX($AN$1005:$BO$1005,1,MATCH(COLUMNS($AN$1006:BD1006),$AN$1006:$BO$1006,0))&gt;=100000), " ",IF(INDEX($AN$2:$BO$1001,MATCH(ROWS($AG$2:AG815),$AG$2:$AG$1001,0),MATCH(COLUMNS($AN$1006:BD1006),$AN$1006:$BO$1006,0)), HYPERLINK("#",""), HYPERLINK(CONCATENATE("#Metadata!", ADDRESS(INDEX($AI$2:$AI$1001,MATCH(ROWS($AG$2:AG815),$AG$2:$AG$1001,0),0), INDEX($AN$1004:$BO$1004,1,MATCH(COLUMNS($AN$1006:BD1006),$AN$1006:$BO$1006,0)))),"Fix")))</f>
        <v>0</v>
      </c>
      <c r="S815" s="4">
        <f>IF(OR(INDEX($AH$2:$AH$1001,MATCH(ROWS($AG$2:AG815),$AG$2:$AG$1001,0),1)&gt;=100000,INDEX($AN$1005:$BO$1005,1,MATCH(COLUMNS($AN$1006:BE1006),$AN$1006:$BO$1006,0))&gt;=100000), " ",IF(INDEX($AN$2:$BO$1001,MATCH(ROWS($AG$2:AG815),$AG$2:$AG$1001,0),MATCH(COLUMNS($AN$1006:BE1006),$AN$1006:$BO$1006,0)), HYPERLINK("#",""), HYPERLINK(CONCATENATE("#Metadata!", ADDRESS(INDEX($AI$2:$AI$1001,MATCH(ROWS($AG$2:AG815),$AG$2:$AG$1001,0),0), INDEX($AN$1004:$BO$1004,1,MATCH(COLUMNS($AN$1006:BE1006),$AN$1006:$BO$1006,0)))),"Fix")))</f>
        <v>0</v>
      </c>
      <c r="T815" s="4">
        <f>IF(OR(INDEX($AH$2:$AH$1001,MATCH(ROWS($AG$2:AG815),$AG$2:$AG$1001,0),1)&gt;=100000,INDEX($AN$1005:$BO$1005,1,MATCH(COLUMNS($AN$1006:BF1006),$AN$1006:$BO$1006,0))&gt;=100000), " ",IF(INDEX($AN$2:$BO$1001,MATCH(ROWS($AG$2:AG815),$AG$2:$AG$1001,0),MATCH(COLUMNS($AN$1006:BF1006),$AN$1006:$BO$1006,0)), HYPERLINK("#",""), HYPERLINK(CONCATENATE("#Metadata!", ADDRESS(INDEX($AI$2:$AI$1001,MATCH(ROWS($AG$2:AG815),$AG$2:$AG$1001,0),0), INDEX($AN$1004:$BO$1004,1,MATCH(COLUMNS($AN$1006:BF1006),$AN$1006:$BO$1006,0)))),"Fix")))</f>
        <v>0</v>
      </c>
      <c r="U815" s="4">
        <f>IF(OR(INDEX($AH$2:$AH$1001,MATCH(ROWS($AG$2:AG815),$AG$2:$AG$1001,0),1)&gt;=100000,INDEX($AN$1005:$BO$1005,1,MATCH(COLUMNS($AN$1006:BG1006),$AN$1006:$BO$1006,0))&gt;=100000), " ",IF(INDEX($AN$2:$BO$1001,MATCH(ROWS($AG$2:AG815),$AG$2:$AG$1001,0),MATCH(COLUMNS($AN$1006:BG1006),$AN$1006:$BO$1006,0)), HYPERLINK("#",""), HYPERLINK(CONCATENATE("#Metadata!", ADDRESS(INDEX($AI$2:$AI$1001,MATCH(ROWS($AG$2:AG815),$AG$2:$AG$1001,0),0), INDEX($AN$1004:$BO$1004,1,MATCH(COLUMNS($AN$1006:BG1006),$AN$1006:$BO$1006,0)))),"Fix")))</f>
        <v>0</v>
      </c>
      <c r="V815" s="4">
        <f>IF(OR(INDEX($AH$2:$AH$1001,MATCH(ROWS($AG$2:AG815),$AG$2:$AG$1001,0),1)&gt;=100000,INDEX($AN$1005:$BO$1005,1,MATCH(COLUMNS($AN$1006:BH1006),$AN$1006:$BO$1006,0))&gt;=100000), " ",IF(INDEX($AN$2:$BO$1001,MATCH(ROWS($AG$2:AG815),$AG$2:$AG$1001,0),MATCH(COLUMNS($AN$1006:BH1006),$AN$1006:$BO$1006,0)), HYPERLINK("#",""), HYPERLINK(CONCATENATE("#Metadata!", ADDRESS(INDEX($AI$2:$AI$1001,MATCH(ROWS($AG$2:AG815),$AG$2:$AG$1001,0),0), INDEX($AN$1004:$BO$1004,1,MATCH(COLUMNS($AN$1006:BH1006),$AN$1006:$BO$1006,0)))),"Fix")))</f>
        <v>0</v>
      </c>
      <c r="W815" s="4">
        <f>IF(OR(INDEX($AH$2:$AH$1001,MATCH(ROWS($AG$2:AG815),$AG$2:$AG$1001,0),1)&gt;=100000,INDEX($AN$1005:$BO$1005,1,MATCH(COLUMNS($AN$1006:BI1006),$AN$1006:$BO$1006,0))&gt;=100000), " ",IF(INDEX($AN$2:$BO$1001,MATCH(ROWS($AG$2:AG815),$AG$2:$AG$1001,0),MATCH(COLUMNS($AN$1006:BI1006),$AN$1006:$BO$1006,0)), HYPERLINK("#",""), HYPERLINK(CONCATENATE("#Metadata!", ADDRESS(INDEX($AI$2:$AI$1001,MATCH(ROWS($AG$2:AG815),$AG$2:$AG$1001,0),0), INDEX($AN$1004:$BO$1004,1,MATCH(COLUMNS($AN$1006:BI1006),$AN$1006:$BO$1006,0)))),"Fix")))</f>
        <v>0</v>
      </c>
      <c r="X815" s="4">
        <f>IF(OR(INDEX($AH$2:$AH$1001,MATCH(ROWS($AG$2:AG815),$AG$2:$AG$1001,0),1)&gt;=100000,INDEX($AN$1005:$BO$1005,1,MATCH(COLUMNS($AN$1006:BJ1006),$AN$1006:$BO$1006,0))&gt;=100000), " ",IF(INDEX($AN$2:$BO$1001,MATCH(ROWS($AG$2:AG815),$AG$2:$AG$1001,0),MATCH(COLUMNS($AN$1006:BJ1006),$AN$1006:$BO$1006,0)), HYPERLINK("#",""), HYPERLINK(CONCATENATE("#Metadata!", ADDRESS(INDEX($AI$2:$AI$1001,MATCH(ROWS($AG$2:AG815),$AG$2:$AG$1001,0),0), INDEX($AN$1004:$BO$1004,1,MATCH(COLUMNS($AN$1006:BJ1006),$AN$1006:$BO$1006,0)))),"Fix")))</f>
        <v>0</v>
      </c>
      <c r="Y815" s="4">
        <f>IF(OR(INDEX($AH$2:$AH$1001,MATCH(ROWS($AG$2:AG815),$AG$2:$AG$1001,0),1)&gt;=100000,INDEX($AN$1005:$BO$1005,1,MATCH(COLUMNS($AN$1006:BK1006),$AN$1006:$BO$1006,0))&gt;=100000), " ",IF(INDEX($AN$2:$BO$1001,MATCH(ROWS($AG$2:AG815),$AG$2:$AG$1001,0),MATCH(COLUMNS($AN$1006:BK1006),$AN$1006:$BO$1006,0)), HYPERLINK("#",""), HYPERLINK(CONCATENATE("#Metadata!", ADDRESS(INDEX($AI$2:$AI$1001,MATCH(ROWS($AG$2:AG815),$AG$2:$AG$1001,0),0), INDEX($AN$1004:$BO$1004,1,MATCH(COLUMNS($AN$1006:BK1006),$AN$1006:$BO$1006,0)))),"Fix")))</f>
        <v>0</v>
      </c>
      <c r="Z815" s="4">
        <f>IF(OR(INDEX($AH$2:$AH$1001,MATCH(ROWS($AG$2:AG815),$AG$2:$AG$1001,0),1)&gt;=100000,INDEX($AN$1005:$BO$1005,1,MATCH(COLUMNS($AN$1006:BL1006),$AN$1006:$BO$1006,0))&gt;=100000), " ",IF(INDEX($AN$2:$BO$1001,MATCH(ROWS($AG$2:AG815),$AG$2:$AG$1001,0),MATCH(COLUMNS($AN$1006:BL1006),$AN$1006:$BO$1006,0)), HYPERLINK("#",""), HYPERLINK(CONCATENATE("#Metadata!", ADDRESS(INDEX($AI$2:$AI$1001,MATCH(ROWS($AG$2:AG815),$AG$2:$AG$1001,0),0), INDEX($AN$1004:$BO$1004,1,MATCH(COLUMNS($AN$1006:BL1006),$AN$1006:$BO$1006,0)))),"Fix")))</f>
        <v>0</v>
      </c>
      <c r="AA815" s="4">
        <f>IF(OR(INDEX($AH$2:$AH$1001,MATCH(ROWS($AG$2:AG815),$AG$2:$AG$1001,0),1)&gt;=100000,INDEX($AN$1005:$BO$1005,1,MATCH(COLUMNS($AN$1006:BM1006),$AN$1006:$BO$1006,0))&gt;=100000), " ",IF(INDEX($AN$2:$BO$1001,MATCH(ROWS($AG$2:AG815),$AG$2:$AG$1001,0),MATCH(COLUMNS($AN$1006:BM1006),$AN$1006:$BO$1006,0)), HYPERLINK("#",""), HYPERLINK(CONCATENATE("#Metadata!", ADDRESS(INDEX($AI$2:$AI$1001,MATCH(ROWS($AG$2:AG815),$AG$2:$AG$1001,0),0), INDEX($AN$1004:$BO$1004,1,MATCH(COLUMNS($AN$1006:BM1006),$AN$1006:$BO$1006,0)))),"Fix")))</f>
        <v>0</v>
      </c>
      <c r="AB815" s="4">
        <f>IF(OR(INDEX($AH$2:$AH$1001,MATCH(ROWS($AG$2:AG815),$AG$2:$AG$1001,0),1)&gt;=100000,INDEX($AN$1005:$BO$1005,1,MATCH(COLUMNS($AN$1006:BN1006),$AN$1006:$BO$1006,0))&gt;=100000), " ",IF(INDEX($AN$2:$BO$1001,MATCH(ROWS($AG$2:AG815),$AG$2:$AG$1001,0),MATCH(COLUMNS($AN$1006:BN1006),$AN$1006:$BO$1006,0)), HYPERLINK("#",""), HYPERLINK(CONCATENATE("#Metadata!", ADDRESS(INDEX($AI$2:$AI$1001,MATCH(ROWS($AG$2:AG815),$AG$2:$AG$1001,0),0), INDEX($AN$1004:$BO$1004,1,MATCH(COLUMNS($AN$1006:BN1006),$AN$1006:$BO$1006,0)))),"Fix")))</f>
        <v>0</v>
      </c>
      <c r="AC815" s="4">
        <f>IF(OR(INDEX($AH$2:$AH$1001,MATCH(ROWS($AG$2:AG815),$AG$2:$AG$1001,0),1)&gt;=100000,INDEX($AN$1005:$BO$1005,1,MATCH(COLUMNS($AN$1006:BO1006),$AN$1006:$BO$1006,0))&gt;=100000), " ",IF(INDEX($AN$2:$BO$1001,MATCH(ROWS($AG$2:AG815),$AG$2:$AG$1001,0),MATCH(COLUMNS($AN$1006:BO1006),$AN$1006:$BO$1006,0)), HYPERLINK("#",""), HYPERLINK(CONCATENATE("#Metadata!", ADDRESS(INDEX($AI$2:$AI$1001,MATCH(ROWS($AG$2:AG815),$AG$2:$AG$1001,0),0), INDEX($AN$1004:$BO$1004,1,MATCH(COLUMNS($AN$1006:BO1006),$AN$1006:$BO$1006,0)))),"Fix")))</f>
        <v>0</v>
      </c>
      <c r="AG815">
        <v>0</v>
      </c>
      <c r="AH815">
        <v>0</v>
      </c>
      <c r="AI815">
        <v>0</v>
      </c>
      <c r="AJ815">
        <f>IF(AK815,TRUE,AND(AN815:BO815))</f>
        <v>0</v>
      </c>
      <c r="AK815">
        <f>COUNTBLANK(Metadata!B815:AC815)=COLUMNS(Metadata!B815:AC815)</f>
        <v>0</v>
      </c>
      <c r="AL815">
        <v>0</v>
      </c>
      <c r="AN815">
        <f>AND(IF(Metadata!B815="",FALSE,TRUE),COUNTIF(Metadata!B:B, Metadata!B815) = 1,NOT(ISERROR(SUMPRODUCT(SEARCH(MID(Metadata!B815,ROW(INDIRECT("1:"&amp;LEN(Metadata!B815))), 1),"0123456789abcdefghijklmnopqrstuvwxyzABCDEFGHIJKLMNOPQRSTUVWXYZ.")))))</f>
        <v>0</v>
      </c>
      <c r="AO815">
        <f>IF(Metadata!C815="",FALSE,TRUE)</f>
        <v>0</v>
      </c>
      <c r="AP815">
        <f>IF(Metadata!D815="",FALSE,TRUE)</f>
        <v>0</v>
      </c>
      <c r="AQ815">
        <f>OR(AND(IF(Metadata!E815="",FALSE,TRUE),OR(exact(Metadata!E815,"not collected"),exact(Metadata!E815,"not provided"),exact(Metadata!E815,"restricted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R815">
        <f>IF(Metadata!F815="",FALSE,TRUE)</f>
        <v>0</v>
      </c>
      <c r="AS815">
        <f>OR(AND(IF(Metadata!G815="",FALSE,TRUE),OR(exact(Metadata!G815,"not collected"),exact(Metadata!G815,"not provided"))),AND(IF(Metadata!G815="",FALSE,TRUE),OR(exact(Metadata!G815,"TRUE"),exact(Metadata!G815,"FALSE"))))</f>
        <v>0</v>
      </c>
      <c r="AT815">
        <f>OR(AND(IF(Metadata!H815="",FALSE,TRUE),OR(exact(Metadata!H815,"not collected"),exact(Metadata!H815,"not provided"),exact(Metadata!H815,"restricted access"))),AND(IF(Metadata!H815="",FALSE,ISNUMBER(VALUE(Metadata!H815))),Metadata!H815&gt;=-413.0))</f>
        <v>0</v>
      </c>
      <c r="AU815">
        <f>AND(IF(Metadata!I815="",FALSE,TRUE),exact(Metadata!I815,"meters"))</f>
        <v>0</v>
      </c>
      <c r="AV815">
        <f>AND(IF(Metadata!J815="",FALSE,TRUE),OR(exact(Metadata!J815,"Host-associated"),exact(Metadata!J815,"Free-living")))</f>
        <v>0</v>
      </c>
      <c r="AW815">
        <f>AND(IF(Metadata!K815="",FALSE,TRUE),OR(exact(Metadata!K815,"Animal"),exact(Metadata!K815,"Fungus"),exact(Metadata!K815,"Plant"),exact(Metadata!K815,"Saline"),exact(Metadata!K815,"Non-saline")))</f>
        <v>0</v>
      </c>
      <c r="AX815">
        <f>AND(IF(Metadata!L815="",FALSE,TRUE),OR(exact(Metadata!L815,"Plant secretion"),exact(Metadata!L815,"Plant rhizosphere"),exact(Metadata!L815,"Plant surface"),exact(Metadata!L815,"Plant corpus"),exact(Metadata!L815,"Fungus surface"),exact(Metadata!L815,"Fungus corpus"),exact(Metadata!L815,"Animal surface"),exact(Metadata!L815,"Animal proximal gut"),exact(Metadata!L815,"Animal corpus"),exact(Metadata!L815,"Animal distal gut"),exact(Metadata!L815,"Animal secretion"),exact(Metadata!L815,"Sub-surface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Y815">
        <f>IF(Metadata!M815="",FALSE,TRUE)</f>
        <v>0</v>
      </c>
      <c r="AZ815">
        <f>IF(Metadata!N815="",FALSE,TRUE)</f>
        <v>0</v>
      </c>
      <c r="BA815">
        <f>IF(Metadata!O815="",FALSE,TRUE)</f>
        <v>0</v>
      </c>
      <c r="BB815">
        <f>OR(AND(IF(Metadata!P815="",FALSE,TRUE),OR(exact(Metadata!P815,"not collected"),exact(Metadata!P815,"not provided"),exact(Metadata!P815,"restricted access"))),AND(IF(Metadata!P815="",FALSE,TRUE),OR(exact(Metadata!P815,"air"),exact(Metadata!P815,"built environment"),exact(Metadata!P815,"host-associated"),exact(Metadata!P815,"human-associated"),exact(Metadata!P815,"human-skin"),exact(Metadata!P815,"human-oral"),exact(Metadata!P815,"human-gut"),exact(Metadata!P815,"human-vaginal"),exact(Metadata!P815,"microbial mat/biofilm"),exact(Metadata!P815,"misc environment"),exact(Metadata!P815,"plant-associated"),exact(Metadata!P815,"sediment"),exact(Metadata!P815,"soil"),exact(Metadata!P815,"wastewater/sludge"),exact(Metadata!P815,"water"))))</f>
        <v>0</v>
      </c>
      <c r="BC815">
        <f>IF(Metadata!Q815="",FALSE,TRUE)</f>
        <v>0</v>
      </c>
      <c r="BD815">
        <f>IF(Metadata!R815="",FALSE,TRUE)</f>
        <v>0</v>
      </c>
      <c r="BE815">
        <f>OR(AND(IF(Metadata!S815="",FALSE,TRUE),OR(exact(Metadata!S815,"not collected"),exact(Metadata!S815,"not provided"),exact(Metadata!S815,"restricted access"))),AND(IF(Metadata!S815="",FALSE,ISNUMBER(VALUE(Metadata!S815))),Metadata!S815&gt;=-90.00,Metadata!S815&lt;=90.00))</f>
        <v>0</v>
      </c>
      <c r="BF815">
        <f>AND(IF(Metadata!T815="",FALSE,TRUE),exact(Metadata!T815,"Decimal degrees"))</f>
        <v>0</v>
      </c>
      <c r="BG815">
        <f>OR(AND(IF(Metadata!U815="",FALSE,TRUE),OR(exact(Metadata!U815,"not collected"),exact(Metadata!U815,"not provided"),exact(Metadata!U815,"restricted access"))),AND(IF(Metadata!U815="",FALSE,ISNUMBER(VALUE(Metadata!U815))),Metadata!U815&gt;=-180.00,Metadata!U815&lt;=180.00))</f>
        <v>0</v>
      </c>
      <c r="BH815">
        <f>AND(IF(Metadata!V815="",FALSE,TRUE),exact(Metadata!V815,"Decimal degrees"))</f>
        <v>0</v>
      </c>
      <c r="BI815">
        <f>IF(Metadata!W815="",FALSE,TRUE)</f>
        <v>0</v>
      </c>
      <c r="BJ815">
        <f>OR(AND(IF(Metadata!X815="",FALSE,TRUE),OR(exact(Metadata!X815,"not collected"),exact(Metadata!X815,"not provided"),exact(Metadata!X815,"restricted access"))),AND(IF(Metadata!X815="",FALSE,TRUE),OR(exact(Metadata!X815,"TRUE"),exact(Metadata!X815,"FALSE"))))</f>
        <v>0</v>
      </c>
      <c r="BK815">
        <f>AND(IF(Metadata!Y815="",FALSE,TRUE),exact(Metadata!Y815,"other"))</f>
        <v>0</v>
      </c>
      <c r="BL815">
        <f>IF(Metadata!Z815="",FALSE,TRUE)</f>
        <v>0</v>
      </c>
      <c r="BM815">
        <f>OR(AND(IF(Metadata!AA815="",FALSE,TRUE),OR(exact(Metadata!AA815,"not collected"),exact(Metadata!AA815,"not provided"))),AND(IF(Metadata!AA815="",FALSE,IF(ISERROR(INT(Metadata!AA815)),FALSE,INT(Metadata!AA815)=Metadata!AA815)),Metadata!AA815&gt;0))</f>
        <v>0</v>
      </c>
      <c r="BN815">
        <f>AND(IF(Metadata!AB815="",FALSE,TRUE),exact(Metadata!AB815,"Not applicable"))</f>
        <v>0</v>
      </c>
      <c r="BO815">
        <f>IF(Metadata!AC815="",FALSE,TRUE)</f>
        <v>0</v>
      </c>
    </row>
    <row r="816" spans="1:67">
      <c r="A816" s="5">
        <f>IF(B816=" "," ",HYPERLINK(CONCATENATE("#metadata!",ADDRESS(INDEX($AI$2:$AI$1001,MATCH(ROWS($AG$2:AG816),$AG$2:$AG$1001,0),0),1)),INDEX($AL$2:$AL$1001,MATCH(ROWS($AG$2:AG816),$AG$2:$AG$1001,0),0)))</f>
        <v>0</v>
      </c>
      <c r="B816" s="4">
        <f>IF(OR(INDEX($AH$2:$AH$1001,MATCH(ROWS($AG$2:AG816),$AG$2:$AG$1001,0),1)&gt;=100000,INDEX($AN$1005:$BO$1005,1,MATCH(COLUMNS($AN$1006:AN1006),$AN$1006:$BO$1006,0))&gt;=100000), " ",IF(INDEX($AN$2:$BO$1001,MATCH(ROWS($AG$2:AG816),$AG$2:$AG$1001,0),MATCH(COLUMNS($AN$1006:AN1006),$AN$1006:$BO$1006,0)), HYPERLINK("#",""), HYPERLINK(CONCATENATE("#Metadata!", ADDRESS(INDEX($AI$2:$AI$1001,MATCH(ROWS($AG$2:AG816),$AG$2:$AG$1001,0),0), INDEX($AN$1004:$BO$1004,1,MATCH(COLUMNS($AN$1006:AN1006),$AN$1006:$BO$1006,0)))),"Fix")))</f>
        <v>0</v>
      </c>
      <c r="C816" s="4">
        <f>IF(OR(INDEX($AH$2:$AH$1001,MATCH(ROWS($AG$2:AG816),$AG$2:$AG$1001,0),1)&gt;=100000,INDEX($AN$1005:$BO$1005,1,MATCH(COLUMNS($AN$1006:AO1006),$AN$1006:$BO$1006,0))&gt;=100000), " ",IF(INDEX($AN$2:$BO$1001,MATCH(ROWS($AG$2:AG816),$AG$2:$AG$1001,0),MATCH(COLUMNS($AN$1006:AO1006),$AN$1006:$BO$1006,0)), HYPERLINK("#",""), HYPERLINK(CONCATENATE("#Metadata!", ADDRESS(INDEX($AI$2:$AI$1001,MATCH(ROWS($AG$2:AG816),$AG$2:$AG$1001,0),0), INDEX($AN$1004:$BO$1004,1,MATCH(COLUMNS($AN$1006:AO1006),$AN$1006:$BO$1006,0)))),"Fix")))</f>
        <v>0</v>
      </c>
      <c r="D816" s="4">
        <f>IF(OR(INDEX($AH$2:$AH$1001,MATCH(ROWS($AG$2:AG816),$AG$2:$AG$1001,0),1)&gt;=100000,INDEX($AN$1005:$BO$1005,1,MATCH(COLUMNS($AN$1006:AP1006),$AN$1006:$BO$1006,0))&gt;=100000), " ",IF(INDEX($AN$2:$BO$1001,MATCH(ROWS($AG$2:AG816),$AG$2:$AG$1001,0),MATCH(COLUMNS($AN$1006:AP1006),$AN$1006:$BO$1006,0)), HYPERLINK("#",""), HYPERLINK(CONCATENATE("#Metadata!", ADDRESS(INDEX($AI$2:$AI$1001,MATCH(ROWS($AG$2:AG816),$AG$2:$AG$1001,0),0), INDEX($AN$1004:$BO$1004,1,MATCH(COLUMNS($AN$1006:AP1006),$AN$1006:$BO$1006,0)))),"Fix")))</f>
        <v>0</v>
      </c>
      <c r="E816" s="4">
        <f>IF(OR(INDEX($AH$2:$AH$1001,MATCH(ROWS($AG$2:AG816),$AG$2:$AG$1001,0),1)&gt;=100000,INDEX($AN$1005:$BO$1005,1,MATCH(COLUMNS($AN$1006:AQ1006),$AN$1006:$BO$1006,0))&gt;=100000), " ",IF(INDEX($AN$2:$BO$1001,MATCH(ROWS($AG$2:AG816),$AG$2:$AG$1001,0),MATCH(COLUMNS($AN$1006:AQ1006),$AN$1006:$BO$1006,0)), HYPERLINK("#",""), HYPERLINK(CONCATENATE("#Metadata!", ADDRESS(INDEX($AI$2:$AI$1001,MATCH(ROWS($AG$2:AG816),$AG$2:$AG$1001,0),0), INDEX($AN$1004:$BO$1004,1,MATCH(COLUMNS($AN$1006:AQ1006),$AN$1006:$BO$1006,0)))),"Fix")))</f>
        <v>0</v>
      </c>
      <c r="F816" s="4">
        <f>IF(OR(INDEX($AH$2:$AH$1001,MATCH(ROWS($AG$2:AG816),$AG$2:$AG$1001,0),1)&gt;=100000,INDEX($AN$1005:$BO$1005,1,MATCH(COLUMNS($AN$1006:AR1006),$AN$1006:$BO$1006,0))&gt;=100000), " ",IF(INDEX($AN$2:$BO$1001,MATCH(ROWS($AG$2:AG816),$AG$2:$AG$1001,0),MATCH(COLUMNS($AN$1006:AR1006),$AN$1006:$BO$1006,0)), HYPERLINK("#",""), HYPERLINK(CONCATENATE("#Metadata!", ADDRESS(INDEX($AI$2:$AI$1001,MATCH(ROWS($AG$2:AG816),$AG$2:$AG$1001,0),0), INDEX($AN$1004:$BO$1004,1,MATCH(COLUMNS($AN$1006:AR1006),$AN$1006:$BO$1006,0)))),"Fix")))</f>
        <v>0</v>
      </c>
      <c r="G816" s="4">
        <f>IF(OR(INDEX($AH$2:$AH$1001,MATCH(ROWS($AG$2:AG816),$AG$2:$AG$1001,0),1)&gt;=100000,INDEX($AN$1005:$BO$1005,1,MATCH(COLUMNS($AN$1006:AS1006),$AN$1006:$BO$1006,0))&gt;=100000), " ",IF(INDEX($AN$2:$BO$1001,MATCH(ROWS($AG$2:AG816),$AG$2:$AG$1001,0),MATCH(COLUMNS($AN$1006:AS1006),$AN$1006:$BO$1006,0)), HYPERLINK("#",""), HYPERLINK(CONCATENATE("#Metadata!", ADDRESS(INDEX($AI$2:$AI$1001,MATCH(ROWS($AG$2:AG816),$AG$2:$AG$1001,0),0), INDEX($AN$1004:$BO$1004,1,MATCH(COLUMNS($AN$1006:AS1006),$AN$1006:$BO$1006,0)))),"Fix")))</f>
        <v>0</v>
      </c>
      <c r="H816" s="4">
        <f>IF(OR(INDEX($AH$2:$AH$1001,MATCH(ROWS($AG$2:AG816),$AG$2:$AG$1001,0),1)&gt;=100000,INDEX($AN$1005:$BO$1005,1,MATCH(COLUMNS($AN$1006:AT1006),$AN$1006:$BO$1006,0))&gt;=100000), " ",IF(INDEX($AN$2:$BO$1001,MATCH(ROWS($AG$2:AG816),$AG$2:$AG$1001,0),MATCH(COLUMNS($AN$1006:AT1006),$AN$1006:$BO$1006,0)), HYPERLINK("#",""), HYPERLINK(CONCATENATE("#Metadata!", ADDRESS(INDEX($AI$2:$AI$1001,MATCH(ROWS($AG$2:AG816),$AG$2:$AG$1001,0),0), INDEX($AN$1004:$BO$1004,1,MATCH(COLUMNS($AN$1006:AT1006),$AN$1006:$BO$1006,0)))),"Fix")))</f>
        <v>0</v>
      </c>
      <c r="I816" s="4">
        <f>IF(OR(INDEX($AH$2:$AH$1001,MATCH(ROWS($AG$2:AG816),$AG$2:$AG$1001,0),1)&gt;=100000,INDEX($AN$1005:$BO$1005,1,MATCH(COLUMNS($AN$1006:AU1006),$AN$1006:$BO$1006,0))&gt;=100000), " ",IF(INDEX($AN$2:$BO$1001,MATCH(ROWS($AG$2:AG816),$AG$2:$AG$1001,0),MATCH(COLUMNS($AN$1006:AU1006),$AN$1006:$BO$1006,0)), HYPERLINK("#",""), HYPERLINK(CONCATENATE("#Metadata!", ADDRESS(INDEX($AI$2:$AI$1001,MATCH(ROWS($AG$2:AG816),$AG$2:$AG$1001,0),0), INDEX($AN$1004:$BO$1004,1,MATCH(COLUMNS($AN$1006:AU1006),$AN$1006:$BO$1006,0)))),"Fix")))</f>
        <v>0</v>
      </c>
      <c r="J816" s="4">
        <f>IF(OR(INDEX($AH$2:$AH$1001,MATCH(ROWS($AG$2:AG816),$AG$2:$AG$1001,0),1)&gt;=100000,INDEX($AN$1005:$BO$1005,1,MATCH(COLUMNS($AN$1006:AV1006),$AN$1006:$BO$1006,0))&gt;=100000), " ",IF(INDEX($AN$2:$BO$1001,MATCH(ROWS($AG$2:AG816),$AG$2:$AG$1001,0),MATCH(COLUMNS($AN$1006:AV1006),$AN$1006:$BO$1006,0)), HYPERLINK("#",""), HYPERLINK(CONCATENATE("#Metadata!", ADDRESS(INDEX($AI$2:$AI$1001,MATCH(ROWS($AG$2:AG816),$AG$2:$AG$1001,0),0), INDEX($AN$1004:$BO$1004,1,MATCH(COLUMNS($AN$1006:AV1006),$AN$1006:$BO$1006,0)))),"Fix")))</f>
        <v>0</v>
      </c>
      <c r="K816" s="4">
        <f>IF(OR(INDEX($AH$2:$AH$1001,MATCH(ROWS($AG$2:AG816),$AG$2:$AG$1001,0),1)&gt;=100000,INDEX($AN$1005:$BO$1005,1,MATCH(COLUMNS($AN$1006:AW1006),$AN$1006:$BO$1006,0))&gt;=100000), " ",IF(INDEX($AN$2:$BO$1001,MATCH(ROWS($AG$2:AG816),$AG$2:$AG$1001,0),MATCH(COLUMNS($AN$1006:AW1006),$AN$1006:$BO$1006,0)), HYPERLINK("#",""), HYPERLINK(CONCATENATE("#Metadata!", ADDRESS(INDEX($AI$2:$AI$1001,MATCH(ROWS($AG$2:AG816),$AG$2:$AG$1001,0),0), INDEX($AN$1004:$BO$1004,1,MATCH(COLUMNS($AN$1006:AW1006),$AN$1006:$BO$1006,0)))),"Fix")))</f>
        <v>0</v>
      </c>
      <c r="L816" s="4">
        <f>IF(OR(INDEX($AH$2:$AH$1001,MATCH(ROWS($AG$2:AG816),$AG$2:$AG$1001,0),1)&gt;=100000,INDEX($AN$1005:$BO$1005,1,MATCH(COLUMNS($AN$1006:AX1006),$AN$1006:$BO$1006,0))&gt;=100000), " ",IF(INDEX($AN$2:$BO$1001,MATCH(ROWS($AG$2:AG816),$AG$2:$AG$1001,0),MATCH(COLUMNS($AN$1006:AX1006),$AN$1006:$BO$1006,0)), HYPERLINK("#",""), HYPERLINK(CONCATENATE("#Metadata!", ADDRESS(INDEX($AI$2:$AI$1001,MATCH(ROWS($AG$2:AG816),$AG$2:$AG$1001,0),0), INDEX($AN$1004:$BO$1004,1,MATCH(COLUMNS($AN$1006:AX1006),$AN$1006:$BO$1006,0)))),"Fix")))</f>
        <v>0</v>
      </c>
      <c r="M816" s="4">
        <f>IF(OR(INDEX($AH$2:$AH$1001,MATCH(ROWS($AG$2:AG816),$AG$2:$AG$1001,0),1)&gt;=100000,INDEX($AN$1005:$BO$1005,1,MATCH(COLUMNS($AN$1006:AY1006),$AN$1006:$BO$1006,0))&gt;=100000), " ",IF(INDEX($AN$2:$BO$1001,MATCH(ROWS($AG$2:AG816),$AG$2:$AG$1001,0),MATCH(COLUMNS($AN$1006:AY1006),$AN$1006:$BO$1006,0)), HYPERLINK("#",""), HYPERLINK(CONCATENATE("#Metadata!", ADDRESS(INDEX($AI$2:$AI$1001,MATCH(ROWS($AG$2:AG816),$AG$2:$AG$1001,0),0), INDEX($AN$1004:$BO$1004,1,MATCH(COLUMNS($AN$1006:AY1006),$AN$1006:$BO$1006,0)))),"Fix")))</f>
        <v>0</v>
      </c>
      <c r="N816" s="4">
        <f>IF(OR(INDEX($AH$2:$AH$1001,MATCH(ROWS($AG$2:AG816),$AG$2:$AG$1001,0),1)&gt;=100000,INDEX($AN$1005:$BO$1005,1,MATCH(COLUMNS($AN$1006:AZ1006),$AN$1006:$BO$1006,0))&gt;=100000), " ",IF(INDEX($AN$2:$BO$1001,MATCH(ROWS($AG$2:AG816),$AG$2:$AG$1001,0),MATCH(COLUMNS($AN$1006:AZ1006),$AN$1006:$BO$1006,0)), HYPERLINK("#",""), HYPERLINK(CONCATENATE("#Metadata!", ADDRESS(INDEX($AI$2:$AI$1001,MATCH(ROWS($AG$2:AG816),$AG$2:$AG$1001,0),0), INDEX($AN$1004:$BO$1004,1,MATCH(COLUMNS($AN$1006:AZ1006),$AN$1006:$BO$1006,0)))),"Fix")))</f>
        <v>0</v>
      </c>
      <c r="O816" s="4">
        <f>IF(OR(INDEX($AH$2:$AH$1001,MATCH(ROWS($AG$2:AG816),$AG$2:$AG$1001,0),1)&gt;=100000,INDEX($AN$1005:$BO$1005,1,MATCH(COLUMNS($AN$1006:BA1006),$AN$1006:$BO$1006,0))&gt;=100000), " ",IF(INDEX($AN$2:$BO$1001,MATCH(ROWS($AG$2:AG816),$AG$2:$AG$1001,0),MATCH(COLUMNS($AN$1006:BA1006),$AN$1006:$BO$1006,0)), HYPERLINK("#",""), HYPERLINK(CONCATENATE("#Metadata!", ADDRESS(INDEX($AI$2:$AI$1001,MATCH(ROWS($AG$2:AG816),$AG$2:$AG$1001,0),0), INDEX($AN$1004:$BO$1004,1,MATCH(COLUMNS($AN$1006:BA1006),$AN$1006:$BO$1006,0)))),"Fix")))</f>
        <v>0</v>
      </c>
      <c r="P816" s="4">
        <f>IF(OR(INDEX($AH$2:$AH$1001,MATCH(ROWS($AG$2:AG816),$AG$2:$AG$1001,0),1)&gt;=100000,INDEX($AN$1005:$BO$1005,1,MATCH(COLUMNS($AN$1006:BB1006),$AN$1006:$BO$1006,0))&gt;=100000), " ",IF(INDEX($AN$2:$BO$1001,MATCH(ROWS($AG$2:AG816),$AG$2:$AG$1001,0),MATCH(COLUMNS($AN$1006:BB1006),$AN$1006:$BO$1006,0)), HYPERLINK("#",""), HYPERLINK(CONCATENATE("#Metadata!", ADDRESS(INDEX($AI$2:$AI$1001,MATCH(ROWS($AG$2:AG816),$AG$2:$AG$1001,0),0), INDEX($AN$1004:$BO$1004,1,MATCH(COLUMNS($AN$1006:BB1006),$AN$1006:$BO$1006,0)))),"Fix")))</f>
        <v>0</v>
      </c>
      <c r="Q816" s="4">
        <f>IF(OR(INDEX($AH$2:$AH$1001,MATCH(ROWS($AG$2:AG816),$AG$2:$AG$1001,0),1)&gt;=100000,INDEX($AN$1005:$BO$1005,1,MATCH(COLUMNS($AN$1006:BC1006),$AN$1006:$BO$1006,0))&gt;=100000), " ",IF(INDEX($AN$2:$BO$1001,MATCH(ROWS($AG$2:AG816),$AG$2:$AG$1001,0),MATCH(COLUMNS($AN$1006:BC1006),$AN$1006:$BO$1006,0)), HYPERLINK("#",""), HYPERLINK(CONCATENATE("#Metadata!", ADDRESS(INDEX($AI$2:$AI$1001,MATCH(ROWS($AG$2:AG816),$AG$2:$AG$1001,0),0), INDEX($AN$1004:$BO$1004,1,MATCH(COLUMNS($AN$1006:BC1006),$AN$1006:$BO$1006,0)))),"Fix")))</f>
        <v>0</v>
      </c>
      <c r="R816" s="4">
        <f>IF(OR(INDEX($AH$2:$AH$1001,MATCH(ROWS($AG$2:AG816),$AG$2:$AG$1001,0),1)&gt;=100000,INDEX($AN$1005:$BO$1005,1,MATCH(COLUMNS($AN$1006:BD1006),$AN$1006:$BO$1006,0))&gt;=100000), " ",IF(INDEX($AN$2:$BO$1001,MATCH(ROWS($AG$2:AG816),$AG$2:$AG$1001,0),MATCH(COLUMNS($AN$1006:BD1006),$AN$1006:$BO$1006,0)), HYPERLINK("#",""), HYPERLINK(CONCATENATE("#Metadata!", ADDRESS(INDEX($AI$2:$AI$1001,MATCH(ROWS($AG$2:AG816),$AG$2:$AG$1001,0),0), INDEX($AN$1004:$BO$1004,1,MATCH(COLUMNS($AN$1006:BD1006),$AN$1006:$BO$1006,0)))),"Fix")))</f>
        <v>0</v>
      </c>
      <c r="S816" s="4">
        <f>IF(OR(INDEX($AH$2:$AH$1001,MATCH(ROWS($AG$2:AG816),$AG$2:$AG$1001,0),1)&gt;=100000,INDEX($AN$1005:$BO$1005,1,MATCH(COLUMNS($AN$1006:BE1006),$AN$1006:$BO$1006,0))&gt;=100000), " ",IF(INDEX($AN$2:$BO$1001,MATCH(ROWS($AG$2:AG816),$AG$2:$AG$1001,0),MATCH(COLUMNS($AN$1006:BE1006),$AN$1006:$BO$1006,0)), HYPERLINK("#",""), HYPERLINK(CONCATENATE("#Metadata!", ADDRESS(INDEX($AI$2:$AI$1001,MATCH(ROWS($AG$2:AG816),$AG$2:$AG$1001,0),0), INDEX($AN$1004:$BO$1004,1,MATCH(COLUMNS($AN$1006:BE1006),$AN$1006:$BO$1006,0)))),"Fix")))</f>
        <v>0</v>
      </c>
      <c r="T816" s="4">
        <f>IF(OR(INDEX($AH$2:$AH$1001,MATCH(ROWS($AG$2:AG816),$AG$2:$AG$1001,0),1)&gt;=100000,INDEX($AN$1005:$BO$1005,1,MATCH(COLUMNS($AN$1006:BF1006),$AN$1006:$BO$1006,0))&gt;=100000), " ",IF(INDEX($AN$2:$BO$1001,MATCH(ROWS($AG$2:AG816),$AG$2:$AG$1001,0),MATCH(COLUMNS($AN$1006:BF1006),$AN$1006:$BO$1006,0)), HYPERLINK("#",""), HYPERLINK(CONCATENATE("#Metadata!", ADDRESS(INDEX($AI$2:$AI$1001,MATCH(ROWS($AG$2:AG816),$AG$2:$AG$1001,0),0), INDEX($AN$1004:$BO$1004,1,MATCH(COLUMNS($AN$1006:BF1006),$AN$1006:$BO$1006,0)))),"Fix")))</f>
        <v>0</v>
      </c>
      <c r="U816" s="4">
        <f>IF(OR(INDEX($AH$2:$AH$1001,MATCH(ROWS($AG$2:AG816),$AG$2:$AG$1001,0),1)&gt;=100000,INDEX($AN$1005:$BO$1005,1,MATCH(COLUMNS($AN$1006:BG1006),$AN$1006:$BO$1006,0))&gt;=100000), " ",IF(INDEX($AN$2:$BO$1001,MATCH(ROWS($AG$2:AG816),$AG$2:$AG$1001,0),MATCH(COLUMNS($AN$1006:BG1006),$AN$1006:$BO$1006,0)), HYPERLINK("#",""), HYPERLINK(CONCATENATE("#Metadata!", ADDRESS(INDEX($AI$2:$AI$1001,MATCH(ROWS($AG$2:AG816),$AG$2:$AG$1001,0),0), INDEX($AN$1004:$BO$1004,1,MATCH(COLUMNS($AN$1006:BG1006),$AN$1006:$BO$1006,0)))),"Fix")))</f>
        <v>0</v>
      </c>
      <c r="V816" s="4">
        <f>IF(OR(INDEX($AH$2:$AH$1001,MATCH(ROWS($AG$2:AG816),$AG$2:$AG$1001,0),1)&gt;=100000,INDEX($AN$1005:$BO$1005,1,MATCH(COLUMNS($AN$1006:BH1006),$AN$1006:$BO$1006,0))&gt;=100000), " ",IF(INDEX($AN$2:$BO$1001,MATCH(ROWS($AG$2:AG816),$AG$2:$AG$1001,0),MATCH(COLUMNS($AN$1006:BH1006),$AN$1006:$BO$1006,0)), HYPERLINK("#",""), HYPERLINK(CONCATENATE("#Metadata!", ADDRESS(INDEX($AI$2:$AI$1001,MATCH(ROWS($AG$2:AG816),$AG$2:$AG$1001,0),0), INDEX($AN$1004:$BO$1004,1,MATCH(COLUMNS($AN$1006:BH1006),$AN$1006:$BO$1006,0)))),"Fix")))</f>
        <v>0</v>
      </c>
      <c r="W816" s="4">
        <f>IF(OR(INDEX($AH$2:$AH$1001,MATCH(ROWS($AG$2:AG816),$AG$2:$AG$1001,0),1)&gt;=100000,INDEX($AN$1005:$BO$1005,1,MATCH(COLUMNS($AN$1006:BI1006),$AN$1006:$BO$1006,0))&gt;=100000), " ",IF(INDEX($AN$2:$BO$1001,MATCH(ROWS($AG$2:AG816),$AG$2:$AG$1001,0),MATCH(COLUMNS($AN$1006:BI1006),$AN$1006:$BO$1006,0)), HYPERLINK("#",""), HYPERLINK(CONCATENATE("#Metadata!", ADDRESS(INDEX($AI$2:$AI$1001,MATCH(ROWS($AG$2:AG816),$AG$2:$AG$1001,0),0), INDEX($AN$1004:$BO$1004,1,MATCH(COLUMNS($AN$1006:BI1006),$AN$1006:$BO$1006,0)))),"Fix")))</f>
        <v>0</v>
      </c>
      <c r="X816" s="4">
        <f>IF(OR(INDEX($AH$2:$AH$1001,MATCH(ROWS($AG$2:AG816),$AG$2:$AG$1001,0),1)&gt;=100000,INDEX($AN$1005:$BO$1005,1,MATCH(COLUMNS($AN$1006:BJ1006),$AN$1006:$BO$1006,0))&gt;=100000), " ",IF(INDEX($AN$2:$BO$1001,MATCH(ROWS($AG$2:AG816),$AG$2:$AG$1001,0),MATCH(COLUMNS($AN$1006:BJ1006),$AN$1006:$BO$1006,0)), HYPERLINK("#",""), HYPERLINK(CONCATENATE("#Metadata!", ADDRESS(INDEX($AI$2:$AI$1001,MATCH(ROWS($AG$2:AG816),$AG$2:$AG$1001,0),0), INDEX($AN$1004:$BO$1004,1,MATCH(COLUMNS($AN$1006:BJ1006),$AN$1006:$BO$1006,0)))),"Fix")))</f>
        <v>0</v>
      </c>
      <c r="Y816" s="4">
        <f>IF(OR(INDEX($AH$2:$AH$1001,MATCH(ROWS($AG$2:AG816),$AG$2:$AG$1001,0),1)&gt;=100000,INDEX($AN$1005:$BO$1005,1,MATCH(COLUMNS($AN$1006:BK1006),$AN$1006:$BO$1006,0))&gt;=100000), " ",IF(INDEX($AN$2:$BO$1001,MATCH(ROWS($AG$2:AG816),$AG$2:$AG$1001,0),MATCH(COLUMNS($AN$1006:BK1006),$AN$1006:$BO$1006,0)), HYPERLINK("#",""), HYPERLINK(CONCATENATE("#Metadata!", ADDRESS(INDEX($AI$2:$AI$1001,MATCH(ROWS($AG$2:AG816),$AG$2:$AG$1001,0),0), INDEX($AN$1004:$BO$1004,1,MATCH(COLUMNS($AN$1006:BK1006),$AN$1006:$BO$1006,0)))),"Fix")))</f>
        <v>0</v>
      </c>
      <c r="Z816" s="4">
        <f>IF(OR(INDEX($AH$2:$AH$1001,MATCH(ROWS($AG$2:AG816),$AG$2:$AG$1001,0),1)&gt;=100000,INDEX($AN$1005:$BO$1005,1,MATCH(COLUMNS($AN$1006:BL1006),$AN$1006:$BO$1006,0))&gt;=100000), " ",IF(INDEX($AN$2:$BO$1001,MATCH(ROWS($AG$2:AG816),$AG$2:$AG$1001,0),MATCH(COLUMNS($AN$1006:BL1006),$AN$1006:$BO$1006,0)), HYPERLINK("#",""), HYPERLINK(CONCATENATE("#Metadata!", ADDRESS(INDEX($AI$2:$AI$1001,MATCH(ROWS($AG$2:AG816),$AG$2:$AG$1001,0),0), INDEX($AN$1004:$BO$1004,1,MATCH(COLUMNS($AN$1006:BL1006),$AN$1006:$BO$1006,0)))),"Fix")))</f>
        <v>0</v>
      </c>
      <c r="AA816" s="4">
        <f>IF(OR(INDEX($AH$2:$AH$1001,MATCH(ROWS($AG$2:AG816),$AG$2:$AG$1001,0),1)&gt;=100000,INDEX($AN$1005:$BO$1005,1,MATCH(COLUMNS($AN$1006:BM1006),$AN$1006:$BO$1006,0))&gt;=100000), " ",IF(INDEX($AN$2:$BO$1001,MATCH(ROWS($AG$2:AG816),$AG$2:$AG$1001,0),MATCH(COLUMNS($AN$1006:BM1006),$AN$1006:$BO$1006,0)), HYPERLINK("#",""), HYPERLINK(CONCATENATE("#Metadata!", ADDRESS(INDEX($AI$2:$AI$1001,MATCH(ROWS($AG$2:AG816),$AG$2:$AG$1001,0),0), INDEX($AN$1004:$BO$1004,1,MATCH(COLUMNS($AN$1006:BM1006),$AN$1006:$BO$1006,0)))),"Fix")))</f>
        <v>0</v>
      </c>
      <c r="AB816" s="4">
        <f>IF(OR(INDEX($AH$2:$AH$1001,MATCH(ROWS($AG$2:AG816),$AG$2:$AG$1001,0),1)&gt;=100000,INDEX($AN$1005:$BO$1005,1,MATCH(COLUMNS($AN$1006:BN1006),$AN$1006:$BO$1006,0))&gt;=100000), " ",IF(INDEX($AN$2:$BO$1001,MATCH(ROWS($AG$2:AG816),$AG$2:$AG$1001,0),MATCH(COLUMNS($AN$1006:BN1006),$AN$1006:$BO$1006,0)), HYPERLINK("#",""), HYPERLINK(CONCATENATE("#Metadata!", ADDRESS(INDEX($AI$2:$AI$1001,MATCH(ROWS($AG$2:AG816),$AG$2:$AG$1001,0),0), INDEX($AN$1004:$BO$1004,1,MATCH(COLUMNS($AN$1006:BN1006),$AN$1006:$BO$1006,0)))),"Fix")))</f>
        <v>0</v>
      </c>
      <c r="AC816" s="4">
        <f>IF(OR(INDEX($AH$2:$AH$1001,MATCH(ROWS($AG$2:AG816),$AG$2:$AG$1001,0),1)&gt;=100000,INDEX($AN$1005:$BO$1005,1,MATCH(COLUMNS($AN$1006:BO1006),$AN$1006:$BO$1006,0))&gt;=100000), " ",IF(INDEX($AN$2:$BO$1001,MATCH(ROWS($AG$2:AG816),$AG$2:$AG$1001,0),MATCH(COLUMNS($AN$1006:BO1006),$AN$1006:$BO$1006,0)), HYPERLINK("#",""), HYPERLINK(CONCATENATE("#Metadata!", ADDRESS(INDEX($AI$2:$AI$1001,MATCH(ROWS($AG$2:AG816),$AG$2:$AG$1001,0),0), INDEX($AN$1004:$BO$1004,1,MATCH(COLUMNS($AN$1006:BO1006),$AN$1006:$BO$1006,0)))),"Fix")))</f>
        <v>0</v>
      </c>
      <c r="AG816">
        <v>0</v>
      </c>
      <c r="AH816">
        <v>0</v>
      </c>
      <c r="AI816">
        <v>0</v>
      </c>
      <c r="AJ816">
        <f>IF(AK816,TRUE,AND(AN816:BO816))</f>
        <v>0</v>
      </c>
      <c r="AK816">
        <f>COUNTBLANK(Metadata!B816:AC816)=COLUMNS(Metadata!B816:AC816)</f>
        <v>0</v>
      </c>
      <c r="AL816">
        <v>0</v>
      </c>
      <c r="AN816">
        <f>AND(IF(Metadata!B816="",FALSE,TRUE),COUNTIF(Metadata!B:B, Metadata!B816) = 1,NOT(ISERROR(SUMPRODUCT(SEARCH(MID(Metadata!B816,ROW(INDIRECT("1:"&amp;LEN(Metadata!B816))), 1),"0123456789abcdefghijklmnopqrstuvwxyzABCDEFGHIJKLMNOPQRSTUVWXYZ.")))))</f>
        <v>0</v>
      </c>
      <c r="AO816">
        <f>IF(Metadata!C816="",FALSE,TRUE)</f>
        <v>0</v>
      </c>
      <c r="AP816">
        <f>IF(Metadata!D816="",FALSE,TRUE)</f>
        <v>0</v>
      </c>
      <c r="AQ816">
        <f>OR(AND(IF(Metadata!E816="",FALSE,TRUE),OR(exact(Metadata!E816,"not collected"),exact(Metadata!E816,"not provided"),exact(Metadata!E816,"restricted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R816">
        <f>IF(Metadata!F816="",FALSE,TRUE)</f>
        <v>0</v>
      </c>
      <c r="AS816">
        <f>OR(AND(IF(Metadata!G816="",FALSE,TRUE),OR(exact(Metadata!G816,"not collected"),exact(Metadata!G816,"not provided"))),AND(IF(Metadata!G816="",FALSE,TRUE),OR(exact(Metadata!G816,"TRUE"),exact(Metadata!G816,"FALSE"))))</f>
        <v>0</v>
      </c>
      <c r="AT816">
        <f>OR(AND(IF(Metadata!H816="",FALSE,TRUE),OR(exact(Metadata!H816,"not collected"),exact(Metadata!H816,"not provided"),exact(Metadata!H816,"restricted access"))),AND(IF(Metadata!H816="",FALSE,ISNUMBER(VALUE(Metadata!H816))),Metadata!H816&gt;=-413.0))</f>
        <v>0</v>
      </c>
      <c r="AU816">
        <f>AND(IF(Metadata!I816="",FALSE,TRUE),exact(Metadata!I816,"meters"))</f>
        <v>0</v>
      </c>
      <c r="AV816">
        <f>AND(IF(Metadata!J816="",FALSE,TRUE),OR(exact(Metadata!J816,"Host-associated"),exact(Metadata!J816,"Free-living")))</f>
        <v>0</v>
      </c>
      <c r="AW816">
        <f>AND(IF(Metadata!K816="",FALSE,TRUE),OR(exact(Metadata!K816,"Animal"),exact(Metadata!K816,"Fungus"),exact(Metadata!K816,"Plant"),exact(Metadata!K816,"Saline"),exact(Metadata!K816,"Non-saline")))</f>
        <v>0</v>
      </c>
      <c r="AX816">
        <f>AND(IF(Metadata!L816="",FALSE,TRUE),OR(exact(Metadata!L816,"Plant secretion"),exact(Metadata!L816,"Plant rhizosphere"),exact(Metadata!L816,"Plant surface"),exact(Metadata!L816,"Plant corpus"),exact(Metadata!L816,"Fungus surface"),exact(Metadata!L816,"Fungus corpus"),exact(Metadata!L816,"Animal surface"),exact(Metadata!L816,"Animal proximal gut"),exact(Metadata!L816,"Animal corpus"),exact(Metadata!L816,"Animal distal gut"),exact(Metadata!L816,"Animal secretion"),exact(Metadata!L816,"Sub-surface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Y816">
        <f>IF(Metadata!M816="",FALSE,TRUE)</f>
        <v>0</v>
      </c>
      <c r="AZ816">
        <f>IF(Metadata!N816="",FALSE,TRUE)</f>
        <v>0</v>
      </c>
      <c r="BA816">
        <f>IF(Metadata!O816="",FALSE,TRUE)</f>
        <v>0</v>
      </c>
      <c r="BB816">
        <f>OR(AND(IF(Metadata!P816="",FALSE,TRUE),OR(exact(Metadata!P816,"not collected"),exact(Metadata!P816,"not provided"),exact(Metadata!P816,"restricted access"))),AND(IF(Metadata!P816="",FALSE,TRUE),OR(exact(Metadata!P816,"air"),exact(Metadata!P816,"built environment"),exact(Metadata!P816,"host-associated"),exact(Metadata!P816,"human-associated"),exact(Metadata!P816,"human-skin"),exact(Metadata!P816,"human-oral"),exact(Metadata!P816,"human-gut"),exact(Metadata!P816,"human-vaginal"),exact(Metadata!P816,"microbial mat/biofilm"),exact(Metadata!P816,"misc environment"),exact(Metadata!P816,"plant-associated"),exact(Metadata!P816,"sediment"),exact(Metadata!P816,"soil"),exact(Metadata!P816,"wastewater/sludge"),exact(Metadata!P816,"water"))))</f>
        <v>0</v>
      </c>
      <c r="BC816">
        <f>IF(Metadata!Q816="",FALSE,TRUE)</f>
        <v>0</v>
      </c>
      <c r="BD816">
        <f>IF(Metadata!R816="",FALSE,TRUE)</f>
        <v>0</v>
      </c>
      <c r="BE816">
        <f>OR(AND(IF(Metadata!S816="",FALSE,TRUE),OR(exact(Metadata!S816,"not collected"),exact(Metadata!S816,"not provided"),exact(Metadata!S816,"restricted access"))),AND(IF(Metadata!S816="",FALSE,ISNUMBER(VALUE(Metadata!S816))),Metadata!S816&gt;=-90.00,Metadata!S816&lt;=90.00))</f>
        <v>0</v>
      </c>
      <c r="BF816">
        <f>AND(IF(Metadata!T816="",FALSE,TRUE),exact(Metadata!T816,"Decimal degrees"))</f>
        <v>0</v>
      </c>
      <c r="BG816">
        <f>OR(AND(IF(Metadata!U816="",FALSE,TRUE),OR(exact(Metadata!U816,"not collected"),exact(Metadata!U816,"not provided"),exact(Metadata!U816,"restricted access"))),AND(IF(Metadata!U816="",FALSE,ISNUMBER(VALUE(Metadata!U816))),Metadata!U816&gt;=-180.00,Metadata!U816&lt;=180.00))</f>
        <v>0</v>
      </c>
      <c r="BH816">
        <f>AND(IF(Metadata!V816="",FALSE,TRUE),exact(Metadata!V816,"Decimal degrees"))</f>
        <v>0</v>
      </c>
      <c r="BI816">
        <f>IF(Metadata!W816="",FALSE,TRUE)</f>
        <v>0</v>
      </c>
      <c r="BJ816">
        <f>OR(AND(IF(Metadata!X816="",FALSE,TRUE),OR(exact(Metadata!X816,"not collected"),exact(Metadata!X816,"not provided"),exact(Metadata!X816,"restricted access"))),AND(IF(Metadata!X816="",FALSE,TRUE),OR(exact(Metadata!X816,"TRUE"),exact(Metadata!X816,"FALSE"))))</f>
        <v>0</v>
      </c>
      <c r="BK816">
        <f>AND(IF(Metadata!Y816="",FALSE,TRUE),exact(Metadata!Y816,"other"))</f>
        <v>0</v>
      </c>
      <c r="BL816">
        <f>IF(Metadata!Z816="",FALSE,TRUE)</f>
        <v>0</v>
      </c>
      <c r="BM816">
        <f>OR(AND(IF(Metadata!AA816="",FALSE,TRUE),OR(exact(Metadata!AA816,"not collected"),exact(Metadata!AA816,"not provided"))),AND(IF(Metadata!AA816="",FALSE,IF(ISERROR(INT(Metadata!AA816)),FALSE,INT(Metadata!AA816)=Metadata!AA816)),Metadata!AA816&gt;0))</f>
        <v>0</v>
      </c>
      <c r="BN816">
        <f>AND(IF(Metadata!AB816="",FALSE,TRUE),exact(Metadata!AB816,"Not applicable"))</f>
        <v>0</v>
      </c>
      <c r="BO816">
        <f>IF(Metadata!AC816="",FALSE,TRUE)</f>
        <v>0</v>
      </c>
    </row>
    <row r="817" spans="1:67">
      <c r="A817" s="5">
        <f>IF(B817=" "," ",HYPERLINK(CONCATENATE("#metadata!",ADDRESS(INDEX($AI$2:$AI$1001,MATCH(ROWS($AG$2:AG817),$AG$2:$AG$1001,0),0),1)),INDEX($AL$2:$AL$1001,MATCH(ROWS($AG$2:AG817),$AG$2:$AG$1001,0),0)))</f>
        <v>0</v>
      </c>
      <c r="B817" s="4">
        <f>IF(OR(INDEX($AH$2:$AH$1001,MATCH(ROWS($AG$2:AG817),$AG$2:$AG$1001,0),1)&gt;=100000,INDEX($AN$1005:$BO$1005,1,MATCH(COLUMNS($AN$1006:AN1006),$AN$1006:$BO$1006,0))&gt;=100000), " ",IF(INDEX($AN$2:$BO$1001,MATCH(ROWS($AG$2:AG817),$AG$2:$AG$1001,0),MATCH(COLUMNS($AN$1006:AN1006),$AN$1006:$BO$1006,0)), HYPERLINK("#",""), HYPERLINK(CONCATENATE("#Metadata!", ADDRESS(INDEX($AI$2:$AI$1001,MATCH(ROWS($AG$2:AG817),$AG$2:$AG$1001,0),0), INDEX($AN$1004:$BO$1004,1,MATCH(COLUMNS($AN$1006:AN1006),$AN$1006:$BO$1006,0)))),"Fix")))</f>
        <v>0</v>
      </c>
      <c r="C817" s="4">
        <f>IF(OR(INDEX($AH$2:$AH$1001,MATCH(ROWS($AG$2:AG817),$AG$2:$AG$1001,0),1)&gt;=100000,INDEX($AN$1005:$BO$1005,1,MATCH(COLUMNS($AN$1006:AO1006),$AN$1006:$BO$1006,0))&gt;=100000), " ",IF(INDEX($AN$2:$BO$1001,MATCH(ROWS($AG$2:AG817),$AG$2:$AG$1001,0),MATCH(COLUMNS($AN$1006:AO1006),$AN$1006:$BO$1006,0)), HYPERLINK("#",""), HYPERLINK(CONCATENATE("#Metadata!", ADDRESS(INDEX($AI$2:$AI$1001,MATCH(ROWS($AG$2:AG817),$AG$2:$AG$1001,0),0), INDEX($AN$1004:$BO$1004,1,MATCH(COLUMNS($AN$1006:AO1006),$AN$1006:$BO$1006,0)))),"Fix")))</f>
        <v>0</v>
      </c>
      <c r="D817" s="4">
        <f>IF(OR(INDEX($AH$2:$AH$1001,MATCH(ROWS($AG$2:AG817),$AG$2:$AG$1001,0),1)&gt;=100000,INDEX($AN$1005:$BO$1005,1,MATCH(COLUMNS($AN$1006:AP1006),$AN$1006:$BO$1006,0))&gt;=100000), " ",IF(INDEX($AN$2:$BO$1001,MATCH(ROWS($AG$2:AG817),$AG$2:$AG$1001,0),MATCH(COLUMNS($AN$1006:AP1006),$AN$1006:$BO$1006,0)), HYPERLINK("#",""), HYPERLINK(CONCATENATE("#Metadata!", ADDRESS(INDEX($AI$2:$AI$1001,MATCH(ROWS($AG$2:AG817),$AG$2:$AG$1001,0),0), INDEX($AN$1004:$BO$1004,1,MATCH(COLUMNS($AN$1006:AP1006),$AN$1006:$BO$1006,0)))),"Fix")))</f>
        <v>0</v>
      </c>
      <c r="E817" s="4">
        <f>IF(OR(INDEX($AH$2:$AH$1001,MATCH(ROWS($AG$2:AG817),$AG$2:$AG$1001,0),1)&gt;=100000,INDEX($AN$1005:$BO$1005,1,MATCH(COLUMNS($AN$1006:AQ1006),$AN$1006:$BO$1006,0))&gt;=100000), " ",IF(INDEX($AN$2:$BO$1001,MATCH(ROWS($AG$2:AG817),$AG$2:$AG$1001,0),MATCH(COLUMNS($AN$1006:AQ1006),$AN$1006:$BO$1006,0)), HYPERLINK("#",""), HYPERLINK(CONCATENATE("#Metadata!", ADDRESS(INDEX($AI$2:$AI$1001,MATCH(ROWS($AG$2:AG817),$AG$2:$AG$1001,0),0), INDEX($AN$1004:$BO$1004,1,MATCH(COLUMNS($AN$1006:AQ1006),$AN$1006:$BO$1006,0)))),"Fix")))</f>
        <v>0</v>
      </c>
      <c r="F817" s="4">
        <f>IF(OR(INDEX($AH$2:$AH$1001,MATCH(ROWS($AG$2:AG817),$AG$2:$AG$1001,0),1)&gt;=100000,INDEX($AN$1005:$BO$1005,1,MATCH(COLUMNS($AN$1006:AR1006),$AN$1006:$BO$1006,0))&gt;=100000), " ",IF(INDEX($AN$2:$BO$1001,MATCH(ROWS($AG$2:AG817),$AG$2:$AG$1001,0),MATCH(COLUMNS($AN$1006:AR1006),$AN$1006:$BO$1006,0)), HYPERLINK("#",""), HYPERLINK(CONCATENATE("#Metadata!", ADDRESS(INDEX($AI$2:$AI$1001,MATCH(ROWS($AG$2:AG817),$AG$2:$AG$1001,0),0), INDEX($AN$1004:$BO$1004,1,MATCH(COLUMNS($AN$1006:AR1006),$AN$1006:$BO$1006,0)))),"Fix")))</f>
        <v>0</v>
      </c>
      <c r="G817" s="4">
        <f>IF(OR(INDEX($AH$2:$AH$1001,MATCH(ROWS($AG$2:AG817),$AG$2:$AG$1001,0),1)&gt;=100000,INDEX($AN$1005:$BO$1005,1,MATCH(COLUMNS($AN$1006:AS1006),$AN$1006:$BO$1006,0))&gt;=100000), " ",IF(INDEX($AN$2:$BO$1001,MATCH(ROWS($AG$2:AG817),$AG$2:$AG$1001,0),MATCH(COLUMNS($AN$1006:AS1006),$AN$1006:$BO$1006,0)), HYPERLINK("#",""), HYPERLINK(CONCATENATE("#Metadata!", ADDRESS(INDEX($AI$2:$AI$1001,MATCH(ROWS($AG$2:AG817),$AG$2:$AG$1001,0),0), INDEX($AN$1004:$BO$1004,1,MATCH(COLUMNS($AN$1006:AS1006),$AN$1006:$BO$1006,0)))),"Fix")))</f>
        <v>0</v>
      </c>
      <c r="H817" s="4">
        <f>IF(OR(INDEX($AH$2:$AH$1001,MATCH(ROWS($AG$2:AG817),$AG$2:$AG$1001,0),1)&gt;=100000,INDEX($AN$1005:$BO$1005,1,MATCH(COLUMNS($AN$1006:AT1006),$AN$1006:$BO$1006,0))&gt;=100000), " ",IF(INDEX($AN$2:$BO$1001,MATCH(ROWS($AG$2:AG817),$AG$2:$AG$1001,0),MATCH(COLUMNS($AN$1006:AT1006),$AN$1006:$BO$1006,0)), HYPERLINK("#",""), HYPERLINK(CONCATENATE("#Metadata!", ADDRESS(INDEX($AI$2:$AI$1001,MATCH(ROWS($AG$2:AG817),$AG$2:$AG$1001,0),0), INDEX($AN$1004:$BO$1004,1,MATCH(COLUMNS($AN$1006:AT1006),$AN$1006:$BO$1006,0)))),"Fix")))</f>
        <v>0</v>
      </c>
      <c r="I817" s="4">
        <f>IF(OR(INDEX($AH$2:$AH$1001,MATCH(ROWS($AG$2:AG817),$AG$2:$AG$1001,0),1)&gt;=100000,INDEX($AN$1005:$BO$1005,1,MATCH(COLUMNS($AN$1006:AU1006),$AN$1006:$BO$1006,0))&gt;=100000), " ",IF(INDEX($AN$2:$BO$1001,MATCH(ROWS($AG$2:AG817),$AG$2:$AG$1001,0),MATCH(COLUMNS($AN$1006:AU1006),$AN$1006:$BO$1006,0)), HYPERLINK("#",""), HYPERLINK(CONCATENATE("#Metadata!", ADDRESS(INDEX($AI$2:$AI$1001,MATCH(ROWS($AG$2:AG817),$AG$2:$AG$1001,0),0), INDEX($AN$1004:$BO$1004,1,MATCH(COLUMNS($AN$1006:AU1006),$AN$1006:$BO$1006,0)))),"Fix")))</f>
        <v>0</v>
      </c>
      <c r="J817" s="4">
        <f>IF(OR(INDEX($AH$2:$AH$1001,MATCH(ROWS($AG$2:AG817),$AG$2:$AG$1001,0),1)&gt;=100000,INDEX($AN$1005:$BO$1005,1,MATCH(COLUMNS($AN$1006:AV1006),$AN$1006:$BO$1006,0))&gt;=100000), " ",IF(INDEX($AN$2:$BO$1001,MATCH(ROWS($AG$2:AG817),$AG$2:$AG$1001,0),MATCH(COLUMNS($AN$1006:AV1006),$AN$1006:$BO$1006,0)), HYPERLINK("#",""), HYPERLINK(CONCATENATE("#Metadata!", ADDRESS(INDEX($AI$2:$AI$1001,MATCH(ROWS($AG$2:AG817),$AG$2:$AG$1001,0),0), INDEX($AN$1004:$BO$1004,1,MATCH(COLUMNS($AN$1006:AV1006),$AN$1006:$BO$1006,0)))),"Fix")))</f>
        <v>0</v>
      </c>
      <c r="K817" s="4">
        <f>IF(OR(INDEX($AH$2:$AH$1001,MATCH(ROWS($AG$2:AG817),$AG$2:$AG$1001,0),1)&gt;=100000,INDEX($AN$1005:$BO$1005,1,MATCH(COLUMNS($AN$1006:AW1006),$AN$1006:$BO$1006,0))&gt;=100000), " ",IF(INDEX($AN$2:$BO$1001,MATCH(ROWS($AG$2:AG817),$AG$2:$AG$1001,0),MATCH(COLUMNS($AN$1006:AW1006),$AN$1006:$BO$1006,0)), HYPERLINK("#",""), HYPERLINK(CONCATENATE("#Metadata!", ADDRESS(INDEX($AI$2:$AI$1001,MATCH(ROWS($AG$2:AG817),$AG$2:$AG$1001,0),0), INDEX($AN$1004:$BO$1004,1,MATCH(COLUMNS($AN$1006:AW1006),$AN$1006:$BO$1006,0)))),"Fix")))</f>
        <v>0</v>
      </c>
      <c r="L817" s="4">
        <f>IF(OR(INDEX($AH$2:$AH$1001,MATCH(ROWS($AG$2:AG817),$AG$2:$AG$1001,0),1)&gt;=100000,INDEX($AN$1005:$BO$1005,1,MATCH(COLUMNS($AN$1006:AX1006),$AN$1006:$BO$1006,0))&gt;=100000), " ",IF(INDEX($AN$2:$BO$1001,MATCH(ROWS($AG$2:AG817),$AG$2:$AG$1001,0),MATCH(COLUMNS($AN$1006:AX1006),$AN$1006:$BO$1006,0)), HYPERLINK("#",""), HYPERLINK(CONCATENATE("#Metadata!", ADDRESS(INDEX($AI$2:$AI$1001,MATCH(ROWS($AG$2:AG817),$AG$2:$AG$1001,0),0), INDEX($AN$1004:$BO$1004,1,MATCH(COLUMNS($AN$1006:AX1006),$AN$1006:$BO$1006,0)))),"Fix")))</f>
        <v>0</v>
      </c>
      <c r="M817" s="4">
        <f>IF(OR(INDEX($AH$2:$AH$1001,MATCH(ROWS($AG$2:AG817),$AG$2:$AG$1001,0),1)&gt;=100000,INDEX($AN$1005:$BO$1005,1,MATCH(COLUMNS($AN$1006:AY1006),$AN$1006:$BO$1006,0))&gt;=100000), " ",IF(INDEX($AN$2:$BO$1001,MATCH(ROWS($AG$2:AG817),$AG$2:$AG$1001,0),MATCH(COLUMNS($AN$1006:AY1006),$AN$1006:$BO$1006,0)), HYPERLINK("#",""), HYPERLINK(CONCATENATE("#Metadata!", ADDRESS(INDEX($AI$2:$AI$1001,MATCH(ROWS($AG$2:AG817),$AG$2:$AG$1001,0),0), INDEX($AN$1004:$BO$1004,1,MATCH(COLUMNS($AN$1006:AY1006),$AN$1006:$BO$1006,0)))),"Fix")))</f>
        <v>0</v>
      </c>
      <c r="N817" s="4">
        <f>IF(OR(INDEX($AH$2:$AH$1001,MATCH(ROWS($AG$2:AG817),$AG$2:$AG$1001,0),1)&gt;=100000,INDEX($AN$1005:$BO$1005,1,MATCH(COLUMNS($AN$1006:AZ1006),$AN$1006:$BO$1006,0))&gt;=100000), " ",IF(INDEX($AN$2:$BO$1001,MATCH(ROWS($AG$2:AG817),$AG$2:$AG$1001,0),MATCH(COLUMNS($AN$1006:AZ1006),$AN$1006:$BO$1006,0)), HYPERLINK("#",""), HYPERLINK(CONCATENATE("#Metadata!", ADDRESS(INDEX($AI$2:$AI$1001,MATCH(ROWS($AG$2:AG817),$AG$2:$AG$1001,0),0), INDEX($AN$1004:$BO$1004,1,MATCH(COLUMNS($AN$1006:AZ1006),$AN$1006:$BO$1006,0)))),"Fix")))</f>
        <v>0</v>
      </c>
      <c r="O817" s="4">
        <f>IF(OR(INDEX($AH$2:$AH$1001,MATCH(ROWS($AG$2:AG817),$AG$2:$AG$1001,0),1)&gt;=100000,INDEX($AN$1005:$BO$1005,1,MATCH(COLUMNS($AN$1006:BA1006),$AN$1006:$BO$1006,0))&gt;=100000), " ",IF(INDEX($AN$2:$BO$1001,MATCH(ROWS($AG$2:AG817),$AG$2:$AG$1001,0),MATCH(COLUMNS($AN$1006:BA1006),$AN$1006:$BO$1006,0)), HYPERLINK("#",""), HYPERLINK(CONCATENATE("#Metadata!", ADDRESS(INDEX($AI$2:$AI$1001,MATCH(ROWS($AG$2:AG817),$AG$2:$AG$1001,0),0), INDEX($AN$1004:$BO$1004,1,MATCH(COLUMNS($AN$1006:BA1006),$AN$1006:$BO$1006,0)))),"Fix")))</f>
        <v>0</v>
      </c>
      <c r="P817" s="4">
        <f>IF(OR(INDEX($AH$2:$AH$1001,MATCH(ROWS($AG$2:AG817),$AG$2:$AG$1001,0),1)&gt;=100000,INDEX($AN$1005:$BO$1005,1,MATCH(COLUMNS($AN$1006:BB1006),$AN$1006:$BO$1006,0))&gt;=100000), " ",IF(INDEX($AN$2:$BO$1001,MATCH(ROWS($AG$2:AG817),$AG$2:$AG$1001,0),MATCH(COLUMNS($AN$1006:BB1006),$AN$1006:$BO$1006,0)), HYPERLINK("#",""), HYPERLINK(CONCATENATE("#Metadata!", ADDRESS(INDEX($AI$2:$AI$1001,MATCH(ROWS($AG$2:AG817),$AG$2:$AG$1001,0),0), INDEX($AN$1004:$BO$1004,1,MATCH(COLUMNS($AN$1006:BB1006),$AN$1006:$BO$1006,0)))),"Fix")))</f>
        <v>0</v>
      </c>
      <c r="Q817" s="4">
        <f>IF(OR(INDEX($AH$2:$AH$1001,MATCH(ROWS($AG$2:AG817),$AG$2:$AG$1001,0),1)&gt;=100000,INDEX($AN$1005:$BO$1005,1,MATCH(COLUMNS($AN$1006:BC1006),$AN$1006:$BO$1006,0))&gt;=100000), " ",IF(INDEX($AN$2:$BO$1001,MATCH(ROWS($AG$2:AG817),$AG$2:$AG$1001,0),MATCH(COLUMNS($AN$1006:BC1006),$AN$1006:$BO$1006,0)), HYPERLINK("#",""), HYPERLINK(CONCATENATE("#Metadata!", ADDRESS(INDEX($AI$2:$AI$1001,MATCH(ROWS($AG$2:AG817),$AG$2:$AG$1001,0),0), INDEX($AN$1004:$BO$1004,1,MATCH(COLUMNS($AN$1006:BC1006),$AN$1006:$BO$1006,0)))),"Fix")))</f>
        <v>0</v>
      </c>
      <c r="R817" s="4">
        <f>IF(OR(INDEX($AH$2:$AH$1001,MATCH(ROWS($AG$2:AG817),$AG$2:$AG$1001,0),1)&gt;=100000,INDEX($AN$1005:$BO$1005,1,MATCH(COLUMNS($AN$1006:BD1006),$AN$1006:$BO$1006,0))&gt;=100000), " ",IF(INDEX($AN$2:$BO$1001,MATCH(ROWS($AG$2:AG817),$AG$2:$AG$1001,0),MATCH(COLUMNS($AN$1006:BD1006),$AN$1006:$BO$1006,0)), HYPERLINK("#",""), HYPERLINK(CONCATENATE("#Metadata!", ADDRESS(INDEX($AI$2:$AI$1001,MATCH(ROWS($AG$2:AG817),$AG$2:$AG$1001,0),0), INDEX($AN$1004:$BO$1004,1,MATCH(COLUMNS($AN$1006:BD1006),$AN$1006:$BO$1006,0)))),"Fix")))</f>
        <v>0</v>
      </c>
      <c r="S817" s="4">
        <f>IF(OR(INDEX($AH$2:$AH$1001,MATCH(ROWS($AG$2:AG817),$AG$2:$AG$1001,0),1)&gt;=100000,INDEX($AN$1005:$BO$1005,1,MATCH(COLUMNS($AN$1006:BE1006),$AN$1006:$BO$1006,0))&gt;=100000), " ",IF(INDEX($AN$2:$BO$1001,MATCH(ROWS($AG$2:AG817),$AG$2:$AG$1001,0),MATCH(COLUMNS($AN$1006:BE1006),$AN$1006:$BO$1006,0)), HYPERLINK("#",""), HYPERLINK(CONCATENATE("#Metadata!", ADDRESS(INDEX($AI$2:$AI$1001,MATCH(ROWS($AG$2:AG817),$AG$2:$AG$1001,0),0), INDEX($AN$1004:$BO$1004,1,MATCH(COLUMNS($AN$1006:BE1006),$AN$1006:$BO$1006,0)))),"Fix")))</f>
        <v>0</v>
      </c>
      <c r="T817" s="4">
        <f>IF(OR(INDEX($AH$2:$AH$1001,MATCH(ROWS($AG$2:AG817),$AG$2:$AG$1001,0),1)&gt;=100000,INDEX($AN$1005:$BO$1005,1,MATCH(COLUMNS($AN$1006:BF1006),$AN$1006:$BO$1006,0))&gt;=100000), " ",IF(INDEX($AN$2:$BO$1001,MATCH(ROWS($AG$2:AG817),$AG$2:$AG$1001,0),MATCH(COLUMNS($AN$1006:BF1006),$AN$1006:$BO$1006,0)), HYPERLINK("#",""), HYPERLINK(CONCATENATE("#Metadata!", ADDRESS(INDEX($AI$2:$AI$1001,MATCH(ROWS($AG$2:AG817),$AG$2:$AG$1001,0),0), INDEX($AN$1004:$BO$1004,1,MATCH(COLUMNS($AN$1006:BF1006),$AN$1006:$BO$1006,0)))),"Fix")))</f>
        <v>0</v>
      </c>
      <c r="U817" s="4">
        <f>IF(OR(INDEX($AH$2:$AH$1001,MATCH(ROWS($AG$2:AG817),$AG$2:$AG$1001,0),1)&gt;=100000,INDEX($AN$1005:$BO$1005,1,MATCH(COLUMNS($AN$1006:BG1006),$AN$1006:$BO$1006,0))&gt;=100000), " ",IF(INDEX($AN$2:$BO$1001,MATCH(ROWS($AG$2:AG817),$AG$2:$AG$1001,0),MATCH(COLUMNS($AN$1006:BG1006),$AN$1006:$BO$1006,0)), HYPERLINK("#",""), HYPERLINK(CONCATENATE("#Metadata!", ADDRESS(INDEX($AI$2:$AI$1001,MATCH(ROWS($AG$2:AG817),$AG$2:$AG$1001,0),0), INDEX($AN$1004:$BO$1004,1,MATCH(COLUMNS($AN$1006:BG1006),$AN$1006:$BO$1006,0)))),"Fix")))</f>
        <v>0</v>
      </c>
      <c r="V817" s="4">
        <f>IF(OR(INDEX($AH$2:$AH$1001,MATCH(ROWS($AG$2:AG817),$AG$2:$AG$1001,0),1)&gt;=100000,INDEX($AN$1005:$BO$1005,1,MATCH(COLUMNS($AN$1006:BH1006),$AN$1006:$BO$1006,0))&gt;=100000), " ",IF(INDEX($AN$2:$BO$1001,MATCH(ROWS($AG$2:AG817),$AG$2:$AG$1001,0),MATCH(COLUMNS($AN$1006:BH1006),$AN$1006:$BO$1006,0)), HYPERLINK("#",""), HYPERLINK(CONCATENATE("#Metadata!", ADDRESS(INDEX($AI$2:$AI$1001,MATCH(ROWS($AG$2:AG817),$AG$2:$AG$1001,0),0), INDEX($AN$1004:$BO$1004,1,MATCH(COLUMNS($AN$1006:BH1006),$AN$1006:$BO$1006,0)))),"Fix")))</f>
        <v>0</v>
      </c>
      <c r="W817" s="4">
        <f>IF(OR(INDEX($AH$2:$AH$1001,MATCH(ROWS($AG$2:AG817),$AG$2:$AG$1001,0),1)&gt;=100000,INDEX($AN$1005:$BO$1005,1,MATCH(COLUMNS($AN$1006:BI1006),$AN$1006:$BO$1006,0))&gt;=100000), " ",IF(INDEX($AN$2:$BO$1001,MATCH(ROWS($AG$2:AG817),$AG$2:$AG$1001,0),MATCH(COLUMNS($AN$1006:BI1006),$AN$1006:$BO$1006,0)), HYPERLINK("#",""), HYPERLINK(CONCATENATE("#Metadata!", ADDRESS(INDEX($AI$2:$AI$1001,MATCH(ROWS($AG$2:AG817),$AG$2:$AG$1001,0),0), INDEX($AN$1004:$BO$1004,1,MATCH(COLUMNS($AN$1006:BI1006),$AN$1006:$BO$1006,0)))),"Fix")))</f>
        <v>0</v>
      </c>
      <c r="X817" s="4">
        <f>IF(OR(INDEX($AH$2:$AH$1001,MATCH(ROWS($AG$2:AG817),$AG$2:$AG$1001,0),1)&gt;=100000,INDEX($AN$1005:$BO$1005,1,MATCH(COLUMNS($AN$1006:BJ1006),$AN$1006:$BO$1006,0))&gt;=100000), " ",IF(INDEX($AN$2:$BO$1001,MATCH(ROWS($AG$2:AG817),$AG$2:$AG$1001,0),MATCH(COLUMNS($AN$1006:BJ1006),$AN$1006:$BO$1006,0)), HYPERLINK("#",""), HYPERLINK(CONCATENATE("#Metadata!", ADDRESS(INDEX($AI$2:$AI$1001,MATCH(ROWS($AG$2:AG817),$AG$2:$AG$1001,0),0), INDEX($AN$1004:$BO$1004,1,MATCH(COLUMNS($AN$1006:BJ1006),$AN$1006:$BO$1006,0)))),"Fix")))</f>
        <v>0</v>
      </c>
      <c r="Y817" s="4">
        <f>IF(OR(INDEX($AH$2:$AH$1001,MATCH(ROWS($AG$2:AG817),$AG$2:$AG$1001,0),1)&gt;=100000,INDEX($AN$1005:$BO$1005,1,MATCH(COLUMNS($AN$1006:BK1006),$AN$1006:$BO$1006,0))&gt;=100000), " ",IF(INDEX($AN$2:$BO$1001,MATCH(ROWS($AG$2:AG817),$AG$2:$AG$1001,0),MATCH(COLUMNS($AN$1006:BK1006),$AN$1006:$BO$1006,0)), HYPERLINK("#",""), HYPERLINK(CONCATENATE("#Metadata!", ADDRESS(INDEX($AI$2:$AI$1001,MATCH(ROWS($AG$2:AG817),$AG$2:$AG$1001,0),0), INDEX($AN$1004:$BO$1004,1,MATCH(COLUMNS($AN$1006:BK1006),$AN$1006:$BO$1006,0)))),"Fix")))</f>
        <v>0</v>
      </c>
      <c r="Z817" s="4">
        <f>IF(OR(INDEX($AH$2:$AH$1001,MATCH(ROWS($AG$2:AG817),$AG$2:$AG$1001,0),1)&gt;=100000,INDEX($AN$1005:$BO$1005,1,MATCH(COLUMNS($AN$1006:BL1006),$AN$1006:$BO$1006,0))&gt;=100000), " ",IF(INDEX($AN$2:$BO$1001,MATCH(ROWS($AG$2:AG817),$AG$2:$AG$1001,0),MATCH(COLUMNS($AN$1006:BL1006),$AN$1006:$BO$1006,0)), HYPERLINK("#",""), HYPERLINK(CONCATENATE("#Metadata!", ADDRESS(INDEX($AI$2:$AI$1001,MATCH(ROWS($AG$2:AG817),$AG$2:$AG$1001,0),0), INDEX($AN$1004:$BO$1004,1,MATCH(COLUMNS($AN$1006:BL1006),$AN$1006:$BO$1006,0)))),"Fix")))</f>
        <v>0</v>
      </c>
      <c r="AA817" s="4">
        <f>IF(OR(INDEX($AH$2:$AH$1001,MATCH(ROWS($AG$2:AG817),$AG$2:$AG$1001,0),1)&gt;=100000,INDEX($AN$1005:$BO$1005,1,MATCH(COLUMNS($AN$1006:BM1006),$AN$1006:$BO$1006,0))&gt;=100000), " ",IF(INDEX($AN$2:$BO$1001,MATCH(ROWS($AG$2:AG817),$AG$2:$AG$1001,0),MATCH(COLUMNS($AN$1006:BM1006),$AN$1006:$BO$1006,0)), HYPERLINK("#",""), HYPERLINK(CONCATENATE("#Metadata!", ADDRESS(INDEX($AI$2:$AI$1001,MATCH(ROWS($AG$2:AG817),$AG$2:$AG$1001,0),0), INDEX($AN$1004:$BO$1004,1,MATCH(COLUMNS($AN$1006:BM1006),$AN$1006:$BO$1006,0)))),"Fix")))</f>
        <v>0</v>
      </c>
      <c r="AB817" s="4">
        <f>IF(OR(INDEX($AH$2:$AH$1001,MATCH(ROWS($AG$2:AG817),$AG$2:$AG$1001,0),1)&gt;=100000,INDEX($AN$1005:$BO$1005,1,MATCH(COLUMNS($AN$1006:BN1006),$AN$1006:$BO$1006,0))&gt;=100000), " ",IF(INDEX($AN$2:$BO$1001,MATCH(ROWS($AG$2:AG817),$AG$2:$AG$1001,0),MATCH(COLUMNS($AN$1006:BN1006),$AN$1006:$BO$1006,0)), HYPERLINK("#",""), HYPERLINK(CONCATENATE("#Metadata!", ADDRESS(INDEX($AI$2:$AI$1001,MATCH(ROWS($AG$2:AG817),$AG$2:$AG$1001,0),0), INDEX($AN$1004:$BO$1004,1,MATCH(COLUMNS($AN$1006:BN1006),$AN$1006:$BO$1006,0)))),"Fix")))</f>
        <v>0</v>
      </c>
      <c r="AC817" s="4">
        <f>IF(OR(INDEX($AH$2:$AH$1001,MATCH(ROWS($AG$2:AG817),$AG$2:$AG$1001,0),1)&gt;=100000,INDEX($AN$1005:$BO$1005,1,MATCH(COLUMNS($AN$1006:BO1006),$AN$1006:$BO$1006,0))&gt;=100000), " ",IF(INDEX($AN$2:$BO$1001,MATCH(ROWS($AG$2:AG817),$AG$2:$AG$1001,0),MATCH(COLUMNS($AN$1006:BO1006),$AN$1006:$BO$1006,0)), HYPERLINK("#",""), HYPERLINK(CONCATENATE("#Metadata!", ADDRESS(INDEX($AI$2:$AI$1001,MATCH(ROWS($AG$2:AG817),$AG$2:$AG$1001,0),0), INDEX($AN$1004:$BO$1004,1,MATCH(COLUMNS($AN$1006:BO1006),$AN$1006:$BO$1006,0)))),"Fix")))</f>
        <v>0</v>
      </c>
      <c r="AG817">
        <v>0</v>
      </c>
      <c r="AH817">
        <v>0</v>
      </c>
      <c r="AI817">
        <v>0</v>
      </c>
      <c r="AJ817">
        <f>IF(AK817,TRUE,AND(AN817:BO817))</f>
        <v>0</v>
      </c>
      <c r="AK817">
        <f>COUNTBLANK(Metadata!B817:AC817)=COLUMNS(Metadata!B817:AC817)</f>
        <v>0</v>
      </c>
      <c r="AL817">
        <v>0</v>
      </c>
      <c r="AN817">
        <f>AND(IF(Metadata!B817="",FALSE,TRUE),COUNTIF(Metadata!B:B, Metadata!B817) = 1,NOT(ISERROR(SUMPRODUCT(SEARCH(MID(Metadata!B817,ROW(INDIRECT("1:"&amp;LEN(Metadata!B817))), 1),"0123456789abcdefghijklmnopqrstuvwxyzABCDEFGHIJKLMNOPQRSTUVWXYZ.")))))</f>
        <v>0</v>
      </c>
      <c r="AO817">
        <f>IF(Metadata!C817="",FALSE,TRUE)</f>
        <v>0</v>
      </c>
      <c r="AP817">
        <f>IF(Metadata!D817="",FALSE,TRUE)</f>
        <v>0</v>
      </c>
      <c r="AQ817">
        <f>OR(AND(IF(Metadata!E817="",FALSE,TRUE),OR(exact(Metadata!E817,"not collected"),exact(Metadata!E817,"not provided"),exact(Metadata!E817,"restricted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R817">
        <f>IF(Metadata!F817="",FALSE,TRUE)</f>
        <v>0</v>
      </c>
      <c r="AS817">
        <f>OR(AND(IF(Metadata!G817="",FALSE,TRUE),OR(exact(Metadata!G817,"not collected"),exact(Metadata!G817,"not provided"))),AND(IF(Metadata!G817="",FALSE,TRUE),OR(exact(Metadata!G817,"TRUE"),exact(Metadata!G817,"FALSE"))))</f>
        <v>0</v>
      </c>
      <c r="AT817">
        <f>OR(AND(IF(Metadata!H817="",FALSE,TRUE),OR(exact(Metadata!H817,"not collected"),exact(Metadata!H817,"not provided"),exact(Metadata!H817,"restricted access"))),AND(IF(Metadata!H817="",FALSE,ISNUMBER(VALUE(Metadata!H817))),Metadata!H817&gt;=-413.0))</f>
        <v>0</v>
      </c>
      <c r="AU817">
        <f>AND(IF(Metadata!I817="",FALSE,TRUE),exact(Metadata!I817,"meters"))</f>
        <v>0</v>
      </c>
      <c r="AV817">
        <f>AND(IF(Metadata!J817="",FALSE,TRUE),OR(exact(Metadata!J817,"Host-associated"),exact(Metadata!J817,"Free-living")))</f>
        <v>0</v>
      </c>
      <c r="AW817">
        <f>AND(IF(Metadata!K817="",FALSE,TRUE),OR(exact(Metadata!K817,"Animal"),exact(Metadata!K817,"Fungus"),exact(Metadata!K817,"Plant"),exact(Metadata!K817,"Saline"),exact(Metadata!K817,"Non-saline")))</f>
        <v>0</v>
      </c>
      <c r="AX817">
        <f>AND(IF(Metadata!L817="",FALSE,TRUE),OR(exact(Metadata!L817,"Plant secretion"),exact(Metadata!L817,"Plant rhizosphere"),exact(Metadata!L817,"Plant surface"),exact(Metadata!L817,"Plant corpus"),exact(Metadata!L817,"Fungus surface"),exact(Metadata!L817,"Fungus corpus"),exact(Metadata!L817,"Animal surface"),exact(Metadata!L817,"Animal proximal gut"),exact(Metadata!L817,"Animal corpus"),exact(Metadata!L817,"Animal distal gut"),exact(Metadata!L817,"Animal secretion"),exact(Metadata!L817,"Sub-surface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Y817">
        <f>IF(Metadata!M817="",FALSE,TRUE)</f>
        <v>0</v>
      </c>
      <c r="AZ817">
        <f>IF(Metadata!N817="",FALSE,TRUE)</f>
        <v>0</v>
      </c>
      <c r="BA817">
        <f>IF(Metadata!O817="",FALSE,TRUE)</f>
        <v>0</v>
      </c>
      <c r="BB817">
        <f>OR(AND(IF(Metadata!P817="",FALSE,TRUE),OR(exact(Metadata!P817,"not collected"),exact(Metadata!P817,"not provided"),exact(Metadata!P817,"restricted access"))),AND(IF(Metadata!P817="",FALSE,TRUE),OR(exact(Metadata!P817,"air"),exact(Metadata!P817,"built environment"),exact(Metadata!P817,"host-associated"),exact(Metadata!P817,"human-associated"),exact(Metadata!P817,"human-skin"),exact(Metadata!P817,"human-oral"),exact(Metadata!P817,"human-gut"),exact(Metadata!P817,"human-vaginal"),exact(Metadata!P817,"microbial mat/biofilm"),exact(Metadata!P817,"misc environment"),exact(Metadata!P817,"plant-associated"),exact(Metadata!P817,"sediment"),exact(Metadata!P817,"soil"),exact(Metadata!P817,"wastewater/sludge"),exact(Metadata!P817,"water"))))</f>
        <v>0</v>
      </c>
      <c r="BC817">
        <f>IF(Metadata!Q817="",FALSE,TRUE)</f>
        <v>0</v>
      </c>
      <c r="BD817">
        <f>IF(Metadata!R817="",FALSE,TRUE)</f>
        <v>0</v>
      </c>
      <c r="BE817">
        <f>OR(AND(IF(Metadata!S817="",FALSE,TRUE),OR(exact(Metadata!S817,"not collected"),exact(Metadata!S817,"not provided"),exact(Metadata!S817,"restricted access"))),AND(IF(Metadata!S817="",FALSE,ISNUMBER(VALUE(Metadata!S817))),Metadata!S817&gt;=-90.00,Metadata!S817&lt;=90.00))</f>
        <v>0</v>
      </c>
      <c r="BF817">
        <f>AND(IF(Metadata!T817="",FALSE,TRUE),exact(Metadata!T817,"Decimal degrees"))</f>
        <v>0</v>
      </c>
      <c r="BG817">
        <f>OR(AND(IF(Metadata!U817="",FALSE,TRUE),OR(exact(Metadata!U817,"not collected"),exact(Metadata!U817,"not provided"),exact(Metadata!U817,"restricted access"))),AND(IF(Metadata!U817="",FALSE,ISNUMBER(VALUE(Metadata!U817))),Metadata!U817&gt;=-180.00,Metadata!U817&lt;=180.00))</f>
        <v>0</v>
      </c>
      <c r="BH817">
        <f>AND(IF(Metadata!V817="",FALSE,TRUE),exact(Metadata!V817,"Decimal degrees"))</f>
        <v>0</v>
      </c>
      <c r="BI817">
        <f>IF(Metadata!W817="",FALSE,TRUE)</f>
        <v>0</v>
      </c>
      <c r="BJ817">
        <f>OR(AND(IF(Metadata!X817="",FALSE,TRUE),OR(exact(Metadata!X817,"not collected"),exact(Metadata!X817,"not provided"),exact(Metadata!X817,"restricted access"))),AND(IF(Metadata!X817="",FALSE,TRUE),OR(exact(Metadata!X817,"TRUE"),exact(Metadata!X817,"FALSE"))))</f>
        <v>0</v>
      </c>
      <c r="BK817">
        <f>AND(IF(Metadata!Y817="",FALSE,TRUE),exact(Metadata!Y817,"other"))</f>
        <v>0</v>
      </c>
      <c r="BL817">
        <f>IF(Metadata!Z817="",FALSE,TRUE)</f>
        <v>0</v>
      </c>
      <c r="BM817">
        <f>OR(AND(IF(Metadata!AA817="",FALSE,TRUE),OR(exact(Metadata!AA817,"not collected"),exact(Metadata!AA817,"not provided"))),AND(IF(Metadata!AA817="",FALSE,IF(ISERROR(INT(Metadata!AA817)),FALSE,INT(Metadata!AA817)=Metadata!AA817)),Metadata!AA817&gt;0))</f>
        <v>0</v>
      </c>
      <c r="BN817">
        <f>AND(IF(Metadata!AB817="",FALSE,TRUE),exact(Metadata!AB817,"Not applicable"))</f>
        <v>0</v>
      </c>
      <c r="BO817">
        <f>IF(Metadata!AC817="",FALSE,TRUE)</f>
        <v>0</v>
      </c>
    </row>
    <row r="818" spans="1:67">
      <c r="A818" s="5">
        <f>IF(B818=" "," ",HYPERLINK(CONCATENATE("#metadata!",ADDRESS(INDEX($AI$2:$AI$1001,MATCH(ROWS($AG$2:AG818),$AG$2:$AG$1001,0),0),1)),INDEX($AL$2:$AL$1001,MATCH(ROWS($AG$2:AG818),$AG$2:$AG$1001,0),0)))</f>
        <v>0</v>
      </c>
      <c r="B818" s="4">
        <f>IF(OR(INDEX($AH$2:$AH$1001,MATCH(ROWS($AG$2:AG818),$AG$2:$AG$1001,0),1)&gt;=100000,INDEX($AN$1005:$BO$1005,1,MATCH(COLUMNS($AN$1006:AN1006),$AN$1006:$BO$1006,0))&gt;=100000), " ",IF(INDEX($AN$2:$BO$1001,MATCH(ROWS($AG$2:AG818),$AG$2:$AG$1001,0),MATCH(COLUMNS($AN$1006:AN1006),$AN$1006:$BO$1006,0)), HYPERLINK("#",""), HYPERLINK(CONCATENATE("#Metadata!", ADDRESS(INDEX($AI$2:$AI$1001,MATCH(ROWS($AG$2:AG818),$AG$2:$AG$1001,0),0), INDEX($AN$1004:$BO$1004,1,MATCH(COLUMNS($AN$1006:AN1006),$AN$1006:$BO$1006,0)))),"Fix")))</f>
        <v>0</v>
      </c>
      <c r="C818" s="4">
        <f>IF(OR(INDEX($AH$2:$AH$1001,MATCH(ROWS($AG$2:AG818),$AG$2:$AG$1001,0),1)&gt;=100000,INDEX($AN$1005:$BO$1005,1,MATCH(COLUMNS($AN$1006:AO1006),$AN$1006:$BO$1006,0))&gt;=100000), " ",IF(INDEX($AN$2:$BO$1001,MATCH(ROWS($AG$2:AG818),$AG$2:$AG$1001,0),MATCH(COLUMNS($AN$1006:AO1006),$AN$1006:$BO$1006,0)), HYPERLINK("#",""), HYPERLINK(CONCATENATE("#Metadata!", ADDRESS(INDEX($AI$2:$AI$1001,MATCH(ROWS($AG$2:AG818),$AG$2:$AG$1001,0),0), INDEX($AN$1004:$BO$1004,1,MATCH(COLUMNS($AN$1006:AO1006),$AN$1006:$BO$1006,0)))),"Fix")))</f>
        <v>0</v>
      </c>
      <c r="D818" s="4">
        <f>IF(OR(INDEX($AH$2:$AH$1001,MATCH(ROWS($AG$2:AG818),$AG$2:$AG$1001,0),1)&gt;=100000,INDEX($AN$1005:$BO$1005,1,MATCH(COLUMNS($AN$1006:AP1006),$AN$1006:$BO$1006,0))&gt;=100000), " ",IF(INDEX($AN$2:$BO$1001,MATCH(ROWS($AG$2:AG818),$AG$2:$AG$1001,0),MATCH(COLUMNS($AN$1006:AP1006),$AN$1006:$BO$1006,0)), HYPERLINK("#",""), HYPERLINK(CONCATENATE("#Metadata!", ADDRESS(INDEX($AI$2:$AI$1001,MATCH(ROWS($AG$2:AG818),$AG$2:$AG$1001,0),0), INDEX($AN$1004:$BO$1004,1,MATCH(COLUMNS($AN$1006:AP1006),$AN$1006:$BO$1006,0)))),"Fix")))</f>
        <v>0</v>
      </c>
      <c r="E818" s="4">
        <f>IF(OR(INDEX($AH$2:$AH$1001,MATCH(ROWS($AG$2:AG818),$AG$2:$AG$1001,0),1)&gt;=100000,INDEX($AN$1005:$BO$1005,1,MATCH(COLUMNS($AN$1006:AQ1006),$AN$1006:$BO$1006,0))&gt;=100000), " ",IF(INDEX($AN$2:$BO$1001,MATCH(ROWS($AG$2:AG818),$AG$2:$AG$1001,0),MATCH(COLUMNS($AN$1006:AQ1006),$AN$1006:$BO$1006,0)), HYPERLINK("#",""), HYPERLINK(CONCATENATE("#Metadata!", ADDRESS(INDEX($AI$2:$AI$1001,MATCH(ROWS($AG$2:AG818),$AG$2:$AG$1001,0),0), INDEX($AN$1004:$BO$1004,1,MATCH(COLUMNS($AN$1006:AQ1006),$AN$1006:$BO$1006,0)))),"Fix")))</f>
        <v>0</v>
      </c>
      <c r="F818" s="4">
        <f>IF(OR(INDEX($AH$2:$AH$1001,MATCH(ROWS($AG$2:AG818),$AG$2:$AG$1001,0),1)&gt;=100000,INDEX($AN$1005:$BO$1005,1,MATCH(COLUMNS($AN$1006:AR1006),$AN$1006:$BO$1006,0))&gt;=100000), " ",IF(INDEX($AN$2:$BO$1001,MATCH(ROWS($AG$2:AG818),$AG$2:$AG$1001,0),MATCH(COLUMNS($AN$1006:AR1006),$AN$1006:$BO$1006,0)), HYPERLINK("#",""), HYPERLINK(CONCATENATE("#Metadata!", ADDRESS(INDEX($AI$2:$AI$1001,MATCH(ROWS($AG$2:AG818),$AG$2:$AG$1001,0),0), INDEX($AN$1004:$BO$1004,1,MATCH(COLUMNS($AN$1006:AR1006),$AN$1006:$BO$1006,0)))),"Fix")))</f>
        <v>0</v>
      </c>
      <c r="G818" s="4">
        <f>IF(OR(INDEX($AH$2:$AH$1001,MATCH(ROWS($AG$2:AG818),$AG$2:$AG$1001,0),1)&gt;=100000,INDEX($AN$1005:$BO$1005,1,MATCH(COLUMNS($AN$1006:AS1006),$AN$1006:$BO$1006,0))&gt;=100000), " ",IF(INDEX($AN$2:$BO$1001,MATCH(ROWS($AG$2:AG818),$AG$2:$AG$1001,0),MATCH(COLUMNS($AN$1006:AS1006),$AN$1006:$BO$1006,0)), HYPERLINK("#",""), HYPERLINK(CONCATENATE("#Metadata!", ADDRESS(INDEX($AI$2:$AI$1001,MATCH(ROWS($AG$2:AG818),$AG$2:$AG$1001,0),0), INDEX($AN$1004:$BO$1004,1,MATCH(COLUMNS($AN$1006:AS1006),$AN$1006:$BO$1006,0)))),"Fix")))</f>
        <v>0</v>
      </c>
      <c r="H818" s="4">
        <f>IF(OR(INDEX($AH$2:$AH$1001,MATCH(ROWS($AG$2:AG818),$AG$2:$AG$1001,0),1)&gt;=100000,INDEX($AN$1005:$BO$1005,1,MATCH(COLUMNS($AN$1006:AT1006),$AN$1006:$BO$1006,0))&gt;=100000), " ",IF(INDEX($AN$2:$BO$1001,MATCH(ROWS($AG$2:AG818),$AG$2:$AG$1001,0),MATCH(COLUMNS($AN$1006:AT1006),$AN$1006:$BO$1006,0)), HYPERLINK("#",""), HYPERLINK(CONCATENATE("#Metadata!", ADDRESS(INDEX($AI$2:$AI$1001,MATCH(ROWS($AG$2:AG818),$AG$2:$AG$1001,0),0), INDEX($AN$1004:$BO$1004,1,MATCH(COLUMNS($AN$1006:AT1006),$AN$1006:$BO$1006,0)))),"Fix")))</f>
        <v>0</v>
      </c>
      <c r="I818" s="4">
        <f>IF(OR(INDEX($AH$2:$AH$1001,MATCH(ROWS($AG$2:AG818),$AG$2:$AG$1001,0),1)&gt;=100000,INDEX($AN$1005:$BO$1005,1,MATCH(COLUMNS($AN$1006:AU1006),$AN$1006:$BO$1006,0))&gt;=100000), " ",IF(INDEX($AN$2:$BO$1001,MATCH(ROWS($AG$2:AG818),$AG$2:$AG$1001,0),MATCH(COLUMNS($AN$1006:AU1006),$AN$1006:$BO$1006,0)), HYPERLINK("#",""), HYPERLINK(CONCATENATE("#Metadata!", ADDRESS(INDEX($AI$2:$AI$1001,MATCH(ROWS($AG$2:AG818),$AG$2:$AG$1001,0),0), INDEX($AN$1004:$BO$1004,1,MATCH(COLUMNS($AN$1006:AU1006),$AN$1006:$BO$1006,0)))),"Fix")))</f>
        <v>0</v>
      </c>
      <c r="J818" s="4">
        <f>IF(OR(INDEX($AH$2:$AH$1001,MATCH(ROWS($AG$2:AG818),$AG$2:$AG$1001,0),1)&gt;=100000,INDEX($AN$1005:$BO$1005,1,MATCH(COLUMNS($AN$1006:AV1006),$AN$1006:$BO$1006,0))&gt;=100000), " ",IF(INDEX($AN$2:$BO$1001,MATCH(ROWS($AG$2:AG818),$AG$2:$AG$1001,0),MATCH(COLUMNS($AN$1006:AV1006),$AN$1006:$BO$1006,0)), HYPERLINK("#",""), HYPERLINK(CONCATENATE("#Metadata!", ADDRESS(INDEX($AI$2:$AI$1001,MATCH(ROWS($AG$2:AG818),$AG$2:$AG$1001,0),0), INDEX($AN$1004:$BO$1004,1,MATCH(COLUMNS($AN$1006:AV1006),$AN$1006:$BO$1006,0)))),"Fix")))</f>
        <v>0</v>
      </c>
      <c r="K818" s="4">
        <f>IF(OR(INDEX($AH$2:$AH$1001,MATCH(ROWS($AG$2:AG818),$AG$2:$AG$1001,0),1)&gt;=100000,INDEX($AN$1005:$BO$1005,1,MATCH(COLUMNS($AN$1006:AW1006),$AN$1006:$BO$1006,0))&gt;=100000), " ",IF(INDEX($AN$2:$BO$1001,MATCH(ROWS($AG$2:AG818),$AG$2:$AG$1001,0),MATCH(COLUMNS($AN$1006:AW1006),$AN$1006:$BO$1006,0)), HYPERLINK("#",""), HYPERLINK(CONCATENATE("#Metadata!", ADDRESS(INDEX($AI$2:$AI$1001,MATCH(ROWS($AG$2:AG818),$AG$2:$AG$1001,0),0), INDEX($AN$1004:$BO$1004,1,MATCH(COLUMNS($AN$1006:AW1006),$AN$1006:$BO$1006,0)))),"Fix")))</f>
        <v>0</v>
      </c>
      <c r="L818" s="4">
        <f>IF(OR(INDEX($AH$2:$AH$1001,MATCH(ROWS($AG$2:AG818),$AG$2:$AG$1001,0),1)&gt;=100000,INDEX($AN$1005:$BO$1005,1,MATCH(COLUMNS($AN$1006:AX1006),$AN$1006:$BO$1006,0))&gt;=100000), " ",IF(INDEX($AN$2:$BO$1001,MATCH(ROWS($AG$2:AG818),$AG$2:$AG$1001,0),MATCH(COLUMNS($AN$1006:AX1006),$AN$1006:$BO$1006,0)), HYPERLINK("#",""), HYPERLINK(CONCATENATE("#Metadata!", ADDRESS(INDEX($AI$2:$AI$1001,MATCH(ROWS($AG$2:AG818),$AG$2:$AG$1001,0),0), INDEX($AN$1004:$BO$1004,1,MATCH(COLUMNS($AN$1006:AX1006),$AN$1006:$BO$1006,0)))),"Fix")))</f>
        <v>0</v>
      </c>
      <c r="M818" s="4">
        <f>IF(OR(INDEX($AH$2:$AH$1001,MATCH(ROWS($AG$2:AG818),$AG$2:$AG$1001,0),1)&gt;=100000,INDEX($AN$1005:$BO$1005,1,MATCH(COLUMNS($AN$1006:AY1006),$AN$1006:$BO$1006,0))&gt;=100000), " ",IF(INDEX($AN$2:$BO$1001,MATCH(ROWS($AG$2:AG818),$AG$2:$AG$1001,0),MATCH(COLUMNS($AN$1006:AY1006),$AN$1006:$BO$1006,0)), HYPERLINK("#",""), HYPERLINK(CONCATENATE("#Metadata!", ADDRESS(INDEX($AI$2:$AI$1001,MATCH(ROWS($AG$2:AG818),$AG$2:$AG$1001,0),0), INDEX($AN$1004:$BO$1004,1,MATCH(COLUMNS($AN$1006:AY1006),$AN$1006:$BO$1006,0)))),"Fix")))</f>
        <v>0</v>
      </c>
      <c r="N818" s="4">
        <f>IF(OR(INDEX($AH$2:$AH$1001,MATCH(ROWS($AG$2:AG818),$AG$2:$AG$1001,0),1)&gt;=100000,INDEX($AN$1005:$BO$1005,1,MATCH(COLUMNS($AN$1006:AZ1006),$AN$1006:$BO$1006,0))&gt;=100000), " ",IF(INDEX($AN$2:$BO$1001,MATCH(ROWS($AG$2:AG818),$AG$2:$AG$1001,0),MATCH(COLUMNS($AN$1006:AZ1006),$AN$1006:$BO$1006,0)), HYPERLINK("#",""), HYPERLINK(CONCATENATE("#Metadata!", ADDRESS(INDEX($AI$2:$AI$1001,MATCH(ROWS($AG$2:AG818),$AG$2:$AG$1001,0),0), INDEX($AN$1004:$BO$1004,1,MATCH(COLUMNS($AN$1006:AZ1006),$AN$1006:$BO$1006,0)))),"Fix")))</f>
        <v>0</v>
      </c>
      <c r="O818" s="4">
        <f>IF(OR(INDEX($AH$2:$AH$1001,MATCH(ROWS($AG$2:AG818),$AG$2:$AG$1001,0),1)&gt;=100000,INDEX($AN$1005:$BO$1005,1,MATCH(COLUMNS($AN$1006:BA1006),$AN$1006:$BO$1006,0))&gt;=100000), " ",IF(INDEX($AN$2:$BO$1001,MATCH(ROWS($AG$2:AG818),$AG$2:$AG$1001,0),MATCH(COLUMNS($AN$1006:BA1006),$AN$1006:$BO$1006,0)), HYPERLINK("#",""), HYPERLINK(CONCATENATE("#Metadata!", ADDRESS(INDEX($AI$2:$AI$1001,MATCH(ROWS($AG$2:AG818),$AG$2:$AG$1001,0),0), INDEX($AN$1004:$BO$1004,1,MATCH(COLUMNS($AN$1006:BA1006),$AN$1006:$BO$1006,0)))),"Fix")))</f>
        <v>0</v>
      </c>
      <c r="P818" s="4">
        <f>IF(OR(INDEX($AH$2:$AH$1001,MATCH(ROWS($AG$2:AG818),$AG$2:$AG$1001,0),1)&gt;=100000,INDEX($AN$1005:$BO$1005,1,MATCH(COLUMNS($AN$1006:BB1006),$AN$1006:$BO$1006,0))&gt;=100000), " ",IF(INDEX($AN$2:$BO$1001,MATCH(ROWS($AG$2:AG818),$AG$2:$AG$1001,0),MATCH(COLUMNS($AN$1006:BB1006),$AN$1006:$BO$1006,0)), HYPERLINK("#",""), HYPERLINK(CONCATENATE("#Metadata!", ADDRESS(INDEX($AI$2:$AI$1001,MATCH(ROWS($AG$2:AG818),$AG$2:$AG$1001,0),0), INDEX($AN$1004:$BO$1004,1,MATCH(COLUMNS($AN$1006:BB1006),$AN$1006:$BO$1006,0)))),"Fix")))</f>
        <v>0</v>
      </c>
      <c r="Q818" s="4">
        <f>IF(OR(INDEX($AH$2:$AH$1001,MATCH(ROWS($AG$2:AG818),$AG$2:$AG$1001,0),1)&gt;=100000,INDEX($AN$1005:$BO$1005,1,MATCH(COLUMNS($AN$1006:BC1006),$AN$1006:$BO$1006,0))&gt;=100000), " ",IF(INDEX($AN$2:$BO$1001,MATCH(ROWS($AG$2:AG818),$AG$2:$AG$1001,0),MATCH(COLUMNS($AN$1006:BC1006),$AN$1006:$BO$1006,0)), HYPERLINK("#",""), HYPERLINK(CONCATENATE("#Metadata!", ADDRESS(INDEX($AI$2:$AI$1001,MATCH(ROWS($AG$2:AG818),$AG$2:$AG$1001,0),0), INDEX($AN$1004:$BO$1004,1,MATCH(COLUMNS($AN$1006:BC1006),$AN$1006:$BO$1006,0)))),"Fix")))</f>
        <v>0</v>
      </c>
      <c r="R818" s="4">
        <f>IF(OR(INDEX($AH$2:$AH$1001,MATCH(ROWS($AG$2:AG818),$AG$2:$AG$1001,0),1)&gt;=100000,INDEX($AN$1005:$BO$1005,1,MATCH(COLUMNS($AN$1006:BD1006),$AN$1006:$BO$1006,0))&gt;=100000), " ",IF(INDEX($AN$2:$BO$1001,MATCH(ROWS($AG$2:AG818),$AG$2:$AG$1001,0),MATCH(COLUMNS($AN$1006:BD1006),$AN$1006:$BO$1006,0)), HYPERLINK("#",""), HYPERLINK(CONCATENATE("#Metadata!", ADDRESS(INDEX($AI$2:$AI$1001,MATCH(ROWS($AG$2:AG818),$AG$2:$AG$1001,0),0), INDEX($AN$1004:$BO$1004,1,MATCH(COLUMNS($AN$1006:BD1006),$AN$1006:$BO$1006,0)))),"Fix")))</f>
        <v>0</v>
      </c>
      <c r="S818" s="4">
        <f>IF(OR(INDEX($AH$2:$AH$1001,MATCH(ROWS($AG$2:AG818),$AG$2:$AG$1001,0),1)&gt;=100000,INDEX($AN$1005:$BO$1005,1,MATCH(COLUMNS($AN$1006:BE1006),$AN$1006:$BO$1006,0))&gt;=100000), " ",IF(INDEX($AN$2:$BO$1001,MATCH(ROWS($AG$2:AG818),$AG$2:$AG$1001,0),MATCH(COLUMNS($AN$1006:BE1006),$AN$1006:$BO$1006,0)), HYPERLINK("#",""), HYPERLINK(CONCATENATE("#Metadata!", ADDRESS(INDEX($AI$2:$AI$1001,MATCH(ROWS($AG$2:AG818),$AG$2:$AG$1001,0),0), INDEX($AN$1004:$BO$1004,1,MATCH(COLUMNS($AN$1006:BE1006),$AN$1006:$BO$1006,0)))),"Fix")))</f>
        <v>0</v>
      </c>
      <c r="T818" s="4">
        <f>IF(OR(INDEX($AH$2:$AH$1001,MATCH(ROWS($AG$2:AG818),$AG$2:$AG$1001,0),1)&gt;=100000,INDEX($AN$1005:$BO$1005,1,MATCH(COLUMNS($AN$1006:BF1006),$AN$1006:$BO$1006,0))&gt;=100000), " ",IF(INDEX($AN$2:$BO$1001,MATCH(ROWS($AG$2:AG818),$AG$2:$AG$1001,0),MATCH(COLUMNS($AN$1006:BF1006),$AN$1006:$BO$1006,0)), HYPERLINK("#",""), HYPERLINK(CONCATENATE("#Metadata!", ADDRESS(INDEX($AI$2:$AI$1001,MATCH(ROWS($AG$2:AG818),$AG$2:$AG$1001,0),0), INDEX($AN$1004:$BO$1004,1,MATCH(COLUMNS($AN$1006:BF1006),$AN$1006:$BO$1006,0)))),"Fix")))</f>
        <v>0</v>
      </c>
      <c r="U818" s="4">
        <f>IF(OR(INDEX($AH$2:$AH$1001,MATCH(ROWS($AG$2:AG818),$AG$2:$AG$1001,0),1)&gt;=100000,INDEX($AN$1005:$BO$1005,1,MATCH(COLUMNS($AN$1006:BG1006),$AN$1006:$BO$1006,0))&gt;=100000), " ",IF(INDEX($AN$2:$BO$1001,MATCH(ROWS($AG$2:AG818),$AG$2:$AG$1001,0),MATCH(COLUMNS($AN$1006:BG1006),$AN$1006:$BO$1006,0)), HYPERLINK("#",""), HYPERLINK(CONCATENATE("#Metadata!", ADDRESS(INDEX($AI$2:$AI$1001,MATCH(ROWS($AG$2:AG818),$AG$2:$AG$1001,0),0), INDEX($AN$1004:$BO$1004,1,MATCH(COLUMNS($AN$1006:BG1006),$AN$1006:$BO$1006,0)))),"Fix")))</f>
        <v>0</v>
      </c>
      <c r="V818" s="4">
        <f>IF(OR(INDEX($AH$2:$AH$1001,MATCH(ROWS($AG$2:AG818),$AG$2:$AG$1001,0),1)&gt;=100000,INDEX($AN$1005:$BO$1005,1,MATCH(COLUMNS($AN$1006:BH1006),$AN$1006:$BO$1006,0))&gt;=100000), " ",IF(INDEX($AN$2:$BO$1001,MATCH(ROWS($AG$2:AG818),$AG$2:$AG$1001,0),MATCH(COLUMNS($AN$1006:BH1006),$AN$1006:$BO$1006,0)), HYPERLINK("#",""), HYPERLINK(CONCATENATE("#Metadata!", ADDRESS(INDEX($AI$2:$AI$1001,MATCH(ROWS($AG$2:AG818),$AG$2:$AG$1001,0),0), INDEX($AN$1004:$BO$1004,1,MATCH(COLUMNS($AN$1006:BH1006),$AN$1006:$BO$1006,0)))),"Fix")))</f>
        <v>0</v>
      </c>
      <c r="W818" s="4">
        <f>IF(OR(INDEX($AH$2:$AH$1001,MATCH(ROWS($AG$2:AG818),$AG$2:$AG$1001,0),1)&gt;=100000,INDEX($AN$1005:$BO$1005,1,MATCH(COLUMNS($AN$1006:BI1006),$AN$1006:$BO$1006,0))&gt;=100000), " ",IF(INDEX($AN$2:$BO$1001,MATCH(ROWS($AG$2:AG818),$AG$2:$AG$1001,0),MATCH(COLUMNS($AN$1006:BI1006),$AN$1006:$BO$1006,0)), HYPERLINK("#",""), HYPERLINK(CONCATENATE("#Metadata!", ADDRESS(INDEX($AI$2:$AI$1001,MATCH(ROWS($AG$2:AG818),$AG$2:$AG$1001,0),0), INDEX($AN$1004:$BO$1004,1,MATCH(COLUMNS($AN$1006:BI1006),$AN$1006:$BO$1006,0)))),"Fix")))</f>
        <v>0</v>
      </c>
      <c r="X818" s="4">
        <f>IF(OR(INDEX($AH$2:$AH$1001,MATCH(ROWS($AG$2:AG818),$AG$2:$AG$1001,0),1)&gt;=100000,INDEX($AN$1005:$BO$1005,1,MATCH(COLUMNS($AN$1006:BJ1006),$AN$1006:$BO$1006,0))&gt;=100000), " ",IF(INDEX($AN$2:$BO$1001,MATCH(ROWS($AG$2:AG818),$AG$2:$AG$1001,0),MATCH(COLUMNS($AN$1006:BJ1006),$AN$1006:$BO$1006,0)), HYPERLINK("#",""), HYPERLINK(CONCATENATE("#Metadata!", ADDRESS(INDEX($AI$2:$AI$1001,MATCH(ROWS($AG$2:AG818),$AG$2:$AG$1001,0),0), INDEX($AN$1004:$BO$1004,1,MATCH(COLUMNS($AN$1006:BJ1006),$AN$1006:$BO$1006,0)))),"Fix")))</f>
        <v>0</v>
      </c>
      <c r="Y818" s="4">
        <f>IF(OR(INDEX($AH$2:$AH$1001,MATCH(ROWS($AG$2:AG818),$AG$2:$AG$1001,0),1)&gt;=100000,INDEX($AN$1005:$BO$1005,1,MATCH(COLUMNS($AN$1006:BK1006),$AN$1006:$BO$1006,0))&gt;=100000), " ",IF(INDEX($AN$2:$BO$1001,MATCH(ROWS($AG$2:AG818),$AG$2:$AG$1001,0),MATCH(COLUMNS($AN$1006:BK1006),$AN$1006:$BO$1006,0)), HYPERLINK("#",""), HYPERLINK(CONCATENATE("#Metadata!", ADDRESS(INDEX($AI$2:$AI$1001,MATCH(ROWS($AG$2:AG818),$AG$2:$AG$1001,0),0), INDEX($AN$1004:$BO$1004,1,MATCH(COLUMNS($AN$1006:BK1006),$AN$1006:$BO$1006,0)))),"Fix")))</f>
        <v>0</v>
      </c>
      <c r="Z818" s="4">
        <f>IF(OR(INDEX($AH$2:$AH$1001,MATCH(ROWS($AG$2:AG818),$AG$2:$AG$1001,0),1)&gt;=100000,INDEX($AN$1005:$BO$1005,1,MATCH(COLUMNS($AN$1006:BL1006),$AN$1006:$BO$1006,0))&gt;=100000), " ",IF(INDEX($AN$2:$BO$1001,MATCH(ROWS($AG$2:AG818),$AG$2:$AG$1001,0),MATCH(COLUMNS($AN$1006:BL1006),$AN$1006:$BO$1006,0)), HYPERLINK("#",""), HYPERLINK(CONCATENATE("#Metadata!", ADDRESS(INDEX($AI$2:$AI$1001,MATCH(ROWS($AG$2:AG818),$AG$2:$AG$1001,0),0), INDEX($AN$1004:$BO$1004,1,MATCH(COLUMNS($AN$1006:BL1006),$AN$1006:$BO$1006,0)))),"Fix")))</f>
        <v>0</v>
      </c>
      <c r="AA818" s="4">
        <f>IF(OR(INDEX($AH$2:$AH$1001,MATCH(ROWS($AG$2:AG818),$AG$2:$AG$1001,0),1)&gt;=100000,INDEX($AN$1005:$BO$1005,1,MATCH(COLUMNS($AN$1006:BM1006),$AN$1006:$BO$1006,0))&gt;=100000), " ",IF(INDEX($AN$2:$BO$1001,MATCH(ROWS($AG$2:AG818),$AG$2:$AG$1001,0),MATCH(COLUMNS($AN$1006:BM1006),$AN$1006:$BO$1006,0)), HYPERLINK("#",""), HYPERLINK(CONCATENATE("#Metadata!", ADDRESS(INDEX($AI$2:$AI$1001,MATCH(ROWS($AG$2:AG818),$AG$2:$AG$1001,0),0), INDEX($AN$1004:$BO$1004,1,MATCH(COLUMNS($AN$1006:BM1006),$AN$1006:$BO$1006,0)))),"Fix")))</f>
        <v>0</v>
      </c>
      <c r="AB818" s="4">
        <f>IF(OR(INDEX($AH$2:$AH$1001,MATCH(ROWS($AG$2:AG818),$AG$2:$AG$1001,0),1)&gt;=100000,INDEX($AN$1005:$BO$1005,1,MATCH(COLUMNS($AN$1006:BN1006),$AN$1006:$BO$1006,0))&gt;=100000), " ",IF(INDEX($AN$2:$BO$1001,MATCH(ROWS($AG$2:AG818),$AG$2:$AG$1001,0),MATCH(COLUMNS($AN$1006:BN1006),$AN$1006:$BO$1006,0)), HYPERLINK("#",""), HYPERLINK(CONCATENATE("#Metadata!", ADDRESS(INDEX($AI$2:$AI$1001,MATCH(ROWS($AG$2:AG818),$AG$2:$AG$1001,0),0), INDEX($AN$1004:$BO$1004,1,MATCH(COLUMNS($AN$1006:BN1006),$AN$1006:$BO$1006,0)))),"Fix")))</f>
        <v>0</v>
      </c>
      <c r="AC818" s="4">
        <f>IF(OR(INDEX($AH$2:$AH$1001,MATCH(ROWS($AG$2:AG818),$AG$2:$AG$1001,0),1)&gt;=100000,INDEX($AN$1005:$BO$1005,1,MATCH(COLUMNS($AN$1006:BO1006),$AN$1006:$BO$1006,0))&gt;=100000), " ",IF(INDEX($AN$2:$BO$1001,MATCH(ROWS($AG$2:AG818),$AG$2:$AG$1001,0),MATCH(COLUMNS($AN$1006:BO1006),$AN$1006:$BO$1006,0)), HYPERLINK("#",""), HYPERLINK(CONCATENATE("#Metadata!", ADDRESS(INDEX($AI$2:$AI$1001,MATCH(ROWS($AG$2:AG818),$AG$2:$AG$1001,0),0), INDEX($AN$1004:$BO$1004,1,MATCH(COLUMNS($AN$1006:BO1006),$AN$1006:$BO$1006,0)))),"Fix")))</f>
        <v>0</v>
      </c>
      <c r="AG818">
        <v>0</v>
      </c>
      <c r="AH818">
        <v>0</v>
      </c>
      <c r="AI818">
        <v>0</v>
      </c>
      <c r="AJ818">
        <f>IF(AK818,TRUE,AND(AN818:BO818))</f>
        <v>0</v>
      </c>
      <c r="AK818">
        <f>COUNTBLANK(Metadata!B818:AC818)=COLUMNS(Metadata!B818:AC818)</f>
        <v>0</v>
      </c>
      <c r="AL818">
        <v>0</v>
      </c>
      <c r="AN818">
        <f>AND(IF(Metadata!B818="",FALSE,TRUE),COUNTIF(Metadata!B:B, Metadata!B818) = 1,NOT(ISERROR(SUMPRODUCT(SEARCH(MID(Metadata!B818,ROW(INDIRECT("1:"&amp;LEN(Metadata!B818))), 1),"0123456789abcdefghijklmnopqrstuvwxyzABCDEFGHIJKLMNOPQRSTUVWXYZ.")))))</f>
        <v>0</v>
      </c>
      <c r="AO818">
        <f>IF(Metadata!C818="",FALSE,TRUE)</f>
        <v>0</v>
      </c>
      <c r="AP818">
        <f>IF(Metadata!D818="",FALSE,TRUE)</f>
        <v>0</v>
      </c>
      <c r="AQ818">
        <f>OR(AND(IF(Metadata!E818="",FALSE,TRUE),OR(exact(Metadata!E818,"not collected"),exact(Metadata!E818,"not provided"),exact(Metadata!E818,"restricted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R818">
        <f>IF(Metadata!F818="",FALSE,TRUE)</f>
        <v>0</v>
      </c>
      <c r="AS818">
        <f>OR(AND(IF(Metadata!G818="",FALSE,TRUE),OR(exact(Metadata!G818,"not collected"),exact(Metadata!G818,"not provided"))),AND(IF(Metadata!G818="",FALSE,TRUE),OR(exact(Metadata!G818,"TRUE"),exact(Metadata!G818,"FALSE"))))</f>
        <v>0</v>
      </c>
      <c r="AT818">
        <f>OR(AND(IF(Metadata!H818="",FALSE,TRUE),OR(exact(Metadata!H818,"not collected"),exact(Metadata!H818,"not provided"),exact(Metadata!H818,"restricted access"))),AND(IF(Metadata!H818="",FALSE,ISNUMBER(VALUE(Metadata!H818))),Metadata!H818&gt;=-413.0))</f>
        <v>0</v>
      </c>
      <c r="AU818">
        <f>AND(IF(Metadata!I818="",FALSE,TRUE),exact(Metadata!I818,"meters"))</f>
        <v>0</v>
      </c>
      <c r="AV818">
        <f>AND(IF(Metadata!J818="",FALSE,TRUE),OR(exact(Metadata!J818,"Host-associated"),exact(Metadata!J818,"Free-living")))</f>
        <v>0</v>
      </c>
      <c r="AW818">
        <f>AND(IF(Metadata!K818="",FALSE,TRUE),OR(exact(Metadata!K818,"Animal"),exact(Metadata!K818,"Fungus"),exact(Metadata!K818,"Plant"),exact(Metadata!K818,"Saline"),exact(Metadata!K818,"Non-saline")))</f>
        <v>0</v>
      </c>
      <c r="AX818">
        <f>AND(IF(Metadata!L818="",FALSE,TRUE),OR(exact(Metadata!L818,"Plant secretion"),exact(Metadata!L818,"Plant rhizosphere"),exact(Metadata!L818,"Plant surface"),exact(Metadata!L818,"Plant corpus"),exact(Metadata!L818,"Fungus surface"),exact(Metadata!L818,"Fungus corpus"),exact(Metadata!L818,"Animal surface"),exact(Metadata!L818,"Animal proximal gut"),exact(Metadata!L818,"Animal corpus"),exact(Metadata!L818,"Animal distal gut"),exact(Metadata!L818,"Animal secretion"),exact(Metadata!L818,"Sub-surface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Y818">
        <f>IF(Metadata!M818="",FALSE,TRUE)</f>
        <v>0</v>
      </c>
      <c r="AZ818">
        <f>IF(Metadata!N818="",FALSE,TRUE)</f>
        <v>0</v>
      </c>
      <c r="BA818">
        <f>IF(Metadata!O818="",FALSE,TRUE)</f>
        <v>0</v>
      </c>
      <c r="BB818">
        <f>OR(AND(IF(Metadata!P818="",FALSE,TRUE),OR(exact(Metadata!P818,"not collected"),exact(Metadata!P818,"not provided"),exact(Metadata!P818,"restricted access"))),AND(IF(Metadata!P818="",FALSE,TRUE),OR(exact(Metadata!P818,"air"),exact(Metadata!P818,"built environment"),exact(Metadata!P818,"host-associated"),exact(Metadata!P818,"human-associated"),exact(Metadata!P818,"human-skin"),exact(Metadata!P818,"human-oral"),exact(Metadata!P818,"human-gut"),exact(Metadata!P818,"human-vaginal"),exact(Metadata!P818,"microbial mat/biofilm"),exact(Metadata!P818,"misc environment"),exact(Metadata!P818,"plant-associated"),exact(Metadata!P818,"sediment"),exact(Metadata!P818,"soil"),exact(Metadata!P818,"wastewater/sludge"),exact(Metadata!P818,"water"))))</f>
        <v>0</v>
      </c>
      <c r="BC818">
        <f>IF(Metadata!Q818="",FALSE,TRUE)</f>
        <v>0</v>
      </c>
      <c r="BD818">
        <f>IF(Metadata!R818="",FALSE,TRUE)</f>
        <v>0</v>
      </c>
      <c r="BE818">
        <f>OR(AND(IF(Metadata!S818="",FALSE,TRUE),OR(exact(Metadata!S818,"not collected"),exact(Metadata!S818,"not provided"),exact(Metadata!S818,"restricted access"))),AND(IF(Metadata!S818="",FALSE,ISNUMBER(VALUE(Metadata!S818))),Metadata!S818&gt;=-90.00,Metadata!S818&lt;=90.00))</f>
        <v>0</v>
      </c>
      <c r="BF818">
        <f>AND(IF(Metadata!T818="",FALSE,TRUE),exact(Metadata!T818,"Decimal degrees"))</f>
        <v>0</v>
      </c>
      <c r="BG818">
        <f>OR(AND(IF(Metadata!U818="",FALSE,TRUE),OR(exact(Metadata!U818,"not collected"),exact(Metadata!U818,"not provided"),exact(Metadata!U818,"restricted access"))),AND(IF(Metadata!U818="",FALSE,ISNUMBER(VALUE(Metadata!U818))),Metadata!U818&gt;=-180.00,Metadata!U818&lt;=180.00))</f>
        <v>0</v>
      </c>
      <c r="BH818">
        <f>AND(IF(Metadata!V818="",FALSE,TRUE),exact(Metadata!V818,"Decimal degrees"))</f>
        <v>0</v>
      </c>
      <c r="BI818">
        <f>IF(Metadata!W818="",FALSE,TRUE)</f>
        <v>0</v>
      </c>
      <c r="BJ818">
        <f>OR(AND(IF(Metadata!X818="",FALSE,TRUE),OR(exact(Metadata!X818,"not collected"),exact(Metadata!X818,"not provided"),exact(Metadata!X818,"restricted access"))),AND(IF(Metadata!X818="",FALSE,TRUE),OR(exact(Metadata!X818,"TRUE"),exact(Metadata!X818,"FALSE"))))</f>
        <v>0</v>
      </c>
      <c r="BK818">
        <f>AND(IF(Metadata!Y818="",FALSE,TRUE),exact(Metadata!Y818,"other"))</f>
        <v>0</v>
      </c>
      <c r="BL818">
        <f>IF(Metadata!Z818="",FALSE,TRUE)</f>
        <v>0</v>
      </c>
      <c r="BM818">
        <f>OR(AND(IF(Metadata!AA818="",FALSE,TRUE),OR(exact(Metadata!AA818,"not collected"),exact(Metadata!AA818,"not provided"))),AND(IF(Metadata!AA818="",FALSE,IF(ISERROR(INT(Metadata!AA818)),FALSE,INT(Metadata!AA818)=Metadata!AA818)),Metadata!AA818&gt;0))</f>
        <v>0</v>
      </c>
      <c r="BN818">
        <f>AND(IF(Metadata!AB818="",FALSE,TRUE),exact(Metadata!AB818,"Not applicable"))</f>
        <v>0</v>
      </c>
      <c r="BO818">
        <f>IF(Metadata!AC818="",FALSE,TRUE)</f>
        <v>0</v>
      </c>
    </row>
    <row r="819" spans="1:67">
      <c r="A819" s="5">
        <f>IF(B819=" "," ",HYPERLINK(CONCATENATE("#metadata!",ADDRESS(INDEX($AI$2:$AI$1001,MATCH(ROWS($AG$2:AG819),$AG$2:$AG$1001,0),0),1)),INDEX($AL$2:$AL$1001,MATCH(ROWS($AG$2:AG819),$AG$2:$AG$1001,0),0)))</f>
        <v>0</v>
      </c>
      <c r="B819" s="4">
        <f>IF(OR(INDEX($AH$2:$AH$1001,MATCH(ROWS($AG$2:AG819),$AG$2:$AG$1001,0),1)&gt;=100000,INDEX($AN$1005:$BO$1005,1,MATCH(COLUMNS($AN$1006:AN1006),$AN$1006:$BO$1006,0))&gt;=100000), " ",IF(INDEX($AN$2:$BO$1001,MATCH(ROWS($AG$2:AG819),$AG$2:$AG$1001,0),MATCH(COLUMNS($AN$1006:AN1006),$AN$1006:$BO$1006,0)), HYPERLINK("#",""), HYPERLINK(CONCATENATE("#Metadata!", ADDRESS(INDEX($AI$2:$AI$1001,MATCH(ROWS($AG$2:AG819),$AG$2:$AG$1001,0),0), INDEX($AN$1004:$BO$1004,1,MATCH(COLUMNS($AN$1006:AN1006),$AN$1006:$BO$1006,0)))),"Fix")))</f>
        <v>0</v>
      </c>
      <c r="C819" s="4">
        <f>IF(OR(INDEX($AH$2:$AH$1001,MATCH(ROWS($AG$2:AG819),$AG$2:$AG$1001,0),1)&gt;=100000,INDEX($AN$1005:$BO$1005,1,MATCH(COLUMNS($AN$1006:AO1006),$AN$1006:$BO$1006,0))&gt;=100000), " ",IF(INDEX($AN$2:$BO$1001,MATCH(ROWS($AG$2:AG819),$AG$2:$AG$1001,0),MATCH(COLUMNS($AN$1006:AO1006),$AN$1006:$BO$1006,0)), HYPERLINK("#",""), HYPERLINK(CONCATENATE("#Metadata!", ADDRESS(INDEX($AI$2:$AI$1001,MATCH(ROWS($AG$2:AG819),$AG$2:$AG$1001,0),0), INDEX($AN$1004:$BO$1004,1,MATCH(COLUMNS($AN$1006:AO1006),$AN$1006:$BO$1006,0)))),"Fix")))</f>
        <v>0</v>
      </c>
      <c r="D819" s="4">
        <f>IF(OR(INDEX($AH$2:$AH$1001,MATCH(ROWS($AG$2:AG819),$AG$2:$AG$1001,0),1)&gt;=100000,INDEX($AN$1005:$BO$1005,1,MATCH(COLUMNS($AN$1006:AP1006),$AN$1006:$BO$1006,0))&gt;=100000), " ",IF(INDEX($AN$2:$BO$1001,MATCH(ROWS($AG$2:AG819),$AG$2:$AG$1001,0),MATCH(COLUMNS($AN$1006:AP1006),$AN$1006:$BO$1006,0)), HYPERLINK("#",""), HYPERLINK(CONCATENATE("#Metadata!", ADDRESS(INDEX($AI$2:$AI$1001,MATCH(ROWS($AG$2:AG819),$AG$2:$AG$1001,0),0), INDEX($AN$1004:$BO$1004,1,MATCH(COLUMNS($AN$1006:AP1006),$AN$1006:$BO$1006,0)))),"Fix")))</f>
        <v>0</v>
      </c>
      <c r="E819" s="4">
        <f>IF(OR(INDEX($AH$2:$AH$1001,MATCH(ROWS($AG$2:AG819),$AG$2:$AG$1001,0),1)&gt;=100000,INDEX($AN$1005:$BO$1005,1,MATCH(COLUMNS($AN$1006:AQ1006),$AN$1006:$BO$1006,0))&gt;=100000), " ",IF(INDEX($AN$2:$BO$1001,MATCH(ROWS($AG$2:AG819),$AG$2:$AG$1001,0),MATCH(COLUMNS($AN$1006:AQ1006),$AN$1006:$BO$1006,0)), HYPERLINK("#",""), HYPERLINK(CONCATENATE("#Metadata!", ADDRESS(INDEX($AI$2:$AI$1001,MATCH(ROWS($AG$2:AG819),$AG$2:$AG$1001,0),0), INDEX($AN$1004:$BO$1004,1,MATCH(COLUMNS($AN$1006:AQ1006),$AN$1006:$BO$1006,0)))),"Fix")))</f>
        <v>0</v>
      </c>
      <c r="F819" s="4">
        <f>IF(OR(INDEX($AH$2:$AH$1001,MATCH(ROWS($AG$2:AG819),$AG$2:$AG$1001,0),1)&gt;=100000,INDEX($AN$1005:$BO$1005,1,MATCH(COLUMNS($AN$1006:AR1006),$AN$1006:$BO$1006,0))&gt;=100000), " ",IF(INDEX($AN$2:$BO$1001,MATCH(ROWS($AG$2:AG819),$AG$2:$AG$1001,0),MATCH(COLUMNS($AN$1006:AR1006),$AN$1006:$BO$1006,0)), HYPERLINK("#",""), HYPERLINK(CONCATENATE("#Metadata!", ADDRESS(INDEX($AI$2:$AI$1001,MATCH(ROWS($AG$2:AG819),$AG$2:$AG$1001,0),0), INDEX($AN$1004:$BO$1004,1,MATCH(COLUMNS($AN$1006:AR1006),$AN$1006:$BO$1006,0)))),"Fix")))</f>
        <v>0</v>
      </c>
      <c r="G819" s="4">
        <f>IF(OR(INDEX($AH$2:$AH$1001,MATCH(ROWS($AG$2:AG819),$AG$2:$AG$1001,0),1)&gt;=100000,INDEX($AN$1005:$BO$1005,1,MATCH(COLUMNS($AN$1006:AS1006),$AN$1006:$BO$1006,0))&gt;=100000), " ",IF(INDEX($AN$2:$BO$1001,MATCH(ROWS($AG$2:AG819),$AG$2:$AG$1001,0),MATCH(COLUMNS($AN$1006:AS1006),$AN$1006:$BO$1006,0)), HYPERLINK("#",""), HYPERLINK(CONCATENATE("#Metadata!", ADDRESS(INDEX($AI$2:$AI$1001,MATCH(ROWS($AG$2:AG819),$AG$2:$AG$1001,0),0), INDEX($AN$1004:$BO$1004,1,MATCH(COLUMNS($AN$1006:AS1006),$AN$1006:$BO$1006,0)))),"Fix")))</f>
        <v>0</v>
      </c>
      <c r="H819" s="4">
        <f>IF(OR(INDEX($AH$2:$AH$1001,MATCH(ROWS($AG$2:AG819),$AG$2:$AG$1001,0),1)&gt;=100000,INDEX($AN$1005:$BO$1005,1,MATCH(COLUMNS($AN$1006:AT1006),$AN$1006:$BO$1006,0))&gt;=100000), " ",IF(INDEX($AN$2:$BO$1001,MATCH(ROWS($AG$2:AG819),$AG$2:$AG$1001,0),MATCH(COLUMNS($AN$1006:AT1006),$AN$1006:$BO$1006,0)), HYPERLINK("#",""), HYPERLINK(CONCATENATE("#Metadata!", ADDRESS(INDEX($AI$2:$AI$1001,MATCH(ROWS($AG$2:AG819),$AG$2:$AG$1001,0),0), INDEX($AN$1004:$BO$1004,1,MATCH(COLUMNS($AN$1006:AT1006),$AN$1006:$BO$1006,0)))),"Fix")))</f>
        <v>0</v>
      </c>
      <c r="I819" s="4">
        <f>IF(OR(INDEX($AH$2:$AH$1001,MATCH(ROWS($AG$2:AG819),$AG$2:$AG$1001,0),1)&gt;=100000,INDEX($AN$1005:$BO$1005,1,MATCH(COLUMNS($AN$1006:AU1006),$AN$1006:$BO$1006,0))&gt;=100000), " ",IF(INDEX($AN$2:$BO$1001,MATCH(ROWS($AG$2:AG819),$AG$2:$AG$1001,0),MATCH(COLUMNS($AN$1006:AU1006),$AN$1006:$BO$1006,0)), HYPERLINK("#",""), HYPERLINK(CONCATENATE("#Metadata!", ADDRESS(INDEX($AI$2:$AI$1001,MATCH(ROWS($AG$2:AG819),$AG$2:$AG$1001,0),0), INDEX($AN$1004:$BO$1004,1,MATCH(COLUMNS($AN$1006:AU1006),$AN$1006:$BO$1006,0)))),"Fix")))</f>
        <v>0</v>
      </c>
      <c r="J819" s="4">
        <f>IF(OR(INDEX($AH$2:$AH$1001,MATCH(ROWS($AG$2:AG819),$AG$2:$AG$1001,0),1)&gt;=100000,INDEX($AN$1005:$BO$1005,1,MATCH(COLUMNS($AN$1006:AV1006),$AN$1006:$BO$1006,0))&gt;=100000), " ",IF(INDEX($AN$2:$BO$1001,MATCH(ROWS($AG$2:AG819),$AG$2:$AG$1001,0),MATCH(COLUMNS($AN$1006:AV1006),$AN$1006:$BO$1006,0)), HYPERLINK("#",""), HYPERLINK(CONCATENATE("#Metadata!", ADDRESS(INDEX($AI$2:$AI$1001,MATCH(ROWS($AG$2:AG819),$AG$2:$AG$1001,0),0), INDEX($AN$1004:$BO$1004,1,MATCH(COLUMNS($AN$1006:AV1006),$AN$1006:$BO$1006,0)))),"Fix")))</f>
        <v>0</v>
      </c>
      <c r="K819" s="4">
        <f>IF(OR(INDEX($AH$2:$AH$1001,MATCH(ROWS($AG$2:AG819),$AG$2:$AG$1001,0),1)&gt;=100000,INDEX($AN$1005:$BO$1005,1,MATCH(COLUMNS($AN$1006:AW1006),$AN$1006:$BO$1006,0))&gt;=100000), " ",IF(INDEX($AN$2:$BO$1001,MATCH(ROWS($AG$2:AG819),$AG$2:$AG$1001,0),MATCH(COLUMNS($AN$1006:AW1006),$AN$1006:$BO$1006,0)), HYPERLINK("#",""), HYPERLINK(CONCATENATE("#Metadata!", ADDRESS(INDEX($AI$2:$AI$1001,MATCH(ROWS($AG$2:AG819),$AG$2:$AG$1001,0),0), INDEX($AN$1004:$BO$1004,1,MATCH(COLUMNS($AN$1006:AW1006),$AN$1006:$BO$1006,0)))),"Fix")))</f>
        <v>0</v>
      </c>
      <c r="L819" s="4">
        <f>IF(OR(INDEX($AH$2:$AH$1001,MATCH(ROWS($AG$2:AG819),$AG$2:$AG$1001,0),1)&gt;=100000,INDEX($AN$1005:$BO$1005,1,MATCH(COLUMNS($AN$1006:AX1006),$AN$1006:$BO$1006,0))&gt;=100000), " ",IF(INDEX($AN$2:$BO$1001,MATCH(ROWS($AG$2:AG819),$AG$2:$AG$1001,0),MATCH(COLUMNS($AN$1006:AX1006),$AN$1006:$BO$1006,0)), HYPERLINK("#",""), HYPERLINK(CONCATENATE("#Metadata!", ADDRESS(INDEX($AI$2:$AI$1001,MATCH(ROWS($AG$2:AG819),$AG$2:$AG$1001,0),0), INDEX($AN$1004:$BO$1004,1,MATCH(COLUMNS($AN$1006:AX1006),$AN$1006:$BO$1006,0)))),"Fix")))</f>
        <v>0</v>
      </c>
      <c r="M819" s="4">
        <f>IF(OR(INDEX($AH$2:$AH$1001,MATCH(ROWS($AG$2:AG819),$AG$2:$AG$1001,0),1)&gt;=100000,INDEX($AN$1005:$BO$1005,1,MATCH(COLUMNS($AN$1006:AY1006),$AN$1006:$BO$1006,0))&gt;=100000), " ",IF(INDEX($AN$2:$BO$1001,MATCH(ROWS($AG$2:AG819),$AG$2:$AG$1001,0),MATCH(COLUMNS($AN$1006:AY1006),$AN$1006:$BO$1006,0)), HYPERLINK("#",""), HYPERLINK(CONCATENATE("#Metadata!", ADDRESS(INDEX($AI$2:$AI$1001,MATCH(ROWS($AG$2:AG819),$AG$2:$AG$1001,0),0), INDEX($AN$1004:$BO$1004,1,MATCH(COLUMNS($AN$1006:AY1006),$AN$1006:$BO$1006,0)))),"Fix")))</f>
        <v>0</v>
      </c>
      <c r="N819" s="4">
        <f>IF(OR(INDEX($AH$2:$AH$1001,MATCH(ROWS($AG$2:AG819),$AG$2:$AG$1001,0),1)&gt;=100000,INDEX($AN$1005:$BO$1005,1,MATCH(COLUMNS($AN$1006:AZ1006),$AN$1006:$BO$1006,0))&gt;=100000), " ",IF(INDEX($AN$2:$BO$1001,MATCH(ROWS($AG$2:AG819),$AG$2:$AG$1001,0),MATCH(COLUMNS($AN$1006:AZ1006),$AN$1006:$BO$1006,0)), HYPERLINK("#",""), HYPERLINK(CONCATENATE("#Metadata!", ADDRESS(INDEX($AI$2:$AI$1001,MATCH(ROWS($AG$2:AG819),$AG$2:$AG$1001,0),0), INDEX($AN$1004:$BO$1004,1,MATCH(COLUMNS($AN$1006:AZ1006),$AN$1006:$BO$1006,0)))),"Fix")))</f>
        <v>0</v>
      </c>
      <c r="O819" s="4">
        <f>IF(OR(INDEX($AH$2:$AH$1001,MATCH(ROWS($AG$2:AG819),$AG$2:$AG$1001,0),1)&gt;=100000,INDEX($AN$1005:$BO$1005,1,MATCH(COLUMNS($AN$1006:BA1006),$AN$1006:$BO$1006,0))&gt;=100000), " ",IF(INDEX($AN$2:$BO$1001,MATCH(ROWS($AG$2:AG819),$AG$2:$AG$1001,0),MATCH(COLUMNS($AN$1006:BA1006),$AN$1006:$BO$1006,0)), HYPERLINK("#",""), HYPERLINK(CONCATENATE("#Metadata!", ADDRESS(INDEX($AI$2:$AI$1001,MATCH(ROWS($AG$2:AG819),$AG$2:$AG$1001,0),0), INDEX($AN$1004:$BO$1004,1,MATCH(COLUMNS($AN$1006:BA1006),$AN$1006:$BO$1006,0)))),"Fix")))</f>
        <v>0</v>
      </c>
      <c r="P819" s="4">
        <f>IF(OR(INDEX($AH$2:$AH$1001,MATCH(ROWS($AG$2:AG819),$AG$2:$AG$1001,0),1)&gt;=100000,INDEX($AN$1005:$BO$1005,1,MATCH(COLUMNS($AN$1006:BB1006),$AN$1006:$BO$1006,0))&gt;=100000), " ",IF(INDEX($AN$2:$BO$1001,MATCH(ROWS($AG$2:AG819),$AG$2:$AG$1001,0),MATCH(COLUMNS($AN$1006:BB1006),$AN$1006:$BO$1006,0)), HYPERLINK("#",""), HYPERLINK(CONCATENATE("#Metadata!", ADDRESS(INDEX($AI$2:$AI$1001,MATCH(ROWS($AG$2:AG819),$AG$2:$AG$1001,0),0), INDEX($AN$1004:$BO$1004,1,MATCH(COLUMNS($AN$1006:BB1006),$AN$1006:$BO$1006,0)))),"Fix")))</f>
        <v>0</v>
      </c>
      <c r="Q819" s="4">
        <f>IF(OR(INDEX($AH$2:$AH$1001,MATCH(ROWS($AG$2:AG819),$AG$2:$AG$1001,0),1)&gt;=100000,INDEX($AN$1005:$BO$1005,1,MATCH(COLUMNS($AN$1006:BC1006),$AN$1006:$BO$1006,0))&gt;=100000), " ",IF(INDEX($AN$2:$BO$1001,MATCH(ROWS($AG$2:AG819),$AG$2:$AG$1001,0),MATCH(COLUMNS($AN$1006:BC1006),$AN$1006:$BO$1006,0)), HYPERLINK("#",""), HYPERLINK(CONCATENATE("#Metadata!", ADDRESS(INDEX($AI$2:$AI$1001,MATCH(ROWS($AG$2:AG819),$AG$2:$AG$1001,0),0), INDEX($AN$1004:$BO$1004,1,MATCH(COLUMNS($AN$1006:BC1006),$AN$1006:$BO$1006,0)))),"Fix")))</f>
        <v>0</v>
      </c>
      <c r="R819" s="4">
        <f>IF(OR(INDEX($AH$2:$AH$1001,MATCH(ROWS($AG$2:AG819),$AG$2:$AG$1001,0),1)&gt;=100000,INDEX($AN$1005:$BO$1005,1,MATCH(COLUMNS($AN$1006:BD1006),$AN$1006:$BO$1006,0))&gt;=100000), " ",IF(INDEX($AN$2:$BO$1001,MATCH(ROWS($AG$2:AG819),$AG$2:$AG$1001,0),MATCH(COLUMNS($AN$1006:BD1006),$AN$1006:$BO$1006,0)), HYPERLINK("#",""), HYPERLINK(CONCATENATE("#Metadata!", ADDRESS(INDEX($AI$2:$AI$1001,MATCH(ROWS($AG$2:AG819),$AG$2:$AG$1001,0),0), INDEX($AN$1004:$BO$1004,1,MATCH(COLUMNS($AN$1006:BD1006),$AN$1006:$BO$1006,0)))),"Fix")))</f>
        <v>0</v>
      </c>
      <c r="S819" s="4">
        <f>IF(OR(INDEX($AH$2:$AH$1001,MATCH(ROWS($AG$2:AG819),$AG$2:$AG$1001,0),1)&gt;=100000,INDEX($AN$1005:$BO$1005,1,MATCH(COLUMNS($AN$1006:BE1006),$AN$1006:$BO$1006,0))&gt;=100000), " ",IF(INDEX($AN$2:$BO$1001,MATCH(ROWS($AG$2:AG819),$AG$2:$AG$1001,0),MATCH(COLUMNS($AN$1006:BE1006),$AN$1006:$BO$1006,0)), HYPERLINK("#",""), HYPERLINK(CONCATENATE("#Metadata!", ADDRESS(INDEX($AI$2:$AI$1001,MATCH(ROWS($AG$2:AG819),$AG$2:$AG$1001,0),0), INDEX($AN$1004:$BO$1004,1,MATCH(COLUMNS($AN$1006:BE1006),$AN$1006:$BO$1006,0)))),"Fix")))</f>
        <v>0</v>
      </c>
      <c r="T819" s="4">
        <f>IF(OR(INDEX($AH$2:$AH$1001,MATCH(ROWS($AG$2:AG819),$AG$2:$AG$1001,0),1)&gt;=100000,INDEX($AN$1005:$BO$1005,1,MATCH(COLUMNS($AN$1006:BF1006),$AN$1006:$BO$1006,0))&gt;=100000), " ",IF(INDEX($AN$2:$BO$1001,MATCH(ROWS($AG$2:AG819),$AG$2:$AG$1001,0),MATCH(COLUMNS($AN$1006:BF1006),$AN$1006:$BO$1006,0)), HYPERLINK("#",""), HYPERLINK(CONCATENATE("#Metadata!", ADDRESS(INDEX($AI$2:$AI$1001,MATCH(ROWS($AG$2:AG819),$AG$2:$AG$1001,0),0), INDEX($AN$1004:$BO$1004,1,MATCH(COLUMNS($AN$1006:BF1006),$AN$1006:$BO$1006,0)))),"Fix")))</f>
        <v>0</v>
      </c>
      <c r="U819" s="4">
        <f>IF(OR(INDEX($AH$2:$AH$1001,MATCH(ROWS($AG$2:AG819),$AG$2:$AG$1001,0),1)&gt;=100000,INDEX($AN$1005:$BO$1005,1,MATCH(COLUMNS($AN$1006:BG1006),$AN$1006:$BO$1006,0))&gt;=100000), " ",IF(INDEX($AN$2:$BO$1001,MATCH(ROWS($AG$2:AG819),$AG$2:$AG$1001,0),MATCH(COLUMNS($AN$1006:BG1006),$AN$1006:$BO$1006,0)), HYPERLINK("#",""), HYPERLINK(CONCATENATE("#Metadata!", ADDRESS(INDEX($AI$2:$AI$1001,MATCH(ROWS($AG$2:AG819),$AG$2:$AG$1001,0),0), INDEX($AN$1004:$BO$1004,1,MATCH(COLUMNS($AN$1006:BG1006),$AN$1006:$BO$1006,0)))),"Fix")))</f>
        <v>0</v>
      </c>
      <c r="V819" s="4">
        <f>IF(OR(INDEX($AH$2:$AH$1001,MATCH(ROWS($AG$2:AG819),$AG$2:$AG$1001,0),1)&gt;=100000,INDEX($AN$1005:$BO$1005,1,MATCH(COLUMNS($AN$1006:BH1006),$AN$1006:$BO$1006,0))&gt;=100000), " ",IF(INDEX($AN$2:$BO$1001,MATCH(ROWS($AG$2:AG819),$AG$2:$AG$1001,0),MATCH(COLUMNS($AN$1006:BH1006),$AN$1006:$BO$1006,0)), HYPERLINK("#",""), HYPERLINK(CONCATENATE("#Metadata!", ADDRESS(INDEX($AI$2:$AI$1001,MATCH(ROWS($AG$2:AG819),$AG$2:$AG$1001,0),0), INDEX($AN$1004:$BO$1004,1,MATCH(COLUMNS($AN$1006:BH1006),$AN$1006:$BO$1006,0)))),"Fix")))</f>
        <v>0</v>
      </c>
      <c r="W819" s="4">
        <f>IF(OR(INDEX($AH$2:$AH$1001,MATCH(ROWS($AG$2:AG819),$AG$2:$AG$1001,0),1)&gt;=100000,INDEX($AN$1005:$BO$1005,1,MATCH(COLUMNS($AN$1006:BI1006),$AN$1006:$BO$1006,0))&gt;=100000), " ",IF(INDEX($AN$2:$BO$1001,MATCH(ROWS($AG$2:AG819),$AG$2:$AG$1001,0),MATCH(COLUMNS($AN$1006:BI1006),$AN$1006:$BO$1006,0)), HYPERLINK("#",""), HYPERLINK(CONCATENATE("#Metadata!", ADDRESS(INDEX($AI$2:$AI$1001,MATCH(ROWS($AG$2:AG819),$AG$2:$AG$1001,0),0), INDEX($AN$1004:$BO$1004,1,MATCH(COLUMNS($AN$1006:BI1006),$AN$1006:$BO$1006,0)))),"Fix")))</f>
        <v>0</v>
      </c>
      <c r="X819" s="4">
        <f>IF(OR(INDEX($AH$2:$AH$1001,MATCH(ROWS($AG$2:AG819),$AG$2:$AG$1001,0),1)&gt;=100000,INDEX($AN$1005:$BO$1005,1,MATCH(COLUMNS($AN$1006:BJ1006),$AN$1006:$BO$1006,0))&gt;=100000), " ",IF(INDEX($AN$2:$BO$1001,MATCH(ROWS($AG$2:AG819),$AG$2:$AG$1001,0),MATCH(COLUMNS($AN$1006:BJ1006),$AN$1006:$BO$1006,0)), HYPERLINK("#",""), HYPERLINK(CONCATENATE("#Metadata!", ADDRESS(INDEX($AI$2:$AI$1001,MATCH(ROWS($AG$2:AG819),$AG$2:$AG$1001,0),0), INDEX($AN$1004:$BO$1004,1,MATCH(COLUMNS($AN$1006:BJ1006),$AN$1006:$BO$1006,0)))),"Fix")))</f>
        <v>0</v>
      </c>
      <c r="Y819" s="4">
        <f>IF(OR(INDEX($AH$2:$AH$1001,MATCH(ROWS($AG$2:AG819),$AG$2:$AG$1001,0),1)&gt;=100000,INDEX($AN$1005:$BO$1005,1,MATCH(COLUMNS($AN$1006:BK1006),$AN$1006:$BO$1006,0))&gt;=100000), " ",IF(INDEX($AN$2:$BO$1001,MATCH(ROWS($AG$2:AG819),$AG$2:$AG$1001,0),MATCH(COLUMNS($AN$1006:BK1006),$AN$1006:$BO$1006,0)), HYPERLINK("#",""), HYPERLINK(CONCATENATE("#Metadata!", ADDRESS(INDEX($AI$2:$AI$1001,MATCH(ROWS($AG$2:AG819),$AG$2:$AG$1001,0),0), INDEX($AN$1004:$BO$1004,1,MATCH(COLUMNS($AN$1006:BK1006),$AN$1006:$BO$1006,0)))),"Fix")))</f>
        <v>0</v>
      </c>
      <c r="Z819" s="4">
        <f>IF(OR(INDEX($AH$2:$AH$1001,MATCH(ROWS($AG$2:AG819),$AG$2:$AG$1001,0),1)&gt;=100000,INDEX($AN$1005:$BO$1005,1,MATCH(COLUMNS($AN$1006:BL1006),$AN$1006:$BO$1006,0))&gt;=100000), " ",IF(INDEX($AN$2:$BO$1001,MATCH(ROWS($AG$2:AG819),$AG$2:$AG$1001,0),MATCH(COLUMNS($AN$1006:BL1006),$AN$1006:$BO$1006,0)), HYPERLINK("#",""), HYPERLINK(CONCATENATE("#Metadata!", ADDRESS(INDEX($AI$2:$AI$1001,MATCH(ROWS($AG$2:AG819),$AG$2:$AG$1001,0),0), INDEX($AN$1004:$BO$1004,1,MATCH(COLUMNS($AN$1006:BL1006),$AN$1006:$BO$1006,0)))),"Fix")))</f>
        <v>0</v>
      </c>
      <c r="AA819" s="4">
        <f>IF(OR(INDEX($AH$2:$AH$1001,MATCH(ROWS($AG$2:AG819),$AG$2:$AG$1001,0),1)&gt;=100000,INDEX($AN$1005:$BO$1005,1,MATCH(COLUMNS($AN$1006:BM1006),$AN$1006:$BO$1006,0))&gt;=100000), " ",IF(INDEX($AN$2:$BO$1001,MATCH(ROWS($AG$2:AG819),$AG$2:$AG$1001,0),MATCH(COLUMNS($AN$1006:BM1006),$AN$1006:$BO$1006,0)), HYPERLINK("#",""), HYPERLINK(CONCATENATE("#Metadata!", ADDRESS(INDEX($AI$2:$AI$1001,MATCH(ROWS($AG$2:AG819),$AG$2:$AG$1001,0),0), INDEX($AN$1004:$BO$1004,1,MATCH(COLUMNS($AN$1006:BM1006),$AN$1006:$BO$1006,0)))),"Fix")))</f>
        <v>0</v>
      </c>
      <c r="AB819" s="4">
        <f>IF(OR(INDEX($AH$2:$AH$1001,MATCH(ROWS($AG$2:AG819),$AG$2:$AG$1001,0),1)&gt;=100000,INDEX($AN$1005:$BO$1005,1,MATCH(COLUMNS($AN$1006:BN1006),$AN$1006:$BO$1006,0))&gt;=100000), " ",IF(INDEX($AN$2:$BO$1001,MATCH(ROWS($AG$2:AG819),$AG$2:$AG$1001,0),MATCH(COLUMNS($AN$1006:BN1006),$AN$1006:$BO$1006,0)), HYPERLINK("#",""), HYPERLINK(CONCATENATE("#Metadata!", ADDRESS(INDEX($AI$2:$AI$1001,MATCH(ROWS($AG$2:AG819),$AG$2:$AG$1001,0),0), INDEX($AN$1004:$BO$1004,1,MATCH(COLUMNS($AN$1006:BN1006),$AN$1006:$BO$1006,0)))),"Fix")))</f>
        <v>0</v>
      </c>
      <c r="AC819" s="4">
        <f>IF(OR(INDEX($AH$2:$AH$1001,MATCH(ROWS($AG$2:AG819),$AG$2:$AG$1001,0),1)&gt;=100000,INDEX($AN$1005:$BO$1005,1,MATCH(COLUMNS($AN$1006:BO1006),$AN$1006:$BO$1006,0))&gt;=100000), " ",IF(INDEX($AN$2:$BO$1001,MATCH(ROWS($AG$2:AG819),$AG$2:$AG$1001,0),MATCH(COLUMNS($AN$1006:BO1006),$AN$1006:$BO$1006,0)), HYPERLINK("#",""), HYPERLINK(CONCATENATE("#Metadata!", ADDRESS(INDEX($AI$2:$AI$1001,MATCH(ROWS($AG$2:AG819),$AG$2:$AG$1001,0),0), INDEX($AN$1004:$BO$1004,1,MATCH(COLUMNS($AN$1006:BO1006),$AN$1006:$BO$1006,0)))),"Fix")))</f>
        <v>0</v>
      </c>
      <c r="AG819">
        <v>0</v>
      </c>
      <c r="AH819">
        <v>0</v>
      </c>
      <c r="AI819">
        <v>0</v>
      </c>
      <c r="AJ819">
        <f>IF(AK819,TRUE,AND(AN819:BO819))</f>
        <v>0</v>
      </c>
      <c r="AK819">
        <f>COUNTBLANK(Metadata!B819:AC819)=COLUMNS(Metadata!B819:AC819)</f>
        <v>0</v>
      </c>
      <c r="AL819">
        <v>0</v>
      </c>
      <c r="AN819">
        <f>AND(IF(Metadata!B819="",FALSE,TRUE),COUNTIF(Metadata!B:B, Metadata!B819) = 1,NOT(ISERROR(SUMPRODUCT(SEARCH(MID(Metadata!B819,ROW(INDIRECT("1:"&amp;LEN(Metadata!B819))), 1),"0123456789abcdefghijklmnopqrstuvwxyzABCDEFGHIJKLMNOPQRSTUVWXYZ.")))))</f>
        <v>0</v>
      </c>
      <c r="AO819">
        <f>IF(Metadata!C819="",FALSE,TRUE)</f>
        <v>0</v>
      </c>
      <c r="AP819">
        <f>IF(Metadata!D819="",FALSE,TRUE)</f>
        <v>0</v>
      </c>
      <c r="AQ819">
        <f>OR(AND(IF(Metadata!E819="",FALSE,TRUE),OR(exact(Metadata!E819,"not collected"),exact(Metadata!E819,"not provided"),exact(Metadata!E819,"restricted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R819">
        <f>IF(Metadata!F819="",FALSE,TRUE)</f>
        <v>0</v>
      </c>
      <c r="AS819">
        <f>OR(AND(IF(Metadata!G819="",FALSE,TRUE),OR(exact(Metadata!G819,"not collected"),exact(Metadata!G819,"not provided"))),AND(IF(Metadata!G819="",FALSE,TRUE),OR(exact(Metadata!G819,"TRUE"),exact(Metadata!G819,"FALSE"))))</f>
        <v>0</v>
      </c>
      <c r="AT819">
        <f>OR(AND(IF(Metadata!H819="",FALSE,TRUE),OR(exact(Metadata!H819,"not collected"),exact(Metadata!H819,"not provided"),exact(Metadata!H819,"restricted access"))),AND(IF(Metadata!H819="",FALSE,ISNUMBER(VALUE(Metadata!H819))),Metadata!H819&gt;=-413.0))</f>
        <v>0</v>
      </c>
      <c r="AU819">
        <f>AND(IF(Metadata!I819="",FALSE,TRUE),exact(Metadata!I819,"meters"))</f>
        <v>0</v>
      </c>
      <c r="AV819">
        <f>AND(IF(Metadata!J819="",FALSE,TRUE),OR(exact(Metadata!J819,"Host-associated"),exact(Metadata!J819,"Free-living")))</f>
        <v>0</v>
      </c>
      <c r="AW819">
        <f>AND(IF(Metadata!K819="",FALSE,TRUE),OR(exact(Metadata!K819,"Animal"),exact(Metadata!K819,"Fungus"),exact(Metadata!K819,"Plant"),exact(Metadata!K819,"Saline"),exact(Metadata!K819,"Non-saline")))</f>
        <v>0</v>
      </c>
      <c r="AX819">
        <f>AND(IF(Metadata!L819="",FALSE,TRUE),OR(exact(Metadata!L819,"Plant secretion"),exact(Metadata!L819,"Plant rhizosphere"),exact(Metadata!L819,"Plant surface"),exact(Metadata!L819,"Plant corpus"),exact(Metadata!L819,"Fungus surface"),exact(Metadata!L819,"Fungus corpus"),exact(Metadata!L819,"Animal surface"),exact(Metadata!L819,"Animal proximal gut"),exact(Metadata!L819,"Animal corpus"),exact(Metadata!L819,"Animal distal gut"),exact(Metadata!L819,"Animal secretion"),exact(Metadata!L819,"Sub-surface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Y819">
        <f>IF(Metadata!M819="",FALSE,TRUE)</f>
        <v>0</v>
      </c>
      <c r="AZ819">
        <f>IF(Metadata!N819="",FALSE,TRUE)</f>
        <v>0</v>
      </c>
      <c r="BA819">
        <f>IF(Metadata!O819="",FALSE,TRUE)</f>
        <v>0</v>
      </c>
      <c r="BB819">
        <f>OR(AND(IF(Metadata!P819="",FALSE,TRUE),OR(exact(Metadata!P819,"not collected"),exact(Metadata!P819,"not provided"),exact(Metadata!P819,"restricted access"))),AND(IF(Metadata!P819="",FALSE,TRUE),OR(exact(Metadata!P819,"air"),exact(Metadata!P819,"built environment"),exact(Metadata!P819,"host-associated"),exact(Metadata!P819,"human-associated"),exact(Metadata!P819,"human-skin"),exact(Metadata!P819,"human-oral"),exact(Metadata!P819,"human-gut"),exact(Metadata!P819,"human-vaginal"),exact(Metadata!P819,"microbial mat/biofilm"),exact(Metadata!P819,"misc environment"),exact(Metadata!P819,"plant-associated"),exact(Metadata!P819,"sediment"),exact(Metadata!P819,"soil"),exact(Metadata!P819,"wastewater/sludge"),exact(Metadata!P819,"water"))))</f>
        <v>0</v>
      </c>
      <c r="BC819">
        <f>IF(Metadata!Q819="",FALSE,TRUE)</f>
        <v>0</v>
      </c>
      <c r="BD819">
        <f>IF(Metadata!R819="",FALSE,TRUE)</f>
        <v>0</v>
      </c>
      <c r="BE819">
        <f>OR(AND(IF(Metadata!S819="",FALSE,TRUE),OR(exact(Metadata!S819,"not collected"),exact(Metadata!S819,"not provided"),exact(Metadata!S819,"restricted access"))),AND(IF(Metadata!S819="",FALSE,ISNUMBER(VALUE(Metadata!S819))),Metadata!S819&gt;=-90.00,Metadata!S819&lt;=90.00))</f>
        <v>0</v>
      </c>
      <c r="BF819">
        <f>AND(IF(Metadata!T819="",FALSE,TRUE),exact(Metadata!T819,"Decimal degrees"))</f>
        <v>0</v>
      </c>
      <c r="BG819">
        <f>OR(AND(IF(Metadata!U819="",FALSE,TRUE),OR(exact(Metadata!U819,"not collected"),exact(Metadata!U819,"not provided"),exact(Metadata!U819,"restricted access"))),AND(IF(Metadata!U819="",FALSE,ISNUMBER(VALUE(Metadata!U819))),Metadata!U819&gt;=-180.00,Metadata!U819&lt;=180.00))</f>
        <v>0</v>
      </c>
      <c r="BH819">
        <f>AND(IF(Metadata!V819="",FALSE,TRUE),exact(Metadata!V819,"Decimal degrees"))</f>
        <v>0</v>
      </c>
      <c r="BI819">
        <f>IF(Metadata!W819="",FALSE,TRUE)</f>
        <v>0</v>
      </c>
      <c r="BJ819">
        <f>OR(AND(IF(Metadata!X819="",FALSE,TRUE),OR(exact(Metadata!X819,"not collected"),exact(Metadata!X819,"not provided"),exact(Metadata!X819,"restricted access"))),AND(IF(Metadata!X819="",FALSE,TRUE),OR(exact(Metadata!X819,"TRUE"),exact(Metadata!X819,"FALSE"))))</f>
        <v>0</v>
      </c>
      <c r="BK819">
        <f>AND(IF(Metadata!Y819="",FALSE,TRUE),exact(Metadata!Y819,"other"))</f>
        <v>0</v>
      </c>
      <c r="BL819">
        <f>IF(Metadata!Z819="",FALSE,TRUE)</f>
        <v>0</v>
      </c>
      <c r="BM819">
        <f>OR(AND(IF(Metadata!AA819="",FALSE,TRUE),OR(exact(Metadata!AA819,"not collected"),exact(Metadata!AA819,"not provided"))),AND(IF(Metadata!AA819="",FALSE,IF(ISERROR(INT(Metadata!AA819)),FALSE,INT(Metadata!AA819)=Metadata!AA819)),Metadata!AA819&gt;0))</f>
        <v>0</v>
      </c>
      <c r="BN819">
        <f>AND(IF(Metadata!AB819="",FALSE,TRUE),exact(Metadata!AB819,"Not applicable"))</f>
        <v>0</v>
      </c>
      <c r="BO819">
        <f>IF(Metadata!AC819="",FALSE,TRUE)</f>
        <v>0</v>
      </c>
    </row>
    <row r="820" spans="1:67">
      <c r="A820" s="5">
        <f>IF(B820=" "," ",HYPERLINK(CONCATENATE("#metadata!",ADDRESS(INDEX($AI$2:$AI$1001,MATCH(ROWS($AG$2:AG820),$AG$2:$AG$1001,0),0),1)),INDEX($AL$2:$AL$1001,MATCH(ROWS($AG$2:AG820),$AG$2:$AG$1001,0),0)))</f>
        <v>0</v>
      </c>
      <c r="B820" s="4">
        <f>IF(OR(INDEX($AH$2:$AH$1001,MATCH(ROWS($AG$2:AG820),$AG$2:$AG$1001,0),1)&gt;=100000,INDEX($AN$1005:$BO$1005,1,MATCH(COLUMNS($AN$1006:AN1006),$AN$1006:$BO$1006,0))&gt;=100000), " ",IF(INDEX($AN$2:$BO$1001,MATCH(ROWS($AG$2:AG820),$AG$2:$AG$1001,0),MATCH(COLUMNS($AN$1006:AN1006),$AN$1006:$BO$1006,0)), HYPERLINK("#",""), HYPERLINK(CONCATENATE("#Metadata!", ADDRESS(INDEX($AI$2:$AI$1001,MATCH(ROWS($AG$2:AG820),$AG$2:$AG$1001,0),0), INDEX($AN$1004:$BO$1004,1,MATCH(COLUMNS($AN$1006:AN1006),$AN$1006:$BO$1006,0)))),"Fix")))</f>
        <v>0</v>
      </c>
      <c r="C820" s="4">
        <f>IF(OR(INDEX($AH$2:$AH$1001,MATCH(ROWS($AG$2:AG820),$AG$2:$AG$1001,0),1)&gt;=100000,INDEX($AN$1005:$BO$1005,1,MATCH(COLUMNS($AN$1006:AO1006),$AN$1006:$BO$1006,0))&gt;=100000), " ",IF(INDEX($AN$2:$BO$1001,MATCH(ROWS($AG$2:AG820),$AG$2:$AG$1001,0),MATCH(COLUMNS($AN$1006:AO1006),$AN$1006:$BO$1006,0)), HYPERLINK("#",""), HYPERLINK(CONCATENATE("#Metadata!", ADDRESS(INDEX($AI$2:$AI$1001,MATCH(ROWS($AG$2:AG820),$AG$2:$AG$1001,0),0), INDEX($AN$1004:$BO$1004,1,MATCH(COLUMNS($AN$1006:AO1006),$AN$1006:$BO$1006,0)))),"Fix")))</f>
        <v>0</v>
      </c>
      <c r="D820" s="4">
        <f>IF(OR(INDEX($AH$2:$AH$1001,MATCH(ROWS($AG$2:AG820),$AG$2:$AG$1001,0),1)&gt;=100000,INDEX($AN$1005:$BO$1005,1,MATCH(COLUMNS($AN$1006:AP1006),$AN$1006:$BO$1006,0))&gt;=100000), " ",IF(INDEX($AN$2:$BO$1001,MATCH(ROWS($AG$2:AG820),$AG$2:$AG$1001,0),MATCH(COLUMNS($AN$1006:AP1006),$AN$1006:$BO$1006,0)), HYPERLINK("#",""), HYPERLINK(CONCATENATE("#Metadata!", ADDRESS(INDEX($AI$2:$AI$1001,MATCH(ROWS($AG$2:AG820),$AG$2:$AG$1001,0),0), INDEX($AN$1004:$BO$1004,1,MATCH(COLUMNS($AN$1006:AP1006),$AN$1006:$BO$1006,0)))),"Fix")))</f>
        <v>0</v>
      </c>
      <c r="E820" s="4">
        <f>IF(OR(INDEX($AH$2:$AH$1001,MATCH(ROWS($AG$2:AG820),$AG$2:$AG$1001,0),1)&gt;=100000,INDEX($AN$1005:$BO$1005,1,MATCH(COLUMNS($AN$1006:AQ1006),$AN$1006:$BO$1006,0))&gt;=100000), " ",IF(INDEX($AN$2:$BO$1001,MATCH(ROWS($AG$2:AG820),$AG$2:$AG$1001,0),MATCH(COLUMNS($AN$1006:AQ1006),$AN$1006:$BO$1006,0)), HYPERLINK("#",""), HYPERLINK(CONCATENATE("#Metadata!", ADDRESS(INDEX($AI$2:$AI$1001,MATCH(ROWS($AG$2:AG820),$AG$2:$AG$1001,0),0), INDEX($AN$1004:$BO$1004,1,MATCH(COLUMNS($AN$1006:AQ1006),$AN$1006:$BO$1006,0)))),"Fix")))</f>
        <v>0</v>
      </c>
      <c r="F820" s="4">
        <f>IF(OR(INDEX($AH$2:$AH$1001,MATCH(ROWS($AG$2:AG820),$AG$2:$AG$1001,0),1)&gt;=100000,INDEX($AN$1005:$BO$1005,1,MATCH(COLUMNS($AN$1006:AR1006),$AN$1006:$BO$1006,0))&gt;=100000), " ",IF(INDEX($AN$2:$BO$1001,MATCH(ROWS($AG$2:AG820),$AG$2:$AG$1001,0),MATCH(COLUMNS($AN$1006:AR1006),$AN$1006:$BO$1006,0)), HYPERLINK("#",""), HYPERLINK(CONCATENATE("#Metadata!", ADDRESS(INDEX($AI$2:$AI$1001,MATCH(ROWS($AG$2:AG820),$AG$2:$AG$1001,0),0), INDEX($AN$1004:$BO$1004,1,MATCH(COLUMNS($AN$1006:AR1006),$AN$1006:$BO$1006,0)))),"Fix")))</f>
        <v>0</v>
      </c>
      <c r="G820" s="4">
        <f>IF(OR(INDEX($AH$2:$AH$1001,MATCH(ROWS($AG$2:AG820),$AG$2:$AG$1001,0),1)&gt;=100000,INDEX($AN$1005:$BO$1005,1,MATCH(COLUMNS($AN$1006:AS1006),$AN$1006:$BO$1006,0))&gt;=100000), " ",IF(INDEX($AN$2:$BO$1001,MATCH(ROWS($AG$2:AG820),$AG$2:$AG$1001,0),MATCH(COLUMNS($AN$1006:AS1006),$AN$1006:$BO$1006,0)), HYPERLINK("#",""), HYPERLINK(CONCATENATE("#Metadata!", ADDRESS(INDEX($AI$2:$AI$1001,MATCH(ROWS($AG$2:AG820),$AG$2:$AG$1001,0),0), INDEX($AN$1004:$BO$1004,1,MATCH(COLUMNS($AN$1006:AS1006),$AN$1006:$BO$1006,0)))),"Fix")))</f>
        <v>0</v>
      </c>
      <c r="H820" s="4">
        <f>IF(OR(INDEX($AH$2:$AH$1001,MATCH(ROWS($AG$2:AG820),$AG$2:$AG$1001,0),1)&gt;=100000,INDEX($AN$1005:$BO$1005,1,MATCH(COLUMNS($AN$1006:AT1006),$AN$1006:$BO$1006,0))&gt;=100000), " ",IF(INDEX($AN$2:$BO$1001,MATCH(ROWS($AG$2:AG820),$AG$2:$AG$1001,0),MATCH(COLUMNS($AN$1006:AT1006),$AN$1006:$BO$1006,0)), HYPERLINK("#",""), HYPERLINK(CONCATENATE("#Metadata!", ADDRESS(INDEX($AI$2:$AI$1001,MATCH(ROWS($AG$2:AG820),$AG$2:$AG$1001,0),0), INDEX($AN$1004:$BO$1004,1,MATCH(COLUMNS($AN$1006:AT1006),$AN$1006:$BO$1006,0)))),"Fix")))</f>
        <v>0</v>
      </c>
      <c r="I820" s="4">
        <f>IF(OR(INDEX($AH$2:$AH$1001,MATCH(ROWS($AG$2:AG820),$AG$2:$AG$1001,0),1)&gt;=100000,INDEX($AN$1005:$BO$1005,1,MATCH(COLUMNS($AN$1006:AU1006),$AN$1006:$BO$1006,0))&gt;=100000), " ",IF(INDEX($AN$2:$BO$1001,MATCH(ROWS($AG$2:AG820),$AG$2:$AG$1001,0),MATCH(COLUMNS($AN$1006:AU1006),$AN$1006:$BO$1006,0)), HYPERLINK("#",""), HYPERLINK(CONCATENATE("#Metadata!", ADDRESS(INDEX($AI$2:$AI$1001,MATCH(ROWS($AG$2:AG820),$AG$2:$AG$1001,0),0), INDEX($AN$1004:$BO$1004,1,MATCH(COLUMNS($AN$1006:AU1006),$AN$1006:$BO$1006,0)))),"Fix")))</f>
        <v>0</v>
      </c>
      <c r="J820" s="4">
        <f>IF(OR(INDEX($AH$2:$AH$1001,MATCH(ROWS($AG$2:AG820),$AG$2:$AG$1001,0),1)&gt;=100000,INDEX($AN$1005:$BO$1005,1,MATCH(COLUMNS($AN$1006:AV1006),$AN$1006:$BO$1006,0))&gt;=100000), " ",IF(INDEX($AN$2:$BO$1001,MATCH(ROWS($AG$2:AG820),$AG$2:$AG$1001,0),MATCH(COLUMNS($AN$1006:AV1006),$AN$1006:$BO$1006,0)), HYPERLINK("#",""), HYPERLINK(CONCATENATE("#Metadata!", ADDRESS(INDEX($AI$2:$AI$1001,MATCH(ROWS($AG$2:AG820),$AG$2:$AG$1001,0),0), INDEX($AN$1004:$BO$1004,1,MATCH(COLUMNS($AN$1006:AV1006),$AN$1006:$BO$1006,0)))),"Fix")))</f>
        <v>0</v>
      </c>
      <c r="K820" s="4">
        <f>IF(OR(INDEX($AH$2:$AH$1001,MATCH(ROWS($AG$2:AG820),$AG$2:$AG$1001,0),1)&gt;=100000,INDEX($AN$1005:$BO$1005,1,MATCH(COLUMNS($AN$1006:AW1006),$AN$1006:$BO$1006,0))&gt;=100000), " ",IF(INDEX($AN$2:$BO$1001,MATCH(ROWS($AG$2:AG820),$AG$2:$AG$1001,0),MATCH(COLUMNS($AN$1006:AW1006),$AN$1006:$BO$1006,0)), HYPERLINK("#",""), HYPERLINK(CONCATENATE("#Metadata!", ADDRESS(INDEX($AI$2:$AI$1001,MATCH(ROWS($AG$2:AG820),$AG$2:$AG$1001,0),0), INDEX($AN$1004:$BO$1004,1,MATCH(COLUMNS($AN$1006:AW1006),$AN$1006:$BO$1006,0)))),"Fix")))</f>
        <v>0</v>
      </c>
      <c r="L820" s="4">
        <f>IF(OR(INDEX($AH$2:$AH$1001,MATCH(ROWS($AG$2:AG820),$AG$2:$AG$1001,0),1)&gt;=100000,INDEX($AN$1005:$BO$1005,1,MATCH(COLUMNS($AN$1006:AX1006),$AN$1006:$BO$1006,0))&gt;=100000), " ",IF(INDEX($AN$2:$BO$1001,MATCH(ROWS($AG$2:AG820),$AG$2:$AG$1001,0),MATCH(COLUMNS($AN$1006:AX1006),$AN$1006:$BO$1006,0)), HYPERLINK("#",""), HYPERLINK(CONCATENATE("#Metadata!", ADDRESS(INDEX($AI$2:$AI$1001,MATCH(ROWS($AG$2:AG820),$AG$2:$AG$1001,0),0), INDEX($AN$1004:$BO$1004,1,MATCH(COLUMNS($AN$1006:AX1006),$AN$1006:$BO$1006,0)))),"Fix")))</f>
        <v>0</v>
      </c>
      <c r="M820" s="4">
        <f>IF(OR(INDEX($AH$2:$AH$1001,MATCH(ROWS($AG$2:AG820),$AG$2:$AG$1001,0),1)&gt;=100000,INDEX($AN$1005:$BO$1005,1,MATCH(COLUMNS($AN$1006:AY1006),$AN$1006:$BO$1006,0))&gt;=100000), " ",IF(INDEX($AN$2:$BO$1001,MATCH(ROWS($AG$2:AG820),$AG$2:$AG$1001,0),MATCH(COLUMNS($AN$1006:AY1006),$AN$1006:$BO$1006,0)), HYPERLINK("#",""), HYPERLINK(CONCATENATE("#Metadata!", ADDRESS(INDEX($AI$2:$AI$1001,MATCH(ROWS($AG$2:AG820),$AG$2:$AG$1001,0),0), INDEX($AN$1004:$BO$1004,1,MATCH(COLUMNS($AN$1006:AY1006),$AN$1006:$BO$1006,0)))),"Fix")))</f>
        <v>0</v>
      </c>
      <c r="N820" s="4">
        <f>IF(OR(INDEX($AH$2:$AH$1001,MATCH(ROWS($AG$2:AG820),$AG$2:$AG$1001,0),1)&gt;=100000,INDEX($AN$1005:$BO$1005,1,MATCH(COLUMNS($AN$1006:AZ1006),$AN$1006:$BO$1006,0))&gt;=100000), " ",IF(INDEX($AN$2:$BO$1001,MATCH(ROWS($AG$2:AG820),$AG$2:$AG$1001,0),MATCH(COLUMNS($AN$1006:AZ1006),$AN$1006:$BO$1006,0)), HYPERLINK("#",""), HYPERLINK(CONCATENATE("#Metadata!", ADDRESS(INDEX($AI$2:$AI$1001,MATCH(ROWS($AG$2:AG820),$AG$2:$AG$1001,0),0), INDEX($AN$1004:$BO$1004,1,MATCH(COLUMNS($AN$1006:AZ1006),$AN$1006:$BO$1006,0)))),"Fix")))</f>
        <v>0</v>
      </c>
      <c r="O820" s="4">
        <f>IF(OR(INDEX($AH$2:$AH$1001,MATCH(ROWS($AG$2:AG820),$AG$2:$AG$1001,0),1)&gt;=100000,INDEX($AN$1005:$BO$1005,1,MATCH(COLUMNS($AN$1006:BA1006),$AN$1006:$BO$1006,0))&gt;=100000), " ",IF(INDEX($AN$2:$BO$1001,MATCH(ROWS($AG$2:AG820),$AG$2:$AG$1001,0),MATCH(COLUMNS($AN$1006:BA1006),$AN$1006:$BO$1006,0)), HYPERLINK("#",""), HYPERLINK(CONCATENATE("#Metadata!", ADDRESS(INDEX($AI$2:$AI$1001,MATCH(ROWS($AG$2:AG820),$AG$2:$AG$1001,0),0), INDEX($AN$1004:$BO$1004,1,MATCH(COLUMNS($AN$1006:BA1006),$AN$1006:$BO$1006,0)))),"Fix")))</f>
        <v>0</v>
      </c>
      <c r="P820" s="4">
        <f>IF(OR(INDEX($AH$2:$AH$1001,MATCH(ROWS($AG$2:AG820),$AG$2:$AG$1001,0),1)&gt;=100000,INDEX($AN$1005:$BO$1005,1,MATCH(COLUMNS($AN$1006:BB1006),$AN$1006:$BO$1006,0))&gt;=100000), " ",IF(INDEX($AN$2:$BO$1001,MATCH(ROWS($AG$2:AG820),$AG$2:$AG$1001,0),MATCH(COLUMNS($AN$1006:BB1006),$AN$1006:$BO$1006,0)), HYPERLINK("#",""), HYPERLINK(CONCATENATE("#Metadata!", ADDRESS(INDEX($AI$2:$AI$1001,MATCH(ROWS($AG$2:AG820),$AG$2:$AG$1001,0),0), INDEX($AN$1004:$BO$1004,1,MATCH(COLUMNS($AN$1006:BB1006),$AN$1006:$BO$1006,0)))),"Fix")))</f>
        <v>0</v>
      </c>
      <c r="Q820" s="4">
        <f>IF(OR(INDEX($AH$2:$AH$1001,MATCH(ROWS($AG$2:AG820),$AG$2:$AG$1001,0),1)&gt;=100000,INDEX($AN$1005:$BO$1005,1,MATCH(COLUMNS($AN$1006:BC1006),$AN$1006:$BO$1006,0))&gt;=100000), " ",IF(INDEX($AN$2:$BO$1001,MATCH(ROWS($AG$2:AG820),$AG$2:$AG$1001,0),MATCH(COLUMNS($AN$1006:BC1006),$AN$1006:$BO$1006,0)), HYPERLINK("#",""), HYPERLINK(CONCATENATE("#Metadata!", ADDRESS(INDEX($AI$2:$AI$1001,MATCH(ROWS($AG$2:AG820),$AG$2:$AG$1001,0),0), INDEX($AN$1004:$BO$1004,1,MATCH(COLUMNS($AN$1006:BC1006),$AN$1006:$BO$1006,0)))),"Fix")))</f>
        <v>0</v>
      </c>
      <c r="R820" s="4">
        <f>IF(OR(INDEX($AH$2:$AH$1001,MATCH(ROWS($AG$2:AG820),$AG$2:$AG$1001,0),1)&gt;=100000,INDEX($AN$1005:$BO$1005,1,MATCH(COLUMNS($AN$1006:BD1006),$AN$1006:$BO$1006,0))&gt;=100000), " ",IF(INDEX($AN$2:$BO$1001,MATCH(ROWS($AG$2:AG820),$AG$2:$AG$1001,0),MATCH(COLUMNS($AN$1006:BD1006),$AN$1006:$BO$1006,0)), HYPERLINK("#",""), HYPERLINK(CONCATENATE("#Metadata!", ADDRESS(INDEX($AI$2:$AI$1001,MATCH(ROWS($AG$2:AG820),$AG$2:$AG$1001,0),0), INDEX($AN$1004:$BO$1004,1,MATCH(COLUMNS($AN$1006:BD1006),$AN$1006:$BO$1006,0)))),"Fix")))</f>
        <v>0</v>
      </c>
      <c r="S820" s="4">
        <f>IF(OR(INDEX($AH$2:$AH$1001,MATCH(ROWS($AG$2:AG820),$AG$2:$AG$1001,0),1)&gt;=100000,INDEX($AN$1005:$BO$1005,1,MATCH(COLUMNS($AN$1006:BE1006),$AN$1006:$BO$1006,0))&gt;=100000), " ",IF(INDEX($AN$2:$BO$1001,MATCH(ROWS($AG$2:AG820),$AG$2:$AG$1001,0),MATCH(COLUMNS($AN$1006:BE1006),$AN$1006:$BO$1006,0)), HYPERLINK("#",""), HYPERLINK(CONCATENATE("#Metadata!", ADDRESS(INDEX($AI$2:$AI$1001,MATCH(ROWS($AG$2:AG820),$AG$2:$AG$1001,0),0), INDEX($AN$1004:$BO$1004,1,MATCH(COLUMNS($AN$1006:BE1006),$AN$1006:$BO$1006,0)))),"Fix")))</f>
        <v>0</v>
      </c>
      <c r="T820" s="4">
        <f>IF(OR(INDEX($AH$2:$AH$1001,MATCH(ROWS($AG$2:AG820),$AG$2:$AG$1001,0),1)&gt;=100000,INDEX($AN$1005:$BO$1005,1,MATCH(COLUMNS($AN$1006:BF1006),$AN$1006:$BO$1006,0))&gt;=100000), " ",IF(INDEX($AN$2:$BO$1001,MATCH(ROWS($AG$2:AG820),$AG$2:$AG$1001,0),MATCH(COLUMNS($AN$1006:BF1006),$AN$1006:$BO$1006,0)), HYPERLINK("#",""), HYPERLINK(CONCATENATE("#Metadata!", ADDRESS(INDEX($AI$2:$AI$1001,MATCH(ROWS($AG$2:AG820),$AG$2:$AG$1001,0),0), INDEX($AN$1004:$BO$1004,1,MATCH(COLUMNS($AN$1006:BF1006),$AN$1006:$BO$1006,0)))),"Fix")))</f>
        <v>0</v>
      </c>
      <c r="U820" s="4">
        <f>IF(OR(INDEX($AH$2:$AH$1001,MATCH(ROWS($AG$2:AG820),$AG$2:$AG$1001,0),1)&gt;=100000,INDEX($AN$1005:$BO$1005,1,MATCH(COLUMNS($AN$1006:BG1006),$AN$1006:$BO$1006,0))&gt;=100000), " ",IF(INDEX($AN$2:$BO$1001,MATCH(ROWS($AG$2:AG820),$AG$2:$AG$1001,0),MATCH(COLUMNS($AN$1006:BG1006),$AN$1006:$BO$1006,0)), HYPERLINK("#",""), HYPERLINK(CONCATENATE("#Metadata!", ADDRESS(INDEX($AI$2:$AI$1001,MATCH(ROWS($AG$2:AG820),$AG$2:$AG$1001,0),0), INDEX($AN$1004:$BO$1004,1,MATCH(COLUMNS($AN$1006:BG1006),$AN$1006:$BO$1006,0)))),"Fix")))</f>
        <v>0</v>
      </c>
      <c r="V820" s="4">
        <f>IF(OR(INDEX($AH$2:$AH$1001,MATCH(ROWS($AG$2:AG820),$AG$2:$AG$1001,0),1)&gt;=100000,INDEX($AN$1005:$BO$1005,1,MATCH(COLUMNS($AN$1006:BH1006),$AN$1006:$BO$1006,0))&gt;=100000), " ",IF(INDEX($AN$2:$BO$1001,MATCH(ROWS($AG$2:AG820),$AG$2:$AG$1001,0),MATCH(COLUMNS($AN$1006:BH1006),$AN$1006:$BO$1006,0)), HYPERLINK("#",""), HYPERLINK(CONCATENATE("#Metadata!", ADDRESS(INDEX($AI$2:$AI$1001,MATCH(ROWS($AG$2:AG820),$AG$2:$AG$1001,0),0), INDEX($AN$1004:$BO$1004,1,MATCH(COLUMNS($AN$1006:BH1006),$AN$1006:$BO$1006,0)))),"Fix")))</f>
        <v>0</v>
      </c>
      <c r="W820" s="4">
        <f>IF(OR(INDEX($AH$2:$AH$1001,MATCH(ROWS($AG$2:AG820),$AG$2:$AG$1001,0),1)&gt;=100000,INDEX($AN$1005:$BO$1005,1,MATCH(COLUMNS($AN$1006:BI1006),$AN$1006:$BO$1006,0))&gt;=100000), " ",IF(INDEX($AN$2:$BO$1001,MATCH(ROWS($AG$2:AG820),$AG$2:$AG$1001,0),MATCH(COLUMNS($AN$1006:BI1006),$AN$1006:$BO$1006,0)), HYPERLINK("#",""), HYPERLINK(CONCATENATE("#Metadata!", ADDRESS(INDEX($AI$2:$AI$1001,MATCH(ROWS($AG$2:AG820),$AG$2:$AG$1001,0),0), INDEX($AN$1004:$BO$1004,1,MATCH(COLUMNS($AN$1006:BI1006),$AN$1006:$BO$1006,0)))),"Fix")))</f>
        <v>0</v>
      </c>
      <c r="X820" s="4">
        <f>IF(OR(INDEX($AH$2:$AH$1001,MATCH(ROWS($AG$2:AG820),$AG$2:$AG$1001,0),1)&gt;=100000,INDEX($AN$1005:$BO$1005,1,MATCH(COLUMNS($AN$1006:BJ1006),$AN$1006:$BO$1006,0))&gt;=100000), " ",IF(INDEX($AN$2:$BO$1001,MATCH(ROWS($AG$2:AG820),$AG$2:$AG$1001,0),MATCH(COLUMNS($AN$1006:BJ1006),$AN$1006:$BO$1006,0)), HYPERLINK("#",""), HYPERLINK(CONCATENATE("#Metadata!", ADDRESS(INDEX($AI$2:$AI$1001,MATCH(ROWS($AG$2:AG820),$AG$2:$AG$1001,0),0), INDEX($AN$1004:$BO$1004,1,MATCH(COLUMNS($AN$1006:BJ1006),$AN$1006:$BO$1006,0)))),"Fix")))</f>
        <v>0</v>
      </c>
      <c r="Y820" s="4">
        <f>IF(OR(INDEX($AH$2:$AH$1001,MATCH(ROWS($AG$2:AG820),$AG$2:$AG$1001,0),1)&gt;=100000,INDEX($AN$1005:$BO$1005,1,MATCH(COLUMNS($AN$1006:BK1006),$AN$1006:$BO$1006,0))&gt;=100000), " ",IF(INDEX($AN$2:$BO$1001,MATCH(ROWS($AG$2:AG820),$AG$2:$AG$1001,0),MATCH(COLUMNS($AN$1006:BK1006),$AN$1006:$BO$1006,0)), HYPERLINK("#",""), HYPERLINK(CONCATENATE("#Metadata!", ADDRESS(INDEX($AI$2:$AI$1001,MATCH(ROWS($AG$2:AG820),$AG$2:$AG$1001,0),0), INDEX($AN$1004:$BO$1004,1,MATCH(COLUMNS($AN$1006:BK1006),$AN$1006:$BO$1006,0)))),"Fix")))</f>
        <v>0</v>
      </c>
      <c r="Z820" s="4">
        <f>IF(OR(INDEX($AH$2:$AH$1001,MATCH(ROWS($AG$2:AG820),$AG$2:$AG$1001,0),1)&gt;=100000,INDEX($AN$1005:$BO$1005,1,MATCH(COLUMNS($AN$1006:BL1006),$AN$1006:$BO$1006,0))&gt;=100000), " ",IF(INDEX($AN$2:$BO$1001,MATCH(ROWS($AG$2:AG820),$AG$2:$AG$1001,0),MATCH(COLUMNS($AN$1006:BL1006),$AN$1006:$BO$1006,0)), HYPERLINK("#",""), HYPERLINK(CONCATENATE("#Metadata!", ADDRESS(INDEX($AI$2:$AI$1001,MATCH(ROWS($AG$2:AG820),$AG$2:$AG$1001,0),0), INDEX($AN$1004:$BO$1004,1,MATCH(COLUMNS($AN$1006:BL1006),$AN$1006:$BO$1006,0)))),"Fix")))</f>
        <v>0</v>
      </c>
      <c r="AA820" s="4">
        <f>IF(OR(INDEX($AH$2:$AH$1001,MATCH(ROWS($AG$2:AG820),$AG$2:$AG$1001,0),1)&gt;=100000,INDEX($AN$1005:$BO$1005,1,MATCH(COLUMNS($AN$1006:BM1006),$AN$1006:$BO$1006,0))&gt;=100000), " ",IF(INDEX($AN$2:$BO$1001,MATCH(ROWS($AG$2:AG820),$AG$2:$AG$1001,0),MATCH(COLUMNS($AN$1006:BM1006),$AN$1006:$BO$1006,0)), HYPERLINK("#",""), HYPERLINK(CONCATENATE("#Metadata!", ADDRESS(INDEX($AI$2:$AI$1001,MATCH(ROWS($AG$2:AG820),$AG$2:$AG$1001,0),0), INDEX($AN$1004:$BO$1004,1,MATCH(COLUMNS($AN$1006:BM1006),$AN$1006:$BO$1006,0)))),"Fix")))</f>
        <v>0</v>
      </c>
      <c r="AB820" s="4">
        <f>IF(OR(INDEX($AH$2:$AH$1001,MATCH(ROWS($AG$2:AG820),$AG$2:$AG$1001,0),1)&gt;=100000,INDEX($AN$1005:$BO$1005,1,MATCH(COLUMNS($AN$1006:BN1006),$AN$1006:$BO$1006,0))&gt;=100000), " ",IF(INDEX($AN$2:$BO$1001,MATCH(ROWS($AG$2:AG820),$AG$2:$AG$1001,0),MATCH(COLUMNS($AN$1006:BN1006),$AN$1006:$BO$1006,0)), HYPERLINK("#",""), HYPERLINK(CONCATENATE("#Metadata!", ADDRESS(INDEX($AI$2:$AI$1001,MATCH(ROWS($AG$2:AG820),$AG$2:$AG$1001,0),0), INDEX($AN$1004:$BO$1004,1,MATCH(COLUMNS($AN$1006:BN1006),$AN$1006:$BO$1006,0)))),"Fix")))</f>
        <v>0</v>
      </c>
      <c r="AC820" s="4">
        <f>IF(OR(INDEX($AH$2:$AH$1001,MATCH(ROWS($AG$2:AG820),$AG$2:$AG$1001,0),1)&gt;=100000,INDEX($AN$1005:$BO$1005,1,MATCH(COLUMNS($AN$1006:BO1006),$AN$1006:$BO$1006,0))&gt;=100000), " ",IF(INDEX($AN$2:$BO$1001,MATCH(ROWS($AG$2:AG820),$AG$2:$AG$1001,0),MATCH(COLUMNS($AN$1006:BO1006),$AN$1006:$BO$1006,0)), HYPERLINK("#",""), HYPERLINK(CONCATENATE("#Metadata!", ADDRESS(INDEX($AI$2:$AI$1001,MATCH(ROWS($AG$2:AG820),$AG$2:$AG$1001,0),0), INDEX($AN$1004:$BO$1004,1,MATCH(COLUMNS($AN$1006:BO1006),$AN$1006:$BO$1006,0)))),"Fix")))</f>
        <v>0</v>
      </c>
      <c r="AG820">
        <v>0</v>
      </c>
      <c r="AH820">
        <v>0</v>
      </c>
      <c r="AI820">
        <v>0</v>
      </c>
      <c r="AJ820">
        <f>IF(AK820,TRUE,AND(AN820:BO820))</f>
        <v>0</v>
      </c>
      <c r="AK820">
        <f>COUNTBLANK(Metadata!B820:AC820)=COLUMNS(Metadata!B820:AC820)</f>
        <v>0</v>
      </c>
      <c r="AL820">
        <v>0</v>
      </c>
      <c r="AN820">
        <f>AND(IF(Metadata!B820="",FALSE,TRUE),COUNTIF(Metadata!B:B, Metadata!B820) = 1,NOT(ISERROR(SUMPRODUCT(SEARCH(MID(Metadata!B820,ROW(INDIRECT("1:"&amp;LEN(Metadata!B820))), 1),"0123456789abcdefghijklmnopqrstuvwxyzABCDEFGHIJKLMNOPQRSTUVWXYZ.")))))</f>
        <v>0</v>
      </c>
      <c r="AO820">
        <f>IF(Metadata!C820="",FALSE,TRUE)</f>
        <v>0</v>
      </c>
      <c r="AP820">
        <f>IF(Metadata!D820="",FALSE,TRUE)</f>
        <v>0</v>
      </c>
      <c r="AQ820">
        <f>OR(AND(IF(Metadata!E820="",FALSE,TRUE),OR(exact(Metadata!E820,"not collected"),exact(Metadata!E820,"not provided"),exact(Metadata!E820,"restricted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R820">
        <f>IF(Metadata!F820="",FALSE,TRUE)</f>
        <v>0</v>
      </c>
      <c r="AS820">
        <f>OR(AND(IF(Metadata!G820="",FALSE,TRUE),OR(exact(Metadata!G820,"not collected"),exact(Metadata!G820,"not provided"))),AND(IF(Metadata!G820="",FALSE,TRUE),OR(exact(Metadata!G820,"TRUE"),exact(Metadata!G820,"FALSE"))))</f>
        <v>0</v>
      </c>
      <c r="AT820">
        <f>OR(AND(IF(Metadata!H820="",FALSE,TRUE),OR(exact(Metadata!H820,"not collected"),exact(Metadata!H820,"not provided"),exact(Metadata!H820,"restricted access"))),AND(IF(Metadata!H820="",FALSE,ISNUMBER(VALUE(Metadata!H820))),Metadata!H820&gt;=-413.0))</f>
        <v>0</v>
      </c>
      <c r="AU820">
        <f>AND(IF(Metadata!I820="",FALSE,TRUE),exact(Metadata!I820,"meters"))</f>
        <v>0</v>
      </c>
      <c r="AV820">
        <f>AND(IF(Metadata!J820="",FALSE,TRUE),OR(exact(Metadata!J820,"Host-associated"),exact(Metadata!J820,"Free-living")))</f>
        <v>0</v>
      </c>
      <c r="AW820">
        <f>AND(IF(Metadata!K820="",FALSE,TRUE),OR(exact(Metadata!K820,"Animal"),exact(Metadata!K820,"Fungus"),exact(Metadata!K820,"Plant"),exact(Metadata!K820,"Saline"),exact(Metadata!K820,"Non-saline")))</f>
        <v>0</v>
      </c>
      <c r="AX820">
        <f>AND(IF(Metadata!L820="",FALSE,TRUE),OR(exact(Metadata!L820,"Plant secretion"),exact(Metadata!L820,"Plant rhizosphere"),exact(Metadata!L820,"Plant surface"),exact(Metadata!L820,"Plant corpus"),exact(Metadata!L820,"Fungus surface"),exact(Metadata!L820,"Fungus corpus"),exact(Metadata!L820,"Animal surface"),exact(Metadata!L820,"Animal proximal gut"),exact(Metadata!L820,"Animal corpus"),exact(Metadata!L820,"Animal distal gut"),exact(Metadata!L820,"Animal secretion"),exact(Metadata!L820,"Sub-surface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Y820">
        <f>IF(Metadata!M820="",FALSE,TRUE)</f>
        <v>0</v>
      </c>
      <c r="AZ820">
        <f>IF(Metadata!N820="",FALSE,TRUE)</f>
        <v>0</v>
      </c>
      <c r="BA820">
        <f>IF(Metadata!O820="",FALSE,TRUE)</f>
        <v>0</v>
      </c>
      <c r="BB820">
        <f>OR(AND(IF(Metadata!P820="",FALSE,TRUE),OR(exact(Metadata!P820,"not collected"),exact(Metadata!P820,"not provided"),exact(Metadata!P820,"restricted access"))),AND(IF(Metadata!P820="",FALSE,TRUE),OR(exact(Metadata!P820,"air"),exact(Metadata!P820,"built environment"),exact(Metadata!P820,"host-associated"),exact(Metadata!P820,"human-associated"),exact(Metadata!P820,"human-skin"),exact(Metadata!P820,"human-oral"),exact(Metadata!P820,"human-gut"),exact(Metadata!P820,"human-vaginal"),exact(Metadata!P820,"microbial mat/biofilm"),exact(Metadata!P820,"misc environment"),exact(Metadata!P820,"plant-associated"),exact(Metadata!P820,"sediment"),exact(Metadata!P820,"soil"),exact(Metadata!P820,"wastewater/sludge"),exact(Metadata!P820,"water"))))</f>
        <v>0</v>
      </c>
      <c r="BC820">
        <f>IF(Metadata!Q820="",FALSE,TRUE)</f>
        <v>0</v>
      </c>
      <c r="BD820">
        <f>IF(Metadata!R820="",FALSE,TRUE)</f>
        <v>0</v>
      </c>
      <c r="BE820">
        <f>OR(AND(IF(Metadata!S820="",FALSE,TRUE),OR(exact(Metadata!S820,"not collected"),exact(Metadata!S820,"not provided"),exact(Metadata!S820,"restricted access"))),AND(IF(Metadata!S820="",FALSE,ISNUMBER(VALUE(Metadata!S820))),Metadata!S820&gt;=-90.00,Metadata!S820&lt;=90.00))</f>
        <v>0</v>
      </c>
      <c r="BF820">
        <f>AND(IF(Metadata!T820="",FALSE,TRUE),exact(Metadata!T820,"Decimal degrees"))</f>
        <v>0</v>
      </c>
      <c r="BG820">
        <f>OR(AND(IF(Metadata!U820="",FALSE,TRUE),OR(exact(Metadata!U820,"not collected"),exact(Metadata!U820,"not provided"),exact(Metadata!U820,"restricted access"))),AND(IF(Metadata!U820="",FALSE,ISNUMBER(VALUE(Metadata!U820))),Metadata!U820&gt;=-180.00,Metadata!U820&lt;=180.00))</f>
        <v>0</v>
      </c>
      <c r="BH820">
        <f>AND(IF(Metadata!V820="",FALSE,TRUE),exact(Metadata!V820,"Decimal degrees"))</f>
        <v>0</v>
      </c>
      <c r="BI820">
        <f>IF(Metadata!W820="",FALSE,TRUE)</f>
        <v>0</v>
      </c>
      <c r="BJ820">
        <f>OR(AND(IF(Metadata!X820="",FALSE,TRUE),OR(exact(Metadata!X820,"not collected"),exact(Metadata!X820,"not provided"),exact(Metadata!X820,"restricted access"))),AND(IF(Metadata!X820="",FALSE,TRUE),OR(exact(Metadata!X820,"TRUE"),exact(Metadata!X820,"FALSE"))))</f>
        <v>0</v>
      </c>
      <c r="BK820">
        <f>AND(IF(Metadata!Y820="",FALSE,TRUE),exact(Metadata!Y820,"other"))</f>
        <v>0</v>
      </c>
      <c r="BL820">
        <f>IF(Metadata!Z820="",FALSE,TRUE)</f>
        <v>0</v>
      </c>
      <c r="BM820">
        <f>OR(AND(IF(Metadata!AA820="",FALSE,TRUE),OR(exact(Metadata!AA820,"not collected"),exact(Metadata!AA820,"not provided"))),AND(IF(Metadata!AA820="",FALSE,IF(ISERROR(INT(Metadata!AA820)),FALSE,INT(Metadata!AA820)=Metadata!AA820)),Metadata!AA820&gt;0))</f>
        <v>0</v>
      </c>
      <c r="BN820">
        <f>AND(IF(Metadata!AB820="",FALSE,TRUE),exact(Metadata!AB820,"Not applicable"))</f>
        <v>0</v>
      </c>
      <c r="BO820">
        <f>IF(Metadata!AC820="",FALSE,TRUE)</f>
        <v>0</v>
      </c>
    </row>
    <row r="821" spans="1:67">
      <c r="A821" s="5">
        <f>IF(B821=" "," ",HYPERLINK(CONCATENATE("#metadata!",ADDRESS(INDEX($AI$2:$AI$1001,MATCH(ROWS($AG$2:AG821),$AG$2:$AG$1001,0),0),1)),INDEX($AL$2:$AL$1001,MATCH(ROWS($AG$2:AG821),$AG$2:$AG$1001,0),0)))</f>
        <v>0</v>
      </c>
      <c r="B821" s="4">
        <f>IF(OR(INDEX($AH$2:$AH$1001,MATCH(ROWS($AG$2:AG821),$AG$2:$AG$1001,0),1)&gt;=100000,INDEX($AN$1005:$BO$1005,1,MATCH(COLUMNS($AN$1006:AN1006),$AN$1006:$BO$1006,0))&gt;=100000), " ",IF(INDEX($AN$2:$BO$1001,MATCH(ROWS($AG$2:AG821),$AG$2:$AG$1001,0),MATCH(COLUMNS($AN$1006:AN1006),$AN$1006:$BO$1006,0)), HYPERLINK("#",""), HYPERLINK(CONCATENATE("#Metadata!", ADDRESS(INDEX($AI$2:$AI$1001,MATCH(ROWS($AG$2:AG821),$AG$2:$AG$1001,0),0), INDEX($AN$1004:$BO$1004,1,MATCH(COLUMNS($AN$1006:AN1006),$AN$1006:$BO$1006,0)))),"Fix")))</f>
        <v>0</v>
      </c>
      <c r="C821" s="4">
        <f>IF(OR(INDEX($AH$2:$AH$1001,MATCH(ROWS($AG$2:AG821),$AG$2:$AG$1001,0),1)&gt;=100000,INDEX($AN$1005:$BO$1005,1,MATCH(COLUMNS($AN$1006:AO1006),$AN$1006:$BO$1006,0))&gt;=100000), " ",IF(INDEX($AN$2:$BO$1001,MATCH(ROWS($AG$2:AG821),$AG$2:$AG$1001,0),MATCH(COLUMNS($AN$1006:AO1006),$AN$1006:$BO$1006,0)), HYPERLINK("#",""), HYPERLINK(CONCATENATE("#Metadata!", ADDRESS(INDEX($AI$2:$AI$1001,MATCH(ROWS($AG$2:AG821),$AG$2:$AG$1001,0),0), INDEX($AN$1004:$BO$1004,1,MATCH(COLUMNS($AN$1006:AO1006),$AN$1006:$BO$1006,0)))),"Fix")))</f>
        <v>0</v>
      </c>
      <c r="D821" s="4">
        <f>IF(OR(INDEX($AH$2:$AH$1001,MATCH(ROWS($AG$2:AG821),$AG$2:$AG$1001,0),1)&gt;=100000,INDEX($AN$1005:$BO$1005,1,MATCH(COLUMNS($AN$1006:AP1006),$AN$1006:$BO$1006,0))&gt;=100000), " ",IF(INDEX($AN$2:$BO$1001,MATCH(ROWS($AG$2:AG821),$AG$2:$AG$1001,0),MATCH(COLUMNS($AN$1006:AP1006),$AN$1006:$BO$1006,0)), HYPERLINK("#",""), HYPERLINK(CONCATENATE("#Metadata!", ADDRESS(INDEX($AI$2:$AI$1001,MATCH(ROWS($AG$2:AG821),$AG$2:$AG$1001,0),0), INDEX($AN$1004:$BO$1004,1,MATCH(COLUMNS($AN$1006:AP1006),$AN$1006:$BO$1006,0)))),"Fix")))</f>
        <v>0</v>
      </c>
      <c r="E821" s="4">
        <f>IF(OR(INDEX($AH$2:$AH$1001,MATCH(ROWS($AG$2:AG821),$AG$2:$AG$1001,0),1)&gt;=100000,INDEX($AN$1005:$BO$1005,1,MATCH(COLUMNS($AN$1006:AQ1006),$AN$1006:$BO$1006,0))&gt;=100000), " ",IF(INDEX($AN$2:$BO$1001,MATCH(ROWS($AG$2:AG821),$AG$2:$AG$1001,0),MATCH(COLUMNS($AN$1006:AQ1006),$AN$1006:$BO$1006,0)), HYPERLINK("#",""), HYPERLINK(CONCATENATE("#Metadata!", ADDRESS(INDEX($AI$2:$AI$1001,MATCH(ROWS($AG$2:AG821),$AG$2:$AG$1001,0),0), INDEX($AN$1004:$BO$1004,1,MATCH(COLUMNS($AN$1006:AQ1006),$AN$1006:$BO$1006,0)))),"Fix")))</f>
        <v>0</v>
      </c>
      <c r="F821" s="4">
        <f>IF(OR(INDEX($AH$2:$AH$1001,MATCH(ROWS($AG$2:AG821),$AG$2:$AG$1001,0),1)&gt;=100000,INDEX($AN$1005:$BO$1005,1,MATCH(COLUMNS($AN$1006:AR1006),$AN$1006:$BO$1006,0))&gt;=100000), " ",IF(INDEX($AN$2:$BO$1001,MATCH(ROWS($AG$2:AG821),$AG$2:$AG$1001,0),MATCH(COLUMNS($AN$1006:AR1006),$AN$1006:$BO$1006,0)), HYPERLINK("#",""), HYPERLINK(CONCATENATE("#Metadata!", ADDRESS(INDEX($AI$2:$AI$1001,MATCH(ROWS($AG$2:AG821),$AG$2:$AG$1001,0),0), INDEX($AN$1004:$BO$1004,1,MATCH(COLUMNS($AN$1006:AR1006),$AN$1006:$BO$1006,0)))),"Fix")))</f>
        <v>0</v>
      </c>
      <c r="G821" s="4">
        <f>IF(OR(INDEX($AH$2:$AH$1001,MATCH(ROWS($AG$2:AG821),$AG$2:$AG$1001,0),1)&gt;=100000,INDEX($AN$1005:$BO$1005,1,MATCH(COLUMNS($AN$1006:AS1006),$AN$1006:$BO$1006,0))&gt;=100000), " ",IF(INDEX($AN$2:$BO$1001,MATCH(ROWS($AG$2:AG821),$AG$2:$AG$1001,0),MATCH(COLUMNS($AN$1006:AS1006),$AN$1006:$BO$1006,0)), HYPERLINK("#",""), HYPERLINK(CONCATENATE("#Metadata!", ADDRESS(INDEX($AI$2:$AI$1001,MATCH(ROWS($AG$2:AG821),$AG$2:$AG$1001,0),0), INDEX($AN$1004:$BO$1004,1,MATCH(COLUMNS($AN$1006:AS1006),$AN$1006:$BO$1006,0)))),"Fix")))</f>
        <v>0</v>
      </c>
      <c r="H821" s="4">
        <f>IF(OR(INDEX($AH$2:$AH$1001,MATCH(ROWS($AG$2:AG821),$AG$2:$AG$1001,0),1)&gt;=100000,INDEX($AN$1005:$BO$1005,1,MATCH(COLUMNS($AN$1006:AT1006),$AN$1006:$BO$1006,0))&gt;=100000), " ",IF(INDEX($AN$2:$BO$1001,MATCH(ROWS($AG$2:AG821),$AG$2:$AG$1001,0),MATCH(COLUMNS($AN$1006:AT1006),$AN$1006:$BO$1006,0)), HYPERLINK("#",""), HYPERLINK(CONCATENATE("#Metadata!", ADDRESS(INDEX($AI$2:$AI$1001,MATCH(ROWS($AG$2:AG821),$AG$2:$AG$1001,0),0), INDEX($AN$1004:$BO$1004,1,MATCH(COLUMNS($AN$1006:AT1006),$AN$1006:$BO$1006,0)))),"Fix")))</f>
        <v>0</v>
      </c>
      <c r="I821" s="4">
        <f>IF(OR(INDEX($AH$2:$AH$1001,MATCH(ROWS($AG$2:AG821),$AG$2:$AG$1001,0),1)&gt;=100000,INDEX($AN$1005:$BO$1005,1,MATCH(COLUMNS($AN$1006:AU1006),$AN$1006:$BO$1006,0))&gt;=100000), " ",IF(INDEX($AN$2:$BO$1001,MATCH(ROWS($AG$2:AG821),$AG$2:$AG$1001,0),MATCH(COLUMNS($AN$1006:AU1006),$AN$1006:$BO$1006,0)), HYPERLINK("#",""), HYPERLINK(CONCATENATE("#Metadata!", ADDRESS(INDEX($AI$2:$AI$1001,MATCH(ROWS($AG$2:AG821),$AG$2:$AG$1001,0),0), INDEX($AN$1004:$BO$1004,1,MATCH(COLUMNS($AN$1006:AU1006),$AN$1006:$BO$1006,0)))),"Fix")))</f>
        <v>0</v>
      </c>
      <c r="J821" s="4">
        <f>IF(OR(INDEX($AH$2:$AH$1001,MATCH(ROWS($AG$2:AG821),$AG$2:$AG$1001,0),1)&gt;=100000,INDEX($AN$1005:$BO$1005,1,MATCH(COLUMNS($AN$1006:AV1006),$AN$1006:$BO$1006,0))&gt;=100000), " ",IF(INDEX($AN$2:$BO$1001,MATCH(ROWS($AG$2:AG821),$AG$2:$AG$1001,0),MATCH(COLUMNS($AN$1006:AV1006),$AN$1006:$BO$1006,0)), HYPERLINK("#",""), HYPERLINK(CONCATENATE("#Metadata!", ADDRESS(INDEX($AI$2:$AI$1001,MATCH(ROWS($AG$2:AG821),$AG$2:$AG$1001,0),0), INDEX($AN$1004:$BO$1004,1,MATCH(COLUMNS($AN$1006:AV1006),$AN$1006:$BO$1006,0)))),"Fix")))</f>
        <v>0</v>
      </c>
      <c r="K821" s="4">
        <f>IF(OR(INDEX($AH$2:$AH$1001,MATCH(ROWS($AG$2:AG821),$AG$2:$AG$1001,0),1)&gt;=100000,INDEX($AN$1005:$BO$1005,1,MATCH(COLUMNS($AN$1006:AW1006),$AN$1006:$BO$1006,0))&gt;=100000), " ",IF(INDEX($AN$2:$BO$1001,MATCH(ROWS($AG$2:AG821),$AG$2:$AG$1001,0),MATCH(COLUMNS($AN$1006:AW1006),$AN$1006:$BO$1006,0)), HYPERLINK("#",""), HYPERLINK(CONCATENATE("#Metadata!", ADDRESS(INDEX($AI$2:$AI$1001,MATCH(ROWS($AG$2:AG821),$AG$2:$AG$1001,0),0), INDEX($AN$1004:$BO$1004,1,MATCH(COLUMNS($AN$1006:AW1006),$AN$1006:$BO$1006,0)))),"Fix")))</f>
        <v>0</v>
      </c>
      <c r="L821" s="4">
        <f>IF(OR(INDEX($AH$2:$AH$1001,MATCH(ROWS($AG$2:AG821),$AG$2:$AG$1001,0),1)&gt;=100000,INDEX($AN$1005:$BO$1005,1,MATCH(COLUMNS($AN$1006:AX1006),$AN$1006:$BO$1006,0))&gt;=100000), " ",IF(INDEX($AN$2:$BO$1001,MATCH(ROWS($AG$2:AG821),$AG$2:$AG$1001,0),MATCH(COLUMNS($AN$1006:AX1006),$AN$1006:$BO$1006,0)), HYPERLINK("#",""), HYPERLINK(CONCATENATE("#Metadata!", ADDRESS(INDEX($AI$2:$AI$1001,MATCH(ROWS($AG$2:AG821),$AG$2:$AG$1001,0),0), INDEX($AN$1004:$BO$1004,1,MATCH(COLUMNS($AN$1006:AX1006),$AN$1006:$BO$1006,0)))),"Fix")))</f>
        <v>0</v>
      </c>
      <c r="M821" s="4">
        <f>IF(OR(INDEX($AH$2:$AH$1001,MATCH(ROWS($AG$2:AG821),$AG$2:$AG$1001,0),1)&gt;=100000,INDEX($AN$1005:$BO$1005,1,MATCH(COLUMNS($AN$1006:AY1006),$AN$1006:$BO$1006,0))&gt;=100000), " ",IF(INDEX($AN$2:$BO$1001,MATCH(ROWS($AG$2:AG821),$AG$2:$AG$1001,0),MATCH(COLUMNS($AN$1006:AY1006),$AN$1006:$BO$1006,0)), HYPERLINK("#",""), HYPERLINK(CONCATENATE("#Metadata!", ADDRESS(INDEX($AI$2:$AI$1001,MATCH(ROWS($AG$2:AG821),$AG$2:$AG$1001,0),0), INDEX($AN$1004:$BO$1004,1,MATCH(COLUMNS($AN$1006:AY1006),$AN$1006:$BO$1006,0)))),"Fix")))</f>
        <v>0</v>
      </c>
      <c r="N821" s="4">
        <f>IF(OR(INDEX($AH$2:$AH$1001,MATCH(ROWS($AG$2:AG821),$AG$2:$AG$1001,0),1)&gt;=100000,INDEX($AN$1005:$BO$1005,1,MATCH(COLUMNS($AN$1006:AZ1006),$AN$1006:$BO$1006,0))&gt;=100000), " ",IF(INDEX($AN$2:$BO$1001,MATCH(ROWS($AG$2:AG821),$AG$2:$AG$1001,0),MATCH(COLUMNS($AN$1006:AZ1006),$AN$1006:$BO$1006,0)), HYPERLINK("#",""), HYPERLINK(CONCATENATE("#Metadata!", ADDRESS(INDEX($AI$2:$AI$1001,MATCH(ROWS($AG$2:AG821),$AG$2:$AG$1001,0),0), INDEX($AN$1004:$BO$1004,1,MATCH(COLUMNS($AN$1006:AZ1006),$AN$1006:$BO$1006,0)))),"Fix")))</f>
        <v>0</v>
      </c>
      <c r="O821" s="4">
        <f>IF(OR(INDEX($AH$2:$AH$1001,MATCH(ROWS($AG$2:AG821),$AG$2:$AG$1001,0),1)&gt;=100000,INDEX($AN$1005:$BO$1005,1,MATCH(COLUMNS($AN$1006:BA1006),$AN$1006:$BO$1006,0))&gt;=100000), " ",IF(INDEX($AN$2:$BO$1001,MATCH(ROWS($AG$2:AG821),$AG$2:$AG$1001,0),MATCH(COLUMNS($AN$1006:BA1006),$AN$1006:$BO$1006,0)), HYPERLINK("#",""), HYPERLINK(CONCATENATE("#Metadata!", ADDRESS(INDEX($AI$2:$AI$1001,MATCH(ROWS($AG$2:AG821),$AG$2:$AG$1001,0),0), INDEX($AN$1004:$BO$1004,1,MATCH(COLUMNS($AN$1006:BA1006),$AN$1006:$BO$1006,0)))),"Fix")))</f>
        <v>0</v>
      </c>
      <c r="P821" s="4">
        <f>IF(OR(INDEX($AH$2:$AH$1001,MATCH(ROWS($AG$2:AG821),$AG$2:$AG$1001,0),1)&gt;=100000,INDEX($AN$1005:$BO$1005,1,MATCH(COLUMNS($AN$1006:BB1006),$AN$1006:$BO$1006,0))&gt;=100000), " ",IF(INDEX($AN$2:$BO$1001,MATCH(ROWS($AG$2:AG821),$AG$2:$AG$1001,0),MATCH(COLUMNS($AN$1006:BB1006),$AN$1006:$BO$1006,0)), HYPERLINK("#",""), HYPERLINK(CONCATENATE("#Metadata!", ADDRESS(INDEX($AI$2:$AI$1001,MATCH(ROWS($AG$2:AG821),$AG$2:$AG$1001,0),0), INDEX($AN$1004:$BO$1004,1,MATCH(COLUMNS($AN$1006:BB1006),$AN$1006:$BO$1006,0)))),"Fix")))</f>
        <v>0</v>
      </c>
      <c r="Q821" s="4">
        <f>IF(OR(INDEX($AH$2:$AH$1001,MATCH(ROWS($AG$2:AG821),$AG$2:$AG$1001,0),1)&gt;=100000,INDEX($AN$1005:$BO$1005,1,MATCH(COLUMNS($AN$1006:BC1006),$AN$1006:$BO$1006,0))&gt;=100000), " ",IF(INDEX($AN$2:$BO$1001,MATCH(ROWS($AG$2:AG821),$AG$2:$AG$1001,0),MATCH(COLUMNS($AN$1006:BC1006),$AN$1006:$BO$1006,0)), HYPERLINK("#",""), HYPERLINK(CONCATENATE("#Metadata!", ADDRESS(INDEX($AI$2:$AI$1001,MATCH(ROWS($AG$2:AG821),$AG$2:$AG$1001,0),0), INDEX($AN$1004:$BO$1004,1,MATCH(COLUMNS($AN$1006:BC1006),$AN$1006:$BO$1006,0)))),"Fix")))</f>
        <v>0</v>
      </c>
      <c r="R821" s="4">
        <f>IF(OR(INDEX($AH$2:$AH$1001,MATCH(ROWS($AG$2:AG821),$AG$2:$AG$1001,0),1)&gt;=100000,INDEX($AN$1005:$BO$1005,1,MATCH(COLUMNS($AN$1006:BD1006),$AN$1006:$BO$1006,0))&gt;=100000), " ",IF(INDEX($AN$2:$BO$1001,MATCH(ROWS($AG$2:AG821),$AG$2:$AG$1001,0),MATCH(COLUMNS($AN$1006:BD1006),$AN$1006:$BO$1006,0)), HYPERLINK("#",""), HYPERLINK(CONCATENATE("#Metadata!", ADDRESS(INDEX($AI$2:$AI$1001,MATCH(ROWS($AG$2:AG821),$AG$2:$AG$1001,0),0), INDEX($AN$1004:$BO$1004,1,MATCH(COLUMNS($AN$1006:BD1006),$AN$1006:$BO$1006,0)))),"Fix")))</f>
        <v>0</v>
      </c>
      <c r="S821" s="4">
        <f>IF(OR(INDEX($AH$2:$AH$1001,MATCH(ROWS($AG$2:AG821),$AG$2:$AG$1001,0),1)&gt;=100000,INDEX($AN$1005:$BO$1005,1,MATCH(COLUMNS($AN$1006:BE1006),$AN$1006:$BO$1006,0))&gt;=100000), " ",IF(INDEX($AN$2:$BO$1001,MATCH(ROWS($AG$2:AG821),$AG$2:$AG$1001,0),MATCH(COLUMNS($AN$1006:BE1006),$AN$1006:$BO$1006,0)), HYPERLINK("#",""), HYPERLINK(CONCATENATE("#Metadata!", ADDRESS(INDEX($AI$2:$AI$1001,MATCH(ROWS($AG$2:AG821),$AG$2:$AG$1001,0),0), INDEX($AN$1004:$BO$1004,1,MATCH(COLUMNS($AN$1006:BE1006),$AN$1006:$BO$1006,0)))),"Fix")))</f>
        <v>0</v>
      </c>
      <c r="T821" s="4">
        <f>IF(OR(INDEX($AH$2:$AH$1001,MATCH(ROWS($AG$2:AG821),$AG$2:$AG$1001,0),1)&gt;=100000,INDEX($AN$1005:$BO$1005,1,MATCH(COLUMNS($AN$1006:BF1006),$AN$1006:$BO$1006,0))&gt;=100000), " ",IF(INDEX($AN$2:$BO$1001,MATCH(ROWS($AG$2:AG821),$AG$2:$AG$1001,0),MATCH(COLUMNS($AN$1006:BF1006),$AN$1006:$BO$1006,0)), HYPERLINK("#",""), HYPERLINK(CONCATENATE("#Metadata!", ADDRESS(INDEX($AI$2:$AI$1001,MATCH(ROWS($AG$2:AG821),$AG$2:$AG$1001,0),0), INDEX($AN$1004:$BO$1004,1,MATCH(COLUMNS($AN$1006:BF1006),$AN$1006:$BO$1006,0)))),"Fix")))</f>
        <v>0</v>
      </c>
      <c r="U821" s="4">
        <f>IF(OR(INDEX($AH$2:$AH$1001,MATCH(ROWS($AG$2:AG821),$AG$2:$AG$1001,0),1)&gt;=100000,INDEX($AN$1005:$BO$1005,1,MATCH(COLUMNS($AN$1006:BG1006),$AN$1006:$BO$1006,0))&gt;=100000), " ",IF(INDEX($AN$2:$BO$1001,MATCH(ROWS($AG$2:AG821),$AG$2:$AG$1001,0),MATCH(COLUMNS($AN$1006:BG1006),$AN$1006:$BO$1006,0)), HYPERLINK("#",""), HYPERLINK(CONCATENATE("#Metadata!", ADDRESS(INDEX($AI$2:$AI$1001,MATCH(ROWS($AG$2:AG821),$AG$2:$AG$1001,0),0), INDEX($AN$1004:$BO$1004,1,MATCH(COLUMNS($AN$1006:BG1006),$AN$1006:$BO$1006,0)))),"Fix")))</f>
        <v>0</v>
      </c>
      <c r="V821" s="4">
        <f>IF(OR(INDEX($AH$2:$AH$1001,MATCH(ROWS($AG$2:AG821),$AG$2:$AG$1001,0),1)&gt;=100000,INDEX($AN$1005:$BO$1005,1,MATCH(COLUMNS($AN$1006:BH1006),$AN$1006:$BO$1006,0))&gt;=100000), " ",IF(INDEX($AN$2:$BO$1001,MATCH(ROWS($AG$2:AG821),$AG$2:$AG$1001,0),MATCH(COLUMNS($AN$1006:BH1006),$AN$1006:$BO$1006,0)), HYPERLINK("#",""), HYPERLINK(CONCATENATE("#Metadata!", ADDRESS(INDEX($AI$2:$AI$1001,MATCH(ROWS($AG$2:AG821),$AG$2:$AG$1001,0),0), INDEX($AN$1004:$BO$1004,1,MATCH(COLUMNS($AN$1006:BH1006),$AN$1006:$BO$1006,0)))),"Fix")))</f>
        <v>0</v>
      </c>
      <c r="W821" s="4">
        <f>IF(OR(INDEX($AH$2:$AH$1001,MATCH(ROWS($AG$2:AG821),$AG$2:$AG$1001,0),1)&gt;=100000,INDEX($AN$1005:$BO$1005,1,MATCH(COLUMNS($AN$1006:BI1006),$AN$1006:$BO$1006,0))&gt;=100000), " ",IF(INDEX($AN$2:$BO$1001,MATCH(ROWS($AG$2:AG821),$AG$2:$AG$1001,0),MATCH(COLUMNS($AN$1006:BI1006),$AN$1006:$BO$1006,0)), HYPERLINK("#",""), HYPERLINK(CONCATENATE("#Metadata!", ADDRESS(INDEX($AI$2:$AI$1001,MATCH(ROWS($AG$2:AG821),$AG$2:$AG$1001,0),0), INDEX($AN$1004:$BO$1004,1,MATCH(COLUMNS($AN$1006:BI1006),$AN$1006:$BO$1006,0)))),"Fix")))</f>
        <v>0</v>
      </c>
      <c r="X821" s="4">
        <f>IF(OR(INDEX($AH$2:$AH$1001,MATCH(ROWS($AG$2:AG821),$AG$2:$AG$1001,0),1)&gt;=100000,INDEX($AN$1005:$BO$1005,1,MATCH(COLUMNS($AN$1006:BJ1006),$AN$1006:$BO$1006,0))&gt;=100000), " ",IF(INDEX($AN$2:$BO$1001,MATCH(ROWS($AG$2:AG821),$AG$2:$AG$1001,0),MATCH(COLUMNS($AN$1006:BJ1006),$AN$1006:$BO$1006,0)), HYPERLINK("#",""), HYPERLINK(CONCATENATE("#Metadata!", ADDRESS(INDEX($AI$2:$AI$1001,MATCH(ROWS($AG$2:AG821),$AG$2:$AG$1001,0),0), INDEX($AN$1004:$BO$1004,1,MATCH(COLUMNS($AN$1006:BJ1006),$AN$1006:$BO$1006,0)))),"Fix")))</f>
        <v>0</v>
      </c>
      <c r="Y821" s="4">
        <f>IF(OR(INDEX($AH$2:$AH$1001,MATCH(ROWS($AG$2:AG821),$AG$2:$AG$1001,0),1)&gt;=100000,INDEX($AN$1005:$BO$1005,1,MATCH(COLUMNS($AN$1006:BK1006),$AN$1006:$BO$1006,0))&gt;=100000), " ",IF(INDEX($AN$2:$BO$1001,MATCH(ROWS($AG$2:AG821),$AG$2:$AG$1001,0),MATCH(COLUMNS($AN$1006:BK1006),$AN$1006:$BO$1006,0)), HYPERLINK("#",""), HYPERLINK(CONCATENATE("#Metadata!", ADDRESS(INDEX($AI$2:$AI$1001,MATCH(ROWS($AG$2:AG821),$AG$2:$AG$1001,0),0), INDEX($AN$1004:$BO$1004,1,MATCH(COLUMNS($AN$1006:BK1006),$AN$1006:$BO$1006,0)))),"Fix")))</f>
        <v>0</v>
      </c>
      <c r="Z821" s="4">
        <f>IF(OR(INDEX($AH$2:$AH$1001,MATCH(ROWS($AG$2:AG821),$AG$2:$AG$1001,0),1)&gt;=100000,INDEX($AN$1005:$BO$1005,1,MATCH(COLUMNS($AN$1006:BL1006),$AN$1006:$BO$1006,0))&gt;=100000), " ",IF(INDEX($AN$2:$BO$1001,MATCH(ROWS($AG$2:AG821),$AG$2:$AG$1001,0),MATCH(COLUMNS($AN$1006:BL1006),$AN$1006:$BO$1006,0)), HYPERLINK("#",""), HYPERLINK(CONCATENATE("#Metadata!", ADDRESS(INDEX($AI$2:$AI$1001,MATCH(ROWS($AG$2:AG821),$AG$2:$AG$1001,0),0), INDEX($AN$1004:$BO$1004,1,MATCH(COLUMNS($AN$1006:BL1006),$AN$1006:$BO$1006,0)))),"Fix")))</f>
        <v>0</v>
      </c>
      <c r="AA821" s="4">
        <f>IF(OR(INDEX($AH$2:$AH$1001,MATCH(ROWS($AG$2:AG821),$AG$2:$AG$1001,0),1)&gt;=100000,INDEX($AN$1005:$BO$1005,1,MATCH(COLUMNS($AN$1006:BM1006),$AN$1006:$BO$1006,0))&gt;=100000), " ",IF(INDEX($AN$2:$BO$1001,MATCH(ROWS($AG$2:AG821),$AG$2:$AG$1001,0),MATCH(COLUMNS($AN$1006:BM1006),$AN$1006:$BO$1006,0)), HYPERLINK("#",""), HYPERLINK(CONCATENATE("#Metadata!", ADDRESS(INDEX($AI$2:$AI$1001,MATCH(ROWS($AG$2:AG821),$AG$2:$AG$1001,0),0), INDEX($AN$1004:$BO$1004,1,MATCH(COLUMNS($AN$1006:BM1006),$AN$1006:$BO$1006,0)))),"Fix")))</f>
        <v>0</v>
      </c>
      <c r="AB821" s="4">
        <f>IF(OR(INDEX($AH$2:$AH$1001,MATCH(ROWS($AG$2:AG821),$AG$2:$AG$1001,0),1)&gt;=100000,INDEX($AN$1005:$BO$1005,1,MATCH(COLUMNS($AN$1006:BN1006),$AN$1006:$BO$1006,0))&gt;=100000), " ",IF(INDEX($AN$2:$BO$1001,MATCH(ROWS($AG$2:AG821),$AG$2:$AG$1001,0),MATCH(COLUMNS($AN$1006:BN1006),$AN$1006:$BO$1006,0)), HYPERLINK("#",""), HYPERLINK(CONCATENATE("#Metadata!", ADDRESS(INDEX($AI$2:$AI$1001,MATCH(ROWS($AG$2:AG821),$AG$2:$AG$1001,0),0), INDEX($AN$1004:$BO$1004,1,MATCH(COLUMNS($AN$1006:BN1006),$AN$1006:$BO$1006,0)))),"Fix")))</f>
        <v>0</v>
      </c>
      <c r="AC821" s="4">
        <f>IF(OR(INDEX($AH$2:$AH$1001,MATCH(ROWS($AG$2:AG821),$AG$2:$AG$1001,0),1)&gt;=100000,INDEX($AN$1005:$BO$1005,1,MATCH(COLUMNS($AN$1006:BO1006),$AN$1006:$BO$1006,0))&gt;=100000), " ",IF(INDEX($AN$2:$BO$1001,MATCH(ROWS($AG$2:AG821),$AG$2:$AG$1001,0),MATCH(COLUMNS($AN$1006:BO1006),$AN$1006:$BO$1006,0)), HYPERLINK("#",""), HYPERLINK(CONCATENATE("#Metadata!", ADDRESS(INDEX($AI$2:$AI$1001,MATCH(ROWS($AG$2:AG821),$AG$2:$AG$1001,0),0), INDEX($AN$1004:$BO$1004,1,MATCH(COLUMNS($AN$1006:BO1006),$AN$1006:$BO$1006,0)))),"Fix")))</f>
        <v>0</v>
      </c>
      <c r="AG821">
        <v>0</v>
      </c>
      <c r="AH821">
        <v>0</v>
      </c>
      <c r="AI821">
        <v>0</v>
      </c>
      <c r="AJ821">
        <f>IF(AK821,TRUE,AND(AN821:BO821))</f>
        <v>0</v>
      </c>
      <c r="AK821">
        <f>COUNTBLANK(Metadata!B821:AC821)=COLUMNS(Metadata!B821:AC821)</f>
        <v>0</v>
      </c>
      <c r="AL821">
        <v>0</v>
      </c>
      <c r="AN821">
        <f>AND(IF(Metadata!B821="",FALSE,TRUE),COUNTIF(Metadata!B:B, Metadata!B821) = 1,NOT(ISERROR(SUMPRODUCT(SEARCH(MID(Metadata!B821,ROW(INDIRECT("1:"&amp;LEN(Metadata!B821))), 1),"0123456789abcdefghijklmnopqrstuvwxyzABCDEFGHIJKLMNOPQRSTUVWXYZ.")))))</f>
        <v>0</v>
      </c>
      <c r="AO821">
        <f>IF(Metadata!C821="",FALSE,TRUE)</f>
        <v>0</v>
      </c>
      <c r="AP821">
        <f>IF(Metadata!D821="",FALSE,TRUE)</f>
        <v>0</v>
      </c>
      <c r="AQ821">
        <f>OR(AND(IF(Metadata!E821="",FALSE,TRUE),OR(exact(Metadata!E821,"not collected"),exact(Metadata!E821,"not provided"),exact(Metadata!E821,"restricted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R821">
        <f>IF(Metadata!F821="",FALSE,TRUE)</f>
        <v>0</v>
      </c>
      <c r="AS821">
        <f>OR(AND(IF(Metadata!G821="",FALSE,TRUE),OR(exact(Metadata!G821,"not collected"),exact(Metadata!G821,"not provided"))),AND(IF(Metadata!G821="",FALSE,TRUE),OR(exact(Metadata!G821,"TRUE"),exact(Metadata!G821,"FALSE"))))</f>
        <v>0</v>
      </c>
      <c r="AT821">
        <f>OR(AND(IF(Metadata!H821="",FALSE,TRUE),OR(exact(Metadata!H821,"not collected"),exact(Metadata!H821,"not provided"),exact(Metadata!H821,"restricted access"))),AND(IF(Metadata!H821="",FALSE,ISNUMBER(VALUE(Metadata!H821))),Metadata!H821&gt;=-413.0))</f>
        <v>0</v>
      </c>
      <c r="AU821">
        <f>AND(IF(Metadata!I821="",FALSE,TRUE),exact(Metadata!I821,"meters"))</f>
        <v>0</v>
      </c>
      <c r="AV821">
        <f>AND(IF(Metadata!J821="",FALSE,TRUE),OR(exact(Metadata!J821,"Host-associated"),exact(Metadata!J821,"Free-living")))</f>
        <v>0</v>
      </c>
      <c r="AW821">
        <f>AND(IF(Metadata!K821="",FALSE,TRUE),OR(exact(Metadata!K821,"Animal"),exact(Metadata!K821,"Fungus"),exact(Metadata!K821,"Plant"),exact(Metadata!K821,"Saline"),exact(Metadata!K821,"Non-saline")))</f>
        <v>0</v>
      </c>
      <c r="AX821">
        <f>AND(IF(Metadata!L821="",FALSE,TRUE),OR(exact(Metadata!L821,"Plant secretion"),exact(Metadata!L821,"Plant rhizosphere"),exact(Metadata!L821,"Plant surface"),exact(Metadata!L821,"Plant corpus"),exact(Metadata!L821,"Fungus surface"),exact(Metadata!L821,"Fungus corpus"),exact(Metadata!L821,"Animal surface"),exact(Metadata!L821,"Animal proximal gut"),exact(Metadata!L821,"Animal corpus"),exact(Metadata!L821,"Animal distal gut"),exact(Metadata!L821,"Animal secretion"),exact(Metadata!L821,"Sub-surface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Y821">
        <f>IF(Metadata!M821="",FALSE,TRUE)</f>
        <v>0</v>
      </c>
      <c r="AZ821">
        <f>IF(Metadata!N821="",FALSE,TRUE)</f>
        <v>0</v>
      </c>
      <c r="BA821">
        <f>IF(Metadata!O821="",FALSE,TRUE)</f>
        <v>0</v>
      </c>
      <c r="BB821">
        <f>OR(AND(IF(Metadata!P821="",FALSE,TRUE),OR(exact(Metadata!P821,"not collected"),exact(Metadata!P821,"not provided"),exact(Metadata!P821,"restricted access"))),AND(IF(Metadata!P821="",FALSE,TRUE),OR(exact(Metadata!P821,"air"),exact(Metadata!P821,"built environment"),exact(Metadata!P821,"host-associated"),exact(Metadata!P821,"human-associated"),exact(Metadata!P821,"human-skin"),exact(Metadata!P821,"human-oral"),exact(Metadata!P821,"human-gut"),exact(Metadata!P821,"human-vaginal"),exact(Metadata!P821,"microbial mat/biofilm"),exact(Metadata!P821,"misc environment"),exact(Metadata!P821,"plant-associated"),exact(Metadata!P821,"sediment"),exact(Metadata!P821,"soil"),exact(Metadata!P821,"wastewater/sludge"),exact(Metadata!P821,"water"))))</f>
        <v>0</v>
      </c>
      <c r="BC821">
        <f>IF(Metadata!Q821="",FALSE,TRUE)</f>
        <v>0</v>
      </c>
      <c r="BD821">
        <f>IF(Metadata!R821="",FALSE,TRUE)</f>
        <v>0</v>
      </c>
      <c r="BE821">
        <f>OR(AND(IF(Metadata!S821="",FALSE,TRUE),OR(exact(Metadata!S821,"not collected"),exact(Metadata!S821,"not provided"),exact(Metadata!S821,"restricted access"))),AND(IF(Metadata!S821="",FALSE,ISNUMBER(VALUE(Metadata!S821))),Metadata!S821&gt;=-90.00,Metadata!S821&lt;=90.00))</f>
        <v>0</v>
      </c>
      <c r="BF821">
        <f>AND(IF(Metadata!T821="",FALSE,TRUE),exact(Metadata!T821,"Decimal degrees"))</f>
        <v>0</v>
      </c>
      <c r="BG821">
        <f>OR(AND(IF(Metadata!U821="",FALSE,TRUE),OR(exact(Metadata!U821,"not collected"),exact(Metadata!U821,"not provided"),exact(Metadata!U821,"restricted access"))),AND(IF(Metadata!U821="",FALSE,ISNUMBER(VALUE(Metadata!U821))),Metadata!U821&gt;=-180.00,Metadata!U821&lt;=180.00))</f>
        <v>0</v>
      </c>
      <c r="BH821">
        <f>AND(IF(Metadata!V821="",FALSE,TRUE),exact(Metadata!V821,"Decimal degrees"))</f>
        <v>0</v>
      </c>
      <c r="BI821">
        <f>IF(Metadata!W821="",FALSE,TRUE)</f>
        <v>0</v>
      </c>
      <c r="BJ821">
        <f>OR(AND(IF(Metadata!X821="",FALSE,TRUE),OR(exact(Metadata!X821,"not collected"),exact(Metadata!X821,"not provided"),exact(Metadata!X821,"restricted access"))),AND(IF(Metadata!X821="",FALSE,TRUE),OR(exact(Metadata!X821,"TRUE"),exact(Metadata!X821,"FALSE"))))</f>
        <v>0</v>
      </c>
      <c r="BK821">
        <f>AND(IF(Metadata!Y821="",FALSE,TRUE),exact(Metadata!Y821,"other"))</f>
        <v>0</v>
      </c>
      <c r="BL821">
        <f>IF(Metadata!Z821="",FALSE,TRUE)</f>
        <v>0</v>
      </c>
      <c r="BM821">
        <f>OR(AND(IF(Metadata!AA821="",FALSE,TRUE),OR(exact(Metadata!AA821,"not collected"),exact(Metadata!AA821,"not provided"))),AND(IF(Metadata!AA821="",FALSE,IF(ISERROR(INT(Metadata!AA821)),FALSE,INT(Metadata!AA821)=Metadata!AA821)),Metadata!AA821&gt;0))</f>
        <v>0</v>
      </c>
      <c r="BN821">
        <f>AND(IF(Metadata!AB821="",FALSE,TRUE),exact(Metadata!AB821,"Not applicable"))</f>
        <v>0</v>
      </c>
      <c r="BO821">
        <f>IF(Metadata!AC821="",FALSE,TRUE)</f>
        <v>0</v>
      </c>
    </row>
    <row r="822" spans="1:67">
      <c r="A822" s="5">
        <f>IF(B822=" "," ",HYPERLINK(CONCATENATE("#metadata!",ADDRESS(INDEX($AI$2:$AI$1001,MATCH(ROWS($AG$2:AG822),$AG$2:$AG$1001,0),0),1)),INDEX($AL$2:$AL$1001,MATCH(ROWS($AG$2:AG822),$AG$2:$AG$1001,0),0)))</f>
        <v>0</v>
      </c>
      <c r="B822" s="4">
        <f>IF(OR(INDEX($AH$2:$AH$1001,MATCH(ROWS($AG$2:AG822),$AG$2:$AG$1001,0),1)&gt;=100000,INDEX($AN$1005:$BO$1005,1,MATCH(COLUMNS($AN$1006:AN1006),$AN$1006:$BO$1006,0))&gt;=100000), " ",IF(INDEX($AN$2:$BO$1001,MATCH(ROWS($AG$2:AG822),$AG$2:$AG$1001,0),MATCH(COLUMNS($AN$1006:AN1006),$AN$1006:$BO$1006,0)), HYPERLINK("#",""), HYPERLINK(CONCATENATE("#Metadata!", ADDRESS(INDEX($AI$2:$AI$1001,MATCH(ROWS($AG$2:AG822),$AG$2:$AG$1001,0),0), INDEX($AN$1004:$BO$1004,1,MATCH(COLUMNS($AN$1006:AN1006),$AN$1006:$BO$1006,0)))),"Fix")))</f>
        <v>0</v>
      </c>
      <c r="C822" s="4">
        <f>IF(OR(INDEX($AH$2:$AH$1001,MATCH(ROWS($AG$2:AG822),$AG$2:$AG$1001,0),1)&gt;=100000,INDEX($AN$1005:$BO$1005,1,MATCH(COLUMNS($AN$1006:AO1006),$AN$1006:$BO$1006,0))&gt;=100000), " ",IF(INDEX($AN$2:$BO$1001,MATCH(ROWS($AG$2:AG822),$AG$2:$AG$1001,0),MATCH(COLUMNS($AN$1006:AO1006),$AN$1006:$BO$1006,0)), HYPERLINK("#",""), HYPERLINK(CONCATENATE("#Metadata!", ADDRESS(INDEX($AI$2:$AI$1001,MATCH(ROWS($AG$2:AG822),$AG$2:$AG$1001,0),0), INDEX($AN$1004:$BO$1004,1,MATCH(COLUMNS($AN$1006:AO1006),$AN$1006:$BO$1006,0)))),"Fix")))</f>
        <v>0</v>
      </c>
      <c r="D822" s="4">
        <f>IF(OR(INDEX($AH$2:$AH$1001,MATCH(ROWS($AG$2:AG822),$AG$2:$AG$1001,0),1)&gt;=100000,INDEX($AN$1005:$BO$1005,1,MATCH(COLUMNS($AN$1006:AP1006),$AN$1006:$BO$1006,0))&gt;=100000), " ",IF(INDEX($AN$2:$BO$1001,MATCH(ROWS($AG$2:AG822),$AG$2:$AG$1001,0),MATCH(COLUMNS($AN$1006:AP1006),$AN$1006:$BO$1006,0)), HYPERLINK("#",""), HYPERLINK(CONCATENATE("#Metadata!", ADDRESS(INDEX($AI$2:$AI$1001,MATCH(ROWS($AG$2:AG822),$AG$2:$AG$1001,0),0), INDEX($AN$1004:$BO$1004,1,MATCH(COLUMNS($AN$1006:AP1006),$AN$1006:$BO$1006,0)))),"Fix")))</f>
        <v>0</v>
      </c>
      <c r="E822" s="4">
        <f>IF(OR(INDEX($AH$2:$AH$1001,MATCH(ROWS($AG$2:AG822),$AG$2:$AG$1001,0),1)&gt;=100000,INDEX($AN$1005:$BO$1005,1,MATCH(COLUMNS($AN$1006:AQ1006),$AN$1006:$BO$1006,0))&gt;=100000), " ",IF(INDEX($AN$2:$BO$1001,MATCH(ROWS($AG$2:AG822),$AG$2:$AG$1001,0),MATCH(COLUMNS($AN$1006:AQ1006),$AN$1006:$BO$1006,0)), HYPERLINK("#",""), HYPERLINK(CONCATENATE("#Metadata!", ADDRESS(INDEX($AI$2:$AI$1001,MATCH(ROWS($AG$2:AG822),$AG$2:$AG$1001,0),0), INDEX($AN$1004:$BO$1004,1,MATCH(COLUMNS($AN$1006:AQ1006),$AN$1006:$BO$1006,0)))),"Fix")))</f>
        <v>0</v>
      </c>
      <c r="F822" s="4">
        <f>IF(OR(INDEX($AH$2:$AH$1001,MATCH(ROWS($AG$2:AG822),$AG$2:$AG$1001,0),1)&gt;=100000,INDEX($AN$1005:$BO$1005,1,MATCH(COLUMNS($AN$1006:AR1006),$AN$1006:$BO$1006,0))&gt;=100000), " ",IF(INDEX($AN$2:$BO$1001,MATCH(ROWS($AG$2:AG822),$AG$2:$AG$1001,0),MATCH(COLUMNS($AN$1006:AR1006),$AN$1006:$BO$1006,0)), HYPERLINK("#",""), HYPERLINK(CONCATENATE("#Metadata!", ADDRESS(INDEX($AI$2:$AI$1001,MATCH(ROWS($AG$2:AG822),$AG$2:$AG$1001,0),0), INDEX($AN$1004:$BO$1004,1,MATCH(COLUMNS($AN$1006:AR1006),$AN$1006:$BO$1006,0)))),"Fix")))</f>
        <v>0</v>
      </c>
      <c r="G822" s="4">
        <f>IF(OR(INDEX($AH$2:$AH$1001,MATCH(ROWS($AG$2:AG822),$AG$2:$AG$1001,0),1)&gt;=100000,INDEX($AN$1005:$BO$1005,1,MATCH(COLUMNS($AN$1006:AS1006),$AN$1006:$BO$1006,0))&gt;=100000), " ",IF(INDEX($AN$2:$BO$1001,MATCH(ROWS($AG$2:AG822),$AG$2:$AG$1001,0),MATCH(COLUMNS($AN$1006:AS1006),$AN$1006:$BO$1006,0)), HYPERLINK("#",""), HYPERLINK(CONCATENATE("#Metadata!", ADDRESS(INDEX($AI$2:$AI$1001,MATCH(ROWS($AG$2:AG822),$AG$2:$AG$1001,0),0), INDEX($AN$1004:$BO$1004,1,MATCH(COLUMNS($AN$1006:AS1006),$AN$1006:$BO$1006,0)))),"Fix")))</f>
        <v>0</v>
      </c>
      <c r="H822" s="4">
        <f>IF(OR(INDEX($AH$2:$AH$1001,MATCH(ROWS($AG$2:AG822),$AG$2:$AG$1001,0),1)&gt;=100000,INDEX($AN$1005:$BO$1005,1,MATCH(COLUMNS($AN$1006:AT1006),$AN$1006:$BO$1006,0))&gt;=100000), " ",IF(INDEX($AN$2:$BO$1001,MATCH(ROWS($AG$2:AG822),$AG$2:$AG$1001,0),MATCH(COLUMNS($AN$1006:AT1006),$AN$1006:$BO$1006,0)), HYPERLINK("#",""), HYPERLINK(CONCATENATE("#Metadata!", ADDRESS(INDEX($AI$2:$AI$1001,MATCH(ROWS($AG$2:AG822),$AG$2:$AG$1001,0),0), INDEX($AN$1004:$BO$1004,1,MATCH(COLUMNS($AN$1006:AT1006),$AN$1006:$BO$1006,0)))),"Fix")))</f>
        <v>0</v>
      </c>
      <c r="I822" s="4">
        <f>IF(OR(INDEX($AH$2:$AH$1001,MATCH(ROWS($AG$2:AG822),$AG$2:$AG$1001,0),1)&gt;=100000,INDEX($AN$1005:$BO$1005,1,MATCH(COLUMNS($AN$1006:AU1006),$AN$1006:$BO$1006,0))&gt;=100000), " ",IF(INDEX($AN$2:$BO$1001,MATCH(ROWS($AG$2:AG822),$AG$2:$AG$1001,0),MATCH(COLUMNS($AN$1006:AU1006),$AN$1006:$BO$1006,0)), HYPERLINK("#",""), HYPERLINK(CONCATENATE("#Metadata!", ADDRESS(INDEX($AI$2:$AI$1001,MATCH(ROWS($AG$2:AG822),$AG$2:$AG$1001,0),0), INDEX($AN$1004:$BO$1004,1,MATCH(COLUMNS($AN$1006:AU1006),$AN$1006:$BO$1006,0)))),"Fix")))</f>
        <v>0</v>
      </c>
      <c r="J822" s="4">
        <f>IF(OR(INDEX($AH$2:$AH$1001,MATCH(ROWS($AG$2:AG822),$AG$2:$AG$1001,0),1)&gt;=100000,INDEX($AN$1005:$BO$1005,1,MATCH(COLUMNS($AN$1006:AV1006),$AN$1006:$BO$1006,0))&gt;=100000), " ",IF(INDEX($AN$2:$BO$1001,MATCH(ROWS($AG$2:AG822),$AG$2:$AG$1001,0),MATCH(COLUMNS($AN$1006:AV1006),$AN$1006:$BO$1006,0)), HYPERLINK("#",""), HYPERLINK(CONCATENATE("#Metadata!", ADDRESS(INDEX($AI$2:$AI$1001,MATCH(ROWS($AG$2:AG822),$AG$2:$AG$1001,0),0), INDEX($AN$1004:$BO$1004,1,MATCH(COLUMNS($AN$1006:AV1006),$AN$1006:$BO$1006,0)))),"Fix")))</f>
        <v>0</v>
      </c>
      <c r="K822" s="4">
        <f>IF(OR(INDEX($AH$2:$AH$1001,MATCH(ROWS($AG$2:AG822),$AG$2:$AG$1001,0),1)&gt;=100000,INDEX($AN$1005:$BO$1005,1,MATCH(COLUMNS($AN$1006:AW1006),$AN$1006:$BO$1006,0))&gt;=100000), " ",IF(INDEX($AN$2:$BO$1001,MATCH(ROWS($AG$2:AG822),$AG$2:$AG$1001,0),MATCH(COLUMNS($AN$1006:AW1006),$AN$1006:$BO$1006,0)), HYPERLINK("#",""), HYPERLINK(CONCATENATE("#Metadata!", ADDRESS(INDEX($AI$2:$AI$1001,MATCH(ROWS($AG$2:AG822),$AG$2:$AG$1001,0),0), INDEX($AN$1004:$BO$1004,1,MATCH(COLUMNS($AN$1006:AW1006),$AN$1006:$BO$1006,0)))),"Fix")))</f>
        <v>0</v>
      </c>
      <c r="L822" s="4">
        <f>IF(OR(INDEX($AH$2:$AH$1001,MATCH(ROWS($AG$2:AG822),$AG$2:$AG$1001,0),1)&gt;=100000,INDEX($AN$1005:$BO$1005,1,MATCH(COLUMNS($AN$1006:AX1006),$AN$1006:$BO$1006,0))&gt;=100000), " ",IF(INDEX($AN$2:$BO$1001,MATCH(ROWS($AG$2:AG822),$AG$2:$AG$1001,0),MATCH(COLUMNS($AN$1006:AX1006),$AN$1006:$BO$1006,0)), HYPERLINK("#",""), HYPERLINK(CONCATENATE("#Metadata!", ADDRESS(INDEX($AI$2:$AI$1001,MATCH(ROWS($AG$2:AG822),$AG$2:$AG$1001,0),0), INDEX($AN$1004:$BO$1004,1,MATCH(COLUMNS($AN$1006:AX1006),$AN$1006:$BO$1006,0)))),"Fix")))</f>
        <v>0</v>
      </c>
      <c r="M822" s="4">
        <f>IF(OR(INDEX($AH$2:$AH$1001,MATCH(ROWS($AG$2:AG822),$AG$2:$AG$1001,0),1)&gt;=100000,INDEX($AN$1005:$BO$1005,1,MATCH(COLUMNS($AN$1006:AY1006),$AN$1006:$BO$1006,0))&gt;=100000), " ",IF(INDEX($AN$2:$BO$1001,MATCH(ROWS($AG$2:AG822),$AG$2:$AG$1001,0),MATCH(COLUMNS($AN$1006:AY1006),$AN$1006:$BO$1006,0)), HYPERLINK("#",""), HYPERLINK(CONCATENATE("#Metadata!", ADDRESS(INDEX($AI$2:$AI$1001,MATCH(ROWS($AG$2:AG822),$AG$2:$AG$1001,0),0), INDEX($AN$1004:$BO$1004,1,MATCH(COLUMNS($AN$1006:AY1006),$AN$1006:$BO$1006,0)))),"Fix")))</f>
        <v>0</v>
      </c>
      <c r="N822" s="4">
        <f>IF(OR(INDEX($AH$2:$AH$1001,MATCH(ROWS($AG$2:AG822),$AG$2:$AG$1001,0),1)&gt;=100000,INDEX($AN$1005:$BO$1005,1,MATCH(COLUMNS($AN$1006:AZ1006),$AN$1006:$BO$1006,0))&gt;=100000), " ",IF(INDEX($AN$2:$BO$1001,MATCH(ROWS($AG$2:AG822),$AG$2:$AG$1001,0),MATCH(COLUMNS($AN$1006:AZ1006),$AN$1006:$BO$1006,0)), HYPERLINK("#",""), HYPERLINK(CONCATENATE("#Metadata!", ADDRESS(INDEX($AI$2:$AI$1001,MATCH(ROWS($AG$2:AG822),$AG$2:$AG$1001,0),0), INDEX($AN$1004:$BO$1004,1,MATCH(COLUMNS($AN$1006:AZ1006),$AN$1006:$BO$1006,0)))),"Fix")))</f>
        <v>0</v>
      </c>
      <c r="O822" s="4">
        <f>IF(OR(INDEX($AH$2:$AH$1001,MATCH(ROWS($AG$2:AG822),$AG$2:$AG$1001,0),1)&gt;=100000,INDEX($AN$1005:$BO$1005,1,MATCH(COLUMNS($AN$1006:BA1006),$AN$1006:$BO$1006,0))&gt;=100000), " ",IF(INDEX($AN$2:$BO$1001,MATCH(ROWS($AG$2:AG822),$AG$2:$AG$1001,0),MATCH(COLUMNS($AN$1006:BA1006),$AN$1006:$BO$1006,0)), HYPERLINK("#",""), HYPERLINK(CONCATENATE("#Metadata!", ADDRESS(INDEX($AI$2:$AI$1001,MATCH(ROWS($AG$2:AG822),$AG$2:$AG$1001,0),0), INDEX($AN$1004:$BO$1004,1,MATCH(COLUMNS($AN$1006:BA1006),$AN$1006:$BO$1006,0)))),"Fix")))</f>
        <v>0</v>
      </c>
      <c r="P822" s="4">
        <f>IF(OR(INDEX($AH$2:$AH$1001,MATCH(ROWS($AG$2:AG822),$AG$2:$AG$1001,0),1)&gt;=100000,INDEX($AN$1005:$BO$1005,1,MATCH(COLUMNS($AN$1006:BB1006),$AN$1006:$BO$1006,0))&gt;=100000), " ",IF(INDEX($AN$2:$BO$1001,MATCH(ROWS($AG$2:AG822),$AG$2:$AG$1001,0),MATCH(COLUMNS($AN$1006:BB1006),$AN$1006:$BO$1006,0)), HYPERLINK("#",""), HYPERLINK(CONCATENATE("#Metadata!", ADDRESS(INDEX($AI$2:$AI$1001,MATCH(ROWS($AG$2:AG822),$AG$2:$AG$1001,0),0), INDEX($AN$1004:$BO$1004,1,MATCH(COLUMNS($AN$1006:BB1006),$AN$1006:$BO$1006,0)))),"Fix")))</f>
        <v>0</v>
      </c>
      <c r="Q822" s="4">
        <f>IF(OR(INDEX($AH$2:$AH$1001,MATCH(ROWS($AG$2:AG822),$AG$2:$AG$1001,0),1)&gt;=100000,INDEX($AN$1005:$BO$1005,1,MATCH(COLUMNS($AN$1006:BC1006),$AN$1006:$BO$1006,0))&gt;=100000), " ",IF(INDEX($AN$2:$BO$1001,MATCH(ROWS($AG$2:AG822),$AG$2:$AG$1001,0),MATCH(COLUMNS($AN$1006:BC1006),$AN$1006:$BO$1006,0)), HYPERLINK("#",""), HYPERLINK(CONCATENATE("#Metadata!", ADDRESS(INDEX($AI$2:$AI$1001,MATCH(ROWS($AG$2:AG822),$AG$2:$AG$1001,0),0), INDEX($AN$1004:$BO$1004,1,MATCH(COLUMNS($AN$1006:BC1006),$AN$1006:$BO$1006,0)))),"Fix")))</f>
        <v>0</v>
      </c>
      <c r="R822" s="4">
        <f>IF(OR(INDEX($AH$2:$AH$1001,MATCH(ROWS($AG$2:AG822),$AG$2:$AG$1001,0),1)&gt;=100000,INDEX($AN$1005:$BO$1005,1,MATCH(COLUMNS($AN$1006:BD1006),$AN$1006:$BO$1006,0))&gt;=100000), " ",IF(INDEX($AN$2:$BO$1001,MATCH(ROWS($AG$2:AG822),$AG$2:$AG$1001,0),MATCH(COLUMNS($AN$1006:BD1006),$AN$1006:$BO$1006,0)), HYPERLINK("#",""), HYPERLINK(CONCATENATE("#Metadata!", ADDRESS(INDEX($AI$2:$AI$1001,MATCH(ROWS($AG$2:AG822),$AG$2:$AG$1001,0),0), INDEX($AN$1004:$BO$1004,1,MATCH(COLUMNS($AN$1006:BD1006),$AN$1006:$BO$1006,0)))),"Fix")))</f>
        <v>0</v>
      </c>
      <c r="S822" s="4">
        <f>IF(OR(INDEX($AH$2:$AH$1001,MATCH(ROWS($AG$2:AG822),$AG$2:$AG$1001,0),1)&gt;=100000,INDEX($AN$1005:$BO$1005,1,MATCH(COLUMNS($AN$1006:BE1006),$AN$1006:$BO$1006,0))&gt;=100000), " ",IF(INDEX($AN$2:$BO$1001,MATCH(ROWS($AG$2:AG822),$AG$2:$AG$1001,0),MATCH(COLUMNS($AN$1006:BE1006),$AN$1006:$BO$1006,0)), HYPERLINK("#",""), HYPERLINK(CONCATENATE("#Metadata!", ADDRESS(INDEX($AI$2:$AI$1001,MATCH(ROWS($AG$2:AG822),$AG$2:$AG$1001,0),0), INDEX($AN$1004:$BO$1004,1,MATCH(COLUMNS($AN$1006:BE1006),$AN$1006:$BO$1006,0)))),"Fix")))</f>
        <v>0</v>
      </c>
      <c r="T822" s="4">
        <f>IF(OR(INDEX($AH$2:$AH$1001,MATCH(ROWS($AG$2:AG822),$AG$2:$AG$1001,0),1)&gt;=100000,INDEX($AN$1005:$BO$1005,1,MATCH(COLUMNS($AN$1006:BF1006),$AN$1006:$BO$1006,0))&gt;=100000), " ",IF(INDEX($AN$2:$BO$1001,MATCH(ROWS($AG$2:AG822),$AG$2:$AG$1001,0),MATCH(COLUMNS($AN$1006:BF1006),$AN$1006:$BO$1006,0)), HYPERLINK("#",""), HYPERLINK(CONCATENATE("#Metadata!", ADDRESS(INDEX($AI$2:$AI$1001,MATCH(ROWS($AG$2:AG822),$AG$2:$AG$1001,0),0), INDEX($AN$1004:$BO$1004,1,MATCH(COLUMNS($AN$1006:BF1006),$AN$1006:$BO$1006,0)))),"Fix")))</f>
        <v>0</v>
      </c>
      <c r="U822" s="4">
        <f>IF(OR(INDEX($AH$2:$AH$1001,MATCH(ROWS($AG$2:AG822),$AG$2:$AG$1001,0),1)&gt;=100000,INDEX($AN$1005:$BO$1005,1,MATCH(COLUMNS($AN$1006:BG1006),$AN$1006:$BO$1006,0))&gt;=100000), " ",IF(INDEX($AN$2:$BO$1001,MATCH(ROWS($AG$2:AG822),$AG$2:$AG$1001,0),MATCH(COLUMNS($AN$1006:BG1006),$AN$1006:$BO$1006,0)), HYPERLINK("#",""), HYPERLINK(CONCATENATE("#Metadata!", ADDRESS(INDEX($AI$2:$AI$1001,MATCH(ROWS($AG$2:AG822),$AG$2:$AG$1001,0),0), INDEX($AN$1004:$BO$1004,1,MATCH(COLUMNS($AN$1006:BG1006),$AN$1006:$BO$1006,0)))),"Fix")))</f>
        <v>0</v>
      </c>
      <c r="V822" s="4">
        <f>IF(OR(INDEX($AH$2:$AH$1001,MATCH(ROWS($AG$2:AG822),$AG$2:$AG$1001,0),1)&gt;=100000,INDEX($AN$1005:$BO$1005,1,MATCH(COLUMNS($AN$1006:BH1006),$AN$1006:$BO$1006,0))&gt;=100000), " ",IF(INDEX($AN$2:$BO$1001,MATCH(ROWS($AG$2:AG822),$AG$2:$AG$1001,0),MATCH(COLUMNS($AN$1006:BH1006),$AN$1006:$BO$1006,0)), HYPERLINK("#",""), HYPERLINK(CONCATENATE("#Metadata!", ADDRESS(INDEX($AI$2:$AI$1001,MATCH(ROWS($AG$2:AG822),$AG$2:$AG$1001,0),0), INDEX($AN$1004:$BO$1004,1,MATCH(COLUMNS($AN$1006:BH1006),$AN$1006:$BO$1006,0)))),"Fix")))</f>
        <v>0</v>
      </c>
      <c r="W822" s="4">
        <f>IF(OR(INDEX($AH$2:$AH$1001,MATCH(ROWS($AG$2:AG822),$AG$2:$AG$1001,0),1)&gt;=100000,INDEX($AN$1005:$BO$1005,1,MATCH(COLUMNS($AN$1006:BI1006),$AN$1006:$BO$1006,0))&gt;=100000), " ",IF(INDEX($AN$2:$BO$1001,MATCH(ROWS($AG$2:AG822),$AG$2:$AG$1001,0),MATCH(COLUMNS($AN$1006:BI1006),$AN$1006:$BO$1006,0)), HYPERLINK("#",""), HYPERLINK(CONCATENATE("#Metadata!", ADDRESS(INDEX($AI$2:$AI$1001,MATCH(ROWS($AG$2:AG822),$AG$2:$AG$1001,0),0), INDEX($AN$1004:$BO$1004,1,MATCH(COLUMNS($AN$1006:BI1006),$AN$1006:$BO$1006,0)))),"Fix")))</f>
        <v>0</v>
      </c>
      <c r="X822" s="4">
        <f>IF(OR(INDEX($AH$2:$AH$1001,MATCH(ROWS($AG$2:AG822),$AG$2:$AG$1001,0),1)&gt;=100000,INDEX($AN$1005:$BO$1005,1,MATCH(COLUMNS($AN$1006:BJ1006),$AN$1006:$BO$1006,0))&gt;=100000), " ",IF(INDEX($AN$2:$BO$1001,MATCH(ROWS($AG$2:AG822),$AG$2:$AG$1001,0),MATCH(COLUMNS($AN$1006:BJ1006),$AN$1006:$BO$1006,0)), HYPERLINK("#",""), HYPERLINK(CONCATENATE("#Metadata!", ADDRESS(INDEX($AI$2:$AI$1001,MATCH(ROWS($AG$2:AG822),$AG$2:$AG$1001,0),0), INDEX($AN$1004:$BO$1004,1,MATCH(COLUMNS($AN$1006:BJ1006),$AN$1006:$BO$1006,0)))),"Fix")))</f>
        <v>0</v>
      </c>
      <c r="Y822" s="4">
        <f>IF(OR(INDEX($AH$2:$AH$1001,MATCH(ROWS($AG$2:AG822),$AG$2:$AG$1001,0),1)&gt;=100000,INDEX($AN$1005:$BO$1005,1,MATCH(COLUMNS($AN$1006:BK1006),$AN$1006:$BO$1006,0))&gt;=100000), " ",IF(INDEX($AN$2:$BO$1001,MATCH(ROWS($AG$2:AG822),$AG$2:$AG$1001,0),MATCH(COLUMNS($AN$1006:BK1006),$AN$1006:$BO$1006,0)), HYPERLINK("#",""), HYPERLINK(CONCATENATE("#Metadata!", ADDRESS(INDEX($AI$2:$AI$1001,MATCH(ROWS($AG$2:AG822),$AG$2:$AG$1001,0),0), INDEX($AN$1004:$BO$1004,1,MATCH(COLUMNS($AN$1006:BK1006),$AN$1006:$BO$1006,0)))),"Fix")))</f>
        <v>0</v>
      </c>
      <c r="Z822" s="4">
        <f>IF(OR(INDEX($AH$2:$AH$1001,MATCH(ROWS($AG$2:AG822),$AG$2:$AG$1001,0),1)&gt;=100000,INDEX($AN$1005:$BO$1005,1,MATCH(COLUMNS($AN$1006:BL1006),$AN$1006:$BO$1006,0))&gt;=100000), " ",IF(INDEX($AN$2:$BO$1001,MATCH(ROWS($AG$2:AG822),$AG$2:$AG$1001,0),MATCH(COLUMNS($AN$1006:BL1006),$AN$1006:$BO$1006,0)), HYPERLINK("#",""), HYPERLINK(CONCATENATE("#Metadata!", ADDRESS(INDEX($AI$2:$AI$1001,MATCH(ROWS($AG$2:AG822),$AG$2:$AG$1001,0),0), INDEX($AN$1004:$BO$1004,1,MATCH(COLUMNS($AN$1006:BL1006),$AN$1006:$BO$1006,0)))),"Fix")))</f>
        <v>0</v>
      </c>
      <c r="AA822" s="4">
        <f>IF(OR(INDEX($AH$2:$AH$1001,MATCH(ROWS($AG$2:AG822),$AG$2:$AG$1001,0),1)&gt;=100000,INDEX($AN$1005:$BO$1005,1,MATCH(COLUMNS($AN$1006:BM1006),$AN$1006:$BO$1006,0))&gt;=100000), " ",IF(INDEX($AN$2:$BO$1001,MATCH(ROWS($AG$2:AG822),$AG$2:$AG$1001,0),MATCH(COLUMNS($AN$1006:BM1006),$AN$1006:$BO$1006,0)), HYPERLINK("#",""), HYPERLINK(CONCATENATE("#Metadata!", ADDRESS(INDEX($AI$2:$AI$1001,MATCH(ROWS($AG$2:AG822),$AG$2:$AG$1001,0),0), INDEX($AN$1004:$BO$1004,1,MATCH(COLUMNS($AN$1006:BM1006),$AN$1006:$BO$1006,0)))),"Fix")))</f>
        <v>0</v>
      </c>
      <c r="AB822" s="4">
        <f>IF(OR(INDEX($AH$2:$AH$1001,MATCH(ROWS($AG$2:AG822),$AG$2:$AG$1001,0),1)&gt;=100000,INDEX($AN$1005:$BO$1005,1,MATCH(COLUMNS($AN$1006:BN1006),$AN$1006:$BO$1006,0))&gt;=100000), " ",IF(INDEX($AN$2:$BO$1001,MATCH(ROWS($AG$2:AG822),$AG$2:$AG$1001,0),MATCH(COLUMNS($AN$1006:BN1006),$AN$1006:$BO$1006,0)), HYPERLINK("#",""), HYPERLINK(CONCATENATE("#Metadata!", ADDRESS(INDEX($AI$2:$AI$1001,MATCH(ROWS($AG$2:AG822),$AG$2:$AG$1001,0),0), INDEX($AN$1004:$BO$1004,1,MATCH(COLUMNS($AN$1006:BN1006),$AN$1006:$BO$1006,0)))),"Fix")))</f>
        <v>0</v>
      </c>
      <c r="AC822" s="4">
        <f>IF(OR(INDEX($AH$2:$AH$1001,MATCH(ROWS($AG$2:AG822),$AG$2:$AG$1001,0),1)&gt;=100000,INDEX($AN$1005:$BO$1005,1,MATCH(COLUMNS($AN$1006:BO1006),$AN$1006:$BO$1006,0))&gt;=100000), " ",IF(INDEX($AN$2:$BO$1001,MATCH(ROWS($AG$2:AG822),$AG$2:$AG$1001,0),MATCH(COLUMNS($AN$1006:BO1006),$AN$1006:$BO$1006,0)), HYPERLINK("#",""), HYPERLINK(CONCATENATE("#Metadata!", ADDRESS(INDEX($AI$2:$AI$1001,MATCH(ROWS($AG$2:AG822),$AG$2:$AG$1001,0),0), INDEX($AN$1004:$BO$1004,1,MATCH(COLUMNS($AN$1006:BO1006),$AN$1006:$BO$1006,0)))),"Fix")))</f>
        <v>0</v>
      </c>
      <c r="AG822">
        <v>0</v>
      </c>
      <c r="AH822">
        <v>0</v>
      </c>
      <c r="AI822">
        <v>0</v>
      </c>
      <c r="AJ822">
        <f>IF(AK822,TRUE,AND(AN822:BO822))</f>
        <v>0</v>
      </c>
      <c r="AK822">
        <f>COUNTBLANK(Metadata!B822:AC822)=COLUMNS(Metadata!B822:AC822)</f>
        <v>0</v>
      </c>
      <c r="AL822">
        <v>0</v>
      </c>
      <c r="AN822">
        <f>AND(IF(Metadata!B822="",FALSE,TRUE),COUNTIF(Metadata!B:B, Metadata!B822) = 1,NOT(ISERROR(SUMPRODUCT(SEARCH(MID(Metadata!B822,ROW(INDIRECT("1:"&amp;LEN(Metadata!B822))), 1),"0123456789abcdefghijklmnopqrstuvwxyzABCDEFGHIJKLMNOPQRSTUVWXYZ.")))))</f>
        <v>0</v>
      </c>
      <c r="AO822">
        <f>IF(Metadata!C822="",FALSE,TRUE)</f>
        <v>0</v>
      </c>
      <c r="AP822">
        <f>IF(Metadata!D822="",FALSE,TRUE)</f>
        <v>0</v>
      </c>
      <c r="AQ822">
        <f>OR(AND(IF(Metadata!E822="",FALSE,TRUE),OR(exact(Metadata!E822,"not collected"),exact(Metadata!E822,"not provided"),exact(Metadata!E822,"restricted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R822">
        <f>IF(Metadata!F822="",FALSE,TRUE)</f>
        <v>0</v>
      </c>
      <c r="AS822">
        <f>OR(AND(IF(Metadata!G822="",FALSE,TRUE),OR(exact(Metadata!G822,"not collected"),exact(Metadata!G822,"not provided"))),AND(IF(Metadata!G822="",FALSE,TRUE),OR(exact(Metadata!G822,"TRUE"),exact(Metadata!G822,"FALSE"))))</f>
        <v>0</v>
      </c>
      <c r="AT822">
        <f>OR(AND(IF(Metadata!H822="",FALSE,TRUE),OR(exact(Metadata!H822,"not collected"),exact(Metadata!H822,"not provided"),exact(Metadata!H822,"restricted access"))),AND(IF(Metadata!H822="",FALSE,ISNUMBER(VALUE(Metadata!H822))),Metadata!H822&gt;=-413.0))</f>
        <v>0</v>
      </c>
      <c r="AU822">
        <f>AND(IF(Metadata!I822="",FALSE,TRUE),exact(Metadata!I822,"meters"))</f>
        <v>0</v>
      </c>
      <c r="AV822">
        <f>AND(IF(Metadata!J822="",FALSE,TRUE),OR(exact(Metadata!J822,"Host-associated"),exact(Metadata!J822,"Free-living")))</f>
        <v>0</v>
      </c>
      <c r="AW822">
        <f>AND(IF(Metadata!K822="",FALSE,TRUE),OR(exact(Metadata!K822,"Animal"),exact(Metadata!K822,"Fungus"),exact(Metadata!K822,"Plant"),exact(Metadata!K822,"Saline"),exact(Metadata!K822,"Non-saline")))</f>
        <v>0</v>
      </c>
      <c r="AX822">
        <f>AND(IF(Metadata!L822="",FALSE,TRUE),OR(exact(Metadata!L822,"Plant secretion"),exact(Metadata!L822,"Plant rhizosphere"),exact(Metadata!L822,"Plant surface"),exact(Metadata!L822,"Plant corpus"),exact(Metadata!L822,"Fungus surface"),exact(Metadata!L822,"Fungus corpus"),exact(Metadata!L822,"Animal surface"),exact(Metadata!L822,"Animal proximal gut"),exact(Metadata!L822,"Animal corpus"),exact(Metadata!L822,"Animal distal gut"),exact(Metadata!L822,"Animal secretion"),exact(Metadata!L822,"Sub-surface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Y822">
        <f>IF(Metadata!M822="",FALSE,TRUE)</f>
        <v>0</v>
      </c>
      <c r="AZ822">
        <f>IF(Metadata!N822="",FALSE,TRUE)</f>
        <v>0</v>
      </c>
      <c r="BA822">
        <f>IF(Metadata!O822="",FALSE,TRUE)</f>
        <v>0</v>
      </c>
      <c r="BB822">
        <f>OR(AND(IF(Metadata!P822="",FALSE,TRUE),OR(exact(Metadata!P822,"not collected"),exact(Metadata!P822,"not provided"),exact(Metadata!P822,"restricted access"))),AND(IF(Metadata!P822="",FALSE,TRUE),OR(exact(Metadata!P822,"air"),exact(Metadata!P822,"built environment"),exact(Metadata!P822,"host-associated"),exact(Metadata!P822,"human-associated"),exact(Metadata!P822,"human-skin"),exact(Metadata!P822,"human-oral"),exact(Metadata!P822,"human-gut"),exact(Metadata!P822,"human-vaginal"),exact(Metadata!P822,"microbial mat/biofilm"),exact(Metadata!P822,"misc environment"),exact(Metadata!P822,"plant-associated"),exact(Metadata!P822,"sediment"),exact(Metadata!P822,"soil"),exact(Metadata!P822,"wastewater/sludge"),exact(Metadata!P822,"water"))))</f>
        <v>0</v>
      </c>
      <c r="BC822">
        <f>IF(Metadata!Q822="",FALSE,TRUE)</f>
        <v>0</v>
      </c>
      <c r="BD822">
        <f>IF(Metadata!R822="",FALSE,TRUE)</f>
        <v>0</v>
      </c>
      <c r="BE822">
        <f>OR(AND(IF(Metadata!S822="",FALSE,TRUE),OR(exact(Metadata!S822,"not collected"),exact(Metadata!S822,"not provided"),exact(Metadata!S822,"restricted access"))),AND(IF(Metadata!S822="",FALSE,ISNUMBER(VALUE(Metadata!S822))),Metadata!S822&gt;=-90.00,Metadata!S822&lt;=90.00))</f>
        <v>0</v>
      </c>
      <c r="BF822">
        <f>AND(IF(Metadata!T822="",FALSE,TRUE),exact(Metadata!T822,"Decimal degrees"))</f>
        <v>0</v>
      </c>
      <c r="BG822">
        <f>OR(AND(IF(Metadata!U822="",FALSE,TRUE),OR(exact(Metadata!U822,"not collected"),exact(Metadata!U822,"not provided"),exact(Metadata!U822,"restricted access"))),AND(IF(Metadata!U822="",FALSE,ISNUMBER(VALUE(Metadata!U822))),Metadata!U822&gt;=-180.00,Metadata!U822&lt;=180.00))</f>
        <v>0</v>
      </c>
      <c r="BH822">
        <f>AND(IF(Metadata!V822="",FALSE,TRUE),exact(Metadata!V822,"Decimal degrees"))</f>
        <v>0</v>
      </c>
      <c r="BI822">
        <f>IF(Metadata!W822="",FALSE,TRUE)</f>
        <v>0</v>
      </c>
      <c r="BJ822">
        <f>OR(AND(IF(Metadata!X822="",FALSE,TRUE),OR(exact(Metadata!X822,"not collected"),exact(Metadata!X822,"not provided"),exact(Metadata!X822,"restricted access"))),AND(IF(Metadata!X822="",FALSE,TRUE),OR(exact(Metadata!X822,"TRUE"),exact(Metadata!X822,"FALSE"))))</f>
        <v>0</v>
      </c>
      <c r="BK822">
        <f>AND(IF(Metadata!Y822="",FALSE,TRUE),exact(Metadata!Y822,"other"))</f>
        <v>0</v>
      </c>
      <c r="BL822">
        <f>IF(Metadata!Z822="",FALSE,TRUE)</f>
        <v>0</v>
      </c>
      <c r="BM822">
        <f>OR(AND(IF(Metadata!AA822="",FALSE,TRUE),OR(exact(Metadata!AA822,"not collected"),exact(Metadata!AA822,"not provided"))),AND(IF(Metadata!AA822="",FALSE,IF(ISERROR(INT(Metadata!AA822)),FALSE,INT(Metadata!AA822)=Metadata!AA822)),Metadata!AA822&gt;0))</f>
        <v>0</v>
      </c>
      <c r="BN822">
        <f>AND(IF(Metadata!AB822="",FALSE,TRUE),exact(Metadata!AB822,"Not applicable"))</f>
        <v>0</v>
      </c>
      <c r="BO822">
        <f>IF(Metadata!AC822="",FALSE,TRUE)</f>
        <v>0</v>
      </c>
    </row>
    <row r="823" spans="1:67">
      <c r="A823" s="5">
        <f>IF(B823=" "," ",HYPERLINK(CONCATENATE("#metadata!",ADDRESS(INDEX($AI$2:$AI$1001,MATCH(ROWS($AG$2:AG823),$AG$2:$AG$1001,0),0),1)),INDEX($AL$2:$AL$1001,MATCH(ROWS($AG$2:AG823),$AG$2:$AG$1001,0),0)))</f>
        <v>0</v>
      </c>
      <c r="B823" s="4">
        <f>IF(OR(INDEX($AH$2:$AH$1001,MATCH(ROWS($AG$2:AG823),$AG$2:$AG$1001,0),1)&gt;=100000,INDEX($AN$1005:$BO$1005,1,MATCH(COLUMNS($AN$1006:AN1006),$AN$1006:$BO$1006,0))&gt;=100000), " ",IF(INDEX($AN$2:$BO$1001,MATCH(ROWS($AG$2:AG823),$AG$2:$AG$1001,0),MATCH(COLUMNS($AN$1006:AN1006),$AN$1006:$BO$1006,0)), HYPERLINK("#",""), HYPERLINK(CONCATENATE("#Metadata!", ADDRESS(INDEX($AI$2:$AI$1001,MATCH(ROWS($AG$2:AG823),$AG$2:$AG$1001,0),0), INDEX($AN$1004:$BO$1004,1,MATCH(COLUMNS($AN$1006:AN1006),$AN$1006:$BO$1006,0)))),"Fix")))</f>
        <v>0</v>
      </c>
      <c r="C823" s="4">
        <f>IF(OR(INDEX($AH$2:$AH$1001,MATCH(ROWS($AG$2:AG823),$AG$2:$AG$1001,0),1)&gt;=100000,INDEX($AN$1005:$BO$1005,1,MATCH(COLUMNS($AN$1006:AO1006),$AN$1006:$BO$1006,0))&gt;=100000), " ",IF(INDEX($AN$2:$BO$1001,MATCH(ROWS($AG$2:AG823),$AG$2:$AG$1001,0),MATCH(COLUMNS($AN$1006:AO1006),$AN$1006:$BO$1006,0)), HYPERLINK("#",""), HYPERLINK(CONCATENATE("#Metadata!", ADDRESS(INDEX($AI$2:$AI$1001,MATCH(ROWS($AG$2:AG823),$AG$2:$AG$1001,0),0), INDEX($AN$1004:$BO$1004,1,MATCH(COLUMNS($AN$1006:AO1006),$AN$1006:$BO$1006,0)))),"Fix")))</f>
        <v>0</v>
      </c>
      <c r="D823" s="4">
        <f>IF(OR(INDEX($AH$2:$AH$1001,MATCH(ROWS($AG$2:AG823),$AG$2:$AG$1001,0),1)&gt;=100000,INDEX($AN$1005:$BO$1005,1,MATCH(COLUMNS($AN$1006:AP1006),$AN$1006:$BO$1006,0))&gt;=100000), " ",IF(INDEX($AN$2:$BO$1001,MATCH(ROWS($AG$2:AG823),$AG$2:$AG$1001,0),MATCH(COLUMNS($AN$1006:AP1006),$AN$1006:$BO$1006,0)), HYPERLINK("#",""), HYPERLINK(CONCATENATE("#Metadata!", ADDRESS(INDEX($AI$2:$AI$1001,MATCH(ROWS($AG$2:AG823),$AG$2:$AG$1001,0),0), INDEX($AN$1004:$BO$1004,1,MATCH(COLUMNS($AN$1006:AP1006),$AN$1006:$BO$1006,0)))),"Fix")))</f>
        <v>0</v>
      </c>
      <c r="E823" s="4">
        <f>IF(OR(INDEX($AH$2:$AH$1001,MATCH(ROWS($AG$2:AG823),$AG$2:$AG$1001,0),1)&gt;=100000,INDEX($AN$1005:$BO$1005,1,MATCH(COLUMNS($AN$1006:AQ1006),$AN$1006:$BO$1006,0))&gt;=100000), " ",IF(INDEX($AN$2:$BO$1001,MATCH(ROWS($AG$2:AG823),$AG$2:$AG$1001,0),MATCH(COLUMNS($AN$1006:AQ1006),$AN$1006:$BO$1006,0)), HYPERLINK("#",""), HYPERLINK(CONCATENATE("#Metadata!", ADDRESS(INDEX($AI$2:$AI$1001,MATCH(ROWS($AG$2:AG823),$AG$2:$AG$1001,0),0), INDEX($AN$1004:$BO$1004,1,MATCH(COLUMNS($AN$1006:AQ1006),$AN$1006:$BO$1006,0)))),"Fix")))</f>
        <v>0</v>
      </c>
      <c r="F823" s="4">
        <f>IF(OR(INDEX($AH$2:$AH$1001,MATCH(ROWS($AG$2:AG823),$AG$2:$AG$1001,0),1)&gt;=100000,INDEX($AN$1005:$BO$1005,1,MATCH(COLUMNS($AN$1006:AR1006),$AN$1006:$BO$1006,0))&gt;=100000), " ",IF(INDEX($AN$2:$BO$1001,MATCH(ROWS($AG$2:AG823),$AG$2:$AG$1001,0),MATCH(COLUMNS($AN$1006:AR1006),$AN$1006:$BO$1006,0)), HYPERLINK("#",""), HYPERLINK(CONCATENATE("#Metadata!", ADDRESS(INDEX($AI$2:$AI$1001,MATCH(ROWS($AG$2:AG823),$AG$2:$AG$1001,0),0), INDEX($AN$1004:$BO$1004,1,MATCH(COLUMNS($AN$1006:AR1006),$AN$1006:$BO$1006,0)))),"Fix")))</f>
        <v>0</v>
      </c>
      <c r="G823" s="4">
        <f>IF(OR(INDEX($AH$2:$AH$1001,MATCH(ROWS($AG$2:AG823),$AG$2:$AG$1001,0),1)&gt;=100000,INDEX($AN$1005:$BO$1005,1,MATCH(COLUMNS($AN$1006:AS1006),$AN$1006:$BO$1006,0))&gt;=100000), " ",IF(INDEX($AN$2:$BO$1001,MATCH(ROWS($AG$2:AG823),$AG$2:$AG$1001,0),MATCH(COLUMNS($AN$1006:AS1006),$AN$1006:$BO$1006,0)), HYPERLINK("#",""), HYPERLINK(CONCATENATE("#Metadata!", ADDRESS(INDEX($AI$2:$AI$1001,MATCH(ROWS($AG$2:AG823),$AG$2:$AG$1001,0),0), INDEX($AN$1004:$BO$1004,1,MATCH(COLUMNS($AN$1006:AS1006),$AN$1006:$BO$1006,0)))),"Fix")))</f>
        <v>0</v>
      </c>
      <c r="H823" s="4">
        <f>IF(OR(INDEX($AH$2:$AH$1001,MATCH(ROWS($AG$2:AG823),$AG$2:$AG$1001,0),1)&gt;=100000,INDEX($AN$1005:$BO$1005,1,MATCH(COLUMNS($AN$1006:AT1006),$AN$1006:$BO$1006,0))&gt;=100000), " ",IF(INDEX($AN$2:$BO$1001,MATCH(ROWS($AG$2:AG823),$AG$2:$AG$1001,0),MATCH(COLUMNS($AN$1006:AT1006),$AN$1006:$BO$1006,0)), HYPERLINK("#",""), HYPERLINK(CONCATENATE("#Metadata!", ADDRESS(INDEX($AI$2:$AI$1001,MATCH(ROWS($AG$2:AG823),$AG$2:$AG$1001,0),0), INDEX($AN$1004:$BO$1004,1,MATCH(COLUMNS($AN$1006:AT1006),$AN$1006:$BO$1006,0)))),"Fix")))</f>
        <v>0</v>
      </c>
      <c r="I823" s="4">
        <f>IF(OR(INDEX($AH$2:$AH$1001,MATCH(ROWS($AG$2:AG823),$AG$2:$AG$1001,0),1)&gt;=100000,INDEX($AN$1005:$BO$1005,1,MATCH(COLUMNS($AN$1006:AU1006),$AN$1006:$BO$1006,0))&gt;=100000), " ",IF(INDEX($AN$2:$BO$1001,MATCH(ROWS($AG$2:AG823),$AG$2:$AG$1001,0),MATCH(COLUMNS($AN$1006:AU1006),$AN$1006:$BO$1006,0)), HYPERLINK("#",""), HYPERLINK(CONCATENATE("#Metadata!", ADDRESS(INDEX($AI$2:$AI$1001,MATCH(ROWS($AG$2:AG823),$AG$2:$AG$1001,0),0), INDEX($AN$1004:$BO$1004,1,MATCH(COLUMNS($AN$1006:AU1006),$AN$1006:$BO$1006,0)))),"Fix")))</f>
        <v>0</v>
      </c>
      <c r="J823" s="4">
        <f>IF(OR(INDEX($AH$2:$AH$1001,MATCH(ROWS($AG$2:AG823),$AG$2:$AG$1001,0),1)&gt;=100000,INDEX($AN$1005:$BO$1005,1,MATCH(COLUMNS($AN$1006:AV1006),$AN$1006:$BO$1006,0))&gt;=100000), " ",IF(INDEX($AN$2:$BO$1001,MATCH(ROWS($AG$2:AG823),$AG$2:$AG$1001,0),MATCH(COLUMNS($AN$1006:AV1006),$AN$1006:$BO$1006,0)), HYPERLINK("#",""), HYPERLINK(CONCATENATE("#Metadata!", ADDRESS(INDEX($AI$2:$AI$1001,MATCH(ROWS($AG$2:AG823),$AG$2:$AG$1001,0),0), INDEX($AN$1004:$BO$1004,1,MATCH(COLUMNS($AN$1006:AV1006),$AN$1006:$BO$1006,0)))),"Fix")))</f>
        <v>0</v>
      </c>
      <c r="K823" s="4">
        <f>IF(OR(INDEX($AH$2:$AH$1001,MATCH(ROWS($AG$2:AG823),$AG$2:$AG$1001,0),1)&gt;=100000,INDEX($AN$1005:$BO$1005,1,MATCH(COLUMNS($AN$1006:AW1006),$AN$1006:$BO$1006,0))&gt;=100000), " ",IF(INDEX($AN$2:$BO$1001,MATCH(ROWS($AG$2:AG823),$AG$2:$AG$1001,0),MATCH(COLUMNS($AN$1006:AW1006),$AN$1006:$BO$1006,0)), HYPERLINK("#",""), HYPERLINK(CONCATENATE("#Metadata!", ADDRESS(INDEX($AI$2:$AI$1001,MATCH(ROWS($AG$2:AG823),$AG$2:$AG$1001,0),0), INDEX($AN$1004:$BO$1004,1,MATCH(COLUMNS($AN$1006:AW1006),$AN$1006:$BO$1006,0)))),"Fix")))</f>
        <v>0</v>
      </c>
      <c r="L823" s="4">
        <f>IF(OR(INDEX($AH$2:$AH$1001,MATCH(ROWS($AG$2:AG823),$AG$2:$AG$1001,0),1)&gt;=100000,INDEX($AN$1005:$BO$1005,1,MATCH(COLUMNS($AN$1006:AX1006),$AN$1006:$BO$1006,0))&gt;=100000), " ",IF(INDEX($AN$2:$BO$1001,MATCH(ROWS($AG$2:AG823),$AG$2:$AG$1001,0),MATCH(COLUMNS($AN$1006:AX1006),$AN$1006:$BO$1006,0)), HYPERLINK("#",""), HYPERLINK(CONCATENATE("#Metadata!", ADDRESS(INDEX($AI$2:$AI$1001,MATCH(ROWS($AG$2:AG823),$AG$2:$AG$1001,0),0), INDEX($AN$1004:$BO$1004,1,MATCH(COLUMNS($AN$1006:AX1006),$AN$1006:$BO$1006,0)))),"Fix")))</f>
        <v>0</v>
      </c>
      <c r="M823" s="4">
        <f>IF(OR(INDEX($AH$2:$AH$1001,MATCH(ROWS($AG$2:AG823),$AG$2:$AG$1001,0),1)&gt;=100000,INDEX($AN$1005:$BO$1005,1,MATCH(COLUMNS($AN$1006:AY1006),$AN$1006:$BO$1006,0))&gt;=100000), " ",IF(INDEX($AN$2:$BO$1001,MATCH(ROWS($AG$2:AG823),$AG$2:$AG$1001,0),MATCH(COLUMNS($AN$1006:AY1006),$AN$1006:$BO$1006,0)), HYPERLINK("#",""), HYPERLINK(CONCATENATE("#Metadata!", ADDRESS(INDEX($AI$2:$AI$1001,MATCH(ROWS($AG$2:AG823),$AG$2:$AG$1001,0),0), INDEX($AN$1004:$BO$1004,1,MATCH(COLUMNS($AN$1006:AY1006),$AN$1006:$BO$1006,0)))),"Fix")))</f>
        <v>0</v>
      </c>
      <c r="N823" s="4">
        <f>IF(OR(INDEX($AH$2:$AH$1001,MATCH(ROWS($AG$2:AG823),$AG$2:$AG$1001,0),1)&gt;=100000,INDEX($AN$1005:$BO$1005,1,MATCH(COLUMNS($AN$1006:AZ1006),$AN$1006:$BO$1006,0))&gt;=100000), " ",IF(INDEX($AN$2:$BO$1001,MATCH(ROWS($AG$2:AG823),$AG$2:$AG$1001,0),MATCH(COLUMNS($AN$1006:AZ1006),$AN$1006:$BO$1006,0)), HYPERLINK("#",""), HYPERLINK(CONCATENATE("#Metadata!", ADDRESS(INDEX($AI$2:$AI$1001,MATCH(ROWS($AG$2:AG823),$AG$2:$AG$1001,0),0), INDEX($AN$1004:$BO$1004,1,MATCH(COLUMNS($AN$1006:AZ1006),$AN$1006:$BO$1006,0)))),"Fix")))</f>
        <v>0</v>
      </c>
      <c r="O823" s="4">
        <f>IF(OR(INDEX($AH$2:$AH$1001,MATCH(ROWS($AG$2:AG823),$AG$2:$AG$1001,0),1)&gt;=100000,INDEX($AN$1005:$BO$1005,1,MATCH(COLUMNS($AN$1006:BA1006),$AN$1006:$BO$1006,0))&gt;=100000), " ",IF(INDEX($AN$2:$BO$1001,MATCH(ROWS($AG$2:AG823),$AG$2:$AG$1001,0),MATCH(COLUMNS($AN$1006:BA1006),$AN$1006:$BO$1006,0)), HYPERLINK("#",""), HYPERLINK(CONCATENATE("#Metadata!", ADDRESS(INDEX($AI$2:$AI$1001,MATCH(ROWS($AG$2:AG823),$AG$2:$AG$1001,0),0), INDEX($AN$1004:$BO$1004,1,MATCH(COLUMNS($AN$1006:BA1006),$AN$1006:$BO$1006,0)))),"Fix")))</f>
        <v>0</v>
      </c>
      <c r="P823" s="4">
        <f>IF(OR(INDEX($AH$2:$AH$1001,MATCH(ROWS($AG$2:AG823),$AG$2:$AG$1001,0),1)&gt;=100000,INDEX($AN$1005:$BO$1005,1,MATCH(COLUMNS($AN$1006:BB1006),$AN$1006:$BO$1006,0))&gt;=100000), " ",IF(INDEX($AN$2:$BO$1001,MATCH(ROWS($AG$2:AG823),$AG$2:$AG$1001,0),MATCH(COLUMNS($AN$1006:BB1006),$AN$1006:$BO$1006,0)), HYPERLINK("#",""), HYPERLINK(CONCATENATE("#Metadata!", ADDRESS(INDEX($AI$2:$AI$1001,MATCH(ROWS($AG$2:AG823),$AG$2:$AG$1001,0),0), INDEX($AN$1004:$BO$1004,1,MATCH(COLUMNS($AN$1006:BB1006),$AN$1006:$BO$1006,0)))),"Fix")))</f>
        <v>0</v>
      </c>
      <c r="Q823" s="4">
        <f>IF(OR(INDEX($AH$2:$AH$1001,MATCH(ROWS($AG$2:AG823),$AG$2:$AG$1001,0),1)&gt;=100000,INDEX($AN$1005:$BO$1005,1,MATCH(COLUMNS($AN$1006:BC1006),$AN$1006:$BO$1006,0))&gt;=100000), " ",IF(INDEX($AN$2:$BO$1001,MATCH(ROWS($AG$2:AG823),$AG$2:$AG$1001,0),MATCH(COLUMNS($AN$1006:BC1006),$AN$1006:$BO$1006,0)), HYPERLINK("#",""), HYPERLINK(CONCATENATE("#Metadata!", ADDRESS(INDEX($AI$2:$AI$1001,MATCH(ROWS($AG$2:AG823),$AG$2:$AG$1001,0),0), INDEX($AN$1004:$BO$1004,1,MATCH(COLUMNS($AN$1006:BC1006),$AN$1006:$BO$1006,0)))),"Fix")))</f>
        <v>0</v>
      </c>
      <c r="R823" s="4">
        <f>IF(OR(INDEX($AH$2:$AH$1001,MATCH(ROWS($AG$2:AG823),$AG$2:$AG$1001,0),1)&gt;=100000,INDEX($AN$1005:$BO$1005,1,MATCH(COLUMNS($AN$1006:BD1006),$AN$1006:$BO$1006,0))&gt;=100000), " ",IF(INDEX($AN$2:$BO$1001,MATCH(ROWS($AG$2:AG823),$AG$2:$AG$1001,0),MATCH(COLUMNS($AN$1006:BD1006),$AN$1006:$BO$1006,0)), HYPERLINK("#",""), HYPERLINK(CONCATENATE("#Metadata!", ADDRESS(INDEX($AI$2:$AI$1001,MATCH(ROWS($AG$2:AG823),$AG$2:$AG$1001,0),0), INDEX($AN$1004:$BO$1004,1,MATCH(COLUMNS($AN$1006:BD1006),$AN$1006:$BO$1006,0)))),"Fix")))</f>
        <v>0</v>
      </c>
      <c r="S823" s="4">
        <f>IF(OR(INDEX($AH$2:$AH$1001,MATCH(ROWS($AG$2:AG823),$AG$2:$AG$1001,0),1)&gt;=100000,INDEX($AN$1005:$BO$1005,1,MATCH(COLUMNS($AN$1006:BE1006),$AN$1006:$BO$1006,0))&gt;=100000), " ",IF(INDEX($AN$2:$BO$1001,MATCH(ROWS($AG$2:AG823),$AG$2:$AG$1001,0),MATCH(COLUMNS($AN$1006:BE1006),$AN$1006:$BO$1006,0)), HYPERLINK("#",""), HYPERLINK(CONCATENATE("#Metadata!", ADDRESS(INDEX($AI$2:$AI$1001,MATCH(ROWS($AG$2:AG823),$AG$2:$AG$1001,0),0), INDEX($AN$1004:$BO$1004,1,MATCH(COLUMNS($AN$1006:BE1006),$AN$1006:$BO$1006,0)))),"Fix")))</f>
        <v>0</v>
      </c>
      <c r="T823" s="4">
        <f>IF(OR(INDEX($AH$2:$AH$1001,MATCH(ROWS($AG$2:AG823),$AG$2:$AG$1001,0),1)&gt;=100000,INDEX($AN$1005:$BO$1005,1,MATCH(COLUMNS($AN$1006:BF1006),$AN$1006:$BO$1006,0))&gt;=100000), " ",IF(INDEX($AN$2:$BO$1001,MATCH(ROWS($AG$2:AG823),$AG$2:$AG$1001,0),MATCH(COLUMNS($AN$1006:BF1006),$AN$1006:$BO$1006,0)), HYPERLINK("#",""), HYPERLINK(CONCATENATE("#Metadata!", ADDRESS(INDEX($AI$2:$AI$1001,MATCH(ROWS($AG$2:AG823),$AG$2:$AG$1001,0),0), INDEX($AN$1004:$BO$1004,1,MATCH(COLUMNS($AN$1006:BF1006),$AN$1006:$BO$1006,0)))),"Fix")))</f>
        <v>0</v>
      </c>
      <c r="U823" s="4">
        <f>IF(OR(INDEX($AH$2:$AH$1001,MATCH(ROWS($AG$2:AG823),$AG$2:$AG$1001,0),1)&gt;=100000,INDEX($AN$1005:$BO$1005,1,MATCH(COLUMNS($AN$1006:BG1006),$AN$1006:$BO$1006,0))&gt;=100000), " ",IF(INDEX($AN$2:$BO$1001,MATCH(ROWS($AG$2:AG823),$AG$2:$AG$1001,0),MATCH(COLUMNS($AN$1006:BG1006),$AN$1006:$BO$1006,0)), HYPERLINK("#",""), HYPERLINK(CONCATENATE("#Metadata!", ADDRESS(INDEX($AI$2:$AI$1001,MATCH(ROWS($AG$2:AG823),$AG$2:$AG$1001,0),0), INDEX($AN$1004:$BO$1004,1,MATCH(COLUMNS($AN$1006:BG1006),$AN$1006:$BO$1006,0)))),"Fix")))</f>
        <v>0</v>
      </c>
      <c r="V823" s="4">
        <f>IF(OR(INDEX($AH$2:$AH$1001,MATCH(ROWS($AG$2:AG823),$AG$2:$AG$1001,0),1)&gt;=100000,INDEX($AN$1005:$BO$1005,1,MATCH(COLUMNS($AN$1006:BH1006),$AN$1006:$BO$1006,0))&gt;=100000), " ",IF(INDEX($AN$2:$BO$1001,MATCH(ROWS($AG$2:AG823),$AG$2:$AG$1001,0),MATCH(COLUMNS($AN$1006:BH1006),$AN$1006:$BO$1006,0)), HYPERLINK("#",""), HYPERLINK(CONCATENATE("#Metadata!", ADDRESS(INDEX($AI$2:$AI$1001,MATCH(ROWS($AG$2:AG823),$AG$2:$AG$1001,0),0), INDEX($AN$1004:$BO$1004,1,MATCH(COLUMNS($AN$1006:BH1006),$AN$1006:$BO$1006,0)))),"Fix")))</f>
        <v>0</v>
      </c>
      <c r="W823" s="4">
        <f>IF(OR(INDEX($AH$2:$AH$1001,MATCH(ROWS($AG$2:AG823),$AG$2:$AG$1001,0),1)&gt;=100000,INDEX($AN$1005:$BO$1005,1,MATCH(COLUMNS($AN$1006:BI1006),$AN$1006:$BO$1006,0))&gt;=100000), " ",IF(INDEX($AN$2:$BO$1001,MATCH(ROWS($AG$2:AG823),$AG$2:$AG$1001,0),MATCH(COLUMNS($AN$1006:BI1006),$AN$1006:$BO$1006,0)), HYPERLINK("#",""), HYPERLINK(CONCATENATE("#Metadata!", ADDRESS(INDEX($AI$2:$AI$1001,MATCH(ROWS($AG$2:AG823),$AG$2:$AG$1001,0),0), INDEX($AN$1004:$BO$1004,1,MATCH(COLUMNS($AN$1006:BI1006),$AN$1006:$BO$1006,0)))),"Fix")))</f>
        <v>0</v>
      </c>
      <c r="X823" s="4">
        <f>IF(OR(INDEX($AH$2:$AH$1001,MATCH(ROWS($AG$2:AG823),$AG$2:$AG$1001,0),1)&gt;=100000,INDEX($AN$1005:$BO$1005,1,MATCH(COLUMNS($AN$1006:BJ1006),$AN$1006:$BO$1006,0))&gt;=100000), " ",IF(INDEX($AN$2:$BO$1001,MATCH(ROWS($AG$2:AG823),$AG$2:$AG$1001,0),MATCH(COLUMNS($AN$1006:BJ1006),$AN$1006:$BO$1006,0)), HYPERLINK("#",""), HYPERLINK(CONCATENATE("#Metadata!", ADDRESS(INDEX($AI$2:$AI$1001,MATCH(ROWS($AG$2:AG823),$AG$2:$AG$1001,0),0), INDEX($AN$1004:$BO$1004,1,MATCH(COLUMNS($AN$1006:BJ1006),$AN$1006:$BO$1006,0)))),"Fix")))</f>
        <v>0</v>
      </c>
      <c r="Y823" s="4">
        <f>IF(OR(INDEX($AH$2:$AH$1001,MATCH(ROWS($AG$2:AG823),$AG$2:$AG$1001,0),1)&gt;=100000,INDEX($AN$1005:$BO$1005,1,MATCH(COLUMNS($AN$1006:BK1006),$AN$1006:$BO$1006,0))&gt;=100000), " ",IF(INDEX($AN$2:$BO$1001,MATCH(ROWS($AG$2:AG823),$AG$2:$AG$1001,0),MATCH(COLUMNS($AN$1006:BK1006),$AN$1006:$BO$1006,0)), HYPERLINK("#",""), HYPERLINK(CONCATENATE("#Metadata!", ADDRESS(INDEX($AI$2:$AI$1001,MATCH(ROWS($AG$2:AG823),$AG$2:$AG$1001,0),0), INDEX($AN$1004:$BO$1004,1,MATCH(COLUMNS($AN$1006:BK1006),$AN$1006:$BO$1006,0)))),"Fix")))</f>
        <v>0</v>
      </c>
      <c r="Z823" s="4">
        <f>IF(OR(INDEX($AH$2:$AH$1001,MATCH(ROWS($AG$2:AG823),$AG$2:$AG$1001,0),1)&gt;=100000,INDEX($AN$1005:$BO$1005,1,MATCH(COLUMNS($AN$1006:BL1006),$AN$1006:$BO$1006,0))&gt;=100000), " ",IF(INDEX($AN$2:$BO$1001,MATCH(ROWS($AG$2:AG823),$AG$2:$AG$1001,0),MATCH(COLUMNS($AN$1006:BL1006),$AN$1006:$BO$1006,0)), HYPERLINK("#",""), HYPERLINK(CONCATENATE("#Metadata!", ADDRESS(INDEX($AI$2:$AI$1001,MATCH(ROWS($AG$2:AG823),$AG$2:$AG$1001,0),0), INDEX($AN$1004:$BO$1004,1,MATCH(COLUMNS($AN$1006:BL1006),$AN$1006:$BO$1006,0)))),"Fix")))</f>
        <v>0</v>
      </c>
      <c r="AA823" s="4">
        <f>IF(OR(INDEX($AH$2:$AH$1001,MATCH(ROWS($AG$2:AG823),$AG$2:$AG$1001,0),1)&gt;=100000,INDEX($AN$1005:$BO$1005,1,MATCH(COLUMNS($AN$1006:BM1006),$AN$1006:$BO$1006,0))&gt;=100000), " ",IF(INDEX($AN$2:$BO$1001,MATCH(ROWS($AG$2:AG823),$AG$2:$AG$1001,0),MATCH(COLUMNS($AN$1006:BM1006),$AN$1006:$BO$1006,0)), HYPERLINK("#",""), HYPERLINK(CONCATENATE("#Metadata!", ADDRESS(INDEX($AI$2:$AI$1001,MATCH(ROWS($AG$2:AG823),$AG$2:$AG$1001,0),0), INDEX($AN$1004:$BO$1004,1,MATCH(COLUMNS($AN$1006:BM1006),$AN$1006:$BO$1006,0)))),"Fix")))</f>
        <v>0</v>
      </c>
      <c r="AB823" s="4">
        <f>IF(OR(INDEX($AH$2:$AH$1001,MATCH(ROWS($AG$2:AG823),$AG$2:$AG$1001,0),1)&gt;=100000,INDEX($AN$1005:$BO$1005,1,MATCH(COLUMNS($AN$1006:BN1006),$AN$1006:$BO$1006,0))&gt;=100000), " ",IF(INDEX($AN$2:$BO$1001,MATCH(ROWS($AG$2:AG823),$AG$2:$AG$1001,0),MATCH(COLUMNS($AN$1006:BN1006),$AN$1006:$BO$1006,0)), HYPERLINK("#",""), HYPERLINK(CONCATENATE("#Metadata!", ADDRESS(INDEX($AI$2:$AI$1001,MATCH(ROWS($AG$2:AG823),$AG$2:$AG$1001,0),0), INDEX($AN$1004:$BO$1004,1,MATCH(COLUMNS($AN$1006:BN1006),$AN$1006:$BO$1006,0)))),"Fix")))</f>
        <v>0</v>
      </c>
      <c r="AC823" s="4">
        <f>IF(OR(INDEX($AH$2:$AH$1001,MATCH(ROWS($AG$2:AG823),$AG$2:$AG$1001,0),1)&gt;=100000,INDEX($AN$1005:$BO$1005,1,MATCH(COLUMNS($AN$1006:BO1006),$AN$1006:$BO$1006,0))&gt;=100000), " ",IF(INDEX($AN$2:$BO$1001,MATCH(ROWS($AG$2:AG823),$AG$2:$AG$1001,0),MATCH(COLUMNS($AN$1006:BO1006),$AN$1006:$BO$1006,0)), HYPERLINK("#",""), HYPERLINK(CONCATENATE("#Metadata!", ADDRESS(INDEX($AI$2:$AI$1001,MATCH(ROWS($AG$2:AG823),$AG$2:$AG$1001,0),0), INDEX($AN$1004:$BO$1004,1,MATCH(COLUMNS($AN$1006:BO1006),$AN$1006:$BO$1006,0)))),"Fix")))</f>
        <v>0</v>
      </c>
      <c r="AG823">
        <v>0</v>
      </c>
      <c r="AH823">
        <v>0</v>
      </c>
      <c r="AI823">
        <v>0</v>
      </c>
      <c r="AJ823">
        <f>IF(AK823,TRUE,AND(AN823:BO823))</f>
        <v>0</v>
      </c>
      <c r="AK823">
        <f>COUNTBLANK(Metadata!B823:AC823)=COLUMNS(Metadata!B823:AC823)</f>
        <v>0</v>
      </c>
      <c r="AL823">
        <v>0</v>
      </c>
      <c r="AN823">
        <f>AND(IF(Metadata!B823="",FALSE,TRUE),COUNTIF(Metadata!B:B, Metadata!B823) = 1,NOT(ISERROR(SUMPRODUCT(SEARCH(MID(Metadata!B823,ROW(INDIRECT("1:"&amp;LEN(Metadata!B823))), 1),"0123456789abcdefghijklmnopqrstuvwxyzABCDEFGHIJKLMNOPQRSTUVWXYZ.")))))</f>
        <v>0</v>
      </c>
      <c r="AO823">
        <f>IF(Metadata!C823="",FALSE,TRUE)</f>
        <v>0</v>
      </c>
      <c r="AP823">
        <f>IF(Metadata!D823="",FALSE,TRUE)</f>
        <v>0</v>
      </c>
      <c r="AQ823">
        <f>OR(AND(IF(Metadata!E823="",FALSE,TRUE),OR(exact(Metadata!E823,"not collected"),exact(Metadata!E823,"not provided"),exact(Metadata!E823,"restricted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R823">
        <f>IF(Metadata!F823="",FALSE,TRUE)</f>
        <v>0</v>
      </c>
      <c r="AS823">
        <f>OR(AND(IF(Metadata!G823="",FALSE,TRUE),OR(exact(Metadata!G823,"not collected"),exact(Metadata!G823,"not provided"))),AND(IF(Metadata!G823="",FALSE,TRUE),OR(exact(Metadata!G823,"TRUE"),exact(Metadata!G823,"FALSE"))))</f>
        <v>0</v>
      </c>
      <c r="AT823">
        <f>OR(AND(IF(Metadata!H823="",FALSE,TRUE),OR(exact(Metadata!H823,"not collected"),exact(Metadata!H823,"not provided"),exact(Metadata!H823,"restricted access"))),AND(IF(Metadata!H823="",FALSE,ISNUMBER(VALUE(Metadata!H823))),Metadata!H823&gt;=-413.0))</f>
        <v>0</v>
      </c>
      <c r="AU823">
        <f>AND(IF(Metadata!I823="",FALSE,TRUE),exact(Metadata!I823,"meters"))</f>
        <v>0</v>
      </c>
      <c r="AV823">
        <f>AND(IF(Metadata!J823="",FALSE,TRUE),OR(exact(Metadata!J823,"Host-associated"),exact(Metadata!J823,"Free-living")))</f>
        <v>0</v>
      </c>
      <c r="AW823">
        <f>AND(IF(Metadata!K823="",FALSE,TRUE),OR(exact(Metadata!K823,"Animal"),exact(Metadata!K823,"Fungus"),exact(Metadata!K823,"Plant"),exact(Metadata!K823,"Saline"),exact(Metadata!K823,"Non-saline")))</f>
        <v>0</v>
      </c>
      <c r="AX823">
        <f>AND(IF(Metadata!L823="",FALSE,TRUE),OR(exact(Metadata!L823,"Plant secretion"),exact(Metadata!L823,"Plant rhizosphere"),exact(Metadata!L823,"Plant surface"),exact(Metadata!L823,"Plant corpus"),exact(Metadata!L823,"Fungus surface"),exact(Metadata!L823,"Fungus corpus"),exact(Metadata!L823,"Animal surface"),exact(Metadata!L823,"Animal proximal gut"),exact(Metadata!L823,"Animal corpus"),exact(Metadata!L823,"Animal distal gut"),exact(Metadata!L823,"Animal secretion"),exact(Metadata!L823,"Sub-surface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Y823">
        <f>IF(Metadata!M823="",FALSE,TRUE)</f>
        <v>0</v>
      </c>
      <c r="AZ823">
        <f>IF(Metadata!N823="",FALSE,TRUE)</f>
        <v>0</v>
      </c>
      <c r="BA823">
        <f>IF(Metadata!O823="",FALSE,TRUE)</f>
        <v>0</v>
      </c>
      <c r="BB823">
        <f>OR(AND(IF(Metadata!P823="",FALSE,TRUE),OR(exact(Metadata!P823,"not collected"),exact(Metadata!P823,"not provided"),exact(Metadata!P823,"restricted access"))),AND(IF(Metadata!P823="",FALSE,TRUE),OR(exact(Metadata!P823,"air"),exact(Metadata!P823,"built environment"),exact(Metadata!P823,"host-associated"),exact(Metadata!P823,"human-associated"),exact(Metadata!P823,"human-skin"),exact(Metadata!P823,"human-oral"),exact(Metadata!P823,"human-gut"),exact(Metadata!P823,"human-vaginal"),exact(Metadata!P823,"microbial mat/biofilm"),exact(Metadata!P823,"misc environment"),exact(Metadata!P823,"plant-associated"),exact(Metadata!P823,"sediment"),exact(Metadata!P823,"soil"),exact(Metadata!P823,"wastewater/sludge"),exact(Metadata!P823,"water"))))</f>
        <v>0</v>
      </c>
      <c r="BC823">
        <f>IF(Metadata!Q823="",FALSE,TRUE)</f>
        <v>0</v>
      </c>
      <c r="BD823">
        <f>IF(Metadata!R823="",FALSE,TRUE)</f>
        <v>0</v>
      </c>
      <c r="BE823">
        <f>OR(AND(IF(Metadata!S823="",FALSE,TRUE),OR(exact(Metadata!S823,"not collected"),exact(Metadata!S823,"not provided"),exact(Metadata!S823,"restricted access"))),AND(IF(Metadata!S823="",FALSE,ISNUMBER(VALUE(Metadata!S823))),Metadata!S823&gt;=-90.00,Metadata!S823&lt;=90.00))</f>
        <v>0</v>
      </c>
      <c r="BF823">
        <f>AND(IF(Metadata!T823="",FALSE,TRUE),exact(Metadata!T823,"Decimal degrees"))</f>
        <v>0</v>
      </c>
      <c r="BG823">
        <f>OR(AND(IF(Metadata!U823="",FALSE,TRUE),OR(exact(Metadata!U823,"not collected"),exact(Metadata!U823,"not provided"),exact(Metadata!U823,"restricted access"))),AND(IF(Metadata!U823="",FALSE,ISNUMBER(VALUE(Metadata!U823))),Metadata!U823&gt;=-180.00,Metadata!U823&lt;=180.00))</f>
        <v>0</v>
      </c>
      <c r="BH823">
        <f>AND(IF(Metadata!V823="",FALSE,TRUE),exact(Metadata!V823,"Decimal degrees"))</f>
        <v>0</v>
      </c>
      <c r="BI823">
        <f>IF(Metadata!W823="",FALSE,TRUE)</f>
        <v>0</v>
      </c>
      <c r="BJ823">
        <f>OR(AND(IF(Metadata!X823="",FALSE,TRUE),OR(exact(Metadata!X823,"not collected"),exact(Metadata!X823,"not provided"),exact(Metadata!X823,"restricted access"))),AND(IF(Metadata!X823="",FALSE,TRUE),OR(exact(Metadata!X823,"TRUE"),exact(Metadata!X823,"FALSE"))))</f>
        <v>0</v>
      </c>
      <c r="BK823">
        <f>AND(IF(Metadata!Y823="",FALSE,TRUE),exact(Metadata!Y823,"other"))</f>
        <v>0</v>
      </c>
      <c r="BL823">
        <f>IF(Metadata!Z823="",FALSE,TRUE)</f>
        <v>0</v>
      </c>
      <c r="BM823">
        <f>OR(AND(IF(Metadata!AA823="",FALSE,TRUE),OR(exact(Metadata!AA823,"not collected"),exact(Metadata!AA823,"not provided"))),AND(IF(Metadata!AA823="",FALSE,IF(ISERROR(INT(Metadata!AA823)),FALSE,INT(Metadata!AA823)=Metadata!AA823)),Metadata!AA823&gt;0))</f>
        <v>0</v>
      </c>
      <c r="BN823">
        <f>AND(IF(Metadata!AB823="",FALSE,TRUE),exact(Metadata!AB823,"Not applicable"))</f>
        <v>0</v>
      </c>
      <c r="BO823">
        <f>IF(Metadata!AC823="",FALSE,TRUE)</f>
        <v>0</v>
      </c>
    </row>
    <row r="824" spans="1:67">
      <c r="A824" s="5">
        <f>IF(B824=" "," ",HYPERLINK(CONCATENATE("#metadata!",ADDRESS(INDEX($AI$2:$AI$1001,MATCH(ROWS($AG$2:AG824),$AG$2:$AG$1001,0),0),1)),INDEX($AL$2:$AL$1001,MATCH(ROWS($AG$2:AG824),$AG$2:$AG$1001,0),0)))</f>
        <v>0</v>
      </c>
      <c r="B824" s="4">
        <f>IF(OR(INDEX($AH$2:$AH$1001,MATCH(ROWS($AG$2:AG824),$AG$2:$AG$1001,0),1)&gt;=100000,INDEX($AN$1005:$BO$1005,1,MATCH(COLUMNS($AN$1006:AN1006),$AN$1006:$BO$1006,0))&gt;=100000), " ",IF(INDEX($AN$2:$BO$1001,MATCH(ROWS($AG$2:AG824),$AG$2:$AG$1001,0),MATCH(COLUMNS($AN$1006:AN1006),$AN$1006:$BO$1006,0)), HYPERLINK("#",""), HYPERLINK(CONCATENATE("#Metadata!", ADDRESS(INDEX($AI$2:$AI$1001,MATCH(ROWS($AG$2:AG824),$AG$2:$AG$1001,0),0), INDEX($AN$1004:$BO$1004,1,MATCH(COLUMNS($AN$1006:AN1006),$AN$1006:$BO$1006,0)))),"Fix")))</f>
        <v>0</v>
      </c>
      <c r="C824" s="4">
        <f>IF(OR(INDEX($AH$2:$AH$1001,MATCH(ROWS($AG$2:AG824),$AG$2:$AG$1001,0),1)&gt;=100000,INDEX($AN$1005:$BO$1005,1,MATCH(COLUMNS($AN$1006:AO1006),$AN$1006:$BO$1006,0))&gt;=100000), " ",IF(INDEX($AN$2:$BO$1001,MATCH(ROWS($AG$2:AG824),$AG$2:$AG$1001,0),MATCH(COLUMNS($AN$1006:AO1006),$AN$1006:$BO$1006,0)), HYPERLINK("#",""), HYPERLINK(CONCATENATE("#Metadata!", ADDRESS(INDEX($AI$2:$AI$1001,MATCH(ROWS($AG$2:AG824),$AG$2:$AG$1001,0),0), INDEX($AN$1004:$BO$1004,1,MATCH(COLUMNS($AN$1006:AO1006),$AN$1006:$BO$1006,0)))),"Fix")))</f>
        <v>0</v>
      </c>
      <c r="D824" s="4">
        <f>IF(OR(INDEX($AH$2:$AH$1001,MATCH(ROWS($AG$2:AG824),$AG$2:$AG$1001,0),1)&gt;=100000,INDEX($AN$1005:$BO$1005,1,MATCH(COLUMNS($AN$1006:AP1006),$AN$1006:$BO$1006,0))&gt;=100000), " ",IF(INDEX($AN$2:$BO$1001,MATCH(ROWS($AG$2:AG824),$AG$2:$AG$1001,0),MATCH(COLUMNS($AN$1006:AP1006),$AN$1006:$BO$1006,0)), HYPERLINK("#",""), HYPERLINK(CONCATENATE("#Metadata!", ADDRESS(INDEX($AI$2:$AI$1001,MATCH(ROWS($AG$2:AG824),$AG$2:$AG$1001,0),0), INDEX($AN$1004:$BO$1004,1,MATCH(COLUMNS($AN$1006:AP1006),$AN$1006:$BO$1006,0)))),"Fix")))</f>
        <v>0</v>
      </c>
      <c r="E824" s="4">
        <f>IF(OR(INDEX($AH$2:$AH$1001,MATCH(ROWS($AG$2:AG824),$AG$2:$AG$1001,0),1)&gt;=100000,INDEX($AN$1005:$BO$1005,1,MATCH(COLUMNS($AN$1006:AQ1006),$AN$1006:$BO$1006,0))&gt;=100000), " ",IF(INDEX($AN$2:$BO$1001,MATCH(ROWS($AG$2:AG824),$AG$2:$AG$1001,0),MATCH(COLUMNS($AN$1006:AQ1006),$AN$1006:$BO$1006,0)), HYPERLINK("#",""), HYPERLINK(CONCATENATE("#Metadata!", ADDRESS(INDEX($AI$2:$AI$1001,MATCH(ROWS($AG$2:AG824),$AG$2:$AG$1001,0),0), INDEX($AN$1004:$BO$1004,1,MATCH(COLUMNS($AN$1006:AQ1006),$AN$1006:$BO$1006,0)))),"Fix")))</f>
        <v>0</v>
      </c>
      <c r="F824" s="4">
        <f>IF(OR(INDEX($AH$2:$AH$1001,MATCH(ROWS($AG$2:AG824),$AG$2:$AG$1001,0),1)&gt;=100000,INDEX($AN$1005:$BO$1005,1,MATCH(COLUMNS($AN$1006:AR1006),$AN$1006:$BO$1006,0))&gt;=100000), " ",IF(INDEX($AN$2:$BO$1001,MATCH(ROWS($AG$2:AG824),$AG$2:$AG$1001,0),MATCH(COLUMNS($AN$1006:AR1006),$AN$1006:$BO$1006,0)), HYPERLINK("#",""), HYPERLINK(CONCATENATE("#Metadata!", ADDRESS(INDEX($AI$2:$AI$1001,MATCH(ROWS($AG$2:AG824),$AG$2:$AG$1001,0),0), INDEX($AN$1004:$BO$1004,1,MATCH(COLUMNS($AN$1006:AR1006),$AN$1006:$BO$1006,0)))),"Fix")))</f>
        <v>0</v>
      </c>
      <c r="G824" s="4">
        <f>IF(OR(INDEX($AH$2:$AH$1001,MATCH(ROWS($AG$2:AG824),$AG$2:$AG$1001,0),1)&gt;=100000,INDEX($AN$1005:$BO$1005,1,MATCH(COLUMNS($AN$1006:AS1006),$AN$1006:$BO$1006,0))&gt;=100000), " ",IF(INDEX($AN$2:$BO$1001,MATCH(ROWS($AG$2:AG824),$AG$2:$AG$1001,0),MATCH(COLUMNS($AN$1006:AS1006),$AN$1006:$BO$1006,0)), HYPERLINK("#",""), HYPERLINK(CONCATENATE("#Metadata!", ADDRESS(INDEX($AI$2:$AI$1001,MATCH(ROWS($AG$2:AG824),$AG$2:$AG$1001,0),0), INDEX($AN$1004:$BO$1004,1,MATCH(COLUMNS($AN$1006:AS1006),$AN$1006:$BO$1006,0)))),"Fix")))</f>
        <v>0</v>
      </c>
      <c r="H824" s="4">
        <f>IF(OR(INDEX($AH$2:$AH$1001,MATCH(ROWS($AG$2:AG824),$AG$2:$AG$1001,0),1)&gt;=100000,INDEX($AN$1005:$BO$1005,1,MATCH(COLUMNS($AN$1006:AT1006),$AN$1006:$BO$1006,0))&gt;=100000), " ",IF(INDEX($AN$2:$BO$1001,MATCH(ROWS($AG$2:AG824),$AG$2:$AG$1001,0),MATCH(COLUMNS($AN$1006:AT1006),$AN$1006:$BO$1006,0)), HYPERLINK("#",""), HYPERLINK(CONCATENATE("#Metadata!", ADDRESS(INDEX($AI$2:$AI$1001,MATCH(ROWS($AG$2:AG824),$AG$2:$AG$1001,0),0), INDEX($AN$1004:$BO$1004,1,MATCH(COLUMNS($AN$1006:AT1006),$AN$1006:$BO$1006,0)))),"Fix")))</f>
        <v>0</v>
      </c>
      <c r="I824" s="4">
        <f>IF(OR(INDEX($AH$2:$AH$1001,MATCH(ROWS($AG$2:AG824),$AG$2:$AG$1001,0),1)&gt;=100000,INDEX($AN$1005:$BO$1005,1,MATCH(COLUMNS($AN$1006:AU1006),$AN$1006:$BO$1006,0))&gt;=100000), " ",IF(INDEX($AN$2:$BO$1001,MATCH(ROWS($AG$2:AG824),$AG$2:$AG$1001,0),MATCH(COLUMNS($AN$1006:AU1006),$AN$1006:$BO$1006,0)), HYPERLINK("#",""), HYPERLINK(CONCATENATE("#Metadata!", ADDRESS(INDEX($AI$2:$AI$1001,MATCH(ROWS($AG$2:AG824),$AG$2:$AG$1001,0),0), INDEX($AN$1004:$BO$1004,1,MATCH(COLUMNS($AN$1006:AU1006),$AN$1006:$BO$1006,0)))),"Fix")))</f>
        <v>0</v>
      </c>
      <c r="J824" s="4">
        <f>IF(OR(INDEX($AH$2:$AH$1001,MATCH(ROWS($AG$2:AG824),$AG$2:$AG$1001,0),1)&gt;=100000,INDEX($AN$1005:$BO$1005,1,MATCH(COLUMNS($AN$1006:AV1006),$AN$1006:$BO$1006,0))&gt;=100000), " ",IF(INDEX($AN$2:$BO$1001,MATCH(ROWS($AG$2:AG824),$AG$2:$AG$1001,0),MATCH(COLUMNS($AN$1006:AV1006),$AN$1006:$BO$1006,0)), HYPERLINK("#",""), HYPERLINK(CONCATENATE("#Metadata!", ADDRESS(INDEX($AI$2:$AI$1001,MATCH(ROWS($AG$2:AG824),$AG$2:$AG$1001,0),0), INDEX($AN$1004:$BO$1004,1,MATCH(COLUMNS($AN$1006:AV1006),$AN$1006:$BO$1006,0)))),"Fix")))</f>
        <v>0</v>
      </c>
      <c r="K824" s="4">
        <f>IF(OR(INDEX($AH$2:$AH$1001,MATCH(ROWS($AG$2:AG824),$AG$2:$AG$1001,0),1)&gt;=100000,INDEX($AN$1005:$BO$1005,1,MATCH(COLUMNS($AN$1006:AW1006),$AN$1006:$BO$1006,0))&gt;=100000), " ",IF(INDEX($AN$2:$BO$1001,MATCH(ROWS($AG$2:AG824),$AG$2:$AG$1001,0),MATCH(COLUMNS($AN$1006:AW1006),$AN$1006:$BO$1006,0)), HYPERLINK("#",""), HYPERLINK(CONCATENATE("#Metadata!", ADDRESS(INDEX($AI$2:$AI$1001,MATCH(ROWS($AG$2:AG824),$AG$2:$AG$1001,0),0), INDEX($AN$1004:$BO$1004,1,MATCH(COLUMNS($AN$1006:AW1006),$AN$1006:$BO$1006,0)))),"Fix")))</f>
        <v>0</v>
      </c>
      <c r="L824" s="4">
        <f>IF(OR(INDEX($AH$2:$AH$1001,MATCH(ROWS($AG$2:AG824),$AG$2:$AG$1001,0),1)&gt;=100000,INDEX($AN$1005:$BO$1005,1,MATCH(COLUMNS($AN$1006:AX1006),$AN$1006:$BO$1006,0))&gt;=100000), " ",IF(INDEX($AN$2:$BO$1001,MATCH(ROWS($AG$2:AG824),$AG$2:$AG$1001,0),MATCH(COLUMNS($AN$1006:AX1006),$AN$1006:$BO$1006,0)), HYPERLINK("#",""), HYPERLINK(CONCATENATE("#Metadata!", ADDRESS(INDEX($AI$2:$AI$1001,MATCH(ROWS($AG$2:AG824),$AG$2:$AG$1001,0),0), INDEX($AN$1004:$BO$1004,1,MATCH(COLUMNS($AN$1006:AX1006),$AN$1006:$BO$1006,0)))),"Fix")))</f>
        <v>0</v>
      </c>
      <c r="M824" s="4">
        <f>IF(OR(INDEX($AH$2:$AH$1001,MATCH(ROWS($AG$2:AG824),$AG$2:$AG$1001,0),1)&gt;=100000,INDEX($AN$1005:$BO$1005,1,MATCH(COLUMNS($AN$1006:AY1006),$AN$1006:$BO$1006,0))&gt;=100000), " ",IF(INDEX($AN$2:$BO$1001,MATCH(ROWS($AG$2:AG824),$AG$2:$AG$1001,0),MATCH(COLUMNS($AN$1006:AY1006),$AN$1006:$BO$1006,0)), HYPERLINK("#",""), HYPERLINK(CONCATENATE("#Metadata!", ADDRESS(INDEX($AI$2:$AI$1001,MATCH(ROWS($AG$2:AG824),$AG$2:$AG$1001,0),0), INDEX($AN$1004:$BO$1004,1,MATCH(COLUMNS($AN$1006:AY1006),$AN$1006:$BO$1006,0)))),"Fix")))</f>
        <v>0</v>
      </c>
      <c r="N824" s="4">
        <f>IF(OR(INDEX($AH$2:$AH$1001,MATCH(ROWS($AG$2:AG824),$AG$2:$AG$1001,0),1)&gt;=100000,INDEX($AN$1005:$BO$1005,1,MATCH(COLUMNS($AN$1006:AZ1006),$AN$1006:$BO$1006,0))&gt;=100000), " ",IF(INDEX($AN$2:$BO$1001,MATCH(ROWS($AG$2:AG824),$AG$2:$AG$1001,0),MATCH(COLUMNS($AN$1006:AZ1006),$AN$1006:$BO$1006,0)), HYPERLINK("#",""), HYPERLINK(CONCATENATE("#Metadata!", ADDRESS(INDEX($AI$2:$AI$1001,MATCH(ROWS($AG$2:AG824),$AG$2:$AG$1001,0),0), INDEX($AN$1004:$BO$1004,1,MATCH(COLUMNS($AN$1006:AZ1006),$AN$1006:$BO$1006,0)))),"Fix")))</f>
        <v>0</v>
      </c>
      <c r="O824" s="4">
        <f>IF(OR(INDEX($AH$2:$AH$1001,MATCH(ROWS($AG$2:AG824),$AG$2:$AG$1001,0),1)&gt;=100000,INDEX($AN$1005:$BO$1005,1,MATCH(COLUMNS($AN$1006:BA1006),$AN$1006:$BO$1006,0))&gt;=100000), " ",IF(INDEX($AN$2:$BO$1001,MATCH(ROWS($AG$2:AG824),$AG$2:$AG$1001,0),MATCH(COLUMNS($AN$1006:BA1006),$AN$1006:$BO$1006,0)), HYPERLINK("#",""), HYPERLINK(CONCATENATE("#Metadata!", ADDRESS(INDEX($AI$2:$AI$1001,MATCH(ROWS($AG$2:AG824),$AG$2:$AG$1001,0),0), INDEX($AN$1004:$BO$1004,1,MATCH(COLUMNS($AN$1006:BA1006),$AN$1006:$BO$1006,0)))),"Fix")))</f>
        <v>0</v>
      </c>
      <c r="P824" s="4">
        <f>IF(OR(INDEX($AH$2:$AH$1001,MATCH(ROWS($AG$2:AG824),$AG$2:$AG$1001,0),1)&gt;=100000,INDEX($AN$1005:$BO$1005,1,MATCH(COLUMNS($AN$1006:BB1006),$AN$1006:$BO$1006,0))&gt;=100000), " ",IF(INDEX($AN$2:$BO$1001,MATCH(ROWS($AG$2:AG824),$AG$2:$AG$1001,0),MATCH(COLUMNS($AN$1006:BB1006),$AN$1006:$BO$1006,0)), HYPERLINK("#",""), HYPERLINK(CONCATENATE("#Metadata!", ADDRESS(INDEX($AI$2:$AI$1001,MATCH(ROWS($AG$2:AG824),$AG$2:$AG$1001,0),0), INDEX($AN$1004:$BO$1004,1,MATCH(COLUMNS($AN$1006:BB1006),$AN$1006:$BO$1006,0)))),"Fix")))</f>
        <v>0</v>
      </c>
      <c r="Q824" s="4">
        <f>IF(OR(INDEX($AH$2:$AH$1001,MATCH(ROWS($AG$2:AG824),$AG$2:$AG$1001,0),1)&gt;=100000,INDEX($AN$1005:$BO$1005,1,MATCH(COLUMNS($AN$1006:BC1006),$AN$1006:$BO$1006,0))&gt;=100000), " ",IF(INDEX($AN$2:$BO$1001,MATCH(ROWS($AG$2:AG824),$AG$2:$AG$1001,0),MATCH(COLUMNS($AN$1006:BC1006),$AN$1006:$BO$1006,0)), HYPERLINK("#",""), HYPERLINK(CONCATENATE("#Metadata!", ADDRESS(INDEX($AI$2:$AI$1001,MATCH(ROWS($AG$2:AG824),$AG$2:$AG$1001,0),0), INDEX($AN$1004:$BO$1004,1,MATCH(COLUMNS($AN$1006:BC1006),$AN$1006:$BO$1006,0)))),"Fix")))</f>
        <v>0</v>
      </c>
      <c r="R824" s="4">
        <f>IF(OR(INDEX($AH$2:$AH$1001,MATCH(ROWS($AG$2:AG824),$AG$2:$AG$1001,0),1)&gt;=100000,INDEX($AN$1005:$BO$1005,1,MATCH(COLUMNS($AN$1006:BD1006),$AN$1006:$BO$1006,0))&gt;=100000), " ",IF(INDEX($AN$2:$BO$1001,MATCH(ROWS($AG$2:AG824),$AG$2:$AG$1001,0),MATCH(COLUMNS($AN$1006:BD1006),$AN$1006:$BO$1006,0)), HYPERLINK("#",""), HYPERLINK(CONCATENATE("#Metadata!", ADDRESS(INDEX($AI$2:$AI$1001,MATCH(ROWS($AG$2:AG824),$AG$2:$AG$1001,0),0), INDEX($AN$1004:$BO$1004,1,MATCH(COLUMNS($AN$1006:BD1006),$AN$1006:$BO$1006,0)))),"Fix")))</f>
        <v>0</v>
      </c>
      <c r="S824" s="4">
        <f>IF(OR(INDEX($AH$2:$AH$1001,MATCH(ROWS($AG$2:AG824),$AG$2:$AG$1001,0),1)&gt;=100000,INDEX($AN$1005:$BO$1005,1,MATCH(COLUMNS($AN$1006:BE1006),$AN$1006:$BO$1006,0))&gt;=100000), " ",IF(INDEX($AN$2:$BO$1001,MATCH(ROWS($AG$2:AG824),$AG$2:$AG$1001,0),MATCH(COLUMNS($AN$1006:BE1006),$AN$1006:$BO$1006,0)), HYPERLINK("#",""), HYPERLINK(CONCATENATE("#Metadata!", ADDRESS(INDEX($AI$2:$AI$1001,MATCH(ROWS($AG$2:AG824),$AG$2:$AG$1001,0),0), INDEX($AN$1004:$BO$1004,1,MATCH(COLUMNS($AN$1006:BE1006),$AN$1006:$BO$1006,0)))),"Fix")))</f>
        <v>0</v>
      </c>
      <c r="T824" s="4">
        <f>IF(OR(INDEX($AH$2:$AH$1001,MATCH(ROWS($AG$2:AG824),$AG$2:$AG$1001,0),1)&gt;=100000,INDEX($AN$1005:$BO$1005,1,MATCH(COLUMNS($AN$1006:BF1006),$AN$1006:$BO$1006,0))&gt;=100000), " ",IF(INDEX($AN$2:$BO$1001,MATCH(ROWS($AG$2:AG824),$AG$2:$AG$1001,0),MATCH(COLUMNS($AN$1006:BF1006),$AN$1006:$BO$1006,0)), HYPERLINK("#",""), HYPERLINK(CONCATENATE("#Metadata!", ADDRESS(INDEX($AI$2:$AI$1001,MATCH(ROWS($AG$2:AG824),$AG$2:$AG$1001,0),0), INDEX($AN$1004:$BO$1004,1,MATCH(COLUMNS($AN$1006:BF1006),$AN$1006:$BO$1006,0)))),"Fix")))</f>
        <v>0</v>
      </c>
      <c r="U824" s="4">
        <f>IF(OR(INDEX($AH$2:$AH$1001,MATCH(ROWS($AG$2:AG824),$AG$2:$AG$1001,0),1)&gt;=100000,INDEX($AN$1005:$BO$1005,1,MATCH(COLUMNS($AN$1006:BG1006),$AN$1006:$BO$1006,0))&gt;=100000), " ",IF(INDEX($AN$2:$BO$1001,MATCH(ROWS($AG$2:AG824),$AG$2:$AG$1001,0),MATCH(COLUMNS($AN$1006:BG1006),$AN$1006:$BO$1006,0)), HYPERLINK("#",""), HYPERLINK(CONCATENATE("#Metadata!", ADDRESS(INDEX($AI$2:$AI$1001,MATCH(ROWS($AG$2:AG824),$AG$2:$AG$1001,0),0), INDEX($AN$1004:$BO$1004,1,MATCH(COLUMNS($AN$1006:BG1006),$AN$1006:$BO$1006,0)))),"Fix")))</f>
        <v>0</v>
      </c>
      <c r="V824" s="4">
        <f>IF(OR(INDEX($AH$2:$AH$1001,MATCH(ROWS($AG$2:AG824),$AG$2:$AG$1001,0),1)&gt;=100000,INDEX($AN$1005:$BO$1005,1,MATCH(COLUMNS($AN$1006:BH1006),$AN$1006:$BO$1006,0))&gt;=100000), " ",IF(INDEX($AN$2:$BO$1001,MATCH(ROWS($AG$2:AG824),$AG$2:$AG$1001,0),MATCH(COLUMNS($AN$1006:BH1006),$AN$1006:$BO$1006,0)), HYPERLINK("#",""), HYPERLINK(CONCATENATE("#Metadata!", ADDRESS(INDEX($AI$2:$AI$1001,MATCH(ROWS($AG$2:AG824),$AG$2:$AG$1001,0),0), INDEX($AN$1004:$BO$1004,1,MATCH(COLUMNS($AN$1006:BH1006),$AN$1006:$BO$1006,0)))),"Fix")))</f>
        <v>0</v>
      </c>
      <c r="W824" s="4">
        <f>IF(OR(INDEX($AH$2:$AH$1001,MATCH(ROWS($AG$2:AG824),$AG$2:$AG$1001,0),1)&gt;=100000,INDEX($AN$1005:$BO$1005,1,MATCH(COLUMNS($AN$1006:BI1006),$AN$1006:$BO$1006,0))&gt;=100000), " ",IF(INDEX($AN$2:$BO$1001,MATCH(ROWS($AG$2:AG824),$AG$2:$AG$1001,0),MATCH(COLUMNS($AN$1006:BI1006),$AN$1006:$BO$1006,0)), HYPERLINK("#",""), HYPERLINK(CONCATENATE("#Metadata!", ADDRESS(INDEX($AI$2:$AI$1001,MATCH(ROWS($AG$2:AG824),$AG$2:$AG$1001,0),0), INDEX($AN$1004:$BO$1004,1,MATCH(COLUMNS($AN$1006:BI1006),$AN$1006:$BO$1006,0)))),"Fix")))</f>
        <v>0</v>
      </c>
      <c r="X824" s="4">
        <f>IF(OR(INDEX($AH$2:$AH$1001,MATCH(ROWS($AG$2:AG824),$AG$2:$AG$1001,0),1)&gt;=100000,INDEX($AN$1005:$BO$1005,1,MATCH(COLUMNS($AN$1006:BJ1006),$AN$1006:$BO$1006,0))&gt;=100000), " ",IF(INDEX($AN$2:$BO$1001,MATCH(ROWS($AG$2:AG824),$AG$2:$AG$1001,0),MATCH(COLUMNS($AN$1006:BJ1006),$AN$1006:$BO$1006,0)), HYPERLINK("#",""), HYPERLINK(CONCATENATE("#Metadata!", ADDRESS(INDEX($AI$2:$AI$1001,MATCH(ROWS($AG$2:AG824),$AG$2:$AG$1001,0),0), INDEX($AN$1004:$BO$1004,1,MATCH(COLUMNS($AN$1006:BJ1006),$AN$1006:$BO$1006,0)))),"Fix")))</f>
        <v>0</v>
      </c>
      <c r="Y824" s="4">
        <f>IF(OR(INDEX($AH$2:$AH$1001,MATCH(ROWS($AG$2:AG824),$AG$2:$AG$1001,0),1)&gt;=100000,INDEX($AN$1005:$BO$1005,1,MATCH(COLUMNS($AN$1006:BK1006),$AN$1006:$BO$1006,0))&gt;=100000), " ",IF(INDEX($AN$2:$BO$1001,MATCH(ROWS($AG$2:AG824),$AG$2:$AG$1001,0),MATCH(COLUMNS($AN$1006:BK1006),$AN$1006:$BO$1006,0)), HYPERLINK("#",""), HYPERLINK(CONCATENATE("#Metadata!", ADDRESS(INDEX($AI$2:$AI$1001,MATCH(ROWS($AG$2:AG824),$AG$2:$AG$1001,0),0), INDEX($AN$1004:$BO$1004,1,MATCH(COLUMNS($AN$1006:BK1006),$AN$1006:$BO$1006,0)))),"Fix")))</f>
        <v>0</v>
      </c>
      <c r="Z824" s="4">
        <f>IF(OR(INDEX($AH$2:$AH$1001,MATCH(ROWS($AG$2:AG824),$AG$2:$AG$1001,0),1)&gt;=100000,INDEX($AN$1005:$BO$1005,1,MATCH(COLUMNS($AN$1006:BL1006),$AN$1006:$BO$1006,0))&gt;=100000), " ",IF(INDEX($AN$2:$BO$1001,MATCH(ROWS($AG$2:AG824),$AG$2:$AG$1001,0),MATCH(COLUMNS($AN$1006:BL1006),$AN$1006:$BO$1006,0)), HYPERLINK("#",""), HYPERLINK(CONCATENATE("#Metadata!", ADDRESS(INDEX($AI$2:$AI$1001,MATCH(ROWS($AG$2:AG824),$AG$2:$AG$1001,0),0), INDEX($AN$1004:$BO$1004,1,MATCH(COLUMNS($AN$1006:BL1006),$AN$1006:$BO$1006,0)))),"Fix")))</f>
        <v>0</v>
      </c>
      <c r="AA824" s="4">
        <f>IF(OR(INDEX($AH$2:$AH$1001,MATCH(ROWS($AG$2:AG824),$AG$2:$AG$1001,0),1)&gt;=100000,INDEX($AN$1005:$BO$1005,1,MATCH(COLUMNS($AN$1006:BM1006),$AN$1006:$BO$1006,0))&gt;=100000), " ",IF(INDEX($AN$2:$BO$1001,MATCH(ROWS($AG$2:AG824),$AG$2:$AG$1001,0),MATCH(COLUMNS($AN$1006:BM1006),$AN$1006:$BO$1006,0)), HYPERLINK("#",""), HYPERLINK(CONCATENATE("#Metadata!", ADDRESS(INDEX($AI$2:$AI$1001,MATCH(ROWS($AG$2:AG824),$AG$2:$AG$1001,0),0), INDEX($AN$1004:$BO$1004,1,MATCH(COLUMNS($AN$1006:BM1006),$AN$1006:$BO$1006,0)))),"Fix")))</f>
        <v>0</v>
      </c>
      <c r="AB824" s="4">
        <f>IF(OR(INDEX($AH$2:$AH$1001,MATCH(ROWS($AG$2:AG824),$AG$2:$AG$1001,0),1)&gt;=100000,INDEX($AN$1005:$BO$1005,1,MATCH(COLUMNS($AN$1006:BN1006),$AN$1006:$BO$1006,0))&gt;=100000), " ",IF(INDEX($AN$2:$BO$1001,MATCH(ROWS($AG$2:AG824),$AG$2:$AG$1001,0),MATCH(COLUMNS($AN$1006:BN1006),$AN$1006:$BO$1006,0)), HYPERLINK("#",""), HYPERLINK(CONCATENATE("#Metadata!", ADDRESS(INDEX($AI$2:$AI$1001,MATCH(ROWS($AG$2:AG824),$AG$2:$AG$1001,0),0), INDEX($AN$1004:$BO$1004,1,MATCH(COLUMNS($AN$1006:BN1006),$AN$1006:$BO$1006,0)))),"Fix")))</f>
        <v>0</v>
      </c>
      <c r="AC824" s="4">
        <f>IF(OR(INDEX($AH$2:$AH$1001,MATCH(ROWS($AG$2:AG824),$AG$2:$AG$1001,0),1)&gt;=100000,INDEX($AN$1005:$BO$1005,1,MATCH(COLUMNS($AN$1006:BO1006),$AN$1006:$BO$1006,0))&gt;=100000), " ",IF(INDEX($AN$2:$BO$1001,MATCH(ROWS($AG$2:AG824),$AG$2:$AG$1001,0),MATCH(COLUMNS($AN$1006:BO1006),$AN$1006:$BO$1006,0)), HYPERLINK("#",""), HYPERLINK(CONCATENATE("#Metadata!", ADDRESS(INDEX($AI$2:$AI$1001,MATCH(ROWS($AG$2:AG824),$AG$2:$AG$1001,0),0), INDEX($AN$1004:$BO$1004,1,MATCH(COLUMNS($AN$1006:BO1006),$AN$1006:$BO$1006,0)))),"Fix")))</f>
        <v>0</v>
      </c>
      <c r="AG824">
        <v>0</v>
      </c>
      <c r="AH824">
        <v>0</v>
      </c>
      <c r="AI824">
        <v>0</v>
      </c>
      <c r="AJ824">
        <f>IF(AK824,TRUE,AND(AN824:BO824))</f>
        <v>0</v>
      </c>
      <c r="AK824">
        <f>COUNTBLANK(Metadata!B824:AC824)=COLUMNS(Metadata!B824:AC824)</f>
        <v>0</v>
      </c>
      <c r="AL824">
        <v>0</v>
      </c>
      <c r="AN824">
        <f>AND(IF(Metadata!B824="",FALSE,TRUE),COUNTIF(Metadata!B:B, Metadata!B824) = 1,NOT(ISERROR(SUMPRODUCT(SEARCH(MID(Metadata!B824,ROW(INDIRECT("1:"&amp;LEN(Metadata!B824))), 1),"0123456789abcdefghijklmnopqrstuvwxyzABCDEFGHIJKLMNOPQRSTUVWXYZ.")))))</f>
        <v>0</v>
      </c>
      <c r="AO824">
        <f>IF(Metadata!C824="",FALSE,TRUE)</f>
        <v>0</v>
      </c>
      <c r="AP824">
        <f>IF(Metadata!D824="",FALSE,TRUE)</f>
        <v>0</v>
      </c>
      <c r="AQ824">
        <f>OR(AND(IF(Metadata!E824="",FALSE,TRUE),OR(exact(Metadata!E824,"not collected"),exact(Metadata!E824,"not provided"),exact(Metadata!E824,"restricted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R824">
        <f>IF(Metadata!F824="",FALSE,TRUE)</f>
        <v>0</v>
      </c>
      <c r="AS824">
        <f>OR(AND(IF(Metadata!G824="",FALSE,TRUE),OR(exact(Metadata!G824,"not collected"),exact(Metadata!G824,"not provided"))),AND(IF(Metadata!G824="",FALSE,TRUE),OR(exact(Metadata!G824,"TRUE"),exact(Metadata!G824,"FALSE"))))</f>
        <v>0</v>
      </c>
      <c r="AT824">
        <f>OR(AND(IF(Metadata!H824="",FALSE,TRUE),OR(exact(Metadata!H824,"not collected"),exact(Metadata!H824,"not provided"),exact(Metadata!H824,"restricted access"))),AND(IF(Metadata!H824="",FALSE,ISNUMBER(VALUE(Metadata!H824))),Metadata!H824&gt;=-413.0))</f>
        <v>0</v>
      </c>
      <c r="AU824">
        <f>AND(IF(Metadata!I824="",FALSE,TRUE),exact(Metadata!I824,"meters"))</f>
        <v>0</v>
      </c>
      <c r="AV824">
        <f>AND(IF(Metadata!J824="",FALSE,TRUE),OR(exact(Metadata!J824,"Host-associated"),exact(Metadata!J824,"Free-living")))</f>
        <v>0</v>
      </c>
      <c r="AW824">
        <f>AND(IF(Metadata!K824="",FALSE,TRUE),OR(exact(Metadata!K824,"Animal"),exact(Metadata!K824,"Fungus"),exact(Metadata!K824,"Plant"),exact(Metadata!K824,"Saline"),exact(Metadata!K824,"Non-saline")))</f>
        <v>0</v>
      </c>
      <c r="AX824">
        <f>AND(IF(Metadata!L824="",FALSE,TRUE),OR(exact(Metadata!L824,"Plant secretion"),exact(Metadata!L824,"Plant rhizosphere"),exact(Metadata!L824,"Plant surface"),exact(Metadata!L824,"Plant corpus"),exact(Metadata!L824,"Fungus surface"),exact(Metadata!L824,"Fungus corpus"),exact(Metadata!L824,"Animal surface"),exact(Metadata!L824,"Animal proximal gut"),exact(Metadata!L824,"Animal corpus"),exact(Metadata!L824,"Animal distal gut"),exact(Metadata!L824,"Animal secretion"),exact(Metadata!L824,"Sub-surface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Y824">
        <f>IF(Metadata!M824="",FALSE,TRUE)</f>
        <v>0</v>
      </c>
      <c r="AZ824">
        <f>IF(Metadata!N824="",FALSE,TRUE)</f>
        <v>0</v>
      </c>
      <c r="BA824">
        <f>IF(Metadata!O824="",FALSE,TRUE)</f>
        <v>0</v>
      </c>
      <c r="BB824">
        <f>OR(AND(IF(Metadata!P824="",FALSE,TRUE),OR(exact(Metadata!P824,"not collected"),exact(Metadata!P824,"not provided"),exact(Metadata!P824,"restricted access"))),AND(IF(Metadata!P824="",FALSE,TRUE),OR(exact(Metadata!P824,"air"),exact(Metadata!P824,"built environment"),exact(Metadata!P824,"host-associated"),exact(Metadata!P824,"human-associated"),exact(Metadata!P824,"human-skin"),exact(Metadata!P824,"human-oral"),exact(Metadata!P824,"human-gut"),exact(Metadata!P824,"human-vaginal"),exact(Metadata!P824,"microbial mat/biofilm"),exact(Metadata!P824,"misc environment"),exact(Metadata!P824,"plant-associated"),exact(Metadata!P824,"sediment"),exact(Metadata!P824,"soil"),exact(Metadata!P824,"wastewater/sludge"),exact(Metadata!P824,"water"))))</f>
        <v>0</v>
      </c>
      <c r="BC824">
        <f>IF(Metadata!Q824="",FALSE,TRUE)</f>
        <v>0</v>
      </c>
      <c r="BD824">
        <f>IF(Metadata!R824="",FALSE,TRUE)</f>
        <v>0</v>
      </c>
      <c r="BE824">
        <f>OR(AND(IF(Metadata!S824="",FALSE,TRUE),OR(exact(Metadata!S824,"not collected"),exact(Metadata!S824,"not provided"),exact(Metadata!S824,"restricted access"))),AND(IF(Metadata!S824="",FALSE,ISNUMBER(VALUE(Metadata!S824))),Metadata!S824&gt;=-90.00,Metadata!S824&lt;=90.00))</f>
        <v>0</v>
      </c>
      <c r="BF824">
        <f>AND(IF(Metadata!T824="",FALSE,TRUE),exact(Metadata!T824,"Decimal degrees"))</f>
        <v>0</v>
      </c>
      <c r="BG824">
        <f>OR(AND(IF(Metadata!U824="",FALSE,TRUE),OR(exact(Metadata!U824,"not collected"),exact(Metadata!U824,"not provided"),exact(Metadata!U824,"restricted access"))),AND(IF(Metadata!U824="",FALSE,ISNUMBER(VALUE(Metadata!U824))),Metadata!U824&gt;=-180.00,Metadata!U824&lt;=180.00))</f>
        <v>0</v>
      </c>
      <c r="BH824">
        <f>AND(IF(Metadata!V824="",FALSE,TRUE),exact(Metadata!V824,"Decimal degrees"))</f>
        <v>0</v>
      </c>
      <c r="BI824">
        <f>IF(Metadata!W824="",FALSE,TRUE)</f>
        <v>0</v>
      </c>
      <c r="BJ824">
        <f>OR(AND(IF(Metadata!X824="",FALSE,TRUE),OR(exact(Metadata!X824,"not collected"),exact(Metadata!X824,"not provided"),exact(Metadata!X824,"restricted access"))),AND(IF(Metadata!X824="",FALSE,TRUE),OR(exact(Metadata!X824,"TRUE"),exact(Metadata!X824,"FALSE"))))</f>
        <v>0</v>
      </c>
      <c r="BK824">
        <f>AND(IF(Metadata!Y824="",FALSE,TRUE),exact(Metadata!Y824,"other"))</f>
        <v>0</v>
      </c>
      <c r="BL824">
        <f>IF(Metadata!Z824="",FALSE,TRUE)</f>
        <v>0</v>
      </c>
      <c r="BM824">
        <f>OR(AND(IF(Metadata!AA824="",FALSE,TRUE),OR(exact(Metadata!AA824,"not collected"),exact(Metadata!AA824,"not provided"))),AND(IF(Metadata!AA824="",FALSE,IF(ISERROR(INT(Metadata!AA824)),FALSE,INT(Metadata!AA824)=Metadata!AA824)),Metadata!AA824&gt;0))</f>
        <v>0</v>
      </c>
      <c r="BN824">
        <f>AND(IF(Metadata!AB824="",FALSE,TRUE),exact(Metadata!AB824,"Not applicable"))</f>
        <v>0</v>
      </c>
      <c r="BO824">
        <f>IF(Metadata!AC824="",FALSE,TRUE)</f>
        <v>0</v>
      </c>
    </row>
    <row r="825" spans="1:67">
      <c r="A825" s="5">
        <f>IF(B825=" "," ",HYPERLINK(CONCATENATE("#metadata!",ADDRESS(INDEX($AI$2:$AI$1001,MATCH(ROWS($AG$2:AG825),$AG$2:$AG$1001,0),0),1)),INDEX($AL$2:$AL$1001,MATCH(ROWS($AG$2:AG825),$AG$2:$AG$1001,0),0)))</f>
        <v>0</v>
      </c>
      <c r="B825" s="4">
        <f>IF(OR(INDEX($AH$2:$AH$1001,MATCH(ROWS($AG$2:AG825),$AG$2:$AG$1001,0),1)&gt;=100000,INDEX($AN$1005:$BO$1005,1,MATCH(COLUMNS($AN$1006:AN1006),$AN$1006:$BO$1006,0))&gt;=100000), " ",IF(INDEX($AN$2:$BO$1001,MATCH(ROWS($AG$2:AG825),$AG$2:$AG$1001,0),MATCH(COLUMNS($AN$1006:AN1006),$AN$1006:$BO$1006,0)), HYPERLINK("#",""), HYPERLINK(CONCATENATE("#Metadata!", ADDRESS(INDEX($AI$2:$AI$1001,MATCH(ROWS($AG$2:AG825),$AG$2:$AG$1001,0),0), INDEX($AN$1004:$BO$1004,1,MATCH(COLUMNS($AN$1006:AN1006),$AN$1006:$BO$1006,0)))),"Fix")))</f>
        <v>0</v>
      </c>
      <c r="C825" s="4">
        <f>IF(OR(INDEX($AH$2:$AH$1001,MATCH(ROWS($AG$2:AG825),$AG$2:$AG$1001,0),1)&gt;=100000,INDEX($AN$1005:$BO$1005,1,MATCH(COLUMNS($AN$1006:AO1006),$AN$1006:$BO$1006,0))&gt;=100000), " ",IF(INDEX($AN$2:$BO$1001,MATCH(ROWS($AG$2:AG825),$AG$2:$AG$1001,0),MATCH(COLUMNS($AN$1006:AO1006),$AN$1006:$BO$1006,0)), HYPERLINK("#",""), HYPERLINK(CONCATENATE("#Metadata!", ADDRESS(INDEX($AI$2:$AI$1001,MATCH(ROWS($AG$2:AG825),$AG$2:$AG$1001,0),0), INDEX($AN$1004:$BO$1004,1,MATCH(COLUMNS($AN$1006:AO1006),$AN$1006:$BO$1006,0)))),"Fix")))</f>
        <v>0</v>
      </c>
      <c r="D825" s="4">
        <f>IF(OR(INDEX($AH$2:$AH$1001,MATCH(ROWS($AG$2:AG825),$AG$2:$AG$1001,0),1)&gt;=100000,INDEX($AN$1005:$BO$1005,1,MATCH(COLUMNS($AN$1006:AP1006),$AN$1006:$BO$1006,0))&gt;=100000), " ",IF(INDEX($AN$2:$BO$1001,MATCH(ROWS($AG$2:AG825),$AG$2:$AG$1001,0),MATCH(COLUMNS($AN$1006:AP1006),$AN$1006:$BO$1006,0)), HYPERLINK("#",""), HYPERLINK(CONCATENATE("#Metadata!", ADDRESS(INDEX($AI$2:$AI$1001,MATCH(ROWS($AG$2:AG825),$AG$2:$AG$1001,0),0), INDEX($AN$1004:$BO$1004,1,MATCH(COLUMNS($AN$1006:AP1006),$AN$1006:$BO$1006,0)))),"Fix")))</f>
        <v>0</v>
      </c>
      <c r="E825" s="4">
        <f>IF(OR(INDEX($AH$2:$AH$1001,MATCH(ROWS($AG$2:AG825),$AG$2:$AG$1001,0),1)&gt;=100000,INDEX($AN$1005:$BO$1005,1,MATCH(COLUMNS($AN$1006:AQ1006),$AN$1006:$BO$1006,0))&gt;=100000), " ",IF(INDEX($AN$2:$BO$1001,MATCH(ROWS($AG$2:AG825),$AG$2:$AG$1001,0),MATCH(COLUMNS($AN$1006:AQ1006),$AN$1006:$BO$1006,0)), HYPERLINK("#",""), HYPERLINK(CONCATENATE("#Metadata!", ADDRESS(INDEX($AI$2:$AI$1001,MATCH(ROWS($AG$2:AG825),$AG$2:$AG$1001,0),0), INDEX($AN$1004:$BO$1004,1,MATCH(COLUMNS($AN$1006:AQ1006),$AN$1006:$BO$1006,0)))),"Fix")))</f>
        <v>0</v>
      </c>
      <c r="F825" s="4">
        <f>IF(OR(INDEX($AH$2:$AH$1001,MATCH(ROWS($AG$2:AG825),$AG$2:$AG$1001,0),1)&gt;=100000,INDEX($AN$1005:$BO$1005,1,MATCH(COLUMNS($AN$1006:AR1006),$AN$1006:$BO$1006,0))&gt;=100000), " ",IF(INDEX($AN$2:$BO$1001,MATCH(ROWS($AG$2:AG825),$AG$2:$AG$1001,0),MATCH(COLUMNS($AN$1006:AR1006),$AN$1006:$BO$1006,0)), HYPERLINK("#",""), HYPERLINK(CONCATENATE("#Metadata!", ADDRESS(INDEX($AI$2:$AI$1001,MATCH(ROWS($AG$2:AG825),$AG$2:$AG$1001,0),0), INDEX($AN$1004:$BO$1004,1,MATCH(COLUMNS($AN$1006:AR1006),$AN$1006:$BO$1006,0)))),"Fix")))</f>
        <v>0</v>
      </c>
      <c r="G825" s="4">
        <f>IF(OR(INDEX($AH$2:$AH$1001,MATCH(ROWS($AG$2:AG825),$AG$2:$AG$1001,0),1)&gt;=100000,INDEX($AN$1005:$BO$1005,1,MATCH(COLUMNS($AN$1006:AS1006),$AN$1006:$BO$1006,0))&gt;=100000), " ",IF(INDEX($AN$2:$BO$1001,MATCH(ROWS($AG$2:AG825),$AG$2:$AG$1001,0),MATCH(COLUMNS($AN$1006:AS1006),$AN$1006:$BO$1006,0)), HYPERLINK("#",""), HYPERLINK(CONCATENATE("#Metadata!", ADDRESS(INDEX($AI$2:$AI$1001,MATCH(ROWS($AG$2:AG825),$AG$2:$AG$1001,0),0), INDEX($AN$1004:$BO$1004,1,MATCH(COLUMNS($AN$1006:AS1006),$AN$1006:$BO$1006,0)))),"Fix")))</f>
        <v>0</v>
      </c>
      <c r="H825" s="4">
        <f>IF(OR(INDEX($AH$2:$AH$1001,MATCH(ROWS($AG$2:AG825),$AG$2:$AG$1001,0),1)&gt;=100000,INDEX($AN$1005:$BO$1005,1,MATCH(COLUMNS($AN$1006:AT1006),$AN$1006:$BO$1006,0))&gt;=100000), " ",IF(INDEX($AN$2:$BO$1001,MATCH(ROWS($AG$2:AG825),$AG$2:$AG$1001,0),MATCH(COLUMNS($AN$1006:AT1006),$AN$1006:$BO$1006,0)), HYPERLINK("#",""), HYPERLINK(CONCATENATE("#Metadata!", ADDRESS(INDEX($AI$2:$AI$1001,MATCH(ROWS($AG$2:AG825),$AG$2:$AG$1001,0),0), INDEX($AN$1004:$BO$1004,1,MATCH(COLUMNS($AN$1006:AT1006),$AN$1006:$BO$1006,0)))),"Fix")))</f>
        <v>0</v>
      </c>
      <c r="I825" s="4">
        <f>IF(OR(INDEX($AH$2:$AH$1001,MATCH(ROWS($AG$2:AG825),$AG$2:$AG$1001,0),1)&gt;=100000,INDEX($AN$1005:$BO$1005,1,MATCH(COLUMNS($AN$1006:AU1006),$AN$1006:$BO$1006,0))&gt;=100000), " ",IF(INDEX($AN$2:$BO$1001,MATCH(ROWS($AG$2:AG825),$AG$2:$AG$1001,0),MATCH(COLUMNS($AN$1006:AU1006),$AN$1006:$BO$1006,0)), HYPERLINK("#",""), HYPERLINK(CONCATENATE("#Metadata!", ADDRESS(INDEX($AI$2:$AI$1001,MATCH(ROWS($AG$2:AG825),$AG$2:$AG$1001,0),0), INDEX($AN$1004:$BO$1004,1,MATCH(COLUMNS($AN$1006:AU1006),$AN$1006:$BO$1006,0)))),"Fix")))</f>
        <v>0</v>
      </c>
      <c r="J825" s="4">
        <f>IF(OR(INDEX($AH$2:$AH$1001,MATCH(ROWS($AG$2:AG825),$AG$2:$AG$1001,0),1)&gt;=100000,INDEX($AN$1005:$BO$1005,1,MATCH(COLUMNS($AN$1006:AV1006),$AN$1006:$BO$1006,0))&gt;=100000), " ",IF(INDEX($AN$2:$BO$1001,MATCH(ROWS($AG$2:AG825),$AG$2:$AG$1001,0),MATCH(COLUMNS($AN$1006:AV1006),$AN$1006:$BO$1006,0)), HYPERLINK("#",""), HYPERLINK(CONCATENATE("#Metadata!", ADDRESS(INDEX($AI$2:$AI$1001,MATCH(ROWS($AG$2:AG825),$AG$2:$AG$1001,0),0), INDEX($AN$1004:$BO$1004,1,MATCH(COLUMNS($AN$1006:AV1006),$AN$1006:$BO$1006,0)))),"Fix")))</f>
        <v>0</v>
      </c>
      <c r="K825" s="4">
        <f>IF(OR(INDEX($AH$2:$AH$1001,MATCH(ROWS($AG$2:AG825),$AG$2:$AG$1001,0),1)&gt;=100000,INDEX($AN$1005:$BO$1005,1,MATCH(COLUMNS($AN$1006:AW1006),$AN$1006:$BO$1006,0))&gt;=100000), " ",IF(INDEX($AN$2:$BO$1001,MATCH(ROWS($AG$2:AG825),$AG$2:$AG$1001,0),MATCH(COLUMNS($AN$1006:AW1006),$AN$1006:$BO$1006,0)), HYPERLINK("#",""), HYPERLINK(CONCATENATE("#Metadata!", ADDRESS(INDEX($AI$2:$AI$1001,MATCH(ROWS($AG$2:AG825),$AG$2:$AG$1001,0),0), INDEX($AN$1004:$BO$1004,1,MATCH(COLUMNS($AN$1006:AW1006),$AN$1006:$BO$1006,0)))),"Fix")))</f>
        <v>0</v>
      </c>
      <c r="L825" s="4">
        <f>IF(OR(INDEX($AH$2:$AH$1001,MATCH(ROWS($AG$2:AG825),$AG$2:$AG$1001,0),1)&gt;=100000,INDEX($AN$1005:$BO$1005,1,MATCH(COLUMNS($AN$1006:AX1006),$AN$1006:$BO$1006,0))&gt;=100000), " ",IF(INDEX($AN$2:$BO$1001,MATCH(ROWS($AG$2:AG825),$AG$2:$AG$1001,0),MATCH(COLUMNS($AN$1006:AX1006),$AN$1006:$BO$1006,0)), HYPERLINK("#",""), HYPERLINK(CONCATENATE("#Metadata!", ADDRESS(INDEX($AI$2:$AI$1001,MATCH(ROWS($AG$2:AG825),$AG$2:$AG$1001,0),0), INDEX($AN$1004:$BO$1004,1,MATCH(COLUMNS($AN$1006:AX1006),$AN$1006:$BO$1006,0)))),"Fix")))</f>
        <v>0</v>
      </c>
      <c r="M825" s="4">
        <f>IF(OR(INDEX($AH$2:$AH$1001,MATCH(ROWS($AG$2:AG825),$AG$2:$AG$1001,0),1)&gt;=100000,INDEX($AN$1005:$BO$1005,1,MATCH(COLUMNS($AN$1006:AY1006),$AN$1006:$BO$1006,0))&gt;=100000), " ",IF(INDEX($AN$2:$BO$1001,MATCH(ROWS($AG$2:AG825),$AG$2:$AG$1001,0),MATCH(COLUMNS($AN$1006:AY1006),$AN$1006:$BO$1006,0)), HYPERLINK("#",""), HYPERLINK(CONCATENATE("#Metadata!", ADDRESS(INDEX($AI$2:$AI$1001,MATCH(ROWS($AG$2:AG825),$AG$2:$AG$1001,0),0), INDEX($AN$1004:$BO$1004,1,MATCH(COLUMNS($AN$1006:AY1006),$AN$1006:$BO$1006,0)))),"Fix")))</f>
        <v>0</v>
      </c>
      <c r="N825" s="4">
        <f>IF(OR(INDEX($AH$2:$AH$1001,MATCH(ROWS($AG$2:AG825),$AG$2:$AG$1001,0),1)&gt;=100000,INDEX($AN$1005:$BO$1005,1,MATCH(COLUMNS($AN$1006:AZ1006),$AN$1006:$BO$1006,0))&gt;=100000), " ",IF(INDEX($AN$2:$BO$1001,MATCH(ROWS($AG$2:AG825),$AG$2:$AG$1001,0),MATCH(COLUMNS($AN$1006:AZ1006),$AN$1006:$BO$1006,0)), HYPERLINK("#",""), HYPERLINK(CONCATENATE("#Metadata!", ADDRESS(INDEX($AI$2:$AI$1001,MATCH(ROWS($AG$2:AG825),$AG$2:$AG$1001,0),0), INDEX($AN$1004:$BO$1004,1,MATCH(COLUMNS($AN$1006:AZ1006),$AN$1006:$BO$1006,0)))),"Fix")))</f>
        <v>0</v>
      </c>
      <c r="O825" s="4">
        <f>IF(OR(INDEX($AH$2:$AH$1001,MATCH(ROWS($AG$2:AG825),$AG$2:$AG$1001,0),1)&gt;=100000,INDEX($AN$1005:$BO$1005,1,MATCH(COLUMNS($AN$1006:BA1006),$AN$1006:$BO$1006,0))&gt;=100000), " ",IF(INDEX($AN$2:$BO$1001,MATCH(ROWS($AG$2:AG825),$AG$2:$AG$1001,0),MATCH(COLUMNS($AN$1006:BA1006),$AN$1006:$BO$1006,0)), HYPERLINK("#",""), HYPERLINK(CONCATENATE("#Metadata!", ADDRESS(INDEX($AI$2:$AI$1001,MATCH(ROWS($AG$2:AG825),$AG$2:$AG$1001,0),0), INDEX($AN$1004:$BO$1004,1,MATCH(COLUMNS($AN$1006:BA1006),$AN$1006:$BO$1006,0)))),"Fix")))</f>
        <v>0</v>
      </c>
      <c r="P825" s="4">
        <f>IF(OR(INDEX($AH$2:$AH$1001,MATCH(ROWS($AG$2:AG825),$AG$2:$AG$1001,0),1)&gt;=100000,INDEX($AN$1005:$BO$1005,1,MATCH(COLUMNS($AN$1006:BB1006),$AN$1006:$BO$1006,0))&gt;=100000), " ",IF(INDEX($AN$2:$BO$1001,MATCH(ROWS($AG$2:AG825),$AG$2:$AG$1001,0),MATCH(COLUMNS($AN$1006:BB1006),$AN$1006:$BO$1006,0)), HYPERLINK("#",""), HYPERLINK(CONCATENATE("#Metadata!", ADDRESS(INDEX($AI$2:$AI$1001,MATCH(ROWS($AG$2:AG825),$AG$2:$AG$1001,0),0), INDEX($AN$1004:$BO$1004,1,MATCH(COLUMNS($AN$1006:BB1006),$AN$1006:$BO$1006,0)))),"Fix")))</f>
        <v>0</v>
      </c>
      <c r="Q825" s="4">
        <f>IF(OR(INDEX($AH$2:$AH$1001,MATCH(ROWS($AG$2:AG825),$AG$2:$AG$1001,0),1)&gt;=100000,INDEX($AN$1005:$BO$1005,1,MATCH(COLUMNS($AN$1006:BC1006),$AN$1006:$BO$1006,0))&gt;=100000), " ",IF(INDEX($AN$2:$BO$1001,MATCH(ROWS($AG$2:AG825),$AG$2:$AG$1001,0),MATCH(COLUMNS($AN$1006:BC1006),$AN$1006:$BO$1006,0)), HYPERLINK("#",""), HYPERLINK(CONCATENATE("#Metadata!", ADDRESS(INDEX($AI$2:$AI$1001,MATCH(ROWS($AG$2:AG825),$AG$2:$AG$1001,0),0), INDEX($AN$1004:$BO$1004,1,MATCH(COLUMNS($AN$1006:BC1006),$AN$1006:$BO$1006,0)))),"Fix")))</f>
        <v>0</v>
      </c>
      <c r="R825" s="4">
        <f>IF(OR(INDEX($AH$2:$AH$1001,MATCH(ROWS($AG$2:AG825),$AG$2:$AG$1001,0),1)&gt;=100000,INDEX($AN$1005:$BO$1005,1,MATCH(COLUMNS($AN$1006:BD1006),$AN$1006:$BO$1006,0))&gt;=100000), " ",IF(INDEX($AN$2:$BO$1001,MATCH(ROWS($AG$2:AG825),$AG$2:$AG$1001,0),MATCH(COLUMNS($AN$1006:BD1006),$AN$1006:$BO$1006,0)), HYPERLINK("#",""), HYPERLINK(CONCATENATE("#Metadata!", ADDRESS(INDEX($AI$2:$AI$1001,MATCH(ROWS($AG$2:AG825),$AG$2:$AG$1001,0),0), INDEX($AN$1004:$BO$1004,1,MATCH(COLUMNS($AN$1006:BD1006),$AN$1006:$BO$1006,0)))),"Fix")))</f>
        <v>0</v>
      </c>
      <c r="S825" s="4">
        <f>IF(OR(INDEX($AH$2:$AH$1001,MATCH(ROWS($AG$2:AG825),$AG$2:$AG$1001,0),1)&gt;=100000,INDEX($AN$1005:$BO$1005,1,MATCH(COLUMNS($AN$1006:BE1006),$AN$1006:$BO$1006,0))&gt;=100000), " ",IF(INDEX($AN$2:$BO$1001,MATCH(ROWS($AG$2:AG825),$AG$2:$AG$1001,0),MATCH(COLUMNS($AN$1006:BE1006),$AN$1006:$BO$1006,0)), HYPERLINK("#",""), HYPERLINK(CONCATENATE("#Metadata!", ADDRESS(INDEX($AI$2:$AI$1001,MATCH(ROWS($AG$2:AG825),$AG$2:$AG$1001,0),0), INDEX($AN$1004:$BO$1004,1,MATCH(COLUMNS($AN$1006:BE1006),$AN$1006:$BO$1006,0)))),"Fix")))</f>
        <v>0</v>
      </c>
      <c r="T825" s="4">
        <f>IF(OR(INDEX($AH$2:$AH$1001,MATCH(ROWS($AG$2:AG825),$AG$2:$AG$1001,0),1)&gt;=100000,INDEX($AN$1005:$BO$1005,1,MATCH(COLUMNS($AN$1006:BF1006),$AN$1006:$BO$1006,0))&gt;=100000), " ",IF(INDEX($AN$2:$BO$1001,MATCH(ROWS($AG$2:AG825),$AG$2:$AG$1001,0),MATCH(COLUMNS($AN$1006:BF1006),$AN$1006:$BO$1006,0)), HYPERLINK("#",""), HYPERLINK(CONCATENATE("#Metadata!", ADDRESS(INDEX($AI$2:$AI$1001,MATCH(ROWS($AG$2:AG825),$AG$2:$AG$1001,0),0), INDEX($AN$1004:$BO$1004,1,MATCH(COLUMNS($AN$1006:BF1006),$AN$1006:$BO$1006,0)))),"Fix")))</f>
        <v>0</v>
      </c>
      <c r="U825" s="4">
        <f>IF(OR(INDEX($AH$2:$AH$1001,MATCH(ROWS($AG$2:AG825),$AG$2:$AG$1001,0),1)&gt;=100000,INDEX($AN$1005:$BO$1005,1,MATCH(COLUMNS($AN$1006:BG1006),$AN$1006:$BO$1006,0))&gt;=100000), " ",IF(INDEX($AN$2:$BO$1001,MATCH(ROWS($AG$2:AG825),$AG$2:$AG$1001,0),MATCH(COLUMNS($AN$1006:BG1006),$AN$1006:$BO$1006,0)), HYPERLINK("#",""), HYPERLINK(CONCATENATE("#Metadata!", ADDRESS(INDEX($AI$2:$AI$1001,MATCH(ROWS($AG$2:AG825),$AG$2:$AG$1001,0),0), INDEX($AN$1004:$BO$1004,1,MATCH(COLUMNS($AN$1006:BG1006),$AN$1006:$BO$1006,0)))),"Fix")))</f>
        <v>0</v>
      </c>
      <c r="V825" s="4">
        <f>IF(OR(INDEX($AH$2:$AH$1001,MATCH(ROWS($AG$2:AG825),$AG$2:$AG$1001,0),1)&gt;=100000,INDEX($AN$1005:$BO$1005,1,MATCH(COLUMNS($AN$1006:BH1006),$AN$1006:$BO$1006,0))&gt;=100000), " ",IF(INDEX($AN$2:$BO$1001,MATCH(ROWS($AG$2:AG825),$AG$2:$AG$1001,0),MATCH(COLUMNS($AN$1006:BH1006),$AN$1006:$BO$1006,0)), HYPERLINK("#",""), HYPERLINK(CONCATENATE("#Metadata!", ADDRESS(INDEX($AI$2:$AI$1001,MATCH(ROWS($AG$2:AG825),$AG$2:$AG$1001,0),0), INDEX($AN$1004:$BO$1004,1,MATCH(COLUMNS($AN$1006:BH1006),$AN$1006:$BO$1006,0)))),"Fix")))</f>
        <v>0</v>
      </c>
      <c r="W825" s="4">
        <f>IF(OR(INDEX($AH$2:$AH$1001,MATCH(ROWS($AG$2:AG825),$AG$2:$AG$1001,0),1)&gt;=100000,INDEX($AN$1005:$BO$1005,1,MATCH(COLUMNS($AN$1006:BI1006),$AN$1006:$BO$1006,0))&gt;=100000), " ",IF(INDEX($AN$2:$BO$1001,MATCH(ROWS($AG$2:AG825),$AG$2:$AG$1001,0),MATCH(COLUMNS($AN$1006:BI1006),$AN$1006:$BO$1006,0)), HYPERLINK("#",""), HYPERLINK(CONCATENATE("#Metadata!", ADDRESS(INDEX($AI$2:$AI$1001,MATCH(ROWS($AG$2:AG825),$AG$2:$AG$1001,0),0), INDEX($AN$1004:$BO$1004,1,MATCH(COLUMNS($AN$1006:BI1006),$AN$1006:$BO$1006,0)))),"Fix")))</f>
        <v>0</v>
      </c>
      <c r="X825" s="4">
        <f>IF(OR(INDEX($AH$2:$AH$1001,MATCH(ROWS($AG$2:AG825),$AG$2:$AG$1001,0),1)&gt;=100000,INDEX($AN$1005:$BO$1005,1,MATCH(COLUMNS($AN$1006:BJ1006),$AN$1006:$BO$1006,0))&gt;=100000), " ",IF(INDEX($AN$2:$BO$1001,MATCH(ROWS($AG$2:AG825),$AG$2:$AG$1001,0),MATCH(COLUMNS($AN$1006:BJ1006),$AN$1006:$BO$1006,0)), HYPERLINK("#",""), HYPERLINK(CONCATENATE("#Metadata!", ADDRESS(INDEX($AI$2:$AI$1001,MATCH(ROWS($AG$2:AG825),$AG$2:$AG$1001,0),0), INDEX($AN$1004:$BO$1004,1,MATCH(COLUMNS($AN$1006:BJ1006),$AN$1006:$BO$1006,0)))),"Fix")))</f>
        <v>0</v>
      </c>
      <c r="Y825" s="4">
        <f>IF(OR(INDEX($AH$2:$AH$1001,MATCH(ROWS($AG$2:AG825),$AG$2:$AG$1001,0),1)&gt;=100000,INDEX($AN$1005:$BO$1005,1,MATCH(COLUMNS($AN$1006:BK1006),$AN$1006:$BO$1006,0))&gt;=100000), " ",IF(INDEX($AN$2:$BO$1001,MATCH(ROWS($AG$2:AG825),$AG$2:$AG$1001,0),MATCH(COLUMNS($AN$1006:BK1006),$AN$1006:$BO$1006,0)), HYPERLINK("#",""), HYPERLINK(CONCATENATE("#Metadata!", ADDRESS(INDEX($AI$2:$AI$1001,MATCH(ROWS($AG$2:AG825),$AG$2:$AG$1001,0),0), INDEX($AN$1004:$BO$1004,1,MATCH(COLUMNS($AN$1006:BK1006),$AN$1006:$BO$1006,0)))),"Fix")))</f>
        <v>0</v>
      </c>
      <c r="Z825" s="4">
        <f>IF(OR(INDEX($AH$2:$AH$1001,MATCH(ROWS($AG$2:AG825),$AG$2:$AG$1001,0),1)&gt;=100000,INDEX($AN$1005:$BO$1005,1,MATCH(COLUMNS($AN$1006:BL1006),$AN$1006:$BO$1006,0))&gt;=100000), " ",IF(INDEX($AN$2:$BO$1001,MATCH(ROWS($AG$2:AG825),$AG$2:$AG$1001,0),MATCH(COLUMNS($AN$1006:BL1006),$AN$1006:$BO$1006,0)), HYPERLINK("#",""), HYPERLINK(CONCATENATE("#Metadata!", ADDRESS(INDEX($AI$2:$AI$1001,MATCH(ROWS($AG$2:AG825),$AG$2:$AG$1001,0),0), INDEX($AN$1004:$BO$1004,1,MATCH(COLUMNS($AN$1006:BL1006),$AN$1006:$BO$1006,0)))),"Fix")))</f>
        <v>0</v>
      </c>
      <c r="AA825" s="4">
        <f>IF(OR(INDEX($AH$2:$AH$1001,MATCH(ROWS($AG$2:AG825),$AG$2:$AG$1001,0),1)&gt;=100000,INDEX($AN$1005:$BO$1005,1,MATCH(COLUMNS($AN$1006:BM1006),$AN$1006:$BO$1006,0))&gt;=100000), " ",IF(INDEX($AN$2:$BO$1001,MATCH(ROWS($AG$2:AG825),$AG$2:$AG$1001,0),MATCH(COLUMNS($AN$1006:BM1006),$AN$1006:$BO$1006,0)), HYPERLINK("#",""), HYPERLINK(CONCATENATE("#Metadata!", ADDRESS(INDEX($AI$2:$AI$1001,MATCH(ROWS($AG$2:AG825),$AG$2:$AG$1001,0),0), INDEX($AN$1004:$BO$1004,1,MATCH(COLUMNS($AN$1006:BM1006),$AN$1006:$BO$1006,0)))),"Fix")))</f>
        <v>0</v>
      </c>
      <c r="AB825" s="4">
        <f>IF(OR(INDEX($AH$2:$AH$1001,MATCH(ROWS($AG$2:AG825),$AG$2:$AG$1001,0),1)&gt;=100000,INDEX($AN$1005:$BO$1005,1,MATCH(COLUMNS($AN$1006:BN1006),$AN$1006:$BO$1006,0))&gt;=100000), " ",IF(INDEX($AN$2:$BO$1001,MATCH(ROWS($AG$2:AG825),$AG$2:$AG$1001,0),MATCH(COLUMNS($AN$1006:BN1006),$AN$1006:$BO$1006,0)), HYPERLINK("#",""), HYPERLINK(CONCATENATE("#Metadata!", ADDRESS(INDEX($AI$2:$AI$1001,MATCH(ROWS($AG$2:AG825),$AG$2:$AG$1001,0),0), INDEX($AN$1004:$BO$1004,1,MATCH(COLUMNS($AN$1006:BN1006),$AN$1006:$BO$1006,0)))),"Fix")))</f>
        <v>0</v>
      </c>
      <c r="AC825" s="4">
        <f>IF(OR(INDEX($AH$2:$AH$1001,MATCH(ROWS($AG$2:AG825),$AG$2:$AG$1001,0),1)&gt;=100000,INDEX($AN$1005:$BO$1005,1,MATCH(COLUMNS($AN$1006:BO1006),$AN$1006:$BO$1006,0))&gt;=100000), " ",IF(INDEX($AN$2:$BO$1001,MATCH(ROWS($AG$2:AG825),$AG$2:$AG$1001,0),MATCH(COLUMNS($AN$1006:BO1006),$AN$1006:$BO$1006,0)), HYPERLINK("#",""), HYPERLINK(CONCATENATE("#Metadata!", ADDRESS(INDEX($AI$2:$AI$1001,MATCH(ROWS($AG$2:AG825),$AG$2:$AG$1001,0),0), INDEX($AN$1004:$BO$1004,1,MATCH(COLUMNS($AN$1006:BO1006),$AN$1006:$BO$1006,0)))),"Fix")))</f>
        <v>0</v>
      </c>
      <c r="AG825">
        <v>0</v>
      </c>
      <c r="AH825">
        <v>0</v>
      </c>
      <c r="AI825">
        <v>0</v>
      </c>
      <c r="AJ825">
        <f>IF(AK825,TRUE,AND(AN825:BO825))</f>
        <v>0</v>
      </c>
      <c r="AK825">
        <f>COUNTBLANK(Metadata!B825:AC825)=COLUMNS(Metadata!B825:AC825)</f>
        <v>0</v>
      </c>
      <c r="AL825">
        <v>0</v>
      </c>
      <c r="AN825">
        <f>AND(IF(Metadata!B825="",FALSE,TRUE),COUNTIF(Metadata!B:B, Metadata!B825) = 1,NOT(ISERROR(SUMPRODUCT(SEARCH(MID(Metadata!B825,ROW(INDIRECT("1:"&amp;LEN(Metadata!B825))), 1),"0123456789abcdefghijklmnopqrstuvwxyzABCDEFGHIJKLMNOPQRSTUVWXYZ.")))))</f>
        <v>0</v>
      </c>
      <c r="AO825">
        <f>IF(Metadata!C825="",FALSE,TRUE)</f>
        <v>0</v>
      </c>
      <c r="AP825">
        <f>IF(Metadata!D825="",FALSE,TRUE)</f>
        <v>0</v>
      </c>
      <c r="AQ825">
        <f>OR(AND(IF(Metadata!E825="",FALSE,TRUE),OR(exact(Metadata!E825,"not collected"),exact(Metadata!E825,"not provided"),exact(Metadata!E825,"restricted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R825">
        <f>IF(Metadata!F825="",FALSE,TRUE)</f>
        <v>0</v>
      </c>
      <c r="AS825">
        <f>OR(AND(IF(Metadata!G825="",FALSE,TRUE),OR(exact(Metadata!G825,"not collected"),exact(Metadata!G825,"not provided"))),AND(IF(Metadata!G825="",FALSE,TRUE),OR(exact(Metadata!G825,"TRUE"),exact(Metadata!G825,"FALSE"))))</f>
        <v>0</v>
      </c>
      <c r="AT825">
        <f>OR(AND(IF(Metadata!H825="",FALSE,TRUE),OR(exact(Metadata!H825,"not collected"),exact(Metadata!H825,"not provided"),exact(Metadata!H825,"restricted access"))),AND(IF(Metadata!H825="",FALSE,ISNUMBER(VALUE(Metadata!H825))),Metadata!H825&gt;=-413.0))</f>
        <v>0</v>
      </c>
      <c r="AU825">
        <f>AND(IF(Metadata!I825="",FALSE,TRUE),exact(Metadata!I825,"meters"))</f>
        <v>0</v>
      </c>
      <c r="AV825">
        <f>AND(IF(Metadata!J825="",FALSE,TRUE),OR(exact(Metadata!J825,"Host-associated"),exact(Metadata!J825,"Free-living")))</f>
        <v>0</v>
      </c>
      <c r="AW825">
        <f>AND(IF(Metadata!K825="",FALSE,TRUE),OR(exact(Metadata!K825,"Animal"),exact(Metadata!K825,"Fungus"),exact(Metadata!K825,"Plant"),exact(Metadata!K825,"Saline"),exact(Metadata!K825,"Non-saline")))</f>
        <v>0</v>
      </c>
      <c r="AX825">
        <f>AND(IF(Metadata!L825="",FALSE,TRUE),OR(exact(Metadata!L825,"Plant secretion"),exact(Metadata!L825,"Plant rhizosphere"),exact(Metadata!L825,"Plant surface"),exact(Metadata!L825,"Plant corpus"),exact(Metadata!L825,"Fungus surface"),exact(Metadata!L825,"Fungus corpus"),exact(Metadata!L825,"Animal surface"),exact(Metadata!L825,"Animal proximal gut"),exact(Metadata!L825,"Animal corpus"),exact(Metadata!L825,"Animal distal gut"),exact(Metadata!L825,"Animal secretion"),exact(Metadata!L825,"Sub-surface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Y825">
        <f>IF(Metadata!M825="",FALSE,TRUE)</f>
        <v>0</v>
      </c>
      <c r="AZ825">
        <f>IF(Metadata!N825="",FALSE,TRUE)</f>
        <v>0</v>
      </c>
      <c r="BA825">
        <f>IF(Metadata!O825="",FALSE,TRUE)</f>
        <v>0</v>
      </c>
      <c r="BB825">
        <f>OR(AND(IF(Metadata!P825="",FALSE,TRUE),OR(exact(Metadata!P825,"not collected"),exact(Metadata!P825,"not provided"),exact(Metadata!P825,"restricted access"))),AND(IF(Metadata!P825="",FALSE,TRUE),OR(exact(Metadata!P825,"air"),exact(Metadata!P825,"built environment"),exact(Metadata!P825,"host-associated"),exact(Metadata!P825,"human-associated"),exact(Metadata!P825,"human-skin"),exact(Metadata!P825,"human-oral"),exact(Metadata!P825,"human-gut"),exact(Metadata!P825,"human-vaginal"),exact(Metadata!P825,"microbial mat/biofilm"),exact(Metadata!P825,"misc environment"),exact(Metadata!P825,"plant-associated"),exact(Metadata!P825,"sediment"),exact(Metadata!P825,"soil"),exact(Metadata!P825,"wastewater/sludge"),exact(Metadata!P825,"water"))))</f>
        <v>0</v>
      </c>
      <c r="BC825">
        <f>IF(Metadata!Q825="",FALSE,TRUE)</f>
        <v>0</v>
      </c>
      <c r="BD825">
        <f>IF(Metadata!R825="",FALSE,TRUE)</f>
        <v>0</v>
      </c>
      <c r="BE825">
        <f>OR(AND(IF(Metadata!S825="",FALSE,TRUE),OR(exact(Metadata!S825,"not collected"),exact(Metadata!S825,"not provided"),exact(Metadata!S825,"restricted access"))),AND(IF(Metadata!S825="",FALSE,ISNUMBER(VALUE(Metadata!S825))),Metadata!S825&gt;=-90.00,Metadata!S825&lt;=90.00))</f>
        <v>0</v>
      </c>
      <c r="BF825">
        <f>AND(IF(Metadata!T825="",FALSE,TRUE),exact(Metadata!T825,"Decimal degrees"))</f>
        <v>0</v>
      </c>
      <c r="BG825">
        <f>OR(AND(IF(Metadata!U825="",FALSE,TRUE),OR(exact(Metadata!U825,"not collected"),exact(Metadata!U825,"not provided"),exact(Metadata!U825,"restricted access"))),AND(IF(Metadata!U825="",FALSE,ISNUMBER(VALUE(Metadata!U825))),Metadata!U825&gt;=-180.00,Metadata!U825&lt;=180.00))</f>
        <v>0</v>
      </c>
      <c r="BH825">
        <f>AND(IF(Metadata!V825="",FALSE,TRUE),exact(Metadata!V825,"Decimal degrees"))</f>
        <v>0</v>
      </c>
      <c r="BI825">
        <f>IF(Metadata!W825="",FALSE,TRUE)</f>
        <v>0</v>
      </c>
      <c r="BJ825">
        <f>OR(AND(IF(Metadata!X825="",FALSE,TRUE),OR(exact(Metadata!X825,"not collected"),exact(Metadata!X825,"not provided"),exact(Metadata!X825,"restricted access"))),AND(IF(Metadata!X825="",FALSE,TRUE),OR(exact(Metadata!X825,"TRUE"),exact(Metadata!X825,"FALSE"))))</f>
        <v>0</v>
      </c>
      <c r="BK825">
        <f>AND(IF(Metadata!Y825="",FALSE,TRUE),exact(Metadata!Y825,"other"))</f>
        <v>0</v>
      </c>
      <c r="BL825">
        <f>IF(Metadata!Z825="",FALSE,TRUE)</f>
        <v>0</v>
      </c>
      <c r="BM825">
        <f>OR(AND(IF(Metadata!AA825="",FALSE,TRUE),OR(exact(Metadata!AA825,"not collected"),exact(Metadata!AA825,"not provided"))),AND(IF(Metadata!AA825="",FALSE,IF(ISERROR(INT(Metadata!AA825)),FALSE,INT(Metadata!AA825)=Metadata!AA825)),Metadata!AA825&gt;0))</f>
        <v>0</v>
      </c>
      <c r="BN825">
        <f>AND(IF(Metadata!AB825="",FALSE,TRUE),exact(Metadata!AB825,"Not applicable"))</f>
        <v>0</v>
      </c>
      <c r="BO825">
        <f>IF(Metadata!AC825="",FALSE,TRUE)</f>
        <v>0</v>
      </c>
    </row>
    <row r="826" spans="1:67">
      <c r="A826" s="5">
        <f>IF(B826=" "," ",HYPERLINK(CONCATENATE("#metadata!",ADDRESS(INDEX($AI$2:$AI$1001,MATCH(ROWS($AG$2:AG826),$AG$2:$AG$1001,0),0),1)),INDEX($AL$2:$AL$1001,MATCH(ROWS($AG$2:AG826),$AG$2:$AG$1001,0),0)))</f>
        <v>0</v>
      </c>
      <c r="B826" s="4">
        <f>IF(OR(INDEX($AH$2:$AH$1001,MATCH(ROWS($AG$2:AG826),$AG$2:$AG$1001,0),1)&gt;=100000,INDEX($AN$1005:$BO$1005,1,MATCH(COLUMNS($AN$1006:AN1006),$AN$1006:$BO$1006,0))&gt;=100000), " ",IF(INDEX($AN$2:$BO$1001,MATCH(ROWS($AG$2:AG826),$AG$2:$AG$1001,0),MATCH(COLUMNS($AN$1006:AN1006),$AN$1006:$BO$1006,0)), HYPERLINK("#",""), HYPERLINK(CONCATENATE("#Metadata!", ADDRESS(INDEX($AI$2:$AI$1001,MATCH(ROWS($AG$2:AG826),$AG$2:$AG$1001,0),0), INDEX($AN$1004:$BO$1004,1,MATCH(COLUMNS($AN$1006:AN1006),$AN$1006:$BO$1006,0)))),"Fix")))</f>
        <v>0</v>
      </c>
      <c r="C826" s="4">
        <f>IF(OR(INDEX($AH$2:$AH$1001,MATCH(ROWS($AG$2:AG826),$AG$2:$AG$1001,0),1)&gt;=100000,INDEX($AN$1005:$BO$1005,1,MATCH(COLUMNS($AN$1006:AO1006),$AN$1006:$BO$1006,0))&gt;=100000), " ",IF(INDEX($AN$2:$BO$1001,MATCH(ROWS($AG$2:AG826),$AG$2:$AG$1001,0),MATCH(COLUMNS($AN$1006:AO1006),$AN$1006:$BO$1006,0)), HYPERLINK("#",""), HYPERLINK(CONCATENATE("#Metadata!", ADDRESS(INDEX($AI$2:$AI$1001,MATCH(ROWS($AG$2:AG826),$AG$2:$AG$1001,0),0), INDEX($AN$1004:$BO$1004,1,MATCH(COLUMNS($AN$1006:AO1006),$AN$1006:$BO$1006,0)))),"Fix")))</f>
        <v>0</v>
      </c>
      <c r="D826" s="4">
        <f>IF(OR(INDEX($AH$2:$AH$1001,MATCH(ROWS($AG$2:AG826),$AG$2:$AG$1001,0),1)&gt;=100000,INDEX($AN$1005:$BO$1005,1,MATCH(COLUMNS($AN$1006:AP1006),$AN$1006:$BO$1006,0))&gt;=100000), " ",IF(INDEX($AN$2:$BO$1001,MATCH(ROWS($AG$2:AG826),$AG$2:$AG$1001,0),MATCH(COLUMNS($AN$1006:AP1006),$AN$1006:$BO$1006,0)), HYPERLINK("#",""), HYPERLINK(CONCATENATE("#Metadata!", ADDRESS(INDEX($AI$2:$AI$1001,MATCH(ROWS($AG$2:AG826),$AG$2:$AG$1001,0),0), INDEX($AN$1004:$BO$1004,1,MATCH(COLUMNS($AN$1006:AP1006),$AN$1006:$BO$1006,0)))),"Fix")))</f>
        <v>0</v>
      </c>
      <c r="E826" s="4">
        <f>IF(OR(INDEX($AH$2:$AH$1001,MATCH(ROWS($AG$2:AG826),$AG$2:$AG$1001,0),1)&gt;=100000,INDEX($AN$1005:$BO$1005,1,MATCH(COLUMNS($AN$1006:AQ1006),$AN$1006:$BO$1006,0))&gt;=100000), " ",IF(INDEX($AN$2:$BO$1001,MATCH(ROWS($AG$2:AG826),$AG$2:$AG$1001,0),MATCH(COLUMNS($AN$1006:AQ1006),$AN$1006:$BO$1006,0)), HYPERLINK("#",""), HYPERLINK(CONCATENATE("#Metadata!", ADDRESS(INDEX($AI$2:$AI$1001,MATCH(ROWS($AG$2:AG826),$AG$2:$AG$1001,0),0), INDEX($AN$1004:$BO$1004,1,MATCH(COLUMNS($AN$1006:AQ1006),$AN$1006:$BO$1006,0)))),"Fix")))</f>
        <v>0</v>
      </c>
      <c r="F826" s="4">
        <f>IF(OR(INDEX($AH$2:$AH$1001,MATCH(ROWS($AG$2:AG826),$AG$2:$AG$1001,0),1)&gt;=100000,INDEX($AN$1005:$BO$1005,1,MATCH(COLUMNS($AN$1006:AR1006),$AN$1006:$BO$1006,0))&gt;=100000), " ",IF(INDEX($AN$2:$BO$1001,MATCH(ROWS($AG$2:AG826),$AG$2:$AG$1001,0),MATCH(COLUMNS($AN$1006:AR1006),$AN$1006:$BO$1006,0)), HYPERLINK("#",""), HYPERLINK(CONCATENATE("#Metadata!", ADDRESS(INDEX($AI$2:$AI$1001,MATCH(ROWS($AG$2:AG826),$AG$2:$AG$1001,0),0), INDEX($AN$1004:$BO$1004,1,MATCH(COLUMNS($AN$1006:AR1006),$AN$1006:$BO$1006,0)))),"Fix")))</f>
        <v>0</v>
      </c>
      <c r="G826" s="4">
        <f>IF(OR(INDEX($AH$2:$AH$1001,MATCH(ROWS($AG$2:AG826),$AG$2:$AG$1001,0),1)&gt;=100000,INDEX($AN$1005:$BO$1005,1,MATCH(COLUMNS($AN$1006:AS1006),$AN$1006:$BO$1006,0))&gt;=100000), " ",IF(INDEX($AN$2:$BO$1001,MATCH(ROWS($AG$2:AG826),$AG$2:$AG$1001,0),MATCH(COLUMNS($AN$1006:AS1006),$AN$1006:$BO$1006,0)), HYPERLINK("#",""), HYPERLINK(CONCATENATE("#Metadata!", ADDRESS(INDEX($AI$2:$AI$1001,MATCH(ROWS($AG$2:AG826),$AG$2:$AG$1001,0),0), INDEX($AN$1004:$BO$1004,1,MATCH(COLUMNS($AN$1006:AS1006),$AN$1006:$BO$1006,0)))),"Fix")))</f>
        <v>0</v>
      </c>
      <c r="H826" s="4">
        <f>IF(OR(INDEX($AH$2:$AH$1001,MATCH(ROWS($AG$2:AG826),$AG$2:$AG$1001,0),1)&gt;=100000,INDEX($AN$1005:$BO$1005,1,MATCH(COLUMNS($AN$1006:AT1006),$AN$1006:$BO$1006,0))&gt;=100000), " ",IF(INDEX($AN$2:$BO$1001,MATCH(ROWS($AG$2:AG826),$AG$2:$AG$1001,0),MATCH(COLUMNS($AN$1006:AT1006),$AN$1006:$BO$1006,0)), HYPERLINK("#",""), HYPERLINK(CONCATENATE("#Metadata!", ADDRESS(INDEX($AI$2:$AI$1001,MATCH(ROWS($AG$2:AG826),$AG$2:$AG$1001,0),0), INDEX($AN$1004:$BO$1004,1,MATCH(COLUMNS($AN$1006:AT1006),$AN$1006:$BO$1006,0)))),"Fix")))</f>
        <v>0</v>
      </c>
      <c r="I826" s="4">
        <f>IF(OR(INDEX($AH$2:$AH$1001,MATCH(ROWS($AG$2:AG826),$AG$2:$AG$1001,0),1)&gt;=100000,INDEX($AN$1005:$BO$1005,1,MATCH(COLUMNS($AN$1006:AU1006),$AN$1006:$BO$1006,0))&gt;=100000), " ",IF(INDEX($AN$2:$BO$1001,MATCH(ROWS($AG$2:AG826),$AG$2:$AG$1001,0),MATCH(COLUMNS($AN$1006:AU1006),$AN$1006:$BO$1006,0)), HYPERLINK("#",""), HYPERLINK(CONCATENATE("#Metadata!", ADDRESS(INDEX($AI$2:$AI$1001,MATCH(ROWS($AG$2:AG826),$AG$2:$AG$1001,0),0), INDEX($AN$1004:$BO$1004,1,MATCH(COLUMNS($AN$1006:AU1006),$AN$1006:$BO$1006,0)))),"Fix")))</f>
        <v>0</v>
      </c>
      <c r="J826" s="4">
        <f>IF(OR(INDEX($AH$2:$AH$1001,MATCH(ROWS($AG$2:AG826),$AG$2:$AG$1001,0),1)&gt;=100000,INDEX($AN$1005:$BO$1005,1,MATCH(COLUMNS($AN$1006:AV1006),$AN$1006:$BO$1006,0))&gt;=100000), " ",IF(INDEX($AN$2:$BO$1001,MATCH(ROWS($AG$2:AG826),$AG$2:$AG$1001,0),MATCH(COLUMNS($AN$1006:AV1006),$AN$1006:$BO$1006,0)), HYPERLINK("#",""), HYPERLINK(CONCATENATE("#Metadata!", ADDRESS(INDEX($AI$2:$AI$1001,MATCH(ROWS($AG$2:AG826),$AG$2:$AG$1001,0),0), INDEX($AN$1004:$BO$1004,1,MATCH(COLUMNS($AN$1006:AV1006),$AN$1006:$BO$1006,0)))),"Fix")))</f>
        <v>0</v>
      </c>
      <c r="K826" s="4">
        <f>IF(OR(INDEX($AH$2:$AH$1001,MATCH(ROWS($AG$2:AG826),$AG$2:$AG$1001,0),1)&gt;=100000,INDEX($AN$1005:$BO$1005,1,MATCH(COLUMNS($AN$1006:AW1006),$AN$1006:$BO$1006,0))&gt;=100000), " ",IF(INDEX($AN$2:$BO$1001,MATCH(ROWS($AG$2:AG826),$AG$2:$AG$1001,0),MATCH(COLUMNS($AN$1006:AW1006),$AN$1006:$BO$1006,0)), HYPERLINK("#",""), HYPERLINK(CONCATENATE("#Metadata!", ADDRESS(INDEX($AI$2:$AI$1001,MATCH(ROWS($AG$2:AG826),$AG$2:$AG$1001,0),0), INDEX($AN$1004:$BO$1004,1,MATCH(COLUMNS($AN$1006:AW1006),$AN$1006:$BO$1006,0)))),"Fix")))</f>
        <v>0</v>
      </c>
      <c r="L826" s="4">
        <f>IF(OR(INDEX($AH$2:$AH$1001,MATCH(ROWS($AG$2:AG826),$AG$2:$AG$1001,0),1)&gt;=100000,INDEX($AN$1005:$BO$1005,1,MATCH(COLUMNS($AN$1006:AX1006),$AN$1006:$BO$1006,0))&gt;=100000), " ",IF(INDEX($AN$2:$BO$1001,MATCH(ROWS($AG$2:AG826),$AG$2:$AG$1001,0),MATCH(COLUMNS($AN$1006:AX1006),$AN$1006:$BO$1006,0)), HYPERLINK("#",""), HYPERLINK(CONCATENATE("#Metadata!", ADDRESS(INDEX($AI$2:$AI$1001,MATCH(ROWS($AG$2:AG826),$AG$2:$AG$1001,0),0), INDEX($AN$1004:$BO$1004,1,MATCH(COLUMNS($AN$1006:AX1006),$AN$1006:$BO$1006,0)))),"Fix")))</f>
        <v>0</v>
      </c>
      <c r="M826" s="4">
        <f>IF(OR(INDEX($AH$2:$AH$1001,MATCH(ROWS($AG$2:AG826),$AG$2:$AG$1001,0),1)&gt;=100000,INDEX($AN$1005:$BO$1005,1,MATCH(COLUMNS($AN$1006:AY1006),$AN$1006:$BO$1006,0))&gt;=100000), " ",IF(INDEX($AN$2:$BO$1001,MATCH(ROWS($AG$2:AG826),$AG$2:$AG$1001,0),MATCH(COLUMNS($AN$1006:AY1006),$AN$1006:$BO$1006,0)), HYPERLINK("#",""), HYPERLINK(CONCATENATE("#Metadata!", ADDRESS(INDEX($AI$2:$AI$1001,MATCH(ROWS($AG$2:AG826),$AG$2:$AG$1001,0),0), INDEX($AN$1004:$BO$1004,1,MATCH(COLUMNS($AN$1006:AY1006),$AN$1006:$BO$1006,0)))),"Fix")))</f>
        <v>0</v>
      </c>
      <c r="N826" s="4">
        <f>IF(OR(INDEX($AH$2:$AH$1001,MATCH(ROWS($AG$2:AG826),$AG$2:$AG$1001,0),1)&gt;=100000,INDEX($AN$1005:$BO$1005,1,MATCH(COLUMNS($AN$1006:AZ1006),$AN$1006:$BO$1006,0))&gt;=100000), " ",IF(INDEX($AN$2:$BO$1001,MATCH(ROWS($AG$2:AG826),$AG$2:$AG$1001,0),MATCH(COLUMNS($AN$1006:AZ1006),$AN$1006:$BO$1006,0)), HYPERLINK("#",""), HYPERLINK(CONCATENATE("#Metadata!", ADDRESS(INDEX($AI$2:$AI$1001,MATCH(ROWS($AG$2:AG826),$AG$2:$AG$1001,0),0), INDEX($AN$1004:$BO$1004,1,MATCH(COLUMNS($AN$1006:AZ1006),$AN$1006:$BO$1006,0)))),"Fix")))</f>
        <v>0</v>
      </c>
      <c r="O826" s="4">
        <f>IF(OR(INDEX($AH$2:$AH$1001,MATCH(ROWS($AG$2:AG826),$AG$2:$AG$1001,0),1)&gt;=100000,INDEX($AN$1005:$BO$1005,1,MATCH(COLUMNS($AN$1006:BA1006),$AN$1006:$BO$1006,0))&gt;=100000), " ",IF(INDEX($AN$2:$BO$1001,MATCH(ROWS($AG$2:AG826),$AG$2:$AG$1001,0),MATCH(COLUMNS($AN$1006:BA1006),$AN$1006:$BO$1006,0)), HYPERLINK("#",""), HYPERLINK(CONCATENATE("#Metadata!", ADDRESS(INDEX($AI$2:$AI$1001,MATCH(ROWS($AG$2:AG826),$AG$2:$AG$1001,0),0), INDEX($AN$1004:$BO$1004,1,MATCH(COLUMNS($AN$1006:BA1006),$AN$1006:$BO$1006,0)))),"Fix")))</f>
        <v>0</v>
      </c>
      <c r="P826" s="4">
        <f>IF(OR(INDEX($AH$2:$AH$1001,MATCH(ROWS($AG$2:AG826),$AG$2:$AG$1001,0),1)&gt;=100000,INDEX($AN$1005:$BO$1005,1,MATCH(COLUMNS($AN$1006:BB1006),$AN$1006:$BO$1006,0))&gt;=100000), " ",IF(INDEX($AN$2:$BO$1001,MATCH(ROWS($AG$2:AG826),$AG$2:$AG$1001,0),MATCH(COLUMNS($AN$1006:BB1006),$AN$1006:$BO$1006,0)), HYPERLINK("#",""), HYPERLINK(CONCATENATE("#Metadata!", ADDRESS(INDEX($AI$2:$AI$1001,MATCH(ROWS($AG$2:AG826),$AG$2:$AG$1001,0),0), INDEX($AN$1004:$BO$1004,1,MATCH(COLUMNS($AN$1006:BB1006),$AN$1006:$BO$1006,0)))),"Fix")))</f>
        <v>0</v>
      </c>
      <c r="Q826" s="4">
        <f>IF(OR(INDEX($AH$2:$AH$1001,MATCH(ROWS($AG$2:AG826),$AG$2:$AG$1001,0),1)&gt;=100000,INDEX($AN$1005:$BO$1005,1,MATCH(COLUMNS($AN$1006:BC1006),$AN$1006:$BO$1006,0))&gt;=100000), " ",IF(INDEX($AN$2:$BO$1001,MATCH(ROWS($AG$2:AG826),$AG$2:$AG$1001,0),MATCH(COLUMNS($AN$1006:BC1006),$AN$1006:$BO$1006,0)), HYPERLINK("#",""), HYPERLINK(CONCATENATE("#Metadata!", ADDRESS(INDEX($AI$2:$AI$1001,MATCH(ROWS($AG$2:AG826),$AG$2:$AG$1001,0),0), INDEX($AN$1004:$BO$1004,1,MATCH(COLUMNS($AN$1006:BC1006),$AN$1006:$BO$1006,0)))),"Fix")))</f>
        <v>0</v>
      </c>
      <c r="R826" s="4">
        <f>IF(OR(INDEX($AH$2:$AH$1001,MATCH(ROWS($AG$2:AG826),$AG$2:$AG$1001,0),1)&gt;=100000,INDEX($AN$1005:$BO$1005,1,MATCH(COLUMNS($AN$1006:BD1006),$AN$1006:$BO$1006,0))&gt;=100000), " ",IF(INDEX($AN$2:$BO$1001,MATCH(ROWS($AG$2:AG826),$AG$2:$AG$1001,0),MATCH(COLUMNS($AN$1006:BD1006),$AN$1006:$BO$1006,0)), HYPERLINK("#",""), HYPERLINK(CONCATENATE("#Metadata!", ADDRESS(INDEX($AI$2:$AI$1001,MATCH(ROWS($AG$2:AG826),$AG$2:$AG$1001,0),0), INDEX($AN$1004:$BO$1004,1,MATCH(COLUMNS($AN$1006:BD1006),$AN$1006:$BO$1006,0)))),"Fix")))</f>
        <v>0</v>
      </c>
      <c r="S826" s="4">
        <f>IF(OR(INDEX($AH$2:$AH$1001,MATCH(ROWS($AG$2:AG826),$AG$2:$AG$1001,0),1)&gt;=100000,INDEX($AN$1005:$BO$1005,1,MATCH(COLUMNS($AN$1006:BE1006),$AN$1006:$BO$1006,0))&gt;=100000), " ",IF(INDEX($AN$2:$BO$1001,MATCH(ROWS($AG$2:AG826),$AG$2:$AG$1001,0),MATCH(COLUMNS($AN$1006:BE1006),$AN$1006:$BO$1006,0)), HYPERLINK("#",""), HYPERLINK(CONCATENATE("#Metadata!", ADDRESS(INDEX($AI$2:$AI$1001,MATCH(ROWS($AG$2:AG826),$AG$2:$AG$1001,0),0), INDEX($AN$1004:$BO$1004,1,MATCH(COLUMNS($AN$1006:BE1006),$AN$1006:$BO$1006,0)))),"Fix")))</f>
        <v>0</v>
      </c>
      <c r="T826" s="4">
        <f>IF(OR(INDEX($AH$2:$AH$1001,MATCH(ROWS($AG$2:AG826),$AG$2:$AG$1001,0),1)&gt;=100000,INDEX($AN$1005:$BO$1005,1,MATCH(COLUMNS($AN$1006:BF1006),$AN$1006:$BO$1006,0))&gt;=100000), " ",IF(INDEX($AN$2:$BO$1001,MATCH(ROWS($AG$2:AG826),$AG$2:$AG$1001,0),MATCH(COLUMNS($AN$1006:BF1006),$AN$1006:$BO$1006,0)), HYPERLINK("#",""), HYPERLINK(CONCATENATE("#Metadata!", ADDRESS(INDEX($AI$2:$AI$1001,MATCH(ROWS($AG$2:AG826),$AG$2:$AG$1001,0),0), INDEX($AN$1004:$BO$1004,1,MATCH(COLUMNS($AN$1006:BF1006),$AN$1006:$BO$1006,0)))),"Fix")))</f>
        <v>0</v>
      </c>
      <c r="U826" s="4">
        <f>IF(OR(INDEX($AH$2:$AH$1001,MATCH(ROWS($AG$2:AG826),$AG$2:$AG$1001,0),1)&gt;=100000,INDEX($AN$1005:$BO$1005,1,MATCH(COLUMNS($AN$1006:BG1006),$AN$1006:$BO$1006,0))&gt;=100000), " ",IF(INDEX($AN$2:$BO$1001,MATCH(ROWS($AG$2:AG826),$AG$2:$AG$1001,0),MATCH(COLUMNS($AN$1006:BG1006),$AN$1006:$BO$1006,0)), HYPERLINK("#",""), HYPERLINK(CONCATENATE("#Metadata!", ADDRESS(INDEX($AI$2:$AI$1001,MATCH(ROWS($AG$2:AG826),$AG$2:$AG$1001,0),0), INDEX($AN$1004:$BO$1004,1,MATCH(COLUMNS($AN$1006:BG1006),$AN$1006:$BO$1006,0)))),"Fix")))</f>
        <v>0</v>
      </c>
      <c r="V826" s="4">
        <f>IF(OR(INDEX($AH$2:$AH$1001,MATCH(ROWS($AG$2:AG826),$AG$2:$AG$1001,0),1)&gt;=100000,INDEX($AN$1005:$BO$1005,1,MATCH(COLUMNS($AN$1006:BH1006),$AN$1006:$BO$1006,0))&gt;=100000), " ",IF(INDEX($AN$2:$BO$1001,MATCH(ROWS($AG$2:AG826),$AG$2:$AG$1001,0),MATCH(COLUMNS($AN$1006:BH1006),$AN$1006:$BO$1006,0)), HYPERLINK("#",""), HYPERLINK(CONCATENATE("#Metadata!", ADDRESS(INDEX($AI$2:$AI$1001,MATCH(ROWS($AG$2:AG826),$AG$2:$AG$1001,0),0), INDEX($AN$1004:$BO$1004,1,MATCH(COLUMNS($AN$1006:BH1006),$AN$1006:$BO$1006,0)))),"Fix")))</f>
        <v>0</v>
      </c>
      <c r="W826" s="4">
        <f>IF(OR(INDEX($AH$2:$AH$1001,MATCH(ROWS($AG$2:AG826),$AG$2:$AG$1001,0),1)&gt;=100000,INDEX($AN$1005:$BO$1005,1,MATCH(COLUMNS($AN$1006:BI1006),$AN$1006:$BO$1006,0))&gt;=100000), " ",IF(INDEX($AN$2:$BO$1001,MATCH(ROWS($AG$2:AG826),$AG$2:$AG$1001,0),MATCH(COLUMNS($AN$1006:BI1006),$AN$1006:$BO$1006,0)), HYPERLINK("#",""), HYPERLINK(CONCATENATE("#Metadata!", ADDRESS(INDEX($AI$2:$AI$1001,MATCH(ROWS($AG$2:AG826),$AG$2:$AG$1001,0),0), INDEX($AN$1004:$BO$1004,1,MATCH(COLUMNS($AN$1006:BI1006),$AN$1006:$BO$1006,0)))),"Fix")))</f>
        <v>0</v>
      </c>
      <c r="X826" s="4">
        <f>IF(OR(INDEX($AH$2:$AH$1001,MATCH(ROWS($AG$2:AG826),$AG$2:$AG$1001,0),1)&gt;=100000,INDEX($AN$1005:$BO$1005,1,MATCH(COLUMNS($AN$1006:BJ1006),$AN$1006:$BO$1006,0))&gt;=100000), " ",IF(INDEX($AN$2:$BO$1001,MATCH(ROWS($AG$2:AG826),$AG$2:$AG$1001,0),MATCH(COLUMNS($AN$1006:BJ1006),$AN$1006:$BO$1006,0)), HYPERLINK("#",""), HYPERLINK(CONCATENATE("#Metadata!", ADDRESS(INDEX($AI$2:$AI$1001,MATCH(ROWS($AG$2:AG826),$AG$2:$AG$1001,0),0), INDEX($AN$1004:$BO$1004,1,MATCH(COLUMNS($AN$1006:BJ1006),$AN$1006:$BO$1006,0)))),"Fix")))</f>
        <v>0</v>
      </c>
      <c r="Y826" s="4">
        <f>IF(OR(INDEX($AH$2:$AH$1001,MATCH(ROWS($AG$2:AG826),$AG$2:$AG$1001,0),1)&gt;=100000,INDEX($AN$1005:$BO$1005,1,MATCH(COLUMNS($AN$1006:BK1006),$AN$1006:$BO$1006,0))&gt;=100000), " ",IF(INDEX($AN$2:$BO$1001,MATCH(ROWS($AG$2:AG826),$AG$2:$AG$1001,0),MATCH(COLUMNS($AN$1006:BK1006),$AN$1006:$BO$1006,0)), HYPERLINK("#",""), HYPERLINK(CONCATENATE("#Metadata!", ADDRESS(INDEX($AI$2:$AI$1001,MATCH(ROWS($AG$2:AG826),$AG$2:$AG$1001,0),0), INDEX($AN$1004:$BO$1004,1,MATCH(COLUMNS($AN$1006:BK1006),$AN$1006:$BO$1006,0)))),"Fix")))</f>
        <v>0</v>
      </c>
      <c r="Z826" s="4">
        <f>IF(OR(INDEX($AH$2:$AH$1001,MATCH(ROWS($AG$2:AG826),$AG$2:$AG$1001,0),1)&gt;=100000,INDEX($AN$1005:$BO$1005,1,MATCH(COLUMNS($AN$1006:BL1006),$AN$1006:$BO$1006,0))&gt;=100000), " ",IF(INDEX($AN$2:$BO$1001,MATCH(ROWS($AG$2:AG826),$AG$2:$AG$1001,0),MATCH(COLUMNS($AN$1006:BL1006),$AN$1006:$BO$1006,0)), HYPERLINK("#",""), HYPERLINK(CONCATENATE("#Metadata!", ADDRESS(INDEX($AI$2:$AI$1001,MATCH(ROWS($AG$2:AG826),$AG$2:$AG$1001,0),0), INDEX($AN$1004:$BO$1004,1,MATCH(COLUMNS($AN$1006:BL1006),$AN$1006:$BO$1006,0)))),"Fix")))</f>
        <v>0</v>
      </c>
      <c r="AA826" s="4">
        <f>IF(OR(INDEX($AH$2:$AH$1001,MATCH(ROWS($AG$2:AG826),$AG$2:$AG$1001,0),1)&gt;=100000,INDEX($AN$1005:$BO$1005,1,MATCH(COLUMNS($AN$1006:BM1006),$AN$1006:$BO$1006,0))&gt;=100000), " ",IF(INDEX($AN$2:$BO$1001,MATCH(ROWS($AG$2:AG826),$AG$2:$AG$1001,0),MATCH(COLUMNS($AN$1006:BM1006),$AN$1006:$BO$1006,0)), HYPERLINK("#",""), HYPERLINK(CONCATENATE("#Metadata!", ADDRESS(INDEX($AI$2:$AI$1001,MATCH(ROWS($AG$2:AG826),$AG$2:$AG$1001,0),0), INDEX($AN$1004:$BO$1004,1,MATCH(COLUMNS($AN$1006:BM1006),$AN$1006:$BO$1006,0)))),"Fix")))</f>
        <v>0</v>
      </c>
      <c r="AB826" s="4">
        <f>IF(OR(INDEX($AH$2:$AH$1001,MATCH(ROWS($AG$2:AG826),$AG$2:$AG$1001,0),1)&gt;=100000,INDEX($AN$1005:$BO$1005,1,MATCH(COLUMNS($AN$1006:BN1006),$AN$1006:$BO$1006,0))&gt;=100000), " ",IF(INDEX($AN$2:$BO$1001,MATCH(ROWS($AG$2:AG826),$AG$2:$AG$1001,0),MATCH(COLUMNS($AN$1006:BN1006),$AN$1006:$BO$1006,0)), HYPERLINK("#",""), HYPERLINK(CONCATENATE("#Metadata!", ADDRESS(INDEX($AI$2:$AI$1001,MATCH(ROWS($AG$2:AG826),$AG$2:$AG$1001,0),0), INDEX($AN$1004:$BO$1004,1,MATCH(COLUMNS($AN$1006:BN1006),$AN$1006:$BO$1006,0)))),"Fix")))</f>
        <v>0</v>
      </c>
      <c r="AC826" s="4">
        <f>IF(OR(INDEX($AH$2:$AH$1001,MATCH(ROWS($AG$2:AG826),$AG$2:$AG$1001,0),1)&gt;=100000,INDEX($AN$1005:$BO$1005,1,MATCH(COLUMNS($AN$1006:BO1006),$AN$1006:$BO$1006,0))&gt;=100000), " ",IF(INDEX($AN$2:$BO$1001,MATCH(ROWS($AG$2:AG826),$AG$2:$AG$1001,0),MATCH(COLUMNS($AN$1006:BO1006),$AN$1006:$BO$1006,0)), HYPERLINK("#",""), HYPERLINK(CONCATENATE("#Metadata!", ADDRESS(INDEX($AI$2:$AI$1001,MATCH(ROWS($AG$2:AG826),$AG$2:$AG$1001,0),0), INDEX($AN$1004:$BO$1004,1,MATCH(COLUMNS($AN$1006:BO1006),$AN$1006:$BO$1006,0)))),"Fix")))</f>
        <v>0</v>
      </c>
      <c r="AG826">
        <v>0</v>
      </c>
      <c r="AH826">
        <v>0</v>
      </c>
      <c r="AI826">
        <v>0</v>
      </c>
      <c r="AJ826">
        <f>IF(AK826,TRUE,AND(AN826:BO826))</f>
        <v>0</v>
      </c>
      <c r="AK826">
        <f>COUNTBLANK(Metadata!B826:AC826)=COLUMNS(Metadata!B826:AC826)</f>
        <v>0</v>
      </c>
      <c r="AL826">
        <v>0</v>
      </c>
      <c r="AN826">
        <f>AND(IF(Metadata!B826="",FALSE,TRUE),COUNTIF(Metadata!B:B, Metadata!B826) = 1,NOT(ISERROR(SUMPRODUCT(SEARCH(MID(Metadata!B826,ROW(INDIRECT("1:"&amp;LEN(Metadata!B826))), 1),"0123456789abcdefghijklmnopqrstuvwxyzABCDEFGHIJKLMNOPQRSTUVWXYZ.")))))</f>
        <v>0</v>
      </c>
      <c r="AO826">
        <f>IF(Metadata!C826="",FALSE,TRUE)</f>
        <v>0</v>
      </c>
      <c r="AP826">
        <f>IF(Metadata!D826="",FALSE,TRUE)</f>
        <v>0</v>
      </c>
      <c r="AQ826">
        <f>OR(AND(IF(Metadata!E826="",FALSE,TRUE),OR(exact(Metadata!E826,"not collected"),exact(Metadata!E826,"not provided"),exact(Metadata!E826,"restricted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R826">
        <f>IF(Metadata!F826="",FALSE,TRUE)</f>
        <v>0</v>
      </c>
      <c r="AS826">
        <f>OR(AND(IF(Metadata!G826="",FALSE,TRUE),OR(exact(Metadata!G826,"not collected"),exact(Metadata!G826,"not provided"))),AND(IF(Metadata!G826="",FALSE,TRUE),OR(exact(Metadata!G826,"TRUE"),exact(Metadata!G826,"FALSE"))))</f>
        <v>0</v>
      </c>
      <c r="AT826">
        <f>OR(AND(IF(Metadata!H826="",FALSE,TRUE),OR(exact(Metadata!H826,"not collected"),exact(Metadata!H826,"not provided"),exact(Metadata!H826,"restricted access"))),AND(IF(Metadata!H826="",FALSE,ISNUMBER(VALUE(Metadata!H826))),Metadata!H826&gt;=-413.0))</f>
        <v>0</v>
      </c>
      <c r="AU826">
        <f>AND(IF(Metadata!I826="",FALSE,TRUE),exact(Metadata!I826,"meters"))</f>
        <v>0</v>
      </c>
      <c r="AV826">
        <f>AND(IF(Metadata!J826="",FALSE,TRUE),OR(exact(Metadata!J826,"Host-associated"),exact(Metadata!J826,"Free-living")))</f>
        <v>0</v>
      </c>
      <c r="AW826">
        <f>AND(IF(Metadata!K826="",FALSE,TRUE),OR(exact(Metadata!K826,"Animal"),exact(Metadata!K826,"Fungus"),exact(Metadata!K826,"Plant"),exact(Metadata!K826,"Saline"),exact(Metadata!K826,"Non-saline")))</f>
        <v>0</v>
      </c>
      <c r="AX826">
        <f>AND(IF(Metadata!L826="",FALSE,TRUE),OR(exact(Metadata!L826,"Plant secretion"),exact(Metadata!L826,"Plant rhizosphere"),exact(Metadata!L826,"Plant surface"),exact(Metadata!L826,"Plant corpus"),exact(Metadata!L826,"Fungus surface"),exact(Metadata!L826,"Fungus corpus"),exact(Metadata!L826,"Animal surface"),exact(Metadata!L826,"Animal proximal gut"),exact(Metadata!L826,"Animal corpus"),exact(Metadata!L826,"Animal distal gut"),exact(Metadata!L826,"Animal secretion"),exact(Metadata!L826,"Sub-surface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Y826">
        <f>IF(Metadata!M826="",FALSE,TRUE)</f>
        <v>0</v>
      </c>
      <c r="AZ826">
        <f>IF(Metadata!N826="",FALSE,TRUE)</f>
        <v>0</v>
      </c>
      <c r="BA826">
        <f>IF(Metadata!O826="",FALSE,TRUE)</f>
        <v>0</v>
      </c>
      <c r="BB826">
        <f>OR(AND(IF(Metadata!P826="",FALSE,TRUE),OR(exact(Metadata!P826,"not collected"),exact(Metadata!P826,"not provided"),exact(Metadata!P826,"restricted access"))),AND(IF(Metadata!P826="",FALSE,TRUE),OR(exact(Metadata!P826,"air"),exact(Metadata!P826,"built environment"),exact(Metadata!P826,"host-associated"),exact(Metadata!P826,"human-associated"),exact(Metadata!P826,"human-skin"),exact(Metadata!P826,"human-oral"),exact(Metadata!P826,"human-gut"),exact(Metadata!P826,"human-vaginal"),exact(Metadata!P826,"microbial mat/biofilm"),exact(Metadata!P826,"misc environment"),exact(Metadata!P826,"plant-associated"),exact(Metadata!P826,"sediment"),exact(Metadata!P826,"soil"),exact(Metadata!P826,"wastewater/sludge"),exact(Metadata!P826,"water"))))</f>
        <v>0</v>
      </c>
      <c r="BC826">
        <f>IF(Metadata!Q826="",FALSE,TRUE)</f>
        <v>0</v>
      </c>
      <c r="BD826">
        <f>IF(Metadata!R826="",FALSE,TRUE)</f>
        <v>0</v>
      </c>
      <c r="BE826">
        <f>OR(AND(IF(Metadata!S826="",FALSE,TRUE),OR(exact(Metadata!S826,"not collected"),exact(Metadata!S826,"not provided"),exact(Metadata!S826,"restricted access"))),AND(IF(Metadata!S826="",FALSE,ISNUMBER(VALUE(Metadata!S826))),Metadata!S826&gt;=-90.00,Metadata!S826&lt;=90.00))</f>
        <v>0</v>
      </c>
      <c r="BF826">
        <f>AND(IF(Metadata!T826="",FALSE,TRUE),exact(Metadata!T826,"Decimal degrees"))</f>
        <v>0</v>
      </c>
      <c r="BG826">
        <f>OR(AND(IF(Metadata!U826="",FALSE,TRUE),OR(exact(Metadata!U826,"not collected"),exact(Metadata!U826,"not provided"),exact(Metadata!U826,"restricted access"))),AND(IF(Metadata!U826="",FALSE,ISNUMBER(VALUE(Metadata!U826))),Metadata!U826&gt;=-180.00,Metadata!U826&lt;=180.00))</f>
        <v>0</v>
      </c>
      <c r="BH826">
        <f>AND(IF(Metadata!V826="",FALSE,TRUE),exact(Metadata!V826,"Decimal degrees"))</f>
        <v>0</v>
      </c>
      <c r="BI826">
        <f>IF(Metadata!W826="",FALSE,TRUE)</f>
        <v>0</v>
      </c>
      <c r="BJ826">
        <f>OR(AND(IF(Metadata!X826="",FALSE,TRUE),OR(exact(Metadata!X826,"not collected"),exact(Metadata!X826,"not provided"),exact(Metadata!X826,"restricted access"))),AND(IF(Metadata!X826="",FALSE,TRUE),OR(exact(Metadata!X826,"TRUE"),exact(Metadata!X826,"FALSE"))))</f>
        <v>0</v>
      </c>
      <c r="BK826">
        <f>AND(IF(Metadata!Y826="",FALSE,TRUE),exact(Metadata!Y826,"other"))</f>
        <v>0</v>
      </c>
      <c r="BL826">
        <f>IF(Metadata!Z826="",FALSE,TRUE)</f>
        <v>0</v>
      </c>
      <c r="BM826">
        <f>OR(AND(IF(Metadata!AA826="",FALSE,TRUE),OR(exact(Metadata!AA826,"not collected"),exact(Metadata!AA826,"not provided"))),AND(IF(Metadata!AA826="",FALSE,IF(ISERROR(INT(Metadata!AA826)),FALSE,INT(Metadata!AA826)=Metadata!AA826)),Metadata!AA826&gt;0))</f>
        <v>0</v>
      </c>
      <c r="BN826">
        <f>AND(IF(Metadata!AB826="",FALSE,TRUE),exact(Metadata!AB826,"Not applicable"))</f>
        <v>0</v>
      </c>
      <c r="BO826">
        <f>IF(Metadata!AC826="",FALSE,TRUE)</f>
        <v>0</v>
      </c>
    </row>
    <row r="827" spans="1:67">
      <c r="A827" s="5">
        <f>IF(B827=" "," ",HYPERLINK(CONCATENATE("#metadata!",ADDRESS(INDEX($AI$2:$AI$1001,MATCH(ROWS($AG$2:AG827),$AG$2:$AG$1001,0),0),1)),INDEX($AL$2:$AL$1001,MATCH(ROWS($AG$2:AG827),$AG$2:$AG$1001,0),0)))</f>
        <v>0</v>
      </c>
      <c r="B827" s="4">
        <f>IF(OR(INDEX($AH$2:$AH$1001,MATCH(ROWS($AG$2:AG827),$AG$2:$AG$1001,0),1)&gt;=100000,INDEX($AN$1005:$BO$1005,1,MATCH(COLUMNS($AN$1006:AN1006),$AN$1006:$BO$1006,0))&gt;=100000), " ",IF(INDEX($AN$2:$BO$1001,MATCH(ROWS($AG$2:AG827),$AG$2:$AG$1001,0),MATCH(COLUMNS($AN$1006:AN1006),$AN$1006:$BO$1006,0)), HYPERLINK("#",""), HYPERLINK(CONCATENATE("#Metadata!", ADDRESS(INDEX($AI$2:$AI$1001,MATCH(ROWS($AG$2:AG827),$AG$2:$AG$1001,0),0), INDEX($AN$1004:$BO$1004,1,MATCH(COLUMNS($AN$1006:AN1006),$AN$1006:$BO$1006,0)))),"Fix")))</f>
        <v>0</v>
      </c>
      <c r="C827" s="4">
        <f>IF(OR(INDEX($AH$2:$AH$1001,MATCH(ROWS($AG$2:AG827),$AG$2:$AG$1001,0),1)&gt;=100000,INDEX($AN$1005:$BO$1005,1,MATCH(COLUMNS($AN$1006:AO1006),$AN$1006:$BO$1006,0))&gt;=100000), " ",IF(INDEX($AN$2:$BO$1001,MATCH(ROWS($AG$2:AG827),$AG$2:$AG$1001,0),MATCH(COLUMNS($AN$1006:AO1006),$AN$1006:$BO$1006,0)), HYPERLINK("#",""), HYPERLINK(CONCATENATE("#Metadata!", ADDRESS(INDEX($AI$2:$AI$1001,MATCH(ROWS($AG$2:AG827),$AG$2:$AG$1001,0),0), INDEX($AN$1004:$BO$1004,1,MATCH(COLUMNS($AN$1006:AO1006),$AN$1006:$BO$1006,0)))),"Fix")))</f>
        <v>0</v>
      </c>
      <c r="D827" s="4">
        <f>IF(OR(INDEX($AH$2:$AH$1001,MATCH(ROWS($AG$2:AG827),$AG$2:$AG$1001,0),1)&gt;=100000,INDEX($AN$1005:$BO$1005,1,MATCH(COLUMNS($AN$1006:AP1006),$AN$1006:$BO$1006,0))&gt;=100000), " ",IF(INDEX($AN$2:$BO$1001,MATCH(ROWS($AG$2:AG827),$AG$2:$AG$1001,0),MATCH(COLUMNS($AN$1006:AP1006),$AN$1006:$BO$1006,0)), HYPERLINK("#",""), HYPERLINK(CONCATENATE("#Metadata!", ADDRESS(INDEX($AI$2:$AI$1001,MATCH(ROWS($AG$2:AG827),$AG$2:$AG$1001,0),0), INDEX($AN$1004:$BO$1004,1,MATCH(COLUMNS($AN$1006:AP1006),$AN$1006:$BO$1006,0)))),"Fix")))</f>
        <v>0</v>
      </c>
      <c r="E827" s="4">
        <f>IF(OR(INDEX($AH$2:$AH$1001,MATCH(ROWS($AG$2:AG827),$AG$2:$AG$1001,0),1)&gt;=100000,INDEX($AN$1005:$BO$1005,1,MATCH(COLUMNS($AN$1006:AQ1006),$AN$1006:$BO$1006,0))&gt;=100000), " ",IF(INDEX($AN$2:$BO$1001,MATCH(ROWS($AG$2:AG827),$AG$2:$AG$1001,0),MATCH(COLUMNS($AN$1006:AQ1006),$AN$1006:$BO$1006,0)), HYPERLINK("#",""), HYPERLINK(CONCATENATE("#Metadata!", ADDRESS(INDEX($AI$2:$AI$1001,MATCH(ROWS($AG$2:AG827),$AG$2:$AG$1001,0),0), INDEX($AN$1004:$BO$1004,1,MATCH(COLUMNS($AN$1006:AQ1006),$AN$1006:$BO$1006,0)))),"Fix")))</f>
        <v>0</v>
      </c>
      <c r="F827" s="4">
        <f>IF(OR(INDEX($AH$2:$AH$1001,MATCH(ROWS($AG$2:AG827),$AG$2:$AG$1001,0),1)&gt;=100000,INDEX($AN$1005:$BO$1005,1,MATCH(COLUMNS($AN$1006:AR1006),$AN$1006:$BO$1006,0))&gt;=100000), " ",IF(INDEX($AN$2:$BO$1001,MATCH(ROWS($AG$2:AG827),$AG$2:$AG$1001,0),MATCH(COLUMNS($AN$1006:AR1006),$AN$1006:$BO$1006,0)), HYPERLINK("#",""), HYPERLINK(CONCATENATE("#Metadata!", ADDRESS(INDEX($AI$2:$AI$1001,MATCH(ROWS($AG$2:AG827),$AG$2:$AG$1001,0),0), INDEX($AN$1004:$BO$1004,1,MATCH(COLUMNS($AN$1006:AR1006),$AN$1006:$BO$1006,0)))),"Fix")))</f>
        <v>0</v>
      </c>
      <c r="G827" s="4">
        <f>IF(OR(INDEX($AH$2:$AH$1001,MATCH(ROWS($AG$2:AG827),$AG$2:$AG$1001,0),1)&gt;=100000,INDEX($AN$1005:$BO$1005,1,MATCH(COLUMNS($AN$1006:AS1006),$AN$1006:$BO$1006,0))&gt;=100000), " ",IF(INDEX($AN$2:$BO$1001,MATCH(ROWS($AG$2:AG827),$AG$2:$AG$1001,0),MATCH(COLUMNS($AN$1006:AS1006),$AN$1006:$BO$1006,0)), HYPERLINK("#",""), HYPERLINK(CONCATENATE("#Metadata!", ADDRESS(INDEX($AI$2:$AI$1001,MATCH(ROWS($AG$2:AG827),$AG$2:$AG$1001,0),0), INDEX($AN$1004:$BO$1004,1,MATCH(COLUMNS($AN$1006:AS1006),$AN$1006:$BO$1006,0)))),"Fix")))</f>
        <v>0</v>
      </c>
      <c r="H827" s="4">
        <f>IF(OR(INDEX($AH$2:$AH$1001,MATCH(ROWS($AG$2:AG827),$AG$2:$AG$1001,0),1)&gt;=100000,INDEX($AN$1005:$BO$1005,1,MATCH(COLUMNS($AN$1006:AT1006),$AN$1006:$BO$1006,0))&gt;=100000), " ",IF(INDEX($AN$2:$BO$1001,MATCH(ROWS($AG$2:AG827),$AG$2:$AG$1001,0),MATCH(COLUMNS($AN$1006:AT1006),$AN$1006:$BO$1006,0)), HYPERLINK("#",""), HYPERLINK(CONCATENATE("#Metadata!", ADDRESS(INDEX($AI$2:$AI$1001,MATCH(ROWS($AG$2:AG827),$AG$2:$AG$1001,0),0), INDEX($AN$1004:$BO$1004,1,MATCH(COLUMNS($AN$1006:AT1006),$AN$1006:$BO$1006,0)))),"Fix")))</f>
        <v>0</v>
      </c>
      <c r="I827" s="4">
        <f>IF(OR(INDEX($AH$2:$AH$1001,MATCH(ROWS($AG$2:AG827),$AG$2:$AG$1001,0),1)&gt;=100000,INDEX($AN$1005:$BO$1005,1,MATCH(COLUMNS($AN$1006:AU1006),$AN$1006:$BO$1006,0))&gt;=100000), " ",IF(INDEX($AN$2:$BO$1001,MATCH(ROWS($AG$2:AG827),$AG$2:$AG$1001,0),MATCH(COLUMNS($AN$1006:AU1006),$AN$1006:$BO$1006,0)), HYPERLINK("#",""), HYPERLINK(CONCATENATE("#Metadata!", ADDRESS(INDEX($AI$2:$AI$1001,MATCH(ROWS($AG$2:AG827),$AG$2:$AG$1001,0),0), INDEX($AN$1004:$BO$1004,1,MATCH(COLUMNS($AN$1006:AU1006),$AN$1006:$BO$1006,0)))),"Fix")))</f>
        <v>0</v>
      </c>
      <c r="J827" s="4">
        <f>IF(OR(INDEX($AH$2:$AH$1001,MATCH(ROWS($AG$2:AG827),$AG$2:$AG$1001,0),1)&gt;=100000,INDEX($AN$1005:$BO$1005,1,MATCH(COLUMNS($AN$1006:AV1006),$AN$1006:$BO$1006,0))&gt;=100000), " ",IF(INDEX($AN$2:$BO$1001,MATCH(ROWS($AG$2:AG827),$AG$2:$AG$1001,0),MATCH(COLUMNS($AN$1006:AV1006),$AN$1006:$BO$1006,0)), HYPERLINK("#",""), HYPERLINK(CONCATENATE("#Metadata!", ADDRESS(INDEX($AI$2:$AI$1001,MATCH(ROWS($AG$2:AG827),$AG$2:$AG$1001,0),0), INDEX($AN$1004:$BO$1004,1,MATCH(COLUMNS($AN$1006:AV1006),$AN$1006:$BO$1006,0)))),"Fix")))</f>
        <v>0</v>
      </c>
      <c r="K827" s="4">
        <f>IF(OR(INDEX($AH$2:$AH$1001,MATCH(ROWS($AG$2:AG827),$AG$2:$AG$1001,0),1)&gt;=100000,INDEX($AN$1005:$BO$1005,1,MATCH(COLUMNS($AN$1006:AW1006),$AN$1006:$BO$1006,0))&gt;=100000), " ",IF(INDEX($AN$2:$BO$1001,MATCH(ROWS($AG$2:AG827),$AG$2:$AG$1001,0),MATCH(COLUMNS($AN$1006:AW1006),$AN$1006:$BO$1006,0)), HYPERLINK("#",""), HYPERLINK(CONCATENATE("#Metadata!", ADDRESS(INDEX($AI$2:$AI$1001,MATCH(ROWS($AG$2:AG827),$AG$2:$AG$1001,0),0), INDEX($AN$1004:$BO$1004,1,MATCH(COLUMNS($AN$1006:AW1006),$AN$1006:$BO$1006,0)))),"Fix")))</f>
        <v>0</v>
      </c>
      <c r="L827" s="4">
        <f>IF(OR(INDEX($AH$2:$AH$1001,MATCH(ROWS($AG$2:AG827),$AG$2:$AG$1001,0),1)&gt;=100000,INDEX($AN$1005:$BO$1005,1,MATCH(COLUMNS($AN$1006:AX1006),$AN$1006:$BO$1006,0))&gt;=100000), " ",IF(INDEX($AN$2:$BO$1001,MATCH(ROWS($AG$2:AG827),$AG$2:$AG$1001,0),MATCH(COLUMNS($AN$1006:AX1006),$AN$1006:$BO$1006,0)), HYPERLINK("#",""), HYPERLINK(CONCATENATE("#Metadata!", ADDRESS(INDEX($AI$2:$AI$1001,MATCH(ROWS($AG$2:AG827),$AG$2:$AG$1001,0),0), INDEX($AN$1004:$BO$1004,1,MATCH(COLUMNS($AN$1006:AX1006),$AN$1006:$BO$1006,0)))),"Fix")))</f>
        <v>0</v>
      </c>
      <c r="M827" s="4">
        <f>IF(OR(INDEX($AH$2:$AH$1001,MATCH(ROWS($AG$2:AG827),$AG$2:$AG$1001,0),1)&gt;=100000,INDEX($AN$1005:$BO$1005,1,MATCH(COLUMNS($AN$1006:AY1006),$AN$1006:$BO$1006,0))&gt;=100000), " ",IF(INDEX($AN$2:$BO$1001,MATCH(ROWS($AG$2:AG827),$AG$2:$AG$1001,0),MATCH(COLUMNS($AN$1006:AY1006),$AN$1006:$BO$1006,0)), HYPERLINK("#",""), HYPERLINK(CONCATENATE("#Metadata!", ADDRESS(INDEX($AI$2:$AI$1001,MATCH(ROWS($AG$2:AG827),$AG$2:$AG$1001,0),0), INDEX($AN$1004:$BO$1004,1,MATCH(COLUMNS($AN$1006:AY1006),$AN$1006:$BO$1006,0)))),"Fix")))</f>
        <v>0</v>
      </c>
      <c r="N827" s="4">
        <f>IF(OR(INDEX($AH$2:$AH$1001,MATCH(ROWS($AG$2:AG827),$AG$2:$AG$1001,0),1)&gt;=100000,INDEX($AN$1005:$BO$1005,1,MATCH(COLUMNS($AN$1006:AZ1006),$AN$1006:$BO$1006,0))&gt;=100000), " ",IF(INDEX($AN$2:$BO$1001,MATCH(ROWS($AG$2:AG827),$AG$2:$AG$1001,0),MATCH(COLUMNS($AN$1006:AZ1006),$AN$1006:$BO$1006,0)), HYPERLINK("#",""), HYPERLINK(CONCATENATE("#Metadata!", ADDRESS(INDEX($AI$2:$AI$1001,MATCH(ROWS($AG$2:AG827),$AG$2:$AG$1001,0),0), INDEX($AN$1004:$BO$1004,1,MATCH(COLUMNS($AN$1006:AZ1006),$AN$1006:$BO$1006,0)))),"Fix")))</f>
        <v>0</v>
      </c>
      <c r="O827" s="4">
        <f>IF(OR(INDEX($AH$2:$AH$1001,MATCH(ROWS($AG$2:AG827),$AG$2:$AG$1001,0),1)&gt;=100000,INDEX($AN$1005:$BO$1005,1,MATCH(COLUMNS($AN$1006:BA1006),$AN$1006:$BO$1006,0))&gt;=100000), " ",IF(INDEX($AN$2:$BO$1001,MATCH(ROWS($AG$2:AG827),$AG$2:$AG$1001,0),MATCH(COLUMNS($AN$1006:BA1006),$AN$1006:$BO$1006,0)), HYPERLINK("#",""), HYPERLINK(CONCATENATE("#Metadata!", ADDRESS(INDEX($AI$2:$AI$1001,MATCH(ROWS($AG$2:AG827),$AG$2:$AG$1001,0),0), INDEX($AN$1004:$BO$1004,1,MATCH(COLUMNS($AN$1006:BA1006),$AN$1006:$BO$1006,0)))),"Fix")))</f>
        <v>0</v>
      </c>
      <c r="P827" s="4">
        <f>IF(OR(INDEX($AH$2:$AH$1001,MATCH(ROWS($AG$2:AG827),$AG$2:$AG$1001,0),1)&gt;=100000,INDEX($AN$1005:$BO$1005,1,MATCH(COLUMNS($AN$1006:BB1006),$AN$1006:$BO$1006,0))&gt;=100000), " ",IF(INDEX($AN$2:$BO$1001,MATCH(ROWS($AG$2:AG827),$AG$2:$AG$1001,0),MATCH(COLUMNS($AN$1006:BB1006),$AN$1006:$BO$1006,0)), HYPERLINK("#",""), HYPERLINK(CONCATENATE("#Metadata!", ADDRESS(INDEX($AI$2:$AI$1001,MATCH(ROWS($AG$2:AG827),$AG$2:$AG$1001,0),0), INDEX($AN$1004:$BO$1004,1,MATCH(COLUMNS($AN$1006:BB1006),$AN$1006:$BO$1006,0)))),"Fix")))</f>
        <v>0</v>
      </c>
      <c r="Q827" s="4">
        <f>IF(OR(INDEX($AH$2:$AH$1001,MATCH(ROWS($AG$2:AG827),$AG$2:$AG$1001,0),1)&gt;=100000,INDEX($AN$1005:$BO$1005,1,MATCH(COLUMNS($AN$1006:BC1006),$AN$1006:$BO$1006,0))&gt;=100000), " ",IF(INDEX($AN$2:$BO$1001,MATCH(ROWS($AG$2:AG827),$AG$2:$AG$1001,0),MATCH(COLUMNS($AN$1006:BC1006),$AN$1006:$BO$1006,0)), HYPERLINK("#",""), HYPERLINK(CONCATENATE("#Metadata!", ADDRESS(INDEX($AI$2:$AI$1001,MATCH(ROWS($AG$2:AG827),$AG$2:$AG$1001,0),0), INDEX($AN$1004:$BO$1004,1,MATCH(COLUMNS($AN$1006:BC1006),$AN$1006:$BO$1006,0)))),"Fix")))</f>
        <v>0</v>
      </c>
      <c r="R827" s="4">
        <f>IF(OR(INDEX($AH$2:$AH$1001,MATCH(ROWS($AG$2:AG827),$AG$2:$AG$1001,0),1)&gt;=100000,INDEX($AN$1005:$BO$1005,1,MATCH(COLUMNS($AN$1006:BD1006),$AN$1006:$BO$1006,0))&gt;=100000), " ",IF(INDEX($AN$2:$BO$1001,MATCH(ROWS($AG$2:AG827),$AG$2:$AG$1001,0),MATCH(COLUMNS($AN$1006:BD1006),$AN$1006:$BO$1006,0)), HYPERLINK("#",""), HYPERLINK(CONCATENATE("#Metadata!", ADDRESS(INDEX($AI$2:$AI$1001,MATCH(ROWS($AG$2:AG827),$AG$2:$AG$1001,0),0), INDEX($AN$1004:$BO$1004,1,MATCH(COLUMNS($AN$1006:BD1006),$AN$1006:$BO$1006,0)))),"Fix")))</f>
        <v>0</v>
      </c>
      <c r="S827" s="4">
        <f>IF(OR(INDEX($AH$2:$AH$1001,MATCH(ROWS($AG$2:AG827),$AG$2:$AG$1001,0),1)&gt;=100000,INDEX($AN$1005:$BO$1005,1,MATCH(COLUMNS($AN$1006:BE1006),$AN$1006:$BO$1006,0))&gt;=100000), " ",IF(INDEX($AN$2:$BO$1001,MATCH(ROWS($AG$2:AG827),$AG$2:$AG$1001,0),MATCH(COLUMNS($AN$1006:BE1006),$AN$1006:$BO$1006,0)), HYPERLINK("#",""), HYPERLINK(CONCATENATE("#Metadata!", ADDRESS(INDEX($AI$2:$AI$1001,MATCH(ROWS($AG$2:AG827),$AG$2:$AG$1001,0),0), INDEX($AN$1004:$BO$1004,1,MATCH(COLUMNS($AN$1006:BE1006),$AN$1006:$BO$1006,0)))),"Fix")))</f>
        <v>0</v>
      </c>
      <c r="T827" s="4">
        <f>IF(OR(INDEX($AH$2:$AH$1001,MATCH(ROWS($AG$2:AG827),$AG$2:$AG$1001,0),1)&gt;=100000,INDEX($AN$1005:$BO$1005,1,MATCH(COLUMNS($AN$1006:BF1006),$AN$1006:$BO$1006,0))&gt;=100000), " ",IF(INDEX($AN$2:$BO$1001,MATCH(ROWS($AG$2:AG827),$AG$2:$AG$1001,0),MATCH(COLUMNS($AN$1006:BF1006),$AN$1006:$BO$1006,0)), HYPERLINK("#",""), HYPERLINK(CONCATENATE("#Metadata!", ADDRESS(INDEX($AI$2:$AI$1001,MATCH(ROWS($AG$2:AG827),$AG$2:$AG$1001,0),0), INDEX($AN$1004:$BO$1004,1,MATCH(COLUMNS($AN$1006:BF1006),$AN$1006:$BO$1006,0)))),"Fix")))</f>
        <v>0</v>
      </c>
      <c r="U827" s="4">
        <f>IF(OR(INDEX($AH$2:$AH$1001,MATCH(ROWS($AG$2:AG827),$AG$2:$AG$1001,0),1)&gt;=100000,INDEX($AN$1005:$BO$1005,1,MATCH(COLUMNS($AN$1006:BG1006),$AN$1006:$BO$1006,0))&gt;=100000), " ",IF(INDEX($AN$2:$BO$1001,MATCH(ROWS($AG$2:AG827),$AG$2:$AG$1001,0),MATCH(COLUMNS($AN$1006:BG1006),$AN$1006:$BO$1006,0)), HYPERLINK("#",""), HYPERLINK(CONCATENATE("#Metadata!", ADDRESS(INDEX($AI$2:$AI$1001,MATCH(ROWS($AG$2:AG827),$AG$2:$AG$1001,0),0), INDEX($AN$1004:$BO$1004,1,MATCH(COLUMNS($AN$1006:BG1006),$AN$1006:$BO$1006,0)))),"Fix")))</f>
        <v>0</v>
      </c>
      <c r="V827" s="4">
        <f>IF(OR(INDEX($AH$2:$AH$1001,MATCH(ROWS($AG$2:AG827),$AG$2:$AG$1001,0),1)&gt;=100000,INDEX($AN$1005:$BO$1005,1,MATCH(COLUMNS($AN$1006:BH1006),$AN$1006:$BO$1006,0))&gt;=100000), " ",IF(INDEX($AN$2:$BO$1001,MATCH(ROWS($AG$2:AG827),$AG$2:$AG$1001,0),MATCH(COLUMNS($AN$1006:BH1006),$AN$1006:$BO$1006,0)), HYPERLINK("#",""), HYPERLINK(CONCATENATE("#Metadata!", ADDRESS(INDEX($AI$2:$AI$1001,MATCH(ROWS($AG$2:AG827),$AG$2:$AG$1001,0),0), INDEX($AN$1004:$BO$1004,1,MATCH(COLUMNS($AN$1006:BH1006),$AN$1006:$BO$1006,0)))),"Fix")))</f>
        <v>0</v>
      </c>
      <c r="W827" s="4">
        <f>IF(OR(INDEX($AH$2:$AH$1001,MATCH(ROWS($AG$2:AG827),$AG$2:$AG$1001,0),1)&gt;=100000,INDEX($AN$1005:$BO$1005,1,MATCH(COLUMNS($AN$1006:BI1006),$AN$1006:$BO$1006,0))&gt;=100000), " ",IF(INDEX($AN$2:$BO$1001,MATCH(ROWS($AG$2:AG827),$AG$2:$AG$1001,0),MATCH(COLUMNS($AN$1006:BI1006),$AN$1006:$BO$1006,0)), HYPERLINK("#",""), HYPERLINK(CONCATENATE("#Metadata!", ADDRESS(INDEX($AI$2:$AI$1001,MATCH(ROWS($AG$2:AG827),$AG$2:$AG$1001,0),0), INDEX($AN$1004:$BO$1004,1,MATCH(COLUMNS($AN$1006:BI1006),$AN$1006:$BO$1006,0)))),"Fix")))</f>
        <v>0</v>
      </c>
      <c r="X827" s="4">
        <f>IF(OR(INDEX($AH$2:$AH$1001,MATCH(ROWS($AG$2:AG827),$AG$2:$AG$1001,0),1)&gt;=100000,INDEX($AN$1005:$BO$1005,1,MATCH(COLUMNS($AN$1006:BJ1006),$AN$1006:$BO$1006,0))&gt;=100000), " ",IF(INDEX($AN$2:$BO$1001,MATCH(ROWS($AG$2:AG827),$AG$2:$AG$1001,0),MATCH(COLUMNS($AN$1006:BJ1006),$AN$1006:$BO$1006,0)), HYPERLINK("#",""), HYPERLINK(CONCATENATE("#Metadata!", ADDRESS(INDEX($AI$2:$AI$1001,MATCH(ROWS($AG$2:AG827),$AG$2:$AG$1001,0),0), INDEX($AN$1004:$BO$1004,1,MATCH(COLUMNS($AN$1006:BJ1006),$AN$1006:$BO$1006,0)))),"Fix")))</f>
        <v>0</v>
      </c>
      <c r="Y827" s="4">
        <f>IF(OR(INDEX($AH$2:$AH$1001,MATCH(ROWS($AG$2:AG827),$AG$2:$AG$1001,0),1)&gt;=100000,INDEX($AN$1005:$BO$1005,1,MATCH(COLUMNS($AN$1006:BK1006),$AN$1006:$BO$1006,0))&gt;=100000), " ",IF(INDEX($AN$2:$BO$1001,MATCH(ROWS($AG$2:AG827),$AG$2:$AG$1001,0),MATCH(COLUMNS($AN$1006:BK1006),$AN$1006:$BO$1006,0)), HYPERLINK("#",""), HYPERLINK(CONCATENATE("#Metadata!", ADDRESS(INDEX($AI$2:$AI$1001,MATCH(ROWS($AG$2:AG827),$AG$2:$AG$1001,0),0), INDEX($AN$1004:$BO$1004,1,MATCH(COLUMNS($AN$1006:BK1006),$AN$1006:$BO$1006,0)))),"Fix")))</f>
        <v>0</v>
      </c>
      <c r="Z827" s="4">
        <f>IF(OR(INDEX($AH$2:$AH$1001,MATCH(ROWS($AG$2:AG827),$AG$2:$AG$1001,0),1)&gt;=100000,INDEX($AN$1005:$BO$1005,1,MATCH(COLUMNS($AN$1006:BL1006),$AN$1006:$BO$1006,0))&gt;=100000), " ",IF(INDEX($AN$2:$BO$1001,MATCH(ROWS($AG$2:AG827),$AG$2:$AG$1001,0),MATCH(COLUMNS($AN$1006:BL1006),$AN$1006:$BO$1006,0)), HYPERLINK("#",""), HYPERLINK(CONCATENATE("#Metadata!", ADDRESS(INDEX($AI$2:$AI$1001,MATCH(ROWS($AG$2:AG827),$AG$2:$AG$1001,0),0), INDEX($AN$1004:$BO$1004,1,MATCH(COLUMNS($AN$1006:BL1006),$AN$1006:$BO$1006,0)))),"Fix")))</f>
        <v>0</v>
      </c>
      <c r="AA827" s="4">
        <f>IF(OR(INDEX($AH$2:$AH$1001,MATCH(ROWS($AG$2:AG827),$AG$2:$AG$1001,0),1)&gt;=100000,INDEX($AN$1005:$BO$1005,1,MATCH(COLUMNS($AN$1006:BM1006),$AN$1006:$BO$1006,0))&gt;=100000), " ",IF(INDEX($AN$2:$BO$1001,MATCH(ROWS($AG$2:AG827),$AG$2:$AG$1001,0),MATCH(COLUMNS($AN$1006:BM1006),$AN$1006:$BO$1006,0)), HYPERLINK("#",""), HYPERLINK(CONCATENATE("#Metadata!", ADDRESS(INDEX($AI$2:$AI$1001,MATCH(ROWS($AG$2:AG827),$AG$2:$AG$1001,0),0), INDEX($AN$1004:$BO$1004,1,MATCH(COLUMNS($AN$1006:BM1006),$AN$1006:$BO$1006,0)))),"Fix")))</f>
        <v>0</v>
      </c>
      <c r="AB827" s="4">
        <f>IF(OR(INDEX($AH$2:$AH$1001,MATCH(ROWS($AG$2:AG827),$AG$2:$AG$1001,0),1)&gt;=100000,INDEX($AN$1005:$BO$1005,1,MATCH(COLUMNS($AN$1006:BN1006),$AN$1006:$BO$1006,0))&gt;=100000), " ",IF(INDEX($AN$2:$BO$1001,MATCH(ROWS($AG$2:AG827),$AG$2:$AG$1001,0),MATCH(COLUMNS($AN$1006:BN1006),$AN$1006:$BO$1006,0)), HYPERLINK("#",""), HYPERLINK(CONCATENATE("#Metadata!", ADDRESS(INDEX($AI$2:$AI$1001,MATCH(ROWS($AG$2:AG827),$AG$2:$AG$1001,0),0), INDEX($AN$1004:$BO$1004,1,MATCH(COLUMNS($AN$1006:BN1006),$AN$1006:$BO$1006,0)))),"Fix")))</f>
        <v>0</v>
      </c>
      <c r="AC827" s="4">
        <f>IF(OR(INDEX($AH$2:$AH$1001,MATCH(ROWS($AG$2:AG827),$AG$2:$AG$1001,0),1)&gt;=100000,INDEX($AN$1005:$BO$1005,1,MATCH(COLUMNS($AN$1006:BO1006),$AN$1006:$BO$1006,0))&gt;=100000), " ",IF(INDEX($AN$2:$BO$1001,MATCH(ROWS($AG$2:AG827),$AG$2:$AG$1001,0),MATCH(COLUMNS($AN$1006:BO1006),$AN$1006:$BO$1006,0)), HYPERLINK("#",""), HYPERLINK(CONCATENATE("#Metadata!", ADDRESS(INDEX($AI$2:$AI$1001,MATCH(ROWS($AG$2:AG827),$AG$2:$AG$1001,0),0), INDEX($AN$1004:$BO$1004,1,MATCH(COLUMNS($AN$1006:BO1006),$AN$1006:$BO$1006,0)))),"Fix")))</f>
        <v>0</v>
      </c>
      <c r="AG827">
        <v>0</v>
      </c>
      <c r="AH827">
        <v>0</v>
      </c>
      <c r="AI827">
        <v>0</v>
      </c>
      <c r="AJ827">
        <f>IF(AK827,TRUE,AND(AN827:BO827))</f>
        <v>0</v>
      </c>
      <c r="AK827">
        <f>COUNTBLANK(Metadata!B827:AC827)=COLUMNS(Metadata!B827:AC827)</f>
        <v>0</v>
      </c>
      <c r="AL827">
        <v>0</v>
      </c>
      <c r="AN827">
        <f>AND(IF(Metadata!B827="",FALSE,TRUE),COUNTIF(Metadata!B:B, Metadata!B827) = 1,NOT(ISERROR(SUMPRODUCT(SEARCH(MID(Metadata!B827,ROW(INDIRECT("1:"&amp;LEN(Metadata!B827))), 1),"0123456789abcdefghijklmnopqrstuvwxyzABCDEFGHIJKLMNOPQRSTUVWXYZ.")))))</f>
        <v>0</v>
      </c>
      <c r="AO827">
        <f>IF(Metadata!C827="",FALSE,TRUE)</f>
        <v>0</v>
      </c>
      <c r="AP827">
        <f>IF(Metadata!D827="",FALSE,TRUE)</f>
        <v>0</v>
      </c>
      <c r="AQ827">
        <f>OR(AND(IF(Metadata!E827="",FALSE,TRUE),OR(exact(Metadata!E827,"not collected"),exact(Metadata!E827,"not provided"),exact(Metadata!E827,"restricted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R827">
        <f>IF(Metadata!F827="",FALSE,TRUE)</f>
        <v>0</v>
      </c>
      <c r="AS827">
        <f>OR(AND(IF(Metadata!G827="",FALSE,TRUE),OR(exact(Metadata!G827,"not collected"),exact(Metadata!G827,"not provided"))),AND(IF(Metadata!G827="",FALSE,TRUE),OR(exact(Metadata!G827,"TRUE"),exact(Metadata!G827,"FALSE"))))</f>
        <v>0</v>
      </c>
      <c r="AT827">
        <f>OR(AND(IF(Metadata!H827="",FALSE,TRUE),OR(exact(Metadata!H827,"not collected"),exact(Metadata!H827,"not provided"),exact(Metadata!H827,"restricted access"))),AND(IF(Metadata!H827="",FALSE,ISNUMBER(VALUE(Metadata!H827))),Metadata!H827&gt;=-413.0))</f>
        <v>0</v>
      </c>
      <c r="AU827">
        <f>AND(IF(Metadata!I827="",FALSE,TRUE),exact(Metadata!I827,"meters"))</f>
        <v>0</v>
      </c>
      <c r="AV827">
        <f>AND(IF(Metadata!J827="",FALSE,TRUE),OR(exact(Metadata!J827,"Host-associated"),exact(Metadata!J827,"Free-living")))</f>
        <v>0</v>
      </c>
      <c r="AW827">
        <f>AND(IF(Metadata!K827="",FALSE,TRUE),OR(exact(Metadata!K827,"Animal"),exact(Metadata!K827,"Fungus"),exact(Metadata!K827,"Plant"),exact(Metadata!K827,"Saline"),exact(Metadata!K827,"Non-saline")))</f>
        <v>0</v>
      </c>
      <c r="AX827">
        <f>AND(IF(Metadata!L827="",FALSE,TRUE),OR(exact(Metadata!L827,"Plant secretion"),exact(Metadata!L827,"Plant rhizosphere"),exact(Metadata!L827,"Plant surface"),exact(Metadata!L827,"Plant corpus"),exact(Metadata!L827,"Fungus surface"),exact(Metadata!L827,"Fungus corpus"),exact(Metadata!L827,"Animal surface"),exact(Metadata!L827,"Animal proximal gut"),exact(Metadata!L827,"Animal corpus"),exact(Metadata!L827,"Animal distal gut"),exact(Metadata!L827,"Animal secretion"),exact(Metadata!L827,"Sub-surface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Y827">
        <f>IF(Metadata!M827="",FALSE,TRUE)</f>
        <v>0</v>
      </c>
      <c r="AZ827">
        <f>IF(Metadata!N827="",FALSE,TRUE)</f>
        <v>0</v>
      </c>
      <c r="BA827">
        <f>IF(Metadata!O827="",FALSE,TRUE)</f>
        <v>0</v>
      </c>
      <c r="BB827">
        <f>OR(AND(IF(Metadata!P827="",FALSE,TRUE),OR(exact(Metadata!P827,"not collected"),exact(Metadata!P827,"not provided"),exact(Metadata!P827,"restricted access"))),AND(IF(Metadata!P827="",FALSE,TRUE),OR(exact(Metadata!P827,"air"),exact(Metadata!P827,"built environment"),exact(Metadata!P827,"host-associated"),exact(Metadata!P827,"human-associated"),exact(Metadata!P827,"human-skin"),exact(Metadata!P827,"human-oral"),exact(Metadata!P827,"human-gut"),exact(Metadata!P827,"human-vaginal"),exact(Metadata!P827,"microbial mat/biofilm"),exact(Metadata!P827,"misc environment"),exact(Metadata!P827,"plant-associated"),exact(Metadata!P827,"sediment"),exact(Metadata!P827,"soil"),exact(Metadata!P827,"wastewater/sludge"),exact(Metadata!P827,"water"))))</f>
        <v>0</v>
      </c>
      <c r="BC827">
        <f>IF(Metadata!Q827="",FALSE,TRUE)</f>
        <v>0</v>
      </c>
      <c r="BD827">
        <f>IF(Metadata!R827="",FALSE,TRUE)</f>
        <v>0</v>
      </c>
      <c r="BE827">
        <f>OR(AND(IF(Metadata!S827="",FALSE,TRUE),OR(exact(Metadata!S827,"not collected"),exact(Metadata!S827,"not provided"),exact(Metadata!S827,"restricted access"))),AND(IF(Metadata!S827="",FALSE,ISNUMBER(VALUE(Metadata!S827))),Metadata!S827&gt;=-90.00,Metadata!S827&lt;=90.00))</f>
        <v>0</v>
      </c>
      <c r="BF827">
        <f>AND(IF(Metadata!T827="",FALSE,TRUE),exact(Metadata!T827,"Decimal degrees"))</f>
        <v>0</v>
      </c>
      <c r="BG827">
        <f>OR(AND(IF(Metadata!U827="",FALSE,TRUE),OR(exact(Metadata!U827,"not collected"),exact(Metadata!U827,"not provided"),exact(Metadata!U827,"restricted access"))),AND(IF(Metadata!U827="",FALSE,ISNUMBER(VALUE(Metadata!U827))),Metadata!U827&gt;=-180.00,Metadata!U827&lt;=180.00))</f>
        <v>0</v>
      </c>
      <c r="BH827">
        <f>AND(IF(Metadata!V827="",FALSE,TRUE),exact(Metadata!V827,"Decimal degrees"))</f>
        <v>0</v>
      </c>
      <c r="BI827">
        <f>IF(Metadata!W827="",FALSE,TRUE)</f>
        <v>0</v>
      </c>
      <c r="BJ827">
        <f>OR(AND(IF(Metadata!X827="",FALSE,TRUE),OR(exact(Metadata!X827,"not collected"),exact(Metadata!X827,"not provided"),exact(Metadata!X827,"restricted access"))),AND(IF(Metadata!X827="",FALSE,TRUE),OR(exact(Metadata!X827,"TRUE"),exact(Metadata!X827,"FALSE"))))</f>
        <v>0</v>
      </c>
      <c r="BK827">
        <f>AND(IF(Metadata!Y827="",FALSE,TRUE),exact(Metadata!Y827,"other"))</f>
        <v>0</v>
      </c>
      <c r="BL827">
        <f>IF(Metadata!Z827="",FALSE,TRUE)</f>
        <v>0</v>
      </c>
      <c r="BM827">
        <f>OR(AND(IF(Metadata!AA827="",FALSE,TRUE),OR(exact(Metadata!AA827,"not collected"),exact(Metadata!AA827,"not provided"))),AND(IF(Metadata!AA827="",FALSE,IF(ISERROR(INT(Metadata!AA827)),FALSE,INT(Metadata!AA827)=Metadata!AA827)),Metadata!AA827&gt;0))</f>
        <v>0</v>
      </c>
      <c r="BN827">
        <f>AND(IF(Metadata!AB827="",FALSE,TRUE),exact(Metadata!AB827,"Not applicable"))</f>
        <v>0</v>
      </c>
      <c r="BO827">
        <f>IF(Metadata!AC827="",FALSE,TRUE)</f>
        <v>0</v>
      </c>
    </row>
    <row r="828" spans="1:67">
      <c r="A828" s="5">
        <f>IF(B828=" "," ",HYPERLINK(CONCATENATE("#metadata!",ADDRESS(INDEX($AI$2:$AI$1001,MATCH(ROWS($AG$2:AG828),$AG$2:$AG$1001,0),0),1)),INDEX($AL$2:$AL$1001,MATCH(ROWS($AG$2:AG828),$AG$2:$AG$1001,0),0)))</f>
        <v>0</v>
      </c>
      <c r="B828" s="4">
        <f>IF(OR(INDEX($AH$2:$AH$1001,MATCH(ROWS($AG$2:AG828),$AG$2:$AG$1001,0),1)&gt;=100000,INDEX($AN$1005:$BO$1005,1,MATCH(COLUMNS($AN$1006:AN1006),$AN$1006:$BO$1006,0))&gt;=100000), " ",IF(INDEX($AN$2:$BO$1001,MATCH(ROWS($AG$2:AG828),$AG$2:$AG$1001,0),MATCH(COLUMNS($AN$1006:AN1006),$AN$1006:$BO$1006,0)), HYPERLINK("#",""), HYPERLINK(CONCATENATE("#Metadata!", ADDRESS(INDEX($AI$2:$AI$1001,MATCH(ROWS($AG$2:AG828),$AG$2:$AG$1001,0),0), INDEX($AN$1004:$BO$1004,1,MATCH(COLUMNS($AN$1006:AN1006),$AN$1006:$BO$1006,0)))),"Fix")))</f>
        <v>0</v>
      </c>
      <c r="C828" s="4">
        <f>IF(OR(INDEX($AH$2:$AH$1001,MATCH(ROWS($AG$2:AG828),$AG$2:$AG$1001,0),1)&gt;=100000,INDEX($AN$1005:$BO$1005,1,MATCH(COLUMNS($AN$1006:AO1006),$AN$1006:$BO$1006,0))&gt;=100000), " ",IF(INDEX($AN$2:$BO$1001,MATCH(ROWS($AG$2:AG828),$AG$2:$AG$1001,0),MATCH(COLUMNS($AN$1006:AO1006),$AN$1006:$BO$1006,0)), HYPERLINK("#",""), HYPERLINK(CONCATENATE("#Metadata!", ADDRESS(INDEX($AI$2:$AI$1001,MATCH(ROWS($AG$2:AG828),$AG$2:$AG$1001,0),0), INDEX($AN$1004:$BO$1004,1,MATCH(COLUMNS($AN$1006:AO1006),$AN$1006:$BO$1006,0)))),"Fix")))</f>
        <v>0</v>
      </c>
      <c r="D828" s="4">
        <f>IF(OR(INDEX($AH$2:$AH$1001,MATCH(ROWS($AG$2:AG828),$AG$2:$AG$1001,0),1)&gt;=100000,INDEX($AN$1005:$BO$1005,1,MATCH(COLUMNS($AN$1006:AP1006),$AN$1006:$BO$1006,0))&gt;=100000), " ",IF(INDEX($AN$2:$BO$1001,MATCH(ROWS($AG$2:AG828),$AG$2:$AG$1001,0),MATCH(COLUMNS($AN$1006:AP1006),$AN$1006:$BO$1006,0)), HYPERLINK("#",""), HYPERLINK(CONCATENATE("#Metadata!", ADDRESS(INDEX($AI$2:$AI$1001,MATCH(ROWS($AG$2:AG828),$AG$2:$AG$1001,0),0), INDEX($AN$1004:$BO$1004,1,MATCH(COLUMNS($AN$1006:AP1006),$AN$1006:$BO$1006,0)))),"Fix")))</f>
        <v>0</v>
      </c>
      <c r="E828" s="4">
        <f>IF(OR(INDEX($AH$2:$AH$1001,MATCH(ROWS($AG$2:AG828),$AG$2:$AG$1001,0),1)&gt;=100000,INDEX($AN$1005:$BO$1005,1,MATCH(COLUMNS($AN$1006:AQ1006),$AN$1006:$BO$1006,0))&gt;=100000), " ",IF(INDEX($AN$2:$BO$1001,MATCH(ROWS($AG$2:AG828),$AG$2:$AG$1001,0),MATCH(COLUMNS($AN$1006:AQ1006),$AN$1006:$BO$1006,0)), HYPERLINK("#",""), HYPERLINK(CONCATENATE("#Metadata!", ADDRESS(INDEX($AI$2:$AI$1001,MATCH(ROWS($AG$2:AG828),$AG$2:$AG$1001,0),0), INDEX($AN$1004:$BO$1004,1,MATCH(COLUMNS($AN$1006:AQ1006),$AN$1006:$BO$1006,0)))),"Fix")))</f>
        <v>0</v>
      </c>
      <c r="F828" s="4">
        <f>IF(OR(INDEX($AH$2:$AH$1001,MATCH(ROWS($AG$2:AG828),$AG$2:$AG$1001,0),1)&gt;=100000,INDEX($AN$1005:$BO$1005,1,MATCH(COLUMNS($AN$1006:AR1006),$AN$1006:$BO$1006,0))&gt;=100000), " ",IF(INDEX($AN$2:$BO$1001,MATCH(ROWS($AG$2:AG828),$AG$2:$AG$1001,0),MATCH(COLUMNS($AN$1006:AR1006),$AN$1006:$BO$1006,0)), HYPERLINK("#",""), HYPERLINK(CONCATENATE("#Metadata!", ADDRESS(INDEX($AI$2:$AI$1001,MATCH(ROWS($AG$2:AG828),$AG$2:$AG$1001,0),0), INDEX($AN$1004:$BO$1004,1,MATCH(COLUMNS($AN$1006:AR1006),$AN$1006:$BO$1006,0)))),"Fix")))</f>
        <v>0</v>
      </c>
      <c r="G828" s="4">
        <f>IF(OR(INDEX($AH$2:$AH$1001,MATCH(ROWS($AG$2:AG828),$AG$2:$AG$1001,0),1)&gt;=100000,INDEX($AN$1005:$BO$1005,1,MATCH(COLUMNS($AN$1006:AS1006),$AN$1006:$BO$1006,0))&gt;=100000), " ",IF(INDEX($AN$2:$BO$1001,MATCH(ROWS($AG$2:AG828),$AG$2:$AG$1001,0),MATCH(COLUMNS($AN$1006:AS1006),$AN$1006:$BO$1006,0)), HYPERLINK("#",""), HYPERLINK(CONCATENATE("#Metadata!", ADDRESS(INDEX($AI$2:$AI$1001,MATCH(ROWS($AG$2:AG828),$AG$2:$AG$1001,0),0), INDEX($AN$1004:$BO$1004,1,MATCH(COLUMNS($AN$1006:AS1006),$AN$1006:$BO$1006,0)))),"Fix")))</f>
        <v>0</v>
      </c>
      <c r="H828" s="4">
        <f>IF(OR(INDEX($AH$2:$AH$1001,MATCH(ROWS($AG$2:AG828),$AG$2:$AG$1001,0),1)&gt;=100000,INDEX($AN$1005:$BO$1005,1,MATCH(COLUMNS($AN$1006:AT1006),$AN$1006:$BO$1006,0))&gt;=100000), " ",IF(INDEX($AN$2:$BO$1001,MATCH(ROWS($AG$2:AG828),$AG$2:$AG$1001,0),MATCH(COLUMNS($AN$1006:AT1006),$AN$1006:$BO$1006,0)), HYPERLINK("#",""), HYPERLINK(CONCATENATE("#Metadata!", ADDRESS(INDEX($AI$2:$AI$1001,MATCH(ROWS($AG$2:AG828),$AG$2:$AG$1001,0),0), INDEX($AN$1004:$BO$1004,1,MATCH(COLUMNS($AN$1006:AT1006),$AN$1006:$BO$1006,0)))),"Fix")))</f>
        <v>0</v>
      </c>
      <c r="I828" s="4">
        <f>IF(OR(INDEX($AH$2:$AH$1001,MATCH(ROWS($AG$2:AG828),$AG$2:$AG$1001,0),1)&gt;=100000,INDEX($AN$1005:$BO$1005,1,MATCH(COLUMNS($AN$1006:AU1006),$AN$1006:$BO$1006,0))&gt;=100000), " ",IF(INDEX($AN$2:$BO$1001,MATCH(ROWS($AG$2:AG828),$AG$2:$AG$1001,0),MATCH(COLUMNS($AN$1006:AU1006),$AN$1006:$BO$1006,0)), HYPERLINK("#",""), HYPERLINK(CONCATENATE("#Metadata!", ADDRESS(INDEX($AI$2:$AI$1001,MATCH(ROWS($AG$2:AG828),$AG$2:$AG$1001,0),0), INDEX($AN$1004:$BO$1004,1,MATCH(COLUMNS($AN$1006:AU1006),$AN$1006:$BO$1006,0)))),"Fix")))</f>
        <v>0</v>
      </c>
      <c r="J828" s="4">
        <f>IF(OR(INDEX($AH$2:$AH$1001,MATCH(ROWS($AG$2:AG828),$AG$2:$AG$1001,0),1)&gt;=100000,INDEX($AN$1005:$BO$1005,1,MATCH(COLUMNS($AN$1006:AV1006),$AN$1006:$BO$1006,0))&gt;=100000), " ",IF(INDEX($AN$2:$BO$1001,MATCH(ROWS($AG$2:AG828),$AG$2:$AG$1001,0),MATCH(COLUMNS($AN$1006:AV1006),$AN$1006:$BO$1006,0)), HYPERLINK("#",""), HYPERLINK(CONCATENATE("#Metadata!", ADDRESS(INDEX($AI$2:$AI$1001,MATCH(ROWS($AG$2:AG828),$AG$2:$AG$1001,0),0), INDEX($AN$1004:$BO$1004,1,MATCH(COLUMNS($AN$1006:AV1006),$AN$1006:$BO$1006,0)))),"Fix")))</f>
        <v>0</v>
      </c>
      <c r="K828" s="4">
        <f>IF(OR(INDEX($AH$2:$AH$1001,MATCH(ROWS($AG$2:AG828),$AG$2:$AG$1001,0),1)&gt;=100000,INDEX($AN$1005:$BO$1005,1,MATCH(COLUMNS($AN$1006:AW1006),$AN$1006:$BO$1006,0))&gt;=100000), " ",IF(INDEX($AN$2:$BO$1001,MATCH(ROWS($AG$2:AG828),$AG$2:$AG$1001,0),MATCH(COLUMNS($AN$1006:AW1006),$AN$1006:$BO$1006,0)), HYPERLINK("#",""), HYPERLINK(CONCATENATE("#Metadata!", ADDRESS(INDEX($AI$2:$AI$1001,MATCH(ROWS($AG$2:AG828),$AG$2:$AG$1001,0),0), INDEX($AN$1004:$BO$1004,1,MATCH(COLUMNS($AN$1006:AW1006),$AN$1006:$BO$1006,0)))),"Fix")))</f>
        <v>0</v>
      </c>
      <c r="L828" s="4">
        <f>IF(OR(INDEX($AH$2:$AH$1001,MATCH(ROWS($AG$2:AG828),$AG$2:$AG$1001,0),1)&gt;=100000,INDEX($AN$1005:$BO$1005,1,MATCH(COLUMNS($AN$1006:AX1006),$AN$1006:$BO$1006,0))&gt;=100000), " ",IF(INDEX($AN$2:$BO$1001,MATCH(ROWS($AG$2:AG828),$AG$2:$AG$1001,0),MATCH(COLUMNS($AN$1006:AX1006),$AN$1006:$BO$1006,0)), HYPERLINK("#",""), HYPERLINK(CONCATENATE("#Metadata!", ADDRESS(INDEX($AI$2:$AI$1001,MATCH(ROWS($AG$2:AG828),$AG$2:$AG$1001,0),0), INDEX($AN$1004:$BO$1004,1,MATCH(COLUMNS($AN$1006:AX1006),$AN$1006:$BO$1006,0)))),"Fix")))</f>
        <v>0</v>
      </c>
      <c r="M828" s="4">
        <f>IF(OR(INDEX($AH$2:$AH$1001,MATCH(ROWS($AG$2:AG828),$AG$2:$AG$1001,0),1)&gt;=100000,INDEX($AN$1005:$BO$1005,1,MATCH(COLUMNS($AN$1006:AY1006),$AN$1006:$BO$1006,0))&gt;=100000), " ",IF(INDEX($AN$2:$BO$1001,MATCH(ROWS($AG$2:AG828),$AG$2:$AG$1001,0),MATCH(COLUMNS($AN$1006:AY1006),$AN$1006:$BO$1006,0)), HYPERLINK("#",""), HYPERLINK(CONCATENATE("#Metadata!", ADDRESS(INDEX($AI$2:$AI$1001,MATCH(ROWS($AG$2:AG828),$AG$2:$AG$1001,0),0), INDEX($AN$1004:$BO$1004,1,MATCH(COLUMNS($AN$1006:AY1006),$AN$1006:$BO$1006,0)))),"Fix")))</f>
        <v>0</v>
      </c>
      <c r="N828" s="4">
        <f>IF(OR(INDEX($AH$2:$AH$1001,MATCH(ROWS($AG$2:AG828),$AG$2:$AG$1001,0),1)&gt;=100000,INDEX($AN$1005:$BO$1005,1,MATCH(COLUMNS($AN$1006:AZ1006),$AN$1006:$BO$1006,0))&gt;=100000), " ",IF(INDEX($AN$2:$BO$1001,MATCH(ROWS($AG$2:AG828),$AG$2:$AG$1001,0),MATCH(COLUMNS($AN$1006:AZ1006),$AN$1006:$BO$1006,0)), HYPERLINK("#",""), HYPERLINK(CONCATENATE("#Metadata!", ADDRESS(INDEX($AI$2:$AI$1001,MATCH(ROWS($AG$2:AG828),$AG$2:$AG$1001,0),0), INDEX($AN$1004:$BO$1004,1,MATCH(COLUMNS($AN$1006:AZ1006),$AN$1006:$BO$1006,0)))),"Fix")))</f>
        <v>0</v>
      </c>
      <c r="O828" s="4">
        <f>IF(OR(INDEX($AH$2:$AH$1001,MATCH(ROWS($AG$2:AG828),$AG$2:$AG$1001,0),1)&gt;=100000,INDEX($AN$1005:$BO$1005,1,MATCH(COLUMNS($AN$1006:BA1006),$AN$1006:$BO$1006,0))&gt;=100000), " ",IF(INDEX($AN$2:$BO$1001,MATCH(ROWS($AG$2:AG828),$AG$2:$AG$1001,0),MATCH(COLUMNS($AN$1006:BA1006),$AN$1006:$BO$1006,0)), HYPERLINK("#",""), HYPERLINK(CONCATENATE("#Metadata!", ADDRESS(INDEX($AI$2:$AI$1001,MATCH(ROWS($AG$2:AG828),$AG$2:$AG$1001,0),0), INDEX($AN$1004:$BO$1004,1,MATCH(COLUMNS($AN$1006:BA1006),$AN$1006:$BO$1006,0)))),"Fix")))</f>
        <v>0</v>
      </c>
      <c r="P828" s="4">
        <f>IF(OR(INDEX($AH$2:$AH$1001,MATCH(ROWS($AG$2:AG828),$AG$2:$AG$1001,0),1)&gt;=100000,INDEX($AN$1005:$BO$1005,1,MATCH(COLUMNS($AN$1006:BB1006),$AN$1006:$BO$1006,0))&gt;=100000), " ",IF(INDEX($AN$2:$BO$1001,MATCH(ROWS($AG$2:AG828),$AG$2:$AG$1001,0),MATCH(COLUMNS($AN$1006:BB1006),$AN$1006:$BO$1006,0)), HYPERLINK("#",""), HYPERLINK(CONCATENATE("#Metadata!", ADDRESS(INDEX($AI$2:$AI$1001,MATCH(ROWS($AG$2:AG828),$AG$2:$AG$1001,0),0), INDEX($AN$1004:$BO$1004,1,MATCH(COLUMNS($AN$1006:BB1006),$AN$1006:$BO$1006,0)))),"Fix")))</f>
        <v>0</v>
      </c>
      <c r="Q828" s="4">
        <f>IF(OR(INDEX($AH$2:$AH$1001,MATCH(ROWS($AG$2:AG828),$AG$2:$AG$1001,0),1)&gt;=100000,INDEX($AN$1005:$BO$1005,1,MATCH(COLUMNS($AN$1006:BC1006),$AN$1006:$BO$1006,0))&gt;=100000), " ",IF(INDEX($AN$2:$BO$1001,MATCH(ROWS($AG$2:AG828),$AG$2:$AG$1001,0),MATCH(COLUMNS($AN$1006:BC1006),$AN$1006:$BO$1006,0)), HYPERLINK("#",""), HYPERLINK(CONCATENATE("#Metadata!", ADDRESS(INDEX($AI$2:$AI$1001,MATCH(ROWS($AG$2:AG828),$AG$2:$AG$1001,0),0), INDEX($AN$1004:$BO$1004,1,MATCH(COLUMNS($AN$1006:BC1006),$AN$1006:$BO$1006,0)))),"Fix")))</f>
        <v>0</v>
      </c>
      <c r="R828" s="4">
        <f>IF(OR(INDEX($AH$2:$AH$1001,MATCH(ROWS($AG$2:AG828),$AG$2:$AG$1001,0),1)&gt;=100000,INDEX($AN$1005:$BO$1005,1,MATCH(COLUMNS($AN$1006:BD1006),$AN$1006:$BO$1006,0))&gt;=100000), " ",IF(INDEX($AN$2:$BO$1001,MATCH(ROWS($AG$2:AG828),$AG$2:$AG$1001,0),MATCH(COLUMNS($AN$1006:BD1006),$AN$1006:$BO$1006,0)), HYPERLINK("#",""), HYPERLINK(CONCATENATE("#Metadata!", ADDRESS(INDEX($AI$2:$AI$1001,MATCH(ROWS($AG$2:AG828),$AG$2:$AG$1001,0),0), INDEX($AN$1004:$BO$1004,1,MATCH(COLUMNS($AN$1006:BD1006),$AN$1006:$BO$1006,0)))),"Fix")))</f>
        <v>0</v>
      </c>
      <c r="S828" s="4">
        <f>IF(OR(INDEX($AH$2:$AH$1001,MATCH(ROWS($AG$2:AG828),$AG$2:$AG$1001,0),1)&gt;=100000,INDEX($AN$1005:$BO$1005,1,MATCH(COLUMNS($AN$1006:BE1006),$AN$1006:$BO$1006,0))&gt;=100000), " ",IF(INDEX($AN$2:$BO$1001,MATCH(ROWS($AG$2:AG828),$AG$2:$AG$1001,0),MATCH(COLUMNS($AN$1006:BE1006),$AN$1006:$BO$1006,0)), HYPERLINK("#",""), HYPERLINK(CONCATENATE("#Metadata!", ADDRESS(INDEX($AI$2:$AI$1001,MATCH(ROWS($AG$2:AG828),$AG$2:$AG$1001,0),0), INDEX($AN$1004:$BO$1004,1,MATCH(COLUMNS($AN$1006:BE1006),$AN$1006:$BO$1006,0)))),"Fix")))</f>
        <v>0</v>
      </c>
      <c r="T828" s="4">
        <f>IF(OR(INDEX($AH$2:$AH$1001,MATCH(ROWS($AG$2:AG828),$AG$2:$AG$1001,0),1)&gt;=100000,INDEX($AN$1005:$BO$1005,1,MATCH(COLUMNS($AN$1006:BF1006),$AN$1006:$BO$1006,0))&gt;=100000), " ",IF(INDEX($AN$2:$BO$1001,MATCH(ROWS($AG$2:AG828),$AG$2:$AG$1001,0),MATCH(COLUMNS($AN$1006:BF1006),$AN$1006:$BO$1006,0)), HYPERLINK("#",""), HYPERLINK(CONCATENATE("#Metadata!", ADDRESS(INDEX($AI$2:$AI$1001,MATCH(ROWS($AG$2:AG828),$AG$2:$AG$1001,0),0), INDEX($AN$1004:$BO$1004,1,MATCH(COLUMNS($AN$1006:BF1006),$AN$1006:$BO$1006,0)))),"Fix")))</f>
        <v>0</v>
      </c>
      <c r="U828" s="4">
        <f>IF(OR(INDEX($AH$2:$AH$1001,MATCH(ROWS($AG$2:AG828),$AG$2:$AG$1001,0),1)&gt;=100000,INDEX($AN$1005:$BO$1005,1,MATCH(COLUMNS($AN$1006:BG1006),$AN$1006:$BO$1006,0))&gt;=100000), " ",IF(INDEX($AN$2:$BO$1001,MATCH(ROWS($AG$2:AG828),$AG$2:$AG$1001,0),MATCH(COLUMNS($AN$1006:BG1006),$AN$1006:$BO$1006,0)), HYPERLINK("#",""), HYPERLINK(CONCATENATE("#Metadata!", ADDRESS(INDEX($AI$2:$AI$1001,MATCH(ROWS($AG$2:AG828),$AG$2:$AG$1001,0),0), INDEX($AN$1004:$BO$1004,1,MATCH(COLUMNS($AN$1006:BG1006),$AN$1006:$BO$1006,0)))),"Fix")))</f>
        <v>0</v>
      </c>
      <c r="V828" s="4">
        <f>IF(OR(INDEX($AH$2:$AH$1001,MATCH(ROWS($AG$2:AG828),$AG$2:$AG$1001,0),1)&gt;=100000,INDEX($AN$1005:$BO$1005,1,MATCH(COLUMNS($AN$1006:BH1006),$AN$1006:$BO$1006,0))&gt;=100000), " ",IF(INDEX($AN$2:$BO$1001,MATCH(ROWS($AG$2:AG828),$AG$2:$AG$1001,0),MATCH(COLUMNS($AN$1006:BH1006),$AN$1006:$BO$1006,0)), HYPERLINK("#",""), HYPERLINK(CONCATENATE("#Metadata!", ADDRESS(INDEX($AI$2:$AI$1001,MATCH(ROWS($AG$2:AG828),$AG$2:$AG$1001,0),0), INDEX($AN$1004:$BO$1004,1,MATCH(COLUMNS($AN$1006:BH1006),$AN$1006:$BO$1006,0)))),"Fix")))</f>
        <v>0</v>
      </c>
      <c r="W828" s="4">
        <f>IF(OR(INDEX($AH$2:$AH$1001,MATCH(ROWS($AG$2:AG828),$AG$2:$AG$1001,0),1)&gt;=100000,INDEX($AN$1005:$BO$1005,1,MATCH(COLUMNS($AN$1006:BI1006),$AN$1006:$BO$1006,0))&gt;=100000), " ",IF(INDEX($AN$2:$BO$1001,MATCH(ROWS($AG$2:AG828),$AG$2:$AG$1001,0),MATCH(COLUMNS($AN$1006:BI1006),$AN$1006:$BO$1006,0)), HYPERLINK("#",""), HYPERLINK(CONCATENATE("#Metadata!", ADDRESS(INDEX($AI$2:$AI$1001,MATCH(ROWS($AG$2:AG828),$AG$2:$AG$1001,0),0), INDEX($AN$1004:$BO$1004,1,MATCH(COLUMNS($AN$1006:BI1006),$AN$1006:$BO$1006,0)))),"Fix")))</f>
        <v>0</v>
      </c>
      <c r="X828" s="4">
        <f>IF(OR(INDEX($AH$2:$AH$1001,MATCH(ROWS($AG$2:AG828),$AG$2:$AG$1001,0),1)&gt;=100000,INDEX($AN$1005:$BO$1005,1,MATCH(COLUMNS($AN$1006:BJ1006),$AN$1006:$BO$1006,0))&gt;=100000), " ",IF(INDEX($AN$2:$BO$1001,MATCH(ROWS($AG$2:AG828),$AG$2:$AG$1001,0),MATCH(COLUMNS($AN$1006:BJ1006),$AN$1006:$BO$1006,0)), HYPERLINK("#",""), HYPERLINK(CONCATENATE("#Metadata!", ADDRESS(INDEX($AI$2:$AI$1001,MATCH(ROWS($AG$2:AG828),$AG$2:$AG$1001,0),0), INDEX($AN$1004:$BO$1004,1,MATCH(COLUMNS($AN$1006:BJ1006),$AN$1006:$BO$1006,0)))),"Fix")))</f>
        <v>0</v>
      </c>
      <c r="Y828" s="4">
        <f>IF(OR(INDEX($AH$2:$AH$1001,MATCH(ROWS($AG$2:AG828),$AG$2:$AG$1001,0),1)&gt;=100000,INDEX($AN$1005:$BO$1005,1,MATCH(COLUMNS($AN$1006:BK1006),$AN$1006:$BO$1006,0))&gt;=100000), " ",IF(INDEX($AN$2:$BO$1001,MATCH(ROWS($AG$2:AG828),$AG$2:$AG$1001,0),MATCH(COLUMNS($AN$1006:BK1006),$AN$1006:$BO$1006,0)), HYPERLINK("#",""), HYPERLINK(CONCATENATE("#Metadata!", ADDRESS(INDEX($AI$2:$AI$1001,MATCH(ROWS($AG$2:AG828),$AG$2:$AG$1001,0),0), INDEX($AN$1004:$BO$1004,1,MATCH(COLUMNS($AN$1006:BK1006),$AN$1006:$BO$1006,0)))),"Fix")))</f>
        <v>0</v>
      </c>
      <c r="Z828" s="4">
        <f>IF(OR(INDEX($AH$2:$AH$1001,MATCH(ROWS($AG$2:AG828),$AG$2:$AG$1001,0),1)&gt;=100000,INDEX($AN$1005:$BO$1005,1,MATCH(COLUMNS($AN$1006:BL1006),$AN$1006:$BO$1006,0))&gt;=100000), " ",IF(INDEX($AN$2:$BO$1001,MATCH(ROWS($AG$2:AG828),$AG$2:$AG$1001,0),MATCH(COLUMNS($AN$1006:BL1006),$AN$1006:$BO$1006,0)), HYPERLINK("#",""), HYPERLINK(CONCATENATE("#Metadata!", ADDRESS(INDEX($AI$2:$AI$1001,MATCH(ROWS($AG$2:AG828),$AG$2:$AG$1001,0),0), INDEX($AN$1004:$BO$1004,1,MATCH(COLUMNS($AN$1006:BL1006),$AN$1006:$BO$1006,0)))),"Fix")))</f>
        <v>0</v>
      </c>
      <c r="AA828" s="4">
        <f>IF(OR(INDEX($AH$2:$AH$1001,MATCH(ROWS($AG$2:AG828),$AG$2:$AG$1001,0),1)&gt;=100000,INDEX($AN$1005:$BO$1005,1,MATCH(COLUMNS($AN$1006:BM1006),$AN$1006:$BO$1006,0))&gt;=100000), " ",IF(INDEX($AN$2:$BO$1001,MATCH(ROWS($AG$2:AG828),$AG$2:$AG$1001,0),MATCH(COLUMNS($AN$1006:BM1006),$AN$1006:$BO$1006,0)), HYPERLINK("#",""), HYPERLINK(CONCATENATE("#Metadata!", ADDRESS(INDEX($AI$2:$AI$1001,MATCH(ROWS($AG$2:AG828),$AG$2:$AG$1001,0),0), INDEX($AN$1004:$BO$1004,1,MATCH(COLUMNS($AN$1006:BM1006),$AN$1006:$BO$1006,0)))),"Fix")))</f>
        <v>0</v>
      </c>
      <c r="AB828" s="4">
        <f>IF(OR(INDEX($AH$2:$AH$1001,MATCH(ROWS($AG$2:AG828),$AG$2:$AG$1001,0),1)&gt;=100000,INDEX($AN$1005:$BO$1005,1,MATCH(COLUMNS($AN$1006:BN1006),$AN$1006:$BO$1006,0))&gt;=100000), " ",IF(INDEX($AN$2:$BO$1001,MATCH(ROWS($AG$2:AG828),$AG$2:$AG$1001,0),MATCH(COLUMNS($AN$1006:BN1006),$AN$1006:$BO$1006,0)), HYPERLINK("#",""), HYPERLINK(CONCATENATE("#Metadata!", ADDRESS(INDEX($AI$2:$AI$1001,MATCH(ROWS($AG$2:AG828),$AG$2:$AG$1001,0),0), INDEX($AN$1004:$BO$1004,1,MATCH(COLUMNS($AN$1006:BN1006),$AN$1006:$BO$1006,0)))),"Fix")))</f>
        <v>0</v>
      </c>
      <c r="AC828" s="4">
        <f>IF(OR(INDEX($AH$2:$AH$1001,MATCH(ROWS($AG$2:AG828),$AG$2:$AG$1001,0),1)&gt;=100000,INDEX($AN$1005:$BO$1005,1,MATCH(COLUMNS($AN$1006:BO1006),$AN$1006:$BO$1006,0))&gt;=100000), " ",IF(INDEX($AN$2:$BO$1001,MATCH(ROWS($AG$2:AG828),$AG$2:$AG$1001,0),MATCH(COLUMNS($AN$1006:BO1006),$AN$1006:$BO$1006,0)), HYPERLINK("#",""), HYPERLINK(CONCATENATE("#Metadata!", ADDRESS(INDEX($AI$2:$AI$1001,MATCH(ROWS($AG$2:AG828),$AG$2:$AG$1001,0),0), INDEX($AN$1004:$BO$1004,1,MATCH(COLUMNS($AN$1006:BO1006),$AN$1006:$BO$1006,0)))),"Fix")))</f>
        <v>0</v>
      </c>
      <c r="AG828">
        <v>0</v>
      </c>
      <c r="AH828">
        <v>0</v>
      </c>
      <c r="AI828">
        <v>0</v>
      </c>
      <c r="AJ828">
        <f>IF(AK828,TRUE,AND(AN828:BO828))</f>
        <v>0</v>
      </c>
      <c r="AK828">
        <f>COUNTBLANK(Metadata!B828:AC828)=COLUMNS(Metadata!B828:AC828)</f>
        <v>0</v>
      </c>
      <c r="AL828">
        <v>0</v>
      </c>
      <c r="AN828">
        <f>AND(IF(Metadata!B828="",FALSE,TRUE),COUNTIF(Metadata!B:B, Metadata!B828) = 1,NOT(ISERROR(SUMPRODUCT(SEARCH(MID(Metadata!B828,ROW(INDIRECT("1:"&amp;LEN(Metadata!B828))), 1),"0123456789abcdefghijklmnopqrstuvwxyzABCDEFGHIJKLMNOPQRSTUVWXYZ.")))))</f>
        <v>0</v>
      </c>
      <c r="AO828">
        <f>IF(Metadata!C828="",FALSE,TRUE)</f>
        <v>0</v>
      </c>
      <c r="AP828">
        <f>IF(Metadata!D828="",FALSE,TRUE)</f>
        <v>0</v>
      </c>
      <c r="AQ828">
        <f>OR(AND(IF(Metadata!E828="",FALSE,TRUE),OR(exact(Metadata!E828,"not collected"),exact(Metadata!E828,"not provided"),exact(Metadata!E828,"restricted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R828">
        <f>IF(Metadata!F828="",FALSE,TRUE)</f>
        <v>0</v>
      </c>
      <c r="AS828">
        <f>OR(AND(IF(Metadata!G828="",FALSE,TRUE),OR(exact(Metadata!G828,"not collected"),exact(Metadata!G828,"not provided"))),AND(IF(Metadata!G828="",FALSE,TRUE),OR(exact(Metadata!G828,"TRUE"),exact(Metadata!G828,"FALSE"))))</f>
        <v>0</v>
      </c>
      <c r="AT828">
        <f>OR(AND(IF(Metadata!H828="",FALSE,TRUE),OR(exact(Metadata!H828,"not collected"),exact(Metadata!H828,"not provided"),exact(Metadata!H828,"restricted access"))),AND(IF(Metadata!H828="",FALSE,ISNUMBER(VALUE(Metadata!H828))),Metadata!H828&gt;=-413.0))</f>
        <v>0</v>
      </c>
      <c r="AU828">
        <f>AND(IF(Metadata!I828="",FALSE,TRUE),exact(Metadata!I828,"meters"))</f>
        <v>0</v>
      </c>
      <c r="AV828">
        <f>AND(IF(Metadata!J828="",FALSE,TRUE),OR(exact(Metadata!J828,"Host-associated"),exact(Metadata!J828,"Free-living")))</f>
        <v>0</v>
      </c>
      <c r="AW828">
        <f>AND(IF(Metadata!K828="",FALSE,TRUE),OR(exact(Metadata!K828,"Animal"),exact(Metadata!K828,"Fungus"),exact(Metadata!K828,"Plant"),exact(Metadata!K828,"Saline"),exact(Metadata!K828,"Non-saline")))</f>
        <v>0</v>
      </c>
      <c r="AX828">
        <f>AND(IF(Metadata!L828="",FALSE,TRUE),OR(exact(Metadata!L828,"Plant secretion"),exact(Metadata!L828,"Plant rhizosphere"),exact(Metadata!L828,"Plant surface"),exact(Metadata!L828,"Plant corpus"),exact(Metadata!L828,"Fungus surface"),exact(Metadata!L828,"Fungus corpus"),exact(Metadata!L828,"Animal surface"),exact(Metadata!L828,"Animal proximal gut"),exact(Metadata!L828,"Animal corpus"),exact(Metadata!L828,"Animal distal gut"),exact(Metadata!L828,"Animal secretion"),exact(Metadata!L828,"Sub-surface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Y828">
        <f>IF(Metadata!M828="",FALSE,TRUE)</f>
        <v>0</v>
      </c>
      <c r="AZ828">
        <f>IF(Metadata!N828="",FALSE,TRUE)</f>
        <v>0</v>
      </c>
      <c r="BA828">
        <f>IF(Metadata!O828="",FALSE,TRUE)</f>
        <v>0</v>
      </c>
      <c r="BB828">
        <f>OR(AND(IF(Metadata!P828="",FALSE,TRUE),OR(exact(Metadata!P828,"not collected"),exact(Metadata!P828,"not provided"),exact(Metadata!P828,"restricted access"))),AND(IF(Metadata!P828="",FALSE,TRUE),OR(exact(Metadata!P828,"air"),exact(Metadata!P828,"built environment"),exact(Metadata!P828,"host-associated"),exact(Metadata!P828,"human-associated"),exact(Metadata!P828,"human-skin"),exact(Metadata!P828,"human-oral"),exact(Metadata!P828,"human-gut"),exact(Metadata!P828,"human-vaginal"),exact(Metadata!P828,"microbial mat/biofilm"),exact(Metadata!P828,"misc environment"),exact(Metadata!P828,"plant-associated"),exact(Metadata!P828,"sediment"),exact(Metadata!P828,"soil"),exact(Metadata!P828,"wastewater/sludge"),exact(Metadata!P828,"water"))))</f>
        <v>0</v>
      </c>
      <c r="BC828">
        <f>IF(Metadata!Q828="",FALSE,TRUE)</f>
        <v>0</v>
      </c>
      <c r="BD828">
        <f>IF(Metadata!R828="",FALSE,TRUE)</f>
        <v>0</v>
      </c>
      <c r="BE828">
        <f>OR(AND(IF(Metadata!S828="",FALSE,TRUE),OR(exact(Metadata!S828,"not collected"),exact(Metadata!S828,"not provided"),exact(Metadata!S828,"restricted access"))),AND(IF(Metadata!S828="",FALSE,ISNUMBER(VALUE(Metadata!S828))),Metadata!S828&gt;=-90.00,Metadata!S828&lt;=90.00))</f>
        <v>0</v>
      </c>
      <c r="BF828">
        <f>AND(IF(Metadata!T828="",FALSE,TRUE),exact(Metadata!T828,"Decimal degrees"))</f>
        <v>0</v>
      </c>
      <c r="BG828">
        <f>OR(AND(IF(Metadata!U828="",FALSE,TRUE),OR(exact(Metadata!U828,"not collected"),exact(Metadata!U828,"not provided"),exact(Metadata!U828,"restricted access"))),AND(IF(Metadata!U828="",FALSE,ISNUMBER(VALUE(Metadata!U828))),Metadata!U828&gt;=-180.00,Metadata!U828&lt;=180.00))</f>
        <v>0</v>
      </c>
      <c r="BH828">
        <f>AND(IF(Metadata!V828="",FALSE,TRUE),exact(Metadata!V828,"Decimal degrees"))</f>
        <v>0</v>
      </c>
      <c r="BI828">
        <f>IF(Metadata!W828="",FALSE,TRUE)</f>
        <v>0</v>
      </c>
      <c r="BJ828">
        <f>OR(AND(IF(Metadata!X828="",FALSE,TRUE),OR(exact(Metadata!X828,"not collected"),exact(Metadata!X828,"not provided"),exact(Metadata!X828,"restricted access"))),AND(IF(Metadata!X828="",FALSE,TRUE),OR(exact(Metadata!X828,"TRUE"),exact(Metadata!X828,"FALSE"))))</f>
        <v>0</v>
      </c>
      <c r="BK828">
        <f>AND(IF(Metadata!Y828="",FALSE,TRUE),exact(Metadata!Y828,"other"))</f>
        <v>0</v>
      </c>
      <c r="BL828">
        <f>IF(Metadata!Z828="",FALSE,TRUE)</f>
        <v>0</v>
      </c>
      <c r="BM828">
        <f>OR(AND(IF(Metadata!AA828="",FALSE,TRUE),OR(exact(Metadata!AA828,"not collected"),exact(Metadata!AA828,"not provided"))),AND(IF(Metadata!AA828="",FALSE,IF(ISERROR(INT(Metadata!AA828)),FALSE,INT(Metadata!AA828)=Metadata!AA828)),Metadata!AA828&gt;0))</f>
        <v>0</v>
      </c>
      <c r="BN828">
        <f>AND(IF(Metadata!AB828="",FALSE,TRUE),exact(Metadata!AB828,"Not applicable"))</f>
        <v>0</v>
      </c>
      <c r="BO828">
        <f>IF(Metadata!AC828="",FALSE,TRUE)</f>
        <v>0</v>
      </c>
    </row>
    <row r="829" spans="1:67">
      <c r="A829" s="5">
        <f>IF(B829=" "," ",HYPERLINK(CONCATENATE("#metadata!",ADDRESS(INDEX($AI$2:$AI$1001,MATCH(ROWS($AG$2:AG829),$AG$2:$AG$1001,0),0),1)),INDEX($AL$2:$AL$1001,MATCH(ROWS($AG$2:AG829),$AG$2:$AG$1001,0),0)))</f>
        <v>0</v>
      </c>
      <c r="B829" s="4">
        <f>IF(OR(INDEX($AH$2:$AH$1001,MATCH(ROWS($AG$2:AG829),$AG$2:$AG$1001,0),1)&gt;=100000,INDEX($AN$1005:$BO$1005,1,MATCH(COLUMNS($AN$1006:AN1006),$AN$1006:$BO$1006,0))&gt;=100000), " ",IF(INDEX($AN$2:$BO$1001,MATCH(ROWS($AG$2:AG829),$AG$2:$AG$1001,0),MATCH(COLUMNS($AN$1006:AN1006),$AN$1006:$BO$1006,0)), HYPERLINK("#",""), HYPERLINK(CONCATENATE("#Metadata!", ADDRESS(INDEX($AI$2:$AI$1001,MATCH(ROWS($AG$2:AG829),$AG$2:$AG$1001,0),0), INDEX($AN$1004:$BO$1004,1,MATCH(COLUMNS($AN$1006:AN1006),$AN$1006:$BO$1006,0)))),"Fix")))</f>
        <v>0</v>
      </c>
      <c r="C829" s="4">
        <f>IF(OR(INDEX($AH$2:$AH$1001,MATCH(ROWS($AG$2:AG829),$AG$2:$AG$1001,0),1)&gt;=100000,INDEX($AN$1005:$BO$1005,1,MATCH(COLUMNS($AN$1006:AO1006),$AN$1006:$BO$1006,0))&gt;=100000), " ",IF(INDEX($AN$2:$BO$1001,MATCH(ROWS($AG$2:AG829),$AG$2:$AG$1001,0),MATCH(COLUMNS($AN$1006:AO1006),$AN$1006:$BO$1006,0)), HYPERLINK("#",""), HYPERLINK(CONCATENATE("#Metadata!", ADDRESS(INDEX($AI$2:$AI$1001,MATCH(ROWS($AG$2:AG829),$AG$2:$AG$1001,0),0), INDEX($AN$1004:$BO$1004,1,MATCH(COLUMNS($AN$1006:AO1006),$AN$1006:$BO$1006,0)))),"Fix")))</f>
        <v>0</v>
      </c>
      <c r="D829" s="4">
        <f>IF(OR(INDEX($AH$2:$AH$1001,MATCH(ROWS($AG$2:AG829),$AG$2:$AG$1001,0),1)&gt;=100000,INDEX($AN$1005:$BO$1005,1,MATCH(COLUMNS($AN$1006:AP1006),$AN$1006:$BO$1006,0))&gt;=100000), " ",IF(INDEX($AN$2:$BO$1001,MATCH(ROWS($AG$2:AG829),$AG$2:$AG$1001,0),MATCH(COLUMNS($AN$1006:AP1006),$AN$1006:$BO$1006,0)), HYPERLINK("#",""), HYPERLINK(CONCATENATE("#Metadata!", ADDRESS(INDEX($AI$2:$AI$1001,MATCH(ROWS($AG$2:AG829),$AG$2:$AG$1001,0),0), INDEX($AN$1004:$BO$1004,1,MATCH(COLUMNS($AN$1006:AP1006),$AN$1006:$BO$1006,0)))),"Fix")))</f>
        <v>0</v>
      </c>
      <c r="E829" s="4">
        <f>IF(OR(INDEX($AH$2:$AH$1001,MATCH(ROWS($AG$2:AG829),$AG$2:$AG$1001,0),1)&gt;=100000,INDEX($AN$1005:$BO$1005,1,MATCH(COLUMNS($AN$1006:AQ1006),$AN$1006:$BO$1006,0))&gt;=100000), " ",IF(INDEX($AN$2:$BO$1001,MATCH(ROWS($AG$2:AG829),$AG$2:$AG$1001,0),MATCH(COLUMNS($AN$1006:AQ1006),$AN$1006:$BO$1006,0)), HYPERLINK("#",""), HYPERLINK(CONCATENATE("#Metadata!", ADDRESS(INDEX($AI$2:$AI$1001,MATCH(ROWS($AG$2:AG829),$AG$2:$AG$1001,0),0), INDEX($AN$1004:$BO$1004,1,MATCH(COLUMNS($AN$1006:AQ1006),$AN$1006:$BO$1006,0)))),"Fix")))</f>
        <v>0</v>
      </c>
      <c r="F829" s="4">
        <f>IF(OR(INDEX($AH$2:$AH$1001,MATCH(ROWS($AG$2:AG829),$AG$2:$AG$1001,0),1)&gt;=100000,INDEX($AN$1005:$BO$1005,1,MATCH(COLUMNS($AN$1006:AR1006),$AN$1006:$BO$1006,0))&gt;=100000), " ",IF(INDEX($AN$2:$BO$1001,MATCH(ROWS($AG$2:AG829),$AG$2:$AG$1001,0),MATCH(COLUMNS($AN$1006:AR1006),$AN$1006:$BO$1006,0)), HYPERLINK("#",""), HYPERLINK(CONCATENATE("#Metadata!", ADDRESS(INDEX($AI$2:$AI$1001,MATCH(ROWS($AG$2:AG829),$AG$2:$AG$1001,0),0), INDEX($AN$1004:$BO$1004,1,MATCH(COLUMNS($AN$1006:AR1006),$AN$1006:$BO$1006,0)))),"Fix")))</f>
        <v>0</v>
      </c>
      <c r="G829" s="4">
        <f>IF(OR(INDEX($AH$2:$AH$1001,MATCH(ROWS($AG$2:AG829),$AG$2:$AG$1001,0),1)&gt;=100000,INDEX($AN$1005:$BO$1005,1,MATCH(COLUMNS($AN$1006:AS1006),$AN$1006:$BO$1006,0))&gt;=100000), " ",IF(INDEX($AN$2:$BO$1001,MATCH(ROWS($AG$2:AG829),$AG$2:$AG$1001,0),MATCH(COLUMNS($AN$1006:AS1006),$AN$1006:$BO$1006,0)), HYPERLINK("#",""), HYPERLINK(CONCATENATE("#Metadata!", ADDRESS(INDEX($AI$2:$AI$1001,MATCH(ROWS($AG$2:AG829),$AG$2:$AG$1001,0),0), INDEX($AN$1004:$BO$1004,1,MATCH(COLUMNS($AN$1006:AS1006),$AN$1006:$BO$1006,0)))),"Fix")))</f>
        <v>0</v>
      </c>
      <c r="H829" s="4">
        <f>IF(OR(INDEX($AH$2:$AH$1001,MATCH(ROWS($AG$2:AG829),$AG$2:$AG$1001,0),1)&gt;=100000,INDEX($AN$1005:$BO$1005,1,MATCH(COLUMNS($AN$1006:AT1006),$AN$1006:$BO$1006,0))&gt;=100000), " ",IF(INDEX($AN$2:$BO$1001,MATCH(ROWS($AG$2:AG829),$AG$2:$AG$1001,0),MATCH(COLUMNS($AN$1006:AT1006),$AN$1006:$BO$1006,0)), HYPERLINK("#",""), HYPERLINK(CONCATENATE("#Metadata!", ADDRESS(INDEX($AI$2:$AI$1001,MATCH(ROWS($AG$2:AG829),$AG$2:$AG$1001,0),0), INDEX($AN$1004:$BO$1004,1,MATCH(COLUMNS($AN$1006:AT1006),$AN$1006:$BO$1006,0)))),"Fix")))</f>
        <v>0</v>
      </c>
      <c r="I829" s="4">
        <f>IF(OR(INDEX($AH$2:$AH$1001,MATCH(ROWS($AG$2:AG829),$AG$2:$AG$1001,0),1)&gt;=100000,INDEX($AN$1005:$BO$1005,1,MATCH(COLUMNS($AN$1006:AU1006),$AN$1006:$BO$1006,0))&gt;=100000), " ",IF(INDEX($AN$2:$BO$1001,MATCH(ROWS($AG$2:AG829),$AG$2:$AG$1001,0),MATCH(COLUMNS($AN$1006:AU1006),$AN$1006:$BO$1006,0)), HYPERLINK("#",""), HYPERLINK(CONCATENATE("#Metadata!", ADDRESS(INDEX($AI$2:$AI$1001,MATCH(ROWS($AG$2:AG829),$AG$2:$AG$1001,0),0), INDEX($AN$1004:$BO$1004,1,MATCH(COLUMNS($AN$1006:AU1006),$AN$1006:$BO$1006,0)))),"Fix")))</f>
        <v>0</v>
      </c>
      <c r="J829" s="4">
        <f>IF(OR(INDEX($AH$2:$AH$1001,MATCH(ROWS($AG$2:AG829),$AG$2:$AG$1001,0),1)&gt;=100000,INDEX($AN$1005:$BO$1005,1,MATCH(COLUMNS($AN$1006:AV1006),$AN$1006:$BO$1006,0))&gt;=100000), " ",IF(INDEX($AN$2:$BO$1001,MATCH(ROWS($AG$2:AG829),$AG$2:$AG$1001,0),MATCH(COLUMNS($AN$1006:AV1006),$AN$1006:$BO$1006,0)), HYPERLINK("#",""), HYPERLINK(CONCATENATE("#Metadata!", ADDRESS(INDEX($AI$2:$AI$1001,MATCH(ROWS($AG$2:AG829),$AG$2:$AG$1001,0),0), INDEX($AN$1004:$BO$1004,1,MATCH(COLUMNS($AN$1006:AV1006),$AN$1006:$BO$1006,0)))),"Fix")))</f>
        <v>0</v>
      </c>
      <c r="K829" s="4">
        <f>IF(OR(INDEX($AH$2:$AH$1001,MATCH(ROWS($AG$2:AG829),$AG$2:$AG$1001,0),1)&gt;=100000,INDEX($AN$1005:$BO$1005,1,MATCH(COLUMNS($AN$1006:AW1006),$AN$1006:$BO$1006,0))&gt;=100000), " ",IF(INDEX($AN$2:$BO$1001,MATCH(ROWS($AG$2:AG829),$AG$2:$AG$1001,0),MATCH(COLUMNS($AN$1006:AW1006),$AN$1006:$BO$1006,0)), HYPERLINK("#",""), HYPERLINK(CONCATENATE("#Metadata!", ADDRESS(INDEX($AI$2:$AI$1001,MATCH(ROWS($AG$2:AG829),$AG$2:$AG$1001,0),0), INDEX($AN$1004:$BO$1004,1,MATCH(COLUMNS($AN$1006:AW1006),$AN$1006:$BO$1006,0)))),"Fix")))</f>
        <v>0</v>
      </c>
      <c r="L829" s="4">
        <f>IF(OR(INDEX($AH$2:$AH$1001,MATCH(ROWS($AG$2:AG829),$AG$2:$AG$1001,0),1)&gt;=100000,INDEX($AN$1005:$BO$1005,1,MATCH(COLUMNS($AN$1006:AX1006),$AN$1006:$BO$1006,0))&gt;=100000), " ",IF(INDEX($AN$2:$BO$1001,MATCH(ROWS($AG$2:AG829),$AG$2:$AG$1001,0),MATCH(COLUMNS($AN$1006:AX1006),$AN$1006:$BO$1006,0)), HYPERLINK("#",""), HYPERLINK(CONCATENATE("#Metadata!", ADDRESS(INDEX($AI$2:$AI$1001,MATCH(ROWS($AG$2:AG829),$AG$2:$AG$1001,0),0), INDEX($AN$1004:$BO$1004,1,MATCH(COLUMNS($AN$1006:AX1006),$AN$1006:$BO$1006,0)))),"Fix")))</f>
        <v>0</v>
      </c>
      <c r="M829" s="4">
        <f>IF(OR(INDEX($AH$2:$AH$1001,MATCH(ROWS($AG$2:AG829),$AG$2:$AG$1001,0),1)&gt;=100000,INDEX($AN$1005:$BO$1005,1,MATCH(COLUMNS($AN$1006:AY1006),$AN$1006:$BO$1006,0))&gt;=100000), " ",IF(INDEX($AN$2:$BO$1001,MATCH(ROWS($AG$2:AG829),$AG$2:$AG$1001,0),MATCH(COLUMNS($AN$1006:AY1006),$AN$1006:$BO$1006,0)), HYPERLINK("#",""), HYPERLINK(CONCATENATE("#Metadata!", ADDRESS(INDEX($AI$2:$AI$1001,MATCH(ROWS($AG$2:AG829),$AG$2:$AG$1001,0),0), INDEX($AN$1004:$BO$1004,1,MATCH(COLUMNS($AN$1006:AY1006),$AN$1006:$BO$1006,0)))),"Fix")))</f>
        <v>0</v>
      </c>
      <c r="N829" s="4">
        <f>IF(OR(INDEX($AH$2:$AH$1001,MATCH(ROWS($AG$2:AG829),$AG$2:$AG$1001,0),1)&gt;=100000,INDEX($AN$1005:$BO$1005,1,MATCH(COLUMNS($AN$1006:AZ1006),$AN$1006:$BO$1006,0))&gt;=100000), " ",IF(INDEX($AN$2:$BO$1001,MATCH(ROWS($AG$2:AG829),$AG$2:$AG$1001,0),MATCH(COLUMNS($AN$1006:AZ1006),$AN$1006:$BO$1006,0)), HYPERLINK("#",""), HYPERLINK(CONCATENATE("#Metadata!", ADDRESS(INDEX($AI$2:$AI$1001,MATCH(ROWS($AG$2:AG829),$AG$2:$AG$1001,0),0), INDEX($AN$1004:$BO$1004,1,MATCH(COLUMNS($AN$1006:AZ1006),$AN$1006:$BO$1006,0)))),"Fix")))</f>
        <v>0</v>
      </c>
      <c r="O829" s="4">
        <f>IF(OR(INDEX($AH$2:$AH$1001,MATCH(ROWS($AG$2:AG829),$AG$2:$AG$1001,0),1)&gt;=100000,INDEX($AN$1005:$BO$1005,1,MATCH(COLUMNS($AN$1006:BA1006),$AN$1006:$BO$1006,0))&gt;=100000), " ",IF(INDEX($AN$2:$BO$1001,MATCH(ROWS($AG$2:AG829),$AG$2:$AG$1001,0),MATCH(COLUMNS($AN$1006:BA1006),$AN$1006:$BO$1006,0)), HYPERLINK("#",""), HYPERLINK(CONCATENATE("#Metadata!", ADDRESS(INDEX($AI$2:$AI$1001,MATCH(ROWS($AG$2:AG829),$AG$2:$AG$1001,0),0), INDEX($AN$1004:$BO$1004,1,MATCH(COLUMNS($AN$1006:BA1006),$AN$1006:$BO$1006,0)))),"Fix")))</f>
        <v>0</v>
      </c>
      <c r="P829" s="4">
        <f>IF(OR(INDEX($AH$2:$AH$1001,MATCH(ROWS($AG$2:AG829),$AG$2:$AG$1001,0),1)&gt;=100000,INDEX($AN$1005:$BO$1005,1,MATCH(COLUMNS($AN$1006:BB1006),$AN$1006:$BO$1006,0))&gt;=100000), " ",IF(INDEX($AN$2:$BO$1001,MATCH(ROWS($AG$2:AG829),$AG$2:$AG$1001,0),MATCH(COLUMNS($AN$1006:BB1006),$AN$1006:$BO$1006,0)), HYPERLINK("#",""), HYPERLINK(CONCATENATE("#Metadata!", ADDRESS(INDEX($AI$2:$AI$1001,MATCH(ROWS($AG$2:AG829),$AG$2:$AG$1001,0),0), INDEX($AN$1004:$BO$1004,1,MATCH(COLUMNS($AN$1006:BB1006),$AN$1006:$BO$1006,0)))),"Fix")))</f>
        <v>0</v>
      </c>
      <c r="Q829" s="4">
        <f>IF(OR(INDEX($AH$2:$AH$1001,MATCH(ROWS($AG$2:AG829),$AG$2:$AG$1001,0),1)&gt;=100000,INDEX($AN$1005:$BO$1005,1,MATCH(COLUMNS($AN$1006:BC1006),$AN$1006:$BO$1006,0))&gt;=100000), " ",IF(INDEX($AN$2:$BO$1001,MATCH(ROWS($AG$2:AG829),$AG$2:$AG$1001,0),MATCH(COLUMNS($AN$1006:BC1006),$AN$1006:$BO$1006,0)), HYPERLINK("#",""), HYPERLINK(CONCATENATE("#Metadata!", ADDRESS(INDEX($AI$2:$AI$1001,MATCH(ROWS($AG$2:AG829),$AG$2:$AG$1001,0),0), INDEX($AN$1004:$BO$1004,1,MATCH(COLUMNS($AN$1006:BC1006),$AN$1006:$BO$1006,0)))),"Fix")))</f>
        <v>0</v>
      </c>
      <c r="R829" s="4">
        <f>IF(OR(INDEX($AH$2:$AH$1001,MATCH(ROWS($AG$2:AG829),$AG$2:$AG$1001,0),1)&gt;=100000,INDEX($AN$1005:$BO$1005,1,MATCH(COLUMNS($AN$1006:BD1006),$AN$1006:$BO$1006,0))&gt;=100000), " ",IF(INDEX($AN$2:$BO$1001,MATCH(ROWS($AG$2:AG829),$AG$2:$AG$1001,0),MATCH(COLUMNS($AN$1006:BD1006),$AN$1006:$BO$1006,0)), HYPERLINK("#",""), HYPERLINK(CONCATENATE("#Metadata!", ADDRESS(INDEX($AI$2:$AI$1001,MATCH(ROWS($AG$2:AG829),$AG$2:$AG$1001,0),0), INDEX($AN$1004:$BO$1004,1,MATCH(COLUMNS($AN$1006:BD1006),$AN$1006:$BO$1006,0)))),"Fix")))</f>
        <v>0</v>
      </c>
      <c r="S829" s="4">
        <f>IF(OR(INDEX($AH$2:$AH$1001,MATCH(ROWS($AG$2:AG829),$AG$2:$AG$1001,0),1)&gt;=100000,INDEX($AN$1005:$BO$1005,1,MATCH(COLUMNS($AN$1006:BE1006),$AN$1006:$BO$1006,0))&gt;=100000), " ",IF(INDEX($AN$2:$BO$1001,MATCH(ROWS($AG$2:AG829),$AG$2:$AG$1001,0),MATCH(COLUMNS($AN$1006:BE1006),$AN$1006:$BO$1006,0)), HYPERLINK("#",""), HYPERLINK(CONCATENATE("#Metadata!", ADDRESS(INDEX($AI$2:$AI$1001,MATCH(ROWS($AG$2:AG829),$AG$2:$AG$1001,0),0), INDEX($AN$1004:$BO$1004,1,MATCH(COLUMNS($AN$1006:BE1006),$AN$1006:$BO$1006,0)))),"Fix")))</f>
        <v>0</v>
      </c>
      <c r="T829" s="4">
        <f>IF(OR(INDEX($AH$2:$AH$1001,MATCH(ROWS($AG$2:AG829),$AG$2:$AG$1001,0),1)&gt;=100000,INDEX($AN$1005:$BO$1005,1,MATCH(COLUMNS($AN$1006:BF1006),$AN$1006:$BO$1006,0))&gt;=100000), " ",IF(INDEX($AN$2:$BO$1001,MATCH(ROWS($AG$2:AG829),$AG$2:$AG$1001,0),MATCH(COLUMNS($AN$1006:BF1006),$AN$1006:$BO$1006,0)), HYPERLINK("#",""), HYPERLINK(CONCATENATE("#Metadata!", ADDRESS(INDEX($AI$2:$AI$1001,MATCH(ROWS($AG$2:AG829),$AG$2:$AG$1001,0),0), INDEX($AN$1004:$BO$1004,1,MATCH(COLUMNS($AN$1006:BF1006),$AN$1006:$BO$1006,0)))),"Fix")))</f>
        <v>0</v>
      </c>
      <c r="U829" s="4">
        <f>IF(OR(INDEX($AH$2:$AH$1001,MATCH(ROWS($AG$2:AG829),$AG$2:$AG$1001,0),1)&gt;=100000,INDEX($AN$1005:$BO$1005,1,MATCH(COLUMNS($AN$1006:BG1006),$AN$1006:$BO$1006,0))&gt;=100000), " ",IF(INDEX($AN$2:$BO$1001,MATCH(ROWS($AG$2:AG829),$AG$2:$AG$1001,0),MATCH(COLUMNS($AN$1006:BG1006),$AN$1006:$BO$1006,0)), HYPERLINK("#",""), HYPERLINK(CONCATENATE("#Metadata!", ADDRESS(INDEX($AI$2:$AI$1001,MATCH(ROWS($AG$2:AG829),$AG$2:$AG$1001,0),0), INDEX($AN$1004:$BO$1004,1,MATCH(COLUMNS($AN$1006:BG1006),$AN$1006:$BO$1006,0)))),"Fix")))</f>
        <v>0</v>
      </c>
      <c r="V829" s="4">
        <f>IF(OR(INDEX($AH$2:$AH$1001,MATCH(ROWS($AG$2:AG829),$AG$2:$AG$1001,0),1)&gt;=100000,INDEX($AN$1005:$BO$1005,1,MATCH(COLUMNS($AN$1006:BH1006),$AN$1006:$BO$1006,0))&gt;=100000), " ",IF(INDEX($AN$2:$BO$1001,MATCH(ROWS($AG$2:AG829),$AG$2:$AG$1001,0),MATCH(COLUMNS($AN$1006:BH1006),$AN$1006:$BO$1006,0)), HYPERLINK("#",""), HYPERLINK(CONCATENATE("#Metadata!", ADDRESS(INDEX($AI$2:$AI$1001,MATCH(ROWS($AG$2:AG829),$AG$2:$AG$1001,0),0), INDEX($AN$1004:$BO$1004,1,MATCH(COLUMNS($AN$1006:BH1006),$AN$1006:$BO$1006,0)))),"Fix")))</f>
        <v>0</v>
      </c>
      <c r="W829" s="4">
        <f>IF(OR(INDEX($AH$2:$AH$1001,MATCH(ROWS($AG$2:AG829),$AG$2:$AG$1001,0),1)&gt;=100000,INDEX($AN$1005:$BO$1005,1,MATCH(COLUMNS($AN$1006:BI1006),$AN$1006:$BO$1006,0))&gt;=100000), " ",IF(INDEX($AN$2:$BO$1001,MATCH(ROWS($AG$2:AG829),$AG$2:$AG$1001,0),MATCH(COLUMNS($AN$1006:BI1006),$AN$1006:$BO$1006,0)), HYPERLINK("#",""), HYPERLINK(CONCATENATE("#Metadata!", ADDRESS(INDEX($AI$2:$AI$1001,MATCH(ROWS($AG$2:AG829),$AG$2:$AG$1001,0),0), INDEX($AN$1004:$BO$1004,1,MATCH(COLUMNS($AN$1006:BI1006),$AN$1006:$BO$1006,0)))),"Fix")))</f>
        <v>0</v>
      </c>
      <c r="X829" s="4">
        <f>IF(OR(INDEX($AH$2:$AH$1001,MATCH(ROWS($AG$2:AG829),$AG$2:$AG$1001,0),1)&gt;=100000,INDEX($AN$1005:$BO$1005,1,MATCH(COLUMNS($AN$1006:BJ1006),$AN$1006:$BO$1006,0))&gt;=100000), " ",IF(INDEX($AN$2:$BO$1001,MATCH(ROWS($AG$2:AG829),$AG$2:$AG$1001,0),MATCH(COLUMNS($AN$1006:BJ1006),$AN$1006:$BO$1006,0)), HYPERLINK("#",""), HYPERLINK(CONCATENATE("#Metadata!", ADDRESS(INDEX($AI$2:$AI$1001,MATCH(ROWS($AG$2:AG829),$AG$2:$AG$1001,0),0), INDEX($AN$1004:$BO$1004,1,MATCH(COLUMNS($AN$1006:BJ1006),$AN$1006:$BO$1006,0)))),"Fix")))</f>
        <v>0</v>
      </c>
      <c r="Y829" s="4">
        <f>IF(OR(INDEX($AH$2:$AH$1001,MATCH(ROWS($AG$2:AG829),$AG$2:$AG$1001,0),1)&gt;=100000,INDEX($AN$1005:$BO$1005,1,MATCH(COLUMNS($AN$1006:BK1006),$AN$1006:$BO$1006,0))&gt;=100000), " ",IF(INDEX($AN$2:$BO$1001,MATCH(ROWS($AG$2:AG829),$AG$2:$AG$1001,0),MATCH(COLUMNS($AN$1006:BK1006),$AN$1006:$BO$1006,0)), HYPERLINK("#",""), HYPERLINK(CONCATENATE("#Metadata!", ADDRESS(INDEX($AI$2:$AI$1001,MATCH(ROWS($AG$2:AG829),$AG$2:$AG$1001,0),0), INDEX($AN$1004:$BO$1004,1,MATCH(COLUMNS($AN$1006:BK1006),$AN$1006:$BO$1006,0)))),"Fix")))</f>
        <v>0</v>
      </c>
      <c r="Z829" s="4">
        <f>IF(OR(INDEX($AH$2:$AH$1001,MATCH(ROWS($AG$2:AG829),$AG$2:$AG$1001,0),1)&gt;=100000,INDEX($AN$1005:$BO$1005,1,MATCH(COLUMNS($AN$1006:BL1006),$AN$1006:$BO$1006,0))&gt;=100000), " ",IF(INDEX($AN$2:$BO$1001,MATCH(ROWS($AG$2:AG829),$AG$2:$AG$1001,0),MATCH(COLUMNS($AN$1006:BL1006),$AN$1006:$BO$1006,0)), HYPERLINK("#",""), HYPERLINK(CONCATENATE("#Metadata!", ADDRESS(INDEX($AI$2:$AI$1001,MATCH(ROWS($AG$2:AG829),$AG$2:$AG$1001,0),0), INDEX($AN$1004:$BO$1004,1,MATCH(COLUMNS($AN$1006:BL1006),$AN$1006:$BO$1006,0)))),"Fix")))</f>
        <v>0</v>
      </c>
      <c r="AA829" s="4">
        <f>IF(OR(INDEX($AH$2:$AH$1001,MATCH(ROWS($AG$2:AG829),$AG$2:$AG$1001,0),1)&gt;=100000,INDEX($AN$1005:$BO$1005,1,MATCH(COLUMNS($AN$1006:BM1006),$AN$1006:$BO$1006,0))&gt;=100000), " ",IF(INDEX($AN$2:$BO$1001,MATCH(ROWS($AG$2:AG829),$AG$2:$AG$1001,0),MATCH(COLUMNS($AN$1006:BM1006),$AN$1006:$BO$1006,0)), HYPERLINK("#",""), HYPERLINK(CONCATENATE("#Metadata!", ADDRESS(INDEX($AI$2:$AI$1001,MATCH(ROWS($AG$2:AG829),$AG$2:$AG$1001,0),0), INDEX($AN$1004:$BO$1004,1,MATCH(COLUMNS($AN$1006:BM1006),$AN$1006:$BO$1006,0)))),"Fix")))</f>
        <v>0</v>
      </c>
      <c r="AB829" s="4">
        <f>IF(OR(INDEX($AH$2:$AH$1001,MATCH(ROWS($AG$2:AG829),$AG$2:$AG$1001,0),1)&gt;=100000,INDEX($AN$1005:$BO$1005,1,MATCH(COLUMNS($AN$1006:BN1006),$AN$1006:$BO$1006,0))&gt;=100000), " ",IF(INDEX($AN$2:$BO$1001,MATCH(ROWS($AG$2:AG829),$AG$2:$AG$1001,0),MATCH(COLUMNS($AN$1006:BN1006),$AN$1006:$BO$1006,0)), HYPERLINK("#",""), HYPERLINK(CONCATENATE("#Metadata!", ADDRESS(INDEX($AI$2:$AI$1001,MATCH(ROWS($AG$2:AG829),$AG$2:$AG$1001,0),0), INDEX($AN$1004:$BO$1004,1,MATCH(COLUMNS($AN$1006:BN1006),$AN$1006:$BO$1006,0)))),"Fix")))</f>
        <v>0</v>
      </c>
      <c r="AC829" s="4">
        <f>IF(OR(INDEX($AH$2:$AH$1001,MATCH(ROWS($AG$2:AG829),$AG$2:$AG$1001,0),1)&gt;=100000,INDEX($AN$1005:$BO$1005,1,MATCH(COLUMNS($AN$1006:BO1006),$AN$1006:$BO$1006,0))&gt;=100000), " ",IF(INDEX($AN$2:$BO$1001,MATCH(ROWS($AG$2:AG829),$AG$2:$AG$1001,0),MATCH(COLUMNS($AN$1006:BO1006),$AN$1006:$BO$1006,0)), HYPERLINK("#",""), HYPERLINK(CONCATENATE("#Metadata!", ADDRESS(INDEX($AI$2:$AI$1001,MATCH(ROWS($AG$2:AG829),$AG$2:$AG$1001,0),0), INDEX($AN$1004:$BO$1004,1,MATCH(COLUMNS($AN$1006:BO1006),$AN$1006:$BO$1006,0)))),"Fix")))</f>
        <v>0</v>
      </c>
      <c r="AG829">
        <v>0</v>
      </c>
      <c r="AH829">
        <v>0</v>
      </c>
      <c r="AI829">
        <v>0</v>
      </c>
      <c r="AJ829">
        <f>IF(AK829,TRUE,AND(AN829:BO829))</f>
        <v>0</v>
      </c>
      <c r="AK829">
        <f>COUNTBLANK(Metadata!B829:AC829)=COLUMNS(Metadata!B829:AC829)</f>
        <v>0</v>
      </c>
      <c r="AL829">
        <v>0</v>
      </c>
      <c r="AN829">
        <f>AND(IF(Metadata!B829="",FALSE,TRUE),COUNTIF(Metadata!B:B, Metadata!B829) = 1,NOT(ISERROR(SUMPRODUCT(SEARCH(MID(Metadata!B829,ROW(INDIRECT("1:"&amp;LEN(Metadata!B829))), 1),"0123456789abcdefghijklmnopqrstuvwxyzABCDEFGHIJKLMNOPQRSTUVWXYZ.")))))</f>
        <v>0</v>
      </c>
      <c r="AO829">
        <f>IF(Metadata!C829="",FALSE,TRUE)</f>
        <v>0</v>
      </c>
      <c r="AP829">
        <f>IF(Metadata!D829="",FALSE,TRUE)</f>
        <v>0</v>
      </c>
      <c r="AQ829">
        <f>OR(AND(IF(Metadata!E829="",FALSE,TRUE),OR(exact(Metadata!E829,"not collected"),exact(Metadata!E829,"not provided"),exact(Metadata!E829,"restricted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R829">
        <f>IF(Metadata!F829="",FALSE,TRUE)</f>
        <v>0</v>
      </c>
      <c r="AS829">
        <f>OR(AND(IF(Metadata!G829="",FALSE,TRUE),OR(exact(Metadata!G829,"not collected"),exact(Metadata!G829,"not provided"))),AND(IF(Metadata!G829="",FALSE,TRUE),OR(exact(Metadata!G829,"TRUE"),exact(Metadata!G829,"FALSE"))))</f>
        <v>0</v>
      </c>
      <c r="AT829">
        <f>OR(AND(IF(Metadata!H829="",FALSE,TRUE),OR(exact(Metadata!H829,"not collected"),exact(Metadata!H829,"not provided"),exact(Metadata!H829,"restricted access"))),AND(IF(Metadata!H829="",FALSE,ISNUMBER(VALUE(Metadata!H829))),Metadata!H829&gt;=-413.0))</f>
        <v>0</v>
      </c>
      <c r="AU829">
        <f>AND(IF(Metadata!I829="",FALSE,TRUE),exact(Metadata!I829,"meters"))</f>
        <v>0</v>
      </c>
      <c r="AV829">
        <f>AND(IF(Metadata!J829="",FALSE,TRUE),OR(exact(Metadata!J829,"Host-associated"),exact(Metadata!J829,"Free-living")))</f>
        <v>0</v>
      </c>
      <c r="AW829">
        <f>AND(IF(Metadata!K829="",FALSE,TRUE),OR(exact(Metadata!K829,"Animal"),exact(Metadata!K829,"Fungus"),exact(Metadata!K829,"Plant"),exact(Metadata!K829,"Saline"),exact(Metadata!K829,"Non-saline")))</f>
        <v>0</v>
      </c>
      <c r="AX829">
        <f>AND(IF(Metadata!L829="",FALSE,TRUE),OR(exact(Metadata!L829,"Plant secretion"),exact(Metadata!L829,"Plant rhizosphere"),exact(Metadata!L829,"Plant surface"),exact(Metadata!L829,"Plant corpus"),exact(Metadata!L829,"Fungus surface"),exact(Metadata!L829,"Fungus corpus"),exact(Metadata!L829,"Animal surface"),exact(Metadata!L829,"Animal proximal gut"),exact(Metadata!L829,"Animal corpus"),exact(Metadata!L829,"Animal distal gut"),exact(Metadata!L829,"Animal secretion"),exact(Metadata!L829,"Sub-surface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Y829">
        <f>IF(Metadata!M829="",FALSE,TRUE)</f>
        <v>0</v>
      </c>
      <c r="AZ829">
        <f>IF(Metadata!N829="",FALSE,TRUE)</f>
        <v>0</v>
      </c>
      <c r="BA829">
        <f>IF(Metadata!O829="",FALSE,TRUE)</f>
        <v>0</v>
      </c>
      <c r="BB829">
        <f>OR(AND(IF(Metadata!P829="",FALSE,TRUE),OR(exact(Metadata!P829,"not collected"),exact(Metadata!P829,"not provided"),exact(Metadata!P829,"restricted access"))),AND(IF(Metadata!P829="",FALSE,TRUE),OR(exact(Metadata!P829,"air"),exact(Metadata!P829,"built environment"),exact(Metadata!P829,"host-associated"),exact(Metadata!P829,"human-associated"),exact(Metadata!P829,"human-skin"),exact(Metadata!P829,"human-oral"),exact(Metadata!P829,"human-gut"),exact(Metadata!P829,"human-vaginal"),exact(Metadata!P829,"microbial mat/biofilm"),exact(Metadata!P829,"misc environment"),exact(Metadata!P829,"plant-associated"),exact(Metadata!P829,"sediment"),exact(Metadata!P829,"soil"),exact(Metadata!P829,"wastewater/sludge"),exact(Metadata!P829,"water"))))</f>
        <v>0</v>
      </c>
      <c r="BC829">
        <f>IF(Metadata!Q829="",FALSE,TRUE)</f>
        <v>0</v>
      </c>
      <c r="BD829">
        <f>IF(Metadata!R829="",FALSE,TRUE)</f>
        <v>0</v>
      </c>
      <c r="BE829">
        <f>OR(AND(IF(Metadata!S829="",FALSE,TRUE),OR(exact(Metadata!S829,"not collected"),exact(Metadata!S829,"not provided"),exact(Metadata!S829,"restricted access"))),AND(IF(Metadata!S829="",FALSE,ISNUMBER(VALUE(Metadata!S829))),Metadata!S829&gt;=-90.00,Metadata!S829&lt;=90.00))</f>
        <v>0</v>
      </c>
      <c r="BF829">
        <f>AND(IF(Metadata!T829="",FALSE,TRUE),exact(Metadata!T829,"Decimal degrees"))</f>
        <v>0</v>
      </c>
      <c r="BG829">
        <f>OR(AND(IF(Metadata!U829="",FALSE,TRUE),OR(exact(Metadata!U829,"not collected"),exact(Metadata!U829,"not provided"),exact(Metadata!U829,"restricted access"))),AND(IF(Metadata!U829="",FALSE,ISNUMBER(VALUE(Metadata!U829))),Metadata!U829&gt;=-180.00,Metadata!U829&lt;=180.00))</f>
        <v>0</v>
      </c>
      <c r="BH829">
        <f>AND(IF(Metadata!V829="",FALSE,TRUE),exact(Metadata!V829,"Decimal degrees"))</f>
        <v>0</v>
      </c>
      <c r="BI829">
        <f>IF(Metadata!W829="",FALSE,TRUE)</f>
        <v>0</v>
      </c>
      <c r="BJ829">
        <f>OR(AND(IF(Metadata!X829="",FALSE,TRUE),OR(exact(Metadata!X829,"not collected"),exact(Metadata!X829,"not provided"),exact(Metadata!X829,"restricted access"))),AND(IF(Metadata!X829="",FALSE,TRUE),OR(exact(Metadata!X829,"TRUE"),exact(Metadata!X829,"FALSE"))))</f>
        <v>0</v>
      </c>
      <c r="BK829">
        <f>AND(IF(Metadata!Y829="",FALSE,TRUE),exact(Metadata!Y829,"other"))</f>
        <v>0</v>
      </c>
      <c r="BL829">
        <f>IF(Metadata!Z829="",FALSE,TRUE)</f>
        <v>0</v>
      </c>
      <c r="BM829">
        <f>OR(AND(IF(Metadata!AA829="",FALSE,TRUE),OR(exact(Metadata!AA829,"not collected"),exact(Metadata!AA829,"not provided"))),AND(IF(Metadata!AA829="",FALSE,IF(ISERROR(INT(Metadata!AA829)),FALSE,INT(Metadata!AA829)=Metadata!AA829)),Metadata!AA829&gt;0))</f>
        <v>0</v>
      </c>
      <c r="BN829">
        <f>AND(IF(Metadata!AB829="",FALSE,TRUE),exact(Metadata!AB829,"Not applicable"))</f>
        <v>0</v>
      </c>
      <c r="BO829">
        <f>IF(Metadata!AC829="",FALSE,TRUE)</f>
        <v>0</v>
      </c>
    </row>
    <row r="830" spans="1:67">
      <c r="A830" s="5">
        <f>IF(B830=" "," ",HYPERLINK(CONCATENATE("#metadata!",ADDRESS(INDEX($AI$2:$AI$1001,MATCH(ROWS($AG$2:AG830),$AG$2:$AG$1001,0),0),1)),INDEX($AL$2:$AL$1001,MATCH(ROWS($AG$2:AG830),$AG$2:$AG$1001,0),0)))</f>
        <v>0</v>
      </c>
      <c r="B830" s="4">
        <f>IF(OR(INDEX($AH$2:$AH$1001,MATCH(ROWS($AG$2:AG830),$AG$2:$AG$1001,0),1)&gt;=100000,INDEX($AN$1005:$BO$1005,1,MATCH(COLUMNS($AN$1006:AN1006),$AN$1006:$BO$1006,0))&gt;=100000), " ",IF(INDEX($AN$2:$BO$1001,MATCH(ROWS($AG$2:AG830),$AG$2:$AG$1001,0),MATCH(COLUMNS($AN$1006:AN1006),$AN$1006:$BO$1006,0)), HYPERLINK("#",""), HYPERLINK(CONCATENATE("#Metadata!", ADDRESS(INDEX($AI$2:$AI$1001,MATCH(ROWS($AG$2:AG830),$AG$2:$AG$1001,0),0), INDEX($AN$1004:$BO$1004,1,MATCH(COLUMNS($AN$1006:AN1006),$AN$1006:$BO$1006,0)))),"Fix")))</f>
        <v>0</v>
      </c>
      <c r="C830" s="4">
        <f>IF(OR(INDEX($AH$2:$AH$1001,MATCH(ROWS($AG$2:AG830),$AG$2:$AG$1001,0),1)&gt;=100000,INDEX($AN$1005:$BO$1005,1,MATCH(COLUMNS($AN$1006:AO1006),$AN$1006:$BO$1006,0))&gt;=100000), " ",IF(INDEX($AN$2:$BO$1001,MATCH(ROWS($AG$2:AG830),$AG$2:$AG$1001,0),MATCH(COLUMNS($AN$1006:AO1006),$AN$1006:$BO$1006,0)), HYPERLINK("#",""), HYPERLINK(CONCATENATE("#Metadata!", ADDRESS(INDEX($AI$2:$AI$1001,MATCH(ROWS($AG$2:AG830),$AG$2:$AG$1001,0),0), INDEX($AN$1004:$BO$1004,1,MATCH(COLUMNS($AN$1006:AO1006),$AN$1006:$BO$1006,0)))),"Fix")))</f>
        <v>0</v>
      </c>
      <c r="D830" s="4">
        <f>IF(OR(INDEX($AH$2:$AH$1001,MATCH(ROWS($AG$2:AG830),$AG$2:$AG$1001,0),1)&gt;=100000,INDEX($AN$1005:$BO$1005,1,MATCH(COLUMNS($AN$1006:AP1006),$AN$1006:$BO$1006,0))&gt;=100000), " ",IF(INDEX($AN$2:$BO$1001,MATCH(ROWS($AG$2:AG830),$AG$2:$AG$1001,0),MATCH(COLUMNS($AN$1006:AP1006),$AN$1006:$BO$1006,0)), HYPERLINK("#",""), HYPERLINK(CONCATENATE("#Metadata!", ADDRESS(INDEX($AI$2:$AI$1001,MATCH(ROWS($AG$2:AG830),$AG$2:$AG$1001,0),0), INDEX($AN$1004:$BO$1004,1,MATCH(COLUMNS($AN$1006:AP1006),$AN$1006:$BO$1006,0)))),"Fix")))</f>
        <v>0</v>
      </c>
      <c r="E830" s="4">
        <f>IF(OR(INDEX($AH$2:$AH$1001,MATCH(ROWS($AG$2:AG830),$AG$2:$AG$1001,0),1)&gt;=100000,INDEX($AN$1005:$BO$1005,1,MATCH(COLUMNS($AN$1006:AQ1006),$AN$1006:$BO$1006,0))&gt;=100000), " ",IF(INDEX($AN$2:$BO$1001,MATCH(ROWS($AG$2:AG830),$AG$2:$AG$1001,0),MATCH(COLUMNS($AN$1006:AQ1006),$AN$1006:$BO$1006,0)), HYPERLINK("#",""), HYPERLINK(CONCATENATE("#Metadata!", ADDRESS(INDEX($AI$2:$AI$1001,MATCH(ROWS($AG$2:AG830),$AG$2:$AG$1001,0),0), INDEX($AN$1004:$BO$1004,1,MATCH(COLUMNS($AN$1006:AQ1006),$AN$1006:$BO$1006,0)))),"Fix")))</f>
        <v>0</v>
      </c>
      <c r="F830" s="4">
        <f>IF(OR(INDEX($AH$2:$AH$1001,MATCH(ROWS($AG$2:AG830),$AG$2:$AG$1001,0),1)&gt;=100000,INDEX($AN$1005:$BO$1005,1,MATCH(COLUMNS($AN$1006:AR1006),$AN$1006:$BO$1006,0))&gt;=100000), " ",IF(INDEX($AN$2:$BO$1001,MATCH(ROWS($AG$2:AG830),$AG$2:$AG$1001,0),MATCH(COLUMNS($AN$1006:AR1006),$AN$1006:$BO$1006,0)), HYPERLINK("#",""), HYPERLINK(CONCATENATE("#Metadata!", ADDRESS(INDEX($AI$2:$AI$1001,MATCH(ROWS($AG$2:AG830),$AG$2:$AG$1001,0),0), INDEX($AN$1004:$BO$1004,1,MATCH(COLUMNS($AN$1006:AR1006),$AN$1006:$BO$1006,0)))),"Fix")))</f>
        <v>0</v>
      </c>
      <c r="G830" s="4">
        <f>IF(OR(INDEX($AH$2:$AH$1001,MATCH(ROWS($AG$2:AG830),$AG$2:$AG$1001,0),1)&gt;=100000,INDEX($AN$1005:$BO$1005,1,MATCH(COLUMNS($AN$1006:AS1006),$AN$1006:$BO$1006,0))&gt;=100000), " ",IF(INDEX($AN$2:$BO$1001,MATCH(ROWS($AG$2:AG830),$AG$2:$AG$1001,0),MATCH(COLUMNS($AN$1006:AS1006),$AN$1006:$BO$1006,0)), HYPERLINK("#",""), HYPERLINK(CONCATENATE("#Metadata!", ADDRESS(INDEX($AI$2:$AI$1001,MATCH(ROWS($AG$2:AG830),$AG$2:$AG$1001,0),0), INDEX($AN$1004:$BO$1004,1,MATCH(COLUMNS($AN$1006:AS1006),$AN$1006:$BO$1006,0)))),"Fix")))</f>
        <v>0</v>
      </c>
      <c r="H830" s="4">
        <f>IF(OR(INDEX($AH$2:$AH$1001,MATCH(ROWS($AG$2:AG830),$AG$2:$AG$1001,0),1)&gt;=100000,INDEX($AN$1005:$BO$1005,1,MATCH(COLUMNS($AN$1006:AT1006),$AN$1006:$BO$1006,0))&gt;=100000), " ",IF(INDEX($AN$2:$BO$1001,MATCH(ROWS($AG$2:AG830),$AG$2:$AG$1001,0),MATCH(COLUMNS($AN$1006:AT1006),$AN$1006:$BO$1006,0)), HYPERLINK("#",""), HYPERLINK(CONCATENATE("#Metadata!", ADDRESS(INDEX($AI$2:$AI$1001,MATCH(ROWS($AG$2:AG830),$AG$2:$AG$1001,0),0), INDEX($AN$1004:$BO$1004,1,MATCH(COLUMNS($AN$1006:AT1006),$AN$1006:$BO$1006,0)))),"Fix")))</f>
        <v>0</v>
      </c>
      <c r="I830" s="4">
        <f>IF(OR(INDEX($AH$2:$AH$1001,MATCH(ROWS($AG$2:AG830),$AG$2:$AG$1001,0),1)&gt;=100000,INDEX($AN$1005:$BO$1005,1,MATCH(COLUMNS($AN$1006:AU1006),$AN$1006:$BO$1006,0))&gt;=100000), " ",IF(INDEX($AN$2:$BO$1001,MATCH(ROWS($AG$2:AG830),$AG$2:$AG$1001,0),MATCH(COLUMNS($AN$1006:AU1006),$AN$1006:$BO$1006,0)), HYPERLINK("#",""), HYPERLINK(CONCATENATE("#Metadata!", ADDRESS(INDEX($AI$2:$AI$1001,MATCH(ROWS($AG$2:AG830),$AG$2:$AG$1001,0),0), INDEX($AN$1004:$BO$1004,1,MATCH(COLUMNS($AN$1006:AU1006),$AN$1006:$BO$1006,0)))),"Fix")))</f>
        <v>0</v>
      </c>
      <c r="J830" s="4">
        <f>IF(OR(INDEX($AH$2:$AH$1001,MATCH(ROWS($AG$2:AG830),$AG$2:$AG$1001,0),1)&gt;=100000,INDEX($AN$1005:$BO$1005,1,MATCH(COLUMNS($AN$1006:AV1006),$AN$1006:$BO$1006,0))&gt;=100000), " ",IF(INDEX($AN$2:$BO$1001,MATCH(ROWS($AG$2:AG830),$AG$2:$AG$1001,0),MATCH(COLUMNS($AN$1006:AV1006),$AN$1006:$BO$1006,0)), HYPERLINK("#",""), HYPERLINK(CONCATENATE("#Metadata!", ADDRESS(INDEX($AI$2:$AI$1001,MATCH(ROWS($AG$2:AG830),$AG$2:$AG$1001,0),0), INDEX($AN$1004:$BO$1004,1,MATCH(COLUMNS($AN$1006:AV1006),$AN$1006:$BO$1006,0)))),"Fix")))</f>
        <v>0</v>
      </c>
      <c r="K830" s="4">
        <f>IF(OR(INDEX($AH$2:$AH$1001,MATCH(ROWS($AG$2:AG830),$AG$2:$AG$1001,0),1)&gt;=100000,INDEX($AN$1005:$BO$1005,1,MATCH(COLUMNS($AN$1006:AW1006),$AN$1006:$BO$1006,0))&gt;=100000), " ",IF(INDEX($AN$2:$BO$1001,MATCH(ROWS($AG$2:AG830),$AG$2:$AG$1001,0),MATCH(COLUMNS($AN$1006:AW1006),$AN$1006:$BO$1006,0)), HYPERLINK("#",""), HYPERLINK(CONCATENATE("#Metadata!", ADDRESS(INDEX($AI$2:$AI$1001,MATCH(ROWS($AG$2:AG830),$AG$2:$AG$1001,0),0), INDEX($AN$1004:$BO$1004,1,MATCH(COLUMNS($AN$1006:AW1006),$AN$1006:$BO$1006,0)))),"Fix")))</f>
        <v>0</v>
      </c>
      <c r="L830" s="4">
        <f>IF(OR(INDEX($AH$2:$AH$1001,MATCH(ROWS($AG$2:AG830),$AG$2:$AG$1001,0),1)&gt;=100000,INDEX($AN$1005:$BO$1005,1,MATCH(COLUMNS($AN$1006:AX1006),$AN$1006:$BO$1006,0))&gt;=100000), " ",IF(INDEX($AN$2:$BO$1001,MATCH(ROWS($AG$2:AG830),$AG$2:$AG$1001,0),MATCH(COLUMNS($AN$1006:AX1006),$AN$1006:$BO$1006,0)), HYPERLINK("#",""), HYPERLINK(CONCATENATE("#Metadata!", ADDRESS(INDEX($AI$2:$AI$1001,MATCH(ROWS($AG$2:AG830),$AG$2:$AG$1001,0),0), INDEX($AN$1004:$BO$1004,1,MATCH(COLUMNS($AN$1006:AX1006),$AN$1006:$BO$1006,0)))),"Fix")))</f>
        <v>0</v>
      </c>
      <c r="M830" s="4">
        <f>IF(OR(INDEX($AH$2:$AH$1001,MATCH(ROWS($AG$2:AG830),$AG$2:$AG$1001,0),1)&gt;=100000,INDEX($AN$1005:$BO$1005,1,MATCH(COLUMNS($AN$1006:AY1006),$AN$1006:$BO$1006,0))&gt;=100000), " ",IF(INDEX($AN$2:$BO$1001,MATCH(ROWS($AG$2:AG830),$AG$2:$AG$1001,0),MATCH(COLUMNS($AN$1006:AY1006),$AN$1006:$BO$1006,0)), HYPERLINK("#",""), HYPERLINK(CONCATENATE("#Metadata!", ADDRESS(INDEX($AI$2:$AI$1001,MATCH(ROWS($AG$2:AG830),$AG$2:$AG$1001,0),0), INDEX($AN$1004:$BO$1004,1,MATCH(COLUMNS($AN$1006:AY1006),$AN$1006:$BO$1006,0)))),"Fix")))</f>
        <v>0</v>
      </c>
      <c r="N830" s="4">
        <f>IF(OR(INDEX($AH$2:$AH$1001,MATCH(ROWS($AG$2:AG830),$AG$2:$AG$1001,0),1)&gt;=100000,INDEX($AN$1005:$BO$1005,1,MATCH(COLUMNS($AN$1006:AZ1006),$AN$1006:$BO$1006,0))&gt;=100000), " ",IF(INDEX($AN$2:$BO$1001,MATCH(ROWS($AG$2:AG830),$AG$2:$AG$1001,0),MATCH(COLUMNS($AN$1006:AZ1006),$AN$1006:$BO$1006,0)), HYPERLINK("#",""), HYPERLINK(CONCATENATE("#Metadata!", ADDRESS(INDEX($AI$2:$AI$1001,MATCH(ROWS($AG$2:AG830),$AG$2:$AG$1001,0),0), INDEX($AN$1004:$BO$1004,1,MATCH(COLUMNS($AN$1006:AZ1006),$AN$1006:$BO$1006,0)))),"Fix")))</f>
        <v>0</v>
      </c>
      <c r="O830" s="4">
        <f>IF(OR(INDEX($AH$2:$AH$1001,MATCH(ROWS($AG$2:AG830),$AG$2:$AG$1001,0),1)&gt;=100000,INDEX($AN$1005:$BO$1005,1,MATCH(COLUMNS($AN$1006:BA1006),$AN$1006:$BO$1006,0))&gt;=100000), " ",IF(INDEX($AN$2:$BO$1001,MATCH(ROWS($AG$2:AG830),$AG$2:$AG$1001,0),MATCH(COLUMNS($AN$1006:BA1006),$AN$1006:$BO$1006,0)), HYPERLINK("#",""), HYPERLINK(CONCATENATE("#Metadata!", ADDRESS(INDEX($AI$2:$AI$1001,MATCH(ROWS($AG$2:AG830),$AG$2:$AG$1001,0),0), INDEX($AN$1004:$BO$1004,1,MATCH(COLUMNS($AN$1006:BA1006),$AN$1006:$BO$1006,0)))),"Fix")))</f>
        <v>0</v>
      </c>
      <c r="P830" s="4">
        <f>IF(OR(INDEX($AH$2:$AH$1001,MATCH(ROWS($AG$2:AG830),$AG$2:$AG$1001,0),1)&gt;=100000,INDEX($AN$1005:$BO$1005,1,MATCH(COLUMNS($AN$1006:BB1006),$AN$1006:$BO$1006,0))&gt;=100000), " ",IF(INDEX($AN$2:$BO$1001,MATCH(ROWS($AG$2:AG830),$AG$2:$AG$1001,0),MATCH(COLUMNS($AN$1006:BB1006),$AN$1006:$BO$1006,0)), HYPERLINK("#",""), HYPERLINK(CONCATENATE("#Metadata!", ADDRESS(INDEX($AI$2:$AI$1001,MATCH(ROWS($AG$2:AG830),$AG$2:$AG$1001,0),0), INDEX($AN$1004:$BO$1004,1,MATCH(COLUMNS($AN$1006:BB1006),$AN$1006:$BO$1006,0)))),"Fix")))</f>
        <v>0</v>
      </c>
      <c r="Q830" s="4">
        <f>IF(OR(INDEX($AH$2:$AH$1001,MATCH(ROWS($AG$2:AG830),$AG$2:$AG$1001,0),1)&gt;=100000,INDEX($AN$1005:$BO$1005,1,MATCH(COLUMNS($AN$1006:BC1006),$AN$1006:$BO$1006,0))&gt;=100000), " ",IF(INDEX($AN$2:$BO$1001,MATCH(ROWS($AG$2:AG830),$AG$2:$AG$1001,0),MATCH(COLUMNS($AN$1006:BC1006),$AN$1006:$BO$1006,0)), HYPERLINK("#",""), HYPERLINK(CONCATENATE("#Metadata!", ADDRESS(INDEX($AI$2:$AI$1001,MATCH(ROWS($AG$2:AG830),$AG$2:$AG$1001,0),0), INDEX($AN$1004:$BO$1004,1,MATCH(COLUMNS($AN$1006:BC1006),$AN$1006:$BO$1006,0)))),"Fix")))</f>
        <v>0</v>
      </c>
      <c r="R830" s="4">
        <f>IF(OR(INDEX($AH$2:$AH$1001,MATCH(ROWS($AG$2:AG830),$AG$2:$AG$1001,0),1)&gt;=100000,INDEX($AN$1005:$BO$1005,1,MATCH(COLUMNS($AN$1006:BD1006),$AN$1006:$BO$1006,0))&gt;=100000), " ",IF(INDEX($AN$2:$BO$1001,MATCH(ROWS($AG$2:AG830),$AG$2:$AG$1001,0),MATCH(COLUMNS($AN$1006:BD1006),$AN$1006:$BO$1006,0)), HYPERLINK("#",""), HYPERLINK(CONCATENATE("#Metadata!", ADDRESS(INDEX($AI$2:$AI$1001,MATCH(ROWS($AG$2:AG830),$AG$2:$AG$1001,0),0), INDEX($AN$1004:$BO$1004,1,MATCH(COLUMNS($AN$1006:BD1006),$AN$1006:$BO$1006,0)))),"Fix")))</f>
        <v>0</v>
      </c>
      <c r="S830" s="4">
        <f>IF(OR(INDEX($AH$2:$AH$1001,MATCH(ROWS($AG$2:AG830),$AG$2:$AG$1001,0),1)&gt;=100000,INDEX($AN$1005:$BO$1005,1,MATCH(COLUMNS($AN$1006:BE1006),$AN$1006:$BO$1006,0))&gt;=100000), " ",IF(INDEX($AN$2:$BO$1001,MATCH(ROWS($AG$2:AG830),$AG$2:$AG$1001,0),MATCH(COLUMNS($AN$1006:BE1006),$AN$1006:$BO$1006,0)), HYPERLINK("#",""), HYPERLINK(CONCATENATE("#Metadata!", ADDRESS(INDEX($AI$2:$AI$1001,MATCH(ROWS($AG$2:AG830),$AG$2:$AG$1001,0),0), INDEX($AN$1004:$BO$1004,1,MATCH(COLUMNS($AN$1006:BE1006),$AN$1006:$BO$1006,0)))),"Fix")))</f>
        <v>0</v>
      </c>
      <c r="T830" s="4">
        <f>IF(OR(INDEX($AH$2:$AH$1001,MATCH(ROWS($AG$2:AG830),$AG$2:$AG$1001,0),1)&gt;=100000,INDEX($AN$1005:$BO$1005,1,MATCH(COLUMNS($AN$1006:BF1006),$AN$1006:$BO$1006,0))&gt;=100000), " ",IF(INDEX($AN$2:$BO$1001,MATCH(ROWS($AG$2:AG830),$AG$2:$AG$1001,0),MATCH(COLUMNS($AN$1006:BF1006),$AN$1006:$BO$1006,0)), HYPERLINK("#",""), HYPERLINK(CONCATENATE("#Metadata!", ADDRESS(INDEX($AI$2:$AI$1001,MATCH(ROWS($AG$2:AG830),$AG$2:$AG$1001,0),0), INDEX($AN$1004:$BO$1004,1,MATCH(COLUMNS($AN$1006:BF1006),$AN$1006:$BO$1006,0)))),"Fix")))</f>
        <v>0</v>
      </c>
      <c r="U830" s="4">
        <f>IF(OR(INDEX($AH$2:$AH$1001,MATCH(ROWS($AG$2:AG830),$AG$2:$AG$1001,0),1)&gt;=100000,INDEX($AN$1005:$BO$1005,1,MATCH(COLUMNS($AN$1006:BG1006),$AN$1006:$BO$1006,0))&gt;=100000), " ",IF(INDEX($AN$2:$BO$1001,MATCH(ROWS($AG$2:AG830),$AG$2:$AG$1001,0),MATCH(COLUMNS($AN$1006:BG1006),$AN$1006:$BO$1006,0)), HYPERLINK("#",""), HYPERLINK(CONCATENATE("#Metadata!", ADDRESS(INDEX($AI$2:$AI$1001,MATCH(ROWS($AG$2:AG830),$AG$2:$AG$1001,0),0), INDEX($AN$1004:$BO$1004,1,MATCH(COLUMNS($AN$1006:BG1006),$AN$1006:$BO$1006,0)))),"Fix")))</f>
        <v>0</v>
      </c>
      <c r="V830" s="4">
        <f>IF(OR(INDEX($AH$2:$AH$1001,MATCH(ROWS($AG$2:AG830),$AG$2:$AG$1001,0),1)&gt;=100000,INDEX($AN$1005:$BO$1005,1,MATCH(COLUMNS($AN$1006:BH1006),$AN$1006:$BO$1006,0))&gt;=100000), " ",IF(INDEX($AN$2:$BO$1001,MATCH(ROWS($AG$2:AG830),$AG$2:$AG$1001,0),MATCH(COLUMNS($AN$1006:BH1006),$AN$1006:$BO$1006,0)), HYPERLINK("#",""), HYPERLINK(CONCATENATE("#Metadata!", ADDRESS(INDEX($AI$2:$AI$1001,MATCH(ROWS($AG$2:AG830),$AG$2:$AG$1001,0),0), INDEX($AN$1004:$BO$1004,1,MATCH(COLUMNS($AN$1006:BH1006),$AN$1006:$BO$1006,0)))),"Fix")))</f>
        <v>0</v>
      </c>
      <c r="W830" s="4">
        <f>IF(OR(INDEX($AH$2:$AH$1001,MATCH(ROWS($AG$2:AG830),$AG$2:$AG$1001,0),1)&gt;=100000,INDEX($AN$1005:$BO$1005,1,MATCH(COLUMNS($AN$1006:BI1006),$AN$1006:$BO$1006,0))&gt;=100000), " ",IF(INDEX($AN$2:$BO$1001,MATCH(ROWS($AG$2:AG830),$AG$2:$AG$1001,0),MATCH(COLUMNS($AN$1006:BI1006),$AN$1006:$BO$1006,0)), HYPERLINK("#",""), HYPERLINK(CONCATENATE("#Metadata!", ADDRESS(INDEX($AI$2:$AI$1001,MATCH(ROWS($AG$2:AG830),$AG$2:$AG$1001,0),0), INDEX($AN$1004:$BO$1004,1,MATCH(COLUMNS($AN$1006:BI1006),$AN$1006:$BO$1006,0)))),"Fix")))</f>
        <v>0</v>
      </c>
      <c r="X830" s="4">
        <f>IF(OR(INDEX($AH$2:$AH$1001,MATCH(ROWS($AG$2:AG830),$AG$2:$AG$1001,0),1)&gt;=100000,INDEX($AN$1005:$BO$1005,1,MATCH(COLUMNS($AN$1006:BJ1006),$AN$1006:$BO$1006,0))&gt;=100000), " ",IF(INDEX($AN$2:$BO$1001,MATCH(ROWS($AG$2:AG830),$AG$2:$AG$1001,0),MATCH(COLUMNS($AN$1006:BJ1006),$AN$1006:$BO$1006,0)), HYPERLINK("#",""), HYPERLINK(CONCATENATE("#Metadata!", ADDRESS(INDEX($AI$2:$AI$1001,MATCH(ROWS($AG$2:AG830),$AG$2:$AG$1001,0),0), INDEX($AN$1004:$BO$1004,1,MATCH(COLUMNS($AN$1006:BJ1006),$AN$1006:$BO$1006,0)))),"Fix")))</f>
        <v>0</v>
      </c>
      <c r="Y830" s="4">
        <f>IF(OR(INDEX($AH$2:$AH$1001,MATCH(ROWS($AG$2:AG830),$AG$2:$AG$1001,0),1)&gt;=100000,INDEX($AN$1005:$BO$1005,1,MATCH(COLUMNS($AN$1006:BK1006),$AN$1006:$BO$1006,0))&gt;=100000), " ",IF(INDEX($AN$2:$BO$1001,MATCH(ROWS($AG$2:AG830),$AG$2:$AG$1001,0),MATCH(COLUMNS($AN$1006:BK1006),$AN$1006:$BO$1006,0)), HYPERLINK("#",""), HYPERLINK(CONCATENATE("#Metadata!", ADDRESS(INDEX($AI$2:$AI$1001,MATCH(ROWS($AG$2:AG830),$AG$2:$AG$1001,0),0), INDEX($AN$1004:$BO$1004,1,MATCH(COLUMNS($AN$1006:BK1006),$AN$1006:$BO$1006,0)))),"Fix")))</f>
        <v>0</v>
      </c>
      <c r="Z830" s="4">
        <f>IF(OR(INDEX($AH$2:$AH$1001,MATCH(ROWS($AG$2:AG830),$AG$2:$AG$1001,0),1)&gt;=100000,INDEX($AN$1005:$BO$1005,1,MATCH(COLUMNS($AN$1006:BL1006),$AN$1006:$BO$1006,0))&gt;=100000), " ",IF(INDEX($AN$2:$BO$1001,MATCH(ROWS($AG$2:AG830),$AG$2:$AG$1001,0),MATCH(COLUMNS($AN$1006:BL1006),$AN$1006:$BO$1006,0)), HYPERLINK("#",""), HYPERLINK(CONCATENATE("#Metadata!", ADDRESS(INDEX($AI$2:$AI$1001,MATCH(ROWS($AG$2:AG830),$AG$2:$AG$1001,0),0), INDEX($AN$1004:$BO$1004,1,MATCH(COLUMNS($AN$1006:BL1006),$AN$1006:$BO$1006,0)))),"Fix")))</f>
        <v>0</v>
      </c>
      <c r="AA830" s="4">
        <f>IF(OR(INDEX($AH$2:$AH$1001,MATCH(ROWS($AG$2:AG830),$AG$2:$AG$1001,0),1)&gt;=100000,INDEX($AN$1005:$BO$1005,1,MATCH(COLUMNS($AN$1006:BM1006),$AN$1006:$BO$1006,0))&gt;=100000), " ",IF(INDEX($AN$2:$BO$1001,MATCH(ROWS($AG$2:AG830),$AG$2:$AG$1001,0),MATCH(COLUMNS($AN$1006:BM1006),$AN$1006:$BO$1006,0)), HYPERLINK("#",""), HYPERLINK(CONCATENATE("#Metadata!", ADDRESS(INDEX($AI$2:$AI$1001,MATCH(ROWS($AG$2:AG830),$AG$2:$AG$1001,0),0), INDEX($AN$1004:$BO$1004,1,MATCH(COLUMNS($AN$1006:BM1006),$AN$1006:$BO$1006,0)))),"Fix")))</f>
        <v>0</v>
      </c>
      <c r="AB830" s="4">
        <f>IF(OR(INDEX($AH$2:$AH$1001,MATCH(ROWS($AG$2:AG830),$AG$2:$AG$1001,0),1)&gt;=100000,INDEX($AN$1005:$BO$1005,1,MATCH(COLUMNS($AN$1006:BN1006),$AN$1006:$BO$1006,0))&gt;=100000), " ",IF(INDEX($AN$2:$BO$1001,MATCH(ROWS($AG$2:AG830),$AG$2:$AG$1001,0),MATCH(COLUMNS($AN$1006:BN1006),$AN$1006:$BO$1006,0)), HYPERLINK("#",""), HYPERLINK(CONCATENATE("#Metadata!", ADDRESS(INDEX($AI$2:$AI$1001,MATCH(ROWS($AG$2:AG830),$AG$2:$AG$1001,0),0), INDEX($AN$1004:$BO$1004,1,MATCH(COLUMNS($AN$1006:BN1006),$AN$1006:$BO$1006,0)))),"Fix")))</f>
        <v>0</v>
      </c>
      <c r="AC830" s="4">
        <f>IF(OR(INDEX($AH$2:$AH$1001,MATCH(ROWS($AG$2:AG830),$AG$2:$AG$1001,0),1)&gt;=100000,INDEX($AN$1005:$BO$1005,1,MATCH(COLUMNS($AN$1006:BO1006),$AN$1006:$BO$1006,0))&gt;=100000), " ",IF(INDEX($AN$2:$BO$1001,MATCH(ROWS($AG$2:AG830),$AG$2:$AG$1001,0),MATCH(COLUMNS($AN$1006:BO1006),$AN$1006:$BO$1006,0)), HYPERLINK("#",""), HYPERLINK(CONCATENATE("#Metadata!", ADDRESS(INDEX($AI$2:$AI$1001,MATCH(ROWS($AG$2:AG830),$AG$2:$AG$1001,0),0), INDEX($AN$1004:$BO$1004,1,MATCH(COLUMNS($AN$1006:BO1006),$AN$1006:$BO$1006,0)))),"Fix")))</f>
        <v>0</v>
      </c>
      <c r="AG830">
        <v>0</v>
      </c>
      <c r="AH830">
        <v>0</v>
      </c>
      <c r="AI830">
        <v>0</v>
      </c>
      <c r="AJ830">
        <f>IF(AK830,TRUE,AND(AN830:BO830))</f>
        <v>0</v>
      </c>
      <c r="AK830">
        <f>COUNTBLANK(Metadata!B830:AC830)=COLUMNS(Metadata!B830:AC830)</f>
        <v>0</v>
      </c>
      <c r="AL830">
        <v>0</v>
      </c>
      <c r="AN830">
        <f>AND(IF(Metadata!B830="",FALSE,TRUE),COUNTIF(Metadata!B:B, Metadata!B830) = 1,NOT(ISERROR(SUMPRODUCT(SEARCH(MID(Metadata!B830,ROW(INDIRECT("1:"&amp;LEN(Metadata!B830))), 1),"0123456789abcdefghijklmnopqrstuvwxyzABCDEFGHIJKLMNOPQRSTUVWXYZ.")))))</f>
        <v>0</v>
      </c>
      <c r="AO830">
        <f>IF(Metadata!C830="",FALSE,TRUE)</f>
        <v>0</v>
      </c>
      <c r="AP830">
        <f>IF(Metadata!D830="",FALSE,TRUE)</f>
        <v>0</v>
      </c>
      <c r="AQ830">
        <f>OR(AND(IF(Metadata!E830="",FALSE,TRUE),OR(exact(Metadata!E830,"not collected"),exact(Metadata!E830,"not provided"),exact(Metadata!E830,"restricted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R830">
        <f>IF(Metadata!F830="",FALSE,TRUE)</f>
        <v>0</v>
      </c>
      <c r="AS830">
        <f>OR(AND(IF(Metadata!G830="",FALSE,TRUE),OR(exact(Metadata!G830,"not collected"),exact(Metadata!G830,"not provided"))),AND(IF(Metadata!G830="",FALSE,TRUE),OR(exact(Metadata!G830,"TRUE"),exact(Metadata!G830,"FALSE"))))</f>
        <v>0</v>
      </c>
      <c r="AT830">
        <f>OR(AND(IF(Metadata!H830="",FALSE,TRUE),OR(exact(Metadata!H830,"not collected"),exact(Metadata!H830,"not provided"),exact(Metadata!H830,"restricted access"))),AND(IF(Metadata!H830="",FALSE,ISNUMBER(VALUE(Metadata!H830))),Metadata!H830&gt;=-413.0))</f>
        <v>0</v>
      </c>
      <c r="AU830">
        <f>AND(IF(Metadata!I830="",FALSE,TRUE),exact(Metadata!I830,"meters"))</f>
        <v>0</v>
      </c>
      <c r="AV830">
        <f>AND(IF(Metadata!J830="",FALSE,TRUE),OR(exact(Metadata!J830,"Host-associated"),exact(Metadata!J830,"Free-living")))</f>
        <v>0</v>
      </c>
      <c r="AW830">
        <f>AND(IF(Metadata!K830="",FALSE,TRUE),OR(exact(Metadata!K830,"Animal"),exact(Metadata!K830,"Fungus"),exact(Metadata!K830,"Plant"),exact(Metadata!K830,"Saline"),exact(Metadata!K830,"Non-saline")))</f>
        <v>0</v>
      </c>
      <c r="AX830">
        <f>AND(IF(Metadata!L830="",FALSE,TRUE),OR(exact(Metadata!L830,"Plant secretion"),exact(Metadata!L830,"Plant rhizosphere"),exact(Metadata!L830,"Plant surface"),exact(Metadata!L830,"Plant corpus"),exact(Metadata!L830,"Fungus surface"),exact(Metadata!L830,"Fungus corpus"),exact(Metadata!L830,"Animal surface"),exact(Metadata!L830,"Animal proximal gut"),exact(Metadata!L830,"Animal corpus"),exact(Metadata!L830,"Animal distal gut"),exact(Metadata!L830,"Animal secretion"),exact(Metadata!L830,"Sub-surface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Y830">
        <f>IF(Metadata!M830="",FALSE,TRUE)</f>
        <v>0</v>
      </c>
      <c r="AZ830">
        <f>IF(Metadata!N830="",FALSE,TRUE)</f>
        <v>0</v>
      </c>
      <c r="BA830">
        <f>IF(Metadata!O830="",FALSE,TRUE)</f>
        <v>0</v>
      </c>
      <c r="BB830">
        <f>OR(AND(IF(Metadata!P830="",FALSE,TRUE),OR(exact(Metadata!P830,"not collected"),exact(Metadata!P830,"not provided"),exact(Metadata!P830,"restricted access"))),AND(IF(Metadata!P830="",FALSE,TRUE),OR(exact(Metadata!P830,"air"),exact(Metadata!P830,"built environment"),exact(Metadata!P830,"host-associated"),exact(Metadata!P830,"human-associated"),exact(Metadata!P830,"human-skin"),exact(Metadata!P830,"human-oral"),exact(Metadata!P830,"human-gut"),exact(Metadata!P830,"human-vaginal"),exact(Metadata!P830,"microbial mat/biofilm"),exact(Metadata!P830,"misc environment"),exact(Metadata!P830,"plant-associated"),exact(Metadata!P830,"sediment"),exact(Metadata!P830,"soil"),exact(Metadata!P830,"wastewater/sludge"),exact(Metadata!P830,"water"))))</f>
        <v>0</v>
      </c>
      <c r="BC830">
        <f>IF(Metadata!Q830="",FALSE,TRUE)</f>
        <v>0</v>
      </c>
      <c r="BD830">
        <f>IF(Metadata!R830="",FALSE,TRUE)</f>
        <v>0</v>
      </c>
      <c r="BE830">
        <f>OR(AND(IF(Metadata!S830="",FALSE,TRUE),OR(exact(Metadata!S830,"not collected"),exact(Metadata!S830,"not provided"),exact(Metadata!S830,"restricted access"))),AND(IF(Metadata!S830="",FALSE,ISNUMBER(VALUE(Metadata!S830))),Metadata!S830&gt;=-90.00,Metadata!S830&lt;=90.00))</f>
        <v>0</v>
      </c>
      <c r="BF830">
        <f>AND(IF(Metadata!T830="",FALSE,TRUE),exact(Metadata!T830,"Decimal degrees"))</f>
        <v>0</v>
      </c>
      <c r="BG830">
        <f>OR(AND(IF(Metadata!U830="",FALSE,TRUE),OR(exact(Metadata!U830,"not collected"),exact(Metadata!U830,"not provided"),exact(Metadata!U830,"restricted access"))),AND(IF(Metadata!U830="",FALSE,ISNUMBER(VALUE(Metadata!U830))),Metadata!U830&gt;=-180.00,Metadata!U830&lt;=180.00))</f>
        <v>0</v>
      </c>
      <c r="BH830">
        <f>AND(IF(Metadata!V830="",FALSE,TRUE),exact(Metadata!V830,"Decimal degrees"))</f>
        <v>0</v>
      </c>
      <c r="BI830">
        <f>IF(Metadata!W830="",FALSE,TRUE)</f>
        <v>0</v>
      </c>
      <c r="BJ830">
        <f>OR(AND(IF(Metadata!X830="",FALSE,TRUE),OR(exact(Metadata!X830,"not collected"),exact(Metadata!X830,"not provided"),exact(Metadata!X830,"restricted access"))),AND(IF(Metadata!X830="",FALSE,TRUE),OR(exact(Metadata!X830,"TRUE"),exact(Metadata!X830,"FALSE"))))</f>
        <v>0</v>
      </c>
      <c r="BK830">
        <f>AND(IF(Metadata!Y830="",FALSE,TRUE),exact(Metadata!Y830,"other"))</f>
        <v>0</v>
      </c>
      <c r="BL830">
        <f>IF(Metadata!Z830="",FALSE,TRUE)</f>
        <v>0</v>
      </c>
      <c r="BM830">
        <f>OR(AND(IF(Metadata!AA830="",FALSE,TRUE),OR(exact(Metadata!AA830,"not collected"),exact(Metadata!AA830,"not provided"))),AND(IF(Metadata!AA830="",FALSE,IF(ISERROR(INT(Metadata!AA830)),FALSE,INT(Metadata!AA830)=Metadata!AA830)),Metadata!AA830&gt;0))</f>
        <v>0</v>
      </c>
      <c r="BN830">
        <f>AND(IF(Metadata!AB830="",FALSE,TRUE),exact(Metadata!AB830,"Not applicable"))</f>
        <v>0</v>
      </c>
      <c r="BO830">
        <f>IF(Metadata!AC830="",FALSE,TRUE)</f>
        <v>0</v>
      </c>
    </row>
    <row r="831" spans="1:67">
      <c r="A831" s="5">
        <f>IF(B831=" "," ",HYPERLINK(CONCATENATE("#metadata!",ADDRESS(INDEX($AI$2:$AI$1001,MATCH(ROWS($AG$2:AG831),$AG$2:$AG$1001,0),0),1)),INDEX($AL$2:$AL$1001,MATCH(ROWS($AG$2:AG831),$AG$2:$AG$1001,0),0)))</f>
        <v>0</v>
      </c>
      <c r="B831" s="4">
        <f>IF(OR(INDEX($AH$2:$AH$1001,MATCH(ROWS($AG$2:AG831),$AG$2:$AG$1001,0),1)&gt;=100000,INDEX($AN$1005:$BO$1005,1,MATCH(COLUMNS($AN$1006:AN1006),$AN$1006:$BO$1006,0))&gt;=100000), " ",IF(INDEX($AN$2:$BO$1001,MATCH(ROWS($AG$2:AG831),$AG$2:$AG$1001,0),MATCH(COLUMNS($AN$1006:AN1006),$AN$1006:$BO$1006,0)), HYPERLINK("#",""), HYPERLINK(CONCATENATE("#Metadata!", ADDRESS(INDEX($AI$2:$AI$1001,MATCH(ROWS($AG$2:AG831),$AG$2:$AG$1001,0),0), INDEX($AN$1004:$BO$1004,1,MATCH(COLUMNS($AN$1006:AN1006),$AN$1006:$BO$1006,0)))),"Fix")))</f>
        <v>0</v>
      </c>
      <c r="C831" s="4">
        <f>IF(OR(INDEX($AH$2:$AH$1001,MATCH(ROWS($AG$2:AG831),$AG$2:$AG$1001,0),1)&gt;=100000,INDEX($AN$1005:$BO$1005,1,MATCH(COLUMNS($AN$1006:AO1006),$AN$1006:$BO$1006,0))&gt;=100000), " ",IF(INDEX($AN$2:$BO$1001,MATCH(ROWS($AG$2:AG831),$AG$2:$AG$1001,0),MATCH(COLUMNS($AN$1006:AO1006),$AN$1006:$BO$1006,0)), HYPERLINK("#",""), HYPERLINK(CONCATENATE("#Metadata!", ADDRESS(INDEX($AI$2:$AI$1001,MATCH(ROWS($AG$2:AG831),$AG$2:$AG$1001,0),0), INDEX($AN$1004:$BO$1004,1,MATCH(COLUMNS($AN$1006:AO1006),$AN$1006:$BO$1006,0)))),"Fix")))</f>
        <v>0</v>
      </c>
      <c r="D831" s="4">
        <f>IF(OR(INDEX($AH$2:$AH$1001,MATCH(ROWS($AG$2:AG831),$AG$2:$AG$1001,0),1)&gt;=100000,INDEX($AN$1005:$BO$1005,1,MATCH(COLUMNS($AN$1006:AP1006),$AN$1006:$BO$1006,0))&gt;=100000), " ",IF(INDEX($AN$2:$BO$1001,MATCH(ROWS($AG$2:AG831),$AG$2:$AG$1001,0),MATCH(COLUMNS($AN$1006:AP1006),$AN$1006:$BO$1006,0)), HYPERLINK("#",""), HYPERLINK(CONCATENATE("#Metadata!", ADDRESS(INDEX($AI$2:$AI$1001,MATCH(ROWS($AG$2:AG831),$AG$2:$AG$1001,0),0), INDEX($AN$1004:$BO$1004,1,MATCH(COLUMNS($AN$1006:AP1006),$AN$1006:$BO$1006,0)))),"Fix")))</f>
        <v>0</v>
      </c>
      <c r="E831" s="4">
        <f>IF(OR(INDEX($AH$2:$AH$1001,MATCH(ROWS($AG$2:AG831),$AG$2:$AG$1001,0),1)&gt;=100000,INDEX($AN$1005:$BO$1005,1,MATCH(COLUMNS($AN$1006:AQ1006),$AN$1006:$BO$1006,0))&gt;=100000), " ",IF(INDEX($AN$2:$BO$1001,MATCH(ROWS($AG$2:AG831),$AG$2:$AG$1001,0),MATCH(COLUMNS($AN$1006:AQ1006),$AN$1006:$BO$1006,0)), HYPERLINK("#",""), HYPERLINK(CONCATENATE("#Metadata!", ADDRESS(INDEX($AI$2:$AI$1001,MATCH(ROWS($AG$2:AG831),$AG$2:$AG$1001,0),0), INDEX($AN$1004:$BO$1004,1,MATCH(COLUMNS($AN$1006:AQ1006),$AN$1006:$BO$1006,0)))),"Fix")))</f>
        <v>0</v>
      </c>
      <c r="F831" s="4">
        <f>IF(OR(INDEX($AH$2:$AH$1001,MATCH(ROWS($AG$2:AG831),$AG$2:$AG$1001,0),1)&gt;=100000,INDEX($AN$1005:$BO$1005,1,MATCH(COLUMNS($AN$1006:AR1006),$AN$1006:$BO$1006,0))&gt;=100000), " ",IF(INDEX($AN$2:$BO$1001,MATCH(ROWS($AG$2:AG831),$AG$2:$AG$1001,0),MATCH(COLUMNS($AN$1006:AR1006),$AN$1006:$BO$1006,0)), HYPERLINK("#",""), HYPERLINK(CONCATENATE("#Metadata!", ADDRESS(INDEX($AI$2:$AI$1001,MATCH(ROWS($AG$2:AG831),$AG$2:$AG$1001,0),0), INDEX($AN$1004:$BO$1004,1,MATCH(COLUMNS($AN$1006:AR1006),$AN$1006:$BO$1006,0)))),"Fix")))</f>
        <v>0</v>
      </c>
      <c r="G831" s="4">
        <f>IF(OR(INDEX($AH$2:$AH$1001,MATCH(ROWS($AG$2:AG831),$AG$2:$AG$1001,0),1)&gt;=100000,INDEX($AN$1005:$BO$1005,1,MATCH(COLUMNS($AN$1006:AS1006),$AN$1006:$BO$1006,0))&gt;=100000), " ",IF(INDEX($AN$2:$BO$1001,MATCH(ROWS($AG$2:AG831),$AG$2:$AG$1001,0),MATCH(COLUMNS($AN$1006:AS1006),$AN$1006:$BO$1006,0)), HYPERLINK("#",""), HYPERLINK(CONCATENATE("#Metadata!", ADDRESS(INDEX($AI$2:$AI$1001,MATCH(ROWS($AG$2:AG831),$AG$2:$AG$1001,0),0), INDEX($AN$1004:$BO$1004,1,MATCH(COLUMNS($AN$1006:AS1006),$AN$1006:$BO$1006,0)))),"Fix")))</f>
        <v>0</v>
      </c>
      <c r="H831" s="4">
        <f>IF(OR(INDEX($AH$2:$AH$1001,MATCH(ROWS($AG$2:AG831),$AG$2:$AG$1001,0),1)&gt;=100000,INDEX($AN$1005:$BO$1005,1,MATCH(COLUMNS($AN$1006:AT1006),$AN$1006:$BO$1006,0))&gt;=100000), " ",IF(INDEX($AN$2:$BO$1001,MATCH(ROWS($AG$2:AG831),$AG$2:$AG$1001,0),MATCH(COLUMNS($AN$1006:AT1006),$AN$1006:$BO$1006,0)), HYPERLINK("#",""), HYPERLINK(CONCATENATE("#Metadata!", ADDRESS(INDEX($AI$2:$AI$1001,MATCH(ROWS($AG$2:AG831),$AG$2:$AG$1001,0),0), INDEX($AN$1004:$BO$1004,1,MATCH(COLUMNS($AN$1006:AT1006),$AN$1006:$BO$1006,0)))),"Fix")))</f>
        <v>0</v>
      </c>
      <c r="I831" s="4">
        <f>IF(OR(INDEX($AH$2:$AH$1001,MATCH(ROWS($AG$2:AG831),$AG$2:$AG$1001,0),1)&gt;=100000,INDEX($AN$1005:$BO$1005,1,MATCH(COLUMNS($AN$1006:AU1006),$AN$1006:$BO$1006,0))&gt;=100000), " ",IF(INDEX($AN$2:$BO$1001,MATCH(ROWS($AG$2:AG831),$AG$2:$AG$1001,0),MATCH(COLUMNS($AN$1006:AU1006),$AN$1006:$BO$1006,0)), HYPERLINK("#",""), HYPERLINK(CONCATENATE("#Metadata!", ADDRESS(INDEX($AI$2:$AI$1001,MATCH(ROWS($AG$2:AG831),$AG$2:$AG$1001,0),0), INDEX($AN$1004:$BO$1004,1,MATCH(COLUMNS($AN$1006:AU1006),$AN$1006:$BO$1006,0)))),"Fix")))</f>
        <v>0</v>
      </c>
      <c r="J831" s="4">
        <f>IF(OR(INDEX($AH$2:$AH$1001,MATCH(ROWS($AG$2:AG831),$AG$2:$AG$1001,0),1)&gt;=100000,INDEX($AN$1005:$BO$1005,1,MATCH(COLUMNS($AN$1006:AV1006),$AN$1006:$BO$1006,0))&gt;=100000), " ",IF(INDEX($AN$2:$BO$1001,MATCH(ROWS($AG$2:AG831),$AG$2:$AG$1001,0),MATCH(COLUMNS($AN$1006:AV1006),$AN$1006:$BO$1006,0)), HYPERLINK("#",""), HYPERLINK(CONCATENATE("#Metadata!", ADDRESS(INDEX($AI$2:$AI$1001,MATCH(ROWS($AG$2:AG831),$AG$2:$AG$1001,0),0), INDEX($AN$1004:$BO$1004,1,MATCH(COLUMNS($AN$1006:AV1006),$AN$1006:$BO$1006,0)))),"Fix")))</f>
        <v>0</v>
      </c>
      <c r="K831" s="4">
        <f>IF(OR(INDEX($AH$2:$AH$1001,MATCH(ROWS($AG$2:AG831),$AG$2:$AG$1001,0),1)&gt;=100000,INDEX($AN$1005:$BO$1005,1,MATCH(COLUMNS($AN$1006:AW1006),$AN$1006:$BO$1006,0))&gt;=100000), " ",IF(INDEX($AN$2:$BO$1001,MATCH(ROWS($AG$2:AG831),$AG$2:$AG$1001,0),MATCH(COLUMNS($AN$1006:AW1006),$AN$1006:$BO$1006,0)), HYPERLINK("#",""), HYPERLINK(CONCATENATE("#Metadata!", ADDRESS(INDEX($AI$2:$AI$1001,MATCH(ROWS($AG$2:AG831),$AG$2:$AG$1001,0),0), INDEX($AN$1004:$BO$1004,1,MATCH(COLUMNS($AN$1006:AW1006),$AN$1006:$BO$1006,0)))),"Fix")))</f>
        <v>0</v>
      </c>
      <c r="L831" s="4">
        <f>IF(OR(INDEX($AH$2:$AH$1001,MATCH(ROWS($AG$2:AG831),$AG$2:$AG$1001,0),1)&gt;=100000,INDEX($AN$1005:$BO$1005,1,MATCH(COLUMNS($AN$1006:AX1006),$AN$1006:$BO$1006,0))&gt;=100000), " ",IF(INDEX($AN$2:$BO$1001,MATCH(ROWS($AG$2:AG831),$AG$2:$AG$1001,0),MATCH(COLUMNS($AN$1006:AX1006),$AN$1006:$BO$1006,0)), HYPERLINK("#",""), HYPERLINK(CONCATENATE("#Metadata!", ADDRESS(INDEX($AI$2:$AI$1001,MATCH(ROWS($AG$2:AG831),$AG$2:$AG$1001,0),0), INDEX($AN$1004:$BO$1004,1,MATCH(COLUMNS($AN$1006:AX1006),$AN$1006:$BO$1006,0)))),"Fix")))</f>
        <v>0</v>
      </c>
      <c r="M831" s="4">
        <f>IF(OR(INDEX($AH$2:$AH$1001,MATCH(ROWS($AG$2:AG831),$AG$2:$AG$1001,0),1)&gt;=100000,INDEX($AN$1005:$BO$1005,1,MATCH(COLUMNS($AN$1006:AY1006),$AN$1006:$BO$1006,0))&gt;=100000), " ",IF(INDEX($AN$2:$BO$1001,MATCH(ROWS($AG$2:AG831),$AG$2:$AG$1001,0),MATCH(COLUMNS($AN$1006:AY1006),$AN$1006:$BO$1006,0)), HYPERLINK("#",""), HYPERLINK(CONCATENATE("#Metadata!", ADDRESS(INDEX($AI$2:$AI$1001,MATCH(ROWS($AG$2:AG831),$AG$2:$AG$1001,0),0), INDEX($AN$1004:$BO$1004,1,MATCH(COLUMNS($AN$1006:AY1006),$AN$1006:$BO$1006,0)))),"Fix")))</f>
        <v>0</v>
      </c>
      <c r="N831" s="4">
        <f>IF(OR(INDEX($AH$2:$AH$1001,MATCH(ROWS($AG$2:AG831),$AG$2:$AG$1001,0),1)&gt;=100000,INDEX($AN$1005:$BO$1005,1,MATCH(COLUMNS($AN$1006:AZ1006),$AN$1006:$BO$1006,0))&gt;=100000), " ",IF(INDEX($AN$2:$BO$1001,MATCH(ROWS($AG$2:AG831),$AG$2:$AG$1001,0),MATCH(COLUMNS($AN$1006:AZ1006),$AN$1006:$BO$1006,0)), HYPERLINK("#",""), HYPERLINK(CONCATENATE("#Metadata!", ADDRESS(INDEX($AI$2:$AI$1001,MATCH(ROWS($AG$2:AG831),$AG$2:$AG$1001,0),0), INDEX($AN$1004:$BO$1004,1,MATCH(COLUMNS($AN$1006:AZ1006),$AN$1006:$BO$1006,0)))),"Fix")))</f>
        <v>0</v>
      </c>
      <c r="O831" s="4">
        <f>IF(OR(INDEX($AH$2:$AH$1001,MATCH(ROWS($AG$2:AG831),$AG$2:$AG$1001,0),1)&gt;=100000,INDEX($AN$1005:$BO$1005,1,MATCH(COLUMNS($AN$1006:BA1006),$AN$1006:$BO$1006,0))&gt;=100000), " ",IF(INDEX($AN$2:$BO$1001,MATCH(ROWS($AG$2:AG831),$AG$2:$AG$1001,0),MATCH(COLUMNS($AN$1006:BA1006),$AN$1006:$BO$1006,0)), HYPERLINK("#",""), HYPERLINK(CONCATENATE("#Metadata!", ADDRESS(INDEX($AI$2:$AI$1001,MATCH(ROWS($AG$2:AG831),$AG$2:$AG$1001,0),0), INDEX($AN$1004:$BO$1004,1,MATCH(COLUMNS($AN$1006:BA1006),$AN$1006:$BO$1006,0)))),"Fix")))</f>
        <v>0</v>
      </c>
      <c r="P831" s="4">
        <f>IF(OR(INDEX($AH$2:$AH$1001,MATCH(ROWS($AG$2:AG831),$AG$2:$AG$1001,0),1)&gt;=100000,INDEX($AN$1005:$BO$1005,1,MATCH(COLUMNS($AN$1006:BB1006),$AN$1006:$BO$1006,0))&gt;=100000), " ",IF(INDEX($AN$2:$BO$1001,MATCH(ROWS($AG$2:AG831),$AG$2:$AG$1001,0),MATCH(COLUMNS($AN$1006:BB1006),$AN$1006:$BO$1006,0)), HYPERLINK("#",""), HYPERLINK(CONCATENATE("#Metadata!", ADDRESS(INDEX($AI$2:$AI$1001,MATCH(ROWS($AG$2:AG831),$AG$2:$AG$1001,0),0), INDEX($AN$1004:$BO$1004,1,MATCH(COLUMNS($AN$1006:BB1006),$AN$1006:$BO$1006,0)))),"Fix")))</f>
        <v>0</v>
      </c>
      <c r="Q831" s="4">
        <f>IF(OR(INDEX($AH$2:$AH$1001,MATCH(ROWS($AG$2:AG831),$AG$2:$AG$1001,0),1)&gt;=100000,INDEX($AN$1005:$BO$1005,1,MATCH(COLUMNS($AN$1006:BC1006),$AN$1006:$BO$1006,0))&gt;=100000), " ",IF(INDEX($AN$2:$BO$1001,MATCH(ROWS($AG$2:AG831),$AG$2:$AG$1001,0),MATCH(COLUMNS($AN$1006:BC1006),$AN$1006:$BO$1006,0)), HYPERLINK("#",""), HYPERLINK(CONCATENATE("#Metadata!", ADDRESS(INDEX($AI$2:$AI$1001,MATCH(ROWS($AG$2:AG831),$AG$2:$AG$1001,0),0), INDEX($AN$1004:$BO$1004,1,MATCH(COLUMNS($AN$1006:BC1006),$AN$1006:$BO$1006,0)))),"Fix")))</f>
        <v>0</v>
      </c>
      <c r="R831" s="4">
        <f>IF(OR(INDEX($AH$2:$AH$1001,MATCH(ROWS($AG$2:AG831),$AG$2:$AG$1001,0),1)&gt;=100000,INDEX($AN$1005:$BO$1005,1,MATCH(COLUMNS($AN$1006:BD1006),$AN$1006:$BO$1006,0))&gt;=100000), " ",IF(INDEX($AN$2:$BO$1001,MATCH(ROWS($AG$2:AG831),$AG$2:$AG$1001,0),MATCH(COLUMNS($AN$1006:BD1006),$AN$1006:$BO$1006,0)), HYPERLINK("#",""), HYPERLINK(CONCATENATE("#Metadata!", ADDRESS(INDEX($AI$2:$AI$1001,MATCH(ROWS($AG$2:AG831),$AG$2:$AG$1001,0),0), INDEX($AN$1004:$BO$1004,1,MATCH(COLUMNS($AN$1006:BD1006),$AN$1006:$BO$1006,0)))),"Fix")))</f>
        <v>0</v>
      </c>
      <c r="S831" s="4">
        <f>IF(OR(INDEX($AH$2:$AH$1001,MATCH(ROWS($AG$2:AG831),$AG$2:$AG$1001,0),1)&gt;=100000,INDEX($AN$1005:$BO$1005,1,MATCH(COLUMNS($AN$1006:BE1006),$AN$1006:$BO$1006,0))&gt;=100000), " ",IF(INDEX($AN$2:$BO$1001,MATCH(ROWS($AG$2:AG831),$AG$2:$AG$1001,0),MATCH(COLUMNS($AN$1006:BE1006),$AN$1006:$BO$1006,0)), HYPERLINK("#",""), HYPERLINK(CONCATENATE("#Metadata!", ADDRESS(INDEX($AI$2:$AI$1001,MATCH(ROWS($AG$2:AG831),$AG$2:$AG$1001,0),0), INDEX($AN$1004:$BO$1004,1,MATCH(COLUMNS($AN$1006:BE1006),$AN$1006:$BO$1006,0)))),"Fix")))</f>
        <v>0</v>
      </c>
      <c r="T831" s="4">
        <f>IF(OR(INDEX($AH$2:$AH$1001,MATCH(ROWS($AG$2:AG831),$AG$2:$AG$1001,0),1)&gt;=100000,INDEX($AN$1005:$BO$1005,1,MATCH(COLUMNS($AN$1006:BF1006),$AN$1006:$BO$1006,0))&gt;=100000), " ",IF(INDEX($AN$2:$BO$1001,MATCH(ROWS($AG$2:AG831),$AG$2:$AG$1001,0),MATCH(COLUMNS($AN$1006:BF1006),$AN$1006:$BO$1006,0)), HYPERLINK("#",""), HYPERLINK(CONCATENATE("#Metadata!", ADDRESS(INDEX($AI$2:$AI$1001,MATCH(ROWS($AG$2:AG831),$AG$2:$AG$1001,0),0), INDEX($AN$1004:$BO$1004,1,MATCH(COLUMNS($AN$1006:BF1006),$AN$1006:$BO$1006,0)))),"Fix")))</f>
        <v>0</v>
      </c>
      <c r="U831" s="4">
        <f>IF(OR(INDEX($AH$2:$AH$1001,MATCH(ROWS($AG$2:AG831),$AG$2:$AG$1001,0),1)&gt;=100000,INDEX($AN$1005:$BO$1005,1,MATCH(COLUMNS($AN$1006:BG1006),$AN$1006:$BO$1006,0))&gt;=100000), " ",IF(INDEX($AN$2:$BO$1001,MATCH(ROWS($AG$2:AG831),$AG$2:$AG$1001,0),MATCH(COLUMNS($AN$1006:BG1006),$AN$1006:$BO$1006,0)), HYPERLINK("#",""), HYPERLINK(CONCATENATE("#Metadata!", ADDRESS(INDEX($AI$2:$AI$1001,MATCH(ROWS($AG$2:AG831),$AG$2:$AG$1001,0),0), INDEX($AN$1004:$BO$1004,1,MATCH(COLUMNS($AN$1006:BG1006),$AN$1006:$BO$1006,0)))),"Fix")))</f>
        <v>0</v>
      </c>
      <c r="V831" s="4">
        <f>IF(OR(INDEX($AH$2:$AH$1001,MATCH(ROWS($AG$2:AG831),$AG$2:$AG$1001,0),1)&gt;=100000,INDEX($AN$1005:$BO$1005,1,MATCH(COLUMNS($AN$1006:BH1006),$AN$1006:$BO$1006,0))&gt;=100000), " ",IF(INDEX($AN$2:$BO$1001,MATCH(ROWS($AG$2:AG831),$AG$2:$AG$1001,0),MATCH(COLUMNS($AN$1006:BH1006),$AN$1006:$BO$1006,0)), HYPERLINK("#",""), HYPERLINK(CONCATENATE("#Metadata!", ADDRESS(INDEX($AI$2:$AI$1001,MATCH(ROWS($AG$2:AG831),$AG$2:$AG$1001,0),0), INDEX($AN$1004:$BO$1004,1,MATCH(COLUMNS($AN$1006:BH1006),$AN$1006:$BO$1006,0)))),"Fix")))</f>
        <v>0</v>
      </c>
      <c r="W831" s="4">
        <f>IF(OR(INDEX($AH$2:$AH$1001,MATCH(ROWS($AG$2:AG831),$AG$2:$AG$1001,0),1)&gt;=100000,INDEX($AN$1005:$BO$1005,1,MATCH(COLUMNS($AN$1006:BI1006),$AN$1006:$BO$1006,0))&gt;=100000), " ",IF(INDEX($AN$2:$BO$1001,MATCH(ROWS($AG$2:AG831),$AG$2:$AG$1001,0),MATCH(COLUMNS($AN$1006:BI1006),$AN$1006:$BO$1006,0)), HYPERLINK("#",""), HYPERLINK(CONCATENATE("#Metadata!", ADDRESS(INDEX($AI$2:$AI$1001,MATCH(ROWS($AG$2:AG831),$AG$2:$AG$1001,0),0), INDEX($AN$1004:$BO$1004,1,MATCH(COLUMNS($AN$1006:BI1006),$AN$1006:$BO$1006,0)))),"Fix")))</f>
        <v>0</v>
      </c>
      <c r="X831" s="4">
        <f>IF(OR(INDEX($AH$2:$AH$1001,MATCH(ROWS($AG$2:AG831),$AG$2:$AG$1001,0),1)&gt;=100000,INDEX($AN$1005:$BO$1005,1,MATCH(COLUMNS($AN$1006:BJ1006),$AN$1006:$BO$1006,0))&gt;=100000), " ",IF(INDEX($AN$2:$BO$1001,MATCH(ROWS($AG$2:AG831),$AG$2:$AG$1001,0),MATCH(COLUMNS($AN$1006:BJ1006),$AN$1006:$BO$1006,0)), HYPERLINK("#",""), HYPERLINK(CONCATENATE("#Metadata!", ADDRESS(INDEX($AI$2:$AI$1001,MATCH(ROWS($AG$2:AG831),$AG$2:$AG$1001,0),0), INDEX($AN$1004:$BO$1004,1,MATCH(COLUMNS($AN$1006:BJ1006),$AN$1006:$BO$1006,0)))),"Fix")))</f>
        <v>0</v>
      </c>
      <c r="Y831" s="4">
        <f>IF(OR(INDEX($AH$2:$AH$1001,MATCH(ROWS($AG$2:AG831),$AG$2:$AG$1001,0),1)&gt;=100000,INDEX($AN$1005:$BO$1005,1,MATCH(COLUMNS($AN$1006:BK1006),$AN$1006:$BO$1006,0))&gt;=100000), " ",IF(INDEX($AN$2:$BO$1001,MATCH(ROWS($AG$2:AG831),$AG$2:$AG$1001,0),MATCH(COLUMNS($AN$1006:BK1006),$AN$1006:$BO$1006,0)), HYPERLINK("#",""), HYPERLINK(CONCATENATE("#Metadata!", ADDRESS(INDEX($AI$2:$AI$1001,MATCH(ROWS($AG$2:AG831),$AG$2:$AG$1001,0),0), INDEX($AN$1004:$BO$1004,1,MATCH(COLUMNS($AN$1006:BK1006),$AN$1006:$BO$1006,0)))),"Fix")))</f>
        <v>0</v>
      </c>
      <c r="Z831" s="4">
        <f>IF(OR(INDEX($AH$2:$AH$1001,MATCH(ROWS($AG$2:AG831),$AG$2:$AG$1001,0),1)&gt;=100000,INDEX($AN$1005:$BO$1005,1,MATCH(COLUMNS($AN$1006:BL1006),$AN$1006:$BO$1006,0))&gt;=100000), " ",IF(INDEX($AN$2:$BO$1001,MATCH(ROWS($AG$2:AG831),$AG$2:$AG$1001,0),MATCH(COLUMNS($AN$1006:BL1006),$AN$1006:$BO$1006,0)), HYPERLINK("#",""), HYPERLINK(CONCATENATE("#Metadata!", ADDRESS(INDEX($AI$2:$AI$1001,MATCH(ROWS($AG$2:AG831),$AG$2:$AG$1001,0),0), INDEX($AN$1004:$BO$1004,1,MATCH(COLUMNS($AN$1006:BL1006),$AN$1006:$BO$1006,0)))),"Fix")))</f>
        <v>0</v>
      </c>
      <c r="AA831" s="4">
        <f>IF(OR(INDEX($AH$2:$AH$1001,MATCH(ROWS($AG$2:AG831),$AG$2:$AG$1001,0),1)&gt;=100000,INDEX($AN$1005:$BO$1005,1,MATCH(COLUMNS($AN$1006:BM1006),$AN$1006:$BO$1006,0))&gt;=100000), " ",IF(INDEX($AN$2:$BO$1001,MATCH(ROWS($AG$2:AG831),$AG$2:$AG$1001,0),MATCH(COLUMNS($AN$1006:BM1006),$AN$1006:$BO$1006,0)), HYPERLINK("#",""), HYPERLINK(CONCATENATE("#Metadata!", ADDRESS(INDEX($AI$2:$AI$1001,MATCH(ROWS($AG$2:AG831),$AG$2:$AG$1001,0),0), INDEX($AN$1004:$BO$1004,1,MATCH(COLUMNS($AN$1006:BM1006),$AN$1006:$BO$1006,0)))),"Fix")))</f>
        <v>0</v>
      </c>
      <c r="AB831" s="4">
        <f>IF(OR(INDEX($AH$2:$AH$1001,MATCH(ROWS($AG$2:AG831),$AG$2:$AG$1001,0),1)&gt;=100000,INDEX($AN$1005:$BO$1005,1,MATCH(COLUMNS($AN$1006:BN1006),$AN$1006:$BO$1006,0))&gt;=100000), " ",IF(INDEX($AN$2:$BO$1001,MATCH(ROWS($AG$2:AG831),$AG$2:$AG$1001,0),MATCH(COLUMNS($AN$1006:BN1006),$AN$1006:$BO$1006,0)), HYPERLINK("#",""), HYPERLINK(CONCATENATE("#Metadata!", ADDRESS(INDEX($AI$2:$AI$1001,MATCH(ROWS($AG$2:AG831),$AG$2:$AG$1001,0),0), INDEX($AN$1004:$BO$1004,1,MATCH(COLUMNS($AN$1006:BN1006),$AN$1006:$BO$1006,0)))),"Fix")))</f>
        <v>0</v>
      </c>
      <c r="AC831" s="4">
        <f>IF(OR(INDEX($AH$2:$AH$1001,MATCH(ROWS($AG$2:AG831),$AG$2:$AG$1001,0),1)&gt;=100000,INDEX($AN$1005:$BO$1005,1,MATCH(COLUMNS($AN$1006:BO1006),$AN$1006:$BO$1006,0))&gt;=100000), " ",IF(INDEX($AN$2:$BO$1001,MATCH(ROWS($AG$2:AG831),$AG$2:$AG$1001,0),MATCH(COLUMNS($AN$1006:BO1006),$AN$1006:$BO$1006,0)), HYPERLINK("#",""), HYPERLINK(CONCATENATE("#Metadata!", ADDRESS(INDEX($AI$2:$AI$1001,MATCH(ROWS($AG$2:AG831),$AG$2:$AG$1001,0),0), INDEX($AN$1004:$BO$1004,1,MATCH(COLUMNS($AN$1006:BO1006),$AN$1006:$BO$1006,0)))),"Fix")))</f>
        <v>0</v>
      </c>
      <c r="AG831">
        <v>0</v>
      </c>
      <c r="AH831">
        <v>0</v>
      </c>
      <c r="AI831">
        <v>0</v>
      </c>
      <c r="AJ831">
        <f>IF(AK831,TRUE,AND(AN831:BO831))</f>
        <v>0</v>
      </c>
      <c r="AK831">
        <f>COUNTBLANK(Metadata!B831:AC831)=COLUMNS(Metadata!B831:AC831)</f>
        <v>0</v>
      </c>
      <c r="AL831">
        <v>0</v>
      </c>
      <c r="AN831">
        <f>AND(IF(Metadata!B831="",FALSE,TRUE),COUNTIF(Metadata!B:B, Metadata!B831) = 1,NOT(ISERROR(SUMPRODUCT(SEARCH(MID(Metadata!B831,ROW(INDIRECT("1:"&amp;LEN(Metadata!B831))), 1),"0123456789abcdefghijklmnopqrstuvwxyzABCDEFGHIJKLMNOPQRSTUVWXYZ.")))))</f>
        <v>0</v>
      </c>
      <c r="AO831">
        <f>IF(Metadata!C831="",FALSE,TRUE)</f>
        <v>0</v>
      </c>
      <c r="AP831">
        <f>IF(Metadata!D831="",FALSE,TRUE)</f>
        <v>0</v>
      </c>
      <c r="AQ831">
        <f>OR(AND(IF(Metadata!E831="",FALSE,TRUE),OR(exact(Metadata!E831,"not collected"),exact(Metadata!E831,"not provided"),exact(Metadata!E831,"restricted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R831">
        <f>IF(Metadata!F831="",FALSE,TRUE)</f>
        <v>0</v>
      </c>
      <c r="AS831">
        <f>OR(AND(IF(Metadata!G831="",FALSE,TRUE),OR(exact(Metadata!G831,"not collected"),exact(Metadata!G831,"not provided"))),AND(IF(Metadata!G831="",FALSE,TRUE),OR(exact(Metadata!G831,"TRUE"),exact(Metadata!G831,"FALSE"))))</f>
        <v>0</v>
      </c>
      <c r="AT831">
        <f>OR(AND(IF(Metadata!H831="",FALSE,TRUE),OR(exact(Metadata!H831,"not collected"),exact(Metadata!H831,"not provided"),exact(Metadata!H831,"restricted access"))),AND(IF(Metadata!H831="",FALSE,ISNUMBER(VALUE(Metadata!H831))),Metadata!H831&gt;=-413.0))</f>
        <v>0</v>
      </c>
      <c r="AU831">
        <f>AND(IF(Metadata!I831="",FALSE,TRUE),exact(Metadata!I831,"meters"))</f>
        <v>0</v>
      </c>
      <c r="AV831">
        <f>AND(IF(Metadata!J831="",FALSE,TRUE),OR(exact(Metadata!J831,"Host-associated"),exact(Metadata!J831,"Free-living")))</f>
        <v>0</v>
      </c>
      <c r="AW831">
        <f>AND(IF(Metadata!K831="",FALSE,TRUE),OR(exact(Metadata!K831,"Animal"),exact(Metadata!K831,"Fungus"),exact(Metadata!K831,"Plant"),exact(Metadata!K831,"Saline"),exact(Metadata!K831,"Non-saline")))</f>
        <v>0</v>
      </c>
      <c r="AX831">
        <f>AND(IF(Metadata!L831="",FALSE,TRUE),OR(exact(Metadata!L831,"Plant secretion"),exact(Metadata!L831,"Plant rhizosphere"),exact(Metadata!L831,"Plant surface"),exact(Metadata!L831,"Plant corpus"),exact(Metadata!L831,"Fungus surface"),exact(Metadata!L831,"Fungus corpus"),exact(Metadata!L831,"Animal surface"),exact(Metadata!L831,"Animal proximal gut"),exact(Metadata!L831,"Animal corpus"),exact(Metadata!L831,"Animal distal gut"),exact(Metadata!L831,"Animal secretion"),exact(Metadata!L831,"Sub-surface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Y831">
        <f>IF(Metadata!M831="",FALSE,TRUE)</f>
        <v>0</v>
      </c>
      <c r="AZ831">
        <f>IF(Metadata!N831="",FALSE,TRUE)</f>
        <v>0</v>
      </c>
      <c r="BA831">
        <f>IF(Metadata!O831="",FALSE,TRUE)</f>
        <v>0</v>
      </c>
      <c r="BB831">
        <f>OR(AND(IF(Metadata!P831="",FALSE,TRUE),OR(exact(Metadata!P831,"not collected"),exact(Metadata!P831,"not provided"),exact(Metadata!P831,"restricted access"))),AND(IF(Metadata!P831="",FALSE,TRUE),OR(exact(Metadata!P831,"air"),exact(Metadata!P831,"built environment"),exact(Metadata!P831,"host-associated"),exact(Metadata!P831,"human-associated"),exact(Metadata!P831,"human-skin"),exact(Metadata!P831,"human-oral"),exact(Metadata!P831,"human-gut"),exact(Metadata!P831,"human-vaginal"),exact(Metadata!P831,"microbial mat/biofilm"),exact(Metadata!P831,"misc environment"),exact(Metadata!P831,"plant-associated"),exact(Metadata!P831,"sediment"),exact(Metadata!P831,"soil"),exact(Metadata!P831,"wastewater/sludge"),exact(Metadata!P831,"water"))))</f>
        <v>0</v>
      </c>
      <c r="BC831">
        <f>IF(Metadata!Q831="",FALSE,TRUE)</f>
        <v>0</v>
      </c>
      <c r="BD831">
        <f>IF(Metadata!R831="",FALSE,TRUE)</f>
        <v>0</v>
      </c>
      <c r="BE831">
        <f>OR(AND(IF(Metadata!S831="",FALSE,TRUE),OR(exact(Metadata!S831,"not collected"),exact(Metadata!S831,"not provided"),exact(Metadata!S831,"restricted access"))),AND(IF(Metadata!S831="",FALSE,ISNUMBER(VALUE(Metadata!S831))),Metadata!S831&gt;=-90.00,Metadata!S831&lt;=90.00))</f>
        <v>0</v>
      </c>
      <c r="BF831">
        <f>AND(IF(Metadata!T831="",FALSE,TRUE),exact(Metadata!T831,"Decimal degrees"))</f>
        <v>0</v>
      </c>
      <c r="BG831">
        <f>OR(AND(IF(Metadata!U831="",FALSE,TRUE),OR(exact(Metadata!U831,"not collected"),exact(Metadata!U831,"not provided"),exact(Metadata!U831,"restricted access"))),AND(IF(Metadata!U831="",FALSE,ISNUMBER(VALUE(Metadata!U831))),Metadata!U831&gt;=-180.00,Metadata!U831&lt;=180.00))</f>
        <v>0</v>
      </c>
      <c r="BH831">
        <f>AND(IF(Metadata!V831="",FALSE,TRUE),exact(Metadata!V831,"Decimal degrees"))</f>
        <v>0</v>
      </c>
      <c r="BI831">
        <f>IF(Metadata!W831="",FALSE,TRUE)</f>
        <v>0</v>
      </c>
      <c r="BJ831">
        <f>OR(AND(IF(Metadata!X831="",FALSE,TRUE),OR(exact(Metadata!X831,"not collected"),exact(Metadata!X831,"not provided"),exact(Metadata!X831,"restricted access"))),AND(IF(Metadata!X831="",FALSE,TRUE),OR(exact(Metadata!X831,"TRUE"),exact(Metadata!X831,"FALSE"))))</f>
        <v>0</v>
      </c>
      <c r="BK831">
        <f>AND(IF(Metadata!Y831="",FALSE,TRUE),exact(Metadata!Y831,"other"))</f>
        <v>0</v>
      </c>
      <c r="BL831">
        <f>IF(Metadata!Z831="",FALSE,TRUE)</f>
        <v>0</v>
      </c>
      <c r="BM831">
        <f>OR(AND(IF(Metadata!AA831="",FALSE,TRUE),OR(exact(Metadata!AA831,"not collected"),exact(Metadata!AA831,"not provided"))),AND(IF(Metadata!AA831="",FALSE,IF(ISERROR(INT(Metadata!AA831)),FALSE,INT(Metadata!AA831)=Metadata!AA831)),Metadata!AA831&gt;0))</f>
        <v>0</v>
      </c>
      <c r="BN831">
        <f>AND(IF(Metadata!AB831="",FALSE,TRUE),exact(Metadata!AB831,"Not applicable"))</f>
        <v>0</v>
      </c>
      <c r="BO831">
        <f>IF(Metadata!AC831="",FALSE,TRUE)</f>
        <v>0</v>
      </c>
    </row>
    <row r="832" spans="1:67">
      <c r="A832" s="5">
        <f>IF(B832=" "," ",HYPERLINK(CONCATENATE("#metadata!",ADDRESS(INDEX($AI$2:$AI$1001,MATCH(ROWS($AG$2:AG832),$AG$2:$AG$1001,0),0),1)),INDEX($AL$2:$AL$1001,MATCH(ROWS($AG$2:AG832),$AG$2:$AG$1001,0),0)))</f>
        <v>0</v>
      </c>
      <c r="B832" s="4">
        <f>IF(OR(INDEX($AH$2:$AH$1001,MATCH(ROWS($AG$2:AG832),$AG$2:$AG$1001,0),1)&gt;=100000,INDEX($AN$1005:$BO$1005,1,MATCH(COLUMNS($AN$1006:AN1006),$AN$1006:$BO$1006,0))&gt;=100000), " ",IF(INDEX($AN$2:$BO$1001,MATCH(ROWS($AG$2:AG832),$AG$2:$AG$1001,0),MATCH(COLUMNS($AN$1006:AN1006),$AN$1006:$BO$1006,0)), HYPERLINK("#",""), HYPERLINK(CONCATENATE("#Metadata!", ADDRESS(INDEX($AI$2:$AI$1001,MATCH(ROWS($AG$2:AG832),$AG$2:$AG$1001,0),0), INDEX($AN$1004:$BO$1004,1,MATCH(COLUMNS($AN$1006:AN1006),$AN$1006:$BO$1006,0)))),"Fix")))</f>
        <v>0</v>
      </c>
      <c r="C832" s="4">
        <f>IF(OR(INDEX($AH$2:$AH$1001,MATCH(ROWS($AG$2:AG832),$AG$2:$AG$1001,0),1)&gt;=100000,INDEX($AN$1005:$BO$1005,1,MATCH(COLUMNS($AN$1006:AO1006),$AN$1006:$BO$1006,0))&gt;=100000), " ",IF(INDEX($AN$2:$BO$1001,MATCH(ROWS($AG$2:AG832),$AG$2:$AG$1001,0),MATCH(COLUMNS($AN$1006:AO1006),$AN$1006:$BO$1006,0)), HYPERLINK("#",""), HYPERLINK(CONCATENATE("#Metadata!", ADDRESS(INDEX($AI$2:$AI$1001,MATCH(ROWS($AG$2:AG832),$AG$2:$AG$1001,0),0), INDEX($AN$1004:$BO$1004,1,MATCH(COLUMNS($AN$1006:AO1006),$AN$1006:$BO$1006,0)))),"Fix")))</f>
        <v>0</v>
      </c>
      <c r="D832" s="4">
        <f>IF(OR(INDEX($AH$2:$AH$1001,MATCH(ROWS($AG$2:AG832),$AG$2:$AG$1001,0),1)&gt;=100000,INDEX($AN$1005:$BO$1005,1,MATCH(COLUMNS($AN$1006:AP1006),$AN$1006:$BO$1006,0))&gt;=100000), " ",IF(INDEX($AN$2:$BO$1001,MATCH(ROWS($AG$2:AG832),$AG$2:$AG$1001,0),MATCH(COLUMNS($AN$1006:AP1006),$AN$1006:$BO$1006,0)), HYPERLINK("#",""), HYPERLINK(CONCATENATE("#Metadata!", ADDRESS(INDEX($AI$2:$AI$1001,MATCH(ROWS($AG$2:AG832),$AG$2:$AG$1001,0),0), INDEX($AN$1004:$BO$1004,1,MATCH(COLUMNS($AN$1006:AP1006),$AN$1006:$BO$1006,0)))),"Fix")))</f>
        <v>0</v>
      </c>
      <c r="E832" s="4">
        <f>IF(OR(INDEX($AH$2:$AH$1001,MATCH(ROWS($AG$2:AG832),$AG$2:$AG$1001,0),1)&gt;=100000,INDEX($AN$1005:$BO$1005,1,MATCH(COLUMNS($AN$1006:AQ1006),$AN$1006:$BO$1006,0))&gt;=100000), " ",IF(INDEX($AN$2:$BO$1001,MATCH(ROWS($AG$2:AG832),$AG$2:$AG$1001,0),MATCH(COLUMNS($AN$1006:AQ1006),$AN$1006:$BO$1006,0)), HYPERLINK("#",""), HYPERLINK(CONCATENATE("#Metadata!", ADDRESS(INDEX($AI$2:$AI$1001,MATCH(ROWS($AG$2:AG832),$AG$2:$AG$1001,0),0), INDEX($AN$1004:$BO$1004,1,MATCH(COLUMNS($AN$1006:AQ1006),$AN$1006:$BO$1006,0)))),"Fix")))</f>
        <v>0</v>
      </c>
      <c r="F832" s="4">
        <f>IF(OR(INDEX($AH$2:$AH$1001,MATCH(ROWS($AG$2:AG832),$AG$2:$AG$1001,0),1)&gt;=100000,INDEX($AN$1005:$BO$1005,1,MATCH(COLUMNS($AN$1006:AR1006),$AN$1006:$BO$1006,0))&gt;=100000), " ",IF(INDEX($AN$2:$BO$1001,MATCH(ROWS($AG$2:AG832),$AG$2:$AG$1001,0),MATCH(COLUMNS($AN$1006:AR1006),$AN$1006:$BO$1006,0)), HYPERLINK("#",""), HYPERLINK(CONCATENATE("#Metadata!", ADDRESS(INDEX($AI$2:$AI$1001,MATCH(ROWS($AG$2:AG832),$AG$2:$AG$1001,0),0), INDEX($AN$1004:$BO$1004,1,MATCH(COLUMNS($AN$1006:AR1006),$AN$1006:$BO$1006,0)))),"Fix")))</f>
        <v>0</v>
      </c>
      <c r="G832" s="4">
        <f>IF(OR(INDEX($AH$2:$AH$1001,MATCH(ROWS($AG$2:AG832),$AG$2:$AG$1001,0),1)&gt;=100000,INDEX($AN$1005:$BO$1005,1,MATCH(COLUMNS($AN$1006:AS1006),$AN$1006:$BO$1006,0))&gt;=100000), " ",IF(INDEX($AN$2:$BO$1001,MATCH(ROWS($AG$2:AG832),$AG$2:$AG$1001,0),MATCH(COLUMNS($AN$1006:AS1006),$AN$1006:$BO$1006,0)), HYPERLINK("#",""), HYPERLINK(CONCATENATE("#Metadata!", ADDRESS(INDEX($AI$2:$AI$1001,MATCH(ROWS($AG$2:AG832),$AG$2:$AG$1001,0),0), INDEX($AN$1004:$BO$1004,1,MATCH(COLUMNS($AN$1006:AS1006),$AN$1006:$BO$1006,0)))),"Fix")))</f>
        <v>0</v>
      </c>
      <c r="H832" s="4">
        <f>IF(OR(INDEX($AH$2:$AH$1001,MATCH(ROWS($AG$2:AG832),$AG$2:$AG$1001,0),1)&gt;=100000,INDEX($AN$1005:$BO$1005,1,MATCH(COLUMNS($AN$1006:AT1006),$AN$1006:$BO$1006,0))&gt;=100000), " ",IF(INDEX($AN$2:$BO$1001,MATCH(ROWS($AG$2:AG832),$AG$2:$AG$1001,0),MATCH(COLUMNS($AN$1006:AT1006),$AN$1006:$BO$1006,0)), HYPERLINK("#",""), HYPERLINK(CONCATENATE("#Metadata!", ADDRESS(INDEX($AI$2:$AI$1001,MATCH(ROWS($AG$2:AG832),$AG$2:$AG$1001,0),0), INDEX($AN$1004:$BO$1004,1,MATCH(COLUMNS($AN$1006:AT1006),$AN$1006:$BO$1006,0)))),"Fix")))</f>
        <v>0</v>
      </c>
      <c r="I832" s="4">
        <f>IF(OR(INDEX($AH$2:$AH$1001,MATCH(ROWS($AG$2:AG832),$AG$2:$AG$1001,0),1)&gt;=100000,INDEX($AN$1005:$BO$1005,1,MATCH(COLUMNS($AN$1006:AU1006),$AN$1006:$BO$1006,0))&gt;=100000), " ",IF(INDEX($AN$2:$BO$1001,MATCH(ROWS($AG$2:AG832),$AG$2:$AG$1001,0),MATCH(COLUMNS($AN$1006:AU1006),$AN$1006:$BO$1006,0)), HYPERLINK("#",""), HYPERLINK(CONCATENATE("#Metadata!", ADDRESS(INDEX($AI$2:$AI$1001,MATCH(ROWS($AG$2:AG832),$AG$2:$AG$1001,0),0), INDEX($AN$1004:$BO$1004,1,MATCH(COLUMNS($AN$1006:AU1006),$AN$1006:$BO$1006,0)))),"Fix")))</f>
        <v>0</v>
      </c>
      <c r="J832" s="4">
        <f>IF(OR(INDEX($AH$2:$AH$1001,MATCH(ROWS($AG$2:AG832),$AG$2:$AG$1001,0),1)&gt;=100000,INDEX($AN$1005:$BO$1005,1,MATCH(COLUMNS($AN$1006:AV1006),$AN$1006:$BO$1006,0))&gt;=100000), " ",IF(INDEX($AN$2:$BO$1001,MATCH(ROWS($AG$2:AG832),$AG$2:$AG$1001,0),MATCH(COLUMNS($AN$1006:AV1006),$AN$1006:$BO$1006,0)), HYPERLINK("#",""), HYPERLINK(CONCATENATE("#Metadata!", ADDRESS(INDEX($AI$2:$AI$1001,MATCH(ROWS($AG$2:AG832),$AG$2:$AG$1001,0),0), INDEX($AN$1004:$BO$1004,1,MATCH(COLUMNS($AN$1006:AV1006),$AN$1006:$BO$1006,0)))),"Fix")))</f>
        <v>0</v>
      </c>
      <c r="K832" s="4">
        <f>IF(OR(INDEX($AH$2:$AH$1001,MATCH(ROWS($AG$2:AG832),$AG$2:$AG$1001,0),1)&gt;=100000,INDEX($AN$1005:$BO$1005,1,MATCH(COLUMNS($AN$1006:AW1006),$AN$1006:$BO$1006,0))&gt;=100000), " ",IF(INDEX($AN$2:$BO$1001,MATCH(ROWS($AG$2:AG832),$AG$2:$AG$1001,0),MATCH(COLUMNS($AN$1006:AW1006),$AN$1006:$BO$1006,0)), HYPERLINK("#",""), HYPERLINK(CONCATENATE("#Metadata!", ADDRESS(INDEX($AI$2:$AI$1001,MATCH(ROWS($AG$2:AG832),$AG$2:$AG$1001,0),0), INDEX($AN$1004:$BO$1004,1,MATCH(COLUMNS($AN$1006:AW1006),$AN$1006:$BO$1006,0)))),"Fix")))</f>
        <v>0</v>
      </c>
      <c r="L832" s="4">
        <f>IF(OR(INDEX($AH$2:$AH$1001,MATCH(ROWS($AG$2:AG832),$AG$2:$AG$1001,0),1)&gt;=100000,INDEX($AN$1005:$BO$1005,1,MATCH(COLUMNS($AN$1006:AX1006),$AN$1006:$BO$1006,0))&gt;=100000), " ",IF(INDEX($AN$2:$BO$1001,MATCH(ROWS($AG$2:AG832),$AG$2:$AG$1001,0),MATCH(COLUMNS($AN$1006:AX1006),$AN$1006:$BO$1006,0)), HYPERLINK("#",""), HYPERLINK(CONCATENATE("#Metadata!", ADDRESS(INDEX($AI$2:$AI$1001,MATCH(ROWS($AG$2:AG832),$AG$2:$AG$1001,0),0), INDEX($AN$1004:$BO$1004,1,MATCH(COLUMNS($AN$1006:AX1006),$AN$1006:$BO$1006,0)))),"Fix")))</f>
        <v>0</v>
      </c>
      <c r="M832" s="4">
        <f>IF(OR(INDEX($AH$2:$AH$1001,MATCH(ROWS($AG$2:AG832),$AG$2:$AG$1001,0),1)&gt;=100000,INDEX($AN$1005:$BO$1005,1,MATCH(COLUMNS($AN$1006:AY1006),$AN$1006:$BO$1006,0))&gt;=100000), " ",IF(INDEX($AN$2:$BO$1001,MATCH(ROWS($AG$2:AG832),$AG$2:$AG$1001,0),MATCH(COLUMNS($AN$1006:AY1006),$AN$1006:$BO$1006,0)), HYPERLINK("#",""), HYPERLINK(CONCATENATE("#Metadata!", ADDRESS(INDEX($AI$2:$AI$1001,MATCH(ROWS($AG$2:AG832),$AG$2:$AG$1001,0),0), INDEX($AN$1004:$BO$1004,1,MATCH(COLUMNS($AN$1006:AY1006),$AN$1006:$BO$1006,0)))),"Fix")))</f>
        <v>0</v>
      </c>
      <c r="N832" s="4">
        <f>IF(OR(INDEX($AH$2:$AH$1001,MATCH(ROWS($AG$2:AG832),$AG$2:$AG$1001,0),1)&gt;=100000,INDEX($AN$1005:$BO$1005,1,MATCH(COLUMNS($AN$1006:AZ1006),$AN$1006:$BO$1006,0))&gt;=100000), " ",IF(INDEX($AN$2:$BO$1001,MATCH(ROWS($AG$2:AG832),$AG$2:$AG$1001,0),MATCH(COLUMNS($AN$1006:AZ1006),$AN$1006:$BO$1006,0)), HYPERLINK("#",""), HYPERLINK(CONCATENATE("#Metadata!", ADDRESS(INDEX($AI$2:$AI$1001,MATCH(ROWS($AG$2:AG832),$AG$2:$AG$1001,0),0), INDEX($AN$1004:$BO$1004,1,MATCH(COLUMNS($AN$1006:AZ1006),$AN$1006:$BO$1006,0)))),"Fix")))</f>
        <v>0</v>
      </c>
      <c r="O832" s="4">
        <f>IF(OR(INDEX($AH$2:$AH$1001,MATCH(ROWS($AG$2:AG832),$AG$2:$AG$1001,0),1)&gt;=100000,INDEX($AN$1005:$BO$1005,1,MATCH(COLUMNS($AN$1006:BA1006),$AN$1006:$BO$1006,0))&gt;=100000), " ",IF(INDEX($AN$2:$BO$1001,MATCH(ROWS($AG$2:AG832),$AG$2:$AG$1001,0),MATCH(COLUMNS($AN$1006:BA1006),$AN$1006:$BO$1006,0)), HYPERLINK("#",""), HYPERLINK(CONCATENATE("#Metadata!", ADDRESS(INDEX($AI$2:$AI$1001,MATCH(ROWS($AG$2:AG832),$AG$2:$AG$1001,0),0), INDEX($AN$1004:$BO$1004,1,MATCH(COLUMNS($AN$1006:BA1006),$AN$1006:$BO$1006,0)))),"Fix")))</f>
        <v>0</v>
      </c>
      <c r="P832" s="4">
        <f>IF(OR(INDEX($AH$2:$AH$1001,MATCH(ROWS($AG$2:AG832),$AG$2:$AG$1001,0),1)&gt;=100000,INDEX($AN$1005:$BO$1005,1,MATCH(COLUMNS($AN$1006:BB1006),$AN$1006:$BO$1006,0))&gt;=100000), " ",IF(INDEX($AN$2:$BO$1001,MATCH(ROWS($AG$2:AG832),$AG$2:$AG$1001,0),MATCH(COLUMNS($AN$1006:BB1006),$AN$1006:$BO$1006,0)), HYPERLINK("#",""), HYPERLINK(CONCATENATE("#Metadata!", ADDRESS(INDEX($AI$2:$AI$1001,MATCH(ROWS($AG$2:AG832),$AG$2:$AG$1001,0),0), INDEX($AN$1004:$BO$1004,1,MATCH(COLUMNS($AN$1006:BB1006),$AN$1006:$BO$1006,0)))),"Fix")))</f>
        <v>0</v>
      </c>
      <c r="Q832" s="4">
        <f>IF(OR(INDEX($AH$2:$AH$1001,MATCH(ROWS($AG$2:AG832),$AG$2:$AG$1001,0),1)&gt;=100000,INDEX($AN$1005:$BO$1005,1,MATCH(COLUMNS($AN$1006:BC1006),$AN$1006:$BO$1006,0))&gt;=100000), " ",IF(INDEX($AN$2:$BO$1001,MATCH(ROWS($AG$2:AG832),$AG$2:$AG$1001,0),MATCH(COLUMNS($AN$1006:BC1006),$AN$1006:$BO$1006,0)), HYPERLINK("#",""), HYPERLINK(CONCATENATE("#Metadata!", ADDRESS(INDEX($AI$2:$AI$1001,MATCH(ROWS($AG$2:AG832),$AG$2:$AG$1001,0),0), INDEX($AN$1004:$BO$1004,1,MATCH(COLUMNS($AN$1006:BC1006),$AN$1006:$BO$1006,0)))),"Fix")))</f>
        <v>0</v>
      </c>
      <c r="R832" s="4">
        <f>IF(OR(INDEX($AH$2:$AH$1001,MATCH(ROWS($AG$2:AG832),$AG$2:$AG$1001,0),1)&gt;=100000,INDEX($AN$1005:$BO$1005,1,MATCH(COLUMNS($AN$1006:BD1006),$AN$1006:$BO$1006,0))&gt;=100000), " ",IF(INDEX($AN$2:$BO$1001,MATCH(ROWS($AG$2:AG832),$AG$2:$AG$1001,0),MATCH(COLUMNS($AN$1006:BD1006),$AN$1006:$BO$1006,0)), HYPERLINK("#",""), HYPERLINK(CONCATENATE("#Metadata!", ADDRESS(INDEX($AI$2:$AI$1001,MATCH(ROWS($AG$2:AG832),$AG$2:$AG$1001,0),0), INDEX($AN$1004:$BO$1004,1,MATCH(COLUMNS($AN$1006:BD1006),$AN$1006:$BO$1006,0)))),"Fix")))</f>
        <v>0</v>
      </c>
      <c r="S832" s="4">
        <f>IF(OR(INDEX($AH$2:$AH$1001,MATCH(ROWS($AG$2:AG832),$AG$2:$AG$1001,0),1)&gt;=100000,INDEX($AN$1005:$BO$1005,1,MATCH(COLUMNS($AN$1006:BE1006),$AN$1006:$BO$1006,0))&gt;=100000), " ",IF(INDEX($AN$2:$BO$1001,MATCH(ROWS($AG$2:AG832),$AG$2:$AG$1001,0),MATCH(COLUMNS($AN$1006:BE1006),$AN$1006:$BO$1006,0)), HYPERLINK("#",""), HYPERLINK(CONCATENATE("#Metadata!", ADDRESS(INDEX($AI$2:$AI$1001,MATCH(ROWS($AG$2:AG832),$AG$2:$AG$1001,0),0), INDEX($AN$1004:$BO$1004,1,MATCH(COLUMNS($AN$1006:BE1006),$AN$1006:$BO$1006,0)))),"Fix")))</f>
        <v>0</v>
      </c>
      <c r="T832" s="4">
        <f>IF(OR(INDEX($AH$2:$AH$1001,MATCH(ROWS($AG$2:AG832),$AG$2:$AG$1001,0),1)&gt;=100000,INDEX($AN$1005:$BO$1005,1,MATCH(COLUMNS($AN$1006:BF1006),$AN$1006:$BO$1006,0))&gt;=100000), " ",IF(INDEX($AN$2:$BO$1001,MATCH(ROWS($AG$2:AG832),$AG$2:$AG$1001,0),MATCH(COLUMNS($AN$1006:BF1006),$AN$1006:$BO$1006,0)), HYPERLINK("#",""), HYPERLINK(CONCATENATE("#Metadata!", ADDRESS(INDEX($AI$2:$AI$1001,MATCH(ROWS($AG$2:AG832),$AG$2:$AG$1001,0),0), INDEX($AN$1004:$BO$1004,1,MATCH(COLUMNS($AN$1006:BF1006),$AN$1006:$BO$1006,0)))),"Fix")))</f>
        <v>0</v>
      </c>
      <c r="U832" s="4">
        <f>IF(OR(INDEX($AH$2:$AH$1001,MATCH(ROWS($AG$2:AG832),$AG$2:$AG$1001,0),1)&gt;=100000,INDEX($AN$1005:$BO$1005,1,MATCH(COLUMNS($AN$1006:BG1006),$AN$1006:$BO$1006,0))&gt;=100000), " ",IF(INDEX($AN$2:$BO$1001,MATCH(ROWS($AG$2:AG832),$AG$2:$AG$1001,0),MATCH(COLUMNS($AN$1006:BG1006),$AN$1006:$BO$1006,0)), HYPERLINK("#",""), HYPERLINK(CONCATENATE("#Metadata!", ADDRESS(INDEX($AI$2:$AI$1001,MATCH(ROWS($AG$2:AG832),$AG$2:$AG$1001,0),0), INDEX($AN$1004:$BO$1004,1,MATCH(COLUMNS($AN$1006:BG1006),$AN$1006:$BO$1006,0)))),"Fix")))</f>
        <v>0</v>
      </c>
      <c r="V832" s="4">
        <f>IF(OR(INDEX($AH$2:$AH$1001,MATCH(ROWS($AG$2:AG832),$AG$2:$AG$1001,0),1)&gt;=100000,INDEX($AN$1005:$BO$1005,1,MATCH(COLUMNS($AN$1006:BH1006),$AN$1006:$BO$1006,0))&gt;=100000), " ",IF(INDEX($AN$2:$BO$1001,MATCH(ROWS($AG$2:AG832),$AG$2:$AG$1001,0),MATCH(COLUMNS($AN$1006:BH1006),$AN$1006:$BO$1006,0)), HYPERLINK("#",""), HYPERLINK(CONCATENATE("#Metadata!", ADDRESS(INDEX($AI$2:$AI$1001,MATCH(ROWS($AG$2:AG832),$AG$2:$AG$1001,0),0), INDEX($AN$1004:$BO$1004,1,MATCH(COLUMNS($AN$1006:BH1006),$AN$1006:$BO$1006,0)))),"Fix")))</f>
        <v>0</v>
      </c>
      <c r="W832" s="4">
        <f>IF(OR(INDEX($AH$2:$AH$1001,MATCH(ROWS($AG$2:AG832),$AG$2:$AG$1001,0),1)&gt;=100000,INDEX($AN$1005:$BO$1005,1,MATCH(COLUMNS($AN$1006:BI1006),$AN$1006:$BO$1006,0))&gt;=100000), " ",IF(INDEX($AN$2:$BO$1001,MATCH(ROWS($AG$2:AG832),$AG$2:$AG$1001,0),MATCH(COLUMNS($AN$1006:BI1006),$AN$1006:$BO$1006,0)), HYPERLINK("#",""), HYPERLINK(CONCATENATE("#Metadata!", ADDRESS(INDEX($AI$2:$AI$1001,MATCH(ROWS($AG$2:AG832),$AG$2:$AG$1001,0),0), INDEX($AN$1004:$BO$1004,1,MATCH(COLUMNS($AN$1006:BI1006),$AN$1006:$BO$1006,0)))),"Fix")))</f>
        <v>0</v>
      </c>
      <c r="X832" s="4">
        <f>IF(OR(INDEX($AH$2:$AH$1001,MATCH(ROWS($AG$2:AG832),$AG$2:$AG$1001,0),1)&gt;=100000,INDEX($AN$1005:$BO$1005,1,MATCH(COLUMNS($AN$1006:BJ1006),$AN$1006:$BO$1006,0))&gt;=100000), " ",IF(INDEX($AN$2:$BO$1001,MATCH(ROWS($AG$2:AG832),$AG$2:$AG$1001,0),MATCH(COLUMNS($AN$1006:BJ1006),$AN$1006:$BO$1006,0)), HYPERLINK("#",""), HYPERLINK(CONCATENATE("#Metadata!", ADDRESS(INDEX($AI$2:$AI$1001,MATCH(ROWS($AG$2:AG832),$AG$2:$AG$1001,0),0), INDEX($AN$1004:$BO$1004,1,MATCH(COLUMNS($AN$1006:BJ1006),$AN$1006:$BO$1006,0)))),"Fix")))</f>
        <v>0</v>
      </c>
      <c r="Y832" s="4">
        <f>IF(OR(INDEX($AH$2:$AH$1001,MATCH(ROWS($AG$2:AG832),$AG$2:$AG$1001,0),1)&gt;=100000,INDEX($AN$1005:$BO$1005,1,MATCH(COLUMNS($AN$1006:BK1006),$AN$1006:$BO$1006,0))&gt;=100000), " ",IF(INDEX($AN$2:$BO$1001,MATCH(ROWS($AG$2:AG832),$AG$2:$AG$1001,0),MATCH(COLUMNS($AN$1006:BK1006),$AN$1006:$BO$1006,0)), HYPERLINK("#",""), HYPERLINK(CONCATENATE("#Metadata!", ADDRESS(INDEX($AI$2:$AI$1001,MATCH(ROWS($AG$2:AG832),$AG$2:$AG$1001,0),0), INDEX($AN$1004:$BO$1004,1,MATCH(COLUMNS($AN$1006:BK1006),$AN$1006:$BO$1006,0)))),"Fix")))</f>
        <v>0</v>
      </c>
      <c r="Z832" s="4">
        <f>IF(OR(INDEX($AH$2:$AH$1001,MATCH(ROWS($AG$2:AG832),$AG$2:$AG$1001,0),1)&gt;=100000,INDEX($AN$1005:$BO$1005,1,MATCH(COLUMNS($AN$1006:BL1006),$AN$1006:$BO$1006,0))&gt;=100000), " ",IF(INDEX($AN$2:$BO$1001,MATCH(ROWS($AG$2:AG832),$AG$2:$AG$1001,0),MATCH(COLUMNS($AN$1006:BL1006),$AN$1006:$BO$1006,0)), HYPERLINK("#",""), HYPERLINK(CONCATENATE("#Metadata!", ADDRESS(INDEX($AI$2:$AI$1001,MATCH(ROWS($AG$2:AG832),$AG$2:$AG$1001,0),0), INDEX($AN$1004:$BO$1004,1,MATCH(COLUMNS($AN$1006:BL1006),$AN$1006:$BO$1006,0)))),"Fix")))</f>
        <v>0</v>
      </c>
      <c r="AA832" s="4">
        <f>IF(OR(INDEX($AH$2:$AH$1001,MATCH(ROWS($AG$2:AG832),$AG$2:$AG$1001,0),1)&gt;=100000,INDEX($AN$1005:$BO$1005,1,MATCH(COLUMNS($AN$1006:BM1006),$AN$1006:$BO$1006,0))&gt;=100000), " ",IF(INDEX($AN$2:$BO$1001,MATCH(ROWS($AG$2:AG832),$AG$2:$AG$1001,0),MATCH(COLUMNS($AN$1006:BM1006),$AN$1006:$BO$1006,0)), HYPERLINK("#",""), HYPERLINK(CONCATENATE("#Metadata!", ADDRESS(INDEX($AI$2:$AI$1001,MATCH(ROWS($AG$2:AG832),$AG$2:$AG$1001,0),0), INDEX($AN$1004:$BO$1004,1,MATCH(COLUMNS($AN$1006:BM1006),$AN$1006:$BO$1006,0)))),"Fix")))</f>
        <v>0</v>
      </c>
      <c r="AB832" s="4">
        <f>IF(OR(INDEX($AH$2:$AH$1001,MATCH(ROWS($AG$2:AG832),$AG$2:$AG$1001,0),1)&gt;=100000,INDEX($AN$1005:$BO$1005,1,MATCH(COLUMNS($AN$1006:BN1006),$AN$1006:$BO$1006,0))&gt;=100000), " ",IF(INDEX($AN$2:$BO$1001,MATCH(ROWS($AG$2:AG832),$AG$2:$AG$1001,0),MATCH(COLUMNS($AN$1006:BN1006),$AN$1006:$BO$1006,0)), HYPERLINK("#",""), HYPERLINK(CONCATENATE("#Metadata!", ADDRESS(INDEX($AI$2:$AI$1001,MATCH(ROWS($AG$2:AG832),$AG$2:$AG$1001,0),0), INDEX($AN$1004:$BO$1004,1,MATCH(COLUMNS($AN$1006:BN1006),$AN$1006:$BO$1006,0)))),"Fix")))</f>
        <v>0</v>
      </c>
      <c r="AC832" s="4">
        <f>IF(OR(INDEX($AH$2:$AH$1001,MATCH(ROWS($AG$2:AG832),$AG$2:$AG$1001,0),1)&gt;=100000,INDEX($AN$1005:$BO$1005,1,MATCH(COLUMNS($AN$1006:BO1006),$AN$1006:$BO$1006,0))&gt;=100000), " ",IF(INDEX($AN$2:$BO$1001,MATCH(ROWS($AG$2:AG832),$AG$2:$AG$1001,0),MATCH(COLUMNS($AN$1006:BO1006),$AN$1006:$BO$1006,0)), HYPERLINK("#",""), HYPERLINK(CONCATENATE("#Metadata!", ADDRESS(INDEX($AI$2:$AI$1001,MATCH(ROWS($AG$2:AG832),$AG$2:$AG$1001,0),0), INDEX($AN$1004:$BO$1004,1,MATCH(COLUMNS($AN$1006:BO1006),$AN$1006:$BO$1006,0)))),"Fix")))</f>
        <v>0</v>
      </c>
      <c r="AG832">
        <v>0</v>
      </c>
      <c r="AH832">
        <v>0</v>
      </c>
      <c r="AI832">
        <v>0</v>
      </c>
      <c r="AJ832">
        <f>IF(AK832,TRUE,AND(AN832:BO832))</f>
        <v>0</v>
      </c>
      <c r="AK832">
        <f>COUNTBLANK(Metadata!B832:AC832)=COLUMNS(Metadata!B832:AC832)</f>
        <v>0</v>
      </c>
      <c r="AL832">
        <v>0</v>
      </c>
      <c r="AN832">
        <f>AND(IF(Metadata!B832="",FALSE,TRUE),COUNTIF(Metadata!B:B, Metadata!B832) = 1,NOT(ISERROR(SUMPRODUCT(SEARCH(MID(Metadata!B832,ROW(INDIRECT("1:"&amp;LEN(Metadata!B832))), 1),"0123456789abcdefghijklmnopqrstuvwxyzABCDEFGHIJKLMNOPQRSTUVWXYZ.")))))</f>
        <v>0</v>
      </c>
      <c r="AO832">
        <f>IF(Metadata!C832="",FALSE,TRUE)</f>
        <v>0</v>
      </c>
      <c r="AP832">
        <f>IF(Metadata!D832="",FALSE,TRUE)</f>
        <v>0</v>
      </c>
      <c r="AQ832">
        <f>OR(AND(IF(Metadata!E832="",FALSE,TRUE),OR(exact(Metadata!E832,"not collected"),exact(Metadata!E832,"not provided"),exact(Metadata!E832,"restricted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R832">
        <f>IF(Metadata!F832="",FALSE,TRUE)</f>
        <v>0</v>
      </c>
      <c r="AS832">
        <f>OR(AND(IF(Metadata!G832="",FALSE,TRUE),OR(exact(Metadata!G832,"not collected"),exact(Metadata!G832,"not provided"))),AND(IF(Metadata!G832="",FALSE,TRUE),OR(exact(Metadata!G832,"TRUE"),exact(Metadata!G832,"FALSE"))))</f>
        <v>0</v>
      </c>
      <c r="AT832">
        <f>OR(AND(IF(Metadata!H832="",FALSE,TRUE),OR(exact(Metadata!H832,"not collected"),exact(Metadata!H832,"not provided"),exact(Metadata!H832,"restricted access"))),AND(IF(Metadata!H832="",FALSE,ISNUMBER(VALUE(Metadata!H832))),Metadata!H832&gt;=-413.0))</f>
        <v>0</v>
      </c>
      <c r="AU832">
        <f>AND(IF(Metadata!I832="",FALSE,TRUE),exact(Metadata!I832,"meters"))</f>
        <v>0</v>
      </c>
      <c r="AV832">
        <f>AND(IF(Metadata!J832="",FALSE,TRUE),OR(exact(Metadata!J832,"Host-associated"),exact(Metadata!J832,"Free-living")))</f>
        <v>0</v>
      </c>
      <c r="AW832">
        <f>AND(IF(Metadata!K832="",FALSE,TRUE),OR(exact(Metadata!K832,"Animal"),exact(Metadata!K832,"Fungus"),exact(Metadata!K832,"Plant"),exact(Metadata!K832,"Saline"),exact(Metadata!K832,"Non-saline")))</f>
        <v>0</v>
      </c>
      <c r="AX832">
        <f>AND(IF(Metadata!L832="",FALSE,TRUE),OR(exact(Metadata!L832,"Plant secretion"),exact(Metadata!L832,"Plant rhizosphere"),exact(Metadata!L832,"Plant surface"),exact(Metadata!L832,"Plant corpus"),exact(Metadata!L832,"Fungus surface"),exact(Metadata!L832,"Fungus corpus"),exact(Metadata!L832,"Animal surface"),exact(Metadata!L832,"Animal proximal gut"),exact(Metadata!L832,"Animal corpus"),exact(Metadata!L832,"Animal distal gut"),exact(Metadata!L832,"Animal secretion"),exact(Metadata!L832,"Sub-surface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Y832">
        <f>IF(Metadata!M832="",FALSE,TRUE)</f>
        <v>0</v>
      </c>
      <c r="AZ832">
        <f>IF(Metadata!N832="",FALSE,TRUE)</f>
        <v>0</v>
      </c>
      <c r="BA832">
        <f>IF(Metadata!O832="",FALSE,TRUE)</f>
        <v>0</v>
      </c>
      <c r="BB832">
        <f>OR(AND(IF(Metadata!P832="",FALSE,TRUE),OR(exact(Metadata!P832,"not collected"),exact(Metadata!P832,"not provided"),exact(Metadata!P832,"restricted access"))),AND(IF(Metadata!P832="",FALSE,TRUE),OR(exact(Metadata!P832,"air"),exact(Metadata!P832,"built environment"),exact(Metadata!P832,"host-associated"),exact(Metadata!P832,"human-associated"),exact(Metadata!P832,"human-skin"),exact(Metadata!P832,"human-oral"),exact(Metadata!P832,"human-gut"),exact(Metadata!P832,"human-vaginal"),exact(Metadata!P832,"microbial mat/biofilm"),exact(Metadata!P832,"misc environment"),exact(Metadata!P832,"plant-associated"),exact(Metadata!P832,"sediment"),exact(Metadata!P832,"soil"),exact(Metadata!P832,"wastewater/sludge"),exact(Metadata!P832,"water"))))</f>
        <v>0</v>
      </c>
      <c r="BC832">
        <f>IF(Metadata!Q832="",FALSE,TRUE)</f>
        <v>0</v>
      </c>
      <c r="BD832">
        <f>IF(Metadata!R832="",FALSE,TRUE)</f>
        <v>0</v>
      </c>
      <c r="BE832">
        <f>OR(AND(IF(Metadata!S832="",FALSE,TRUE),OR(exact(Metadata!S832,"not collected"),exact(Metadata!S832,"not provided"),exact(Metadata!S832,"restricted access"))),AND(IF(Metadata!S832="",FALSE,ISNUMBER(VALUE(Metadata!S832))),Metadata!S832&gt;=-90.00,Metadata!S832&lt;=90.00))</f>
        <v>0</v>
      </c>
      <c r="BF832">
        <f>AND(IF(Metadata!T832="",FALSE,TRUE),exact(Metadata!T832,"Decimal degrees"))</f>
        <v>0</v>
      </c>
      <c r="BG832">
        <f>OR(AND(IF(Metadata!U832="",FALSE,TRUE),OR(exact(Metadata!U832,"not collected"),exact(Metadata!U832,"not provided"),exact(Metadata!U832,"restricted access"))),AND(IF(Metadata!U832="",FALSE,ISNUMBER(VALUE(Metadata!U832))),Metadata!U832&gt;=-180.00,Metadata!U832&lt;=180.00))</f>
        <v>0</v>
      </c>
      <c r="BH832">
        <f>AND(IF(Metadata!V832="",FALSE,TRUE),exact(Metadata!V832,"Decimal degrees"))</f>
        <v>0</v>
      </c>
      <c r="BI832">
        <f>IF(Metadata!W832="",FALSE,TRUE)</f>
        <v>0</v>
      </c>
      <c r="BJ832">
        <f>OR(AND(IF(Metadata!X832="",FALSE,TRUE),OR(exact(Metadata!X832,"not collected"),exact(Metadata!X832,"not provided"),exact(Metadata!X832,"restricted access"))),AND(IF(Metadata!X832="",FALSE,TRUE),OR(exact(Metadata!X832,"TRUE"),exact(Metadata!X832,"FALSE"))))</f>
        <v>0</v>
      </c>
      <c r="BK832">
        <f>AND(IF(Metadata!Y832="",FALSE,TRUE),exact(Metadata!Y832,"other"))</f>
        <v>0</v>
      </c>
      <c r="BL832">
        <f>IF(Metadata!Z832="",FALSE,TRUE)</f>
        <v>0</v>
      </c>
      <c r="BM832">
        <f>OR(AND(IF(Metadata!AA832="",FALSE,TRUE),OR(exact(Metadata!AA832,"not collected"),exact(Metadata!AA832,"not provided"))),AND(IF(Metadata!AA832="",FALSE,IF(ISERROR(INT(Metadata!AA832)),FALSE,INT(Metadata!AA832)=Metadata!AA832)),Metadata!AA832&gt;0))</f>
        <v>0</v>
      </c>
      <c r="BN832">
        <f>AND(IF(Metadata!AB832="",FALSE,TRUE),exact(Metadata!AB832,"Not applicable"))</f>
        <v>0</v>
      </c>
      <c r="BO832">
        <f>IF(Metadata!AC832="",FALSE,TRUE)</f>
        <v>0</v>
      </c>
    </row>
    <row r="833" spans="1:67">
      <c r="A833" s="5">
        <f>IF(B833=" "," ",HYPERLINK(CONCATENATE("#metadata!",ADDRESS(INDEX($AI$2:$AI$1001,MATCH(ROWS($AG$2:AG833),$AG$2:$AG$1001,0),0),1)),INDEX($AL$2:$AL$1001,MATCH(ROWS($AG$2:AG833),$AG$2:$AG$1001,0),0)))</f>
        <v>0</v>
      </c>
      <c r="B833" s="4">
        <f>IF(OR(INDEX($AH$2:$AH$1001,MATCH(ROWS($AG$2:AG833),$AG$2:$AG$1001,0),1)&gt;=100000,INDEX($AN$1005:$BO$1005,1,MATCH(COLUMNS($AN$1006:AN1006),$AN$1006:$BO$1006,0))&gt;=100000), " ",IF(INDEX($AN$2:$BO$1001,MATCH(ROWS($AG$2:AG833),$AG$2:$AG$1001,0),MATCH(COLUMNS($AN$1006:AN1006),$AN$1006:$BO$1006,0)), HYPERLINK("#",""), HYPERLINK(CONCATENATE("#Metadata!", ADDRESS(INDEX($AI$2:$AI$1001,MATCH(ROWS($AG$2:AG833),$AG$2:$AG$1001,0),0), INDEX($AN$1004:$BO$1004,1,MATCH(COLUMNS($AN$1006:AN1006),$AN$1006:$BO$1006,0)))),"Fix")))</f>
        <v>0</v>
      </c>
      <c r="C833" s="4">
        <f>IF(OR(INDEX($AH$2:$AH$1001,MATCH(ROWS($AG$2:AG833),$AG$2:$AG$1001,0),1)&gt;=100000,INDEX($AN$1005:$BO$1005,1,MATCH(COLUMNS($AN$1006:AO1006),$AN$1006:$BO$1006,0))&gt;=100000), " ",IF(INDEX($AN$2:$BO$1001,MATCH(ROWS($AG$2:AG833),$AG$2:$AG$1001,0),MATCH(COLUMNS($AN$1006:AO1006),$AN$1006:$BO$1006,0)), HYPERLINK("#",""), HYPERLINK(CONCATENATE("#Metadata!", ADDRESS(INDEX($AI$2:$AI$1001,MATCH(ROWS($AG$2:AG833),$AG$2:$AG$1001,0),0), INDEX($AN$1004:$BO$1004,1,MATCH(COLUMNS($AN$1006:AO1006),$AN$1006:$BO$1006,0)))),"Fix")))</f>
        <v>0</v>
      </c>
      <c r="D833" s="4">
        <f>IF(OR(INDEX($AH$2:$AH$1001,MATCH(ROWS($AG$2:AG833),$AG$2:$AG$1001,0),1)&gt;=100000,INDEX($AN$1005:$BO$1005,1,MATCH(COLUMNS($AN$1006:AP1006),$AN$1006:$BO$1006,0))&gt;=100000), " ",IF(INDEX($AN$2:$BO$1001,MATCH(ROWS($AG$2:AG833),$AG$2:$AG$1001,0),MATCH(COLUMNS($AN$1006:AP1006),$AN$1006:$BO$1006,0)), HYPERLINK("#",""), HYPERLINK(CONCATENATE("#Metadata!", ADDRESS(INDEX($AI$2:$AI$1001,MATCH(ROWS($AG$2:AG833),$AG$2:$AG$1001,0),0), INDEX($AN$1004:$BO$1004,1,MATCH(COLUMNS($AN$1006:AP1006),$AN$1006:$BO$1006,0)))),"Fix")))</f>
        <v>0</v>
      </c>
      <c r="E833" s="4">
        <f>IF(OR(INDEX($AH$2:$AH$1001,MATCH(ROWS($AG$2:AG833),$AG$2:$AG$1001,0),1)&gt;=100000,INDEX($AN$1005:$BO$1005,1,MATCH(COLUMNS($AN$1006:AQ1006),$AN$1006:$BO$1006,0))&gt;=100000), " ",IF(INDEX($AN$2:$BO$1001,MATCH(ROWS($AG$2:AG833),$AG$2:$AG$1001,0),MATCH(COLUMNS($AN$1006:AQ1006),$AN$1006:$BO$1006,0)), HYPERLINK("#",""), HYPERLINK(CONCATENATE("#Metadata!", ADDRESS(INDEX($AI$2:$AI$1001,MATCH(ROWS($AG$2:AG833),$AG$2:$AG$1001,0),0), INDEX($AN$1004:$BO$1004,1,MATCH(COLUMNS($AN$1006:AQ1006),$AN$1006:$BO$1006,0)))),"Fix")))</f>
        <v>0</v>
      </c>
      <c r="F833" s="4">
        <f>IF(OR(INDEX($AH$2:$AH$1001,MATCH(ROWS($AG$2:AG833),$AG$2:$AG$1001,0),1)&gt;=100000,INDEX($AN$1005:$BO$1005,1,MATCH(COLUMNS($AN$1006:AR1006),$AN$1006:$BO$1006,0))&gt;=100000), " ",IF(INDEX($AN$2:$BO$1001,MATCH(ROWS($AG$2:AG833),$AG$2:$AG$1001,0),MATCH(COLUMNS($AN$1006:AR1006),$AN$1006:$BO$1006,0)), HYPERLINK("#",""), HYPERLINK(CONCATENATE("#Metadata!", ADDRESS(INDEX($AI$2:$AI$1001,MATCH(ROWS($AG$2:AG833),$AG$2:$AG$1001,0),0), INDEX($AN$1004:$BO$1004,1,MATCH(COLUMNS($AN$1006:AR1006),$AN$1006:$BO$1006,0)))),"Fix")))</f>
        <v>0</v>
      </c>
      <c r="G833" s="4">
        <f>IF(OR(INDEX($AH$2:$AH$1001,MATCH(ROWS($AG$2:AG833),$AG$2:$AG$1001,0),1)&gt;=100000,INDEX($AN$1005:$BO$1005,1,MATCH(COLUMNS($AN$1006:AS1006),$AN$1006:$BO$1006,0))&gt;=100000), " ",IF(INDEX($AN$2:$BO$1001,MATCH(ROWS($AG$2:AG833),$AG$2:$AG$1001,0),MATCH(COLUMNS($AN$1006:AS1006),$AN$1006:$BO$1006,0)), HYPERLINK("#",""), HYPERLINK(CONCATENATE("#Metadata!", ADDRESS(INDEX($AI$2:$AI$1001,MATCH(ROWS($AG$2:AG833),$AG$2:$AG$1001,0),0), INDEX($AN$1004:$BO$1004,1,MATCH(COLUMNS($AN$1006:AS1006),$AN$1006:$BO$1006,0)))),"Fix")))</f>
        <v>0</v>
      </c>
      <c r="H833" s="4">
        <f>IF(OR(INDEX($AH$2:$AH$1001,MATCH(ROWS($AG$2:AG833),$AG$2:$AG$1001,0),1)&gt;=100000,INDEX($AN$1005:$BO$1005,1,MATCH(COLUMNS($AN$1006:AT1006),$AN$1006:$BO$1006,0))&gt;=100000), " ",IF(INDEX($AN$2:$BO$1001,MATCH(ROWS($AG$2:AG833),$AG$2:$AG$1001,0),MATCH(COLUMNS($AN$1006:AT1006),$AN$1006:$BO$1006,0)), HYPERLINK("#",""), HYPERLINK(CONCATENATE("#Metadata!", ADDRESS(INDEX($AI$2:$AI$1001,MATCH(ROWS($AG$2:AG833),$AG$2:$AG$1001,0),0), INDEX($AN$1004:$BO$1004,1,MATCH(COLUMNS($AN$1006:AT1006),$AN$1006:$BO$1006,0)))),"Fix")))</f>
        <v>0</v>
      </c>
      <c r="I833" s="4">
        <f>IF(OR(INDEX($AH$2:$AH$1001,MATCH(ROWS($AG$2:AG833),$AG$2:$AG$1001,0),1)&gt;=100000,INDEX($AN$1005:$BO$1005,1,MATCH(COLUMNS($AN$1006:AU1006),$AN$1006:$BO$1006,0))&gt;=100000), " ",IF(INDEX($AN$2:$BO$1001,MATCH(ROWS($AG$2:AG833),$AG$2:$AG$1001,0),MATCH(COLUMNS($AN$1006:AU1006),$AN$1006:$BO$1006,0)), HYPERLINK("#",""), HYPERLINK(CONCATENATE("#Metadata!", ADDRESS(INDEX($AI$2:$AI$1001,MATCH(ROWS($AG$2:AG833),$AG$2:$AG$1001,0),0), INDEX($AN$1004:$BO$1004,1,MATCH(COLUMNS($AN$1006:AU1006),$AN$1006:$BO$1006,0)))),"Fix")))</f>
        <v>0</v>
      </c>
      <c r="J833" s="4">
        <f>IF(OR(INDEX($AH$2:$AH$1001,MATCH(ROWS($AG$2:AG833),$AG$2:$AG$1001,0),1)&gt;=100000,INDEX($AN$1005:$BO$1005,1,MATCH(COLUMNS($AN$1006:AV1006),$AN$1006:$BO$1006,0))&gt;=100000), " ",IF(INDEX($AN$2:$BO$1001,MATCH(ROWS($AG$2:AG833),$AG$2:$AG$1001,0),MATCH(COLUMNS($AN$1006:AV1006),$AN$1006:$BO$1006,0)), HYPERLINK("#",""), HYPERLINK(CONCATENATE("#Metadata!", ADDRESS(INDEX($AI$2:$AI$1001,MATCH(ROWS($AG$2:AG833),$AG$2:$AG$1001,0),0), INDEX($AN$1004:$BO$1004,1,MATCH(COLUMNS($AN$1006:AV1006),$AN$1006:$BO$1006,0)))),"Fix")))</f>
        <v>0</v>
      </c>
      <c r="K833" s="4">
        <f>IF(OR(INDEX($AH$2:$AH$1001,MATCH(ROWS($AG$2:AG833),$AG$2:$AG$1001,0),1)&gt;=100000,INDEX($AN$1005:$BO$1005,1,MATCH(COLUMNS($AN$1006:AW1006),$AN$1006:$BO$1006,0))&gt;=100000), " ",IF(INDEX($AN$2:$BO$1001,MATCH(ROWS($AG$2:AG833),$AG$2:$AG$1001,0),MATCH(COLUMNS($AN$1006:AW1006),$AN$1006:$BO$1006,0)), HYPERLINK("#",""), HYPERLINK(CONCATENATE("#Metadata!", ADDRESS(INDEX($AI$2:$AI$1001,MATCH(ROWS($AG$2:AG833),$AG$2:$AG$1001,0),0), INDEX($AN$1004:$BO$1004,1,MATCH(COLUMNS($AN$1006:AW1006),$AN$1006:$BO$1006,0)))),"Fix")))</f>
        <v>0</v>
      </c>
      <c r="L833" s="4">
        <f>IF(OR(INDEX($AH$2:$AH$1001,MATCH(ROWS($AG$2:AG833),$AG$2:$AG$1001,0),1)&gt;=100000,INDEX($AN$1005:$BO$1005,1,MATCH(COLUMNS($AN$1006:AX1006),$AN$1006:$BO$1006,0))&gt;=100000), " ",IF(INDEX($AN$2:$BO$1001,MATCH(ROWS($AG$2:AG833),$AG$2:$AG$1001,0),MATCH(COLUMNS($AN$1006:AX1006),$AN$1006:$BO$1006,0)), HYPERLINK("#",""), HYPERLINK(CONCATENATE("#Metadata!", ADDRESS(INDEX($AI$2:$AI$1001,MATCH(ROWS($AG$2:AG833),$AG$2:$AG$1001,0),0), INDEX($AN$1004:$BO$1004,1,MATCH(COLUMNS($AN$1006:AX1006),$AN$1006:$BO$1006,0)))),"Fix")))</f>
        <v>0</v>
      </c>
      <c r="M833" s="4">
        <f>IF(OR(INDEX($AH$2:$AH$1001,MATCH(ROWS($AG$2:AG833),$AG$2:$AG$1001,0),1)&gt;=100000,INDEX($AN$1005:$BO$1005,1,MATCH(COLUMNS($AN$1006:AY1006),$AN$1006:$BO$1006,0))&gt;=100000), " ",IF(INDEX($AN$2:$BO$1001,MATCH(ROWS($AG$2:AG833),$AG$2:$AG$1001,0),MATCH(COLUMNS($AN$1006:AY1006),$AN$1006:$BO$1006,0)), HYPERLINK("#",""), HYPERLINK(CONCATENATE("#Metadata!", ADDRESS(INDEX($AI$2:$AI$1001,MATCH(ROWS($AG$2:AG833),$AG$2:$AG$1001,0),0), INDEX($AN$1004:$BO$1004,1,MATCH(COLUMNS($AN$1006:AY1006),$AN$1006:$BO$1006,0)))),"Fix")))</f>
        <v>0</v>
      </c>
      <c r="N833" s="4">
        <f>IF(OR(INDEX($AH$2:$AH$1001,MATCH(ROWS($AG$2:AG833),$AG$2:$AG$1001,0),1)&gt;=100000,INDEX($AN$1005:$BO$1005,1,MATCH(COLUMNS($AN$1006:AZ1006),$AN$1006:$BO$1006,0))&gt;=100000), " ",IF(INDEX($AN$2:$BO$1001,MATCH(ROWS($AG$2:AG833),$AG$2:$AG$1001,0),MATCH(COLUMNS($AN$1006:AZ1006),$AN$1006:$BO$1006,0)), HYPERLINK("#",""), HYPERLINK(CONCATENATE("#Metadata!", ADDRESS(INDEX($AI$2:$AI$1001,MATCH(ROWS($AG$2:AG833),$AG$2:$AG$1001,0),0), INDEX($AN$1004:$BO$1004,1,MATCH(COLUMNS($AN$1006:AZ1006),$AN$1006:$BO$1006,0)))),"Fix")))</f>
        <v>0</v>
      </c>
      <c r="O833" s="4">
        <f>IF(OR(INDEX($AH$2:$AH$1001,MATCH(ROWS($AG$2:AG833),$AG$2:$AG$1001,0),1)&gt;=100000,INDEX($AN$1005:$BO$1005,1,MATCH(COLUMNS($AN$1006:BA1006),$AN$1006:$BO$1006,0))&gt;=100000), " ",IF(INDEX($AN$2:$BO$1001,MATCH(ROWS($AG$2:AG833),$AG$2:$AG$1001,0),MATCH(COLUMNS($AN$1006:BA1006),$AN$1006:$BO$1006,0)), HYPERLINK("#",""), HYPERLINK(CONCATENATE("#Metadata!", ADDRESS(INDEX($AI$2:$AI$1001,MATCH(ROWS($AG$2:AG833),$AG$2:$AG$1001,0),0), INDEX($AN$1004:$BO$1004,1,MATCH(COLUMNS($AN$1006:BA1006),$AN$1006:$BO$1006,0)))),"Fix")))</f>
        <v>0</v>
      </c>
      <c r="P833" s="4">
        <f>IF(OR(INDEX($AH$2:$AH$1001,MATCH(ROWS($AG$2:AG833),$AG$2:$AG$1001,0),1)&gt;=100000,INDEX($AN$1005:$BO$1005,1,MATCH(COLUMNS($AN$1006:BB1006),$AN$1006:$BO$1006,0))&gt;=100000), " ",IF(INDEX($AN$2:$BO$1001,MATCH(ROWS($AG$2:AG833),$AG$2:$AG$1001,0),MATCH(COLUMNS($AN$1006:BB1006),$AN$1006:$BO$1006,0)), HYPERLINK("#",""), HYPERLINK(CONCATENATE("#Metadata!", ADDRESS(INDEX($AI$2:$AI$1001,MATCH(ROWS($AG$2:AG833),$AG$2:$AG$1001,0),0), INDEX($AN$1004:$BO$1004,1,MATCH(COLUMNS($AN$1006:BB1006),$AN$1006:$BO$1006,0)))),"Fix")))</f>
        <v>0</v>
      </c>
      <c r="Q833" s="4">
        <f>IF(OR(INDEX($AH$2:$AH$1001,MATCH(ROWS($AG$2:AG833),$AG$2:$AG$1001,0),1)&gt;=100000,INDEX($AN$1005:$BO$1005,1,MATCH(COLUMNS($AN$1006:BC1006),$AN$1006:$BO$1006,0))&gt;=100000), " ",IF(INDEX($AN$2:$BO$1001,MATCH(ROWS($AG$2:AG833),$AG$2:$AG$1001,0),MATCH(COLUMNS($AN$1006:BC1006),$AN$1006:$BO$1006,0)), HYPERLINK("#",""), HYPERLINK(CONCATENATE("#Metadata!", ADDRESS(INDEX($AI$2:$AI$1001,MATCH(ROWS($AG$2:AG833),$AG$2:$AG$1001,0),0), INDEX($AN$1004:$BO$1004,1,MATCH(COLUMNS($AN$1006:BC1006),$AN$1006:$BO$1006,0)))),"Fix")))</f>
        <v>0</v>
      </c>
      <c r="R833" s="4">
        <f>IF(OR(INDEX($AH$2:$AH$1001,MATCH(ROWS($AG$2:AG833),$AG$2:$AG$1001,0),1)&gt;=100000,INDEX($AN$1005:$BO$1005,1,MATCH(COLUMNS($AN$1006:BD1006),$AN$1006:$BO$1006,0))&gt;=100000), " ",IF(INDEX($AN$2:$BO$1001,MATCH(ROWS($AG$2:AG833),$AG$2:$AG$1001,0),MATCH(COLUMNS($AN$1006:BD1006),$AN$1006:$BO$1006,0)), HYPERLINK("#",""), HYPERLINK(CONCATENATE("#Metadata!", ADDRESS(INDEX($AI$2:$AI$1001,MATCH(ROWS($AG$2:AG833),$AG$2:$AG$1001,0),0), INDEX($AN$1004:$BO$1004,1,MATCH(COLUMNS($AN$1006:BD1006),$AN$1006:$BO$1006,0)))),"Fix")))</f>
        <v>0</v>
      </c>
      <c r="S833" s="4">
        <f>IF(OR(INDEX($AH$2:$AH$1001,MATCH(ROWS($AG$2:AG833),$AG$2:$AG$1001,0),1)&gt;=100000,INDEX($AN$1005:$BO$1005,1,MATCH(COLUMNS($AN$1006:BE1006),$AN$1006:$BO$1006,0))&gt;=100000), " ",IF(INDEX($AN$2:$BO$1001,MATCH(ROWS($AG$2:AG833),$AG$2:$AG$1001,0),MATCH(COLUMNS($AN$1006:BE1006),$AN$1006:$BO$1006,0)), HYPERLINK("#",""), HYPERLINK(CONCATENATE("#Metadata!", ADDRESS(INDEX($AI$2:$AI$1001,MATCH(ROWS($AG$2:AG833),$AG$2:$AG$1001,0),0), INDEX($AN$1004:$BO$1004,1,MATCH(COLUMNS($AN$1006:BE1006),$AN$1006:$BO$1006,0)))),"Fix")))</f>
        <v>0</v>
      </c>
      <c r="T833" s="4">
        <f>IF(OR(INDEX($AH$2:$AH$1001,MATCH(ROWS($AG$2:AG833),$AG$2:$AG$1001,0),1)&gt;=100000,INDEX($AN$1005:$BO$1005,1,MATCH(COLUMNS($AN$1006:BF1006),$AN$1006:$BO$1006,0))&gt;=100000), " ",IF(INDEX($AN$2:$BO$1001,MATCH(ROWS($AG$2:AG833),$AG$2:$AG$1001,0),MATCH(COLUMNS($AN$1006:BF1006),$AN$1006:$BO$1006,0)), HYPERLINK("#",""), HYPERLINK(CONCATENATE("#Metadata!", ADDRESS(INDEX($AI$2:$AI$1001,MATCH(ROWS($AG$2:AG833),$AG$2:$AG$1001,0),0), INDEX($AN$1004:$BO$1004,1,MATCH(COLUMNS($AN$1006:BF1006),$AN$1006:$BO$1006,0)))),"Fix")))</f>
        <v>0</v>
      </c>
      <c r="U833" s="4">
        <f>IF(OR(INDEX($AH$2:$AH$1001,MATCH(ROWS($AG$2:AG833),$AG$2:$AG$1001,0),1)&gt;=100000,INDEX($AN$1005:$BO$1005,1,MATCH(COLUMNS($AN$1006:BG1006),$AN$1006:$BO$1006,0))&gt;=100000), " ",IF(INDEX($AN$2:$BO$1001,MATCH(ROWS($AG$2:AG833),$AG$2:$AG$1001,0),MATCH(COLUMNS($AN$1006:BG1006),$AN$1006:$BO$1006,0)), HYPERLINK("#",""), HYPERLINK(CONCATENATE("#Metadata!", ADDRESS(INDEX($AI$2:$AI$1001,MATCH(ROWS($AG$2:AG833),$AG$2:$AG$1001,0),0), INDEX($AN$1004:$BO$1004,1,MATCH(COLUMNS($AN$1006:BG1006),$AN$1006:$BO$1006,0)))),"Fix")))</f>
        <v>0</v>
      </c>
      <c r="V833" s="4">
        <f>IF(OR(INDEX($AH$2:$AH$1001,MATCH(ROWS($AG$2:AG833),$AG$2:$AG$1001,0),1)&gt;=100000,INDEX($AN$1005:$BO$1005,1,MATCH(COLUMNS($AN$1006:BH1006),$AN$1006:$BO$1006,0))&gt;=100000), " ",IF(INDEX($AN$2:$BO$1001,MATCH(ROWS($AG$2:AG833),$AG$2:$AG$1001,0),MATCH(COLUMNS($AN$1006:BH1006),$AN$1006:$BO$1006,0)), HYPERLINK("#",""), HYPERLINK(CONCATENATE("#Metadata!", ADDRESS(INDEX($AI$2:$AI$1001,MATCH(ROWS($AG$2:AG833),$AG$2:$AG$1001,0),0), INDEX($AN$1004:$BO$1004,1,MATCH(COLUMNS($AN$1006:BH1006),$AN$1006:$BO$1006,0)))),"Fix")))</f>
        <v>0</v>
      </c>
      <c r="W833" s="4">
        <f>IF(OR(INDEX($AH$2:$AH$1001,MATCH(ROWS($AG$2:AG833),$AG$2:$AG$1001,0),1)&gt;=100000,INDEX($AN$1005:$BO$1005,1,MATCH(COLUMNS($AN$1006:BI1006),$AN$1006:$BO$1006,0))&gt;=100000), " ",IF(INDEX($AN$2:$BO$1001,MATCH(ROWS($AG$2:AG833),$AG$2:$AG$1001,0),MATCH(COLUMNS($AN$1006:BI1006),$AN$1006:$BO$1006,0)), HYPERLINK("#",""), HYPERLINK(CONCATENATE("#Metadata!", ADDRESS(INDEX($AI$2:$AI$1001,MATCH(ROWS($AG$2:AG833),$AG$2:$AG$1001,0),0), INDEX($AN$1004:$BO$1004,1,MATCH(COLUMNS($AN$1006:BI1006),$AN$1006:$BO$1006,0)))),"Fix")))</f>
        <v>0</v>
      </c>
      <c r="X833" s="4">
        <f>IF(OR(INDEX($AH$2:$AH$1001,MATCH(ROWS($AG$2:AG833),$AG$2:$AG$1001,0),1)&gt;=100000,INDEX($AN$1005:$BO$1005,1,MATCH(COLUMNS($AN$1006:BJ1006),$AN$1006:$BO$1006,0))&gt;=100000), " ",IF(INDEX($AN$2:$BO$1001,MATCH(ROWS($AG$2:AG833),$AG$2:$AG$1001,0),MATCH(COLUMNS($AN$1006:BJ1006),$AN$1006:$BO$1006,0)), HYPERLINK("#",""), HYPERLINK(CONCATENATE("#Metadata!", ADDRESS(INDEX($AI$2:$AI$1001,MATCH(ROWS($AG$2:AG833),$AG$2:$AG$1001,0),0), INDEX($AN$1004:$BO$1004,1,MATCH(COLUMNS($AN$1006:BJ1006),$AN$1006:$BO$1006,0)))),"Fix")))</f>
        <v>0</v>
      </c>
      <c r="Y833" s="4">
        <f>IF(OR(INDEX($AH$2:$AH$1001,MATCH(ROWS($AG$2:AG833),$AG$2:$AG$1001,0),1)&gt;=100000,INDEX($AN$1005:$BO$1005,1,MATCH(COLUMNS($AN$1006:BK1006),$AN$1006:$BO$1006,0))&gt;=100000), " ",IF(INDEX($AN$2:$BO$1001,MATCH(ROWS($AG$2:AG833),$AG$2:$AG$1001,0),MATCH(COLUMNS($AN$1006:BK1006),$AN$1006:$BO$1006,0)), HYPERLINK("#",""), HYPERLINK(CONCATENATE("#Metadata!", ADDRESS(INDEX($AI$2:$AI$1001,MATCH(ROWS($AG$2:AG833),$AG$2:$AG$1001,0),0), INDEX($AN$1004:$BO$1004,1,MATCH(COLUMNS($AN$1006:BK1006),$AN$1006:$BO$1006,0)))),"Fix")))</f>
        <v>0</v>
      </c>
      <c r="Z833" s="4">
        <f>IF(OR(INDEX($AH$2:$AH$1001,MATCH(ROWS($AG$2:AG833),$AG$2:$AG$1001,0),1)&gt;=100000,INDEX($AN$1005:$BO$1005,1,MATCH(COLUMNS($AN$1006:BL1006),$AN$1006:$BO$1006,0))&gt;=100000), " ",IF(INDEX($AN$2:$BO$1001,MATCH(ROWS($AG$2:AG833),$AG$2:$AG$1001,0),MATCH(COLUMNS($AN$1006:BL1006),$AN$1006:$BO$1006,0)), HYPERLINK("#",""), HYPERLINK(CONCATENATE("#Metadata!", ADDRESS(INDEX($AI$2:$AI$1001,MATCH(ROWS($AG$2:AG833),$AG$2:$AG$1001,0),0), INDEX($AN$1004:$BO$1004,1,MATCH(COLUMNS($AN$1006:BL1006),$AN$1006:$BO$1006,0)))),"Fix")))</f>
        <v>0</v>
      </c>
      <c r="AA833" s="4">
        <f>IF(OR(INDEX($AH$2:$AH$1001,MATCH(ROWS($AG$2:AG833),$AG$2:$AG$1001,0),1)&gt;=100000,INDEX($AN$1005:$BO$1005,1,MATCH(COLUMNS($AN$1006:BM1006),$AN$1006:$BO$1006,0))&gt;=100000), " ",IF(INDEX($AN$2:$BO$1001,MATCH(ROWS($AG$2:AG833),$AG$2:$AG$1001,0),MATCH(COLUMNS($AN$1006:BM1006),$AN$1006:$BO$1006,0)), HYPERLINK("#",""), HYPERLINK(CONCATENATE("#Metadata!", ADDRESS(INDEX($AI$2:$AI$1001,MATCH(ROWS($AG$2:AG833),$AG$2:$AG$1001,0),0), INDEX($AN$1004:$BO$1004,1,MATCH(COLUMNS($AN$1006:BM1006),$AN$1006:$BO$1006,0)))),"Fix")))</f>
        <v>0</v>
      </c>
      <c r="AB833" s="4">
        <f>IF(OR(INDEX($AH$2:$AH$1001,MATCH(ROWS($AG$2:AG833),$AG$2:$AG$1001,0),1)&gt;=100000,INDEX($AN$1005:$BO$1005,1,MATCH(COLUMNS($AN$1006:BN1006),$AN$1006:$BO$1006,0))&gt;=100000), " ",IF(INDEX($AN$2:$BO$1001,MATCH(ROWS($AG$2:AG833),$AG$2:$AG$1001,0),MATCH(COLUMNS($AN$1006:BN1006),$AN$1006:$BO$1006,0)), HYPERLINK("#",""), HYPERLINK(CONCATENATE("#Metadata!", ADDRESS(INDEX($AI$2:$AI$1001,MATCH(ROWS($AG$2:AG833),$AG$2:$AG$1001,0),0), INDEX($AN$1004:$BO$1004,1,MATCH(COLUMNS($AN$1006:BN1006),$AN$1006:$BO$1006,0)))),"Fix")))</f>
        <v>0</v>
      </c>
      <c r="AC833" s="4">
        <f>IF(OR(INDEX($AH$2:$AH$1001,MATCH(ROWS($AG$2:AG833),$AG$2:$AG$1001,0),1)&gt;=100000,INDEX($AN$1005:$BO$1005,1,MATCH(COLUMNS($AN$1006:BO1006),$AN$1006:$BO$1006,0))&gt;=100000), " ",IF(INDEX($AN$2:$BO$1001,MATCH(ROWS($AG$2:AG833),$AG$2:$AG$1001,0),MATCH(COLUMNS($AN$1006:BO1006),$AN$1006:$BO$1006,0)), HYPERLINK("#",""), HYPERLINK(CONCATENATE("#Metadata!", ADDRESS(INDEX($AI$2:$AI$1001,MATCH(ROWS($AG$2:AG833),$AG$2:$AG$1001,0),0), INDEX($AN$1004:$BO$1004,1,MATCH(COLUMNS($AN$1006:BO1006),$AN$1006:$BO$1006,0)))),"Fix")))</f>
        <v>0</v>
      </c>
      <c r="AG833">
        <v>0</v>
      </c>
      <c r="AH833">
        <v>0</v>
      </c>
      <c r="AI833">
        <v>0</v>
      </c>
      <c r="AJ833">
        <f>IF(AK833,TRUE,AND(AN833:BO833))</f>
        <v>0</v>
      </c>
      <c r="AK833">
        <f>COUNTBLANK(Metadata!B833:AC833)=COLUMNS(Metadata!B833:AC833)</f>
        <v>0</v>
      </c>
      <c r="AL833">
        <v>0</v>
      </c>
      <c r="AN833">
        <f>AND(IF(Metadata!B833="",FALSE,TRUE),COUNTIF(Metadata!B:B, Metadata!B833) = 1,NOT(ISERROR(SUMPRODUCT(SEARCH(MID(Metadata!B833,ROW(INDIRECT("1:"&amp;LEN(Metadata!B833))), 1),"0123456789abcdefghijklmnopqrstuvwxyzABCDEFGHIJKLMNOPQRSTUVWXYZ.")))))</f>
        <v>0</v>
      </c>
      <c r="AO833">
        <f>IF(Metadata!C833="",FALSE,TRUE)</f>
        <v>0</v>
      </c>
      <c r="AP833">
        <f>IF(Metadata!D833="",FALSE,TRUE)</f>
        <v>0</v>
      </c>
      <c r="AQ833">
        <f>OR(AND(IF(Metadata!E833="",FALSE,TRUE),OR(exact(Metadata!E833,"not collected"),exact(Metadata!E833,"not provided"),exact(Metadata!E833,"restricted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R833">
        <f>IF(Metadata!F833="",FALSE,TRUE)</f>
        <v>0</v>
      </c>
      <c r="AS833">
        <f>OR(AND(IF(Metadata!G833="",FALSE,TRUE),OR(exact(Metadata!G833,"not collected"),exact(Metadata!G833,"not provided"))),AND(IF(Metadata!G833="",FALSE,TRUE),OR(exact(Metadata!G833,"TRUE"),exact(Metadata!G833,"FALSE"))))</f>
        <v>0</v>
      </c>
      <c r="AT833">
        <f>OR(AND(IF(Metadata!H833="",FALSE,TRUE),OR(exact(Metadata!H833,"not collected"),exact(Metadata!H833,"not provided"),exact(Metadata!H833,"restricted access"))),AND(IF(Metadata!H833="",FALSE,ISNUMBER(VALUE(Metadata!H833))),Metadata!H833&gt;=-413.0))</f>
        <v>0</v>
      </c>
      <c r="AU833">
        <f>AND(IF(Metadata!I833="",FALSE,TRUE),exact(Metadata!I833,"meters"))</f>
        <v>0</v>
      </c>
      <c r="AV833">
        <f>AND(IF(Metadata!J833="",FALSE,TRUE),OR(exact(Metadata!J833,"Host-associated"),exact(Metadata!J833,"Free-living")))</f>
        <v>0</v>
      </c>
      <c r="AW833">
        <f>AND(IF(Metadata!K833="",FALSE,TRUE),OR(exact(Metadata!K833,"Animal"),exact(Metadata!K833,"Fungus"),exact(Metadata!K833,"Plant"),exact(Metadata!K833,"Saline"),exact(Metadata!K833,"Non-saline")))</f>
        <v>0</v>
      </c>
      <c r="AX833">
        <f>AND(IF(Metadata!L833="",FALSE,TRUE),OR(exact(Metadata!L833,"Plant secretion"),exact(Metadata!L833,"Plant rhizosphere"),exact(Metadata!L833,"Plant surface"),exact(Metadata!L833,"Plant corpus"),exact(Metadata!L833,"Fungus surface"),exact(Metadata!L833,"Fungus corpus"),exact(Metadata!L833,"Animal surface"),exact(Metadata!L833,"Animal proximal gut"),exact(Metadata!L833,"Animal corpus"),exact(Metadata!L833,"Animal distal gut"),exact(Metadata!L833,"Animal secretion"),exact(Metadata!L833,"Sub-surface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Y833">
        <f>IF(Metadata!M833="",FALSE,TRUE)</f>
        <v>0</v>
      </c>
      <c r="AZ833">
        <f>IF(Metadata!N833="",FALSE,TRUE)</f>
        <v>0</v>
      </c>
      <c r="BA833">
        <f>IF(Metadata!O833="",FALSE,TRUE)</f>
        <v>0</v>
      </c>
      <c r="BB833">
        <f>OR(AND(IF(Metadata!P833="",FALSE,TRUE),OR(exact(Metadata!P833,"not collected"),exact(Metadata!P833,"not provided"),exact(Metadata!P833,"restricted access"))),AND(IF(Metadata!P833="",FALSE,TRUE),OR(exact(Metadata!P833,"air"),exact(Metadata!P833,"built environment"),exact(Metadata!P833,"host-associated"),exact(Metadata!P833,"human-associated"),exact(Metadata!P833,"human-skin"),exact(Metadata!P833,"human-oral"),exact(Metadata!P833,"human-gut"),exact(Metadata!P833,"human-vaginal"),exact(Metadata!P833,"microbial mat/biofilm"),exact(Metadata!P833,"misc environment"),exact(Metadata!P833,"plant-associated"),exact(Metadata!P833,"sediment"),exact(Metadata!P833,"soil"),exact(Metadata!P833,"wastewater/sludge"),exact(Metadata!P833,"water"))))</f>
        <v>0</v>
      </c>
      <c r="BC833">
        <f>IF(Metadata!Q833="",FALSE,TRUE)</f>
        <v>0</v>
      </c>
      <c r="BD833">
        <f>IF(Metadata!R833="",FALSE,TRUE)</f>
        <v>0</v>
      </c>
      <c r="BE833">
        <f>OR(AND(IF(Metadata!S833="",FALSE,TRUE),OR(exact(Metadata!S833,"not collected"),exact(Metadata!S833,"not provided"),exact(Metadata!S833,"restricted access"))),AND(IF(Metadata!S833="",FALSE,ISNUMBER(VALUE(Metadata!S833))),Metadata!S833&gt;=-90.00,Metadata!S833&lt;=90.00))</f>
        <v>0</v>
      </c>
      <c r="BF833">
        <f>AND(IF(Metadata!T833="",FALSE,TRUE),exact(Metadata!T833,"Decimal degrees"))</f>
        <v>0</v>
      </c>
      <c r="BG833">
        <f>OR(AND(IF(Metadata!U833="",FALSE,TRUE),OR(exact(Metadata!U833,"not collected"),exact(Metadata!U833,"not provided"),exact(Metadata!U833,"restricted access"))),AND(IF(Metadata!U833="",FALSE,ISNUMBER(VALUE(Metadata!U833))),Metadata!U833&gt;=-180.00,Metadata!U833&lt;=180.00))</f>
        <v>0</v>
      </c>
      <c r="BH833">
        <f>AND(IF(Metadata!V833="",FALSE,TRUE),exact(Metadata!V833,"Decimal degrees"))</f>
        <v>0</v>
      </c>
      <c r="BI833">
        <f>IF(Metadata!W833="",FALSE,TRUE)</f>
        <v>0</v>
      </c>
      <c r="BJ833">
        <f>OR(AND(IF(Metadata!X833="",FALSE,TRUE),OR(exact(Metadata!X833,"not collected"),exact(Metadata!X833,"not provided"),exact(Metadata!X833,"restricted access"))),AND(IF(Metadata!X833="",FALSE,TRUE),OR(exact(Metadata!X833,"TRUE"),exact(Metadata!X833,"FALSE"))))</f>
        <v>0</v>
      </c>
      <c r="BK833">
        <f>AND(IF(Metadata!Y833="",FALSE,TRUE),exact(Metadata!Y833,"other"))</f>
        <v>0</v>
      </c>
      <c r="BL833">
        <f>IF(Metadata!Z833="",FALSE,TRUE)</f>
        <v>0</v>
      </c>
      <c r="BM833">
        <f>OR(AND(IF(Metadata!AA833="",FALSE,TRUE),OR(exact(Metadata!AA833,"not collected"),exact(Metadata!AA833,"not provided"))),AND(IF(Metadata!AA833="",FALSE,IF(ISERROR(INT(Metadata!AA833)),FALSE,INT(Metadata!AA833)=Metadata!AA833)),Metadata!AA833&gt;0))</f>
        <v>0</v>
      </c>
      <c r="BN833">
        <f>AND(IF(Metadata!AB833="",FALSE,TRUE),exact(Metadata!AB833,"Not applicable"))</f>
        <v>0</v>
      </c>
      <c r="BO833">
        <f>IF(Metadata!AC833="",FALSE,TRUE)</f>
        <v>0</v>
      </c>
    </row>
    <row r="834" spans="1:67">
      <c r="A834" s="5">
        <f>IF(B834=" "," ",HYPERLINK(CONCATENATE("#metadata!",ADDRESS(INDEX($AI$2:$AI$1001,MATCH(ROWS($AG$2:AG834),$AG$2:$AG$1001,0),0),1)),INDEX($AL$2:$AL$1001,MATCH(ROWS($AG$2:AG834),$AG$2:$AG$1001,0),0)))</f>
        <v>0</v>
      </c>
      <c r="B834" s="4">
        <f>IF(OR(INDEX($AH$2:$AH$1001,MATCH(ROWS($AG$2:AG834),$AG$2:$AG$1001,0),1)&gt;=100000,INDEX($AN$1005:$BO$1005,1,MATCH(COLUMNS($AN$1006:AN1006),$AN$1006:$BO$1006,0))&gt;=100000), " ",IF(INDEX($AN$2:$BO$1001,MATCH(ROWS($AG$2:AG834),$AG$2:$AG$1001,0),MATCH(COLUMNS($AN$1006:AN1006),$AN$1006:$BO$1006,0)), HYPERLINK("#",""), HYPERLINK(CONCATENATE("#Metadata!", ADDRESS(INDEX($AI$2:$AI$1001,MATCH(ROWS($AG$2:AG834),$AG$2:$AG$1001,0),0), INDEX($AN$1004:$BO$1004,1,MATCH(COLUMNS($AN$1006:AN1006),$AN$1006:$BO$1006,0)))),"Fix")))</f>
        <v>0</v>
      </c>
      <c r="C834" s="4">
        <f>IF(OR(INDEX($AH$2:$AH$1001,MATCH(ROWS($AG$2:AG834),$AG$2:$AG$1001,0),1)&gt;=100000,INDEX($AN$1005:$BO$1005,1,MATCH(COLUMNS($AN$1006:AO1006),$AN$1006:$BO$1006,0))&gt;=100000), " ",IF(INDEX($AN$2:$BO$1001,MATCH(ROWS($AG$2:AG834),$AG$2:$AG$1001,0),MATCH(COLUMNS($AN$1006:AO1006),$AN$1006:$BO$1006,0)), HYPERLINK("#",""), HYPERLINK(CONCATENATE("#Metadata!", ADDRESS(INDEX($AI$2:$AI$1001,MATCH(ROWS($AG$2:AG834),$AG$2:$AG$1001,0),0), INDEX($AN$1004:$BO$1004,1,MATCH(COLUMNS($AN$1006:AO1006),$AN$1006:$BO$1006,0)))),"Fix")))</f>
        <v>0</v>
      </c>
      <c r="D834" s="4">
        <f>IF(OR(INDEX($AH$2:$AH$1001,MATCH(ROWS($AG$2:AG834),$AG$2:$AG$1001,0),1)&gt;=100000,INDEX($AN$1005:$BO$1005,1,MATCH(COLUMNS($AN$1006:AP1006),$AN$1006:$BO$1006,0))&gt;=100000), " ",IF(INDEX($AN$2:$BO$1001,MATCH(ROWS($AG$2:AG834),$AG$2:$AG$1001,0),MATCH(COLUMNS($AN$1006:AP1006),$AN$1006:$BO$1006,0)), HYPERLINK("#",""), HYPERLINK(CONCATENATE("#Metadata!", ADDRESS(INDEX($AI$2:$AI$1001,MATCH(ROWS($AG$2:AG834),$AG$2:$AG$1001,0),0), INDEX($AN$1004:$BO$1004,1,MATCH(COLUMNS($AN$1006:AP1006),$AN$1006:$BO$1006,0)))),"Fix")))</f>
        <v>0</v>
      </c>
      <c r="E834" s="4">
        <f>IF(OR(INDEX($AH$2:$AH$1001,MATCH(ROWS($AG$2:AG834),$AG$2:$AG$1001,0),1)&gt;=100000,INDEX($AN$1005:$BO$1005,1,MATCH(COLUMNS($AN$1006:AQ1006),$AN$1006:$BO$1006,0))&gt;=100000), " ",IF(INDEX($AN$2:$BO$1001,MATCH(ROWS($AG$2:AG834),$AG$2:$AG$1001,0),MATCH(COLUMNS($AN$1006:AQ1006),$AN$1006:$BO$1006,0)), HYPERLINK("#",""), HYPERLINK(CONCATENATE("#Metadata!", ADDRESS(INDEX($AI$2:$AI$1001,MATCH(ROWS($AG$2:AG834),$AG$2:$AG$1001,0),0), INDEX($AN$1004:$BO$1004,1,MATCH(COLUMNS($AN$1006:AQ1006),$AN$1006:$BO$1006,0)))),"Fix")))</f>
        <v>0</v>
      </c>
      <c r="F834" s="4">
        <f>IF(OR(INDEX($AH$2:$AH$1001,MATCH(ROWS($AG$2:AG834),$AG$2:$AG$1001,0),1)&gt;=100000,INDEX($AN$1005:$BO$1005,1,MATCH(COLUMNS($AN$1006:AR1006),$AN$1006:$BO$1006,0))&gt;=100000), " ",IF(INDEX($AN$2:$BO$1001,MATCH(ROWS($AG$2:AG834),$AG$2:$AG$1001,0),MATCH(COLUMNS($AN$1006:AR1006),$AN$1006:$BO$1006,0)), HYPERLINK("#",""), HYPERLINK(CONCATENATE("#Metadata!", ADDRESS(INDEX($AI$2:$AI$1001,MATCH(ROWS($AG$2:AG834),$AG$2:$AG$1001,0),0), INDEX($AN$1004:$BO$1004,1,MATCH(COLUMNS($AN$1006:AR1006),$AN$1006:$BO$1006,0)))),"Fix")))</f>
        <v>0</v>
      </c>
      <c r="G834" s="4">
        <f>IF(OR(INDEX($AH$2:$AH$1001,MATCH(ROWS($AG$2:AG834),$AG$2:$AG$1001,0),1)&gt;=100000,INDEX($AN$1005:$BO$1005,1,MATCH(COLUMNS($AN$1006:AS1006),$AN$1006:$BO$1006,0))&gt;=100000), " ",IF(INDEX($AN$2:$BO$1001,MATCH(ROWS($AG$2:AG834),$AG$2:$AG$1001,0),MATCH(COLUMNS($AN$1006:AS1006),$AN$1006:$BO$1006,0)), HYPERLINK("#",""), HYPERLINK(CONCATENATE("#Metadata!", ADDRESS(INDEX($AI$2:$AI$1001,MATCH(ROWS($AG$2:AG834),$AG$2:$AG$1001,0),0), INDEX($AN$1004:$BO$1004,1,MATCH(COLUMNS($AN$1006:AS1006),$AN$1006:$BO$1006,0)))),"Fix")))</f>
        <v>0</v>
      </c>
      <c r="H834" s="4">
        <f>IF(OR(INDEX($AH$2:$AH$1001,MATCH(ROWS($AG$2:AG834),$AG$2:$AG$1001,0),1)&gt;=100000,INDEX($AN$1005:$BO$1005,1,MATCH(COLUMNS($AN$1006:AT1006),$AN$1006:$BO$1006,0))&gt;=100000), " ",IF(INDEX($AN$2:$BO$1001,MATCH(ROWS($AG$2:AG834),$AG$2:$AG$1001,0),MATCH(COLUMNS($AN$1006:AT1006),$AN$1006:$BO$1006,0)), HYPERLINK("#",""), HYPERLINK(CONCATENATE("#Metadata!", ADDRESS(INDEX($AI$2:$AI$1001,MATCH(ROWS($AG$2:AG834),$AG$2:$AG$1001,0),0), INDEX($AN$1004:$BO$1004,1,MATCH(COLUMNS($AN$1006:AT1006),$AN$1006:$BO$1006,0)))),"Fix")))</f>
        <v>0</v>
      </c>
      <c r="I834" s="4">
        <f>IF(OR(INDEX($AH$2:$AH$1001,MATCH(ROWS($AG$2:AG834),$AG$2:$AG$1001,0),1)&gt;=100000,INDEX($AN$1005:$BO$1005,1,MATCH(COLUMNS($AN$1006:AU1006),$AN$1006:$BO$1006,0))&gt;=100000), " ",IF(INDEX($AN$2:$BO$1001,MATCH(ROWS($AG$2:AG834),$AG$2:$AG$1001,0),MATCH(COLUMNS($AN$1006:AU1006),$AN$1006:$BO$1006,0)), HYPERLINK("#",""), HYPERLINK(CONCATENATE("#Metadata!", ADDRESS(INDEX($AI$2:$AI$1001,MATCH(ROWS($AG$2:AG834),$AG$2:$AG$1001,0),0), INDEX($AN$1004:$BO$1004,1,MATCH(COLUMNS($AN$1006:AU1006),$AN$1006:$BO$1006,0)))),"Fix")))</f>
        <v>0</v>
      </c>
      <c r="J834" s="4">
        <f>IF(OR(INDEX($AH$2:$AH$1001,MATCH(ROWS($AG$2:AG834),$AG$2:$AG$1001,0),1)&gt;=100000,INDEX($AN$1005:$BO$1005,1,MATCH(COLUMNS($AN$1006:AV1006),$AN$1006:$BO$1006,0))&gt;=100000), " ",IF(INDEX($AN$2:$BO$1001,MATCH(ROWS($AG$2:AG834),$AG$2:$AG$1001,0),MATCH(COLUMNS($AN$1006:AV1006),$AN$1006:$BO$1006,0)), HYPERLINK("#",""), HYPERLINK(CONCATENATE("#Metadata!", ADDRESS(INDEX($AI$2:$AI$1001,MATCH(ROWS($AG$2:AG834),$AG$2:$AG$1001,0),0), INDEX($AN$1004:$BO$1004,1,MATCH(COLUMNS($AN$1006:AV1006),$AN$1006:$BO$1006,0)))),"Fix")))</f>
        <v>0</v>
      </c>
      <c r="K834" s="4">
        <f>IF(OR(INDEX($AH$2:$AH$1001,MATCH(ROWS($AG$2:AG834),$AG$2:$AG$1001,0),1)&gt;=100000,INDEX($AN$1005:$BO$1005,1,MATCH(COLUMNS($AN$1006:AW1006),$AN$1006:$BO$1006,0))&gt;=100000), " ",IF(INDEX($AN$2:$BO$1001,MATCH(ROWS($AG$2:AG834),$AG$2:$AG$1001,0),MATCH(COLUMNS($AN$1006:AW1006),$AN$1006:$BO$1006,0)), HYPERLINK("#",""), HYPERLINK(CONCATENATE("#Metadata!", ADDRESS(INDEX($AI$2:$AI$1001,MATCH(ROWS($AG$2:AG834),$AG$2:$AG$1001,0),0), INDEX($AN$1004:$BO$1004,1,MATCH(COLUMNS($AN$1006:AW1006),$AN$1006:$BO$1006,0)))),"Fix")))</f>
        <v>0</v>
      </c>
      <c r="L834" s="4">
        <f>IF(OR(INDEX($AH$2:$AH$1001,MATCH(ROWS($AG$2:AG834),$AG$2:$AG$1001,0),1)&gt;=100000,INDEX($AN$1005:$BO$1005,1,MATCH(COLUMNS($AN$1006:AX1006),$AN$1006:$BO$1006,0))&gt;=100000), " ",IF(INDEX($AN$2:$BO$1001,MATCH(ROWS($AG$2:AG834),$AG$2:$AG$1001,0),MATCH(COLUMNS($AN$1006:AX1006),$AN$1006:$BO$1006,0)), HYPERLINK("#",""), HYPERLINK(CONCATENATE("#Metadata!", ADDRESS(INDEX($AI$2:$AI$1001,MATCH(ROWS($AG$2:AG834),$AG$2:$AG$1001,0),0), INDEX($AN$1004:$BO$1004,1,MATCH(COLUMNS($AN$1006:AX1006),$AN$1006:$BO$1006,0)))),"Fix")))</f>
        <v>0</v>
      </c>
      <c r="M834" s="4">
        <f>IF(OR(INDEX($AH$2:$AH$1001,MATCH(ROWS($AG$2:AG834),$AG$2:$AG$1001,0),1)&gt;=100000,INDEX($AN$1005:$BO$1005,1,MATCH(COLUMNS($AN$1006:AY1006),$AN$1006:$BO$1006,0))&gt;=100000), " ",IF(INDEX($AN$2:$BO$1001,MATCH(ROWS($AG$2:AG834),$AG$2:$AG$1001,0),MATCH(COLUMNS($AN$1006:AY1006),$AN$1006:$BO$1006,0)), HYPERLINK("#",""), HYPERLINK(CONCATENATE("#Metadata!", ADDRESS(INDEX($AI$2:$AI$1001,MATCH(ROWS($AG$2:AG834),$AG$2:$AG$1001,0),0), INDEX($AN$1004:$BO$1004,1,MATCH(COLUMNS($AN$1006:AY1006),$AN$1006:$BO$1006,0)))),"Fix")))</f>
        <v>0</v>
      </c>
      <c r="N834" s="4">
        <f>IF(OR(INDEX($AH$2:$AH$1001,MATCH(ROWS($AG$2:AG834),$AG$2:$AG$1001,0),1)&gt;=100000,INDEX($AN$1005:$BO$1005,1,MATCH(COLUMNS($AN$1006:AZ1006),$AN$1006:$BO$1006,0))&gt;=100000), " ",IF(INDEX($AN$2:$BO$1001,MATCH(ROWS($AG$2:AG834),$AG$2:$AG$1001,0),MATCH(COLUMNS($AN$1006:AZ1006),$AN$1006:$BO$1006,0)), HYPERLINK("#",""), HYPERLINK(CONCATENATE("#Metadata!", ADDRESS(INDEX($AI$2:$AI$1001,MATCH(ROWS($AG$2:AG834),$AG$2:$AG$1001,0),0), INDEX($AN$1004:$BO$1004,1,MATCH(COLUMNS($AN$1006:AZ1006),$AN$1006:$BO$1006,0)))),"Fix")))</f>
        <v>0</v>
      </c>
      <c r="O834" s="4">
        <f>IF(OR(INDEX($AH$2:$AH$1001,MATCH(ROWS($AG$2:AG834),$AG$2:$AG$1001,0),1)&gt;=100000,INDEX($AN$1005:$BO$1005,1,MATCH(COLUMNS($AN$1006:BA1006),$AN$1006:$BO$1006,0))&gt;=100000), " ",IF(INDEX($AN$2:$BO$1001,MATCH(ROWS($AG$2:AG834),$AG$2:$AG$1001,0),MATCH(COLUMNS($AN$1006:BA1006),$AN$1006:$BO$1006,0)), HYPERLINK("#",""), HYPERLINK(CONCATENATE("#Metadata!", ADDRESS(INDEX($AI$2:$AI$1001,MATCH(ROWS($AG$2:AG834),$AG$2:$AG$1001,0),0), INDEX($AN$1004:$BO$1004,1,MATCH(COLUMNS($AN$1006:BA1006),$AN$1006:$BO$1006,0)))),"Fix")))</f>
        <v>0</v>
      </c>
      <c r="P834" s="4">
        <f>IF(OR(INDEX($AH$2:$AH$1001,MATCH(ROWS($AG$2:AG834),$AG$2:$AG$1001,0),1)&gt;=100000,INDEX($AN$1005:$BO$1005,1,MATCH(COLUMNS($AN$1006:BB1006),$AN$1006:$BO$1006,0))&gt;=100000), " ",IF(INDEX($AN$2:$BO$1001,MATCH(ROWS($AG$2:AG834),$AG$2:$AG$1001,0),MATCH(COLUMNS($AN$1006:BB1006),$AN$1006:$BO$1006,0)), HYPERLINK("#",""), HYPERLINK(CONCATENATE("#Metadata!", ADDRESS(INDEX($AI$2:$AI$1001,MATCH(ROWS($AG$2:AG834),$AG$2:$AG$1001,0),0), INDEX($AN$1004:$BO$1004,1,MATCH(COLUMNS($AN$1006:BB1006),$AN$1006:$BO$1006,0)))),"Fix")))</f>
        <v>0</v>
      </c>
      <c r="Q834" s="4">
        <f>IF(OR(INDEX($AH$2:$AH$1001,MATCH(ROWS($AG$2:AG834),$AG$2:$AG$1001,0),1)&gt;=100000,INDEX($AN$1005:$BO$1005,1,MATCH(COLUMNS($AN$1006:BC1006),$AN$1006:$BO$1006,0))&gt;=100000), " ",IF(INDEX($AN$2:$BO$1001,MATCH(ROWS($AG$2:AG834),$AG$2:$AG$1001,0),MATCH(COLUMNS($AN$1006:BC1006),$AN$1006:$BO$1006,0)), HYPERLINK("#",""), HYPERLINK(CONCATENATE("#Metadata!", ADDRESS(INDEX($AI$2:$AI$1001,MATCH(ROWS($AG$2:AG834),$AG$2:$AG$1001,0),0), INDEX($AN$1004:$BO$1004,1,MATCH(COLUMNS($AN$1006:BC1006),$AN$1006:$BO$1006,0)))),"Fix")))</f>
        <v>0</v>
      </c>
      <c r="R834" s="4">
        <f>IF(OR(INDEX($AH$2:$AH$1001,MATCH(ROWS($AG$2:AG834),$AG$2:$AG$1001,0),1)&gt;=100000,INDEX($AN$1005:$BO$1005,1,MATCH(COLUMNS($AN$1006:BD1006),$AN$1006:$BO$1006,0))&gt;=100000), " ",IF(INDEX($AN$2:$BO$1001,MATCH(ROWS($AG$2:AG834),$AG$2:$AG$1001,0),MATCH(COLUMNS($AN$1006:BD1006),$AN$1006:$BO$1006,0)), HYPERLINK("#",""), HYPERLINK(CONCATENATE("#Metadata!", ADDRESS(INDEX($AI$2:$AI$1001,MATCH(ROWS($AG$2:AG834),$AG$2:$AG$1001,0),0), INDEX($AN$1004:$BO$1004,1,MATCH(COLUMNS($AN$1006:BD1006),$AN$1006:$BO$1006,0)))),"Fix")))</f>
        <v>0</v>
      </c>
      <c r="S834" s="4">
        <f>IF(OR(INDEX($AH$2:$AH$1001,MATCH(ROWS($AG$2:AG834),$AG$2:$AG$1001,0),1)&gt;=100000,INDEX($AN$1005:$BO$1005,1,MATCH(COLUMNS($AN$1006:BE1006),$AN$1006:$BO$1006,0))&gt;=100000), " ",IF(INDEX($AN$2:$BO$1001,MATCH(ROWS($AG$2:AG834),$AG$2:$AG$1001,0),MATCH(COLUMNS($AN$1006:BE1006),$AN$1006:$BO$1006,0)), HYPERLINK("#",""), HYPERLINK(CONCATENATE("#Metadata!", ADDRESS(INDEX($AI$2:$AI$1001,MATCH(ROWS($AG$2:AG834),$AG$2:$AG$1001,0),0), INDEX($AN$1004:$BO$1004,1,MATCH(COLUMNS($AN$1006:BE1006),$AN$1006:$BO$1006,0)))),"Fix")))</f>
        <v>0</v>
      </c>
      <c r="T834" s="4">
        <f>IF(OR(INDEX($AH$2:$AH$1001,MATCH(ROWS($AG$2:AG834),$AG$2:$AG$1001,0),1)&gt;=100000,INDEX($AN$1005:$BO$1005,1,MATCH(COLUMNS($AN$1006:BF1006),$AN$1006:$BO$1006,0))&gt;=100000), " ",IF(INDEX($AN$2:$BO$1001,MATCH(ROWS($AG$2:AG834),$AG$2:$AG$1001,0),MATCH(COLUMNS($AN$1006:BF1006),$AN$1006:$BO$1006,0)), HYPERLINK("#",""), HYPERLINK(CONCATENATE("#Metadata!", ADDRESS(INDEX($AI$2:$AI$1001,MATCH(ROWS($AG$2:AG834),$AG$2:$AG$1001,0),0), INDEX($AN$1004:$BO$1004,1,MATCH(COLUMNS($AN$1006:BF1006),$AN$1006:$BO$1006,0)))),"Fix")))</f>
        <v>0</v>
      </c>
      <c r="U834" s="4">
        <f>IF(OR(INDEX($AH$2:$AH$1001,MATCH(ROWS($AG$2:AG834),$AG$2:$AG$1001,0),1)&gt;=100000,INDEX($AN$1005:$BO$1005,1,MATCH(COLUMNS($AN$1006:BG1006),$AN$1006:$BO$1006,0))&gt;=100000), " ",IF(INDEX($AN$2:$BO$1001,MATCH(ROWS($AG$2:AG834),$AG$2:$AG$1001,0),MATCH(COLUMNS($AN$1006:BG1006),$AN$1006:$BO$1006,0)), HYPERLINK("#",""), HYPERLINK(CONCATENATE("#Metadata!", ADDRESS(INDEX($AI$2:$AI$1001,MATCH(ROWS($AG$2:AG834),$AG$2:$AG$1001,0),0), INDEX($AN$1004:$BO$1004,1,MATCH(COLUMNS($AN$1006:BG1006),$AN$1006:$BO$1006,0)))),"Fix")))</f>
        <v>0</v>
      </c>
      <c r="V834" s="4">
        <f>IF(OR(INDEX($AH$2:$AH$1001,MATCH(ROWS($AG$2:AG834),$AG$2:$AG$1001,0),1)&gt;=100000,INDEX($AN$1005:$BO$1005,1,MATCH(COLUMNS($AN$1006:BH1006),$AN$1006:$BO$1006,0))&gt;=100000), " ",IF(INDEX($AN$2:$BO$1001,MATCH(ROWS($AG$2:AG834),$AG$2:$AG$1001,0),MATCH(COLUMNS($AN$1006:BH1006),$AN$1006:$BO$1006,0)), HYPERLINK("#",""), HYPERLINK(CONCATENATE("#Metadata!", ADDRESS(INDEX($AI$2:$AI$1001,MATCH(ROWS($AG$2:AG834),$AG$2:$AG$1001,0),0), INDEX($AN$1004:$BO$1004,1,MATCH(COLUMNS($AN$1006:BH1006),$AN$1006:$BO$1006,0)))),"Fix")))</f>
        <v>0</v>
      </c>
      <c r="W834" s="4">
        <f>IF(OR(INDEX($AH$2:$AH$1001,MATCH(ROWS($AG$2:AG834),$AG$2:$AG$1001,0),1)&gt;=100000,INDEX($AN$1005:$BO$1005,1,MATCH(COLUMNS($AN$1006:BI1006),$AN$1006:$BO$1006,0))&gt;=100000), " ",IF(INDEX($AN$2:$BO$1001,MATCH(ROWS($AG$2:AG834),$AG$2:$AG$1001,0),MATCH(COLUMNS($AN$1006:BI1006),$AN$1006:$BO$1006,0)), HYPERLINK("#",""), HYPERLINK(CONCATENATE("#Metadata!", ADDRESS(INDEX($AI$2:$AI$1001,MATCH(ROWS($AG$2:AG834),$AG$2:$AG$1001,0),0), INDEX($AN$1004:$BO$1004,1,MATCH(COLUMNS($AN$1006:BI1006),$AN$1006:$BO$1006,0)))),"Fix")))</f>
        <v>0</v>
      </c>
      <c r="X834" s="4">
        <f>IF(OR(INDEX($AH$2:$AH$1001,MATCH(ROWS($AG$2:AG834),$AG$2:$AG$1001,0),1)&gt;=100000,INDEX($AN$1005:$BO$1005,1,MATCH(COLUMNS($AN$1006:BJ1006),$AN$1006:$BO$1006,0))&gt;=100000), " ",IF(INDEX($AN$2:$BO$1001,MATCH(ROWS($AG$2:AG834),$AG$2:$AG$1001,0),MATCH(COLUMNS($AN$1006:BJ1006),$AN$1006:$BO$1006,0)), HYPERLINK("#",""), HYPERLINK(CONCATENATE("#Metadata!", ADDRESS(INDEX($AI$2:$AI$1001,MATCH(ROWS($AG$2:AG834),$AG$2:$AG$1001,0),0), INDEX($AN$1004:$BO$1004,1,MATCH(COLUMNS($AN$1006:BJ1006),$AN$1006:$BO$1006,0)))),"Fix")))</f>
        <v>0</v>
      </c>
      <c r="Y834" s="4">
        <f>IF(OR(INDEX($AH$2:$AH$1001,MATCH(ROWS($AG$2:AG834),$AG$2:$AG$1001,0),1)&gt;=100000,INDEX($AN$1005:$BO$1005,1,MATCH(COLUMNS($AN$1006:BK1006),$AN$1006:$BO$1006,0))&gt;=100000), " ",IF(INDEX($AN$2:$BO$1001,MATCH(ROWS($AG$2:AG834),$AG$2:$AG$1001,0),MATCH(COLUMNS($AN$1006:BK1006),$AN$1006:$BO$1006,0)), HYPERLINK("#",""), HYPERLINK(CONCATENATE("#Metadata!", ADDRESS(INDEX($AI$2:$AI$1001,MATCH(ROWS($AG$2:AG834),$AG$2:$AG$1001,0),0), INDEX($AN$1004:$BO$1004,1,MATCH(COLUMNS($AN$1006:BK1006),$AN$1006:$BO$1006,0)))),"Fix")))</f>
        <v>0</v>
      </c>
      <c r="Z834" s="4">
        <f>IF(OR(INDEX($AH$2:$AH$1001,MATCH(ROWS($AG$2:AG834),$AG$2:$AG$1001,0),1)&gt;=100000,INDEX($AN$1005:$BO$1005,1,MATCH(COLUMNS($AN$1006:BL1006),$AN$1006:$BO$1006,0))&gt;=100000), " ",IF(INDEX($AN$2:$BO$1001,MATCH(ROWS($AG$2:AG834),$AG$2:$AG$1001,0),MATCH(COLUMNS($AN$1006:BL1006),$AN$1006:$BO$1006,0)), HYPERLINK("#",""), HYPERLINK(CONCATENATE("#Metadata!", ADDRESS(INDEX($AI$2:$AI$1001,MATCH(ROWS($AG$2:AG834),$AG$2:$AG$1001,0),0), INDEX($AN$1004:$BO$1004,1,MATCH(COLUMNS($AN$1006:BL1006),$AN$1006:$BO$1006,0)))),"Fix")))</f>
        <v>0</v>
      </c>
      <c r="AA834" s="4">
        <f>IF(OR(INDEX($AH$2:$AH$1001,MATCH(ROWS($AG$2:AG834),$AG$2:$AG$1001,0),1)&gt;=100000,INDEX($AN$1005:$BO$1005,1,MATCH(COLUMNS($AN$1006:BM1006),$AN$1006:$BO$1006,0))&gt;=100000), " ",IF(INDEX($AN$2:$BO$1001,MATCH(ROWS($AG$2:AG834),$AG$2:$AG$1001,0),MATCH(COLUMNS($AN$1006:BM1006),$AN$1006:$BO$1006,0)), HYPERLINK("#",""), HYPERLINK(CONCATENATE("#Metadata!", ADDRESS(INDEX($AI$2:$AI$1001,MATCH(ROWS($AG$2:AG834),$AG$2:$AG$1001,0),0), INDEX($AN$1004:$BO$1004,1,MATCH(COLUMNS($AN$1006:BM1006),$AN$1006:$BO$1006,0)))),"Fix")))</f>
        <v>0</v>
      </c>
      <c r="AB834" s="4">
        <f>IF(OR(INDEX($AH$2:$AH$1001,MATCH(ROWS($AG$2:AG834),$AG$2:$AG$1001,0),1)&gt;=100000,INDEX($AN$1005:$BO$1005,1,MATCH(COLUMNS($AN$1006:BN1006),$AN$1006:$BO$1006,0))&gt;=100000), " ",IF(INDEX($AN$2:$BO$1001,MATCH(ROWS($AG$2:AG834),$AG$2:$AG$1001,0),MATCH(COLUMNS($AN$1006:BN1006),$AN$1006:$BO$1006,0)), HYPERLINK("#",""), HYPERLINK(CONCATENATE("#Metadata!", ADDRESS(INDEX($AI$2:$AI$1001,MATCH(ROWS($AG$2:AG834),$AG$2:$AG$1001,0),0), INDEX($AN$1004:$BO$1004,1,MATCH(COLUMNS($AN$1006:BN1006),$AN$1006:$BO$1006,0)))),"Fix")))</f>
        <v>0</v>
      </c>
      <c r="AC834" s="4">
        <f>IF(OR(INDEX($AH$2:$AH$1001,MATCH(ROWS($AG$2:AG834),$AG$2:$AG$1001,0),1)&gt;=100000,INDEX($AN$1005:$BO$1005,1,MATCH(COLUMNS($AN$1006:BO1006),$AN$1006:$BO$1006,0))&gt;=100000), " ",IF(INDEX($AN$2:$BO$1001,MATCH(ROWS($AG$2:AG834),$AG$2:$AG$1001,0),MATCH(COLUMNS($AN$1006:BO1006),$AN$1006:$BO$1006,0)), HYPERLINK("#",""), HYPERLINK(CONCATENATE("#Metadata!", ADDRESS(INDEX($AI$2:$AI$1001,MATCH(ROWS($AG$2:AG834),$AG$2:$AG$1001,0),0), INDEX($AN$1004:$BO$1004,1,MATCH(COLUMNS($AN$1006:BO1006),$AN$1006:$BO$1006,0)))),"Fix")))</f>
        <v>0</v>
      </c>
      <c r="AG834">
        <v>0</v>
      </c>
      <c r="AH834">
        <v>0</v>
      </c>
      <c r="AI834">
        <v>0</v>
      </c>
      <c r="AJ834">
        <f>IF(AK834,TRUE,AND(AN834:BO834))</f>
        <v>0</v>
      </c>
      <c r="AK834">
        <f>COUNTBLANK(Metadata!B834:AC834)=COLUMNS(Metadata!B834:AC834)</f>
        <v>0</v>
      </c>
      <c r="AL834">
        <v>0</v>
      </c>
      <c r="AN834">
        <f>AND(IF(Metadata!B834="",FALSE,TRUE),COUNTIF(Metadata!B:B, Metadata!B834) = 1,NOT(ISERROR(SUMPRODUCT(SEARCH(MID(Metadata!B834,ROW(INDIRECT("1:"&amp;LEN(Metadata!B834))), 1),"0123456789abcdefghijklmnopqrstuvwxyzABCDEFGHIJKLMNOPQRSTUVWXYZ.")))))</f>
        <v>0</v>
      </c>
      <c r="AO834">
        <f>IF(Metadata!C834="",FALSE,TRUE)</f>
        <v>0</v>
      </c>
      <c r="AP834">
        <f>IF(Metadata!D834="",FALSE,TRUE)</f>
        <v>0</v>
      </c>
      <c r="AQ834">
        <f>OR(AND(IF(Metadata!E834="",FALSE,TRUE),OR(exact(Metadata!E834,"not collected"),exact(Metadata!E834,"not provided"),exact(Metadata!E834,"restricted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R834">
        <f>IF(Metadata!F834="",FALSE,TRUE)</f>
        <v>0</v>
      </c>
      <c r="AS834">
        <f>OR(AND(IF(Metadata!G834="",FALSE,TRUE),OR(exact(Metadata!G834,"not collected"),exact(Metadata!G834,"not provided"))),AND(IF(Metadata!G834="",FALSE,TRUE),OR(exact(Metadata!G834,"TRUE"),exact(Metadata!G834,"FALSE"))))</f>
        <v>0</v>
      </c>
      <c r="AT834">
        <f>OR(AND(IF(Metadata!H834="",FALSE,TRUE),OR(exact(Metadata!H834,"not collected"),exact(Metadata!H834,"not provided"),exact(Metadata!H834,"restricted access"))),AND(IF(Metadata!H834="",FALSE,ISNUMBER(VALUE(Metadata!H834))),Metadata!H834&gt;=-413.0))</f>
        <v>0</v>
      </c>
      <c r="AU834">
        <f>AND(IF(Metadata!I834="",FALSE,TRUE),exact(Metadata!I834,"meters"))</f>
        <v>0</v>
      </c>
      <c r="AV834">
        <f>AND(IF(Metadata!J834="",FALSE,TRUE),OR(exact(Metadata!J834,"Host-associated"),exact(Metadata!J834,"Free-living")))</f>
        <v>0</v>
      </c>
      <c r="AW834">
        <f>AND(IF(Metadata!K834="",FALSE,TRUE),OR(exact(Metadata!K834,"Animal"),exact(Metadata!K834,"Fungus"),exact(Metadata!K834,"Plant"),exact(Metadata!K834,"Saline"),exact(Metadata!K834,"Non-saline")))</f>
        <v>0</v>
      </c>
      <c r="AX834">
        <f>AND(IF(Metadata!L834="",FALSE,TRUE),OR(exact(Metadata!L834,"Plant secretion"),exact(Metadata!L834,"Plant rhizosphere"),exact(Metadata!L834,"Plant surface"),exact(Metadata!L834,"Plant corpus"),exact(Metadata!L834,"Fungus surface"),exact(Metadata!L834,"Fungus corpus"),exact(Metadata!L834,"Animal surface"),exact(Metadata!L834,"Animal proximal gut"),exact(Metadata!L834,"Animal corpus"),exact(Metadata!L834,"Animal distal gut"),exact(Metadata!L834,"Animal secretion"),exact(Metadata!L834,"Sub-surface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Y834">
        <f>IF(Metadata!M834="",FALSE,TRUE)</f>
        <v>0</v>
      </c>
      <c r="AZ834">
        <f>IF(Metadata!N834="",FALSE,TRUE)</f>
        <v>0</v>
      </c>
      <c r="BA834">
        <f>IF(Metadata!O834="",FALSE,TRUE)</f>
        <v>0</v>
      </c>
      <c r="BB834">
        <f>OR(AND(IF(Metadata!P834="",FALSE,TRUE),OR(exact(Metadata!P834,"not collected"),exact(Metadata!P834,"not provided"),exact(Metadata!P834,"restricted access"))),AND(IF(Metadata!P834="",FALSE,TRUE),OR(exact(Metadata!P834,"air"),exact(Metadata!P834,"built environment"),exact(Metadata!P834,"host-associated"),exact(Metadata!P834,"human-associated"),exact(Metadata!P834,"human-skin"),exact(Metadata!P834,"human-oral"),exact(Metadata!P834,"human-gut"),exact(Metadata!P834,"human-vaginal"),exact(Metadata!P834,"microbial mat/biofilm"),exact(Metadata!P834,"misc environment"),exact(Metadata!P834,"plant-associated"),exact(Metadata!P834,"sediment"),exact(Metadata!P834,"soil"),exact(Metadata!P834,"wastewater/sludge"),exact(Metadata!P834,"water"))))</f>
        <v>0</v>
      </c>
      <c r="BC834">
        <f>IF(Metadata!Q834="",FALSE,TRUE)</f>
        <v>0</v>
      </c>
      <c r="BD834">
        <f>IF(Metadata!R834="",FALSE,TRUE)</f>
        <v>0</v>
      </c>
      <c r="BE834">
        <f>OR(AND(IF(Metadata!S834="",FALSE,TRUE),OR(exact(Metadata!S834,"not collected"),exact(Metadata!S834,"not provided"),exact(Metadata!S834,"restricted access"))),AND(IF(Metadata!S834="",FALSE,ISNUMBER(VALUE(Metadata!S834))),Metadata!S834&gt;=-90.00,Metadata!S834&lt;=90.00))</f>
        <v>0</v>
      </c>
      <c r="BF834">
        <f>AND(IF(Metadata!T834="",FALSE,TRUE),exact(Metadata!T834,"Decimal degrees"))</f>
        <v>0</v>
      </c>
      <c r="BG834">
        <f>OR(AND(IF(Metadata!U834="",FALSE,TRUE),OR(exact(Metadata!U834,"not collected"),exact(Metadata!U834,"not provided"),exact(Metadata!U834,"restricted access"))),AND(IF(Metadata!U834="",FALSE,ISNUMBER(VALUE(Metadata!U834))),Metadata!U834&gt;=-180.00,Metadata!U834&lt;=180.00))</f>
        <v>0</v>
      </c>
      <c r="BH834">
        <f>AND(IF(Metadata!V834="",FALSE,TRUE),exact(Metadata!V834,"Decimal degrees"))</f>
        <v>0</v>
      </c>
      <c r="BI834">
        <f>IF(Metadata!W834="",FALSE,TRUE)</f>
        <v>0</v>
      </c>
      <c r="BJ834">
        <f>OR(AND(IF(Metadata!X834="",FALSE,TRUE),OR(exact(Metadata!X834,"not collected"),exact(Metadata!X834,"not provided"),exact(Metadata!X834,"restricted access"))),AND(IF(Metadata!X834="",FALSE,TRUE),OR(exact(Metadata!X834,"TRUE"),exact(Metadata!X834,"FALSE"))))</f>
        <v>0</v>
      </c>
      <c r="BK834">
        <f>AND(IF(Metadata!Y834="",FALSE,TRUE),exact(Metadata!Y834,"other"))</f>
        <v>0</v>
      </c>
      <c r="BL834">
        <f>IF(Metadata!Z834="",FALSE,TRUE)</f>
        <v>0</v>
      </c>
      <c r="BM834">
        <f>OR(AND(IF(Metadata!AA834="",FALSE,TRUE),OR(exact(Metadata!AA834,"not collected"),exact(Metadata!AA834,"not provided"))),AND(IF(Metadata!AA834="",FALSE,IF(ISERROR(INT(Metadata!AA834)),FALSE,INT(Metadata!AA834)=Metadata!AA834)),Metadata!AA834&gt;0))</f>
        <v>0</v>
      </c>
      <c r="BN834">
        <f>AND(IF(Metadata!AB834="",FALSE,TRUE),exact(Metadata!AB834,"Not applicable"))</f>
        <v>0</v>
      </c>
      <c r="BO834">
        <f>IF(Metadata!AC834="",FALSE,TRUE)</f>
        <v>0</v>
      </c>
    </row>
    <row r="835" spans="1:67">
      <c r="A835" s="5">
        <f>IF(B835=" "," ",HYPERLINK(CONCATENATE("#metadata!",ADDRESS(INDEX($AI$2:$AI$1001,MATCH(ROWS($AG$2:AG835),$AG$2:$AG$1001,0),0),1)),INDEX($AL$2:$AL$1001,MATCH(ROWS($AG$2:AG835),$AG$2:$AG$1001,0),0)))</f>
        <v>0</v>
      </c>
      <c r="B835" s="4">
        <f>IF(OR(INDEX($AH$2:$AH$1001,MATCH(ROWS($AG$2:AG835),$AG$2:$AG$1001,0),1)&gt;=100000,INDEX($AN$1005:$BO$1005,1,MATCH(COLUMNS($AN$1006:AN1006),$AN$1006:$BO$1006,0))&gt;=100000), " ",IF(INDEX($AN$2:$BO$1001,MATCH(ROWS($AG$2:AG835),$AG$2:$AG$1001,0),MATCH(COLUMNS($AN$1006:AN1006),$AN$1006:$BO$1006,0)), HYPERLINK("#",""), HYPERLINK(CONCATENATE("#Metadata!", ADDRESS(INDEX($AI$2:$AI$1001,MATCH(ROWS($AG$2:AG835),$AG$2:$AG$1001,0),0), INDEX($AN$1004:$BO$1004,1,MATCH(COLUMNS($AN$1006:AN1006),$AN$1006:$BO$1006,0)))),"Fix")))</f>
        <v>0</v>
      </c>
      <c r="C835" s="4">
        <f>IF(OR(INDEX($AH$2:$AH$1001,MATCH(ROWS($AG$2:AG835),$AG$2:$AG$1001,0),1)&gt;=100000,INDEX($AN$1005:$BO$1005,1,MATCH(COLUMNS($AN$1006:AO1006),$AN$1006:$BO$1006,0))&gt;=100000), " ",IF(INDEX($AN$2:$BO$1001,MATCH(ROWS($AG$2:AG835),$AG$2:$AG$1001,0),MATCH(COLUMNS($AN$1006:AO1006),$AN$1006:$BO$1006,0)), HYPERLINK("#",""), HYPERLINK(CONCATENATE("#Metadata!", ADDRESS(INDEX($AI$2:$AI$1001,MATCH(ROWS($AG$2:AG835),$AG$2:$AG$1001,0),0), INDEX($AN$1004:$BO$1004,1,MATCH(COLUMNS($AN$1006:AO1006),$AN$1006:$BO$1006,0)))),"Fix")))</f>
        <v>0</v>
      </c>
      <c r="D835" s="4">
        <f>IF(OR(INDEX($AH$2:$AH$1001,MATCH(ROWS($AG$2:AG835),$AG$2:$AG$1001,0),1)&gt;=100000,INDEX($AN$1005:$BO$1005,1,MATCH(COLUMNS($AN$1006:AP1006),$AN$1006:$BO$1006,0))&gt;=100000), " ",IF(INDEX($AN$2:$BO$1001,MATCH(ROWS($AG$2:AG835),$AG$2:$AG$1001,0),MATCH(COLUMNS($AN$1006:AP1006),$AN$1006:$BO$1006,0)), HYPERLINK("#",""), HYPERLINK(CONCATENATE("#Metadata!", ADDRESS(INDEX($AI$2:$AI$1001,MATCH(ROWS($AG$2:AG835),$AG$2:$AG$1001,0),0), INDEX($AN$1004:$BO$1004,1,MATCH(COLUMNS($AN$1006:AP1006),$AN$1006:$BO$1006,0)))),"Fix")))</f>
        <v>0</v>
      </c>
      <c r="E835" s="4">
        <f>IF(OR(INDEX($AH$2:$AH$1001,MATCH(ROWS($AG$2:AG835),$AG$2:$AG$1001,0),1)&gt;=100000,INDEX($AN$1005:$BO$1005,1,MATCH(COLUMNS($AN$1006:AQ1006),$AN$1006:$BO$1006,0))&gt;=100000), " ",IF(INDEX($AN$2:$BO$1001,MATCH(ROWS($AG$2:AG835),$AG$2:$AG$1001,0),MATCH(COLUMNS($AN$1006:AQ1006),$AN$1006:$BO$1006,0)), HYPERLINK("#",""), HYPERLINK(CONCATENATE("#Metadata!", ADDRESS(INDEX($AI$2:$AI$1001,MATCH(ROWS($AG$2:AG835),$AG$2:$AG$1001,0),0), INDEX($AN$1004:$BO$1004,1,MATCH(COLUMNS($AN$1006:AQ1006),$AN$1006:$BO$1006,0)))),"Fix")))</f>
        <v>0</v>
      </c>
      <c r="F835" s="4">
        <f>IF(OR(INDEX($AH$2:$AH$1001,MATCH(ROWS($AG$2:AG835),$AG$2:$AG$1001,0),1)&gt;=100000,INDEX($AN$1005:$BO$1005,1,MATCH(COLUMNS($AN$1006:AR1006),$AN$1006:$BO$1006,0))&gt;=100000), " ",IF(INDEX($AN$2:$BO$1001,MATCH(ROWS($AG$2:AG835),$AG$2:$AG$1001,0),MATCH(COLUMNS($AN$1006:AR1006),$AN$1006:$BO$1006,0)), HYPERLINK("#",""), HYPERLINK(CONCATENATE("#Metadata!", ADDRESS(INDEX($AI$2:$AI$1001,MATCH(ROWS($AG$2:AG835),$AG$2:$AG$1001,0),0), INDEX($AN$1004:$BO$1004,1,MATCH(COLUMNS($AN$1006:AR1006),$AN$1006:$BO$1006,0)))),"Fix")))</f>
        <v>0</v>
      </c>
      <c r="G835" s="4">
        <f>IF(OR(INDEX($AH$2:$AH$1001,MATCH(ROWS($AG$2:AG835),$AG$2:$AG$1001,0),1)&gt;=100000,INDEX($AN$1005:$BO$1005,1,MATCH(COLUMNS($AN$1006:AS1006),$AN$1006:$BO$1006,0))&gt;=100000), " ",IF(INDEX($AN$2:$BO$1001,MATCH(ROWS($AG$2:AG835),$AG$2:$AG$1001,0),MATCH(COLUMNS($AN$1006:AS1006),$AN$1006:$BO$1006,0)), HYPERLINK("#",""), HYPERLINK(CONCATENATE("#Metadata!", ADDRESS(INDEX($AI$2:$AI$1001,MATCH(ROWS($AG$2:AG835),$AG$2:$AG$1001,0),0), INDEX($AN$1004:$BO$1004,1,MATCH(COLUMNS($AN$1006:AS1006),$AN$1006:$BO$1006,0)))),"Fix")))</f>
        <v>0</v>
      </c>
      <c r="H835" s="4">
        <f>IF(OR(INDEX($AH$2:$AH$1001,MATCH(ROWS($AG$2:AG835),$AG$2:$AG$1001,0),1)&gt;=100000,INDEX($AN$1005:$BO$1005,1,MATCH(COLUMNS($AN$1006:AT1006),$AN$1006:$BO$1006,0))&gt;=100000), " ",IF(INDEX($AN$2:$BO$1001,MATCH(ROWS($AG$2:AG835),$AG$2:$AG$1001,0),MATCH(COLUMNS($AN$1006:AT1006),$AN$1006:$BO$1006,0)), HYPERLINK("#",""), HYPERLINK(CONCATENATE("#Metadata!", ADDRESS(INDEX($AI$2:$AI$1001,MATCH(ROWS($AG$2:AG835),$AG$2:$AG$1001,0),0), INDEX($AN$1004:$BO$1004,1,MATCH(COLUMNS($AN$1006:AT1006),$AN$1006:$BO$1006,0)))),"Fix")))</f>
        <v>0</v>
      </c>
      <c r="I835" s="4">
        <f>IF(OR(INDEX($AH$2:$AH$1001,MATCH(ROWS($AG$2:AG835),$AG$2:$AG$1001,0),1)&gt;=100000,INDEX($AN$1005:$BO$1005,1,MATCH(COLUMNS($AN$1006:AU1006),$AN$1006:$BO$1006,0))&gt;=100000), " ",IF(INDEX($AN$2:$BO$1001,MATCH(ROWS($AG$2:AG835),$AG$2:$AG$1001,0),MATCH(COLUMNS($AN$1006:AU1006),$AN$1006:$BO$1006,0)), HYPERLINK("#",""), HYPERLINK(CONCATENATE("#Metadata!", ADDRESS(INDEX($AI$2:$AI$1001,MATCH(ROWS($AG$2:AG835),$AG$2:$AG$1001,0),0), INDEX($AN$1004:$BO$1004,1,MATCH(COLUMNS($AN$1006:AU1006),$AN$1006:$BO$1006,0)))),"Fix")))</f>
        <v>0</v>
      </c>
      <c r="J835" s="4">
        <f>IF(OR(INDEX($AH$2:$AH$1001,MATCH(ROWS($AG$2:AG835),$AG$2:$AG$1001,0),1)&gt;=100000,INDEX($AN$1005:$BO$1005,1,MATCH(COLUMNS($AN$1006:AV1006),$AN$1006:$BO$1006,0))&gt;=100000), " ",IF(INDEX($AN$2:$BO$1001,MATCH(ROWS($AG$2:AG835),$AG$2:$AG$1001,0),MATCH(COLUMNS($AN$1006:AV1006),$AN$1006:$BO$1006,0)), HYPERLINK("#",""), HYPERLINK(CONCATENATE("#Metadata!", ADDRESS(INDEX($AI$2:$AI$1001,MATCH(ROWS($AG$2:AG835),$AG$2:$AG$1001,0),0), INDEX($AN$1004:$BO$1004,1,MATCH(COLUMNS($AN$1006:AV1006),$AN$1006:$BO$1006,0)))),"Fix")))</f>
        <v>0</v>
      </c>
      <c r="K835" s="4">
        <f>IF(OR(INDEX($AH$2:$AH$1001,MATCH(ROWS($AG$2:AG835),$AG$2:$AG$1001,0),1)&gt;=100000,INDEX($AN$1005:$BO$1005,1,MATCH(COLUMNS($AN$1006:AW1006),$AN$1006:$BO$1006,0))&gt;=100000), " ",IF(INDEX($AN$2:$BO$1001,MATCH(ROWS($AG$2:AG835),$AG$2:$AG$1001,0),MATCH(COLUMNS($AN$1006:AW1006),$AN$1006:$BO$1006,0)), HYPERLINK("#",""), HYPERLINK(CONCATENATE("#Metadata!", ADDRESS(INDEX($AI$2:$AI$1001,MATCH(ROWS($AG$2:AG835),$AG$2:$AG$1001,0),0), INDEX($AN$1004:$BO$1004,1,MATCH(COLUMNS($AN$1006:AW1006),$AN$1006:$BO$1006,0)))),"Fix")))</f>
        <v>0</v>
      </c>
      <c r="L835" s="4">
        <f>IF(OR(INDEX($AH$2:$AH$1001,MATCH(ROWS($AG$2:AG835),$AG$2:$AG$1001,0),1)&gt;=100000,INDEX($AN$1005:$BO$1005,1,MATCH(COLUMNS($AN$1006:AX1006),$AN$1006:$BO$1006,0))&gt;=100000), " ",IF(INDEX($AN$2:$BO$1001,MATCH(ROWS($AG$2:AG835),$AG$2:$AG$1001,0),MATCH(COLUMNS($AN$1006:AX1006),$AN$1006:$BO$1006,0)), HYPERLINK("#",""), HYPERLINK(CONCATENATE("#Metadata!", ADDRESS(INDEX($AI$2:$AI$1001,MATCH(ROWS($AG$2:AG835),$AG$2:$AG$1001,0),0), INDEX($AN$1004:$BO$1004,1,MATCH(COLUMNS($AN$1006:AX1006),$AN$1006:$BO$1006,0)))),"Fix")))</f>
        <v>0</v>
      </c>
      <c r="M835" s="4">
        <f>IF(OR(INDEX($AH$2:$AH$1001,MATCH(ROWS($AG$2:AG835),$AG$2:$AG$1001,0),1)&gt;=100000,INDEX($AN$1005:$BO$1005,1,MATCH(COLUMNS($AN$1006:AY1006),$AN$1006:$BO$1006,0))&gt;=100000), " ",IF(INDEX($AN$2:$BO$1001,MATCH(ROWS($AG$2:AG835),$AG$2:$AG$1001,0),MATCH(COLUMNS($AN$1006:AY1006),$AN$1006:$BO$1006,0)), HYPERLINK("#",""), HYPERLINK(CONCATENATE("#Metadata!", ADDRESS(INDEX($AI$2:$AI$1001,MATCH(ROWS($AG$2:AG835),$AG$2:$AG$1001,0),0), INDEX($AN$1004:$BO$1004,1,MATCH(COLUMNS($AN$1006:AY1006),$AN$1006:$BO$1006,0)))),"Fix")))</f>
        <v>0</v>
      </c>
      <c r="N835" s="4">
        <f>IF(OR(INDEX($AH$2:$AH$1001,MATCH(ROWS($AG$2:AG835),$AG$2:$AG$1001,0),1)&gt;=100000,INDEX($AN$1005:$BO$1005,1,MATCH(COLUMNS($AN$1006:AZ1006),$AN$1006:$BO$1006,0))&gt;=100000), " ",IF(INDEX($AN$2:$BO$1001,MATCH(ROWS($AG$2:AG835),$AG$2:$AG$1001,0),MATCH(COLUMNS($AN$1006:AZ1006),$AN$1006:$BO$1006,0)), HYPERLINK("#",""), HYPERLINK(CONCATENATE("#Metadata!", ADDRESS(INDEX($AI$2:$AI$1001,MATCH(ROWS($AG$2:AG835),$AG$2:$AG$1001,0),0), INDEX($AN$1004:$BO$1004,1,MATCH(COLUMNS($AN$1006:AZ1006),$AN$1006:$BO$1006,0)))),"Fix")))</f>
        <v>0</v>
      </c>
      <c r="O835" s="4">
        <f>IF(OR(INDEX($AH$2:$AH$1001,MATCH(ROWS($AG$2:AG835),$AG$2:$AG$1001,0),1)&gt;=100000,INDEX($AN$1005:$BO$1005,1,MATCH(COLUMNS($AN$1006:BA1006),$AN$1006:$BO$1006,0))&gt;=100000), " ",IF(INDEX($AN$2:$BO$1001,MATCH(ROWS($AG$2:AG835),$AG$2:$AG$1001,0),MATCH(COLUMNS($AN$1006:BA1006),$AN$1006:$BO$1006,0)), HYPERLINK("#",""), HYPERLINK(CONCATENATE("#Metadata!", ADDRESS(INDEX($AI$2:$AI$1001,MATCH(ROWS($AG$2:AG835),$AG$2:$AG$1001,0),0), INDEX($AN$1004:$BO$1004,1,MATCH(COLUMNS($AN$1006:BA1006),$AN$1006:$BO$1006,0)))),"Fix")))</f>
        <v>0</v>
      </c>
      <c r="P835" s="4">
        <f>IF(OR(INDEX($AH$2:$AH$1001,MATCH(ROWS($AG$2:AG835),$AG$2:$AG$1001,0),1)&gt;=100000,INDEX($AN$1005:$BO$1005,1,MATCH(COLUMNS($AN$1006:BB1006),$AN$1006:$BO$1006,0))&gt;=100000), " ",IF(INDEX($AN$2:$BO$1001,MATCH(ROWS($AG$2:AG835),$AG$2:$AG$1001,0),MATCH(COLUMNS($AN$1006:BB1006),$AN$1006:$BO$1006,0)), HYPERLINK("#",""), HYPERLINK(CONCATENATE("#Metadata!", ADDRESS(INDEX($AI$2:$AI$1001,MATCH(ROWS($AG$2:AG835),$AG$2:$AG$1001,0),0), INDEX($AN$1004:$BO$1004,1,MATCH(COLUMNS($AN$1006:BB1006),$AN$1006:$BO$1006,0)))),"Fix")))</f>
        <v>0</v>
      </c>
      <c r="Q835" s="4">
        <f>IF(OR(INDEX($AH$2:$AH$1001,MATCH(ROWS($AG$2:AG835),$AG$2:$AG$1001,0),1)&gt;=100000,INDEX($AN$1005:$BO$1005,1,MATCH(COLUMNS($AN$1006:BC1006),$AN$1006:$BO$1006,0))&gt;=100000), " ",IF(INDEX($AN$2:$BO$1001,MATCH(ROWS($AG$2:AG835),$AG$2:$AG$1001,0),MATCH(COLUMNS($AN$1006:BC1006),$AN$1006:$BO$1006,0)), HYPERLINK("#",""), HYPERLINK(CONCATENATE("#Metadata!", ADDRESS(INDEX($AI$2:$AI$1001,MATCH(ROWS($AG$2:AG835),$AG$2:$AG$1001,0),0), INDEX($AN$1004:$BO$1004,1,MATCH(COLUMNS($AN$1006:BC1006),$AN$1006:$BO$1006,0)))),"Fix")))</f>
        <v>0</v>
      </c>
      <c r="R835" s="4">
        <f>IF(OR(INDEX($AH$2:$AH$1001,MATCH(ROWS($AG$2:AG835),$AG$2:$AG$1001,0),1)&gt;=100000,INDEX($AN$1005:$BO$1005,1,MATCH(COLUMNS($AN$1006:BD1006),$AN$1006:$BO$1006,0))&gt;=100000), " ",IF(INDEX($AN$2:$BO$1001,MATCH(ROWS($AG$2:AG835),$AG$2:$AG$1001,0),MATCH(COLUMNS($AN$1006:BD1006),$AN$1006:$BO$1006,0)), HYPERLINK("#",""), HYPERLINK(CONCATENATE("#Metadata!", ADDRESS(INDEX($AI$2:$AI$1001,MATCH(ROWS($AG$2:AG835),$AG$2:$AG$1001,0),0), INDEX($AN$1004:$BO$1004,1,MATCH(COLUMNS($AN$1006:BD1006),$AN$1006:$BO$1006,0)))),"Fix")))</f>
        <v>0</v>
      </c>
      <c r="S835" s="4">
        <f>IF(OR(INDEX($AH$2:$AH$1001,MATCH(ROWS($AG$2:AG835),$AG$2:$AG$1001,0),1)&gt;=100000,INDEX($AN$1005:$BO$1005,1,MATCH(COLUMNS($AN$1006:BE1006),$AN$1006:$BO$1006,0))&gt;=100000), " ",IF(INDEX($AN$2:$BO$1001,MATCH(ROWS($AG$2:AG835),$AG$2:$AG$1001,0),MATCH(COLUMNS($AN$1006:BE1006),$AN$1006:$BO$1006,0)), HYPERLINK("#",""), HYPERLINK(CONCATENATE("#Metadata!", ADDRESS(INDEX($AI$2:$AI$1001,MATCH(ROWS($AG$2:AG835),$AG$2:$AG$1001,0),0), INDEX($AN$1004:$BO$1004,1,MATCH(COLUMNS($AN$1006:BE1006),$AN$1006:$BO$1006,0)))),"Fix")))</f>
        <v>0</v>
      </c>
      <c r="T835" s="4">
        <f>IF(OR(INDEX($AH$2:$AH$1001,MATCH(ROWS($AG$2:AG835),$AG$2:$AG$1001,0),1)&gt;=100000,INDEX($AN$1005:$BO$1005,1,MATCH(COLUMNS($AN$1006:BF1006),$AN$1006:$BO$1006,0))&gt;=100000), " ",IF(INDEX($AN$2:$BO$1001,MATCH(ROWS($AG$2:AG835),$AG$2:$AG$1001,0),MATCH(COLUMNS($AN$1006:BF1006),$AN$1006:$BO$1006,0)), HYPERLINK("#",""), HYPERLINK(CONCATENATE("#Metadata!", ADDRESS(INDEX($AI$2:$AI$1001,MATCH(ROWS($AG$2:AG835),$AG$2:$AG$1001,0),0), INDEX($AN$1004:$BO$1004,1,MATCH(COLUMNS($AN$1006:BF1006),$AN$1006:$BO$1006,0)))),"Fix")))</f>
        <v>0</v>
      </c>
      <c r="U835" s="4">
        <f>IF(OR(INDEX($AH$2:$AH$1001,MATCH(ROWS($AG$2:AG835),$AG$2:$AG$1001,0),1)&gt;=100000,INDEX($AN$1005:$BO$1005,1,MATCH(COLUMNS($AN$1006:BG1006),$AN$1006:$BO$1006,0))&gt;=100000), " ",IF(INDEX($AN$2:$BO$1001,MATCH(ROWS($AG$2:AG835),$AG$2:$AG$1001,0),MATCH(COLUMNS($AN$1006:BG1006),$AN$1006:$BO$1006,0)), HYPERLINK("#",""), HYPERLINK(CONCATENATE("#Metadata!", ADDRESS(INDEX($AI$2:$AI$1001,MATCH(ROWS($AG$2:AG835),$AG$2:$AG$1001,0),0), INDEX($AN$1004:$BO$1004,1,MATCH(COLUMNS($AN$1006:BG1006),$AN$1006:$BO$1006,0)))),"Fix")))</f>
        <v>0</v>
      </c>
      <c r="V835" s="4">
        <f>IF(OR(INDEX($AH$2:$AH$1001,MATCH(ROWS($AG$2:AG835),$AG$2:$AG$1001,0),1)&gt;=100000,INDEX($AN$1005:$BO$1005,1,MATCH(COLUMNS($AN$1006:BH1006),$AN$1006:$BO$1006,0))&gt;=100000), " ",IF(INDEX($AN$2:$BO$1001,MATCH(ROWS($AG$2:AG835),$AG$2:$AG$1001,0),MATCH(COLUMNS($AN$1006:BH1006),$AN$1006:$BO$1006,0)), HYPERLINK("#",""), HYPERLINK(CONCATENATE("#Metadata!", ADDRESS(INDEX($AI$2:$AI$1001,MATCH(ROWS($AG$2:AG835),$AG$2:$AG$1001,0),0), INDEX($AN$1004:$BO$1004,1,MATCH(COLUMNS($AN$1006:BH1006),$AN$1006:$BO$1006,0)))),"Fix")))</f>
        <v>0</v>
      </c>
      <c r="W835" s="4">
        <f>IF(OR(INDEX($AH$2:$AH$1001,MATCH(ROWS($AG$2:AG835),$AG$2:$AG$1001,0),1)&gt;=100000,INDEX($AN$1005:$BO$1005,1,MATCH(COLUMNS($AN$1006:BI1006),$AN$1006:$BO$1006,0))&gt;=100000), " ",IF(INDEX($AN$2:$BO$1001,MATCH(ROWS($AG$2:AG835),$AG$2:$AG$1001,0),MATCH(COLUMNS($AN$1006:BI1006),$AN$1006:$BO$1006,0)), HYPERLINK("#",""), HYPERLINK(CONCATENATE("#Metadata!", ADDRESS(INDEX($AI$2:$AI$1001,MATCH(ROWS($AG$2:AG835),$AG$2:$AG$1001,0),0), INDEX($AN$1004:$BO$1004,1,MATCH(COLUMNS($AN$1006:BI1006),$AN$1006:$BO$1006,0)))),"Fix")))</f>
        <v>0</v>
      </c>
      <c r="X835" s="4">
        <f>IF(OR(INDEX($AH$2:$AH$1001,MATCH(ROWS($AG$2:AG835),$AG$2:$AG$1001,0),1)&gt;=100000,INDEX($AN$1005:$BO$1005,1,MATCH(COLUMNS($AN$1006:BJ1006),$AN$1006:$BO$1006,0))&gt;=100000), " ",IF(INDEX($AN$2:$BO$1001,MATCH(ROWS($AG$2:AG835),$AG$2:$AG$1001,0),MATCH(COLUMNS($AN$1006:BJ1006),$AN$1006:$BO$1006,0)), HYPERLINK("#",""), HYPERLINK(CONCATENATE("#Metadata!", ADDRESS(INDEX($AI$2:$AI$1001,MATCH(ROWS($AG$2:AG835),$AG$2:$AG$1001,0),0), INDEX($AN$1004:$BO$1004,1,MATCH(COLUMNS($AN$1006:BJ1006),$AN$1006:$BO$1006,0)))),"Fix")))</f>
        <v>0</v>
      </c>
      <c r="Y835" s="4">
        <f>IF(OR(INDEX($AH$2:$AH$1001,MATCH(ROWS($AG$2:AG835),$AG$2:$AG$1001,0),1)&gt;=100000,INDEX($AN$1005:$BO$1005,1,MATCH(COLUMNS($AN$1006:BK1006),$AN$1006:$BO$1006,0))&gt;=100000), " ",IF(INDEX($AN$2:$BO$1001,MATCH(ROWS($AG$2:AG835),$AG$2:$AG$1001,0),MATCH(COLUMNS($AN$1006:BK1006),$AN$1006:$BO$1006,0)), HYPERLINK("#",""), HYPERLINK(CONCATENATE("#Metadata!", ADDRESS(INDEX($AI$2:$AI$1001,MATCH(ROWS($AG$2:AG835),$AG$2:$AG$1001,0),0), INDEX($AN$1004:$BO$1004,1,MATCH(COLUMNS($AN$1006:BK1006),$AN$1006:$BO$1006,0)))),"Fix")))</f>
        <v>0</v>
      </c>
      <c r="Z835" s="4">
        <f>IF(OR(INDEX($AH$2:$AH$1001,MATCH(ROWS($AG$2:AG835),$AG$2:$AG$1001,0),1)&gt;=100000,INDEX($AN$1005:$BO$1005,1,MATCH(COLUMNS($AN$1006:BL1006),$AN$1006:$BO$1006,0))&gt;=100000), " ",IF(INDEX($AN$2:$BO$1001,MATCH(ROWS($AG$2:AG835),$AG$2:$AG$1001,0),MATCH(COLUMNS($AN$1006:BL1006),$AN$1006:$BO$1006,0)), HYPERLINK("#",""), HYPERLINK(CONCATENATE("#Metadata!", ADDRESS(INDEX($AI$2:$AI$1001,MATCH(ROWS($AG$2:AG835),$AG$2:$AG$1001,0),0), INDEX($AN$1004:$BO$1004,1,MATCH(COLUMNS($AN$1006:BL1006),$AN$1006:$BO$1006,0)))),"Fix")))</f>
        <v>0</v>
      </c>
      <c r="AA835" s="4">
        <f>IF(OR(INDEX($AH$2:$AH$1001,MATCH(ROWS($AG$2:AG835),$AG$2:$AG$1001,0),1)&gt;=100000,INDEX($AN$1005:$BO$1005,1,MATCH(COLUMNS($AN$1006:BM1006),$AN$1006:$BO$1006,0))&gt;=100000), " ",IF(INDEX($AN$2:$BO$1001,MATCH(ROWS($AG$2:AG835),$AG$2:$AG$1001,0),MATCH(COLUMNS($AN$1006:BM1006),$AN$1006:$BO$1006,0)), HYPERLINK("#",""), HYPERLINK(CONCATENATE("#Metadata!", ADDRESS(INDEX($AI$2:$AI$1001,MATCH(ROWS($AG$2:AG835),$AG$2:$AG$1001,0),0), INDEX($AN$1004:$BO$1004,1,MATCH(COLUMNS($AN$1006:BM1006),$AN$1006:$BO$1006,0)))),"Fix")))</f>
        <v>0</v>
      </c>
      <c r="AB835" s="4">
        <f>IF(OR(INDEX($AH$2:$AH$1001,MATCH(ROWS($AG$2:AG835),$AG$2:$AG$1001,0),1)&gt;=100000,INDEX($AN$1005:$BO$1005,1,MATCH(COLUMNS($AN$1006:BN1006),$AN$1006:$BO$1006,0))&gt;=100000), " ",IF(INDEX($AN$2:$BO$1001,MATCH(ROWS($AG$2:AG835),$AG$2:$AG$1001,0),MATCH(COLUMNS($AN$1006:BN1006),$AN$1006:$BO$1006,0)), HYPERLINK("#",""), HYPERLINK(CONCATENATE("#Metadata!", ADDRESS(INDEX($AI$2:$AI$1001,MATCH(ROWS($AG$2:AG835),$AG$2:$AG$1001,0),0), INDEX($AN$1004:$BO$1004,1,MATCH(COLUMNS($AN$1006:BN1006),$AN$1006:$BO$1006,0)))),"Fix")))</f>
        <v>0</v>
      </c>
      <c r="AC835" s="4">
        <f>IF(OR(INDEX($AH$2:$AH$1001,MATCH(ROWS($AG$2:AG835),$AG$2:$AG$1001,0),1)&gt;=100000,INDEX($AN$1005:$BO$1005,1,MATCH(COLUMNS($AN$1006:BO1006),$AN$1006:$BO$1006,0))&gt;=100000), " ",IF(INDEX($AN$2:$BO$1001,MATCH(ROWS($AG$2:AG835),$AG$2:$AG$1001,0),MATCH(COLUMNS($AN$1006:BO1006),$AN$1006:$BO$1006,0)), HYPERLINK("#",""), HYPERLINK(CONCATENATE("#Metadata!", ADDRESS(INDEX($AI$2:$AI$1001,MATCH(ROWS($AG$2:AG835),$AG$2:$AG$1001,0),0), INDEX($AN$1004:$BO$1004,1,MATCH(COLUMNS($AN$1006:BO1006),$AN$1006:$BO$1006,0)))),"Fix")))</f>
        <v>0</v>
      </c>
      <c r="AG835">
        <v>0</v>
      </c>
      <c r="AH835">
        <v>0</v>
      </c>
      <c r="AI835">
        <v>0</v>
      </c>
      <c r="AJ835">
        <f>IF(AK835,TRUE,AND(AN835:BO835))</f>
        <v>0</v>
      </c>
      <c r="AK835">
        <f>COUNTBLANK(Metadata!B835:AC835)=COLUMNS(Metadata!B835:AC835)</f>
        <v>0</v>
      </c>
      <c r="AL835">
        <v>0</v>
      </c>
      <c r="AN835">
        <f>AND(IF(Metadata!B835="",FALSE,TRUE),COUNTIF(Metadata!B:B, Metadata!B835) = 1,NOT(ISERROR(SUMPRODUCT(SEARCH(MID(Metadata!B835,ROW(INDIRECT("1:"&amp;LEN(Metadata!B835))), 1),"0123456789abcdefghijklmnopqrstuvwxyzABCDEFGHIJKLMNOPQRSTUVWXYZ.")))))</f>
        <v>0</v>
      </c>
      <c r="AO835">
        <f>IF(Metadata!C835="",FALSE,TRUE)</f>
        <v>0</v>
      </c>
      <c r="AP835">
        <f>IF(Metadata!D835="",FALSE,TRUE)</f>
        <v>0</v>
      </c>
      <c r="AQ835">
        <f>OR(AND(IF(Metadata!E835="",FALSE,TRUE),OR(exact(Metadata!E835,"not collected"),exact(Metadata!E835,"not provided"),exact(Metadata!E835,"restricted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R835">
        <f>IF(Metadata!F835="",FALSE,TRUE)</f>
        <v>0</v>
      </c>
      <c r="AS835">
        <f>OR(AND(IF(Metadata!G835="",FALSE,TRUE),OR(exact(Metadata!G835,"not collected"),exact(Metadata!G835,"not provided"))),AND(IF(Metadata!G835="",FALSE,TRUE),OR(exact(Metadata!G835,"TRUE"),exact(Metadata!G835,"FALSE"))))</f>
        <v>0</v>
      </c>
      <c r="AT835">
        <f>OR(AND(IF(Metadata!H835="",FALSE,TRUE),OR(exact(Metadata!H835,"not collected"),exact(Metadata!H835,"not provided"),exact(Metadata!H835,"restricted access"))),AND(IF(Metadata!H835="",FALSE,ISNUMBER(VALUE(Metadata!H835))),Metadata!H835&gt;=-413.0))</f>
        <v>0</v>
      </c>
      <c r="AU835">
        <f>AND(IF(Metadata!I835="",FALSE,TRUE),exact(Metadata!I835,"meters"))</f>
        <v>0</v>
      </c>
      <c r="AV835">
        <f>AND(IF(Metadata!J835="",FALSE,TRUE),OR(exact(Metadata!J835,"Host-associated"),exact(Metadata!J835,"Free-living")))</f>
        <v>0</v>
      </c>
      <c r="AW835">
        <f>AND(IF(Metadata!K835="",FALSE,TRUE),OR(exact(Metadata!K835,"Animal"),exact(Metadata!K835,"Fungus"),exact(Metadata!K835,"Plant"),exact(Metadata!K835,"Saline"),exact(Metadata!K835,"Non-saline")))</f>
        <v>0</v>
      </c>
      <c r="AX835">
        <f>AND(IF(Metadata!L835="",FALSE,TRUE),OR(exact(Metadata!L835,"Plant secretion"),exact(Metadata!L835,"Plant rhizosphere"),exact(Metadata!L835,"Plant surface"),exact(Metadata!L835,"Plant corpus"),exact(Metadata!L835,"Fungus surface"),exact(Metadata!L835,"Fungus corpus"),exact(Metadata!L835,"Animal surface"),exact(Metadata!L835,"Animal proximal gut"),exact(Metadata!L835,"Animal corpus"),exact(Metadata!L835,"Animal distal gut"),exact(Metadata!L835,"Animal secretion"),exact(Metadata!L835,"Sub-surface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Y835">
        <f>IF(Metadata!M835="",FALSE,TRUE)</f>
        <v>0</v>
      </c>
      <c r="AZ835">
        <f>IF(Metadata!N835="",FALSE,TRUE)</f>
        <v>0</v>
      </c>
      <c r="BA835">
        <f>IF(Metadata!O835="",FALSE,TRUE)</f>
        <v>0</v>
      </c>
      <c r="BB835">
        <f>OR(AND(IF(Metadata!P835="",FALSE,TRUE),OR(exact(Metadata!P835,"not collected"),exact(Metadata!P835,"not provided"),exact(Metadata!P835,"restricted access"))),AND(IF(Metadata!P835="",FALSE,TRUE),OR(exact(Metadata!P835,"air"),exact(Metadata!P835,"built environment"),exact(Metadata!P835,"host-associated"),exact(Metadata!P835,"human-associated"),exact(Metadata!P835,"human-skin"),exact(Metadata!P835,"human-oral"),exact(Metadata!P835,"human-gut"),exact(Metadata!P835,"human-vaginal"),exact(Metadata!P835,"microbial mat/biofilm"),exact(Metadata!P835,"misc environment"),exact(Metadata!P835,"plant-associated"),exact(Metadata!P835,"sediment"),exact(Metadata!P835,"soil"),exact(Metadata!P835,"wastewater/sludge"),exact(Metadata!P835,"water"))))</f>
        <v>0</v>
      </c>
      <c r="BC835">
        <f>IF(Metadata!Q835="",FALSE,TRUE)</f>
        <v>0</v>
      </c>
      <c r="BD835">
        <f>IF(Metadata!R835="",FALSE,TRUE)</f>
        <v>0</v>
      </c>
      <c r="BE835">
        <f>OR(AND(IF(Metadata!S835="",FALSE,TRUE),OR(exact(Metadata!S835,"not collected"),exact(Metadata!S835,"not provided"),exact(Metadata!S835,"restricted access"))),AND(IF(Metadata!S835="",FALSE,ISNUMBER(VALUE(Metadata!S835))),Metadata!S835&gt;=-90.00,Metadata!S835&lt;=90.00))</f>
        <v>0</v>
      </c>
      <c r="BF835">
        <f>AND(IF(Metadata!T835="",FALSE,TRUE),exact(Metadata!T835,"Decimal degrees"))</f>
        <v>0</v>
      </c>
      <c r="BG835">
        <f>OR(AND(IF(Metadata!U835="",FALSE,TRUE),OR(exact(Metadata!U835,"not collected"),exact(Metadata!U835,"not provided"),exact(Metadata!U835,"restricted access"))),AND(IF(Metadata!U835="",FALSE,ISNUMBER(VALUE(Metadata!U835))),Metadata!U835&gt;=-180.00,Metadata!U835&lt;=180.00))</f>
        <v>0</v>
      </c>
      <c r="BH835">
        <f>AND(IF(Metadata!V835="",FALSE,TRUE),exact(Metadata!V835,"Decimal degrees"))</f>
        <v>0</v>
      </c>
      <c r="BI835">
        <f>IF(Metadata!W835="",FALSE,TRUE)</f>
        <v>0</v>
      </c>
      <c r="BJ835">
        <f>OR(AND(IF(Metadata!X835="",FALSE,TRUE),OR(exact(Metadata!X835,"not collected"),exact(Metadata!X835,"not provided"),exact(Metadata!X835,"restricted access"))),AND(IF(Metadata!X835="",FALSE,TRUE),OR(exact(Metadata!X835,"TRUE"),exact(Metadata!X835,"FALSE"))))</f>
        <v>0</v>
      </c>
      <c r="BK835">
        <f>AND(IF(Metadata!Y835="",FALSE,TRUE),exact(Metadata!Y835,"other"))</f>
        <v>0</v>
      </c>
      <c r="BL835">
        <f>IF(Metadata!Z835="",FALSE,TRUE)</f>
        <v>0</v>
      </c>
      <c r="BM835">
        <f>OR(AND(IF(Metadata!AA835="",FALSE,TRUE),OR(exact(Metadata!AA835,"not collected"),exact(Metadata!AA835,"not provided"))),AND(IF(Metadata!AA835="",FALSE,IF(ISERROR(INT(Metadata!AA835)),FALSE,INT(Metadata!AA835)=Metadata!AA835)),Metadata!AA835&gt;0))</f>
        <v>0</v>
      </c>
      <c r="BN835">
        <f>AND(IF(Metadata!AB835="",FALSE,TRUE),exact(Metadata!AB835,"Not applicable"))</f>
        <v>0</v>
      </c>
      <c r="BO835">
        <f>IF(Metadata!AC835="",FALSE,TRUE)</f>
        <v>0</v>
      </c>
    </row>
    <row r="836" spans="1:67">
      <c r="A836" s="5">
        <f>IF(B836=" "," ",HYPERLINK(CONCATENATE("#metadata!",ADDRESS(INDEX($AI$2:$AI$1001,MATCH(ROWS($AG$2:AG836),$AG$2:$AG$1001,0),0),1)),INDEX($AL$2:$AL$1001,MATCH(ROWS($AG$2:AG836),$AG$2:$AG$1001,0),0)))</f>
        <v>0</v>
      </c>
      <c r="B836" s="4">
        <f>IF(OR(INDEX($AH$2:$AH$1001,MATCH(ROWS($AG$2:AG836),$AG$2:$AG$1001,0),1)&gt;=100000,INDEX($AN$1005:$BO$1005,1,MATCH(COLUMNS($AN$1006:AN1006),$AN$1006:$BO$1006,0))&gt;=100000), " ",IF(INDEX($AN$2:$BO$1001,MATCH(ROWS($AG$2:AG836),$AG$2:$AG$1001,0),MATCH(COLUMNS($AN$1006:AN1006),$AN$1006:$BO$1006,0)), HYPERLINK("#",""), HYPERLINK(CONCATENATE("#Metadata!", ADDRESS(INDEX($AI$2:$AI$1001,MATCH(ROWS($AG$2:AG836),$AG$2:$AG$1001,0),0), INDEX($AN$1004:$BO$1004,1,MATCH(COLUMNS($AN$1006:AN1006),$AN$1006:$BO$1006,0)))),"Fix")))</f>
        <v>0</v>
      </c>
      <c r="C836" s="4">
        <f>IF(OR(INDEX($AH$2:$AH$1001,MATCH(ROWS($AG$2:AG836),$AG$2:$AG$1001,0),1)&gt;=100000,INDEX($AN$1005:$BO$1005,1,MATCH(COLUMNS($AN$1006:AO1006),$AN$1006:$BO$1006,0))&gt;=100000), " ",IF(INDEX($AN$2:$BO$1001,MATCH(ROWS($AG$2:AG836),$AG$2:$AG$1001,0),MATCH(COLUMNS($AN$1006:AO1006),$AN$1006:$BO$1006,0)), HYPERLINK("#",""), HYPERLINK(CONCATENATE("#Metadata!", ADDRESS(INDEX($AI$2:$AI$1001,MATCH(ROWS($AG$2:AG836),$AG$2:$AG$1001,0),0), INDEX($AN$1004:$BO$1004,1,MATCH(COLUMNS($AN$1006:AO1006),$AN$1006:$BO$1006,0)))),"Fix")))</f>
        <v>0</v>
      </c>
      <c r="D836" s="4">
        <f>IF(OR(INDEX($AH$2:$AH$1001,MATCH(ROWS($AG$2:AG836),$AG$2:$AG$1001,0),1)&gt;=100000,INDEX($AN$1005:$BO$1005,1,MATCH(COLUMNS($AN$1006:AP1006),$AN$1006:$BO$1006,0))&gt;=100000), " ",IF(INDEX($AN$2:$BO$1001,MATCH(ROWS($AG$2:AG836),$AG$2:$AG$1001,0),MATCH(COLUMNS($AN$1006:AP1006),$AN$1006:$BO$1006,0)), HYPERLINK("#",""), HYPERLINK(CONCATENATE("#Metadata!", ADDRESS(INDEX($AI$2:$AI$1001,MATCH(ROWS($AG$2:AG836),$AG$2:$AG$1001,0),0), INDEX($AN$1004:$BO$1004,1,MATCH(COLUMNS($AN$1006:AP1006),$AN$1006:$BO$1006,0)))),"Fix")))</f>
        <v>0</v>
      </c>
      <c r="E836" s="4">
        <f>IF(OR(INDEX($AH$2:$AH$1001,MATCH(ROWS($AG$2:AG836),$AG$2:$AG$1001,0),1)&gt;=100000,INDEX($AN$1005:$BO$1005,1,MATCH(COLUMNS($AN$1006:AQ1006),$AN$1006:$BO$1006,0))&gt;=100000), " ",IF(INDEX($AN$2:$BO$1001,MATCH(ROWS($AG$2:AG836),$AG$2:$AG$1001,0),MATCH(COLUMNS($AN$1006:AQ1006),$AN$1006:$BO$1006,0)), HYPERLINK("#",""), HYPERLINK(CONCATENATE("#Metadata!", ADDRESS(INDEX($AI$2:$AI$1001,MATCH(ROWS($AG$2:AG836),$AG$2:$AG$1001,0),0), INDEX($AN$1004:$BO$1004,1,MATCH(COLUMNS($AN$1006:AQ1006),$AN$1006:$BO$1006,0)))),"Fix")))</f>
        <v>0</v>
      </c>
      <c r="F836" s="4">
        <f>IF(OR(INDEX($AH$2:$AH$1001,MATCH(ROWS($AG$2:AG836),$AG$2:$AG$1001,0),1)&gt;=100000,INDEX($AN$1005:$BO$1005,1,MATCH(COLUMNS($AN$1006:AR1006),$AN$1006:$BO$1006,0))&gt;=100000), " ",IF(INDEX($AN$2:$BO$1001,MATCH(ROWS($AG$2:AG836),$AG$2:$AG$1001,0),MATCH(COLUMNS($AN$1006:AR1006),$AN$1006:$BO$1006,0)), HYPERLINK("#",""), HYPERLINK(CONCATENATE("#Metadata!", ADDRESS(INDEX($AI$2:$AI$1001,MATCH(ROWS($AG$2:AG836),$AG$2:$AG$1001,0),0), INDEX($AN$1004:$BO$1004,1,MATCH(COLUMNS($AN$1006:AR1006),$AN$1006:$BO$1006,0)))),"Fix")))</f>
        <v>0</v>
      </c>
      <c r="G836" s="4">
        <f>IF(OR(INDEX($AH$2:$AH$1001,MATCH(ROWS($AG$2:AG836),$AG$2:$AG$1001,0),1)&gt;=100000,INDEX($AN$1005:$BO$1005,1,MATCH(COLUMNS($AN$1006:AS1006),$AN$1006:$BO$1006,0))&gt;=100000), " ",IF(INDEX($AN$2:$BO$1001,MATCH(ROWS($AG$2:AG836),$AG$2:$AG$1001,0),MATCH(COLUMNS($AN$1006:AS1006),$AN$1006:$BO$1006,0)), HYPERLINK("#",""), HYPERLINK(CONCATENATE("#Metadata!", ADDRESS(INDEX($AI$2:$AI$1001,MATCH(ROWS($AG$2:AG836),$AG$2:$AG$1001,0),0), INDEX($AN$1004:$BO$1004,1,MATCH(COLUMNS($AN$1006:AS1006),$AN$1006:$BO$1006,0)))),"Fix")))</f>
        <v>0</v>
      </c>
      <c r="H836" s="4">
        <f>IF(OR(INDEX($AH$2:$AH$1001,MATCH(ROWS($AG$2:AG836),$AG$2:$AG$1001,0),1)&gt;=100000,INDEX($AN$1005:$BO$1005,1,MATCH(COLUMNS($AN$1006:AT1006),$AN$1006:$BO$1006,0))&gt;=100000), " ",IF(INDEX($AN$2:$BO$1001,MATCH(ROWS($AG$2:AG836),$AG$2:$AG$1001,0),MATCH(COLUMNS($AN$1006:AT1006),$AN$1006:$BO$1006,0)), HYPERLINK("#",""), HYPERLINK(CONCATENATE("#Metadata!", ADDRESS(INDEX($AI$2:$AI$1001,MATCH(ROWS($AG$2:AG836),$AG$2:$AG$1001,0),0), INDEX($AN$1004:$BO$1004,1,MATCH(COLUMNS($AN$1006:AT1006),$AN$1006:$BO$1006,0)))),"Fix")))</f>
        <v>0</v>
      </c>
      <c r="I836" s="4">
        <f>IF(OR(INDEX($AH$2:$AH$1001,MATCH(ROWS($AG$2:AG836),$AG$2:$AG$1001,0),1)&gt;=100000,INDEX($AN$1005:$BO$1005,1,MATCH(COLUMNS($AN$1006:AU1006),$AN$1006:$BO$1006,0))&gt;=100000), " ",IF(INDEX($AN$2:$BO$1001,MATCH(ROWS($AG$2:AG836),$AG$2:$AG$1001,0),MATCH(COLUMNS($AN$1006:AU1006),$AN$1006:$BO$1006,0)), HYPERLINK("#",""), HYPERLINK(CONCATENATE("#Metadata!", ADDRESS(INDEX($AI$2:$AI$1001,MATCH(ROWS($AG$2:AG836),$AG$2:$AG$1001,0),0), INDEX($AN$1004:$BO$1004,1,MATCH(COLUMNS($AN$1006:AU1006),$AN$1006:$BO$1006,0)))),"Fix")))</f>
        <v>0</v>
      </c>
      <c r="J836" s="4">
        <f>IF(OR(INDEX($AH$2:$AH$1001,MATCH(ROWS($AG$2:AG836),$AG$2:$AG$1001,0),1)&gt;=100000,INDEX($AN$1005:$BO$1005,1,MATCH(COLUMNS($AN$1006:AV1006),$AN$1006:$BO$1006,0))&gt;=100000), " ",IF(INDEX($AN$2:$BO$1001,MATCH(ROWS($AG$2:AG836),$AG$2:$AG$1001,0),MATCH(COLUMNS($AN$1006:AV1006),$AN$1006:$BO$1006,0)), HYPERLINK("#",""), HYPERLINK(CONCATENATE("#Metadata!", ADDRESS(INDEX($AI$2:$AI$1001,MATCH(ROWS($AG$2:AG836),$AG$2:$AG$1001,0),0), INDEX($AN$1004:$BO$1004,1,MATCH(COLUMNS($AN$1006:AV1006),$AN$1006:$BO$1006,0)))),"Fix")))</f>
        <v>0</v>
      </c>
      <c r="K836" s="4">
        <f>IF(OR(INDEX($AH$2:$AH$1001,MATCH(ROWS($AG$2:AG836),$AG$2:$AG$1001,0),1)&gt;=100000,INDEX($AN$1005:$BO$1005,1,MATCH(COLUMNS($AN$1006:AW1006),$AN$1006:$BO$1006,0))&gt;=100000), " ",IF(INDEX($AN$2:$BO$1001,MATCH(ROWS($AG$2:AG836),$AG$2:$AG$1001,0),MATCH(COLUMNS($AN$1006:AW1006),$AN$1006:$BO$1006,0)), HYPERLINK("#",""), HYPERLINK(CONCATENATE("#Metadata!", ADDRESS(INDEX($AI$2:$AI$1001,MATCH(ROWS($AG$2:AG836),$AG$2:$AG$1001,0),0), INDEX($AN$1004:$BO$1004,1,MATCH(COLUMNS($AN$1006:AW1006),$AN$1006:$BO$1006,0)))),"Fix")))</f>
        <v>0</v>
      </c>
      <c r="L836" s="4">
        <f>IF(OR(INDEX($AH$2:$AH$1001,MATCH(ROWS($AG$2:AG836),$AG$2:$AG$1001,0),1)&gt;=100000,INDEX($AN$1005:$BO$1005,1,MATCH(COLUMNS($AN$1006:AX1006),$AN$1006:$BO$1006,0))&gt;=100000), " ",IF(INDEX($AN$2:$BO$1001,MATCH(ROWS($AG$2:AG836),$AG$2:$AG$1001,0),MATCH(COLUMNS($AN$1006:AX1006),$AN$1006:$BO$1006,0)), HYPERLINK("#",""), HYPERLINK(CONCATENATE("#Metadata!", ADDRESS(INDEX($AI$2:$AI$1001,MATCH(ROWS($AG$2:AG836),$AG$2:$AG$1001,0),0), INDEX($AN$1004:$BO$1004,1,MATCH(COLUMNS($AN$1006:AX1006),$AN$1006:$BO$1006,0)))),"Fix")))</f>
        <v>0</v>
      </c>
      <c r="M836" s="4">
        <f>IF(OR(INDEX($AH$2:$AH$1001,MATCH(ROWS($AG$2:AG836),$AG$2:$AG$1001,0),1)&gt;=100000,INDEX($AN$1005:$BO$1005,1,MATCH(COLUMNS($AN$1006:AY1006),$AN$1006:$BO$1006,0))&gt;=100000), " ",IF(INDEX($AN$2:$BO$1001,MATCH(ROWS($AG$2:AG836),$AG$2:$AG$1001,0),MATCH(COLUMNS($AN$1006:AY1006),$AN$1006:$BO$1006,0)), HYPERLINK("#",""), HYPERLINK(CONCATENATE("#Metadata!", ADDRESS(INDEX($AI$2:$AI$1001,MATCH(ROWS($AG$2:AG836),$AG$2:$AG$1001,0),0), INDEX($AN$1004:$BO$1004,1,MATCH(COLUMNS($AN$1006:AY1006),$AN$1006:$BO$1006,0)))),"Fix")))</f>
        <v>0</v>
      </c>
      <c r="N836" s="4">
        <f>IF(OR(INDEX($AH$2:$AH$1001,MATCH(ROWS($AG$2:AG836),$AG$2:$AG$1001,0),1)&gt;=100000,INDEX($AN$1005:$BO$1005,1,MATCH(COLUMNS($AN$1006:AZ1006),$AN$1006:$BO$1006,0))&gt;=100000), " ",IF(INDEX($AN$2:$BO$1001,MATCH(ROWS($AG$2:AG836),$AG$2:$AG$1001,0),MATCH(COLUMNS($AN$1006:AZ1006),$AN$1006:$BO$1006,0)), HYPERLINK("#",""), HYPERLINK(CONCATENATE("#Metadata!", ADDRESS(INDEX($AI$2:$AI$1001,MATCH(ROWS($AG$2:AG836),$AG$2:$AG$1001,0),0), INDEX($AN$1004:$BO$1004,1,MATCH(COLUMNS($AN$1006:AZ1006),$AN$1006:$BO$1006,0)))),"Fix")))</f>
        <v>0</v>
      </c>
      <c r="O836" s="4">
        <f>IF(OR(INDEX($AH$2:$AH$1001,MATCH(ROWS($AG$2:AG836),$AG$2:$AG$1001,0),1)&gt;=100000,INDEX($AN$1005:$BO$1005,1,MATCH(COLUMNS($AN$1006:BA1006),$AN$1006:$BO$1006,0))&gt;=100000), " ",IF(INDEX($AN$2:$BO$1001,MATCH(ROWS($AG$2:AG836),$AG$2:$AG$1001,0),MATCH(COLUMNS($AN$1006:BA1006),$AN$1006:$BO$1006,0)), HYPERLINK("#",""), HYPERLINK(CONCATENATE("#Metadata!", ADDRESS(INDEX($AI$2:$AI$1001,MATCH(ROWS($AG$2:AG836),$AG$2:$AG$1001,0),0), INDEX($AN$1004:$BO$1004,1,MATCH(COLUMNS($AN$1006:BA1006),$AN$1006:$BO$1006,0)))),"Fix")))</f>
        <v>0</v>
      </c>
      <c r="P836" s="4">
        <f>IF(OR(INDEX($AH$2:$AH$1001,MATCH(ROWS($AG$2:AG836),$AG$2:$AG$1001,0),1)&gt;=100000,INDEX($AN$1005:$BO$1005,1,MATCH(COLUMNS($AN$1006:BB1006),$AN$1006:$BO$1006,0))&gt;=100000), " ",IF(INDEX($AN$2:$BO$1001,MATCH(ROWS($AG$2:AG836),$AG$2:$AG$1001,0),MATCH(COLUMNS($AN$1006:BB1006),$AN$1006:$BO$1006,0)), HYPERLINK("#",""), HYPERLINK(CONCATENATE("#Metadata!", ADDRESS(INDEX($AI$2:$AI$1001,MATCH(ROWS($AG$2:AG836),$AG$2:$AG$1001,0),0), INDEX($AN$1004:$BO$1004,1,MATCH(COLUMNS($AN$1006:BB1006),$AN$1006:$BO$1006,0)))),"Fix")))</f>
        <v>0</v>
      </c>
      <c r="Q836" s="4">
        <f>IF(OR(INDEX($AH$2:$AH$1001,MATCH(ROWS($AG$2:AG836),$AG$2:$AG$1001,0),1)&gt;=100000,INDEX($AN$1005:$BO$1005,1,MATCH(COLUMNS($AN$1006:BC1006),$AN$1006:$BO$1006,0))&gt;=100000), " ",IF(INDEX($AN$2:$BO$1001,MATCH(ROWS($AG$2:AG836),$AG$2:$AG$1001,0),MATCH(COLUMNS($AN$1006:BC1006),$AN$1006:$BO$1006,0)), HYPERLINK("#",""), HYPERLINK(CONCATENATE("#Metadata!", ADDRESS(INDEX($AI$2:$AI$1001,MATCH(ROWS($AG$2:AG836),$AG$2:$AG$1001,0),0), INDEX($AN$1004:$BO$1004,1,MATCH(COLUMNS($AN$1006:BC1006),$AN$1006:$BO$1006,0)))),"Fix")))</f>
        <v>0</v>
      </c>
      <c r="R836" s="4">
        <f>IF(OR(INDEX($AH$2:$AH$1001,MATCH(ROWS($AG$2:AG836),$AG$2:$AG$1001,0),1)&gt;=100000,INDEX($AN$1005:$BO$1005,1,MATCH(COLUMNS($AN$1006:BD1006),$AN$1006:$BO$1006,0))&gt;=100000), " ",IF(INDEX($AN$2:$BO$1001,MATCH(ROWS($AG$2:AG836),$AG$2:$AG$1001,0),MATCH(COLUMNS($AN$1006:BD1006),$AN$1006:$BO$1006,0)), HYPERLINK("#",""), HYPERLINK(CONCATENATE("#Metadata!", ADDRESS(INDEX($AI$2:$AI$1001,MATCH(ROWS($AG$2:AG836),$AG$2:$AG$1001,0),0), INDEX($AN$1004:$BO$1004,1,MATCH(COLUMNS($AN$1006:BD1006),$AN$1006:$BO$1006,0)))),"Fix")))</f>
        <v>0</v>
      </c>
      <c r="S836" s="4">
        <f>IF(OR(INDEX($AH$2:$AH$1001,MATCH(ROWS($AG$2:AG836),$AG$2:$AG$1001,0),1)&gt;=100000,INDEX($AN$1005:$BO$1005,1,MATCH(COLUMNS($AN$1006:BE1006),$AN$1006:$BO$1006,0))&gt;=100000), " ",IF(INDEX($AN$2:$BO$1001,MATCH(ROWS($AG$2:AG836),$AG$2:$AG$1001,0),MATCH(COLUMNS($AN$1006:BE1006),$AN$1006:$BO$1006,0)), HYPERLINK("#",""), HYPERLINK(CONCATENATE("#Metadata!", ADDRESS(INDEX($AI$2:$AI$1001,MATCH(ROWS($AG$2:AG836),$AG$2:$AG$1001,0),0), INDEX($AN$1004:$BO$1004,1,MATCH(COLUMNS($AN$1006:BE1006),$AN$1006:$BO$1006,0)))),"Fix")))</f>
        <v>0</v>
      </c>
      <c r="T836" s="4">
        <f>IF(OR(INDEX($AH$2:$AH$1001,MATCH(ROWS($AG$2:AG836),$AG$2:$AG$1001,0),1)&gt;=100000,INDEX($AN$1005:$BO$1005,1,MATCH(COLUMNS($AN$1006:BF1006),$AN$1006:$BO$1006,0))&gt;=100000), " ",IF(INDEX($AN$2:$BO$1001,MATCH(ROWS($AG$2:AG836),$AG$2:$AG$1001,0),MATCH(COLUMNS($AN$1006:BF1006),$AN$1006:$BO$1006,0)), HYPERLINK("#",""), HYPERLINK(CONCATENATE("#Metadata!", ADDRESS(INDEX($AI$2:$AI$1001,MATCH(ROWS($AG$2:AG836),$AG$2:$AG$1001,0),0), INDEX($AN$1004:$BO$1004,1,MATCH(COLUMNS($AN$1006:BF1006),$AN$1006:$BO$1006,0)))),"Fix")))</f>
        <v>0</v>
      </c>
      <c r="U836" s="4">
        <f>IF(OR(INDEX($AH$2:$AH$1001,MATCH(ROWS($AG$2:AG836),$AG$2:$AG$1001,0),1)&gt;=100000,INDEX($AN$1005:$BO$1005,1,MATCH(COLUMNS($AN$1006:BG1006),$AN$1006:$BO$1006,0))&gt;=100000), " ",IF(INDEX($AN$2:$BO$1001,MATCH(ROWS($AG$2:AG836),$AG$2:$AG$1001,0),MATCH(COLUMNS($AN$1006:BG1006),$AN$1006:$BO$1006,0)), HYPERLINK("#",""), HYPERLINK(CONCATENATE("#Metadata!", ADDRESS(INDEX($AI$2:$AI$1001,MATCH(ROWS($AG$2:AG836),$AG$2:$AG$1001,0),0), INDEX($AN$1004:$BO$1004,1,MATCH(COLUMNS($AN$1006:BG1006),$AN$1006:$BO$1006,0)))),"Fix")))</f>
        <v>0</v>
      </c>
      <c r="V836" s="4">
        <f>IF(OR(INDEX($AH$2:$AH$1001,MATCH(ROWS($AG$2:AG836),$AG$2:$AG$1001,0),1)&gt;=100000,INDEX($AN$1005:$BO$1005,1,MATCH(COLUMNS($AN$1006:BH1006),$AN$1006:$BO$1006,0))&gt;=100000), " ",IF(INDEX($AN$2:$BO$1001,MATCH(ROWS($AG$2:AG836),$AG$2:$AG$1001,0),MATCH(COLUMNS($AN$1006:BH1006),$AN$1006:$BO$1006,0)), HYPERLINK("#",""), HYPERLINK(CONCATENATE("#Metadata!", ADDRESS(INDEX($AI$2:$AI$1001,MATCH(ROWS($AG$2:AG836),$AG$2:$AG$1001,0),0), INDEX($AN$1004:$BO$1004,1,MATCH(COLUMNS($AN$1006:BH1006),$AN$1006:$BO$1006,0)))),"Fix")))</f>
        <v>0</v>
      </c>
      <c r="W836" s="4">
        <f>IF(OR(INDEX($AH$2:$AH$1001,MATCH(ROWS($AG$2:AG836),$AG$2:$AG$1001,0),1)&gt;=100000,INDEX($AN$1005:$BO$1005,1,MATCH(COLUMNS($AN$1006:BI1006),$AN$1006:$BO$1006,0))&gt;=100000), " ",IF(INDEX($AN$2:$BO$1001,MATCH(ROWS($AG$2:AG836),$AG$2:$AG$1001,0),MATCH(COLUMNS($AN$1006:BI1006),$AN$1006:$BO$1006,0)), HYPERLINK("#",""), HYPERLINK(CONCATENATE("#Metadata!", ADDRESS(INDEX($AI$2:$AI$1001,MATCH(ROWS($AG$2:AG836),$AG$2:$AG$1001,0),0), INDEX($AN$1004:$BO$1004,1,MATCH(COLUMNS($AN$1006:BI1006),$AN$1006:$BO$1006,0)))),"Fix")))</f>
        <v>0</v>
      </c>
      <c r="X836" s="4">
        <f>IF(OR(INDEX($AH$2:$AH$1001,MATCH(ROWS($AG$2:AG836),$AG$2:$AG$1001,0),1)&gt;=100000,INDEX($AN$1005:$BO$1005,1,MATCH(COLUMNS($AN$1006:BJ1006),$AN$1006:$BO$1006,0))&gt;=100000), " ",IF(INDEX($AN$2:$BO$1001,MATCH(ROWS($AG$2:AG836),$AG$2:$AG$1001,0),MATCH(COLUMNS($AN$1006:BJ1006),$AN$1006:$BO$1006,0)), HYPERLINK("#",""), HYPERLINK(CONCATENATE("#Metadata!", ADDRESS(INDEX($AI$2:$AI$1001,MATCH(ROWS($AG$2:AG836),$AG$2:$AG$1001,0),0), INDEX($AN$1004:$BO$1004,1,MATCH(COLUMNS($AN$1006:BJ1006),$AN$1006:$BO$1006,0)))),"Fix")))</f>
        <v>0</v>
      </c>
      <c r="Y836" s="4">
        <f>IF(OR(INDEX($AH$2:$AH$1001,MATCH(ROWS($AG$2:AG836),$AG$2:$AG$1001,0),1)&gt;=100000,INDEX($AN$1005:$BO$1005,1,MATCH(COLUMNS($AN$1006:BK1006),$AN$1006:$BO$1006,0))&gt;=100000), " ",IF(INDEX($AN$2:$BO$1001,MATCH(ROWS($AG$2:AG836),$AG$2:$AG$1001,0),MATCH(COLUMNS($AN$1006:BK1006),$AN$1006:$BO$1006,0)), HYPERLINK("#",""), HYPERLINK(CONCATENATE("#Metadata!", ADDRESS(INDEX($AI$2:$AI$1001,MATCH(ROWS($AG$2:AG836),$AG$2:$AG$1001,0),0), INDEX($AN$1004:$BO$1004,1,MATCH(COLUMNS($AN$1006:BK1006),$AN$1006:$BO$1006,0)))),"Fix")))</f>
        <v>0</v>
      </c>
      <c r="Z836" s="4">
        <f>IF(OR(INDEX($AH$2:$AH$1001,MATCH(ROWS($AG$2:AG836),$AG$2:$AG$1001,0),1)&gt;=100000,INDEX($AN$1005:$BO$1005,1,MATCH(COLUMNS($AN$1006:BL1006),$AN$1006:$BO$1006,0))&gt;=100000), " ",IF(INDEX($AN$2:$BO$1001,MATCH(ROWS($AG$2:AG836),$AG$2:$AG$1001,0),MATCH(COLUMNS($AN$1006:BL1006),$AN$1006:$BO$1006,0)), HYPERLINK("#",""), HYPERLINK(CONCATENATE("#Metadata!", ADDRESS(INDEX($AI$2:$AI$1001,MATCH(ROWS($AG$2:AG836),$AG$2:$AG$1001,0),0), INDEX($AN$1004:$BO$1004,1,MATCH(COLUMNS($AN$1006:BL1006),$AN$1006:$BO$1006,0)))),"Fix")))</f>
        <v>0</v>
      </c>
      <c r="AA836" s="4">
        <f>IF(OR(INDEX($AH$2:$AH$1001,MATCH(ROWS($AG$2:AG836),$AG$2:$AG$1001,0),1)&gt;=100000,INDEX($AN$1005:$BO$1005,1,MATCH(COLUMNS($AN$1006:BM1006),$AN$1006:$BO$1006,0))&gt;=100000), " ",IF(INDEX($AN$2:$BO$1001,MATCH(ROWS($AG$2:AG836),$AG$2:$AG$1001,0),MATCH(COLUMNS($AN$1006:BM1006),$AN$1006:$BO$1006,0)), HYPERLINK("#",""), HYPERLINK(CONCATENATE("#Metadata!", ADDRESS(INDEX($AI$2:$AI$1001,MATCH(ROWS($AG$2:AG836),$AG$2:$AG$1001,0),0), INDEX($AN$1004:$BO$1004,1,MATCH(COLUMNS($AN$1006:BM1006),$AN$1006:$BO$1006,0)))),"Fix")))</f>
        <v>0</v>
      </c>
      <c r="AB836" s="4">
        <f>IF(OR(INDEX($AH$2:$AH$1001,MATCH(ROWS($AG$2:AG836),$AG$2:$AG$1001,0),1)&gt;=100000,INDEX($AN$1005:$BO$1005,1,MATCH(COLUMNS($AN$1006:BN1006),$AN$1006:$BO$1006,0))&gt;=100000), " ",IF(INDEX($AN$2:$BO$1001,MATCH(ROWS($AG$2:AG836),$AG$2:$AG$1001,0),MATCH(COLUMNS($AN$1006:BN1006),$AN$1006:$BO$1006,0)), HYPERLINK("#",""), HYPERLINK(CONCATENATE("#Metadata!", ADDRESS(INDEX($AI$2:$AI$1001,MATCH(ROWS($AG$2:AG836),$AG$2:$AG$1001,0),0), INDEX($AN$1004:$BO$1004,1,MATCH(COLUMNS($AN$1006:BN1006),$AN$1006:$BO$1006,0)))),"Fix")))</f>
        <v>0</v>
      </c>
      <c r="AC836" s="4">
        <f>IF(OR(INDEX($AH$2:$AH$1001,MATCH(ROWS($AG$2:AG836),$AG$2:$AG$1001,0),1)&gt;=100000,INDEX($AN$1005:$BO$1005,1,MATCH(COLUMNS($AN$1006:BO1006),$AN$1006:$BO$1006,0))&gt;=100000), " ",IF(INDEX($AN$2:$BO$1001,MATCH(ROWS($AG$2:AG836),$AG$2:$AG$1001,0),MATCH(COLUMNS($AN$1006:BO1006),$AN$1006:$BO$1006,0)), HYPERLINK("#",""), HYPERLINK(CONCATENATE("#Metadata!", ADDRESS(INDEX($AI$2:$AI$1001,MATCH(ROWS($AG$2:AG836),$AG$2:$AG$1001,0),0), INDEX($AN$1004:$BO$1004,1,MATCH(COLUMNS($AN$1006:BO1006),$AN$1006:$BO$1006,0)))),"Fix")))</f>
        <v>0</v>
      </c>
      <c r="AG836">
        <v>0</v>
      </c>
      <c r="AH836">
        <v>0</v>
      </c>
      <c r="AI836">
        <v>0</v>
      </c>
      <c r="AJ836">
        <f>IF(AK836,TRUE,AND(AN836:BO836))</f>
        <v>0</v>
      </c>
      <c r="AK836">
        <f>COUNTBLANK(Metadata!B836:AC836)=COLUMNS(Metadata!B836:AC836)</f>
        <v>0</v>
      </c>
      <c r="AL836">
        <v>0</v>
      </c>
      <c r="AN836">
        <f>AND(IF(Metadata!B836="",FALSE,TRUE),COUNTIF(Metadata!B:B, Metadata!B836) = 1,NOT(ISERROR(SUMPRODUCT(SEARCH(MID(Metadata!B836,ROW(INDIRECT("1:"&amp;LEN(Metadata!B836))), 1),"0123456789abcdefghijklmnopqrstuvwxyzABCDEFGHIJKLMNOPQRSTUVWXYZ.")))))</f>
        <v>0</v>
      </c>
      <c r="AO836">
        <f>IF(Metadata!C836="",FALSE,TRUE)</f>
        <v>0</v>
      </c>
      <c r="AP836">
        <f>IF(Metadata!D836="",FALSE,TRUE)</f>
        <v>0</v>
      </c>
      <c r="AQ836">
        <f>OR(AND(IF(Metadata!E836="",FALSE,TRUE),OR(exact(Metadata!E836,"not collected"),exact(Metadata!E836,"not provided"),exact(Metadata!E836,"restricted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R836">
        <f>IF(Metadata!F836="",FALSE,TRUE)</f>
        <v>0</v>
      </c>
      <c r="AS836">
        <f>OR(AND(IF(Metadata!G836="",FALSE,TRUE),OR(exact(Metadata!G836,"not collected"),exact(Metadata!G836,"not provided"))),AND(IF(Metadata!G836="",FALSE,TRUE),OR(exact(Metadata!G836,"TRUE"),exact(Metadata!G836,"FALSE"))))</f>
        <v>0</v>
      </c>
      <c r="AT836">
        <f>OR(AND(IF(Metadata!H836="",FALSE,TRUE),OR(exact(Metadata!H836,"not collected"),exact(Metadata!H836,"not provided"),exact(Metadata!H836,"restricted access"))),AND(IF(Metadata!H836="",FALSE,ISNUMBER(VALUE(Metadata!H836))),Metadata!H836&gt;=-413.0))</f>
        <v>0</v>
      </c>
      <c r="AU836">
        <f>AND(IF(Metadata!I836="",FALSE,TRUE),exact(Metadata!I836,"meters"))</f>
        <v>0</v>
      </c>
      <c r="AV836">
        <f>AND(IF(Metadata!J836="",FALSE,TRUE),OR(exact(Metadata!J836,"Host-associated"),exact(Metadata!J836,"Free-living")))</f>
        <v>0</v>
      </c>
      <c r="AW836">
        <f>AND(IF(Metadata!K836="",FALSE,TRUE),OR(exact(Metadata!K836,"Animal"),exact(Metadata!K836,"Fungus"),exact(Metadata!K836,"Plant"),exact(Metadata!K836,"Saline"),exact(Metadata!K836,"Non-saline")))</f>
        <v>0</v>
      </c>
      <c r="AX836">
        <f>AND(IF(Metadata!L836="",FALSE,TRUE),OR(exact(Metadata!L836,"Plant secretion"),exact(Metadata!L836,"Plant rhizosphere"),exact(Metadata!L836,"Plant surface"),exact(Metadata!L836,"Plant corpus"),exact(Metadata!L836,"Fungus surface"),exact(Metadata!L836,"Fungus corpus"),exact(Metadata!L836,"Animal surface"),exact(Metadata!L836,"Animal proximal gut"),exact(Metadata!L836,"Animal corpus"),exact(Metadata!L836,"Animal distal gut"),exact(Metadata!L836,"Animal secretion"),exact(Metadata!L836,"Sub-surface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Y836">
        <f>IF(Metadata!M836="",FALSE,TRUE)</f>
        <v>0</v>
      </c>
      <c r="AZ836">
        <f>IF(Metadata!N836="",FALSE,TRUE)</f>
        <v>0</v>
      </c>
      <c r="BA836">
        <f>IF(Metadata!O836="",FALSE,TRUE)</f>
        <v>0</v>
      </c>
      <c r="BB836">
        <f>OR(AND(IF(Metadata!P836="",FALSE,TRUE),OR(exact(Metadata!P836,"not collected"),exact(Metadata!P836,"not provided"),exact(Metadata!P836,"restricted access"))),AND(IF(Metadata!P836="",FALSE,TRUE),OR(exact(Metadata!P836,"air"),exact(Metadata!P836,"built environment"),exact(Metadata!P836,"host-associated"),exact(Metadata!P836,"human-associated"),exact(Metadata!P836,"human-skin"),exact(Metadata!P836,"human-oral"),exact(Metadata!P836,"human-gut"),exact(Metadata!P836,"human-vaginal"),exact(Metadata!P836,"microbial mat/biofilm"),exact(Metadata!P836,"misc environment"),exact(Metadata!P836,"plant-associated"),exact(Metadata!P836,"sediment"),exact(Metadata!P836,"soil"),exact(Metadata!P836,"wastewater/sludge"),exact(Metadata!P836,"water"))))</f>
        <v>0</v>
      </c>
      <c r="BC836">
        <f>IF(Metadata!Q836="",FALSE,TRUE)</f>
        <v>0</v>
      </c>
      <c r="BD836">
        <f>IF(Metadata!R836="",FALSE,TRUE)</f>
        <v>0</v>
      </c>
      <c r="BE836">
        <f>OR(AND(IF(Metadata!S836="",FALSE,TRUE),OR(exact(Metadata!S836,"not collected"),exact(Metadata!S836,"not provided"),exact(Metadata!S836,"restricted access"))),AND(IF(Metadata!S836="",FALSE,ISNUMBER(VALUE(Metadata!S836))),Metadata!S836&gt;=-90.00,Metadata!S836&lt;=90.00))</f>
        <v>0</v>
      </c>
      <c r="BF836">
        <f>AND(IF(Metadata!T836="",FALSE,TRUE),exact(Metadata!T836,"Decimal degrees"))</f>
        <v>0</v>
      </c>
      <c r="BG836">
        <f>OR(AND(IF(Metadata!U836="",FALSE,TRUE),OR(exact(Metadata!U836,"not collected"),exact(Metadata!U836,"not provided"),exact(Metadata!U836,"restricted access"))),AND(IF(Metadata!U836="",FALSE,ISNUMBER(VALUE(Metadata!U836))),Metadata!U836&gt;=-180.00,Metadata!U836&lt;=180.00))</f>
        <v>0</v>
      </c>
      <c r="BH836">
        <f>AND(IF(Metadata!V836="",FALSE,TRUE),exact(Metadata!V836,"Decimal degrees"))</f>
        <v>0</v>
      </c>
      <c r="BI836">
        <f>IF(Metadata!W836="",FALSE,TRUE)</f>
        <v>0</v>
      </c>
      <c r="BJ836">
        <f>OR(AND(IF(Metadata!X836="",FALSE,TRUE),OR(exact(Metadata!X836,"not collected"),exact(Metadata!X836,"not provided"),exact(Metadata!X836,"restricted access"))),AND(IF(Metadata!X836="",FALSE,TRUE),OR(exact(Metadata!X836,"TRUE"),exact(Metadata!X836,"FALSE"))))</f>
        <v>0</v>
      </c>
      <c r="BK836">
        <f>AND(IF(Metadata!Y836="",FALSE,TRUE),exact(Metadata!Y836,"other"))</f>
        <v>0</v>
      </c>
      <c r="BL836">
        <f>IF(Metadata!Z836="",FALSE,TRUE)</f>
        <v>0</v>
      </c>
      <c r="BM836">
        <f>OR(AND(IF(Metadata!AA836="",FALSE,TRUE),OR(exact(Metadata!AA836,"not collected"),exact(Metadata!AA836,"not provided"))),AND(IF(Metadata!AA836="",FALSE,IF(ISERROR(INT(Metadata!AA836)),FALSE,INT(Metadata!AA836)=Metadata!AA836)),Metadata!AA836&gt;0))</f>
        <v>0</v>
      </c>
      <c r="BN836">
        <f>AND(IF(Metadata!AB836="",FALSE,TRUE),exact(Metadata!AB836,"Not applicable"))</f>
        <v>0</v>
      </c>
      <c r="BO836">
        <f>IF(Metadata!AC836="",FALSE,TRUE)</f>
        <v>0</v>
      </c>
    </row>
    <row r="837" spans="1:67">
      <c r="A837" s="5">
        <f>IF(B837=" "," ",HYPERLINK(CONCATENATE("#metadata!",ADDRESS(INDEX($AI$2:$AI$1001,MATCH(ROWS($AG$2:AG837),$AG$2:$AG$1001,0),0),1)),INDEX($AL$2:$AL$1001,MATCH(ROWS($AG$2:AG837),$AG$2:$AG$1001,0),0)))</f>
        <v>0</v>
      </c>
      <c r="B837" s="4">
        <f>IF(OR(INDEX($AH$2:$AH$1001,MATCH(ROWS($AG$2:AG837),$AG$2:$AG$1001,0),1)&gt;=100000,INDEX($AN$1005:$BO$1005,1,MATCH(COLUMNS($AN$1006:AN1006),$AN$1006:$BO$1006,0))&gt;=100000), " ",IF(INDEX($AN$2:$BO$1001,MATCH(ROWS($AG$2:AG837),$AG$2:$AG$1001,0),MATCH(COLUMNS($AN$1006:AN1006),$AN$1006:$BO$1006,0)), HYPERLINK("#",""), HYPERLINK(CONCATENATE("#Metadata!", ADDRESS(INDEX($AI$2:$AI$1001,MATCH(ROWS($AG$2:AG837),$AG$2:$AG$1001,0),0), INDEX($AN$1004:$BO$1004,1,MATCH(COLUMNS($AN$1006:AN1006),$AN$1006:$BO$1006,0)))),"Fix")))</f>
        <v>0</v>
      </c>
      <c r="C837" s="4">
        <f>IF(OR(INDEX($AH$2:$AH$1001,MATCH(ROWS($AG$2:AG837),$AG$2:$AG$1001,0),1)&gt;=100000,INDEX($AN$1005:$BO$1005,1,MATCH(COLUMNS($AN$1006:AO1006),$AN$1006:$BO$1006,0))&gt;=100000), " ",IF(INDEX($AN$2:$BO$1001,MATCH(ROWS($AG$2:AG837),$AG$2:$AG$1001,0),MATCH(COLUMNS($AN$1006:AO1006),$AN$1006:$BO$1006,0)), HYPERLINK("#",""), HYPERLINK(CONCATENATE("#Metadata!", ADDRESS(INDEX($AI$2:$AI$1001,MATCH(ROWS($AG$2:AG837),$AG$2:$AG$1001,0),0), INDEX($AN$1004:$BO$1004,1,MATCH(COLUMNS($AN$1006:AO1006),$AN$1006:$BO$1006,0)))),"Fix")))</f>
        <v>0</v>
      </c>
      <c r="D837" s="4">
        <f>IF(OR(INDEX($AH$2:$AH$1001,MATCH(ROWS($AG$2:AG837),$AG$2:$AG$1001,0),1)&gt;=100000,INDEX($AN$1005:$BO$1005,1,MATCH(COLUMNS($AN$1006:AP1006),$AN$1006:$BO$1006,0))&gt;=100000), " ",IF(INDEX($AN$2:$BO$1001,MATCH(ROWS($AG$2:AG837),$AG$2:$AG$1001,0),MATCH(COLUMNS($AN$1006:AP1006),$AN$1006:$BO$1006,0)), HYPERLINK("#",""), HYPERLINK(CONCATENATE("#Metadata!", ADDRESS(INDEX($AI$2:$AI$1001,MATCH(ROWS($AG$2:AG837),$AG$2:$AG$1001,0),0), INDEX($AN$1004:$BO$1004,1,MATCH(COLUMNS($AN$1006:AP1006),$AN$1006:$BO$1006,0)))),"Fix")))</f>
        <v>0</v>
      </c>
      <c r="E837" s="4">
        <f>IF(OR(INDEX($AH$2:$AH$1001,MATCH(ROWS($AG$2:AG837),$AG$2:$AG$1001,0),1)&gt;=100000,INDEX($AN$1005:$BO$1005,1,MATCH(COLUMNS($AN$1006:AQ1006),$AN$1006:$BO$1006,0))&gt;=100000), " ",IF(INDEX($AN$2:$BO$1001,MATCH(ROWS($AG$2:AG837),$AG$2:$AG$1001,0),MATCH(COLUMNS($AN$1006:AQ1006),$AN$1006:$BO$1006,0)), HYPERLINK("#",""), HYPERLINK(CONCATENATE("#Metadata!", ADDRESS(INDEX($AI$2:$AI$1001,MATCH(ROWS($AG$2:AG837),$AG$2:$AG$1001,0),0), INDEX($AN$1004:$BO$1004,1,MATCH(COLUMNS($AN$1006:AQ1006),$AN$1006:$BO$1006,0)))),"Fix")))</f>
        <v>0</v>
      </c>
      <c r="F837" s="4">
        <f>IF(OR(INDEX($AH$2:$AH$1001,MATCH(ROWS($AG$2:AG837),$AG$2:$AG$1001,0),1)&gt;=100000,INDEX($AN$1005:$BO$1005,1,MATCH(COLUMNS($AN$1006:AR1006),$AN$1006:$BO$1006,0))&gt;=100000), " ",IF(INDEX($AN$2:$BO$1001,MATCH(ROWS($AG$2:AG837),$AG$2:$AG$1001,0),MATCH(COLUMNS($AN$1006:AR1006),$AN$1006:$BO$1006,0)), HYPERLINK("#",""), HYPERLINK(CONCATENATE("#Metadata!", ADDRESS(INDEX($AI$2:$AI$1001,MATCH(ROWS($AG$2:AG837),$AG$2:$AG$1001,0),0), INDEX($AN$1004:$BO$1004,1,MATCH(COLUMNS($AN$1006:AR1006),$AN$1006:$BO$1006,0)))),"Fix")))</f>
        <v>0</v>
      </c>
      <c r="G837" s="4">
        <f>IF(OR(INDEX($AH$2:$AH$1001,MATCH(ROWS($AG$2:AG837),$AG$2:$AG$1001,0),1)&gt;=100000,INDEX($AN$1005:$BO$1005,1,MATCH(COLUMNS($AN$1006:AS1006),$AN$1006:$BO$1006,0))&gt;=100000), " ",IF(INDEX($AN$2:$BO$1001,MATCH(ROWS($AG$2:AG837),$AG$2:$AG$1001,0),MATCH(COLUMNS($AN$1006:AS1006),$AN$1006:$BO$1006,0)), HYPERLINK("#",""), HYPERLINK(CONCATENATE("#Metadata!", ADDRESS(INDEX($AI$2:$AI$1001,MATCH(ROWS($AG$2:AG837),$AG$2:$AG$1001,0),0), INDEX($AN$1004:$BO$1004,1,MATCH(COLUMNS($AN$1006:AS1006),$AN$1006:$BO$1006,0)))),"Fix")))</f>
        <v>0</v>
      </c>
      <c r="H837" s="4">
        <f>IF(OR(INDEX($AH$2:$AH$1001,MATCH(ROWS($AG$2:AG837),$AG$2:$AG$1001,0),1)&gt;=100000,INDEX($AN$1005:$BO$1005,1,MATCH(COLUMNS($AN$1006:AT1006),$AN$1006:$BO$1006,0))&gt;=100000), " ",IF(INDEX($AN$2:$BO$1001,MATCH(ROWS($AG$2:AG837),$AG$2:$AG$1001,0),MATCH(COLUMNS($AN$1006:AT1006),$AN$1006:$BO$1006,0)), HYPERLINK("#",""), HYPERLINK(CONCATENATE("#Metadata!", ADDRESS(INDEX($AI$2:$AI$1001,MATCH(ROWS($AG$2:AG837),$AG$2:$AG$1001,0),0), INDEX($AN$1004:$BO$1004,1,MATCH(COLUMNS($AN$1006:AT1006),$AN$1006:$BO$1006,0)))),"Fix")))</f>
        <v>0</v>
      </c>
      <c r="I837" s="4">
        <f>IF(OR(INDEX($AH$2:$AH$1001,MATCH(ROWS($AG$2:AG837),$AG$2:$AG$1001,0),1)&gt;=100000,INDEX($AN$1005:$BO$1005,1,MATCH(COLUMNS($AN$1006:AU1006),$AN$1006:$BO$1006,0))&gt;=100000), " ",IF(INDEX($AN$2:$BO$1001,MATCH(ROWS($AG$2:AG837),$AG$2:$AG$1001,0),MATCH(COLUMNS($AN$1006:AU1006),$AN$1006:$BO$1006,0)), HYPERLINK("#",""), HYPERLINK(CONCATENATE("#Metadata!", ADDRESS(INDEX($AI$2:$AI$1001,MATCH(ROWS($AG$2:AG837),$AG$2:$AG$1001,0),0), INDEX($AN$1004:$BO$1004,1,MATCH(COLUMNS($AN$1006:AU1006),$AN$1006:$BO$1006,0)))),"Fix")))</f>
        <v>0</v>
      </c>
      <c r="J837" s="4">
        <f>IF(OR(INDEX($AH$2:$AH$1001,MATCH(ROWS($AG$2:AG837),$AG$2:$AG$1001,0),1)&gt;=100000,INDEX($AN$1005:$BO$1005,1,MATCH(COLUMNS($AN$1006:AV1006),$AN$1006:$BO$1006,0))&gt;=100000), " ",IF(INDEX($AN$2:$BO$1001,MATCH(ROWS($AG$2:AG837),$AG$2:$AG$1001,0),MATCH(COLUMNS($AN$1006:AV1006),$AN$1006:$BO$1006,0)), HYPERLINK("#",""), HYPERLINK(CONCATENATE("#Metadata!", ADDRESS(INDEX($AI$2:$AI$1001,MATCH(ROWS($AG$2:AG837),$AG$2:$AG$1001,0),0), INDEX($AN$1004:$BO$1004,1,MATCH(COLUMNS($AN$1006:AV1006),$AN$1006:$BO$1006,0)))),"Fix")))</f>
        <v>0</v>
      </c>
      <c r="K837" s="4">
        <f>IF(OR(INDEX($AH$2:$AH$1001,MATCH(ROWS($AG$2:AG837),$AG$2:$AG$1001,0),1)&gt;=100000,INDEX($AN$1005:$BO$1005,1,MATCH(COLUMNS($AN$1006:AW1006),$AN$1006:$BO$1006,0))&gt;=100000), " ",IF(INDEX($AN$2:$BO$1001,MATCH(ROWS($AG$2:AG837),$AG$2:$AG$1001,0),MATCH(COLUMNS($AN$1006:AW1006),$AN$1006:$BO$1006,0)), HYPERLINK("#",""), HYPERLINK(CONCATENATE("#Metadata!", ADDRESS(INDEX($AI$2:$AI$1001,MATCH(ROWS($AG$2:AG837),$AG$2:$AG$1001,0),0), INDEX($AN$1004:$BO$1004,1,MATCH(COLUMNS($AN$1006:AW1006),$AN$1006:$BO$1006,0)))),"Fix")))</f>
        <v>0</v>
      </c>
      <c r="L837" s="4">
        <f>IF(OR(INDEX($AH$2:$AH$1001,MATCH(ROWS($AG$2:AG837),$AG$2:$AG$1001,0),1)&gt;=100000,INDEX($AN$1005:$BO$1005,1,MATCH(COLUMNS($AN$1006:AX1006),$AN$1006:$BO$1006,0))&gt;=100000), " ",IF(INDEX($AN$2:$BO$1001,MATCH(ROWS($AG$2:AG837),$AG$2:$AG$1001,0),MATCH(COLUMNS($AN$1006:AX1006),$AN$1006:$BO$1006,0)), HYPERLINK("#",""), HYPERLINK(CONCATENATE("#Metadata!", ADDRESS(INDEX($AI$2:$AI$1001,MATCH(ROWS($AG$2:AG837),$AG$2:$AG$1001,0),0), INDEX($AN$1004:$BO$1004,1,MATCH(COLUMNS($AN$1006:AX1006),$AN$1006:$BO$1006,0)))),"Fix")))</f>
        <v>0</v>
      </c>
      <c r="M837" s="4">
        <f>IF(OR(INDEX($AH$2:$AH$1001,MATCH(ROWS($AG$2:AG837),$AG$2:$AG$1001,0),1)&gt;=100000,INDEX($AN$1005:$BO$1005,1,MATCH(COLUMNS($AN$1006:AY1006),$AN$1006:$BO$1006,0))&gt;=100000), " ",IF(INDEX($AN$2:$BO$1001,MATCH(ROWS($AG$2:AG837),$AG$2:$AG$1001,0),MATCH(COLUMNS($AN$1006:AY1006),$AN$1006:$BO$1006,0)), HYPERLINK("#",""), HYPERLINK(CONCATENATE("#Metadata!", ADDRESS(INDEX($AI$2:$AI$1001,MATCH(ROWS($AG$2:AG837),$AG$2:$AG$1001,0),0), INDEX($AN$1004:$BO$1004,1,MATCH(COLUMNS($AN$1006:AY1006),$AN$1006:$BO$1006,0)))),"Fix")))</f>
        <v>0</v>
      </c>
      <c r="N837" s="4">
        <f>IF(OR(INDEX($AH$2:$AH$1001,MATCH(ROWS($AG$2:AG837),$AG$2:$AG$1001,0),1)&gt;=100000,INDEX($AN$1005:$BO$1005,1,MATCH(COLUMNS($AN$1006:AZ1006),$AN$1006:$BO$1006,0))&gt;=100000), " ",IF(INDEX($AN$2:$BO$1001,MATCH(ROWS($AG$2:AG837),$AG$2:$AG$1001,0),MATCH(COLUMNS($AN$1006:AZ1006),$AN$1006:$BO$1006,0)), HYPERLINK("#",""), HYPERLINK(CONCATENATE("#Metadata!", ADDRESS(INDEX($AI$2:$AI$1001,MATCH(ROWS($AG$2:AG837),$AG$2:$AG$1001,0),0), INDEX($AN$1004:$BO$1004,1,MATCH(COLUMNS($AN$1006:AZ1006),$AN$1006:$BO$1006,0)))),"Fix")))</f>
        <v>0</v>
      </c>
      <c r="O837" s="4">
        <f>IF(OR(INDEX($AH$2:$AH$1001,MATCH(ROWS($AG$2:AG837),$AG$2:$AG$1001,0),1)&gt;=100000,INDEX($AN$1005:$BO$1005,1,MATCH(COLUMNS($AN$1006:BA1006),$AN$1006:$BO$1006,0))&gt;=100000), " ",IF(INDEX($AN$2:$BO$1001,MATCH(ROWS($AG$2:AG837),$AG$2:$AG$1001,0),MATCH(COLUMNS($AN$1006:BA1006),$AN$1006:$BO$1006,0)), HYPERLINK("#",""), HYPERLINK(CONCATENATE("#Metadata!", ADDRESS(INDEX($AI$2:$AI$1001,MATCH(ROWS($AG$2:AG837),$AG$2:$AG$1001,0),0), INDEX($AN$1004:$BO$1004,1,MATCH(COLUMNS($AN$1006:BA1006),$AN$1006:$BO$1006,0)))),"Fix")))</f>
        <v>0</v>
      </c>
      <c r="P837" s="4">
        <f>IF(OR(INDEX($AH$2:$AH$1001,MATCH(ROWS($AG$2:AG837),$AG$2:$AG$1001,0),1)&gt;=100000,INDEX($AN$1005:$BO$1005,1,MATCH(COLUMNS($AN$1006:BB1006),$AN$1006:$BO$1006,0))&gt;=100000), " ",IF(INDEX($AN$2:$BO$1001,MATCH(ROWS($AG$2:AG837),$AG$2:$AG$1001,0),MATCH(COLUMNS($AN$1006:BB1006),$AN$1006:$BO$1006,0)), HYPERLINK("#",""), HYPERLINK(CONCATENATE("#Metadata!", ADDRESS(INDEX($AI$2:$AI$1001,MATCH(ROWS($AG$2:AG837),$AG$2:$AG$1001,0),0), INDEX($AN$1004:$BO$1004,1,MATCH(COLUMNS($AN$1006:BB1006),$AN$1006:$BO$1006,0)))),"Fix")))</f>
        <v>0</v>
      </c>
      <c r="Q837" s="4">
        <f>IF(OR(INDEX($AH$2:$AH$1001,MATCH(ROWS($AG$2:AG837),$AG$2:$AG$1001,0),1)&gt;=100000,INDEX($AN$1005:$BO$1005,1,MATCH(COLUMNS($AN$1006:BC1006),$AN$1006:$BO$1006,0))&gt;=100000), " ",IF(INDEX($AN$2:$BO$1001,MATCH(ROWS($AG$2:AG837),$AG$2:$AG$1001,0),MATCH(COLUMNS($AN$1006:BC1006),$AN$1006:$BO$1006,0)), HYPERLINK("#",""), HYPERLINK(CONCATENATE("#Metadata!", ADDRESS(INDEX($AI$2:$AI$1001,MATCH(ROWS($AG$2:AG837),$AG$2:$AG$1001,0),0), INDEX($AN$1004:$BO$1004,1,MATCH(COLUMNS($AN$1006:BC1006),$AN$1006:$BO$1006,0)))),"Fix")))</f>
        <v>0</v>
      </c>
      <c r="R837" s="4">
        <f>IF(OR(INDEX($AH$2:$AH$1001,MATCH(ROWS($AG$2:AG837),$AG$2:$AG$1001,0),1)&gt;=100000,INDEX($AN$1005:$BO$1005,1,MATCH(COLUMNS($AN$1006:BD1006),$AN$1006:$BO$1006,0))&gt;=100000), " ",IF(INDEX($AN$2:$BO$1001,MATCH(ROWS($AG$2:AG837),$AG$2:$AG$1001,0),MATCH(COLUMNS($AN$1006:BD1006),$AN$1006:$BO$1006,0)), HYPERLINK("#",""), HYPERLINK(CONCATENATE("#Metadata!", ADDRESS(INDEX($AI$2:$AI$1001,MATCH(ROWS($AG$2:AG837),$AG$2:$AG$1001,0),0), INDEX($AN$1004:$BO$1004,1,MATCH(COLUMNS($AN$1006:BD1006),$AN$1006:$BO$1006,0)))),"Fix")))</f>
        <v>0</v>
      </c>
      <c r="S837" s="4">
        <f>IF(OR(INDEX($AH$2:$AH$1001,MATCH(ROWS($AG$2:AG837),$AG$2:$AG$1001,0),1)&gt;=100000,INDEX($AN$1005:$BO$1005,1,MATCH(COLUMNS($AN$1006:BE1006),$AN$1006:$BO$1006,0))&gt;=100000), " ",IF(INDEX($AN$2:$BO$1001,MATCH(ROWS($AG$2:AG837),$AG$2:$AG$1001,0),MATCH(COLUMNS($AN$1006:BE1006),$AN$1006:$BO$1006,0)), HYPERLINK("#",""), HYPERLINK(CONCATENATE("#Metadata!", ADDRESS(INDEX($AI$2:$AI$1001,MATCH(ROWS($AG$2:AG837),$AG$2:$AG$1001,0),0), INDEX($AN$1004:$BO$1004,1,MATCH(COLUMNS($AN$1006:BE1006),$AN$1006:$BO$1006,0)))),"Fix")))</f>
        <v>0</v>
      </c>
      <c r="T837" s="4">
        <f>IF(OR(INDEX($AH$2:$AH$1001,MATCH(ROWS($AG$2:AG837),$AG$2:$AG$1001,0),1)&gt;=100000,INDEX($AN$1005:$BO$1005,1,MATCH(COLUMNS($AN$1006:BF1006),$AN$1006:$BO$1006,0))&gt;=100000), " ",IF(INDEX($AN$2:$BO$1001,MATCH(ROWS($AG$2:AG837),$AG$2:$AG$1001,0),MATCH(COLUMNS($AN$1006:BF1006),$AN$1006:$BO$1006,0)), HYPERLINK("#",""), HYPERLINK(CONCATENATE("#Metadata!", ADDRESS(INDEX($AI$2:$AI$1001,MATCH(ROWS($AG$2:AG837),$AG$2:$AG$1001,0),0), INDEX($AN$1004:$BO$1004,1,MATCH(COLUMNS($AN$1006:BF1006),$AN$1006:$BO$1006,0)))),"Fix")))</f>
        <v>0</v>
      </c>
      <c r="U837" s="4">
        <f>IF(OR(INDEX($AH$2:$AH$1001,MATCH(ROWS($AG$2:AG837),$AG$2:$AG$1001,0),1)&gt;=100000,INDEX($AN$1005:$BO$1005,1,MATCH(COLUMNS($AN$1006:BG1006),$AN$1006:$BO$1006,0))&gt;=100000), " ",IF(INDEX($AN$2:$BO$1001,MATCH(ROWS($AG$2:AG837),$AG$2:$AG$1001,0),MATCH(COLUMNS($AN$1006:BG1006),$AN$1006:$BO$1006,0)), HYPERLINK("#",""), HYPERLINK(CONCATENATE("#Metadata!", ADDRESS(INDEX($AI$2:$AI$1001,MATCH(ROWS($AG$2:AG837),$AG$2:$AG$1001,0),0), INDEX($AN$1004:$BO$1004,1,MATCH(COLUMNS($AN$1006:BG1006),$AN$1006:$BO$1006,0)))),"Fix")))</f>
        <v>0</v>
      </c>
      <c r="V837" s="4">
        <f>IF(OR(INDEX($AH$2:$AH$1001,MATCH(ROWS($AG$2:AG837),$AG$2:$AG$1001,0),1)&gt;=100000,INDEX($AN$1005:$BO$1005,1,MATCH(COLUMNS($AN$1006:BH1006),$AN$1006:$BO$1006,0))&gt;=100000), " ",IF(INDEX($AN$2:$BO$1001,MATCH(ROWS($AG$2:AG837),$AG$2:$AG$1001,0),MATCH(COLUMNS($AN$1006:BH1006),$AN$1006:$BO$1006,0)), HYPERLINK("#",""), HYPERLINK(CONCATENATE("#Metadata!", ADDRESS(INDEX($AI$2:$AI$1001,MATCH(ROWS($AG$2:AG837),$AG$2:$AG$1001,0),0), INDEX($AN$1004:$BO$1004,1,MATCH(COLUMNS($AN$1006:BH1006),$AN$1006:$BO$1006,0)))),"Fix")))</f>
        <v>0</v>
      </c>
      <c r="W837" s="4">
        <f>IF(OR(INDEX($AH$2:$AH$1001,MATCH(ROWS($AG$2:AG837),$AG$2:$AG$1001,0),1)&gt;=100000,INDEX($AN$1005:$BO$1005,1,MATCH(COLUMNS($AN$1006:BI1006),$AN$1006:$BO$1006,0))&gt;=100000), " ",IF(INDEX($AN$2:$BO$1001,MATCH(ROWS($AG$2:AG837),$AG$2:$AG$1001,0),MATCH(COLUMNS($AN$1006:BI1006),$AN$1006:$BO$1006,0)), HYPERLINK("#",""), HYPERLINK(CONCATENATE("#Metadata!", ADDRESS(INDEX($AI$2:$AI$1001,MATCH(ROWS($AG$2:AG837),$AG$2:$AG$1001,0),0), INDEX($AN$1004:$BO$1004,1,MATCH(COLUMNS($AN$1006:BI1006),$AN$1006:$BO$1006,0)))),"Fix")))</f>
        <v>0</v>
      </c>
      <c r="X837" s="4">
        <f>IF(OR(INDEX($AH$2:$AH$1001,MATCH(ROWS($AG$2:AG837),$AG$2:$AG$1001,0),1)&gt;=100000,INDEX($AN$1005:$BO$1005,1,MATCH(COLUMNS($AN$1006:BJ1006),$AN$1006:$BO$1006,0))&gt;=100000), " ",IF(INDEX($AN$2:$BO$1001,MATCH(ROWS($AG$2:AG837),$AG$2:$AG$1001,0),MATCH(COLUMNS($AN$1006:BJ1006),$AN$1006:$BO$1006,0)), HYPERLINK("#",""), HYPERLINK(CONCATENATE("#Metadata!", ADDRESS(INDEX($AI$2:$AI$1001,MATCH(ROWS($AG$2:AG837),$AG$2:$AG$1001,0),0), INDEX($AN$1004:$BO$1004,1,MATCH(COLUMNS($AN$1006:BJ1006),$AN$1006:$BO$1006,0)))),"Fix")))</f>
        <v>0</v>
      </c>
      <c r="Y837" s="4">
        <f>IF(OR(INDEX($AH$2:$AH$1001,MATCH(ROWS($AG$2:AG837),$AG$2:$AG$1001,0),1)&gt;=100000,INDEX($AN$1005:$BO$1005,1,MATCH(COLUMNS($AN$1006:BK1006),$AN$1006:$BO$1006,0))&gt;=100000), " ",IF(INDEX($AN$2:$BO$1001,MATCH(ROWS($AG$2:AG837),$AG$2:$AG$1001,0),MATCH(COLUMNS($AN$1006:BK1006),$AN$1006:$BO$1006,0)), HYPERLINK("#",""), HYPERLINK(CONCATENATE("#Metadata!", ADDRESS(INDEX($AI$2:$AI$1001,MATCH(ROWS($AG$2:AG837),$AG$2:$AG$1001,0),0), INDEX($AN$1004:$BO$1004,1,MATCH(COLUMNS($AN$1006:BK1006),$AN$1006:$BO$1006,0)))),"Fix")))</f>
        <v>0</v>
      </c>
      <c r="Z837" s="4">
        <f>IF(OR(INDEX($AH$2:$AH$1001,MATCH(ROWS($AG$2:AG837),$AG$2:$AG$1001,0),1)&gt;=100000,INDEX($AN$1005:$BO$1005,1,MATCH(COLUMNS($AN$1006:BL1006),$AN$1006:$BO$1006,0))&gt;=100000), " ",IF(INDEX($AN$2:$BO$1001,MATCH(ROWS($AG$2:AG837),$AG$2:$AG$1001,0),MATCH(COLUMNS($AN$1006:BL1006),$AN$1006:$BO$1006,0)), HYPERLINK("#",""), HYPERLINK(CONCATENATE("#Metadata!", ADDRESS(INDEX($AI$2:$AI$1001,MATCH(ROWS($AG$2:AG837),$AG$2:$AG$1001,0),0), INDEX($AN$1004:$BO$1004,1,MATCH(COLUMNS($AN$1006:BL1006),$AN$1006:$BO$1006,0)))),"Fix")))</f>
        <v>0</v>
      </c>
      <c r="AA837" s="4">
        <f>IF(OR(INDEX($AH$2:$AH$1001,MATCH(ROWS($AG$2:AG837),$AG$2:$AG$1001,0),1)&gt;=100000,INDEX($AN$1005:$BO$1005,1,MATCH(COLUMNS($AN$1006:BM1006),$AN$1006:$BO$1006,0))&gt;=100000), " ",IF(INDEX($AN$2:$BO$1001,MATCH(ROWS($AG$2:AG837),$AG$2:$AG$1001,0),MATCH(COLUMNS($AN$1006:BM1006),$AN$1006:$BO$1006,0)), HYPERLINK("#",""), HYPERLINK(CONCATENATE("#Metadata!", ADDRESS(INDEX($AI$2:$AI$1001,MATCH(ROWS($AG$2:AG837),$AG$2:$AG$1001,0),0), INDEX($AN$1004:$BO$1004,1,MATCH(COLUMNS($AN$1006:BM1006),$AN$1006:$BO$1006,0)))),"Fix")))</f>
        <v>0</v>
      </c>
      <c r="AB837" s="4">
        <f>IF(OR(INDEX($AH$2:$AH$1001,MATCH(ROWS($AG$2:AG837),$AG$2:$AG$1001,0),1)&gt;=100000,INDEX($AN$1005:$BO$1005,1,MATCH(COLUMNS($AN$1006:BN1006),$AN$1006:$BO$1006,0))&gt;=100000), " ",IF(INDEX($AN$2:$BO$1001,MATCH(ROWS($AG$2:AG837),$AG$2:$AG$1001,0),MATCH(COLUMNS($AN$1006:BN1006),$AN$1006:$BO$1006,0)), HYPERLINK("#",""), HYPERLINK(CONCATENATE("#Metadata!", ADDRESS(INDEX($AI$2:$AI$1001,MATCH(ROWS($AG$2:AG837),$AG$2:$AG$1001,0),0), INDEX($AN$1004:$BO$1004,1,MATCH(COLUMNS($AN$1006:BN1006),$AN$1006:$BO$1006,0)))),"Fix")))</f>
        <v>0</v>
      </c>
      <c r="AC837" s="4">
        <f>IF(OR(INDEX($AH$2:$AH$1001,MATCH(ROWS($AG$2:AG837),$AG$2:$AG$1001,0),1)&gt;=100000,INDEX($AN$1005:$BO$1005,1,MATCH(COLUMNS($AN$1006:BO1006),$AN$1006:$BO$1006,0))&gt;=100000), " ",IF(INDEX($AN$2:$BO$1001,MATCH(ROWS($AG$2:AG837),$AG$2:$AG$1001,0),MATCH(COLUMNS($AN$1006:BO1006),$AN$1006:$BO$1006,0)), HYPERLINK("#",""), HYPERLINK(CONCATENATE("#Metadata!", ADDRESS(INDEX($AI$2:$AI$1001,MATCH(ROWS($AG$2:AG837),$AG$2:$AG$1001,0),0), INDEX($AN$1004:$BO$1004,1,MATCH(COLUMNS($AN$1006:BO1006),$AN$1006:$BO$1006,0)))),"Fix")))</f>
        <v>0</v>
      </c>
      <c r="AG837">
        <v>0</v>
      </c>
      <c r="AH837">
        <v>0</v>
      </c>
      <c r="AI837">
        <v>0</v>
      </c>
      <c r="AJ837">
        <f>IF(AK837,TRUE,AND(AN837:BO837))</f>
        <v>0</v>
      </c>
      <c r="AK837">
        <f>COUNTBLANK(Metadata!B837:AC837)=COLUMNS(Metadata!B837:AC837)</f>
        <v>0</v>
      </c>
      <c r="AL837">
        <v>0</v>
      </c>
      <c r="AN837">
        <f>AND(IF(Metadata!B837="",FALSE,TRUE),COUNTIF(Metadata!B:B, Metadata!B837) = 1,NOT(ISERROR(SUMPRODUCT(SEARCH(MID(Metadata!B837,ROW(INDIRECT("1:"&amp;LEN(Metadata!B837))), 1),"0123456789abcdefghijklmnopqrstuvwxyzABCDEFGHIJKLMNOPQRSTUVWXYZ.")))))</f>
        <v>0</v>
      </c>
      <c r="AO837">
        <f>IF(Metadata!C837="",FALSE,TRUE)</f>
        <v>0</v>
      </c>
      <c r="AP837">
        <f>IF(Metadata!D837="",FALSE,TRUE)</f>
        <v>0</v>
      </c>
      <c r="AQ837">
        <f>OR(AND(IF(Metadata!E837="",FALSE,TRUE),OR(exact(Metadata!E837,"not collected"),exact(Metadata!E837,"not provided"),exact(Metadata!E837,"restricted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R837">
        <f>IF(Metadata!F837="",FALSE,TRUE)</f>
        <v>0</v>
      </c>
      <c r="AS837">
        <f>OR(AND(IF(Metadata!G837="",FALSE,TRUE),OR(exact(Metadata!G837,"not collected"),exact(Metadata!G837,"not provided"))),AND(IF(Metadata!G837="",FALSE,TRUE),OR(exact(Metadata!G837,"TRUE"),exact(Metadata!G837,"FALSE"))))</f>
        <v>0</v>
      </c>
      <c r="AT837">
        <f>OR(AND(IF(Metadata!H837="",FALSE,TRUE),OR(exact(Metadata!H837,"not collected"),exact(Metadata!H837,"not provided"),exact(Metadata!H837,"restricted access"))),AND(IF(Metadata!H837="",FALSE,ISNUMBER(VALUE(Metadata!H837))),Metadata!H837&gt;=-413.0))</f>
        <v>0</v>
      </c>
      <c r="AU837">
        <f>AND(IF(Metadata!I837="",FALSE,TRUE),exact(Metadata!I837,"meters"))</f>
        <v>0</v>
      </c>
      <c r="AV837">
        <f>AND(IF(Metadata!J837="",FALSE,TRUE),OR(exact(Metadata!J837,"Host-associated"),exact(Metadata!J837,"Free-living")))</f>
        <v>0</v>
      </c>
      <c r="AW837">
        <f>AND(IF(Metadata!K837="",FALSE,TRUE),OR(exact(Metadata!K837,"Animal"),exact(Metadata!K837,"Fungus"),exact(Metadata!K837,"Plant"),exact(Metadata!K837,"Saline"),exact(Metadata!K837,"Non-saline")))</f>
        <v>0</v>
      </c>
      <c r="AX837">
        <f>AND(IF(Metadata!L837="",FALSE,TRUE),OR(exact(Metadata!L837,"Plant secretion"),exact(Metadata!L837,"Plant rhizosphere"),exact(Metadata!L837,"Plant surface"),exact(Metadata!L837,"Plant corpus"),exact(Metadata!L837,"Fungus surface"),exact(Metadata!L837,"Fungus corpus"),exact(Metadata!L837,"Animal surface"),exact(Metadata!L837,"Animal proximal gut"),exact(Metadata!L837,"Animal corpus"),exact(Metadata!L837,"Animal distal gut"),exact(Metadata!L837,"Animal secretion"),exact(Metadata!L837,"Sub-surface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Y837">
        <f>IF(Metadata!M837="",FALSE,TRUE)</f>
        <v>0</v>
      </c>
      <c r="AZ837">
        <f>IF(Metadata!N837="",FALSE,TRUE)</f>
        <v>0</v>
      </c>
      <c r="BA837">
        <f>IF(Metadata!O837="",FALSE,TRUE)</f>
        <v>0</v>
      </c>
      <c r="BB837">
        <f>OR(AND(IF(Metadata!P837="",FALSE,TRUE),OR(exact(Metadata!P837,"not collected"),exact(Metadata!P837,"not provided"),exact(Metadata!P837,"restricted access"))),AND(IF(Metadata!P837="",FALSE,TRUE),OR(exact(Metadata!P837,"air"),exact(Metadata!P837,"built environment"),exact(Metadata!P837,"host-associated"),exact(Metadata!P837,"human-associated"),exact(Metadata!P837,"human-skin"),exact(Metadata!P837,"human-oral"),exact(Metadata!P837,"human-gut"),exact(Metadata!P837,"human-vaginal"),exact(Metadata!P837,"microbial mat/biofilm"),exact(Metadata!P837,"misc environment"),exact(Metadata!P837,"plant-associated"),exact(Metadata!P837,"sediment"),exact(Metadata!P837,"soil"),exact(Metadata!P837,"wastewater/sludge"),exact(Metadata!P837,"water"))))</f>
        <v>0</v>
      </c>
      <c r="BC837">
        <f>IF(Metadata!Q837="",FALSE,TRUE)</f>
        <v>0</v>
      </c>
      <c r="BD837">
        <f>IF(Metadata!R837="",FALSE,TRUE)</f>
        <v>0</v>
      </c>
      <c r="BE837">
        <f>OR(AND(IF(Metadata!S837="",FALSE,TRUE),OR(exact(Metadata!S837,"not collected"),exact(Metadata!S837,"not provided"),exact(Metadata!S837,"restricted access"))),AND(IF(Metadata!S837="",FALSE,ISNUMBER(VALUE(Metadata!S837))),Metadata!S837&gt;=-90.00,Metadata!S837&lt;=90.00))</f>
        <v>0</v>
      </c>
      <c r="BF837">
        <f>AND(IF(Metadata!T837="",FALSE,TRUE),exact(Metadata!T837,"Decimal degrees"))</f>
        <v>0</v>
      </c>
      <c r="BG837">
        <f>OR(AND(IF(Metadata!U837="",FALSE,TRUE),OR(exact(Metadata!U837,"not collected"),exact(Metadata!U837,"not provided"),exact(Metadata!U837,"restricted access"))),AND(IF(Metadata!U837="",FALSE,ISNUMBER(VALUE(Metadata!U837))),Metadata!U837&gt;=-180.00,Metadata!U837&lt;=180.00))</f>
        <v>0</v>
      </c>
      <c r="BH837">
        <f>AND(IF(Metadata!V837="",FALSE,TRUE),exact(Metadata!V837,"Decimal degrees"))</f>
        <v>0</v>
      </c>
      <c r="BI837">
        <f>IF(Metadata!W837="",FALSE,TRUE)</f>
        <v>0</v>
      </c>
      <c r="BJ837">
        <f>OR(AND(IF(Metadata!X837="",FALSE,TRUE),OR(exact(Metadata!X837,"not collected"),exact(Metadata!X837,"not provided"),exact(Metadata!X837,"restricted access"))),AND(IF(Metadata!X837="",FALSE,TRUE),OR(exact(Metadata!X837,"TRUE"),exact(Metadata!X837,"FALSE"))))</f>
        <v>0</v>
      </c>
      <c r="BK837">
        <f>AND(IF(Metadata!Y837="",FALSE,TRUE),exact(Metadata!Y837,"other"))</f>
        <v>0</v>
      </c>
      <c r="BL837">
        <f>IF(Metadata!Z837="",FALSE,TRUE)</f>
        <v>0</v>
      </c>
      <c r="BM837">
        <f>OR(AND(IF(Metadata!AA837="",FALSE,TRUE),OR(exact(Metadata!AA837,"not collected"),exact(Metadata!AA837,"not provided"))),AND(IF(Metadata!AA837="",FALSE,IF(ISERROR(INT(Metadata!AA837)),FALSE,INT(Metadata!AA837)=Metadata!AA837)),Metadata!AA837&gt;0))</f>
        <v>0</v>
      </c>
      <c r="BN837">
        <f>AND(IF(Metadata!AB837="",FALSE,TRUE),exact(Metadata!AB837,"Not applicable"))</f>
        <v>0</v>
      </c>
      <c r="BO837">
        <f>IF(Metadata!AC837="",FALSE,TRUE)</f>
        <v>0</v>
      </c>
    </row>
    <row r="838" spans="1:67">
      <c r="A838" s="5">
        <f>IF(B838=" "," ",HYPERLINK(CONCATENATE("#metadata!",ADDRESS(INDEX($AI$2:$AI$1001,MATCH(ROWS($AG$2:AG838),$AG$2:$AG$1001,0),0),1)),INDEX($AL$2:$AL$1001,MATCH(ROWS($AG$2:AG838),$AG$2:$AG$1001,0),0)))</f>
        <v>0</v>
      </c>
      <c r="B838" s="4">
        <f>IF(OR(INDEX($AH$2:$AH$1001,MATCH(ROWS($AG$2:AG838),$AG$2:$AG$1001,0),1)&gt;=100000,INDEX($AN$1005:$BO$1005,1,MATCH(COLUMNS($AN$1006:AN1006),$AN$1006:$BO$1006,0))&gt;=100000), " ",IF(INDEX($AN$2:$BO$1001,MATCH(ROWS($AG$2:AG838),$AG$2:$AG$1001,0),MATCH(COLUMNS($AN$1006:AN1006),$AN$1006:$BO$1006,0)), HYPERLINK("#",""), HYPERLINK(CONCATENATE("#Metadata!", ADDRESS(INDEX($AI$2:$AI$1001,MATCH(ROWS($AG$2:AG838),$AG$2:$AG$1001,0),0), INDEX($AN$1004:$BO$1004,1,MATCH(COLUMNS($AN$1006:AN1006),$AN$1006:$BO$1006,0)))),"Fix")))</f>
        <v>0</v>
      </c>
      <c r="C838" s="4">
        <f>IF(OR(INDEX($AH$2:$AH$1001,MATCH(ROWS($AG$2:AG838),$AG$2:$AG$1001,0),1)&gt;=100000,INDEX($AN$1005:$BO$1005,1,MATCH(COLUMNS($AN$1006:AO1006),$AN$1006:$BO$1006,0))&gt;=100000), " ",IF(INDEX($AN$2:$BO$1001,MATCH(ROWS($AG$2:AG838),$AG$2:$AG$1001,0),MATCH(COLUMNS($AN$1006:AO1006),$AN$1006:$BO$1006,0)), HYPERLINK("#",""), HYPERLINK(CONCATENATE("#Metadata!", ADDRESS(INDEX($AI$2:$AI$1001,MATCH(ROWS($AG$2:AG838),$AG$2:$AG$1001,0),0), INDEX($AN$1004:$BO$1004,1,MATCH(COLUMNS($AN$1006:AO1006),$AN$1006:$BO$1006,0)))),"Fix")))</f>
        <v>0</v>
      </c>
      <c r="D838" s="4">
        <f>IF(OR(INDEX($AH$2:$AH$1001,MATCH(ROWS($AG$2:AG838),$AG$2:$AG$1001,0),1)&gt;=100000,INDEX($AN$1005:$BO$1005,1,MATCH(COLUMNS($AN$1006:AP1006),$AN$1006:$BO$1006,0))&gt;=100000), " ",IF(INDEX($AN$2:$BO$1001,MATCH(ROWS($AG$2:AG838),$AG$2:$AG$1001,0),MATCH(COLUMNS($AN$1006:AP1006),$AN$1006:$BO$1006,0)), HYPERLINK("#",""), HYPERLINK(CONCATENATE("#Metadata!", ADDRESS(INDEX($AI$2:$AI$1001,MATCH(ROWS($AG$2:AG838),$AG$2:$AG$1001,0),0), INDEX($AN$1004:$BO$1004,1,MATCH(COLUMNS($AN$1006:AP1006),$AN$1006:$BO$1006,0)))),"Fix")))</f>
        <v>0</v>
      </c>
      <c r="E838" s="4">
        <f>IF(OR(INDEX($AH$2:$AH$1001,MATCH(ROWS($AG$2:AG838),$AG$2:$AG$1001,0),1)&gt;=100000,INDEX($AN$1005:$BO$1005,1,MATCH(COLUMNS($AN$1006:AQ1006),$AN$1006:$BO$1006,0))&gt;=100000), " ",IF(INDEX($AN$2:$BO$1001,MATCH(ROWS($AG$2:AG838),$AG$2:$AG$1001,0),MATCH(COLUMNS($AN$1006:AQ1006),$AN$1006:$BO$1006,0)), HYPERLINK("#",""), HYPERLINK(CONCATENATE("#Metadata!", ADDRESS(INDEX($AI$2:$AI$1001,MATCH(ROWS($AG$2:AG838),$AG$2:$AG$1001,0),0), INDEX($AN$1004:$BO$1004,1,MATCH(COLUMNS($AN$1006:AQ1006),$AN$1006:$BO$1006,0)))),"Fix")))</f>
        <v>0</v>
      </c>
      <c r="F838" s="4">
        <f>IF(OR(INDEX($AH$2:$AH$1001,MATCH(ROWS($AG$2:AG838),$AG$2:$AG$1001,0),1)&gt;=100000,INDEX($AN$1005:$BO$1005,1,MATCH(COLUMNS($AN$1006:AR1006),$AN$1006:$BO$1006,0))&gt;=100000), " ",IF(INDEX($AN$2:$BO$1001,MATCH(ROWS($AG$2:AG838),$AG$2:$AG$1001,0),MATCH(COLUMNS($AN$1006:AR1006),$AN$1006:$BO$1006,0)), HYPERLINK("#",""), HYPERLINK(CONCATENATE("#Metadata!", ADDRESS(INDEX($AI$2:$AI$1001,MATCH(ROWS($AG$2:AG838),$AG$2:$AG$1001,0),0), INDEX($AN$1004:$BO$1004,1,MATCH(COLUMNS($AN$1006:AR1006),$AN$1006:$BO$1006,0)))),"Fix")))</f>
        <v>0</v>
      </c>
      <c r="G838" s="4">
        <f>IF(OR(INDEX($AH$2:$AH$1001,MATCH(ROWS($AG$2:AG838),$AG$2:$AG$1001,0),1)&gt;=100000,INDEX($AN$1005:$BO$1005,1,MATCH(COLUMNS($AN$1006:AS1006),$AN$1006:$BO$1006,0))&gt;=100000), " ",IF(INDEX($AN$2:$BO$1001,MATCH(ROWS($AG$2:AG838),$AG$2:$AG$1001,0),MATCH(COLUMNS($AN$1006:AS1006),$AN$1006:$BO$1006,0)), HYPERLINK("#",""), HYPERLINK(CONCATENATE("#Metadata!", ADDRESS(INDEX($AI$2:$AI$1001,MATCH(ROWS($AG$2:AG838),$AG$2:$AG$1001,0),0), INDEX($AN$1004:$BO$1004,1,MATCH(COLUMNS($AN$1006:AS1006),$AN$1006:$BO$1006,0)))),"Fix")))</f>
        <v>0</v>
      </c>
      <c r="H838" s="4">
        <f>IF(OR(INDEX($AH$2:$AH$1001,MATCH(ROWS($AG$2:AG838),$AG$2:$AG$1001,0),1)&gt;=100000,INDEX($AN$1005:$BO$1005,1,MATCH(COLUMNS($AN$1006:AT1006),$AN$1006:$BO$1006,0))&gt;=100000), " ",IF(INDEX($AN$2:$BO$1001,MATCH(ROWS($AG$2:AG838),$AG$2:$AG$1001,0),MATCH(COLUMNS($AN$1006:AT1006),$AN$1006:$BO$1006,0)), HYPERLINK("#",""), HYPERLINK(CONCATENATE("#Metadata!", ADDRESS(INDEX($AI$2:$AI$1001,MATCH(ROWS($AG$2:AG838),$AG$2:$AG$1001,0),0), INDEX($AN$1004:$BO$1004,1,MATCH(COLUMNS($AN$1006:AT1006),$AN$1006:$BO$1006,0)))),"Fix")))</f>
        <v>0</v>
      </c>
      <c r="I838" s="4">
        <f>IF(OR(INDEX($AH$2:$AH$1001,MATCH(ROWS($AG$2:AG838),$AG$2:$AG$1001,0),1)&gt;=100000,INDEX($AN$1005:$BO$1005,1,MATCH(COLUMNS($AN$1006:AU1006),$AN$1006:$BO$1006,0))&gt;=100000), " ",IF(INDEX($AN$2:$BO$1001,MATCH(ROWS($AG$2:AG838),$AG$2:$AG$1001,0),MATCH(COLUMNS($AN$1006:AU1006),$AN$1006:$BO$1006,0)), HYPERLINK("#",""), HYPERLINK(CONCATENATE("#Metadata!", ADDRESS(INDEX($AI$2:$AI$1001,MATCH(ROWS($AG$2:AG838),$AG$2:$AG$1001,0),0), INDEX($AN$1004:$BO$1004,1,MATCH(COLUMNS($AN$1006:AU1006),$AN$1006:$BO$1006,0)))),"Fix")))</f>
        <v>0</v>
      </c>
      <c r="J838" s="4">
        <f>IF(OR(INDEX($AH$2:$AH$1001,MATCH(ROWS($AG$2:AG838),$AG$2:$AG$1001,0),1)&gt;=100000,INDEX($AN$1005:$BO$1005,1,MATCH(COLUMNS($AN$1006:AV1006),$AN$1006:$BO$1006,0))&gt;=100000), " ",IF(INDEX($AN$2:$BO$1001,MATCH(ROWS($AG$2:AG838),$AG$2:$AG$1001,0),MATCH(COLUMNS($AN$1006:AV1006),$AN$1006:$BO$1006,0)), HYPERLINK("#",""), HYPERLINK(CONCATENATE("#Metadata!", ADDRESS(INDEX($AI$2:$AI$1001,MATCH(ROWS($AG$2:AG838),$AG$2:$AG$1001,0),0), INDEX($AN$1004:$BO$1004,1,MATCH(COLUMNS($AN$1006:AV1006),$AN$1006:$BO$1006,0)))),"Fix")))</f>
        <v>0</v>
      </c>
      <c r="K838" s="4">
        <f>IF(OR(INDEX($AH$2:$AH$1001,MATCH(ROWS($AG$2:AG838),$AG$2:$AG$1001,0),1)&gt;=100000,INDEX($AN$1005:$BO$1005,1,MATCH(COLUMNS($AN$1006:AW1006),$AN$1006:$BO$1006,0))&gt;=100000), " ",IF(INDEX($AN$2:$BO$1001,MATCH(ROWS($AG$2:AG838),$AG$2:$AG$1001,0),MATCH(COLUMNS($AN$1006:AW1006),$AN$1006:$BO$1006,0)), HYPERLINK("#",""), HYPERLINK(CONCATENATE("#Metadata!", ADDRESS(INDEX($AI$2:$AI$1001,MATCH(ROWS($AG$2:AG838),$AG$2:$AG$1001,0),0), INDEX($AN$1004:$BO$1004,1,MATCH(COLUMNS($AN$1006:AW1006),$AN$1006:$BO$1006,0)))),"Fix")))</f>
        <v>0</v>
      </c>
      <c r="L838" s="4">
        <f>IF(OR(INDEX($AH$2:$AH$1001,MATCH(ROWS($AG$2:AG838),$AG$2:$AG$1001,0),1)&gt;=100000,INDEX($AN$1005:$BO$1005,1,MATCH(COLUMNS($AN$1006:AX1006),$AN$1006:$BO$1006,0))&gt;=100000), " ",IF(INDEX($AN$2:$BO$1001,MATCH(ROWS($AG$2:AG838),$AG$2:$AG$1001,0),MATCH(COLUMNS($AN$1006:AX1006),$AN$1006:$BO$1006,0)), HYPERLINK("#",""), HYPERLINK(CONCATENATE("#Metadata!", ADDRESS(INDEX($AI$2:$AI$1001,MATCH(ROWS($AG$2:AG838),$AG$2:$AG$1001,0),0), INDEX($AN$1004:$BO$1004,1,MATCH(COLUMNS($AN$1006:AX1006),$AN$1006:$BO$1006,0)))),"Fix")))</f>
        <v>0</v>
      </c>
      <c r="M838" s="4">
        <f>IF(OR(INDEX($AH$2:$AH$1001,MATCH(ROWS($AG$2:AG838),$AG$2:$AG$1001,0),1)&gt;=100000,INDEX($AN$1005:$BO$1005,1,MATCH(COLUMNS($AN$1006:AY1006),$AN$1006:$BO$1006,0))&gt;=100000), " ",IF(INDEX($AN$2:$BO$1001,MATCH(ROWS($AG$2:AG838),$AG$2:$AG$1001,0),MATCH(COLUMNS($AN$1006:AY1006),$AN$1006:$BO$1006,0)), HYPERLINK("#",""), HYPERLINK(CONCATENATE("#Metadata!", ADDRESS(INDEX($AI$2:$AI$1001,MATCH(ROWS($AG$2:AG838),$AG$2:$AG$1001,0),0), INDEX($AN$1004:$BO$1004,1,MATCH(COLUMNS($AN$1006:AY1006),$AN$1006:$BO$1006,0)))),"Fix")))</f>
        <v>0</v>
      </c>
      <c r="N838" s="4">
        <f>IF(OR(INDEX($AH$2:$AH$1001,MATCH(ROWS($AG$2:AG838),$AG$2:$AG$1001,0),1)&gt;=100000,INDEX($AN$1005:$BO$1005,1,MATCH(COLUMNS($AN$1006:AZ1006),$AN$1006:$BO$1006,0))&gt;=100000), " ",IF(INDEX($AN$2:$BO$1001,MATCH(ROWS($AG$2:AG838),$AG$2:$AG$1001,0),MATCH(COLUMNS($AN$1006:AZ1006),$AN$1006:$BO$1006,0)), HYPERLINK("#",""), HYPERLINK(CONCATENATE("#Metadata!", ADDRESS(INDEX($AI$2:$AI$1001,MATCH(ROWS($AG$2:AG838),$AG$2:$AG$1001,0),0), INDEX($AN$1004:$BO$1004,1,MATCH(COLUMNS($AN$1006:AZ1006),$AN$1006:$BO$1006,0)))),"Fix")))</f>
        <v>0</v>
      </c>
      <c r="O838" s="4">
        <f>IF(OR(INDEX($AH$2:$AH$1001,MATCH(ROWS($AG$2:AG838),$AG$2:$AG$1001,0),1)&gt;=100000,INDEX($AN$1005:$BO$1005,1,MATCH(COLUMNS($AN$1006:BA1006),$AN$1006:$BO$1006,0))&gt;=100000), " ",IF(INDEX($AN$2:$BO$1001,MATCH(ROWS($AG$2:AG838),$AG$2:$AG$1001,0),MATCH(COLUMNS($AN$1006:BA1006),$AN$1006:$BO$1006,0)), HYPERLINK("#",""), HYPERLINK(CONCATENATE("#Metadata!", ADDRESS(INDEX($AI$2:$AI$1001,MATCH(ROWS($AG$2:AG838),$AG$2:$AG$1001,0),0), INDEX($AN$1004:$BO$1004,1,MATCH(COLUMNS($AN$1006:BA1006),$AN$1006:$BO$1006,0)))),"Fix")))</f>
        <v>0</v>
      </c>
      <c r="P838" s="4">
        <f>IF(OR(INDEX($AH$2:$AH$1001,MATCH(ROWS($AG$2:AG838),$AG$2:$AG$1001,0),1)&gt;=100000,INDEX($AN$1005:$BO$1005,1,MATCH(COLUMNS($AN$1006:BB1006),$AN$1006:$BO$1006,0))&gt;=100000), " ",IF(INDEX($AN$2:$BO$1001,MATCH(ROWS($AG$2:AG838),$AG$2:$AG$1001,0),MATCH(COLUMNS($AN$1006:BB1006),$AN$1006:$BO$1006,0)), HYPERLINK("#",""), HYPERLINK(CONCATENATE("#Metadata!", ADDRESS(INDEX($AI$2:$AI$1001,MATCH(ROWS($AG$2:AG838),$AG$2:$AG$1001,0),0), INDEX($AN$1004:$BO$1004,1,MATCH(COLUMNS($AN$1006:BB1006),$AN$1006:$BO$1006,0)))),"Fix")))</f>
        <v>0</v>
      </c>
      <c r="Q838" s="4">
        <f>IF(OR(INDEX($AH$2:$AH$1001,MATCH(ROWS($AG$2:AG838),$AG$2:$AG$1001,0),1)&gt;=100000,INDEX($AN$1005:$BO$1005,1,MATCH(COLUMNS($AN$1006:BC1006),$AN$1006:$BO$1006,0))&gt;=100000), " ",IF(INDEX($AN$2:$BO$1001,MATCH(ROWS($AG$2:AG838),$AG$2:$AG$1001,0),MATCH(COLUMNS($AN$1006:BC1006),$AN$1006:$BO$1006,0)), HYPERLINK("#",""), HYPERLINK(CONCATENATE("#Metadata!", ADDRESS(INDEX($AI$2:$AI$1001,MATCH(ROWS($AG$2:AG838),$AG$2:$AG$1001,0),0), INDEX($AN$1004:$BO$1004,1,MATCH(COLUMNS($AN$1006:BC1006),$AN$1006:$BO$1006,0)))),"Fix")))</f>
        <v>0</v>
      </c>
      <c r="R838" s="4">
        <f>IF(OR(INDEX($AH$2:$AH$1001,MATCH(ROWS($AG$2:AG838),$AG$2:$AG$1001,0),1)&gt;=100000,INDEX($AN$1005:$BO$1005,1,MATCH(COLUMNS($AN$1006:BD1006),$AN$1006:$BO$1006,0))&gt;=100000), " ",IF(INDEX($AN$2:$BO$1001,MATCH(ROWS($AG$2:AG838),$AG$2:$AG$1001,0),MATCH(COLUMNS($AN$1006:BD1006),$AN$1006:$BO$1006,0)), HYPERLINK("#",""), HYPERLINK(CONCATENATE("#Metadata!", ADDRESS(INDEX($AI$2:$AI$1001,MATCH(ROWS($AG$2:AG838),$AG$2:$AG$1001,0),0), INDEX($AN$1004:$BO$1004,1,MATCH(COLUMNS($AN$1006:BD1006),$AN$1006:$BO$1006,0)))),"Fix")))</f>
        <v>0</v>
      </c>
      <c r="S838" s="4">
        <f>IF(OR(INDEX($AH$2:$AH$1001,MATCH(ROWS($AG$2:AG838),$AG$2:$AG$1001,0),1)&gt;=100000,INDEX($AN$1005:$BO$1005,1,MATCH(COLUMNS($AN$1006:BE1006),$AN$1006:$BO$1006,0))&gt;=100000), " ",IF(INDEX($AN$2:$BO$1001,MATCH(ROWS($AG$2:AG838),$AG$2:$AG$1001,0),MATCH(COLUMNS($AN$1006:BE1006),$AN$1006:$BO$1006,0)), HYPERLINK("#",""), HYPERLINK(CONCATENATE("#Metadata!", ADDRESS(INDEX($AI$2:$AI$1001,MATCH(ROWS($AG$2:AG838),$AG$2:$AG$1001,0),0), INDEX($AN$1004:$BO$1004,1,MATCH(COLUMNS($AN$1006:BE1006),$AN$1006:$BO$1006,0)))),"Fix")))</f>
        <v>0</v>
      </c>
      <c r="T838" s="4">
        <f>IF(OR(INDEX($AH$2:$AH$1001,MATCH(ROWS($AG$2:AG838),$AG$2:$AG$1001,0),1)&gt;=100000,INDEX($AN$1005:$BO$1005,1,MATCH(COLUMNS($AN$1006:BF1006),$AN$1006:$BO$1006,0))&gt;=100000), " ",IF(INDEX($AN$2:$BO$1001,MATCH(ROWS($AG$2:AG838),$AG$2:$AG$1001,0),MATCH(COLUMNS($AN$1006:BF1006),$AN$1006:$BO$1006,0)), HYPERLINK("#",""), HYPERLINK(CONCATENATE("#Metadata!", ADDRESS(INDEX($AI$2:$AI$1001,MATCH(ROWS($AG$2:AG838),$AG$2:$AG$1001,0),0), INDEX($AN$1004:$BO$1004,1,MATCH(COLUMNS($AN$1006:BF1006),$AN$1006:$BO$1006,0)))),"Fix")))</f>
        <v>0</v>
      </c>
      <c r="U838" s="4">
        <f>IF(OR(INDEX($AH$2:$AH$1001,MATCH(ROWS($AG$2:AG838),$AG$2:$AG$1001,0),1)&gt;=100000,INDEX($AN$1005:$BO$1005,1,MATCH(COLUMNS($AN$1006:BG1006),$AN$1006:$BO$1006,0))&gt;=100000), " ",IF(INDEX($AN$2:$BO$1001,MATCH(ROWS($AG$2:AG838),$AG$2:$AG$1001,0),MATCH(COLUMNS($AN$1006:BG1006),$AN$1006:$BO$1006,0)), HYPERLINK("#",""), HYPERLINK(CONCATENATE("#Metadata!", ADDRESS(INDEX($AI$2:$AI$1001,MATCH(ROWS($AG$2:AG838),$AG$2:$AG$1001,0),0), INDEX($AN$1004:$BO$1004,1,MATCH(COLUMNS($AN$1006:BG1006),$AN$1006:$BO$1006,0)))),"Fix")))</f>
        <v>0</v>
      </c>
      <c r="V838" s="4">
        <f>IF(OR(INDEX($AH$2:$AH$1001,MATCH(ROWS($AG$2:AG838),$AG$2:$AG$1001,0),1)&gt;=100000,INDEX($AN$1005:$BO$1005,1,MATCH(COLUMNS($AN$1006:BH1006),$AN$1006:$BO$1006,0))&gt;=100000), " ",IF(INDEX($AN$2:$BO$1001,MATCH(ROWS($AG$2:AG838),$AG$2:$AG$1001,0),MATCH(COLUMNS($AN$1006:BH1006),$AN$1006:$BO$1006,0)), HYPERLINK("#",""), HYPERLINK(CONCATENATE("#Metadata!", ADDRESS(INDEX($AI$2:$AI$1001,MATCH(ROWS($AG$2:AG838),$AG$2:$AG$1001,0),0), INDEX($AN$1004:$BO$1004,1,MATCH(COLUMNS($AN$1006:BH1006),$AN$1006:$BO$1006,0)))),"Fix")))</f>
        <v>0</v>
      </c>
      <c r="W838" s="4">
        <f>IF(OR(INDEX($AH$2:$AH$1001,MATCH(ROWS($AG$2:AG838),$AG$2:$AG$1001,0),1)&gt;=100000,INDEX($AN$1005:$BO$1005,1,MATCH(COLUMNS($AN$1006:BI1006),$AN$1006:$BO$1006,0))&gt;=100000), " ",IF(INDEX($AN$2:$BO$1001,MATCH(ROWS($AG$2:AG838),$AG$2:$AG$1001,0),MATCH(COLUMNS($AN$1006:BI1006),$AN$1006:$BO$1006,0)), HYPERLINK("#",""), HYPERLINK(CONCATENATE("#Metadata!", ADDRESS(INDEX($AI$2:$AI$1001,MATCH(ROWS($AG$2:AG838),$AG$2:$AG$1001,0),0), INDEX($AN$1004:$BO$1004,1,MATCH(COLUMNS($AN$1006:BI1006),$AN$1006:$BO$1006,0)))),"Fix")))</f>
        <v>0</v>
      </c>
      <c r="X838" s="4">
        <f>IF(OR(INDEX($AH$2:$AH$1001,MATCH(ROWS($AG$2:AG838),$AG$2:$AG$1001,0),1)&gt;=100000,INDEX($AN$1005:$BO$1005,1,MATCH(COLUMNS($AN$1006:BJ1006),$AN$1006:$BO$1006,0))&gt;=100000), " ",IF(INDEX($AN$2:$BO$1001,MATCH(ROWS($AG$2:AG838),$AG$2:$AG$1001,0),MATCH(COLUMNS($AN$1006:BJ1006),$AN$1006:$BO$1006,0)), HYPERLINK("#",""), HYPERLINK(CONCATENATE("#Metadata!", ADDRESS(INDEX($AI$2:$AI$1001,MATCH(ROWS($AG$2:AG838),$AG$2:$AG$1001,0),0), INDEX($AN$1004:$BO$1004,1,MATCH(COLUMNS($AN$1006:BJ1006),$AN$1006:$BO$1006,0)))),"Fix")))</f>
        <v>0</v>
      </c>
      <c r="Y838" s="4">
        <f>IF(OR(INDEX($AH$2:$AH$1001,MATCH(ROWS($AG$2:AG838),$AG$2:$AG$1001,0),1)&gt;=100000,INDEX($AN$1005:$BO$1005,1,MATCH(COLUMNS($AN$1006:BK1006),$AN$1006:$BO$1006,0))&gt;=100000), " ",IF(INDEX($AN$2:$BO$1001,MATCH(ROWS($AG$2:AG838),$AG$2:$AG$1001,0),MATCH(COLUMNS($AN$1006:BK1006),$AN$1006:$BO$1006,0)), HYPERLINK("#",""), HYPERLINK(CONCATENATE("#Metadata!", ADDRESS(INDEX($AI$2:$AI$1001,MATCH(ROWS($AG$2:AG838),$AG$2:$AG$1001,0),0), INDEX($AN$1004:$BO$1004,1,MATCH(COLUMNS($AN$1006:BK1006),$AN$1006:$BO$1006,0)))),"Fix")))</f>
        <v>0</v>
      </c>
      <c r="Z838" s="4">
        <f>IF(OR(INDEX($AH$2:$AH$1001,MATCH(ROWS($AG$2:AG838),$AG$2:$AG$1001,0),1)&gt;=100000,INDEX($AN$1005:$BO$1005,1,MATCH(COLUMNS($AN$1006:BL1006),$AN$1006:$BO$1006,0))&gt;=100000), " ",IF(INDEX($AN$2:$BO$1001,MATCH(ROWS($AG$2:AG838),$AG$2:$AG$1001,0),MATCH(COLUMNS($AN$1006:BL1006),$AN$1006:$BO$1006,0)), HYPERLINK("#",""), HYPERLINK(CONCATENATE("#Metadata!", ADDRESS(INDEX($AI$2:$AI$1001,MATCH(ROWS($AG$2:AG838),$AG$2:$AG$1001,0),0), INDEX($AN$1004:$BO$1004,1,MATCH(COLUMNS($AN$1006:BL1006),$AN$1006:$BO$1006,0)))),"Fix")))</f>
        <v>0</v>
      </c>
      <c r="AA838" s="4">
        <f>IF(OR(INDEX($AH$2:$AH$1001,MATCH(ROWS($AG$2:AG838),$AG$2:$AG$1001,0),1)&gt;=100000,INDEX($AN$1005:$BO$1005,1,MATCH(COLUMNS($AN$1006:BM1006),$AN$1006:$BO$1006,0))&gt;=100000), " ",IF(INDEX($AN$2:$BO$1001,MATCH(ROWS($AG$2:AG838),$AG$2:$AG$1001,0),MATCH(COLUMNS($AN$1006:BM1006),$AN$1006:$BO$1006,0)), HYPERLINK("#",""), HYPERLINK(CONCATENATE("#Metadata!", ADDRESS(INDEX($AI$2:$AI$1001,MATCH(ROWS($AG$2:AG838),$AG$2:$AG$1001,0),0), INDEX($AN$1004:$BO$1004,1,MATCH(COLUMNS($AN$1006:BM1006),$AN$1006:$BO$1006,0)))),"Fix")))</f>
        <v>0</v>
      </c>
      <c r="AB838" s="4">
        <f>IF(OR(INDEX($AH$2:$AH$1001,MATCH(ROWS($AG$2:AG838),$AG$2:$AG$1001,0),1)&gt;=100000,INDEX($AN$1005:$BO$1005,1,MATCH(COLUMNS($AN$1006:BN1006),$AN$1006:$BO$1006,0))&gt;=100000), " ",IF(INDEX($AN$2:$BO$1001,MATCH(ROWS($AG$2:AG838),$AG$2:$AG$1001,0),MATCH(COLUMNS($AN$1006:BN1006),$AN$1006:$BO$1006,0)), HYPERLINK("#",""), HYPERLINK(CONCATENATE("#Metadata!", ADDRESS(INDEX($AI$2:$AI$1001,MATCH(ROWS($AG$2:AG838),$AG$2:$AG$1001,0),0), INDEX($AN$1004:$BO$1004,1,MATCH(COLUMNS($AN$1006:BN1006),$AN$1006:$BO$1006,0)))),"Fix")))</f>
        <v>0</v>
      </c>
      <c r="AC838" s="4">
        <f>IF(OR(INDEX($AH$2:$AH$1001,MATCH(ROWS($AG$2:AG838),$AG$2:$AG$1001,0),1)&gt;=100000,INDEX($AN$1005:$BO$1005,1,MATCH(COLUMNS($AN$1006:BO1006),$AN$1006:$BO$1006,0))&gt;=100000), " ",IF(INDEX($AN$2:$BO$1001,MATCH(ROWS($AG$2:AG838),$AG$2:$AG$1001,0),MATCH(COLUMNS($AN$1006:BO1006),$AN$1006:$BO$1006,0)), HYPERLINK("#",""), HYPERLINK(CONCATENATE("#Metadata!", ADDRESS(INDEX($AI$2:$AI$1001,MATCH(ROWS($AG$2:AG838),$AG$2:$AG$1001,0),0), INDEX($AN$1004:$BO$1004,1,MATCH(COLUMNS($AN$1006:BO1006),$AN$1006:$BO$1006,0)))),"Fix")))</f>
        <v>0</v>
      </c>
      <c r="AG838">
        <v>0</v>
      </c>
      <c r="AH838">
        <v>0</v>
      </c>
      <c r="AI838">
        <v>0</v>
      </c>
      <c r="AJ838">
        <f>IF(AK838,TRUE,AND(AN838:BO838))</f>
        <v>0</v>
      </c>
      <c r="AK838">
        <f>COUNTBLANK(Metadata!B838:AC838)=COLUMNS(Metadata!B838:AC838)</f>
        <v>0</v>
      </c>
      <c r="AL838">
        <v>0</v>
      </c>
      <c r="AN838">
        <f>AND(IF(Metadata!B838="",FALSE,TRUE),COUNTIF(Metadata!B:B, Metadata!B838) = 1,NOT(ISERROR(SUMPRODUCT(SEARCH(MID(Metadata!B838,ROW(INDIRECT("1:"&amp;LEN(Metadata!B838))), 1),"0123456789abcdefghijklmnopqrstuvwxyzABCDEFGHIJKLMNOPQRSTUVWXYZ.")))))</f>
        <v>0</v>
      </c>
      <c r="AO838">
        <f>IF(Metadata!C838="",FALSE,TRUE)</f>
        <v>0</v>
      </c>
      <c r="AP838">
        <f>IF(Metadata!D838="",FALSE,TRUE)</f>
        <v>0</v>
      </c>
      <c r="AQ838">
        <f>OR(AND(IF(Metadata!E838="",FALSE,TRUE),OR(exact(Metadata!E838,"not collected"),exact(Metadata!E838,"not provided"),exact(Metadata!E838,"restricted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R838">
        <f>IF(Metadata!F838="",FALSE,TRUE)</f>
        <v>0</v>
      </c>
      <c r="AS838">
        <f>OR(AND(IF(Metadata!G838="",FALSE,TRUE),OR(exact(Metadata!G838,"not collected"),exact(Metadata!G838,"not provided"))),AND(IF(Metadata!G838="",FALSE,TRUE),OR(exact(Metadata!G838,"TRUE"),exact(Metadata!G838,"FALSE"))))</f>
        <v>0</v>
      </c>
      <c r="AT838">
        <f>OR(AND(IF(Metadata!H838="",FALSE,TRUE),OR(exact(Metadata!H838,"not collected"),exact(Metadata!H838,"not provided"),exact(Metadata!H838,"restricted access"))),AND(IF(Metadata!H838="",FALSE,ISNUMBER(VALUE(Metadata!H838))),Metadata!H838&gt;=-413.0))</f>
        <v>0</v>
      </c>
      <c r="AU838">
        <f>AND(IF(Metadata!I838="",FALSE,TRUE),exact(Metadata!I838,"meters"))</f>
        <v>0</v>
      </c>
      <c r="AV838">
        <f>AND(IF(Metadata!J838="",FALSE,TRUE),OR(exact(Metadata!J838,"Host-associated"),exact(Metadata!J838,"Free-living")))</f>
        <v>0</v>
      </c>
      <c r="AW838">
        <f>AND(IF(Metadata!K838="",FALSE,TRUE),OR(exact(Metadata!K838,"Animal"),exact(Metadata!K838,"Fungus"),exact(Metadata!K838,"Plant"),exact(Metadata!K838,"Saline"),exact(Metadata!K838,"Non-saline")))</f>
        <v>0</v>
      </c>
      <c r="AX838">
        <f>AND(IF(Metadata!L838="",FALSE,TRUE),OR(exact(Metadata!L838,"Plant secretion"),exact(Metadata!L838,"Plant rhizosphere"),exact(Metadata!L838,"Plant surface"),exact(Metadata!L838,"Plant corpus"),exact(Metadata!L838,"Fungus surface"),exact(Metadata!L838,"Fungus corpus"),exact(Metadata!L838,"Animal surface"),exact(Metadata!L838,"Animal proximal gut"),exact(Metadata!L838,"Animal corpus"),exact(Metadata!L838,"Animal distal gut"),exact(Metadata!L838,"Animal secretion"),exact(Metadata!L838,"Sub-surface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Y838">
        <f>IF(Metadata!M838="",FALSE,TRUE)</f>
        <v>0</v>
      </c>
      <c r="AZ838">
        <f>IF(Metadata!N838="",FALSE,TRUE)</f>
        <v>0</v>
      </c>
      <c r="BA838">
        <f>IF(Metadata!O838="",FALSE,TRUE)</f>
        <v>0</v>
      </c>
      <c r="BB838">
        <f>OR(AND(IF(Metadata!P838="",FALSE,TRUE),OR(exact(Metadata!P838,"not collected"),exact(Metadata!P838,"not provided"),exact(Metadata!P838,"restricted access"))),AND(IF(Metadata!P838="",FALSE,TRUE),OR(exact(Metadata!P838,"air"),exact(Metadata!P838,"built environment"),exact(Metadata!P838,"host-associated"),exact(Metadata!P838,"human-associated"),exact(Metadata!P838,"human-skin"),exact(Metadata!P838,"human-oral"),exact(Metadata!P838,"human-gut"),exact(Metadata!P838,"human-vaginal"),exact(Metadata!P838,"microbial mat/biofilm"),exact(Metadata!P838,"misc environment"),exact(Metadata!P838,"plant-associated"),exact(Metadata!P838,"sediment"),exact(Metadata!P838,"soil"),exact(Metadata!P838,"wastewater/sludge"),exact(Metadata!P838,"water"))))</f>
        <v>0</v>
      </c>
      <c r="BC838">
        <f>IF(Metadata!Q838="",FALSE,TRUE)</f>
        <v>0</v>
      </c>
      <c r="BD838">
        <f>IF(Metadata!R838="",FALSE,TRUE)</f>
        <v>0</v>
      </c>
      <c r="BE838">
        <f>OR(AND(IF(Metadata!S838="",FALSE,TRUE),OR(exact(Metadata!S838,"not collected"),exact(Metadata!S838,"not provided"),exact(Metadata!S838,"restricted access"))),AND(IF(Metadata!S838="",FALSE,ISNUMBER(VALUE(Metadata!S838))),Metadata!S838&gt;=-90.00,Metadata!S838&lt;=90.00))</f>
        <v>0</v>
      </c>
      <c r="BF838">
        <f>AND(IF(Metadata!T838="",FALSE,TRUE),exact(Metadata!T838,"Decimal degrees"))</f>
        <v>0</v>
      </c>
      <c r="BG838">
        <f>OR(AND(IF(Metadata!U838="",FALSE,TRUE),OR(exact(Metadata!U838,"not collected"),exact(Metadata!U838,"not provided"),exact(Metadata!U838,"restricted access"))),AND(IF(Metadata!U838="",FALSE,ISNUMBER(VALUE(Metadata!U838))),Metadata!U838&gt;=-180.00,Metadata!U838&lt;=180.00))</f>
        <v>0</v>
      </c>
      <c r="BH838">
        <f>AND(IF(Metadata!V838="",FALSE,TRUE),exact(Metadata!V838,"Decimal degrees"))</f>
        <v>0</v>
      </c>
      <c r="BI838">
        <f>IF(Metadata!W838="",FALSE,TRUE)</f>
        <v>0</v>
      </c>
      <c r="BJ838">
        <f>OR(AND(IF(Metadata!X838="",FALSE,TRUE),OR(exact(Metadata!X838,"not collected"),exact(Metadata!X838,"not provided"),exact(Metadata!X838,"restricted access"))),AND(IF(Metadata!X838="",FALSE,TRUE),OR(exact(Metadata!X838,"TRUE"),exact(Metadata!X838,"FALSE"))))</f>
        <v>0</v>
      </c>
      <c r="BK838">
        <f>AND(IF(Metadata!Y838="",FALSE,TRUE),exact(Metadata!Y838,"other"))</f>
        <v>0</v>
      </c>
      <c r="BL838">
        <f>IF(Metadata!Z838="",FALSE,TRUE)</f>
        <v>0</v>
      </c>
      <c r="BM838">
        <f>OR(AND(IF(Metadata!AA838="",FALSE,TRUE),OR(exact(Metadata!AA838,"not collected"),exact(Metadata!AA838,"not provided"))),AND(IF(Metadata!AA838="",FALSE,IF(ISERROR(INT(Metadata!AA838)),FALSE,INT(Metadata!AA838)=Metadata!AA838)),Metadata!AA838&gt;0))</f>
        <v>0</v>
      </c>
      <c r="BN838">
        <f>AND(IF(Metadata!AB838="",FALSE,TRUE),exact(Metadata!AB838,"Not applicable"))</f>
        <v>0</v>
      </c>
      <c r="BO838">
        <f>IF(Metadata!AC838="",FALSE,TRUE)</f>
        <v>0</v>
      </c>
    </row>
    <row r="839" spans="1:67">
      <c r="A839" s="5">
        <f>IF(B839=" "," ",HYPERLINK(CONCATENATE("#metadata!",ADDRESS(INDEX($AI$2:$AI$1001,MATCH(ROWS($AG$2:AG839),$AG$2:$AG$1001,0),0),1)),INDEX($AL$2:$AL$1001,MATCH(ROWS($AG$2:AG839),$AG$2:$AG$1001,0),0)))</f>
        <v>0</v>
      </c>
      <c r="B839" s="4">
        <f>IF(OR(INDEX($AH$2:$AH$1001,MATCH(ROWS($AG$2:AG839),$AG$2:$AG$1001,0),1)&gt;=100000,INDEX($AN$1005:$BO$1005,1,MATCH(COLUMNS($AN$1006:AN1006),$AN$1006:$BO$1006,0))&gt;=100000), " ",IF(INDEX($AN$2:$BO$1001,MATCH(ROWS($AG$2:AG839),$AG$2:$AG$1001,0),MATCH(COLUMNS($AN$1006:AN1006),$AN$1006:$BO$1006,0)), HYPERLINK("#",""), HYPERLINK(CONCATENATE("#Metadata!", ADDRESS(INDEX($AI$2:$AI$1001,MATCH(ROWS($AG$2:AG839),$AG$2:$AG$1001,0),0), INDEX($AN$1004:$BO$1004,1,MATCH(COLUMNS($AN$1006:AN1006),$AN$1006:$BO$1006,0)))),"Fix")))</f>
        <v>0</v>
      </c>
      <c r="C839" s="4">
        <f>IF(OR(INDEX($AH$2:$AH$1001,MATCH(ROWS($AG$2:AG839),$AG$2:$AG$1001,0),1)&gt;=100000,INDEX($AN$1005:$BO$1005,1,MATCH(COLUMNS($AN$1006:AO1006),$AN$1006:$BO$1006,0))&gt;=100000), " ",IF(INDEX($AN$2:$BO$1001,MATCH(ROWS($AG$2:AG839),$AG$2:$AG$1001,0),MATCH(COLUMNS($AN$1006:AO1006),$AN$1006:$BO$1006,0)), HYPERLINK("#",""), HYPERLINK(CONCATENATE("#Metadata!", ADDRESS(INDEX($AI$2:$AI$1001,MATCH(ROWS($AG$2:AG839),$AG$2:$AG$1001,0),0), INDEX($AN$1004:$BO$1004,1,MATCH(COLUMNS($AN$1006:AO1006),$AN$1006:$BO$1006,0)))),"Fix")))</f>
        <v>0</v>
      </c>
      <c r="D839" s="4">
        <f>IF(OR(INDEX($AH$2:$AH$1001,MATCH(ROWS($AG$2:AG839),$AG$2:$AG$1001,0),1)&gt;=100000,INDEX($AN$1005:$BO$1005,1,MATCH(COLUMNS($AN$1006:AP1006),$AN$1006:$BO$1006,0))&gt;=100000), " ",IF(INDEX($AN$2:$BO$1001,MATCH(ROWS($AG$2:AG839),$AG$2:$AG$1001,0),MATCH(COLUMNS($AN$1006:AP1006),$AN$1006:$BO$1006,0)), HYPERLINK("#",""), HYPERLINK(CONCATENATE("#Metadata!", ADDRESS(INDEX($AI$2:$AI$1001,MATCH(ROWS($AG$2:AG839),$AG$2:$AG$1001,0),0), INDEX($AN$1004:$BO$1004,1,MATCH(COLUMNS($AN$1006:AP1006),$AN$1006:$BO$1006,0)))),"Fix")))</f>
        <v>0</v>
      </c>
      <c r="E839" s="4">
        <f>IF(OR(INDEX($AH$2:$AH$1001,MATCH(ROWS($AG$2:AG839),$AG$2:$AG$1001,0),1)&gt;=100000,INDEX($AN$1005:$BO$1005,1,MATCH(COLUMNS($AN$1006:AQ1006),$AN$1006:$BO$1006,0))&gt;=100000), " ",IF(INDEX($AN$2:$BO$1001,MATCH(ROWS($AG$2:AG839),$AG$2:$AG$1001,0),MATCH(COLUMNS($AN$1006:AQ1006),$AN$1006:$BO$1006,0)), HYPERLINK("#",""), HYPERLINK(CONCATENATE("#Metadata!", ADDRESS(INDEX($AI$2:$AI$1001,MATCH(ROWS($AG$2:AG839),$AG$2:$AG$1001,0),0), INDEX($AN$1004:$BO$1004,1,MATCH(COLUMNS($AN$1006:AQ1006),$AN$1006:$BO$1006,0)))),"Fix")))</f>
        <v>0</v>
      </c>
      <c r="F839" s="4">
        <f>IF(OR(INDEX($AH$2:$AH$1001,MATCH(ROWS($AG$2:AG839),$AG$2:$AG$1001,0),1)&gt;=100000,INDEX($AN$1005:$BO$1005,1,MATCH(COLUMNS($AN$1006:AR1006),$AN$1006:$BO$1006,0))&gt;=100000), " ",IF(INDEX($AN$2:$BO$1001,MATCH(ROWS($AG$2:AG839),$AG$2:$AG$1001,0),MATCH(COLUMNS($AN$1006:AR1006),$AN$1006:$BO$1006,0)), HYPERLINK("#",""), HYPERLINK(CONCATENATE("#Metadata!", ADDRESS(INDEX($AI$2:$AI$1001,MATCH(ROWS($AG$2:AG839),$AG$2:$AG$1001,0),0), INDEX($AN$1004:$BO$1004,1,MATCH(COLUMNS($AN$1006:AR1006),$AN$1006:$BO$1006,0)))),"Fix")))</f>
        <v>0</v>
      </c>
      <c r="G839" s="4">
        <f>IF(OR(INDEX($AH$2:$AH$1001,MATCH(ROWS($AG$2:AG839),$AG$2:$AG$1001,0),1)&gt;=100000,INDEX($AN$1005:$BO$1005,1,MATCH(COLUMNS($AN$1006:AS1006),$AN$1006:$BO$1006,0))&gt;=100000), " ",IF(INDEX($AN$2:$BO$1001,MATCH(ROWS($AG$2:AG839),$AG$2:$AG$1001,0),MATCH(COLUMNS($AN$1006:AS1006),$AN$1006:$BO$1006,0)), HYPERLINK("#",""), HYPERLINK(CONCATENATE("#Metadata!", ADDRESS(INDEX($AI$2:$AI$1001,MATCH(ROWS($AG$2:AG839),$AG$2:$AG$1001,0),0), INDEX($AN$1004:$BO$1004,1,MATCH(COLUMNS($AN$1006:AS1006),$AN$1006:$BO$1006,0)))),"Fix")))</f>
        <v>0</v>
      </c>
      <c r="H839" s="4">
        <f>IF(OR(INDEX($AH$2:$AH$1001,MATCH(ROWS($AG$2:AG839),$AG$2:$AG$1001,0),1)&gt;=100000,INDEX($AN$1005:$BO$1005,1,MATCH(COLUMNS($AN$1006:AT1006),$AN$1006:$BO$1006,0))&gt;=100000), " ",IF(INDEX($AN$2:$BO$1001,MATCH(ROWS($AG$2:AG839),$AG$2:$AG$1001,0),MATCH(COLUMNS($AN$1006:AT1006),$AN$1006:$BO$1006,0)), HYPERLINK("#",""), HYPERLINK(CONCATENATE("#Metadata!", ADDRESS(INDEX($AI$2:$AI$1001,MATCH(ROWS($AG$2:AG839),$AG$2:$AG$1001,0),0), INDEX($AN$1004:$BO$1004,1,MATCH(COLUMNS($AN$1006:AT1006),$AN$1006:$BO$1006,0)))),"Fix")))</f>
        <v>0</v>
      </c>
      <c r="I839" s="4">
        <f>IF(OR(INDEX($AH$2:$AH$1001,MATCH(ROWS($AG$2:AG839),$AG$2:$AG$1001,0),1)&gt;=100000,INDEX($AN$1005:$BO$1005,1,MATCH(COLUMNS($AN$1006:AU1006),$AN$1006:$BO$1006,0))&gt;=100000), " ",IF(INDEX($AN$2:$BO$1001,MATCH(ROWS($AG$2:AG839),$AG$2:$AG$1001,0),MATCH(COLUMNS($AN$1006:AU1006),$AN$1006:$BO$1006,0)), HYPERLINK("#",""), HYPERLINK(CONCATENATE("#Metadata!", ADDRESS(INDEX($AI$2:$AI$1001,MATCH(ROWS($AG$2:AG839),$AG$2:$AG$1001,0),0), INDEX($AN$1004:$BO$1004,1,MATCH(COLUMNS($AN$1006:AU1006),$AN$1006:$BO$1006,0)))),"Fix")))</f>
        <v>0</v>
      </c>
      <c r="J839" s="4">
        <f>IF(OR(INDEX($AH$2:$AH$1001,MATCH(ROWS($AG$2:AG839),$AG$2:$AG$1001,0),1)&gt;=100000,INDEX($AN$1005:$BO$1005,1,MATCH(COLUMNS($AN$1006:AV1006),$AN$1006:$BO$1006,0))&gt;=100000), " ",IF(INDEX($AN$2:$BO$1001,MATCH(ROWS($AG$2:AG839),$AG$2:$AG$1001,0),MATCH(COLUMNS($AN$1006:AV1006),$AN$1006:$BO$1006,0)), HYPERLINK("#",""), HYPERLINK(CONCATENATE("#Metadata!", ADDRESS(INDEX($AI$2:$AI$1001,MATCH(ROWS($AG$2:AG839),$AG$2:$AG$1001,0),0), INDEX($AN$1004:$BO$1004,1,MATCH(COLUMNS($AN$1006:AV1006),$AN$1006:$BO$1006,0)))),"Fix")))</f>
        <v>0</v>
      </c>
      <c r="K839" s="4">
        <f>IF(OR(INDEX($AH$2:$AH$1001,MATCH(ROWS($AG$2:AG839),$AG$2:$AG$1001,0),1)&gt;=100000,INDEX($AN$1005:$BO$1005,1,MATCH(COLUMNS($AN$1006:AW1006),$AN$1006:$BO$1006,0))&gt;=100000), " ",IF(INDEX($AN$2:$BO$1001,MATCH(ROWS($AG$2:AG839),$AG$2:$AG$1001,0),MATCH(COLUMNS($AN$1006:AW1006),$AN$1006:$BO$1006,0)), HYPERLINK("#",""), HYPERLINK(CONCATENATE("#Metadata!", ADDRESS(INDEX($AI$2:$AI$1001,MATCH(ROWS($AG$2:AG839),$AG$2:$AG$1001,0),0), INDEX($AN$1004:$BO$1004,1,MATCH(COLUMNS($AN$1006:AW1006),$AN$1006:$BO$1006,0)))),"Fix")))</f>
        <v>0</v>
      </c>
      <c r="L839" s="4">
        <f>IF(OR(INDEX($AH$2:$AH$1001,MATCH(ROWS($AG$2:AG839),$AG$2:$AG$1001,0),1)&gt;=100000,INDEX($AN$1005:$BO$1005,1,MATCH(COLUMNS($AN$1006:AX1006),$AN$1006:$BO$1006,0))&gt;=100000), " ",IF(INDEX($AN$2:$BO$1001,MATCH(ROWS($AG$2:AG839),$AG$2:$AG$1001,0),MATCH(COLUMNS($AN$1006:AX1006),$AN$1006:$BO$1006,0)), HYPERLINK("#",""), HYPERLINK(CONCATENATE("#Metadata!", ADDRESS(INDEX($AI$2:$AI$1001,MATCH(ROWS($AG$2:AG839),$AG$2:$AG$1001,0),0), INDEX($AN$1004:$BO$1004,1,MATCH(COLUMNS($AN$1006:AX1006),$AN$1006:$BO$1006,0)))),"Fix")))</f>
        <v>0</v>
      </c>
      <c r="M839" s="4">
        <f>IF(OR(INDEX($AH$2:$AH$1001,MATCH(ROWS($AG$2:AG839),$AG$2:$AG$1001,0),1)&gt;=100000,INDEX($AN$1005:$BO$1005,1,MATCH(COLUMNS($AN$1006:AY1006),$AN$1006:$BO$1006,0))&gt;=100000), " ",IF(INDEX($AN$2:$BO$1001,MATCH(ROWS($AG$2:AG839),$AG$2:$AG$1001,0),MATCH(COLUMNS($AN$1006:AY1006),$AN$1006:$BO$1006,0)), HYPERLINK("#",""), HYPERLINK(CONCATENATE("#Metadata!", ADDRESS(INDEX($AI$2:$AI$1001,MATCH(ROWS($AG$2:AG839),$AG$2:$AG$1001,0),0), INDEX($AN$1004:$BO$1004,1,MATCH(COLUMNS($AN$1006:AY1006),$AN$1006:$BO$1006,0)))),"Fix")))</f>
        <v>0</v>
      </c>
      <c r="N839" s="4">
        <f>IF(OR(INDEX($AH$2:$AH$1001,MATCH(ROWS($AG$2:AG839),$AG$2:$AG$1001,0),1)&gt;=100000,INDEX($AN$1005:$BO$1005,1,MATCH(COLUMNS($AN$1006:AZ1006),$AN$1006:$BO$1006,0))&gt;=100000), " ",IF(INDEX($AN$2:$BO$1001,MATCH(ROWS($AG$2:AG839),$AG$2:$AG$1001,0),MATCH(COLUMNS($AN$1006:AZ1006),$AN$1006:$BO$1006,0)), HYPERLINK("#",""), HYPERLINK(CONCATENATE("#Metadata!", ADDRESS(INDEX($AI$2:$AI$1001,MATCH(ROWS($AG$2:AG839),$AG$2:$AG$1001,0),0), INDEX($AN$1004:$BO$1004,1,MATCH(COLUMNS($AN$1006:AZ1006),$AN$1006:$BO$1006,0)))),"Fix")))</f>
        <v>0</v>
      </c>
      <c r="O839" s="4">
        <f>IF(OR(INDEX($AH$2:$AH$1001,MATCH(ROWS($AG$2:AG839),$AG$2:$AG$1001,0),1)&gt;=100000,INDEX($AN$1005:$BO$1005,1,MATCH(COLUMNS($AN$1006:BA1006),$AN$1006:$BO$1006,0))&gt;=100000), " ",IF(INDEX($AN$2:$BO$1001,MATCH(ROWS($AG$2:AG839),$AG$2:$AG$1001,0),MATCH(COLUMNS($AN$1006:BA1006),$AN$1006:$BO$1006,0)), HYPERLINK("#",""), HYPERLINK(CONCATENATE("#Metadata!", ADDRESS(INDEX($AI$2:$AI$1001,MATCH(ROWS($AG$2:AG839),$AG$2:$AG$1001,0),0), INDEX($AN$1004:$BO$1004,1,MATCH(COLUMNS($AN$1006:BA1006),$AN$1006:$BO$1006,0)))),"Fix")))</f>
        <v>0</v>
      </c>
      <c r="P839" s="4">
        <f>IF(OR(INDEX($AH$2:$AH$1001,MATCH(ROWS($AG$2:AG839),$AG$2:$AG$1001,0),1)&gt;=100000,INDEX($AN$1005:$BO$1005,1,MATCH(COLUMNS($AN$1006:BB1006),$AN$1006:$BO$1006,0))&gt;=100000), " ",IF(INDEX($AN$2:$BO$1001,MATCH(ROWS($AG$2:AG839),$AG$2:$AG$1001,0),MATCH(COLUMNS($AN$1006:BB1006),$AN$1006:$BO$1006,0)), HYPERLINK("#",""), HYPERLINK(CONCATENATE("#Metadata!", ADDRESS(INDEX($AI$2:$AI$1001,MATCH(ROWS($AG$2:AG839),$AG$2:$AG$1001,0),0), INDEX($AN$1004:$BO$1004,1,MATCH(COLUMNS($AN$1006:BB1006),$AN$1006:$BO$1006,0)))),"Fix")))</f>
        <v>0</v>
      </c>
      <c r="Q839" s="4">
        <f>IF(OR(INDEX($AH$2:$AH$1001,MATCH(ROWS($AG$2:AG839),$AG$2:$AG$1001,0),1)&gt;=100000,INDEX($AN$1005:$BO$1005,1,MATCH(COLUMNS($AN$1006:BC1006),$AN$1006:$BO$1006,0))&gt;=100000), " ",IF(INDEX($AN$2:$BO$1001,MATCH(ROWS($AG$2:AG839),$AG$2:$AG$1001,0),MATCH(COLUMNS($AN$1006:BC1006),$AN$1006:$BO$1006,0)), HYPERLINK("#",""), HYPERLINK(CONCATENATE("#Metadata!", ADDRESS(INDEX($AI$2:$AI$1001,MATCH(ROWS($AG$2:AG839),$AG$2:$AG$1001,0),0), INDEX($AN$1004:$BO$1004,1,MATCH(COLUMNS($AN$1006:BC1006),$AN$1006:$BO$1006,0)))),"Fix")))</f>
        <v>0</v>
      </c>
      <c r="R839" s="4">
        <f>IF(OR(INDEX($AH$2:$AH$1001,MATCH(ROWS($AG$2:AG839),$AG$2:$AG$1001,0),1)&gt;=100000,INDEX($AN$1005:$BO$1005,1,MATCH(COLUMNS($AN$1006:BD1006),$AN$1006:$BO$1006,0))&gt;=100000), " ",IF(INDEX($AN$2:$BO$1001,MATCH(ROWS($AG$2:AG839),$AG$2:$AG$1001,0),MATCH(COLUMNS($AN$1006:BD1006),$AN$1006:$BO$1006,0)), HYPERLINK("#",""), HYPERLINK(CONCATENATE("#Metadata!", ADDRESS(INDEX($AI$2:$AI$1001,MATCH(ROWS($AG$2:AG839),$AG$2:$AG$1001,0),0), INDEX($AN$1004:$BO$1004,1,MATCH(COLUMNS($AN$1006:BD1006),$AN$1006:$BO$1006,0)))),"Fix")))</f>
        <v>0</v>
      </c>
      <c r="S839" s="4">
        <f>IF(OR(INDEX($AH$2:$AH$1001,MATCH(ROWS($AG$2:AG839),$AG$2:$AG$1001,0),1)&gt;=100000,INDEX($AN$1005:$BO$1005,1,MATCH(COLUMNS($AN$1006:BE1006),$AN$1006:$BO$1006,0))&gt;=100000), " ",IF(INDEX($AN$2:$BO$1001,MATCH(ROWS($AG$2:AG839),$AG$2:$AG$1001,0),MATCH(COLUMNS($AN$1006:BE1006),$AN$1006:$BO$1006,0)), HYPERLINK("#",""), HYPERLINK(CONCATENATE("#Metadata!", ADDRESS(INDEX($AI$2:$AI$1001,MATCH(ROWS($AG$2:AG839),$AG$2:$AG$1001,0),0), INDEX($AN$1004:$BO$1004,1,MATCH(COLUMNS($AN$1006:BE1006),$AN$1006:$BO$1006,0)))),"Fix")))</f>
        <v>0</v>
      </c>
      <c r="T839" s="4">
        <f>IF(OR(INDEX($AH$2:$AH$1001,MATCH(ROWS($AG$2:AG839),$AG$2:$AG$1001,0),1)&gt;=100000,INDEX($AN$1005:$BO$1005,1,MATCH(COLUMNS($AN$1006:BF1006),$AN$1006:$BO$1006,0))&gt;=100000), " ",IF(INDEX($AN$2:$BO$1001,MATCH(ROWS($AG$2:AG839),$AG$2:$AG$1001,0),MATCH(COLUMNS($AN$1006:BF1006),$AN$1006:$BO$1006,0)), HYPERLINK("#",""), HYPERLINK(CONCATENATE("#Metadata!", ADDRESS(INDEX($AI$2:$AI$1001,MATCH(ROWS($AG$2:AG839),$AG$2:$AG$1001,0),0), INDEX($AN$1004:$BO$1004,1,MATCH(COLUMNS($AN$1006:BF1006),$AN$1006:$BO$1006,0)))),"Fix")))</f>
        <v>0</v>
      </c>
      <c r="U839" s="4">
        <f>IF(OR(INDEX($AH$2:$AH$1001,MATCH(ROWS($AG$2:AG839),$AG$2:$AG$1001,0),1)&gt;=100000,INDEX($AN$1005:$BO$1005,1,MATCH(COLUMNS($AN$1006:BG1006),$AN$1006:$BO$1006,0))&gt;=100000), " ",IF(INDEX($AN$2:$BO$1001,MATCH(ROWS($AG$2:AG839),$AG$2:$AG$1001,0),MATCH(COLUMNS($AN$1006:BG1006),$AN$1006:$BO$1006,0)), HYPERLINK("#",""), HYPERLINK(CONCATENATE("#Metadata!", ADDRESS(INDEX($AI$2:$AI$1001,MATCH(ROWS($AG$2:AG839),$AG$2:$AG$1001,0),0), INDEX($AN$1004:$BO$1004,1,MATCH(COLUMNS($AN$1006:BG1006),$AN$1006:$BO$1006,0)))),"Fix")))</f>
        <v>0</v>
      </c>
      <c r="V839" s="4">
        <f>IF(OR(INDEX($AH$2:$AH$1001,MATCH(ROWS($AG$2:AG839),$AG$2:$AG$1001,0),1)&gt;=100000,INDEX($AN$1005:$BO$1005,1,MATCH(COLUMNS($AN$1006:BH1006),$AN$1006:$BO$1006,0))&gt;=100000), " ",IF(INDEX($AN$2:$BO$1001,MATCH(ROWS($AG$2:AG839),$AG$2:$AG$1001,0),MATCH(COLUMNS($AN$1006:BH1006),$AN$1006:$BO$1006,0)), HYPERLINK("#",""), HYPERLINK(CONCATENATE("#Metadata!", ADDRESS(INDEX($AI$2:$AI$1001,MATCH(ROWS($AG$2:AG839),$AG$2:$AG$1001,0),0), INDEX($AN$1004:$BO$1004,1,MATCH(COLUMNS($AN$1006:BH1006),$AN$1006:$BO$1006,0)))),"Fix")))</f>
        <v>0</v>
      </c>
      <c r="W839" s="4">
        <f>IF(OR(INDEX($AH$2:$AH$1001,MATCH(ROWS($AG$2:AG839),$AG$2:$AG$1001,0),1)&gt;=100000,INDEX($AN$1005:$BO$1005,1,MATCH(COLUMNS($AN$1006:BI1006),$AN$1006:$BO$1006,0))&gt;=100000), " ",IF(INDEX($AN$2:$BO$1001,MATCH(ROWS($AG$2:AG839),$AG$2:$AG$1001,0),MATCH(COLUMNS($AN$1006:BI1006),$AN$1006:$BO$1006,0)), HYPERLINK("#",""), HYPERLINK(CONCATENATE("#Metadata!", ADDRESS(INDEX($AI$2:$AI$1001,MATCH(ROWS($AG$2:AG839),$AG$2:$AG$1001,0),0), INDEX($AN$1004:$BO$1004,1,MATCH(COLUMNS($AN$1006:BI1006),$AN$1006:$BO$1006,0)))),"Fix")))</f>
        <v>0</v>
      </c>
      <c r="X839" s="4">
        <f>IF(OR(INDEX($AH$2:$AH$1001,MATCH(ROWS($AG$2:AG839),$AG$2:$AG$1001,0),1)&gt;=100000,INDEX($AN$1005:$BO$1005,1,MATCH(COLUMNS($AN$1006:BJ1006),$AN$1006:$BO$1006,0))&gt;=100000), " ",IF(INDEX($AN$2:$BO$1001,MATCH(ROWS($AG$2:AG839),$AG$2:$AG$1001,0),MATCH(COLUMNS($AN$1006:BJ1006),$AN$1006:$BO$1006,0)), HYPERLINK("#",""), HYPERLINK(CONCATENATE("#Metadata!", ADDRESS(INDEX($AI$2:$AI$1001,MATCH(ROWS($AG$2:AG839),$AG$2:$AG$1001,0),0), INDEX($AN$1004:$BO$1004,1,MATCH(COLUMNS($AN$1006:BJ1006),$AN$1006:$BO$1006,0)))),"Fix")))</f>
        <v>0</v>
      </c>
      <c r="Y839" s="4">
        <f>IF(OR(INDEX($AH$2:$AH$1001,MATCH(ROWS($AG$2:AG839),$AG$2:$AG$1001,0),1)&gt;=100000,INDEX($AN$1005:$BO$1005,1,MATCH(COLUMNS($AN$1006:BK1006),$AN$1006:$BO$1006,0))&gt;=100000), " ",IF(INDEX($AN$2:$BO$1001,MATCH(ROWS($AG$2:AG839),$AG$2:$AG$1001,0),MATCH(COLUMNS($AN$1006:BK1006),$AN$1006:$BO$1006,0)), HYPERLINK("#",""), HYPERLINK(CONCATENATE("#Metadata!", ADDRESS(INDEX($AI$2:$AI$1001,MATCH(ROWS($AG$2:AG839),$AG$2:$AG$1001,0),0), INDEX($AN$1004:$BO$1004,1,MATCH(COLUMNS($AN$1006:BK1006),$AN$1006:$BO$1006,0)))),"Fix")))</f>
        <v>0</v>
      </c>
      <c r="Z839" s="4">
        <f>IF(OR(INDEX($AH$2:$AH$1001,MATCH(ROWS($AG$2:AG839),$AG$2:$AG$1001,0),1)&gt;=100000,INDEX($AN$1005:$BO$1005,1,MATCH(COLUMNS($AN$1006:BL1006),$AN$1006:$BO$1006,0))&gt;=100000), " ",IF(INDEX($AN$2:$BO$1001,MATCH(ROWS($AG$2:AG839),$AG$2:$AG$1001,0),MATCH(COLUMNS($AN$1006:BL1006),$AN$1006:$BO$1006,0)), HYPERLINK("#",""), HYPERLINK(CONCATENATE("#Metadata!", ADDRESS(INDEX($AI$2:$AI$1001,MATCH(ROWS($AG$2:AG839),$AG$2:$AG$1001,0),0), INDEX($AN$1004:$BO$1004,1,MATCH(COLUMNS($AN$1006:BL1006),$AN$1006:$BO$1006,0)))),"Fix")))</f>
        <v>0</v>
      </c>
      <c r="AA839" s="4">
        <f>IF(OR(INDEX($AH$2:$AH$1001,MATCH(ROWS($AG$2:AG839),$AG$2:$AG$1001,0),1)&gt;=100000,INDEX($AN$1005:$BO$1005,1,MATCH(COLUMNS($AN$1006:BM1006),$AN$1006:$BO$1006,0))&gt;=100000), " ",IF(INDEX($AN$2:$BO$1001,MATCH(ROWS($AG$2:AG839),$AG$2:$AG$1001,0),MATCH(COLUMNS($AN$1006:BM1006),$AN$1006:$BO$1006,0)), HYPERLINK("#",""), HYPERLINK(CONCATENATE("#Metadata!", ADDRESS(INDEX($AI$2:$AI$1001,MATCH(ROWS($AG$2:AG839),$AG$2:$AG$1001,0),0), INDEX($AN$1004:$BO$1004,1,MATCH(COLUMNS($AN$1006:BM1006),$AN$1006:$BO$1006,0)))),"Fix")))</f>
        <v>0</v>
      </c>
      <c r="AB839" s="4">
        <f>IF(OR(INDEX($AH$2:$AH$1001,MATCH(ROWS($AG$2:AG839),$AG$2:$AG$1001,0),1)&gt;=100000,INDEX($AN$1005:$BO$1005,1,MATCH(COLUMNS($AN$1006:BN1006),$AN$1006:$BO$1006,0))&gt;=100000), " ",IF(INDEX($AN$2:$BO$1001,MATCH(ROWS($AG$2:AG839),$AG$2:$AG$1001,0),MATCH(COLUMNS($AN$1006:BN1006),$AN$1006:$BO$1006,0)), HYPERLINK("#",""), HYPERLINK(CONCATENATE("#Metadata!", ADDRESS(INDEX($AI$2:$AI$1001,MATCH(ROWS($AG$2:AG839),$AG$2:$AG$1001,0),0), INDEX($AN$1004:$BO$1004,1,MATCH(COLUMNS($AN$1006:BN1006),$AN$1006:$BO$1006,0)))),"Fix")))</f>
        <v>0</v>
      </c>
      <c r="AC839" s="4">
        <f>IF(OR(INDEX($AH$2:$AH$1001,MATCH(ROWS($AG$2:AG839),$AG$2:$AG$1001,0),1)&gt;=100000,INDEX($AN$1005:$BO$1005,1,MATCH(COLUMNS($AN$1006:BO1006),$AN$1006:$BO$1006,0))&gt;=100000), " ",IF(INDEX($AN$2:$BO$1001,MATCH(ROWS($AG$2:AG839),$AG$2:$AG$1001,0),MATCH(COLUMNS($AN$1006:BO1006),$AN$1006:$BO$1006,0)), HYPERLINK("#",""), HYPERLINK(CONCATENATE("#Metadata!", ADDRESS(INDEX($AI$2:$AI$1001,MATCH(ROWS($AG$2:AG839),$AG$2:$AG$1001,0),0), INDEX($AN$1004:$BO$1004,1,MATCH(COLUMNS($AN$1006:BO1006),$AN$1006:$BO$1006,0)))),"Fix")))</f>
        <v>0</v>
      </c>
      <c r="AG839">
        <v>0</v>
      </c>
      <c r="AH839">
        <v>0</v>
      </c>
      <c r="AI839">
        <v>0</v>
      </c>
      <c r="AJ839">
        <f>IF(AK839,TRUE,AND(AN839:BO839))</f>
        <v>0</v>
      </c>
      <c r="AK839">
        <f>COUNTBLANK(Metadata!B839:AC839)=COLUMNS(Metadata!B839:AC839)</f>
        <v>0</v>
      </c>
      <c r="AL839">
        <v>0</v>
      </c>
      <c r="AN839">
        <f>AND(IF(Metadata!B839="",FALSE,TRUE),COUNTIF(Metadata!B:B, Metadata!B839) = 1,NOT(ISERROR(SUMPRODUCT(SEARCH(MID(Metadata!B839,ROW(INDIRECT("1:"&amp;LEN(Metadata!B839))), 1),"0123456789abcdefghijklmnopqrstuvwxyzABCDEFGHIJKLMNOPQRSTUVWXYZ.")))))</f>
        <v>0</v>
      </c>
      <c r="AO839">
        <f>IF(Metadata!C839="",FALSE,TRUE)</f>
        <v>0</v>
      </c>
      <c r="AP839">
        <f>IF(Metadata!D839="",FALSE,TRUE)</f>
        <v>0</v>
      </c>
      <c r="AQ839">
        <f>OR(AND(IF(Metadata!E839="",FALSE,TRUE),OR(exact(Metadata!E839,"not collected"),exact(Metadata!E839,"not provided"),exact(Metadata!E839,"restricted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R839">
        <f>IF(Metadata!F839="",FALSE,TRUE)</f>
        <v>0</v>
      </c>
      <c r="AS839">
        <f>OR(AND(IF(Metadata!G839="",FALSE,TRUE),OR(exact(Metadata!G839,"not collected"),exact(Metadata!G839,"not provided"))),AND(IF(Metadata!G839="",FALSE,TRUE),OR(exact(Metadata!G839,"TRUE"),exact(Metadata!G839,"FALSE"))))</f>
        <v>0</v>
      </c>
      <c r="AT839">
        <f>OR(AND(IF(Metadata!H839="",FALSE,TRUE),OR(exact(Metadata!H839,"not collected"),exact(Metadata!H839,"not provided"),exact(Metadata!H839,"restricted access"))),AND(IF(Metadata!H839="",FALSE,ISNUMBER(VALUE(Metadata!H839))),Metadata!H839&gt;=-413.0))</f>
        <v>0</v>
      </c>
      <c r="AU839">
        <f>AND(IF(Metadata!I839="",FALSE,TRUE),exact(Metadata!I839,"meters"))</f>
        <v>0</v>
      </c>
      <c r="AV839">
        <f>AND(IF(Metadata!J839="",FALSE,TRUE),OR(exact(Metadata!J839,"Host-associated"),exact(Metadata!J839,"Free-living")))</f>
        <v>0</v>
      </c>
      <c r="AW839">
        <f>AND(IF(Metadata!K839="",FALSE,TRUE),OR(exact(Metadata!K839,"Animal"),exact(Metadata!K839,"Fungus"),exact(Metadata!K839,"Plant"),exact(Metadata!K839,"Saline"),exact(Metadata!K839,"Non-saline")))</f>
        <v>0</v>
      </c>
      <c r="AX839">
        <f>AND(IF(Metadata!L839="",FALSE,TRUE),OR(exact(Metadata!L839,"Plant secretion"),exact(Metadata!L839,"Plant rhizosphere"),exact(Metadata!L839,"Plant surface"),exact(Metadata!L839,"Plant corpus"),exact(Metadata!L839,"Fungus surface"),exact(Metadata!L839,"Fungus corpus"),exact(Metadata!L839,"Animal surface"),exact(Metadata!L839,"Animal proximal gut"),exact(Metadata!L839,"Animal corpus"),exact(Metadata!L839,"Animal distal gut"),exact(Metadata!L839,"Animal secretion"),exact(Metadata!L839,"Sub-surface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Y839">
        <f>IF(Metadata!M839="",FALSE,TRUE)</f>
        <v>0</v>
      </c>
      <c r="AZ839">
        <f>IF(Metadata!N839="",FALSE,TRUE)</f>
        <v>0</v>
      </c>
      <c r="BA839">
        <f>IF(Metadata!O839="",FALSE,TRUE)</f>
        <v>0</v>
      </c>
      <c r="BB839">
        <f>OR(AND(IF(Metadata!P839="",FALSE,TRUE),OR(exact(Metadata!P839,"not collected"),exact(Metadata!P839,"not provided"),exact(Metadata!P839,"restricted access"))),AND(IF(Metadata!P839="",FALSE,TRUE),OR(exact(Metadata!P839,"air"),exact(Metadata!P839,"built environment"),exact(Metadata!P839,"host-associated"),exact(Metadata!P839,"human-associated"),exact(Metadata!P839,"human-skin"),exact(Metadata!P839,"human-oral"),exact(Metadata!P839,"human-gut"),exact(Metadata!P839,"human-vaginal"),exact(Metadata!P839,"microbial mat/biofilm"),exact(Metadata!P839,"misc environment"),exact(Metadata!P839,"plant-associated"),exact(Metadata!P839,"sediment"),exact(Metadata!P839,"soil"),exact(Metadata!P839,"wastewater/sludge"),exact(Metadata!P839,"water"))))</f>
        <v>0</v>
      </c>
      <c r="BC839">
        <f>IF(Metadata!Q839="",FALSE,TRUE)</f>
        <v>0</v>
      </c>
      <c r="BD839">
        <f>IF(Metadata!R839="",FALSE,TRUE)</f>
        <v>0</v>
      </c>
      <c r="BE839">
        <f>OR(AND(IF(Metadata!S839="",FALSE,TRUE),OR(exact(Metadata!S839,"not collected"),exact(Metadata!S839,"not provided"),exact(Metadata!S839,"restricted access"))),AND(IF(Metadata!S839="",FALSE,ISNUMBER(VALUE(Metadata!S839))),Metadata!S839&gt;=-90.00,Metadata!S839&lt;=90.00))</f>
        <v>0</v>
      </c>
      <c r="BF839">
        <f>AND(IF(Metadata!T839="",FALSE,TRUE),exact(Metadata!T839,"Decimal degrees"))</f>
        <v>0</v>
      </c>
      <c r="BG839">
        <f>OR(AND(IF(Metadata!U839="",FALSE,TRUE),OR(exact(Metadata!U839,"not collected"),exact(Metadata!U839,"not provided"),exact(Metadata!U839,"restricted access"))),AND(IF(Metadata!U839="",FALSE,ISNUMBER(VALUE(Metadata!U839))),Metadata!U839&gt;=-180.00,Metadata!U839&lt;=180.00))</f>
        <v>0</v>
      </c>
      <c r="BH839">
        <f>AND(IF(Metadata!V839="",FALSE,TRUE),exact(Metadata!V839,"Decimal degrees"))</f>
        <v>0</v>
      </c>
      <c r="BI839">
        <f>IF(Metadata!W839="",FALSE,TRUE)</f>
        <v>0</v>
      </c>
      <c r="BJ839">
        <f>OR(AND(IF(Metadata!X839="",FALSE,TRUE),OR(exact(Metadata!X839,"not collected"),exact(Metadata!X839,"not provided"),exact(Metadata!X839,"restricted access"))),AND(IF(Metadata!X839="",FALSE,TRUE),OR(exact(Metadata!X839,"TRUE"),exact(Metadata!X839,"FALSE"))))</f>
        <v>0</v>
      </c>
      <c r="BK839">
        <f>AND(IF(Metadata!Y839="",FALSE,TRUE),exact(Metadata!Y839,"other"))</f>
        <v>0</v>
      </c>
      <c r="BL839">
        <f>IF(Metadata!Z839="",FALSE,TRUE)</f>
        <v>0</v>
      </c>
      <c r="BM839">
        <f>OR(AND(IF(Metadata!AA839="",FALSE,TRUE),OR(exact(Metadata!AA839,"not collected"),exact(Metadata!AA839,"not provided"))),AND(IF(Metadata!AA839="",FALSE,IF(ISERROR(INT(Metadata!AA839)),FALSE,INT(Metadata!AA839)=Metadata!AA839)),Metadata!AA839&gt;0))</f>
        <v>0</v>
      </c>
      <c r="BN839">
        <f>AND(IF(Metadata!AB839="",FALSE,TRUE),exact(Metadata!AB839,"Not applicable"))</f>
        <v>0</v>
      </c>
      <c r="BO839">
        <f>IF(Metadata!AC839="",FALSE,TRUE)</f>
        <v>0</v>
      </c>
    </row>
    <row r="840" spans="1:67">
      <c r="A840" s="5">
        <f>IF(B840=" "," ",HYPERLINK(CONCATENATE("#metadata!",ADDRESS(INDEX($AI$2:$AI$1001,MATCH(ROWS($AG$2:AG840),$AG$2:$AG$1001,0),0),1)),INDEX($AL$2:$AL$1001,MATCH(ROWS($AG$2:AG840),$AG$2:$AG$1001,0),0)))</f>
        <v>0</v>
      </c>
      <c r="B840" s="4">
        <f>IF(OR(INDEX($AH$2:$AH$1001,MATCH(ROWS($AG$2:AG840),$AG$2:$AG$1001,0),1)&gt;=100000,INDEX($AN$1005:$BO$1005,1,MATCH(COLUMNS($AN$1006:AN1006),$AN$1006:$BO$1006,0))&gt;=100000), " ",IF(INDEX($AN$2:$BO$1001,MATCH(ROWS($AG$2:AG840),$AG$2:$AG$1001,0),MATCH(COLUMNS($AN$1006:AN1006),$AN$1006:$BO$1006,0)), HYPERLINK("#",""), HYPERLINK(CONCATENATE("#Metadata!", ADDRESS(INDEX($AI$2:$AI$1001,MATCH(ROWS($AG$2:AG840),$AG$2:$AG$1001,0),0), INDEX($AN$1004:$BO$1004,1,MATCH(COLUMNS($AN$1006:AN1006),$AN$1006:$BO$1006,0)))),"Fix")))</f>
        <v>0</v>
      </c>
      <c r="C840" s="4">
        <f>IF(OR(INDEX($AH$2:$AH$1001,MATCH(ROWS($AG$2:AG840),$AG$2:$AG$1001,0),1)&gt;=100000,INDEX($AN$1005:$BO$1005,1,MATCH(COLUMNS($AN$1006:AO1006),$AN$1006:$BO$1006,0))&gt;=100000), " ",IF(INDEX($AN$2:$BO$1001,MATCH(ROWS($AG$2:AG840),$AG$2:$AG$1001,0),MATCH(COLUMNS($AN$1006:AO1006),$AN$1006:$BO$1006,0)), HYPERLINK("#",""), HYPERLINK(CONCATENATE("#Metadata!", ADDRESS(INDEX($AI$2:$AI$1001,MATCH(ROWS($AG$2:AG840),$AG$2:$AG$1001,0),0), INDEX($AN$1004:$BO$1004,1,MATCH(COLUMNS($AN$1006:AO1006),$AN$1006:$BO$1006,0)))),"Fix")))</f>
        <v>0</v>
      </c>
      <c r="D840" s="4">
        <f>IF(OR(INDEX($AH$2:$AH$1001,MATCH(ROWS($AG$2:AG840),$AG$2:$AG$1001,0),1)&gt;=100000,INDEX($AN$1005:$BO$1005,1,MATCH(COLUMNS($AN$1006:AP1006),$AN$1006:$BO$1006,0))&gt;=100000), " ",IF(INDEX($AN$2:$BO$1001,MATCH(ROWS($AG$2:AG840),$AG$2:$AG$1001,0),MATCH(COLUMNS($AN$1006:AP1006),$AN$1006:$BO$1006,0)), HYPERLINK("#",""), HYPERLINK(CONCATENATE("#Metadata!", ADDRESS(INDEX($AI$2:$AI$1001,MATCH(ROWS($AG$2:AG840),$AG$2:$AG$1001,0),0), INDEX($AN$1004:$BO$1004,1,MATCH(COLUMNS($AN$1006:AP1006),$AN$1006:$BO$1006,0)))),"Fix")))</f>
        <v>0</v>
      </c>
      <c r="E840" s="4">
        <f>IF(OR(INDEX($AH$2:$AH$1001,MATCH(ROWS($AG$2:AG840),$AG$2:$AG$1001,0),1)&gt;=100000,INDEX($AN$1005:$BO$1005,1,MATCH(COLUMNS($AN$1006:AQ1006),$AN$1006:$BO$1006,0))&gt;=100000), " ",IF(INDEX($AN$2:$BO$1001,MATCH(ROWS($AG$2:AG840),$AG$2:$AG$1001,0),MATCH(COLUMNS($AN$1006:AQ1006),$AN$1006:$BO$1006,0)), HYPERLINK("#",""), HYPERLINK(CONCATENATE("#Metadata!", ADDRESS(INDEX($AI$2:$AI$1001,MATCH(ROWS($AG$2:AG840),$AG$2:$AG$1001,0),0), INDEX($AN$1004:$BO$1004,1,MATCH(COLUMNS($AN$1006:AQ1006),$AN$1006:$BO$1006,0)))),"Fix")))</f>
        <v>0</v>
      </c>
      <c r="F840" s="4">
        <f>IF(OR(INDEX($AH$2:$AH$1001,MATCH(ROWS($AG$2:AG840),$AG$2:$AG$1001,0),1)&gt;=100000,INDEX($AN$1005:$BO$1005,1,MATCH(COLUMNS($AN$1006:AR1006),$AN$1006:$BO$1006,0))&gt;=100000), " ",IF(INDEX($AN$2:$BO$1001,MATCH(ROWS($AG$2:AG840),$AG$2:$AG$1001,0),MATCH(COLUMNS($AN$1006:AR1006),$AN$1006:$BO$1006,0)), HYPERLINK("#",""), HYPERLINK(CONCATENATE("#Metadata!", ADDRESS(INDEX($AI$2:$AI$1001,MATCH(ROWS($AG$2:AG840),$AG$2:$AG$1001,0),0), INDEX($AN$1004:$BO$1004,1,MATCH(COLUMNS($AN$1006:AR1006),$AN$1006:$BO$1006,0)))),"Fix")))</f>
        <v>0</v>
      </c>
      <c r="G840" s="4">
        <f>IF(OR(INDEX($AH$2:$AH$1001,MATCH(ROWS($AG$2:AG840),$AG$2:$AG$1001,0),1)&gt;=100000,INDEX($AN$1005:$BO$1005,1,MATCH(COLUMNS($AN$1006:AS1006),$AN$1006:$BO$1006,0))&gt;=100000), " ",IF(INDEX($AN$2:$BO$1001,MATCH(ROWS($AG$2:AG840),$AG$2:$AG$1001,0),MATCH(COLUMNS($AN$1006:AS1006),$AN$1006:$BO$1006,0)), HYPERLINK("#",""), HYPERLINK(CONCATENATE("#Metadata!", ADDRESS(INDEX($AI$2:$AI$1001,MATCH(ROWS($AG$2:AG840),$AG$2:$AG$1001,0),0), INDEX($AN$1004:$BO$1004,1,MATCH(COLUMNS($AN$1006:AS1006),$AN$1006:$BO$1006,0)))),"Fix")))</f>
        <v>0</v>
      </c>
      <c r="H840" s="4">
        <f>IF(OR(INDEX($AH$2:$AH$1001,MATCH(ROWS($AG$2:AG840),$AG$2:$AG$1001,0),1)&gt;=100000,INDEX($AN$1005:$BO$1005,1,MATCH(COLUMNS($AN$1006:AT1006),$AN$1006:$BO$1006,0))&gt;=100000), " ",IF(INDEX($AN$2:$BO$1001,MATCH(ROWS($AG$2:AG840),$AG$2:$AG$1001,0),MATCH(COLUMNS($AN$1006:AT1006),$AN$1006:$BO$1006,0)), HYPERLINK("#",""), HYPERLINK(CONCATENATE("#Metadata!", ADDRESS(INDEX($AI$2:$AI$1001,MATCH(ROWS($AG$2:AG840),$AG$2:$AG$1001,0),0), INDEX($AN$1004:$BO$1004,1,MATCH(COLUMNS($AN$1006:AT1006),$AN$1006:$BO$1006,0)))),"Fix")))</f>
        <v>0</v>
      </c>
      <c r="I840" s="4">
        <f>IF(OR(INDEX($AH$2:$AH$1001,MATCH(ROWS($AG$2:AG840),$AG$2:$AG$1001,0),1)&gt;=100000,INDEX($AN$1005:$BO$1005,1,MATCH(COLUMNS($AN$1006:AU1006),$AN$1006:$BO$1006,0))&gt;=100000), " ",IF(INDEX($AN$2:$BO$1001,MATCH(ROWS($AG$2:AG840),$AG$2:$AG$1001,0),MATCH(COLUMNS($AN$1006:AU1006),$AN$1006:$BO$1006,0)), HYPERLINK("#",""), HYPERLINK(CONCATENATE("#Metadata!", ADDRESS(INDEX($AI$2:$AI$1001,MATCH(ROWS($AG$2:AG840),$AG$2:$AG$1001,0),0), INDEX($AN$1004:$BO$1004,1,MATCH(COLUMNS($AN$1006:AU1006),$AN$1006:$BO$1006,0)))),"Fix")))</f>
        <v>0</v>
      </c>
      <c r="J840" s="4">
        <f>IF(OR(INDEX($AH$2:$AH$1001,MATCH(ROWS($AG$2:AG840),$AG$2:$AG$1001,0),1)&gt;=100000,INDEX($AN$1005:$BO$1005,1,MATCH(COLUMNS($AN$1006:AV1006),$AN$1006:$BO$1006,0))&gt;=100000), " ",IF(INDEX($AN$2:$BO$1001,MATCH(ROWS($AG$2:AG840),$AG$2:$AG$1001,0),MATCH(COLUMNS($AN$1006:AV1006),$AN$1006:$BO$1006,0)), HYPERLINK("#",""), HYPERLINK(CONCATENATE("#Metadata!", ADDRESS(INDEX($AI$2:$AI$1001,MATCH(ROWS($AG$2:AG840),$AG$2:$AG$1001,0),0), INDEX($AN$1004:$BO$1004,1,MATCH(COLUMNS($AN$1006:AV1006),$AN$1006:$BO$1006,0)))),"Fix")))</f>
        <v>0</v>
      </c>
      <c r="K840" s="4">
        <f>IF(OR(INDEX($AH$2:$AH$1001,MATCH(ROWS($AG$2:AG840),$AG$2:$AG$1001,0),1)&gt;=100000,INDEX($AN$1005:$BO$1005,1,MATCH(COLUMNS($AN$1006:AW1006),$AN$1006:$BO$1006,0))&gt;=100000), " ",IF(INDEX($AN$2:$BO$1001,MATCH(ROWS($AG$2:AG840),$AG$2:$AG$1001,0),MATCH(COLUMNS($AN$1006:AW1006),$AN$1006:$BO$1006,0)), HYPERLINK("#",""), HYPERLINK(CONCATENATE("#Metadata!", ADDRESS(INDEX($AI$2:$AI$1001,MATCH(ROWS($AG$2:AG840),$AG$2:$AG$1001,0),0), INDEX($AN$1004:$BO$1004,1,MATCH(COLUMNS($AN$1006:AW1006),$AN$1006:$BO$1006,0)))),"Fix")))</f>
        <v>0</v>
      </c>
      <c r="L840" s="4">
        <f>IF(OR(INDEX($AH$2:$AH$1001,MATCH(ROWS($AG$2:AG840),$AG$2:$AG$1001,0),1)&gt;=100000,INDEX($AN$1005:$BO$1005,1,MATCH(COLUMNS($AN$1006:AX1006),$AN$1006:$BO$1006,0))&gt;=100000), " ",IF(INDEX($AN$2:$BO$1001,MATCH(ROWS($AG$2:AG840),$AG$2:$AG$1001,0),MATCH(COLUMNS($AN$1006:AX1006),$AN$1006:$BO$1006,0)), HYPERLINK("#",""), HYPERLINK(CONCATENATE("#Metadata!", ADDRESS(INDEX($AI$2:$AI$1001,MATCH(ROWS($AG$2:AG840),$AG$2:$AG$1001,0),0), INDEX($AN$1004:$BO$1004,1,MATCH(COLUMNS($AN$1006:AX1006),$AN$1006:$BO$1006,0)))),"Fix")))</f>
        <v>0</v>
      </c>
      <c r="M840" s="4">
        <f>IF(OR(INDEX($AH$2:$AH$1001,MATCH(ROWS($AG$2:AG840),$AG$2:$AG$1001,0),1)&gt;=100000,INDEX($AN$1005:$BO$1005,1,MATCH(COLUMNS($AN$1006:AY1006),$AN$1006:$BO$1006,0))&gt;=100000), " ",IF(INDEX($AN$2:$BO$1001,MATCH(ROWS($AG$2:AG840),$AG$2:$AG$1001,0),MATCH(COLUMNS($AN$1006:AY1006),$AN$1006:$BO$1006,0)), HYPERLINK("#",""), HYPERLINK(CONCATENATE("#Metadata!", ADDRESS(INDEX($AI$2:$AI$1001,MATCH(ROWS($AG$2:AG840),$AG$2:$AG$1001,0),0), INDEX($AN$1004:$BO$1004,1,MATCH(COLUMNS($AN$1006:AY1006),$AN$1006:$BO$1006,0)))),"Fix")))</f>
        <v>0</v>
      </c>
      <c r="N840" s="4">
        <f>IF(OR(INDEX($AH$2:$AH$1001,MATCH(ROWS($AG$2:AG840),$AG$2:$AG$1001,0),1)&gt;=100000,INDEX($AN$1005:$BO$1005,1,MATCH(COLUMNS($AN$1006:AZ1006),$AN$1006:$BO$1006,0))&gt;=100000), " ",IF(INDEX($AN$2:$BO$1001,MATCH(ROWS($AG$2:AG840),$AG$2:$AG$1001,0),MATCH(COLUMNS($AN$1006:AZ1006),$AN$1006:$BO$1006,0)), HYPERLINK("#",""), HYPERLINK(CONCATENATE("#Metadata!", ADDRESS(INDEX($AI$2:$AI$1001,MATCH(ROWS($AG$2:AG840),$AG$2:$AG$1001,0),0), INDEX($AN$1004:$BO$1004,1,MATCH(COLUMNS($AN$1006:AZ1006),$AN$1006:$BO$1006,0)))),"Fix")))</f>
        <v>0</v>
      </c>
      <c r="O840" s="4">
        <f>IF(OR(INDEX($AH$2:$AH$1001,MATCH(ROWS($AG$2:AG840),$AG$2:$AG$1001,0),1)&gt;=100000,INDEX($AN$1005:$BO$1005,1,MATCH(COLUMNS($AN$1006:BA1006),$AN$1006:$BO$1006,0))&gt;=100000), " ",IF(INDEX($AN$2:$BO$1001,MATCH(ROWS($AG$2:AG840),$AG$2:$AG$1001,0),MATCH(COLUMNS($AN$1006:BA1006),$AN$1006:$BO$1006,0)), HYPERLINK("#",""), HYPERLINK(CONCATENATE("#Metadata!", ADDRESS(INDEX($AI$2:$AI$1001,MATCH(ROWS($AG$2:AG840),$AG$2:$AG$1001,0),0), INDEX($AN$1004:$BO$1004,1,MATCH(COLUMNS($AN$1006:BA1006),$AN$1006:$BO$1006,0)))),"Fix")))</f>
        <v>0</v>
      </c>
      <c r="P840" s="4">
        <f>IF(OR(INDEX($AH$2:$AH$1001,MATCH(ROWS($AG$2:AG840),$AG$2:$AG$1001,0),1)&gt;=100000,INDEX($AN$1005:$BO$1005,1,MATCH(COLUMNS($AN$1006:BB1006),$AN$1006:$BO$1006,0))&gt;=100000), " ",IF(INDEX($AN$2:$BO$1001,MATCH(ROWS($AG$2:AG840),$AG$2:$AG$1001,0),MATCH(COLUMNS($AN$1006:BB1006),$AN$1006:$BO$1006,0)), HYPERLINK("#",""), HYPERLINK(CONCATENATE("#Metadata!", ADDRESS(INDEX($AI$2:$AI$1001,MATCH(ROWS($AG$2:AG840),$AG$2:$AG$1001,0),0), INDEX($AN$1004:$BO$1004,1,MATCH(COLUMNS($AN$1006:BB1006),$AN$1006:$BO$1006,0)))),"Fix")))</f>
        <v>0</v>
      </c>
      <c r="Q840" s="4">
        <f>IF(OR(INDEX($AH$2:$AH$1001,MATCH(ROWS($AG$2:AG840),$AG$2:$AG$1001,0),1)&gt;=100000,INDEX($AN$1005:$BO$1005,1,MATCH(COLUMNS($AN$1006:BC1006),$AN$1006:$BO$1006,0))&gt;=100000), " ",IF(INDEX($AN$2:$BO$1001,MATCH(ROWS($AG$2:AG840),$AG$2:$AG$1001,0),MATCH(COLUMNS($AN$1006:BC1006),$AN$1006:$BO$1006,0)), HYPERLINK("#",""), HYPERLINK(CONCATENATE("#Metadata!", ADDRESS(INDEX($AI$2:$AI$1001,MATCH(ROWS($AG$2:AG840),$AG$2:$AG$1001,0),0), INDEX($AN$1004:$BO$1004,1,MATCH(COLUMNS($AN$1006:BC1006),$AN$1006:$BO$1006,0)))),"Fix")))</f>
        <v>0</v>
      </c>
      <c r="R840" s="4">
        <f>IF(OR(INDEX($AH$2:$AH$1001,MATCH(ROWS($AG$2:AG840),$AG$2:$AG$1001,0),1)&gt;=100000,INDEX($AN$1005:$BO$1005,1,MATCH(COLUMNS($AN$1006:BD1006),$AN$1006:$BO$1006,0))&gt;=100000), " ",IF(INDEX($AN$2:$BO$1001,MATCH(ROWS($AG$2:AG840),$AG$2:$AG$1001,0),MATCH(COLUMNS($AN$1006:BD1006),$AN$1006:$BO$1006,0)), HYPERLINK("#",""), HYPERLINK(CONCATENATE("#Metadata!", ADDRESS(INDEX($AI$2:$AI$1001,MATCH(ROWS($AG$2:AG840),$AG$2:$AG$1001,0),0), INDEX($AN$1004:$BO$1004,1,MATCH(COLUMNS($AN$1006:BD1006),$AN$1006:$BO$1006,0)))),"Fix")))</f>
        <v>0</v>
      </c>
      <c r="S840" s="4">
        <f>IF(OR(INDEX($AH$2:$AH$1001,MATCH(ROWS($AG$2:AG840),$AG$2:$AG$1001,0),1)&gt;=100000,INDEX($AN$1005:$BO$1005,1,MATCH(COLUMNS($AN$1006:BE1006),$AN$1006:$BO$1006,0))&gt;=100000), " ",IF(INDEX($AN$2:$BO$1001,MATCH(ROWS($AG$2:AG840),$AG$2:$AG$1001,0),MATCH(COLUMNS($AN$1006:BE1006),$AN$1006:$BO$1006,0)), HYPERLINK("#",""), HYPERLINK(CONCATENATE("#Metadata!", ADDRESS(INDEX($AI$2:$AI$1001,MATCH(ROWS($AG$2:AG840),$AG$2:$AG$1001,0),0), INDEX($AN$1004:$BO$1004,1,MATCH(COLUMNS($AN$1006:BE1006),$AN$1006:$BO$1006,0)))),"Fix")))</f>
        <v>0</v>
      </c>
      <c r="T840" s="4">
        <f>IF(OR(INDEX($AH$2:$AH$1001,MATCH(ROWS($AG$2:AG840),$AG$2:$AG$1001,0),1)&gt;=100000,INDEX($AN$1005:$BO$1005,1,MATCH(COLUMNS($AN$1006:BF1006),$AN$1006:$BO$1006,0))&gt;=100000), " ",IF(INDEX($AN$2:$BO$1001,MATCH(ROWS($AG$2:AG840),$AG$2:$AG$1001,0),MATCH(COLUMNS($AN$1006:BF1006),$AN$1006:$BO$1006,0)), HYPERLINK("#",""), HYPERLINK(CONCATENATE("#Metadata!", ADDRESS(INDEX($AI$2:$AI$1001,MATCH(ROWS($AG$2:AG840),$AG$2:$AG$1001,0),0), INDEX($AN$1004:$BO$1004,1,MATCH(COLUMNS($AN$1006:BF1006),$AN$1006:$BO$1006,0)))),"Fix")))</f>
        <v>0</v>
      </c>
      <c r="U840" s="4">
        <f>IF(OR(INDEX($AH$2:$AH$1001,MATCH(ROWS($AG$2:AG840),$AG$2:$AG$1001,0),1)&gt;=100000,INDEX($AN$1005:$BO$1005,1,MATCH(COLUMNS($AN$1006:BG1006),$AN$1006:$BO$1006,0))&gt;=100000), " ",IF(INDEX($AN$2:$BO$1001,MATCH(ROWS($AG$2:AG840),$AG$2:$AG$1001,0),MATCH(COLUMNS($AN$1006:BG1006),$AN$1006:$BO$1006,0)), HYPERLINK("#",""), HYPERLINK(CONCATENATE("#Metadata!", ADDRESS(INDEX($AI$2:$AI$1001,MATCH(ROWS($AG$2:AG840),$AG$2:$AG$1001,0),0), INDEX($AN$1004:$BO$1004,1,MATCH(COLUMNS($AN$1006:BG1006),$AN$1006:$BO$1006,0)))),"Fix")))</f>
        <v>0</v>
      </c>
      <c r="V840" s="4">
        <f>IF(OR(INDEX($AH$2:$AH$1001,MATCH(ROWS($AG$2:AG840),$AG$2:$AG$1001,0),1)&gt;=100000,INDEX($AN$1005:$BO$1005,1,MATCH(COLUMNS($AN$1006:BH1006),$AN$1006:$BO$1006,0))&gt;=100000), " ",IF(INDEX($AN$2:$BO$1001,MATCH(ROWS($AG$2:AG840),$AG$2:$AG$1001,0),MATCH(COLUMNS($AN$1006:BH1006),$AN$1006:$BO$1006,0)), HYPERLINK("#",""), HYPERLINK(CONCATENATE("#Metadata!", ADDRESS(INDEX($AI$2:$AI$1001,MATCH(ROWS($AG$2:AG840),$AG$2:$AG$1001,0),0), INDEX($AN$1004:$BO$1004,1,MATCH(COLUMNS($AN$1006:BH1006),$AN$1006:$BO$1006,0)))),"Fix")))</f>
        <v>0</v>
      </c>
      <c r="W840" s="4">
        <f>IF(OR(INDEX($AH$2:$AH$1001,MATCH(ROWS($AG$2:AG840),$AG$2:$AG$1001,0),1)&gt;=100000,INDEX($AN$1005:$BO$1005,1,MATCH(COLUMNS($AN$1006:BI1006),$AN$1006:$BO$1006,0))&gt;=100000), " ",IF(INDEX($AN$2:$BO$1001,MATCH(ROWS($AG$2:AG840),$AG$2:$AG$1001,0),MATCH(COLUMNS($AN$1006:BI1006),$AN$1006:$BO$1006,0)), HYPERLINK("#",""), HYPERLINK(CONCATENATE("#Metadata!", ADDRESS(INDEX($AI$2:$AI$1001,MATCH(ROWS($AG$2:AG840),$AG$2:$AG$1001,0),0), INDEX($AN$1004:$BO$1004,1,MATCH(COLUMNS($AN$1006:BI1006),$AN$1006:$BO$1006,0)))),"Fix")))</f>
        <v>0</v>
      </c>
      <c r="X840" s="4">
        <f>IF(OR(INDEX($AH$2:$AH$1001,MATCH(ROWS($AG$2:AG840),$AG$2:$AG$1001,0),1)&gt;=100000,INDEX($AN$1005:$BO$1005,1,MATCH(COLUMNS($AN$1006:BJ1006),$AN$1006:$BO$1006,0))&gt;=100000), " ",IF(INDEX($AN$2:$BO$1001,MATCH(ROWS($AG$2:AG840),$AG$2:$AG$1001,0),MATCH(COLUMNS($AN$1006:BJ1006),$AN$1006:$BO$1006,0)), HYPERLINK("#",""), HYPERLINK(CONCATENATE("#Metadata!", ADDRESS(INDEX($AI$2:$AI$1001,MATCH(ROWS($AG$2:AG840),$AG$2:$AG$1001,0),0), INDEX($AN$1004:$BO$1004,1,MATCH(COLUMNS($AN$1006:BJ1006),$AN$1006:$BO$1006,0)))),"Fix")))</f>
        <v>0</v>
      </c>
      <c r="Y840" s="4">
        <f>IF(OR(INDEX($AH$2:$AH$1001,MATCH(ROWS($AG$2:AG840),$AG$2:$AG$1001,0),1)&gt;=100000,INDEX($AN$1005:$BO$1005,1,MATCH(COLUMNS($AN$1006:BK1006),$AN$1006:$BO$1006,0))&gt;=100000), " ",IF(INDEX($AN$2:$BO$1001,MATCH(ROWS($AG$2:AG840),$AG$2:$AG$1001,0),MATCH(COLUMNS($AN$1006:BK1006),$AN$1006:$BO$1006,0)), HYPERLINK("#",""), HYPERLINK(CONCATENATE("#Metadata!", ADDRESS(INDEX($AI$2:$AI$1001,MATCH(ROWS($AG$2:AG840),$AG$2:$AG$1001,0),0), INDEX($AN$1004:$BO$1004,1,MATCH(COLUMNS($AN$1006:BK1006),$AN$1006:$BO$1006,0)))),"Fix")))</f>
        <v>0</v>
      </c>
      <c r="Z840" s="4">
        <f>IF(OR(INDEX($AH$2:$AH$1001,MATCH(ROWS($AG$2:AG840),$AG$2:$AG$1001,0),1)&gt;=100000,INDEX($AN$1005:$BO$1005,1,MATCH(COLUMNS($AN$1006:BL1006),$AN$1006:$BO$1006,0))&gt;=100000), " ",IF(INDEX($AN$2:$BO$1001,MATCH(ROWS($AG$2:AG840),$AG$2:$AG$1001,0),MATCH(COLUMNS($AN$1006:BL1006),$AN$1006:$BO$1006,0)), HYPERLINK("#",""), HYPERLINK(CONCATENATE("#Metadata!", ADDRESS(INDEX($AI$2:$AI$1001,MATCH(ROWS($AG$2:AG840),$AG$2:$AG$1001,0),0), INDEX($AN$1004:$BO$1004,1,MATCH(COLUMNS($AN$1006:BL1006),$AN$1006:$BO$1006,0)))),"Fix")))</f>
        <v>0</v>
      </c>
      <c r="AA840" s="4">
        <f>IF(OR(INDEX($AH$2:$AH$1001,MATCH(ROWS($AG$2:AG840),$AG$2:$AG$1001,0),1)&gt;=100000,INDEX($AN$1005:$BO$1005,1,MATCH(COLUMNS($AN$1006:BM1006),$AN$1006:$BO$1006,0))&gt;=100000), " ",IF(INDEX($AN$2:$BO$1001,MATCH(ROWS($AG$2:AG840),$AG$2:$AG$1001,0),MATCH(COLUMNS($AN$1006:BM1006),$AN$1006:$BO$1006,0)), HYPERLINK("#",""), HYPERLINK(CONCATENATE("#Metadata!", ADDRESS(INDEX($AI$2:$AI$1001,MATCH(ROWS($AG$2:AG840),$AG$2:$AG$1001,0),0), INDEX($AN$1004:$BO$1004,1,MATCH(COLUMNS($AN$1006:BM1006),$AN$1006:$BO$1006,0)))),"Fix")))</f>
        <v>0</v>
      </c>
      <c r="AB840" s="4">
        <f>IF(OR(INDEX($AH$2:$AH$1001,MATCH(ROWS($AG$2:AG840),$AG$2:$AG$1001,0),1)&gt;=100000,INDEX($AN$1005:$BO$1005,1,MATCH(COLUMNS($AN$1006:BN1006),$AN$1006:$BO$1006,0))&gt;=100000), " ",IF(INDEX($AN$2:$BO$1001,MATCH(ROWS($AG$2:AG840),$AG$2:$AG$1001,0),MATCH(COLUMNS($AN$1006:BN1006),$AN$1006:$BO$1006,0)), HYPERLINK("#",""), HYPERLINK(CONCATENATE("#Metadata!", ADDRESS(INDEX($AI$2:$AI$1001,MATCH(ROWS($AG$2:AG840),$AG$2:$AG$1001,0),0), INDEX($AN$1004:$BO$1004,1,MATCH(COLUMNS($AN$1006:BN1006),$AN$1006:$BO$1006,0)))),"Fix")))</f>
        <v>0</v>
      </c>
      <c r="AC840" s="4">
        <f>IF(OR(INDEX($AH$2:$AH$1001,MATCH(ROWS($AG$2:AG840),$AG$2:$AG$1001,0),1)&gt;=100000,INDEX($AN$1005:$BO$1005,1,MATCH(COLUMNS($AN$1006:BO1006),$AN$1006:$BO$1006,0))&gt;=100000), " ",IF(INDEX($AN$2:$BO$1001,MATCH(ROWS($AG$2:AG840),$AG$2:$AG$1001,0),MATCH(COLUMNS($AN$1006:BO1006),$AN$1006:$BO$1006,0)), HYPERLINK("#",""), HYPERLINK(CONCATENATE("#Metadata!", ADDRESS(INDEX($AI$2:$AI$1001,MATCH(ROWS($AG$2:AG840),$AG$2:$AG$1001,0),0), INDEX($AN$1004:$BO$1004,1,MATCH(COLUMNS($AN$1006:BO1006),$AN$1006:$BO$1006,0)))),"Fix")))</f>
        <v>0</v>
      </c>
      <c r="AG840">
        <v>0</v>
      </c>
      <c r="AH840">
        <v>0</v>
      </c>
      <c r="AI840">
        <v>0</v>
      </c>
      <c r="AJ840">
        <f>IF(AK840,TRUE,AND(AN840:BO840))</f>
        <v>0</v>
      </c>
      <c r="AK840">
        <f>COUNTBLANK(Metadata!B840:AC840)=COLUMNS(Metadata!B840:AC840)</f>
        <v>0</v>
      </c>
      <c r="AL840">
        <v>0</v>
      </c>
      <c r="AN840">
        <f>AND(IF(Metadata!B840="",FALSE,TRUE),COUNTIF(Metadata!B:B, Metadata!B840) = 1,NOT(ISERROR(SUMPRODUCT(SEARCH(MID(Metadata!B840,ROW(INDIRECT("1:"&amp;LEN(Metadata!B840))), 1),"0123456789abcdefghijklmnopqrstuvwxyzABCDEFGHIJKLMNOPQRSTUVWXYZ.")))))</f>
        <v>0</v>
      </c>
      <c r="AO840">
        <f>IF(Metadata!C840="",FALSE,TRUE)</f>
        <v>0</v>
      </c>
      <c r="AP840">
        <f>IF(Metadata!D840="",FALSE,TRUE)</f>
        <v>0</v>
      </c>
      <c r="AQ840">
        <f>OR(AND(IF(Metadata!E840="",FALSE,TRUE),OR(exact(Metadata!E840,"not collected"),exact(Metadata!E840,"not provided"),exact(Metadata!E840,"restricted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R840">
        <f>IF(Metadata!F840="",FALSE,TRUE)</f>
        <v>0</v>
      </c>
      <c r="AS840">
        <f>OR(AND(IF(Metadata!G840="",FALSE,TRUE),OR(exact(Metadata!G840,"not collected"),exact(Metadata!G840,"not provided"))),AND(IF(Metadata!G840="",FALSE,TRUE),OR(exact(Metadata!G840,"TRUE"),exact(Metadata!G840,"FALSE"))))</f>
        <v>0</v>
      </c>
      <c r="AT840">
        <f>OR(AND(IF(Metadata!H840="",FALSE,TRUE),OR(exact(Metadata!H840,"not collected"),exact(Metadata!H840,"not provided"),exact(Metadata!H840,"restricted access"))),AND(IF(Metadata!H840="",FALSE,ISNUMBER(VALUE(Metadata!H840))),Metadata!H840&gt;=-413.0))</f>
        <v>0</v>
      </c>
      <c r="AU840">
        <f>AND(IF(Metadata!I840="",FALSE,TRUE),exact(Metadata!I840,"meters"))</f>
        <v>0</v>
      </c>
      <c r="AV840">
        <f>AND(IF(Metadata!J840="",FALSE,TRUE),OR(exact(Metadata!J840,"Host-associated"),exact(Metadata!J840,"Free-living")))</f>
        <v>0</v>
      </c>
      <c r="AW840">
        <f>AND(IF(Metadata!K840="",FALSE,TRUE),OR(exact(Metadata!K840,"Animal"),exact(Metadata!K840,"Fungus"),exact(Metadata!K840,"Plant"),exact(Metadata!K840,"Saline"),exact(Metadata!K840,"Non-saline")))</f>
        <v>0</v>
      </c>
      <c r="AX840">
        <f>AND(IF(Metadata!L840="",FALSE,TRUE),OR(exact(Metadata!L840,"Plant secretion"),exact(Metadata!L840,"Plant rhizosphere"),exact(Metadata!L840,"Plant surface"),exact(Metadata!L840,"Plant corpus"),exact(Metadata!L840,"Fungus surface"),exact(Metadata!L840,"Fungus corpus"),exact(Metadata!L840,"Animal surface"),exact(Metadata!L840,"Animal proximal gut"),exact(Metadata!L840,"Animal corpus"),exact(Metadata!L840,"Animal distal gut"),exact(Metadata!L840,"Animal secretion"),exact(Metadata!L840,"Sub-surface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Y840">
        <f>IF(Metadata!M840="",FALSE,TRUE)</f>
        <v>0</v>
      </c>
      <c r="AZ840">
        <f>IF(Metadata!N840="",FALSE,TRUE)</f>
        <v>0</v>
      </c>
      <c r="BA840">
        <f>IF(Metadata!O840="",FALSE,TRUE)</f>
        <v>0</v>
      </c>
      <c r="BB840">
        <f>OR(AND(IF(Metadata!P840="",FALSE,TRUE),OR(exact(Metadata!P840,"not collected"),exact(Metadata!P840,"not provided"),exact(Metadata!P840,"restricted access"))),AND(IF(Metadata!P840="",FALSE,TRUE),OR(exact(Metadata!P840,"air"),exact(Metadata!P840,"built environment"),exact(Metadata!P840,"host-associated"),exact(Metadata!P840,"human-associated"),exact(Metadata!P840,"human-skin"),exact(Metadata!P840,"human-oral"),exact(Metadata!P840,"human-gut"),exact(Metadata!P840,"human-vaginal"),exact(Metadata!P840,"microbial mat/biofilm"),exact(Metadata!P840,"misc environment"),exact(Metadata!P840,"plant-associated"),exact(Metadata!P840,"sediment"),exact(Metadata!P840,"soil"),exact(Metadata!P840,"wastewater/sludge"),exact(Metadata!P840,"water"))))</f>
        <v>0</v>
      </c>
      <c r="BC840">
        <f>IF(Metadata!Q840="",FALSE,TRUE)</f>
        <v>0</v>
      </c>
      <c r="BD840">
        <f>IF(Metadata!R840="",FALSE,TRUE)</f>
        <v>0</v>
      </c>
      <c r="BE840">
        <f>OR(AND(IF(Metadata!S840="",FALSE,TRUE),OR(exact(Metadata!S840,"not collected"),exact(Metadata!S840,"not provided"),exact(Metadata!S840,"restricted access"))),AND(IF(Metadata!S840="",FALSE,ISNUMBER(VALUE(Metadata!S840))),Metadata!S840&gt;=-90.00,Metadata!S840&lt;=90.00))</f>
        <v>0</v>
      </c>
      <c r="BF840">
        <f>AND(IF(Metadata!T840="",FALSE,TRUE),exact(Metadata!T840,"Decimal degrees"))</f>
        <v>0</v>
      </c>
      <c r="BG840">
        <f>OR(AND(IF(Metadata!U840="",FALSE,TRUE),OR(exact(Metadata!U840,"not collected"),exact(Metadata!U840,"not provided"),exact(Metadata!U840,"restricted access"))),AND(IF(Metadata!U840="",FALSE,ISNUMBER(VALUE(Metadata!U840))),Metadata!U840&gt;=-180.00,Metadata!U840&lt;=180.00))</f>
        <v>0</v>
      </c>
      <c r="BH840">
        <f>AND(IF(Metadata!V840="",FALSE,TRUE),exact(Metadata!V840,"Decimal degrees"))</f>
        <v>0</v>
      </c>
      <c r="BI840">
        <f>IF(Metadata!W840="",FALSE,TRUE)</f>
        <v>0</v>
      </c>
      <c r="BJ840">
        <f>OR(AND(IF(Metadata!X840="",FALSE,TRUE),OR(exact(Metadata!X840,"not collected"),exact(Metadata!X840,"not provided"),exact(Metadata!X840,"restricted access"))),AND(IF(Metadata!X840="",FALSE,TRUE),OR(exact(Metadata!X840,"TRUE"),exact(Metadata!X840,"FALSE"))))</f>
        <v>0</v>
      </c>
      <c r="BK840">
        <f>AND(IF(Metadata!Y840="",FALSE,TRUE),exact(Metadata!Y840,"other"))</f>
        <v>0</v>
      </c>
      <c r="BL840">
        <f>IF(Metadata!Z840="",FALSE,TRUE)</f>
        <v>0</v>
      </c>
      <c r="BM840">
        <f>OR(AND(IF(Metadata!AA840="",FALSE,TRUE),OR(exact(Metadata!AA840,"not collected"),exact(Metadata!AA840,"not provided"))),AND(IF(Metadata!AA840="",FALSE,IF(ISERROR(INT(Metadata!AA840)),FALSE,INT(Metadata!AA840)=Metadata!AA840)),Metadata!AA840&gt;0))</f>
        <v>0</v>
      </c>
      <c r="BN840">
        <f>AND(IF(Metadata!AB840="",FALSE,TRUE),exact(Metadata!AB840,"Not applicable"))</f>
        <v>0</v>
      </c>
      <c r="BO840">
        <f>IF(Metadata!AC840="",FALSE,TRUE)</f>
        <v>0</v>
      </c>
    </row>
    <row r="841" spans="1:67">
      <c r="A841" s="5">
        <f>IF(B841=" "," ",HYPERLINK(CONCATENATE("#metadata!",ADDRESS(INDEX($AI$2:$AI$1001,MATCH(ROWS($AG$2:AG841),$AG$2:$AG$1001,0),0),1)),INDEX($AL$2:$AL$1001,MATCH(ROWS($AG$2:AG841),$AG$2:$AG$1001,0),0)))</f>
        <v>0</v>
      </c>
      <c r="B841" s="4">
        <f>IF(OR(INDEX($AH$2:$AH$1001,MATCH(ROWS($AG$2:AG841),$AG$2:$AG$1001,0),1)&gt;=100000,INDEX($AN$1005:$BO$1005,1,MATCH(COLUMNS($AN$1006:AN1006),$AN$1006:$BO$1006,0))&gt;=100000), " ",IF(INDEX($AN$2:$BO$1001,MATCH(ROWS($AG$2:AG841),$AG$2:$AG$1001,0),MATCH(COLUMNS($AN$1006:AN1006),$AN$1006:$BO$1006,0)), HYPERLINK("#",""), HYPERLINK(CONCATENATE("#Metadata!", ADDRESS(INDEX($AI$2:$AI$1001,MATCH(ROWS($AG$2:AG841),$AG$2:$AG$1001,0),0), INDEX($AN$1004:$BO$1004,1,MATCH(COLUMNS($AN$1006:AN1006),$AN$1006:$BO$1006,0)))),"Fix")))</f>
        <v>0</v>
      </c>
      <c r="C841" s="4">
        <f>IF(OR(INDEX($AH$2:$AH$1001,MATCH(ROWS($AG$2:AG841),$AG$2:$AG$1001,0),1)&gt;=100000,INDEX($AN$1005:$BO$1005,1,MATCH(COLUMNS($AN$1006:AO1006),$AN$1006:$BO$1006,0))&gt;=100000), " ",IF(INDEX($AN$2:$BO$1001,MATCH(ROWS($AG$2:AG841),$AG$2:$AG$1001,0),MATCH(COLUMNS($AN$1006:AO1006),$AN$1006:$BO$1006,0)), HYPERLINK("#",""), HYPERLINK(CONCATENATE("#Metadata!", ADDRESS(INDEX($AI$2:$AI$1001,MATCH(ROWS($AG$2:AG841),$AG$2:$AG$1001,0),0), INDEX($AN$1004:$BO$1004,1,MATCH(COLUMNS($AN$1006:AO1006),$AN$1006:$BO$1006,0)))),"Fix")))</f>
        <v>0</v>
      </c>
      <c r="D841" s="4">
        <f>IF(OR(INDEX($AH$2:$AH$1001,MATCH(ROWS($AG$2:AG841),$AG$2:$AG$1001,0),1)&gt;=100000,INDEX($AN$1005:$BO$1005,1,MATCH(COLUMNS($AN$1006:AP1006),$AN$1006:$BO$1006,0))&gt;=100000), " ",IF(INDEX($AN$2:$BO$1001,MATCH(ROWS($AG$2:AG841),$AG$2:$AG$1001,0),MATCH(COLUMNS($AN$1006:AP1006),$AN$1006:$BO$1006,0)), HYPERLINK("#",""), HYPERLINK(CONCATENATE("#Metadata!", ADDRESS(INDEX($AI$2:$AI$1001,MATCH(ROWS($AG$2:AG841),$AG$2:$AG$1001,0),0), INDEX($AN$1004:$BO$1004,1,MATCH(COLUMNS($AN$1006:AP1006),$AN$1006:$BO$1006,0)))),"Fix")))</f>
        <v>0</v>
      </c>
      <c r="E841" s="4">
        <f>IF(OR(INDEX($AH$2:$AH$1001,MATCH(ROWS($AG$2:AG841),$AG$2:$AG$1001,0),1)&gt;=100000,INDEX($AN$1005:$BO$1005,1,MATCH(COLUMNS($AN$1006:AQ1006),$AN$1006:$BO$1006,0))&gt;=100000), " ",IF(INDEX($AN$2:$BO$1001,MATCH(ROWS($AG$2:AG841),$AG$2:$AG$1001,0),MATCH(COLUMNS($AN$1006:AQ1006),$AN$1006:$BO$1006,0)), HYPERLINK("#",""), HYPERLINK(CONCATENATE("#Metadata!", ADDRESS(INDEX($AI$2:$AI$1001,MATCH(ROWS($AG$2:AG841),$AG$2:$AG$1001,0),0), INDEX($AN$1004:$BO$1004,1,MATCH(COLUMNS($AN$1006:AQ1006),$AN$1006:$BO$1006,0)))),"Fix")))</f>
        <v>0</v>
      </c>
      <c r="F841" s="4">
        <f>IF(OR(INDEX($AH$2:$AH$1001,MATCH(ROWS($AG$2:AG841),$AG$2:$AG$1001,0),1)&gt;=100000,INDEX($AN$1005:$BO$1005,1,MATCH(COLUMNS($AN$1006:AR1006),$AN$1006:$BO$1006,0))&gt;=100000), " ",IF(INDEX($AN$2:$BO$1001,MATCH(ROWS($AG$2:AG841),$AG$2:$AG$1001,0),MATCH(COLUMNS($AN$1006:AR1006),$AN$1006:$BO$1006,0)), HYPERLINK("#",""), HYPERLINK(CONCATENATE("#Metadata!", ADDRESS(INDEX($AI$2:$AI$1001,MATCH(ROWS($AG$2:AG841),$AG$2:$AG$1001,0),0), INDEX($AN$1004:$BO$1004,1,MATCH(COLUMNS($AN$1006:AR1006),$AN$1006:$BO$1006,0)))),"Fix")))</f>
        <v>0</v>
      </c>
      <c r="G841" s="4">
        <f>IF(OR(INDEX($AH$2:$AH$1001,MATCH(ROWS($AG$2:AG841),$AG$2:$AG$1001,0),1)&gt;=100000,INDEX($AN$1005:$BO$1005,1,MATCH(COLUMNS($AN$1006:AS1006),$AN$1006:$BO$1006,0))&gt;=100000), " ",IF(INDEX($AN$2:$BO$1001,MATCH(ROWS($AG$2:AG841),$AG$2:$AG$1001,0),MATCH(COLUMNS($AN$1006:AS1006),$AN$1006:$BO$1006,0)), HYPERLINK("#",""), HYPERLINK(CONCATENATE("#Metadata!", ADDRESS(INDEX($AI$2:$AI$1001,MATCH(ROWS($AG$2:AG841),$AG$2:$AG$1001,0),0), INDEX($AN$1004:$BO$1004,1,MATCH(COLUMNS($AN$1006:AS1006),$AN$1006:$BO$1006,0)))),"Fix")))</f>
        <v>0</v>
      </c>
      <c r="H841" s="4">
        <f>IF(OR(INDEX($AH$2:$AH$1001,MATCH(ROWS($AG$2:AG841),$AG$2:$AG$1001,0),1)&gt;=100000,INDEX($AN$1005:$BO$1005,1,MATCH(COLUMNS($AN$1006:AT1006),$AN$1006:$BO$1006,0))&gt;=100000), " ",IF(INDEX($AN$2:$BO$1001,MATCH(ROWS($AG$2:AG841),$AG$2:$AG$1001,0),MATCH(COLUMNS($AN$1006:AT1006),$AN$1006:$BO$1006,0)), HYPERLINK("#",""), HYPERLINK(CONCATENATE("#Metadata!", ADDRESS(INDEX($AI$2:$AI$1001,MATCH(ROWS($AG$2:AG841),$AG$2:$AG$1001,0),0), INDEX($AN$1004:$BO$1004,1,MATCH(COLUMNS($AN$1006:AT1006),$AN$1006:$BO$1006,0)))),"Fix")))</f>
        <v>0</v>
      </c>
      <c r="I841" s="4">
        <f>IF(OR(INDEX($AH$2:$AH$1001,MATCH(ROWS($AG$2:AG841),$AG$2:$AG$1001,0),1)&gt;=100000,INDEX($AN$1005:$BO$1005,1,MATCH(COLUMNS($AN$1006:AU1006),$AN$1006:$BO$1006,0))&gt;=100000), " ",IF(INDEX($AN$2:$BO$1001,MATCH(ROWS($AG$2:AG841),$AG$2:$AG$1001,0),MATCH(COLUMNS($AN$1006:AU1006),$AN$1006:$BO$1006,0)), HYPERLINK("#",""), HYPERLINK(CONCATENATE("#Metadata!", ADDRESS(INDEX($AI$2:$AI$1001,MATCH(ROWS($AG$2:AG841),$AG$2:$AG$1001,0),0), INDEX($AN$1004:$BO$1004,1,MATCH(COLUMNS($AN$1006:AU1006),$AN$1006:$BO$1006,0)))),"Fix")))</f>
        <v>0</v>
      </c>
      <c r="J841" s="4">
        <f>IF(OR(INDEX($AH$2:$AH$1001,MATCH(ROWS($AG$2:AG841),$AG$2:$AG$1001,0),1)&gt;=100000,INDEX($AN$1005:$BO$1005,1,MATCH(COLUMNS($AN$1006:AV1006),$AN$1006:$BO$1006,0))&gt;=100000), " ",IF(INDEX($AN$2:$BO$1001,MATCH(ROWS($AG$2:AG841),$AG$2:$AG$1001,0),MATCH(COLUMNS($AN$1006:AV1006),$AN$1006:$BO$1006,0)), HYPERLINK("#",""), HYPERLINK(CONCATENATE("#Metadata!", ADDRESS(INDEX($AI$2:$AI$1001,MATCH(ROWS($AG$2:AG841),$AG$2:$AG$1001,0),0), INDEX($AN$1004:$BO$1004,1,MATCH(COLUMNS($AN$1006:AV1006),$AN$1006:$BO$1006,0)))),"Fix")))</f>
        <v>0</v>
      </c>
      <c r="K841" s="4">
        <f>IF(OR(INDEX($AH$2:$AH$1001,MATCH(ROWS($AG$2:AG841),$AG$2:$AG$1001,0),1)&gt;=100000,INDEX($AN$1005:$BO$1005,1,MATCH(COLUMNS($AN$1006:AW1006),$AN$1006:$BO$1006,0))&gt;=100000), " ",IF(INDEX($AN$2:$BO$1001,MATCH(ROWS($AG$2:AG841),$AG$2:$AG$1001,0),MATCH(COLUMNS($AN$1006:AW1006),$AN$1006:$BO$1006,0)), HYPERLINK("#",""), HYPERLINK(CONCATENATE("#Metadata!", ADDRESS(INDEX($AI$2:$AI$1001,MATCH(ROWS($AG$2:AG841),$AG$2:$AG$1001,0),0), INDEX($AN$1004:$BO$1004,1,MATCH(COLUMNS($AN$1006:AW1006),$AN$1006:$BO$1006,0)))),"Fix")))</f>
        <v>0</v>
      </c>
      <c r="L841" s="4">
        <f>IF(OR(INDEX($AH$2:$AH$1001,MATCH(ROWS($AG$2:AG841),$AG$2:$AG$1001,0),1)&gt;=100000,INDEX($AN$1005:$BO$1005,1,MATCH(COLUMNS($AN$1006:AX1006),$AN$1006:$BO$1006,0))&gt;=100000), " ",IF(INDEX($AN$2:$BO$1001,MATCH(ROWS($AG$2:AG841),$AG$2:$AG$1001,0),MATCH(COLUMNS($AN$1006:AX1006),$AN$1006:$BO$1006,0)), HYPERLINK("#",""), HYPERLINK(CONCATENATE("#Metadata!", ADDRESS(INDEX($AI$2:$AI$1001,MATCH(ROWS($AG$2:AG841),$AG$2:$AG$1001,0),0), INDEX($AN$1004:$BO$1004,1,MATCH(COLUMNS($AN$1006:AX1006),$AN$1006:$BO$1006,0)))),"Fix")))</f>
        <v>0</v>
      </c>
      <c r="M841" s="4">
        <f>IF(OR(INDEX($AH$2:$AH$1001,MATCH(ROWS($AG$2:AG841),$AG$2:$AG$1001,0),1)&gt;=100000,INDEX($AN$1005:$BO$1005,1,MATCH(COLUMNS($AN$1006:AY1006),$AN$1006:$BO$1006,0))&gt;=100000), " ",IF(INDEX($AN$2:$BO$1001,MATCH(ROWS($AG$2:AG841),$AG$2:$AG$1001,0),MATCH(COLUMNS($AN$1006:AY1006),$AN$1006:$BO$1006,0)), HYPERLINK("#",""), HYPERLINK(CONCATENATE("#Metadata!", ADDRESS(INDEX($AI$2:$AI$1001,MATCH(ROWS($AG$2:AG841),$AG$2:$AG$1001,0),0), INDEX($AN$1004:$BO$1004,1,MATCH(COLUMNS($AN$1006:AY1006),$AN$1006:$BO$1006,0)))),"Fix")))</f>
        <v>0</v>
      </c>
      <c r="N841" s="4">
        <f>IF(OR(INDEX($AH$2:$AH$1001,MATCH(ROWS($AG$2:AG841),$AG$2:$AG$1001,0),1)&gt;=100000,INDEX($AN$1005:$BO$1005,1,MATCH(COLUMNS($AN$1006:AZ1006),$AN$1006:$BO$1006,0))&gt;=100000), " ",IF(INDEX($AN$2:$BO$1001,MATCH(ROWS($AG$2:AG841),$AG$2:$AG$1001,0),MATCH(COLUMNS($AN$1006:AZ1006),$AN$1006:$BO$1006,0)), HYPERLINK("#",""), HYPERLINK(CONCATENATE("#Metadata!", ADDRESS(INDEX($AI$2:$AI$1001,MATCH(ROWS($AG$2:AG841),$AG$2:$AG$1001,0),0), INDEX($AN$1004:$BO$1004,1,MATCH(COLUMNS($AN$1006:AZ1006),$AN$1006:$BO$1006,0)))),"Fix")))</f>
        <v>0</v>
      </c>
      <c r="O841" s="4">
        <f>IF(OR(INDEX($AH$2:$AH$1001,MATCH(ROWS($AG$2:AG841),$AG$2:$AG$1001,0),1)&gt;=100000,INDEX($AN$1005:$BO$1005,1,MATCH(COLUMNS($AN$1006:BA1006),$AN$1006:$BO$1006,0))&gt;=100000), " ",IF(INDEX($AN$2:$BO$1001,MATCH(ROWS($AG$2:AG841),$AG$2:$AG$1001,0),MATCH(COLUMNS($AN$1006:BA1006),$AN$1006:$BO$1006,0)), HYPERLINK("#",""), HYPERLINK(CONCATENATE("#Metadata!", ADDRESS(INDEX($AI$2:$AI$1001,MATCH(ROWS($AG$2:AG841),$AG$2:$AG$1001,0),0), INDEX($AN$1004:$BO$1004,1,MATCH(COLUMNS($AN$1006:BA1006),$AN$1006:$BO$1006,0)))),"Fix")))</f>
        <v>0</v>
      </c>
      <c r="P841" s="4">
        <f>IF(OR(INDEX($AH$2:$AH$1001,MATCH(ROWS($AG$2:AG841),$AG$2:$AG$1001,0),1)&gt;=100000,INDEX($AN$1005:$BO$1005,1,MATCH(COLUMNS($AN$1006:BB1006),$AN$1006:$BO$1006,0))&gt;=100000), " ",IF(INDEX($AN$2:$BO$1001,MATCH(ROWS($AG$2:AG841),$AG$2:$AG$1001,0),MATCH(COLUMNS($AN$1006:BB1006),$AN$1006:$BO$1006,0)), HYPERLINK("#",""), HYPERLINK(CONCATENATE("#Metadata!", ADDRESS(INDEX($AI$2:$AI$1001,MATCH(ROWS($AG$2:AG841),$AG$2:$AG$1001,0),0), INDEX($AN$1004:$BO$1004,1,MATCH(COLUMNS($AN$1006:BB1006),$AN$1006:$BO$1006,0)))),"Fix")))</f>
        <v>0</v>
      </c>
      <c r="Q841" s="4">
        <f>IF(OR(INDEX($AH$2:$AH$1001,MATCH(ROWS($AG$2:AG841),$AG$2:$AG$1001,0),1)&gt;=100000,INDEX($AN$1005:$BO$1005,1,MATCH(COLUMNS($AN$1006:BC1006),$AN$1006:$BO$1006,0))&gt;=100000), " ",IF(INDEX($AN$2:$BO$1001,MATCH(ROWS($AG$2:AG841),$AG$2:$AG$1001,0),MATCH(COLUMNS($AN$1006:BC1006),$AN$1006:$BO$1006,0)), HYPERLINK("#",""), HYPERLINK(CONCATENATE("#Metadata!", ADDRESS(INDEX($AI$2:$AI$1001,MATCH(ROWS($AG$2:AG841),$AG$2:$AG$1001,0),0), INDEX($AN$1004:$BO$1004,1,MATCH(COLUMNS($AN$1006:BC1006),$AN$1006:$BO$1006,0)))),"Fix")))</f>
        <v>0</v>
      </c>
      <c r="R841" s="4">
        <f>IF(OR(INDEX($AH$2:$AH$1001,MATCH(ROWS($AG$2:AG841),$AG$2:$AG$1001,0),1)&gt;=100000,INDEX($AN$1005:$BO$1005,1,MATCH(COLUMNS($AN$1006:BD1006),$AN$1006:$BO$1006,0))&gt;=100000), " ",IF(INDEX($AN$2:$BO$1001,MATCH(ROWS($AG$2:AG841),$AG$2:$AG$1001,0),MATCH(COLUMNS($AN$1006:BD1006),$AN$1006:$BO$1006,0)), HYPERLINK("#",""), HYPERLINK(CONCATENATE("#Metadata!", ADDRESS(INDEX($AI$2:$AI$1001,MATCH(ROWS($AG$2:AG841),$AG$2:$AG$1001,0),0), INDEX($AN$1004:$BO$1004,1,MATCH(COLUMNS($AN$1006:BD1006),$AN$1006:$BO$1006,0)))),"Fix")))</f>
        <v>0</v>
      </c>
      <c r="S841" s="4">
        <f>IF(OR(INDEX($AH$2:$AH$1001,MATCH(ROWS($AG$2:AG841),$AG$2:$AG$1001,0),1)&gt;=100000,INDEX($AN$1005:$BO$1005,1,MATCH(COLUMNS($AN$1006:BE1006),$AN$1006:$BO$1006,0))&gt;=100000), " ",IF(INDEX($AN$2:$BO$1001,MATCH(ROWS($AG$2:AG841),$AG$2:$AG$1001,0),MATCH(COLUMNS($AN$1006:BE1006),$AN$1006:$BO$1006,0)), HYPERLINK("#",""), HYPERLINK(CONCATENATE("#Metadata!", ADDRESS(INDEX($AI$2:$AI$1001,MATCH(ROWS($AG$2:AG841),$AG$2:$AG$1001,0),0), INDEX($AN$1004:$BO$1004,1,MATCH(COLUMNS($AN$1006:BE1006),$AN$1006:$BO$1006,0)))),"Fix")))</f>
        <v>0</v>
      </c>
      <c r="T841" s="4">
        <f>IF(OR(INDEX($AH$2:$AH$1001,MATCH(ROWS($AG$2:AG841),$AG$2:$AG$1001,0),1)&gt;=100000,INDEX($AN$1005:$BO$1005,1,MATCH(COLUMNS($AN$1006:BF1006),$AN$1006:$BO$1006,0))&gt;=100000), " ",IF(INDEX($AN$2:$BO$1001,MATCH(ROWS($AG$2:AG841),$AG$2:$AG$1001,0),MATCH(COLUMNS($AN$1006:BF1006),$AN$1006:$BO$1006,0)), HYPERLINK("#",""), HYPERLINK(CONCATENATE("#Metadata!", ADDRESS(INDEX($AI$2:$AI$1001,MATCH(ROWS($AG$2:AG841),$AG$2:$AG$1001,0),0), INDEX($AN$1004:$BO$1004,1,MATCH(COLUMNS($AN$1006:BF1006),$AN$1006:$BO$1006,0)))),"Fix")))</f>
        <v>0</v>
      </c>
      <c r="U841" s="4">
        <f>IF(OR(INDEX($AH$2:$AH$1001,MATCH(ROWS($AG$2:AG841),$AG$2:$AG$1001,0),1)&gt;=100000,INDEX($AN$1005:$BO$1005,1,MATCH(COLUMNS($AN$1006:BG1006),$AN$1006:$BO$1006,0))&gt;=100000), " ",IF(INDEX($AN$2:$BO$1001,MATCH(ROWS($AG$2:AG841),$AG$2:$AG$1001,0),MATCH(COLUMNS($AN$1006:BG1006),$AN$1006:$BO$1006,0)), HYPERLINK("#",""), HYPERLINK(CONCATENATE("#Metadata!", ADDRESS(INDEX($AI$2:$AI$1001,MATCH(ROWS($AG$2:AG841),$AG$2:$AG$1001,0),0), INDEX($AN$1004:$BO$1004,1,MATCH(COLUMNS($AN$1006:BG1006),$AN$1006:$BO$1006,0)))),"Fix")))</f>
        <v>0</v>
      </c>
      <c r="V841" s="4">
        <f>IF(OR(INDEX($AH$2:$AH$1001,MATCH(ROWS($AG$2:AG841),$AG$2:$AG$1001,0),1)&gt;=100000,INDEX($AN$1005:$BO$1005,1,MATCH(COLUMNS($AN$1006:BH1006),$AN$1006:$BO$1006,0))&gt;=100000), " ",IF(INDEX($AN$2:$BO$1001,MATCH(ROWS($AG$2:AG841),$AG$2:$AG$1001,0),MATCH(COLUMNS($AN$1006:BH1006),$AN$1006:$BO$1006,0)), HYPERLINK("#",""), HYPERLINK(CONCATENATE("#Metadata!", ADDRESS(INDEX($AI$2:$AI$1001,MATCH(ROWS($AG$2:AG841),$AG$2:$AG$1001,0),0), INDEX($AN$1004:$BO$1004,1,MATCH(COLUMNS($AN$1006:BH1006),$AN$1006:$BO$1006,0)))),"Fix")))</f>
        <v>0</v>
      </c>
      <c r="W841" s="4">
        <f>IF(OR(INDEX($AH$2:$AH$1001,MATCH(ROWS($AG$2:AG841),$AG$2:$AG$1001,0),1)&gt;=100000,INDEX($AN$1005:$BO$1005,1,MATCH(COLUMNS($AN$1006:BI1006),$AN$1006:$BO$1006,0))&gt;=100000), " ",IF(INDEX($AN$2:$BO$1001,MATCH(ROWS($AG$2:AG841),$AG$2:$AG$1001,0),MATCH(COLUMNS($AN$1006:BI1006),$AN$1006:$BO$1006,0)), HYPERLINK("#",""), HYPERLINK(CONCATENATE("#Metadata!", ADDRESS(INDEX($AI$2:$AI$1001,MATCH(ROWS($AG$2:AG841),$AG$2:$AG$1001,0),0), INDEX($AN$1004:$BO$1004,1,MATCH(COLUMNS($AN$1006:BI1006),$AN$1006:$BO$1006,0)))),"Fix")))</f>
        <v>0</v>
      </c>
      <c r="X841" s="4">
        <f>IF(OR(INDEX($AH$2:$AH$1001,MATCH(ROWS($AG$2:AG841),$AG$2:$AG$1001,0),1)&gt;=100000,INDEX($AN$1005:$BO$1005,1,MATCH(COLUMNS($AN$1006:BJ1006),$AN$1006:$BO$1006,0))&gt;=100000), " ",IF(INDEX($AN$2:$BO$1001,MATCH(ROWS($AG$2:AG841),$AG$2:$AG$1001,0),MATCH(COLUMNS($AN$1006:BJ1006),$AN$1006:$BO$1006,0)), HYPERLINK("#",""), HYPERLINK(CONCATENATE("#Metadata!", ADDRESS(INDEX($AI$2:$AI$1001,MATCH(ROWS($AG$2:AG841),$AG$2:$AG$1001,0),0), INDEX($AN$1004:$BO$1004,1,MATCH(COLUMNS($AN$1006:BJ1006),$AN$1006:$BO$1006,0)))),"Fix")))</f>
        <v>0</v>
      </c>
      <c r="Y841" s="4">
        <f>IF(OR(INDEX($AH$2:$AH$1001,MATCH(ROWS($AG$2:AG841),$AG$2:$AG$1001,0),1)&gt;=100000,INDEX($AN$1005:$BO$1005,1,MATCH(COLUMNS($AN$1006:BK1006),$AN$1006:$BO$1006,0))&gt;=100000), " ",IF(INDEX($AN$2:$BO$1001,MATCH(ROWS($AG$2:AG841),$AG$2:$AG$1001,0),MATCH(COLUMNS($AN$1006:BK1006),$AN$1006:$BO$1006,0)), HYPERLINK("#",""), HYPERLINK(CONCATENATE("#Metadata!", ADDRESS(INDEX($AI$2:$AI$1001,MATCH(ROWS($AG$2:AG841),$AG$2:$AG$1001,0),0), INDEX($AN$1004:$BO$1004,1,MATCH(COLUMNS($AN$1006:BK1006),$AN$1006:$BO$1006,0)))),"Fix")))</f>
        <v>0</v>
      </c>
      <c r="Z841" s="4">
        <f>IF(OR(INDEX($AH$2:$AH$1001,MATCH(ROWS($AG$2:AG841),$AG$2:$AG$1001,0),1)&gt;=100000,INDEX($AN$1005:$BO$1005,1,MATCH(COLUMNS($AN$1006:BL1006),$AN$1006:$BO$1006,0))&gt;=100000), " ",IF(INDEX($AN$2:$BO$1001,MATCH(ROWS($AG$2:AG841),$AG$2:$AG$1001,0),MATCH(COLUMNS($AN$1006:BL1006),$AN$1006:$BO$1006,0)), HYPERLINK("#",""), HYPERLINK(CONCATENATE("#Metadata!", ADDRESS(INDEX($AI$2:$AI$1001,MATCH(ROWS($AG$2:AG841),$AG$2:$AG$1001,0),0), INDEX($AN$1004:$BO$1004,1,MATCH(COLUMNS($AN$1006:BL1006),$AN$1006:$BO$1006,0)))),"Fix")))</f>
        <v>0</v>
      </c>
      <c r="AA841" s="4">
        <f>IF(OR(INDEX($AH$2:$AH$1001,MATCH(ROWS($AG$2:AG841),$AG$2:$AG$1001,0),1)&gt;=100000,INDEX($AN$1005:$BO$1005,1,MATCH(COLUMNS($AN$1006:BM1006),$AN$1006:$BO$1006,0))&gt;=100000), " ",IF(INDEX($AN$2:$BO$1001,MATCH(ROWS($AG$2:AG841),$AG$2:$AG$1001,0),MATCH(COLUMNS($AN$1006:BM1006),$AN$1006:$BO$1006,0)), HYPERLINK("#",""), HYPERLINK(CONCATENATE("#Metadata!", ADDRESS(INDEX($AI$2:$AI$1001,MATCH(ROWS($AG$2:AG841),$AG$2:$AG$1001,0),0), INDEX($AN$1004:$BO$1004,1,MATCH(COLUMNS($AN$1006:BM1006),$AN$1006:$BO$1006,0)))),"Fix")))</f>
        <v>0</v>
      </c>
      <c r="AB841" s="4">
        <f>IF(OR(INDEX($AH$2:$AH$1001,MATCH(ROWS($AG$2:AG841),$AG$2:$AG$1001,0),1)&gt;=100000,INDEX($AN$1005:$BO$1005,1,MATCH(COLUMNS($AN$1006:BN1006),$AN$1006:$BO$1006,0))&gt;=100000), " ",IF(INDEX($AN$2:$BO$1001,MATCH(ROWS($AG$2:AG841),$AG$2:$AG$1001,0),MATCH(COLUMNS($AN$1006:BN1006),$AN$1006:$BO$1006,0)), HYPERLINK("#",""), HYPERLINK(CONCATENATE("#Metadata!", ADDRESS(INDEX($AI$2:$AI$1001,MATCH(ROWS($AG$2:AG841),$AG$2:$AG$1001,0),0), INDEX($AN$1004:$BO$1004,1,MATCH(COLUMNS($AN$1006:BN1006),$AN$1006:$BO$1006,0)))),"Fix")))</f>
        <v>0</v>
      </c>
      <c r="AC841" s="4">
        <f>IF(OR(INDEX($AH$2:$AH$1001,MATCH(ROWS($AG$2:AG841),$AG$2:$AG$1001,0),1)&gt;=100000,INDEX($AN$1005:$BO$1005,1,MATCH(COLUMNS($AN$1006:BO1006),$AN$1006:$BO$1006,0))&gt;=100000), " ",IF(INDEX($AN$2:$BO$1001,MATCH(ROWS($AG$2:AG841),$AG$2:$AG$1001,0),MATCH(COLUMNS($AN$1006:BO1006),$AN$1006:$BO$1006,0)), HYPERLINK("#",""), HYPERLINK(CONCATENATE("#Metadata!", ADDRESS(INDEX($AI$2:$AI$1001,MATCH(ROWS($AG$2:AG841),$AG$2:$AG$1001,0),0), INDEX($AN$1004:$BO$1004,1,MATCH(COLUMNS($AN$1006:BO1006),$AN$1006:$BO$1006,0)))),"Fix")))</f>
        <v>0</v>
      </c>
      <c r="AG841">
        <v>0</v>
      </c>
      <c r="AH841">
        <v>0</v>
      </c>
      <c r="AI841">
        <v>0</v>
      </c>
      <c r="AJ841">
        <f>IF(AK841,TRUE,AND(AN841:BO841))</f>
        <v>0</v>
      </c>
      <c r="AK841">
        <f>COUNTBLANK(Metadata!B841:AC841)=COLUMNS(Metadata!B841:AC841)</f>
        <v>0</v>
      </c>
      <c r="AL841">
        <v>0</v>
      </c>
      <c r="AN841">
        <f>AND(IF(Metadata!B841="",FALSE,TRUE),COUNTIF(Metadata!B:B, Metadata!B841) = 1,NOT(ISERROR(SUMPRODUCT(SEARCH(MID(Metadata!B841,ROW(INDIRECT("1:"&amp;LEN(Metadata!B841))), 1),"0123456789abcdefghijklmnopqrstuvwxyzABCDEFGHIJKLMNOPQRSTUVWXYZ.")))))</f>
        <v>0</v>
      </c>
      <c r="AO841">
        <f>IF(Metadata!C841="",FALSE,TRUE)</f>
        <v>0</v>
      </c>
      <c r="AP841">
        <f>IF(Metadata!D841="",FALSE,TRUE)</f>
        <v>0</v>
      </c>
      <c r="AQ841">
        <f>OR(AND(IF(Metadata!E841="",FALSE,TRUE),OR(exact(Metadata!E841,"not collected"),exact(Metadata!E841,"not provided"),exact(Metadata!E841,"restricted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R841">
        <f>IF(Metadata!F841="",FALSE,TRUE)</f>
        <v>0</v>
      </c>
      <c r="AS841">
        <f>OR(AND(IF(Metadata!G841="",FALSE,TRUE),OR(exact(Metadata!G841,"not collected"),exact(Metadata!G841,"not provided"))),AND(IF(Metadata!G841="",FALSE,TRUE),OR(exact(Metadata!G841,"TRUE"),exact(Metadata!G841,"FALSE"))))</f>
        <v>0</v>
      </c>
      <c r="AT841">
        <f>OR(AND(IF(Metadata!H841="",FALSE,TRUE),OR(exact(Metadata!H841,"not collected"),exact(Metadata!H841,"not provided"),exact(Metadata!H841,"restricted access"))),AND(IF(Metadata!H841="",FALSE,ISNUMBER(VALUE(Metadata!H841))),Metadata!H841&gt;=-413.0))</f>
        <v>0</v>
      </c>
      <c r="AU841">
        <f>AND(IF(Metadata!I841="",FALSE,TRUE),exact(Metadata!I841,"meters"))</f>
        <v>0</v>
      </c>
      <c r="AV841">
        <f>AND(IF(Metadata!J841="",FALSE,TRUE),OR(exact(Metadata!J841,"Host-associated"),exact(Metadata!J841,"Free-living")))</f>
        <v>0</v>
      </c>
      <c r="AW841">
        <f>AND(IF(Metadata!K841="",FALSE,TRUE),OR(exact(Metadata!K841,"Animal"),exact(Metadata!K841,"Fungus"),exact(Metadata!K841,"Plant"),exact(Metadata!K841,"Saline"),exact(Metadata!K841,"Non-saline")))</f>
        <v>0</v>
      </c>
      <c r="AX841">
        <f>AND(IF(Metadata!L841="",FALSE,TRUE),OR(exact(Metadata!L841,"Plant secretion"),exact(Metadata!L841,"Plant rhizosphere"),exact(Metadata!L841,"Plant surface"),exact(Metadata!L841,"Plant corpus"),exact(Metadata!L841,"Fungus surface"),exact(Metadata!L841,"Fungus corpus"),exact(Metadata!L841,"Animal surface"),exact(Metadata!L841,"Animal proximal gut"),exact(Metadata!L841,"Animal corpus"),exact(Metadata!L841,"Animal distal gut"),exact(Metadata!L841,"Animal secretion"),exact(Metadata!L841,"Sub-surface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Y841">
        <f>IF(Metadata!M841="",FALSE,TRUE)</f>
        <v>0</v>
      </c>
      <c r="AZ841">
        <f>IF(Metadata!N841="",FALSE,TRUE)</f>
        <v>0</v>
      </c>
      <c r="BA841">
        <f>IF(Metadata!O841="",FALSE,TRUE)</f>
        <v>0</v>
      </c>
      <c r="BB841">
        <f>OR(AND(IF(Metadata!P841="",FALSE,TRUE),OR(exact(Metadata!P841,"not collected"),exact(Metadata!P841,"not provided"),exact(Metadata!P841,"restricted access"))),AND(IF(Metadata!P841="",FALSE,TRUE),OR(exact(Metadata!P841,"air"),exact(Metadata!P841,"built environment"),exact(Metadata!P841,"host-associated"),exact(Metadata!P841,"human-associated"),exact(Metadata!P841,"human-skin"),exact(Metadata!P841,"human-oral"),exact(Metadata!P841,"human-gut"),exact(Metadata!P841,"human-vaginal"),exact(Metadata!P841,"microbial mat/biofilm"),exact(Metadata!P841,"misc environment"),exact(Metadata!P841,"plant-associated"),exact(Metadata!P841,"sediment"),exact(Metadata!P841,"soil"),exact(Metadata!P841,"wastewater/sludge"),exact(Metadata!P841,"water"))))</f>
        <v>0</v>
      </c>
      <c r="BC841">
        <f>IF(Metadata!Q841="",FALSE,TRUE)</f>
        <v>0</v>
      </c>
      <c r="BD841">
        <f>IF(Metadata!R841="",FALSE,TRUE)</f>
        <v>0</v>
      </c>
      <c r="BE841">
        <f>OR(AND(IF(Metadata!S841="",FALSE,TRUE),OR(exact(Metadata!S841,"not collected"),exact(Metadata!S841,"not provided"),exact(Metadata!S841,"restricted access"))),AND(IF(Metadata!S841="",FALSE,ISNUMBER(VALUE(Metadata!S841))),Metadata!S841&gt;=-90.00,Metadata!S841&lt;=90.00))</f>
        <v>0</v>
      </c>
      <c r="BF841">
        <f>AND(IF(Metadata!T841="",FALSE,TRUE),exact(Metadata!T841,"Decimal degrees"))</f>
        <v>0</v>
      </c>
      <c r="BG841">
        <f>OR(AND(IF(Metadata!U841="",FALSE,TRUE),OR(exact(Metadata!U841,"not collected"),exact(Metadata!U841,"not provided"),exact(Metadata!U841,"restricted access"))),AND(IF(Metadata!U841="",FALSE,ISNUMBER(VALUE(Metadata!U841))),Metadata!U841&gt;=-180.00,Metadata!U841&lt;=180.00))</f>
        <v>0</v>
      </c>
      <c r="BH841">
        <f>AND(IF(Metadata!V841="",FALSE,TRUE),exact(Metadata!V841,"Decimal degrees"))</f>
        <v>0</v>
      </c>
      <c r="BI841">
        <f>IF(Metadata!W841="",FALSE,TRUE)</f>
        <v>0</v>
      </c>
      <c r="BJ841">
        <f>OR(AND(IF(Metadata!X841="",FALSE,TRUE),OR(exact(Metadata!X841,"not collected"),exact(Metadata!X841,"not provided"),exact(Metadata!X841,"restricted access"))),AND(IF(Metadata!X841="",FALSE,TRUE),OR(exact(Metadata!X841,"TRUE"),exact(Metadata!X841,"FALSE"))))</f>
        <v>0</v>
      </c>
      <c r="BK841">
        <f>AND(IF(Metadata!Y841="",FALSE,TRUE),exact(Metadata!Y841,"other"))</f>
        <v>0</v>
      </c>
      <c r="BL841">
        <f>IF(Metadata!Z841="",FALSE,TRUE)</f>
        <v>0</v>
      </c>
      <c r="BM841">
        <f>OR(AND(IF(Metadata!AA841="",FALSE,TRUE),OR(exact(Metadata!AA841,"not collected"),exact(Metadata!AA841,"not provided"))),AND(IF(Metadata!AA841="",FALSE,IF(ISERROR(INT(Metadata!AA841)),FALSE,INT(Metadata!AA841)=Metadata!AA841)),Metadata!AA841&gt;0))</f>
        <v>0</v>
      </c>
      <c r="BN841">
        <f>AND(IF(Metadata!AB841="",FALSE,TRUE),exact(Metadata!AB841,"Not applicable"))</f>
        <v>0</v>
      </c>
      <c r="BO841">
        <f>IF(Metadata!AC841="",FALSE,TRUE)</f>
        <v>0</v>
      </c>
    </row>
    <row r="842" spans="1:67">
      <c r="A842" s="5">
        <f>IF(B842=" "," ",HYPERLINK(CONCATENATE("#metadata!",ADDRESS(INDEX($AI$2:$AI$1001,MATCH(ROWS($AG$2:AG842),$AG$2:$AG$1001,0),0),1)),INDEX($AL$2:$AL$1001,MATCH(ROWS($AG$2:AG842),$AG$2:$AG$1001,0),0)))</f>
        <v>0</v>
      </c>
      <c r="B842" s="4">
        <f>IF(OR(INDEX($AH$2:$AH$1001,MATCH(ROWS($AG$2:AG842),$AG$2:$AG$1001,0),1)&gt;=100000,INDEX($AN$1005:$BO$1005,1,MATCH(COLUMNS($AN$1006:AN1006),$AN$1006:$BO$1006,0))&gt;=100000), " ",IF(INDEX($AN$2:$BO$1001,MATCH(ROWS($AG$2:AG842),$AG$2:$AG$1001,0),MATCH(COLUMNS($AN$1006:AN1006),$AN$1006:$BO$1006,0)), HYPERLINK("#",""), HYPERLINK(CONCATENATE("#Metadata!", ADDRESS(INDEX($AI$2:$AI$1001,MATCH(ROWS($AG$2:AG842),$AG$2:$AG$1001,0),0), INDEX($AN$1004:$BO$1004,1,MATCH(COLUMNS($AN$1006:AN1006),$AN$1006:$BO$1006,0)))),"Fix")))</f>
        <v>0</v>
      </c>
      <c r="C842" s="4">
        <f>IF(OR(INDEX($AH$2:$AH$1001,MATCH(ROWS($AG$2:AG842),$AG$2:$AG$1001,0),1)&gt;=100000,INDEX($AN$1005:$BO$1005,1,MATCH(COLUMNS($AN$1006:AO1006),$AN$1006:$BO$1006,0))&gt;=100000), " ",IF(INDEX($AN$2:$BO$1001,MATCH(ROWS($AG$2:AG842),$AG$2:$AG$1001,0),MATCH(COLUMNS($AN$1006:AO1006),$AN$1006:$BO$1006,0)), HYPERLINK("#",""), HYPERLINK(CONCATENATE("#Metadata!", ADDRESS(INDEX($AI$2:$AI$1001,MATCH(ROWS($AG$2:AG842),$AG$2:$AG$1001,0),0), INDEX($AN$1004:$BO$1004,1,MATCH(COLUMNS($AN$1006:AO1006),$AN$1006:$BO$1006,0)))),"Fix")))</f>
        <v>0</v>
      </c>
      <c r="D842" s="4">
        <f>IF(OR(INDEX($AH$2:$AH$1001,MATCH(ROWS($AG$2:AG842),$AG$2:$AG$1001,0),1)&gt;=100000,INDEX($AN$1005:$BO$1005,1,MATCH(COLUMNS($AN$1006:AP1006),$AN$1006:$BO$1006,0))&gt;=100000), " ",IF(INDEX($AN$2:$BO$1001,MATCH(ROWS($AG$2:AG842),$AG$2:$AG$1001,0),MATCH(COLUMNS($AN$1006:AP1006),$AN$1006:$BO$1006,0)), HYPERLINK("#",""), HYPERLINK(CONCATENATE("#Metadata!", ADDRESS(INDEX($AI$2:$AI$1001,MATCH(ROWS($AG$2:AG842),$AG$2:$AG$1001,0),0), INDEX($AN$1004:$BO$1004,1,MATCH(COLUMNS($AN$1006:AP1006),$AN$1006:$BO$1006,0)))),"Fix")))</f>
        <v>0</v>
      </c>
      <c r="E842" s="4">
        <f>IF(OR(INDEX($AH$2:$AH$1001,MATCH(ROWS($AG$2:AG842),$AG$2:$AG$1001,0),1)&gt;=100000,INDEX($AN$1005:$BO$1005,1,MATCH(COLUMNS($AN$1006:AQ1006),$AN$1006:$BO$1006,0))&gt;=100000), " ",IF(INDEX($AN$2:$BO$1001,MATCH(ROWS($AG$2:AG842),$AG$2:$AG$1001,0),MATCH(COLUMNS($AN$1006:AQ1006),$AN$1006:$BO$1006,0)), HYPERLINK("#",""), HYPERLINK(CONCATENATE("#Metadata!", ADDRESS(INDEX($AI$2:$AI$1001,MATCH(ROWS($AG$2:AG842),$AG$2:$AG$1001,0),0), INDEX($AN$1004:$BO$1004,1,MATCH(COLUMNS($AN$1006:AQ1006),$AN$1006:$BO$1006,0)))),"Fix")))</f>
        <v>0</v>
      </c>
      <c r="F842" s="4">
        <f>IF(OR(INDEX($AH$2:$AH$1001,MATCH(ROWS($AG$2:AG842),$AG$2:$AG$1001,0),1)&gt;=100000,INDEX($AN$1005:$BO$1005,1,MATCH(COLUMNS($AN$1006:AR1006),$AN$1006:$BO$1006,0))&gt;=100000), " ",IF(INDEX($AN$2:$BO$1001,MATCH(ROWS($AG$2:AG842),$AG$2:$AG$1001,0),MATCH(COLUMNS($AN$1006:AR1006),$AN$1006:$BO$1006,0)), HYPERLINK("#",""), HYPERLINK(CONCATENATE("#Metadata!", ADDRESS(INDEX($AI$2:$AI$1001,MATCH(ROWS($AG$2:AG842),$AG$2:$AG$1001,0),0), INDEX($AN$1004:$BO$1004,1,MATCH(COLUMNS($AN$1006:AR1006),$AN$1006:$BO$1006,0)))),"Fix")))</f>
        <v>0</v>
      </c>
      <c r="G842" s="4">
        <f>IF(OR(INDEX($AH$2:$AH$1001,MATCH(ROWS($AG$2:AG842),$AG$2:$AG$1001,0),1)&gt;=100000,INDEX($AN$1005:$BO$1005,1,MATCH(COLUMNS($AN$1006:AS1006),$AN$1006:$BO$1006,0))&gt;=100000), " ",IF(INDEX($AN$2:$BO$1001,MATCH(ROWS($AG$2:AG842),$AG$2:$AG$1001,0),MATCH(COLUMNS($AN$1006:AS1006),$AN$1006:$BO$1006,0)), HYPERLINK("#",""), HYPERLINK(CONCATENATE("#Metadata!", ADDRESS(INDEX($AI$2:$AI$1001,MATCH(ROWS($AG$2:AG842),$AG$2:$AG$1001,0),0), INDEX($AN$1004:$BO$1004,1,MATCH(COLUMNS($AN$1006:AS1006),$AN$1006:$BO$1006,0)))),"Fix")))</f>
        <v>0</v>
      </c>
      <c r="H842" s="4">
        <f>IF(OR(INDEX($AH$2:$AH$1001,MATCH(ROWS($AG$2:AG842),$AG$2:$AG$1001,0),1)&gt;=100000,INDEX($AN$1005:$BO$1005,1,MATCH(COLUMNS($AN$1006:AT1006),$AN$1006:$BO$1006,0))&gt;=100000), " ",IF(INDEX($AN$2:$BO$1001,MATCH(ROWS($AG$2:AG842),$AG$2:$AG$1001,0),MATCH(COLUMNS($AN$1006:AT1006),$AN$1006:$BO$1006,0)), HYPERLINK("#",""), HYPERLINK(CONCATENATE("#Metadata!", ADDRESS(INDEX($AI$2:$AI$1001,MATCH(ROWS($AG$2:AG842),$AG$2:$AG$1001,0),0), INDEX($AN$1004:$BO$1004,1,MATCH(COLUMNS($AN$1006:AT1006),$AN$1006:$BO$1006,0)))),"Fix")))</f>
        <v>0</v>
      </c>
      <c r="I842" s="4">
        <f>IF(OR(INDEX($AH$2:$AH$1001,MATCH(ROWS($AG$2:AG842),$AG$2:$AG$1001,0),1)&gt;=100000,INDEX($AN$1005:$BO$1005,1,MATCH(COLUMNS($AN$1006:AU1006),$AN$1006:$BO$1006,0))&gt;=100000), " ",IF(INDEX($AN$2:$BO$1001,MATCH(ROWS($AG$2:AG842),$AG$2:$AG$1001,0),MATCH(COLUMNS($AN$1006:AU1006),$AN$1006:$BO$1006,0)), HYPERLINK("#",""), HYPERLINK(CONCATENATE("#Metadata!", ADDRESS(INDEX($AI$2:$AI$1001,MATCH(ROWS($AG$2:AG842),$AG$2:$AG$1001,0),0), INDEX($AN$1004:$BO$1004,1,MATCH(COLUMNS($AN$1006:AU1006),$AN$1006:$BO$1006,0)))),"Fix")))</f>
        <v>0</v>
      </c>
      <c r="J842" s="4">
        <f>IF(OR(INDEX($AH$2:$AH$1001,MATCH(ROWS($AG$2:AG842),$AG$2:$AG$1001,0),1)&gt;=100000,INDEX($AN$1005:$BO$1005,1,MATCH(COLUMNS($AN$1006:AV1006),$AN$1006:$BO$1006,0))&gt;=100000), " ",IF(INDEX($AN$2:$BO$1001,MATCH(ROWS($AG$2:AG842),$AG$2:$AG$1001,0),MATCH(COLUMNS($AN$1006:AV1006),$AN$1006:$BO$1006,0)), HYPERLINK("#",""), HYPERLINK(CONCATENATE("#Metadata!", ADDRESS(INDEX($AI$2:$AI$1001,MATCH(ROWS($AG$2:AG842),$AG$2:$AG$1001,0),0), INDEX($AN$1004:$BO$1004,1,MATCH(COLUMNS($AN$1006:AV1006),$AN$1006:$BO$1006,0)))),"Fix")))</f>
        <v>0</v>
      </c>
      <c r="K842" s="4">
        <f>IF(OR(INDEX($AH$2:$AH$1001,MATCH(ROWS($AG$2:AG842),$AG$2:$AG$1001,0),1)&gt;=100000,INDEX($AN$1005:$BO$1005,1,MATCH(COLUMNS($AN$1006:AW1006),$AN$1006:$BO$1006,0))&gt;=100000), " ",IF(INDEX($AN$2:$BO$1001,MATCH(ROWS($AG$2:AG842),$AG$2:$AG$1001,0),MATCH(COLUMNS($AN$1006:AW1006),$AN$1006:$BO$1006,0)), HYPERLINK("#",""), HYPERLINK(CONCATENATE("#Metadata!", ADDRESS(INDEX($AI$2:$AI$1001,MATCH(ROWS($AG$2:AG842),$AG$2:$AG$1001,0),0), INDEX($AN$1004:$BO$1004,1,MATCH(COLUMNS($AN$1006:AW1006),$AN$1006:$BO$1006,0)))),"Fix")))</f>
        <v>0</v>
      </c>
      <c r="L842" s="4">
        <f>IF(OR(INDEX($AH$2:$AH$1001,MATCH(ROWS($AG$2:AG842),$AG$2:$AG$1001,0),1)&gt;=100000,INDEX($AN$1005:$BO$1005,1,MATCH(COLUMNS($AN$1006:AX1006),$AN$1006:$BO$1006,0))&gt;=100000), " ",IF(INDEX($AN$2:$BO$1001,MATCH(ROWS($AG$2:AG842),$AG$2:$AG$1001,0),MATCH(COLUMNS($AN$1006:AX1006),$AN$1006:$BO$1006,0)), HYPERLINK("#",""), HYPERLINK(CONCATENATE("#Metadata!", ADDRESS(INDEX($AI$2:$AI$1001,MATCH(ROWS($AG$2:AG842),$AG$2:$AG$1001,0),0), INDEX($AN$1004:$BO$1004,1,MATCH(COLUMNS($AN$1006:AX1006),$AN$1006:$BO$1006,0)))),"Fix")))</f>
        <v>0</v>
      </c>
      <c r="M842" s="4">
        <f>IF(OR(INDEX($AH$2:$AH$1001,MATCH(ROWS($AG$2:AG842),$AG$2:$AG$1001,0),1)&gt;=100000,INDEX($AN$1005:$BO$1005,1,MATCH(COLUMNS($AN$1006:AY1006),$AN$1006:$BO$1006,0))&gt;=100000), " ",IF(INDEX($AN$2:$BO$1001,MATCH(ROWS($AG$2:AG842),$AG$2:$AG$1001,0),MATCH(COLUMNS($AN$1006:AY1006),$AN$1006:$BO$1006,0)), HYPERLINK("#",""), HYPERLINK(CONCATENATE("#Metadata!", ADDRESS(INDEX($AI$2:$AI$1001,MATCH(ROWS($AG$2:AG842),$AG$2:$AG$1001,0),0), INDEX($AN$1004:$BO$1004,1,MATCH(COLUMNS($AN$1006:AY1006),$AN$1006:$BO$1006,0)))),"Fix")))</f>
        <v>0</v>
      </c>
      <c r="N842" s="4">
        <f>IF(OR(INDEX($AH$2:$AH$1001,MATCH(ROWS($AG$2:AG842),$AG$2:$AG$1001,0),1)&gt;=100000,INDEX($AN$1005:$BO$1005,1,MATCH(COLUMNS($AN$1006:AZ1006),$AN$1006:$BO$1006,0))&gt;=100000), " ",IF(INDEX($AN$2:$BO$1001,MATCH(ROWS($AG$2:AG842),$AG$2:$AG$1001,0),MATCH(COLUMNS($AN$1006:AZ1006),$AN$1006:$BO$1006,0)), HYPERLINK("#",""), HYPERLINK(CONCATENATE("#Metadata!", ADDRESS(INDEX($AI$2:$AI$1001,MATCH(ROWS($AG$2:AG842),$AG$2:$AG$1001,0),0), INDEX($AN$1004:$BO$1004,1,MATCH(COLUMNS($AN$1006:AZ1006),$AN$1006:$BO$1006,0)))),"Fix")))</f>
        <v>0</v>
      </c>
      <c r="O842" s="4">
        <f>IF(OR(INDEX($AH$2:$AH$1001,MATCH(ROWS($AG$2:AG842),$AG$2:$AG$1001,0),1)&gt;=100000,INDEX($AN$1005:$BO$1005,1,MATCH(COLUMNS($AN$1006:BA1006),$AN$1006:$BO$1006,0))&gt;=100000), " ",IF(INDEX($AN$2:$BO$1001,MATCH(ROWS($AG$2:AG842),$AG$2:$AG$1001,0),MATCH(COLUMNS($AN$1006:BA1006),$AN$1006:$BO$1006,0)), HYPERLINK("#",""), HYPERLINK(CONCATENATE("#Metadata!", ADDRESS(INDEX($AI$2:$AI$1001,MATCH(ROWS($AG$2:AG842),$AG$2:$AG$1001,0),0), INDEX($AN$1004:$BO$1004,1,MATCH(COLUMNS($AN$1006:BA1006),$AN$1006:$BO$1006,0)))),"Fix")))</f>
        <v>0</v>
      </c>
      <c r="P842" s="4">
        <f>IF(OR(INDEX($AH$2:$AH$1001,MATCH(ROWS($AG$2:AG842),$AG$2:$AG$1001,0),1)&gt;=100000,INDEX($AN$1005:$BO$1005,1,MATCH(COLUMNS($AN$1006:BB1006),$AN$1006:$BO$1006,0))&gt;=100000), " ",IF(INDEX($AN$2:$BO$1001,MATCH(ROWS($AG$2:AG842),$AG$2:$AG$1001,0),MATCH(COLUMNS($AN$1006:BB1006),$AN$1006:$BO$1006,0)), HYPERLINK("#",""), HYPERLINK(CONCATENATE("#Metadata!", ADDRESS(INDEX($AI$2:$AI$1001,MATCH(ROWS($AG$2:AG842),$AG$2:$AG$1001,0),0), INDEX($AN$1004:$BO$1004,1,MATCH(COLUMNS($AN$1006:BB1006),$AN$1006:$BO$1006,0)))),"Fix")))</f>
        <v>0</v>
      </c>
      <c r="Q842" s="4">
        <f>IF(OR(INDEX($AH$2:$AH$1001,MATCH(ROWS($AG$2:AG842),$AG$2:$AG$1001,0),1)&gt;=100000,INDEX($AN$1005:$BO$1005,1,MATCH(COLUMNS($AN$1006:BC1006),$AN$1006:$BO$1006,0))&gt;=100000), " ",IF(INDEX($AN$2:$BO$1001,MATCH(ROWS($AG$2:AG842),$AG$2:$AG$1001,0),MATCH(COLUMNS($AN$1006:BC1006),$AN$1006:$BO$1006,0)), HYPERLINK("#",""), HYPERLINK(CONCATENATE("#Metadata!", ADDRESS(INDEX($AI$2:$AI$1001,MATCH(ROWS($AG$2:AG842),$AG$2:$AG$1001,0),0), INDEX($AN$1004:$BO$1004,1,MATCH(COLUMNS($AN$1006:BC1006),$AN$1006:$BO$1006,0)))),"Fix")))</f>
        <v>0</v>
      </c>
      <c r="R842" s="4">
        <f>IF(OR(INDEX($AH$2:$AH$1001,MATCH(ROWS($AG$2:AG842),$AG$2:$AG$1001,0),1)&gt;=100000,INDEX($AN$1005:$BO$1005,1,MATCH(COLUMNS($AN$1006:BD1006),$AN$1006:$BO$1006,0))&gt;=100000), " ",IF(INDEX($AN$2:$BO$1001,MATCH(ROWS($AG$2:AG842),$AG$2:$AG$1001,0),MATCH(COLUMNS($AN$1006:BD1006),$AN$1006:$BO$1006,0)), HYPERLINK("#",""), HYPERLINK(CONCATENATE("#Metadata!", ADDRESS(INDEX($AI$2:$AI$1001,MATCH(ROWS($AG$2:AG842),$AG$2:$AG$1001,0),0), INDEX($AN$1004:$BO$1004,1,MATCH(COLUMNS($AN$1006:BD1006),$AN$1006:$BO$1006,0)))),"Fix")))</f>
        <v>0</v>
      </c>
      <c r="S842" s="4">
        <f>IF(OR(INDEX($AH$2:$AH$1001,MATCH(ROWS($AG$2:AG842),$AG$2:$AG$1001,0),1)&gt;=100000,INDEX($AN$1005:$BO$1005,1,MATCH(COLUMNS($AN$1006:BE1006),$AN$1006:$BO$1006,0))&gt;=100000), " ",IF(INDEX($AN$2:$BO$1001,MATCH(ROWS($AG$2:AG842),$AG$2:$AG$1001,0),MATCH(COLUMNS($AN$1006:BE1006),$AN$1006:$BO$1006,0)), HYPERLINK("#",""), HYPERLINK(CONCATENATE("#Metadata!", ADDRESS(INDEX($AI$2:$AI$1001,MATCH(ROWS($AG$2:AG842),$AG$2:$AG$1001,0),0), INDEX($AN$1004:$BO$1004,1,MATCH(COLUMNS($AN$1006:BE1006),$AN$1006:$BO$1006,0)))),"Fix")))</f>
        <v>0</v>
      </c>
      <c r="T842" s="4">
        <f>IF(OR(INDEX($AH$2:$AH$1001,MATCH(ROWS($AG$2:AG842),$AG$2:$AG$1001,0),1)&gt;=100000,INDEX($AN$1005:$BO$1005,1,MATCH(COLUMNS($AN$1006:BF1006),$AN$1006:$BO$1006,0))&gt;=100000), " ",IF(INDEX($AN$2:$BO$1001,MATCH(ROWS($AG$2:AG842),$AG$2:$AG$1001,0),MATCH(COLUMNS($AN$1006:BF1006),$AN$1006:$BO$1006,0)), HYPERLINK("#",""), HYPERLINK(CONCATENATE("#Metadata!", ADDRESS(INDEX($AI$2:$AI$1001,MATCH(ROWS($AG$2:AG842),$AG$2:$AG$1001,0),0), INDEX($AN$1004:$BO$1004,1,MATCH(COLUMNS($AN$1006:BF1006),$AN$1006:$BO$1006,0)))),"Fix")))</f>
        <v>0</v>
      </c>
      <c r="U842" s="4">
        <f>IF(OR(INDEX($AH$2:$AH$1001,MATCH(ROWS($AG$2:AG842),$AG$2:$AG$1001,0),1)&gt;=100000,INDEX($AN$1005:$BO$1005,1,MATCH(COLUMNS($AN$1006:BG1006),$AN$1006:$BO$1006,0))&gt;=100000), " ",IF(INDEX($AN$2:$BO$1001,MATCH(ROWS($AG$2:AG842),$AG$2:$AG$1001,0),MATCH(COLUMNS($AN$1006:BG1006),$AN$1006:$BO$1006,0)), HYPERLINK("#",""), HYPERLINK(CONCATENATE("#Metadata!", ADDRESS(INDEX($AI$2:$AI$1001,MATCH(ROWS($AG$2:AG842),$AG$2:$AG$1001,0),0), INDEX($AN$1004:$BO$1004,1,MATCH(COLUMNS($AN$1006:BG1006),$AN$1006:$BO$1006,0)))),"Fix")))</f>
        <v>0</v>
      </c>
      <c r="V842" s="4">
        <f>IF(OR(INDEX($AH$2:$AH$1001,MATCH(ROWS($AG$2:AG842),$AG$2:$AG$1001,0),1)&gt;=100000,INDEX($AN$1005:$BO$1005,1,MATCH(COLUMNS($AN$1006:BH1006),$AN$1006:$BO$1006,0))&gt;=100000), " ",IF(INDEX($AN$2:$BO$1001,MATCH(ROWS($AG$2:AG842),$AG$2:$AG$1001,0),MATCH(COLUMNS($AN$1006:BH1006),$AN$1006:$BO$1006,0)), HYPERLINK("#",""), HYPERLINK(CONCATENATE("#Metadata!", ADDRESS(INDEX($AI$2:$AI$1001,MATCH(ROWS($AG$2:AG842),$AG$2:$AG$1001,0),0), INDEX($AN$1004:$BO$1004,1,MATCH(COLUMNS($AN$1006:BH1006),$AN$1006:$BO$1006,0)))),"Fix")))</f>
        <v>0</v>
      </c>
      <c r="W842" s="4">
        <f>IF(OR(INDEX($AH$2:$AH$1001,MATCH(ROWS($AG$2:AG842),$AG$2:$AG$1001,0),1)&gt;=100000,INDEX($AN$1005:$BO$1005,1,MATCH(COLUMNS($AN$1006:BI1006),$AN$1006:$BO$1006,0))&gt;=100000), " ",IF(INDEX($AN$2:$BO$1001,MATCH(ROWS($AG$2:AG842),$AG$2:$AG$1001,0),MATCH(COLUMNS($AN$1006:BI1006),$AN$1006:$BO$1006,0)), HYPERLINK("#",""), HYPERLINK(CONCATENATE("#Metadata!", ADDRESS(INDEX($AI$2:$AI$1001,MATCH(ROWS($AG$2:AG842),$AG$2:$AG$1001,0),0), INDEX($AN$1004:$BO$1004,1,MATCH(COLUMNS($AN$1006:BI1006),$AN$1006:$BO$1006,0)))),"Fix")))</f>
        <v>0</v>
      </c>
      <c r="X842" s="4">
        <f>IF(OR(INDEX($AH$2:$AH$1001,MATCH(ROWS($AG$2:AG842),$AG$2:$AG$1001,0),1)&gt;=100000,INDEX($AN$1005:$BO$1005,1,MATCH(COLUMNS($AN$1006:BJ1006),$AN$1006:$BO$1006,0))&gt;=100000), " ",IF(INDEX($AN$2:$BO$1001,MATCH(ROWS($AG$2:AG842),$AG$2:$AG$1001,0),MATCH(COLUMNS($AN$1006:BJ1006),$AN$1006:$BO$1006,0)), HYPERLINK("#",""), HYPERLINK(CONCATENATE("#Metadata!", ADDRESS(INDEX($AI$2:$AI$1001,MATCH(ROWS($AG$2:AG842),$AG$2:$AG$1001,0),0), INDEX($AN$1004:$BO$1004,1,MATCH(COLUMNS($AN$1006:BJ1006),$AN$1006:$BO$1006,0)))),"Fix")))</f>
        <v>0</v>
      </c>
      <c r="Y842" s="4">
        <f>IF(OR(INDEX($AH$2:$AH$1001,MATCH(ROWS($AG$2:AG842),$AG$2:$AG$1001,0),1)&gt;=100000,INDEX($AN$1005:$BO$1005,1,MATCH(COLUMNS($AN$1006:BK1006),$AN$1006:$BO$1006,0))&gt;=100000), " ",IF(INDEX($AN$2:$BO$1001,MATCH(ROWS($AG$2:AG842),$AG$2:$AG$1001,0),MATCH(COLUMNS($AN$1006:BK1006),$AN$1006:$BO$1006,0)), HYPERLINK("#",""), HYPERLINK(CONCATENATE("#Metadata!", ADDRESS(INDEX($AI$2:$AI$1001,MATCH(ROWS($AG$2:AG842),$AG$2:$AG$1001,0),0), INDEX($AN$1004:$BO$1004,1,MATCH(COLUMNS($AN$1006:BK1006),$AN$1006:$BO$1006,0)))),"Fix")))</f>
        <v>0</v>
      </c>
      <c r="Z842" s="4">
        <f>IF(OR(INDEX($AH$2:$AH$1001,MATCH(ROWS($AG$2:AG842),$AG$2:$AG$1001,0),1)&gt;=100000,INDEX($AN$1005:$BO$1005,1,MATCH(COLUMNS($AN$1006:BL1006),$AN$1006:$BO$1006,0))&gt;=100000), " ",IF(INDEX($AN$2:$BO$1001,MATCH(ROWS($AG$2:AG842),$AG$2:$AG$1001,0),MATCH(COLUMNS($AN$1006:BL1006),$AN$1006:$BO$1006,0)), HYPERLINK("#",""), HYPERLINK(CONCATENATE("#Metadata!", ADDRESS(INDEX($AI$2:$AI$1001,MATCH(ROWS($AG$2:AG842),$AG$2:$AG$1001,0),0), INDEX($AN$1004:$BO$1004,1,MATCH(COLUMNS($AN$1006:BL1006),$AN$1006:$BO$1006,0)))),"Fix")))</f>
        <v>0</v>
      </c>
      <c r="AA842" s="4">
        <f>IF(OR(INDEX($AH$2:$AH$1001,MATCH(ROWS($AG$2:AG842),$AG$2:$AG$1001,0),1)&gt;=100000,INDEX($AN$1005:$BO$1005,1,MATCH(COLUMNS($AN$1006:BM1006),$AN$1006:$BO$1006,0))&gt;=100000), " ",IF(INDEX($AN$2:$BO$1001,MATCH(ROWS($AG$2:AG842),$AG$2:$AG$1001,0),MATCH(COLUMNS($AN$1006:BM1006),$AN$1006:$BO$1006,0)), HYPERLINK("#",""), HYPERLINK(CONCATENATE("#Metadata!", ADDRESS(INDEX($AI$2:$AI$1001,MATCH(ROWS($AG$2:AG842),$AG$2:$AG$1001,0),0), INDEX($AN$1004:$BO$1004,1,MATCH(COLUMNS($AN$1006:BM1006),$AN$1006:$BO$1006,0)))),"Fix")))</f>
        <v>0</v>
      </c>
      <c r="AB842" s="4">
        <f>IF(OR(INDEX($AH$2:$AH$1001,MATCH(ROWS($AG$2:AG842),$AG$2:$AG$1001,0),1)&gt;=100000,INDEX($AN$1005:$BO$1005,1,MATCH(COLUMNS($AN$1006:BN1006),$AN$1006:$BO$1006,0))&gt;=100000), " ",IF(INDEX($AN$2:$BO$1001,MATCH(ROWS($AG$2:AG842),$AG$2:$AG$1001,0),MATCH(COLUMNS($AN$1006:BN1006),$AN$1006:$BO$1006,0)), HYPERLINK("#",""), HYPERLINK(CONCATENATE("#Metadata!", ADDRESS(INDEX($AI$2:$AI$1001,MATCH(ROWS($AG$2:AG842),$AG$2:$AG$1001,0),0), INDEX($AN$1004:$BO$1004,1,MATCH(COLUMNS($AN$1006:BN1006),$AN$1006:$BO$1006,0)))),"Fix")))</f>
        <v>0</v>
      </c>
      <c r="AC842" s="4">
        <f>IF(OR(INDEX($AH$2:$AH$1001,MATCH(ROWS($AG$2:AG842),$AG$2:$AG$1001,0),1)&gt;=100000,INDEX($AN$1005:$BO$1005,1,MATCH(COLUMNS($AN$1006:BO1006),$AN$1006:$BO$1006,0))&gt;=100000), " ",IF(INDEX($AN$2:$BO$1001,MATCH(ROWS($AG$2:AG842),$AG$2:$AG$1001,0),MATCH(COLUMNS($AN$1006:BO1006),$AN$1006:$BO$1006,0)), HYPERLINK("#",""), HYPERLINK(CONCATENATE("#Metadata!", ADDRESS(INDEX($AI$2:$AI$1001,MATCH(ROWS($AG$2:AG842),$AG$2:$AG$1001,0),0), INDEX($AN$1004:$BO$1004,1,MATCH(COLUMNS($AN$1006:BO1006),$AN$1006:$BO$1006,0)))),"Fix")))</f>
        <v>0</v>
      </c>
      <c r="AG842">
        <v>0</v>
      </c>
      <c r="AH842">
        <v>0</v>
      </c>
      <c r="AI842">
        <v>0</v>
      </c>
      <c r="AJ842">
        <f>IF(AK842,TRUE,AND(AN842:BO842))</f>
        <v>0</v>
      </c>
      <c r="AK842">
        <f>COUNTBLANK(Metadata!B842:AC842)=COLUMNS(Metadata!B842:AC842)</f>
        <v>0</v>
      </c>
      <c r="AL842">
        <v>0</v>
      </c>
      <c r="AN842">
        <f>AND(IF(Metadata!B842="",FALSE,TRUE),COUNTIF(Metadata!B:B, Metadata!B842) = 1,NOT(ISERROR(SUMPRODUCT(SEARCH(MID(Metadata!B842,ROW(INDIRECT("1:"&amp;LEN(Metadata!B842))), 1),"0123456789abcdefghijklmnopqrstuvwxyzABCDEFGHIJKLMNOPQRSTUVWXYZ.")))))</f>
        <v>0</v>
      </c>
      <c r="AO842">
        <f>IF(Metadata!C842="",FALSE,TRUE)</f>
        <v>0</v>
      </c>
      <c r="AP842">
        <f>IF(Metadata!D842="",FALSE,TRUE)</f>
        <v>0</v>
      </c>
      <c r="AQ842">
        <f>OR(AND(IF(Metadata!E842="",FALSE,TRUE),OR(exact(Metadata!E842,"not collected"),exact(Metadata!E842,"not provided"),exact(Metadata!E842,"restricted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R842">
        <f>IF(Metadata!F842="",FALSE,TRUE)</f>
        <v>0</v>
      </c>
      <c r="AS842">
        <f>OR(AND(IF(Metadata!G842="",FALSE,TRUE),OR(exact(Metadata!G842,"not collected"),exact(Metadata!G842,"not provided"))),AND(IF(Metadata!G842="",FALSE,TRUE),OR(exact(Metadata!G842,"TRUE"),exact(Metadata!G842,"FALSE"))))</f>
        <v>0</v>
      </c>
      <c r="AT842">
        <f>OR(AND(IF(Metadata!H842="",FALSE,TRUE),OR(exact(Metadata!H842,"not collected"),exact(Metadata!H842,"not provided"),exact(Metadata!H842,"restricted access"))),AND(IF(Metadata!H842="",FALSE,ISNUMBER(VALUE(Metadata!H842))),Metadata!H842&gt;=-413.0))</f>
        <v>0</v>
      </c>
      <c r="AU842">
        <f>AND(IF(Metadata!I842="",FALSE,TRUE),exact(Metadata!I842,"meters"))</f>
        <v>0</v>
      </c>
      <c r="AV842">
        <f>AND(IF(Metadata!J842="",FALSE,TRUE),OR(exact(Metadata!J842,"Host-associated"),exact(Metadata!J842,"Free-living")))</f>
        <v>0</v>
      </c>
      <c r="AW842">
        <f>AND(IF(Metadata!K842="",FALSE,TRUE),OR(exact(Metadata!K842,"Animal"),exact(Metadata!K842,"Fungus"),exact(Metadata!K842,"Plant"),exact(Metadata!K842,"Saline"),exact(Metadata!K842,"Non-saline")))</f>
        <v>0</v>
      </c>
      <c r="AX842">
        <f>AND(IF(Metadata!L842="",FALSE,TRUE),OR(exact(Metadata!L842,"Plant secretion"),exact(Metadata!L842,"Plant rhizosphere"),exact(Metadata!L842,"Plant surface"),exact(Metadata!L842,"Plant corpus"),exact(Metadata!L842,"Fungus surface"),exact(Metadata!L842,"Fungus corpus"),exact(Metadata!L842,"Animal surface"),exact(Metadata!L842,"Animal proximal gut"),exact(Metadata!L842,"Animal corpus"),exact(Metadata!L842,"Animal distal gut"),exact(Metadata!L842,"Animal secretion"),exact(Metadata!L842,"Sub-surface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Y842">
        <f>IF(Metadata!M842="",FALSE,TRUE)</f>
        <v>0</v>
      </c>
      <c r="AZ842">
        <f>IF(Metadata!N842="",FALSE,TRUE)</f>
        <v>0</v>
      </c>
      <c r="BA842">
        <f>IF(Metadata!O842="",FALSE,TRUE)</f>
        <v>0</v>
      </c>
      <c r="BB842">
        <f>OR(AND(IF(Metadata!P842="",FALSE,TRUE),OR(exact(Metadata!P842,"not collected"),exact(Metadata!P842,"not provided"),exact(Metadata!P842,"restricted access"))),AND(IF(Metadata!P842="",FALSE,TRUE),OR(exact(Metadata!P842,"air"),exact(Metadata!P842,"built environment"),exact(Metadata!P842,"host-associated"),exact(Metadata!P842,"human-associated"),exact(Metadata!P842,"human-skin"),exact(Metadata!P842,"human-oral"),exact(Metadata!P842,"human-gut"),exact(Metadata!P842,"human-vaginal"),exact(Metadata!P842,"microbial mat/biofilm"),exact(Metadata!P842,"misc environment"),exact(Metadata!P842,"plant-associated"),exact(Metadata!P842,"sediment"),exact(Metadata!P842,"soil"),exact(Metadata!P842,"wastewater/sludge"),exact(Metadata!P842,"water"))))</f>
        <v>0</v>
      </c>
      <c r="BC842">
        <f>IF(Metadata!Q842="",FALSE,TRUE)</f>
        <v>0</v>
      </c>
      <c r="BD842">
        <f>IF(Metadata!R842="",FALSE,TRUE)</f>
        <v>0</v>
      </c>
      <c r="BE842">
        <f>OR(AND(IF(Metadata!S842="",FALSE,TRUE),OR(exact(Metadata!S842,"not collected"),exact(Metadata!S842,"not provided"),exact(Metadata!S842,"restricted access"))),AND(IF(Metadata!S842="",FALSE,ISNUMBER(VALUE(Metadata!S842))),Metadata!S842&gt;=-90.00,Metadata!S842&lt;=90.00))</f>
        <v>0</v>
      </c>
      <c r="BF842">
        <f>AND(IF(Metadata!T842="",FALSE,TRUE),exact(Metadata!T842,"Decimal degrees"))</f>
        <v>0</v>
      </c>
      <c r="BG842">
        <f>OR(AND(IF(Metadata!U842="",FALSE,TRUE),OR(exact(Metadata!U842,"not collected"),exact(Metadata!U842,"not provided"),exact(Metadata!U842,"restricted access"))),AND(IF(Metadata!U842="",FALSE,ISNUMBER(VALUE(Metadata!U842))),Metadata!U842&gt;=-180.00,Metadata!U842&lt;=180.00))</f>
        <v>0</v>
      </c>
      <c r="BH842">
        <f>AND(IF(Metadata!V842="",FALSE,TRUE),exact(Metadata!V842,"Decimal degrees"))</f>
        <v>0</v>
      </c>
      <c r="BI842">
        <f>IF(Metadata!W842="",FALSE,TRUE)</f>
        <v>0</v>
      </c>
      <c r="BJ842">
        <f>OR(AND(IF(Metadata!X842="",FALSE,TRUE),OR(exact(Metadata!X842,"not collected"),exact(Metadata!X842,"not provided"),exact(Metadata!X842,"restricted access"))),AND(IF(Metadata!X842="",FALSE,TRUE),OR(exact(Metadata!X842,"TRUE"),exact(Metadata!X842,"FALSE"))))</f>
        <v>0</v>
      </c>
      <c r="BK842">
        <f>AND(IF(Metadata!Y842="",FALSE,TRUE),exact(Metadata!Y842,"other"))</f>
        <v>0</v>
      </c>
      <c r="BL842">
        <f>IF(Metadata!Z842="",FALSE,TRUE)</f>
        <v>0</v>
      </c>
      <c r="BM842">
        <f>OR(AND(IF(Metadata!AA842="",FALSE,TRUE),OR(exact(Metadata!AA842,"not collected"),exact(Metadata!AA842,"not provided"))),AND(IF(Metadata!AA842="",FALSE,IF(ISERROR(INT(Metadata!AA842)),FALSE,INT(Metadata!AA842)=Metadata!AA842)),Metadata!AA842&gt;0))</f>
        <v>0</v>
      </c>
      <c r="BN842">
        <f>AND(IF(Metadata!AB842="",FALSE,TRUE),exact(Metadata!AB842,"Not applicable"))</f>
        <v>0</v>
      </c>
      <c r="BO842">
        <f>IF(Metadata!AC842="",FALSE,TRUE)</f>
        <v>0</v>
      </c>
    </row>
    <row r="843" spans="1:67">
      <c r="A843" s="5">
        <f>IF(B843=" "," ",HYPERLINK(CONCATENATE("#metadata!",ADDRESS(INDEX($AI$2:$AI$1001,MATCH(ROWS($AG$2:AG843),$AG$2:$AG$1001,0),0),1)),INDEX($AL$2:$AL$1001,MATCH(ROWS($AG$2:AG843),$AG$2:$AG$1001,0),0)))</f>
        <v>0</v>
      </c>
      <c r="B843" s="4">
        <f>IF(OR(INDEX($AH$2:$AH$1001,MATCH(ROWS($AG$2:AG843),$AG$2:$AG$1001,0),1)&gt;=100000,INDEX($AN$1005:$BO$1005,1,MATCH(COLUMNS($AN$1006:AN1006),$AN$1006:$BO$1006,0))&gt;=100000), " ",IF(INDEX($AN$2:$BO$1001,MATCH(ROWS($AG$2:AG843),$AG$2:$AG$1001,0),MATCH(COLUMNS($AN$1006:AN1006),$AN$1006:$BO$1006,0)), HYPERLINK("#",""), HYPERLINK(CONCATENATE("#Metadata!", ADDRESS(INDEX($AI$2:$AI$1001,MATCH(ROWS($AG$2:AG843),$AG$2:$AG$1001,0),0), INDEX($AN$1004:$BO$1004,1,MATCH(COLUMNS($AN$1006:AN1006),$AN$1006:$BO$1006,0)))),"Fix")))</f>
        <v>0</v>
      </c>
      <c r="C843" s="4">
        <f>IF(OR(INDEX($AH$2:$AH$1001,MATCH(ROWS($AG$2:AG843),$AG$2:$AG$1001,0),1)&gt;=100000,INDEX($AN$1005:$BO$1005,1,MATCH(COLUMNS($AN$1006:AO1006),$AN$1006:$BO$1006,0))&gt;=100000), " ",IF(INDEX($AN$2:$BO$1001,MATCH(ROWS($AG$2:AG843),$AG$2:$AG$1001,0),MATCH(COLUMNS($AN$1006:AO1006),$AN$1006:$BO$1006,0)), HYPERLINK("#",""), HYPERLINK(CONCATENATE("#Metadata!", ADDRESS(INDEX($AI$2:$AI$1001,MATCH(ROWS($AG$2:AG843),$AG$2:$AG$1001,0),0), INDEX($AN$1004:$BO$1004,1,MATCH(COLUMNS($AN$1006:AO1006),$AN$1006:$BO$1006,0)))),"Fix")))</f>
        <v>0</v>
      </c>
      <c r="D843" s="4">
        <f>IF(OR(INDEX($AH$2:$AH$1001,MATCH(ROWS($AG$2:AG843),$AG$2:$AG$1001,0),1)&gt;=100000,INDEX($AN$1005:$BO$1005,1,MATCH(COLUMNS($AN$1006:AP1006),$AN$1006:$BO$1006,0))&gt;=100000), " ",IF(INDEX($AN$2:$BO$1001,MATCH(ROWS($AG$2:AG843),$AG$2:$AG$1001,0),MATCH(COLUMNS($AN$1006:AP1006),$AN$1006:$BO$1006,0)), HYPERLINK("#",""), HYPERLINK(CONCATENATE("#Metadata!", ADDRESS(INDEX($AI$2:$AI$1001,MATCH(ROWS($AG$2:AG843),$AG$2:$AG$1001,0),0), INDEX($AN$1004:$BO$1004,1,MATCH(COLUMNS($AN$1006:AP1006),$AN$1006:$BO$1006,0)))),"Fix")))</f>
        <v>0</v>
      </c>
      <c r="E843" s="4">
        <f>IF(OR(INDEX($AH$2:$AH$1001,MATCH(ROWS($AG$2:AG843),$AG$2:$AG$1001,0),1)&gt;=100000,INDEX($AN$1005:$BO$1005,1,MATCH(COLUMNS($AN$1006:AQ1006),$AN$1006:$BO$1006,0))&gt;=100000), " ",IF(INDEX($AN$2:$BO$1001,MATCH(ROWS($AG$2:AG843),$AG$2:$AG$1001,0),MATCH(COLUMNS($AN$1006:AQ1006),$AN$1006:$BO$1006,0)), HYPERLINK("#",""), HYPERLINK(CONCATENATE("#Metadata!", ADDRESS(INDEX($AI$2:$AI$1001,MATCH(ROWS($AG$2:AG843),$AG$2:$AG$1001,0),0), INDEX($AN$1004:$BO$1004,1,MATCH(COLUMNS($AN$1006:AQ1006),$AN$1006:$BO$1006,0)))),"Fix")))</f>
        <v>0</v>
      </c>
      <c r="F843" s="4">
        <f>IF(OR(INDEX($AH$2:$AH$1001,MATCH(ROWS($AG$2:AG843),$AG$2:$AG$1001,0),1)&gt;=100000,INDEX($AN$1005:$BO$1005,1,MATCH(COLUMNS($AN$1006:AR1006),$AN$1006:$BO$1006,0))&gt;=100000), " ",IF(INDEX($AN$2:$BO$1001,MATCH(ROWS($AG$2:AG843),$AG$2:$AG$1001,0),MATCH(COLUMNS($AN$1006:AR1006),$AN$1006:$BO$1006,0)), HYPERLINK("#",""), HYPERLINK(CONCATENATE("#Metadata!", ADDRESS(INDEX($AI$2:$AI$1001,MATCH(ROWS($AG$2:AG843),$AG$2:$AG$1001,0),0), INDEX($AN$1004:$BO$1004,1,MATCH(COLUMNS($AN$1006:AR1006),$AN$1006:$BO$1006,0)))),"Fix")))</f>
        <v>0</v>
      </c>
      <c r="G843" s="4">
        <f>IF(OR(INDEX($AH$2:$AH$1001,MATCH(ROWS($AG$2:AG843),$AG$2:$AG$1001,0),1)&gt;=100000,INDEX($AN$1005:$BO$1005,1,MATCH(COLUMNS($AN$1006:AS1006),$AN$1006:$BO$1006,0))&gt;=100000), " ",IF(INDEX($AN$2:$BO$1001,MATCH(ROWS($AG$2:AG843),$AG$2:$AG$1001,0),MATCH(COLUMNS($AN$1006:AS1006),$AN$1006:$BO$1006,0)), HYPERLINK("#",""), HYPERLINK(CONCATENATE("#Metadata!", ADDRESS(INDEX($AI$2:$AI$1001,MATCH(ROWS($AG$2:AG843),$AG$2:$AG$1001,0),0), INDEX($AN$1004:$BO$1004,1,MATCH(COLUMNS($AN$1006:AS1006),$AN$1006:$BO$1006,0)))),"Fix")))</f>
        <v>0</v>
      </c>
      <c r="H843" s="4">
        <f>IF(OR(INDEX($AH$2:$AH$1001,MATCH(ROWS($AG$2:AG843),$AG$2:$AG$1001,0),1)&gt;=100000,INDEX($AN$1005:$BO$1005,1,MATCH(COLUMNS($AN$1006:AT1006),$AN$1006:$BO$1006,0))&gt;=100000), " ",IF(INDEX($AN$2:$BO$1001,MATCH(ROWS($AG$2:AG843),$AG$2:$AG$1001,0),MATCH(COLUMNS($AN$1006:AT1006),$AN$1006:$BO$1006,0)), HYPERLINK("#",""), HYPERLINK(CONCATENATE("#Metadata!", ADDRESS(INDEX($AI$2:$AI$1001,MATCH(ROWS($AG$2:AG843),$AG$2:$AG$1001,0),0), INDEX($AN$1004:$BO$1004,1,MATCH(COLUMNS($AN$1006:AT1006),$AN$1006:$BO$1006,0)))),"Fix")))</f>
        <v>0</v>
      </c>
      <c r="I843" s="4">
        <f>IF(OR(INDEX($AH$2:$AH$1001,MATCH(ROWS($AG$2:AG843),$AG$2:$AG$1001,0),1)&gt;=100000,INDEX($AN$1005:$BO$1005,1,MATCH(COLUMNS($AN$1006:AU1006),$AN$1006:$BO$1006,0))&gt;=100000), " ",IF(INDEX($AN$2:$BO$1001,MATCH(ROWS($AG$2:AG843),$AG$2:$AG$1001,0),MATCH(COLUMNS($AN$1006:AU1006),$AN$1006:$BO$1006,0)), HYPERLINK("#",""), HYPERLINK(CONCATENATE("#Metadata!", ADDRESS(INDEX($AI$2:$AI$1001,MATCH(ROWS($AG$2:AG843),$AG$2:$AG$1001,0),0), INDEX($AN$1004:$BO$1004,1,MATCH(COLUMNS($AN$1006:AU1006),$AN$1006:$BO$1006,0)))),"Fix")))</f>
        <v>0</v>
      </c>
      <c r="J843" s="4">
        <f>IF(OR(INDEX($AH$2:$AH$1001,MATCH(ROWS($AG$2:AG843),$AG$2:$AG$1001,0),1)&gt;=100000,INDEX($AN$1005:$BO$1005,1,MATCH(COLUMNS($AN$1006:AV1006),$AN$1006:$BO$1006,0))&gt;=100000), " ",IF(INDEX($AN$2:$BO$1001,MATCH(ROWS($AG$2:AG843),$AG$2:$AG$1001,0),MATCH(COLUMNS($AN$1006:AV1006),$AN$1006:$BO$1006,0)), HYPERLINK("#",""), HYPERLINK(CONCATENATE("#Metadata!", ADDRESS(INDEX($AI$2:$AI$1001,MATCH(ROWS($AG$2:AG843),$AG$2:$AG$1001,0),0), INDEX($AN$1004:$BO$1004,1,MATCH(COLUMNS($AN$1006:AV1006),$AN$1006:$BO$1006,0)))),"Fix")))</f>
        <v>0</v>
      </c>
      <c r="K843" s="4">
        <f>IF(OR(INDEX($AH$2:$AH$1001,MATCH(ROWS($AG$2:AG843),$AG$2:$AG$1001,0),1)&gt;=100000,INDEX($AN$1005:$BO$1005,1,MATCH(COLUMNS($AN$1006:AW1006),$AN$1006:$BO$1006,0))&gt;=100000), " ",IF(INDEX($AN$2:$BO$1001,MATCH(ROWS($AG$2:AG843),$AG$2:$AG$1001,0),MATCH(COLUMNS($AN$1006:AW1006),$AN$1006:$BO$1006,0)), HYPERLINK("#",""), HYPERLINK(CONCATENATE("#Metadata!", ADDRESS(INDEX($AI$2:$AI$1001,MATCH(ROWS($AG$2:AG843),$AG$2:$AG$1001,0),0), INDEX($AN$1004:$BO$1004,1,MATCH(COLUMNS($AN$1006:AW1006),$AN$1006:$BO$1006,0)))),"Fix")))</f>
        <v>0</v>
      </c>
      <c r="L843" s="4">
        <f>IF(OR(INDEX($AH$2:$AH$1001,MATCH(ROWS($AG$2:AG843),$AG$2:$AG$1001,0),1)&gt;=100000,INDEX($AN$1005:$BO$1005,1,MATCH(COLUMNS($AN$1006:AX1006),$AN$1006:$BO$1006,0))&gt;=100000), " ",IF(INDEX($AN$2:$BO$1001,MATCH(ROWS($AG$2:AG843),$AG$2:$AG$1001,0),MATCH(COLUMNS($AN$1006:AX1006),$AN$1006:$BO$1006,0)), HYPERLINK("#",""), HYPERLINK(CONCATENATE("#Metadata!", ADDRESS(INDEX($AI$2:$AI$1001,MATCH(ROWS($AG$2:AG843),$AG$2:$AG$1001,0),0), INDEX($AN$1004:$BO$1004,1,MATCH(COLUMNS($AN$1006:AX1006),$AN$1006:$BO$1006,0)))),"Fix")))</f>
        <v>0</v>
      </c>
      <c r="M843" s="4">
        <f>IF(OR(INDEX($AH$2:$AH$1001,MATCH(ROWS($AG$2:AG843),$AG$2:$AG$1001,0),1)&gt;=100000,INDEX($AN$1005:$BO$1005,1,MATCH(COLUMNS($AN$1006:AY1006),$AN$1006:$BO$1006,0))&gt;=100000), " ",IF(INDEX($AN$2:$BO$1001,MATCH(ROWS($AG$2:AG843),$AG$2:$AG$1001,0),MATCH(COLUMNS($AN$1006:AY1006),$AN$1006:$BO$1006,0)), HYPERLINK("#",""), HYPERLINK(CONCATENATE("#Metadata!", ADDRESS(INDEX($AI$2:$AI$1001,MATCH(ROWS($AG$2:AG843),$AG$2:$AG$1001,0),0), INDEX($AN$1004:$BO$1004,1,MATCH(COLUMNS($AN$1006:AY1006),$AN$1006:$BO$1006,0)))),"Fix")))</f>
        <v>0</v>
      </c>
      <c r="N843" s="4">
        <f>IF(OR(INDEX($AH$2:$AH$1001,MATCH(ROWS($AG$2:AG843),$AG$2:$AG$1001,0),1)&gt;=100000,INDEX($AN$1005:$BO$1005,1,MATCH(COLUMNS($AN$1006:AZ1006),$AN$1006:$BO$1006,0))&gt;=100000), " ",IF(INDEX($AN$2:$BO$1001,MATCH(ROWS($AG$2:AG843),$AG$2:$AG$1001,0),MATCH(COLUMNS($AN$1006:AZ1006),$AN$1006:$BO$1006,0)), HYPERLINK("#",""), HYPERLINK(CONCATENATE("#Metadata!", ADDRESS(INDEX($AI$2:$AI$1001,MATCH(ROWS($AG$2:AG843),$AG$2:$AG$1001,0),0), INDEX($AN$1004:$BO$1004,1,MATCH(COLUMNS($AN$1006:AZ1006),$AN$1006:$BO$1006,0)))),"Fix")))</f>
        <v>0</v>
      </c>
      <c r="O843" s="4">
        <f>IF(OR(INDEX($AH$2:$AH$1001,MATCH(ROWS($AG$2:AG843),$AG$2:$AG$1001,0),1)&gt;=100000,INDEX($AN$1005:$BO$1005,1,MATCH(COLUMNS($AN$1006:BA1006),$AN$1006:$BO$1006,0))&gt;=100000), " ",IF(INDEX($AN$2:$BO$1001,MATCH(ROWS($AG$2:AG843),$AG$2:$AG$1001,0),MATCH(COLUMNS($AN$1006:BA1006),$AN$1006:$BO$1006,0)), HYPERLINK("#",""), HYPERLINK(CONCATENATE("#Metadata!", ADDRESS(INDEX($AI$2:$AI$1001,MATCH(ROWS($AG$2:AG843),$AG$2:$AG$1001,0),0), INDEX($AN$1004:$BO$1004,1,MATCH(COLUMNS($AN$1006:BA1006),$AN$1006:$BO$1006,0)))),"Fix")))</f>
        <v>0</v>
      </c>
      <c r="P843" s="4">
        <f>IF(OR(INDEX($AH$2:$AH$1001,MATCH(ROWS($AG$2:AG843),$AG$2:$AG$1001,0),1)&gt;=100000,INDEX($AN$1005:$BO$1005,1,MATCH(COLUMNS($AN$1006:BB1006),$AN$1006:$BO$1006,0))&gt;=100000), " ",IF(INDEX($AN$2:$BO$1001,MATCH(ROWS($AG$2:AG843),$AG$2:$AG$1001,0),MATCH(COLUMNS($AN$1006:BB1006),$AN$1006:$BO$1006,0)), HYPERLINK("#",""), HYPERLINK(CONCATENATE("#Metadata!", ADDRESS(INDEX($AI$2:$AI$1001,MATCH(ROWS($AG$2:AG843),$AG$2:$AG$1001,0),0), INDEX($AN$1004:$BO$1004,1,MATCH(COLUMNS($AN$1006:BB1006),$AN$1006:$BO$1006,0)))),"Fix")))</f>
        <v>0</v>
      </c>
      <c r="Q843" s="4">
        <f>IF(OR(INDEX($AH$2:$AH$1001,MATCH(ROWS($AG$2:AG843),$AG$2:$AG$1001,0),1)&gt;=100000,INDEX($AN$1005:$BO$1005,1,MATCH(COLUMNS($AN$1006:BC1006),$AN$1006:$BO$1006,0))&gt;=100000), " ",IF(INDEX($AN$2:$BO$1001,MATCH(ROWS($AG$2:AG843),$AG$2:$AG$1001,0),MATCH(COLUMNS($AN$1006:BC1006),$AN$1006:$BO$1006,0)), HYPERLINK("#",""), HYPERLINK(CONCATENATE("#Metadata!", ADDRESS(INDEX($AI$2:$AI$1001,MATCH(ROWS($AG$2:AG843),$AG$2:$AG$1001,0),0), INDEX($AN$1004:$BO$1004,1,MATCH(COLUMNS($AN$1006:BC1006),$AN$1006:$BO$1006,0)))),"Fix")))</f>
        <v>0</v>
      </c>
      <c r="R843" s="4">
        <f>IF(OR(INDEX($AH$2:$AH$1001,MATCH(ROWS($AG$2:AG843),$AG$2:$AG$1001,0),1)&gt;=100000,INDEX($AN$1005:$BO$1005,1,MATCH(COLUMNS($AN$1006:BD1006),$AN$1006:$BO$1006,0))&gt;=100000), " ",IF(INDEX($AN$2:$BO$1001,MATCH(ROWS($AG$2:AG843),$AG$2:$AG$1001,0),MATCH(COLUMNS($AN$1006:BD1006),$AN$1006:$BO$1006,0)), HYPERLINK("#",""), HYPERLINK(CONCATENATE("#Metadata!", ADDRESS(INDEX($AI$2:$AI$1001,MATCH(ROWS($AG$2:AG843),$AG$2:$AG$1001,0),0), INDEX($AN$1004:$BO$1004,1,MATCH(COLUMNS($AN$1006:BD1006),$AN$1006:$BO$1006,0)))),"Fix")))</f>
        <v>0</v>
      </c>
      <c r="S843" s="4">
        <f>IF(OR(INDEX($AH$2:$AH$1001,MATCH(ROWS($AG$2:AG843),$AG$2:$AG$1001,0),1)&gt;=100000,INDEX($AN$1005:$BO$1005,1,MATCH(COLUMNS($AN$1006:BE1006),$AN$1006:$BO$1006,0))&gt;=100000), " ",IF(INDEX($AN$2:$BO$1001,MATCH(ROWS($AG$2:AG843),$AG$2:$AG$1001,0),MATCH(COLUMNS($AN$1006:BE1006),$AN$1006:$BO$1006,0)), HYPERLINK("#",""), HYPERLINK(CONCATENATE("#Metadata!", ADDRESS(INDEX($AI$2:$AI$1001,MATCH(ROWS($AG$2:AG843),$AG$2:$AG$1001,0),0), INDEX($AN$1004:$BO$1004,1,MATCH(COLUMNS($AN$1006:BE1006),$AN$1006:$BO$1006,0)))),"Fix")))</f>
        <v>0</v>
      </c>
      <c r="T843" s="4">
        <f>IF(OR(INDEX($AH$2:$AH$1001,MATCH(ROWS($AG$2:AG843),$AG$2:$AG$1001,0),1)&gt;=100000,INDEX($AN$1005:$BO$1005,1,MATCH(COLUMNS($AN$1006:BF1006),$AN$1006:$BO$1006,0))&gt;=100000), " ",IF(INDEX($AN$2:$BO$1001,MATCH(ROWS($AG$2:AG843),$AG$2:$AG$1001,0),MATCH(COLUMNS($AN$1006:BF1006),$AN$1006:$BO$1006,0)), HYPERLINK("#",""), HYPERLINK(CONCATENATE("#Metadata!", ADDRESS(INDEX($AI$2:$AI$1001,MATCH(ROWS($AG$2:AG843),$AG$2:$AG$1001,0),0), INDEX($AN$1004:$BO$1004,1,MATCH(COLUMNS($AN$1006:BF1006),$AN$1006:$BO$1006,0)))),"Fix")))</f>
        <v>0</v>
      </c>
      <c r="U843" s="4">
        <f>IF(OR(INDEX($AH$2:$AH$1001,MATCH(ROWS($AG$2:AG843),$AG$2:$AG$1001,0),1)&gt;=100000,INDEX($AN$1005:$BO$1005,1,MATCH(COLUMNS($AN$1006:BG1006),$AN$1006:$BO$1006,0))&gt;=100000), " ",IF(INDEX($AN$2:$BO$1001,MATCH(ROWS($AG$2:AG843),$AG$2:$AG$1001,0),MATCH(COLUMNS($AN$1006:BG1006),$AN$1006:$BO$1006,0)), HYPERLINK("#",""), HYPERLINK(CONCATENATE("#Metadata!", ADDRESS(INDEX($AI$2:$AI$1001,MATCH(ROWS($AG$2:AG843),$AG$2:$AG$1001,0),0), INDEX($AN$1004:$BO$1004,1,MATCH(COLUMNS($AN$1006:BG1006),$AN$1006:$BO$1006,0)))),"Fix")))</f>
        <v>0</v>
      </c>
      <c r="V843" s="4">
        <f>IF(OR(INDEX($AH$2:$AH$1001,MATCH(ROWS($AG$2:AG843),$AG$2:$AG$1001,0),1)&gt;=100000,INDEX($AN$1005:$BO$1005,1,MATCH(COLUMNS($AN$1006:BH1006),$AN$1006:$BO$1006,0))&gt;=100000), " ",IF(INDEX($AN$2:$BO$1001,MATCH(ROWS($AG$2:AG843),$AG$2:$AG$1001,0),MATCH(COLUMNS($AN$1006:BH1006),$AN$1006:$BO$1006,0)), HYPERLINK("#",""), HYPERLINK(CONCATENATE("#Metadata!", ADDRESS(INDEX($AI$2:$AI$1001,MATCH(ROWS($AG$2:AG843),$AG$2:$AG$1001,0),0), INDEX($AN$1004:$BO$1004,1,MATCH(COLUMNS($AN$1006:BH1006),$AN$1006:$BO$1006,0)))),"Fix")))</f>
        <v>0</v>
      </c>
      <c r="W843" s="4">
        <f>IF(OR(INDEX($AH$2:$AH$1001,MATCH(ROWS($AG$2:AG843),$AG$2:$AG$1001,0),1)&gt;=100000,INDEX($AN$1005:$BO$1005,1,MATCH(COLUMNS($AN$1006:BI1006),$AN$1006:$BO$1006,0))&gt;=100000), " ",IF(INDEX($AN$2:$BO$1001,MATCH(ROWS($AG$2:AG843),$AG$2:$AG$1001,0),MATCH(COLUMNS($AN$1006:BI1006),$AN$1006:$BO$1006,0)), HYPERLINK("#",""), HYPERLINK(CONCATENATE("#Metadata!", ADDRESS(INDEX($AI$2:$AI$1001,MATCH(ROWS($AG$2:AG843),$AG$2:$AG$1001,0),0), INDEX($AN$1004:$BO$1004,1,MATCH(COLUMNS($AN$1006:BI1006),$AN$1006:$BO$1006,0)))),"Fix")))</f>
        <v>0</v>
      </c>
      <c r="X843" s="4">
        <f>IF(OR(INDEX($AH$2:$AH$1001,MATCH(ROWS($AG$2:AG843),$AG$2:$AG$1001,0),1)&gt;=100000,INDEX($AN$1005:$BO$1005,1,MATCH(COLUMNS($AN$1006:BJ1006),$AN$1006:$BO$1006,0))&gt;=100000), " ",IF(INDEX($AN$2:$BO$1001,MATCH(ROWS($AG$2:AG843),$AG$2:$AG$1001,0),MATCH(COLUMNS($AN$1006:BJ1006),$AN$1006:$BO$1006,0)), HYPERLINK("#",""), HYPERLINK(CONCATENATE("#Metadata!", ADDRESS(INDEX($AI$2:$AI$1001,MATCH(ROWS($AG$2:AG843),$AG$2:$AG$1001,0),0), INDEX($AN$1004:$BO$1004,1,MATCH(COLUMNS($AN$1006:BJ1006),$AN$1006:$BO$1006,0)))),"Fix")))</f>
        <v>0</v>
      </c>
      <c r="Y843" s="4">
        <f>IF(OR(INDEX($AH$2:$AH$1001,MATCH(ROWS($AG$2:AG843),$AG$2:$AG$1001,0),1)&gt;=100000,INDEX($AN$1005:$BO$1005,1,MATCH(COLUMNS($AN$1006:BK1006),$AN$1006:$BO$1006,0))&gt;=100000), " ",IF(INDEX($AN$2:$BO$1001,MATCH(ROWS($AG$2:AG843),$AG$2:$AG$1001,0),MATCH(COLUMNS($AN$1006:BK1006),$AN$1006:$BO$1006,0)), HYPERLINK("#",""), HYPERLINK(CONCATENATE("#Metadata!", ADDRESS(INDEX($AI$2:$AI$1001,MATCH(ROWS($AG$2:AG843),$AG$2:$AG$1001,0),0), INDEX($AN$1004:$BO$1004,1,MATCH(COLUMNS($AN$1006:BK1006),$AN$1006:$BO$1006,0)))),"Fix")))</f>
        <v>0</v>
      </c>
      <c r="Z843" s="4">
        <f>IF(OR(INDEX($AH$2:$AH$1001,MATCH(ROWS($AG$2:AG843),$AG$2:$AG$1001,0),1)&gt;=100000,INDEX($AN$1005:$BO$1005,1,MATCH(COLUMNS($AN$1006:BL1006),$AN$1006:$BO$1006,0))&gt;=100000), " ",IF(INDEX($AN$2:$BO$1001,MATCH(ROWS($AG$2:AG843),$AG$2:$AG$1001,0),MATCH(COLUMNS($AN$1006:BL1006),$AN$1006:$BO$1006,0)), HYPERLINK("#",""), HYPERLINK(CONCATENATE("#Metadata!", ADDRESS(INDEX($AI$2:$AI$1001,MATCH(ROWS($AG$2:AG843),$AG$2:$AG$1001,0),0), INDEX($AN$1004:$BO$1004,1,MATCH(COLUMNS($AN$1006:BL1006),$AN$1006:$BO$1006,0)))),"Fix")))</f>
        <v>0</v>
      </c>
      <c r="AA843" s="4">
        <f>IF(OR(INDEX($AH$2:$AH$1001,MATCH(ROWS($AG$2:AG843),$AG$2:$AG$1001,0),1)&gt;=100000,INDEX($AN$1005:$BO$1005,1,MATCH(COLUMNS($AN$1006:BM1006),$AN$1006:$BO$1006,0))&gt;=100000), " ",IF(INDEX($AN$2:$BO$1001,MATCH(ROWS($AG$2:AG843),$AG$2:$AG$1001,0),MATCH(COLUMNS($AN$1006:BM1006),$AN$1006:$BO$1006,0)), HYPERLINK("#",""), HYPERLINK(CONCATENATE("#Metadata!", ADDRESS(INDEX($AI$2:$AI$1001,MATCH(ROWS($AG$2:AG843),$AG$2:$AG$1001,0),0), INDEX($AN$1004:$BO$1004,1,MATCH(COLUMNS($AN$1006:BM1006),$AN$1006:$BO$1006,0)))),"Fix")))</f>
        <v>0</v>
      </c>
      <c r="AB843" s="4">
        <f>IF(OR(INDEX($AH$2:$AH$1001,MATCH(ROWS($AG$2:AG843),$AG$2:$AG$1001,0),1)&gt;=100000,INDEX($AN$1005:$BO$1005,1,MATCH(COLUMNS($AN$1006:BN1006),$AN$1006:$BO$1006,0))&gt;=100000), " ",IF(INDEX($AN$2:$BO$1001,MATCH(ROWS($AG$2:AG843),$AG$2:$AG$1001,0),MATCH(COLUMNS($AN$1006:BN1006),$AN$1006:$BO$1006,0)), HYPERLINK("#",""), HYPERLINK(CONCATENATE("#Metadata!", ADDRESS(INDEX($AI$2:$AI$1001,MATCH(ROWS($AG$2:AG843),$AG$2:$AG$1001,0),0), INDEX($AN$1004:$BO$1004,1,MATCH(COLUMNS($AN$1006:BN1006),$AN$1006:$BO$1006,0)))),"Fix")))</f>
        <v>0</v>
      </c>
      <c r="AC843" s="4">
        <f>IF(OR(INDEX($AH$2:$AH$1001,MATCH(ROWS($AG$2:AG843),$AG$2:$AG$1001,0),1)&gt;=100000,INDEX($AN$1005:$BO$1005,1,MATCH(COLUMNS($AN$1006:BO1006),$AN$1006:$BO$1006,0))&gt;=100000), " ",IF(INDEX($AN$2:$BO$1001,MATCH(ROWS($AG$2:AG843),$AG$2:$AG$1001,0),MATCH(COLUMNS($AN$1006:BO1006),$AN$1006:$BO$1006,0)), HYPERLINK("#",""), HYPERLINK(CONCATENATE("#Metadata!", ADDRESS(INDEX($AI$2:$AI$1001,MATCH(ROWS($AG$2:AG843),$AG$2:$AG$1001,0),0), INDEX($AN$1004:$BO$1004,1,MATCH(COLUMNS($AN$1006:BO1006),$AN$1006:$BO$1006,0)))),"Fix")))</f>
        <v>0</v>
      </c>
      <c r="AG843">
        <v>0</v>
      </c>
      <c r="AH843">
        <v>0</v>
      </c>
      <c r="AI843">
        <v>0</v>
      </c>
      <c r="AJ843">
        <f>IF(AK843,TRUE,AND(AN843:BO843))</f>
        <v>0</v>
      </c>
      <c r="AK843">
        <f>COUNTBLANK(Metadata!B843:AC843)=COLUMNS(Metadata!B843:AC843)</f>
        <v>0</v>
      </c>
      <c r="AL843">
        <v>0</v>
      </c>
      <c r="AN843">
        <f>AND(IF(Metadata!B843="",FALSE,TRUE),COUNTIF(Metadata!B:B, Metadata!B843) = 1,NOT(ISERROR(SUMPRODUCT(SEARCH(MID(Metadata!B843,ROW(INDIRECT("1:"&amp;LEN(Metadata!B843))), 1),"0123456789abcdefghijklmnopqrstuvwxyzABCDEFGHIJKLMNOPQRSTUVWXYZ.")))))</f>
        <v>0</v>
      </c>
      <c r="AO843">
        <f>IF(Metadata!C843="",FALSE,TRUE)</f>
        <v>0</v>
      </c>
      <c r="AP843">
        <f>IF(Metadata!D843="",FALSE,TRUE)</f>
        <v>0</v>
      </c>
      <c r="AQ843">
        <f>OR(AND(IF(Metadata!E843="",FALSE,TRUE),OR(exact(Metadata!E843,"not collected"),exact(Metadata!E843,"not provided"),exact(Metadata!E843,"restricted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R843">
        <f>IF(Metadata!F843="",FALSE,TRUE)</f>
        <v>0</v>
      </c>
      <c r="AS843">
        <f>OR(AND(IF(Metadata!G843="",FALSE,TRUE),OR(exact(Metadata!G843,"not collected"),exact(Metadata!G843,"not provided"))),AND(IF(Metadata!G843="",FALSE,TRUE),OR(exact(Metadata!G843,"TRUE"),exact(Metadata!G843,"FALSE"))))</f>
        <v>0</v>
      </c>
      <c r="AT843">
        <f>OR(AND(IF(Metadata!H843="",FALSE,TRUE),OR(exact(Metadata!H843,"not collected"),exact(Metadata!H843,"not provided"),exact(Metadata!H843,"restricted access"))),AND(IF(Metadata!H843="",FALSE,ISNUMBER(VALUE(Metadata!H843))),Metadata!H843&gt;=-413.0))</f>
        <v>0</v>
      </c>
      <c r="AU843">
        <f>AND(IF(Metadata!I843="",FALSE,TRUE),exact(Metadata!I843,"meters"))</f>
        <v>0</v>
      </c>
      <c r="AV843">
        <f>AND(IF(Metadata!J843="",FALSE,TRUE),OR(exact(Metadata!J843,"Host-associated"),exact(Metadata!J843,"Free-living")))</f>
        <v>0</v>
      </c>
      <c r="AW843">
        <f>AND(IF(Metadata!K843="",FALSE,TRUE),OR(exact(Metadata!K843,"Animal"),exact(Metadata!K843,"Fungus"),exact(Metadata!K843,"Plant"),exact(Metadata!K843,"Saline"),exact(Metadata!K843,"Non-saline")))</f>
        <v>0</v>
      </c>
      <c r="AX843">
        <f>AND(IF(Metadata!L843="",FALSE,TRUE),OR(exact(Metadata!L843,"Plant secretion"),exact(Metadata!L843,"Plant rhizosphere"),exact(Metadata!L843,"Plant surface"),exact(Metadata!L843,"Plant corpus"),exact(Metadata!L843,"Fungus surface"),exact(Metadata!L843,"Fungus corpus"),exact(Metadata!L843,"Animal surface"),exact(Metadata!L843,"Animal proximal gut"),exact(Metadata!L843,"Animal corpus"),exact(Metadata!L843,"Animal distal gut"),exact(Metadata!L843,"Animal secretion"),exact(Metadata!L843,"Sub-surface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Y843">
        <f>IF(Metadata!M843="",FALSE,TRUE)</f>
        <v>0</v>
      </c>
      <c r="AZ843">
        <f>IF(Metadata!N843="",FALSE,TRUE)</f>
        <v>0</v>
      </c>
      <c r="BA843">
        <f>IF(Metadata!O843="",FALSE,TRUE)</f>
        <v>0</v>
      </c>
      <c r="BB843">
        <f>OR(AND(IF(Metadata!P843="",FALSE,TRUE),OR(exact(Metadata!P843,"not collected"),exact(Metadata!P843,"not provided"),exact(Metadata!P843,"restricted access"))),AND(IF(Metadata!P843="",FALSE,TRUE),OR(exact(Metadata!P843,"air"),exact(Metadata!P843,"built environment"),exact(Metadata!P843,"host-associated"),exact(Metadata!P843,"human-associated"),exact(Metadata!P843,"human-skin"),exact(Metadata!P843,"human-oral"),exact(Metadata!P843,"human-gut"),exact(Metadata!P843,"human-vaginal"),exact(Metadata!P843,"microbial mat/biofilm"),exact(Metadata!P843,"misc environment"),exact(Metadata!P843,"plant-associated"),exact(Metadata!P843,"sediment"),exact(Metadata!P843,"soil"),exact(Metadata!P843,"wastewater/sludge"),exact(Metadata!P843,"water"))))</f>
        <v>0</v>
      </c>
      <c r="BC843">
        <f>IF(Metadata!Q843="",FALSE,TRUE)</f>
        <v>0</v>
      </c>
      <c r="BD843">
        <f>IF(Metadata!R843="",FALSE,TRUE)</f>
        <v>0</v>
      </c>
      <c r="BE843">
        <f>OR(AND(IF(Metadata!S843="",FALSE,TRUE),OR(exact(Metadata!S843,"not collected"),exact(Metadata!S843,"not provided"),exact(Metadata!S843,"restricted access"))),AND(IF(Metadata!S843="",FALSE,ISNUMBER(VALUE(Metadata!S843))),Metadata!S843&gt;=-90.00,Metadata!S843&lt;=90.00))</f>
        <v>0</v>
      </c>
      <c r="BF843">
        <f>AND(IF(Metadata!T843="",FALSE,TRUE),exact(Metadata!T843,"Decimal degrees"))</f>
        <v>0</v>
      </c>
      <c r="BG843">
        <f>OR(AND(IF(Metadata!U843="",FALSE,TRUE),OR(exact(Metadata!U843,"not collected"),exact(Metadata!U843,"not provided"),exact(Metadata!U843,"restricted access"))),AND(IF(Metadata!U843="",FALSE,ISNUMBER(VALUE(Metadata!U843))),Metadata!U843&gt;=-180.00,Metadata!U843&lt;=180.00))</f>
        <v>0</v>
      </c>
      <c r="BH843">
        <f>AND(IF(Metadata!V843="",FALSE,TRUE),exact(Metadata!V843,"Decimal degrees"))</f>
        <v>0</v>
      </c>
      <c r="BI843">
        <f>IF(Metadata!W843="",FALSE,TRUE)</f>
        <v>0</v>
      </c>
      <c r="BJ843">
        <f>OR(AND(IF(Metadata!X843="",FALSE,TRUE),OR(exact(Metadata!X843,"not collected"),exact(Metadata!X843,"not provided"),exact(Metadata!X843,"restricted access"))),AND(IF(Metadata!X843="",FALSE,TRUE),OR(exact(Metadata!X843,"TRUE"),exact(Metadata!X843,"FALSE"))))</f>
        <v>0</v>
      </c>
      <c r="BK843">
        <f>AND(IF(Metadata!Y843="",FALSE,TRUE),exact(Metadata!Y843,"other"))</f>
        <v>0</v>
      </c>
      <c r="BL843">
        <f>IF(Metadata!Z843="",FALSE,TRUE)</f>
        <v>0</v>
      </c>
      <c r="BM843">
        <f>OR(AND(IF(Metadata!AA843="",FALSE,TRUE),OR(exact(Metadata!AA843,"not collected"),exact(Metadata!AA843,"not provided"))),AND(IF(Metadata!AA843="",FALSE,IF(ISERROR(INT(Metadata!AA843)),FALSE,INT(Metadata!AA843)=Metadata!AA843)),Metadata!AA843&gt;0))</f>
        <v>0</v>
      </c>
      <c r="BN843">
        <f>AND(IF(Metadata!AB843="",FALSE,TRUE),exact(Metadata!AB843,"Not applicable"))</f>
        <v>0</v>
      </c>
      <c r="BO843">
        <f>IF(Metadata!AC843="",FALSE,TRUE)</f>
        <v>0</v>
      </c>
    </row>
    <row r="844" spans="1:67">
      <c r="A844" s="5">
        <f>IF(B844=" "," ",HYPERLINK(CONCATENATE("#metadata!",ADDRESS(INDEX($AI$2:$AI$1001,MATCH(ROWS($AG$2:AG844),$AG$2:$AG$1001,0),0),1)),INDEX($AL$2:$AL$1001,MATCH(ROWS($AG$2:AG844),$AG$2:$AG$1001,0),0)))</f>
        <v>0</v>
      </c>
      <c r="B844" s="4">
        <f>IF(OR(INDEX($AH$2:$AH$1001,MATCH(ROWS($AG$2:AG844),$AG$2:$AG$1001,0),1)&gt;=100000,INDEX($AN$1005:$BO$1005,1,MATCH(COLUMNS($AN$1006:AN1006),$AN$1006:$BO$1006,0))&gt;=100000), " ",IF(INDEX($AN$2:$BO$1001,MATCH(ROWS($AG$2:AG844),$AG$2:$AG$1001,0),MATCH(COLUMNS($AN$1006:AN1006),$AN$1006:$BO$1006,0)), HYPERLINK("#",""), HYPERLINK(CONCATENATE("#Metadata!", ADDRESS(INDEX($AI$2:$AI$1001,MATCH(ROWS($AG$2:AG844),$AG$2:$AG$1001,0),0), INDEX($AN$1004:$BO$1004,1,MATCH(COLUMNS($AN$1006:AN1006),$AN$1006:$BO$1006,0)))),"Fix")))</f>
        <v>0</v>
      </c>
      <c r="C844" s="4">
        <f>IF(OR(INDEX($AH$2:$AH$1001,MATCH(ROWS($AG$2:AG844),$AG$2:$AG$1001,0),1)&gt;=100000,INDEX($AN$1005:$BO$1005,1,MATCH(COLUMNS($AN$1006:AO1006),$AN$1006:$BO$1006,0))&gt;=100000), " ",IF(INDEX($AN$2:$BO$1001,MATCH(ROWS($AG$2:AG844),$AG$2:$AG$1001,0),MATCH(COLUMNS($AN$1006:AO1006),$AN$1006:$BO$1006,0)), HYPERLINK("#",""), HYPERLINK(CONCATENATE("#Metadata!", ADDRESS(INDEX($AI$2:$AI$1001,MATCH(ROWS($AG$2:AG844),$AG$2:$AG$1001,0),0), INDEX($AN$1004:$BO$1004,1,MATCH(COLUMNS($AN$1006:AO1006),$AN$1006:$BO$1006,0)))),"Fix")))</f>
        <v>0</v>
      </c>
      <c r="D844" s="4">
        <f>IF(OR(INDEX($AH$2:$AH$1001,MATCH(ROWS($AG$2:AG844),$AG$2:$AG$1001,0),1)&gt;=100000,INDEX($AN$1005:$BO$1005,1,MATCH(COLUMNS($AN$1006:AP1006),$AN$1006:$BO$1006,0))&gt;=100000), " ",IF(INDEX($AN$2:$BO$1001,MATCH(ROWS($AG$2:AG844),$AG$2:$AG$1001,0),MATCH(COLUMNS($AN$1006:AP1006),$AN$1006:$BO$1006,0)), HYPERLINK("#",""), HYPERLINK(CONCATENATE("#Metadata!", ADDRESS(INDEX($AI$2:$AI$1001,MATCH(ROWS($AG$2:AG844),$AG$2:$AG$1001,0),0), INDEX($AN$1004:$BO$1004,1,MATCH(COLUMNS($AN$1006:AP1006),$AN$1006:$BO$1006,0)))),"Fix")))</f>
        <v>0</v>
      </c>
      <c r="E844" s="4">
        <f>IF(OR(INDEX($AH$2:$AH$1001,MATCH(ROWS($AG$2:AG844),$AG$2:$AG$1001,0),1)&gt;=100000,INDEX($AN$1005:$BO$1005,1,MATCH(COLUMNS($AN$1006:AQ1006),$AN$1006:$BO$1006,0))&gt;=100000), " ",IF(INDEX($AN$2:$BO$1001,MATCH(ROWS($AG$2:AG844),$AG$2:$AG$1001,0),MATCH(COLUMNS($AN$1006:AQ1006),$AN$1006:$BO$1006,0)), HYPERLINK("#",""), HYPERLINK(CONCATENATE("#Metadata!", ADDRESS(INDEX($AI$2:$AI$1001,MATCH(ROWS($AG$2:AG844),$AG$2:$AG$1001,0),0), INDEX($AN$1004:$BO$1004,1,MATCH(COLUMNS($AN$1006:AQ1006),$AN$1006:$BO$1006,0)))),"Fix")))</f>
        <v>0</v>
      </c>
      <c r="F844" s="4">
        <f>IF(OR(INDEX($AH$2:$AH$1001,MATCH(ROWS($AG$2:AG844),$AG$2:$AG$1001,0),1)&gt;=100000,INDEX($AN$1005:$BO$1005,1,MATCH(COLUMNS($AN$1006:AR1006),$AN$1006:$BO$1006,0))&gt;=100000), " ",IF(INDEX($AN$2:$BO$1001,MATCH(ROWS($AG$2:AG844),$AG$2:$AG$1001,0),MATCH(COLUMNS($AN$1006:AR1006),$AN$1006:$BO$1006,0)), HYPERLINK("#",""), HYPERLINK(CONCATENATE("#Metadata!", ADDRESS(INDEX($AI$2:$AI$1001,MATCH(ROWS($AG$2:AG844),$AG$2:$AG$1001,0),0), INDEX($AN$1004:$BO$1004,1,MATCH(COLUMNS($AN$1006:AR1006),$AN$1006:$BO$1006,0)))),"Fix")))</f>
        <v>0</v>
      </c>
      <c r="G844" s="4">
        <f>IF(OR(INDEX($AH$2:$AH$1001,MATCH(ROWS($AG$2:AG844),$AG$2:$AG$1001,0),1)&gt;=100000,INDEX($AN$1005:$BO$1005,1,MATCH(COLUMNS($AN$1006:AS1006),$AN$1006:$BO$1006,0))&gt;=100000), " ",IF(INDEX($AN$2:$BO$1001,MATCH(ROWS($AG$2:AG844),$AG$2:$AG$1001,0),MATCH(COLUMNS($AN$1006:AS1006),$AN$1006:$BO$1006,0)), HYPERLINK("#",""), HYPERLINK(CONCATENATE("#Metadata!", ADDRESS(INDEX($AI$2:$AI$1001,MATCH(ROWS($AG$2:AG844),$AG$2:$AG$1001,0),0), INDEX($AN$1004:$BO$1004,1,MATCH(COLUMNS($AN$1006:AS1006),$AN$1006:$BO$1006,0)))),"Fix")))</f>
        <v>0</v>
      </c>
      <c r="H844" s="4">
        <f>IF(OR(INDEX($AH$2:$AH$1001,MATCH(ROWS($AG$2:AG844),$AG$2:$AG$1001,0),1)&gt;=100000,INDEX($AN$1005:$BO$1005,1,MATCH(COLUMNS($AN$1006:AT1006),$AN$1006:$BO$1006,0))&gt;=100000), " ",IF(INDEX($AN$2:$BO$1001,MATCH(ROWS($AG$2:AG844),$AG$2:$AG$1001,0),MATCH(COLUMNS($AN$1006:AT1006),$AN$1006:$BO$1006,0)), HYPERLINK("#",""), HYPERLINK(CONCATENATE("#Metadata!", ADDRESS(INDEX($AI$2:$AI$1001,MATCH(ROWS($AG$2:AG844),$AG$2:$AG$1001,0),0), INDEX($AN$1004:$BO$1004,1,MATCH(COLUMNS($AN$1006:AT1006),$AN$1006:$BO$1006,0)))),"Fix")))</f>
        <v>0</v>
      </c>
      <c r="I844" s="4">
        <f>IF(OR(INDEX($AH$2:$AH$1001,MATCH(ROWS($AG$2:AG844),$AG$2:$AG$1001,0),1)&gt;=100000,INDEX($AN$1005:$BO$1005,1,MATCH(COLUMNS($AN$1006:AU1006),$AN$1006:$BO$1006,0))&gt;=100000), " ",IF(INDEX($AN$2:$BO$1001,MATCH(ROWS($AG$2:AG844),$AG$2:$AG$1001,0),MATCH(COLUMNS($AN$1006:AU1006),$AN$1006:$BO$1006,0)), HYPERLINK("#",""), HYPERLINK(CONCATENATE("#Metadata!", ADDRESS(INDEX($AI$2:$AI$1001,MATCH(ROWS($AG$2:AG844),$AG$2:$AG$1001,0),0), INDEX($AN$1004:$BO$1004,1,MATCH(COLUMNS($AN$1006:AU1006),$AN$1006:$BO$1006,0)))),"Fix")))</f>
        <v>0</v>
      </c>
      <c r="J844" s="4">
        <f>IF(OR(INDEX($AH$2:$AH$1001,MATCH(ROWS($AG$2:AG844),$AG$2:$AG$1001,0),1)&gt;=100000,INDEX($AN$1005:$BO$1005,1,MATCH(COLUMNS($AN$1006:AV1006),$AN$1006:$BO$1006,0))&gt;=100000), " ",IF(INDEX($AN$2:$BO$1001,MATCH(ROWS($AG$2:AG844),$AG$2:$AG$1001,0),MATCH(COLUMNS($AN$1006:AV1006),$AN$1006:$BO$1006,0)), HYPERLINK("#",""), HYPERLINK(CONCATENATE("#Metadata!", ADDRESS(INDEX($AI$2:$AI$1001,MATCH(ROWS($AG$2:AG844),$AG$2:$AG$1001,0),0), INDEX($AN$1004:$BO$1004,1,MATCH(COLUMNS($AN$1006:AV1006),$AN$1006:$BO$1006,0)))),"Fix")))</f>
        <v>0</v>
      </c>
      <c r="K844" s="4">
        <f>IF(OR(INDEX($AH$2:$AH$1001,MATCH(ROWS($AG$2:AG844),$AG$2:$AG$1001,0),1)&gt;=100000,INDEX($AN$1005:$BO$1005,1,MATCH(COLUMNS($AN$1006:AW1006),$AN$1006:$BO$1006,0))&gt;=100000), " ",IF(INDEX($AN$2:$BO$1001,MATCH(ROWS($AG$2:AG844),$AG$2:$AG$1001,0),MATCH(COLUMNS($AN$1006:AW1006),$AN$1006:$BO$1006,0)), HYPERLINK("#",""), HYPERLINK(CONCATENATE("#Metadata!", ADDRESS(INDEX($AI$2:$AI$1001,MATCH(ROWS($AG$2:AG844),$AG$2:$AG$1001,0),0), INDEX($AN$1004:$BO$1004,1,MATCH(COLUMNS($AN$1006:AW1006),$AN$1006:$BO$1006,0)))),"Fix")))</f>
        <v>0</v>
      </c>
      <c r="L844" s="4">
        <f>IF(OR(INDEX($AH$2:$AH$1001,MATCH(ROWS($AG$2:AG844),$AG$2:$AG$1001,0),1)&gt;=100000,INDEX($AN$1005:$BO$1005,1,MATCH(COLUMNS($AN$1006:AX1006),$AN$1006:$BO$1006,0))&gt;=100000), " ",IF(INDEX($AN$2:$BO$1001,MATCH(ROWS($AG$2:AG844),$AG$2:$AG$1001,0),MATCH(COLUMNS($AN$1006:AX1006),$AN$1006:$BO$1006,0)), HYPERLINK("#",""), HYPERLINK(CONCATENATE("#Metadata!", ADDRESS(INDEX($AI$2:$AI$1001,MATCH(ROWS($AG$2:AG844),$AG$2:$AG$1001,0),0), INDEX($AN$1004:$BO$1004,1,MATCH(COLUMNS($AN$1006:AX1006),$AN$1006:$BO$1006,0)))),"Fix")))</f>
        <v>0</v>
      </c>
      <c r="M844" s="4">
        <f>IF(OR(INDEX($AH$2:$AH$1001,MATCH(ROWS($AG$2:AG844),$AG$2:$AG$1001,0),1)&gt;=100000,INDEX($AN$1005:$BO$1005,1,MATCH(COLUMNS($AN$1006:AY1006),$AN$1006:$BO$1006,0))&gt;=100000), " ",IF(INDEX($AN$2:$BO$1001,MATCH(ROWS($AG$2:AG844),$AG$2:$AG$1001,0),MATCH(COLUMNS($AN$1006:AY1006),$AN$1006:$BO$1006,0)), HYPERLINK("#",""), HYPERLINK(CONCATENATE("#Metadata!", ADDRESS(INDEX($AI$2:$AI$1001,MATCH(ROWS($AG$2:AG844),$AG$2:$AG$1001,0),0), INDEX($AN$1004:$BO$1004,1,MATCH(COLUMNS($AN$1006:AY1006),$AN$1006:$BO$1006,0)))),"Fix")))</f>
        <v>0</v>
      </c>
      <c r="N844" s="4">
        <f>IF(OR(INDEX($AH$2:$AH$1001,MATCH(ROWS($AG$2:AG844),$AG$2:$AG$1001,0),1)&gt;=100000,INDEX($AN$1005:$BO$1005,1,MATCH(COLUMNS($AN$1006:AZ1006),$AN$1006:$BO$1006,0))&gt;=100000), " ",IF(INDEX($AN$2:$BO$1001,MATCH(ROWS($AG$2:AG844),$AG$2:$AG$1001,0),MATCH(COLUMNS($AN$1006:AZ1006),$AN$1006:$BO$1006,0)), HYPERLINK("#",""), HYPERLINK(CONCATENATE("#Metadata!", ADDRESS(INDEX($AI$2:$AI$1001,MATCH(ROWS($AG$2:AG844),$AG$2:$AG$1001,0),0), INDEX($AN$1004:$BO$1004,1,MATCH(COLUMNS($AN$1006:AZ1006),$AN$1006:$BO$1006,0)))),"Fix")))</f>
        <v>0</v>
      </c>
      <c r="O844" s="4">
        <f>IF(OR(INDEX($AH$2:$AH$1001,MATCH(ROWS($AG$2:AG844),$AG$2:$AG$1001,0),1)&gt;=100000,INDEX($AN$1005:$BO$1005,1,MATCH(COLUMNS($AN$1006:BA1006),$AN$1006:$BO$1006,0))&gt;=100000), " ",IF(INDEX($AN$2:$BO$1001,MATCH(ROWS($AG$2:AG844),$AG$2:$AG$1001,0),MATCH(COLUMNS($AN$1006:BA1006),$AN$1006:$BO$1006,0)), HYPERLINK("#",""), HYPERLINK(CONCATENATE("#Metadata!", ADDRESS(INDEX($AI$2:$AI$1001,MATCH(ROWS($AG$2:AG844),$AG$2:$AG$1001,0),0), INDEX($AN$1004:$BO$1004,1,MATCH(COLUMNS($AN$1006:BA1006),$AN$1006:$BO$1006,0)))),"Fix")))</f>
        <v>0</v>
      </c>
      <c r="P844" s="4">
        <f>IF(OR(INDEX($AH$2:$AH$1001,MATCH(ROWS($AG$2:AG844),$AG$2:$AG$1001,0),1)&gt;=100000,INDEX($AN$1005:$BO$1005,1,MATCH(COLUMNS($AN$1006:BB1006),$AN$1006:$BO$1006,0))&gt;=100000), " ",IF(INDEX($AN$2:$BO$1001,MATCH(ROWS($AG$2:AG844),$AG$2:$AG$1001,0),MATCH(COLUMNS($AN$1006:BB1006),$AN$1006:$BO$1006,0)), HYPERLINK("#",""), HYPERLINK(CONCATENATE("#Metadata!", ADDRESS(INDEX($AI$2:$AI$1001,MATCH(ROWS($AG$2:AG844),$AG$2:$AG$1001,0),0), INDEX($AN$1004:$BO$1004,1,MATCH(COLUMNS($AN$1006:BB1006),$AN$1006:$BO$1006,0)))),"Fix")))</f>
        <v>0</v>
      </c>
      <c r="Q844" s="4">
        <f>IF(OR(INDEX($AH$2:$AH$1001,MATCH(ROWS($AG$2:AG844),$AG$2:$AG$1001,0),1)&gt;=100000,INDEX($AN$1005:$BO$1005,1,MATCH(COLUMNS($AN$1006:BC1006),$AN$1006:$BO$1006,0))&gt;=100000), " ",IF(INDEX($AN$2:$BO$1001,MATCH(ROWS($AG$2:AG844),$AG$2:$AG$1001,0),MATCH(COLUMNS($AN$1006:BC1006),$AN$1006:$BO$1006,0)), HYPERLINK("#",""), HYPERLINK(CONCATENATE("#Metadata!", ADDRESS(INDEX($AI$2:$AI$1001,MATCH(ROWS($AG$2:AG844),$AG$2:$AG$1001,0),0), INDEX($AN$1004:$BO$1004,1,MATCH(COLUMNS($AN$1006:BC1006),$AN$1006:$BO$1006,0)))),"Fix")))</f>
        <v>0</v>
      </c>
      <c r="R844" s="4">
        <f>IF(OR(INDEX($AH$2:$AH$1001,MATCH(ROWS($AG$2:AG844),$AG$2:$AG$1001,0),1)&gt;=100000,INDEX($AN$1005:$BO$1005,1,MATCH(COLUMNS($AN$1006:BD1006),$AN$1006:$BO$1006,0))&gt;=100000), " ",IF(INDEX($AN$2:$BO$1001,MATCH(ROWS($AG$2:AG844),$AG$2:$AG$1001,0),MATCH(COLUMNS($AN$1006:BD1006),$AN$1006:$BO$1006,0)), HYPERLINK("#",""), HYPERLINK(CONCATENATE("#Metadata!", ADDRESS(INDEX($AI$2:$AI$1001,MATCH(ROWS($AG$2:AG844),$AG$2:$AG$1001,0),0), INDEX($AN$1004:$BO$1004,1,MATCH(COLUMNS($AN$1006:BD1006),$AN$1006:$BO$1006,0)))),"Fix")))</f>
        <v>0</v>
      </c>
      <c r="S844" s="4">
        <f>IF(OR(INDEX($AH$2:$AH$1001,MATCH(ROWS($AG$2:AG844),$AG$2:$AG$1001,0),1)&gt;=100000,INDEX($AN$1005:$BO$1005,1,MATCH(COLUMNS($AN$1006:BE1006),$AN$1006:$BO$1006,0))&gt;=100000), " ",IF(INDEX($AN$2:$BO$1001,MATCH(ROWS($AG$2:AG844),$AG$2:$AG$1001,0),MATCH(COLUMNS($AN$1006:BE1006),$AN$1006:$BO$1006,0)), HYPERLINK("#",""), HYPERLINK(CONCATENATE("#Metadata!", ADDRESS(INDEX($AI$2:$AI$1001,MATCH(ROWS($AG$2:AG844),$AG$2:$AG$1001,0),0), INDEX($AN$1004:$BO$1004,1,MATCH(COLUMNS($AN$1006:BE1006),$AN$1006:$BO$1006,0)))),"Fix")))</f>
        <v>0</v>
      </c>
      <c r="T844" s="4">
        <f>IF(OR(INDEX($AH$2:$AH$1001,MATCH(ROWS($AG$2:AG844),$AG$2:$AG$1001,0),1)&gt;=100000,INDEX($AN$1005:$BO$1005,1,MATCH(COLUMNS($AN$1006:BF1006),$AN$1006:$BO$1006,0))&gt;=100000), " ",IF(INDEX($AN$2:$BO$1001,MATCH(ROWS($AG$2:AG844),$AG$2:$AG$1001,0),MATCH(COLUMNS($AN$1006:BF1006),$AN$1006:$BO$1006,0)), HYPERLINK("#",""), HYPERLINK(CONCATENATE("#Metadata!", ADDRESS(INDEX($AI$2:$AI$1001,MATCH(ROWS($AG$2:AG844),$AG$2:$AG$1001,0),0), INDEX($AN$1004:$BO$1004,1,MATCH(COLUMNS($AN$1006:BF1006),$AN$1006:$BO$1006,0)))),"Fix")))</f>
        <v>0</v>
      </c>
      <c r="U844" s="4">
        <f>IF(OR(INDEX($AH$2:$AH$1001,MATCH(ROWS($AG$2:AG844),$AG$2:$AG$1001,0),1)&gt;=100000,INDEX($AN$1005:$BO$1005,1,MATCH(COLUMNS($AN$1006:BG1006),$AN$1006:$BO$1006,0))&gt;=100000), " ",IF(INDEX($AN$2:$BO$1001,MATCH(ROWS($AG$2:AG844),$AG$2:$AG$1001,0),MATCH(COLUMNS($AN$1006:BG1006),$AN$1006:$BO$1006,0)), HYPERLINK("#",""), HYPERLINK(CONCATENATE("#Metadata!", ADDRESS(INDEX($AI$2:$AI$1001,MATCH(ROWS($AG$2:AG844),$AG$2:$AG$1001,0),0), INDEX($AN$1004:$BO$1004,1,MATCH(COLUMNS($AN$1006:BG1006),$AN$1006:$BO$1006,0)))),"Fix")))</f>
        <v>0</v>
      </c>
      <c r="V844" s="4">
        <f>IF(OR(INDEX($AH$2:$AH$1001,MATCH(ROWS($AG$2:AG844),$AG$2:$AG$1001,0),1)&gt;=100000,INDEX($AN$1005:$BO$1005,1,MATCH(COLUMNS($AN$1006:BH1006),$AN$1006:$BO$1006,0))&gt;=100000), " ",IF(INDEX($AN$2:$BO$1001,MATCH(ROWS($AG$2:AG844),$AG$2:$AG$1001,0),MATCH(COLUMNS($AN$1006:BH1006),$AN$1006:$BO$1006,0)), HYPERLINK("#",""), HYPERLINK(CONCATENATE("#Metadata!", ADDRESS(INDEX($AI$2:$AI$1001,MATCH(ROWS($AG$2:AG844),$AG$2:$AG$1001,0),0), INDEX($AN$1004:$BO$1004,1,MATCH(COLUMNS($AN$1006:BH1006),$AN$1006:$BO$1006,0)))),"Fix")))</f>
        <v>0</v>
      </c>
      <c r="W844" s="4">
        <f>IF(OR(INDEX($AH$2:$AH$1001,MATCH(ROWS($AG$2:AG844),$AG$2:$AG$1001,0),1)&gt;=100000,INDEX($AN$1005:$BO$1005,1,MATCH(COLUMNS($AN$1006:BI1006),$AN$1006:$BO$1006,0))&gt;=100000), " ",IF(INDEX($AN$2:$BO$1001,MATCH(ROWS($AG$2:AG844),$AG$2:$AG$1001,0),MATCH(COLUMNS($AN$1006:BI1006),$AN$1006:$BO$1006,0)), HYPERLINK("#",""), HYPERLINK(CONCATENATE("#Metadata!", ADDRESS(INDEX($AI$2:$AI$1001,MATCH(ROWS($AG$2:AG844),$AG$2:$AG$1001,0),0), INDEX($AN$1004:$BO$1004,1,MATCH(COLUMNS($AN$1006:BI1006),$AN$1006:$BO$1006,0)))),"Fix")))</f>
        <v>0</v>
      </c>
      <c r="X844" s="4">
        <f>IF(OR(INDEX($AH$2:$AH$1001,MATCH(ROWS($AG$2:AG844),$AG$2:$AG$1001,0),1)&gt;=100000,INDEX($AN$1005:$BO$1005,1,MATCH(COLUMNS($AN$1006:BJ1006),$AN$1006:$BO$1006,0))&gt;=100000), " ",IF(INDEX($AN$2:$BO$1001,MATCH(ROWS($AG$2:AG844),$AG$2:$AG$1001,0),MATCH(COLUMNS($AN$1006:BJ1006),$AN$1006:$BO$1006,0)), HYPERLINK("#",""), HYPERLINK(CONCATENATE("#Metadata!", ADDRESS(INDEX($AI$2:$AI$1001,MATCH(ROWS($AG$2:AG844),$AG$2:$AG$1001,0),0), INDEX($AN$1004:$BO$1004,1,MATCH(COLUMNS($AN$1006:BJ1006),$AN$1006:$BO$1006,0)))),"Fix")))</f>
        <v>0</v>
      </c>
      <c r="Y844" s="4">
        <f>IF(OR(INDEX($AH$2:$AH$1001,MATCH(ROWS($AG$2:AG844),$AG$2:$AG$1001,0),1)&gt;=100000,INDEX($AN$1005:$BO$1005,1,MATCH(COLUMNS($AN$1006:BK1006),$AN$1006:$BO$1006,0))&gt;=100000), " ",IF(INDEX($AN$2:$BO$1001,MATCH(ROWS($AG$2:AG844),$AG$2:$AG$1001,0),MATCH(COLUMNS($AN$1006:BK1006),$AN$1006:$BO$1006,0)), HYPERLINK("#",""), HYPERLINK(CONCATENATE("#Metadata!", ADDRESS(INDEX($AI$2:$AI$1001,MATCH(ROWS($AG$2:AG844),$AG$2:$AG$1001,0),0), INDEX($AN$1004:$BO$1004,1,MATCH(COLUMNS($AN$1006:BK1006),$AN$1006:$BO$1006,0)))),"Fix")))</f>
        <v>0</v>
      </c>
      <c r="Z844" s="4">
        <f>IF(OR(INDEX($AH$2:$AH$1001,MATCH(ROWS($AG$2:AG844),$AG$2:$AG$1001,0),1)&gt;=100000,INDEX($AN$1005:$BO$1005,1,MATCH(COLUMNS($AN$1006:BL1006),$AN$1006:$BO$1006,0))&gt;=100000), " ",IF(INDEX($AN$2:$BO$1001,MATCH(ROWS($AG$2:AG844),$AG$2:$AG$1001,0),MATCH(COLUMNS($AN$1006:BL1006),$AN$1006:$BO$1006,0)), HYPERLINK("#",""), HYPERLINK(CONCATENATE("#Metadata!", ADDRESS(INDEX($AI$2:$AI$1001,MATCH(ROWS($AG$2:AG844),$AG$2:$AG$1001,0),0), INDEX($AN$1004:$BO$1004,1,MATCH(COLUMNS($AN$1006:BL1006),$AN$1006:$BO$1006,0)))),"Fix")))</f>
        <v>0</v>
      </c>
      <c r="AA844" s="4">
        <f>IF(OR(INDEX($AH$2:$AH$1001,MATCH(ROWS($AG$2:AG844),$AG$2:$AG$1001,0),1)&gt;=100000,INDEX($AN$1005:$BO$1005,1,MATCH(COLUMNS($AN$1006:BM1006),$AN$1006:$BO$1006,0))&gt;=100000), " ",IF(INDEX($AN$2:$BO$1001,MATCH(ROWS($AG$2:AG844),$AG$2:$AG$1001,0),MATCH(COLUMNS($AN$1006:BM1006),$AN$1006:$BO$1006,0)), HYPERLINK("#",""), HYPERLINK(CONCATENATE("#Metadata!", ADDRESS(INDEX($AI$2:$AI$1001,MATCH(ROWS($AG$2:AG844),$AG$2:$AG$1001,0),0), INDEX($AN$1004:$BO$1004,1,MATCH(COLUMNS($AN$1006:BM1006),$AN$1006:$BO$1006,0)))),"Fix")))</f>
        <v>0</v>
      </c>
      <c r="AB844" s="4">
        <f>IF(OR(INDEX($AH$2:$AH$1001,MATCH(ROWS($AG$2:AG844),$AG$2:$AG$1001,0),1)&gt;=100000,INDEX($AN$1005:$BO$1005,1,MATCH(COLUMNS($AN$1006:BN1006),$AN$1006:$BO$1006,0))&gt;=100000), " ",IF(INDEX($AN$2:$BO$1001,MATCH(ROWS($AG$2:AG844),$AG$2:$AG$1001,0),MATCH(COLUMNS($AN$1006:BN1006),$AN$1006:$BO$1006,0)), HYPERLINK("#",""), HYPERLINK(CONCATENATE("#Metadata!", ADDRESS(INDEX($AI$2:$AI$1001,MATCH(ROWS($AG$2:AG844),$AG$2:$AG$1001,0),0), INDEX($AN$1004:$BO$1004,1,MATCH(COLUMNS($AN$1006:BN1006),$AN$1006:$BO$1006,0)))),"Fix")))</f>
        <v>0</v>
      </c>
      <c r="AC844" s="4">
        <f>IF(OR(INDEX($AH$2:$AH$1001,MATCH(ROWS($AG$2:AG844),$AG$2:$AG$1001,0),1)&gt;=100000,INDEX($AN$1005:$BO$1005,1,MATCH(COLUMNS($AN$1006:BO1006),$AN$1006:$BO$1006,0))&gt;=100000), " ",IF(INDEX($AN$2:$BO$1001,MATCH(ROWS($AG$2:AG844),$AG$2:$AG$1001,0),MATCH(COLUMNS($AN$1006:BO1006),$AN$1006:$BO$1006,0)), HYPERLINK("#",""), HYPERLINK(CONCATENATE("#Metadata!", ADDRESS(INDEX($AI$2:$AI$1001,MATCH(ROWS($AG$2:AG844),$AG$2:$AG$1001,0),0), INDEX($AN$1004:$BO$1004,1,MATCH(COLUMNS($AN$1006:BO1006),$AN$1006:$BO$1006,0)))),"Fix")))</f>
        <v>0</v>
      </c>
      <c r="AG844">
        <v>0</v>
      </c>
      <c r="AH844">
        <v>0</v>
      </c>
      <c r="AI844">
        <v>0</v>
      </c>
      <c r="AJ844">
        <f>IF(AK844,TRUE,AND(AN844:BO844))</f>
        <v>0</v>
      </c>
      <c r="AK844">
        <f>COUNTBLANK(Metadata!B844:AC844)=COLUMNS(Metadata!B844:AC844)</f>
        <v>0</v>
      </c>
      <c r="AL844">
        <v>0</v>
      </c>
      <c r="AN844">
        <f>AND(IF(Metadata!B844="",FALSE,TRUE),COUNTIF(Metadata!B:B, Metadata!B844) = 1,NOT(ISERROR(SUMPRODUCT(SEARCH(MID(Metadata!B844,ROW(INDIRECT("1:"&amp;LEN(Metadata!B844))), 1),"0123456789abcdefghijklmnopqrstuvwxyzABCDEFGHIJKLMNOPQRSTUVWXYZ.")))))</f>
        <v>0</v>
      </c>
      <c r="AO844">
        <f>IF(Metadata!C844="",FALSE,TRUE)</f>
        <v>0</v>
      </c>
      <c r="AP844">
        <f>IF(Metadata!D844="",FALSE,TRUE)</f>
        <v>0</v>
      </c>
      <c r="AQ844">
        <f>OR(AND(IF(Metadata!E844="",FALSE,TRUE),OR(exact(Metadata!E844,"not collected"),exact(Metadata!E844,"not provided"),exact(Metadata!E844,"restricted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R844">
        <f>IF(Metadata!F844="",FALSE,TRUE)</f>
        <v>0</v>
      </c>
      <c r="AS844">
        <f>OR(AND(IF(Metadata!G844="",FALSE,TRUE),OR(exact(Metadata!G844,"not collected"),exact(Metadata!G844,"not provided"))),AND(IF(Metadata!G844="",FALSE,TRUE),OR(exact(Metadata!G844,"TRUE"),exact(Metadata!G844,"FALSE"))))</f>
        <v>0</v>
      </c>
      <c r="AT844">
        <f>OR(AND(IF(Metadata!H844="",FALSE,TRUE),OR(exact(Metadata!H844,"not collected"),exact(Metadata!H844,"not provided"),exact(Metadata!H844,"restricted access"))),AND(IF(Metadata!H844="",FALSE,ISNUMBER(VALUE(Metadata!H844))),Metadata!H844&gt;=-413.0))</f>
        <v>0</v>
      </c>
      <c r="AU844">
        <f>AND(IF(Metadata!I844="",FALSE,TRUE),exact(Metadata!I844,"meters"))</f>
        <v>0</v>
      </c>
      <c r="AV844">
        <f>AND(IF(Metadata!J844="",FALSE,TRUE),OR(exact(Metadata!J844,"Host-associated"),exact(Metadata!J844,"Free-living")))</f>
        <v>0</v>
      </c>
      <c r="AW844">
        <f>AND(IF(Metadata!K844="",FALSE,TRUE),OR(exact(Metadata!K844,"Animal"),exact(Metadata!K844,"Fungus"),exact(Metadata!K844,"Plant"),exact(Metadata!K844,"Saline"),exact(Metadata!K844,"Non-saline")))</f>
        <v>0</v>
      </c>
      <c r="AX844">
        <f>AND(IF(Metadata!L844="",FALSE,TRUE),OR(exact(Metadata!L844,"Plant secretion"),exact(Metadata!L844,"Plant rhizosphere"),exact(Metadata!L844,"Plant surface"),exact(Metadata!L844,"Plant corpus"),exact(Metadata!L844,"Fungus surface"),exact(Metadata!L844,"Fungus corpus"),exact(Metadata!L844,"Animal surface"),exact(Metadata!L844,"Animal proximal gut"),exact(Metadata!L844,"Animal corpus"),exact(Metadata!L844,"Animal distal gut"),exact(Metadata!L844,"Animal secretion"),exact(Metadata!L844,"Sub-surface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Y844">
        <f>IF(Metadata!M844="",FALSE,TRUE)</f>
        <v>0</v>
      </c>
      <c r="AZ844">
        <f>IF(Metadata!N844="",FALSE,TRUE)</f>
        <v>0</v>
      </c>
      <c r="BA844">
        <f>IF(Metadata!O844="",FALSE,TRUE)</f>
        <v>0</v>
      </c>
      <c r="BB844">
        <f>OR(AND(IF(Metadata!P844="",FALSE,TRUE),OR(exact(Metadata!P844,"not collected"),exact(Metadata!P844,"not provided"),exact(Metadata!P844,"restricted access"))),AND(IF(Metadata!P844="",FALSE,TRUE),OR(exact(Metadata!P844,"air"),exact(Metadata!P844,"built environment"),exact(Metadata!P844,"host-associated"),exact(Metadata!P844,"human-associated"),exact(Metadata!P844,"human-skin"),exact(Metadata!P844,"human-oral"),exact(Metadata!P844,"human-gut"),exact(Metadata!P844,"human-vaginal"),exact(Metadata!P844,"microbial mat/biofilm"),exact(Metadata!P844,"misc environment"),exact(Metadata!P844,"plant-associated"),exact(Metadata!P844,"sediment"),exact(Metadata!P844,"soil"),exact(Metadata!P844,"wastewater/sludge"),exact(Metadata!P844,"water"))))</f>
        <v>0</v>
      </c>
      <c r="BC844">
        <f>IF(Metadata!Q844="",FALSE,TRUE)</f>
        <v>0</v>
      </c>
      <c r="BD844">
        <f>IF(Metadata!R844="",FALSE,TRUE)</f>
        <v>0</v>
      </c>
      <c r="BE844">
        <f>OR(AND(IF(Metadata!S844="",FALSE,TRUE),OR(exact(Metadata!S844,"not collected"),exact(Metadata!S844,"not provided"),exact(Metadata!S844,"restricted access"))),AND(IF(Metadata!S844="",FALSE,ISNUMBER(VALUE(Metadata!S844))),Metadata!S844&gt;=-90.00,Metadata!S844&lt;=90.00))</f>
        <v>0</v>
      </c>
      <c r="BF844">
        <f>AND(IF(Metadata!T844="",FALSE,TRUE),exact(Metadata!T844,"Decimal degrees"))</f>
        <v>0</v>
      </c>
      <c r="BG844">
        <f>OR(AND(IF(Metadata!U844="",FALSE,TRUE),OR(exact(Metadata!U844,"not collected"),exact(Metadata!U844,"not provided"),exact(Metadata!U844,"restricted access"))),AND(IF(Metadata!U844="",FALSE,ISNUMBER(VALUE(Metadata!U844))),Metadata!U844&gt;=-180.00,Metadata!U844&lt;=180.00))</f>
        <v>0</v>
      </c>
      <c r="BH844">
        <f>AND(IF(Metadata!V844="",FALSE,TRUE),exact(Metadata!V844,"Decimal degrees"))</f>
        <v>0</v>
      </c>
      <c r="BI844">
        <f>IF(Metadata!W844="",FALSE,TRUE)</f>
        <v>0</v>
      </c>
      <c r="BJ844">
        <f>OR(AND(IF(Metadata!X844="",FALSE,TRUE),OR(exact(Metadata!X844,"not collected"),exact(Metadata!X844,"not provided"),exact(Metadata!X844,"restricted access"))),AND(IF(Metadata!X844="",FALSE,TRUE),OR(exact(Metadata!X844,"TRUE"),exact(Metadata!X844,"FALSE"))))</f>
        <v>0</v>
      </c>
      <c r="BK844">
        <f>AND(IF(Metadata!Y844="",FALSE,TRUE),exact(Metadata!Y844,"other"))</f>
        <v>0</v>
      </c>
      <c r="BL844">
        <f>IF(Metadata!Z844="",FALSE,TRUE)</f>
        <v>0</v>
      </c>
      <c r="BM844">
        <f>OR(AND(IF(Metadata!AA844="",FALSE,TRUE),OR(exact(Metadata!AA844,"not collected"),exact(Metadata!AA844,"not provided"))),AND(IF(Metadata!AA844="",FALSE,IF(ISERROR(INT(Metadata!AA844)),FALSE,INT(Metadata!AA844)=Metadata!AA844)),Metadata!AA844&gt;0))</f>
        <v>0</v>
      </c>
      <c r="BN844">
        <f>AND(IF(Metadata!AB844="",FALSE,TRUE),exact(Metadata!AB844,"Not applicable"))</f>
        <v>0</v>
      </c>
      <c r="BO844">
        <f>IF(Metadata!AC844="",FALSE,TRUE)</f>
        <v>0</v>
      </c>
    </row>
    <row r="845" spans="1:67">
      <c r="A845" s="5">
        <f>IF(B845=" "," ",HYPERLINK(CONCATENATE("#metadata!",ADDRESS(INDEX($AI$2:$AI$1001,MATCH(ROWS($AG$2:AG845),$AG$2:$AG$1001,0),0),1)),INDEX($AL$2:$AL$1001,MATCH(ROWS($AG$2:AG845),$AG$2:$AG$1001,0),0)))</f>
        <v>0</v>
      </c>
      <c r="B845" s="4">
        <f>IF(OR(INDEX($AH$2:$AH$1001,MATCH(ROWS($AG$2:AG845),$AG$2:$AG$1001,0),1)&gt;=100000,INDEX($AN$1005:$BO$1005,1,MATCH(COLUMNS($AN$1006:AN1006),$AN$1006:$BO$1006,0))&gt;=100000), " ",IF(INDEX($AN$2:$BO$1001,MATCH(ROWS($AG$2:AG845),$AG$2:$AG$1001,0),MATCH(COLUMNS($AN$1006:AN1006),$AN$1006:$BO$1006,0)), HYPERLINK("#",""), HYPERLINK(CONCATENATE("#Metadata!", ADDRESS(INDEX($AI$2:$AI$1001,MATCH(ROWS($AG$2:AG845),$AG$2:$AG$1001,0),0), INDEX($AN$1004:$BO$1004,1,MATCH(COLUMNS($AN$1006:AN1006),$AN$1006:$BO$1006,0)))),"Fix")))</f>
        <v>0</v>
      </c>
      <c r="C845" s="4">
        <f>IF(OR(INDEX($AH$2:$AH$1001,MATCH(ROWS($AG$2:AG845),$AG$2:$AG$1001,0),1)&gt;=100000,INDEX($AN$1005:$BO$1005,1,MATCH(COLUMNS($AN$1006:AO1006),$AN$1006:$BO$1006,0))&gt;=100000), " ",IF(INDEX($AN$2:$BO$1001,MATCH(ROWS($AG$2:AG845),$AG$2:$AG$1001,0),MATCH(COLUMNS($AN$1006:AO1006),$AN$1006:$BO$1006,0)), HYPERLINK("#",""), HYPERLINK(CONCATENATE("#Metadata!", ADDRESS(INDEX($AI$2:$AI$1001,MATCH(ROWS($AG$2:AG845),$AG$2:$AG$1001,0),0), INDEX($AN$1004:$BO$1004,1,MATCH(COLUMNS($AN$1006:AO1006),$AN$1006:$BO$1006,0)))),"Fix")))</f>
        <v>0</v>
      </c>
      <c r="D845" s="4">
        <f>IF(OR(INDEX($AH$2:$AH$1001,MATCH(ROWS($AG$2:AG845),$AG$2:$AG$1001,0),1)&gt;=100000,INDEX($AN$1005:$BO$1005,1,MATCH(COLUMNS($AN$1006:AP1006),$AN$1006:$BO$1006,0))&gt;=100000), " ",IF(INDEX($AN$2:$BO$1001,MATCH(ROWS($AG$2:AG845),$AG$2:$AG$1001,0),MATCH(COLUMNS($AN$1006:AP1006),$AN$1006:$BO$1006,0)), HYPERLINK("#",""), HYPERLINK(CONCATENATE("#Metadata!", ADDRESS(INDEX($AI$2:$AI$1001,MATCH(ROWS($AG$2:AG845),$AG$2:$AG$1001,0),0), INDEX($AN$1004:$BO$1004,1,MATCH(COLUMNS($AN$1006:AP1006),$AN$1006:$BO$1006,0)))),"Fix")))</f>
        <v>0</v>
      </c>
      <c r="E845" s="4">
        <f>IF(OR(INDEX($AH$2:$AH$1001,MATCH(ROWS($AG$2:AG845),$AG$2:$AG$1001,0),1)&gt;=100000,INDEX($AN$1005:$BO$1005,1,MATCH(COLUMNS($AN$1006:AQ1006),$AN$1006:$BO$1006,0))&gt;=100000), " ",IF(INDEX($AN$2:$BO$1001,MATCH(ROWS($AG$2:AG845),$AG$2:$AG$1001,0),MATCH(COLUMNS($AN$1006:AQ1006),$AN$1006:$BO$1006,0)), HYPERLINK("#",""), HYPERLINK(CONCATENATE("#Metadata!", ADDRESS(INDEX($AI$2:$AI$1001,MATCH(ROWS($AG$2:AG845),$AG$2:$AG$1001,0),0), INDEX($AN$1004:$BO$1004,1,MATCH(COLUMNS($AN$1006:AQ1006),$AN$1006:$BO$1006,0)))),"Fix")))</f>
        <v>0</v>
      </c>
      <c r="F845" s="4">
        <f>IF(OR(INDEX($AH$2:$AH$1001,MATCH(ROWS($AG$2:AG845),$AG$2:$AG$1001,0),1)&gt;=100000,INDEX($AN$1005:$BO$1005,1,MATCH(COLUMNS($AN$1006:AR1006),$AN$1006:$BO$1006,0))&gt;=100000), " ",IF(INDEX($AN$2:$BO$1001,MATCH(ROWS($AG$2:AG845),$AG$2:$AG$1001,0),MATCH(COLUMNS($AN$1006:AR1006),$AN$1006:$BO$1006,0)), HYPERLINK("#",""), HYPERLINK(CONCATENATE("#Metadata!", ADDRESS(INDEX($AI$2:$AI$1001,MATCH(ROWS($AG$2:AG845),$AG$2:$AG$1001,0),0), INDEX($AN$1004:$BO$1004,1,MATCH(COLUMNS($AN$1006:AR1006),$AN$1006:$BO$1006,0)))),"Fix")))</f>
        <v>0</v>
      </c>
      <c r="G845" s="4">
        <f>IF(OR(INDEX($AH$2:$AH$1001,MATCH(ROWS($AG$2:AG845),$AG$2:$AG$1001,0),1)&gt;=100000,INDEX($AN$1005:$BO$1005,1,MATCH(COLUMNS($AN$1006:AS1006),$AN$1006:$BO$1006,0))&gt;=100000), " ",IF(INDEX($AN$2:$BO$1001,MATCH(ROWS($AG$2:AG845),$AG$2:$AG$1001,0),MATCH(COLUMNS($AN$1006:AS1006),$AN$1006:$BO$1006,0)), HYPERLINK("#",""), HYPERLINK(CONCATENATE("#Metadata!", ADDRESS(INDEX($AI$2:$AI$1001,MATCH(ROWS($AG$2:AG845),$AG$2:$AG$1001,0),0), INDEX($AN$1004:$BO$1004,1,MATCH(COLUMNS($AN$1006:AS1006),$AN$1006:$BO$1006,0)))),"Fix")))</f>
        <v>0</v>
      </c>
      <c r="H845" s="4">
        <f>IF(OR(INDEX($AH$2:$AH$1001,MATCH(ROWS($AG$2:AG845),$AG$2:$AG$1001,0),1)&gt;=100000,INDEX($AN$1005:$BO$1005,1,MATCH(COLUMNS($AN$1006:AT1006),$AN$1006:$BO$1006,0))&gt;=100000), " ",IF(INDEX($AN$2:$BO$1001,MATCH(ROWS($AG$2:AG845),$AG$2:$AG$1001,0),MATCH(COLUMNS($AN$1006:AT1006),$AN$1006:$BO$1006,0)), HYPERLINK("#",""), HYPERLINK(CONCATENATE("#Metadata!", ADDRESS(INDEX($AI$2:$AI$1001,MATCH(ROWS($AG$2:AG845),$AG$2:$AG$1001,0),0), INDEX($AN$1004:$BO$1004,1,MATCH(COLUMNS($AN$1006:AT1006),$AN$1006:$BO$1006,0)))),"Fix")))</f>
        <v>0</v>
      </c>
      <c r="I845" s="4">
        <f>IF(OR(INDEX($AH$2:$AH$1001,MATCH(ROWS($AG$2:AG845),$AG$2:$AG$1001,0),1)&gt;=100000,INDEX($AN$1005:$BO$1005,1,MATCH(COLUMNS($AN$1006:AU1006),$AN$1006:$BO$1006,0))&gt;=100000), " ",IF(INDEX($AN$2:$BO$1001,MATCH(ROWS($AG$2:AG845),$AG$2:$AG$1001,0),MATCH(COLUMNS($AN$1006:AU1006),$AN$1006:$BO$1006,0)), HYPERLINK("#",""), HYPERLINK(CONCATENATE("#Metadata!", ADDRESS(INDEX($AI$2:$AI$1001,MATCH(ROWS($AG$2:AG845),$AG$2:$AG$1001,0),0), INDEX($AN$1004:$BO$1004,1,MATCH(COLUMNS($AN$1006:AU1006),$AN$1006:$BO$1006,0)))),"Fix")))</f>
        <v>0</v>
      </c>
      <c r="J845" s="4">
        <f>IF(OR(INDEX($AH$2:$AH$1001,MATCH(ROWS($AG$2:AG845),$AG$2:$AG$1001,0),1)&gt;=100000,INDEX($AN$1005:$BO$1005,1,MATCH(COLUMNS($AN$1006:AV1006),$AN$1006:$BO$1006,0))&gt;=100000), " ",IF(INDEX($AN$2:$BO$1001,MATCH(ROWS($AG$2:AG845),$AG$2:$AG$1001,0),MATCH(COLUMNS($AN$1006:AV1006),$AN$1006:$BO$1006,0)), HYPERLINK("#",""), HYPERLINK(CONCATENATE("#Metadata!", ADDRESS(INDEX($AI$2:$AI$1001,MATCH(ROWS($AG$2:AG845),$AG$2:$AG$1001,0),0), INDEX($AN$1004:$BO$1004,1,MATCH(COLUMNS($AN$1006:AV1006),$AN$1006:$BO$1006,0)))),"Fix")))</f>
        <v>0</v>
      </c>
      <c r="K845" s="4">
        <f>IF(OR(INDEX($AH$2:$AH$1001,MATCH(ROWS($AG$2:AG845),$AG$2:$AG$1001,0),1)&gt;=100000,INDEX($AN$1005:$BO$1005,1,MATCH(COLUMNS($AN$1006:AW1006),$AN$1006:$BO$1006,0))&gt;=100000), " ",IF(INDEX($AN$2:$BO$1001,MATCH(ROWS($AG$2:AG845),$AG$2:$AG$1001,0),MATCH(COLUMNS($AN$1006:AW1006),$AN$1006:$BO$1006,0)), HYPERLINK("#",""), HYPERLINK(CONCATENATE("#Metadata!", ADDRESS(INDEX($AI$2:$AI$1001,MATCH(ROWS($AG$2:AG845),$AG$2:$AG$1001,0),0), INDEX($AN$1004:$BO$1004,1,MATCH(COLUMNS($AN$1006:AW1006),$AN$1006:$BO$1006,0)))),"Fix")))</f>
        <v>0</v>
      </c>
      <c r="L845" s="4">
        <f>IF(OR(INDEX($AH$2:$AH$1001,MATCH(ROWS($AG$2:AG845),$AG$2:$AG$1001,0),1)&gt;=100000,INDEX($AN$1005:$BO$1005,1,MATCH(COLUMNS($AN$1006:AX1006),$AN$1006:$BO$1006,0))&gt;=100000), " ",IF(INDEX($AN$2:$BO$1001,MATCH(ROWS($AG$2:AG845),$AG$2:$AG$1001,0),MATCH(COLUMNS($AN$1006:AX1006),$AN$1006:$BO$1006,0)), HYPERLINK("#",""), HYPERLINK(CONCATENATE("#Metadata!", ADDRESS(INDEX($AI$2:$AI$1001,MATCH(ROWS($AG$2:AG845),$AG$2:$AG$1001,0),0), INDEX($AN$1004:$BO$1004,1,MATCH(COLUMNS($AN$1006:AX1006),$AN$1006:$BO$1006,0)))),"Fix")))</f>
        <v>0</v>
      </c>
      <c r="M845" s="4">
        <f>IF(OR(INDEX($AH$2:$AH$1001,MATCH(ROWS($AG$2:AG845),$AG$2:$AG$1001,0),1)&gt;=100000,INDEX($AN$1005:$BO$1005,1,MATCH(COLUMNS($AN$1006:AY1006),$AN$1006:$BO$1006,0))&gt;=100000), " ",IF(INDEX($AN$2:$BO$1001,MATCH(ROWS($AG$2:AG845),$AG$2:$AG$1001,0),MATCH(COLUMNS($AN$1006:AY1006),$AN$1006:$BO$1006,0)), HYPERLINK("#",""), HYPERLINK(CONCATENATE("#Metadata!", ADDRESS(INDEX($AI$2:$AI$1001,MATCH(ROWS($AG$2:AG845),$AG$2:$AG$1001,0),0), INDEX($AN$1004:$BO$1004,1,MATCH(COLUMNS($AN$1006:AY1006),$AN$1006:$BO$1006,0)))),"Fix")))</f>
        <v>0</v>
      </c>
      <c r="N845" s="4">
        <f>IF(OR(INDEX($AH$2:$AH$1001,MATCH(ROWS($AG$2:AG845),$AG$2:$AG$1001,0),1)&gt;=100000,INDEX($AN$1005:$BO$1005,1,MATCH(COLUMNS($AN$1006:AZ1006),$AN$1006:$BO$1006,0))&gt;=100000), " ",IF(INDEX($AN$2:$BO$1001,MATCH(ROWS($AG$2:AG845),$AG$2:$AG$1001,0),MATCH(COLUMNS($AN$1006:AZ1006),$AN$1006:$BO$1006,0)), HYPERLINK("#",""), HYPERLINK(CONCATENATE("#Metadata!", ADDRESS(INDEX($AI$2:$AI$1001,MATCH(ROWS($AG$2:AG845),$AG$2:$AG$1001,0),0), INDEX($AN$1004:$BO$1004,1,MATCH(COLUMNS($AN$1006:AZ1006),$AN$1006:$BO$1006,0)))),"Fix")))</f>
        <v>0</v>
      </c>
      <c r="O845" s="4">
        <f>IF(OR(INDEX($AH$2:$AH$1001,MATCH(ROWS($AG$2:AG845),$AG$2:$AG$1001,0),1)&gt;=100000,INDEX($AN$1005:$BO$1005,1,MATCH(COLUMNS($AN$1006:BA1006),$AN$1006:$BO$1006,0))&gt;=100000), " ",IF(INDEX($AN$2:$BO$1001,MATCH(ROWS($AG$2:AG845),$AG$2:$AG$1001,0),MATCH(COLUMNS($AN$1006:BA1006),$AN$1006:$BO$1006,0)), HYPERLINK("#",""), HYPERLINK(CONCATENATE("#Metadata!", ADDRESS(INDEX($AI$2:$AI$1001,MATCH(ROWS($AG$2:AG845),$AG$2:$AG$1001,0),0), INDEX($AN$1004:$BO$1004,1,MATCH(COLUMNS($AN$1006:BA1006),$AN$1006:$BO$1006,0)))),"Fix")))</f>
        <v>0</v>
      </c>
      <c r="P845" s="4">
        <f>IF(OR(INDEX($AH$2:$AH$1001,MATCH(ROWS($AG$2:AG845),$AG$2:$AG$1001,0),1)&gt;=100000,INDEX($AN$1005:$BO$1005,1,MATCH(COLUMNS($AN$1006:BB1006),$AN$1006:$BO$1006,0))&gt;=100000), " ",IF(INDEX($AN$2:$BO$1001,MATCH(ROWS($AG$2:AG845),$AG$2:$AG$1001,0),MATCH(COLUMNS($AN$1006:BB1006),$AN$1006:$BO$1006,0)), HYPERLINK("#",""), HYPERLINK(CONCATENATE("#Metadata!", ADDRESS(INDEX($AI$2:$AI$1001,MATCH(ROWS($AG$2:AG845),$AG$2:$AG$1001,0),0), INDEX($AN$1004:$BO$1004,1,MATCH(COLUMNS($AN$1006:BB1006),$AN$1006:$BO$1006,0)))),"Fix")))</f>
        <v>0</v>
      </c>
      <c r="Q845" s="4">
        <f>IF(OR(INDEX($AH$2:$AH$1001,MATCH(ROWS($AG$2:AG845),$AG$2:$AG$1001,0),1)&gt;=100000,INDEX($AN$1005:$BO$1005,1,MATCH(COLUMNS($AN$1006:BC1006),$AN$1006:$BO$1006,0))&gt;=100000), " ",IF(INDEX($AN$2:$BO$1001,MATCH(ROWS($AG$2:AG845),$AG$2:$AG$1001,0),MATCH(COLUMNS($AN$1006:BC1006),$AN$1006:$BO$1006,0)), HYPERLINK("#",""), HYPERLINK(CONCATENATE("#Metadata!", ADDRESS(INDEX($AI$2:$AI$1001,MATCH(ROWS($AG$2:AG845),$AG$2:$AG$1001,0),0), INDEX($AN$1004:$BO$1004,1,MATCH(COLUMNS($AN$1006:BC1006),$AN$1006:$BO$1006,0)))),"Fix")))</f>
        <v>0</v>
      </c>
      <c r="R845" s="4">
        <f>IF(OR(INDEX($AH$2:$AH$1001,MATCH(ROWS($AG$2:AG845),$AG$2:$AG$1001,0),1)&gt;=100000,INDEX($AN$1005:$BO$1005,1,MATCH(COLUMNS($AN$1006:BD1006),$AN$1006:$BO$1006,0))&gt;=100000), " ",IF(INDEX($AN$2:$BO$1001,MATCH(ROWS($AG$2:AG845),$AG$2:$AG$1001,0),MATCH(COLUMNS($AN$1006:BD1006),$AN$1006:$BO$1006,0)), HYPERLINK("#",""), HYPERLINK(CONCATENATE("#Metadata!", ADDRESS(INDEX($AI$2:$AI$1001,MATCH(ROWS($AG$2:AG845),$AG$2:$AG$1001,0),0), INDEX($AN$1004:$BO$1004,1,MATCH(COLUMNS($AN$1006:BD1006),$AN$1006:$BO$1006,0)))),"Fix")))</f>
        <v>0</v>
      </c>
      <c r="S845" s="4">
        <f>IF(OR(INDEX($AH$2:$AH$1001,MATCH(ROWS($AG$2:AG845),$AG$2:$AG$1001,0),1)&gt;=100000,INDEX($AN$1005:$BO$1005,1,MATCH(COLUMNS($AN$1006:BE1006),$AN$1006:$BO$1006,0))&gt;=100000), " ",IF(INDEX($AN$2:$BO$1001,MATCH(ROWS($AG$2:AG845),$AG$2:$AG$1001,0),MATCH(COLUMNS($AN$1006:BE1006),$AN$1006:$BO$1006,0)), HYPERLINK("#",""), HYPERLINK(CONCATENATE("#Metadata!", ADDRESS(INDEX($AI$2:$AI$1001,MATCH(ROWS($AG$2:AG845),$AG$2:$AG$1001,0),0), INDEX($AN$1004:$BO$1004,1,MATCH(COLUMNS($AN$1006:BE1006),$AN$1006:$BO$1006,0)))),"Fix")))</f>
        <v>0</v>
      </c>
      <c r="T845" s="4">
        <f>IF(OR(INDEX($AH$2:$AH$1001,MATCH(ROWS($AG$2:AG845),$AG$2:$AG$1001,0),1)&gt;=100000,INDEX($AN$1005:$BO$1005,1,MATCH(COLUMNS($AN$1006:BF1006),$AN$1006:$BO$1006,0))&gt;=100000), " ",IF(INDEX($AN$2:$BO$1001,MATCH(ROWS($AG$2:AG845),$AG$2:$AG$1001,0),MATCH(COLUMNS($AN$1006:BF1006),$AN$1006:$BO$1006,0)), HYPERLINK("#",""), HYPERLINK(CONCATENATE("#Metadata!", ADDRESS(INDEX($AI$2:$AI$1001,MATCH(ROWS($AG$2:AG845),$AG$2:$AG$1001,0),0), INDEX($AN$1004:$BO$1004,1,MATCH(COLUMNS($AN$1006:BF1006),$AN$1006:$BO$1006,0)))),"Fix")))</f>
        <v>0</v>
      </c>
      <c r="U845" s="4">
        <f>IF(OR(INDEX($AH$2:$AH$1001,MATCH(ROWS($AG$2:AG845),$AG$2:$AG$1001,0),1)&gt;=100000,INDEX($AN$1005:$BO$1005,1,MATCH(COLUMNS($AN$1006:BG1006),$AN$1006:$BO$1006,0))&gt;=100000), " ",IF(INDEX($AN$2:$BO$1001,MATCH(ROWS($AG$2:AG845),$AG$2:$AG$1001,0),MATCH(COLUMNS($AN$1006:BG1006),$AN$1006:$BO$1006,0)), HYPERLINK("#",""), HYPERLINK(CONCATENATE("#Metadata!", ADDRESS(INDEX($AI$2:$AI$1001,MATCH(ROWS($AG$2:AG845),$AG$2:$AG$1001,0),0), INDEX($AN$1004:$BO$1004,1,MATCH(COLUMNS($AN$1006:BG1006),$AN$1006:$BO$1006,0)))),"Fix")))</f>
        <v>0</v>
      </c>
      <c r="V845" s="4">
        <f>IF(OR(INDEX($AH$2:$AH$1001,MATCH(ROWS($AG$2:AG845),$AG$2:$AG$1001,0),1)&gt;=100000,INDEX($AN$1005:$BO$1005,1,MATCH(COLUMNS($AN$1006:BH1006),$AN$1006:$BO$1006,0))&gt;=100000), " ",IF(INDEX($AN$2:$BO$1001,MATCH(ROWS($AG$2:AG845),$AG$2:$AG$1001,0),MATCH(COLUMNS($AN$1006:BH1006),$AN$1006:$BO$1006,0)), HYPERLINK("#",""), HYPERLINK(CONCATENATE("#Metadata!", ADDRESS(INDEX($AI$2:$AI$1001,MATCH(ROWS($AG$2:AG845),$AG$2:$AG$1001,0),0), INDEX($AN$1004:$BO$1004,1,MATCH(COLUMNS($AN$1006:BH1006),$AN$1006:$BO$1006,0)))),"Fix")))</f>
        <v>0</v>
      </c>
      <c r="W845" s="4">
        <f>IF(OR(INDEX($AH$2:$AH$1001,MATCH(ROWS($AG$2:AG845),$AG$2:$AG$1001,0),1)&gt;=100000,INDEX($AN$1005:$BO$1005,1,MATCH(COLUMNS($AN$1006:BI1006),$AN$1006:$BO$1006,0))&gt;=100000), " ",IF(INDEX($AN$2:$BO$1001,MATCH(ROWS($AG$2:AG845),$AG$2:$AG$1001,0),MATCH(COLUMNS($AN$1006:BI1006),$AN$1006:$BO$1006,0)), HYPERLINK("#",""), HYPERLINK(CONCATENATE("#Metadata!", ADDRESS(INDEX($AI$2:$AI$1001,MATCH(ROWS($AG$2:AG845),$AG$2:$AG$1001,0),0), INDEX($AN$1004:$BO$1004,1,MATCH(COLUMNS($AN$1006:BI1006),$AN$1006:$BO$1006,0)))),"Fix")))</f>
        <v>0</v>
      </c>
      <c r="X845" s="4">
        <f>IF(OR(INDEX($AH$2:$AH$1001,MATCH(ROWS($AG$2:AG845),$AG$2:$AG$1001,0),1)&gt;=100000,INDEX($AN$1005:$BO$1005,1,MATCH(COLUMNS($AN$1006:BJ1006),$AN$1006:$BO$1006,0))&gt;=100000), " ",IF(INDEX($AN$2:$BO$1001,MATCH(ROWS($AG$2:AG845),$AG$2:$AG$1001,0),MATCH(COLUMNS($AN$1006:BJ1006),$AN$1006:$BO$1006,0)), HYPERLINK("#",""), HYPERLINK(CONCATENATE("#Metadata!", ADDRESS(INDEX($AI$2:$AI$1001,MATCH(ROWS($AG$2:AG845),$AG$2:$AG$1001,0),0), INDEX($AN$1004:$BO$1004,1,MATCH(COLUMNS($AN$1006:BJ1006),$AN$1006:$BO$1006,0)))),"Fix")))</f>
        <v>0</v>
      </c>
      <c r="Y845" s="4">
        <f>IF(OR(INDEX($AH$2:$AH$1001,MATCH(ROWS($AG$2:AG845),$AG$2:$AG$1001,0),1)&gt;=100000,INDEX($AN$1005:$BO$1005,1,MATCH(COLUMNS($AN$1006:BK1006),$AN$1006:$BO$1006,0))&gt;=100000), " ",IF(INDEX($AN$2:$BO$1001,MATCH(ROWS($AG$2:AG845),$AG$2:$AG$1001,0),MATCH(COLUMNS($AN$1006:BK1006),$AN$1006:$BO$1006,0)), HYPERLINK("#",""), HYPERLINK(CONCATENATE("#Metadata!", ADDRESS(INDEX($AI$2:$AI$1001,MATCH(ROWS($AG$2:AG845),$AG$2:$AG$1001,0),0), INDEX($AN$1004:$BO$1004,1,MATCH(COLUMNS($AN$1006:BK1006),$AN$1006:$BO$1006,0)))),"Fix")))</f>
        <v>0</v>
      </c>
      <c r="Z845" s="4">
        <f>IF(OR(INDEX($AH$2:$AH$1001,MATCH(ROWS($AG$2:AG845),$AG$2:$AG$1001,0),1)&gt;=100000,INDEX($AN$1005:$BO$1005,1,MATCH(COLUMNS($AN$1006:BL1006),$AN$1006:$BO$1006,0))&gt;=100000), " ",IF(INDEX($AN$2:$BO$1001,MATCH(ROWS($AG$2:AG845),$AG$2:$AG$1001,0),MATCH(COLUMNS($AN$1006:BL1006),$AN$1006:$BO$1006,0)), HYPERLINK("#",""), HYPERLINK(CONCATENATE("#Metadata!", ADDRESS(INDEX($AI$2:$AI$1001,MATCH(ROWS($AG$2:AG845),$AG$2:$AG$1001,0),0), INDEX($AN$1004:$BO$1004,1,MATCH(COLUMNS($AN$1006:BL1006),$AN$1006:$BO$1006,0)))),"Fix")))</f>
        <v>0</v>
      </c>
      <c r="AA845" s="4">
        <f>IF(OR(INDEX($AH$2:$AH$1001,MATCH(ROWS($AG$2:AG845),$AG$2:$AG$1001,0),1)&gt;=100000,INDEX($AN$1005:$BO$1005,1,MATCH(COLUMNS($AN$1006:BM1006),$AN$1006:$BO$1006,0))&gt;=100000), " ",IF(INDEX($AN$2:$BO$1001,MATCH(ROWS($AG$2:AG845),$AG$2:$AG$1001,0),MATCH(COLUMNS($AN$1006:BM1006),$AN$1006:$BO$1006,0)), HYPERLINK("#",""), HYPERLINK(CONCATENATE("#Metadata!", ADDRESS(INDEX($AI$2:$AI$1001,MATCH(ROWS($AG$2:AG845),$AG$2:$AG$1001,0),0), INDEX($AN$1004:$BO$1004,1,MATCH(COLUMNS($AN$1006:BM1006),$AN$1006:$BO$1006,0)))),"Fix")))</f>
        <v>0</v>
      </c>
      <c r="AB845" s="4">
        <f>IF(OR(INDEX($AH$2:$AH$1001,MATCH(ROWS($AG$2:AG845),$AG$2:$AG$1001,0),1)&gt;=100000,INDEX($AN$1005:$BO$1005,1,MATCH(COLUMNS($AN$1006:BN1006),$AN$1006:$BO$1006,0))&gt;=100000), " ",IF(INDEX($AN$2:$BO$1001,MATCH(ROWS($AG$2:AG845),$AG$2:$AG$1001,0),MATCH(COLUMNS($AN$1006:BN1006),$AN$1006:$BO$1006,0)), HYPERLINK("#",""), HYPERLINK(CONCATENATE("#Metadata!", ADDRESS(INDEX($AI$2:$AI$1001,MATCH(ROWS($AG$2:AG845),$AG$2:$AG$1001,0),0), INDEX($AN$1004:$BO$1004,1,MATCH(COLUMNS($AN$1006:BN1006),$AN$1006:$BO$1006,0)))),"Fix")))</f>
        <v>0</v>
      </c>
      <c r="AC845" s="4">
        <f>IF(OR(INDEX($AH$2:$AH$1001,MATCH(ROWS($AG$2:AG845),$AG$2:$AG$1001,0),1)&gt;=100000,INDEX($AN$1005:$BO$1005,1,MATCH(COLUMNS($AN$1006:BO1006),$AN$1006:$BO$1006,0))&gt;=100000), " ",IF(INDEX($AN$2:$BO$1001,MATCH(ROWS($AG$2:AG845),$AG$2:$AG$1001,0),MATCH(COLUMNS($AN$1006:BO1006),$AN$1006:$BO$1006,0)), HYPERLINK("#",""), HYPERLINK(CONCATENATE("#Metadata!", ADDRESS(INDEX($AI$2:$AI$1001,MATCH(ROWS($AG$2:AG845),$AG$2:$AG$1001,0),0), INDEX($AN$1004:$BO$1004,1,MATCH(COLUMNS($AN$1006:BO1006),$AN$1006:$BO$1006,0)))),"Fix")))</f>
        <v>0</v>
      </c>
      <c r="AG845">
        <v>0</v>
      </c>
      <c r="AH845">
        <v>0</v>
      </c>
      <c r="AI845">
        <v>0</v>
      </c>
      <c r="AJ845">
        <f>IF(AK845,TRUE,AND(AN845:BO845))</f>
        <v>0</v>
      </c>
      <c r="AK845">
        <f>COUNTBLANK(Metadata!B845:AC845)=COLUMNS(Metadata!B845:AC845)</f>
        <v>0</v>
      </c>
      <c r="AL845">
        <v>0</v>
      </c>
      <c r="AN845">
        <f>AND(IF(Metadata!B845="",FALSE,TRUE),COUNTIF(Metadata!B:B, Metadata!B845) = 1,NOT(ISERROR(SUMPRODUCT(SEARCH(MID(Metadata!B845,ROW(INDIRECT("1:"&amp;LEN(Metadata!B845))), 1),"0123456789abcdefghijklmnopqrstuvwxyzABCDEFGHIJKLMNOPQRSTUVWXYZ.")))))</f>
        <v>0</v>
      </c>
      <c r="AO845">
        <f>IF(Metadata!C845="",FALSE,TRUE)</f>
        <v>0</v>
      </c>
      <c r="AP845">
        <f>IF(Metadata!D845="",FALSE,TRUE)</f>
        <v>0</v>
      </c>
      <c r="AQ845">
        <f>OR(AND(IF(Metadata!E845="",FALSE,TRUE),OR(exact(Metadata!E845,"not collected"),exact(Metadata!E845,"not provided"),exact(Metadata!E845,"restricted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R845">
        <f>IF(Metadata!F845="",FALSE,TRUE)</f>
        <v>0</v>
      </c>
      <c r="AS845">
        <f>OR(AND(IF(Metadata!G845="",FALSE,TRUE),OR(exact(Metadata!G845,"not collected"),exact(Metadata!G845,"not provided"))),AND(IF(Metadata!G845="",FALSE,TRUE),OR(exact(Metadata!G845,"TRUE"),exact(Metadata!G845,"FALSE"))))</f>
        <v>0</v>
      </c>
      <c r="AT845">
        <f>OR(AND(IF(Metadata!H845="",FALSE,TRUE),OR(exact(Metadata!H845,"not collected"),exact(Metadata!H845,"not provided"),exact(Metadata!H845,"restricted access"))),AND(IF(Metadata!H845="",FALSE,ISNUMBER(VALUE(Metadata!H845))),Metadata!H845&gt;=-413.0))</f>
        <v>0</v>
      </c>
      <c r="AU845">
        <f>AND(IF(Metadata!I845="",FALSE,TRUE),exact(Metadata!I845,"meters"))</f>
        <v>0</v>
      </c>
      <c r="AV845">
        <f>AND(IF(Metadata!J845="",FALSE,TRUE),OR(exact(Metadata!J845,"Host-associated"),exact(Metadata!J845,"Free-living")))</f>
        <v>0</v>
      </c>
      <c r="AW845">
        <f>AND(IF(Metadata!K845="",FALSE,TRUE),OR(exact(Metadata!K845,"Animal"),exact(Metadata!K845,"Fungus"),exact(Metadata!K845,"Plant"),exact(Metadata!K845,"Saline"),exact(Metadata!K845,"Non-saline")))</f>
        <v>0</v>
      </c>
      <c r="AX845">
        <f>AND(IF(Metadata!L845="",FALSE,TRUE),OR(exact(Metadata!L845,"Plant secretion"),exact(Metadata!L845,"Plant rhizosphere"),exact(Metadata!L845,"Plant surface"),exact(Metadata!L845,"Plant corpus"),exact(Metadata!L845,"Fungus surface"),exact(Metadata!L845,"Fungus corpus"),exact(Metadata!L845,"Animal surface"),exact(Metadata!L845,"Animal proximal gut"),exact(Metadata!L845,"Animal corpus"),exact(Metadata!L845,"Animal distal gut"),exact(Metadata!L845,"Animal secretion"),exact(Metadata!L845,"Sub-surface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Y845">
        <f>IF(Metadata!M845="",FALSE,TRUE)</f>
        <v>0</v>
      </c>
      <c r="AZ845">
        <f>IF(Metadata!N845="",FALSE,TRUE)</f>
        <v>0</v>
      </c>
      <c r="BA845">
        <f>IF(Metadata!O845="",FALSE,TRUE)</f>
        <v>0</v>
      </c>
      <c r="BB845">
        <f>OR(AND(IF(Metadata!P845="",FALSE,TRUE),OR(exact(Metadata!P845,"not collected"),exact(Metadata!P845,"not provided"),exact(Metadata!P845,"restricted access"))),AND(IF(Metadata!P845="",FALSE,TRUE),OR(exact(Metadata!P845,"air"),exact(Metadata!P845,"built environment"),exact(Metadata!P845,"host-associated"),exact(Metadata!P845,"human-associated"),exact(Metadata!P845,"human-skin"),exact(Metadata!P845,"human-oral"),exact(Metadata!P845,"human-gut"),exact(Metadata!P845,"human-vaginal"),exact(Metadata!P845,"microbial mat/biofilm"),exact(Metadata!P845,"misc environment"),exact(Metadata!P845,"plant-associated"),exact(Metadata!P845,"sediment"),exact(Metadata!P845,"soil"),exact(Metadata!P845,"wastewater/sludge"),exact(Metadata!P845,"water"))))</f>
        <v>0</v>
      </c>
      <c r="BC845">
        <f>IF(Metadata!Q845="",FALSE,TRUE)</f>
        <v>0</v>
      </c>
      <c r="BD845">
        <f>IF(Metadata!R845="",FALSE,TRUE)</f>
        <v>0</v>
      </c>
      <c r="BE845">
        <f>OR(AND(IF(Metadata!S845="",FALSE,TRUE),OR(exact(Metadata!S845,"not collected"),exact(Metadata!S845,"not provided"),exact(Metadata!S845,"restricted access"))),AND(IF(Metadata!S845="",FALSE,ISNUMBER(VALUE(Metadata!S845))),Metadata!S845&gt;=-90.00,Metadata!S845&lt;=90.00))</f>
        <v>0</v>
      </c>
      <c r="BF845">
        <f>AND(IF(Metadata!T845="",FALSE,TRUE),exact(Metadata!T845,"Decimal degrees"))</f>
        <v>0</v>
      </c>
      <c r="BG845">
        <f>OR(AND(IF(Metadata!U845="",FALSE,TRUE),OR(exact(Metadata!U845,"not collected"),exact(Metadata!U845,"not provided"),exact(Metadata!U845,"restricted access"))),AND(IF(Metadata!U845="",FALSE,ISNUMBER(VALUE(Metadata!U845))),Metadata!U845&gt;=-180.00,Metadata!U845&lt;=180.00))</f>
        <v>0</v>
      </c>
      <c r="BH845">
        <f>AND(IF(Metadata!V845="",FALSE,TRUE),exact(Metadata!V845,"Decimal degrees"))</f>
        <v>0</v>
      </c>
      <c r="BI845">
        <f>IF(Metadata!W845="",FALSE,TRUE)</f>
        <v>0</v>
      </c>
      <c r="BJ845">
        <f>OR(AND(IF(Metadata!X845="",FALSE,TRUE),OR(exact(Metadata!X845,"not collected"),exact(Metadata!X845,"not provided"),exact(Metadata!X845,"restricted access"))),AND(IF(Metadata!X845="",FALSE,TRUE),OR(exact(Metadata!X845,"TRUE"),exact(Metadata!X845,"FALSE"))))</f>
        <v>0</v>
      </c>
      <c r="BK845">
        <f>AND(IF(Metadata!Y845="",FALSE,TRUE),exact(Metadata!Y845,"other"))</f>
        <v>0</v>
      </c>
      <c r="BL845">
        <f>IF(Metadata!Z845="",FALSE,TRUE)</f>
        <v>0</v>
      </c>
      <c r="BM845">
        <f>OR(AND(IF(Metadata!AA845="",FALSE,TRUE),OR(exact(Metadata!AA845,"not collected"),exact(Metadata!AA845,"not provided"))),AND(IF(Metadata!AA845="",FALSE,IF(ISERROR(INT(Metadata!AA845)),FALSE,INT(Metadata!AA845)=Metadata!AA845)),Metadata!AA845&gt;0))</f>
        <v>0</v>
      </c>
      <c r="BN845">
        <f>AND(IF(Metadata!AB845="",FALSE,TRUE),exact(Metadata!AB845,"Not applicable"))</f>
        <v>0</v>
      </c>
      <c r="BO845">
        <f>IF(Metadata!AC845="",FALSE,TRUE)</f>
        <v>0</v>
      </c>
    </row>
    <row r="846" spans="1:67">
      <c r="A846" s="5">
        <f>IF(B846=" "," ",HYPERLINK(CONCATENATE("#metadata!",ADDRESS(INDEX($AI$2:$AI$1001,MATCH(ROWS($AG$2:AG846),$AG$2:$AG$1001,0),0),1)),INDEX($AL$2:$AL$1001,MATCH(ROWS($AG$2:AG846),$AG$2:$AG$1001,0),0)))</f>
        <v>0</v>
      </c>
      <c r="B846" s="4">
        <f>IF(OR(INDEX($AH$2:$AH$1001,MATCH(ROWS($AG$2:AG846),$AG$2:$AG$1001,0),1)&gt;=100000,INDEX($AN$1005:$BO$1005,1,MATCH(COLUMNS($AN$1006:AN1006),$AN$1006:$BO$1006,0))&gt;=100000), " ",IF(INDEX($AN$2:$BO$1001,MATCH(ROWS($AG$2:AG846),$AG$2:$AG$1001,0),MATCH(COLUMNS($AN$1006:AN1006),$AN$1006:$BO$1006,0)), HYPERLINK("#",""), HYPERLINK(CONCATENATE("#Metadata!", ADDRESS(INDEX($AI$2:$AI$1001,MATCH(ROWS($AG$2:AG846),$AG$2:$AG$1001,0),0), INDEX($AN$1004:$BO$1004,1,MATCH(COLUMNS($AN$1006:AN1006),$AN$1006:$BO$1006,0)))),"Fix")))</f>
        <v>0</v>
      </c>
      <c r="C846" s="4">
        <f>IF(OR(INDEX($AH$2:$AH$1001,MATCH(ROWS($AG$2:AG846),$AG$2:$AG$1001,0),1)&gt;=100000,INDEX($AN$1005:$BO$1005,1,MATCH(COLUMNS($AN$1006:AO1006),$AN$1006:$BO$1006,0))&gt;=100000), " ",IF(INDEX($AN$2:$BO$1001,MATCH(ROWS($AG$2:AG846),$AG$2:$AG$1001,0),MATCH(COLUMNS($AN$1006:AO1006),$AN$1006:$BO$1006,0)), HYPERLINK("#",""), HYPERLINK(CONCATENATE("#Metadata!", ADDRESS(INDEX($AI$2:$AI$1001,MATCH(ROWS($AG$2:AG846),$AG$2:$AG$1001,0),0), INDEX($AN$1004:$BO$1004,1,MATCH(COLUMNS($AN$1006:AO1006),$AN$1006:$BO$1006,0)))),"Fix")))</f>
        <v>0</v>
      </c>
      <c r="D846" s="4">
        <f>IF(OR(INDEX($AH$2:$AH$1001,MATCH(ROWS($AG$2:AG846),$AG$2:$AG$1001,0),1)&gt;=100000,INDEX($AN$1005:$BO$1005,1,MATCH(COLUMNS($AN$1006:AP1006),$AN$1006:$BO$1006,0))&gt;=100000), " ",IF(INDEX($AN$2:$BO$1001,MATCH(ROWS($AG$2:AG846),$AG$2:$AG$1001,0),MATCH(COLUMNS($AN$1006:AP1006),$AN$1006:$BO$1006,0)), HYPERLINK("#",""), HYPERLINK(CONCATENATE("#Metadata!", ADDRESS(INDEX($AI$2:$AI$1001,MATCH(ROWS($AG$2:AG846),$AG$2:$AG$1001,0),0), INDEX($AN$1004:$BO$1004,1,MATCH(COLUMNS($AN$1006:AP1006),$AN$1006:$BO$1006,0)))),"Fix")))</f>
        <v>0</v>
      </c>
      <c r="E846" s="4">
        <f>IF(OR(INDEX($AH$2:$AH$1001,MATCH(ROWS($AG$2:AG846),$AG$2:$AG$1001,0),1)&gt;=100000,INDEX($AN$1005:$BO$1005,1,MATCH(COLUMNS($AN$1006:AQ1006),$AN$1006:$BO$1006,0))&gt;=100000), " ",IF(INDEX($AN$2:$BO$1001,MATCH(ROWS($AG$2:AG846),$AG$2:$AG$1001,0),MATCH(COLUMNS($AN$1006:AQ1006),$AN$1006:$BO$1006,0)), HYPERLINK("#",""), HYPERLINK(CONCATENATE("#Metadata!", ADDRESS(INDEX($AI$2:$AI$1001,MATCH(ROWS($AG$2:AG846),$AG$2:$AG$1001,0),0), INDEX($AN$1004:$BO$1004,1,MATCH(COLUMNS($AN$1006:AQ1006),$AN$1006:$BO$1006,0)))),"Fix")))</f>
        <v>0</v>
      </c>
      <c r="F846" s="4">
        <f>IF(OR(INDEX($AH$2:$AH$1001,MATCH(ROWS($AG$2:AG846),$AG$2:$AG$1001,0),1)&gt;=100000,INDEX($AN$1005:$BO$1005,1,MATCH(COLUMNS($AN$1006:AR1006),$AN$1006:$BO$1006,0))&gt;=100000), " ",IF(INDEX($AN$2:$BO$1001,MATCH(ROWS($AG$2:AG846),$AG$2:$AG$1001,0),MATCH(COLUMNS($AN$1006:AR1006),$AN$1006:$BO$1006,0)), HYPERLINK("#",""), HYPERLINK(CONCATENATE("#Metadata!", ADDRESS(INDEX($AI$2:$AI$1001,MATCH(ROWS($AG$2:AG846),$AG$2:$AG$1001,0),0), INDEX($AN$1004:$BO$1004,1,MATCH(COLUMNS($AN$1006:AR1006),$AN$1006:$BO$1006,0)))),"Fix")))</f>
        <v>0</v>
      </c>
      <c r="G846" s="4">
        <f>IF(OR(INDEX($AH$2:$AH$1001,MATCH(ROWS($AG$2:AG846),$AG$2:$AG$1001,0),1)&gt;=100000,INDEX($AN$1005:$BO$1005,1,MATCH(COLUMNS($AN$1006:AS1006),$AN$1006:$BO$1006,0))&gt;=100000), " ",IF(INDEX($AN$2:$BO$1001,MATCH(ROWS($AG$2:AG846),$AG$2:$AG$1001,0),MATCH(COLUMNS($AN$1006:AS1006),$AN$1006:$BO$1006,0)), HYPERLINK("#",""), HYPERLINK(CONCATENATE("#Metadata!", ADDRESS(INDEX($AI$2:$AI$1001,MATCH(ROWS($AG$2:AG846),$AG$2:$AG$1001,0),0), INDEX($AN$1004:$BO$1004,1,MATCH(COLUMNS($AN$1006:AS1006),$AN$1006:$BO$1006,0)))),"Fix")))</f>
        <v>0</v>
      </c>
      <c r="H846" s="4">
        <f>IF(OR(INDEX($AH$2:$AH$1001,MATCH(ROWS($AG$2:AG846),$AG$2:$AG$1001,0),1)&gt;=100000,INDEX($AN$1005:$BO$1005,1,MATCH(COLUMNS($AN$1006:AT1006),$AN$1006:$BO$1006,0))&gt;=100000), " ",IF(INDEX($AN$2:$BO$1001,MATCH(ROWS($AG$2:AG846),$AG$2:$AG$1001,0),MATCH(COLUMNS($AN$1006:AT1006),$AN$1006:$BO$1006,0)), HYPERLINK("#",""), HYPERLINK(CONCATENATE("#Metadata!", ADDRESS(INDEX($AI$2:$AI$1001,MATCH(ROWS($AG$2:AG846),$AG$2:$AG$1001,0),0), INDEX($AN$1004:$BO$1004,1,MATCH(COLUMNS($AN$1006:AT1006),$AN$1006:$BO$1006,0)))),"Fix")))</f>
        <v>0</v>
      </c>
      <c r="I846" s="4">
        <f>IF(OR(INDEX($AH$2:$AH$1001,MATCH(ROWS($AG$2:AG846),$AG$2:$AG$1001,0),1)&gt;=100000,INDEX($AN$1005:$BO$1005,1,MATCH(COLUMNS($AN$1006:AU1006),$AN$1006:$BO$1006,0))&gt;=100000), " ",IF(INDEX($AN$2:$BO$1001,MATCH(ROWS($AG$2:AG846),$AG$2:$AG$1001,0),MATCH(COLUMNS($AN$1006:AU1006),$AN$1006:$BO$1006,0)), HYPERLINK("#",""), HYPERLINK(CONCATENATE("#Metadata!", ADDRESS(INDEX($AI$2:$AI$1001,MATCH(ROWS($AG$2:AG846),$AG$2:$AG$1001,0),0), INDEX($AN$1004:$BO$1004,1,MATCH(COLUMNS($AN$1006:AU1006),$AN$1006:$BO$1006,0)))),"Fix")))</f>
        <v>0</v>
      </c>
      <c r="J846" s="4">
        <f>IF(OR(INDEX($AH$2:$AH$1001,MATCH(ROWS($AG$2:AG846),$AG$2:$AG$1001,0),1)&gt;=100000,INDEX($AN$1005:$BO$1005,1,MATCH(COLUMNS($AN$1006:AV1006),$AN$1006:$BO$1006,0))&gt;=100000), " ",IF(INDEX($AN$2:$BO$1001,MATCH(ROWS($AG$2:AG846),$AG$2:$AG$1001,0),MATCH(COLUMNS($AN$1006:AV1006),$AN$1006:$BO$1006,0)), HYPERLINK("#",""), HYPERLINK(CONCATENATE("#Metadata!", ADDRESS(INDEX($AI$2:$AI$1001,MATCH(ROWS($AG$2:AG846),$AG$2:$AG$1001,0),0), INDEX($AN$1004:$BO$1004,1,MATCH(COLUMNS($AN$1006:AV1006),$AN$1006:$BO$1006,0)))),"Fix")))</f>
        <v>0</v>
      </c>
      <c r="K846" s="4">
        <f>IF(OR(INDEX($AH$2:$AH$1001,MATCH(ROWS($AG$2:AG846),$AG$2:$AG$1001,0),1)&gt;=100000,INDEX($AN$1005:$BO$1005,1,MATCH(COLUMNS($AN$1006:AW1006),$AN$1006:$BO$1006,0))&gt;=100000), " ",IF(INDEX($AN$2:$BO$1001,MATCH(ROWS($AG$2:AG846),$AG$2:$AG$1001,0),MATCH(COLUMNS($AN$1006:AW1006),$AN$1006:$BO$1006,0)), HYPERLINK("#",""), HYPERLINK(CONCATENATE("#Metadata!", ADDRESS(INDEX($AI$2:$AI$1001,MATCH(ROWS($AG$2:AG846),$AG$2:$AG$1001,0),0), INDEX($AN$1004:$BO$1004,1,MATCH(COLUMNS($AN$1006:AW1006),$AN$1006:$BO$1006,0)))),"Fix")))</f>
        <v>0</v>
      </c>
      <c r="L846" s="4">
        <f>IF(OR(INDEX($AH$2:$AH$1001,MATCH(ROWS($AG$2:AG846),$AG$2:$AG$1001,0),1)&gt;=100000,INDEX($AN$1005:$BO$1005,1,MATCH(COLUMNS($AN$1006:AX1006),$AN$1006:$BO$1006,0))&gt;=100000), " ",IF(INDEX($AN$2:$BO$1001,MATCH(ROWS($AG$2:AG846),$AG$2:$AG$1001,0),MATCH(COLUMNS($AN$1006:AX1006),$AN$1006:$BO$1006,0)), HYPERLINK("#",""), HYPERLINK(CONCATENATE("#Metadata!", ADDRESS(INDEX($AI$2:$AI$1001,MATCH(ROWS($AG$2:AG846),$AG$2:$AG$1001,0),0), INDEX($AN$1004:$BO$1004,1,MATCH(COLUMNS($AN$1006:AX1006),$AN$1006:$BO$1006,0)))),"Fix")))</f>
        <v>0</v>
      </c>
      <c r="M846" s="4">
        <f>IF(OR(INDEX($AH$2:$AH$1001,MATCH(ROWS($AG$2:AG846),$AG$2:$AG$1001,0),1)&gt;=100000,INDEX($AN$1005:$BO$1005,1,MATCH(COLUMNS($AN$1006:AY1006),$AN$1006:$BO$1006,0))&gt;=100000), " ",IF(INDEX($AN$2:$BO$1001,MATCH(ROWS($AG$2:AG846),$AG$2:$AG$1001,0),MATCH(COLUMNS($AN$1006:AY1006),$AN$1006:$BO$1006,0)), HYPERLINK("#",""), HYPERLINK(CONCATENATE("#Metadata!", ADDRESS(INDEX($AI$2:$AI$1001,MATCH(ROWS($AG$2:AG846),$AG$2:$AG$1001,0),0), INDEX($AN$1004:$BO$1004,1,MATCH(COLUMNS($AN$1006:AY1006),$AN$1006:$BO$1006,0)))),"Fix")))</f>
        <v>0</v>
      </c>
      <c r="N846" s="4">
        <f>IF(OR(INDEX($AH$2:$AH$1001,MATCH(ROWS($AG$2:AG846),$AG$2:$AG$1001,0),1)&gt;=100000,INDEX($AN$1005:$BO$1005,1,MATCH(COLUMNS($AN$1006:AZ1006),$AN$1006:$BO$1006,0))&gt;=100000), " ",IF(INDEX($AN$2:$BO$1001,MATCH(ROWS($AG$2:AG846),$AG$2:$AG$1001,0),MATCH(COLUMNS($AN$1006:AZ1006),$AN$1006:$BO$1006,0)), HYPERLINK("#",""), HYPERLINK(CONCATENATE("#Metadata!", ADDRESS(INDEX($AI$2:$AI$1001,MATCH(ROWS($AG$2:AG846),$AG$2:$AG$1001,0),0), INDEX($AN$1004:$BO$1004,1,MATCH(COLUMNS($AN$1006:AZ1006),$AN$1006:$BO$1006,0)))),"Fix")))</f>
        <v>0</v>
      </c>
      <c r="O846" s="4">
        <f>IF(OR(INDEX($AH$2:$AH$1001,MATCH(ROWS($AG$2:AG846),$AG$2:$AG$1001,0),1)&gt;=100000,INDEX($AN$1005:$BO$1005,1,MATCH(COLUMNS($AN$1006:BA1006),$AN$1006:$BO$1006,0))&gt;=100000), " ",IF(INDEX($AN$2:$BO$1001,MATCH(ROWS($AG$2:AG846),$AG$2:$AG$1001,0),MATCH(COLUMNS($AN$1006:BA1006),$AN$1006:$BO$1006,0)), HYPERLINK("#",""), HYPERLINK(CONCATENATE("#Metadata!", ADDRESS(INDEX($AI$2:$AI$1001,MATCH(ROWS($AG$2:AG846),$AG$2:$AG$1001,0),0), INDEX($AN$1004:$BO$1004,1,MATCH(COLUMNS($AN$1006:BA1006),$AN$1006:$BO$1006,0)))),"Fix")))</f>
        <v>0</v>
      </c>
      <c r="P846" s="4">
        <f>IF(OR(INDEX($AH$2:$AH$1001,MATCH(ROWS($AG$2:AG846),$AG$2:$AG$1001,0),1)&gt;=100000,INDEX($AN$1005:$BO$1005,1,MATCH(COLUMNS($AN$1006:BB1006),$AN$1006:$BO$1006,0))&gt;=100000), " ",IF(INDEX($AN$2:$BO$1001,MATCH(ROWS($AG$2:AG846),$AG$2:$AG$1001,0),MATCH(COLUMNS($AN$1006:BB1006),$AN$1006:$BO$1006,0)), HYPERLINK("#",""), HYPERLINK(CONCATENATE("#Metadata!", ADDRESS(INDEX($AI$2:$AI$1001,MATCH(ROWS($AG$2:AG846),$AG$2:$AG$1001,0),0), INDEX($AN$1004:$BO$1004,1,MATCH(COLUMNS($AN$1006:BB1006),$AN$1006:$BO$1006,0)))),"Fix")))</f>
        <v>0</v>
      </c>
      <c r="Q846" s="4">
        <f>IF(OR(INDEX($AH$2:$AH$1001,MATCH(ROWS($AG$2:AG846),$AG$2:$AG$1001,0),1)&gt;=100000,INDEX($AN$1005:$BO$1005,1,MATCH(COLUMNS($AN$1006:BC1006),$AN$1006:$BO$1006,0))&gt;=100000), " ",IF(INDEX($AN$2:$BO$1001,MATCH(ROWS($AG$2:AG846),$AG$2:$AG$1001,0),MATCH(COLUMNS($AN$1006:BC1006),$AN$1006:$BO$1006,0)), HYPERLINK("#",""), HYPERLINK(CONCATENATE("#Metadata!", ADDRESS(INDEX($AI$2:$AI$1001,MATCH(ROWS($AG$2:AG846),$AG$2:$AG$1001,0),0), INDEX($AN$1004:$BO$1004,1,MATCH(COLUMNS($AN$1006:BC1006),$AN$1006:$BO$1006,0)))),"Fix")))</f>
        <v>0</v>
      </c>
      <c r="R846" s="4">
        <f>IF(OR(INDEX($AH$2:$AH$1001,MATCH(ROWS($AG$2:AG846),$AG$2:$AG$1001,0),1)&gt;=100000,INDEX($AN$1005:$BO$1005,1,MATCH(COLUMNS($AN$1006:BD1006),$AN$1006:$BO$1006,0))&gt;=100000), " ",IF(INDEX($AN$2:$BO$1001,MATCH(ROWS($AG$2:AG846),$AG$2:$AG$1001,0),MATCH(COLUMNS($AN$1006:BD1006),$AN$1006:$BO$1006,0)), HYPERLINK("#",""), HYPERLINK(CONCATENATE("#Metadata!", ADDRESS(INDEX($AI$2:$AI$1001,MATCH(ROWS($AG$2:AG846),$AG$2:$AG$1001,0),0), INDEX($AN$1004:$BO$1004,1,MATCH(COLUMNS($AN$1006:BD1006),$AN$1006:$BO$1006,0)))),"Fix")))</f>
        <v>0</v>
      </c>
      <c r="S846" s="4">
        <f>IF(OR(INDEX($AH$2:$AH$1001,MATCH(ROWS($AG$2:AG846),$AG$2:$AG$1001,0),1)&gt;=100000,INDEX($AN$1005:$BO$1005,1,MATCH(COLUMNS($AN$1006:BE1006),$AN$1006:$BO$1006,0))&gt;=100000), " ",IF(INDEX($AN$2:$BO$1001,MATCH(ROWS($AG$2:AG846),$AG$2:$AG$1001,0),MATCH(COLUMNS($AN$1006:BE1006),$AN$1006:$BO$1006,0)), HYPERLINK("#",""), HYPERLINK(CONCATENATE("#Metadata!", ADDRESS(INDEX($AI$2:$AI$1001,MATCH(ROWS($AG$2:AG846),$AG$2:$AG$1001,0),0), INDEX($AN$1004:$BO$1004,1,MATCH(COLUMNS($AN$1006:BE1006),$AN$1006:$BO$1006,0)))),"Fix")))</f>
        <v>0</v>
      </c>
      <c r="T846" s="4">
        <f>IF(OR(INDEX($AH$2:$AH$1001,MATCH(ROWS($AG$2:AG846),$AG$2:$AG$1001,0),1)&gt;=100000,INDEX($AN$1005:$BO$1005,1,MATCH(COLUMNS($AN$1006:BF1006),$AN$1006:$BO$1006,0))&gt;=100000), " ",IF(INDEX($AN$2:$BO$1001,MATCH(ROWS($AG$2:AG846),$AG$2:$AG$1001,0),MATCH(COLUMNS($AN$1006:BF1006),$AN$1006:$BO$1006,0)), HYPERLINK("#",""), HYPERLINK(CONCATENATE("#Metadata!", ADDRESS(INDEX($AI$2:$AI$1001,MATCH(ROWS($AG$2:AG846),$AG$2:$AG$1001,0),0), INDEX($AN$1004:$BO$1004,1,MATCH(COLUMNS($AN$1006:BF1006),$AN$1006:$BO$1006,0)))),"Fix")))</f>
        <v>0</v>
      </c>
      <c r="U846" s="4">
        <f>IF(OR(INDEX($AH$2:$AH$1001,MATCH(ROWS($AG$2:AG846),$AG$2:$AG$1001,0),1)&gt;=100000,INDEX($AN$1005:$BO$1005,1,MATCH(COLUMNS($AN$1006:BG1006),$AN$1006:$BO$1006,0))&gt;=100000), " ",IF(INDEX($AN$2:$BO$1001,MATCH(ROWS($AG$2:AG846),$AG$2:$AG$1001,0),MATCH(COLUMNS($AN$1006:BG1006),$AN$1006:$BO$1006,0)), HYPERLINK("#",""), HYPERLINK(CONCATENATE("#Metadata!", ADDRESS(INDEX($AI$2:$AI$1001,MATCH(ROWS($AG$2:AG846),$AG$2:$AG$1001,0),0), INDEX($AN$1004:$BO$1004,1,MATCH(COLUMNS($AN$1006:BG1006),$AN$1006:$BO$1006,0)))),"Fix")))</f>
        <v>0</v>
      </c>
      <c r="V846" s="4">
        <f>IF(OR(INDEX($AH$2:$AH$1001,MATCH(ROWS($AG$2:AG846),$AG$2:$AG$1001,0),1)&gt;=100000,INDEX($AN$1005:$BO$1005,1,MATCH(COLUMNS($AN$1006:BH1006),$AN$1006:$BO$1006,0))&gt;=100000), " ",IF(INDEX($AN$2:$BO$1001,MATCH(ROWS($AG$2:AG846),$AG$2:$AG$1001,0),MATCH(COLUMNS($AN$1006:BH1006),$AN$1006:$BO$1006,0)), HYPERLINK("#",""), HYPERLINK(CONCATENATE("#Metadata!", ADDRESS(INDEX($AI$2:$AI$1001,MATCH(ROWS($AG$2:AG846),$AG$2:$AG$1001,0),0), INDEX($AN$1004:$BO$1004,1,MATCH(COLUMNS($AN$1006:BH1006),$AN$1006:$BO$1006,0)))),"Fix")))</f>
        <v>0</v>
      </c>
      <c r="W846" s="4">
        <f>IF(OR(INDEX($AH$2:$AH$1001,MATCH(ROWS($AG$2:AG846),$AG$2:$AG$1001,0),1)&gt;=100000,INDEX($AN$1005:$BO$1005,1,MATCH(COLUMNS($AN$1006:BI1006),$AN$1006:$BO$1006,0))&gt;=100000), " ",IF(INDEX($AN$2:$BO$1001,MATCH(ROWS($AG$2:AG846),$AG$2:$AG$1001,0),MATCH(COLUMNS($AN$1006:BI1006),$AN$1006:$BO$1006,0)), HYPERLINK("#",""), HYPERLINK(CONCATENATE("#Metadata!", ADDRESS(INDEX($AI$2:$AI$1001,MATCH(ROWS($AG$2:AG846),$AG$2:$AG$1001,0),0), INDEX($AN$1004:$BO$1004,1,MATCH(COLUMNS($AN$1006:BI1006),$AN$1006:$BO$1006,0)))),"Fix")))</f>
        <v>0</v>
      </c>
      <c r="X846" s="4">
        <f>IF(OR(INDEX($AH$2:$AH$1001,MATCH(ROWS($AG$2:AG846),$AG$2:$AG$1001,0),1)&gt;=100000,INDEX($AN$1005:$BO$1005,1,MATCH(COLUMNS($AN$1006:BJ1006),$AN$1006:$BO$1006,0))&gt;=100000), " ",IF(INDEX($AN$2:$BO$1001,MATCH(ROWS($AG$2:AG846),$AG$2:$AG$1001,0),MATCH(COLUMNS($AN$1006:BJ1006),$AN$1006:$BO$1006,0)), HYPERLINK("#",""), HYPERLINK(CONCATENATE("#Metadata!", ADDRESS(INDEX($AI$2:$AI$1001,MATCH(ROWS($AG$2:AG846),$AG$2:$AG$1001,0),0), INDEX($AN$1004:$BO$1004,1,MATCH(COLUMNS($AN$1006:BJ1006),$AN$1006:$BO$1006,0)))),"Fix")))</f>
        <v>0</v>
      </c>
      <c r="Y846" s="4">
        <f>IF(OR(INDEX($AH$2:$AH$1001,MATCH(ROWS($AG$2:AG846),$AG$2:$AG$1001,0),1)&gt;=100000,INDEX($AN$1005:$BO$1005,1,MATCH(COLUMNS($AN$1006:BK1006),$AN$1006:$BO$1006,0))&gt;=100000), " ",IF(INDEX($AN$2:$BO$1001,MATCH(ROWS($AG$2:AG846),$AG$2:$AG$1001,0),MATCH(COLUMNS($AN$1006:BK1006),$AN$1006:$BO$1006,0)), HYPERLINK("#",""), HYPERLINK(CONCATENATE("#Metadata!", ADDRESS(INDEX($AI$2:$AI$1001,MATCH(ROWS($AG$2:AG846),$AG$2:$AG$1001,0),0), INDEX($AN$1004:$BO$1004,1,MATCH(COLUMNS($AN$1006:BK1006),$AN$1006:$BO$1006,0)))),"Fix")))</f>
        <v>0</v>
      </c>
      <c r="Z846" s="4">
        <f>IF(OR(INDEX($AH$2:$AH$1001,MATCH(ROWS($AG$2:AG846),$AG$2:$AG$1001,0),1)&gt;=100000,INDEX($AN$1005:$BO$1005,1,MATCH(COLUMNS($AN$1006:BL1006),$AN$1006:$BO$1006,0))&gt;=100000), " ",IF(INDEX($AN$2:$BO$1001,MATCH(ROWS($AG$2:AG846),$AG$2:$AG$1001,0),MATCH(COLUMNS($AN$1006:BL1006),$AN$1006:$BO$1006,0)), HYPERLINK("#",""), HYPERLINK(CONCATENATE("#Metadata!", ADDRESS(INDEX($AI$2:$AI$1001,MATCH(ROWS($AG$2:AG846),$AG$2:$AG$1001,0),0), INDEX($AN$1004:$BO$1004,1,MATCH(COLUMNS($AN$1006:BL1006),$AN$1006:$BO$1006,0)))),"Fix")))</f>
        <v>0</v>
      </c>
      <c r="AA846" s="4">
        <f>IF(OR(INDEX($AH$2:$AH$1001,MATCH(ROWS($AG$2:AG846),$AG$2:$AG$1001,0),1)&gt;=100000,INDEX($AN$1005:$BO$1005,1,MATCH(COLUMNS($AN$1006:BM1006),$AN$1006:$BO$1006,0))&gt;=100000), " ",IF(INDEX($AN$2:$BO$1001,MATCH(ROWS($AG$2:AG846),$AG$2:$AG$1001,0),MATCH(COLUMNS($AN$1006:BM1006),$AN$1006:$BO$1006,0)), HYPERLINK("#",""), HYPERLINK(CONCATENATE("#Metadata!", ADDRESS(INDEX($AI$2:$AI$1001,MATCH(ROWS($AG$2:AG846),$AG$2:$AG$1001,0),0), INDEX($AN$1004:$BO$1004,1,MATCH(COLUMNS($AN$1006:BM1006),$AN$1006:$BO$1006,0)))),"Fix")))</f>
        <v>0</v>
      </c>
      <c r="AB846" s="4">
        <f>IF(OR(INDEX($AH$2:$AH$1001,MATCH(ROWS($AG$2:AG846),$AG$2:$AG$1001,0),1)&gt;=100000,INDEX($AN$1005:$BO$1005,1,MATCH(COLUMNS($AN$1006:BN1006),$AN$1006:$BO$1006,0))&gt;=100000), " ",IF(INDEX($AN$2:$BO$1001,MATCH(ROWS($AG$2:AG846),$AG$2:$AG$1001,0),MATCH(COLUMNS($AN$1006:BN1006),$AN$1006:$BO$1006,0)), HYPERLINK("#",""), HYPERLINK(CONCATENATE("#Metadata!", ADDRESS(INDEX($AI$2:$AI$1001,MATCH(ROWS($AG$2:AG846),$AG$2:$AG$1001,0),0), INDEX($AN$1004:$BO$1004,1,MATCH(COLUMNS($AN$1006:BN1006),$AN$1006:$BO$1006,0)))),"Fix")))</f>
        <v>0</v>
      </c>
      <c r="AC846" s="4">
        <f>IF(OR(INDEX($AH$2:$AH$1001,MATCH(ROWS($AG$2:AG846),$AG$2:$AG$1001,0),1)&gt;=100000,INDEX($AN$1005:$BO$1005,1,MATCH(COLUMNS($AN$1006:BO1006),$AN$1006:$BO$1006,0))&gt;=100000), " ",IF(INDEX($AN$2:$BO$1001,MATCH(ROWS($AG$2:AG846),$AG$2:$AG$1001,0),MATCH(COLUMNS($AN$1006:BO1006),$AN$1006:$BO$1006,0)), HYPERLINK("#",""), HYPERLINK(CONCATENATE("#Metadata!", ADDRESS(INDEX($AI$2:$AI$1001,MATCH(ROWS($AG$2:AG846),$AG$2:$AG$1001,0),0), INDEX($AN$1004:$BO$1004,1,MATCH(COLUMNS($AN$1006:BO1006),$AN$1006:$BO$1006,0)))),"Fix")))</f>
        <v>0</v>
      </c>
      <c r="AG846">
        <v>0</v>
      </c>
      <c r="AH846">
        <v>0</v>
      </c>
      <c r="AI846">
        <v>0</v>
      </c>
      <c r="AJ846">
        <f>IF(AK846,TRUE,AND(AN846:BO846))</f>
        <v>0</v>
      </c>
      <c r="AK846">
        <f>COUNTBLANK(Metadata!B846:AC846)=COLUMNS(Metadata!B846:AC846)</f>
        <v>0</v>
      </c>
      <c r="AL846">
        <v>0</v>
      </c>
      <c r="AN846">
        <f>AND(IF(Metadata!B846="",FALSE,TRUE),COUNTIF(Metadata!B:B, Metadata!B846) = 1,NOT(ISERROR(SUMPRODUCT(SEARCH(MID(Metadata!B846,ROW(INDIRECT("1:"&amp;LEN(Metadata!B846))), 1),"0123456789abcdefghijklmnopqrstuvwxyzABCDEFGHIJKLMNOPQRSTUVWXYZ.")))))</f>
        <v>0</v>
      </c>
      <c r="AO846">
        <f>IF(Metadata!C846="",FALSE,TRUE)</f>
        <v>0</v>
      </c>
      <c r="AP846">
        <f>IF(Metadata!D846="",FALSE,TRUE)</f>
        <v>0</v>
      </c>
      <c r="AQ846">
        <f>OR(AND(IF(Metadata!E846="",FALSE,TRUE),OR(exact(Metadata!E846,"not collected"),exact(Metadata!E846,"not provided"),exact(Metadata!E846,"restricted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R846">
        <f>IF(Metadata!F846="",FALSE,TRUE)</f>
        <v>0</v>
      </c>
      <c r="AS846">
        <f>OR(AND(IF(Metadata!G846="",FALSE,TRUE),OR(exact(Metadata!G846,"not collected"),exact(Metadata!G846,"not provided"))),AND(IF(Metadata!G846="",FALSE,TRUE),OR(exact(Metadata!G846,"TRUE"),exact(Metadata!G846,"FALSE"))))</f>
        <v>0</v>
      </c>
      <c r="AT846">
        <f>OR(AND(IF(Metadata!H846="",FALSE,TRUE),OR(exact(Metadata!H846,"not collected"),exact(Metadata!H846,"not provided"),exact(Metadata!H846,"restricted access"))),AND(IF(Metadata!H846="",FALSE,ISNUMBER(VALUE(Metadata!H846))),Metadata!H846&gt;=-413.0))</f>
        <v>0</v>
      </c>
      <c r="AU846">
        <f>AND(IF(Metadata!I846="",FALSE,TRUE),exact(Metadata!I846,"meters"))</f>
        <v>0</v>
      </c>
      <c r="AV846">
        <f>AND(IF(Metadata!J846="",FALSE,TRUE),OR(exact(Metadata!J846,"Host-associated"),exact(Metadata!J846,"Free-living")))</f>
        <v>0</v>
      </c>
      <c r="AW846">
        <f>AND(IF(Metadata!K846="",FALSE,TRUE),OR(exact(Metadata!K846,"Animal"),exact(Metadata!K846,"Fungus"),exact(Metadata!K846,"Plant"),exact(Metadata!K846,"Saline"),exact(Metadata!K846,"Non-saline")))</f>
        <v>0</v>
      </c>
      <c r="AX846">
        <f>AND(IF(Metadata!L846="",FALSE,TRUE),OR(exact(Metadata!L846,"Plant secretion"),exact(Metadata!L846,"Plant rhizosphere"),exact(Metadata!L846,"Plant surface"),exact(Metadata!L846,"Plant corpus"),exact(Metadata!L846,"Fungus surface"),exact(Metadata!L846,"Fungus corpus"),exact(Metadata!L846,"Animal surface"),exact(Metadata!L846,"Animal proximal gut"),exact(Metadata!L846,"Animal corpus"),exact(Metadata!L846,"Animal distal gut"),exact(Metadata!L846,"Animal secretion"),exact(Metadata!L846,"Sub-surface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Y846">
        <f>IF(Metadata!M846="",FALSE,TRUE)</f>
        <v>0</v>
      </c>
      <c r="AZ846">
        <f>IF(Metadata!N846="",FALSE,TRUE)</f>
        <v>0</v>
      </c>
      <c r="BA846">
        <f>IF(Metadata!O846="",FALSE,TRUE)</f>
        <v>0</v>
      </c>
      <c r="BB846">
        <f>OR(AND(IF(Metadata!P846="",FALSE,TRUE),OR(exact(Metadata!P846,"not collected"),exact(Metadata!P846,"not provided"),exact(Metadata!P846,"restricted access"))),AND(IF(Metadata!P846="",FALSE,TRUE),OR(exact(Metadata!P846,"air"),exact(Metadata!P846,"built environment"),exact(Metadata!P846,"host-associated"),exact(Metadata!P846,"human-associated"),exact(Metadata!P846,"human-skin"),exact(Metadata!P846,"human-oral"),exact(Metadata!P846,"human-gut"),exact(Metadata!P846,"human-vaginal"),exact(Metadata!P846,"microbial mat/biofilm"),exact(Metadata!P846,"misc environment"),exact(Metadata!P846,"plant-associated"),exact(Metadata!P846,"sediment"),exact(Metadata!P846,"soil"),exact(Metadata!P846,"wastewater/sludge"),exact(Metadata!P846,"water"))))</f>
        <v>0</v>
      </c>
      <c r="BC846">
        <f>IF(Metadata!Q846="",FALSE,TRUE)</f>
        <v>0</v>
      </c>
      <c r="BD846">
        <f>IF(Metadata!R846="",FALSE,TRUE)</f>
        <v>0</v>
      </c>
      <c r="BE846">
        <f>OR(AND(IF(Metadata!S846="",FALSE,TRUE),OR(exact(Metadata!S846,"not collected"),exact(Metadata!S846,"not provided"),exact(Metadata!S846,"restricted access"))),AND(IF(Metadata!S846="",FALSE,ISNUMBER(VALUE(Metadata!S846))),Metadata!S846&gt;=-90.00,Metadata!S846&lt;=90.00))</f>
        <v>0</v>
      </c>
      <c r="BF846">
        <f>AND(IF(Metadata!T846="",FALSE,TRUE),exact(Metadata!T846,"Decimal degrees"))</f>
        <v>0</v>
      </c>
      <c r="BG846">
        <f>OR(AND(IF(Metadata!U846="",FALSE,TRUE),OR(exact(Metadata!U846,"not collected"),exact(Metadata!U846,"not provided"),exact(Metadata!U846,"restricted access"))),AND(IF(Metadata!U846="",FALSE,ISNUMBER(VALUE(Metadata!U846))),Metadata!U846&gt;=-180.00,Metadata!U846&lt;=180.00))</f>
        <v>0</v>
      </c>
      <c r="BH846">
        <f>AND(IF(Metadata!V846="",FALSE,TRUE),exact(Metadata!V846,"Decimal degrees"))</f>
        <v>0</v>
      </c>
      <c r="BI846">
        <f>IF(Metadata!W846="",FALSE,TRUE)</f>
        <v>0</v>
      </c>
      <c r="BJ846">
        <f>OR(AND(IF(Metadata!X846="",FALSE,TRUE),OR(exact(Metadata!X846,"not collected"),exact(Metadata!X846,"not provided"),exact(Metadata!X846,"restricted access"))),AND(IF(Metadata!X846="",FALSE,TRUE),OR(exact(Metadata!X846,"TRUE"),exact(Metadata!X846,"FALSE"))))</f>
        <v>0</v>
      </c>
      <c r="BK846">
        <f>AND(IF(Metadata!Y846="",FALSE,TRUE),exact(Metadata!Y846,"other"))</f>
        <v>0</v>
      </c>
      <c r="BL846">
        <f>IF(Metadata!Z846="",FALSE,TRUE)</f>
        <v>0</v>
      </c>
      <c r="BM846">
        <f>OR(AND(IF(Metadata!AA846="",FALSE,TRUE),OR(exact(Metadata!AA846,"not collected"),exact(Metadata!AA846,"not provided"))),AND(IF(Metadata!AA846="",FALSE,IF(ISERROR(INT(Metadata!AA846)),FALSE,INT(Metadata!AA846)=Metadata!AA846)),Metadata!AA846&gt;0))</f>
        <v>0</v>
      </c>
      <c r="BN846">
        <f>AND(IF(Metadata!AB846="",FALSE,TRUE),exact(Metadata!AB846,"Not applicable"))</f>
        <v>0</v>
      </c>
      <c r="BO846">
        <f>IF(Metadata!AC846="",FALSE,TRUE)</f>
        <v>0</v>
      </c>
    </row>
    <row r="847" spans="1:67">
      <c r="A847" s="5">
        <f>IF(B847=" "," ",HYPERLINK(CONCATENATE("#metadata!",ADDRESS(INDEX($AI$2:$AI$1001,MATCH(ROWS($AG$2:AG847),$AG$2:$AG$1001,0),0),1)),INDEX($AL$2:$AL$1001,MATCH(ROWS($AG$2:AG847),$AG$2:$AG$1001,0),0)))</f>
        <v>0</v>
      </c>
      <c r="B847" s="4">
        <f>IF(OR(INDEX($AH$2:$AH$1001,MATCH(ROWS($AG$2:AG847),$AG$2:$AG$1001,0),1)&gt;=100000,INDEX($AN$1005:$BO$1005,1,MATCH(COLUMNS($AN$1006:AN1006),$AN$1006:$BO$1006,0))&gt;=100000), " ",IF(INDEX($AN$2:$BO$1001,MATCH(ROWS($AG$2:AG847),$AG$2:$AG$1001,0),MATCH(COLUMNS($AN$1006:AN1006),$AN$1006:$BO$1006,0)), HYPERLINK("#",""), HYPERLINK(CONCATENATE("#Metadata!", ADDRESS(INDEX($AI$2:$AI$1001,MATCH(ROWS($AG$2:AG847),$AG$2:$AG$1001,0),0), INDEX($AN$1004:$BO$1004,1,MATCH(COLUMNS($AN$1006:AN1006),$AN$1006:$BO$1006,0)))),"Fix")))</f>
        <v>0</v>
      </c>
      <c r="C847" s="4">
        <f>IF(OR(INDEX($AH$2:$AH$1001,MATCH(ROWS($AG$2:AG847),$AG$2:$AG$1001,0),1)&gt;=100000,INDEX($AN$1005:$BO$1005,1,MATCH(COLUMNS($AN$1006:AO1006),$AN$1006:$BO$1006,0))&gt;=100000), " ",IF(INDEX($AN$2:$BO$1001,MATCH(ROWS($AG$2:AG847),$AG$2:$AG$1001,0),MATCH(COLUMNS($AN$1006:AO1006),$AN$1006:$BO$1006,0)), HYPERLINK("#",""), HYPERLINK(CONCATENATE("#Metadata!", ADDRESS(INDEX($AI$2:$AI$1001,MATCH(ROWS($AG$2:AG847),$AG$2:$AG$1001,0),0), INDEX($AN$1004:$BO$1004,1,MATCH(COLUMNS($AN$1006:AO1006),$AN$1006:$BO$1006,0)))),"Fix")))</f>
        <v>0</v>
      </c>
      <c r="D847" s="4">
        <f>IF(OR(INDEX($AH$2:$AH$1001,MATCH(ROWS($AG$2:AG847),$AG$2:$AG$1001,0),1)&gt;=100000,INDEX($AN$1005:$BO$1005,1,MATCH(COLUMNS($AN$1006:AP1006),$AN$1006:$BO$1006,0))&gt;=100000), " ",IF(INDEX($AN$2:$BO$1001,MATCH(ROWS($AG$2:AG847),$AG$2:$AG$1001,0),MATCH(COLUMNS($AN$1006:AP1006),$AN$1006:$BO$1006,0)), HYPERLINK("#",""), HYPERLINK(CONCATENATE("#Metadata!", ADDRESS(INDEX($AI$2:$AI$1001,MATCH(ROWS($AG$2:AG847),$AG$2:$AG$1001,0),0), INDEX($AN$1004:$BO$1004,1,MATCH(COLUMNS($AN$1006:AP1006),$AN$1006:$BO$1006,0)))),"Fix")))</f>
        <v>0</v>
      </c>
      <c r="E847" s="4">
        <f>IF(OR(INDEX($AH$2:$AH$1001,MATCH(ROWS($AG$2:AG847),$AG$2:$AG$1001,0),1)&gt;=100000,INDEX($AN$1005:$BO$1005,1,MATCH(COLUMNS($AN$1006:AQ1006),$AN$1006:$BO$1006,0))&gt;=100000), " ",IF(INDEX($AN$2:$BO$1001,MATCH(ROWS($AG$2:AG847),$AG$2:$AG$1001,0),MATCH(COLUMNS($AN$1006:AQ1006),$AN$1006:$BO$1006,0)), HYPERLINK("#",""), HYPERLINK(CONCATENATE("#Metadata!", ADDRESS(INDEX($AI$2:$AI$1001,MATCH(ROWS($AG$2:AG847),$AG$2:$AG$1001,0),0), INDEX($AN$1004:$BO$1004,1,MATCH(COLUMNS($AN$1006:AQ1006),$AN$1006:$BO$1006,0)))),"Fix")))</f>
        <v>0</v>
      </c>
      <c r="F847" s="4">
        <f>IF(OR(INDEX($AH$2:$AH$1001,MATCH(ROWS($AG$2:AG847),$AG$2:$AG$1001,0),1)&gt;=100000,INDEX($AN$1005:$BO$1005,1,MATCH(COLUMNS($AN$1006:AR1006),$AN$1006:$BO$1006,0))&gt;=100000), " ",IF(INDEX($AN$2:$BO$1001,MATCH(ROWS($AG$2:AG847),$AG$2:$AG$1001,0),MATCH(COLUMNS($AN$1006:AR1006),$AN$1006:$BO$1006,0)), HYPERLINK("#",""), HYPERLINK(CONCATENATE("#Metadata!", ADDRESS(INDEX($AI$2:$AI$1001,MATCH(ROWS($AG$2:AG847),$AG$2:$AG$1001,0),0), INDEX($AN$1004:$BO$1004,1,MATCH(COLUMNS($AN$1006:AR1006),$AN$1006:$BO$1006,0)))),"Fix")))</f>
        <v>0</v>
      </c>
      <c r="G847" s="4">
        <f>IF(OR(INDEX($AH$2:$AH$1001,MATCH(ROWS($AG$2:AG847),$AG$2:$AG$1001,0),1)&gt;=100000,INDEX($AN$1005:$BO$1005,1,MATCH(COLUMNS($AN$1006:AS1006),$AN$1006:$BO$1006,0))&gt;=100000), " ",IF(INDEX($AN$2:$BO$1001,MATCH(ROWS($AG$2:AG847),$AG$2:$AG$1001,0),MATCH(COLUMNS($AN$1006:AS1006),$AN$1006:$BO$1006,0)), HYPERLINK("#",""), HYPERLINK(CONCATENATE("#Metadata!", ADDRESS(INDEX($AI$2:$AI$1001,MATCH(ROWS($AG$2:AG847),$AG$2:$AG$1001,0),0), INDEX($AN$1004:$BO$1004,1,MATCH(COLUMNS($AN$1006:AS1006),$AN$1006:$BO$1006,0)))),"Fix")))</f>
        <v>0</v>
      </c>
      <c r="H847" s="4">
        <f>IF(OR(INDEX($AH$2:$AH$1001,MATCH(ROWS($AG$2:AG847),$AG$2:$AG$1001,0),1)&gt;=100000,INDEX($AN$1005:$BO$1005,1,MATCH(COLUMNS($AN$1006:AT1006),$AN$1006:$BO$1006,0))&gt;=100000), " ",IF(INDEX($AN$2:$BO$1001,MATCH(ROWS($AG$2:AG847),$AG$2:$AG$1001,0),MATCH(COLUMNS($AN$1006:AT1006),$AN$1006:$BO$1006,0)), HYPERLINK("#",""), HYPERLINK(CONCATENATE("#Metadata!", ADDRESS(INDEX($AI$2:$AI$1001,MATCH(ROWS($AG$2:AG847),$AG$2:$AG$1001,0),0), INDEX($AN$1004:$BO$1004,1,MATCH(COLUMNS($AN$1006:AT1006),$AN$1006:$BO$1006,0)))),"Fix")))</f>
        <v>0</v>
      </c>
      <c r="I847" s="4">
        <f>IF(OR(INDEX($AH$2:$AH$1001,MATCH(ROWS($AG$2:AG847),$AG$2:$AG$1001,0),1)&gt;=100000,INDEX($AN$1005:$BO$1005,1,MATCH(COLUMNS($AN$1006:AU1006),$AN$1006:$BO$1006,0))&gt;=100000), " ",IF(INDEX($AN$2:$BO$1001,MATCH(ROWS($AG$2:AG847),$AG$2:$AG$1001,0),MATCH(COLUMNS($AN$1006:AU1006),$AN$1006:$BO$1006,0)), HYPERLINK("#",""), HYPERLINK(CONCATENATE("#Metadata!", ADDRESS(INDEX($AI$2:$AI$1001,MATCH(ROWS($AG$2:AG847),$AG$2:$AG$1001,0),0), INDEX($AN$1004:$BO$1004,1,MATCH(COLUMNS($AN$1006:AU1006),$AN$1006:$BO$1006,0)))),"Fix")))</f>
        <v>0</v>
      </c>
      <c r="J847" s="4">
        <f>IF(OR(INDEX($AH$2:$AH$1001,MATCH(ROWS($AG$2:AG847),$AG$2:$AG$1001,0),1)&gt;=100000,INDEX($AN$1005:$BO$1005,1,MATCH(COLUMNS($AN$1006:AV1006),$AN$1006:$BO$1006,0))&gt;=100000), " ",IF(INDEX($AN$2:$BO$1001,MATCH(ROWS($AG$2:AG847),$AG$2:$AG$1001,0),MATCH(COLUMNS($AN$1006:AV1006),$AN$1006:$BO$1006,0)), HYPERLINK("#",""), HYPERLINK(CONCATENATE("#Metadata!", ADDRESS(INDEX($AI$2:$AI$1001,MATCH(ROWS($AG$2:AG847),$AG$2:$AG$1001,0),0), INDEX($AN$1004:$BO$1004,1,MATCH(COLUMNS($AN$1006:AV1006),$AN$1006:$BO$1006,0)))),"Fix")))</f>
        <v>0</v>
      </c>
      <c r="K847" s="4">
        <f>IF(OR(INDEX($AH$2:$AH$1001,MATCH(ROWS($AG$2:AG847),$AG$2:$AG$1001,0),1)&gt;=100000,INDEX($AN$1005:$BO$1005,1,MATCH(COLUMNS($AN$1006:AW1006),$AN$1006:$BO$1006,0))&gt;=100000), " ",IF(INDEX($AN$2:$BO$1001,MATCH(ROWS($AG$2:AG847),$AG$2:$AG$1001,0),MATCH(COLUMNS($AN$1006:AW1006),$AN$1006:$BO$1006,0)), HYPERLINK("#",""), HYPERLINK(CONCATENATE("#Metadata!", ADDRESS(INDEX($AI$2:$AI$1001,MATCH(ROWS($AG$2:AG847),$AG$2:$AG$1001,0),0), INDEX($AN$1004:$BO$1004,1,MATCH(COLUMNS($AN$1006:AW1006),$AN$1006:$BO$1006,0)))),"Fix")))</f>
        <v>0</v>
      </c>
      <c r="L847" s="4">
        <f>IF(OR(INDEX($AH$2:$AH$1001,MATCH(ROWS($AG$2:AG847),$AG$2:$AG$1001,0),1)&gt;=100000,INDEX($AN$1005:$BO$1005,1,MATCH(COLUMNS($AN$1006:AX1006),$AN$1006:$BO$1006,0))&gt;=100000), " ",IF(INDEX($AN$2:$BO$1001,MATCH(ROWS($AG$2:AG847),$AG$2:$AG$1001,0),MATCH(COLUMNS($AN$1006:AX1006),$AN$1006:$BO$1006,0)), HYPERLINK("#",""), HYPERLINK(CONCATENATE("#Metadata!", ADDRESS(INDEX($AI$2:$AI$1001,MATCH(ROWS($AG$2:AG847),$AG$2:$AG$1001,0),0), INDEX($AN$1004:$BO$1004,1,MATCH(COLUMNS($AN$1006:AX1006),$AN$1006:$BO$1006,0)))),"Fix")))</f>
        <v>0</v>
      </c>
      <c r="M847" s="4">
        <f>IF(OR(INDEX($AH$2:$AH$1001,MATCH(ROWS($AG$2:AG847),$AG$2:$AG$1001,0),1)&gt;=100000,INDEX($AN$1005:$BO$1005,1,MATCH(COLUMNS($AN$1006:AY1006),$AN$1006:$BO$1006,0))&gt;=100000), " ",IF(INDEX($AN$2:$BO$1001,MATCH(ROWS($AG$2:AG847),$AG$2:$AG$1001,0),MATCH(COLUMNS($AN$1006:AY1006),$AN$1006:$BO$1006,0)), HYPERLINK("#",""), HYPERLINK(CONCATENATE("#Metadata!", ADDRESS(INDEX($AI$2:$AI$1001,MATCH(ROWS($AG$2:AG847),$AG$2:$AG$1001,0),0), INDEX($AN$1004:$BO$1004,1,MATCH(COLUMNS($AN$1006:AY1006),$AN$1006:$BO$1006,0)))),"Fix")))</f>
        <v>0</v>
      </c>
      <c r="N847" s="4">
        <f>IF(OR(INDEX($AH$2:$AH$1001,MATCH(ROWS($AG$2:AG847),$AG$2:$AG$1001,0),1)&gt;=100000,INDEX($AN$1005:$BO$1005,1,MATCH(COLUMNS($AN$1006:AZ1006),$AN$1006:$BO$1006,0))&gt;=100000), " ",IF(INDEX($AN$2:$BO$1001,MATCH(ROWS($AG$2:AG847),$AG$2:$AG$1001,0),MATCH(COLUMNS($AN$1006:AZ1006),$AN$1006:$BO$1006,0)), HYPERLINK("#",""), HYPERLINK(CONCATENATE("#Metadata!", ADDRESS(INDEX($AI$2:$AI$1001,MATCH(ROWS($AG$2:AG847),$AG$2:$AG$1001,0),0), INDEX($AN$1004:$BO$1004,1,MATCH(COLUMNS($AN$1006:AZ1006),$AN$1006:$BO$1006,0)))),"Fix")))</f>
        <v>0</v>
      </c>
      <c r="O847" s="4">
        <f>IF(OR(INDEX($AH$2:$AH$1001,MATCH(ROWS($AG$2:AG847),$AG$2:$AG$1001,0),1)&gt;=100000,INDEX($AN$1005:$BO$1005,1,MATCH(COLUMNS($AN$1006:BA1006),$AN$1006:$BO$1006,0))&gt;=100000), " ",IF(INDEX($AN$2:$BO$1001,MATCH(ROWS($AG$2:AG847),$AG$2:$AG$1001,0),MATCH(COLUMNS($AN$1006:BA1006),$AN$1006:$BO$1006,0)), HYPERLINK("#",""), HYPERLINK(CONCATENATE("#Metadata!", ADDRESS(INDEX($AI$2:$AI$1001,MATCH(ROWS($AG$2:AG847),$AG$2:$AG$1001,0),0), INDEX($AN$1004:$BO$1004,1,MATCH(COLUMNS($AN$1006:BA1006),$AN$1006:$BO$1006,0)))),"Fix")))</f>
        <v>0</v>
      </c>
      <c r="P847" s="4">
        <f>IF(OR(INDEX($AH$2:$AH$1001,MATCH(ROWS($AG$2:AG847),$AG$2:$AG$1001,0),1)&gt;=100000,INDEX($AN$1005:$BO$1005,1,MATCH(COLUMNS($AN$1006:BB1006),$AN$1006:$BO$1006,0))&gt;=100000), " ",IF(INDEX($AN$2:$BO$1001,MATCH(ROWS($AG$2:AG847),$AG$2:$AG$1001,0),MATCH(COLUMNS($AN$1006:BB1006),$AN$1006:$BO$1006,0)), HYPERLINK("#",""), HYPERLINK(CONCATENATE("#Metadata!", ADDRESS(INDEX($AI$2:$AI$1001,MATCH(ROWS($AG$2:AG847),$AG$2:$AG$1001,0),0), INDEX($AN$1004:$BO$1004,1,MATCH(COLUMNS($AN$1006:BB1006),$AN$1006:$BO$1006,0)))),"Fix")))</f>
        <v>0</v>
      </c>
      <c r="Q847" s="4">
        <f>IF(OR(INDEX($AH$2:$AH$1001,MATCH(ROWS($AG$2:AG847),$AG$2:$AG$1001,0),1)&gt;=100000,INDEX($AN$1005:$BO$1005,1,MATCH(COLUMNS($AN$1006:BC1006),$AN$1006:$BO$1006,0))&gt;=100000), " ",IF(INDEX($AN$2:$BO$1001,MATCH(ROWS($AG$2:AG847),$AG$2:$AG$1001,0),MATCH(COLUMNS($AN$1006:BC1006),$AN$1006:$BO$1006,0)), HYPERLINK("#",""), HYPERLINK(CONCATENATE("#Metadata!", ADDRESS(INDEX($AI$2:$AI$1001,MATCH(ROWS($AG$2:AG847),$AG$2:$AG$1001,0),0), INDEX($AN$1004:$BO$1004,1,MATCH(COLUMNS($AN$1006:BC1006),$AN$1006:$BO$1006,0)))),"Fix")))</f>
        <v>0</v>
      </c>
      <c r="R847" s="4">
        <f>IF(OR(INDEX($AH$2:$AH$1001,MATCH(ROWS($AG$2:AG847),$AG$2:$AG$1001,0),1)&gt;=100000,INDEX($AN$1005:$BO$1005,1,MATCH(COLUMNS($AN$1006:BD1006),$AN$1006:$BO$1006,0))&gt;=100000), " ",IF(INDEX($AN$2:$BO$1001,MATCH(ROWS($AG$2:AG847),$AG$2:$AG$1001,0),MATCH(COLUMNS($AN$1006:BD1006),$AN$1006:$BO$1006,0)), HYPERLINK("#",""), HYPERLINK(CONCATENATE("#Metadata!", ADDRESS(INDEX($AI$2:$AI$1001,MATCH(ROWS($AG$2:AG847),$AG$2:$AG$1001,0),0), INDEX($AN$1004:$BO$1004,1,MATCH(COLUMNS($AN$1006:BD1006),$AN$1006:$BO$1006,0)))),"Fix")))</f>
        <v>0</v>
      </c>
      <c r="S847" s="4">
        <f>IF(OR(INDEX($AH$2:$AH$1001,MATCH(ROWS($AG$2:AG847),$AG$2:$AG$1001,0),1)&gt;=100000,INDEX($AN$1005:$BO$1005,1,MATCH(COLUMNS($AN$1006:BE1006),$AN$1006:$BO$1006,0))&gt;=100000), " ",IF(INDEX($AN$2:$BO$1001,MATCH(ROWS($AG$2:AG847),$AG$2:$AG$1001,0),MATCH(COLUMNS($AN$1006:BE1006),$AN$1006:$BO$1006,0)), HYPERLINK("#",""), HYPERLINK(CONCATENATE("#Metadata!", ADDRESS(INDEX($AI$2:$AI$1001,MATCH(ROWS($AG$2:AG847),$AG$2:$AG$1001,0),0), INDEX($AN$1004:$BO$1004,1,MATCH(COLUMNS($AN$1006:BE1006),$AN$1006:$BO$1006,0)))),"Fix")))</f>
        <v>0</v>
      </c>
      <c r="T847" s="4">
        <f>IF(OR(INDEX($AH$2:$AH$1001,MATCH(ROWS($AG$2:AG847),$AG$2:$AG$1001,0),1)&gt;=100000,INDEX($AN$1005:$BO$1005,1,MATCH(COLUMNS($AN$1006:BF1006),$AN$1006:$BO$1006,0))&gt;=100000), " ",IF(INDEX($AN$2:$BO$1001,MATCH(ROWS($AG$2:AG847),$AG$2:$AG$1001,0),MATCH(COLUMNS($AN$1006:BF1006),$AN$1006:$BO$1006,0)), HYPERLINK("#",""), HYPERLINK(CONCATENATE("#Metadata!", ADDRESS(INDEX($AI$2:$AI$1001,MATCH(ROWS($AG$2:AG847),$AG$2:$AG$1001,0),0), INDEX($AN$1004:$BO$1004,1,MATCH(COLUMNS($AN$1006:BF1006),$AN$1006:$BO$1006,0)))),"Fix")))</f>
        <v>0</v>
      </c>
      <c r="U847" s="4">
        <f>IF(OR(INDEX($AH$2:$AH$1001,MATCH(ROWS($AG$2:AG847),$AG$2:$AG$1001,0),1)&gt;=100000,INDEX($AN$1005:$BO$1005,1,MATCH(COLUMNS($AN$1006:BG1006),$AN$1006:$BO$1006,0))&gt;=100000), " ",IF(INDEX($AN$2:$BO$1001,MATCH(ROWS($AG$2:AG847),$AG$2:$AG$1001,0),MATCH(COLUMNS($AN$1006:BG1006),$AN$1006:$BO$1006,0)), HYPERLINK("#",""), HYPERLINK(CONCATENATE("#Metadata!", ADDRESS(INDEX($AI$2:$AI$1001,MATCH(ROWS($AG$2:AG847),$AG$2:$AG$1001,0),0), INDEX($AN$1004:$BO$1004,1,MATCH(COLUMNS($AN$1006:BG1006),$AN$1006:$BO$1006,0)))),"Fix")))</f>
        <v>0</v>
      </c>
      <c r="V847" s="4">
        <f>IF(OR(INDEX($AH$2:$AH$1001,MATCH(ROWS($AG$2:AG847),$AG$2:$AG$1001,0),1)&gt;=100000,INDEX($AN$1005:$BO$1005,1,MATCH(COLUMNS($AN$1006:BH1006),$AN$1006:$BO$1006,0))&gt;=100000), " ",IF(INDEX($AN$2:$BO$1001,MATCH(ROWS($AG$2:AG847),$AG$2:$AG$1001,0),MATCH(COLUMNS($AN$1006:BH1006),$AN$1006:$BO$1006,0)), HYPERLINK("#",""), HYPERLINK(CONCATENATE("#Metadata!", ADDRESS(INDEX($AI$2:$AI$1001,MATCH(ROWS($AG$2:AG847),$AG$2:$AG$1001,0),0), INDEX($AN$1004:$BO$1004,1,MATCH(COLUMNS($AN$1006:BH1006),$AN$1006:$BO$1006,0)))),"Fix")))</f>
        <v>0</v>
      </c>
      <c r="W847" s="4">
        <f>IF(OR(INDEX($AH$2:$AH$1001,MATCH(ROWS($AG$2:AG847),$AG$2:$AG$1001,0),1)&gt;=100000,INDEX($AN$1005:$BO$1005,1,MATCH(COLUMNS($AN$1006:BI1006),$AN$1006:$BO$1006,0))&gt;=100000), " ",IF(INDEX($AN$2:$BO$1001,MATCH(ROWS($AG$2:AG847),$AG$2:$AG$1001,0),MATCH(COLUMNS($AN$1006:BI1006),$AN$1006:$BO$1006,0)), HYPERLINK("#",""), HYPERLINK(CONCATENATE("#Metadata!", ADDRESS(INDEX($AI$2:$AI$1001,MATCH(ROWS($AG$2:AG847),$AG$2:$AG$1001,0),0), INDEX($AN$1004:$BO$1004,1,MATCH(COLUMNS($AN$1006:BI1006),$AN$1006:$BO$1006,0)))),"Fix")))</f>
        <v>0</v>
      </c>
      <c r="X847" s="4">
        <f>IF(OR(INDEX($AH$2:$AH$1001,MATCH(ROWS($AG$2:AG847),$AG$2:$AG$1001,0),1)&gt;=100000,INDEX($AN$1005:$BO$1005,1,MATCH(COLUMNS($AN$1006:BJ1006),$AN$1006:$BO$1006,0))&gt;=100000), " ",IF(INDEX($AN$2:$BO$1001,MATCH(ROWS($AG$2:AG847),$AG$2:$AG$1001,0),MATCH(COLUMNS($AN$1006:BJ1006),$AN$1006:$BO$1006,0)), HYPERLINK("#",""), HYPERLINK(CONCATENATE("#Metadata!", ADDRESS(INDEX($AI$2:$AI$1001,MATCH(ROWS($AG$2:AG847),$AG$2:$AG$1001,0),0), INDEX($AN$1004:$BO$1004,1,MATCH(COLUMNS($AN$1006:BJ1006),$AN$1006:$BO$1006,0)))),"Fix")))</f>
        <v>0</v>
      </c>
      <c r="Y847" s="4">
        <f>IF(OR(INDEX($AH$2:$AH$1001,MATCH(ROWS($AG$2:AG847),$AG$2:$AG$1001,0),1)&gt;=100000,INDEX($AN$1005:$BO$1005,1,MATCH(COLUMNS($AN$1006:BK1006),$AN$1006:$BO$1006,0))&gt;=100000), " ",IF(INDEX($AN$2:$BO$1001,MATCH(ROWS($AG$2:AG847),$AG$2:$AG$1001,0),MATCH(COLUMNS($AN$1006:BK1006),$AN$1006:$BO$1006,0)), HYPERLINK("#",""), HYPERLINK(CONCATENATE("#Metadata!", ADDRESS(INDEX($AI$2:$AI$1001,MATCH(ROWS($AG$2:AG847),$AG$2:$AG$1001,0),0), INDEX($AN$1004:$BO$1004,1,MATCH(COLUMNS($AN$1006:BK1006),$AN$1006:$BO$1006,0)))),"Fix")))</f>
        <v>0</v>
      </c>
      <c r="Z847" s="4">
        <f>IF(OR(INDEX($AH$2:$AH$1001,MATCH(ROWS($AG$2:AG847),$AG$2:$AG$1001,0),1)&gt;=100000,INDEX($AN$1005:$BO$1005,1,MATCH(COLUMNS($AN$1006:BL1006),$AN$1006:$BO$1006,0))&gt;=100000), " ",IF(INDEX($AN$2:$BO$1001,MATCH(ROWS($AG$2:AG847),$AG$2:$AG$1001,0),MATCH(COLUMNS($AN$1006:BL1006),$AN$1006:$BO$1006,0)), HYPERLINK("#",""), HYPERLINK(CONCATENATE("#Metadata!", ADDRESS(INDEX($AI$2:$AI$1001,MATCH(ROWS($AG$2:AG847),$AG$2:$AG$1001,0),0), INDEX($AN$1004:$BO$1004,1,MATCH(COLUMNS($AN$1006:BL1006),$AN$1006:$BO$1006,0)))),"Fix")))</f>
        <v>0</v>
      </c>
      <c r="AA847" s="4">
        <f>IF(OR(INDEX($AH$2:$AH$1001,MATCH(ROWS($AG$2:AG847),$AG$2:$AG$1001,0),1)&gt;=100000,INDEX($AN$1005:$BO$1005,1,MATCH(COLUMNS($AN$1006:BM1006),$AN$1006:$BO$1006,0))&gt;=100000), " ",IF(INDEX($AN$2:$BO$1001,MATCH(ROWS($AG$2:AG847),$AG$2:$AG$1001,0),MATCH(COLUMNS($AN$1006:BM1006),$AN$1006:$BO$1006,0)), HYPERLINK("#",""), HYPERLINK(CONCATENATE("#Metadata!", ADDRESS(INDEX($AI$2:$AI$1001,MATCH(ROWS($AG$2:AG847),$AG$2:$AG$1001,0),0), INDEX($AN$1004:$BO$1004,1,MATCH(COLUMNS($AN$1006:BM1006),$AN$1006:$BO$1006,0)))),"Fix")))</f>
        <v>0</v>
      </c>
      <c r="AB847" s="4">
        <f>IF(OR(INDEX($AH$2:$AH$1001,MATCH(ROWS($AG$2:AG847),$AG$2:$AG$1001,0),1)&gt;=100000,INDEX($AN$1005:$BO$1005,1,MATCH(COLUMNS($AN$1006:BN1006),$AN$1006:$BO$1006,0))&gt;=100000), " ",IF(INDEX($AN$2:$BO$1001,MATCH(ROWS($AG$2:AG847),$AG$2:$AG$1001,0),MATCH(COLUMNS($AN$1006:BN1006),$AN$1006:$BO$1006,0)), HYPERLINK("#",""), HYPERLINK(CONCATENATE("#Metadata!", ADDRESS(INDEX($AI$2:$AI$1001,MATCH(ROWS($AG$2:AG847),$AG$2:$AG$1001,0),0), INDEX($AN$1004:$BO$1004,1,MATCH(COLUMNS($AN$1006:BN1006),$AN$1006:$BO$1006,0)))),"Fix")))</f>
        <v>0</v>
      </c>
      <c r="AC847" s="4">
        <f>IF(OR(INDEX($AH$2:$AH$1001,MATCH(ROWS($AG$2:AG847),$AG$2:$AG$1001,0),1)&gt;=100000,INDEX($AN$1005:$BO$1005,1,MATCH(COLUMNS($AN$1006:BO1006),$AN$1006:$BO$1006,0))&gt;=100000), " ",IF(INDEX($AN$2:$BO$1001,MATCH(ROWS($AG$2:AG847),$AG$2:$AG$1001,0),MATCH(COLUMNS($AN$1006:BO1006),$AN$1006:$BO$1006,0)), HYPERLINK("#",""), HYPERLINK(CONCATENATE("#Metadata!", ADDRESS(INDEX($AI$2:$AI$1001,MATCH(ROWS($AG$2:AG847),$AG$2:$AG$1001,0),0), INDEX($AN$1004:$BO$1004,1,MATCH(COLUMNS($AN$1006:BO1006),$AN$1006:$BO$1006,0)))),"Fix")))</f>
        <v>0</v>
      </c>
      <c r="AG847">
        <v>0</v>
      </c>
      <c r="AH847">
        <v>0</v>
      </c>
      <c r="AI847">
        <v>0</v>
      </c>
      <c r="AJ847">
        <f>IF(AK847,TRUE,AND(AN847:BO847))</f>
        <v>0</v>
      </c>
      <c r="AK847">
        <f>COUNTBLANK(Metadata!B847:AC847)=COLUMNS(Metadata!B847:AC847)</f>
        <v>0</v>
      </c>
      <c r="AL847">
        <v>0</v>
      </c>
      <c r="AN847">
        <f>AND(IF(Metadata!B847="",FALSE,TRUE),COUNTIF(Metadata!B:B, Metadata!B847) = 1,NOT(ISERROR(SUMPRODUCT(SEARCH(MID(Metadata!B847,ROW(INDIRECT("1:"&amp;LEN(Metadata!B847))), 1),"0123456789abcdefghijklmnopqrstuvwxyzABCDEFGHIJKLMNOPQRSTUVWXYZ.")))))</f>
        <v>0</v>
      </c>
      <c r="AO847">
        <f>IF(Metadata!C847="",FALSE,TRUE)</f>
        <v>0</v>
      </c>
      <c r="AP847">
        <f>IF(Metadata!D847="",FALSE,TRUE)</f>
        <v>0</v>
      </c>
      <c r="AQ847">
        <f>OR(AND(IF(Metadata!E847="",FALSE,TRUE),OR(exact(Metadata!E847,"not collected"),exact(Metadata!E847,"not provided"),exact(Metadata!E847,"restricted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R847">
        <f>IF(Metadata!F847="",FALSE,TRUE)</f>
        <v>0</v>
      </c>
      <c r="AS847">
        <f>OR(AND(IF(Metadata!G847="",FALSE,TRUE),OR(exact(Metadata!G847,"not collected"),exact(Metadata!G847,"not provided"))),AND(IF(Metadata!G847="",FALSE,TRUE),OR(exact(Metadata!G847,"TRUE"),exact(Metadata!G847,"FALSE"))))</f>
        <v>0</v>
      </c>
      <c r="AT847">
        <f>OR(AND(IF(Metadata!H847="",FALSE,TRUE),OR(exact(Metadata!H847,"not collected"),exact(Metadata!H847,"not provided"),exact(Metadata!H847,"restricted access"))),AND(IF(Metadata!H847="",FALSE,ISNUMBER(VALUE(Metadata!H847))),Metadata!H847&gt;=-413.0))</f>
        <v>0</v>
      </c>
      <c r="AU847">
        <f>AND(IF(Metadata!I847="",FALSE,TRUE),exact(Metadata!I847,"meters"))</f>
        <v>0</v>
      </c>
      <c r="AV847">
        <f>AND(IF(Metadata!J847="",FALSE,TRUE),OR(exact(Metadata!J847,"Host-associated"),exact(Metadata!J847,"Free-living")))</f>
        <v>0</v>
      </c>
      <c r="AW847">
        <f>AND(IF(Metadata!K847="",FALSE,TRUE),OR(exact(Metadata!K847,"Animal"),exact(Metadata!K847,"Fungus"),exact(Metadata!K847,"Plant"),exact(Metadata!K847,"Saline"),exact(Metadata!K847,"Non-saline")))</f>
        <v>0</v>
      </c>
      <c r="AX847">
        <f>AND(IF(Metadata!L847="",FALSE,TRUE),OR(exact(Metadata!L847,"Plant secretion"),exact(Metadata!L847,"Plant rhizosphere"),exact(Metadata!L847,"Plant surface"),exact(Metadata!L847,"Plant corpus"),exact(Metadata!L847,"Fungus surface"),exact(Metadata!L847,"Fungus corpus"),exact(Metadata!L847,"Animal surface"),exact(Metadata!L847,"Animal proximal gut"),exact(Metadata!L847,"Animal corpus"),exact(Metadata!L847,"Animal distal gut"),exact(Metadata!L847,"Animal secretion"),exact(Metadata!L847,"Sub-surface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Y847">
        <f>IF(Metadata!M847="",FALSE,TRUE)</f>
        <v>0</v>
      </c>
      <c r="AZ847">
        <f>IF(Metadata!N847="",FALSE,TRUE)</f>
        <v>0</v>
      </c>
      <c r="BA847">
        <f>IF(Metadata!O847="",FALSE,TRUE)</f>
        <v>0</v>
      </c>
      <c r="BB847">
        <f>OR(AND(IF(Metadata!P847="",FALSE,TRUE),OR(exact(Metadata!P847,"not collected"),exact(Metadata!P847,"not provided"),exact(Metadata!P847,"restricted access"))),AND(IF(Metadata!P847="",FALSE,TRUE),OR(exact(Metadata!P847,"air"),exact(Metadata!P847,"built environment"),exact(Metadata!P847,"host-associated"),exact(Metadata!P847,"human-associated"),exact(Metadata!P847,"human-skin"),exact(Metadata!P847,"human-oral"),exact(Metadata!P847,"human-gut"),exact(Metadata!P847,"human-vaginal"),exact(Metadata!P847,"microbial mat/biofilm"),exact(Metadata!P847,"misc environment"),exact(Metadata!P847,"plant-associated"),exact(Metadata!P847,"sediment"),exact(Metadata!P847,"soil"),exact(Metadata!P847,"wastewater/sludge"),exact(Metadata!P847,"water"))))</f>
        <v>0</v>
      </c>
      <c r="BC847">
        <f>IF(Metadata!Q847="",FALSE,TRUE)</f>
        <v>0</v>
      </c>
      <c r="BD847">
        <f>IF(Metadata!R847="",FALSE,TRUE)</f>
        <v>0</v>
      </c>
      <c r="BE847">
        <f>OR(AND(IF(Metadata!S847="",FALSE,TRUE),OR(exact(Metadata!S847,"not collected"),exact(Metadata!S847,"not provided"),exact(Metadata!S847,"restricted access"))),AND(IF(Metadata!S847="",FALSE,ISNUMBER(VALUE(Metadata!S847))),Metadata!S847&gt;=-90.00,Metadata!S847&lt;=90.00))</f>
        <v>0</v>
      </c>
      <c r="BF847">
        <f>AND(IF(Metadata!T847="",FALSE,TRUE),exact(Metadata!T847,"Decimal degrees"))</f>
        <v>0</v>
      </c>
      <c r="BG847">
        <f>OR(AND(IF(Metadata!U847="",FALSE,TRUE),OR(exact(Metadata!U847,"not collected"),exact(Metadata!U847,"not provided"),exact(Metadata!U847,"restricted access"))),AND(IF(Metadata!U847="",FALSE,ISNUMBER(VALUE(Metadata!U847))),Metadata!U847&gt;=-180.00,Metadata!U847&lt;=180.00))</f>
        <v>0</v>
      </c>
      <c r="BH847">
        <f>AND(IF(Metadata!V847="",FALSE,TRUE),exact(Metadata!V847,"Decimal degrees"))</f>
        <v>0</v>
      </c>
      <c r="BI847">
        <f>IF(Metadata!W847="",FALSE,TRUE)</f>
        <v>0</v>
      </c>
      <c r="BJ847">
        <f>OR(AND(IF(Metadata!X847="",FALSE,TRUE),OR(exact(Metadata!X847,"not collected"),exact(Metadata!X847,"not provided"),exact(Metadata!X847,"restricted access"))),AND(IF(Metadata!X847="",FALSE,TRUE),OR(exact(Metadata!X847,"TRUE"),exact(Metadata!X847,"FALSE"))))</f>
        <v>0</v>
      </c>
      <c r="BK847">
        <f>AND(IF(Metadata!Y847="",FALSE,TRUE),exact(Metadata!Y847,"other"))</f>
        <v>0</v>
      </c>
      <c r="BL847">
        <f>IF(Metadata!Z847="",FALSE,TRUE)</f>
        <v>0</v>
      </c>
      <c r="BM847">
        <f>OR(AND(IF(Metadata!AA847="",FALSE,TRUE),OR(exact(Metadata!AA847,"not collected"),exact(Metadata!AA847,"not provided"))),AND(IF(Metadata!AA847="",FALSE,IF(ISERROR(INT(Metadata!AA847)),FALSE,INT(Metadata!AA847)=Metadata!AA847)),Metadata!AA847&gt;0))</f>
        <v>0</v>
      </c>
      <c r="BN847">
        <f>AND(IF(Metadata!AB847="",FALSE,TRUE),exact(Metadata!AB847,"Not applicable"))</f>
        <v>0</v>
      </c>
      <c r="BO847">
        <f>IF(Metadata!AC847="",FALSE,TRUE)</f>
        <v>0</v>
      </c>
    </row>
    <row r="848" spans="1:67">
      <c r="A848" s="5">
        <f>IF(B848=" "," ",HYPERLINK(CONCATENATE("#metadata!",ADDRESS(INDEX($AI$2:$AI$1001,MATCH(ROWS($AG$2:AG848),$AG$2:$AG$1001,0),0),1)),INDEX($AL$2:$AL$1001,MATCH(ROWS($AG$2:AG848),$AG$2:$AG$1001,0),0)))</f>
        <v>0</v>
      </c>
      <c r="B848" s="4">
        <f>IF(OR(INDEX($AH$2:$AH$1001,MATCH(ROWS($AG$2:AG848),$AG$2:$AG$1001,0),1)&gt;=100000,INDEX($AN$1005:$BO$1005,1,MATCH(COLUMNS($AN$1006:AN1006),$AN$1006:$BO$1006,0))&gt;=100000), " ",IF(INDEX($AN$2:$BO$1001,MATCH(ROWS($AG$2:AG848),$AG$2:$AG$1001,0),MATCH(COLUMNS($AN$1006:AN1006),$AN$1006:$BO$1006,0)), HYPERLINK("#",""), HYPERLINK(CONCATENATE("#Metadata!", ADDRESS(INDEX($AI$2:$AI$1001,MATCH(ROWS($AG$2:AG848),$AG$2:$AG$1001,0),0), INDEX($AN$1004:$BO$1004,1,MATCH(COLUMNS($AN$1006:AN1006),$AN$1006:$BO$1006,0)))),"Fix")))</f>
        <v>0</v>
      </c>
      <c r="C848" s="4">
        <f>IF(OR(INDEX($AH$2:$AH$1001,MATCH(ROWS($AG$2:AG848),$AG$2:$AG$1001,0),1)&gt;=100000,INDEX($AN$1005:$BO$1005,1,MATCH(COLUMNS($AN$1006:AO1006),$AN$1006:$BO$1006,0))&gt;=100000), " ",IF(INDEX($AN$2:$BO$1001,MATCH(ROWS($AG$2:AG848),$AG$2:$AG$1001,0),MATCH(COLUMNS($AN$1006:AO1006),$AN$1006:$BO$1006,0)), HYPERLINK("#",""), HYPERLINK(CONCATENATE("#Metadata!", ADDRESS(INDEX($AI$2:$AI$1001,MATCH(ROWS($AG$2:AG848),$AG$2:$AG$1001,0),0), INDEX($AN$1004:$BO$1004,1,MATCH(COLUMNS($AN$1006:AO1006),$AN$1006:$BO$1006,0)))),"Fix")))</f>
        <v>0</v>
      </c>
      <c r="D848" s="4">
        <f>IF(OR(INDEX($AH$2:$AH$1001,MATCH(ROWS($AG$2:AG848),$AG$2:$AG$1001,0),1)&gt;=100000,INDEX($AN$1005:$BO$1005,1,MATCH(COLUMNS($AN$1006:AP1006),$AN$1006:$BO$1006,0))&gt;=100000), " ",IF(INDEX($AN$2:$BO$1001,MATCH(ROWS($AG$2:AG848),$AG$2:$AG$1001,0),MATCH(COLUMNS($AN$1006:AP1006),$AN$1006:$BO$1006,0)), HYPERLINK("#",""), HYPERLINK(CONCATENATE("#Metadata!", ADDRESS(INDEX($AI$2:$AI$1001,MATCH(ROWS($AG$2:AG848),$AG$2:$AG$1001,0),0), INDEX($AN$1004:$BO$1004,1,MATCH(COLUMNS($AN$1006:AP1006),$AN$1006:$BO$1006,0)))),"Fix")))</f>
        <v>0</v>
      </c>
      <c r="E848" s="4">
        <f>IF(OR(INDEX($AH$2:$AH$1001,MATCH(ROWS($AG$2:AG848),$AG$2:$AG$1001,0),1)&gt;=100000,INDEX($AN$1005:$BO$1005,1,MATCH(COLUMNS($AN$1006:AQ1006),$AN$1006:$BO$1006,0))&gt;=100000), " ",IF(INDEX($AN$2:$BO$1001,MATCH(ROWS($AG$2:AG848),$AG$2:$AG$1001,0),MATCH(COLUMNS($AN$1006:AQ1006),$AN$1006:$BO$1006,0)), HYPERLINK("#",""), HYPERLINK(CONCATENATE("#Metadata!", ADDRESS(INDEX($AI$2:$AI$1001,MATCH(ROWS($AG$2:AG848),$AG$2:$AG$1001,0),0), INDEX($AN$1004:$BO$1004,1,MATCH(COLUMNS($AN$1006:AQ1006),$AN$1006:$BO$1006,0)))),"Fix")))</f>
        <v>0</v>
      </c>
      <c r="F848" s="4">
        <f>IF(OR(INDEX($AH$2:$AH$1001,MATCH(ROWS($AG$2:AG848),$AG$2:$AG$1001,0),1)&gt;=100000,INDEX($AN$1005:$BO$1005,1,MATCH(COLUMNS($AN$1006:AR1006),$AN$1006:$BO$1006,0))&gt;=100000), " ",IF(INDEX($AN$2:$BO$1001,MATCH(ROWS($AG$2:AG848),$AG$2:$AG$1001,0),MATCH(COLUMNS($AN$1006:AR1006),$AN$1006:$BO$1006,0)), HYPERLINK("#",""), HYPERLINK(CONCATENATE("#Metadata!", ADDRESS(INDEX($AI$2:$AI$1001,MATCH(ROWS($AG$2:AG848),$AG$2:$AG$1001,0),0), INDEX($AN$1004:$BO$1004,1,MATCH(COLUMNS($AN$1006:AR1006),$AN$1006:$BO$1006,0)))),"Fix")))</f>
        <v>0</v>
      </c>
      <c r="G848" s="4">
        <f>IF(OR(INDEX($AH$2:$AH$1001,MATCH(ROWS($AG$2:AG848),$AG$2:$AG$1001,0),1)&gt;=100000,INDEX($AN$1005:$BO$1005,1,MATCH(COLUMNS($AN$1006:AS1006),$AN$1006:$BO$1006,0))&gt;=100000), " ",IF(INDEX($AN$2:$BO$1001,MATCH(ROWS($AG$2:AG848),$AG$2:$AG$1001,0),MATCH(COLUMNS($AN$1006:AS1006),$AN$1006:$BO$1006,0)), HYPERLINK("#",""), HYPERLINK(CONCATENATE("#Metadata!", ADDRESS(INDEX($AI$2:$AI$1001,MATCH(ROWS($AG$2:AG848),$AG$2:$AG$1001,0),0), INDEX($AN$1004:$BO$1004,1,MATCH(COLUMNS($AN$1006:AS1006),$AN$1006:$BO$1006,0)))),"Fix")))</f>
        <v>0</v>
      </c>
      <c r="H848" s="4">
        <f>IF(OR(INDEX($AH$2:$AH$1001,MATCH(ROWS($AG$2:AG848),$AG$2:$AG$1001,0),1)&gt;=100000,INDEX($AN$1005:$BO$1005,1,MATCH(COLUMNS($AN$1006:AT1006),$AN$1006:$BO$1006,0))&gt;=100000), " ",IF(INDEX($AN$2:$BO$1001,MATCH(ROWS($AG$2:AG848),$AG$2:$AG$1001,0),MATCH(COLUMNS($AN$1006:AT1006),$AN$1006:$BO$1006,0)), HYPERLINK("#",""), HYPERLINK(CONCATENATE("#Metadata!", ADDRESS(INDEX($AI$2:$AI$1001,MATCH(ROWS($AG$2:AG848),$AG$2:$AG$1001,0),0), INDEX($AN$1004:$BO$1004,1,MATCH(COLUMNS($AN$1006:AT1006),$AN$1006:$BO$1006,0)))),"Fix")))</f>
        <v>0</v>
      </c>
      <c r="I848" s="4">
        <f>IF(OR(INDEX($AH$2:$AH$1001,MATCH(ROWS($AG$2:AG848),$AG$2:$AG$1001,0),1)&gt;=100000,INDEX($AN$1005:$BO$1005,1,MATCH(COLUMNS($AN$1006:AU1006),$AN$1006:$BO$1006,0))&gt;=100000), " ",IF(INDEX($AN$2:$BO$1001,MATCH(ROWS($AG$2:AG848),$AG$2:$AG$1001,0),MATCH(COLUMNS($AN$1006:AU1006),$AN$1006:$BO$1006,0)), HYPERLINK("#",""), HYPERLINK(CONCATENATE("#Metadata!", ADDRESS(INDEX($AI$2:$AI$1001,MATCH(ROWS($AG$2:AG848),$AG$2:$AG$1001,0),0), INDEX($AN$1004:$BO$1004,1,MATCH(COLUMNS($AN$1006:AU1006),$AN$1006:$BO$1006,0)))),"Fix")))</f>
        <v>0</v>
      </c>
      <c r="J848" s="4">
        <f>IF(OR(INDEX($AH$2:$AH$1001,MATCH(ROWS($AG$2:AG848),$AG$2:$AG$1001,0),1)&gt;=100000,INDEX($AN$1005:$BO$1005,1,MATCH(COLUMNS($AN$1006:AV1006),$AN$1006:$BO$1006,0))&gt;=100000), " ",IF(INDEX($AN$2:$BO$1001,MATCH(ROWS($AG$2:AG848),$AG$2:$AG$1001,0),MATCH(COLUMNS($AN$1006:AV1006),$AN$1006:$BO$1006,0)), HYPERLINK("#",""), HYPERLINK(CONCATENATE("#Metadata!", ADDRESS(INDEX($AI$2:$AI$1001,MATCH(ROWS($AG$2:AG848),$AG$2:$AG$1001,0),0), INDEX($AN$1004:$BO$1004,1,MATCH(COLUMNS($AN$1006:AV1006),$AN$1006:$BO$1006,0)))),"Fix")))</f>
        <v>0</v>
      </c>
      <c r="K848" s="4">
        <f>IF(OR(INDEX($AH$2:$AH$1001,MATCH(ROWS($AG$2:AG848),$AG$2:$AG$1001,0),1)&gt;=100000,INDEX($AN$1005:$BO$1005,1,MATCH(COLUMNS($AN$1006:AW1006),$AN$1006:$BO$1006,0))&gt;=100000), " ",IF(INDEX($AN$2:$BO$1001,MATCH(ROWS($AG$2:AG848),$AG$2:$AG$1001,0),MATCH(COLUMNS($AN$1006:AW1006),$AN$1006:$BO$1006,0)), HYPERLINK("#",""), HYPERLINK(CONCATENATE("#Metadata!", ADDRESS(INDEX($AI$2:$AI$1001,MATCH(ROWS($AG$2:AG848),$AG$2:$AG$1001,0),0), INDEX($AN$1004:$BO$1004,1,MATCH(COLUMNS($AN$1006:AW1006),$AN$1006:$BO$1006,0)))),"Fix")))</f>
        <v>0</v>
      </c>
      <c r="L848" s="4">
        <f>IF(OR(INDEX($AH$2:$AH$1001,MATCH(ROWS($AG$2:AG848),$AG$2:$AG$1001,0),1)&gt;=100000,INDEX($AN$1005:$BO$1005,1,MATCH(COLUMNS($AN$1006:AX1006),$AN$1006:$BO$1006,0))&gt;=100000), " ",IF(INDEX($AN$2:$BO$1001,MATCH(ROWS($AG$2:AG848),$AG$2:$AG$1001,0),MATCH(COLUMNS($AN$1006:AX1006),$AN$1006:$BO$1006,0)), HYPERLINK("#",""), HYPERLINK(CONCATENATE("#Metadata!", ADDRESS(INDEX($AI$2:$AI$1001,MATCH(ROWS($AG$2:AG848),$AG$2:$AG$1001,0),0), INDEX($AN$1004:$BO$1004,1,MATCH(COLUMNS($AN$1006:AX1006),$AN$1006:$BO$1006,0)))),"Fix")))</f>
        <v>0</v>
      </c>
      <c r="M848" s="4">
        <f>IF(OR(INDEX($AH$2:$AH$1001,MATCH(ROWS($AG$2:AG848),$AG$2:$AG$1001,0),1)&gt;=100000,INDEX($AN$1005:$BO$1005,1,MATCH(COLUMNS($AN$1006:AY1006),$AN$1006:$BO$1006,0))&gt;=100000), " ",IF(INDEX($AN$2:$BO$1001,MATCH(ROWS($AG$2:AG848),$AG$2:$AG$1001,0),MATCH(COLUMNS($AN$1006:AY1006),$AN$1006:$BO$1006,0)), HYPERLINK("#",""), HYPERLINK(CONCATENATE("#Metadata!", ADDRESS(INDEX($AI$2:$AI$1001,MATCH(ROWS($AG$2:AG848),$AG$2:$AG$1001,0),0), INDEX($AN$1004:$BO$1004,1,MATCH(COLUMNS($AN$1006:AY1006),$AN$1006:$BO$1006,0)))),"Fix")))</f>
        <v>0</v>
      </c>
      <c r="N848" s="4">
        <f>IF(OR(INDEX($AH$2:$AH$1001,MATCH(ROWS($AG$2:AG848),$AG$2:$AG$1001,0),1)&gt;=100000,INDEX($AN$1005:$BO$1005,1,MATCH(COLUMNS($AN$1006:AZ1006),$AN$1006:$BO$1006,0))&gt;=100000), " ",IF(INDEX($AN$2:$BO$1001,MATCH(ROWS($AG$2:AG848),$AG$2:$AG$1001,0),MATCH(COLUMNS($AN$1006:AZ1006),$AN$1006:$BO$1006,0)), HYPERLINK("#",""), HYPERLINK(CONCATENATE("#Metadata!", ADDRESS(INDEX($AI$2:$AI$1001,MATCH(ROWS($AG$2:AG848),$AG$2:$AG$1001,0),0), INDEX($AN$1004:$BO$1004,1,MATCH(COLUMNS($AN$1006:AZ1006),$AN$1006:$BO$1006,0)))),"Fix")))</f>
        <v>0</v>
      </c>
      <c r="O848" s="4">
        <f>IF(OR(INDEX($AH$2:$AH$1001,MATCH(ROWS($AG$2:AG848),$AG$2:$AG$1001,0),1)&gt;=100000,INDEX($AN$1005:$BO$1005,1,MATCH(COLUMNS($AN$1006:BA1006),$AN$1006:$BO$1006,0))&gt;=100000), " ",IF(INDEX($AN$2:$BO$1001,MATCH(ROWS($AG$2:AG848),$AG$2:$AG$1001,0),MATCH(COLUMNS($AN$1006:BA1006),$AN$1006:$BO$1006,0)), HYPERLINK("#",""), HYPERLINK(CONCATENATE("#Metadata!", ADDRESS(INDEX($AI$2:$AI$1001,MATCH(ROWS($AG$2:AG848),$AG$2:$AG$1001,0),0), INDEX($AN$1004:$BO$1004,1,MATCH(COLUMNS($AN$1006:BA1006),$AN$1006:$BO$1006,0)))),"Fix")))</f>
        <v>0</v>
      </c>
      <c r="P848" s="4">
        <f>IF(OR(INDEX($AH$2:$AH$1001,MATCH(ROWS($AG$2:AG848),$AG$2:$AG$1001,0),1)&gt;=100000,INDEX($AN$1005:$BO$1005,1,MATCH(COLUMNS($AN$1006:BB1006),$AN$1006:$BO$1006,0))&gt;=100000), " ",IF(INDEX($AN$2:$BO$1001,MATCH(ROWS($AG$2:AG848),$AG$2:$AG$1001,0),MATCH(COLUMNS($AN$1006:BB1006),$AN$1006:$BO$1006,0)), HYPERLINK("#",""), HYPERLINK(CONCATENATE("#Metadata!", ADDRESS(INDEX($AI$2:$AI$1001,MATCH(ROWS($AG$2:AG848),$AG$2:$AG$1001,0),0), INDEX($AN$1004:$BO$1004,1,MATCH(COLUMNS($AN$1006:BB1006),$AN$1006:$BO$1006,0)))),"Fix")))</f>
        <v>0</v>
      </c>
      <c r="Q848" s="4">
        <f>IF(OR(INDEX($AH$2:$AH$1001,MATCH(ROWS($AG$2:AG848),$AG$2:$AG$1001,0),1)&gt;=100000,INDEX($AN$1005:$BO$1005,1,MATCH(COLUMNS($AN$1006:BC1006),$AN$1006:$BO$1006,0))&gt;=100000), " ",IF(INDEX($AN$2:$BO$1001,MATCH(ROWS($AG$2:AG848),$AG$2:$AG$1001,0),MATCH(COLUMNS($AN$1006:BC1006),$AN$1006:$BO$1006,0)), HYPERLINK("#",""), HYPERLINK(CONCATENATE("#Metadata!", ADDRESS(INDEX($AI$2:$AI$1001,MATCH(ROWS($AG$2:AG848),$AG$2:$AG$1001,0),0), INDEX($AN$1004:$BO$1004,1,MATCH(COLUMNS($AN$1006:BC1006),$AN$1006:$BO$1006,0)))),"Fix")))</f>
        <v>0</v>
      </c>
      <c r="R848" s="4">
        <f>IF(OR(INDEX($AH$2:$AH$1001,MATCH(ROWS($AG$2:AG848),$AG$2:$AG$1001,0),1)&gt;=100000,INDEX($AN$1005:$BO$1005,1,MATCH(COLUMNS($AN$1006:BD1006),$AN$1006:$BO$1006,0))&gt;=100000), " ",IF(INDEX($AN$2:$BO$1001,MATCH(ROWS($AG$2:AG848),$AG$2:$AG$1001,0),MATCH(COLUMNS($AN$1006:BD1006),$AN$1006:$BO$1006,0)), HYPERLINK("#",""), HYPERLINK(CONCATENATE("#Metadata!", ADDRESS(INDEX($AI$2:$AI$1001,MATCH(ROWS($AG$2:AG848),$AG$2:$AG$1001,0),0), INDEX($AN$1004:$BO$1004,1,MATCH(COLUMNS($AN$1006:BD1006),$AN$1006:$BO$1006,0)))),"Fix")))</f>
        <v>0</v>
      </c>
      <c r="S848" s="4">
        <f>IF(OR(INDEX($AH$2:$AH$1001,MATCH(ROWS($AG$2:AG848),$AG$2:$AG$1001,0),1)&gt;=100000,INDEX($AN$1005:$BO$1005,1,MATCH(COLUMNS($AN$1006:BE1006),$AN$1006:$BO$1006,0))&gt;=100000), " ",IF(INDEX($AN$2:$BO$1001,MATCH(ROWS($AG$2:AG848),$AG$2:$AG$1001,0),MATCH(COLUMNS($AN$1006:BE1006),$AN$1006:$BO$1006,0)), HYPERLINK("#",""), HYPERLINK(CONCATENATE("#Metadata!", ADDRESS(INDEX($AI$2:$AI$1001,MATCH(ROWS($AG$2:AG848),$AG$2:$AG$1001,0),0), INDEX($AN$1004:$BO$1004,1,MATCH(COLUMNS($AN$1006:BE1006),$AN$1006:$BO$1006,0)))),"Fix")))</f>
        <v>0</v>
      </c>
      <c r="T848" s="4">
        <f>IF(OR(INDEX($AH$2:$AH$1001,MATCH(ROWS($AG$2:AG848),$AG$2:$AG$1001,0),1)&gt;=100000,INDEX($AN$1005:$BO$1005,1,MATCH(COLUMNS($AN$1006:BF1006),$AN$1006:$BO$1006,0))&gt;=100000), " ",IF(INDEX($AN$2:$BO$1001,MATCH(ROWS($AG$2:AG848),$AG$2:$AG$1001,0),MATCH(COLUMNS($AN$1006:BF1006),$AN$1006:$BO$1006,0)), HYPERLINK("#",""), HYPERLINK(CONCATENATE("#Metadata!", ADDRESS(INDEX($AI$2:$AI$1001,MATCH(ROWS($AG$2:AG848),$AG$2:$AG$1001,0),0), INDEX($AN$1004:$BO$1004,1,MATCH(COLUMNS($AN$1006:BF1006),$AN$1006:$BO$1006,0)))),"Fix")))</f>
        <v>0</v>
      </c>
      <c r="U848" s="4">
        <f>IF(OR(INDEX($AH$2:$AH$1001,MATCH(ROWS($AG$2:AG848),$AG$2:$AG$1001,0),1)&gt;=100000,INDEX($AN$1005:$BO$1005,1,MATCH(COLUMNS($AN$1006:BG1006),$AN$1006:$BO$1006,0))&gt;=100000), " ",IF(INDEX($AN$2:$BO$1001,MATCH(ROWS($AG$2:AG848),$AG$2:$AG$1001,0),MATCH(COLUMNS($AN$1006:BG1006),$AN$1006:$BO$1006,0)), HYPERLINK("#",""), HYPERLINK(CONCATENATE("#Metadata!", ADDRESS(INDEX($AI$2:$AI$1001,MATCH(ROWS($AG$2:AG848),$AG$2:$AG$1001,0),0), INDEX($AN$1004:$BO$1004,1,MATCH(COLUMNS($AN$1006:BG1006),$AN$1006:$BO$1006,0)))),"Fix")))</f>
        <v>0</v>
      </c>
      <c r="V848" s="4">
        <f>IF(OR(INDEX($AH$2:$AH$1001,MATCH(ROWS($AG$2:AG848),$AG$2:$AG$1001,0),1)&gt;=100000,INDEX($AN$1005:$BO$1005,1,MATCH(COLUMNS($AN$1006:BH1006),$AN$1006:$BO$1006,0))&gt;=100000), " ",IF(INDEX($AN$2:$BO$1001,MATCH(ROWS($AG$2:AG848),$AG$2:$AG$1001,0),MATCH(COLUMNS($AN$1006:BH1006),$AN$1006:$BO$1006,0)), HYPERLINK("#",""), HYPERLINK(CONCATENATE("#Metadata!", ADDRESS(INDEX($AI$2:$AI$1001,MATCH(ROWS($AG$2:AG848),$AG$2:$AG$1001,0),0), INDEX($AN$1004:$BO$1004,1,MATCH(COLUMNS($AN$1006:BH1006),$AN$1006:$BO$1006,0)))),"Fix")))</f>
        <v>0</v>
      </c>
      <c r="W848" s="4">
        <f>IF(OR(INDEX($AH$2:$AH$1001,MATCH(ROWS($AG$2:AG848),$AG$2:$AG$1001,0),1)&gt;=100000,INDEX($AN$1005:$BO$1005,1,MATCH(COLUMNS($AN$1006:BI1006),$AN$1006:$BO$1006,0))&gt;=100000), " ",IF(INDEX($AN$2:$BO$1001,MATCH(ROWS($AG$2:AG848),$AG$2:$AG$1001,0),MATCH(COLUMNS($AN$1006:BI1006),$AN$1006:$BO$1006,0)), HYPERLINK("#",""), HYPERLINK(CONCATENATE("#Metadata!", ADDRESS(INDEX($AI$2:$AI$1001,MATCH(ROWS($AG$2:AG848),$AG$2:$AG$1001,0),0), INDEX($AN$1004:$BO$1004,1,MATCH(COLUMNS($AN$1006:BI1006),$AN$1006:$BO$1006,0)))),"Fix")))</f>
        <v>0</v>
      </c>
      <c r="X848" s="4">
        <f>IF(OR(INDEX($AH$2:$AH$1001,MATCH(ROWS($AG$2:AG848),$AG$2:$AG$1001,0),1)&gt;=100000,INDEX($AN$1005:$BO$1005,1,MATCH(COLUMNS($AN$1006:BJ1006),$AN$1006:$BO$1006,0))&gt;=100000), " ",IF(INDEX($AN$2:$BO$1001,MATCH(ROWS($AG$2:AG848),$AG$2:$AG$1001,0),MATCH(COLUMNS($AN$1006:BJ1006),$AN$1006:$BO$1006,0)), HYPERLINK("#",""), HYPERLINK(CONCATENATE("#Metadata!", ADDRESS(INDEX($AI$2:$AI$1001,MATCH(ROWS($AG$2:AG848),$AG$2:$AG$1001,0),0), INDEX($AN$1004:$BO$1004,1,MATCH(COLUMNS($AN$1006:BJ1006),$AN$1006:$BO$1006,0)))),"Fix")))</f>
        <v>0</v>
      </c>
      <c r="Y848" s="4">
        <f>IF(OR(INDEX($AH$2:$AH$1001,MATCH(ROWS($AG$2:AG848),$AG$2:$AG$1001,0),1)&gt;=100000,INDEX($AN$1005:$BO$1005,1,MATCH(COLUMNS($AN$1006:BK1006),$AN$1006:$BO$1006,0))&gt;=100000), " ",IF(INDEX($AN$2:$BO$1001,MATCH(ROWS($AG$2:AG848),$AG$2:$AG$1001,0),MATCH(COLUMNS($AN$1006:BK1006),$AN$1006:$BO$1006,0)), HYPERLINK("#",""), HYPERLINK(CONCATENATE("#Metadata!", ADDRESS(INDEX($AI$2:$AI$1001,MATCH(ROWS($AG$2:AG848),$AG$2:$AG$1001,0),0), INDEX($AN$1004:$BO$1004,1,MATCH(COLUMNS($AN$1006:BK1006),$AN$1006:$BO$1006,0)))),"Fix")))</f>
        <v>0</v>
      </c>
      <c r="Z848" s="4">
        <f>IF(OR(INDEX($AH$2:$AH$1001,MATCH(ROWS($AG$2:AG848),$AG$2:$AG$1001,0),1)&gt;=100000,INDEX($AN$1005:$BO$1005,1,MATCH(COLUMNS($AN$1006:BL1006),$AN$1006:$BO$1006,0))&gt;=100000), " ",IF(INDEX($AN$2:$BO$1001,MATCH(ROWS($AG$2:AG848),$AG$2:$AG$1001,0),MATCH(COLUMNS($AN$1006:BL1006),$AN$1006:$BO$1006,0)), HYPERLINK("#",""), HYPERLINK(CONCATENATE("#Metadata!", ADDRESS(INDEX($AI$2:$AI$1001,MATCH(ROWS($AG$2:AG848),$AG$2:$AG$1001,0),0), INDEX($AN$1004:$BO$1004,1,MATCH(COLUMNS($AN$1006:BL1006),$AN$1006:$BO$1006,0)))),"Fix")))</f>
        <v>0</v>
      </c>
      <c r="AA848" s="4">
        <f>IF(OR(INDEX($AH$2:$AH$1001,MATCH(ROWS($AG$2:AG848),$AG$2:$AG$1001,0),1)&gt;=100000,INDEX($AN$1005:$BO$1005,1,MATCH(COLUMNS($AN$1006:BM1006),$AN$1006:$BO$1006,0))&gt;=100000), " ",IF(INDEX($AN$2:$BO$1001,MATCH(ROWS($AG$2:AG848),$AG$2:$AG$1001,0),MATCH(COLUMNS($AN$1006:BM1006),$AN$1006:$BO$1006,0)), HYPERLINK("#",""), HYPERLINK(CONCATENATE("#Metadata!", ADDRESS(INDEX($AI$2:$AI$1001,MATCH(ROWS($AG$2:AG848),$AG$2:$AG$1001,0),0), INDEX($AN$1004:$BO$1004,1,MATCH(COLUMNS($AN$1006:BM1006),$AN$1006:$BO$1006,0)))),"Fix")))</f>
        <v>0</v>
      </c>
      <c r="AB848" s="4">
        <f>IF(OR(INDEX($AH$2:$AH$1001,MATCH(ROWS($AG$2:AG848),$AG$2:$AG$1001,0),1)&gt;=100000,INDEX($AN$1005:$BO$1005,1,MATCH(COLUMNS($AN$1006:BN1006),$AN$1006:$BO$1006,0))&gt;=100000), " ",IF(INDEX($AN$2:$BO$1001,MATCH(ROWS($AG$2:AG848),$AG$2:$AG$1001,0),MATCH(COLUMNS($AN$1006:BN1006),$AN$1006:$BO$1006,0)), HYPERLINK("#",""), HYPERLINK(CONCATENATE("#Metadata!", ADDRESS(INDEX($AI$2:$AI$1001,MATCH(ROWS($AG$2:AG848),$AG$2:$AG$1001,0),0), INDEX($AN$1004:$BO$1004,1,MATCH(COLUMNS($AN$1006:BN1006),$AN$1006:$BO$1006,0)))),"Fix")))</f>
        <v>0</v>
      </c>
      <c r="AC848" s="4">
        <f>IF(OR(INDEX($AH$2:$AH$1001,MATCH(ROWS($AG$2:AG848),$AG$2:$AG$1001,0),1)&gt;=100000,INDEX($AN$1005:$BO$1005,1,MATCH(COLUMNS($AN$1006:BO1006),$AN$1006:$BO$1006,0))&gt;=100000), " ",IF(INDEX($AN$2:$BO$1001,MATCH(ROWS($AG$2:AG848),$AG$2:$AG$1001,0),MATCH(COLUMNS($AN$1006:BO1006),$AN$1006:$BO$1006,0)), HYPERLINK("#",""), HYPERLINK(CONCATENATE("#Metadata!", ADDRESS(INDEX($AI$2:$AI$1001,MATCH(ROWS($AG$2:AG848),$AG$2:$AG$1001,0),0), INDEX($AN$1004:$BO$1004,1,MATCH(COLUMNS($AN$1006:BO1006),$AN$1006:$BO$1006,0)))),"Fix")))</f>
        <v>0</v>
      </c>
      <c r="AG848">
        <v>0</v>
      </c>
      <c r="AH848">
        <v>0</v>
      </c>
      <c r="AI848">
        <v>0</v>
      </c>
      <c r="AJ848">
        <f>IF(AK848,TRUE,AND(AN848:BO848))</f>
        <v>0</v>
      </c>
      <c r="AK848">
        <f>COUNTBLANK(Metadata!B848:AC848)=COLUMNS(Metadata!B848:AC848)</f>
        <v>0</v>
      </c>
      <c r="AL848">
        <v>0</v>
      </c>
      <c r="AN848">
        <f>AND(IF(Metadata!B848="",FALSE,TRUE),COUNTIF(Metadata!B:B, Metadata!B848) = 1,NOT(ISERROR(SUMPRODUCT(SEARCH(MID(Metadata!B848,ROW(INDIRECT("1:"&amp;LEN(Metadata!B848))), 1),"0123456789abcdefghijklmnopqrstuvwxyzABCDEFGHIJKLMNOPQRSTUVWXYZ.")))))</f>
        <v>0</v>
      </c>
      <c r="AO848">
        <f>IF(Metadata!C848="",FALSE,TRUE)</f>
        <v>0</v>
      </c>
      <c r="AP848">
        <f>IF(Metadata!D848="",FALSE,TRUE)</f>
        <v>0</v>
      </c>
      <c r="AQ848">
        <f>OR(AND(IF(Metadata!E848="",FALSE,TRUE),OR(exact(Metadata!E848,"not collected"),exact(Metadata!E848,"not provided"),exact(Metadata!E848,"restricted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R848">
        <f>IF(Metadata!F848="",FALSE,TRUE)</f>
        <v>0</v>
      </c>
      <c r="AS848">
        <f>OR(AND(IF(Metadata!G848="",FALSE,TRUE),OR(exact(Metadata!G848,"not collected"),exact(Metadata!G848,"not provided"))),AND(IF(Metadata!G848="",FALSE,TRUE),OR(exact(Metadata!G848,"TRUE"),exact(Metadata!G848,"FALSE"))))</f>
        <v>0</v>
      </c>
      <c r="AT848">
        <f>OR(AND(IF(Metadata!H848="",FALSE,TRUE),OR(exact(Metadata!H848,"not collected"),exact(Metadata!H848,"not provided"),exact(Metadata!H848,"restricted access"))),AND(IF(Metadata!H848="",FALSE,ISNUMBER(VALUE(Metadata!H848))),Metadata!H848&gt;=-413.0))</f>
        <v>0</v>
      </c>
      <c r="AU848">
        <f>AND(IF(Metadata!I848="",FALSE,TRUE),exact(Metadata!I848,"meters"))</f>
        <v>0</v>
      </c>
      <c r="AV848">
        <f>AND(IF(Metadata!J848="",FALSE,TRUE),OR(exact(Metadata!J848,"Host-associated"),exact(Metadata!J848,"Free-living")))</f>
        <v>0</v>
      </c>
      <c r="AW848">
        <f>AND(IF(Metadata!K848="",FALSE,TRUE),OR(exact(Metadata!K848,"Animal"),exact(Metadata!K848,"Fungus"),exact(Metadata!K848,"Plant"),exact(Metadata!K848,"Saline"),exact(Metadata!K848,"Non-saline")))</f>
        <v>0</v>
      </c>
      <c r="AX848">
        <f>AND(IF(Metadata!L848="",FALSE,TRUE),OR(exact(Metadata!L848,"Plant secretion"),exact(Metadata!L848,"Plant rhizosphere"),exact(Metadata!L848,"Plant surface"),exact(Metadata!L848,"Plant corpus"),exact(Metadata!L848,"Fungus surface"),exact(Metadata!L848,"Fungus corpus"),exact(Metadata!L848,"Animal surface"),exact(Metadata!L848,"Animal proximal gut"),exact(Metadata!L848,"Animal corpus"),exact(Metadata!L848,"Animal distal gut"),exact(Metadata!L848,"Animal secretion"),exact(Metadata!L848,"Sub-surface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Y848">
        <f>IF(Metadata!M848="",FALSE,TRUE)</f>
        <v>0</v>
      </c>
      <c r="AZ848">
        <f>IF(Metadata!N848="",FALSE,TRUE)</f>
        <v>0</v>
      </c>
      <c r="BA848">
        <f>IF(Metadata!O848="",FALSE,TRUE)</f>
        <v>0</v>
      </c>
      <c r="BB848">
        <f>OR(AND(IF(Metadata!P848="",FALSE,TRUE),OR(exact(Metadata!P848,"not collected"),exact(Metadata!P848,"not provided"),exact(Metadata!P848,"restricted access"))),AND(IF(Metadata!P848="",FALSE,TRUE),OR(exact(Metadata!P848,"air"),exact(Metadata!P848,"built environment"),exact(Metadata!P848,"host-associated"),exact(Metadata!P848,"human-associated"),exact(Metadata!P848,"human-skin"),exact(Metadata!P848,"human-oral"),exact(Metadata!P848,"human-gut"),exact(Metadata!P848,"human-vaginal"),exact(Metadata!P848,"microbial mat/biofilm"),exact(Metadata!P848,"misc environment"),exact(Metadata!P848,"plant-associated"),exact(Metadata!P848,"sediment"),exact(Metadata!P848,"soil"),exact(Metadata!P848,"wastewater/sludge"),exact(Metadata!P848,"water"))))</f>
        <v>0</v>
      </c>
      <c r="BC848">
        <f>IF(Metadata!Q848="",FALSE,TRUE)</f>
        <v>0</v>
      </c>
      <c r="BD848">
        <f>IF(Metadata!R848="",FALSE,TRUE)</f>
        <v>0</v>
      </c>
      <c r="BE848">
        <f>OR(AND(IF(Metadata!S848="",FALSE,TRUE),OR(exact(Metadata!S848,"not collected"),exact(Metadata!S848,"not provided"),exact(Metadata!S848,"restricted access"))),AND(IF(Metadata!S848="",FALSE,ISNUMBER(VALUE(Metadata!S848))),Metadata!S848&gt;=-90.00,Metadata!S848&lt;=90.00))</f>
        <v>0</v>
      </c>
      <c r="BF848">
        <f>AND(IF(Metadata!T848="",FALSE,TRUE),exact(Metadata!T848,"Decimal degrees"))</f>
        <v>0</v>
      </c>
      <c r="BG848">
        <f>OR(AND(IF(Metadata!U848="",FALSE,TRUE),OR(exact(Metadata!U848,"not collected"),exact(Metadata!U848,"not provided"),exact(Metadata!U848,"restricted access"))),AND(IF(Metadata!U848="",FALSE,ISNUMBER(VALUE(Metadata!U848))),Metadata!U848&gt;=-180.00,Metadata!U848&lt;=180.00))</f>
        <v>0</v>
      </c>
      <c r="BH848">
        <f>AND(IF(Metadata!V848="",FALSE,TRUE),exact(Metadata!V848,"Decimal degrees"))</f>
        <v>0</v>
      </c>
      <c r="BI848">
        <f>IF(Metadata!W848="",FALSE,TRUE)</f>
        <v>0</v>
      </c>
      <c r="BJ848">
        <f>OR(AND(IF(Metadata!X848="",FALSE,TRUE),OR(exact(Metadata!X848,"not collected"),exact(Metadata!X848,"not provided"),exact(Metadata!X848,"restricted access"))),AND(IF(Metadata!X848="",FALSE,TRUE),OR(exact(Metadata!X848,"TRUE"),exact(Metadata!X848,"FALSE"))))</f>
        <v>0</v>
      </c>
      <c r="BK848">
        <f>AND(IF(Metadata!Y848="",FALSE,TRUE),exact(Metadata!Y848,"other"))</f>
        <v>0</v>
      </c>
      <c r="BL848">
        <f>IF(Metadata!Z848="",FALSE,TRUE)</f>
        <v>0</v>
      </c>
      <c r="BM848">
        <f>OR(AND(IF(Metadata!AA848="",FALSE,TRUE),OR(exact(Metadata!AA848,"not collected"),exact(Metadata!AA848,"not provided"))),AND(IF(Metadata!AA848="",FALSE,IF(ISERROR(INT(Metadata!AA848)),FALSE,INT(Metadata!AA848)=Metadata!AA848)),Metadata!AA848&gt;0))</f>
        <v>0</v>
      </c>
      <c r="BN848">
        <f>AND(IF(Metadata!AB848="",FALSE,TRUE),exact(Metadata!AB848,"Not applicable"))</f>
        <v>0</v>
      </c>
      <c r="BO848">
        <f>IF(Metadata!AC848="",FALSE,TRUE)</f>
        <v>0</v>
      </c>
    </row>
    <row r="849" spans="1:67">
      <c r="A849" s="5">
        <f>IF(B849=" "," ",HYPERLINK(CONCATENATE("#metadata!",ADDRESS(INDEX($AI$2:$AI$1001,MATCH(ROWS($AG$2:AG849),$AG$2:$AG$1001,0),0),1)),INDEX($AL$2:$AL$1001,MATCH(ROWS($AG$2:AG849),$AG$2:$AG$1001,0),0)))</f>
        <v>0</v>
      </c>
      <c r="B849" s="4">
        <f>IF(OR(INDEX($AH$2:$AH$1001,MATCH(ROWS($AG$2:AG849),$AG$2:$AG$1001,0),1)&gt;=100000,INDEX($AN$1005:$BO$1005,1,MATCH(COLUMNS($AN$1006:AN1006),$AN$1006:$BO$1006,0))&gt;=100000), " ",IF(INDEX($AN$2:$BO$1001,MATCH(ROWS($AG$2:AG849),$AG$2:$AG$1001,0),MATCH(COLUMNS($AN$1006:AN1006),$AN$1006:$BO$1006,0)), HYPERLINK("#",""), HYPERLINK(CONCATENATE("#Metadata!", ADDRESS(INDEX($AI$2:$AI$1001,MATCH(ROWS($AG$2:AG849),$AG$2:$AG$1001,0),0), INDEX($AN$1004:$BO$1004,1,MATCH(COLUMNS($AN$1006:AN1006),$AN$1006:$BO$1006,0)))),"Fix")))</f>
        <v>0</v>
      </c>
      <c r="C849" s="4">
        <f>IF(OR(INDEX($AH$2:$AH$1001,MATCH(ROWS($AG$2:AG849),$AG$2:$AG$1001,0),1)&gt;=100000,INDEX($AN$1005:$BO$1005,1,MATCH(COLUMNS($AN$1006:AO1006),$AN$1006:$BO$1006,0))&gt;=100000), " ",IF(INDEX($AN$2:$BO$1001,MATCH(ROWS($AG$2:AG849),$AG$2:$AG$1001,0),MATCH(COLUMNS($AN$1006:AO1006),$AN$1006:$BO$1006,0)), HYPERLINK("#",""), HYPERLINK(CONCATENATE("#Metadata!", ADDRESS(INDEX($AI$2:$AI$1001,MATCH(ROWS($AG$2:AG849),$AG$2:$AG$1001,0),0), INDEX($AN$1004:$BO$1004,1,MATCH(COLUMNS($AN$1006:AO1006),$AN$1006:$BO$1006,0)))),"Fix")))</f>
        <v>0</v>
      </c>
      <c r="D849" s="4">
        <f>IF(OR(INDEX($AH$2:$AH$1001,MATCH(ROWS($AG$2:AG849),$AG$2:$AG$1001,0),1)&gt;=100000,INDEX($AN$1005:$BO$1005,1,MATCH(COLUMNS($AN$1006:AP1006),$AN$1006:$BO$1006,0))&gt;=100000), " ",IF(INDEX($AN$2:$BO$1001,MATCH(ROWS($AG$2:AG849),$AG$2:$AG$1001,0),MATCH(COLUMNS($AN$1006:AP1006),$AN$1006:$BO$1006,0)), HYPERLINK("#",""), HYPERLINK(CONCATENATE("#Metadata!", ADDRESS(INDEX($AI$2:$AI$1001,MATCH(ROWS($AG$2:AG849),$AG$2:$AG$1001,0),0), INDEX($AN$1004:$BO$1004,1,MATCH(COLUMNS($AN$1006:AP1006),$AN$1006:$BO$1006,0)))),"Fix")))</f>
        <v>0</v>
      </c>
      <c r="E849" s="4">
        <f>IF(OR(INDEX($AH$2:$AH$1001,MATCH(ROWS($AG$2:AG849),$AG$2:$AG$1001,0),1)&gt;=100000,INDEX($AN$1005:$BO$1005,1,MATCH(COLUMNS($AN$1006:AQ1006),$AN$1006:$BO$1006,0))&gt;=100000), " ",IF(INDEX($AN$2:$BO$1001,MATCH(ROWS($AG$2:AG849),$AG$2:$AG$1001,0),MATCH(COLUMNS($AN$1006:AQ1006),$AN$1006:$BO$1006,0)), HYPERLINK("#",""), HYPERLINK(CONCATENATE("#Metadata!", ADDRESS(INDEX($AI$2:$AI$1001,MATCH(ROWS($AG$2:AG849),$AG$2:$AG$1001,0),0), INDEX($AN$1004:$BO$1004,1,MATCH(COLUMNS($AN$1006:AQ1006),$AN$1006:$BO$1006,0)))),"Fix")))</f>
        <v>0</v>
      </c>
      <c r="F849" s="4">
        <f>IF(OR(INDEX($AH$2:$AH$1001,MATCH(ROWS($AG$2:AG849),$AG$2:$AG$1001,0),1)&gt;=100000,INDEX($AN$1005:$BO$1005,1,MATCH(COLUMNS($AN$1006:AR1006),$AN$1006:$BO$1006,0))&gt;=100000), " ",IF(INDEX($AN$2:$BO$1001,MATCH(ROWS($AG$2:AG849),$AG$2:$AG$1001,0),MATCH(COLUMNS($AN$1006:AR1006),$AN$1006:$BO$1006,0)), HYPERLINK("#",""), HYPERLINK(CONCATENATE("#Metadata!", ADDRESS(INDEX($AI$2:$AI$1001,MATCH(ROWS($AG$2:AG849),$AG$2:$AG$1001,0),0), INDEX($AN$1004:$BO$1004,1,MATCH(COLUMNS($AN$1006:AR1006),$AN$1006:$BO$1006,0)))),"Fix")))</f>
        <v>0</v>
      </c>
      <c r="G849" s="4">
        <f>IF(OR(INDEX($AH$2:$AH$1001,MATCH(ROWS($AG$2:AG849),$AG$2:$AG$1001,0),1)&gt;=100000,INDEX($AN$1005:$BO$1005,1,MATCH(COLUMNS($AN$1006:AS1006),$AN$1006:$BO$1006,0))&gt;=100000), " ",IF(INDEX($AN$2:$BO$1001,MATCH(ROWS($AG$2:AG849),$AG$2:$AG$1001,0),MATCH(COLUMNS($AN$1006:AS1006),$AN$1006:$BO$1006,0)), HYPERLINK("#",""), HYPERLINK(CONCATENATE("#Metadata!", ADDRESS(INDEX($AI$2:$AI$1001,MATCH(ROWS($AG$2:AG849),$AG$2:$AG$1001,0),0), INDEX($AN$1004:$BO$1004,1,MATCH(COLUMNS($AN$1006:AS1006),$AN$1006:$BO$1006,0)))),"Fix")))</f>
        <v>0</v>
      </c>
      <c r="H849" s="4">
        <f>IF(OR(INDEX($AH$2:$AH$1001,MATCH(ROWS($AG$2:AG849),$AG$2:$AG$1001,0),1)&gt;=100000,INDEX($AN$1005:$BO$1005,1,MATCH(COLUMNS($AN$1006:AT1006),$AN$1006:$BO$1006,0))&gt;=100000), " ",IF(INDEX($AN$2:$BO$1001,MATCH(ROWS($AG$2:AG849),$AG$2:$AG$1001,0),MATCH(COLUMNS($AN$1006:AT1006),$AN$1006:$BO$1006,0)), HYPERLINK("#",""), HYPERLINK(CONCATENATE("#Metadata!", ADDRESS(INDEX($AI$2:$AI$1001,MATCH(ROWS($AG$2:AG849),$AG$2:$AG$1001,0),0), INDEX($AN$1004:$BO$1004,1,MATCH(COLUMNS($AN$1006:AT1006),$AN$1006:$BO$1006,0)))),"Fix")))</f>
        <v>0</v>
      </c>
      <c r="I849" s="4">
        <f>IF(OR(INDEX($AH$2:$AH$1001,MATCH(ROWS($AG$2:AG849),$AG$2:$AG$1001,0),1)&gt;=100000,INDEX($AN$1005:$BO$1005,1,MATCH(COLUMNS($AN$1006:AU1006),$AN$1006:$BO$1006,0))&gt;=100000), " ",IF(INDEX($AN$2:$BO$1001,MATCH(ROWS($AG$2:AG849),$AG$2:$AG$1001,0),MATCH(COLUMNS($AN$1006:AU1006),$AN$1006:$BO$1006,0)), HYPERLINK("#",""), HYPERLINK(CONCATENATE("#Metadata!", ADDRESS(INDEX($AI$2:$AI$1001,MATCH(ROWS($AG$2:AG849),$AG$2:$AG$1001,0),0), INDEX($AN$1004:$BO$1004,1,MATCH(COLUMNS($AN$1006:AU1006),$AN$1006:$BO$1006,0)))),"Fix")))</f>
        <v>0</v>
      </c>
      <c r="J849" s="4">
        <f>IF(OR(INDEX($AH$2:$AH$1001,MATCH(ROWS($AG$2:AG849),$AG$2:$AG$1001,0),1)&gt;=100000,INDEX($AN$1005:$BO$1005,1,MATCH(COLUMNS($AN$1006:AV1006),$AN$1006:$BO$1006,0))&gt;=100000), " ",IF(INDEX($AN$2:$BO$1001,MATCH(ROWS($AG$2:AG849),$AG$2:$AG$1001,0),MATCH(COLUMNS($AN$1006:AV1006),$AN$1006:$BO$1006,0)), HYPERLINK("#",""), HYPERLINK(CONCATENATE("#Metadata!", ADDRESS(INDEX($AI$2:$AI$1001,MATCH(ROWS($AG$2:AG849),$AG$2:$AG$1001,0),0), INDEX($AN$1004:$BO$1004,1,MATCH(COLUMNS($AN$1006:AV1006),$AN$1006:$BO$1006,0)))),"Fix")))</f>
        <v>0</v>
      </c>
      <c r="K849" s="4">
        <f>IF(OR(INDEX($AH$2:$AH$1001,MATCH(ROWS($AG$2:AG849),$AG$2:$AG$1001,0),1)&gt;=100000,INDEX($AN$1005:$BO$1005,1,MATCH(COLUMNS($AN$1006:AW1006),$AN$1006:$BO$1006,0))&gt;=100000), " ",IF(INDEX($AN$2:$BO$1001,MATCH(ROWS($AG$2:AG849),$AG$2:$AG$1001,0),MATCH(COLUMNS($AN$1006:AW1006),$AN$1006:$BO$1006,0)), HYPERLINK("#",""), HYPERLINK(CONCATENATE("#Metadata!", ADDRESS(INDEX($AI$2:$AI$1001,MATCH(ROWS($AG$2:AG849),$AG$2:$AG$1001,0),0), INDEX($AN$1004:$BO$1004,1,MATCH(COLUMNS($AN$1006:AW1006),$AN$1006:$BO$1006,0)))),"Fix")))</f>
        <v>0</v>
      </c>
      <c r="L849" s="4">
        <f>IF(OR(INDEX($AH$2:$AH$1001,MATCH(ROWS($AG$2:AG849),$AG$2:$AG$1001,0),1)&gt;=100000,INDEX($AN$1005:$BO$1005,1,MATCH(COLUMNS($AN$1006:AX1006),$AN$1006:$BO$1006,0))&gt;=100000), " ",IF(INDEX($AN$2:$BO$1001,MATCH(ROWS($AG$2:AG849),$AG$2:$AG$1001,0),MATCH(COLUMNS($AN$1006:AX1006),$AN$1006:$BO$1006,0)), HYPERLINK("#",""), HYPERLINK(CONCATENATE("#Metadata!", ADDRESS(INDEX($AI$2:$AI$1001,MATCH(ROWS($AG$2:AG849),$AG$2:$AG$1001,0),0), INDEX($AN$1004:$BO$1004,1,MATCH(COLUMNS($AN$1006:AX1006),$AN$1006:$BO$1006,0)))),"Fix")))</f>
        <v>0</v>
      </c>
      <c r="M849" s="4">
        <f>IF(OR(INDEX($AH$2:$AH$1001,MATCH(ROWS($AG$2:AG849),$AG$2:$AG$1001,0),1)&gt;=100000,INDEX($AN$1005:$BO$1005,1,MATCH(COLUMNS($AN$1006:AY1006),$AN$1006:$BO$1006,0))&gt;=100000), " ",IF(INDEX($AN$2:$BO$1001,MATCH(ROWS($AG$2:AG849),$AG$2:$AG$1001,0),MATCH(COLUMNS($AN$1006:AY1006),$AN$1006:$BO$1006,0)), HYPERLINK("#",""), HYPERLINK(CONCATENATE("#Metadata!", ADDRESS(INDEX($AI$2:$AI$1001,MATCH(ROWS($AG$2:AG849),$AG$2:$AG$1001,0),0), INDEX($AN$1004:$BO$1004,1,MATCH(COLUMNS($AN$1006:AY1006),$AN$1006:$BO$1006,0)))),"Fix")))</f>
        <v>0</v>
      </c>
      <c r="N849" s="4">
        <f>IF(OR(INDEX($AH$2:$AH$1001,MATCH(ROWS($AG$2:AG849),$AG$2:$AG$1001,0),1)&gt;=100000,INDEX($AN$1005:$BO$1005,1,MATCH(COLUMNS($AN$1006:AZ1006),$AN$1006:$BO$1006,0))&gt;=100000), " ",IF(INDEX($AN$2:$BO$1001,MATCH(ROWS($AG$2:AG849),$AG$2:$AG$1001,0),MATCH(COLUMNS($AN$1006:AZ1006),$AN$1006:$BO$1006,0)), HYPERLINK("#",""), HYPERLINK(CONCATENATE("#Metadata!", ADDRESS(INDEX($AI$2:$AI$1001,MATCH(ROWS($AG$2:AG849),$AG$2:$AG$1001,0),0), INDEX($AN$1004:$BO$1004,1,MATCH(COLUMNS($AN$1006:AZ1006),$AN$1006:$BO$1006,0)))),"Fix")))</f>
        <v>0</v>
      </c>
      <c r="O849" s="4">
        <f>IF(OR(INDEX($AH$2:$AH$1001,MATCH(ROWS($AG$2:AG849),$AG$2:$AG$1001,0),1)&gt;=100000,INDEX($AN$1005:$BO$1005,1,MATCH(COLUMNS($AN$1006:BA1006),$AN$1006:$BO$1006,0))&gt;=100000), " ",IF(INDEX($AN$2:$BO$1001,MATCH(ROWS($AG$2:AG849),$AG$2:$AG$1001,0),MATCH(COLUMNS($AN$1006:BA1006),$AN$1006:$BO$1006,0)), HYPERLINK("#",""), HYPERLINK(CONCATENATE("#Metadata!", ADDRESS(INDEX($AI$2:$AI$1001,MATCH(ROWS($AG$2:AG849),$AG$2:$AG$1001,0),0), INDEX($AN$1004:$BO$1004,1,MATCH(COLUMNS($AN$1006:BA1006),$AN$1006:$BO$1006,0)))),"Fix")))</f>
        <v>0</v>
      </c>
      <c r="P849" s="4">
        <f>IF(OR(INDEX($AH$2:$AH$1001,MATCH(ROWS($AG$2:AG849),$AG$2:$AG$1001,0),1)&gt;=100000,INDEX($AN$1005:$BO$1005,1,MATCH(COLUMNS($AN$1006:BB1006),$AN$1006:$BO$1006,0))&gt;=100000), " ",IF(INDEX($AN$2:$BO$1001,MATCH(ROWS($AG$2:AG849),$AG$2:$AG$1001,0),MATCH(COLUMNS($AN$1006:BB1006),$AN$1006:$BO$1006,0)), HYPERLINK("#",""), HYPERLINK(CONCATENATE("#Metadata!", ADDRESS(INDEX($AI$2:$AI$1001,MATCH(ROWS($AG$2:AG849),$AG$2:$AG$1001,0),0), INDEX($AN$1004:$BO$1004,1,MATCH(COLUMNS($AN$1006:BB1006),$AN$1006:$BO$1006,0)))),"Fix")))</f>
        <v>0</v>
      </c>
      <c r="Q849" s="4">
        <f>IF(OR(INDEX($AH$2:$AH$1001,MATCH(ROWS($AG$2:AG849),$AG$2:$AG$1001,0),1)&gt;=100000,INDEX($AN$1005:$BO$1005,1,MATCH(COLUMNS($AN$1006:BC1006),$AN$1006:$BO$1006,0))&gt;=100000), " ",IF(INDEX($AN$2:$BO$1001,MATCH(ROWS($AG$2:AG849),$AG$2:$AG$1001,0),MATCH(COLUMNS($AN$1006:BC1006),$AN$1006:$BO$1006,0)), HYPERLINK("#",""), HYPERLINK(CONCATENATE("#Metadata!", ADDRESS(INDEX($AI$2:$AI$1001,MATCH(ROWS($AG$2:AG849),$AG$2:$AG$1001,0),0), INDEX($AN$1004:$BO$1004,1,MATCH(COLUMNS($AN$1006:BC1006),$AN$1006:$BO$1006,0)))),"Fix")))</f>
        <v>0</v>
      </c>
      <c r="R849" s="4">
        <f>IF(OR(INDEX($AH$2:$AH$1001,MATCH(ROWS($AG$2:AG849),$AG$2:$AG$1001,0),1)&gt;=100000,INDEX($AN$1005:$BO$1005,1,MATCH(COLUMNS($AN$1006:BD1006),$AN$1006:$BO$1006,0))&gt;=100000), " ",IF(INDEX($AN$2:$BO$1001,MATCH(ROWS($AG$2:AG849),$AG$2:$AG$1001,0),MATCH(COLUMNS($AN$1006:BD1006),$AN$1006:$BO$1006,0)), HYPERLINK("#",""), HYPERLINK(CONCATENATE("#Metadata!", ADDRESS(INDEX($AI$2:$AI$1001,MATCH(ROWS($AG$2:AG849),$AG$2:$AG$1001,0),0), INDEX($AN$1004:$BO$1004,1,MATCH(COLUMNS($AN$1006:BD1006),$AN$1006:$BO$1006,0)))),"Fix")))</f>
        <v>0</v>
      </c>
      <c r="S849" s="4">
        <f>IF(OR(INDEX($AH$2:$AH$1001,MATCH(ROWS($AG$2:AG849),$AG$2:$AG$1001,0),1)&gt;=100000,INDEX($AN$1005:$BO$1005,1,MATCH(COLUMNS($AN$1006:BE1006),$AN$1006:$BO$1006,0))&gt;=100000), " ",IF(INDEX($AN$2:$BO$1001,MATCH(ROWS($AG$2:AG849),$AG$2:$AG$1001,0),MATCH(COLUMNS($AN$1006:BE1006),$AN$1006:$BO$1006,0)), HYPERLINK("#",""), HYPERLINK(CONCATENATE("#Metadata!", ADDRESS(INDEX($AI$2:$AI$1001,MATCH(ROWS($AG$2:AG849),$AG$2:$AG$1001,0),0), INDEX($AN$1004:$BO$1004,1,MATCH(COLUMNS($AN$1006:BE1006),$AN$1006:$BO$1006,0)))),"Fix")))</f>
        <v>0</v>
      </c>
      <c r="T849" s="4">
        <f>IF(OR(INDEX($AH$2:$AH$1001,MATCH(ROWS($AG$2:AG849),$AG$2:$AG$1001,0),1)&gt;=100000,INDEX($AN$1005:$BO$1005,1,MATCH(COLUMNS($AN$1006:BF1006),$AN$1006:$BO$1006,0))&gt;=100000), " ",IF(INDEX($AN$2:$BO$1001,MATCH(ROWS($AG$2:AG849),$AG$2:$AG$1001,0),MATCH(COLUMNS($AN$1006:BF1006),$AN$1006:$BO$1006,0)), HYPERLINK("#",""), HYPERLINK(CONCATENATE("#Metadata!", ADDRESS(INDEX($AI$2:$AI$1001,MATCH(ROWS($AG$2:AG849),$AG$2:$AG$1001,0),0), INDEX($AN$1004:$BO$1004,1,MATCH(COLUMNS($AN$1006:BF1006),$AN$1006:$BO$1006,0)))),"Fix")))</f>
        <v>0</v>
      </c>
      <c r="U849" s="4">
        <f>IF(OR(INDEX($AH$2:$AH$1001,MATCH(ROWS($AG$2:AG849),$AG$2:$AG$1001,0),1)&gt;=100000,INDEX($AN$1005:$BO$1005,1,MATCH(COLUMNS($AN$1006:BG1006),$AN$1006:$BO$1006,0))&gt;=100000), " ",IF(INDEX($AN$2:$BO$1001,MATCH(ROWS($AG$2:AG849),$AG$2:$AG$1001,0),MATCH(COLUMNS($AN$1006:BG1006),$AN$1006:$BO$1006,0)), HYPERLINK("#",""), HYPERLINK(CONCATENATE("#Metadata!", ADDRESS(INDEX($AI$2:$AI$1001,MATCH(ROWS($AG$2:AG849),$AG$2:$AG$1001,0),0), INDEX($AN$1004:$BO$1004,1,MATCH(COLUMNS($AN$1006:BG1006),$AN$1006:$BO$1006,0)))),"Fix")))</f>
        <v>0</v>
      </c>
      <c r="V849" s="4">
        <f>IF(OR(INDEX($AH$2:$AH$1001,MATCH(ROWS($AG$2:AG849),$AG$2:$AG$1001,0),1)&gt;=100000,INDEX($AN$1005:$BO$1005,1,MATCH(COLUMNS($AN$1006:BH1006),$AN$1006:$BO$1006,0))&gt;=100000), " ",IF(INDEX($AN$2:$BO$1001,MATCH(ROWS($AG$2:AG849),$AG$2:$AG$1001,0),MATCH(COLUMNS($AN$1006:BH1006),$AN$1006:$BO$1006,0)), HYPERLINK("#",""), HYPERLINK(CONCATENATE("#Metadata!", ADDRESS(INDEX($AI$2:$AI$1001,MATCH(ROWS($AG$2:AG849),$AG$2:$AG$1001,0),0), INDEX($AN$1004:$BO$1004,1,MATCH(COLUMNS($AN$1006:BH1006),$AN$1006:$BO$1006,0)))),"Fix")))</f>
        <v>0</v>
      </c>
      <c r="W849" s="4">
        <f>IF(OR(INDEX($AH$2:$AH$1001,MATCH(ROWS($AG$2:AG849),$AG$2:$AG$1001,0),1)&gt;=100000,INDEX($AN$1005:$BO$1005,1,MATCH(COLUMNS($AN$1006:BI1006),$AN$1006:$BO$1006,0))&gt;=100000), " ",IF(INDEX($AN$2:$BO$1001,MATCH(ROWS($AG$2:AG849),$AG$2:$AG$1001,0),MATCH(COLUMNS($AN$1006:BI1006),$AN$1006:$BO$1006,0)), HYPERLINK("#",""), HYPERLINK(CONCATENATE("#Metadata!", ADDRESS(INDEX($AI$2:$AI$1001,MATCH(ROWS($AG$2:AG849),$AG$2:$AG$1001,0),0), INDEX($AN$1004:$BO$1004,1,MATCH(COLUMNS($AN$1006:BI1006),$AN$1006:$BO$1006,0)))),"Fix")))</f>
        <v>0</v>
      </c>
      <c r="X849" s="4">
        <f>IF(OR(INDEX($AH$2:$AH$1001,MATCH(ROWS($AG$2:AG849),$AG$2:$AG$1001,0),1)&gt;=100000,INDEX($AN$1005:$BO$1005,1,MATCH(COLUMNS($AN$1006:BJ1006),$AN$1006:$BO$1006,0))&gt;=100000), " ",IF(INDEX($AN$2:$BO$1001,MATCH(ROWS($AG$2:AG849),$AG$2:$AG$1001,0),MATCH(COLUMNS($AN$1006:BJ1006),$AN$1006:$BO$1006,0)), HYPERLINK("#",""), HYPERLINK(CONCATENATE("#Metadata!", ADDRESS(INDEX($AI$2:$AI$1001,MATCH(ROWS($AG$2:AG849),$AG$2:$AG$1001,0),0), INDEX($AN$1004:$BO$1004,1,MATCH(COLUMNS($AN$1006:BJ1006),$AN$1006:$BO$1006,0)))),"Fix")))</f>
        <v>0</v>
      </c>
      <c r="Y849" s="4">
        <f>IF(OR(INDEX($AH$2:$AH$1001,MATCH(ROWS($AG$2:AG849),$AG$2:$AG$1001,0),1)&gt;=100000,INDEX($AN$1005:$BO$1005,1,MATCH(COLUMNS($AN$1006:BK1006),$AN$1006:$BO$1006,0))&gt;=100000), " ",IF(INDEX($AN$2:$BO$1001,MATCH(ROWS($AG$2:AG849),$AG$2:$AG$1001,0),MATCH(COLUMNS($AN$1006:BK1006),$AN$1006:$BO$1006,0)), HYPERLINK("#",""), HYPERLINK(CONCATENATE("#Metadata!", ADDRESS(INDEX($AI$2:$AI$1001,MATCH(ROWS($AG$2:AG849),$AG$2:$AG$1001,0),0), INDEX($AN$1004:$BO$1004,1,MATCH(COLUMNS($AN$1006:BK1006),$AN$1006:$BO$1006,0)))),"Fix")))</f>
        <v>0</v>
      </c>
      <c r="Z849" s="4">
        <f>IF(OR(INDEX($AH$2:$AH$1001,MATCH(ROWS($AG$2:AG849),$AG$2:$AG$1001,0),1)&gt;=100000,INDEX($AN$1005:$BO$1005,1,MATCH(COLUMNS($AN$1006:BL1006),$AN$1006:$BO$1006,0))&gt;=100000), " ",IF(INDEX($AN$2:$BO$1001,MATCH(ROWS($AG$2:AG849),$AG$2:$AG$1001,0),MATCH(COLUMNS($AN$1006:BL1006),$AN$1006:$BO$1006,0)), HYPERLINK("#",""), HYPERLINK(CONCATENATE("#Metadata!", ADDRESS(INDEX($AI$2:$AI$1001,MATCH(ROWS($AG$2:AG849),$AG$2:$AG$1001,0),0), INDEX($AN$1004:$BO$1004,1,MATCH(COLUMNS($AN$1006:BL1006),$AN$1006:$BO$1006,0)))),"Fix")))</f>
        <v>0</v>
      </c>
      <c r="AA849" s="4">
        <f>IF(OR(INDEX($AH$2:$AH$1001,MATCH(ROWS($AG$2:AG849),$AG$2:$AG$1001,0),1)&gt;=100000,INDEX($AN$1005:$BO$1005,1,MATCH(COLUMNS($AN$1006:BM1006),$AN$1006:$BO$1006,0))&gt;=100000), " ",IF(INDEX($AN$2:$BO$1001,MATCH(ROWS($AG$2:AG849),$AG$2:$AG$1001,0),MATCH(COLUMNS($AN$1006:BM1006),$AN$1006:$BO$1006,0)), HYPERLINK("#",""), HYPERLINK(CONCATENATE("#Metadata!", ADDRESS(INDEX($AI$2:$AI$1001,MATCH(ROWS($AG$2:AG849),$AG$2:$AG$1001,0),0), INDEX($AN$1004:$BO$1004,1,MATCH(COLUMNS($AN$1006:BM1006),$AN$1006:$BO$1006,0)))),"Fix")))</f>
        <v>0</v>
      </c>
      <c r="AB849" s="4">
        <f>IF(OR(INDEX($AH$2:$AH$1001,MATCH(ROWS($AG$2:AG849),$AG$2:$AG$1001,0),1)&gt;=100000,INDEX($AN$1005:$BO$1005,1,MATCH(COLUMNS($AN$1006:BN1006),$AN$1006:$BO$1006,0))&gt;=100000), " ",IF(INDEX($AN$2:$BO$1001,MATCH(ROWS($AG$2:AG849),$AG$2:$AG$1001,0),MATCH(COLUMNS($AN$1006:BN1006),$AN$1006:$BO$1006,0)), HYPERLINK("#",""), HYPERLINK(CONCATENATE("#Metadata!", ADDRESS(INDEX($AI$2:$AI$1001,MATCH(ROWS($AG$2:AG849),$AG$2:$AG$1001,0),0), INDEX($AN$1004:$BO$1004,1,MATCH(COLUMNS($AN$1006:BN1006),$AN$1006:$BO$1006,0)))),"Fix")))</f>
        <v>0</v>
      </c>
      <c r="AC849" s="4">
        <f>IF(OR(INDEX($AH$2:$AH$1001,MATCH(ROWS($AG$2:AG849),$AG$2:$AG$1001,0),1)&gt;=100000,INDEX($AN$1005:$BO$1005,1,MATCH(COLUMNS($AN$1006:BO1006),$AN$1006:$BO$1006,0))&gt;=100000), " ",IF(INDEX($AN$2:$BO$1001,MATCH(ROWS($AG$2:AG849),$AG$2:$AG$1001,0),MATCH(COLUMNS($AN$1006:BO1006),$AN$1006:$BO$1006,0)), HYPERLINK("#",""), HYPERLINK(CONCATENATE("#Metadata!", ADDRESS(INDEX($AI$2:$AI$1001,MATCH(ROWS($AG$2:AG849),$AG$2:$AG$1001,0),0), INDEX($AN$1004:$BO$1004,1,MATCH(COLUMNS($AN$1006:BO1006),$AN$1006:$BO$1006,0)))),"Fix")))</f>
        <v>0</v>
      </c>
      <c r="AG849">
        <v>0</v>
      </c>
      <c r="AH849">
        <v>0</v>
      </c>
      <c r="AI849">
        <v>0</v>
      </c>
      <c r="AJ849">
        <f>IF(AK849,TRUE,AND(AN849:BO849))</f>
        <v>0</v>
      </c>
      <c r="AK849">
        <f>COUNTBLANK(Metadata!B849:AC849)=COLUMNS(Metadata!B849:AC849)</f>
        <v>0</v>
      </c>
      <c r="AL849">
        <v>0</v>
      </c>
      <c r="AN849">
        <f>AND(IF(Metadata!B849="",FALSE,TRUE),COUNTIF(Metadata!B:B, Metadata!B849) = 1,NOT(ISERROR(SUMPRODUCT(SEARCH(MID(Metadata!B849,ROW(INDIRECT("1:"&amp;LEN(Metadata!B849))), 1),"0123456789abcdefghijklmnopqrstuvwxyzABCDEFGHIJKLMNOPQRSTUVWXYZ.")))))</f>
        <v>0</v>
      </c>
      <c r="AO849">
        <f>IF(Metadata!C849="",FALSE,TRUE)</f>
        <v>0</v>
      </c>
      <c r="AP849">
        <f>IF(Metadata!D849="",FALSE,TRUE)</f>
        <v>0</v>
      </c>
      <c r="AQ849">
        <f>OR(AND(IF(Metadata!E849="",FALSE,TRUE),OR(exact(Metadata!E849,"not collected"),exact(Metadata!E849,"not provided"),exact(Metadata!E849,"restricted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R849">
        <f>IF(Metadata!F849="",FALSE,TRUE)</f>
        <v>0</v>
      </c>
      <c r="AS849">
        <f>OR(AND(IF(Metadata!G849="",FALSE,TRUE),OR(exact(Metadata!G849,"not collected"),exact(Metadata!G849,"not provided"))),AND(IF(Metadata!G849="",FALSE,TRUE),OR(exact(Metadata!G849,"TRUE"),exact(Metadata!G849,"FALSE"))))</f>
        <v>0</v>
      </c>
      <c r="AT849">
        <f>OR(AND(IF(Metadata!H849="",FALSE,TRUE),OR(exact(Metadata!H849,"not collected"),exact(Metadata!H849,"not provided"),exact(Metadata!H849,"restricted access"))),AND(IF(Metadata!H849="",FALSE,ISNUMBER(VALUE(Metadata!H849))),Metadata!H849&gt;=-413.0))</f>
        <v>0</v>
      </c>
      <c r="AU849">
        <f>AND(IF(Metadata!I849="",FALSE,TRUE),exact(Metadata!I849,"meters"))</f>
        <v>0</v>
      </c>
      <c r="AV849">
        <f>AND(IF(Metadata!J849="",FALSE,TRUE),OR(exact(Metadata!J849,"Host-associated"),exact(Metadata!J849,"Free-living")))</f>
        <v>0</v>
      </c>
      <c r="AW849">
        <f>AND(IF(Metadata!K849="",FALSE,TRUE),OR(exact(Metadata!K849,"Animal"),exact(Metadata!K849,"Fungus"),exact(Metadata!K849,"Plant"),exact(Metadata!K849,"Saline"),exact(Metadata!K849,"Non-saline")))</f>
        <v>0</v>
      </c>
      <c r="AX849">
        <f>AND(IF(Metadata!L849="",FALSE,TRUE),OR(exact(Metadata!L849,"Plant secretion"),exact(Metadata!L849,"Plant rhizosphere"),exact(Metadata!L849,"Plant surface"),exact(Metadata!L849,"Plant corpus"),exact(Metadata!L849,"Fungus surface"),exact(Metadata!L849,"Fungus corpus"),exact(Metadata!L849,"Animal surface"),exact(Metadata!L849,"Animal proximal gut"),exact(Metadata!L849,"Animal corpus"),exact(Metadata!L849,"Animal distal gut"),exact(Metadata!L849,"Animal secretion"),exact(Metadata!L849,"Sub-surface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Y849">
        <f>IF(Metadata!M849="",FALSE,TRUE)</f>
        <v>0</v>
      </c>
      <c r="AZ849">
        <f>IF(Metadata!N849="",FALSE,TRUE)</f>
        <v>0</v>
      </c>
      <c r="BA849">
        <f>IF(Metadata!O849="",FALSE,TRUE)</f>
        <v>0</v>
      </c>
      <c r="BB849">
        <f>OR(AND(IF(Metadata!P849="",FALSE,TRUE),OR(exact(Metadata!P849,"not collected"),exact(Metadata!P849,"not provided"),exact(Metadata!P849,"restricted access"))),AND(IF(Metadata!P849="",FALSE,TRUE),OR(exact(Metadata!P849,"air"),exact(Metadata!P849,"built environment"),exact(Metadata!P849,"host-associated"),exact(Metadata!P849,"human-associated"),exact(Metadata!P849,"human-skin"),exact(Metadata!P849,"human-oral"),exact(Metadata!P849,"human-gut"),exact(Metadata!P849,"human-vaginal"),exact(Metadata!P849,"microbial mat/biofilm"),exact(Metadata!P849,"misc environment"),exact(Metadata!P849,"plant-associated"),exact(Metadata!P849,"sediment"),exact(Metadata!P849,"soil"),exact(Metadata!P849,"wastewater/sludge"),exact(Metadata!P849,"water"))))</f>
        <v>0</v>
      </c>
      <c r="BC849">
        <f>IF(Metadata!Q849="",FALSE,TRUE)</f>
        <v>0</v>
      </c>
      <c r="BD849">
        <f>IF(Metadata!R849="",FALSE,TRUE)</f>
        <v>0</v>
      </c>
      <c r="BE849">
        <f>OR(AND(IF(Metadata!S849="",FALSE,TRUE),OR(exact(Metadata!S849,"not collected"),exact(Metadata!S849,"not provided"),exact(Metadata!S849,"restricted access"))),AND(IF(Metadata!S849="",FALSE,ISNUMBER(VALUE(Metadata!S849))),Metadata!S849&gt;=-90.00,Metadata!S849&lt;=90.00))</f>
        <v>0</v>
      </c>
      <c r="BF849">
        <f>AND(IF(Metadata!T849="",FALSE,TRUE),exact(Metadata!T849,"Decimal degrees"))</f>
        <v>0</v>
      </c>
      <c r="BG849">
        <f>OR(AND(IF(Metadata!U849="",FALSE,TRUE),OR(exact(Metadata!U849,"not collected"),exact(Metadata!U849,"not provided"),exact(Metadata!U849,"restricted access"))),AND(IF(Metadata!U849="",FALSE,ISNUMBER(VALUE(Metadata!U849))),Metadata!U849&gt;=-180.00,Metadata!U849&lt;=180.00))</f>
        <v>0</v>
      </c>
      <c r="BH849">
        <f>AND(IF(Metadata!V849="",FALSE,TRUE),exact(Metadata!V849,"Decimal degrees"))</f>
        <v>0</v>
      </c>
      <c r="BI849">
        <f>IF(Metadata!W849="",FALSE,TRUE)</f>
        <v>0</v>
      </c>
      <c r="BJ849">
        <f>OR(AND(IF(Metadata!X849="",FALSE,TRUE),OR(exact(Metadata!X849,"not collected"),exact(Metadata!X849,"not provided"),exact(Metadata!X849,"restricted access"))),AND(IF(Metadata!X849="",FALSE,TRUE),OR(exact(Metadata!X849,"TRUE"),exact(Metadata!X849,"FALSE"))))</f>
        <v>0</v>
      </c>
      <c r="BK849">
        <f>AND(IF(Metadata!Y849="",FALSE,TRUE),exact(Metadata!Y849,"other"))</f>
        <v>0</v>
      </c>
      <c r="BL849">
        <f>IF(Metadata!Z849="",FALSE,TRUE)</f>
        <v>0</v>
      </c>
      <c r="BM849">
        <f>OR(AND(IF(Metadata!AA849="",FALSE,TRUE),OR(exact(Metadata!AA849,"not collected"),exact(Metadata!AA849,"not provided"))),AND(IF(Metadata!AA849="",FALSE,IF(ISERROR(INT(Metadata!AA849)),FALSE,INT(Metadata!AA849)=Metadata!AA849)),Metadata!AA849&gt;0))</f>
        <v>0</v>
      </c>
      <c r="BN849">
        <f>AND(IF(Metadata!AB849="",FALSE,TRUE),exact(Metadata!AB849,"Not applicable"))</f>
        <v>0</v>
      </c>
      <c r="BO849">
        <f>IF(Metadata!AC849="",FALSE,TRUE)</f>
        <v>0</v>
      </c>
    </row>
    <row r="850" spans="1:67">
      <c r="A850" s="5">
        <f>IF(B850=" "," ",HYPERLINK(CONCATENATE("#metadata!",ADDRESS(INDEX($AI$2:$AI$1001,MATCH(ROWS($AG$2:AG850),$AG$2:$AG$1001,0),0),1)),INDEX($AL$2:$AL$1001,MATCH(ROWS($AG$2:AG850),$AG$2:$AG$1001,0),0)))</f>
        <v>0</v>
      </c>
      <c r="B850" s="4">
        <f>IF(OR(INDEX($AH$2:$AH$1001,MATCH(ROWS($AG$2:AG850),$AG$2:$AG$1001,0),1)&gt;=100000,INDEX($AN$1005:$BO$1005,1,MATCH(COLUMNS($AN$1006:AN1006),$AN$1006:$BO$1006,0))&gt;=100000), " ",IF(INDEX($AN$2:$BO$1001,MATCH(ROWS($AG$2:AG850),$AG$2:$AG$1001,0),MATCH(COLUMNS($AN$1006:AN1006),$AN$1006:$BO$1006,0)), HYPERLINK("#",""), HYPERLINK(CONCATENATE("#Metadata!", ADDRESS(INDEX($AI$2:$AI$1001,MATCH(ROWS($AG$2:AG850),$AG$2:$AG$1001,0),0), INDEX($AN$1004:$BO$1004,1,MATCH(COLUMNS($AN$1006:AN1006),$AN$1006:$BO$1006,0)))),"Fix")))</f>
        <v>0</v>
      </c>
      <c r="C850" s="4">
        <f>IF(OR(INDEX($AH$2:$AH$1001,MATCH(ROWS($AG$2:AG850),$AG$2:$AG$1001,0),1)&gt;=100000,INDEX($AN$1005:$BO$1005,1,MATCH(COLUMNS($AN$1006:AO1006),$AN$1006:$BO$1006,0))&gt;=100000), " ",IF(INDEX($AN$2:$BO$1001,MATCH(ROWS($AG$2:AG850),$AG$2:$AG$1001,0),MATCH(COLUMNS($AN$1006:AO1006),$AN$1006:$BO$1006,0)), HYPERLINK("#",""), HYPERLINK(CONCATENATE("#Metadata!", ADDRESS(INDEX($AI$2:$AI$1001,MATCH(ROWS($AG$2:AG850),$AG$2:$AG$1001,0),0), INDEX($AN$1004:$BO$1004,1,MATCH(COLUMNS($AN$1006:AO1006),$AN$1006:$BO$1006,0)))),"Fix")))</f>
        <v>0</v>
      </c>
      <c r="D850" s="4">
        <f>IF(OR(INDEX($AH$2:$AH$1001,MATCH(ROWS($AG$2:AG850),$AG$2:$AG$1001,0),1)&gt;=100000,INDEX($AN$1005:$BO$1005,1,MATCH(COLUMNS($AN$1006:AP1006),$AN$1006:$BO$1006,0))&gt;=100000), " ",IF(INDEX($AN$2:$BO$1001,MATCH(ROWS($AG$2:AG850),$AG$2:$AG$1001,0),MATCH(COLUMNS($AN$1006:AP1006),$AN$1006:$BO$1006,0)), HYPERLINK("#",""), HYPERLINK(CONCATENATE("#Metadata!", ADDRESS(INDEX($AI$2:$AI$1001,MATCH(ROWS($AG$2:AG850),$AG$2:$AG$1001,0),0), INDEX($AN$1004:$BO$1004,1,MATCH(COLUMNS($AN$1006:AP1006),$AN$1006:$BO$1006,0)))),"Fix")))</f>
        <v>0</v>
      </c>
      <c r="E850" s="4">
        <f>IF(OR(INDEX($AH$2:$AH$1001,MATCH(ROWS($AG$2:AG850),$AG$2:$AG$1001,0),1)&gt;=100000,INDEX($AN$1005:$BO$1005,1,MATCH(COLUMNS($AN$1006:AQ1006),$AN$1006:$BO$1006,0))&gt;=100000), " ",IF(INDEX($AN$2:$BO$1001,MATCH(ROWS($AG$2:AG850),$AG$2:$AG$1001,0),MATCH(COLUMNS($AN$1006:AQ1006),$AN$1006:$BO$1006,0)), HYPERLINK("#",""), HYPERLINK(CONCATENATE("#Metadata!", ADDRESS(INDEX($AI$2:$AI$1001,MATCH(ROWS($AG$2:AG850),$AG$2:$AG$1001,0),0), INDEX($AN$1004:$BO$1004,1,MATCH(COLUMNS($AN$1006:AQ1006),$AN$1006:$BO$1006,0)))),"Fix")))</f>
        <v>0</v>
      </c>
      <c r="F850" s="4">
        <f>IF(OR(INDEX($AH$2:$AH$1001,MATCH(ROWS($AG$2:AG850),$AG$2:$AG$1001,0),1)&gt;=100000,INDEX($AN$1005:$BO$1005,1,MATCH(COLUMNS($AN$1006:AR1006),$AN$1006:$BO$1006,0))&gt;=100000), " ",IF(INDEX($AN$2:$BO$1001,MATCH(ROWS($AG$2:AG850),$AG$2:$AG$1001,0),MATCH(COLUMNS($AN$1006:AR1006),$AN$1006:$BO$1006,0)), HYPERLINK("#",""), HYPERLINK(CONCATENATE("#Metadata!", ADDRESS(INDEX($AI$2:$AI$1001,MATCH(ROWS($AG$2:AG850),$AG$2:$AG$1001,0),0), INDEX($AN$1004:$BO$1004,1,MATCH(COLUMNS($AN$1006:AR1006),$AN$1006:$BO$1006,0)))),"Fix")))</f>
        <v>0</v>
      </c>
      <c r="G850" s="4">
        <f>IF(OR(INDEX($AH$2:$AH$1001,MATCH(ROWS($AG$2:AG850),$AG$2:$AG$1001,0),1)&gt;=100000,INDEX($AN$1005:$BO$1005,1,MATCH(COLUMNS($AN$1006:AS1006),$AN$1006:$BO$1006,0))&gt;=100000), " ",IF(INDEX($AN$2:$BO$1001,MATCH(ROWS($AG$2:AG850),$AG$2:$AG$1001,0),MATCH(COLUMNS($AN$1006:AS1006),$AN$1006:$BO$1006,0)), HYPERLINK("#",""), HYPERLINK(CONCATENATE("#Metadata!", ADDRESS(INDEX($AI$2:$AI$1001,MATCH(ROWS($AG$2:AG850),$AG$2:$AG$1001,0),0), INDEX($AN$1004:$BO$1004,1,MATCH(COLUMNS($AN$1006:AS1006),$AN$1006:$BO$1006,0)))),"Fix")))</f>
        <v>0</v>
      </c>
      <c r="H850" s="4">
        <f>IF(OR(INDEX($AH$2:$AH$1001,MATCH(ROWS($AG$2:AG850),$AG$2:$AG$1001,0),1)&gt;=100000,INDEX($AN$1005:$BO$1005,1,MATCH(COLUMNS($AN$1006:AT1006),$AN$1006:$BO$1006,0))&gt;=100000), " ",IF(INDEX($AN$2:$BO$1001,MATCH(ROWS($AG$2:AG850),$AG$2:$AG$1001,0),MATCH(COLUMNS($AN$1006:AT1006),$AN$1006:$BO$1006,0)), HYPERLINK("#",""), HYPERLINK(CONCATENATE("#Metadata!", ADDRESS(INDEX($AI$2:$AI$1001,MATCH(ROWS($AG$2:AG850),$AG$2:$AG$1001,0),0), INDEX($AN$1004:$BO$1004,1,MATCH(COLUMNS($AN$1006:AT1006),$AN$1006:$BO$1006,0)))),"Fix")))</f>
        <v>0</v>
      </c>
      <c r="I850" s="4">
        <f>IF(OR(INDEX($AH$2:$AH$1001,MATCH(ROWS($AG$2:AG850),$AG$2:$AG$1001,0),1)&gt;=100000,INDEX($AN$1005:$BO$1005,1,MATCH(COLUMNS($AN$1006:AU1006),$AN$1006:$BO$1006,0))&gt;=100000), " ",IF(INDEX($AN$2:$BO$1001,MATCH(ROWS($AG$2:AG850),$AG$2:$AG$1001,0),MATCH(COLUMNS($AN$1006:AU1006),$AN$1006:$BO$1006,0)), HYPERLINK("#",""), HYPERLINK(CONCATENATE("#Metadata!", ADDRESS(INDEX($AI$2:$AI$1001,MATCH(ROWS($AG$2:AG850),$AG$2:$AG$1001,0),0), INDEX($AN$1004:$BO$1004,1,MATCH(COLUMNS($AN$1006:AU1006),$AN$1006:$BO$1006,0)))),"Fix")))</f>
        <v>0</v>
      </c>
      <c r="J850" s="4">
        <f>IF(OR(INDEX($AH$2:$AH$1001,MATCH(ROWS($AG$2:AG850),$AG$2:$AG$1001,0),1)&gt;=100000,INDEX($AN$1005:$BO$1005,1,MATCH(COLUMNS($AN$1006:AV1006),$AN$1006:$BO$1006,0))&gt;=100000), " ",IF(INDEX($AN$2:$BO$1001,MATCH(ROWS($AG$2:AG850),$AG$2:$AG$1001,0),MATCH(COLUMNS($AN$1006:AV1006),$AN$1006:$BO$1006,0)), HYPERLINK("#",""), HYPERLINK(CONCATENATE("#Metadata!", ADDRESS(INDEX($AI$2:$AI$1001,MATCH(ROWS($AG$2:AG850),$AG$2:$AG$1001,0),0), INDEX($AN$1004:$BO$1004,1,MATCH(COLUMNS($AN$1006:AV1006),$AN$1006:$BO$1006,0)))),"Fix")))</f>
        <v>0</v>
      </c>
      <c r="K850" s="4">
        <f>IF(OR(INDEX($AH$2:$AH$1001,MATCH(ROWS($AG$2:AG850),$AG$2:$AG$1001,0),1)&gt;=100000,INDEX($AN$1005:$BO$1005,1,MATCH(COLUMNS($AN$1006:AW1006),$AN$1006:$BO$1006,0))&gt;=100000), " ",IF(INDEX($AN$2:$BO$1001,MATCH(ROWS($AG$2:AG850),$AG$2:$AG$1001,0),MATCH(COLUMNS($AN$1006:AW1006),$AN$1006:$BO$1006,0)), HYPERLINK("#",""), HYPERLINK(CONCATENATE("#Metadata!", ADDRESS(INDEX($AI$2:$AI$1001,MATCH(ROWS($AG$2:AG850),$AG$2:$AG$1001,0),0), INDEX($AN$1004:$BO$1004,1,MATCH(COLUMNS($AN$1006:AW1006),$AN$1006:$BO$1006,0)))),"Fix")))</f>
        <v>0</v>
      </c>
      <c r="L850" s="4">
        <f>IF(OR(INDEX($AH$2:$AH$1001,MATCH(ROWS($AG$2:AG850),$AG$2:$AG$1001,0),1)&gt;=100000,INDEX($AN$1005:$BO$1005,1,MATCH(COLUMNS($AN$1006:AX1006),$AN$1006:$BO$1006,0))&gt;=100000), " ",IF(INDEX($AN$2:$BO$1001,MATCH(ROWS($AG$2:AG850),$AG$2:$AG$1001,0),MATCH(COLUMNS($AN$1006:AX1006),$AN$1006:$BO$1006,0)), HYPERLINK("#",""), HYPERLINK(CONCATENATE("#Metadata!", ADDRESS(INDEX($AI$2:$AI$1001,MATCH(ROWS($AG$2:AG850),$AG$2:$AG$1001,0),0), INDEX($AN$1004:$BO$1004,1,MATCH(COLUMNS($AN$1006:AX1006),$AN$1006:$BO$1006,0)))),"Fix")))</f>
        <v>0</v>
      </c>
      <c r="M850" s="4">
        <f>IF(OR(INDEX($AH$2:$AH$1001,MATCH(ROWS($AG$2:AG850),$AG$2:$AG$1001,0),1)&gt;=100000,INDEX($AN$1005:$BO$1005,1,MATCH(COLUMNS($AN$1006:AY1006),$AN$1006:$BO$1006,0))&gt;=100000), " ",IF(INDEX($AN$2:$BO$1001,MATCH(ROWS($AG$2:AG850),$AG$2:$AG$1001,0),MATCH(COLUMNS($AN$1006:AY1006),$AN$1006:$BO$1006,0)), HYPERLINK("#",""), HYPERLINK(CONCATENATE("#Metadata!", ADDRESS(INDEX($AI$2:$AI$1001,MATCH(ROWS($AG$2:AG850),$AG$2:$AG$1001,0),0), INDEX($AN$1004:$BO$1004,1,MATCH(COLUMNS($AN$1006:AY1006),$AN$1006:$BO$1006,0)))),"Fix")))</f>
        <v>0</v>
      </c>
      <c r="N850" s="4">
        <f>IF(OR(INDEX($AH$2:$AH$1001,MATCH(ROWS($AG$2:AG850),$AG$2:$AG$1001,0),1)&gt;=100000,INDEX($AN$1005:$BO$1005,1,MATCH(COLUMNS($AN$1006:AZ1006),$AN$1006:$BO$1006,0))&gt;=100000), " ",IF(INDEX($AN$2:$BO$1001,MATCH(ROWS($AG$2:AG850),$AG$2:$AG$1001,0),MATCH(COLUMNS($AN$1006:AZ1006),$AN$1006:$BO$1006,0)), HYPERLINK("#",""), HYPERLINK(CONCATENATE("#Metadata!", ADDRESS(INDEX($AI$2:$AI$1001,MATCH(ROWS($AG$2:AG850),$AG$2:$AG$1001,0),0), INDEX($AN$1004:$BO$1004,1,MATCH(COLUMNS($AN$1006:AZ1006),$AN$1006:$BO$1006,0)))),"Fix")))</f>
        <v>0</v>
      </c>
      <c r="O850" s="4">
        <f>IF(OR(INDEX($AH$2:$AH$1001,MATCH(ROWS($AG$2:AG850),$AG$2:$AG$1001,0),1)&gt;=100000,INDEX($AN$1005:$BO$1005,1,MATCH(COLUMNS($AN$1006:BA1006),$AN$1006:$BO$1006,0))&gt;=100000), " ",IF(INDEX($AN$2:$BO$1001,MATCH(ROWS($AG$2:AG850),$AG$2:$AG$1001,0),MATCH(COLUMNS($AN$1006:BA1006),$AN$1006:$BO$1006,0)), HYPERLINK("#",""), HYPERLINK(CONCATENATE("#Metadata!", ADDRESS(INDEX($AI$2:$AI$1001,MATCH(ROWS($AG$2:AG850),$AG$2:$AG$1001,0),0), INDEX($AN$1004:$BO$1004,1,MATCH(COLUMNS($AN$1006:BA1006),$AN$1006:$BO$1006,0)))),"Fix")))</f>
        <v>0</v>
      </c>
      <c r="P850" s="4">
        <f>IF(OR(INDEX($AH$2:$AH$1001,MATCH(ROWS($AG$2:AG850),$AG$2:$AG$1001,0),1)&gt;=100000,INDEX($AN$1005:$BO$1005,1,MATCH(COLUMNS($AN$1006:BB1006),$AN$1006:$BO$1006,0))&gt;=100000), " ",IF(INDEX($AN$2:$BO$1001,MATCH(ROWS($AG$2:AG850),$AG$2:$AG$1001,0),MATCH(COLUMNS($AN$1006:BB1006),$AN$1006:$BO$1006,0)), HYPERLINK("#",""), HYPERLINK(CONCATENATE("#Metadata!", ADDRESS(INDEX($AI$2:$AI$1001,MATCH(ROWS($AG$2:AG850),$AG$2:$AG$1001,0),0), INDEX($AN$1004:$BO$1004,1,MATCH(COLUMNS($AN$1006:BB1006),$AN$1006:$BO$1006,0)))),"Fix")))</f>
        <v>0</v>
      </c>
      <c r="Q850" s="4">
        <f>IF(OR(INDEX($AH$2:$AH$1001,MATCH(ROWS($AG$2:AG850),$AG$2:$AG$1001,0),1)&gt;=100000,INDEX($AN$1005:$BO$1005,1,MATCH(COLUMNS($AN$1006:BC1006),$AN$1006:$BO$1006,0))&gt;=100000), " ",IF(INDEX($AN$2:$BO$1001,MATCH(ROWS($AG$2:AG850),$AG$2:$AG$1001,0),MATCH(COLUMNS($AN$1006:BC1006),$AN$1006:$BO$1006,0)), HYPERLINK("#",""), HYPERLINK(CONCATENATE("#Metadata!", ADDRESS(INDEX($AI$2:$AI$1001,MATCH(ROWS($AG$2:AG850),$AG$2:$AG$1001,0),0), INDEX($AN$1004:$BO$1004,1,MATCH(COLUMNS($AN$1006:BC1006),$AN$1006:$BO$1006,0)))),"Fix")))</f>
        <v>0</v>
      </c>
      <c r="R850" s="4">
        <f>IF(OR(INDEX($AH$2:$AH$1001,MATCH(ROWS($AG$2:AG850),$AG$2:$AG$1001,0),1)&gt;=100000,INDEX($AN$1005:$BO$1005,1,MATCH(COLUMNS($AN$1006:BD1006),$AN$1006:$BO$1006,0))&gt;=100000), " ",IF(INDEX($AN$2:$BO$1001,MATCH(ROWS($AG$2:AG850),$AG$2:$AG$1001,0),MATCH(COLUMNS($AN$1006:BD1006),$AN$1006:$BO$1006,0)), HYPERLINK("#",""), HYPERLINK(CONCATENATE("#Metadata!", ADDRESS(INDEX($AI$2:$AI$1001,MATCH(ROWS($AG$2:AG850),$AG$2:$AG$1001,0),0), INDEX($AN$1004:$BO$1004,1,MATCH(COLUMNS($AN$1006:BD1006),$AN$1006:$BO$1006,0)))),"Fix")))</f>
        <v>0</v>
      </c>
      <c r="S850" s="4">
        <f>IF(OR(INDEX($AH$2:$AH$1001,MATCH(ROWS($AG$2:AG850),$AG$2:$AG$1001,0),1)&gt;=100000,INDEX($AN$1005:$BO$1005,1,MATCH(COLUMNS($AN$1006:BE1006),$AN$1006:$BO$1006,0))&gt;=100000), " ",IF(INDEX($AN$2:$BO$1001,MATCH(ROWS($AG$2:AG850),$AG$2:$AG$1001,0),MATCH(COLUMNS($AN$1006:BE1006),$AN$1006:$BO$1006,0)), HYPERLINK("#",""), HYPERLINK(CONCATENATE("#Metadata!", ADDRESS(INDEX($AI$2:$AI$1001,MATCH(ROWS($AG$2:AG850),$AG$2:$AG$1001,0),0), INDEX($AN$1004:$BO$1004,1,MATCH(COLUMNS($AN$1006:BE1006),$AN$1006:$BO$1006,0)))),"Fix")))</f>
        <v>0</v>
      </c>
      <c r="T850" s="4">
        <f>IF(OR(INDEX($AH$2:$AH$1001,MATCH(ROWS($AG$2:AG850),$AG$2:$AG$1001,0),1)&gt;=100000,INDEX($AN$1005:$BO$1005,1,MATCH(COLUMNS($AN$1006:BF1006),$AN$1006:$BO$1006,0))&gt;=100000), " ",IF(INDEX($AN$2:$BO$1001,MATCH(ROWS($AG$2:AG850),$AG$2:$AG$1001,0),MATCH(COLUMNS($AN$1006:BF1006),$AN$1006:$BO$1006,0)), HYPERLINK("#",""), HYPERLINK(CONCATENATE("#Metadata!", ADDRESS(INDEX($AI$2:$AI$1001,MATCH(ROWS($AG$2:AG850),$AG$2:$AG$1001,0),0), INDEX($AN$1004:$BO$1004,1,MATCH(COLUMNS($AN$1006:BF1006),$AN$1006:$BO$1006,0)))),"Fix")))</f>
        <v>0</v>
      </c>
      <c r="U850" s="4">
        <f>IF(OR(INDEX($AH$2:$AH$1001,MATCH(ROWS($AG$2:AG850),$AG$2:$AG$1001,0),1)&gt;=100000,INDEX($AN$1005:$BO$1005,1,MATCH(COLUMNS($AN$1006:BG1006),$AN$1006:$BO$1006,0))&gt;=100000), " ",IF(INDEX($AN$2:$BO$1001,MATCH(ROWS($AG$2:AG850),$AG$2:$AG$1001,0),MATCH(COLUMNS($AN$1006:BG1006),$AN$1006:$BO$1006,0)), HYPERLINK("#",""), HYPERLINK(CONCATENATE("#Metadata!", ADDRESS(INDEX($AI$2:$AI$1001,MATCH(ROWS($AG$2:AG850),$AG$2:$AG$1001,0),0), INDEX($AN$1004:$BO$1004,1,MATCH(COLUMNS($AN$1006:BG1006),$AN$1006:$BO$1006,0)))),"Fix")))</f>
        <v>0</v>
      </c>
      <c r="V850" s="4">
        <f>IF(OR(INDEX($AH$2:$AH$1001,MATCH(ROWS($AG$2:AG850),$AG$2:$AG$1001,0),1)&gt;=100000,INDEX($AN$1005:$BO$1005,1,MATCH(COLUMNS($AN$1006:BH1006),$AN$1006:$BO$1006,0))&gt;=100000), " ",IF(INDEX($AN$2:$BO$1001,MATCH(ROWS($AG$2:AG850),$AG$2:$AG$1001,0),MATCH(COLUMNS($AN$1006:BH1006),$AN$1006:$BO$1006,0)), HYPERLINK("#",""), HYPERLINK(CONCATENATE("#Metadata!", ADDRESS(INDEX($AI$2:$AI$1001,MATCH(ROWS($AG$2:AG850),$AG$2:$AG$1001,0),0), INDEX($AN$1004:$BO$1004,1,MATCH(COLUMNS($AN$1006:BH1006),$AN$1006:$BO$1006,0)))),"Fix")))</f>
        <v>0</v>
      </c>
      <c r="W850" s="4">
        <f>IF(OR(INDEX($AH$2:$AH$1001,MATCH(ROWS($AG$2:AG850),$AG$2:$AG$1001,0),1)&gt;=100000,INDEX($AN$1005:$BO$1005,1,MATCH(COLUMNS($AN$1006:BI1006),$AN$1006:$BO$1006,0))&gt;=100000), " ",IF(INDEX($AN$2:$BO$1001,MATCH(ROWS($AG$2:AG850),$AG$2:$AG$1001,0),MATCH(COLUMNS($AN$1006:BI1006),$AN$1006:$BO$1006,0)), HYPERLINK("#",""), HYPERLINK(CONCATENATE("#Metadata!", ADDRESS(INDEX($AI$2:$AI$1001,MATCH(ROWS($AG$2:AG850),$AG$2:$AG$1001,0),0), INDEX($AN$1004:$BO$1004,1,MATCH(COLUMNS($AN$1006:BI1006),$AN$1006:$BO$1006,0)))),"Fix")))</f>
        <v>0</v>
      </c>
      <c r="X850" s="4">
        <f>IF(OR(INDEX($AH$2:$AH$1001,MATCH(ROWS($AG$2:AG850),$AG$2:$AG$1001,0),1)&gt;=100000,INDEX($AN$1005:$BO$1005,1,MATCH(COLUMNS($AN$1006:BJ1006),$AN$1006:$BO$1006,0))&gt;=100000), " ",IF(INDEX($AN$2:$BO$1001,MATCH(ROWS($AG$2:AG850),$AG$2:$AG$1001,0),MATCH(COLUMNS($AN$1006:BJ1006),$AN$1006:$BO$1006,0)), HYPERLINK("#",""), HYPERLINK(CONCATENATE("#Metadata!", ADDRESS(INDEX($AI$2:$AI$1001,MATCH(ROWS($AG$2:AG850),$AG$2:$AG$1001,0),0), INDEX($AN$1004:$BO$1004,1,MATCH(COLUMNS($AN$1006:BJ1006),$AN$1006:$BO$1006,0)))),"Fix")))</f>
        <v>0</v>
      </c>
      <c r="Y850" s="4">
        <f>IF(OR(INDEX($AH$2:$AH$1001,MATCH(ROWS($AG$2:AG850),$AG$2:$AG$1001,0),1)&gt;=100000,INDEX($AN$1005:$BO$1005,1,MATCH(COLUMNS($AN$1006:BK1006),$AN$1006:$BO$1006,0))&gt;=100000), " ",IF(INDEX($AN$2:$BO$1001,MATCH(ROWS($AG$2:AG850),$AG$2:$AG$1001,0),MATCH(COLUMNS($AN$1006:BK1006),$AN$1006:$BO$1006,0)), HYPERLINK("#",""), HYPERLINK(CONCATENATE("#Metadata!", ADDRESS(INDEX($AI$2:$AI$1001,MATCH(ROWS($AG$2:AG850),$AG$2:$AG$1001,0),0), INDEX($AN$1004:$BO$1004,1,MATCH(COLUMNS($AN$1006:BK1006),$AN$1006:$BO$1006,0)))),"Fix")))</f>
        <v>0</v>
      </c>
      <c r="Z850" s="4">
        <f>IF(OR(INDEX($AH$2:$AH$1001,MATCH(ROWS($AG$2:AG850),$AG$2:$AG$1001,0),1)&gt;=100000,INDEX($AN$1005:$BO$1005,1,MATCH(COLUMNS($AN$1006:BL1006),$AN$1006:$BO$1006,0))&gt;=100000), " ",IF(INDEX($AN$2:$BO$1001,MATCH(ROWS($AG$2:AG850),$AG$2:$AG$1001,0),MATCH(COLUMNS($AN$1006:BL1006),$AN$1006:$BO$1006,0)), HYPERLINK("#",""), HYPERLINK(CONCATENATE("#Metadata!", ADDRESS(INDEX($AI$2:$AI$1001,MATCH(ROWS($AG$2:AG850),$AG$2:$AG$1001,0),0), INDEX($AN$1004:$BO$1004,1,MATCH(COLUMNS($AN$1006:BL1006),$AN$1006:$BO$1006,0)))),"Fix")))</f>
        <v>0</v>
      </c>
      <c r="AA850" s="4">
        <f>IF(OR(INDEX($AH$2:$AH$1001,MATCH(ROWS($AG$2:AG850),$AG$2:$AG$1001,0),1)&gt;=100000,INDEX($AN$1005:$BO$1005,1,MATCH(COLUMNS($AN$1006:BM1006),$AN$1006:$BO$1006,0))&gt;=100000), " ",IF(INDEX($AN$2:$BO$1001,MATCH(ROWS($AG$2:AG850),$AG$2:$AG$1001,0),MATCH(COLUMNS($AN$1006:BM1006),$AN$1006:$BO$1006,0)), HYPERLINK("#",""), HYPERLINK(CONCATENATE("#Metadata!", ADDRESS(INDEX($AI$2:$AI$1001,MATCH(ROWS($AG$2:AG850),$AG$2:$AG$1001,0),0), INDEX($AN$1004:$BO$1004,1,MATCH(COLUMNS($AN$1006:BM1006),$AN$1006:$BO$1006,0)))),"Fix")))</f>
        <v>0</v>
      </c>
      <c r="AB850" s="4">
        <f>IF(OR(INDEX($AH$2:$AH$1001,MATCH(ROWS($AG$2:AG850),$AG$2:$AG$1001,0),1)&gt;=100000,INDEX($AN$1005:$BO$1005,1,MATCH(COLUMNS($AN$1006:BN1006),$AN$1006:$BO$1006,0))&gt;=100000), " ",IF(INDEX($AN$2:$BO$1001,MATCH(ROWS($AG$2:AG850),$AG$2:$AG$1001,0),MATCH(COLUMNS($AN$1006:BN1006),$AN$1006:$BO$1006,0)), HYPERLINK("#",""), HYPERLINK(CONCATENATE("#Metadata!", ADDRESS(INDEX($AI$2:$AI$1001,MATCH(ROWS($AG$2:AG850),$AG$2:$AG$1001,0),0), INDEX($AN$1004:$BO$1004,1,MATCH(COLUMNS($AN$1006:BN1006),$AN$1006:$BO$1006,0)))),"Fix")))</f>
        <v>0</v>
      </c>
      <c r="AC850" s="4">
        <f>IF(OR(INDEX($AH$2:$AH$1001,MATCH(ROWS($AG$2:AG850),$AG$2:$AG$1001,0),1)&gt;=100000,INDEX($AN$1005:$BO$1005,1,MATCH(COLUMNS($AN$1006:BO1006),$AN$1006:$BO$1006,0))&gt;=100000), " ",IF(INDEX($AN$2:$BO$1001,MATCH(ROWS($AG$2:AG850),$AG$2:$AG$1001,0),MATCH(COLUMNS($AN$1006:BO1006),$AN$1006:$BO$1006,0)), HYPERLINK("#",""), HYPERLINK(CONCATENATE("#Metadata!", ADDRESS(INDEX($AI$2:$AI$1001,MATCH(ROWS($AG$2:AG850),$AG$2:$AG$1001,0),0), INDEX($AN$1004:$BO$1004,1,MATCH(COLUMNS($AN$1006:BO1006),$AN$1006:$BO$1006,0)))),"Fix")))</f>
        <v>0</v>
      </c>
      <c r="AG850">
        <v>0</v>
      </c>
      <c r="AH850">
        <v>0</v>
      </c>
      <c r="AI850">
        <v>0</v>
      </c>
      <c r="AJ850">
        <f>IF(AK850,TRUE,AND(AN850:BO850))</f>
        <v>0</v>
      </c>
      <c r="AK850">
        <f>COUNTBLANK(Metadata!B850:AC850)=COLUMNS(Metadata!B850:AC850)</f>
        <v>0</v>
      </c>
      <c r="AL850">
        <v>0</v>
      </c>
      <c r="AN850">
        <f>AND(IF(Metadata!B850="",FALSE,TRUE),COUNTIF(Metadata!B:B, Metadata!B850) = 1,NOT(ISERROR(SUMPRODUCT(SEARCH(MID(Metadata!B850,ROW(INDIRECT("1:"&amp;LEN(Metadata!B850))), 1),"0123456789abcdefghijklmnopqrstuvwxyzABCDEFGHIJKLMNOPQRSTUVWXYZ.")))))</f>
        <v>0</v>
      </c>
      <c r="AO850">
        <f>IF(Metadata!C850="",FALSE,TRUE)</f>
        <v>0</v>
      </c>
      <c r="AP850">
        <f>IF(Metadata!D850="",FALSE,TRUE)</f>
        <v>0</v>
      </c>
      <c r="AQ850">
        <f>OR(AND(IF(Metadata!E850="",FALSE,TRUE),OR(exact(Metadata!E850,"not collected"),exact(Metadata!E850,"not provided"),exact(Metadata!E850,"restricted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R850">
        <f>IF(Metadata!F850="",FALSE,TRUE)</f>
        <v>0</v>
      </c>
      <c r="AS850">
        <f>OR(AND(IF(Metadata!G850="",FALSE,TRUE),OR(exact(Metadata!G850,"not collected"),exact(Metadata!G850,"not provided"))),AND(IF(Metadata!G850="",FALSE,TRUE),OR(exact(Metadata!G850,"TRUE"),exact(Metadata!G850,"FALSE"))))</f>
        <v>0</v>
      </c>
      <c r="AT850">
        <f>OR(AND(IF(Metadata!H850="",FALSE,TRUE),OR(exact(Metadata!H850,"not collected"),exact(Metadata!H850,"not provided"),exact(Metadata!H850,"restricted access"))),AND(IF(Metadata!H850="",FALSE,ISNUMBER(VALUE(Metadata!H850))),Metadata!H850&gt;=-413.0))</f>
        <v>0</v>
      </c>
      <c r="AU850">
        <f>AND(IF(Metadata!I850="",FALSE,TRUE),exact(Metadata!I850,"meters"))</f>
        <v>0</v>
      </c>
      <c r="AV850">
        <f>AND(IF(Metadata!J850="",FALSE,TRUE),OR(exact(Metadata!J850,"Host-associated"),exact(Metadata!J850,"Free-living")))</f>
        <v>0</v>
      </c>
      <c r="AW850">
        <f>AND(IF(Metadata!K850="",FALSE,TRUE),OR(exact(Metadata!K850,"Animal"),exact(Metadata!K850,"Fungus"),exact(Metadata!K850,"Plant"),exact(Metadata!K850,"Saline"),exact(Metadata!K850,"Non-saline")))</f>
        <v>0</v>
      </c>
      <c r="AX850">
        <f>AND(IF(Metadata!L850="",FALSE,TRUE),OR(exact(Metadata!L850,"Plant secretion"),exact(Metadata!L850,"Plant rhizosphere"),exact(Metadata!L850,"Plant surface"),exact(Metadata!L850,"Plant corpus"),exact(Metadata!L850,"Fungus surface"),exact(Metadata!L850,"Fungus corpus"),exact(Metadata!L850,"Animal surface"),exact(Metadata!L850,"Animal proximal gut"),exact(Metadata!L850,"Animal corpus"),exact(Metadata!L850,"Animal distal gut"),exact(Metadata!L850,"Animal secretion"),exact(Metadata!L850,"Sub-surface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Y850">
        <f>IF(Metadata!M850="",FALSE,TRUE)</f>
        <v>0</v>
      </c>
      <c r="AZ850">
        <f>IF(Metadata!N850="",FALSE,TRUE)</f>
        <v>0</v>
      </c>
      <c r="BA850">
        <f>IF(Metadata!O850="",FALSE,TRUE)</f>
        <v>0</v>
      </c>
      <c r="BB850">
        <f>OR(AND(IF(Metadata!P850="",FALSE,TRUE),OR(exact(Metadata!P850,"not collected"),exact(Metadata!P850,"not provided"),exact(Metadata!P850,"restricted access"))),AND(IF(Metadata!P850="",FALSE,TRUE),OR(exact(Metadata!P850,"air"),exact(Metadata!P850,"built environment"),exact(Metadata!P850,"host-associated"),exact(Metadata!P850,"human-associated"),exact(Metadata!P850,"human-skin"),exact(Metadata!P850,"human-oral"),exact(Metadata!P850,"human-gut"),exact(Metadata!P850,"human-vaginal"),exact(Metadata!P850,"microbial mat/biofilm"),exact(Metadata!P850,"misc environment"),exact(Metadata!P850,"plant-associated"),exact(Metadata!P850,"sediment"),exact(Metadata!P850,"soil"),exact(Metadata!P850,"wastewater/sludge"),exact(Metadata!P850,"water"))))</f>
        <v>0</v>
      </c>
      <c r="BC850">
        <f>IF(Metadata!Q850="",FALSE,TRUE)</f>
        <v>0</v>
      </c>
      <c r="BD850">
        <f>IF(Metadata!R850="",FALSE,TRUE)</f>
        <v>0</v>
      </c>
      <c r="BE850">
        <f>OR(AND(IF(Metadata!S850="",FALSE,TRUE),OR(exact(Metadata!S850,"not collected"),exact(Metadata!S850,"not provided"),exact(Metadata!S850,"restricted access"))),AND(IF(Metadata!S850="",FALSE,ISNUMBER(VALUE(Metadata!S850))),Metadata!S850&gt;=-90.00,Metadata!S850&lt;=90.00))</f>
        <v>0</v>
      </c>
      <c r="BF850">
        <f>AND(IF(Metadata!T850="",FALSE,TRUE),exact(Metadata!T850,"Decimal degrees"))</f>
        <v>0</v>
      </c>
      <c r="BG850">
        <f>OR(AND(IF(Metadata!U850="",FALSE,TRUE),OR(exact(Metadata!U850,"not collected"),exact(Metadata!U850,"not provided"),exact(Metadata!U850,"restricted access"))),AND(IF(Metadata!U850="",FALSE,ISNUMBER(VALUE(Metadata!U850))),Metadata!U850&gt;=-180.00,Metadata!U850&lt;=180.00))</f>
        <v>0</v>
      </c>
      <c r="BH850">
        <f>AND(IF(Metadata!V850="",FALSE,TRUE),exact(Metadata!V850,"Decimal degrees"))</f>
        <v>0</v>
      </c>
      <c r="BI850">
        <f>IF(Metadata!W850="",FALSE,TRUE)</f>
        <v>0</v>
      </c>
      <c r="BJ850">
        <f>OR(AND(IF(Metadata!X850="",FALSE,TRUE),OR(exact(Metadata!X850,"not collected"),exact(Metadata!X850,"not provided"),exact(Metadata!X850,"restricted access"))),AND(IF(Metadata!X850="",FALSE,TRUE),OR(exact(Metadata!X850,"TRUE"),exact(Metadata!X850,"FALSE"))))</f>
        <v>0</v>
      </c>
      <c r="BK850">
        <f>AND(IF(Metadata!Y850="",FALSE,TRUE),exact(Metadata!Y850,"other"))</f>
        <v>0</v>
      </c>
      <c r="BL850">
        <f>IF(Metadata!Z850="",FALSE,TRUE)</f>
        <v>0</v>
      </c>
      <c r="BM850">
        <f>OR(AND(IF(Metadata!AA850="",FALSE,TRUE),OR(exact(Metadata!AA850,"not collected"),exact(Metadata!AA850,"not provided"))),AND(IF(Metadata!AA850="",FALSE,IF(ISERROR(INT(Metadata!AA850)),FALSE,INT(Metadata!AA850)=Metadata!AA850)),Metadata!AA850&gt;0))</f>
        <v>0</v>
      </c>
      <c r="BN850">
        <f>AND(IF(Metadata!AB850="",FALSE,TRUE),exact(Metadata!AB850,"Not applicable"))</f>
        <v>0</v>
      </c>
      <c r="BO850">
        <f>IF(Metadata!AC850="",FALSE,TRUE)</f>
        <v>0</v>
      </c>
    </row>
    <row r="851" spans="1:67">
      <c r="A851" s="5">
        <f>IF(B851=" "," ",HYPERLINK(CONCATENATE("#metadata!",ADDRESS(INDEX($AI$2:$AI$1001,MATCH(ROWS($AG$2:AG851),$AG$2:$AG$1001,0),0),1)),INDEX($AL$2:$AL$1001,MATCH(ROWS($AG$2:AG851),$AG$2:$AG$1001,0),0)))</f>
        <v>0</v>
      </c>
      <c r="B851" s="4">
        <f>IF(OR(INDEX($AH$2:$AH$1001,MATCH(ROWS($AG$2:AG851),$AG$2:$AG$1001,0),1)&gt;=100000,INDEX($AN$1005:$BO$1005,1,MATCH(COLUMNS($AN$1006:AN1006),$AN$1006:$BO$1006,0))&gt;=100000), " ",IF(INDEX($AN$2:$BO$1001,MATCH(ROWS($AG$2:AG851),$AG$2:$AG$1001,0),MATCH(COLUMNS($AN$1006:AN1006),$AN$1006:$BO$1006,0)), HYPERLINK("#",""), HYPERLINK(CONCATENATE("#Metadata!", ADDRESS(INDEX($AI$2:$AI$1001,MATCH(ROWS($AG$2:AG851),$AG$2:$AG$1001,0),0), INDEX($AN$1004:$BO$1004,1,MATCH(COLUMNS($AN$1006:AN1006),$AN$1006:$BO$1006,0)))),"Fix")))</f>
        <v>0</v>
      </c>
      <c r="C851" s="4">
        <f>IF(OR(INDEX($AH$2:$AH$1001,MATCH(ROWS($AG$2:AG851),$AG$2:$AG$1001,0),1)&gt;=100000,INDEX($AN$1005:$BO$1005,1,MATCH(COLUMNS($AN$1006:AO1006),$AN$1006:$BO$1006,0))&gt;=100000), " ",IF(INDEX($AN$2:$BO$1001,MATCH(ROWS($AG$2:AG851),$AG$2:$AG$1001,0),MATCH(COLUMNS($AN$1006:AO1006),$AN$1006:$BO$1006,0)), HYPERLINK("#",""), HYPERLINK(CONCATENATE("#Metadata!", ADDRESS(INDEX($AI$2:$AI$1001,MATCH(ROWS($AG$2:AG851),$AG$2:$AG$1001,0),0), INDEX($AN$1004:$BO$1004,1,MATCH(COLUMNS($AN$1006:AO1006),$AN$1006:$BO$1006,0)))),"Fix")))</f>
        <v>0</v>
      </c>
      <c r="D851" s="4">
        <f>IF(OR(INDEX($AH$2:$AH$1001,MATCH(ROWS($AG$2:AG851),$AG$2:$AG$1001,0),1)&gt;=100000,INDEX($AN$1005:$BO$1005,1,MATCH(COLUMNS($AN$1006:AP1006),$AN$1006:$BO$1006,0))&gt;=100000), " ",IF(INDEX($AN$2:$BO$1001,MATCH(ROWS($AG$2:AG851),$AG$2:$AG$1001,0),MATCH(COLUMNS($AN$1006:AP1006),$AN$1006:$BO$1006,0)), HYPERLINK("#",""), HYPERLINK(CONCATENATE("#Metadata!", ADDRESS(INDEX($AI$2:$AI$1001,MATCH(ROWS($AG$2:AG851),$AG$2:$AG$1001,0),0), INDEX($AN$1004:$BO$1004,1,MATCH(COLUMNS($AN$1006:AP1006),$AN$1006:$BO$1006,0)))),"Fix")))</f>
        <v>0</v>
      </c>
      <c r="E851" s="4">
        <f>IF(OR(INDEX($AH$2:$AH$1001,MATCH(ROWS($AG$2:AG851),$AG$2:$AG$1001,0),1)&gt;=100000,INDEX($AN$1005:$BO$1005,1,MATCH(COLUMNS($AN$1006:AQ1006),$AN$1006:$BO$1006,0))&gt;=100000), " ",IF(INDEX($AN$2:$BO$1001,MATCH(ROWS($AG$2:AG851),$AG$2:$AG$1001,0),MATCH(COLUMNS($AN$1006:AQ1006),$AN$1006:$BO$1006,0)), HYPERLINK("#",""), HYPERLINK(CONCATENATE("#Metadata!", ADDRESS(INDEX($AI$2:$AI$1001,MATCH(ROWS($AG$2:AG851),$AG$2:$AG$1001,0),0), INDEX($AN$1004:$BO$1004,1,MATCH(COLUMNS($AN$1006:AQ1006),$AN$1006:$BO$1006,0)))),"Fix")))</f>
        <v>0</v>
      </c>
      <c r="F851" s="4">
        <f>IF(OR(INDEX($AH$2:$AH$1001,MATCH(ROWS($AG$2:AG851),$AG$2:$AG$1001,0),1)&gt;=100000,INDEX($AN$1005:$BO$1005,1,MATCH(COLUMNS($AN$1006:AR1006),$AN$1006:$BO$1006,0))&gt;=100000), " ",IF(INDEX($AN$2:$BO$1001,MATCH(ROWS($AG$2:AG851),$AG$2:$AG$1001,0),MATCH(COLUMNS($AN$1006:AR1006),$AN$1006:$BO$1006,0)), HYPERLINK("#",""), HYPERLINK(CONCATENATE("#Metadata!", ADDRESS(INDEX($AI$2:$AI$1001,MATCH(ROWS($AG$2:AG851),$AG$2:$AG$1001,0),0), INDEX($AN$1004:$BO$1004,1,MATCH(COLUMNS($AN$1006:AR1006),$AN$1006:$BO$1006,0)))),"Fix")))</f>
        <v>0</v>
      </c>
      <c r="G851" s="4">
        <f>IF(OR(INDEX($AH$2:$AH$1001,MATCH(ROWS($AG$2:AG851),$AG$2:$AG$1001,0),1)&gt;=100000,INDEX($AN$1005:$BO$1005,1,MATCH(COLUMNS($AN$1006:AS1006),$AN$1006:$BO$1006,0))&gt;=100000), " ",IF(INDEX($AN$2:$BO$1001,MATCH(ROWS($AG$2:AG851),$AG$2:$AG$1001,0),MATCH(COLUMNS($AN$1006:AS1006),$AN$1006:$BO$1006,0)), HYPERLINK("#",""), HYPERLINK(CONCATENATE("#Metadata!", ADDRESS(INDEX($AI$2:$AI$1001,MATCH(ROWS($AG$2:AG851),$AG$2:$AG$1001,0),0), INDEX($AN$1004:$BO$1004,1,MATCH(COLUMNS($AN$1006:AS1006),$AN$1006:$BO$1006,0)))),"Fix")))</f>
        <v>0</v>
      </c>
      <c r="H851" s="4">
        <f>IF(OR(INDEX($AH$2:$AH$1001,MATCH(ROWS($AG$2:AG851),$AG$2:$AG$1001,0),1)&gt;=100000,INDEX($AN$1005:$BO$1005,1,MATCH(COLUMNS($AN$1006:AT1006),$AN$1006:$BO$1006,0))&gt;=100000), " ",IF(INDEX($AN$2:$BO$1001,MATCH(ROWS($AG$2:AG851),$AG$2:$AG$1001,0),MATCH(COLUMNS($AN$1006:AT1006),$AN$1006:$BO$1006,0)), HYPERLINK("#",""), HYPERLINK(CONCATENATE("#Metadata!", ADDRESS(INDEX($AI$2:$AI$1001,MATCH(ROWS($AG$2:AG851),$AG$2:$AG$1001,0),0), INDEX($AN$1004:$BO$1004,1,MATCH(COLUMNS($AN$1006:AT1006),$AN$1006:$BO$1006,0)))),"Fix")))</f>
        <v>0</v>
      </c>
      <c r="I851" s="4">
        <f>IF(OR(INDEX($AH$2:$AH$1001,MATCH(ROWS($AG$2:AG851),$AG$2:$AG$1001,0),1)&gt;=100000,INDEX($AN$1005:$BO$1005,1,MATCH(COLUMNS($AN$1006:AU1006),$AN$1006:$BO$1006,0))&gt;=100000), " ",IF(INDEX($AN$2:$BO$1001,MATCH(ROWS($AG$2:AG851),$AG$2:$AG$1001,0),MATCH(COLUMNS($AN$1006:AU1006),$AN$1006:$BO$1006,0)), HYPERLINK("#",""), HYPERLINK(CONCATENATE("#Metadata!", ADDRESS(INDEX($AI$2:$AI$1001,MATCH(ROWS($AG$2:AG851),$AG$2:$AG$1001,0),0), INDEX($AN$1004:$BO$1004,1,MATCH(COLUMNS($AN$1006:AU1006),$AN$1006:$BO$1006,0)))),"Fix")))</f>
        <v>0</v>
      </c>
      <c r="J851" s="4">
        <f>IF(OR(INDEX($AH$2:$AH$1001,MATCH(ROWS($AG$2:AG851),$AG$2:$AG$1001,0),1)&gt;=100000,INDEX($AN$1005:$BO$1005,1,MATCH(COLUMNS($AN$1006:AV1006),$AN$1006:$BO$1006,0))&gt;=100000), " ",IF(INDEX($AN$2:$BO$1001,MATCH(ROWS($AG$2:AG851),$AG$2:$AG$1001,0),MATCH(COLUMNS($AN$1006:AV1006),$AN$1006:$BO$1006,0)), HYPERLINK("#",""), HYPERLINK(CONCATENATE("#Metadata!", ADDRESS(INDEX($AI$2:$AI$1001,MATCH(ROWS($AG$2:AG851),$AG$2:$AG$1001,0),0), INDEX($AN$1004:$BO$1004,1,MATCH(COLUMNS($AN$1006:AV1006),$AN$1006:$BO$1006,0)))),"Fix")))</f>
        <v>0</v>
      </c>
      <c r="K851" s="4">
        <f>IF(OR(INDEX($AH$2:$AH$1001,MATCH(ROWS($AG$2:AG851),$AG$2:$AG$1001,0),1)&gt;=100000,INDEX($AN$1005:$BO$1005,1,MATCH(COLUMNS($AN$1006:AW1006),$AN$1006:$BO$1006,0))&gt;=100000), " ",IF(INDEX($AN$2:$BO$1001,MATCH(ROWS($AG$2:AG851),$AG$2:$AG$1001,0),MATCH(COLUMNS($AN$1006:AW1006),$AN$1006:$BO$1006,0)), HYPERLINK("#",""), HYPERLINK(CONCATENATE("#Metadata!", ADDRESS(INDEX($AI$2:$AI$1001,MATCH(ROWS($AG$2:AG851),$AG$2:$AG$1001,0),0), INDEX($AN$1004:$BO$1004,1,MATCH(COLUMNS($AN$1006:AW1006),$AN$1006:$BO$1006,0)))),"Fix")))</f>
        <v>0</v>
      </c>
      <c r="L851" s="4">
        <f>IF(OR(INDEX($AH$2:$AH$1001,MATCH(ROWS($AG$2:AG851),$AG$2:$AG$1001,0),1)&gt;=100000,INDEX($AN$1005:$BO$1005,1,MATCH(COLUMNS($AN$1006:AX1006),$AN$1006:$BO$1006,0))&gt;=100000), " ",IF(INDEX($AN$2:$BO$1001,MATCH(ROWS($AG$2:AG851),$AG$2:$AG$1001,0),MATCH(COLUMNS($AN$1006:AX1006),$AN$1006:$BO$1006,0)), HYPERLINK("#",""), HYPERLINK(CONCATENATE("#Metadata!", ADDRESS(INDEX($AI$2:$AI$1001,MATCH(ROWS($AG$2:AG851),$AG$2:$AG$1001,0),0), INDEX($AN$1004:$BO$1004,1,MATCH(COLUMNS($AN$1006:AX1006),$AN$1006:$BO$1006,0)))),"Fix")))</f>
        <v>0</v>
      </c>
      <c r="M851" s="4">
        <f>IF(OR(INDEX($AH$2:$AH$1001,MATCH(ROWS($AG$2:AG851),$AG$2:$AG$1001,0),1)&gt;=100000,INDEX($AN$1005:$BO$1005,1,MATCH(COLUMNS($AN$1006:AY1006),$AN$1006:$BO$1006,0))&gt;=100000), " ",IF(INDEX($AN$2:$BO$1001,MATCH(ROWS($AG$2:AG851),$AG$2:$AG$1001,0),MATCH(COLUMNS($AN$1006:AY1006),$AN$1006:$BO$1006,0)), HYPERLINK("#",""), HYPERLINK(CONCATENATE("#Metadata!", ADDRESS(INDEX($AI$2:$AI$1001,MATCH(ROWS($AG$2:AG851),$AG$2:$AG$1001,0),0), INDEX($AN$1004:$BO$1004,1,MATCH(COLUMNS($AN$1006:AY1006),$AN$1006:$BO$1006,0)))),"Fix")))</f>
        <v>0</v>
      </c>
      <c r="N851" s="4">
        <f>IF(OR(INDEX($AH$2:$AH$1001,MATCH(ROWS($AG$2:AG851),$AG$2:$AG$1001,0),1)&gt;=100000,INDEX($AN$1005:$BO$1005,1,MATCH(COLUMNS($AN$1006:AZ1006),$AN$1006:$BO$1006,0))&gt;=100000), " ",IF(INDEX($AN$2:$BO$1001,MATCH(ROWS($AG$2:AG851),$AG$2:$AG$1001,0),MATCH(COLUMNS($AN$1006:AZ1006),$AN$1006:$BO$1006,0)), HYPERLINK("#",""), HYPERLINK(CONCATENATE("#Metadata!", ADDRESS(INDEX($AI$2:$AI$1001,MATCH(ROWS($AG$2:AG851),$AG$2:$AG$1001,0),0), INDEX($AN$1004:$BO$1004,1,MATCH(COLUMNS($AN$1006:AZ1006),$AN$1006:$BO$1006,0)))),"Fix")))</f>
        <v>0</v>
      </c>
      <c r="O851" s="4">
        <f>IF(OR(INDEX($AH$2:$AH$1001,MATCH(ROWS($AG$2:AG851),$AG$2:$AG$1001,0),1)&gt;=100000,INDEX($AN$1005:$BO$1005,1,MATCH(COLUMNS($AN$1006:BA1006),$AN$1006:$BO$1006,0))&gt;=100000), " ",IF(INDEX($AN$2:$BO$1001,MATCH(ROWS($AG$2:AG851),$AG$2:$AG$1001,0),MATCH(COLUMNS($AN$1006:BA1006),$AN$1006:$BO$1006,0)), HYPERLINK("#",""), HYPERLINK(CONCATENATE("#Metadata!", ADDRESS(INDEX($AI$2:$AI$1001,MATCH(ROWS($AG$2:AG851),$AG$2:$AG$1001,0),0), INDEX($AN$1004:$BO$1004,1,MATCH(COLUMNS($AN$1006:BA1006),$AN$1006:$BO$1006,0)))),"Fix")))</f>
        <v>0</v>
      </c>
      <c r="P851" s="4">
        <f>IF(OR(INDEX($AH$2:$AH$1001,MATCH(ROWS($AG$2:AG851),$AG$2:$AG$1001,0),1)&gt;=100000,INDEX($AN$1005:$BO$1005,1,MATCH(COLUMNS($AN$1006:BB1006),$AN$1006:$BO$1006,0))&gt;=100000), " ",IF(INDEX($AN$2:$BO$1001,MATCH(ROWS($AG$2:AG851),$AG$2:$AG$1001,0),MATCH(COLUMNS($AN$1006:BB1006),$AN$1006:$BO$1006,0)), HYPERLINK("#",""), HYPERLINK(CONCATENATE("#Metadata!", ADDRESS(INDEX($AI$2:$AI$1001,MATCH(ROWS($AG$2:AG851),$AG$2:$AG$1001,0),0), INDEX($AN$1004:$BO$1004,1,MATCH(COLUMNS($AN$1006:BB1006),$AN$1006:$BO$1006,0)))),"Fix")))</f>
        <v>0</v>
      </c>
      <c r="Q851" s="4">
        <f>IF(OR(INDEX($AH$2:$AH$1001,MATCH(ROWS($AG$2:AG851),$AG$2:$AG$1001,0),1)&gt;=100000,INDEX($AN$1005:$BO$1005,1,MATCH(COLUMNS($AN$1006:BC1006),$AN$1006:$BO$1006,0))&gt;=100000), " ",IF(INDEX($AN$2:$BO$1001,MATCH(ROWS($AG$2:AG851),$AG$2:$AG$1001,0),MATCH(COLUMNS($AN$1006:BC1006),$AN$1006:$BO$1006,0)), HYPERLINK("#",""), HYPERLINK(CONCATENATE("#Metadata!", ADDRESS(INDEX($AI$2:$AI$1001,MATCH(ROWS($AG$2:AG851),$AG$2:$AG$1001,0),0), INDEX($AN$1004:$BO$1004,1,MATCH(COLUMNS($AN$1006:BC1006),$AN$1006:$BO$1006,0)))),"Fix")))</f>
        <v>0</v>
      </c>
      <c r="R851" s="4">
        <f>IF(OR(INDEX($AH$2:$AH$1001,MATCH(ROWS($AG$2:AG851),$AG$2:$AG$1001,0),1)&gt;=100000,INDEX($AN$1005:$BO$1005,1,MATCH(COLUMNS($AN$1006:BD1006),$AN$1006:$BO$1006,0))&gt;=100000), " ",IF(INDEX($AN$2:$BO$1001,MATCH(ROWS($AG$2:AG851),$AG$2:$AG$1001,0),MATCH(COLUMNS($AN$1006:BD1006),$AN$1006:$BO$1006,0)), HYPERLINK("#",""), HYPERLINK(CONCATENATE("#Metadata!", ADDRESS(INDEX($AI$2:$AI$1001,MATCH(ROWS($AG$2:AG851),$AG$2:$AG$1001,0),0), INDEX($AN$1004:$BO$1004,1,MATCH(COLUMNS($AN$1006:BD1006),$AN$1006:$BO$1006,0)))),"Fix")))</f>
        <v>0</v>
      </c>
      <c r="S851" s="4">
        <f>IF(OR(INDEX($AH$2:$AH$1001,MATCH(ROWS($AG$2:AG851),$AG$2:$AG$1001,0),1)&gt;=100000,INDEX($AN$1005:$BO$1005,1,MATCH(COLUMNS($AN$1006:BE1006),$AN$1006:$BO$1006,0))&gt;=100000), " ",IF(INDEX($AN$2:$BO$1001,MATCH(ROWS($AG$2:AG851),$AG$2:$AG$1001,0),MATCH(COLUMNS($AN$1006:BE1006),$AN$1006:$BO$1006,0)), HYPERLINK("#",""), HYPERLINK(CONCATENATE("#Metadata!", ADDRESS(INDEX($AI$2:$AI$1001,MATCH(ROWS($AG$2:AG851),$AG$2:$AG$1001,0),0), INDEX($AN$1004:$BO$1004,1,MATCH(COLUMNS($AN$1006:BE1006),$AN$1006:$BO$1006,0)))),"Fix")))</f>
        <v>0</v>
      </c>
      <c r="T851" s="4">
        <f>IF(OR(INDEX($AH$2:$AH$1001,MATCH(ROWS($AG$2:AG851),$AG$2:$AG$1001,0),1)&gt;=100000,INDEX($AN$1005:$BO$1005,1,MATCH(COLUMNS($AN$1006:BF1006),$AN$1006:$BO$1006,0))&gt;=100000), " ",IF(INDEX($AN$2:$BO$1001,MATCH(ROWS($AG$2:AG851),$AG$2:$AG$1001,0),MATCH(COLUMNS($AN$1006:BF1006),$AN$1006:$BO$1006,0)), HYPERLINK("#",""), HYPERLINK(CONCATENATE("#Metadata!", ADDRESS(INDEX($AI$2:$AI$1001,MATCH(ROWS($AG$2:AG851),$AG$2:$AG$1001,0),0), INDEX($AN$1004:$BO$1004,1,MATCH(COLUMNS($AN$1006:BF1006),$AN$1006:$BO$1006,0)))),"Fix")))</f>
        <v>0</v>
      </c>
      <c r="U851" s="4">
        <f>IF(OR(INDEX($AH$2:$AH$1001,MATCH(ROWS($AG$2:AG851),$AG$2:$AG$1001,0),1)&gt;=100000,INDEX($AN$1005:$BO$1005,1,MATCH(COLUMNS($AN$1006:BG1006),$AN$1006:$BO$1006,0))&gt;=100000), " ",IF(INDEX($AN$2:$BO$1001,MATCH(ROWS($AG$2:AG851),$AG$2:$AG$1001,0),MATCH(COLUMNS($AN$1006:BG1006),$AN$1006:$BO$1006,0)), HYPERLINK("#",""), HYPERLINK(CONCATENATE("#Metadata!", ADDRESS(INDEX($AI$2:$AI$1001,MATCH(ROWS($AG$2:AG851),$AG$2:$AG$1001,0),0), INDEX($AN$1004:$BO$1004,1,MATCH(COLUMNS($AN$1006:BG1006),$AN$1006:$BO$1006,0)))),"Fix")))</f>
        <v>0</v>
      </c>
      <c r="V851" s="4">
        <f>IF(OR(INDEX($AH$2:$AH$1001,MATCH(ROWS($AG$2:AG851),$AG$2:$AG$1001,0),1)&gt;=100000,INDEX($AN$1005:$BO$1005,1,MATCH(COLUMNS($AN$1006:BH1006),$AN$1006:$BO$1006,0))&gt;=100000), " ",IF(INDEX($AN$2:$BO$1001,MATCH(ROWS($AG$2:AG851),$AG$2:$AG$1001,0),MATCH(COLUMNS($AN$1006:BH1006),$AN$1006:$BO$1006,0)), HYPERLINK("#",""), HYPERLINK(CONCATENATE("#Metadata!", ADDRESS(INDEX($AI$2:$AI$1001,MATCH(ROWS($AG$2:AG851),$AG$2:$AG$1001,0),0), INDEX($AN$1004:$BO$1004,1,MATCH(COLUMNS($AN$1006:BH1006),$AN$1006:$BO$1006,0)))),"Fix")))</f>
        <v>0</v>
      </c>
      <c r="W851" s="4">
        <f>IF(OR(INDEX($AH$2:$AH$1001,MATCH(ROWS($AG$2:AG851),$AG$2:$AG$1001,0),1)&gt;=100000,INDEX($AN$1005:$BO$1005,1,MATCH(COLUMNS($AN$1006:BI1006),$AN$1006:$BO$1006,0))&gt;=100000), " ",IF(INDEX($AN$2:$BO$1001,MATCH(ROWS($AG$2:AG851),$AG$2:$AG$1001,0),MATCH(COLUMNS($AN$1006:BI1006),$AN$1006:$BO$1006,0)), HYPERLINK("#",""), HYPERLINK(CONCATENATE("#Metadata!", ADDRESS(INDEX($AI$2:$AI$1001,MATCH(ROWS($AG$2:AG851),$AG$2:$AG$1001,0),0), INDEX($AN$1004:$BO$1004,1,MATCH(COLUMNS($AN$1006:BI1006),$AN$1006:$BO$1006,0)))),"Fix")))</f>
        <v>0</v>
      </c>
      <c r="X851" s="4">
        <f>IF(OR(INDEX($AH$2:$AH$1001,MATCH(ROWS($AG$2:AG851),$AG$2:$AG$1001,0),1)&gt;=100000,INDEX($AN$1005:$BO$1005,1,MATCH(COLUMNS($AN$1006:BJ1006),$AN$1006:$BO$1006,0))&gt;=100000), " ",IF(INDEX($AN$2:$BO$1001,MATCH(ROWS($AG$2:AG851),$AG$2:$AG$1001,0),MATCH(COLUMNS($AN$1006:BJ1006),$AN$1006:$BO$1006,0)), HYPERLINK("#",""), HYPERLINK(CONCATENATE("#Metadata!", ADDRESS(INDEX($AI$2:$AI$1001,MATCH(ROWS($AG$2:AG851),$AG$2:$AG$1001,0),0), INDEX($AN$1004:$BO$1004,1,MATCH(COLUMNS($AN$1006:BJ1006),$AN$1006:$BO$1006,0)))),"Fix")))</f>
        <v>0</v>
      </c>
      <c r="Y851" s="4">
        <f>IF(OR(INDEX($AH$2:$AH$1001,MATCH(ROWS($AG$2:AG851),$AG$2:$AG$1001,0),1)&gt;=100000,INDEX($AN$1005:$BO$1005,1,MATCH(COLUMNS($AN$1006:BK1006),$AN$1006:$BO$1006,0))&gt;=100000), " ",IF(INDEX($AN$2:$BO$1001,MATCH(ROWS($AG$2:AG851),$AG$2:$AG$1001,0),MATCH(COLUMNS($AN$1006:BK1006),$AN$1006:$BO$1006,0)), HYPERLINK("#",""), HYPERLINK(CONCATENATE("#Metadata!", ADDRESS(INDEX($AI$2:$AI$1001,MATCH(ROWS($AG$2:AG851),$AG$2:$AG$1001,0),0), INDEX($AN$1004:$BO$1004,1,MATCH(COLUMNS($AN$1006:BK1006),$AN$1006:$BO$1006,0)))),"Fix")))</f>
        <v>0</v>
      </c>
      <c r="Z851" s="4">
        <f>IF(OR(INDEX($AH$2:$AH$1001,MATCH(ROWS($AG$2:AG851),$AG$2:$AG$1001,0),1)&gt;=100000,INDEX($AN$1005:$BO$1005,1,MATCH(COLUMNS($AN$1006:BL1006),$AN$1006:$BO$1006,0))&gt;=100000), " ",IF(INDEX($AN$2:$BO$1001,MATCH(ROWS($AG$2:AG851),$AG$2:$AG$1001,0),MATCH(COLUMNS($AN$1006:BL1006),$AN$1006:$BO$1006,0)), HYPERLINK("#",""), HYPERLINK(CONCATENATE("#Metadata!", ADDRESS(INDEX($AI$2:$AI$1001,MATCH(ROWS($AG$2:AG851),$AG$2:$AG$1001,0),0), INDEX($AN$1004:$BO$1004,1,MATCH(COLUMNS($AN$1006:BL1006),$AN$1006:$BO$1006,0)))),"Fix")))</f>
        <v>0</v>
      </c>
      <c r="AA851" s="4">
        <f>IF(OR(INDEX($AH$2:$AH$1001,MATCH(ROWS($AG$2:AG851),$AG$2:$AG$1001,0),1)&gt;=100000,INDEX($AN$1005:$BO$1005,1,MATCH(COLUMNS($AN$1006:BM1006),$AN$1006:$BO$1006,0))&gt;=100000), " ",IF(INDEX($AN$2:$BO$1001,MATCH(ROWS($AG$2:AG851),$AG$2:$AG$1001,0),MATCH(COLUMNS($AN$1006:BM1006),$AN$1006:$BO$1006,0)), HYPERLINK("#",""), HYPERLINK(CONCATENATE("#Metadata!", ADDRESS(INDEX($AI$2:$AI$1001,MATCH(ROWS($AG$2:AG851),$AG$2:$AG$1001,0),0), INDEX($AN$1004:$BO$1004,1,MATCH(COLUMNS($AN$1006:BM1006),$AN$1006:$BO$1006,0)))),"Fix")))</f>
        <v>0</v>
      </c>
      <c r="AB851" s="4">
        <f>IF(OR(INDEX($AH$2:$AH$1001,MATCH(ROWS($AG$2:AG851),$AG$2:$AG$1001,0),1)&gt;=100000,INDEX($AN$1005:$BO$1005,1,MATCH(COLUMNS($AN$1006:BN1006),$AN$1006:$BO$1006,0))&gt;=100000), " ",IF(INDEX($AN$2:$BO$1001,MATCH(ROWS($AG$2:AG851),$AG$2:$AG$1001,0),MATCH(COLUMNS($AN$1006:BN1006),$AN$1006:$BO$1006,0)), HYPERLINK("#",""), HYPERLINK(CONCATENATE("#Metadata!", ADDRESS(INDEX($AI$2:$AI$1001,MATCH(ROWS($AG$2:AG851),$AG$2:$AG$1001,0),0), INDEX($AN$1004:$BO$1004,1,MATCH(COLUMNS($AN$1006:BN1006),$AN$1006:$BO$1006,0)))),"Fix")))</f>
        <v>0</v>
      </c>
      <c r="AC851" s="4">
        <f>IF(OR(INDEX($AH$2:$AH$1001,MATCH(ROWS($AG$2:AG851),$AG$2:$AG$1001,0),1)&gt;=100000,INDEX($AN$1005:$BO$1005,1,MATCH(COLUMNS($AN$1006:BO1006),$AN$1006:$BO$1006,0))&gt;=100000), " ",IF(INDEX($AN$2:$BO$1001,MATCH(ROWS($AG$2:AG851),$AG$2:$AG$1001,0),MATCH(COLUMNS($AN$1006:BO1006),$AN$1006:$BO$1006,0)), HYPERLINK("#",""), HYPERLINK(CONCATENATE("#Metadata!", ADDRESS(INDEX($AI$2:$AI$1001,MATCH(ROWS($AG$2:AG851),$AG$2:$AG$1001,0),0), INDEX($AN$1004:$BO$1004,1,MATCH(COLUMNS($AN$1006:BO1006),$AN$1006:$BO$1006,0)))),"Fix")))</f>
        <v>0</v>
      </c>
      <c r="AG851">
        <v>0</v>
      </c>
      <c r="AH851">
        <v>0</v>
      </c>
      <c r="AI851">
        <v>0</v>
      </c>
      <c r="AJ851">
        <f>IF(AK851,TRUE,AND(AN851:BO851))</f>
        <v>0</v>
      </c>
      <c r="AK851">
        <f>COUNTBLANK(Metadata!B851:AC851)=COLUMNS(Metadata!B851:AC851)</f>
        <v>0</v>
      </c>
      <c r="AL851">
        <v>0</v>
      </c>
      <c r="AN851">
        <f>AND(IF(Metadata!B851="",FALSE,TRUE),COUNTIF(Metadata!B:B, Metadata!B851) = 1,NOT(ISERROR(SUMPRODUCT(SEARCH(MID(Metadata!B851,ROW(INDIRECT("1:"&amp;LEN(Metadata!B851))), 1),"0123456789abcdefghijklmnopqrstuvwxyzABCDEFGHIJKLMNOPQRSTUVWXYZ.")))))</f>
        <v>0</v>
      </c>
      <c r="AO851">
        <f>IF(Metadata!C851="",FALSE,TRUE)</f>
        <v>0</v>
      </c>
      <c r="AP851">
        <f>IF(Metadata!D851="",FALSE,TRUE)</f>
        <v>0</v>
      </c>
      <c r="AQ851">
        <f>OR(AND(IF(Metadata!E851="",FALSE,TRUE),OR(exact(Metadata!E851,"not collected"),exact(Metadata!E851,"not provided"),exact(Metadata!E851,"restricted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R851">
        <f>IF(Metadata!F851="",FALSE,TRUE)</f>
        <v>0</v>
      </c>
      <c r="AS851">
        <f>OR(AND(IF(Metadata!G851="",FALSE,TRUE),OR(exact(Metadata!G851,"not collected"),exact(Metadata!G851,"not provided"))),AND(IF(Metadata!G851="",FALSE,TRUE),OR(exact(Metadata!G851,"TRUE"),exact(Metadata!G851,"FALSE"))))</f>
        <v>0</v>
      </c>
      <c r="AT851">
        <f>OR(AND(IF(Metadata!H851="",FALSE,TRUE),OR(exact(Metadata!H851,"not collected"),exact(Metadata!H851,"not provided"),exact(Metadata!H851,"restricted access"))),AND(IF(Metadata!H851="",FALSE,ISNUMBER(VALUE(Metadata!H851))),Metadata!H851&gt;=-413.0))</f>
        <v>0</v>
      </c>
      <c r="AU851">
        <f>AND(IF(Metadata!I851="",FALSE,TRUE),exact(Metadata!I851,"meters"))</f>
        <v>0</v>
      </c>
      <c r="AV851">
        <f>AND(IF(Metadata!J851="",FALSE,TRUE),OR(exact(Metadata!J851,"Host-associated"),exact(Metadata!J851,"Free-living")))</f>
        <v>0</v>
      </c>
      <c r="AW851">
        <f>AND(IF(Metadata!K851="",FALSE,TRUE),OR(exact(Metadata!K851,"Animal"),exact(Metadata!K851,"Fungus"),exact(Metadata!K851,"Plant"),exact(Metadata!K851,"Saline"),exact(Metadata!K851,"Non-saline")))</f>
        <v>0</v>
      </c>
      <c r="AX851">
        <f>AND(IF(Metadata!L851="",FALSE,TRUE),OR(exact(Metadata!L851,"Plant secretion"),exact(Metadata!L851,"Plant rhizosphere"),exact(Metadata!L851,"Plant surface"),exact(Metadata!L851,"Plant corpus"),exact(Metadata!L851,"Fungus surface"),exact(Metadata!L851,"Fungus corpus"),exact(Metadata!L851,"Animal surface"),exact(Metadata!L851,"Animal proximal gut"),exact(Metadata!L851,"Animal corpus"),exact(Metadata!L851,"Animal distal gut"),exact(Metadata!L851,"Animal secretion"),exact(Metadata!L851,"Sub-surface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Y851">
        <f>IF(Metadata!M851="",FALSE,TRUE)</f>
        <v>0</v>
      </c>
      <c r="AZ851">
        <f>IF(Metadata!N851="",FALSE,TRUE)</f>
        <v>0</v>
      </c>
      <c r="BA851">
        <f>IF(Metadata!O851="",FALSE,TRUE)</f>
        <v>0</v>
      </c>
      <c r="BB851">
        <f>OR(AND(IF(Metadata!P851="",FALSE,TRUE),OR(exact(Metadata!P851,"not collected"),exact(Metadata!P851,"not provided"),exact(Metadata!P851,"restricted access"))),AND(IF(Metadata!P851="",FALSE,TRUE),OR(exact(Metadata!P851,"air"),exact(Metadata!P851,"built environment"),exact(Metadata!P851,"host-associated"),exact(Metadata!P851,"human-associated"),exact(Metadata!P851,"human-skin"),exact(Metadata!P851,"human-oral"),exact(Metadata!P851,"human-gut"),exact(Metadata!P851,"human-vaginal"),exact(Metadata!P851,"microbial mat/biofilm"),exact(Metadata!P851,"misc environment"),exact(Metadata!P851,"plant-associated"),exact(Metadata!P851,"sediment"),exact(Metadata!P851,"soil"),exact(Metadata!P851,"wastewater/sludge"),exact(Metadata!P851,"water"))))</f>
        <v>0</v>
      </c>
      <c r="BC851">
        <f>IF(Metadata!Q851="",FALSE,TRUE)</f>
        <v>0</v>
      </c>
      <c r="BD851">
        <f>IF(Metadata!R851="",FALSE,TRUE)</f>
        <v>0</v>
      </c>
      <c r="BE851">
        <f>OR(AND(IF(Metadata!S851="",FALSE,TRUE),OR(exact(Metadata!S851,"not collected"),exact(Metadata!S851,"not provided"),exact(Metadata!S851,"restricted access"))),AND(IF(Metadata!S851="",FALSE,ISNUMBER(VALUE(Metadata!S851))),Metadata!S851&gt;=-90.00,Metadata!S851&lt;=90.00))</f>
        <v>0</v>
      </c>
      <c r="BF851">
        <f>AND(IF(Metadata!T851="",FALSE,TRUE),exact(Metadata!T851,"Decimal degrees"))</f>
        <v>0</v>
      </c>
      <c r="BG851">
        <f>OR(AND(IF(Metadata!U851="",FALSE,TRUE),OR(exact(Metadata!U851,"not collected"),exact(Metadata!U851,"not provided"),exact(Metadata!U851,"restricted access"))),AND(IF(Metadata!U851="",FALSE,ISNUMBER(VALUE(Metadata!U851))),Metadata!U851&gt;=-180.00,Metadata!U851&lt;=180.00))</f>
        <v>0</v>
      </c>
      <c r="BH851">
        <f>AND(IF(Metadata!V851="",FALSE,TRUE),exact(Metadata!V851,"Decimal degrees"))</f>
        <v>0</v>
      </c>
      <c r="BI851">
        <f>IF(Metadata!W851="",FALSE,TRUE)</f>
        <v>0</v>
      </c>
      <c r="BJ851">
        <f>OR(AND(IF(Metadata!X851="",FALSE,TRUE),OR(exact(Metadata!X851,"not collected"),exact(Metadata!X851,"not provided"),exact(Metadata!X851,"restricted access"))),AND(IF(Metadata!X851="",FALSE,TRUE),OR(exact(Metadata!X851,"TRUE"),exact(Metadata!X851,"FALSE"))))</f>
        <v>0</v>
      </c>
      <c r="BK851">
        <f>AND(IF(Metadata!Y851="",FALSE,TRUE),exact(Metadata!Y851,"other"))</f>
        <v>0</v>
      </c>
      <c r="BL851">
        <f>IF(Metadata!Z851="",FALSE,TRUE)</f>
        <v>0</v>
      </c>
      <c r="BM851">
        <f>OR(AND(IF(Metadata!AA851="",FALSE,TRUE),OR(exact(Metadata!AA851,"not collected"),exact(Metadata!AA851,"not provided"))),AND(IF(Metadata!AA851="",FALSE,IF(ISERROR(INT(Metadata!AA851)),FALSE,INT(Metadata!AA851)=Metadata!AA851)),Metadata!AA851&gt;0))</f>
        <v>0</v>
      </c>
      <c r="BN851">
        <f>AND(IF(Metadata!AB851="",FALSE,TRUE),exact(Metadata!AB851,"Not applicable"))</f>
        <v>0</v>
      </c>
      <c r="BO851">
        <f>IF(Metadata!AC851="",FALSE,TRUE)</f>
        <v>0</v>
      </c>
    </row>
    <row r="852" spans="1:67">
      <c r="A852" s="5">
        <f>IF(B852=" "," ",HYPERLINK(CONCATENATE("#metadata!",ADDRESS(INDEX($AI$2:$AI$1001,MATCH(ROWS($AG$2:AG852),$AG$2:$AG$1001,0),0),1)),INDEX($AL$2:$AL$1001,MATCH(ROWS($AG$2:AG852),$AG$2:$AG$1001,0),0)))</f>
        <v>0</v>
      </c>
      <c r="B852" s="4">
        <f>IF(OR(INDEX($AH$2:$AH$1001,MATCH(ROWS($AG$2:AG852),$AG$2:$AG$1001,0),1)&gt;=100000,INDEX($AN$1005:$BO$1005,1,MATCH(COLUMNS($AN$1006:AN1006),$AN$1006:$BO$1006,0))&gt;=100000), " ",IF(INDEX($AN$2:$BO$1001,MATCH(ROWS($AG$2:AG852),$AG$2:$AG$1001,0),MATCH(COLUMNS($AN$1006:AN1006),$AN$1006:$BO$1006,0)), HYPERLINK("#",""), HYPERLINK(CONCATENATE("#Metadata!", ADDRESS(INDEX($AI$2:$AI$1001,MATCH(ROWS($AG$2:AG852),$AG$2:$AG$1001,0),0), INDEX($AN$1004:$BO$1004,1,MATCH(COLUMNS($AN$1006:AN1006),$AN$1006:$BO$1006,0)))),"Fix")))</f>
        <v>0</v>
      </c>
      <c r="C852" s="4">
        <f>IF(OR(INDEX($AH$2:$AH$1001,MATCH(ROWS($AG$2:AG852),$AG$2:$AG$1001,0),1)&gt;=100000,INDEX($AN$1005:$BO$1005,1,MATCH(COLUMNS($AN$1006:AO1006),$AN$1006:$BO$1006,0))&gt;=100000), " ",IF(INDEX($AN$2:$BO$1001,MATCH(ROWS($AG$2:AG852),$AG$2:$AG$1001,0),MATCH(COLUMNS($AN$1006:AO1006),$AN$1006:$BO$1006,0)), HYPERLINK("#",""), HYPERLINK(CONCATENATE("#Metadata!", ADDRESS(INDEX($AI$2:$AI$1001,MATCH(ROWS($AG$2:AG852),$AG$2:$AG$1001,0),0), INDEX($AN$1004:$BO$1004,1,MATCH(COLUMNS($AN$1006:AO1006),$AN$1006:$BO$1006,0)))),"Fix")))</f>
        <v>0</v>
      </c>
      <c r="D852" s="4">
        <f>IF(OR(INDEX($AH$2:$AH$1001,MATCH(ROWS($AG$2:AG852),$AG$2:$AG$1001,0),1)&gt;=100000,INDEX($AN$1005:$BO$1005,1,MATCH(COLUMNS($AN$1006:AP1006),$AN$1006:$BO$1006,0))&gt;=100000), " ",IF(INDEX($AN$2:$BO$1001,MATCH(ROWS($AG$2:AG852),$AG$2:$AG$1001,0),MATCH(COLUMNS($AN$1006:AP1006),$AN$1006:$BO$1006,0)), HYPERLINK("#",""), HYPERLINK(CONCATENATE("#Metadata!", ADDRESS(INDEX($AI$2:$AI$1001,MATCH(ROWS($AG$2:AG852),$AG$2:$AG$1001,0),0), INDEX($AN$1004:$BO$1004,1,MATCH(COLUMNS($AN$1006:AP1006),$AN$1006:$BO$1006,0)))),"Fix")))</f>
        <v>0</v>
      </c>
      <c r="E852" s="4">
        <f>IF(OR(INDEX($AH$2:$AH$1001,MATCH(ROWS($AG$2:AG852),$AG$2:$AG$1001,0),1)&gt;=100000,INDEX($AN$1005:$BO$1005,1,MATCH(COLUMNS($AN$1006:AQ1006),$AN$1006:$BO$1006,0))&gt;=100000), " ",IF(INDEX($AN$2:$BO$1001,MATCH(ROWS($AG$2:AG852),$AG$2:$AG$1001,0),MATCH(COLUMNS($AN$1006:AQ1006),$AN$1006:$BO$1006,0)), HYPERLINK("#",""), HYPERLINK(CONCATENATE("#Metadata!", ADDRESS(INDEX($AI$2:$AI$1001,MATCH(ROWS($AG$2:AG852),$AG$2:$AG$1001,0),0), INDEX($AN$1004:$BO$1004,1,MATCH(COLUMNS($AN$1006:AQ1006),$AN$1006:$BO$1006,0)))),"Fix")))</f>
        <v>0</v>
      </c>
      <c r="F852" s="4">
        <f>IF(OR(INDEX($AH$2:$AH$1001,MATCH(ROWS($AG$2:AG852),$AG$2:$AG$1001,0),1)&gt;=100000,INDEX($AN$1005:$BO$1005,1,MATCH(COLUMNS($AN$1006:AR1006),$AN$1006:$BO$1006,0))&gt;=100000), " ",IF(INDEX($AN$2:$BO$1001,MATCH(ROWS($AG$2:AG852),$AG$2:$AG$1001,0),MATCH(COLUMNS($AN$1006:AR1006),$AN$1006:$BO$1006,0)), HYPERLINK("#",""), HYPERLINK(CONCATENATE("#Metadata!", ADDRESS(INDEX($AI$2:$AI$1001,MATCH(ROWS($AG$2:AG852),$AG$2:$AG$1001,0),0), INDEX($AN$1004:$BO$1004,1,MATCH(COLUMNS($AN$1006:AR1006),$AN$1006:$BO$1006,0)))),"Fix")))</f>
        <v>0</v>
      </c>
      <c r="G852" s="4">
        <f>IF(OR(INDEX($AH$2:$AH$1001,MATCH(ROWS($AG$2:AG852),$AG$2:$AG$1001,0),1)&gt;=100000,INDEX($AN$1005:$BO$1005,1,MATCH(COLUMNS($AN$1006:AS1006),$AN$1006:$BO$1006,0))&gt;=100000), " ",IF(INDEX($AN$2:$BO$1001,MATCH(ROWS($AG$2:AG852),$AG$2:$AG$1001,0),MATCH(COLUMNS($AN$1006:AS1006),$AN$1006:$BO$1006,0)), HYPERLINK("#",""), HYPERLINK(CONCATENATE("#Metadata!", ADDRESS(INDEX($AI$2:$AI$1001,MATCH(ROWS($AG$2:AG852),$AG$2:$AG$1001,0),0), INDEX($AN$1004:$BO$1004,1,MATCH(COLUMNS($AN$1006:AS1006),$AN$1006:$BO$1006,0)))),"Fix")))</f>
        <v>0</v>
      </c>
      <c r="H852" s="4">
        <f>IF(OR(INDEX($AH$2:$AH$1001,MATCH(ROWS($AG$2:AG852),$AG$2:$AG$1001,0),1)&gt;=100000,INDEX($AN$1005:$BO$1005,1,MATCH(COLUMNS($AN$1006:AT1006),$AN$1006:$BO$1006,0))&gt;=100000), " ",IF(INDEX($AN$2:$BO$1001,MATCH(ROWS($AG$2:AG852),$AG$2:$AG$1001,0),MATCH(COLUMNS($AN$1006:AT1006),$AN$1006:$BO$1006,0)), HYPERLINK("#",""), HYPERLINK(CONCATENATE("#Metadata!", ADDRESS(INDEX($AI$2:$AI$1001,MATCH(ROWS($AG$2:AG852),$AG$2:$AG$1001,0),0), INDEX($AN$1004:$BO$1004,1,MATCH(COLUMNS($AN$1006:AT1006),$AN$1006:$BO$1006,0)))),"Fix")))</f>
        <v>0</v>
      </c>
      <c r="I852" s="4">
        <f>IF(OR(INDEX($AH$2:$AH$1001,MATCH(ROWS($AG$2:AG852),$AG$2:$AG$1001,0),1)&gt;=100000,INDEX($AN$1005:$BO$1005,1,MATCH(COLUMNS($AN$1006:AU1006),$AN$1006:$BO$1006,0))&gt;=100000), " ",IF(INDEX($AN$2:$BO$1001,MATCH(ROWS($AG$2:AG852),$AG$2:$AG$1001,0),MATCH(COLUMNS($AN$1006:AU1006),$AN$1006:$BO$1006,0)), HYPERLINK("#",""), HYPERLINK(CONCATENATE("#Metadata!", ADDRESS(INDEX($AI$2:$AI$1001,MATCH(ROWS($AG$2:AG852),$AG$2:$AG$1001,0),0), INDEX($AN$1004:$BO$1004,1,MATCH(COLUMNS($AN$1006:AU1006),$AN$1006:$BO$1006,0)))),"Fix")))</f>
        <v>0</v>
      </c>
      <c r="J852" s="4">
        <f>IF(OR(INDEX($AH$2:$AH$1001,MATCH(ROWS($AG$2:AG852),$AG$2:$AG$1001,0),1)&gt;=100000,INDEX($AN$1005:$BO$1005,1,MATCH(COLUMNS($AN$1006:AV1006),$AN$1006:$BO$1006,0))&gt;=100000), " ",IF(INDEX($AN$2:$BO$1001,MATCH(ROWS($AG$2:AG852),$AG$2:$AG$1001,0),MATCH(COLUMNS($AN$1006:AV1006),$AN$1006:$BO$1006,0)), HYPERLINK("#",""), HYPERLINK(CONCATENATE("#Metadata!", ADDRESS(INDEX($AI$2:$AI$1001,MATCH(ROWS($AG$2:AG852),$AG$2:$AG$1001,0),0), INDEX($AN$1004:$BO$1004,1,MATCH(COLUMNS($AN$1006:AV1006),$AN$1006:$BO$1006,0)))),"Fix")))</f>
        <v>0</v>
      </c>
      <c r="K852" s="4">
        <f>IF(OR(INDEX($AH$2:$AH$1001,MATCH(ROWS($AG$2:AG852),$AG$2:$AG$1001,0),1)&gt;=100000,INDEX($AN$1005:$BO$1005,1,MATCH(COLUMNS($AN$1006:AW1006),$AN$1006:$BO$1006,0))&gt;=100000), " ",IF(INDEX($AN$2:$BO$1001,MATCH(ROWS($AG$2:AG852),$AG$2:$AG$1001,0),MATCH(COLUMNS($AN$1006:AW1006),$AN$1006:$BO$1006,0)), HYPERLINK("#",""), HYPERLINK(CONCATENATE("#Metadata!", ADDRESS(INDEX($AI$2:$AI$1001,MATCH(ROWS($AG$2:AG852),$AG$2:$AG$1001,0),0), INDEX($AN$1004:$BO$1004,1,MATCH(COLUMNS($AN$1006:AW1006),$AN$1006:$BO$1006,0)))),"Fix")))</f>
        <v>0</v>
      </c>
      <c r="L852" s="4">
        <f>IF(OR(INDEX($AH$2:$AH$1001,MATCH(ROWS($AG$2:AG852),$AG$2:$AG$1001,0),1)&gt;=100000,INDEX($AN$1005:$BO$1005,1,MATCH(COLUMNS($AN$1006:AX1006),$AN$1006:$BO$1006,0))&gt;=100000), " ",IF(INDEX($AN$2:$BO$1001,MATCH(ROWS($AG$2:AG852),$AG$2:$AG$1001,0),MATCH(COLUMNS($AN$1006:AX1006),$AN$1006:$BO$1006,0)), HYPERLINK("#",""), HYPERLINK(CONCATENATE("#Metadata!", ADDRESS(INDEX($AI$2:$AI$1001,MATCH(ROWS($AG$2:AG852),$AG$2:$AG$1001,0),0), INDEX($AN$1004:$BO$1004,1,MATCH(COLUMNS($AN$1006:AX1006),$AN$1006:$BO$1006,0)))),"Fix")))</f>
        <v>0</v>
      </c>
      <c r="M852" s="4">
        <f>IF(OR(INDEX($AH$2:$AH$1001,MATCH(ROWS($AG$2:AG852),$AG$2:$AG$1001,0),1)&gt;=100000,INDEX($AN$1005:$BO$1005,1,MATCH(COLUMNS($AN$1006:AY1006),$AN$1006:$BO$1006,0))&gt;=100000), " ",IF(INDEX($AN$2:$BO$1001,MATCH(ROWS($AG$2:AG852),$AG$2:$AG$1001,0),MATCH(COLUMNS($AN$1006:AY1006),$AN$1006:$BO$1006,0)), HYPERLINK("#",""), HYPERLINK(CONCATENATE("#Metadata!", ADDRESS(INDEX($AI$2:$AI$1001,MATCH(ROWS($AG$2:AG852),$AG$2:$AG$1001,0),0), INDEX($AN$1004:$BO$1004,1,MATCH(COLUMNS($AN$1006:AY1006),$AN$1006:$BO$1006,0)))),"Fix")))</f>
        <v>0</v>
      </c>
      <c r="N852" s="4">
        <f>IF(OR(INDEX($AH$2:$AH$1001,MATCH(ROWS($AG$2:AG852),$AG$2:$AG$1001,0),1)&gt;=100000,INDEX($AN$1005:$BO$1005,1,MATCH(COLUMNS($AN$1006:AZ1006),$AN$1006:$BO$1006,0))&gt;=100000), " ",IF(INDEX($AN$2:$BO$1001,MATCH(ROWS($AG$2:AG852),$AG$2:$AG$1001,0),MATCH(COLUMNS($AN$1006:AZ1006),$AN$1006:$BO$1006,0)), HYPERLINK("#",""), HYPERLINK(CONCATENATE("#Metadata!", ADDRESS(INDEX($AI$2:$AI$1001,MATCH(ROWS($AG$2:AG852),$AG$2:$AG$1001,0),0), INDEX($AN$1004:$BO$1004,1,MATCH(COLUMNS($AN$1006:AZ1006),$AN$1006:$BO$1006,0)))),"Fix")))</f>
        <v>0</v>
      </c>
      <c r="O852" s="4">
        <f>IF(OR(INDEX($AH$2:$AH$1001,MATCH(ROWS($AG$2:AG852),$AG$2:$AG$1001,0),1)&gt;=100000,INDEX($AN$1005:$BO$1005,1,MATCH(COLUMNS($AN$1006:BA1006),$AN$1006:$BO$1006,0))&gt;=100000), " ",IF(INDEX($AN$2:$BO$1001,MATCH(ROWS($AG$2:AG852),$AG$2:$AG$1001,0),MATCH(COLUMNS($AN$1006:BA1006),$AN$1006:$BO$1006,0)), HYPERLINK("#",""), HYPERLINK(CONCATENATE("#Metadata!", ADDRESS(INDEX($AI$2:$AI$1001,MATCH(ROWS($AG$2:AG852),$AG$2:$AG$1001,0),0), INDEX($AN$1004:$BO$1004,1,MATCH(COLUMNS($AN$1006:BA1006),$AN$1006:$BO$1006,0)))),"Fix")))</f>
        <v>0</v>
      </c>
      <c r="P852" s="4">
        <f>IF(OR(INDEX($AH$2:$AH$1001,MATCH(ROWS($AG$2:AG852),$AG$2:$AG$1001,0),1)&gt;=100000,INDEX($AN$1005:$BO$1005,1,MATCH(COLUMNS($AN$1006:BB1006),$AN$1006:$BO$1006,0))&gt;=100000), " ",IF(INDEX($AN$2:$BO$1001,MATCH(ROWS($AG$2:AG852),$AG$2:$AG$1001,0),MATCH(COLUMNS($AN$1006:BB1006),$AN$1006:$BO$1006,0)), HYPERLINK("#",""), HYPERLINK(CONCATENATE("#Metadata!", ADDRESS(INDEX($AI$2:$AI$1001,MATCH(ROWS($AG$2:AG852),$AG$2:$AG$1001,0),0), INDEX($AN$1004:$BO$1004,1,MATCH(COLUMNS($AN$1006:BB1006),$AN$1006:$BO$1006,0)))),"Fix")))</f>
        <v>0</v>
      </c>
      <c r="Q852" s="4">
        <f>IF(OR(INDEX($AH$2:$AH$1001,MATCH(ROWS($AG$2:AG852),$AG$2:$AG$1001,0),1)&gt;=100000,INDEX($AN$1005:$BO$1005,1,MATCH(COLUMNS($AN$1006:BC1006),$AN$1006:$BO$1006,0))&gt;=100000), " ",IF(INDEX($AN$2:$BO$1001,MATCH(ROWS($AG$2:AG852),$AG$2:$AG$1001,0),MATCH(COLUMNS($AN$1006:BC1006),$AN$1006:$BO$1006,0)), HYPERLINK("#",""), HYPERLINK(CONCATENATE("#Metadata!", ADDRESS(INDEX($AI$2:$AI$1001,MATCH(ROWS($AG$2:AG852),$AG$2:$AG$1001,0),0), INDEX($AN$1004:$BO$1004,1,MATCH(COLUMNS($AN$1006:BC1006),$AN$1006:$BO$1006,0)))),"Fix")))</f>
        <v>0</v>
      </c>
      <c r="R852" s="4">
        <f>IF(OR(INDEX($AH$2:$AH$1001,MATCH(ROWS($AG$2:AG852),$AG$2:$AG$1001,0),1)&gt;=100000,INDEX($AN$1005:$BO$1005,1,MATCH(COLUMNS($AN$1006:BD1006),$AN$1006:$BO$1006,0))&gt;=100000), " ",IF(INDEX($AN$2:$BO$1001,MATCH(ROWS($AG$2:AG852),$AG$2:$AG$1001,0),MATCH(COLUMNS($AN$1006:BD1006),$AN$1006:$BO$1006,0)), HYPERLINK("#",""), HYPERLINK(CONCATENATE("#Metadata!", ADDRESS(INDEX($AI$2:$AI$1001,MATCH(ROWS($AG$2:AG852),$AG$2:$AG$1001,0),0), INDEX($AN$1004:$BO$1004,1,MATCH(COLUMNS($AN$1006:BD1006),$AN$1006:$BO$1006,0)))),"Fix")))</f>
        <v>0</v>
      </c>
      <c r="S852" s="4">
        <f>IF(OR(INDEX($AH$2:$AH$1001,MATCH(ROWS($AG$2:AG852),$AG$2:$AG$1001,0),1)&gt;=100000,INDEX($AN$1005:$BO$1005,1,MATCH(COLUMNS($AN$1006:BE1006),$AN$1006:$BO$1006,0))&gt;=100000), " ",IF(INDEX($AN$2:$BO$1001,MATCH(ROWS($AG$2:AG852),$AG$2:$AG$1001,0),MATCH(COLUMNS($AN$1006:BE1006),$AN$1006:$BO$1006,0)), HYPERLINK("#",""), HYPERLINK(CONCATENATE("#Metadata!", ADDRESS(INDEX($AI$2:$AI$1001,MATCH(ROWS($AG$2:AG852),$AG$2:$AG$1001,0),0), INDEX($AN$1004:$BO$1004,1,MATCH(COLUMNS($AN$1006:BE1006),$AN$1006:$BO$1006,0)))),"Fix")))</f>
        <v>0</v>
      </c>
      <c r="T852" s="4">
        <f>IF(OR(INDEX($AH$2:$AH$1001,MATCH(ROWS($AG$2:AG852),$AG$2:$AG$1001,0),1)&gt;=100000,INDEX($AN$1005:$BO$1005,1,MATCH(COLUMNS($AN$1006:BF1006),$AN$1006:$BO$1006,0))&gt;=100000), " ",IF(INDEX($AN$2:$BO$1001,MATCH(ROWS($AG$2:AG852),$AG$2:$AG$1001,0),MATCH(COLUMNS($AN$1006:BF1006),$AN$1006:$BO$1006,0)), HYPERLINK("#",""), HYPERLINK(CONCATENATE("#Metadata!", ADDRESS(INDEX($AI$2:$AI$1001,MATCH(ROWS($AG$2:AG852),$AG$2:$AG$1001,0),0), INDEX($AN$1004:$BO$1004,1,MATCH(COLUMNS($AN$1006:BF1006),$AN$1006:$BO$1006,0)))),"Fix")))</f>
        <v>0</v>
      </c>
      <c r="U852" s="4">
        <f>IF(OR(INDEX($AH$2:$AH$1001,MATCH(ROWS($AG$2:AG852),$AG$2:$AG$1001,0),1)&gt;=100000,INDEX($AN$1005:$BO$1005,1,MATCH(COLUMNS($AN$1006:BG1006),$AN$1006:$BO$1006,0))&gt;=100000), " ",IF(INDEX($AN$2:$BO$1001,MATCH(ROWS($AG$2:AG852),$AG$2:$AG$1001,0),MATCH(COLUMNS($AN$1006:BG1006),$AN$1006:$BO$1006,0)), HYPERLINK("#",""), HYPERLINK(CONCATENATE("#Metadata!", ADDRESS(INDEX($AI$2:$AI$1001,MATCH(ROWS($AG$2:AG852),$AG$2:$AG$1001,0),0), INDEX($AN$1004:$BO$1004,1,MATCH(COLUMNS($AN$1006:BG1006),$AN$1006:$BO$1006,0)))),"Fix")))</f>
        <v>0</v>
      </c>
      <c r="V852" s="4">
        <f>IF(OR(INDEX($AH$2:$AH$1001,MATCH(ROWS($AG$2:AG852),$AG$2:$AG$1001,0),1)&gt;=100000,INDEX($AN$1005:$BO$1005,1,MATCH(COLUMNS($AN$1006:BH1006),$AN$1006:$BO$1006,0))&gt;=100000), " ",IF(INDEX($AN$2:$BO$1001,MATCH(ROWS($AG$2:AG852),$AG$2:$AG$1001,0),MATCH(COLUMNS($AN$1006:BH1006),$AN$1006:$BO$1006,0)), HYPERLINK("#",""), HYPERLINK(CONCATENATE("#Metadata!", ADDRESS(INDEX($AI$2:$AI$1001,MATCH(ROWS($AG$2:AG852),$AG$2:$AG$1001,0),0), INDEX($AN$1004:$BO$1004,1,MATCH(COLUMNS($AN$1006:BH1006),$AN$1006:$BO$1006,0)))),"Fix")))</f>
        <v>0</v>
      </c>
      <c r="W852" s="4">
        <f>IF(OR(INDEX($AH$2:$AH$1001,MATCH(ROWS($AG$2:AG852),$AG$2:$AG$1001,0),1)&gt;=100000,INDEX($AN$1005:$BO$1005,1,MATCH(COLUMNS($AN$1006:BI1006),$AN$1006:$BO$1006,0))&gt;=100000), " ",IF(INDEX($AN$2:$BO$1001,MATCH(ROWS($AG$2:AG852),$AG$2:$AG$1001,0),MATCH(COLUMNS($AN$1006:BI1006),$AN$1006:$BO$1006,0)), HYPERLINK("#",""), HYPERLINK(CONCATENATE("#Metadata!", ADDRESS(INDEX($AI$2:$AI$1001,MATCH(ROWS($AG$2:AG852),$AG$2:$AG$1001,0),0), INDEX($AN$1004:$BO$1004,1,MATCH(COLUMNS($AN$1006:BI1006),$AN$1006:$BO$1006,0)))),"Fix")))</f>
        <v>0</v>
      </c>
      <c r="X852" s="4">
        <f>IF(OR(INDEX($AH$2:$AH$1001,MATCH(ROWS($AG$2:AG852),$AG$2:$AG$1001,0),1)&gt;=100000,INDEX($AN$1005:$BO$1005,1,MATCH(COLUMNS($AN$1006:BJ1006),$AN$1006:$BO$1006,0))&gt;=100000), " ",IF(INDEX($AN$2:$BO$1001,MATCH(ROWS($AG$2:AG852),$AG$2:$AG$1001,0),MATCH(COLUMNS($AN$1006:BJ1006),$AN$1006:$BO$1006,0)), HYPERLINK("#",""), HYPERLINK(CONCATENATE("#Metadata!", ADDRESS(INDEX($AI$2:$AI$1001,MATCH(ROWS($AG$2:AG852),$AG$2:$AG$1001,0),0), INDEX($AN$1004:$BO$1004,1,MATCH(COLUMNS($AN$1006:BJ1006),$AN$1006:$BO$1006,0)))),"Fix")))</f>
        <v>0</v>
      </c>
      <c r="Y852" s="4">
        <f>IF(OR(INDEX($AH$2:$AH$1001,MATCH(ROWS($AG$2:AG852),$AG$2:$AG$1001,0),1)&gt;=100000,INDEX($AN$1005:$BO$1005,1,MATCH(COLUMNS($AN$1006:BK1006),$AN$1006:$BO$1006,0))&gt;=100000), " ",IF(INDEX($AN$2:$BO$1001,MATCH(ROWS($AG$2:AG852),$AG$2:$AG$1001,0),MATCH(COLUMNS($AN$1006:BK1006),$AN$1006:$BO$1006,0)), HYPERLINK("#",""), HYPERLINK(CONCATENATE("#Metadata!", ADDRESS(INDEX($AI$2:$AI$1001,MATCH(ROWS($AG$2:AG852),$AG$2:$AG$1001,0),0), INDEX($AN$1004:$BO$1004,1,MATCH(COLUMNS($AN$1006:BK1006),$AN$1006:$BO$1006,0)))),"Fix")))</f>
        <v>0</v>
      </c>
      <c r="Z852" s="4">
        <f>IF(OR(INDEX($AH$2:$AH$1001,MATCH(ROWS($AG$2:AG852),$AG$2:$AG$1001,0),1)&gt;=100000,INDEX($AN$1005:$BO$1005,1,MATCH(COLUMNS($AN$1006:BL1006),$AN$1006:$BO$1006,0))&gt;=100000), " ",IF(INDEX($AN$2:$BO$1001,MATCH(ROWS($AG$2:AG852),$AG$2:$AG$1001,0),MATCH(COLUMNS($AN$1006:BL1006),$AN$1006:$BO$1006,0)), HYPERLINK("#",""), HYPERLINK(CONCATENATE("#Metadata!", ADDRESS(INDEX($AI$2:$AI$1001,MATCH(ROWS($AG$2:AG852),$AG$2:$AG$1001,0),0), INDEX($AN$1004:$BO$1004,1,MATCH(COLUMNS($AN$1006:BL1006),$AN$1006:$BO$1006,0)))),"Fix")))</f>
        <v>0</v>
      </c>
      <c r="AA852" s="4">
        <f>IF(OR(INDEX($AH$2:$AH$1001,MATCH(ROWS($AG$2:AG852),$AG$2:$AG$1001,0),1)&gt;=100000,INDEX($AN$1005:$BO$1005,1,MATCH(COLUMNS($AN$1006:BM1006),$AN$1006:$BO$1006,0))&gt;=100000), " ",IF(INDEX($AN$2:$BO$1001,MATCH(ROWS($AG$2:AG852),$AG$2:$AG$1001,0),MATCH(COLUMNS($AN$1006:BM1006),$AN$1006:$BO$1006,0)), HYPERLINK("#",""), HYPERLINK(CONCATENATE("#Metadata!", ADDRESS(INDEX($AI$2:$AI$1001,MATCH(ROWS($AG$2:AG852),$AG$2:$AG$1001,0),0), INDEX($AN$1004:$BO$1004,1,MATCH(COLUMNS($AN$1006:BM1006),$AN$1006:$BO$1006,0)))),"Fix")))</f>
        <v>0</v>
      </c>
      <c r="AB852" s="4">
        <f>IF(OR(INDEX($AH$2:$AH$1001,MATCH(ROWS($AG$2:AG852),$AG$2:$AG$1001,0),1)&gt;=100000,INDEX($AN$1005:$BO$1005,1,MATCH(COLUMNS($AN$1006:BN1006),$AN$1006:$BO$1006,0))&gt;=100000), " ",IF(INDEX($AN$2:$BO$1001,MATCH(ROWS($AG$2:AG852),$AG$2:$AG$1001,0),MATCH(COLUMNS($AN$1006:BN1006),$AN$1006:$BO$1006,0)), HYPERLINK("#",""), HYPERLINK(CONCATENATE("#Metadata!", ADDRESS(INDEX($AI$2:$AI$1001,MATCH(ROWS($AG$2:AG852),$AG$2:$AG$1001,0),0), INDEX($AN$1004:$BO$1004,1,MATCH(COLUMNS($AN$1006:BN1006),$AN$1006:$BO$1006,0)))),"Fix")))</f>
        <v>0</v>
      </c>
      <c r="AC852" s="4">
        <f>IF(OR(INDEX($AH$2:$AH$1001,MATCH(ROWS($AG$2:AG852),$AG$2:$AG$1001,0),1)&gt;=100000,INDEX($AN$1005:$BO$1005,1,MATCH(COLUMNS($AN$1006:BO1006),$AN$1006:$BO$1006,0))&gt;=100000), " ",IF(INDEX($AN$2:$BO$1001,MATCH(ROWS($AG$2:AG852),$AG$2:$AG$1001,0),MATCH(COLUMNS($AN$1006:BO1006),$AN$1006:$BO$1006,0)), HYPERLINK("#",""), HYPERLINK(CONCATENATE("#Metadata!", ADDRESS(INDEX($AI$2:$AI$1001,MATCH(ROWS($AG$2:AG852),$AG$2:$AG$1001,0),0), INDEX($AN$1004:$BO$1004,1,MATCH(COLUMNS($AN$1006:BO1006),$AN$1006:$BO$1006,0)))),"Fix")))</f>
        <v>0</v>
      </c>
      <c r="AG852">
        <v>0</v>
      </c>
      <c r="AH852">
        <v>0</v>
      </c>
      <c r="AI852">
        <v>0</v>
      </c>
      <c r="AJ852">
        <f>IF(AK852,TRUE,AND(AN852:BO852))</f>
        <v>0</v>
      </c>
      <c r="AK852">
        <f>COUNTBLANK(Metadata!B852:AC852)=COLUMNS(Metadata!B852:AC852)</f>
        <v>0</v>
      </c>
      <c r="AL852">
        <v>0</v>
      </c>
      <c r="AN852">
        <f>AND(IF(Metadata!B852="",FALSE,TRUE),COUNTIF(Metadata!B:B, Metadata!B852) = 1,NOT(ISERROR(SUMPRODUCT(SEARCH(MID(Metadata!B852,ROW(INDIRECT("1:"&amp;LEN(Metadata!B852))), 1),"0123456789abcdefghijklmnopqrstuvwxyzABCDEFGHIJKLMNOPQRSTUVWXYZ.")))))</f>
        <v>0</v>
      </c>
      <c r="AO852">
        <f>IF(Metadata!C852="",FALSE,TRUE)</f>
        <v>0</v>
      </c>
      <c r="AP852">
        <f>IF(Metadata!D852="",FALSE,TRUE)</f>
        <v>0</v>
      </c>
      <c r="AQ852">
        <f>OR(AND(IF(Metadata!E852="",FALSE,TRUE),OR(exact(Metadata!E852,"not collected"),exact(Metadata!E852,"not provided"),exact(Metadata!E852,"restricted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R852">
        <f>IF(Metadata!F852="",FALSE,TRUE)</f>
        <v>0</v>
      </c>
      <c r="AS852">
        <f>OR(AND(IF(Metadata!G852="",FALSE,TRUE),OR(exact(Metadata!G852,"not collected"),exact(Metadata!G852,"not provided"))),AND(IF(Metadata!G852="",FALSE,TRUE),OR(exact(Metadata!G852,"TRUE"),exact(Metadata!G852,"FALSE"))))</f>
        <v>0</v>
      </c>
      <c r="AT852">
        <f>OR(AND(IF(Metadata!H852="",FALSE,TRUE),OR(exact(Metadata!H852,"not collected"),exact(Metadata!H852,"not provided"),exact(Metadata!H852,"restricted access"))),AND(IF(Metadata!H852="",FALSE,ISNUMBER(VALUE(Metadata!H852))),Metadata!H852&gt;=-413.0))</f>
        <v>0</v>
      </c>
      <c r="AU852">
        <f>AND(IF(Metadata!I852="",FALSE,TRUE),exact(Metadata!I852,"meters"))</f>
        <v>0</v>
      </c>
      <c r="AV852">
        <f>AND(IF(Metadata!J852="",FALSE,TRUE),OR(exact(Metadata!J852,"Host-associated"),exact(Metadata!J852,"Free-living")))</f>
        <v>0</v>
      </c>
      <c r="AW852">
        <f>AND(IF(Metadata!K852="",FALSE,TRUE),OR(exact(Metadata!K852,"Animal"),exact(Metadata!K852,"Fungus"),exact(Metadata!K852,"Plant"),exact(Metadata!K852,"Saline"),exact(Metadata!K852,"Non-saline")))</f>
        <v>0</v>
      </c>
      <c r="AX852">
        <f>AND(IF(Metadata!L852="",FALSE,TRUE),OR(exact(Metadata!L852,"Plant secretion"),exact(Metadata!L852,"Plant rhizosphere"),exact(Metadata!L852,"Plant surface"),exact(Metadata!L852,"Plant corpus"),exact(Metadata!L852,"Fungus surface"),exact(Metadata!L852,"Fungus corpus"),exact(Metadata!L852,"Animal surface"),exact(Metadata!L852,"Animal proximal gut"),exact(Metadata!L852,"Animal corpus"),exact(Metadata!L852,"Animal distal gut"),exact(Metadata!L852,"Animal secretion"),exact(Metadata!L852,"Sub-surface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Y852">
        <f>IF(Metadata!M852="",FALSE,TRUE)</f>
        <v>0</v>
      </c>
      <c r="AZ852">
        <f>IF(Metadata!N852="",FALSE,TRUE)</f>
        <v>0</v>
      </c>
      <c r="BA852">
        <f>IF(Metadata!O852="",FALSE,TRUE)</f>
        <v>0</v>
      </c>
      <c r="BB852">
        <f>OR(AND(IF(Metadata!P852="",FALSE,TRUE),OR(exact(Metadata!P852,"not collected"),exact(Metadata!P852,"not provided"),exact(Metadata!P852,"restricted access"))),AND(IF(Metadata!P852="",FALSE,TRUE),OR(exact(Metadata!P852,"air"),exact(Metadata!P852,"built environment"),exact(Metadata!P852,"host-associated"),exact(Metadata!P852,"human-associated"),exact(Metadata!P852,"human-skin"),exact(Metadata!P852,"human-oral"),exact(Metadata!P852,"human-gut"),exact(Metadata!P852,"human-vaginal"),exact(Metadata!P852,"microbial mat/biofilm"),exact(Metadata!P852,"misc environment"),exact(Metadata!P852,"plant-associated"),exact(Metadata!P852,"sediment"),exact(Metadata!P852,"soil"),exact(Metadata!P852,"wastewater/sludge"),exact(Metadata!P852,"water"))))</f>
        <v>0</v>
      </c>
      <c r="BC852">
        <f>IF(Metadata!Q852="",FALSE,TRUE)</f>
        <v>0</v>
      </c>
      <c r="BD852">
        <f>IF(Metadata!R852="",FALSE,TRUE)</f>
        <v>0</v>
      </c>
      <c r="BE852">
        <f>OR(AND(IF(Metadata!S852="",FALSE,TRUE),OR(exact(Metadata!S852,"not collected"),exact(Metadata!S852,"not provided"),exact(Metadata!S852,"restricted access"))),AND(IF(Metadata!S852="",FALSE,ISNUMBER(VALUE(Metadata!S852))),Metadata!S852&gt;=-90.00,Metadata!S852&lt;=90.00))</f>
        <v>0</v>
      </c>
      <c r="BF852">
        <f>AND(IF(Metadata!T852="",FALSE,TRUE),exact(Metadata!T852,"Decimal degrees"))</f>
        <v>0</v>
      </c>
      <c r="BG852">
        <f>OR(AND(IF(Metadata!U852="",FALSE,TRUE),OR(exact(Metadata!U852,"not collected"),exact(Metadata!U852,"not provided"),exact(Metadata!U852,"restricted access"))),AND(IF(Metadata!U852="",FALSE,ISNUMBER(VALUE(Metadata!U852))),Metadata!U852&gt;=-180.00,Metadata!U852&lt;=180.00))</f>
        <v>0</v>
      </c>
      <c r="BH852">
        <f>AND(IF(Metadata!V852="",FALSE,TRUE),exact(Metadata!V852,"Decimal degrees"))</f>
        <v>0</v>
      </c>
      <c r="BI852">
        <f>IF(Metadata!W852="",FALSE,TRUE)</f>
        <v>0</v>
      </c>
      <c r="BJ852">
        <f>OR(AND(IF(Metadata!X852="",FALSE,TRUE),OR(exact(Metadata!X852,"not collected"),exact(Metadata!X852,"not provided"),exact(Metadata!X852,"restricted access"))),AND(IF(Metadata!X852="",FALSE,TRUE),OR(exact(Metadata!X852,"TRUE"),exact(Metadata!X852,"FALSE"))))</f>
        <v>0</v>
      </c>
      <c r="BK852">
        <f>AND(IF(Metadata!Y852="",FALSE,TRUE),exact(Metadata!Y852,"other"))</f>
        <v>0</v>
      </c>
      <c r="BL852">
        <f>IF(Metadata!Z852="",FALSE,TRUE)</f>
        <v>0</v>
      </c>
      <c r="BM852">
        <f>OR(AND(IF(Metadata!AA852="",FALSE,TRUE),OR(exact(Metadata!AA852,"not collected"),exact(Metadata!AA852,"not provided"))),AND(IF(Metadata!AA852="",FALSE,IF(ISERROR(INT(Metadata!AA852)),FALSE,INT(Metadata!AA852)=Metadata!AA852)),Metadata!AA852&gt;0))</f>
        <v>0</v>
      </c>
      <c r="BN852">
        <f>AND(IF(Metadata!AB852="",FALSE,TRUE),exact(Metadata!AB852,"Not applicable"))</f>
        <v>0</v>
      </c>
      <c r="BO852">
        <f>IF(Metadata!AC852="",FALSE,TRUE)</f>
        <v>0</v>
      </c>
    </row>
    <row r="853" spans="1:67">
      <c r="A853" s="5">
        <f>IF(B853=" "," ",HYPERLINK(CONCATENATE("#metadata!",ADDRESS(INDEX($AI$2:$AI$1001,MATCH(ROWS($AG$2:AG853),$AG$2:$AG$1001,0),0),1)),INDEX($AL$2:$AL$1001,MATCH(ROWS($AG$2:AG853),$AG$2:$AG$1001,0),0)))</f>
        <v>0</v>
      </c>
      <c r="B853" s="4">
        <f>IF(OR(INDEX($AH$2:$AH$1001,MATCH(ROWS($AG$2:AG853),$AG$2:$AG$1001,0),1)&gt;=100000,INDEX($AN$1005:$BO$1005,1,MATCH(COLUMNS($AN$1006:AN1006),$AN$1006:$BO$1006,0))&gt;=100000), " ",IF(INDEX($AN$2:$BO$1001,MATCH(ROWS($AG$2:AG853),$AG$2:$AG$1001,0),MATCH(COLUMNS($AN$1006:AN1006),$AN$1006:$BO$1006,0)), HYPERLINK("#",""), HYPERLINK(CONCATENATE("#Metadata!", ADDRESS(INDEX($AI$2:$AI$1001,MATCH(ROWS($AG$2:AG853),$AG$2:$AG$1001,0),0), INDEX($AN$1004:$BO$1004,1,MATCH(COLUMNS($AN$1006:AN1006),$AN$1006:$BO$1006,0)))),"Fix")))</f>
        <v>0</v>
      </c>
      <c r="C853" s="4">
        <f>IF(OR(INDEX($AH$2:$AH$1001,MATCH(ROWS($AG$2:AG853),$AG$2:$AG$1001,0),1)&gt;=100000,INDEX($AN$1005:$BO$1005,1,MATCH(COLUMNS($AN$1006:AO1006),$AN$1006:$BO$1006,0))&gt;=100000), " ",IF(INDEX($AN$2:$BO$1001,MATCH(ROWS($AG$2:AG853),$AG$2:$AG$1001,0),MATCH(COLUMNS($AN$1006:AO1006),$AN$1006:$BO$1006,0)), HYPERLINK("#",""), HYPERLINK(CONCATENATE("#Metadata!", ADDRESS(INDEX($AI$2:$AI$1001,MATCH(ROWS($AG$2:AG853),$AG$2:$AG$1001,0),0), INDEX($AN$1004:$BO$1004,1,MATCH(COLUMNS($AN$1006:AO1006),$AN$1006:$BO$1006,0)))),"Fix")))</f>
        <v>0</v>
      </c>
      <c r="D853" s="4">
        <f>IF(OR(INDEX($AH$2:$AH$1001,MATCH(ROWS($AG$2:AG853),$AG$2:$AG$1001,0),1)&gt;=100000,INDEX($AN$1005:$BO$1005,1,MATCH(COLUMNS($AN$1006:AP1006),$AN$1006:$BO$1006,0))&gt;=100000), " ",IF(INDEX($AN$2:$BO$1001,MATCH(ROWS($AG$2:AG853),$AG$2:$AG$1001,0),MATCH(COLUMNS($AN$1006:AP1006),$AN$1006:$BO$1006,0)), HYPERLINK("#",""), HYPERLINK(CONCATENATE("#Metadata!", ADDRESS(INDEX($AI$2:$AI$1001,MATCH(ROWS($AG$2:AG853),$AG$2:$AG$1001,0),0), INDEX($AN$1004:$BO$1004,1,MATCH(COLUMNS($AN$1006:AP1006),$AN$1006:$BO$1006,0)))),"Fix")))</f>
        <v>0</v>
      </c>
      <c r="E853" s="4">
        <f>IF(OR(INDEX($AH$2:$AH$1001,MATCH(ROWS($AG$2:AG853),$AG$2:$AG$1001,0),1)&gt;=100000,INDEX($AN$1005:$BO$1005,1,MATCH(COLUMNS($AN$1006:AQ1006),$AN$1006:$BO$1006,0))&gt;=100000), " ",IF(INDEX($AN$2:$BO$1001,MATCH(ROWS($AG$2:AG853),$AG$2:$AG$1001,0),MATCH(COLUMNS($AN$1006:AQ1006),$AN$1006:$BO$1006,0)), HYPERLINK("#",""), HYPERLINK(CONCATENATE("#Metadata!", ADDRESS(INDEX($AI$2:$AI$1001,MATCH(ROWS($AG$2:AG853),$AG$2:$AG$1001,0),0), INDEX($AN$1004:$BO$1004,1,MATCH(COLUMNS($AN$1006:AQ1006),$AN$1006:$BO$1006,0)))),"Fix")))</f>
        <v>0</v>
      </c>
      <c r="F853" s="4">
        <f>IF(OR(INDEX($AH$2:$AH$1001,MATCH(ROWS($AG$2:AG853),$AG$2:$AG$1001,0),1)&gt;=100000,INDEX($AN$1005:$BO$1005,1,MATCH(COLUMNS($AN$1006:AR1006),$AN$1006:$BO$1006,0))&gt;=100000), " ",IF(INDEX($AN$2:$BO$1001,MATCH(ROWS($AG$2:AG853),$AG$2:$AG$1001,0),MATCH(COLUMNS($AN$1006:AR1006),$AN$1006:$BO$1006,0)), HYPERLINK("#",""), HYPERLINK(CONCATENATE("#Metadata!", ADDRESS(INDEX($AI$2:$AI$1001,MATCH(ROWS($AG$2:AG853),$AG$2:$AG$1001,0),0), INDEX($AN$1004:$BO$1004,1,MATCH(COLUMNS($AN$1006:AR1006),$AN$1006:$BO$1006,0)))),"Fix")))</f>
        <v>0</v>
      </c>
      <c r="G853" s="4">
        <f>IF(OR(INDEX($AH$2:$AH$1001,MATCH(ROWS($AG$2:AG853),$AG$2:$AG$1001,0),1)&gt;=100000,INDEX($AN$1005:$BO$1005,1,MATCH(COLUMNS($AN$1006:AS1006),$AN$1006:$BO$1006,0))&gt;=100000), " ",IF(INDEX($AN$2:$BO$1001,MATCH(ROWS($AG$2:AG853),$AG$2:$AG$1001,0),MATCH(COLUMNS($AN$1006:AS1006),$AN$1006:$BO$1006,0)), HYPERLINK("#",""), HYPERLINK(CONCATENATE("#Metadata!", ADDRESS(INDEX($AI$2:$AI$1001,MATCH(ROWS($AG$2:AG853),$AG$2:$AG$1001,0),0), INDEX($AN$1004:$BO$1004,1,MATCH(COLUMNS($AN$1006:AS1006),$AN$1006:$BO$1006,0)))),"Fix")))</f>
        <v>0</v>
      </c>
      <c r="H853" s="4">
        <f>IF(OR(INDEX($AH$2:$AH$1001,MATCH(ROWS($AG$2:AG853),$AG$2:$AG$1001,0),1)&gt;=100000,INDEX($AN$1005:$BO$1005,1,MATCH(COLUMNS($AN$1006:AT1006),$AN$1006:$BO$1006,0))&gt;=100000), " ",IF(INDEX($AN$2:$BO$1001,MATCH(ROWS($AG$2:AG853),$AG$2:$AG$1001,0),MATCH(COLUMNS($AN$1006:AT1006),$AN$1006:$BO$1006,0)), HYPERLINK("#",""), HYPERLINK(CONCATENATE("#Metadata!", ADDRESS(INDEX($AI$2:$AI$1001,MATCH(ROWS($AG$2:AG853),$AG$2:$AG$1001,0),0), INDEX($AN$1004:$BO$1004,1,MATCH(COLUMNS($AN$1006:AT1006),$AN$1006:$BO$1006,0)))),"Fix")))</f>
        <v>0</v>
      </c>
      <c r="I853" s="4">
        <f>IF(OR(INDEX($AH$2:$AH$1001,MATCH(ROWS($AG$2:AG853),$AG$2:$AG$1001,0),1)&gt;=100000,INDEX($AN$1005:$BO$1005,1,MATCH(COLUMNS($AN$1006:AU1006),$AN$1006:$BO$1006,0))&gt;=100000), " ",IF(INDEX($AN$2:$BO$1001,MATCH(ROWS($AG$2:AG853),$AG$2:$AG$1001,0),MATCH(COLUMNS($AN$1006:AU1006),$AN$1006:$BO$1006,0)), HYPERLINK("#",""), HYPERLINK(CONCATENATE("#Metadata!", ADDRESS(INDEX($AI$2:$AI$1001,MATCH(ROWS($AG$2:AG853),$AG$2:$AG$1001,0),0), INDEX($AN$1004:$BO$1004,1,MATCH(COLUMNS($AN$1006:AU1006),$AN$1006:$BO$1006,0)))),"Fix")))</f>
        <v>0</v>
      </c>
      <c r="J853" s="4">
        <f>IF(OR(INDEX($AH$2:$AH$1001,MATCH(ROWS($AG$2:AG853),$AG$2:$AG$1001,0),1)&gt;=100000,INDEX($AN$1005:$BO$1005,1,MATCH(COLUMNS($AN$1006:AV1006),$AN$1006:$BO$1006,0))&gt;=100000), " ",IF(INDEX($AN$2:$BO$1001,MATCH(ROWS($AG$2:AG853),$AG$2:$AG$1001,0),MATCH(COLUMNS($AN$1006:AV1006),$AN$1006:$BO$1006,0)), HYPERLINK("#",""), HYPERLINK(CONCATENATE("#Metadata!", ADDRESS(INDEX($AI$2:$AI$1001,MATCH(ROWS($AG$2:AG853),$AG$2:$AG$1001,0),0), INDEX($AN$1004:$BO$1004,1,MATCH(COLUMNS($AN$1006:AV1006),$AN$1006:$BO$1006,0)))),"Fix")))</f>
        <v>0</v>
      </c>
      <c r="K853" s="4">
        <f>IF(OR(INDEX($AH$2:$AH$1001,MATCH(ROWS($AG$2:AG853),$AG$2:$AG$1001,0),1)&gt;=100000,INDEX($AN$1005:$BO$1005,1,MATCH(COLUMNS($AN$1006:AW1006),$AN$1006:$BO$1006,0))&gt;=100000), " ",IF(INDEX($AN$2:$BO$1001,MATCH(ROWS($AG$2:AG853),$AG$2:$AG$1001,0),MATCH(COLUMNS($AN$1006:AW1006),$AN$1006:$BO$1006,0)), HYPERLINK("#",""), HYPERLINK(CONCATENATE("#Metadata!", ADDRESS(INDEX($AI$2:$AI$1001,MATCH(ROWS($AG$2:AG853),$AG$2:$AG$1001,0),0), INDEX($AN$1004:$BO$1004,1,MATCH(COLUMNS($AN$1006:AW1006),$AN$1006:$BO$1006,0)))),"Fix")))</f>
        <v>0</v>
      </c>
      <c r="L853" s="4">
        <f>IF(OR(INDEX($AH$2:$AH$1001,MATCH(ROWS($AG$2:AG853),$AG$2:$AG$1001,0),1)&gt;=100000,INDEX($AN$1005:$BO$1005,1,MATCH(COLUMNS($AN$1006:AX1006),$AN$1006:$BO$1006,0))&gt;=100000), " ",IF(INDEX($AN$2:$BO$1001,MATCH(ROWS($AG$2:AG853),$AG$2:$AG$1001,0),MATCH(COLUMNS($AN$1006:AX1006),$AN$1006:$BO$1006,0)), HYPERLINK("#",""), HYPERLINK(CONCATENATE("#Metadata!", ADDRESS(INDEX($AI$2:$AI$1001,MATCH(ROWS($AG$2:AG853),$AG$2:$AG$1001,0),0), INDEX($AN$1004:$BO$1004,1,MATCH(COLUMNS($AN$1006:AX1006),$AN$1006:$BO$1006,0)))),"Fix")))</f>
        <v>0</v>
      </c>
      <c r="M853" s="4">
        <f>IF(OR(INDEX($AH$2:$AH$1001,MATCH(ROWS($AG$2:AG853),$AG$2:$AG$1001,0),1)&gt;=100000,INDEX($AN$1005:$BO$1005,1,MATCH(COLUMNS($AN$1006:AY1006),$AN$1006:$BO$1006,0))&gt;=100000), " ",IF(INDEX($AN$2:$BO$1001,MATCH(ROWS($AG$2:AG853),$AG$2:$AG$1001,0),MATCH(COLUMNS($AN$1006:AY1006),$AN$1006:$BO$1006,0)), HYPERLINK("#",""), HYPERLINK(CONCATENATE("#Metadata!", ADDRESS(INDEX($AI$2:$AI$1001,MATCH(ROWS($AG$2:AG853),$AG$2:$AG$1001,0),0), INDEX($AN$1004:$BO$1004,1,MATCH(COLUMNS($AN$1006:AY1006),$AN$1006:$BO$1006,0)))),"Fix")))</f>
        <v>0</v>
      </c>
      <c r="N853" s="4">
        <f>IF(OR(INDEX($AH$2:$AH$1001,MATCH(ROWS($AG$2:AG853),$AG$2:$AG$1001,0),1)&gt;=100000,INDEX($AN$1005:$BO$1005,1,MATCH(COLUMNS($AN$1006:AZ1006),$AN$1006:$BO$1006,0))&gt;=100000), " ",IF(INDEX($AN$2:$BO$1001,MATCH(ROWS($AG$2:AG853),$AG$2:$AG$1001,0),MATCH(COLUMNS($AN$1006:AZ1006),$AN$1006:$BO$1006,0)), HYPERLINK("#",""), HYPERLINK(CONCATENATE("#Metadata!", ADDRESS(INDEX($AI$2:$AI$1001,MATCH(ROWS($AG$2:AG853),$AG$2:$AG$1001,0),0), INDEX($AN$1004:$BO$1004,1,MATCH(COLUMNS($AN$1006:AZ1006),$AN$1006:$BO$1006,0)))),"Fix")))</f>
        <v>0</v>
      </c>
      <c r="O853" s="4">
        <f>IF(OR(INDEX($AH$2:$AH$1001,MATCH(ROWS($AG$2:AG853),$AG$2:$AG$1001,0),1)&gt;=100000,INDEX($AN$1005:$BO$1005,1,MATCH(COLUMNS($AN$1006:BA1006),$AN$1006:$BO$1006,0))&gt;=100000), " ",IF(INDEX($AN$2:$BO$1001,MATCH(ROWS($AG$2:AG853),$AG$2:$AG$1001,0),MATCH(COLUMNS($AN$1006:BA1006),$AN$1006:$BO$1006,0)), HYPERLINK("#",""), HYPERLINK(CONCATENATE("#Metadata!", ADDRESS(INDEX($AI$2:$AI$1001,MATCH(ROWS($AG$2:AG853),$AG$2:$AG$1001,0),0), INDEX($AN$1004:$BO$1004,1,MATCH(COLUMNS($AN$1006:BA1006),$AN$1006:$BO$1006,0)))),"Fix")))</f>
        <v>0</v>
      </c>
      <c r="P853" s="4">
        <f>IF(OR(INDEX($AH$2:$AH$1001,MATCH(ROWS($AG$2:AG853),$AG$2:$AG$1001,0),1)&gt;=100000,INDEX($AN$1005:$BO$1005,1,MATCH(COLUMNS($AN$1006:BB1006),$AN$1006:$BO$1006,0))&gt;=100000), " ",IF(INDEX($AN$2:$BO$1001,MATCH(ROWS($AG$2:AG853),$AG$2:$AG$1001,0),MATCH(COLUMNS($AN$1006:BB1006),$AN$1006:$BO$1006,0)), HYPERLINK("#",""), HYPERLINK(CONCATENATE("#Metadata!", ADDRESS(INDEX($AI$2:$AI$1001,MATCH(ROWS($AG$2:AG853),$AG$2:$AG$1001,0),0), INDEX($AN$1004:$BO$1004,1,MATCH(COLUMNS($AN$1006:BB1006),$AN$1006:$BO$1006,0)))),"Fix")))</f>
        <v>0</v>
      </c>
      <c r="Q853" s="4">
        <f>IF(OR(INDEX($AH$2:$AH$1001,MATCH(ROWS($AG$2:AG853),$AG$2:$AG$1001,0),1)&gt;=100000,INDEX($AN$1005:$BO$1005,1,MATCH(COLUMNS($AN$1006:BC1006),$AN$1006:$BO$1006,0))&gt;=100000), " ",IF(INDEX($AN$2:$BO$1001,MATCH(ROWS($AG$2:AG853),$AG$2:$AG$1001,0),MATCH(COLUMNS($AN$1006:BC1006),$AN$1006:$BO$1006,0)), HYPERLINK("#",""), HYPERLINK(CONCATENATE("#Metadata!", ADDRESS(INDEX($AI$2:$AI$1001,MATCH(ROWS($AG$2:AG853),$AG$2:$AG$1001,0),0), INDEX($AN$1004:$BO$1004,1,MATCH(COLUMNS($AN$1006:BC1006),$AN$1006:$BO$1006,0)))),"Fix")))</f>
        <v>0</v>
      </c>
      <c r="R853" s="4">
        <f>IF(OR(INDEX($AH$2:$AH$1001,MATCH(ROWS($AG$2:AG853),$AG$2:$AG$1001,0),1)&gt;=100000,INDEX($AN$1005:$BO$1005,1,MATCH(COLUMNS($AN$1006:BD1006),$AN$1006:$BO$1006,0))&gt;=100000), " ",IF(INDEX($AN$2:$BO$1001,MATCH(ROWS($AG$2:AG853),$AG$2:$AG$1001,0),MATCH(COLUMNS($AN$1006:BD1006),$AN$1006:$BO$1006,0)), HYPERLINK("#",""), HYPERLINK(CONCATENATE("#Metadata!", ADDRESS(INDEX($AI$2:$AI$1001,MATCH(ROWS($AG$2:AG853),$AG$2:$AG$1001,0),0), INDEX($AN$1004:$BO$1004,1,MATCH(COLUMNS($AN$1006:BD1006),$AN$1006:$BO$1006,0)))),"Fix")))</f>
        <v>0</v>
      </c>
      <c r="S853" s="4">
        <f>IF(OR(INDEX($AH$2:$AH$1001,MATCH(ROWS($AG$2:AG853),$AG$2:$AG$1001,0),1)&gt;=100000,INDEX($AN$1005:$BO$1005,1,MATCH(COLUMNS($AN$1006:BE1006),$AN$1006:$BO$1006,0))&gt;=100000), " ",IF(INDEX($AN$2:$BO$1001,MATCH(ROWS($AG$2:AG853),$AG$2:$AG$1001,0),MATCH(COLUMNS($AN$1006:BE1006),$AN$1006:$BO$1006,0)), HYPERLINK("#",""), HYPERLINK(CONCATENATE("#Metadata!", ADDRESS(INDEX($AI$2:$AI$1001,MATCH(ROWS($AG$2:AG853),$AG$2:$AG$1001,0),0), INDEX($AN$1004:$BO$1004,1,MATCH(COLUMNS($AN$1006:BE1006),$AN$1006:$BO$1006,0)))),"Fix")))</f>
        <v>0</v>
      </c>
      <c r="T853" s="4">
        <f>IF(OR(INDEX($AH$2:$AH$1001,MATCH(ROWS($AG$2:AG853),$AG$2:$AG$1001,0),1)&gt;=100000,INDEX($AN$1005:$BO$1005,1,MATCH(COLUMNS($AN$1006:BF1006),$AN$1006:$BO$1006,0))&gt;=100000), " ",IF(INDEX($AN$2:$BO$1001,MATCH(ROWS($AG$2:AG853),$AG$2:$AG$1001,0),MATCH(COLUMNS($AN$1006:BF1006),$AN$1006:$BO$1006,0)), HYPERLINK("#",""), HYPERLINK(CONCATENATE("#Metadata!", ADDRESS(INDEX($AI$2:$AI$1001,MATCH(ROWS($AG$2:AG853),$AG$2:$AG$1001,0),0), INDEX($AN$1004:$BO$1004,1,MATCH(COLUMNS($AN$1006:BF1006),$AN$1006:$BO$1006,0)))),"Fix")))</f>
        <v>0</v>
      </c>
      <c r="U853" s="4">
        <f>IF(OR(INDEX($AH$2:$AH$1001,MATCH(ROWS($AG$2:AG853),$AG$2:$AG$1001,0),1)&gt;=100000,INDEX($AN$1005:$BO$1005,1,MATCH(COLUMNS($AN$1006:BG1006),$AN$1006:$BO$1006,0))&gt;=100000), " ",IF(INDEX($AN$2:$BO$1001,MATCH(ROWS($AG$2:AG853),$AG$2:$AG$1001,0),MATCH(COLUMNS($AN$1006:BG1006),$AN$1006:$BO$1006,0)), HYPERLINK("#",""), HYPERLINK(CONCATENATE("#Metadata!", ADDRESS(INDEX($AI$2:$AI$1001,MATCH(ROWS($AG$2:AG853),$AG$2:$AG$1001,0),0), INDEX($AN$1004:$BO$1004,1,MATCH(COLUMNS($AN$1006:BG1006),$AN$1006:$BO$1006,0)))),"Fix")))</f>
        <v>0</v>
      </c>
      <c r="V853" s="4">
        <f>IF(OR(INDEX($AH$2:$AH$1001,MATCH(ROWS($AG$2:AG853),$AG$2:$AG$1001,0),1)&gt;=100000,INDEX($AN$1005:$BO$1005,1,MATCH(COLUMNS($AN$1006:BH1006),$AN$1006:$BO$1006,0))&gt;=100000), " ",IF(INDEX($AN$2:$BO$1001,MATCH(ROWS($AG$2:AG853),$AG$2:$AG$1001,0),MATCH(COLUMNS($AN$1006:BH1006),$AN$1006:$BO$1006,0)), HYPERLINK("#",""), HYPERLINK(CONCATENATE("#Metadata!", ADDRESS(INDEX($AI$2:$AI$1001,MATCH(ROWS($AG$2:AG853),$AG$2:$AG$1001,0),0), INDEX($AN$1004:$BO$1004,1,MATCH(COLUMNS($AN$1006:BH1006),$AN$1006:$BO$1006,0)))),"Fix")))</f>
        <v>0</v>
      </c>
      <c r="W853" s="4">
        <f>IF(OR(INDEX($AH$2:$AH$1001,MATCH(ROWS($AG$2:AG853),$AG$2:$AG$1001,0),1)&gt;=100000,INDEX($AN$1005:$BO$1005,1,MATCH(COLUMNS($AN$1006:BI1006),$AN$1006:$BO$1006,0))&gt;=100000), " ",IF(INDEX($AN$2:$BO$1001,MATCH(ROWS($AG$2:AG853),$AG$2:$AG$1001,0),MATCH(COLUMNS($AN$1006:BI1006),$AN$1006:$BO$1006,0)), HYPERLINK("#",""), HYPERLINK(CONCATENATE("#Metadata!", ADDRESS(INDEX($AI$2:$AI$1001,MATCH(ROWS($AG$2:AG853),$AG$2:$AG$1001,0),0), INDEX($AN$1004:$BO$1004,1,MATCH(COLUMNS($AN$1006:BI1006),$AN$1006:$BO$1006,0)))),"Fix")))</f>
        <v>0</v>
      </c>
      <c r="X853" s="4">
        <f>IF(OR(INDEX($AH$2:$AH$1001,MATCH(ROWS($AG$2:AG853),$AG$2:$AG$1001,0),1)&gt;=100000,INDEX($AN$1005:$BO$1005,1,MATCH(COLUMNS($AN$1006:BJ1006),$AN$1006:$BO$1006,0))&gt;=100000), " ",IF(INDEX($AN$2:$BO$1001,MATCH(ROWS($AG$2:AG853),$AG$2:$AG$1001,0),MATCH(COLUMNS($AN$1006:BJ1006),$AN$1006:$BO$1006,0)), HYPERLINK("#",""), HYPERLINK(CONCATENATE("#Metadata!", ADDRESS(INDEX($AI$2:$AI$1001,MATCH(ROWS($AG$2:AG853),$AG$2:$AG$1001,0),0), INDEX($AN$1004:$BO$1004,1,MATCH(COLUMNS($AN$1006:BJ1006),$AN$1006:$BO$1006,0)))),"Fix")))</f>
        <v>0</v>
      </c>
      <c r="Y853" s="4">
        <f>IF(OR(INDEX($AH$2:$AH$1001,MATCH(ROWS($AG$2:AG853),$AG$2:$AG$1001,0),1)&gt;=100000,INDEX($AN$1005:$BO$1005,1,MATCH(COLUMNS($AN$1006:BK1006),$AN$1006:$BO$1006,0))&gt;=100000), " ",IF(INDEX($AN$2:$BO$1001,MATCH(ROWS($AG$2:AG853),$AG$2:$AG$1001,0),MATCH(COLUMNS($AN$1006:BK1006),$AN$1006:$BO$1006,0)), HYPERLINK("#",""), HYPERLINK(CONCATENATE("#Metadata!", ADDRESS(INDEX($AI$2:$AI$1001,MATCH(ROWS($AG$2:AG853),$AG$2:$AG$1001,0),0), INDEX($AN$1004:$BO$1004,1,MATCH(COLUMNS($AN$1006:BK1006),$AN$1006:$BO$1006,0)))),"Fix")))</f>
        <v>0</v>
      </c>
      <c r="Z853" s="4">
        <f>IF(OR(INDEX($AH$2:$AH$1001,MATCH(ROWS($AG$2:AG853),$AG$2:$AG$1001,0),1)&gt;=100000,INDEX($AN$1005:$BO$1005,1,MATCH(COLUMNS($AN$1006:BL1006),$AN$1006:$BO$1006,0))&gt;=100000), " ",IF(INDEX($AN$2:$BO$1001,MATCH(ROWS($AG$2:AG853),$AG$2:$AG$1001,0),MATCH(COLUMNS($AN$1006:BL1006),$AN$1006:$BO$1006,0)), HYPERLINK("#",""), HYPERLINK(CONCATENATE("#Metadata!", ADDRESS(INDEX($AI$2:$AI$1001,MATCH(ROWS($AG$2:AG853),$AG$2:$AG$1001,0),0), INDEX($AN$1004:$BO$1004,1,MATCH(COLUMNS($AN$1006:BL1006),$AN$1006:$BO$1006,0)))),"Fix")))</f>
        <v>0</v>
      </c>
      <c r="AA853" s="4">
        <f>IF(OR(INDEX($AH$2:$AH$1001,MATCH(ROWS($AG$2:AG853),$AG$2:$AG$1001,0),1)&gt;=100000,INDEX($AN$1005:$BO$1005,1,MATCH(COLUMNS($AN$1006:BM1006),$AN$1006:$BO$1006,0))&gt;=100000), " ",IF(INDEX($AN$2:$BO$1001,MATCH(ROWS($AG$2:AG853),$AG$2:$AG$1001,0),MATCH(COLUMNS($AN$1006:BM1006),$AN$1006:$BO$1006,0)), HYPERLINK("#",""), HYPERLINK(CONCATENATE("#Metadata!", ADDRESS(INDEX($AI$2:$AI$1001,MATCH(ROWS($AG$2:AG853),$AG$2:$AG$1001,0),0), INDEX($AN$1004:$BO$1004,1,MATCH(COLUMNS($AN$1006:BM1006),$AN$1006:$BO$1006,0)))),"Fix")))</f>
        <v>0</v>
      </c>
      <c r="AB853" s="4">
        <f>IF(OR(INDEX($AH$2:$AH$1001,MATCH(ROWS($AG$2:AG853),$AG$2:$AG$1001,0),1)&gt;=100000,INDEX($AN$1005:$BO$1005,1,MATCH(COLUMNS($AN$1006:BN1006),$AN$1006:$BO$1006,0))&gt;=100000), " ",IF(INDEX($AN$2:$BO$1001,MATCH(ROWS($AG$2:AG853),$AG$2:$AG$1001,0),MATCH(COLUMNS($AN$1006:BN1006),$AN$1006:$BO$1006,0)), HYPERLINK("#",""), HYPERLINK(CONCATENATE("#Metadata!", ADDRESS(INDEX($AI$2:$AI$1001,MATCH(ROWS($AG$2:AG853),$AG$2:$AG$1001,0),0), INDEX($AN$1004:$BO$1004,1,MATCH(COLUMNS($AN$1006:BN1006),$AN$1006:$BO$1006,0)))),"Fix")))</f>
        <v>0</v>
      </c>
      <c r="AC853" s="4">
        <f>IF(OR(INDEX($AH$2:$AH$1001,MATCH(ROWS($AG$2:AG853),$AG$2:$AG$1001,0),1)&gt;=100000,INDEX($AN$1005:$BO$1005,1,MATCH(COLUMNS($AN$1006:BO1006),$AN$1006:$BO$1006,0))&gt;=100000), " ",IF(INDEX($AN$2:$BO$1001,MATCH(ROWS($AG$2:AG853),$AG$2:$AG$1001,0),MATCH(COLUMNS($AN$1006:BO1006),$AN$1006:$BO$1006,0)), HYPERLINK("#",""), HYPERLINK(CONCATENATE("#Metadata!", ADDRESS(INDEX($AI$2:$AI$1001,MATCH(ROWS($AG$2:AG853),$AG$2:$AG$1001,0),0), INDEX($AN$1004:$BO$1004,1,MATCH(COLUMNS($AN$1006:BO1006),$AN$1006:$BO$1006,0)))),"Fix")))</f>
        <v>0</v>
      </c>
      <c r="AG853">
        <v>0</v>
      </c>
      <c r="AH853">
        <v>0</v>
      </c>
      <c r="AI853">
        <v>0</v>
      </c>
      <c r="AJ853">
        <f>IF(AK853,TRUE,AND(AN853:BO853))</f>
        <v>0</v>
      </c>
      <c r="AK853">
        <f>COUNTBLANK(Metadata!B853:AC853)=COLUMNS(Metadata!B853:AC853)</f>
        <v>0</v>
      </c>
      <c r="AL853">
        <v>0</v>
      </c>
      <c r="AN853">
        <f>AND(IF(Metadata!B853="",FALSE,TRUE),COUNTIF(Metadata!B:B, Metadata!B853) = 1,NOT(ISERROR(SUMPRODUCT(SEARCH(MID(Metadata!B853,ROW(INDIRECT("1:"&amp;LEN(Metadata!B853))), 1),"0123456789abcdefghijklmnopqrstuvwxyzABCDEFGHIJKLMNOPQRSTUVWXYZ.")))))</f>
        <v>0</v>
      </c>
      <c r="AO853">
        <f>IF(Metadata!C853="",FALSE,TRUE)</f>
        <v>0</v>
      </c>
      <c r="AP853">
        <f>IF(Metadata!D853="",FALSE,TRUE)</f>
        <v>0</v>
      </c>
      <c r="AQ853">
        <f>OR(AND(IF(Metadata!E853="",FALSE,TRUE),OR(exact(Metadata!E853,"not collected"),exact(Metadata!E853,"not provided"),exact(Metadata!E853,"restricted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R853">
        <f>IF(Metadata!F853="",FALSE,TRUE)</f>
        <v>0</v>
      </c>
      <c r="AS853">
        <f>OR(AND(IF(Metadata!G853="",FALSE,TRUE),OR(exact(Metadata!G853,"not collected"),exact(Metadata!G853,"not provided"))),AND(IF(Metadata!G853="",FALSE,TRUE),OR(exact(Metadata!G853,"TRUE"),exact(Metadata!G853,"FALSE"))))</f>
        <v>0</v>
      </c>
      <c r="AT853">
        <f>OR(AND(IF(Metadata!H853="",FALSE,TRUE),OR(exact(Metadata!H853,"not collected"),exact(Metadata!H853,"not provided"),exact(Metadata!H853,"restricted access"))),AND(IF(Metadata!H853="",FALSE,ISNUMBER(VALUE(Metadata!H853))),Metadata!H853&gt;=-413.0))</f>
        <v>0</v>
      </c>
      <c r="AU853">
        <f>AND(IF(Metadata!I853="",FALSE,TRUE),exact(Metadata!I853,"meters"))</f>
        <v>0</v>
      </c>
      <c r="AV853">
        <f>AND(IF(Metadata!J853="",FALSE,TRUE),OR(exact(Metadata!J853,"Host-associated"),exact(Metadata!J853,"Free-living")))</f>
        <v>0</v>
      </c>
      <c r="AW853">
        <f>AND(IF(Metadata!K853="",FALSE,TRUE),OR(exact(Metadata!K853,"Animal"),exact(Metadata!K853,"Fungus"),exact(Metadata!K853,"Plant"),exact(Metadata!K853,"Saline"),exact(Metadata!K853,"Non-saline")))</f>
        <v>0</v>
      </c>
      <c r="AX853">
        <f>AND(IF(Metadata!L853="",FALSE,TRUE),OR(exact(Metadata!L853,"Plant secretion"),exact(Metadata!L853,"Plant rhizosphere"),exact(Metadata!L853,"Plant surface"),exact(Metadata!L853,"Plant corpus"),exact(Metadata!L853,"Fungus surface"),exact(Metadata!L853,"Fungus corpus"),exact(Metadata!L853,"Animal surface"),exact(Metadata!L853,"Animal proximal gut"),exact(Metadata!L853,"Animal corpus"),exact(Metadata!L853,"Animal distal gut"),exact(Metadata!L853,"Animal secretion"),exact(Metadata!L853,"Sub-surface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Y853">
        <f>IF(Metadata!M853="",FALSE,TRUE)</f>
        <v>0</v>
      </c>
      <c r="AZ853">
        <f>IF(Metadata!N853="",FALSE,TRUE)</f>
        <v>0</v>
      </c>
      <c r="BA853">
        <f>IF(Metadata!O853="",FALSE,TRUE)</f>
        <v>0</v>
      </c>
      <c r="BB853">
        <f>OR(AND(IF(Metadata!P853="",FALSE,TRUE),OR(exact(Metadata!P853,"not collected"),exact(Metadata!P853,"not provided"),exact(Metadata!P853,"restricted access"))),AND(IF(Metadata!P853="",FALSE,TRUE),OR(exact(Metadata!P853,"air"),exact(Metadata!P853,"built environment"),exact(Metadata!P853,"host-associated"),exact(Metadata!P853,"human-associated"),exact(Metadata!P853,"human-skin"),exact(Metadata!P853,"human-oral"),exact(Metadata!P853,"human-gut"),exact(Metadata!P853,"human-vaginal"),exact(Metadata!P853,"microbial mat/biofilm"),exact(Metadata!P853,"misc environment"),exact(Metadata!P853,"plant-associated"),exact(Metadata!P853,"sediment"),exact(Metadata!P853,"soil"),exact(Metadata!P853,"wastewater/sludge"),exact(Metadata!P853,"water"))))</f>
        <v>0</v>
      </c>
      <c r="BC853">
        <f>IF(Metadata!Q853="",FALSE,TRUE)</f>
        <v>0</v>
      </c>
      <c r="BD853">
        <f>IF(Metadata!R853="",FALSE,TRUE)</f>
        <v>0</v>
      </c>
      <c r="BE853">
        <f>OR(AND(IF(Metadata!S853="",FALSE,TRUE),OR(exact(Metadata!S853,"not collected"),exact(Metadata!S853,"not provided"),exact(Metadata!S853,"restricted access"))),AND(IF(Metadata!S853="",FALSE,ISNUMBER(VALUE(Metadata!S853))),Metadata!S853&gt;=-90.00,Metadata!S853&lt;=90.00))</f>
        <v>0</v>
      </c>
      <c r="BF853">
        <f>AND(IF(Metadata!T853="",FALSE,TRUE),exact(Metadata!T853,"Decimal degrees"))</f>
        <v>0</v>
      </c>
      <c r="BG853">
        <f>OR(AND(IF(Metadata!U853="",FALSE,TRUE),OR(exact(Metadata!U853,"not collected"),exact(Metadata!U853,"not provided"),exact(Metadata!U853,"restricted access"))),AND(IF(Metadata!U853="",FALSE,ISNUMBER(VALUE(Metadata!U853))),Metadata!U853&gt;=-180.00,Metadata!U853&lt;=180.00))</f>
        <v>0</v>
      </c>
      <c r="BH853">
        <f>AND(IF(Metadata!V853="",FALSE,TRUE),exact(Metadata!V853,"Decimal degrees"))</f>
        <v>0</v>
      </c>
      <c r="BI853">
        <f>IF(Metadata!W853="",FALSE,TRUE)</f>
        <v>0</v>
      </c>
      <c r="BJ853">
        <f>OR(AND(IF(Metadata!X853="",FALSE,TRUE),OR(exact(Metadata!X853,"not collected"),exact(Metadata!X853,"not provided"),exact(Metadata!X853,"restricted access"))),AND(IF(Metadata!X853="",FALSE,TRUE),OR(exact(Metadata!X853,"TRUE"),exact(Metadata!X853,"FALSE"))))</f>
        <v>0</v>
      </c>
      <c r="BK853">
        <f>AND(IF(Metadata!Y853="",FALSE,TRUE),exact(Metadata!Y853,"other"))</f>
        <v>0</v>
      </c>
      <c r="BL853">
        <f>IF(Metadata!Z853="",FALSE,TRUE)</f>
        <v>0</v>
      </c>
      <c r="BM853">
        <f>OR(AND(IF(Metadata!AA853="",FALSE,TRUE),OR(exact(Metadata!AA853,"not collected"),exact(Metadata!AA853,"not provided"))),AND(IF(Metadata!AA853="",FALSE,IF(ISERROR(INT(Metadata!AA853)),FALSE,INT(Metadata!AA853)=Metadata!AA853)),Metadata!AA853&gt;0))</f>
        <v>0</v>
      </c>
      <c r="BN853">
        <f>AND(IF(Metadata!AB853="",FALSE,TRUE),exact(Metadata!AB853,"Not applicable"))</f>
        <v>0</v>
      </c>
      <c r="BO853">
        <f>IF(Metadata!AC853="",FALSE,TRUE)</f>
        <v>0</v>
      </c>
    </row>
    <row r="854" spans="1:67">
      <c r="A854" s="5">
        <f>IF(B854=" "," ",HYPERLINK(CONCATENATE("#metadata!",ADDRESS(INDEX($AI$2:$AI$1001,MATCH(ROWS($AG$2:AG854),$AG$2:$AG$1001,0),0),1)),INDEX($AL$2:$AL$1001,MATCH(ROWS($AG$2:AG854),$AG$2:$AG$1001,0),0)))</f>
        <v>0</v>
      </c>
      <c r="B854" s="4">
        <f>IF(OR(INDEX($AH$2:$AH$1001,MATCH(ROWS($AG$2:AG854),$AG$2:$AG$1001,0),1)&gt;=100000,INDEX($AN$1005:$BO$1005,1,MATCH(COLUMNS($AN$1006:AN1006),$AN$1006:$BO$1006,0))&gt;=100000), " ",IF(INDEX($AN$2:$BO$1001,MATCH(ROWS($AG$2:AG854),$AG$2:$AG$1001,0),MATCH(COLUMNS($AN$1006:AN1006),$AN$1006:$BO$1006,0)), HYPERLINK("#",""), HYPERLINK(CONCATENATE("#Metadata!", ADDRESS(INDEX($AI$2:$AI$1001,MATCH(ROWS($AG$2:AG854),$AG$2:$AG$1001,0),0), INDEX($AN$1004:$BO$1004,1,MATCH(COLUMNS($AN$1006:AN1006),$AN$1006:$BO$1006,0)))),"Fix")))</f>
        <v>0</v>
      </c>
      <c r="C854" s="4">
        <f>IF(OR(INDEX($AH$2:$AH$1001,MATCH(ROWS($AG$2:AG854),$AG$2:$AG$1001,0),1)&gt;=100000,INDEX($AN$1005:$BO$1005,1,MATCH(COLUMNS($AN$1006:AO1006),$AN$1006:$BO$1006,0))&gt;=100000), " ",IF(INDEX($AN$2:$BO$1001,MATCH(ROWS($AG$2:AG854),$AG$2:$AG$1001,0),MATCH(COLUMNS($AN$1006:AO1006),$AN$1006:$BO$1006,0)), HYPERLINK("#",""), HYPERLINK(CONCATENATE("#Metadata!", ADDRESS(INDEX($AI$2:$AI$1001,MATCH(ROWS($AG$2:AG854),$AG$2:$AG$1001,0),0), INDEX($AN$1004:$BO$1004,1,MATCH(COLUMNS($AN$1006:AO1006),$AN$1006:$BO$1006,0)))),"Fix")))</f>
        <v>0</v>
      </c>
      <c r="D854" s="4">
        <f>IF(OR(INDEX($AH$2:$AH$1001,MATCH(ROWS($AG$2:AG854),$AG$2:$AG$1001,0),1)&gt;=100000,INDEX($AN$1005:$BO$1005,1,MATCH(COLUMNS($AN$1006:AP1006),$AN$1006:$BO$1006,0))&gt;=100000), " ",IF(INDEX($AN$2:$BO$1001,MATCH(ROWS($AG$2:AG854),$AG$2:$AG$1001,0),MATCH(COLUMNS($AN$1006:AP1006),$AN$1006:$BO$1006,0)), HYPERLINK("#",""), HYPERLINK(CONCATENATE("#Metadata!", ADDRESS(INDEX($AI$2:$AI$1001,MATCH(ROWS($AG$2:AG854),$AG$2:$AG$1001,0),0), INDEX($AN$1004:$BO$1004,1,MATCH(COLUMNS($AN$1006:AP1006),$AN$1006:$BO$1006,0)))),"Fix")))</f>
        <v>0</v>
      </c>
      <c r="E854" s="4">
        <f>IF(OR(INDEX($AH$2:$AH$1001,MATCH(ROWS($AG$2:AG854),$AG$2:$AG$1001,0),1)&gt;=100000,INDEX($AN$1005:$BO$1005,1,MATCH(COLUMNS($AN$1006:AQ1006),$AN$1006:$BO$1006,0))&gt;=100000), " ",IF(INDEX($AN$2:$BO$1001,MATCH(ROWS($AG$2:AG854),$AG$2:$AG$1001,0),MATCH(COLUMNS($AN$1006:AQ1006),$AN$1006:$BO$1006,0)), HYPERLINK("#",""), HYPERLINK(CONCATENATE("#Metadata!", ADDRESS(INDEX($AI$2:$AI$1001,MATCH(ROWS($AG$2:AG854),$AG$2:$AG$1001,0),0), INDEX($AN$1004:$BO$1004,1,MATCH(COLUMNS($AN$1006:AQ1006),$AN$1006:$BO$1006,0)))),"Fix")))</f>
        <v>0</v>
      </c>
      <c r="F854" s="4">
        <f>IF(OR(INDEX($AH$2:$AH$1001,MATCH(ROWS($AG$2:AG854),$AG$2:$AG$1001,0),1)&gt;=100000,INDEX($AN$1005:$BO$1005,1,MATCH(COLUMNS($AN$1006:AR1006),$AN$1006:$BO$1006,0))&gt;=100000), " ",IF(INDEX($AN$2:$BO$1001,MATCH(ROWS($AG$2:AG854),$AG$2:$AG$1001,0),MATCH(COLUMNS($AN$1006:AR1006),$AN$1006:$BO$1006,0)), HYPERLINK("#",""), HYPERLINK(CONCATENATE("#Metadata!", ADDRESS(INDEX($AI$2:$AI$1001,MATCH(ROWS($AG$2:AG854),$AG$2:$AG$1001,0),0), INDEX($AN$1004:$BO$1004,1,MATCH(COLUMNS($AN$1006:AR1006),$AN$1006:$BO$1006,0)))),"Fix")))</f>
        <v>0</v>
      </c>
      <c r="G854" s="4">
        <f>IF(OR(INDEX($AH$2:$AH$1001,MATCH(ROWS($AG$2:AG854),$AG$2:$AG$1001,0),1)&gt;=100000,INDEX($AN$1005:$BO$1005,1,MATCH(COLUMNS($AN$1006:AS1006),$AN$1006:$BO$1006,0))&gt;=100000), " ",IF(INDEX($AN$2:$BO$1001,MATCH(ROWS($AG$2:AG854),$AG$2:$AG$1001,0),MATCH(COLUMNS($AN$1006:AS1006),$AN$1006:$BO$1006,0)), HYPERLINK("#",""), HYPERLINK(CONCATENATE("#Metadata!", ADDRESS(INDEX($AI$2:$AI$1001,MATCH(ROWS($AG$2:AG854),$AG$2:$AG$1001,0),0), INDEX($AN$1004:$BO$1004,1,MATCH(COLUMNS($AN$1006:AS1006),$AN$1006:$BO$1006,0)))),"Fix")))</f>
        <v>0</v>
      </c>
      <c r="H854" s="4">
        <f>IF(OR(INDEX($AH$2:$AH$1001,MATCH(ROWS($AG$2:AG854),$AG$2:$AG$1001,0),1)&gt;=100000,INDEX($AN$1005:$BO$1005,1,MATCH(COLUMNS($AN$1006:AT1006),$AN$1006:$BO$1006,0))&gt;=100000), " ",IF(INDEX($AN$2:$BO$1001,MATCH(ROWS($AG$2:AG854),$AG$2:$AG$1001,0),MATCH(COLUMNS($AN$1006:AT1006),$AN$1006:$BO$1006,0)), HYPERLINK("#",""), HYPERLINK(CONCATENATE("#Metadata!", ADDRESS(INDEX($AI$2:$AI$1001,MATCH(ROWS($AG$2:AG854),$AG$2:$AG$1001,0),0), INDEX($AN$1004:$BO$1004,1,MATCH(COLUMNS($AN$1006:AT1006),$AN$1006:$BO$1006,0)))),"Fix")))</f>
        <v>0</v>
      </c>
      <c r="I854" s="4">
        <f>IF(OR(INDEX($AH$2:$AH$1001,MATCH(ROWS($AG$2:AG854),$AG$2:$AG$1001,0),1)&gt;=100000,INDEX($AN$1005:$BO$1005,1,MATCH(COLUMNS($AN$1006:AU1006),$AN$1006:$BO$1006,0))&gt;=100000), " ",IF(INDEX($AN$2:$BO$1001,MATCH(ROWS($AG$2:AG854),$AG$2:$AG$1001,0),MATCH(COLUMNS($AN$1006:AU1006),$AN$1006:$BO$1006,0)), HYPERLINK("#",""), HYPERLINK(CONCATENATE("#Metadata!", ADDRESS(INDEX($AI$2:$AI$1001,MATCH(ROWS($AG$2:AG854),$AG$2:$AG$1001,0),0), INDEX($AN$1004:$BO$1004,1,MATCH(COLUMNS($AN$1006:AU1006),$AN$1006:$BO$1006,0)))),"Fix")))</f>
        <v>0</v>
      </c>
      <c r="J854" s="4">
        <f>IF(OR(INDEX($AH$2:$AH$1001,MATCH(ROWS($AG$2:AG854),$AG$2:$AG$1001,0),1)&gt;=100000,INDEX($AN$1005:$BO$1005,1,MATCH(COLUMNS($AN$1006:AV1006),$AN$1006:$BO$1006,0))&gt;=100000), " ",IF(INDEX($AN$2:$BO$1001,MATCH(ROWS($AG$2:AG854),$AG$2:$AG$1001,0),MATCH(COLUMNS($AN$1006:AV1006),$AN$1006:$BO$1006,0)), HYPERLINK("#",""), HYPERLINK(CONCATENATE("#Metadata!", ADDRESS(INDEX($AI$2:$AI$1001,MATCH(ROWS($AG$2:AG854),$AG$2:$AG$1001,0),0), INDEX($AN$1004:$BO$1004,1,MATCH(COLUMNS($AN$1006:AV1006),$AN$1006:$BO$1006,0)))),"Fix")))</f>
        <v>0</v>
      </c>
      <c r="K854" s="4">
        <f>IF(OR(INDEX($AH$2:$AH$1001,MATCH(ROWS($AG$2:AG854),$AG$2:$AG$1001,0),1)&gt;=100000,INDEX($AN$1005:$BO$1005,1,MATCH(COLUMNS($AN$1006:AW1006),$AN$1006:$BO$1006,0))&gt;=100000), " ",IF(INDEX($AN$2:$BO$1001,MATCH(ROWS($AG$2:AG854),$AG$2:$AG$1001,0),MATCH(COLUMNS($AN$1006:AW1006),$AN$1006:$BO$1006,0)), HYPERLINK("#",""), HYPERLINK(CONCATENATE("#Metadata!", ADDRESS(INDEX($AI$2:$AI$1001,MATCH(ROWS($AG$2:AG854),$AG$2:$AG$1001,0),0), INDEX($AN$1004:$BO$1004,1,MATCH(COLUMNS($AN$1006:AW1006),$AN$1006:$BO$1006,0)))),"Fix")))</f>
        <v>0</v>
      </c>
      <c r="L854" s="4">
        <f>IF(OR(INDEX($AH$2:$AH$1001,MATCH(ROWS($AG$2:AG854),$AG$2:$AG$1001,0),1)&gt;=100000,INDEX($AN$1005:$BO$1005,1,MATCH(COLUMNS($AN$1006:AX1006),$AN$1006:$BO$1006,0))&gt;=100000), " ",IF(INDEX($AN$2:$BO$1001,MATCH(ROWS($AG$2:AG854),$AG$2:$AG$1001,0),MATCH(COLUMNS($AN$1006:AX1006),$AN$1006:$BO$1006,0)), HYPERLINK("#",""), HYPERLINK(CONCATENATE("#Metadata!", ADDRESS(INDEX($AI$2:$AI$1001,MATCH(ROWS($AG$2:AG854),$AG$2:$AG$1001,0),0), INDEX($AN$1004:$BO$1004,1,MATCH(COLUMNS($AN$1006:AX1006),$AN$1006:$BO$1006,0)))),"Fix")))</f>
        <v>0</v>
      </c>
      <c r="M854" s="4">
        <f>IF(OR(INDEX($AH$2:$AH$1001,MATCH(ROWS($AG$2:AG854),$AG$2:$AG$1001,0),1)&gt;=100000,INDEX($AN$1005:$BO$1005,1,MATCH(COLUMNS($AN$1006:AY1006),$AN$1006:$BO$1006,0))&gt;=100000), " ",IF(INDEX($AN$2:$BO$1001,MATCH(ROWS($AG$2:AG854),$AG$2:$AG$1001,0),MATCH(COLUMNS($AN$1006:AY1006),$AN$1006:$BO$1006,0)), HYPERLINK("#",""), HYPERLINK(CONCATENATE("#Metadata!", ADDRESS(INDEX($AI$2:$AI$1001,MATCH(ROWS($AG$2:AG854),$AG$2:$AG$1001,0),0), INDEX($AN$1004:$BO$1004,1,MATCH(COLUMNS($AN$1006:AY1006),$AN$1006:$BO$1006,0)))),"Fix")))</f>
        <v>0</v>
      </c>
      <c r="N854" s="4">
        <f>IF(OR(INDEX($AH$2:$AH$1001,MATCH(ROWS($AG$2:AG854),$AG$2:$AG$1001,0),1)&gt;=100000,INDEX($AN$1005:$BO$1005,1,MATCH(COLUMNS($AN$1006:AZ1006),$AN$1006:$BO$1006,0))&gt;=100000), " ",IF(INDEX($AN$2:$BO$1001,MATCH(ROWS($AG$2:AG854),$AG$2:$AG$1001,0),MATCH(COLUMNS($AN$1006:AZ1006),$AN$1006:$BO$1006,0)), HYPERLINK("#",""), HYPERLINK(CONCATENATE("#Metadata!", ADDRESS(INDEX($AI$2:$AI$1001,MATCH(ROWS($AG$2:AG854),$AG$2:$AG$1001,0),0), INDEX($AN$1004:$BO$1004,1,MATCH(COLUMNS($AN$1006:AZ1006),$AN$1006:$BO$1006,0)))),"Fix")))</f>
        <v>0</v>
      </c>
      <c r="O854" s="4">
        <f>IF(OR(INDEX($AH$2:$AH$1001,MATCH(ROWS($AG$2:AG854),$AG$2:$AG$1001,0),1)&gt;=100000,INDEX($AN$1005:$BO$1005,1,MATCH(COLUMNS($AN$1006:BA1006),$AN$1006:$BO$1006,0))&gt;=100000), " ",IF(INDEX($AN$2:$BO$1001,MATCH(ROWS($AG$2:AG854),$AG$2:$AG$1001,0),MATCH(COLUMNS($AN$1006:BA1006),$AN$1006:$BO$1006,0)), HYPERLINK("#",""), HYPERLINK(CONCATENATE("#Metadata!", ADDRESS(INDEX($AI$2:$AI$1001,MATCH(ROWS($AG$2:AG854),$AG$2:$AG$1001,0),0), INDEX($AN$1004:$BO$1004,1,MATCH(COLUMNS($AN$1006:BA1006),$AN$1006:$BO$1006,0)))),"Fix")))</f>
        <v>0</v>
      </c>
      <c r="P854" s="4">
        <f>IF(OR(INDEX($AH$2:$AH$1001,MATCH(ROWS($AG$2:AG854),$AG$2:$AG$1001,0),1)&gt;=100000,INDEX($AN$1005:$BO$1005,1,MATCH(COLUMNS($AN$1006:BB1006),$AN$1006:$BO$1006,0))&gt;=100000), " ",IF(INDEX($AN$2:$BO$1001,MATCH(ROWS($AG$2:AG854),$AG$2:$AG$1001,0),MATCH(COLUMNS($AN$1006:BB1006),$AN$1006:$BO$1006,0)), HYPERLINK("#",""), HYPERLINK(CONCATENATE("#Metadata!", ADDRESS(INDEX($AI$2:$AI$1001,MATCH(ROWS($AG$2:AG854),$AG$2:$AG$1001,0),0), INDEX($AN$1004:$BO$1004,1,MATCH(COLUMNS($AN$1006:BB1006),$AN$1006:$BO$1006,0)))),"Fix")))</f>
        <v>0</v>
      </c>
      <c r="Q854" s="4">
        <f>IF(OR(INDEX($AH$2:$AH$1001,MATCH(ROWS($AG$2:AG854),$AG$2:$AG$1001,0),1)&gt;=100000,INDEX($AN$1005:$BO$1005,1,MATCH(COLUMNS($AN$1006:BC1006),$AN$1006:$BO$1006,0))&gt;=100000), " ",IF(INDEX($AN$2:$BO$1001,MATCH(ROWS($AG$2:AG854),$AG$2:$AG$1001,0),MATCH(COLUMNS($AN$1006:BC1006),$AN$1006:$BO$1006,0)), HYPERLINK("#",""), HYPERLINK(CONCATENATE("#Metadata!", ADDRESS(INDEX($AI$2:$AI$1001,MATCH(ROWS($AG$2:AG854),$AG$2:$AG$1001,0),0), INDEX($AN$1004:$BO$1004,1,MATCH(COLUMNS($AN$1006:BC1006),$AN$1006:$BO$1006,0)))),"Fix")))</f>
        <v>0</v>
      </c>
      <c r="R854" s="4">
        <f>IF(OR(INDEX($AH$2:$AH$1001,MATCH(ROWS($AG$2:AG854),$AG$2:$AG$1001,0),1)&gt;=100000,INDEX($AN$1005:$BO$1005,1,MATCH(COLUMNS($AN$1006:BD1006),$AN$1006:$BO$1006,0))&gt;=100000), " ",IF(INDEX($AN$2:$BO$1001,MATCH(ROWS($AG$2:AG854),$AG$2:$AG$1001,0),MATCH(COLUMNS($AN$1006:BD1006),$AN$1006:$BO$1006,0)), HYPERLINK("#",""), HYPERLINK(CONCATENATE("#Metadata!", ADDRESS(INDEX($AI$2:$AI$1001,MATCH(ROWS($AG$2:AG854),$AG$2:$AG$1001,0),0), INDEX($AN$1004:$BO$1004,1,MATCH(COLUMNS($AN$1006:BD1006),$AN$1006:$BO$1006,0)))),"Fix")))</f>
        <v>0</v>
      </c>
      <c r="S854" s="4">
        <f>IF(OR(INDEX($AH$2:$AH$1001,MATCH(ROWS($AG$2:AG854),$AG$2:$AG$1001,0),1)&gt;=100000,INDEX($AN$1005:$BO$1005,1,MATCH(COLUMNS($AN$1006:BE1006),$AN$1006:$BO$1006,0))&gt;=100000), " ",IF(INDEX($AN$2:$BO$1001,MATCH(ROWS($AG$2:AG854),$AG$2:$AG$1001,0),MATCH(COLUMNS($AN$1006:BE1006),$AN$1006:$BO$1006,0)), HYPERLINK("#",""), HYPERLINK(CONCATENATE("#Metadata!", ADDRESS(INDEX($AI$2:$AI$1001,MATCH(ROWS($AG$2:AG854),$AG$2:$AG$1001,0),0), INDEX($AN$1004:$BO$1004,1,MATCH(COLUMNS($AN$1006:BE1006),$AN$1006:$BO$1006,0)))),"Fix")))</f>
        <v>0</v>
      </c>
      <c r="T854" s="4">
        <f>IF(OR(INDEX($AH$2:$AH$1001,MATCH(ROWS($AG$2:AG854),$AG$2:$AG$1001,0),1)&gt;=100000,INDEX($AN$1005:$BO$1005,1,MATCH(COLUMNS($AN$1006:BF1006),$AN$1006:$BO$1006,0))&gt;=100000), " ",IF(INDEX($AN$2:$BO$1001,MATCH(ROWS($AG$2:AG854),$AG$2:$AG$1001,0),MATCH(COLUMNS($AN$1006:BF1006),$AN$1006:$BO$1006,0)), HYPERLINK("#",""), HYPERLINK(CONCATENATE("#Metadata!", ADDRESS(INDEX($AI$2:$AI$1001,MATCH(ROWS($AG$2:AG854),$AG$2:$AG$1001,0),0), INDEX($AN$1004:$BO$1004,1,MATCH(COLUMNS($AN$1006:BF1006),$AN$1006:$BO$1006,0)))),"Fix")))</f>
        <v>0</v>
      </c>
      <c r="U854" s="4">
        <f>IF(OR(INDEX($AH$2:$AH$1001,MATCH(ROWS($AG$2:AG854),$AG$2:$AG$1001,0),1)&gt;=100000,INDEX($AN$1005:$BO$1005,1,MATCH(COLUMNS($AN$1006:BG1006),$AN$1006:$BO$1006,0))&gt;=100000), " ",IF(INDEX($AN$2:$BO$1001,MATCH(ROWS($AG$2:AG854),$AG$2:$AG$1001,0),MATCH(COLUMNS($AN$1006:BG1006),$AN$1006:$BO$1006,0)), HYPERLINK("#",""), HYPERLINK(CONCATENATE("#Metadata!", ADDRESS(INDEX($AI$2:$AI$1001,MATCH(ROWS($AG$2:AG854),$AG$2:$AG$1001,0),0), INDEX($AN$1004:$BO$1004,1,MATCH(COLUMNS($AN$1006:BG1006),$AN$1006:$BO$1006,0)))),"Fix")))</f>
        <v>0</v>
      </c>
      <c r="V854" s="4">
        <f>IF(OR(INDEX($AH$2:$AH$1001,MATCH(ROWS($AG$2:AG854),$AG$2:$AG$1001,0),1)&gt;=100000,INDEX($AN$1005:$BO$1005,1,MATCH(COLUMNS($AN$1006:BH1006),$AN$1006:$BO$1006,0))&gt;=100000), " ",IF(INDEX($AN$2:$BO$1001,MATCH(ROWS($AG$2:AG854),$AG$2:$AG$1001,0),MATCH(COLUMNS($AN$1006:BH1006),$AN$1006:$BO$1006,0)), HYPERLINK("#",""), HYPERLINK(CONCATENATE("#Metadata!", ADDRESS(INDEX($AI$2:$AI$1001,MATCH(ROWS($AG$2:AG854),$AG$2:$AG$1001,0),0), INDEX($AN$1004:$BO$1004,1,MATCH(COLUMNS($AN$1006:BH1006),$AN$1006:$BO$1006,0)))),"Fix")))</f>
        <v>0</v>
      </c>
      <c r="W854" s="4">
        <f>IF(OR(INDEX($AH$2:$AH$1001,MATCH(ROWS($AG$2:AG854),$AG$2:$AG$1001,0),1)&gt;=100000,INDEX($AN$1005:$BO$1005,1,MATCH(COLUMNS($AN$1006:BI1006),$AN$1006:$BO$1006,0))&gt;=100000), " ",IF(INDEX($AN$2:$BO$1001,MATCH(ROWS($AG$2:AG854),$AG$2:$AG$1001,0),MATCH(COLUMNS($AN$1006:BI1006),$AN$1006:$BO$1006,0)), HYPERLINK("#",""), HYPERLINK(CONCATENATE("#Metadata!", ADDRESS(INDEX($AI$2:$AI$1001,MATCH(ROWS($AG$2:AG854),$AG$2:$AG$1001,0),0), INDEX($AN$1004:$BO$1004,1,MATCH(COLUMNS($AN$1006:BI1006),$AN$1006:$BO$1006,0)))),"Fix")))</f>
        <v>0</v>
      </c>
      <c r="X854" s="4">
        <f>IF(OR(INDEX($AH$2:$AH$1001,MATCH(ROWS($AG$2:AG854),$AG$2:$AG$1001,0),1)&gt;=100000,INDEX($AN$1005:$BO$1005,1,MATCH(COLUMNS($AN$1006:BJ1006),$AN$1006:$BO$1006,0))&gt;=100000), " ",IF(INDEX($AN$2:$BO$1001,MATCH(ROWS($AG$2:AG854),$AG$2:$AG$1001,0),MATCH(COLUMNS($AN$1006:BJ1006),$AN$1006:$BO$1006,0)), HYPERLINK("#",""), HYPERLINK(CONCATENATE("#Metadata!", ADDRESS(INDEX($AI$2:$AI$1001,MATCH(ROWS($AG$2:AG854),$AG$2:$AG$1001,0),0), INDEX($AN$1004:$BO$1004,1,MATCH(COLUMNS($AN$1006:BJ1006),$AN$1006:$BO$1006,0)))),"Fix")))</f>
        <v>0</v>
      </c>
      <c r="Y854" s="4">
        <f>IF(OR(INDEX($AH$2:$AH$1001,MATCH(ROWS($AG$2:AG854),$AG$2:$AG$1001,0),1)&gt;=100000,INDEX($AN$1005:$BO$1005,1,MATCH(COLUMNS($AN$1006:BK1006),$AN$1006:$BO$1006,0))&gt;=100000), " ",IF(INDEX($AN$2:$BO$1001,MATCH(ROWS($AG$2:AG854),$AG$2:$AG$1001,0),MATCH(COLUMNS($AN$1006:BK1006),$AN$1006:$BO$1006,0)), HYPERLINK("#",""), HYPERLINK(CONCATENATE("#Metadata!", ADDRESS(INDEX($AI$2:$AI$1001,MATCH(ROWS($AG$2:AG854),$AG$2:$AG$1001,0),0), INDEX($AN$1004:$BO$1004,1,MATCH(COLUMNS($AN$1006:BK1006),$AN$1006:$BO$1006,0)))),"Fix")))</f>
        <v>0</v>
      </c>
      <c r="Z854" s="4">
        <f>IF(OR(INDEX($AH$2:$AH$1001,MATCH(ROWS($AG$2:AG854),$AG$2:$AG$1001,0),1)&gt;=100000,INDEX($AN$1005:$BO$1005,1,MATCH(COLUMNS($AN$1006:BL1006),$AN$1006:$BO$1006,0))&gt;=100000), " ",IF(INDEX($AN$2:$BO$1001,MATCH(ROWS($AG$2:AG854),$AG$2:$AG$1001,0),MATCH(COLUMNS($AN$1006:BL1006),$AN$1006:$BO$1006,0)), HYPERLINK("#",""), HYPERLINK(CONCATENATE("#Metadata!", ADDRESS(INDEX($AI$2:$AI$1001,MATCH(ROWS($AG$2:AG854),$AG$2:$AG$1001,0),0), INDEX($AN$1004:$BO$1004,1,MATCH(COLUMNS($AN$1006:BL1006),$AN$1006:$BO$1006,0)))),"Fix")))</f>
        <v>0</v>
      </c>
      <c r="AA854" s="4">
        <f>IF(OR(INDEX($AH$2:$AH$1001,MATCH(ROWS($AG$2:AG854),$AG$2:$AG$1001,0),1)&gt;=100000,INDEX($AN$1005:$BO$1005,1,MATCH(COLUMNS($AN$1006:BM1006),$AN$1006:$BO$1006,0))&gt;=100000), " ",IF(INDEX($AN$2:$BO$1001,MATCH(ROWS($AG$2:AG854),$AG$2:$AG$1001,0),MATCH(COLUMNS($AN$1006:BM1006),$AN$1006:$BO$1006,0)), HYPERLINK("#",""), HYPERLINK(CONCATENATE("#Metadata!", ADDRESS(INDEX($AI$2:$AI$1001,MATCH(ROWS($AG$2:AG854),$AG$2:$AG$1001,0),0), INDEX($AN$1004:$BO$1004,1,MATCH(COLUMNS($AN$1006:BM1006),$AN$1006:$BO$1006,0)))),"Fix")))</f>
        <v>0</v>
      </c>
      <c r="AB854" s="4">
        <f>IF(OR(INDEX($AH$2:$AH$1001,MATCH(ROWS($AG$2:AG854),$AG$2:$AG$1001,0),1)&gt;=100000,INDEX($AN$1005:$BO$1005,1,MATCH(COLUMNS($AN$1006:BN1006),$AN$1006:$BO$1006,0))&gt;=100000), " ",IF(INDEX($AN$2:$BO$1001,MATCH(ROWS($AG$2:AG854),$AG$2:$AG$1001,0),MATCH(COLUMNS($AN$1006:BN1006),$AN$1006:$BO$1006,0)), HYPERLINK("#",""), HYPERLINK(CONCATENATE("#Metadata!", ADDRESS(INDEX($AI$2:$AI$1001,MATCH(ROWS($AG$2:AG854),$AG$2:$AG$1001,0),0), INDEX($AN$1004:$BO$1004,1,MATCH(COLUMNS($AN$1006:BN1006),$AN$1006:$BO$1006,0)))),"Fix")))</f>
        <v>0</v>
      </c>
      <c r="AC854" s="4">
        <f>IF(OR(INDEX($AH$2:$AH$1001,MATCH(ROWS($AG$2:AG854),$AG$2:$AG$1001,0),1)&gt;=100000,INDEX($AN$1005:$BO$1005,1,MATCH(COLUMNS($AN$1006:BO1006),$AN$1006:$BO$1006,0))&gt;=100000), " ",IF(INDEX($AN$2:$BO$1001,MATCH(ROWS($AG$2:AG854),$AG$2:$AG$1001,0),MATCH(COLUMNS($AN$1006:BO1006),$AN$1006:$BO$1006,0)), HYPERLINK("#",""), HYPERLINK(CONCATENATE("#Metadata!", ADDRESS(INDEX($AI$2:$AI$1001,MATCH(ROWS($AG$2:AG854),$AG$2:$AG$1001,0),0), INDEX($AN$1004:$BO$1004,1,MATCH(COLUMNS($AN$1006:BO1006),$AN$1006:$BO$1006,0)))),"Fix")))</f>
        <v>0</v>
      </c>
      <c r="AG854">
        <v>0</v>
      </c>
      <c r="AH854">
        <v>0</v>
      </c>
      <c r="AI854">
        <v>0</v>
      </c>
      <c r="AJ854">
        <f>IF(AK854,TRUE,AND(AN854:BO854))</f>
        <v>0</v>
      </c>
      <c r="AK854">
        <f>COUNTBLANK(Metadata!B854:AC854)=COLUMNS(Metadata!B854:AC854)</f>
        <v>0</v>
      </c>
      <c r="AL854">
        <v>0</v>
      </c>
      <c r="AN854">
        <f>AND(IF(Metadata!B854="",FALSE,TRUE),COUNTIF(Metadata!B:B, Metadata!B854) = 1,NOT(ISERROR(SUMPRODUCT(SEARCH(MID(Metadata!B854,ROW(INDIRECT("1:"&amp;LEN(Metadata!B854))), 1),"0123456789abcdefghijklmnopqrstuvwxyzABCDEFGHIJKLMNOPQRSTUVWXYZ.")))))</f>
        <v>0</v>
      </c>
      <c r="AO854">
        <f>IF(Metadata!C854="",FALSE,TRUE)</f>
        <v>0</v>
      </c>
      <c r="AP854">
        <f>IF(Metadata!D854="",FALSE,TRUE)</f>
        <v>0</v>
      </c>
      <c r="AQ854">
        <f>OR(AND(IF(Metadata!E854="",FALSE,TRUE),OR(exact(Metadata!E854,"not collected"),exact(Metadata!E854,"not provided"),exact(Metadata!E854,"restricted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R854">
        <f>IF(Metadata!F854="",FALSE,TRUE)</f>
        <v>0</v>
      </c>
      <c r="AS854">
        <f>OR(AND(IF(Metadata!G854="",FALSE,TRUE),OR(exact(Metadata!G854,"not collected"),exact(Metadata!G854,"not provided"))),AND(IF(Metadata!G854="",FALSE,TRUE),OR(exact(Metadata!G854,"TRUE"),exact(Metadata!G854,"FALSE"))))</f>
        <v>0</v>
      </c>
      <c r="AT854">
        <f>OR(AND(IF(Metadata!H854="",FALSE,TRUE),OR(exact(Metadata!H854,"not collected"),exact(Metadata!H854,"not provided"),exact(Metadata!H854,"restricted access"))),AND(IF(Metadata!H854="",FALSE,ISNUMBER(VALUE(Metadata!H854))),Metadata!H854&gt;=-413.0))</f>
        <v>0</v>
      </c>
      <c r="AU854">
        <f>AND(IF(Metadata!I854="",FALSE,TRUE),exact(Metadata!I854,"meters"))</f>
        <v>0</v>
      </c>
      <c r="AV854">
        <f>AND(IF(Metadata!J854="",FALSE,TRUE),OR(exact(Metadata!J854,"Host-associated"),exact(Metadata!J854,"Free-living")))</f>
        <v>0</v>
      </c>
      <c r="AW854">
        <f>AND(IF(Metadata!K854="",FALSE,TRUE),OR(exact(Metadata!K854,"Animal"),exact(Metadata!K854,"Fungus"),exact(Metadata!K854,"Plant"),exact(Metadata!K854,"Saline"),exact(Metadata!K854,"Non-saline")))</f>
        <v>0</v>
      </c>
      <c r="AX854">
        <f>AND(IF(Metadata!L854="",FALSE,TRUE),OR(exact(Metadata!L854,"Plant secretion"),exact(Metadata!L854,"Plant rhizosphere"),exact(Metadata!L854,"Plant surface"),exact(Metadata!L854,"Plant corpus"),exact(Metadata!L854,"Fungus surface"),exact(Metadata!L854,"Fungus corpus"),exact(Metadata!L854,"Animal surface"),exact(Metadata!L854,"Animal proximal gut"),exact(Metadata!L854,"Animal corpus"),exact(Metadata!L854,"Animal distal gut"),exact(Metadata!L854,"Animal secretion"),exact(Metadata!L854,"Sub-surface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Y854">
        <f>IF(Metadata!M854="",FALSE,TRUE)</f>
        <v>0</v>
      </c>
      <c r="AZ854">
        <f>IF(Metadata!N854="",FALSE,TRUE)</f>
        <v>0</v>
      </c>
      <c r="BA854">
        <f>IF(Metadata!O854="",FALSE,TRUE)</f>
        <v>0</v>
      </c>
      <c r="BB854">
        <f>OR(AND(IF(Metadata!P854="",FALSE,TRUE),OR(exact(Metadata!P854,"not collected"),exact(Metadata!P854,"not provided"),exact(Metadata!P854,"restricted access"))),AND(IF(Metadata!P854="",FALSE,TRUE),OR(exact(Metadata!P854,"air"),exact(Metadata!P854,"built environment"),exact(Metadata!P854,"host-associated"),exact(Metadata!P854,"human-associated"),exact(Metadata!P854,"human-skin"),exact(Metadata!P854,"human-oral"),exact(Metadata!P854,"human-gut"),exact(Metadata!P854,"human-vaginal"),exact(Metadata!P854,"microbial mat/biofilm"),exact(Metadata!P854,"misc environment"),exact(Metadata!P854,"plant-associated"),exact(Metadata!P854,"sediment"),exact(Metadata!P854,"soil"),exact(Metadata!P854,"wastewater/sludge"),exact(Metadata!P854,"water"))))</f>
        <v>0</v>
      </c>
      <c r="BC854">
        <f>IF(Metadata!Q854="",FALSE,TRUE)</f>
        <v>0</v>
      </c>
      <c r="BD854">
        <f>IF(Metadata!R854="",FALSE,TRUE)</f>
        <v>0</v>
      </c>
      <c r="BE854">
        <f>OR(AND(IF(Metadata!S854="",FALSE,TRUE),OR(exact(Metadata!S854,"not collected"),exact(Metadata!S854,"not provided"),exact(Metadata!S854,"restricted access"))),AND(IF(Metadata!S854="",FALSE,ISNUMBER(VALUE(Metadata!S854))),Metadata!S854&gt;=-90.00,Metadata!S854&lt;=90.00))</f>
        <v>0</v>
      </c>
      <c r="BF854">
        <f>AND(IF(Metadata!T854="",FALSE,TRUE),exact(Metadata!T854,"Decimal degrees"))</f>
        <v>0</v>
      </c>
      <c r="BG854">
        <f>OR(AND(IF(Metadata!U854="",FALSE,TRUE),OR(exact(Metadata!U854,"not collected"),exact(Metadata!U854,"not provided"),exact(Metadata!U854,"restricted access"))),AND(IF(Metadata!U854="",FALSE,ISNUMBER(VALUE(Metadata!U854))),Metadata!U854&gt;=-180.00,Metadata!U854&lt;=180.00))</f>
        <v>0</v>
      </c>
      <c r="BH854">
        <f>AND(IF(Metadata!V854="",FALSE,TRUE),exact(Metadata!V854,"Decimal degrees"))</f>
        <v>0</v>
      </c>
      <c r="BI854">
        <f>IF(Metadata!W854="",FALSE,TRUE)</f>
        <v>0</v>
      </c>
      <c r="BJ854">
        <f>OR(AND(IF(Metadata!X854="",FALSE,TRUE),OR(exact(Metadata!X854,"not collected"),exact(Metadata!X854,"not provided"),exact(Metadata!X854,"restricted access"))),AND(IF(Metadata!X854="",FALSE,TRUE),OR(exact(Metadata!X854,"TRUE"),exact(Metadata!X854,"FALSE"))))</f>
        <v>0</v>
      </c>
      <c r="BK854">
        <f>AND(IF(Metadata!Y854="",FALSE,TRUE),exact(Metadata!Y854,"other"))</f>
        <v>0</v>
      </c>
      <c r="BL854">
        <f>IF(Metadata!Z854="",FALSE,TRUE)</f>
        <v>0</v>
      </c>
      <c r="BM854">
        <f>OR(AND(IF(Metadata!AA854="",FALSE,TRUE),OR(exact(Metadata!AA854,"not collected"),exact(Metadata!AA854,"not provided"))),AND(IF(Metadata!AA854="",FALSE,IF(ISERROR(INT(Metadata!AA854)),FALSE,INT(Metadata!AA854)=Metadata!AA854)),Metadata!AA854&gt;0))</f>
        <v>0</v>
      </c>
      <c r="BN854">
        <f>AND(IF(Metadata!AB854="",FALSE,TRUE),exact(Metadata!AB854,"Not applicable"))</f>
        <v>0</v>
      </c>
      <c r="BO854">
        <f>IF(Metadata!AC854="",FALSE,TRUE)</f>
        <v>0</v>
      </c>
    </row>
    <row r="855" spans="1:67">
      <c r="A855" s="5">
        <f>IF(B855=" "," ",HYPERLINK(CONCATENATE("#metadata!",ADDRESS(INDEX($AI$2:$AI$1001,MATCH(ROWS($AG$2:AG855),$AG$2:$AG$1001,0),0),1)),INDEX($AL$2:$AL$1001,MATCH(ROWS($AG$2:AG855),$AG$2:$AG$1001,0),0)))</f>
        <v>0</v>
      </c>
      <c r="B855" s="4">
        <f>IF(OR(INDEX($AH$2:$AH$1001,MATCH(ROWS($AG$2:AG855),$AG$2:$AG$1001,0),1)&gt;=100000,INDEX($AN$1005:$BO$1005,1,MATCH(COLUMNS($AN$1006:AN1006),$AN$1006:$BO$1006,0))&gt;=100000), " ",IF(INDEX($AN$2:$BO$1001,MATCH(ROWS($AG$2:AG855),$AG$2:$AG$1001,0),MATCH(COLUMNS($AN$1006:AN1006),$AN$1006:$BO$1006,0)), HYPERLINK("#",""), HYPERLINK(CONCATENATE("#Metadata!", ADDRESS(INDEX($AI$2:$AI$1001,MATCH(ROWS($AG$2:AG855),$AG$2:$AG$1001,0),0), INDEX($AN$1004:$BO$1004,1,MATCH(COLUMNS($AN$1006:AN1006),$AN$1006:$BO$1006,0)))),"Fix")))</f>
        <v>0</v>
      </c>
      <c r="C855" s="4">
        <f>IF(OR(INDEX($AH$2:$AH$1001,MATCH(ROWS($AG$2:AG855),$AG$2:$AG$1001,0),1)&gt;=100000,INDEX($AN$1005:$BO$1005,1,MATCH(COLUMNS($AN$1006:AO1006),$AN$1006:$BO$1006,0))&gt;=100000), " ",IF(INDEX($AN$2:$BO$1001,MATCH(ROWS($AG$2:AG855),$AG$2:$AG$1001,0),MATCH(COLUMNS($AN$1006:AO1006),$AN$1006:$BO$1006,0)), HYPERLINK("#",""), HYPERLINK(CONCATENATE("#Metadata!", ADDRESS(INDEX($AI$2:$AI$1001,MATCH(ROWS($AG$2:AG855),$AG$2:$AG$1001,0),0), INDEX($AN$1004:$BO$1004,1,MATCH(COLUMNS($AN$1006:AO1006),$AN$1006:$BO$1006,0)))),"Fix")))</f>
        <v>0</v>
      </c>
      <c r="D855" s="4">
        <f>IF(OR(INDEX($AH$2:$AH$1001,MATCH(ROWS($AG$2:AG855),$AG$2:$AG$1001,0),1)&gt;=100000,INDEX($AN$1005:$BO$1005,1,MATCH(COLUMNS($AN$1006:AP1006),$AN$1006:$BO$1006,0))&gt;=100000), " ",IF(INDEX($AN$2:$BO$1001,MATCH(ROWS($AG$2:AG855),$AG$2:$AG$1001,0),MATCH(COLUMNS($AN$1006:AP1006),$AN$1006:$BO$1006,0)), HYPERLINK("#",""), HYPERLINK(CONCATENATE("#Metadata!", ADDRESS(INDEX($AI$2:$AI$1001,MATCH(ROWS($AG$2:AG855),$AG$2:$AG$1001,0),0), INDEX($AN$1004:$BO$1004,1,MATCH(COLUMNS($AN$1006:AP1006),$AN$1006:$BO$1006,0)))),"Fix")))</f>
        <v>0</v>
      </c>
      <c r="E855" s="4">
        <f>IF(OR(INDEX($AH$2:$AH$1001,MATCH(ROWS($AG$2:AG855),$AG$2:$AG$1001,0),1)&gt;=100000,INDEX($AN$1005:$BO$1005,1,MATCH(COLUMNS($AN$1006:AQ1006),$AN$1006:$BO$1006,0))&gt;=100000), " ",IF(INDEX($AN$2:$BO$1001,MATCH(ROWS($AG$2:AG855),$AG$2:$AG$1001,0),MATCH(COLUMNS($AN$1006:AQ1006),$AN$1006:$BO$1006,0)), HYPERLINK("#",""), HYPERLINK(CONCATENATE("#Metadata!", ADDRESS(INDEX($AI$2:$AI$1001,MATCH(ROWS($AG$2:AG855),$AG$2:$AG$1001,0),0), INDEX($AN$1004:$BO$1004,1,MATCH(COLUMNS($AN$1006:AQ1006),$AN$1006:$BO$1006,0)))),"Fix")))</f>
        <v>0</v>
      </c>
      <c r="F855" s="4">
        <f>IF(OR(INDEX($AH$2:$AH$1001,MATCH(ROWS($AG$2:AG855),$AG$2:$AG$1001,0),1)&gt;=100000,INDEX($AN$1005:$BO$1005,1,MATCH(COLUMNS($AN$1006:AR1006),$AN$1006:$BO$1006,0))&gt;=100000), " ",IF(INDEX($AN$2:$BO$1001,MATCH(ROWS($AG$2:AG855),$AG$2:$AG$1001,0),MATCH(COLUMNS($AN$1006:AR1006),$AN$1006:$BO$1006,0)), HYPERLINK("#",""), HYPERLINK(CONCATENATE("#Metadata!", ADDRESS(INDEX($AI$2:$AI$1001,MATCH(ROWS($AG$2:AG855),$AG$2:$AG$1001,0),0), INDEX($AN$1004:$BO$1004,1,MATCH(COLUMNS($AN$1006:AR1006),$AN$1006:$BO$1006,0)))),"Fix")))</f>
        <v>0</v>
      </c>
      <c r="G855" s="4">
        <f>IF(OR(INDEX($AH$2:$AH$1001,MATCH(ROWS($AG$2:AG855),$AG$2:$AG$1001,0),1)&gt;=100000,INDEX($AN$1005:$BO$1005,1,MATCH(COLUMNS($AN$1006:AS1006),$AN$1006:$BO$1006,0))&gt;=100000), " ",IF(INDEX($AN$2:$BO$1001,MATCH(ROWS($AG$2:AG855),$AG$2:$AG$1001,0),MATCH(COLUMNS($AN$1006:AS1006),$AN$1006:$BO$1006,0)), HYPERLINK("#",""), HYPERLINK(CONCATENATE("#Metadata!", ADDRESS(INDEX($AI$2:$AI$1001,MATCH(ROWS($AG$2:AG855),$AG$2:$AG$1001,0),0), INDEX($AN$1004:$BO$1004,1,MATCH(COLUMNS($AN$1006:AS1006),$AN$1006:$BO$1006,0)))),"Fix")))</f>
        <v>0</v>
      </c>
      <c r="H855" s="4">
        <f>IF(OR(INDEX($AH$2:$AH$1001,MATCH(ROWS($AG$2:AG855),$AG$2:$AG$1001,0),1)&gt;=100000,INDEX($AN$1005:$BO$1005,1,MATCH(COLUMNS($AN$1006:AT1006),$AN$1006:$BO$1006,0))&gt;=100000), " ",IF(INDEX($AN$2:$BO$1001,MATCH(ROWS($AG$2:AG855),$AG$2:$AG$1001,0),MATCH(COLUMNS($AN$1006:AT1006),$AN$1006:$BO$1006,0)), HYPERLINK("#",""), HYPERLINK(CONCATENATE("#Metadata!", ADDRESS(INDEX($AI$2:$AI$1001,MATCH(ROWS($AG$2:AG855),$AG$2:$AG$1001,0),0), INDEX($AN$1004:$BO$1004,1,MATCH(COLUMNS($AN$1006:AT1006),$AN$1006:$BO$1006,0)))),"Fix")))</f>
        <v>0</v>
      </c>
      <c r="I855" s="4">
        <f>IF(OR(INDEX($AH$2:$AH$1001,MATCH(ROWS($AG$2:AG855),$AG$2:$AG$1001,0),1)&gt;=100000,INDEX($AN$1005:$BO$1005,1,MATCH(COLUMNS($AN$1006:AU1006),$AN$1006:$BO$1006,0))&gt;=100000), " ",IF(INDEX($AN$2:$BO$1001,MATCH(ROWS($AG$2:AG855),$AG$2:$AG$1001,0),MATCH(COLUMNS($AN$1006:AU1006),$AN$1006:$BO$1006,0)), HYPERLINK("#",""), HYPERLINK(CONCATENATE("#Metadata!", ADDRESS(INDEX($AI$2:$AI$1001,MATCH(ROWS($AG$2:AG855),$AG$2:$AG$1001,0),0), INDEX($AN$1004:$BO$1004,1,MATCH(COLUMNS($AN$1006:AU1006),$AN$1006:$BO$1006,0)))),"Fix")))</f>
        <v>0</v>
      </c>
      <c r="J855" s="4">
        <f>IF(OR(INDEX($AH$2:$AH$1001,MATCH(ROWS($AG$2:AG855),$AG$2:$AG$1001,0),1)&gt;=100000,INDEX($AN$1005:$BO$1005,1,MATCH(COLUMNS($AN$1006:AV1006),$AN$1006:$BO$1006,0))&gt;=100000), " ",IF(INDEX($AN$2:$BO$1001,MATCH(ROWS($AG$2:AG855),$AG$2:$AG$1001,0),MATCH(COLUMNS($AN$1006:AV1006),$AN$1006:$BO$1006,0)), HYPERLINK("#",""), HYPERLINK(CONCATENATE("#Metadata!", ADDRESS(INDEX($AI$2:$AI$1001,MATCH(ROWS($AG$2:AG855),$AG$2:$AG$1001,0),0), INDEX($AN$1004:$BO$1004,1,MATCH(COLUMNS($AN$1006:AV1006),$AN$1006:$BO$1006,0)))),"Fix")))</f>
        <v>0</v>
      </c>
      <c r="K855" s="4">
        <f>IF(OR(INDEX($AH$2:$AH$1001,MATCH(ROWS($AG$2:AG855),$AG$2:$AG$1001,0),1)&gt;=100000,INDEX($AN$1005:$BO$1005,1,MATCH(COLUMNS($AN$1006:AW1006),$AN$1006:$BO$1006,0))&gt;=100000), " ",IF(INDEX($AN$2:$BO$1001,MATCH(ROWS($AG$2:AG855),$AG$2:$AG$1001,0),MATCH(COLUMNS($AN$1006:AW1006),$AN$1006:$BO$1006,0)), HYPERLINK("#",""), HYPERLINK(CONCATENATE("#Metadata!", ADDRESS(INDEX($AI$2:$AI$1001,MATCH(ROWS($AG$2:AG855),$AG$2:$AG$1001,0),0), INDEX($AN$1004:$BO$1004,1,MATCH(COLUMNS($AN$1006:AW1006),$AN$1006:$BO$1006,0)))),"Fix")))</f>
        <v>0</v>
      </c>
      <c r="L855" s="4">
        <f>IF(OR(INDEX($AH$2:$AH$1001,MATCH(ROWS($AG$2:AG855),$AG$2:$AG$1001,0),1)&gt;=100000,INDEX($AN$1005:$BO$1005,1,MATCH(COLUMNS($AN$1006:AX1006),$AN$1006:$BO$1006,0))&gt;=100000), " ",IF(INDEX($AN$2:$BO$1001,MATCH(ROWS($AG$2:AG855),$AG$2:$AG$1001,0),MATCH(COLUMNS($AN$1006:AX1006),$AN$1006:$BO$1006,0)), HYPERLINK("#",""), HYPERLINK(CONCATENATE("#Metadata!", ADDRESS(INDEX($AI$2:$AI$1001,MATCH(ROWS($AG$2:AG855),$AG$2:$AG$1001,0),0), INDEX($AN$1004:$BO$1004,1,MATCH(COLUMNS($AN$1006:AX1006),$AN$1006:$BO$1006,0)))),"Fix")))</f>
        <v>0</v>
      </c>
      <c r="M855" s="4">
        <f>IF(OR(INDEX($AH$2:$AH$1001,MATCH(ROWS($AG$2:AG855),$AG$2:$AG$1001,0),1)&gt;=100000,INDEX($AN$1005:$BO$1005,1,MATCH(COLUMNS($AN$1006:AY1006),$AN$1006:$BO$1006,0))&gt;=100000), " ",IF(INDEX($AN$2:$BO$1001,MATCH(ROWS($AG$2:AG855),$AG$2:$AG$1001,0),MATCH(COLUMNS($AN$1006:AY1006),$AN$1006:$BO$1006,0)), HYPERLINK("#",""), HYPERLINK(CONCATENATE("#Metadata!", ADDRESS(INDEX($AI$2:$AI$1001,MATCH(ROWS($AG$2:AG855),$AG$2:$AG$1001,0),0), INDEX($AN$1004:$BO$1004,1,MATCH(COLUMNS($AN$1006:AY1006),$AN$1006:$BO$1006,0)))),"Fix")))</f>
        <v>0</v>
      </c>
      <c r="N855" s="4">
        <f>IF(OR(INDEX($AH$2:$AH$1001,MATCH(ROWS($AG$2:AG855),$AG$2:$AG$1001,0),1)&gt;=100000,INDEX($AN$1005:$BO$1005,1,MATCH(COLUMNS($AN$1006:AZ1006),$AN$1006:$BO$1006,0))&gt;=100000), " ",IF(INDEX($AN$2:$BO$1001,MATCH(ROWS($AG$2:AG855),$AG$2:$AG$1001,0),MATCH(COLUMNS($AN$1006:AZ1006),$AN$1006:$BO$1006,0)), HYPERLINK("#",""), HYPERLINK(CONCATENATE("#Metadata!", ADDRESS(INDEX($AI$2:$AI$1001,MATCH(ROWS($AG$2:AG855),$AG$2:$AG$1001,0),0), INDEX($AN$1004:$BO$1004,1,MATCH(COLUMNS($AN$1006:AZ1006),$AN$1006:$BO$1006,0)))),"Fix")))</f>
        <v>0</v>
      </c>
      <c r="O855" s="4">
        <f>IF(OR(INDEX($AH$2:$AH$1001,MATCH(ROWS($AG$2:AG855),$AG$2:$AG$1001,0),1)&gt;=100000,INDEX($AN$1005:$BO$1005,1,MATCH(COLUMNS($AN$1006:BA1006),$AN$1006:$BO$1006,0))&gt;=100000), " ",IF(INDEX($AN$2:$BO$1001,MATCH(ROWS($AG$2:AG855),$AG$2:$AG$1001,0),MATCH(COLUMNS($AN$1006:BA1006),$AN$1006:$BO$1006,0)), HYPERLINK("#",""), HYPERLINK(CONCATENATE("#Metadata!", ADDRESS(INDEX($AI$2:$AI$1001,MATCH(ROWS($AG$2:AG855),$AG$2:$AG$1001,0),0), INDEX($AN$1004:$BO$1004,1,MATCH(COLUMNS($AN$1006:BA1006),$AN$1006:$BO$1006,0)))),"Fix")))</f>
        <v>0</v>
      </c>
      <c r="P855" s="4">
        <f>IF(OR(INDEX($AH$2:$AH$1001,MATCH(ROWS($AG$2:AG855),$AG$2:$AG$1001,0),1)&gt;=100000,INDEX($AN$1005:$BO$1005,1,MATCH(COLUMNS($AN$1006:BB1006),$AN$1006:$BO$1006,0))&gt;=100000), " ",IF(INDEX($AN$2:$BO$1001,MATCH(ROWS($AG$2:AG855),$AG$2:$AG$1001,0),MATCH(COLUMNS($AN$1006:BB1006),$AN$1006:$BO$1006,0)), HYPERLINK("#",""), HYPERLINK(CONCATENATE("#Metadata!", ADDRESS(INDEX($AI$2:$AI$1001,MATCH(ROWS($AG$2:AG855),$AG$2:$AG$1001,0),0), INDEX($AN$1004:$BO$1004,1,MATCH(COLUMNS($AN$1006:BB1006),$AN$1006:$BO$1006,0)))),"Fix")))</f>
        <v>0</v>
      </c>
      <c r="Q855" s="4">
        <f>IF(OR(INDEX($AH$2:$AH$1001,MATCH(ROWS($AG$2:AG855),$AG$2:$AG$1001,0),1)&gt;=100000,INDEX($AN$1005:$BO$1005,1,MATCH(COLUMNS($AN$1006:BC1006),$AN$1006:$BO$1006,0))&gt;=100000), " ",IF(INDEX($AN$2:$BO$1001,MATCH(ROWS($AG$2:AG855),$AG$2:$AG$1001,0),MATCH(COLUMNS($AN$1006:BC1006),$AN$1006:$BO$1006,0)), HYPERLINK("#",""), HYPERLINK(CONCATENATE("#Metadata!", ADDRESS(INDEX($AI$2:$AI$1001,MATCH(ROWS($AG$2:AG855),$AG$2:$AG$1001,0),0), INDEX($AN$1004:$BO$1004,1,MATCH(COLUMNS($AN$1006:BC1006),$AN$1006:$BO$1006,0)))),"Fix")))</f>
        <v>0</v>
      </c>
      <c r="R855" s="4">
        <f>IF(OR(INDEX($AH$2:$AH$1001,MATCH(ROWS($AG$2:AG855),$AG$2:$AG$1001,0),1)&gt;=100000,INDEX($AN$1005:$BO$1005,1,MATCH(COLUMNS($AN$1006:BD1006),$AN$1006:$BO$1006,0))&gt;=100000), " ",IF(INDEX($AN$2:$BO$1001,MATCH(ROWS($AG$2:AG855),$AG$2:$AG$1001,0),MATCH(COLUMNS($AN$1006:BD1006),$AN$1006:$BO$1006,0)), HYPERLINK("#",""), HYPERLINK(CONCATENATE("#Metadata!", ADDRESS(INDEX($AI$2:$AI$1001,MATCH(ROWS($AG$2:AG855),$AG$2:$AG$1001,0),0), INDEX($AN$1004:$BO$1004,1,MATCH(COLUMNS($AN$1006:BD1006),$AN$1006:$BO$1006,0)))),"Fix")))</f>
        <v>0</v>
      </c>
      <c r="S855" s="4">
        <f>IF(OR(INDEX($AH$2:$AH$1001,MATCH(ROWS($AG$2:AG855),$AG$2:$AG$1001,0),1)&gt;=100000,INDEX($AN$1005:$BO$1005,1,MATCH(COLUMNS($AN$1006:BE1006),$AN$1006:$BO$1006,0))&gt;=100000), " ",IF(INDEX($AN$2:$BO$1001,MATCH(ROWS($AG$2:AG855),$AG$2:$AG$1001,0),MATCH(COLUMNS($AN$1006:BE1006),$AN$1006:$BO$1006,0)), HYPERLINK("#",""), HYPERLINK(CONCATENATE("#Metadata!", ADDRESS(INDEX($AI$2:$AI$1001,MATCH(ROWS($AG$2:AG855),$AG$2:$AG$1001,0),0), INDEX($AN$1004:$BO$1004,1,MATCH(COLUMNS($AN$1006:BE1006),$AN$1006:$BO$1006,0)))),"Fix")))</f>
        <v>0</v>
      </c>
      <c r="T855" s="4">
        <f>IF(OR(INDEX($AH$2:$AH$1001,MATCH(ROWS($AG$2:AG855),$AG$2:$AG$1001,0),1)&gt;=100000,INDEX($AN$1005:$BO$1005,1,MATCH(COLUMNS($AN$1006:BF1006),$AN$1006:$BO$1006,0))&gt;=100000), " ",IF(INDEX($AN$2:$BO$1001,MATCH(ROWS($AG$2:AG855),$AG$2:$AG$1001,0),MATCH(COLUMNS($AN$1006:BF1006),$AN$1006:$BO$1006,0)), HYPERLINK("#",""), HYPERLINK(CONCATENATE("#Metadata!", ADDRESS(INDEX($AI$2:$AI$1001,MATCH(ROWS($AG$2:AG855),$AG$2:$AG$1001,0),0), INDEX($AN$1004:$BO$1004,1,MATCH(COLUMNS($AN$1006:BF1006),$AN$1006:$BO$1006,0)))),"Fix")))</f>
        <v>0</v>
      </c>
      <c r="U855" s="4">
        <f>IF(OR(INDEX($AH$2:$AH$1001,MATCH(ROWS($AG$2:AG855),$AG$2:$AG$1001,0),1)&gt;=100000,INDEX($AN$1005:$BO$1005,1,MATCH(COLUMNS($AN$1006:BG1006),$AN$1006:$BO$1006,0))&gt;=100000), " ",IF(INDEX($AN$2:$BO$1001,MATCH(ROWS($AG$2:AG855),$AG$2:$AG$1001,0),MATCH(COLUMNS($AN$1006:BG1006),$AN$1006:$BO$1006,0)), HYPERLINK("#",""), HYPERLINK(CONCATENATE("#Metadata!", ADDRESS(INDEX($AI$2:$AI$1001,MATCH(ROWS($AG$2:AG855),$AG$2:$AG$1001,0),0), INDEX($AN$1004:$BO$1004,1,MATCH(COLUMNS($AN$1006:BG1006),$AN$1006:$BO$1006,0)))),"Fix")))</f>
        <v>0</v>
      </c>
      <c r="V855" s="4">
        <f>IF(OR(INDEX($AH$2:$AH$1001,MATCH(ROWS($AG$2:AG855),$AG$2:$AG$1001,0),1)&gt;=100000,INDEX($AN$1005:$BO$1005,1,MATCH(COLUMNS($AN$1006:BH1006),$AN$1006:$BO$1006,0))&gt;=100000), " ",IF(INDEX($AN$2:$BO$1001,MATCH(ROWS($AG$2:AG855),$AG$2:$AG$1001,0),MATCH(COLUMNS($AN$1006:BH1006),$AN$1006:$BO$1006,0)), HYPERLINK("#",""), HYPERLINK(CONCATENATE("#Metadata!", ADDRESS(INDEX($AI$2:$AI$1001,MATCH(ROWS($AG$2:AG855),$AG$2:$AG$1001,0),0), INDEX($AN$1004:$BO$1004,1,MATCH(COLUMNS($AN$1006:BH1006),$AN$1006:$BO$1006,0)))),"Fix")))</f>
        <v>0</v>
      </c>
      <c r="W855" s="4">
        <f>IF(OR(INDEX($AH$2:$AH$1001,MATCH(ROWS($AG$2:AG855),$AG$2:$AG$1001,0),1)&gt;=100000,INDEX($AN$1005:$BO$1005,1,MATCH(COLUMNS($AN$1006:BI1006),$AN$1006:$BO$1006,0))&gt;=100000), " ",IF(INDEX($AN$2:$BO$1001,MATCH(ROWS($AG$2:AG855),$AG$2:$AG$1001,0),MATCH(COLUMNS($AN$1006:BI1006),$AN$1006:$BO$1006,0)), HYPERLINK("#",""), HYPERLINK(CONCATENATE("#Metadata!", ADDRESS(INDEX($AI$2:$AI$1001,MATCH(ROWS($AG$2:AG855),$AG$2:$AG$1001,0),0), INDEX($AN$1004:$BO$1004,1,MATCH(COLUMNS($AN$1006:BI1006),$AN$1006:$BO$1006,0)))),"Fix")))</f>
        <v>0</v>
      </c>
      <c r="X855" s="4">
        <f>IF(OR(INDEX($AH$2:$AH$1001,MATCH(ROWS($AG$2:AG855),$AG$2:$AG$1001,0),1)&gt;=100000,INDEX($AN$1005:$BO$1005,1,MATCH(COLUMNS($AN$1006:BJ1006),$AN$1006:$BO$1006,0))&gt;=100000), " ",IF(INDEX($AN$2:$BO$1001,MATCH(ROWS($AG$2:AG855),$AG$2:$AG$1001,0),MATCH(COLUMNS($AN$1006:BJ1006),$AN$1006:$BO$1006,0)), HYPERLINK("#",""), HYPERLINK(CONCATENATE("#Metadata!", ADDRESS(INDEX($AI$2:$AI$1001,MATCH(ROWS($AG$2:AG855),$AG$2:$AG$1001,0),0), INDEX($AN$1004:$BO$1004,1,MATCH(COLUMNS($AN$1006:BJ1006),$AN$1006:$BO$1006,0)))),"Fix")))</f>
        <v>0</v>
      </c>
      <c r="Y855" s="4">
        <f>IF(OR(INDEX($AH$2:$AH$1001,MATCH(ROWS($AG$2:AG855),$AG$2:$AG$1001,0),1)&gt;=100000,INDEX($AN$1005:$BO$1005,1,MATCH(COLUMNS($AN$1006:BK1006),$AN$1006:$BO$1006,0))&gt;=100000), " ",IF(INDEX($AN$2:$BO$1001,MATCH(ROWS($AG$2:AG855),$AG$2:$AG$1001,0),MATCH(COLUMNS($AN$1006:BK1006),$AN$1006:$BO$1006,0)), HYPERLINK("#",""), HYPERLINK(CONCATENATE("#Metadata!", ADDRESS(INDEX($AI$2:$AI$1001,MATCH(ROWS($AG$2:AG855),$AG$2:$AG$1001,0),0), INDEX($AN$1004:$BO$1004,1,MATCH(COLUMNS($AN$1006:BK1006),$AN$1006:$BO$1006,0)))),"Fix")))</f>
        <v>0</v>
      </c>
      <c r="Z855" s="4">
        <f>IF(OR(INDEX($AH$2:$AH$1001,MATCH(ROWS($AG$2:AG855),$AG$2:$AG$1001,0),1)&gt;=100000,INDEX($AN$1005:$BO$1005,1,MATCH(COLUMNS($AN$1006:BL1006),$AN$1006:$BO$1006,0))&gt;=100000), " ",IF(INDEX($AN$2:$BO$1001,MATCH(ROWS($AG$2:AG855),$AG$2:$AG$1001,0),MATCH(COLUMNS($AN$1006:BL1006),$AN$1006:$BO$1006,0)), HYPERLINK("#",""), HYPERLINK(CONCATENATE("#Metadata!", ADDRESS(INDEX($AI$2:$AI$1001,MATCH(ROWS($AG$2:AG855),$AG$2:$AG$1001,0),0), INDEX($AN$1004:$BO$1004,1,MATCH(COLUMNS($AN$1006:BL1006),$AN$1006:$BO$1006,0)))),"Fix")))</f>
        <v>0</v>
      </c>
      <c r="AA855" s="4">
        <f>IF(OR(INDEX($AH$2:$AH$1001,MATCH(ROWS($AG$2:AG855),$AG$2:$AG$1001,0),1)&gt;=100000,INDEX($AN$1005:$BO$1005,1,MATCH(COLUMNS($AN$1006:BM1006),$AN$1006:$BO$1006,0))&gt;=100000), " ",IF(INDEX($AN$2:$BO$1001,MATCH(ROWS($AG$2:AG855),$AG$2:$AG$1001,0),MATCH(COLUMNS($AN$1006:BM1006),$AN$1006:$BO$1006,0)), HYPERLINK("#",""), HYPERLINK(CONCATENATE("#Metadata!", ADDRESS(INDEX($AI$2:$AI$1001,MATCH(ROWS($AG$2:AG855),$AG$2:$AG$1001,0),0), INDEX($AN$1004:$BO$1004,1,MATCH(COLUMNS($AN$1006:BM1006),$AN$1006:$BO$1006,0)))),"Fix")))</f>
        <v>0</v>
      </c>
      <c r="AB855" s="4">
        <f>IF(OR(INDEX($AH$2:$AH$1001,MATCH(ROWS($AG$2:AG855),$AG$2:$AG$1001,0),1)&gt;=100000,INDEX($AN$1005:$BO$1005,1,MATCH(COLUMNS($AN$1006:BN1006),$AN$1006:$BO$1006,0))&gt;=100000), " ",IF(INDEX($AN$2:$BO$1001,MATCH(ROWS($AG$2:AG855),$AG$2:$AG$1001,0),MATCH(COLUMNS($AN$1006:BN1006),$AN$1006:$BO$1006,0)), HYPERLINK("#",""), HYPERLINK(CONCATENATE("#Metadata!", ADDRESS(INDEX($AI$2:$AI$1001,MATCH(ROWS($AG$2:AG855),$AG$2:$AG$1001,0),0), INDEX($AN$1004:$BO$1004,1,MATCH(COLUMNS($AN$1006:BN1006),$AN$1006:$BO$1006,0)))),"Fix")))</f>
        <v>0</v>
      </c>
      <c r="AC855" s="4">
        <f>IF(OR(INDEX($AH$2:$AH$1001,MATCH(ROWS($AG$2:AG855),$AG$2:$AG$1001,0),1)&gt;=100000,INDEX($AN$1005:$BO$1005,1,MATCH(COLUMNS($AN$1006:BO1006),$AN$1006:$BO$1006,0))&gt;=100000), " ",IF(INDEX($AN$2:$BO$1001,MATCH(ROWS($AG$2:AG855),$AG$2:$AG$1001,0),MATCH(COLUMNS($AN$1006:BO1006),$AN$1006:$BO$1006,0)), HYPERLINK("#",""), HYPERLINK(CONCATENATE("#Metadata!", ADDRESS(INDEX($AI$2:$AI$1001,MATCH(ROWS($AG$2:AG855),$AG$2:$AG$1001,0),0), INDEX($AN$1004:$BO$1004,1,MATCH(COLUMNS($AN$1006:BO1006),$AN$1006:$BO$1006,0)))),"Fix")))</f>
        <v>0</v>
      </c>
      <c r="AG855">
        <v>0</v>
      </c>
      <c r="AH855">
        <v>0</v>
      </c>
      <c r="AI855">
        <v>0</v>
      </c>
      <c r="AJ855">
        <f>IF(AK855,TRUE,AND(AN855:BO855))</f>
        <v>0</v>
      </c>
      <c r="AK855">
        <f>COUNTBLANK(Metadata!B855:AC855)=COLUMNS(Metadata!B855:AC855)</f>
        <v>0</v>
      </c>
      <c r="AL855">
        <v>0</v>
      </c>
      <c r="AN855">
        <f>AND(IF(Metadata!B855="",FALSE,TRUE),COUNTIF(Metadata!B:B, Metadata!B855) = 1,NOT(ISERROR(SUMPRODUCT(SEARCH(MID(Metadata!B855,ROW(INDIRECT("1:"&amp;LEN(Metadata!B855))), 1),"0123456789abcdefghijklmnopqrstuvwxyzABCDEFGHIJKLMNOPQRSTUVWXYZ.")))))</f>
        <v>0</v>
      </c>
      <c r="AO855">
        <f>IF(Metadata!C855="",FALSE,TRUE)</f>
        <v>0</v>
      </c>
      <c r="AP855">
        <f>IF(Metadata!D855="",FALSE,TRUE)</f>
        <v>0</v>
      </c>
      <c r="AQ855">
        <f>OR(AND(IF(Metadata!E855="",FALSE,TRUE),OR(exact(Metadata!E855,"not collected"),exact(Metadata!E855,"not provided"),exact(Metadata!E855,"restricted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R855">
        <f>IF(Metadata!F855="",FALSE,TRUE)</f>
        <v>0</v>
      </c>
      <c r="AS855">
        <f>OR(AND(IF(Metadata!G855="",FALSE,TRUE),OR(exact(Metadata!G855,"not collected"),exact(Metadata!G855,"not provided"))),AND(IF(Metadata!G855="",FALSE,TRUE),OR(exact(Metadata!G855,"TRUE"),exact(Metadata!G855,"FALSE"))))</f>
        <v>0</v>
      </c>
      <c r="AT855">
        <f>OR(AND(IF(Metadata!H855="",FALSE,TRUE),OR(exact(Metadata!H855,"not collected"),exact(Metadata!H855,"not provided"),exact(Metadata!H855,"restricted access"))),AND(IF(Metadata!H855="",FALSE,ISNUMBER(VALUE(Metadata!H855))),Metadata!H855&gt;=-413.0))</f>
        <v>0</v>
      </c>
      <c r="AU855">
        <f>AND(IF(Metadata!I855="",FALSE,TRUE),exact(Metadata!I855,"meters"))</f>
        <v>0</v>
      </c>
      <c r="AV855">
        <f>AND(IF(Metadata!J855="",FALSE,TRUE),OR(exact(Metadata!J855,"Host-associated"),exact(Metadata!J855,"Free-living")))</f>
        <v>0</v>
      </c>
      <c r="AW855">
        <f>AND(IF(Metadata!K855="",FALSE,TRUE),OR(exact(Metadata!K855,"Animal"),exact(Metadata!K855,"Fungus"),exact(Metadata!K855,"Plant"),exact(Metadata!K855,"Saline"),exact(Metadata!K855,"Non-saline")))</f>
        <v>0</v>
      </c>
      <c r="AX855">
        <f>AND(IF(Metadata!L855="",FALSE,TRUE),OR(exact(Metadata!L855,"Plant secretion"),exact(Metadata!L855,"Plant rhizosphere"),exact(Metadata!L855,"Plant surface"),exact(Metadata!L855,"Plant corpus"),exact(Metadata!L855,"Fungus surface"),exact(Metadata!L855,"Fungus corpus"),exact(Metadata!L855,"Animal surface"),exact(Metadata!L855,"Animal proximal gut"),exact(Metadata!L855,"Animal corpus"),exact(Metadata!L855,"Animal distal gut"),exact(Metadata!L855,"Animal secretion"),exact(Metadata!L855,"Sub-surface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Y855">
        <f>IF(Metadata!M855="",FALSE,TRUE)</f>
        <v>0</v>
      </c>
      <c r="AZ855">
        <f>IF(Metadata!N855="",FALSE,TRUE)</f>
        <v>0</v>
      </c>
      <c r="BA855">
        <f>IF(Metadata!O855="",FALSE,TRUE)</f>
        <v>0</v>
      </c>
      <c r="BB855">
        <f>OR(AND(IF(Metadata!P855="",FALSE,TRUE),OR(exact(Metadata!P855,"not collected"),exact(Metadata!P855,"not provided"),exact(Metadata!P855,"restricted access"))),AND(IF(Metadata!P855="",FALSE,TRUE),OR(exact(Metadata!P855,"air"),exact(Metadata!P855,"built environment"),exact(Metadata!P855,"host-associated"),exact(Metadata!P855,"human-associated"),exact(Metadata!P855,"human-skin"),exact(Metadata!P855,"human-oral"),exact(Metadata!P855,"human-gut"),exact(Metadata!P855,"human-vaginal"),exact(Metadata!P855,"microbial mat/biofilm"),exact(Metadata!P855,"misc environment"),exact(Metadata!P855,"plant-associated"),exact(Metadata!P855,"sediment"),exact(Metadata!P855,"soil"),exact(Metadata!P855,"wastewater/sludge"),exact(Metadata!P855,"water"))))</f>
        <v>0</v>
      </c>
      <c r="BC855">
        <f>IF(Metadata!Q855="",FALSE,TRUE)</f>
        <v>0</v>
      </c>
      <c r="BD855">
        <f>IF(Metadata!R855="",FALSE,TRUE)</f>
        <v>0</v>
      </c>
      <c r="BE855">
        <f>OR(AND(IF(Metadata!S855="",FALSE,TRUE),OR(exact(Metadata!S855,"not collected"),exact(Metadata!S855,"not provided"),exact(Metadata!S855,"restricted access"))),AND(IF(Metadata!S855="",FALSE,ISNUMBER(VALUE(Metadata!S855))),Metadata!S855&gt;=-90.00,Metadata!S855&lt;=90.00))</f>
        <v>0</v>
      </c>
      <c r="BF855">
        <f>AND(IF(Metadata!T855="",FALSE,TRUE),exact(Metadata!T855,"Decimal degrees"))</f>
        <v>0</v>
      </c>
      <c r="BG855">
        <f>OR(AND(IF(Metadata!U855="",FALSE,TRUE),OR(exact(Metadata!U855,"not collected"),exact(Metadata!U855,"not provided"),exact(Metadata!U855,"restricted access"))),AND(IF(Metadata!U855="",FALSE,ISNUMBER(VALUE(Metadata!U855))),Metadata!U855&gt;=-180.00,Metadata!U855&lt;=180.00))</f>
        <v>0</v>
      </c>
      <c r="BH855">
        <f>AND(IF(Metadata!V855="",FALSE,TRUE),exact(Metadata!V855,"Decimal degrees"))</f>
        <v>0</v>
      </c>
      <c r="BI855">
        <f>IF(Metadata!W855="",FALSE,TRUE)</f>
        <v>0</v>
      </c>
      <c r="BJ855">
        <f>OR(AND(IF(Metadata!X855="",FALSE,TRUE),OR(exact(Metadata!X855,"not collected"),exact(Metadata!X855,"not provided"),exact(Metadata!X855,"restricted access"))),AND(IF(Metadata!X855="",FALSE,TRUE),OR(exact(Metadata!X855,"TRUE"),exact(Metadata!X855,"FALSE"))))</f>
        <v>0</v>
      </c>
      <c r="BK855">
        <f>AND(IF(Metadata!Y855="",FALSE,TRUE),exact(Metadata!Y855,"other"))</f>
        <v>0</v>
      </c>
      <c r="BL855">
        <f>IF(Metadata!Z855="",FALSE,TRUE)</f>
        <v>0</v>
      </c>
      <c r="BM855">
        <f>OR(AND(IF(Metadata!AA855="",FALSE,TRUE),OR(exact(Metadata!AA855,"not collected"),exact(Metadata!AA855,"not provided"))),AND(IF(Metadata!AA855="",FALSE,IF(ISERROR(INT(Metadata!AA855)),FALSE,INT(Metadata!AA855)=Metadata!AA855)),Metadata!AA855&gt;0))</f>
        <v>0</v>
      </c>
      <c r="BN855">
        <f>AND(IF(Metadata!AB855="",FALSE,TRUE),exact(Metadata!AB855,"Not applicable"))</f>
        <v>0</v>
      </c>
      <c r="BO855">
        <f>IF(Metadata!AC855="",FALSE,TRUE)</f>
        <v>0</v>
      </c>
    </row>
    <row r="856" spans="1:67">
      <c r="A856" s="5">
        <f>IF(B856=" "," ",HYPERLINK(CONCATENATE("#metadata!",ADDRESS(INDEX($AI$2:$AI$1001,MATCH(ROWS($AG$2:AG856),$AG$2:$AG$1001,0),0),1)),INDEX($AL$2:$AL$1001,MATCH(ROWS($AG$2:AG856),$AG$2:$AG$1001,0),0)))</f>
        <v>0</v>
      </c>
      <c r="B856" s="4">
        <f>IF(OR(INDEX($AH$2:$AH$1001,MATCH(ROWS($AG$2:AG856),$AG$2:$AG$1001,0),1)&gt;=100000,INDEX($AN$1005:$BO$1005,1,MATCH(COLUMNS($AN$1006:AN1006),$AN$1006:$BO$1006,0))&gt;=100000), " ",IF(INDEX($AN$2:$BO$1001,MATCH(ROWS($AG$2:AG856),$AG$2:$AG$1001,0),MATCH(COLUMNS($AN$1006:AN1006),$AN$1006:$BO$1006,0)), HYPERLINK("#",""), HYPERLINK(CONCATENATE("#Metadata!", ADDRESS(INDEX($AI$2:$AI$1001,MATCH(ROWS($AG$2:AG856),$AG$2:$AG$1001,0),0), INDEX($AN$1004:$BO$1004,1,MATCH(COLUMNS($AN$1006:AN1006),$AN$1006:$BO$1006,0)))),"Fix")))</f>
        <v>0</v>
      </c>
      <c r="C856" s="4">
        <f>IF(OR(INDEX($AH$2:$AH$1001,MATCH(ROWS($AG$2:AG856),$AG$2:$AG$1001,0),1)&gt;=100000,INDEX($AN$1005:$BO$1005,1,MATCH(COLUMNS($AN$1006:AO1006),$AN$1006:$BO$1006,0))&gt;=100000), " ",IF(INDEX($AN$2:$BO$1001,MATCH(ROWS($AG$2:AG856),$AG$2:$AG$1001,0),MATCH(COLUMNS($AN$1006:AO1006),$AN$1006:$BO$1006,0)), HYPERLINK("#",""), HYPERLINK(CONCATENATE("#Metadata!", ADDRESS(INDEX($AI$2:$AI$1001,MATCH(ROWS($AG$2:AG856),$AG$2:$AG$1001,0),0), INDEX($AN$1004:$BO$1004,1,MATCH(COLUMNS($AN$1006:AO1006),$AN$1006:$BO$1006,0)))),"Fix")))</f>
        <v>0</v>
      </c>
      <c r="D856" s="4">
        <f>IF(OR(INDEX($AH$2:$AH$1001,MATCH(ROWS($AG$2:AG856),$AG$2:$AG$1001,0),1)&gt;=100000,INDEX($AN$1005:$BO$1005,1,MATCH(COLUMNS($AN$1006:AP1006),$AN$1006:$BO$1006,0))&gt;=100000), " ",IF(INDEX($AN$2:$BO$1001,MATCH(ROWS($AG$2:AG856),$AG$2:$AG$1001,0),MATCH(COLUMNS($AN$1006:AP1006),$AN$1006:$BO$1006,0)), HYPERLINK("#",""), HYPERLINK(CONCATENATE("#Metadata!", ADDRESS(INDEX($AI$2:$AI$1001,MATCH(ROWS($AG$2:AG856),$AG$2:$AG$1001,0),0), INDEX($AN$1004:$BO$1004,1,MATCH(COLUMNS($AN$1006:AP1006),$AN$1006:$BO$1006,0)))),"Fix")))</f>
        <v>0</v>
      </c>
      <c r="E856" s="4">
        <f>IF(OR(INDEX($AH$2:$AH$1001,MATCH(ROWS($AG$2:AG856),$AG$2:$AG$1001,0),1)&gt;=100000,INDEX($AN$1005:$BO$1005,1,MATCH(COLUMNS($AN$1006:AQ1006),$AN$1006:$BO$1006,0))&gt;=100000), " ",IF(INDEX($AN$2:$BO$1001,MATCH(ROWS($AG$2:AG856),$AG$2:$AG$1001,0),MATCH(COLUMNS($AN$1006:AQ1006),$AN$1006:$BO$1006,0)), HYPERLINK("#",""), HYPERLINK(CONCATENATE("#Metadata!", ADDRESS(INDEX($AI$2:$AI$1001,MATCH(ROWS($AG$2:AG856),$AG$2:$AG$1001,0),0), INDEX($AN$1004:$BO$1004,1,MATCH(COLUMNS($AN$1006:AQ1006),$AN$1006:$BO$1006,0)))),"Fix")))</f>
        <v>0</v>
      </c>
      <c r="F856" s="4">
        <f>IF(OR(INDEX($AH$2:$AH$1001,MATCH(ROWS($AG$2:AG856),$AG$2:$AG$1001,0),1)&gt;=100000,INDEX($AN$1005:$BO$1005,1,MATCH(COLUMNS($AN$1006:AR1006),$AN$1006:$BO$1006,0))&gt;=100000), " ",IF(INDEX($AN$2:$BO$1001,MATCH(ROWS($AG$2:AG856),$AG$2:$AG$1001,0),MATCH(COLUMNS($AN$1006:AR1006),$AN$1006:$BO$1006,0)), HYPERLINK("#",""), HYPERLINK(CONCATENATE("#Metadata!", ADDRESS(INDEX($AI$2:$AI$1001,MATCH(ROWS($AG$2:AG856),$AG$2:$AG$1001,0),0), INDEX($AN$1004:$BO$1004,1,MATCH(COLUMNS($AN$1006:AR1006),$AN$1006:$BO$1006,0)))),"Fix")))</f>
        <v>0</v>
      </c>
      <c r="G856" s="4">
        <f>IF(OR(INDEX($AH$2:$AH$1001,MATCH(ROWS($AG$2:AG856),$AG$2:$AG$1001,0),1)&gt;=100000,INDEX($AN$1005:$BO$1005,1,MATCH(COLUMNS($AN$1006:AS1006),$AN$1006:$BO$1006,0))&gt;=100000), " ",IF(INDEX($AN$2:$BO$1001,MATCH(ROWS($AG$2:AG856),$AG$2:$AG$1001,0),MATCH(COLUMNS($AN$1006:AS1006),$AN$1006:$BO$1006,0)), HYPERLINK("#",""), HYPERLINK(CONCATENATE("#Metadata!", ADDRESS(INDEX($AI$2:$AI$1001,MATCH(ROWS($AG$2:AG856),$AG$2:$AG$1001,0),0), INDEX($AN$1004:$BO$1004,1,MATCH(COLUMNS($AN$1006:AS1006),$AN$1006:$BO$1006,0)))),"Fix")))</f>
        <v>0</v>
      </c>
      <c r="H856" s="4">
        <f>IF(OR(INDEX($AH$2:$AH$1001,MATCH(ROWS($AG$2:AG856),$AG$2:$AG$1001,0),1)&gt;=100000,INDEX($AN$1005:$BO$1005,1,MATCH(COLUMNS($AN$1006:AT1006),$AN$1006:$BO$1006,0))&gt;=100000), " ",IF(INDEX($AN$2:$BO$1001,MATCH(ROWS($AG$2:AG856),$AG$2:$AG$1001,0),MATCH(COLUMNS($AN$1006:AT1006),$AN$1006:$BO$1006,0)), HYPERLINK("#",""), HYPERLINK(CONCATENATE("#Metadata!", ADDRESS(INDEX($AI$2:$AI$1001,MATCH(ROWS($AG$2:AG856),$AG$2:$AG$1001,0),0), INDEX($AN$1004:$BO$1004,1,MATCH(COLUMNS($AN$1006:AT1006),$AN$1006:$BO$1006,0)))),"Fix")))</f>
        <v>0</v>
      </c>
      <c r="I856" s="4">
        <f>IF(OR(INDEX($AH$2:$AH$1001,MATCH(ROWS($AG$2:AG856),$AG$2:$AG$1001,0),1)&gt;=100000,INDEX($AN$1005:$BO$1005,1,MATCH(COLUMNS($AN$1006:AU1006),$AN$1006:$BO$1006,0))&gt;=100000), " ",IF(INDEX($AN$2:$BO$1001,MATCH(ROWS($AG$2:AG856),$AG$2:$AG$1001,0),MATCH(COLUMNS($AN$1006:AU1006),$AN$1006:$BO$1006,0)), HYPERLINK("#",""), HYPERLINK(CONCATENATE("#Metadata!", ADDRESS(INDEX($AI$2:$AI$1001,MATCH(ROWS($AG$2:AG856),$AG$2:$AG$1001,0),0), INDEX($AN$1004:$BO$1004,1,MATCH(COLUMNS($AN$1006:AU1006),$AN$1006:$BO$1006,0)))),"Fix")))</f>
        <v>0</v>
      </c>
      <c r="J856" s="4">
        <f>IF(OR(INDEX($AH$2:$AH$1001,MATCH(ROWS($AG$2:AG856),$AG$2:$AG$1001,0),1)&gt;=100000,INDEX($AN$1005:$BO$1005,1,MATCH(COLUMNS($AN$1006:AV1006),$AN$1006:$BO$1006,0))&gt;=100000), " ",IF(INDEX($AN$2:$BO$1001,MATCH(ROWS($AG$2:AG856),$AG$2:$AG$1001,0),MATCH(COLUMNS($AN$1006:AV1006),$AN$1006:$BO$1006,0)), HYPERLINK("#",""), HYPERLINK(CONCATENATE("#Metadata!", ADDRESS(INDEX($AI$2:$AI$1001,MATCH(ROWS($AG$2:AG856),$AG$2:$AG$1001,0),0), INDEX($AN$1004:$BO$1004,1,MATCH(COLUMNS($AN$1006:AV1006),$AN$1006:$BO$1006,0)))),"Fix")))</f>
        <v>0</v>
      </c>
      <c r="K856" s="4">
        <f>IF(OR(INDEX($AH$2:$AH$1001,MATCH(ROWS($AG$2:AG856),$AG$2:$AG$1001,0),1)&gt;=100000,INDEX($AN$1005:$BO$1005,1,MATCH(COLUMNS($AN$1006:AW1006),$AN$1006:$BO$1006,0))&gt;=100000), " ",IF(INDEX($AN$2:$BO$1001,MATCH(ROWS($AG$2:AG856),$AG$2:$AG$1001,0),MATCH(COLUMNS($AN$1006:AW1006),$AN$1006:$BO$1006,0)), HYPERLINK("#",""), HYPERLINK(CONCATENATE("#Metadata!", ADDRESS(INDEX($AI$2:$AI$1001,MATCH(ROWS($AG$2:AG856),$AG$2:$AG$1001,0),0), INDEX($AN$1004:$BO$1004,1,MATCH(COLUMNS($AN$1006:AW1006),$AN$1006:$BO$1006,0)))),"Fix")))</f>
        <v>0</v>
      </c>
      <c r="L856" s="4">
        <f>IF(OR(INDEX($AH$2:$AH$1001,MATCH(ROWS($AG$2:AG856),$AG$2:$AG$1001,0),1)&gt;=100000,INDEX($AN$1005:$BO$1005,1,MATCH(COLUMNS($AN$1006:AX1006),$AN$1006:$BO$1006,0))&gt;=100000), " ",IF(INDEX($AN$2:$BO$1001,MATCH(ROWS($AG$2:AG856),$AG$2:$AG$1001,0),MATCH(COLUMNS($AN$1006:AX1006),$AN$1006:$BO$1006,0)), HYPERLINK("#",""), HYPERLINK(CONCATENATE("#Metadata!", ADDRESS(INDEX($AI$2:$AI$1001,MATCH(ROWS($AG$2:AG856),$AG$2:$AG$1001,0),0), INDEX($AN$1004:$BO$1004,1,MATCH(COLUMNS($AN$1006:AX1006),$AN$1006:$BO$1006,0)))),"Fix")))</f>
        <v>0</v>
      </c>
      <c r="M856" s="4">
        <f>IF(OR(INDEX($AH$2:$AH$1001,MATCH(ROWS($AG$2:AG856),$AG$2:$AG$1001,0),1)&gt;=100000,INDEX($AN$1005:$BO$1005,1,MATCH(COLUMNS($AN$1006:AY1006),$AN$1006:$BO$1006,0))&gt;=100000), " ",IF(INDEX($AN$2:$BO$1001,MATCH(ROWS($AG$2:AG856),$AG$2:$AG$1001,0),MATCH(COLUMNS($AN$1006:AY1006),$AN$1006:$BO$1006,0)), HYPERLINK("#",""), HYPERLINK(CONCATENATE("#Metadata!", ADDRESS(INDEX($AI$2:$AI$1001,MATCH(ROWS($AG$2:AG856),$AG$2:$AG$1001,0),0), INDEX($AN$1004:$BO$1004,1,MATCH(COLUMNS($AN$1006:AY1006),$AN$1006:$BO$1006,0)))),"Fix")))</f>
        <v>0</v>
      </c>
      <c r="N856" s="4">
        <f>IF(OR(INDEX($AH$2:$AH$1001,MATCH(ROWS($AG$2:AG856),$AG$2:$AG$1001,0),1)&gt;=100000,INDEX($AN$1005:$BO$1005,1,MATCH(COLUMNS($AN$1006:AZ1006),$AN$1006:$BO$1006,0))&gt;=100000), " ",IF(INDEX($AN$2:$BO$1001,MATCH(ROWS($AG$2:AG856),$AG$2:$AG$1001,0),MATCH(COLUMNS($AN$1006:AZ1006),$AN$1006:$BO$1006,0)), HYPERLINK("#",""), HYPERLINK(CONCATENATE("#Metadata!", ADDRESS(INDEX($AI$2:$AI$1001,MATCH(ROWS($AG$2:AG856),$AG$2:$AG$1001,0),0), INDEX($AN$1004:$BO$1004,1,MATCH(COLUMNS($AN$1006:AZ1006),$AN$1006:$BO$1006,0)))),"Fix")))</f>
        <v>0</v>
      </c>
      <c r="O856" s="4">
        <f>IF(OR(INDEX($AH$2:$AH$1001,MATCH(ROWS($AG$2:AG856),$AG$2:$AG$1001,0),1)&gt;=100000,INDEX($AN$1005:$BO$1005,1,MATCH(COLUMNS($AN$1006:BA1006),$AN$1006:$BO$1006,0))&gt;=100000), " ",IF(INDEX($AN$2:$BO$1001,MATCH(ROWS($AG$2:AG856),$AG$2:$AG$1001,0),MATCH(COLUMNS($AN$1006:BA1006),$AN$1006:$BO$1006,0)), HYPERLINK("#",""), HYPERLINK(CONCATENATE("#Metadata!", ADDRESS(INDEX($AI$2:$AI$1001,MATCH(ROWS($AG$2:AG856),$AG$2:$AG$1001,0),0), INDEX($AN$1004:$BO$1004,1,MATCH(COLUMNS($AN$1006:BA1006),$AN$1006:$BO$1006,0)))),"Fix")))</f>
        <v>0</v>
      </c>
      <c r="P856" s="4">
        <f>IF(OR(INDEX($AH$2:$AH$1001,MATCH(ROWS($AG$2:AG856),$AG$2:$AG$1001,0),1)&gt;=100000,INDEX($AN$1005:$BO$1005,1,MATCH(COLUMNS($AN$1006:BB1006),$AN$1006:$BO$1006,0))&gt;=100000), " ",IF(INDEX($AN$2:$BO$1001,MATCH(ROWS($AG$2:AG856),$AG$2:$AG$1001,0),MATCH(COLUMNS($AN$1006:BB1006),$AN$1006:$BO$1006,0)), HYPERLINK("#",""), HYPERLINK(CONCATENATE("#Metadata!", ADDRESS(INDEX($AI$2:$AI$1001,MATCH(ROWS($AG$2:AG856),$AG$2:$AG$1001,0),0), INDEX($AN$1004:$BO$1004,1,MATCH(COLUMNS($AN$1006:BB1006),$AN$1006:$BO$1006,0)))),"Fix")))</f>
        <v>0</v>
      </c>
      <c r="Q856" s="4">
        <f>IF(OR(INDEX($AH$2:$AH$1001,MATCH(ROWS($AG$2:AG856),$AG$2:$AG$1001,0),1)&gt;=100000,INDEX($AN$1005:$BO$1005,1,MATCH(COLUMNS($AN$1006:BC1006),$AN$1006:$BO$1006,0))&gt;=100000), " ",IF(INDEX($AN$2:$BO$1001,MATCH(ROWS($AG$2:AG856),$AG$2:$AG$1001,0),MATCH(COLUMNS($AN$1006:BC1006),$AN$1006:$BO$1006,0)), HYPERLINK("#",""), HYPERLINK(CONCATENATE("#Metadata!", ADDRESS(INDEX($AI$2:$AI$1001,MATCH(ROWS($AG$2:AG856),$AG$2:$AG$1001,0),0), INDEX($AN$1004:$BO$1004,1,MATCH(COLUMNS($AN$1006:BC1006),$AN$1006:$BO$1006,0)))),"Fix")))</f>
        <v>0</v>
      </c>
      <c r="R856" s="4">
        <f>IF(OR(INDEX($AH$2:$AH$1001,MATCH(ROWS($AG$2:AG856),$AG$2:$AG$1001,0),1)&gt;=100000,INDEX($AN$1005:$BO$1005,1,MATCH(COLUMNS($AN$1006:BD1006),$AN$1006:$BO$1006,0))&gt;=100000), " ",IF(INDEX($AN$2:$BO$1001,MATCH(ROWS($AG$2:AG856),$AG$2:$AG$1001,0),MATCH(COLUMNS($AN$1006:BD1006),$AN$1006:$BO$1006,0)), HYPERLINK("#",""), HYPERLINK(CONCATENATE("#Metadata!", ADDRESS(INDEX($AI$2:$AI$1001,MATCH(ROWS($AG$2:AG856),$AG$2:$AG$1001,0),0), INDEX($AN$1004:$BO$1004,1,MATCH(COLUMNS($AN$1006:BD1006),$AN$1006:$BO$1006,0)))),"Fix")))</f>
        <v>0</v>
      </c>
      <c r="S856" s="4">
        <f>IF(OR(INDEX($AH$2:$AH$1001,MATCH(ROWS($AG$2:AG856),$AG$2:$AG$1001,0),1)&gt;=100000,INDEX($AN$1005:$BO$1005,1,MATCH(COLUMNS($AN$1006:BE1006),$AN$1006:$BO$1006,0))&gt;=100000), " ",IF(INDEX($AN$2:$BO$1001,MATCH(ROWS($AG$2:AG856),$AG$2:$AG$1001,0),MATCH(COLUMNS($AN$1006:BE1006),$AN$1006:$BO$1006,0)), HYPERLINK("#",""), HYPERLINK(CONCATENATE("#Metadata!", ADDRESS(INDEX($AI$2:$AI$1001,MATCH(ROWS($AG$2:AG856),$AG$2:$AG$1001,0),0), INDEX($AN$1004:$BO$1004,1,MATCH(COLUMNS($AN$1006:BE1006),$AN$1006:$BO$1006,0)))),"Fix")))</f>
        <v>0</v>
      </c>
      <c r="T856" s="4">
        <f>IF(OR(INDEX($AH$2:$AH$1001,MATCH(ROWS($AG$2:AG856),$AG$2:$AG$1001,0),1)&gt;=100000,INDEX($AN$1005:$BO$1005,1,MATCH(COLUMNS($AN$1006:BF1006),$AN$1006:$BO$1006,0))&gt;=100000), " ",IF(INDEX($AN$2:$BO$1001,MATCH(ROWS($AG$2:AG856),$AG$2:$AG$1001,0),MATCH(COLUMNS($AN$1006:BF1006),$AN$1006:$BO$1006,0)), HYPERLINK("#",""), HYPERLINK(CONCATENATE("#Metadata!", ADDRESS(INDEX($AI$2:$AI$1001,MATCH(ROWS($AG$2:AG856),$AG$2:$AG$1001,0),0), INDEX($AN$1004:$BO$1004,1,MATCH(COLUMNS($AN$1006:BF1006),$AN$1006:$BO$1006,0)))),"Fix")))</f>
        <v>0</v>
      </c>
      <c r="U856" s="4">
        <f>IF(OR(INDEX($AH$2:$AH$1001,MATCH(ROWS($AG$2:AG856),$AG$2:$AG$1001,0),1)&gt;=100000,INDEX($AN$1005:$BO$1005,1,MATCH(COLUMNS($AN$1006:BG1006),$AN$1006:$BO$1006,0))&gt;=100000), " ",IF(INDEX($AN$2:$BO$1001,MATCH(ROWS($AG$2:AG856),$AG$2:$AG$1001,0),MATCH(COLUMNS($AN$1006:BG1006),$AN$1006:$BO$1006,0)), HYPERLINK("#",""), HYPERLINK(CONCATENATE("#Metadata!", ADDRESS(INDEX($AI$2:$AI$1001,MATCH(ROWS($AG$2:AG856),$AG$2:$AG$1001,0),0), INDEX($AN$1004:$BO$1004,1,MATCH(COLUMNS($AN$1006:BG1006),$AN$1006:$BO$1006,0)))),"Fix")))</f>
        <v>0</v>
      </c>
      <c r="V856" s="4">
        <f>IF(OR(INDEX($AH$2:$AH$1001,MATCH(ROWS($AG$2:AG856),$AG$2:$AG$1001,0),1)&gt;=100000,INDEX($AN$1005:$BO$1005,1,MATCH(COLUMNS($AN$1006:BH1006),$AN$1006:$BO$1006,0))&gt;=100000), " ",IF(INDEX($AN$2:$BO$1001,MATCH(ROWS($AG$2:AG856),$AG$2:$AG$1001,0),MATCH(COLUMNS($AN$1006:BH1006),$AN$1006:$BO$1006,0)), HYPERLINK("#",""), HYPERLINK(CONCATENATE("#Metadata!", ADDRESS(INDEX($AI$2:$AI$1001,MATCH(ROWS($AG$2:AG856),$AG$2:$AG$1001,0),0), INDEX($AN$1004:$BO$1004,1,MATCH(COLUMNS($AN$1006:BH1006),$AN$1006:$BO$1006,0)))),"Fix")))</f>
        <v>0</v>
      </c>
      <c r="W856" s="4">
        <f>IF(OR(INDEX($AH$2:$AH$1001,MATCH(ROWS($AG$2:AG856),$AG$2:$AG$1001,0),1)&gt;=100000,INDEX($AN$1005:$BO$1005,1,MATCH(COLUMNS($AN$1006:BI1006),$AN$1006:$BO$1006,0))&gt;=100000), " ",IF(INDEX($AN$2:$BO$1001,MATCH(ROWS($AG$2:AG856),$AG$2:$AG$1001,0),MATCH(COLUMNS($AN$1006:BI1006),$AN$1006:$BO$1006,0)), HYPERLINK("#",""), HYPERLINK(CONCATENATE("#Metadata!", ADDRESS(INDEX($AI$2:$AI$1001,MATCH(ROWS($AG$2:AG856),$AG$2:$AG$1001,0),0), INDEX($AN$1004:$BO$1004,1,MATCH(COLUMNS($AN$1006:BI1006),$AN$1006:$BO$1006,0)))),"Fix")))</f>
        <v>0</v>
      </c>
      <c r="X856" s="4">
        <f>IF(OR(INDEX($AH$2:$AH$1001,MATCH(ROWS($AG$2:AG856),$AG$2:$AG$1001,0),1)&gt;=100000,INDEX($AN$1005:$BO$1005,1,MATCH(COLUMNS($AN$1006:BJ1006),$AN$1006:$BO$1006,0))&gt;=100000), " ",IF(INDEX($AN$2:$BO$1001,MATCH(ROWS($AG$2:AG856),$AG$2:$AG$1001,0),MATCH(COLUMNS($AN$1006:BJ1006),$AN$1006:$BO$1006,0)), HYPERLINK("#",""), HYPERLINK(CONCATENATE("#Metadata!", ADDRESS(INDEX($AI$2:$AI$1001,MATCH(ROWS($AG$2:AG856),$AG$2:$AG$1001,0),0), INDEX($AN$1004:$BO$1004,1,MATCH(COLUMNS($AN$1006:BJ1006),$AN$1006:$BO$1006,0)))),"Fix")))</f>
        <v>0</v>
      </c>
      <c r="Y856" s="4">
        <f>IF(OR(INDEX($AH$2:$AH$1001,MATCH(ROWS($AG$2:AG856),$AG$2:$AG$1001,0),1)&gt;=100000,INDEX($AN$1005:$BO$1005,1,MATCH(COLUMNS($AN$1006:BK1006),$AN$1006:$BO$1006,0))&gt;=100000), " ",IF(INDEX($AN$2:$BO$1001,MATCH(ROWS($AG$2:AG856),$AG$2:$AG$1001,0),MATCH(COLUMNS($AN$1006:BK1006),$AN$1006:$BO$1006,0)), HYPERLINK("#",""), HYPERLINK(CONCATENATE("#Metadata!", ADDRESS(INDEX($AI$2:$AI$1001,MATCH(ROWS($AG$2:AG856),$AG$2:$AG$1001,0),0), INDEX($AN$1004:$BO$1004,1,MATCH(COLUMNS($AN$1006:BK1006),$AN$1006:$BO$1006,0)))),"Fix")))</f>
        <v>0</v>
      </c>
      <c r="Z856" s="4">
        <f>IF(OR(INDEX($AH$2:$AH$1001,MATCH(ROWS($AG$2:AG856),$AG$2:$AG$1001,0),1)&gt;=100000,INDEX($AN$1005:$BO$1005,1,MATCH(COLUMNS($AN$1006:BL1006),$AN$1006:$BO$1006,0))&gt;=100000), " ",IF(INDEX($AN$2:$BO$1001,MATCH(ROWS($AG$2:AG856),$AG$2:$AG$1001,0),MATCH(COLUMNS($AN$1006:BL1006),$AN$1006:$BO$1006,0)), HYPERLINK("#",""), HYPERLINK(CONCATENATE("#Metadata!", ADDRESS(INDEX($AI$2:$AI$1001,MATCH(ROWS($AG$2:AG856),$AG$2:$AG$1001,0),0), INDEX($AN$1004:$BO$1004,1,MATCH(COLUMNS($AN$1006:BL1006),$AN$1006:$BO$1006,0)))),"Fix")))</f>
        <v>0</v>
      </c>
      <c r="AA856" s="4">
        <f>IF(OR(INDEX($AH$2:$AH$1001,MATCH(ROWS($AG$2:AG856),$AG$2:$AG$1001,0),1)&gt;=100000,INDEX($AN$1005:$BO$1005,1,MATCH(COLUMNS($AN$1006:BM1006),$AN$1006:$BO$1006,0))&gt;=100000), " ",IF(INDEX($AN$2:$BO$1001,MATCH(ROWS($AG$2:AG856),$AG$2:$AG$1001,0),MATCH(COLUMNS($AN$1006:BM1006),$AN$1006:$BO$1006,0)), HYPERLINK("#",""), HYPERLINK(CONCATENATE("#Metadata!", ADDRESS(INDEX($AI$2:$AI$1001,MATCH(ROWS($AG$2:AG856),$AG$2:$AG$1001,0),0), INDEX($AN$1004:$BO$1004,1,MATCH(COLUMNS($AN$1006:BM1006),$AN$1006:$BO$1006,0)))),"Fix")))</f>
        <v>0</v>
      </c>
      <c r="AB856" s="4">
        <f>IF(OR(INDEX($AH$2:$AH$1001,MATCH(ROWS($AG$2:AG856),$AG$2:$AG$1001,0),1)&gt;=100000,INDEX($AN$1005:$BO$1005,1,MATCH(COLUMNS($AN$1006:BN1006),$AN$1006:$BO$1006,0))&gt;=100000), " ",IF(INDEX($AN$2:$BO$1001,MATCH(ROWS($AG$2:AG856),$AG$2:$AG$1001,0),MATCH(COLUMNS($AN$1006:BN1006),$AN$1006:$BO$1006,0)), HYPERLINK("#",""), HYPERLINK(CONCATENATE("#Metadata!", ADDRESS(INDEX($AI$2:$AI$1001,MATCH(ROWS($AG$2:AG856),$AG$2:$AG$1001,0),0), INDEX($AN$1004:$BO$1004,1,MATCH(COLUMNS($AN$1006:BN1006),$AN$1006:$BO$1006,0)))),"Fix")))</f>
        <v>0</v>
      </c>
      <c r="AC856" s="4">
        <f>IF(OR(INDEX($AH$2:$AH$1001,MATCH(ROWS($AG$2:AG856),$AG$2:$AG$1001,0),1)&gt;=100000,INDEX($AN$1005:$BO$1005,1,MATCH(COLUMNS($AN$1006:BO1006),$AN$1006:$BO$1006,0))&gt;=100000), " ",IF(INDEX($AN$2:$BO$1001,MATCH(ROWS($AG$2:AG856),$AG$2:$AG$1001,0),MATCH(COLUMNS($AN$1006:BO1006),$AN$1006:$BO$1006,0)), HYPERLINK("#",""), HYPERLINK(CONCATENATE("#Metadata!", ADDRESS(INDEX($AI$2:$AI$1001,MATCH(ROWS($AG$2:AG856),$AG$2:$AG$1001,0),0), INDEX($AN$1004:$BO$1004,1,MATCH(COLUMNS($AN$1006:BO1006),$AN$1006:$BO$1006,0)))),"Fix")))</f>
        <v>0</v>
      </c>
      <c r="AG856">
        <v>0</v>
      </c>
      <c r="AH856">
        <v>0</v>
      </c>
      <c r="AI856">
        <v>0</v>
      </c>
      <c r="AJ856">
        <f>IF(AK856,TRUE,AND(AN856:BO856))</f>
        <v>0</v>
      </c>
      <c r="AK856">
        <f>COUNTBLANK(Metadata!B856:AC856)=COLUMNS(Metadata!B856:AC856)</f>
        <v>0</v>
      </c>
      <c r="AL856">
        <v>0</v>
      </c>
      <c r="AN856">
        <f>AND(IF(Metadata!B856="",FALSE,TRUE),COUNTIF(Metadata!B:B, Metadata!B856) = 1,NOT(ISERROR(SUMPRODUCT(SEARCH(MID(Metadata!B856,ROW(INDIRECT("1:"&amp;LEN(Metadata!B856))), 1),"0123456789abcdefghijklmnopqrstuvwxyzABCDEFGHIJKLMNOPQRSTUVWXYZ.")))))</f>
        <v>0</v>
      </c>
      <c r="AO856">
        <f>IF(Metadata!C856="",FALSE,TRUE)</f>
        <v>0</v>
      </c>
      <c r="AP856">
        <f>IF(Metadata!D856="",FALSE,TRUE)</f>
        <v>0</v>
      </c>
      <c r="AQ856">
        <f>OR(AND(IF(Metadata!E856="",FALSE,TRUE),OR(exact(Metadata!E856,"not collected"),exact(Metadata!E856,"not provided"),exact(Metadata!E856,"restricted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R856">
        <f>IF(Metadata!F856="",FALSE,TRUE)</f>
        <v>0</v>
      </c>
      <c r="AS856">
        <f>OR(AND(IF(Metadata!G856="",FALSE,TRUE),OR(exact(Metadata!G856,"not collected"),exact(Metadata!G856,"not provided"))),AND(IF(Metadata!G856="",FALSE,TRUE),OR(exact(Metadata!G856,"TRUE"),exact(Metadata!G856,"FALSE"))))</f>
        <v>0</v>
      </c>
      <c r="AT856">
        <f>OR(AND(IF(Metadata!H856="",FALSE,TRUE),OR(exact(Metadata!H856,"not collected"),exact(Metadata!H856,"not provided"),exact(Metadata!H856,"restricted access"))),AND(IF(Metadata!H856="",FALSE,ISNUMBER(VALUE(Metadata!H856))),Metadata!H856&gt;=-413.0))</f>
        <v>0</v>
      </c>
      <c r="AU856">
        <f>AND(IF(Metadata!I856="",FALSE,TRUE),exact(Metadata!I856,"meters"))</f>
        <v>0</v>
      </c>
      <c r="AV856">
        <f>AND(IF(Metadata!J856="",FALSE,TRUE),OR(exact(Metadata!J856,"Host-associated"),exact(Metadata!J856,"Free-living")))</f>
        <v>0</v>
      </c>
      <c r="AW856">
        <f>AND(IF(Metadata!K856="",FALSE,TRUE),OR(exact(Metadata!K856,"Animal"),exact(Metadata!K856,"Fungus"),exact(Metadata!K856,"Plant"),exact(Metadata!K856,"Saline"),exact(Metadata!K856,"Non-saline")))</f>
        <v>0</v>
      </c>
      <c r="AX856">
        <f>AND(IF(Metadata!L856="",FALSE,TRUE),OR(exact(Metadata!L856,"Plant secretion"),exact(Metadata!L856,"Plant rhizosphere"),exact(Metadata!L856,"Plant surface"),exact(Metadata!L856,"Plant corpus"),exact(Metadata!L856,"Fungus surface"),exact(Metadata!L856,"Fungus corpus"),exact(Metadata!L856,"Animal surface"),exact(Metadata!L856,"Animal proximal gut"),exact(Metadata!L856,"Animal corpus"),exact(Metadata!L856,"Animal distal gut"),exact(Metadata!L856,"Animal secretion"),exact(Metadata!L856,"Sub-surface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Y856">
        <f>IF(Metadata!M856="",FALSE,TRUE)</f>
        <v>0</v>
      </c>
      <c r="AZ856">
        <f>IF(Metadata!N856="",FALSE,TRUE)</f>
        <v>0</v>
      </c>
      <c r="BA856">
        <f>IF(Metadata!O856="",FALSE,TRUE)</f>
        <v>0</v>
      </c>
      <c r="BB856">
        <f>OR(AND(IF(Metadata!P856="",FALSE,TRUE),OR(exact(Metadata!P856,"not collected"),exact(Metadata!P856,"not provided"),exact(Metadata!P856,"restricted access"))),AND(IF(Metadata!P856="",FALSE,TRUE),OR(exact(Metadata!P856,"air"),exact(Metadata!P856,"built environment"),exact(Metadata!P856,"host-associated"),exact(Metadata!P856,"human-associated"),exact(Metadata!P856,"human-skin"),exact(Metadata!P856,"human-oral"),exact(Metadata!P856,"human-gut"),exact(Metadata!P856,"human-vaginal"),exact(Metadata!P856,"microbial mat/biofilm"),exact(Metadata!P856,"misc environment"),exact(Metadata!P856,"plant-associated"),exact(Metadata!P856,"sediment"),exact(Metadata!P856,"soil"),exact(Metadata!P856,"wastewater/sludge"),exact(Metadata!P856,"water"))))</f>
        <v>0</v>
      </c>
      <c r="BC856">
        <f>IF(Metadata!Q856="",FALSE,TRUE)</f>
        <v>0</v>
      </c>
      <c r="BD856">
        <f>IF(Metadata!R856="",FALSE,TRUE)</f>
        <v>0</v>
      </c>
      <c r="BE856">
        <f>OR(AND(IF(Metadata!S856="",FALSE,TRUE),OR(exact(Metadata!S856,"not collected"),exact(Metadata!S856,"not provided"),exact(Metadata!S856,"restricted access"))),AND(IF(Metadata!S856="",FALSE,ISNUMBER(VALUE(Metadata!S856))),Metadata!S856&gt;=-90.00,Metadata!S856&lt;=90.00))</f>
        <v>0</v>
      </c>
      <c r="BF856">
        <f>AND(IF(Metadata!T856="",FALSE,TRUE),exact(Metadata!T856,"Decimal degrees"))</f>
        <v>0</v>
      </c>
      <c r="BG856">
        <f>OR(AND(IF(Metadata!U856="",FALSE,TRUE),OR(exact(Metadata!U856,"not collected"),exact(Metadata!U856,"not provided"),exact(Metadata!U856,"restricted access"))),AND(IF(Metadata!U856="",FALSE,ISNUMBER(VALUE(Metadata!U856))),Metadata!U856&gt;=-180.00,Metadata!U856&lt;=180.00))</f>
        <v>0</v>
      </c>
      <c r="BH856">
        <f>AND(IF(Metadata!V856="",FALSE,TRUE),exact(Metadata!V856,"Decimal degrees"))</f>
        <v>0</v>
      </c>
      <c r="BI856">
        <f>IF(Metadata!W856="",FALSE,TRUE)</f>
        <v>0</v>
      </c>
      <c r="BJ856">
        <f>OR(AND(IF(Metadata!X856="",FALSE,TRUE),OR(exact(Metadata!X856,"not collected"),exact(Metadata!X856,"not provided"),exact(Metadata!X856,"restricted access"))),AND(IF(Metadata!X856="",FALSE,TRUE),OR(exact(Metadata!X856,"TRUE"),exact(Metadata!X856,"FALSE"))))</f>
        <v>0</v>
      </c>
      <c r="BK856">
        <f>AND(IF(Metadata!Y856="",FALSE,TRUE),exact(Metadata!Y856,"other"))</f>
        <v>0</v>
      </c>
      <c r="BL856">
        <f>IF(Metadata!Z856="",FALSE,TRUE)</f>
        <v>0</v>
      </c>
      <c r="BM856">
        <f>OR(AND(IF(Metadata!AA856="",FALSE,TRUE),OR(exact(Metadata!AA856,"not collected"),exact(Metadata!AA856,"not provided"))),AND(IF(Metadata!AA856="",FALSE,IF(ISERROR(INT(Metadata!AA856)),FALSE,INT(Metadata!AA856)=Metadata!AA856)),Metadata!AA856&gt;0))</f>
        <v>0</v>
      </c>
      <c r="BN856">
        <f>AND(IF(Metadata!AB856="",FALSE,TRUE),exact(Metadata!AB856,"Not applicable"))</f>
        <v>0</v>
      </c>
      <c r="BO856">
        <f>IF(Metadata!AC856="",FALSE,TRUE)</f>
        <v>0</v>
      </c>
    </row>
    <row r="857" spans="1:67">
      <c r="A857" s="5">
        <f>IF(B857=" "," ",HYPERLINK(CONCATENATE("#metadata!",ADDRESS(INDEX($AI$2:$AI$1001,MATCH(ROWS($AG$2:AG857),$AG$2:$AG$1001,0),0),1)),INDEX($AL$2:$AL$1001,MATCH(ROWS($AG$2:AG857),$AG$2:$AG$1001,0),0)))</f>
        <v>0</v>
      </c>
      <c r="B857" s="4">
        <f>IF(OR(INDEX($AH$2:$AH$1001,MATCH(ROWS($AG$2:AG857),$AG$2:$AG$1001,0),1)&gt;=100000,INDEX($AN$1005:$BO$1005,1,MATCH(COLUMNS($AN$1006:AN1006),$AN$1006:$BO$1006,0))&gt;=100000), " ",IF(INDEX($AN$2:$BO$1001,MATCH(ROWS($AG$2:AG857),$AG$2:$AG$1001,0),MATCH(COLUMNS($AN$1006:AN1006),$AN$1006:$BO$1006,0)), HYPERLINK("#",""), HYPERLINK(CONCATENATE("#Metadata!", ADDRESS(INDEX($AI$2:$AI$1001,MATCH(ROWS($AG$2:AG857),$AG$2:$AG$1001,0),0), INDEX($AN$1004:$BO$1004,1,MATCH(COLUMNS($AN$1006:AN1006),$AN$1006:$BO$1006,0)))),"Fix")))</f>
        <v>0</v>
      </c>
      <c r="C857" s="4">
        <f>IF(OR(INDEX($AH$2:$AH$1001,MATCH(ROWS($AG$2:AG857),$AG$2:$AG$1001,0),1)&gt;=100000,INDEX($AN$1005:$BO$1005,1,MATCH(COLUMNS($AN$1006:AO1006),$AN$1006:$BO$1006,0))&gt;=100000), " ",IF(INDEX($AN$2:$BO$1001,MATCH(ROWS($AG$2:AG857),$AG$2:$AG$1001,0),MATCH(COLUMNS($AN$1006:AO1006),$AN$1006:$BO$1006,0)), HYPERLINK("#",""), HYPERLINK(CONCATENATE("#Metadata!", ADDRESS(INDEX($AI$2:$AI$1001,MATCH(ROWS($AG$2:AG857),$AG$2:$AG$1001,0),0), INDEX($AN$1004:$BO$1004,1,MATCH(COLUMNS($AN$1006:AO1006),$AN$1006:$BO$1006,0)))),"Fix")))</f>
        <v>0</v>
      </c>
      <c r="D857" s="4">
        <f>IF(OR(INDEX($AH$2:$AH$1001,MATCH(ROWS($AG$2:AG857),$AG$2:$AG$1001,0),1)&gt;=100000,INDEX($AN$1005:$BO$1005,1,MATCH(COLUMNS($AN$1006:AP1006),$AN$1006:$BO$1006,0))&gt;=100000), " ",IF(INDEX($AN$2:$BO$1001,MATCH(ROWS($AG$2:AG857),$AG$2:$AG$1001,0),MATCH(COLUMNS($AN$1006:AP1006),$AN$1006:$BO$1006,0)), HYPERLINK("#",""), HYPERLINK(CONCATENATE("#Metadata!", ADDRESS(INDEX($AI$2:$AI$1001,MATCH(ROWS($AG$2:AG857),$AG$2:$AG$1001,0),0), INDEX($AN$1004:$BO$1004,1,MATCH(COLUMNS($AN$1006:AP1006),$AN$1006:$BO$1006,0)))),"Fix")))</f>
        <v>0</v>
      </c>
      <c r="E857" s="4">
        <f>IF(OR(INDEX($AH$2:$AH$1001,MATCH(ROWS($AG$2:AG857),$AG$2:$AG$1001,0),1)&gt;=100000,INDEX($AN$1005:$BO$1005,1,MATCH(COLUMNS($AN$1006:AQ1006),$AN$1006:$BO$1006,0))&gt;=100000), " ",IF(INDEX($AN$2:$BO$1001,MATCH(ROWS($AG$2:AG857),$AG$2:$AG$1001,0),MATCH(COLUMNS($AN$1006:AQ1006),$AN$1006:$BO$1006,0)), HYPERLINK("#",""), HYPERLINK(CONCATENATE("#Metadata!", ADDRESS(INDEX($AI$2:$AI$1001,MATCH(ROWS($AG$2:AG857),$AG$2:$AG$1001,0),0), INDEX($AN$1004:$BO$1004,1,MATCH(COLUMNS($AN$1006:AQ1006),$AN$1006:$BO$1006,0)))),"Fix")))</f>
        <v>0</v>
      </c>
      <c r="F857" s="4">
        <f>IF(OR(INDEX($AH$2:$AH$1001,MATCH(ROWS($AG$2:AG857),$AG$2:$AG$1001,0),1)&gt;=100000,INDEX($AN$1005:$BO$1005,1,MATCH(COLUMNS($AN$1006:AR1006),$AN$1006:$BO$1006,0))&gt;=100000), " ",IF(INDEX($AN$2:$BO$1001,MATCH(ROWS($AG$2:AG857),$AG$2:$AG$1001,0),MATCH(COLUMNS($AN$1006:AR1006),$AN$1006:$BO$1006,0)), HYPERLINK("#",""), HYPERLINK(CONCATENATE("#Metadata!", ADDRESS(INDEX($AI$2:$AI$1001,MATCH(ROWS($AG$2:AG857),$AG$2:$AG$1001,0),0), INDEX($AN$1004:$BO$1004,1,MATCH(COLUMNS($AN$1006:AR1006),$AN$1006:$BO$1006,0)))),"Fix")))</f>
        <v>0</v>
      </c>
      <c r="G857" s="4">
        <f>IF(OR(INDEX($AH$2:$AH$1001,MATCH(ROWS($AG$2:AG857),$AG$2:$AG$1001,0),1)&gt;=100000,INDEX($AN$1005:$BO$1005,1,MATCH(COLUMNS($AN$1006:AS1006),$AN$1006:$BO$1006,0))&gt;=100000), " ",IF(INDEX($AN$2:$BO$1001,MATCH(ROWS($AG$2:AG857),$AG$2:$AG$1001,0),MATCH(COLUMNS($AN$1006:AS1006),$AN$1006:$BO$1006,0)), HYPERLINK("#",""), HYPERLINK(CONCATENATE("#Metadata!", ADDRESS(INDEX($AI$2:$AI$1001,MATCH(ROWS($AG$2:AG857),$AG$2:$AG$1001,0),0), INDEX($AN$1004:$BO$1004,1,MATCH(COLUMNS($AN$1006:AS1006),$AN$1006:$BO$1006,0)))),"Fix")))</f>
        <v>0</v>
      </c>
      <c r="H857" s="4">
        <f>IF(OR(INDEX($AH$2:$AH$1001,MATCH(ROWS($AG$2:AG857),$AG$2:$AG$1001,0),1)&gt;=100000,INDEX($AN$1005:$BO$1005,1,MATCH(COLUMNS($AN$1006:AT1006),$AN$1006:$BO$1006,0))&gt;=100000), " ",IF(INDEX($AN$2:$BO$1001,MATCH(ROWS($AG$2:AG857),$AG$2:$AG$1001,0),MATCH(COLUMNS($AN$1006:AT1006),$AN$1006:$BO$1006,0)), HYPERLINK("#",""), HYPERLINK(CONCATENATE("#Metadata!", ADDRESS(INDEX($AI$2:$AI$1001,MATCH(ROWS($AG$2:AG857),$AG$2:$AG$1001,0),0), INDEX($AN$1004:$BO$1004,1,MATCH(COLUMNS($AN$1006:AT1006),$AN$1006:$BO$1006,0)))),"Fix")))</f>
        <v>0</v>
      </c>
      <c r="I857" s="4">
        <f>IF(OR(INDEX($AH$2:$AH$1001,MATCH(ROWS($AG$2:AG857),$AG$2:$AG$1001,0),1)&gt;=100000,INDEX($AN$1005:$BO$1005,1,MATCH(COLUMNS($AN$1006:AU1006),$AN$1006:$BO$1006,0))&gt;=100000), " ",IF(INDEX($AN$2:$BO$1001,MATCH(ROWS($AG$2:AG857),$AG$2:$AG$1001,0),MATCH(COLUMNS($AN$1006:AU1006),$AN$1006:$BO$1006,0)), HYPERLINK("#",""), HYPERLINK(CONCATENATE("#Metadata!", ADDRESS(INDEX($AI$2:$AI$1001,MATCH(ROWS($AG$2:AG857),$AG$2:$AG$1001,0),0), INDEX($AN$1004:$BO$1004,1,MATCH(COLUMNS($AN$1006:AU1006),$AN$1006:$BO$1006,0)))),"Fix")))</f>
        <v>0</v>
      </c>
      <c r="J857" s="4">
        <f>IF(OR(INDEX($AH$2:$AH$1001,MATCH(ROWS($AG$2:AG857),$AG$2:$AG$1001,0),1)&gt;=100000,INDEX($AN$1005:$BO$1005,1,MATCH(COLUMNS($AN$1006:AV1006),$AN$1006:$BO$1006,0))&gt;=100000), " ",IF(INDEX($AN$2:$BO$1001,MATCH(ROWS($AG$2:AG857),$AG$2:$AG$1001,0),MATCH(COLUMNS($AN$1006:AV1006),$AN$1006:$BO$1006,0)), HYPERLINK("#",""), HYPERLINK(CONCATENATE("#Metadata!", ADDRESS(INDEX($AI$2:$AI$1001,MATCH(ROWS($AG$2:AG857),$AG$2:$AG$1001,0),0), INDEX($AN$1004:$BO$1004,1,MATCH(COLUMNS($AN$1006:AV1006),$AN$1006:$BO$1006,0)))),"Fix")))</f>
        <v>0</v>
      </c>
      <c r="K857" s="4">
        <f>IF(OR(INDEX($AH$2:$AH$1001,MATCH(ROWS($AG$2:AG857),$AG$2:$AG$1001,0),1)&gt;=100000,INDEX($AN$1005:$BO$1005,1,MATCH(COLUMNS($AN$1006:AW1006),$AN$1006:$BO$1006,0))&gt;=100000), " ",IF(INDEX($AN$2:$BO$1001,MATCH(ROWS($AG$2:AG857),$AG$2:$AG$1001,0),MATCH(COLUMNS($AN$1006:AW1006),$AN$1006:$BO$1006,0)), HYPERLINK("#",""), HYPERLINK(CONCATENATE("#Metadata!", ADDRESS(INDEX($AI$2:$AI$1001,MATCH(ROWS($AG$2:AG857),$AG$2:$AG$1001,0),0), INDEX($AN$1004:$BO$1004,1,MATCH(COLUMNS($AN$1006:AW1006),$AN$1006:$BO$1006,0)))),"Fix")))</f>
        <v>0</v>
      </c>
      <c r="L857" s="4">
        <f>IF(OR(INDEX($AH$2:$AH$1001,MATCH(ROWS($AG$2:AG857),$AG$2:$AG$1001,0),1)&gt;=100000,INDEX($AN$1005:$BO$1005,1,MATCH(COLUMNS($AN$1006:AX1006),$AN$1006:$BO$1006,0))&gt;=100000), " ",IF(INDEX($AN$2:$BO$1001,MATCH(ROWS($AG$2:AG857),$AG$2:$AG$1001,0),MATCH(COLUMNS($AN$1006:AX1006),$AN$1006:$BO$1006,0)), HYPERLINK("#",""), HYPERLINK(CONCATENATE("#Metadata!", ADDRESS(INDEX($AI$2:$AI$1001,MATCH(ROWS($AG$2:AG857),$AG$2:$AG$1001,0),0), INDEX($AN$1004:$BO$1004,1,MATCH(COLUMNS($AN$1006:AX1006),$AN$1006:$BO$1006,0)))),"Fix")))</f>
        <v>0</v>
      </c>
      <c r="M857" s="4">
        <f>IF(OR(INDEX($AH$2:$AH$1001,MATCH(ROWS($AG$2:AG857),$AG$2:$AG$1001,0),1)&gt;=100000,INDEX($AN$1005:$BO$1005,1,MATCH(COLUMNS($AN$1006:AY1006),$AN$1006:$BO$1006,0))&gt;=100000), " ",IF(INDEX($AN$2:$BO$1001,MATCH(ROWS($AG$2:AG857),$AG$2:$AG$1001,0),MATCH(COLUMNS($AN$1006:AY1006),$AN$1006:$BO$1006,0)), HYPERLINK("#",""), HYPERLINK(CONCATENATE("#Metadata!", ADDRESS(INDEX($AI$2:$AI$1001,MATCH(ROWS($AG$2:AG857),$AG$2:$AG$1001,0),0), INDEX($AN$1004:$BO$1004,1,MATCH(COLUMNS($AN$1006:AY1006),$AN$1006:$BO$1006,0)))),"Fix")))</f>
        <v>0</v>
      </c>
      <c r="N857" s="4">
        <f>IF(OR(INDEX($AH$2:$AH$1001,MATCH(ROWS($AG$2:AG857),$AG$2:$AG$1001,0),1)&gt;=100000,INDEX($AN$1005:$BO$1005,1,MATCH(COLUMNS($AN$1006:AZ1006),$AN$1006:$BO$1006,0))&gt;=100000), " ",IF(INDEX($AN$2:$BO$1001,MATCH(ROWS($AG$2:AG857),$AG$2:$AG$1001,0),MATCH(COLUMNS($AN$1006:AZ1006),$AN$1006:$BO$1006,0)), HYPERLINK("#",""), HYPERLINK(CONCATENATE("#Metadata!", ADDRESS(INDEX($AI$2:$AI$1001,MATCH(ROWS($AG$2:AG857),$AG$2:$AG$1001,0),0), INDEX($AN$1004:$BO$1004,1,MATCH(COLUMNS($AN$1006:AZ1006),$AN$1006:$BO$1006,0)))),"Fix")))</f>
        <v>0</v>
      </c>
      <c r="O857" s="4">
        <f>IF(OR(INDEX($AH$2:$AH$1001,MATCH(ROWS($AG$2:AG857),$AG$2:$AG$1001,0),1)&gt;=100000,INDEX($AN$1005:$BO$1005,1,MATCH(COLUMNS($AN$1006:BA1006),$AN$1006:$BO$1006,0))&gt;=100000), " ",IF(INDEX($AN$2:$BO$1001,MATCH(ROWS($AG$2:AG857),$AG$2:$AG$1001,0),MATCH(COLUMNS($AN$1006:BA1006),$AN$1006:$BO$1006,0)), HYPERLINK("#",""), HYPERLINK(CONCATENATE("#Metadata!", ADDRESS(INDEX($AI$2:$AI$1001,MATCH(ROWS($AG$2:AG857),$AG$2:$AG$1001,0),0), INDEX($AN$1004:$BO$1004,1,MATCH(COLUMNS($AN$1006:BA1006),$AN$1006:$BO$1006,0)))),"Fix")))</f>
        <v>0</v>
      </c>
      <c r="P857" s="4">
        <f>IF(OR(INDEX($AH$2:$AH$1001,MATCH(ROWS($AG$2:AG857),$AG$2:$AG$1001,0),1)&gt;=100000,INDEX($AN$1005:$BO$1005,1,MATCH(COLUMNS($AN$1006:BB1006),$AN$1006:$BO$1006,0))&gt;=100000), " ",IF(INDEX($AN$2:$BO$1001,MATCH(ROWS($AG$2:AG857),$AG$2:$AG$1001,0),MATCH(COLUMNS($AN$1006:BB1006),$AN$1006:$BO$1006,0)), HYPERLINK("#",""), HYPERLINK(CONCATENATE("#Metadata!", ADDRESS(INDEX($AI$2:$AI$1001,MATCH(ROWS($AG$2:AG857),$AG$2:$AG$1001,0),0), INDEX($AN$1004:$BO$1004,1,MATCH(COLUMNS($AN$1006:BB1006),$AN$1006:$BO$1006,0)))),"Fix")))</f>
        <v>0</v>
      </c>
      <c r="Q857" s="4">
        <f>IF(OR(INDEX($AH$2:$AH$1001,MATCH(ROWS($AG$2:AG857),$AG$2:$AG$1001,0),1)&gt;=100000,INDEX($AN$1005:$BO$1005,1,MATCH(COLUMNS($AN$1006:BC1006),$AN$1006:$BO$1006,0))&gt;=100000), " ",IF(INDEX($AN$2:$BO$1001,MATCH(ROWS($AG$2:AG857),$AG$2:$AG$1001,0),MATCH(COLUMNS($AN$1006:BC1006),$AN$1006:$BO$1006,0)), HYPERLINK("#",""), HYPERLINK(CONCATENATE("#Metadata!", ADDRESS(INDEX($AI$2:$AI$1001,MATCH(ROWS($AG$2:AG857),$AG$2:$AG$1001,0),0), INDEX($AN$1004:$BO$1004,1,MATCH(COLUMNS($AN$1006:BC1006),$AN$1006:$BO$1006,0)))),"Fix")))</f>
        <v>0</v>
      </c>
      <c r="R857" s="4">
        <f>IF(OR(INDEX($AH$2:$AH$1001,MATCH(ROWS($AG$2:AG857),$AG$2:$AG$1001,0),1)&gt;=100000,INDEX($AN$1005:$BO$1005,1,MATCH(COLUMNS($AN$1006:BD1006),$AN$1006:$BO$1006,0))&gt;=100000), " ",IF(INDEX($AN$2:$BO$1001,MATCH(ROWS($AG$2:AG857),$AG$2:$AG$1001,0),MATCH(COLUMNS($AN$1006:BD1006),$AN$1006:$BO$1006,0)), HYPERLINK("#",""), HYPERLINK(CONCATENATE("#Metadata!", ADDRESS(INDEX($AI$2:$AI$1001,MATCH(ROWS($AG$2:AG857),$AG$2:$AG$1001,0),0), INDEX($AN$1004:$BO$1004,1,MATCH(COLUMNS($AN$1006:BD1006),$AN$1006:$BO$1006,0)))),"Fix")))</f>
        <v>0</v>
      </c>
      <c r="S857" s="4">
        <f>IF(OR(INDEX($AH$2:$AH$1001,MATCH(ROWS($AG$2:AG857),$AG$2:$AG$1001,0),1)&gt;=100000,INDEX($AN$1005:$BO$1005,1,MATCH(COLUMNS($AN$1006:BE1006),$AN$1006:$BO$1006,0))&gt;=100000), " ",IF(INDEX($AN$2:$BO$1001,MATCH(ROWS($AG$2:AG857),$AG$2:$AG$1001,0),MATCH(COLUMNS($AN$1006:BE1006),$AN$1006:$BO$1006,0)), HYPERLINK("#",""), HYPERLINK(CONCATENATE("#Metadata!", ADDRESS(INDEX($AI$2:$AI$1001,MATCH(ROWS($AG$2:AG857),$AG$2:$AG$1001,0),0), INDEX($AN$1004:$BO$1004,1,MATCH(COLUMNS($AN$1006:BE1006),$AN$1006:$BO$1006,0)))),"Fix")))</f>
        <v>0</v>
      </c>
      <c r="T857" s="4">
        <f>IF(OR(INDEX($AH$2:$AH$1001,MATCH(ROWS($AG$2:AG857),$AG$2:$AG$1001,0),1)&gt;=100000,INDEX($AN$1005:$BO$1005,1,MATCH(COLUMNS($AN$1006:BF1006),$AN$1006:$BO$1006,0))&gt;=100000), " ",IF(INDEX($AN$2:$BO$1001,MATCH(ROWS($AG$2:AG857),$AG$2:$AG$1001,0),MATCH(COLUMNS($AN$1006:BF1006),$AN$1006:$BO$1006,0)), HYPERLINK("#",""), HYPERLINK(CONCATENATE("#Metadata!", ADDRESS(INDEX($AI$2:$AI$1001,MATCH(ROWS($AG$2:AG857),$AG$2:$AG$1001,0),0), INDEX($AN$1004:$BO$1004,1,MATCH(COLUMNS($AN$1006:BF1006),$AN$1006:$BO$1006,0)))),"Fix")))</f>
        <v>0</v>
      </c>
      <c r="U857" s="4">
        <f>IF(OR(INDEX($AH$2:$AH$1001,MATCH(ROWS($AG$2:AG857),$AG$2:$AG$1001,0),1)&gt;=100000,INDEX($AN$1005:$BO$1005,1,MATCH(COLUMNS($AN$1006:BG1006),$AN$1006:$BO$1006,0))&gt;=100000), " ",IF(INDEX($AN$2:$BO$1001,MATCH(ROWS($AG$2:AG857),$AG$2:$AG$1001,0),MATCH(COLUMNS($AN$1006:BG1006),$AN$1006:$BO$1006,0)), HYPERLINK("#",""), HYPERLINK(CONCATENATE("#Metadata!", ADDRESS(INDEX($AI$2:$AI$1001,MATCH(ROWS($AG$2:AG857),$AG$2:$AG$1001,0),0), INDEX($AN$1004:$BO$1004,1,MATCH(COLUMNS($AN$1006:BG1006),$AN$1006:$BO$1006,0)))),"Fix")))</f>
        <v>0</v>
      </c>
      <c r="V857" s="4">
        <f>IF(OR(INDEX($AH$2:$AH$1001,MATCH(ROWS($AG$2:AG857),$AG$2:$AG$1001,0),1)&gt;=100000,INDEX($AN$1005:$BO$1005,1,MATCH(COLUMNS($AN$1006:BH1006),$AN$1006:$BO$1006,0))&gt;=100000), " ",IF(INDEX($AN$2:$BO$1001,MATCH(ROWS($AG$2:AG857),$AG$2:$AG$1001,0),MATCH(COLUMNS($AN$1006:BH1006),$AN$1006:$BO$1006,0)), HYPERLINK("#",""), HYPERLINK(CONCATENATE("#Metadata!", ADDRESS(INDEX($AI$2:$AI$1001,MATCH(ROWS($AG$2:AG857),$AG$2:$AG$1001,0),0), INDEX($AN$1004:$BO$1004,1,MATCH(COLUMNS($AN$1006:BH1006),$AN$1006:$BO$1006,0)))),"Fix")))</f>
        <v>0</v>
      </c>
      <c r="W857" s="4">
        <f>IF(OR(INDEX($AH$2:$AH$1001,MATCH(ROWS($AG$2:AG857),$AG$2:$AG$1001,0),1)&gt;=100000,INDEX($AN$1005:$BO$1005,1,MATCH(COLUMNS($AN$1006:BI1006),$AN$1006:$BO$1006,0))&gt;=100000), " ",IF(INDEX($AN$2:$BO$1001,MATCH(ROWS($AG$2:AG857),$AG$2:$AG$1001,0),MATCH(COLUMNS($AN$1006:BI1006),$AN$1006:$BO$1006,0)), HYPERLINK("#",""), HYPERLINK(CONCATENATE("#Metadata!", ADDRESS(INDEX($AI$2:$AI$1001,MATCH(ROWS($AG$2:AG857),$AG$2:$AG$1001,0),0), INDEX($AN$1004:$BO$1004,1,MATCH(COLUMNS($AN$1006:BI1006),$AN$1006:$BO$1006,0)))),"Fix")))</f>
        <v>0</v>
      </c>
      <c r="X857" s="4">
        <f>IF(OR(INDEX($AH$2:$AH$1001,MATCH(ROWS($AG$2:AG857),$AG$2:$AG$1001,0),1)&gt;=100000,INDEX($AN$1005:$BO$1005,1,MATCH(COLUMNS($AN$1006:BJ1006),$AN$1006:$BO$1006,0))&gt;=100000), " ",IF(INDEX($AN$2:$BO$1001,MATCH(ROWS($AG$2:AG857),$AG$2:$AG$1001,0),MATCH(COLUMNS($AN$1006:BJ1006),$AN$1006:$BO$1006,0)), HYPERLINK("#",""), HYPERLINK(CONCATENATE("#Metadata!", ADDRESS(INDEX($AI$2:$AI$1001,MATCH(ROWS($AG$2:AG857),$AG$2:$AG$1001,0),0), INDEX($AN$1004:$BO$1004,1,MATCH(COLUMNS($AN$1006:BJ1006),$AN$1006:$BO$1006,0)))),"Fix")))</f>
        <v>0</v>
      </c>
      <c r="Y857" s="4">
        <f>IF(OR(INDEX($AH$2:$AH$1001,MATCH(ROWS($AG$2:AG857),$AG$2:$AG$1001,0),1)&gt;=100000,INDEX($AN$1005:$BO$1005,1,MATCH(COLUMNS($AN$1006:BK1006),$AN$1006:$BO$1006,0))&gt;=100000), " ",IF(INDEX($AN$2:$BO$1001,MATCH(ROWS($AG$2:AG857),$AG$2:$AG$1001,0),MATCH(COLUMNS($AN$1006:BK1006),$AN$1006:$BO$1006,0)), HYPERLINK("#",""), HYPERLINK(CONCATENATE("#Metadata!", ADDRESS(INDEX($AI$2:$AI$1001,MATCH(ROWS($AG$2:AG857),$AG$2:$AG$1001,0),0), INDEX($AN$1004:$BO$1004,1,MATCH(COLUMNS($AN$1006:BK1006),$AN$1006:$BO$1006,0)))),"Fix")))</f>
        <v>0</v>
      </c>
      <c r="Z857" s="4">
        <f>IF(OR(INDEX($AH$2:$AH$1001,MATCH(ROWS($AG$2:AG857),$AG$2:$AG$1001,0),1)&gt;=100000,INDEX($AN$1005:$BO$1005,1,MATCH(COLUMNS($AN$1006:BL1006),$AN$1006:$BO$1006,0))&gt;=100000), " ",IF(INDEX($AN$2:$BO$1001,MATCH(ROWS($AG$2:AG857),$AG$2:$AG$1001,0),MATCH(COLUMNS($AN$1006:BL1006),$AN$1006:$BO$1006,0)), HYPERLINK("#",""), HYPERLINK(CONCATENATE("#Metadata!", ADDRESS(INDEX($AI$2:$AI$1001,MATCH(ROWS($AG$2:AG857),$AG$2:$AG$1001,0),0), INDEX($AN$1004:$BO$1004,1,MATCH(COLUMNS($AN$1006:BL1006),$AN$1006:$BO$1006,0)))),"Fix")))</f>
        <v>0</v>
      </c>
      <c r="AA857" s="4">
        <f>IF(OR(INDEX($AH$2:$AH$1001,MATCH(ROWS($AG$2:AG857),$AG$2:$AG$1001,0),1)&gt;=100000,INDEX($AN$1005:$BO$1005,1,MATCH(COLUMNS($AN$1006:BM1006),$AN$1006:$BO$1006,0))&gt;=100000), " ",IF(INDEX($AN$2:$BO$1001,MATCH(ROWS($AG$2:AG857),$AG$2:$AG$1001,0),MATCH(COLUMNS($AN$1006:BM1006),$AN$1006:$BO$1006,0)), HYPERLINK("#",""), HYPERLINK(CONCATENATE("#Metadata!", ADDRESS(INDEX($AI$2:$AI$1001,MATCH(ROWS($AG$2:AG857),$AG$2:$AG$1001,0),0), INDEX($AN$1004:$BO$1004,1,MATCH(COLUMNS($AN$1006:BM1006),$AN$1006:$BO$1006,0)))),"Fix")))</f>
        <v>0</v>
      </c>
      <c r="AB857" s="4">
        <f>IF(OR(INDEX($AH$2:$AH$1001,MATCH(ROWS($AG$2:AG857),$AG$2:$AG$1001,0),1)&gt;=100000,INDEX($AN$1005:$BO$1005,1,MATCH(COLUMNS($AN$1006:BN1006),$AN$1006:$BO$1006,0))&gt;=100000), " ",IF(INDEX($AN$2:$BO$1001,MATCH(ROWS($AG$2:AG857),$AG$2:$AG$1001,0),MATCH(COLUMNS($AN$1006:BN1006),$AN$1006:$BO$1006,0)), HYPERLINK("#",""), HYPERLINK(CONCATENATE("#Metadata!", ADDRESS(INDEX($AI$2:$AI$1001,MATCH(ROWS($AG$2:AG857),$AG$2:$AG$1001,0),0), INDEX($AN$1004:$BO$1004,1,MATCH(COLUMNS($AN$1006:BN1006),$AN$1006:$BO$1006,0)))),"Fix")))</f>
        <v>0</v>
      </c>
      <c r="AC857" s="4">
        <f>IF(OR(INDEX($AH$2:$AH$1001,MATCH(ROWS($AG$2:AG857),$AG$2:$AG$1001,0),1)&gt;=100000,INDEX($AN$1005:$BO$1005,1,MATCH(COLUMNS($AN$1006:BO1006),$AN$1006:$BO$1006,0))&gt;=100000), " ",IF(INDEX($AN$2:$BO$1001,MATCH(ROWS($AG$2:AG857),$AG$2:$AG$1001,0),MATCH(COLUMNS($AN$1006:BO1006),$AN$1006:$BO$1006,0)), HYPERLINK("#",""), HYPERLINK(CONCATENATE("#Metadata!", ADDRESS(INDEX($AI$2:$AI$1001,MATCH(ROWS($AG$2:AG857),$AG$2:$AG$1001,0),0), INDEX($AN$1004:$BO$1004,1,MATCH(COLUMNS($AN$1006:BO1006),$AN$1006:$BO$1006,0)))),"Fix")))</f>
        <v>0</v>
      </c>
      <c r="AG857">
        <v>0</v>
      </c>
      <c r="AH857">
        <v>0</v>
      </c>
      <c r="AI857">
        <v>0</v>
      </c>
      <c r="AJ857">
        <f>IF(AK857,TRUE,AND(AN857:BO857))</f>
        <v>0</v>
      </c>
      <c r="AK857">
        <f>COUNTBLANK(Metadata!B857:AC857)=COLUMNS(Metadata!B857:AC857)</f>
        <v>0</v>
      </c>
      <c r="AL857">
        <v>0</v>
      </c>
      <c r="AN857">
        <f>AND(IF(Metadata!B857="",FALSE,TRUE),COUNTIF(Metadata!B:B, Metadata!B857) = 1,NOT(ISERROR(SUMPRODUCT(SEARCH(MID(Metadata!B857,ROW(INDIRECT("1:"&amp;LEN(Metadata!B857))), 1),"0123456789abcdefghijklmnopqrstuvwxyzABCDEFGHIJKLMNOPQRSTUVWXYZ.")))))</f>
        <v>0</v>
      </c>
      <c r="AO857">
        <f>IF(Metadata!C857="",FALSE,TRUE)</f>
        <v>0</v>
      </c>
      <c r="AP857">
        <f>IF(Metadata!D857="",FALSE,TRUE)</f>
        <v>0</v>
      </c>
      <c r="AQ857">
        <f>OR(AND(IF(Metadata!E857="",FALSE,TRUE),OR(exact(Metadata!E857,"not collected"),exact(Metadata!E857,"not provided"),exact(Metadata!E857,"restricted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R857">
        <f>IF(Metadata!F857="",FALSE,TRUE)</f>
        <v>0</v>
      </c>
      <c r="AS857">
        <f>OR(AND(IF(Metadata!G857="",FALSE,TRUE),OR(exact(Metadata!G857,"not collected"),exact(Metadata!G857,"not provided"))),AND(IF(Metadata!G857="",FALSE,TRUE),OR(exact(Metadata!G857,"TRUE"),exact(Metadata!G857,"FALSE"))))</f>
        <v>0</v>
      </c>
      <c r="AT857">
        <f>OR(AND(IF(Metadata!H857="",FALSE,TRUE),OR(exact(Metadata!H857,"not collected"),exact(Metadata!H857,"not provided"),exact(Metadata!H857,"restricted access"))),AND(IF(Metadata!H857="",FALSE,ISNUMBER(VALUE(Metadata!H857))),Metadata!H857&gt;=-413.0))</f>
        <v>0</v>
      </c>
      <c r="AU857">
        <f>AND(IF(Metadata!I857="",FALSE,TRUE),exact(Metadata!I857,"meters"))</f>
        <v>0</v>
      </c>
      <c r="AV857">
        <f>AND(IF(Metadata!J857="",FALSE,TRUE),OR(exact(Metadata!J857,"Host-associated"),exact(Metadata!J857,"Free-living")))</f>
        <v>0</v>
      </c>
      <c r="AW857">
        <f>AND(IF(Metadata!K857="",FALSE,TRUE),OR(exact(Metadata!K857,"Animal"),exact(Metadata!K857,"Fungus"),exact(Metadata!K857,"Plant"),exact(Metadata!K857,"Saline"),exact(Metadata!K857,"Non-saline")))</f>
        <v>0</v>
      </c>
      <c r="AX857">
        <f>AND(IF(Metadata!L857="",FALSE,TRUE),OR(exact(Metadata!L857,"Plant secretion"),exact(Metadata!L857,"Plant rhizosphere"),exact(Metadata!L857,"Plant surface"),exact(Metadata!L857,"Plant corpus"),exact(Metadata!L857,"Fungus surface"),exact(Metadata!L857,"Fungus corpus"),exact(Metadata!L857,"Animal surface"),exact(Metadata!L857,"Animal proximal gut"),exact(Metadata!L857,"Animal corpus"),exact(Metadata!L857,"Animal distal gut"),exact(Metadata!L857,"Animal secretion"),exact(Metadata!L857,"Sub-surface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Y857">
        <f>IF(Metadata!M857="",FALSE,TRUE)</f>
        <v>0</v>
      </c>
      <c r="AZ857">
        <f>IF(Metadata!N857="",FALSE,TRUE)</f>
        <v>0</v>
      </c>
      <c r="BA857">
        <f>IF(Metadata!O857="",FALSE,TRUE)</f>
        <v>0</v>
      </c>
      <c r="BB857">
        <f>OR(AND(IF(Metadata!P857="",FALSE,TRUE),OR(exact(Metadata!P857,"not collected"),exact(Metadata!P857,"not provided"),exact(Metadata!P857,"restricted access"))),AND(IF(Metadata!P857="",FALSE,TRUE),OR(exact(Metadata!P857,"air"),exact(Metadata!P857,"built environment"),exact(Metadata!P857,"host-associated"),exact(Metadata!P857,"human-associated"),exact(Metadata!P857,"human-skin"),exact(Metadata!P857,"human-oral"),exact(Metadata!P857,"human-gut"),exact(Metadata!P857,"human-vaginal"),exact(Metadata!P857,"microbial mat/biofilm"),exact(Metadata!P857,"misc environment"),exact(Metadata!P857,"plant-associated"),exact(Metadata!P857,"sediment"),exact(Metadata!P857,"soil"),exact(Metadata!P857,"wastewater/sludge"),exact(Metadata!P857,"water"))))</f>
        <v>0</v>
      </c>
      <c r="BC857">
        <f>IF(Metadata!Q857="",FALSE,TRUE)</f>
        <v>0</v>
      </c>
      <c r="BD857">
        <f>IF(Metadata!R857="",FALSE,TRUE)</f>
        <v>0</v>
      </c>
      <c r="BE857">
        <f>OR(AND(IF(Metadata!S857="",FALSE,TRUE),OR(exact(Metadata!S857,"not collected"),exact(Metadata!S857,"not provided"),exact(Metadata!S857,"restricted access"))),AND(IF(Metadata!S857="",FALSE,ISNUMBER(VALUE(Metadata!S857))),Metadata!S857&gt;=-90.00,Metadata!S857&lt;=90.00))</f>
        <v>0</v>
      </c>
      <c r="BF857">
        <f>AND(IF(Metadata!T857="",FALSE,TRUE),exact(Metadata!T857,"Decimal degrees"))</f>
        <v>0</v>
      </c>
      <c r="BG857">
        <f>OR(AND(IF(Metadata!U857="",FALSE,TRUE),OR(exact(Metadata!U857,"not collected"),exact(Metadata!U857,"not provided"),exact(Metadata!U857,"restricted access"))),AND(IF(Metadata!U857="",FALSE,ISNUMBER(VALUE(Metadata!U857))),Metadata!U857&gt;=-180.00,Metadata!U857&lt;=180.00))</f>
        <v>0</v>
      </c>
      <c r="BH857">
        <f>AND(IF(Metadata!V857="",FALSE,TRUE),exact(Metadata!V857,"Decimal degrees"))</f>
        <v>0</v>
      </c>
      <c r="BI857">
        <f>IF(Metadata!W857="",FALSE,TRUE)</f>
        <v>0</v>
      </c>
      <c r="BJ857">
        <f>OR(AND(IF(Metadata!X857="",FALSE,TRUE),OR(exact(Metadata!X857,"not collected"),exact(Metadata!X857,"not provided"),exact(Metadata!X857,"restricted access"))),AND(IF(Metadata!X857="",FALSE,TRUE),OR(exact(Metadata!X857,"TRUE"),exact(Metadata!X857,"FALSE"))))</f>
        <v>0</v>
      </c>
      <c r="BK857">
        <f>AND(IF(Metadata!Y857="",FALSE,TRUE),exact(Metadata!Y857,"other"))</f>
        <v>0</v>
      </c>
      <c r="BL857">
        <f>IF(Metadata!Z857="",FALSE,TRUE)</f>
        <v>0</v>
      </c>
      <c r="BM857">
        <f>OR(AND(IF(Metadata!AA857="",FALSE,TRUE),OR(exact(Metadata!AA857,"not collected"),exact(Metadata!AA857,"not provided"))),AND(IF(Metadata!AA857="",FALSE,IF(ISERROR(INT(Metadata!AA857)),FALSE,INT(Metadata!AA857)=Metadata!AA857)),Metadata!AA857&gt;0))</f>
        <v>0</v>
      </c>
      <c r="BN857">
        <f>AND(IF(Metadata!AB857="",FALSE,TRUE),exact(Metadata!AB857,"Not applicable"))</f>
        <v>0</v>
      </c>
      <c r="BO857">
        <f>IF(Metadata!AC857="",FALSE,TRUE)</f>
        <v>0</v>
      </c>
    </row>
    <row r="858" spans="1:67">
      <c r="A858" s="5">
        <f>IF(B858=" "," ",HYPERLINK(CONCATENATE("#metadata!",ADDRESS(INDEX($AI$2:$AI$1001,MATCH(ROWS($AG$2:AG858),$AG$2:$AG$1001,0),0),1)),INDEX($AL$2:$AL$1001,MATCH(ROWS($AG$2:AG858),$AG$2:$AG$1001,0),0)))</f>
        <v>0</v>
      </c>
      <c r="B858" s="4">
        <f>IF(OR(INDEX($AH$2:$AH$1001,MATCH(ROWS($AG$2:AG858),$AG$2:$AG$1001,0),1)&gt;=100000,INDEX($AN$1005:$BO$1005,1,MATCH(COLUMNS($AN$1006:AN1006),$AN$1006:$BO$1006,0))&gt;=100000), " ",IF(INDEX($AN$2:$BO$1001,MATCH(ROWS($AG$2:AG858),$AG$2:$AG$1001,0),MATCH(COLUMNS($AN$1006:AN1006),$AN$1006:$BO$1006,0)), HYPERLINK("#",""), HYPERLINK(CONCATENATE("#Metadata!", ADDRESS(INDEX($AI$2:$AI$1001,MATCH(ROWS($AG$2:AG858),$AG$2:$AG$1001,0),0), INDEX($AN$1004:$BO$1004,1,MATCH(COLUMNS($AN$1006:AN1006),$AN$1006:$BO$1006,0)))),"Fix")))</f>
        <v>0</v>
      </c>
      <c r="C858" s="4">
        <f>IF(OR(INDEX($AH$2:$AH$1001,MATCH(ROWS($AG$2:AG858),$AG$2:$AG$1001,0),1)&gt;=100000,INDEX($AN$1005:$BO$1005,1,MATCH(COLUMNS($AN$1006:AO1006),$AN$1006:$BO$1006,0))&gt;=100000), " ",IF(INDEX($AN$2:$BO$1001,MATCH(ROWS($AG$2:AG858),$AG$2:$AG$1001,0),MATCH(COLUMNS($AN$1006:AO1006),$AN$1006:$BO$1006,0)), HYPERLINK("#",""), HYPERLINK(CONCATENATE("#Metadata!", ADDRESS(INDEX($AI$2:$AI$1001,MATCH(ROWS($AG$2:AG858),$AG$2:$AG$1001,0),0), INDEX($AN$1004:$BO$1004,1,MATCH(COLUMNS($AN$1006:AO1006),$AN$1006:$BO$1006,0)))),"Fix")))</f>
        <v>0</v>
      </c>
      <c r="D858" s="4">
        <f>IF(OR(INDEX($AH$2:$AH$1001,MATCH(ROWS($AG$2:AG858),$AG$2:$AG$1001,0),1)&gt;=100000,INDEX($AN$1005:$BO$1005,1,MATCH(COLUMNS($AN$1006:AP1006),$AN$1006:$BO$1006,0))&gt;=100000), " ",IF(INDEX($AN$2:$BO$1001,MATCH(ROWS($AG$2:AG858),$AG$2:$AG$1001,0),MATCH(COLUMNS($AN$1006:AP1006),$AN$1006:$BO$1006,0)), HYPERLINK("#",""), HYPERLINK(CONCATENATE("#Metadata!", ADDRESS(INDEX($AI$2:$AI$1001,MATCH(ROWS($AG$2:AG858),$AG$2:$AG$1001,0),0), INDEX($AN$1004:$BO$1004,1,MATCH(COLUMNS($AN$1006:AP1006),$AN$1006:$BO$1006,0)))),"Fix")))</f>
        <v>0</v>
      </c>
      <c r="E858" s="4">
        <f>IF(OR(INDEX($AH$2:$AH$1001,MATCH(ROWS($AG$2:AG858),$AG$2:$AG$1001,0),1)&gt;=100000,INDEX($AN$1005:$BO$1005,1,MATCH(COLUMNS($AN$1006:AQ1006),$AN$1006:$BO$1006,0))&gt;=100000), " ",IF(INDEX($AN$2:$BO$1001,MATCH(ROWS($AG$2:AG858),$AG$2:$AG$1001,0),MATCH(COLUMNS($AN$1006:AQ1006),$AN$1006:$BO$1006,0)), HYPERLINK("#",""), HYPERLINK(CONCATENATE("#Metadata!", ADDRESS(INDEX($AI$2:$AI$1001,MATCH(ROWS($AG$2:AG858),$AG$2:$AG$1001,0),0), INDEX($AN$1004:$BO$1004,1,MATCH(COLUMNS($AN$1006:AQ1006),$AN$1006:$BO$1006,0)))),"Fix")))</f>
        <v>0</v>
      </c>
      <c r="F858" s="4">
        <f>IF(OR(INDEX($AH$2:$AH$1001,MATCH(ROWS($AG$2:AG858),$AG$2:$AG$1001,0),1)&gt;=100000,INDEX($AN$1005:$BO$1005,1,MATCH(COLUMNS($AN$1006:AR1006),$AN$1006:$BO$1006,0))&gt;=100000), " ",IF(INDEX($AN$2:$BO$1001,MATCH(ROWS($AG$2:AG858),$AG$2:$AG$1001,0),MATCH(COLUMNS($AN$1006:AR1006),$AN$1006:$BO$1006,0)), HYPERLINK("#",""), HYPERLINK(CONCATENATE("#Metadata!", ADDRESS(INDEX($AI$2:$AI$1001,MATCH(ROWS($AG$2:AG858),$AG$2:$AG$1001,0),0), INDEX($AN$1004:$BO$1004,1,MATCH(COLUMNS($AN$1006:AR1006),$AN$1006:$BO$1006,0)))),"Fix")))</f>
        <v>0</v>
      </c>
      <c r="G858" s="4">
        <f>IF(OR(INDEX($AH$2:$AH$1001,MATCH(ROWS($AG$2:AG858),$AG$2:$AG$1001,0),1)&gt;=100000,INDEX($AN$1005:$BO$1005,1,MATCH(COLUMNS($AN$1006:AS1006),$AN$1006:$BO$1006,0))&gt;=100000), " ",IF(INDEX($AN$2:$BO$1001,MATCH(ROWS($AG$2:AG858),$AG$2:$AG$1001,0),MATCH(COLUMNS($AN$1006:AS1006),$AN$1006:$BO$1006,0)), HYPERLINK("#",""), HYPERLINK(CONCATENATE("#Metadata!", ADDRESS(INDEX($AI$2:$AI$1001,MATCH(ROWS($AG$2:AG858),$AG$2:$AG$1001,0),0), INDEX($AN$1004:$BO$1004,1,MATCH(COLUMNS($AN$1006:AS1006),$AN$1006:$BO$1006,0)))),"Fix")))</f>
        <v>0</v>
      </c>
      <c r="H858" s="4">
        <f>IF(OR(INDEX($AH$2:$AH$1001,MATCH(ROWS($AG$2:AG858),$AG$2:$AG$1001,0),1)&gt;=100000,INDEX($AN$1005:$BO$1005,1,MATCH(COLUMNS($AN$1006:AT1006),$AN$1006:$BO$1006,0))&gt;=100000), " ",IF(INDEX($AN$2:$BO$1001,MATCH(ROWS($AG$2:AG858),$AG$2:$AG$1001,0),MATCH(COLUMNS($AN$1006:AT1006),$AN$1006:$BO$1006,0)), HYPERLINK("#",""), HYPERLINK(CONCATENATE("#Metadata!", ADDRESS(INDEX($AI$2:$AI$1001,MATCH(ROWS($AG$2:AG858),$AG$2:$AG$1001,0),0), INDEX($AN$1004:$BO$1004,1,MATCH(COLUMNS($AN$1006:AT1006),$AN$1006:$BO$1006,0)))),"Fix")))</f>
        <v>0</v>
      </c>
      <c r="I858" s="4">
        <f>IF(OR(INDEX($AH$2:$AH$1001,MATCH(ROWS($AG$2:AG858),$AG$2:$AG$1001,0),1)&gt;=100000,INDEX($AN$1005:$BO$1005,1,MATCH(COLUMNS($AN$1006:AU1006),$AN$1006:$BO$1006,0))&gt;=100000), " ",IF(INDEX($AN$2:$BO$1001,MATCH(ROWS($AG$2:AG858),$AG$2:$AG$1001,0),MATCH(COLUMNS($AN$1006:AU1006),$AN$1006:$BO$1006,0)), HYPERLINK("#",""), HYPERLINK(CONCATENATE("#Metadata!", ADDRESS(INDEX($AI$2:$AI$1001,MATCH(ROWS($AG$2:AG858),$AG$2:$AG$1001,0),0), INDEX($AN$1004:$BO$1004,1,MATCH(COLUMNS($AN$1006:AU1006),$AN$1006:$BO$1006,0)))),"Fix")))</f>
        <v>0</v>
      </c>
      <c r="J858" s="4">
        <f>IF(OR(INDEX($AH$2:$AH$1001,MATCH(ROWS($AG$2:AG858),$AG$2:$AG$1001,0),1)&gt;=100000,INDEX($AN$1005:$BO$1005,1,MATCH(COLUMNS($AN$1006:AV1006),$AN$1006:$BO$1006,0))&gt;=100000), " ",IF(INDEX($AN$2:$BO$1001,MATCH(ROWS($AG$2:AG858),$AG$2:$AG$1001,0),MATCH(COLUMNS($AN$1006:AV1006),$AN$1006:$BO$1006,0)), HYPERLINK("#",""), HYPERLINK(CONCATENATE("#Metadata!", ADDRESS(INDEX($AI$2:$AI$1001,MATCH(ROWS($AG$2:AG858),$AG$2:$AG$1001,0),0), INDEX($AN$1004:$BO$1004,1,MATCH(COLUMNS($AN$1006:AV1006),$AN$1006:$BO$1006,0)))),"Fix")))</f>
        <v>0</v>
      </c>
      <c r="K858" s="4">
        <f>IF(OR(INDEX($AH$2:$AH$1001,MATCH(ROWS($AG$2:AG858),$AG$2:$AG$1001,0),1)&gt;=100000,INDEX($AN$1005:$BO$1005,1,MATCH(COLUMNS($AN$1006:AW1006),$AN$1006:$BO$1006,0))&gt;=100000), " ",IF(INDEX($AN$2:$BO$1001,MATCH(ROWS($AG$2:AG858),$AG$2:$AG$1001,0),MATCH(COLUMNS($AN$1006:AW1006),$AN$1006:$BO$1006,0)), HYPERLINK("#",""), HYPERLINK(CONCATENATE("#Metadata!", ADDRESS(INDEX($AI$2:$AI$1001,MATCH(ROWS($AG$2:AG858),$AG$2:$AG$1001,0),0), INDEX($AN$1004:$BO$1004,1,MATCH(COLUMNS($AN$1006:AW1006),$AN$1006:$BO$1006,0)))),"Fix")))</f>
        <v>0</v>
      </c>
      <c r="L858" s="4">
        <f>IF(OR(INDEX($AH$2:$AH$1001,MATCH(ROWS($AG$2:AG858),$AG$2:$AG$1001,0),1)&gt;=100000,INDEX($AN$1005:$BO$1005,1,MATCH(COLUMNS($AN$1006:AX1006),$AN$1006:$BO$1006,0))&gt;=100000), " ",IF(INDEX($AN$2:$BO$1001,MATCH(ROWS($AG$2:AG858),$AG$2:$AG$1001,0),MATCH(COLUMNS($AN$1006:AX1006),$AN$1006:$BO$1006,0)), HYPERLINK("#",""), HYPERLINK(CONCATENATE("#Metadata!", ADDRESS(INDEX($AI$2:$AI$1001,MATCH(ROWS($AG$2:AG858),$AG$2:$AG$1001,0),0), INDEX($AN$1004:$BO$1004,1,MATCH(COLUMNS($AN$1006:AX1006),$AN$1006:$BO$1006,0)))),"Fix")))</f>
        <v>0</v>
      </c>
      <c r="M858" s="4">
        <f>IF(OR(INDEX($AH$2:$AH$1001,MATCH(ROWS($AG$2:AG858),$AG$2:$AG$1001,0),1)&gt;=100000,INDEX($AN$1005:$BO$1005,1,MATCH(COLUMNS($AN$1006:AY1006),$AN$1006:$BO$1006,0))&gt;=100000), " ",IF(INDEX($AN$2:$BO$1001,MATCH(ROWS($AG$2:AG858),$AG$2:$AG$1001,0),MATCH(COLUMNS($AN$1006:AY1006),$AN$1006:$BO$1006,0)), HYPERLINK("#",""), HYPERLINK(CONCATENATE("#Metadata!", ADDRESS(INDEX($AI$2:$AI$1001,MATCH(ROWS($AG$2:AG858),$AG$2:$AG$1001,0),0), INDEX($AN$1004:$BO$1004,1,MATCH(COLUMNS($AN$1006:AY1006),$AN$1006:$BO$1006,0)))),"Fix")))</f>
        <v>0</v>
      </c>
      <c r="N858" s="4">
        <f>IF(OR(INDEX($AH$2:$AH$1001,MATCH(ROWS($AG$2:AG858),$AG$2:$AG$1001,0),1)&gt;=100000,INDEX($AN$1005:$BO$1005,1,MATCH(COLUMNS($AN$1006:AZ1006),$AN$1006:$BO$1006,0))&gt;=100000), " ",IF(INDEX($AN$2:$BO$1001,MATCH(ROWS($AG$2:AG858),$AG$2:$AG$1001,0),MATCH(COLUMNS($AN$1006:AZ1006),$AN$1006:$BO$1006,0)), HYPERLINK("#",""), HYPERLINK(CONCATENATE("#Metadata!", ADDRESS(INDEX($AI$2:$AI$1001,MATCH(ROWS($AG$2:AG858),$AG$2:$AG$1001,0),0), INDEX($AN$1004:$BO$1004,1,MATCH(COLUMNS($AN$1006:AZ1006),$AN$1006:$BO$1006,0)))),"Fix")))</f>
        <v>0</v>
      </c>
      <c r="O858" s="4">
        <f>IF(OR(INDEX($AH$2:$AH$1001,MATCH(ROWS($AG$2:AG858),$AG$2:$AG$1001,0),1)&gt;=100000,INDEX($AN$1005:$BO$1005,1,MATCH(COLUMNS($AN$1006:BA1006),$AN$1006:$BO$1006,0))&gt;=100000), " ",IF(INDEX($AN$2:$BO$1001,MATCH(ROWS($AG$2:AG858),$AG$2:$AG$1001,0),MATCH(COLUMNS($AN$1006:BA1006),$AN$1006:$BO$1006,0)), HYPERLINK("#",""), HYPERLINK(CONCATENATE("#Metadata!", ADDRESS(INDEX($AI$2:$AI$1001,MATCH(ROWS($AG$2:AG858),$AG$2:$AG$1001,0),0), INDEX($AN$1004:$BO$1004,1,MATCH(COLUMNS($AN$1006:BA1006),$AN$1006:$BO$1006,0)))),"Fix")))</f>
        <v>0</v>
      </c>
      <c r="P858" s="4">
        <f>IF(OR(INDEX($AH$2:$AH$1001,MATCH(ROWS($AG$2:AG858),$AG$2:$AG$1001,0),1)&gt;=100000,INDEX($AN$1005:$BO$1005,1,MATCH(COLUMNS($AN$1006:BB1006),$AN$1006:$BO$1006,0))&gt;=100000), " ",IF(INDEX($AN$2:$BO$1001,MATCH(ROWS($AG$2:AG858),$AG$2:$AG$1001,0),MATCH(COLUMNS($AN$1006:BB1006),$AN$1006:$BO$1006,0)), HYPERLINK("#",""), HYPERLINK(CONCATENATE("#Metadata!", ADDRESS(INDEX($AI$2:$AI$1001,MATCH(ROWS($AG$2:AG858),$AG$2:$AG$1001,0),0), INDEX($AN$1004:$BO$1004,1,MATCH(COLUMNS($AN$1006:BB1006),$AN$1006:$BO$1006,0)))),"Fix")))</f>
        <v>0</v>
      </c>
      <c r="Q858" s="4">
        <f>IF(OR(INDEX($AH$2:$AH$1001,MATCH(ROWS($AG$2:AG858),$AG$2:$AG$1001,0),1)&gt;=100000,INDEX($AN$1005:$BO$1005,1,MATCH(COLUMNS($AN$1006:BC1006),$AN$1006:$BO$1006,0))&gt;=100000), " ",IF(INDEX($AN$2:$BO$1001,MATCH(ROWS($AG$2:AG858),$AG$2:$AG$1001,0),MATCH(COLUMNS($AN$1006:BC1006),$AN$1006:$BO$1006,0)), HYPERLINK("#",""), HYPERLINK(CONCATENATE("#Metadata!", ADDRESS(INDEX($AI$2:$AI$1001,MATCH(ROWS($AG$2:AG858),$AG$2:$AG$1001,0),0), INDEX($AN$1004:$BO$1004,1,MATCH(COLUMNS($AN$1006:BC1006),$AN$1006:$BO$1006,0)))),"Fix")))</f>
        <v>0</v>
      </c>
      <c r="R858" s="4">
        <f>IF(OR(INDEX($AH$2:$AH$1001,MATCH(ROWS($AG$2:AG858),$AG$2:$AG$1001,0),1)&gt;=100000,INDEX($AN$1005:$BO$1005,1,MATCH(COLUMNS($AN$1006:BD1006),$AN$1006:$BO$1006,0))&gt;=100000), " ",IF(INDEX($AN$2:$BO$1001,MATCH(ROWS($AG$2:AG858),$AG$2:$AG$1001,0),MATCH(COLUMNS($AN$1006:BD1006),$AN$1006:$BO$1006,0)), HYPERLINK("#",""), HYPERLINK(CONCATENATE("#Metadata!", ADDRESS(INDEX($AI$2:$AI$1001,MATCH(ROWS($AG$2:AG858),$AG$2:$AG$1001,0),0), INDEX($AN$1004:$BO$1004,1,MATCH(COLUMNS($AN$1006:BD1006),$AN$1006:$BO$1006,0)))),"Fix")))</f>
        <v>0</v>
      </c>
      <c r="S858" s="4">
        <f>IF(OR(INDEX($AH$2:$AH$1001,MATCH(ROWS($AG$2:AG858),$AG$2:$AG$1001,0),1)&gt;=100000,INDEX($AN$1005:$BO$1005,1,MATCH(COLUMNS($AN$1006:BE1006),$AN$1006:$BO$1006,0))&gt;=100000), " ",IF(INDEX($AN$2:$BO$1001,MATCH(ROWS($AG$2:AG858),$AG$2:$AG$1001,0),MATCH(COLUMNS($AN$1006:BE1006),$AN$1006:$BO$1006,0)), HYPERLINK("#",""), HYPERLINK(CONCATENATE("#Metadata!", ADDRESS(INDEX($AI$2:$AI$1001,MATCH(ROWS($AG$2:AG858),$AG$2:$AG$1001,0),0), INDEX($AN$1004:$BO$1004,1,MATCH(COLUMNS($AN$1006:BE1006),$AN$1006:$BO$1006,0)))),"Fix")))</f>
        <v>0</v>
      </c>
      <c r="T858" s="4">
        <f>IF(OR(INDEX($AH$2:$AH$1001,MATCH(ROWS($AG$2:AG858),$AG$2:$AG$1001,0),1)&gt;=100000,INDEX($AN$1005:$BO$1005,1,MATCH(COLUMNS($AN$1006:BF1006),$AN$1006:$BO$1006,0))&gt;=100000), " ",IF(INDEX($AN$2:$BO$1001,MATCH(ROWS($AG$2:AG858),$AG$2:$AG$1001,0),MATCH(COLUMNS($AN$1006:BF1006),$AN$1006:$BO$1006,0)), HYPERLINK("#",""), HYPERLINK(CONCATENATE("#Metadata!", ADDRESS(INDEX($AI$2:$AI$1001,MATCH(ROWS($AG$2:AG858),$AG$2:$AG$1001,0),0), INDEX($AN$1004:$BO$1004,1,MATCH(COLUMNS($AN$1006:BF1006),$AN$1006:$BO$1006,0)))),"Fix")))</f>
        <v>0</v>
      </c>
      <c r="U858" s="4">
        <f>IF(OR(INDEX($AH$2:$AH$1001,MATCH(ROWS($AG$2:AG858),$AG$2:$AG$1001,0),1)&gt;=100000,INDEX($AN$1005:$BO$1005,1,MATCH(COLUMNS($AN$1006:BG1006),$AN$1006:$BO$1006,0))&gt;=100000), " ",IF(INDEX($AN$2:$BO$1001,MATCH(ROWS($AG$2:AG858),$AG$2:$AG$1001,0),MATCH(COLUMNS($AN$1006:BG1006),$AN$1006:$BO$1006,0)), HYPERLINK("#",""), HYPERLINK(CONCATENATE("#Metadata!", ADDRESS(INDEX($AI$2:$AI$1001,MATCH(ROWS($AG$2:AG858),$AG$2:$AG$1001,0),0), INDEX($AN$1004:$BO$1004,1,MATCH(COLUMNS($AN$1006:BG1006),$AN$1006:$BO$1006,0)))),"Fix")))</f>
        <v>0</v>
      </c>
      <c r="V858" s="4">
        <f>IF(OR(INDEX($AH$2:$AH$1001,MATCH(ROWS($AG$2:AG858),$AG$2:$AG$1001,0),1)&gt;=100000,INDEX($AN$1005:$BO$1005,1,MATCH(COLUMNS($AN$1006:BH1006),$AN$1006:$BO$1006,0))&gt;=100000), " ",IF(INDEX($AN$2:$BO$1001,MATCH(ROWS($AG$2:AG858),$AG$2:$AG$1001,0),MATCH(COLUMNS($AN$1006:BH1006),$AN$1006:$BO$1006,0)), HYPERLINK("#",""), HYPERLINK(CONCATENATE("#Metadata!", ADDRESS(INDEX($AI$2:$AI$1001,MATCH(ROWS($AG$2:AG858),$AG$2:$AG$1001,0),0), INDEX($AN$1004:$BO$1004,1,MATCH(COLUMNS($AN$1006:BH1006),$AN$1006:$BO$1006,0)))),"Fix")))</f>
        <v>0</v>
      </c>
      <c r="W858" s="4">
        <f>IF(OR(INDEX($AH$2:$AH$1001,MATCH(ROWS($AG$2:AG858),$AG$2:$AG$1001,0),1)&gt;=100000,INDEX($AN$1005:$BO$1005,1,MATCH(COLUMNS($AN$1006:BI1006),$AN$1006:$BO$1006,0))&gt;=100000), " ",IF(INDEX($AN$2:$BO$1001,MATCH(ROWS($AG$2:AG858),$AG$2:$AG$1001,0),MATCH(COLUMNS($AN$1006:BI1006),$AN$1006:$BO$1006,0)), HYPERLINK("#",""), HYPERLINK(CONCATENATE("#Metadata!", ADDRESS(INDEX($AI$2:$AI$1001,MATCH(ROWS($AG$2:AG858),$AG$2:$AG$1001,0),0), INDEX($AN$1004:$BO$1004,1,MATCH(COLUMNS($AN$1006:BI1006),$AN$1006:$BO$1006,0)))),"Fix")))</f>
        <v>0</v>
      </c>
      <c r="X858" s="4">
        <f>IF(OR(INDEX($AH$2:$AH$1001,MATCH(ROWS($AG$2:AG858),$AG$2:$AG$1001,0),1)&gt;=100000,INDEX($AN$1005:$BO$1005,1,MATCH(COLUMNS($AN$1006:BJ1006),$AN$1006:$BO$1006,0))&gt;=100000), " ",IF(INDEX($AN$2:$BO$1001,MATCH(ROWS($AG$2:AG858),$AG$2:$AG$1001,0),MATCH(COLUMNS($AN$1006:BJ1006),$AN$1006:$BO$1006,0)), HYPERLINK("#",""), HYPERLINK(CONCATENATE("#Metadata!", ADDRESS(INDEX($AI$2:$AI$1001,MATCH(ROWS($AG$2:AG858),$AG$2:$AG$1001,0),0), INDEX($AN$1004:$BO$1004,1,MATCH(COLUMNS($AN$1006:BJ1006),$AN$1006:$BO$1006,0)))),"Fix")))</f>
        <v>0</v>
      </c>
      <c r="Y858" s="4">
        <f>IF(OR(INDEX($AH$2:$AH$1001,MATCH(ROWS($AG$2:AG858),$AG$2:$AG$1001,0),1)&gt;=100000,INDEX($AN$1005:$BO$1005,1,MATCH(COLUMNS($AN$1006:BK1006),$AN$1006:$BO$1006,0))&gt;=100000), " ",IF(INDEX($AN$2:$BO$1001,MATCH(ROWS($AG$2:AG858),$AG$2:$AG$1001,0),MATCH(COLUMNS($AN$1006:BK1006),$AN$1006:$BO$1006,0)), HYPERLINK("#",""), HYPERLINK(CONCATENATE("#Metadata!", ADDRESS(INDEX($AI$2:$AI$1001,MATCH(ROWS($AG$2:AG858),$AG$2:$AG$1001,0),0), INDEX($AN$1004:$BO$1004,1,MATCH(COLUMNS($AN$1006:BK1006),$AN$1006:$BO$1006,0)))),"Fix")))</f>
        <v>0</v>
      </c>
      <c r="Z858" s="4">
        <f>IF(OR(INDEX($AH$2:$AH$1001,MATCH(ROWS($AG$2:AG858),$AG$2:$AG$1001,0),1)&gt;=100000,INDEX($AN$1005:$BO$1005,1,MATCH(COLUMNS($AN$1006:BL1006),$AN$1006:$BO$1006,0))&gt;=100000), " ",IF(INDEX($AN$2:$BO$1001,MATCH(ROWS($AG$2:AG858),$AG$2:$AG$1001,0),MATCH(COLUMNS($AN$1006:BL1006),$AN$1006:$BO$1006,0)), HYPERLINK("#",""), HYPERLINK(CONCATENATE("#Metadata!", ADDRESS(INDEX($AI$2:$AI$1001,MATCH(ROWS($AG$2:AG858),$AG$2:$AG$1001,0),0), INDEX($AN$1004:$BO$1004,1,MATCH(COLUMNS($AN$1006:BL1006),$AN$1006:$BO$1006,0)))),"Fix")))</f>
        <v>0</v>
      </c>
      <c r="AA858" s="4">
        <f>IF(OR(INDEX($AH$2:$AH$1001,MATCH(ROWS($AG$2:AG858),$AG$2:$AG$1001,0),1)&gt;=100000,INDEX($AN$1005:$BO$1005,1,MATCH(COLUMNS($AN$1006:BM1006),$AN$1006:$BO$1006,0))&gt;=100000), " ",IF(INDEX($AN$2:$BO$1001,MATCH(ROWS($AG$2:AG858),$AG$2:$AG$1001,0),MATCH(COLUMNS($AN$1006:BM1006),$AN$1006:$BO$1006,0)), HYPERLINK("#",""), HYPERLINK(CONCATENATE("#Metadata!", ADDRESS(INDEX($AI$2:$AI$1001,MATCH(ROWS($AG$2:AG858),$AG$2:$AG$1001,0),0), INDEX($AN$1004:$BO$1004,1,MATCH(COLUMNS($AN$1006:BM1006),$AN$1006:$BO$1006,0)))),"Fix")))</f>
        <v>0</v>
      </c>
      <c r="AB858" s="4">
        <f>IF(OR(INDEX($AH$2:$AH$1001,MATCH(ROWS($AG$2:AG858),$AG$2:$AG$1001,0),1)&gt;=100000,INDEX($AN$1005:$BO$1005,1,MATCH(COLUMNS($AN$1006:BN1006),$AN$1006:$BO$1006,0))&gt;=100000), " ",IF(INDEX($AN$2:$BO$1001,MATCH(ROWS($AG$2:AG858),$AG$2:$AG$1001,0),MATCH(COLUMNS($AN$1006:BN1006),$AN$1006:$BO$1006,0)), HYPERLINK("#",""), HYPERLINK(CONCATENATE("#Metadata!", ADDRESS(INDEX($AI$2:$AI$1001,MATCH(ROWS($AG$2:AG858),$AG$2:$AG$1001,0),0), INDEX($AN$1004:$BO$1004,1,MATCH(COLUMNS($AN$1006:BN1006),$AN$1006:$BO$1006,0)))),"Fix")))</f>
        <v>0</v>
      </c>
      <c r="AC858" s="4">
        <f>IF(OR(INDEX($AH$2:$AH$1001,MATCH(ROWS($AG$2:AG858),$AG$2:$AG$1001,0),1)&gt;=100000,INDEX($AN$1005:$BO$1005,1,MATCH(COLUMNS($AN$1006:BO1006),$AN$1006:$BO$1006,0))&gt;=100000), " ",IF(INDEX($AN$2:$BO$1001,MATCH(ROWS($AG$2:AG858),$AG$2:$AG$1001,0),MATCH(COLUMNS($AN$1006:BO1006),$AN$1006:$BO$1006,0)), HYPERLINK("#",""), HYPERLINK(CONCATENATE("#Metadata!", ADDRESS(INDEX($AI$2:$AI$1001,MATCH(ROWS($AG$2:AG858),$AG$2:$AG$1001,0),0), INDEX($AN$1004:$BO$1004,1,MATCH(COLUMNS($AN$1006:BO1006),$AN$1006:$BO$1006,0)))),"Fix")))</f>
        <v>0</v>
      </c>
      <c r="AG858">
        <v>0</v>
      </c>
      <c r="AH858">
        <v>0</v>
      </c>
      <c r="AI858">
        <v>0</v>
      </c>
      <c r="AJ858">
        <f>IF(AK858,TRUE,AND(AN858:BO858))</f>
        <v>0</v>
      </c>
      <c r="AK858">
        <f>COUNTBLANK(Metadata!B858:AC858)=COLUMNS(Metadata!B858:AC858)</f>
        <v>0</v>
      </c>
      <c r="AL858">
        <v>0</v>
      </c>
      <c r="AN858">
        <f>AND(IF(Metadata!B858="",FALSE,TRUE),COUNTIF(Metadata!B:B, Metadata!B858) = 1,NOT(ISERROR(SUMPRODUCT(SEARCH(MID(Metadata!B858,ROW(INDIRECT("1:"&amp;LEN(Metadata!B858))), 1),"0123456789abcdefghijklmnopqrstuvwxyzABCDEFGHIJKLMNOPQRSTUVWXYZ.")))))</f>
        <v>0</v>
      </c>
      <c r="AO858">
        <f>IF(Metadata!C858="",FALSE,TRUE)</f>
        <v>0</v>
      </c>
      <c r="AP858">
        <f>IF(Metadata!D858="",FALSE,TRUE)</f>
        <v>0</v>
      </c>
      <c r="AQ858">
        <f>OR(AND(IF(Metadata!E858="",FALSE,TRUE),OR(exact(Metadata!E858,"not collected"),exact(Metadata!E858,"not provided"),exact(Metadata!E858,"restricted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R858">
        <f>IF(Metadata!F858="",FALSE,TRUE)</f>
        <v>0</v>
      </c>
      <c r="AS858">
        <f>OR(AND(IF(Metadata!G858="",FALSE,TRUE),OR(exact(Metadata!G858,"not collected"),exact(Metadata!G858,"not provided"))),AND(IF(Metadata!G858="",FALSE,TRUE),OR(exact(Metadata!G858,"TRUE"),exact(Metadata!G858,"FALSE"))))</f>
        <v>0</v>
      </c>
      <c r="AT858">
        <f>OR(AND(IF(Metadata!H858="",FALSE,TRUE),OR(exact(Metadata!H858,"not collected"),exact(Metadata!H858,"not provided"),exact(Metadata!H858,"restricted access"))),AND(IF(Metadata!H858="",FALSE,ISNUMBER(VALUE(Metadata!H858))),Metadata!H858&gt;=-413.0))</f>
        <v>0</v>
      </c>
      <c r="AU858">
        <f>AND(IF(Metadata!I858="",FALSE,TRUE),exact(Metadata!I858,"meters"))</f>
        <v>0</v>
      </c>
      <c r="AV858">
        <f>AND(IF(Metadata!J858="",FALSE,TRUE),OR(exact(Metadata!J858,"Host-associated"),exact(Metadata!J858,"Free-living")))</f>
        <v>0</v>
      </c>
      <c r="AW858">
        <f>AND(IF(Metadata!K858="",FALSE,TRUE),OR(exact(Metadata!K858,"Animal"),exact(Metadata!K858,"Fungus"),exact(Metadata!K858,"Plant"),exact(Metadata!K858,"Saline"),exact(Metadata!K858,"Non-saline")))</f>
        <v>0</v>
      </c>
      <c r="AX858">
        <f>AND(IF(Metadata!L858="",FALSE,TRUE),OR(exact(Metadata!L858,"Plant secretion"),exact(Metadata!L858,"Plant rhizosphere"),exact(Metadata!L858,"Plant surface"),exact(Metadata!L858,"Plant corpus"),exact(Metadata!L858,"Fungus surface"),exact(Metadata!L858,"Fungus corpus"),exact(Metadata!L858,"Animal surface"),exact(Metadata!L858,"Animal proximal gut"),exact(Metadata!L858,"Animal corpus"),exact(Metadata!L858,"Animal distal gut"),exact(Metadata!L858,"Animal secretion"),exact(Metadata!L858,"Sub-surface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Y858">
        <f>IF(Metadata!M858="",FALSE,TRUE)</f>
        <v>0</v>
      </c>
      <c r="AZ858">
        <f>IF(Metadata!N858="",FALSE,TRUE)</f>
        <v>0</v>
      </c>
      <c r="BA858">
        <f>IF(Metadata!O858="",FALSE,TRUE)</f>
        <v>0</v>
      </c>
      <c r="BB858">
        <f>OR(AND(IF(Metadata!P858="",FALSE,TRUE),OR(exact(Metadata!P858,"not collected"),exact(Metadata!P858,"not provided"),exact(Metadata!P858,"restricted access"))),AND(IF(Metadata!P858="",FALSE,TRUE),OR(exact(Metadata!P858,"air"),exact(Metadata!P858,"built environment"),exact(Metadata!P858,"host-associated"),exact(Metadata!P858,"human-associated"),exact(Metadata!P858,"human-skin"),exact(Metadata!P858,"human-oral"),exact(Metadata!P858,"human-gut"),exact(Metadata!P858,"human-vaginal"),exact(Metadata!P858,"microbial mat/biofilm"),exact(Metadata!P858,"misc environment"),exact(Metadata!P858,"plant-associated"),exact(Metadata!P858,"sediment"),exact(Metadata!P858,"soil"),exact(Metadata!P858,"wastewater/sludge"),exact(Metadata!P858,"water"))))</f>
        <v>0</v>
      </c>
      <c r="BC858">
        <f>IF(Metadata!Q858="",FALSE,TRUE)</f>
        <v>0</v>
      </c>
      <c r="BD858">
        <f>IF(Metadata!R858="",FALSE,TRUE)</f>
        <v>0</v>
      </c>
      <c r="BE858">
        <f>OR(AND(IF(Metadata!S858="",FALSE,TRUE),OR(exact(Metadata!S858,"not collected"),exact(Metadata!S858,"not provided"),exact(Metadata!S858,"restricted access"))),AND(IF(Metadata!S858="",FALSE,ISNUMBER(VALUE(Metadata!S858))),Metadata!S858&gt;=-90.00,Metadata!S858&lt;=90.00))</f>
        <v>0</v>
      </c>
      <c r="BF858">
        <f>AND(IF(Metadata!T858="",FALSE,TRUE),exact(Metadata!T858,"Decimal degrees"))</f>
        <v>0</v>
      </c>
      <c r="BG858">
        <f>OR(AND(IF(Metadata!U858="",FALSE,TRUE),OR(exact(Metadata!U858,"not collected"),exact(Metadata!U858,"not provided"),exact(Metadata!U858,"restricted access"))),AND(IF(Metadata!U858="",FALSE,ISNUMBER(VALUE(Metadata!U858))),Metadata!U858&gt;=-180.00,Metadata!U858&lt;=180.00))</f>
        <v>0</v>
      </c>
      <c r="BH858">
        <f>AND(IF(Metadata!V858="",FALSE,TRUE),exact(Metadata!V858,"Decimal degrees"))</f>
        <v>0</v>
      </c>
      <c r="BI858">
        <f>IF(Metadata!W858="",FALSE,TRUE)</f>
        <v>0</v>
      </c>
      <c r="BJ858">
        <f>OR(AND(IF(Metadata!X858="",FALSE,TRUE),OR(exact(Metadata!X858,"not collected"),exact(Metadata!X858,"not provided"),exact(Metadata!X858,"restricted access"))),AND(IF(Metadata!X858="",FALSE,TRUE),OR(exact(Metadata!X858,"TRUE"),exact(Metadata!X858,"FALSE"))))</f>
        <v>0</v>
      </c>
      <c r="BK858">
        <f>AND(IF(Metadata!Y858="",FALSE,TRUE),exact(Metadata!Y858,"other"))</f>
        <v>0</v>
      </c>
      <c r="BL858">
        <f>IF(Metadata!Z858="",FALSE,TRUE)</f>
        <v>0</v>
      </c>
      <c r="BM858">
        <f>OR(AND(IF(Metadata!AA858="",FALSE,TRUE),OR(exact(Metadata!AA858,"not collected"),exact(Metadata!AA858,"not provided"))),AND(IF(Metadata!AA858="",FALSE,IF(ISERROR(INT(Metadata!AA858)),FALSE,INT(Metadata!AA858)=Metadata!AA858)),Metadata!AA858&gt;0))</f>
        <v>0</v>
      </c>
      <c r="BN858">
        <f>AND(IF(Metadata!AB858="",FALSE,TRUE),exact(Metadata!AB858,"Not applicable"))</f>
        <v>0</v>
      </c>
      <c r="BO858">
        <f>IF(Metadata!AC858="",FALSE,TRUE)</f>
        <v>0</v>
      </c>
    </row>
    <row r="859" spans="1:67">
      <c r="A859" s="5">
        <f>IF(B859=" "," ",HYPERLINK(CONCATENATE("#metadata!",ADDRESS(INDEX($AI$2:$AI$1001,MATCH(ROWS($AG$2:AG859),$AG$2:$AG$1001,0),0),1)),INDEX($AL$2:$AL$1001,MATCH(ROWS($AG$2:AG859),$AG$2:$AG$1001,0),0)))</f>
        <v>0</v>
      </c>
      <c r="B859" s="4">
        <f>IF(OR(INDEX($AH$2:$AH$1001,MATCH(ROWS($AG$2:AG859),$AG$2:$AG$1001,0),1)&gt;=100000,INDEX($AN$1005:$BO$1005,1,MATCH(COLUMNS($AN$1006:AN1006),$AN$1006:$BO$1006,0))&gt;=100000), " ",IF(INDEX($AN$2:$BO$1001,MATCH(ROWS($AG$2:AG859),$AG$2:$AG$1001,0),MATCH(COLUMNS($AN$1006:AN1006),$AN$1006:$BO$1006,0)), HYPERLINK("#",""), HYPERLINK(CONCATENATE("#Metadata!", ADDRESS(INDEX($AI$2:$AI$1001,MATCH(ROWS($AG$2:AG859),$AG$2:$AG$1001,0),0), INDEX($AN$1004:$BO$1004,1,MATCH(COLUMNS($AN$1006:AN1006),$AN$1006:$BO$1006,0)))),"Fix")))</f>
        <v>0</v>
      </c>
      <c r="C859" s="4">
        <f>IF(OR(INDEX($AH$2:$AH$1001,MATCH(ROWS($AG$2:AG859),$AG$2:$AG$1001,0),1)&gt;=100000,INDEX($AN$1005:$BO$1005,1,MATCH(COLUMNS($AN$1006:AO1006),$AN$1006:$BO$1006,0))&gt;=100000), " ",IF(INDEX($AN$2:$BO$1001,MATCH(ROWS($AG$2:AG859),$AG$2:$AG$1001,0),MATCH(COLUMNS($AN$1006:AO1006),$AN$1006:$BO$1006,0)), HYPERLINK("#",""), HYPERLINK(CONCATENATE("#Metadata!", ADDRESS(INDEX($AI$2:$AI$1001,MATCH(ROWS($AG$2:AG859),$AG$2:$AG$1001,0),0), INDEX($AN$1004:$BO$1004,1,MATCH(COLUMNS($AN$1006:AO1006),$AN$1006:$BO$1006,0)))),"Fix")))</f>
        <v>0</v>
      </c>
      <c r="D859" s="4">
        <f>IF(OR(INDEX($AH$2:$AH$1001,MATCH(ROWS($AG$2:AG859),$AG$2:$AG$1001,0),1)&gt;=100000,INDEX($AN$1005:$BO$1005,1,MATCH(COLUMNS($AN$1006:AP1006),$AN$1006:$BO$1006,0))&gt;=100000), " ",IF(INDEX($AN$2:$BO$1001,MATCH(ROWS($AG$2:AG859),$AG$2:$AG$1001,0),MATCH(COLUMNS($AN$1006:AP1006),$AN$1006:$BO$1006,0)), HYPERLINK("#",""), HYPERLINK(CONCATENATE("#Metadata!", ADDRESS(INDEX($AI$2:$AI$1001,MATCH(ROWS($AG$2:AG859),$AG$2:$AG$1001,0),0), INDEX($AN$1004:$BO$1004,1,MATCH(COLUMNS($AN$1006:AP1006),$AN$1006:$BO$1006,0)))),"Fix")))</f>
        <v>0</v>
      </c>
      <c r="E859" s="4">
        <f>IF(OR(INDEX($AH$2:$AH$1001,MATCH(ROWS($AG$2:AG859),$AG$2:$AG$1001,0),1)&gt;=100000,INDEX($AN$1005:$BO$1005,1,MATCH(COLUMNS($AN$1006:AQ1006),$AN$1006:$BO$1006,0))&gt;=100000), " ",IF(INDEX($AN$2:$BO$1001,MATCH(ROWS($AG$2:AG859),$AG$2:$AG$1001,0),MATCH(COLUMNS($AN$1006:AQ1006),$AN$1006:$BO$1006,0)), HYPERLINK("#",""), HYPERLINK(CONCATENATE("#Metadata!", ADDRESS(INDEX($AI$2:$AI$1001,MATCH(ROWS($AG$2:AG859),$AG$2:$AG$1001,0),0), INDEX($AN$1004:$BO$1004,1,MATCH(COLUMNS($AN$1006:AQ1006),$AN$1006:$BO$1006,0)))),"Fix")))</f>
        <v>0</v>
      </c>
      <c r="F859" s="4">
        <f>IF(OR(INDEX($AH$2:$AH$1001,MATCH(ROWS($AG$2:AG859),$AG$2:$AG$1001,0),1)&gt;=100000,INDEX($AN$1005:$BO$1005,1,MATCH(COLUMNS($AN$1006:AR1006),$AN$1006:$BO$1006,0))&gt;=100000), " ",IF(INDEX($AN$2:$BO$1001,MATCH(ROWS($AG$2:AG859),$AG$2:$AG$1001,0),MATCH(COLUMNS($AN$1006:AR1006),$AN$1006:$BO$1006,0)), HYPERLINK("#",""), HYPERLINK(CONCATENATE("#Metadata!", ADDRESS(INDEX($AI$2:$AI$1001,MATCH(ROWS($AG$2:AG859),$AG$2:$AG$1001,0),0), INDEX($AN$1004:$BO$1004,1,MATCH(COLUMNS($AN$1006:AR1006),$AN$1006:$BO$1006,0)))),"Fix")))</f>
        <v>0</v>
      </c>
      <c r="G859" s="4">
        <f>IF(OR(INDEX($AH$2:$AH$1001,MATCH(ROWS($AG$2:AG859),$AG$2:$AG$1001,0),1)&gt;=100000,INDEX($AN$1005:$BO$1005,1,MATCH(COLUMNS($AN$1006:AS1006),$AN$1006:$BO$1006,0))&gt;=100000), " ",IF(INDEX($AN$2:$BO$1001,MATCH(ROWS($AG$2:AG859),$AG$2:$AG$1001,0),MATCH(COLUMNS($AN$1006:AS1006),$AN$1006:$BO$1006,0)), HYPERLINK("#",""), HYPERLINK(CONCATENATE("#Metadata!", ADDRESS(INDEX($AI$2:$AI$1001,MATCH(ROWS($AG$2:AG859),$AG$2:$AG$1001,0),0), INDEX($AN$1004:$BO$1004,1,MATCH(COLUMNS($AN$1006:AS1006),$AN$1006:$BO$1006,0)))),"Fix")))</f>
        <v>0</v>
      </c>
      <c r="H859" s="4">
        <f>IF(OR(INDEX($AH$2:$AH$1001,MATCH(ROWS($AG$2:AG859),$AG$2:$AG$1001,0),1)&gt;=100000,INDEX($AN$1005:$BO$1005,1,MATCH(COLUMNS($AN$1006:AT1006),$AN$1006:$BO$1006,0))&gt;=100000), " ",IF(INDEX($AN$2:$BO$1001,MATCH(ROWS($AG$2:AG859),$AG$2:$AG$1001,0),MATCH(COLUMNS($AN$1006:AT1006),$AN$1006:$BO$1006,0)), HYPERLINK("#",""), HYPERLINK(CONCATENATE("#Metadata!", ADDRESS(INDEX($AI$2:$AI$1001,MATCH(ROWS($AG$2:AG859),$AG$2:$AG$1001,0),0), INDEX($AN$1004:$BO$1004,1,MATCH(COLUMNS($AN$1006:AT1006),$AN$1006:$BO$1006,0)))),"Fix")))</f>
        <v>0</v>
      </c>
      <c r="I859" s="4">
        <f>IF(OR(INDEX($AH$2:$AH$1001,MATCH(ROWS($AG$2:AG859),$AG$2:$AG$1001,0),1)&gt;=100000,INDEX($AN$1005:$BO$1005,1,MATCH(COLUMNS($AN$1006:AU1006),$AN$1006:$BO$1006,0))&gt;=100000), " ",IF(INDEX($AN$2:$BO$1001,MATCH(ROWS($AG$2:AG859),$AG$2:$AG$1001,0),MATCH(COLUMNS($AN$1006:AU1006),$AN$1006:$BO$1006,0)), HYPERLINK("#",""), HYPERLINK(CONCATENATE("#Metadata!", ADDRESS(INDEX($AI$2:$AI$1001,MATCH(ROWS($AG$2:AG859),$AG$2:$AG$1001,0),0), INDEX($AN$1004:$BO$1004,1,MATCH(COLUMNS($AN$1006:AU1006),$AN$1006:$BO$1006,0)))),"Fix")))</f>
        <v>0</v>
      </c>
      <c r="J859" s="4">
        <f>IF(OR(INDEX($AH$2:$AH$1001,MATCH(ROWS($AG$2:AG859),$AG$2:$AG$1001,0),1)&gt;=100000,INDEX($AN$1005:$BO$1005,1,MATCH(COLUMNS($AN$1006:AV1006),$AN$1006:$BO$1006,0))&gt;=100000), " ",IF(INDEX($AN$2:$BO$1001,MATCH(ROWS($AG$2:AG859),$AG$2:$AG$1001,0),MATCH(COLUMNS($AN$1006:AV1006),$AN$1006:$BO$1006,0)), HYPERLINK("#",""), HYPERLINK(CONCATENATE("#Metadata!", ADDRESS(INDEX($AI$2:$AI$1001,MATCH(ROWS($AG$2:AG859),$AG$2:$AG$1001,0),0), INDEX($AN$1004:$BO$1004,1,MATCH(COLUMNS($AN$1006:AV1006),$AN$1006:$BO$1006,0)))),"Fix")))</f>
        <v>0</v>
      </c>
      <c r="K859" s="4">
        <f>IF(OR(INDEX($AH$2:$AH$1001,MATCH(ROWS($AG$2:AG859),$AG$2:$AG$1001,0),1)&gt;=100000,INDEX($AN$1005:$BO$1005,1,MATCH(COLUMNS($AN$1006:AW1006),$AN$1006:$BO$1006,0))&gt;=100000), " ",IF(INDEX($AN$2:$BO$1001,MATCH(ROWS($AG$2:AG859),$AG$2:$AG$1001,0),MATCH(COLUMNS($AN$1006:AW1006),$AN$1006:$BO$1006,0)), HYPERLINK("#",""), HYPERLINK(CONCATENATE("#Metadata!", ADDRESS(INDEX($AI$2:$AI$1001,MATCH(ROWS($AG$2:AG859),$AG$2:$AG$1001,0),0), INDEX($AN$1004:$BO$1004,1,MATCH(COLUMNS($AN$1006:AW1006),$AN$1006:$BO$1006,0)))),"Fix")))</f>
        <v>0</v>
      </c>
      <c r="L859" s="4">
        <f>IF(OR(INDEX($AH$2:$AH$1001,MATCH(ROWS($AG$2:AG859),$AG$2:$AG$1001,0),1)&gt;=100000,INDEX($AN$1005:$BO$1005,1,MATCH(COLUMNS($AN$1006:AX1006),$AN$1006:$BO$1006,0))&gt;=100000), " ",IF(INDEX($AN$2:$BO$1001,MATCH(ROWS($AG$2:AG859),$AG$2:$AG$1001,0),MATCH(COLUMNS($AN$1006:AX1006),$AN$1006:$BO$1006,0)), HYPERLINK("#",""), HYPERLINK(CONCATENATE("#Metadata!", ADDRESS(INDEX($AI$2:$AI$1001,MATCH(ROWS($AG$2:AG859),$AG$2:$AG$1001,0),0), INDEX($AN$1004:$BO$1004,1,MATCH(COLUMNS($AN$1006:AX1006),$AN$1006:$BO$1006,0)))),"Fix")))</f>
        <v>0</v>
      </c>
      <c r="M859" s="4">
        <f>IF(OR(INDEX($AH$2:$AH$1001,MATCH(ROWS($AG$2:AG859),$AG$2:$AG$1001,0),1)&gt;=100000,INDEX($AN$1005:$BO$1005,1,MATCH(COLUMNS($AN$1006:AY1006),$AN$1006:$BO$1006,0))&gt;=100000), " ",IF(INDEX($AN$2:$BO$1001,MATCH(ROWS($AG$2:AG859),$AG$2:$AG$1001,0),MATCH(COLUMNS($AN$1006:AY1006),$AN$1006:$BO$1006,0)), HYPERLINK("#",""), HYPERLINK(CONCATENATE("#Metadata!", ADDRESS(INDEX($AI$2:$AI$1001,MATCH(ROWS($AG$2:AG859),$AG$2:$AG$1001,0),0), INDEX($AN$1004:$BO$1004,1,MATCH(COLUMNS($AN$1006:AY1006),$AN$1006:$BO$1006,0)))),"Fix")))</f>
        <v>0</v>
      </c>
      <c r="N859" s="4">
        <f>IF(OR(INDEX($AH$2:$AH$1001,MATCH(ROWS($AG$2:AG859),$AG$2:$AG$1001,0),1)&gt;=100000,INDEX($AN$1005:$BO$1005,1,MATCH(COLUMNS($AN$1006:AZ1006),$AN$1006:$BO$1006,0))&gt;=100000), " ",IF(INDEX($AN$2:$BO$1001,MATCH(ROWS($AG$2:AG859),$AG$2:$AG$1001,0),MATCH(COLUMNS($AN$1006:AZ1006),$AN$1006:$BO$1006,0)), HYPERLINK("#",""), HYPERLINK(CONCATENATE("#Metadata!", ADDRESS(INDEX($AI$2:$AI$1001,MATCH(ROWS($AG$2:AG859),$AG$2:$AG$1001,0),0), INDEX($AN$1004:$BO$1004,1,MATCH(COLUMNS($AN$1006:AZ1006),$AN$1006:$BO$1006,0)))),"Fix")))</f>
        <v>0</v>
      </c>
      <c r="O859" s="4">
        <f>IF(OR(INDEX($AH$2:$AH$1001,MATCH(ROWS($AG$2:AG859),$AG$2:$AG$1001,0),1)&gt;=100000,INDEX($AN$1005:$BO$1005,1,MATCH(COLUMNS($AN$1006:BA1006),$AN$1006:$BO$1006,0))&gt;=100000), " ",IF(INDEX($AN$2:$BO$1001,MATCH(ROWS($AG$2:AG859),$AG$2:$AG$1001,0),MATCH(COLUMNS($AN$1006:BA1006),$AN$1006:$BO$1006,0)), HYPERLINK("#",""), HYPERLINK(CONCATENATE("#Metadata!", ADDRESS(INDEX($AI$2:$AI$1001,MATCH(ROWS($AG$2:AG859),$AG$2:$AG$1001,0),0), INDEX($AN$1004:$BO$1004,1,MATCH(COLUMNS($AN$1006:BA1006),$AN$1006:$BO$1006,0)))),"Fix")))</f>
        <v>0</v>
      </c>
      <c r="P859" s="4">
        <f>IF(OR(INDEX($AH$2:$AH$1001,MATCH(ROWS($AG$2:AG859),$AG$2:$AG$1001,0),1)&gt;=100000,INDEX($AN$1005:$BO$1005,1,MATCH(COLUMNS($AN$1006:BB1006),$AN$1006:$BO$1006,0))&gt;=100000), " ",IF(INDEX($AN$2:$BO$1001,MATCH(ROWS($AG$2:AG859),$AG$2:$AG$1001,0),MATCH(COLUMNS($AN$1006:BB1006),$AN$1006:$BO$1006,0)), HYPERLINK("#",""), HYPERLINK(CONCATENATE("#Metadata!", ADDRESS(INDEX($AI$2:$AI$1001,MATCH(ROWS($AG$2:AG859),$AG$2:$AG$1001,0),0), INDEX($AN$1004:$BO$1004,1,MATCH(COLUMNS($AN$1006:BB1006),$AN$1006:$BO$1006,0)))),"Fix")))</f>
        <v>0</v>
      </c>
      <c r="Q859" s="4">
        <f>IF(OR(INDEX($AH$2:$AH$1001,MATCH(ROWS($AG$2:AG859),$AG$2:$AG$1001,0),1)&gt;=100000,INDEX($AN$1005:$BO$1005,1,MATCH(COLUMNS($AN$1006:BC1006),$AN$1006:$BO$1006,0))&gt;=100000), " ",IF(INDEX($AN$2:$BO$1001,MATCH(ROWS($AG$2:AG859),$AG$2:$AG$1001,0),MATCH(COLUMNS($AN$1006:BC1006),$AN$1006:$BO$1006,0)), HYPERLINK("#",""), HYPERLINK(CONCATENATE("#Metadata!", ADDRESS(INDEX($AI$2:$AI$1001,MATCH(ROWS($AG$2:AG859),$AG$2:$AG$1001,0),0), INDEX($AN$1004:$BO$1004,1,MATCH(COLUMNS($AN$1006:BC1006),$AN$1006:$BO$1006,0)))),"Fix")))</f>
        <v>0</v>
      </c>
      <c r="R859" s="4">
        <f>IF(OR(INDEX($AH$2:$AH$1001,MATCH(ROWS($AG$2:AG859),$AG$2:$AG$1001,0),1)&gt;=100000,INDEX($AN$1005:$BO$1005,1,MATCH(COLUMNS($AN$1006:BD1006),$AN$1006:$BO$1006,0))&gt;=100000), " ",IF(INDEX($AN$2:$BO$1001,MATCH(ROWS($AG$2:AG859),$AG$2:$AG$1001,0),MATCH(COLUMNS($AN$1006:BD1006),$AN$1006:$BO$1006,0)), HYPERLINK("#",""), HYPERLINK(CONCATENATE("#Metadata!", ADDRESS(INDEX($AI$2:$AI$1001,MATCH(ROWS($AG$2:AG859),$AG$2:$AG$1001,0),0), INDEX($AN$1004:$BO$1004,1,MATCH(COLUMNS($AN$1006:BD1006),$AN$1006:$BO$1006,0)))),"Fix")))</f>
        <v>0</v>
      </c>
      <c r="S859" s="4">
        <f>IF(OR(INDEX($AH$2:$AH$1001,MATCH(ROWS($AG$2:AG859),$AG$2:$AG$1001,0),1)&gt;=100000,INDEX($AN$1005:$BO$1005,1,MATCH(COLUMNS($AN$1006:BE1006),$AN$1006:$BO$1006,0))&gt;=100000), " ",IF(INDEX($AN$2:$BO$1001,MATCH(ROWS($AG$2:AG859),$AG$2:$AG$1001,0),MATCH(COLUMNS($AN$1006:BE1006),$AN$1006:$BO$1006,0)), HYPERLINK("#",""), HYPERLINK(CONCATENATE("#Metadata!", ADDRESS(INDEX($AI$2:$AI$1001,MATCH(ROWS($AG$2:AG859),$AG$2:$AG$1001,0),0), INDEX($AN$1004:$BO$1004,1,MATCH(COLUMNS($AN$1006:BE1006),$AN$1006:$BO$1006,0)))),"Fix")))</f>
        <v>0</v>
      </c>
      <c r="T859" s="4">
        <f>IF(OR(INDEX($AH$2:$AH$1001,MATCH(ROWS($AG$2:AG859),$AG$2:$AG$1001,0),1)&gt;=100000,INDEX($AN$1005:$BO$1005,1,MATCH(COLUMNS($AN$1006:BF1006),$AN$1006:$BO$1006,0))&gt;=100000), " ",IF(INDEX($AN$2:$BO$1001,MATCH(ROWS($AG$2:AG859),$AG$2:$AG$1001,0),MATCH(COLUMNS($AN$1006:BF1006),$AN$1006:$BO$1006,0)), HYPERLINK("#",""), HYPERLINK(CONCATENATE("#Metadata!", ADDRESS(INDEX($AI$2:$AI$1001,MATCH(ROWS($AG$2:AG859),$AG$2:$AG$1001,0),0), INDEX($AN$1004:$BO$1004,1,MATCH(COLUMNS($AN$1006:BF1006),$AN$1006:$BO$1006,0)))),"Fix")))</f>
        <v>0</v>
      </c>
      <c r="U859" s="4">
        <f>IF(OR(INDEX($AH$2:$AH$1001,MATCH(ROWS($AG$2:AG859),$AG$2:$AG$1001,0),1)&gt;=100000,INDEX($AN$1005:$BO$1005,1,MATCH(COLUMNS($AN$1006:BG1006),$AN$1006:$BO$1006,0))&gt;=100000), " ",IF(INDEX($AN$2:$BO$1001,MATCH(ROWS($AG$2:AG859),$AG$2:$AG$1001,0),MATCH(COLUMNS($AN$1006:BG1006),$AN$1006:$BO$1006,0)), HYPERLINK("#",""), HYPERLINK(CONCATENATE("#Metadata!", ADDRESS(INDEX($AI$2:$AI$1001,MATCH(ROWS($AG$2:AG859),$AG$2:$AG$1001,0),0), INDEX($AN$1004:$BO$1004,1,MATCH(COLUMNS($AN$1006:BG1006),$AN$1006:$BO$1006,0)))),"Fix")))</f>
        <v>0</v>
      </c>
      <c r="V859" s="4">
        <f>IF(OR(INDEX($AH$2:$AH$1001,MATCH(ROWS($AG$2:AG859),$AG$2:$AG$1001,0),1)&gt;=100000,INDEX($AN$1005:$BO$1005,1,MATCH(COLUMNS($AN$1006:BH1006),$AN$1006:$BO$1006,0))&gt;=100000), " ",IF(INDEX($AN$2:$BO$1001,MATCH(ROWS($AG$2:AG859),$AG$2:$AG$1001,0),MATCH(COLUMNS($AN$1006:BH1006),$AN$1006:$BO$1006,0)), HYPERLINK("#",""), HYPERLINK(CONCATENATE("#Metadata!", ADDRESS(INDEX($AI$2:$AI$1001,MATCH(ROWS($AG$2:AG859),$AG$2:$AG$1001,0),0), INDEX($AN$1004:$BO$1004,1,MATCH(COLUMNS($AN$1006:BH1006),$AN$1006:$BO$1006,0)))),"Fix")))</f>
        <v>0</v>
      </c>
      <c r="W859" s="4">
        <f>IF(OR(INDEX($AH$2:$AH$1001,MATCH(ROWS($AG$2:AG859),$AG$2:$AG$1001,0),1)&gt;=100000,INDEX($AN$1005:$BO$1005,1,MATCH(COLUMNS($AN$1006:BI1006),$AN$1006:$BO$1006,0))&gt;=100000), " ",IF(INDEX($AN$2:$BO$1001,MATCH(ROWS($AG$2:AG859),$AG$2:$AG$1001,0),MATCH(COLUMNS($AN$1006:BI1006),$AN$1006:$BO$1006,0)), HYPERLINK("#",""), HYPERLINK(CONCATENATE("#Metadata!", ADDRESS(INDEX($AI$2:$AI$1001,MATCH(ROWS($AG$2:AG859),$AG$2:$AG$1001,0),0), INDEX($AN$1004:$BO$1004,1,MATCH(COLUMNS($AN$1006:BI1006),$AN$1006:$BO$1006,0)))),"Fix")))</f>
        <v>0</v>
      </c>
      <c r="X859" s="4">
        <f>IF(OR(INDEX($AH$2:$AH$1001,MATCH(ROWS($AG$2:AG859),$AG$2:$AG$1001,0),1)&gt;=100000,INDEX($AN$1005:$BO$1005,1,MATCH(COLUMNS($AN$1006:BJ1006),$AN$1006:$BO$1006,0))&gt;=100000), " ",IF(INDEX($AN$2:$BO$1001,MATCH(ROWS($AG$2:AG859),$AG$2:$AG$1001,0),MATCH(COLUMNS($AN$1006:BJ1006),$AN$1006:$BO$1006,0)), HYPERLINK("#",""), HYPERLINK(CONCATENATE("#Metadata!", ADDRESS(INDEX($AI$2:$AI$1001,MATCH(ROWS($AG$2:AG859),$AG$2:$AG$1001,0),0), INDEX($AN$1004:$BO$1004,1,MATCH(COLUMNS($AN$1006:BJ1006),$AN$1006:$BO$1006,0)))),"Fix")))</f>
        <v>0</v>
      </c>
      <c r="Y859" s="4">
        <f>IF(OR(INDEX($AH$2:$AH$1001,MATCH(ROWS($AG$2:AG859),$AG$2:$AG$1001,0),1)&gt;=100000,INDEX($AN$1005:$BO$1005,1,MATCH(COLUMNS($AN$1006:BK1006),$AN$1006:$BO$1006,0))&gt;=100000), " ",IF(INDEX($AN$2:$BO$1001,MATCH(ROWS($AG$2:AG859),$AG$2:$AG$1001,0),MATCH(COLUMNS($AN$1006:BK1006),$AN$1006:$BO$1006,0)), HYPERLINK("#",""), HYPERLINK(CONCATENATE("#Metadata!", ADDRESS(INDEX($AI$2:$AI$1001,MATCH(ROWS($AG$2:AG859),$AG$2:$AG$1001,0),0), INDEX($AN$1004:$BO$1004,1,MATCH(COLUMNS($AN$1006:BK1006),$AN$1006:$BO$1006,0)))),"Fix")))</f>
        <v>0</v>
      </c>
      <c r="Z859" s="4">
        <f>IF(OR(INDEX($AH$2:$AH$1001,MATCH(ROWS($AG$2:AG859),$AG$2:$AG$1001,0),1)&gt;=100000,INDEX($AN$1005:$BO$1005,1,MATCH(COLUMNS($AN$1006:BL1006),$AN$1006:$BO$1006,0))&gt;=100000), " ",IF(INDEX($AN$2:$BO$1001,MATCH(ROWS($AG$2:AG859),$AG$2:$AG$1001,0),MATCH(COLUMNS($AN$1006:BL1006),$AN$1006:$BO$1006,0)), HYPERLINK("#",""), HYPERLINK(CONCATENATE("#Metadata!", ADDRESS(INDEX($AI$2:$AI$1001,MATCH(ROWS($AG$2:AG859),$AG$2:$AG$1001,0),0), INDEX($AN$1004:$BO$1004,1,MATCH(COLUMNS($AN$1006:BL1006),$AN$1006:$BO$1006,0)))),"Fix")))</f>
        <v>0</v>
      </c>
      <c r="AA859" s="4">
        <f>IF(OR(INDEX($AH$2:$AH$1001,MATCH(ROWS($AG$2:AG859),$AG$2:$AG$1001,0),1)&gt;=100000,INDEX($AN$1005:$BO$1005,1,MATCH(COLUMNS($AN$1006:BM1006),$AN$1006:$BO$1006,0))&gt;=100000), " ",IF(INDEX($AN$2:$BO$1001,MATCH(ROWS($AG$2:AG859),$AG$2:$AG$1001,0),MATCH(COLUMNS($AN$1006:BM1006),$AN$1006:$BO$1006,0)), HYPERLINK("#",""), HYPERLINK(CONCATENATE("#Metadata!", ADDRESS(INDEX($AI$2:$AI$1001,MATCH(ROWS($AG$2:AG859),$AG$2:$AG$1001,0),0), INDEX($AN$1004:$BO$1004,1,MATCH(COLUMNS($AN$1006:BM1006),$AN$1006:$BO$1006,0)))),"Fix")))</f>
        <v>0</v>
      </c>
      <c r="AB859" s="4">
        <f>IF(OR(INDEX($AH$2:$AH$1001,MATCH(ROWS($AG$2:AG859),$AG$2:$AG$1001,0),1)&gt;=100000,INDEX($AN$1005:$BO$1005,1,MATCH(COLUMNS($AN$1006:BN1006),$AN$1006:$BO$1006,0))&gt;=100000), " ",IF(INDEX($AN$2:$BO$1001,MATCH(ROWS($AG$2:AG859),$AG$2:$AG$1001,0),MATCH(COLUMNS($AN$1006:BN1006),$AN$1006:$BO$1006,0)), HYPERLINK("#",""), HYPERLINK(CONCATENATE("#Metadata!", ADDRESS(INDEX($AI$2:$AI$1001,MATCH(ROWS($AG$2:AG859),$AG$2:$AG$1001,0),0), INDEX($AN$1004:$BO$1004,1,MATCH(COLUMNS($AN$1006:BN1006),$AN$1006:$BO$1006,0)))),"Fix")))</f>
        <v>0</v>
      </c>
      <c r="AC859" s="4">
        <f>IF(OR(INDEX($AH$2:$AH$1001,MATCH(ROWS($AG$2:AG859),$AG$2:$AG$1001,0),1)&gt;=100000,INDEX($AN$1005:$BO$1005,1,MATCH(COLUMNS($AN$1006:BO1006),$AN$1006:$BO$1006,0))&gt;=100000), " ",IF(INDEX($AN$2:$BO$1001,MATCH(ROWS($AG$2:AG859),$AG$2:$AG$1001,0),MATCH(COLUMNS($AN$1006:BO1006),$AN$1006:$BO$1006,0)), HYPERLINK("#",""), HYPERLINK(CONCATENATE("#Metadata!", ADDRESS(INDEX($AI$2:$AI$1001,MATCH(ROWS($AG$2:AG859),$AG$2:$AG$1001,0),0), INDEX($AN$1004:$BO$1004,1,MATCH(COLUMNS($AN$1006:BO1006),$AN$1006:$BO$1006,0)))),"Fix")))</f>
        <v>0</v>
      </c>
      <c r="AG859">
        <v>0</v>
      </c>
      <c r="AH859">
        <v>0</v>
      </c>
      <c r="AI859">
        <v>0</v>
      </c>
      <c r="AJ859">
        <f>IF(AK859,TRUE,AND(AN859:BO859))</f>
        <v>0</v>
      </c>
      <c r="AK859">
        <f>COUNTBLANK(Metadata!B859:AC859)=COLUMNS(Metadata!B859:AC859)</f>
        <v>0</v>
      </c>
      <c r="AL859">
        <v>0</v>
      </c>
      <c r="AN859">
        <f>AND(IF(Metadata!B859="",FALSE,TRUE),COUNTIF(Metadata!B:B, Metadata!B859) = 1,NOT(ISERROR(SUMPRODUCT(SEARCH(MID(Metadata!B859,ROW(INDIRECT("1:"&amp;LEN(Metadata!B859))), 1),"0123456789abcdefghijklmnopqrstuvwxyzABCDEFGHIJKLMNOPQRSTUVWXYZ.")))))</f>
        <v>0</v>
      </c>
      <c r="AO859">
        <f>IF(Metadata!C859="",FALSE,TRUE)</f>
        <v>0</v>
      </c>
      <c r="AP859">
        <f>IF(Metadata!D859="",FALSE,TRUE)</f>
        <v>0</v>
      </c>
      <c r="AQ859">
        <f>OR(AND(IF(Metadata!E859="",FALSE,TRUE),OR(exact(Metadata!E859,"not collected"),exact(Metadata!E859,"not provided"),exact(Metadata!E859,"restricted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R859">
        <f>IF(Metadata!F859="",FALSE,TRUE)</f>
        <v>0</v>
      </c>
      <c r="AS859">
        <f>OR(AND(IF(Metadata!G859="",FALSE,TRUE),OR(exact(Metadata!G859,"not collected"),exact(Metadata!G859,"not provided"))),AND(IF(Metadata!G859="",FALSE,TRUE),OR(exact(Metadata!G859,"TRUE"),exact(Metadata!G859,"FALSE"))))</f>
        <v>0</v>
      </c>
      <c r="AT859">
        <f>OR(AND(IF(Metadata!H859="",FALSE,TRUE),OR(exact(Metadata!H859,"not collected"),exact(Metadata!H859,"not provided"),exact(Metadata!H859,"restricted access"))),AND(IF(Metadata!H859="",FALSE,ISNUMBER(VALUE(Metadata!H859))),Metadata!H859&gt;=-413.0))</f>
        <v>0</v>
      </c>
      <c r="AU859">
        <f>AND(IF(Metadata!I859="",FALSE,TRUE),exact(Metadata!I859,"meters"))</f>
        <v>0</v>
      </c>
      <c r="AV859">
        <f>AND(IF(Metadata!J859="",FALSE,TRUE),OR(exact(Metadata!J859,"Host-associated"),exact(Metadata!J859,"Free-living")))</f>
        <v>0</v>
      </c>
      <c r="AW859">
        <f>AND(IF(Metadata!K859="",FALSE,TRUE),OR(exact(Metadata!K859,"Animal"),exact(Metadata!K859,"Fungus"),exact(Metadata!K859,"Plant"),exact(Metadata!K859,"Saline"),exact(Metadata!K859,"Non-saline")))</f>
        <v>0</v>
      </c>
      <c r="AX859">
        <f>AND(IF(Metadata!L859="",FALSE,TRUE),OR(exact(Metadata!L859,"Plant secretion"),exact(Metadata!L859,"Plant rhizosphere"),exact(Metadata!L859,"Plant surface"),exact(Metadata!L859,"Plant corpus"),exact(Metadata!L859,"Fungus surface"),exact(Metadata!L859,"Fungus corpus"),exact(Metadata!L859,"Animal surface"),exact(Metadata!L859,"Animal proximal gut"),exact(Metadata!L859,"Animal corpus"),exact(Metadata!L859,"Animal distal gut"),exact(Metadata!L859,"Animal secretion"),exact(Metadata!L859,"Sub-surface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Y859">
        <f>IF(Metadata!M859="",FALSE,TRUE)</f>
        <v>0</v>
      </c>
      <c r="AZ859">
        <f>IF(Metadata!N859="",FALSE,TRUE)</f>
        <v>0</v>
      </c>
      <c r="BA859">
        <f>IF(Metadata!O859="",FALSE,TRUE)</f>
        <v>0</v>
      </c>
      <c r="BB859">
        <f>OR(AND(IF(Metadata!P859="",FALSE,TRUE),OR(exact(Metadata!P859,"not collected"),exact(Metadata!P859,"not provided"),exact(Metadata!P859,"restricted access"))),AND(IF(Metadata!P859="",FALSE,TRUE),OR(exact(Metadata!P859,"air"),exact(Metadata!P859,"built environment"),exact(Metadata!P859,"host-associated"),exact(Metadata!P859,"human-associated"),exact(Metadata!P859,"human-skin"),exact(Metadata!P859,"human-oral"),exact(Metadata!P859,"human-gut"),exact(Metadata!P859,"human-vaginal"),exact(Metadata!P859,"microbial mat/biofilm"),exact(Metadata!P859,"misc environment"),exact(Metadata!P859,"plant-associated"),exact(Metadata!P859,"sediment"),exact(Metadata!P859,"soil"),exact(Metadata!P859,"wastewater/sludge"),exact(Metadata!P859,"water"))))</f>
        <v>0</v>
      </c>
      <c r="BC859">
        <f>IF(Metadata!Q859="",FALSE,TRUE)</f>
        <v>0</v>
      </c>
      <c r="BD859">
        <f>IF(Metadata!R859="",FALSE,TRUE)</f>
        <v>0</v>
      </c>
      <c r="BE859">
        <f>OR(AND(IF(Metadata!S859="",FALSE,TRUE),OR(exact(Metadata!S859,"not collected"),exact(Metadata!S859,"not provided"),exact(Metadata!S859,"restricted access"))),AND(IF(Metadata!S859="",FALSE,ISNUMBER(VALUE(Metadata!S859))),Metadata!S859&gt;=-90.00,Metadata!S859&lt;=90.00))</f>
        <v>0</v>
      </c>
      <c r="BF859">
        <f>AND(IF(Metadata!T859="",FALSE,TRUE),exact(Metadata!T859,"Decimal degrees"))</f>
        <v>0</v>
      </c>
      <c r="BG859">
        <f>OR(AND(IF(Metadata!U859="",FALSE,TRUE),OR(exact(Metadata!U859,"not collected"),exact(Metadata!U859,"not provided"),exact(Metadata!U859,"restricted access"))),AND(IF(Metadata!U859="",FALSE,ISNUMBER(VALUE(Metadata!U859))),Metadata!U859&gt;=-180.00,Metadata!U859&lt;=180.00))</f>
        <v>0</v>
      </c>
      <c r="BH859">
        <f>AND(IF(Metadata!V859="",FALSE,TRUE),exact(Metadata!V859,"Decimal degrees"))</f>
        <v>0</v>
      </c>
      <c r="BI859">
        <f>IF(Metadata!W859="",FALSE,TRUE)</f>
        <v>0</v>
      </c>
      <c r="BJ859">
        <f>OR(AND(IF(Metadata!X859="",FALSE,TRUE),OR(exact(Metadata!X859,"not collected"),exact(Metadata!X859,"not provided"),exact(Metadata!X859,"restricted access"))),AND(IF(Metadata!X859="",FALSE,TRUE),OR(exact(Metadata!X859,"TRUE"),exact(Metadata!X859,"FALSE"))))</f>
        <v>0</v>
      </c>
      <c r="BK859">
        <f>AND(IF(Metadata!Y859="",FALSE,TRUE),exact(Metadata!Y859,"other"))</f>
        <v>0</v>
      </c>
      <c r="BL859">
        <f>IF(Metadata!Z859="",FALSE,TRUE)</f>
        <v>0</v>
      </c>
      <c r="BM859">
        <f>OR(AND(IF(Metadata!AA859="",FALSE,TRUE),OR(exact(Metadata!AA859,"not collected"),exact(Metadata!AA859,"not provided"))),AND(IF(Metadata!AA859="",FALSE,IF(ISERROR(INT(Metadata!AA859)),FALSE,INT(Metadata!AA859)=Metadata!AA859)),Metadata!AA859&gt;0))</f>
        <v>0</v>
      </c>
      <c r="BN859">
        <f>AND(IF(Metadata!AB859="",FALSE,TRUE),exact(Metadata!AB859,"Not applicable"))</f>
        <v>0</v>
      </c>
      <c r="BO859">
        <f>IF(Metadata!AC859="",FALSE,TRUE)</f>
        <v>0</v>
      </c>
    </row>
    <row r="860" spans="1:67">
      <c r="A860" s="5">
        <f>IF(B860=" "," ",HYPERLINK(CONCATENATE("#metadata!",ADDRESS(INDEX($AI$2:$AI$1001,MATCH(ROWS($AG$2:AG860),$AG$2:$AG$1001,0),0),1)),INDEX($AL$2:$AL$1001,MATCH(ROWS($AG$2:AG860),$AG$2:$AG$1001,0),0)))</f>
        <v>0</v>
      </c>
      <c r="B860" s="4">
        <f>IF(OR(INDEX($AH$2:$AH$1001,MATCH(ROWS($AG$2:AG860),$AG$2:$AG$1001,0),1)&gt;=100000,INDEX($AN$1005:$BO$1005,1,MATCH(COLUMNS($AN$1006:AN1006),$AN$1006:$BO$1006,0))&gt;=100000), " ",IF(INDEX($AN$2:$BO$1001,MATCH(ROWS($AG$2:AG860),$AG$2:$AG$1001,0),MATCH(COLUMNS($AN$1006:AN1006),$AN$1006:$BO$1006,0)), HYPERLINK("#",""), HYPERLINK(CONCATENATE("#Metadata!", ADDRESS(INDEX($AI$2:$AI$1001,MATCH(ROWS($AG$2:AG860),$AG$2:$AG$1001,0),0), INDEX($AN$1004:$BO$1004,1,MATCH(COLUMNS($AN$1006:AN1006),$AN$1006:$BO$1006,0)))),"Fix")))</f>
        <v>0</v>
      </c>
      <c r="C860" s="4">
        <f>IF(OR(INDEX($AH$2:$AH$1001,MATCH(ROWS($AG$2:AG860),$AG$2:$AG$1001,0),1)&gt;=100000,INDEX($AN$1005:$BO$1005,1,MATCH(COLUMNS($AN$1006:AO1006),$AN$1006:$BO$1006,0))&gt;=100000), " ",IF(INDEX($AN$2:$BO$1001,MATCH(ROWS($AG$2:AG860),$AG$2:$AG$1001,0),MATCH(COLUMNS($AN$1006:AO1006),$AN$1006:$BO$1006,0)), HYPERLINK("#",""), HYPERLINK(CONCATENATE("#Metadata!", ADDRESS(INDEX($AI$2:$AI$1001,MATCH(ROWS($AG$2:AG860),$AG$2:$AG$1001,0),0), INDEX($AN$1004:$BO$1004,1,MATCH(COLUMNS($AN$1006:AO1006),$AN$1006:$BO$1006,0)))),"Fix")))</f>
        <v>0</v>
      </c>
      <c r="D860" s="4">
        <f>IF(OR(INDEX($AH$2:$AH$1001,MATCH(ROWS($AG$2:AG860),$AG$2:$AG$1001,0),1)&gt;=100000,INDEX($AN$1005:$BO$1005,1,MATCH(COLUMNS($AN$1006:AP1006),$AN$1006:$BO$1006,0))&gt;=100000), " ",IF(INDEX($AN$2:$BO$1001,MATCH(ROWS($AG$2:AG860),$AG$2:$AG$1001,0),MATCH(COLUMNS($AN$1006:AP1006),$AN$1006:$BO$1006,0)), HYPERLINK("#",""), HYPERLINK(CONCATENATE("#Metadata!", ADDRESS(INDEX($AI$2:$AI$1001,MATCH(ROWS($AG$2:AG860),$AG$2:$AG$1001,0),0), INDEX($AN$1004:$BO$1004,1,MATCH(COLUMNS($AN$1006:AP1006),$AN$1006:$BO$1006,0)))),"Fix")))</f>
        <v>0</v>
      </c>
      <c r="E860" s="4">
        <f>IF(OR(INDEX($AH$2:$AH$1001,MATCH(ROWS($AG$2:AG860),$AG$2:$AG$1001,0),1)&gt;=100000,INDEX($AN$1005:$BO$1005,1,MATCH(COLUMNS($AN$1006:AQ1006),$AN$1006:$BO$1006,0))&gt;=100000), " ",IF(INDEX($AN$2:$BO$1001,MATCH(ROWS($AG$2:AG860),$AG$2:$AG$1001,0),MATCH(COLUMNS($AN$1006:AQ1006),$AN$1006:$BO$1006,0)), HYPERLINK("#",""), HYPERLINK(CONCATENATE("#Metadata!", ADDRESS(INDEX($AI$2:$AI$1001,MATCH(ROWS($AG$2:AG860),$AG$2:$AG$1001,0),0), INDEX($AN$1004:$BO$1004,1,MATCH(COLUMNS($AN$1006:AQ1006),$AN$1006:$BO$1006,0)))),"Fix")))</f>
        <v>0</v>
      </c>
      <c r="F860" s="4">
        <f>IF(OR(INDEX($AH$2:$AH$1001,MATCH(ROWS($AG$2:AG860),$AG$2:$AG$1001,0),1)&gt;=100000,INDEX($AN$1005:$BO$1005,1,MATCH(COLUMNS($AN$1006:AR1006),$AN$1006:$BO$1006,0))&gt;=100000), " ",IF(INDEX($AN$2:$BO$1001,MATCH(ROWS($AG$2:AG860),$AG$2:$AG$1001,0),MATCH(COLUMNS($AN$1006:AR1006),$AN$1006:$BO$1006,0)), HYPERLINK("#",""), HYPERLINK(CONCATENATE("#Metadata!", ADDRESS(INDEX($AI$2:$AI$1001,MATCH(ROWS($AG$2:AG860),$AG$2:$AG$1001,0),0), INDEX($AN$1004:$BO$1004,1,MATCH(COLUMNS($AN$1006:AR1006),$AN$1006:$BO$1006,0)))),"Fix")))</f>
        <v>0</v>
      </c>
      <c r="G860" s="4">
        <f>IF(OR(INDEX($AH$2:$AH$1001,MATCH(ROWS($AG$2:AG860),$AG$2:$AG$1001,0),1)&gt;=100000,INDEX($AN$1005:$BO$1005,1,MATCH(COLUMNS($AN$1006:AS1006),$AN$1006:$BO$1006,0))&gt;=100000), " ",IF(INDEX($AN$2:$BO$1001,MATCH(ROWS($AG$2:AG860),$AG$2:$AG$1001,0),MATCH(COLUMNS($AN$1006:AS1006),$AN$1006:$BO$1006,0)), HYPERLINK("#",""), HYPERLINK(CONCATENATE("#Metadata!", ADDRESS(INDEX($AI$2:$AI$1001,MATCH(ROWS($AG$2:AG860),$AG$2:$AG$1001,0),0), INDEX($AN$1004:$BO$1004,1,MATCH(COLUMNS($AN$1006:AS1006),$AN$1006:$BO$1006,0)))),"Fix")))</f>
        <v>0</v>
      </c>
      <c r="H860" s="4">
        <f>IF(OR(INDEX($AH$2:$AH$1001,MATCH(ROWS($AG$2:AG860),$AG$2:$AG$1001,0),1)&gt;=100000,INDEX($AN$1005:$BO$1005,1,MATCH(COLUMNS($AN$1006:AT1006),$AN$1006:$BO$1006,0))&gt;=100000), " ",IF(INDEX($AN$2:$BO$1001,MATCH(ROWS($AG$2:AG860),$AG$2:$AG$1001,0),MATCH(COLUMNS($AN$1006:AT1006),$AN$1006:$BO$1006,0)), HYPERLINK("#",""), HYPERLINK(CONCATENATE("#Metadata!", ADDRESS(INDEX($AI$2:$AI$1001,MATCH(ROWS($AG$2:AG860),$AG$2:$AG$1001,0),0), INDEX($AN$1004:$BO$1004,1,MATCH(COLUMNS($AN$1006:AT1006),$AN$1006:$BO$1006,0)))),"Fix")))</f>
        <v>0</v>
      </c>
      <c r="I860" s="4">
        <f>IF(OR(INDEX($AH$2:$AH$1001,MATCH(ROWS($AG$2:AG860),$AG$2:$AG$1001,0),1)&gt;=100000,INDEX($AN$1005:$BO$1005,1,MATCH(COLUMNS($AN$1006:AU1006),$AN$1006:$BO$1006,0))&gt;=100000), " ",IF(INDEX($AN$2:$BO$1001,MATCH(ROWS($AG$2:AG860),$AG$2:$AG$1001,0),MATCH(COLUMNS($AN$1006:AU1006),$AN$1006:$BO$1006,0)), HYPERLINK("#",""), HYPERLINK(CONCATENATE("#Metadata!", ADDRESS(INDEX($AI$2:$AI$1001,MATCH(ROWS($AG$2:AG860),$AG$2:$AG$1001,0),0), INDEX($AN$1004:$BO$1004,1,MATCH(COLUMNS($AN$1006:AU1006),$AN$1006:$BO$1006,0)))),"Fix")))</f>
        <v>0</v>
      </c>
      <c r="J860" s="4">
        <f>IF(OR(INDEX($AH$2:$AH$1001,MATCH(ROWS($AG$2:AG860),$AG$2:$AG$1001,0),1)&gt;=100000,INDEX($AN$1005:$BO$1005,1,MATCH(COLUMNS($AN$1006:AV1006),$AN$1006:$BO$1006,0))&gt;=100000), " ",IF(INDEX($AN$2:$BO$1001,MATCH(ROWS($AG$2:AG860),$AG$2:$AG$1001,0),MATCH(COLUMNS($AN$1006:AV1006),$AN$1006:$BO$1006,0)), HYPERLINK("#",""), HYPERLINK(CONCATENATE("#Metadata!", ADDRESS(INDEX($AI$2:$AI$1001,MATCH(ROWS($AG$2:AG860),$AG$2:$AG$1001,0),0), INDEX($AN$1004:$BO$1004,1,MATCH(COLUMNS($AN$1006:AV1006),$AN$1006:$BO$1006,0)))),"Fix")))</f>
        <v>0</v>
      </c>
      <c r="K860" s="4">
        <f>IF(OR(INDEX($AH$2:$AH$1001,MATCH(ROWS($AG$2:AG860),$AG$2:$AG$1001,0),1)&gt;=100000,INDEX($AN$1005:$BO$1005,1,MATCH(COLUMNS($AN$1006:AW1006),$AN$1006:$BO$1006,0))&gt;=100000), " ",IF(INDEX($AN$2:$BO$1001,MATCH(ROWS($AG$2:AG860),$AG$2:$AG$1001,0),MATCH(COLUMNS($AN$1006:AW1006),$AN$1006:$BO$1006,0)), HYPERLINK("#",""), HYPERLINK(CONCATENATE("#Metadata!", ADDRESS(INDEX($AI$2:$AI$1001,MATCH(ROWS($AG$2:AG860),$AG$2:$AG$1001,0),0), INDEX($AN$1004:$BO$1004,1,MATCH(COLUMNS($AN$1006:AW1006),$AN$1006:$BO$1006,0)))),"Fix")))</f>
        <v>0</v>
      </c>
      <c r="L860" s="4">
        <f>IF(OR(INDEX($AH$2:$AH$1001,MATCH(ROWS($AG$2:AG860),$AG$2:$AG$1001,0),1)&gt;=100000,INDEX($AN$1005:$BO$1005,1,MATCH(COLUMNS($AN$1006:AX1006),$AN$1006:$BO$1006,0))&gt;=100000), " ",IF(INDEX($AN$2:$BO$1001,MATCH(ROWS($AG$2:AG860),$AG$2:$AG$1001,0),MATCH(COLUMNS($AN$1006:AX1006),$AN$1006:$BO$1006,0)), HYPERLINK("#",""), HYPERLINK(CONCATENATE("#Metadata!", ADDRESS(INDEX($AI$2:$AI$1001,MATCH(ROWS($AG$2:AG860),$AG$2:$AG$1001,0),0), INDEX($AN$1004:$BO$1004,1,MATCH(COLUMNS($AN$1006:AX1006),$AN$1006:$BO$1006,0)))),"Fix")))</f>
        <v>0</v>
      </c>
      <c r="M860" s="4">
        <f>IF(OR(INDEX($AH$2:$AH$1001,MATCH(ROWS($AG$2:AG860),$AG$2:$AG$1001,0),1)&gt;=100000,INDEX($AN$1005:$BO$1005,1,MATCH(COLUMNS($AN$1006:AY1006),$AN$1006:$BO$1006,0))&gt;=100000), " ",IF(INDEX($AN$2:$BO$1001,MATCH(ROWS($AG$2:AG860),$AG$2:$AG$1001,0),MATCH(COLUMNS($AN$1006:AY1006),$AN$1006:$BO$1006,0)), HYPERLINK("#",""), HYPERLINK(CONCATENATE("#Metadata!", ADDRESS(INDEX($AI$2:$AI$1001,MATCH(ROWS($AG$2:AG860),$AG$2:$AG$1001,0),0), INDEX($AN$1004:$BO$1004,1,MATCH(COLUMNS($AN$1006:AY1006),$AN$1006:$BO$1006,0)))),"Fix")))</f>
        <v>0</v>
      </c>
      <c r="N860" s="4">
        <f>IF(OR(INDEX($AH$2:$AH$1001,MATCH(ROWS($AG$2:AG860),$AG$2:$AG$1001,0),1)&gt;=100000,INDEX($AN$1005:$BO$1005,1,MATCH(COLUMNS($AN$1006:AZ1006),$AN$1006:$BO$1006,0))&gt;=100000), " ",IF(INDEX($AN$2:$BO$1001,MATCH(ROWS($AG$2:AG860),$AG$2:$AG$1001,0),MATCH(COLUMNS($AN$1006:AZ1006),$AN$1006:$BO$1006,0)), HYPERLINK("#",""), HYPERLINK(CONCATENATE("#Metadata!", ADDRESS(INDEX($AI$2:$AI$1001,MATCH(ROWS($AG$2:AG860),$AG$2:$AG$1001,0),0), INDEX($AN$1004:$BO$1004,1,MATCH(COLUMNS($AN$1006:AZ1006),$AN$1006:$BO$1006,0)))),"Fix")))</f>
        <v>0</v>
      </c>
      <c r="O860" s="4">
        <f>IF(OR(INDEX($AH$2:$AH$1001,MATCH(ROWS($AG$2:AG860),$AG$2:$AG$1001,0),1)&gt;=100000,INDEX($AN$1005:$BO$1005,1,MATCH(COLUMNS($AN$1006:BA1006),$AN$1006:$BO$1006,0))&gt;=100000), " ",IF(INDEX($AN$2:$BO$1001,MATCH(ROWS($AG$2:AG860),$AG$2:$AG$1001,0),MATCH(COLUMNS($AN$1006:BA1006),$AN$1006:$BO$1006,0)), HYPERLINK("#",""), HYPERLINK(CONCATENATE("#Metadata!", ADDRESS(INDEX($AI$2:$AI$1001,MATCH(ROWS($AG$2:AG860),$AG$2:$AG$1001,0),0), INDEX($AN$1004:$BO$1004,1,MATCH(COLUMNS($AN$1006:BA1006),$AN$1006:$BO$1006,0)))),"Fix")))</f>
        <v>0</v>
      </c>
      <c r="P860" s="4">
        <f>IF(OR(INDEX($AH$2:$AH$1001,MATCH(ROWS($AG$2:AG860),$AG$2:$AG$1001,0),1)&gt;=100000,INDEX($AN$1005:$BO$1005,1,MATCH(COLUMNS($AN$1006:BB1006),$AN$1006:$BO$1006,0))&gt;=100000), " ",IF(INDEX($AN$2:$BO$1001,MATCH(ROWS($AG$2:AG860),$AG$2:$AG$1001,0),MATCH(COLUMNS($AN$1006:BB1006),$AN$1006:$BO$1006,0)), HYPERLINK("#",""), HYPERLINK(CONCATENATE("#Metadata!", ADDRESS(INDEX($AI$2:$AI$1001,MATCH(ROWS($AG$2:AG860),$AG$2:$AG$1001,0),0), INDEX($AN$1004:$BO$1004,1,MATCH(COLUMNS($AN$1006:BB1006),$AN$1006:$BO$1006,0)))),"Fix")))</f>
        <v>0</v>
      </c>
      <c r="Q860" s="4">
        <f>IF(OR(INDEX($AH$2:$AH$1001,MATCH(ROWS($AG$2:AG860),$AG$2:$AG$1001,0),1)&gt;=100000,INDEX($AN$1005:$BO$1005,1,MATCH(COLUMNS($AN$1006:BC1006),$AN$1006:$BO$1006,0))&gt;=100000), " ",IF(INDEX($AN$2:$BO$1001,MATCH(ROWS($AG$2:AG860),$AG$2:$AG$1001,0),MATCH(COLUMNS($AN$1006:BC1006),$AN$1006:$BO$1006,0)), HYPERLINK("#",""), HYPERLINK(CONCATENATE("#Metadata!", ADDRESS(INDEX($AI$2:$AI$1001,MATCH(ROWS($AG$2:AG860),$AG$2:$AG$1001,0),0), INDEX($AN$1004:$BO$1004,1,MATCH(COLUMNS($AN$1006:BC1006),$AN$1006:$BO$1006,0)))),"Fix")))</f>
        <v>0</v>
      </c>
      <c r="R860" s="4">
        <f>IF(OR(INDEX($AH$2:$AH$1001,MATCH(ROWS($AG$2:AG860),$AG$2:$AG$1001,0),1)&gt;=100000,INDEX($AN$1005:$BO$1005,1,MATCH(COLUMNS($AN$1006:BD1006),$AN$1006:$BO$1006,0))&gt;=100000), " ",IF(INDEX($AN$2:$BO$1001,MATCH(ROWS($AG$2:AG860),$AG$2:$AG$1001,0),MATCH(COLUMNS($AN$1006:BD1006),$AN$1006:$BO$1006,0)), HYPERLINK("#",""), HYPERLINK(CONCATENATE("#Metadata!", ADDRESS(INDEX($AI$2:$AI$1001,MATCH(ROWS($AG$2:AG860),$AG$2:$AG$1001,0),0), INDEX($AN$1004:$BO$1004,1,MATCH(COLUMNS($AN$1006:BD1006),$AN$1006:$BO$1006,0)))),"Fix")))</f>
        <v>0</v>
      </c>
      <c r="S860" s="4">
        <f>IF(OR(INDEX($AH$2:$AH$1001,MATCH(ROWS($AG$2:AG860),$AG$2:$AG$1001,0),1)&gt;=100000,INDEX($AN$1005:$BO$1005,1,MATCH(COLUMNS($AN$1006:BE1006),$AN$1006:$BO$1006,0))&gt;=100000), " ",IF(INDEX($AN$2:$BO$1001,MATCH(ROWS($AG$2:AG860),$AG$2:$AG$1001,0),MATCH(COLUMNS($AN$1006:BE1006),$AN$1006:$BO$1006,0)), HYPERLINK("#",""), HYPERLINK(CONCATENATE("#Metadata!", ADDRESS(INDEX($AI$2:$AI$1001,MATCH(ROWS($AG$2:AG860),$AG$2:$AG$1001,0),0), INDEX($AN$1004:$BO$1004,1,MATCH(COLUMNS($AN$1006:BE1006),$AN$1006:$BO$1006,0)))),"Fix")))</f>
        <v>0</v>
      </c>
      <c r="T860" s="4">
        <f>IF(OR(INDEX($AH$2:$AH$1001,MATCH(ROWS($AG$2:AG860),$AG$2:$AG$1001,0),1)&gt;=100000,INDEX($AN$1005:$BO$1005,1,MATCH(COLUMNS($AN$1006:BF1006),$AN$1006:$BO$1006,0))&gt;=100000), " ",IF(INDEX($AN$2:$BO$1001,MATCH(ROWS($AG$2:AG860),$AG$2:$AG$1001,0),MATCH(COLUMNS($AN$1006:BF1006),$AN$1006:$BO$1006,0)), HYPERLINK("#",""), HYPERLINK(CONCATENATE("#Metadata!", ADDRESS(INDEX($AI$2:$AI$1001,MATCH(ROWS($AG$2:AG860),$AG$2:$AG$1001,0),0), INDEX($AN$1004:$BO$1004,1,MATCH(COLUMNS($AN$1006:BF1006),$AN$1006:$BO$1006,0)))),"Fix")))</f>
        <v>0</v>
      </c>
      <c r="U860" s="4">
        <f>IF(OR(INDEX($AH$2:$AH$1001,MATCH(ROWS($AG$2:AG860),$AG$2:$AG$1001,0),1)&gt;=100000,INDEX($AN$1005:$BO$1005,1,MATCH(COLUMNS($AN$1006:BG1006),$AN$1006:$BO$1006,0))&gt;=100000), " ",IF(INDEX($AN$2:$BO$1001,MATCH(ROWS($AG$2:AG860),$AG$2:$AG$1001,0),MATCH(COLUMNS($AN$1006:BG1006),$AN$1006:$BO$1006,0)), HYPERLINK("#",""), HYPERLINK(CONCATENATE("#Metadata!", ADDRESS(INDEX($AI$2:$AI$1001,MATCH(ROWS($AG$2:AG860),$AG$2:$AG$1001,0),0), INDEX($AN$1004:$BO$1004,1,MATCH(COLUMNS($AN$1006:BG1006),$AN$1006:$BO$1006,0)))),"Fix")))</f>
        <v>0</v>
      </c>
      <c r="V860" s="4">
        <f>IF(OR(INDEX($AH$2:$AH$1001,MATCH(ROWS($AG$2:AG860),$AG$2:$AG$1001,0),1)&gt;=100000,INDEX($AN$1005:$BO$1005,1,MATCH(COLUMNS($AN$1006:BH1006),$AN$1006:$BO$1006,0))&gt;=100000), " ",IF(INDEX($AN$2:$BO$1001,MATCH(ROWS($AG$2:AG860),$AG$2:$AG$1001,0),MATCH(COLUMNS($AN$1006:BH1006),$AN$1006:$BO$1006,0)), HYPERLINK("#",""), HYPERLINK(CONCATENATE("#Metadata!", ADDRESS(INDEX($AI$2:$AI$1001,MATCH(ROWS($AG$2:AG860),$AG$2:$AG$1001,0),0), INDEX($AN$1004:$BO$1004,1,MATCH(COLUMNS($AN$1006:BH1006),$AN$1006:$BO$1006,0)))),"Fix")))</f>
        <v>0</v>
      </c>
      <c r="W860" s="4">
        <f>IF(OR(INDEX($AH$2:$AH$1001,MATCH(ROWS($AG$2:AG860),$AG$2:$AG$1001,0),1)&gt;=100000,INDEX($AN$1005:$BO$1005,1,MATCH(COLUMNS($AN$1006:BI1006),$AN$1006:$BO$1006,0))&gt;=100000), " ",IF(INDEX($AN$2:$BO$1001,MATCH(ROWS($AG$2:AG860),$AG$2:$AG$1001,0),MATCH(COLUMNS($AN$1006:BI1006),$AN$1006:$BO$1006,0)), HYPERLINK("#",""), HYPERLINK(CONCATENATE("#Metadata!", ADDRESS(INDEX($AI$2:$AI$1001,MATCH(ROWS($AG$2:AG860),$AG$2:$AG$1001,0),0), INDEX($AN$1004:$BO$1004,1,MATCH(COLUMNS($AN$1006:BI1006),$AN$1006:$BO$1006,0)))),"Fix")))</f>
        <v>0</v>
      </c>
      <c r="X860" s="4">
        <f>IF(OR(INDEX($AH$2:$AH$1001,MATCH(ROWS($AG$2:AG860),$AG$2:$AG$1001,0),1)&gt;=100000,INDEX($AN$1005:$BO$1005,1,MATCH(COLUMNS($AN$1006:BJ1006),$AN$1006:$BO$1006,0))&gt;=100000), " ",IF(INDEX($AN$2:$BO$1001,MATCH(ROWS($AG$2:AG860),$AG$2:$AG$1001,0),MATCH(COLUMNS($AN$1006:BJ1006),$AN$1006:$BO$1006,0)), HYPERLINK("#",""), HYPERLINK(CONCATENATE("#Metadata!", ADDRESS(INDEX($AI$2:$AI$1001,MATCH(ROWS($AG$2:AG860),$AG$2:$AG$1001,0),0), INDEX($AN$1004:$BO$1004,1,MATCH(COLUMNS($AN$1006:BJ1006),$AN$1006:$BO$1006,0)))),"Fix")))</f>
        <v>0</v>
      </c>
      <c r="Y860" s="4">
        <f>IF(OR(INDEX($AH$2:$AH$1001,MATCH(ROWS($AG$2:AG860),$AG$2:$AG$1001,0),1)&gt;=100000,INDEX($AN$1005:$BO$1005,1,MATCH(COLUMNS($AN$1006:BK1006),$AN$1006:$BO$1006,0))&gt;=100000), " ",IF(INDEX($AN$2:$BO$1001,MATCH(ROWS($AG$2:AG860),$AG$2:$AG$1001,0),MATCH(COLUMNS($AN$1006:BK1006),$AN$1006:$BO$1006,0)), HYPERLINK("#",""), HYPERLINK(CONCATENATE("#Metadata!", ADDRESS(INDEX($AI$2:$AI$1001,MATCH(ROWS($AG$2:AG860),$AG$2:$AG$1001,0),0), INDEX($AN$1004:$BO$1004,1,MATCH(COLUMNS($AN$1006:BK1006),$AN$1006:$BO$1006,0)))),"Fix")))</f>
        <v>0</v>
      </c>
      <c r="Z860" s="4">
        <f>IF(OR(INDEX($AH$2:$AH$1001,MATCH(ROWS($AG$2:AG860),$AG$2:$AG$1001,0),1)&gt;=100000,INDEX($AN$1005:$BO$1005,1,MATCH(COLUMNS($AN$1006:BL1006),$AN$1006:$BO$1006,0))&gt;=100000), " ",IF(INDEX($AN$2:$BO$1001,MATCH(ROWS($AG$2:AG860),$AG$2:$AG$1001,0),MATCH(COLUMNS($AN$1006:BL1006),$AN$1006:$BO$1006,0)), HYPERLINK("#",""), HYPERLINK(CONCATENATE("#Metadata!", ADDRESS(INDEX($AI$2:$AI$1001,MATCH(ROWS($AG$2:AG860),$AG$2:$AG$1001,0),0), INDEX($AN$1004:$BO$1004,1,MATCH(COLUMNS($AN$1006:BL1006),$AN$1006:$BO$1006,0)))),"Fix")))</f>
        <v>0</v>
      </c>
      <c r="AA860" s="4">
        <f>IF(OR(INDEX($AH$2:$AH$1001,MATCH(ROWS($AG$2:AG860),$AG$2:$AG$1001,0),1)&gt;=100000,INDEX($AN$1005:$BO$1005,1,MATCH(COLUMNS($AN$1006:BM1006),$AN$1006:$BO$1006,0))&gt;=100000), " ",IF(INDEX($AN$2:$BO$1001,MATCH(ROWS($AG$2:AG860),$AG$2:$AG$1001,0),MATCH(COLUMNS($AN$1006:BM1006),$AN$1006:$BO$1006,0)), HYPERLINK("#",""), HYPERLINK(CONCATENATE("#Metadata!", ADDRESS(INDEX($AI$2:$AI$1001,MATCH(ROWS($AG$2:AG860),$AG$2:$AG$1001,0),0), INDEX($AN$1004:$BO$1004,1,MATCH(COLUMNS($AN$1006:BM1006),$AN$1006:$BO$1006,0)))),"Fix")))</f>
        <v>0</v>
      </c>
      <c r="AB860" s="4">
        <f>IF(OR(INDEX($AH$2:$AH$1001,MATCH(ROWS($AG$2:AG860),$AG$2:$AG$1001,0),1)&gt;=100000,INDEX($AN$1005:$BO$1005,1,MATCH(COLUMNS($AN$1006:BN1006),$AN$1006:$BO$1006,0))&gt;=100000), " ",IF(INDEX($AN$2:$BO$1001,MATCH(ROWS($AG$2:AG860),$AG$2:$AG$1001,0),MATCH(COLUMNS($AN$1006:BN1006),$AN$1006:$BO$1006,0)), HYPERLINK("#",""), HYPERLINK(CONCATENATE("#Metadata!", ADDRESS(INDEX($AI$2:$AI$1001,MATCH(ROWS($AG$2:AG860),$AG$2:$AG$1001,0),0), INDEX($AN$1004:$BO$1004,1,MATCH(COLUMNS($AN$1006:BN1006),$AN$1006:$BO$1006,0)))),"Fix")))</f>
        <v>0</v>
      </c>
      <c r="AC860" s="4">
        <f>IF(OR(INDEX($AH$2:$AH$1001,MATCH(ROWS($AG$2:AG860),$AG$2:$AG$1001,0),1)&gt;=100000,INDEX($AN$1005:$BO$1005,1,MATCH(COLUMNS($AN$1006:BO1006),$AN$1006:$BO$1006,0))&gt;=100000), " ",IF(INDEX($AN$2:$BO$1001,MATCH(ROWS($AG$2:AG860),$AG$2:$AG$1001,0),MATCH(COLUMNS($AN$1006:BO1006),$AN$1006:$BO$1006,0)), HYPERLINK("#",""), HYPERLINK(CONCATENATE("#Metadata!", ADDRESS(INDEX($AI$2:$AI$1001,MATCH(ROWS($AG$2:AG860),$AG$2:$AG$1001,0),0), INDEX($AN$1004:$BO$1004,1,MATCH(COLUMNS($AN$1006:BO1006),$AN$1006:$BO$1006,0)))),"Fix")))</f>
        <v>0</v>
      </c>
      <c r="AG860">
        <v>0</v>
      </c>
      <c r="AH860">
        <v>0</v>
      </c>
      <c r="AI860">
        <v>0</v>
      </c>
      <c r="AJ860">
        <f>IF(AK860,TRUE,AND(AN860:BO860))</f>
        <v>0</v>
      </c>
      <c r="AK860">
        <f>COUNTBLANK(Metadata!B860:AC860)=COLUMNS(Metadata!B860:AC860)</f>
        <v>0</v>
      </c>
      <c r="AL860">
        <v>0</v>
      </c>
      <c r="AN860">
        <f>AND(IF(Metadata!B860="",FALSE,TRUE),COUNTIF(Metadata!B:B, Metadata!B860) = 1,NOT(ISERROR(SUMPRODUCT(SEARCH(MID(Metadata!B860,ROW(INDIRECT("1:"&amp;LEN(Metadata!B860))), 1),"0123456789abcdefghijklmnopqrstuvwxyzABCDEFGHIJKLMNOPQRSTUVWXYZ.")))))</f>
        <v>0</v>
      </c>
      <c r="AO860">
        <f>IF(Metadata!C860="",FALSE,TRUE)</f>
        <v>0</v>
      </c>
      <c r="AP860">
        <f>IF(Metadata!D860="",FALSE,TRUE)</f>
        <v>0</v>
      </c>
      <c r="AQ860">
        <f>OR(AND(IF(Metadata!E860="",FALSE,TRUE),OR(exact(Metadata!E860,"not collected"),exact(Metadata!E860,"not provided"),exact(Metadata!E860,"restricted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R860">
        <f>IF(Metadata!F860="",FALSE,TRUE)</f>
        <v>0</v>
      </c>
      <c r="AS860">
        <f>OR(AND(IF(Metadata!G860="",FALSE,TRUE),OR(exact(Metadata!G860,"not collected"),exact(Metadata!G860,"not provided"))),AND(IF(Metadata!G860="",FALSE,TRUE),OR(exact(Metadata!G860,"TRUE"),exact(Metadata!G860,"FALSE"))))</f>
        <v>0</v>
      </c>
      <c r="AT860">
        <f>OR(AND(IF(Metadata!H860="",FALSE,TRUE),OR(exact(Metadata!H860,"not collected"),exact(Metadata!H860,"not provided"),exact(Metadata!H860,"restricted access"))),AND(IF(Metadata!H860="",FALSE,ISNUMBER(VALUE(Metadata!H860))),Metadata!H860&gt;=-413.0))</f>
        <v>0</v>
      </c>
      <c r="AU860">
        <f>AND(IF(Metadata!I860="",FALSE,TRUE),exact(Metadata!I860,"meters"))</f>
        <v>0</v>
      </c>
      <c r="AV860">
        <f>AND(IF(Metadata!J860="",FALSE,TRUE),OR(exact(Metadata!J860,"Host-associated"),exact(Metadata!J860,"Free-living")))</f>
        <v>0</v>
      </c>
      <c r="AW860">
        <f>AND(IF(Metadata!K860="",FALSE,TRUE),OR(exact(Metadata!K860,"Animal"),exact(Metadata!K860,"Fungus"),exact(Metadata!K860,"Plant"),exact(Metadata!K860,"Saline"),exact(Metadata!K860,"Non-saline")))</f>
        <v>0</v>
      </c>
      <c r="AX860">
        <f>AND(IF(Metadata!L860="",FALSE,TRUE),OR(exact(Metadata!L860,"Plant secretion"),exact(Metadata!L860,"Plant rhizosphere"),exact(Metadata!L860,"Plant surface"),exact(Metadata!L860,"Plant corpus"),exact(Metadata!L860,"Fungus surface"),exact(Metadata!L860,"Fungus corpus"),exact(Metadata!L860,"Animal surface"),exact(Metadata!L860,"Animal proximal gut"),exact(Metadata!L860,"Animal corpus"),exact(Metadata!L860,"Animal distal gut"),exact(Metadata!L860,"Animal secretion"),exact(Metadata!L860,"Sub-surface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Y860">
        <f>IF(Metadata!M860="",FALSE,TRUE)</f>
        <v>0</v>
      </c>
      <c r="AZ860">
        <f>IF(Metadata!N860="",FALSE,TRUE)</f>
        <v>0</v>
      </c>
      <c r="BA860">
        <f>IF(Metadata!O860="",FALSE,TRUE)</f>
        <v>0</v>
      </c>
      <c r="BB860">
        <f>OR(AND(IF(Metadata!P860="",FALSE,TRUE),OR(exact(Metadata!P860,"not collected"),exact(Metadata!P860,"not provided"),exact(Metadata!P860,"restricted access"))),AND(IF(Metadata!P860="",FALSE,TRUE),OR(exact(Metadata!P860,"air"),exact(Metadata!P860,"built environment"),exact(Metadata!P860,"host-associated"),exact(Metadata!P860,"human-associated"),exact(Metadata!P860,"human-skin"),exact(Metadata!P860,"human-oral"),exact(Metadata!P860,"human-gut"),exact(Metadata!P860,"human-vaginal"),exact(Metadata!P860,"microbial mat/biofilm"),exact(Metadata!P860,"misc environment"),exact(Metadata!P860,"plant-associated"),exact(Metadata!P860,"sediment"),exact(Metadata!P860,"soil"),exact(Metadata!P860,"wastewater/sludge"),exact(Metadata!P860,"water"))))</f>
        <v>0</v>
      </c>
      <c r="BC860">
        <f>IF(Metadata!Q860="",FALSE,TRUE)</f>
        <v>0</v>
      </c>
      <c r="BD860">
        <f>IF(Metadata!R860="",FALSE,TRUE)</f>
        <v>0</v>
      </c>
      <c r="BE860">
        <f>OR(AND(IF(Metadata!S860="",FALSE,TRUE),OR(exact(Metadata!S860,"not collected"),exact(Metadata!S860,"not provided"),exact(Metadata!S860,"restricted access"))),AND(IF(Metadata!S860="",FALSE,ISNUMBER(VALUE(Metadata!S860))),Metadata!S860&gt;=-90.00,Metadata!S860&lt;=90.00))</f>
        <v>0</v>
      </c>
      <c r="BF860">
        <f>AND(IF(Metadata!T860="",FALSE,TRUE),exact(Metadata!T860,"Decimal degrees"))</f>
        <v>0</v>
      </c>
      <c r="BG860">
        <f>OR(AND(IF(Metadata!U860="",FALSE,TRUE),OR(exact(Metadata!U860,"not collected"),exact(Metadata!U860,"not provided"),exact(Metadata!U860,"restricted access"))),AND(IF(Metadata!U860="",FALSE,ISNUMBER(VALUE(Metadata!U860))),Metadata!U860&gt;=-180.00,Metadata!U860&lt;=180.00))</f>
        <v>0</v>
      </c>
      <c r="BH860">
        <f>AND(IF(Metadata!V860="",FALSE,TRUE),exact(Metadata!V860,"Decimal degrees"))</f>
        <v>0</v>
      </c>
      <c r="BI860">
        <f>IF(Metadata!W860="",FALSE,TRUE)</f>
        <v>0</v>
      </c>
      <c r="BJ860">
        <f>OR(AND(IF(Metadata!X860="",FALSE,TRUE),OR(exact(Metadata!X860,"not collected"),exact(Metadata!X860,"not provided"),exact(Metadata!X860,"restricted access"))),AND(IF(Metadata!X860="",FALSE,TRUE),OR(exact(Metadata!X860,"TRUE"),exact(Metadata!X860,"FALSE"))))</f>
        <v>0</v>
      </c>
      <c r="BK860">
        <f>AND(IF(Metadata!Y860="",FALSE,TRUE),exact(Metadata!Y860,"other"))</f>
        <v>0</v>
      </c>
      <c r="BL860">
        <f>IF(Metadata!Z860="",FALSE,TRUE)</f>
        <v>0</v>
      </c>
      <c r="BM860">
        <f>OR(AND(IF(Metadata!AA860="",FALSE,TRUE),OR(exact(Metadata!AA860,"not collected"),exact(Metadata!AA860,"not provided"))),AND(IF(Metadata!AA860="",FALSE,IF(ISERROR(INT(Metadata!AA860)),FALSE,INT(Metadata!AA860)=Metadata!AA860)),Metadata!AA860&gt;0))</f>
        <v>0</v>
      </c>
      <c r="BN860">
        <f>AND(IF(Metadata!AB860="",FALSE,TRUE),exact(Metadata!AB860,"Not applicable"))</f>
        <v>0</v>
      </c>
      <c r="BO860">
        <f>IF(Metadata!AC860="",FALSE,TRUE)</f>
        <v>0</v>
      </c>
    </row>
    <row r="861" spans="1:67">
      <c r="A861" s="5">
        <f>IF(B861=" "," ",HYPERLINK(CONCATENATE("#metadata!",ADDRESS(INDEX($AI$2:$AI$1001,MATCH(ROWS($AG$2:AG861),$AG$2:$AG$1001,0),0),1)),INDEX($AL$2:$AL$1001,MATCH(ROWS($AG$2:AG861),$AG$2:$AG$1001,0),0)))</f>
        <v>0</v>
      </c>
      <c r="B861" s="4">
        <f>IF(OR(INDEX($AH$2:$AH$1001,MATCH(ROWS($AG$2:AG861),$AG$2:$AG$1001,0),1)&gt;=100000,INDEX($AN$1005:$BO$1005,1,MATCH(COLUMNS($AN$1006:AN1006),$AN$1006:$BO$1006,0))&gt;=100000), " ",IF(INDEX($AN$2:$BO$1001,MATCH(ROWS($AG$2:AG861),$AG$2:$AG$1001,0),MATCH(COLUMNS($AN$1006:AN1006),$AN$1006:$BO$1006,0)), HYPERLINK("#",""), HYPERLINK(CONCATENATE("#Metadata!", ADDRESS(INDEX($AI$2:$AI$1001,MATCH(ROWS($AG$2:AG861),$AG$2:$AG$1001,0),0), INDEX($AN$1004:$BO$1004,1,MATCH(COLUMNS($AN$1006:AN1006),$AN$1006:$BO$1006,0)))),"Fix")))</f>
        <v>0</v>
      </c>
      <c r="C861" s="4">
        <f>IF(OR(INDEX($AH$2:$AH$1001,MATCH(ROWS($AG$2:AG861),$AG$2:$AG$1001,0),1)&gt;=100000,INDEX($AN$1005:$BO$1005,1,MATCH(COLUMNS($AN$1006:AO1006),$AN$1006:$BO$1006,0))&gt;=100000), " ",IF(INDEX($AN$2:$BO$1001,MATCH(ROWS($AG$2:AG861),$AG$2:$AG$1001,0),MATCH(COLUMNS($AN$1006:AO1006),$AN$1006:$BO$1006,0)), HYPERLINK("#",""), HYPERLINK(CONCATENATE("#Metadata!", ADDRESS(INDEX($AI$2:$AI$1001,MATCH(ROWS($AG$2:AG861),$AG$2:$AG$1001,0),0), INDEX($AN$1004:$BO$1004,1,MATCH(COLUMNS($AN$1006:AO1006),$AN$1006:$BO$1006,0)))),"Fix")))</f>
        <v>0</v>
      </c>
      <c r="D861" s="4">
        <f>IF(OR(INDEX($AH$2:$AH$1001,MATCH(ROWS($AG$2:AG861),$AG$2:$AG$1001,0),1)&gt;=100000,INDEX($AN$1005:$BO$1005,1,MATCH(COLUMNS($AN$1006:AP1006),$AN$1006:$BO$1006,0))&gt;=100000), " ",IF(INDEX($AN$2:$BO$1001,MATCH(ROWS($AG$2:AG861),$AG$2:$AG$1001,0),MATCH(COLUMNS($AN$1006:AP1006),$AN$1006:$BO$1006,0)), HYPERLINK("#",""), HYPERLINK(CONCATENATE("#Metadata!", ADDRESS(INDEX($AI$2:$AI$1001,MATCH(ROWS($AG$2:AG861),$AG$2:$AG$1001,0),0), INDEX($AN$1004:$BO$1004,1,MATCH(COLUMNS($AN$1006:AP1006),$AN$1006:$BO$1006,0)))),"Fix")))</f>
        <v>0</v>
      </c>
      <c r="E861" s="4">
        <f>IF(OR(INDEX($AH$2:$AH$1001,MATCH(ROWS($AG$2:AG861),$AG$2:$AG$1001,0),1)&gt;=100000,INDEX($AN$1005:$BO$1005,1,MATCH(COLUMNS($AN$1006:AQ1006),$AN$1006:$BO$1006,0))&gt;=100000), " ",IF(INDEX($AN$2:$BO$1001,MATCH(ROWS($AG$2:AG861),$AG$2:$AG$1001,0),MATCH(COLUMNS($AN$1006:AQ1006),$AN$1006:$BO$1006,0)), HYPERLINK("#",""), HYPERLINK(CONCATENATE("#Metadata!", ADDRESS(INDEX($AI$2:$AI$1001,MATCH(ROWS($AG$2:AG861),$AG$2:$AG$1001,0),0), INDEX($AN$1004:$BO$1004,1,MATCH(COLUMNS($AN$1006:AQ1006),$AN$1006:$BO$1006,0)))),"Fix")))</f>
        <v>0</v>
      </c>
      <c r="F861" s="4">
        <f>IF(OR(INDEX($AH$2:$AH$1001,MATCH(ROWS($AG$2:AG861),$AG$2:$AG$1001,0),1)&gt;=100000,INDEX($AN$1005:$BO$1005,1,MATCH(COLUMNS($AN$1006:AR1006),$AN$1006:$BO$1006,0))&gt;=100000), " ",IF(INDEX($AN$2:$BO$1001,MATCH(ROWS($AG$2:AG861),$AG$2:$AG$1001,0),MATCH(COLUMNS($AN$1006:AR1006),$AN$1006:$BO$1006,0)), HYPERLINK("#",""), HYPERLINK(CONCATENATE("#Metadata!", ADDRESS(INDEX($AI$2:$AI$1001,MATCH(ROWS($AG$2:AG861),$AG$2:$AG$1001,0),0), INDEX($AN$1004:$BO$1004,1,MATCH(COLUMNS($AN$1006:AR1006),$AN$1006:$BO$1006,0)))),"Fix")))</f>
        <v>0</v>
      </c>
      <c r="G861" s="4">
        <f>IF(OR(INDEX($AH$2:$AH$1001,MATCH(ROWS($AG$2:AG861),$AG$2:$AG$1001,0),1)&gt;=100000,INDEX($AN$1005:$BO$1005,1,MATCH(COLUMNS($AN$1006:AS1006),$AN$1006:$BO$1006,0))&gt;=100000), " ",IF(INDEX($AN$2:$BO$1001,MATCH(ROWS($AG$2:AG861),$AG$2:$AG$1001,0),MATCH(COLUMNS($AN$1006:AS1006),$AN$1006:$BO$1006,0)), HYPERLINK("#",""), HYPERLINK(CONCATENATE("#Metadata!", ADDRESS(INDEX($AI$2:$AI$1001,MATCH(ROWS($AG$2:AG861),$AG$2:$AG$1001,0),0), INDEX($AN$1004:$BO$1004,1,MATCH(COLUMNS($AN$1006:AS1006),$AN$1006:$BO$1006,0)))),"Fix")))</f>
        <v>0</v>
      </c>
      <c r="H861" s="4">
        <f>IF(OR(INDEX($AH$2:$AH$1001,MATCH(ROWS($AG$2:AG861),$AG$2:$AG$1001,0),1)&gt;=100000,INDEX($AN$1005:$BO$1005,1,MATCH(COLUMNS($AN$1006:AT1006),$AN$1006:$BO$1006,0))&gt;=100000), " ",IF(INDEX($AN$2:$BO$1001,MATCH(ROWS($AG$2:AG861),$AG$2:$AG$1001,0),MATCH(COLUMNS($AN$1006:AT1006),$AN$1006:$BO$1006,0)), HYPERLINK("#",""), HYPERLINK(CONCATENATE("#Metadata!", ADDRESS(INDEX($AI$2:$AI$1001,MATCH(ROWS($AG$2:AG861),$AG$2:$AG$1001,0),0), INDEX($AN$1004:$BO$1004,1,MATCH(COLUMNS($AN$1006:AT1006),$AN$1006:$BO$1006,0)))),"Fix")))</f>
        <v>0</v>
      </c>
      <c r="I861" s="4">
        <f>IF(OR(INDEX($AH$2:$AH$1001,MATCH(ROWS($AG$2:AG861),$AG$2:$AG$1001,0),1)&gt;=100000,INDEX($AN$1005:$BO$1005,1,MATCH(COLUMNS($AN$1006:AU1006),$AN$1006:$BO$1006,0))&gt;=100000), " ",IF(INDEX($AN$2:$BO$1001,MATCH(ROWS($AG$2:AG861),$AG$2:$AG$1001,0),MATCH(COLUMNS($AN$1006:AU1006),$AN$1006:$BO$1006,0)), HYPERLINK("#",""), HYPERLINK(CONCATENATE("#Metadata!", ADDRESS(INDEX($AI$2:$AI$1001,MATCH(ROWS($AG$2:AG861),$AG$2:$AG$1001,0),0), INDEX($AN$1004:$BO$1004,1,MATCH(COLUMNS($AN$1006:AU1006),$AN$1006:$BO$1006,0)))),"Fix")))</f>
        <v>0</v>
      </c>
      <c r="J861" s="4">
        <f>IF(OR(INDEX($AH$2:$AH$1001,MATCH(ROWS($AG$2:AG861),$AG$2:$AG$1001,0),1)&gt;=100000,INDEX($AN$1005:$BO$1005,1,MATCH(COLUMNS($AN$1006:AV1006),$AN$1006:$BO$1006,0))&gt;=100000), " ",IF(INDEX($AN$2:$BO$1001,MATCH(ROWS($AG$2:AG861),$AG$2:$AG$1001,0),MATCH(COLUMNS($AN$1006:AV1006),$AN$1006:$BO$1006,0)), HYPERLINK("#",""), HYPERLINK(CONCATENATE("#Metadata!", ADDRESS(INDEX($AI$2:$AI$1001,MATCH(ROWS($AG$2:AG861),$AG$2:$AG$1001,0),0), INDEX($AN$1004:$BO$1004,1,MATCH(COLUMNS($AN$1006:AV1006),$AN$1006:$BO$1006,0)))),"Fix")))</f>
        <v>0</v>
      </c>
      <c r="K861" s="4">
        <f>IF(OR(INDEX($AH$2:$AH$1001,MATCH(ROWS($AG$2:AG861),$AG$2:$AG$1001,0),1)&gt;=100000,INDEX($AN$1005:$BO$1005,1,MATCH(COLUMNS($AN$1006:AW1006),$AN$1006:$BO$1006,0))&gt;=100000), " ",IF(INDEX($AN$2:$BO$1001,MATCH(ROWS($AG$2:AG861),$AG$2:$AG$1001,0),MATCH(COLUMNS($AN$1006:AW1006),$AN$1006:$BO$1006,0)), HYPERLINK("#",""), HYPERLINK(CONCATENATE("#Metadata!", ADDRESS(INDEX($AI$2:$AI$1001,MATCH(ROWS($AG$2:AG861),$AG$2:$AG$1001,0),0), INDEX($AN$1004:$BO$1004,1,MATCH(COLUMNS($AN$1006:AW1006),$AN$1006:$BO$1006,0)))),"Fix")))</f>
        <v>0</v>
      </c>
      <c r="L861" s="4">
        <f>IF(OR(INDEX($AH$2:$AH$1001,MATCH(ROWS($AG$2:AG861),$AG$2:$AG$1001,0),1)&gt;=100000,INDEX($AN$1005:$BO$1005,1,MATCH(COLUMNS($AN$1006:AX1006),$AN$1006:$BO$1006,0))&gt;=100000), " ",IF(INDEX($AN$2:$BO$1001,MATCH(ROWS($AG$2:AG861),$AG$2:$AG$1001,0),MATCH(COLUMNS($AN$1006:AX1006),$AN$1006:$BO$1006,0)), HYPERLINK("#",""), HYPERLINK(CONCATENATE("#Metadata!", ADDRESS(INDEX($AI$2:$AI$1001,MATCH(ROWS($AG$2:AG861),$AG$2:$AG$1001,0),0), INDEX($AN$1004:$BO$1004,1,MATCH(COLUMNS($AN$1006:AX1006),$AN$1006:$BO$1006,0)))),"Fix")))</f>
        <v>0</v>
      </c>
      <c r="M861" s="4">
        <f>IF(OR(INDEX($AH$2:$AH$1001,MATCH(ROWS($AG$2:AG861),$AG$2:$AG$1001,0),1)&gt;=100000,INDEX($AN$1005:$BO$1005,1,MATCH(COLUMNS($AN$1006:AY1006),$AN$1006:$BO$1006,0))&gt;=100000), " ",IF(INDEX($AN$2:$BO$1001,MATCH(ROWS($AG$2:AG861),$AG$2:$AG$1001,0),MATCH(COLUMNS($AN$1006:AY1006),$AN$1006:$BO$1006,0)), HYPERLINK("#",""), HYPERLINK(CONCATENATE("#Metadata!", ADDRESS(INDEX($AI$2:$AI$1001,MATCH(ROWS($AG$2:AG861),$AG$2:$AG$1001,0),0), INDEX($AN$1004:$BO$1004,1,MATCH(COLUMNS($AN$1006:AY1006),$AN$1006:$BO$1006,0)))),"Fix")))</f>
        <v>0</v>
      </c>
      <c r="N861" s="4">
        <f>IF(OR(INDEX($AH$2:$AH$1001,MATCH(ROWS($AG$2:AG861),$AG$2:$AG$1001,0),1)&gt;=100000,INDEX($AN$1005:$BO$1005,1,MATCH(COLUMNS($AN$1006:AZ1006),$AN$1006:$BO$1006,0))&gt;=100000), " ",IF(INDEX($AN$2:$BO$1001,MATCH(ROWS($AG$2:AG861),$AG$2:$AG$1001,0),MATCH(COLUMNS($AN$1006:AZ1006),$AN$1006:$BO$1006,0)), HYPERLINK("#",""), HYPERLINK(CONCATENATE("#Metadata!", ADDRESS(INDEX($AI$2:$AI$1001,MATCH(ROWS($AG$2:AG861),$AG$2:$AG$1001,0),0), INDEX($AN$1004:$BO$1004,1,MATCH(COLUMNS($AN$1006:AZ1006),$AN$1006:$BO$1006,0)))),"Fix")))</f>
        <v>0</v>
      </c>
      <c r="O861" s="4">
        <f>IF(OR(INDEX($AH$2:$AH$1001,MATCH(ROWS($AG$2:AG861),$AG$2:$AG$1001,0),1)&gt;=100000,INDEX($AN$1005:$BO$1005,1,MATCH(COLUMNS($AN$1006:BA1006),$AN$1006:$BO$1006,0))&gt;=100000), " ",IF(INDEX($AN$2:$BO$1001,MATCH(ROWS($AG$2:AG861),$AG$2:$AG$1001,0),MATCH(COLUMNS($AN$1006:BA1006),$AN$1006:$BO$1006,0)), HYPERLINK("#",""), HYPERLINK(CONCATENATE("#Metadata!", ADDRESS(INDEX($AI$2:$AI$1001,MATCH(ROWS($AG$2:AG861),$AG$2:$AG$1001,0),0), INDEX($AN$1004:$BO$1004,1,MATCH(COLUMNS($AN$1006:BA1006),$AN$1006:$BO$1006,0)))),"Fix")))</f>
        <v>0</v>
      </c>
      <c r="P861" s="4">
        <f>IF(OR(INDEX($AH$2:$AH$1001,MATCH(ROWS($AG$2:AG861),$AG$2:$AG$1001,0),1)&gt;=100000,INDEX($AN$1005:$BO$1005,1,MATCH(COLUMNS($AN$1006:BB1006),$AN$1006:$BO$1006,0))&gt;=100000), " ",IF(INDEX($AN$2:$BO$1001,MATCH(ROWS($AG$2:AG861),$AG$2:$AG$1001,0),MATCH(COLUMNS($AN$1006:BB1006),$AN$1006:$BO$1006,0)), HYPERLINK("#",""), HYPERLINK(CONCATENATE("#Metadata!", ADDRESS(INDEX($AI$2:$AI$1001,MATCH(ROWS($AG$2:AG861),$AG$2:$AG$1001,0),0), INDEX($AN$1004:$BO$1004,1,MATCH(COLUMNS($AN$1006:BB1006),$AN$1006:$BO$1006,0)))),"Fix")))</f>
        <v>0</v>
      </c>
      <c r="Q861" s="4">
        <f>IF(OR(INDEX($AH$2:$AH$1001,MATCH(ROWS($AG$2:AG861),$AG$2:$AG$1001,0),1)&gt;=100000,INDEX($AN$1005:$BO$1005,1,MATCH(COLUMNS($AN$1006:BC1006),$AN$1006:$BO$1006,0))&gt;=100000), " ",IF(INDEX($AN$2:$BO$1001,MATCH(ROWS($AG$2:AG861),$AG$2:$AG$1001,0),MATCH(COLUMNS($AN$1006:BC1006),$AN$1006:$BO$1006,0)), HYPERLINK("#",""), HYPERLINK(CONCATENATE("#Metadata!", ADDRESS(INDEX($AI$2:$AI$1001,MATCH(ROWS($AG$2:AG861),$AG$2:$AG$1001,0),0), INDEX($AN$1004:$BO$1004,1,MATCH(COLUMNS($AN$1006:BC1006),$AN$1006:$BO$1006,0)))),"Fix")))</f>
        <v>0</v>
      </c>
      <c r="R861" s="4">
        <f>IF(OR(INDEX($AH$2:$AH$1001,MATCH(ROWS($AG$2:AG861),$AG$2:$AG$1001,0),1)&gt;=100000,INDEX($AN$1005:$BO$1005,1,MATCH(COLUMNS($AN$1006:BD1006),$AN$1006:$BO$1006,0))&gt;=100000), " ",IF(INDEX($AN$2:$BO$1001,MATCH(ROWS($AG$2:AG861),$AG$2:$AG$1001,0),MATCH(COLUMNS($AN$1006:BD1006),$AN$1006:$BO$1006,0)), HYPERLINK("#",""), HYPERLINK(CONCATENATE("#Metadata!", ADDRESS(INDEX($AI$2:$AI$1001,MATCH(ROWS($AG$2:AG861),$AG$2:$AG$1001,0),0), INDEX($AN$1004:$BO$1004,1,MATCH(COLUMNS($AN$1006:BD1006),$AN$1006:$BO$1006,0)))),"Fix")))</f>
        <v>0</v>
      </c>
      <c r="S861" s="4">
        <f>IF(OR(INDEX($AH$2:$AH$1001,MATCH(ROWS($AG$2:AG861),$AG$2:$AG$1001,0),1)&gt;=100000,INDEX($AN$1005:$BO$1005,1,MATCH(COLUMNS($AN$1006:BE1006),$AN$1006:$BO$1006,0))&gt;=100000), " ",IF(INDEX($AN$2:$BO$1001,MATCH(ROWS($AG$2:AG861),$AG$2:$AG$1001,0),MATCH(COLUMNS($AN$1006:BE1006),$AN$1006:$BO$1006,0)), HYPERLINK("#",""), HYPERLINK(CONCATENATE("#Metadata!", ADDRESS(INDEX($AI$2:$AI$1001,MATCH(ROWS($AG$2:AG861),$AG$2:$AG$1001,0),0), INDEX($AN$1004:$BO$1004,1,MATCH(COLUMNS($AN$1006:BE1006),$AN$1006:$BO$1006,0)))),"Fix")))</f>
        <v>0</v>
      </c>
      <c r="T861" s="4">
        <f>IF(OR(INDEX($AH$2:$AH$1001,MATCH(ROWS($AG$2:AG861),$AG$2:$AG$1001,0),1)&gt;=100000,INDEX($AN$1005:$BO$1005,1,MATCH(COLUMNS($AN$1006:BF1006),$AN$1006:$BO$1006,0))&gt;=100000), " ",IF(INDEX($AN$2:$BO$1001,MATCH(ROWS($AG$2:AG861),$AG$2:$AG$1001,0),MATCH(COLUMNS($AN$1006:BF1006),$AN$1006:$BO$1006,0)), HYPERLINK("#",""), HYPERLINK(CONCATENATE("#Metadata!", ADDRESS(INDEX($AI$2:$AI$1001,MATCH(ROWS($AG$2:AG861),$AG$2:$AG$1001,0),0), INDEX($AN$1004:$BO$1004,1,MATCH(COLUMNS($AN$1006:BF1006),$AN$1006:$BO$1006,0)))),"Fix")))</f>
        <v>0</v>
      </c>
      <c r="U861" s="4">
        <f>IF(OR(INDEX($AH$2:$AH$1001,MATCH(ROWS($AG$2:AG861),$AG$2:$AG$1001,0),1)&gt;=100000,INDEX($AN$1005:$BO$1005,1,MATCH(COLUMNS($AN$1006:BG1006),$AN$1006:$BO$1006,0))&gt;=100000), " ",IF(INDEX($AN$2:$BO$1001,MATCH(ROWS($AG$2:AG861),$AG$2:$AG$1001,0),MATCH(COLUMNS($AN$1006:BG1006),$AN$1006:$BO$1006,0)), HYPERLINK("#",""), HYPERLINK(CONCATENATE("#Metadata!", ADDRESS(INDEX($AI$2:$AI$1001,MATCH(ROWS($AG$2:AG861),$AG$2:$AG$1001,0),0), INDEX($AN$1004:$BO$1004,1,MATCH(COLUMNS($AN$1006:BG1006),$AN$1006:$BO$1006,0)))),"Fix")))</f>
        <v>0</v>
      </c>
      <c r="V861" s="4">
        <f>IF(OR(INDEX($AH$2:$AH$1001,MATCH(ROWS($AG$2:AG861),$AG$2:$AG$1001,0),1)&gt;=100000,INDEX($AN$1005:$BO$1005,1,MATCH(COLUMNS($AN$1006:BH1006),$AN$1006:$BO$1006,0))&gt;=100000), " ",IF(INDEX($AN$2:$BO$1001,MATCH(ROWS($AG$2:AG861),$AG$2:$AG$1001,0),MATCH(COLUMNS($AN$1006:BH1006),$AN$1006:$BO$1006,0)), HYPERLINK("#",""), HYPERLINK(CONCATENATE("#Metadata!", ADDRESS(INDEX($AI$2:$AI$1001,MATCH(ROWS($AG$2:AG861),$AG$2:$AG$1001,0),0), INDEX($AN$1004:$BO$1004,1,MATCH(COLUMNS($AN$1006:BH1006),$AN$1006:$BO$1006,0)))),"Fix")))</f>
        <v>0</v>
      </c>
      <c r="W861" s="4">
        <f>IF(OR(INDEX($AH$2:$AH$1001,MATCH(ROWS($AG$2:AG861),$AG$2:$AG$1001,0),1)&gt;=100000,INDEX($AN$1005:$BO$1005,1,MATCH(COLUMNS($AN$1006:BI1006),$AN$1006:$BO$1006,0))&gt;=100000), " ",IF(INDEX($AN$2:$BO$1001,MATCH(ROWS($AG$2:AG861),$AG$2:$AG$1001,0),MATCH(COLUMNS($AN$1006:BI1006),$AN$1006:$BO$1006,0)), HYPERLINK("#",""), HYPERLINK(CONCATENATE("#Metadata!", ADDRESS(INDEX($AI$2:$AI$1001,MATCH(ROWS($AG$2:AG861),$AG$2:$AG$1001,0),0), INDEX($AN$1004:$BO$1004,1,MATCH(COLUMNS($AN$1006:BI1006),$AN$1006:$BO$1006,0)))),"Fix")))</f>
        <v>0</v>
      </c>
      <c r="X861" s="4">
        <f>IF(OR(INDEX($AH$2:$AH$1001,MATCH(ROWS($AG$2:AG861),$AG$2:$AG$1001,0),1)&gt;=100000,INDEX($AN$1005:$BO$1005,1,MATCH(COLUMNS($AN$1006:BJ1006),$AN$1006:$BO$1006,0))&gt;=100000), " ",IF(INDEX($AN$2:$BO$1001,MATCH(ROWS($AG$2:AG861),$AG$2:$AG$1001,0),MATCH(COLUMNS($AN$1006:BJ1006),$AN$1006:$BO$1006,0)), HYPERLINK("#",""), HYPERLINK(CONCATENATE("#Metadata!", ADDRESS(INDEX($AI$2:$AI$1001,MATCH(ROWS($AG$2:AG861),$AG$2:$AG$1001,0),0), INDEX($AN$1004:$BO$1004,1,MATCH(COLUMNS($AN$1006:BJ1006),$AN$1006:$BO$1006,0)))),"Fix")))</f>
        <v>0</v>
      </c>
      <c r="Y861" s="4">
        <f>IF(OR(INDEX($AH$2:$AH$1001,MATCH(ROWS($AG$2:AG861),$AG$2:$AG$1001,0),1)&gt;=100000,INDEX($AN$1005:$BO$1005,1,MATCH(COLUMNS($AN$1006:BK1006),$AN$1006:$BO$1006,0))&gt;=100000), " ",IF(INDEX($AN$2:$BO$1001,MATCH(ROWS($AG$2:AG861),$AG$2:$AG$1001,0),MATCH(COLUMNS($AN$1006:BK1006),$AN$1006:$BO$1006,0)), HYPERLINK("#",""), HYPERLINK(CONCATENATE("#Metadata!", ADDRESS(INDEX($AI$2:$AI$1001,MATCH(ROWS($AG$2:AG861),$AG$2:$AG$1001,0),0), INDEX($AN$1004:$BO$1004,1,MATCH(COLUMNS($AN$1006:BK1006),$AN$1006:$BO$1006,0)))),"Fix")))</f>
        <v>0</v>
      </c>
      <c r="Z861" s="4">
        <f>IF(OR(INDEX($AH$2:$AH$1001,MATCH(ROWS($AG$2:AG861),$AG$2:$AG$1001,0),1)&gt;=100000,INDEX($AN$1005:$BO$1005,1,MATCH(COLUMNS($AN$1006:BL1006),$AN$1006:$BO$1006,0))&gt;=100000), " ",IF(INDEX($AN$2:$BO$1001,MATCH(ROWS($AG$2:AG861),$AG$2:$AG$1001,0),MATCH(COLUMNS($AN$1006:BL1006),$AN$1006:$BO$1006,0)), HYPERLINK("#",""), HYPERLINK(CONCATENATE("#Metadata!", ADDRESS(INDEX($AI$2:$AI$1001,MATCH(ROWS($AG$2:AG861),$AG$2:$AG$1001,0),0), INDEX($AN$1004:$BO$1004,1,MATCH(COLUMNS($AN$1006:BL1006),$AN$1006:$BO$1006,0)))),"Fix")))</f>
        <v>0</v>
      </c>
      <c r="AA861" s="4">
        <f>IF(OR(INDEX($AH$2:$AH$1001,MATCH(ROWS($AG$2:AG861),$AG$2:$AG$1001,0),1)&gt;=100000,INDEX($AN$1005:$BO$1005,1,MATCH(COLUMNS($AN$1006:BM1006),$AN$1006:$BO$1006,0))&gt;=100000), " ",IF(INDEX($AN$2:$BO$1001,MATCH(ROWS($AG$2:AG861),$AG$2:$AG$1001,0),MATCH(COLUMNS($AN$1006:BM1006),$AN$1006:$BO$1006,0)), HYPERLINK("#",""), HYPERLINK(CONCATENATE("#Metadata!", ADDRESS(INDEX($AI$2:$AI$1001,MATCH(ROWS($AG$2:AG861),$AG$2:$AG$1001,0),0), INDEX($AN$1004:$BO$1004,1,MATCH(COLUMNS($AN$1006:BM1006),$AN$1006:$BO$1006,0)))),"Fix")))</f>
        <v>0</v>
      </c>
      <c r="AB861" s="4">
        <f>IF(OR(INDEX($AH$2:$AH$1001,MATCH(ROWS($AG$2:AG861),$AG$2:$AG$1001,0),1)&gt;=100000,INDEX($AN$1005:$BO$1005,1,MATCH(COLUMNS($AN$1006:BN1006),$AN$1006:$BO$1006,0))&gt;=100000), " ",IF(INDEX($AN$2:$BO$1001,MATCH(ROWS($AG$2:AG861),$AG$2:$AG$1001,0),MATCH(COLUMNS($AN$1006:BN1006),$AN$1006:$BO$1006,0)), HYPERLINK("#",""), HYPERLINK(CONCATENATE("#Metadata!", ADDRESS(INDEX($AI$2:$AI$1001,MATCH(ROWS($AG$2:AG861),$AG$2:$AG$1001,0),0), INDEX($AN$1004:$BO$1004,1,MATCH(COLUMNS($AN$1006:BN1006),$AN$1006:$BO$1006,0)))),"Fix")))</f>
        <v>0</v>
      </c>
      <c r="AC861" s="4">
        <f>IF(OR(INDEX($AH$2:$AH$1001,MATCH(ROWS($AG$2:AG861),$AG$2:$AG$1001,0),1)&gt;=100000,INDEX($AN$1005:$BO$1005,1,MATCH(COLUMNS($AN$1006:BO1006),$AN$1006:$BO$1006,0))&gt;=100000), " ",IF(INDEX($AN$2:$BO$1001,MATCH(ROWS($AG$2:AG861),$AG$2:$AG$1001,0),MATCH(COLUMNS($AN$1006:BO1006),$AN$1006:$BO$1006,0)), HYPERLINK("#",""), HYPERLINK(CONCATENATE("#Metadata!", ADDRESS(INDEX($AI$2:$AI$1001,MATCH(ROWS($AG$2:AG861),$AG$2:$AG$1001,0),0), INDEX($AN$1004:$BO$1004,1,MATCH(COLUMNS($AN$1006:BO1006),$AN$1006:$BO$1006,0)))),"Fix")))</f>
        <v>0</v>
      </c>
      <c r="AG861">
        <v>0</v>
      </c>
      <c r="AH861">
        <v>0</v>
      </c>
      <c r="AI861">
        <v>0</v>
      </c>
      <c r="AJ861">
        <f>IF(AK861,TRUE,AND(AN861:BO861))</f>
        <v>0</v>
      </c>
      <c r="AK861">
        <f>COUNTBLANK(Metadata!B861:AC861)=COLUMNS(Metadata!B861:AC861)</f>
        <v>0</v>
      </c>
      <c r="AL861">
        <v>0</v>
      </c>
      <c r="AN861">
        <f>AND(IF(Metadata!B861="",FALSE,TRUE),COUNTIF(Metadata!B:B, Metadata!B861) = 1,NOT(ISERROR(SUMPRODUCT(SEARCH(MID(Metadata!B861,ROW(INDIRECT("1:"&amp;LEN(Metadata!B861))), 1),"0123456789abcdefghijklmnopqrstuvwxyzABCDEFGHIJKLMNOPQRSTUVWXYZ.")))))</f>
        <v>0</v>
      </c>
      <c r="AO861">
        <f>IF(Metadata!C861="",FALSE,TRUE)</f>
        <v>0</v>
      </c>
      <c r="AP861">
        <f>IF(Metadata!D861="",FALSE,TRUE)</f>
        <v>0</v>
      </c>
      <c r="AQ861">
        <f>OR(AND(IF(Metadata!E861="",FALSE,TRUE),OR(exact(Metadata!E861,"not collected"),exact(Metadata!E861,"not provided"),exact(Metadata!E861,"restricted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R861">
        <f>IF(Metadata!F861="",FALSE,TRUE)</f>
        <v>0</v>
      </c>
      <c r="AS861">
        <f>OR(AND(IF(Metadata!G861="",FALSE,TRUE),OR(exact(Metadata!G861,"not collected"),exact(Metadata!G861,"not provided"))),AND(IF(Metadata!G861="",FALSE,TRUE),OR(exact(Metadata!G861,"TRUE"),exact(Metadata!G861,"FALSE"))))</f>
        <v>0</v>
      </c>
      <c r="AT861">
        <f>OR(AND(IF(Metadata!H861="",FALSE,TRUE),OR(exact(Metadata!H861,"not collected"),exact(Metadata!H861,"not provided"),exact(Metadata!H861,"restricted access"))),AND(IF(Metadata!H861="",FALSE,ISNUMBER(VALUE(Metadata!H861))),Metadata!H861&gt;=-413.0))</f>
        <v>0</v>
      </c>
      <c r="AU861">
        <f>AND(IF(Metadata!I861="",FALSE,TRUE),exact(Metadata!I861,"meters"))</f>
        <v>0</v>
      </c>
      <c r="AV861">
        <f>AND(IF(Metadata!J861="",FALSE,TRUE),OR(exact(Metadata!J861,"Host-associated"),exact(Metadata!J861,"Free-living")))</f>
        <v>0</v>
      </c>
      <c r="AW861">
        <f>AND(IF(Metadata!K861="",FALSE,TRUE),OR(exact(Metadata!K861,"Animal"),exact(Metadata!K861,"Fungus"),exact(Metadata!K861,"Plant"),exact(Metadata!K861,"Saline"),exact(Metadata!K861,"Non-saline")))</f>
        <v>0</v>
      </c>
      <c r="AX861">
        <f>AND(IF(Metadata!L861="",FALSE,TRUE),OR(exact(Metadata!L861,"Plant secretion"),exact(Metadata!L861,"Plant rhizosphere"),exact(Metadata!L861,"Plant surface"),exact(Metadata!L861,"Plant corpus"),exact(Metadata!L861,"Fungus surface"),exact(Metadata!L861,"Fungus corpus"),exact(Metadata!L861,"Animal surface"),exact(Metadata!L861,"Animal proximal gut"),exact(Metadata!L861,"Animal corpus"),exact(Metadata!L861,"Animal distal gut"),exact(Metadata!L861,"Animal secretion"),exact(Metadata!L861,"Sub-surface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Y861">
        <f>IF(Metadata!M861="",FALSE,TRUE)</f>
        <v>0</v>
      </c>
      <c r="AZ861">
        <f>IF(Metadata!N861="",FALSE,TRUE)</f>
        <v>0</v>
      </c>
      <c r="BA861">
        <f>IF(Metadata!O861="",FALSE,TRUE)</f>
        <v>0</v>
      </c>
      <c r="BB861">
        <f>OR(AND(IF(Metadata!P861="",FALSE,TRUE),OR(exact(Metadata!P861,"not collected"),exact(Metadata!P861,"not provided"),exact(Metadata!P861,"restricted access"))),AND(IF(Metadata!P861="",FALSE,TRUE),OR(exact(Metadata!P861,"air"),exact(Metadata!P861,"built environment"),exact(Metadata!P861,"host-associated"),exact(Metadata!P861,"human-associated"),exact(Metadata!P861,"human-skin"),exact(Metadata!P861,"human-oral"),exact(Metadata!P861,"human-gut"),exact(Metadata!P861,"human-vaginal"),exact(Metadata!P861,"microbial mat/biofilm"),exact(Metadata!P861,"misc environment"),exact(Metadata!P861,"plant-associated"),exact(Metadata!P861,"sediment"),exact(Metadata!P861,"soil"),exact(Metadata!P861,"wastewater/sludge"),exact(Metadata!P861,"water"))))</f>
        <v>0</v>
      </c>
      <c r="BC861">
        <f>IF(Metadata!Q861="",FALSE,TRUE)</f>
        <v>0</v>
      </c>
      <c r="BD861">
        <f>IF(Metadata!R861="",FALSE,TRUE)</f>
        <v>0</v>
      </c>
      <c r="BE861">
        <f>OR(AND(IF(Metadata!S861="",FALSE,TRUE),OR(exact(Metadata!S861,"not collected"),exact(Metadata!S861,"not provided"),exact(Metadata!S861,"restricted access"))),AND(IF(Metadata!S861="",FALSE,ISNUMBER(VALUE(Metadata!S861))),Metadata!S861&gt;=-90.00,Metadata!S861&lt;=90.00))</f>
        <v>0</v>
      </c>
      <c r="BF861">
        <f>AND(IF(Metadata!T861="",FALSE,TRUE),exact(Metadata!T861,"Decimal degrees"))</f>
        <v>0</v>
      </c>
      <c r="BG861">
        <f>OR(AND(IF(Metadata!U861="",FALSE,TRUE),OR(exact(Metadata!U861,"not collected"),exact(Metadata!U861,"not provided"),exact(Metadata!U861,"restricted access"))),AND(IF(Metadata!U861="",FALSE,ISNUMBER(VALUE(Metadata!U861))),Metadata!U861&gt;=-180.00,Metadata!U861&lt;=180.00))</f>
        <v>0</v>
      </c>
      <c r="BH861">
        <f>AND(IF(Metadata!V861="",FALSE,TRUE),exact(Metadata!V861,"Decimal degrees"))</f>
        <v>0</v>
      </c>
      <c r="BI861">
        <f>IF(Metadata!W861="",FALSE,TRUE)</f>
        <v>0</v>
      </c>
      <c r="BJ861">
        <f>OR(AND(IF(Metadata!X861="",FALSE,TRUE),OR(exact(Metadata!X861,"not collected"),exact(Metadata!X861,"not provided"),exact(Metadata!X861,"restricted access"))),AND(IF(Metadata!X861="",FALSE,TRUE),OR(exact(Metadata!X861,"TRUE"),exact(Metadata!X861,"FALSE"))))</f>
        <v>0</v>
      </c>
      <c r="BK861">
        <f>AND(IF(Metadata!Y861="",FALSE,TRUE),exact(Metadata!Y861,"other"))</f>
        <v>0</v>
      </c>
      <c r="BL861">
        <f>IF(Metadata!Z861="",FALSE,TRUE)</f>
        <v>0</v>
      </c>
      <c r="BM861">
        <f>OR(AND(IF(Metadata!AA861="",FALSE,TRUE),OR(exact(Metadata!AA861,"not collected"),exact(Metadata!AA861,"not provided"))),AND(IF(Metadata!AA861="",FALSE,IF(ISERROR(INT(Metadata!AA861)),FALSE,INT(Metadata!AA861)=Metadata!AA861)),Metadata!AA861&gt;0))</f>
        <v>0</v>
      </c>
      <c r="BN861">
        <f>AND(IF(Metadata!AB861="",FALSE,TRUE),exact(Metadata!AB861,"Not applicable"))</f>
        <v>0</v>
      </c>
      <c r="BO861">
        <f>IF(Metadata!AC861="",FALSE,TRUE)</f>
        <v>0</v>
      </c>
    </row>
    <row r="862" spans="1:67">
      <c r="A862" s="5">
        <f>IF(B862=" "," ",HYPERLINK(CONCATENATE("#metadata!",ADDRESS(INDEX($AI$2:$AI$1001,MATCH(ROWS($AG$2:AG862),$AG$2:$AG$1001,0),0),1)),INDEX($AL$2:$AL$1001,MATCH(ROWS($AG$2:AG862),$AG$2:$AG$1001,0),0)))</f>
        <v>0</v>
      </c>
      <c r="B862" s="4">
        <f>IF(OR(INDEX($AH$2:$AH$1001,MATCH(ROWS($AG$2:AG862),$AG$2:$AG$1001,0),1)&gt;=100000,INDEX($AN$1005:$BO$1005,1,MATCH(COLUMNS($AN$1006:AN1006),$AN$1006:$BO$1006,0))&gt;=100000), " ",IF(INDEX($AN$2:$BO$1001,MATCH(ROWS($AG$2:AG862),$AG$2:$AG$1001,0),MATCH(COLUMNS($AN$1006:AN1006),$AN$1006:$BO$1006,0)), HYPERLINK("#",""), HYPERLINK(CONCATENATE("#Metadata!", ADDRESS(INDEX($AI$2:$AI$1001,MATCH(ROWS($AG$2:AG862),$AG$2:$AG$1001,0),0), INDEX($AN$1004:$BO$1004,1,MATCH(COLUMNS($AN$1006:AN1006),$AN$1006:$BO$1006,0)))),"Fix")))</f>
        <v>0</v>
      </c>
      <c r="C862" s="4">
        <f>IF(OR(INDEX($AH$2:$AH$1001,MATCH(ROWS($AG$2:AG862),$AG$2:$AG$1001,0),1)&gt;=100000,INDEX($AN$1005:$BO$1005,1,MATCH(COLUMNS($AN$1006:AO1006),$AN$1006:$BO$1006,0))&gt;=100000), " ",IF(INDEX($AN$2:$BO$1001,MATCH(ROWS($AG$2:AG862),$AG$2:$AG$1001,0),MATCH(COLUMNS($AN$1006:AO1006),$AN$1006:$BO$1006,0)), HYPERLINK("#",""), HYPERLINK(CONCATENATE("#Metadata!", ADDRESS(INDEX($AI$2:$AI$1001,MATCH(ROWS($AG$2:AG862),$AG$2:$AG$1001,0),0), INDEX($AN$1004:$BO$1004,1,MATCH(COLUMNS($AN$1006:AO1006),$AN$1006:$BO$1006,0)))),"Fix")))</f>
        <v>0</v>
      </c>
      <c r="D862" s="4">
        <f>IF(OR(INDEX($AH$2:$AH$1001,MATCH(ROWS($AG$2:AG862),$AG$2:$AG$1001,0),1)&gt;=100000,INDEX($AN$1005:$BO$1005,1,MATCH(COLUMNS($AN$1006:AP1006),$AN$1006:$BO$1006,0))&gt;=100000), " ",IF(INDEX($AN$2:$BO$1001,MATCH(ROWS($AG$2:AG862),$AG$2:$AG$1001,0),MATCH(COLUMNS($AN$1006:AP1006),$AN$1006:$BO$1006,0)), HYPERLINK("#",""), HYPERLINK(CONCATENATE("#Metadata!", ADDRESS(INDEX($AI$2:$AI$1001,MATCH(ROWS($AG$2:AG862),$AG$2:$AG$1001,0),0), INDEX($AN$1004:$BO$1004,1,MATCH(COLUMNS($AN$1006:AP1006),$AN$1006:$BO$1006,0)))),"Fix")))</f>
        <v>0</v>
      </c>
      <c r="E862" s="4">
        <f>IF(OR(INDEX($AH$2:$AH$1001,MATCH(ROWS($AG$2:AG862),$AG$2:$AG$1001,0),1)&gt;=100000,INDEX($AN$1005:$BO$1005,1,MATCH(COLUMNS($AN$1006:AQ1006),$AN$1006:$BO$1006,0))&gt;=100000), " ",IF(INDEX($AN$2:$BO$1001,MATCH(ROWS($AG$2:AG862),$AG$2:$AG$1001,0),MATCH(COLUMNS($AN$1006:AQ1006),$AN$1006:$BO$1006,0)), HYPERLINK("#",""), HYPERLINK(CONCATENATE("#Metadata!", ADDRESS(INDEX($AI$2:$AI$1001,MATCH(ROWS($AG$2:AG862),$AG$2:$AG$1001,0),0), INDEX($AN$1004:$BO$1004,1,MATCH(COLUMNS($AN$1006:AQ1006),$AN$1006:$BO$1006,0)))),"Fix")))</f>
        <v>0</v>
      </c>
      <c r="F862" s="4">
        <f>IF(OR(INDEX($AH$2:$AH$1001,MATCH(ROWS($AG$2:AG862),$AG$2:$AG$1001,0),1)&gt;=100000,INDEX($AN$1005:$BO$1005,1,MATCH(COLUMNS($AN$1006:AR1006),$AN$1006:$BO$1006,0))&gt;=100000), " ",IF(INDEX($AN$2:$BO$1001,MATCH(ROWS($AG$2:AG862),$AG$2:$AG$1001,0),MATCH(COLUMNS($AN$1006:AR1006),$AN$1006:$BO$1006,0)), HYPERLINK("#",""), HYPERLINK(CONCATENATE("#Metadata!", ADDRESS(INDEX($AI$2:$AI$1001,MATCH(ROWS($AG$2:AG862),$AG$2:$AG$1001,0),0), INDEX($AN$1004:$BO$1004,1,MATCH(COLUMNS($AN$1006:AR1006),$AN$1006:$BO$1006,0)))),"Fix")))</f>
        <v>0</v>
      </c>
      <c r="G862" s="4">
        <f>IF(OR(INDEX($AH$2:$AH$1001,MATCH(ROWS($AG$2:AG862),$AG$2:$AG$1001,0),1)&gt;=100000,INDEX($AN$1005:$BO$1005,1,MATCH(COLUMNS($AN$1006:AS1006),$AN$1006:$BO$1006,0))&gt;=100000), " ",IF(INDEX($AN$2:$BO$1001,MATCH(ROWS($AG$2:AG862),$AG$2:$AG$1001,0),MATCH(COLUMNS($AN$1006:AS1006),$AN$1006:$BO$1006,0)), HYPERLINK("#",""), HYPERLINK(CONCATENATE("#Metadata!", ADDRESS(INDEX($AI$2:$AI$1001,MATCH(ROWS($AG$2:AG862),$AG$2:$AG$1001,0),0), INDEX($AN$1004:$BO$1004,1,MATCH(COLUMNS($AN$1006:AS1006),$AN$1006:$BO$1006,0)))),"Fix")))</f>
        <v>0</v>
      </c>
      <c r="H862" s="4">
        <f>IF(OR(INDEX($AH$2:$AH$1001,MATCH(ROWS($AG$2:AG862),$AG$2:$AG$1001,0),1)&gt;=100000,INDEX($AN$1005:$BO$1005,1,MATCH(COLUMNS($AN$1006:AT1006),$AN$1006:$BO$1006,0))&gt;=100000), " ",IF(INDEX($AN$2:$BO$1001,MATCH(ROWS($AG$2:AG862),$AG$2:$AG$1001,0),MATCH(COLUMNS($AN$1006:AT1006),$AN$1006:$BO$1006,0)), HYPERLINK("#",""), HYPERLINK(CONCATENATE("#Metadata!", ADDRESS(INDEX($AI$2:$AI$1001,MATCH(ROWS($AG$2:AG862),$AG$2:$AG$1001,0),0), INDEX($AN$1004:$BO$1004,1,MATCH(COLUMNS($AN$1006:AT1006),$AN$1006:$BO$1006,0)))),"Fix")))</f>
        <v>0</v>
      </c>
      <c r="I862" s="4">
        <f>IF(OR(INDEX($AH$2:$AH$1001,MATCH(ROWS($AG$2:AG862),$AG$2:$AG$1001,0),1)&gt;=100000,INDEX($AN$1005:$BO$1005,1,MATCH(COLUMNS($AN$1006:AU1006),$AN$1006:$BO$1006,0))&gt;=100000), " ",IF(INDEX($AN$2:$BO$1001,MATCH(ROWS($AG$2:AG862),$AG$2:$AG$1001,0),MATCH(COLUMNS($AN$1006:AU1006),$AN$1006:$BO$1006,0)), HYPERLINK("#",""), HYPERLINK(CONCATENATE("#Metadata!", ADDRESS(INDEX($AI$2:$AI$1001,MATCH(ROWS($AG$2:AG862),$AG$2:$AG$1001,0),0), INDEX($AN$1004:$BO$1004,1,MATCH(COLUMNS($AN$1006:AU1006),$AN$1006:$BO$1006,0)))),"Fix")))</f>
        <v>0</v>
      </c>
      <c r="J862" s="4">
        <f>IF(OR(INDEX($AH$2:$AH$1001,MATCH(ROWS($AG$2:AG862),$AG$2:$AG$1001,0),1)&gt;=100000,INDEX($AN$1005:$BO$1005,1,MATCH(COLUMNS($AN$1006:AV1006),$AN$1006:$BO$1006,0))&gt;=100000), " ",IF(INDEX($AN$2:$BO$1001,MATCH(ROWS($AG$2:AG862),$AG$2:$AG$1001,0),MATCH(COLUMNS($AN$1006:AV1006),$AN$1006:$BO$1006,0)), HYPERLINK("#",""), HYPERLINK(CONCATENATE("#Metadata!", ADDRESS(INDEX($AI$2:$AI$1001,MATCH(ROWS($AG$2:AG862),$AG$2:$AG$1001,0),0), INDEX($AN$1004:$BO$1004,1,MATCH(COLUMNS($AN$1006:AV1006),$AN$1006:$BO$1006,0)))),"Fix")))</f>
        <v>0</v>
      </c>
      <c r="K862" s="4">
        <f>IF(OR(INDEX($AH$2:$AH$1001,MATCH(ROWS($AG$2:AG862),$AG$2:$AG$1001,0),1)&gt;=100000,INDEX($AN$1005:$BO$1005,1,MATCH(COLUMNS($AN$1006:AW1006),$AN$1006:$BO$1006,0))&gt;=100000), " ",IF(INDEX($AN$2:$BO$1001,MATCH(ROWS($AG$2:AG862),$AG$2:$AG$1001,0),MATCH(COLUMNS($AN$1006:AW1006),$AN$1006:$BO$1006,0)), HYPERLINK("#",""), HYPERLINK(CONCATENATE("#Metadata!", ADDRESS(INDEX($AI$2:$AI$1001,MATCH(ROWS($AG$2:AG862),$AG$2:$AG$1001,0),0), INDEX($AN$1004:$BO$1004,1,MATCH(COLUMNS($AN$1006:AW1006),$AN$1006:$BO$1006,0)))),"Fix")))</f>
        <v>0</v>
      </c>
      <c r="L862" s="4">
        <f>IF(OR(INDEX($AH$2:$AH$1001,MATCH(ROWS($AG$2:AG862),$AG$2:$AG$1001,0),1)&gt;=100000,INDEX($AN$1005:$BO$1005,1,MATCH(COLUMNS($AN$1006:AX1006),$AN$1006:$BO$1006,0))&gt;=100000), " ",IF(INDEX($AN$2:$BO$1001,MATCH(ROWS($AG$2:AG862),$AG$2:$AG$1001,0),MATCH(COLUMNS($AN$1006:AX1006),$AN$1006:$BO$1006,0)), HYPERLINK("#",""), HYPERLINK(CONCATENATE("#Metadata!", ADDRESS(INDEX($AI$2:$AI$1001,MATCH(ROWS($AG$2:AG862),$AG$2:$AG$1001,0),0), INDEX($AN$1004:$BO$1004,1,MATCH(COLUMNS($AN$1006:AX1006),$AN$1006:$BO$1006,0)))),"Fix")))</f>
        <v>0</v>
      </c>
      <c r="M862" s="4">
        <f>IF(OR(INDEX($AH$2:$AH$1001,MATCH(ROWS($AG$2:AG862),$AG$2:$AG$1001,0),1)&gt;=100000,INDEX($AN$1005:$BO$1005,1,MATCH(COLUMNS($AN$1006:AY1006),$AN$1006:$BO$1006,0))&gt;=100000), " ",IF(INDEX($AN$2:$BO$1001,MATCH(ROWS($AG$2:AG862),$AG$2:$AG$1001,0),MATCH(COLUMNS($AN$1006:AY1006),$AN$1006:$BO$1006,0)), HYPERLINK("#",""), HYPERLINK(CONCATENATE("#Metadata!", ADDRESS(INDEX($AI$2:$AI$1001,MATCH(ROWS($AG$2:AG862),$AG$2:$AG$1001,0),0), INDEX($AN$1004:$BO$1004,1,MATCH(COLUMNS($AN$1006:AY1006),$AN$1006:$BO$1006,0)))),"Fix")))</f>
        <v>0</v>
      </c>
      <c r="N862" s="4">
        <f>IF(OR(INDEX($AH$2:$AH$1001,MATCH(ROWS($AG$2:AG862),$AG$2:$AG$1001,0),1)&gt;=100000,INDEX($AN$1005:$BO$1005,1,MATCH(COLUMNS($AN$1006:AZ1006),$AN$1006:$BO$1006,0))&gt;=100000), " ",IF(INDEX($AN$2:$BO$1001,MATCH(ROWS($AG$2:AG862),$AG$2:$AG$1001,0),MATCH(COLUMNS($AN$1006:AZ1006),$AN$1006:$BO$1006,0)), HYPERLINK("#",""), HYPERLINK(CONCATENATE("#Metadata!", ADDRESS(INDEX($AI$2:$AI$1001,MATCH(ROWS($AG$2:AG862),$AG$2:$AG$1001,0),0), INDEX($AN$1004:$BO$1004,1,MATCH(COLUMNS($AN$1006:AZ1006),$AN$1006:$BO$1006,0)))),"Fix")))</f>
        <v>0</v>
      </c>
      <c r="O862" s="4">
        <f>IF(OR(INDEX($AH$2:$AH$1001,MATCH(ROWS($AG$2:AG862),$AG$2:$AG$1001,0),1)&gt;=100000,INDEX($AN$1005:$BO$1005,1,MATCH(COLUMNS($AN$1006:BA1006),$AN$1006:$BO$1006,0))&gt;=100000), " ",IF(INDEX($AN$2:$BO$1001,MATCH(ROWS($AG$2:AG862),$AG$2:$AG$1001,0),MATCH(COLUMNS($AN$1006:BA1006),$AN$1006:$BO$1006,0)), HYPERLINK("#",""), HYPERLINK(CONCATENATE("#Metadata!", ADDRESS(INDEX($AI$2:$AI$1001,MATCH(ROWS($AG$2:AG862),$AG$2:$AG$1001,0),0), INDEX($AN$1004:$BO$1004,1,MATCH(COLUMNS($AN$1006:BA1006),$AN$1006:$BO$1006,0)))),"Fix")))</f>
        <v>0</v>
      </c>
      <c r="P862" s="4">
        <f>IF(OR(INDEX($AH$2:$AH$1001,MATCH(ROWS($AG$2:AG862),$AG$2:$AG$1001,0),1)&gt;=100000,INDEX($AN$1005:$BO$1005,1,MATCH(COLUMNS($AN$1006:BB1006),$AN$1006:$BO$1006,0))&gt;=100000), " ",IF(INDEX($AN$2:$BO$1001,MATCH(ROWS($AG$2:AG862),$AG$2:$AG$1001,0),MATCH(COLUMNS($AN$1006:BB1006),$AN$1006:$BO$1006,0)), HYPERLINK("#",""), HYPERLINK(CONCATENATE("#Metadata!", ADDRESS(INDEX($AI$2:$AI$1001,MATCH(ROWS($AG$2:AG862),$AG$2:$AG$1001,0),0), INDEX($AN$1004:$BO$1004,1,MATCH(COLUMNS($AN$1006:BB1006),$AN$1006:$BO$1006,0)))),"Fix")))</f>
        <v>0</v>
      </c>
      <c r="Q862" s="4">
        <f>IF(OR(INDEX($AH$2:$AH$1001,MATCH(ROWS($AG$2:AG862),$AG$2:$AG$1001,0),1)&gt;=100000,INDEX($AN$1005:$BO$1005,1,MATCH(COLUMNS($AN$1006:BC1006),$AN$1006:$BO$1006,0))&gt;=100000), " ",IF(INDEX($AN$2:$BO$1001,MATCH(ROWS($AG$2:AG862),$AG$2:$AG$1001,0),MATCH(COLUMNS($AN$1006:BC1006),$AN$1006:$BO$1006,0)), HYPERLINK("#",""), HYPERLINK(CONCATENATE("#Metadata!", ADDRESS(INDEX($AI$2:$AI$1001,MATCH(ROWS($AG$2:AG862),$AG$2:$AG$1001,0),0), INDEX($AN$1004:$BO$1004,1,MATCH(COLUMNS($AN$1006:BC1006),$AN$1006:$BO$1006,0)))),"Fix")))</f>
        <v>0</v>
      </c>
      <c r="R862" s="4">
        <f>IF(OR(INDEX($AH$2:$AH$1001,MATCH(ROWS($AG$2:AG862),$AG$2:$AG$1001,0),1)&gt;=100000,INDEX($AN$1005:$BO$1005,1,MATCH(COLUMNS($AN$1006:BD1006),$AN$1006:$BO$1006,0))&gt;=100000), " ",IF(INDEX($AN$2:$BO$1001,MATCH(ROWS($AG$2:AG862),$AG$2:$AG$1001,0),MATCH(COLUMNS($AN$1006:BD1006),$AN$1006:$BO$1006,0)), HYPERLINK("#",""), HYPERLINK(CONCATENATE("#Metadata!", ADDRESS(INDEX($AI$2:$AI$1001,MATCH(ROWS($AG$2:AG862),$AG$2:$AG$1001,0),0), INDEX($AN$1004:$BO$1004,1,MATCH(COLUMNS($AN$1006:BD1006),$AN$1006:$BO$1006,0)))),"Fix")))</f>
        <v>0</v>
      </c>
      <c r="S862" s="4">
        <f>IF(OR(INDEX($AH$2:$AH$1001,MATCH(ROWS($AG$2:AG862),$AG$2:$AG$1001,0),1)&gt;=100000,INDEX($AN$1005:$BO$1005,1,MATCH(COLUMNS($AN$1006:BE1006),$AN$1006:$BO$1006,0))&gt;=100000), " ",IF(INDEX($AN$2:$BO$1001,MATCH(ROWS($AG$2:AG862),$AG$2:$AG$1001,0),MATCH(COLUMNS($AN$1006:BE1006),$AN$1006:$BO$1006,0)), HYPERLINK("#",""), HYPERLINK(CONCATENATE("#Metadata!", ADDRESS(INDEX($AI$2:$AI$1001,MATCH(ROWS($AG$2:AG862),$AG$2:$AG$1001,0),0), INDEX($AN$1004:$BO$1004,1,MATCH(COLUMNS($AN$1006:BE1006),$AN$1006:$BO$1006,0)))),"Fix")))</f>
        <v>0</v>
      </c>
      <c r="T862" s="4">
        <f>IF(OR(INDEX($AH$2:$AH$1001,MATCH(ROWS($AG$2:AG862),$AG$2:$AG$1001,0),1)&gt;=100000,INDEX($AN$1005:$BO$1005,1,MATCH(COLUMNS($AN$1006:BF1006),$AN$1006:$BO$1006,0))&gt;=100000), " ",IF(INDEX($AN$2:$BO$1001,MATCH(ROWS($AG$2:AG862),$AG$2:$AG$1001,0),MATCH(COLUMNS($AN$1006:BF1006),$AN$1006:$BO$1006,0)), HYPERLINK("#",""), HYPERLINK(CONCATENATE("#Metadata!", ADDRESS(INDEX($AI$2:$AI$1001,MATCH(ROWS($AG$2:AG862),$AG$2:$AG$1001,0),0), INDEX($AN$1004:$BO$1004,1,MATCH(COLUMNS($AN$1006:BF1006),$AN$1006:$BO$1006,0)))),"Fix")))</f>
        <v>0</v>
      </c>
      <c r="U862" s="4">
        <f>IF(OR(INDEX($AH$2:$AH$1001,MATCH(ROWS($AG$2:AG862),$AG$2:$AG$1001,0),1)&gt;=100000,INDEX($AN$1005:$BO$1005,1,MATCH(COLUMNS($AN$1006:BG1006),$AN$1006:$BO$1006,0))&gt;=100000), " ",IF(INDEX($AN$2:$BO$1001,MATCH(ROWS($AG$2:AG862),$AG$2:$AG$1001,0),MATCH(COLUMNS($AN$1006:BG1006),$AN$1006:$BO$1006,0)), HYPERLINK("#",""), HYPERLINK(CONCATENATE("#Metadata!", ADDRESS(INDEX($AI$2:$AI$1001,MATCH(ROWS($AG$2:AG862),$AG$2:$AG$1001,0),0), INDEX($AN$1004:$BO$1004,1,MATCH(COLUMNS($AN$1006:BG1006),$AN$1006:$BO$1006,0)))),"Fix")))</f>
        <v>0</v>
      </c>
      <c r="V862" s="4">
        <f>IF(OR(INDEX($AH$2:$AH$1001,MATCH(ROWS($AG$2:AG862),$AG$2:$AG$1001,0),1)&gt;=100000,INDEX($AN$1005:$BO$1005,1,MATCH(COLUMNS($AN$1006:BH1006),$AN$1006:$BO$1006,0))&gt;=100000), " ",IF(INDEX($AN$2:$BO$1001,MATCH(ROWS($AG$2:AG862),$AG$2:$AG$1001,0),MATCH(COLUMNS($AN$1006:BH1006),$AN$1006:$BO$1006,0)), HYPERLINK("#",""), HYPERLINK(CONCATENATE("#Metadata!", ADDRESS(INDEX($AI$2:$AI$1001,MATCH(ROWS($AG$2:AG862),$AG$2:$AG$1001,0),0), INDEX($AN$1004:$BO$1004,1,MATCH(COLUMNS($AN$1006:BH1006),$AN$1006:$BO$1006,0)))),"Fix")))</f>
        <v>0</v>
      </c>
      <c r="W862" s="4">
        <f>IF(OR(INDEX($AH$2:$AH$1001,MATCH(ROWS($AG$2:AG862),$AG$2:$AG$1001,0),1)&gt;=100000,INDEX($AN$1005:$BO$1005,1,MATCH(COLUMNS($AN$1006:BI1006),$AN$1006:$BO$1006,0))&gt;=100000), " ",IF(INDEX($AN$2:$BO$1001,MATCH(ROWS($AG$2:AG862),$AG$2:$AG$1001,0),MATCH(COLUMNS($AN$1006:BI1006),$AN$1006:$BO$1006,0)), HYPERLINK("#",""), HYPERLINK(CONCATENATE("#Metadata!", ADDRESS(INDEX($AI$2:$AI$1001,MATCH(ROWS($AG$2:AG862),$AG$2:$AG$1001,0),0), INDEX($AN$1004:$BO$1004,1,MATCH(COLUMNS($AN$1006:BI1006),$AN$1006:$BO$1006,0)))),"Fix")))</f>
        <v>0</v>
      </c>
      <c r="X862" s="4">
        <f>IF(OR(INDEX($AH$2:$AH$1001,MATCH(ROWS($AG$2:AG862),$AG$2:$AG$1001,0),1)&gt;=100000,INDEX($AN$1005:$BO$1005,1,MATCH(COLUMNS($AN$1006:BJ1006),$AN$1006:$BO$1006,0))&gt;=100000), " ",IF(INDEX($AN$2:$BO$1001,MATCH(ROWS($AG$2:AG862),$AG$2:$AG$1001,0),MATCH(COLUMNS($AN$1006:BJ1006),$AN$1006:$BO$1006,0)), HYPERLINK("#",""), HYPERLINK(CONCATENATE("#Metadata!", ADDRESS(INDEX($AI$2:$AI$1001,MATCH(ROWS($AG$2:AG862),$AG$2:$AG$1001,0),0), INDEX($AN$1004:$BO$1004,1,MATCH(COLUMNS($AN$1006:BJ1006),$AN$1006:$BO$1006,0)))),"Fix")))</f>
        <v>0</v>
      </c>
      <c r="Y862" s="4">
        <f>IF(OR(INDEX($AH$2:$AH$1001,MATCH(ROWS($AG$2:AG862),$AG$2:$AG$1001,0),1)&gt;=100000,INDEX($AN$1005:$BO$1005,1,MATCH(COLUMNS($AN$1006:BK1006),$AN$1006:$BO$1006,0))&gt;=100000), " ",IF(INDEX($AN$2:$BO$1001,MATCH(ROWS($AG$2:AG862),$AG$2:$AG$1001,0),MATCH(COLUMNS($AN$1006:BK1006),$AN$1006:$BO$1006,0)), HYPERLINK("#",""), HYPERLINK(CONCATENATE("#Metadata!", ADDRESS(INDEX($AI$2:$AI$1001,MATCH(ROWS($AG$2:AG862),$AG$2:$AG$1001,0),0), INDEX($AN$1004:$BO$1004,1,MATCH(COLUMNS($AN$1006:BK1006),$AN$1006:$BO$1006,0)))),"Fix")))</f>
        <v>0</v>
      </c>
      <c r="Z862" s="4">
        <f>IF(OR(INDEX($AH$2:$AH$1001,MATCH(ROWS($AG$2:AG862),$AG$2:$AG$1001,0),1)&gt;=100000,INDEX($AN$1005:$BO$1005,1,MATCH(COLUMNS($AN$1006:BL1006),$AN$1006:$BO$1006,0))&gt;=100000), " ",IF(INDEX($AN$2:$BO$1001,MATCH(ROWS($AG$2:AG862),$AG$2:$AG$1001,0),MATCH(COLUMNS($AN$1006:BL1006),$AN$1006:$BO$1006,0)), HYPERLINK("#",""), HYPERLINK(CONCATENATE("#Metadata!", ADDRESS(INDEX($AI$2:$AI$1001,MATCH(ROWS($AG$2:AG862),$AG$2:$AG$1001,0),0), INDEX($AN$1004:$BO$1004,1,MATCH(COLUMNS($AN$1006:BL1006),$AN$1006:$BO$1006,0)))),"Fix")))</f>
        <v>0</v>
      </c>
      <c r="AA862" s="4">
        <f>IF(OR(INDEX($AH$2:$AH$1001,MATCH(ROWS($AG$2:AG862),$AG$2:$AG$1001,0),1)&gt;=100000,INDEX($AN$1005:$BO$1005,1,MATCH(COLUMNS($AN$1006:BM1006),$AN$1006:$BO$1006,0))&gt;=100000), " ",IF(INDEX($AN$2:$BO$1001,MATCH(ROWS($AG$2:AG862),$AG$2:$AG$1001,0),MATCH(COLUMNS($AN$1006:BM1006),$AN$1006:$BO$1006,0)), HYPERLINK("#",""), HYPERLINK(CONCATENATE("#Metadata!", ADDRESS(INDEX($AI$2:$AI$1001,MATCH(ROWS($AG$2:AG862),$AG$2:$AG$1001,0),0), INDEX($AN$1004:$BO$1004,1,MATCH(COLUMNS($AN$1006:BM1006),$AN$1006:$BO$1006,0)))),"Fix")))</f>
        <v>0</v>
      </c>
      <c r="AB862" s="4">
        <f>IF(OR(INDEX($AH$2:$AH$1001,MATCH(ROWS($AG$2:AG862),$AG$2:$AG$1001,0),1)&gt;=100000,INDEX($AN$1005:$BO$1005,1,MATCH(COLUMNS($AN$1006:BN1006),$AN$1006:$BO$1006,0))&gt;=100000), " ",IF(INDEX($AN$2:$BO$1001,MATCH(ROWS($AG$2:AG862),$AG$2:$AG$1001,0),MATCH(COLUMNS($AN$1006:BN1006),$AN$1006:$BO$1006,0)), HYPERLINK("#",""), HYPERLINK(CONCATENATE("#Metadata!", ADDRESS(INDEX($AI$2:$AI$1001,MATCH(ROWS($AG$2:AG862),$AG$2:$AG$1001,0),0), INDEX($AN$1004:$BO$1004,1,MATCH(COLUMNS($AN$1006:BN1006),$AN$1006:$BO$1006,0)))),"Fix")))</f>
        <v>0</v>
      </c>
      <c r="AC862" s="4">
        <f>IF(OR(INDEX($AH$2:$AH$1001,MATCH(ROWS($AG$2:AG862),$AG$2:$AG$1001,0),1)&gt;=100000,INDEX($AN$1005:$BO$1005,1,MATCH(COLUMNS($AN$1006:BO1006),$AN$1006:$BO$1006,0))&gt;=100000), " ",IF(INDEX($AN$2:$BO$1001,MATCH(ROWS($AG$2:AG862),$AG$2:$AG$1001,0),MATCH(COLUMNS($AN$1006:BO1006),$AN$1006:$BO$1006,0)), HYPERLINK("#",""), HYPERLINK(CONCATENATE("#Metadata!", ADDRESS(INDEX($AI$2:$AI$1001,MATCH(ROWS($AG$2:AG862),$AG$2:$AG$1001,0),0), INDEX($AN$1004:$BO$1004,1,MATCH(COLUMNS($AN$1006:BO1006),$AN$1006:$BO$1006,0)))),"Fix")))</f>
        <v>0</v>
      </c>
      <c r="AG862">
        <v>0</v>
      </c>
      <c r="AH862">
        <v>0</v>
      </c>
      <c r="AI862">
        <v>0</v>
      </c>
      <c r="AJ862">
        <f>IF(AK862,TRUE,AND(AN862:BO862))</f>
        <v>0</v>
      </c>
      <c r="AK862">
        <f>COUNTBLANK(Metadata!B862:AC862)=COLUMNS(Metadata!B862:AC862)</f>
        <v>0</v>
      </c>
      <c r="AL862">
        <v>0</v>
      </c>
      <c r="AN862">
        <f>AND(IF(Metadata!B862="",FALSE,TRUE),COUNTIF(Metadata!B:B, Metadata!B862) = 1,NOT(ISERROR(SUMPRODUCT(SEARCH(MID(Metadata!B862,ROW(INDIRECT("1:"&amp;LEN(Metadata!B862))), 1),"0123456789abcdefghijklmnopqrstuvwxyzABCDEFGHIJKLMNOPQRSTUVWXYZ.")))))</f>
        <v>0</v>
      </c>
      <c r="AO862">
        <f>IF(Metadata!C862="",FALSE,TRUE)</f>
        <v>0</v>
      </c>
      <c r="AP862">
        <f>IF(Metadata!D862="",FALSE,TRUE)</f>
        <v>0</v>
      </c>
      <c r="AQ862">
        <f>OR(AND(IF(Metadata!E862="",FALSE,TRUE),OR(exact(Metadata!E862,"not collected"),exact(Metadata!E862,"not provided"),exact(Metadata!E862,"restricted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R862">
        <f>IF(Metadata!F862="",FALSE,TRUE)</f>
        <v>0</v>
      </c>
      <c r="AS862">
        <f>OR(AND(IF(Metadata!G862="",FALSE,TRUE),OR(exact(Metadata!G862,"not collected"),exact(Metadata!G862,"not provided"))),AND(IF(Metadata!G862="",FALSE,TRUE),OR(exact(Metadata!G862,"TRUE"),exact(Metadata!G862,"FALSE"))))</f>
        <v>0</v>
      </c>
      <c r="AT862">
        <f>OR(AND(IF(Metadata!H862="",FALSE,TRUE),OR(exact(Metadata!H862,"not collected"),exact(Metadata!H862,"not provided"),exact(Metadata!H862,"restricted access"))),AND(IF(Metadata!H862="",FALSE,ISNUMBER(VALUE(Metadata!H862))),Metadata!H862&gt;=-413.0))</f>
        <v>0</v>
      </c>
      <c r="AU862">
        <f>AND(IF(Metadata!I862="",FALSE,TRUE),exact(Metadata!I862,"meters"))</f>
        <v>0</v>
      </c>
      <c r="AV862">
        <f>AND(IF(Metadata!J862="",FALSE,TRUE),OR(exact(Metadata!J862,"Host-associated"),exact(Metadata!J862,"Free-living")))</f>
        <v>0</v>
      </c>
      <c r="AW862">
        <f>AND(IF(Metadata!K862="",FALSE,TRUE),OR(exact(Metadata!K862,"Animal"),exact(Metadata!K862,"Fungus"),exact(Metadata!K862,"Plant"),exact(Metadata!K862,"Saline"),exact(Metadata!K862,"Non-saline")))</f>
        <v>0</v>
      </c>
      <c r="AX862">
        <f>AND(IF(Metadata!L862="",FALSE,TRUE),OR(exact(Metadata!L862,"Plant secretion"),exact(Metadata!L862,"Plant rhizosphere"),exact(Metadata!L862,"Plant surface"),exact(Metadata!L862,"Plant corpus"),exact(Metadata!L862,"Fungus surface"),exact(Metadata!L862,"Fungus corpus"),exact(Metadata!L862,"Animal surface"),exact(Metadata!L862,"Animal proximal gut"),exact(Metadata!L862,"Animal corpus"),exact(Metadata!L862,"Animal distal gut"),exact(Metadata!L862,"Animal secretion"),exact(Metadata!L862,"Sub-surface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Y862">
        <f>IF(Metadata!M862="",FALSE,TRUE)</f>
        <v>0</v>
      </c>
      <c r="AZ862">
        <f>IF(Metadata!N862="",FALSE,TRUE)</f>
        <v>0</v>
      </c>
      <c r="BA862">
        <f>IF(Metadata!O862="",FALSE,TRUE)</f>
        <v>0</v>
      </c>
      <c r="BB862">
        <f>OR(AND(IF(Metadata!P862="",FALSE,TRUE),OR(exact(Metadata!P862,"not collected"),exact(Metadata!P862,"not provided"),exact(Metadata!P862,"restricted access"))),AND(IF(Metadata!P862="",FALSE,TRUE),OR(exact(Metadata!P862,"air"),exact(Metadata!P862,"built environment"),exact(Metadata!P862,"host-associated"),exact(Metadata!P862,"human-associated"),exact(Metadata!P862,"human-skin"),exact(Metadata!P862,"human-oral"),exact(Metadata!P862,"human-gut"),exact(Metadata!P862,"human-vaginal"),exact(Metadata!P862,"microbial mat/biofilm"),exact(Metadata!P862,"misc environment"),exact(Metadata!P862,"plant-associated"),exact(Metadata!P862,"sediment"),exact(Metadata!P862,"soil"),exact(Metadata!P862,"wastewater/sludge"),exact(Metadata!P862,"water"))))</f>
        <v>0</v>
      </c>
      <c r="BC862">
        <f>IF(Metadata!Q862="",FALSE,TRUE)</f>
        <v>0</v>
      </c>
      <c r="BD862">
        <f>IF(Metadata!R862="",FALSE,TRUE)</f>
        <v>0</v>
      </c>
      <c r="BE862">
        <f>OR(AND(IF(Metadata!S862="",FALSE,TRUE),OR(exact(Metadata!S862,"not collected"),exact(Metadata!S862,"not provided"),exact(Metadata!S862,"restricted access"))),AND(IF(Metadata!S862="",FALSE,ISNUMBER(VALUE(Metadata!S862))),Metadata!S862&gt;=-90.00,Metadata!S862&lt;=90.00))</f>
        <v>0</v>
      </c>
      <c r="BF862">
        <f>AND(IF(Metadata!T862="",FALSE,TRUE),exact(Metadata!T862,"Decimal degrees"))</f>
        <v>0</v>
      </c>
      <c r="BG862">
        <f>OR(AND(IF(Metadata!U862="",FALSE,TRUE),OR(exact(Metadata!U862,"not collected"),exact(Metadata!U862,"not provided"),exact(Metadata!U862,"restricted access"))),AND(IF(Metadata!U862="",FALSE,ISNUMBER(VALUE(Metadata!U862))),Metadata!U862&gt;=-180.00,Metadata!U862&lt;=180.00))</f>
        <v>0</v>
      </c>
      <c r="BH862">
        <f>AND(IF(Metadata!V862="",FALSE,TRUE),exact(Metadata!V862,"Decimal degrees"))</f>
        <v>0</v>
      </c>
      <c r="BI862">
        <f>IF(Metadata!W862="",FALSE,TRUE)</f>
        <v>0</v>
      </c>
      <c r="BJ862">
        <f>OR(AND(IF(Metadata!X862="",FALSE,TRUE),OR(exact(Metadata!X862,"not collected"),exact(Metadata!X862,"not provided"),exact(Metadata!X862,"restricted access"))),AND(IF(Metadata!X862="",FALSE,TRUE),OR(exact(Metadata!X862,"TRUE"),exact(Metadata!X862,"FALSE"))))</f>
        <v>0</v>
      </c>
      <c r="BK862">
        <f>AND(IF(Metadata!Y862="",FALSE,TRUE),exact(Metadata!Y862,"other"))</f>
        <v>0</v>
      </c>
      <c r="BL862">
        <f>IF(Metadata!Z862="",FALSE,TRUE)</f>
        <v>0</v>
      </c>
      <c r="BM862">
        <f>OR(AND(IF(Metadata!AA862="",FALSE,TRUE),OR(exact(Metadata!AA862,"not collected"),exact(Metadata!AA862,"not provided"))),AND(IF(Metadata!AA862="",FALSE,IF(ISERROR(INT(Metadata!AA862)),FALSE,INT(Metadata!AA862)=Metadata!AA862)),Metadata!AA862&gt;0))</f>
        <v>0</v>
      </c>
      <c r="BN862">
        <f>AND(IF(Metadata!AB862="",FALSE,TRUE),exact(Metadata!AB862,"Not applicable"))</f>
        <v>0</v>
      </c>
      <c r="BO862">
        <f>IF(Metadata!AC862="",FALSE,TRUE)</f>
        <v>0</v>
      </c>
    </row>
    <row r="863" spans="1:67">
      <c r="A863" s="5">
        <f>IF(B863=" "," ",HYPERLINK(CONCATENATE("#metadata!",ADDRESS(INDEX($AI$2:$AI$1001,MATCH(ROWS($AG$2:AG863),$AG$2:$AG$1001,0),0),1)),INDEX($AL$2:$AL$1001,MATCH(ROWS($AG$2:AG863),$AG$2:$AG$1001,0),0)))</f>
        <v>0</v>
      </c>
      <c r="B863" s="4">
        <f>IF(OR(INDEX($AH$2:$AH$1001,MATCH(ROWS($AG$2:AG863),$AG$2:$AG$1001,0),1)&gt;=100000,INDEX($AN$1005:$BO$1005,1,MATCH(COLUMNS($AN$1006:AN1006),$AN$1006:$BO$1006,0))&gt;=100000), " ",IF(INDEX($AN$2:$BO$1001,MATCH(ROWS($AG$2:AG863),$AG$2:$AG$1001,0),MATCH(COLUMNS($AN$1006:AN1006),$AN$1006:$BO$1006,0)), HYPERLINK("#",""), HYPERLINK(CONCATENATE("#Metadata!", ADDRESS(INDEX($AI$2:$AI$1001,MATCH(ROWS($AG$2:AG863),$AG$2:$AG$1001,0),0), INDEX($AN$1004:$BO$1004,1,MATCH(COLUMNS($AN$1006:AN1006),$AN$1006:$BO$1006,0)))),"Fix")))</f>
        <v>0</v>
      </c>
      <c r="C863" s="4">
        <f>IF(OR(INDEX($AH$2:$AH$1001,MATCH(ROWS($AG$2:AG863),$AG$2:$AG$1001,0),1)&gt;=100000,INDEX($AN$1005:$BO$1005,1,MATCH(COLUMNS($AN$1006:AO1006),$AN$1006:$BO$1006,0))&gt;=100000), " ",IF(INDEX($AN$2:$BO$1001,MATCH(ROWS($AG$2:AG863),$AG$2:$AG$1001,0),MATCH(COLUMNS($AN$1006:AO1006),$AN$1006:$BO$1006,0)), HYPERLINK("#",""), HYPERLINK(CONCATENATE("#Metadata!", ADDRESS(INDEX($AI$2:$AI$1001,MATCH(ROWS($AG$2:AG863),$AG$2:$AG$1001,0),0), INDEX($AN$1004:$BO$1004,1,MATCH(COLUMNS($AN$1006:AO1006),$AN$1006:$BO$1006,0)))),"Fix")))</f>
        <v>0</v>
      </c>
      <c r="D863" s="4">
        <f>IF(OR(INDEX($AH$2:$AH$1001,MATCH(ROWS($AG$2:AG863),$AG$2:$AG$1001,0),1)&gt;=100000,INDEX($AN$1005:$BO$1005,1,MATCH(COLUMNS($AN$1006:AP1006),$AN$1006:$BO$1006,0))&gt;=100000), " ",IF(INDEX($AN$2:$BO$1001,MATCH(ROWS($AG$2:AG863),$AG$2:$AG$1001,0),MATCH(COLUMNS($AN$1006:AP1006),$AN$1006:$BO$1006,0)), HYPERLINK("#",""), HYPERLINK(CONCATENATE("#Metadata!", ADDRESS(INDEX($AI$2:$AI$1001,MATCH(ROWS($AG$2:AG863),$AG$2:$AG$1001,0),0), INDEX($AN$1004:$BO$1004,1,MATCH(COLUMNS($AN$1006:AP1006),$AN$1006:$BO$1006,0)))),"Fix")))</f>
        <v>0</v>
      </c>
      <c r="E863" s="4">
        <f>IF(OR(INDEX($AH$2:$AH$1001,MATCH(ROWS($AG$2:AG863),$AG$2:$AG$1001,0),1)&gt;=100000,INDEX($AN$1005:$BO$1005,1,MATCH(COLUMNS($AN$1006:AQ1006),$AN$1006:$BO$1006,0))&gt;=100000), " ",IF(INDEX($AN$2:$BO$1001,MATCH(ROWS($AG$2:AG863),$AG$2:$AG$1001,0),MATCH(COLUMNS($AN$1006:AQ1006),$AN$1006:$BO$1006,0)), HYPERLINK("#",""), HYPERLINK(CONCATENATE("#Metadata!", ADDRESS(INDEX($AI$2:$AI$1001,MATCH(ROWS($AG$2:AG863),$AG$2:$AG$1001,0),0), INDEX($AN$1004:$BO$1004,1,MATCH(COLUMNS($AN$1006:AQ1006),$AN$1006:$BO$1006,0)))),"Fix")))</f>
        <v>0</v>
      </c>
      <c r="F863" s="4">
        <f>IF(OR(INDEX($AH$2:$AH$1001,MATCH(ROWS($AG$2:AG863),$AG$2:$AG$1001,0),1)&gt;=100000,INDEX($AN$1005:$BO$1005,1,MATCH(COLUMNS($AN$1006:AR1006),$AN$1006:$BO$1006,0))&gt;=100000), " ",IF(INDEX($AN$2:$BO$1001,MATCH(ROWS($AG$2:AG863),$AG$2:$AG$1001,0),MATCH(COLUMNS($AN$1006:AR1006),$AN$1006:$BO$1006,0)), HYPERLINK("#",""), HYPERLINK(CONCATENATE("#Metadata!", ADDRESS(INDEX($AI$2:$AI$1001,MATCH(ROWS($AG$2:AG863),$AG$2:$AG$1001,0),0), INDEX($AN$1004:$BO$1004,1,MATCH(COLUMNS($AN$1006:AR1006),$AN$1006:$BO$1006,0)))),"Fix")))</f>
        <v>0</v>
      </c>
      <c r="G863" s="4">
        <f>IF(OR(INDEX($AH$2:$AH$1001,MATCH(ROWS($AG$2:AG863),$AG$2:$AG$1001,0),1)&gt;=100000,INDEX($AN$1005:$BO$1005,1,MATCH(COLUMNS($AN$1006:AS1006),$AN$1006:$BO$1006,0))&gt;=100000), " ",IF(INDEX($AN$2:$BO$1001,MATCH(ROWS($AG$2:AG863),$AG$2:$AG$1001,0),MATCH(COLUMNS($AN$1006:AS1006),$AN$1006:$BO$1006,0)), HYPERLINK("#",""), HYPERLINK(CONCATENATE("#Metadata!", ADDRESS(INDEX($AI$2:$AI$1001,MATCH(ROWS($AG$2:AG863),$AG$2:$AG$1001,0),0), INDEX($AN$1004:$BO$1004,1,MATCH(COLUMNS($AN$1006:AS1006),$AN$1006:$BO$1006,0)))),"Fix")))</f>
        <v>0</v>
      </c>
      <c r="H863" s="4">
        <f>IF(OR(INDEX($AH$2:$AH$1001,MATCH(ROWS($AG$2:AG863),$AG$2:$AG$1001,0),1)&gt;=100000,INDEX($AN$1005:$BO$1005,1,MATCH(COLUMNS($AN$1006:AT1006),$AN$1006:$BO$1006,0))&gt;=100000), " ",IF(INDEX($AN$2:$BO$1001,MATCH(ROWS($AG$2:AG863),$AG$2:$AG$1001,0),MATCH(COLUMNS($AN$1006:AT1006),$AN$1006:$BO$1006,0)), HYPERLINK("#",""), HYPERLINK(CONCATENATE("#Metadata!", ADDRESS(INDEX($AI$2:$AI$1001,MATCH(ROWS($AG$2:AG863),$AG$2:$AG$1001,0),0), INDEX($AN$1004:$BO$1004,1,MATCH(COLUMNS($AN$1006:AT1006),$AN$1006:$BO$1006,0)))),"Fix")))</f>
        <v>0</v>
      </c>
      <c r="I863" s="4">
        <f>IF(OR(INDEX($AH$2:$AH$1001,MATCH(ROWS($AG$2:AG863),$AG$2:$AG$1001,0),1)&gt;=100000,INDEX($AN$1005:$BO$1005,1,MATCH(COLUMNS($AN$1006:AU1006),$AN$1006:$BO$1006,0))&gt;=100000), " ",IF(INDEX($AN$2:$BO$1001,MATCH(ROWS($AG$2:AG863),$AG$2:$AG$1001,0),MATCH(COLUMNS($AN$1006:AU1006),$AN$1006:$BO$1006,0)), HYPERLINK("#",""), HYPERLINK(CONCATENATE("#Metadata!", ADDRESS(INDEX($AI$2:$AI$1001,MATCH(ROWS($AG$2:AG863),$AG$2:$AG$1001,0),0), INDEX($AN$1004:$BO$1004,1,MATCH(COLUMNS($AN$1006:AU1006),$AN$1006:$BO$1006,0)))),"Fix")))</f>
        <v>0</v>
      </c>
      <c r="J863" s="4">
        <f>IF(OR(INDEX($AH$2:$AH$1001,MATCH(ROWS($AG$2:AG863),$AG$2:$AG$1001,0),1)&gt;=100000,INDEX($AN$1005:$BO$1005,1,MATCH(COLUMNS($AN$1006:AV1006),$AN$1006:$BO$1006,0))&gt;=100000), " ",IF(INDEX($AN$2:$BO$1001,MATCH(ROWS($AG$2:AG863),$AG$2:$AG$1001,0),MATCH(COLUMNS($AN$1006:AV1006),$AN$1006:$BO$1006,0)), HYPERLINK("#",""), HYPERLINK(CONCATENATE("#Metadata!", ADDRESS(INDEX($AI$2:$AI$1001,MATCH(ROWS($AG$2:AG863),$AG$2:$AG$1001,0),0), INDEX($AN$1004:$BO$1004,1,MATCH(COLUMNS($AN$1006:AV1006),$AN$1006:$BO$1006,0)))),"Fix")))</f>
        <v>0</v>
      </c>
      <c r="K863" s="4">
        <f>IF(OR(INDEX($AH$2:$AH$1001,MATCH(ROWS($AG$2:AG863),$AG$2:$AG$1001,0),1)&gt;=100000,INDEX($AN$1005:$BO$1005,1,MATCH(COLUMNS($AN$1006:AW1006),$AN$1006:$BO$1006,0))&gt;=100000), " ",IF(INDEX($AN$2:$BO$1001,MATCH(ROWS($AG$2:AG863),$AG$2:$AG$1001,0),MATCH(COLUMNS($AN$1006:AW1006),$AN$1006:$BO$1006,0)), HYPERLINK("#",""), HYPERLINK(CONCATENATE("#Metadata!", ADDRESS(INDEX($AI$2:$AI$1001,MATCH(ROWS($AG$2:AG863),$AG$2:$AG$1001,0),0), INDEX($AN$1004:$BO$1004,1,MATCH(COLUMNS($AN$1006:AW1006),$AN$1006:$BO$1006,0)))),"Fix")))</f>
        <v>0</v>
      </c>
      <c r="L863" s="4">
        <f>IF(OR(INDEX($AH$2:$AH$1001,MATCH(ROWS($AG$2:AG863),$AG$2:$AG$1001,0),1)&gt;=100000,INDEX($AN$1005:$BO$1005,1,MATCH(COLUMNS($AN$1006:AX1006),$AN$1006:$BO$1006,0))&gt;=100000), " ",IF(INDEX($AN$2:$BO$1001,MATCH(ROWS($AG$2:AG863),$AG$2:$AG$1001,0),MATCH(COLUMNS($AN$1006:AX1006),$AN$1006:$BO$1006,0)), HYPERLINK("#",""), HYPERLINK(CONCATENATE("#Metadata!", ADDRESS(INDEX($AI$2:$AI$1001,MATCH(ROWS($AG$2:AG863),$AG$2:$AG$1001,0),0), INDEX($AN$1004:$BO$1004,1,MATCH(COLUMNS($AN$1006:AX1006),$AN$1006:$BO$1006,0)))),"Fix")))</f>
        <v>0</v>
      </c>
      <c r="M863" s="4">
        <f>IF(OR(INDEX($AH$2:$AH$1001,MATCH(ROWS($AG$2:AG863),$AG$2:$AG$1001,0),1)&gt;=100000,INDEX($AN$1005:$BO$1005,1,MATCH(COLUMNS($AN$1006:AY1006),$AN$1006:$BO$1006,0))&gt;=100000), " ",IF(INDEX($AN$2:$BO$1001,MATCH(ROWS($AG$2:AG863),$AG$2:$AG$1001,0),MATCH(COLUMNS($AN$1006:AY1006),$AN$1006:$BO$1006,0)), HYPERLINK("#",""), HYPERLINK(CONCATENATE("#Metadata!", ADDRESS(INDEX($AI$2:$AI$1001,MATCH(ROWS($AG$2:AG863),$AG$2:$AG$1001,0),0), INDEX($AN$1004:$BO$1004,1,MATCH(COLUMNS($AN$1006:AY1006),$AN$1006:$BO$1006,0)))),"Fix")))</f>
        <v>0</v>
      </c>
      <c r="N863" s="4">
        <f>IF(OR(INDEX($AH$2:$AH$1001,MATCH(ROWS($AG$2:AG863),$AG$2:$AG$1001,0),1)&gt;=100000,INDEX($AN$1005:$BO$1005,1,MATCH(COLUMNS($AN$1006:AZ1006),$AN$1006:$BO$1006,0))&gt;=100000), " ",IF(INDEX($AN$2:$BO$1001,MATCH(ROWS($AG$2:AG863),$AG$2:$AG$1001,0),MATCH(COLUMNS($AN$1006:AZ1006),$AN$1006:$BO$1006,0)), HYPERLINK("#",""), HYPERLINK(CONCATENATE("#Metadata!", ADDRESS(INDEX($AI$2:$AI$1001,MATCH(ROWS($AG$2:AG863),$AG$2:$AG$1001,0),0), INDEX($AN$1004:$BO$1004,1,MATCH(COLUMNS($AN$1006:AZ1006),$AN$1006:$BO$1006,0)))),"Fix")))</f>
        <v>0</v>
      </c>
      <c r="O863" s="4">
        <f>IF(OR(INDEX($AH$2:$AH$1001,MATCH(ROWS($AG$2:AG863),$AG$2:$AG$1001,0),1)&gt;=100000,INDEX($AN$1005:$BO$1005,1,MATCH(COLUMNS($AN$1006:BA1006),$AN$1006:$BO$1006,0))&gt;=100000), " ",IF(INDEX($AN$2:$BO$1001,MATCH(ROWS($AG$2:AG863),$AG$2:$AG$1001,0),MATCH(COLUMNS($AN$1006:BA1006),$AN$1006:$BO$1006,0)), HYPERLINK("#",""), HYPERLINK(CONCATENATE("#Metadata!", ADDRESS(INDEX($AI$2:$AI$1001,MATCH(ROWS($AG$2:AG863),$AG$2:$AG$1001,0),0), INDEX($AN$1004:$BO$1004,1,MATCH(COLUMNS($AN$1006:BA1006),$AN$1006:$BO$1006,0)))),"Fix")))</f>
        <v>0</v>
      </c>
      <c r="P863" s="4">
        <f>IF(OR(INDEX($AH$2:$AH$1001,MATCH(ROWS($AG$2:AG863),$AG$2:$AG$1001,0),1)&gt;=100000,INDEX($AN$1005:$BO$1005,1,MATCH(COLUMNS($AN$1006:BB1006),$AN$1006:$BO$1006,0))&gt;=100000), " ",IF(INDEX($AN$2:$BO$1001,MATCH(ROWS($AG$2:AG863),$AG$2:$AG$1001,0),MATCH(COLUMNS($AN$1006:BB1006),$AN$1006:$BO$1006,0)), HYPERLINK("#",""), HYPERLINK(CONCATENATE("#Metadata!", ADDRESS(INDEX($AI$2:$AI$1001,MATCH(ROWS($AG$2:AG863),$AG$2:$AG$1001,0),0), INDEX($AN$1004:$BO$1004,1,MATCH(COLUMNS($AN$1006:BB1006),$AN$1006:$BO$1006,0)))),"Fix")))</f>
        <v>0</v>
      </c>
      <c r="Q863" s="4">
        <f>IF(OR(INDEX($AH$2:$AH$1001,MATCH(ROWS($AG$2:AG863),$AG$2:$AG$1001,0),1)&gt;=100000,INDEX($AN$1005:$BO$1005,1,MATCH(COLUMNS($AN$1006:BC1006),$AN$1006:$BO$1006,0))&gt;=100000), " ",IF(INDEX($AN$2:$BO$1001,MATCH(ROWS($AG$2:AG863),$AG$2:$AG$1001,0),MATCH(COLUMNS($AN$1006:BC1006),$AN$1006:$BO$1006,0)), HYPERLINK("#",""), HYPERLINK(CONCATENATE("#Metadata!", ADDRESS(INDEX($AI$2:$AI$1001,MATCH(ROWS($AG$2:AG863),$AG$2:$AG$1001,0),0), INDEX($AN$1004:$BO$1004,1,MATCH(COLUMNS($AN$1006:BC1006),$AN$1006:$BO$1006,0)))),"Fix")))</f>
        <v>0</v>
      </c>
      <c r="R863" s="4">
        <f>IF(OR(INDEX($AH$2:$AH$1001,MATCH(ROWS($AG$2:AG863),$AG$2:$AG$1001,0),1)&gt;=100000,INDEX($AN$1005:$BO$1005,1,MATCH(COLUMNS($AN$1006:BD1006),$AN$1006:$BO$1006,0))&gt;=100000), " ",IF(INDEX($AN$2:$BO$1001,MATCH(ROWS($AG$2:AG863),$AG$2:$AG$1001,0),MATCH(COLUMNS($AN$1006:BD1006),$AN$1006:$BO$1006,0)), HYPERLINK("#",""), HYPERLINK(CONCATENATE("#Metadata!", ADDRESS(INDEX($AI$2:$AI$1001,MATCH(ROWS($AG$2:AG863),$AG$2:$AG$1001,0),0), INDEX($AN$1004:$BO$1004,1,MATCH(COLUMNS($AN$1006:BD1006),$AN$1006:$BO$1006,0)))),"Fix")))</f>
        <v>0</v>
      </c>
      <c r="S863" s="4">
        <f>IF(OR(INDEX($AH$2:$AH$1001,MATCH(ROWS($AG$2:AG863),$AG$2:$AG$1001,0),1)&gt;=100000,INDEX($AN$1005:$BO$1005,1,MATCH(COLUMNS($AN$1006:BE1006),$AN$1006:$BO$1006,0))&gt;=100000), " ",IF(INDEX($AN$2:$BO$1001,MATCH(ROWS($AG$2:AG863),$AG$2:$AG$1001,0),MATCH(COLUMNS($AN$1006:BE1006),$AN$1006:$BO$1006,0)), HYPERLINK("#",""), HYPERLINK(CONCATENATE("#Metadata!", ADDRESS(INDEX($AI$2:$AI$1001,MATCH(ROWS($AG$2:AG863),$AG$2:$AG$1001,0),0), INDEX($AN$1004:$BO$1004,1,MATCH(COLUMNS($AN$1006:BE1006),$AN$1006:$BO$1006,0)))),"Fix")))</f>
        <v>0</v>
      </c>
      <c r="T863" s="4">
        <f>IF(OR(INDEX($AH$2:$AH$1001,MATCH(ROWS($AG$2:AG863),$AG$2:$AG$1001,0),1)&gt;=100000,INDEX($AN$1005:$BO$1005,1,MATCH(COLUMNS($AN$1006:BF1006),$AN$1006:$BO$1006,0))&gt;=100000), " ",IF(INDEX($AN$2:$BO$1001,MATCH(ROWS($AG$2:AG863),$AG$2:$AG$1001,0),MATCH(COLUMNS($AN$1006:BF1006),$AN$1006:$BO$1006,0)), HYPERLINK("#",""), HYPERLINK(CONCATENATE("#Metadata!", ADDRESS(INDEX($AI$2:$AI$1001,MATCH(ROWS($AG$2:AG863),$AG$2:$AG$1001,0),0), INDEX($AN$1004:$BO$1004,1,MATCH(COLUMNS($AN$1006:BF1006),$AN$1006:$BO$1006,0)))),"Fix")))</f>
        <v>0</v>
      </c>
      <c r="U863" s="4">
        <f>IF(OR(INDEX($AH$2:$AH$1001,MATCH(ROWS($AG$2:AG863),$AG$2:$AG$1001,0),1)&gt;=100000,INDEX($AN$1005:$BO$1005,1,MATCH(COLUMNS($AN$1006:BG1006),$AN$1006:$BO$1006,0))&gt;=100000), " ",IF(INDEX($AN$2:$BO$1001,MATCH(ROWS($AG$2:AG863),$AG$2:$AG$1001,0),MATCH(COLUMNS($AN$1006:BG1006),$AN$1006:$BO$1006,0)), HYPERLINK("#",""), HYPERLINK(CONCATENATE("#Metadata!", ADDRESS(INDEX($AI$2:$AI$1001,MATCH(ROWS($AG$2:AG863),$AG$2:$AG$1001,0),0), INDEX($AN$1004:$BO$1004,1,MATCH(COLUMNS($AN$1006:BG1006),$AN$1006:$BO$1006,0)))),"Fix")))</f>
        <v>0</v>
      </c>
      <c r="V863" s="4">
        <f>IF(OR(INDEX($AH$2:$AH$1001,MATCH(ROWS($AG$2:AG863),$AG$2:$AG$1001,0),1)&gt;=100000,INDEX($AN$1005:$BO$1005,1,MATCH(COLUMNS($AN$1006:BH1006),$AN$1006:$BO$1006,0))&gt;=100000), " ",IF(INDEX($AN$2:$BO$1001,MATCH(ROWS($AG$2:AG863),$AG$2:$AG$1001,0),MATCH(COLUMNS($AN$1006:BH1006),$AN$1006:$BO$1006,0)), HYPERLINK("#",""), HYPERLINK(CONCATENATE("#Metadata!", ADDRESS(INDEX($AI$2:$AI$1001,MATCH(ROWS($AG$2:AG863),$AG$2:$AG$1001,0),0), INDEX($AN$1004:$BO$1004,1,MATCH(COLUMNS($AN$1006:BH1006),$AN$1006:$BO$1006,0)))),"Fix")))</f>
        <v>0</v>
      </c>
      <c r="W863" s="4">
        <f>IF(OR(INDEX($AH$2:$AH$1001,MATCH(ROWS($AG$2:AG863),$AG$2:$AG$1001,0),1)&gt;=100000,INDEX($AN$1005:$BO$1005,1,MATCH(COLUMNS($AN$1006:BI1006),$AN$1006:$BO$1006,0))&gt;=100000), " ",IF(INDEX($AN$2:$BO$1001,MATCH(ROWS($AG$2:AG863),$AG$2:$AG$1001,0),MATCH(COLUMNS($AN$1006:BI1006),$AN$1006:$BO$1006,0)), HYPERLINK("#",""), HYPERLINK(CONCATENATE("#Metadata!", ADDRESS(INDEX($AI$2:$AI$1001,MATCH(ROWS($AG$2:AG863),$AG$2:$AG$1001,0),0), INDEX($AN$1004:$BO$1004,1,MATCH(COLUMNS($AN$1006:BI1006),$AN$1006:$BO$1006,0)))),"Fix")))</f>
        <v>0</v>
      </c>
      <c r="X863" s="4">
        <f>IF(OR(INDEX($AH$2:$AH$1001,MATCH(ROWS($AG$2:AG863),$AG$2:$AG$1001,0),1)&gt;=100000,INDEX($AN$1005:$BO$1005,1,MATCH(COLUMNS($AN$1006:BJ1006),$AN$1006:$BO$1006,0))&gt;=100000), " ",IF(INDEX($AN$2:$BO$1001,MATCH(ROWS($AG$2:AG863),$AG$2:$AG$1001,0),MATCH(COLUMNS($AN$1006:BJ1006),$AN$1006:$BO$1006,0)), HYPERLINK("#",""), HYPERLINK(CONCATENATE("#Metadata!", ADDRESS(INDEX($AI$2:$AI$1001,MATCH(ROWS($AG$2:AG863),$AG$2:$AG$1001,0),0), INDEX($AN$1004:$BO$1004,1,MATCH(COLUMNS($AN$1006:BJ1006),$AN$1006:$BO$1006,0)))),"Fix")))</f>
        <v>0</v>
      </c>
      <c r="Y863" s="4">
        <f>IF(OR(INDEX($AH$2:$AH$1001,MATCH(ROWS($AG$2:AG863),$AG$2:$AG$1001,0),1)&gt;=100000,INDEX($AN$1005:$BO$1005,1,MATCH(COLUMNS($AN$1006:BK1006),$AN$1006:$BO$1006,0))&gt;=100000), " ",IF(INDEX($AN$2:$BO$1001,MATCH(ROWS($AG$2:AG863),$AG$2:$AG$1001,0),MATCH(COLUMNS($AN$1006:BK1006),$AN$1006:$BO$1006,0)), HYPERLINK("#",""), HYPERLINK(CONCATENATE("#Metadata!", ADDRESS(INDEX($AI$2:$AI$1001,MATCH(ROWS($AG$2:AG863),$AG$2:$AG$1001,0),0), INDEX($AN$1004:$BO$1004,1,MATCH(COLUMNS($AN$1006:BK1006),$AN$1006:$BO$1006,0)))),"Fix")))</f>
        <v>0</v>
      </c>
      <c r="Z863" s="4">
        <f>IF(OR(INDEX($AH$2:$AH$1001,MATCH(ROWS($AG$2:AG863),$AG$2:$AG$1001,0),1)&gt;=100000,INDEX($AN$1005:$BO$1005,1,MATCH(COLUMNS($AN$1006:BL1006),$AN$1006:$BO$1006,0))&gt;=100000), " ",IF(INDEX($AN$2:$BO$1001,MATCH(ROWS($AG$2:AG863),$AG$2:$AG$1001,0),MATCH(COLUMNS($AN$1006:BL1006),$AN$1006:$BO$1006,0)), HYPERLINK("#",""), HYPERLINK(CONCATENATE("#Metadata!", ADDRESS(INDEX($AI$2:$AI$1001,MATCH(ROWS($AG$2:AG863),$AG$2:$AG$1001,0),0), INDEX($AN$1004:$BO$1004,1,MATCH(COLUMNS($AN$1006:BL1006),$AN$1006:$BO$1006,0)))),"Fix")))</f>
        <v>0</v>
      </c>
      <c r="AA863" s="4">
        <f>IF(OR(INDEX($AH$2:$AH$1001,MATCH(ROWS($AG$2:AG863),$AG$2:$AG$1001,0),1)&gt;=100000,INDEX($AN$1005:$BO$1005,1,MATCH(COLUMNS($AN$1006:BM1006),$AN$1006:$BO$1006,0))&gt;=100000), " ",IF(INDEX($AN$2:$BO$1001,MATCH(ROWS($AG$2:AG863),$AG$2:$AG$1001,0),MATCH(COLUMNS($AN$1006:BM1006),$AN$1006:$BO$1006,0)), HYPERLINK("#",""), HYPERLINK(CONCATENATE("#Metadata!", ADDRESS(INDEX($AI$2:$AI$1001,MATCH(ROWS($AG$2:AG863),$AG$2:$AG$1001,0),0), INDEX($AN$1004:$BO$1004,1,MATCH(COLUMNS($AN$1006:BM1006),$AN$1006:$BO$1006,0)))),"Fix")))</f>
        <v>0</v>
      </c>
      <c r="AB863" s="4">
        <f>IF(OR(INDEX($AH$2:$AH$1001,MATCH(ROWS($AG$2:AG863),$AG$2:$AG$1001,0),1)&gt;=100000,INDEX($AN$1005:$BO$1005,1,MATCH(COLUMNS($AN$1006:BN1006),$AN$1006:$BO$1006,0))&gt;=100000), " ",IF(INDEX($AN$2:$BO$1001,MATCH(ROWS($AG$2:AG863),$AG$2:$AG$1001,0),MATCH(COLUMNS($AN$1006:BN1006),$AN$1006:$BO$1006,0)), HYPERLINK("#",""), HYPERLINK(CONCATENATE("#Metadata!", ADDRESS(INDEX($AI$2:$AI$1001,MATCH(ROWS($AG$2:AG863),$AG$2:$AG$1001,0),0), INDEX($AN$1004:$BO$1004,1,MATCH(COLUMNS($AN$1006:BN1006),$AN$1006:$BO$1006,0)))),"Fix")))</f>
        <v>0</v>
      </c>
      <c r="AC863" s="4">
        <f>IF(OR(INDEX($AH$2:$AH$1001,MATCH(ROWS($AG$2:AG863),$AG$2:$AG$1001,0),1)&gt;=100000,INDEX($AN$1005:$BO$1005,1,MATCH(COLUMNS($AN$1006:BO1006),$AN$1006:$BO$1006,0))&gt;=100000), " ",IF(INDEX($AN$2:$BO$1001,MATCH(ROWS($AG$2:AG863),$AG$2:$AG$1001,0),MATCH(COLUMNS($AN$1006:BO1006),$AN$1006:$BO$1006,0)), HYPERLINK("#",""), HYPERLINK(CONCATENATE("#Metadata!", ADDRESS(INDEX($AI$2:$AI$1001,MATCH(ROWS($AG$2:AG863),$AG$2:$AG$1001,0),0), INDEX($AN$1004:$BO$1004,1,MATCH(COLUMNS($AN$1006:BO1006),$AN$1006:$BO$1006,0)))),"Fix")))</f>
        <v>0</v>
      </c>
      <c r="AG863">
        <v>0</v>
      </c>
      <c r="AH863">
        <v>0</v>
      </c>
      <c r="AI863">
        <v>0</v>
      </c>
      <c r="AJ863">
        <f>IF(AK863,TRUE,AND(AN863:BO863))</f>
        <v>0</v>
      </c>
      <c r="AK863">
        <f>COUNTBLANK(Metadata!B863:AC863)=COLUMNS(Metadata!B863:AC863)</f>
        <v>0</v>
      </c>
      <c r="AL863">
        <v>0</v>
      </c>
      <c r="AN863">
        <f>AND(IF(Metadata!B863="",FALSE,TRUE),COUNTIF(Metadata!B:B, Metadata!B863) = 1,NOT(ISERROR(SUMPRODUCT(SEARCH(MID(Metadata!B863,ROW(INDIRECT("1:"&amp;LEN(Metadata!B863))), 1),"0123456789abcdefghijklmnopqrstuvwxyzABCDEFGHIJKLMNOPQRSTUVWXYZ.")))))</f>
        <v>0</v>
      </c>
      <c r="AO863">
        <f>IF(Metadata!C863="",FALSE,TRUE)</f>
        <v>0</v>
      </c>
      <c r="AP863">
        <f>IF(Metadata!D863="",FALSE,TRUE)</f>
        <v>0</v>
      </c>
      <c r="AQ863">
        <f>OR(AND(IF(Metadata!E863="",FALSE,TRUE),OR(exact(Metadata!E863,"not collected"),exact(Metadata!E863,"not provided"),exact(Metadata!E863,"restricted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R863">
        <f>IF(Metadata!F863="",FALSE,TRUE)</f>
        <v>0</v>
      </c>
      <c r="AS863">
        <f>OR(AND(IF(Metadata!G863="",FALSE,TRUE),OR(exact(Metadata!G863,"not collected"),exact(Metadata!G863,"not provided"))),AND(IF(Metadata!G863="",FALSE,TRUE),OR(exact(Metadata!G863,"TRUE"),exact(Metadata!G863,"FALSE"))))</f>
        <v>0</v>
      </c>
      <c r="AT863">
        <f>OR(AND(IF(Metadata!H863="",FALSE,TRUE),OR(exact(Metadata!H863,"not collected"),exact(Metadata!H863,"not provided"),exact(Metadata!H863,"restricted access"))),AND(IF(Metadata!H863="",FALSE,ISNUMBER(VALUE(Metadata!H863))),Metadata!H863&gt;=-413.0))</f>
        <v>0</v>
      </c>
      <c r="AU863">
        <f>AND(IF(Metadata!I863="",FALSE,TRUE),exact(Metadata!I863,"meters"))</f>
        <v>0</v>
      </c>
      <c r="AV863">
        <f>AND(IF(Metadata!J863="",FALSE,TRUE),OR(exact(Metadata!J863,"Host-associated"),exact(Metadata!J863,"Free-living")))</f>
        <v>0</v>
      </c>
      <c r="AW863">
        <f>AND(IF(Metadata!K863="",FALSE,TRUE),OR(exact(Metadata!K863,"Animal"),exact(Metadata!K863,"Fungus"),exact(Metadata!K863,"Plant"),exact(Metadata!K863,"Saline"),exact(Metadata!K863,"Non-saline")))</f>
        <v>0</v>
      </c>
      <c r="AX863">
        <f>AND(IF(Metadata!L863="",FALSE,TRUE),OR(exact(Metadata!L863,"Plant secretion"),exact(Metadata!L863,"Plant rhizosphere"),exact(Metadata!L863,"Plant surface"),exact(Metadata!L863,"Plant corpus"),exact(Metadata!L863,"Fungus surface"),exact(Metadata!L863,"Fungus corpus"),exact(Metadata!L863,"Animal surface"),exact(Metadata!L863,"Animal proximal gut"),exact(Metadata!L863,"Animal corpus"),exact(Metadata!L863,"Animal distal gut"),exact(Metadata!L863,"Animal secretion"),exact(Metadata!L863,"Sub-surface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Y863">
        <f>IF(Metadata!M863="",FALSE,TRUE)</f>
        <v>0</v>
      </c>
      <c r="AZ863">
        <f>IF(Metadata!N863="",FALSE,TRUE)</f>
        <v>0</v>
      </c>
      <c r="BA863">
        <f>IF(Metadata!O863="",FALSE,TRUE)</f>
        <v>0</v>
      </c>
      <c r="BB863">
        <f>OR(AND(IF(Metadata!P863="",FALSE,TRUE),OR(exact(Metadata!P863,"not collected"),exact(Metadata!P863,"not provided"),exact(Metadata!P863,"restricted access"))),AND(IF(Metadata!P863="",FALSE,TRUE),OR(exact(Metadata!P863,"air"),exact(Metadata!P863,"built environment"),exact(Metadata!P863,"host-associated"),exact(Metadata!P863,"human-associated"),exact(Metadata!P863,"human-skin"),exact(Metadata!P863,"human-oral"),exact(Metadata!P863,"human-gut"),exact(Metadata!P863,"human-vaginal"),exact(Metadata!P863,"microbial mat/biofilm"),exact(Metadata!P863,"misc environment"),exact(Metadata!P863,"plant-associated"),exact(Metadata!P863,"sediment"),exact(Metadata!P863,"soil"),exact(Metadata!P863,"wastewater/sludge"),exact(Metadata!P863,"water"))))</f>
        <v>0</v>
      </c>
      <c r="BC863">
        <f>IF(Metadata!Q863="",FALSE,TRUE)</f>
        <v>0</v>
      </c>
      <c r="BD863">
        <f>IF(Metadata!R863="",FALSE,TRUE)</f>
        <v>0</v>
      </c>
      <c r="BE863">
        <f>OR(AND(IF(Metadata!S863="",FALSE,TRUE),OR(exact(Metadata!S863,"not collected"),exact(Metadata!S863,"not provided"),exact(Metadata!S863,"restricted access"))),AND(IF(Metadata!S863="",FALSE,ISNUMBER(VALUE(Metadata!S863))),Metadata!S863&gt;=-90.00,Metadata!S863&lt;=90.00))</f>
        <v>0</v>
      </c>
      <c r="BF863">
        <f>AND(IF(Metadata!T863="",FALSE,TRUE),exact(Metadata!T863,"Decimal degrees"))</f>
        <v>0</v>
      </c>
      <c r="BG863">
        <f>OR(AND(IF(Metadata!U863="",FALSE,TRUE),OR(exact(Metadata!U863,"not collected"),exact(Metadata!U863,"not provided"),exact(Metadata!U863,"restricted access"))),AND(IF(Metadata!U863="",FALSE,ISNUMBER(VALUE(Metadata!U863))),Metadata!U863&gt;=-180.00,Metadata!U863&lt;=180.00))</f>
        <v>0</v>
      </c>
      <c r="BH863">
        <f>AND(IF(Metadata!V863="",FALSE,TRUE),exact(Metadata!V863,"Decimal degrees"))</f>
        <v>0</v>
      </c>
      <c r="BI863">
        <f>IF(Metadata!W863="",FALSE,TRUE)</f>
        <v>0</v>
      </c>
      <c r="BJ863">
        <f>OR(AND(IF(Metadata!X863="",FALSE,TRUE),OR(exact(Metadata!X863,"not collected"),exact(Metadata!X863,"not provided"),exact(Metadata!X863,"restricted access"))),AND(IF(Metadata!X863="",FALSE,TRUE),OR(exact(Metadata!X863,"TRUE"),exact(Metadata!X863,"FALSE"))))</f>
        <v>0</v>
      </c>
      <c r="BK863">
        <f>AND(IF(Metadata!Y863="",FALSE,TRUE),exact(Metadata!Y863,"other"))</f>
        <v>0</v>
      </c>
      <c r="BL863">
        <f>IF(Metadata!Z863="",FALSE,TRUE)</f>
        <v>0</v>
      </c>
      <c r="BM863">
        <f>OR(AND(IF(Metadata!AA863="",FALSE,TRUE),OR(exact(Metadata!AA863,"not collected"),exact(Metadata!AA863,"not provided"))),AND(IF(Metadata!AA863="",FALSE,IF(ISERROR(INT(Metadata!AA863)),FALSE,INT(Metadata!AA863)=Metadata!AA863)),Metadata!AA863&gt;0))</f>
        <v>0</v>
      </c>
      <c r="BN863">
        <f>AND(IF(Metadata!AB863="",FALSE,TRUE),exact(Metadata!AB863,"Not applicable"))</f>
        <v>0</v>
      </c>
      <c r="BO863">
        <f>IF(Metadata!AC863="",FALSE,TRUE)</f>
        <v>0</v>
      </c>
    </row>
    <row r="864" spans="1:67">
      <c r="A864" s="5">
        <f>IF(B864=" "," ",HYPERLINK(CONCATENATE("#metadata!",ADDRESS(INDEX($AI$2:$AI$1001,MATCH(ROWS($AG$2:AG864),$AG$2:$AG$1001,0),0),1)),INDEX($AL$2:$AL$1001,MATCH(ROWS($AG$2:AG864),$AG$2:$AG$1001,0),0)))</f>
        <v>0</v>
      </c>
      <c r="B864" s="4">
        <f>IF(OR(INDEX($AH$2:$AH$1001,MATCH(ROWS($AG$2:AG864),$AG$2:$AG$1001,0),1)&gt;=100000,INDEX($AN$1005:$BO$1005,1,MATCH(COLUMNS($AN$1006:AN1006),$AN$1006:$BO$1006,0))&gt;=100000), " ",IF(INDEX($AN$2:$BO$1001,MATCH(ROWS($AG$2:AG864),$AG$2:$AG$1001,0),MATCH(COLUMNS($AN$1006:AN1006),$AN$1006:$BO$1006,0)), HYPERLINK("#",""), HYPERLINK(CONCATENATE("#Metadata!", ADDRESS(INDEX($AI$2:$AI$1001,MATCH(ROWS($AG$2:AG864),$AG$2:$AG$1001,0),0), INDEX($AN$1004:$BO$1004,1,MATCH(COLUMNS($AN$1006:AN1006),$AN$1006:$BO$1006,0)))),"Fix")))</f>
        <v>0</v>
      </c>
      <c r="C864" s="4">
        <f>IF(OR(INDEX($AH$2:$AH$1001,MATCH(ROWS($AG$2:AG864),$AG$2:$AG$1001,0),1)&gt;=100000,INDEX($AN$1005:$BO$1005,1,MATCH(COLUMNS($AN$1006:AO1006),$AN$1006:$BO$1006,0))&gt;=100000), " ",IF(INDEX($AN$2:$BO$1001,MATCH(ROWS($AG$2:AG864),$AG$2:$AG$1001,0),MATCH(COLUMNS($AN$1006:AO1006),$AN$1006:$BO$1006,0)), HYPERLINK("#",""), HYPERLINK(CONCATENATE("#Metadata!", ADDRESS(INDEX($AI$2:$AI$1001,MATCH(ROWS($AG$2:AG864),$AG$2:$AG$1001,0),0), INDEX($AN$1004:$BO$1004,1,MATCH(COLUMNS($AN$1006:AO1006),$AN$1006:$BO$1006,0)))),"Fix")))</f>
        <v>0</v>
      </c>
      <c r="D864" s="4">
        <f>IF(OR(INDEX($AH$2:$AH$1001,MATCH(ROWS($AG$2:AG864),$AG$2:$AG$1001,0),1)&gt;=100000,INDEX($AN$1005:$BO$1005,1,MATCH(COLUMNS($AN$1006:AP1006),$AN$1006:$BO$1006,0))&gt;=100000), " ",IF(INDEX($AN$2:$BO$1001,MATCH(ROWS($AG$2:AG864),$AG$2:$AG$1001,0),MATCH(COLUMNS($AN$1006:AP1006),$AN$1006:$BO$1006,0)), HYPERLINK("#",""), HYPERLINK(CONCATENATE("#Metadata!", ADDRESS(INDEX($AI$2:$AI$1001,MATCH(ROWS($AG$2:AG864),$AG$2:$AG$1001,0),0), INDEX($AN$1004:$BO$1004,1,MATCH(COLUMNS($AN$1006:AP1006),$AN$1006:$BO$1006,0)))),"Fix")))</f>
        <v>0</v>
      </c>
      <c r="E864" s="4">
        <f>IF(OR(INDEX($AH$2:$AH$1001,MATCH(ROWS($AG$2:AG864),$AG$2:$AG$1001,0),1)&gt;=100000,INDEX($AN$1005:$BO$1005,1,MATCH(COLUMNS($AN$1006:AQ1006),$AN$1006:$BO$1006,0))&gt;=100000), " ",IF(INDEX($AN$2:$BO$1001,MATCH(ROWS($AG$2:AG864),$AG$2:$AG$1001,0),MATCH(COLUMNS($AN$1006:AQ1006),$AN$1006:$BO$1006,0)), HYPERLINK("#",""), HYPERLINK(CONCATENATE("#Metadata!", ADDRESS(INDEX($AI$2:$AI$1001,MATCH(ROWS($AG$2:AG864),$AG$2:$AG$1001,0),0), INDEX($AN$1004:$BO$1004,1,MATCH(COLUMNS($AN$1006:AQ1006),$AN$1006:$BO$1006,0)))),"Fix")))</f>
        <v>0</v>
      </c>
      <c r="F864" s="4">
        <f>IF(OR(INDEX($AH$2:$AH$1001,MATCH(ROWS($AG$2:AG864),$AG$2:$AG$1001,0),1)&gt;=100000,INDEX($AN$1005:$BO$1005,1,MATCH(COLUMNS($AN$1006:AR1006),$AN$1006:$BO$1006,0))&gt;=100000), " ",IF(INDEX($AN$2:$BO$1001,MATCH(ROWS($AG$2:AG864),$AG$2:$AG$1001,0),MATCH(COLUMNS($AN$1006:AR1006),$AN$1006:$BO$1006,0)), HYPERLINK("#",""), HYPERLINK(CONCATENATE("#Metadata!", ADDRESS(INDEX($AI$2:$AI$1001,MATCH(ROWS($AG$2:AG864),$AG$2:$AG$1001,0),0), INDEX($AN$1004:$BO$1004,1,MATCH(COLUMNS($AN$1006:AR1006),$AN$1006:$BO$1006,0)))),"Fix")))</f>
        <v>0</v>
      </c>
      <c r="G864" s="4">
        <f>IF(OR(INDEX($AH$2:$AH$1001,MATCH(ROWS($AG$2:AG864),$AG$2:$AG$1001,0),1)&gt;=100000,INDEX($AN$1005:$BO$1005,1,MATCH(COLUMNS($AN$1006:AS1006),$AN$1006:$BO$1006,0))&gt;=100000), " ",IF(INDEX($AN$2:$BO$1001,MATCH(ROWS($AG$2:AG864),$AG$2:$AG$1001,0),MATCH(COLUMNS($AN$1006:AS1006),$AN$1006:$BO$1006,0)), HYPERLINK("#",""), HYPERLINK(CONCATENATE("#Metadata!", ADDRESS(INDEX($AI$2:$AI$1001,MATCH(ROWS($AG$2:AG864),$AG$2:$AG$1001,0),0), INDEX($AN$1004:$BO$1004,1,MATCH(COLUMNS($AN$1006:AS1006),$AN$1006:$BO$1006,0)))),"Fix")))</f>
        <v>0</v>
      </c>
      <c r="H864" s="4">
        <f>IF(OR(INDEX($AH$2:$AH$1001,MATCH(ROWS($AG$2:AG864),$AG$2:$AG$1001,0),1)&gt;=100000,INDEX($AN$1005:$BO$1005,1,MATCH(COLUMNS($AN$1006:AT1006),$AN$1006:$BO$1006,0))&gt;=100000), " ",IF(INDEX($AN$2:$BO$1001,MATCH(ROWS($AG$2:AG864),$AG$2:$AG$1001,0),MATCH(COLUMNS($AN$1006:AT1006),$AN$1006:$BO$1006,0)), HYPERLINK("#",""), HYPERLINK(CONCATENATE("#Metadata!", ADDRESS(INDEX($AI$2:$AI$1001,MATCH(ROWS($AG$2:AG864),$AG$2:$AG$1001,0),0), INDEX($AN$1004:$BO$1004,1,MATCH(COLUMNS($AN$1006:AT1006),$AN$1006:$BO$1006,0)))),"Fix")))</f>
        <v>0</v>
      </c>
      <c r="I864" s="4">
        <f>IF(OR(INDEX($AH$2:$AH$1001,MATCH(ROWS($AG$2:AG864),$AG$2:$AG$1001,0),1)&gt;=100000,INDEX($AN$1005:$BO$1005,1,MATCH(COLUMNS($AN$1006:AU1006),$AN$1006:$BO$1006,0))&gt;=100000), " ",IF(INDEX($AN$2:$BO$1001,MATCH(ROWS($AG$2:AG864),$AG$2:$AG$1001,0),MATCH(COLUMNS($AN$1006:AU1006),$AN$1006:$BO$1006,0)), HYPERLINK("#",""), HYPERLINK(CONCATENATE("#Metadata!", ADDRESS(INDEX($AI$2:$AI$1001,MATCH(ROWS($AG$2:AG864),$AG$2:$AG$1001,0),0), INDEX($AN$1004:$BO$1004,1,MATCH(COLUMNS($AN$1006:AU1006),$AN$1006:$BO$1006,0)))),"Fix")))</f>
        <v>0</v>
      </c>
      <c r="J864" s="4">
        <f>IF(OR(INDEX($AH$2:$AH$1001,MATCH(ROWS($AG$2:AG864),$AG$2:$AG$1001,0),1)&gt;=100000,INDEX($AN$1005:$BO$1005,1,MATCH(COLUMNS($AN$1006:AV1006),$AN$1006:$BO$1006,0))&gt;=100000), " ",IF(INDEX($AN$2:$BO$1001,MATCH(ROWS($AG$2:AG864),$AG$2:$AG$1001,0),MATCH(COLUMNS($AN$1006:AV1006),$AN$1006:$BO$1006,0)), HYPERLINK("#",""), HYPERLINK(CONCATENATE("#Metadata!", ADDRESS(INDEX($AI$2:$AI$1001,MATCH(ROWS($AG$2:AG864),$AG$2:$AG$1001,0),0), INDEX($AN$1004:$BO$1004,1,MATCH(COLUMNS($AN$1006:AV1006),$AN$1006:$BO$1006,0)))),"Fix")))</f>
        <v>0</v>
      </c>
      <c r="K864" s="4">
        <f>IF(OR(INDEX($AH$2:$AH$1001,MATCH(ROWS($AG$2:AG864),$AG$2:$AG$1001,0),1)&gt;=100000,INDEX($AN$1005:$BO$1005,1,MATCH(COLUMNS($AN$1006:AW1006),$AN$1006:$BO$1006,0))&gt;=100000), " ",IF(INDEX($AN$2:$BO$1001,MATCH(ROWS($AG$2:AG864),$AG$2:$AG$1001,0),MATCH(COLUMNS($AN$1006:AW1006),$AN$1006:$BO$1006,0)), HYPERLINK("#",""), HYPERLINK(CONCATENATE("#Metadata!", ADDRESS(INDEX($AI$2:$AI$1001,MATCH(ROWS($AG$2:AG864),$AG$2:$AG$1001,0),0), INDEX($AN$1004:$BO$1004,1,MATCH(COLUMNS($AN$1006:AW1006),$AN$1006:$BO$1006,0)))),"Fix")))</f>
        <v>0</v>
      </c>
      <c r="L864" s="4">
        <f>IF(OR(INDEX($AH$2:$AH$1001,MATCH(ROWS($AG$2:AG864),$AG$2:$AG$1001,0),1)&gt;=100000,INDEX($AN$1005:$BO$1005,1,MATCH(COLUMNS($AN$1006:AX1006),$AN$1006:$BO$1006,0))&gt;=100000), " ",IF(INDEX($AN$2:$BO$1001,MATCH(ROWS($AG$2:AG864),$AG$2:$AG$1001,0),MATCH(COLUMNS($AN$1006:AX1006),$AN$1006:$BO$1006,0)), HYPERLINK("#",""), HYPERLINK(CONCATENATE("#Metadata!", ADDRESS(INDEX($AI$2:$AI$1001,MATCH(ROWS($AG$2:AG864),$AG$2:$AG$1001,0),0), INDEX($AN$1004:$BO$1004,1,MATCH(COLUMNS($AN$1006:AX1006),$AN$1006:$BO$1006,0)))),"Fix")))</f>
        <v>0</v>
      </c>
      <c r="M864" s="4">
        <f>IF(OR(INDEX($AH$2:$AH$1001,MATCH(ROWS($AG$2:AG864),$AG$2:$AG$1001,0),1)&gt;=100000,INDEX($AN$1005:$BO$1005,1,MATCH(COLUMNS($AN$1006:AY1006),$AN$1006:$BO$1006,0))&gt;=100000), " ",IF(INDEX($AN$2:$BO$1001,MATCH(ROWS($AG$2:AG864),$AG$2:$AG$1001,0),MATCH(COLUMNS($AN$1006:AY1006),$AN$1006:$BO$1006,0)), HYPERLINK("#",""), HYPERLINK(CONCATENATE("#Metadata!", ADDRESS(INDEX($AI$2:$AI$1001,MATCH(ROWS($AG$2:AG864),$AG$2:$AG$1001,0),0), INDEX($AN$1004:$BO$1004,1,MATCH(COLUMNS($AN$1006:AY1006),$AN$1006:$BO$1006,0)))),"Fix")))</f>
        <v>0</v>
      </c>
      <c r="N864" s="4">
        <f>IF(OR(INDEX($AH$2:$AH$1001,MATCH(ROWS($AG$2:AG864),$AG$2:$AG$1001,0),1)&gt;=100000,INDEX($AN$1005:$BO$1005,1,MATCH(COLUMNS($AN$1006:AZ1006),$AN$1006:$BO$1006,0))&gt;=100000), " ",IF(INDEX($AN$2:$BO$1001,MATCH(ROWS($AG$2:AG864),$AG$2:$AG$1001,0),MATCH(COLUMNS($AN$1006:AZ1006),$AN$1006:$BO$1006,0)), HYPERLINK("#",""), HYPERLINK(CONCATENATE("#Metadata!", ADDRESS(INDEX($AI$2:$AI$1001,MATCH(ROWS($AG$2:AG864),$AG$2:$AG$1001,0),0), INDEX($AN$1004:$BO$1004,1,MATCH(COLUMNS($AN$1006:AZ1006),$AN$1006:$BO$1006,0)))),"Fix")))</f>
        <v>0</v>
      </c>
      <c r="O864" s="4">
        <f>IF(OR(INDEX($AH$2:$AH$1001,MATCH(ROWS($AG$2:AG864),$AG$2:$AG$1001,0),1)&gt;=100000,INDEX($AN$1005:$BO$1005,1,MATCH(COLUMNS($AN$1006:BA1006),$AN$1006:$BO$1006,0))&gt;=100000), " ",IF(INDEX($AN$2:$BO$1001,MATCH(ROWS($AG$2:AG864),$AG$2:$AG$1001,0),MATCH(COLUMNS($AN$1006:BA1006),$AN$1006:$BO$1006,0)), HYPERLINK("#",""), HYPERLINK(CONCATENATE("#Metadata!", ADDRESS(INDEX($AI$2:$AI$1001,MATCH(ROWS($AG$2:AG864),$AG$2:$AG$1001,0),0), INDEX($AN$1004:$BO$1004,1,MATCH(COLUMNS($AN$1006:BA1006),$AN$1006:$BO$1006,0)))),"Fix")))</f>
        <v>0</v>
      </c>
      <c r="P864" s="4">
        <f>IF(OR(INDEX($AH$2:$AH$1001,MATCH(ROWS($AG$2:AG864),$AG$2:$AG$1001,0),1)&gt;=100000,INDEX($AN$1005:$BO$1005,1,MATCH(COLUMNS($AN$1006:BB1006),$AN$1006:$BO$1006,0))&gt;=100000), " ",IF(INDEX($AN$2:$BO$1001,MATCH(ROWS($AG$2:AG864),$AG$2:$AG$1001,0),MATCH(COLUMNS($AN$1006:BB1006),$AN$1006:$BO$1006,0)), HYPERLINK("#",""), HYPERLINK(CONCATENATE("#Metadata!", ADDRESS(INDEX($AI$2:$AI$1001,MATCH(ROWS($AG$2:AG864),$AG$2:$AG$1001,0),0), INDEX($AN$1004:$BO$1004,1,MATCH(COLUMNS($AN$1006:BB1006),$AN$1006:$BO$1006,0)))),"Fix")))</f>
        <v>0</v>
      </c>
      <c r="Q864" s="4">
        <f>IF(OR(INDEX($AH$2:$AH$1001,MATCH(ROWS($AG$2:AG864),$AG$2:$AG$1001,0),1)&gt;=100000,INDEX($AN$1005:$BO$1005,1,MATCH(COLUMNS($AN$1006:BC1006),$AN$1006:$BO$1006,0))&gt;=100000), " ",IF(INDEX($AN$2:$BO$1001,MATCH(ROWS($AG$2:AG864),$AG$2:$AG$1001,0),MATCH(COLUMNS($AN$1006:BC1006),$AN$1006:$BO$1006,0)), HYPERLINK("#",""), HYPERLINK(CONCATENATE("#Metadata!", ADDRESS(INDEX($AI$2:$AI$1001,MATCH(ROWS($AG$2:AG864),$AG$2:$AG$1001,0),0), INDEX($AN$1004:$BO$1004,1,MATCH(COLUMNS($AN$1006:BC1006),$AN$1006:$BO$1006,0)))),"Fix")))</f>
        <v>0</v>
      </c>
      <c r="R864" s="4">
        <f>IF(OR(INDEX($AH$2:$AH$1001,MATCH(ROWS($AG$2:AG864),$AG$2:$AG$1001,0),1)&gt;=100000,INDEX($AN$1005:$BO$1005,1,MATCH(COLUMNS($AN$1006:BD1006),$AN$1006:$BO$1006,0))&gt;=100000), " ",IF(INDEX($AN$2:$BO$1001,MATCH(ROWS($AG$2:AG864),$AG$2:$AG$1001,0),MATCH(COLUMNS($AN$1006:BD1006),$AN$1006:$BO$1006,0)), HYPERLINK("#",""), HYPERLINK(CONCATENATE("#Metadata!", ADDRESS(INDEX($AI$2:$AI$1001,MATCH(ROWS($AG$2:AG864),$AG$2:$AG$1001,0),0), INDEX($AN$1004:$BO$1004,1,MATCH(COLUMNS($AN$1006:BD1006),$AN$1006:$BO$1006,0)))),"Fix")))</f>
        <v>0</v>
      </c>
      <c r="S864" s="4">
        <f>IF(OR(INDEX($AH$2:$AH$1001,MATCH(ROWS($AG$2:AG864),$AG$2:$AG$1001,0),1)&gt;=100000,INDEX($AN$1005:$BO$1005,1,MATCH(COLUMNS($AN$1006:BE1006),$AN$1006:$BO$1006,0))&gt;=100000), " ",IF(INDEX($AN$2:$BO$1001,MATCH(ROWS($AG$2:AG864),$AG$2:$AG$1001,0),MATCH(COLUMNS($AN$1006:BE1006),$AN$1006:$BO$1006,0)), HYPERLINK("#",""), HYPERLINK(CONCATENATE("#Metadata!", ADDRESS(INDEX($AI$2:$AI$1001,MATCH(ROWS($AG$2:AG864),$AG$2:$AG$1001,0),0), INDEX($AN$1004:$BO$1004,1,MATCH(COLUMNS($AN$1006:BE1006),$AN$1006:$BO$1006,0)))),"Fix")))</f>
        <v>0</v>
      </c>
      <c r="T864" s="4">
        <f>IF(OR(INDEX($AH$2:$AH$1001,MATCH(ROWS($AG$2:AG864),$AG$2:$AG$1001,0),1)&gt;=100000,INDEX($AN$1005:$BO$1005,1,MATCH(COLUMNS($AN$1006:BF1006),$AN$1006:$BO$1006,0))&gt;=100000), " ",IF(INDEX($AN$2:$BO$1001,MATCH(ROWS($AG$2:AG864),$AG$2:$AG$1001,0),MATCH(COLUMNS($AN$1006:BF1006),$AN$1006:$BO$1006,0)), HYPERLINK("#",""), HYPERLINK(CONCATENATE("#Metadata!", ADDRESS(INDEX($AI$2:$AI$1001,MATCH(ROWS($AG$2:AG864),$AG$2:$AG$1001,0),0), INDEX($AN$1004:$BO$1004,1,MATCH(COLUMNS($AN$1006:BF1006),$AN$1006:$BO$1006,0)))),"Fix")))</f>
        <v>0</v>
      </c>
      <c r="U864" s="4">
        <f>IF(OR(INDEX($AH$2:$AH$1001,MATCH(ROWS($AG$2:AG864),$AG$2:$AG$1001,0),1)&gt;=100000,INDEX($AN$1005:$BO$1005,1,MATCH(COLUMNS($AN$1006:BG1006),$AN$1006:$BO$1006,0))&gt;=100000), " ",IF(INDEX($AN$2:$BO$1001,MATCH(ROWS($AG$2:AG864),$AG$2:$AG$1001,0),MATCH(COLUMNS($AN$1006:BG1006),$AN$1006:$BO$1006,0)), HYPERLINK("#",""), HYPERLINK(CONCATENATE("#Metadata!", ADDRESS(INDEX($AI$2:$AI$1001,MATCH(ROWS($AG$2:AG864),$AG$2:$AG$1001,0),0), INDEX($AN$1004:$BO$1004,1,MATCH(COLUMNS($AN$1006:BG1006),$AN$1006:$BO$1006,0)))),"Fix")))</f>
        <v>0</v>
      </c>
      <c r="V864" s="4">
        <f>IF(OR(INDEX($AH$2:$AH$1001,MATCH(ROWS($AG$2:AG864),$AG$2:$AG$1001,0),1)&gt;=100000,INDEX($AN$1005:$BO$1005,1,MATCH(COLUMNS($AN$1006:BH1006),$AN$1006:$BO$1006,0))&gt;=100000), " ",IF(INDEX($AN$2:$BO$1001,MATCH(ROWS($AG$2:AG864),$AG$2:$AG$1001,0),MATCH(COLUMNS($AN$1006:BH1006),$AN$1006:$BO$1006,0)), HYPERLINK("#",""), HYPERLINK(CONCATENATE("#Metadata!", ADDRESS(INDEX($AI$2:$AI$1001,MATCH(ROWS($AG$2:AG864),$AG$2:$AG$1001,0),0), INDEX($AN$1004:$BO$1004,1,MATCH(COLUMNS($AN$1006:BH1006),$AN$1006:$BO$1006,0)))),"Fix")))</f>
        <v>0</v>
      </c>
      <c r="W864" s="4">
        <f>IF(OR(INDEX($AH$2:$AH$1001,MATCH(ROWS($AG$2:AG864),$AG$2:$AG$1001,0),1)&gt;=100000,INDEX($AN$1005:$BO$1005,1,MATCH(COLUMNS($AN$1006:BI1006),$AN$1006:$BO$1006,0))&gt;=100000), " ",IF(INDEX($AN$2:$BO$1001,MATCH(ROWS($AG$2:AG864),$AG$2:$AG$1001,0),MATCH(COLUMNS($AN$1006:BI1006),$AN$1006:$BO$1006,0)), HYPERLINK("#",""), HYPERLINK(CONCATENATE("#Metadata!", ADDRESS(INDEX($AI$2:$AI$1001,MATCH(ROWS($AG$2:AG864),$AG$2:$AG$1001,0),0), INDEX($AN$1004:$BO$1004,1,MATCH(COLUMNS($AN$1006:BI1006),$AN$1006:$BO$1006,0)))),"Fix")))</f>
        <v>0</v>
      </c>
      <c r="X864" s="4">
        <f>IF(OR(INDEX($AH$2:$AH$1001,MATCH(ROWS($AG$2:AG864),$AG$2:$AG$1001,0),1)&gt;=100000,INDEX($AN$1005:$BO$1005,1,MATCH(COLUMNS($AN$1006:BJ1006),$AN$1006:$BO$1006,0))&gt;=100000), " ",IF(INDEX($AN$2:$BO$1001,MATCH(ROWS($AG$2:AG864),$AG$2:$AG$1001,0),MATCH(COLUMNS($AN$1006:BJ1006),$AN$1006:$BO$1006,0)), HYPERLINK("#",""), HYPERLINK(CONCATENATE("#Metadata!", ADDRESS(INDEX($AI$2:$AI$1001,MATCH(ROWS($AG$2:AG864),$AG$2:$AG$1001,0),0), INDEX($AN$1004:$BO$1004,1,MATCH(COLUMNS($AN$1006:BJ1006),$AN$1006:$BO$1006,0)))),"Fix")))</f>
        <v>0</v>
      </c>
      <c r="Y864" s="4">
        <f>IF(OR(INDEX($AH$2:$AH$1001,MATCH(ROWS($AG$2:AG864),$AG$2:$AG$1001,0),1)&gt;=100000,INDEX($AN$1005:$BO$1005,1,MATCH(COLUMNS($AN$1006:BK1006),$AN$1006:$BO$1006,0))&gt;=100000), " ",IF(INDEX($AN$2:$BO$1001,MATCH(ROWS($AG$2:AG864),$AG$2:$AG$1001,0),MATCH(COLUMNS($AN$1006:BK1006),$AN$1006:$BO$1006,0)), HYPERLINK("#",""), HYPERLINK(CONCATENATE("#Metadata!", ADDRESS(INDEX($AI$2:$AI$1001,MATCH(ROWS($AG$2:AG864),$AG$2:$AG$1001,0),0), INDEX($AN$1004:$BO$1004,1,MATCH(COLUMNS($AN$1006:BK1006),$AN$1006:$BO$1006,0)))),"Fix")))</f>
        <v>0</v>
      </c>
      <c r="Z864" s="4">
        <f>IF(OR(INDEX($AH$2:$AH$1001,MATCH(ROWS($AG$2:AG864),$AG$2:$AG$1001,0),1)&gt;=100000,INDEX($AN$1005:$BO$1005,1,MATCH(COLUMNS($AN$1006:BL1006),$AN$1006:$BO$1006,0))&gt;=100000), " ",IF(INDEX($AN$2:$BO$1001,MATCH(ROWS($AG$2:AG864),$AG$2:$AG$1001,0),MATCH(COLUMNS($AN$1006:BL1006),$AN$1006:$BO$1006,0)), HYPERLINK("#",""), HYPERLINK(CONCATENATE("#Metadata!", ADDRESS(INDEX($AI$2:$AI$1001,MATCH(ROWS($AG$2:AG864),$AG$2:$AG$1001,0),0), INDEX($AN$1004:$BO$1004,1,MATCH(COLUMNS($AN$1006:BL1006),$AN$1006:$BO$1006,0)))),"Fix")))</f>
        <v>0</v>
      </c>
      <c r="AA864" s="4">
        <f>IF(OR(INDEX($AH$2:$AH$1001,MATCH(ROWS($AG$2:AG864),$AG$2:$AG$1001,0),1)&gt;=100000,INDEX($AN$1005:$BO$1005,1,MATCH(COLUMNS($AN$1006:BM1006),$AN$1006:$BO$1006,0))&gt;=100000), " ",IF(INDEX($AN$2:$BO$1001,MATCH(ROWS($AG$2:AG864),$AG$2:$AG$1001,0),MATCH(COLUMNS($AN$1006:BM1006),$AN$1006:$BO$1006,0)), HYPERLINK("#",""), HYPERLINK(CONCATENATE("#Metadata!", ADDRESS(INDEX($AI$2:$AI$1001,MATCH(ROWS($AG$2:AG864),$AG$2:$AG$1001,0),0), INDEX($AN$1004:$BO$1004,1,MATCH(COLUMNS($AN$1006:BM1006),$AN$1006:$BO$1006,0)))),"Fix")))</f>
        <v>0</v>
      </c>
      <c r="AB864" s="4">
        <f>IF(OR(INDEX($AH$2:$AH$1001,MATCH(ROWS($AG$2:AG864),$AG$2:$AG$1001,0),1)&gt;=100000,INDEX($AN$1005:$BO$1005,1,MATCH(COLUMNS($AN$1006:BN1006),$AN$1006:$BO$1006,0))&gt;=100000), " ",IF(INDEX($AN$2:$BO$1001,MATCH(ROWS($AG$2:AG864),$AG$2:$AG$1001,0),MATCH(COLUMNS($AN$1006:BN1006),$AN$1006:$BO$1006,0)), HYPERLINK("#",""), HYPERLINK(CONCATENATE("#Metadata!", ADDRESS(INDEX($AI$2:$AI$1001,MATCH(ROWS($AG$2:AG864),$AG$2:$AG$1001,0),0), INDEX($AN$1004:$BO$1004,1,MATCH(COLUMNS($AN$1006:BN1006),$AN$1006:$BO$1006,0)))),"Fix")))</f>
        <v>0</v>
      </c>
      <c r="AC864" s="4">
        <f>IF(OR(INDEX($AH$2:$AH$1001,MATCH(ROWS($AG$2:AG864),$AG$2:$AG$1001,0),1)&gt;=100000,INDEX($AN$1005:$BO$1005,1,MATCH(COLUMNS($AN$1006:BO1006),$AN$1006:$BO$1006,0))&gt;=100000), " ",IF(INDEX($AN$2:$BO$1001,MATCH(ROWS($AG$2:AG864),$AG$2:$AG$1001,0),MATCH(COLUMNS($AN$1006:BO1006),$AN$1006:$BO$1006,0)), HYPERLINK("#",""), HYPERLINK(CONCATENATE("#Metadata!", ADDRESS(INDEX($AI$2:$AI$1001,MATCH(ROWS($AG$2:AG864),$AG$2:$AG$1001,0),0), INDEX($AN$1004:$BO$1004,1,MATCH(COLUMNS($AN$1006:BO1006),$AN$1006:$BO$1006,0)))),"Fix")))</f>
        <v>0</v>
      </c>
      <c r="AG864">
        <v>0</v>
      </c>
      <c r="AH864">
        <v>0</v>
      </c>
      <c r="AI864">
        <v>0</v>
      </c>
      <c r="AJ864">
        <f>IF(AK864,TRUE,AND(AN864:BO864))</f>
        <v>0</v>
      </c>
      <c r="AK864">
        <f>COUNTBLANK(Metadata!B864:AC864)=COLUMNS(Metadata!B864:AC864)</f>
        <v>0</v>
      </c>
      <c r="AL864">
        <v>0</v>
      </c>
      <c r="AN864">
        <f>AND(IF(Metadata!B864="",FALSE,TRUE),COUNTIF(Metadata!B:B, Metadata!B864) = 1,NOT(ISERROR(SUMPRODUCT(SEARCH(MID(Metadata!B864,ROW(INDIRECT("1:"&amp;LEN(Metadata!B864))), 1),"0123456789abcdefghijklmnopqrstuvwxyzABCDEFGHIJKLMNOPQRSTUVWXYZ.")))))</f>
        <v>0</v>
      </c>
      <c r="AO864">
        <f>IF(Metadata!C864="",FALSE,TRUE)</f>
        <v>0</v>
      </c>
      <c r="AP864">
        <f>IF(Metadata!D864="",FALSE,TRUE)</f>
        <v>0</v>
      </c>
      <c r="AQ864">
        <f>OR(AND(IF(Metadata!E864="",FALSE,TRUE),OR(exact(Metadata!E864,"not collected"),exact(Metadata!E864,"not provided"),exact(Metadata!E864,"restricted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R864">
        <f>IF(Metadata!F864="",FALSE,TRUE)</f>
        <v>0</v>
      </c>
      <c r="AS864">
        <f>OR(AND(IF(Metadata!G864="",FALSE,TRUE),OR(exact(Metadata!G864,"not collected"),exact(Metadata!G864,"not provided"))),AND(IF(Metadata!G864="",FALSE,TRUE),OR(exact(Metadata!G864,"TRUE"),exact(Metadata!G864,"FALSE"))))</f>
        <v>0</v>
      </c>
      <c r="AT864">
        <f>OR(AND(IF(Metadata!H864="",FALSE,TRUE),OR(exact(Metadata!H864,"not collected"),exact(Metadata!H864,"not provided"),exact(Metadata!H864,"restricted access"))),AND(IF(Metadata!H864="",FALSE,ISNUMBER(VALUE(Metadata!H864))),Metadata!H864&gt;=-413.0))</f>
        <v>0</v>
      </c>
      <c r="AU864">
        <f>AND(IF(Metadata!I864="",FALSE,TRUE),exact(Metadata!I864,"meters"))</f>
        <v>0</v>
      </c>
      <c r="AV864">
        <f>AND(IF(Metadata!J864="",FALSE,TRUE),OR(exact(Metadata!J864,"Host-associated"),exact(Metadata!J864,"Free-living")))</f>
        <v>0</v>
      </c>
      <c r="AW864">
        <f>AND(IF(Metadata!K864="",FALSE,TRUE),OR(exact(Metadata!K864,"Animal"),exact(Metadata!K864,"Fungus"),exact(Metadata!K864,"Plant"),exact(Metadata!K864,"Saline"),exact(Metadata!K864,"Non-saline")))</f>
        <v>0</v>
      </c>
      <c r="AX864">
        <f>AND(IF(Metadata!L864="",FALSE,TRUE),OR(exact(Metadata!L864,"Plant secretion"),exact(Metadata!L864,"Plant rhizosphere"),exact(Metadata!L864,"Plant surface"),exact(Metadata!L864,"Plant corpus"),exact(Metadata!L864,"Fungus surface"),exact(Metadata!L864,"Fungus corpus"),exact(Metadata!L864,"Animal surface"),exact(Metadata!L864,"Animal proximal gut"),exact(Metadata!L864,"Animal corpus"),exact(Metadata!L864,"Animal distal gut"),exact(Metadata!L864,"Animal secretion"),exact(Metadata!L864,"Sub-surface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Y864">
        <f>IF(Metadata!M864="",FALSE,TRUE)</f>
        <v>0</v>
      </c>
      <c r="AZ864">
        <f>IF(Metadata!N864="",FALSE,TRUE)</f>
        <v>0</v>
      </c>
      <c r="BA864">
        <f>IF(Metadata!O864="",FALSE,TRUE)</f>
        <v>0</v>
      </c>
      <c r="BB864">
        <f>OR(AND(IF(Metadata!P864="",FALSE,TRUE),OR(exact(Metadata!P864,"not collected"),exact(Metadata!P864,"not provided"),exact(Metadata!P864,"restricted access"))),AND(IF(Metadata!P864="",FALSE,TRUE),OR(exact(Metadata!P864,"air"),exact(Metadata!P864,"built environment"),exact(Metadata!P864,"host-associated"),exact(Metadata!P864,"human-associated"),exact(Metadata!P864,"human-skin"),exact(Metadata!P864,"human-oral"),exact(Metadata!P864,"human-gut"),exact(Metadata!P864,"human-vaginal"),exact(Metadata!P864,"microbial mat/biofilm"),exact(Metadata!P864,"misc environment"),exact(Metadata!P864,"plant-associated"),exact(Metadata!P864,"sediment"),exact(Metadata!P864,"soil"),exact(Metadata!P864,"wastewater/sludge"),exact(Metadata!P864,"water"))))</f>
        <v>0</v>
      </c>
      <c r="BC864">
        <f>IF(Metadata!Q864="",FALSE,TRUE)</f>
        <v>0</v>
      </c>
      <c r="BD864">
        <f>IF(Metadata!R864="",FALSE,TRUE)</f>
        <v>0</v>
      </c>
      <c r="BE864">
        <f>OR(AND(IF(Metadata!S864="",FALSE,TRUE),OR(exact(Metadata!S864,"not collected"),exact(Metadata!S864,"not provided"),exact(Metadata!S864,"restricted access"))),AND(IF(Metadata!S864="",FALSE,ISNUMBER(VALUE(Metadata!S864))),Metadata!S864&gt;=-90.00,Metadata!S864&lt;=90.00))</f>
        <v>0</v>
      </c>
      <c r="BF864">
        <f>AND(IF(Metadata!T864="",FALSE,TRUE),exact(Metadata!T864,"Decimal degrees"))</f>
        <v>0</v>
      </c>
      <c r="BG864">
        <f>OR(AND(IF(Metadata!U864="",FALSE,TRUE),OR(exact(Metadata!U864,"not collected"),exact(Metadata!U864,"not provided"),exact(Metadata!U864,"restricted access"))),AND(IF(Metadata!U864="",FALSE,ISNUMBER(VALUE(Metadata!U864))),Metadata!U864&gt;=-180.00,Metadata!U864&lt;=180.00))</f>
        <v>0</v>
      </c>
      <c r="BH864">
        <f>AND(IF(Metadata!V864="",FALSE,TRUE),exact(Metadata!V864,"Decimal degrees"))</f>
        <v>0</v>
      </c>
      <c r="BI864">
        <f>IF(Metadata!W864="",FALSE,TRUE)</f>
        <v>0</v>
      </c>
      <c r="BJ864">
        <f>OR(AND(IF(Metadata!X864="",FALSE,TRUE),OR(exact(Metadata!X864,"not collected"),exact(Metadata!X864,"not provided"),exact(Metadata!X864,"restricted access"))),AND(IF(Metadata!X864="",FALSE,TRUE),OR(exact(Metadata!X864,"TRUE"),exact(Metadata!X864,"FALSE"))))</f>
        <v>0</v>
      </c>
      <c r="BK864">
        <f>AND(IF(Metadata!Y864="",FALSE,TRUE),exact(Metadata!Y864,"other"))</f>
        <v>0</v>
      </c>
      <c r="BL864">
        <f>IF(Metadata!Z864="",FALSE,TRUE)</f>
        <v>0</v>
      </c>
      <c r="BM864">
        <f>OR(AND(IF(Metadata!AA864="",FALSE,TRUE),OR(exact(Metadata!AA864,"not collected"),exact(Metadata!AA864,"not provided"))),AND(IF(Metadata!AA864="",FALSE,IF(ISERROR(INT(Metadata!AA864)),FALSE,INT(Metadata!AA864)=Metadata!AA864)),Metadata!AA864&gt;0))</f>
        <v>0</v>
      </c>
      <c r="BN864">
        <f>AND(IF(Metadata!AB864="",FALSE,TRUE),exact(Metadata!AB864,"Not applicable"))</f>
        <v>0</v>
      </c>
      <c r="BO864">
        <f>IF(Metadata!AC864="",FALSE,TRUE)</f>
        <v>0</v>
      </c>
    </row>
    <row r="865" spans="1:67">
      <c r="A865" s="5">
        <f>IF(B865=" "," ",HYPERLINK(CONCATENATE("#metadata!",ADDRESS(INDEX($AI$2:$AI$1001,MATCH(ROWS($AG$2:AG865),$AG$2:$AG$1001,0),0),1)),INDEX($AL$2:$AL$1001,MATCH(ROWS($AG$2:AG865),$AG$2:$AG$1001,0),0)))</f>
        <v>0</v>
      </c>
      <c r="B865" s="4">
        <f>IF(OR(INDEX($AH$2:$AH$1001,MATCH(ROWS($AG$2:AG865),$AG$2:$AG$1001,0),1)&gt;=100000,INDEX($AN$1005:$BO$1005,1,MATCH(COLUMNS($AN$1006:AN1006),$AN$1006:$BO$1006,0))&gt;=100000), " ",IF(INDEX($AN$2:$BO$1001,MATCH(ROWS($AG$2:AG865),$AG$2:$AG$1001,0),MATCH(COLUMNS($AN$1006:AN1006),$AN$1006:$BO$1006,0)), HYPERLINK("#",""), HYPERLINK(CONCATENATE("#Metadata!", ADDRESS(INDEX($AI$2:$AI$1001,MATCH(ROWS($AG$2:AG865),$AG$2:$AG$1001,0),0), INDEX($AN$1004:$BO$1004,1,MATCH(COLUMNS($AN$1006:AN1006),$AN$1006:$BO$1006,0)))),"Fix")))</f>
        <v>0</v>
      </c>
      <c r="C865" s="4">
        <f>IF(OR(INDEX($AH$2:$AH$1001,MATCH(ROWS($AG$2:AG865),$AG$2:$AG$1001,0),1)&gt;=100000,INDEX($AN$1005:$BO$1005,1,MATCH(COLUMNS($AN$1006:AO1006),$AN$1006:$BO$1006,0))&gt;=100000), " ",IF(INDEX($AN$2:$BO$1001,MATCH(ROWS($AG$2:AG865),$AG$2:$AG$1001,0),MATCH(COLUMNS($AN$1006:AO1006),$AN$1006:$BO$1006,0)), HYPERLINK("#",""), HYPERLINK(CONCATENATE("#Metadata!", ADDRESS(INDEX($AI$2:$AI$1001,MATCH(ROWS($AG$2:AG865),$AG$2:$AG$1001,0),0), INDEX($AN$1004:$BO$1004,1,MATCH(COLUMNS($AN$1006:AO1006),$AN$1006:$BO$1006,0)))),"Fix")))</f>
        <v>0</v>
      </c>
      <c r="D865" s="4">
        <f>IF(OR(INDEX($AH$2:$AH$1001,MATCH(ROWS($AG$2:AG865),$AG$2:$AG$1001,0),1)&gt;=100000,INDEX($AN$1005:$BO$1005,1,MATCH(COLUMNS($AN$1006:AP1006),$AN$1006:$BO$1006,0))&gt;=100000), " ",IF(INDEX($AN$2:$BO$1001,MATCH(ROWS($AG$2:AG865),$AG$2:$AG$1001,0),MATCH(COLUMNS($AN$1006:AP1006),$AN$1006:$BO$1006,0)), HYPERLINK("#",""), HYPERLINK(CONCATENATE("#Metadata!", ADDRESS(INDEX($AI$2:$AI$1001,MATCH(ROWS($AG$2:AG865),$AG$2:$AG$1001,0),0), INDEX($AN$1004:$BO$1004,1,MATCH(COLUMNS($AN$1006:AP1006),$AN$1006:$BO$1006,0)))),"Fix")))</f>
        <v>0</v>
      </c>
      <c r="E865" s="4">
        <f>IF(OR(INDEX($AH$2:$AH$1001,MATCH(ROWS($AG$2:AG865),$AG$2:$AG$1001,0),1)&gt;=100000,INDEX($AN$1005:$BO$1005,1,MATCH(COLUMNS($AN$1006:AQ1006),$AN$1006:$BO$1006,0))&gt;=100000), " ",IF(INDEX($AN$2:$BO$1001,MATCH(ROWS($AG$2:AG865),$AG$2:$AG$1001,0),MATCH(COLUMNS($AN$1006:AQ1006),$AN$1006:$BO$1006,0)), HYPERLINK("#",""), HYPERLINK(CONCATENATE("#Metadata!", ADDRESS(INDEX($AI$2:$AI$1001,MATCH(ROWS($AG$2:AG865),$AG$2:$AG$1001,0),0), INDEX($AN$1004:$BO$1004,1,MATCH(COLUMNS($AN$1006:AQ1006),$AN$1006:$BO$1006,0)))),"Fix")))</f>
        <v>0</v>
      </c>
      <c r="F865" s="4">
        <f>IF(OR(INDEX($AH$2:$AH$1001,MATCH(ROWS($AG$2:AG865),$AG$2:$AG$1001,0),1)&gt;=100000,INDEX($AN$1005:$BO$1005,1,MATCH(COLUMNS($AN$1006:AR1006),$AN$1006:$BO$1006,0))&gt;=100000), " ",IF(INDEX($AN$2:$BO$1001,MATCH(ROWS($AG$2:AG865),$AG$2:$AG$1001,0),MATCH(COLUMNS($AN$1006:AR1006),$AN$1006:$BO$1006,0)), HYPERLINK("#",""), HYPERLINK(CONCATENATE("#Metadata!", ADDRESS(INDEX($AI$2:$AI$1001,MATCH(ROWS($AG$2:AG865),$AG$2:$AG$1001,0),0), INDEX($AN$1004:$BO$1004,1,MATCH(COLUMNS($AN$1006:AR1006),$AN$1006:$BO$1006,0)))),"Fix")))</f>
        <v>0</v>
      </c>
      <c r="G865" s="4">
        <f>IF(OR(INDEX($AH$2:$AH$1001,MATCH(ROWS($AG$2:AG865),$AG$2:$AG$1001,0),1)&gt;=100000,INDEX($AN$1005:$BO$1005,1,MATCH(COLUMNS($AN$1006:AS1006),$AN$1006:$BO$1006,0))&gt;=100000), " ",IF(INDEX($AN$2:$BO$1001,MATCH(ROWS($AG$2:AG865),$AG$2:$AG$1001,0),MATCH(COLUMNS($AN$1006:AS1006),$AN$1006:$BO$1006,0)), HYPERLINK("#",""), HYPERLINK(CONCATENATE("#Metadata!", ADDRESS(INDEX($AI$2:$AI$1001,MATCH(ROWS($AG$2:AG865),$AG$2:$AG$1001,0),0), INDEX($AN$1004:$BO$1004,1,MATCH(COLUMNS($AN$1006:AS1006),$AN$1006:$BO$1006,0)))),"Fix")))</f>
        <v>0</v>
      </c>
      <c r="H865" s="4">
        <f>IF(OR(INDEX($AH$2:$AH$1001,MATCH(ROWS($AG$2:AG865),$AG$2:$AG$1001,0),1)&gt;=100000,INDEX($AN$1005:$BO$1005,1,MATCH(COLUMNS($AN$1006:AT1006),$AN$1006:$BO$1006,0))&gt;=100000), " ",IF(INDEX($AN$2:$BO$1001,MATCH(ROWS($AG$2:AG865),$AG$2:$AG$1001,0),MATCH(COLUMNS($AN$1006:AT1006),$AN$1006:$BO$1006,0)), HYPERLINK("#",""), HYPERLINK(CONCATENATE("#Metadata!", ADDRESS(INDEX($AI$2:$AI$1001,MATCH(ROWS($AG$2:AG865),$AG$2:$AG$1001,0),0), INDEX($AN$1004:$BO$1004,1,MATCH(COLUMNS($AN$1006:AT1006),$AN$1006:$BO$1006,0)))),"Fix")))</f>
        <v>0</v>
      </c>
      <c r="I865" s="4">
        <f>IF(OR(INDEX($AH$2:$AH$1001,MATCH(ROWS($AG$2:AG865),$AG$2:$AG$1001,0),1)&gt;=100000,INDEX($AN$1005:$BO$1005,1,MATCH(COLUMNS($AN$1006:AU1006),$AN$1006:$BO$1006,0))&gt;=100000), " ",IF(INDEX($AN$2:$BO$1001,MATCH(ROWS($AG$2:AG865),$AG$2:$AG$1001,0),MATCH(COLUMNS($AN$1006:AU1006),$AN$1006:$BO$1006,0)), HYPERLINK("#",""), HYPERLINK(CONCATENATE("#Metadata!", ADDRESS(INDEX($AI$2:$AI$1001,MATCH(ROWS($AG$2:AG865),$AG$2:$AG$1001,0),0), INDEX($AN$1004:$BO$1004,1,MATCH(COLUMNS($AN$1006:AU1006),$AN$1006:$BO$1006,0)))),"Fix")))</f>
        <v>0</v>
      </c>
      <c r="J865" s="4">
        <f>IF(OR(INDEX($AH$2:$AH$1001,MATCH(ROWS($AG$2:AG865),$AG$2:$AG$1001,0),1)&gt;=100000,INDEX($AN$1005:$BO$1005,1,MATCH(COLUMNS($AN$1006:AV1006),$AN$1006:$BO$1006,0))&gt;=100000), " ",IF(INDEX($AN$2:$BO$1001,MATCH(ROWS($AG$2:AG865),$AG$2:$AG$1001,0),MATCH(COLUMNS($AN$1006:AV1006),$AN$1006:$BO$1006,0)), HYPERLINK("#",""), HYPERLINK(CONCATENATE("#Metadata!", ADDRESS(INDEX($AI$2:$AI$1001,MATCH(ROWS($AG$2:AG865),$AG$2:$AG$1001,0),0), INDEX($AN$1004:$BO$1004,1,MATCH(COLUMNS($AN$1006:AV1006),$AN$1006:$BO$1006,0)))),"Fix")))</f>
        <v>0</v>
      </c>
      <c r="K865" s="4">
        <f>IF(OR(INDEX($AH$2:$AH$1001,MATCH(ROWS($AG$2:AG865),$AG$2:$AG$1001,0),1)&gt;=100000,INDEX($AN$1005:$BO$1005,1,MATCH(COLUMNS($AN$1006:AW1006),$AN$1006:$BO$1006,0))&gt;=100000), " ",IF(INDEX($AN$2:$BO$1001,MATCH(ROWS($AG$2:AG865),$AG$2:$AG$1001,0),MATCH(COLUMNS($AN$1006:AW1006),$AN$1006:$BO$1006,0)), HYPERLINK("#",""), HYPERLINK(CONCATENATE("#Metadata!", ADDRESS(INDEX($AI$2:$AI$1001,MATCH(ROWS($AG$2:AG865),$AG$2:$AG$1001,0),0), INDEX($AN$1004:$BO$1004,1,MATCH(COLUMNS($AN$1006:AW1006),$AN$1006:$BO$1006,0)))),"Fix")))</f>
        <v>0</v>
      </c>
      <c r="L865" s="4">
        <f>IF(OR(INDEX($AH$2:$AH$1001,MATCH(ROWS($AG$2:AG865),$AG$2:$AG$1001,0),1)&gt;=100000,INDEX($AN$1005:$BO$1005,1,MATCH(COLUMNS($AN$1006:AX1006),$AN$1006:$BO$1006,0))&gt;=100000), " ",IF(INDEX($AN$2:$BO$1001,MATCH(ROWS($AG$2:AG865),$AG$2:$AG$1001,0),MATCH(COLUMNS($AN$1006:AX1006),$AN$1006:$BO$1006,0)), HYPERLINK("#",""), HYPERLINK(CONCATENATE("#Metadata!", ADDRESS(INDEX($AI$2:$AI$1001,MATCH(ROWS($AG$2:AG865),$AG$2:$AG$1001,0),0), INDEX($AN$1004:$BO$1004,1,MATCH(COLUMNS($AN$1006:AX1006),$AN$1006:$BO$1006,0)))),"Fix")))</f>
        <v>0</v>
      </c>
      <c r="M865" s="4">
        <f>IF(OR(INDEX($AH$2:$AH$1001,MATCH(ROWS($AG$2:AG865),$AG$2:$AG$1001,0),1)&gt;=100000,INDEX($AN$1005:$BO$1005,1,MATCH(COLUMNS($AN$1006:AY1006),$AN$1006:$BO$1006,0))&gt;=100000), " ",IF(INDEX($AN$2:$BO$1001,MATCH(ROWS($AG$2:AG865),$AG$2:$AG$1001,0),MATCH(COLUMNS($AN$1006:AY1006),$AN$1006:$BO$1006,0)), HYPERLINK("#",""), HYPERLINK(CONCATENATE("#Metadata!", ADDRESS(INDEX($AI$2:$AI$1001,MATCH(ROWS($AG$2:AG865),$AG$2:$AG$1001,0),0), INDEX($AN$1004:$BO$1004,1,MATCH(COLUMNS($AN$1006:AY1006),$AN$1006:$BO$1006,0)))),"Fix")))</f>
        <v>0</v>
      </c>
      <c r="N865" s="4">
        <f>IF(OR(INDEX($AH$2:$AH$1001,MATCH(ROWS($AG$2:AG865),$AG$2:$AG$1001,0),1)&gt;=100000,INDEX($AN$1005:$BO$1005,1,MATCH(COLUMNS($AN$1006:AZ1006),$AN$1006:$BO$1006,0))&gt;=100000), " ",IF(INDEX($AN$2:$BO$1001,MATCH(ROWS($AG$2:AG865),$AG$2:$AG$1001,0),MATCH(COLUMNS($AN$1006:AZ1006),$AN$1006:$BO$1006,0)), HYPERLINK("#",""), HYPERLINK(CONCATENATE("#Metadata!", ADDRESS(INDEX($AI$2:$AI$1001,MATCH(ROWS($AG$2:AG865),$AG$2:$AG$1001,0),0), INDEX($AN$1004:$BO$1004,1,MATCH(COLUMNS($AN$1006:AZ1006),$AN$1006:$BO$1006,0)))),"Fix")))</f>
        <v>0</v>
      </c>
      <c r="O865" s="4">
        <f>IF(OR(INDEX($AH$2:$AH$1001,MATCH(ROWS($AG$2:AG865),$AG$2:$AG$1001,0),1)&gt;=100000,INDEX($AN$1005:$BO$1005,1,MATCH(COLUMNS($AN$1006:BA1006),$AN$1006:$BO$1006,0))&gt;=100000), " ",IF(INDEX($AN$2:$BO$1001,MATCH(ROWS($AG$2:AG865),$AG$2:$AG$1001,0),MATCH(COLUMNS($AN$1006:BA1006),$AN$1006:$BO$1006,0)), HYPERLINK("#",""), HYPERLINK(CONCATENATE("#Metadata!", ADDRESS(INDEX($AI$2:$AI$1001,MATCH(ROWS($AG$2:AG865),$AG$2:$AG$1001,0),0), INDEX($AN$1004:$BO$1004,1,MATCH(COLUMNS($AN$1006:BA1006),$AN$1006:$BO$1006,0)))),"Fix")))</f>
        <v>0</v>
      </c>
      <c r="P865" s="4">
        <f>IF(OR(INDEX($AH$2:$AH$1001,MATCH(ROWS($AG$2:AG865),$AG$2:$AG$1001,0),1)&gt;=100000,INDEX($AN$1005:$BO$1005,1,MATCH(COLUMNS($AN$1006:BB1006),$AN$1006:$BO$1006,0))&gt;=100000), " ",IF(INDEX($AN$2:$BO$1001,MATCH(ROWS($AG$2:AG865),$AG$2:$AG$1001,0),MATCH(COLUMNS($AN$1006:BB1006),$AN$1006:$BO$1006,0)), HYPERLINK("#",""), HYPERLINK(CONCATENATE("#Metadata!", ADDRESS(INDEX($AI$2:$AI$1001,MATCH(ROWS($AG$2:AG865),$AG$2:$AG$1001,0),0), INDEX($AN$1004:$BO$1004,1,MATCH(COLUMNS($AN$1006:BB1006),$AN$1006:$BO$1006,0)))),"Fix")))</f>
        <v>0</v>
      </c>
      <c r="Q865" s="4">
        <f>IF(OR(INDEX($AH$2:$AH$1001,MATCH(ROWS($AG$2:AG865),$AG$2:$AG$1001,0),1)&gt;=100000,INDEX($AN$1005:$BO$1005,1,MATCH(COLUMNS($AN$1006:BC1006),$AN$1006:$BO$1006,0))&gt;=100000), " ",IF(INDEX($AN$2:$BO$1001,MATCH(ROWS($AG$2:AG865),$AG$2:$AG$1001,0),MATCH(COLUMNS($AN$1006:BC1006),$AN$1006:$BO$1006,0)), HYPERLINK("#",""), HYPERLINK(CONCATENATE("#Metadata!", ADDRESS(INDEX($AI$2:$AI$1001,MATCH(ROWS($AG$2:AG865),$AG$2:$AG$1001,0),0), INDEX($AN$1004:$BO$1004,1,MATCH(COLUMNS($AN$1006:BC1006),$AN$1006:$BO$1006,0)))),"Fix")))</f>
        <v>0</v>
      </c>
      <c r="R865" s="4">
        <f>IF(OR(INDEX($AH$2:$AH$1001,MATCH(ROWS($AG$2:AG865),$AG$2:$AG$1001,0),1)&gt;=100000,INDEX($AN$1005:$BO$1005,1,MATCH(COLUMNS($AN$1006:BD1006),$AN$1006:$BO$1006,0))&gt;=100000), " ",IF(INDEX($AN$2:$BO$1001,MATCH(ROWS($AG$2:AG865),$AG$2:$AG$1001,0),MATCH(COLUMNS($AN$1006:BD1006),$AN$1006:$BO$1006,0)), HYPERLINK("#",""), HYPERLINK(CONCATENATE("#Metadata!", ADDRESS(INDEX($AI$2:$AI$1001,MATCH(ROWS($AG$2:AG865),$AG$2:$AG$1001,0),0), INDEX($AN$1004:$BO$1004,1,MATCH(COLUMNS($AN$1006:BD1006),$AN$1006:$BO$1006,0)))),"Fix")))</f>
        <v>0</v>
      </c>
      <c r="S865" s="4">
        <f>IF(OR(INDEX($AH$2:$AH$1001,MATCH(ROWS($AG$2:AG865),$AG$2:$AG$1001,0),1)&gt;=100000,INDEX($AN$1005:$BO$1005,1,MATCH(COLUMNS($AN$1006:BE1006),$AN$1006:$BO$1006,0))&gt;=100000), " ",IF(INDEX($AN$2:$BO$1001,MATCH(ROWS($AG$2:AG865),$AG$2:$AG$1001,0),MATCH(COLUMNS($AN$1006:BE1006),$AN$1006:$BO$1006,0)), HYPERLINK("#",""), HYPERLINK(CONCATENATE("#Metadata!", ADDRESS(INDEX($AI$2:$AI$1001,MATCH(ROWS($AG$2:AG865),$AG$2:$AG$1001,0),0), INDEX($AN$1004:$BO$1004,1,MATCH(COLUMNS($AN$1006:BE1006),$AN$1006:$BO$1006,0)))),"Fix")))</f>
        <v>0</v>
      </c>
      <c r="T865" s="4">
        <f>IF(OR(INDEX($AH$2:$AH$1001,MATCH(ROWS($AG$2:AG865),$AG$2:$AG$1001,0),1)&gt;=100000,INDEX($AN$1005:$BO$1005,1,MATCH(COLUMNS($AN$1006:BF1006),$AN$1006:$BO$1006,0))&gt;=100000), " ",IF(INDEX($AN$2:$BO$1001,MATCH(ROWS($AG$2:AG865),$AG$2:$AG$1001,0),MATCH(COLUMNS($AN$1006:BF1006),$AN$1006:$BO$1006,0)), HYPERLINK("#",""), HYPERLINK(CONCATENATE("#Metadata!", ADDRESS(INDEX($AI$2:$AI$1001,MATCH(ROWS($AG$2:AG865),$AG$2:$AG$1001,0),0), INDEX($AN$1004:$BO$1004,1,MATCH(COLUMNS($AN$1006:BF1006),$AN$1006:$BO$1006,0)))),"Fix")))</f>
        <v>0</v>
      </c>
      <c r="U865" s="4">
        <f>IF(OR(INDEX($AH$2:$AH$1001,MATCH(ROWS($AG$2:AG865),$AG$2:$AG$1001,0),1)&gt;=100000,INDEX($AN$1005:$BO$1005,1,MATCH(COLUMNS($AN$1006:BG1006),$AN$1006:$BO$1006,0))&gt;=100000), " ",IF(INDEX($AN$2:$BO$1001,MATCH(ROWS($AG$2:AG865),$AG$2:$AG$1001,0),MATCH(COLUMNS($AN$1006:BG1006),$AN$1006:$BO$1006,0)), HYPERLINK("#",""), HYPERLINK(CONCATENATE("#Metadata!", ADDRESS(INDEX($AI$2:$AI$1001,MATCH(ROWS($AG$2:AG865),$AG$2:$AG$1001,0),0), INDEX($AN$1004:$BO$1004,1,MATCH(COLUMNS($AN$1006:BG1006),$AN$1006:$BO$1006,0)))),"Fix")))</f>
        <v>0</v>
      </c>
      <c r="V865" s="4">
        <f>IF(OR(INDEX($AH$2:$AH$1001,MATCH(ROWS($AG$2:AG865),$AG$2:$AG$1001,0),1)&gt;=100000,INDEX($AN$1005:$BO$1005,1,MATCH(COLUMNS($AN$1006:BH1006),$AN$1006:$BO$1006,0))&gt;=100000), " ",IF(INDEX($AN$2:$BO$1001,MATCH(ROWS($AG$2:AG865),$AG$2:$AG$1001,0),MATCH(COLUMNS($AN$1006:BH1006),$AN$1006:$BO$1006,0)), HYPERLINK("#",""), HYPERLINK(CONCATENATE("#Metadata!", ADDRESS(INDEX($AI$2:$AI$1001,MATCH(ROWS($AG$2:AG865),$AG$2:$AG$1001,0),0), INDEX($AN$1004:$BO$1004,1,MATCH(COLUMNS($AN$1006:BH1006),$AN$1006:$BO$1006,0)))),"Fix")))</f>
        <v>0</v>
      </c>
      <c r="W865" s="4">
        <f>IF(OR(INDEX($AH$2:$AH$1001,MATCH(ROWS($AG$2:AG865),$AG$2:$AG$1001,0),1)&gt;=100000,INDEX($AN$1005:$BO$1005,1,MATCH(COLUMNS($AN$1006:BI1006),$AN$1006:$BO$1006,0))&gt;=100000), " ",IF(INDEX($AN$2:$BO$1001,MATCH(ROWS($AG$2:AG865),$AG$2:$AG$1001,0),MATCH(COLUMNS($AN$1006:BI1006),$AN$1006:$BO$1006,0)), HYPERLINK("#",""), HYPERLINK(CONCATENATE("#Metadata!", ADDRESS(INDEX($AI$2:$AI$1001,MATCH(ROWS($AG$2:AG865),$AG$2:$AG$1001,0),0), INDEX($AN$1004:$BO$1004,1,MATCH(COLUMNS($AN$1006:BI1006),$AN$1006:$BO$1006,0)))),"Fix")))</f>
        <v>0</v>
      </c>
      <c r="X865" s="4">
        <f>IF(OR(INDEX($AH$2:$AH$1001,MATCH(ROWS($AG$2:AG865),$AG$2:$AG$1001,0),1)&gt;=100000,INDEX($AN$1005:$BO$1005,1,MATCH(COLUMNS($AN$1006:BJ1006),$AN$1006:$BO$1006,0))&gt;=100000), " ",IF(INDEX($AN$2:$BO$1001,MATCH(ROWS($AG$2:AG865),$AG$2:$AG$1001,0),MATCH(COLUMNS($AN$1006:BJ1006),$AN$1006:$BO$1006,0)), HYPERLINK("#",""), HYPERLINK(CONCATENATE("#Metadata!", ADDRESS(INDEX($AI$2:$AI$1001,MATCH(ROWS($AG$2:AG865),$AG$2:$AG$1001,0),0), INDEX($AN$1004:$BO$1004,1,MATCH(COLUMNS($AN$1006:BJ1006),$AN$1006:$BO$1006,0)))),"Fix")))</f>
        <v>0</v>
      </c>
      <c r="Y865" s="4">
        <f>IF(OR(INDEX($AH$2:$AH$1001,MATCH(ROWS($AG$2:AG865),$AG$2:$AG$1001,0),1)&gt;=100000,INDEX($AN$1005:$BO$1005,1,MATCH(COLUMNS($AN$1006:BK1006),$AN$1006:$BO$1006,0))&gt;=100000), " ",IF(INDEX($AN$2:$BO$1001,MATCH(ROWS($AG$2:AG865),$AG$2:$AG$1001,0),MATCH(COLUMNS($AN$1006:BK1006),$AN$1006:$BO$1006,0)), HYPERLINK("#",""), HYPERLINK(CONCATENATE("#Metadata!", ADDRESS(INDEX($AI$2:$AI$1001,MATCH(ROWS($AG$2:AG865),$AG$2:$AG$1001,0),0), INDEX($AN$1004:$BO$1004,1,MATCH(COLUMNS($AN$1006:BK1006),$AN$1006:$BO$1006,0)))),"Fix")))</f>
        <v>0</v>
      </c>
      <c r="Z865" s="4">
        <f>IF(OR(INDEX($AH$2:$AH$1001,MATCH(ROWS($AG$2:AG865),$AG$2:$AG$1001,0),1)&gt;=100000,INDEX($AN$1005:$BO$1005,1,MATCH(COLUMNS($AN$1006:BL1006),$AN$1006:$BO$1006,0))&gt;=100000), " ",IF(INDEX($AN$2:$BO$1001,MATCH(ROWS($AG$2:AG865),$AG$2:$AG$1001,0),MATCH(COLUMNS($AN$1006:BL1006),$AN$1006:$BO$1006,0)), HYPERLINK("#",""), HYPERLINK(CONCATENATE("#Metadata!", ADDRESS(INDEX($AI$2:$AI$1001,MATCH(ROWS($AG$2:AG865),$AG$2:$AG$1001,0),0), INDEX($AN$1004:$BO$1004,1,MATCH(COLUMNS($AN$1006:BL1006),$AN$1006:$BO$1006,0)))),"Fix")))</f>
        <v>0</v>
      </c>
      <c r="AA865" s="4">
        <f>IF(OR(INDEX($AH$2:$AH$1001,MATCH(ROWS($AG$2:AG865),$AG$2:$AG$1001,0),1)&gt;=100000,INDEX($AN$1005:$BO$1005,1,MATCH(COLUMNS($AN$1006:BM1006),$AN$1006:$BO$1006,0))&gt;=100000), " ",IF(INDEX($AN$2:$BO$1001,MATCH(ROWS($AG$2:AG865),$AG$2:$AG$1001,0),MATCH(COLUMNS($AN$1006:BM1006),$AN$1006:$BO$1006,0)), HYPERLINK("#",""), HYPERLINK(CONCATENATE("#Metadata!", ADDRESS(INDEX($AI$2:$AI$1001,MATCH(ROWS($AG$2:AG865),$AG$2:$AG$1001,0),0), INDEX($AN$1004:$BO$1004,1,MATCH(COLUMNS($AN$1006:BM1006),$AN$1006:$BO$1006,0)))),"Fix")))</f>
        <v>0</v>
      </c>
      <c r="AB865" s="4">
        <f>IF(OR(INDEX($AH$2:$AH$1001,MATCH(ROWS($AG$2:AG865),$AG$2:$AG$1001,0),1)&gt;=100000,INDEX($AN$1005:$BO$1005,1,MATCH(COLUMNS($AN$1006:BN1006),$AN$1006:$BO$1006,0))&gt;=100000), " ",IF(INDEX($AN$2:$BO$1001,MATCH(ROWS($AG$2:AG865),$AG$2:$AG$1001,0),MATCH(COLUMNS($AN$1006:BN1006),$AN$1006:$BO$1006,0)), HYPERLINK("#",""), HYPERLINK(CONCATENATE("#Metadata!", ADDRESS(INDEX($AI$2:$AI$1001,MATCH(ROWS($AG$2:AG865),$AG$2:$AG$1001,0),0), INDEX($AN$1004:$BO$1004,1,MATCH(COLUMNS($AN$1006:BN1006),$AN$1006:$BO$1006,0)))),"Fix")))</f>
        <v>0</v>
      </c>
      <c r="AC865" s="4">
        <f>IF(OR(INDEX($AH$2:$AH$1001,MATCH(ROWS($AG$2:AG865),$AG$2:$AG$1001,0),1)&gt;=100000,INDEX($AN$1005:$BO$1005,1,MATCH(COLUMNS($AN$1006:BO1006),$AN$1006:$BO$1006,0))&gt;=100000), " ",IF(INDEX($AN$2:$BO$1001,MATCH(ROWS($AG$2:AG865),$AG$2:$AG$1001,0),MATCH(COLUMNS($AN$1006:BO1006),$AN$1006:$BO$1006,0)), HYPERLINK("#",""), HYPERLINK(CONCATENATE("#Metadata!", ADDRESS(INDEX($AI$2:$AI$1001,MATCH(ROWS($AG$2:AG865),$AG$2:$AG$1001,0),0), INDEX($AN$1004:$BO$1004,1,MATCH(COLUMNS($AN$1006:BO1006),$AN$1006:$BO$1006,0)))),"Fix")))</f>
        <v>0</v>
      </c>
      <c r="AG865">
        <v>0</v>
      </c>
      <c r="AH865">
        <v>0</v>
      </c>
      <c r="AI865">
        <v>0</v>
      </c>
      <c r="AJ865">
        <f>IF(AK865,TRUE,AND(AN865:BO865))</f>
        <v>0</v>
      </c>
      <c r="AK865">
        <f>COUNTBLANK(Metadata!B865:AC865)=COLUMNS(Metadata!B865:AC865)</f>
        <v>0</v>
      </c>
      <c r="AL865">
        <v>0</v>
      </c>
      <c r="AN865">
        <f>AND(IF(Metadata!B865="",FALSE,TRUE),COUNTIF(Metadata!B:B, Metadata!B865) = 1,NOT(ISERROR(SUMPRODUCT(SEARCH(MID(Metadata!B865,ROW(INDIRECT("1:"&amp;LEN(Metadata!B865))), 1),"0123456789abcdefghijklmnopqrstuvwxyzABCDEFGHIJKLMNOPQRSTUVWXYZ.")))))</f>
        <v>0</v>
      </c>
      <c r="AO865">
        <f>IF(Metadata!C865="",FALSE,TRUE)</f>
        <v>0</v>
      </c>
      <c r="AP865">
        <f>IF(Metadata!D865="",FALSE,TRUE)</f>
        <v>0</v>
      </c>
      <c r="AQ865">
        <f>OR(AND(IF(Metadata!E865="",FALSE,TRUE),OR(exact(Metadata!E865,"not collected"),exact(Metadata!E865,"not provided"),exact(Metadata!E865,"restricted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R865">
        <f>IF(Metadata!F865="",FALSE,TRUE)</f>
        <v>0</v>
      </c>
      <c r="AS865">
        <f>OR(AND(IF(Metadata!G865="",FALSE,TRUE),OR(exact(Metadata!G865,"not collected"),exact(Metadata!G865,"not provided"))),AND(IF(Metadata!G865="",FALSE,TRUE),OR(exact(Metadata!G865,"TRUE"),exact(Metadata!G865,"FALSE"))))</f>
        <v>0</v>
      </c>
      <c r="AT865">
        <f>OR(AND(IF(Metadata!H865="",FALSE,TRUE),OR(exact(Metadata!H865,"not collected"),exact(Metadata!H865,"not provided"),exact(Metadata!H865,"restricted access"))),AND(IF(Metadata!H865="",FALSE,ISNUMBER(VALUE(Metadata!H865))),Metadata!H865&gt;=-413.0))</f>
        <v>0</v>
      </c>
      <c r="AU865">
        <f>AND(IF(Metadata!I865="",FALSE,TRUE),exact(Metadata!I865,"meters"))</f>
        <v>0</v>
      </c>
      <c r="AV865">
        <f>AND(IF(Metadata!J865="",FALSE,TRUE),OR(exact(Metadata!J865,"Host-associated"),exact(Metadata!J865,"Free-living")))</f>
        <v>0</v>
      </c>
      <c r="AW865">
        <f>AND(IF(Metadata!K865="",FALSE,TRUE),OR(exact(Metadata!K865,"Animal"),exact(Metadata!K865,"Fungus"),exact(Metadata!K865,"Plant"),exact(Metadata!K865,"Saline"),exact(Metadata!K865,"Non-saline")))</f>
        <v>0</v>
      </c>
      <c r="AX865">
        <f>AND(IF(Metadata!L865="",FALSE,TRUE),OR(exact(Metadata!L865,"Plant secretion"),exact(Metadata!L865,"Plant rhizosphere"),exact(Metadata!L865,"Plant surface"),exact(Metadata!L865,"Plant corpus"),exact(Metadata!L865,"Fungus surface"),exact(Metadata!L865,"Fungus corpus"),exact(Metadata!L865,"Animal surface"),exact(Metadata!L865,"Animal proximal gut"),exact(Metadata!L865,"Animal corpus"),exact(Metadata!L865,"Animal distal gut"),exact(Metadata!L865,"Animal secretion"),exact(Metadata!L865,"Sub-surface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Y865">
        <f>IF(Metadata!M865="",FALSE,TRUE)</f>
        <v>0</v>
      </c>
      <c r="AZ865">
        <f>IF(Metadata!N865="",FALSE,TRUE)</f>
        <v>0</v>
      </c>
      <c r="BA865">
        <f>IF(Metadata!O865="",FALSE,TRUE)</f>
        <v>0</v>
      </c>
      <c r="BB865">
        <f>OR(AND(IF(Metadata!P865="",FALSE,TRUE),OR(exact(Metadata!P865,"not collected"),exact(Metadata!P865,"not provided"),exact(Metadata!P865,"restricted access"))),AND(IF(Metadata!P865="",FALSE,TRUE),OR(exact(Metadata!P865,"air"),exact(Metadata!P865,"built environment"),exact(Metadata!P865,"host-associated"),exact(Metadata!P865,"human-associated"),exact(Metadata!P865,"human-skin"),exact(Metadata!P865,"human-oral"),exact(Metadata!P865,"human-gut"),exact(Metadata!P865,"human-vaginal"),exact(Metadata!P865,"microbial mat/biofilm"),exact(Metadata!P865,"misc environment"),exact(Metadata!P865,"plant-associated"),exact(Metadata!P865,"sediment"),exact(Metadata!P865,"soil"),exact(Metadata!P865,"wastewater/sludge"),exact(Metadata!P865,"water"))))</f>
        <v>0</v>
      </c>
      <c r="BC865">
        <f>IF(Metadata!Q865="",FALSE,TRUE)</f>
        <v>0</v>
      </c>
      <c r="BD865">
        <f>IF(Metadata!R865="",FALSE,TRUE)</f>
        <v>0</v>
      </c>
      <c r="BE865">
        <f>OR(AND(IF(Metadata!S865="",FALSE,TRUE),OR(exact(Metadata!S865,"not collected"),exact(Metadata!S865,"not provided"),exact(Metadata!S865,"restricted access"))),AND(IF(Metadata!S865="",FALSE,ISNUMBER(VALUE(Metadata!S865))),Metadata!S865&gt;=-90.00,Metadata!S865&lt;=90.00))</f>
        <v>0</v>
      </c>
      <c r="BF865">
        <f>AND(IF(Metadata!T865="",FALSE,TRUE),exact(Metadata!T865,"Decimal degrees"))</f>
        <v>0</v>
      </c>
      <c r="BG865">
        <f>OR(AND(IF(Metadata!U865="",FALSE,TRUE),OR(exact(Metadata!U865,"not collected"),exact(Metadata!U865,"not provided"),exact(Metadata!U865,"restricted access"))),AND(IF(Metadata!U865="",FALSE,ISNUMBER(VALUE(Metadata!U865))),Metadata!U865&gt;=-180.00,Metadata!U865&lt;=180.00))</f>
        <v>0</v>
      </c>
      <c r="BH865">
        <f>AND(IF(Metadata!V865="",FALSE,TRUE),exact(Metadata!V865,"Decimal degrees"))</f>
        <v>0</v>
      </c>
      <c r="BI865">
        <f>IF(Metadata!W865="",FALSE,TRUE)</f>
        <v>0</v>
      </c>
      <c r="BJ865">
        <f>OR(AND(IF(Metadata!X865="",FALSE,TRUE),OR(exact(Metadata!X865,"not collected"),exact(Metadata!X865,"not provided"),exact(Metadata!X865,"restricted access"))),AND(IF(Metadata!X865="",FALSE,TRUE),OR(exact(Metadata!X865,"TRUE"),exact(Metadata!X865,"FALSE"))))</f>
        <v>0</v>
      </c>
      <c r="BK865">
        <f>AND(IF(Metadata!Y865="",FALSE,TRUE),exact(Metadata!Y865,"other"))</f>
        <v>0</v>
      </c>
      <c r="BL865">
        <f>IF(Metadata!Z865="",FALSE,TRUE)</f>
        <v>0</v>
      </c>
      <c r="BM865">
        <f>OR(AND(IF(Metadata!AA865="",FALSE,TRUE),OR(exact(Metadata!AA865,"not collected"),exact(Metadata!AA865,"not provided"))),AND(IF(Metadata!AA865="",FALSE,IF(ISERROR(INT(Metadata!AA865)),FALSE,INT(Metadata!AA865)=Metadata!AA865)),Metadata!AA865&gt;0))</f>
        <v>0</v>
      </c>
      <c r="BN865">
        <f>AND(IF(Metadata!AB865="",FALSE,TRUE),exact(Metadata!AB865,"Not applicable"))</f>
        <v>0</v>
      </c>
      <c r="BO865">
        <f>IF(Metadata!AC865="",FALSE,TRUE)</f>
        <v>0</v>
      </c>
    </row>
    <row r="866" spans="1:67">
      <c r="A866" s="5">
        <f>IF(B866=" "," ",HYPERLINK(CONCATENATE("#metadata!",ADDRESS(INDEX($AI$2:$AI$1001,MATCH(ROWS($AG$2:AG866),$AG$2:$AG$1001,0),0),1)),INDEX($AL$2:$AL$1001,MATCH(ROWS($AG$2:AG866),$AG$2:$AG$1001,0),0)))</f>
        <v>0</v>
      </c>
      <c r="B866" s="4">
        <f>IF(OR(INDEX($AH$2:$AH$1001,MATCH(ROWS($AG$2:AG866),$AG$2:$AG$1001,0),1)&gt;=100000,INDEX($AN$1005:$BO$1005,1,MATCH(COLUMNS($AN$1006:AN1006),$AN$1006:$BO$1006,0))&gt;=100000), " ",IF(INDEX($AN$2:$BO$1001,MATCH(ROWS($AG$2:AG866),$AG$2:$AG$1001,0),MATCH(COLUMNS($AN$1006:AN1006),$AN$1006:$BO$1006,0)), HYPERLINK("#",""), HYPERLINK(CONCATENATE("#Metadata!", ADDRESS(INDEX($AI$2:$AI$1001,MATCH(ROWS($AG$2:AG866),$AG$2:$AG$1001,0),0), INDEX($AN$1004:$BO$1004,1,MATCH(COLUMNS($AN$1006:AN1006),$AN$1006:$BO$1006,0)))),"Fix")))</f>
        <v>0</v>
      </c>
      <c r="C866" s="4">
        <f>IF(OR(INDEX($AH$2:$AH$1001,MATCH(ROWS($AG$2:AG866),$AG$2:$AG$1001,0),1)&gt;=100000,INDEX($AN$1005:$BO$1005,1,MATCH(COLUMNS($AN$1006:AO1006),$AN$1006:$BO$1006,0))&gt;=100000), " ",IF(INDEX($AN$2:$BO$1001,MATCH(ROWS($AG$2:AG866),$AG$2:$AG$1001,0),MATCH(COLUMNS($AN$1006:AO1006),$AN$1006:$BO$1006,0)), HYPERLINK("#",""), HYPERLINK(CONCATENATE("#Metadata!", ADDRESS(INDEX($AI$2:$AI$1001,MATCH(ROWS($AG$2:AG866),$AG$2:$AG$1001,0),0), INDEX($AN$1004:$BO$1004,1,MATCH(COLUMNS($AN$1006:AO1006),$AN$1006:$BO$1006,0)))),"Fix")))</f>
        <v>0</v>
      </c>
      <c r="D866" s="4">
        <f>IF(OR(INDEX($AH$2:$AH$1001,MATCH(ROWS($AG$2:AG866),$AG$2:$AG$1001,0),1)&gt;=100000,INDEX($AN$1005:$BO$1005,1,MATCH(COLUMNS($AN$1006:AP1006),$AN$1006:$BO$1006,0))&gt;=100000), " ",IF(INDEX($AN$2:$BO$1001,MATCH(ROWS($AG$2:AG866),$AG$2:$AG$1001,0),MATCH(COLUMNS($AN$1006:AP1006),$AN$1006:$BO$1006,0)), HYPERLINK("#",""), HYPERLINK(CONCATENATE("#Metadata!", ADDRESS(INDEX($AI$2:$AI$1001,MATCH(ROWS($AG$2:AG866),$AG$2:$AG$1001,0),0), INDEX($AN$1004:$BO$1004,1,MATCH(COLUMNS($AN$1006:AP1006),$AN$1006:$BO$1006,0)))),"Fix")))</f>
        <v>0</v>
      </c>
      <c r="E866" s="4">
        <f>IF(OR(INDEX($AH$2:$AH$1001,MATCH(ROWS($AG$2:AG866),$AG$2:$AG$1001,0),1)&gt;=100000,INDEX($AN$1005:$BO$1005,1,MATCH(COLUMNS($AN$1006:AQ1006),$AN$1006:$BO$1006,0))&gt;=100000), " ",IF(INDEX($AN$2:$BO$1001,MATCH(ROWS($AG$2:AG866),$AG$2:$AG$1001,0),MATCH(COLUMNS($AN$1006:AQ1006),$AN$1006:$BO$1006,0)), HYPERLINK("#",""), HYPERLINK(CONCATENATE("#Metadata!", ADDRESS(INDEX($AI$2:$AI$1001,MATCH(ROWS($AG$2:AG866),$AG$2:$AG$1001,0),0), INDEX($AN$1004:$BO$1004,1,MATCH(COLUMNS($AN$1006:AQ1006),$AN$1006:$BO$1006,0)))),"Fix")))</f>
        <v>0</v>
      </c>
      <c r="F866" s="4">
        <f>IF(OR(INDEX($AH$2:$AH$1001,MATCH(ROWS($AG$2:AG866),$AG$2:$AG$1001,0),1)&gt;=100000,INDEX($AN$1005:$BO$1005,1,MATCH(COLUMNS($AN$1006:AR1006),$AN$1006:$BO$1006,0))&gt;=100000), " ",IF(INDEX($AN$2:$BO$1001,MATCH(ROWS($AG$2:AG866),$AG$2:$AG$1001,0),MATCH(COLUMNS($AN$1006:AR1006),$AN$1006:$BO$1006,0)), HYPERLINK("#",""), HYPERLINK(CONCATENATE("#Metadata!", ADDRESS(INDEX($AI$2:$AI$1001,MATCH(ROWS($AG$2:AG866),$AG$2:$AG$1001,0),0), INDEX($AN$1004:$BO$1004,1,MATCH(COLUMNS($AN$1006:AR1006),$AN$1006:$BO$1006,0)))),"Fix")))</f>
        <v>0</v>
      </c>
      <c r="G866" s="4">
        <f>IF(OR(INDEX($AH$2:$AH$1001,MATCH(ROWS($AG$2:AG866),$AG$2:$AG$1001,0),1)&gt;=100000,INDEX($AN$1005:$BO$1005,1,MATCH(COLUMNS($AN$1006:AS1006),$AN$1006:$BO$1006,0))&gt;=100000), " ",IF(INDEX($AN$2:$BO$1001,MATCH(ROWS($AG$2:AG866),$AG$2:$AG$1001,0),MATCH(COLUMNS($AN$1006:AS1006),$AN$1006:$BO$1006,0)), HYPERLINK("#",""), HYPERLINK(CONCATENATE("#Metadata!", ADDRESS(INDEX($AI$2:$AI$1001,MATCH(ROWS($AG$2:AG866),$AG$2:$AG$1001,0),0), INDEX($AN$1004:$BO$1004,1,MATCH(COLUMNS($AN$1006:AS1006),$AN$1006:$BO$1006,0)))),"Fix")))</f>
        <v>0</v>
      </c>
      <c r="H866" s="4">
        <f>IF(OR(INDEX($AH$2:$AH$1001,MATCH(ROWS($AG$2:AG866),$AG$2:$AG$1001,0),1)&gt;=100000,INDEX($AN$1005:$BO$1005,1,MATCH(COLUMNS($AN$1006:AT1006),$AN$1006:$BO$1006,0))&gt;=100000), " ",IF(INDEX($AN$2:$BO$1001,MATCH(ROWS($AG$2:AG866),$AG$2:$AG$1001,0),MATCH(COLUMNS($AN$1006:AT1006),$AN$1006:$BO$1006,0)), HYPERLINK("#",""), HYPERLINK(CONCATENATE("#Metadata!", ADDRESS(INDEX($AI$2:$AI$1001,MATCH(ROWS($AG$2:AG866),$AG$2:$AG$1001,0),0), INDEX($AN$1004:$BO$1004,1,MATCH(COLUMNS($AN$1006:AT1006),$AN$1006:$BO$1006,0)))),"Fix")))</f>
        <v>0</v>
      </c>
      <c r="I866" s="4">
        <f>IF(OR(INDEX($AH$2:$AH$1001,MATCH(ROWS($AG$2:AG866),$AG$2:$AG$1001,0),1)&gt;=100000,INDEX($AN$1005:$BO$1005,1,MATCH(COLUMNS($AN$1006:AU1006),$AN$1006:$BO$1006,0))&gt;=100000), " ",IF(INDEX($AN$2:$BO$1001,MATCH(ROWS($AG$2:AG866),$AG$2:$AG$1001,0),MATCH(COLUMNS($AN$1006:AU1006),$AN$1006:$BO$1006,0)), HYPERLINK("#",""), HYPERLINK(CONCATENATE("#Metadata!", ADDRESS(INDEX($AI$2:$AI$1001,MATCH(ROWS($AG$2:AG866),$AG$2:$AG$1001,0),0), INDEX($AN$1004:$BO$1004,1,MATCH(COLUMNS($AN$1006:AU1006),$AN$1006:$BO$1006,0)))),"Fix")))</f>
        <v>0</v>
      </c>
      <c r="J866" s="4">
        <f>IF(OR(INDEX($AH$2:$AH$1001,MATCH(ROWS($AG$2:AG866),$AG$2:$AG$1001,0),1)&gt;=100000,INDEX($AN$1005:$BO$1005,1,MATCH(COLUMNS($AN$1006:AV1006),$AN$1006:$BO$1006,0))&gt;=100000), " ",IF(INDEX($AN$2:$BO$1001,MATCH(ROWS($AG$2:AG866),$AG$2:$AG$1001,0),MATCH(COLUMNS($AN$1006:AV1006),$AN$1006:$BO$1006,0)), HYPERLINK("#",""), HYPERLINK(CONCATENATE("#Metadata!", ADDRESS(INDEX($AI$2:$AI$1001,MATCH(ROWS($AG$2:AG866),$AG$2:$AG$1001,0),0), INDEX($AN$1004:$BO$1004,1,MATCH(COLUMNS($AN$1006:AV1006),$AN$1006:$BO$1006,0)))),"Fix")))</f>
        <v>0</v>
      </c>
      <c r="K866" s="4">
        <f>IF(OR(INDEX($AH$2:$AH$1001,MATCH(ROWS($AG$2:AG866),$AG$2:$AG$1001,0),1)&gt;=100000,INDEX($AN$1005:$BO$1005,1,MATCH(COLUMNS($AN$1006:AW1006),$AN$1006:$BO$1006,0))&gt;=100000), " ",IF(INDEX($AN$2:$BO$1001,MATCH(ROWS($AG$2:AG866),$AG$2:$AG$1001,0),MATCH(COLUMNS($AN$1006:AW1006),$AN$1006:$BO$1006,0)), HYPERLINK("#",""), HYPERLINK(CONCATENATE("#Metadata!", ADDRESS(INDEX($AI$2:$AI$1001,MATCH(ROWS($AG$2:AG866),$AG$2:$AG$1001,0),0), INDEX($AN$1004:$BO$1004,1,MATCH(COLUMNS($AN$1006:AW1006),$AN$1006:$BO$1006,0)))),"Fix")))</f>
        <v>0</v>
      </c>
      <c r="L866" s="4">
        <f>IF(OR(INDEX($AH$2:$AH$1001,MATCH(ROWS($AG$2:AG866),$AG$2:$AG$1001,0),1)&gt;=100000,INDEX($AN$1005:$BO$1005,1,MATCH(COLUMNS($AN$1006:AX1006),$AN$1006:$BO$1006,0))&gt;=100000), " ",IF(INDEX($AN$2:$BO$1001,MATCH(ROWS($AG$2:AG866),$AG$2:$AG$1001,0),MATCH(COLUMNS($AN$1006:AX1006),$AN$1006:$BO$1006,0)), HYPERLINK("#",""), HYPERLINK(CONCATENATE("#Metadata!", ADDRESS(INDEX($AI$2:$AI$1001,MATCH(ROWS($AG$2:AG866),$AG$2:$AG$1001,0),0), INDEX($AN$1004:$BO$1004,1,MATCH(COLUMNS($AN$1006:AX1006),$AN$1006:$BO$1006,0)))),"Fix")))</f>
        <v>0</v>
      </c>
      <c r="M866" s="4">
        <f>IF(OR(INDEX($AH$2:$AH$1001,MATCH(ROWS($AG$2:AG866),$AG$2:$AG$1001,0),1)&gt;=100000,INDEX($AN$1005:$BO$1005,1,MATCH(COLUMNS($AN$1006:AY1006),$AN$1006:$BO$1006,0))&gt;=100000), " ",IF(INDEX($AN$2:$BO$1001,MATCH(ROWS($AG$2:AG866),$AG$2:$AG$1001,0),MATCH(COLUMNS($AN$1006:AY1006),$AN$1006:$BO$1006,0)), HYPERLINK("#",""), HYPERLINK(CONCATENATE("#Metadata!", ADDRESS(INDEX($AI$2:$AI$1001,MATCH(ROWS($AG$2:AG866),$AG$2:$AG$1001,0),0), INDEX($AN$1004:$BO$1004,1,MATCH(COLUMNS($AN$1006:AY1006),$AN$1006:$BO$1006,0)))),"Fix")))</f>
        <v>0</v>
      </c>
      <c r="N866" s="4">
        <f>IF(OR(INDEX($AH$2:$AH$1001,MATCH(ROWS($AG$2:AG866),$AG$2:$AG$1001,0),1)&gt;=100000,INDEX($AN$1005:$BO$1005,1,MATCH(COLUMNS($AN$1006:AZ1006),$AN$1006:$BO$1006,0))&gt;=100000), " ",IF(INDEX($AN$2:$BO$1001,MATCH(ROWS($AG$2:AG866),$AG$2:$AG$1001,0),MATCH(COLUMNS($AN$1006:AZ1006),$AN$1006:$BO$1006,0)), HYPERLINK("#",""), HYPERLINK(CONCATENATE("#Metadata!", ADDRESS(INDEX($AI$2:$AI$1001,MATCH(ROWS($AG$2:AG866),$AG$2:$AG$1001,0),0), INDEX($AN$1004:$BO$1004,1,MATCH(COLUMNS($AN$1006:AZ1006),$AN$1006:$BO$1006,0)))),"Fix")))</f>
        <v>0</v>
      </c>
      <c r="O866" s="4">
        <f>IF(OR(INDEX($AH$2:$AH$1001,MATCH(ROWS($AG$2:AG866),$AG$2:$AG$1001,0),1)&gt;=100000,INDEX($AN$1005:$BO$1005,1,MATCH(COLUMNS($AN$1006:BA1006),$AN$1006:$BO$1006,0))&gt;=100000), " ",IF(INDEX($AN$2:$BO$1001,MATCH(ROWS($AG$2:AG866),$AG$2:$AG$1001,0),MATCH(COLUMNS($AN$1006:BA1006),$AN$1006:$BO$1006,0)), HYPERLINK("#",""), HYPERLINK(CONCATENATE("#Metadata!", ADDRESS(INDEX($AI$2:$AI$1001,MATCH(ROWS($AG$2:AG866),$AG$2:$AG$1001,0),0), INDEX($AN$1004:$BO$1004,1,MATCH(COLUMNS($AN$1006:BA1006),$AN$1006:$BO$1006,0)))),"Fix")))</f>
        <v>0</v>
      </c>
      <c r="P866" s="4">
        <f>IF(OR(INDEX($AH$2:$AH$1001,MATCH(ROWS($AG$2:AG866),$AG$2:$AG$1001,0),1)&gt;=100000,INDEX($AN$1005:$BO$1005,1,MATCH(COLUMNS($AN$1006:BB1006),$AN$1006:$BO$1006,0))&gt;=100000), " ",IF(INDEX($AN$2:$BO$1001,MATCH(ROWS($AG$2:AG866),$AG$2:$AG$1001,0),MATCH(COLUMNS($AN$1006:BB1006),$AN$1006:$BO$1006,0)), HYPERLINK("#",""), HYPERLINK(CONCATENATE("#Metadata!", ADDRESS(INDEX($AI$2:$AI$1001,MATCH(ROWS($AG$2:AG866),$AG$2:$AG$1001,0),0), INDEX($AN$1004:$BO$1004,1,MATCH(COLUMNS($AN$1006:BB1006),$AN$1006:$BO$1006,0)))),"Fix")))</f>
        <v>0</v>
      </c>
      <c r="Q866" s="4">
        <f>IF(OR(INDEX($AH$2:$AH$1001,MATCH(ROWS($AG$2:AG866),$AG$2:$AG$1001,0),1)&gt;=100000,INDEX($AN$1005:$BO$1005,1,MATCH(COLUMNS($AN$1006:BC1006),$AN$1006:$BO$1006,0))&gt;=100000), " ",IF(INDEX($AN$2:$BO$1001,MATCH(ROWS($AG$2:AG866),$AG$2:$AG$1001,0),MATCH(COLUMNS($AN$1006:BC1006),$AN$1006:$BO$1006,0)), HYPERLINK("#",""), HYPERLINK(CONCATENATE("#Metadata!", ADDRESS(INDEX($AI$2:$AI$1001,MATCH(ROWS($AG$2:AG866),$AG$2:$AG$1001,0),0), INDEX($AN$1004:$BO$1004,1,MATCH(COLUMNS($AN$1006:BC1006),$AN$1006:$BO$1006,0)))),"Fix")))</f>
        <v>0</v>
      </c>
      <c r="R866" s="4">
        <f>IF(OR(INDEX($AH$2:$AH$1001,MATCH(ROWS($AG$2:AG866),$AG$2:$AG$1001,0),1)&gt;=100000,INDEX($AN$1005:$BO$1005,1,MATCH(COLUMNS($AN$1006:BD1006),$AN$1006:$BO$1006,0))&gt;=100000), " ",IF(INDEX($AN$2:$BO$1001,MATCH(ROWS($AG$2:AG866),$AG$2:$AG$1001,0),MATCH(COLUMNS($AN$1006:BD1006),$AN$1006:$BO$1006,0)), HYPERLINK("#",""), HYPERLINK(CONCATENATE("#Metadata!", ADDRESS(INDEX($AI$2:$AI$1001,MATCH(ROWS($AG$2:AG866),$AG$2:$AG$1001,0),0), INDEX($AN$1004:$BO$1004,1,MATCH(COLUMNS($AN$1006:BD1006),$AN$1006:$BO$1006,0)))),"Fix")))</f>
        <v>0</v>
      </c>
      <c r="S866" s="4">
        <f>IF(OR(INDEX($AH$2:$AH$1001,MATCH(ROWS($AG$2:AG866),$AG$2:$AG$1001,0),1)&gt;=100000,INDEX($AN$1005:$BO$1005,1,MATCH(COLUMNS($AN$1006:BE1006),$AN$1006:$BO$1006,0))&gt;=100000), " ",IF(INDEX($AN$2:$BO$1001,MATCH(ROWS($AG$2:AG866),$AG$2:$AG$1001,0),MATCH(COLUMNS($AN$1006:BE1006),$AN$1006:$BO$1006,0)), HYPERLINK("#",""), HYPERLINK(CONCATENATE("#Metadata!", ADDRESS(INDEX($AI$2:$AI$1001,MATCH(ROWS($AG$2:AG866),$AG$2:$AG$1001,0),0), INDEX($AN$1004:$BO$1004,1,MATCH(COLUMNS($AN$1006:BE1006),$AN$1006:$BO$1006,0)))),"Fix")))</f>
        <v>0</v>
      </c>
      <c r="T866" s="4">
        <f>IF(OR(INDEX($AH$2:$AH$1001,MATCH(ROWS($AG$2:AG866),$AG$2:$AG$1001,0),1)&gt;=100000,INDEX($AN$1005:$BO$1005,1,MATCH(COLUMNS($AN$1006:BF1006),$AN$1006:$BO$1006,0))&gt;=100000), " ",IF(INDEX($AN$2:$BO$1001,MATCH(ROWS($AG$2:AG866),$AG$2:$AG$1001,0),MATCH(COLUMNS($AN$1006:BF1006),$AN$1006:$BO$1006,0)), HYPERLINK("#",""), HYPERLINK(CONCATENATE("#Metadata!", ADDRESS(INDEX($AI$2:$AI$1001,MATCH(ROWS($AG$2:AG866),$AG$2:$AG$1001,0),0), INDEX($AN$1004:$BO$1004,1,MATCH(COLUMNS($AN$1006:BF1006),$AN$1006:$BO$1006,0)))),"Fix")))</f>
        <v>0</v>
      </c>
      <c r="U866" s="4">
        <f>IF(OR(INDEX($AH$2:$AH$1001,MATCH(ROWS($AG$2:AG866),$AG$2:$AG$1001,0),1)&gt;=100000,INDEX($AN$1005:$BO$1005,1,MATCH(COLUMNS($AN$1006:BG1006),$AN$1006:$BO$1006,0))&gt;=100000), " ",IF(INDEX($AN$2:$BO$1001,MATCH(ROWS($AG$2:AG866),$AG$2:$AG$1001,0),MATCH(COLUMNS($AN$1006:BG1006),$AN$1006:$BO$1006,0)), HYPERLINK("#",""), HYPERLINK(CONCATENATE("#Metadata!", ADDRESS(INDEX($AI$2:$AI$1001,MATCH(ROWS($AG$2:AG866),$AG$2:$AG$1001,0),0), INDEX($AN$1004:$BO$1004,1,MATCH(COLUMNS($AN$1006:BG1006),$AN$1006:$BO$1006,0)))),"Fix")))</f>
        <v>0</v>
      </c>
      <c r="V866" s="4">
        <f>IF(OR(INDEX($AH$2:$AH$1001,MATCH(ROWS($AG$2:AG866),$AG$2:$AG$1001,0),1)&gt;=100000,INDEX($AN$1005:$BO$1005,1,MATCH(COLUMNS($AN$1006:BH1006),$AN$1006:$BO$1006,0))&gt;=100000), " ",IF(INDEX($AN$2:$BO$1001,MATCH(ROWS($AG$2:AG866),$AG$2:$AG$1001,0),MATCH(COLUMNS($AN$1006:BH1006),$AN$1006:$BO$1006,0)), HYPERLINK("#",""), HYPERLINK(CONCATENATE("#Metadata!", ADDRESS(INDEX($AI$2:$AI$1001,MATCH(ROWS($AG$2:AG866),$AG$2:$AG$1001,0),0), INDEX($AN$1004:$BO$1004,1,MATCH(COLUMNS($AN$1006:BH1006),$AN$1006:$BO$1006,0)))),"Fix")))</f>
        <v>0</v>
      </c>
      <c r="W866" s="4">
        <f>IF(OR(INDEX($AH$2:$AH$1001,MATCH(ROWS($AG$2:AG866),$AG$2:$AG$1001,0),1)&gt;=100000,INDEX($AN$1005:$BO$1005,1,MATCH(COLUMNS($AN$1006:BI1006),$AN$1006:$BO$1006,0))&gt;=100000), " ",IF(INDEX($AN$2:$BO$1001,MATCH(ROWS($AG$2:AG866),$AG$2:$AG$1001,0),MATCH(COLUMNS($AN$1006:BI1006),$AN$1006:$BO$1006,0)), HYPERLINK("#",""), HYPERLINK(CONCATENATE("#Metadata!", ADDRESS(INDEX($AI$2:$AI$1001,MATCH(ROWS($AG$2:AG866),$AG$2:$AG$1001,0),0), INDEX($AN$1004:$BO$1004,1,MATCH(COLUMNS($AN$1006:BI1006),$AN$1006:$BO$1006,0)))),"Fix")))</f>
        <v>0</v>
      </c>
      <c r="X866" s="4">
        <f>IF(OR(INDEX($AH$2:$AH$1001,MATCH(ROWS($AG$2:AG866),$AG$2:$AG$1001,0),1)&gt;=100000,INDEX($AN$1005:$BO$1005,1,MATCH(COLUMNS($AN$1006:BJ1006),$AN$1006:$BO$1006,0))&gt;=100000), " ",IF(INDEX($AN$2:$BO$1001,MATCH(ROWS($AG$2:AG866),$AG$2:$AG$1001,0),MATCH(COLUMNS($AN$1006:BJ1006),$AN$1006:$BO$1006,0)), HYPERLINK("#",""), HYPERLINK(CONCATENATE("#Metadata!", ADDRESS(INDEX($AI$2:$AI$1001,MATCH(ROWS($AG$2:AG866),$AG$2:$AG$1001,0),0), INDEX($AN$1004:$BO$1004,1,MATCH(COLUMNS($AN$1006:BJ1006),$AN$1006:$BO$1006,0)))),"Fix")))</f>
        <v>0</v>
      </c>
      <c r="Y866" s="4">
        <f>IF(OR(INDEX($AH$2:$AH$1001,MATCH(ROWS($AG$2:AG866),$AG$2:$AG$1001,0),1)&gt;=100000,INDEX($AN$1005:$BO$1005,1,MATCH(COLUMNS($AN$1006:BK1006),$AN$1006:$BO$1006,0))&gt;=100000), " ",IF(INDEX($AN$2:$BO$1001,MATCH(ROWS($AG$2:AG866),$AG$2:$AG$1001,0),MATCH(COLUMNS($AN$1006:BK1006),$AN$1006:$BO$1006,0)), HYPERLINK("#",""), HYPERLINK(CONCATENATE("#Metadata!", ADDRESS(INDEX($AI$2:$AI$1001,MATCH(ROWS($AG$2:AG866),$AG$2:$AG$1001,0),0), INDEX($AN$1004:$BO$1004,1,MATCH(COLUMNS($AN$1006:BK1006),$AN$1006:$BO$1006,0)))),"Fix")))</f>
        <v>0</v>
      </c>
      <c r="Z866" s="4">
        <f>IF(OR(INDEX($AH$2:$AH$1001,MATCH(ROWS($AG$2:AG866),$AG$2:$AG$1001,0),1)&gt;=100000,INDEX($AN$1005:$BO$1005,1,MATCH(COLUMNS($AN$1006:BL1006),$AN$1006:$BO$1006,0))&gt;=100000), " ",IF(INDEX($AN$2:$BO$1001,MATCH(ROWS($AG$2:AG866),$AG$2:$AG$1001,0),MATCH(COLUMNS($AN$1006:BL1006),$AN$1006:$BO$1006,0)), HYPERLINK("#",""), HYPERLINK(CONCATENATE("#Metadata!", ADDRESS(INDEX($AI$2:$AI$1001,MATCH(ROWS($AG$2:AG866),$AG$2:$AG$1001,0),0), INDEX($AN$1004:$BO$1004,1,MATCH(COLUMNS($AN$1006:BL1006),$AN$1006:$BO$1006,0)))),"Fix")))</f>
        <v>0</v>
      </c>
      <c r="AA866" s="4">
        <f>IF(OR(INDEX($AH$2:$AH$1001,MATCH(ROWS($AG$2:AG866),$AG$2:$AG$1001,0),1)&gt;=100000,INDEX($AN$1005:$BO$1005,1,MATCH(COLUMNS($AN$1006:BM1006),$AN$1006:$BO$1006,0))&gt;=100000), " ",IF(INDEX($AN$2:$BO$1001,MATCH(ROWS($AG$2:AG866),$AG$2:$AG$1001,0),MATCH(COLUMNS($AN$1006:BM1006),$AN$1006:$BO$1006,0)), HYPERLINK("#",""), HYPERLINK(CONCATENATE("#Metadata!", ADDRESS(INDEX($AI$2:$AI$1001,MATCH(ROWS($AG$2:AG866),$AG$2:$AG$1001,0),0), INDEX($AN$1004:$BO$1004,1,MATCH(COLUMNS($AN$1006:BM1006),$AN$1006:$BO$1006,0)))),"Fix")))</f>
        <v>0</v>
      </c>
      <c r="AB866" s="4">
        <f>IF(OR(INDEX($AH$2:$AH$1001,MATCH(ROWS($AG$2:AG866),$AG$2:$AG$1001,0),1)&gt;=100000,INDEX($AN$1005:$BO$1005,1,MATCH(COLUMNS($AN$1006:BN1006),$AN$1006:$BO$1006,0))&gt;=100000), " ",IF(INDEX($AN$2:$BO$1001,MATCH(ROWS($AG$2:AG866),$AG$2:$AG$1001,0),MATCH(COLUMNS($AN$1006:BN1006),$AN$1006:$BO$1006,0)), HYPERLINK("#",""), HYPERLINK(CONCATENATE("#Metadata!", ADDRESS(INDEX($AI$2:$AI$1001,MATCH(ROWS($AG$2:AG866),$AG$2:$AG$1001,0),0), INDEX($AN$1004:$BO$1004,1,MATCH(COLUMNS($AN$1006:BN1006),$AN$1006:$BO$1006,0)))),"Fix")))</f>
        <v>0</v>
      </c>
      <c r="AC866" s="4">
        <f>IF(OR(INDEX($AH$2:$AH$1001,MATCH(ROWS($AG$2:AG866),$AG$2:$AG$1001,0),1)&gt;=100000,INDEX($AN$1005:$BO$1005,1,MATCH(COLUMNS($AN$1006:BO1006),$AN$1006:$BO$1006,0))&gt;=100000), " ",IF(INDEX($AN$2:$BO$1001,MATCH(ROWS($AG$2:AG866),$AG$2:$AG$1001,0),MATCH(COLUMNS($AN$1006:BO1006),$AN$1006:$BO$1006,0)), HYPERLINK("#",""), HYPERLINK(CONCATENATE("#Metadata!", ADDRESS(INDEX($AI$2:$AI$1001,MATCH(ROWS($AG$2:AG866),$AG$2:$AG$1001,0),0), INDEX($AN$1004:$BO$1004,1,MATCH(COLUMNS($AN$1006:BO1006),$AN$1006:$BO$1006,0)))),"Fix")))</f>
        <v>0</v>
      </c>
      <c r="AG866">
        <v>0</v>
      </c>
      <c r="AH866">
        <v>0</v>
      </c>
      <c r="AI866">
        <v>0</v>
      </c>
      <c r="AJ866">
        <f>IF(AK866,TRUE,AND(AN866:BO866))</f>
        <v>0</v>
      </c>
      <c r="AK866">
        <f>COUNTBLANK(Metadata!B866:AC866)=COLUMNS(Metadata!B866:AC866)</f>
        <v>0</v>
      </c>
      <c r="AL866">
        <v>0</v>
      </c>
      <c r="AN866">
        <f>AND(IF(Metadata!B866="",FALSE,TRUE),COUNTIF(Metadata!B:B, Metadata!B866) = 1,NOT(ISERROR(SUMPRODUCT(SEARCH(MID(Metadata!B866,ROW(INDIRECT("1:"&amp;LEN(Metadata!B866))), 1),"0123456789abcdefghijklmnopqrstuvwxyzABCDEFGHIJKLMNOPQRSTUVWXYZ.")))))</f>
        <v>0</v>
      </c>
      <c r="AO866">
        <f>IF(Metadata!C866="",FALSE,TRUE)</f>
        <v>0</v>
      </c>
      <c r="AP866">
        <f>IF(Metadata!D866="",FALSE,TRUE)</f>
        <v>0</v>
      </c>
      <c r="AQ866">
        <f>OR(AND(IF(Metadata!E866="",FALSE,TRUE),OR(exact(Metadata!E866,"not collected"),exact(Metadata!E866,"not provided"),exact(Metadata!E866,"restricted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R866">
        <f>IF(Metadata!F866="",FALSE,TRUE)</f>
        <v>0</v>
      </c>
      <c r="AS866">
        <f>OR(AND(IF(Metadata!G866="",FALSE,TRUE),OR(exact(Metadata!G866,"not collected"),exact(Metadata!G866,"not provided"))),AND(IF(Metadata!G866="",FALSE,TRUE),OR(exact(Metadata!G866,"TRUE"),exact(Metadata!G866,"FALSE"))))</f>
        <v>0</v>
      </c>
      <c r="AT866">
        <f>OR(AND(IF(Metadata!H866="",FALSE,TRUE),OR(exact(Metadata!H866,"not collected"),exact(Metadata!H866,"not provided"),exact(Metadata!H866,"restricted access"))),AND(IF(Metadata!H866="",FALSE,ISNUMBER(VALUE(Metadata!H866))),Metadata!H866&gt;=-413.0))</f>
        <v>0</v>
      </c>
      <c r="AU866">
        <f>AND(IF(Metadata!I866="",FALSE,TRUE),exact(Metadata!I866,"meters"))</f>
        <v>0</v>
      </c>
      <c r="AV866">
        <f>AND(IF(Metadata!J866="",FALSE,TRUE),OR(exact(Metadata!J866,"Host-associated"),exact(Metadata!J866,"Free-living")))</f>
        <v>0</v>
      </c>
      <c r="AW866">
        <f>AND(IF(Metadata!K866="",FALSE,TRUE),OR(exact(Metadata!K866,"Animal"),exact(Metadata!K866,"Fungus"),exact(Metadata!K866,"Plant"),exact(Metadata!K866,"Saline"),exact(Metadata!K866,"Non-saline")))</f>
        <v>0</v>
      </c>
      <c r="AX866">
        <f>AND(IF(Metadata!L866="",FALSE,TRUE),OR(exact(Metadata!L866,"Plant secretion"),exact(Metadata!L866,"Plant rhizosphere"),exact(Metadata!L866,"Plant surface"),exact(Metadata!L866,"Plant corpus"),exact(Metadata!L866,"Fungus surface"),exact(Metadata!L866,"Fungus corpus"),exact(Metadata!L866,"Animal surface"),exact(Metadata!L866,"Animal proximal gut"),exact(Metadata!L866,"Animal corpus"),exact(Metadata!L866,"Animal distal gut"),exact(Metadata!L866,"Animal secretion"),exact(Metadata!L866,"Sub-surface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Y866">
        <f>IF(Metadata!M866="",FALSE,TRUE)</f>
        <v>0</v>
      </c>
      <c r="AZ866">
        <f>IF(Metadata!N866="",FALSE,TRUE)</f>
        <v>0</v>
      </c>
      <c r="BA866">
        <f>IF(Metadata!O866="",FALSE,TRUE)</f>
        <v>0</v>
      </c>
      <c r="BB866">
        <f>OR(AND(IF(Metadata!P866="",FALSE,TRUE),OR(exact(Metadata!P866,"not collected"),exact(Metadata!P866,"not provided"),exact(Metadata!P866,"restricted access"))),AND(IF(Metadata!P866="",FALSE,TRUE),OR(exact(Metadata!P866,"air"),exact(Metadata!P866,"built environment"),exact(Metadata!P866,"host-associated"),exact(Metadata!P866,"human-associated"),exact(Metadata!P866,"human-skin"),exact(Metadata!P866,"human-oral"),exact(Metadata!P866,"human-gut"),exact(Metadata!P866,"human-vaginal"),exact(Metadata!P866,"microbial mat/biofilm"),exact(Metadata!P866,"misc environment"),exact(Metadata!P866,"plant-associated"),exact(Metadata!P866,"sediment"),exact(Metadata!P866,"soil"),exact(Metadata!P866,"wastewater/sludge"),exact(Metadata!P866,"water"))))</f>
        <v>0</v>
      </c>
      <c r="BC866">
        <f>IF(Metadata!Q866="",FALSE,TRUE)</f>
        <v>0</v>
      </c>
      <c r="BD866">
        <f>IF(Metadata!R866="",FALSE,TRUE)</f>
        <v>0</v>
      </c>
      <c r="BE866">
        <f>OR(AND(IF(Metadata!S866="",FALSE,TRUE),OR(exact(Metadata!S866,"not collected"),exact(Metadata!S866,"not provided"),exact(Metadata!S866,"restricted access"))),AND(IF(Metadata!S866="",FALSE,ISNUMBER(VALUE(Metadata!S866))),Metadata!S866&gt;=-90.00,Metadata!S866&lt;=90.00))</f>
        <v>0</v>
      </c>
      <c r="BF866">
        <f>AND(IF(Metadata!T866="",FALSE,TRUE),exact(Metadata!T866,"Decimal degrees"))</f>
        <v>0</v>
      </c>
      <c r="BG866">
        <f>OR(AND(IF(Metadata!U866="",FALSE,TRUE),OR(exact(Metadata!U866,"not collected"),exact(Metadata!U866,"not provided"),exact(Metadata!U866,"restricted access"))),AND(IF(Metadata!U866="",FALSE,ISNUMBER(VALUE(Metadata!U866))),Metadata!U866&gt;=-180.00,Metadata!U866&lt;=180.00))</f>
        <v>0</v>
      </c>
      <c r="BH866">
        <f>AND(IF(Metadata!V866="",FALSE,TRUE),exact(Metadata!V866,"Decimal degrees"))</f>
        <v>0</v>
      </c>
      <c r="BI866">
        <f>IF(Metadata!W866="",FALSE,TRUE)</f>
        <v>0</v>
      </c>
      <c r="BJ866">
        <f>OR(AND(IF(Metadata!X866="",FALSE,TRUE),OR(exact(Metadata!X866,"not collected"),exact(Metadata!X866,"not provided"),exact(Metadata!X866,"restricted access"))),AND(IF(Metadata!X866="",FALSE,TRUE),OR(exact(Metadata!X866,"TRUE"),exact(Metadata!X866,"FALSE"))))</f>
        <v>0</v>
      </c>
      <c r="BK866">
        <f>AND(IF(Metadata!Y866="",FALSE,TRUE),exact(Metadata!Y866,"other"))</f>
        <v>0</v>
      </c>
      <c r="BL866">
        <f>IF(Metadata!Z866="",FALSE,TRUE)</f>
        <v>0</v>
      </c>
      <c r="BM866">
        <f>OR(AND(IF(Metadata!AA866="",FALSE,TRUE),OR(exact(Metadata!AA866,"not collected"),exact(Metadata!AA866,"not provided"))),AND(IF(Metadata!AA866="",FALSE,IF(ISERROR(INT(Metadata!AA866)),FALSE,INT(Metadata!AA866)=Metadata!AA866)),Metadata!AA866&gt;0))</f>
        <v>0</v>
      </c>
      <c r="BN866">
        <f>AND(IF(Metadata!AB866="",FALSE,TRUE),exact(Metadata!AB866,"Not applicable"))</f>
        <v>0</v>
      </c>
      <c r="BO866">
        <f>IF(Metadata!AC866="",FALSE,TRUE)</f>
        <v>0</v>
      </c>
    </row>
    <row r="867" spans="1:67">
      <c r="A867" s="5">
        <f>IF(B867=" "," ",HYPERLINK(CONCATENATE("#metadata!",ADDRESS(INDEX($AI$2:$AI$1001,MATCH(ROWS($AG$2:AG867),$AG$2:$AG$1001,0),0),1)),INDEX($AL$2:$AL$1001,MATCH(ROWS($AG$2:AG867),$AG$2:$AG$1001,0),0)))</f>
        <v>0</v>
      </c>
      <c r="B867" s="4">
        <f>IF(OR(INDEX($AH$2:$AH$1001,MATCH(ROWS($AG$2:AG867),$AG$2:$AG$1001,0),1)&gt;=100000,INDEX($AN$1005:$BO$1005,1,MATCH(COLUMNS($AN$1006:AN1006),$AN$1006:$BO$1006,0))&gt;=100000), " ",IF(INDEX($AN$2:$BO$1001,MATCH(ROWS($AG$2:AG867),$AG$2:$AG$1001,0),MATCH(COLUMNS($AN$1006:AN1006),$AN$1006:$BO$1006,0)), HYPERLINK("#",""), HYPERLINK(CONCATENATE("#Metadata!", ADDRESS(INDEX($AI$2:$AI$1001,MATCH(ROWS($AG$2:AG867),$AG$2:$AG$1001,0),0), INDEX($AN$1004:$BO$1004,1,MATCH(COLUMNS($AN$1006:AN1006),$AN$1006:$BO$1006,0)))),"Fix")))</f>
        <v>0</v>
      </c>
      <c r="C867" s="4">
        <f>IF(OR(INDEX($AH$2:$AH$1001,MATCH(ROWS($AG$2:AG867),$AG$2:$AG$1001,0),1)&gt;=100000,INDEX($AN$1005:$BO$1005,1,MATCH(COLUMNS($AN$1006:AO1006),$AN$1006:$BO$1006,0))&gt;=100000), " ",IF(INDEX($AN$2:$BO$1001,MATCH(ROWS($AG$2:AG867),$AG$2:$AG$1001,0),MATCH(COLUMNS($AN$1006:AO1006),$AN$1006:$BO$1006,0)), HYPERLINK("#",""), HYPERLINK(CONCATENATE("#Metadata!", ADDRESS(INDEX($AI$2:$AI$1001,MATCH(ROWS($AG$2:AG867),$AG$2:$AG$1001,0),0), INDEX($AN$1004:$BO$1004,1,MATCH(COLUMNS($AN$1006:AO1006),$AN$1006:$BO$1006,0)))),"Fix")))</f>
        <v>0</v>
      </c>
      <c r="D867" s="4">
        <f>IF(OR(INDEX($AH$2:$AH$1001,MATCH(ROWS($AG$2:AG867),$AG$2:$AG$1001,0),1)&gt;=100000,INDEX($AN$1005:$BO$1005,1,MATCH(COLUMNS($AN$1006:AP1006),$AN$1006:$BO$1006,0))&gt;=100000), " ",IF(INDEX($AN$2:$BO$1001,MATCH(ROWS($AG$2:AG867),$AG$2:$AG$1001,0),MATCH(COLUMNS($AN$1006:AP1006),$AN$1006:$BO$1006,0)), HYPERLINK("#",""), HYPERLINK(CONCATENATE("#Metadata!", ADDRESS(INDEX($AI$2:$AI$1001,MATCH(ROWS($AG$2:AG867),$AG$2:$AG$1001,0),0), INDEX($AN$1004:$BO$1004,1,MATCH(COLUMNS($AN$1006:AP1006),$AN$1006:$BO$1006,0)))),"Fix")))</f>
        <v>0</v>
      </c>
      <c r="E867" s="4">
        <f>IF(OR(INDEX($AH$2:$AH$1001,MATCH(ROWS($AG$2:AG867),$AG$2:$AG$1001,0),1)&gt;=100000,INDEX($AN$1005:$BO$1005,1,MATCH(COLUMNS($AN$1006:AQ1006),$AN$1006:$BO$1006,0))&gt;=100000), " ",IF(INDEX($AN$2:$BO$1001,MATCH(ROWS($AG$2:AG867),$AG$2:$AG$1001,0),MATCH(COLUMNS($AN$1006:AQ1006),$AN$1006:$BO$1006,0)), HYPERLINK("#",""), HYPERLINK(CONCATENATE("#Metadata!", ADDRESS(INDEX($AI$2:$AI$1001,MATCH(ROWS($AG$2:AG867),$AG$2:$AG$1001,0),0), INDEX($AN$1004:$BO$1004,1,MATCH(COLUMNS($AN$1006:AQ1006),$AN$1006:$BO$1006,0)))),"Fix")))</f>
        <v>0</v>
      </c>
      <c r="F867" s="4">
        <f>IF(OR(INDEX($AH$2:$AH$1001,MATCH(ROWS($AG$2:AG867),$AG$2:$AG$1001,0),1)&gt;=100000,INDEX($AN$1005:$BO$1005,1,MATCH(COLUMNS($AN$1006:AR1006),$AN$1006:$BO$1006,0))&gt;=100000), " ",IF(INDEX($AN$2:$BO$1001,MATCH(ROWS($AG$2:AG867),$AG$2:$AG$1001,0),MATCH(COLUMNS($AN$1006:AR1006),$AN$1006:$BO$1006,0)), HYPERLINK("#",""), HYPERLINK(CONCATENATE("#Metadata!", ADDRESS(INDEX($AI$2:$AI$1001,MATCH(ROWS($AG$2:AG867),$AG$2:$AG$1001,0),0), INDEX($AN$1004:$BO$1004,1,MATCH(COLUMNS($AN$1006:AR1006),$AN$1006:$BO$1006,0)))),"Fix")))</f>
        <v>0</v>
      </c>
      <c r="G867" s="4">
        <f>IF(OR(INDEX($AH$2:$AH$1001,MATCH(ROWS($AG$2:AG867),$AG$2:$AG$1001,0),1)&gt;=100000,INDEX($AN$1005:$BO$1005,1,MATCH(COLUMNS($AN$1006:AS1006),$AN$1006:$BO$1006,0))&gt;=100000), " ",IF(INDEX($AN$2:$BO$1001,MATCH(ROWS($AG$2:AG867),$AG$2:$AG$1001,0),MATCH(COLUMNS($AN$1006:AS1006),$AN$1006:$BO$1006,0)), HYPERLINK("#",""), HYPERLINK(CONCATENATE("#Metadata!", ADDRESS(INDEX($AI$2:$AI$1001,MATCH(ROWS($AG$2:AG867),$AG$2:$AG$1001,0),0), INDEX($AN$1004:$BO$1004,1,MATCH(COLUMNS($AN$1006:AS1006),$AN$1006:$BO$1006,0)))),"Fix")))</f>
        <v>0</v>
      </c>
      <c r="H867" s="4">
        <f>IF(OR(INDEX($AH$2:$AH$1001,MATCH(ROWS($AG$2:AG867),$AG$2:$AG$1001,0),1)&gt;=100000,INDEX($AN$1005:$BO$1005,1,MATCH(COLUMNS($AN$1006:AT1006),$AN$1006:$BO$1006,0))&gt;=100000), " ",IF(INDEX($AN$2:$BO$1001,MATCH(ROWS($AG$2:AG867),$AG$2:$AG$1001,0),MATCH(COLUMNS($AN$1006:AT1006),$AN$1006:$BO$1006,0)), HYPERLINK("#",""), HYPERLINK(CONCATENATE("#Metadata!", ADDRESS(INDEX($AI$2:$AI$1001,MATCH(ROWS($AG$2:AG867),$AG$2:$AG$1001,0),0), INDEX($AN$1004:$BO$1004,1,MATCH(COLUMNS($AN$1006:AT1006),$AN$1006:$BO$1006,0)))),"Fix")))</f>
        <v>0</v>
      </c>
      <c r="I867" s="4">
        <f>IF(OR(INDEX($AH$2:$AH$1001,MATCH(ROWS($AG$2:AG867),$AG$2:$AG$1001,0),1)&gt;=100000,INDEX($AN$1005:$BO$1005,1,MATCH(COLUMNS($AN$1006:AU1006),$AN$1006:$BO$1006,0))&gt;=100000), " ",IF(INDEX($AN$2:$BO$1001,MATCH(ROWS($AG$2:AG867),$AG$2:$AG$1001,0),MATCH(COLUMNS($AN$1006:AU1006),$AN$1006:$BO$1006,0)), HYPERLINK("#",""), HYPERLINK(CONCATENATE("#Metadata!", ADDRESS(INDEX($AI$2:$AI$1001,MATCH(ROWS($AG$2:AG867),$AG$2:$AG$1001,0),0), INDEX($AN$1004:$BO$1004,1,MATCH(COLUMNS($AN$1006:AU1006),$AN$1006:$BO$1006,0)))),"Fix")))</f>
        <v>0</v>
      </c>
      <c r="J867" s="4">
        <f>IF(OR(INDEX($AH$2:$AH$1001,MATCH(ROWS($AG$2:AG867),$AG$2:$AG$1001,0),1)&gt;=100000,INDEX($AN$1005:$BO$1005,1,MATCH(COLUMNS($AN$1006:AV1006),$AN$1006:$BO$1006,0))&gt;=100000), " ",IF(INDEX($AN$2:$BO$1001,MATCH(ROWS($AG$2:AG867),$AG$2:$AG$1001,0),MATCH(COLUMNS($AN$1006:AV1006),$AN$1006:$BO$1006,0)), HYPERLINK("#",""), HYPERLINK(CONCATENATE("#Metadata!", ADDRESS(INDEX($AI$2:$AI$1001,MATCH(ROWS($AG$2:AG867),$AG$2:$AG$1001,0),0), INDEX($AN$1004:$BO$1004,1,MATCH(COLUMNS($AN$1006:AV1006),$AN$1006:$BO$1006,0)))),"Fix")))</f>
        <v>0</v>
      </c>
      <c r="K867" s="4">
        <f>IF(OR(INDEX($AH$2:$AH$1001,MATCH(ROWS($AG$2:AG867),$AG$2:$AG$1001,0),1)&gt;=100000,INDEX($AN$1005:$BO$1005,1,MATCH(COLUMNS($AN$1006:AW1006),$AN$1006:$BO$1006,0))&gt;=100000), " ",IF(INDEX($AN$2:$BO$1001,MATCH(ROWS($AG$2:AG867),$AG$2:$AG$1001,0),MATCH(COLUMNS($AN$1006:AW1006),$AN$1006:$BO$1006,0)), HYPERLINK("#",""), HYPERLINK(CONCATENATE("#Metadata!", ADDRESS(INDEX($AI$2:$AI$1001,MATCH(ROWS($AG$2:AG867),$AG$2:$AG$1001,0),0), INDEX($AN$1004:$BO$1004,1,MATCH(COLUMNS($AN$1006:AW1006),$AN$1006:$BO$1006,0)))),"Fix")))</f>
        <v>0</v>
      </c>
      <c r="L867" s="4">
        <f>IF(OR(INDEX($AH$2:$AH$1001,MATCH(ROWS($AG$2:AG867),$AG$2:$AG$1001,0),1)&gt;=100000,INDEX($AN$1005:$BO$1005,1,MATCH(COLUMNS($AN$1006:AX1006),$AN$1006:$BO$1006,0))&gt;=100000), " ",IF(INDEX($AN$2:$BO$1001,MATCH(ROWS($AG$2:AG867),$AG$2:$AG$1001,0),MATCH(COLUMNS($AN$1006:AX1006),$AN$1006:$BO$1006,0)), HYPERLINK("#",""), HYPERLINK(CONCATENATE("#Metadata!", ADDRESS(INDEX($AI$2:$AI$1001,MATCH(ROWS($AG$2:AG867),$AG$2:$AG$1001,0),0), INDEX($AN$1004:$BO$1004,1,MATCH(COLUMNS($AN$1006:AX1006),$AN$1006:$BO$1006,0)))),"Fix")))</f>
        <v>0</v>
      </c>
      <c r="M867" s="4">
        <f>IF(OR(INDEX($AH$2:$AH$1001,MATCH(ROWS($AG$2:AG867),$AG$2:$AG$1001,0),1)&gt;=100000,INDEX($AN$1005:$BO$1005,1,MATCH(COLUMNS($AN$1006:AY1006),$AN$1006:$BO$1006,0))&gt;=100000), " ",IF(INDEX($AN$2:$BO$1001,MATCH(ROWS($AG$2:AG867),$AG$2:$AG$1001,0),MATCH(COLUMNS($AN$1006:AY1006),$AN$1006:$BO$1006,0)), HYPERLINK("#",""), HYPERLINK(CONCATENATE("#Metadata!", ADDRESS(INDEX($AI$2:$AI$1001,MATCH(ROWS($AG$2:AG867),$AG$2:$AG$1001,0),0), INDEX($AN$1004:$BO$1004,1,MATCH(COLUMNS($AN$1006:AY1006),$AN$1006:$BO$1006,0)))),"Fix")))</f>
        <v>0</v>
      </c>
      <c r="N867" s="4">
        <f>IF(OR(INDEX($AH$2:$AH$1001,MATCH(ROWS($AG$2:AG867),$AG$2:$AG$1001,0),1)&gt;=100000,INDEX($AN$1005:$BO$1005,1,MATCH(COLUMNS($AN$1006:AZ1006),$AN$1006:$BO$1006,0))&gt;=100000), " ",IF(INDEX($AN$2:$BO$1001,MATCH(ROWS($AG$2:AG867),$AG$2:$AG$1001,0),MATCH(COLUMNS($AN$1006:AZ1006),$AN$1006:$BO$1006,0)), HYPERLINK("#",""), HYPERLINK(CONCATENATE("#Metadata!", ADDRESS(INDEX($AI$2:$AI$1001,MATCH(ROWS($AG$2:AG867),$AG$2:$AG$1001,0),0), INDEX($AN$1004:$BO$1004,1,MATCH(COLUMNS($AN$1006:AZ1006),$AN$1006:$BO$1006,0)))),"Fix")))</f>
        <v>0</v>
      </c>
      <c r="O867" s="4">
        <f>IF(OR(INDEX($AH$2:$AH$1001,MATCH(ROWS($AG$2:AG867),$AG$2:$AG$1001,0),1)&gt;=100000,INDEX($AN$1005:$BO$1005,1,MATCH(COLUMNS($AN$1006:BA1006),$AN$1006:$BO$1006,0))&gt;=100000), " ",IF(INDEX($AN$2:$BO$1001,MATCH(ROWS($AG$2:AG867),$AG$2:$AG$1001,0),MATCH(COLUMNS($AN$1006:BA1006),$AN$1006:$BO$1006,0)), HYPERLINK("#",""), HYPERLINK(CONCATENATE("#Metadata!", ADDRESS(INDEX($AI$2:$AI$1001,MATCH(ROWS($AG$2:AG867),$AG$2:$AG$1001,0),0), INDEX($AN$1004:$BO$1004,1,MATCH(COLUMNS($AN$1006:BA1006),$AN$1006:$BO$1006,0)))),"Fix")))</f>
        <v>0</v>
      </c>
      <c r="P867" s="4">
        <f>IF(OR(INDEX($AH$2:$AH$1001,MATCH(ROWS($AG$2:AG867),$AG$2:$AG$1001,0),1)&gt;=100000,INDEX($AN$1005:$BO$1005,1,MATCH(COLUMNS($AN$1006:BB1006),$AN$1006:$BO$1006,0))&gt;=100000), " ",IF(INDEX($AN$2:$BO$1001,MATCH(ROWS($AG$2:AG867),$AG$2:$AG$1001,0),MATCH(COLUMNS($AN$1006:BB1006),$AN$1006:$BO$1006,0)), HYPERLINK("#",""), HYPERLINK(CONCATENATE("#Metadata!", ADDRESS(INDEX($AI$2:$AI$1001,MATCH(ROWS($AG$2:AG867),$AG$2:$AG$1001,0),0), INDEX($AN$1004:$BO$1004,1,MATCH(COLUMNS($AN$1006:BB1006),$AN$1006:$BO$1006,0)))),"Fix")))</f>
        <v>0</v>
      </c>
      <c r="Q867" s="4">
        <f>IF(OR(INDEX($AH$2:$AH$1001,MATCH(ROWS($AG$2:AG867),$AG$2:$AG$1001,0),1)&gt;=100000,INDEX($AN$1005:$BO$1005,1,MATCH(COLUMNS($AN$1006:BC1006),$AN$1006:$BO$1006,0))&gt;=100000), " ",IF(INDEX($AN$2:$BO$1001,MATCH(ROWS($AG$2:AG867),$AG$2:$AG$1001,0),MATCH(COLUMNS($AN$1006:BC1006),$AN$1006:$BO$1006,0)), HYPERLINK("#",""), HYPERLINK(CONCATENATE("#Metadata!", ADDRESS(INDEX($AI$2:$AI$1001,MATCH(ROWS($AG$2:AG867),$AG$2:$AG$1001,0),0), INDEX($AN$1004:$BO$1004,1,MATCH(COLUMNS($AN$1006:BC1006),$AN$1006:$BO$1006,0)))),"Fix")))</f>
        <v>0</v>
      </c>
      <c r="R867" s="4">
        <f>IF(OR(INDEX($AH$2:$AH$1001,MATCH(ROWS($AG$2:AG867),$AG$2:$AG$1001,0),1)&gt;=100000,INDEX($AN$1005:$BO$1005,1,MATCH(COLUMNS($AN$1006:BD1006),$AN$1006:$BO$1006,0))&gt;=100000), " ",IF(INDEX($AN$2:$BO$1001,MATCH(ROWS($AG$2:AG867),$AG$2:$AG$1001,0),MATCH(COLUMNS($AN$1006:BD1006),$AN$1006:$BO$1006,0)), HYPERLINK("#",""), HYPERLINK(CONCATENATE("#Metadata!", ADDRESS(INDEX($AI$2:$AI$1001,MATCH(ROWS($AG$2:AG867),$AG$2:$AG$1001,0),0), INDEX($AN$1004:$BO$1004,1,MATCH(COLUMNS($AN$1006:BD1006),$AN$1006:$BO$1006,0)))),"Fix")))</f>
        <v>0</v>
      </c>
      <c r="S867" s="4">
        <f>IF(OR(INDEX($AH$2:$AH$1001,MATCH(ROWS($AG$2:AG867),$AG$2:$AG$1001,0),1)&gt;=100000,INDEX($AN$1005:$BO$1005,1,MATCH(COLUMNS($AN$1006:BE1006),$AN$1006:$BO$1006,0))&gt;=100000), " ",IF(INDEX($AN$2:$BO$1001,MATCH(ROWS($AG$2:AG867),$AG$2:$AG$1001,0),MATCH(COLUMNS($AN$1006:BE1006),$AN$1006:$BO$1006,0)), HYPERLINK("#",""), HYPERLINK(CONCATENATE("#Metadata!", ADDRESS(INDEX($AI$2:$AI$1001,MATCH(ROWS($AG$2:AG867),$AG$2:$AG$1001,0),0), INDEX($AN$1004:$BO$1004,1,MATCH(COLUMNS($AN$1006:BE1006),$AN$1006:$BO$1006,0)))),"Fix")))</f>
        <v>0</v>
      </c>
      <c r="T867" s="4">
        <f>IF(OR(INDEX($AH$2:$AH$1001,MATCH(ROWS($AG$2:AG867),$AG$2:$AG$1001,0),1)&gt;=100000,INDEX($AN$1005:$BO$1005,1,MATCH(COLUMNS($AN$1006:BF1006),$AN$1006:$BO$1006,0))&gt;=100000), " ",IF(INDEX($AN$2:$BO$1001,MATCH(ROWS($AG$2:AG867),$AG$2:$AG$1001,0),MATCH(COLUMNS($AN$1006:BF1006),$AN$1006:$BO$1006,0)), HYPERLINK("#",""), HYPERLINK(CONCATENATE("#Metadata!", ADDRESS(INDEX($AI$2:$AI$1001,MATCH(ROWS($AG$2:AG867),$AG$2:$AG$1001,0),0), INDEX($AN$1004:$BO$1004,1,MATCH(COLUMNS($AN$1006:BF1006),$AN$1006:$BO$1006,0)))),"Fix")))</f>
        <v>0</v>
      </c>
      <c r="U867" s="4">
        <f>IF(OR(INDEX($AH$2:$AH$1001,MATCH(ROWS($AG$2:AG867),$AG$2:$AG$1001,0),1)&gt;=100000,INDEX($AN$1005:$BO$1005,1,MATCH(COLUMNS($AN$1006:BG1006),$AN$1006:$BO$1006,0))&gt;=100000), " ",IF(INDEX($AN$2:$BO$1001,MATCH(ROWS($AG$2:AG867),$AG$2:$AG$1001,0),MATCH(COLUMNS($AN$1006:BG1006),$AN$1006:$BO$1006,0)), HYPERLINK("#",""), HYPERLINK(CONCATENATE("#Metadata!", ADDRESS(INDEX($AI$2:$AI$1001,MATCH(ROWS($AG$2:AG867),$AG$2:$AG$1001,0),0), INDEX($AN$1004:$BO$1004,1,MATCH(COLUMNS($AN$1006:BG1006),$AN$1006:$BO$1006,0)))),"Fix")))</f>
        <v>0</v>
      </c>
      <c r="V867" s="4">
        <f>IF(OR(INDEX($AH$2:$AH$1001,MATCH(ROWS($AG$2:AG867),$AG$2:$AG$1001,0),1)&gt;=100000,INDEX($AN$1005:$BO$1005,1,MATCH(COLUMNS($AN$1006:BH1006),$AN$1006:$BO$1006,0))&gt;=100000), " ",IF(INDEX($AN$2:$BO$1001,MATCH(ROWS($AG$2:AG867),$AG$2:$AG$1001,0),MATCH(COLUMNS($AN$1006:BH1006),$AN$1006:$BO$1006,0)), HYPERLINK("#",""), HYPERLINK(CONCATENATE("#Metadata!", ADDRESS(INDEX($AI$2:$AI$1001,MATCH(ROWS($AG$2:AG867),$AG$2:$AG$1001,0),0), INDEX($AN$1004:$BO$1004,1,MATCH(COLUMNS($AN$1006:BH1006),$AN$1006:$BO$1006,0)))),"Fix")))</f>
        <v>0</v>
      </c>
      <c r="W867" s="4">
        <f>IF(OR(INDEX($AH$2:$AH$1001,MATCH(ROWS($AG$2:AG867),$AG$2:$AG$1001,0),1)&gt;=100000,INDEX($AN$1005:$BO$1005,1,MATCH(COLUMNS($AN$1006:BI1006),$AN$1006:$BO$1006,0))&gt;=100000), " ",IF(INDEX($AN$2:$BO$1001,MATCH(ROWS($AG$2:AG867),$AG$2:$AG$1001,0),MATCH(COLUMNS($AN$1006:BI1006),$AN$1006:$BO$1006,0)), HYPERLINK("#",""), HYPERLINK(CONCATENATE("#Metadata!", ADDRESS(INDEX($AI$2:$AI$1001,MATCH(ROWS($AG$2:AG867),$AG$2:$AG$1001,0),0), INDEX($AN$1004:$BO$1004,1,MATCH(COLUMNS($AN$1006:BI1006),$AN$1006:$BO$1006,0)))),"Fix")))</f>
        <v>0</v>
      </c>
      <c r="X867" s="4">
        <f>IF(OR(INDEX($AH$2:$AH$1001,MATCH(ROWS($AG$2:AG867),$AG$2:$AG$1001,0),1)&gt;=100000,INDEX($AN$1005:$BO$1005,1,MATCH(COLUMNS($AN$1006:BJ1006),$AN$1006:$BO$1006,0))&gt;=100000), " ",IF(INDEX($AN$2:$BO$1001,MATCH(ROWS($AG$2:AG867),$AG$2:$AG$1001,0),MATCH(COLUMNS($AN$1006:BJ1006),$AN$1006:$BO$1006,0)), HYPERLINK("#",""), HYPERLINK(CONCATENATE("#Metadata!", ADDRESS(INDEX($AI$2:$AI$1001,MATCH(ROWS($AG$2:AG867),$AG$2:$AG$1001,0),0), INDEX($AN$1004:$BO$1004,1,MATCH(COLUMNS($AN$1006:BJ1006),$AN$1006:$BO$1006,0)))),"Fix")))</f>
        <v>0</v>
      </c>
      <c r="Y867" s="4">
        <f>IF(OR(INDEX($AH$2:$AH$1001,MATCH(ROWS($AG$2:AG867),$AG$2:$AG$1001,0),1)&gt;=100000,INDEX($AN$1005:$BO$1005,1,MATCH(COLUMNS($AN$1006:BK1006),$AN$1006:$BO$1006,0))&gt;=100000), " ",IF(INDEX($AN$2:$BO$1001,MATCH(ROWS($AG$2:AG867),$AG$2:$AG$1001,0),MATCH(COLUMNS($AN$1006:BK1006),$AN$1006:$BO$1006,0)), HYPERLINK("#",""), HYPERLINK(CONCATENATE("#Metadata!", ADDRESS(INDEX($AI$2:$AI$1001,MATCH(ROWS($AG$2:AG867),$AG$2:$AG$1001,0),0), INDEX($AN$1004:$BO$1004,1,MATCH(COLUMNS($AN$1006:BK1006),$AN$1006:$BO$1006,0)))),"Fix")))</f>
        <v>0</v>
      </c>
      <c r="Z867" s="4">
        <f>IF(OR(INDEX($AH$2:$AH$1001,MATCH(ROWS($AG$2:AG867),$AG$2:$AG$1001,0),1)&gt;=100000,INDEX($AN$1005:$BO$1005,1,MATCH(COLUMNS($AN$1006:BL1006),$AN$1006:$BO$1006,0))&gt;=100000), " ",IF(INDEX($AN$2:$BO$1001,MATCH(ROWS($AG$2:AG867),$AG$2:$AG$1001,0),MATCH(COLUMNS($AN$1006:BL1006),$AN$1006:$BO$1006,0)), HYPERLINK("#",""), HYPERLINK(CONCATENATE("#Metadata!", ADDRESS(INDEX($AI$2:$AI$1001,MATCH(ROWS($AG$2:AG867),$AG$2:$AG$1001,0),0), INDEX($AN$1004:$BO$1004,1,MATCH(COLUMNS($AN$1006:BL1006),$AN$1006:$BO$1006,0)))),"Fix")))</f>
        <v>0</v>
      </c>
      <c r="AA867" s="4">
        <f>IF(OR(INDEX($AH$2:$AH$1001,MATCH(ROWS($AG$2:AG867),$AG$2:$AG$1001,0),1)&gt;=100000,INDEX($AN$1005:$BO$1005,1,MATCH(COLUMNS($AN$1006:BM1006),$AN$1006:$BO$1006,0))&gt;=100000), " ",IF(INDEX($AN$2:$BO$1001,MATCH(ROWS($AG$2:AG867),$AG$2:$AG$1001,0),MATCH(COLUMNS($AN$1006:BM1006),$AN$1006:$BO$1006,0)), HYPERLINK("#",""), HYPERLINK(CONCATENATE("#Metadata!", ADDRESS(INDEX($AI$2:$AI$1001,MATCH(ROWS($AG$2:AG867),$AG$2:$AG$1001,0),0), INDEX($AN$1004:$BO$1004,1,MATCH(COLUMNS($AN$1006:BM1006),$AN$1006:$BO$1006,0)))),"Fix")))</f>
        <v>0</v>
      </c>
      <c r="AB867" s="4">
        <f>IF(OR(INDEX($AH$2:$AH$1001,MATCH(ROWS($AG$2:AG867),$AG$2:$AG$1001,0),1)&gt;=100000,INDEX($AN$1005:$BO$1005,1,MATCH(COLUMNS($AN$1006:BN1006),$AN$1006:$BO$1006,0))&gt;=100000), " ",IF(INDEX($AN$2:$BO$1001,MATCH(ROWS($AG$2:AG867),$AG$2:$AG$1001,0),MATCH(COLUMNS($AN$1006:BN1006),$AN$1006:$BO$1006,0)), HYPERLINK("#",""), HYPERLINK(CONCATENATE("#Metadata!", ADDRESS(INDEX($AI$2:$AI$1001,MATCH(ROWS($AG$2:AG867),$AG$2:$AG$1001,0),0), INDEX($AN$1004:$BO$1004,1,MATCH(COLUMNS($AN$1006:BN1006),$AN$1006:$BO$1006,0)))),"Fix")))</f>
        <v>0</v>
      </c>
      <c r="AC867" s="4">
        <f>IF(OR(INDEX($AH$2:$AH$1001,MATCH(ROWS($AG$2:AG867),$AG$2:$AG$1001,0),1)&gt;=100000,INDEX($AN$1005:$BO$1005,1,MATCH(COLUMNS($AN$1006:BO1006),$AN$1006:$BO$1006,0))&gt;=100000), " ",IF(INDEX($AN$2:$BO$1001,MATCH(ROWS($AG$2:AG867),$AG$2:$AG$1001,0),MATCH(COLUMNS($AN$1006:BO1006),$AN$1006:$BO$1006,0)), HYPERLINK("#",""), HYPERLINK(CONCATENATE("#Metadata!", ADDRESS(INDEX($AI$2:$AI$1001,MATCH(ROWS($AG$2:AG867),$AG$2:$AG$1001,0),0), INDEX($AN$1004:$BO$1004,1,MATCH(COLUMNS($AN$1006:BO1006),$AN$1006:$BO$1006,0)))),"Fix")))</f>
        <v>0</v>
      </c>
      <c r="AG867">
        <v>0</v>
      </c>
      <c r="AH867">
        <v>0</v>
      </c>
      <c r="AI867">
        <v>0</v>
      </c>
      <c r="AJ867">
        <f>IF(AK867,TRUE,AND(AN867:BO867))</f>
        <v>0</v>
      </c>
      <c r="AK867">
        <f>COUNTBLANK(Metadata!B867:AC867)=COLUMNS(Metadata!B867:AC867)</f>
        <v>0</v>
      </c>
      <c r="AL867">
        <v>0</v>
      </c>
      <c r="AN867">
        <f>AND(IF(Metadata!B867="",FALSE,TRUE),COUNTIF(Metadata!B:B, Metadata!B867) = 1,NOT(ISERROR(SUMPRODUCT(SEARCH(MID(Metadata!B867,ROW(INDIRECT("1:"&amp;LEN(Metadata!B867))), 1),"0123456789abcdefghijklmnopqrstuvwxyzABCDEFGHIJKLMNOPQRSTUVWXYZ.")))))</f>
        <v>0</v>
      </c>
      <c r="AO867">
        <f>IF(Metadata!C867="",FALSE,TRUE)</f>
        <v>0</v>
      </c>
      <c r="AP867">
        <f>IF(Metadata!D867="",FALSE,TRUE)</f>
        <v>0</v>
      </c>
      <c r="AQ867">
        <f>OR(AND(IF(Metadata!E867="",FALSE,TRUE),OR(exact(Metadata!E867,"not collected"),exact(Metadata!E867,"not provided"),exact(Metadata!E867,"restricted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R867">
        <f>IF(Metadata!F867="",FALSE,TRUE)</f>
        <v>0</v>
      </c>
      <c r="AS867">
        <f>OR(AND(IF(Metadata!G867="",FALSE,TRUE),OR(exact(Metadata!G867,"not collected"),exact(Metadata!G867,"not provided"))),AND(IF(Metadata!G867="",FALSE,TRUE),OR(exact(Metadata!G867,"TRUE"),exact(Metadata!G867,"FALSE"))))</f>
        <v>0</v>
      </c>
      <c r="AT867">
        <f>OR(AND(IF(Metadata!H867="",FALSE,TRUE),OR(exact(Metadata!H867,"not collected"),exact(Metadata!H867,"not provided"),exact(Metadata!H867,"restricted access"))),AND(IF(Metadata!H867="",FALSE,ISNUMBER(VALUE(Metadata!H867))),Metadata!H867&gt;=-413.0))</f>
        <v>0</v>
      </c>
      <c r="AU867">
        <f>AND(IF(Metadata!I867="",FALSE,TRUE),exact(Metadata!I867,"meters"))</f>
        <v>0</v>
      </c>
      <c r="AV867">
        <f>AND(IF(Metadata!J867="",FALSE,TRUE),OR(exact(Metadata!J867,"Host-associated"),exact(Metadata!J867,"Free-living")))</f>
        <v>0</v>
      </c>
      <c r="AW867">
        <f>AND(IF(Metadata!K867="",FALSE,TRUE),OR(exact(Metadata!K867,"Animal"),exact(Metadata!K867,"Fungus"),exact(Metadata!K867,"Plant"),exact(Metadata!K867,"Saline"),exact(Metadata!K867,"Non-saline")))</f>
        <v>0</v>
      </c>
      <c r="AX867">
        <f>AND(IF(Metadata!L867="",FALSE,TRUE),OR(exact(Metadata!L867,"Plant secretion"),exact(Metadata!L867,"Plant rhizosphere"),exact(Metadata!L867,"Plant surface"),exact(Metadata!L867,"Plant corpus"),exact(Metadata!L867,"Fungus surface"),exact(Metadata!L867,"Fungus corpus"),exact(Metadata!L867,"Animal surface"),exact(Metadata!L867,"Animal proximal gut"),exact(Metadata!L867,"Animal corpus"),exact(Metadata!L867,"Animal distal gut"),exact(Metadata!L867,"Animal secretion"),exact(Metadata!L867,"Sub-surface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Y867">
        <f>IF(Metadata!M867="",FALSE,TRUE)</f>
        <v>0</v>
      </c>
      <c r="AZ867">
        <f>IF(Metadata!N867="",FALSE,TRUE)</f>
        <v>0</v>
      </c>
      <c r="BA867">
        <f>IF(Metadata!O867="",FALSE,TRUE)</f>
        <v>0</v>
      </c>
      <c r="BB867">
        <f>OR(AND(IF(Metadata!P867="",FALSE,TRUE),OR(exact(Metadata!P867,"not collected"),exact(Metadata!P867,"not provided"),exact(Metadata!P867,"restricted access"))),AND(IF(Metadata!P867="",FALSE,TRUE),OR(exact(Metadata!P867,"air"),exact(Metadata!P867,"built environment"),exact(Metadata!P867,"host-associated"),exact(Metadata!P867,"human-associated"),exact(Metadata!P867,"human-skin"),exact(Metadata!P867,"human-oral"),exact(Metadata!P867,"human-gut"),exact(Metadata!P867,"human-vaginal"),exact(Metadata!P867,"microbial mat/biofilm"),exact(Metadata!P867,"misc environment"),exact(Metadata!P867,"plant-associated"),exact(Metadata!P867,"sediment"),exact(Metadata!P867,"soil"),exact(Metadata!P867,"wastewater/sludge"),exact(Metadata!P867,"water"))))</f>
        <v>0</v>
      </c>
      <c r="BC867">
        <f>IF(Metadata!Q867="",FALSE,TRUE)</f>
        <v>0</v>
      </c>
      <c r="BD867">
        <f>IF(Metadata!R867="",FALSE,TRUE)</f>
        <v>0</v>
      </c>
      <c r="BE867">
        <f>OR(AND(IF(Metadata!S867="",FALSE,TRUE),OR(exact(Metadata!S867,"not collected"),exact(Metadata!S867,"not provided"),exact(Metadata!S867,"restricted access"))),AND(IF(Metadata!S867="",FALSE,ISNUMBER(VALUE(Metadata!S867))),Metadata!S867&gt;=-90.00,Metadata!S867&lt;=90.00))</f>
        <v>0</v>
      </c>
      <c r="BF867">
        <f>AND(IF(Metadata!T867="",FALSE,TRUE),exact(Metadata!T867,"Decimal degrees"))</f>
        <v>0</v>
      </c>
      <c r="BG867">
        <f>OR(AND(IF(Metadata!U867="",FALSE,TRUE),OR(exact(Metadata!U867,"not collected"),exact(Metadata!U867,"not provided"),exact(Metadata!U867,"restricted access"))),AND(IF(Metadata!U867="",FALSE,ISNUMBER(VALUE(Metadata!U867))),Metadata!U867&gt;=-180.00,Metadata!U867&lt;=180.00))</f>
        <v>0</v>
      </c>
      <c r="BH867">
        <f>AND(IF(Metadata!V867="",FALSE,TRUE),exact(Metadata!V867,"Decimal degrees"))</f>
        <v>0</v>
      </c>
      <c r="BI867">
        <f>IF(Metadata!W867="",FALSE,TRUE)</f>
        <v>0</v>
      </c>
      <c r="BJ867">
        <f>OR(AND(IF(Metadata!X867="",FALSE,TRUE),OR(exact(Metadata!X867,"not collected"),exact(Metadata!X867,"not provided"),exact(Metadata!X867,"restricted access"))),AND(IF(Metadata!X867="",FALSE,TRUE),OR(exact(Metadata!X867,"TRUE"),exact(Metadata!X867,"FALSE"))))</f>
        <v>0</v>
      </c>
      <c r="BK867">
        <f>AND(IF(Metadata!Y867="",FALSE,TRUE),exact(Metadata!Y867,"other"))</f>
        <v>0</v>
      </c>
      <c r="BL867">
        <f>IF(Metadata!Z867="",FALSE,TRUE)</f>
        <v>0</v>
      </c>
      <c r="BM867">
        <f>OR(AND(IF(Metadata!AA867="",FALSE,TRUE),OR(exact(Metadata!AA867,"not collected"),exact(Metadata!AA867,"not provided"))),AND(IF(Metadata!AA867="",FALSE,IF(ISERROR(INT(Metadata!AA867)),FALSE,INT(Metadata!AA867)=Metadata!AA867)),Metadata!AA867&gt;0))</f>
        <v>0</v>
      </c>
      <c r="BN867">
        <f>AND(IF(Metadata!AB867="",FALSE,TRUE),exact(Metadata!AB867,"Not applicable"))</f>
        <v>0</v>
      </c>
      <c r="BO867">
        <f>IF(Metadata!AC867="",FALSE,TRUE)</f>
        <v>0</v>
      </c>
    </row>
    <row r="868" spans="1:67">
      <c r="A868" s="5">
        <f>IF(B868=" "," ",HYPERLINK(CONCATENATE("#metadata!",ADDRESS(INDEX($AI$2:$AI$1001,MATCH(ROWS($AG$2:AG868),$AG$2:$AG$1001,0),0),1)),INDEX($AL$2:$AL$1001,MATCH(ROWS($AG$2:AG868),$AG$2:$AG$1001,0),0)))</f>
        <v>0</v>
      </c>
      <c r="B868" s="4">
        <f>IF(OR(INDEX($AH$2:$AH$1001,MATCH(ROWS($AG$2:AG868),$AG$2:$AG$1001,0),1)&gt;=100000,INDEX($AN$1005:$BO$1005,1,MATCH(COLUMNS($AN$1006:AN1006),$AN$1006:$BO$1006,0))&gt;=100000), " ",IF(INDEX($AN$2:$BO$1001,MATCH(ROWS($AG$2:AG868),$AG$2:$AG$1001,0),MATCH(COLUMNS($AN$1006:AN1006),$AN$1006:$BO$1006,0)), HYPERLINK("#",""), HYPERLINK(CONCATENATE("#Metadata!", ADDRESS(INDEX($AI$2:$AI$1001,MATCH(ROWS($AG$2:AG868),$AG$2:$AG$1001,0),0), INDEX($AN$1004:$BO$1004,1,MATCH(COLUMNS($AN$1006:AN1006),$AN$1006:$BO$1006,0)))),"Fix")))</f>
        <v>0</v>
      </c>
      <c r="C868" s="4">
        <f>IF(OR(INDEX($AH$2:$AH$1001,MATCH(ROWS($AG$2:AG868),$AG$2:$AG$1001,0),1)&gt;=100000,INDEX($AN$1005:$BO$1005,1,MATCH(COLUMNS($AN$1006:AO1006),$AN$1006:$BO$1006,0))&gt;=100000), " ",IF(INDEX($AN$2:$BO$1001,MATCH(ROWS($AG$2:AG868),$AG$2:$AG$1001,0),MATCH(COLUMNS($AN$1006:AO1006),$AN$1006:$BO$1006,0)), HYPERLINK("#",""), HYPERLINK(CONCATENATE("#Metadata!", ADDRESS(INDEX($AI$2:$AI$1001,MATCH(ROWS($AG$2:AG868),$AG$2:$AG$1001,0),0), INDEX($AN$1004:$BO$1004,1,MATCH(COLUMNS($AN$1006:AO1006),$AN$1006:$BO$1006,0)))),"Fix")))</f>
        <v>0</v>
      </c>
      <c r="D868" s="4">
        <f>IF(OR(INDEX($AH$2:$AH$1001,MATCH(ROWS($AG$2:AG868),$AG$2:$AG$1001,0),1)&gt;=100000,INDEX($AN$1005:$BO$1005,1,MATCH(COLUMNS($AN$1006:AP1006),$AN$1006:$BO$1006,0))&gt;=100000), " ",IF(INDEX($AN$2:$BO$1001,MATCH(ROWS($AG$2:AG868),$AG$2:$AG$1001,0),MATCH(COLUMNS($AN$1006:AP1006),$AN$1006:$BO$1006,0)), HYPERLINK("#",""), HYPERLINK(CONCATENATE("#Metadata!", ADDRESS(INDEX($AI$2:$AI$1001,MATCH(ROWS($AG$2:AG868),$AG$2:$AG$1001,0),0), INDEX($AN$1004:$BO$1004,1,MATCH(COLUMNS($AN$1006:AP1006),$AN$1006:$BO$1006,0)))),"Fix")))</f>
        <v>0</v>
      </c>
      <c r="E868" s="4">
        <f>IF(OR(INDEX($AH$2:$AH$1001,MATCH(ROWS($AG$2:AG868),$AG$2:$AG$1001,0),1)&gt;=100000,INDEX($AN$1005:$BO$1005,1,MATCH(COLUMNS($AN$1006:AQ1006),$AN$1006:$BO$1006,0))&gt;=100000), " ",IF(INDEX($AN$2:$BO$1001,MATCH(ROWS($AG$2:AG868),$AG$2:$AG$1001,0),MATCH(COLUMNS($AN$1006:AQ1006),$AN$1006:$BO$1006,0)), HYPERLINK("#",""), HYPERLINK(CONCATENATE("#Metadata!", ADDRESS(INDEX($AI$2:$AI$1001,MATCH(ROWS($AG$2:AG868),$AG$2:$AG$1001,0),0), INDEX($AN$1004:$BO$1004,1,MATCH(COLUMNS($AN$1006:AQ1006),$AN$1006:$BO$1006,0)))),"Fix")))</f>
        <v>0</v>
      </c>
      <c r="F868" s="4">
        <f>IF(OR(INDEX($AH$2:$AH$1001,MATCH(ROWS($AG$2:AG868),$AG$2:$AG$1001,0),1)&gt;=100000,INDEX($AN$1005:$BO$1005,1,MATCH(COLUMNS($AN$1006:AR1006),$AN$1006:$BO$1006,0))&gt;=100000), " ",IF(INDEX($AN$2:$BO$1001,MATCH(ROWS($AG$2:AG868),$AG$2:$AG$1001,0),MATCH(COLUMNS($AN$1006:AR1006),$AN$1006:$BO$1006,0)), HYPERLINK("#",""), HYPERLINK(CONCATENATE("#Metadata!", ADDRESS(INDEX($AI$2:$AI$1001,MATCH(ROWS($AG$2:AG868),$AG$2:$AG$1001,0),0), INDEX($AN$1004:$BO$1004,1,MATCH(COLUMNS($AN$1006:AR1006),$AN$1006:$BO$1006,0)))),"Fix")))</f>
        <v>0</v>
      </c>
      <c r="G868" s="4">
        <f>IF(OR(INDEX($AH$2:$AH$1001,MATCH(ROWS($AG$2:AG868),$AG$2:$AG$1001,0),1)&gt;=100000,INDEX($AN$1005:$BO$1005,1,MATCH(COLUMNS($AN$1006:AS1006),$AN$1006:$BO$1006,0))&gt;=100000), " ",IF(INDEX($AN$2:$BO$1001,MATCH(ROWS($AG$2:AG868),$AG$2:$AG$1001,0),MATCH(COLUMNS($AN$1006:AS1006),$AN$1006:$BO$1006,0)), HYPERLINK("#",""), HYPERLINK(CONCATENATE("#Metadata!", ADDRESS(INDEX($AI$2:$AI$1001,MATCH(ROWS($AG$2:AG868),$AG$2:$AG$1001,0),0), INDEX($AN$1004:$BO$1004,1,MATCH(COLUMNS($AN$1006:AS1006),$AN$1006:$BO$1006,0)))),"Fix")))</f>
        <v>0</v>
      </c>
      <c r="H868" s="4">
        <f>IF(OR(INDEX($AH$2:$AH$1001,MATCH(ROWS($AG$2:AG868),$AG$2:$AG$1001,0),1)&gt;=100000,INDEX($AN$1005:$BO$1005,1,MATCH(COLUMNS($AN$1006:AT1006),$AN$1006:$BO$1006,0))&gt;=100000), " ",IF(INDEX($AN$2:$BO$1001,MATCH(ROWS($AG$2:AG868),$AG$2:$AG$1001,0),MATCH(COLUMNS($AN$1006:AT1006),$AN$1006:$BO$1006,0)), HYPERLINK("#",""), HYPERLINK(CONCATENATE("#Metadata!", ADDRESS(INDEX($AI$2:$AI$1001,MATCH(ROWS($AG$2:AG868),$AG$2:$AG$1001,0),0), INDEX($AN$1004:$BO$1004,1,MATCH(COLUMNS($AN$1006:AT1006),$AN$1006:$BO$1006,0)))),"Fix")))</f>
        <v>0</v>
      </c>
      <c r="I868" s="4">
        <f>IF(OR(INDEX($AH$2:$AH$1001,MATCH(ROWS($AG$2:AG868),$AG$2:$AG$1001,0),1)&gt;=100000,INDEX($AN$1005:$BO$1005,1,MATCH(COLUMNS($AN$1006:AU1006),$AN$1006:$BO$1006,0))&gt;=100000), " ",IF(INDEX($AN$2:$BO$1001,MATCH(ROWS($AG$2:AG868),$AG$2:$AG$1001,0),MATCH(COLUMNS($AN$1006:AU1006),$AN$1006:$BO$1006,0)), HYPERLINK("#",""), HYPERLINK(CONCATENATE("#Metadata!", ADDRESS(INDEX($AI$2:$AI$1001,MATCH(ROWS($AG$2:AG868),$AG$2:$AG$1001,0),0), INDEX($AN$1004:$BO$1004,1,MATCH(COLUMNS($AN$1006:AU1006),$AN$1006:$BO$1006,0)))),"Fix")))</f>
        <v>0</v>
      </c>
      <c r="J868" s="4">
        <f>IF(OR(INDEX($AH$2:$AH$1001,MATCH(ROWS($AG$2:AG868),$AG$2:$AG$1001,0),1)&gt;=100000,INDEX($AN$1005:$BO$1005,1,MATCH(COLUMNS($AN$1006:AV1006),$AN$1006:$BO$1006,0))&gt;=100000), " ",IF(INDEX($AN$2:$BO$1001,MATCH(ROWS($AG$2:AG868),$AG$2:$AG$1001,0),MATCH(COLUMNS($AN$1006:AV1006),$AN$1006:$BO$1006,0)), HYPERLINK("#",""), HYPERLINK(CONCATENATE("#Metadata!", ADDRESS(INDEX($AI$2:$AI$1001,MATCH(ROWS($AG$2:AG868),$AG$2:$AG$1001,0),0), INDEX($AN$1004:$BO$1004,1,MATCH(COLUMNS($AN$1006:AV1006),$AN$1006:$BO$1006,0)))),"Fix")))</f>
        <v>0</v>
      </c>
      <c r="K868" s="4">
        <f>IF(OR(INDEX($AH$2:$AH$1001,MATCH(ROWS($AG$2:AG868),$AG$2:$AG$1001,0),1)&gt;=100000,INDEX($AN$1005:$BO$1005,1,MATCH(COLUMNS($AN$1006:AW1006),$AN$1006:$BO$1006,0))&gt;=100000), " ",IF(INDEX($AN$2:$BO$1001,MATCH(ROWS($AG$2:AG868),$AG$2:$AG$1001,0),MATCH(COLUMNS($AN$1006:AW1006),$AN$1006:$BO$1006,0)), HYPERLINK("#",""), HYPERLINK(CONCATENATE("#Metadata!", ADDRESS(INDEX($AI$2:$AI$1001,MATCH(ROWS($AG$2:AG868),$AG$2:$AG$1001,0),0), INDEX($AN$1004:$BO$1004,1,MATCH(COLUMNS($AN$1006:AW1006),$AN$1006:$BO$1006,0)))),"Fix")))</f>
        <v>0</v>
      </c>
      <c r="L868" s="4">
        <f>IF(OR(INDEX($AH$2:$AH$1001,MATCH(ROWS($AG$2:AG868),$AG$2:$AG$1001,0),1)&gt;=100000,INDEX($AN$1005:$BO$1005,1,MATCH(COLUMNS($AN$1006:AX1006),$AN$1006:$BO$1006,0))&gt;=100000), " ",IF(INDEX($AN$2:$BO$1001,MATCH(ROWS($AG$2:AG868),$AG$2:$AG$1001,0),MATCH(COLUMNS($AN$1006:AX1006),$AN$1006:$BO$1006,0)), HYPERLINK("#",""), HYPERLINK(CONCATENATE("#Metadata!", ADDRESS(INDEX($AI$2:$AI$1001,MATCH(ROWS($AG$2:AG868),$AG$2:$AG$1001,0),0), INDEX($AN$1004:$BO$1004,1,MATCH(COLUMNS($AN$1006:AX1006),$AN$1006:$BO$1006,0)))),"Fix")))</f>
        <v>0</v>
      </c>
      <c r="M868" s="4">
        <f>IF(OR(INDEX($AH$2:$AH$1001,MATCH(ROWS($AG$2:AG868),$AG$2:$AG$1001,0),1)&gt;=100000,INDEX($AN$1005:$BO$1005,1,MATCH(COLUMNS($AN$1006:AY1006),$AN$1006:$BO$1006,0))&gt;=100000), " ",IF(INDEX($AN$2:$BO$1001,MATCH(ROWS($AG$2:AG868),$AG$2:$AG$1001,0),MATCH(COLUMNS($AN$1006:AY1006),$AN$1006:$BO$1006,0)), HYPERLINK("#",""), HYPERLINK(CONCATENATE("#Metadata!", ADDRESS(INDEX($AI$2:$AI$1001,MATCH(ROWS($AG$2:AG868),$AG$2:$AG$1001,0),0), INDEX($AN$1004:$BO$1004,1,MATCH(COLUMNS($AN$1006:AY1006),$AN$1006:$BO$1006,0)))),"Fix")))</f>
        <v>0</v>
      </c>
      <c r="N868" s="4">
        <f>IF(OR(INDEX($AH$2:$AH$1001,MATCH(ROWS($AG$2:AG868),$AG$2:$AG$1001,0),1)&gt;=100000,INDEX($AN$1005:$BO$1005,1,MATCH(COLUMNS($AN$1006:AZ1006),$AN$1006:$BO$1006,0))&gt;=100000), " ",IF(INDEX($AN$2:$BO$1001,MATCH(ROWS($AG$2:AG868),$AG$2:$AG$1001,0),MATCH(COLUMNS($AN$1006:AZ1006),$AN$1006:$BO$1006,0)), HYPERLINK("#",""), HYPERLINK(CONCATENATE("#Metadata!", ADDRESS(INDEX($AI$2:$AI$1001,MATCH(ROWS($AG$2:AG868),$AG$2:$AG$1001,0),0), INDEX($AN$1004:$BO$1004,1,MATCH(COLUMNS($AN$1006:AZ1006),$AN$1006:$BO$1006,0)))),"Fix")))</f>
        <v>0</v>
      </c>
      <c r="O868" s="4">
        <f>IF(OR(INDEX($AH$2:$AH$1001,MATCH(ROWS($AG$2:AG868),$AG$2:$AG$1001,0),1)&gt;=100000,INDEX($AN$1005:$BO$1005,1,MATCH(COLUMNS($AN$1006:BA1006),$AN$1006:$BO$1006,0))&gt;=100000), " ",IF(INDEX($AN$2:$BO$1001,MATCH(ROWS($AG$2:AG868),$AG$2:$AG$1001,0),MATCH(COLUMNS($AN$1006:BA1006),$AN$1006:$BO$1006,0)), HYPERLINK("#",""), HYPERLINK(CONCATENATE("#Metadata!", ADDRESS(INDEX($AI$2:$AI$1001,MATCH(ROWS($AG$2:AG868),$AG$2:$AG$1001,0),0), INDEX($AN$1004:$BO$1004,1,MATCH(COLUMNS($AN$1006:BA1006),$AN$1006:$BO$1006,0)))),"Fix")))</f>
        <v>0</v>
      </c>
      <c r="P868" s="4">
        <f>IF(OR(INDEX($AH$2:$AH$1001,MATCH(ROWS($AG$2:AG868),$AG$2:$AG$1001,0),1)&gt;=100000,INDEX($AN$1005:$BO$1005,1,MATCH(COLUMNS($AN$1006:BB1006),$AN$1006:$BO$1006,0))&gt;=100000), " ",IF(INDEX($AN$2:$BO$1001,MATCH(ROWS($AG$2:AG868),$AG$2:$AG$1001,0),MATCH(COLUMNS($AN$1006:BB1006),$AN$1006:$BO$1006,0)), HYPERLINK("#",""), HYPERLINK(CONCATENATE("#Metadata!", ADDRESS(INDEX($AI$2:$AI$1001,MATCH(ROWS($AG$2:AG868),$AG$2:$AG$1001,0),0), INDEX($AN$1004:$BO$1004,1,MATCH(COLUMNS($AN$1006:BB1006),$AN$1006:$BO$1006,0)))),"Fix")))</f>
        <v>0</v>
      </c>
      <c r="Q868" s="4">
        <f>IF(OR(INDEX($AH$2:$AH$1001,MATCH(ROWS($AG$2:AG868),$AG$2:$AG$1001,0),1)&gt;=100000,INDEX($AN$1005:$BO$1005,1,MATCH(COLUMNS($AN$1006:BC1006),$AN$1006:$BO$1006,0))&gt;=100000), " ",IF(INDEX($AN$2:$BO$1001,MATCH(ROWS($AG$2:AG868),$AG$2:$AG$1001,0),MATCH(COLUMNS($AN$1006:BC1006),$AN$1006:$BO$1006,0)), HYPERLINK("#",""), HYPERLINK(CONCATENATE("#Metadata!", ADDRESS(INDEX($AI$2:$AI$1001,MATCH(ROWS($AG$2:AG868),$AG$2:$AG$1001,0),0), INDEX($AN$1004:$BO$1004,1,MATCH(COLUMNS($AN$1006:BC1006),$AN$1006:$BO$1006,0)))),"Fix")))</f>
        <v>0</v>
      </c>
      <c r="R868" s="4">
        <f>IF(OR(INDEX($AH$2:$AH$1001,MATCH(ROWS($AG$2:AG868),$AG$2:$AG$1001,0),1)&gt;=100000,INDEX($AN$1005:$BO$1005,1,MATCH(COLUMNS($AN$1006:BD1006),$AN$1006:$BO$1006,0))&gt;=100000), " ",IF(INDEX($AN$2:$BO$1001,MATCH(ROWS($AG$2:AG868),$AG$2:$AG$1001,0),MATCH(COLUMNS($AN$1006:BD1006),$AN$1006:$BO$1006,0)), HYPERLINK("#",""), HYPERLINK(CONCATENATE("#Metadata!", ADDRESS(INDEX($AI$2:$AI$1001,MATCH(ROWS($AG$2:AG868),$AG$2:$AG$1001,0),0), INDEX($AN$1004:$BO$1004,1,MATCH(COLUMNS($AN$1006:BD1006),$AN$1006:$BO$1006,0)))),"Fix")))</f>
        <v>0</v>
      </c>
      <c r="S868" s="4">
        <f>IF(OR(INDEX($AH$2:$AH$1001,MATCH(ROWS($AG$2:AG868),$AG$2:$AG$1001,0),1)&gt;=100000,INDEX($AN$1005:$BO$1005,1,MATCH(COLUMNS($AN$1006:BE1006),$AN$1006:$BO$1006,0))&gt;=100000), " ",IF(INDEX($AN$2:$BO$1001,MATCH(ROWS($AG$2:AG868),$AG$2:$AG$1001,0),MATCH(COLUMNS($AN$1006:BE1006),$AN$1006:$BO$1006,0)), HYPERLINK("#",""), HYPERLINK(CONCATENATE("#Metadata!", ADDRESS(INDEX($AI$2:$AI$1001,MATCH(ROWS($AG$2:AG868),$AG$2:$AG$1001,0),0), INDEX($AN$1004:$BO$1004,1,MATCH(COLUMNS($AN$1006:BE1006),$AN$1006:$BO$1006,0)))),"Fix")))</f>
        <v>0</v>
      </c>
      <c r="T868" s="4">
        <f>IF(OR(INDEX($AH$2:$AH$1001,MATCH(ROWS($AG$2:AG868),$AG$2:$AG$1001,0),1)&gt;=100000,INDEX($AN$1005:$BO$1005,1,MATCH(COLUMNS($AN$1006:BF1006),$AN$1006:$BO$1006,0))&gt;=100000), " ",IF(INDEX($AN$2:$BO$1001,MATCH(ROWS($AG$2:AG868),$AG$2:$AG$1001,0),MATCH(COLUMNS($AN$1006:BF1006),$AN$1006:$BO$1006,0)), HYPERLINK("#",""), HYPERLINK(CONCATENATE("#Metadata!", ADDRESS(INDEX($AI$2:$AI$1001,MATCH(ROWS($AG$2:AG868),$AG$2:$AG$1001,0),0), INDEX($AN$1004:$BO$1004,1,MATCH(COLUMNS($AN$1006:BF1006),$AN$1006:$BO$1006,0)))),"Fix")))</f>
        <v>0</v>
      </c>
      <c r="U868" s="4">
        <f>IF(OR(INDEX($AH$2:$AH$1001,MATCH(ROWS($AG$2:AG868),$AG$2:$AG$1001,0),1)&gt;=100000,INDEX($AN$1005:$BO$1005,1,MATCH(COLUMNS($AN$1006:BG1006),$AN$1006:$BO$1006,0))&gt;=100000), " ",IF(INDEX($AN$2:$BO$1001,MATCH(ROWS($AG$2:AG868),$AG$2:$AG$1001,0),MATCH(COLUMNS($AN$1006:BG1006),$AN$1006:$BO$1006,0)), HYPERLINK("#",""), HYPERLINK(CONCATENATE("#Metadata!", ADDRESS(INDEX($AI$2:$AI$1001,MATCH(ROWS($AG$2:AG868),$AG$2:$AG$1001,0),0), INDEX($AN$1004:$BO$1004,1,MATCH(COLUMNS($AN$1006:BG1006),$AN$1006:$BO$1006,0)))),"Fix")))</f>
        <v>0</v>
      </c>
      <c r="V868" s="4">
        <f>IF(OR(INDEX($AH$2:$AH$1001,MATCH(ROWS($AG$2:AG868),$AG$2:$AG$1001,0),1)&gt;=100000,INDEX($AN$1005:$BO$1005,1,MATCH(COLUMNS($AN$1006:BH1006),$AN$1006:$BO$1006,0))&gt;=100000), " ",IF(INDEX($AN$2:$BO$1001,MATCH(ROWS($AG$2:AG868),$AG$2:$AG$1001,0),MATCH(COLUMNS($AN$1006:BH1006),$AN$1006:$BO$1006,0)), HYPERLINK("#",""), HYPERLINK(CONCATENATE("#Metadata!", ADDRESS(INDEX($AI$2:$AI$1001,MATCH(ROWS($AG$2:AG868),$AG$2:$AG$1001,0),0), INDEX($AN$1004:$BO$1004,1,MATCH(COLUMNS($AN$1006:BH1006),$AN$1006:$BO$1006,0)))),"Fix")))</f>
        <v>0</v>
      </c>
      <c r="W868" s="4">
        <f>IF(OR(INDEX($AH$2:$AH$1001,MATCH(ROWS($AG$2:AG868),$AG$2:$AG$1001,0),1)&gt;=100000,INDEX($AN$1005:$BO$1005,1,MATCH(COLUMNS($AN$1006:BI1006),$AN$1006:$BO$1006,0))&gt;=100000), " ",IF(INDEX($AN$2:$BO$1001,MATCH(ROWS($AG$2:AG868),$AG$2:$AG$1001,0),MATCH(COLUMNS($AN$1006:BI1006),$AN$1006:$BO$1006,0)), HYPERLINK("#",""), HYPERLINK(CONCATENATE("#Metadata!", ADDRESS(INDEX($AI$2:$AI$1001,MATCH(ROWS($AG$2:AG868),$AG$2:$AG$1001,0),0), INDEX($AN$1004:$BO$1004,1,MATCH(COLUMNS($AN$1006:BI1006),$AN$1006:$BO$1006,0)))),"Fix")))</f>
        <v>0</v>
      </c>
      <c r="X868" s="4">
        <f>IF(OR(INDEX($AH$2:$AH$1001,MATCH(ROWS($AG$2:AG868),$AG$2:$AG$1001,0),1)&gt;=100000,INDEX($AN$1005:$BO$1005,1,MATCH(COLUMNS($AN$1006:BJ1006),$AN$1006:$BO$1006,0))&gt;=100000), " ",IF(INDEX($AN$2:$BO$1001,MATCH(ROWS($AG$2:AG868),$AG$2:$AG$1001,0),MATCH(COLUMNS($AN$1006:BJ1006),$AN$1006:$BO$1006,0)), HYPERLINK("#",""), HYPERLINK(CONCATENATE("#Metadata!", ADDRESS(INDEX($AI$2:$AI$1001,MATCH(ROWS($AG$2:AG868),$AG$2:$AG$1001,0),0), INDEX($AN$1004:$BO$1004,1,MATCH(COLUMNS($AN$1006:BJ1006),$AN$1006:$BO$1006,0)))),"Fix")))</f>
        <v>0</v>
      </c>
      <c r="Y868" s="4">
        <f>IF(OR(INDEX($AH$2:$AH$1001,MATCH(ROWS($AG$2:AG868),$AG$2:$AG$1001,0),1)&gt;=100000,INDEX($AN$1005:$BO$1005,1,MATCH(COLUMNS($AN$1006:BK1006),$AN$1006:$BO$1006,0))&gt;=100000), " ",IF(INDEX($AN$2:$BO$1001,MATCH(ROWS($AG$2:AG868),$AG$2:$AG$1001,0),MATCH(COLUMNS($AN$1006:BK1006),$AN$1006:$BO$1006,0)), HYPERLINK("#",""), HYPERLINK(CONCATENATE("#Metadata!", ADDRESS(INDEX($AI$2:$AI$1001,MATCH(ROWS($AG$2:AG868),$AG$2:$AG$1001,0),0), INDEX($AN$1004:$BO$1004,1,MATCH(COLUMNS($AN$1006:BK1006),$AN$1006:$BO$1006,0)))),"Fix")))</f>
        <v>0</v>
      </c>
      <c r="Z868" s="4">
        <f>IF(OR(INDEX($AH$2:$AH$1001,MATCH(ROWS($AG$2:AG868),$AG$2:$AG$1001,0),1)&gt;=100000,INDEX($AN$1005:$BO$1005,1,MATCH(COLUMNS($AN$1006:BL1006),$AN$1006:$BO$1006,0))&gt;=100000), " ",IF(INDEX($AN$2:$BO$1001,MATCH(ROWS($AG$2:AG868),$AG$2:$AG$1001,0),MATCH(COLUMNS($AN$1006:BL1006),$AN$1006:$BO$1006,0)), HYPERLINK("#",""), HYPERLINK(CONCATENATE("#Metadata!", ADDRESS(INDEX($AI$2:$AI$1001,MATCH(ROWS($AG$2:AG868),$AG$2:$AG$1001,0),0), INDEX($AN$1004:$BO$1004,1,MATCH(COLUMNS($AN$1006:BL1006),$AN$1006:$BO$1006,0)))),"Fix")))</f>
        <v>0</v>
      </c>
      <c r="AA868" s="4">
        <f>IF(OR(INDEX($AH$2:$AH$1001,MATCH(ROWS($AG$2:AG868),$AG$2:$AG$1001,0),1)&gt;=100000,INDEX($AN$1005:$BO$1005,1,MATCH(COLUMNS($AN$1006:BM1006),$AN$1006:$BO$1006,0))&gt;=100000), " ",IF(INDEX($AN$2:$BO$1001,MATCH(ROWS($AG$2:AG868),$AG$2:$AG$1001,0),MATCH(COLUMNS($AN$1006:BM1006),$AN$1006:$BO$1006,0)), HYPERLINK("#",""), HYPERLINK(CONCATENATE("#Metadata!", ADDRESS(INDEX($AI$2:$AI$1001,MATCH(ROWS($AG$2:AG868),$AG$2:$AG$1001,0),0), INDEX($AN$1004:$BO$1004,1,MATCH(COLUMNS($AN$1006:BM1006),$AN$1006:$BO$1006,0)))),"Fix")))</f>
        <v>0</v>
      </c>
      <c r="AB868" s="4">
        <f>IF(OR(INDEX($AH$2:$AH$1001,MATCH(ROWS($AG$2:AG868),$AG$2:$AG$1001,0),1)&gt;=100000,INDEX($AN$1005:$BO$1005,1,MATCH(COLUMNS($AN$1006:BN1006),$AN$1006:$BO$1006,0))&gt;=100000), " ",IF(INDEX($AN$2:$BO$1001,MATCH(ROWS($AG$2:AG868),$AG$2:$AG$1001,0),MATCH(COLUMNS($AN$1006:BN1006),$AN$1006:$BO$1006,0)), HYPERLINK("#",""), HYPERLINK(CONCATENATE("#Metadata!", ADDRESS(INDEX($AI$2:$AI$1001,MATCH(ROWS($AG$2:AG868),$AG$2:$AG$1001,0),0), INDEX($AN$1004:$BO$1004,1,MATCH(COLUMNS($AN$1006:BN1006),$AN$1006:$BO$1006,0)))),"Fix")))</f>
        <v>0</v>
      </c>
      <c r="AC868" s="4">
        <f>IF(OR(INDEX($AH$2:$AH$1001,MATCH(ROWS($AG$2:AG868),$AG$2:$AG$1001,0),1)&gt;=100000,INDEX($AN$1005:$BO$1005,1,MATCH(COLUMNS($AN$1006:BO1006),$AN$1006:$BO$1006,0))&gt;=100000), " ",IF(INDEX($AN$2:$BO$1001,MATCH(ROWS($AG$2:AG868),$AG$2:$AG$1001,0),MATCH(COLUMNS($AN$1006:BO1006),$AN$1006:$BO$1006,0)), HYPERLINK("#",""), HYPERLINK(CONCATENATE("#Metadata!", ADDRESS(INDEX($AI$2:$AI$1001,MATCH(ROWS($AG$2:AG868),$AG$2:$AG$1001,0),0), INDEX($AN$1004:$BO$1004,1,MATCH(COLUMNS($AN$1006:BO1006),$AN$1006:$BO$1006,0)))),"Fix")))</f>
        <v>0</v>
      </c>
      <c r="AG868">
        <v>0</v>
      </c>
      <c r="AH868">
        <v>0</v>
      </c>
      <c r="AI868">
        <v>0</v>
      </c>
      <c r="AJ868">
        <f>IF(AK868,TRUE,AND(AN868:BO868))</f>
        <v>0</v>
      </c>
      <c r="AK868">
        <f>COUNTBLANK(Metadata!B868:AC868)=COLUMNS(Metadata!B868:AC868)</f>
        <v>0</v>
      </c>
      <c r="AL868">
        <v>0</v>
      </c>
      <c r="AN868">
        <f>AND(IF(Metadata!B868="",FALSE,TRUE),COUNTIF(Metadata!B:B, Metadata!B868) = 1,NOT(ISERROR(SUMPRODUCT(SEARCH(MID(Metadata!B868,ROW(INDIRECT("1:"&amp;LEN(Metadata!B868))), 1),"0123456789abcdefghijklmnopqrstuvwxyzABCDEFGHIJKLMNOPQRSTUVWXYZ.")))))</f>
        <v>0</v>
      </c>
      <c r="AO868">
        <f>IF(Metadata!C868="",FALSE,TRUE)</f>
        <v>0</v>
      </c>
      <c r="AP868">
        <f>IF(Metadata!D868="",FALSE,TRUE)</f>
        <v>0</v>
      </c>
      <c r="AQ868">
        <f>OR(AND(IF(Metadata!E868="",FALSE,TRUE),OR(exact(Metadata!E868,"not collected"),exact(Metadata!E868,"not provided"),exact(Metadata!E868,"restricted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R868">
        <f>IF(Metadata!F868="",FALSE,TRUE)</f>
        <v>0</v>
      </c>
      <c r="AS868">
        <f>OR(AND(IF(Metadata!G868="",FALSE,TRUE),OR(exact(Metadata!G868,"not collected"),exact(Metadata!G868,"not provided"))),AND(IF(Metadata!G868="",FALSE,TRUE),OR(exact(Metadata!G868,"TRUE"),exact(Metadata!G868,"FALSE"))))</f>
        <v>0</v>
      </c>
      <c r="AT868">
        <f>OR(AND(IF(Metadata!H868="",FALSE,TRUE),OR(exact(Metadata!H868,"not collected"),exact(Metadata!H868,"not provided"),exact(Metadata!H868,"restricted access"))),AND(IF(Metadata!H868="",FALSE,ISNUMBER(VALUE(Metadata!H868))),Metadata!H868&gt;=-413.0))</f>
        <v>0</v>
      </c>
      <c r="AU868">
        <f>AND(IF(Metadata!I868="",FALSE,TRUE),exact(Metadata!I868,"meters"))</f>
        <v>0</v>
      </c>
      <c r="AV868">
        <f>AND(IF(Metadata!J868="",FALSE,TRUE),OR(exact(Metadata!J868,"Host-associated"),exact(Metadata!J868,"Free-living")))</f>
        <v>0</v>
      </c>
      <c r="AW868">
        <f>AND(IF(Metadata!K868="",FALSE,TRUE),OR(exact(Metadata!K868,"Animal"),exact(Metadata!K868,"Fungus"),exact(Metadata!K868,"Plant"),exact(Metadata!K868,"Saline"),exact(Metadata!K868,"Non-saline")))</f>
        <v>0</v>
      </c>
      <c r="AX868">
        <f>AND(IF(Metadata!L868="",FALSE,TRUE),OR(exact(Metadata!L868,"Plant secretion"),exact(Metadata!L868,"Plant rhizosphere"),exact(Metadata!L868,"Plant surface"),exact(Metadata!L868,"Plant corpus"),exact(Metadata!L868,"Fungus surface"),exact(Metadata!L868,"Fungus corpus"),exact(Metadata!L868,"Animal surface"),exact(Metadata!L868,"Animal proximal gut"),exact(Metadata!L868,"Animal corpus"),exact(Metadata!L868,"Animal distal gut"),exact(Metadata!L868,"Animal secretion"),exact(Metadata!L868,"Sub-surface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Y868">
        <f>IF(Metadata!M868="",FALSE,TRUE)</f>
        <v>0</v>
      </c>
      <c r="AZ868">
        <f>IF(Metadata!N868="",FALSE,TRUE)</f>
        <v>0</v>
      </c>
      <c r="BA868">
        <f>IF(Metadata!O868="",FALSE,TRUE)</f>
        <v>0</v>
      </c>
      <c r="BB868">
        <f>OR(AND(IF(Metadata!P868="",FALSE,TRUE),OR(exact(Metadata!P868,"not collected"),exact(Metadata!P868,"not provided"),exact(Metadata!P868,"restricted access"))),AND(IF(Metadata!P868="",FALSE,TRUE),OR(exact(Metadata!P868,"air"),exact(Metadata!P868,"built environment"),exact(Metadata!P868,"host-associated"),exact(Metadata!P868,"human-associated"),exact(Metadata!P868,"human-skin"),exact(Metadata!P868,"human-oral"),exact(Metadata!P868,"human-gut"),exact(Metadata!P868,"human-vaginal"),exact(Metadata!P868,"microbial mat/biofilm"),exact(Metadata!P868,"misc environment"),exact(Metadata!P868,"plant-associated"),exact(Metadata!P868,"sediment"),exact(Metadata!P868,"soil"),exact(Metadata!P868,"wastewater/sludge"),exact(Metadata!P868,"water"))))</f>
        <v>0</v>
      </c>
      <c r="BC868">
        <f>IF(Metadata!Q868="",FALSE,TRUE)</f>
        <v>0</v>
      </c>
      <c r="BD868">
        <f>IF(Metadata!R868="",FALSE,TRUE)</f>
        <v>0</v>
      </c>
      <c r="BE868">
        <f>OR(AND(IF(Metadata!S868="",FALSE,TRUE),OR(exact(Metadata!S868,"not collected"),exact(Metadata!S868,"not provided"),exact(Metadata!S868,"restricted access"))),AND(IF(Metadata!S868="",FALSE,ISNUMBER(VALUE(Metadata!S868))),Metadata!S868&gt;=-90.00,Metadata!S868&lt;=90.00))</f>
        <v>0</v>
      </c>
      <c r="BF868">
        <f>AND(IF(Metadata!T868="",FALSE,TRUE),exact(Metadata!T868,"Decimal degrees"))</f>
        <v>0</v>
      </c>
      <c r="BG868">
        <f>OR(AND(IF(Metadata!U868="",FALSE,TRUE),OR(exact(Metadata!U868,"not collected"),exact(Metadata!U868,"not provided"),exact(Metadata!U868,"restricted access"))),AND(IF(Metadata!U868="",FALSE,ISNUMBER(VALUE(Metadata!U868))),Metadata!U868&gt;=-180.00,Metadata!U868&lt;=180.00))</f>
        <v>0</v>
      </c>
      <c r="BH868">
        <f>AND(IF(Metadata!V868="",FALSE,TRUE),exact(Metadata!V868,"Decimal degrees"))</f>
        <v>0</v>
      </c>
      <c r="BI868">
        <f>IF(Metadata!W868="",FALSE,TRUE)</f>
        <v>0</v>
      </c>
      <c r="BJ868">
        <f>OR(AND(IF(Metadata!X868="",FALSE,TRUE),OR(exact(Metadata!X868,"not collected"),exact(Metadata!X868,"not provided"),exact(Metadata!X868,"restricted access"))),AND(IF(Metadata!X868="",FALSE,TRUE),OR(exact(Metadata!X868,"TRUE"),exact(Metadata!X868,"FALSE"))))</f>
        <v>0</v>
      </c>
      <c r="BK868">
        <f>AND(IF(Metadata!Y868="",FALSE,TRUE),exact(Metadata!Y868,"other"))</f>
        <v>0</v>
      </c>
      <c r="BL868">
        <f>IF(Metadata!Z868="",FALSE,TRUE)</f>
        <v>0</v>
      </c>
      <c r="BM868">
        <f>OR(AND(IF(Metadata!AA868="",FALSE,TRUE),OR(exact(Metadata!AA868,"not collected"),exact(Metadata!AA868,"not provided"))),AND(IF(Metadata!AA868="",FALSE,IF(ISERROR(INT(Metadata!AA868)),FALSE,INT(Metadata!AA868)=Metadata!AA868)),Metadata!AA868&gt;0))</f>
        <v>0</v>
      </c>
      <c r="BN868">
        <f>AND(IF(Metadata!AB868="",FALSE,TRUE),exact(Metadata!AB868,"Not applicable"))</f>
        <v>0</v>
      </c>
      <c r="BO868">
        <f>IF(Metadata!AC868="",FALSE,TRUE)</f>
        <v>0</v>
      </c>
    </row>
    <row r="869" spans="1:67">
      <c r="A869" s="5">
        <f>IF(B869=" "," ",HYPERLINK(CONCATENATE("#metadata!",ADDRESS(INDEX($AI$2:$AI$1001,MATCH(ROWS($AG$2:AG869),$AG$2:$AG$1001,0),0),1)),INDEX($AL$2:$AL$1001,MATCH(ROWS($AG$2:AG869),$AG$2:$AG$1001,0),0)))</f>
        <v>0</v>
      </c>
      <c r="B869" s="4">
        <f>IF(OR(INDEX($AH$2:$AH$1001,MATCH(ROWS($AG$2:AG869),$AG$2:$AG$1001,0),1)&gt;=100000,INDEX($AN$1005:$BO$1005,1,MATCH(COLUMNS($AN$1006:AN1006),$AN$1006:$BO$1006,0))&gt;=100000), " ",IF(INDEX($AN$2:$BO$1001,MATCH(ROWS($AG$2:AG869),$AG$2:$AG$1001,0),MATCH(COLUMNS($AN$1006:AN1006),$AN$1006:$BO$1006,0)), HYPERLINK("#",""), HYPERLINK(CONCATENATE("#Metadata!", ADDRESS(INDEX($AI$2:$AI$1001,MATCH(ROWS($AG$2:AG869),$AG$2:$AG$1001,0),0), INDEX($AN$1004:$BO$1004,1,MATCH(COLUMNS($AN$1006:AN1006),$AN$1006:$BO$1006,0)))),"Fix")))</f>
        <v>0</v>
      </c>
      <c r="C869" s="4">
        <f>IF(OR(INDEX($AH$2:$AH$1001,MATCH(ROWS($AG$2:AG869),$AG$2:$AG$1001,0),1)&gt;=100000,INDEX($AN$1005:$BO$1005,1,MATCH(COLUMNS($AN$1006:AO1006),$AN$1006:$BO$1006,0))&gt;=100000), " ",IF(INDEX($AN$2:$BO$1001,MATCH(ROWS($AG$2:AG869),$AG$2:$AG$1001,0),MATCH(COLUMNS($AN$1006:AO1006),$AN$1006:$BO$1006,0)), HYPERLINK("#",""), HYPERLINK(CONCATENATE("#Metadata!", ADDRESS(INDEX($AI$2:$AI$1001,MATCH(ROWS($AG$2:AG869),$AG$2:$AG$1001,0),0), INDEX($AN$1004:$BO$1004,1,MATCH(COLUMNS($AN$1006:AO1006),$AN$1006:$BO$1006,0)))),"Fix")))</f>
        <v>0</v>
      </c>
      <c r="D869" s="4">
        <f>IF(OR(INDEX($AH$2:$AH$1001,MATCH(ROWS($AG$2:AG869),$AG$2:$AG$1001,0),1)&gt;=100000,INDEX($AN$1005:$BO$1005,1,MATCH(COLUMNS($AN$1006:AP1006),$AN$1006:$BO$1006,0))&gt;=100000), " ",IF(INDEX($AN$2:$BO$1001,MATCH(ROWS($AG$2:AG869),$AG$2:$AG$1001,0),MATCH(COLUMNS($AN$1006:AP1006),$AN$1006:$BO$1006,0)), HYPERLINK("#",""), HYPERLINK(CONCATENATE("#Metadata!", ADDRESS(INDEX($AI$2:$AI$1001,MATCH(ROWS($AG$2:AG869),$AG$2:$AG$1001,0),0), INDEX($AN$1004:$BO$1004,1,MATCH(COLUMNS($AN$1006:AP1006),$AN$1006:$BO$1006,0)))),"Fix")))</f>
        <v>0</v>
      </c>
      <c r="E869" s="4">
        <f>IF(OR(INDEX($AH$2:$AH$1001,MATCH(ROWS($AG$2:AG869),$AG$2:$AG$1001,0),1)&gt;=100000,INDEX($AN$1005:$BO$1005,1,MATCH(COLUMNS($AN$1006:AQ1006),$AN$1006:$BO$1006,0))&gt;=100000), " ",IF(INDEX($AN$2:$BO$1001,MATCH(ROWS($AG$2:AG869),$AG$2:$AG$1001,0),MATCH(COLUMNS($AN$1006:AQ1006),$AN$1006:$BO$1006,0)), HYPERLINK("#",""), HYPERLINK(CONCATENATE("#Metadata!", ADDRESS(INDEX($AI$2:$AI$1001,MATCH(ROWS($AG$2:AG869),$AG$2:$AG$1001,0),0), INDEX($AN$1004:$BO$1004,1,MATCH(COLUMNS($AN$1006:AQ1006),$AN$1006:$BO$1006,0)))),"Fix")))</f>
        <v>0</v>
      </c>
      <c r="F869" s="4">
        <f>IF(OR(INDEX($AH$2:$AH$1001,MATCH(ROWS($AG$2:AG869),$AG$2:$AG$1001,0),1)&gt;=100000,INDEX($AN$1005:$BO$1005,1,MATCH(COLUMNS($AN$1006:AR1006),$AN$1006:$BO$1006,0))&gt;=100000), " ",IF(INDEX($AN$2:$BO$1001,MATCH(ROWS($AG$2:AG869),$AG$2:$AG$1001,0),MATCH(COLUMNS($AN$1006:AR1006),$AN$1006:$BO$1006,0)), HYPERLINK("#",""), HYPERLINK(CONCATENATE("#Metadata!", ADDRESS(INDEX($AI$2:$AI$1001,MATCH(ROWS($AG$2:AG869),$AG$2:$AG$1001,0),0), INDEX($AN$1004:$BO$1004,1,MATCH(COLUMNS($AN$1006:AR1006),$AN$1006:$BO$1006,0)))),"Fix")))</f>
        <v>0</v>
      </c>
      <c r="G869" s="4">
        <f>IF(OR(INDEX($AH$2:$AH$1001,MATCH(ROWS($AG$2:AG869),$AG$2:$AG$1001,0),1)&gt;=100000,INDEX($AN$1005:$BO$1005,1,MATCH(COLUMNS($AN$1006:AS1006),$AN$1006:$BO$1006,0))&gt;=100000), " ",IF(INDEX($AN$2:$BO$1001,MATCH(ROWS($AG$2:AG869),$AG$2:$AG$1001,0),MATCH(COLUMNS($AN$1006:AS1006),$AN$1006:$BO$1006,0)), HYPERLINK("#",""), HYPERLINK(CONCATENATE("#Metadata!", ADDRESS(INDEX($AI$2:$AI$1001,MATCH(ROWS($AG$2:AG869),$AG$2:$AG$1001,0),0), INDEX($AN$1004:$BO$1004,1,MATCH(COLUMNS($AN$1006:AS1006),$AN$1006:$BO$1006,0)))),"Fix")))</f>
        <v>0</v>
      </c>
      <c r="H869" s="4">
        <f>IF(OR(INDEX($AH$2:$AH$1001,MATCH(ROWS($AG$2:AG869),$AG$2:$AG$1001,0),1)&gt;=100000,INDEX($AN$1005:$BO$1005,1,MATCH(COLUMNS($AN$1006:AT1006),$AN$1006:$BO$1006,0))&gt;=100000), " ",IF(INDEX($AN$2:$BO$1001,MATCH(ROWS($AG$2:AG869),$AG$2:$AG$1001,0),MATCH(COLUMNS($AN$1006:AT1006),$AN$1006:$BO$1006,0)), HYPERLINK("#",""), HYPERLINK(CONCATENATE("#Metadata!", ADDRESS(INDEX($AI$2:$AI$1001,MATCH(ROWS($AG$2:AG869),$AG$2:$AG$1001,0),0), INDEX($AN$1004:$BO$1004,1,MATCH(COLUMNS($AN$1006:AT1006),$AN$1006:$BO$1006,0)))),"Fix")))</f>
        <v>0</v>
      </c>
      <c r="I869" s="4">
        <f>IF(OR(INDEX($AH$2:$AH$1001,MATCH(ROWS($AG$2:AG869),$AG$2:$AG$1001,0),1)&gt;=100000,INDEX($AN$1005:$BO$1005,1,MATCH(COLUMNS($AN$1006:AU1006),$AN$1006:$BO$1006,0))&gt;=100000), " ",IF(INDEX($AN$2:$BO$1001,MATCH(ROWS($AG$2:AG869),$AG$2:$AG$1001,0),MATCH(COLUMNS($AN$1006:AU1006),$AN$1006:$BO$1006,0)), HYPERLINK("#",""), HYPERLINK(CONCATENATE("#Metadata!", ADDRESS(INDEX($AI$2:$AI$1001,MATCH(ROWS($AG$2:AG869),$AG$2:$AG$1001,0),0), INDEX($AN$1004:$BO$1004,1,MATCH(COLUMNS($AN$1006:AU1006),$AN$1006:$BO$1006,0)))),"Fix")))</f>
        <v>0</v>
      </c>
      <c r="J869" s="4">
        <f>IF(OR(INDEX($AH$2:$AH$1001,MATCH(ROWS($AG$2:AG869),$AG$2:$AG$1001,0),1)&gt;=100000,INDEX($AN$1005:$BO$1005,1,MATCH(COLUMNS($AN$1006:AV1006),$AN$1006:$BO$1006,0))&gt;=100000), " ",IF(INDEX($AN$2:$BO$1001,MATCH(ROWS($AG$2:AG869),$AG$2:$AG$1001,0),MATCH(COLUMNS($AN$1006:AV1006),$AN$1006:$BO$1006,0)), HYPERLINK("#",""), HYPERLINK(CONCATENATE("#Metadata!", ADDRESS(INDEX($AI$2:$AI$1001,MATCH(ROWS($AG$2:AG869),$AG$2:$AG$1001,0),0), INDEX($AN$1004:$BO$1004,1,MATCH(COLUMNS($AN$1006:AV1006),$AN$1006:$BO$1006,0)))),"Fix")))</f>
        <v>0</v>
      </c>
      <c r="K869" s="4">
        <f>IF(OR(INDEX($AH$2:$AH$1001,MATCH(ROWS($AG$2:AG869),$AG$2:$AG$1001,0),1)&gt;=100000,INDEX($AN$1005:$BO$1005,1,MATCH(COLUMNS($AN$1006:AW1006),$AN$1006:$BO$1006,0))&gt;=100000), " ",IF(INDEX($AN$2:$BO$1001,MATCH(ROWS($AG$2:AG869),$AG$2:$AG$1001,0),MATCH(COLUMNS($AN$1006:AW1006),$AN$1006:$BO$1006,0)), HYPERLINK("#",""), HYPERLINK(CONCATENATE("#Metadata!", ADDRESS(INDEX($AI$2:$AI$1001,MATCH(ROWS($AG$2:AG869),$AG$2:$AG$1001,0),0), INDEX($AN$1004:$BO$1004,1,MATCH(COLUMNS($AN$1006:AW1006),$AN$1006:$BO$1006,0)))),"Fix")))</f>
        <v>0</v>
      </c>
      <c r="L869" s="4">
        <f>IF(OR(INDEX($AH$2:$AH$1001,MATCH(ROWS($AG$2:AG869),$AG$2:$AG$1001,0),1)&gt;=100000,INDEX($AN$1005:$BO$1005,1,MATCH(COLUMNS($AN$1006:AX1006),$AN$1006:$BO$1006,0))&gt;=100000), " ",IF(INDEX($AN$2:$BO$1001,MATCH(ROWS($AG$2:AG869),$AG$2:$AG$1001,0),MATCH(COLUMNS($AN$1006:AX1006),$AN$1006:$BO$1006,0)), HYPERLINK("#",""), HYPERLINK(CONCATENATE("#Metadata!", ADDRESS(INDEX($AI$2:$AI$1001,MATCH(ROWS($AG$2:AG869),$AG$2:$AG$1001,0),0), INDEX($AN$1004:$BO$1004,1,MATCH(COLUMNS($AN$1006:AX1006),$AN$1006:$BO$1006,0)))),"Fix")))</f>
        <v>0</v>
      </c>
      <c r="M869" s="4">
        <f>IF(OR(INDEX($AH$2:$AH$1001,MATCH(ROWS($AG$2:AG869),$AG$2:$AG$1001,0),1)&gt;=100000,INDEX($AN$1005:$BO$1005,1,MATCH(COLUMNS($AN$1006:AY1006),$AN$1006:$BO$1006,0))&gt;=100000), " ",IF(INDEX($AN$2:$BO$1001,MATCH(ROWS($AG$2:AG869),$AG$2:$AG$1001,0),MATCH(COLUMNS($AN$1006:AY1006),$AN$1006:$BO$1006,0)), HYPERLINK("#",""), HYPERLINK(CONCATENATE("#Metadata!", ADDRESS(INDEX($AI$2:$AI$1001,MATCH(ROWS($AG$2:AG869),$AG$2:$AG$1001,0),0), INDEX($AN$1004:$BO$1004,1,MATCH(COLUMNS($AN$1006:AY1006),$AN$1006:$BO$1006,0)))),"Fix")))</f>
        <v>0</v>
      </c>
      <c r="N869" s="4">
        <f>IF(OR(INDEX($AH$2:$AH$1001,MATCH(ROWS($AG$2:AG869),$AG$2:$AG$1001,0),1)&gt;=100000,INDEX($AN$1005:$BO$1005,1,MATCH(COLUMNS($AN$1006:AZ1006),$AN$1006:$BO$1006,0))&gt;=100000), " ",IF(INDEX($AN$2:$BO$1001,MATCH(ROWS($AG$2:AG869),$AG$2:$AG$1001,0),MATCH(COLUMNS($AN$1006:AZ1006),$AN$1006:$BO$1006,0)), HYPERLINK("#",""), HYPERLINK(CONCATENATE("#Metadata!", ADDRESS(INDEX($AI$2:$AI$1001,MATCH(ROWS($AG$2:AG869),$AG$2:$AG$1001,0),0), INDEX($AN$1004:$BO$1004,1,MATCH(COLUMNS($AN$1006:AZ1006),$AN$1006:$BO$1006,0)))),"Fix")))</f>
        <v>0</v>
      </c>
      <c r="O869" s="4">
        <f>IF(OR(INDEX($AH$2:$AH$1001,MATCH(ROWS($AG$2:AG869),$AG$2:$AG$1001,0),1)&gt;=100000,INDEX($AN$1005:$BO$1005,1,MATCH(COLUMNS($AN$1006:BA1006),$AN$1006:$BO$1006,0))&gt;=100000), " ",IF(INDEX($AN$2:$BO$1001,MATCH(ROWS($AG$2:AG869),$AG$2:$AG$1001,0),MATCH(COLUMNS($AN$1006:BA1006),$AN$1006:$BO$1006,0)), HYPERLINK("#",""), HYPERLINK(CONCATENATE("#Metadata!", ADDRESS(INDEX($AI$2:$AI$1001,MATCH(ROWS($AG$2:AG869),$AG$2:$AG$1001,0),0), INDEX($AN$1004:$BO$1004,1,MATCH(COLUMNS($AN$1006:BA1006),$AN$1006:$BO$1006,0)))),"Fix")))</f>
        <v>0</v>
      </c>
      <c r="P869" s="4">
        <f>IF(OR(INDEX($AH$2:$AH$1001,MATCH(ROWS($AG$2:AG869),$AG$2:$AG$1001,0),1)&gt;=100000,INDEX($AN$1005:$BO$1005,1,MATCH(COLUMNS($AN$1006:BB1006),$AN$1006:$BO$1006,0))&gt;=100000), " ",IF(INDEX($AN$2:$BO$1001,MATCH(ROWS($AG$2:AG869),$AG$2:$AG$1001,0),MATCH(COLUMNS($AN$1006:BB1006),$AN$1006:$BO$1006,0)), HYPERLINK("#",""), HYPERLINK(CONCATENATE("#Metadata!", ADDRESS(INDEX($AI$2:$AI$1001,MATCH(ROWS($AG$2:AG869),$AG$2:$AG$1001,0),0), INDEX($AN$1004:$BO$1004,1,MATCH(COLUMNS($AN$1006:BB1006),$AN$1006:$BO$1006,0)))),"Fix")))</f>
        <v>0</v>
      </c>
      <c r="Q869" s="4">
        <f>IF(OR(INDEX($AH$2:$AH$1001,MATCH(ROWS($AG$2:AG869),$AG$2:$AG$1001,0),1)&gt;=100000,INDEX($AN$1005:$BO$1005,1,MATCH(COLUMNS($AN$1006:BC1006),$AN$1006:$BO$1006,0))&gt;=100000), " ",IF(INDEX($AN$2:$BO$1001,MATCH(ROWS($AG$2:AG869),$AG$2:$AG$1001,0),MATCH(COLUMNS($AN$1006:BC1006),$AN$1006:$BO$1006,0)), HYPERLINK("#",""), HYPERLINK(CONCATENATE("#Metadata!", ADDRESS(INDEX($AI$2:$AI$1001,MATCH(ROWS($AG$2:AG869),$AG$2:$AG$1001,0),0), INDEX($AN$1004:$BO$1004,1,MATCH(COLUMNS($AN$1006:BC1006),$AN$1006:$BO$1006,0)))),"Fix")))</f>
        <v>0</v>
      </c>
      <c r="R869" s="4">
        <f>IF(OR(INDEX($AH$2:$AH$1001,MATCH(ROWS($AG$2:AG869),$AG$2:$AG$1001,0),1)&gt;=100000,INDEX($AN$1005:$BO$1005,1,MATCH(COLUMNS($AN$1006:BD1006),$AN$1006:$BO$1006,0))&gt;=100000), " ",IF(INDEX($AN$2:$BO$1001,MATCH(ROWS($AG$2:AG869),$AG$2:$AG$1001,0),MATCH(COLUMNS($AN$1006:BD1006),$AN$1006:$BO$1006,0)), HYPERLINK("#",""), HYPERLINK(CONCATENATE("#Metadata!", ADDRESS(INDEX($AI$2:$AI$1001,MATCH(ROWS($AG$2:AG869),$AG$2:$AG$1001,0),0), INDEX($AN$1004:$BO$1004,1,MATCH(COLUMNS($AN$1006:BD1006),$AN$1006:$BO$1006,0)))),"Fix")))</f>
        <v>0</v>
      </c>
      <c r="S869" s="4">
        <f>IF(OR(INDEX($AH$2:$AH$1001,MATCH(ROWS($AG$2:AG869),$AG$2:$AG$1001,0),1)&gt;=100000,INDEX($AN$1005:$BO$1005,1,MATCH(COLUMNS($AN$1006:BE1006),$AN$1006:$BO$1006,0))&gt;=100000), " ",IF(INDEX($AN$2:$BO$1001,MATCH(ROWS($AG$2:AG869),$AG$2:$AG$1001,0),MATCH(COLUMNS($AN$1006:BE1006),$AN$1006:$BO$1006,0)), HYPERLINK("#",""), HYPERLINK(CONCATENATE("#Metadata!", ADDRESS(INDEX($AI$2:$AI$1001,MATCH(ROWS($AG$2:AG869),$AG$2:$AG$1001,0),0), INDEX($AN$1004:$BO$1004,1,MATCH(COLUMNS($AN$1006:BE1006),$AN$1006:$BO$1006,0)))),"Fix")))</f>
        <v>0</v>
      </c>
      <c r="T869" s="4">
        <f>IF(OR(INDEX($AH$2:$AH$1001,MATCH(ROWS($AG$2:AG869),$AG$2:$AG$1001,0),1)&gt;=100000,INDEX($AN$1005:$BO$1005,1,MATCH(COLUMNS($AN$1006:BF1006),$AN$1006:$BO$1006,0))&gt;=100000), " ",IF(INDEX($AN$2:$BO$1001,MATCH(ROWS($AG$2:AG869),$AG$2:$AG$1001,0),MATCH(COLUMNS($AN$1006:BF1006),$AN$1006:$BO$1006,0)), HYPERLINK("#",""), HYPERLINK(CONCATENATE("#Metadata!", ADDRESS(INDEX($AI$2:$AI$1001,MATCH(ROWS($AG$2:AG869),$AG$2:$AG$1001,0),0), INDEX($AN$1004:$BO$1004,1,MATCH(COLUMNS($AN$1006:BF1006),$AN$1006:$BO$1006,0)))),"Fix")))</f>
        <v>0</v>
      </c>
      <c r="U869" s="4">
        <f>IF(OR(INDEX($AH$2:$AH$1001,MATCH(ROWS($AG$2:AG869),$AG$2:$AG$1001,0),1)&gt;=100000,INDEX($AN$1005:$BO$1005,1,MATCH(COLUMNS($AN$1006:BG1006),$AN$1006:$BO$1006,0))&gt;=100000), " ",IF(INDEX($AN$2:$BO$1001,MATCH(ROWS($AG$2:AG869),$AG$2:$AG$1001,0),MATCH(COLUMNS($AN$1006:BG1006),$AN$1006:$BO$1006,0)), HYPERLINK("#",""), HYPERLINK(CONCATENATE("#Metadata!", ADDRESS(INDEX($AI$2:$AI$1001,MATCH(ROWS($AG$2:AG869),$AG$2:$AG$1001,0),0), INDEX($AN$1004:$BO$1004,1,MATCH(COLUMNS($AN$1006:BG1006),$AN$1006:$BO$1006,0)))),"Fix")))</f>
        <v>0</v>
      </c>
      <c r="V869" s="4">
        <f>IF(OR(INDEX($AH$2:$AH$1001,MATCH(ROWS($AG$2:AG869),$AG$2:$AG$1001,0),1)&gt;=100000,INDEX($AN$1005:$BO$1005,1,MATCH(COLUMNS($AN$1006:BH1006),$AN$1006:$BO$1006,0))&gt;=100000), " ",IF(INDEX($AN$2:$BO$1001,MATCH(ROWS($AG$2:AG869),$AG$2:$AG$1001,0),MATCH(COLUMNS($AN$1006:BH1006),$AN$1006:$BO$1006,0)), HYPERLINK("#",""), HYPERLINK(CONCATENATE("#Metadata!", ADDRESS(INDEX($AI$2:$AI$1001,MATCH(ROWS($AG$2:AG869),$AG$2:$AG$1001,0),0), INDEX($AN$1004:$BO$1004,1,MATCH(COLUMNS($AN$1006:BH1006),$AN$1006:$BO$1006,0)))),"Fix")))</f>
        <v>0</v>
      </c>
      <c r="W869" s="4">
        <f>IF(OR(INDEX($AH$2:$AH$1001,MATCH(ROWS($AG$2:AG869),$AG$2:$AG$1001,0),1)&gt;=100000,INDEX($AN$1005:$BO$1005,1,MATCH(COLUMNS($AN$1006:BI1006),$AN$1006:$BO$1006,0))&gt;=100000), " ",IF(INDEX($AN$2:$BO$1001,MATCH(ROWS($AG$2:AG869),$AG$2:$AG$1001,0),MATCH(COLUMNS($AN$1006:BI1006),$AN$1006:$BO$1006,0)), HYPERLINK("#",""), HYPERLINK(CONCATENATE("#Metadata!", ADDRESS(INDEX($AI$2:$AI$1001,MATCH(ROWS($AG$2:AG869),$AG$2:$AG$1001,0),0), INDEX($AN$1004:$BO$1004,1,MATCH(COLUMNS($AN$1006:BI1006),$AN$1006:$BO$1006,0)))),"Fix")))</f>
        <v>0</v>
      </c>
      <c r="X869" s="4">
        <f>IF(OR(INDEX($AH$2:$AH$1001,MATCH(ROWS($AG$2:AG869),$AG$2:$AG$1001,0),1)&gt;=100000,INDEX($AN$1005:$BO$1005,1,MATCH(COLUMNS($AN$1006:BJ1006),$AN$1006:$BO$1006,0))&gt;=100000), " ",IF(INDEX($AN$2:$BO$1001,MATCH(ROWS($AG$2:AG869),$AG$2:$AG$1001,0),MATCH(COLUMNS($AN$1006:BJ1006),$AN$1006:$BO$1006,0)), HYPERLINK("#",""), HYPERLINK(CONCATENATE("#Metadata!", ADDRESS(INDEX($AI$2:$AI$1001,MATCH(ROWS($AG$2:AG869),$AG$2:$AG$1001,0),0), INDEX($AN$1004:$BO$1004,1,MATCH(COLUMNS($AN$1006:BJ1006),$AN$1006:$BO$1006,0)))),"Fix")))</f>
        <v>0</v>
      </c>
      <c r="Y869" s="4">
        <f>IF(OR(INDEX($AH$2:$AH$1001,MATCH(ROWS($AG$2:AG869),$AG$2:$AG$1001,0),1)&gt;=100000,INDEX($AN$1005:$BO$1005,1,MATCH(COLUMNS($AN$1006:BK1006),$AN$1006:$BO$1006,0))&gt;=100000), " ",IF(INDEX($AN$2:$BO$1001,MATCH(ROWS($AG$2:AG869),$AG$2:$AG$1001,0),MATCH(COLUMNS($AN$1006:BK1006),$AN$1006:$BO$1006,0)), HYPERLINK("#",""), HYPERLINK(CONCATENATE("#Metadata!", ADDRESS(INDEX($AI$2:$AI$1001,MATCH(ROWS($AG$2:AG869),$AG$2:$AG$1001,0),0), INDEX($AN$1004:$BO$1004,1,MATCH(COLUMNS($AN$1006:BK1006),$AN$1006:$BO$1006,0)))),"Fix")))</f>
        <v>0</v>
      </c>
      <c r="Z869" s="4">
        <f>IF(OR(INDEX($AH$2:$AH$1001,MATCH(ROWS($AG$2:AG869),$AG$2:$AG$1001,0),1)&gt;=100000,INDEX($AN$1005:$BO$1005,1,MATCH(COLUMNS($AN$1006:BL1006),$AN$1006:$BO$1006,0))&gt;=100000), " ",IF(INDEX($AN$2:$BO$1001,MATCH(ROWS($AG$2:AG869),$AG$2:$AG$1001,0),MATCH(COLUMNS($AN$1006:BL1006),$AN$1006:$BO$1006,0)), HYPERLINK("#",""), HYPERLINK(CONCATENATE("#Metadata!", ADDRESS(INDEX($AI$2:$AI$1001,MATCH(ROWS($AG$2:AG869),$AG$2:$AG$1001,0),0), INDEX($AN$1004:$BO$1004,1,MATCH(COLUMNS($AN$1006:BL1006),$AN$1006:$BO$1006,0)))),"Fix")))</f>
        <v>0</v>
      </c>
      <c r="AA869" s="4">
        <f>IF(OR(INDEX($AH$2:$AH$1001,MATCH(ROWS($AG$2:AG869),$AG$2:$AG$1001,0),1)&gt;=100000,INDEX($AN$1005:$BO$1005,1,MATCH(COLUMNS($AN$1006:BM1006),$AN$1006:$BO$1006,0))&gt;=100000), " ",IF(INDEX($AN$2:$BO$1001,MATCH(ROWS($AG$2:AG869),$AG$2:$AG$1001,0),MATCH(COLUMNS($AN$1006:BM1006),$AN$1006:$BO$1006,0)), HYPERLINK("#",""), HYPERLINK(CONCATENATE("#Metadata!", ADDRESS(INDEX($AI$2:$AI$1001,MATCH(ROWS($AG$2:AG869),$AG$2:$AG$1001,0),0), INDEX($AN$1004:$BO$1004,1,MATCH(COLUMNS($AN$1006:BM1006),$AN$1006:$BO$1006,0)))),"Fix")))</f>
        <v>0</v>
      </c>
      <c r="AB869" s="4">
        <f>IF(OR(INDEX($AH$2:$AH$1001,MATCH(ROWS($AG$2:AG869),$AG$2:$AG$1001,0),1)&gt;=100000,INDEX($AN$1005:$BO$1005,1,MATCH(COLUMNS($AN$1006:BN1006),$AN$1006:$BO$1006,0))&gt;=100000), " ",IF(INDEX($AN$2:$BO$1001,MATCH(ROWS($AG$2:AG869),$AG$2:$AG$1001,0),MATCH(COLUMNS($AN$1006:BN1006),$AN$1006:$BO$1006,0)), HYPERLINK("#",""), HYPERLINK(CONCATENATE("#Metadata!", ADDRESS(INDEX($AI$2:$AI$1001,MATCH(ROWS($AG$2:AG869),$AG$2:$AG$1001,0),0), INDEX($AN$1004:$BO$1004,1,MATCH(COLUMNS($AN$1006:BN1006),$AN$1006:$BO$1006,0)))),"Fix")))</f>
        <v>0</v>
      </c>
      <c r="AC869" s="4">
        <f>IF(OR(INDEX($AH$2:$AH$1001,MATCH(ROWS($AG$2:AG869),$AG$2:$AG$1001,0),1)&gt;=100000,INDEX($AN$1005:$BO$1005,1,MATCH(COLUMNS($AN$1006:BO1006),$AN$1006:$BO$1006,0))&gt;=100000), " ",IF(INDEX($AN$2:$BO$1001,MATCH(ROWS($AG$2:AG869),$AG$2:$AG$1001,0),MATCH(COLUMNS($AN$1006:BO1006),$AN$1006:$BO$1006,0)), HYPERLINK("#",""), HYPERLINK(CONCATENATE("#Metadata!", ADDRESS(INDEX($AI$2:$AI$1001,MATCH(ROWS($AG$2:AG869),$AG$2:$AG$1001,0),0), INDEX($AN$1004:$BO$1004,1,MATCH(COLUMNS($AN$1006:BO1006),$AN$1006:$BO$1006,0)))),"Fix")))</f>
        <v>0</v>
      </c>
      <c r="AG869">
        <v>0</v>
      </c>
      <c r="AH869">
        <v>0</v>
      </c>
      <c r="AI869">
        <v>0</v>
      </c>
      <c r="AJ869">
        <f>IF(AK869,TRUE,AND(AN869:BO869))</f>
        <v>0</v>
      </c>
      <c r="AK869">
        <f>COUNTBLANK(Metadata!B869:AC869)=COLUMNS(Metadata!B869:AC869)</f>
        <v>0</v>
      </c>
      <c r="AL869">
        <v>0</v>
      </c>
      <c r="AN869">
        <f>AND(IF(Metadata!B869="",FALSE,TRUE),COUNTIF(Metadata!B:B, Metadata!B869) = 1,NOT(ISERROR(SUMPRODUCT(SEARCH(MID(Metadata!B869,ROW(INDIRECT("1:"&amp;LEN(Metadata!B869))), 1),"0123456789abcdefghijklmnopqrstuvwxyzABCDEFGHIJKLMNOPQRSTUVWXYZ.")))))</f>
        <v>0</v>
      </c>
      <c r="AO869">
        <f>IF(Metadata!C869="",FALSE,TRUE)</f>
        <v>0</v>
      </c>
      <c r="AP869">
        <f>IF(Metadata!D869="",FALSE,TRUE)</f>
        <v>0</v>
      </c>
      <c r="AQ869">
        <f>OR(AND(IF(Metadata!E869="",FALSE,TRUE),OR(exact(Metadata!E869,"not collected"),exact(Metadata!E869,"not provided"),exact(Metadata!E869,"restricted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R869">
        <f>IF(Metadata!F869="",FALSE,TRUE)</f>
        <v>0</v>
      </c>
      <c r="AS869">
        <f>OR(AND(IF(Metadata!G869="",FALSE,TRUE),OR(exact(Metadata!G869,"not collected"),exact(Metadata!G869,"not provided"))),AND(IF(Metadata!G869="",FALSE,TRUE),OR(exact(Metadata!G869,"TRUE"),exact(Metadata!G869,"FALSE"))))</f>
        <v>0</v>
      </c>
      <c r="AT869">
        <f>OR(AND(IF(Metadata!H869="",FALSE,TRUE),OR(exact(Metadata!H869,"not collected"),exact(Metadata!H869,"not provided"),exact(Metadata!H869,"restricted access"))),AND(IF(Metadata!H869="",FALSE,ISNUMBER(VALUE(Metadata!H869))),Metadata!H869&gt;=-413.0))</f>
        <v>0</v>
      </c>
      <c r="AU869">
        <f>AND(IF(Metadata!I869="",FALSE,TRUE),exact(Metadata!I869,"meters"))</f>
        <v>0</v>
      </c>
      <c r="AV869">
        <f>AND(IF(Metadata!J869="",FALSE,TRUE),OR(exact(Metadata!J869,"Host-associated"),exact(Metadata!J869,"Free-living")))</f>
        <v>0</v>
      </c>
      <c r="AW869">
        <f>AND(IF(Metadata!K869="",FALSE,TRUE),OR(exact(Metadata!K869,"Animal"),exact(Metadata!K869,"Fungus"),exact(Metadata!K869,"Plant"),exact(Metadata!K869,"Saline"),exact(Metadata!K869,"Non-saline")))</f>
        <v>0</v>
      </c>
      <c r="AX869">
        <f>AND(IF(Metadata!L869="",FALSE,TRUE),OR(exact(Metadata!L869,"Plant secretion"),exact(Metadata!L869,"Plant rhizosphere"),exact(Metadata!L869,"Plant surface"),exact(Metadata!L869,"Plant corpus"),exact(Metadata!L869,"Fungus surface"),exact(Metadata!L869,"Fungus corpus"),exact(Metadata!L869,"Animal surface"),exact(Metadata!L869,"Animal proximal gut"),exact(Metadata!L869,"Animal corpus"),exact(Metadata!L869,"Animal distal gut"),exact(Metadata!L869,"Animal secretion"),exact(Metadata!L869,"Sub-surface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Y869">
        <f>IF(Metadata!M869="",FALSE,TRUE)</f>
        <v>0</v>
      </c>
      <c r="AZ869">
        <f>IF(Metadata!N869="",FALSE,TRUE)</f>
        <v>0</v>
      </c>
      <c r="BA869">
        <f>IF(Metadata!O869="",FALSE,TRUE)</f>
        <v>0</v>
      </c>
      <c r="BB869">
        <f>OR(AND(IF(Metadata!P869="",FALSE,TRUE),OR(exact(Metadata!P869,"not collected"),exact(Metadata!P869,"not provided"),exact(Metadata!P869,"restricted access"))),AND(IF(Metadata!P869="",FALSE,TRUE),OR(exact(Metadata!P869,"air"),exact(Metadata!P869,"built environment"),exact(Metadata!P869,"host-associated"),exact(Metadata!P869,"human-associated"),exact(Metadata!P869,"human-skin"),exact(Metadata!P869,"human-oral"),exact(Metadata!P869,"human-gut"),exact(Metadata!P869,"human-vaginal"),exact(Metadata!P869,"microbial mat/biofilm"),exact(Metadata!P869,"misc environment"),exact(Metadata!P869,"plant-associated"),exact(Metadata!P869,"sediment"),exact(Metadata!P869,"soil"),exact(Metadata!P869,"wastewater/sludge"),exact(Metadata!P869,"water"))))</f>
        <v>0</v>
      </c>
      <c r="BC869">
        <f>IF(Metadata!Q869="",FALSE,TRUE)</f>
        <v>0</v>
      </c>
      <c r="BD869">
        <f>IF(Metadata!R869="",FALSE,TRUE)</f>
        <v>0</v>
      </c>
      <c r="BE869">
        <f>OR(AND(IF(Metadata!S869="",FALSE,TRUE),OR(exact(Metadata!S869,"not collected"),exact(Metadata!S869,"not provided"),exact(Metadata!S869,"restricted access"))),AND(IF(Metadata!S869="",FALSE,ISNUMBER(VALUE(Metadata!S869))),Metadata!S869&gt;=-90.00,Metadata!S869&lt;=90.00))</f>
        <v>0</v>
      </c>
      <c r="BF869">
        <f>AND(IF(Metadata!T869="",FALSE,TRUE),exact(Metadata!T869,"Decimal degrees"))</f>
        <v>0</v>
      </c>
      <c r="BG869">
        <f>OR(AND(IF(Metadata!U869="",FALSE,TRUE),OR(exact(Metadata!U869,"not collected"),exact(Metadata!U869,"not provided"),exact(Metadata!U869,"restricted access"))),AND(IF(Metadata!U869="",FALSE,ISNUMBER(VALUE(Metadata!U869))),Metadata!U869&gt;=-180.00,Metadata!U869&lt;=180.00))</f>
        <v>0</v>
      </c>
      <c r="BH869">
        <f>AND(IF(Metadata!V869="",FALSE,TRUE),exact(Metadata!V869,"Decimal degrees"))</f>
        <v>0</v>
      </c>
      <c r="BI869">
        <f>IF(Metadata!W869="",FALSE,TRUE)</f>
        <v>0</v>
      </c>
      <c r="BJ869">
        <f>OR(AND(IF(Metadata!X869="",FALSE,TRUE),OR(exact(Metadata!X869,"not collected"),exact(Metadata!X869,"not provided"),exact(Metadata!X869,"restricted access"))),AND(IF(Metadata!X869="",FALSE,TRUE),OR(exact(Metadata!X869,"TRUE"),exact(Metadata!X869,"FALSE"))))</f>
        <v>0</v>
      </c>
      <c r="BK869">
        <f>AND(IF(Metadata!Y869="",FALSE,TRUE),exact(Metadata!Y869,"other"))</f>
        <v>0</v>
      </c>
      <c r="BL869">
        <f>IF(Metadata!Z869="",FALSE,TRUE)</f>
        <v>0</v>
      </c>
      <c r="BM869">
        <f>OR(AND(IF(Metadata!AA869="",FALSE,TRUE),OR(exact(Metadata!AA869,"not collected"),exact(Metadata!AA869,"not provided"))),AND(IF(Metadata!AA869="",FALSE,IF(ISERROR(INT(Metadata!AA869)),FALSE,INT(Metadata!AA869)=Metadata!AA869)),Metadata!AA869&gt;0))</f>
        <v>0</v>
      </c>
      <c r="BN869">
        <f>AND(IF(Metadata!AB869="",FALSE,TRUE),exact(Metadata!AB869,"Not applicable"))</f>
        <v>0</v>
      </c>
      <c r="BO869">
        <f>IF(Metadata!AC869="",FALSE,TRUE)</f>
        <v>0</v>
      </c>
    </row>
    <row r="870" spans="1:67">
      <c r="A870" s="5">
        <f>IF(B870=" "," ",HYPERLINK(CONCATENATE("#metadata!",ADDRESS(INDEX($AI$2:$AI$1001,MATCH(ROWS($AG$2:AG870),$AG$2:$AG$1001,0),0),1)),INDEX($AL$2:$AL$1001,MATCH(ROWS($AG$2:AG870),$AG$2:$AG$1001,0),0)))</f>
        <v>0</v>
      </c>
      <c r="B870" s="4">
        <f>IF(OR(INDEX($AH$2:$AH$1001,MATCH(ROWS($AG$2:AG870),$AG$2:$AG$1001,0),1)&gt;=100000,INDEX($AN$1005:$BO$1005,1,MATCH(COLUMNS($AN$1006:AN1006),$AN$1006:$BO$1006,0))&gt;=100000), " ",IF(INDEX($AN$2:$BO$1001,MATCH(ROWS($AG$2:AG870),$AG$2:$AG$1001,0),MATCH(COLUMNS($AN$1006:AN1006),$AN$1006:$BO$1006,0)), HYPERLINK("#",""), HYPERLINK(CONCATENATE("#Metadata!", ADDRESS(INDEX($AI$2:$AI$1001,MATCH(ROWS($AG$2:AG870),$AG$2:$AG$1001,0),0), INDEX($AN$1004:$BO$1004,1,MATCH(COLUMNS($AN$1006:AN1006),$AN$1006:$BO$1006,0)))),"Fix")))</f>
        <v>0</v>
      </c>
      <c r="C870" s="4">
        <f>IF(OR(INDEX($AH$2:$AH$1001,MATCH(ROWS($AG$2:AG870),$AG$2:$AG$1001,0),1)&gt;=100000,INDEX($AN$1005:$BO$1005,1,MATCH(COLUMNS($AN$1006:AO1006),$AN$1006:$BO$1006,0))&gt;=100000), " ",IF(INDEX($AN$2:$BO$1001,MATCH(ROWS($AG$2:AG870),$AG$2:$AG$1001,0),MATCH(COLUMNS($AN$1006:AO1006),$AN$1006:$BO$1006,0)), HYPERLINK("#",""), HYPERLINK(CONCATENATE("#Metadata!", ADDRESS(INDEX($AI$2:$AI$1001,MATCH(ROWS($AG$2:AG870),$AG$2:$AG$1001,0),0), INDEX($AN$1004:$BO$1004,1,MATCH(COLUMNS($AN$1006:AO1006),$AN$1006:$BO$1006,0)))),"Fix")))</f>
        <v>0</v>
      </c>
      <c r="D870" s="4">
        <f>IF(OR(INDEX($AH$2:$AH$1001,MATCH(ROWS($AG$2:AG870),$AG$2:$AG$1001,0),1)&gt;=100000,INDEX($AN$1005:$BO$1005,1,MATCH(COLUMNS($AN$1006:AP1006),$AN$1006:$BO$1006,0))&gt;=100000), " ",IF(INDEX($AN$2:$BO$1001,MATCH(ROWS($AG$2:AG870),$AG$2:$AG$1001,0),MATCH(COLUMNS($AN$1006:AP1006),$AN$1006:$BO$1006,0)), HYPERLINK("#",""), HYPERLINK(CONCATENATE("#Metadata!", ADDRESS(INDEX($AI$2:$AI$1001,MATCH(ROWS($AG$2:AG870),$AG$2:$AG$1001,0),0), INDEX($AN$1004:$BO$1004,1,MATCH(COLUMNS($AN$1006:AP1006),$AN$1006:$BO$1006,0)))),"Fix")))</f>
        <v>0</v>
      </c>
      <c r="E870" s="4">
        <f>IF(OR(INDEX($AH$2:$AH$1001,MATCH(ROWS($AG$2:AG870),$AG$2:$AG$1001,0),1)&gt;=100000,INDEX($AN$1005:$BO$1005,1,MATCH(COLUMNS($AN$1006:AQ1006),$AN$1006:$BO$1006,0))&gt;=100000), " ",IF(INDEX($AN$2:$BO$1001,MATCH(ROWS($AG$2:AG870),$AG$2:$AG$1001,0),MATCH(COLUMNS($AN$1006:AQ1006),$AN$1006:$BO$1006,0)), HYPERLINK("#",""), HYPERLINK(CONCATENATE("#Metadata!", ADDRESS(INDEX($AI$2:$AI$1001,MATCH(ROWS($AG$2:AG870),$AG$2:$AG$1001,0),0), INDEX($AN$1004:$BO$1004,1,MATCH(COLUMNS($AN$1006:AQ1006),$AN$1006:$BO$1006,0)))),"Fix")))</f>
        <v>0</v>
      </c>
      <c r="F870" s="4">
        <f>IF(OR(INDEX($AH$2:$AH$1001,MATCH(ROWS($AG$2:AG870),$AG$2:$AG$1001,0),1)&gt;=100000,INDEX($AN$1005:$BO$1005,1,MATCH(COLUMNS($AN$1006:AR1006),$AN$1006:$BO$1006,0))&gt;=100000), " ",IF(INDEX($AN$2:$BO$1001,MATCH(ROWS($AG$2:AG870),$AG$2:$AG$1001,0),MATCH(COLUMNS($AN$1006:AR1006),$AN$1006:$BO$1006,0)), HYPERLINK("#",""), HYPERLINK(CONCATENATE("#Metadata!", ADDRESS(INDEX($AI$2:$AI$1001,MATCH(ROWS($AG$2:AG870),$AG$2:$AG$1001,0),0), INDEX($AN$1004:$BO$1004,1,MATCH(COLUMNS($AN$1006:AR1006),$AN$1006:$BO$1006,0)))),"Fix")))</f>
        <v>0</v>
      </c>
      <c r="G870" s="4">
        <f>IF(OR(INDEX($AH$2:$AH$1001,MATCH(ROWS($AG$2:AG870),$AG$2:$AG$1001,0),1)&gt;=100000,INDEX($AN$1005:$BO$1005,1,MATCH(COLUMNS($AN$1006:AS1006),$AN$1006:$BO$1006,0))&gt;=100000), " ",IF(INDEX($AN$2:$BO$1001,MATCH(ROWS($AG$2:AG870),$AG$2:$AG$1001,0),MATCH(COLUMNS($AN$1006:AS1006),$AN$1006:$BO$1006,0)), HYPERLINK("#",""), HYPERLINK(CONCATENATE("#Metadata!", ADDRESS(INDEX($AI$2:$AI$1001,MATCH(ROWS($AG$2:AG870),$AG$2:$AG$1001,0),0), INDEX($AN$1004:$BO$1004,1,MATCH(COLUMNS($AN$1006:AS1006),$AN$1006:$BO$1006,0)))),"Fix")))</f>
        <v>0</v>
      </c>
      <c r="H870" s="4">
        <f>IF(OR(INDEX($AH$2:$AH$1001,MATCH(ROWS($AG$2:AG870),$AG$2:$AG$1001,0),1)&gt;=100000,INDEX($AN$1005:$BO$1005,1,MATCH(COLUMNS($AN$1006:AT1006),$AN$1006:$BO$1006,0))&gt;=100000), " ",IF(INDEX($AN$2:$BO$1001,MATCH(ROWS($AG$2:AG870),$AG$2:$AG$1001,0),MATCH(COLUMNS($AN$1006:AT1006),$AN$1006:$BO$1006,0)), HYPERLINK("#",""), HYPERLINK(CONCATENATE("#Metadata!", ADDRESS(INDEX($AI$2:$AI$1001,MATCH(ROWS($AG$2:AG870),$AG$2:$AG$1001,0),0), INDEX($AN$1004:$BO$1004,1,MATCH(COLUMNS($AN$1006:AT1006),$AN$1006:$BO$1006,0)))),"Fix")))</f>
        <v>0</v>
      </c>
      <c r="I870" s="4">
        <f>IF(OR(INDEX($AH$2:$AH$1001,MATCH(ROWS($AG$2:AG870),$AG$2:$AG$1001,0),1)&gt;=100000,INDEX($AN$1005:$BO$1005,1,MATCH(COLUMNS($AN$1006:AU1006),$AN$1006:$BO$1006,0))&gt;=100000), " ",IF(INDEX($AN$2:$BO$1001,MATCH(ROWS($AG$2:AG870),$AG$2:$AG$1001,0),MATCH(COLUMNS($AN$1006:AU1006),$AN$1006:$BO$1006,0)), HYPERLINK("#",""), HYPERLINK(CONCATENATE("#Metadata!", ADDRESS(INDEX($AI$2:$AI$1001,MATCH(ROWS($AG$2:AG870),$AG$2:$AG$1001,0),0), INDEX($AN$1004:$BO$1004,1,MATCH(COLUMNS($AN$1006:AU1006),$AN$1006:$BO$1006,0)))),"Fix")))</f>
        <v>0</v>
      </c>
      <c r="J870" s="4">
        <f>IF(OR(INDEX($AH$2:$AH$1001,MATCH(ROWS($AG$2:AG870),$AG$2:$AG$1001,0),1)&gt;=100000,INDEX($AN$1005:$BO$1005,1,MATCH(COLUMNS($AN$1006:AV1006),$AN$1006:$BO$1006,0))&gt;=100000), " ",IF(INDEX($AN$2:$BO$1001,MATCH(ROWS($AG$2:AG870),$AG$2:$AG$1001,0),MATCH(COLUMNS($AN$1006:AV1006),$AN$1006:$BO$1006,0)), HYPERLINK("#",""), HYPERLINK(CONCATENATE("#Metadata!", ADDRESS(INDEX($AI$2:$AI$1001,MATCH(ROWS($AG$2:AG870),$AG$2:$AG$1001,0),0), INDEX($AN$1004:$BO$1004,1,MATCH(COLUMNS($AN$1006:AV1006),$AN$1006:$BO$1006,0)))),"Fix")))</f>
        <v>0</v>
      </c>
      <c r="K870" s="4">
        <f>IF(OR(INDEX($AH$2:$AH$1001,MATCH(ROWS($AG$2:AG870),$AG$2:$AG$1001,0),1)&gt;=100000,INDEX($AN$1005:$BO$1005,1,MATCH(COLUMNS($AN$1006:AW1006),$AN$1006:$BO$1006,0))&gt;=100000), " ",IF(INDEX($AN$2:$BO$1001,MATCH(ROWS($AG$2:AG870),$AG$2:$AG$1001,0),MATCH(COLUMNS($AN$1006:AW1006),$AN$1006:$BO$1006,0)), HYPERLINK("#",""), HYPERLINK(CONCATENATE("#Metadata!", ADDRESS(INDEX($AI$2:$AI$1001,MATCH(ROWS($AG$2:AG870),$AG$2:$AG$1001,0),0), INDEX($AN$1004:$BO$1004,1,MATCH(COLUMNS($AN$1006:AW1006),$AN$1006:$BO$1006,0)))),"Fix")))</f>
        <v>0</v>
      </c>
      <c r="L870" s="4">
        <f>IF(OR(INDEX($AH$2:$AH$1001,MATCH(ROWS($AG$2:AG870),$AG$2:$AG$1001,0),1)&gt;=100000,INDEX($AN$1005:$BO$1005,1,MATCH(COLUMNS($AN$1006:AX1006),$AN$1006:$BO$1006,0))&gt;=100000), " ",IF(INDEX($AN$2:$BO$1001,MATCH(ROWS($AG$2:AG870),$AG$2:$AG$1001,0),MATCH(COLUMNS($AN$1006:AX1006),$AN$1006:$BO$1006,0)), HYPERLINK("#",""), HYPERLINK(CONCATENATE("#Metadata!", ADDRESS(INDEX($AI$2:$AI$1001,MATCH(ROWS($AG$2:AG870),$AG$2:$AG$1001,0),0), INDEX($AN$1004:$BO$1004,1,MATCH(COLUMNS($AN$1006:AX1006),$AN$1006:$BO$1006,0)))),"Fix")))</f>
        <v>0</v>
      </c>
      <c r="M870" s="4">
        <f>IF(OR(INDEX($AH$2:$AH$1001,MATCH(ROWS($AG$2:AG870),$AG$2:$AG$1001,0),1)&gt;=100000,INDEX($AN$1005:$BO$1005,1,MATCH(COLUMNS($AN$1006:AY1006),$AN$1006:$BO$1006,0))&gt;=100000), " ",IF(INDEX($AN$2:$BO$1001,MATCH(ROWS($AG$2:AG870),$AG$2:$AG$1001,0),MATCH(COLUMNS($AN$1006:AY1006),$AN$1006:$BO$1006,0)), HYPERLINK("#",""), HYPERLINK(CONCATENATE("#Metadata!", ADDRESS(INDEX($AI$2:$AI$1001,MATCH(ROWS($AG$2:AG870),$AG$2:$AG$1001,0),0), INDEX($AN$1004:$BO$1004,1,MATCH(COLUMNS($AN$1006:AY1006),$AN$1006:$BO$1006,0)))),"Fix")))</f>
        <v>0</v>
      </c>
      <c r="N870" s="4">
        <f>IF(OR(INDEX($AH$2:$AH$1001,MATCH(ROWS($AG$2:AG870),$AG$2:$AG$1001,0),1)&gt;=100000,INDEX($AN$1005:$BO$1005,1,MATCH(COLUMNS($AN$1006:AZ1006),$AN$1006:$BO$1006,0))&gt;=100000), " ",IF(INDEX($AN$2:$BO$1001,MATCH(ROWS($AG$2:AG870),$AG$2:$AG$1001,0),MATCH(COLUMNS($AN$1006:AZ1006),$AN$1006:$BO$1006,0)), HYPERLINK("#",""), HYPERLINK(CONCATENATE("#Metadata!", ADDRESS(INDEX($AI$2:$AI$1001,MATCH(ROWS($AG$2:AG870),$AG$2:$AG$1001,0),0), INDEX($AN$1004:$BO$1004,1,MATCH(COLUMNS($AN$1006:AZ1006),$AN$1006:$BO$1006,0)))),"Fix")))</f>
        <v>0</v>
      </c>
      <c r="O870" s="4">
        <f>IF(OR(INDEX($AH$2:$AH$1001,MATCH(ROWS($AG$2:AG870),$AG$2:$AG$1001,0),1)&gt;=100000,INDEX($AN$1005:$BO$1005,1,MATCH(COLUMNS($AN$1006:BA1006),$AN$1006:$BO$1006,0))&gt;=100000), " ",IF(INDEX($AN$2:$BO$1001,MATCH(ROWS($AG$2:AG870),$AG$2:$AG$1001,0),MATCH(COLUMNS($AN$1006:BA1006),$AN$1006:$BO$1006,0)), HYPERLINK("#",""), HYPERLINK(CONCATENATE("#Metadata!", ADDRESS(INDEX($AI$2:$AI$1001,MATCH(ROWS($AG$2:AG870),$AG$2:$AG$1001,0),0), INDEX($AN$1004:$BO$1004,1,MATCH(COLUMNS($AN$1006:BA1006),$AN$1006:$BO$1006,0)))),"Fix")))</f>
        <v>0</v>
      </c>
      <c r="P870" s="4">
        <f>IF(OR(INDEX($AH$2:$AH$1001,MATCH(ROWS($AG$2:AG870),$AG$2:$AG$1001,0),1)&gt;=100000,INDEX($AN$1005:$BO$1005,1,MATCH(COLUMNS($AN$1006:BB1006),$AN$1006:$BO$1006,0))&gt;=100000), " ",IF(INDEX($AN$2:$BO$1001,MATCH(ROWS($AG$2:AG870),$AG$2:$AG$1001,0),MATCH(COLUMNS($AN$1006:BB1006),$AN$1006:$BO$1006,0)), HYPERLINK("#",""), HYPERLINK(CONCATENATE("#Metadata!", ADDRESS(INDEX($AI$2:$AI$1001,MATCH(ROWS($AG$2:AG870),$AG$2:$AG$1001,0),0), INDEX($AN$1004:$BO$1004,1,MATCH(COLUMNS($AN$1006:BB1006),$AN$1006:$BO$1006,0)))),"Fix")))</f>
        <v>0</v>
      </c>
      <c r="Q870" s="4">
        <f>IF(OR(INDEX($AH$2:$AH$1001,MATCH(ROWS($AG$2:AG870),$AG$2:$AG$1001,0),1)&gt;=100000,INDEX($AN$1005:$BO$1005,1,MATCH(COLUMNS($AN$1006:BC1006),$AN$1006:$BO$1006,0))&gt;=100000), " ",IF(INDEX($AN$2:$BO$1001,MATCH(ROWS($AG$2:AG870),$AG$2:$AG$1001,0),MATCH(COLUMNS($AN$1006:BC1006),$AN$1006:$BO$1006,0)), HYPERLINK("#",""), HYPERLINK(CONCATENATE("#Metadata!", ADDRESS(INDEX($AI$2:$AI$1001,MATCH(ROWS($AG$2:AG870),$AG$2:$AG$1001,0),0), INDEX($AN$1004:$BO$1004,1,MATCH(COLUMNS($AN$1006:BC1006),$AN$1006:$BO$1006,0)))),"Fix")))</f>
        <v>0</v>
      </c>
      <c r="R870" s="4">
        <f>IF(OR(INDEX($AH$2:$AH$1001,MATCH(ROWS($AG$2:AG870),$AG$2:$AG$1001,0),1)&gt;=100000,INDEX($AN$1005:$BO$1005,1,MATCH(COLUMNS($AN$1006:BD1006),$AN$1006:$BO$1006,0))&gt;=100000), " ",IF(INDEX($AN$2:$BO$1001,MATCH(ROWS($AG$2:AG870),$AG$2:$AG$1001,0),MATCH(COLUMNS($AN$1006:BD1006),$AN$1006:$BO$1006,0)), HYPERLINK("#",""), HYPERLINK(CONCATENATE("#Metadata!", ADDRESS(INDEX($AI$2:$AI$1001,MATCH(ROWS($AG$2:AG870),$AG$2:$AG$1001,0),0), INDEX($AN$1004:$BO$1004,1,MATCH(COLUMNS($AN$1006:BD1006),$AN$1006:$BO$1006,0)))),"Fix")))</f>
        <v>0</v>
      </c>
      <c r="S870" s="4">
        <f>IF(OR(INDEX($AH$2:$AH$1001,MATCH(ROWS($AG$2:AG870),$AG$2:$AG$1001,0),1)&gt;=100000,INDEX($AN$1005:$BO$1005,1,MATCH(COLUMNS($AN$1006:BE1006),$AN$1006:$BO$1006,0))&gt;=100000), " ",IF(INDEX($AN$2:$BO$1001,MATCH(ROWS($AG$2:AG870),$AG$2:$AG$1001,0),MATCH(COLUMNS($AN$1006:BE1006),$AN$1006:$BO$1006,0)), HYPERLINK("#",""), HYPERLINK(CONCATENATE("#Metadata!", ADDRESS(INDEX($AI$2:$AI$1001,MATCH(ROWS($AG$2:AG870),$AG$2:$AG$1001,0),0), INDEX($AN$1004:$BO$1004,1,MATCH(COLUMNS($AN$1006:BE1006),$AN$1006:$BO$1006,0)))),"Fix")))</f>
        <v>0</v>
      </c>
      <c r="T870" s="4">
        <f>IF(OR(INDEX($AH$2:$AH$1001,MATCH(ROWS($AG$2:AG870),$AG$2:$AG$1001,0),1)&gt;=100000,INDEX($AN$1005:$BO$1005,1,MATCH(COLUMNS($AN$1006:BF1006),$AN$1006:$BO$1006,0))&gt;=100000), " ",IF(INDEX($AN$2:$BO$1001,MATCH(ROWS($AG$2:AG870),$AG$2:$AG$1001,0),MATCH(COLUMNS($AN$1006:BF1006),$AN$1006:$BO$1006,0)), HYPERLINK("#",""), HYPERLINK(CONCATENATE("#Metadata!", ADDRESS(INDEX($AI$2:$AI$1001,MATCH(ROWS($AG$2:AG870),$AG$2:$AG$1001,0),0), INDEX($AN$1004:$BO$1004,1,MATCH(COLUMNS($AN$1006:BF1006),$AN$1006:$BO$1006,0)))),"Fix")))</f>
        <v>0</v>
      </c>
      <c r="U870" s="4">
        <f>IF(OR(INDEX($AH$2:$AH$1001,MATCH(ROWS($AG$2:AG870),$AG$2:$AG$1001,0),1)&gt;=100000,INDEX($AN$1005:$BO$1005,1,MATCH(COLUMNS($AN$1006:BG1006),$AN$1006:$BO$1006,0))&gt;=100000), " ",IF(INDEX($AN$2:$BO$1001,MATCH(ROWS($AG$2:AG870),$AG$2:$AG$1001,0),MATCH(COLUMNS($AN$1006:BG1006),$AN$1006:$BO$1006,0)), HYPERLINK("#",""), HYPERLINK(CONCATENATE("#Metadata!", ADDRESS(INDEX($AI$2:$AI$1001,MATCH(ROWS($AG$2:AG870),$AG$2:$AG$1001,0),0), INDEX($AN$1004:$BO$1004,1,MATCH(COLUMNS($AN$1006:BG1006),$AN$1006:$BO$1006,0)))),"Fix")))</f>
        <v>0</v>
      </c>
      <c r="V870" s="4">
        <f>IF(OR(INDEX($AH$2:$AH$1001,MATCH(ROWS($AG$2:AG870),$AG$2:$AG$1001,0),1)&gt;=100000,INDEX($AN$1005:$BO$1005,1,MATCH(COLUMNS($AN$1006:BH1006),$AN$1006:$BO$1006,0))&gt;=100000), " ",IF(INDEX($AN$2:$BO$1001,MATCH(ROWS($AG$2:AG870),$AG$2:$AG$1001,0),MATCH(COLUMNS($AN$1006:BH1006),$AN$1006:$BO$1006,0)), HYPERLINK("#",""), HYPERLINK(CONCATENATE("#Metadata!", ADDRESS(INDEX($AI$2:$AI$1001,MATCH(ROWS($AG$2:AG870),$AG$2:$AG$1001,0),0), INDEX($AN$1004:$BO$1004,1,MATCH(COLUMNS($AN$1006:BH1006),$AN$1006:$BO$1006,0)))),"Fix")))</f>
        <v>0</v>
      </c>
      <c r="W870" s="4">
        <f>IF(OR(INDEX($AH$2:$AH$1001,MATCH(ROWS($AG$2:AG870),$AG$2:$AG$1001,0),1)&gt;=100000,INDEX($AN$1005:$BO$1005,1,MATCH(COLUMNS($AN$1006:BI1006),$AN$1006:$BO$1006,0))&gt;=100000), " ",IF(INDEX($AN$2:$BO$1001,MATCH(ROWS($AG$2:AG870),$AG$2:$AG$1001,0),MATCH(COLUMNS($AN$1006:BI1006),$AN$1006:$BO$1006,0)), HYPERLINK("#",""), HYPERLINK(CONCATENATE("#Metadata!", ADDRESS(INDEX($AI$2:$AI$1001,MATCH(ROWS($AG$2:AG870),$AG$2:$AG$1001,0),0), INDEX($AN$1004:$BO$1004,1,MATCH(COLUMNS($AN$1006:BI1006),$AN$1006:$BO$1006,0)))),"Fix")))</f>
        <v>0</v>
      </c>
      <c r="X870" s="4">
        <f>IF(OR(INDEX($AH$2:$AH$1001,MATCH(ROWS($AG$2:AG870),$AG$2:$AG$1001,0),1)&gt;=100000,INDEX($AN$1005:$BO$1005,1,MATCH(COLUMNS($AN$1006:BJ1006),$AN$1006:$BO$1006,0))&gt;=100000), " ",IF(INDEX($AN$2:$BO$1001,MATCH(ROWS($AG$2:AG870),$AG$2:$AG$1001,0),MATCH(COLUMNS($AN$1006:BJ1006),$AN$1006:$BO$1006,0)), HYPERLINK("#",""), HYPERLINK(CONCATENATE("#Metadata!", ADDRESS(INDEX($AI$2:$AI$1001,MATCH(ROWS($AG$2:AG870),$AG$2:$AG$1001,0),0), INDEX($AN$1004:$BO$1004,1,MATCH(COLUMNS($AN$1006:BJ1006),$AN$1006:$BO$1006,0)))),"Fix")))</f>
        <v>0</v>
      </c>
      <c r="Y870" s="4">
        <f>IF(OR(INDEX($AH$2:$AH$1001,MATCH(ROWS($AG$2:AG870),$AG$2:$AG$1001,0),1)&gt;=100000,INDEX($AN$1005:$BO$1005,1,MATCH(COLUMNS($AN$1006:BK1006),$AN$1006:$BO$1006,0))&gt;=100000), " ",IF(INDEX($AN$2:$BO$1001,MATCH(ROWS($AG$2:AG870),$AG$2:$AG$1001,0),MATCH(COLUMNS($AN$1006:BK1006),$AN$1006:$BO$1006,0)), HYPERLINK("#",""), HYPERLINK(CONCATENATE("#Metadata!", ADDRESS(INDEX($AI$2:$AI$1001,MATCH(ROWS($AG$2:AG870),$AG$2:$AG$1001,0),0), INDEX($AN$1004:$BO$1004,1,MATCH(COLUMNS($AN$1006:BK1006),$AN$1006:$BO$1006,0)))),"Fix")))</f>
        <v>0</v>
      </c>
      <c r="Z870" s="4">
        <f>IF(OR(INDEX($AH$2:$AH$1001,MATCH(ROWS($AG$2:AG870),$AG$2:$AG$1001,0),1)&gt;=100000,INDEX($AN$1005:$BO$1005,1,MATCH(COLUMNS($AN$1006:BL1006),$AN$1006:$BO$1006,0))&gt;=100000), " ",IF(INDEX($AN$2:$BO$1001,MATCH(ROWS($AG$2:AG870),$AG$2:$AG$1001,0),MATCH(COLUMNS($AN$1006:BL1006),$AN$1006:$BO$1006,0)), HYPERLINK("#",""), HYPERLINK(CONCATENATE("#Metadata!", ADDRESS(INDEX($AI$2:$AI$1001,MATCH(ROWS($AG$2:AG870),$AG$2:$AG$1001,0),0), INDEX($AN$1004:$BO$1004,1,MATCH(COLUMNS($AN$1006:BL1006),$AN$1006:$BO$1006,0)))),"Fix")))</f>
        <v>0</v>
      </c>
      <c r="AA870" s="4">
        <f>IF(OR(INDEX($AH$2:$AH$1001,MATCH(ROWS($AG$2:AG870),$AG$2:$AG$1001,0),1)&gt;=100000,INDEX($AN$1005:$BO$1005,1,MATCH(COLUMNS($AN$1006:BM1006),$AN$1006:$BO$1006,0))&gt;=100000), " ",IF(INDEX($AN$2:$BO$1001,MATCH(ROWS($AG$2:AG870),$AG$2:$AG$1001,0),MATCH(COLUMNS($AN$1006:BM1006),$AN$1006:$BO$1006,0)), HYPERLINK("#",""), HYPERLINK(CONCATENATE("#Metadata!", ADDRESS(INDEX($AI$2:$AI$1001,MATCH(ROWS($AG$2:AG870),$AG$2:$AG$1001,0),0), INDEX($AN$1004:$BO$1004,1,MATCH(COLUMNS($AN$1006:BM1006),$AN$1006:$BO$1006,0)))),"Fix")))</f>
        <v>0</v>
      </c>
      <c r="AB870" s="4">
        <f>IF(OR(INDEX($AH$2:$AH$1001,MATCH(ROWS($AG$2:AG870),$AG$2:$AG$1001,0),1)&gt;=100000,INDEX($AN$1005:$BO$1005,1,MATCH(COLUMNS($AN$1006:BN1006),$AN$1006:$BO$1006,0))&gt;=100000), " ",IF(INDEX($AN$2:$BO$1001,MATCH(ROWS($AG$2:AG870),$AG$2:$AG$1001,0),MATCH(COLUMNS($AN$1006:BN1006),$AN$1006:$BO$1006,0)), HYPERLINK("#",""), HYPERLINK(CONCATENATE("#Metadata!", ADDRESS(INDEX($AI$2:$AI$1001,MATCH(ROWS($AG$2:AG870),$AG$2:$AG$1001,0),0), INDEX($AN$1004:$BO$1004,1,MATCH(COLUMNS($AN$1006:BN1006),$AN$1006:$BO$1006,0)))),"Fix")))</f>
        <v>0</v>
      </c>
      <c r="AC870" s="4">
        <f>IF(OR(INDEX($AH$2:$AH$1001,MATCH(ROWS($AG$2:AG870),$AG$2:$AG$1001,0),1)&gt;=100000,INDEX($AN$1005:$BO$1005,1,MATCH(COLUMNS($AN$1006:BO1006),$AN$1006:$BO$1006,0))&gt;=100000), " ",IF(INDEX($AN$2:$BO$1001,MATCH(ROWS($AG$2:AG870),$AG$2:$AG$1001,0),MATCH(COLUMNS($AN$1006:BO1006),$AN$1006:$BO$1006,0)), HYPERLINK("#",""), HYPERLINK(CONCATENATE("#Metadata!", ADDRESS(INDEX($AI$2:$AI$1001,MATCH(ROWS($AG$2:AG870),$AG$2:$AG$1001,0),0), INDEX($AN$1004:$BO$1004,1,MATCH(COLUMNS($AN$1006:BO1006),$AN$1006:$BO$1006,0)))),"Fix")))</f>
        <v>0</v>
      </c>
      <c r="AG870">
        <v>0</v>
      </c>
      <c r="AH870">
        <v>0</v>
      </c>
      <c r="AI870">
        <v>0</v>
      </c>
      <c r="AJ870">
        <f>IF(AK870,TRUE,AND(AN870:BO870))</f>
        <v>0</v>
      </c>
      <c r="AK870">
        <f>COUNTBLANK(Metadata!B870:AC870)=COLUMNS(Metadata!B870:AC870)</f>
        <v>0</v>
      </c>
      <c r="AL870">
        <v>0</v>
      </c>
      <c r="AN870">
        <f>AND(IF(Metadata!B870="",FALSE,TRUE),COUNTIF(Metadata!B:B, Metadata!B870) = 1,NOT(ISERROR(SUMPRODUCT(SEARCH(MID(Metadata!B870,ROW(INDIRECT("1:"&amp;LEN(Metadata!B870))), 1),"0123456789abcdefghijklmnopqrstuvwxyzABCDEFGHIJKLMNOPQRSTUVWXYZ.")))))</f>
        <v>0</v>
      </c>
      <c r="AO870">
        <f>IF(Metadata!C870="",FALSE,TRUE)</f>
        <v>0</v>
      </c>
      <c r="AP870">
        <f>IF(Metadata!D870="",FALSE,TRUE)</f>
        <v>0</v>
      </c>
      <c r="AQ870">
        <f>OR(AND(IF(Metadata!E870="",FALSE,TRUE),OR(exact(Metadata!E870,"not collected"),exact(Metadata!E870,"not provided"),exact(Metadata!E870,"restricted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R870">
        <f>IF(Metadata!F870="",FALSE,TRUE)</f>
        <v>0</v>
      </c>
      <c r="AS870">
        <f>OR(AND(IF(Metadata!G870="",FALSE,TRUE),OR(exact(Metadata!G870,"not collected"),exact(Metadata!G870,"not provided"))),AND(IF(Metadata!G870="",FALSE,TRUE),OR(exact(Metadata!G870,"TRUE"),exact(Metadata!G870,"FALSE"))))</f>
        <v>0</v>
      </c>
      <c r="AT870">
        <f>OR(AND(IF(Metadata!H870="",FALSE,TRUE),OR(exact(Metadata!H870,"not collected"),exact(Metadata!H870,"not provided"),exact(Metadata!H870,"restricted access"))),AND(IF(Metadata!H870="",FALSE,ISNUMBER(VALUE(Metadata!H870))),Metadata!H870&gt;=-413.0))</f>
        <v>0</v>
      </c>
      <c r="AU870">
        <f>AND(IF(Metadata!I870="",FALSE,TRUE),exact(Metadata!I870,"meters"))</f>
        <v>0</v>
      </c>
      <c r="AV870">
        <f>AND(IF(Metadata!J870="",FALSE,TRUE),OR(exact(Metadata!J870,"Host-associated"),exact(Metadata!J870,"Free-living")))</f>
        <v>0</v>
      </c>
      <c r="AW870">
        <f>AND(IF(Metadata!K870="",FALSE,TRUE),OR(exact(Metadata!K870,"Animal"),exact(Metadata!K870,"Fungus"),exact(Metadata!K870,"Plant"),exact(Metadata!K870,"Saline"),exact(Metadata!K870,"Non-saline")))</f>
        <v>0</v>
      </c>
      <c r="AX870">
        <f>AND(IF(Metadata!L870="",FALSE,TRUE),OR(exact(Metadata!L870,"Plant secretion"),exact(Metadata!L870,"Plant rhizosphere"),exact(Metadata!L870,"Plant surface"),exact(Metadata!L870,"Plant corpus"),exact(Metadata!L870,"Fungus surface"),exact(Metadata!L870,"Fungus corpus"),exact(Metadata!L870,"Animal surface"),exact(Metadata!L870,"Animal proximal gut"),exact(Metadata!L870,"Animal corpus"),exact(Metadata!L870,"Animal distal gut"),exact(Metadata!L870,"Animal secretion"),exact(Metadata!L870,"Sub-surface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Y870">
        <f>IF(Metadata!M870="",FALSE,TRUE)</f>
        <v>0</v>
      </c>
      <c r="AZ870">
        <f>IF(Metadata!N870="",FALSE,TRUE)</f>
        <v>0</v>
      </c>
      <c r="BA870">
        <f>IF(Metadata!O870="",FALSE,TRUE)</f>
        <v>0</v>
      </c>
      <c r="BB870">
        <f>OR(AND(IF(Metadata!P870="",FALSE,TRUE),OR(exact(Metadata!P870,"not collected"),exact(Metadata!P870,"not provided"),exact(Metadata!P870,"restricted access"))),AND(IF(Metadata!P870="",FALSE,TRUE),OR(exact(Metadata!P870,"air"),exact(Metadata!P870,"built environment"),exact(Metadata!P870,"host-associated"),exact(Metadata!P870,"human-associated"),exact(Metadata!P870,"human-skin"),exact(Metadata!P870,"human-oral"),exact(Metadata!P870,"human-gut"),exact(Metadata!P870,"human-vaginal"),exact(Metadata!P870,"microbial mat/biofilm"),exact(Metadata!P870,"misc environment"),exact(Metadata!P870,"plant-associated"),exact(Metadata!P870,"sediment"),exact(Metadata!P870,"soil"),exact(Metadata!P870,"wastewater/sludge"),exact(Metadata!P870,"water"))))</f>
        <v>0</v>
      </c>
      <c r="BC870">
        <f>IF(Metadata!Q870="",FALSE,TRUE)</f>
        <v>0</v>
      </c>
      <c r="BD870">
        <f>IF(Metadata!R870="",FALSE,TRUE)</f>
        <v>0</v>
      </c>
      <c r="BE870">
        <f>OR(AND(IF(Metadata!S870="",FALSE,TRUE),OR(exact(Metadata!S870,"not collected"),exact(Metadata!S870,"not provided"),exact(Metadata!S870,"restricted access"))),AND(IF(Metadata!S870="",FALSE,ISNUMBER(VALUE(Metadata!S870))),Metadata!S870&gt;=-90.00,Metadata!S870&lt;=90.00))</f>
        <v>0</v>
      </c>
      <c r="BF870">
        <f>AND(IF(Metadata!T870="",FALSE,TRUE),exact(Metadata!T870,"Decimal degrees"))</f>
        <v>0</v>
      </c>
      <c r="BG870">
        <f>OR(AND(IF(Metadata!U870="",FALSE,TRUE),OR(exact(Metadata!U870,"not collected"),exact(Metadata!U870,"not provided"),exact(Metadata!U870,"restricted access"))),AND(IF(Metadata!U870="",FALSE,ISNUMBER(VALUE(Metadata!U870))),Metadata!U870&gt;=-180.00,Metadata!U870&lt;=180.00))</f>
        <v>0</v>
      </c>
      <c r="BH870">
        <f>AND(IF(Metadata!V870="",FALSE,TRUE),exact(Metadata!V870,"Decimal degrees"))</f>
        <v>0</v>
      </c>
      <c r="BI870">
        <f>IF(Metadata!W870="",FALSE,TRUE)</f>
        <v>0</v>
      </c>
      <c r="BJ870">
        <f>OR(AND(IF(Metadata!X870="",FALSE,TRUE),OR(exact(Metadata!X870,"not collected"),exact(Metadata!X870,"not provided"),exact(Metadata!X870,"restricted access"))),AND(IF(Metadata!X870="",FALSE,TRUE),OR(exact(Metadata!X870,"TRUE"),exact(Metadata!X870,"FALSE"))))</f>
        <v>0</v>
      </c>
      <c r="BK870">
        <f>AND(IF(Metadata!Y870="",FALSE,TRUE),exact(Metadata!Y870,"other"))</f>
        <v>0</v>
      </c>
      <c r="BL870">
        <f>IF(Metadata!Z870="",FALSE,TRUE)</f>
        <v>0</v>
      </c>
      <c r="BM870">
        <f>OR(AND(IF(Metadata!AA870="",FALSE,TRUE),OR(exact(Metadata!AA870,"not collected"),exact(Metadata!AA870,"not provided"))),AND(IF(Metadata!AA870="",FALSE,IF(ISERROR(INT(Metadata!AA870)),FALSE,INT(Metadata!AA870)=Metadata!AA870)),Metadata!AA870&gt;0))</f>
        <v>0</v>
      </c>
      <c r="BN870">
        <f>AND(IF(Metadata!AB870="",FALSE,TRUE),exact(Metadata!AB870,"Not applicable"))</f>
        <v>0</v>
      </c>
      <c r="BO870">
        <f>IF(Metadata!AC870="",FALSE,TRUE)</f>
        <v>0</v>
      </c>
    </row>
    <row r="871" spans="1:67">
      <c r="A871" s="5">
        <f>IF(B871=" "," ",HYPERLINK(CONCATENATE("#metadata!",ADDRESS(INDEX($AI$2:$AI$1001,MATCH(ROWS($AG$2:AG871),$AG$2:$AG$1001,0),0),1)),INDEX($AL$2:$AL$1001,MATCH(ROWS($AG$2:AG871),$AG$2:$AG$1001,0),0)))</f>
        <v>0</v>
      </c>
      <c r="B871" s="4">
        <f>IF(OR(INDEX($AH$2:$AH$1001,MATCH(ROWS($AG$2:AG871),$AG$2:$AG$1001,0),1)&gt;=100000,INDEX($AN$1005:$BO$1005,1,MATCH(COLUMNS($AN$1006:AN1006),$AN$1006:$BO$1006,0))&gt;=100000), " ",IF(INDEX($AN$2:$BO$1001,MATCH(ROWS($AG$2:AG871),$AG$2:$AG$1001,0),MATCH(COLUMNS($AN$1006:AN1006),$AN$1006:$BO$1006,0)), HYPERLINK("#",""), HYPERLINK(CONCATENATE("#Metadata!", ADDRESS(INDEX($AI$2:$AI$1001,MATCH(ROWS($AG$2:AG871),$AG$2:$AG$1001,0),0), INDEX($AN$1004:$BO$1004,1,MATCH(COLUMNS($AN$1006:AN1006),$AN$1006:$BO$1006,0)))),"Fix")))</f>
        <v>0</v>
      </c>
      <c r="C871" s="4">
        <f>IF(OR(INDEX($AH$2:$AH$1001,MATCH(ROWS($AG$2:AG871),$AG$2:$AG$1001,0),1)&gt;=100000,INDEX($AN$1005:$BO$1005,1,MATCH(COLUMNS($AN$1006:AO1006),$AN$1006:$BO$1006,0))&gt;=100000), " ",IF(INDEX($AN$2:$BO$1001,MATCH(ROWS($AG$2:AG871),$AG$2:$AG$1001,0),MATCH(COLUMNS($AN$1006:AO1006),$AN$1006:$BO$1006,0)), HYPERLINK("#",""), HYPERLINK(CONCATENATE("#Metadata!", ADDRESS(INDEX($AI$2:$AI$1001,MATCH(ROWS($AG$2:AG871),$AG$2:$AG$1001,0),0), INDEX($AN$1004:$BO$1004,1,MATCH(COLUMNS($AN$1006:AO1006),$AN$1006:$BO$1006,0)))),"Fix")))</f>
        <v>0</v>
      </c>
      <c r="D871" s="4">
        <f>IF(OR(INDEX($AH$2:$AH$1001,MATCH(ROWS($AG$2:AG871),$AG$2:$AG$1001,0),1)&gt;=100000,INDEX($AN$1005:$BO$1005,1,MATCH(COLUMNS($AN$1006:AP1006),$AN$1006:$BO$1006,0))&gt;=100000), " ",IF(INDEX($AN$2:$BO$1001,MATCH(ROWS($AG$2:AG871),$AG$2:$AG$1001,0),MATCH(COLUMNS($AN$1006:AP1006),$AN$1006:$BO$1006,0)), HYPERLINK("#",""), HYPERLINK(CONCATENATE("#Metadata!", ADDRESS(INDEX($AI$2:$AI$1001,MATCH(ROWS($AG$2:AG871),$AG$2:$AG$1001,0),0), INDEX($AN$1004:$BO$1004,1,MATCH(COLUMNS($AN$1006:AP1006),$AN$1006:$BO$1006,0)))),"Fix")))</f>
        <v>0</v>
      </c>
      <c r="E871" s="4">
        <f>IF(OR(INDEX($AH$2:$AH$1001,MATCH(ROWS($AG$2:AG871),$AG$2:$AG$1001,0),1)&gt;=100000,INDEX($AN$1005:$BO$1005,1,MATCH(COLUMNS($AN$1006:AQ1006),$AN$1006:$BO$1006,0))&gt;=100000), " ",IF(INDEX($AN$2:$BO$1001,MATCH(ROWS($AG$2:AG871),$AG$2:$AG$1001,0),MATCH(COLUMNS($AN$1006:AQ1006),$AN$1006:$BO$1006,0)), HYPERLINK("#",""), HYPERLINK(CONCATENATE("#Metadata!", ADDRESS(INDEX($AI$2:$AI$1001,MATCH(ROWS($AG$2:AG871),$AG$2:$AG$1001,0),0), INDEX($AN$1004:$BO$1004,1,MATCH(COLUMNS($AN$1006:AQ1006),$AN$1006:$BO$1006,0)))),"Fix")))</f>
        <v>0</v>
      </c>
      <c r="F871" s="4">
        <f>IF(OR(INDEX($AH$2:$AH$1001,MATCH(ROWS($AG$2:AG871),$AG$2:$AG$1001,0),1)&gt;=100000,INDEX($AN$1005:$BO$1005,1,MATCH(COLUMNS($AN$1006:AR1006),$AN$1006:$BO$1006,0))&gt;=100000), " ",IF(INDEX($AN$2:$BO$1001,MATCH(ROWS($AG$2:AG871),$AG$2:$AG$1001,0),MATCH(COLUMNS($AN$1006:AR1006),$AN$1006:$BO$1006,0)), HYPERLINK("#",""), HYPERLINK(CONCATENATE("#Metadata!", ADDRESS(INDEX($AI$2:$AI$1001,MATCH(ROWS($AG$2:AG871),$AG$2:$AG$1001,0),0), INDEX($AN$1004:$BO$1004,1,MATCH(COLUMNS($AN$1006:AR1006),$AN$1006:$BO$1006,0)))),"Fix")))</f>
        <v>0</v>
      </c>
      <c r="G871" s="4">
        <f>IF(OR(INDEX($AH$2:$AH$1001,MATCH(ROWS($AG$2:AG871),$AG$2:$AG$1001,0),1)&gt;=100000,INDEX($AN$1005:$BO$1005,1,MATCH(COLUMNS($AN$1006:AS1006),$AN$1006:$BO$1006,0))&gt;=100000), " ",IF(INDEX($AN$2:$BO$1001,MATCH(ROWS($AG$2:AG871),$AG$2:$AG$1001,0),MATCH(COLUMNS($AN$1006:AS1006),$AN$1006:$BO$1006,0)), HYPERLINK("#",""), HYPERLINK(CONCATENATE("#Metadata!", ADDRESS(INDEX($AI$2:$AI$1001,MATCH(ROWS($AG$2:AG871),$AG$2:$AG$1001,0),0), INDEX($AN$1004:$BO$1004,1,MATCH(COLUMNS($AN$1006:AS1006),$AN$1006:$BO$1006,0)))),"Fix")))</f>
        <v>0</v>
      </c>
      <c r="H871" s="4">
        <f>IF(OR(INDEX($AH$2:$AH$1001,MATCH(ROWS($AG$2:AG871),$AG$2:$AG$1001,0),1)&gt;=100000,INDEX($AN$1005:$BO$1005,1,MATCH(COLUMNS($AN$1006:AT1006),$AN$1006:$BO$1006,0))&gt;=100000), " ",IF(INDEX($AN$2:$BO$1001,MATCH(ROWS($AG$2:AG871),$AG$2:$AG$1001,0),MATCH(COLUMNS($AN$1006:AT1006),$AN$1006:$BO$1006,0)), HYPERLINK("#",""), HYPERLINK(CONCATENATE("#Metadata!", ADDRESS(INDEX($AI$2:$AI$1001,MATCH(ROWS($AG$2:AG871),$AG$2:$AG$1001,0),0), INDEX($AN$1004:$BO$1004,1,MATCH(COLUMNS($AN$1006:AT1006),$AN$1006:$BO$1006,0)))),"Fix")))</f>
        <v>0</v>
      </c>
      <c r="I871" s="4">
        <f>IF(OR(INDEX($AH$2:$AH$1001,MATCH(ROWS($AG$2:AG871),$AG$2:$AG$1001,0),1)&gt;=100000,INDEX($AN$1005:$BO$1005,1,MATCH(COLUMNS($AN$1006:AU1006),$AN$1006:$BO$1006,0))&gt;=100000), " ",IF(INDEX($AN$2:$BO$1001,MATCH(ROWS($AG$2:AG871),$AG$2:$AG$1001,0),MATCH(COLUMNS($AN$1006:AU1006),$AN$1006:$BO$1006,0)), HYPERLINK("#",""), HYPERLINK(CONCATENATE("#Metadata!", ADDRESS(INDEX($AI$2:$AI$1001,MATCH(ROWS($AG$2:AG871),$AG$2:$AG$1001,0),0), INDEX($AN$1004:$BO$1004,1,MATCH(COLUMNS($AN$1006:AU1006),$AN$1006:$BO$1006,0)))),"Fix")))</f>
        <v>0</v>
      </c>
      <c r="J871" s="4">
        <f>IF(OR(INDEX($AH$2:$AH$1001,MATCH(ROWS($AG$2:AG871),$AG$2:$AG$1001,0),1)&gt;=100000,INDEX($AN$1005:$BO$1005,1,MATCH(COLUMNS($AN$1006:AV1006),$AN$1006:$BO$1006,0))&gt;=100000), " ",IF(INDEX($AN$2:$BO$1001,MATCH(ROWS($AG$2:AG871),$AG$2:$AG$1001,0),MATCH(COLUMNS($AN$1006:AV1006),$AN$1006:$BO$1006,0)), HYPERLINK("#",""), HYPERLINK(CONCATENATE("#Metadata!", ADDRESS(INDEX($AI$2:$AI$1001,MATCH(ROWS($AG$2:AG871),$AG$2:$AG$1001,0),0), INDEX($AN$1004:$BO$1004,1,MATCH(COLUMNS($AN$1006:AV1006),$AN$1006:$BO$1006,0)))),"Fix")))</f>
        <v>0</v>
      </c>
      <c r="K871" s="4">
        <f>IF(OR(INDEX($AH$2:$AH$1001,MATCH(ROWS($AG$2:AG871),$AG$2:$AG$1001,0),1)&gt;=100000,INDEX($AN$1005:$BO$1005,1,MATCH(COLUMNS($AN$1006:AW1006),$AN$1006:$BO$1006,0))&gt;=100000), " ",IF(INDEX($AN$2:$BO$1001,MATCH(ROWS($AG$2:AG871),$AG$2:$AG$1001,0),MATCH(COLUMNS($AN$1006:AW1006),$AN$1006:$BO$1006,0)), HYPERLINK("#",""), HYPERLINK(CONCATENATE("#Metadata!", ADDRESS(INDEX($AI$2:$AI$1001,MATCH(ROWS($AG$2:AG871),$AG$2:$AG$1001,0),0), INDEX($AN$1004:$BO$1004,1,MATCH(COLUMNS($AN$1006:AW1006),$AN$1006:$BO$1006,0)))),"Fix")))</f>
        <v>0</v>
      </c>
      <c r="L871" s="4">
        <f>IF(OR(INDEX($AH$2:$AH$1001,MATCH(ROWS($AG$2:AG871),$AG$2:$AG$1001,0),1)&gt;=100000,INDEX($AN$1005:$BO$1005,1,MATCH(COLUMNS($AN$1006:AX1006),$AN$1006:$BO$1006,0))&gt;=100000), " ",IF(INDEX($AN$2:$BO$1001,MATCH(ROWS($AG$2:AG871),$AG$2:$AG$1001,0),MATCH(COLUMNS($AN$1006:AX1006),$AN$1006:$BO$1006,0)), HYPERLINK("#",""), HYPERLINK(CONCATENATE("#Metadata!", ADDRESS(INDEX($AI$2:$AI$1001,MATCH(ROWS($AG$2:AG871),$AG$2:$AG$1001,0),0), INDEX($AN$1004:$BO$1004,1,MATCH(COLUMNS($AN$1006:AX1006),$AN$1006:$BO$1006,0)))),"Fix")))</f>
        <v>0</v>
      </c>
      <c r="M871" s="4">
        <f>IF(OR(INDEX($AH$2:$AH$1001,MATCH(ROWS($AG$2:AG871),$AG$2:$AG$1001,0),1)&gt;=100000,INDEX($AN$1005:$BO$1005,1,MATCH(COLUMNS($AN$1006:AY1006),$AN$1006:$BO$1006,0))&gt;=100000), " ",IF(INDEX($AN$2:$BO$1001,MATCH(ROWS($AG$2:AG871),$AG$2:$AG$1001,0),MATCH(COLUMNS($AN$1006:AY1006),$AN$1006:$BO$1006,0)), HYPERLINK("#",""), HYPERLINK(CONCATENATE("#Metadata!", ADDRESS(INDEX($AI$2:$AI$1001,MATCH(ROWS($AG$2:AG871),$AG$2:$AG$1001,0),0), INDEX($AN$1004:$BO$1004,1,MATCH(COLUMNS($AN$1006:AY1006),$AN$1006:$BO$1006,0)))),"Fix")))</f>
        <v>0</v>
      </c>
      <c r="N871" s="4">
        <f>IF(OR(INDEX($AH$2:$AH$1001,MATCH(ROWS($AG$2:AG871),$AG$2:$AG$1001,0),1)&gt;=100000,INDEX($AN$1005:$BO$1005,1,MATCH(COLUMNS($AN$1006:AZ1006),$AN$1006:$BO$1006,0))&gt;=100000), " ",IF(INDEX($AN$2:$BO$1001,MATCH(ROWS($AG$2:AG871),$AG$2:$AG$1001,0),MATCH(COLUMNS($AN$1006:AZ1006),$AN$1006:$BO$1006,0)), HYPERLINK("#",""), HYPERLINK(CONCATENATE("#Metadata!", ADDRESS(INDEX($AI$2:$AI$1001,MATCH(ROWS($AG$2:AG871),$AG$2:$AG$1001,0),0), INDEX($AN$1004:$BO$1004,1,MATCH(COLUMNS($AN$1006:AZ1006),$AN$1006:$BO$1006,0)))),"Fix")))</f>
        <v>0</v>
      </c>
      <c r="O871" s="4">
        <f>IF(OR(INDEX($AH$2:$AH$1001,MATCH(ROWS($AG$2:AG871),$AG$2:$AG$1001,0),1)&gt;=100000,INDEX($AN$1005:$BO$1005,1,MATCH(COLUMNS($AN$1006:BA1006),$AN$1006:$BO$1006,0))&gt;=100000), " ",IF(INDEX($AN$2:$BO$1001,MATCH(ROWS($AG$2:AG871),$AG$2:$AG$1001,0),MATCH(COLUMNS($AN$1006:BA1006),$AN$1006:$BO$1006,0)), HYPERLINK("#",""), HYPERLINK(CONCATENATE("#Metadata!", ADDRESS(INDEX($AI$2:$AI$1001,MATCH(ROWS($AG$2:AG871),$AG$2:$AG$1001,0),0), INDEX($AN$1004:$BO$1004,1,MATCH(COLUMNS($AN$1006:BA1006),$AN$1006:$BO$1006,0)))),"Fix")))</f>
        <v>0</v>
      </c>
      <c r="P871" s="4">
        <f>IF(OR(INDEX($AH$2:$AH$1001,MATCH(ROWS($AG$2:AG871),$AG$2:$AG$1001,0),1)&gt;=100000,INDEX($AN$1005:$BO$1005,1,MATCH(COLUMNS($AN$1006:BB1006),$AN$1006:$BO$1006,0))&gt;=100000), " ",IF(INDEX($AN$2:$BO$1001,MATCH(ROWS($AG$2:AG871),$AG$2:$AG$1001,0),MATCH(COLUMNS($AN$1006:BB1006),$AN$1006:$BO$1006,0)), HYPERLINK("#",""), HYPERLINK(CONCATENATE("#Metadata!", ADDRESS(INDEX($AI$2:$AI$1001,MATCH(ROWS($AG$2:AG871),$AG$2:$AG$1001,0),0), INDEX($AN$1004:$BO$1004,1,MATCH(COLUMNS($AN$1006:BB1006),$AN$1006:$BO$1006,0)))),"Fix")))</f>
        <v>0</v>
      </c>
      <c r="Q871" s="4">
        <f>IF(OR(INDEX($AH$2:$AH$1001,MATCH(ROWS($AG$2:AG871),$AG$2:$AG$1001,0),1)&gt;=100000,INDEX($AN$1005:$BO$1005,1,MATCH(COLUMNS($AN$1006:BC1006),$AN$1006:$BO$1006,0))&gt;=100000), " ",IF(INDEX($AN$2:$BO$1001,MATCH(ROWS($AG$2:AG871),$AG$2:$AG$1001,0),MATCH(COLUMNS($AN$1006:BC1006),$AN$1006:$BO$1006,0)), HYPERLINK("#",""), HYPERLINK(CONCATENATE("#Metadata!", ADDRESS(INDEX($AI$2:$AI$1001,MATCH(ROWS($AG$2:AG871),$AG$2:$AG$1001,0),0), INDEX($AN$1004:$BO$1004,1,MATCH(COLUMNS($AN$1006:BC1006),$AN$1006:$BO$1006,0)))),"Fix")))</f>
        <v>0</v>
      </c>
      <c r="R871" s="4">
        <f>IF(OR(INDEX($AH$2:$AH$1001,MATCH(ROWS($AG$2:AG871),$AG$2:$AG$1001,0),1)&gt;=100000,INDEX($AN$1005:$BO$1005,1,MATCH(COLUMNS($AN$1006:BD1006),$AN$1006:$BO$1006,0))&gt;=100000), " ",IF(INDEX($AN$2:$BO$1001,MATCH(ROWS($AG$2:AG871),$AG$2:$AG$1001,0),MATCH(COLUMNS($AN$1006:BD1006),$AN$1006:$BO$1006,0)), HYPERLINK("#",""), HYPERLINK(CONCATENATE("#Metadata!", ADDRESS(INDEX($AI$2:$AI$1001,MATCH(ROWS($AG$2:AG871),$AG$2:$AG$1001,0),0), INDEX($AN$1004:$BO$1004,1,MATCH(COLUMNS($AN$1006:BD1006),$AN$1006:$BO$1006,0)))),"Fix")))</f>
        <v>0</v>
      </c>
      <c r="S871" s="4">
        <f>IF(OR(INDEX($AH$2:$AH$1001,MATCH(ROWS($AG$2:AG871),$AG$2:$AG$1001,0),1)&gt;=100000,INDEX($AN$1005:$BO$1005,1,MATCH(COLUMNS($AN$1006:BE1006),$AN$1006:$BO$1006,0))&gt;=100000), " ",IF(INDEX($AN$2:$BO$1001,MATCH(ROWS($AG$2:AG871),$AG$2:$AG$1001,0),MATCH(COLUMNS($AN$1006:BE1006),$AN$1006:$BO$1006,0)), HYPERLINK("#",""), HYPERLINK(CONCATENATE("#Metadata!", ADDRESS(INDEX($AI$2:$AI$1001,MATCH(ROWS($AG$2:AG871),$AG$2:$AG$1001,0),0), INDEX($AN$1004:$BO$1004,1,MATCH(COLUMNS($AN$1006:BE1006),$AN$1006:$BO$1006,0)))),"Fix")))</f>
        <v>0</v>
      </c>
      <c r="T871" s="4">
        <f>IF(OR(INDEX($AH$2:$AH$1001,MATCH(ROWS($AG$2:AG871),$AG$2:$AG$1001,0),1)&gt;=100000,INDEX($AN$1005:$BO$1005,1,MATCH(COLUMNS($AN$1006:BF1006),$AN$1006:$BO$1006,0))&gt;=100000), " ",IF(INDEX($AN$2:$BO$1001,MATCH(ROWS($AG$2:AG871),$AG$2:$AG$1001,0),MATCH(COLUMNS($AN$1006:BF1006),$AN$1006:$BO$1006,0)), HYPERLINK("#",""), HYPERLINK(CONCATENATE("#Metadata!", ADDRESS(INDEX($AI$2:$AI$1001,MATCH(ROWS($AG$2:AG871),$AG$2:$AG$1001,0),0), INDEX($AN$1004:$BO$1004,1,MATCH(COLUMNS($AN$1006:BF1006),$AN$1006:$BO$1006,0)))),"Fix")))</f>
        <v>0</v>
      </c>
      <c r="U871" s="4">
        <f>IF(OR(INDEX($AH$2:$AH$1001,MATCH(ROWS($AG$2:AG871),$AG$2:$AG$1001,0),1)&gt;=100000,INDEX($AN$1005:$BO$1005,1,MATCH(COLUMNS($AN$1006:BG1006),$AN$1006:$BO$1006,0))&gt;=100000), " ",IF(INDEX($AN$2:$BO$1001,MATCH(ROWS($AG$2:AG871),$AG$2:$AG$1001,0),MATCH(COLUMNS($AN$1006:BG1006),$AN$1006:$BO$1006,0)), HYPERLINK("#",""), HYPERLINK(CONCATENATE("#Metadata!", ADDRESS(INDEX($AI$2:$AI$1001,MATCH(ROWS($AG$2:AG871),$AG$2:$AG$1001,0),0), INDEX($AN$1004:$BO$1004,1,MATCH(COLUMNS($AN$1006:BG1006),$AN$1006:$BO$1006,0)))),"Fix")))</f>
        <v>0</v>
      </c>
      <c r="V871" s="4">
        <f>IF(OR(INDEX($AH$2:$AH$1001,MATCH(ROWS($AG$2:AG871),$AG$2:$AG$1001,0),1)&gt;=100000,INDEX($AN$1005:$BO$1005,1,MATCH(COLUMNS($AN$1006:BH1006),$AN$1006:$BO$1006,0))&gt;=100000), " ",IF(INDEX($AN$2:$BO$1001,MATCH(ROWS($AG$2:AG871),$AG$2:$AG$1001,0),MATCH(COLUMNS($AN$1006:BH1006),$AN$1006:$BO$1006,0)), HYPERLINK("#",""), HYPERLINK(CONCATENATE("#Metadata!", ADDRESS(INDEX($AI$2:$AI$1001,MATCH(ROWS($AG$2:AG871),$AG$2:$AG$1001,0),0), INDEX($AN$1004:$BO$1004,1,MATCH(COLUMNS($AN$1006:BH1006),$AN$1006:$BO$1006,0)))),"Fix")))</f>
        <v>0</v>
      </c>
      <c r="W871" s="4">
        <f>IF(OR(INDEX($AH$2:$AH$1001,MATCH(ROWS($AG$2:AG871),$AG$2:$AG$1001,0),1)&gt;=100000,INDEX($AN$1005:$BO$1005,1,MATCH(COLUMNS($AN$1006:BI1006),$AN$1006:$BO$1006,0))&gt;=100000), " ",IF(INDEX($AN$2:$BO$1001,MATCH(ROWS($AG$2:AG871),$AG$2:$AG$1001,0),MATCH(COLUMNS($AN$1006:BI1006),$AN$1006:$BO$1006,0)), HYPERLINK("#",""), HYPERLINK(CONCATENATE("#Metadata!", ADDRESS(INDEX($AI$2:$AI$1001,MATCH(ROWS($AG$2:AG871),$AG$2:$AG$1001,0),0), INDEX($AN$1004:$BO$1004,1,MATCH(COLUMNS($AN$1006:BI1006),$AN$1006:$BO$1006,0)))),"Fix")))</f>
        <v>0</v>
      </c>
      <c r="X871" s="4">
        <f>IF(OR(INDEX($AH$2:$AH$1001,MATCH(ROWS($AG$2:AG871),$AG$2:$AG$1001,0),1)&gt;=100000,INDEX($AN$1005:$BO$1005,1,MATCH(COLUMNS($AN$1006:BJ1006),$AN$1006:$BO$1006,0))&gt;=100000), " ",IF(INDEX($AN$2:$BO$1001,MATCH(ROWS($AG$2:AG871),$AG$2:$AG$1001,0),MATCH(COLUMNS($AN$1006:BJ1006),$AN$1006:$BO$1006,0)), HYPERLINK("#",""), HYPERLINK(CONCATENATE("#Metadata!", ADDRESS(INDEX($AI$2:$AI$1001,MATCH(ROWS($AG$2:AG871),$AG$2:$AG$1001,0),0), INDEX($AN$1004:$BO$1004,1,MATCH(COLUMNS($AN$1006:BJ1006),$AN$1006:$BO$1006,0)))),"Fix")))</f>
        <v>0</v>
      </c>
      <c r="Y871" s="4">
        <f>IF(OR(INDEX($AH$2:$AH$1001,MATCH(ROWS($AG$2:AG871),$AG$2:$AG$1001,0),1)&gt;=100000,INDEX($AN$1005:$BO$1005,1,MATCH(COLUMNS($AN$1006:BK1006),$AN$1006:$BO$1006,0))&gt;=100000), " ",IF(INDEX($AN$2:$BO$1001,MATCH(ROWS($AG$2:AG871),$AG$2:$AG$1001,0),MATCH(COLUMNS($AN$1006:BK1006),$AN$1006:$BO$1006,0)), HYPERLINK("#",""), HYPERLINK(CONCATENATE("#Metadata!", ADDRESS(INDEX($AI$2:$AI$1001,MATCH(ROWS($AG$2:AG871),$AG$2:$AG$1001,0),0), INDEX($AN$1004:$BO$1004,1,MATCH(COLUMNS($AN$1006:BK1006),$AN$1006:$BO$1006,0)))),"Fix")))</f>
        <v>0</v>
      </c>
      <c r="Z871" s="4">
        <f>IF(OR(INDEX($AH$2:$AH$1001,MATCH(ROWS($AG$2:AG871),$AG$2:$AG$1001,0),1)&gt;=100000,INDEX($AN$1005:$BO$1005,1,MATCH(COLUMNS($AN$1006:BL1006),$AN$1006:$BO$1006,0))&gt;=100000), " ",IF(INDEX($AN$2:$BO$1001,MATCH(ROWS($AG$2:AG871),$AG$2:$AG$1001,0),MATCH(COLUMNS($AN$1006:BL1006),$AN$1006:$BO$1006,0)), HYPERLINK("#",""), HYPERLINK(CONCATENATE("#Metadata!", ADDRESS(INDEX($AI$2:$AI$1001,MATCH(ROWS($AG$2:AG871),$AG$2:$AG$1001,0),0), INDEX($AN$1004:$BO$1004,1,MATCH(COLUMNS($AN$1006:BL1006),$AN$1006:$BO$1006,0)))),"Fix")))</f>
        <v>0</v>
      </c>
      <c r="AA871" s="4">
        <f>IF(OR(INDEX($AH$2:$AH$1001,MATCH(ROWS($AG$2:AG871),$AG$2:$AG$1001,0),1)&gt;=100000,INDEX($AN$1005:$BO$1005,1,MATCH(COLUMNS($AN$1006:BM1006),$AN$1006:$BO$1006,0))&gt;=100000), " ",IF(INDEX($AN$2:$BO$1001,MATCH(ROWS($AG$2:AG871),$AG$2:$AG$1001,0),MATCH(COLUMNS($AN$1006:BM1006),$AN$1006:$BO$1006,0)), HYPERLINK("#",""), HYPERLINK(CONCATENATE("#Metadata!", ADDRESS(INDEX($AI$2:$AI$1001,MATCH(ROWS($AG$2:AG871),$AG$2:$AG$1001,0),0), INDEX($AN$1004:$BO$1004,1,MATCH(COLUMNS($AN$1006:BM1006),$AN$1006:$BO$1006,0)))),"Fix")))</f>
        <v>0</v>
      </c>
      <c r="AB871" s="4">
        <f>IF(OR(INDEX($AH$2:$AH$1001,MATCH(ROWS($AG$2:AG871),$AG$2:$AG$1001,0),1)&gt;=100000,INDEX($AN$1005:$BO$1005,1,MATCH(COLUMNS($AN$1006:BN1006),$AN$1006:$BO$1006,0))&gt;=100000), " ",IF(INDEX($AN$2:$BO$1001,MATCH(ROWS($AG$2:AG871),$AG$2:$AG$1001,0),MATCH(COLUMNS($AN$1006:BN1006),$AN$1006:$BO$1006,0)), HYPERLINK("#",""), HYPERLINK(CONCATENATE("#Metadata!", ADDRESS(INDEX($AI$2:$AI$1001,MATCH(ROWS($AG$2:AG871),$AG$2:$AG$1001,0),0), INDEX($AN$1004:$BO$1004,1,MATCH(COLUMNS($AN$1006:BN1006),$AN$1006:$BO$1006,0)))),"Fix")))</f>
        <v>0</v>
      </c>
      <c r="AC871" s="4">
        <f>IF(OR(INDEX($AH$2:$AH$1001,MATCH(ROWS($AG$2:AG871),$AG$2:$AG$1001,0),1)&gt;=100000,INDEX($AN$1005:$BO$1005,1,MATCH(COLUMNS($AN$1006:BO1006),$AN$1006:$BO$1006,0))&gt;=100000), " ",IF(INDEX($AN$2:$BO$1001,MATCH(ROWS($AG$2:AG871),$AG$2:$AG$1001,0),MATCH(COLUMNS($AN$1006:BO1006),$AN$1006:$BO$1006,0)), HYPERLINK("#",""), HYPERLINK(CONCATENATE("#Metadata!", ADDRESS(INDEX($AI$2:$AI$1001,MATCH(ROWS($AG$2:AG871),$AG$2:$AG$1001,0),0), INDEX($AN$1004:$BO$1004,1,MATCH(COLUMNS($AN$1006:BO1006),$AN$1006:$BO$1006,0)))),"Fix")))</f>
        <v>0</v>
      </c>
      <c r="AG871">
        <v>0</v>
      </c>
      <c r="AH871">
        <v>0</v>
      </c>
      <c r="AI871">
        <v>0</v>
      </c>
      <c r="AJ871">
        <f>IF(AK871,TRUE,AND(AN871:BO871))</f>
        <v>0</v>
      </c>
      <c r="AK871">
        <f>COUNTBLANK(Metadata!B871:AC871)=COLUMNS(Metadata!B871:AC871)</f>
        <v>0</v>
      </c>
      <c r="AL871">
        <v>0</v>
      </c>
      <c r="AN871">
        <f>AND(IF(Metadata!B871="",FALSE,TRUE),COUNTIF(Metadata!B:B, Metadata!B871) = 1,NOT(ISERROR(SUMPRODUCT(SEARCH(MID(Metadata!B871,ROW(INDIRECT("1:"&amp;LEN(Metadata!B871))), 1),"0123456789abcdefghijklmnopqrstuvwxyzABCDEFGHIJKLMNOPQRSTUVWXYZ.")))))</f>
        <v>0</v>
      </c>
      <c r="AO871">
        <f>IF(Metadata!C871="",FALSE,TRUE)</f>
        <v>0</v>
      </c>
      <c r="AP871">
        <f>IF(Metadata!D871="",FALSE,TRUE)</f>
        <v>0</v>
      </c>
      <c r="AQ871">
        <f>OR(AND(IF(Metadata!E871="",FALSE,TRUE),OR(exact(Metadata!E871,"not collected"),exact(Metadata!E871,"not provided"),exact(Metadata!E871,"restricted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R871">
        <f>IF(Metadata!F871="",FALSE,TRUE)</f>
        <v>0</v>
      </c>
      <c r="AS871">
        <f>OR(AND(IF(Metadata!G871="",FALSE,TRUE),OR(exact(Metadata!G871,"not collected"),exact(Metadata!G871,"not provided"))),AND(IF(Metadata!G871="",FALSE,TRUE),OR(exact(Metadata!G871,"TRUE"),exact(Metadata!G871,"FALSE"))))</f>
        <v>0</v>
      </c>
      <c r="AT871">
        <f>OR(AND(IF(Metadata!H871="",FALSE,TRUE),OR(exact(Metadata!H871,"not collected"),exact(Metadata!H871,"not provided"),exact(Metadata!H871,"restricted access"))),AND(IF(Metadata!H871="",FALSE,ISNUMBER(VALUE(Metadata!H871))),Metadata!H871&gt;=-413.0))</f>
        <v>0</v>
      </c>
      <c r="AU871">
        <f>AND(IF(Metadata!I871="",FALSE,TRUE),exact(Metadata!I871,"meters"))</f>
        <v>0</v>
      </c>
      <c r="AV871">
        <f>AND(IF(Metadata!J871="",FALSE,TRUE),OR(exact(Metadata!J871,"Host-associated"),exact(Metadata!J871,"Free-living")))</f>
        <v>0</v>
      </c>
      <c r="AW871">
        <f>AND(IF(Metadata!K871="",FALSE,TRUE),OR(exact(Metadata!K871,"Animal"),exact(Metadata!K871,"Fungus"),exact(Metadata!K871,"Plant"),exact(Metadata!K871,"Saline"),exact(Metadata!K871,"Non-saline")))</f>
        <v>0</v>
      </c>
      <c r="AX871">
        <f>AND(IF(Metadata!L871="",FALSE,TRUE),OR(exact(Metadata!L871,"Plant secretion"),exact(Metadata!L871,"Plant rhizosphere"),exact(Metadata!L871,"Plant surface"),exact(Metadata!L871,"Plant corpus"),exact(Metadata!L871,"Fungus surface"),exact(Metadata!L871,"Fungus corpus"),exact(Metadata!L871,"Animal surface"),exact(Metadata!L871,"Animal proximal gut"),exact(Metadata!L871,"Animal corpus"),exact(Metadata!L871,"Animal distal gut"),exact(Metadata!L871,"Animal secretion"),exact(Metadata!L871,"Sub-surface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Y871">
        <f>IF(Metadata!M871="",FALSE,TRUE)</f>
        <v>0</v>
      </c>
      <c r="AZ871">
        <f>IF(Metadata!N871="",FALSE,TRUE)</f>
        <v>0</v>
      </c>
      <c r="BA871">
        <f>IF(Metadata!O871="",FALSE,TRUE)</f>
        <v>0</v>
      </c>
      <c r="BB871">
        <f>OR(AND(IF(Metadata!P871="",FALSE,TRUE),OR(exact(Metadata!P871,"not collected"),exact(Metadata!P871,"not provided"),exact(Metadata!P871,"restricted access"))),AND(IF(Metadata!P871="",FALSE,TRUE),OR(exact(Metadata!P871,"air"),exact(Metadata!P871,"built environment"),exact(Metadata!P871,"host-associated"),exact(Metadata!P871,"human-associated"),exact(Metadata!P871,"human-skin"),exact(Metadata!P871,"human-oral"),exact(Metadata!P871,"human-gut"),exact(Metadata!P871,"human-vaginal"),exact(Metadata!P871,"microbial mat/biofilm"),exact(Metadata!P871,"misc environment"),exact(Metadata!P871,"plant-associated"),exact(Metadata!P871,"sediment"),exact(Metadata!P871,"soil"),exact(Metadata!P871,"wastewater/sludge"),exact(Metadata!P871,"water"))))</f>
        <v>0</v>
      </c>
      <c r="BC871">
        <f>IF(Metadata!Q871="",FALSE,TRUE)</f>
        <v>0</v>
      </c>
      <c r="BD871">
        <f>IF(Metadata!R871="",FALSE,TRUE)</f>
        <v>0</v>
      </c>
      <c r="BE871">
        <f>OR(AND(IF(Metadata!S871="",FALSE,TRUE),OR(exact(Metadata!S871,"not collected"),exact(Metadata!S871,"not provided"),exact(Metadata!S871,"restricted access"))),AND(IF(Metadata!S871="",FALSE,ISNUMBER(VALUE(Metadata!S871))),Metadata!S871&gt;=-90.00,Metadata!S871&lt;=90.00))</f>
        <v>0</v>
      </c>
      <c r="BF871">
        <f>AND(IF(Metadata!T871="",FALSE,TRUE),exact(Metadata!T871,"Decimal degrees"))</f>
        <v>0</v>
      </c>
      <c r="BG871">
        <f>OR(AND(IF(Metadata!U871="",FALSE,TRUE),OR(exact(Metadata!U871,"not collected"),exact(Metadata!U871,"not provided"),exact(Metadata!U871,"restricted access"))),AND(IF(Metadata!U871="",FALSE,ISNUMBER(VALUE(Metadata!U871))),Metadata!U871&gt;=-180.00,Metadata!U871&lt;=180.00))</f>
        <v>0</v>
      </c>
      <c r="BH871">
        <f>AND(IF(Metadata!V871="",FALSE,TRUE),exact(Metadata!V871,"Decimal degrees"))</f>
        <v>0</v>
      </c>
      <c r="BI871">
        <f>IF(Metadata!W871="",FALSE,TRUE)</f>
        <v>0</v>
      </c>
      <c r="BJ871">
        <f>OR(AND(IF(Metadata!X871="",FALSE,TRUE),OR(exact(Metadata!X871,"not collected"),exact(Metadata!X871,"not provided"),exact(Metadata!X871,"restricted access"))),AND(IF(Metadata!X871="",FALSE,TRUE),OR(exact(Metadata!X871,"TRUE"),exact(Metadata!X871,"FALSE"))))</f>
        <v>0</v>
      </c>
      <c r="BK871">
        <f>AND(IF(Metadata!Y871="",FALSE,TRUE),exact(Metadata!Y871,"other"))</f>
        <v>0</v>
      </c>
      <c r="BL871">
        <f>IF(Metadata!Z871="",FALSE,TRUE)</f>
        <v>0</v>
      </c>
      <c r="BM871">
        <f>OR(AND(IF(Metadata!AA871="",FALSE,TRUE),OR(exact(Metadata!AA871,"not collected"),exact(Metadata!AA871,"not provided"))),AND(IF(Metadata!AA871="",FALSE,IF(ISERROR(INT(Metadata!AA871)),FALSE,INT(Metadata!AA871)=Metadata!AA871)),Metadata!AA871&gt;0))</f>
        <v>0</v>
      </c>
      <c r="BN871">
        <f>AND(IF(Metadata!AB871="",FALSE,TRUE),exact(Metadata!AB871,"Not applicable"))</f>
        <v>0</v>
      </c>
      <c r="BO871">
        <f>IF(Metadata!AC871="",FALSE,TRUE)</f>
        <v>0</v>
      </c>
    </row>
    <row r="872" spans="1:67">
      <c r="A872" s="5">
        <f>IF(B872=" "," ",HYPERLINK(CONCATENATE("#metadata!",ADDRESS(INDEX($AI$2:$AI$1001,MATCH(ROWS($AG$2:AG872),$AG$2:$AG$1001,0),0),1)),INDEX($AL$2:$AL$1001,MATCH(ROWS($AG$2:AG872),$AG$2:$AG$1001,0),0)))</f>
        <v>0</v>
      </c>
      <c r="B872" s="4">
        <f>IF(OR(INDEX($AH$2:$AH$1001,MATCH(ROWS($AG$2:AG872),$AG$2:$AG$1001,0),1)&gt;=100000,INDEX($AN$1005:$BO$1005,1,MATCH(COLUMNS($AN$1006:AN1006),$AN$1006:$BO$1006,0))&gt;=100000), " ",IF(INDEX($AN$2:$BO$1001,MATCH(ROWS($AG$2:AG872),$AG$2:$AG$1001,0),MATCH(COLUMNS($AN$1006:AN1006),$AN$1006:$BO$1006,0)), HYPERLINK("#",""), HYPERLINK(CONCATENATE("#Metadata!", ADDRESS(INDEX($AI$2:$AI$1001,MATCH(ROWS($AG$2:AG872),$AG$2:$AG$1001,0),0), INDEX($AN$1004:$BO$1004,1,MATCH(COLUMNS($AN$1006:AN1006),$AN$1006:$BO$1006,0)))),"Fix")))</f>
        <v>0</v>
      </c>
      <c r="C872" s="4">
        <f>IF(OR(INDEX($AH$2:$AH$1001,MATCH(ROWS($AG$2:AG872),$AG$2:$AG$1001,0),1)&gt;=100000,INDEX($AN$1005:$BO$1005,1,MATCH(COLUMNS($AN$1006:AO1006),$AN$1006:$BO$1006,0))&gt;=100000), " ",IF(INDEX($AN$2:$BO$1001,MATCH(ROWS($AG$2:AG872),$AG$2:$AG$1001,0),MATCH(COLUMNS($AN$1006:AO1006),$AN$1006:$BO$1006,0)), HYPERLINK("#",""), HYPERLINK(CONCATENATE("#Metadata!", ADDRESS(INDEX($AI$2:$AI$1001,MATCH(ROWS($AG$2:AG872),$AG$2:$AG$1001,0),0), INDEX($AN$1004:$BO$1004,1,MATCH(COLUMNS($AN$1006:AO1006),$AN$1006:$BO$1006,0)))),"Fix")))</f>
        <v>0</v>
      </c>
      <c r="D872" s="4">
        <f>IF(OR(INDEX($AH$2:$AH$1001,MATCH(ROWS($AG$2:AG872),$AG$2:$AG$1001,0),1)&gt;=100000,INDEX($AN$1005:$BO$1005,1,MATCH(COLUMNS($AN$1006:AP1006),$AN$1006:$BO$1006,0))&gt;=100000), " ",IF(INDEX($AN$2:$BO$1001,MATCH(ROWS($AG$2:AG872),$AG$2:$AG$1001,0),MATCH(COLUMNS($AN$1006:AP1006),$AN$1006:$BO$1006,0)), HYPERLINK("#",""), HYPERLINK(CONCATENATE("#Metadata!", ADDRESS(INDEX($AI$2:$AI$1001,MATCH(ROWS($AG$2:AG872),$AG$2:$AG$1001,0),0), INDEX($AN$1004:$BO$1004,1,MATCH(COLUMNS($AN$1006:AP1006),$AN$1006:$BO$1006,0)))),"Fix")))</f>
        <v>0</v>
      </c>
      <c r="E872" s="4">
        <f>IF(OR(INDEX($AH$2:$AH$1001,MATCH(ROWS($AG$2:AG872),$AG$2:$AG$1001,0),1)&gt;=100000,INDEX($AN$1005:$BO$1005,1,MATCH(COLUMNS($AN$1006:AQ1006),$AN$1006:$BO$1006,0))&gt;=100000), " ",IF(INDEX($AN$2:$BO$1001,MATCH(ROWS($AG$2:AG872),$AG$2:$AG$1001,0),MATCH(COLUMNS($AN$1006:AQ1006),$AN$1006:$BO$1006,0)), HYPERLINK("#",""), HYPERLINK(CONCATENATE("#Metadata!", ADDRESS(INDEX($AI$2:$AI$1001,MATCH(ROWS($AG$2:AG872),$AG$2:$AG$1001,0),0), INDEX($AN$1004:$BO$1004,1,MATCH(COLUMNS($AN$1006:AQ1006),$AN$1006:$BO$1006,0)))),"Fix")))</f>
        <v>0</v>
      </c>
      <c r="F872" s="4">
        <f>IF(OR(INDEX($AH$2:$AH$1001,MATCH(ROWS($AG$2:AG872),$AG$2:$AG$1001,0),1)&gt;=100000,INDEX($AN$1005:$BO$1005,1,MATCH(COLUMNS($AN$1006:AR1006),$AN$1006:$BO$1006,0))&gt;=100000), " ",IF(INDEX($AN$2:$BO$1001,MATCH(ROWS($AG$2:AG872),$AG$2:$AG$1001,0),MATCH(COLUMNS($AN$1006:AR1006),$AN$1006:$BO$1006,0)), HYPERLINK("#",""), HYPERLINK(CONCATENATE("#Metadata!", ADDRESS(INDEX($AI$2:$AI$1001,MATCH(ROWS($AG$2:AG872),$AG$2:$AG$1001,0),0), INDEX($AN$1004:$BO$1004,1,MATCH(COLUMNS($AN$1006:AR1006),$AN$1006:$BO$1006,0)))),"Fix")))</f>
        <v>0</v>
      </c>
      <c r="G872" s="4">
        <f>IF(OR(INDEX($AH$2:$AH$1001,MATCH(ROWS($AG$2:AG872),$AG$2:$AG$1001,0),1)&gt;=100000,INDEX($AN$1005:$BO$1005,1,MATCH(COLUMNS($AN$1006:AS1006),$AN$1006:$BO$1006,0))&gt;=100000), " ",IF(INDEX($AN$2:$BO$1001,MATCH(ROWS($AG$2:AG872),$AG$2:$AG$1001,0),MATCH(COLUMNS($AN$1006:AS1006),$AN$1006:$BO$1006,0)), HYPERLINK("#",""), HYPERLINK(CONCATENATE("#Metadata!", ADDRESS(INDEX($AI$2:$AI$1001,MATCH(ROWS($AG$2:AG872),$AG$2:$AG$1001,0),0), INDEX($AN$1004:$BO$1004,1,MATCH(COLUMNS($AN$1006:AS1006),$AN$1006:$BO$1006,0)))),"Fix")))</f>
        <v>0</v>
      </c>
      <c r="H872" s="4">
        <f>IF(OR(INDEX($AH$2:$AH$1001,MATCH(ROWS($AG$2:AG872),$AG$2:$AG$1001,0),1)&gt;=100000,INDEX($AN$1005:$BO$1005,1,MATCH(COLUMNS($AN$1006:AT1006),$AN$1006:$BO$1006,0))&gt;=100000), " ",IF(INDEX($AN$2:$BO$1001,MATCH(ROWS($AG$2:AG872),$AG$2:$AG$1001,0),MATCH(COLUMNS($AN$1006:AT1006),$AN$1006:$BO$1006,0)), HYPERLINK("#",""), HYPERLINK(CONCATENATE("#Metadata!", ADDRESS(INDEX($AI$2:$AI$1001,MATCH(ROWS($AG$2:AG872),$AG$2:$AG$1001,0),0), INDEX($AN$1004:$BO$1004,1,MATCH(COLUMNS($AN$1006:AT1006),$AN$1006:$BO$1006,0)))),"Fix")))</f>
        <v>0</v>
      </c>
      <c r="I872" s="4">
        <f>IF(OR(INDEX($AH$2:$AH$1001,MATCH(ROWS($AG$2:AG872),$AG$2:$AG$1001,0),1)&gt;=100000,INDEX($AN$1005:$BO$1005,1,MATCH(COLUMNS($AN$1006:AU1006),$AN$1006:$BO$1006,0))&gt;=100000), " ",IF(INDEX($AN$2:$BO$1001,MATCH(ROWS($AG$2:AG872),$AG$2:$AG$1001,0),MATCH(COLUMNS($AN$1006:AU1006),$AN$1006:$BO$1006,0)), HYPERLINK("#",""), HYPERLINK(CONCATENATE("#Metadata!", ADDRESS(INDEX($AI$2:$AI$1001,MATCH(ROWS($AG$2:AG872),$AG$2:$AG$1001,0),0), INDEX($AN$1004:$BO$1004,1,MATCH(COLUMNS($AN$1006:AU1006),$AN$1006:$BO$1006,0)))),"Fix")))</f>
        <v>0</v>
      </c>
      <c r="J872" s="4">
        <f>IF(OR(INDEX($AH$2:$AH$1001,MATCH(ROWS($AG$2:AG872),$AG$2:$AG$1001,0),1)&gt;=100000,INDEX($AN$1005:$BO$1005,1,MATCH(COLUMNS($AN$1006:AV1006),$AN$1006:$BO$1006,0))&gt;=100000), " ",IF(INDEX($AN$2:$BO$1001,MATCH(ROWS($AG$2:AG872),$AG$2:$AG$1001,0),MATCH(COLUMNS($AN$1006:AV1006),$AN$1006:$BO$1006,0)), HYPERLINK("#",""), HYPERLINK(CONCATENATE("#Metadata!", ADDRESS(INDEX($AI$2:$AI$1001,MATCH(ROWS($AG$2:AG872),$AG$2:$AG$1001,0),0), INDEX($AN$1004:$BO$1004,1,MATCH(COLUMNS($AN$1006:AV1006),$AN$1006:$BO$1006,0)))),"Fix")))</f>
        <v>0</v>
      </c>
      <c r="K872" s="4">
        <f>IF(OR(INDEX($AH$2:$AH$1001,MATCH(ROWS($AG$2:AG872),$AG$2:$AG$1001,0),1)&gt;=100000,INDEX($AN$1005:$BO$1005,1,MATCH(COLUMNS($AN$1006:AW1006),$AN$1006:$BO$1006,0))&gt;=100000), " ",IF(INDEX($AN$2:$BO$1001,MATCH(ROWS($AG$2:AG872),$AG$2:$AG$1001,0),MATCH(COLUMNS($AN$1006:AW1006),$AN$1006:$BO$1006,0)), HYPERLINK("#",""), HYPERLINK(CONCATENATE("#Metadata!", ADDRESS(INDEX($AI$2:$AI$1001,MATCH(ROWS($AG$2:AG872),$AG$2:$AG$1001,0),0), INDEX($AN$1004:$BO$1004,1,MATCH(COLUMNS($AN$1006:AW1006),$AN$1006:$BO$1006,0)))),"Fix")))</f>
        <v>0</v>
      </c>
      <c r="L872" s="4">
        <f>IF(OR(INDEX($AH$2:$AH$1001,MATCH(ROWS($AG$2:AG872),$AG$2:$AG$1001,0),1)&gt;=100000,INDEX($AN$1005:$BO$1005,1,MATCH(COLUMNS($AN$1006:AX1006),$AN$1006:$BO$1006,0))&gt;=100000), " ",IF(INDEX($AN$2:$BO$1001,MATCH(ROWS($AG$2:AG872),$AG$2:$AG$1001,0),MATCH(COLUMNS($AN$1006:AX1006),$AN$1006:$BO$1006,0)), HYPERLINK("#",""), HYPERLINK(CONCATENATE("#Metadata!", ADDRESS(INDEX($AI$2:$AI$1001,MATCH(ROWS($AG$2:AG872),$AG$2:$AG$1001,0),0), INDEX($AN$1004:$BO$1004,1,MATCH(COLUMNS($AN$1006:AX1006),$AN$1006:$BO$1006,0)))),"Fix")))</f>
        <v>0</v>
      </c>
      <c r="M872" s="4">
        <f>IF(OR(INDEX($AH$2:$AH$1001,MATCH(ROWS($AG$2:AG872),$AG$2:$AG$1001,0),1)&gt;=100000,INDEX($AN$1005:$BO$1005,1,MATCH(COLUMNS($AN$1006:AY1006),$AN$1006:$BO$1006,0))&gt;=100000), " ",IF(INDEX($AN$2:$BO$1001,MATCH(ROWS($AG$2:AG872),$AG$2:$AG$1001,0),MATCH(COLUMNS($AN$1006:AY1006),$AN$1006:$BO$1006,0)), HYPERLINK("#",""), HYPERLINK(CONCATENATE("#Metadata!", ADDRESS(INDEX($AI$2:$AI$1001,MATCH(ROWS($AG$2:AG872),$AG$2:$AG$1001,0),0), INDEX($AN$1004:$BO$1004,1,MATCH(COLUMNS($AN$1006:AY1006),$AN$1006:$BO$1006,0)))),"Fix")))</f>
        <v>0</v>
      </c>
      <c r="N872" s="4">
        <f>IF(OR(INDEX($AH$2:$AH$1001,MATCH(ROWS($AG$2:AG872),$AG$2:$AG$1001,0),1)&gt;=100000,INDEX($AN$1005:$BO$1005,1,MATCH(COLUMNS($AN$1006:AZ1006),$AN$1006:$BO$1006,0))&gt;=100000), " ",IF(INDEX($AN$2:$BO$1001,MATCH(ROWS($AG$2:AG872),$AG$2:$AG$1001,0),MATCH(COLUMNS($AN$1006:AZ1006),$AN$1006:$BO$1006,0)), HYPERLINK("#",""), HYPERLINK(CONCATENATE("#Metadata!", ADDRESS(INDEX($AI$2:$AI$1001,MATCH(ROWS($AG$2:AG872),$AG$2:$AG$1001,0),0), INDEX($AN$1004:$BO$1004,1,MATCH(COLUMNS($AN$1006:AZ1006),$AN$1006:$BO$1006,0)))),"Fix")))</f>
        <v>0</v>
      </c>
      <c r="O872" s="4">
        <f>IF(OR(INDEX($AH$2:$AH$1001,MATCH(ROWS($AG$2:AG872),$AG$2:$AG$1001,0),1)&gt;=100000,INDEX($AN$1005:$BO$1005,1,MATCH(COLUMNS($AN$1006:BA1006),$AN$1006:$BO$1006,0))&gt;=100000), " ",IF(INDEX($AN$2:$BO$1001,MATCH(ROWS($AG$2:AG872),$AG$2:$AG$1001,0),MATCH(COLUMNS($AN$1006:BA1006),$AN$1006:$BO$1006,0)), HYPERLINK("#",""), HYPERLINK(CONCATENATE("#Metadata!", ADDRESS(INDEX($AI$2:$AI$1001,MATCH(ROWS($AG$2:AG872),$AG$2:$AG$1001,0),0), INDEX($AN$1004:$BO$1004,1,MATCH(COLUMNS($AN$1006:BA1006),$AN$1006:$BO$1006,0)))),"Fix")))</f>
        <v>0</v>
      </c>
      <c r="P872" s="4">
        <f>IF(OR(INDEX($AH$2:$AH$1001,MATCH(ROWS($AG$2:AG872),$AG$2:$AG$1001,0),1)&gt;=100000,INDEX($AN$1005:$BO$1005,1,MATCH(COLUMNS($AN$1006:BB1006),$AN$1006:$BO$1006,0))&gt;=100000), " ",IF(INDEX($AN$2:$BO$1001,MATCH(ROWS($AG$2:AG872),$AG$2:$AG$1001,0),MATCH(COLUMNS($AN$1006:BB1006),$AN$1006:$BO$1006,0)), HYPERLINK("#",""), HYPERLINK(CONCATENATE("#Metadata!", ADDRESS(INDEX($AI$2:$AI$1001,MATCH(ROWS($AG$2:AG872),$AG$2:$AG$1001,0),0), INDEX($AN$1004:$BO$1004,1,MATCH(COLUMNS($AN$1006:BB1006),$AN$1006:$BO$1006,0)))),"Fix")))</f>
        <v>0</v>
      </c>
      <c r="Q872" s="4">
        <f>IF(OR(INDEX($AH$2:$AH$1001,MATCH(ROWS($AG$2:AG872),$AG$2:$AG$1001,0),1)&gt;=100000,INDEX($AN$1005:$BO$1005,1,MATCH(COLUMNS($AN$1006:BC1006),$AN$1006:$BO$1006,0))&gt;=100000), " ",IF(INDEX($AN$2:$BO$1001,MATCH(ROWS($AG$2:AG872),$AG$2:$AG$1001,0),MATCH(COLUMNS($AN$1006:BC1006),$AN$1006:$BO$1006,0)), HYPERLINK("#",""), HYPERLINK(CONCATENATE("#Metadata!", ADDRESS(INDEX($AI$2:$AI$1001,MATCH(ROWS($AG$2:AG872),$AG$2:$AG$1001,0),0), INDEX($AN$1004:$BO$1004,1,MATCH(COLUMNS($AN$1006:BC1006),$AN$1006:$BO$1006,0)))),"Fix")))</f>
        <v>0</v>
      </c>
      <c r="R872" s="4">
        <f>IF(OR(INDEX($AH$2:$AH$1001,MATCH(ROWS($AG$2:AG872),$AG$2:$AG$1001,0),1)&gt;=100000,INDEX($AN$1005:$BO$1005,1,MATCH(COLUMNS($AN$1006:BD1006),$AN$1006:$BO$1006,0))&gt;=100000), " ",IF(INDEX($AN$2:$BO$1001,MATCH(ROWS($AG$2:AG872),$AG$2:$AG$1001,0),MATCH(COLUMNS($AN$1006:BD1006),$AN$1006:$BO$1006,0)), HYPERLINK("#",""), HYPERLINK(CONCATENATE("#Metadata!", ADDRESS(INDEX($AI$2:$AI$1001,MATCH(ROWS($AG$2:AG872),$AG$2:$AG$1001,0),0), INDEX($AN$1004:$BO$1004,1,MATCH(COLUMNS($AN$1006:BD1006),$AN$1006:$BO$1006,0)))),"Fix")))</f>
        <v>0</v>
      </c>
      <c r="S872" s="4">
        <f>IF(OR(INDEX($AH$2:$AH$1001,MATCH(ROWS($AG$2:AG872),$AG$2:$AG$1001,0),1)&gt;=100000,INDEX($AN$1005:$BO$1005,1,MATCH(COLUMNS($AN$1006:BE1006),$AN$1006:$BO$1006,0))&gt;=100000), " ",IF(INDEX($AN$2:$BO$1001,MATCH(ROWS($AG$2:AG872),$AG$2:$AG$1001,0),MATCH(COLUMNS($AN$1006:BE1006),$AN$1006:$BO$1006,0)), HYPERLINK("#",""), HYPERLINK(CONCATENATE("#Metadata!", ADDRESS(INDEX($AI$2:$AI$1001,MATCH(ROWS($AG$2:AG872),$AG$2:$AG$1001,0),0), INDEX($AN$1004:$BO$1004,1,MATCH(COLUMNS($AN$1006:BE1006),$AN$1006:$BO$1006,0)))),"Fix")))</f>
        <v>0</v>
      </c>
      <c r="T872" s="4">
        <f>IF(OR(INDEX($AH$2:$AH$1001,MATCH(ROWS($AG$2:AG872),$AG$2:$AG$1001,0),1)&gt;=100000,INDEX($AN$1005:$BO$1005,1,MATCH(COLUMNS($AN$1006:BF1006),$AN$1006:$BO$1006,0))&gt;=100000), " ",IF(INDEX($AN$2:$BO$1001,MATCH(ROWS($AG$2:AG872),$AG$2:$AG$1001,0),MATCH(COLUMNS($AN$1006:BF1006),$AN$1006:$BO$1006,0)), HYPERLINK("#",""), HYPERLINK(CONCATENATE("#Metadata!", ADDRESS(INDEX($AI$2:$AI$1001,MATCH(ROWS($AG$2:AG872),$AG$2:$AG$1001,0),0), INDEX($AN$1004:$BO$1004,1,MATCH(COLUMNS($AN$1006:BF1006),$AN$1006:$BO$1006,0)))),"Fix")))</f>
        <v>0</v>
      </c>
      <c r="U872" s="4">
        <f>IF(OR(INDEX($AH$2:$AH$1001,MATCH(ROWS($AG$2:AG872),$AG$2:$AG$1001,0),1)&gt;=100000,INDEX($AN$1005:$BO$1005,1,MATCH(COLUMNS($AN$1006:BG1006),$AN$1006:$BO$1006,0))&gt;=100000), " ",IF(INDEX($AN$2:$BO$1001,MATCH(ROWS($AG$2:AG872),$AG$2:$AG$1001,0),MATCH(COLUMNS($AN$1006:BG1006),$AN$1006:$BO$1006,0)), HYPERLINK("#",""), HYPERLINK(CONCATENATE("#Metadata!", ADDRESS(INDEX($AI$2:$AI$1001,MATCH(ROWS($AG$2:AG872),$AG$2:$AG$1001,0),0), INDEX($AN$1004:$BO$1004,1,MATCH(COLUMNS($AN$1006:BG1006),$AN$1006:$BO$1006,0)))),"Fix")))</f>
        <v>0</v>
      </c>
      <c r="V872" s="4">
        <f>IF(OR(INDEX($AH$2:$AH$1001,MATCH(ROWS($AG$2:AG872),$AG$2:$AG$1001,0),1)&gt;=100000,INDEX($AN$1005:$BO$1005,1,MATCH(COLUMNS($AN$1006:BH1006),$AN$1006:$BO$1006,0))&gt;=100000), " ",IF(INDEX($AN$2:$BO$1001,MATCH(ROWS($AG$2:AG872),$AG$2:$AG$1001,0),MATCH(COLUMNS($AN$1006:BH1006),$AN$1006:$BO$1006,0)), HYPERLINK("#",""), HYPERLINK(CONCATENATE("#Metadata!", ADDRESS(INDEX($AI$2:$AI$1001,MATCH(ROWS($AG$2:AG872),$AG$2:$AG$1001,0),0), INDEX($AN$1004:$BO$1004,1,MATCH(COLUMNS($AN$1006:BH1006),$AN$1006:$BO$1006,0)))),"Fix")))</f>
        <v>0</v>
      </c>
      <c r="W872" s="4">
        <f>IF(OR(INDEX($AH$2:$AH$1001,MATCH(ROWS($AG$2:AG872),$AG$2:$AG$1001,0),1)&gt;=100000,INDEX($AN$1005:$BO$1005,1,MATCH(COLUMNS($AN$1006:BI1006),$AN$1006:$BO$1006,0))&gt;=100000), " ",IF(INDEX($AN$2:$BO$1001,MATCH(ROWS($AG$2:AG872),$AG$2:$AG$1001,0),MATCH(COLUMNS($AN$1006:BI1006),$AN$1006:$BO$1006,0)), HYPERLINK("#",""), HYPERLINK(CONCATENATE("#Metadata!", ADDRESS(INDEX($AI$2:$AI$1001,MATCH(ROWS($AG$2:AG872),$AG$2:$AG$1001,0),0), INDEX($AN$1004:$BO$1004,1,MATCH(COLUMNS($AN$1006:BI1006),$AN$1006:$BO$1006,0)))),"Fix")))</f>
        <v>0</v>
      </c>
      <c r="X872" s="4">
        <f>IF(OR(INDEX($AH$2:$AH$1001,MATCH(ROWS($AG$2:AG872),$AG$2:$AG$1001,0),1)&gt;=100000,INDEX($AN$1005:$BO$1005,1,MATCH(COLUMNS($AN$1006:BJ1006),$AN$1006:$BO$1006,0))&gt;=100000), " ",IF(INDEX($AN$2:$BO$1001,MATCH(ROWS($AG$2:AG872),$AG$2:$AG$1001,0),MATCH(COLUMNS($AN$1006:BJ1006),$AN$1006:$BO$1006,0)), HYPERLINK("#",""), HYPERLINK(CONCATENATE("#Metadata!", ADDRESS(INDEX($AI$2:$AI$1001,MATCH(ROWS($AG$2:AG872),$AG$2:$AG$1001,0),0), INDEX($AN$1004:$BO$1004,1,MATCH(COLUMNS($AN$1006:BJ1006),$AN$1006:$BO$1006,0)))),"Fix")))</f>
        <v>0</v>
      </c>
      <c r="Y872" s="4">
        <f>IF(OR(INDEX($AH$2:$AH$1001,MATCH(ROWS($AG$2:AG872),$AG$2:$AG$1001,0),1)&gt;=100000,INDEX($AN$1005:$BO$1005,1,MATCH(COLUMNS($AN$1006:BK1006),$AN$1006:$BO$1006,0))&gt;=100000), " ",IF(INDEX($AN$2:$BO$1001,MATCH(ROWS($AG$2:AG872),$AG$2:$AG$1001,0),MATCH(COLUMNS($AN$1006:BK1006),$AN$1006:$BO$1006,0)), HYPERLINK("#",""), HYPERLINK(CONCATENATE("#Metadata!", ADDRESS(INDEX($AI$2:$AI$1001,MATCH(ROWS($AG$2:AG872),$AG$2:$AG$1001,0),0), INDEX($AN$1004:$BO$1004,1,MATCH(COLUMNS($AN$1006:BK1006),$AN$1006:$BO$1006,0)))),"Fix")))</f>
        <v>0</v>
      </c>
      <c r="Z872" s="4">
        <f>IF(OR(INDEX($AH$2:$AH$1001,MATCH(ROWS($AG$2:AG872),$AG$2:$AG$1001,0),1)&gt;=100000,INDEX($AN$1005:$BO$1005,1,MATCH(COLUMNS($AN$1006:BL1006),$AN$1006:$BO$1006,0))&gt;=100000), " ",IF(INDEX($AN$2:$BO$1001,MATCH(ROWS($AG$2:AG872),$AG$2:$AG$1001,0),MATCH(COLUMNS($AN$1006:BL1006),$AN$1006:$BO$1006,0)), HYPERLINK("#",""), HYPERLINK(CONCATENATE("#Metadata!", ADDRESS(INDEX($AI$2:$AI$1001,MATCH(ROWS($AG$2:AG872),$AG$2:$AG$1001,0),0), INDEX($AN$1004:$BO$1004,1,MATCH(COLUMNS($AN$1006:BL1006),$AN$1006:$BO$1006,0)))),"Fix")))</f>
        <v>0</v>
      </c>
      <c r="AA872" s="4">
        <f>IF(OR(INDEX($AH$2:$AH$1001,MATCH(ROWS($AG$2:AG872),$AG$2:$AG$1001,0),1)&gt;=100000,INDEX($AN$1005:$BO$1005,1,MATCH(COLUMNS($AN$1006:BM1006),$AN$1006:$BO$1006,0))&gt;=100000), " ",IF(INDEX($AN$2:$BO$1001,MATCH(ROWS($AG$2:AG872),$AG$2:$AG$1001,0),MATCH(COLUMNS($AN$1006:BM1006),$AN$1006:$BO$1006,0)), HYPERLINK("#",""), HYPERLINK(CONCATENATE("#Metadata!", ADDRESS(INDEX($AI$2:$AI$1001,MATCH(ROWS($AG$2:AG872),$AG$2:$AG$1001,0),0), INDEX($AN$1004:$BO$1004,1,MATCH(COLUMNS($AN$1006:BM1006),$AN$1006:$BO$1006,0)))),"Fix")))</f>
        <v>0</v>
      </c>
      <c r="AB872" s="4">
        <f>IF(OR(INDEX($AH$2:$AH$1001,MATCH(ROWS($AG$2:AG872),$AG$2:$AG$1001,0),1)&gt;=100000,INDEX($AN$1005:$BO$1005,1,MATCH(COLUMNS($AN$1006:BN1006),$AN$1006:$BO$1006,0))&gt;=100000), " ",IF(INDEX($AN$2:$BO$1001,MATCH(ROWS($AG$2:AG872),$AG$2:$AG$1001,0),MATCH(COLUMNS($AN$1006:BN1006),$AN$1006:$BO$1006,0)), HYPERLINK("#",""), HYPERLINK(CONCATENATE("#Metadata!", ADDRESS(INDEX($AI$2:$AI$1001,MATCH(ROWS($AG$2:AG872),$AG$2:$AG$1001,0),0), INDEX($AN$1004:$BO$1004,1,MATCH(COLUMNS($AN$1006:BN1006),$AN$1006:$BO$1006,0)))),"Fix")))</f>
        <v>0</v>
      </c>
      <c r="AC872" s="4">
        <f>IF(OR(INDEX($AH$2:$AH$1001,MATCH(ROWS($AG$2:AG872),$AG$2:$AG$1001,0),1)&gt;=100000,INDEX($AN$1005:$BO$1005,1,MATCH(COLUMNS($AN$1006:BO1006),$AN$1006:$BO$1006,0))&gt;=100000), " ",IF(INDEX($AN$2:$BO$1001,MATCH(ROWS($AG$2:AG872),$AG$2:$AG$1001,0),MATCH(COLUMNS($AN$1006:BO1006),$AN$1006:$BO$1006,0)), HYPERLINK("#",""), HYPERLINK(CONCATENATE("#Metadata!", ADDRESS(INDEX($AI$2:$AI$1001,MATCH(ROWS($AG$2:AG872),$AG$2:$AG$1001,0),0), INDEX($AN$1004:$BO$1004,1,MATCH(COLUMNS($AN$1006:BO1006),$AN$1006:$BO$1006,0)))),"Fix")))</f>
        <v>0</v>
      </c>
      <c r="AG872">
        <v>0</v>
      </c>
      <c r="AH872">
        <v>0</v>
      </c>
      <c r="AI872">
        <v>0</v>
      </c>
      <c r="AJ872">
        <f>IF(AK872,TRUE,AND(AN872:BO872))</f>
        <v>0</v>
      </c>
      <c r="AK872">
        <f>COUNTBLANK(Metadata!B872:AC872)=COLUMNS(Metadata!B872:AC872)</f>
        <v>0</v>
      </c>
      <c r="AL872">
        <v>0</v>
      </c>
      <c r="AN872">
        <f>AND(IF(Metadata!B872="",FALSE,TRUE),COUNTIF(Metadata!B:B, Metadata!B872) = 1,NOT(ISERROR(SUMPRODUCT(SEARCH(MID(Metadata!B872,ROW(INDIRECT("1:"&amp;LEN(Metadata!B872))), 1),"0123456789abcdefghijklmnopqrstuvwxyzABCDEFGHIJKLMNOPQRSTUVWXYZ.")))))</f>
        <v>0</v>
      </c>
      <c r="AO872">
        <f>IF(Metadata!C872="",FALSE,TRUE)</f>
        <v>0</v>
      </c>
      <c r="AP872">
        <f>IF(Metadata!D872="",FALSE,TRUE)</f>
        <v>0</v>
      </c>
      <c r="AQ872">
        <f>OR(AND(IF(Metadata!E872="",FALSE,TRUE),OR(exact(Metadata!E872,"not collected"),exact(Metadata!E872,"not provided"),exact(Metadata!E872,"restricted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R872">
        <f>IF(Metadata!F872="",FALSE,TRUE)</f>
        <v>0</v>
      </c>
      <c r="AS872">
        <f>OR(AND(IF(Metadata!G872="",FALSE,TRUE),OR(exact(Metadata!G872,"not collected"),exact(Metadata!G872,"not provided"))),AND(IF(Metadata!G872="",FALSE,TRUE),OR(exact(Metadata!G872,"TRUE"),exact(Metadata!G872,"FALSE"))))</f>
        <v>0</v>
      </c>
      <c r="AT872">
        <f>OR(AND(IF(Metadata!H872="",FALSE,TRUE),OR(exact(Metadata!H872,"not collected"),exact(Metadata!H872,"not provided"),exact(Metadata!H872,"restricted access"))),AND(IF(Metadata!H872="",FALSE,ISNUMBER(VALUE(Metadata!H872))),Metadata!H872&gt;=-413.0))</f>
        <v>0</v>
      </c>
      <c r="AU872">
        <f>AND(IF(Metadata!I872="",FALSE,TRUE),exact(Metadata!I872,"meters"))</f>
        <v>0</v>
      </c>
      <c r="AV872">
        <f>AND(IF(Metadata!J872="",FALSE,TRUE),OR(exact(Metadata!J872,"Host-associated"),exact(Metadata!J872,"Free-living")))</f>
        <v>0</v>
      </c>
      <c r="AW872">
        <f>AND(IF(Metadata!K872="",FALSE,TRUE),OR(exact(Metadata!K872,"Animal"),exact(Metadata!K872,"Fungus"),exact(Metadata!K872,"Plant"),exact(Metadata!K872,"Saline"),exact(Metadata!K872,"Non-saline")))</f>
        <v>0</v>
      </c>
      <c r="AX872">
        <f>AND(IF(Metadata!L872="",FALSE,TRUE),OR(exact(Metadata!L872,"Plant secretion"),exact(Metadata!L872,"Plant rhizosphere"),exact(Metadata!L872,"Plant surface"),exact(Metadata!L872,"Plant corpus"),exact(Metadata!L872,"Fungus surface"),exact(Metadata!L872,"Fungus corpus"),exact(Metadata!L872,"Animal surface"),exact(Metadata!L872,"Animal proximal gut"),exact(Metadata!L872,"Animal corpus"),exact(Metadata!L872,"Animal distal gut"),exact(Metadata!L872,"Animal secretion"),exact(Metadata!L872,"Sub-surface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Y872">
        <f>IF(Metadata!M872="",FALSE,TRUE)</f>
        <v>0</v>
      </c>
      <c r="AZ872">
        <f>IF(Metadata!N872="",FALSE,TRUE)</f>
        <v>0</v>
      </c>
      <c r="BA872">
        <f>IF(Metadata!O872="",FALSE,TRUE)</f>
        <v>0</v>
      </c>
      <c r="BB872">
        <f>OR(AND(IF(Metadata!P872="",FALSE,TRUE),OR(exact(Metadata!P872,"not collected"),exact(Metadata!P872,"not provided"),exact(Metadata!P872,"restricted access"))),AND(IF(Metadata!P872="",FALSE,TRUE),OR(exact(Metadata!P872,"air"),exact(Metadata!P872,"built environment"),exact(Metadata!P872,"host-associated"),exact(Metadata!P872,"human-associated"),exact(Metadata!P872,"human-skin"),exact(Metadata!P872,"human-oral"),exact(Metadata!P872,"human-gut"),exact(Metadata!P872,"human-vaginal"),exact(Metadata!P872,"microbial mat/biofilm"),exact(Metadata!P872,"misc environment"),exact(Metadata!P872,"plant-associated"),exact(Metadata!P872,"sediment"),exact(Metadata!P872,"soil"),exact(Metadata!P872,"wastewater/sludge"),exact(Metadata!P872,"water"))))</f>
        <v>0</v>
      </c>
      <c r="BC872">
        <f>IF(Metadata!Q872="",FALSE,TRUE)</f>
        <v>0</v>
      </c>
      <c r="BD872">
        <f>IF(Metadata!R872="",FALSE,TRUE)</f>
        <v>0</v>
      </c>
      <c r="BE872">
        <f>OR(AND(IF(Metadata!S872="",FALSE,TRUE),OR(exact(Metadata!S872,"not collected"),exact(Metadata!S872,"not provided"),exact(Metadata!S872,"restricted access"))),AND(IF(Metadata!S872="",FALSE,ISNUMBER(VALUE(Metadata!S872))),Metadata!S872&gt;=-90.00,Metadata!S872&lt;=90.00))</f>
        <v>0</v>
      </c>
      <c r="BF872">
        <f>AND(IF(Metadata!T872="",FALSE,TRUE),exact(Metadata!T872,"Decimal degrees"))</f>
        <v>0</v>
      </c>
      <c r="BG872">
        <f>OR(AND(IF(Metadata!U872="",FALSE,TRUE),OR(exact(Metadata!U872,"not collected"),exact(Metadata!U872,"not provided"),exact(Metadata!U872,"restricted access"))),AND(IF(Metadata!U872="",FALSE,ISNUMBER(VALUE(Metadata!U872))),Metadata!U872&gt;=-180.00,Metadata!U872&lt;=180.00))</f>
        <v>0</v>
      </c>
      <c r="BH872">
        <f>AND(IF(Metadata!V872="",FALSE,TRUE),exact(Metadata!V872,"Decimal degrees"))</f>
        <v>0</v>
      </c>
      <c r="BI872">
        <f>IF(Metadata!W872="",FALSE,TRUE)</f>
        <v>0</v>
      </c>
      <c r="BJ872">
        <f>OR(AND(IF(Metadata!X872="",FALSE,TRUE),OR(exact(Metadata!X872,"not collected"),exact(Metadata!X872,"not provided"),exact(Metadata!X872,"restricted access"))),AND(IF(Metadata!X872="",FALSE,TRUE),OR(exact(Metadata!X872,"TRUE"),exact(Metadata!X872,"FALSE"))))</f>
        <v>0</v>
      </c>
      <c r="BK872">
        <f>AND(IF(Metadata!Y872="",FALSE,TRUE),exact(Metadata!Y872,"other"))</f>
        <v>0</v>
      </c>
      <c r="BL872">
        <f>IF(Metadata!Z872="",FALSE,TRUE)</f>
        <v>0</v>
      </c>
      <c r="BM872">
        <f>OR(AND(IF(Metadata!AA872="",FALSE,TRUE),OR(exact(Metadata!AA872,"not collected"),exact(Metadata!AA872,"not provided"))),AND(IF(Metadata!AA872="",FALSE,IF(ISERROR(INT(Metadata!AA872)),FALSE,INT(Metadata!AA872)=Metadata!AA872)),Metadata!AA872&gt;0))</f>
        <v>0</v>
      </c>
      <c r="BN872">
        <f>AND(IF(Metadata!AB872="",FALSE,TRUE),exact(Metadata!AB872,"Not applicable"))</f>
        <v>0</v>
      </c>
      <c r="BO872">
        <f>IF(Metadata!AC872="",FALSE,TRUE)</f>
        <v>0</v>
      </c>
    </row>
    <row r="873" spans="1:67">
      <c r="A873" s="5">
        <f>IF(B873=" "," ",HYPERLINK(CONCATENATE("#metadata!",ADDRESS(INDEX($AI$2:$AI$1001,MATCH(ROWS($AG$2:AG873),$AG$2:$AG$1001,0),0),1)),INDEX($AL$2:$AL$1001,MATCH(ROWS($AG$2:AG873),$AG$2:$AG$1001,0),0)))</f>
        <v>0</v>
      </c>
      <c r="B873" s="4">
        <f>IF(OR(INDEX($AH$2:$AH$1001,MATCH(ROWS($AG$2:AG873),$AG$2:$AG$1001,0),1)&gt;=100000,INDEX($AN$1005:$BO$1005,1,MATCH(COLUMNS($AN$1006:AN1006),$AN$1006:$BO$1006,0))&gt;=100000), " ",IF(INDEX($AN$2:$BO$1001,MATCH(ROWS($AG$2:AG873),$AG$2:$AG$1001,0),MATCH(COLUMNS($AN$1006:AN1006),$AN$1006:$BO$1006,0)), HYPERLINK("#",""), HYPERLINK(CONCATENATE("#Metadata!", ADDRESS(INDEX($AI$2:$AI$1001,MATCH(ROWS($AG$2:AG873),$AG$2:$AG$1001,0),0), INDEX($AN$1004:$BO$1004,1,MATCH(COLUMNS($AN$1006:AN1006),$AN$1006:$BO$1006,0)))),"Fix")))</f>
        <v>0</v>
      </c>
      <c r="C873" s="4">
        <f>IF(OR(INDEX($AH$2:$AH$1001,MATCH(ROWS($AG$2:AG873),$AG$2:$AG$1001,0),1)&gt;=100000,INDEX($AN$1005:$BO$1005,1,MATCH(COLUMNS($AN$1006:AO1006),$AN$1006:$BO$1006,0))&gt;=100000), " ",IF(INDEX($AN$2:$BO$1001,MATCH(ROWS($AG$2:AG873),$AG$2:$AG$1001,0),MATCH(COLUMNS($AN$1006:AO1006),$AN$1006:$BO$1006,0)), HYPERLINK("#",""), HYPERLINK(CONCATENATE("#Metadata!", ADDRESS(INDEX($AI$2:$AI$1001,MATCH(ROWS($AG$2:AG873),$AG$2:$AG$1001,0),0), INDEX($AN$1004:$BO$1004,1,MATCH(COLUMNS($AN$1006:AO1006),$AN$1006:$BO$1006,0)))),"Fix")))</f>
        <v>0</v>
      </c>
      <c r="D873" s="4">
        <f>IF(OR(INDEX($AH$2:$AH$1001,MATCH(ROWS($AG$2:AG873),$AG$2:$AG$1001,0),1)&gt;=100000,INDEX($AN$1005:$BO$1005,1,MATCH(COLUMNS($AN$1006:AP1006),$AN$1006:$BO$1006,0))&gt;=100000), " ",IF(INDEX($AN$2:$BO$1001,MATCH(ROWS($AG$2:AG873),$AG$2:$AG$1001,0),MATCH(COLUMNS($AN$1006:AP1006),$AN$1006:$BO$1006,0)), HYPERLINK("#",""), HYPERLINK(CONCATENATE("#Metadata!", ADDRESS(INDEX($AI$2:$AI$1001,MATCH(ROWS($AG$2:AG873),$AG$2:$AG$1001,0),0), INDEX($AN$1004:$BO$1004,1,MATCH(COLUMNS($AN$1006:AP1006),$AN$1006:$BO$1006,0)))),"Fix")))</f>
        <v>0</v>
      </c>
      <c r="E873" s="4">
        <f>IF(OR(INDEX($AH$2:$AH$1001,MATCH(ROWS($AG$2:AG873),$AG$2:$AG$1001,0),1)&gt;=100000,INDEX($AN$1005:$BO$1005,1,MATCH(COLUMNS($AN$1006:AQ1006),$AN$1006:$BO$1006,0))&gt;=100000), " ",IF(INDEX($AN$2:$BO$1001,MATCH(ROWS($AG$2:AG873),$AG$2:$AG$1001,0),MATCH(COLUMNS($AN$1006:AQ1006),$AN$1006:$BO$1006,0)), HYPERLINK("#",""), HYPERLINK(CONCATENATE("#Metadata!", ADDRESS(INDEX($AI$2:$AI$1001,MATCH(ROWS($AG$2:AG873),$AG$2:$AG$1001,0),0), INDEX($AN$1004:$BO$1004,1,MATCH(COLUMNS($AN$1006:AQ1006),$AN$1006:$BO$1006,0)))),"Fix")))</f>
        <v>0</v>
      </c>
      <c r="F873" s="4">
        <f>IF(OR(INDEX($AH$2:$AH$1001,MATCH(ROWS($AG$2:AG873),$AG$2:$AG$1001,0),1)&gt;=100000,INDEX($AN$1005:$BO$1005,1,MATCH(COLUMNS($AN$1006:AR1006),$AN$1006:$BO$1006,0))&gt;=100000), " ",IF(INDEX($AN$2:$BO$1001,MATCH(ROWS($AG$2:AG873),$AG$2:$AG$1001,0),MATCH(COLUMNS($AN$1006:AR1006),$AN$1006:$BO$1006,0)), HYPERLINK("#",""), HYPERLINK(CONCATENATE("#Metadata!", ADDRESS(INDEX($AI$2:$AI$1001,MATCH(ROWS($AG$2:AG873),$AG$2:$AG$1001,0),0), INDEX($AN$1004:$BO$1004,1,MATCH(COLUMNS($AN$1006:AR1006),$AN$1006:$BO$1006,0)))),"Fix")))</f>
        <v>0</v>
      </c>
      <c r="G873" s="4">
        <f>IF(OR(INDEX($AH$2:$AH$1001,MATCH(ROWS($AG$2:AG873),$AG$2:$AG$1001,0),1)&gt;=100000,INDEX($AN$1005:$BO$1005,1,MATCH(COLUMNS($AN$1006:AS1006),$AN$1006:$BO$1006,0))&gt;=100000), " ",IF(INDEX($AN$2:$BO$1001,MATCH(ROWS($AG$2:AG873),$AG$2:$AG$1001,0),MATCH(COLUMNS($AN$1006:AS1006),$AN$1006:$BO$1006,0)), HYPERLINK("#",""), HYPERLINK(CONCATENATE("#Metadata!", ADDRESS(INDEX($AI$2:$AI$1001,MATCH(ROWS($AG$2:AG873),$AG$2:$AG$1001,0),0), INDEX($AN$1004:$BO$1004,1,MATCH(COLUMNS($AN$1006:AS1006),$AN$1006:$BO$1006,0)))),"Fix")))</f>
        <v>0</v>
      </c>
      <c r="H873" s="4">
        <f>IF(OR(INDEX($AH$2:$AH$1001,MATCH(ROWS($AG$2:AG873),$AG$2:$AG$1001,0),1)&gt;=100000,INDEX($AN$1005:$BO$1005,1,MATCH(COLUMNS($AN$1006:AT1006),$AN$1006:$BO$1006,0))&gt;=100000), " ",IF(INDEX($AN$2:$BO$1001,MATCH(ROWS($AG$2:AG873),$AG$2:$AG$1001,0),MATCH(COLUMNS($AN$1006:AT1006),$AN$1006:$BO$1006,0)), HYPERLINK("#",""), HYPERLINK(CONCATENATE("#Metadata!", ADDRESS(INDEX($AI$2:$AI$1001,MATCH(ROWS($AG$2:AG873),$AG$2:$AG$1001,0),0), INDEX($AN$1004:$BO$1004,1,MATCH(COLUMNS($AN$1006:AT1006),$AN$1006:$BO$1006,0)))),"Fix")))</f>
        <v>0</v>
      </c>
      <c r="I873" s="4">
        <f>IF(OR(INDEX($AH$2:$AH$1001,MATCH(ROWS($AG$2:AG873),$AG$2:$AG$1001,0),1)&gt;=100000,INDEX($AN$1005:$BO$1005,1,MATCH(COLUMNS($AN$1006:AU1006),$AN$1006:$BO$1006,0))&gt;=100000), " ",IF(INDEX($AN$2:$BO$1001,MATCH(ROWS($AG$2:AG873),$AG$2:$AG$1001,0),MATCH(COLUMNS($AN$1006:AU1006),$AN$1006:$BO$1006,0)), HYPERLINK("#",""), HYPERLINK(CONCATENATE("#Metadata!", ADDRESS(INDEX($AI$2:$AI$1001,MATCH(ROWS($AG$2:AG873),$AG$2:$AG$1001,0),0), INDEX($AN$1004:$BO$1004,1,MATCH(COLUMNS($AN$1006:AU1006),$AN$1006:$BO$1006,0)))),"Fix")))</f>
        <v>0</v>
      </c>
      <c r="J873" s="4">
        <f>IF(OR(INDEX($AH$2:$AH$1001,MATCH(ROWS($AG$2:AG873),$AG$2:$AG$1001,0),1)&gt;=100000,INDEX($AN$1005:$BO$1005,1,MATCH(COLUMNS($AN$1006:AV1006),$AN$1006:$BO$1006,0))&gt;=100000), " ",IF(INDEX($AN$2:$BO$1001,MATCH(ROWS($AG$2:AG873),$AG$2:$AG$1001,0),MATCH(COLUMNS($AN$1006:AV1006),$AN$1006:$BO$1006,0)), HYPERLINK("#",""), HYPERLINK(CONCATENATE("#Metadata!", ADDRESS(INDEX($AI$2:$AI$1001,MATCH(ROWS($AG$2:AG873),$AG$2:$AG$1001,0),0), INDEX($AN$1004:$BO$1004,1,MATCH(COLUMNS($AN$1006:AV1006),$AN$1006:$BO$1006,0)))),"Fix")))</f>
        <v>0</v>
      </c>
      <c r="K873" s="4">
        <f>IF(OR(INDEX($AH$2:$AH$1001,MATCH(ROWS($AG$2:AG873),$AG$2:$AG$1001,0),1)&gt;=100000,INDEX($AN$1005:$BO$1005,1,MATCH(COLUMNS($AN$1006:AW1006),$AN$1006:$BO$1006,0))&gt;=100000), " ",IF(INDEX($AN$2:$BO$1001,MATCH(ROWS($AG$2:AG873),$AG$2:$AG$1001,0),MATCH(COLUMNS($AN$1006:AW1006),$AN$1006:$BO$1006,0)), HYPERLINK("#",""), HYPERLINK(CONCATENATE("#Metadata!", ADDRESS(INDEX($AI$2:$AI$1001,MATCH(ROWS($AG$2:AG873),$AG$2:$AG$1001,0),0), INDEX($AN$1004:$BO$1004,1,MATCH(COLUMNS($AN$1006:AW1006),$AN$1006:$BO$1006,0)))),"Fix")))</f>
        <v>0</v>
      </c>
      <c r="L873" s="4">
        <f>IF(OR(INDEX($AH$2:$AH$1001,MATCH(ROWS($AG$2:AG873),$AG$2:$AG$1001,0),1)&gt;=100000,INDEX($AN$1005:$BO$1005,1,MATCH(COLUMNS($AN$1006:AX1006),$AN$1006:$BO$1006,0))&gt;=100000), " ",IF(INDEX($AN$2:$BO$1001,MATCH(ROWS($AG$2:AG873),$AG$2:$AG$1001,0),MATCH(COLUMNS($AN$1006:AX1006),$AN$1006:$BO$1006,0)), HYPERLINK("#",""), HYPERLINK(CONCATENATE("#Metadata!", ADDRESS(INDEX($AI$2:$AI$1001,MATCH(ROWS($AG$2:AG873),$AG$2:$AG$1001,0),0), INDEX($AN$1004:$BO$1004,1,MATCH(COLUMNS($AN$1006:AX1006),$AN$1006:$BO$1006,0)))),"Fix")))</f>
        <v>0</v>
      </c>
      <c r="M873" s="4">
        <f>IF(OR(INDEX($AH$2:$AH$1001,MATCH(ROWS($AG$2:AG873),$AG$2:$AG$1001,0),1)&gt;=100000,INDEX($AN$1005:$BO$1005,1,MATCH(COLUMNS($AN$1006:AY1006),$AN$1006:$BO$1006,0))&gt;=100000), " ",IF(INDEX($AN$2:$BO$1001,MATCH(ROWS($AG$2:AG873),$AG$2:$AG$1001,0),MATCH(COLUMNS($AN$1006:AY1006),$AN$1006:$BO$1006,0)), HYPERLINK("#",""), HYPERLINK(CONCATENATE("#Metadata!", ADDRESS(INDEX($AI$2:$AI$1001,MATCH(ROWS($AG$2:AG873),$AG$2:$AG$1001,0),0), INDEX($AN$1004:$BO$1004,1,MATCH(COLUMNS($AN$1006:AY1006),$AN$1006:$BO$1006,0)))),"Fix")))</f>
        <v>0</v>
      </c>
      <c r="N873" s="4">
        <f>IF(OR(INDEX($AH$2:$AH$1001,MATCH(ROWS($AG$2:AG873),$AG$2:$AG$1001,0),1)&gt;=100000,INDEX($AN$1005:$BO$1005,1,MATCH(COLUMNS($AN$1006:AZ1006),$AN$1006:$BO$1006,0))&gt;=100000), " ",IF(INDEX($AN$2:$BO$1001,MATCH(ROWS($AG$2:AG873),$AG$2:$AG$1001,0),MATCH(COLUMNS($AN$1006:AZ1006),$AN$1006:$BO$1006,0)), HYPERLINK("#",""), HYPERLINK(CONCATENATE("#Metadata!", ADDRESS(INDEX($AI$2:$AI$1001,MATCH(ROWS($AG$2:AG873),$AG$2:$AG$1001,0),0), INDEX($AN$1004:$BO$1004,1,MATCH(COLUMNS($AN$1006:AZ1006),$AN$1006:$BO$1006,0)))),"Fix")))</f>
        <v>0</v>
      </c>
      <c r="O873" s="4">
        <f>IF(OR(INDEX($AH$2:$AH$1001,MATCH(ROWS($AG$2:AG873),$AG$2:$AG$1001,0),1)&gt;=100000,INDEX($AN$1005:$BO$1005,1,MATCH(COLUMNS($AN$1006:BA1006),$AN$1006:$BO$1006,0))&gt;=100000), " ",IF(INDEX($AN$2:$BO$1001,MATCH(ROWS($AG$2:AG873),$AG$2:$AG$1001,0),MATCH(COLUMNS($AN$1006:BA1006),$AN$1006:$BO$1006,0)), HYPERLINK("#",""), HYPERLINK(CONCATENATE("#Metadata!", ADDRESS(INDEX($AI$2:$AI$1001,MATCH(ROWS($AG$2:AG873),$AG$2:$AG$1001,0),0), INDEX($AN$1004:$BO$1004,1,MATCH(COLUMNS($AN$1006:BA1006),$AN$1006:$BO$1006,0)))),"Fix")))</f>
        <v>0</v>
      </c>
      <c r="P873" s="4">
        <f>IF(OR(INDEX($AH$2:$AH$1001,MATCH(ROWS($AG$2:AG873),$AG$2:$AG$1001,0),1)&gt;=100000,INDEX($AN$1005:$BO$1005,1,MATCH(COLUMNS($AN$1006:BB1006),$AN$1006:$BO$1006,0))&gt;=100000), " ",IF(INDEX($AN$2:$BO$1001,MATCH(ROWS($AG$2:AG873),$AG$2:$AG$1001,0),MATCH(COLUMNS($AN$1006:BB1006),$AN$1006:$BO$1006,0)), HYPERLINK("#",""), HYPERLINK(CONCATENATE("#Metadata!", ADDRESS(INDEX($AI$2:$AI$1001,MATCH(ROWS($AG$2:AG873),$AG$2:$AG$1001,0),0), INDEX($AN$1004:$BO$1004,1,MATCH(COLUMNS($AN$1006:BB1006),$AN$1006:$BO$1006,0)))),"Fix")))</f>
        <v>0</v>
      </c>
      <c r="Q873" s="4">
        <f>IF(OR(INDEX($AH$2:$AH$1001,MATCH(ROWS($AG$2:AG873),$AG$2:$AG$1001,0),1)&gt;=100000,INDEX($AN$1005:$BO$1005,1,MATCH(COLUMNS($AN$1006:BC1006),$AN$1006:$BO$1006,0))&gt;=100000), " ",IF(INDEX($AN$2:$BO$1001,MATCH(ROWS($AG$2:AG873),$AG$2:$AG$1001,0),MATCH(COLUMNS($AN$1006:BC1006),$AN$1006:$BO$1006,0)), HYPERLINK("#",""), HYPERLINK(CONCATENATE("#Metadata!", ADDRESS(INDEX($AI$2:$AI$1001,MATCH(ROWS($AG$2:AG873),$AG$2:$AG$1001,0),0), INDEX($AN$1004:$BO$1004,1,MATCH(COLUMNS($AN$1006:BC1006),$AN$1006:$BO$1006,0)))),"Fix")))</f>
        <v>0</v>
      </c>
      <c r="R873" s="4">
        <f>IF(OR(INDEX($AH$2:$AH$1001,MATCH(ROWS($AG$2:AG873),$AG$2:$AG$1001,0),1)&gt;=100000,INDEX($AN$1005:$BO$1005,1,MATCH(COLUMNS($AN$1006:BD1006),$AN$1006:$BO$1006,0))&gt;=100000), " ",IF(INDEX($AN$2:$BO$1001,MATCH(ROWS($AG$2:AG873),$AG$2:$AG$1001,0),MATCH(COLUMNS($AN$1006:BD1006),$AN$1006:$BO$1006,0)), HYPERLINK("#",""), HYPERLINK(CONCATENATE("#Metadata!", ADDRESS(INDEX($AI$2:$AI$1001,MATCH(ROWS($AG$2:AG873),$AG$2:$AG$1001,0),0), INDEX($AN$1004:$BO$1004,1,MATCH(COLUMNS($AN$1006:BD1006),$AN$1006:$BO$1006,0)))),"Fix")))</f>
        <v>0</v>
      </c>
      <c r="S873" s="4">
        <f>IF(OR(INDEX($AH$2:$AH$1001,MATCH(ROWS($AG$2:AG873),$AG$2:$AG$1001,0),1)&gt;=100000,INDEX($AN$1005:$BO$1005,1,MATCH(COLUMNS($AN$1006:BE1006),$AN$1006:$BO$1006,0))&gt;=100000), " ",IF(INDEX($AN$2:$BO$1001,MATCH(ROWS($AG$2:AG873),$AG$2:$AG$1001,0),MATCH(COLUMNS($AN$1006:BE1006),$AN$1006:$BO$1006,0)), HYPERLINK("#",""), HYPERLINK(CONCATENATE("#Metadata!", ADDRESS(INDEX($AI$2:$AI$1001,MATCH(ROWS($AG$2:AG873),$AG$2:$AG$1001,0),0), INDEX($AN$1004:$BO$1004,1,MATCH(COLUMNS($AN$1006:BE1006),$AN$1006:$BO$1006,0)))),"Fix")))</f>
        <v>0</v>
      </c>
      <c r="T873" s="4">
        <f>IF(OR(INDEX($AH$2:$AH$1001,MATCH(ROWS($AG$2:AG873),$AG$2:$AG$1001,0),1)&gt;=100000,INDEX($AN$1005:$BO$1005,1,MATCH(COLUMNS($AN$1006:BF1006),$AN$1006:$BO$1006,0))&gt;=100000), " ",IF(INDEX($AN$2:$BO$1001,MATCH(ROWS($AG$2:AG873),$AG$2:$AG$1001,0),MATCH(COLUMNS($AN$1006:BF1006),$AN$1006:$BO$1006,0)), HYPERLINK("#",""), HYPERLINK(CONCATENATE("#Metadata!", ADDRESS(INDEX($AI$2:$AI$1001,MATCH(ROWS($AG$2:AG873),$AG$2:$AG$1001,0),0), INDEX($AN$1004:$BO$1004,1,MATCH(COLUMNS($AN$1006:BF1006),$AN$1006:$BO$1006,0)))),"Fix")))</f>
        <v>0</v>
      </c>
      <c r="U873" s="4">
        <f>IF(OR(INDEX($AH$2:$AH$1001,MATCH(ROWS($AG$2:AG873),$AG$2:$AG$1001,0),1)&gt;=100000,INDEX($AN$1005:$BO$1005,1,MATCH(COLUMNS($AN$1006:BG1006),$AN$1006:$BO$1006,0))&gt;=100000), " ",IF(INDEX($AN$2:$BO$1001,MATCH(ROWS($AG$2:AG873),$AG$2:$AG$1001,0),MATCH(COLUMNS($AN$1006:BG1006),$AN$1006:$BO$1006,0)), HYPERLINK("#",""), HYPERLINK(CONCATENATE("#Metadata!", ADDRESS(INDEX($AI$2:$AI$1001,MATCH(ROWS($AG$2:AG873),$AG$2:$AG$1001,0),0), INDEX($AN$1004:$BO$1004,1,MATCH(COLUMNS($AN$1006:BG1006),$AN$1006:$BO$1006,0)))),"Fix")))</f>
        <v>0</v>
      </c>
      <c r="V873" s="4">
        <f>IF(OR(INDEX($AH$2:$AH$1001,MATCH(ROWS($AG$2:AG873),$AG$2:$AG$1001,0),1)&gt;=100000,INDEX($AN$1005:$BO$1005,1,MATCH(COLUMNS($AN$1006:BH1006),$AN$1006:$BO$1006,0))&gt;=100000), " ",IF(INDEX($AN$2:$BO$1001,MATCH(ROWS($AG$2:AG873),$AG$2:$AG$1001,0),MATCH(COLUMNS($AN$1006:BH1006),$AN$1006:$BO$1006,0)), HYPERLINK("#",""), HYPERLINK(CONCATENATE("#Metadata!", ADDRESS(INDEX($AI$2:$AI$1001,MATCH(ROWS($AG$2:AG873),$AG$2:$AG$1001,0),0), INDEX($AN$1004:$BO$1004,1,MATCH(COLUMNS($AN$1006:BH1006),$AN$1006:$BO$1006,0)))),"Fix")))</f>
        <v>0</v>
      </c>
      <c r="W873" s="4">
        <f>IF(OR(INDEX($AH$2:$AH$1001,MATCH(ROWS($AG$2:AG873),$AG$2:$AG$1001,0),1)&gt;=100000,INDEX($AN$1005:$BO$1005,1,MATCH(COLUMNS($AN$1006:BI1006),$AN$1006:$BO$1006,0))&gt;=100000), " ",IF(INDEX($AN$2:$BO$1001,MATCH(ROWS($AG$2:AG873),$AG$2:$AG$1001,0),MATCH(COLUMNS($AN$1006:BI1006),$AN$1006:$BO$1006,0)), HYPERLINK("#",""), HYPERLINK(CONCATENATE("#Metadata!", ADDRESS(INDEX($AI$2:$AI$1001,MATCH(ROWS($AG$2:AG873),$AG$2:$AG$1001,0),0), INDEX($AN$1004:$BO$1004,1,MATCH(COLUMNS($AN$1006:BI1006),$AN$1006:$BO$1006,0)))),"Fix")))</f>
        <v>0</v>
      </c>
      <c r="X873" s="4">
        <f>IF(OR(INDEX($AH$2:$AH$1001,MATCH(ROWS($AG$2:AG873),$AG$2:$AG$1001,0),1)&gt;=100000,INDEX($AN$1005:$BO$1005,1,MATCH(COLUMNS($AN$1006:BJ1006),$AN$1006:$BO$1006,0))&gt;=100000), " ",IF(INDEX($AN$2:$BO$1001,MATCH(ROWS($AG$2:AG873),$AG$2:$AG$1001,0),MATCH(COLUMNS($AN$1006:BJ1006),$AN$1006:$BO$1006,0)), HYPERLINK("#",""), HYPERLINK(CONCATENATE("#Metadata!", ADDRESS(INDEX($AI$2:$AI$1001,MATCH(ROWS($AG$2:AG873),$AG$2:$AG$1001,0),0), INDEX($AN$1004:$BO$1004,1,MATCH(COLUMNS($AN$1006:BJ1006),$AN$1006:$BO$1006,0)))),"Fix")))</f>
        <v>0</v>
      </c>
      <c r="Y873" s="4">
        <f>IF(OR(INDEX($AH$2:$AH$1001,MATCH(ROWS($AG$2:AG873),$AG$2:$AG$1001,0),1)&gt;=100000,INDEX($AN$1005:$BO$1005,1,MATCH(COLUMNS($AN$1006:BK1006),$AN$1006:$BO$1006,0))&gt;=100000), " ",IF(INDEX($AN$2:$BO$1001,MATCH(ROWS($AG$2:AG873),$AG$2:$AG$1001,0),MATCH(COLUMNS($AN$1006:BK1006),$AN$1006:$BO$1006,0)), HYPERLINK("#",""), HYPERLINK(CONCATENATE("#Metadata!", ADDRESS(INDEX($AI$2:$AI$1001,MATCH(ROWS($AG$2:AG873),$AG$2:$AG$1001,0),0), INDEX($AN$1004:$BO$1004,1,MATCH(COLUMNS($AN$1006:BK1006),$AN$1006:$BO$1006,0)))),"Fix")))</f>
        <v>0</v>
      </c>
      <c r="Z873" s="4">
        <f>IF(OR(INDEX($AH$2:$AH$1001,MATCH(ROWS($AG$2:AG873),$AG$2:$AG$1001,0),1)&gt;=100000,INDEX($AN$1005:$BO$1005,1,MATCH(COLUMNS($AN$1006:BL1006),$AN$1006:$BO$1006,0))&gt;=100000), " ",IF(INDEX($AN$2:$BO$1001,MATCH(ROWS($AG$2:AG873),$AG$2:$AG$1001,0),MATCH(COLUMNS($AN$1006:BL1006),$AN$1006:$BO$1006,0)), HYPERLINK("#",""), HYPERLINK(CONCATENATE("#Metadata!", ADDRESS(INDEX($AI$2:$AI$1001,MATCH(ROWS($AG$2:AG873),$AG$2:$AG$1001,0),0), INDEX($AN$1004:$BO$1004,1,MATCH(COLUMNS($AN$1006:BL1006),$AN$1006:$BO$1006,0)))),"Fix")))</f>
        <v>0</v>
      </c>
      <c r="AA873" s="4">
        <f>IF(OR(INDEX($AH$2:$AH$1001,MATCH(ROWS($AG$2:AG873),$AG$2:$AG$1001,0),1)&gt;=100000,INDEX($AN$1005:$BO$1005,1,MATCH(COLUMNS($AN$1006:BM1006),$AN$1006:$BO$1006,0))&gt;=100000), " ",IF(INDEX($AN$2:$BO$1001,MATCH(ROWS($AG$2:AG873),$AG$2:$AG$1001,0),MATCH(COLUMNS($AN$1006:BM1006),$AN$1006:$BO$1006,0)), HYPERLINK("#",""), HYPERLINK(CONCATENATE("#Metadata!", ADDRESS(INDEX($AI$2:$AI$1001,MATCH(ROWS($AG$2:AG873),$AG$2:$AG$1001,0),0), INDEX($AN$1004:$BO$1004,1,MATCH(COLUMNS($AN$1006:BM1006),$AN$1006:$BO$1006,0)))),"Fix")))</f>
        <v>0</v>
      </c>
      <c r="AB873" s="4">
        <f>IF(OR(INDEX($AH$2:$AH$1001,MATCH(ROWS($AG$2:AG873),$AG$2:$AG$1001,0),1)&gt;=100000,INDEX($AN$1005:$BO$1005,1,MATCH(COLUMNS($AN$1006:BN1006),$AN$1006:$BO$1006,0))&gt;=100000), " ",IF(INDEX($AN$2:$BO$1001,MATCH(ROWS($AG$2:AG873),$AG$2:$AG$1001,0),MATCH(COLUMNS($AN$1006:BN1006),$AN$1006:$BO$1006,0)), HYPERLINK("#",""), HYPERLINK(CONCATENATE("#Metadata!", ADDRESS(INDEX($AI$2:$AI$1001,MATCH(ROWS($AG$2:AG873),$AG$2:$AG$1001,0),0), INDEX($AN$1004:$BO$1004,1,MATCH(COLUMNS($AN$1006:BN1006),$AN$1006:$BO$1006,0)))),"Fix")))</f>
        <v>0</v>
      </c>
      <c r="AC873" s="4">
        <f>IF(OR(INDEX($AH$2:$AH$1001,MATCH(ROWS($AG$2:AG873),$AG$2:$AG$1001,0),1)&gt;=100000,INDEX($AN$1005:$BO$1005,1,MATCH(COLUMNS($AN$1006:BO1006),$AN$1006:$BO$1006,0))&gt;=100000), " ",IF(INDEX($AN$2:$BO$1001,MATCH(ROWS($AG$2:AG873),$AG$2:$AG$1001,0),MATCH(COLUMNS($AN$1006:BO1006),$AN$1006:$BO$1006,0)), HYPERLINK("#",""), HYPERLINK(CONCATENATE("#Metadata!", ADDRESS(INDEX($AI$2:$AI$1001,MATCH(ROWS($AG$2:AG873),$AG$2:$AG$1001,0),0), INDEX($AN$1004:$BO$1004,1,MATCH(COLUMNS($AN$1006:BO1006),$AN$1006:$BO$1006,0)))),"Fix")))</f>
        <v>0</v>
      </c>
      <c r="AG873">
        <v>0</v>
      </c>
      <c r="AH873">
        <v>0</v>
      </c>
      <c r="AI873">
        <v>0</v>
      </c>
      <c r="AJ873">
        <f>IF(AK873,TRUE,AND(AN873:BO873))</f>
        <v>0</v>
      </c>
      <c r="AK873">
        <f>COUNTBLANK(Metadata!B873:AC873)=COLUMNS(Metadata!B873:AC873)</f>
        <v>0</v>
      </c>
      <c r="AL873">
        <v>0</v>
      </c>
      <c r="AN873">
        <f>AND(IF(Metadata!B873="",FALSE,TRUE),COUNTIF(Metadata!B:B, Metadata!B873) = 1,NOT(ISERROR(SUMPRODUCT(SEARCH(MID(Metadata!B873,ROW(INDIRECT("1:"&amp;LEN(Metadata!B873))), 1),"0123456789abcdefghijklmnopqrstuvwxyzABCDEFGHIJKLMNOPQRSTUVWXYZ.")))))</f>
        <v>0</v>
      </c>
      <c r="AO873">
        <f>IF(Metadata!C873="",FALSE,TRUE)</f>
        <v>0</v>
      </c>
      <c r="AP873">
        <f>IF(Metadata!D873="",FALSE,TRUE)</f>
        <v>0</v>
      </c>
      <c r="AQ873">
        <f>OR(AND(IF(Metadata!E873="",FALSE,TRUE),OR(exact(Metadata!E873,"not collected"),exact(Metadata!E873,"not provided"),exact(Metadata!E873,"restricted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R873">
        <f>IF(Metadata!F873="",FALSE,TRUE)</f>
        <v>0</v>
      </c>
      <c r="AS873">
        <f>OR(AND(IF(Metadata!G873="",FALSE,TRUE),OR(exact(Metadata!G873,"not collected"),exact(Metadata!G873,"not provided"))),AND(IF(Metadata!G873="",FALSE,TRUE),OR(exact(Metadata!G873,"TRUE"),exact(Metadata!G873,"FALSE"))))</f>
        <v>0</v>
      </c>
      <c r="AT873">
        <f>OR(AND(IF(Metadata!H873="",FALSE,TRUE),OR(exact(Metadata!H873,"not collected"),exact(Metadata!H873,"not provided"),exact(Metadata!H873,"restricted access"))),AND(IF(Metadata!H873="",FALSE,ISNUMBER(VALUE(Metadata!H873))),Metadata!H873&gt;=-413.0))</f>
        <v>0</v>
      </c>
      <c r="AU873">
        <f>AND(IF(Metadata!I873="",FALSE,TRUE),exact(Metadata!I873,"meters"))</f>
        <v>0</v>
      </c>
      <c r="AV873">
        <f>AND(IF(Metadata!J873="",FALSE,TRUE),OR(exact(Metadata!J873,"Host-associated"),exact(Metadata!J873,"Free-living")))</f>
        <v>0</v>
      </c>
      <c r="AW873">
        <f>AND(IF(Metadata!K873="",FALSE,TRUE),OR(exact(Metadata!K873,"Animal"),exact(Metadata!K873,"Fungus"),exact(Metadata!K873,"Plant"),exact(Metadata!K873,"Saline"),exact(Metadata!K873,"Non-saline")))</f>
        <v>0</v>
      </c>
      <c r="AX873">
        <f>AND(IF(Metadata!L873="",FALSE,TRUE),OR(exact(Metadata!L873,"Plant secretion"),exact(Metadata!L873,"Plant rhizosphere"),exact(Metadata!L873,"Plant surface"),exact(Metadata!L873,"Plant corpus"),exact(Metadata!L873,"Fungus surface"),exact(Metadata!L873,"Fungus corpus"),exact(Metadata!L873,"Animal surface"),exact(Metadata!L873,"Animal proximal gut"),exact(Metadata!L873,"Animal corpus"),exact(Metadata!L873,"Animal distal gut"),exact(Metadata!L873,"Animal secretion"),exact(Metadata!L873,"Sub-surface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Y873">
        <f>IF(Metadata!M873="",FALSE,TRUE)</f>
        <v>0</v>
      </c>
      <c r="AZ873">
        <f>IF(Metadata!N873="",FALSE,TRUE)</f>
        <v>0</v>
      </c>
      <c r="BA873">
        <f>IF(Metadata!O873="",FALSE,TRUE)</f>
        <v>0</v>
      </c>
      <c r="BB873">
        <f>OR(AND(IF(Metadata!P873="",FALSE,TRUE),OR(exact(Metadata!P873,"not collected"),exact(Metadata!P873,"not provided"),exact(Metadata!P873,"restricted access"))),AND(IF(Metadata!P873="",FALSE,TRUE),OR(exact(Metadata!P873,"air"),exact(Metadata!P873,"built environment"),exact(Metadata!P873,"host-associated"),exact(Metadata!P873,"human-associated"),exact(Metadata!P873,"human-skin"),exact(Metadata!P873,"human-oral"),exact(Metadata!P873,"human-gut"),exact(Metadata!P873,"human-vaginal"),exact(Metadata!P873,"microbial mat/biofilm"),exact(Metadata!P873,"misc environment"),exact(Metadata!P873,"plant-associated"),exact(Metadata!P873,"sediment"),exact(Metadata!P873,"soil"),exact(Metadata!P873,"wastewater/sludge"),exact(Metadata!P873,"water"))))</f>
        <v>0</v>
      </c>
      <c r="BC873">
        <f>IF(Metadata!Q873="",FALSE,TRUE)</f>
        <v>0</v>
      </c>
      <c r="BD873">
        <f>IF(Metadata!R873="",FALSE,TRUE)</f>
        <v>0</v>
      </c>
      <c r="BE873">
        <f>OR(AND(IF(Metadata!S873="",FALSE,TRUE),OR(exact(Metadata!S873,"not collected"),exact(Metadata!S873,"not provided"),exact(Metadata!S873,"restricted access"))),AND(IF(Metadata!S873="",FALSE,ISNUMBER(VALUE(Metadata!S873))),Metadata!S873&gt;=-90.00,Metadata!S873&lt;=90.00))</f>
        <v>0</v>
      </c>
      <c r="BF873">
        <f>AND(IF(Metadata!T873="",FALSE,TRUE),exact(Metadata!T873,"Decimal degrees"))</f>
        <v>0</v>
      </c>
      <c r="BG873">
        <f>OR(AND(IF(Metadata!U873="",FALSE,TRUE),OR(exact(Metadata!U873,"not collected"),exact(Metadata!U873,"not provided"),exact(Metadata!U873,"restricted access"))),AND(IF(Metadata!U873="",FALSE,ISNUMBER(VALUE(Metadata!U873))),Metadata!U873&gt;=-180.00,Metadata!U873&lt;=180.00))</f>
        <v>0</v>
      </c>
      <c r="BH873">
        <f>AND(IF(Metadata!V873="",FALSE,TRUE),exact(Metadata!V873,"Decimal degrees"))</f>
        <v>0</v>
      </c>
      <c r="BI873">
        <f>IF(Metadata!W873="",FALSE,TRUE)</f>
        <v>0</v>
      </c>
      <c r="BJ873">
        <f>OR(AND(IF(Metadata!X873="",FALSE,TRUE),OR(exact(Metadata!X873,"not collected"),exact(Metadata!X873,"not provided"),exact(Metadata!X873,"restricted access"))),AND(IF(Metadata!X873="",FALSE,TRUE),OR(exact(Metadata!X873,"TRUE"),exact(Metadata!X873,"FALSE"))))</f>
        <v>0</v>
      </c>
      <c r="BK873">
        <f>AND(IF(Metadata!Y873="",FALSE,TRUE),exact(Metadata!Y873,"other"))</f>
        <v>0</v>
      </c>
      <c r="BL873">
        <f>IF(Metadata!Z873="",FALSE,TRUE)</f>
        <v>0</v>
      </c>
      <c r="BM873">
        <f>OR(AND(IF(Metadata!AA873="",FALSE,TRUE),OR(exact(Metadata!AA873,"not collected"),exact(Metadata!AA873,"not provided"))),AND(IF(Metadata!AA873="",FALSE,IF(ISERROR(INT(Metadata!AA873)),FALSE,INT(Metadata!AA873)=Metadata!AA873)),Metadata!AA873&gt;0))</f>
        <v>0</v>
      </c>
      <c r="BN873">
        <f>AND(IF(Metadata!AB873="",FALSE,TRUE),exact(Metadata!AB873,"Not applicable"))</f>
        <v>0</v>
      </c>
      <c r="BO873">
        <f>IF(Metadata!AC873="",FALSE,TRUE)</f>
        <v>0</v>
      </c>
    </row>
    <row r="874" spans="1:67">
      <c r="A874" s="5">
        <f>IF(B874=" "," ",HYPERLINK(CONCATENATE("#metadata!",ADDRESS(INDEX($AI$2:$AI$1001,MATCH(ROWS($AG$2:AG874),$AG$2:$AG$1001,0),0),1)),INDEX($AL$2:$AL$1001,MATCH(ROWS($AG$2:AG874),$AG$2:$AG$1001,0),0)))</f>
        <v>0</v>
      </c>
      <c r="B874" s="4">
        <f>IF(OR(INDEX($AH$2:$AH$1001,MATCH(ROWS($AG$2:AG874),$AG$2:$AG$1001,0),1)&gt;=100000,INDEX($AN$1005:$BO$1005,1,MATCH(COLUMNS($AN$1006:AN1006),$AN$1006:$BO$1006,0))&gt;=100000), " ",IF(INDEX($AN$2:$BO$1001,MATCH(ROWS($AG$2:AG874),$AG$2:$AG$1001,0),MATCH(COLUMNS($AN$1006:AN1006),$AN$1006:$BO$1006,0)), HYPERLINK("#",""), HYPERLINK(CONCATENATE("#Metadata!", ADDRESS(INDEX($AI$2:$AI$1001,MATCH(ROWS($AG$2:AG874),$AG$2:$AG$1001,0),0), INDEX($AN$1004:$BO$1004,1,MATCH(COLUMNS($AN$1006:AN1006),$AN$1006:$BO$1006,0)))),"Fix")))</f>
        <v>0</v>
      </c>
      <c r="C874" s="4">
        <f>IF(OR(INDEX($AH$2:$AH$1001,MATCH(ROWS($AG$2:AG874),$AG$2:$AG$1001,0),1)&gt;=100000,INDEX($AN$1005:$BO$1005,1,MATCH(COLUMNS($AN$1006:AO1006),$AN$1006:$BO$1006,0))&gt;=100000), " ",IF(INDEX($AN$2:$BO$1001,MATCH(ROWS($AG$2:AG874),$AG$2:$AG$1001,0),MATCH(COLUMNS($AN$1006:AO1006),$AN$1006:$BO$1006,0)), HYPERLINK("#",""), HYPERLINK(CONCATENATE("#Metadata!", ADDRESS(INDEX($AI$2:$AI$1001,MATCH(ROWS($AG$2:AG874),$AG$2:$AG$1001,0),0), INDEX($AN$1004:$BO$1004,1,MATCH(COLUMNS($AN$1006:AO1006),$AN$1006:$BO$1006,0)))),"Fix")))</f>
        <v>0</v>
      </c>
      <c r="D874" s="4">
        <f>IF(OR(INDEX($AH$2:$AH$1001,MATCH(ROWS($AG$2:AG874),$AG$2:$AG$1001,0),1)&gt;=100000,INDEX($AN$1005:$BO$1005,1,MATCH(COLUMNS($AN$1006:AP1006),$AN$1006:$BO$1006,0))&gt;=100000), " ",IF(INDEX($AN$2:$BO$1001,MATCH(ROWS($AG$2:AG874),$AG$2:$AG$1001,0),MATCH(COLUMNS($AN$1006:AP1006),$AN$1006:$BO$1006,0)), HYPERLINK("#",""), HYPERLINK(CONCATENATE("#Metadata!", ADDRESS(INDEX($AI$2:$AI$1001,MATCH(ROWS($AG$2:AG874),$AG$2:$AG$1001,0),0), INDEX($AN$1004:$BO$1004,1,MATCH(COLUMNS($AN$1006:AP1006),$AN$1006:$BO$1006,0)))),"Fix")))</f>
        <v>0</v>
      </c>
      <c r="E874" s="4">
        <f>IF(OR(INDEX($AH$2:$AH$1001,MATCH(ROWS($AG$2:AG874),$AG$2:$AG$1001,0),1)&gt;=100000,INDEX($AN$1005:$BO$1005,1,MATCH(COLUMNS($AN$1006:AQ1006),$AN$1006:$BO$1006,0))&gt;=100000), " ",IF(INDEX($AN$2:$BO$1001,MATCH(ROWS($AG$2:AG874),$AG$2:$AG$1001,0),MATCH(COLUMNS($AN$1006:AQ1006),$AN$1006:$BO$1006,0)), HYPERLINK("#",""), HYPERLINK(CONCATENATE("#Metadata!", ADDRESS(INDEX($AI$2:$AI$1001,MATCH(ROWS($AG$2:AG874),$AG$2:$AG$1001,0),0), INDEX($AN$1004:$BO$1004,1,MATCH(COLUMNS($AN$1006:AQ1006),$AN$1006:$BO$1006,0)))),"Fix")))</f>
        <v>0</v>
      </c>
      <c r="F874" s="4">
        <f>IF(OR(INDEX($AH$2:$AH$1001,MATCH(ROWS($AG$2:AG874),$AG$2:$AG$1001,0),1)&gt;=100000,INDEX($AN$1005:$BO$1005,1,MATCH(COLUMNS($AN$1006:AR1006),$AN$1006:$BO$1006,0))&gt;=100000), " ",IF(INDEX($AN$2:$BO$1001,MATCH(ROWS($AG$2:AG874),$AG$2:$AG$1001,0),MATCH(COLUMNS($AN$1006:AR1006),$AN$1006:$BO$1006,0)), HYPERLINK("#",""), HYPERLINK(CONCATENATE("#Metadata!", ADDRESS(INDEX($AI$2:$AI$1001,MATCH(ROWS($AG$2:AG874),$AG$2:$AG$1001,0),0), INDEX($AN$1004:$BO$1004,1,MATCH(COLUMNS($AN$1006:AR1006),$AN$1006:$BO$1006,0)))),"Fix")))</f>
        <v>0</v>
      </c>
      <c r="G874" s="4">
        <f>IF(OR(INDEX($AH$2:$AH$1001,MATCH(ROWS($AG$2:AG874),$AG$2:$AG$1001,0),1)&gt;=100000,INDEX($AN$1005:$BO$1005,1,MATCH(COLUMNS($AN$1006:AS1006),$AN$1006:$BO$1006,0))&gt;=100000), " ",IF(INDEX($AN$2:$BO$1001,MATCH(ROWS($AG$2:AG874),$AG$2:$AG$1001,0),MATCH(COLUMNS($AN$1006:AS1006),$AN$1006:$BO$1006,0)), HYPERLINK("#",""), HYPERLINK(CONCATENATE("#Metadata!", ADDRESS(INDEX($AI$2:$AI$1001,MATCH(ROWS($AG$2:AG874),$AG$2:$AG$1001,0),0), INDEX($AN$1004:$BO$1004,1,MATCH(COLUMNS($AN$1006:AS1006),$AN$1006:$BO$1006,0)))),"Fix")))</f>
        <v>0</v>
      </c>
      <c r="H874" s="4">
        <f>IF(OR(INDEX($AH$2:$AH$1001,MATCH(ROWS($AG$2:AG874),$AG$2:$AG$1001,0),1)&gt;=100000,INDEX($AN$1005:$BO$1005,1,MATCH(COLUMNS($AN$1006:AT1006),$AN$1006:$BO$1006,0))&gt;=100000), " ",IF(INDEX($AN$2:$BO$1001,MATCH(ROWS($AG$2:AG874),$AG$2:$AG$1001,0),MATCH(COLUMNS($AN$1006:AT1006),$AN$1006:$BO$1006,0)), HYPERLINK("#",""), HYPERLINK(CONCATENATE("#Metadata!", ADDRESS(INDEX($AI$2:$AI$1001,MATCH(ROWS($AG$2:AG874),$AG$2:$AG$1001,0),0), INDEX($AN$1004:$BO$1004,1,MATCH(COLUMNS($AN$1006:AT1006),$AN$1006:$BO$1006,0)))),"Fix")))</f>
        <v>0</v>
      </c>
      <c r="I874" s="4">
        <f>IF(OR(INDEX($AH$2:$AH$1001,MATCH(ROWS($AG$2:AG874),$AG$2:$AG$1001,0),1)&gt;=100000,INDEX($AN$1005:$BO$1005,1,MATCH(COLUMNS($AN$1006:AU1006),$AN$1006:$BO$1006,0))&gt;=100000), " ",IF(INDEX($AN$2:$BO$1001,MATCH(ROWS($AG$2:AG874),$AG$2:$AG$1001,0),MATCH(COLUMNS($AN$1006:AU1006),$AN$1006:$BO$1006,0)), HYPERLINK("#",""), HYPERLINK(CONCATENATE("#Metadata!", ADDRESS(INDEX($AI$2:$AI$1001,MATCH(ROWS($AG$2:AG874),$AG$2:$AG$1001,0),0), INDEX($AN$1004:$BO$1004,1,MATCH(COLUMNS($AN$1006:AU1006),$AN$1006:$BO$1006,0)))),"Fix")))</f>
        <v>0</v>
      </c>
      <c r="J874" s="4">
        <f>IF(OR(INDEX($AH$2:$AH$1001,MATCH(ROWS($AG$2:AG874),$AG$2:$AG$1001,0),1)&gt;=100000,INDEX($AN$1005:$BO$1005,1,MATCH(COLUMNS($AN$1006:AV1006),$AN$1006:$BO$1006,0))&gt;=100000), " ",IF(INDEX($AN$2:$BO$1001,MATCH(ROWS($AG$2:AG874),$AG$2:$AG$1001,0),MATCH(COLUMNS($AN$1006:AV1006),$AN$1006:$BO$1006,0)), HYPERLINK("#",""), HYPERLINK(CONCATENATE("#Metadata!", ADDRESS(INDEX($AI$2:$AI$1001,MATCH(ROWS($AG$2:AG874),$AG$2:$AG$1001,0),0), INDEX($AN$1004:$BO$1004,1,MATCH(COLUMNS($AN$1006:AV1006),$AN$1006:$BO$1006,0)))),"Fix")))</f>
        <v>0</v>
      </c>
      <c r="K874" s="4">
        <f>IF(OR(INDEX($AH$2:$AH$1001,MATCH(ROWS($AG$2:AG874),$AG$2:$AG$1001,0),1)&gt;=100000,INDEX($AN$1005:$BO$1005,1,MATCH(COLUMNS($AN$1006:AW1006),$AN$1006:$BO$1006,0))&gt;=100000), " ",IF(INDEX($AN$2:$BO$1001,MATCH(ROWS($AG$2:AG874),$AG$2:$AG$1001,0),MATCH(COLUMNS($AN$1006:AW1006),$AN$1006:$BO$1006,0)), HYPERLINK("#",""), HYPERLINK(CONCATENATE("#Metadata!", ADDRESS(INDEX($AI$2:$AI$1001,MATCH(ROWS($AG$2:AG874),$AG$2:$AG$1001,0),0), INDEX($AN$1004:$BO$1004,1,MATCH(COLUMNS($AN$1006:AW1006),$AN$1006:$BO$1006,0)))),"Fix")))</f>
        <v>0</v>
      </c>
      <c r="L874" s="4">
        <f>IF(OR(INDEX($AH$2:$AH$1001,MATCH(ROWS($AG$2:AG874),$AG$2:$AG$1001,0),1)&gt;=100000,INDEX($AN$1005:$BO$1005,1,MATCH(COLUMNS($AN$1006:AX1006),$AN$1006:$BO$1006,0))&gt;=100000), " ",IF(INDEX($AN$2:$BO$1001,MATCH(ROWS($AG$2:AG874),$AG$2:$AG$1001,0),MATCH(COLUMNS($AN$1006:AX1006),$AN$1006:$BO$1006,0)), HYPERLINK("#",""), HYPERLINK(CONCATENATE("#Metadata!", ADDRESS(INDEX($AI$2:$AI$1001,MATCH(ROWS($AG$2:AG874),$AG$2:$AG$1001,0),0), INDEX($AN$1004:$BO$1004,1,MATCH(COLUMNS($AN$1006:AX1006),$AN$1006:$BO$1006,0)))),"Fix")))</f>
        <v>0</v>
      </c>
      <c r="M874" s="4">
        <f>IF(OR(INDEX($AH$2:$AH$1001,MATCH(ROWS($AG$2:AG874),$AG$2:$AG$1001,0),1)&gt;=100000,INDEX($AN$1005:$BO$1005,1,MATCH(COLUMNS($AN$1006:AY1006),$AN$1006:$BO$1006,0))&gt;=100000), " ",IF(INDEX($AN$2:$BO$1001,MATCH(ROWS($AG$2:AG874),$AG$2:$AG$1001,0),MATCH(COLUMNS($AN$1006:AY1006),$AN$1006:$BO$1006,0)), HYPERLINK("#",""), HYPERLINK(CONCATENATE("#Metadata!", ADDRESS(INDEX($AI$2:$AI$1001,MATCH(ROWS($AG$2:AG874),$AG$2:$AG$1001,0),0), INDEX($AN$1004:$BO$1004,1,MATCH(COLUMNS($AN$1006:AY1006),$AN$1006:$BO$1006,0)))),"Fix")))</f>
        <v>0</v>
      </c>
      <c r="N874" s="4">
        <f>IF(OR(INDEX($AH$2:$AH$1001,MATCH(ROWS($AG$2:AG874),$AG$2:$AG$1001,0),1)&gt;=100000,INDEX($AN$1005:$BO$1005,1,MATCH(COLUMNS($AN$1006:AZ1006),$AN$1006:$BO$1006,0))&gt;=100000), " ",IF(INDEX($AN$2:$BO$1001,MATCH(ROWS($AG$2:AG874),$AG$2:$AG$1001,0),MATCH(COLUMNS($AN$1006:AZ1006),$AN$1006:$BO$1006,0)), HYPERLINK("#",""), HYPERLINK(CONCATENATE("#Metadata!", ADDRESS(INDEX($AI$2:$AI$1001,MATCH(ROWS($AG$2:AG874),$AG$2:$AG$1001,0),0), INDEX($AN$1004:$BO$1004,1,MATCH(COLUMNS($AN$1006:AZ1006),$AN$1006:$BO$1006,0)))),"Fix")))</f>
        <v>0</v>
      </c>
      <c r="O874" s="4">
        <f>IF(OR(INDEX($AH$2:$AH$1001,MATCH(ROWS($AG$2:AG874),$AG$2:$AG$1001,0),1)&gt;=100000,INDEX($AN$1005:$BO$1005,1,MATCH(COLUMNS($AN$1006:BA1006),$AN$1006:$BO$1006,0))&gt;=100000), " ",IF(INDEX($AN$2:$BO$1001,MATCH(ROWS($AG$2:AG874),$AG$2:$AG$1001,0),MATCH(COLUMNS($AN$1006:BA1006),$AN$1006:$BO$1006,0)), HYPERLINK("#",""), HYPERLINK(CONCATENATE("#Metadata!", ADDRESS(INDEX($AI$2:$AI$1001,MATCH(ROWS($AG$2:AG874),$AG$2:$AG$1001,0),0), INDEX($AN$1004:$BO$1004,1,MATCH(COLUMNS($AN$1006:BA1006),$AN$1006:$BO$1006,0)))),"Fix")))</f>
        <v>0</v>
      </c>
      <c r="P874" s="4">
        <f>IF(OR(INDEX($AH$2:$AH$1001,MATCH(ROWS($AG$2:AG874),$AG$2:$AG$1001,0),1)&gt;=100000,INDEX($AN$1005:$BO$1005,1,MATCH(COLUMNS($AN$1006:BB1006),$AN$1006:$BO$1006,0))&gt;=100000), " ",IF(INDEX($AN$2:$BO$1001,MATCH(ROWS($AG$2:AG874),$AG$2:$AG$1001,0),MATCH(COLUMNS($AN$1006:BB1006),$AN$1006:$BO$1006,0)), HYPERLINK("#",""), HYPERLINK(CONCATENATE("#Metadata!", ADDRESS(INDEX($AI$2:$AI$1001,MATCH(ROWS($AG$2:AG874),$AG$2:$AG$1001,0),0), INDEX($AN$1004:$BO$1004,1,MATCH(COLUMNS($AN$1006:BB1006),$AN$1006:$BO$1006,0)))),"Fix")))</f>
        <v>0</v>
      </c>
      <c r="Q874" s="4">
        <f>IF(OR(INDEX($AH$2:$AH$1001,MATCH(ROWS($AG$2:AG874),$AG$2:$AG$1001,0),1)&gt;=100000,INDEX($AN$1005:$BO$1005,1,MATCH(COLUMNS($AN$1006:BC1006),$AN$1006:$BO$1006,0))&gt;=100000), " ",IF(INDEX($AN$2:$BO$1001,MATCH(ROWS($AG$2:AG874),$AG$2:$AG$1001,0),MATCH(COLUMNS($AN$1006:BC1006),$AN$1006:$BO$1006,0)), HYPERLINK("#",""), HYPERLINK(CONCATENATE("#Metadata!", ADDRESS(INDEX($AI$2:$AI$1001,MATCH(ROWS($AG$2:AG874),$AG$2:$AG$1001,0),0), INDEX($AN$1004:$BO$1004,1,MATCH(COLUMNS($AN$1006:BC1006),$AN$1006:$BO$1006,0)))),"Fix")))</f>
        <v>0</v>
      </c>
      <c r="R874" s="4">
        <f>IF(OR(INDEX($AH$2:$AH$1001,MATCH(ROWS($AG$2:AG874),$AG$2:$AG$1001,0),1)&gt;=100000,INDEX($AN$1005:$BO$1005,1,MATCH(COLUMNS($AN$1006:BD1006),$AN$1006:$BO$1006,0))&gt;=100000), " ",IF(INDEX($AN$2:$BO$1001,MATCH(ROWS($AG$2:AG874),$AG$2:$AG$1001,0),MATCH(COLUMNS($AN$1006:BD1006),$AN$1006:$BO$1006,0)), HYPERLINK("#",""), HYPERLINK(CONCATENATE("#Metadata!", ADDRESS(INDEX($AI$2:$AI$1001,MATCH(ROWS($AG$2:AG874),$AG$2:$AG$1001,0),0), INDEX($AN$1004:$BO$1004,1,MATCH(COLUMNS($AN$1006:BD1006),$AN$1006:$BO$1006,0)))),"Fix")))</f>
        <v>0</v>
      </c>
      <c r="S874" s="4">
        <f>IF(OR(INDEX($AH$2:$AH$1001,MATCH(ROWS($AG$2:AG874),$AG$2:$AG$1001,0),1)&gt;=100000,INDEX($AN$1005:$BO$1005,1,MATCH(COLUMNS($AN$1006:BE1006),$AN$1006:$BO$1006,0))&gt;=100000), " ",IF(INDEX($AN$2:$BO$1001,MATCH(ROWS($AG$2:AG874),$AG$2:$AG$1001,0),MATCH(COLUMNS($AN$1006:BE1006),$AN$1006:$BO$1006,0)), HYPERLINK("#",""), HYPERLINK(CONCATENATE("#Metadata!", ADDRESS(INDEX($AI$2:$AI$1001,MATCH(ROWS($AG$2:AG874),$AG$2:$AG$1001,0),0), INDEX($AN$1004:$BO$1004,1,MATCH(COLUMNS($AN$1006:BE1006),$AN$1006:$BO$1006,0)))),"Fix")))</f>
        <v>0</v>
      </c>
      <c r="T874" s="4">
        <f>IF(OR(INDEX($AH$2:$AH$1001,MATCH(ROWS($AG$2:AG874),$AG$2:$AG$1001,0),1)&gt;=100000,INDEX($AN$1005:$BO$1005,1,MATCH(COLUMNS($AN$1006:BF1006),$AN$1006:$BO$1006,0))&gt;=100000), " ",IF(INDEX($AN$2:$BO$1001,MATCH(ROWS($AG$2:AG874),$AG$2:$AG$1001,0),MATCH(COLUMNS($AN$1006:BF1006),$AN$1006:$BO$1006,0)), HYPERLINK("#",""), HYPERLINK(CONCATENATE("#Metadata!", ADDRESS(INDEX($AI$2:$AI$1001,MATCH(ROWS($AG$2:AG874),$AG$2:$AG$1001,0),0), INDEX($AN$1004:$BO$1004,1,MATCH(COLUMNS($AN$1006:BF1006),$AN$1006:$BO$1006,0)))),"Fix")))</f>
        <v>0</v>
      </c>
      <c r="U874" s="4">
        <f>IF(OR(INDEX($AH$2:$AH$1001,MATCH(ROWS($AG$2:AG874),$AG$2:$AG$1001,0),1)&gt;=100000,INDEX($AN$1005:$BO$1005,1,MATCH(COLUMNS($AN$1006:BG1006),$AN$1006:$BO$1006,0))&gt;=100000), " ",IF(INDEX($AN$2:$BO$1001,MATCH(ROWS($AG$2:AG874),$AG$2:$AG$1001,0),MATCH(COLUMNS($AN$1006:BG1006),$AN$1006:$BO$1006,0)), HYPERLINK("#",""), HYPERLINK(CONCATENATE("#Metadata!", ADDRESS(INDEX($AI$2:$AI$1001,MATCH(ROWS($AG$2:AG874),$AG$2:$AG$1001,0),0), INDEX($AN$1004:$BO$1004,1,MATCH(COLUMNS($AN$1006:BG1006),$AN$1006:$BO$1006,0)))),"Fix")))</f>
        <v>0</v>
      </c>
      <c r="V874" s="4">
        <f>IF(OR(INDEX($AH$2:$AH$1001,MATCH(ROWS($AG$2:AG874),$AG$2:$AG$1001,0),1)&gt;=100000,INDEX($AN$1005:$BO$1005,1,MATCH(COLUMNS($AN$1006:BH1006),$AN$1006:$BO$1006,0))&gt;=100000), " ",IF(INDEX($AN$2:$BO$1001,MATCH(ROWS($AG$2:AG874),$AG$2:$AG$1001,0),MATCH(COLUMNS($AN$1006:BH1006),$AN$1006:$BO$1006,0)), HYPERLINK("#",""), HYPERLINK(CONCATENATE("#Metadata!", ADDRESS(INDEX($AI$2:$AI$1001,MATCH(ROWS($AG$2:AG874),$AG$2:$AG$1001,0),0), INDEX($AN$1004:$BO$1004,1,MATCH(COLUMNS($AN$1006:BH1006),$AN$1006:$BO$1006,0)))),"Fix")))</f>
        <v>0</v>
      </c>
      <c r="W874" s="4">
        <f>IF(OR(INDEX($AH$2:$AH$1001,MATCH(ROWS($AG$2:AG874),$AG$2:$AG$1001,0),1)&gt;=100000,INDEX($AN$1005:$BO$1005,1,MATCH(COLUMNS($AN$1006:BI1006),$AN$1006:$BO$1006,0))&gt;=100000), " ",IF(INDEX($AN$2:$BO$1001,MATCH(ROWS($AG$2:AG874),$AG$2:$AG$1001,0),MATCH(COLUMNS($AN$1006:BI1006),$AN$1006:$BO$1006,0)), HYPERLINK("#",""), HYPERLINK(CONCATENATE("#Metadata!", ADDRESS(INDEX($AI$2:$AI$1001,MATCH(ROWS($AG$2:AG874),$AG$2:$AG$1001,0),0), INDEX($AN$1004:$BO$1004,1,MATCH(COLUMNS($AN$1006:BI1006),$AN$1006:$BO$1006,0)))),"Fix")))</f>
        <v>0</v>
      </c>
      <c r="X874" s="4">
        <f>IF(OR(INDEX($AH$2:$AH$1001,MATCH(ROWS($AG$2:AG874),$AG$2:$AG$1001,0),1)&gt;=100000,INDEX($AN$1005:$BO$1005,1,MATCH(COLUMNS($AN$1006:BJ1006),$AN$1006:$BO$1006,0))&gt;=100000), " ",IF(INDEX($AN$2:$BO$1001,MATCH(ROWS($AG$2:AG874),$AG$2:$AG$1001,0),MATCH(COLUMNS($AN$1006:BJ1006),$AN$1006:$BO$1006,0)), HYPERLINK("#",""), HYPERLINK(CONCATENATE("#Metadata!", ADDRESS(INDEX($AI$2:$AI$1001,MATCH(ROWS($AG$2:AG874),$AG$2:$AG$1001,0),0), INDEX($AN$1004:$BO$1004,1,MATCH(COLUMNS($AN$1006:BJ1006),$AN$1006:$BO$1006,0)))),"Fix")))</f>
        <v>0</v>
      </c>
      <c r="Y874" s="4">
        <f>IF(OR(INDEX($AH$2:$AH$1001,MATCH(ROWS($AG$2:AG874),$AG$2:$AG$1001,0),1)&gt;=100000,INDEX($AN$1005:$BO$1005,1,MATCH(COLUMNS($AN$1006:BK1006),$AN$1006:$BO$1006,0))&gt;=100000), " ",IF(INDEX($AN$2:$BO$1001,MATCH(ROWS($AG$2:AG874),$AG$2:$AG$1001,0),MATCH(COLUMNS($AN$1006:BK1006),$AN$1006:$BO$1006,0)), HYPERLINK("#",""), HYPERLINK(CONCATENATE("#Metadata!", ADDRESS(INDEX($AI$2:$AI$1001,MATCH(ROWS($AG$2:AG874),$AG$2:$AG$1001,0),0), INDEX($AN$1004:$BO$1004,1,MATCH(COLUMNS($AN$1006:BK1006),$AN$1006:$BO$1006,0)))),"Fix")))</f>
        <v>0</v>
      </c>
      <c r="Z874" s="4">
        <f>IF(OR(INDEX($AH$2:$AH$1001,MATCH(ROWS($AG$2:AG874),$AG$2:$AG$1001,0),1)&gt;=100000,INDEX($AN$1005:$BO$1005,1,MATCH(COLUMNS($AN$1006:BL1006),$AN$1006:$BO$1006,0))&gt;=100000), " ",IF(INDEX($AN$2:$BO$1001,MATCH(ROWS($AG$2:AG874),$AG$2:$AG$1001,0),MATCH(COLUMNS($AN$1006:BL1006),$AN$1006:$BO$1006,0)), HYPERLINK("#",""), HYPERLINK(CONCATENATE("#Metadata!", ADDRESS(INDEX($AI$2:$AI$1001,MATCH(ROWS($AG$2:AG874),$AG$2:$AG$1001,0),0), INDEX($AN$1004:$BO$1004,1,MATCH(COLUMNS($AN$1006:BL1006),$AN$1006:$BO$1006,0)))),"Fix")))</f>
        <v>0</v>
      </c>
      <c r="AA874" s="4">
        <f>IF(OR(INDEX($AH$2:$AH$1001,MATCH(ROWS($AG$2:AG874),$AG$2:$AG$1001,0),1)&gt;=100000,INDEX($AN$1005:$BO$1005,1,MATCH(COLUMNS($AN$1006:BM1006),$AN$1006:$BO$1006,0))&gt;=100000), " ",IF(INDEX($AN$2:$BO$1001,MATCH(ROWS($AG$2:AG874),$AG$2:$AG$1001,0),MATCH(COLUMNS($AN$1006:BM1006),$AN$1006:$BO$1006,0)), HYPERLINK("#",""), HYPERLINK(CONCATENATE("#Metadata!", ADDRESS(INDEX($AI$2:$AI$1001,MATCH(ROWS($AG$2:AG874),$AG$2:$AG$1001,0),0), INDEX($AN$1004:$BO$1004,1,MATCH(COLUMNS($AN$1006:BM1006),$AN$1006:$BO$1006,0)))),"Fix")))</f>
        <v>0</v>
      </c>
      <c r="AB874" s="4">
        <f>IF(OR(INDEX($AH$2:$AH$1001,MATCH(ROWS($AG$2:AG874),$AG$2:$AG$1001,0),1)&gt;=100000,INDEX($AN$1005:$BO$1005,1,MATCH(COLUMNS($AN$1006:BN1006),$AN$1006:$BO$1006,0))&gt;=100000), " ",IF(INDEX($AN$2:$BO$1001,MATCH(ROWS($AG$2:AG874),$AG$2:$AG$1001,0),MATCH(COLUMNS($AN$1006:BN1006),$AN$1006:$BO$1006,0)), HYPERLINK("#",""), HYPERLINK(CONCATENATE("#Metadata!", ADDRESS(INDEX($AI$2:$AI$1001,MATCH(ROWS($AG$2:AG874),$AG$2:$AG$1001,0),0), INDEX($AN$1004:$BO$1004,1,MATCH(COLUMNS($AN$1006:BN1006),$AN$1006:$BO$1006,0)))),"Fix")))</f>
        <v>0</v>
      </c>
      <c r="AC874" s="4">
        <f>IF(OR(INDEX($AH$2:$AH$1001,MATCH(ROWS($AG$2:AG874),$AG$2:$AG$1001,0),1)&gt;=100000,INDEX($AN$1005:$BO$1005,1,MATCH(COLUMNS($AN$1006:BO1006),$AN$1006:$BO$1006,0))&gt;=100000), " ",IF(INDEX($AN$2:$BO$1001,MATCH(ROWS($AG$2:AG874),$AG$2:$AG$1001,0),MATCH(COLUMNS($AN$1006:BO1006),$AN$1006:$BO$1006,0)), HYPERLINK("#",""), HYPERLINK(CONCATENATE("#Metadata!", ADDRESS(INDEX($AI$2:$AI$1001,MATCH(ROWS($AG$2:AG874),$AG$2:$AG$1001,0),0), INDEX($AN$1004:$BO$1004,1,MATCH(COLUMNS($AN$1006:BO1006),$AN$1006:$BO$1006,0)))),"Fix")))</f>
        <v>0</v>
      </c>
      <c r="AG874">
        <v>0</v>
      </c>
      <c r="AH874">
        <v>0</v>
      </c>
      <c r="AI874">
        <v>0</v>
      </c>
      <c r="AJ874">
        <f>IF(AK874,TRUE,AND(AN874:BO874))</f>
        <v>0</v>
      </c>
      <c r="AK874">
        <f>COUNTBLANK(Metadata!B874:AC874)=COLUMNS(Metadata!B874:AC874)</f>
        <v>0</v>
      </c>
      <c r="AL874">
        <v>0</v>
      </c>
      <c r="AN874">
        <f>AND(IF(Metadata!B874="",FALSE,TRUE),COUNTIF(Metadata!B:B, Metadata!B874) = 1,NOT(ISERROR(SUMPRODUCT(SEARCH(MID(Metadata!B874,ROW(INDIRECT("1:"&amp;LEN(Metadata!B874))), 1),"0123456789abcdefghijklmnopqrstuvwxyzABCDEFGHIJKLMNOPQRSTUVWXYZ.")))))</f>
        <v>0</v>
      </c>
      <c r="AO874">
        <f>IF(Metadata!C874="",FALSE,TRUE)</f>
        <v>0</v>
      </c>
      <c r="AP874">
        <f>IF(Metadata!D874="",FALSE,TRUE)</f>
        <v>0</v>
      </c>
      <c r="AQ874">
        <f>OR(AND(IF(Metadata!E874="",FALSE,TRUE),OR(exact(Metadata!E874,"not collected"),exact(Metadata!E874,"not provided"),exact(Metadata!E874,"restricted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R874">
        <f>IF(Metadata!F874="",FALSE,TRUE)</f>
        <v>0</v>
      </c>
      <c r="AS874">
        <f>OR(AND(IF(Metadata!G874="",FALSE,TRUE),OR(exact(Metadata!G874,"not collected"),exact(Metadata!G874,"not provided"))),AND(IF(Metadata!G874="",FALSE,TRUE),OR(exact(Metadata!G874,"TRUE"),exact(Metadata!G874,"FALSE"))))</f>
        <v>0</v>
      </c>
      <c r="AT874">
        <f>OR(AND(IF(Metadata!H874="",FALSE,TRUE),OR(exact(Metadata!H874,"not collected"),exact(Metadata!H874,"not provided"),exact(Metadata!H874,"restricted access"))),AND(IF(Metadata!H874="",FALSE,ISNUMBER(VALUE(Metadata!H874))),Metadata!H874&gt;=-413.0))</f>
        <v>0</v>
      </c>
      <c r="AU874">
        <f>AND(IF(Metadata!I874="",FALSE,TRUE),exact(Metadata!I874,"meters"))</f>
        <v>0</v>
      </c>
      <c r="AV874">
        <f>AND(IF(Metadata!J874="",FALSE,TRUE),OR(exact(Metadata!J874,"Host-associated"),exact(Metadata!J874,"Free-living")))</f>
        <v>0</v>
      </c>
      <c r="AW874">
        <f>AND(IF(Metadata!K874="",FALSE,TRUE),OR(exact(Metadata!K874,"Animal"),exact(Metadata!K874,"Fungus"),exact(Metadata!K874,"Plant"),exact(Metadata!K874,"Saline"),exact(Metadata!K874,"Non-saline")))</f>
        <v>0</v>
      </c>
      <c r="AX874">
        <f>AND(IF(Metadata!L874="",FALSE,TRUE),OR(exact(Metadata!L874,"Plant secretion"),exact(Metadata!L874,"Plant rhizosphere"),exact(Metadata!L874,"Plant surface"),exact(Metadata!L874,"Plant corpus"),exact(Metadata!L874,"Fungus surface"),exact(Metadata!L874,"Fungus corpus"),exact(Metadata!L874,"Animal surface"),exact(Metadata!L874,"Animal proximal gut"),exact(Metadata!L874,"Animal corpus"),exact(Metadata!L874,"Animal distal gut"),exact(Metadata!L874,"Animal secretion"),exact(Metadata!L874,"Sub-surface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Y874">
        <f>IF(Metadata!M874="",FALSE,TRUE)</f>
        <v>0</v>
      </c>
      <c r="AZ874">
        <f>IF(Metadata!N874="",FALSE,TRUE)</f>
        <v>0</v>
      </c>
      <c r="BA874">
        <f>IF(Metadata!O874="",FALSE,TRUE)</f>
        <v>0</v>
      </c>
      <c r="BB874">
        <f>OR(AND(IF(Metadata!P874="",FALSE,TRUE),OR(exact(Metadata!P874,"not collected"),exact(Metadata!P874,"not provided"),exact(Metadata!P874,"restricted access"))),AND(IF(Metadata!P874="",FALSE,TRUE),OR(exact(Metadata!P874,"air"),exact(Metadata!P874,"built environment"),exact(Metadata!P874,"host-associated"),exact(Metadata!P874,"human-associated"),exact(Metadata!P874,"human-skin"),exact(Metadata!P874,"human-oral"),exact(Metadata!P874,"human-gut"),exact(Metadata!P874,"human-vaginal"),exact(Metadata!P874,"microbial mat/biofilm"),exact(Metadata!P874,"misc environment"),exact(Metadata!P874,"plant-associated"),exact(Metadata!P874,"sediment"),exact(Metadata!P874,"soil"),exact(Metadata!P874,"wastewater/sludge"),exact(Metadata!P874,"water"))))</f>
        <v>0</v>
      </c>
      <c r="BC874">
        <f>IF(Metadata!Q874="",FALSE,TRUE)</f>
        <v>0</v>
      </c>
      <c r="BD874">
        <f>IF(Metadata!R874="",FALSE,TRUE)</f>
        <v>0</v>
      </c>
      <c r="BE874">
        <f>OR(AND(IF(Metadata!S874="",FALSE,TRUE),OR(exact(Metadata!S874,"not collected"),exact(Metadata!S874,"not provided"),exact(Metadata!S874,"restricted access"))),AND(IF(Metadata!S874="",FALSE,ISNUMBER(VALUE(Metadata!S874))),Metadata!S874&gt;=-90.00,Metadata!S874&lt;=90.00))</f>
        <v>0</v>
      </c>
      <c r="BF874">
        <f>AND(IF(Metadata!T874="",FALSE,TRUE),exact(Metadata!T874,"Decimal degrees"))</f>
        <v>0</v>
      </c>
      <c r="BG874">
        <f>OR(AND(IF(Metadata!U874="",FALSE,TRUE),OR(exact(Metadata!U874,"not collected"),exact(Metadata!U874,"not provided"),exact(Metadata!U874,"restricted access"))),AND(IF(Metadata!U874="",FALSE,ISNUMBER(VALUE(Metadata!U874))),Metadata!U874&gt;=-180.00,Metadata!U874&lt;=180.00))</f>
        <v>0</v>
      </c>
      <c r="BH874">
        <f>AND(IF(Metadata!V874="",FALSE,TRUE),exact(Metadata!V874,"Decimal degrees"))</f>
        <v>0</v>
      </c>
      <c r="BI874">
        <f>IF(Metadata!W874="",FALSE,TRUE)</f>
        <v>0</v>
      </c>
      <c r="BJ874">
        <f>OR(AND(IF(Metadata!X874="",FALSE,TRUE),OR(exact(Metadata!X874,"not collected"),exact(Metadata!X874,"not provided"),exact(Metadata!X874,"restricted access"))),AND(IF(Metadata!X874="",FALSE,TRUE),OR(exact(Metadata!X874,"TRUE"),exact(Metadata!X874,"FALSE"))))</f>
        <v>0</v>
      </c>
      <c r="BK874">
        <f>AND(IF(Metadata!Y874="",FALSE,TRUE),exact(Metadata!Y874,"other"))</f>
        <v>0</v>
      </c>
      <c r="BL874">
        <f>IF(Metadata!Z874="",FALSE,TRUE)</f>
        <v>0</v>
      </c>
      <c r="BM874">
        <f>OR(AND(IF(Metadata!AA874="",FALSE,TRUE),OR(exact(Metadata!AA874,"not collected"),exact(Metadata!AA874,"not provided"))),AND(IF(Metadata!AA874="",FALSE,IF(ISERROR(INT(Metadata!AA874)),FALSE,INT(Metadata!AA874)=Metadata!AA874)),Metadata!AA874&gt;0))</f>
        <v>0</v>
      </c>
      <c r="BN874">
        <f>AND(IF(Metadata!AB874="",FALSE,TRUE),exact(Metadata!AB874,"Not applicable"))</f>
        <v>0</v>
      </c>
      <c r="BO874">
        <f>IF(Metadata!AC874="",FALSE,TRUE)</f>
        <v>0</v>
      </c>
    </row>
    <row r="875" spans="1:67">
      <c r="A875" s="5">
        <f>IF(B875=" "," ",HYPERLINK(CONCATENATE("#metadata!",ADDRESS(INDEX($AI$2:$AI$1001,MATCH(ROWS($AG$2:AG875),$AG$2:$AG$1001,0),0),1)),INDEX($AL$2:$AL$1001,MATCH(ROWS($AG$2:AG875),$AG$2:$AG$1001,0),0)))</f>
        <v>0</v>
      </c>
      <c r="B875" s="4">
        <f>IF(OR(INDEX($AH$2:$AH$1001,MATCH(ROWS($AG$2:AG875),$AG$2:$AG$1001,0),1)&gt;=100000,INDEX($AN$1005:$BO$1005,1,MATCH(COLUMNS($AN$1006:AN1006),$AN$1006:$BO$1006,0))&gt;=100000), " ",IF(INDEX($AN$2:$BO$1001,MATCH(ROWS($AG$2:AG875),$AG$2:$AG$1001,0),MATCH(COLUMNS($AN$1006:AN1006),$AN$1006:$BO$1006,0)), HYPERLINK("#",""), HYPERLINK(CONCATENATE("#Metadata!", ADDRESS(INDEX($AI$2:$AI$1001,MATCH(ROWS($AG$2:AG875),$AG$2:$AG$1001,0),0), INDEX($AN$1004:$BO$1004,1,MATCH(COLUMNS($AN$1006:AN1006),$AN$1006:$BO$1006,0)))),"Fix")))</f>
        <v>0</v>
      </c>
      <c r="C875" s="4">
        <f>IF(OR(INDEX($AH$2:$AH$1001,MATCH(ROWS($AG$2:AG875),$AG$2:$AG$1001,0),1)&gt;=100000,INDEX($AN$1005:$BO$1005,1,MATCH(COLUMNS($AN$1006:AO1006),$AN$1006:$BO$1006,0))&gt;=100000), " ",IF(INDEX($AN$2:$BO$1001,MATCH(ROWS($AG$2:AG875),$AG$2:$AG$1001,0),MATCH(COLUMNS($AN$1006:AO1006),$AN$1006:$BO$1006,0)), HYPERLINK("#",""), HYPERLINK(CONCATENATE("#Metadata!", ADDRESS(INDEX($AI$2:$AI$1001,MATCH(ROWS($AG$2:AG875),$AG$2:$AG$1001,0),0), INDEX($AN$1004:$BO$1004,1,MATCH(COLUMNS($AN$1006:AO1006),$AN$1006:$BO$1006,0)))),"Fix")))</f>
        <v>0</v>
      </c>
      <c r="D875" s="4">
        <f>IF(OR(INDEX($AH$2:$AH$1001,MATCH(ROWS($AG$2:AG875),$AG$2:$AG$1001,0),1)&gt;=100000,INDEX($AN$1005:$BO$1005,1,MATCH(COLUMNS($AN$1006:AP1006),$AN$1006:$BO$1006,0))&gt;=100000), " ",IF(INDEX($AN$2:$BO$1001,MATCH(ROWS($AG$2:AG875),$AG$2:$AG$1001,0),MATCH(COLUMNS($AN$1006:AP1006),$AN$1006:$BO$1006,0)), HYPERLINK("#",""), HYPERLINK(CONCATENATE("#Metadata!", ADDRESS(INDEX($AI$2:$AI$1001,MATCH(ROWS($AG$2:AG875),$AG$2:$AG$1001,0),0), INDEX($AN$1004:$BO$1004,1,MATCH(COLUMNS($AN$1006:AP1006),$AN$1006:$BO$1006,0)))),"Fix")))</f>
        <v>0</v>
      </c>
      <c r="E875" s="4">
        <f>IF(OR(INDEX($AH$2:$AH$1001,MATCH(ROWS($AG$2:AG875),$AG$2:$AG$1001,0),1)&gt;=100000,INDEX($AN$1005:$BO$1005,1,MATCH(COLUMNS($AN$1006:AQ1006),$AN$1006:$BO$1006,0))&gt;=100000), " ",IF(INDEX($AN$2:$BO$1001,MATCH(ROWS($AG$2:AG875),$AG$2:$AG$1001,0),MATCH(COLUMNS($AN$1006:AQ1006),$AN$1006:$BO$1006,0)), HYPERLINK("#",""), HYPERLINK(CONCATENATE("#Metadata!", ADDRESS(INDEX($AI$2:$AI$1001,MATCH(ROWS($AG$2:AG875),$AG$2:$AG$1001,0),0), INDEX($AN$1004:$BO$1004,1,MATCH(COLUMNS($AN$1006:AQ1006),$AN$1006:$BO$1006,0)))),"Fix")))</f>
        <v>0</v>
      </c>
      <c r="F875" s="4">
        <f>IF(OR(INDEX($AH$2:$AH$1001,MATCH(ROWS($AG$2:AG875),$AG$2:$AG$1001,0),1)&gt;=100000,INDEX($AN$1005:$BO$1005,1,MATCH(COLUMNS($AN$1006:AR1006),$AN$1006:$BO$1006,0))&gt;=100000), " ",IF(INDEX($AN$2:$BO$1001,MATCH(ROWS($AG$2:AG875),$AG$2:$AG$1001,0),MATCH(COLUMNS($AN$1006:AR1006),$AN$1006:$BO$1006,0)), HYPERLINK("#",""), HYPERLINK(CONCATENATE("#Metadata!", ADDRESS(INDEX($AI$2:$AI$1001,MATCH(ROWS($AG$2:AG875),$AG$2:$AG$1001,0),0), INDEX($AN$1004:$BO$1004,1,MATCH(COLUMNS($AN$1006:AR1006),$AN$1006:$BO$1006,0)))),"Fix")))</f>
        <v>0</v>
      </c>
      <c r="G875" s="4">
        <f>IF(OR(INDEX($AH$2:$AH$1001,MATCH(ROWS($AG$2:AG875),$AG$2:$AG$1001,0),1)&gt;=100000,INDEX($AN$1005:$BO$1005,1,MATCH(COLUMNS($AN$1006:AS1006),$AN$1006:$BO$1006,0))&gt;=100000), " ",IF(INDEX($AN$2:$BO$1001,MATCH(ROWS($AG$2:AG875),$AG$2:$AG$1001,0),MATCH(COLUMNS($AN$1006:AS1006),$AN$1006:$BO$1006,0)), HYPERLINK("#",""), HYPERLINK(CONCATENATE("#Metadata!", ADDRESS(INDEX($AI$2:$AI$1001,MATCH(ROWS($AG$2:AG875),$AG$2:$AG$1001,0),0), INDEX($AN$1004:$BO$1004,1,MATCH(COLUMNS($AN$1006:AS1006),$AN$1006:$BO$1006,0)))),"Fix")))</f>
        <v>0</v>
      </c>
      <c r="H875" s="4">
        <f>IF(OR(INDEX($AH$2:$AH$1001,MATCH(ROWS($AG$2:AG875),$AG$2:$AG$1001,0),1)&gt;=100000,INDEX($AN$1005:$BO$1005,1,MATCH(COLUMNS($AN$1006:AT1006),$AN$1006:$BO$1006,0))&gt;=100000), " ",IF(INDEX($AN$2:$BO$1001,MATCH(ROWS($AG$2:AG875),$AG$2:$AG$1001,0),MATCH(COLUMNS($AN$1006:AT1006),$AN$1006:$BO$1006,0)), HYPERLINK("#",""), HYPERLINK(CONCATENATE("#Metadata!", ADDRESS(INDEX($AI$2:$AI$1001,MATCH(ROWS($AG$2:AG875),$AG$2:$AG$1001,0),0), INDEX($AN$1004:$BO$1004,1,MATCH(COLUMNS($AN$1006:AT1006),$AN$1006:$BO$1006,0)))),"Fix")))</f>
        <v>0</v>
      </c>
      <c r="I875" s="4">
        <f>IF(OR(INDEX($AH$2:$AH$1001,MATCH(ROWS($AG$2:AG875),$AG$2:$AG$1001,0),1)&gt;=100000,INDEX($AN$1005:$BO$1005,1,MATCH(COLUMNS($AN$1006:AU1006),$AN$1006:$BO$1006,0))&gt;=100000), " ",IF(INDEX($AN$2:$BO$1001,MATCH(ROWS($AG$2:AG875),$AG$2:$AG$1001,0),MATCH(COLUMNS($AN$1006:AU1006),$AN$1006:$BO$1006,0)), HYPERLINK("#",""), HYPERLINK(CONCATENATE("#Metadata!", ADDRESS(INDEX($AI$2:$AI$1001,MATCH(ROWS($AG$2:AG875),$AG$2:$AG$1001,0),0), INDEX($AN$1004:$BO$1004,1,MATCH(COLUMNS($AN$1006:AU1006),$AN$1006:$BO$1006,0)))),"Fix")))</f>
        <v>0</v>
      </c>
      <c r="J875" s="4">
        <f>IF(OR(INDEX($AH$2:$AH$1001,MATCH(ROWS($AG$2:AG875),$AG$2:$AG$1001,0),1)&gt;=100000,INDEX($AN$1005:$BO$1005,1,MATCH(COLUMNS($AN$1006:AV1006),$AN$1006:$BO$1006,0))&gt;=100000), " ",IF(INDEX($AN$2:$BO$1001,MATCH(ROWS($AG$2:AG875),$AG$2:$AG$1001,0),MATCH(COLUMNS($AN$1006:AV1006),$AN$1006:$BO$1006,0)), HYPERLINK("#",""), HYPERLINK(CONCATENATE("#Metadata!", ADDRESS(INDEX($AI$2:$AI$1001,MATCH(ROWS($AG$2:AG875),$AG$2:$AG$1001,0),0), INDEX($AN$1004:$BO$1004,1,MATCH(COLUMNS($AN$1006:AV1006),$AN$1006:$BO$1006,0)))),"Fix")))</f>
        <v>0</v>
      </c>
      <c r="K875" s="4">
        <f>IF(OR(INDEX($AH$2:$AH$1001,MATCH(ROWS($AG$2:AG875),$AG$2:$AG$1001,0),1)&gt;=100000,INDEX($AN$1005:$BO$1005,1,MATCH(COLUMNS($AN$1006:AW1006),$AN$1006:$BO$1006,0))&gt;=100000), " ",IF(INDEX($AN$2:$BO$1001,MATCH(ROWS($AG$2:AG875),$AG$2:$AG$1001,0),MATCH(COLUMNS($AN$1006:AW1006),$AN$1006:$BO$1006,0)), HYPERLINK("#",""), HYPERLINK(CONCATENATE("#Metadata!", ADDRESS(INDEX($AI$2:$AI$1001,MATCH(ROWS($AG$2:AG875),$AG$2:$AG$1001,0),0), INDEX($AN$1004:$BO$1004,1,MATCH(COLUMNS($AN$1006:AW1006),$AN$1006:$BO$1006,0)))),"Fix")))</f>
        <v>0</v>
      </c>
      <c r="L875" s="4">
        <f>IF(OR(INDEX($AH$2:$AH$1001,MATCH(ROWS($AG$2:AG875),$AG$2:$AG$1001,0),1)&gt;=100000,INDEX($AN$1005:$BO$1005,1,MATCH(COLUMNS($AN$1006:AX1006),$AN$1006:$BO$1006,0))&gt;=100000), " ",IF(INDEX($AN$2:$BO$1001,MATCH(ROWS($AG$2:AG875),$AG$2:$AG$1001,0),MATCH(COLUMNS($AN$1006:AX1006),$AN$1006:$BO$1006,0)), HYPERLINK("#",""), HYPERLINK(CONCATENATE("#Metadata!", ADDRESS(INDEX($AI$2:$AI$1001,MATCH(ROWS($AG$2:AG875),$AG$2:$AG$1001,0),0), INDEX($AN$1004:$BO$1004,1,MATCH(COLUMNS($AN$1006:AX1006),$AN$1006:$BO$1006,0)))),"Fix")))</f>
        <v>0</v>
      </c>
      <c r="M875" s="4">
        <f>IF(OR(INDEX($AH$2:$AH$1001,MATCH(ROWS($AG$2:AG875),$AG$2:$AG$1001,0),1)&gt;=100000,INDEX($AN$1005:$BO$1005,1,MATCH(COLUMNS($AN$1006:AY1006),$AN$1006:$BO$1006,0))&gt;=100000), " ",IF(INDEX($AN$2:$BO$1001,MATCH(ROWS($AG$2:AG875),$AG$2:$AG$1001,0),MATCH(COLUMNS($AN$1006:AY1006),$AN$1006:$BO$1006,0)), HYPERLINK("#",""), HYPERLINK(CONCATENATE("#Metadata!", ADDRESS(INDEX($AI$2:$AI$1001,MATCH(ROWS($AG$2:AG875),$AG$2:$AG$1001,0),0), INDEX($AN$1004:$BO$1004,1,MATCH(COLUMNS($AN$1006:AY1006),$AN$1006:$BO$1006,0)))),"Fix")))</f>
        <v>0</v>
      </c>
      <c r="N875" s="4">
        <f>IF(OR(INDEX($AH$2:$AH$1001,MATCH(ROWS($AG$2:AG875),$AG$2:$AG$1001,0),1)&gt;=100000,INDEX($AN$1005:$BO$1005,1,MATCH(COLUMNS($AN$1006:AZ1006),$AN$1006:$BO$1006,0))&gt;=100000), " ",IF(INDEX($AN$2:$BO$1001,MATCH(ROWS($AG$2:AG875),$AG$2:$AG$1001,0),MATCH(COLUMNS($AN$1006:AZ1006),$AN$1006:$BO$1006,0)), HYPERLINK("#",""), HYPERLINK(CONCATENATE("#Metadata!", ADDRESS(INDEX($AI$2:$AI$1001,MATCH(ROWS($AG$2:AG875),$AG$2:$AG$1001,0),0), INDEX($AN$1004:$BO$1004,1,MATCH(COLUMNS($AN$1006:AZ1006),$AN$1006:$BO$1006,0)))),"Fix")))</f>
        <v>0</v>
      </c>
      <c r="O875" s="4">
        <f>IF(OR(INDEX($AH$2:$AH$1001,MATCH(ROWS($AG$2:AG875),$AG$2:$AG$1001,0),1)&gt;=100000,INDEX($AN$1005:$BO$1005,1,MATCH(COLUMNS($AN$1006:BA1006),$AN$1006:$BO$1006,0))&gt;=100000), " ",IF(INDEX($AN$2:$BO$1001,MATCH(ROWS($AG$2:AG875),$AG$2:$AG$1001,0),MATCH(COLUMNS($AN$1006:BA1006),$AN$1006:$BO$1006,0)), HYPERLINK("#",""), HYPERLINK(CONCATENATE("#Metadata!", ADDRESS(INDEX($AI$2:$AI$1001,MATCH(ROWS($AG$2:AG875),$AG$2:$AG$1001,0),0), INDEX($AN$1004:$BO$1004,1,MATCH(COLUMNS($AN$1006:BA1006),$AN$1006:$BO$1006,0)))),"Fix")))</f>
        <v>0</v>
      </c>
      <c r="P875" s="4">
        <f>IF(OR(INDEX($AH$2:$AH$1001,MATCH(ROWS($AG$2:AG875),$AG$2:$AG$1001,0),1)&gt;=100000,INDEX($AN$1005:$BO$1005,1,MATCH(COLUMNS($AN$1006:BB1006),$AN$1006:$BO$1006,0))&gt;=100000), " ",IF(INDEX($AN$2:$BO$1001,MATCH(ROWS($AG$2:AG875),$AG$2:$AG$1001,0),MATCH(COLUMNS($AN$1006:BB1006),$AN$1006:$BO$1006,0)), HYPERLINK("#",""), HYPERLINK(CONCATENATE("#Metadata!", ADDRESS(INDEX($AI$2:$AI$1001,MATCH(ROWS($AG$2:AG875),$AG$2:$AG$1001,0),0), INDEX($AN$1004:$BO$1004,1,MATCH(COLUMNS($AN$1006:BB1006),$AN$1006:$BO$1006,0)))),"Fix")))</f>
        <v>0</v>
      </c>
      <c r="Q875" s="4">
        <f>IF(OR(INDEX($AH$2:$AH$1001,MATCH(ROWS($AG$2:AG875),$AG$2:$AG$1001,0),1)&gt;=100000,INDEX($AN$1005:$BO$1005,1,MATCH(COLUMNS($AN$1006:BC1006),$AN$1006:$BO$1006,0))&gt;=100000), " ",IF(INDEX($AN$2:$BO$1001,MATCH(ROWS($AG$2:AG875),$AG$2:$AG$1001,0),MATCH(COLUMNS($AN$1006:BC1006),$AN$1006:$BO$1006,0)), HYPERLINK("#",""), HYPERLINK(CONCATENATE("#Metadata!", ADDRESS(INDEX($AI$2:$AI$1001,MATCH(ROWS($AG$2:AG875),$AG$2:$AG$1001,0),0), INDEX($AN$1004:$BO$1004,1,MATCH(COLUMNS($AN$1006:BC1006),$AN$1006:$BO$1006,0)))),"Fix")))</f>
        <v>0</v>
      </c>
      <c r="R875" s="4">
        <f>IF(OR(INDEX($AH$2:$AH$1001,MATCH(ROWS($AG$2:AG875),$AG$2:$AG$1001,0),1)&gt;=100000,INDEX($AN$1005:$BO$1005,1,MATCH(COLUMNS($AN$1006:BD1006),$AN$1006:$BO$1006,0))&gt;=100000), " ",IF(INDEX($AN$2:$BO$1001,MATCH(ROWS($AG$2:AG875),$AG$2:$AG$1001,0),MATCH(COLUMNS($AN$1006:BD1006),$AN$1006:$BO$1006,0)), HYPERLINK("#",""), HYPERLINK(CONCATENATE("#Metadata!", ADDRESS(INDEX($AI$2:$AI$1001,MATCH(ROWS($AG$2:AG875),$AG$2:$AG$1001,0),0), INDEX($AN$1004:$BO$1004,1,MATCH(COLUMNS($AN$1006:BD1006),$AN$1006:$BO$1006,0)))),"Fix")))</f>
        <v>0</v>
      </c>
      <c r="S875" s="4">
        <f>IF(OR(INDEX($AH$2:$AH$1001,MATCH(ROWS($AG$2:AG875),$AG$2:$AG$1001,0),1)&gt;=100000,INDEX($AN$1005:$BO$1005,1,MATCH(COLUMNS($AN$1006:BE1006),$AN$1006:$BO$1006,0))&gt;=100000), " ",IF(INDEX($AN$2:$BO$1001,MATCH(ROWS($AG$2:AG875),$AG$2:$AG$1001,0),MATCH(COLUMNS($AN$1006:BE1006),$AN$1006:$BO$1006,0)), HYPERLINK("#",""), HYPERLINK(CONCATENATE("#Metadata!", ADDRESS(INDEX($AI$2:$AI$1001,MATCH(ROWS($AG$2:AG875),$AG$2:$AG$1001,0),0), INDEX($AN$1004:$BO$1004,1,MATCH(COLUMNS($AN$1006:BE1006),$AN$1006:$BO$1006,0)))),"Fix")))</f>
        <v>0</v>
      </c>
      <c r="T875" s="4">
        <f>IF(OR(INDEX($AH$2:$AH$1001,MATCH(ROWS($AG$2:AG875),$AG$2:$AG$1001,0),1)&gt;=100000,INDEX($AN$1005:$BO$1005,1,MATCH(COLUMNS($AN$1006:BF1006),$AN$1006:$BO$1006,0))&gt;=100000), " ",IF(INDEX($AN$2:$BO$1001,MATCH(ROWS($AG$2:AG875),$AG$2:$AG$1001,0),MATCH(COLUMNS($AN$1006:BF1006),$AN$1006:$BO$1006,0)), HYPERLINK("#",""), HYPERLINK(CONCATENATE("#Metadata!", ADDRESS(INDEX($AI$2:$AI$1001,MATCH(ROWS($AG$2:AG875),$AG$2:$AG$1001,0),0), INDEX($AN$1004:$BO$1004,1,MATCH(COLUMNS($AN$1006:BF1006),$AN$1006:$BO$1006,0)))),"Fix")))</f>
        <v>0</v>
      </c>
      <c r="U875" s="4">
        <f>IF(OR(INDEX($AH$2:$AH$1001,MATCH(ROWS($AG$2:AG875),$AG$2:$AG$1001,0),1)&gt;=100000,INDEX($AN$1005:$BO$1005,1,MATCH(COLUMNS($AN$1006:BG1006),$AN$1006:$BO$1006,0))&gt;=100000), " ",IF(INDEX($AN$2:$BO$1001,MATCH(ROWS($AG$2:AG875),$AG$2:$AG$1001,0),MATCH(COLUMNS($AN$1006:BG1006),$AN$1006:$BO$1006,0)), HYPERLINK("#",""), HYPERLINK(CONCATENATE("#Metadata!", ADDRESS(INDEX($AI$2:$AI$1001,MATCH(ROWS($AG$2:AG875),$AG$2:$AG$1001,0),0), INDEX($AN$1004:$BO$1004,1,MATCH(COLUMNS($AN$1006:BG1006),$AN$1006:$BO$1006,0)))),"Fix")))</f>
        <v>0</v>
      </c>
      <c r="V875" s="4">
        <f>IF(OR(INDEX($AH$2:$AH$1001,MATCH(ROWS($AG$2:AG875),$AG$2:$AG$1001,0),1)&gt;=100000,INDEX($AN$1005:$BO$1005,1,MATCH(COLUMNS($AN$1006:BH1006),$AN$1006:$BO$1006,0))&gt;=100000), " ",IF(INDEX($AN$2:$BO$1001,MATCH(ROWS($AG$2:AG875),$AG$2:$AG$1001,0),MATCH(COLUMNS($AN$1006:BH1006),$AN$1006:$BO$1006,0)), HYPERLINK("#",""), HYPERLINK(CONCATENATE("#Metadata!", ADDRESS(INDEX($AI$2:$AI$1001,MATCH(ROWS($AG$2:AG875),$AG$2:$AG$1001,0),0), INDEX($AN$1004:$BO$1004,1,MATCH(COLUMNS($AN$1006:BH1006),$AN$1006:$BO$1006,0)))),"Fix")))</f>
        <v>0</v>
      </c>
      <c r="W875" s="4">
        <f>IF(OR(INDEX($AH$2:$AH$1001,MATCH(ROWS($AG$2:AG875),$AG$2:$AG$1001,0),1)&gt;=100000,INDEX($AN$1005:$BO$1005,1,MATCH(COLUMNS($AN$1006:BI1006),$AN$1006:$BO$1006,0))&gt;=100000), " ",IF(INDEX($AN$2:$BO$1001,MATCH(ROWS($AG$2:AG875),$AG$2:$AG$1001,0),MATCH(COLUMNS($AN$1006:BI1006),$AN$1006:$BO$1006,0)), HYPERLINK("#",""), HYPERLINK(CONCATENATE("#Metadata!", ADDRESS(INDEX($AI$2:$AI$1001,MATCH(ROWS($AG$2:AG875),$AG$2:$AG$1001,0),0), INDEX($AN$1004:$BO$1004,1,MATCH(COLUMNS($AN$1006:BI1006),$AN$1006:$BO$1006,0)))),"Fix")))</f>
        <v>0</v>
      </c>
      <c r="X875" s="4">
        <f>IF(OR(INDEX($AH$2:$AH$1001,MATCH(ROWS($AG$2:AG875),$AG$2:$AG$1001,0),1)&gt;=100000,INDEX($AN$1005:$BO$1005,1,MATCH(COLUMNS($AN$1006:BJ1006),$AN$1006:$BO$1006,0))&gt;=100000), " ",IF(INDEX($AN$2:$BO$1001,MATCH(ROWS($AG$2:AG875),$AG$2:$AG$1001,0),MATCH(COLUMNS($AN$1006:BJ1006),$AN$1006:$BO$1006,0)), HYPERLINK("#",""), HYPERLINK(CONCATENATE("#Metadata!", ADDRESS(INDEX($AI$2:$AI$1001,MATCH(ROWS($AG$2:AG875),$AG$2:$AG$1001,0),0), INDEX($AN$1004:$BO$1004,1,MATCH(COLUMNS($AN$1006:BJ1006),$AN$1006:$BO$1006,0)))),"Fix")))</f>
        <v>0</v>
      </c>
      <c r="Y875" s="4">
        <f>IF(OR(INDEX($AH$2:$AH$1001,MATCH(ROWS($AG$2:AG875),$AG$2:$AG$1001,0),1)&gt;=100000,INDEX($AN$1005:$BO$1005,1,MATCH(COLUMNS($AN$1006:BK1006),$AN$1006:$BO$1006,0))&gt;=100000), " ",IF(INDEX($AN$2:$BO$1001,MATCH(ROWS($AG$2:AG875),$AG$2:$AG$1001,0),MATCH(COLUMNS($AN$1006:BK1006),$AN$1006:$BO$1006,0)), HYPERLINK("#",""), HYPERLINK(CONCATENATE("#Metadata!", ADDRESS(INDEX($AI$2:$AI$1001,MATCH(ROWS($AG$2:AG875),$AG$2:$AG$1001,0),0), INDEX($AN$1004:$BO$1004,1,MATCH(COLUMNS($AN$1006:BK1006),$AN$1006:$BO$1006,0)))),"Fix")))</f>
        <v>0</v>
      </c>
      <c r="Z875" s="4">
        <f>IF(OR(INDEX($AH$2:$AH$1001,MATCH(ROWS($AG$2:AG875),$AG$2:$AG$1001,0),1)&gt;=100000,INDEX($AN$1005:$BO$1005,1,MATCH(COLUMNS($AN$1006:BL1006),$AN$1006:$BO$1006,0))&gt;=100000), " ",IF(INDEX($AN$2:$BO$1001,MATCH(ROWS($AG$2:AG875),$AG$2:$AG$1001,0),MATCH(COLUMNS($AN$1006:BL1006),$AN$1006:$BO$1006,0)), HYPERLINK("#",""), HYPERLINK(CONCATENATE("#Metadata!", ADDRESS(INDEX($AI$2:$AI$1001,MATCH(ROWS($AG$2:AG875),$AG$2:$AG$1001,0),0), INDEX($AN$1004:$BO$1004,1,MATCH(COLUMNS($AN$1006:BL1006),$AN$1006:$BO$1006,0)))),"Fix")))</f>
        <v>0</v>
      </c>
      <c r="AA875" s="4">
        <f>IF(OR(INDEX($AH$2:$AH$1001,MATCH(ROWS($AG$2:AG875),$AG$2:$AG$1001,0),1)&gt;=100000,INDEX($AN$1005:$BO$1005,1,MATCH(COLUMNS($AN$1006:BM1006),$AN$1006:$BO$1006,0))&gt;=100000), " ",IF(INDEX($AN$2:$BO$1001,MATCH(ROWS($AG$2:AG875),$AG$2:$AG$1001,0),MATCH(COLUMNS($AN$1006:BM1006),$AN$1006:$BO$1006,0)), HYPERLINK("#",""), HYPERLINK(CONCATENATE("#Metadata!", ADDRESS(INDEX($AI$2:$AI$1001,MATCH(ROWS($AG$2:AG875),$AG$2:$AG$1001,0),0), INDEX($AN$1004:$BO$1004,1,MATCH(COLUMNS($AN$1006:BM1006),$AN$1006:$BO$1006,0)))),"Fix")))</f>
        <v>0</v>
      </c>
      <c r="AB875" s="4">
        <f>IF(OR(INDEX($AH$2:$AH$1001,MATCH(ROWS($AG$2:AG875),$AG$2:$AG$1001,0),1)&gt;=100000,INDEX($AN$1005:$BO$1005,1,MATCH(COLUMNS($AN$1006:BN1006),$AN$1006:$BO$1006,0))&gt;=100000), " ",IF(INDEX($AN$2:$BO$1001,MATCH(ROWS($AG$2:AG875),$AG$2:$AG$1001,0),MATCH(COLUMNS($AN$1006:BN1006),$AN$1006:$BO$1006,0)), HYPERLINK("#",""), HYPERLINK(CONCATENATE("#Metadata!", ADDRESS(INDEX($AI$2:$AI$1001,MATCH(ROWS($AG$2:AG875),$AG$2:$AG$1001,0),0), INDEX($AN$1004:$BO$1004,1,MATCH(COLUMNS($AN$1006:BN1006),$AN$1006:$BO$1006,0)))),"Fix")))</f>
        <v>0</v>
      </c>
      <c r="AC875" s="4">
        <f>IF(OR(INDEX($AH$2:$AH$1001,MATCH(ROWS($AG$2:AG875),$AG$2:$AG$1001,0),1)&gt;=100000,INDEX($AN$1005:$BO$1005,1,MATCH(COLUMNS($AN$1006:BO1006),$AN$1006:$BO$1006,0))&gt;=100000), " ",IF(INDEX($AN$2:$BO$1001,MATCH(ROWS($AG$2:AG875),$AG$2:$AG$1001,0),MATCH(COLUMNS($AN$1006:BO1006),$AN$1006:$BO$1006,0)), HYPERLINK("#",""), HYPERLINK(CONCATENATE("#Metadata!", ADDRESS(INDEX($AI$2:$AI$1001,MATCH(ROWS($AG$2:AG875),$AG$2:$AG$1001,0),0), INDEX($AN$1004:$BO$1004,1,MATCH(COLUMNS($AN$1006:BO1006),$AN$1006:$BO$1006,0)))),"Fix")))</f>
        <v>0</v>
      </c>
      <c r="AG875">
        <v>0</v>
      </c>
      <c r="AH875">
        <v>0</v>
      </c>
      <c r="AI875">
        <v>0</v>
      </c>
      <c r="AJ875">
        <f>IF(AK875,TRUE,AND(AN875:BO875))</f>
        <v>0</v>
      </c>
      <c r="AK875">
        <f>COUNTBLANK(Metadata!B875:AC875)=COLUMNS(Metadata!B875:AC875)</f>
        <v>0</v>
      </c>
      <c r="AL875">
        <v>0</v>
      </c>
      <c r="AN875">
        <f>AND(IF(Metadata!B875="",FALSE,TRUE),COUNTIF(Metadata!B:B, Metadata!B875) = 1,NOT(ISERROR(SUMPRODUCT(SEARCH(MID(Metadata!B875,ROW(INDIRECT("1:"&amp;LEN(Metadata!B875))), 1),"0123456789abcdefghijklmnopqrstuvwxyzABCDEFGHIJKLMNOPQRSTUVWXYZ.")))))</f>
        <v>0</v>
      </c>
      <c r="AO875">
        <f>IF(Metadata!C875="",FALSE,TRUE)</f>
        <v>0</v>
      </c>
      <c r="AP875">
        <f>IF(Metadata!D875="",FALSE,TRUE)</f>
        <v>0</v>
      </c>
      <c r="AQ875">
        <f>OR(AND(IF(Metadata!E875="",FALSE,TRUE),OR(exact(Metadata!E875,"not collected"),exact(Metadata!E875,"not provided"),exact(Metadata!E875,"restricted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R875">
        <f>IF(Metadata!F875="",FALSE,TRUE)</f>
        <v>0</v>
      </c>
      <c r="AS875">
        <f>OR(AND(IF(Metadata!G875="",FALSE,TRUE),OR(exact(Metadata!G875,"not collected"),exact(Metadata!G875,"not provided"))),AND(IF(Metadata!G875="",FALSE,TRUE),OR(exact(Metadata!G875,"TRUE"),exact(Metadata!G875,"FALSE"))))</f>
        <v>0</v>
      </c>
      <c r="AT875">
        <f>OR(AND(IF(Metadata!H875="",FALSE,TRUE),OR(exact(Metadata!H875,"not collected"),exact(Metadata!H875,"not provided"),exact(Metadata!H875,"restricted access"))),AND(IF(Metadata!H875="",FALSE,ISNUMBER(VALUE(Metadata!H875))),Metadata!H875&gt;=-413.0))</f>
        <v>0</v>
      </c>
      <c r="AU875">
        <f>AND(IF(Metadata!I875="",FALSE,TRUE),exact(Metadata!I875,"meters"))</f>
        <v>0</v>
      </c>
      <c r="AV875">
        <f>AND(IF(Metadata!J875="",FALSE,TRUE),OR(exact(Metadata!J875,"Host-associated"),exact(Metadata!J875,"Free-living")))</f>
        <v>0</v>
      </c>
      <c r="AW875">
        <f>AND(IF(Metadata!K875="",FALSE,TRUE),OR(exact(Metadata!K875,"Animal"),exact(Metadata!K875,"Fungus"),exact(Metadata!K875,"Plant"),exact(Metadata!K875,"Saline"),exact(Metadata!K875,"Non-saline")))</f>
        <v>0</v>
      </c>
      <c r="AX875">
        <f>AND(IF(Metadata!L875="",FALSE,TRUE),OR(exact(Metadata!L875,"Plant secretion"),exact(Metadata!L875,"Plant rhizosphere"),exact(Metadata!L875,"Plant surface"),exact(Metadata!L875,"Plant corpus"),exact(Metadata!L875,"Fungus surface"),exact(Metadata!L875,"Fungus corpus"),exact(Metadata!L875,"Animal surface"),exact(Metadata!L875,"Animal proximal gut"),exact(Metadata!L875,"Animal corpus"),exact(Metadata!L875,"Animal distal gut"),exact(Metadata!L875,"Animal secretion"),exact(Metadata!L875,"Sub-surface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Y875">
        <f>IF(Metadata!M875="",FALSE,TRUE)</f>
        <v>0</v>
      </c>
      <c r="AZ875">
        <f>IF(Metadata!N875="",FALSE,TRUE)</f>
        <v>0</v>
      </c>
      <c r="BA875">
        <f>IF(Metadata!O875="",FALSE,TRUE)</f>
        <v>0</v>
      </c>
      <c r="BB875">
        <f>OR(AND(IF(Metadata!P875="",FALSE,TRUE),OR(exact(Metadata!P875,"not collected"),exact(Metadata!P875,"not provided"),exact(Metadata!P875,"restricted access"))),AND(IF(Metadata!P875="",FALSE,TRUE),OR(exact(Metadata!P875,"air"),exact(Metadata!P875,"built environment"),exact(Metadata!P875,"host-associated"),exact(Metadata!P875,"human-associated"),exact(Metadata!P875,"human-skin"),exact(Metadata!P875,"human-oral"),exact(Metadata!P875,"human-gut"),exact(Metadata!P875,"human-vaginal"),exact(Metadata!P875,"microbial mat/biofilm"),exact(Metadata!P875,"misc environment"),exact(Metadata!P875,"plant-associated"),exact(Metadata!P875,"sediment"),exact(Metadata!P875,"soil"),exact(Metadata!P875,"wastewater/sludge"),exact(Metadata!P875,"water"))))</f>
        <v>0</v>
      </c>
      <c r="BC875">
        <f>IF(Metadata!Q875="",FALSE,TRUE)</f>
        <v>0</v>
      </c>
      <c r="BD875">
        <f>IF(Metadata!R875="",FALSE,TRUE)</f>
        <v>0</v>
      </c>
      <c r="BE875">
        <f>OR(AND(IF(Metadata!S875="",FALSE,TRUE),OR(exact(Metadata!S875,"not collected"),exact(Metadata!S875,"not provided"),exact(Metadata!S875,"restricted access"))),AND(IF(Metadata!S875="",FALSE,ISNUMBER(VALUE(Metadata!S875))),Metadata!S875&gt;=-90.00,Metadata!S875&lt;=90.00))</f>
        <v>0</v>
      </c>
      <c r="BF875">
        <f>AND(IF(Metadata!T875="",FALSE,TRUE),exact(Metadata!T875,"Decimal degrees"))</f>
        <v>0</v>
      </c>
      <c r="BG875">
        <f>OR(AND(IF(Metadata!U875="",FALSE,TRUE),OR(exact(Metadata!U875,"not collected"),exact(Metadata!U875,"not provided"),exact(Metadata!U875,"restricted access"))),AND(IF(Metadata!U875="",FALSE,ISNUMBER(VALUE(Metadata!U875))),Metadata!U875&gt;=-180.00,Metadata!U875&lt;=180.00))</f>
        <v>0</v>
      </c>
      <c r="BH875">
        <f>AND(IF(Metadata!V875="",FALSE,TRUE),exact(Metadata!V875,"Decimal degrees"))</f>
        <v>0</v>
      </c>
      <c r="BI875">
        <f>IF(Metadata!W875="",FALSE,TRUE)</f>
        <v>0</v>
      </c>
      <c r="BJ875">
        <f>OR(AND(IF(Metadata!X875="",FALSE,TRUE),OR(exact(Metadata!X875,"not collected"),exact(Metadata!X875,"not provided"),exact(Metadata!X875,"restricted access"))),AND(IF(Metadata!X875="",FALSE,TRUE),OR(exact(Metadata!X875,"TRUE"),exact(Metadata!X875,"FALSE"))))</f>
        <v>0</v>
      </c>
      <c r="BK875">
        <f>AND(IF(Metadata!Y875="",FALSE,TRUE),exact(Metadata!Y875,"other"))</f>
        <v>0</v>
      </c>
      <c r="BL875">
        <f>IF(Metadata!Z875="",FALSE,TRUE)</f>
        <v>0</v>
      </c>
      <c r="BM875">
        <f>OR(AND(IF(Metadata!AA875="",FALSE,TRUE),OR(exact(Metadata!AA875,"not collected"),exact(Metadata!AA875,"not provided"))),AND(IF(Metadata!AA875="",FALSE,IF(ISERROR(INT(Metadata!AA875)),FALSE,INT(Metadata!AA875)=Metadata!AA875)),Metadata!AA875&gt;0))</f>
        <v>0</v>
      </c>
      <c r="BN875">
        <f>AND(IF(Metadata!AB875="",FALSE,TRUE),exact(Metadata!AB875,"Not applicable"))</f>
        <v>0</v>
      </c>
      <c r="BO875">
        <f>IF(Metadata!AC875="",FALSE,TRUE)</f>
        <v>0</v>
      </c>
    </row>
    <row r="876" spans="1:67">
      <c r="A876" s="5">
        <f>IF(B876=" "," ",HYPERLINK(CONCATENATE("#metadata!",ADDRESS(INDEX($AI$2:$AI$1001,MATCH(ROWS($AG$2:AG876),$AG$2:$AG$1001,0),0),1)),INDEX($AL$2:$AL$1001,MATCH(ROWS($AG$2:AG876),$AG$2:$AG$1001,0),0)))</f>
        <v>0</v>
      </c>
      <c r="B876" s="4">
        <f>IF(OR(INDEX($AH$2:$AH$1001,MATCH(ROWS($AG$2:AG876),$AG$2:$AG$1001,0),1)&gt;=100000,INDEX($AN$1005:$BO$1005,1,MATCH(COLUMNS($AN$1006:AN1006),$AN$1006:$BO$1006,0))&gt;=100000), " ",IF(INDEX($AN$2:$BO$1001,MATCH(ROWS($AG$2:AG876),$AG$2:$AG$1001,0),MATCH(COLUMNS($AN$1006:AN1006),$AN$1006:$BO$1006,0)), HYPERLINK("#",""), HYPERLINK(CONCATENATE("#Metadata!", ADDRESS(INDEX($AI$2:$AI$1001,MATCH(ROWS($AG$2:AG876),$AG$2:$AG$1001,0),0), INDEX($AN$1004:$BO$1004,1,MATCH(COLUMNS($AN$1006:AN1006),$AN$1006:$BO$1006,0)))),"Fix")))</f>
        <v>0</v>
      </c>
      <c r="C876" s="4">
        <f>IF(OR(INDEX($AH$2:$AH$1001,MATCH(ROWS($AG$2:AG876),$AG$2:$AG$1001,0),1)&gt;=100000,INDEX($AN$1005:$BO$1005,1,MATCH(COLUMNS($AN$1006:AO1006),$AN$1006:$BO$1006,0))&gt;=100000), " ",IF(INDEX($AN$2:$BO$1001,MATCH(ROWS($AG$2:AG876),$AG$2:$AG$1001,0),MATCH(COLUMNS($AN$1006:AO1006),$AN$1006:$BO$1006,0)), HYPERLINK("#",""), HYPERLINK(CONCATENATE("#Metadata!", ADDRESS(INDEX($AI$2:$AI$1001,MATCH(ROWS($AG$2:AG876),$AG$2:$AG$1001,0),0), INDEX($AN$1004:$BO$1004,1,MATCH(COLUMNS($AN$1006:AO1006),$AN$1006:$BO$1006,0)))),"Fix")))</f>
        <v>0</v>
      </c>
      <c r="D876" s="4">
        <f>IF(OR(INDEX($AH$2:$AH$1001,MATCH(ROWS($AG$2:AG876),$AG$2:$AG$1001,0),1)&gt;=100000,INDEX($AN$1005:$BO$1005,1,MATCH(COLUMNS($AN$1006:AP1006),$AN$1006:$BO$1006,0))&gt;=100000), " ",IF(INDEX($AN$2:$BO$1001,MATCH(ROWS($AG$2:AG876),$AG$2:$AG$1001,0),MATCH(COLUMNS($AN$1006:AP1006),$AN$1006:$BO$1006,0)), HYPERLINK("#",""), HYPERLINK(CONCATENATE("#Metadata!", ADDRESS(INDEX($AI$2:$AI$1001,MATCH(ROWS($AG$2:AG876),$AG$2:$AG$1001,0),0), INDEX($AN$1004:$BO$1004,1,MATCH(COLUMNS($AN$1006:AP1006),$AN$1006:$BO$1006,0)))),"Fix")))</f>
        <v>0</v>
      </c>
      <c r="E876" s="4">
        <f>IF(OR(INDEX($AH$2:$AH$1001,MATCH(ROWS($AG$2:AG876),$AG$2:$AG$1001,0),1)&gt;=100000,INDEX($AN$1005:$BO$1005,1,MATCH(COLUMNS($AN$1006:AQ1006),$AN$1006:$BO$1006,0))&gt;=100000), " ",IF(INDEX($AN$2:$BO$1001,MATCH(ROWS($AG$2:AG876),$AG$2:$AG$1001,0),MATCH(COLUMNS($AN$1006:AQ1006),$AN$1006:$BO$1006,0)), HYPERLINK("#",""), HYPERLINK(CONCATENATE("#Metadata!", ADDRESS(INDEX($AI$2:$AI$1001,MATCH(ROWS($AG$2:AG876),$AG$2:$AG$1001,0),0), INDEX($AN$1004:$BO$1004,1,MATCH(COLUMNS($AN$1006:AQ1006),$AN$1006:$BO$1006,0)))),"Fix")))</f>
        <v>0</v>
      </c>
      <c r="F876" s="4">
        <f>IF(OR(INDEX($AH$2:$AH$1001,MATCH(ROWS($AG$2:AG876),$AG$2:$AG$1001,0),1)&gt;=100000,INDEX($AN$1005:$BO$1005,1,MATCH(COLUMNS($AN$1006:AR1006),$AN$1006:$BO$1006,0))&gt;=100000), " ",IF(INDEX($AN$2:$BO$1001,MATCH(ROWS($AG$2:AG876),$AG$2:$AG$1001,0),MATCH(COLUMNS($AN$1006:AR1006),$AN$1006:$BO$1006,0)), HYPERLINK("#",""), HYPERLINK(CONCATENATE("#Metadata!", ADDRESS(INDEX($AI$2:$AI$1001,MATCH(ROWS($AG$2:AG876),$AG$2:$AG$1001,0),0), INDEX($AN$1004:$BO$1004,1,MATCH(COLUMNS($AN$1006:AR1006),$AN$1006:$BO$1006,0)))),"Fix")))</f>
        <v>0</v>
      </c>
      <c r="G876" s="4">
        <f>IF(OR(INDEX($AH$2:$AH$1001,MATCH(ROWS($AG$2:AG876),$AG$2:$AG$1001,0),1)&gt;=100000,INDEX($AN$1005:$BO$1005,1,MATCH(COLUMNS($AN$1006:AS1006),$AN$1006:$BO$1006,0))&gt;=100000), " ",IF(INDEX($AN$2:$BO$1001,MATCH(ROWS($AG$2:AG876),$AG$2:$AG$1001,0),MATCH(COLUMNS($AN$1006:AS1006),$AN$1006:$BO$1006,0)), HYPERLINK("#",""), HYPERLINK(CONCATENATE("#Metadata!", ADDRESS(INDEX($AI$2:$AI$1001,MATCH(ROWS($AG$2:AG876),$AG$2:$AG$1001,0),0), INDEX($AN$1004:$BO$1004,1,MATCH(COLUMNS($AN$1006:AS1006),$AN$1006:$BO$1006,0)))),"Fix")))</f>
        <v>0</v>
      </c>
      <c r="H876" s="4">
        <f>IF(OR(INDEX($AH$2:$AH$1001,MATCH(ROWS($AG$2:AG876),$AG$2:$AG$1001,0),1)&gt;=100000,INDEX($AN$1005:$BO$1005,1,MATCH(COLUMNS($AN$1006:AT1006),$AN$1006:$BO$1006,0))&gt;=100000), " ",IF(INDEX($AN$2:$BO$1001,MATCH(ROWS($AG$2:AG876),$AG$2:$AG$1001,0),MATCH(COLUMNS($AN$1006:AT1006),$AN$1006:$BO$1006,0)), HYPERLINK("#",""), HYPERLINK(CONCATENATE("#Metadata!", ADDRESS(INDEX($AI$2:$AI$1001,MATCH(ROWS($AG$2:AG876),$AG$2:$AG$1001,0),0), INDEX($AN$1004:$BO$1004,1,MATCH(COLUMNS($AN$1006:AT1006),$AN$1006:$BO$1006,0)))),"Fix")))</f>
        <v>0</v>
      </c>
      <c r="I876" s="4">
        <f>IF(OR(INDEX($AH$2:$AH$1001,MATCH(ROWS($AG$2:AG876),$AG$2:$AG$1001,0),1)&gt;=100000,INDEX($AN$1005:$BO$1005,1,MATCH(COLUMNS($AN$1006:AU1006),$AN$1006:$BO$1006,0))&gt;=100000), " ",IF(INDEX($AN$2:$BO$1001,MATCH(ROWS($AG$2:AG876),$AG$2:$AG$1001,0),MATCH(COLUMNS($AN$1006:AU1006),$AN$1006:$BO$1006,0)), HYPERLINK("#",""), HYPERLINK(CONCATENATE("#Metadata!", ADDRESS(INDEX($AI$2:$AI$1001,MATCH(ROWS($AG$2:AG876),$AG$2:$AG$1001,0),0), INDEX($AN$1004:$BO$1004,1,MATCH(COLUMNS($AN$1006:AU1006),$AN$1006:$BO$1006,0)))),"Fix")))</f>
        <v>0</v>
      </c>
      <c r="J876" s="4">
        <f>IF(OR(INDEX($AH$2:$AH$1001,MATCH(ROWS($AG$2:AG876),$AG$2:$AG$1001,0),1)&gt;=100000,INDEX($AN$1005:$BO$1005,1,MATCH(COLUMNS($AN$1006:AV1006),$AN$1006:$BO$1006,0))&gt;=100000), " ",IF(INDEX($AN$2:$BO$1001,MATCH(ROWS($AG$2:AG876),$AG$2:$AG$1001,0),MATCH(COLUMNS($AN$1006:AV1006),$AN$1006:$BO$1006,0)), HYPERLINK("#",""), HYPERLINK(CONCATENATE("#Metadata!", ADDRESS(INDEX($AI$2:$AI$1001,MATCH(ROWS($AG$2:AG876),$AG$2:$AG$1001,0),0), INDEX($AN$1004:$BO$1004,1,MATCH(COLUMNS($AN$1006:AV1006),$AN$1006:$BO$1006,0)))),"Fix")))</f>
        <v>0</v>
      </c>
      <c r="K876" s="4">
        <f>IF(OR(INDEX($AH$2:$AH$1001,MATCH(ROWS($AG$2:AG876),$AG$2:$AG$1001,0),1)&gt;=100000,INDEX($AN$1005:$BO$1005,1,MATCH(COLUMNS($AN$1006:AW1006),$AN$1006:$BO$1006,0))&gt;=100000), " ",IF(INDEX($AN$2:$BO$1001,MATCH(ROWS($AG$2:AG876),$AG$2:$AG$1001,0),MATCH(COLUMNS($AN$1006:AW1006),$AN$1006:$BO$1006,0)), HYPERLINK("#",""), HYPERLINK(CONCATENATE("#Metadata!", ADDRESS(INDEX($AI$2:$AI$1001,MATCH(ROWS($AG$2:AG876),$AG$2:$AG$1001,0),0), INDEX($AN$1004:$BO$1004,1,MATCH(COLUMNS($AN$1006:AW1006),$AN$1006:$BO$1006,0)))),"Fix")))</f>
        <v>0</v>
      </c>
      <c r="L876" s="4">
        <f>IF(OR(INDEX($AH$2:$AH$1001,MATCH(ROWS($AG$2:AG876),$AG$2:$AG$1001,0),1)&gt;=100000,INDEX($AN$1005:$BO$1005,1,MATCH(COLUMNS($AN$1006:AX1006),$AN$1006:$BO$1006,0))&gt;=100000), " ",IF(INDEX($AN$2:$BO$1001,MATCH(ROWS($AG$2:AG876),$AG$2:$AG$1001,0),MATCH(COLUMNS($AN$1006:AX1006),$AN$1006:$BO$1006,0)), HYPERLINK("#",""), HYPERLINK(CONCATENATE("#Metadata!", ADDRESS(INDEX($AI$2:$AI$1001,MATCH(ROWS($AG$2:AG876),$AG$2:$AG$1001,0),0), INDEX($AN$1004:$BO$1004,1,MATCH(COLUMNS($AN$1006:AX1006),$AN$1006:$BO$1006,0)))),"Fix")))</f>
        <v>0</v>
      </c>
      <c r="M876" s="4">
        <f>IF(OR(INDEX($AH$2:$AH$1001,MATCH(ROWS($AG$2:AG876),$AG$2:$AG$1001,0),1)&gt;=100000,INDEX($AN$1005:$BO$1005,1,MATCH(COLUMNS($AN$1006:AY1006),$AN$1006:$BO$1006,0))&gt;=100000), " ",IF(INDEX($AN$2:$BO$1001,MATCH(ROWS($AG$2:AG876),$AG$2:$AG$1001,0),MATCH(COLUMNS($AN$1006:AY1006),$AN$1006:$BO$1006,0)), HYPERLINK("#",""), HYPERLINK(CONCATENATE("#Metadata!", ADDRESS(INDEX($AI$2:$AI$1001,MATCH(ROWS($AG$2:AG876),$AG$2:$AG$1001,0),0), INDEX($AN$1004:$BO$1004,1,MATCH(COLUMNS($AN$1006:AY1006),$AN$1006:$BO$1006,0)))),"Fix")))</f>
        <v>0</v>
      </c>
      <c r="N876" s="4">
        <f>IF(OR(INDEX($AH$2:$AH$1001,MATCH(ROWS($AG$2:AG876),$AG$2:$AG$1001,0),1)&gt;=100000,INDEX($AN$1005:$BO$1005,1,MATCH(COLUMNS($AN$1006:AZ1006),$AN$1006:$BO$1006,0))&gt;=100000), " ",IF(INDEX($AN$2:$BO$1001,MATCH(ROWS($AG$2:AG876),$AG$2:$AG$1001,0),MATCH(COLUMNS($AN$1006:AZ1006),$AN$1006:$BO$1006,0)), HYPERLINK("#",""), HYPERLINK(CONCATENATE("#Metadata!", ADDRESS(INDEX($AI$2:$AI$1001,MATCH(ROWS($AG$2:AG876),$AG$2:$AG$1001,0),0), INDEX($AN$1004:$BO$1004,1,MATCH(COLUMNS($AN$1006:AZ1006),$AN$1006:$BO$1006,0)))),"Fix")))</f>
        <v>0</v>
      </c>
      <c r="O876" s="4">
        <f>IF(OR(INDEX($AH$2:$AH$1001,MATCH(ROWS($AG$2:AG876),$AG$2:$AG$1001,0),1)&gt;=100000,INDEX($AN$1005:$BO$1005,1,MATCH(COLUMNS($AN$1006:BA1006),$AN$1006:$BO$1006,0))&gt;=100000), " ",IF(INDEX($AN$2:$BO$1001,MATCH(ROWS($AG$2:AG876),$AG$2:$AG$1001,0),MATCH(COLUMNS($AN$1006:BA1006),$AN$1006:$BO$1006,0)), HYPERLINK("#",""), HYPERLINK(CONCATENATE("#Metadata!", ADDRESS(INDEX($AI$2:$AI$1001,MATCH(ROWS($AG$2:AG876),$AG$2:$AG$1001,0),0), INDEX($AN$1004:$BO$1004,1,MATCH(COLUMNS($AN$1006:BA1006),$AN$1006:$BO$1006,0)))),"Fix")))</f>
        <v>0</v>
      </c>
      <c r="P876" s="4">
        <f>IF(OR(INDEX($AH$2:$AH$1001,MATCH(ROWS($AG$2:AG876),$AG$2:$AG$1001,0),1)&gt;=100000,INDEX($AN$1005:$BO$1005,1,MATCH(COLUMNS($AN$1006:BB1006),$AN$1006:$BO$1006,0))&gt;=100000), " ",IF(INDEX($AN$2:$BO$1001,MATCH(ROWS($AG$2:AG876),$AG$2:$AG$1001,0),MATCH(COLUMNS($AN$1006:BB1006),$AN$1006:$BO$1006,0)), HYPERLINK("#",""), HYPERLINK(CONCATENATE("#Metadata!", ADDRESS(INDEX($AI$2:$AI$1001,MATCH(ROWS($AG$2:AG876),$AG$2:$AG$1001,0),0), INDEX($AN$1004:$BO$1004,1,MATCH(COLUMNS($AN$1006:BB1006),$AN$1006:$BO$1006,0)))),"Fix")))</f>
        <v>0</v>
      </c>
      <c r="Q876" s="4">
        <f>IF(OR(INDEX($AH$2:$AH$1001,MATCH(ROWS($AG$2:AG876),$AG$2:$AG$1001,0),1)&gt;=100000,INDEX($AN$1005:$BO$1005,1,MATCH(COLUMNS($AN$1006:BC1006),$AN$1006:$BO$1006,0))&gt;=100000), " ",IF(INDEX($AN$2:$BO$1001,MATCH(ROWS($AG$2:AG876),$AG$2:$AG$1001,0),MATCH(COLUMNS($AN$1006:BC1006),$AN$1006:$BO$1006,0)), HYPERLINK("#",""), HYPERLINK(CONCATENATE("#Metadata!", ADDRESS(INDEX($AI$2:$AI$1001,MATCH(ROWS($AG$2:AG876),$AG$2:$AG$1001,0),0), INDEX($AN$1004:$BO$1004,1,MATCH(COLUMNS($AN$1006:BC1006),$AN$1006:$BO$1006,0)))),"Fix")))</f>
        <v>0</v>
      </c>
      <c r="R876" s="4">
        <f>IF(OR(INDEX($AH$2:$AH$1001,MATCH(ROWS($AG$2:AG876),$AG$2:$AG$1001,0),1)&gt;=100000,INDEX($AN$1005:$BO$1005,1,MATCH(COLUMNS($AN$1006:BD1006),$AN$1006:$BO$1006,0))&gt;=100000), " ",IF(INDEX($AN$2:$BO$1001,MATCH(ROWS($AG$2:AG876),$AG$2:$AG$1001,0),MATCH(COLUMNS($AN$1006:BD1006),$AN$1006:$BO$1006,0)), HYPERLINK("#",""), HYPERLINK(CONCATENATE("#Metadata!", ADDRESS(INDEX($AI$2:$AI$1001,MATCH(ROWS($AG$2:AG876),$AG$2:$AG$1001,0),0), INDEX($AN$1004:$BO$1004,1,MATCH(COLUMNS($AN$1006:BD1006),$AN$1006:$BO$1006,0)))),"Fix")))</f>
        <v>0</v>
      </c>
      <c r="S876" s="4">
        <f>IF(OR(INDEX($AH$2:$AH$1001,MATCH(ROWS($AG$2:AG876),$AG$2:$AG$1001,0),1)&gt;=100000,INDEX($AN$1005:$BO$1005,1,MATCH(COLUMNS($AN$1006:BE1006),$AN$1006:$BO$1006,0))&gt;=100000), " ",IF(INDEX($AN$2:$BO$1001,MATCH(ROWS($AG$2:AG876),$AG$2:$AG$1001,0),MATCH(COLUMNS($AN$1006:BE1006),$AN$1006:$BO$1006,0)), HYPERLINK("#",""), HYPERLINK(CONCATENATE("#Metadata!", ADDRESS(INDEX($AI$2:$AI$1001,MATCH(ROWS($AG$2:AG876),$AG$2:$AG$1001,0),0), INDEX($AN$1004:$BO$1004,1,MATCH(COLUMNS($AN$1006:BE1006),$AN$1006:$BO$1006,0)))),"Fix")))</f>
        <v>0</v>
      </c>
      <c r="T876" s="4">
        <f>IF(OR(INDEX($AH$2:$AH$1001,MATCH(ROWS($AG$2:AG876),$AG$2:$AG$1001,0),1)&gt;=100000,INDEX($AN$1005:$BO$1005,1,MATCH(COLUMNS($AN$1006:BF1006),$AN$1006:$BO$1006,0))&gt;=100000), " ",IF(INDEX($AN$2:$BO$1001,MATCH(ROWS($AG$2:AG876),$AG$2:$AG$1001,0),MATCH(COLUMNS($AN$1006:BF1006),$AN$1006:$BO$1006,0)), HYPERLINK("#",""), HYPERLINK(CONCATENATE("#Metadata!", ADDRESS(INDEX($AI$2:$AI$1001,MATCH(ROWS($AG$2:AG876),$AG$2:$AG$1001,0),0), INDEX($AN$1004:$BO$1004,1,MATCH(COLUMNS($AN$1006:BF1006),$AN$1006:$BO$1006,0)))),"Fix")))</f>
        <v>0</v>
      </c>
      <c r="U876" s="4">
        <f>IF(OR(INDEX($AH$2:$AH$1001,MATCH(ROWS($AG$2:AG876),$AG$2:$AG$1001,0),1)&gt;=100000,INDEX($AN$1005:$BO$1005,1,MATCH(COLUMNS($AN$1006:BG1006),$AN$1006:$BO$1006,0))&gt;=100000), " ",IF(INDEX($AN$2:$BO$1001,MATCH(ROWS($AG$2:AG876),$AG$2:$AG$1001,0),MATCH(COLUMNS($AN$1006:BG1006),$AN$1006:$BO$1006,0)), HYPERLINK("#",""), HYPERLINK(CONCATENATE("#Metadata!", ADDRESS(INDEX($AI$2:$AI$1001,MATCH(ROWS($AG$2:AG876),$AG$2:$AG$1001,0),0), INDEX($AN$1004:$BO$1004,1,MATCH(COLUMNS($AN$1006:BG1006),$AN$1006:$BO$1006,0)))),"Fix")))</f>
        <v>0</v>
      </c>
      <c r="V876" s="4">
        <f>IF(OR(INDEX($AH$2:$AH$1001,MATCH(ROWS($AG$2:AG876),$AG$2:$AG$1001,0),1)&gt;=100000,INDEX($AN$1005:$BO$1005,1,MATCH(COLUMNS($AN$1006:BH1006),$AN$1006:$BO$1006,0))&gt;=100000), " ",IF(INDEX($AN$2:$BO$1001,MATCH(ROWS($AG$2:AG876),$AG$2:$AG$1001,0),MATCH(COLUMNS($AN$1006:BH1006),$AN$1006:$BO$1006,0)), HYPERLINK("#",""), HYPERLINK(CONCATENATE("#Metadata!", ADDRESS(INDEX($AI$2:$AI$1001,MATCH(ROWS($AG$2:AG876),$AG$2:$AG$1001,0),0), INDEX($AN$1004:$BO$1004,1,MATCH(COLUMNS($AN$1006:BH1006),$AN$1006:$BO$1006,0)))),"Fix")))</f>
        <v>0</v>
      </c>
      <c r="W876" s="4">
        <f>IF(OR(INDEX($AH$2:$AH$1001,MATCH(ROWS($AG$2:AG876),$AG$2:$AG$1001,0),1)&gt;=100000,INDEX($AN$1005:$BO$1005,1,MATCH(COLUMNS($AN$1006:BI1006),$AN$1006:$BO$1006,0))&gt;=100000), " ",IF(INDEX($AN$2:$BO$1001,MATCH(ROWS($AG$2:AG876),$AG$2:$AG$1001,0),MATCH(COLUMNS($AN$1006:BI1006),$AN$1006:$BO$1006,0)), HYPERLINK("#",""), HYPERLINK(CONCATENATE("#Metadata!", ADDRESS(INDEX($AI$2:$AI$1001,MATCH(ROWS($AG$2:AG876),$AG$2:$AG$1001,0),0), INDEX($AN$1004:$BO$1004,1,MATCH(COLUMNS($AN$1006:BI1006),$AN$1006:$BO$1006,0)))),"Fix")))</f>
        <v>0</v>
      </c>
      <c r="X876" s="4">
        <f>IF(OR(INDEX($AH$2:$AH$1001,MATCH(ROWS($AG$2:AG876),$AG$2:$AG$1001,0),1)&gt;=100000,INDEX($AN$1005:$BO$1005,1,MATCH(COLUMNS($AN$1006:BJ1006),$AN$1006:$BO$1006,0))&gt;=100000), " ",IF(INDEX($AN$2:$BO$1001,MATCH(ROWS($AG$2:AG876),$AG$2:$AG$1001,0),MATCH(COLUMNS($AN$1006:BJ1006),$AN$1006:$BO$1006,0)), HYPERLINK("#",""), HYPERLINK(CONCATENATE("#Metadata!", ADDRESS(INDEX($AI$2:$AI$1001,MATCH(ROWS($AG$2:AG876),$AG$2:$AG$1001,0),0), INDEX($AN$1004:$BO$1004,1,MATCH(COLUMNS($AN$1006:BJ1006),$AN$1006:$BO$1006,0)))),"Fix")))</f>
        <v>0</v>
      </c>
      <c r="Y876" s="4">
        <f>IF(OR(INDEX($AH$2:$AH$1001,MATCH(ROWS($AG$2:AG876),$AG$2:$AG$1001,0),1)&gt;=100000,INDEX($AN$1005:$BO$1005,1,MATCH(COLUMNS($AN$1006:BK1006),$AN$1006:$BO$1006,0))&gt;=100000), " ",IF(INDEX($AN$2:$BO$1001,MATCH(ROWS($AG$2:AG876),$AG$2:$AG$1001,0),MATCH(COLUMNS($AN$1006:BK1006),$AN$1006:$BO$1006,0)), HYPERLINK("#",""), HYPERLINK(CONCATENATE("#Metadata!", ADDRESS(INDEX($AI$2:$AI$1001,MATCH(ROWS($AG$2:AG876),$AG$2:$AG$1001,0),0), INDEX($AN$1004:$BO$1004,1,MATCH(COLUMNS($AN$1006:BK1006),$AN$1006:$BO$1006,0)))),"Fix")))</f>
        <v>0</v>
      </c>
      <c r="Z876" s="4">
        <f>IF(OR(INDEX($AH$2:$AH$1001,MATCH(ROWS($AG$2:AG876),$AG$2:$AG$1001,0),1)&gt;=100000,INDEX($AN$1005:$BO$1005,1,MATCH(COLUMNS($AN$1006:BL1006),$AN$1006:$BO$1006,0))&gt;=100000), " ",IF(INDEX($AN$2:$BO$1001,MATCH(ROWS($AG$2:AG876),$AG$2:$AG$1001,0),MATCH(COLUMNS($AN$1006:BL1006),$AN$1006:$BO$1006,0)), HYPERLINK("#",""), HYPERLINK(CONCATENATE("#Metadata!", ADDRESS(INDEX($AI$2:$AI$1001,MATCH(ROWS($AG$2:AG876),$AG$2:$AG$1001,0),0), INDEX($AN$1004:$BO$1004,1,MATCH(COLUMNS($AN$1006:BL1006),$AN$1006:$BO$1006,0)))),"Fix")))</f>
        <v>0</v>
      </c>
      <c r="AA876" s="4">
        <f>IF(OR(INDEX($AH$2:$AH$1001,MATCH(ROWS($AG$2:AG876),$AG$2:$AG$1001,0),1)&gt;=100000,INDEX($AN$1005:$BO$1005,1,MATCH(COLUMNS($AN$1006:BM1006),$AN$1006:$BO$1006,0))&gt;=100000), " ",IF(INDEX($AN$2:$BO$1001,MATCH(ROWS($AG$2:AG876),$AG$2:$AG$1001,0),MATCH(COLUMNS($AN$1006:BM1006),$AN$1006:$BO$1006,0)), HYPERLINK("#",""), HYPERLINK(CONCATENATE("#Metadata!", ADDRESS(INDEX($AI$2:$AI$1001,MATCH(ROWS($AG$2:AG876),$AG$2:$AG$1001,0),0), INDEX($AN$1004:$BO$1004,1,MATCH(COLUMNS($AN$1006:BM1006),$AN$1006:$BO$1006,0)))),"Fix")))</f>
        <v>0</v>
      </c>
      <c r="AB876" s="4">
        <f>IF(OR(INDEX($AH$2:$AH$1001,MATCH(ROWS($AG$2:AG876),$AG$2:$AG$1001,0),1)&gt;=100000,INDEX($AN$1005:$BO$1005,1,MATCH(COLUMNS($AN$1006:BN1006),$AN$1006:$BO$1006,0))&gt;=100000), " ",IF(INDEX($AN$2:$BO$1001,MATCH(ROWS($AG$2:AG876),$AG$2:$AG$1001,0),MATCH(COLUMNS($AN$1006:BN1006),$AN$1006:$BO$1006,0)), HYPERLINK("#",""), HYPERLINK(CONCATENATE("#Metadata!", ADDRESS(INDEX($AI$2:$AI$1001,MATCH(ROWS($AG$2:AG876),$AG$2:$AG$1001,0),0), INDEX($AN$1004:$BO$1004,1,MATCH(COLUMNS($AN$1006:BN1006),$AN$1006:$BO$1006,0)))),"Fix")))</f>
        <v>0</v>
      </c>
      <c r="AC876" s="4">
        <f>IF(OR(INDEX($AH$2:$AH$1001,MATCH(ROWS($AG$2:AG876),$AG$2:$AG$1001,0),1)&gt;=100000,INDEX($AN$1005:$BO$1005,1,MATCH(COLUMNS($AN$1006:BO1006),$AN$1006:$BO$1006,0))&gt;=100000), " ",IF(INDEX($AN$2:$BO$1001,MATCH(ROWS($AG$2:AG876),$AG$2:$AG$1001,0),MATCH(COLUMNS($AN$1006:BO1006),$AN$1006:$BO$1006,0)), HYPERLINK("#",""), HYPERLINK(CONCATENATE("#Metadata!", ADDRESS(INDEX($AI$2:$AI$1001,MATCH(ROWS($AG$2:AG876),$AG$2:$AG$1001,0),0), INDEX($AN$1004:$BO$1004,1,MATCH(COLUMNS($AN$1006:BO1006),$AN$1006:$BO$1006,0)))),"Fix")))</f>
        <v>0</v>
      </c>
      <c r="AG876">
        <v>0</v>
      </c>
      <c r="AH876">
        <v>0</v>
      </c>
      <c r="AI876">
        <v>0</v>
      </c>
      <c r="AJ876">
        <f>IF(AK876,TRUE,AND(AN876:BO876))</f>
        <v>0</v>
      </c>
      <c r="AK876">
        <f>COUNTBLANK(Metadata!B876:AC876)=COLUMNS(Metadata!B876:AC876)</f>
        <v>0</v>
      </c>
      <c r="AL876">
        <v>0</v>
      </c>
      <c r="AN876">
        <f>AND(IF(Metadata!B876="",FALSE,TRUE),COUNTIF(Metadata!B:B, Metadata!B876) = 1,NOT(ISERROR(SUMPRODUCT(SEARCH(MID(Metadata!B876,ROW(INDIRECT("1:"&amp;LEN(Metadata!B876))), 1),"0123456789abcdefghijklmnopqrstuvwxyzABCDEFGHIJKLMNOPQRSTUVWXYZ.")))))</f>
        <v>0</v>
      </c>
      <c r="AO876">
        <f>IF(Metadata!C876="",FALSE,TRUE)</f>
        <v>0</v>
      </c>
      <c r="AP876">
        <f>IF(Metadata!D876="",FALSE,TRUE)</f>
        <v>0</v>
      </c>
      <c r="AQ876">
        <f>OR(AND(IF(Metadata!E876="",FALSE,TRUE),OR(exact(Metadata!E876,"not collected"),exact(Metadata!E876,"not provided"),exact(Metadata!E876,"restricted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R876">
        <f>IF(Metadata!F876="",FALSE,TRUE)</f>
        <v>0</v>
      </c>
      <c r="AS876">
        <f>OR(AND(IF(Metadata!G876="",FALSE,TRUE),OR(exact(Metadata!G876,"not collected"),exact(Metadata!G876,"not provided"))),AND(IF(Metadata!G876="",FALSE,TRUE),OR(exact(Metadata!G876,"TRUE"),exact(Metadata!G876,"FALSE"))))</f>
        <v>0</v>
      </c>
      <c r="AT876">
        <f>OR(AND(IF(Metadata!H876="",FALSE,TRUE),OR(exact(Metadata!H876,"not collected"),exact(Metadata!H876,"not provided"),exact(Metadata!H876,"restricted access"))),AND(IF(Metadata!H876="",FALSE,ISNUMBER(VALUE(Metadata!H876))),Metadata!H876&gt;=-413.0))</f>
        <v>0</v>
      </c>
      <c r="AU876">
        <f>AND(IF(Metadata!I876="",FALSE,TRUE),exact(Metadata!I876,"meters"))</f>
        <v>0</v>
      </c>
      <c r="AV876">
        <f>AND(IF(Metadata!J876="",FALSE,TRUE),OR(exact(Metadata!J876,"Host-associated"),exact(Metadata!J876,"Free-living")))</f>
        <v>0</v>
      </c>
      <c r="AW876">
        <f>AND(IF(Metadata!K876="",FALSE,TRUE),OR(exact(Metadata!K876,"Animal"),exact(Metadata!K876,"Fungus"),exact(Metadata!K876,"Plant"),exact(Metadata!K876,"Saline"),exact(Metadata!K876,"Non-saline")))</f>
        <v>0</v>
      </c>
      <c r="AX876">
        <f>AND(IF(Metadata!L876="",FALSE,TRUE),OR(exact(Metadata!L876,"Plant secretion"),exact(Metadata!L876,"Plant rhizosphere"),exact(Metadata!L876,"Plant surface"),exact(Metadata!L876,"Plant corpus"),exact(Metadata!L876,"Fungus surface"),exact(Metadata!L876,"Fungus corpus"),exact(Metadata!L876,"Animal surface"),exact(Metadata!L876,"Animal proximal gut"),exact(Metadata!L876,"Animal corpus"),exact(Metadata!L876,"Animal distal gut"),exact(Metadata!L876,"Animal secretion"),exact(Metadata!L876,"Sub-surface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Y876">
        <f>IF(Metadata!M876="",FALSE,TRUE)</f>
        <v>0</v>
      </c>
      <c r="AZ876">
        <f>IF(Metadata!N876="",FALSE,TRUE)</f>
        <v>0</v>
      </c>
      <c r="BA876">
        <f>IF(Metadata!O876="",FALSE,TRUE)</f>
        <v>0</v>
      </c>
      <c r="BB876">
        <f>OR(AND(IF(Metadata!P876="",FALSE,TRUE),OR(exact(Metadata!P876,"not collected"),exact(Metadata!P876,"not provided"),exact(Metadata!P876,"restricted access"))),AND(IF(Metadata!P876="",FALSE,TRUE),OR(exact(Metadata!P876,"air"),exact(Metadata!P876,"built environment"),exact(Metadata!P876,"host-associated"),exact(Metadata!P876,"human-associated"),exact(Metadata!P876,"human-skin"),exact(Metadata!P876,"human-oral"),exact(Metadata!P876,"human-gut"),exact(Metadata!P876,"human-vaginal"),exact(Metadata!P876,"microbial mat/biofilm"),exact(Metadata!P876,"misc environment"),exact(Metadata!P876,"plant-associated"),exact(Metadata!P876,"sediment"),exact(Metadata!P876,"soil"),exact(Metadata!P876,"wastewater/sludge"),exact(Metadata!P876,"water"))))</f>
        <v>0</v>
      </c>
      <c r="BC876">
        <f>IF(Metadata!Q876="",FALSE,TRUE)</f>
        <v>0</v>
      </c>
      <c r="BD876">
        <f>IF(Metadata!R876="",FALSE,TRUE)</f>
        <v>0</v>
      </c>
      <c r="BE876">
        <f>OR(AND(IF(Metadata!S876="",FALSE,TRUE),OR(exact(Metadata!S876,"not collected"),exact(Metadata!S876,"not provided"),exact(Metadata!S876,"restricted access"))),AND(IF(Metadata!S876="",FALSE,ISNUMBER(VALUE(Metadata!S876))),Metadata!S876&gt;=-90.00,Metadata!S876&lt;=90.00))</f>
        <v>0</v>
      </c>
      <c r="BF876">
        <f>AND(IF(Metadata!T876="",FALSE,TRUE),exact(Metadata!T876,"Decimal degrees"))</f>
        <v>0</v>
      </c>
      <c r="BG876">
        <f>OR(AND(IF(Metadata!U876="",FALSE,TRUE),OR(exact(Metadata!U876,"not collected"),exact(Metadata!U876,"not provided"),exact(Metadata!U876,"restricted access"))),AND(IF(Metadata!U876="",FALSE,ISNUMBER(VALUE(Metadata!U876))),Metadata!U876&gt;=-180.00,Metadata!U876&lt;=180.00))</f>
        <v>0</v>
      </c>
      <c r="BH876">
        <f>AND(IF(Metadata!V876="",FALSE,TRUE),exact(Metadata!V876,"Decimal degrees"))</f>
        <v>0</v>
      </c>
      <c r="BI876">
        <f>IF(Metadata!W876="",FALSE,TRUE)</f>
        <v>0</v>
      </c>
      <c r="BJ876">
        <f>OR(AND(IF(Metadata!X876="",FALSE,TRUE),OR(exact(Metadata!X876,"not collected"),exact(Metadata!X876,"not provided"),exact(Metadata!X876,"restricted access"))),AND(IF(Metadata!X876="",FALSE,TRUE),OR(exact(Metadata!X876,"TRUE"),exact(Metadata!X876,"FALSE"))))</f>
        <v>0</v>
      </c>
      <c r="BK876">
        <f>AND(IF(Metadata!Y876="",FALSE,TRUE),exact(Metadata!Y876,"other"))</f>
        <v>0</v>
      </c>
      <c r="BL876">
        <f>IF(Metadata!Z876="",FALSE,TRUE)</f>
        <v>0</v>
      </c>
      <c r="BM876">
        <f>OR(AND(IF(Metadata!AA876="",FALSE,TRUE),OR(exact(Metadata!AA876,"not collected"),exact(Metadata!AA876,"not provided"))),AND(IF(Metadata!AA876="",FALSE,IF(ISERROR(INT(Metadata!AA876)),FALSE,INT(Metadata!AA876)=Metadata!AA876)),Metadata!AA876&gt;0))</f>
        <v>0</v>
      </c>
      <c r="BN876">
        <f>AND(IF(Metadata!AB876="",FALSE,TRUE),exact(Metadata!AB876,"Not applicable"))</f>
        <v>0</v>
      </c>
      <c r="BO876">
        <f>IF(Metadata!AC876="",FALSE,TRUE)</f>
        <v>0</v>
      </c>
    </row>
    <row r="877" spans="1:67">
      <c r="A877" s="5">
        <f>IF(B877=" "," ",HYPERLINK(CONCATENATE("#metadata!",ADDRESS(INDEX($AI$2:$AI$1001,MATCH(ROWS($AG$2:AG877),$AG$2:$AG$1001,0),0),1)),INDEX($AL$2:$AL$1001,MATCH(ROWS($AG$2:AG877),$AG$2:$AG$1001,0),0)))</f>
        <v>0</v>
      </c>
      <c r="B877" s="4">
        <f>IF(OR(INDEX($AH$2:$AH$1001,MATCH(ROWS($AG$2:AG877),$AG$2:$AG$1001,0),1)&gt;=100000,INDEX($AN$1005:$BO$1005,1,MATCH(COLUMNS($AN$1006:AN1006),$AN$1006:$BO$1006,0))&gt;=100000), " ",IF(INDEX($AN$2:$BO$1001,MATCH(ROWS($AG$2:AG877),$AG$2:$AG$1001,0),MATCH(COLUMNS($AN$1006:AN1006),$AN$1006:$BO$1006,0)), HYPERLINK("#",""), HYPERLINK(CONCATENATE("#Metadata!", ADDRESS(INDEX($AI$2:$AI$1001,MATCH(ROWS($AG$2:AG877),$AG$2:$AG$1001,0),0), INDEX($AN$1004:$BO$1004,1,MATCH(COLUMNS($AN$1006:AN1006),$AN$1006:$BO$1006,0)))),"Fix")))</f>
        <v>0</v>
      </c>
      <c r="C877" s="4">
        <f>IF(OR(INDEX($AH$2:$AH$1001,MATCH(ROWS($AG$2:AG877),$AG$2:$AG$1001,0),1)&gt;=100000,INDEX($AN$1005:$BO$1005,1,MATCH(COLUMNS($AN$1006:AO1006),$AN$1006:$BO$1006,0))&gt;=100000), " ",IF(INDEX($AN$2:$BO$1001,MATCH(ROWS($AG$2:AG877),$AG$2:$AG$1001,0),MATCH(COLUMNS($AN$1006:AO1006),$AN$1006:$BO$1006,0)), HYPERLINK("#",""), HYPERLINK(CONCATENATE("#Metadata!", ADDRESS(INDEX($AI$2:$AI$1001,MATCH(ROWS($AG$2:AG877),$AG$2:$AG$1001,0),0), INDEX($AN$1004:$BO$1004,1,MATCH(COLUMNS($AN$1006:AO1006),$AN$1006:$BO$1006,0)))),"Fix")))</f>
        <v>0</v>
      </c>
      <c r="D877" s="4">
        <f>IF(OR(INDEX($AH$2:$AH$1001,MATCH(ROWS($AG$2:AG877),$AG$2:$AG$1001,0),1)&gt;=100000,INDEX($AN$1005:$BO$1005,1,MATCH(COLUMNS($AN$1006:AP1006),$AN$1006:$BO$1006,0))&gt;=100000), " ",IF(INDEX($AN$2:$BO$1001,MATCH(ROWS($AG$2:AG877),$AG$2:$AG$1001,0),MATCH(COLUMNS($AN$1006:AP1006),$AN$1006:$BO$1006,0)), HYPERLINK("#",""), HYPERLINK(CONCATENATE("#Metadata!", ADDRESS(INDEX($AI$2:$AI$1001,MATCH(ROWS($AG$2:AG877),$AG$2:$AG$1001,0),0), INDEX($AN$1004:$BO$1004,1,MATCH(COLUMNS($AN$1006:AP1006),$AN$1006:$BO$1006,0)))),"Fix")))</f>
        <v>0</v>
      </c>
      <c r="E877" s="4">
        <f>IF(OR(INDEX($AH$2:$AH$1001,MATCH(ROWS($AG$2:AG877),$AG$2:$AG$1001,0),1)&gt;=100000,INDEX($AN$1005:$BO$1005,1,MATCH(COLUMNS($AN$1006:AQ1006),$AN$1006:$BO$1006,0))&gt;=100000), " ",IF(INDEX($AN$2:$BO$1001,MATCH(ROWS($AG$2:AG877),$AG$2:$AG$1001,0),MATCH(COLUMNS($AN$1006:AQ1006),$AN$1006:$BO$1006,0)), HYPERLINK("#",""), HYPERLINK(CONCATENATE("#Metadata!", ADDRESS(INDEX($AI$2:$AI$1001,MATCH(ROWS($AG$2:AG877),$AG$2:$AG$1001,0),0), INDEX($AN$1004:$BO$1004,1,MATCH(COLUMNS($AN$1006:AQ1006),$AN$1006:$BO$1006,0)))),"Fix")))</f>
        <v>0</v>
      </c>
      <c r="F877" s="4">
        <f>IF(OR(INDEX($AH$2:$AH$1001,MATCH(ROWS($AG$2:AG877),$AG$2:$AG$1001,0),1)&gt;=100000,INDEX($AN$1005:$BO$1005,1,MATCH(COLUMNS($AN$1006:AR1006),$AN$1006:$BO$1006,0))&gt;=100000), " ",IF(INDEX($AN$2:$BO$1001,MATCH(ROWS($AG$2:AG877),$AG$2:$AG$1001,0),MATCH(COLUMNS($AN$1006:AR1006),$AN$1006:$BO$1006,0)), HYPERLINK("#",""), HYPERLINK(CONCATENATE("#Metadata!", ADDRESS(INDEX($AI$2:$AI$1001,MATCH(ROWS($AG$2:AG877),$AG$2:$AG$1001,0),0), INDEX($AN$1004:$BO$1004,1,MATCH(COLUMNS($AN$1006:AR1006),$AN$1006:$BO$1006,0)))),"Fix")))</f>
        <v>0</v>
      </c>
      <c r="G877" s="4">
        <f>IF(OR(INDEX($AH$2:$AH$1001,MATCH(ROWS($AG$2:AG877),$AG$2:$AG$1001,0),1)&gt;=100000,INDEX($AN$1005:$BO$1005,1,MATCH(COLUMNS($AN$1006:AS1006),$AN$1006:$BO$1006,0))&gt;=100000), " ",IF(INDEX($AN$2:$BO$1001,MATCH(ROWS($AG$2:AG877),$AG$2:$AG$1001,0),MATCH(COLUMNS($AN$1006:AS1006),$AN$1006:$BO$1006,0)), HYPERLINK("#",""), HYPERLINK(CONCATENATE("#Metadata!", ADDRESS(INDEX($AI$2:$AI$1001,MATCH(ROWS($AG$2:AG877),$AG$2:$AG$1001,0),0), INDEX($AN$1004:$BO$1004,1,MATCH(COLUMNS($AN$1006:AS1006),$AN$1006:$BO$1006,0)))),"Fix")))</f>
        <v>0</v>
      </c>
      <c r="H877" s="4">
        <f>IF(OR(INDEX($AH$2:$AH$1001,MATCH(ROWS($AG$2:AG877),$AG$2:$AG$1001,0),1)&gt;=100000,INDEX($AN$1005:$BO$1005,1,MATCH(COLUMNS($AN$1006:AT1006),$AN$1006:$BO$1006,0))&gt;=100000), " ",IF(INDEX($AN$2:$BO$1001,MATCH(ROWS($AG$2:AG877),$AG$2:$AG$1001,0),MATCH(COLUMNS($AN$1006:AT1006),$AN$1006:$BO$1006,0)), HYPERLINK("#",""), HYPERLINK(CONCATENATE("#Metadata!", ADDRESS(INDEX($AI$2:$AI$1001,MATCH(ROWS($AG$2:AG877),$AG$2:$AG$1001,0),0), INDEX($AN$1004:$BO$1004,1,MATCH(COLUMNS($AN$1006:AT1006),$AN$1006:$BO$1006,0)))),"Fix")))</f>
        <v>0</v>
      </c>
      <c r="I877" s="4">
        <f>IF(OR(INDEX($AH$2:$AH$1001,MATCH(ROWS($AG$2:AG877),$AG$2:$AG$1001,0),1)&gt;=100000,INDEX($AN$1005:$BO$1005,1,MATCH(COLUMNS($AN$1006:AU1006),$AN$1006:$BO$1006,0))&gt;=100000), " ",IF(INDEX($AN$2:$BO$1001,MATCH(ROWS($AG$2:AG877),$AG$2:$AG$1001,0),MATCH(COLUMNS($AN$1006:AU1006),$AN$1006:$BO$1006,0)), HYPERLINK("#",""), HYPERLINK(CONCATENATE("#Metadata!", ADDRESS(INDEX($AI$2:$AI$1001,MATCH(ROWS($AG$2:AG877),$AG$2:$AG$1001,0),0), INDEX($AN$1004:$BO$1004,1,MATCH(COLUMNS($AN$1006:AU1006),$AN$1006:$BO$1006,0)))),"Fix")))</f>
        <v>0</v>
      </c>
      <c r="J877" s="4">
        <f>IF(OR(INDEX($AH$2:$AH$1001,MATCH(ROWS($AG$2:AG877),$AG$2:$AG$1001,0),1)&gt;=100000,INDEX($AN$1005:$BO$1005,1,MATCH(COLUMNS($AN$1006:AV1006),$AN$1006:$BO$1006,0))&gt;=100000), " ",IF(INDEX($AN$2:$BO$1001,MATCH(ROWS($AG$2:AG877),$AG$2:$AG$1001,0),MATCH(COLUMNS($AN$1006:AV1006),$AN$1006:$BO$1006,0)), HYPERLINK("#",""), HYPERLINK(CONCATENATE("#Metadata!", ADDRESS(INDEX($AI$2:$AI$1001,MATCH(ROWS($AG$2:AG877),$AG$2:$AG$1001,0),0), INDEX($AN$1004:$BO$1004,1,MATCH(COLUMNS($AN$1006:AV1006),$AN$1006:$BO$1006,0)))),"Fix")))</f>
        <v>0</v>
      </c>
      <c r="K877" s="4">
        <f>IF(OR(INDEX($AH$2:$AH$1001,MATCH(ROWS($AG$2:AG877),$AG$2:$AG$1001,0),1)&gt;=100000,INDEX($AN$1005:$BO$1005,1,MATCH(COLUMNS($AN$1006:AW1006),$AN$1006:$BO$1006,0))&gt;=100000), " ",IF(INDEX($AN$2:$BO$1001,MATCH(ROWS($AG$2:AG877),$AG$2:$AG$1001,0),MATCH(COLUMNS($AN$1006:AW1006),$AN$1006:$BO$1006,0)), HYPERLINK("#",""), HYPERLINK(CONCATENATE("#Metadata!", ADDRESS(INDEX($AI$2:$AI$1001,MATCH(ROWS($AG$2:AG877),$AG$2:$AG$1001,0),0), INDEX($AN$1004:$BO$1004,1,MATCH(COLUMNS($AN$1006:AW1006),$AN$1006:$BO$1006,0)))),"Fix")))</f>
        <v>0</v>
      </c>
      <c r="L877" s="4">
        <f>IF(OR(INDEX($AH$2:$AH$1001,MATCH(ROWS($AG$2:AG877),$AG$2:$AG$1001,0),1)&gt;=100000,INDEX($AN$1005:$BO$1005,1,MATCH(COLUMNS($AN$1006:AX1006),$AN$1006:$BO$1006,0))&gt;=100000), " ",IF(INDEX($AN$2:$BO$1001,MATCH(ROWS($AG$2:AG877),$AG$2:$AG$1001,0),MATCH(COLUMNS($AN$1006:AX1006),$AN$1006:$BO$1006,0)), HYPERLINK("#",""), HYPERLINK(CONCATENATE("#Metadata!", ADDRESS(INDEX($AI$2:$AI$1001,MATCH(ROWS($AG$2:AG877),$AG$2:$AG$1001,0),0), INDEX($AN$1004:$BO$1004,1,MATCH(COLUMNS($AN$1006:AX1006),$AN$1006:$BO$1006,0)))),"Fix")))</f>
        <v>0</v>
      </c>
      <c r="M877" s="4">
        <f>IF(OR(INDEX($AH$2:$AH$1001,MATCH(ROWS($AG$2:AG877),$AG$2:$AG$1001,0),1)&gt;=100000,INDEX($AN$1005:$BO$1005,1,MATCH(COLUMNS($AN$1006:AY1006),$AN$1006:$BO$1006,0))&gt;=100000), " ",IF(INDEX($AN$2:$BO$1001,MATCH(ROWS($AG$2:AG877),$AG$2:$AG$1001,0),MATCH(COLUMNS($AN$1006:AY1006),$AN$1006:$BO$1006,0)), HYPERLINK("#",""), HYPERLINK(CONCATENATE("#Metadata!", ADDRESS(INDEX($AI$2:$AI$1001,MATCH(ROWS($AG$2:AG877),$AG$2:$AG$1001,0),0), INDEX($AN$1004:$BO$1004,1,MATCH(COLUMNS($AN$1006:AY1006),$AN$1006:$BO$1006,0)))),"Fix")))</f>
        <v>0</v>
      </c>
      <c r="N877" s="4">
        <f>IF(OR(INDEX($AH$2:$AH$1001,MATCH(ROWS($AG$2:AG877),$AG$2:$AG$1001,0),1)&gt;=100000,INDEX($AN$1005:$BO$1005,1,MATCH(COLUMNS($AN$1006:AZ1006),$AN$1006:$BO$1006,0))&gt;=100000), " ",IF(INDEX($AN$2:$BO$1001,MATCH(ROWS($AG$2:AG877),$AG$2:$AG$1001,0),MATCH(COLUMNS($AN$1006:AZ1006),$AN$1006:$BO$1006,0)), HYPERLINK("#",""), HYPERLINK(CONCATENATE("#Metadata!", ADDRESS(INDEX($AI$2:$AI$1001,MATCH(ROWS($AG$2:AG877),$AG$2:$AG$1001,0),0), INDEX($AN$1004:$BO$1004,1,MATCH(COLUMNS($AN$1006:AZ1006),$AN$1006:$BO$1006,0)))),"Fix")))</f>
        <v>0</v>
      </c>
      <c r="O877" s="4">
        <f>IF(OR(INDEX($AH$2:$AH$1001,MATCH(ROWS($AG$2:AG877),$AG$2:$AG$1001,0),1)&gt;=100000,INDEX($AN$1005:$BO$1005,1,MATCH(COLUMNS($AN$1006:BA1006),$AN$1006:$BO$1006,0))&gt;=100000), " ",IF(INDEX($AN$2:$BO$1001,MATCH(ROWS($AG$2:AG877),$AG$2:$AG$1001,0),MATCH(COLUMNS($AN$1006:BA1006),$AN$1006:$BO$1006,0)), HYPERLINK("#",""), HYPERLINK(CONCATENATE("#Metadata!", ADDRESS(INDEX($AI$2:$AI$1001,MATCH(ROWS($AG$2:AG877),$AG$2:$AG$1001,0),0), INDEX($AN$1004:$BO$1004,1,MATCH(COLUMNS($AN$1006:BA1006),$AN$1006:$BO$1006,0)))),"Fix")))</f>
        <v>0</v>
      </c>
      <c r="P877" s="4">
        <f>IF(OR(INDEX($AH$2:$AH$1001,MATCH(ROWS($AG$2:AG877),$AG$2:$AG$1001,0),1)&gt;=100000,INDEX($AN$1005:$BO$1005,1,MATCH(COLUMNS($AN$1006:BB1006),$AN$1006:$BO$1006,0))&gt;=100000), " ",IF(INDEX($AN$2:$BO$1001,MATCH(ROWS($AG$2:AG877),$AG$2:$AG$1001,0),MATCH(COLUMNS($AN$1006:BB1006),$AN$1006:$BO$1006,0)), HYPERLINK("#",""), HYPERLINK(CONCATENATE("#Metadata!", ADDRESS(INDEX($AI$2:$AI$1001,MATCH(ROWS($AG$2:AG877),$AG$2:$AG$1001,0),0), INDEX($AN$1004:$BO$1004,1,MATCH(COLUMNS($AN$1006:BB1006),$AN$1006:$BO$1006,0)))),"Fix")))</f>
        <v>0</v>
      </c>
      <c r="Q877" s="4">
        <f>IF(OR(INDEX($AH$2:$AH$1001,MATCH(ROWS($AG$2:AG877),$AG$2:$AG$1001,0),1)&gt;=100000,INDEX($AN$1005:$BO$1005,1,MATCH(COLUMNS($AN$1006:BC1006),$AN$1006:$BO$1006,0))&gt;=100000), " ",IF(INDEX($AN$2:$BO$1001,MATCH(ROWS($AG$2:AG877),$AG$2:$AG$1001,0),MATCH(COLUMNS($AN$1006:BC1006),$AN$1006:$BO$1006,0)), HYPERLINK("#",""), HYPERLINK(CONCATENATE("#Metadata!", ADDRESS(INDEX($AI$2:$AI$1001,MATCH(ROWS($AG$2:AG877),$AG$2:$AG$1001,0),0), INDEX($AN$1004:$BO$1004,1,MATCH(COLUMNS($AN$1006:BC1006),$AN$1006:$BO$1006,0)))),"Fix")))</f>
        <v>0</v>
      </c>
      <c r="R877" s="4">
        <f>IF(OR(INDEX($AH$2:$AH$1001,MATCH(ROWS($AG$2:AG877),$AG$2:$AG$1001,0),1)&gt;=100000,INDEX($AN$1005:$BO$1005,1,MATCH(COLUMNS($AN$1006:BD1006),$AN$1006:$BO$1006,0))&gt;=100000), " ",IF(INDEX($AN$2:$BO$1001,MATCH(ROWS($AG$2:AG877),$AG$2:$AG$1001,0),MATCH(COLUMNS($AN$1006:BD1006),$AN$1006:$BO$1006,0)), HYPERLINK("#",""), HYPERLINK(CONCATENATE("#Metadata!", ADDRESS(INDEX($AI$2:$AI$1001,MATCH(ROWS($AG$2:AG877),$AG$2:$AG$1001,0),0), INDEX($AN$1004:$BO$1004,1,MATCH(COLUMNS($AN$1006:BD1006),$AN$1006:$BO$1006,0)))),"Fix")))</f>
        <v>0</v>
      </c>
      <c r="S877" s="4">
        <f>IF(OR(INDEX($AH$2:$AH$1001,MATCH(ROWS($AG$2:AG877),$AG$2:$AG$1001,0),1)&gt;=100000,INDEX($AN$1005:$BO$1005,1,MATCH(COLUMNS($AN$1006:BE1006),$AN$1006:$BO$1006,0))&gt;=100000), " ",IF(INDEX($AN$2:$BO$1001,MATCH(ROWS($AG$2:AG877),$AG$2:$AG$1001,0),MATCH(COLUMNS($AN$1006:BE1006),$AN$1006:$BO$1006,0)), HYPERLINK("#",""), HYPERLINK(CONCATENATE("#Metadata!", ADDRESS(INDEX($AI$2:$AI$1001,MATCH(ROWS($AG$2:AG877),$AG$2:$AG$1001,0),0), INDEX($AN$1004:$BO$1004,1,MATCH(COLUMNS($AN$1006:BE1006),$AN$1006:$BO$1006,0)))),"Fix")))</f>
        <v>0</v>
      </c>
      <c r="T877" s="4">
        <f>IF(OR(INDEX($AH$2:$AH$1001,MATCH(ROWS($AG$2:AG877),$AG$2:$AG$1001,0),1)&gt;=100000,INDEX($AN$1005:$BO$1005,1,MATCH(COLUMNS($AN$1006:BF1006),$AN$1006:$BO$1006,0))&gt;=100000), " ",IF(INDEX($AN$2:$BO$1001,MATCH(ROWS($AG$2:AG877),$AG$2:$AG$1001,0),MATCH(COLUMNS($AN$1006:BF1006),$AN$1006:$BO$1006,0)), HYPERLINK("#",""), HYPERLINK(CONCATENATE("#Metadata!", ADDRESS(INDEX($AI$2:$AI$1001,MATCH(ROWS($AG$2:AG877),$AG$2:$AG$1001,0),0), INDEX($AN$1004:$BO$1004,1,MATCH(COLUMNS($AN$1006:BF1006),$AN$1006:$BO$1006,0)))),"Fix")))</f>
        <v>0</v>
      </c>
      <c r="U877" s="4">
        <f>IF(OR(INDEX($AH$2:$AH$1001,MATCH(ROWS($AG$2:AG877),$AG$2:$AG$1001,0),1)&gt;=100000,INDEX($AN$1005:$BO$1005,1,MATCH(COLUMNS($AN$1006:BG1006),$AN$1006:$BO$1006,0))&gt;=100000), " ",IF(INDEX($AN$2:$BO$1001,MATCH(ROWS($AG$2:AG877),$AG$2:$AG$1001,0),MATCH(COLUMNS($AN$1006:BG1006),$AN$1006:$BO$1006,0)), HYPERLINK("#",""), HYPERLINK(CONCATENATE("#Metadata!", ADDRESS(INDEX($AI$2:$AI$1001,MATCH(ROWS($AG$2:AG877),$AG$2:$AG$1001,0),0), INDEX($AN$1004:$BO$1004,1,MATCH(COLUMNS($AN$1006:BG1006),$AN$1006:$BO$1006,0)))),"Fix")))</f>
        <v>0</v>
      </c>
      <c r="V877" s="4">
        <f>IF(OR(INDEX($AH$2:$AH$1001,MATCH(ROWS($AG$2:AG877),$AG$2:$AG$1001,0),1)&gt;=100000,INDEX($AN$1005:$BO$1005,1,MATCH(COLUMNS($AN$1006:BH1006),$AN$1006:$BO$1006,0))&gt;=100000), " ",IF(INDEX($AN$2:$BO$1001,MATCH(ROWS($AG$2:AG877),$AG$2:$AG$1001,0),MATCH(COLUMNS($AN$1006:BH1006),$AN$1006:$BO$1006,0)), HYPERLINK("#",""), HYPERLINK(CONCATENATE("#Metadata!", ADDRESS(INDEX($AI$2:$AI$1001,MATCH(ROWS($AG$2:AG877),$AG$2:$AG$1001,0),0), INDEX($AN$1004:$BO$1004,1,MATCH(COLUMNS($AN$1006:BH1006),$AN$1006:$BO$1006,0)))),"Fix")))</f>
        <v>0</v>
      </c>
      <c r="W877" s="4">
        <f>IF(OR(INDEX($AH$2:$AH$1001,MATCH(ROWS($AG$2:AG877),$AG$2:$AG$1001,0),1)&gt;=100000,INDEX($AN$1005:$BO$1005,1,MATCH(COLUMNS($AN$1006:BI1006),$AN$1006:$BO$1006,0))&gt;=100000), " ",IF(INDEX($AN$2:$BO$1001,MATCH(ROWS($AG$2:AG877),$AG$2:$AG$1001,0),MATCH(COLUMNS($AN$1006:BI1006),$AN$1006:$BO$1006,0)), HYPERLINK("#",""), HYPERLINK(CONCATENATE("#Metadata!", ADDRESS(INDEX($AI$2:$AI$1001,MATCH(ROWS($AG$2:AG877),$AG$2:$AG$1001,0),0), INDEX($AN$1004:$BO$1004,1,MATCH(COLUMNS($AN$1006:BI1006),$AN$1006:$BO$1006,0)))),"Fix")))</f>
        <v>0</v>
      </c>
      <c r="X877" s="4">
        <f>IF(OR(INDEX($AH$2:$AH$1001,MATCH(ROWS($AG$2:AG877),$AG$2:$AG$1001,0),1)&gt;=100000,INDEX($AN$1005:$BO$1005,1,MATCH(COLUMNS($AN$1006:BJ1006),$AN$1006:$BO$1006,0))&gt;=100000), " ",IF(INDEX($AN$2:$BO$1001,MATCH(ROWS($AG$2:AG877),$AG$2:$AG$1001,0),MATCH(COLUMNS($AN$1006:BJ1006),$AN$1006:$BO$1006,0)), HYPERLINK("#",""), HYPERLINK(CONCATENATE("#Metadata!", ADDRESS(INDEX($AI$2:$AI$1001,MATCH(ROWS($AG$2:AG877),$AG$2:$AG$1001,0),0), INDEX($AN$1004:$BO$1004,1,MATCH(COLUMNS($AN$1006:BJ1006),$AN$1006:$BO$1006,0)))),"Fix")))</f>
        <v>0</v>
      </c>
      <c r="Y877" s="4">
        <f>IF(OR(INDEX($AH$2:$AH$1001,MATCH(ROWS($AG$2:AG877),$AG$2:$AG$1001,0),1)&gt;=100000,INDEX($AN$1005:$BO$1005,1,MATCH(COLUMNS($AN$1006:BK1006),$AN$1006:$BO$1006,0))&gt;=100000), " ",IF(INDEX($AN$2:$BO$1001,MATCH(ROWS($AG$2:AG877),$AG$2:$AG$1001,0),MATCH(COLUMNS($AN$1006:BK1006),$AN$1006:$BO$1006,0)), HYPERLINK("#",""), HYPERLINK(CONCATENATE("#Metadata!", ADDRESS(INDEX($AI$2:$AI$1001,MATCH(ROWS($AG$2:AG877),$AG$2:$AG$1001,0),0), INDEX($AN$1004:$BO$1004,1,MATCH(COLUMNS($AN$1006:BK1006),$AN$1006:$BO$1006,0)))),"Fix")))</f>
        <v>0</v>
      </c>
      <c r="Z877" s="4">
        <f>IF(OR(INDEX($AH$2:$AH$1001,MATCH(ROWS($AG$2:AG877),$AG$2:$AG$1001,0),1)&gt;=100000,INDEX($AN$1005:$BO$1005,1,MATCH(COLUMNS($AN$1006:BL1006),$AN$1006:$BO$1006,0))&gt;=100000), " ",IF(INDEX($AN$2:$BO$1001,MATCH(ROWS($AG$2:AG877),$AG$2:$AG$1001,0),MATCH(COLUMNS($AN$1006:BL1006),$AN$1006:$BO$1006,0)), HYPERLINK("#",""), HYPERLINK(CONCATENATE("#Metadata!", ADDRESS(INDEX($AI$2:$AI$1001,MATCH(ROWS($AG$2:AG877),$AG$2:$AG$1001,0),0), INDEX($AN$1004:$BO$1004,1,MATCH(COLUMNS($AN$1006:BL1006),$AN$1006:$BO$1006,0)))),"Fix")))</f>
        <v>0</v>
      </c>
      <c r="AA877" s="4">
        <f>IF(OR(INDEX($AH$2:$AH$1001,MATCH(ROWS($AG$2:AG877),$AG$2:$AG$1001,0),1)&gt;=100000,INDEX($AN$1005:$BO$1005,1,MATCH(COLUMNS($AN$1006:BM1006),$AN$1006:$BO$1006,0))&gt;=100000), " ",IF(INDEX($AN$2:$BO$1001,MATCH(ROWS($AG$2:AG877),$AG$2:$AG$1001,0),MATCH(COLUMNS($AN$1006:BM1006),$AN$1006:$BO$1006,0)), HYPERLINK("#",""), HYPERLINK(CONCATENATE("#Metadata!", ADDRESS(INDEX($AI$2:$AI$1001,MATCH(ROWS($AG$2:AG877),$AG$2:$AG$1001,0),0), INDEX($AN$1004:$BO$1004,1,MATCH(COLUMNS($AN$1006:BM1006),$AN$1006:$BO$1006,0)))),"Fix")))</f>
        <v>0</v>
      </c>
      <c r="AB877" s="4">
        <f>IF(OR(INDEX($AH$2:$AH$1001,MATCH(ROWS($AG$2:AG877),$AG$2:$AG$1001,0),1)&gt;=100000,INDEX($AN$1005:$BO$1005,1,MATCH(COLUMNS($AN$1006:BN1006),$AN$1006:$BO$1006,0))&gt;=100000), " ",IF(INDEX($AN$2:$BO$1001,MATCH(ROWS($AG$2:AG877),$AG$2:$AG$1001,0),MATCH(COLUMNS($AN$1006:BN1006),$AN$1006:$BO$1006,0)), HYPERLINK("#",""), HYPERLINK(CONCATENATE("#Metadata!", ADDRESS(INDEX($AI$2:$AI$1001,MATCH(ROWS($AG$2:AG877),$AG$2:$AG$1001,0),0), INDEX($AN$1004:$BO$1004,1,MATCH(COLUMNS($AN$1006:BN1006),$AN$1006:$BO$1006,0)))),"Fix")))</f>
        <v>0</v>
      </c>
      <c r="AC877" s="4">
        <f>IF(OR(INDEX($AH$2:$AH$1001,MATCH(ROWS($AG$2:AG877),$AG$2:$AG$1001,0),1)&gt;=100000,INDEX($AN$1005:$BO$1005,1,MATCH(COLUMNS($AN$1006:BO1006),$AN$1006:$BO$1006,0))&gt;=100000), " ",IF(INDEX($AN$2:$BO$1001,MATCH(ROWS($AG$2:AG877),$AG$2:$AG$1001,0),MATCH(COLUMNS($AN$1006:BO1006),$AN$1006:$BO$1006,0)), HYPERLINK("#",""), HYPERLINK(CONCATENATE("#Metadata!", ADDRESS(INDEX($AI$2:$AI$1001,MATCH(ROWS($AG$2:AG877),$AG$2:$AG$1001,0),0), INDEX($AN$1004:$BO$1004,1,MATCH(COLUMNS($AN$1006:BO1006),$AN$1006:$BO$1006,0)))),"Fix")))</f>
        <v>0</v>
      </c>
      <c r="AG877">
        <v>0</v>
      </c>
      <c r="AH877">
        <v>0</v>
      </c>
      <c r="AI877">
        <v>0</v>
      </c>
      <c r="AJ877">
        <f>IF(AK877,TRUE,AND(AN877:BO877))</f>
        <v>0</v>
      </c>
      <c r="AK877">
        <f>COUNTBLANK(Metadata!B877:AC877)=COLUMNS(Metadata!B877:AC877)</f>
        <v>0</v>
      </c>
      <c r="AL877">
        <v>0</v>
      </c>
      <c r="AN877">
        <f>AND(IF(Metadata!B877="",FALSE,TRUE),COUNTIF(Metadata!B:B, Metadata!B877) = 1,NOT(ISERROR(SUMPRODUCT(SEARCH(MID(Metadata!B877,ROW(INDIRECT("1:"&amp;LEN(Metadata!B877))), 1),"0123456789abcdefghijklmnopqrstuvwxyzABCDEFGHIJKLMNOPQRSTUVWXYZ.")))))</f>
        <v>0</v>
      </c>
      <c r="AO877">
        <f>IF(Metadata!C877="",FALSE,TRUE)</f>
        <v>0</v>
      </c>
      <c r="AP877">
        <f>IF(Metadata!D877="",FALSE,TRUE)</f>
        <v>0</v>
      </c>
      <c r="AQ877">
        <f>OR(AND(IF(Metadata!E877="",FALSE,TRUE),OR(exact(Metadata!E877,"not collected"),exact(Metadata!E877,"not provided"),exact(Metadata!E877,"restricted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R877">
        <f>IF(Metadata!F877="",FALSE,TRUE)</f>
        <v>0</v>
      </c>
      <c r="AS877">
        <f>OR(AND(IF(Metadata!G877="",FALSE,TRUE),OR(exact(Metadata!G877,"not collected"),exact(Metadata!G877,"not provided"))),AND(IF(Metadata!G877="",FALSE,TRUE),OR(exact(Metadata!G877,"TRUE"),exact(Metadata!G877,"FALSE"))))</f>
        <v>0</v>
      </c>
      <c r="AT877">
        <f>OR(AND(IF(Metadata!H877="",FALSE,TRUE),OR(exact(Metadata!H877,"not collected"),exact(Metadata!H877,"not provided"),exact(Metadata!H877,"restricted access"))),AND(IF(Metadata!H877="",FALSE,ISNUMBER(VALUE(Metadata!H877))),Metadata!H877&gt;=-413.0))</f>
        <v>0</v>
      </c>
      <c r="AU877">
        <f>AND(IF(Metadata!I877="",FALSE,TRUE),exact(Metadata!I877,"meters"))</f>
        <v>0</v>
      </c>
      <c r="AV877">
        <f>AND(IF(Metadata!J877="",FALSE,TRUE),OR(exact(Metadata!J877,"Host-associated"),exact(Metadata!J877,"Free-living")))</f>
        <v>0</v>
      </c>
      <c r="AW877">
        <f>AND(IF(Metadata!K877="",FALSE,TRUE),OR(exact(Metadata!K877,"Animal"),exact(Metadata!K877,"Fungus"),exact(Metadata!K877,"Plant"),exact(Metadata!K877,"Saline"),exact(Metadata!K877,"Non-saline")))</f>
        <v>0</v>
      </c>
      <c r="AX877">
        <f>AND(IF(Metadata!L877="",FALSE,TRUE),OR(exact(Metadata!L877,"Plant secretion"),exact(Metadata!L877,"Plant rhizosphere"),exact(Metadata!L877,"Plant surface"),exact(Metadata!L877,"Plant corpus"),exact(Metadata!L877,"Fungus surface"),exact(Metadata!L877,"Fungus corpus"),exact(Metadata!L877,"Animal surface"),exact(Metadata!L877,"Animal proximal gut"),exact(Metadata!L877,"Animal corpus"),exact(Metadata!L877,"Animal distal gut"),exact(Metadata!L877,"Animal secretion"),exact(Metadata!L877,"Sub-surface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Y877">
        <f>IF(Metadata!M877="",FALSE,TRUE)</f>
        <v>0</v>
      </c>
      <c r="AZ877">
        <f>IF(Metadata!N877="",FALSE,TRUE)</f>
        <v>0</v>
      </c>
      <c r="BA877">
        <f>IF(Metadata!O877="",FALSE,TRUE)</f>
        <v>0</v>
      </c>
      <c r="BB877">
        <f>OR(AND(IF(Metadata!P877="",FALSE,TRUE),OR(exact(Metadata!P877,"not collected"),exact(Metadata!P877,"not provided"),exact(Metadata!P877,"restricted access"))),AND(IF(Metadata!P877="",FALSE,TRUE),OR(exact(Metadata!P877,"air"),exact(Metadata!P877,"built environment"),exact(Metadata!P877,"host-associated"),exact(Metadata!P877,"human-associated"),exact(Metadata!P877,"human-skin"),exact(Metadata!P877,"human-oral"),exact(Metadata!P877,"human-gut"),exact(Metadata!P877,"human-vaginal"),exact(Metadata!P877,"microbial mat/biofilm"),exact(Metadata!P877,"misc environment"),exact(Metadata!P877,"plant-associated"),exact(Metadata!P877,"sediment"),exact(Metadata!P877,"soil"),exact(Metadata!P877,"wastewater/sludge"),exact(Metadata!P877,"water"))))</f>
        <v>0</v>
      </c>
      <c r="BC877">
        <f>IF(Metadata!Q877="",FALSE,TRUE)</f>
        <v>0</v>
      </c>
      <c r="BD877">
        <f>IF(Metadata!R877="",FALSE,TRUE)</f>
        <v>0</v>
      </c>
      <c r="BE877">
        <f>OR(AND(IF(Metadata!S877="",FALSE,TRUE),OR(exact(Metadata!S877,"not collected"),exact(Metadata!S877,"not provided"),exact(Metadata!S877,"restricted access"))),AND(IF(Metadata!S877="",FALSE,ISNUMBER(VALUE(Metadata!S877))),Metadata!S877&gt;=-90.00,Metadata!S877&lt;=90.00))</f>
        <v>0</v>
      </c>
      <c r="BF877">
        <f>AND(IF(Metadata!T877="",FALSE,TRUE),exact(Metadata!T877,"Decimal degrees"))</f>
        <v>0</v>
      </c>
      <c r="BG877">
        <f>OR(AND(IF(Metadata!U877="",FALSE,TRUE),OR(exact(Metadata!U877,"not collected"),exact(Metadata!U877,"not provided"),exact(Metadata!U877,"restricted access"))),AND(IF(Metadata!U877="",FALSE,ISNUMBER(VALUE(Metadata!U877))),Metadata!U877&gt;=-180.00,Metadata!U877&lt;=180.00))</f>
        <v>0</v>
      </c>
      <c r="BH877">
        <f>AND(IF(Metadata!V877="",FALSE,TRUE),exact(Metadata!V877,"Decimal degrees"))</f>
        <v>0</v>
      </c>
      <c r="BI877">
        <f>IF(Metadata!W877="",FALSE,TRUE)</f>
        <v>0</v>
      </c>
      <c r="BJ877">
        <f>OR(AND(IF(Metadata!X877="",FALSE,TRUE),OR(exact(Metadata!X877,"not collected"),exact(Metadata!X877,"not provided"),exact(Metadata!X877,"restricted access"))),AND(IF(Metadata!X877="",FALSE,TRUE),OR(exact(Metadata!X877,"TRUE"),exact(Metadata!X877,"FALSE"))))</f>
        <v>0</v>
      </c>
      <c r="BK877">
        <f>AND(IF(Metadata!Y877="",FALSE,TRUE),exact(Metadata!Y877,"other"))</f>
        <v>0</v>
      </c>
      <c r="BL877">
        <f>IF(Metadata!Z877="",FALSE,TRUE)</f>
        <v>0</v>
      </c>
      <c r="BM877">
        <f>OR(AND(IF(Metadata!AA877="",FALSE,TRUE),OR(exact(Metadata!AA877,"not collected"),exact(Metadata!AA877,"not provided"))),AND(IF(Metadata!AA877="",FALSE,IF(ISERROR(INT(Metadata!AA877)),FALSE,INT(Metadata!AA877)=Metadata!AA877)),Metadata!AA877&gt;0))</f>
        <v>0</v>
      </c>
      <c r="BN877">
        <f>AND(IF(Metadata!AB877="",FALSE,TRUE),exact(Metadata!AB877,"Not applicable"))</f>
        <v>0</v>
      </c>
      <c r="BO877">
        <f>IF(Metadata!AC877="",FALSE,TRUE)</f>
        <v>0</v>
      </c>
    </row>
    <row r="878" spans="1:67">
      <c r="A878" s="5">
        <f>IF(B878=" "," ",HYPERLINK(CONCATENATE("#metadata!",ADDRESS(INDEX($AI$2:$AI$1001,MATCH(ROWS($AG$2:AG878),$AG$2:$AG$1001,0),0),1)),INDEX($AL$2:$AL$1001,MATCH(ROWS($AG$2:AG878),$AG$2:$AG$1001,0),0)))</f>
        <v>0</v>
      </c>
      <c r="B878" s="4">
        <f>IF(OR(INDEX($AH$2:$AH$1001,MATCH(ROWS($AG$2:AG878),$AG$2:$AG$1001,0),1)&gt;=100000,INDEX($AN$1005:$BO$1005,1,MATCH(COLUMNS($AN$1006:AN1006),$AN$1006:$BO$1006,0))&gt;=100000), " ",IF(INDEX($AN$2:$BO$1001,MATCH(ROWS($AG$2:AG878),$AG$2:$AG$1001,0),MATCH(COLUMNS($AN$1006:AN1006),$AN$1006:$BO$1006,0)), HYPERLINK("#",""), HYPERLINK(CONCATENATE("#Metadata!", ADDRESS(INDEX($AI$2:$AI$1001,MATCH(ROWS($AG$2:AG878),$AG$2:$AG$1001,0),0), INDEX($AN$1004:$BO$1004,1,MATCH(COLUMNS($AN$1006:AN1006),$AN$1006:$BO$1006,0)))),"Fix")))</f>
        <v>0</v>
      </c>
      <c r="C878" s="4">
        <f>IF(OR(INDEX($AH$2:$AH$1001,MATCH(ROWS($AG$2:AG878),$AG$2:$AG$1001,0),1)&gt;=100000,INDEX($AN$1005:$BO$1005,1,MATCH(COLUMNS($AN$1006:AO1006),$AN$1006:$BO$1006,0))&gt;=100000), " ",IF(INDEX($AN$2:$BO$1001,MATCH(ROWS($AG$2:AG878),$AG$2:$AG$1001,0),MATCH(COLUMNS($AN$1006:AO1006),$AN$1006:$BO$1006,0)), HYPERLINK("#",""), HYPERLINK(CONCATENATE("#Metadata!", ADDRESS(INDEX($AI$2:$AI$1001,MATCH(ROWS($AG$2:AG878),$AG$2:$AG$1001,0),0), INDEX($AN$1004:$BO$1004,1,MATCH(COLUMNS($AN$1006:AO1006),$AN$1006:$BO$1006,0)))),"Fix")))</f>
        <v>0</v>
      </c>
      <c r="D878" s="4">
        <f>IF(OR(INDEX($AH$2:$AH$1001,MATCH(ROWS($AG$2:AG878),$AG$2:$AG$1001,0),1)&gt;=100000,INDEX($AN$1005:$BO$1005,1,MATCH(COLUMNS($AN$1006:AP1006),$AN$1006:$BO$1006,0))&gt;=100000), " ",IF(INDEX($AN$2:$BO$1001,MATCH(ROWS($AG$2:AG878),$AG$2:$AG$1001,0),MATCH(COLUMNS($AN$1006:AP1006),$AN$1006:$BO$1006,0)), HYPERLINK("#",""), HYPERLINK(CONCATENATE("#Metadata!", ADDRESS(INDEX($AI$2:$AI$1001,MATCH(ROWS($AG$2:AG878),$AG$2:$AG$1001,0),0), INDEX($AN$1004:$BO$1004,1,MATCH(COLUMNS($AN$1006:AP1006),$AN$1006:$BO$1006,0)))),"Fix")))</f>
        <v>0</v>
      </c>
      <c r="E878" s="4">
        <f>IF(OR(INDEX($AH$2:$AH$1001,MATCH(ROWS($AG$2:AG878),$AG$2:$AG$1001,0),1)&gt;=100000,INDEX($AN$1005:$BO$1005,1,MATCH(COLUMNS($AN$1006:AQ1006),$AN$1006:$BO$1006,0))&gt;=100000), " ",IF(INDEX($AN$2:$BO$1001,MATCH(ROWS($AG$2:AG878),$AG$2:$AG$1001,0),MATCH(COLUMNS($AN$1006:AQ1006),$AN$1006:$BO$1006,0)), HYPERLINK("#",""), HYPERLINK(CONCATENATE("#Metadata!", ADDRESS(INDEX($AI$2:$AI$1001,MATCH(ROWS($AG$2:AG878),$AG$2:$AG$1001,0),0), INDEX($AN$1004:$BO$1004,1,MATCH(COLUMNS($AN$1006:AQ1006),$AN$1006:$BO$1006,0)))),"Fix")))</f>
        <v>0</v>
      </c>
      <c r="F878" s="4">
        <f>IF(OR(INDEX($AH$2:$AH$1001,MATCH(ROWS($AG$2:AG878),$AG$2:$AG$1001,0),1)&gt;=100000,INDEX($AN$1005:$BO$1005,1,MATCH(COLUMNS($AN$1006:AR1006),$AN$1006:$BO$1006,0))&gt;=100000), " ",IF(INDEX($AN$2:$BO$1001,MATCH(ROWS($AG$2:AG878),$AG$2:$AG$1001,0),MATCH(COLUMNS($AN$1006:AR1006),$AN$1006:$BO$1006,0)), HYPERLINK("#",""), HYPERLINK(CONCATENATE("#Metadata!", ADDRESS(INDEX($AI$2:$AI$1001,MATCH(ROWS($AG$2:AG878),$AG$2:$AG$1001,0),0), INDEX($AN$1004:$BO$1004,1,MATCH(COLUMNS($AN$1006:AR1006),$AN$1006:$BO$1006,0)))),"Fix")))</f>
        <v>0</v>
      </c>
      <c r="G878" s="4">
        <f>IF(OR(INDEX($AH$2:$AH$1001,MATCH(ROWS($AG$2:AG878),$AG$2:$AG$1001,0),1)&gt;=100000,INDEX($AN$1005:$BO$1005,1,MATCH(COLUMNS($AN$1006:AS1006),$AN$1006:$BO$1006,0))&gt;=100000), " ",IF(INDEX($AN$2:$BO$1001,MATCH(ROWS($AG$2:AG878),$AG$2:$AG$1001,0),MATCH(COLUMNS($AN$1006:AS1006),$AN$1006:$BO$1006,0)), HYPERLINK("#",""), HYPERLINK(CONCATENATE("#Metadata!", ADDRESS(INDEX($AI$2:$AI$1001,MATCH(ROWS($AG$2:AG878),$AG$2:$AG$1001,0),0), INDEX($AN$1004:$BO$1004,1,MATCH(COLUMNS($AN$1006:AS1006),$AN$1006:$BO$1006,0)))),"Fix")))</f>
        <v>0</v>
      </c>
      <c r="H878" s="4">
        <f>IF(OR(INDEX($AH$2:$AH$1001,MATCH(ROWS($AG$2:AG878),$AG$2:$AG$1001,0),1)&gt;=100000,INDEX($AN$1005:$BO$1005,1,MATCH(COLUMNS($AN$1006:AT1006),$AN$1006:$BO$1006,0))&gt;=100000), " ",IF(INDEX($AN$2:$BO$1001,MATCH(ROWS($AG$2:AG878),$AG$2:$AG$1001,0),MATCH(COLUMNS($AN$1006:AT1006),$AN$1006:$BO$1006,0)), HYPERLINK("#",""), HYPERLINK(CONCATENATE("#Metadata!", ADDRESS(INDEX($AI$2:$AI$1001,MATCH(ROWS($AG$2:AG878),$AG$2:$AG$1001,0),0), INDEX($AN$1004:$BO$1004,1,MATCH(COLUMNS($AN$1006:AT1006),$AN$1006:$BO$1006,0)))),"Fix")))</f>
        <v>0</v>
      </c>
      <c r="I878" s="4">
        <f>IF(OR(INDEX($AH$2:$AH$1001,MATCH(ROWS($AG$2:AG878),$AG$2:$AG$1001,0),1)&gt;=100000,INDEX($AN$1005:$BO$1005,1,MATCH(COLUMNS($AN$1006:AU1006),$AN$1006:$BO$1006,0))&gt;=100000), " ",IF(INDEX($AN$2:$BO$1001,MATCH(ROWS($AG$2:AG878),$AG$2:$AG$1001,0),MATCH(COLUMNS($AN$1006:AU1006),$AN$1006:$BO$1006,0)), HYPERLINK("#",""), HYPERLINK(CONCATENATE("#Metadata!", ADDRESS(INDEX($AI$2:$AI$1001,MATCH(ROWS($AG$2:AG878),$AG$2:$AG$1001,0),0), INDEX($AN$1004:$BO$1004,1,MATCH(COLUMNS($AN$1006:AU1006),$AN$1006:$BO$1006,0)))),"Fix")))</f>
        <v>0</v>
      </c>
      <c r="J878" s="4">
        <f>IF(OR(INDEX($AH$2:$AH$1001,MATCH(ROWS($AG$2:AG878),$AG$2:$AG$1001,0),1)&gt;=100000,INDEX($AN$1005:$BO$1005,1,MATCH(COLUMNS($AN$1006:AV1006),$AN$1006:$BO$1006,0))&gt;=100000), " ",IF(INDEX($AN$2:$BO$1001,MATCH(ROWS($AG$2:AG878),$AG$2:$AG$1001,0),MATCH(COLUMNS($AN$1006:AV1006),$AN$1006:$BO$1006,0)), HYPERLINK("#",""), HYPERLINK(CONCATENATE("#Metadata!", ADDRESS(INDEX($AI$2:$AI$1001,MATCH(ROWS($AG$2:AG878),$AG$2:$AG$1001,0),0), INDEX($AN$1004:$BO$1004,1,MATCH(COLUMNS($AN$1006:AV1006),$AN$1006:$BO$1006,0)))),"Fix")))</f>
        <v>0</v>
      </c>
      <c r="K878" s="4">
        <f>IF(OR(INDEX($AH$2:$AH$1001,MATCH(ROWS($AG$2:AG878),$AG$2:$AG$1001,0),1)&gt;=100000,INDEX($AN$1005:$BO$1005,1,MATCH(COLUMNS($AN$1006:AW1006),$AN$1006:$BO$1006,0))&gt;=100000), " ",IF(INDEX($AN$2:$BO$1001,MATCH(ROWS($AG$2:AG878),$AG$2:$AG$1001,0),MATCH(COLUMNS($AN$1006:AW1006),$AN$1006:$BO$1006,0)), HYPERLINK("#",""), HYPERLINK(CONCATENATE("#Metadata!", ADDRESS(INDEX($AI$2:$AI$1001,MATCH(ROWS($AG$2:AG878),$AG$2:$AG$1001,0),0), INDEX($AN$1004:$BO$1004,1,MATCH(COLUMNS($AN$1006:AW1006),$AN$1006:$BO$1006,0)))),"Fix")))</f>
        <v>0</v>
      </c>
      <c r="L878" s="4">
        <f>IF(OR(INDEX($AH$2:$AH$1001,MATCH(ROWS($AG$2:AG878),$AG$2:$AG$1001,0),1)&gt;=100000,INDEX($AN$1005:$BO$1005,1,MATCH(COLUMNS($AN$1006:AX1006),$AN$1006:$BO$1006,0))&gt;=100000), " ",IF(INDEX($AN$2:$BO$1001,MATCH(ROWS($AG$2:AG878),$AG$2:$AG$1001,0),MATCH(COLUMNS($AN$1006:AX1006),$AN$1006:$BO$1006,0)), HYPERLINK("#",""), HYPERLINK(CONCATENATE("#Metadata!", ADDRESS(INDEX($AI$2:$AI$1001,MATCH(ROWS($AG$2:AG878),$AG$2:$AG$1001,0),0), INDEX($AN$1004:$BO$1004,1,MATCH(COLUMNS($AN$1006:AX1006),$AN$1006:$BO$1006,0)))),"Fix")))</f>
        <v>0</v>
      </c>
      <c r="M878" s="4">
        <f>IF(OR(INDEX($AH$2:$AH$1001,MATCH(ROWS($AG$2:AG878),$AG$2:$AG$1001,0),1)&gt;=100000,INDEX($AN$1005:$BO$1005,1,MATCH(COLUMNS($AN$1006:AY1006),$AN$1006:$BO$1006,0))&gt;=100000), " ",IF(INDEX($AN$2:$BO$1001,MATCH(ROWS($AG$2:AG878),$AG$2:$AG$1001,0),MATCH(COLUMNS($AN$1006:AY1006),$AN$1006:$BO$1006,0)), HYPERLINK("#",""), HYPERLINK(CONCATENATE("#Metadata!", ADDRESS(INDEX($AI$2:$AI$1001,MATCH(ROWS($AG$2:AG878),$AG$2:$AG$1001,0),0), INDEX($AN$1004:$BO$1004,1,MATCH(COLUMNS($AN$1006:AY1006),$AN$1006:$BO$1006,0)))),"Fix")))</f>
        <v>0</v>
      </c>
      <c r="N878" s="4">
        <f>IF(OR(INDEX($AH$2:$AH$1001,MATCH(ROWS($AG$2:AG878),$AG$2:$AG$1001,0),1)&gt;=100000,INDEX($AN$1005:$BO$1005,1,MATCH(COLUMNS($AN$1006:AZ1006),$AN$1006:$BO$1006,0))&gt;=100000), " ",IF(INDEX($AN$2:$BO$1001,MATCH(ROWS($AG$2:AG878),$AG$2:$AG$1001,0),MATCH(COLUMNS($AN$1006:AZ1006),$AN$1006:$BO$1006,0)), HYPERLINK("#",""), HYPERLINK(CONCATENATE("#Metadata!", ADDRESS(INDEX($AI$2:$AI$1001,MATCH(ROWS($AG$2:AG878),$AG$2:$AG$1001,0),0), INDEX($AN$1004:$BO$1004,1,MATCH(COLUMNS($AN$1006:AZ1006),$AN$1006:$BO$1006,0)))),"Fix")))</f>
        <v>0</v>
      </c>
      <c r="O878" s="4">
        <f>IF(OR(INDEX($AH$2:$AH$1001,MATCH(ROWS($AG$2:AG878),$AG$2:$AG$1001,0),1)&gt;=100000,INDEX($AN$1005:$BO$1005,1,MATCH(COLUMNS($AN$1006:BA1006),$AN$1006:$BO$1006,0))&gt;=100000), " ",IF(INDEX($AN$2:$BO$1001,MATCH(ROWS($AG$2:AG878),$AG$2:$AG$1001,0),MATCH(COLUMNS($AN$1006:BA1006),$AN$1006:$BO$1006,0)), HYPERLINK("#",""), HYPERLINK(CONCATENATE("#Metadata!", ADDRESS(INDEX($AI$2:$AI$1001,MATCH(ROWS($AG$2:AG878),$AG$2:$AG$1001,0),0), INDEX($AN$1004:$BO$1004,1,MATCH(COLUMNS($AN$1006:BA1006),$AN$1006:$BO$1006,0)))),"Fix")))</f>
        <v>0</v>
      </c>
      <c r="P878" s="4">
        <f>IF(OR(INDEX($AH$2:$AH$1001,MATCH(ROWS($AG$2:AG878),$AG$2:$AG$1001,0),1)&gt;=100000,INDEX($AN$1005:$BO$1005,1,MATCH(COLUMNS($AN$1006:BB1006),$AN$1006:$BO$1006,0))&gt;=100000), " ",IF(INDEX($AN$2:$BO$1001,MATCH(ROWS($AG$2:AG878),$AG$2:$AG$1001,0),MATCH(COLUMNS($AN$1006:BB1006),$AN$1006:$BO$1006,0)), HYPERLINK("#",""), HYPERLINK(CONCATENATE("#Metadata!", ADDRESS(INDEX($AI$2:$AI$1001,MATCH(ROWS($AG$2:AG878),$AG$2:$AG$1001,0),0), INDEX($AN$1004:$BO$1004,1,MATCH(COLUMNS($AN$1006:BB1006),$AN$1006:$BO$1006,0)))),"Fix")))</f>
        <v>0</v>
      </c>
      <c r="Q878" s="4">
        <f>IF(OR(INDEX($AH$2:$AH$1001,MATCH(ROWS($AG$2:AG878),$AG$2:$AG$1001,0),1)&gt;=100000,INDEX($AN$1005:$BO$1005,1,MATCH(COLUMNS($AN$1006:BC1006),$AN$1006:$BO$1006,0))&gt;=100000), " ",IF(INDEX($AN$2:$BO$1001,MATCH(ROWS($AG$2:AG878),$AG$2:$AG$1001,0),MATCH(COLUMNS($AN$1006:BC1006),$AN$1006:$BO$1006,0)), HYPERLINK("#",""), HYPERLINK(CONCATENATE("#Metadata!", ADDRESS(INDEX($AI$2:$AI$1001,MATCH(ROWS($AG$2:AG878),$AG$2:$AG$1001,0),0), INDEX($AN$1004:$BO$1004,1,MATCH(COLUMNS($AN$1006:BC1006),$AN$1006:$BO$1006,0)))),"Fix")))</f>
        <v>0</v>
      </c>
      <c r="R878" s="4">
        <f>IF(OR(INDEX($AH$2:$AH$1001,MATCH(ROWS($AG$2:AG878),$AG$2:$AG$1001,0),1)&gt;=100000,INDEX($AN$1005:$BO$1005,1,MATCH(COLUMNS($AN$1006:BD1006),$AN$1006:$BO$1006,0))&gt;=100000), " ",IF(INDEX($AN$2:$BO$1001,MATCH(ROWS($AG$2:AG878),$AG$2:$AG$1001,0),MATCH(COLUMNS($AN$1006:BD1006),$AN$1006:$BO$1006,0)), HYPERLINK("#",""), HYPERLINK(CONCATENATE("#Metadata!", ADDRESS(INDEX($AI$2:$AI$1001,MATCH(ROWS($AG$2:AG878),$AG$2:$AG$1001,0),0), INDEX($AN$1004:$BO$1004,1,MATCH(COLUMNS($AN$1006:BD1006),$AN$1006:$BO$1006,0)))),"Fix")))</f>
        <v>0</v>
      </c>
      <c r="S878" s="4">
        <f>IF(OR(INDEX($AH$2:$AH$1001,MATCH(ROWS($AG$2:AG878),$AG$2:$AG$1001,0),1)&gt;=100000,INDEX($AN$1005:$BO$1005,1,MATCH(COLUMNS($AN$1006:BE1006),$AN$1006:$BO$1006,0))&gt;=100000), " ",IF(INDEX($AN$2:$BO$1001,MATCH(ROWS($AG$2:AG878),$AG$2:$AG$1001,0),MATCH(COLUMNS($AN$1006:BE1006),$AN$1006:$BO$1006,0)), HYPERLINK("#",""), HYPERLINK(CONCATENATE("#Metadata!", ADDRESS(INDEX($AI$2:$AI$1001,MATCH(ROWS($AG$2:AG878),$AG$2:$AG$1001,0),0), INDEX($AN$1004:$BO$1004,1,MATCH(COLUMNS($AN$1006:BE1006),$AN$1006:$BO$1006,0)))),"Fix")))</f>
        <v>0</v>
      </c>
      <c r="T878" s="4">
        <f>IF(OR(INDEX($AH$2:$AH$1001,MATCH(ROWS($AG$2:AG878),$AG$2:$AG$1001,0),1)&gt;=100000,INDEX($AN$1005:$BO$1005,1,MATCH(COLUMNS($AN$1006:BF1006),$AN$1006:$BO$1006,0))&gt;=100000), " ",IF(INDEX($AN$2:$BO$1001,MATCH(ROWS($AG$2:AG878),$AG$2:$AG$1001,0),MATCH(COLUMNS($AN$1006:BF1006),$AN$1006:$BO$1006,0)), HYPERLINK("#",""), HYPERLINK(CONCATENATE("#Metadata!", ADDRESS(INDEX($AI$2:$AI$1001,MATCH(ROWS($AG$2:AG878),$AG$2:$AG$1001,0),0), INDEX($AN$1004:$BO$1004,1,MATCH(COLUMNS($AN$1006:BF1006),$AN$1006:$BO$1006,0)))),"Fix")))</f>
        <v>0</v>
      </c>
      <c r="U878" s="4">
        <f>IF(OR(INDEX($AH$2:$AH$1001,MATCH(ROWS($AG$2:AG878),$AG$2:$AG$1001,0),1)&gt;=100000,INDEX($AN$1005:$BO$1005,1,MATCH(COLUMNS($AN$1006:BG1006),$AN$1006:$BO$1006,0))&gt;=100000), " ",IF(INDEX($AN$2:$BO$1001,MATCH(ROWS($AG$2:AG878),$AG$2:$AG$1001,0),MATCH(COLUMNS($AN$1006:BG1006),$AN$1006:$BO$1006,0)), HYPERLINK("#",""), HYPERLINK(CONCATENATE("#Metadata!", ADDRESS(INDEX($AI$2:$AI$1001,MATCH(ROWS($AG$2:AG878),$AG$2:$AG$1001,0),0), INDEX($AN$1004:$BO$1004,1,MATCH(COLUMNS($AN$1006:BG1006),$AN$1006:$BO$1006,0)))),"Fix")))</f>
        <v>0</v>
      </c>
      <c r="V878" s="4">
        <f>IF(OR(INDEX($AH$2:$AH$1001,MATCH(ROWS($AG$2:AG878),$AG$2:$AG$1001,0),1)&gt;=100000,INDEX($AN$1005:$BO$1005,1,MATCH(COLUMNS($AN$1006:BH1006),$AN$1006:$BO$1006,0))&gt;=100000), " ",IF(INDEX($AN$2:$BO$1001,MATCH(ROWS($AG$2:AG878),$AG$2:$AG$1001,0),MATCH(COLUMNS($AN$1006:BH1006),$AN$1006:$BO$1006,0)), HYPERLINK("#",""), HYPERLINK(CONCATENATE("#Metadata!", ADDRESS(INDEX($AI$2:$AI$1001,MATCH(ROWS($AG$2:AG878),$AG$2:$AG$1001,0),0), INDEX($AN$1004:$BO$1004,1,MATCH(COLUMNS($AN$1006:BH1006),$AN$1006:$BO$1006,0)))),"Fix")))</f>
        <v>0</v>
      </c>
      <c r="W878" s="4">
        <f>IF(OR(INDEX($AH$2:$AH$1001,MATCH(ROWS($AG$2:AG878),$AG$2:$AG$1001,0),1)&gt;=100000,INDEX($AN$1005:$BO$1005,1,MATCH(COLUMNS($AN$1006:BI1006),$AN$1006:$BO$1006,0))&gt;=100000), " ",IF(INDEX($AN$2:$BO$1001,MATCH(ROWS($AG$2:AG878),$AG$2:$AG$1001,0),MATCH(COLUMNS($AN$1006:BI1006),$AN$1006:$BO$1006,0)), HYPERLINK("#",""), HYPERLINK(CONCATENATE("#Metadata!", ADDRESS(INDEX($AI$2:$AI$1001,MATCH(ROWS($AG$2:AG878),$AG$2:$AG$1001,0),0), INDEX($AN$1004:$BO$1004,1,MATCH(COLUMNS($AN$1006:BI1006),$AN$1006:$BO$1006,0)))),"Fix")))</f>
        <v>0</v>
      </c>
      <c r="X878" s="4">
        <f>IF(OR(INDEX($AH$2:$AH$1001,MATCH(ROWS($AG$2:AG878),$AG$2:$AG$1001,0),1)&gt;=100000,INDEX($AN$1005:$BO$1005,1,MATCH(COLUMNS($AN$1006:BJ1006),$AN$1006:$BO$1006,0))&gt;=100000), " ",IF(INDEX($AN$2:$BO$1001,MATCH(ROWS($AG$2:AG878),$AG$2:$AG$1001,0),MATCH(COLUMNS($AN$1006:BJ1006),$AN$1006:$BO$1006,0)), HYPERLINK("#",""), HYPERLINK(CONCATENATE("#Metadata!", ADDRESS(INDEX($AI$2:$AI$1001,MATCH(ROWS($AG$2:AG878),$AG$2:$AG$1001,0),0), INDEX($AN$1004:$BO$1004,1,MATCH(COLUMNS($AN$1006:BJ1006),$AN$1006:$BO$1006,0)))),"Fix")))</f>
        <v>0</v>
      </c>
      <c r="Y878" s="4">
        <f>IF(OR(INDEX($AH$2:$AH$1001,MATCH(ROWS($AG$2:AG878),$AG$2:$AG$1001,0),1)&gt;=100000,INDEX($AN$1005:$BO$1005,1,MATCH(COLUMNS($AN$1006:BK1006),$AN$1006:$BO$1006,0))&gt;=100000), " ",IF(INDEX($AN$2:$BO$1001,MATCH(ROWS($AG$2:AG878),$AG$2:$AG$1001,0),MATCH(COLUMNS($AN$1006:BK1006),$AN$1006:$BO$1006,0)), HYPERLINK("#",""), HYPERLINK(CONCATENATE("#Metadata!", ADDRESS(INDEX($AI$2:$AI$1001,MATCH(ROWS($AG$2:AG878),$AG$2:$AG$1001,0),0), INDEX($AN$1004:$BO$1004,1,MATCH(COLUMNS($AN$1006:BK1006),$AN$1006:$BO$1006,0)))),"Fix")))</f>
        <v>0</v>
      </c>
      <c r="Z878" s="4">
        <f>IF(OR(INDEX($AH$2:$AH$1001,MATCH(ROWS($AG$2:AG878),$AG$2:$AG$1001,0),1)&gt;=100000,INDEX($AN$1005:$BO$1005,1,MATCH(COLUMNS($AN$1006:BL1006),$AN$1006:$BO$1006,0))&gt;=100000), " ",IF(INDEX($AN$2:$BO$1001,MATCH(ROWS($AG$2:AG878),$AG$2:$AG$1001,0),MATCH(COLUMNS($AN$1006:BL1006),$AN$1006:$BO$1006,0)), HYPERLINK("#",""), HYPERLINK(CONCATENATE("#Metadata!", ADDRESS(INDEX($AI$2:$AI$1001,MATCH(ROWS($AG$2:AG878),$AG$2:$AG$1001,0),0), INDEX($AN$1004:$BO$1004,1,MATCH(COLUMNS($AN$1006:BL1006),$AN$1006:$BO$1006,0)))),"Fix")))</f>
        <v>0</v>
      </c>
      <c r="AA878" s="4">
        <f>IF(OR(INDEX($AH$2:$AH$1001,MATCH(ROWS($AG$2:AG878),$AG$2:$AG$1001,0),1)&gt;=100000,INDEX($AN$1005:$BO$1005,1,MATCH(COLUMNS($AN$1006:BM1006),$AN$1006:$BO$1006,0))&gt;=100000), " ",IF(INDEX($AN$2:$BO$1001,MATCH(ROWS($AG$2:AG878),$AG$2:$AG$1001,0),MATCH(COLUMNS($AN$1006:BM1006),$AN$1006:$BO$1006,0)), HYPERLINK("#",""), HYPERLINK(CONCATENATE("#Metadata!", ADDRESS(INDEX($AI$2:$AI$1001,MATCH(ROWS($AG$2:AG878),$AG$2:$AG$1001,0),0), INDEX($AN$1004:$BO$1004,1,MATCH(COLUMNS($AN$1006:BM1006),$AN$1006:$BO$1006,0)))),"Fix")))</f>
        <v>0</v>
      </c>
      <c r="AB878" s="4">
        <f>IF(OR(INDEX($AH$2:$AH$1001,MATCH(ROWS($AG$2:AG878),$AG$2:$AG$1001,0),1)&gt;=100000,INDEX($AN$1005:$BO$1005,1,MATCH(COLUMNS($AN$1006:BN1006),$AN$1006:$BO$1006,0))&gt;=100000), " ",IF(INDEX($AN$2:$BO$1001,MATCH(ROWS($AG$2:AG878),$AG$2:$AG$1001,0),MATCH(COLUMNS($AN$1006:BN1006),$AN$1006:$BO$1006,0)), HYPERLINK("#",""), HYPERLINK(CONCATENATE("#Metadata!", ADDRESS(INDEX($AI$2:$AI$1001,MATCH(ROWS($AG$2:AG878),$AG$2:$AG$1001,0),0), INDEX($AN$1004:$BO$1004,1,MATCH(COLUMNS($AN$1006:BN1006),$AN$1006:$BO$1006,0)))),"Fix")))</f>
        <v>0</v>
      </c>
      <c r="AC878" s="4">
        <f>IF(OR(INDEX($AH$2:$AH$1001,MATCH(ROWS($AG$2:AG878),$AG$2:$AG$1001,0),1)&gt;=100000,INDEX($AN$1005:$BO$1005,1,MATCH(COLUMNS($AN$1006:BO1006),$AN$1006:$BO$1006,0))&gt;=100000), " ",IF(INDEX($AN$2:$BO$1001,MATCH(ROWS($AG$2:AG878),$AG$2:$AG$1001,0),MATCH(COLUMNS($AN$1006:BO1006),$AN$1006:$BO$1006,0)), HYPERLINK("#",""), HYPERLINK(CONCATENATE("#Metadata!", ADDRESS(INDEX($AI$2:$AI$1001,MATCH(ROWS($AG$2:AG878),$AG$2:$AG$1001,0),0), INDEX($AN$1004:$BO$1004,1,MATCH(COLUMNS($AN$1006:BO1006),$AN$1006:$BO$1006,0)))),"Fix")))</f>
        <v>0</v>
      </c>
      <c r="AG878">
        <v>0</v>
      </c>
      <c r="AH878">
        <v>0</v>
      </c>
      <c r="AI878">
        <v>0</v>
      </c>
      <c r="AJ878">
        <f>IF(AK878,TRUE,AND(AN878:BO878))</f>
        <v>0</v>
      </c>
      <c r="AK878">
        <f>COUNTBLANK(Metadata!B878:AC878)=COLUMNS(Metadata!B878:AC878)</f>
        <v>0</v>
      </c>
      <c r="AL878">
        <v>0</v>
      </c>
      <c r="AN878">
        <f>AND(IF(Metadata!B878="",FALSE,TRUE),COUNTIF(Metadata!B:B, Metadata!B878) = 1,NOT(ISERROR(SUMPRODUCT(SEARCH(MID(Metadata!B878,ROW(INDIRECT("1:"&amp;LEN(Metadata!B878))), 1),"0123456789abcdefghijklmnopqrstuvwxyzABCDEFGHIJKLMNOPQRSTUVWXYZ.")))))</f>
        <v>0</v>
      </c>
      <c r="AO878">
        <f>IF(Metadata!C878="",FALSE,TRUE)</f>
        <v>0</v>
      </c>
      <c r="AP878">
        <f>IF(Metadata!D878="",FALSE,TRUE)</f>
        <v>0</v>
      </c>
      <c r="AQ878">
        <f>OR(AND(IF(Metadata!E878="",FALSE,TRUE),OR(exact(Metadata!E878,"not collected"),exact(Metadata!E878,"not provided"),exact(Metadata!E878,"restricted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R878">
        <f>IF(Metadata!F878="",FALSE,TRUE)</f>
        <v>0</v>
      </c>
      <c r="AS878">
        <f>OR(AND(IF(Metadata!G878="",FALSE,TRUE),OR(exact(Metadata!G878,"not collected"),exact(Metadata!G878,"not provided"))),AND(IF(Metadata!G878="",FALSE,TRUE),OR(exact(Metadata!G878,"TRUE"),exact(Metadata!G878,"FALSE"))))</f>
        <v>0</v>
      </c>
      <c r="AT878">
        <f>OR(AND(IF(Metadata!H878="",FALSE,TRUE),OR(exact(Metadata!H878,"not collected"),exact(Metadata!H878,"not provided"),exact(Metadata!H878,"restricted access"))),AND(IF(Metadata!H878="",FALSE,ISNUMBER(VALUE(Metadata!H878))),Metadata!H878&gt;=-413.0))</f>
        <v>0</v>
      </c>
      <c r="AU878">
        <f>AND(IF(Metadata!I878="",FALSE,TRUE),exact(Metadata!I878,"meters"))</f>
        <v>0</v>
      </c>
      <c r="AV878">
        <f>AND(IF(Metadata!J878="",FALSE,TRUE),OR(exact(Metadata!J878,"Host-associated"),exact(Metadata!J878,"Free-living")))</f>
        <v>0</v>
      </c>
      <c r="AW878">
        <f>AND(IF(Metadata!K878="",FALSE,TRUE),OR(exact(Metadata!K878,"Animal"),exact(Metadata!K878,"Fungus"),exact(Metadata!K878,"Plant"),exact(Metadata!K878,"Saline"),exact(Metadata!K878,"Non-saline")))</f>
        <v>0</v>
      </c>
      <c r="AX878">
        <f>AND(IF(Metadata!L878="",FALSE,TRUE),OR(exact(Metadata!L878,"Plant secretion"),exact(Metadata!L878,"Plant rhizosphere"),exact(Metadata!L878,"Plant surface"),exact(Metadata!L878,"Plant corpus"),exact(Metadata!L878,"Fungus surface"),exact(Metadata!L878,"Fungus corpus"),exact(Metadata!L878,"Animal surface"),exact(Metadata!L878,"Animal proximal gut"),exact(Metadata!L878,"Animal corpus"),exact(Metadata!L878,"Animal distal gut"),exact(Metadata!L878,"Animal secretion"),exact(Metadata!L878,"Sub-surface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Y878">
        <f>IF(Metadata!M878="",FALSE,TRUE)</f>
        <v>0</v>
      </c>
      <c r="AZ878">
        <f>IF(Metadata!N878="",FALSE,TRUE)</f>
        <v>0</v>
      </c>
      <c r="BA878">
        <f>IF(Metadata!O878="",FALSE,TRUE)</f>
        <v>0</v>
      </c>
      <c r="BB878">
        <f>OR(AND(IF(Metadata!P878="",FALSE,TRUE),OR(exact(Metadata!P878,"not collected"),exact(Metadata!P878,"not provided"),exact(Metadata!P878,"restricted access"))),AND(IF(Metadata!P878="",FALSE,TRUE),OR(exact(Metadata!P878,"air"),exact(Metadata!P878,"built environment"),exact(Metadata!P878,"host-associated"),exact(Metadata!P878,"human-associated"),exact(Metadata!P878,"human-skin"),exact(Metadata!P878,"human-oral"),exact(Metadata!P878,"human-gut"),exact(Metadata!P878,"human-vaginal"),exact(Metadata!P878,"microbial mat/biofilm"),exact(Metadata!P878,"misc environment"),exact(Metadata!P878,"plant-associated"),exact(Metadata!P878,"sediment"),exact(Metadata!P878,"soil"),exact(Metadata!P878,"wastewater/sludge"),exact(Metadata!P878,"water"))))</f>
        <v>0</v>
      </c>
      <c r="BC878">
        <f>IF(Metadata!Q878="",FALSE,TRUE)</f>
        <v>0</v>
      </c>
      <c r="BD878">
        <f>IF(Metadata!R878="",FALSE,TRUE)</f>
        <v>0</v>
      </c>
      <c r="BE878">
        <f>OR(AND(IF(Metadata!S878="",FALSE,TRUE),OR(exact(Metadata!S878,"not collected"),exact(Metadata!S878,"not provided"),exact(Metadata!S878,"restricted access"))),AND(IF(Metadata!S878="",FALSE,ISNUMBER(VALUE(Metadata!S878))),Metadata!S878&gt;=-90.00,Metadata!S878&lt;=90.00))</f>
        <v>0</v>
      </c>
      <c r="BF878">
        <f>AND(IF(Metadata!T878="",FALSE,TRUE),exact(Metadata!T878,"Decimal degrees"))</f>
        <v>0</v>
      </c>
      <c r="BG878">
        <f>OR(AND(IF(Metadata!U878="",FALSE,TRUE),OR(exact(Metadata!U878,"not collected"),exact(Metadata!U878,"not provided"),exact(Metadata!U878,"restricted access"))),AND(IF(Metadata!U878="",FALSE,ISNUMBER(VALUE(Metadata!U878))),Metadata!U878&gt;=-180.00,Metadata!U878&lt;=180.00))</f>
        <v>0</v>
      </c>
      <c r="BH878">
        <f>AND(IF(Metadata!V878="",FALSE,TRUE),exact(Metadata!V878,"Decimal degrees"))</f>
        <v>0</v>
      </c>
      <c r="BI878">
        <f>IF(Metadata!W878="",FALSE,TRUE)</f>
        <v>0</v>
      </c>
      <c r="BJ878">
        <f>OR(AND(IF(Metadata!X878="",FALSE,TRUE),OR(exact(Metadata!X878,"not collected"),exact(Metadata!X878,"not provided"),exact(Metadata!X878,"restricted access"))),AND(IF(Metadata!X878="",FALSE,TRUE),OR(exact(Metadata!X878,"TRUE"),exact(Metadata!X878,"FALSE"))))</f>
        <v>0</v>
      </c>
      <c r="BK878">
        <f>AND(IF(Metadata!Y878="",FALSE,TRUE),exact(Metadata!Y878,"other"))</f>
        <v>0</v>
      </c>
      <c r="BL878">
        <f>IF(Metadata!Z878="",FALSE,TRUE)</f>
        <v>0</v>
      </c>
      <c r="BM878">
        <f>OR(AND(IF(Metadata!AA878="",FALSE,TRUE),OR(exact(Metadata!AA878,"not collected"),exact(Metadata!AA878,"not provided"))),AND(IF(Metadata!AA878="",FALSE,IF(ISERROR(INT(Metadata!AA878)),FALSE,INT(Metadata!AA878)=Metadata!AA878)),Metadata!AA878&gt;0))</f>
        <v>0</v>
      </c>
      <c r="BN878">
        <f>AND(IF(Metadata!AB878="",FALSE,TRUE),exact(Metadata!AB878,"Not applicable"))</f>
        <v>0</v>
      </c>
      <c r="BO878">
        <f>IF(Metadata!AC878="",FALSE,TRUE)</f>
        <v>0</v>
      </c>
    </row>
    <row r="879" spans="1:67">
      <c r="A879" s="5">
        <f>IF(B879=" "," ",HYPERLINK(CONCATENATE("#metadata!",ADDRESS(INDEX($AI$2:$AI$1001,MATCH(ROWS($AG$2:AG879),$AG$2:$AG$1001,0),0),1)),INDEX($AL$2:$AL$1001,MATCH(ROWS($AG$2:AG879),$AG$2:$AG$1001,0),0)))</f>
        <v>0</v>
      </c>
      <c r="B879" s="4">
        <f>IF(OR(INDEX($AH$2:$AH$1001,MATCH(ROWS($AG$2:AG879),$AG$2:$AG$1001,0),1)&gt;=100000,INDEX($AN$1005:$BO$1005,1,MATCH(COLUMNS($AN$1006:AN1006),$AN$1006:$BO$1006,0))&gt;=100000), " ",IF(INDEX($AN$2:$BO$1001,MATCH(ROWS($AG$2:AG879),$AG$2:$AG$1001,0),MATCH(COLUMNS($AN$1006:AN1006),$AN$1006:$BO$1006,0)), HYPERLINK("#",""), HYPERLINK(CONCATENATE("#Metadata!", ADDRESS(INDEX($AI$2:$AI$1001,MATCH(ROWS($AG$2:AG879),$AG$2:$AG$1001,0),0), INDEX($AN$1004:$BO$1004,1,MATCH(COLUMNS($AN$1006:AN1006),$AN$1006:$BO$1006,0)))),"Fix")))</f>
        <v>0</v>
      </c>
      <c r="C879" s="4">
        <f>IF(OR(INDEX($AH$2:$AH$1001,MATCH(ROWS($AG$2:AG879),$AG$2:$AG$1001,0),1)&gt;=100000,INDEX($AN$1005:$BO$1005,1,MATCH(COLUMNS($AN$1006:AO1006),$AN$1006:$BO$1006,0))&gt;=100000), " ",IF(INDEX($AN$2:$BO$1001,MATCH(ROWS($AG$2:AG879),$AG$2:$AG$1001,0),MATCH(COLUMNS($AN$1006:AO1006),$AN$1006:$BO$1006,0)), HYPERLINK("#",""), HYPERLINK(CONCATENATE("#Metadata!", ADDRESS(INDEX($AI$2:$AI$1001,MATCH(ROWS($AG$2:AG879),$AG$2:$AG$1001,0),0), INDEX($AN$1004:$BO$1004,1,MATCH(COLUMNS($AN$1006:AO1006),$AN$1006:$BO$1006,0)))),"Fix")))</f>
        <v>0</v>
      </c>
      <c r="D879" s="4">
        <f>IF(OR(INDEX($AH$2:$AH$1001,MATCH(ROWS($AG$2:AG879),$AG$2:$AG$1001,0),1)&gt;=100000,INDEX($AN$1005:$BO$1005,1,MATCH(COLUMNS($AN$1006:AP1006),$AN$1006:$BO$1006,0))&gt;=100000), " ",IF(INDEX($AN$2:$BO$1001,MATCH(ROWS($AG$2:AG879),$AG$2:$AG$1001,0),MATCH(COLUMNS($AN$1006:AP1006),$AN$1006:$BO$1006,0)), HYPERLINK("#",""), HYPERLINK(CONCATENATE("#Metadata!", ADDRESS(INDEX($AI$2:$AI$1001,MATCH(ROWS($AG$2:AG879),$AG$2:$AG$1001,0),0), INDEX($AN$1004:$BO$1004,1,MATCH(COLUMNS($AN$1006:AP1006),$AN$1006:$BO$1006,0)))),"Fix")))</f>
        <v>0</v>
      </c>
      <c r="E879" s="4">
        <f>IF(OR(INDEX($AH$2:$AH$1001,MATCH(ROWS($AG$2:AG879),$AG$2:$AG$1001,0),1)&gt;=100000,INDEX($AN$1005:$BO$1005,1,MATCH(COLUMNS($AN$1006:AQ1006),$AN$1006:$BO$1006,0))&gt;=100000), " ",IF(INDEX($AN$2:$BO$1001,MATCH(ROWS($AG$2:AG879),$AG$2:$AG$1001,0),MATCH(COLUMNS($AN$1006:AQ1006),$AN$1006:$BO$1006,0)), HYPERLINK("#",""), HYPERLINK(CONCATENATE("#Metadata!", ADDRESS(INDEX($AI$2:$AI$1001,MATCH(ROWS($AG$2:AG879),$AG$2:$AG$1001,0),0), INDEX($AN$1004:$BO$1004,1,MATCH(COLUMNS($AN$1006:AQ1006),$AN$1006:$BO$1006,0)))),"Fix")))</f>
        <v>0</v>
      </c>
      <c r="F879" s="4">
        <f>IF(OR(INDEX($AH$2:$AH$1001,MATCH(ROWS($AG$2:AG879),$AG$2:$AG$1001,0),1)&gt;=100000,INDEX($AN$1005:$BO$1005,1,MATCH(COLUMNS($AN$1006:AR1006),$AN$1006:$BO$1006,0))&gt;=100000), " ",IF(INDEX($AN$2:$BO$1001,MATCH(ROWS($AG$2:AG879),$AG$2:$AG$1001,0),MATCH(COLUMNS($AN$1006:AR1006),$AN$1006:$BO$1006,0)), HYPERLINK("#",""), HYPERLINK(CONCATENATE("#Metadata!", ADDRESS(INDEX($AI$2:$AI$1001,MATCH(ROWS($AG$2:AG879),$AG$2:$AG$1001,0),0), INDEX($AN$1004:$BO$1004,1,MATCH(COLUMNS($AN$1006:AR1006),$AN$1006:$BO$1006,0)))),"Fix")))</f>
        <v>0</v>
      </c>
      <c r="G879" s="4">
        <f>IF(OR(INDEX($AH$2:$AH$1001,MATCH(ROWS($AG$2:AG879),$AG$2:$AG$1001,0),1)&gt;=100000,INDEX($AN$1005:$BO$1005,1,MATCH(COLUMNS($AN$1006:AS1006),$AN$1006:$BO$1006,0))&gt;=100000), " ",IF(INDEX($AN$2:$BO$1001,MATCH(ROWS($AG$2:AG879),$AG$2:$AG$1001,0),MATCH(COLUMNS($AN$1006:AS1006),$AN$1006:$BO$1006,0)), HYPERLINK("#",""), HYPERLINK(CONCATENATE("#Metadata!", ADDRESS(INDEX($AI$2:$AI$1001,MATCH(ROWS($AG$2:AG879),$AG$2:$AG$1001,0),0), INDEX($AN$1004:$BO$1004,1,MATCH(COLUMNS($AN$1006:AS1006),$AN$1006:$BO$1006,0)))),"Fix")))</f>
        <v>0</v>
      </c>
      <c r="H879" s="4">
        <f>IF(OR(INDEX($AH$2:$AH$1001,MATCH(ROWS($AG$2:AG879),$AG$2:$AG$1001,0),1)&gt;=100000,INDEX($AN$1005:$BO$1005,1,MATCH(COLUMNS($AN$1006:AT1006),$AN$1006:$BO$1006,0))&gt;=100000), " ",IF(INDEX($AN$2:$BO$1001,MATCH(ROWS($AG$2:AG879),$AG$2:$AG$1001,0),MATCH(COLUMNS($AN$1006:AT1006),$AN$1006:$BO$1006,0)), HYPERLINK("#",""), HYPERLINK(CONCATENATE("#Metadata!", ADDRESS(INDEX($AI$2:$AI$1001,MATCH(ROWS($AG$2:AG879),$AG$2:$AG$1001,0),0), INDEX($AN$1004:$BO$1004,1,MATCH(COLUMNS($AN$1006:AT1006),$AN$1006:$BO$1006,0)))),"Fix")))</f>
        <v>0</v>
      </c>
      <c r="I879" s="4">
        <f>IF(OR(INDEX($AH$2:$AH$1001,MATCH(ROWS($AG$2:AG879),$AG$2:$AG$1001,0),1)&gt;=100000,INDEX($AN$1005:$BO$1005,1,MATCH(COLUMNS($AN$1006:AU1006),$AN$1006:$BO$1006,0))&gt;=100000), " ",IF(INDEX($AN$2:$BO$1001,MATCH(ROWS($AG$2:AG879),$AG$2:$AG$1001,0),MATCH(COLUMNS($AN$1006:AU1006),$AN$1006:$BO$1006,0)), HYPERLINK("#",""), HYPERLINK(CONCATENATE("#Metadata!", ADDRESS(INDEX($AI$2:$AI$1001,MATCH(ROWS($AG$2:AG879),$AG$2:$AG$1001,0),0), INDEX($AN$1004:$BO$1004,1,MATCH(COLUMNS($AN$1006:AU1006),$AN$1006:$BO$1006,0)))),"Fix")))</f>
        <v>0</v>
      </c>
      <c r="J879" s="4">
        <f>IF(OR(INDEX($AH$2:$AH$1001,MATCH(ROWS($AG$2:AG879),$AG$2:$AG$1001,0),1)&gt;=100000,INDEX($AN$1005:$BO$1005,1,MATCH(COLUMNS($AN$1006:AV1006),$AN$1006:$BO$1006,0))&gt;=100000), " ",IF(INDEX($AN$2:$BO$1001,MATCH(ROWS($AG$2:AG879),$AG$2:$AG$1001,0),MATCH(COLUMNS($AN$1006:AV1006),$AN$1006:$BO$1006,0)), HYPERLINK("#",""), HYPERLINK(CONCATENATE("#Metadata!", ADDRESS(INDEX($AI$2:$AI$1001,MATCH(ROWS($AG$2:AG879),$AG$2:$AG$1001,0),0), INDEX($AN$1004:$BO$1004,1,MATCH(COLUMNS($AN$1006:AV1006),$AN$1006:$BO$1006,0)))),"Fix")))</f>
        <v>0</v>
      </c>
      <c r="K879" s="4">
        <f>IF(OR(INDEX($AH$2:$AH$1001,MATCH(ROWS($AG$2:AG879),$AG$2:$AG$1001,0),1)&gt;=100000,INDEX($AN$1005:$BO$1005,1,MATCH(COLUMNS($AN$1006:AW1006),$AN$1006:$BO$1006,0))&gt;=100000), " ",IF(INDEX($AN$2:$BO$1001,MATCH(ROWS($AG$2:AG879),$AG$2:$AG$1001,0),MATCH(COLUMNS($AN$1006:AW1006),$AN$1006:$BO$1006,0)), HYPERLINK("#",""), HYPERLINK(CONCATENATE("#Metadata!", ADDRESS(INDEX($AI$2:$AI$1001,MATCH(ROWS($AG$2:AG879),$AG$2:$AG$1001,0),0), INDEX($AN$1004:$BO$1004,1,MATCH(COLUMNS($AN$1006:AW1006),$AN$1006:$BO$1006,0)))),"Fix")))</f>
        <v>0</v>
      </c>
      <c r="L879" s="4">
        <f>IF(OR(INDEX($AH$2:$AH$1001,MATCH(ROWS($AG$2:AG879),$AG$2:$AG$1001,0),1)&gt;=100000,INDEX($AN$1005:$BO$1005,1,MATCH(COLUMNS($AN$1006:AX1006),$AN$1006:$BO$1006,0))&gt;=100000), " ",IF(INDEX($AN$2:$BO$1001,MATCH(ROWS($AG$2:AG879),$AG$2:$AG$1001,0),MATCH(COLUMNS($AN$1006:AX1006),$AN$1006:$BO$1006,0)), HYPERLINK("#",""), HYPERLINK(CONCATENATE("#Metadata!", ADDRESS(INDEX($AI$2:$AI$1001,MATCH(ROWS($AG$2:AG879),$AG$2:$AG$1001,0),0), INDEX($AN$1004:$BO$1004,1,MATCH(COLUMNS($AN$1006:AX1006),$AN$1006:$BO$1006,0)))),"Fix")))</f>
        <v>0</v>
      </c>
      <c r="M879" s="4">
        <f>IF(OR(INDEX($AH$2:$AH$1001,MATCH(ROWS($AG$2:AG879),$AG$2:$AG$1001,0),1)&gt;=100000,INDEX($AN$1005:$BO$1005,1,MATCH(COLUMNS($AN$1006:AY1006),$AN$1006:$BO$1006,0))&gt;=100000), " ",IF(INDEX($AN$2:$BO$1001,MATCH(ROWS($AG$2:AG879),$AG$2:$AG$1001,0),MATCH(COLUMNS($AN$1006:AY1006),$AN$1006:$BO$1006,0)), HYPERLINK("#",""), HYPERLINK(CONCATENATE("#Metadata!", ADDRESS(INDEX($AI$2:$AI$1001,MATCH(ROWS($AG$2:AG879),$AG$2:$AG$1001,0),0), INDEX($AN$1004:$BO$1004,1,MATCH(COLUMNS($AN$1006:AY1006),$AN$1006:$BO$1006,0)))),"Fix")))</f>
        <v>0</v>
      </c>
      <c r="N879" s="4">
        <f>IF(OR(INDEX($AH$2:$AH$1001,MATCH(ROWS($AG$2:AG879),$AG$2:$AG$1001,0),1)&gt;=100000,INDEX($AN$1005:$BO$1005,1,MATCH(COLUMNS($AN$1006:AZ1006),$AN$1006:$BO$1006,0))&gt;=100000), " ",IF(INDEX($AN$2:$BO$1001,MATCH(ROWS($AG$2:AG879),$AG$2:$AG$1001,0),MATCH(COLUMNS($AN$1006:AZ1006),$AN$1006:$BO$1006,0)), HYPERLINK("#",""), HYPERLINK(CONCATENATE("#Metadata!", ADDRESS(INDEX($AI$2:$AI$1001,MATCH(ROWS($AG$2:AG879),$AG$2:$AG$1001,0),0), INDEX($AN$1004:$BO$1004,1,MATCH(COLUMNS($AN$1006:AZ1006),$AN$1006:$BO$1006,0)))),"Fix")))</f>
        <v>0</v>
      </c>
      <c r="O879" s="4">
        <f>IF(OR(INDEX($AH$2:$AH$1001,MATCH(ROWS($AG$2:AG879),$AG$2:$AG$1001,0),1)&gt;=100000,INDEX($AN$1005:$BO$1005,1,MATCH(COLUMNS($AN$1006:BA1006),$AN$1006:$BO$1006,0))&gt;=100000), " ",IF(INDEX($AN$2:$BO$1001,MATCH(ROWS($AG$2:AG879),$AG$2:$AG$1001,0),MATCH(COLUMNS($AN$1006:BA1006),$AN$1006:$BO$1006,0)), HYPERLINK("#",""), HYPERLINK(CONCATENATE("#Metadata!", ADDRESS(INDEX($AI$2:$AI$1001,MATCH(ROWS($AG$2:AG879),$AG$2:$AG$1001,0),0), INDEX($AN$1004:$BO$1004,1,MATCH(COLUMNS($AN$1006:BA1006),$AN$1006:$BO$1006,0)))),"Fix")))</f>
        <v>0</v>
      </c>
      <c r="P879" s="4">
        <f>IF(OR(INDEX($AH$2:$AH$1001,MATCH(ROWS($AG$2:AG879),$AG$2:$AG$1001,0),1)&gt;=100000,INDEX($AN$1005:$BO$1005,1,MATCH(COLUMNS($AN$1006:BB1006),$AN$1006:$BO$1006,0))&gt;=100000), " ",IF(INDEX($AN$2:$BO$1001,MATCH(ROWS($AG$2:AG879),$AG$2:$AG$1001,0),MATCH(COLUMNS($AN$1006:BB1006),$AN$1006:$BO$1006,0)), HYPERLINK("#",""), HYPERLINK(CONCATENATE("#Metadata!", ADDRESS(INDEX($AI$2:$AI$1001,MATCH(ROWS($AG$2:AG879),$AG$2:$AG$1001,0),0), INDEX($AN$1004:$BO$1004,1,MATCH(COLUMNS($AN$1006:BB1006),$AN$1006:$BO$1006,0)))),"Fix")))</f>
        <v>0</v>
      </c>
      <c r="Q879" s="4">
        <f>IF(OR(INDEX($AH$2:$AH$1001,MATCH(ROWS($AG$2:AG879),$AG$2:$AG$1001,0),1)&gt;=100000,INDEX($AN$1005:$BO$1005,1,MATCH(COLUMNS($AN$1006:BC1006),$AN$1006:$BO$1006,0))&gt;=100000), " ",IF(INDEX($AN$2:$BO$1001,MATCH(ROWS($AG$2:AG879),$AG$2:$AG$1001,0),MATCH(COLUMNS($AN$1006:BC1006),$AN$1006:$BO$1006,0)), HYPERLINK("#",""), HYPERLINK(CONCATENATE("#Metadata!", ADDRESS(INDEX($AI$2:$AI$1001,MATCH(ROWS($AG$2:AG879),$AG$2:$AG$1001,0),0), INDEX($AN$1004:$BO$1004,1,MATCH(COLUMNS($AN$1006:BC1006),$AN$1006:$BO$1006,0)))),"Fix")))</f>
        <v>0</v>
      </c>
      <c r="R879" s="4">
        <f>IF(OR(INDEX($AH$2:$AH$1001,MATCH(ROWS($AG$2:AG879),$AG$2:$AG$1001,0),1)&gt;=100000,INDEX($AN$1005:$BO$1005,1,MATCH(COLUMNS($AN$1006:BD1006),$AN$1006:$BO$1006,0))&gt;=100000), " ",IF(INDEX($AN$2:$BO$1001,MATCH(ROWS($AG$2:AG879),$AG$2:$AG$1001,0),MATCH(COLUMNS($AN$1006:BD1006),$AN$1006:$BO$1006,0)), HYPERLINK("#",""), HYPERLINK(CONCATENATE("#Metadata!", ADDRESS(INDEX($AI$2:$AI$1001,MATCH(ROWS($AG$2:AG879),$AG$2:$AG$1001,0),0), INDEX($AN$1004:$BO$1004,1,MATCH(COLUMNS($AN$1006:BD1006),$AN$1006:$BO$1006,0)))),"Fix")))</f>
        <v>0</v>
      </c>
      <c r="S879" s="4">
        <f>IF(OR(INDEX($AH$2:$AH$1001,MATCH(ROWS($AG$2:AG879),$AG$2:$AG$1001,0),1)&gt;=100000,INDEX($AN$1005:$BO$1005,1,MATCH(COLUMNS($AN$1006:BE1006),$AN$1006:$BO$1006,0))&gt;=100000), " ",IF(INDEX($AN$2:$BO$1001,MATCH(ROWS($AG$2:AG879),$AG$2:$AG$1001,0),MATCH(COLUMNS($AN$1006:BE1006),$AN$1006:$BO$1006,0)), HYPERLINK("#",""), HYPERLINK(CONCATENATE("#Metadata!", ADDRESS(INDEX($AI$2:$AI$1001,MATCH(ROWS($AG$2:AG879),$AG$2:$AG$1001,0),0), INDEX($AN$1004:$BO$1004,1,MATCH(COLUMNS($AN$1006:BE1006),$AN$1006:$BO$1006,0)))),"Fix")))</f>
        <v>0</v>
      </c>
      <c r="T879" s="4">
        <f>IF(OR(INDEX($AH$2:$AH$1001,MATCH(ROWS($AG$2:AG879),$AG$2:$AG$1001,0),1)&gt;=100000,INDEX($AN$1005:$BO$1005,1,MATCH(COLUMNS($AN$1006:BF1006),$AN$1006:$BO$1006,0))&gt;=100000), " ",IF(INDEX($AN$2:$BO$1001,MATCH(ROWS($AG$2:AG879),$AG$2:$AG$1001,0),MATCH(COLUMNS($AN$1006:BF1006),$AN$1006:$BO$1006,0)), HYPERLINK("#",""), HYPERLINK(CONCATENATE("#Metadata!", ADDRESS(INDEX($AI$2:$AI$1001,MATCH(ROWS($AG$2:AG879),$AG$2:$AG$1001,0),0), INDEX($AN$1004:$BO$1004,1,MATCH(COLUMNS($AN$1006:BF1006),$AN$1006:$BO$1006,0)))),"Fix")))</f>
        <v>0</v>
      </c>
      <c r="U879" s="4">
        <f>IF(OR(INDEX($AH$2:$AH$1001,MATCH(ROWS($AG$2:AG879),$AG$2:$AG$1001,0),1)&gt;=100000,INDEX($AN$1005:$BO$1005,1,MATCH(COLUMNS($AN$1006:BG1006),$AN$1006:$BO$1006,0))&gt;=100000), " ",IF(INDEX($AN$2:$BO$1001,MATCH(ROWS($AG$2:AG879),$AG$2:$AG$1001,0),MATCH(COLUMNS($AN$1006:BG1006),$AN$1006:$BO$1006,0)), HYPERLINK("#",""), HYPERLINK(CONCATENATE("#Metadata!", ADDRESS(INDEX($AI$2:$AI$1001,MATCH(ROWS($AG$2:AG879),$AG$2:$AG$1001,0),0), INDEX($AN$1004:$BO$1004,1,MATCH(COLUMNS($AN$1006:BG1006),$AN$1006:$BO$1006,0)))),"Fix")))</f>
        <v>0</v>
      </c>
      <c r="V879" s="4">
        <f>IF(OR(INDEX($AH$2:$AH$1001,MATCH(ROWS($AG$2:AG879),$AG$2:$AG$1001,0),1)&gt;=100000,INDEX($AN$1005:$BO$1005,1,MATCH(COLUMNS($AN$1006:BH1006),$AN$1006:$BO$1006,0))&gt;=100000), " ",IF(INDEX($AN$2:$BO$1001,MATCH(ROWS($AG$2:AG879),$AG$2:$AG$1001,0),MATCH(COLUMNS($AN$1006:BH1006),$AN$1006:$BO$1006,0)), HYPERLINK("#",""), HYPERLINK(CONCATENATE("#Metadata!", ADDRESS(INDEX($AI$2:$AI$1001,MATCH(ROWS($AG$2:AG879),$AG$2:$AG$1001,0),0), INDEX($AN$1004:$BO$1004,1,MATCH(COLUMNS($AN$1006:BH1006),$AN$1006:$BO$1006,0)))),"Fix")))</f>
        <v>0</v>
      </c>
      <c r="W879" s="4">
        <f>IF(OR(INDEX($AH$2:$AH$1001,MATCH(ROWS($AG$2:AG879),$AG$2:$AG$1001,0),1)&gt;=100000,INDEX($AN$1005:$BO$1005,1,MATCH(COLUMNS($AN$1006:BI1006),$AN$1006:$BO$1006,0))&gt;=100000), " ",IF(INDEX($AN$2:$BO$1001,MATCH(ROWS($AG$2:AG879),$AG$2:$AG$1001,0),MATCH(COLUMNS($AN$1006:BI1006),$AN$1006:$BO$1006,0)), HYPERLINK("#",""), HYPERLINK(CONCATENATE("#Metadata!", ADDRESS(INDEX($AI$2:$AI$1001,MATCH(ROWS($AG$2:AG879),$AG$2:$AG$1001,0),0), INDEX($AN$1004:$BO$1004,1,MATCH(COLUMNS($AN$1006:BI1006),$AN$1006:$BO$1006,0)))),"Fix")))</f>
        <v>0</v>
      </c>
      <c r="X879" s="4">
        <f>IF(OR(INDEX($AH$2:$AH$1001,MATCH(ROWS($AG$2:AG879),$AG$2:$AG$1001,0),1)&gt;=100000,INDEX($AN$1005:$BO$1005,1,MATCH(COLUMNS($AN$1006:BJ1006),$AN$1006:$BO$1006,0))&gt;=100000), " ",IF(INDEX($AN$2:$BO$1001,MATCH(ROWS($AG$2:AG879),$AG$2:$AG$1001,0),MATCH(COLUMNS($AN$1006:BJ1006),$AN$1006:$BO$1006,0)), HYPERLINK("#",""), HYPERLINK(CONCATENATE("#Metadata!", ADDRESS(INDEX($AI$2:$AI$1001,MATCH(ROWS($AG$2:AG879),$AG$2:$AG$1001,0),0), INDEX($AN$1004:$BO$1004,1,MATCH(COLUMNS($AN$1006:BJ1006),$AN$1006:$BO$1006,0)))),"Fix")))</f>
        <v>0</v>
      </c>
      <c r="Y879" s="4">
        <f>IF(OR(INDEX($AH$2:$AH$1001,MATCH(ROWS($AG$2:AG879),$AG$2:$AG$1001,0),1)&gt;=100000,INDEX($AN$1005:$BO$1005,1,MATCH(COLUMNS($AN$1006:BK1006),$AN$1006:$BO$1006,0))&gt;=100000), " ",IF(INDEX($AN$2:$BO$1001,MATCH(ROWS($AG$2:AG879),$AG$2:$AG$1001,0),MATCH(COLUMNS($AN$1006:BK1006),$AN$1006:$BO$1006,0)), HYPERLINK("#",""), HYPERLINK(CONCATENATE("#Metadata!", ADDRESS(INDEX($AI$2:$AI$1001,MATCH(ROWS($AG$2:AG879),$AG$2:$AG$1001,0),0), INDEX($AN$1004:$BO$1004,1,MATCH(COLUMNS($AN$1006:BK1006),$AN$1006:$BO$1006,0)))),"Fix")))</f>
        <v>0</v>
      </c>
      <c r="Z879" s="4">
        <f>IF(OR(INDEX($AH$2:$AH$1001,MATCH(ROWS($AG$2:AG879),$AG$2:$AG$1001,0),1)&gt;=100000,INDEX($AN$1005:$BO$1005,1,MATCH(COLUMNS($AN$1006:BL1006),$AN$1006:$BO$1006,0))&gt;=100000), " ",IF(INDEX($AN$2:$BO$1001,MATCH(ROWS($AG$2:AG879),$AG$2:$AG$1001,0),MATCH(COLUMNS($AN$1006:BL1006),$AN$1006:$BO$1006,0)), HYPERLINK("#",""), HYPERLINK(CONCATENATE("#Metadata!", ADDRESS(INDEX($AI$2:$AI$1001,MATCH(ROWS($AG$2:AG879),$AG$2:$AG$1001,0),0), INDEX($AN$1004:$BO$1004,1,MATCH(COLUMNS($AN$1006:BL1006),$AN$1006:$BO$1006,0)))),"Fix")))</f>
        <v>0</v>
      </c>
      <c r="AA879" s="4">
        <f>IF(OR(INDEX($AH$2:$AH$1001,MATCH(ROWS($AG$2:AG879),$AG$2:$AG$1001,0),1)&gt;=100000,INDEX($AN$1005:$BO$1005,1,MATCH(COLUMNS($AN$1006:BM1006),$AN$1006:$BO$1006,0))&gt;=100000), " ",IF(INDEX($AN$2:$BO$1001,MATCH(ROWS($AG$2:AG879),$AG$2:$AG$1001,0),MATCH(COLUMNS($AN$1006:BM1006),$AN$1006:$BO$1006,0)), HYPERLINK("#",""), HYPERLINK(CONCATENATE("#Metadata!", ADDRESS(INDEX($AI$2:$AI$1001,MATCH(ROWS($AG$2:AG879),$AG$2:$AG$1001,0),0), INDEX($AN$1004:$BO$1004,1,MATCH(COLUMNS($AN$1006:BM1006),$AN$1006:$BO$1006,0)))),"Fix")))</f>
        <v>0</v>
      </c>
      <c r="AB879" s="4">
        <f>IF(OR(INDEX($AH$2:$AH$1001,MATCH(ROWS($AG$2:AG879),$AG$2:$AG$1001,0),1)&gt;=100000,INDEX($AN$1005:$BO$1005,1,MATCH(COLUMNS($AN$1006:BN1006),$AN$1006:$BO$1006,0))&gt;=100000), " ",IF(INDEX($AN$2:$BO$1001,MATCH(ROWS($AG$2:AG879),$AG$2:$AG$1001,0),MATCH(COLUMNS($AN$1006:BN1006),$AN$1006:$BO$1006,0)), HYPERLINK("#",""), HYPERLINK(CONCATENATE("#Metadata!", ADDRESS(INDEX($AI$2:$AI$1001,MATCH(ROWS($AG$2:AG879),$AG$2:$AG$1001,0),0), INDEX($AN$1004:$BO$1004,1,MATCH(COLUMNS($AN$1006:BN1006),$AN$1006:$BO$1006,0)))),"Fix")))</f>
        <v>0</v>
      </c>
      <c r="AC879" s="4">
        <f>IF(OR(INDEX($AH$2:$AH$1001,MATCH(ROWS($AG$2:AG879),$AG$2:$AG$1001,0),1)&gt;=100000,INDEX($AN$1005:$BO$1005,1,MATCH(COLUMNS($AN$1006:BO1006),$AN$1006:$BO$1006,0))&gt;=100000), " ",IF(INDEX($AN$2:$BO$1001,MATCH(ROWS($AG$2:AG879),$AG$2:$AG$1001,0),MATCH(COLUMNS($AN$1006:BO1006),$AN$1006:$BO$1006,0)), HYPERLINK("#",""), HYPERLINK(CONCATENATE("#Metadata!", ADDRESS(INDEX($AI$2:$AI$1001,MATCH(ROWS($AG$2:AG879),$AG$2:$AG$1001,0),0), INDEX($AN$1004:$BO$1004,1,MATCH(COLUMNS($AN$1006:BO1006),$AN$1006:$BO$1006,0)))),"Fix")))</f>
        <v>0</v>
      </c>
      <c r="AG879">
        <v>0</v>
      </c>
      <c r="AH879">
        <v>0</v>
      </c>
      <c r="AI879">
        <v>0</v>
      </c>
      <c r="AJ879">
        <f>IF(AK879,TRUE,AND(AN879:BO879))</f>
        <v>0</v>
      </c>
      <c r="AK879">
        <f>COUNTBLANK(Metadata!B879:AC879)=COLUMNS(Metadata!B879:AC879)</f>
        <v>0</v>
      </c>
      <c r="AL879">
        <v>0</v>
      </c>
      <c r="AN879">
        <f>AND(IF(Metadata!B879="",FALSE,TRUE),COUNTIF(Metadata!B:B, Metadata!B879) = 1,NOT(ISERROR(SUMPRODUCT(SEARCH(MID(Metadata!B879,ROW(INDIRECT("1:"&amp;LEN(Metadata!B879))), 1),"0123456789abcdefghijklmnopqrstuvwxyzABCDEFGHIJKLMNOPQRSTUVWXYZ.")))))</f>
        <v>0</v>
      </c>
      <c r="AO879">
        <f>IF(Metadata!C879="",FALSE,TRUE)</f>
        <v>0</v>
      </c>
      <c r="AP879">
        <f>IF(Metadata!D879="",FALSE,TRUE)</f>
        <v>0</v>
      </c>
      <c r="AQ879">
        <f>OR(AND(IF(Metadata!E879="",FALSE,TRUE),OR(exact(Metadata!E879,"not collected"),exact(Metadata!E879,"not provided"),exact(Metadata!E879,"restricted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R879">
        <f>IF(Metadata!F879="",FALSE,TRUE)</f>
        <v>0</v>
      </c>
      <c r="AS879">
        <f>OR(AND(IF(Metadata!G879="",FALSE,TRUE),OR(exact(Metadata!G879,"not collected"),exact(Metadata!G879,"not provided"))),AND(IF(Metadata!G879="",FALSE,TRUE),OR(exact(Metadata!G879,"TRUE"),exact(Metadata!G879,"FALSE"))))</f>
        <v>0</v>
      </c>
      <c r="AT879">
        <f>OR(AND(IF(Metadata!H879="",FALSE,TRUE),OR(exact(Metadata!H879,"not collected"),exact(Metadata!H879,"not provided"),exact(Metadata!H879,"restricted access"))),AND(IF(Metadata!H879="",FALSE,ISNUMBER(VALUE(Metadata!H879))),Metadata!H879&gt;=-413.0))</f>
        <v>0</v>
      </c>
      <c r="AU879">
        <f>AND(IF(Metadata!I879="",FALSE,TRUE),exact(Metadata!I879,"meters"))</f>
        <v>0</v>
      </c>
      <c r="AV879">
        <f>AND(IF(Metadata!J879="",FALSE,TRUE),OR(exact(Metadata!J879,"Host-associated"),exact(Metadata!J879,"Free-living")))</f>
        <v>0</v>
      </c>
      <c r="AW879">
        <f>AND(IF(Metadata!K879="",FALSE,TRUE),OR(exact(Metadata!K879,"Animal"),exact(Metadata!K879,"Fungus"),exact(Metadata!K879,"Plant"),exact(Metadata!K879,"Saline"),exact(Metadata!K879,"Non-saline")))</f>
        <v>0</v>
      </c>
      <c r="AX879">
        <f>AND(IF(Metadata!L879="",FALSE,TRUE),OR(exact(Metadata!L879,"Plant secretion"),exact(Metadata!L879,"Plant rhizosphere"),exact(Metadata!L879,"Plant surface"),exact(Metadata!L879,"Plant corpus"),exact(Metadata!L879,"Fungus surface"),exact(Metadata!L879,"Fungus corpus"),exact(Metadata!L879,"Animal surface"),exact(Metadata!L879,"Animal proximal gut"),exact(Metadata!L879,"Animal corpus"),exact(Metadata!L879,"Animal distal gut"),exact(Metadata!L879,"Animal secretion"),exact(Metadata!L879,"Sub-surface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Y879">
        <f>IF(Metadata!M879="",FALSE,TRUE)</f>
        <v>0</v>
      </c>
      <c r="AZ879">
        <f>IF(Metadata!N879="",FALSE,TRUE)</f>
        <v>0</v>
      </c>
      <c r="BA879">
        <f>IF(Metadata!O879="",FALSE,TRUE)</f>
        <v>0</v>
      </c>
      <c r="BB879">
        <f>OR(AND(IF(Metadata!P879="",FALSE,TRUE),OR(exact(Metadata!P879,"not collected"),exact(Metadata!P879,"not provided"),exact(Metadata!P879,"restricted access"))),AND(IF(Metadata!P879="",FALSE,TRUE),OR(exact(Metadata!P879,"air"),exact(Metadata!P879,"built environment"),exact(Metadata!P879,"host-associated"),exact(Metadata!P879,"human-associated"),exact(Metadata!P879,"human-skin"),exact(Metadata!P879,"human-oral"),exact(Metadata!P879,"human-gut"),exact(Metadata!P879,"human-vaginal"),exact(Metadata!P879,"microbial mat/biofilm"),exact(Metadata!P879,"misc environment"),exact(Metadata!P879,"plant-associated"),exact(Metadata!P879,"sediment"),exact(Metadata!P879,"soil"),exact(Metadata!P879,"wastewater/sludge"),exact(Metadata!P879,"water"))))</f>
        <v>0</v>
      </c>
      <c r="BC879">
        <f>IF(Metadata!Q879="",FALSE,TRUE)</f>
        <v>0</v>
      </c>
      <c r="BD879">
        <f>IF(Metadata!R879="",FALSE,TRUE)</f>
        <v>0</v>
      </c>
      <c r="BE879">
        <f>OR(AND(IF(Metadata!S879="",FALSE,TRUE),OR(exact(Metadata!S879,"not collected"),exact(Metadata!S879,"not provided"),exact(Metadata!S879,"restricted access"))),AND(IF(Metadata!S879="",FALSE,ISNUMBER(VALUE(Metadata!S879))),Metadata!S879&gt;=-90.00,Metadata!S879&lt;=90.00))</f>
        <v>0</v>
      </c>
      <c r="BF879">
        <f>AND(IF(Metadata!T879="",FALSE,TRUE),exact(Metadata!T879,"Decimal degrees"))</f>
        <v>0</v>
      </c>
      <c r="BG879">
        <f>OR(AND(IF(Metadata!U879="",FALSE,TRUE),OR(exact(Metadata!U879,"not collected"),exact(Metadata!U879,"not provided"),exact(Metadata!U879,"restricted access"))),AND(IF(Metadata!U879="",FALSE,ISNUMBER(VALUE(Metadata!U879))),Metadata!U879&gt;=-180.00,Metadata!U879&lt;=180.00))</f>
        <v>0</v>
      </c>
      <c r="BH879">
        <f>AND(IF(Metadata!V879="",FALSE,TRUE),exact(Metadata!V879,"Decimal degrees"))</f>
        <v>0</v>
      </c>
      <c r="BI879">
        <f>IF(Metadata!W879="",FALSE,TRUE)</f>
        <v>0</v>
      </c>
      <c r="BJ879">
        <f>OR(AND(IF(Metadata!X879="",FALSE,TRUE),OR(exact(Metadata!X879,"not collected"),exact(Metadata!X879,"not provided"),exact(Metadata!X879,"restricted access"))),AND(IF(Metadata!X879="",FALSE,TRUE),OR(exact(Metadata!X879,"TRUE"),exact(Metadata!X879,"FALSE"))))</f>
        <v>0</v>
      </c>
      <c r="BK879">
        <f>AND(IF(Metadata!Y879="",FALSE,TRUE),exact(Metadata!Y879,"other"))</f>
        <v>0</v>
      </c>
      <c r="BL879">
        <f>IF(Metadata!Z879="",FALSE,TRUE)</f>
        <v>0</v>
      </c>
      <c r="BM879">
        <f>OR(AND(IF(Metadata!AA879="",FALSE,TRUE),OR(exact(Metadata!AA879,"not collected"),exact(Metadata!AA879,"not provided"))),AND(IF(Metadata!AA879="",FALSE,IF(ISERROR(INT(Metadata!AA879)),FALSE,INT(Metadata!AA879)=Metadata!AA879)),Metadata!AA879&gt;0))</f>
        <v>0</v>
      </c>
      <c r="BN879">
        <f>AND(IF(Metadata!AB879="",FALSE,TRUE),exact(Metadata!AB879,"Not applicable"))</f>
        <v>0</v>
      </c>
      <c r="BO879">
        <f>IF(Metadata!AC879="",FALSE,TRUE)</f>
        <v>0</v>
      </c>
    </row>
    <row r="880" spans="1:67">
      <c r="A880" s="5">
        <f>IF(B880=" "," ",HYPERLINK(CONCATENATE("#metadata!",ADDRESS(INDEX($AI$2:$AI$1001,MATCH(ROWS($AG$2:AG880),$AG$2:$AG$1001,0),0),1)),INDEX($AL$2:$AL$1001,MATCH(ROWS($AG$2:AG880),$AG$2:$AG$1001,0),0)))</f>
        <v>0</v>
      </c>
      <c r="B880" s="4">
        <f>IF(OR(INDEX($AH$2:$AH$1001,MATCH(ROWS($AG$2:AG880),$AG$2:$AG$1001,0),1)&gt;=100000,INDEX($AN$1005:$BO$1005,1,MATCH(COLUMNS($AN$1006:AN1006),$AN$1006:$BO$1006,0))&gt;=100000), " ",IF(INDEX($AN$2:$BO$1001,MATCH(ROWS($AG$2:AG880),$AG$2:$AG$1001,0),MATCH(COLUMNS($AN$1006:AN1006),$AN$1006:$BO$1006,0)), HYPERLINK("#",""), HYPERLINK(CONCATENATE("#Metadata!", ADDRESS(INDEX($AI$2:$AI$1001,MATCH(ROWS($AG$2:AG880),$AG$2:$AG$1001,0),0), INDEX($AN$1004:$BO$1004,1,MATCH(COLUMNS($AN$1006:AN1006),$AN$1006:$BO$1006,0)))),"Fix")))</f>
        <v>0</v>
      </c>
      <c r="C880" s="4">
        <f>IF(OR(INDEX($AH$2:$AH$1001,MATCH(ROWS($AG$2:AG880),$AG$2:$AG$1001,0),1)&gt;=100000,INDEX($AN$1005:$BO$1005,1,MATCH(COLUMNS($AN$1006:AO1006),$AN$1006:$BO$1006,0))&gt;=100000), " ",IF(INDEX($AN$2:$BO$1001,MATCH(ROWS($AG$2:AG880),$AG$2:$AG$1001,0),MATCH(COLUMNS($AN$1006:AO1006),$AN$1006:$BO$1006,0)), HYPERLINK("#",""), HYPERLINK(CONCATENATE("#Metadata!", ADDRESS(INDEX($AI$2:$AI$1001,MATCH(ROWS($AG$2:AG880),$AG$2:$AG$1001,0),0), INDEX($AN$1004:$BO$1004,1,MATCH(COLUMNS($AN$1006:AO1006),$AN$1006:$BO$1006,0)))),"Fix")))</f>
        <v>0</v>
      </c>
      <c r="D880" s="4">
        <f>IF(OR(INDEX($AH$2:$AH$1001,MATCH(ROWS($AG$2:AG880),$AG$2:$AG$1001,0),1)&gt;=100000,INDEX($AN$1005:$BO$1005,1,MATCH(COLUMNS($AN$1006:AP1006),$AN$1006:$BO$1006,0))&gt;=100000), " ",IF(INDEX($AN$2:$BO$1001,MATCH(ROWS($AG$2:AG880),$AG$2:$AG$1001,0),MATCH(COLUMNS($AN$1006:AP1006),$AN$1006:$BO$1006,0)), HYPERLINK("#",""), HYPERLINK(CONCATENATE("#Metadata!", ADDRESS(INDEX($AI$2:$AI$1001,MATCH(ROWS($AG$2:AG880),$AG$2:$AG$1001,0),0), INDEX($AN$1004:$BO$1004,1,MATCH(COLUMNS($AN$1006:AP1006),$AN$1006:$BO$1006,0)))),"Fix")))</f>
        <v>0</v>
      </c>
      <c r="E880" s="4">
        <f>IF(OR(INDEX($AH$2:$AH$1001,MATCH(ROWS($AG$2:AG880),$AG$2:$AG$1001,0),1)&gt;=100000,INDEX($AN$1005:$BO$1005,1,MATCH(COLUMNS($AN$1006:AQ1006),$AN$1006:$BO$1006,0))&gt;=100000), " ",IF(INDEX($AN$2:$BO$1001,MATCH(ROWS($AG$2:AG880),$AG$2:$AG$1001,0),MATCH(COLUMNS($AN$1006:AQ1006),$AN$1006:$BO$1006,0)), HYPERLINK("#",""), HYPERLINK(CONCATENATE("#Metadata!", ADDRESS(INDEX($AI$2:$AI$1001,MATCH(ROWS($AG$2:AG880),$AG$2:$AG$1001,0),0), INDEX($AN$1004:$BO$1004,1,MATCH(COLUMNS($AN$1006:AQ1006),$AN$1006:$BO$1006,0)))),"Fix")))</f>
        <v>0</v>
      </c>
      <c r="F880" s="4">
        <f>IF(OR(INDEX($AH$2:$AH$1001,MATCH(ROWS($AG$2:AG880),$AG$2:$AG$1001,0),1)&gt;=100000,INDEX($AN$1005:$BO$1005,1,MATCH(COLUMNS($AN$1006:AR1006),$AN$1006:$BO$1006,0))&gt;=100000), " ",IF(INDEX($AN$2:$BO$1001,MATCH(ROWS($AG$2:AG880),$AG$2:$AG$1001,0),MATCH(COLUMNS($AN$1006:AR1006),$AN$1006:$BO$1006,0)), HYPERLINK("#",""), HYPERLINK(CONCATENATE("#Metadata!", ADDRESS(INDEX($AI$2:$AI$1001,MATCH(ROWS($AG$2:AG880),$AG$2:$AG$1001,0),0), INDEX($AN$1004:$BO$1004,1,MATCH(COLUMNS($AN$1006:AR1006),$AN$1006:$BO$1006,0)))),"Fix")))</f>
        <v>0</v>
      </c>
      <c r="G880" s="4">
        <f>IF(OR(INDEX($AH$2:$AH$1001,MATCH(ROWS($AG$2:AG880),$AG$2:$AG$1001,0),1)&gt;=100000,INDEX($AN$1005:$BO$1005,1,MATCH(COLUMNS($AN$1006:AS1006),$AN$1006:$BO$1006,0))&gt;=100000), " ",IF(INDEX($AN$2:$BO$1001,MATCH(ROWS($AG$2:AG880),$AG$2:$AG$1001,0),MATCH(COLUMNS($AN$1006:AS1006),$AN$1006:$BO$1006,0)), HYPERLINK("#",""), HYPERLINK(CONCATENATE("#Metadata!", ADDRESS(INDEX($AI$2:$AI$1001,MATCH(ROWS($AG$2:AG880),$AG$2:$AG$1001,0),0), INDEX($AN$1004:$BO$1004,1,MATCH(COLUMNS($AN$1006:AS1006),$AN$1006:$BO$1006,0)))),"Fix")))</f>
        <v>0</v>
      </c>
      <c r="H880" s="4">
        <f>IF(OR(INDEX($AH$2:$AH$1001,MATCH(ROWS($AG$2:AG880),$AG$2:$AG$1001,0),1)&gt;=100000,INDEX($AN$1005:$BO$1005,1,MATCH(COLUMNS($AN$1006:AT1006),$AN$1006:$BO$1006,0))&gt;=100000), " ",IF(INDEX($AN$2:$BO$1001,MATCH(ROWS($AG$2:AG880),$AG$2:$AG$1001,0),MATCH(COLUMNS($AN$1006:AT1006),$AN$1006:$BO$1006,0)), HYPERLINK("#",""), HYPERLINK(CONCATENATE("#Metadata!", ADDRESS(INDEX($AI$2:$AI$1001,MATCH(ROWS($AG$2:AG880),$AG$2:$AG$1001,0),0), INDEX($AN$1004:$BO$1004,1,MATCH(COLUMNS($AN$1006:AT1006),$AN$1006:$BO$1006,0)))),"Fix")))</f>
        <v>0</v>
      </c>
      <c r="I880" s="4">
        <f>IF(OR(INDEX($AH$2:$AH$1001,MATCH(ROWS($AG$2:AG880),$AG$2:$AG$1001,0),1)&gt;=100000,INDEX($AN$1005:$BO$1005,1,MATCH(COLUMNS($AN$1006:AU1006),$AN$1006:$BO$1006,0))&gt;=100000), " ",IF(INDEX($AN$2:$BO$1001,MATCH(ROWS($AG$2:AG880),$AG$2:$AG$1001,0),MATCH(COLUMNS($AN$1006:AU1006),$AN$1006:$BO$1006,0)), HYPERLINK("#",""), HYPERLINK(CONCATENATE("#Metadata!", ADDRESS(INDEX($AI$2:$AI$1001,MATCH(ROWS($AG$2:AG880),$AG$2:$AG$1001,0),0), INDEX($AN$1004:$BO$1004,1,MATCH(COLUMNS($AN$1006:AU1006),$AN$1006:$BO$1006,0)))),"Fix")))</f>
        <v>0</v>
      </c>
      <c r="J880" s="4">
        <f>IF(OR(INDEX($AH$2:$AH$1001,MATCH(ROWS($AG$2:AG880),$AG$2:$AG$1001,0),1)&gt;=100000,INDEX($AN$1005:$BO$1005,1,MATCH(COLUMNS($AN$1006:AV1006),$AN$1006:$BO$1006,0))&gt;=100000), " ",IF(INDEX($AN$2:$BO$1001,MATCH(ROWS($AG$2:AG880),$AG$2:$AG$1001,0),MATCH(COLUMNS($AN$1006:AV1006),$AN$1006:$BO$1006,0)), HYPERLINK("#",""), HYPERLINK(CONCATENATE("#Metadata!", ADDRESS(INDEX($AI$2:$AI$1001,MATCH(ROWS($AG$2:AG880),$AG$2:$AG$1001,0),0), INDEX($AN$1004:$BO$1004,1,MATCH(COLUMNS($AN$1006:AV1006),$AN$1006:$BO$1006,0)))),"Fix")))</f>
        <v>0</v>
      </c>
      <c r="K880" s="4">
        <f>IF(OR(INDEX($AH$2:$AH$1001,MATCH(ROWS($AG$2:AG880),$AG$2:$AG$1001,0),1)&gt;=100000,INDEX($AN$1005:$BO$1005,1,MATCH(COLUMNS($AN$1006:AW1006),$AN$1006:$BO$1006,0))&gt;=100000), " ",IF(INDEX($AN$2:$BO$1001,MATCH(ROWS($AG$2:AG880),$AG$2:$AG$1001,0),MATCH(COLUMNS($AN$1006:AW1006),$AN$1006:$BO$1006,0)), HYPERLINK("#",""), HYPERLINK(CONCATENATE("#Metadata!", ADDRESS(INDEX($AI$2:$AI$1001,MATCH(ROWS($AG$2:AG880),$AG$2:$AG$1001,0),0), INDEX($AN$1004:$BO$1004,1,MATCH(COLUMNS($AN$1006:AW1006),$AN$1006:$BO$1006,0)))),"Fix")))</f>
        <v>0</v>
      </c>
      <c r="L880" s="4">
        <f>IF(OR(INDEX($AH$2:$AH$1001,MATCH(ROWS($AG$2:AG880),$AG$2:$AG$1001,0),1)&gt;=100000,INDEX($AN$1005:$BO$1005,1,MATCH(COLUMNS($AN$1006:AX1006),$AN$1006:$BO$1006,0))&gt;=100000), " ",IF(INDEX($AN$2:$BO$1001,MATCH(ROWS($AG$2:AG880),$AG$2:$AG$1001,0),MATCH(COLUMNS($AN$1006:AX1006),$AN$1006:$BO$1006,0)), HYPERLINK("#",""), HYPERLINK(CONCATENATE("#Metadata!", ADDRESS(INDEX($AI$2:$AI$1001,MATCH(ROWS($AG$2:AG880),$AG$2:$AG$1001,0),0), INDEX($AN$1004:$BO$1004,1,MATCH(COLUMNS($AN$1006:AX1006),$AN$1006:$BO$1006,0)))),"Fix")))</f>
        <v>0</v>
      </c>
      <c r="M880" s="4">
        <f>IF(OR(INDEX($AH$2:$AH$1001,MATCH(ROWS($AG$2:AG880),$AG$2:$AG$1001,0),1)&gt;=100000,INDEX($AN$1005:$BO$1005,1,MATCH(COLUMNS($AN$1006:AY1006),$AN$1006:$BO$1006,0))&gt;=100000), " ",IF(INDEX($AN$2:$BO$1001,MATCH(ROWS($AG$2:AG880),$AG$2:$AG$1001,0),MATCH(COLUMNS($AN$1006:AY1006),$AN$1006:$BO$1006,0)), HYPERLINK("#",""), HYPERLINK(CONCATENATE("#Metadata!", ADDRESS(INDEX($AI$2:$AI$1001,MATCH(ROWS($AG$2:AG880),$AG$2:$AG$1001,0),0), INDEX($AN$1004:$BO$1004,1,MATCH(COLUMNS($AN$1006:AY1006),$AN$1006:$BO$1006,0)))),"Fix")))</f>
        <v>0</v>
      </c>
      <c r="N880" s="4">
        <f>IF(OR(INDEX($AH$2:$AH$1001,MATCH(ROWS($AG$2:AG880),$AG$2:$AG$1001,0),1)&gt;=100000,INDEX($AN$1005:$BO$1005,1,MATCH(COLUMNS($AN$1006:AZ1006),$AN$1006:$BO$1006,0))&gt;=100000), " ",IF(INDEX($AN$2:$BO$1001,MATCH(ROWS($AG$2:AG880),$AG$2:$AG$1001,0),MATCH(COLUMNS($AN$1006:AZ1006),$AN$1006:$BO$1006,0)), HYPERLINK("#",""), HYPERLINK(CONCATENATE("#Metadata!", ADDRESS(INDEX($AI$2:$AI$1001,MATCH(ROWS($AG$2:AG880),$AG$2:$AG$1001,0),0), INDEX($AN$1004:$BO$1004,1,MATCH(COLUMNS($AN$1006:AZ1006),$AN$1006:$BO$1006,0)))),"Fix")))</f>
        <v>0</v>
      </c>
      <c r="O880" s="4">
        <f>IF(OR(INDEX($AH$2:$AH$1001,MATCH(ROWS($AG$2:AG880),$AG$2:$AG$1001,0),1)&gt;=100000,INDEX($AN$1005:$BO$1005,1,MATCH(COLUMNS($AN$1006:BA1006),$AN$1006:$BO$1006,0))&gt;=100000), " ",IF(INDEX($AN$2:$BO$1001,MATCH(ROWS($AG$2:AG880),$AG$2:$AG$1001,0),MATCH(COLUMNS($AN$1006:BA1006),$AN$1006:$BO$1006,0)), HYPERLINK("#",""), HYPERLINK(CONCATENATE("#Metadata!", ADDRESS(INDEX($AI$2:$AI$1001,MATCH(ROWS($AG$2:AG880),$AG$2:$AG$1001,0),0), INDEX($AN$1004:$BO$1004,1,MATCH(COLUMNS($AN$1006:BA1006),$AN$1006:$BO$1006,0)))),"Fix")))</f>
        <v>0</v>
      </c>
      <c r="P880" s="4">
        <f>IF(OR(INDEX($AH$2:$AH$1001,MATCH(ROWS($AG$2:AG880),$AG$2:$AG$1001,0),1)&gt;=100000,INDEX($AN$1005:$BO$1005,1,MATCH(COLUMNS($AN$1006:BB1006),$AN$1006:$BO$1006,0))&gt;=100000), " ",IF(INDEX($AN$2:$BO$1001,MATCH(ROWS($AG$2:AG880),$AG$2:$AG$1001,0),MATCH(COLUMNS($AN$1006:BB1006),$AN$1006:$BO$1006,0)), HYPERLINK("#",""), HYPERLINK(CONCATENATE("#Metadata!", ADDRESS(INDEX($AI$2:$AI$1001,MATCH(ROWS($AG$2:AG880),$AG$2:$AG$1001,0),0), INDEX($AN$1004:$BO$1004,1,MATCH(COLUMNS($AN$1006:BB1006),$AN$1006:$BO$1006,0)))),"Fix")))</f>
        <v>0</v>
      </c>
      <c r="Q880" s="4">
        <f>IF(OR(INDEX($AH$2:$AH$1001,MATCH(ROWS($AG$2:AG880),$AG$2:$AG$1001,0),1)&gt;=100000,INDEX($AN$1005:$BO$1005,1,MATCH(COLUMNS($AN$1006:BC1006),$AN$1006:$BO$1006,0))&gt;=100000), " ",IF(INDEX($AN$2:$BO$1001,MATCH(ROWS($AG$2:AG880),$AG$2:$AG$1001,0),MATCH(COLUMNS($AN$1006:BC1006),$AN$1006:$BO$1006,0)), HYPERLINK("#",""), HYPERLINK(CONCATENATE("#Metadata!", ADDRESS(INDEX($AI$2:$AI$1001,MATCH(ROWS($AG$2:AG880),$AG$2:$AG$1001,0),0), INDEX($AN$1004:$BO$1004,1,MATCH(COLUMNS($AN$1006:BC1006),$AN$1006:$BO$1006,0)))),"Fix")))</f>
        <v>0</v>
      </c>
      <c r="R880" s="4">
        <f>IF(OR(INDEX($AH$2:$AH$1001,MATCH(ROWS($AG$2:AG880),$AG$2:$AG$1001,0),1)&gt;=100000,INDEX($AN$1005:$BO$1005,1,MATCH(COLUMNS($AN$1006:BD1006),$AN$1006:$BO$1006,0))&gt;=100000), " ",IF(INDEX($AN$2:$BO$1001,MATCH(ROWS($AG$2:AG880),$AG$2:$AG$1001,0),MATCH(COLUMNS($AN$1006:BD1006),$AN$1006:$BO$1006,0)), HYPERLINK("#",""), HYPERLINK(CONCATENATE("#Metadata!", ADDRESS(INDEX($AI$2:$AI$1001,MATCH(ROWS($AG$2:AG880),$AG$2:$AG$1001,0),0), INDEX($AN$1004:$BO$1004,1,MATCH(COLUMNS($AN$1006:BD1006),$AN$1006:$BO$1006,0)))),"Fix")))</f>
        <v>0</v>
      </c>
      <c r="S880" s="4">
        <f>IF(OR(INDEX($AH$2:$AH$1001,MATCH(ROWS($AG$2:AG880),$AG$2:$AG$1001,0),1)&gt;=100000,INDEX($AN$1005:$BO$1005,1,MATCH(COLUMNS($AN$1006:BE1006),$AN$1006:$BO$1006,0))&gt;=100000), " ",IF(INDEX($AN$2:$BO$1001,MATCH(ROWS($AG$2:AG880),$AG$2:$AG$1001,0),MATCH(COLUMNS($AN$1006:BE1006),$AN$1006:$BO$1006,0)), HYPERLINK("#",""), HYPERLINK(CONCATENATE("#Metadata!", ADDRESS(INDEX($AI$2:$AI$1001,MATCH(ROWS($AG$2:AG880),$AG$2:$AG$1001,0),0), INDEX($AN$1004:$BO$1004,1,MATCH(COLUMNS($AN$1006:BE1006),$AN$1006:$BO$1006,0)))),"Fix")))</f>
        <v>0</v>
      </c>
      <c r="T880" s="4">
        <f>IF(OR(INDEX($AH$2:$AH$1001,MATCH(ROWS($AG$2:AG880),$AG$2:$AG$1001,0),1)&gt;=100000,INDEX($AN$1005:$BO$1005,1,MATCH(COLUMNS($AN$1006:BF1006),$AN$1006:$BO$1006,0))&gt;=100000), " ",IF(INDEX($AN$2:$BO$1001,MATCH(ROWS($AG$2:AG880),$AG$2:$AG$1001,0),MATCH(COLUMNS($AN$1006:BF1006),$AN$1006:$BO$1006,0)), HYPERLINK("#",""), HYPERLINK(CONCATENATE("#Metadata!", ADDRESS(INDEX($AI$2:$AI$1001,MATCH(ROWS($AG$2:AG880),$AG$2:$AG$1001,0),0), INDEX($AN$1004:$BO$1004,1,MATCH(COLUMNS($AN$1006:BF1006),$AN$1006:$BO$1006,0)))),"Fix")))</f>
        <v>0</v>
      </c>
      <c r="U880" s="4">
        <f>IF(OR(INDEX($AH$2:$AH$1001,MATCH(ROWS($AG$2:AG880),$AG$2:$AG$1001,0),1)&gt;=100000,INDEX($AN$1005:$BO$1005,1,MATCH(COLUMNS($AN$1006:BG1006),$AN$1006:$BO$1006,0))&gt;=100000), " ",IF(INDEX($AN$2:$BO$1001,MATCH(ROWS($AG$2:AG880),$AG$2:$AG$1001,0),MATCH(COLUMNS($AN$1006:BG1006),$AN$1006:$BO$1006,0)), HYPERLINK("#",""), HYPERLINK(CONCATENATE("#Metadata!", ADDRESS(INDEX($AI$2:$AI$1001,MATCH(ROWS($AG$2:AG880),$AG$2:$AG$1001,0),0), INDEX($AN$1004:$BO$1004,1,MATCH(COLUMNS($AN$1006:BG1006),$AN$1006:$BO$1006,0)))),"Fix")))</f>
        <v>0</v>
      </c>
      <c r="V880" s="4">
        <f>IF(OR(INDEX($AH$2:$AH$1001,MATCH(ROWS($AG$2:AG880),$AG$2:$AG$1001,0),1)&gt;=100000,INDEX($AN$1005:$BO$1005,1,MATCH(COLUMNS($AN$1006:BH1006),$AN$1006:$BO$1006,0))&gt;=100000), " ",IF(INDEX($AN$2:$BO$1001,MATCH(ROWS($AG$2:AG880),$AG$2:$AG$1001,0),MATCH(COLUMNS($AN$1006:BH1006),$AN$1006:$BO$1006,0)), HYPERLINK("#",""), HYPERLINK(CONCATENATE("#Metadata!", ADDRESS(INDEX($AI$2:$AI$1001,MATCH(ROWS($AG$2:AG880),$AG$2:$AG$1001,0),0), INDEX($AN$1004:$BO$1004,1,MATCH(COLUMNS($AN$1006:BH1006),$AN$1006:$BO$1006,0)))),"Fix")))</f>
        <v>0</v>
      </c>
      <c r="W880" s="4">
        <f>IF(OR(INDEX($AH$2:$AH$1001,MATCH(ROWS($AG$2:AG880),$AG$2:$AG$1001,0),1)&gt;=100000,INDEX($AN$1005:$BO$1005,1,MATCH(COLUMNS($AN$1006:BI1006),$AN$1006:$BO$1006,0))&gt;=100000), " ",IF(INDEX($AN$2:$BO$1001,MATCH(ROWS($AG$2:AG880),$AG$2:$AG$1001,0),MATCH(COLUMNS($AN$1006:BI1006),$AN$1006:$BO$1006,0)), HYPERLINK("#",""), HYPERLINK(CONCATENATE("#Metadata!", ADDRESS(INDEX($AI$2:$AI$1001,MATCH(ROWS($AG$2:AG880),$AG$2:$AG$1001,0),0), INDEX($AN$1004:$BO$1004,1,MATCH(COLUMNS($AN$1006:BI1006),$AN$1006:$BO$1006,0)))),"Fix")))</f>
        <v>0</v>
      </c>
      <c r="X880" s="4">
        <f>IF(OR(INDEX($AH$2:$AH$1001,MATCH(ROWS($AG$2:AG880),$AG$2:$AG$1001,0),1)&gt;=100000,INDEX($AN$1005:$BO$1005,1,MATCH(COLUMNS($AN$1006:BJ1006),$AN$1006:$BO$1006,0))&gt;=100000), " ",IF(INDEX($AN$2:$BO$1001,MATCH(ROWS($AG$2:AG880),$AG$2:$AG$1001,0),MATCH(COLUMNS($AN$1006:BJ1006),$AN$1006:$BO$1006,0)), HYPERLINK("#",""), HYPERLINK(CONCATENATE("#Metadata!", ADDRESS(INDEX($AI$2:$AI$1001,MATCH(ROWS($AG$2:AG880),$AG$2:$AG$1001,0),0), INDEX($AN$1004:$BO$1004,1,MATCH(COLUMNS($AN$1006:BJ1006),$AN$1006:$BO$1006,0)))),"Fix")))</f>
        <v>0</v>
      </c>
      <c r="Y880" s="4">
        <f>IF(OR(INDEX($AH$2:$AH$1001,MATCH(ROWS($AG$2:AG880),$AG$2:$AG$1001,0),1)&gt;=100000,INDEX($AN$1005:$BO$1005,1,MATCH(COLUMNS($AN$1006:BK1006),$AN$1006:$BO$1006,0))&gt;=100000), " ",IF(INDEX($AN$2:$BO$1001,MATCH(ROWS($AG$2:AG880),$AG$2:$AG$1001,0),MATCH(COLUMNS($AN$1006:BK1006),$AN$1006:$BO$1006,0)), HYPERLINK("#",""), HYPERLINK(CONCATENATE("#Metadata!", ADDRESS(INDEX($AI$2:$AI$1001,MATCH(ROWS($AG$2:AG880),$AG$2:$AG$1001,0),0), INDEX($AN$1004:$BO$1004,1,MATCH(COLUMNS($AN$1006:BK1006),$AN$1006:$BO$1006,0)))),"Fix")))</f>
        <v>0</v>
      </c>
      <c r="Z880" s="4">
        <f>IF(OR(INDEX($AH$2:$AH$1001,MATCH(ROWS($AG$2:AG880),$AG$2:$AG$1001,0),1)&gt;=100000,INDEX($AN$1005:$BO$1005,1,MATCH(COLUMNS($AN$1006:BL1006),$AN$1006:$BO$1006,0))&gt;=100000), " ",IF(INDEX($AN$2:$BO$1001,MATCH(ROWS($AG$2:AG880),$AG$2:$AG$1001,0),MATCH(COLUMNS($AN$1006:BL1006),$AN$1006:$BO$1006,0)), HYPERLINK("#",""), HYPERLINK(CONCATENATE("#Metadata!", ADDRESS(INDEX($AI$2:$AI$1001,MATCH(ROWS($AG$2:AG880),$AG$2:$AG$1001,0),0), INDEX($AN$1004:$BO$1004,1,MATCH(COLUMNS($AN$1006:BL1006),$AN$1006:$BO$1006,0)))),"Fix")))</f>
        <v>0</v>
      </c>
      <c r="AA880" s="4">
        <f>IF(OR(INDEX($AH$2:$AH$1001,MATCH(ROWS($AG$2:AG880),$AG$2:$AG$1001,0),1)&gt;=100000,INDEX($AN$1005:$BO$1005,1,MATCH(COLUMNS($AN$1006:BM1006),$AN$1006:$BO$1006,0))&gt;=100000), " ",IF(INDEX($AN$2:$BO$1001,MATCH(ROWS($AG$2:AG880),$AG$2:$AG$1001,0),MATCH(COLUMNS($AN$1006:BM1006),$AN$1006:$BO$1006,0)), HYPERLINK("#",""), HYPERLINK(CONCATENATE("#Metadata!", ADDRESS(INDEX($AI$2:$AI$1001,MATCH(ROWS($AG$2:AG880),$AG$2:$AG$1001,0),0), INDEX($AN$1004:$BO$1004,1,MATCH(COLUMNS($AN$1006:BM1006),$AN$1006:$BO$1006,0)))),"Fix")))</f>
        <v>0</v>
      </c>
      <c r="AB880" s="4">
        <f>IF(OR(INDEX($AH$2:$AH$1001,MATCH(ROWS($AG$2:AG880),$AG$2:$AG$1001,0),1)&gt;=100000,INDEX($AN$1005:$BO$1005,1,MATCH(COLUMNS($AN$1006:BN1006),$AN$1006:$BO$1006,0))&gt;=100000), " ",IF(INDEX($AN$2:$BO$1001,MATCH(ROWS($AG$2:AG880),$AG$2:$AG$1001,0),MATCH(COLUMNS($AN$1006:BN1006),$AN$1006:$BO$1006,0)), HYPERLINK("#",""), HYPERLINK(CONCATENATE("#Metadata!", ADDRESS(INDEX($AI$2:$AI$1001,MATCH(ROWS($AG$2:AG880),$AG$2:$AG$1001,0),0), INDEX($AN$1004:$BO$1004,1,MATCH(COLUMNS($AN$1006:BN1006),$AN$1006:$BO$1006,0)))),"Fix")))</f>
        <v>0</v>
      </c>
      <c r="AC880" s="4">
        <f>IF(OR(INDEX($AH$2:$AH$1001,MATCH(ROWS($AG$2:AG880),$AG$2:$AG$1001,0),1)&gt;=100000,INDEX($AN$1005:$BO$1005,1,MATCH(COLUMNS($AN$1006:BO1006),$AN$1006:$BO$1006,0))&gt;=100000), " ",IF(INDEX($AN$2:$BO$1001,MATCH(ROWS($AG$2:AG880),$AG$2:$AG$1001,0),MATCH(COLUMNS($AN$1006:BO1006),$AN$1006:$BO$1006,0)), HYPERLINK("#",""), HYPERLINK(CONCATENATE("#Metadata!", ADDRESS(INDEX($AI$2:$AI$1001,MATCH(ROWS($AG$2:AG880),$AG$2:$AG$1001,0),0), INDEX($AN$1004:$BO$1004,1,MATCH(COLUMNS($AN$1006:BO1006),$AN$1006:$BO$1006,0)))),"Fix")))</f>
        <v>0</v>
      </c>
      <c r="AG880">
        <v>0</v>
      </c>
      <c r="AH880">
        <v>0</v>
      </c>
      <c r="AI880">
        <v>0</v>
      </c>
      <c r="AJ880">
        <f>IF(AK880,TRUE,AND(AN880:BO880))</f>
        <v>0</v>
      </c>
      <c r="AK880">
        <f>COUNTBLANK(Metadata!B880:AC880)=COLUMNS(Metadata!B880:AC880)</f>
        <v>0</v>
      </c>
      <c r="AL880">
        <v>0</v>
      </c>
      <c r="AN880">
        <f>AND(IF(Metadata!B880="",FALSE,TRUE),COUNTIF(Metadata!B:B, Metadata!B880) = 1,NOT(ISERROR(SUMPRODUCT(SEARCH(MID(Metadata!B880,ROW(INDIRECT("1:"&amp;LEN(Metadata!B880))), 1),"0123456789abcdefghijklmnopqrstuvwxyzABCDEFGHIJKLMNOPQRSTUVWXYZ.")))))</f>
        <v>0</v>
      </c>
      <c r="AO880">
        <f>IF(Metadata!C880="",FALSE,TRUE)</f>
        <v>0</v>
      </c>
      <c r="AP880">
        <f>IF(Metadata!D880="",FALSE,TRUE)</f>
        <v>0</v>
      </c>
      <c r="AQ880">
        <f>OR(AND(IF(Metadata!E880="",FALSE,TRUE),OR(exact(Metadata!E880,"not collected"),exact(Metadata!E880,"not provided"),exact(Metadata!E880,"restricted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R880">
        <f>IF(Metadata!F880="",FALSE,TRUE)</f>
        <v>0</v>
      </c>
      <c r="AS880">
        <f>OR(AND(IF(Metadata!G880="",FALSE,TRUE),OR(exact(Metadata!G880,"not collected"),exact(Metadata!G880,"not provided"))),AND(IF(Metadata!G880="",FALSE,TRUE),OR(exact(Metadata!G880,"TRUE"),exact(Metadata!G880,"FALSE"))))</f>
        <v>0</v>
      </c>
      <c r="AT880">
        <f>OR(AND(IF(Metadata!H880="",FALSE,TRUE),OR(exact(Metadata!H880,"not collected"),exact(Metadata!H880,"not provided"),exact(Metadata!H880,"restricted access"))),AND(IF(Metadata!H880="",FALSE,ISNUMBER(VALUE(Metadata!H880))),Metadata!H880&gt;=-413.0))</f>
        <v>0</v>
      </c>
      <c r="AU880">
        <f>AND(IF(Metadata!I880="",FALSE,TRUE),exact(Metadata!I880,"meters"))</f>
        <v>0</v>
      </c>
      <c r="AV880">
        <f>AND(IF(Metadata!J880="",FALSE,TRUE),OR(exact(Metadata!J880,"Host-associated"),exact(Metadata!J880,"Free-living")))</f>
        <v>0</v>
      </c>
      <c r="AW880">
        <f>AND(IF(Metadata!K880="",FALSE,TRUE),OR(exact(Metadata!K880,"Animal"),exact(Metadata!K880,"Fungus"),exact(Metadata!K880,"Plant"),exact(Metadata!K880,"Saline"),exact(Metadata!K880,"Non-saline")))</f>
        <v>0</v>
      </c>
      <c r="AX880">
        <f>AND(IF(Metadata!L880="",FALSE,TRUE),OR(exact(Metadata!L880,"Plant secretion"),exact(Metadata!L880,"Plant rhizosphere"),exact(Metadata!L880,"Plant surface"),exact(Metadata!L880,"Plant corpus"),exact(Metadata!L880,"Fungus surface"),exact(Metadata!L880,"Fungus corpus"),exact(Metadata!L880,"Animal surface"),exact(Metadata!L880,"Animal proximal gut"),exact(Metadata!L880,"Animal corpus"),exact(Metadata!L880,"Animal distal gut"),exact(Metadata!L880,"Animal secretion"),exact(Metadata!L880,"Sub-surface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Y880">
        <f>IF(Metadata!M880="",FALSE,TRUE)</f>
        <v>0</v>
      </c>
      <c r="AZ880">
        <f>IF(Metadata!N880="",FALSE,TRUE)</f>
        <v>0</v>
      </c>
      <c r="BA880">
        <f>IF(Metadata!O880="",FALSE,TRUE)</f>
        <v>0</v>
      </c>
      <c r="BB880">
        <f>OR(AND(IF(Metadata!P880="",FALSE,TRUE),OR(exact(Metadata!P880,"not collected"),exact(Metadata!P880,"not provided"),exact(Metadata!P880,"restricted access"))),AND(IF(Metadata!P880="",FALSE,TRUE),OR(exact(Metadata!P880,"air"),exact(Metadata!P880,"built environment"),exact(Metadata!P880,"host-associated"),exact(Metadata!P880,"human-associated"),exact(Metadata!P880,"human-skin"),exact(Metadata!P880,"human-oral"),exact(Metadata!P880,"human-gut"),exact(Metadata!P880,"human-vaginal"),exact(Metadata!P880,"microbial mat/biofilm"),exact(Metadata!P880,"misc environment"),exact(Metadata!P880,"plant-associated"),exact(Metadata!P880,"sediment"),exact(Metadata!P880,"soil"),exact(Metadata!P880,"wastewater/sludge"),exact(Metadata!P880,"water"))))</f>
        <v>0</v>
      </c>
      <c r="BC880">
        <f>IF(Metadata!Q880="",FALSE,TRUE)</f>
        <v>0</v>
      </c>
      <c r="BD880">
        <f>IF(Metadata!R880="",FALSE,TRUE)</f>
        <v>0</v>
      </c>
      <c r="BE880">
        <f>OR(AND(IF(Metadata!S880="",FALSE,TRUE),OR(exact(Metadata!S880,"not collected"),exact(Metadata!S880,"not provided"),exact(Metadata!S880,"restricted access"))),AND(IF(Metadata!S880="",FALSE,ISNUMBER(VALUE(Metadata!S880))),Metadata!S880&gt;=-90.00,Metadata!S880&lt;=90.00))</f>
        <v>0</v>
      </c>
      <c r="BF880">
        <f>AND(IF(Metadata!T880="",FALSE,TRUE),exact(Metadata!T880,"Decimal degrees"))</f>
        <v>0</v>
      </c>
      <c r="BG880">
        <f>OR(AND(IF(Metadata!U880="",FALSE,TRUE),OR(exact(Metadata!U880,"not collected"),exact(Metadata!U880,"not provided"),exact(Metadata!U880,"restricted access"))),AND(IF(Metadata!U880="",FALSE,ISNUMBER(VALUE(Metadata!U880))),Metadata!U880&gt;=-180.00,Metadata!U880&lt;=180.00))</f>
        <v>0</v>
      </c>
      <c r="BH880">
        <f>AND(IF(Metadata!V880="",FALSE,TRUE),exact(Metadata!V880,"Decimal degrees"))</f>
        <v>0</v>
      </c>
      <c r="BI880">
        <f>IF(Metadata!W880="",FALSE,TRUE)</f>
        <v>0</v>
      </c>
      <c r="BJ880">
        <f>OR(AND(IF(Metadata!X880="",FALSE,TRUE),OR(exact(Metadata!X880,"not collected"),exact(Metadata!X880,"not provided"),exact(Metadata!X880,"restricted access"))),AND(IF(Metadata!X880="",FALSE,TRUE),OR(exact(Metadata!X880,"TRUE"),exact(Metadata!X880,"FALSE"))))</f>
        <v>0</v>
      </c>
      <c r="BK880">
        <f>AND(IF(Metadata!Y880="",FALSE,TRUE),exact(Metadata!Y880,"other"))</f>
        <v>0</v>
      </c>
      <c r="BL880">
        <f>IF(Metadata!Z880="",FALSE,TRUE)</f>
        <v>0</v>
      </c>
      <c r="BM880">
        <f>OR(AND(IF(Metadata!AA880="",FALSE,TRUE),OR(exact(Metadata!AA880,"not collected"),exact(Metadata!AA880,"not provided"))),AND(IF(Metadata!AA880="",FALSE,IF(ISERROR(INT(Metadata!AA880)),FALSE,INT(Metadata!AA880)=Metadata!AA880)),Metadata!AA880&gt;0))</f>
        <v>0</v>
      </c>
      <c r="BN880">
        <f>AND(IF(Metadata!AB880="",FALSE,TRUE),exact(Metadata!AB880,"Not applicable"))</f>
        <v>0</v>
      </c>
      <c r="BO880">
        <f>IF(Metadata!AC880="",FALSE,TRUE)</f>
        <v>0</v>
      </c>
    </row>
    <row r="881" spans="1:67">
      <c r="A881" s="5">
        <f>IF(B881=" "," ",HYPERLINK(CONCATENATE("#metadata!",ADDRESS(INDEX($AI$2:$AI$1001,MATCH(ROWS($AG$2:AG881),$AG$2:$AG$1001,0),0),1)),INDEX($AL$2:$AL$1001,MATCH(ROWS($AG$2:AG881),$AG$2:$AG$1001,0),0)))</f>
        <v>0</v>
      </c>
      <c r="B881" s="4">
        <f>IF(OR(INDEX($AH$2:$AH$1001,MATCH(ROWS($AG$2:AG881),$AG$2:$AG$1001,0),1)&gt;=100000,INDEX($AN$1005:$BO$1005,1,MATCH(COLUMNS($AN$1006:AN1006),$AN$1006:$BO$1006,0))&gt;=100000), " ",IF(INDEX($AN$2:$BO$1001,MATCH(ROWS($AG$2:AG881),$AG$2:$AG$1001,0),MATCH(COLUMNS($AN$1006:AN1006),$AN$1006:$BO$1006,0)), HYPERLINK("#",""), HYPERLINK(CONCATENATE("#Metadata!", ADDRESS(INDEX($AI$2:$AI$1001,MATCH(ROWS($AG$2:AG881),$AG$2:$AG$1001,0),0), INDEX($AN$1004:$BO$1004,1,MATCH(COLUMNS($AN$1006:AN1006),$AN$1006:$BO$1006,0)))),"Fix")))</f>
        <v>0</v>
      </c>
      <c r="C881" s="4">
        <f>IF(OR(INDEX($AH$2:$AH$1001,MATCH(ROWS($AG$2:AG881),$AG$2:$AG$1001,0),1)&gt;=100000,INDEX($AN$1005:$BO$1005,1,MATCH(COLUMNS($AN$1006:AO1006),$AN$1006:$BO$1006,0))&gt;=100000), " ",IF(INDEX($AN$2:$BO$1001,MATCH(ROWS($AG$2:AG881),$AG$2:$AG$1001,0),MATCH(COLUMNS($AN$1006:AO1006),$AN$1006:$BO$1006,0)), HYPERLINK("#",""), HYPERLINK(CONCATENATE("#Metadata!", ADDRESS(INDEX($AI$2:$AI$1001,MATCH(ROWS($AG$2:AG881),$AG$2:$AG$1001,0),0), INDEX($AN$1004:$BO$1004,1,MATCH(COLUMNS($AN$1006:AO1006),$AN$1006:$BO$1006,0)))),"Fix")))</f>
        <v>0</v>
      </c>
      <c r="D881" s="4">
        <f>IF(OR(INDEX($AH$2:$AH$1001,MATCH(ROWS($AG$2:AG881),$AG$2:$AG$1001,0),1)&gt;=100000,INDEX($AN$1005:$BO$1005,1,MATCH(COLUMNS($AN$1006:AP1006),$AN$1006:$BO$1006,0))&gt;=100000), " ",IF(INDEX($AN$2:$BO$1001,MATCH(ROWS($AG$2:AG881),$AG$2:$AG$1001,0),MATCH(COLUMNS($AN$1006:AP1006),$AN$1006:$BO$1006,0)), HYPERLINK("#",""), HYPERLINK(CONCATENATE("#Metadata!", ADDRESS(INDEX($AI$2:$AI$1001,MATCH(ROWS($AG$2:AG881),$AG$2:$AG$1001,0),0), INDEX($AN$1004:$BO$1004,1,MATCH(COLUMNS($AN$1006:AP1006),$AN$1006:$BO$1006,0)))),"Fix")))</f>
        <v>0</v>
      </c>
      <c r="E881" s="4">
        <f>IF(OR(INDEX($AH$2:$AH$1001,MATCH(ROWS($AG$2:AG881),$AG$2:$AG$1001,0),1)&gt;=100000,INDEX($AN$1005:$BO$1005,1,MATCH(COLUMNS($AN$1006:AQ1006),$AN$1006:$BO$1006,0))&gt;=100000), " ",IF(INDEX($AN$2:$BO$1001,MATCH(ROWS($AG$2:AG881),$AG$2:$AG$1001,0),MATCH(COLUMNS($AN$1006:AQ1006),$AN$1006:$BO$1006,0)), HYPERLINK("#",""), HYPERLINK(CONCATENATE("#Metadata!", ADDRESS(INDEX($AI$2:$AI$1001,MATCH(ROWS($AG$2:AG881),$AG$2:$AG$1001,0),0), INDEX($AN$1004:$BO$1004,1,MATCH(COLUMNS($AN$1006:AQ1006),$AN$1006:$BO$1006,0)))),"Fix")))</f>
        <v>0</v>
      </c>
      <c r="F881" s="4">
        <f>IF(OR(INDEX($AH$2:$AH$1001,MATCH(ROWS($AG$2:AG881),$AG$2:$AG$1001,0),1)&gt;=100000,INDEX($AN$1005:$BO$1005,1,MATCH(COLUMNS($AN$1006:AR1006),$AN$1006:$BO$1006,0))&gt;=100000), " ",IF(INDEX($AN$2:$BO$1001,MATCH(ROWS($AG$2:AG881),$AG$2:$AG$1001,0),MATCH(COLUMNS($AN$1006:AR1006),$AN$1006:$BO$1006,0)), HYPERLINK("#",""), HYPERLINK(CONCATENATE("#Metadata!", ADDRESS(INDEX($AI$2:$AI$1001,MATCH(ROWS($AG$2:AG881),$AG$2:$AG$1001,0),0), INDEX($AN$1004:$BO$1004,1,MATCH(COLUMNS($AN$1006:AR1006),$AN$1006:$BO$1006,0)))),"Fix")))</f>
        <v>0</v>
      </c>
      <c r="G881" s="4">
        <f>IF(OR(INDEX($AH$2:$AH$1001,MATCH(ROWS($AG$2:AG881),$AG$2:$AG$1001,0),1)&gt;=100000,INDEX($AN$1005:$BO$1005,1,MATCH(COLUMNS($AN$1006:AS1006),$AN$1006:$BO$1006,0))&gt;=100000), " ",IF(INDEX($AN$2:$BO$1001,MATCH(ROWS($AG$2:AG881),$AG$2:$AG$1001,0),MATCH(COLUMNS($AN$1006:AS1006),$AN$1006:$BO$1006,0)), HYPERLINK("#",""), HYPERLINK(CONCATENATE("#Metadata!", ADDRESS(INDEX($AI$2:$AI$1001,MATCH(ROWS($AG$2:AG881),$AG$2:$AG$1001,0),0), INDEX($AN$1004:$BO$1004,1,MATCH(COLUMNS($AN$1006:AS1006),$AN$1006:$BO$1006,0)))),"Fix")))</f>
        <v>0</v>
      </c>
      <c r="H881" s="4">
        <f>IF(OR(INDEX($AH$2:$AH$1001,MATCH(ROWS($AG$2:AG881),$AG$2:$AG$1001,0),1)&gt;=100000,INDEX($AN$1005:$BO$1005,1,MATCH(COLUMNS($AN$1006:AT1006),$AN$1006:$BO$1006,0))&gt;=100000), " ",IF(INDEX($AN$2:$BO$1001,MATCH(ROWS($AG$2:AG881),$AG$2:$AG$1001,0),MATCH(COLUMNS($AN$1006:AT1006),$AN$1006:$BO$1006,0)), HYPERLINK("#",""), HYPERLINK(CONCATENATE("#Metadata!", ADDRESS(INDEX($AI$2:$AI$1001,MATCH(ROWS($AG$2:AG881),$AG$2:$AG$1001,0),0), INDEX($AN$1004:$BO$1004,1,MATCH(COLUMNS($AN$1006:AT1006),$AN$1006:$BO$1006,0)))),"Fix")))</f>
        <v>0</v>
      </c>
      <c r="I881" s="4">
        <f>IF(OR(INDEX($AH$2:$AH$1001,MATCH(ROWS($AG$2:AG881),$AG$2:$AG$1001,0),1)&gt;=100000,INDEX($AN$1005:$BO$1005,1,MATCH(COLUMNS($AN$1006:AU1006),$AN$1006:$BO$1006,0))&gt;=100000), " ",IF(INDEX($AN$2:$BO$1001,MATCH(ROWS($AG$2:AG881),$AG$2:$AG$1001,0),MATCH(COLUMNS($AN$1006:AU1006),$AN$1006:$BO$1006,0)), HYPERLINK("#",""), HYPERLINK(CONCATENATE("#Metadata!", ADDRESS(INDEX($AI$2:$AI$1001,MATCH(ROWS($AG$2:AG881),$AG$2:$AG$1001,0),0), INDEX($AN$1004:$BO$1004,1,MATCH(COLUMNS($AN$1006:AU1006),$AN$1006:$BO$1006,0)))),"Fix")))</f>
        <v>0</v>
      </c>
      <c r="J881" s="4">
        <f>IF(OR(INDEX($AH$2:$AH$1001,MATCH(ROWS($AG$2:AG881),$AG$2:$AG$1001,0),1)&gt;=100000,INDEX($AN$1005:$BO$1005,1,MATCH(COLUMNS($AN$1006:AV1006),$AN$1006:$BO$1006,0))&gt;=100000), " ",IF(INDEX($AN$2:$BO$1001,MATCH(ROWS($AG$2:AG881),$AG$2:$AG$1001,0),MATCH(COLUMNS($AN$1006:AV1006),$AN$1006:$BO$1006,0)), HYPERLINK("#",""), HYPERLINK(CONCATENATE("#Metadata!", ADDRESS(INDEX($AI$2:$AI$1001,MATCH(ROWS($AG$2:AG881),$AG$2:$AG$1001,0),0), INDEX($AN$1004:$BO$1004,1,MATCH(COLUMNS($AN$1006:AV1006),$AN$1006:$BO$1006,0)))),"Fix")))</f>
        <v>0</v>
      </c>
      <c r="K881" s="4">
        <f>IF(OR(INDEX($AH$2:$AH$1001,MATCH(ROWS($AG$2:AG881),$AG$2:$AG$1001,0),1)&gt;=100000,INDEX($AN$1005:$BO$1005,1,MATCH(COLUMNS($AN$1006:AW1006),$AN$1006:$BO$1006,0))&gt;=100000), " ",IF(INDEX($AN$2:$BO$1001,MATCH(ROWS($AG$2:AG881),$AG$2:$AG$1001,0),MATCH(COLUMNS($AN$1006:AW1006),$AN$1006:$BO$1006,0)), HYPERLINK("#",""), HYPERLINK(CONCATENATE("#Metadata!", ADDRESS(INDEX($AI$2:$AI$1001,MATCH(ROWS($AG$2:AG881),$AG$2:$AG$1001,0),0), INDEX($AN$1004:$BO$1004,1,MATCH(COLUMNS($AN$1006:AW1006),$AN$1006:$BO$1006,0)))),"Fix")))</f>
        <v>0</v>
      </c>
      <c r="L881" s="4">
        <f>IF(OR(INDEX($AH$2:$AH$1001,MATCH(ROWS($AG$2:AG881),$AG$2:$AG$1001,0),1)&gt;=100000,INDEX($AN$1005:$BO$1005,1,MATCH(COLUMNS($AN$1006:AX1006),$AN$1006:$BO$1006,0))&gt;=100000), " ",IF(INDEX($AN$2:$BO$1001,MATCH(ROWS($AG$2:AG881),$AG$2:$AG$1001,0),MATCH(COLUMNS($AN$1006:AX1006),$AN$1006:$BO$1006,0)), HYPERLINK("#",""), HYPERLINK(CONCATENATE("#Metadata!", ADDRESS(INDEX($AI$2:$AI$1001,MATCH(ROWS($AG$2:AG881),$AG$2:$AG$1001,0),0), INDEX($AN$1004:$BO$1004,1,MATCH(COLUMNS($AN$1006:AX1006),$AN$1006:$BO$1006,0)))),"Fix")))</f>
        <v>0</v>
      </c>
      <c r="M881" s="4">
        <f>IF(OR(INDEX($AH$2:$AH$1001,MATCH(ROWS($AG$2:AG881),$AG$2:$AG$1001,0),1)&gt;=100000,INDEX($AN$1005:$BO$1005,1,MATCH(COLUMNS($AN$1006:AY1006),$AN$1006:$BO$1006,0))&gt;=100000), " ",IF(INDEX($AN$2:$BO$1001,MATCH(ROWS($AG$2:AG881),$AG$2:$AG$1001,0),MATCH(COLUMNS($AN$1006:AY1006),$AN$1006:$BO$1006,0)), HYPERLINK("#",""), HYPERLINK(CONCATENATE("#Metadata!", ADDRESS(INDEX($AI$2:$AI$1001,MATCH(ROWS($AG$2:AG881),$AG$2:$AG$1001,0),0), INDEX($AN$1004:$BO$1004,1,MATCH(COLUMNS($AN$1006:AY1006),$AN$1006:$BO$1006,0)))),"Fix")))</f>
        <v>0</v>
      </c>
      <c r="N881" s="4">
        <f>IF(OR(INDEX($AH$2:$AH$1001,MATCH(ROWS($AG$2:AG881),$AG$2:$AG$1001,0),1)&gt;=100000,INDEX($AN$1005:$BO$1005,1,MATCH(COLUMNS($AN$1006:AZ1006),$AN$1006:$BO$1006,0))&gt;=100000), " ",IF(INDEX($AN$2:$BO$1001,MATCH(ROWS($AG$2:AG881),$AG$2:$AG$1001,0),MATCH(COLUMNS($AN$1006:AZ1006),$AN$1006:$BO$1006,0)), HYPERLINK("#",""), HYPERLINK(CONCATENATE("#Metadata!", ADDRESS(INDEX($AI$2:$AI$1001,MATCH(ROWS($AG$2:AG881),$AG$2:$AG$1001,0),0), INDEX($AN$1004:$BO$1004,1,MATCH(COLUMNS($AN$1006:AZ1006),$AN$1006:$BO$1006,0)))),"Fix")))</f>
        <v>0</v>
      </c>
      <c r="O881" s="4">
        <f>IF(OR(INDEX($AH$2:$AH$1001,MATCH(ROWS($AG$2:AG881),$AG$2:$AG$1001,0),1)&gt;=100000,INDEX($AN$1005:$BO$1005,1,MATCH(COLUMNS($AN$1006:BA1006),$AN$1006:$BO$1006,0))&gt;=100000), " ",IF(INDEX($AN$2:$BO$1001,MATCH(ROWS($AG$2:AG881),$AG$2:$AG$1001,0),MATCH(COLUMNS($AN$1006:BA1006),$AN$1006:$BO$1006,0)), HYPERLINK("#",""), HYPERLINK(CONCATENATE("#Metadata!", ADDRESS(INDEX($AI$2:$AI$1001,MATCH(ROWS($AG$2:AG881),$AG$2:$AG$1001,0),0), INDEX($AN$1004:$BO$1004,1,MATCH(COLUMNS($AN$1006:BA1006),$AN$1006:$BO$1006,0)))),"Fix")))</f>
        <v>0</v>
      </c>
      <c r="P881" s="4">
        <f>IF(OR(INDEX($AH$2:$AH$1001,MATCH(ROWS($AG$2:AG881),$AG$2:$AG$1001,0),1)&gt;=100000,INDEX($AN$1005:$BO$1005,1,MATCH(COLUMNS($AN$1006:BB1006),$AN$1006:$BO$1006,0))&gt;=100000), " ",IF(INDEX($AN$2:$BO$1001,MATCH(ROWS($AG$2:AG881),$AG$2:$AG$1001,0),MATCH(COLUMNS($AN$1006:BB1006),$AN$1006:$BO$1006,0)), HYPERLINK("#",""), HYPERLINK(CONCATENATE("#Metadata!", ADDRESS(INDEX($AI$2:$AI$1001,MATCH(ROWS($AG$2:AG881),$AG$2:$AG$1001,0),0), INDEX($AN$1004:$BO$1004,1,MATCH(COLUMNS($AN$1006:BB1006),$AN$1006:$BO$1006,0)))),"Fix")))</f>
        <v>0</v>
      </c>
      <c r="Q881" s="4">
        <f>IF(OR(INDEX($AH$2:$AH$1001,MATCH(ROWS($AG$2:AG881),$AG$2:$AG$1001,0),1)&gt;=100000,INDEX($AN$1005:$BO$1005,1,MATCH(COLUMNS($AN$1006:BC1006),$AN$1006:$BO$1006,0))&gt;=100000), " ",IF(INDEX($AN$2:$BO$1001,MATCH(ROWS($AG$2:AG881),$AG$2:$AG$1001,0),MATCH(COLUMNS($AN$1006:BC1006),$AN$1006:$BO$1006,0)), HYPERLINK("#",""), HYPERLINK(CONCATENATE("#Metadata!", ADDRESS(INDEX($AI$2:$AI$1001,MATCH(ROWS($AG$2:AG881),$AG$2:$AG$1001,0),0), INDEX($AN$1004:$BO$1004,1,MATCH(COLUMNS($AN$1006:BC1006),$AN$1006:$BO$1006,0)))),"Fix")))</f>
        <v>0</v>
      </c>
      <c r="R881" s="4">
        <f>IF(OR(INDEX($AH$2:$AH$1001,MATCH(ROWS($AG$2:AG881),$AG$2:$AG$1001,0),1)&gt;=100000,INDEX($AN$1005:$BO$1005,1,MATCH(COLUMNS($AN$1006:BD1006),$AN$1006:$BO$1006,0))&gt;=100000), " ",IF(INDEX($AN$2:$BO$1001,MATCH(ROWS($AG$2:AG881),$AG$2:$AG$1001,0),MATCH(COLUMNS($AN$1006:BD1006),$AN$1006:$BO$1006,0)), HYPERLINK("#",""), HYPERLINK(CONCATENATE("#Metadata!", ADDRESS(INDEX($AI$2:$AI$1001,MATCH(ROWS($AG$2:AG881),$AG$2:$AG$1001,0),0), INDEX($AN$1004:$BO$1004,1,MATCH(COLUMNS($AN$1006:BD1006),$AN$1006:$BO$1006,0)))),"Fix")))</f>
        <v>0</v>
      </c>
      <c r="S881" s="4">
        <f>IF(OR(INDEX($AH$2:$AH$1001,MATCH(ROWS($AG$2:AG881),$AG$2:$AG$1001,0),1)&gt;=100000,INDEX($AN$1005:$BO$1005,1,MATCH(COLUMNS($AN$1006:BE1006),$AN$1006:$BO$1006,0))&gt;=100000), " ",IF(INDEX($AN$2:$BO$1001,MATCH(ROWS($AG$2:AG881),$AG$2:$AG$1001,0),MATCH(COLUMNS($AN$1006:BE1006),$AN$1006:$BO$1006,0)), HYPERLINK("#",""), HYPERLINK(CONCATENATE("#Metadata!", ADDRESS(INDEX($AI$2:$AI$1001,MATCH(ROWS($AG$2:AG881),$AG$2:$AG$1001,0),0), INDEX($AN$1004:$BO$1004,1,MATCH(COLUMNS($AN$1006:BE1006),$AN$1006:$BO$1006,0)))),"Fix")))</f>
        <v>0</v>
      </c>
      <c r="T881" s="4">
        <f>IF(OR(INDEX($AH$2:$AH$1001,MATCH(ROWS($AG$2:AG881),$AG$2:$AG$1001,0),1)&gt;=100000,INDEX($AN$1005:$BO$1005,1,MATCH(COLUMNS($AN$1006:BF1006),$AN$1006:$BO$1006,0))&gt;=100000), " ",IF(INDEX($AN$2:$BO$1001,MATCH(ROWS($AG$2:AG881),$AG$2:$AG$1001,0),MATCH(COLUMNS($AN$1006:BF1006),$AN$1006:$BO$1006,0)), HYPERLINK("#",""), HYPERLINK(CONCATENATE("#Metadata!", ADDRESS(INDEX($AI$2:$AI$1001,MATCH(ROWS($AG$2:AG881),$AG$2:$AG$1001,0),0), INDEX($AN$1004:$BO$1004,1,MATCH(COLUMNS($AN$1006:BF1006),$AN$1006:$BO$1006,0)))),"Fix")))</f>
        <v>0</v>
      </c>
      <c r="U881" s="4">
        <f>IF(OR(INDEX($AH$2:$AH$1001,MATCH(ROWS($AG$2:AG881),$AG$2:$AG$1001,0),1)&gt;=100000,INDEX($AN$1005:$BO$1005,1,MATCH(COLUMNS($AN$1006:BG1006),$AN$1006:$BO$1006,0))&gt;=100000), " ",IF(INDEX($AN$2:$BO$1001,MATCH(ROWS($AG$2:AG881),$AG$2:$AG$1001,0),MATCH(COLUMNS($AN$1006:BG1006),$AN$1006:$BO$1006,0)), HYPERLINK("#",""), HYPERLINK(CONCATENATE("#Metadata!", ADDRESS(INDEX($AI$2:$AI$1001,MATCH(ROWS($AG$2:AG881),$AG$2:$AG$1001,0),0), INDEX($AN$1004:$BO$1004,1,MATCH(COLUMNS($AN$1006:BG1006),$AN$1006:$BO$1006,0)))),"Fix")))</f>
        <v>0</v>
      </c>
      <c r="V881" s="4">
        <f>IF(OR(INDEX($AH$2:$AH$1001,MATCH(ROWS($AG$2:AG881),$AG$2:$AG$1001,0),1)&gt;=100000,INDEX($AN$1005:$BO$1005,1,MATCH(COLUMNS($AN$1006:BH1006),$AN$1006:$BO$1006,0))&gt;=100000), " ",IF(INDEX($AN$2:$BO$1001,MATCH(ROWS($AG$2:AG881),$AG$2:$AG$1001,0),MATCH(COLUMNS($AN$1006:BH1006),$AN$1006:$BO$1006,0)), HYPERLINK("#",""), HYPERLINK(CONCATENATE("#Metadata!", ADDRESS(INDEX($AI$2:$AI$1001,MATCH(ROWS($AG$2:AG881),$AG$2:$AG$1001,0),0), INDEX($AN$1004:$BO$1004,1,MATCH(COLUMNS($AN$1006:BH1006),$AN$1006:$BO$1006,0)))),"Fix")))</f>
        <v>0</v>
      </c>
      <c r="W881" s="4">
        <f>IF(OR(INDEX($AH$2:$AH$1001,MATCH(ROWS($AG$2:AG881),$AG$2:$AG$1001,0),1)&gt;=100000,INDEX($AN$1005:$BO$1005,1,MATCH(COLUMNS($AN$1006:BI1006),$AN$1006:$BO$1006,0))&gt;=100000), " ",IF(INDEX($AN$2:$BO$1001,MATCH(ROWS($AG$2:AG881),$AG$2:$AG$1001,0),MATCH(COLUMNS($AN$1006:BI1006),$AN$1006:$BO$1006,0)), HYPERLINK("#",""), HYPERLINK(CONCATENATE("#Metadata!", ADDRESS(INDEX($AI$2:$AI$1001,MATCH(ROWS($AG$2:AG881),$AG$2:$AG$1001,0),0), INDEX($AN$1004:$BO$1004,1,MATCH(COLUMNS($AN$1006:BI1006),$AN$1006:$BO$1006,0)))),"Fix")))</f>
        <v>0</v>
      </c>
      <c r="X881" s="4">
        <f>IF(OR(INDEX($AH$2:$AH$1001,MATCH(ROWS($AG$2:AG881),$AG$2:$AG$1001,0),1)&gt;=100000,INDEX($AN$1005:$BO$1005,1,MATCH(COLUMNS($AN$1006:BJ1006),$AN$1006:$BO$1006,0))&gt;=100000), " ",IF(INDEX($AN$2:$BO$1001,MATCH(ROWS($AG$2:AG881),$AG$2:$AG$1001,0),MATCH(COLUMNS($AN$1006:BJ1006),$AN$1006:$BO$1006,0)), HYPERLINK("#",""), HYPERLINK(CONCATENATE("#Metadata!", ADDRESS(INDEX($AI$2:$AI$1001,MATCH(ROWS($AG$2:AG881),$AG$2:$AG$1001,0),0), INDEX($AN$1004:$BO$1004,1,MATCH(COLUMNS($AN$1006:BJ1006),$AN$1006:$BO$1006,0)))),"Fix")))</f>
        <v>0</v>
      </c>
      <c r="Y881" s="4">
        <f>IF(OR(INDEX($AH$2:$AH$1001,MATCH(ROWS($AG$2:AG881),$AG$2:$AG$1001,0),1)&gt;=100000,INDEX($AN$1005:$BO$1005,1,MATCH(COLUMNS($AN$1006:BK1006),$AN$1006:$BO$1006,0))&gt;=100000), " ",IF(INDEX($AN$2:$BO$1001,MATCH(ROWS($AG$2:AG881),$AG$2:$AG$1001,0),MATCH(COLUMNS($AN$1006:BK1006),$AN$1006:$BO$1006,0)), HYPERLINK("#",""), HYPERLINK(CONCATENATE("#Metadata!", ADDRESS(INDEX($AI$2:$AI$1001,MATCH(ROWS($AG$2:AG881),$AG$2:$AG$1001,0),0), INDEX($AN$1004:$BO$1004,1,MATCH(COLUMNS($AN$1006:BK1006),$AN$1006:$BO$1006,0)))),"Fix")))</f>
        <v>0</v>
      </c>
      <c r="Z881" s="4">
        <f>IF(OR(INDEX($AH$2:$AH$1001,MATCH(ROWS($AG$2:AG881),$AG$2:$AG$1001,0),1)&gt;=100000,INDEX($AN$1005:$BO$1005,1,MATCH(COLUMNS($AN$1006:BL1006),$AN$1006:$BO$1006,0))&gt;=100000), " ",IF(INDEX($AN$2:$BO$1001,MATCH(ROWS($AG$2:AG881),$AG$2:$AG$1001,0),MATCH(COLUMNS($AN$1006:BL1006),$AN$1006:$BO$1006,0)), HYPERLINK("#",""), HYPERLINK(CONCATENATE("#Metadata!", ADDRESS(INDEX($AI$2:$AI$1001,MATCH(ROWS($AG$2:AG881),$AG$2:$AG$1001,0),0), INDEX($AN$1004:$BO$1004,1,MATCH(COLUMNS($AN$1006:BL1006),$AN$1006:$BO$1006,0)))),"Fix")))</f>
        <v>0</v>
      </c>
      <c r="AA881" s="4">
        <f>IF(OR(INDEX($AH$2:$AH$1001,MATCH(ROWS($AG$2:AG881),$AG$2:$AG$1001,0),1)&gt;=100000,INDEX($AN$1005:$BO$1005,1,MATCH(COLUMNS($AN$1006:BM1006),$AN$1006:$BO$1006,0))&gt;=100000), " ",IF(INDEX($AN$2:$BO$1001,MATCH(ROWS($AG$2:AG881),$AG$2:$AG$1001,0),MATCH(COLUMNS($AN$1006:BM1006),$AN$1006:$BO$1006,0)), HYPERLINK("#",""), HYPERLINK(CONCATENATE("#Metadata!", ADDRESS(INDEX($AI$2:$AI$1001,MATCH(ROWS($AG$2:AG881),$AG$2:$AG$1001,0),0), INDEX($AN$1004:$BO$1004,1,MATCH(COLUMNS($AN$1006:BM1006),$AN$1006:$BO$1006,0)))),"Fix")))</f>
        <v>0</v>
      </c>
      <c r="AB881" s="4">
        <f>IF(OR(INDEX($AH$2:$AH$1001,MATCH(ROWS($AG$2:AG881),$AG$2:$AG$1001,0),1)&gt;=100000,INDEX($AN$1005:$BO$1005,1,MATCH(COLUMNS($AN$1006:BN1006),$AN$1006:$BO$1006,0))&gt;=100000), " ",IF(INDEX($AN$2:$BO$1001,MATCH(ROWS($AG$2:AG881),$AG$2:$AG$1001,0),MATCH(COLUMNS($AN$1006:BN1006),$AN$1006:$BO$1006,0)), HYPERLINK("#",""), HYPERLINK(CONCATENATE("#Metadata!", ADDRESS(INDEX($AI$2:$AI$1001,MATCH(ROWS($AG$2:AG881),$AG$2:$AG$1001,0),0), INDEX($AN$1004:$BO$1004,1,MATCH(COLUMNS($AN$1006:BN1006),$AN$1006:$BO$1006,0)))),"Fix")))</f>
        <v>0</v>
      </c>
      <c r="AC881" s="4">
        <f>IF(OR(INDEX($AH$2:$AH$1001,MATCH(ROWS($AG$2:AG881),$AG$2:$AG$1001,0),1)&gt;=100000,INDEX($AN$1005:$BO$1005,1,MATCH(COLUMNS($AN$1006:BO1006),$AN$1006:$BO$1006,0))&gt;=100000), " ",IF(INDEX($AN$2:$BO$1001,MATCH(ROWS($AG$2:AG881),$AG$2:$AG$1001,0),MATCH(COLUMNS($AN$1006:BO1006),$AN$1006:$BO$1006,0)), HYPERLINK("#",""), HYPERLINK(CONCATENATE("#Metadata!", ADDRESS(INDEX($AI$2:$AI$1001,MATCH(ROWS($AG$2:AG881),$AG$2:$AG$1001,0),0), INDEX($AN$1004:$BO$1004,1,MATCH(COLUMNS($AN$1006:BO1006),$AN$1006:$BO$1006,0)))),"Fix")))</f>
        <v>0</v>
      </c>
      <c r="AG881">
        <v>0</v>
      </c>
      <c r="AH881">
        <v>0</v>
      </c>
      <c r="AI881">
        <v>0</v>
      </c>
      <c r="AJ881">
        <f>IF(AK881,TRUE,AND(AN881:BO881))</f>
        <v>0</v>
      </c>
      <c r="AK881">
        <f>COUNTBLANK(Metadata!B881:AC881)=COLUMNS(Metadata!B881:AC881)</f>
        <v>0</v>
      </c>
      <c r="AL881">
        <v>0</v>
      </c>
      <c r="AN881">
        <f>AND(IF(Metadata!B881="",FALSE,TRUE),COUNTIF(Metadata!B:B, Metadata!B881) = 1,NOT(ISERROR(SUMPRODUCT(SEARCH(MID(Metadata!B881,ROW(INDIRECT("1:"&amp;LEN(Metadata!B881))), 1),"0123456789abcdefghijklmnopqrstuvwxyzABCDEFGHIJKLMNOPQRSTUVWXYZ.")))))</f>
        <v>0</v>
      </c>
      <c r="AO881">
        <f>IF(Metadata!C881="",FALSE,TRUE)</f>
        <v>0</v>
      </c>
      <c r="AP881">
        <f>IF(Metadata!D881="",FALSE,TRUE)</f>
        <v>0</v>
      </c>
      <c r="AQ881">
        <f>OR(AND(IF(Metadata!E881="",FALSE,TRUE),OR(exact(Metadata!E881,"not collected"),exact(Metadata!E881,"not provided"),exact(Metadata!E881,"restricted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R881">
        <f>IF(Metadata!F881="",FALSE,TRUE)</f>
        <v>0</v>
      </c>
      <c r="AS881">
        <f>OR(AND(IF(Metadata!G881="",FALSE,TRUE),OR(exact(Metadata!G881,"not collected"),exact(Metadata!G881,"not provided"))),AND(IF(Metadata!G881="",FALSE,TRUE),OR(exact(Metadata!G881,"TRUE"),exact(Metadata!G881,"FALSE"))))</f>
        <v>0</v>
      </c>
      <c r="AT881">
        <f>OR(AND(IF(Metadata!H881="",FALSE,TRUE),OR(exact(Metadata!H881,"not collected"),exact(Metadata!H881,"not provided"),exact(Metadata!H881,"restricted access"))),AND(IF(Metadata!H881="",FALSE,ISNUMBER(VALUE(Metadata!H881))),Metadata!H881&gt;=-413.0))</f>
        <v>0</v>
      </c>
      <c r="AU881">
        <f>AND(IF(Metadata!I881="",FALSE,TRUE),exact(Metadata!I881,"meters"))</f>
        <v>0</v>
      </c>
      <c r="AV881">
        <f>AND(IF(Metadata!J881="",FALSE,TRUE),OR(exact(Metadata!J881,"Host-associated"),exact(Metadata!J881,"Free-living")))</f>
        <v>0</v>
      </c>
      <c r="AW881">
        <f>AND(IF(Metadata!K881="",FALSE,TRUE),OR(exact(Metadata!K881,"Animal"),exact(Metadata!K881,"Fungus"),exact(Metadata!K881,"Plant"),exact(Metadata!K881,"Saline"),exact(Metadata!K881,"Non-saline")))</f>
        <v>0</v>
      </c>
      <c r="AX881">
        <f>AND(IF(Metadata!L881="",FALSE,TRUE),OR(exact(Metadata!L881,"Plant secretion"),exact(Metadata!L881,"Plant rhizosphere"),exact(Metadata!L881,"Plant surface"),exact(Metadata!L881,"Plant corpus"),exact(Metadata!L881,"Fungus surface"),exact(Metadata!L881,"Fungus corpus"),exact(Metadata!L881,"Animal surface"),exact(Metadata!L881,"Animal proximal gut"),exact(Metadata!L881,"Animal corpus"),exact(Metadata!L881,"Animal distal gut"),exact(Metadata!L881,"Animal secretion"),exact(Metadata!L881,"Sub-surface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Y881">
        <f>IF(Metadata!M881="",FALSE,TRUE)</f>
        <v>0</v>
      </c>
      <c r="AZ881">
        <f>IF(Metadata!N881="",FALSE,TRUE)</f>
        <v>0</v>
      </c>
      <c r="BA881">
        <f>IF(Metadata!O881="",FALSE,TRUE)</f>
        <v>0</v>
      </c>
      <c r="BB881">
        <f>OR(AND(IF(Metadata!P881="",FALSE,TRUE),OR(exact(Metadata!P881,"not collected"),exact(Metadata!P881,"not provided"),exact(Metadata!P881,"restricted access"))),AND(IF(Metadata!P881="",FALSE,TRUE),OR(exact(Metadata!P881,"air"),exact(Metadata!P881,"built environment"),exact(Metadata!P881,"host-associated"),exact(Metadata!P881,"human-associated"),exact(Metadata!P881,"human-skin"),exact(Metadata!P881,"human-oral"),exact(Metadata!P881,"human-gut"),exact(Metadata!P881,"human-vaginal"),exact(Metadata!P881,"microbial mat/biofilm"),exact(Metadata!P881,"misc environment"),exact(Metadata!P881,"plant-associated"),exact(Metadata!P881,"sediment"),exact(Metadata!P881,"soil"),exact(Metadata!P881,"wastewater/sludge"),exact(Metadata!P881,"water"))))</f>
        <v>0</v>
      </c>
      <c r="BC881">
        <f>IF(Metadata!Q881="",FALSE,TRUE)</f>
        <v>0</v>
      </c>
      <c r="BD881">
        <f>IF(Metadata!R881="",FALSE,TRUE)</f>
        <v>0</v>
      </c>
      <c r="BE881">
        <f>OR(AND(IF(Metadata!S881="",FALSE,TRUE),OR(exact(Metadata!S881,"not collected"),exact(Metadata!S881,"not provided"),exact(Metadata!S881,"restricted access"))),AND(IF(Metadata!S881="",FALSE,ISNUMBER(VALUE(Metadata!S881))),Metadata!S881&gt;=-90.00,Metadata!S881&lt;=90.00))</f>
        <v>0</v>
      </c>
      <c r="BF881">
        <f>AND(IF(Metadata!T881="",FALSE,TRUE),exact(Metadata!T881,"Decimal degrees"))</f>
        <v>0</v>
      </c>
      <c r="BG881">
        <f>OR(AND(IF(Metadata!U881="",FALSE,TRUE),OR(exact(Metadata!U881,"not collected"),exact(Metadata!U881,"not provided"),exact(Metadata!U881,"restricted access"))),AND(IF(Metadata!U881="",FALSE,ISNUMBER(VALUE(Metadata!U881))),Metadata!U881&gt;=-180.00,Metadata!U881&lt;=180.00))</f>
        <v>0</v>
      </c>
      <c r="BH881">
        <f>AND(IF(Metadata!V881="",FALSE,TRUE),exact(Metadata!V881,"Decimal degrees"))</f>
        <v>0</v>
      </c>
      <c r="BI881">
        <f>IF(Metadata!W881="",FALSE,TRUE)</f>
        <v>0</v>
      </c>
      <c r="BJ881">
        <f>OR(AND(IF(Metadata!X881="",FALSE,TRUE),OR(exact(Metadata!X881,"not collected"),exact(Metadata!X881,"not provided"),exact(Metadata!X881,"restricted access"))),AND(IF(Metadata!X881="",FALSE,TRUE),OR(exact(Metadata!X881,"TRUE"),exact(Metadata!X881,"FALSE"))))</f>
        <v>0</v>
      </c>
      <c r="BK881">
        <f>AND(IF(Metadata!Y881="",FALSE,TRUE),exact(Metadata!Y881,"other"))</f>
        <v>0</v>
      </c>
      <c r="BL881">
        <f>IF(Metadata!Z881="",FALSE,TRUE)</f>
        <v>0</v>
      </c>
      <c r="BM881">
        <f>OR(AND(IF(Metadata!AA881="",FALSE,TRUE),OR(exact(Metadata!AA881,"not collected"),exact(Metadata!AA881,"not provided"))),AND(IF(Metadata!AA881="",FALSE,IF(ISERROR(INT(Metadata!AA881)),FALSE,INT(Metadata!AA881)=Metadata!AA881)),Metadata!AA881&gt;0))</f>
        <v>0</v>
      </c>
      <c r="BN881">
        <f>AND(IF(Metadata!AB881="",FALSE,TRUE),exact(Metadata!AB881,"Not applicable"))</f>
        <v>0</v>
      </c>
      <c r="BO881">
        <f>IF(Metadata!AC881="",FALSE,TRUE)</f>
        <v>0</v>
      </c>
    </row>
    <row r="882" spans="1:67">
      <c r="A882" s="5">
        <f>IF(B882=" "," ",HYPERLINK(CONCATENATE("#metadata!",ADDRESS(INDEX($AI$2:$AI$1001,MATCH(ROWS($AG$2:AG882),$AG$2:$AG$1001,0),0),1)),INDEX($AL$2:$AL$1001,MATCH(ROWS($AG$2:AG882),$AG$2:$AG$1001,0),0)))</f>
        <v>0</v>
      </c>
      <c r="B882" s="4">
        <f>IF(OR(INDEX($AH$2:$AH$1001,MATCH(ROWS($AG$2:AG882),$AG$2:$AG$1001,0),1)&gt;=100000,INDEX($AN$1005:$BO$1005,1,MATCH(COLUMNS($AN$1006:AN1006),$AN$1006:$BO$1006,0))&gt;=100000), " ",IF(INDEX($AN$2:$BO$1001,MATCH(ROWS($AG$2:AG882),$AG$2:$AG$1001,0),MATCH(COLUMNS($AN$1006:AN1006),$AN$1006:$BO$1006,0)), HYPERLINK("#",""), HYPERLINK(CONCATENATE("#Metadata!", ADDRESS(INDEX($AI$2:$AI$1001,MATCH(ROWS($AG$2:AG882),$AG$2:$AG$1001,0),0), INDEX($AN$1004:$BO$1004,1,MATCH(COLUMNS($AN$1006:AN1006),$AN$1006:$BO$1006,0)))),"Fix")))</f>
        <v>0</v>
      </c>
      <c r="C882" s="4">
        <f>IF(OR(INDEX($AH$2:$AH$1001,MATCH(ROWS($AG$2:AG882),$AG$2:$AG$1001,0),1)&gt;=100000,INDEX($AN$1005:$BO$1005,1,MATCH(COLUMNS($AN$1006:AO1006),$AN$1006:$BO$1006,0))&gt;=100000), " ",IF(INDEX($AN$2:$BO$1001,MATCH(ROWS($AG$2:AG882),$AG$2:$AG$1001,0),MATCH(COLUMNS($AN$1006:AO1006),$AN$1006:$BO$1006,0)), HYPERLINK("#",""), HYPERLINK(CONCATENATE("#Metadata!", ADDRESS(INDEX($AI$2:$AI$1001,MATCH(ROWS($AG$2:AG882),$AG$2:$AG$1001,0),0), INDEX($AN$1004:$BO$1004,1,MATCH(COLUMNS($AN$1006:AO1006),$AN$1006:$BO$1006,0)))),"Fix")))</f>
        <v>0</v>
      </c>
      <c r="D882" s="4">
        <f>IF(OR(INDEX($AH$2:$AH$1001,MATCH(ROWS($AG$2:AG882),$AG$2:$AG$1001,0),1)&gt;=100000,INDEX($AN$1005:$BO$1005,1,MATCH(COLUMNS($AN$1006:AP1006),$AN$1006:$BO$1006,0))&gt;=100000), " ",IF(INDEX($AN$2:$BO$1001,MATCH(ROWS($AG$2:AG882),$AG$2:$AG$1001,0),MATCH(COLUMNS($AN$1006:AP1006),$AN$1006:$BO$1006,0)), HYPERLINK("#",""), HYPERLINK(CONCATENATE("#Metadata!", ADDRESS(INDEX($AI$2:$AI$1001,MATCH(ROWS($AG$2:AG882),$AG$2:$AG$1001,0),0), INDEX($AN$1004:$BO$1004,1,MATCH(COLUMNS($AN$1006:AP1006),$AN$1006:$BO$1006,0)))),"Fix")))</f>
        <v>0</v>
      </c>
      <c r="E882" s="4">
        <f>IF(OR(INDEX($AH$2:$AH$1001,MATCH(ROWS($AG$2:AG882),$AG$2:$AG$1001,0),1)&gt;=100000,INDEX($AN$1005:$BO$1005,1,MATCH(COLUMNS($AN$1006:AQ1006),$AN$1006:$BO$1006,0))&gt;=100000), " ",IF(INDEX($AN$2:$BO$1001,MATCH(ROWS($AG$2:AG882),$AG$2:$AG$1001,0),MATCH(COLUMNS($AN$1006:AQ1006),$AN$1006:$BO$1006,0)), HYPERLINK("#",""), HYPERLINK(CONCATENATE("#Metadata!", ADDRESS(INDEX($AI$2:$AI$1001,MATCH(ROWS($AG$2:AG882),$AG$2:$AG$1001,0),0), INDEX($AN$1004:$BO$1004,1,MATCH(COLUMNS($AN$1006:AQ1006),$AN$1006:$BO$1006,0)))),"Fix")))</f>
        <v>0</v>
      </c>
      <c r="F882" s="4">
        <f>IF(OR(INDEX($AH$2:$AH$1001,MATCH(ROWS($AG$2:AG882),$AG$2:$AG$1001,0),1)&gt;=100000,INDEX($AN$1005:$BO$1005,1,MATCH(COLUMNS($AN$1006:AR1006),$AN$1006:$BO$1006,0))&gt;=100000), " ",IF(INDEX($AN$2:$BO$1001,MATCH(ROWS($AG$2:AG882),$AG$2:$AG$1001,0),MATCH(COLUMNS($AN$1006:AR1006),$AN$1006:$BO$1006,0)), HYPERLINK("#",""), HYPERLINK(CONCATENATE("#Metadata!", ADDRESS(INDEX($AI$2:$AI$1001,MATCH(ROWS($AG$2:AG882),$AG$2:$AG$1001,0),0), INDEX($AN$1004:$BO$1004,1,MATCH(COLUMNS($AN$1006:AR1006),$AN$1006:$BO$1006,0)))),"Fix")))</f>
        <v>0</v>
      </c>
      <c r="G882" s="4">
        <f>IF(OR(INDEX($AH$2:$AH$1001,MATCH(ROWS($AG$2:AG882),$AG$2:$AG$1001,0),1)&gt;=100000,INDEX($AN$1005:$BO$1005,1,MATCH(COLUMNS($AN$1006:AS1006),$AN$1006:$BO$1006,0))&gt;=100000), " ",IF(INDEX($AN$2:$BO$1001,MATCH(ROWS($AG$2:AG882),$AG$2:$AG$1001,0),MATCH(COLUMNS($AN$1006:AS1006),$AN$1006:$BO$1006,0)), HYPERLINK("#",""), HYPERLINK(CONCATENATE("#Metadata!", ADDRESS(INDEX($AI$2:$AI$1001,MATCH(ROWS($AG$2:AG882),$AG$2:$AG$1001,0),0), INDEX($AN$1004:$BO$1004,1,MATCH(COLUMNS($AN$1006:AS1006),$AN$1006:$BO$1006,0)))),"Fix")))</f>
        <v>0</v>
      </c>
      <c r="H882" s="4">
        <f>IF(OR(INDEX($AH$2:$AH$1001,MATCH(ROWS($AG$2:AG882),$AG$2:$AG$1001,0),1)&gt;=100000,INDEX($AN$1005:$BO$1005,1,MATCH(COLUMNS($AN$1006:AT1006),$AN$1006:$BO$1006,0))&gt;=100000), " ",IF(INDEX($AN$2:$BO$1001,MATCH(ROWS($AG$2:AG882),$AG$2:$AG$1001,0),MATCH(COLUMNS($AN$1006:AT1006),$AN$1006:$BO$1006,0)), HYPERLINK("#",""), HYPERLINK(CONCATENATE("#Metadata!", ADDRESS(INDEX($AI$2:$AI$1001,MATCH(ROWS($AG$2:AG882),$AG$2:$AG$1001,0),0), INDEX($AN$1004:$BO$1004,1,MATCH(COLUMNS($AN$1006:AT1006),$AN$1006:$BO$1006,0)))),"Fix")))</f>
        <v>0</v>
      </c>
      <c r="I882" s="4">
        <f>IF(OR(INDEX($AH$2:$AH$1001,MATCH(ROWS($AG$2:AG882),$AG$2:$AG$1001,0),1)&gt;=100000,INDEX($AN$1005:$BO$1005,1,MATCH(COLUMNS($AN$1006:AU1006),$AN$1006:$BO$1006,0))&gt;=100000), " ",IF(INDEX($AN$2:$BO$1001,MATCH(ROWS($AG$2:AG882),$AG$2:$AG$1001,0),MATCH(COLUMNS($AN$1006:AU1006),$AN$1006:$BO$1006,0)), HYPERLINK("#",""), HYPERLINK(CONCATENATE("#Metadata!", ADDRESS(INDEX($AI$2:$AI$1001,MATCH(ROWS($AG$2:AG882),$AG$2:$AG$1001,0),0), INDEX($AN$1004:$BO$1004,1,MATCH(COLUMNS($AN$1006:AU1006),$AN$1006:$BO$1006,0)))),"Fix")))</f>
        <v>0</v>
      </c>
      <c r="J882" s="4">
        <f>IF(OR(INDEX($AH$2:$AH$1001,MATCH(ROWS($AG$2:AG882),$AG$2:$AG$1001,0),1)&gt;=100000,INDEX($AN$1005:$BO$1005,1,MATCH(COLUMNS($AN$1006:AV1006),$AN$1006:$BO$1006,0))&gt;=100000), " ",IF(INDEX($AN$2:$BO$1001,MATCH(ROWS($AG$2:AG882),$AG$2:$AG$1001,0),MATCH(COLUMNS($AN$1006:AV1006),$AN$1006:$BO$1006,0)), HYPERLINK("#",""), HYPERLINK(CONCATENATE("#Metadata!", ADDRESS(INDEX($AI$2:$AI$1001,MATCH(ROWS($AG$2:AG882),$AG$2:$AG$1001,0),0), INDEX($AN$1004:$BO$1004,1,MATCH(COLUMNS($AN$1006:AV1006),$AN$1006:$BO$1006,0)))),"Fix")))</f>
        <v>0</v>
      </c>
      <c r="K882" s="4">
        <f>IF(OR(INDEX($AH$2:$AH$1001,MATCH(ROWS($AG$2:AG882),$AG$2:$AG$1001,0),1)&gt;=100000,INDEX($AN$1005:$BO$1005,1,MATCH(COLUMNS($AN$1006:AW1006),$AN$1006:$BO$1006,0))&gt;=100000), " ",IF(INDEX($AN$2:$BO$1001,MATCH(ROWS($AG$2:AG882),$AG$2:$AG$1001,0),MATCH(COLUMNS($AN$1006:AW1006),$AN$1006:$BO$1006,0)), HYPERLINK("#",""), HYPERLINK(CONCATENATE("#Metadata!", ADDRESS(INDEX($AI$2:$AI$1001,MATCH(ROWS($AG$2:AG882),$AG$2:$AG$1001,0),0), INDEX($AN$1004:$BO$1004,1,MATCH(COLUMNS($AN$1006:AW1006),$AN$1006:$BO$1006,0)))),"Fix")))</f>
        <v>0</v>
      </c>
      <c r="L882" s="4">
        <f>IF(OR(INDEX($AH$2:$AH$1001,MATCH(ROWS($AG$2:AG882),$AG$2:$AG$1001,0),1)&gt;=100000,INDEX($AN$1005:$BO$1005,1,MATCH(COLUMNS($AN$1006:AX1006),$AN$1006:$BO$1006,0))&gt;=100000), " ",IF(INDEX($AN$2:$BO$1001,MATCH(ROWS($AG$2:AG882),$AG$2:$AG$1001,0),MATCH(COLUMNS($AN$1006:AX1006),$AN$1006:$BO$1006,0)), HYPERLINK("#",""), HYPERLINK(CONCATENATE("#Metadata!", ADDRESS(INDEX($AI$2:$AI$1001,MATCH(ROWS($AG$2:AG882),$AG$2:$AG$1001,0),0), INDEX($AN$1004:$BO$1004,1,MATCH(COLUMNS($AN$1006:AX1006),$AN$1006:$BO$1006,0)))),"Fix")))</f>
        <v>0</v>
      </c>
      <c r="M882" s="4">
        <f>IF(OR(INDEX($AH$2:$AH$1001,MATCH(ROWS($AG$2:AG882),$AG$2:$AG$1001,0),1)&gt;=100000,INDEX($AN$1005:$BO$1005,1,MATCH(COLUMNS($AN$1006:AY1006),$AN$1006:$BO$1006,0))&gt;=100000), " ",IF(INDEX($AN$2:$BO$1001,MATCH(ROWS($AG$2:AG882),$AG$2:$AG$1001,0),MATCH(COLUMNS($AN$1006:AY1006),$AN$1006:$BO$1006,0)), HYPERLINK("#",""), HYPERLINK(CONCATENATE("#Metadata!", ADDRESS(INDEX($AI$2:$AI$1001,MATCH(ROWS($AG$2:AG882),$AG$2:$AG$1001,0),0), INDEX($AN$1004:$BO$1004,1,MATCH(COLUMNS($AN$1006:AY1006),$AN$1006:$BO$1006,0)))),"Fix")))</f>
        <v>0</v>
      </c>
      <c r="N882" s="4">
        <f>IF(OR(INDEX($AH$2:$AH$1001,MATCH(ROWS($AG$2:AG882),$AG$2:$AG$1001,0),1)&gt;=100000,INDEX($AN$1005:$BO$1005,1,MATCH(COLUMNS($AN$1006:AZ1006),$AN$1006:$BO$1006,0))&gt;=100000), " ",IF(INDEX($AN$2:$BO$1001,MATCH(ROWS($AG$2:AG882),$AG$2:$AG$1001,0),MATCH(COLUMNS($AN$1006:AZ1006),$AN$1006:$BO$1006,0)), HYPERLINK("#",""), HYPERLINK(CONCATENATE("#Metadata!", ADDRESS(INDEX($AI$2:$AI$1001,MATCH(ROWS($AG$2:AG882),$AG$2:$AG$1001,0),0), INDEX($AN$1004:$BO$1004,1,MATCH(COLUMNS($AN$1006:AZ1006),$AN$1006:$BO$1006,0)))),"Fix")))</f>
        <v>0</v>
      </c>
      <c r="O882" s="4">
        <f>IF(OR(INDEX($AH$2:$AH$1001,MATCH(ROWS($AG$2:AG882),$AG$2:$AG$1001,0),1)&gt;=100000,INDEX($AN$1005:$BO$1005,1,MATCH(COLUMNS($AN$1006:BA1006),$AN$1006:$BO$1006,0))&gt;=100000), " ",IF(INDEX($AN$2:$BO$1001,MATCH(ROWS($AG$2:AG882),$AG$2:$AG$1001,0),MATCH(COLUMNS($AN$1006:BA1006),$AN$1006:$BO$1006,0)), HYPERLINK("#",""), HYPERLINK(CONCATENATE("#Metadata!", ADDRESS(INDEX($AI$2:$AI$1001,MATCH(ROWS($AG$2:AG882),$AG$2:$AG$1001,0),0), INDEX($AN$1004:$BO$1004,1,MATCH(COLUMNS($AN$1006:BA1006),$AN$1006:$BO$1006,0)))),"Fix")))</f>
        <v>0</v>
      </c>
      <c r="P882" s="4">
        <f>IF(OR(INDEX($AH$2:$AH$1001,MATCH(ROWS($AG$2:AG882),$AG$2:$AG$1001,0),1)&gt;=100000,INDEX($AN$1005:$BO$1005,1,MATCH(COLUMNS($AN$1006:BB1006),$AN$1006:$BO$1006,0))&gt;=100000), " ",IF(INDEX($AN$2:$BO$1001,MATCH(ROWS($AG$2:AG882),$AG$2:$AG$1001,0),MATCH(COLUMNS($AN$1006:BB1006),$AN$1006:$BO$1006,0)), HYPERLINK("#",""), HYPERLINK(CONCATENATE("#Metadata!", ADDRESS(INDEX($AI$2:$AI$1001,MATCH(ROWS($AG$2:AG882),$AG$2:$AG$1001,0),0), INDEX($AN$1004:$BO$1004,1,MATCH(COLUMNS($AN$1006:BB1006),$AN$1006:$BO$1006,0)))),"Fix")))</f>
        <v>0</v>
      </c>
      <c r="Q882" s="4">
        <f>IF(OR(INDEX($AH$2:$AH$1001,MATCH(ROWS($AG$2:AG882),$AG$2:$AG$1001,0),1)&gt;=100000,INDEX($AN$1005:$BO$1005,1,MATCH(COLUMNS($AN$1006:BC1006),$AN$1006:$BO$1006,0))&gt;=100000), " ",IF(INDEX($AN$2:$BO$1001,MATCH(ROWS($AG$2:AG882),$AG$2:$AG$1001,0),MATCH(COLUMNS($AN$1006:BC1006),$AN$1006:$BO$1006,0)), HYPERLINK("#",""), HYPERLINK(CONCATENATE("#Metadata!", ADDRESS(INDEX($AI$2:$AI$1001,MATCH(ROWS($AG$2:AG882),$AG$2:$AG$1001,0),0), INDEX($AN$1004:$BO$1004,1,MATCH(COLUMNS($AN$1006:BC1006),$AN$1006:$BO$1006,0)))),"Fix")))</f>
        <v>0</v>
      </c>
      <c r="R882" s="4">
        <f>IF(OR(INDEX($AH$2:$AH$1001,MATCH(ROWS($AG$2:AG882),$AG$2:$AG$1001,0),1)&gt;=100000,INDEX($AN$1005:$BO$1005,1,MATCH(COLUMNS($AN$1006:BD1006),$AN$1006:$BO$1006,0))&gt;=100000), " ",IF(INDEX($AN$2:$BO$1001,MATCH(ROWS($AG$2:AG882),$AG$2:$AG$1001,0),MATCH(COLUMNS($AN$1006:BD1006),$AN$1006:$BO$1006,0)), HYPERLINK("#",""), HYPERLINK(CONCATENATE("#Metadata!", ADDRESS(INDEX($AI$2:$AI$1001,MATCH(ROWS($AG$2:AG882),$AG$2:$AG$1001,0),0), INDEX($AN$1004:$BO$1004,1,MATCH(COLUMNS($AN$1006:BD1006),$AN$1006:$BO$1006,0)))),"Fix")))</f>
        <v>0</v>
      </c>
      <c r="S882" s="4">
        <f>IF(OR(INDEX($AH$2:$AH$1001,MATCH(ROWS($AG$2:AG882),$AG$2:$AG$1001,0),1)&gt;=100000,INDEX($AN$1005:$BO$1005,1,MATCH(COLUMNS($AN$1006:BE1006),$AN$1006:$BO$1006,0))&gt;=100000), " ",IF(INDEX($AN$2:$BO$1001,MATCH(ROWS($AG$2:AG882),$AG$2:$AG$1001,0),MATCH(COLUMNS($AN$1006:BE1006),$AN$1006:$BO$1006,0)), HYPERLINK("#",""), HYPERLINK(CONCATENATE("#Metadata!", ADDRESS(INDEX($AI$2:$AI$1001,MATCH(ROWS($AG$2:AG882),$AG$2:$AG$1001,0),0), INDEX($AN$1004:$BO$1004,1,MATCH(COLUMNS($AN$1006:BE1006),$AN$1006:$BO$1006,0)))),"Fix")))</f>
        <v>0</v>
      </c>
      <c r="T882" s="4">
        <f>IF(OR(INDEX($AH$2:$AH$1001,MATCH(ROWS($AG$2:AG882),$AG$2:$AG$1001,0),1)&gt;=100000,INDEX($AN$1005:$BO$1005,1,MATCH(COLUMNS($AN$1006:BF1006),$AN$1006:$BO$1006,0))&gt;=100000), " ",IF(INDEX($AN$2:$BO$1001,MATCH(ROWS($AG$2:AG882),$AG$2:$AG$1001,0),MATCH(COLUMNS($AN$1006:BF1006),$AN$1006:$BO$1006,0)), HYPERLINK("#",""), HYPERLINK(CONCATENATE("#Metadata!", ADDRESS(INDEX($AI$2:$AI$1001,MATCH(ROWS($AG$2:AG882),$AG$2:$AG$1001,0),0), INDEX($AN$1004:$BO$1004,1,MATCH(COLUMNS($AN$1006:BF1006),$AN$1006:$BO$1006,0)))),"Fix")))</f>
        <v>0</v>
      </c>
      <c r="U882" s="4">
        <f>IF(OR(INDEX($AH$2:$AH$1001,MATCH(ROWS($AG$2:AG882),$AG$2:$AG$1001,0),1)&gt;=100000,INDEX($AN$1005:$BO$1005,1,MATCH(COLUMNS($AN$1006:BG1006),$AN$1006:$BO$1006,0))&gt;=100000), " ",IF(INDEX($AN$2:$BO$1001,MATCH(ROWS($AG$2:AG882),$AG$2:$AG$1001,0),MATCH(COLUMNS($AN$1006:BG1006),$AN$1006:$BO$1006,0)), HYPERLINK("#",""), HYPERLINK(CONCATENATE("#Metadata!", ADDRESS(INDEX($AI$2:$AI$1001,MATCH(ROWS($AG$2:AG882),$AG$2:$AG$1001,0),0), INDEX($AN$1004:$BO$1004,1,MATCH(COLUMNS($AN$1006:BG1006),$AN$1006:$BO$1006,0)))),"Fix")))</f>
        <v>0</v>
      </c>
      <c r="V882" s="4">
        <f>IF(OR(INDEX($AH$2:$AH$1001,MATCH(ROWS($AG$2:AG882),$AG$2:$AG$1001,0),1)&gt;=100000,INDEX($AN$1005:$BO$1005,1,MATCH(COLUMNS($AN$1006:BH1006),$AN$1006:$BO$1006,0))&gt;=100000), " ",IF(INDEX($AN$2:$BO$1001,MATCH(ROWS($AG$2:AG882),$AG$2:$AG$1001,0),MATCH(COLUMNS($AN$1006:BH1006),$AN$1006:$BO$1006,0)), HYPERLINK("#",""), HYPERLINK(CONCATENATE("#Metadata!", ADDRESS(INDEX($AI$2:$AI$1001,MATCH(ROWS($AG$2:AG882),$AG$2:$AG$1001,0),0), INDEX($AN$1004:$BO$1004,1,MATCH(COLUMNS($AN$1006:BH1006),$AN$1006:$BO$1006,0)))),"Fix")))</f>
        <v>0</v>
      </c>
      <c r="W882" s="4">
        <f>IF(OR(INDEX($AH$2:$AH$1001,MATCH(ROWS($AG$2:AG882),$AG$2:$AG$1001,0),1)&gt;=100000,INDEX($AN$1005:$BO$1005,1,MATCH(COLUMNS($AN$1006:BI1006),$AN$1006:$BO$1006,0))&gt;=100000), " ",IF(INDEX($AN$2:$BO$1001,MATCH(ROWS($AG$2:AG882),$AG$2:$AG$1001,0),MATCH(COLUMNS($AN$1006:BI1006),$AN$1006:$BO$1006,0)), HYPERLINK("#",""), HYPERLINK(CONCATENATE("#Metadata!", ADDRESS(INDEX($AI$2:$AI$1001,MATCH(ROWS($AG$2:AG882),$AG$2:$AG$1001,0),0), INDEX($AN$1004:$BO$1004,1,MATCH(COLUMNS($AN$1006:BI1006),$AN$1006:$BO$1006,0)))),"Fix")))</f>
        <v>0</v>
      </c>
      <c r="X882" s="4">
        <f>IF(OR(INDEX($AH$2:$AH$1001,MATCH(ROWS($AG$2:AG882),$AG$2:$AG$1001,0),1)&gt;=100000,INDEX($AN$1005:$BO$1005,1,MATCH(COLUMNS($AN$1006:BJ1006),$AN$1006:$BO$1006,0))&gt;=100000), " ",IF(INDEX($AN$2:$BO$1001,MATCH(ROWS($AG$2:AG882),$AG$2:$AG$1001,0),MATCH(COLUMNS($AN$1006:BJ1006),$AN$1006:$BO$1006,0)), HYPERLINK("#",""), HYPERLINK(CONCATENATE("#Metadata!", ADDRESS(INDEX($AI$2:$AI$1001,MATCH(ROWS($AG$2:AG882),$AG$2:$AG$1001,0),0), INDEX($AN$1004:$BO$1004,1,MATCH(COLUMNS($AN$1006:BJ1006),$AN$1006:$BO$1006,0)))),"Fix")))</f>
        <v>0</v>
      </c>
      <c r="Y882" s="4">
        <f>IF(OR(INDEX($AH$2:$AH$1001,MATCH(ROWS($AG$2:AG882),$AG$2:$AG$1001,0),1)&gt;=100000,INDEX($AN$1005:$BO$1005,1,MATCH(COLUMNS($AN$1006:BK1006),$AN$1006:$BO$1006,0))&gt;=100000), " ",IF(INDEX($AN$2:$BO$1001,MATCH(ROWS($AG$2:AG882),$AG$2:$AG$1001,0),MATCH(COLUMNS($AN$1006:BK1006),$AN$1006:$BO$1006,0)), HYPERLINK("#",""), HYPERLINK(CONCATENATE("#Metadata!", ADDRESS(INDEX($AI$2:$AI$1001,MATCH(ROWS($AG$2:AG882),$AG$2:$AG$1001,0),0), INDEX($AN$1004:$BO$1004,1,MATCH(COLUMNS($AN$1006:BK1006),$AN$1006:$BO$1006,0)))),"Fix")))</f>
        <v>0</v>
      </c>
      <c r="Z882" s="4">
        <f>IF(OR(INDEX($AH$2:$AH$1001,MATCH(ROWS($AG$2:AG882),$AG$2:$AG$1001,0),1)&gt;=100000,INDEX($AN$1005:$BO$1005,1,MATCH(COLUMNS($AN$1006:BL1006),$AN$1006:$BO$1006,0))&gt;=100000), " ",IF(INDEX($AN$2:$BO$1001,MATCH(ROWS($AG$2:AG882),$AG$2:$AG$1001,0),MATCH(COLUMNS($AN$1006:BL1006),$AN$1006:$BO$1006,0)), HYPERLINK("#",""), HYPERLINK(CONCATENATE("#Metadata!", ADDRESS(INDEX($AI$2:$AI$1001,MATCH(ROWS($AG$2:AG882),$AG$2:$AG$1001,0),0), INDEX($AN$1004:$BO$1004,1,MATCH(COLUMNS($AN$1006:BL1006),$AN$1006:$BO$1006,0)))),"Fix")))</f>
        <v>0</v>
      </c>
      <c r="AA882" s="4">
        <f>IF(OR(INDEX($AH$2:$AH$1001,MATCH(ROWS($AG$2:AG882),$AG$2:$AG$1001,0),1)&gt;=100000,INDEX($AN$1005:$BO$1005,1,MATCH(COLUMNS($AN$1006:BM1006),$AN$1006:$BO$1006,0))&gt;=100000), " ",IF(INDEX($AN$2:$BO$1001,MATCH(ROWS($AG$2:AG882),$AG$2:$AG$1001,0),MATCH(COLUMNS($AN$1006:BM1006),$AN$1006:$BO$1006,0)), HYPERLINK("#",""), HYPERLINK(CONCATENATE("#Metadata!", ADDRESS(INDEX($AI$2:$AI$1001,MATCH(ROWS($AG$2:AG882),$AG$2:$AG$1001,0),0), INDEX($AN$1004:$BO$1004,1,MATCH(COLUMNS($AN$1006:BM1006),$AN$1006:$BO$1006,0)))),"Fix")))</f>
        <v>0</v>
      </c>
      <c r="AB882" s="4">
        <f>IF(OR(INDEX($AH$2:$AH$1001,MATCH(ROWS($AG$2:AG882),$AG$2:$AG$1001,0),1)&gt;=100000,INDEX($AN$1005:$BO$1005,1,MATCH(COLUMNS($AN$1006:BN1006),$AN$1006:$BO$1006,0))&gt;=100000), " ",IF(INDEX($AN$2:$BO$1001,MATCH(ROWS($AG$2:AG882),$AG$2:$AG$1001,0),MATCH(COLUMNS($AN$1006:BN1006),$AN$1006:$BO$1006,0)), HYPERLINK("#",""), HYPERLINK(CONCATENATE("#Metadata!", ADDRESS(INDEX($AI$2:$AI$1001,MATCH(ROWS($AG$2:AG882),$AG$2:$AG$1001,0),0), INDEX($AN$1004:$BO$1004,1,MATCH(COLUMNS($AN$1006:BN1006),$AN$1006:$BO$1006,0)))),"Fix")))</f>
        <v>0</v>
      </c>
      <c r="AC882" s="4">
        <f>IF(OR(INDEX($AH$2:$AH$1001,MATCH(ROWS($AG$2:AG882),$AG$2:$AG$1001,0),1)&gt;=100000,INDEX($AN$1005:$BO$1005,1,MATCH(COLUMNS($AN$1006:BO1006),$AN$1006:$BO$1006,0))&gt;=100000), " ",IF(INDEX($AN$2:$BO$1001,MATCH(ROWS($AG$2:AG882),$AG$2:$AG$1001,0),MATCH(COLUMNS($AN$1006:BO1006),$AN$1006:$BO$1006,0)), HYPERLINK("#",""), HYPERLINK(CONCATENATE("#Metadata!", ADDRESS(INDEX($AI$2:$AI$1001,MATCH(ROWS($AG$2:AG882),$AG$2:$AG$1001,0),0), INDEX($AN$1004:$BO$1004,1,MATCH(COLUMNS($AN$1006:BO1006),$AN$1006:$BO$1006,0)))),"Fix")))</f>
        <v>0</v>
      </c>
      <c r="AG882">
        <v>0</v>
      </c>
      <c r="AH882">
        <v>0</v>
      </c>
      <c r="AI882">
        <v>0</v>
      </c>
      <c r="AJ882">
        <f>IF(AK882,TRUE,AND(AN882:BO882))</f>
        <v>0</v>
      </c>
      <c r="AK882">
        <f>COUNTBLANK(Metadata!B882:AC882)=COLUMNS(Metadata!B882:AC882)</f>
        <v>0</v>
      </c>
      <c r="AL882">
        <v>0</v>
      </c>
      <c r="AN882">
        <f>AND(IF(Metadata!B882="",FALSE,TRUE),COUNTIF(Metadata!B:B, Metadata!B882) = 1,NOT(ISERROR(SUMPRODUCT(SEARCH(MID(Metadata!B882,ROW(INDIRECT("1:"&amp;LEN(Metadata!B882))), 1),"0123456789abcdefghijklmnopqrstuvwxyzABCDEFGHIJKLMNOPQRSTUVWXYZ.")))))</f>
        <v>0</v>
      </c>
      <c r="AO882">
        <f>IF(Metadata!C882="",FALSE,TRUE)</f>
        <v>0</v>
      </c>
      <c r="AP882">
        <f>IF(Metadata!D882="",FALSE,TRUE)</f>
        <v>0</v>
      </c>
      <c r="AQ882">
        <f>OR(AND(IF(Metadata!E882="",FALSE,TRUE),OR(exact(Metadata!E882,"not collected"),exact(Metadata!E882,"not provided"),exact(Metadata!E882,"restricted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R882">
        <f>IF(Metadata!F882="",FALSE,TRUE)</f>
        <v>0</v>
      </c>
      <c r="AS882">
        <f>OR(AND(IF(Metadata!G882="",FALSE,TRUE),OR(exact(Metadata!G882,"not collected"),exact(Metadata!G882,"not provided"))),AND(IF(Metadata!G882="",FALSE,TRUE),OR(exact(Metadata!G882,"TRUE"),exact(Metadata!G882,"FALSE"))))</f>
        <v>0</v>
      </c>
      <c r="AT882">
        <f>OR(AND(IF(Metadata!H882="",FALSE,TRUE),OR(exact(Metadata!H882,"not collected"),exact(Metadata!H882,"not provided"),exact(Metadata!H882,"restricted access"))),AND(IF(Metadata!H882="",FALSE,ISNUMBER(VALUE(Metadata!H882))),Metadata!H882&gt;=-413.0))</f>
        <v>0</v>
      </c>
      <c r="AU882">
        <f>AND(IF(Metadata!I882="",FALSE,TRUE),exact(Metadata!I882,"meters"))</f>
        <v>0</v>
      </c>
      <c r="AV882">
        <f>AND(IF(Metadata!J882="",FALSE,TRUE),OR(exact(Metadata!J882,"Host-associated"),exact(Metadata!J882,"Free-living")))</f>
        <v>0</v>
      </c>
      <c r="AW882">
        <f>AND(IF(Metadata!K882="",FALSE,TRUE),OR(exact(Metadata!K882,"Animal"),exact(Metadata!K882,"Fungus"),exact(Metadata!K882,"Plant"),exact(Metadata!K882,"Saline"),exact(Metadata!K882,"Non-saline")))</f>
        <v>0</v>
      </c>
      <c r="AX882">
        <f>AND(IF(Metadata!L882="",FALSE,TRUE),OR(exact(Metadata!L882,"Plant secretion"),exact(Metadata!L882,"Plant rhizosphere"),exact(Metadata!L882,"Plant surface"),exact(Metadata!L882,"Plant corpus"),exact(Metadata!L882,"Fungus surface"),exact(Metadata!L882,"Fungus corpus"),exact(Metadata!L882,"Animal surface"),exact(Metadata!L882,"Animal proximal gut"),exact(Metadata!L882,"Animal corpus"),exact(Metadata!L882,"Animal distal gut"),exact(Metadata!L882,"Animal secretion"),exact(Metadata!L882,"Sub-surface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Y882">
        <f>IF(Metadata!M882="",FALSE,TRUE)</f>
        <v>0</v>
      </c>
      <c r="AZ882">
        <f>IF(Metadata!N882="",FALSE,TRUE)</f>
        <v>0</v>
      </c>
      <c r="BA882">
        <f>IF(Metadata!O882="",FALSE,TRUE)</f>
        <v>0</v>
      </c>
      <c r="BB882">
        <f>OR(AND(IF(Metadata!P882="",FALSE,TRUE),OR(exact(Metadata!P882,"not collected"),exact(Metadata!P882,"not provided"),exact(Metadata!P882,"restricted access"))),AND(IF(Metadata!P882="",FALSE,TRUE),OR(exact(Metadata!P882,"air"),exact(Metadata!P882,"built environment"),exact(Metadata!P882,"host-associated"),exact(Metadata!P882,"human-associated"),exact(Metadata!P882,"human-skin"),exact(Metadata!P882,"human-oral"),exact(Metadata!P882,"human-gut"),exact(Metadata!P882,"human-vaginal"),exact(Metadata!P882,"microbial mat/biofilm"),exact(Metadata!P882,"misc environment"),exact(Metadata!P882,"plant-associated"),exact(Metadata!P882,"sediment"),exact(Metadata!P882,"soil"),exact(Metadata!P882,"wastewater/sludge"),exact(Metadata!P882,"water"))))</f>
        <v>0</v>
      </c>
      <c r="BC882">
        <f>IF(Metadata!Q882="",FALSE,TRUE)</f>
        <v>0</v>
      </c>
      <c r="BD882">
        <f>IF(Metadata!R882="",FALSE,TRUE)</f>
        <v>0</v>
      </c>
      <c r="BE882">
        <f>OR(AND(IF(Metadata!S882="",FALSE,TRUE),OR(exact(Metadata!S882,"not collected"),exact(Metadata!S882,"not provided"),exact(Metadata!S882,"restricted access"))),AND(IF(Metadata!S882="",FALSE,ISNUMBER(VALUE(Metadata!S882))),Metadata!S882&gt;=-90.00,Metadata!S882&lt;=90.00))</f>
        <v>0</v>
      </c>
      <c r="BF882">
        <f>AND(IF(Metadata!T882="",FALSE,TRUE),exact(Metadata!T882,"Decimal degrees"))</f>
        <v>0</v>
      </c>
      <c r="BG882">
        <f>OR(AND(IF(Metadata!U882="",FALSE,TRUE),OR(exact(Metadata!U882,"not collected"),exact(Metadata!U882,"not provided"),exact(Metadata!U882,"restricted access"))),AND(IF(Metadata!U882="",FALSE,ISNUMBER(VALUE(Metadata!U882))),Metadata!U882&gt;=-180.00,Metadata!U882&lt;=180.00))</f>
        <v>0</v>
      </c>
      <c r="BH882">
        <f>AND(IF(Metadata!V882="",FALSE,TRUE),exact(Metadata!V882,"Decimal degrees"))</f>
        <v>0</v>
      </c>
      <c r="BI882">
        <f>IF(Metadata!W882="",FALSE,TRUE)</f>
        <v>0</v>
      </c>
      <c r="BJ882">
        <f>OR(AND(IF(Metadata!X882="",FALSE,TRUE),OR(exact(Metadata!X882,"not collected"),exact(Metadata!X882,"not provided"),exact(Metadata!X882,"restricted access"))),AND(IF(Metadata!X882="",FALSE,TRUE),OR(exact(Metadata!X882,"TRUE"),exact(Metadata!X882,"FALSE"))))</f>
        <v>0</v>
      </c>
      <c r="BK882">
        <f>AND(IF(Metadata!Y882="",FALSE,TRUE),exact(Metadata!Y882,"other"))</f>
        <v>0</v>
      </c>
      <c r="BL882">
        <f>IF(Metadata!Z882="",FALSE,TRUE)</f>
        <v>0</v>
      </c>
      <c r="BM882">
        <f>OR(AND(IF(Metadata!AA882="",FALSE,TRUE),OR(exact(Metadata!AA882,"not collected"),exact(Metadata!AA882,"not provided"))),AND(IF(Metadata!AA882="",FALSE,IF(ISERROR(INT(Metadata!AA882)),FALSE,INT(Metadata!AA882)=Metadata!AA882)),Metadata!AA882&gt;0))</f>
        <v>0</v>
      </c>
      <c r="BN882">
        <f>AND(IF(Metadata!AB882="",FALSE,TRUE),exact(Metadata!AB882,"Not applicable"))</f>
        <v>0</v>
      </c>
      <c r="BO882">
        <f>IF(Metadata!AC882="",FALSE,TRUE)</f>
        <v>0</v>
      </c>
    </row>
    <row r="883" spans="1:67">
      <c r="A883" s="5">
        <f>IF(B883=" "," ",HYPERLINK(CONCATENATE("#metadata!",ADDRESS(INDEX($AI$2:$AI$1001,MATCH(ROWS($AG$2:AG883),$AG$2:$AG$1001,0),0),1)),INDEX($AL$2:$AL$1001,MATCH(ROWS($AG$2:AG883),$AG$2:$AG$1001,0),0)))</f>
        <v>0</v>
      </c>
      <c r="B883" s="4">
        <f>IF(OR(INDEX($AH$2:$AH$1001,MATCH(ROWS($AG$2:AG883),$AG$2:$AG$1001,0),1)&gt;=100000,INDEX($AN$1005:$BO$1005,1,MATCH(COLUMNS($AN$1006:AN1006),$AN$1006:$BO$1006,0))&gt;=100000), " ",IF(INDEX($AN$2:$BO$1001,MATCH(ROWS($AG$2:AG883),$AG$2:$AG$1001,0),MATCH(COLUMNS($AN$1006:AN1006),$AN$1006:$BO$1006,0)), HYPERLINK("#",""), HYPERLINK(CONCATENATE("#Metadata!", ADDRESS(INDEX($AI$2:$AI$1001,MATCH(ROWS($AG$2:AG883),$AG$2:$AG$1001,0),0), INDEX($AN$1004:$BO$1004,1,MATCH(COLUMNS($AN$1006:AN1006),$AN$1006:$BO$1006,0)))),"Fix")))</f>
        <v>0</v>
      </c>
      <c r="C883" s="4">
        <f>IF(OR(INDEX($AH$2:$AH$1001,MATCH(ROWS($AG$2:AG883),$AG$2:$AG$1001,0),1)&gt;=100000,INDEX($AN$1005:$BO$1005,1,MATCH(COLUMNS($AN$1006:AO1006),$AN$1006:$BO$1006,0))&gt;=100000), " ",IF(INDEX($AN$2:$BO$1001,MATCH(ROWS($AG$2:AG883),$AG$2:$AG$1001,0),MATCH(COLUMNS($AN$1006:AO1006),$AN$1006:$BO$1006,0)), HYPERLINK("#",""), HYPERLINK(CONCATENATE("#Metadata!", ADDRESS(INDEX($AI$2:$AI$1001,MATCH(ROWS($AG$2:AG883),$AG$2:$AG$1001,0),0), INDEX($AN$1004:$BO$1004,1,MATCH(COLUMNS($AN$1006:AO1006),$AN$1006:$BO$1006,0)))),"Fix")))</f>
        <v>0</v>
      </c>
      <c r="D883" s="4">
        <f>IF(OR(INDEX($AH$2:$AH$1001,MATCH(ROWS($AG$2:AG883),$AG$2:$AG$1001,0),1)&gt;=100000,INDEX($AN$1005:$BO$1005,1,MATCH(COLUMNS($AN$1006:AP1006),$AN$1006:$BO$1006,0))&gt;=100000), " ",IF(INDEX($AN$2:$BO$1001,MATCH(ROWS($AG$2:AG883),$AG$2:$AG$1001,0),MATCH(COLUMNS($AN$1006:AP1006),$AN$1006:$BO$1006,0)), HYPERLINK("#",""), HYPERLINK(CONCATENATE("#Metadata!", ADDRESS(INDEX($AI$2:$AI$1001,MATCH(ROWS($AG$2:AG883),$AG$2:$AG$1001,0),0), INDEX($AN$1004:$BO$1004,1,MATCH(COLUMNS($AN$1006:AP1006),$AN$1006:$BO$1006,0)))),"Fix")))</f>
        <v>0</v>
      </c>
      <c r="E883" s="4">
        <f>IF(OR(INDEX($AH$2:$AH$1001,MATCH(ROWS($AG$2:AG883),$AG$2:$AG$1001,0),1)&gt;=100000,INDEX($AN$1005:$BO$1005,1,MATCH(COLUMNS($AN$1006:AQ1006),$AN$1006:$BO$1006,0))&gt;=100000), " ",IF(INDEX($AN$2:$BO$1001,MATCH(ROWS($AG$2:AG883),$AG$2:$AG$1001,0),MATCH(COLUMNS($AN$1006:AQ1006),$AN$1006:$BO$1006,0)), HYPERLINK("#",""), HYPERLINK(CONCATENATE("#Metadata!", ADDRESS(INDEX($AI$2:$AI$1001,MATCH(ROWS($AG$2:AG883),$AG$2:$AG$1001,0),0), INDEX($AN$1004:$BO$1004,1,MATCH(COLUMNS($AN$1006:AQ1006),$AN$1006:$BO$1006,0)))),"Fix")))</f>
        <v>0</v>
      </c>
      <c r="F883" s="4">
        <f>IF(OR(INDEX($AH$2:$AH$1001,MATCH(ROWS($AG$2:AG883),$AG$2:$AG$1001,0),1)&gt;=100000,INDEX($AN$1005:$BO$1005,1,MATCH(COLUMNS($AN$1006:AR1006),$AN$1006:$BO$1006,0))&gt;=100000), " ",IF(INDEX($AN$2:$BO$1001,MATCH(ROWS($AG$2:AG883),$AG$2:$AG$1001,0),MATCH(COLUMNS($AN$1006:AR1006),$AN$1006:$BO$1006,0)), HYPERLINK("#",""), HYPERLINK(CONCATENATE("#Metadata!", ADDRESS(INDEX($AI$2:$AI$1001,MATCH(ROWS($AG$2:AG883),$AG$2:$AG$1001,0),0), INDEX($AN$1004:$BO$1004,1,MATCH(COLUMNS($AN$1006:AR1006),$AN$1006:$BO$1006,0)))),"Fix")))</f>
        <v>0</v>
      </c>
      <c r="G883" s="4">
        <f>IF(OR(INDEX($AH$2:$AH$1001,MATCH(ROWS($AG$2:AG883),$AG$2:$AG$1001,0),1)&gt;=100000,INDEX($AN$1005:$BO$1005,1,MATCH(COLUMNS($AN$1006:AS1006),$AN$1006:$BO$1006,0))&gt;=100000), " ",IF(INDEX($AN$2:$BO$1001,MATCH(ROWS($AG$2:AG883),$AG$2:$AG$1001,0),MATCH(COLUMNS($AN$1006:AS1006),$AN$1006:$BO$1006,0)), HYPERLINK("#",""), HYPERLINK(CONCATENATE("#Metadata!", ADDRESS(INDEX($AI$2:$AI$1001,MATCH(ROWS($AG$2:AG883),$AG$2:$AG$1001,0),0), INDEX($AN$1004:$BO$1004,1,MATCH(COLUMNS($AN$1006:AS1006),$AN$1006:$BO$1006,0)))),"Fix")))</f>
        <v>0</v>
      </c>
      <c r="H883" s="4">
        <f>IF(OR(INDEX($AH$2:$AH$1001,MATCH(ROWS($AG$2:AG883),$AG$2:$AG$1001,0),1)&gt;=100000,INDEX($AN$1005:$BO$1005,1,MATCH(COLUMNS($AN$1006:AT1006),$AN$1006:$BO$1006,0))&gt;=100000), " ",IF(INDEX($AN$2:$BO$1001,MATCH(ROWS($AG$2:AG883),$AG$2:$AG$1001,0),MATCH(COLUMNS($AN$1006:AT1006),$AN$1006:$BO$1006,0)), HYPERLINK("#",""), HYPERLINK(CONCATENATE("#Metadata!", ADDRESS(INDEX($AI$2:$AI$1001,MATCH(ROWS($AG$2:AG883),$AG$2:$AG$1001,0),0), INDEX($AN$1004:$BO$1004,1,MATCH(COLUMNS($AN$1006:AT1006),$AN$1006:$BO$1006,0)))),"Fix")))</f>
        <v>0</v>
      </c>
      <c r="I883" s="4">
        <f>IF(OR(INDEX($AH$2:$AH$1001,MATCH(ROWS($AG$2:AG883),$AG$2:$AG$1001,0),1)&gt;=100000,INDEX($AN$1005:$BO$1005,1,MATCH(COLUMNS($AN$1006:AU1006),$AN$1006:$BO$1006,0))&gt;=100000), " ",IF(INDEX($AN$2:$BO$1001,MATCH(ROWS($AG$2:AG883),$AG$2:$AG$1001,0),MATCH(COLUMNS($AN$1006:AU1006),$AN$1006:$BO$1006,0)), HYPERLINK("#",""), HYPERLINK(CONCATENATE("#Metadata!", ADDRESS(INDEX($AI$2:$AI$1001,MATCH(ROWS($AG$2:AG883),$AG$2:$AG$1001,0),0), INDEX($AN$1004:$BO$1004,1,MATCH(COLUMNS($AN$1006:AU1006),$AN$1006:$BO$1006,0)))),"Fix")))</f>
        <v>0</v>
      </c>
      <c r="J883" s="4">
        <f>IF(OR(INDEX($AH$2:$AH$1001,MATCH(ROWS($AG$2:AG883),$AG$2:$AG$1001,0),1)&gt;=100000,INDEX($AN$1005:$BO$1005,1,MATCH(COLUMNS($AN$1006:AV1006),$AN$1006:$BO$1006,0))&gt;=100000), " ",IF(INDEX($AN$2:$BO$1001,MATCH(ROWS($AG$2:AG883),$AG$2:$AG$1001,0),MATCH(COLUMNS($AN$1006:AV1006),$AN$1006:$BO$1006,0)), HYPERLINK("#",""), HYPERLINK(CONCATENATE("#Metadata!", ADDRESS(INDEX($AI$2:$AI$1001,MATCH(ROWS($AG$2:AG883),$AG$2:$AG$1001,0),0), INDEX($AN$1004:$BO$1004,1,MATCH(COLUMNS($AN$1006:AV1006),$AN$1006:$BO$1006,0)))),"Fix")))</f>
        <v>0</v>
      </c>
      <c r="K883" s="4">
        <f>IF(OR(INDEX($AH$2:$AH$1001,MATCH(ROWS($AG$2:AG883),$AG$2:$AG$1001,0),1)&gt;=100000,INDEX($AN$1005:$BO$1005,1,MATCH(COLUMNS($AN$1006:AW1006),$AN$1006:$BO$1006,0))&gt;=100000), " ",IF(INDEX($AN$2:$BO$1001,MATCH(ROWS($AG$2:AG883),$AG$2:$AG$1001,0),MATCH(COLUMNS($AN$1006:AW1006),$AN$1006:$BO$1006,0)), HYPERLINK("#",""), HYPERLINK(CONCATENATE("#Metadata!", ADDRESS(INDEX($AI$2:$AI$1001,MATCH(ROWS($AG$2:AG883),$AG$2:$AG$1001,0),0), INDEX($AN$1004:$BO$1004,1,MATCH(COLUMNS($AN$1006:AW1006),$AN$1006:$BO$1006,0)))),"Fix")))</f>
        <v>0</v>
      </c>
      <c r="L883" s="4">
        <f>IF(OR(INDEX($AH$2:$AH$1001,MATCH(ROWS($AG$2:AG883),$AG$2:$AG$1001,0),1)&gt;=100000,INDEX($AN$1005:$BO$1005,1,MATCH(COLUMNS($AN$1006:AX1006),$AN$1006:$BO$1006,0))&gt;=100000), " ",IF(INDEX($AN$2:$BO$1001,MATCH(ROWS($AG$2:AG883),$AG$2:$AG$1001,0),MATCH(COLUMNS($AN$1006:AX1006),$AN$1006:$BO$1006,0)), HYPERLINK("#",""), HYPERLINK(CONCATENATE("#Metadata!", ADDRESS(INDEX($AI$2:$AI$1001,MATCH(ROWS($AG$2:AG883),$AG$2:$AG$1001,0),0), INDEX($AN$1004:$BO$1004,1,MATCH(COLUMNS($AN$1006:AX1006),$AN$1006:$BO$1006,0)))),"Fix")))</f>
        <v>0</v>
      </c>
      <c r="M883" s="4">
        <f>IF(OR(INDEX($AH$2:$AH$1001,MATCH(ROWS($AG$2:AG883),$AG$2:$AG$1001,0),1)&gt;=100000,INDEX($AN$1005:$BO$1005,1,MATCH(COLUMNS($AN$1006:AY1006),$AN$1006:$BO$1006,0))&gt;=100000), " ",IF(INDEX($AN$2:$BO$1001,MATCH(ROWS($AG$2:AG883),$AG$2:$AG$1001,0),MATCH(COLUMNS($AN$1006:AY1006),$AN$1006:$BO$1006,0)), HYPERLINK("#",""), HYPERLINK(CONCATENATE("#Metadata!", ADDRESS(INDEX($AI$2:$AI$1001,MATCH(ROWS($AG$2:AG883),$AG$2:$AG$1001,0),0), INDEX($AN$1004:$BO$1004,1,MATCH(COLUMNS($AN$1006:AY1006),$AN$1006:$BO$1006,0)))),"Fix")))</f>
        <v>0</v>
      </c>
      <c r="N883" s="4">
        <f>IF(OR(INDEX($AH$2:$AH$1001,MATCH(ROWS($AG$2:AG883),$AG$2:$AG$1001,0),1)&gt;=100000,INDEX($AN$1005:$BO$1005,1,MATCH(COLUMNS($AN$1006:AZ1006),$AN$1006:$BO$1006,0))&gt;=100000), " ",IF(INDEX($AN$2:$BO$1001,MATCH(ROWS($AG$2:AG883),$AG$2:$AG$1001,0),MATCH(COLUMNS($AN$1006:AZ1006),$AN$1006:$BO$1006,0)), HYPERLINK("#",""), HYPERLINK(CONCATENATE("#Metadata!", ADDRESS(INDEX($AI$2:$AI$1001,MATCH(ROWS($AG$2:AG883),$AG$2:$AG$1001,0),0), INDEX($AN$1004:$BO$1004,1,MATCH(COLUMNS($AN$1006:AZ1006),$AN$1006:$BO$1006,0)))),"Fix")))</f>
        <v>0</v>
      </c>
      <c r="O883" s="4">
        <f>IF(OR(INDEX($AH$2:$AH$1001,MATCH(ROWS($AG$2:AG883),$AG$2:$AG$1001,0),1)&gt;=100000,INDEX($AN$1005:$BO$1005,1,MATCH(COLUMNS($AN$1006:BA1006),$AN$1006:$BO$1006,0))&gt;=100000), " ",IF(INDEX($AN$2:$BO$1001,MATCH(ROWS($AG$2:AG883),$AG$2:$AG$1001,0),MATCH(COLUMNS($AN$1006:BA1006),$AN$1006:$BO$1006,0)), HYPERLINK("#",""), HYPERLINK(CONCATENATE("#Metadata!", ADDRESS(INDEX($AI$2:$AI$1001,MATCH(ROWS($AG$2:AG883),$AG$2:$AG$1001,0),0), INDEX($AN$1004:$BO$1004,1,MATCH(COLUMNS($AN$1006:BA1006),$AN$1006:$BO$1006,0)))),"Fix")))</f>
        <v>0</v>
      </c>
      <c r="P883" s="4">
        <f>IF(OR(INDEX($AH$2:$AH$1001,MATCH(ROWS($AG$2:AG883),$AG$2:$AG$1001,0),1)&gt;=100000,INDEX($AN$1005:$BO$1005,1,MATCH(COLUMNS($AN$1006:BB1006),$AN$1006:$BO$1006,0))&gt;=100000), " ",IF(INDEX($AN$2:$BO$1001,MATCH(ROWS($AG$2:AG883),$AG$2:$AG$1001,0),MATCH(COLUMNS($AN$1006:BB1006),$AN$1006:$BO$1006,0)), HYPERLINK("#",""), HYPERLINK(CONCATENATE("#Metadata!", ADDRESS(INDEX($AI$2:$AI$1001,MATCH(ROWS($AG$2:AG883),$AG$2:$AG$1001,0),0), INDEX($AN$1004:$BO$1004,1,MATCH(COLUMNS($AN$1006:BB1006),$AN$1006:$BO$1006,0)))),"Fix")))</f>
        <v>0</v>
      </c>
      <c r="Q883" s="4">
        <f>IF(OR(INDEX($AH$2:$AH$1001,MATCH(ROWS($AG$2:AG883),$AG$2:$AG$1001,0),1)&gt;=100000,INDEX($AN$1005:$BO$1005,1,MATCH(COLUMNS($AN$1006:BC1006),$AN$1006:$BO$1006,0))&gt;=100000), " ",IF(INDEX($AN$2:$BO$1001,MATCH(ROWS($AG$2:AG883),$AG$2:$AG$1001,0),MATCH(COLUMNS($AN$1006:BC1006),$AN$1006:$BO$1006,0)), HYPERLINK("#",""), HYPERLINK(CONCATENATE("#Metadata!", ADDRESS(INDEX($AI$2:$AI$1001,MATCH(ROWS($AG$2:AG883),$AG$2:$AG$1001,0),0), INDEX($AN$1004:$BO$1004,1,MATCH(COLUMNS($AN$1006:BC1006),$AN$1006:$BO$1006,0)))),"Fix")))</f>
        <v>0</v>
      </c>
      <c r="R883" s="4">
        <f>IF(OR(INDEX($AH$2:$AH$1001,MATCH(ROWS($AG$2:AG883),$AG$2:$AG$1001,0),1)&gt;=100000,INDEX($AN$1005:$BO$1005,1,MATCH(COLUMNS($AN$1006:BD1006),$AN$1006:$BO$1006,0))&gt;=100000), " ",IF(INDEX($AN$2:$BO$1001,MATCH(ROWS($AG$2:AG883),$AG$2:$AG$1001,0),MATCH(COLUMNS($AN$1006:BD1006),$AN$1006:$BO$1006,0)), HYPERLINK("#",""), HYPERLINK(CONCATENATE("#Metadata!", ADDRESS(INDEX($AI$2:$AI$1001,MATCH(ROWS($AG$2:AG883),$AG$2:$AG$1001,0),0), INDEX($AN$1004:$BO$1004,1,MATCH(COLUMNS($AN$1006:BD1006),$AN$1006:$BO$1006,0)))),"Fix")))</f>
        <v>0</v>
      </c>
      <c r="S883" s="4">
        <f>IF(OR(INDEX($AH$2:$AH$1001,MATCH(ROWS($AG$2:AG883),$AG$2:$AG$1001,0),1)&gt;=100000,INDEX($AN$1005:$BO$1005,1,MATCH(COLUMNS($AN$1006:BE1006),$AN$1006:$BO$1006,0))&gt;=100000), " ",IF(INDEX($AN$2:$BO$1001,MATCH(ROWS($AG$2:AG883),$AG$2:$AG$1001,0),MATCH(COLUMNS($AN$1006:BE1006),$AN$1006:$BO$1006,0)), HYPERLINK("#",""), HYPERLINK(CONCATENATE("#Metadata!", ADDRESS(INDEX($AI$2:$AI$1001,MATCH(ROWS($AG$2:AG883),$AG$2:$AG$1001,0),0), INDEX($AN$1004:$BO$1004,1,MATCH(COLUMNS($AN$1006:BE1006),$AN$1006:$BO$1006,0)))),"Fix")))</f>
        <v>0</v>
      </c>
      <c r="T883" s="4">
        <f>IF(OR(INDEX($AH$2:$AH$1001,MATCH(ROWS($AG$2:AG883),$AG$2:$AG$1001,0),1)&gt;=100000,INDEX($AN$1005:$BO$1005,1,MATCH(COLUMNS($AN$1006:BF1006),$AN$1006:$BO$1006,0))&gt;=100000), " ",IF(INDEX($AN$2:$BO$1001,MATCH(ROWS($AG$2:AG883),$AG$2:$AG$1001,0),MATCH(COLUMNS($AN$1006:BF1006),$AN$1006:$BO$1006,0)), HYPERLINK("#",""), HYPERLINK(CONCATENATE("#Metadata!", ADDRESS(INDEX($AI$2:$AI$1001,MATCH(ROWS($AG$2:AG883),$AG$2:$AG$1001,0),0), INDEX($AN$1004:$BO$1004,1,MATCH(COLUMNS($AN$1006:BF1006),$AN$1006:$BO$1006,0)))),"Fix")))</f>
        <v>0</v>
      </c>
      <c r="U883" s="4">
        <f>IF(OR(INDEX($AH$2:$AH$1001,MATCH(ROWS($AG$2:AG883),$AG$2:$AG$1001,0),1)&gt;=100000,INDEX($AN$1005:$BO$1005,1,MATCH(COLUMNS($AN$1006:BG1006),$AN$1006:$BO$1006,0))&gt;=100000), " ",IF(INDEX($AN$2:$BO$1001,MATCH(ROWS($AG$2:AG883),$AG$2:$AG$1001,0),MATCH(COLUMNS($AN$1006:BG1006),$AN$1006:$BO$1006,0)), HYPERLINK("#",""), HYPERLINK(CONCATENATE("#Metadata!", ADDRESS(INDEX($AI$2:$AI$1001,MATCH(ROWS($AG$2:AG883),$AG$2:$AG$1001,0),0), INDEX($AN$1004:$BO$1004,1,MATCH(COLUMNS($AN$1006:BG1006),$AN$1006:$BO$1006,0)))),"Fix")))</f>
        <v>0</v>
      </c>
      <c r="V883" s="4">
        <f>IF(OR(INDEX($AH$2:$AH$1001,MATCH(ROWS($AG$2:AG883),$AG$2:$AG$1001,0),1)&gt;=100000,INDEX($AN$1005:$BO$1005,1,MATCH(COLUMNS($AN$1006:BH1006),$AN$1006:$BO$1006,0))&gt;=100000), " ",IF(INDEX($AN$2:$BO$1001,MATCH(ROWS($AG$2:AG883),$AG$2:$AG$1001,0),MATCH(COLUMNS($AN$1006:BH1006),$AN$1006:$BO$1006,0)), HYPERLINK("#",""), HYPERLINK(CONCATENATE("#Metadata!", ADDRESS(INDEX($AI$2:$AI$1001,MATCH(ROWS($AG$2:AG883),$AG$2:$AG$1001,0),0), INDEX($AN$1004:$BO$1004,1,MATCH(COLUMNS($AN$1006:BH1006),$AN$1006:$BO$1006,0)))),"Fix")))</f>
        <v>0</v>
      </c>
      <c r="W883" s="4">
        <f>IF(OR(INDEX($AH$2:$AH$1001,MATCH(ROWS($AG$2:AG883),$AG$2:$AG$1001,0),1)&gt;=100000,INDEX($AN$1005:$BO$1005,1,MATCH(COLUMNS($AN$1006:BI1006),$AN$1006:$BO$1006,0))&gt;=100000), " ",IF(INDEX($AN$2:$BO$1001,MATCH(ROWS($AG$2:AG883),$AG$2:$AG$1001,0),MATCH(COLUMNS($AN$1006:BI1006),$AN$1006:$BO$1006,0)), HYPERLINK("#",""), HYPERLINK(CONCATENATE("#Metadata!", ADDRESS(INDEX($AI$2:$AI$1001,MATCH(ROWS($AG$2:AG883),$AG$2:$AG$1001,0),0), INDEX($AN$1004:$BO$1004,1,MATCH(COLUMNS($AN$1006:BI1006),$AN$1006:$BO$1006,0)))),"Fix")))</f>
        <v>0</v>
      </c>
      <c r="X883" s="4">
        <f>IF(OR(INDEX($AH$2:$AH$1001,MATCH(ROWS($AG$2:AG883),$AG$2:$AG$1001,0),1)&gt;=100000,INDEX($AN$1005:$BO$1005,1,MATCH(COLUMNS($AN$1006:BJ1006),$AN$1006:$BO$1006,0))&gt;=100000), " ",IF(INDEX($AN$2:$BO$1001,MATCH(ROWS($AG$2:AG883),$AG$2:$AG$1001,0),MATCH(COLUMNS($AN$1006:BJ1006),$AN$1006:$BO$1006,0)), HYPERLINK("#",""), HYPERLINK(CONCATENATE("#Metadata!", ADDRESS(INDEX($AI$2:$AI$1001,MATCH(ROWS($AG$2:AG883),$AG$2:$AG$1001,0),0), INDEX($AN$1004:$BO$1004,1,MATCH(COLUMNS($AN$1006:BJ1006),$AN$1006:$BO$1006,0)))),"Fix")))</f>
        <v>0</v>
      </c>
      <c r="Y883" s="4">
        <f>IF(OR(INDEX($AH$2:$AH$1001,MATCH(ROWS($AG$2:AG883),$AG$2:$AG$1001,0),1)&gt;=100000,INDEX($AN$1005:$BO$1005,1,MATCH(COLUMNS($AN$1006:BK1006),$AN$1006:$BO$1006,0))&gt;=100000), " ",IF(INDEX($AN$2:$BO$1001,MATCH(ROWS($AG$2:AG883),$AG$2:$AG$1001,0),MATCH(COLUMNS($AN$1006:BK1006),$AN$1006:$BO$1006,0)), HYPERLINK("#",""), HYPERLINK(CONCATENATE("#Metadata!", ADDRESS(INDEX($AI$2:$AI$1001,MATCH(ROWS($AG$2:AG883),$AG$2:$AG$1001,0),0), INDEX($AN$1004:$BO$1004,1,MATCH(COLUMNS($AN$1006:BK1006),$AN$1006:$BO$1006,0)))),"Fix")))</f>
        <v>0</v>
      </c>
      <c r="Z883" s="4">
        <f>IF(OR(INDEX($AH$2:$AH$1001,MATCH(ROWS($AG$2:AG883),$AG$2:$AG$1001,0),1)&gt;=100000,INDEX($AN$1005:$BO$1005,1,MATCH(COLUMNS($AN$1006:BL1006),$AN$1006:$BO$1006,0))&gt;=100000), " ",IF(INDEX($AN$2:$BO$1001,MATCH(ROWS($AG$2:AG883),$AG$2:$AG$1001,0),MATCH(COLUMNS($AN$1006:BL1006),$AN$1006:$BO$1006,0)), HYPERLINK("#",""), HYPERLINK(CONCATENATE("#Metadata!", ADDRESS(INDEX($AI$2:$AI$1001,MATCH(ROWS($AG$2:AG883),$AG$2:$AG$1001,0),0), INDEX($AN$1004:$BO$1004,1,MATCH(COLUMNS($AN$1006:BL1006),$AN$1006:$BO$1006,0)))),"Fix")))</f>
        <v>0</v>
      </c>
      <c r="AA883" s="4">
        <f>IF(OR(INDEX($AH$2:$AH$1001,MATCH(ROWS($AG$2:AG883),$AG$2:$AG$1001,0),1)&gt;=100000,INDEX($AN$1005:$BO$1005,1,MATCH(COLUMNS($AN$1006:BM1006),$AN$1006:$BO$1006,0))&gt;=100000), " ",IF(INDEX($AN$2:$BO$1001,MATCH(ROWS($AG$2:AG883),$AG$2:$AG$1001,0),MATCH(COLUMNS($AN$1006:BM1006),$AN$1006:$BO$1006,0)), HYPERLINK("#",""), HYPERLINK(CONCATENATE("#Metadata!", ADDRESS(INDEX($AI$2:$AI$1001,MATCH(ROWS($AG$2:AG883),$AG$2:$AG$1001,0),0), INDEX($AN$1004:$BO$1004,1,MATCH(COLUMNS($AN$1006:BM1006),$AN$1006:$BO$1006,0)))),"Fix")))</f>
        <v>0</v>
      </c>
      <c r="AB883" s="4">
        <f>IF(OR(INDEX($AH$2:$AH$1001,MATCH(ROWS($AG$2:AG883),$AG$2:$AG$1001,0),1)&gt;=100000,INDEX($AN$1005:$BO$1005,1,MATCH(COLUMNS($AN$1006:BN1006),$AN$1006:$BO$1006,0))&gt;=100000), " ",IF(INDEX($AN$2:$BO$1001,MATCH(ROWS($AG$2:AG883),$AG$2:$AG$1001,0),MATCH(COLUMNS($AN$1006:BN1006),$AN$1006:$BO$1006,0)), HYPERLINK("#",""), HYPERLINK(CONCATENATE("#Metadata!", ADDRESS(INDEX($AI$2:$AI$1001,MATCH(ROWS($AG$2:AG883),$AG$2:$AG$1001,0),0), INDEX($AN$1004:$BO$1004,1,MATCH(COLUMNS($AN$1006:BN1006),$AN$1006:$BO$1006,0)))),"Fix")))</f>
        <v>0</v>
      </c>
      <c r="AC883" s="4">
        <f>IF(OR(INDEX($AH$2:$AH$1001,MATCH(ROWS($AG$2:AG883),$AG$2:$AG$1001,0),1)&gt;=100000,INDEX($AN$1005:$BO$1005,1,MATCH(COLUMNS($AN$1006:BO1006),$AN$1006:$BO$1006,0))&gt;=100000), " ",IF(INDEX($AN$2:$BO$1001,MATCH(ROWS($AG$2:AG883),$AG$2:$AG$1001,0),MATCH(COLUMNS($AN$1006:BO1006),$AN$1006:$BO$1006,0)), HYPERLINK("#",""), HYPERLINK(CONCATENATE("#Metadata!", ADDRESS(INDEX($AI$2:$AI$1001,MATCH(ROWS($AG$2:AG883),$AG$2:$AG$1001,0),0), INDEX($AN$1004:$BO$1004,1,MATCH(COLUMNS($AN$1006:BO1006),$AN$1006:$BO$1006,0)))),"Fix")))</f>
        <v>0</v>
      </c>
      <c r="AG883">
        <v>0</v>
      </c>
      <c r="AH883">
        <v>0</v>
      </c>
      <c r="AI883">
        <v>0</v>
      </c>
      <c r="AJ883">
        <f>IF(AK883,TRUE,AND(AN883:BO883))</f>
        <v>0</v>
      </c>
      <c r="AK883">
        <f>COUNTBLANK(Metadata!B883:AC883)=COLUMNS(Metadata!B883:AC883)</f>
        <v>0</v>
      </c>
      <c r="AL883">
        <v>0</v>
      </c>
      <c r="AN883">
        <f>AND(IF(Metadata!B883="",FALSE,TRUE),COUNTIF(Metadata!B:B, Metadata!B883) = 1,NOT(ISERROR(SUMPRODUCT(SEARCH(MID(Metadata!B883,ROW(INDIRECT("1:"&amp;LEN(Metadata!B883))), 1),"0123456789abcdefghijklmnopqrstuvwxyzABCDEFGHIJKLMNOPQRSTUVWXYZ.")))))</f>
        <v>0</v>
      </c>
      <c r="AO883">
        <f>IF(Metadata!C883="",FALSE,TRUE)</f>
        <v>0</v>
      </c>
      <c r="AP883">
        <f>IF(Metadata!D883="",FALSE,TRUE)</f>
        <v>0</v>
      </c>
      <c r="AQ883">
        <f>OR(AND(IF(Metadata!E883="",FALSE,TRUE),OR(exact(Metadata!E883,"not collected"),exact(Metadata!E883,"not provided"),exact(Metadata!E883,"restricted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R883">
        <f>IF(Metadata!F883="",FALSE,TRUE)</f>
        <v>0</v>
      </c>
      <c r="AS883">
        <f>OR(AND(IF(Metadata!G883="",FALSE,TRUE),OR(exact(Metadata!G883,"not collected"),exact(Metadata!G883,"not provided"))),AND(IF(Metadata!G883="",FALSE,TRUE),OR(exact(Metadata!G883,"TRUE"),exact(Metadata!G883,"FALSE"))))</f>
        <v>0</v>
      </c>
      <c r="AT883">
        <f>OR(AND(IF(Metadata!H883="",FALSE,TRUE),OR(exact(Metadata!H883,"not collected"),exact(Metadata!H883,"not provided"),exact(Metadata!H883,"restricted access"))),AND(IF(Metadata!H883="",FALSE,ISNUMBER(VALUE(Metadata!H883))),Metadata!H883&gt;=-413.0))</f>
        <v>0</v>
      </c>
      <c r="AU883">
        <f>AND(IF(Metadata!I883="",FALSE,TRUE),exact(Metadata!I883,"meters"))</f>
        <v>0</v>
      </c>
      <c r="AV883">
        <f>AND(IF(Metadata!J883="",FALSE,TRUE),OR(exact(Metadata!J883,"Host-associated"),exact(Metadata!J883,"Free-living")))</f>
        <v>0</v>
      </c>
      <c r="AW883">
        <f>AND(IF(Metadata!K883="",FALSE,TRUE),OR(exact(Metadata!K883,"Animal"),exact(Metadata!K883,"Fungus"),exact(Metadata!K883,"Plant"),exact(Metadata!K883,"Saline"),exact(Metadata!K883,"Non-saline")))</f>
        <v>0</v>
      </c>
      <c r="AX883">
        <f>AND(IF(Metadata!L883="",FALSE,TRUE),OR(exact(Metadata!L883,"Plant secretion"),exact(Metadata!L883,"Plant rhizosphere"),exact(Metadata!L883,"Plant surface"),exact(Metadata!L883,"Plant corpus"),exact(Metadata!L883,"Fungus surface"),exact(Metadata!L883,"Fungus corpus"),exact(Metadata!L883,"Animal surface"),exact(Metadata!L883,"Animal proximal gut"),exact(Metadata!L883,"Animal corpus"),exact(Metadata!L883,"Animal distal gut"),exact(Metadata!L883,"Animal secretion"),exact(Metadata!L883,"Sub-surface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Y883">
        <f>IF(Metadata!M883="",FALSE,TRUE)</f>
        <v>0</v>
      </c>
      <c r="AZ883">
        <f>IF(Metadata!N883="",FALSE,TRUE)</f>
        <v>0</v>
      </c>
      <c r="BA883">
        <f>IF(Metadata!O883="",FALSE,TRUE)</f>
        <v>0</v>
      </c>
      <c r="BB883">
        <f>OR(AND(IF(Metadata!P883="",FALSE,TRUE),OR(exact(Metadata!P883,"not collected"),exact(Metadata!P883,"not provided"),exact(Metadata!P883,"restricted access"))),AND(IF(Metadata!P883="",FALSE,TRUE),OR(exact(Metadata!P883,"air"),exact(Metadata!P883,"built environment"),exact(Metadata!P883,"host-associated"),exact(Metadata!P883,"human-associated"),exact(Metadata!P883,"human-skin"),exact(Metadata!P883,"human-oral"),exact(Metadata!P883,"human-gut"),exact(Metadata!P883,"human-vaginal"),exact(Metadata!P883,"microbial mat/biofilm"),exact(Metadata!P883,"misc environment"),exact(Metadata!P883,"plant-associated"),exact(Metadata!P883,"sediment"),exact(Metadata!P883,"soil"),exact(Metadata!P883,"wastewater/sludge"),exact(Metadata!P883,"water"))))</f>
        <v>0</v>
      </c>
      <c r="BC883">
        <f>IF(Metadata!Q883="",FALSE,TRUE)</f>
        <v>0</v>
      </c>
      <c r="BD883">
        <f>IF(Metadata!R883="",FALSE,TRUE)</f>
        <v>0</v>
      </c>
      <c r="BE883">
        <f>OR(AND(IF(Metadata!S883="",FALSE,TRUE),OR(exact(Metadata!S883,"not collected"),exact(Metadata!S883,"not provided"),exact(Metadata!S883,"restricted access"))),AND(IF(Metadata!S883="",FALSE,ISNUMBER(VALUE(Metadata!S883))),Metadata!S883&gt;=-90.00,Metadata!S883&lt;=90.00))</f>
        <v>0</v>
      </c>
      <c r="BF883">
        <f>AND(IF(Metadata!T883="",FALSE,TRUE),exact(Metadata!T883,"Decimal degrees"))</f>
        <v>0</v>
      </c>
      <c r="BG883">
        <f>OR(AND(IF(Metadata!U883="",FALSE,TRUE),OR(exact(Metadata!U883,"not collected"),exact(Metadata!U883,"not provided"),exact(Metadata!U883,"restricted access"))),AND(IF(Metadata!U883="",FALSE,ISNUMBER(VALUE(Metadata!U883))),Metadata!U883&gt;=-180.00,Metadata!U883&lt;=180.00))</f>
        <v>0</v>
      </c>
      <c r="BH883">
        <f>AND(IF(Metadata!V883="",FALSE,TRUE),exact(Metadata!V883,"Decimal degrees"))</f>
        <v>0</v>
      </c>
      <c r="BI883">
        <f>IF(Metadata!W883="",FALSE,TRUE)</f>
        <v>0</v>
      </c>
      <c r="BJ883">
        <f>OR(AND(IF(Metadata!X883="",FALSE,TRUE),OR(exact(Metadata!X883,"not collected"),exact(Metadata!X883,"not provided"),exact(Metadata!X883,"restricted access"))),AND(IF(Metadata!X883="",FALSE,TRUE),OR(exact(Metadata!X883,"TRUE"),exact(Metadata!X883,"FALSE"))))</f>
        <v>0</v>
      </c>
      <c r="BK883">
        <f>AND(IF(Metadata!Y883="",FALSE,TRUE),exact(Metadata!Y883,"other"))</f>
        <v>0</v>
      </c>
      <c r="BL883">
        <f>IF(Metadata!Z883="",FALSE,TRUE)</f>
        <v>0</v>
      </c>
      <c r="BM883">
        <f>OR(AND(IF(Metadata!AA883="",FALSE,TRUE),OR(exact(Metadata!AA883,"not collected"),exact(Metadata!AA883,"not provided"))),AND(IF(Metadata!AA883="",FALSE,IF(ISERROR(INT(Metadata!AA883)),FALSE,INT(Metadata!AA883)=Metadata!AA883)),Metadata!AA883&gt;0))</f>
        <v>0</v>
      </c>
      <c r="BN883">
        <f>AND(IF(Metadata!AB883="",FALSE,TRUE),exact(Metadata!AB883,"Not applicable"))</f>
        <v>0</v>
      </c>
      <c r="BO883">
        <f>IF(Metadata!AC883="",FALSE,TRUE)</f>
        <v>0</v>
      </c>
    </row>
    <row r="884" spans="1:67">
      <c r="A884" s="5">
        <f>IF(B884=" "," ",HYPERLINK(CONCATENATE("#metadata!",ADDRESS(INDEX($AI$2:$AI$1001,MATCH(ROWS($AG$2:AG884),$AG$2:$AG$1001,0),0),1)),INDEX($AL$2:$AL$1001,MATCH(ROWS($AG$2:AG884),$AG$2:$AG$1001,0),0)))</f>
        <v>0</v>
      </c>
      <c r="B884" s="4">
        <f>IF(OR(INDEX($AH$2:$AH$1001,MATCH(ROWS($AG$2:AG884),$AG$2:$AG$1001,0),1)&gt;=100000,INDEX($AN$1005:$BO$1005,1,MATCH(COLUMNS($AN$1006:AN1006),$AN$1006:$BO$1006,0))&gt;=100000), " ",IF(INDEX($AN$2:$BO$1001,MATCH(ROWS($AG$2:AG884),$AG$2:$AG$1001,0),MATCH(COLUMNS($AN$1006:AN1006),$AN$1006:$BO$1006,0)), HYPERLINK("#",""), HYPERLINK(CONCATENATE("#Metadata!", ADDRESS(INDEX($AI$2:$AI$1001,MATCH(ROWS($AG$2:AG884),$AG$2:$AG$1001,0),0), INDEX($AN$1004:$BO$1004,1,MATCH(COLUMNS($AN$1006:AN1006),$AN$1006:$BO$1006,0)))),"Fix")))</f>
        <v>0</v>
      </c>
      <c r="C884" s="4">
        <f>IF(OR(INDEX($AH$2:$AH$1001,MATCH(ROWS($AG$2:AG884),$AG$2:$AG$1001,0),1)&gt;=100000,INDEX($AN$1005:$BO$1005,1,MATCH(COLUMNS($AN$1006:AO1006),$AN$1006:$BO$1006,0))&gt;=100000), " ",IF(INDEX($AN$2:$BO$1001,MATCH(ROWS($AG$2:AG884),$AG$2:$AG$1001,0),MATCH(COLUMNS($AN$1006:AO1006),$AN$1006:$BO$1006,0)), HYPERLINK("#",""), HYPERLINK(CONCATENATE("#Metadata!", ADDRESS(INDEX($AI$2:$AI$1001,MATCH(ROWS($AG$2:AG884),$AG$2:$AG$1001,0),0), INDEX($AN$1004:$BO$1004,1,MATCH(COLUMNS($AN$1006:AO1006),$AN$1006:$BO$1006,0)))),"Fix")))</f>
        <v>0</v>
      </c>
      <c r="D884" s="4">
        <f>IF(OR(INDEX($AH$2:$AH$1001,MATCH(ROWS($AG$2:AG884),$AG$2:$AG$1001,0),1)&gt;=100000,INDEX($AN$1005:$BO$1005,1,MATCH(COLUMNS($AN$1006:AP1006),$AN$1006:$BO$1006,0))&gt;=100000), " ",IF(INDEX($AN$2:$BO$1001,MATCH(ROWS($AG$2:AG884),$AG$2:$AG$1001,0),MATCH(COLUMNS($AN$1006:AP1006),$AN$1006:$BO$1006,0)), HYPERLINK("#",""), HYPERLINK(CONCATENATE("#Metadata!", ADDRESS(INDEX($AI$2:$AI$1001,MATCH(ROWS($AG$2:AG884),$AG$2:$AG$1001,0),0), INDEX($AN$1004:$BO$1004,1,MATCH(COLUMNS($AN$1006:AP1006),$AN$1006:$BO$1006,0)))),"Fix")))</f>
        <v>0</v>
      </c>
      <c r="E884" s="4">
        <f>IF(OR(INDEX($AH$2:$AH$1001,MATCH(ROWS($AG$2:AG884),$AG$2:$AG$1001,0),1)&gt;=100000,INDEX($AN$1005:$BO$1005,1,MATCH(COLUMNS($AN$1006:AQ1006),$AN$1006:$BO$1006,0))&gt;=100000), " ",IF(INDEX($AN$2:$BO$1001,MATCH(ROWS($AG$2:AG884),$AG$2:$AG$1001,0),MATCH(COLUMNS($AN$1006:AQ1006),$AN$1006:$BO$1006,0)), HYPERLINK("#",""), HYPERLINK(CONCATENATE("#Metadata!", ADDRESS(INDEX($AI$2:$AI$1001,MATCH(ROWS($AG$2:AG884),$AG$2:$AG$1001,0),0), INDEX($AN$1004:$BO$1004,1,MATCH(COLUMNS($AN$1006:AQ1006),$AN$1006:$BO$1006,0)))),"Fix")))</f>
        <v>0</v>
      </c>
      <c r="F884" s="4">
        <f>IF(OR(INDEX($AH$2:$AH$1001,MATCH(ROWS($AG$2:AG884),$AG$2:$AG$1001,0),1)&gt;=100000,INDEX($AN$1005:$BO$1005,1,MATCH(COLUMNS($AN$1006:AR1006),$AN$1006:$BO$1006,0))&gt;=100000), " ",IF(INDEX($AN$2:$BO$1001,MATCH(ROWS($AG$2:AG884),$AG$2:$AG$1001,0),MATCH(COLUMNS($AN$1006:AR1006),$AN$1006:$BO$1006,0)), HYPERLINK("#",""), HYPERLINK(CONCATENATE("#Metadata!", ADDRESS(INDEX($AI$2:$AI$1001,MATCH(ROWS($AG$2:AG884),$AG$2:$AG$1001,0),0), INDEX($AN$1004:$BO$1004,1,MATCH(COLUMNS($AN$1006:AR1006),$AN$1006:$BO$1006,0)))),"Fix")))</f>
        <v>0</v>
      </c>
      <c r="G884" s="4">
        <f>IF(OR(INDEX($AH$2:$AH$1001,MATCH(ROWS($AG$2:AG884),$AG$2:$AG$1001,0),1)&gt;=100000,INDEX($AN$1005:$BO$1005,1,MATCH(COLUMNS($AN$1006:AS1006),$AN$1006:$BO$1006,0))&gt;=100000), " ",IF(INDEX($AN$2:$BO$1001,MATCH(ROWS($AG$2:AG884),$AG$2:$AG$1001,0),MATCH(COLUMNS($AN$1006:AS1006),$AN$1006:$BO$1006,0)), HYPERLINK("#",""), HYPERLINK(CONCATENATE("#Metadata!", ADDRESS(INDEX($AI$2:$AI$1001,MATCH(ROWS($AG$2:AG884),$AG$2:$AG$1001,0),0), INDEX($AN$1004:$BO$1004,1,MATCH(COLUMNS($AN$1006:AS1006),$AN$1006:$BO$1006,0)))),"Fix")))</f>
        <v>0</v>
      </c>
      <c r="H884" s="4">
        <f>IF(OR(INDEX($AH$2:$AH$1001,MATCH(ROWS($AG$2:AG884),$AG$2:$AG$1001,0),1)&gt;=100000,INDEX($AN$1005:$BO$1005,1,MATCH(COLUMNS($AN$1006:AT1006),$AN$1006:$BO$1006,0))&gt;=100000), " ",IF(INDEX($AN$2:$BO$1001,MATCH(ROWS($AG$2:AG884),$AG$2:$AG$1001,0),MATCH(COLUMNS($AN$1006:AT1006),$AN$1006:$BO$1006,0)), HYPERLINK("#",""), HYPERLINK(CONCATENATE("#Metadata!", ADDRESS(INDEX($AI$2:$AI$1001,MATCH(ROWS($AG$2:AG884),$AG$2:$AG$1001,0),0), INDEX($AN$1004:$BO$1004,1,MATCH(COLUMNS($AN$1006:AT1006),$AN$1006:$BO$1006,0)))),"Fix")))</f>
        <v>0</v>
      </c>
      <c r="I884" s="4">
        <f>IF(OR(INDEX($AH$2:$AH$1001,MATCH(ROWS($AG$2:AG884),$AG$2:$AG$1001,0),1)&gt;=100000,INDEX($AN$1005:$BO$1005,1,MATCH(COLUMNS($AN$1006:AU1006),$AN$1006:$BO$1006,0))&gt;=100000), " ",IF(INDEX($AN$2:$BO$1001,MATCH(ROWS($AG$2:AG884),$AG$2:$AG$1001,0),MATCH(COLUMNS($AN$1006:AU1006),$AN$1006:$BO$1006,0)), HYPERLINK("#",""), HYPERLINK(CONCATENATE("#Metadata!", ADDRESS(INDEX($AI$2:$AI$1001,MATCH(ROWS($AG$2:AG884),$AG$2:$AG$1001,0),0), INDEX($AN$1004:$BO$1004,1,MATCH(COLUMNS($AN$1006:AU1006),$AN$1006:$BO$1006,0)))),"Fix")))</f>
        <v>0</v>
      </c>
      <c r="J884" s="4">
        <f>IF(OR(INDEX($AH$2:$AH$1001,MATCH(ROWS($AG$2:AG884),$AG$2:$AG$1001,0),1)&gt;=100000,INDEX($AN$1005:$BO$1005,1,MATCH(COLUMNS($AN$1006:AV1006),$AN$1006:$BO$1006,0))&gt;=100000), " ",IF(INDEX($AN$2:$BO$1001,MATCH(ROWS($AG$2:AG884),$AG$2:$AG$1001,0),MATCH(COLUMNS($AN$1006:AV1006),$AN$1006:$BO$1006,0)), HYPERLINK("#",""), HYPERLINK(CONCATENATE("#Metadata!", ADDRESS(INDEX($AI$2:$AI$1001,MATCH(ROWS($AG$2:AG884),$AG$2:$AG$1001,0),0), INDEX($AN$1004:$BO$1004,1,MATCH(COLUMNS($AN$1006:AV1006),$AN$1006:$BO$1006,0)))),"Fix")))</f>
        <v>0</v>
      </c>
      <c r="K884" s="4">
        <f>IF(OR(INDEX($AH$2:$AH$1001,MATCH(ROWS($AG$2:AG884),$AG$2:$AG$1001,0),1)&gt;=100000,INDEX($AN$1005:$BO$1005,1,MATCH(COLUMNS($AN$1006:AW1006),$AN$1006:$BO$1006,0))&gt;=100000), " ",IF(INDEX($AN$2:$BO$1001,MATCH(ROWS($AG$2:AG884),$AG$2:$AG$1001,0),MATCH(COLUMNS($AN$1006:AW1006),$AN$1006:$BO$1006,0)), HYPERLINK("#",""), HYPERLINK(CONCATENATE("#Metadata!", ADDRESS(INDEX($AI$2:$AI$1001,MATCH(ROWS($AG$2:AG884),$AG$2:$AG$1001,0),0), INDEX($AN$1004:$BO$1004,1,MATCH(COLUMNS($AN$1006:AW1006),$AN$1006:$BO$1006,0)))),"Fix")))</f>
        <v>0</v>
      </c>
      <c r="L884" s="4">
        <f>IF(OR(INDEX($AH$2:$AH$1001,MATCH(ROWS($AG$2:AG884),$AG$2:$AG$1001,0),1)&gt;=100000,INDEX($AN$1005:$BO$1005,1,MATCH(COLUMNS($AN$1006:AX1006),$AN$1006:$BO$1006,0))&gt;=100000), " ",IF(INDEX($AN$2:$BO$1001,MATCH(ROWS($AG$2:AG884),$AG$2:$AG$1001,0),MATCH(COLUMNS($AN$1006:AX1006),$AN$1006:$BO$1006,0)), HYPERLINK("#",""), HYPERLINK(CONCATENATE("#Metadata!", ADDRESS(INDEX($AI$2:$AI$1001,MATCH(ROWS($AG$2:AG884),$AG$2:$AG$1001,0),0), INDEX($AN$1004:$BO$1004,1,MATCH(COLUMNS($AN$1006:AX1006),$AN$1006:$BO$1006,0)))),"Fix")))</f>
        <v>0</v>
      </c>
      <c r="M884" s="4">
        <f>IF(OR(INDEX($AH$2:$AH$1001,MATCH(ROWS($AG$2:AG884),$AG$2:$AG$1001,0),1)&gt;=100000,INDEX($AN$1005:$BO$1005,1,MATCH(COLUMNS($AN$1006:AY1006),$AN$1006:$BO$1006,0))&gt;=100000), " ",IF(INDEX($AN$2:$BO$1001,MATCH(ROWS($AG$2:AG884),$AG$2:$AG$1001,0),MATCH(COLUMNS($AN$1006:AY1006),$AN$1006:$BO$1006,0)), HYPERLINK("#",""), HYPERLINK(CONCATENATE("#Metadata!", ADDRESS(INDEX($AI$2:$AI$1001,MATCH(ROWS($AG$2:AG884),$AG$2:$AG$1001,0),0), INDEX($AN$1004:$BO$1004,1,MATCH(COLUMNS($AN$1006:AY1006),$AN$1006:$BO$1006,0)))),"Fix")))</f>
        <v>0</v>
      </c>
      <c r="N884" s="4">
        <f>IF(OR(INDEX($AH$2:$AH$1001,MATCH(ROWS($AG$2:AG884),$AG$2:$AG$1001,0),1)&gt;=100000,INDEX($AN$1005:$BO$1005,1,MATCH(COLUMNS($AN$1006:AZ1006),$AN$1006:$BO$1006,0))&gt;=100000), " ",IF(INDEX($AN$2:$BO$1001,MATCH(ROWS($AG$2:AG884),$AG$2:$AG$1001,0),MATCH(COLUMNS($AN$1006:AZ1006),$AN$1006:$BO$1006,0)), HYPERLINK("#",""), HYPERLINK(CONCATENATE("#Metadata!", ADDRESS(INDEX($AI$2:$AI$1001,MATCH(ROWS($AG$2:AG884),$AG$2:$AG$1001,0),0), INDEX($AN$1004:$BO$1004,1,MATCH(COLUMNS($AN$1006:AZ1006),$AN$1006:$BO$1006,0)))),"Fix")))</f>
        <v>0</v>
      </c>
      <c r="O884" s="4">
        <f>IF(OR(INDEX($AH$2:$AH$1001,MATCH(ROWS($AG$2:AG884),$AG$2:$AG$1001,0),1)&gt;=100000,INDEX($AN$1005:$BO$1005,1,MATCH(COLUMNS($AN$1006:BA1006),$AN$1006:$BO$1006,0))&gt;=100000), " ",IF(INDEX($AN$2:$BO$1001,MATCH(ROWS($AG$2:AG884),$AG$2:$AG$1001,0),MATCH(COLUMNS($AN$1006:BA1006),$AN$1006:$BO$1006,0)), HYPERLINK("#",""), HYPERLINK(CONCATENATE("#Metadata!", ADDRESS(INDEX($AI$2:$AI$1001,MATCH(ROWS($AG$2:AG884),$AG$2:$AG$1001,0),0), INDEX($AN$1004:$BO$1004,1,MATCH(COLUMNS($AN$1006:BA1006),$AN$1006:$BO$1006,0)))),"Fix")))</f>
        <v>0</v>
      </c>
      <c r="P884" s="4">
        <f>IF(OR(INDEX($AH$2:$AH$1001,MATCH(ROWS($AG$2:AG884),$AG$2:$AG$1001,0),1)&gt;=100000,INDEX($AN$1005:$BO$1005,1,MATCH(COLUMNS($AN$1006:BB1006),$AN$1006:$BO$1006,0))&gt;=100000), " ",IF(INDEX($AN$2:$BO$1001,MATCH(ROWS($AG$2:AG884),$AG$2:$AG$1001,0),MATCH(COLUMNS($AN$1006:BB1006),$AN$1006:$BO$1006,0)), HYPERLINK("#",""), HYPERLINK(CONCATENATE("#Metadata!", ADDRESS(INDEX($AI$2:$AI$1001,MATCH(ROWS($AG$2:AG884),$AG$2:$AG$1001,0),0), INDEX($AN$1004:$BO$1004,1,MATCH(COLUMNS($AN$1006:BB1006),$AN$1006:$BO$1006,0)))),"Fix")))</f>
        <v>0</v>
      </c>
      <c r="Q884" s="4">
        <f>IF(OR(INDEX($AH$2:$AH$1001,MATCH(ROWS($AG$2:AG884),$AG$2:$AG$1001,0),1)&gt;=100000,INDEX($AN$1005:$BO$1005,1,MATCH(COLUMNS($AN$1006:BC1006),$AN$1006:$BO$1006,0))&gt;=100000), " ",IF(INDEX($AN$2:$BO$1001,MATCH(ROWS($AG$2:AG884),$AG$2:$AG$1001,0),MATCH(COLUMNS($AN$1006:BC1006),$AN$1006:$BO$1006,0)), HYPERLINK("#",""), HYPERLINK(CONCATENATE("#Metadata!", ADDRESS(INDEX($AI$2:$AI$1001,MATCH(ROWS($AG$2:AG884),$AG$2:$AG$1001,0),0), INDEX($AN$1004:$BO$1004,1,MATCH(COLUMNS($AN$1006:BC1006),$AN$1006:$BO$1006,0)))),"Fix")))</f>
        <v>0</v>
      </c>
      <c r="R884" s="4">
        <f>IF(OR(INDEX($AH$2:$AH$1001,MATCH(ROWS($AG$2:AG884),$AG$2:$AG$1001,0),1)&gt;=100000,INDEX($AN$1005:$BO$1005,1,MATCH(COLUMNS($AN$1006:BD1006),$AN$1006:$BO$1006,0))&gt;=100000), " ",IF(INDEX($AN$2:$BO$1001,MATCH(ROWS($AG$2:AG884),$AG$2:$AG$1001,0),MATCH(COLUMNS($AN$1006:BD1006),$AN$1006:$BO$1006,0)), HYPERLINK("#",""), HYPERLINK(CONCATENATE("#Metadata!", ADDRESS(INDEX($AI$2:$AI$1001,MATCH(ROWS($AG$2:AG884),$AG$2:$AG$1001,0),0), INDEX($AN$1004:$BO$1004,1,MATCH(COLUMNS($AN$1006:BD1006),$AN$1006:$BO$1006,0)))),"Fix")))</f>
        <v>0</v>
      </c>
      <c r="S884" s="4">
        <f>IF(OR(INDEX($AH$2:$AH$1001,MATCH(ROWS($AG$2:AG884),$AG$2:$AG$1001,0),1)&gt;=100000,INDEX($AN$1005:$BO$1005,1,MATCH(COLUMNS($AN$1006:BE1006),$AN$1006:$BO$1006,0))&gt;=100000), " ",IF(INDEX($AN$2:$BO$1001,MATCH(ROWS($AG$2:AG884),$AG$2:$AG$1001,0),MATCH(COLUMNS($AN$1006:BE1006),$AN$1006:$BO$1006,0)), HYPERLINK("#",""), HYPERLINK(CONCATENATE("#Metadata!", ADDRESS(INDEX($AI$2:$AI$1001,MATCH(ROWS($AG$2:AG884),$AG$2:$AG$1001,0),0), INDEX($AN$1004:$BO$1004,1,MATCH(COLUMNS($AN$1006:BE1006),$AN$1006:$BO$1006,0)))),"Fix")))</f>
        <v>0</v>
      </c>
      <c r="T884" s="4">
        <f>IF(OR(INDEX($AH$2:$AH$1001,MATCH(ROWS($AG$2:AG884),$AG$2:$AG$1001,0),1)&gt;=100000,INDEX($AN$1005:$BO$1005,1,MATCH(COLUMNS($AN$1006:BF1006),$AN$1006:$BO$1006,0))&gt;=100000), " ",IF(INDEX($AN$2:$BO$1001,MATCH(ROWS($AG$2:AG884),$AG$2:$AG$1001,0),MATCH(COLUMNS($AN$1006:BF1006),$AN$1006:$BO$1006,0)), HYPERLINK("#",""), HYPERLINK(CONCATENATE("#Metadata!", ADDRESS(INDEX($AI$2:$AI$1001,MATCH(ROWS($AG$2:AG884),$AG$2:$AG$1001,0),0), INDEX($AN$1004:$BO$1004,1,MATCH(COLUMNS($AN$1006:BF1006),$AN$1006:$BO$1006,0)))),"Fix")))</f>
        <v>0</v>
      </c>
      <c r="U884" s="4">
        <f>IF(OR(INDEX($AH$2:$AH$1001,MATCH(ROWS($AG$2:AG884),$AG$2:$AG$1001,0),1)&gt;=100000,INDEX($AN$1005:$BO$1005,1,MATCH(COLUMNS($AN$1006:BG1006),$AN$1006:$BO$1006,0))&gt;=100000), " ",IF(INDEX($AN$2:$BO$1001,MATCH(ROWS($AG$2:AG884),$AG$2:$AG$1001,0),MATCH(COLUMNS($AN$1006:BG1006),$AN$1006:$BO$1006,0)), HYPERLINK("#",""), HYPERLINK(CONCATENATE("#Metadata!", ADDRESS(INDEX($AI$2:$AI$1001,MATCH(ROWS($AG$2:AG884),$AG$2:$AG$1001,0),0), INDEX($AN$1004:$BO$1004,1,MATCH(COLUMNS($AN$1006:BG1006),$AN$1006:$BO$1006,0)))),"Fix")))</f>
        <v>0</v>
      </c>
      <c r="V884" s="4">
        <f>IF(OR(INDEX($AH$2:$AH$1001,MATCH(ROWS($AG$2:AG884),$AG$2:$AG$1001,0),1)&gt;=100000,INDEX($AN$1005:$BO$1005,1,MATCH(COLUMNS($AN$1006:BH1006),$AN$1006:$BO$1006,0))&gt;=100000), " ",IF(INDEX($AN$2:$BO$1001,MATCH(ROWS($AG$2:AG884),$AG$2:$AG$1001,0),MATCH(COLUMNS($AN$1006:BH1006),$AN$1006:$BO$1006,0)), HYPERLINK("#",""), HYPERLINK(CONCATENATE("#Metadata!", ADDRESS(INDEX($AI$2:$AI$1001,MATCH(ROWS($AG$2:AG884),$AG$2:$AG$1001,0),0), INDEX($AN$1004:$BO$1004,1,MATCH(COLUMNS($AN$1006:BH1006),$AN$1006:$BO$1006,0)))),"Fix")))</f>
        <v>0</v>
      </c>
      <c r="W884" s="4">
        <f>IF(OR(INDEX($AH$2:$AH$1001,MATCH(ROWS($AG$2:AG884),$AG$2:$AG$1001,0),1)&gt;=100000,INDEX($AN$1005:$BO$1005,1,MATCH(COLUMNS($AN$1006:BI1006),$AN$1006:$BO$1006,0))&gt;=100000), " ",IF(INDEX($AN$2:$BO$1001,MATCH(ROWS($AG$2:AG884),$AG$2:$AG$1001,0),MATCH(COLUMNS($AN$1006:BI1006),$AN$1006:$BO$1006,0)), HYPERLINK("#",""), HYPERLINK(CONCATENATE("#Metadata!", ADDRESS(INDEX($AI$2:$AI$1001,MATCH(ROWS($AG$2:AG884),$AG$2:$AG$1001,0),0), INDEX($AN$1004:$BO$1004,1,MATCH(COLUMNS($AN$1006:BI1006),$AN$1006:$BO$1006,0)))),"Fix")))</f>
        <v>0</v>
      </c>
      <c r="X884" s="4">
        <f>IF(OR(INDEX($AH$2:$AH$1001,MATCH(ROWS($AG$2:AG884),$AG$2:$AG$1001,0),1)&gt;=100000,INDEX($AN$1005:$BO$1005,1,MATCH(COLUMNS($AN$1006:BJ1006),$AN$1006:$BO$1006,0))&gt;=100000), " ",IF(INDEX($AN$2:$BO$1001,MATCH(ROWS($AG$2:AG884),$AG$2:$AG$1001,0),MATCH(COLUMNS($AN$1006:BJ1006),$AN$1006:$BO$1006,0)), HYPERLINK("#",""), HYPERLINK(CONCATENATE("#Metadata!", ADDRESS(INDEX($AI$2:$AI$1001,MATCH(ROWS($AG$2:AG884),$AG$2:$AG$1001,0),0), INDEX($AN$1004:$BO$1004,1,MATCH(COLUMNS($AN$1006:BJ1006),$AN$1006:$BO$1006,0)))),"Fix")))</f>
        <v>0</v>
      </c>
      <c r="Y884" s="4">
        <f>IF(OR(INDEX($AH$2:$AH$1001,MATCH(ROWS($AG$2:AG884),$AG$2:$AG$1001,0),1)&gt;=100000,INDEX($AN$1005:$BO$1005,1,MATCH(COLUMNS($AN$1006:BK1006),$AN$1006:$BO$1006,0))&gt;=100000), " ",IF(INDEX($AN$2:$BO$1001,MATCH(ROWS($AG$2:AG884),$AG$2:$AG$1001,0),MATCH(COLUMNS($AN$1006:BK1006),$AN$1006:$BO$1006,0)), HYPERLINK("#",""), HYPERLINK(CONCATENATE("#Metadata!", ADDRESS(INDEX($AI$2:$AI$1001,MATCH(ROWS($AG$2:AG884),$AG$2:$AG$1001,0),0), INDEX($AN$1004:$BO$1004,1,MATCH(COLUMNS($AN$1006:BK1006),$AN$1006:$BO$1006,0)))),"Fix")))</f>
        <v>0</v>
      </c>
      <c r="Z884" s="4">
        <f>IF(OR(INDEX($AH$2:$AH$1001,MATCH(ROWS($AG$2:AG884),$AG$2:$AG$1001,0),1)&gt;=100000,INDEX($AN$1005:$BO$1005,1,MATCH(COLUMNS($AN$1006:BL1006),$AN$1006:$BO$1006,0))&gt;=100000), " ",IF(INDEX($AN$2:$BO$1001,MATCH(ROWS($AG$2:AG884),$AG$2:$AG$1001,0),MATCH(COLUMNS($AN$1006:BL1006),$AN$1006:$BO$1006,0)), HYPERLINK("#",""), HYPERLINK(CONCATENATE("#Metadata!", ADDRESS(INDEX($AI$2:$AI$1001,MATCH(ROWS($AG$2:AG884),$AG$2:$AG$1001,0),0), INDEX($AN$1004:$BO$1004,1,MATCH(COLUMNS($AN$1006:BL1006),$AN$1006:$BO$1006,0)))),"Fix")))</f>
        <v>0</v>
      </c>
      <c r="AA884" s="4">
        <f>IF(OR(INDEX($AH$2:$AH$1001,MATCH(ROWS($AG$2:AG884),$AG$2:$AG$1001,0),1)&gt;=100000,INDEX($AN$1005:$BO$1005,1,MATCH(COLUMNS($AN$1006:BM1006),$AN$1006:$BO$1006,0))&gt;=100000), " ",IF(INDEX($AN$2:$BO$1001,MATCH(ROWS($AG$2:AG884),$AG$2:$AG$1001,0),MATCH(COLUMNS($AN$1006:BM1006),$AN$1006:$BO$1006,0)), HYPERLINK("#",""), HYPERLINK(CONCATENATE("#Metadata!", ADDRESS(INDEX($AI$2:$AI$1001,MATCH(ROWS($AG$2:AG884),$AG$2:$AG$1001,0),0), INDEX($AN$1004:$BO$1004,1,MATCH(COLUMNS($AN$1006:BM1006),$AN$1006:$BO$1006,0)))),"Fix")))</f>
        <v>0</v>
      </c>
      <c r="AB884" s="4">
        <f>IF(OR(INDEX($AH$2:$AH$1001,MATCH(ROWS($AG$2:AG884),$AG$2:$AG$1001,0),1)&gt;=100000,INDEX($AN$1005:$BO$1005,1,MATCH(COLUMNS($AN$1006:BN1006),$AN$1006:$BO$1006,0))&gt;=100000), " ",IF(INDEX($AN$2:$BO$1001,MATCH(ROWS($AG$2:AG884),$AG$2:$AG$1001,0),MATCH(COLUMNS($AN$1006:BN1006),$AN$1006:$BO$1006,0)), HYPERLINK("#",""), HYPERLINK(CONCATENATE("#Metadata!", ADDRESS(INDEX($AI$2:$AI$1001,MATCH(ROWS($AG$2:AG884),$AG$2:$AG$1001,0),0), INDEX($AN$1004:$BO$1004,1,MATCH(COLUMNS($AN$1006:BN1006),$AN$1006:$BO$1006,0)))),"Fix")))</f>
        <v>0</v>
      </c>
      <c r="AC884" s="4">
        <f>IF(OR(INDEX($AH$2:$AH$1001,MATCH(ROWS($AG$2:AG884),$AG$2:$AG$1001,0),1)&gt;=100000,INDEX($AN$1005:$BO$1005,1,MATCH(COLUMNS($AN$1006:BO1006),$AN$1006:$BO$1006,0))&gt;=100000), " ",IF(INDEX($AN$2:$BO$1001,MATCH(ROWS($AG$2:AG884),$AG$2:$AG$1001,0),MATCH(COLUMNS($AN$1006:BO1006),$AN$1006:$BO$1006,0)), HYPERLINK("#",""), HYPERLINK(CONCATENATE("#Metadata!", ADDRESS(INDEX($AI$2:$AI$1001,MATCH(ROWS($AG$2:AG884),$AG$2:$AG$1001,0),0), INDEX($AN$1004:$BO$1004,1,MATCH(COLUMNS($AN$1006:BO1006),$AN$1006:$BO$1006,0)))),"Fix")))</f>
        <v>0</v>
      </c>
      <c r="AG884">
        <v>0</v>
      </c>
      <c r="AH884">
        <v>0</v>
      </c>
      <c r="AI884">
        <v>0</v>
      </c>
      <c r="AJ884">
        <f>IF(AK884,TRUE,AND(AN884:BO884))</f>
        <v>0</v>
      </c>
      <c r="AK884">
        <f>COUNTBLANK(Metadata!B884:AC884)=COLUMNS(Metadata!B884:AC884)</f>
        <v>0</v>
      </c>
      <c r="AL884">
        <v>0</v>
      </c>
      <c r="AN884">
        <f>AND(IF(Metadata!B884="",FALSE,TRUE),COUNTIF(Metadata!B:B, Metadata!B884) = 1,NOT(ISERROR(SUMPRODUCT(SEARCH(MID(Metadata!B884,ROW(INDIRECT("1:"&amp;LEN(Metadata!B884))), 1),"0123456789abcdefghijklmnopqrstuvwxyzABCDEFGHIJKLMNOPQRSTUVWXYZ.")))))</f>
        <v>0</v>
      </c>
      <c r="AO884">
        <f>IF(Metadata!C884="",FALSE,TRUE)</f>
        <v>0</v>
      </c>
      <c r="AP884">
        <f>IF(Metadata!D884="",FALSE,TRUE)</f>
        <v>0</v>
      </c>
      <c r="AQ884">
        <f>OR(AND(IF(Metadata!E884="",FALSE,TRUE),OR(exact(Metadata!E884,"not collected"),exact(Metadata!E884,"not provided"),exact(Metadata!E884,"restricted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R884">
        <f>IF(Metadata!F884="",FALSE,TRUE)</f>
        <v>0</v>
      </c>
      <c r="AS884">
        <f>OR(AND(IF(Metadata!G884="",FALSE,TRUE),OR(exact(Metadata!G884,"not collected"),exact(Metadata!G884,"not provided"))),AND(IF(Metadata!G884="",FALSE,TRUE),OR(exact(Metadata!G884,"TRUE"),exact(Metadata!G884,"FALSE"))))</f>
        <v>0</v>
      </c>
      <c r="AT884">
        <f>OR(AND(IF(Metadata!H884="",FALSE,TRUE),OR(exact(Metadata!H884,"not collected"),exact(Metadata!H884,"not provided"),exact(Metadata!H884,"restricted access"))),AND(IF(Metadata!H884="",FALSE,ISNUMBER(VALUE(Metadata!H884))),Metadata!H884&gt;=-413.0))</f>
        <v>0</v>
      </c>
      <c r="AU884">
        <f>AND(IF(Metadata!I884="",FALSE,TRUE),exact(Metadata!I884,"meters"))</f>
        <v>0</v>
      </c>
      <c r="AV884">
        <f>AND(IF(Metadata!J884="",FALSE,TRUE),OR(exact(Metadata!J884,"Host-associated"),exact(Metadata!J884,"Free-living")))</f>
        <v>0</v>
      </c>
      <c r="AW884">
        <f>AND(IF(Metadata!K884="",FALSE,TRUE),OR(exact(Metadata!K884,"Animal"),exact(Metadata!K884,"Fungus"),exact(Metadata!K884,"Plant"),exact(Metadata!K884,"Saline"),exact(Metadata!K884,"Non-saline")))</f>
        <v>0</v>
      </c>
      <c r="AX884">
        <f>AND(IF(Metadata!L884="",FALSE,TRUE),OR(exact(Metadata!L884,"Plant secretion"),exact(Metadata!L884,"Plant rhizosphere"),exact(Metadata!L884,"Plant surface"),exact(Metadata!L884,"Plant corpus"),exact(Metadata!L884,"Fungus surface"),exact(Metadata!L884,"Fungus corpus"),exact(Metadata!L884,"Animal surface"),exact(Metadata!L884,"Animal proximal gut"),exact(Metadata!L884,"Animal corpus"),exact(Metadata!L884,"Animal distal gut"),exact(Metadata!L884,"Animal secretion"),exact(Metadata!L884,"Sub-surface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Y884">
        <f>IF(Metadata!M884="",FALSE,TRUE)</f>
        <v>0</v>
      </c>
      <c r="AZ884">
        <f>IF(Metadata!N884="",FALSE,TRUE)</f>
        <v>0</v>
      </c>
      <c r="BA884">
        <f>IF(Metadata!O884="",FALSE,TRUE)</f>
        <v>0</v>
      </c>
      <c r="BB884">
        <f>OR(AND(IF(Metadata!P884="",FALSE,TRUE),OR(exact(Metadata!P884,"not collected"),exact(Metadata!P884,"not provided"),exact(Metadata!P884,"restricted access"))),AND(IF(Metadata!P884="",FALSE,TRUE),OR(exact(Metadata!P884,"air"),exact(Metadata!P884,"built environment"),exact(Metadata!P884,"host-associated"),exact(Metadata!P884,"human-associated"),exact(Metadata!P884,"human-skin"),exact(Metadata!P884,"human-oral"),exact(Metadata!P884,"human-gut"),exact(Metadata!P884,"human-vaginal"),exact(Metadata!P884,"microbial mat/biofilm"),exact(Metadata!P884,"misc environment"),exact(Metadata!P884,"plant-associated"),exact(Metadata!P884,"sediment"),exact(Metadata!P884,"soil"),exact(Metadata!P884,"wastewater/sludge"),exact(Metadata!P884,"water"))))</f>
        <v>0</v>
      </c>
      <c r="BC884">
        <f>IF(Metadata!Q884="",FALSE,TRUE)</f>
        <v>0</v>
      </c>
      <c r="BD884">
        <f>IF(Metadata!R884="",FALSE,TRUE)</f>
        <v>0</v>
      </c>
      <c r="BE884">
        <f>OR(AND(IF(Metadata!S884="",FALSE,TRUE),OR(exact(Metadata!S884,"not collected"),exact(Metadata!S884,"not provided"),exact(Metadata!S884,"restricted access"))),AND(IF(Metadata!S884="",FALSE,ISNUMBER(VALUE(Metadata!S884))),Metadata!S884&gt;=-90.00,Metadata!S884&lt;=90.00))</f>
        <v>0</v>
      </c>
      <c r="BF884">
        <f>AND(IF(Metadata!T884="",FALSE,TRUE),exact(Metadata!T884,"Decimal degrees"))</f>
        <v>0</v>
      </c>
      <c r="BG884">
        <f>OR(AND(IF(Metadata!U884="",FALSE,TRUE),OR(exact(Metadata!U884,"not collected"),exact(Metadata!U884,"not provided"),exact(Metadata!U884,"restricted access"))),AND(IF(Metadata!U884="",FALSE,ISNUMBER(VALUE(Metadata!U884))),Metadata!U884&gt;=-180.00,Metadata!U884&lt;=180.00))</f>
        <v>0</v>
      </c>
      <c r="BH884">
        <f>AND(IF(Metadata!V884="",FALSE,TRUE),exact(Metadata!V884,"Decimal degrees"))</f>
        <v>0</v>
      </c>
      <c r="BI884">
        <f>IF(Metadata!W884="",FALSE,TRUE)</f>
        <v>0</v>
      </c>
      <c r="BJ884">
        <f>OR(AND(IF(Metadata!X884="",FALSE,TRUE),OR(exact(Metadata!X884,"not collected"),exact(Metadata!X884,"not provided"),exact(Metadata!X884,"restricted access"))),AND(IF(Metadata!X884="",FALSE,TRUE),OR(exact(Metadata!X884,"TRUE"),exact(Metadata!X884,"FALSE"))))</f>
        <v>0</v>
      </c>
      <c r="BK884">
        <f>AND(IF(Metadata!Y884="",FALSE,TRUE),exact(Metadata!Y884,"other"))</f>
        <v>0</v>
      </c>
      <c r="BL884">
        <f>IF(Metadata!Z884="",FALSE,TRUE)</f>
        <v>0</v>
      </c>
      <c r="BM884">
        <f>OR(AND(IF(Metadata!AA884="",FALSE,TRUE),OR(exact(Metadata!AA884,"not collected"),exact(Metadata!AA884,"not provided"))),AND(IF(Metadata!AA884="",FALSE,IF(ISERROR(INT(Metadata!AA884)),FALSE,INT(Metadata!AA884)=Metadata!AA884)),Metadata!AA884&gt;0))</f>
        <v>0</v>
      </c>
      <c r="BN884">
        <f>AND(IF(Metadata!AB884="",FALSE,TRUE),exact(Metadata!AB884,"Not applicable"))</f>
        <v>0</v>
      </c>
      <c r="BO884">
        <f>IF(Metadata!AC884="",FALSE,TRUE)</f>
        <v>0</v>
      </c>
    </row>
    <row r="885" spans="1:67">
      <c r="A885" s="5">
        <f>IF(B885=" "," ",HYPERLINK(CONCATENATE("#metadata!",ADDRESS(INDEX($AI$2:$AI$1001,MATCH(ROWS($AG$2:AG885),$AG$2:$AG$1001,0),0),1)),INDEX($AL$2:$AL$1001,MATCH(ROWS($AG$2:AG885),$AG$2:$AG$1001,0),0)))</f>
        <v>0</v>
      </c>
      <c r="B885" s="4">
        <f>IF(OR(INDEX($AH$2:$AH$1001,MATCH(ROWS($AG$2:AG885),$AG$2:$AG$1001,0),1)&gt;=100000,INDEX($AN$1005:$BO$1005,1,MATCH(COLUMNS($AN$1006:AN1006),$AN$1006:$BO$1006,0))&gt;=100000), " ",IF(INDEX($AN$2:$BO$1001,MATCH(ROWS($AG$2:AG885),$AG$2:$AG$1001,0),MATCH(COLUMNS($AN$1006:AN1006),$AN$1006:$BO$1006,0)), HYPERLINK("#",""), HYPERLINK(CONCATENATE("#Metadata!", ADDRESS(INDEX($AI$2:$AI$1001,MATCH(ROWS($AG$2:AG885),$AG$2:$AG$1001,0),0), INDEX($AN$1004:$BO$1004,1,MATCH(COLUMNS($AN$1006:AN1006),$AN$1006:$BO$1006,0)))),"Fix")))</f>
        <v>0</v>
      </c>
      <c r="C885" s="4">
        <f>IF(OR(INDEX($AH$2:$AH$1001,MATCH(ROWS($AG$2:AG885),$AG$2:$AG$1001,0),1)&gt;=100000,INDEX($AN$1005:$BO$1005,1,MATCH(COLUMNS($AN$1006:AO1006),$AN$1006:$BO$1006,0))&gt;=100000), " ",IF(INDEX($AN$2:$BO$1001,MATCH(ROWS($AG$2:AG885),$AG$2:$AG$1001,0),MATCH(COLUMNS($AN$1006:AO1006),$AN$1006:$BO$1006,0)), HYPERLINK("#",""), HYPERLINK(CONCATENATE("#Metadata!", ADDRESS(INDEX($AI$2:$AI$1001,MATCH(ROWS($AG$2:AG885),$AG$2:$AG$1001,0),0), INDEX($AN$1004:$BO$1004,1,MATCH(COLUMNS($AN$1006:AO1006),$AN$1006:$BO$1006,0)))),"Fix")))</f>
        <v>0</v>
      </c>
      <c r="D885" s="4">
        <f>IF(OR(INDEX($AH$2:$AH$1001,MATCH(ROWS($AG$2:AG885),$AG$2:$AG$1001,0),1)&gt;=100000,INDEX($AN$1005:$BO$1005,1,MATCH(COLUMNS($AN$1006:AP1006),$AN$1006:$BO$1006,0))&gt;=100000), " ",IF(INDEX($AN$2:$BO$1001,MATCH(ROWS($AG$2:AG885),$AG$2:$AG$1001,0),MATCH(COLUMNS($AN$1006:AP1006),$AN$1006:$BO$1006,0)), HYPERLINK("#",""), HYPERLINK(CONCATENATE("#Metadata!", ADDRESS(INDEX($AI$2:$AI$1001,MATCH(ROWS($AG$2:AG885),$AG$2:$AG$1001,0),0), INDEX($AN$1004:$BO$1004,1,MATCH(COLUMNS($AN$1006:AP1006),$AN$1006:$BO$1006,0)))),"Fix")))</f>
        <v>0</v>
      </c>
      <c r="E885" s="4">
        <f>IF(OR(INDEX($AH$2:$AH$1001,MATCH(ROWS($AG$2:AG885),$AG$2:$AG$1001,0),1)&gt;=100000,INDEX($AN$1005:$BO$1005,1,MATCH(COLUMNS($AN$1006:AQ1006),$AN$1006:$BO$1006,0))&gt;=100000), " ",IF(INDEX($AN$2:$BO$1001,MATCH(ROWS($AG$2:AG885),$AG$2:$AG$1001,0),MATCH(COLUMNS($AN$1006:AQ1006),$AN$1006:$BO$1006,0)), HYPERLINK("#",""), HYPERLINK(CONCATENATE("#Metadata!", ADDRESS(INDEX($AI$2:$AI$1001,MATCH(ROWS($AG$2:AG885),$AG$2:$AG$1001,0),0), INDEX($AN$1004:$BO$1004,1,MATCH(COLUMNS($AN$1006:AQ1006),$AN$1006:$BO$1006,0)))),"Fix")))</f>
        <v>0</v>
      </c>
      <c r="F885" s="4">
        <f>IF(OR(INDEX($AH$2:$AH$1001,MATCH(ROWS($AG$2:AG885),$AG$2:$AG$1001,0),1)&gt;=100000,INDEX($AN$1005:$BO$1005,1,MATCH(COLUMNS($AN$1006:AR1006),$AN$1006:$BO$1006,0))&gt;=100000), " ",IF(INDEX($AN$2:$BO$1001,MATCH(ROWS($AG$2:AG885),$AG$2:$AG$1001,0),MATCH(COLUMNS($AN$1006:AR1006),$AN$1006:$BO$1006,0)), HYPERLINK("#",""), HYPERLINK(CONCATENATE("#Metadata!", ADDRESS(INDEX($AI$2:$AI$1001,MATCH(ROWS($AG$2:AG885),$AG$2:$AG$1001,0),0), INDEX($AN$1004:$BO$1004,1,MATCH(COLUMNS($AN$1006:AR1006),$AN$1006:$BO$1006,0)))),"Fix")))</f>
        <v>0</v>
      </c>
      <c r="G885" s="4">
        <f>IF(OR(INDEX($AH$2:$AH$1001,MATCH(ROWS($AG$2:AG885),$AG$2:$AG$1001,0),1)&gt;=100000,INDEX($AN$1005:$BO$1005,1,MATCH(COLUMNS($AN$1006:AS1006),$AN$1006:$BO$1006,0))&gt;=100000), " ",IF(INDEX($AN$2:$BO$1001,MATCH(ROWS($AG$2:AG885),$AG$2:$AG$1001,0),MATCH(COLUMNS($AN$1006:AS1006),$AN$1006:$BO$1006,0)), HYPERLINK("#",""), HYPERLINK(CONCATENATE("#Metadata!", ADDRESS(INDEX($AI$2:$AI$1001,MATCH(ROWS($AG$2:AG885),$AG$2:$AG$1001,0),0), INDEX($AN$1004:$BO$1004,1,MATCH(COLUMNS($AN$1006:AS1006),$AN$1006:$BO$1006,0)))),"Fix")))</f>
        <v>0</v>
      </c>
      <c r="H885" s="4">
        <f>IF(OR(INDEX($AH$2:$AH$1001,MATCH(ROWS($AG$2:AG885),$AG$2:$AG$1001,0),1)&gt;=100000,INDEX($AN$1005:$BO$1005,1,MATCH(COLUMNS($AN$1006:AT1006),$AN$1006:$BO$1006,0))&gt;=100000), " ",IF(INDEX($AN$2:$BO$1001,MATCH(ROWS($AG$2:AG885),$AG$2:$AG$1001,0),MATCH(COLUMNS($AN$1006:AT1006),$AN$1006:$BO$1006,0)), HYPERLINK("#",""), HYPERLINK(CONCATENATE("#Metadata!", ADDRESS(INDEX($AI$2:$AI$1001,MATCH(ROWS($AG$2:AG885),$AG$2:$AG$1001,0),0), INDEX($AN$1004:$BO$1004,1,MATCH(COLUMNS($AN$1006:AT1006),$AN$1006:$BO$1006,0)))),"Fix")))</f>
        <v>0</v>
      </c>
      <c r="I885" s="4">
        <f>IF(OR(INDEX($AH$2:$AH$1001,MATCH(ROWS($AG$2:AG885),$AG$2:$AG$1001,0),1)&gt;=100000,INDEX($AN$1005:$BO$1005,1,MATCH(COLUMNS($AN$1006:AU1006),$AN$1006:$BO$1006,0))&gt;=100000), " ",IF(INDEX($AN$2:$BO$1001,MATCH(ROWS($AG$2:AG885),$AG$2:$AG$1001,0),MATCH(COLUMNS($AN$1006:AU1006),$AN$1006:$BO$1006,0)), HYPERLINK("#",""), HYPERLINK(CONCATENATE("#Metadata!", ADDRESS(INDEX($AI$2:$AI$1001,MATCH(ROWS($AG$2:AG885),$AG$2:$AG$1001,0),0), INDEX($AN$1004:$BO$1004,1,MATCH(COLUMNS($AN$1006:AU1006),$AN$1006:$BO$1006,0)))),"Fix")))</f>
        <v>0</v>
      </c>
      <c r="J885" s="4">
        <f>IF(OR(INDEX($AH$2:$AH$1001,MATCH(ROWS($AG$2:AG885),$AG$2:$AG$1001,0),1)&gt;=100000,INDEX($AN$1005:$BO$1005,1,MATCH(COLUMNS($AN$1006:AV1006),$AN$1006:$BO$1006,0))&gt;=100000), " ",IF(INDEX($AN$2:$BO$1001,MATCH(ROWS($AG$2:AG885),$AG$2:$AG$1001,0),MATCH(COLUMNS($AN$1006:AV1006),$AN$1006:$BO$1006,0)), HYPERLINK("#",""), HYPERLINK(CONCATENATE("#Metadata!", ADDRESS(INDEX($AI$2:$AI$1001,MATCH(ROWS($AG$2:AG885),$AG$2:$AG$1001,0),0), INDEX($AN$1004:$BO$1004,1,MATCH(COLUMNS($AN$1006:AV1006),$AN$1006:$BO$1006,0)))),"Fix")))</f>
        <v>0</v>
      </c>
      <c r="K885" s="4">
        <f>IF(OR(INDEX($AH$2:$AH$1001,MATCH(ROWS($AG$2:AG885),$AG$2:$AG$1001,0),1)&gt;=100000,INDEX($AN$1005:$BO$1005,1,MATCH(COLUMNS($AN$1006:AW1006),$AN$1006:$BO$1006,0))&gt;=100000), " ",IF(INDEX($AN$2:$BO$1001,MATCH(ROWS($AG$2:AG885),$AG$2:$AG$1001,0),MATCH(COLUMNS($AN$1006:AW1006),$AN$1006:$BO$1006,0)), HYPERLINK("#",""), HYPERLINK(CONCATENATE("#Metadata!", ADDRESS(INDEX($AI$2:$AI$1001,MATCH(ROWS($AG$2:AG885),$AG$2:$AG$1001,0),0), INDEX($AN$1004:$BO$1004,1,MATCH(COLUMNS($AN$1006:AW1006),$AN$1006:$BO$1006,0)))),"Fix")))</f>
        <v>0</v>
      </c>
      <c r="L885" s="4">
        <f>IF(OR(INDEX($AH$2:$AH$1001,MATCH(ROWS($AG$2:AG885),$AG$2:$AG$1001,0),1)&gt;=100000,INDEX($AN$1005:$BO$1005,1,MATCH(COLUMNS($AN$1006:AX1006),$AN$1006:$BO$1006,0))&gt;=100000), " ",IF(INDEX($AN$2:$BO$1001,MATCH(ROWS($AG$2:AG885),$AG$2:$AG$1001,0),MATCH(COLUMNS($AN$1006:AX1006),$AN$1006:$BO$1006,0)), HYPERLINK("#",""), HYPERLINK(CONCATENATE("#Metadata!", ADDRESS(INDEX($AI$2:$AI$1001,MATCH(ROWS($AG$2:AG885),$AG$2:$AG$1001,0),0), INDEX($AN$1004:$BO$1004,1,MATCH(COLUMNS($AN$1006:AX1006),$AN$1006:$BO$1006,0)))),"Fix")))</f>
        <v>0</v>
      </c>
      <c r="M885" s="4">
        <f>IF(OR(INDEX($AH$2:$AH$1001,MATCH(ROWS($AG$2:AG885),$AG$2:$AG$1001,0),1)&gt;=100000,INDEX($AN$1005:$BO$1005,1,MATCH(COLUMNS($AN$1006:AY1006),$AN$1006:$BO$1006,0))&gt;=100000), " ",IF(INDEX($AN$2:$BO$1001,MATCH(ROWS($AG$2:AG885),$AG$2:$AG$1001,0),MATCH(COLUMNS($AN$1006:AY1006),$AN$1006:$BO$1006,0)), HYPERLINK("#",""), HYPERLINK(CONCATENATE("#Metadata!", ADDRESS(INDEX($AI$2:$AI$1001,MATCH(ROWS($AG$2:AG885),$AG$2:$AG$1001,0),0), INDEX($AN$1004:$BO$1004,1,MATCH(COLUMNS($AN$1006:AY1006),$AN$1006:$BO$1006,0)))),"Fix")))</f>
        <v>0</v>
      </c>
      <c r="N885" s="4">
        <f>IF(OR(INDEX($AH$2:$AH$1001,MATCH(ROWS($AG$2:AG885),$AG$2:$AG$1001,0),1)&gt;=100000,INDEX($AN$1005:$BO$1005,1,MATCH(COLUMNS($AN$1006:AZ1006),$AN$1006:$BO$1006,0))&gt;=100000), " ",IF(INDEX($AN$2:$BO$1001,MATCH(ROWS($AG$2:AG885),$AG$2:$AG$1001,0),MATCH(COLUMNS($AN$1006:AZ1006),$AN$1006:$BO$1006,0)), HYPERLINK("#",""), HYPERLINK(CONCATENATE("#Metadata!", ADDRESS(INDEX($AI$2:$AI$1001,MATCH(ROWS($AG$2:AG885),$AG$2:$AG$1001,0),0), INDEX($AN$1004:$BO$1004,1,MATCH(COLUMNS($AN$1006:AZ1006),$AN$1006:$BO$1006,0)))),"Fix")))</f>
        <v>0</v>
      </c>
      <c r="O885" s="4">
        <f>IF(OR(INDEX($AH$2:$AH$1001,MATCH(ROWS($AG$2:AG885),$AG$2:$AG$1001,0),1)&gt;=100000,INDEX($AN$1005:$BO$1005,1,MATCH(COLUMNS($AN$1006:BA1006),$AN$1006:$BO$1006,0))&gt;=100000), " ",IF(INDEX($AN$2:$BO$1001,MATCH(ROWS($AG$2:AG885),$AG$2:$AG$1001,0),MATCH(COLUMNS($AN$1006:BA1006),$AN$1006:$BO$1006,0)), HYPERLINK("#",""), HYPERLINK(CONCATENATE("#Metadata!", ADDRESS(INDEX($AI$2:$AI$1001,MATCH(ROWS($AG$2:AG885),$AG$2:$AG$1001,0),0), INDEX($AN$1004:$BO$1004,1,MATCH(COLUMNS($AN$1006:BA1006),$AN$1006:$BO$1006,0)))),"Fix")))</f>
        <v>0</v>
      </c>
      <c r="P885" s="4">
        <f>IF(OR(INDEX($AH$2:$AH$1001,MATCH(ROWS($AG$2:AG885),$AG$2:$AG$1001,0),1)&gt;=100000,INDEX($AN$1005:$BO$1005,1,MATCH(COLUMNS($AN$1006:BB1006),$AN$1006:$BO$1006,0))&gt;=100000), " ",IF(INDEX($AN$2:$BO$1001,MATCH(ROWS($AG$2:AG885),$AG$2:$AG$1001,0),MATCH(COLUMNS($AN$1006:BB1006),$AN$1006:$BO$1006,0)), HYPERLINK("#",""), HYPERLINK(CONCATENATE("#Metadata!", ADDRESS(INDEX($AI$2:$AI$1001,MATCH(ROWS($AG$2:AG885),$AG$2:$AG$1001,0),0), INDEX($AN$1004:$BO$1004,1,MATCH(COLUMNS($AN$1006:BB1006),$AN$1006:$BO$1006,0)))),"Fix")))</f>
        <v>0</v>
      </c>
      <c r="Q885" s="4">
        <f>IF(OR(INDEX($AH$2:$AH$1001,MATCH(ROWS($AG$2:AG885),$AG$2:$AG$1001,0),1)&gt;=100000,INDEX($AN$1005:$BO$1005,1,MATCH(COLUMNS($AN$1006:BC1006),$AN$1006:$BO$1006,0))&gt;=100000), " ",IF(INDEX($AN$2:$BO$1001,MATCH(ROWS($AG$2:AG885),$AG$2:$AG$1001,0),MATCH(COLUMNS($AN$1006:BC1006),$AN$1006:$BO$1006,0)), HYPERLINK("#",""), HYPERLINK(CONCATENATE("#Metadata!", ADDRESS(INDEX($AI$2:$AI$1001,MATCH(ROWS($AG$2:AG885),$AG$2:$AG$1001,0),0), INDEX($AN$1004:$BO$1004,1,MATCH(COLUMNS($AN$1006:BC1006),$AN$1006:$BO$1006,0)))),"Fix")))</f>
        <v>0</v>
      </c>
      <c r="R885" s="4">
        <f>IF(OR(INDEX($AH$2:$AH$1001,MATCH(ROWS($AG$2:AG885),$AG$2:$AG$1001,0),1)&gt;=100000,INDEX($AN$1005:$BO$1005,1,MATCH(COLUMNS($AN$1006:BD1006),$AN$1006:$BO$1006,0))&gt;=100000), " ",IF(INDEX($AN$2:$BO$1001,MATCH(ROWS($AG$2:AG885),$AG$2:$AG$1001,0),MATCH(COLUMNS($AN$1006:BD1006),$AN$1006:$BO$1006,0)), HYPERLINK("#",""), HYPERLINK(CONCATENATE("#Metadata!", ADDRESS(INDEX($AI$2:$AI$1001,MATCH(ROWS($AG$2:AG885),$AG$2:$AG$1001,0),0), INDEX($AN$1004:$BO$1004,1,MATCH(COLUMNS($AN$1006:BD1006),$AN$1006:$BO$1006,0)))),"Fix")))</f>
        <v>0</v>
      </c>
      <c r="S885" s="4">
        <f>IF(OR(INDEX($AH$2:$AH$1001,MATCH(ROWS($AG$2:AG885),$AG$2:$AG$1001,0),1)&gt;=100000,INDEX($AN$1005:$BO$1005,1,MATCH(COLUMNS($AN$1006:BE1006),$AN$1006:$BO$1006,0))&gt;=100000), " ",IF(INDEX($AN$2:$BO$1001,MATCH(ROWS($AG$2:AG885),$AG$2:$AG$1001,0),MATCH(COLUMNS($AN$1006:BE1006),$AN$1006:$BO$1006,0)), HYPERLINK("#",""), HYPERLINK(CONCATENATE("#Metadata!", ADDRESS(INDEX($AI$2:$AI$1001,MATCH(ROWS($AG$2:AG885),$AG$2:$AG$1001,0),0), INDEX($AN$1004:$BO$1004,1,MATCH(COLUMNS($AN$1006:BE1006),$AN$1006:$BO$1006,0)))),"Fix")))</f>
        <v>0</v>
      </c>
      <c r="T885" s="4">
        <f>IF(OR(INDEX($AH$2:$AH$1001,MATCH(ROWS($AG$2:AG885),$AG$2:$AG$1001,0),1)&gt;=100000,INDEX($AN$1005:$BO$1005,1,MATCH(COLUMNS($AN$1006:BF1006),$AN$1006:$BO$1006,0))&gt;=100000), " ",IF(INDEX($AN$2:$BO$1001,MATCH(ROWS($AG$2:AG885),$AG$2:$AG$1001,0),MATCH(COLUMNS($AN$1006:BF1006),$AN$1006:$BO$1006,0)), HYPERLINK("#",""), HYPERLINK(CONCATENATE("#Metadata!", ADDRESS(INDEX($AI$2:$AI$1001,MATCH(ROWS($AG$2:AG885),$AG$2:$AG$1001,0),0), INDEX($AN$1004:$BO$1004,1,MATCH(COLUMNS($AN$1006:BF1006),$AN$1006:$BO$1006,0)))),"Fix")))</f>
        <v>0</v>
      </c>
      <c r="U885" s="4">
        <f>IF(OR(INDEX($AH$2:$AH$1001,MATCH(ROWS($AG$2:AG885),$AG$2:$AG$1001,0),1)&gt;=100000,INDEX($AN$1005:$BO$1005,1,MATCH(COLUMNS($AN$1006:BG1006),$AN$1006:$BO$1006,0))&gt;=100000), " ",IF(INDEX($AN$2:$BO$1001,MATCH(ROWS($AG$2:AG885),$AG$2:$AG$1001,0),MATCH(COLUMNS($AN$1006:BG1006),$AN$1006:$BO$1006,0)), HYPERLINK("#",""), HYPERLINK(CONCATENATE("#Metadata!", ADDRESS(INDEX($AI$2:$AI$1001,MATCH(ROWS($AG$2:AG885),$AG$2:$AG$1001,0),0), INDEX($AN$1004:$BO$1004,1,MATCH(COLUMNS($AN$1006:BG1006),$AN$1006:$BO$1006,0)))),"Fix")))</f>
        <v>0</v>
      </c>
      <c r="V885" s="4">
        <f>IF(OR(INDEX($AH$2:$AH$1001,MATCH(ROWS($AG$2:AG885),$AG$2:$AG$1001,0),1)&gt;=100000,INDEX($AN$1005:$BO$1005,1,MATCH(COLUMNS($AN$1006:BH1006),$AN$1006:$BO$1006,0))&gt;=100000), " ",IF(INDEX($AN$2:$BO$1001,MATCH(ROWS($AG$2:AG885),$AG$2:$AG$1001,0),MATCH(COLUMNS($AN$1006:BH1006),$AN$1006:$BO$1006,0)), HYPERLINK("#",""), HYPERLINK(CONCATENATE("#Metadata!", ADDRESS(INDEX($AI$2:$AI$1001,MATCH(ROWS($AG$2:AG885),$AG$2:$AG$1001,0),0), INDEX($AN$1004:$BO$1004,1,MATCH(COLUMNS($AN$1006:BH1006),$AN$1006:$BO$1006,0)))),"Fix")))</f>
        <v>0</v>
      </c>
      <c r="W885" s="4">
        <f>IF(OR(INDEX($AH$2:$AH$1001,MATCH(ROWS($AG$2:AG885),$AG$2:$AG$1001,0),1)&gt;=100000,INDEX($AN$1005:$BO$1005,1,MATCH(COLUMNS($AN$1006:BI1006),$AN$1006:$BO$1006,0))&gt;=100000), " ",IF(INDEX($AN$2:$BO$1001,MATCH(ROWS($AG$2:AG885),$AG$2:$AG$1001,0),MATCH(COLUMNS($AN$1006:BI1006),$AN$1006:$BO$1006,0)), HYPERLINK("#",""), HYPERLINK(CONCATENATE("#Metadata!", ADDRESS(INDEX($AI$2:$AI$1001,MATCH(ROWS($AG$2:AG885),$AG$2:$AG$1001,0),0), INDEX($AN$1004:$BO$1004,1,MATCH(COLUMNS($AN$1006:BI1006),$AN$1006:$BO$1006,0)))),"Fix")))</f>
        <v>0</v>
      </c>
      <c r="X885" s="4">
        <f>IF(OR(INDEX($AH$2:$AH$1001,MATCH(ROWS($AG$2:AG885),$AG$2:$AG$1001,0),1)&gt;=100000,INDEX($AN$1005:$BO$1005,1,MATCH(COLUMNS($AN$1006:BJ1006),$AN$1006:$BO$1006,0))&gt;=100000), " ",IF(INDEX($AN$2:$BO$1001,MATCH(ROWS($AG$2:AG885),$AG$2:$AG$1001,0),MATCH(COLUMNS($AN$1006:BJ1006),$AN$1006:$BO$1006,0)), HYPERLINK("#",""), HYPERLINK(CONCATENATE("#Metadata!", ADDRESS(INDEX($AI$2:$AI$1001,MATCH(ROWS($AG$2:AG885),$AG$2:$AG$1001,0),0), INDEX($AN$1004:$BO$1004,1,MATCH(COLUMNS($AN$1006:BJ1006),$AN$1006:$BO$1006,0)))),"Fix")))</f>
        <v>0</v>
      </c>
      <c r="Y885" s="4">
        <f>IF(OR(INDEX($AH$2:$AH$1001,MATCH(ROWS($AG$2:AG885),$AG$2:$AG$1001,0),1)&gt;=100000,INDEX($AN$1005:$BO$1005,1,MATCH(COLUMNS($AN$1006:BK1006),$AN$1006:$BO$1006,0))&gt;=100000), " ",IF(INDEX($AN$2:$BO$1001,MATCH(ROWS($AG$2:AG885),$AG$2:$AG$1001,0),MATCH(COLUMNS($AN$1006:BK1006),$AN$1006:$BO$1006,0)), HYPERLINK("#",""), HYPERLINK(CONCATENATE("#Metadata!", ADDRESS(INDEX($AI$2:$AI$1001,MATCH(ROWS($AG$2:AG885),$AG$2:$AG$1001,0),0), INDEX($AN$1004:$BO$1004,1,MATCH(COLUMNS($AN$1006:BK1006),$AN$1006:$BO$1006,0)))),"Fix")))</f>
        <v>0</v>
      </c>
      <c r="Z885" s="4">
        <f>IF(OR(INDEX($AH$2:$AH$1001,MATCH(ROWS($AG$2:AG885),$AG$2:$AG$1001,0),1)&gt;=100000,INDEX($AN$1005:$BO$1005,1,MATCH(COLUMNS($AN$1006:BL1006),$AN$1006:$BO$1006,0))&gt;=100000), " ",IF(INDEX($AN$2:$BO$1001,MATCH(ROWS($AG$2:AG885),$AG$2:$AG$1001,0),MATCH(COLUMNS($AN$1006:BL1006),$AN$1006:$BO$1006,0)), HYPERLINK("#",""), HYPERLINK(CONCATENATE("#Metadata!", ADDRESS(INDEX($AI$2:$AI$1001,MATCH(ROWS($AG$2:AG885),$AG$2:$AG$1001,0),0), INDEX($AN$1004:$BO$1004,1,MATCH(COLUMNS($AN$1006:BL1006),$AN$1006:$BO$1006,0)))),"Fix")))</f>
        <v>0</v>
      </c>
      <c r="AA885" s="4">
        <f>IF(OR(INDEX($AH$2:$AH$1001,MATCH(ROWS($AG$2:AG885),$AG$2:$AG$1001,0),1)&gt;=100000,INDEX($AN$1005:$BO$1005,1,MATCH(COLUMNS($AN$1006:BM1006),$AN$1006:$BO$1006,0))&gt;=100000), " ",IF(INDEX($AN$2:$BO$1001,MATCH(ROWS($AG$2:AG885),$AG$2:$AG$1001,0),MATCH(COLUMNS($AN$1006:BM1006),$AN$1006:$BO$1006,0)), HYPERLINK("#",""), HYPERLINK(CONCATENATE("#Metadata!", ADDRESS(INDEX($AI$2:$AI$1001,MATCH(ROWS($AG$2:AG885),$AG$2:$AG$1001,0),0), INDEX($AN$1004:$BO$1004,1,MATCH(COLUMNS($AN$1006:BM1006),$AN$1006:$BO$1006,0)))),"Fix")))</f>
        <v>0</v>
      </c>
      <c r="AB885" s="4">
        <f>IF(OR(INDEX($AH$2:$AH$1001,MATCH(ROWS($AG$2:AG885),$AG$2:$AG$1001,0),1)&gt;=100000,INDEX($AN$1005:$BO$1005,1,MATCH(COLUMNS($AN$1006:BN1006),$AN$1006:$BO$1006,0))&gt;=100000), " ",IF(INDEX($AN$2:$BO$1001,MATCH(ROWS($AG$2:AG885),$AG$2:$AG$1001,0),MATCH(COLUMNS($AN$1006:BN1006),$AN$1006:$BO$1006,0)), HYPERLINK("#",""), HYPERLINK(CONCATENATE("#Metadata!", ADDRESS(INDEX($AI$2:$AI$1001,MATCH(ROWS($AG$2:AG885),$AG$2:$AG$1001,0),0), INDEX($AN$1004:$BO$1004,1,MATCH(COLUMNS($AN$1006:BN1006),$AN$1006:$BO$1006,0)))),"Fix")))</f>
        <v>0</v>
      </c>
      <c r="AC885" s="4">
        <f>IF(OR(INDEX($AH$2:$AH$1001,MATCH(ROWS($AG$2:AG885),$AG$2:$AG$1001,0),1)&gt;=100000,INDEX($AN$1005:$BO$1005,1,MATCH(COLUMNS($AN$1006:BO1006),$AN$1006:$BO$1006,0))&gt;=100000), " ",IF(INDEX($AN$2:$BO$1001,MATCH(ROWS($AG$2:AG885),$AG$2:$AG$1001,0),MATCH(COLUMNS($AN$1006:BO1006),$AN$1006:$BO$1006,0)), HYPERLINK("#",""), HYPERLINK(CONCATENATE("#Metadata!", ADDRESS(INDEX($AI$2:$AI$1001,MATCH(ROWS($AG$2:AG885),$AG$2:$AG$1001,0),0), INDEX($AN$1004:$BO$1004,1,MATCH(COLUMNS($AN$1006:BO1006),$AN$1006:$BO$1006,0)))),"Fix")))</f>
        <v>0</v>
      </c>
      <c r="AG885">
        <v>0</v>
      </c>
      <c r="AH885">
        <v>0</v>
      </c>
      <c r="AI885">
        <v>0</v>
      </c>
      <c r="AJ885">
        <f>IF(AK885,TRUE,AND(AN885:BO885))</f>
        <v>0</v>
      </c>
      <c r="AK885">
        <f>COUNTBLANK(Metadata!B885:AC885)=COLUMNS(Metadata!B885:AC885)</f>
        <v>0</v>
      </c>
      <c r="AL885">
        <v>0</v>
      </c>
      <c r="AN885">
        <f>AND(IF(Metadata!B885="",FALSE,TRUE),COUNTIF(Metadata!B:B, Metadata!B885) = 1,NOT(ISERROR(SUMPRODUCT(SEARCH(MID(Metadata!B885,ROW(INDIRECT("1:"&amp;LEN(Metadata!B885))), 1),"0123456789abcdefghijklmnopqrstuvwxyzABCDEFGHIJKLMNOPQRSTUVWXYZ.")))))</f>
        <v>0</v>
      </c>
      <c r="AO885">
        <f>IF(Metadata!C885="",FALSE,TRUE)</f>
        <v>0</v>
      </c>
      <c r="AP885">
        <f>IF(Metadata!D885="",FALSE,TRUE)</f>
        <v>0</v>
      </c>
      <c r="AQ885">
        <f>OR(AND(IF(Metadata!E885="",FALSE,TRUE),OR(exact(Metadata!E885,"not collected"),exact(Metadata!E885,"not provided"),exact(Metadata!E885,"restricted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R885">
        <f>IF(Metadata!F885="",FALSE,TRUE)</f>
        <v>0</v>
      </c>
      <c r="AS885">
        <f>OR(AND(IF(Metadata!G885="",FALSE,TRUE),OR(exact(Metadata!G885,"not collected"),exact(Metadata!G885,"not provided"))),AND(IF(Metadata!G885="",FALSE,TRUE),OR(exact(Metadata!G885,"TRUE"),exact(Metadata!G885,"FALSE"))))</f>
        <v>0</v>
      </c>
      <c r="AT885">
        <f>OR(AND(IF(Metadata!H885="",FALSE,TRUE),OR(exact(Metadata!H885,"not collected"),exact(Metadata!H885,"not provided"),exact(Metadata!H885,"restricted access"))),AND(IF(Metadata!H885="",FALSE,ISNUMBER(VALUE(Metadata!H885))),Metadata!H885&gt;=-413.0))</f>
        <v>0</v>
      </c>
      <c r="AU885">
        <f>AND(IF(Metadata!I885="",FALSE,TRUE),exact(Metadata!I885,"meters"))</f>
        <v>0</v>
      </c>
      <c r="AV885">
        <f>AND(IF(Metadata!J885="",FALSE,TRUE),OR(exact(Metadata!J885,"Host-associated"),exact(Metadata!J885,"Free-living")))</f>
        <v>0</v>
      </c>
      <c r="AW885">
        <f>AND(IF(Metadata!K885="",FALSE,TRUE),OR(exact(Metadata!K885,"Animal"),exact(Metadata!K885,"Fungus"),exact(Metadata!K885,"Plant"),exact(Metadata!K885,"Saline"),exact(Metadata!K885,"Non-saline")))</f>
        <v>0</v>
      </c>
      <c r="AX885">
        <f>AND(IF(Metadata!L885="",FALSE,TRUE),OR(exact(Metadata!L885,"Plant secretion"),exact(Metadata!L885,"Plant rhizosphere"),exact(Metadata!L885,"Plant surface"),exact(Metadata!L885,"Plant corpus"),exact(Metadata!L885,"Fungus surface"),exact(Metadata!L885,"Fungus corpus"),exact(Metadata!L885,"Animal surface"),exact(Metadata!L885,"Animal proximal gut"),exact(Metadata!L885,"Animal corpus"),exact(Metadata!L885,"Animal distal gut"),exact(Metadata!L885,"Animal secretion"),exact(Metadata!L885,"Sub-surface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Y885">
        <f>IF(Metadata!M885="",FALSE,TRUE)</f>
        <v>0</v>
      </c>
      <c r="AZ885">
        <f>IF(Metadata!N885="",FALSE,TRUE)</f>
        <v>0</v>
      </c>
      <c r="BA885">
        <f>IF(Metadata!O885="",FALSE,TRUE)</f>
        <v>0</v>
      </c>
      <c r="BB885">
        <f>OR(AND(IF(Metadata!P885="",FALSE,TRUE),OR(exact(Metadata!P885,"not collected"),exact(Metadata!P885,"not provided"),exact(Metadata!P885,"restricted access"))),AND(IF(Metadata!P885="",FALSE,TRUE),OR(exact(Metadata!P885,"air"),exact(Metadata!P885,"built environment"),exact(Metadata!P885,"host-associated"),exact(Metadata!P885,"human-associated"),exact(Metadata!P885,"human-skin"),exact(Metadata!P885,"human-oral"),exact(Metadata!P885,"human-gut"),exact(Metadata!P885,"human-vaginal"),exact(Metadata!P885,"microbial mat/biofilm"),exact(Metadata!P885,"misc environment"),exact(Metadata!P885,"plant-associated"),exact(Metadata!P885,"sediment"),exact(Metadata!P885,"soil"),exact(Metadata!P885,"wastewater/sludge"),exact(Metadata!P885,"water"))))</f>
        <v>0</v>
      </c>
      <c r="BC885">
        <f>IF(Metadata!Q885="",FALSE,TRUE)</f>
        <v>0</v>
      </c>
      <c r="BD885">
        <f>IF(Metadata!R885="",FALSE,TRUE)</f>
        <v>0</v>
      </c>
      <c r="BE885">
        <f>OR(AND(IF(Metadata!S885="",FALSE,TRUE),OR(exact(Metadata!S885,"not collected"),exact(Metadata!S885,"not provided"),exact(Metadata!S885,"restricted access"))),AND(IF(Metadata!S885="",FALSE,ISNUMBER(VALUE(Metadata!S885))),Metadata!S885&gt;=-90.00,Metadata!S885&lt;=90.00))</f>
        <v>0</v>
      </c>
      <c r="BF885">
        <f>AND(IF(Metadata!T885="",FALSE,TRUE),exact(Metadata!T885,"Decimal degrees"))</f>
        <v>0</v>
      </c>
      <c r="BG885">
        <f>OR(AND(IF(Metadata!U885="",FALSE,TRUE),OR(exact(Metadata!U885,"not collected"),exact(Metadata!U885,"not provided"),exact(Metadata!U885,"restricted access"))),AND(IF(Metadata!U885="",FALSE,ISNUMBER(VALUE(Metadata!U885))),Metadata!U885&gt;=-180.00,Metadata!U885&lt;=180.00))</f>
        <v>0</v>
      </c>
      <c r="BH885">
        <f>AND(IF(Metadata!V885="",FALSE,TRUE),exact(Metadata!V885,"Decimal degrees"))</f>
        <v>0</v>
      </c>
      <c r="BI885">
        <f>IF(Metadata!W885="",FALSE,TRUE)</f>
        <v>0</v>
      </c>
      <c r="BJ885">
        <f>OR(AND(IF(Metadata!X885="",FALSE,TRUE),OR(exact(Metadata!X885,"not collected"),exact(Metadata!X885,"not provided"),exact(Metadata!X885,"restricted access"))),AND(IF(Metadata!X885="",FALSE,TRUE),OR(exact(Metadata!X885,"TRUE"),exact(Metadata!X885,"FALSE"))))</f>
        <v>0</v>
      </c>
      <c r="BK885">
        <f>AND(IF(Metadata!Y885="",FALSE,TRUE),exact(Metadata!Y885,"other"))</f>
        <v>0</v>
      </c>
      <c r="BL885">
        <f>IF(Metadata!Z885="",FALSE,TRUE)</f>
        <v>0</v>
      </c>
      <c r="BM885">
        <f>OR(AND(IF(Metadata!AA885="",FALSE,TRUE),OR(exact(Metadata!AA885,"not collected"),exact(Metadata!AA885,"not provided"))),AND(IF(Metadata!AA885="",FALSE,IF(ISERROR(INT(Metadata!AA885)),FALSE,INT(Metadata!AA885)=Metadata!AA885)),Metadata!AA885&gt;0))</f>
        <v>0</v>
      </c>
      <c r="BN885">
        <f>AND(IF(Metadata!AB885="",FALSE,TRUE),exact(Metadata!AB885,"Not applicable"))</f>
        <v>0</v>
      </c>
      <c r="BO885">
        <f>IF(Metadata!AC885="",FALSE,TRUE)</f>
        <v>0</v>
      </c>
    </row>
    <row r="886" spans="1:67">
      <c r="A886" s="5">
        <f>IF(B886=" "," ",HYPERLINK(CONCATENATE("#metadata!",ADDRESS(INDEX($AI$2:$AI$1001,MATCH(ROWS($AG$2:AG886),$AG$2:$AG$1001,0),0),1)),INDEX($AL$2:$AL$1001,MATCH(ROWS($AG$2:AG886),$AG$2:$AG$1001,0),0)))</f>
        <v>0</v>
      </c>
      <c r="B886" s="4">
        <f>IF(OR(INDEX($AH$2:$AH$1001,MATCH(ROWS($AG$2:AG886),$AG$2:$AG$1001,0),1)&gt;=100000,INDEX($AN$1005:$BO$1005,1,MATCH(COLUMNS($AN$1006:AN1006),$AN$1006:$BO$1006,0))&gt;=100000), " ",IF(INDEX($AN$2:$BO$1001,MATCH(ROWS($AG$2:AG886),$AG$2:$AG$1001,0),MATCH(COLUMNS($AN$1006:AN1006),$AN$1006:$BO$1006,0)), HYPERLINK("#",""), HYPERLINK(CONCATENATE("#Metadata!", ADDRESS(INDEX($AI$2:$AI$1001,MATCH(ROWS($AG$2:AG886),$AG$2:$AG$1001,0),0), INDEX($AN$1004:$BO$1004,1,MATCH(COLUMNS($AN$1006:AN1006),$AN$1006:$BO$1006,0)))),"Fix")))</f>
        <v>0</v>
      </c>
      <c r="C886" s="4">
        <f>IF(OR(INDEX($AH$2:$AH$1001,MATCH(ROWS($AG$2:AG886),$AG$2:$AG$1001,0),1)&gt;=100000,INDEX($AN$1005:$BO$1005,1,MATCH(COLUMNS($AN$1006:AO1006),$AN$1006:$BO$1006,0))&gt;=100000), " ",IF(INDEX($AN$2:$BO$1001,MATCH(ROWS($AG$2:AG886),$AG$2:$AG$1001,0),MATCH(COLUMNS($AN$1006:AO1006),$AN$1006:$BO$1006,0)), HYPERLINK("#",""), HYPERLINK(CONCATENATE("#Metadata!", ADDRESS(INDEX($AI$2:$AI$1001,MATCH(ROWS($AG$2:AG886),$AG$2:$AG$1001,0),0), INDEX($AN$1004:$BO$1004,1,MATCH(COLUMNS($AN$1006:AO1006),$AN$1006:$BO$1006,0)))),"Fix")))</f>
        <v>0</v>
      </c>
      <c r="D886" s="4">
        <f>IF(OR(INDEX($AH$2:$AH$1001,MATCH(ROWS($AG$2:AG886),$AG$2:$AG$1001,0),1)&gt;=100000,INDEX($AN$1005:$BO$1005,1,MATCH(COLUMNS($AN$1006:AP1006),$AN$1006:$BO$1006,0))&gt;=100000), " ",IF(INDEX($AN$2:$BO$1001,MATCH(ROWS($AG$2:AG886),$AG$2:$AG$1001,0),MATCH(COLUMNS($AN$1006:AP1006),$AN$1006:$BO$1006,0)), HYPERLINK("#",""), HYPERLINK(CONCATENATE("#Metadata!", ADDRESS(INDEX($AI$2:$AI$1001,MATCH(ROWS($AG$2:AG886),$AG$2:$AG$1001,0),0), INDEX($AN$1004:$BO$1004,1,MATCH(COLUMNS($AN$1006:AP1006),$AN$1006:$BO$1006,0)))),"Fix")))</f>
        <v>0</v>
      </c>
      <c r="E886" s="4">
        <f>IF(OR(INDEX($AH$2:$AH$1001,MATCH(ROWS($AG$2:AG886),$AG$2:$AG$1001,0),1)&gt;=100000,INDEX($AN$1005:$BO$1005,1,MATCH(COLUMNS($AN$1006:AQ1006),$AN$1006:$BO$1006,0))&gt;=100000), " ",IF(INDEX($AN$2:$BO$1001,MATCH(ROWS($AG$2:AG886),$AG$2:$AG$1001,0),MATCH(COLUMNS($AN$1006:AQ1006),$AN$1006:$BO$1006,0)), HYPERLINK("#",""), HYPERLINK(CONCATENATE("#Metadata!", ADDRESS(INDEX($AI$2:$AI$1001,MATCH(ROWS($AG$2:AG886),$AG$2:$AG$1001,0),0), INDEX($AN$1004:$BO$1004,1,MATCH(COLUMNS($AN$1006:AQ1006),$AN$1006:$BO$1006,0)))),"Fix")))</f>
        <v>0</v>
      </c>
      <c r="F886" s="4">
        <f>IF(OR(INDEX($AH$2:$AH$1001,MATCH(ROWS($AG$2:AG886),$AG$2:$AG$1001,0),1)&gt;=100000,INDEX($AN$1005:$BO$1005,1,MATCH(COLUMNS($AN$1006:AR1006),$AN$1006:$BO$1006,0))&gt;=100000), " ",IF(INDEX($AN$2:$BO$1001,MATCH(ROWS($AG$2:AG886),$AG$2:$AG$1001,0),MATCH(COLUMNS($AN$1006:AR1006),$AN$1006:$BO$1006,0)), HYPERLINK("#",""), HYPERLINK(CONCATENATE("#Metadata!", ADDRESS(INDEX($AI$2:$AI$1001,MATCH(ROWS($AG$2:AG886),$AG$2:$AG$1001,0),0), INDEX($AN$1004:$BO$1004,1,MATCH(COLUMNS($AN$1006:AR1006),$AN$1006:$BO$1006,0)))),"Fix")))</f>
        <v>0</v>
      </c>
      <c r="G886" s="4">
        <f>IF(OR(INDEX($AH$2:$AH$1001,MATCH(ROWS($AG$2:AG886),$AG$2:$AG$1001,0),1)&gt;=100000,INDEX($AN$1005:$BO$1005,1,MATCH(COLUMNS($AN$1006:AS1006),$AN$1006:$BO$1006,0))&gt;=100000), " ",IF(INDEX($AN$2:$BO$1001,MATCH(ROWS($AG$2:AG886),$AG$2:$AG$1001,0),MATCH(COLUMNS($AN$1006:AS1006),$AN$1006:$BO$1006,0)), HYPERLINK("#",""), HYPERLINK(CONCATENATE("#Metadata!", ADDRESS(INDEX($AI$2:$AI$1001,MATCH(ROWS($AG$2:AG886),$AG$2:$AG$1001,0),0), INDEX($AN$1004:$BO$1004,1,MATCH(COLUMNS($AN$1006:AS1006),$AN$1006:$BO$1006,0)))),"Fix")))</f>
        <v>0</v>
      </c>
      <c r="H886" s="4">
        <f>IF(OR(INDEX($AH$2:$AH$1001,MATCH(ROWS($AG$2:AG886),$AG$2:$AG$1001,0),1)&gt;=100000,INDEX($AN$1005:$BO$1005,1,MATCH(COLUMNS($AN$1006:AT1006),$AN$1006:$BO$1006,0))&gt;=100000), " ",IF(INDEX($AN$2:$BO$1001,MATCH(ROWS($AG$2:AG886),$AG$2:$AG$1001,0),MATCH(COLUMNS($AN$1006:AT1006),$AN$1006:$BO$1006,0)), HYPERLINK("#",""), HYPERLINK(CONCATENATE("#Metadata!", ADDRESS(INDEX($AI$2:$AI$1001,MATCH(ROWS($AG$2:AG886),$AG$2:$AG$1001,0),0), INDEX($AN$1004:$BO$1004,1,MATCH(COLUMNS($AN$1006:AT1006),$AN$1006:$BO$1006,0)))),"Fix")))</f>
        <v>0</v>
      </c>
      <c r="I886" s="4">
        <f>IF(OR(INDEX($AH$2:$AH$1001,MATCH(ROWS($AG$2:AG886),$AG$2:$AG$1001,0),1)&gt;=100000,INDEX($AN$1005:$BO$1005,1,MATCH(COLUMNS($AN$1006:AU1006),$AN$1006:$BO$1006,0))&gt;=100000), " ",IF(INDEX($AN$2:$BO$1001,MATCH(ROWS($AG$2:AG886),$AG$2:$AG$1001,0),MATCH(COLUMNS($AN$1006:AU1006),$AN$1006:$BO$1006,0)), HYPERLINK("#",""), HYPERLINK(CONCATENATE("#Metadata!", ADDRESS(INDEX($AI$2:$AI$1001,MATCH(ROWS($AG$2:AG886),$AG$2:$AG$1001,0),0), INDEX($AN$1004:$BO$1004,1,MATCH(COLUMNS($AN$1006:AU1006),$AN$1006:$BO$1006,0)))),"Fix")))</f>
        <v>0</v>
      </c>
      <c r="J886" s="4">
        <f>IF(OR(INDEX($AH$2:$AH$1001,MATCH(ROWS($AG$2:AG886),$AG$2:$AG$1001,0),1)&gt;=100000,INDEX($AN$1005:$BO$1005,1,MATCH(COLUMNS($AN$1006:AV1006),$AN$1006:$BO$1006,0))&gt;=100000), " ",IF(INDEX($AN$2:$BO$1001,MATCH(ROWS($AG$2:AG886),$AG$2:$AG$1001,0),MATCH(COLUMNS($AN$1006:AV1006),$AN$1006:$BO$1006,0)), HYPERLINK("#",""), HYPERLINK(CONCATENATE("#Metadata!", ADDRESS(INDEX($AI$2:$AI$1001,MATCH(ROWS($AG$2:AG886),$AG$2:$AG$1001,0),0), INDEX($AN$1004:$BO$1004,1,MATCH(COLUMNS($AN$1006:AV1006),$AN$1006:$BO$1006,0)))),"Fix")))</f>
        <v>0</v>
      </c>
      <c r="K886" s="4">
        <f>IF(OR(INDEX($AH$2:$AH$1001,MATCH(ROWS($AG$2:AG886),$AG$2:$AG$1001,0),1)&gt;=100000,INDEX($AN$1005:$BO$1005,1,MATCH(COLUMNS($AN$1006:AW1006),$AN$1006:$BO$1006,0))&gt;=100000), " ",IF(INDEX($AN$2:$BO$1001,MATCH(ROWS($AG$2:AG886),$AG$2:$AG$1001,0),MATCH(COLUMNS($AN$1006:AW1006),$AN$1006:$BO$1006,0)), HYPERLINK("#",""), HYPERLINK(CONCATENATE("#Metadata!", ADDRESS(INDEX($AI$2:$AI$1001,MATCH(ROWS($AG$2:AG886),$AG$2:$AG$1001,0),0), INDEX($AN$1004:$BO$1004,1,MATCH(COLUMNS($AN$1006:AW1006),$AN$1006:$BO$1006,0)))),"Fix")))</f>
        <v>0</v>
      </c>
      <c r="L886" s="4">
        <f>IF(OR(INDEX($AH$2:$AH$1001,MATCH(ROWS($AG$2:AG886),$AG$2:$AG$1001,0),1)&gt;=100000,INDEX($AN$1005:$BO$1005,1,MATCH(COLUMNS($AN$1006:AX1006),$AN$1006:$BO$1006,0))&gt;=100000), " ",IF(INDEX($AN$2:$BO$1001,MATCH(ROWS($AG$2:AG886),$AG$2:$AG$1001,0),MATCH(COLUMNS($AN$1006:AX1006),$AN$1006:$BO$1006,0)), HYPERLINK("#",""), HYPERLINK(CONCATENATE("#Metadata!", ADDRESS(INDEX($AI$2:$AI$1001,MATCH(ROWS($AG$2:AG886),$AG$2:$AG$1001,0),0), INDEX($AN$1004:$BO$1004,1,MATCH(COLUMNS($AN$1006:AX1006),$AN$1006:$BO$1006,0)))),"Fix")))</f>
        <v>0</v>
      </c>
      <c r="M886" s="4">
        <f>IF(OR(INDEX($AH$2:$AH$1001,MATCH(ROWS($AG$2:AG886),$AG$2:$AG$1001,0),1)&gt;=100000,INDEX($AN$1005:$BO$1005,1,MATCH(COLUMNS($AN$1006:AY1006),$AN$1006:$BO$1006,0))&gt;=100000), " ",IF(INDEX($AN$2:$BO$1001,MATCH(ROWS($AG$2:AG886),$AG$2:$AG$1001,0),MATCH(COLUMNS($AN$1006:AY1006),$AN$1006:$BO$1006,0)), HYPERLINK("#",""), HYPERLINK(CONCATENATE("#Metadata!", ADDRESS(INDEX($AI$2:$AI$1001,MATCH(ROWS($AG$2:AG886),$AG$2:$AG$1001,0),0), INDEX($AN$1004:$BO$1004,1,MATCH(COLUMNS($AN$1006:AY1006),$AN$1006:$BO$1006,0)))),"Fix")))</f>
        <v>0</v>
      </c>
      <c r="N886" s="4">
        <f>IF(OR(INDEX($AH$2:$AH$1001,MATCH(ROWS($AG$2:AG886),$AG$2:$AG$1001,0),1)&gt;=100000,INDEX($AN$1005:$BO$1005,1,MATCH(COLUMNS($AN$1006:AZ1006),$AN$1006:$BO$1006,0))&gt;=100000), " ",IF(INDEX($AN$2:$BO$1001,MATCH(ROWS($AG$2:AG886),$AG$2:$AG$1001,0),MATCH(COLUMNS($AN$1006:AZ1006),$AN$1006:$BO$1006,0)), HYPERLINK("#",""), HYPERLINK(CONCATENATE("#Metadata!", ADDRESS(INDEX($AI$2:$AI$1001,MATCH(ROWS($AG$2:AG886),$AG$2:$AG$1001,0),0), INDEX($AN$1004:$BO$1004,1,MATCH(COLUMNS($AN$1006:AZ1006),$AN$1006:$BO$1006,0)))),"Fix")))</f>
        <v>0</v>
      </c>
      <c r="O886" s="4">
        <f>IF(OR(INDEX($AH$2:$AH$1001,MATCH(ROWS($AG$2:AG886),$AG$2:$AG$1001,0),1)&gt;=100000,INDEX($AN$1005:$BO$1005,1,MATCH(COLUMNS($AN$1006:BA1006),$AN$1006:$BO$1006,0))&gt;=100000), " ",IF(INDEX($AN$2:$BO$1001,MATCH(ROWS($AG$2:AG886),$AG$2:$AG$1001,0),MATCH(COLUMNS($AN$1006:BA1006),$AN$1006:$BO$1006,0)), HYPERLINK("#",""), HYPERLINK(CONCATENATE("#Metadata!", ADDRESS(INDEX($AI$2:$AI$1001,MATCH(ROWS($AG$2:AG886),$AG$2:$AG$1001,0),0), INDEX($AN$1004:$BO$1004,1,MATCH(COLUMNS($AN$1006:BA1006),$AN$1006:$BO$1006,0)))),"Fix")))</f>
        <v>0</v>
      </c>
      <c r="P886" s="4">
        <f>IF(OR(INDEX($AH$2:$AH$1001,MATCH(ROWS($AG$2:AG886),$AG$2:$AG$1001,0),1)&gt;=100000,INDEX($AN$1005:$BO$1005,1,MATCH(COLUMNS($AN$1006:BB1006),$AN$1006:$BO$1006,0))&gt;=100000), " ",IF(INDEX($AN$2:$BO$1001,MATCH(ROWS($AG$2:AG886),$AG$2:$AG$1001,0),MATCH(COLUMNS($AN$1006:BB1006),$AN$1006:$BO$1006,0)), HYPERLINK("#",""), HYPERLINK(CONCATENATE("#Metadata!", ADDRESS(INDEX($AI$2:$AI$1001,MATCH(ROWS($AG$2:AG886),$AG$2:$AG$1001,0),0), INDEX($AN$1004:$BO$1004,1,MATCH(COLUMNS($AN$1006:BB1006),$AN$1006:$BO$1006,0)))),"Fix")))</f>
        <v>0</v>
      </c>
      <c r="Q886" s="4">
        <f>IF(OR(INDEX($AH$2:$AH$1001,MATCH(ROWS($AG$2:AG886),$AG$2:$AG$1001,0),1)&gt;=100000,INDEX($AN$1005:$BO$1005,1,MATCH(COLUMNS($AN$1006:BC1006),$AN$1006:$BO$1006,0))&gt;=100000), " ",IF(INDEX($AN$2:$BO$1001,MATCH(ROWS($AG$2:AG886),$AG$2:$AG$1001,0),MATCH(COLUMNS($AN$1006:BC1006),$AN$1006:$BO$1006,0)), HYPERLINK("#",""), HYPERLINK(CONCATENATE("#Metadata!", ADDRESS(INDEX($AI$2:$AI$1001,MATCH(ROWS($AG$2:AG886),$AG$2:$AG$1001,0),0), INDEX($AN$1004:$BO$1004,1,MATCH(COLUMNS($AN$1006:BC1006),$AN$1006:$BO$1006,0)))),"Fix")))</f>
        <v>0</v>
      </c>
      <c r="R886" s="4">
        <f>IF(OR(INDEX($AH$2:$AH$1001,MATCH(ROWS($AG$2:AG886),$AG$2:$AG$1001,0),1)&gt;=100000,INDEX($AN$1005:$BO$1005,1,MATCH(COLUMNS($AN$1006:BD1006),$AN$1006:$BO$1006,0))&gt;=100000), " ",IF(INDEX($AN$2:$BO$1001,MATCH(ROWS($AG$2:AG886),$AG$2:$AG$1001,0),MATCH(COLUMNS($AN$1006:BD1006),$AN$1006:$BO$1006,0)), HYPERLINK("#",""), HYPERLINK(CONCATENATE("#Metadata!", ADDRESS(INDEX($AI$2:$AI$1001,MATCH(ROWS($AG$2:AG886),$AG$2:$AG$1001,0),0), INDEX($AN$1004:$BO$1004,1,MATCH(COLUMNS($AN$1006:BD1006),$AN$1006:$BO$1006,0)))),"Fix")))</f>
        <v>0</v>
      </c>
      <c r="S886" s="4">
        <f>IF(OR(INDEX($AH$2:$AH$1001,MATCH(ROWS($AG$2:AG886),$AG$2:$AG$1001,0),1)&gt;=100000,INDEX($AN$1005:$BO$1005,1,MATCH(COLUMNS($AN$1006:BE1006),$AN$1006:$BO$1006,0))&gt;=100000), " ",IF(INDEX($AN$2:$BO$1001,MATCH(ROWS($AG$2:AG886),$AG$2:$AG$1001,0),MATCH(COLUMNS($AN$1006:BE1006),$AN$1006:$BO$1006,0)), HYPERLINK("#",""), HYPERLINK(CONCATENATE("#Metadata!", ADDRESS(INDEX($AI$2:$AI$1001,MATCH(ROWS($AG$2:AG886),$AG$2:$AG$1001,0),0), INDEX($AN$1004:$BO$1004,1,MATCH(COLUMNS($AN$1006:BE1006),$AN$1006:$BO$1006,0)))),"Fix")))</f>
        <v>0</v>
      </c>
      <c r="T886" s="4">
        <f>IF(OR(INDEX($AH$2:$AH$1001,MATCH(ROWS($AG$2:AG886),$AG$2:$AG$1001,0),1)&gt;=100000,INDEX($AN$1005:$BO$1005,1,MATCH(COLUMNS($AN$1006:BF1006),$AN$1006:$BO$1006,0))&gt;=100000), " ",IF(INDEX($AN$2:$BO$1001,MATCH(ROWS($AG$2:AG886),$AG$2:$AG$1001,0),MATCH(COLUMNS($AN$1006:BF1006),$AN$1006:$BO$1006,0)), HYPERLINK("#",""), HYPERLINK(CONCATENATE("#Metadata!", ADDRESS(INDEX($AI$2:$AI$1001,MATCH(ROWS($AG$2:AG886),$AG$2:$AG$1001,0),0), INDEX($AN$1004:$BO$1004,1,MATCH(COLUMNS($AN$1006:BF1006),$AN$1006:$BO$1006,0)))),"Fix")))</f>
        <v>0</v>
      </c>
      <c r="U886" s="4">
        <f>IF(OR(INDEX($AH$2:$AH$1001,MATCH(ROWS($AG$2:AG886),$AG$2:$AG$1001,0),1)&gt;=100000,INDEX($AN$1005:$BO$1005,1,MATCH(COLUMNS($AN$1006:BG1006),$AN$1006:$BO$1006,0))&gt;=100000), " ",IF(INDEX($AN$2:$BO$1001,MATCH(ROWS($AG$2:AG886),$AG$2:$AG$1001,0),MATCH(COLUMNS($AN$1006:BG1006),$AN$1006:$BO$1006,0)), HYPERLINK("#",""), HYPERLINK(CONCATENATE("#Metadata!", ADDRESS(INDEX($AI$2:$AI$1001,MATCH(ROWS($AG$2:AG886),$AG$2:$AG$1001,0),0), INDEX($AN$1004:$BO$1004,1,MATCH(COLUMNS($AN$1006:BG1006),$AN$1006:$BO$1006,0)))),"Fix")))</f>
        <v>0</v>
      </c>
      <c r="V886" s="4">
        <f>IF(OR(INDEX($AH$2:$AH$1001,MATCH(ROWS($AG$2:AG886),$AG$2:$AG$1001,0),1)&gt;=100000,INDEX($AN$1005:$BO$1005,1,MATCH(COLUMNS($AN$1006:BH1006),$AN$1006:$BO$1006,0))&gt;=100000), " ",IF(INDEX($AN$2:$BO$1001,MATCH(ROWS($AG$2:AG886),$AG$2:$AG$1001,0),MATCH(COLUMNS($AN$1006:BH1006),$AN$1006:$BO$1006,0)), HYPERLINK("#",""), HYPERLINK(CONCATENATE("#Metadata!", ADDRESS(INDEX($AI$2:$AI$1001,MATCH(ROWS($AG$2:AG886),$AG$2:$AG$1001,0),0), INDEX($AN$1004:$BO$1004,1,MATCH(COLUMNS($AN$1006:BH1006),$AN$1006:$BO$1006,0)))),"Fix")))</f>
        <v>0</v>
      </c>
      <c r="W886" s="4">
        <f>IF(OR(INDEX($AH$2:$AH$1001,MATCH(ROWS($AG$2:AG886),$AG$2:$AG$1001,0),1)&gt;=100000,INDEX($AN$1005:$BO$1005,1,MATCH(COLUMNS($AN$1006:BI1006),$AN$1006:$BO$1006,0))&gt;=100000), " ",IF(INDEX($AN$2:$BO$1001,MATCH(ROWS($AG$2:AG886),$AG$2:$AG$1001,0),MATCH(COLUMNS($AN$1006:BI1006),$AN$1006:$BO$1006,0)), HYPERLINK("#",""), HYPERLINK(CONCATENATE("#Metadata!", ADDRESS(INDEX($AI$2:$AI$1001,MATCH(ROWS($AG$2:AG886),$AG$2:$AG$1001,0),0), INDEX($AN$1004:$BO$1004,1,MATCH(COLUMNS($AN$1006:BI1006),$AN$1006:$BO$1006,0)))),"Fix")))</f>
        <v>0</v>
      </c>
      <c r="X886" s="4">
        <f>IF(OR(INDEX($AH$2:$AH$1001,MATCH(ROWS($AG$2:AG886),$AG$2:$AG$1001,0),1)&gt;=100000,INDEX($AN$1005:$BO$1005,1,MATCH(COLUMNS($AN$1006:BJ1006),$AN$1006:$BO$1006,0))&gt;=100000), " ",IF(INDEX($AN$2:$BO$1001,MATCH(ROWS($AG$2:AG886),$AG$2:$AG$1001,0),MATCH(COLUMNS($AN$1006:BJ1006),$AN$1006:$BO$1006,0)), HYPERLINK("#",""), HYPERLINK(CONCATENATE("#Metadata!", ADDRESS(INDEX($AI$2:$AI$1001,MATCH(ROWS($AG$2:AG886),$AG$2:$AG$1001,0),0), INDEX($AN$1004:$BO$1004,1,MATCH(COLUMNS($AN$1006:BJ1006),$AN$1006:$BO$1006,0)))),"Fix")))</f>
        <v>0</v>
      </c>
      <c r="Y886" s="4">
        <f>IF(OR(INDEX($AH$2:$AH$1001,MATCH(ROWS($AG$2:AG886),$AG$2:$AG$1001,0),1)&gt;=100000,INDEX($AN$1005:$BO$1005,1,MATCH(COLUMNS($AN$1006:BK1006),$AN$1006:$BO$1006,0))&gt;=100000), " ",IF(INDEX($AN$2:$BO$1001,MATCH(ROWS($AG$2:AG886),$AG$2:$AG$1001,0),MATCH(COLUMNS($AN$1006:BK1006),$AN$1006:$BO$1006,0)), HYPERLINK("#",""), HYPERLINK(CONCATENATE("#Metadata!", ADDRESS(INDEX($AI$2:$AI$1001,MATCH(ROWS($AG$2:AG886),$AG$2:$AG$1001,0),0), INDEX($AN$1004:$BO$1004,1,MATCH(COLUMNS($AN$1006:BK1006),$AN$1006:$BO$1006,0)))),"Fix")))</f>
        <v>0</v>
      </c>
      <c r="Z886" s="4">
        <f>IF(OR(INDEX($AH$2:$AH$1001,MATCH(ROWS($AG$2:AG886),$AG$2:$AG$1001,0),1)&gt;=100000,INDEX($AN$1005:$BO$1005,1,MATCH(COLUMNS($AN$1006:BL1006),$AN$1006:$BO$1006,0))&gt;=100000), " ",IF(INDEX($AN$2:$BO$1001,MATCH(ROWS($AG$2:AG886),$AG$2:$AG$1001,0),MATCH(COLUMNS($AN$1006:BL1006),$AN$1006:$BO$1006,0)), HYPERLINK("#",""), HYPERLINK(CONCATENATE("#Metadata!", ADDRESS(INDEX($AI$2:$AI$1001,MATCH(ROWS($AG$2:AG886),$AG$2:$AG$1001,0),0), INDEX($AN$1004:$BO$1004,1,MATCH(COLUMNS($AN$1006:BL1006),$AN$1006:$BO$1006,0)))),"Fix")))</f>
        <v>0</v>
      </c>
      <c r="AA886" s="4">
        <f>IF(OR(INDEX($AH$2:$AH$1001,MATCH(ROWS($AG$2:AG886),$AG$2:$AG$1001,0),1)&gt;=100000,INDEX($AN$1005:$BO$1005,1,MATCH(COLUMNS($AN$1006:BM1006),$AN$1006:$BO$1006,0))&gt;=100000), " ",IF(INDEX($AN$2:$BO$1001,MATCH(ROWS($AG$2:AG886),$AG$2:$AG$1001,0),MATCH(COLUMNS($AN$1006:BM1006),$AN$1006:$BO$1006,0)), HYPERLINK("#",""), HYPERLINK(CONCATENATE("#Metadata!", ADDRESS(INDEX($AI$2:$AI$1001,MATCH(ROWS($AG$2:AG886),$AG$2:$AG$1001,0),0), INDEX($AN$1004:$BO$1004,1,MATCH(COLUMNS($AN$1006:BM1006),$AN$1006:$BO$1006,0)))),"Fix")))</f>
        <v>0</v>
      </c>
      <c r="AB886" s="4">
        <f>IF(OR(INDEX($AH$2:$AH$1001,MATCH(ROWS($AG$2:AG886),$AG$2:$AG$1001,0),1)&gt;=100000,INDEX($AN$1005:$BO$1005,1,MATCH(COLUMNS($AN$1006:BN1006),$AN$1006:$BO$1006,0))&gt;=100000), " ",IF(INDEX($AN$2:$BO$1001,MATCH(ROWS($AG$2:AG886),$AG$2:$AG$1001,0),MATCH(COLUMNS($AN$1006:BN1006),$AN$1006:$BO$1006,0)), HYPERLINK("#",""), HYPERLINK(CONCATENATE("#Metadata!", ADDRESS(INDEX($AI$2:$AI$1001,MATCH(ROWS($AG$2:AG886),$AG$2:$AG$1001,0),0), INDEX($AN$1004:$BO$1004,1,MATCH(COLUMNS($AN$1006:BN1006),$AN$1006:$BO$1006,0)))),"Fix")))</f>
        <v>0</v>
      </c>
      <c r="AC886" s="4">
        <f>IF(OR(INDEX($AH$2:$AH$1001,MATCH(ROWS($AG$2:AG886),$AG$2:$AG$1001,0),1)&gt;=100000,INDEX($AN$1005:$BO$1005,1,MATCH(COLUMNS($AN$1006:BO1006),$AN$1006:$BO$1006,0))&gt;=100000), " ",IF(INDEX($AN$2:$BO$1001,MATCH(ROWS($AG$2:AG886),$AG$2:$AG$1001,0),MATCH(COLUMNS($AN$1006:BO1006),$AN$1006:$BO$1006,0)), HYPERLINK("#",""), HYPERLINK(CONCATENATE("#Metadata!", ADDRESS(INDEX($AI$2:$AI$1001,MATCH(ROWS($AG$2:AG886),$AG$2:$AG$1001,0),0), INDEX($AN$1004:$BO$1004,1,MATCH(COLUMNS($AN$1006:BO1006),$AN$1006:$BO$1006,0)))),"Fix")))</f>
        <v>0</v>
      </c>
      <c r="AG886">
        <v>0</v>
      </c>
      <c r="AH886">
        <v>0</v>
      </c>
      <c r="AI886">
        <v>0</v>
      </c>
      <c r="AJ886">
        <f>IF(AK886,TRUE,AND(AN886:BO886))</f>
        <v>0</v>
      </c>
      <c r="AK886">
        <f>COUNTBLANK(Metadata!B886:AC886)=COLUMNS(Metadata!B886:AC886)</f>
        <v>0</v>
      </c>
      <c r="AL886">
        <v>0</v>
      </c>
      <c r="AN886">
        <f>AND(IF(Metadata!B886="",FALSE,TRUE),COUNTIF(Metadata!B:B, Metadata!B886) = 1,NOT(ISERROR(SUMPRODUCT(SEARCH(MID(Metadata!B886,ROW(INDIRECT("1:"&amp;LEN(Metadata!B886))), 1),"0123456789abcdefghijklmnopqrstuvwxyzABCDEFGHIJKLMNOPQRSTUVWXYZ.")))))</f>
        <v>0</v>
      </c>
      <c r="AO886">
        <f>IF(Metadata!C886="",FALSE,TRUE)</f>
        <v>0</v>
      </c>
      <c r="AP886">
        <f>IF(Metadata!D886="",FALSE,TRUE)</f>
        <v>0</v>
      </c>
      <c r="AQ886">
        <f>OR(AND(IF(Metadata!E886="",FALSE,TRUE),OR(exact(Metadata!E886,"not collected"),exact(Metadata!E886,"not provided"),exact(Metadata!E886,"restricted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R886">
        <f>IF(Metadata!F886="",FALSE,TRUE)</f>
        <v>0</v>
      </c>
      <c r="AS886">
        <f>OR(AND(IF(Metadata!G886="",FALSE,TRUE),OR(exact(Metadata!G886,"not collected"),exact(Metadata!G886,"not provided"))),AND(IF(Metadata!G886="",FALSE,TRUE),OR(exact(Metadata!G886,"TRUE"),exact(Metadata!G886,"FALSE"))))</f>
        <v>0</v>
      </c>
      <c r="AT886">
        <f>OR(AND(IF(Metadata!H886="",FALSE,TRUE),OR(exact(Metadata!H886,"not collected"),exact(Metadata!H886,"not provided"),exact(Metadata!H886,"restricted access"))),AND(IF(Metadata!H886="",FALSE,ISNUMBER(VALUE(Metadata!H886))),Metadata!H886&gt;=-413.0))</f>
        <v>0</v>
      </c>
      <c r="AU886">
        <f>AND(IF(Metadata!I886="",FALSE,TRUE),exact(Metadata!I886,"meters"))</f>
        <v>0</v>
      </c>
      <c r="AV886">
        <f>AND(IF(Metadata!J886="",FALSE,TRUE),OR(exact(Metadata!J886,"Host-associated"),exact(Metadata!J886,"Free-living")))</f>
        <v>0</v>
      </c>
      <c r="AW886">
        <f>AND(IF(Metadata!K886="",FALSE,TRUE),OR(exact(Metadata!K886,"Animal"),exact(Metadata!K886,"Fungus"),exact(Metadata!K886,"Plant"),exact(Metadata!K886,"Saline"),exact(Metadata!K886,"Non-saline")))</f>
        <v>0</v>
      </c>
      <c r="AX886">
        <f>AND(IF(Metadata!L886="",FALSE,TRUE),OR(exact(Metadata!L886,"Plant secretion"),exact(Metadata!L886,"Plant rhizosphere"),exact(Metadata!L886,"Plant surface"),exact(Metadata!L886,"Plant corpus"),exact(Metadata!L886,"Fungus surface"),exact(Metadata!L886,"Fungus corpus"),exact(Metadata!L886,"Animal surface"),exact(Metadata!L886,"Animal proximal gut"),exact(Metadata!L886,"Animal corpus"),exact(Metadata!L886,"Animal distal gut"),exact(Metadata!L886,"Animal secretion"),exact(Metadata!L886,"Sub-surface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Y886">
        <f>IF(Metadata!M886="",FALSE,TRUE)</f>
        <v>0</v>
      </c>
      <c r="AZ886">
        <f>IF(Metadata!N886="",FALSE,TRUE)</f>
        <v>0</v>
      </c>
      <c r="BA886">
        <f>IF(Metadata!O886="",FALSE,TRUE)</f>
        <v>0</v>
      </c>
      <c r="BB886">
        <f>OR(AND(IF(Metadata!P886="",FALSE,TRUE),OR(exact(Metadata!P886,"not collected"),exact(Metadata!P886,"not provided"),exact(Metadata!P886,"restricted access"))),AND(IF(Metadata!P886="",FALSE,TRUE),OR(exact(Metadata!P886,"air"),exact(Metadata!P886,"built environment"),exact(Metadata!P886,"host-associated"),exact(Metadata!P886,"human-associated"),exact(Metadata!P886,"human-skin"),exact(Metadata!P886,"human-oral"),exact(Metadata!P886,"human-gut"),exact(Metadata!P886,"human-vaginal"),exact(Metadata!P886,"microbial mat/biofilm"),exact(Metadata!P886,"misc environment"),exact(Metadata!P886,"plant-associated"),exact(Metadata!P886,"sediment"),exact(Metadata!P886,"soil"),exact(Metadata!P886,"wastewater/sludge"),exact(Metadata!P886,"water"))))</f>
        <v>0</v>
      </c>
      <c r="BC886">
        <f>IF(Metadata!Q886="",FALSE,TRUE)</f>
        <v>0</v>
      </c>
      <c r="BD886">
        <f>IF(Metadata!R886="",FALSE,TRUE)</f>
        <v>0</v>
      </c>
      <c r="BE886">
        <f>OR(AND(IF(Metadata!S886="",FALSE,TRUE),OR(exact(Metadata!S886,"not collected"),exact(Metadata!S886,"not provided"),exact(Metadata!S886,"restricted access"))),AND(IF(Metadata!S886="",FALSE,ISNUMBER(VALUE(Metadata!S886))),Metadata!S886&gt;=-90.00,Metadata!S886&lt;=90.00))</f>
        <v>0</v>
      </c>
      <c r="BF886">
        <f>AND(IF(Metadata!T886="",FALSE,TRUE),exact(Metadata!T886,"Decimal degrees"))</f>
        <v>0</v>
      </c>
      <c r="BG886">
        <f>OR(AND(IF(Metadata!U886="",FALSE,TRUE),OR(exact(Metadata!U886,"not collected"),exact(Metadata!U886,"not provided"),exact(Metadata!U886,"restricted access"))),AND(IF(Metadata!U886="",FALSE,ISNUMBER(VALUE(Metadata!U886))),Metadata!U886&gt;=-180.00,Metadata!U886&lt;=180.00))</f>
        <v>0</v>
      </c>
      <c r="BH886">
        <f>AND(IF(Metadata!V886="",FALSE,TRUE),exact(Metadata!V886,"Decimal degrees"))</f>
        <v>0</v>
      </c>
      <c r="BI886">
        <f>IF(Metadata!W886="",FALSE,TRUE)</f>
        <v>0</v>
      </c>
      <c r="BJ886">
        <f>OR(AND(IF(Metadata!X886="",FALSE,TRUE),OR(exact(Metadata!X886,"not collected"),exact(Metadata!X886,"not provided"),exact(Metadata!X886,"restricted access"))),AND(IF(Metadata!X886="",FALSE,TRUE),OR(exact(Metadata!X886,"TRUE"),exact(Metadata!X886,"FALSE"))))</f>
        <v>0</v>
      </c>
      <c r="BK886">
        <f>AND(IF(Metadata!Y886="",FALSE,TRUE),exact(Metadata!Y886,"other"))</f>
        <v>0</v>
      </c>
      <c r="BL886">
        <f>IF(Metadata!Z886="",FALSE,TRUE)</f>
        <v>0</v>
      </c>
      <c r="BM886">
        <f>OR(AND(IF(Metadata!AA886="",FALSE,TRUE),OR(exact(Metadata!AA886,"not collected"),exact(Metadata!AA886,"not provided"))),AND(IF(Metadata!AA886="",FALSE,IF(ISERROR(INT(Metadata!AA886)),FALSE,INT(Metadata!AA886)=Metadata!AA886)),Metadata!AA886&gt;0))</f>
        <v>0</v>
      </c>
      <c r="BN886">
        <f>AND(IF(Metadata!AB886="",FALSE,TRUE),exact(Metadata!AB886,"Not applicable"))</f>
        <v>0</v>
      </c>
      <c r="BO886">
        <f>IF(Metadata!AC886="",FALSE,TRUE)</f>
        <v>0</v>
      </c>
    </row>
    <row r="887" spans="1:67">
      <c r="A887" s="5">
        <f>IF(B887=" "," ",HYPERLINK(CONCATENATE("#metadata!",ADDRESS(INDEX($AI$2:$AI$1001,MATCH(ROWS($AG$2:AG887),$AG$2:$AG$1001,0),0),1)),INDEX($AL$2:$AL$1001,MATCH(ROWS($AG$2:AG887),$AG$2:$AG$1001,0),0)))</f>
        <v>0</v>
      </c>
      <c r="B887" s="4">
        <f>IF(OR(INDEX($AH$2:$AH$1001,MATCH(ROWS($AG$2:AG887),$AG$2:$AG$1001,0),1)&gt;=100000,INDEX($AN$1005:$BO$1005,1,MATCH(COLUMNS($AN$1006:AN1006),$AN$1006:$BO$1006,0))&gt;=100000), " ",IF(INDEX($AN$2:$BO$1001,MATCH(ROWS($AG$2:AG887),$AG$2:$AG$1001,0),MATCH(COLUMNS($AN$1006:AN1006),$AN$1006:$BO$1006,0)), HYPERLINK("#",""), HYPERLINK(CONCATENATE("#Metadata!", ADDRESS(INDEX($AI$2:$AI$1001,MATCH(ROWS($AG$2:AG887),$AG$2:$AG$1001,0),0), INDEX($AN$1004:$BO$1004,1,MATCH(COLUMNS($AN$1006:AN1006),$AN$1006:$BO$1006,0)))),"Fix")))</f>
        <v>0</v>
      </c>
      <c r="C887" s="4">
        <f>IF(OR(INDEX($AH$2:$AH$1001,MATCH(ROWS($AG$2:AG887),$AG$2:$AG$1001,0),1)&gt;=100000,INDEX($AN$1005:$BO$1005,1,MATCH(COLUMNS($AN$1006:AO1006),$AN$1006:$BO$1006,0))&gt;=100000), " ",IF(INDEX($AN$2:$BO$1001,MATCH(ROWS($AG$2:AG887),$AG$2:$AG$1001,0),MATCH(COLUMNS($AN$1006:AO1006),$AN$1006:$BO$1006,0)), HYPERLINK("#",""), HYPERLINK(CONCATENATE("#Metadata!", ADDRESS(INDEX($AI$2:$AI$1001,MATCH(ROWS($AG$2:AG887),$AG$2:$AG$1001,0),0), INDEX($AN$1004:$BO$1004,1,MATCH(COLUMNS($AN$1006:AO1006),$AN$1006:$BO$1006,0)))),"Fix")))</f>
        <v>0</v>
      </c>
      <c r="D887" s="4">
        <f>IF(OR(INDEX($AH$2:$AH$1001,MATCH(ROWS($AG$2:AG887),$AG$2:$AG$1001,0),1)&gt;=100000,INDEX($AN$1005:$BO$1005,1,MATCH(COLUMNS($AN$1006:AP1006),$AN$1006:$BO$1006,0))&gt;=100000), " ",IF(INDEX($AN$2:$BO$1001,MATCH(ROWS($AG$2:AG887),$AG$2:$AG$1001,0),MATCH(COLUMNS($AN$1006:AP1006),$AN$1006:$BO$1006,0)), HYPERLINK("#",""), HYPERLINK(CONCATENATE("#Metadata!", ADDRESS(INDEX($AI$2:$AI$1001,MATCH(ROWS($AG$2:AG887),$AG$2:$AG$1001,0),0), INDEX($AN$1004:$BO$1004,1,MATCH(COLUMNS($AN$1006:AP1006),$AN$1006:$BO$1006,0)))),"Fix")))</f>
        <v>0</v>
      </c>
      <c r="E887" s="4">
        <f>IF(OR(INDEX($AH$2:$AH$1001,MATCH(ROWS($AG$2:AG887),$AG$2:$AG$1001,0),1)&gt;=100000,INDEX($AN$1005:$BO$1005,1,MATCH(COLUMNS($AN$1006:AQ1006),$AN$1006:$BO$1006,0))&gt;=100000), " ",IF(INDEX($AN$2:$BO$1001,MATCH(ROWS($AG$2:AG887),$AG$2:$AG$1001,0),MATCH(COLUMNS($AN$1006:AQ1006),$AN$1006:$BO$1006,0)), HYPERLINK("#",""), HYPERLINK(CONCATENATE("#Metadata!", ADDRESS(INDEX($AI$2:$AI$1001,MATCH(ROWS($AG$2:AG887),$AG$2:$AG$1001,0),0), INDEX($AN$1004:$BO$1004,1,MATCH(COLUMNS($AN$1006:AQ1006),$AN$1006:$BO$1006,0)))),"Fix")))</f>
        <v>0</v>
      </c>
      <c r="F887" s="4">
        <f>IF(OR(INDEX($AH$2:$AH$1001,MATCH(ROWS($AG$2:AG887),$AG$2:$AG$1001,0),1)&gt;=100000,INDEX($AN$1005:$BO$1005,1,MATCH(COLUMNS($AN$1006:AR1006),$AN$1006:$BO$1006,0))&gt;=100000), " ",IF(INDEX($AN$2:$BO$1001,MATCH(ROWS($AG$2:AG887),$AG$2:$AG$1001,0),MATCH(COLUMNS($AN$1006:AR1006),$AN$1006:$BO$1006,0)), HYPERLINK("#",""), HYPERLINK(CONCATENATE("#Metadata!", ADDRESS(INDEX($AI$2:$AI$1001,MATCH(ROWS($AG$2:AG887),$AG$2:$AG$1001,0),0), INDEX($AN$1004:$BO$1004,1,MATCH(COLUMNS($AN$1006:AR1006),$AN$1006:$BO$1006,0)))),"Fix")))</f>
        <v>0</v>
      </c>
      <c r="G887" s="4">
        <f>IF(OR(INDEX($AH$2:$AH$1001,MATCH(ROWS($AG$2:AG887),$AG$2:$AG$1001,0),1)&gt;=100000,INDEX($AN$1005:$BO$1005,1,MATCH(COLUMNS($AN$1006:AS1006),$AN$1006:$BO$1006,0))&gt;=100000), " ",IF(INDEX($AN$2:$BO$1001,MATCH(ROWS($AG$2:AG887),$AG$2:$AG$1001,0),MATCH(COLUMNS($AN$1006:AS1006),$AN$1006:$BO$1006,0)), HYPERLINK("#",""), HYPERLINK(CONCATENATE("#Metadata!", ADDRESS(INDEX($AI$2:$AI$1001,MATCH(ROWS($AG$2:AG887),$AG$2:$AG$1001,0),0), INDEX($AN$1004:$BO$1004,1,MATCH(COLUMNS($AN$1006:AS1006),$AN$1006:$BO$1006,0)))),"Fix")))</f>
        <v>0</v>
      </c>
      <c r="H887" s="4">
        <f>IF(OR(INDEX($AH$2:$AH$1001,MATCH(ROWS($AG$2:AG887),$AG$2:$AG$1001,0),1)&gt;=100000,INDEX($AN$1005:$BO$1005,1,MATCH(COLUMNS($AN$1006:AT1006),$AN$1006:$BO$1006,0))&gt;=100000), " ",IF(INDEX($AN$2:$BO$1001,MATCH(ROWS($AG$2:AG887),$AG$2:$AG$1001,0),MATCH(COLUMNS($AN$1006:AT1006),$AN$1006:$BO$1006,0)), HYPERLINK("#",""), HYPERLINK(CONCATENATE("#Metadata!", ADDRESS(INDEX($AI$2:$AI$1001,MATCH(ROWS($AG$2:AG887),$AG$2:$AG$1001,0),0), INDEX($AN$1004:$BO$1004,1,MATCH(COLUMNS($AN$1006:AT1006),$AN$1006:$BO$1006,0)))),"Fix")))</f>
        <v>0</v>
      </c>
      <c r="I887" s="4">
        <f>IF(OR(INDEX($AH$2:$AH$1001,MATCH(ROWS($AG$2:AG887),$AG$2:$AG$1001,0),1)&gt;=100000,INDEX($AN$1005:$BO$1005,1,MATCH(COLUMNS($AN$1006:AU1006),$AN$1006:$BO$1006,0))&gt;=100000), " ",IF(INDEX($AN$2:$BO$1001,MATCH(ROWS($AG$2:AG887),$AG$2:$AG$1001,0),MATCH(COLUMNS($AN$1006:AU1006),$AN$1006:$BO$1006,0)), HYPERLINK("#",""), HYPERLINK(CONCATENATE("#Metadata!", ADDRESS(INDEX($AI$2:$AI$1001,MATCH(ROWS($AG$2:AG887),$AG$2:$AG$1001,0),0), INDEX($AN$1004:$BO$1004,1,MATCH(COLUMNS($AN$1006:AU1006),$AN$1006:$BO$1006,0)))),"Fix")))</f>
        <v>0</v>
      </c>
      <c r="J887" s="4">
        <f>IF(OR(INDEX($AH$2:$AH$1001,MATCH(ROWS($AG$2:AG887),$AG$2:$AG$1001,0),1)&gt;=100000,INDEX($AN$1005:$BO$1005,1,MATCH(COLUMNS($AN$1006:AV1006),$AN$1006:$BO$1006,0))&gt;=100000), " ",IF(INDEX($AN$2:$BO$1001,MATCH(ROWS($AG$2:AG887),$AG$2:$AG$1001,0),MATCH(COLUMNS($AN$1006:AV1006),$AN$1006:$BO$1006,0)), HYPERLINK("#",""), HYPERLINK(CONCATENATE("#Metadata!", ADDRESS(INDEX($AI$2:$AI$1001,MATCH(ROWS($AG$2:AG887),$AG$2:$AG$1001,0),0), INDEX($AN$1004:$BO$1004,1,MATCH(COLUMNS($AN$1006:AV1006),$AN$1006:$BO$1006,0)))),"Fix")))</f>
        <v>0</v>
      </c>
      <c r="K887" s="4">
        <f>IF(OR(INDEX($AH$2:$AH$1001,MATCH(ROWS($AG$2:AG887),$AG$2:$AG$1001,0),1)&gt;=100000,INDEX($AN$1005:$BO$1005,1,MATCH(COLUMNS($AN$1006:AW1006),$AN$1006:$BO$1006,0))&gt;=100000), " ",IF(INDEX($AN$2:$BO$1001,MATCH(ROWS($AG$2:AG887),$AG$2:$AG$1001,0),MATCH(COLUMNS($AN$1006:AW1006),$AN$1006:$BO$1006,0)), HYPERLINK("#",""), HYPERLINK(CONCATENATE("#Metadata!", ADDRESS(INDEX($AI$2:$AI$1001,MATCH(ROWS($AG$2:AG887),$AG$2:$AG$1001,0),0), INDEX($AN$1004:$BO$1004,1,MATCH(COLUMNS($AN$1006:AW1006),$AN$1006:$BO$1006,0)))),"Fix")))</f>
        <v>0</v>
      </c>
      <c r="L887" s="4">
        <f>IF(OR(INDEX($AH$2:$AH$1001,MATCH(ROWS($AG$2:AG887),$AG$2:$AG$1001,0),1)&gt;=100000,INDEX($AN$1005:$BO$1005,1,MATCH(COLUMNS($AN$1006:AX1006),$AN$1006:$BO$1006,0))&gt;=100000), " ",IF(INDEX($AN$2:$BO$1001,MATCH(ROWS($AG$2:AG887),$AG$2:$AG$1001,0),MATCH(COLUMNS($AN$1006:AX1006),$AN$1006:$BO$1006,0)), HYPERLINK("#",""), HYPERLINK(CONCATENATE("#Metadata!", ADDRESS(INDEX($AI$2:$AI$1001,MATCH(ROWS($AG$2:AG887),$AG$2:$AG$1001,0),0), INDEX($AN$1004:$BO$1004,1,MATCH(COLUMNS($AN$1006:AX1006),$AN$1006:$BO$1006,0)))),"Fix")))</f>
        <v>0</v>
      </c>
      <c r="M887" s="4">
        <f>IF(OR(INDEX($AH$2:$AH$1001,MATCH(ROWS($AG$2:AG887),$AG$2:$AG$1001,0),1)&gt;=100000,INDEX($AN$1005:$BO$1005,1,MATCH(COLUMNS($AN$1006:AY1006),$AN$1006:$BO$1006,0))&gt;=100000), " ",IF(INDEX($AN$2:$BO$1001,MATCH(ROWS($AG$2:AG887),$AG$2:$AG$1001,0),MATCH(COLUMNS($AN$1006:AY1006),$AN$1006:$BO$1006,0)), HYPERLINK("#",""), HYPERLINK(CONCATENATE("#Metadata!", ADDRESS(INDEX($AI$2:$AI$1001,MATCH(ROWS($AG$2:AG887),$AG$2:$AG$1001,0),0), INDEX($AN$1004:$BO$1004,1,MATCH(COLUMNS($AN$1006:AY1006),$AN$1006:$BO$1006,0)))),"Fix")))</f>
        <v>0</v>
      </c>
      <c r="N887" s="4">
        <f>IF(OR(INDEX($AH$2:$AH$1001,MATCH(ROWS($AG$2:AG887),$AG$2:$AG$1001,0),1)&gt;=100000,INDEX($AN$1005:$BO$1005,1,MATCH(COLUMNS($AN$1006:AZ1006),$AN$1006:$BO$1006,0))&gt;=100000), " ",IF(INDEX($AN$2:$BO$1001,MATCH(ROWS($AG$2:AG887),$AG$2:$AG$1001,0),MATCH(COLUMNS($AN$1006:AZ1006),$AN$1006:$BO$1006,0)), HYPERLINK("#",""), HYPERLINK(CONCATENATE("#Metadata!", ADDRESS(INDEX($AI$2:$AI$1001,MATCH(ROWS($AG$2:AG887),$AG$2:$AG$1001,0),0), INDEX($AN$1004:$BO$1004,1,MATCH(COLUMNS($AN$1006:AZ1006),$AN$1006:$BO$1006,0)))),"Fix")))</f>
        <v>0</v>
      </c>
      <c r="O887" s="4">
        <f>IF(OR(INDEX($AH$2:$AH$1001,MATCH(ROWS($AG$2:AG887),$AG$2:$AG$1001,0),1)&gt;=100000,INDEX($AN$1005:$BO$1005,1,MATCH(COLUMNS($AN$1006:BA1006),$AN$1006:$BO$1006,0))&gt;=100000), " ",IF(INDEX($AN$2:$BO$1001,MATCH(ROWS($AG$2:AG887),$AG$2:$AG$1001,0),MATCH(COLUMNS($AN$1006:BA1006),$AN$1006:$BO$1006,0)), HYPERLINK("#",""), HYPERLINK(CONCATENATE("#Metadata!", ADDRESS(INDEX($AI$2:$AI$1001,MATCH(ROWS($AG$2:AG887),$AG$2:$AG$1001,0),0), INDEX($AN$1004:$BO$1004,1,MATCH(COLUMNS($AN$1006:BA1006),$AN$1006:$BO$1006,0)))),"Fix")))</f>
        <v>0</v>
      </c>
      <c r="P887" s="4">
        <f>IF(OR(INDEX($AH$2:$AH$1001,MATCH(ROWS($AG$2:AG887),$AG$2:$AG$1001,0),1)&gt;=100000,INDEX($AN$1005:$BO$1005,1,MATCH(COLUMNS($AN$1006:BB1006),$AN$1006:$BO$1006,0))&gt;=100000), " ",IF(INDEX($AN$2:$BO$1001,MATCH(ROWS($AG$2:AG887),$AG$2:$AG$1001,0),MATCH(COLUMNS($AN$1006:BB1006),$AN$1006:$BO$1006,0)), HYPERLINK("#",""), HYPERLINK(CONCATENATE("#Metadata!", ADDRESS(INDEX($AI$2:$AI$1001,MATCH(ROWS($AG$2:AG887),$AG$2:$AG$1001,0),0), INDEX($AN$1004:$BO$1004,1,MATCH(COLUMNS($AN$1006:BB1006),$AN$1006:$BO$1006,0)))),"Fix")))</f>
        <v>0</v>
      </c>
      <c r="Q887" s="4">
        <f>IF(OR(INDEX($AH$2:$AH$1001,MATCH(ROWS($AG$2:AG887),$AG$2:$AG$1001,0),1)&gt;=100000,INDEX($AN$1005:$BO$1005,1,MATCH(COLUMNS($AN$1006:BC1006),$AN$1006:$BO$1006,0))&gt;=100000), " ",IF(INDEX($AN$2:$BO$1001,MATCH(ROWS($AG$2:AG887),$AG$2:$AG$1001,0),MATCH(COLUMNS($AN$1006:BC1006),$AN$1006:$BO$1006,0)), HYPERLINK("#",""), HYPERLINK(CONCATENATE("#Metadata!", ADDRESS(INDEX($AI$2:$AI$1001,MATCH(ROWS($AG$2:AG887),$AG$2:$AG$1001,0),0), INDEX($AN$1004:$BO$1004,1,MATCH(COLUMNS($AN$1006:BC1006),$AN$1006:$BO$1006,0)))),"Fix")))</f>
        <v>0</v>
      </c>
      <c r="R887" s="4">
        <f>IF(OR(INDEX($AH$2:$AH$1001,MATCH(ROWS($AG$2:AG887),$AG$2:$AG$1001,0),1)&gt;=100000,INDEX($AN$1005:$BO$1005,1,MATCH(COLUMNS($AN$1006:BD1006),$AN$1006:$BO$1006,0))&gt;=100000), " ",IF(INDEX($AN$2:$BO$1001,MATCH(ROWS($AG$2:AG887),$AG$2:$AG$1001,0),MATCH(COLUMNS($AN$1006:BD1006),$AN$1006:$BO$1006,0)), HYPERLINK("#",""), HYPERLINK(CONCATENATE("#Metadata!", ADDRESS(INDEX($AI$2:$AI$1001,MATCH(ROWS($AG$2:AG887),$AG$2:$AG$1001,0),0), INDEX($AN$1004:$BO$1004,1,MATCH(COLUMNS($AN$1006:BD1006),$AN$1006:$BO$1006,0)))),"Fix")))</f>
        <v>0</v>
      </c>
      <c r="S887" s="4">
        <f>IF(OR(INDEX($AH$2:$AH$1001,MATCH(ROWS($AG$2:AG887),$AG$2:$AG$1001,0),1)&gt;=100000,INDEX($AN$1005:$BO$1005,1,MATCH(COLUMNS($AN$1006:BE1006),$AN$1006:$BO$1006,0))&gt;=100000), " ",IF(INDEX($AN$2:$BO$1001,MATCH(ROWS($AG$2:AG887),$AG$2:$AG$1001,0),MATCH(COLUMNS($AN$1006:BE1006),$AN$1006:$BO$1006,0)), HYPERLINK("#",""), HYPERLINK(CONCATENATE("#Metadata!", ADDRESS(INDEX($AI$2:$AI$1001,MATCH(ROWS($AG$2:AG887),$AG$2:$AG$1001,0),0), INDEX($AN$1004:$BO$1004,1,MATCH(COLUMNS($AN$1006:BE1006),$AN$1006:$BO$1006,0)))),"Fix")))</f>
        <v>0</v>
      </c>
      <c r="T887" s="4">
        <f>IF(OR(INDEX($AH$2:$AH$1001,MATCH(ROWS($AG$2:AG887),$AG$2:$AG$1001,0),1)&gt;=100000,INDEX($AN$1005:$BO$1005,1,MATCH(COLUMNS($AN$1006:BF1006),$AN$1006:$BO$1006,0))&gt;=100000), " ",IF(INDEX($AN$2:$BO$1001,MATCH(ROWS($AG$2:AG887),$AG$2:$AG$1001,0),MATCH(COLUMNS($AN$1006:BF1006),$AN$1006:$BO$1006,0)), HYPERLINK("#",""), HYPERLINK(CONCATENATE("#Metadata!", ADDRESS(INDEX($AI$2:$AI$1001,MATCH(ROWS($AG$2:AG887),$AG$2:$AG$1001,0),0), INDEX($AN$1004:$BO$1004,1,MATCH(COLUMNS($AN$1006:BF1006),$AN$1006:$BO$1006,0)))),"Fix")))</f>
        <v>0</v>
      </c>
      <c r="U887" s="4">
        <f>IF(OR(INDEX($AH$2:$AH$1001,MATCH(ROWS($AG$2:AG887),$AG$2:$AG$1001,0),1)&gt;=100000,INDEX($AN$1005:$BO$1005,1,MATCH(COLUMNS($AN$1006:BG1006),$AN$1006:$BO$1006,0))&gt;=100000), " ",IF(INDEX($AN$2:$BO$1001,MATCH(ROWS($AG$2:AG887),$AG$2:$AG$1001,0),MATCH(COLUMNS($AN$1006:BG1006),$AN$1006:$BO$1006,0)), HYPERLINK("#",""), HYPERLINK(CONCATENATE("#Metadata!", ADDRESS(INDEX($AI$2:$AI$1001,MATCH(ROWS($AG$2:AG887),$AG$2:$AG$1001,0),0), INDEX($AN$1004:$BO$1004,1,MATCH(COLUMNS($AN$1006:BG1006),$AN$1006:$BO$1006,0)))),"Fix")))</f>
        <v>0</v>
      </c>
      <c r="V887" s="4">
        <f>IF(OR(INDEX($AH$2:$AH$1001,MATCH(ROWS($AG$2:AG887),$AG$2:$AG$1001,0),1)&gt;=100000,INDEX($AN$1005:$BO$1005,1,MATCH(COLUMNS($AN$1006:BH1006),$AN$1006:$BO$1006,0))&gt;=100000), " ",IF(INDEX($AN$2:$BO$1001,MATCH(ROWS($AG$2:AG887),$AG$2:$AG$1001,0),MATCH(COLUMNS($AN$1006:BH1006),$AN$1006:$BO$1006,0)), HYPERLINK("#",""), HYPERLINK(CONCATENATE("#Metadata!", ADDRESS(INDEX($AI$2:$AI$1001,MATCH(ROWS($AG$2:AG887),$AG$2:$AG$1001,0),0), INDEX($AN$1004:$BO$1004,1,MATCH(COLUMNS($AN$1006:BH1006),$AN$1006:$BO$1006,0)))),"Fix")))</f>
        <v>0</v>
      </c>
      <c r="W887" s="4">
        <f>IF(OR(INDEX($AH$2:$AH$1001,MATCH(ROWS($AG$2:AG887),$AG$2:$AG$1001,0),1)&gt;=100000,INDEX($AN$1005:$BO$1005,1,MATCH(COLUMNS($AN$1006:BI1006),$AN$1006:$BO$1006,0))&gt;=100000), " ",IF(INDEX($AN$2:$BO$1001,MATCH(ROWS($AG$2:AG887),$AG$2:$AG$1001,0),MATCH(COLUMNS($AN$1006:BI1006),$AN$1006:$BO$1006,0)), HYPERLINK("#",""), HYPERLINK(CONCATENATE("#Metadata!", ADDRESS(INDEX($AI$2:$AI$1001,MATCH(ROWS($AG$2:AG887),$AG$2:$AG$1001,0),0), INDEX($AN$1004:$BO$1004,1,MATCH(COLUMNS($AN$1006:BI1006),$AN$1006:$BO$1006,0)))),"Fix")))</f>
        <v>0</v>
      </c>
      <c r="X887" s="4">
        <f>IF(OR(INDEX($AH$2:$AH$1001,MATCH(ROWS($AG$2:AG887),$AG$2:$AG$1001,0),1)&gt;=100000,INDEX($AN$1005:$BO$1005,1,MATCH(COLUMNS($AN$1006:BJ1006),$AN$1006:$BO$1006,0))&gt;=100000), " ",IF(INDEX($AN$2:$BO$1001,MATCH(ROWS($AG$2:AG887),$AG$2:$AG$1001,0),MATCH(COLUMNS($AN$1006:BJ1006),$AN$1006:$BO$1006,0)), HYPERLINK("#",""), HYPERLINK(CONCATENATE("#Metadata!", ADDRESS(INDEX($AI$2:$AI$1001,MATCH(ROWS($AG$2:AG887),$AG$2:$AG$1001,0),0), INDEX($AN$1004:$BO$1004,1,MATCH(COLUMNS($AN$1006:BJ1006),$AN$1006:$BO$1006,0)))),"Fix")))</f>
        <v>0</v>
      </c>
      <c r="Y887" s="4">
        <f>IF(OR(INDEX($AH$2:$AH$1001,MATCH(ROWS($AG$2:AG887),$AG$2:$AG$1001,0),1)&gt;=100000,INDEX($AN$1005:$BO$1005,1,MATCH(COLUMNS($AN$1006:BK1006),$AN$1006:$BO$1006,0))&gt;=100000), " ",IF(INDEX($AN$2:$BO$1001,MATCH(ROWS($AG$2:AG887),$AG$2:$AG$1001,0),MATCH(COLUMNS($AN$1006:BK1006),$AN$1006:$BO$1006,0)), HYPERLINK("#",""), HYPERLINK(CONCATENATE("#Metadata!", ADDRESS(INDEX($AI$2:$AI$1001,MATCH(ROWS($AG$2:AG887),$AG$2:$AG$1001,0),0), INDEX($AN$1004:$BO$1004,1,MATCH(COLUMNS($AN$1006:BK1006),$AN$1006:$BO$1006,0)))),"Fix")))</f>
        <v>0</v>
      </c>
      <c r="Z887" s="4">
        <f>IF(OR(INDEX($AH$2:$AH$1001,MATCH(ROWS($AG$2:AG887),$AG$2:$AG$1001,0),1)&gt;=100000,INDEX($AN$1005:$BO$1005,1,MATCH(COLUMNS($AN$1006:BL1006),$AN$1006:$BO$1006,0))&gt;=100000), " ",IF(INDEX($AN$2:$BO$1001,MATCH(ROWS($AG$2:AG887),$AG$2:$AG$1001,0),MATCH(COLUMNS($AN$1006:BL1006),$AN$1006:$BO$1006,0)), HYPERLINK("#",""), HYPERLINK(CONCATENATE("#Metadata!", ADDRESS(INDEX($AI$2:$AI$1001,MATCH(ROWS($AG$2:AG887),$AG$2:$AG$1001,0),0), INDEX($AN$1004:$BO$1004,1,MATCH(COLUMNS($AN$1006:BL1006),$AN$1006:$BO$1006,0)))),"Fix")))</f>
        <v>0</v>
      </c>
      <c r="AA887" s="4">
        <f>IF(OR(INDEX($AH$2:$AH$1001,MATCH(ROWS($AG$2:AG887),$AG$2:$AG$1001,0),1)&gt;=100000,INDEX($AN$1005:$BO$1005,1,MATCH(COLUMNS($AN$1006:BM1006),$AN$1006:$BO$1006,0))&gt;=100000), " ",IF(INDEX($AN$2:$BO$1001,MATCH(ROWS($AG$2:AG887),$AG$2:$AG$1001,0),MATCH(COLUMNS($AN$1006:BM1006),$AN$1006:$BO$1006,0)), HYPERLINK("#",""), HYPERLINK(CONCATENATE("#Metadata!", ADDRESS(INDEX($AI$2:$AI$1001,MATCH(ROWS($AG$2:AG887),$AG$2:$AG$1001,0),0), INDEX($AN$1004:$BO$1004,1,MATCH(COLUMNS($AN$1006:BM1006),$AN$1006:$BO$1006,0)))),"Fix")))</f>
        <v>0</v>
      </c>
      <c r="AB887" s="4">
        <f>IF(OR(INDEX($AH$2:$AH$1001,MATCH(ROWS($AG$2:AG887),$AG$2:$AG$1001,0),1)&gt;=100000,INDEX($AN$1005:$BO$1005,1,MATCH(COLUMNS($AN$1006:BN1006),$AN$1006:$BO$1006,0))&gt;=100000), " ",IF(INDEX($AN$2:$BO$1001,MATCH(ROWS($AG$2:AG887),$AG$2:$AG$1001,0),MATCH(COLUMNS($AN$1006:BN1006),$AN$1006:$BO$1006,0)), HYPERLINK("#",""), HYPERLINK(CONCATENATE("#Metadata!", ADDRESS(INDEX($AI$2:$AI$1001,MATCH(ROWS($AG$2:AG887),$AG$2:$AG$1001,0),0), INDEX($AN$1004:$BO$1004,1,MATCH(COLUMNS($AN$1006:BN1006),$AN$1006:$BO$1006,0)))),"Fix")))</f>
        <v>0</v>
      </c>
      <c r="AC887" s="4">
        <f>IF(OR(INDEX($AH$2:$AH$1001,MATCH(ROWS($AG$2:AG887),$AG$2:$AG$1001,0),1)&gt;=100000,INDEX($AN$1005:$BO$1005,1,MATCH(COLUMNS($AN$1006:BO1006),$AN$1006:$BO$1006,0))&gt;=100000), " ",IF(INDEX($AN$2:$BO$1001,MATCH(ROWS($AG$2:AG887),$AG$2:$AG$1001,0),MATCH(COLUMNS($AN$1006:BO1006),$AN$1006:$BO$1006,0)), HYPERLINK("#",""), HYPERLINK(CONCATENATE("#Metadata!", ADDRESS(INDEX($AI$2:$AI$1001,MATCH(ROWS($AG$2:AG887),$AG$2:$AG$1001,0),0), INDEX($AN$1004:$BO$1004,1,MATCH(COLUMNS($AN$1006:BO1006),$AN$1006:$BO$1006,0)))),"Fix")))</f>
        <v>0</v>
      </c>
      <c r="AG887">
        <v>0</v>
      </c>
      <c r="AH887">
        <v>0</v>
      </c>
      <c r="AI887">
        <v>0</v>
      </c>
      <c r="AJ887">
        <f>IF(AK887,TRUE,AND(AN887:BO887))</f>
        <v>0</v>
      </c>
      <c r="AK887">
        <f>COUNTBLANK(Metadata!B887:AC887)=COLUMNS(Metadata!B887:AC887)</f>
        <v>0</v>
      </c>
      <c r="AL887">
        <v>0</v>
      </c>
      <c r="AN887">
        <f>AND(IF(Metadata!B887="",FALSE,TRUE),COUNTIF(Metadata!B:B, Metadata!B887) = 1,NOT(ISERROR(SUMPRODUCT(SEARCH(MID(Metadata!B887,ROW(INDIRECT("1:"&amp;LEN(Metadata!B887))), 1),"0123456789abcdefghijklmnopqrstuvwxyzABCDEFGHIJKLMNOPQRSTUVWXYZ.")))))</f>
        <v>0</v>
      </c>
      <c r="AO887">
        <f>IF(Metadata!C887="",FALSE,TRUE)</f>
        <v>0</v>
      </c>
      <c r="AP887">
        <f>IF(Metadata!D887="",FALSE,TRUE)</f>
        <v>0</v>
      </c>
      <c r="AQ887">
        <f>OR(AND(IF(Metadata!E887="",FALSE,TRUE),OR(exact(Metadata!E887,"not collected"),exact(Metadata!E887,"not provided"),exact(Metadata!E887,"restricted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R887">
        <f>IF(Metadata!F887="",FALSE,TRUE)</f>
        <v>0</v>
      </c>
      <c r="AS887">
        <f>OR(AND(IF(Metadata!G887="",FALSE,TRUE),OR(exact(Metadata!G887,"not collected"),exact(Metadata!G887,"not provided"))),AND(IF(Metadata!G887="",FALSE,TRUE),OR(exact(Metadata!G887,"TRUE"),exact(Metadata!G887,"FALSE"))))</f>
        <v>0</v>
      </c>
      <c r="AT887">
        <f>OR(AND(IF(Metadata!H887="",FALSE,TRUE),OR(exact(Metadata!H887,"not collected"),exact(Metadata!H887,"not provided"),exact(Metadata!H887,"restricted access"))),AND(IF(Metadata!H887="",FALSE,ISNUMBER(VALUE(Metadata!H887))),Metadata!H887&gt;=-413.0))</f>
        <v>0</v>
      </c>
      <c r="AU887">
        <f>AND(IF(Metadata!I887="",FALSE,TRUE),exact(Metadata!I887,"meters"))</f>
        <v>0</v>
      </c>
      <c r="AV887">
        <f>AND(IF(Metadata!J887="",FALSE,TRUE),OR(exact(Metadata!J887,"Host-associated"),exact(Metadata!J887,"Free-living")))</f>
        <v>0</v>
      </c>
      <c r="AW887">
        <f>AND(IF(Metadata!K887="",FALSE,TRUE),OR(exact(Metadata!K887,"Animal"),exact(Metadata!K887,"Fungus"),exact(Metadata!K887,"Plant"),exact(Metadata!K887,"Saline"),exact(Metadata!K887,"Non-saline")))</f>
        <v>0</v>
      </c>
      <c r="AX887">
        <f>AND(IF(Metadata!L887="",FALSE,TRUE),OR(exact(Metadata!L887,"Plant secretion"),exact(Metadata!L887,"Plant rhizosphere"),exact(Metadata!L887,"Plant surface"),exact(Metadata!L887,"Plant corpus"),exact(Metadata!L887,"Fungus surface"),exact(Metadata!L887,"Fungus corpus"),exact(Metadata!L887,"Animal surface"),exact(Metadata!L887,"Animal proximal gut"),exact(Metadata!L887,"Animal corpus"),exact(Metadata!L887,"Animal distal gut"),exact(Metadata!L887,"Animal secretion"),exact(Metadata!L887,"Sub-surface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Y887">
        <f>IF(Metadata!M887="",FALSE,TRUE)</f>
        <v>0</v>
      </c>
      <c r="AZ887">
        <f>IF(Metadata!N887="",FALSE,TRUE)</f>
        <v>0</v>
      </c>
      <c r="BA887">
        <f>IF(Metadata!O887="",FALSE,TRUE)</f>
        <v>0</v>
      </c>
      <c r="BB887">
        <f>OR(AND(IF(Metadata!P887="",FALSE,TRUE),OR(exact(Metadata!P887,"not collected"),exact(Metadata!P887,"not provided"),exact(Metadata!P887,"restricted access"))),AND(IF(Metadata!P887="",FALSE,TRUE),OR(exact(Metadata!P887,"air"),exact(Metadata!P887,"built environment"),exact(Metadata!P887,"host-associated"),exact(Metadata!P887,"human-associated"),exact(Metadata!P887,"human-skin"),exact(Metadata!P887,"human-oral"),exact(Metadata!P887,"human-gut"),exact(Metadata!P887,"human-vaginal"),exact(Metadata!P887,"microbial mat/biofilm"),exact(Metadata!P887,"misc environment"),exact(Metadata!P887,"plant-associated"),exact(Metadata!P887,"sediment"),exact(Metadata!P887,"soil"),exact(Metadata!P887,"wastewater/sludge"),exact(Metadata!P887,"water"))))</f>
        <v>0</v>
      </c>
      <c r="BC887">
        <f>IF(Metadata!Q887="",FALSE,TRUE)</f>
        <v>0</v>
      </c>
      <c r="BD887">
        <f>IF(Metadata!R887="",FALSE,TRUE)</f>
        <v>0</v>
      </c>
      <c r="BE887">
        <f>OR(AND(IF(Metadata!S887="",FALSE,TRUE),OR(exact(Metadata!S887,"not collected"),exact(Metadata!S887,"not provided"),exact(Metadata!S887,"restricted access"))),AND(IF(Metadata!S887="",FALSE,ISNUMBER(VALUE(Metadata!S887))),Metadata!S887&gt;=-90.00,Metadata!S887&lt;=90.00))</f>
        <v>0</v>
      </c>
      <c r="BF887">
        <f>AND(IF(Metadata!T887="",FALSE,TRUE),exact(Metadata!T887,"Decimal degrees"))</f>
        <v>0</v>
      </c>
      <c r="BG887">
        <f>OR(AND(IF(Metadata!U887="",FALSE,TRUE),OR(exact(Metadata!U887,"not collected"),exact(Metadata!U887,"not provided"),exact(Metadata!U887,"restricted access"))),AND(IF(Metadata!U887="",FALSE,ISNUMBER(VALUE(Metadata!U887))),Metadata!U887&gt;=-180.00,Metadata!U887&lt;=180.00))</f>
        <v>0</v>
      </c>
      <c r="BH887">
        <f>AND(IF(Metadata!V887="",FALSE,TRUE),exact(Metadata!V887,"Decimal degrees"))</f>
        <v>0</v>
      </c>
      <c r="BI887">
        <f>IF(Metadata!W887="",FALSE,TRUE)</f>
        <v>0</v>
      </c>
      <c r="BJ887">
        <f>OR(AND(IF(Metadata!X887="",FALSE,TRUE),OR(exact(Metadata!X887,"not collected"),exact(Metadata!X887,"not provided"),exact(Metadata!X887,"restricted access"))),AND(IF(Metadata!X887="",FALSE,TRUE),OR(exact(Metadata!X887,"TRUE"),exact(Metadata!X887,"FALSE"))))</f>
        <v>0</v>
      </c>
      <c r="BK887">
        <f>AND(IF(Metadata!Y887="",FALSE,TRUE),exact(Metadata!Y887,"other"))</f>
        <v>0</v>
      </c>
      <c r="BL887">
        <f>IF(Metadata!Z887="",FALSE,TRUE)</f>
        <v>0</v>
      </c>
      <c r="BM887">
        <f>OR(AND(IF(Metadata!AA887="",FALSE,TRUE),OR(exact(Metadata!AA887,"not collected"),exact(Metadata!AA887,"not provided"))),AND(IF(Metadata!AA887="",FALSE,IF(ISERROR(INT(Metadata!AA887)),FALSE,INT(Metadata!AA887)=Metadata!AA887)),Metadata!AA887&gt;0))</f>
        <v>0</v>
      </c>
      <c r="BN887">
        <f>AND(IF(Metadata!AB887="",FALSE,TRUE),exact(Metadata!AB887,"Not applicable"))</f>
        <v>0</v>
      </c>
      <c r="BO887">
        <f>IF(Metadata!AC887="",FALSE,TRUE)</f>
        <v>0</v>
      </c>
    </row>
    <row r="888" spans="1:67">
      <c r="A888" s="5">
        <f>IF(B888=" "," ",HYPERLINK(CONCATENATE("#metadata!",ADDRESS(INDEX($AI$2:$AI$1001,MATCH(ROWS($AG$2:AG888),$AG$2:$AG$1001,0),0),1)),INDEX($AL$2:$AL$1001,MATCH(ROWS($AG$2:AG888),$AG$2:$AG$1001,0),0)))</f>
        <v>0</v>
      </c>
      <c r="B888" s="4">
        <f>IF(OR(INDEX($AH$2:$AH$1001,MATCH(ROWS($AG$2:AG888),$AG$2:$AG$1001,0),1)&gt;=100000,INDEX($AN$1005:$BO$1005,1,MATCH(COLUMNS($AN$1006:AN1006),$AN$1006:$BO$1006,0))&gt;=100000), " ",IF(INDEX($AN$2:$BO$1001,MATCH(ROWS($AG$2:AG888),$AG$2:$AG$1001,0),MATCH(COLUMNS($AN$1006:AN1006),$AN$1006:$BO$1006,0)), HYPERLINK("#",""), HYPERLINK(CONCATENATE("#Metadata!", ADDRESS(INDEX($AI$2:$AI$1001,MATCH(ROWS($AG$2:AG888),$AG$2:$AG$1001,0),0), INDEX($AN$1004:$BO$1004,1,MATCH(COLUMNS($AN$1006:AN1006),$AN$1006:$BO$1006,0)))),"Fix")))</f>
        <v>0</v>
      </c>
      <c r="C888" s="4">
        <f>IF(OR(INDEX($AH$2:$AH$1001,MATCH(ROWS($AG$2:AG888),$AG$2:$AG$1001,0),1)&gt;=100000,INDEX($AN$1005:$BO$1005,1,MATCH(COLUMNS($AN$1006:AO1006),$AN$1006:$BO$1006,0))&gt;=100000), " ",IF(INDEX($AN$2:$BO$1001,MATCH(ROWS($AG$2:AG888),$AG$2:$AG$1001,0),MATCH(COLUMNS($AN$1006:AO1006),$AN$1006:$BO$1006,0)), HYPERLINK("#",""), HYPERLINK(CONCATENATE("#Metadata!", ADDRESS(INDEX($AI$2:$AI$1001,MATCH(ROWS($AG$2:AG888),$AG$2:$AG$1001,0),0), INDEX($AN$1004:$BO$1004,1,MATCH(COLUMNS($AN$1006:AO1006),$AN$1006:$BO$1006,0)))),"Fix")))</f>
        <v>0</v>
      </c>
      <c r="D888" s="4">
        <f>IF(OR(INDEX($AH$2:$AH$1001,MATCH(ROWS($AG$2:AG888),$AG$2:$AG$1001,0),1)&gt;=100000,INDEX($AN$1005:$BO$1005,1,MATCH(COLUMNS($AN$1006:AP1006),$AN$1006:$BO$1006,0))&gt;=100000), " ",IF(INDEX($AN$2:$BO$1001,MATCH(ROWS($AG$2:AG888),$AG$2:$AG$1001,0),MATCH(COLUMNS($AN$1006:AP1006),$AN$1006:$BO$1006,0)), HYPERLINK("#",""), HYPERLINK(CONCATENATE("#Metadata!", ADDRESS(INDEX($AI$2:$AI$1001,MATCH(ROWS($AG$2:AG888),$AG$2:$AG$1001,0),0), INDEX($AN$1004:$BO$1004,1,MATCH(COLUMNS($AN$1006:AP1006),$AN$1006:$BO$1006,0)))),"Fix")))</f>
        <v>0</v>
      </c>
      <c r="E888" s="4">
        <f>IF(OR(INDEX($AH$2:$AH$1001,MATCH(ROWS($AG$2:AG888),$AG$2:$AG$1001,0),1)&gt;=100000,INDEX($AN$1005:$BO$1005,1,MATCH(COLUMNS($AN$1006:AQ1006),$AN$1006:$BO$1006,0))&gt;=100000), " ",IF(INDEX($AN$2:$BO$1001,MATCH(ROWS($AG$2:AG888),$AG$2:$AG$1001,0),MATCH(COLUMNS($AN$1006:AQ1006),$AN$1006:$BO$1006,0)), HYPERLINK("#",""), HYPERLINK(CONCATENATE("#Metadata!", ADDRESS(INDEX($AI$2:$AI$1001,MATCH(ROWS($AG$2:AG888),$AG$2:$AG$1001,0),0), INDEX($AN$1004:$BO$1004,1,MATCH(COLUMNS($AN$1006:AQ1006),$AN$1006:$BO$1006,0)))),"Fix")))</f>
        <v>0</v>
      </c>
      <c r="F888" s="4">
        <f>IF(OR(INDEX($AH$2:$AH$1001,MATCH(ROWS($AG$2:AG888),$AG$2:$AG$1001,0),1)&gt;=100000,INDEX($AN$1005:$BO$1005,1,MATCH(COLUMNS($AN$1006:AR1006),$AN$1006:$BO$1006,0))&gt;=100000), " ",IF(INDEX($AN$2:$BO$1001,MATCH(ROWS($AG$2:AG888),$AG$2:$AG$1001,0),MATCH(COLUMNS($AN$1006:AR1006),$AN$1006:$BO$1006,0)), HYPERLINK("#",""), HYPERLINK(CONCATENATE("#Metadata!", ADDRESS(INDEX($AI$2:$AI$1001,MATCH(ROWS($AG$2:AG888),$AG$2:$AG$1001,0),0), INDEX($AN$1004:$BO$1004,1,MATCH(COLUMNS($AN$1006:AR1006),$AN$1006:$BO$1006,0)))),"Fix")))</f>
        <v>0</v>
      </c>
      <c r="G888" s="4">
        <f>IF(OR(INDEX($AH$2:$AH$1001,MATCH(ROWS($AG$2:AG888),$AG$2:$AG$1001,0),1)&gt;=100000,INDEX($AN$1005:$BO$1005,1,MATCH(COLUMNS($AN$1006:AS1006),$AN$1006:$BO$1006,0))&gt;=100000), " ",IF(INDEX($AN$2:$BO$1001,MATCH(ROWS($AG$2:AG888),$AG$2:$AG$1001,0),MATCH(COLUMNS($AN$1006:AS1006),$AN$1006:$BO$1006,0)), HYPERLINK("#",""), HYPERLINK(CONCATENATE("#Metadata!", ADDRESS(INDEX($AI$2:$AI$1001,MATCH(ROWS($AG$2:AG888),$AG$2:$AG$1001,0),0), INDEX($AN$1004:$BO$1004,1,MATCH(COLUMNS($AN$1006:AS1006),$AN$1006:$BO$1006,0)))),"Fix")))</f>
        <v>0</v>
      </c>
      <c r="H888" s="4">
        <f>IF(OR(INDEX($AH$2:$AH$1001,MATCH(ROWS($AG$2:AG888),$AG$2:$AG$1001,0),1)&gt;=100000,INDEX($AN$1005:$BO$1005,1,MATCH(COLUMNS($AN$1006:AT1006),$AN$1006:$BO$1006,0))&gt;=100000), " ",IF(INDEX($AN$2:$BO$1001,MATCH(ROWS($AG$2:AG888),$AG$2:$AG$1001,0),MATCH(COLUMNS($AN$1006:AT1006),$AN$1006:$BO$1006,0)), HYPERLINK("#",""), HYPERLINK(CONCATENATE("#Metadata!", ADDRESS(INDEX($AI$2:$AI$1001,MATCH(ROWS($AG$2:AG888),$AG$2:$AG$1001,0),0), INDEX($AN$1004:$BO$1004,1,MATCH(COLUMNS($AN$1006:AT1006),$AN$1006:$BO$1006,0)))),"Fix")))</f>
        <v>0</v>
      </c>
      <c r="I888" s="4">
        <f>IF(OR(INDEX($AH$2:$AH$1001,MATCH(ROWS($AG$2:AG888),$AG$2:$AG$1001,0),1)&gt;=100000,INDEX($AN$1005:$BO$1005,1,MATCH(COLUMNS($AN$1006:AU1006),$AN$1006:$BO$1006,0))&gt;=100000), " ",IF(INDEX($AN$2:$BO$1001,MATCH(ROWS($AG$2:AG888),$AG$2:$AG$1001,0),MATCH(COLUMNS($AN$1006:AU1006),$AN$1006:$BO$1006,0)), HYPERLINK("#",""), HYPERLINK(CONCATENATE("#Metadata!", ADDRESS(INDEX($AI$2:$AI$1001,MATCH(ROWS($AG$2:AG888),$AG$2:$AG$1001,0),0), INDEX($AN$1004:$BO$1004,1,MATCH(COLUMNS($AN$1006:AU1006),$AN$1006:$BO$1006,0)))),"Fix")))</f>
        <v>0</v>
      </c>
      <c r="J888" s="4">
        <f>IF(OR(INDEX($AH$2:$AH$1001,MATCH(ROWS($AG$2:AG888),$AG$2:$AG$1001,0),1)&gt;=100000,INDEX($AN$1005:$BO$1005,1,MATCH(COLUMNS($AN$1006:AV1006),$AN$1006:$BO$1006,0))&gt;=100000), " ",IF(INDEX($AN$2:$BO$1001,MATCH(ROWS($AG$2:AG888),$AG$2:$AG$1001,0),MATCH(COLUMNS($AN$1006:AV1006),$AN$1006:$BO$1006,0)), HYPERLINK("#",""), HYPERLINK(CONCATENATE("#Metadata!", ADDRESS(INDEX($AI$2:$AI$1001,MATCH(ROWS($AG$2:AG888),$AG$2:$AG$1001,0),0), INDEX($AN$1004:$BO$1004,1,MATCH(COLUMNS($AN$1006:AV1006),$AN$1006:$BO$1006,0)))),"Fix")))</f>
        <v>0</v>
      </c>
      <c r="K888" s="4">
        <f>IF(OR(INDEX($AH$2:$AH$1001,MATCH(ROWS($AG$2:AG888),$AG$2:$AG$1001,0),1)&gt;=100000,INDEX($AN$1005:$BO$1005,1,MATCH(COLUMNS($AN$1006:AW1006),$AN$1006:$BO$1006,0))&gt;=100000), " ",IF(INDEX($AN$2:$BO$1001,MATCH(ROWS($AG$2:AG888),$AG$2:$AG$1001,0),MATCH(COLUMNS($AN$1006:AW1006),$AN$1006:$BO$1006,0)), HYPERLINK("#",""), HYPERLINK(CONCATENATE("#Metadata!", ADDRESS(INDEX($AI$2:$AI$1001,MATCH(ROWS($AG$2:AG888),$AG$2:$AG$1001,0),0), INDEX($AN$1004:$BO$1004,1,MATCH(COLUMNS($AN$1006:AW1006),$AN$1006:$BO$1006,0)))),"Fix")))</f>
        <v>0</v>
      </c>
      <c r="L888" s="4">
        <f>IF(OR(INDEX($AH$2:$AH$1001,MATCH(ROWS($AG$2:AG888),$AG$2:$AG$1001,0),1)&gt;=100000,INDEX($AN$1005:$BO$1005,1,MATCH(COLUMNS($AN$1006:AX1006),$AN$1006:$BO$1006,0))&gt;=100000), " ",IF(INDEX($AN$2:$BO$1001,MATCH(ROWS($AG$2:AG888),$AG$2:$AG$1001,0),MATCH(COLUMNS($AN$1006:AX1006),$AN$1006:$BO$1006,0)), HYPERLINK("#",""), HYPERLINK(CONCATENATE("#Metadata!", ADDRESS(INDEX($AI$2:$AI$1001,MATCH(ROWS($AG$2:AG888),$AG$2:$AG$1001,0),0), INDEX($AN$1004:$BO$1004,1,MATCH(COLUMNS($AN$1006:AX1006),$AN$1006:$BO$1006,0)))),"Fix")))</f>
        <v>0</v>
      </c>
      <c r="M888" s="4">
        <f>IF(OR(INDEX($AH$2:$AH$1001,MATCH(ROWS($AG$2:AG888),$AG$2:$AG$1001,0),1)&gt;=100000,INDEX($AN$1005:$BO$1005,1,MATCH(COLUMNS($AN$1006:AY1006),$AN$1006:$BO$1006,0))&gt;=100000), " ",IF(INDEX($AN$2:$BO$1001,MATCH(ROWS($AG$2:AG888),$AG$2:$AG$1001,0),MATCH(COLUMNS($AN$1006:AY1006),$AN$1006:$BO$1006,0)), HYPERLINK("#",""), HYPERLINK(CONCATENATE("#Metadata!", ADDRESS(INDEX($AI$2:$AI$1001,MATCH(ROWS($AG$2:AG888),$AG$2:$AG$1001,0),0), INDEX($AN$1004:$BO$1004,1,MATCH(COLUMNS($AN$1006:AY1006),$AN$1006:$BO$1006,0)))),"Fix")))</f>
        <v>0</v>
      </c>
      <c r="N888" s="4">
        <f>IF(OR(INDEX($AH$2:$AH$1001,MATCH(ROWS($AG$2:AG888),$AG$2:$AG$1001,0),1)&gt;=100000,INDEX($AN$1005:$BO$1005,1,MATCH(COLUMNS($AN$1006:AZ1006),$AN$1006:$BO$1006,0))&gt;=100000), " ",IF(INDEX($AN$2:$BO$1001,MATCH(ROWS($AG$2:AG888),$AG$2:$AG$1001,0),MATCH(COLUMNS($AN$1006:AZ1006),$AN$1006:$BO$1006,0)), HYPERLINK("#",""), HYPERLINK(CONCATENATE("#Metadata!", ADDRESS(INDEX($AI$2:$AI$1001,MATCH(ROWS($AG$2:AG888),$AG$2:$AG$1001,0),0), INDEX($AN$1004:$BO$1004,1,MATCH(COLUMNS($AN$1006:AZ1006),$AN$1006:$BO$1006,0)))),"Fix")))</f>
        <v>0</v>
      </c>
      <c r="O888" s="4">
        <f>IF(OR(INDEX($AH$2:$AH$1001,MATCH(ROWS($AG$2:AG888),$AG$2:$AG$1001,0),1)&gt;=100000,INDEX($AN$1005:$BO$1005,1,MATCH(COLUMNS($AN$1006:BA1006),$AN$1006:$BO$1006,0))&gt;=100000), " ",IF(INDEX($AN$2:$BO$1001,MATCH(ROWS($AG$2:AG888),$AG$2:$AG$1001,0),MATCH(COLUMNS($AN$1006:BA1006),$AN$1006:$BO$1006,0)), HYPERLINK("#",""), HYPERLINK(CONCATENATE("#Metadata!", ADDRESS(INDEX($AI$2:$AI$1001,MATCH(ROWS($AG$2:AG888),$AG$2:$AG$1001,0),0), INDEX($AN$1004:$BO$1004,1,MATCH(COLUMNS($AN$1006:BA1006),$AN$1006:$BO$1006,0)))),"Fix")))</f>
        <v>0</v>
      </c>
      <c r="P888" s="4">
        <f>IF(OR(INDEX($AH$2:$AH$1001,MATCH(ROWS($AG$2:AG888),$AG$2:$AG$1001,0),1)&gt;=100000,INDEX($AN$1005:$BO$1005,1,MATCH(COLUMNS($AN$1006:BB1006),$AN$1006:$BO$1006,0))&gt;=100000), " ",IF(INDEX($AN$2:$BO$1001,MATCH(ROWS($AG$2:AG888),$AG$2:$AG$1001,0),MATCH(COLUMNS($AN$1006:BB1006),$AN$1006:$BO$1006,0)), HYPERLINK("#",""), HYPERLINK(CONCATENATE("#Metadata!", ADDRESS(INDEX($AI$2:$AI$1001,MATCH(ROWS($AG$2:AG888),$AG$2:$AG$1001,0),0), INDEX($AN$1004:$BO$1004,1,MATCH(COLUMNS($AN$1006:BB1006),$AN$1006:$BO$1006,0)))),"Fix")))</f>
        <v>0</v>
      </c>
      <c r="Q888" s="4">
        <f>IF(OR(INDEX($AH$2:$AH$1001,MATCH(ROWS($AG$2:AG888),$AG$2:$AG$1001,0),1)&gt;=100000,INDEX($AN$1005:$BO$1005,1,MATCH(COLUMNS($AN$1006:BC1006),$AN$1006:$BO$1006,0))&gt;=100000), " ",IF(INDEX($AN$2:$BO$1001,MATCH(ROWS($AG$2:AG888),$AG$2:$AG$1001,0),MATCH(COLUMNS($AN$1006:BC1006),$AN$1006:$BO$1006,0)), HYPERLINK("#",""), HYPERLINK(CONCATENATE("#Metadata!", ADDRESS(INDEX($AI$2:$AI$1001,MATCH(ROWS($AG$2:AG888),$AG$2:$AG$1001,0),0), INDEX($AN$1004:$BO$1004,1,MATCH(COLUMNS($AN$1006:BC1006),$AN$1006:$BO$1006,0)))),"Fix")))</f>
        <v>0</v>
      </c>
      <c r="R888" s="4">
        <f>IF(OR(INDEX($AH$2:$AH$1001,MATCH(ROWS($AG$2:AG888),$AG$2:$AG$1001,0),1)&gt;=100000,INDEX($AN$1005:$BO$1005,1,MATCH(COLUMNS($AN$1006:BD1006),$AN$1006:$BO$1006,0))&gt;=100000), " ",IF(INDEX($AN$2:$BO$1001,MATCH(ROWS($AG$2:AG888),$AG$2:$AG$1001,0),MATCH(COLUMNS($AN$1006:BD1006),$AN$1006:$BO$1006,0)), HYPERLINK("#",""), HYPERLINK(CONCATENATE("#Metadata!", ADDRESS(INDEX($AI$2:$AI$1001,MATCH(ROWS($AG$2:AG888),$AG$2:$AG$1001,0),0), INDEX($AN$1004:$BO$1004,1,MATCH(COLUMNS($AN$1006:BD1006),$AN$1006:$BO$1006,0)))),"Fix")))</f>
        <v>0</v>
      </c>
      <c r="S888" s="4">
        <f>IF(OR(INDEX($AH$2:$AH$1001,MATCH(ROWS($AG$2:AG888),$AG$2:$AG$1001,0),1)&gt;=100000,INDEX($AN$1005:$BO$1005,1,MATCH(COLUMNS($AN$1006:BE1006),$AN$1006:$BO$1006,0))&gt;=100000), " ",IF(INDEX($AN$2:$BO$1001,MATCH(ROWS($AG$2:AG888),$AG$2:$AG$1001,0),MATCH(COLUMNS($AN$1006:BE1006),$AN$1006:$BO$1006,0)), HYPERLINK("#",""), HYPERLINK(CONCATENATE("#Metadata!", ADDRESS(INDEX($AI$2:$AI$1001,MATCH(ROWS($AG$2:AG888),$AG$2:$AG$1001,0),0), INDEX($AN$1004:$BO$1004,1,MATCH(COLUMNS($AN$1006:BE1006),$AN$1006:$BO$1006,0)))),"Fix")))</f>
        <v>0</v>
      </c>
      <c r="T888" s="4">
        <f>IF(OR(INDEX($AH$2:$AH$1001,MATCH(ROWS($AG$2:AG888),$AG$2:$AG$1001,0),1)&gt;=100000,INDEX($AN$1005:$BO$1005,1,MATCH(COLUMNS($AN$1006:BF1006),$AN$1006:$BO$1006,0))&gt;=100000), " ",IF(INDEX($AN$2:$BO$1001,MATCH(ROWS($AG$2:AG888),$AG$2:$AG$1001,0),MATCH(COLUMNS($AN$1006:BF1006),$AN$1006:$BO$1006,0)), HYPERLINK("#",""), HYPERLINK(CONCATENATE("#Metadata!", ADDRESS(INDEX($AI$2:$AI$1001,MATCH(ROWS($AG$2:AG888),$AG$2:$AG$1001,0),0), INDEX($AN$1004:$BO$1004,1,MATCH(COLUMNS($AN$1006:BF1006),$AN$1006:$BO$1006,0)))),"Fix")))</f>
        <v>0</v>
      </c>
      <c r="U888" s="4">
        <f>IF(OR(INDEX($AH$2:$AH$1001,MATCH(ROWS($AG$2:AG888),$AG$2:$AG$1001,0),1)&gt;=100000,INDEX($AN$1005:$BO$1005,1,MATCH(COLUMNS($AN$1006:BG1006),$AN$1006:$BO$1006,0))&gt;=100000), " ",IF(INDEX($AN$2:$BO$1001,MATCH(ROWS($AG$2:AG888),$AG$2:$AG$1001,0),MATCH(COLUMNS($AN$1006:BG1006),$AN$1006:$BO$1006,0)), HYPERLINK("#",""), HYPERLINK(CONCATENATE("#Metadata!", ADDRESS(INDEX($AI$2:$AI$1001,MATCH(ROWS($AG$2:AG888),$AG$2:$AG$1001,0),0), INDEX($AN$1004:$BO$1004,1,MATCH(COLUMNS($AN$1006:BG1006),$AN$1006:$BO$1006,0)))),"Fix")))</f>
        <v>0</v>
      </c>
      <c r="V888" s="4">
        <f>IF(OR(INDEX($AH$2:$AH$1001,MATCH(ROWS($AG$2:AG888),$AG$2:$AG$1001,0),1)&gt;=100000,INDEX($AN$1005:$BO$1005,1,MATCH(COLUMNS($AN$1006:BH1006),$AN$1006:$BO$1006,0))&gt;=100000), " ",IF(INDEX($AN$2:$BO$1001,MATCH(ROWS($AG$2:AG888),$AG$2:$AG$1001,0),MATCH(COLUMNS($AN$1006:BH1006),$AN$1006:$BO$1006,0)), HYPERLINK("#",""), HYPERLINK(CONCATENATE("#Metadata!", ADDRESS(INDEX($AI$2:$AI$1001,MATCH(ROWS($AG$2:AG888),$AG$2:$AG$1001,0),0), INDEX($AN$1004:$BO$1004,1,MATCH(COLUMNS($AN$1006:BH1006),$AN$1006:$BO$1006,0)))),"Fix")))</f>
        <v>0</v>
      </c>
      <c r="W888" s="4">
        <f>IF(OR(INDEX($AH$2:$AH$1001,MATCH(ROWS($AG$2:AG888),$AG$2:$AG$1001,0),1)&gt;=100000,INDEX($AN$1005:$BO$1005,1,MATCH(COLUMNS($AN$1006:BI1006),$AN$1006:$BO$1006,0))&gt;=100000), " ",IF(INDEX($AN$2:$BO$1001,MATCH(ROWS($AG$2:AG888),$AG$2:$AG$1001,0),MATCH(COLUMNS($AN$1006:BI1006),$AN$1006:$BO$1006,0)), HYPERLINK("#",""), HYPERLINK(CONCATENATE("#Metadata!", ADDRESS(INDEX($AI$2:$AI$1001,MATCH(ROWS($AG$2:AG888),$AG$2:$AG$1001,0),0), INDEX($AN$1004:$BO$1004,1,MATCH(COLUMNS($AN$1006:BI1006),$AN$1006:$BO$1006,0)))),"Fix")))</f>
        <v>0</v>
      </c>
      <c r="X888" s="4">
        <f>IF(OR(INDEX($AH$2:$AH$1001,MATCH(ROWS($AG$2:AG888),$AG$2:$AG$1001,0),1)&gt;=100000,INDEX($AN$1005:$BO$1005,1,MATCH(COLUMNS($AN$1006:BJ1006),$AN$1006:$BO$1006,0))&gt;=100000), " ",IF(INDEX($AN$2:$BO$1001,MATCH(ROWS($AG$2:AG888),$AG$2:$AG$1001,0),MATCH(COLUMNS($AN$1006:BJ1006),$AN$1006:$BO$1006,0)), HYPERLINK("#",""), HYPERLINK(CONCATENATE("#Metadata!", ADDRESS(INDEX($AI$2:$AI$1001,MATCH(ROWS($AG$2:AG888),$AG$2:$AG$1001,0),0), INDEX($AN$1004:$BO$1004,1,MATCH(COLUMNS($AN$1006:BJ1006),$AN$1006:$BO$1006,0)))),"Fix")))</f>
        <v>0</v>
      </c>
      <c r="Y888" s="4">
        <f>IF(OR(INDEX($AH$2:$AH$1001,MATCH(ROWS($AG$2:AG888),$AG$2:$AG$1001,0),1)&gt;=100000,INDEX($AN$1005:$BO$1005,1,MATCH(COLUMNS($AN$1006:BK1006),$AN$1006:$BO$1006,0))&gt;=100000), " ",IF(INDEX($AN$2:$BO$1001,MATCH(ROWS($AG$2:AG888),$AG$2:$AG$1001,0),MATCH(COLUMNS($AN$1006:BK1006),$AN$1006:$BO$1006,0)), HYPERLINK("#",""), HYPERLINK(CONCATENATE("#Metadata!", ADDRESS(INDEX($AI$2:$AI$1001,MATCH(ROWS($AG$2:AG888),$AG$2:$AG$1001,0),0), INDEX($AN$1004:$BO$1004,1,MATCH(COLUMNS($AN$1006:BK1006),$AN$1006:$BO$1006,0)))),"Fix")))</f>
        <v>0</v>
      </c>
      <c r="Z888" s="4">
        <f>IF(OR(INDEX($AH$2:$AH$1001,MATCH(ROWS($AG$2:AG888),$AG$2:$AG$1001,0),1)&gt;=100000,INDEX($AN$1005:$BO$1005,1,MATCH(COLUMNS($AN$1006:BL1006),$AN$1006:$BO$1006,0))&gt;=100000), " ",IF(INDEX($AN$2:$BO$1001,MATCH(ROWS($AG$2:AG888),$AG$2:$AG$1001,0),MATCH(COLUMNS($AN$1006:BL1006),$AN$1006:$BO$1006,0)), HYPERLINK("#",""), HYPERLINK(CONCATENATE("#Metadata!", ADDRESS(INDEX($AI$2:$AI$1001,MATCH(ROWS($AG$2:AG888),$AG$2:$AG$1001,0),0), INDEX($AN$1004:$BO$1004,1,MATCH(COLUMNS($AN$1006:BL1006),$AN$1006:$BO$1006,0)))),"Fix")))</f>
        <v>0</v>
      </c>
      <c r="AA888" s="4">
        <f>IF(OR(INDEX($AH$2:$AH$1001,MATCH(ROWS($AG$2:AG888),$AG$2:$AG$1001,0),1)&gt;=100000,INDEX($AN$1005:$BO$1005,1,MATCH(COLUMNS($AN$1006:BM1006),$AN$1006:$BO$1006,0))&gt;=100000), " ",IF(INDEX($AN$2:$BO$1001,MATCH(ROWS($AG$2:AG888),$AG$2:$AG$1001,0),MATCH(COLUMNS($AN$1006:BM1006),$AN$1006:$BO$1006,0)), HYPERLINK("#",""), HYPERLINK(CONCATENATE("#Metadata!", ADDRESS(INDEX($AI$2:$AI$1001,MATCH(ROWS($AG$2:AG888),$AG$2:$AG$1001,0),0), INDEX($AN$1004:$BO$1004,1,MATCH(COLUMNS($AN$1006:BM1006),$AN$1006:$BO$1006,0)))),"Fix")))</f>
        <v>0</v>
      </c>
      <c r="AB888" s="4">
        <f>IF(OR(INDEX($AH$2:$AH$1001,MATCH(ROWS($AG$2:AG888),$AG$2:$AG$1001,0),1)&gt;=100000,INDEX($AN$1005:$BO$1005,1,MATCH(COLUMNS($AN$1006:BN1006),$AN$1006:$BO$1006,0))&gt;=100000), " ",IF(INDEX($AN$2:$BO$1001,MATCH(ROWS($AG$2:AG888),$AG$2:$AG$1001,0),MATCH(COLUMNS($AN$1006:BN1006),$AN$1006:$BO$1006,0)), HYPERLINK("#",""), HYPERLINK(CONCATENATE("#Metadata!", ADDRESS(INDEX($AI$2:$AI$1001,MATCH(ROWS($AG$2:AG888),$AG$2:$AG$1001,0),0), INDEX($AN$1004:$BO$1004,1,MATCH(COLUMNS($AN$1006:BN1006),$AN$1006:$BO$1006,0)))),"Fix")))</f>
        <v>0</v>
      </c>
      <c r="AC888" s="4">
        <f>IF(OR(INDEX($AH$2:$AH$1001,MATCH(ROWS($AG$2:AG888),$AG$2:$AG$1001,0),1)&gt;=100000,INDEX($AN$1005:$BO$1005,1,MATCH(COLUMNS($AN$1006:BO1006),$AN$1006:$BO$1006,0))&gt;=100000), " ",IF(INDEX($AN$2:$BO$1001,MATCH(ROWS($AG$2:AG888),$AG$2:$AG$1001,0),MATCH(COLUMNS($AN$1006:BO1006),$AN$1006:$BO$1006,0)), HYPERLINK("#",""), HYPERLINK(CONCATENATE("#Metadata!", ADDRESS(INDEX($AI$2:$AI$1001,MATCH(ROWS($AG$2:AG888),$AG$2:$AG$1001,0),0), INDEX($AN$1004:$BO$1004,1,MATCH(COLUMNS($AN$1006:BO1006),$AN$1006:$BO$1006,0)))),"Fix")))</f>
        <v>0</v>
      </c>
      <c r="AG888">
        <v>0</v>
      </c>
      <c r="AH888">
        <v>0</v>
      </c>
      <c r="AI888">
        <v>0</v>
      </c>
      <c r="AJ888">
        <f>IF(AK888,TRUE,AND(AN888:BO888))</f>
        <v>0</v>
      </c>
      <c r="AK888">
        <f>COUNTBLANK(Metadata!B888:AC888)=COLUMNS(Metadata!B888:AC888)</f>
        <v>0</v>
      </c>
      <c r="AL888">
        <v>0</v>
      </c>
      <c r="AN888">
        <f>AND(IF(Metadata!B888="",FALSE,TRUE),COUNTIF(Metadata!B:B, Metadata!B888) = 1,NOT(ISERROR(SUMPRODUCT(SEARCH(MID(Metadata!B888,ROW(INDIRECT("1:"&amp;LEN(Metadata!B888))), 1),"0123456789abcdefghijklmnopqrstuvwxyzABCDEFGHIJKLMNOPQRSTUVWXYZ.")))))</f>
        <v>0</v>
      </c>
      <c r="AO888">
        <f>IF(Metadata!C888="",FALSE,TRUE)</f>
        <v>0</v>
      </c>
      <c r="AP888">
        <f>IF(Metadata!D888="",FALSE,TRUE)</f>
        <v>0</v>
      </c>
      <c r="AQ888">
        <f>OR(AND(IF(Metadata!E888="",FALSE,TRUE),OR(exact(Metadata!E888,"not collected"),exact(Metadata!E888,"not provided"),exact(Metadata!E888,"restricted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R888">
        <f>IF(Metadata!F888="",FALSE,TRUE)</f>
        <v>0</v>
      </c>
      <c r="AS888">
        <f>OR(AND(IF(Metadata!G888="",FALSE,TRUE),OR(exact(Metadata!G888,"not collected"),exact(Metadata!G888,"not provided"))),AND(IF(Metadata!G888="",FALSE,TRUE),OR(exact(Metadata!G888,"TRUE"),exact(Metadata!G888,"FALSE"))))</f>
        <v>0</v>
      </c>
      <c r="AT888">
        <f>OR(AND(IF(Metadata!H888="",FALSE,TRUE),OR(exact(Metadata!H888,"not collected"),exact(Metadata!H888,"not provided"),exact(Metadata!H888,"restricted access"))),AND(IF(Metadata!H888="",FALSE,ISNUMBER(VALUE(Metadata!H888))),Metadata!H888&gt;=-413.0))</f>
        <v>0</v>
      </c>
      <c r="AU888">
        <f>AND(IF(Metadata!I888="",FALSE,TRUE),exact(Metadata!I888,"meters"))</f>
        <v>0</v>
      </c>
      <c r="AV888">
        <f>AND(IF(Metadata!J888="",FALSE,TRUE),OR(exact(Metadata!J888,"Host-associated"),exact(Metadata!J888,"Free-living")))</f>
        <v>0</v>
      </c>
      <c r="AW888">
        <f>AND(IF(Metadata!K888="",FALSE,TRUE),OR(exact(Metadata!K888,"Animal"),exact(Metadata!K888,"Fungus"),exact(Metadata!K888,"Plant"),exact(Metadata!K888,"Saline"),exact(Metadata!K888,"Non-saline")))</f>
        <v>0</v>
      </c>
      <c r="AX888">
        <f>AND(IF(Metadata!L888="",FALSE,TRUE),OR(exact(Metadata!L888,"Plant secretion"),exact(Metadata!L888,"Plant rhizosphere"),exact(Metadata!L888,"Plant surface"),exact(Metadata!L888,"Plant corpus"),exact(Metadata!L888,"Fungus surface"),exact(Metadata!L888,"Fungus corpus"),exact(Metadata!L888,"Animal surface"),exact(Metadata!L888,"Animal proximal gut"),exact(Metadata!L888,"Animal corpus"),exact(Metadata!L888,"Animal distal gut"),exact(Metadata!L888,"Animal secretion"),exact(Metadata!L888,"Sub-surface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Y888">
        <f>IF(Metadata!M888="",FALSE,TRUE)</f>
        <v>0</v>
      </c>
      <c r="AZ888">
        <f>IF(Metadata!N888="",FALSE,TRUE)</f>
        <v>0</v>
      </c>
      <c r="BA888">
        <f>IF(Metadata!O888="",FALSE,TRUE)</f>
        <v>0</v>
      </c>
      <c r="BB888">
        <f>OR(AND(IF(Metadata!P888="",FALSE,TRUE),OR(exact(Metadata!P888,"not collected"),exact(Metadata!P888,"not provided"),exact(Metadata!P888,"restricted access"))),AND(IF(Metadata!P888="",FALSE,TRUE),OR(exact(Metadata!P888,"air"),exact(Metadata!P888,"built environment"),exact(Metadata!P888,"host-associated"),exact(Metadata!P888,"human-associated"),exact(Metadata!P888,"human-skin"),exact(Metadata!P888,"human-oral"),exact(Metadata!P888,"human-gut"),exact(Metadata!P888,"human-vaginal"),exact(Metadata!P888,"microbial mat/biofilm"),exact(Metadata!P888,"misc environment"),exact(Metadata!P888,"plant-associated"),exact(Metadata!P888,"sediment"),exact(Metadata!P888,"soil"),exact(Metadata!P888,"wastewater/sludge"),exact(Metadata!P888,"water"))))</f>
        <v>0</v>
      </c>
      <c r="BC888">
        <f>IF(Metadata!Q888="",FALSE,TRUE)</f>
        <v>0</v>
      </c>
      <c r="BD888">
        <f>IF(Metadata!R888="",FALSE,TRUE)</f>
        <v>0</v>
      </c>
      <c r="BE888">
        <f>OR(AND(IF(Metadata!S888="",FALSE,TRUE),OR(exact(Metadata!S888,"not collected"),exact(Metadata!S888,"not provided"),exact(Metadata!S888,"restricted access"))),AND(IF(Metadata!S888="",FALSE,ISNUMBER(VALUE(Metadata!S888))),Metadata!S888&gt;=-90.00,Metadata!S888&lt;=90.00))</f>
        <v>0</v>
      </c>
      <c r="BF888">
        <f>AND(IF(Metadata!T888="",FALSE,TRUE),exact(Metadata!T888,"Decimal degrees"))</f>
        <v>0</v>
      </c>
      <c r="BG888">
        <f>OR(AND(IF(Metadata!U888="",FALSE,TRUE),OR(exact(Metadata!U888,"not collected"),exact(Metadata!U888,"not provided"),exact(Metadata!U888,"restricted access"))),AND(IF(Metadata!U888="",FALSE,ISNUMBER(VALUE(Metadata!U888))),Metadata!U888&gt;=-180.00,Metadata!U888&lt;=180.00))</f>
        <v>0</v>
      </c>
      <c r="BH888">
        <f>AND(IF(Metadata!V888="",FALSE,TRUE),exact(Metadata!V888,"Decimal degrees"))</f>
        <v>0</v>
      </c>
      <c r="BI888">
        <f>IF(Metadata!W888="",FALSE,TRUE)</f>
        <v>0</v>
      </c>
      <c r="BJ888">
        <f>OR(AND(IF(Metadata!X888="",FALSE,TRUE),OR(exact(Metadata!X888,"not collected"),exact(Metadata!X888,"not provided"),exact(Metadata!X888,"restricted access"))),AND(IF(Metadata!X888="",FALSE,TRUE),OR(exact(Metadata!X888,"TRUE"),exact(Metadata!X888,"FALSE"))))</f>
        <v>0</v>
      </c>
      <c r="BK888">
        <f>AND(IF(Metadata!Y888="",FALSE,TRUE),exact(Metadata!Y888,"other"))</f>
        <v>0</v>
      </c>
      <c r="BL888">
        <f>IF(Metadata!Z888="",FALSE,TRUE)</f>
        <v>0</v>
      </c>
      <c r="BM888">
        <f>OR(AND(IF(Metadata!AA888="",FALSE,TRUE),OR(exact(Metadata!AA888,"not collected"),exact(Metadata!AA888,"not provided"))),AND(IF(Metadata!AA888="",FALSE,IF(ISERROR(INT(Metadata!AA888)),FALSE,INT(Metadata!AA888)=Metadata!AA888)),Metadata!AA888&gt;0))</f>
        <v>0</v>
      </c>
      <c r="BN888">
        <f>AND(IF(Metadata!AB888="",FALSE,TRUE),exact(Metadata!AB888,"Not applicable"))</f>
        <v>0</v>
      </c>
      <c r="BO888">
        <f>IF(Metadata!AC888="",FALSE,TRUE)</f>
        <v>0</v>
      </c>
    </row>
    <row r="889" spans="1:67">
      <c r="A889" s="5">
        <f>IF(B889=" "," ",HYPERLINK(CONCATENATE("#metadata!",ADDRESS(INDEX($AI$2:$AI$1001,MATCH(ROWS($AG$2:AG889),$AG$2:$AG$1001,0),0),1)),INDEX($AL$2:$AL$1001,MATCH(ROWS($AG$2:AG889),$AG$2:$AG$1001,0),0)))</f>
        <v>0</v>
      </c>
      <c r="B889" s="4">
        <f>IF(OR(INDEX($AH$2:$AH$1001,MATCH(ROWS($AG$2:AG889),$AG$2:$AG$1001,0),1)&gt;=100000,INDEX($AN$1005:$BO$1005,1,MATCH(COLUMNS($AN$1006:AN1006),$AN$1006:$BO$1006,0))&gt;=100000), " ",IF(INDEX($AN$2:$BO$1001,MATCH(ROWS($AG$2:AG889),$AG$2:$AG$1001,0),MATCH(COLUMNS($AN$1006:AN1006),$AN$1006:$BO$1006,0)), HYPERLINK("#",""), HYPERLINK(CONCATENATE("#Metadata!", ADDRESS(INDEX($AI$2:$AI$1001,MATCH(ROWS($AG$2:AG889),$AG$2:$AG$1001,0),0), INDEX($AN$1004:$BO$1004,1,MATCH(COLUMNS($AN$1006:AN1006),$AN$1006:$BO$1006,0)))),"Fix")))</f>
        <v>0</v>
      </c>
      <c r="C889" s="4">
        <f>IF(OR(INDEX($AH$2:$AH$1001,MATCH(ROWS($AG$2:AG889),$AG$2:$AG$1001,0),1)&gt;=100000,INDEX($AN$1005:$BO$1005,1,MATCH(COLUMNS($AN$1006:AO1006),$AN$1006:$BO$1006,0))&gt;=100000), " ",IF(INDEX($AN$2:$BO$1001,MATCH(ROWS($AG$2:AG889),$AG$2:$AG$1001,0),MATCH(COLUMNS($AN$1006:AO1006),$AN$1006:$BO$1006,0)), HYPERLINK("#",""), HYPERLINK(CONCATENATE("#Metadata!", ADDRESS(INDEX($AI$2:$AI$1001,MATCH(ROWS($AG$2:AG889),$AG$2:$AG$1001,0),0), INDEX($AN$1004:$BO$1004,1,MATCH(COLUMNS($AN$1006:AO1006),$AN$1006:$BO$1006,0)))),"Fix")))</f>
        <v>0</v>
      </c>
      <c r="D889" s="4">
        <f>IF(OR(INDEX($AH$2:$AH$1001,MATCH(ROWS($AG$2:AG889),$AG$2:$AG$1001,0),1)&gt;=100000,INDEX($AN$1005:$BO$1005,1,MATCH(COLUMNS($AN$1006:AP1006),$AN$1006:$BO$1006,0))&gt;=100000), " ",IF(INDEX($AN$2:$BO$1001,MATCH(ROWS($AG$2:AG889),$AG$2:$AG$1001,0),MATCH(COLUMNS($AN$1006:AP1006),$AN$1006:$BO$1006,0)), HYPERLINK("#",""), HYPERLINK(CONCATENATE("#Metadata!", ADDRESS(INDEX($AI$2:$AI$1001,MATCH(ROWS($AG$2:AG889),$AG$2:$AG$1001,0),0), INDEX($AN$1004:$BO$1004,1,MATCH(COLUMNS($AN$1006:AP1006),$AN$1006:$BO$1006,0)))),"Fix")))</f>
        <v>0</v>
      </c>
      <c r="E889" s="4">
        <f>IF(OR(INDEX($AH$2:$AH$1001,MATCH(ROWS($AG$2:AG889),$AG$2:$AG$1001,0),1)&gt;=100000,INDEX($AN$1005:$BO$1005,1,MATCH(COLUMNS($AN$1006:AQ1006),$AN$1006:$BO$1006,0))&gt;=100000), " ",IF(INDEX($AN$2:$BO$1001,MATCH(ROWS($AG$2:AG889),$AG$2:$AG$1001,0),MATCH(COLUMNS($AN$1006:AQ1006),$AN$1006:$BO$1006,0)), HYPERLINK("#",""), HYPERLINK(CONCATENATE("#Metadata!", ADDRESS(INDEX($AI$2:$AI$1001,MATCH(ROWS($AG$2:AG889),$AG$2:$AG$1001,0),0), INDEX($AN$1004:$BO$1004,1,MATCH(COLUMNS($AN$1006:AQ1006),$AN$1006:$BO$1006,0)))),"Fix")))</f>
        <v>0</v>
      </c>
      <c r="F889" s="4">
        <f>IF(OR(INDEX($AH$2:$AH$1001,MATCH(ROWS($AG$2:AG889),$AG$2:$AG$1001,0),1)&gt;=100000,INDEX($AN$1005:$BO$1005,1,MATCH(COLUMNS($AN$1006:AR1006),$AN$1006:$BO$1006,0))&gt;=100000), " ",IF(INDEX($AN$2:$BO$1001,MATCH(ROWS($AG$2:AG889),$AG$2:$AG$1001,0),MATCH(COLUMNS($AN$1006:AR1006),$AN$1006:$BO$1006,0)), HYPERLINK("#",""), HYPERLINK(CONCATENATE("#Metadata!", ADDRESS(INDEX($AI$2:$AI$1001,MATCH(ROWS($AG$2:AG889),$AG$2:$AG$1001,0),0), INDEX($AN$1004:$BO$1004,1,MATCH(COLUMNS($AN$1006:AR1006),$AN$1006:$BO$1006,0)))),"Fix")))</f>
        <v>0</v>
      </c>
      <c r="G889" s="4">
        <f>IF(OR(INDEX($AH$2:$AH$1001,MATCH(ROWS($AG$2:AG889),$AG$2:$AG$1001,0),1)&gt;=100000,INDEX($AN$1005:$BO$1005,1,MATCH(COLUMNS($AN$1006:AS1006),$AN$1006:$BO$1006,0))&gt;=100000), " ",IF(INDEX($AN$2:$BO$1001,MATCH(ROWS($AG$2:AG889),$AG$2:$AG$1001,0),MATCH(COLUMNS($AN$1006:AS1006),$AN$1006:$BO$1006,0)), HYPERLINK("#",""), HYPERLINK(CONCATENATE("#Metadata!", ADDRESS(INDEX($AI$2:$AI$1001,MATCH(ROWS($AG$2:AG889),$AG$2:$AG$1001,0),0), INDEX($AN$1004:$BO$1004,1,MATCH(COLUMNS($AN$1006:AS1006),$AN$1006:$BO$1006,0)))),"Fix")))</f>
        <v>0</v>
      </c>
      <c r="H889" s="4">
        <f>IF(OR(INDEX($AH$2:$AH$1001,MATCH(ROWS($AG$2:AG889),$AG$2:$AG$1001,0),1)&gt;=100000,INDEX($AN$1005:$BO$1005,1,MATCH(COLUMNS($AN$1006:AT1006),$AN$1006:$BO$1006,0))&gt;=100000), " ",IF(INDEX($AN$2:$BO$1001,MATCH(ROWS($AG$2:AG889),$AG$2:$AG$1001,0),MATCH(COLUMNS($AN$1006:AT1006),$AN$1006:$BO$1006,0)), HYPERLINK("#",""), HYPERLINK(CONCATENATE("#Metadata!", ADDRESS(INDEX($AI$2:$AI$1001,MATCH(ROWS($AG$2:AG889),$AG$2:$AG$1001,0),0), INDEX($AN$1004:$BO$1004,1,MATCH(COLUMNS($AN$1006:AT1006),$AN$1006:$BO$1006,0)))),"Fix")))</f>
        <v>0</v>
      </c>
      <c r="I889" s="4">
        <f>IF(OR(INDEX($AH$2:$AH$1001,MATCH(ROWS($AG$2:AG889),$AG$2:$AG$1001,0),1)&gt;=100000,INDEX($AN$1005:$BO$1005,1,MATCH(COLUMNS($AN$1006:AU1006),$AN$1006:$BO$1006,0))&gt;=100000), " ",IF(INDEX($AN$2:$BO$1001,MATCH(ROWS($AG$2:AG889),$AG$2:$AG$1001,0),MATCH(COLUMNS($AN$1006:AU1006),$AN$1006:$BO$1006,0)), HYPERLINK("#",""), HYPERLINK(CONCATENATE("#Metadata!", ADDRESS(INDEX($AI$2:$AI$1001,MATCH(ROWS($AG$2:AG889),$AG$2:$AG$1001,0),0), INDEX($AN$1004:$BO$1004,1,MATCH(COLUMNS($AN$1006:AU1006),$AN$1006:$BO$1006,0)))),"Fix")))</f>
        <v>0</v>
      </c>
      <c r="J889" s="4">
        <f>IF(OR(INDEX($AH$2:$AH$1001,MATCH(ROWS($AG$2:AG889),$AG$2:$AG$1001,0),1)&gt;=100000,INDEX($AN$1005:$BO$1005,1,MATCH(COLUMNS($AN$1006:AV1006),$AN$1006:$BO$1006,0))&gt;=100000), " ",IF(INDEX($AN$2:$BO$1001,MATCH(ROWS($AG$2:AG889),$AG$2:$AG$1001,0),MATCH(COLUMNS($AN$1006:AV1006),$AN$1006:$BO$1006,0)), HYPERLINK("#",""), HYPERLINK(CONCATENATE("#Metadata!", ADDRESS(INDEX($AI$2:$AI$1001,MATCH(ROWS($AG$2:AG889),$AG$2:$AG$1001,0),0), INDEX($AN$1004:$BO$1004,1,MATCH(COLUMNS($AN$1006:AV1006),$AN$1006:$BO$1006,0)))),"Fix")))</f>
        <v>0</v>
      </c>
      <c r="K889" s="4">
        <f>IF(OR(INDEX($AH$2:$AH$1001,MATCH(ROWS($AG$2:AG889),$AG$2:$AG$1001,0),1)&gt;=100000,INDEX($AN$1005:$BO$1005,1,MATCH(COLUMNS($AN$1006:AW1006),$AN$1006:$BO$1006,0))&gt;=100000), " ",IF(INDEX($AN$2:$BO$1001,MATCH(ROWS($AG$2:AG889),$AG$2:$AG$1001,0),MATCH(COLUMNS($AN$1006:AW1006),$AN$1006:$BO$1006,0)), HYPERLINK("#",""), HYPERLINK(CONCATENATE("#Metadata!", ADDRESS(INDEX($AI$2:$AI$1001,MATCH(ROWS($AG$2:AG889),$AG$2:$AG$1001,0),0), INDEX($AN$1004:$BO$1004,1,MATCH(COLUMNS($AN$1006:AW1006),$AN$1006:$BO$1006,0)))),"Fix")))</f>
        <v>0</v>
      </c>
      <c r="L889" s="4">
        <f>IF(OR(INDEX($AH$2:$AH$1001,MATCH(ROWS($AG$2:AG889),$AG$2:$AG$1001,0),1)&gt;=100000,INDEX($AN$1005:$BO$1005,1,MATCH(COLUMNS($AN$1006:AX1006),$AN$1006:$BO$1006,0))&gt;=100000), " ",IF(INDEX($AN$2:$BO$1001,MATCH(ROWS($AG$2:AG889),$AG$2:$AG$1001,0),MATCH(COLUMNS($AN$1006:AX1006),$AN$1006:$BO$1006,0)), HYPERLINK("#",""), HYPERLINK(CONCATENATE("#Metadata!", ADDRESS(INDEX($AI$2:$AI$1001,MATCH(ROWS($AG$2:AG889),$AG$2:$AG$1001,0),0), INDEX($AN$1004:$BO$1004,1,MATCH(COLUMNS($AN$1006:AX1006),$AN$1006:$BO$1006,0)))),"Fix")))</f>
        <v>0</v>
      </c>
      <c r="M889" s="4">
        <f>IF(OR(INDEX($AH$2:$AH$1001,MATCH(ROWS($AG$2:AG889),$AG$2:$AG$1001,0),1)&gt;=100000,INDEX($AN$1005:$BO$1005,1,MATCH(COLUMNS($AN$1006:AY1006),$AN$1006:$BO$1006,0))&gt;=100000), " ",IF(INDEX($AN$2:$BO$1001,MATCH(ROWS($AG$2:AG889),$AG$2:$AG$1001,0),MATCH(COLUMNS($AN$1006:AY1006),$AN$1006:$BO$1006,0)), HYPERLINK("#",""), HYPERLINK(CONCATENATE("#Metadata!", ADDRESS(INDEX($AI$2:$AI$1001,MATCH(ROWS($AG$2:AG889),$AG$2:$AG$1001,0),0), INDEX($AN$1004:$BO$1004,1,MATCH(COLUMNS($AN$1006:AY1006),$AN$1006:$BO$1006,0)))),"Fix")))</f>
        <v>0</v>
      </c>
      <c r="N889" s="4">
        <f>IF(OR(INDEX($AH$2:$AH$1001,MATCH(ROWS($AG$2:AG889),$AG$2:$AG$1001,0),1)&gt;=100000,INDEX($AN$1005:$BO$1005,1,MATCH(COLUMNS($AN$1006:AZ1006),$AN$1006:$BO$1006,0))&gt;=100000), " ",IF(INDEX($AN$2:$BO$1001,MATCH(ROWS($AG$2:AG889),$AG$2:$AG$1001,0),MATCH(COLUMNS($AN$1006:AZ1006),$AN$1006:$BO$1006,0)), HYPERLINK("#",""), HYPERLINK(CONCATENATE("#Metadata!", ADDRESS(INDEX($AI$2:$AI$1001,MATCH(ROWS($AG$2:AG889),$AG$2:$AG$1001,0),0), INDEX($AN$1004:$BO$1004,1,MATCH(COLUMNS($AN$1006:AZ1006),$AN$1006:$BO$1006,0)))),"Fix")))</f>
        <v>0</v>
      </c>
      <c r="O889" s="4">
        <f>IF(OR(INDEX($AH$2:$AH$1001,MATCH(ROWS($AG$2:AG889),$AG$2:$AG$1001,0),1)&gt;=100000,INDEX($AN$1005:$BO$1005,1,MATCH(COLUMNS($AN$1006:BA1006),$AN$1006:$BO$1006,0))&gt;=100000), " ",IF(INDEX($AN$2:$BO$1001,MATCH(ROWS($AG$2:AG889),$AG$2:$AG$1001,0),MATCH(COLUMNS($AN$1006:BA1006),$AN$1006:$BO$1006,0)), HYPERLINK("#",""), HYPERLINK(CONCATENATE("#Metadata!", ADDRESS(INDEX($AI$2:$AI$1001,MATCH(ROWS($AG$2:AG889),$AG$2:$AG$1001,0),0), INDEX($AN$1004:$BO$1004,1,MATCH(COLUMNS($AN$1006:BA1006),$AN$1006:$BO$1006,0)))),"Fix")))</f>
        <v>0</v>
      </c>
      <c r="P889" s="4">
        <f>IF(OR(INDEX($AH$2:$AH$1001,MATCH(ROWS($AG$2:AG889),$AG$2:$AG$1001,0),1)&gt;=100000,INDEX($AN$1005:$BO$1005,1,MATCH(COLUMNS($AN$1006:BB1006),$AN$1006:$BO$1006,0))&gt;=100000), " ",IF(INDEX($AN$2:$BO$1001,MATCH(ROWS($AG$2:AG889),$AG$2:$AG$1001,0),MATCH(COLUMNS($AN$1006:BB1006),$AN$1006:$BO$1006,0)), HYPERLINK("#",""), HYPERLINK(CONCATENATE("#Metadata!", ADDRESS(INDEX($AI$2:$AI$1001,MATCH(ROWS($AG$2:AG889),$AG$2:$AG$1001,0),0), INDEX($AN$1004:$BO$1004,1,MATCH(COLUMNS($AN$1006:BB1006),$AN$1006:$BO$1006,0)))),"Fix")))</f>
        <v>0</v>
      </c>
      <c r="Q889" s="4">
        <f>IF(OR(INDEX($AH$2:$AH$1001,MATCH(ROWS($AG$2:AG889),$AG$2:$AG$1001,0),1)&gt;=100000,INDEX($AN$1005:$BO$1005,1,MATCH(COLUMNS($AN$1006:BC1006),$AN$1006:$BO$1006,0))&gt;=100000), " ",IF(INDEX($AN$2:$BO$1001,MATCH(ROWS($AG$2:AG889),$AG$2:$AG$1001,0),MATCH(COLUMNS($AN$1006:BC1006),$AN$1006:$BO$1006,0)), HYPERLINK("#",""), HYPERLINK(CONCATENATE("#Metadata!", ADDRESS(INDEX($AI$2:$AI$1001,MATCH(ROWS($AG$2:AG889),$AG$2:$AG$1001,0),0), INDEX($AN$1004:$BO$1004,1,MATCH(COLUMNS($AN$1006:BC1006),$AN$1006:$BO$1006,0)))),"Fix")))</f>
        <v>0</v>
      </c>
      <c r="R889" s="4">
        <f>IF(OR(INDEX($AH$2:$AH$1001,MATCH(ROWS($AG$2:AG889),$AG$2:$AG$1001,0),1)&gt;=100000,INDEX($AN$1005:$BO$1005,1,MATCH(COLUMNS($AN$1006:BD1006),$AN$1006:$BO$1006,0))&gt;=100000), " ",IF(INDEX($AN$2:$BO$1001,MATCH(ROWS($AG$2:AG889),$AG$2:$AG$1001,0),MATCH(COLUMNS($AN$1006:BD1006),$AN$1006:$BO$1006,0)), HYPERLINK("#",""), HYPERLINK(CONCATENATE("#Metadata!", ADDRESS(INDEX($AI$2:$AI$1001,MATCH(ROWS($AG$2:AG889),$AG$2:$AG$1001,0),0), INDEX($AN$1004:$BO$1004,1,MATCH(COLUMNS($AN$1006:BD1006),$AN$1006:$BO$1006,0)))),"Fix")))</f>
        <v>0</v>
      </c>
      <c r="S889" s="4">
        <f>IF(OR(INDEX($AH$2:$AH$1001,MATCH(ROWS($AG$2:AG889),$AG$2:$AG$1001,0),1)&gt;=100000,INDEX($AN$1005:$BO$1005,1,MATCH(COLUMNS($AN$1006:BE1006),$AN$1006:$BO$1006,0))&gt;=100000), " ",IF(INDEX($AN$2:$BO$1001,MATCH(ROWS($AG$2:AG889),$AG$2:$AG$1001,0),MATCH(COLUMNS($AN$1006:BE1006),$AN$1006:$BO$1006,0)), HYPERLINK("#",""), HYPERLINK(CONCATENATE("#Metadata!", ADDRESS(INDEX($AI$2:$AI$1001,MATCH(ROWS($AG$2:AG889),$AG$2:$AG$1001,0),0), INDEX($AN$1004:$BO$1004,1,MATCH(COLUMNS($AN$1006:BE1006),$AN$1006:$BO$1006,0)))),"Fix")))</f>
        <v>0</v>
      </c>
      <c r="T889" s="4">
        <f>IF(OR(INDEX($AH$2:$AH$1001,MATCH(ROWS($AG$2:AG889),$AG$2:$AG$1001,0),1)&gt;=100000,INDEX($AN$1005:$BO$1005,1,MATCH(COLUMNS($AN$1006:BF1006),$AN$1006:$BO$1006,0))&gt;=100000), " ",IF(INDEX($AN$2:$BO$1001,MATCH(ROWS($AG$2:AG889),$AG$2:$AG$1001,0),MATCH(COLUMNS($AN$1006:BF1006),$AN$1006:$BO$1006,0)), HYPERLINK("#",""), HYPERLINK(CONCATENATE("#Metadata!", ADDRESS(INDEX($AI$2:$AI$1001,MATCH(ROWS($AG$2:AG889),$AG$2:$AG$1001,0),0), INDEX($AN$1004:$BO$1004,1,MATCH(COLUMNS($AN$1006:BF1006),$AN$1006:$BO$1006,0)))),"Fix")))</f>
        <v>0</v>
      </c>
      <c r="U889" s="4">
        <f>IF(OR(INDEX($AH$2:$AH$1001,MATCH(ROWS($AG$2:AG889),$AG$2:$AG$1001,0),1)&gt;=100000,INDEX($AN$1005:$BO$1005,1,MATCH(COLUMNS($AN$1006:BG1006),$AN$1006:$BO$1006,0))&gt;=100000), " ",IF(INDEX($AN$2:$BO$1001,MATCH(ROWS($AG$2:AG889),$AG$2:$AG$1001,0),MATCH(COLUMNS($AN$1006:BG1006),$AN$1006:$BO$1006,0)), HYPERLINK("#",""), HYPERLINK(CONCATENATE("#Metadata!", ADDRESS(INDEX($AI$2:$AI$1001,MATCH(ROWS($AG$2:AG889),$AG$2:$AG$1001,0),0), INDEX($AN$1004:$BO$1004,1,MATCH(COLUMNS($AN$1006:BG1006),$AN$1006:$BO$1006,0)))),"Fix")))</f>
        <v>0</v>
      </c>
      <c r="V889" s="4">
        <f>IF(OR(INDEX($AH$2:$AH$1001,MATCH(ROWS($AG$2:AG889),$AG$2:$AG$1001,0),1)&gt;=100000,INDEX($AN$1005:$BO$1005,1,MATCH(COLUMNS($AN$1006:BH1006),$AN$1006:$BO$1006,0))&gt;=100000), " ",IF(INDEX($AN$2:$BO$1001,MATCH(ROWS($AG$2:AG889),$AG$2:$AG$1001,0),MATCH(COLUMNS($AN$1006:BH1006),$AN$1006:$BO$1006,0)), HYPERLINK("#",""), HYPERLINK(CONCATENATE("#Metadata!", ADDRESS(INDEX($AI$2:$AI$1001,MATCH(ROWS($AG$2:AG889),$AG$2:$AG$1001,0),0), INDEX($AN$1004:$BO$1004,1,MATCH(COLUMNS($AN$1006:BH1006),$AN$1006:$BO$1006,0)))),"Fix")))</f>
        <v>0</v>
      </c>
      <c r="W889" s="4">
        <f>IF(OR(INDEX($AH$2:$AH$1001,MATCH(ROWS($AG$2:AG889),$AG$2:$AG$1001,0),1)&gt;=100000,INDEX($AN$1005:$BO$1005,1,MATCH(COLUMNS($AN$1006:BI1006),$AN$1006:$BO$1006,0))&gt;=100000), " ",IF(INDEX($AN$2:$BO$1001,MATCH(ROWS($AG$2:AG889),$AG$2:$AG$1001,0),MATCH(COLUMNS($AN$1006:BI1006),$AN$1006:$BO$1006,0)), HYPERLINK("#",""), HYPERLINK(CONCATENATE("#Metadata!", ADDRESS(INDEX($AI$2:$AI$1001,MATCH(ROWS($AG$2:AG889),$AG$2:$AG$1001,0),0), INDEX($AN$1004:$BO$1004,1,MATCH(COLUMNS($AN$1006:BI1006),$AN$1006:$BO$1006,0)))),"Fix")))</f>
        <v>0</v>
      </c>
      <c r="X889" s="4">
        <f>IF(OR(INDEX($AH$2:$AH$1001,MATCH(ROWS($AG$2:AG889),$AG$2:$AG$1001,0),1)&gt;=100000,INDEX($AN$1005:$BO$1005,1,MATCH(COLUMNS($AN$1006:BJ1006),$AN$1006:$BO$1006,0))&gt;=100000), " ",IF(INDEX($AN$2:$BO$1001,MATCH(ROWS($AG$2:AG889),$AG$2:$AG$1001,0),MATCH(COLUMNS($AN$1006:BJ1006),$AN$1006:$BO$1006,0)), HYPERLINK("#",""), HYPERLINK(CONCATENATE("#Metadata!", ADDRESS(INDEX($AI$2:$AI$1001,MATCH(ROWS($AG$2:AG889),$AG$2:$AG$1001,0),0), INDEX($AN$1004:$BO$1004,1,MATCH(COLUMNS($AN$1006:BJ1006),$AN$1006:$BO$1006,0)))),"Fix")))</f>
        <v>0</v>
      </c>
      <c r="Y889" s="4">
        <f>IF(OR(INDEX($AH$2:$AH$1001,MATCH(ROWS($AG$2:AG889),$AG$2:$AG$1001,0),1)&gt;=100000,INDEX($AN$1005:$BO$1005,1,MATCH(COLUMNS($AN$1006:BK1006),$AN$1006:$BO$1006,0))&gt;=100000), " ",IF(INDEX($AN$2:$BO$1001,MATCH(ROWS($AG$2:AG889),$AG$2:$AG$1001,0),MATCH(COLUMNS($AN$1006:BK1006),$AN$1006:$BO$1006,0)), HYPERLINK("#",""), HYPERLINK(CONCATENATE("#Metadata!", ADDRESS(INDEX($AI$2:$AI$1001,MATCH(ROWS($AG$2:AG889),$AG$2:$AG$1001,0),0), INDEX($AN$1004:$BO$1004,1,MATCH(COLUMNS($AN$1006:BK1006),$AN$1006:$BO$1006,0)))),"Fix")))</f>
        <v>0</v>
      </c>
      <c r="Z889" s="4">
        <f>IF(OR(INDEX($AH$2:$AH$1001,MATCH(ROWS($AG$2:AG889),$AG$2:$AG$1001,0),1)&gt;=100000,INDEX($AN$1005:$BO$1005,1,MATCH(COLUMNS($AN$1006:BL1006),$AN$1006:$BO$1006,0))&gt;=100000), " ",IF(INDEX($AN$2:$BO$1001,MATCH(ROWS($AG$2:AG889),$AG$2:$AG$1001,0),MATCH(COLUMNS($AN$1006:BL1006),$AN$1006:$BO$1006,0)), HYPERLINK("#",""), HYPERLINK(CONCATENATE("#Metadata!", ADDRESS(INDEX($AI$2:$AI$1001,MATCH(ROWS($AG$2:AG889),$AG$2:$AG$1001,0),0), INDEX($AN$1004:$BO$1004,1,MATCH(COLUMNS($AN$1006:BL1006),$AN$1006:$BO$1006,0)))),"Fix")))</f>
        <v>0</v>
      </c>
      <c r="AA889" s="4">
        <f>IF(OR(INDEX($AH$2:$AH$1001,MATCH(ROWS($AG$2:AG889),$AG$2:$AG$1001,0),1)&gt;=100000,INDEX($AN$1005:$BO$1005,1,MATCH(COLUMNS($AN$1006:BM1006),$AN$1006:$BO$1006,0))&gt;=100000), " ",IF(INDEX($AN$2:$BO$1001,MATCH(ROWS($AG$2:AG889),$AG$2:$AG$1001,0),MATCH(COLUMNS($AN$1006:BM1006),$AN$1006:$BO$1006,0)), HYPERLINK("#",""), HYPERLINK(CONCATENATE("#Metadata!", ADDRESS(INDEX($AI$2:$AI$1001,MATCH(ROWS($AG$2:AG889),$AG$2:$AG$1001,0),0), INDEX($AN$1004:$BO$1004,1,MATCH(COLUMNS($AN$1006:BM1006),$AN$1006:$BO$1006,0)))),"Fix")))</f>
        <v>0</v>
      </c>
      <c r="AB889" s="4">
        <f>IF(OR(INDEX($AH$2:$AH$1001,MATCH(ROWS($AG$2:AG889),$AG$2:$AG$1001,0),1)&gt;=100000,INDEX($AN$1005:$BO$1005,1,MATCH(COLUMNS($AN$1006:BN1006),$AN$1006:$BO$1006,0))&gt;=100000), " ",IF(INDEX($AN$2:$BO$1001,MATCH(ROWS($AG$2:AG889),$AG$2:$AG$1001,0),MATCH(COLUMNS($AN$1006:BN1006),$AN$1006:$BO$1006,0)), HYPERLINK("#",""), HYPERLINK(CONCATENATE("#Metadata!", ADDRESS(INDEX($AI$2:$AI$1001,MATCH(ROWS($AG$2:AG889),$AG$2:$AG$1001,0),0), INDEX($AN$1004:$BO$1004,1,MATCH(COLUMNS($AN$1006:BN1006),$AN$1006:$BO$1006,0)))),"Fix")))</f>
        <v>0</v>
      </c>
      <c r="AC889" s="4">
        <f>IF(OR(INDEX($AH$2:$AH$1001,MATCH(ROWS($AG$2:AG889),$AG$2:$AG$1001,0),1)&gt;=100000,INDEX($AN$1005:$BO$1005,1,MATCH(COLUMNS($AN$1006:BO1006),$AN$1006:$BO$1006,0))&gt;=100000), " ",IF(INDEX($AN$2:$BO$1001,MATCH(ROWS($AG$2:AG889),$AG$2:$AG$1001,0),MATCH(COLUMNS($AN$1006:BO1006),$AN$1006:$BO$1006,0)), HYPERLINK("#",""), HYPERLINK(CONCATENATE("#Metadata!", ADDRESS(INDEX($AI$2:$AI$1001,MATCH(ROWS($AG$2:AG889),$AG$2:$AG$1001,0),0), INDEX($AN$1004:$BO$1004,1,MATCH(COLUMNS($AN$1006:BO1006),$AN$1006:$BO$1006,0)))),"Fix")))</f>
        <v>0</v>
      </c>
      <c r="AG889">
        <v>0</v>
      </c>
      <c r="AH889">
        <v>0</v>
      </c>
      <c r="AI889">
        <v>0</v>
      </c>
      <c r="AJ889">
        <f>IF(AK889,TRUE,AND(AN889:BO889))</f>
        <v>0</v>
      </c>
      <c r="AK889">
        <f>COUNTBLANK(Metadata!B889:AC889)=COLUMNS(Metadata!B889:AC889)</f>
        <v>0</v>
      </c>
      <c r="AL889">
        <v>0</v>
      </c>
      <c r="AN889">
        <f>AND(IF(Metadata!B889="",FALSE,TRUE),COUNTIF(Metadata!B:B, Metadata!B889) = 1,NOT(ISERROR(SUMPRODUCT(SEARCH(MID(Metadata!B889,ROW(INDIRECT("1:"&amp;LEN(Metadata!B889))), 1),"0123456789abcdefghijklmnopqrstuvwxyzABCDEFGHIJKLMNOPQRSTUVWXYZ.")))))</f>
        <v>0</v>
      </c>
      <c r="AO889">
        <f>IF(Metadata!C889="",FALSE,TRUE)</f>
        <v>0</v>
      </c>
      <c r="AP889">
        <f>IF(Metadata!D889="",FALSE,TRUE)</f>
        <v>0</v>
      </c>
      <c r="AQ889">
        <f>OR(AND(IF(Metadata!E889="",FALSE,TRUE),OR(exact(Metadata!E889,"not collected"),exact(Metadata!E889,"not provided"),exact(Metadata!E889,"restricted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R889">
        <f>IF(Metadata!F889="",FALSE,TRUE)</f>
        <v>0</v>
      </c>
      <c r="AS889">
        <f>OR(AND(IF(Metadata!G889="",FALSE,TRUE),OR(exact(Metadata!G889,"not collected"),exact(Metadata!G889,"not provided"))),AND(IF(Metadata!G889="",FALSE,TRUE),OR(exact(Metadata!G889,"TRUE"),exact(Metadata!G889,"FALSE"))))</f>
        <v>0</v>
      </c>
      <c r="AT889">
        <f>OR(AND(IF(Metadata!H889="",FALSE,TRUE),OR(exact(Metadata!H889,"not collected"),exact(Metadata!H889,"not provided"),exact(Metadata!H889,"restricted access"))),AND(IF(Metadata!H889="",FALSE,ISNUMBER(VALUE(Metadata!H889))),Metadata!H889&gt;=-413.0))</f>
        <v>0</v>
      </c>
      <c r="AU889">
        <f>AND(IF(Metadata!I889="",FALSE,TRUE),exact(Metadata!I889,"meters"))</f>
        <v>0</v>
      </c>
      <c r="AV889">
        <f>AND(IF(Metadata!J889="",FALSE,TRUE),OR(exact(Metadata!J889,"Host-associated"),exact(Metadata!J889,"Free-living")))</f>
        <v>0</v>
      </c>
      <c r="AW889">
        <f>AND(IF(Metadata!K889="",FALSE,TRUE),OR(exact(Metadata!K889,"Animal"),exact(Metadata!K889,"Fungus"),exact(Metadata!K889,"Plant"),exact(Metadata!K889,"Saline"),exact(Metadata!K889,"Non-saline")))</f>
        <v>0</v>
      </c>
      <c r="AX889">
        <f>AND(IF(Metadata!L889="",FALSE,TRUE),OR(exact(Metadata!L889,"Plant secretion"),exact(Metadata!L889,"Plant rhizosphere"),exact(Metadata!L889,"Plant surface"),exact(Metadata!L889,"Plant corpus"),exact(Metadata!L889,"Fungus surface"),exact(Metadata!L889,"Fungus corpus"),exact(Metadata!L889,"Animal surface"),exact(Metadata!L889,"Animal proximal gut"),exact(Metadata!L889,"Animal corpus"),exact(Metadata!L889,"Animal distal gut"),exact(Metadata!L889,"Animal secretion"),exact(Metadata!L889,"Sub-surface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Y889">
        <f>IF(Metadata!M889="",FALSE,TRUE)</f>
        <v>0</v>
      </c>
      <c r="AZ889">
        <f>IF(Metadata!N889="",FALSE,TRUE)</f>
        <v>0</v>
      </c>
      <c r="BA889">
        <f>IF(Metadata!O889="",FALSE,TRUE)</f>
        <v>0</v>
      </c>
      <c r="BB889">
        <f>OR(AND(IF(Metadata!P889="",FALSE,TRUE),OR(exact(Metadata!P889,"not collected"),exact(Metadata!P889,"not provided"),exact(Metadata!P889,"restricted access"))),AND(IF(Metadata!P889="",FALSE,TRUE),OR(exact(Metadata!P889,"air"),exact(Metadata!P889,"built environment"),exact(Metadata!P889,"host-associated"),exact(Metadata!P889,"human-associated"),exact(Metadata!P889,"human-skin"),exact(Metadata!P889,"human-oral"),exact(Metadata!P889,"human-gut"),exact(Metadata!P889,"human-vaginal"),exact(Metadata!P889,"microbial mat/biofilm"),exact(Metadata!P889,"misc environment"),exact(Metadata!P889,"plant-associated"),exact(Metadata!P889,"sediment"),exact(Metadata!P889,"soil"),exact(Metadata!P889,"wastewater/sludge"),exact(Metadata!P889,"water"))))</f>
        <v>0</v>
      </c>
      <c r="BC889">
        <f>IF(Metadata!Q889="",FALSE,TRUE)</f>
        <v>0</v>
      </c>
      <c r="BD889">
        <f>IF(Metadata!R889="",FALSE,TRUE)</f>
        <v>0</v>
      </c>
      <c r="BE889">
        <f>OR(AND(IF(Metadata!S889="",FALSE,TRUE),OR(exact(Metadata!S889,"not collected"),exact(Metadata!S889,"not provided"),exact(Metadata!S889,"restricted access"))),AND(IF(Metadata!S889="",FALSE,ISNUMBER(VALUE(Metadata!S889))),Metadata!S889&gt;=-90.00,Metadata!S889&lt;=90.00))</f>
        <v>0</v>
      </c>
      <c r="BF889">
        <f>AND(IF(Metadata!T889="",FALSE,TRUE),exact(Metadata!T889,"Decimal degrees"))</f>
        <v>0</v>
      </c>
      <c r="BG889">
        <f>OR(AND(IF(Metadata!U889="",FALSE,TRUE),OR(exact(Metadata!U889,"not collected"),exact(Metadata!U889,"not provided"),exact(Metadata!U889,"restricted access"))),AND(IF(Metadata!U889="",FALSE,ISNUMBER(VALUE(Metadata!U889))),Metadata!U889&gt;=-180.00,Metadata!U889&lt;=180.00))</f>
        <v>0</v>
      </c>
      <c r="BH889">
        <f>AND(IF(Metadata!V889="",FALSE,TRUE),exact(Metadata!V889,"Decimal degrees"))</f>
        <v>0</v>
      </c>
      <c r="BI889">
        <f>IF(Metadata!W889="",FALSE,TRUE)</f>
        <v>0</v>
      </c>
      <c r="BJ889">
        <f>OR(AND(IF(Metadata!X889="",FALSE,TRUE),OR(exact(Metadata!X889,"not collected"),exact(Metadata!X889,"not provided"),exact(Metadata!X889,"restricted access"))),AND(IF(Metadata!X889="",FALSE,TRUE),OR(exact(Metadata!X889,"TRUE"),exact(Metadata!X889,"FALSE"))))</f>
        <v>0</v>
      </c>
      <c r="BK889">
        <f>AND(IF(Metadata!Y889="",FALSE,TRUE),exact(Metadata!Y889,"other"))</f>
        <v>0</v>
      </c>
      <c r="BL889">
        <f>IF(Metadata!Z889="",FALSE,TRUE)</f>
        <v>0</v>
      </c>
      <c r="BM889">
        <f>OR(AND(IF(Metadata!AA889="",FALSE,TRUE),OR(exact(Metadata!AA889,"not collected"),exact(Metadata!AA889,"not provided"))),AND(IF(Metadata!AA889="",FALSE,IF(ISERROR(INT(Metadata!AA889)),FALSE,INT(Metadata!AA889)=Metadata!AA889)),Metadata!AA889&gt;0))</f>
        <v>0</v>
      </c>
      <c r="BN889">
        <f>AND(IF(Metadata!AB889="",FALSE,TRUE),exact(Metadata!AB889,"Not applicable"))</f>
        <v>0</v>
      </c>
      <c r="BO889">
        <f>IF(Metadata!AC889="",FALSE,TRUE)</f>
        <v>0</v>
      </c>
    </row>
    <row r="890" spans="1:67">
      <c r="A890" s="5">
        <f>IF(B890=" "," ",HYPERLINK(CONCATENATE("#metadata!",ADDRESS(INDEX($AI$2:$AI$1001,MATCH(ROWS($AG$2:AG890),$AG$2:$AG$1001,0),0),1)),INDEX($AL$2:$AL$1001,MATCH(ROWS($AG$2:AG890),$AG$2:$AG$1001,0),0)))</f>
        <v>0</v>
      </c>
      <c r="B890" s="4">
        <f>IF(OR(INDEX($AH$2:$AH$1001,MATCH(ROWS($AG$2:AG890),$AG$2:$AG$1001,0),1)&gt;=100000,INDEX($AN$1005:$BO$1005,1,MATCH(COLUMNS($AN$1006:AN1006),$AN$1006:$BO$1006,0))&gt;=100000), " ",IF(INDEX($AN$2:$BO$1001,MATCH(ROWS($AG$2:AG890),$AG$2:$AG$1001,0),MATCH(COLUMNS($AN$1006:AN1006),$AN$1006:$BO$1006,0)), HYPERLINK("#",""), HYPERLINK(CONCATENATE("#Metadata!", ADDRESS(INDEX($AI$2:$AI$1001,MATCH(ROWS($AG$2:AG890),$AG$2:$AG$1001,0),0), INDEX($AN$1004:$BO$1004,1,MATCH(COLUMNS($AN$1006:AN1006),$AN$1006:$BO$1006,0)))),"Fix")))</f>
        <v>0</v>
      </c>
      <c r="C890" s="4">
        <f>IF(OR(INDEX($AH$2:$AH$1001,MATCH(ROWS($AG$2:AG890),$AG$2:$AG$1001,0),1)&gt;=100000,INDEX($AN$1005:$BO$1005,1,MATCH(COLUMNS($AN$1006:AO1006),$AN$1006:$BO$1006,0))&gt;=100000), " ",IF(INDEX($AN$2:$BO$1001,MATCH(ROWS($AG$2:AG890),$AG$2:$AG$1001,0),MATCH(COLUMNS($AN$1006:AO1006),$AN$1006:$BO$1006,0)), HYPERLINK("#",""), HYPERLINK(CONCATENATE("#Metadata!", ADDRESS(INDEX($AI$2:$AI$1001,MATCH(ROWS($AG$2:AG890),$AG$2:$AG$1001,0),0), INDEX($AN$1004:$BO$1004,1,MATCH(COLUMNS($AN$1006:AO1006),$AN$1006:$BO$1006,0)))),"Fix")))</f>
        <v>0</v>
      </c>
      <c r="D890" s="4">
        <f>IF(OR(INDEX($AH$2:$AH$1001,MATCH(ROWS($AG$2:AG890),$AG$2:$AG$1001,0),1)&gt;=100000,INDEX($AN$1005:$BO$1005,1,MATCH(COLUMNS($AN$1006:AP1006),$AN$1006:$BO$1006,0))&gt;=100000), " ",IF(INDEX($AN$2:$BO$1001,MATCH(ROWS($AG$2:AG890),$AG$2:$AG$1001,0),MATCH(COLUMNS($AN$1006:AP1006),$AN$1006:$BO$1006,0)), HYPERLINK("#",""), HYPERLINK(CONCATENATE("#Metadata!", ADDRESS(INDEX($AI$2:$AI$1001,MATCH(ROWS($AG$2:AG890),$AG$2:$AG$1001,0),0), INDEX($AN$1004:$BO$1004,1,MATCH(COLUMNS($AN$1006:AP1006),$AN$1006:$BO$1006,0)))),"Fix")))</f>
        <v>0</v>
      </c>
      <c r="E890" s="4">
        <f>IF(OR(INDEX($AH$2:$AH$1001,MATCH(ROWS($AG$2:AG890),$AG$2:$AG$1001,0),1)&gt;=100000,INDEX($AN$1005:$BO$1005,1,MATCH(COLUMNS($AN$1006:AQ1006),$AN$1006:$BO$1006,0))&gt;=100000), " ",IF(INDEX($AN$2:$BO$1001,MATCH(ROWS($AG$2:AG890),$AG$2:$AG$1001,0),MATCH(COLUMNS($AN$1006:AQ1006),$AN$1006:$BO$1006,0)), HYPERLINK("#",""), HYPERLINK(CONCATENATE("#Metadata!", ADDRESS(INDEX($AI$2:$AI$1001,MATCH(ROWS($AG$2:AG890),$AG$2:$AG$1001,0),0), INDEX($AN$1004:$BO$1004,1,MATCH(COLUMNS($AN$1006:AQ1006),$AN$1006:$BO$1006,0)))),"Fix")))</f>
        <v>0</v>
      </c>
      <c r="F890" s="4">
        <f>IF(OR(INDEX($AH$2:$AH$1001,MATCH(ROWS($AG$2:AG890),$AG$2:$AG$1001,0),1)&gt;=100000,INDEX($AN$1005:$BO$1005,1,MATCH(COLUMNS($AN$1006:AR1006),$AN$1006:$BO$1006,0))&gt;=100000), " ",IF(INDEX($AN$2:$BO$1001,MATCH(ROWS($AG$2:AG890),$AG$2:$AG$1001,0),MATCH(COLUMNS($AN$1006:AR1006),$AN$1006:$BO$1006,0)), HYPERLINK("#",""), HYPERLINK(CONCATENATE("#Metadata!", ADDRESS(INDEX($AI$2:$AI$1001,MATCH(ROWS($AG$2:AG890),$AG$2:$AG$1001,0),0), INDEX($AN$1004:$BO$1004,1,MATCH(COLUMNS($AN$1006:AR1006),$AN$1006:$BO$1006,0)))),"Fix")))</f>
        <v>0</v>
      </c>
      <c r="G890" s="4">
        <f>IF(OR(INDEX($AH$2:$AH$1001,MATCH(ROWS($AG$2:AG890),$AG$2:$AG$1001,0),1)&gt;=100000,INDEX($AN$1005:$BO$1005,1,MATCH(COLUMNS($AN$1006:AS1006),$AN$1006:$BO$1006,0))&gt;=100000), " ",IF(INDEX($AN$2:$BO$1001,MATCH(ROWS($AG$2:AG890),$AG$2:$AG$1001,0),MATCH(COLUMNS($AN$1006:AS1006),$AN$1006:$BO$1006,0)), HYPERLINK("#",""), HYPERLINK(CONCATENATE("#Metadata!", ADDRESS(INDEX($AI$2:$AI$1001,MATCH(ROWS($AG$2:AG890),$AG$2:$AG$1001,0),0), INDEX($AN$1004:$BO$1004,1,MATCH(COLUMNS($AN$1006:AS1006),$AN$1006:$BO$1006,0)))),"Fix")))</f>
        <v>0</v>
      </c>
      <c r="H890" s="4">
        <f>IF(OR(INDEX($AH$2:$AH$1001,MATCH(ROWS($AG$2:AG890),$AG$2:$AG$1001,0),1)&gt;=100000,INDEX($AN$1005:$BO$1005,1,MATCH(COLUMNS($AN$1006:AT1006),$AN$1006:$BO$1006,0))&gt;=100000), " ",IF(INDEX($AN$2:$BO$1001,MATCH(ROWS($AG$2:AG890),$AG$2:$AG$1001,0),MATCH(COLUMNS($AN$1006:AT1006),$AN$1006:$BO$1006,0)), HYPERLINK("#",""), HYPERLINK(CONCATENATE("#Metadata!", ADDRESS(INDEX($AI$2:$AI$1001,MATCH(ROWS($AG$2:AG890),$AG$2:$AG$1001,0),0), INDEX($AN$1004:$BO$1004,1,MATCH(COLUMNS($AN$1006:AT1006),$AN$1006:$BO$1006,0)))),"Fix")))</f>
        <v>0</v>
      </c>
      <c r="I890" s="4">
        <f>IF(OR(INDEX($AH$2:$AH$1001,MATCH(ROWS($AG$2:AG890),$AG$2:$AG$1001,0),1)&gt;=100000,INDEX($AN$1005:$BO$1005,1,MATCH(COLUMNS($AN$1006:AU1006),$AN$1006:$BO$1006,0))&gt;=100000), " ",IF(INDEX($AN$2:$BO$1001,MATCH(ROWS($AG$2:AG890),$AG$2:$AG$1001,0),MATCH(COLUMNS($AN$1006:AU1006),$AN$1006:$BO$1006,0)), HYPERLINK("#",""), HYPERLINK(CONCATENATE("#Metadata!", ADDRESS(INDEX($AI$2:$AI$1001,MATCH(ROWS($AG$2:AG890),$AG$2:$AG$1001,0),0), INDEX($AN$1004:$BO$1004,1,MATCH(COLUMNS($AN$1006:AU1006),$AN$1006:$BO$1006,0)))),"Fix")))</f>
        <v>0</v>
      </c>
      <c r="J890" s="4">
        <f>IF(OR(INDEX($AH$2:$AH$1001,MATCH(ROWS($AG$2:AG890),$AG$2:$AG$1001,0),1)&gt;=100000,INDEX($AN$1005:$BO$1005,1,MATCH(COLUMNS($AN$1006:AV1006),$AN$1006:$BO$1006,0))&gt;=100000), " ",IF(INDEX($AN$2:$BO$1001,MATCH(ROWS($AG$2:AG890),$AG$2:$AG$1001,0),MATCH(COLUMNS($AN$1006:AV1006),$AN$1006:$BO$1006,0)), HYPERLINK("#",""), HYPERLINK(CONCATENATE("#Metadata!", ADDRESS(INDEX($AI$2:$AI$1001,MATCH(ROWS($AG$2:AG890),$AG$2:$AG$1001,0),0), INDEX($AN$1004:$BO$1004,1,MATCH(COLUMNS($AN$1006:AV1006),$AN$1006:$BO$1006,0)))),"Fix")))</f>
        <v>0</v>
      </c>
      <c r="K890" s="4">
        <f>IF(OR(INDEX($AH$2:$AH$1001,MATCH(ROWS($AG$2:AG890),$AG$2:$AG$1001,0),1)&gt;=100000,INDEX($AN$1005:$BO$1005,1,MATCH(COLUMNS($AN$1006:AW1006),$AN$1006:$BO$1006,0))&gt;=100000), " ",IF(INDEX($AN$2:$BO$1001,MATCH(ROWS($AG$2:AG890),$AG$2:$AG$1001,0),MATCH(COLUMNS($AN$1006:AW1006),$AN$1006:$BO$1006,0)), HYPERLINK("#",""), HYPERLINK(CONCATENATE("#Metadata!", ADDRESS(INDEX($AI$2:$AI$1001,MATCH(ROWS($AG$2:AG890),$AG$2:$AG$1001,0),0), INDEX($AN$1004:$BO$1004,1,MATCH(COLUMNS($AN$1006:AW1006),$AN$1006:$BO$1006,0)))),"Fix")))</f>
        <v>0</v>
      </c>
      <c r="L890" s="4">
        <f>IF(OR(INDEX($AH$2:$AH$1001,MATCH(ROWS($AG$2:AG890),$AG$2:$AG$1001,0),1)&gt;=100000,INDEX($AN$1005:$BO$1005,1,MATCH(COLUMNS($AN$1006:AX1006),$AN$1006:$BO$1006,0))&gt;=100000), " ",IF(INDEX($AN$2:$BO$1001,MATCH(ROWS($AG$2:AG890),$AG$2:$AG$1001,0),MATCH(COLUMNS($AN$1006:AX1006),$AN$1006:$BO$1006,0)), HYPERLINK("#",""), HYPERLINK(CONCATENATE("#Metadata!", ADDRESS(INDEX($AI$2:$AI$1001,MATCH(ROWS($AG$2:AG890),$AG$2:$AG$1001,0),0), INDEX($AN$1004:$BO$1004,1,MATCH(COLUMNS($AN$1006:AX1006),$AN$1006:$BO$1006,0)))),"Fix")))</f>
        <v>0</v>
      </c>
      <c r="M890" s="4">
        <f>IF(OR(INDEX($AH$2:$AH$1001,MATCH(ROWS($AG$2:AG890),$AG$2:$AG$1001,0),1)&gt;=100000,INDEX($AN$1005:$BO$1005,1,MATCH(COLUMNS($AN$1006:AY1006),$AN$1006:$BO$1006,0))&gt;=100000), " ",IF(INDEX($AN$2:$BO$1001,MATCH(ROWS($AG$2:AG890),$AG$2:$AG$1001,0),MATCH(COLUMNS($AN$1006:AY1006),$AN$1006:$BO$1006,0)), HYPERLINK("#",""), HYPERLINK(CONCATENATE("#Metadata!", ADDRESS(INDEX($AI$2:$AI$1001,MATCH(ROWS($AG$2:AG890),$AG$2:$AG$1001,0),0), INDEX($AN$1004:$BO$1004,1,MATCH(COLUMNS($AN$1006:AY1006),$AN$1006:$BO$1006,0)))),"Fix")))</f>
        <v>0</v>
      </c>
      <c r="N890" s="4">
        <f>IF(OR(INDEX($AH$2:$AH$1001,MATCH(ROWS($AG$2:AG890),$AG$2:$AG$1001,0),1)&gt;=100000,INDEX($AN$1005:$BO$1005,1,MATCH(COLUMNS($AN$1006:AZ1006),$AN$1006:$BO$1006,0))&gt;=100000), " ",IF(INDEX($AN$2:$BO$1001,MATCH(ROWS($AG$2:AG890),$AG$2:$AG$1001,0),MATCH(COLUMNS($AN$1006:AZ1006),$AN$1006:$BO$1006,0)), HYPERLINK("#",""), HYPERLINK(CONCATENATE("#Metadata!", ADDRESS(INDEX($AI$2:$AI$1001,MATCH(ROWS($AG$2:AG890),$AG$2:$AG$1001,0),0), INDEX($AN$1004:$BO$1004,1,MATCH(COLUMNS($AN$1006:AZ1006),$AN$1006:$BO$1006,0)))),"Fix")))</f>
        <v>0</v>
      </c>
      <c r="O890" s="4">
        <f>IF(OR(INDEX($AH$2:$AH$1001,MATCH(ROWS($AG$2:AG890),$AG$2:$AG$1001,0),1)&gt;=100000,INDEX($AN$1005:$BO$1005,1,MATCH(COLUMNS($AN$1006:BA1006),$AN$1006:$BO$1006,0))&gt;=100000), " ",IF(INDEX($AN$2:$BO$1001,MATCH(ROWS($AG$2:AG890),$AG$2:$AG$1001,0),MATCH(COLUMNS($AN$1006:BA1006),$AN$1006:$BO$1006,0)), HYPERLINK("#",""), HYPERLINK(CONCATENATE("#Metadata!", ADDRESS(INDEX($AI$2:$AI$1001,MATCH(ROWS($AG$2:AG890),$AG$2:$AG$1001,0),0), INDEX($AN$1004:$BO$1004,1,MATCH(COLUMNS($AN$1006:BA1006),$AN$1006:$BO$1006,0)))),"Fix")))</f>
        <v>0</v>
      </c>
      <c r="P890" s="4">
        <f>IF(OR(INDEX($AH$2:$AH$1001,MATCH(ROWS($AG$2:AG890),$AG$2:$AG$1001,0),1)&gt;=100000,INDEX($AN$1005:$BO$1005,1,MATCH(COLUMNS($AN$1006:BB1006),$AN$1006:$BO$1006,0))&gt;=100000), " ",IF(INDEX($AN$2:$BO$1001,MATCH(ROWS($AG$2:AG890),$AG$2:$AG$1001,0),MATCH(COLUMNS($AN$1006:BB1006),$AN$1006:$BO$1006,0)), HYPERLINK("#",""), HYPERLINK(CONCATENATE("#Metadata!", ADDRESS(INDEX($AI$2:$AI$1001,MATCH(ROWS($AG$2:AG890),$AG$2:$AG$1001,0),0), INDEX($AN$1004:$BO$1004,1,MATCH(COLUMNS($AN$1006:BB1006),$AN$1006:$BO$1006,0)))),"Fix")))</f>
        <v>0</v>
      </c>
      <c r="Q890" s="4">
        <f>IF(OR(INDEX($AH$2:$AH$1001,MATCH(ROWS($AG$2:AG890),$AG$2:$AG$1001,0),1)&gt;=100000,INDEX($AN$1005:$BO$1005,1,MATCH(COLUMNS($AN$1006:BC1006),$AN$1006:$BO$1006,0))&gt;=100000), " ",IF(INDEX($AN$2:$BO$1001,MATCH(ROWS($AG$2:AG890),$AG$2:$AG$1001,0),MATCH(COLUMNS($AN$1006:BC1006),$AN$1006:$BO$1006,0)), HYPERLINK("#",""), HYPERLINK(CONCATENATE("#Metadata!", ADDRESS(INDEX($AI$2:$AI$1001,MATCH(ROWS($AG$2:AG890),$AG$2:$AG$1001,0),0), INDEX($AN$1004:$BO$1004,1,MATCH(COLUMNS($AN$1006:BC1006),$AN$1006:$BO$1006,0)))),"Fix")))</f>
        <v>0</v>
      </c>
      <c r="R890" s="4">
        <f>IF(OR(INDEX($AH$2:$AH$1001,MATCH(ROWS($AG$2:AG890),$AG$2:$AG$1001,0),1)&gt;=100000,INDEX($AN$1005:$BO$1005,1,MATCH(COLUMNS($AN$1006:BD1006),$AN$1006:$BO$1006,0))&gt;=100000), " ",IF(INDEX($AN$2:$BO$1001,MATCH(ROWS($AG$2:AG890),$AG$2:$AG$1001,0),MATCH(COLUMNS($AN$1006:BD1006),$AN$1006:$BO$1006,0)), HYPERLINK("#",""), HYPERLINK(CONCATENATE("#Metadata!", ADDRESS(INDEX($AI$2:$AI$1001,MATCH(ROWS($AG$2:AG890),$AG$2:$AG$1001,0),0), INDEX($AN$1004:$BO$1004,1,MATCH(COLUMNS($AN$1006:BD1006),$AN$1006:$BO$1006,0)))),"Fix")))</f>
        <v>0</v>
      </c>
      <c r="S890" s="4">
        <f>IF(OR(INDEX($AH$2:$AH$1001,MATCH(ROWS($AG$2:AG890),$AG$2:$AG$1001,0),1)&gt;=100000,INDEX($AN$1005:$BO$1005,1,MATCH(COLUMNS($AN$1006:BE1006),$AN$1006:$BO$1006,0))&gt;=100000), " ",IF(INDEX($AN$2:$BO$1001,MATCH(ROWS($AG$2:AG890),$AG$2:$AG$1001,0),MATCH(COLUMNS($AN$1006:BE1006),$AN$1006:$BO$1006,0)), HYPERLINK("#",""), HYPERLINK(CONCATENATE("#Metadata!", ADDRESS(INDEX($AI$2:$AI$1001,MATCH(ROWS($AG$2:AG890),$AG$2:$AG$1001,0),0), INDEX($AN$1004:$BO$1004,1,MATCH(COLUMNS($AN$1006:BE1006),$AN$1006:$BO$1006,0)))),"Fix")))</f>
        <v>0</v>
      </c>
      <c r="T890" s="4">
        <f>IF(OR(INDEX($AH$2:$AH$1001,MATCH(ROWS($AG$2:AG890),$AG$2:$AG$1001,0),1)&gt;=100000,INDEX($AN$1005:$BO$1005,1,MATCH(COLUMNS($AN$1006:BF1006),$AN$1006:$BO$1006,0))&gt;=100000), " ",IF(INDEX($AN$2:$BO$1001,MATCH(ROWS($AG$2:AG890),$AG$2:$AG$1001,0),MATCH(COLUMNS($AN$1006:BF1006),$AN$1006:$BO$1006,0)), HYPERLINK("#",""), HYPERLINK(CONCATENATE("#Metadata!", ADDRESS(INDEX($AI$2:$AI$1001,MATCH(ROWS($AG$2:AG890),$AG$2:$AG$1001,0),0), INDEX($AN$1004:$BO$1004,1,MATCH(COLUMNS($AN$1006:BF1006),$AN$1006:$BO$1006,0)))),"Fix")))</f>
        <v>0</v>
      </c>
      <c r="U890" s="4">
        <f>IF(OR(INDEX($AH$2:$AH$1001,MATCH(ROWS($AG$2:AG890),$AG$2:$AG$1001,0),1)&gt;=100000,INDEX($AN$1005:$BO$1005,1,MATCH(COLUMNS($AN$1006:BG1006),$AN$1006:$BO$1006,0))&gt;=100000), " ",IF(INDEX($AN$2:$BO$1001,MATCH(ROWS($AG$2:AG890),$AG$2:$AG$1001,0),MATCH(COLUMNS($AN$1006:BG1006),$AN$1006:$BO$1006,0)), HYPERLINK("#",""), HYPERLINK(CONCATENATE("#Metadata!", ADDRESS(INDEX($AI$2:$AI$1001,MATCH(ROWS($AG$2:AG890),$AG$2:$AG$1001,0),0), INDEX($AN$1004:$BO$1004,1,MATCH(COLUMNS($AN$1006:BG1006),$AN$1006:$BO$1006,0)))),"Fix")))</f>
        <v>0</v>
      </c>
      <c r="V890" s="4">
        <f>IF(OR(INDEX($AH$2:$AH$1001,MATCH(ROWS($AG$2:AG890),$AG$2:$AG$1001,0),1)&gt;=100000,INDEX($AN$1005:$BO$1005,1,MATCH(COLUMNS($AN$1006:BH1006),$AN$1006:$BO$1006,0))&gt;=100000), " ",IF(INDEX($AN$2:$BO$1001,MATCH(ROWS($AG$2:AG890),$AG$2:$AG$1001,0),MATCH(COLUMNS($AN$1006:BH1006),$AN$1006:$BO$1006,0)), HYPERLINK("#",""), HYPERLINK(CONCATENATE("#Metadata!", ADDRESS(INDEX($AI$2:$AI$1001,MATCH(ROWS($AG$2:AG890),$AG$2:$AG$1001,0),0), INDEX($AN$1004:$BO$1004,1,MATCH(COLUMNS($AN$1006:BH1006),$AN$1006:$BO$1006,0)))),"Fix")))</f>
        <v>0</v>
      </c>
      <c r="W890" s="4">
        <f>IF(OR(INDEX($AH$2:$AH$1001,MATCH(ROWS($AG$2:AG890),$AG$2:$AG$1001,0),1)&gt;=100000,INDEX($AN$1005:$BO$1005,1,MATCH(COLUMNS($AN$1006:BI1006),$AN$1006:$BO$1006,0))&gt;=100000), " ",IF(INDEX($AN$2:$BO$1001,MATCH(ROWS($AG$2:AG890),$AG$2:$AG$1001,0),MATCH(COLUMNS($AN$1006:BI1006),$AN$1006:$BO$1006,0)), HYPERLINK("#",""), HYPERLINK(CONCATENATE("#Metadata!", ADDRESS(INDEX($AI$2:$AI$1001,MATCH(ROWS($AG$2:AG890),$AG$2:$AG$1001,0),0), INDEX($AN$1004:$BO$1004,1,MATCH(COLUMNS($AN$1006:BI1006),$AN$1006:$BO$1006,0)))),"Fix")))</f>
        <v>0</v>
      </c>
      <c r="X890" s="4">
        <f>IF(OR(INDEX($AH$2:$AH$1001,MATCH(ROWS($AG$2:AG890),$AG$2:$AG$1001,0),1)&gt;=100000,INDEX($AN$1005:$BO$1005,1,MATCH(COLUMNS($AN$1006:BJ1006),$AN$1006:$BO$1006,0))&gt;=100000), " ",IF(INDEX($AN$2:$BO$1001,MATCH(ROWS($AG$2:AG890),$AG$2:$AG$1001,0),MATCH(COLUMNS($AN$1006:BJ1006),$AN$1006:$BO$1006,0)), HYPERLINK("#",""), HYPERLINK(CONCATENATE("#Metadata!", ADDRESS(INDEX($AI$2:$AI$1001,MATCH(ROWS($AG$2:AG890),$AG$2:$AG$1001,0),0), INDEX($AN$1004:$BO$1004,1,MATCH(COLUMNS($AN$1006:BJ1006),$AN$1006:$BO$1006,0)))),"Fix")))</f>
        <v>0</v>
      </c>
      <c r="Y890" s="4">
        <f>IF(OR(INDEX($AH$2:$AH$1001,MATCH(ROWS($AG$2:AG890),$AG$2:$AG$1001,0),1)&gt;=100000,INDEX($AN$1005:$BO$1005,1,MATCH(COLUMNS($AN$1006:BK1006),$AN$1006:$BO$1006,0))&gt;=100000), " ",IF(INDEX($AN$2:$BO$1001,MATCH(ROWS($AG$2:AG890),$AG$2:$AG$1001,0),MATCH(COLUMNS($AN$1006:BK1006),$AN$1006:$BO$1006,0)), HYPERLINK("#",""), HYPERLINK(CONCATENATE("#Metadata!", ADDRESS(INDEX($AI$2:$AI$1001,MATCH(ROWS($AG$2:AG890),$AG$2:$AG$1001,0),0), INDEX($AN$1004:$BO$1004,1,MATCH(COLUMNS($AN$1006:BK1006),$AN$1006:$BO$1006,0)))),"Fix")))</f>
        <v>0</v>
      </c>
      <c r="Z890" s="4">
        <f>IF(OR(INDEX($AH$2:$AH$1001,MATCH(ROWS($AG$2:AG890),$AG$2:$AG$1001,0),1)&gt;=100000,INDEX($AN$1005:$BO$1005,1,MATCH(COLUMNS($AN$1006:BL1006),$AN$1006:$BO$1006,0))&gt;=100000), " ",IF(INDEX($AN$2:$BO$1001,MATCH(ROWS($AG$2:AG890),$AG$2:$AG$1001,0),MATCH(COLUMNS($AN$1006:BL1006),$AN$1006:$BO$1006,0)), HYPERLINK("#",""), HYPERLINK(CONCATENATE("#Metadata!", ADDRESS(INDEX($AI$2:$AI$1001,MATCH(ROWS($AG$2:AG890),$AG$2:$AG$1001,0),0), INDEX($AN$1004:$BO$1004,1,MATCH(COLUMNS($AN$1006:BL1006),$AN$1006:$BO$1006,0)))),"Fix")))</f>
        <v>0</v>
      </c>
      <c r="AA890" s="4">
        <f>IF(OR(INDEX($AH$2:$AH$1001,MATCH(ROWS($AG$2:AG890),$AG$2:$AG$1001,0),1)&gt;=100000,INDEX($AN$1005:$BO$1005,1,MATCH(COLUMNS($AN$1006:BM1006),$AN$1006:$BO$1006,0))&gt;=100000), " ",IF(INDEX($AN$2:$BO$1001,MATCH(ROWS($AG$2:AG890),$AG$2:$AG$1001,0),MATCH(COLUMNS($AN$1006:BM1006),$AN$1006:$BO$1006,0)), HYPERLINK("#",""), HYPERLINK(CONCATENATE("#Metadata!", ADDRESS(INDEX($AI$2:$AI$1001,MATCH(ROWS($AG$2:AG890),$AG$2:$AG$1001,0),0), INDEX($AN$1004:$BO$1004,1,MATCH(COLUMNS($AN$1006:BM1006),$AN$1006:$BO$1006,0)))),"Fix")))</f>
        <v>0</v>
      </c>
      <c r="AB890" s="4">
        <f>IF(OR(INDEX($AH$2:$AH$1001,MATCH(ROWS($AG$2:AG890),$AG$2:$AG$1001,0),1)&gt;=100000,INDEX($AN$1005:$BO$1005,1,MATCH(COLUMNS($AN$1006:BN1006),$AN$1006:$BO$1006,0))&gt;=100000), " ",IF(INDEX($AN$2:$BO$1001,MATCH(ROWS($AG$2:AG890),$AG$2:$AG$1001,0),MATCH(COLUMNS($AN$1006:BN1006),$AN$1006:$BO$1006,0)), HYPERLINK("#",""), HYPERLINK(CONCATENATE("#Metadata!", ADDRESS(INDEX($AI$2:$AI$1001,MATCH(ROWS($AG$2:AG890),$AG$2:$AG$1001,0),0), INDEX($AN$1004:$BO$1004,1,MATCH(COLUMNS($AN$1006:BN1006),$AN$1006:$BO$1006,0)))),"Fix")))</f>
        <v>0</v>
      </c>
      <c r="AC890" s="4">
        <f>IF(OR(INDEX($AH$2:$AH$1001,MATCH(ROWS($AG$2:AG890),$AG$2:$AG$1001,0),1)&gt;=100000,INDEX($AN$1005:$BO$1005,1,MATCH(COLUMNS($AN$1006:BO1006),$AN$1006:$BO$1006,0))&gt;=100000), " ",IF(INDEX($AN$2:$BO$1001,MATCH(ROWS($AG$2:AG890),$AG$2:$AG$1001,0),MATCH(COLUMNS($AN$1006:BO1006),$AN$1006:$BO$1006,0)), HYPERLINK("#",""), HYPERLINK(CONCATENATE("#Metadata!", ADDRESS(INDEX($AI$2:$AI$1001,MATCH(ROWS($AG$2:AG890),$AG$2:$AG$1001,0),0), INDEX($AN$1004:$BO$1004,1,MATCH(COLUMNS($AN$1006:BO1006),$AN$1006:$BO$1006,0)))),"Fix")))</f>
        <v>0</v>
      </c>
      <c r="AG890">
        <v>0</v>
      </c>
      <c r="AH890">
        <v>0</v>
      </c>
      <c r="AI890">
        <v>0</v>
      </c>
      <c r="AJ890">
        <f>IF(AK890,TRUE,AND(AN890:BO890))</f>
        <v>0</v>
      </c>
      <c r="AK890">
        <f>COUNTBLANK(Metadata!B890:AC890)=COLUMNS(Metadata!B890:AC890)</f>
        <v>0</v>
      </c>
      <c r="AL890">
        <v>0</v>
      </c>
      <c r="AN890">
        <f>AND(IF(Metadata!B890="",FALSE,TRUE),COUNTIF(Metadata!B:B, Metadata!B890) = 1,NOT(ISERROR(SUMPRODUCT(SEARCH(MID(Metadata!B890,ROW(INDIRECT("1:"&amp;LEN(Metadata!B890))), 1),"0123456789abcdefghijklmnopqrstuvwxyzABCDEFGHIJKLMNOPQRSTUVWXYZ.")))))</f>
        <v>0</v>
      </c>
      <c r="AO890">
        <f>IF(Metadata!C890="",FALSE,TRUE)</f>
        <v>0</v>
      </c>
      <c r="AP890">
        <f>IF(Metadata!D890="",FALSE,TRUE)</f>
        <v>0</v>
      </c>
      <c r="AQ890">
        <f>OR(AND(IF(Metadata!E890="",FALSE,TRUE),OR(exact(Metadata!E890,"not collected"),exact(Metadata!E890,"not provided"),exact(Metadata!E890,"restricted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R890">
        <f>IF(Metadata!F890="",FALSE,TRUE)</f>
        <v>0</v>
      </c>
      <c r="AS890">
        <f>OR(AND(IF(Metadata!G890="",FALSE,TRUE),OR(exact(Metadata!G890,"not collected"),exact(Metadata!G890,"not provided"))),AND(IF(Metadata!G890="",FALSE,TRUE),OR(exact(Metadata!G890,"TRUE"),exact(Metadata!G890,"FALSE"))))</f>
        <v>0</v>
      </c>
      <c r="AT890">
        <f>OR(AND(IF(Metadata!H890="",FALSE,TRUE),OR(exact(Metadata!H890,"not collected"),exact(Metadata!H890,"not provided"),exact(Metadata!H890,"restricted access"))),AND(IF(Metadata!H890="",FALSE,ISNUMBER(VALUE(Metadata!H890))),Metadata!H890&gt;=-413.0))</f>
        <v>0</v>
      </c>
      <c r="AU890">
        <f>AND(IF(Metadata!I890="",FALSE,TRUE),exact(Metadata!I890,"meters"))</f>
        <v>0</v>
      </c>
      <c r="AV890">
        <f>AND(IF(Metadata!J890="",FALSE,TRUE),OR(exact(Metadata!J890,"Host-associated"),exact(Metadata!J890,"Free-living")))</f>
        <v>0</v>
      </c>
      <c r="AW890">
        <f>AND(IF(Metadata!K890="",FALSE,TRUE),OR(exact(Metadata!K890,"Animal"),exact(Metadata!K890,"Fungus"),exact(Metadata!K890,"Plant"),exact(Metadata!K890,"Saline"),exact(Metadata!K890,"Non-saline")))</f>
        <v>0</v>
      </c>
      <c r="AX890">
        <f>AND(IF(Metadata!L890="",FALSE,TRUE),OR(exact(Metadata!L890,"Plant secretion"),exact(Metadata!L890,"Plant rhizosphere"),exact(Metadata!L890,"Plant surface"),exact(Metadata!L890,"Plant corpus"),exact(Metadata!L890,"Fungus surface"),exact(Metadata!L890,"Fungus corpus"),exact(Metadata!L890,"Animal surface"),exact(Metadata!L890,"Animal proximal gut"),exact(Metadata!L890,"Animal corpus"),exact(Metadata!L890,"Animal distal gut"),exact(Metadata!L890,"Animal secretion"),exact(Metadata!L890,"Sub-surface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Y890">
        <f>IF(Metadata!M890="",FALSE,TRUE)</f>
        <v>0</v>
      </c>
      <c r="AZ890">
        <f>IF(Metadata!N890="",FALSE,TRUE)</f>
        <v>0</v>
      </c>
      <c r="BA890">
        <f>IF(Metadata!O890="",FALSE,TRUE)</f>
        <v>0</v>
      </c>
      <c r="BB890">
        <f>OR(AND(IF(Metadata!P890="",FALSE,TRUE),OR(exact(Metadata!P890,"not collected"),exact(Metadata!P890,"not provided"),exact(Metadata!P890,"restricted access"))),AND(IF(Metadata!P890="",FALSE,TRUE),OR(exact(Metadata!P890,"air"),exact(Metadata!P890,"built environment"),exact(Metadata!P890,"host-associated"),exact(Metadata!P890,"human-associated"),exact(Metadata!P890,"human-skin"),exact(Metadata!P890,"human-oral"),exact(Metadata!P890,"human-gut"),exact(Metadata!P890,"human-vaginal"),exact(Metadata!P890,"microbial mat/biofilm"),exact(Metadata!P890,"misc environment"),exact(Metadata!P890,"plant-associated"),exact(Metadata!P890,"sediment"),exact(Metadata!P890,"soil"),exact(Metadata!P890,"wastewater/sludge"),exact(Metadata!P890,"water"))))</f>
        <v>0</v>
      </c>
      <c r="BC890">
        <f>IF(Metadata!Q890="",FALSE,TRUE)</f>
        <v>0</v>
      </c>
      <c r="BD890">
        <f>IF(Metadata!R890="",FALSE,TRUE)</f>
        <v>0</v>
      </c>
      <c r="BE890">
        <f>OR(AND(IF(Metadata!S890="",FALSE,TRUE),OR(exact(Metadata!S890,"not collected"),exact(Metadata!S890,"not provided"),exact(Metadata!S890,"restricted access"))),AND(IF(Metadata!S890="",FALSE,ISNUMBER(VALUE(Metadata!S890))),Metadata!S890&gt;=-90.00,Metadata!S890&lt;=90.00))</f>
        <v>0</v>
      </c>
      <c r="BF890">
        <f>AND(IF(Metadata!T890="",FALSE,TRUE),exact(Metadata!T890,"Decimal degrees"))</f>
        <v>0</v>
      </c>
      <c r="BG890">
        <f>OR(AND(IF(Metadata!U890="",FALSE,TRUE),OR(exact(Metadata!U890,"not collected"),exact(Metadata!U890,"not provided"),exact(Metadata!U890,"restricted access"))),AND(IF(Metadata!U890="",FALSE,ISNUMBER(VALUE(Metadata!U890))),Metadata!U890&gt;=-180.00,Metadata!U890&lt;=180.00))</f>
        <v>0</v>
      </c>
      <c r="BH890">
        <f>AND(IF(Metadata!V890="",FALSE,TRUE),exact(Metadata!V890,"Decimal degrees"))</f>
        <v>0</v>
      </c>
      <c r="BI890">
        <f>IF(Metadata!W890="",FALSE,TRUE)</f>
        <v>0</v>
      </c>
      <c r="BJ890">
        <f>OR(AND(IF(Metadata!X890="",FALSE,TRUE),OR(exact(Metadata!X890,"not collected"),exact(Metadata!X890,"not provided"),exact(Metadata!X890,"restricted access"))),AND(IF(Metadata!X890="",FALSE,TRUE),OR(exact(Metadata!X890,"TRUE"),exact(Metadata!X890,"FALSE"))))</f>
        <v>0</v>
      </c>
      <c r="BK890">
        <f>AND(IF(Metadata!Y890="",FALSE,TRUE),exact(Metadata!Y890,"other"))</f>
        <v>0</v>
      </c>
      <c r="BL890">
        <f>IF(Metadata!Z890="",FALSE,TRUE)</f>
        <v>0</v>
      </c>
      <c r="BM890">
        <f>OR(AND(IF(Metadata!AA890="",FALSE,TRUE),OR(exact(Metadata!AA890,"not collected"),exact(Metadata!AA890,"not provided"))),AND(IF(Metadata!AA890="",FALSE,IF(ISERROR(INT(Metadata!AA890)),FALSE,INT(Metadata!AA890)=Metadata!AA890)),Metadata!AA890&gt;0))</f>
        <v>0</v>
      </c>
      <c r="BN890">
        <f>AND(IF(Metadata!AB890="",FALSE,TRUE),exact(Metadata!AB890,"Not applicable"))</f>
        <v>0</v>
      </c>
      <c r="BO890">
        <f>IF(Metadata!AC890="",FALSE,TRUE)</f>
        <v>0</v>
      </c>
    </row>
    <row r="891" spans="1:67">
      <c r="A891" s="5">
        <f>IF(B891=" "," ",HYPERLINK(CONCATENATE("#metadata!",ADDRESS(INDEX($AI$2:$AI$1001,MATCH(ROWS($AG$2:AG891),$AG$2:$AG$1001,0),0),1)),INDEX($AL$2:$AL$1001,MATCH(ROWS($AG$2:AG891),$AG$2:$AG$1001,0),0)))</f>
        <v>0</v>
      </c>
      <c r="B891" s="4">
        <f>IF(OR(INDEX($AH$2:$AH$1001,MATCH(ROWS($AG$2:AG891),$AG$2:$AG$1001,0),1)&gt;=100000,INDEX($AN$1005:$BO$1005,1,MATCH(COLUMNS($AN$1006:AN1006),$AN$1006:$BO$1006,0))&gt;=100000), " ",IF(INDEX($AN$2:$BO$1001,MATCH(ROWS($AG$2:AG891),$AG$2:$AG$1001,0),MATCH(COLUMNS($AN$1006:AN1006),$AN$1006:$BO$1006,0)), HYPERLINK("#",""), HYPERLINK(CONCATENATE("#Metadata!", ADDRESS(INDEX($AI$2:$AI$1001,MATCH(ROWS($AG$2:AG891),$AG$2:$AG$1001,0),0), INDEX($AN$1004:$BO$1004,1,MATCH(COLUMNS($AN$1006:AN1006),$AN$1006:$BO$1006,0)))),"Fix")))</f>
        <v>0</v>
      </c>
      <c r="C891" s="4">
        <f>IF(OR(INDEX($AH$2:$AH$1001,MATCH(ROWS($AG$2:AG891),$AG$2:$AG$1001,0),1)&gt;=100000,INDEX($AN$1005:$BO$1005,1,MATCH(COLUMNS($AN$1006:AO1006),$AN$1006:$BO$1006,0))&gt;=100000), " ",IF(INDEX($AN$2:$BO$1001,MATCH(ROWS($AG$2:AG891),$AG$2:$AG$1001,0),MATCH(COLUMNS($AN$1006:AO1006),$AN$1006:$BO$1006,0)), HYPERLINK("#",""), HYPERLINK(CONCATENATE("#Metadata!", ADDRESS(INDEX($AI$2:$AI$1001,MATCH(ROWS($AG$2:AG891),$AG$2:$AG$1001,0),0), INDEX($AN$1004:$BO$1004,1,MATCH(COLUMNS($AN$1006:AO1006),$AN$1006:$BO$1006,0)))),"Fix")))</f>
        <v>0</v>
      </c>
      <c r="D891" s="4">
        <f>IF(OR(INDEX($AH$2:$AH$1001,MATCH(ROWS($AG$2:AG891),$AG$2:$AG$1001,0),1)&gt;=100000,INDEX($AN$1005:$BO$1005,1,MATCH(COLUMNS($AN$1006:AP1006),$AN$1006:$BO$1006,0))&gt;=100000), " ",IF(INDEX($AN$2:$BO$1001,MATCH(ROWS($AG$2:AG891),$AG$2:$AG$1001,0),MATCH(COLUMNS($AN$1006:AP1006),$AN$1006:$BO$1006,0)), HYPERLINK("#",""), HYPERLINK(CONCATENATE("#Metadata!", ADDRESS(INDEX($AI$2:$AI$1001,MATCH(ROWS($AG$2:AG891),$AG$2:$AG$1001,0),0), INDEX($AN$1004:$BO$1004,1,MATCH(COLUMNS($AN$1006:AP1006),$AN$1006:$BO$1006,0)))),"Fix")))</f>
        <v>0</v>
      </c>
      <c r="E891" s="4">
        <f>IF(OR(INDEX($AH$2:$AH$1001,MATCH(ROWS($AG$2:AG891),$AG$2:$AG$1001,0),1)&gt;=100000,INDEX($AN$1005:$BO$1005,1,MATCH(COLUMNS($AN$1006:AQ1006),$AN$1006:$BO$1006,0))&gt;=100000), " ",IF(INDEX($AN$2:$BO$1001,MATCH(ROWS($AG$2:AG891),$AG$2:$AG$1001,0),MATCH(COLUMNS($AN$1006:AQ1006),$AN$1006:$BO$1006,0)), HYPERLINK("#",""), HYPERLINK(CONCATENATE("#Metadata!", ADDRESS(INDEX($AI$2:$AI$1001,MATCH(ROWS($AG$2:AG891),$AG$2:$AG$1001,0),0), INDEX($AN$1004:$BO$1004,1,MATCH(COLUMNS($AN$1006:AQ1006),$AN$1006:$BO$1006,0)))),"Fix")))</f>
        <v>0</v>
      </c>
      <c r="F891" s="4">
        <f>IF(OR(INDEX($AH$2:$AH$1001,MATCH(ROWS($AG$2:AG891),$AG$2:$AG$1001,0),1)&gt;=100000,INDEX($AN$1005:$BO$1005,1,MATCH(COLUMNS($AN$1006:AR1006),$AN$1006:$BO$1006,0))&gt;=100000), " ",IF(INDEX($AN$2:$BO$1001,MATCH(ROWS($AG$2:AG891),$AG$2:$AG$1001,0),MATCH(COLUMNS($AN$1006:AR1006),$AN$1006:$BO$1006,0)), HYPERLINK("#",""), HYPERLINK(CONCATENATE("#Metadata!", ADDRESS(INDEX($AI$2:$AI$1001,MATCH(ROWS($AG$2:AG891),$AG$2:$AG$1001,0),0), INDEX($AN$1004:$BO$1004,1,MATCH(COLUMNS($AN$1006:AR1006),$AN$1006:$BO$1006,0)))),"Fix")))</f>
        <v>0</v>
      </c>
      <c r="G891" s="4">
        <f>IF(OR(INDEX($AH$2:$AH$1001,MATCH(ROWS($AG$2:AG891),$AG$2:$AG$1001,0),1)&gt;=100000,INDEX($AN$1005:$BO$1005,1,MATCH(COLUMNS($AN$1006:AS1006),$AN$1006:$BO$1006,0))&gt;=100000), " ",IF(INDEX($AN$2:$BO$1001,MATCH(ROWS($AG$2:AG891),$AG$2:$AG$1001,0),MATCH(COLUMNS($AN$1006:AS1006),$AN$1006:$BO$1006,0)), HYPERLINK("#",""), HYPERLINK(CONCATENATE("#Metadata!", ADDRESS(INDEX($AI$2:$AI$1001,MATCH(ROWS($AG$2:AG891),$AG$2:$AG$1001,0),0), INDEX($AN$1004:$BO$1004,1,MATCH(COLUMNS($AN$1006:AS1006),$AN$1006:$BO$1006,0)))),"Fix")))</f>
        <v>0</v>
      </c>
      <c r="H891" s="4">
        <f>IF(OR(INDEX($AH$2:$AH$1001,MATCH(ROWS($AG$2:AG891),$AG$2:$AG$1001,0),1)&gt;=100000,INDEX($AN$1005:$BO$1005,1,MATCH(COLUMNS($AN$1006:AT1006),$AN$1006:$BO$1006,0))&gt;=100000), " ",IF(INDEX($AN$2:$BO$1001,MATCH(ROWS($AG$2:AG891),$AG$2:$AG$1001,0),MATCH(COLUMNS($AN$1006:AT1006),$AN$1006:$BO$1006,0)), HYPERLINK("#",""), HYPERLINK(CONCATENATE("#Metadata!", ADDRESS(INDEX($AI$2:$AI$1001,MATCH(ROWS($AG$2:AG891),$AG$2:$AG$1001,0),0), INDEX($AN$1004:$BO$1004,1,MATCH(COLUMNS($AN$1006:AT1006),$AN$1006:$BO$1006,0)))),"Fix")))</f>
        <v>0</v>
      </c>
      <c r="I891" s="4">
        <f>IF(OR(INDEX($AH$2:$AH$1001,MATCH(ROWS($AG$2:AG891),$AG$2:$AG$1001,0),1)&gt;=100000,INDEX($AN$1005:$BO$1005,1,MATCH(COLUMNS($AN$1006:AU1006),$AN$1006:$BO$1006,0))&gt;=100000), " ",IF(INDEX($AN$2:$BO$1001,MATCH(ROWS($AG$2:AG891),$AG$2:$AG$1001,0),MATCH(COLUMNS($AN$1006:AU1006),$AN$1006:$BO$1006,0)), HYPERLINK("#",""), HYPERLINK(CONCATENATE("#Metadata!", ADDRESS(INDEX($AI$2:$AI$1001,MATCH(ROWS($AG$2:AG891),$AG$2:$AG$1001,0),0), INDEX($AN$1004:$BO$1004,1,MATCH(COLUMNS($AN$1006:AU1006),$AN$1006:$BO$1006,0)))),"Fix")))</f>
        <v>0</v>
      </c>
      <c r="J891" s="4">
        <f>IF(OR(INDEX($AH$2:$AH$1001,MATCH(ROWS($AG$2:AG891),$AG$2:$AG$1001,0),1)&gt;=100000,INDEX($AN$1005:$BO$1005,1,MATCH(COLUMNS($AN$1006:AV1006),$AN$1006:$BO$1006,0))&gt;=100000), " ",IF(INDEX($AN$2:$BO$1001,MATCH(ROWS($AG$2:AG891),$AG$2:$AG$1001,0),MATCH(COLUMNS($AN$1006:AV1006),$AN$1006:$BO$1006,0)), HYPERLINK("#",""), HYPERLINK(CONCATENATE("#Metadata!", ADDRESS(INDEX($AI$2:$AI$1001,MATCH(ROWS($AG$2:AG891),$AG$2:$AG$1001,0),0), INDEX($AN$1004:$BO$1004,1,MATCH(COLUMNS($AN$1006:AV1006),$AN$1006:$BO$1006,0)))),"Fix")))</f>
        <v>0</v>
      </c>
      <c r="K891" s="4">
        <f>IF(OR(INDEX($AH$2:$AH$1001,MATCH(ROWS($AG$2:AG891),$AG$2:$AG$1001,0),1)&gt;=100000,INDEX($AN$1005:$BO$1005,1,MATCH(COLUMNS($AN$1006:AW1006),$AN$1006:$BO$1006,0))&gt;=100000), " ",IF(INDEX($AN$2:$BO$1001,MATCH(ROWS($AG$2:AG891),$AG$2:$AG$1001,0),MATCH(COLUMNS($AN$1006:AW1006),$AN$1006:$BO$1006,0)), HYPERLINK("#",""), HYPERLINK(CONCATENATE("#Metadata!", ADDRESS(INDEX($AI$2:$AI$1001,MATCH(ROWS($AG$2:AG891),$AG$2:$AG$1001,0),0), INDEX($AN$1004:$BO$1004,1,MATCH(COLUMNS($AN$1006:AW1006),$AN$1006:$BO$1006,0)))),"Fix")))</f>
        <v>0</v>
      </c>
      <c r="L891" s="4">
        <f>IF(OR(INDEX($AH$2:$AH$1001,MATCH(ROWS($AG$2:AG891),$AG$2:$AG$1001,0),1)&gt;=100000,INDEX($AN$1005:$BO$1005,1,MATCH(COLUMNS($AN$1006:AX1006),$AN$1006:$BO$1006,0))&gt;=100000), " ",IF(INDEX($AN$2:$BO$1001,MATCH(ROWS($AG$2:AG891),$AG$2:$AG$1001,0),MATCH(COLUMNS($AN$1006:AX1006),$AN$1006:$BO$1006,0)), HYPERLINK("#",""), HYPERLINK(CONCATENATE("#Metadata!", ADDRESS(INDEX($AI$2:$AI$1001,MATCH(ROWS($AG$2:AG891),$AG$2:$AG$1001,0),0), INDEX($AN$1004:$BO$1004,1,MATCH(COLUMNS($AN$1006:AX1006),$AN$1006:$BO$1006,0)))),"Fix")))</f>
        <v>0</v>
      </c>
      <c r="M891" s="4">
        <f>IF(OR(INDEX($AH$2:$AH$1001,MATCH(ROWS($AG$2:AG891),$AG$2:$AG$1001,0),1)&gt;=100000,INDEX($AN$1005:$BO$1005,1,MATCH(COLUMNS($AN$1006:AY1006),$AN$1006:$BO$1006,0))&gt;=100000), " ",IF(INDEX($AN$2:$BO$1001,MATCH(ROWS($AG$2:AG891),$AG$2:$AG$1001,0),MATCH(COLUMNS($AN$1006:AY1006),$AN$1006:$BO$1006,0)), HYPERLINK("#",""), HYPERLINK(CONCATENATE("#Metadata!", ADDRESS(INDEX($AI$2:$AI$1001,MATCH(ROWS($AG$2:AG891),$AG$2:$AG$1001,0),0), INDEX($AN$1004:$BO$1004,1,MATCH(COLUMNS($AN$1006:AY1006),$AN$1006:$BO$1006,0)))),"Fix")))</f>
        <v>0</v>
      </c>
      <c r="N891" s="4">
        <f>IF(OR(INDEX($AH$2:$AH$1001,MATCH(ROWS($AG$2:AG891),$AG$2:$AG$1001,0),1)&gt;=100000,INDEX($AN$1005:$BO$1005,1,MATCH(COLUMNS($AN$1006:AZ1006),$AN$1006:$BO$1006,0))&gt;=100000), " ",IF(INDEX($AN$2:$BO$1001,MATCH(ROWS($AG$2:AG891),$AG$2:$AG$1001,0),MATCH(COLUMNS($AN$1006:AZ1006),$AN$1006:$BO$1006,0)), HYPERLINK("#",""), HYPERLINK(CONCATENATE("#Metadata!", ADDRESS(INDEX($AI$2:$AI$1001,MATCH(ROWS($AG$2:AG891),$AG$2:$AG$1001,0),0), INDEX($AN$1004:$BO$1004,1,MATCH(COLUMNS($AN$1006:AZ1006),$AN$1006:$BO$1006,0)))),"Fix")))</f>
        <v>0</v>
      </c>
      <c r="O891" s="4">
        <f>IF(OR(INDEX($AH$2:$AH$1001,MATCH(ROWS($AG$2:AG891),$AG$2:$AG$1001,0),1)&gt;=100000,INDEX($AN$1005:$BO$1005,1,MATCH(COLUMNS($AN$1006:BA1006),$AN$1006:$BO$1006,0))&gt;=100000), " ",IF(INDEX($AN$2:$BO$1001,MATCH(ROWS($AG$2:AG891),$AG$2:$AG$1001,0),MATCH(COLUMNS($AN$1006:BA1006),$AN$1006:$BO$1006,0)), HYPERLINK("#",""), HYPERLINK(CONCATENATE("#Metadata!", ADDRESS(INDEX($AI$2:$AI$1001,MATCH(ROWS($AG$2:AG891),$AG$2:$AG$1001,0),0), INDEX($AN$1004:$BO$1004,1,MATCH(COLUMNS($AN$1006:BA1006),$AN$1006:$BO$1006,0)))),"Fix")))</f>
        <v>0</v>
      </c>
      <c r="P891" s="4">
        <f>IF(OR(INDEX($AH$2:$AH$1001,MATCH(ROWS($AG$2:AG891),$AG$2:$AG$1001,0),1)&gt;=100000,INDEX($AN$1005:$BO$1005,1,MATCH(COLUMNS($AN$1006:BB1006),$AN$1006:$BO$1006,0))&gt;=100000), " ",IF(INDEX($AN$2:$BO$1001,MATCH(ROWS($AG$2:AG891),$AG$2:$AG$1001,0),MATCH(COLUMNS($AN$1006:BB1006),$AN$1006:$BO$1006,0)), HYPERLINK("#",""), HYPERLINK(CONCATENATE("#Metadata!", ADDRESS(INDEX($AI$2:$AI$1001,MATCH(ROWS($AG$2:AG891),$AG$2:$AG$1001,0),0), INDEX($AN$1004:$BO$1004,1,MATCH(COLUMNS($AN$1006:BB1006),$AN$1006:$BO$1006,0)))),"Fix")))</f>
        <v>0</v>
      </c>
      <c r="Q891" s="4">
        <f>IF(OR(INDEX($AH$2:$AH$1001,MATCH(ROWS($AG$2:AG891),$AG$2:$AG$1001,0),1)&gt;=100000,INDEX($AN$1005:$BO$1005,1,MATCH(COLUMNS($AN$1006:BC1006),$AN$1006:$BO$1006,0))&gt;=100000), " ",IF(INDEX($AN$2:$BO$1001,MATCH(ROWS($AG$2:AG891),$AG$2:$AG$1001,0),MATCH(COLUMNS($AN$1006:BC1006),$AN$1006:$BO$1006,0)), HYPERLINK("#",""), HYPERLINK(CONCATENATE("#Metadata!", ADDRESS(INDEX($AI$2:$AI$1001,MATCH(ROWS($AG$2:AG891),$AG$2:$AG$1001,0),0), INDEX($AN$1004:$BO$1004,1,MATCH(COLUMNS($AN$1006:BC1006),$AN$1006:$BO$1006,0)))),"Fix")))</f>
        <v>0</v>
      </c>
      <c r="R891" s="4">
        <f>IF(OR(INDEX($AH$2:$AH$1001,MATCH(ROWS($AG$2:AG891),$AG$2:$AG$1001,0),1)&gt;=100000,INDEX($AN$1005:$BO$1005,1,MATCH(COLUMNS($AN$1006:BD1006),$AN$1006:$BO$1006,0))&gt;=100000), " ",IF(INDEX($AN$2:$BO$1001,MATCH(ROWS($AG$2:AG891),$AG$2:$AG$1001,0),MATCH(COLUMNS($AN$1006:BD1006),$AN$1006:$BO$1006,0)), HYPERLINK("#",""), HYPERLINK(CONCATENATE("#Metadata!", ADDRESS(INDEX($AI$2:$AI$1001,MATCH(ROWS($AG$2:AG891),$AG$2:$AG$1001,0),0), INDEX($AN$1004:$BO$1004,1,MATCH(COLUMNS($AN$1006:BD1006),$AN$1006:$BO$1006,0)))),"Fix")))</f>
        <v>0</v>
      </c>
      <c r="S891" s="4">
        <f>IF(OR(INDEX($AH$2:$AH$1001,MATCH(ROWS($AG$2:AG891),$AG$2:$AG$1001,0),1)&gt;=100000,INDEX($AN$1005:$BO$1005,1,MATCH(COLUMNS($AN$1006:BE1006),$AN$1006:$BO$1006,0))&gt;=100000), " ",IF(INDEX($AN$2:$BO$1001,MATCH(ROWS($AG$2:AG891),$AG$2:$AG$1001,0),MATCH(COLUMNS($AN$1006:BE1006),$AN$1006:$BO$1006,0)), HYPERLINK("#",""), HYPERLINK(CONCATENATE("#Metadata!", ADDRESS(INDEX($AI$2:$AI$1001,MATCH(ROWS($AG$2:AG891),$AG$2:$AG$1001,0),0), INDEX($AN$1004:$BO$1004,1,MATCH(COLUMNS($AN$1006:BE1006),$AN$1006:$BO$1006,0)))),"Fix")))</f>
        <v>0</v>
      </c>
      <c r="T891" s="4">
        <f>IF(OR(INDEX($AH$2:$AH$1001,MATCH(ROWS($AG$2:AG891),$AG$2:$AG$1001,0),1)&gt;=100000,INDEX($AN$1005:$BO$1005,1,MATCH(COLUMNS($AN$1006:BF1006),$AN$1006:$BO$1006,0))&gt;=100000), " ",IF(INDEX($AN$2:$BO$1001,MATCH(ROWS($AG$2:AG891),$AG$2:$AG$1001,0),MATCH(COLUMNS($AN$1006:BF1006),$AN$1006:$BO$1006,0)), HYPERLINK("#",""), HYPERLINK(CONCATENATE("#Metadata!", ADDRESS(INDEX($AI$2:$AI$1001,MATCH(ROWS($AG$2:AG891),$AG$2:$AG$1001,0),0), INDEX($AN$1004:$BO$1004,1,MATCH(COLUMNS($AN$1006:BF1006),$AN$1006:$BO$1006,0)))),"Fix")))</f>
        <v>0</v>
      </c>
      <c r="U891" s="4">
        <f>IF(OR(INDEX($AH$2:$AH$1001,MATCH(ROWS($AG$2:AG891),$AG$2:$AG$1001,0),1)&gt;=100000,INDEX($AN$1005:$BO$1005,1,MATCH(COLUMNS($AN$1006:BG1006),$AN$1006:$BO$1006,0))&gt;=100000), " ",IF(INDEX($AN$2:$BO$1001,MATCH(ROWS($AG$2:AG891),$AG$2:$AG$1001,0),MATCH(COLUMNS($AN$1006:BG1006),$AN$1006:$BO$1006,0)), HYPERLINK("#",""), HYPERLINK(CONCATENATE("#Metadata!", ADDRESS(INDEX($AI$2:$AI$1001,MATCH(ROWS($AG$2:AG891),$AG$2:$AG$1001,0),0), INDEX($AN$1004:$BO$1004,1,MATCH(COLUMNS($AN$1006:BG1006),$AN$1006:$BO$1006,0)))),"Fix")))</f>
        <v>0</v>
      </c>
      <c r="V891" s="4">
        <f>IF(OR(INDEX($AH$2:$AH$1001,MATCH(ROWS($AG$2:AG891),$AG$2:$AG$1001,0),1)&gt;=100000,INDEX($AN$1005:$BO$1005,1,MATCH(COLUMNS($AN$1006:BH1006),$AN$1006:$BO$1006,0))&gt;=100000), " ",IF(INDEX($AN$2:$BO$1001,MATCH(ROWS($AG$2:AG891),$AG$2:$AG$1001,0),MATCH(COLUMNS($AN$1006:BH1006),$AN$1006:$BO$1006,0)), HYPERLINK("#",""), HYPERLINK(CONCATENATE("#Metadata!", ADDRESS(INDEX($AI$2:$AI$1001,MATCH(ROWS($AG$2:AG891),$AG$2:$AG$1001,0),0), INDEX($AN$1004:$BO$1004,1,MATCH(COLUMNS($AN$1006:BH1006),$AN$1006:$BO$1006,0)))),"Fix")))</f>
        <v>0</v>
      </c>
      <c r="W891" s="4">
        <f>IF(OR(INDEX($AH$2:$AH$1001,MATCH(ROWS($AG$2:AG891),$AG$2:$AG$1001,0),1)&gt;=100000,INDEX($AN$1005:$BO$1005,1,MATCH(COLUMNS($AN$1006:BI1006),$AN$1006:$BO$1006,0))&gt;=100000), " ",IF(INDEX($AN$2:$BO$1001,MATCH(ROWS($AG$2:AG891),$AG$2:$AG$1001,0),MATCH(COLUMNS($AN$1006:BI1006),$AN$1006:$BO$1006,0)), HYPERLINK("#",""), HYPERLINK(CONCATENATE("#Metadata!", ADDRESS(INDEX($AI$2:$AI$1001,MATCH(ROWS($AG$2:AG891),$AG$2:$AG$1001,0),0), INDEX($AN$1004:$BO$1004,1,MATCH(COLUMNS($AN$1006:BI1006),$AN$1006:$BO$1006,0)))),"Fix")))</f>
        <v>0</v>
      </c>
      <c r="X891" s="4">
        <f>IF(OR(INDEX($AH$2:$AH$1001,MATCH(ROWS($AG$2:AG891),$AG$2:$AG$1001,0),1)&gt;=100000,INDEX($AN$1005:$BO$1005,1,MATCH(COLUMNS($AN$1006:BJ1006),$AN$1006:$BO$1006,0))&gt;=100000), " ",IF(INDEX($AN$2:$BO$1001,MATCH(ROWS($AG$2:AG891),$AG$2:$AG$1001,0),MATCH(COLUMNS($AN$1006:BJ1006),$AN$1006:$BO$1006,0)), HYPERLINK("#",""), HYPERLINK(CONCATENATE("#Metadata!", ADDRESS(INDEX($AI$2:$AI$1001,MATCH(ROWS($AG$2:AG891),$AG$2:$AG$1001,0),0), INDEX($AN$1004:$BO$1004,1,MATCH(COLUMNS($AN$1006:BJ1006),$AN$1006:$BO$1006,0)))),"Fix")))</f>
        <v>0</v>
      </c>
      <c r="Y891" s="4">
        <f>IF(OR(INDEX($AH$2:$AH$1001,MATCH(ROWS($AG$2:AG891),$AG$2:$AG$1001,0),1)&gt;=100000,INDEX($AN$1005:$BO$1005,1,MATCH(COLUMNS($AN$1006:BK1006),$AN$1006:$BO$1006,0))&gt;=100000), " ",IF(INDEX($AN$2:$BO$1001,MATCH(ROWS($AG$2:AG891),$AG$2:$AG$1001,0),MATCH(COLUMNS($AN$1006:BK1006),$AN$1006:$BO$1006,0)), HYPERLINK("#",""), HYPERLINK(CONCATENATE("#Metadata!", ADDRESS(INDEX($AI$2:$AI$1001,MATCH(ROWS($AG$2:AG891),$AG$2:$AG$1001,0),0), INDEX($AN$1004:$BO$1004,1,MATCH(COLUMNS($AN$1006:BK1006),$AN$1006:$BO$1006,0)))),"Fix")))</f>
        <v>0</v>
      </c>
      <c r="Z891" s="4">
        <f>IF(OR(INDEX($AH$2:$AH$1001,MATCH(ROWS($AG$2:AG891),$AG$2:$AG$1001,0),1)&gt;=100000,INDEX($AN$1005:$BO$1005,1,MATCH(COLUMNS($AN$1006:BL1006),$AN$1006:$BO$1006,0))&gt;=100000), " ",IF(INDEX($AN$2:$BO$1001,MATCH(ROWS($AG$2:AG891),$AG$2:$AG$1001,0),MATCH(COLUMNS($AN$1006:BL1006),$AN$1006:$BO$1006,0)), HYPERLINK("#",""), HYPERLINK(CONCATENATE("#Metadata!", ADDRESS(INDEX($AI$2:$AI$1001,MATCH(ROWS($AG$2:AG891),$AG$2:$AG$1001,0),0), INDEX($AN$1004:$BO$1004,1,MATCH(COLUMNS($AN$1006:BL1006),$AN$1006:$BO$1006,0)))),"Fix")))</f>
        <v>0</v>
      </c>
      <c r="AA891" s="4">
        <f>IF(OR(INDEX($AH$2:$AH$1001,MATCH(ROWS($AG$2:AG891),$AG$2:$AG$1001,0),1)&gt;=100000,INDEX($AN$1005:$BO$1005,1,MATCH(COLUMNS($AN$1006:BM1006),$AN$1006:$BO$1006,0))&gt;=100000), " ",IF(INDEX($AN$2:$BO$1001,MATCH(ROWS($AG$2:AG891),$AG$2:$AG$1001,0),MATCH(COLUMNS($AN$1006:BM1006),$AN$1006:$BO$1006,0)), HYPERLINK("#",""), HYPERLINK(CONCATENATE("#Metadata!", ADDRESS(INDEX($AI$2:$AI$1001,MATCH(ROWS($AG$2:AG891),$AG$2:$AG$1001,0),0), INDEX($AN$1004:$BO$1004,1,MATCH(COLUMNS($AN$1006:BM1006),$AN$1006:$BO$1006,0)))),"Fix")))</f>
        <v>0</v>
      </c>
      <c r="AB891" s="4">
        <f>IF(OR(INDEX($AH$2:$AH$1001,MATCH(ROWS($AG$2:AG891),$AG$2:$AG$1001,0),1)&gt;=100000,INDEX($AN$1005:$BO$1005,1,MATCH(COLUMNS($AN$1006:BN1006),$AN$1006:$BO$1006,0))&gt;=100000), " ",IF(INDEX($AN$2:$BO$1001,MATCH(ROWS($AG$2:AG891),$AG$2:$AG$1001,0),MATCH(COLUMNS($AN$1006:BN1006),$AN$1006:$BO$1006,0)), HYPERLINK("#",""), HYPERLINK(CONCATENATE("#Metadata!", ADDRESS(INDEX($AI$2:$AI$1001,MATCH(ROWS($AG$2:AG891),$AG$2:$AG$1001,0),0), INDEX($AN$1004:$BO$1004,1,MATCH(COLUMNS($AN$1006:BN1006),$AN$1006:$BO$1006,0)))),"Fix")))</f>
        <v>0</v>
      </c>
      <c r="AC891" s="4">
        <f>IF(OR(INDEX($AH$2:$AH$1001,MATCH(ROWS($AG$2:AG891),$AG$2:$AG$1001,0),1)&gt;=100000,INDEX($AN$1005:$BO$1005,1,MATCH(COLUMNS($AN$1006:BO1006),$AN$1006:$BO$1006,0))&gt;=100000), " ",IF(INDEX($AN$2:$BO$1001,MATCH(ROWS($AG$2:AG891),$AG$2:$AG$1001,0),MATCH(COLUMNS($AN$1006:BO1006),$AN$1006:$BO$1006,0)), HYPERLINK("#",""), HYPERLINK(CONCATENATE("#Metadata!", ADDRESS(INDEX($AI$2:$AI$1001,MATCH(ROWS($AG$2:AG891),$AG$2:$AG$1001,0),0), INDEX($AN$1004:$BO$1004,1,MATCH(COLUMNS($AN$1006:BO1006),$AN$1006:$BO$1006,0)))),"Fix")))</f>
        <v>0</v>
      </c>
      <c r="AG891">
        <v>0</v>
      </c>
      <c r="AH891">
        <v>0</v>
      </c>
      <c r="AI891">
        <v>0</v>
      </c>
      <c r="AJ891">
        <f>IF(AK891,TRUE,AND(AN891:BO891))</f>
        <v>0</v>
      </c>
      <c r="AK891">
        <f>COUNTBLANK(Metadata!B891:AC891)=COLUMNS(Metadata!B891:AC891)</f>
        <v>0</v>
      </c>
      <c r="AL891">
        <v>0</v>
      </c>
      <c r="AN891">
        <f>AND(IF(Metadata!B891="",FALSE,TRUE),COUNTIF(Metadata!B:B, Metadata!B891) = 1,NOT(ISERROR(SUMPRODUCT(SEARCH(MID(Metadata!B891,ROW(INDIRECT("1:"&amp;LEN(Metadata!B891))), 1),"0123456789abcdefghijklmnopqrstuvwxyzABCDEFGHIJKLMNOPQRSTUVWXYZ.")))))</f>
        <v>0</v>
      </c>
      <c r="AO891">
        <f>IF(Metadata!C891="",FALSE,TRUE)</f>
        <v>0</v>
      </c>
      <c r="AP891">
        <f>IF(Metadata!D891="",FALSE,TRUE)</f>
        <v>0</v>
      </c>
      <c r="AQ891">
        <f>OR(AND(IF(Metadata!E891="",FALSE,TRUE),OR(exact(Metadata!E891,"not collected"),exact(Metadata!E891,"not provided"),exact(Metadata!E891,"restricted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R891">
        <f>IF(Metadata!F891="",FALSE,TRUE)</f>
        <v>0</v>
      </c>
      <c r="AS891">
        <f>OR(AND(IF(Metadata!G891="",FALSE,TRUE),OR(exact(Metadata!G891,"not collected"),exact(Metadata!G891,"not provided"))),AND(IF(Metadata!G891="",FALSE,TRUE),OR(exact(Metadata!G891,"TRUE"),exact(Metadata!G891,"FALSE"))))</f>
        <v>0</v>
      </c>
      <c r="AT891">
        <f>OR(AND(IF(Metadata!H891="",FALSE,TRUE),OR(exact(Metadata!H891,"not collected"),exact(Metadata!H891,"not provided"),exact(Metadata!H891,"restricted access"))),AND(IF(Metadata!H891="",FALSE,ISNUMBER(VALUE(Metadata!H891))),Metadata!H891&gt;=-413.0))</f>
        <v>0</v>
      </c>
      <c r="AU891">
        <f>AND(IF(Metadata!I891="",FALSE,TRUE),exact(Metadata!I891,"meters"))</f>
        <v>0</v>
      </c>
      <c r="AV891">
        <f>AND(IF(Metadata!J891="",FALSE,TRUE),OR(exact(Metadata!J891,"Host-associated"),exact(Metadata!J891,"Free-living")))</f>
        <v>0</v>
      </c>
      <c r="AW891">
        <f>AND(IF(Metadata!K891="",FALSE,TRUE),OR(exact(Metadata!K891,"Animal"),exact(Metadata!K891,"Fungus"),exact(Metadata!K891,"Plant"),exact(Metadata!K891,"Saline"),exact(Metadata!K891,"Non-saline")))</f>
        <v>0</v>
      </c>
      <c r="AX891">
        <f>AND(IF(Metadata!L891="",FALSE,TRUE),OR(exact(Metadata!L891,"Plant secretion"),exact(Metadata!L891,"Plant rhizosphere"),exact(Metadata!L891,"Plant surface"),exact(Metadata!L891,"Plant corpus"),exact(Metadata!L891,"Fungus surface"),exact(Metadata!L891,"Fungus corpus"),exact(Metadata!L891,"Animal surface"),exact(Metadata!L891,"Animal proximal gut"),exact(Metadata!L891,"Animal corpus"),exact(Metadata!L891,"Animal distal gut"),exact(Metadata!L891,"Animal secretion"),exact(Metadata!L891,"Sub-surface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Y891">
        <f>IF(Metadata!M891="",FALSE,TRUE)</f>
        <v>0</v>
      </c>
      <c r="AZ891">
        <f>IF(Metadata!N891="",FALSE,TRUE)</f>
        <v>0</v>
      </c>
      <c r="BA891">
        <f>IF(Metadata!O891="",FALSE,TRUE)</f>
        <v>0</v>
      </c>
      <c r="BB891">
        <f>OR(AND(IF(Metadata!P891="",FALSE,TRUE),OR(exact(Metadata!P891,"not collected"),exact(Metadata!P891,"not provided"),exact(Metadata!P891,"restricted access"))),AND(IF(Metadata!P891="",FALSE,TRUE),OR(exact(Metadata!P891,"air"),exact(Metadata!P891,"built environment"),exact(Metadata!P891,"host-associated"),exact(Metadata!P891,"human-associated"),exact(Metadata!P891,"human-skin"),exact(Metadata!P891,"human-oral"),exact(Metadata!P891,"human-gut"),exact(Metadata!P891,"human-vaginal"),exact(Metadata!P891,"microbial mat/biofilm"),exact(Metadata!P891,"misc environment"),exact(Metadata!P891,"plant-associated"),exact(Metadata!P891,"sediment"),exact(Metadata!P891,"soil"),exact(Metadata!P891,"wastewater/sludge"),exact(Metadata!P891,"water"))))</f>
        <v>0</v>
      </c>
      <c r="BC891">
        <f>IF(Metadata!Q891="",FALSE,TRUE)</f>
        <v>0</v>
      </c>
      <c r="BD891">
        <f>IF(Metadata!R891="",FALSE,TRUE)</f>
        <v>0</v>
      </c>
      <c r="BE891">
        <f>OR(AND(IF(Metadata!S891="",FALSE,TRUE),OR(exact(Metadata!S891,"not collected"),exact(Metadata!S891,"not provided"),exact(Metadata!S891,"restricted access"))),AND(IF(Metadata!S891="",FALSE,ISNUMBER(VALUE(Metadata!S891))),Metadata!S891&gt;=-90.00,Metadata!S891&lt;=90.00))</f>
        <v>0</v>
      </c>
      <c r="BF891">
        <f>AND(IF(Metadata!T891="",FALSE,TRUE),exact(Metadata!T891,"Decimal degrees"))</f>
        <v>0</v>
      </c>
      <c r="BG891">
        <f>OR(AND(IF(Metadata!U891="",FALSE,TRUE),OR(exact(Metadata!U891,"not collected"),exact(Metadata!U891,"not provided"),exact(Metadata!U891,"restricted access"))),AND(IF(Metadata!U891="",FALSE,ISNUMBER(VALUE(Metadata!U891))),Metadata!U891&gt;=-180.00,Metadata!U891&lt;=180.00))</f>
        <v>0</v>
      </c>
      <c r="BH891">
        <f>AND(IF(Metadata!V891="",FALSE,TRUE),exact(Metadata!V891,"Decimal degrees"))</f>
        <v>0</v>
      </c>
      <c r="BI891">
        <f>IF(Metadata!W891="",FALSE,TRUE)</f>
        <v>0</v>
      </c>
      <c r="BJ891">
        <f>OR(AND(IF(Metadata!X891="",FALSE,TRUE),OR(exact(Metadata!X891,"not collected"),exact(Metadata!X891,"not provided"),exact(Metadata!X891,"restricted access"))),AND(IF(Metadata!X891="",FALSE,TRUE),OR(exact(Metadata!X891,"TRUE"),exact(Metadata!X891,"FALSE"))))</f>
        <v>0</v>
      </c>
      <c r="BK891">
        <f>AND(IF(Metadata!Y891="",FALSE,TRUE),exact(Metadata!Y891,"other"))</f>
        <v>0</v>
      </c>
      <c r="BL891">
        <f>IF(Metadata!Z891="",FALSE,TRUE)</f>
        <v>0</v>
      </c>
      <c r="BM891">
        <f>OR(AND(IF(Metadata!AA891="",FALSE,TRUE),OR(exact(Metadata!AA891,"not collected"),exact(Metadata!AA891,"not provided"))),AND(IF(Metadata!AA891="",FALSE,IF(ISERROR(INT(Metadata!AA891)),FALSE,INT(Metadata!AA891)=Metadata!AA891)),Metadata!AA891&gt;0))</f>
        <v>0</v>
      </c>
      <c r="BN891">
        <f>AND(IF(Metadata!AB891="",FALSE,TRUE),exact(Metadata!AB891,"Not applicable"))</f>
        <v>0</v>
      </c>
      <c r="BO891">
        <f>IF(Metadata!AC891="",FALSE,TRUE)</f>
        <v>0</v>
      </c>
    </row>
    <row r="892" spans="1:67">
      <c r="A892" s="5">
        <f>IF(B892=" "," ",HYPERLINK(CONCATENATE("#metadata!",ADDRESS(INDEX($AI$2:$AI$1001,MATCH(ROWS($AG$2:AG892),$AG$2:$AG$1001,0),0),1)),INDEX($AL$2:$AL$1001,MATCH(ROWS($AG$2:AG892),$AG$2:$AG$1001,0),0)))</f>
        <v>0</v>
      </c>
      <c r="B892" s="4">
        <f>IF(OR(INDEX($AH$2:$AH$1001,MATCH(ROWS($AG$2:AG892),$AG$2:$AG$1001,0),1)&gt;=100000,INDEX($AN$1005:$BO$1005,1,MATCH(COLUMNS($AN$1006:AN1006),$AN$1006:$BO$1006,0))&gt;=100000), " ",IF(INDEX($AN$2:$BO$1001,MATCH(ROWS($AG$2:AG892),$AG$2:$AG$1001,0),MATCH(COLUMNS($AN$1006:AN1006),$AN$1006:$BO$1006,0)), HYPERLINK("#",""), HYPERLINK(CONCATENATE("#Metadata!", ADDRESS(INDEX($AI$2:$AI$1001,MATCH(ROWS($AG$2:AG892),$AG$2:$AG$1001,0),0), INDEX($AN$1004:$BO$1004,1,MATCH(COLUMNS($AN$1006:AN1006),$AN$1006:$BO$1006,0)))),"Fix")))</f>
        <v>0</v>
      </c>
      <c r="C892" s="4">
        <f>IF(OR(INDEX($AH$2:$AH$1001,MATCH(ROWS($AG$2:AG892),$AG$2:$AG$1001,0),1)&gt;=100000,INDEX($AN$1005:$BO$1005,1,MATCH(COLUMNS($AN$1006:AO1006),$AN$1006:$BO$1006,0))&gt;=100000), " ",IF(INDEX($AN$2:$BO$1001,MATCH(ROWS($AG$2:AG892),$AG$2:$AG$1001,0),MATCH(COLUMNS($AN$1006:AO1006),$AN$1006:$BO$1006,0)), HYPERLINK("#",""), HYPERLINK(CONCATENATE("#Metadata!", ADDRESS(INDEX($AI$2:$AI$1001,MATCH(ROWS($AG$2:AG892),$AG$2:$AG$1001,0),0), INDEX($AN$1004:$BO$1004,1,MATCH(COLUMNS($AN$1006:AO1006),$AN$1006:$BO$1006,0)))),"Fix")))</f>
        <v>0</v>
      </c>
      <c r="D892" s="4">
        <f>IF(OR(INDEX($AH$2:$AH$1001,MATCH(ROWS($AG$2:AG892),$AG$2:$AG$1001,0),1)&gt;=100000,INDEX($AN$1005:$BO$1005,1,MATCH(COLUMNS($AN$1006:AP1006),$AN$1006:$BO$1006,0))&gt;=100000), " ",IF(INDEX($AN$2:$BO$1001,MATCH(ROWS($AG$2:AG892),$AG$2:$AG$1001,0),MATCH(COLUMNS($AN$1006:AP1006),$AN$1006:$BO$1006,0)), HYPERLINK("#",""), HYPERLINK(CONCATENATE("#Metadata!", ADDRESS(INDEX($AI$2:$AI$1001,MATCH(ROWS($AG$2:AG892),$AG$2:$AG$1001,0),0), INDEX($AN$1004:$BO$1004,1,MATCH(COLUMNS($AN$1006:AP1006),$AN$1006:$BO$1006,0)))),"Fix")))</f>
        <v>0</v>
      </c>
      <c r="E892" s="4">
        <f>IF(OR(INDEX($AH$2:$AH$1001,MATCH(ROWS($AG$2:AG892),$AG$2:$AG$1001,0),1)&gt;=100000,INDEX($AN$1005:$BO$1005,1,MATCH(COLUMNS($AN$1006:AQ1006),$AN$1006:$BO$1006,0))&gt;=100000), " ",IF(INDEX($AN$2:$BO$1001,MATCH(ROWS($AG$2:AG892),$AG$2:$AG$1001,0),MATCH(COLUMNS($AN$1006:AQ1006),$AN$1006:$BO$1006,0)), HYPERLINK("#",""), HYPERLINK(CONCATENATE("#Metadata!", ADDRESS(INDEX($AI$2:$AI$1001,MATCH(ROWS($AG$2:AG892),$AG$2:$AG$1001,0),0), INDEX($AN$1004:$BO$1004,1,MATCH(COLUMNS($AN$1006:AQ1006),$AN$1006:$BO$1006,0)))),"Fix")))</f>
        <v>0</v>
      </c>
      <c r="F892" s="4">
        <f>IF(OR(INDEX($AH$2:$AH$1001,MATCH(ROWS($AG$2:AG892),$AG$2:$AG$1001,0),1)&gt;=100000,INDEX($AN$1005:$BO$1005,1,MATCH(COLUMNS($AN$1006:AR1006),$AN$1006:$BO$1006,0))&gt;=100000), " ",IF(INDEX($AN$2:$BO$1001,MATCH(ROWS($AG$2:AG892),$AG$2:$AG$1001,0),MATCH(COLUMNS($AN$1006:AR1006),$AN$1006:$BO$1006,0)), HYPERLINK("#",""), HYPERLINK(CONCATENATE("#Metadata!", ADDRESS(INDEX($AI$2:$AI$1001,MATCH(ROWS($AG$2:AG892),$AG$2:$AG$1001,0),0), INDEX($AN$1004:$BO$1004,1,MATCH(COLUMNS($AN$1006:AR1006),$AN$1006:$BO$1006,0)))),"Fix")))</f>
        <v>0</v>
      </c>
      <c r="G892" s="4">
        <f>IF(OR(INDEX($AH$2:$AH$1001,MATCH(ROWS($AG$2:AG892),$AG$2:$AG$1001,0),1)&gt;=100000,INDEX($AN$1005:$BO$1005,1,MATCH(COLUMNS($AN$1006:AS1006),$AN$1006:$BO$1006,0))&gt;=100000), " ",IF(INDEX($AN$2:$BO$1001,MATCH(ROWS($AG$2:AG892),$AG$2:$AG$1001,0),MATCH(COLUMNS($AN$1006:AS1006),$AN$1006:$BO$1006,0)), HYPERLINK("#",""), HYPERLINK(CONCATENATE("#Metadata!", ADDRESS(INDEX($AI$2:$AI$1001,MATCH(ROWS($AG$2:AG892),$AG$2:$AG$1001,0),0), INDEX($AN$1004:$BO$1004,1,MATCH(COLUMNS($AN$1006:AS1006),$AN$1006:$BO$1006,0)))),"Fix")))</f>
        <v>0</v>
      </c>
      <c r="H892" s="4">
        <f>IF(OR(INDEX($AH$2:$AH$1001,MATCH(ROWS($AG$2:AG892),$AG$2:$AG$1001,0),1)&gt;=100000,INDEX($AN$1005:$BO$1005,1,MATCH(COLUMNS($AN$1006:AT1006),$AN$1006:$BO$1006,0))&gt;=100000), " ",IF(INDEX($AN$2:$BO$1001,MATCH(ROWS($AG$2:AG892),$AG$2:$AG$1001,0),MATCH(COLUMNS($AN$1006:AT1006),$AN$1006:$BO$1006,0)), HYPERLINK("#",""), HYPERLINK(CONCATENATE("#Metadata!", ADDRESS(INDEX($AI$2:$AI$1001,MATCH(ROWS($AG$2:AG892),$AG$2:$AG$1001,0),0), INDEX($AN$1004:$BO$1004,1,MATCH(COLUMNS($AN$1006:AT1006),$AN$1006:$BO$1006,0)))),"Fix")))</f>
        <v>0</v>
      </c>
      <c r="I892" s="4">
        <f>IF(OR(INDEX($AH$2:$AH$1001,MATCH(ROWS($AG$2:AG892),$AG$2:$AG$1001,0),1)&gt;=100000,INDEX($AN$1005:$BO$1005,1,MATCH(COLUMNS($AN$1006:AU1006),$AN$1006:$BO$1006,0))&gt;=100000), " ",IF(INDEX($AN$2:$BO$1001,MATCH(ROWS($AG$2:AG892),$AG$2:$AG$1001,0),MATCH(COLUMNS($AN$1006:AU1006),$AN$1006:$BO$1006,0)), HYPERLINK("#",""), HYPERLINK(CONCATENATE("#Metadata!", ADDRESS(INDEX($AI$2:$AI$1001,MATCH(ROWS($AG$2:AG892),$AG$2:$AG$1001,0),0), INDEX($AN$1004:$BO$1004,1,MATCH(COLUMNS($AN$1006:AU1006),$AN$1006:$BO$1006,0)))),"Fix")))</f>
        <v>0</v>
      </c>
      <c r="J892" s="4">
        <f>IF(OR(INDEX($AH$2:$AH$1001,MATCH(ROWS($AG$2:AG892),$AG$2:$AG$1001,0),1)&gt;=100000,INDEX($AN$1005:$BO$1005,1,MATCH(COLUMNS($AN$1006:AV1006),$AN$1006:$BO$1006,0))&gt;=100000), " ",IF(INDEX($AN$2:$BO$1001,MATCH(ROWS($AG$2:AG892),$AG$2:$AG$1001,0),MATCH(COLUMNS($AN$1006:AV1006),$AN$1006:$BO$1006,0)), HYPERLINK("#",""), HYPERLINK(CONCATENATE("#Metadata!", ADDRESS(INDEX($AI$2:$AI$1001,MATCH(ROWS($AG$2:AG892),$AG$2:$AG$1001,0),0), INDEX($AN$1004:$BO$1004,1,MATCH(COLUMNS($AN$1006:AV1006),$AN$1006:$BO$1006,0)))),"Fix")))</f>
        <v>0</v>
      </c>
      <c r="K892" s="4">
        <f>IF(OR(INDEX($AH$2:$AH$1001,MATCH(ROWS($AG$2:AG892),$AG$2:$AG$1001,0),1)&gt;=100000,INDEX($AN$1005:$BO$1005,1,MATCH(COLUMNS($AN$1006:AW1006),$AN$1006:$BO$1006,0))&gt;=100000), " ",IF(INDEX($AN$2:$BO$1001,MATCH(ROWS($AG$2:AG892),$AG$2:$AG$1001,0),MATCH(COLUMNS($AN$1006:AW1006),$AN$1006:$BO$1006,0)), HYPERLINK("#",""), HYPERLINK(CONCATENATE("#Metadata!", ADDRESS(INDEX($AI$2:$AI$1001,MATCH(ROWS($AG$2:AG892),$AG$2:$AG$1001,0),0), INDEX($AN$1004:$BO$1004,1,MATCH(COLUMNS($AN$1006:AW1006),$AN$1006:$BO$1006,0)))),"Fix")))</f>
        <v>0</v>
      </c>
      <c r="L892" s="4">
        <f>IF(OR(INDEX($AH$2:$AH$1001,MATCH(ROWS($AG$2:AG892),$AG$2:$AG$1001,0),1)&gt;=100000,INDEX($AN$1005:$BO$1005,1,MATCH(COLUMNS($AN$1006:AX1006),$AN$1006:$BO$1006,0))&gt;=100000), " ",IF(INDEX($AN$2:$BO$1001,MATCH(ROWS($AG$2:AG892),$AG$2:$AG$1001,0),MATCH(COLUMNS($AN$1006:AX1006),$AN$1006:$BO$1006,0)), HYPERLINK("#",""), HYPERLINK(CONCATENATE("#Metadata!", ADDRESS(INDEX($AI$2:$AI$1001,MATCH(ROWS($AG$2:AG892),$AG$2:$AG$1001,0),0), INDEX($AN$1004:$BO$1004,1,MATCH(COLUMNS($AN$1006:AX1006),$AN$1006:$BO$1006,0)))),"Fix")))</f>
        <v>0</v>
      </c>
      <c r="M892" s="4">
        <f>IF(OR(INDEX($AH$2:$AH$1001,MATCH(ROWS($AG$2:AG892),$AG$2:$AG$1001,0),1)&gt;=100000,INDEX($AN$1005:$BO$1005,1,MATCH(COLUMNS($AN$1006:AY1006),$AN$1006:$BO$1006,0))&gt;=100000), " ",IF(INDEX($AN$2:$BO$1001,MATCH(ROWS($AG$2:AG892),$AG$2:$AG$1001,0),MATCH(COLUMNS($AN$1006:AY1006),$AN$1006:$BO$1006,0)), HYPERLINK("#",""), HYPERLINK(CONCATENATE("#Metadata!", ADDRESS(INDEX($AI$2:$AI$1001,MATCH(ROWS($AG$2:AG892),$AG$2:$AG$1001,0),0), INDEX($AN$1004:$BO$1004,1,MATCH(COLUMNS($AN$1006:AY1006),$AN$1006:$BO$1006,0)))),"Fix")))</f>
        <v>0</v>
      </c>
      <c r="N892" s="4">
        <f>IF(OR(INDEX($AH$2:$AH$1001,MATCH(ROWS($AG$2:AG892),$AG$2:$AG$1001,0),1)&gt;=100000,INDEX($AN$1005:$BO$1005,1,MATCH(COLUMNS($AN$1006:AZ1006),$AN$1006:$BO$1006,0))&gt;=100000), " ",IF(INDEX($AN$2:$BO$1001,MATCH(ROWS($AG$2:AG892),$AG$2:$AG$1001,0),MATCH(COLUMNS($AN$1006:AZ1006),$AN$1006:$BO$1006,0)), HYPERLINK("#",""), HYPERLINK(CONCATENATE("#Metadata!", ADDRESS(INDEX($AI$2:$AI$1001,MATCH(ROWS($AG$2:AG892),$AG$2:$AG$1001,0),0), INDEX($AN$1004:$BO$1004,1,MATCH(COLUMNS($AN$1006:AZ1006),$AN$1006:$BO$1006,0)))),"Fix")))</f>
        <v>0</v>
      </c>
      <c r="O892" s="4">
        <f>IF(OR(INDEX($AH$2:$AH$1001,MATCH(ROWS($AG$2:AG892),$AG$2:$AG$1001,0),1)&gt;=100000,INDEX($AN$1005:$BO$1005,1,MATCH(COLUMNS($AN$1006:BA1006),$AN$1006:$BO$1006,0))&gt;=100000), " ",IF(INDEX($AN$2:$BO$1001,MATCH(ROWS($AG$2:AG892),$AG$2:$AG$1001,0),MATCH(COLUMNS($AN$1006:BA1006),$AN$1006:$BO$1006,0)), HYPERLINK("#",""), HYPERLINK(CONCATENATE("#Metadata!", ADDRESS(INDEX($AI$2:$AI$1001,MATCH(ROWS($AG$2:AG892),$AG$2:$AG$1001,0),0), INDEX($AN$1004:$BO$1004,1,MATCH(COLUMNS($AN$1006:BA1006),$AN$1006:$BO$1006,0)))),"Fix")))</f>
        <v>0</v>
      </c>
      <c r="P892" s="4">
        <f>IF(OR(INDEX($AH$2:$AH$1001,MATCH(ROWS($AG$2:AG892),$AG$2:$AG$1001,0),1)&gt;=100000,INDEX($AN$1005:$BO$1005,1,MATCH(COLUMNS($AN$1006:BB1006),$AN$1006:$BO$1006,0))&gt;=100000), " ",IF(INDEX($AN$2:$BO$1001,MATCH(ROWS($AG$2:AG892),$AG$2:$AG$1001,0),MATCH(COLUMNS($AN$1006:BB1006),$AN$1006:$BO$1006,0)), HYPERLINK("#",""), HYPERLINK(CONCATENATE("#Metadata!", ADDRESS(INDEX($AI$2:$AI$1001,MATCH(ROWS($AG$2:AG892),$AG$2:$AG$1001,0),0), INDEX($AN$1004:$BO$1004,1,MATCH(COLUMNS($AN$1006:BB1006),$AN$1006:$BO$1006,0)))),"Fix")))</f>
        <v>0</v>
      </c>
      <c r="Q892" s="4">
        <f>IF(OR(INDEX($AH$2:$AH$1001,MATCH(ROWS($AG$2:AG892),$AG$2:$AG$1001,0),1)&gt;=100000,INDEX($AN$1005:$BO$1005,1,MATCH(COLUMNS($AN$1006:BC1006),$AN$1006:$BO$1006,0))&gt;=100000), " ",IF(INDEX($AN$2:$BO$1001,MATCH(ROWS($AG$2:AG892),$AG$2:$AG$1001,0),MATCH(COLUMNS($AN$1006:BC1006),$AN$1006:$BO$1006,0)), HYPERLINK("#",""), HYPERLINK(CONCATENATE("#Metadata!", ADDRESS(INDEX($AI$2:$AI$1001,MATCH(ROWS($AG$2:AG892),$AG$2:$AG$1001,0),0), INDEX($AN$1004:$BO$1004,1,MATCH(COLUMNS($AN$1006:BC1006),$AN$1006:$BO$1006,0)))),"Fix")))</f>
        <v>0</v>
      </c>
      <c r="R892" s="4">
        <f>IF(OR(INDEX($AH$2:$AH$1001,MATCH(ROWS($AG$2:AG892),$AG$2:$AG$1001,0),1)&gt;=100000,INDEX($AN$1005:$BO$1005,1,MATCH(COLUMNS($AN$1006:BD1006),$AN$1006:$BO$1006,0))&gt;=100000), " ",IF(INDEX($AN$2:$BO$1001,MATCH(ROWS($AG$2:AG892),$AG$2:$AG$1001,0),MATCH(COLUMNS($AN$1006:BD1006),$AN$1006:$BO$1006,0)), HYPERLINK("#",""), HYPERLINK(CONCATENATE("#Metadata!", ADDRESS(INDEX($AI$2:$AI$1001,MATCH(ROWS($AG$2:AG892),$AG$2:$AG$1001,0),0), INDEX($AN$1004:$BO$1004,1,MATCH(COLUMNS($AN$1006:BD1006),$AN$1006:$BO$1006,0)))),"Fix")))</f>
        <v>0</v>
      </c>
      <c r="S892" s="4">
        <f>IF(OR(INDEX($AH$2:$AH$1001,MATCH(ROWS($AG$2:AG892),$AG$2:$AG$1001,0),1)&gt;=100000,INDEX($AN$1005:$BO$1005,1,MATCH(COLUMNS($AN$1006:BE1006),$AN$1006:$BO$1006,0))&gt;=100000), " ",IF(INDEX($AN$2:$BO$1001,MATCH(ROWS($AG$2:AG892),$AG$2:$AG$1001,0),MATCH(COLUMNS($AN$1006:BE1006),$AN$1006:$BO$1006,0)), HYPERLINK("#",""), HYPERLINK(CONCATENATE("#Metadata!", ADDRESS(INDEX($AI$2:$AI$1001,MATCH(ROWS($AG$2:AG892),$AG$2:$AG$1001,0),0), INDEX($AN$1004:$BO$1004,1,MATCH(COLUMNS($AN$1006:BE1006),$AN$1006:$BO$1006,0)))),"Fix")))</f>
        <v>0</v>
      </c>
      <c r="T892" s="4">
        <f>IF(OR(INDEX($AH$2:$AH$1001,MATCH(ROWS($AG$2:AG892),$AG$2:$AG$1001,0),1)&gt;=100000,INDEX($AN$1005:$BO$1005,1,MATCH(COLUMNS($AN$1006:BF1006),$AN$1006:$BO$1006,0))&gt;=100000), " ",IF(INDEX($AN$2:$BO$1001,MATCH(ROWS($AG$2:AG892),$AG$2:$AG$1001,0),MATCH(COLUMNS($AN$1006:BF1006),$AN$1006:$BO$1006,0)), HYPERLINK("#",""), HYPERLINK(CONCATENATE("#Metadata!", ADDRESS(INDEX($AI$2:$AI$1001,MATCH(ROWS($AG$2:AG892),$AG$2:$AG$1001,0),0), INDEX($AN$1004:$BO$1004,1,MATCH(COLUMNS($AN$1006:BF1006),$AN$1006:$BO$1006,0)))),"Fix")))</f>
        <v>0</v>
      </c>
      <c r="U892" s="4">
        <f>IF(OR(INDEX($AH$2:$AH$1001,MATCH(ROWS($AG$2:AG892),$AG$2:$AG$1001,0),1)&gt;=100000,INDEX($AN$1005:$BO$1005,1,MATCH(COLUMNS($AN$1006:BG1006),$AN$1006:$BO$1006,0))&gt;=100000), " ",IF(INDEX($AN$2:$BO$1001,MATCH(ROWS($AG$2:AG892),$AG$2:$AG$1001,0),MATCH(COLUMNS($AN$1006:BG1006),$AN$1006:$BO$1006,0)), HYPERLINK("#",""), HYPERLINK(CONCATENATE("#Metadata!", ADDRESS(INDEX($AI$2:$AI$1001,MATCH(ROWS($AG$2:AG892),$AG$2:$AG$1001,0),0), INDEX($AN$1004:$BO$1004,1,MATCH(COLUMNS($AN$1006:BG1006),$AN$1006:$BO$1006,0)))),"Fix")))</f>
        <v>0</v>
      </c>
      <c r="V892" s="4">
        <f>IF(OR(INDEX($AH$2:$AH$1001,MATCH(ROWS($AG$2:AG892),$AG$2:$AG$1001,0),1)&gt;=100000,INDEX($AN$1005:$BO$1005,1,MATCH(COLUMNS($AN$1006:BH1006),$AN$1006:$BO$1006,0))&gt;=100000), " ",IF(INDEX($AN$2:$BO$1001,MATCH(ROWS($AG$2:AG892),$AG$2:$AG$1001,0),MATCH(COLUMNS($AN$1006:BH1006),$AN$1006:$BO$1006,0)), HYPERLINK("#",""), HYPERLINK(CONCATENATE("#Metadata!", ADDRESS(INDEX($AI$2:$AI$1001,MATCH(ROWS($AG$2:AG892),$AG$2:$AG$1001,0),0), INDEX($AN$1004:$BO$1004,1,MATCH(COLUMNS($AN$1006:BH1006),$AN$1006:$BO$1006,0)))),"Fix")))</f>
        <v>0</v>
      </c>
      <c r="W892" s="4">
        <f>IF(OR(INDEX($AH$2:$AH$1001,MATCH(ROWS($AG$2:AG892),$AG$2:$AG$1001,0),1)&gt;=100000,INDEX($AN$1005:$BO$1005,1,MATCH(COLUMNS($AN$1006:BI1006),$AN$1006:$BO$1006,0))&gt;=100000), " ",IF(INDEX($AN$2:$BO$1001,MATCH(ROWS($AG$2:AG892),$AG$2:$AG$1001,0),MATCH(COLUMNS($AN$1006:BI1006),$AN$1006:$BO$1006,0)), HYPERLINK("#",""), HYPERLINK(CONCATENATE("#Metadata!", ADDRESS(INDEX($AI$2:$AI$1001,MATCH(ROWS($AG$2:AG892),$AG$2:$AG$1001,0),0), INDEX($AN$1004:$BO$1004,1,MATCH(COLUMNS($AN$1006:BI1006),$AN$1006:$BO$1006,0)))),"Fix")))</f>
        <v>0</v>
      </c>
      <c r="X892" s="4">
        <f>IF(OR(INDEX($AH$2:$AH$1001,MATCH(ROWS($AG$2:AG892),$AG$2:$AG$1001,0),1)&gt;=100000,INDEX($AN$1005:$BO$1005,1,MATCH(COLUMNS($AN$1006:BJ1006),$AN$1006:$BO$1006,0))&gt;=100000), " ",IF(INDEX($AN$2:$BO$1001,MATCH(ROWS($AG$2:AG892),$AG$2:$AG$1001,0),MATCH(COLUMNS($AN$1006:BJ1006),$AN$1006:$BO$1006,0)), HYPERLINK("#",""), HYPERLINK(CONCATENATE("#Metadata!", ADDRESS(INDEX($AI$2:$AI$1001,MATCH(ROWS($AG$2:AG892),$AG$2:$AG$1001,0),0), INDEX($AN$1004:$BO$1004,1,MATCH(COLUMNS($AN$1006:BJ1006),$AN$1006:$BO$1006,0)))),"Fix")))</f>
        <v>0</v>
      </c>
      <c r="Y892" s="4">
        <f>IF(OR(INDEX($AH$2:$AH$1001,MATCH(ROWS($AG$2:AG892),$AG$2:$AG$1001,0),1)&gt;=100000,INDEX($AN$1005:$BO$1005,1,MATCH(COLUMNS($AN$1006:BK1006),$AN$1006:$BO$1006,0))&gt;=100000), " ",IF(INDEX($AN$2:$BO$1001,MATCH(ROWS($AG$2:AG892),$AG$2:$AG$1001,0),MATCH(COLUMNS($AN$1006:BK1006),$AN$1006:$BO$1006,0)), HYPERLINK("#",""), HYPERLINK(CONCATENATE("#Metadata!", ADDRESS(INDEX($AI$2:$AI$1001,MATCH(ROWS($AG$2:AG892),$AG$2:$AG$1001,0),0), INDEX($AN$1004:$BO$1004,1,MATCH(COLUMNS($AN$1006:BK1006),$AN$1006:$BO$1006,0)))),"Fix")))</f>
        <v>0</v>
      </c>
      <c r="Z892" s="4">
        <f>IF(OR(INDEX($AH$2:$AH$1001,MATCH(ROWS($AG$2:AG892),$AG$2:$AG$1001,0),1)&gt;=100000,INDEX($AN$1005:$BO$1005,1,MATCH(COLUMNS($AN$1006:BL1006),$AN$1006:$BO$1006,0))&gt;=100000), " ",IF(INDEX($AN$2:$BO$1001,MATCH(ROWS($AG$2:AG892),$AG$2:$AG$1001,0),MATCH(COLUMNS($AN$1006:BL1006),$AN$1006:$BO$1006,0)), HYPERLINK("#",""), HYPERLINK(CONCATENATE("#Metadata!", ADDRESS(INDEX($AI$2:$AI$1001,MATCH(ROWS($AG$2:AG892),$AG$2:$AG$1001,0),0), INDEX($AN$1004:$BO$1004,1,MATCH(COLUMNS($AN$1006:BL1006),$AN$1006:$BO$1006,0)))),"Fix")))</f>
        <v>0</v>
      </c>
      <c r="AA892" s="4">
        <f>IF(OR(INDEX($AH$2:$AH$1001,MATCH(ROWS($AG$2:AG892),$AG$2:$AG$1001,0),1)&gt;=100000,INDEX($AN$1005:$BO$1005,1,MATCH(COLUMNS($AN$1006:BM1006),$AN$1006:$BO$1006,0))&gt;=100000), " ",IF(INDEX($AN$2:$BO$1001,MATCH(ROWS($AG$2:AG892),$AG$2:$AG$1001,0),MATCH(COLUMNS($AN$1006:BM1006),$AN$1006:$BO$1006,0)), HYPERLINK("#",""), HYPERLINK(CONCATENATE("#Metadata!", ADDRESS(INDEX($AI$2:$AI$1001,MATCH(ROWS($AG$2:AG892),$AG$2:$AG$1001,0),0), INDEX($AN$1004:$BO$1004,1,MATCH(COLUMNS($AN$1006:BM1006),$AN$1006:$BO$1006,0)))),"Fix")))</f>
        <v>0</v>
      </c>
      <c r="AB892" s="4">
        <f>IF(OR(INDEX($AH$2:$AH$1001,MATCH(ROWS($AG$2:AG892),$AG$2:$AG$1001,0),1)&gt;=100000,INDEX($AN$1005:$BO$1005,1,MATCH(COLUMNS($AN$1006:BN1006),$AN$1006:$BO$1006,0))&gt;=100000), " ",IF(INDEX($AN$2:$BO$1001,MATCH(ROWS($AG$2:AG892),$AG$2:$AG$1001,0),MATCH(COLUMNS($AN$1006:BN1006),$AN$1006:$BO$1006,0)), HYPERLINK("#",""), HYPERLINK(CONCATENATE("#Metadata!", ADDRESS(INDEX($AI$2:$AI$1001,MATCH(ROWS($AG$2:AG892),$AG$2:$AG$1001,0),0), INDEX($AN$1004:$BO$1004,1,MATCH(COLUMNS($AN$1006:BN1006),$AN$1006:$BO$1006,0)))),"Fix")))</f>
        <v>0</v>
      </c>
      <c r="AC892" s="4">
        <f>IF(OR(INDEX($AH$2:$AH$1001,MATCH(ROWS($AG$2:AG892),$AG$2:$AG$1001,0),1)&gt;=100000,INDEX($AN$1005:$BO$1005,1,MATCH(COLUMNS($AN$1006:BO1006),$AN$1006:$BO$1006,0))&gt;=100000), " ",IF(INDEX($AN$2:$BO$1001,MATCH(ROWS($AG$2:AG892),$AG$2:$AG$1001,0),MATCH(COLUMNS($AN$1006:BO1006),$AN$1006:$BO$1006,0)), HYPERLINK("#",""), HYPERLINK(CONCATENATE("#Metadata!", ADDRESS(INDEX($AI$2:$AI$1001,MATCH(ROWS($AG$2:AG892),$AG$2:$AG$1001,0),0), INDEX($AN$1004:$BO$1004,1,MATCH(COLUMNS($AN$1006:BO1006),$AN$1006:$BO$1006,0)))),"Fix")))</f>
        <v>0</v>
      </c>
      <c r="AG892">
        <v>0</v>
      </c>
      <c r="AH892">
        <v>0</v>
      </c>
      <c r="AI892">
        <v>0</v>
      </c>
      <c r="AJ892">
        <f>IF(AK892,TRUE,AND(AN892:BO892))</f>
        <v>0</v>
      </c>
      <c r="AK892">
        <f>COUNTBLANK(Metadata!B892:AC892)=COLUMNS(Metadata!B892:AC892)</f>
        <v>0</v>
      </c>
      <c r="AL892">
        <v>0</v>
      </c>
      <c r="AN892">
        <f>AND(IF(Metadata!B892="",FALSE,TRUE),COUNTIF(Metadata!B:B, Metadata!B892) = 1,NOT(ISERROR(SUMPRODUCT(SEARCH(MID(Metadata!B892,ROW(INDIRECT("1:"&amp;LEN(Metadata!B892))), 1),"0123456789abcdefghijklmnopqrstuvwxyzABCDEFGHIJKLMNOPQRSTUVWXYZ.")))))</f>
        <v>0</v>
      </c>
      <c r="AO892">
        <f>IF(Metadata!C892="",FALSE,TRUE)</f>
        <v>0</v>
      </c>
      <c r="AP892">
        <f>IF(Metadata!D892="",FALSE,TRUE)</f>
        <v>0</v>
      </c>
      <c r="AQ892">
        <f>OR(AND(IF(Metadata!E892="",FALSE,TRUE),OR(exact(Metadata!E892,"not collected"),exact(Metadata!E892,"not provided"),exact(Metadata!E892,"restricted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R892">
        <f>IF(Metadata!F892="",FALSE,TRUE)</f>
        <v>0</v>
      </c>
      <c r="AS892">
        <f>OR(AND(IF(Metadata!G892="",FALSE,TRUE),OR(exact(Metadata!G892,"not collected"),exact(Metadata!G892,"not provided"))),AND(IF(Metadata!G892="",FALSE,TRUE),OR(exact(Metadata!G892,"TRUE"),exact(Metadata!G892,"FALSE"))))</f>
        <v>0</v>
      </c>
      <c r="AT892">
        <f>OR(AND(IF(Metadata!H892="",FALSE,TRUE),OR(exact(Metadata!H892,"not collected"),exact(Metadata!H892,"not provided"),exact(Metadata!H892,"restricted access"))),AND(IF(Metadata!H892="",FALSE,ISNUMBER(VALUE(Metadata!H892))),Metadata!H892&gt;=-413.0))</f>
        <v>0</v>
      </c>
      <c r="AU892">
        <f>AND(IF(Metadata!I892="",FALSE,TRUE),exact(Metadata!I892,"meters"))</f>
        <v>0</v>
      </c>
      <c r="AV892">
        <f>AND(IF(Metadata!J892="",FALSE,TRUE),OR(exact(Metadata!J892,"Host-associated"),exact(Metadata!J892,"Free-living")))</f>
        <v>0</v>
      </c>
      <c r="AW892">
        <f>AND(IF(Metadata!K892="",FALSE,TRUE),OR(exact(Metadata!K892,"Animal"),exact(Metadata!K892,"Fungus"),exact(Metadata!K892,"Plant"),exact(Metadata!K892,"Saline"),exact(Metadata!K892,"Non-saline")))</f>
        <v>0</v>
      </c>
      <c r="AX892">
        <f>AND(IF(Metadata!L892="",FALSE,TRUE),OR(exact(Metadata!L892,"Plant secretion"),exact(Metadata!L892,"Plant rhizosphere"),exact(Metadata!L892,"Plant surface"),exact(Metadata!L892,"Plant corpus"),exact(Metadata!L892,"Fungus surface"),exact(Metadata!L892,"Fungus corpus"),exact(Metadata!L892,"Animal surface"),exact(Metadata!L892,"Animal proximal gut"),exact(Metadata!L892,"Animal corpus"),exact(Metadata!L892,"Animal distal gut"),exact(Metadata!L892,"Animal secretion"),exact(Metadata!L892,"Sub-surface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Y892">
        <f>IF(Metadata!M892="",FALSE,TRUE)</f>
        <v>0</v>
      </c>
      <c r="AZ892">
        <f>IF(Metadata!N892="",FALSE,TRUE)</f>
        <v>0</v>
      </c>
      <c r="BA892">
        <f>IF(Metadata!O892="",FALSE,TRUE)</f>
        <v>0</v>
      </c>
      <c r="BB892">
        <f>OR(AND(IF(Metadata!P892="",FALSE,TRUE),OR(exact(Metadata!P892,"not collected"),exact(Metadata!P892,"not provided"),exact(Metadata!P892,"restricted access"))),AND(IF(Metadata!P892="",FALSE,TRUE),OR(exact(Metadata!P892,"air"),exact(Metadata!P892,"built environment"),exact(Metadata!P892,"host-associated"),exact(Metadata!P892,"human-associated"),exact(Metadata!P892,"human-skin"),exact(Metadata!P892,"human-oral"),exact(Metadata!P892,"human-gut"),exact(Metadata!P892,"human-vaginal"),exact(Metadata!P892,"microbial mat/biofilm"),exact(Metadata!P892,"misc environment"),exact(Metadata!P892,"plant-associated"),exact(Metadata!P892,"sediment"),exact(Metadata!P892,"soil"),exact(Metadata!P892,"wastewater/sludge"),exact(Metadata!P892,"water"))))</f>
        <v>0</v>
      </c>
      <c r="BC892">
        <f>IF(Metadata!Q892="",FALSE,TRUE)</f>
        <v>0</v>
      </c>
      <c r="BD892">
        <f>IF(Metadata!R892="",FALSE,TRUE)</f>
        <v>0</v>
      </c>
      <c r="BE892">
        <f>OR(AND(IF(Metadata!S892="",FALSE,TRUE),OR(exact(Metadata!S892,"not collected"),exact(Metadata!S892,"not provided"),exact(Metadata!S892,"restricted access"))),AND(IF(Metadata!S892="",FALSE,ISNUMBER(VALUE(Metadata!S892))),Metadata!S892&gt;=-90.00,Metadata!S892&lt;=90.00))</f>
        <v>0</v>
      </c>
      <c r="BF892">
        <f>AND(IF(Metadata!T892="",FALSE,TRUE),exact(Metadata!T892,"Decimal degrees"))</f>
        <v>0</v>
      </c>
      <c r="BG892">
        <f>OR(AND(IF(Metadata!U892="",FALSE,TRUE),OR(exact(Metadata!U892,"not collected"),exact(Metadata!U892,"not provided"),exact(Metadata!U892,"restricted access"))),AND(IF(Metadata!U892="",FALSE,ISNUMBER(VALUE(Metadata!U892))),Metadata!U892&gt;=-180.00,Metadata!U892&lt;=180.00))</f>
        <v>0</v>
      </c>
      <c r="BH892">
        <f>AND(IF(Metadata!V892="",FALSE,TRUE),exact(Metadata!V892,"Decimal degrees"))</f>
        <v>0</v>
      </c>
      <c r="BI892">
        <f>IF(Metadata!W892="",FALSE,TRUE)</f>
        <v>0</v>
      </c>
      <c r="BJ892">
        <f>OR(AND(IF(Metadata!X892="",FALSE,TRUE),OR(exact(Metadata!X892,"not collected"),exact(Metadata!X892,"not provided"),exact(Metadata!X892,"restricted access"))),AND(IF(Metadata!X892="",FALSE,TRUE),OR(exact(Metadata!X892,"TRUE"),exact(Metadata!X892,"FALSE"))))</f>
        <v>0</v>
      </c>
      <c r="BK892">
        <f>AND(IF(Metadata!Y892="",FALSE,TRUE),exact(Metadata!Y892,"other"))</f>
        <v>0</v>
      </c>
      <c r="BL892">
        <f>IF(Metadata!Z892="",FALSE,TRUE)</f>
        <v>0</v>
      </c>
      <c r="BM892">
        <f>OR(AND(IF(Metadata!AA892="",FALSE,TRUE),OR(exact(Metadata!AA892,"not collected"),exact(Metadata!AA892,"not provided"))),AND(IF(Metadata!AA892="",FALSE,IF(ISERROR(INT(Metadata!AA892)),FALSE,INT(Metadata!AA892)=Metadata!AA892)),Metadata!AA892&gt;0))</f>
        <v>0</v>
      </c>
      <c r="BN892">
        <f>AND(IF(Metadata!AB892="",FALSE,TRUE),exact(Metadata!AB892,"Not applicable"))</f>
        <v>0</v>
      </c>
      <c r="BO892">
        <f>IF(Metadata!AC892="",FALSE,TRUE)</f>
        <v>0</v>
      </c>
    </row>
    <row r="893" spans="1:67">
      <c r="A893" s="5">
        <f>IF(B893=" "," ",HYPERLINK(CONCATENATE("#metadata!",ADDRESS(INDEX($AI$2:$AI$1001,MATCH(ROWS($AG$2:AG893),$AG$2:$AG$1001,0),0),1)),INDEX($AL$2:$AL$1001,MATCH(ROWS($AG$2:AG893),$AG$2:$AG$1001,0),0)))</f>
        <v>0</v>
      </c>
      <c r="B893" s="4">
        <f>IF(OR(INDEX($AH$2:$AH$1001,MATCH(ROWS($AG$2:AG893),$AG$2:$AG$1001,0),1)&gt;=100000,INDEX($AN$1005:$BO$1005,1,MATCH(COLUMNS($AN$1006:AN1006),$AN$1006:$BO$1006,0))&gt;=100000), " ",IF(INDEX($AN$2:$BO$1001,MATCH(ROWS($AG$2:AG893),$AG$2:$AG$1001,0),MATCH(COLUMNS($AN$1006:AN1006),$AN$1006:$BO$1006,0)), HYPERLINK("#",""), HYPERLINK(CONCATENATE("#Metadata!", ADDRESS(INDEX($AI$2:$AI$1001,MATCH(ROWS($AG$2:AG893),$AG$2:$AG$1001,0),0), INDEX($AN$1004:$BO$1004,1,MATCH(COLUMNS($AN$1006:AN1006),$AN$1006:$BO$1006,0)))),"Fix")))</f>
        <v>0</v>
      </c>
      <c r="C893" s="4">
        <f>IF(OR(INDEX($AH$2:$AH$1001,MATCH(ROWS($AG$2:AG893),$AG$2:$AG$1001,0),1)&gt;=100000,INDEX($AN$1005:$BO$1005,1,MATCH(COLUMNS($AN$1006:AO1006),$AN$1006:$BO$1006,0))&gt;=100000), " ",IF(INDEX($AN$2:$BO$1001,MATCH(ROWS($AG$2:AG893),$AG$2:$AG$1001,0),MATCH(COLUMNS($AN$1006:AO1006),$AN$1006:$BO$1006,0)), HYPERLINK("#",""), HYPERLINK(CONCATENATE("#Metadata!", ADDRESS(INDEX($AI$2:$AI$1001,MATCH(ROWS($AG$2:AG893),$AG$2:$AG$1001,0),0), INDEX($AN$1004:$BO$1004,1,MATCH(COLUMNS($AN$1006:AO1006),$AN$1006:$BO$1006,0)))),"Fix")))</f>
        <v>0</v>
      </c>
      <c r="D893" s="4">
        <f>IF(OR(INDEX($AH$2:$AH$1001,MATCH(ROWS($AG$2:AG893),$AG$2:$AG$1001,0),1)&gt;=100000,INDEX($AN$1005:$BO$1005,1,MATCH(COLUMNS($AN$1006:AP1006),$AN$1006:$BO$1006,0))&gt;=100000), " ",IF(INDEX($AN$2:$BO$1001,MATCH(ROWS($AG$2:AG893),$AG$2:$AG$1001,0),MATCH(COLUMNS($AN$1006:AP1006),$AN$1006:$BO$1006,0)), HYPERLINK("#",""), HYPERLINK(CONCATENATE("#Metadata!", ADDRESS(INDEX($AI$2:$AI$1001,MATCH(ROWS($AG$2:AG893),$AG$2:$AG$1001,0),0), INDEX($AN$1004:$BO$1004,1,MATCH(COLUMNS($AN$1006:AP1006),$AN$1006:$BO$1006,0)))),"Fix")))</f>
        <v>0</v>
      </c>
      <c r="E893" s="4">
        <f>IF(OR(INDEX($AH$2:$AH$1001,MATCH(ROWS($AG$2:AG893),$AG$2:$AG$1001,0),1)&gt;=100000,INDEX($AN$1005:$BO$1005,1,MATCH(COLUMNS($AN$1006:AQ1006),$AN$1006:$BO$1006,0))&gt;=100000), " ",IF(INDEX($AN$2:$BO$1001,MATCH(ROWS($AG$2:AG893),$AG$2:$AG$1001,0),MATCH(COLUMNS($AN$1006:AQ1006),$AN$1006:$BO$1006,0)), HYPERLINK("#",""), HYPERLINK(CONCATENATE("#Metadata!", ADDRESS(INDEX($AI$2:$AI$1001,MATCH(ROWS($AG$2:AG893),$AG$2:$AG$1001,0),0), INDEX($AN$1004:$BO$1004,1,MATCH(COLUMNS($AN$1006:AQ1006),$AN$1006:$BO$1006,0)))),"Fix")))</f>
        <v>0</v>
      </c>
      <c r="F893" s="4">
        <f>IF(OR(INDEX($AH$2:$AH$1001,MATCH(ROWS($AG$2:AG893),$AG$2:$AG$1001,0),1)&gt;=100000,INDEX($AN$1005:$BO$1005,1,MATCH(COLUMNS($AN$1006:AR1006),$AN$1006:$BO$1006,0))&gt;=100000), " ",IF(INDEX($AN$2:$BO$1001,MATCH(ROWS($AG$2:AG893),$AG$2:$AG$1001,0),MATCH(COLUMNS($AN$1006:AR1006),$AN$1006:$BO$1006,0)), HYPERLINK("#",""), HYPERLINK(CONCATENATE("#Metadata!", ADDRESS(INDEX($AI$2:$AI$1001,MATCH(ROWS($AG$2:AG893),$AG$2:$AG$1001,0),0), INDEX($AN$1004:$BO$1004,1,MATCH(COLUMNS($AN$1006:AR1006),$AN$1006:$BO$1006,0)))),"Fix")))</f>
        <v>0</v>
      </c>
      <c r="G893" s="4">
        <f>IF(OR(INDEX($AH$2:$AH$1001,MATCH(ROWS($AG$2:AG893),$AG$2:$AG$1001,0),1)&gt;=100000,INDEX($AN$1005:$BO$1005,1,MATCH(COLUMNS($AN$1006:AS1006),$AN$1006:$BO$1006,0))&gt;=100000), " ",IF(INDEX($AN$2:$BO$1001,MATCH(ROWS($AG$2:AG893),$AG$2:$AG$1001,0),MATCH(COLUMNS($AN$1006:AS1006),$AN$1006:$BO$1006,0)), HYPERLINK("#",""), HYPERLINK(CONCATENATE("#Metadata!", ADDRESS(INDEX($AI$2:$AI$1001,MATCH(ROWS($AG$2:AG893),$AG$2:$AG$1001,0),0), INDEX($AN$1004:$BO$1004,1,MATCH(COLUMNS($AN$1006:AS1006),$AN$1006:$BO$1006,0)))),"Fix")))</f>
        <v>0</v>
      </c>
      <c r="H893" s="4">
        <f>IF(OR(INDEX($AH$2:$AH$1001,MATCH(ROWS($AG$2:AG893),$AG$2:$AG$1001,0),1)&gt;=100000,INDEX($AN$1005:$BO$1005,1,MATCH(COLUMNS($AN$1006:AT1006),$AN$1006:$BO$1006,0))&gt;=100000), " ",IF(INDEX($AN$2:$BO$1001,MATCH(ROWS($AG$2:AG893),$AG$2:$AG$1001,0),MATCH(COLUMNS($AN$1006:AT1006),$AN$1006:$BO$1006,0)), HYPERLINK("#",""), HYPERLINK(CONCATENATE("#Metadata!", ADDRESS(INDEX($AI$2:$AI$1001,MATCH(ROWS($AG$2:AG893),$AG$2:$AG$1001,0),0), INDEX($AN$1004:$BO$1004,1,MATCH(COLUMNS($AN$1006:AT1006),$AN$1006:$BO$1006,0)))),"Fix")))</f>
        <v>0</v>
      </c>
      <c r="I893" s="4">
        <f>IF(OR(INDEX($AH$2:$AH$1001,MATCH(ROWS($AG$2:AG893),$AG$2:$AG$1001,0),1)&gt;=100000,INDEX($AN$1005:$BO$1005,1,MATCH(COLUMNS($AN$1006:AU1006),$AN$1006:$BO$1006,0))&gt;=100000), " ",IF(INDEX($AN$2:$BO$1001,MATCH(ROWS($AG$2:AG893),$AG$2:$AG$1001,0),MATCH(COLUMNS($AN$1006:AU1006),$AN$1006:$BO$1006,0)), HYPERLINK("#",""), HYPERLINK(CONCATENATE("#Metadata!", ADDRESS(INDEX($AI$2:$AI$1001,MATCH(ROWS($AG$2:AG893),$AG$2:$AG$1001,0),0), INDEX($AN$1004:$BO$1004,1,MATCH(COLUMNS($AN$1006:AU1006),$AN$1006:$BO$1006,0)))),"Fix")))</f>
        <v>0</v>
      </c>
      <c r="J893" s="4">
        <f>IF(OR(INDEX($AH$2:$AH$1001,MATCH(ROWS($AG$2:AG893),$AG$2:$AG$1001,0),1)&gt;=100000,INDEX($AN$1005:$BO$1005,1,MATCH(COLUMNS($AN$1006:AV1006),$AN$1006:$BO$1006,0))&gt;=100000), " ",IF(INDEX($AN$2:$BO$1001,MATCH(ROWS($AG$2:AG893),$AG$2:$AG$1001,0),MATCH(COLUMNS($AN$1006:AV1006),$AN$1006:$BO$1006,0)), HYPERLINK("#",""), HYPERLINK(CONCATENATE("#Metadata!", ADDRESS(INDEX($AI$2:$AI$1001,MATCH(ROWS($AG$2:AG893),$AG$2:$AG$1001,0),0), INDEX($AN$1004:$BO$1004,1,MATCH(COLUMNS($AN$1006:AV1006),$AN$1006:$BO$1006,0)))),"Fix")))</f>
        <v>0</v>
      </c>
      <c r="K893" s="4">
        <f>IF(OR(INDEX($AH$2:$AH$1001,MATCH(ROWS($AG$2:AG893),$AG$2:$AG$1001,0),1)&gt;=100000,INDEX($AN$1005:$BO$1005,1,MATCH(COLUMNS($AN$1006:AW1006),$AN$1006:$BO$1006,0))&gt;=100000), " ",IF(INDEX($AN$2:$BO$1001,MATCH(ROWS($AG$2:AG893),$AG$2:$AG$1001,0),MATCH(COLUMNS($AN$1006:AW1006),$AN$1006:$BO$1006,0)), HYPERLINK("#",""), HYPERLINK(CONCATENATE("#Metadata!", ADDRESS(INDEX($AI$2:$AI$1001,MATCH(ROWS($AG$2:AG893),$AG$2:$AG$1001,0),0), INDEX($AN$1004:$BO$1004,1,MATCH(COLUMNS($AN$1006:AW1006),$AN$1006:$BO$1006,0)))),"Fix")))</f>
        <v>0</v>
      </c>
      <c r="L893" s="4">
        <f>IF(OR(INDEX($AH$2:$AH$1001,MATCH(ROWS($AG$2:AG893),$AG$2:$AG$1001,0),1)&gt;=100000,INDEX($AN$1005:$BO$1005,1,MATCH(COLUMNS($AN$1006:AX1006),$AN$1006:$BO$1006,0))&gt;=100000), " ",IF(INDEX($AN$2:$BO$1001,MATCH(ROWS($AG$2:AG893),$AG$2:$AG$1001,0),MATCH(COLUMNS($AN$1006:AX1006),$AN$1006:$BO$1006,0)), HYPERLINK("#",""), HYPERLINK(CONCATENATE("#Metadata!", ADDRESS(INDEX($AI$2:$AI$1001,MATCH(ROWS($AG$2:AG893),$AG$2:$AG$1001,0),0), INDEX($AN$1004:$BO$1004,1,MATCH(COLUMNS($AN$1006:AX1006),$AN$1006:$BO$1006,0)))),"Fix")))</f>
        <v>0</v>
      </c>
      <c r="M893" s="4">
        <f>IF(OR(INDEX($AH$2:$AH$1001,MATCH(ROWS($AG$2:AG893),$AG$2:$AG$1001,0),1)&gt;=100000,INDEX($AN$1005:$BO$1005,1,MATCH(COLUMNS($AN$1006:AY1006),$AN$1006:$BO$1006,0))&gt;=100000), " ",IF(INDEX($AN$2:$BO$1001,MATCH(ROWS($AG$2:AG893),$AG$2:$AG$1001,0),MATCH(COLUMNS($AN$1006:AY1006),$AN$1006:$BO$1006,0)), HYPERLINK("#",""), HYPERLINK(CONCATENATE("#Metadata!", ADDRESS(INDEX($AI$2:$AI$1001,MATCH(ROWS($AG$2:AG893),$AG$2:$AG$1001,0),0), INDEX($AN$1004:$BO$1004,1,MATCH(COLUMNS($AN$1006:AY1006),$AN$1006:$BO$1006,0)))),"Fix")))</f>
        <v>0</v>
      </c>
      <c r="N893" s="4">
        <f>IF(OR(INDEX($AH$2:$AH$1001,MATCH(ROWS($AG$2:AG893),$AG$2:$AG$1001,0),1)&gt;=100000,INDEX($AN$1005:$BO$1005,1,MATCH(COLUMNS($AN$1006:AZ1006),$AN$1006:$BO$1006,0))&gt;=100000), " ",IF(INDEX($AN$2:$BO$1001,MATCH(ROWS($AG$2:AG893),$AG$2:$AG$1001,0),MATCH(COLUMNS($AN$1006:AZ1006),$AN$1006:$BO$1006,0)), HYPERLINK("#",""), HYPERLINK(CONCATENATE("#Metadata!", ADDRESS(INDEX($AI$2:$AI$1001,MATCH(ROWS($AG$2:AG893),$AG$2:$AG$1001,0),0), INDEX($AN$1004:$BO$1004,1,MATCH(COLUMNS($AN$1006:AZ1006),$AN$1006:$BO$1006,0)))),"Fix")))</f>
        <v>0</v>
      </c>
      <c r="O893" s="4">
        <f>IF(OR(INDEX($AH$2:$AH$1001,MATCH(ROWS($AG$2:AG893),$AG$2:$AG$1001,0),1)&gt;=100000,INDEX($AN$1005:$BO$1005,1,MATCH(COLUMNS($AN$1006:BA1006),$AN$1006:$BO$1006,0))&gt;=100000), " ",IF(INDEX($AN$2:$BO$1001,MATCH(ROWS($AG$2:AG893),$AG$2:$AG$1001,0),MATCH(COLUMNS($AN$1006:BA1006),$AN$1006:$BO$1006,0)), HYPERLINK("#",""), HYPERLINK(CONCATENATE("#Metadata!", ADDRESS(INDEX($AI$2:$AI$1001,MATCH(ROWS($AG$2:AG893),$AG$2:$AG$1001,0),0), INDEX($AN$1004:$BO$1004,1,MATCH(COLUMNS($AN$1006:BA1006),$AN$1006:$BO$1006,0)))),"Fix")))</f>
        <v>0</v>
      </c>
      <c r="P893" s="4">
        <f>IF(OR(INDEX($AH$2:$AH$1001,MATCH(ROWS($AG$2:AG893),$AG$2:$AG$1001,0),1)&gt;=100000,INDEX($AN$1005:$BO$1005,1,MATCH(COLUMNS($AN$1006:BB1006),$AN$1006:$BO$1006,0))&gt;=100000), " ",IF(INDEX($AN$2:$BO$1001,MATCH(ROWS($AG$2:AG893),$AG$2:$AG$1001,0),MATCH(COLUMNS($AN$1006:BB1006),$AN$1006:$BO$1006,0)), HYPERLINK("#",""), HYPERLINK(CONCATENATE("#Metadata!", ADDRESS(INDEX($AI$2:$AI$1001,MATCH(ROWS($AG$2:AG893),$AG$2:$AG$1001,0),0), INDEX($AN$1004:$BO$1004,1,MATCH(COLUMNS($AN$1006:BB1006),$AN$1006:$BO$1006,0)))),"Fix")))</f>
        <v>0</v>
      </c>
      <c r="Q893" s="4">
        <f>IF(OR(INDEX($AH$2:$AH$1001,MATCH(ROWS($AG$2:AG893),$AG$2:$AG$1001,0),1)&gt;=100000,INDEX($AN$1005:$BO$1005,1,MATCH(COLUMNS($AN$1006:BC1006),$AN$1006:$BO$1006,0))&gt;=100000), " ",IF(INDEX($AN$2:$BO$1001,MATCH(ROWS($AG$2:AG893),$AG$2:$AG$1001,0),MATCH(COLUMNS($AN$1006:BC1006),$AN$1006:$BO$1006,0)), HYPERLINK("#",""), HYPERLINK(CONCATENATE("#Metadata!", ADDRESS(INDEX($AI$2:$AI$1001,MATCH(ROWS($AG$2:AG893),$AG$2:$AG$1001,0),0), INDEX($AN$1004:$BO$1004,1,MATCH(COLUMNS($AN$1006:BC1006),$AN$1006:$BO$1006,0)))),"Fix")))</f>
        <v>0</v>
      </c>
      <c r="R893" s="4">
        <f>IF(OR(INDEX($AH$2:$AH$1001,MATCH(ROWS($AG$2:AG893),$AG$2:$AG$1001,0),1)&gt;=100000,INDEX($AN$1005:$BO$1005,1,MATCH(COLUMNS($AN$1006:BD1006),$AN$1006:$BO$1006,0))&gt;=100000), " ",IF(INDEX($AN$2:$BO$1001,MATCH(ROWS($AG$2:AG893),$AG$2:$AG$1001,0),MATCH(COLUMNS($AN$1006:BD1006),$AN$1006:$BO$1006,0)), HYPERLINK("#",""), HYPERLINK(CONCATENATE("#Metadata!", ADDRESS(INDEX($AI$2:$AI$1001,MATCH(ROWS($AG$2:AG893),$AG$2:$AG$1001,0),0), INDEX($AN$1004:$BO$1004,1,MATCH(COLUMNS($AN$1006:BD1006),$AN$1006:$BO$1006,0)))),"Fix")))</f>
        <v>0</v>
      </c>
      <c r="S893" s="4">
        <f>IF(OR(INDEX($AH$2:$AH$1001,MATCH(ROWS($AG$2:AG893),$AG$2:$AG$1001,0),1)&gt;=100000,INDEX($AN$1005:$BO$1005,1,MATCH(COLUMNS($AN$1006:BE1006),$AN$1006:$BO$1006,0))&gt;=100000), " ",IF(INDEX($AN$2:$BO$1001,MATCH(ROWS($AG$2:AG893),$AG$2:$AG$1001,0),MATCH(COLUMNS($AN$1006:BE1006),$AN$1006:$BO$1006,0)), HYPERLINK("#",""), HYPERLINK(CONCATENATE("#Metadata!", ADDRESS(INDEX($AI$2:$AI$1001,MATCH(ROWS($AG$2:AG893),$AG$2:$AG$1001,0),0), INDEX($AN$1004:$BO$1004,1,MATCH(COLUMNS($AN$1006:BE1006),$AN$1006:$BO$1006,0)))),"Fix")))</f>
        <v>0</v>
      </c>
      <c r="T893" s="4">
        <f>IF(OR(INDEX($AH$2:$AH$1001,MATCH(ROWS($AG$2:AG893),$AG$2:$AG$1001,0),1)&gt;=100000,INDEX($AN$1005:$BO$1005,1,MATCH(COLUMNS($AN$1006:BF1006),$AN$1006:$BO$1006,0))&gt;=100000), " ",IF(INDEX($AN$2:$BO$1001,MATCH(ROWS($AG$2:AG893),$AG$2:$AG$1001,0),MATCH(COLUMNS($AN$1006:BF1006),$AN$1006:$BO$1006,0)), HYPERLINK("#",""), HYPERLINK(CONCATENATE("#Metadata!", ADDRESS(INDEX($AI$2:$AI$1001,MATCH(ROWS($AG$2:AG893),$AG$2:$AG$1001,0),0), INDEX($AN$1004:$BO$1004,1,MATCH(COLUMNS($AN$1006:BF1006),$AN$1006:$BO$1006,0)))),"Fix")))</f>
        <v>0</v>
      </c>
      <c r="U893" s="4">
        <f>IF(OR(INDEX($AH$2:$AH$1001,MATCH(ROWS($AG$2:AG893),$AG$2:$AG$1001,0),1)&gt;=100000,INDEX($AN$1005:$BO$1005,1,MATCH(COLUMNS($AN$1006:BG1006),$AN$1006:$BO$1006,0))&gt;=100000), " ",IF(INDEX($AN$2:$BO$1001,MATCH(ROWS($AG$2:AG893),$AG$2:$AG$1001,0),MATCH(COLUMNS($AN$1006:BG1006),$AN$1006:$BO$1006,0)), HYPERLINK("#",""), HYPERLINK(CONCATENATE("#Metadata!", ADDRESS(INDEX($AI$2:$AI$1001,MATCH(ROWS($AG$2:AG893),$AG$2:$AG$1001,0),0), INDEX($AN$1004:$BO$1004,1,MATCH(COLUMNS($AN$1006:BG1006),$AN$1006:$BO$1006,0)))),"Fix")))</f>
        <v>0</v>
      </c>
      <c r="V893" s="4">
        <f>IF(OR(INDEX($AH$2:$AH$1001,MATCH(ROWS($AG$2:AG893),$AG$2:$AG$1001,0),1)&gt;=100000,INDEX($AN$1005:$BO$1005,1,MATCH(COLUMNS($AN$1006:BH1006),$AN$1006:$BO$1006,0))&gt;=100000), " ",IF(INDEX($AN$2:$BO$1001,MATCH(ROWS($AG$2:AG893),$AG$2:$AG$1001,0),MATCH(COLUMNS($AN$1006:BH1006),$AN$1006:$BO$1006,0)), HYPERLINK("#",""), HYPERLINK(CONCATENATE("#Metadata!", ADDRESS(INDEX($AI$2:$AI$1001,MATCH(ROWS($AG$2:AG893),$AG$2:$AG$1001,0),0), INDEX($AN$1004:$BO$1004,1,MATCH(COLUMNS($AN$1006:BH1006),$AN$1006:$BO$1006,0)))),"Fix")))</f>
        <v>0</v>
      </c>
      <c r="W893" s="4">
        <f>IF(OR(INDEX($AH$2:$AH$1001,MATCH(ROWS($AG$2:AG893),$AG$2:$AG$1001,0),1)&gt;=100000,INDEX($AN$1005:$BO$1005,1,MATCH(COLUMNS($AN$1006:BI1006),$AN$1006:$BO$1006,0))&gt;=100000), " ",IF(INDEX($AN$2:$BO$1001,MATCH(ROWS($AG$2:AG893),$AG$2:$AG$1001,0),MATCH(COLUMNS($AN$1006:BI1006),$AN$1006:$BO$1006,0)), HYPERLINK("#",""), HYPERLINK(CONCATENATE("#Metadata!", ADDRESS(INDEX($AI$2:$AI$1001,MATCH(ROWS($AG$2:AG893),$AG$2:$AG$1001,0),0), INDEX($AN$1004:$BO$1004,1,MATCH(COLUMNS($AN$1006:BI1006),$AN$1006:$BO$1006,0)))),"Fix")))</f>
        <v>0</v>
      </c>
      <c r="X893" s="4">
        <f>IF(OR(INDEX($AH$2:$AH$1001,MATCH(ROWS($AG$2:AG893),$AG$2:$AG$1001,0),1)&gt;=100000,INDEX($AN$1005:$BO$1005,1,MATCH(COLUMNS($AN$1006:BJ1006),$AN$1006:$BO$1006,0))&gt;=100000), " ",IF(INDEX($AN$2:$BO$1001,MATCH(ROWS($AG$2:AG893),$AG$2:$AG$1001,0),MATCH(COLUMNS($AN$1006:BJ1006),$AN$1006:$BO$1006,0)), HYPERLINK("#",""), HYPERLINK(CONCATENATE("#Metadata!", ADDRESS(INDEX($AI$2:$AI$1001,MATCH(ROWS($AG$2:AG893),$AG$2:$AG$1001,0),0), INDEX($AN$1004:$BO$1004,1,MATCH(COLUMNS($AN$1006:BJ1006),$AN$1006:$BO$1006,0)))),"Fix")))</f>
        <v>0</v>
      </c>
      <c r="Y893" s="4">
        <f>IF(OR(INDEX($AH$2:$AH$1001,MATCH(ROWS($AG$2:AG893),$AG$2:$AG$1001,0),1)&gt;=100000,INDEX($AN$1005:$BO$1005,1,MATCH(COLUMNS($AN$1006:BK1006),$AN$1006:$BO$1006,0))&gt;=100000), " ",IF(INDEX($AN$2:$BO$1001,MATCH(ROWS($AG$2:AG893),$AG$2:$AG$1001,0),MATCH(COLUMNS($AN$1006:BK1006),$AN$1006:$BO$1006,0)), HYPERLINK("#",""), HYPERLINK(CONCATENATE("#Metadata!", ADDRESS(INDEX($AI$2:$AI$1001,MATCH(ROWS($AG$2:AG893),$AG$2:$AG$1001,0),0), INDEX($AN$1004:$BO$1004,1,MATCH(COLUMNS($AN$1006:BK1006),$AN$1006:$BO$1006,0)))),"Fix")))</f>
        <v>0</v>
      </c>
      <c r="Z893" s="4">
        <f>IF(OR(INDEX($AH$2:$AH$1001,MATCH(ROWS($AG$2:AG893),$AG$2:$AG$1001,0),1)&gt;=100000,INDEX($AN$1005:$BO$1005,1,MATCH(COLUMNS($AN$1006:BL1006),$AN$1006:$BO$1006,0))&gt;=100000), " ",IF(INDEX($AN$2:$BO$1001,MATCH(ROWS($AG$2:AG893),$AG$2:$AG$1001,0),MATCH(COLUMNS($AN$1006:BL1006),$AN$1006:$BO$1006,0)), HYPERLINK("#",""), HYPERLINK(CONCATENATE("#Metadata!", ADDRESS(INDEX($AI$2:$AI$1001,MATCH(ROWS($AG$2:AG893),$AG$2:$AG$1001,0),0), INDEX($AN$1004:$BO$1004,1,MATCH(COLUMNS($AN$1006:BL1006),$AN$1006:$BO$1006,0)))),"Fix")))</f>
        <v>0</v>
      </c>
      <c r="AA893" s="4">
        <f>IF(OR(INDEX($AH$2:$AH$1001,MATCH(ROWS($AG$2:AG893),$AG$2:$AG$1001,0),1)&gt;=100000,INDEX($AN$1005:$BO$1005,1,MATCH(COLUMNS($AN$1006:BM1006),$AN$1006:$BO$1006,0))&gt;=100000), " ",IF(INDEX($AN$2:$BO$1001,MATCH(ROWS($AG$2:AG893),$AG$2:$AG$1001,0),MATCH(COLUMNS($AN$1006:BM1006),$AN$1006:$BO$1006,0)), HYPERLINK("#",""), HYPERLINK(CONCATENATE("#Metadata!", ADDRESS(INDEX($AI$2:$AI$1001,MATCH(ROWS($AG$2:AG893),$AG$2:$AG$1001,0),0), INDEX($AN$1004:$BO$1004,1,MATCH(COLUMNS($AN$1006:BM1006),$AN$1006:$BO$1006,0)))),"Fix")))</f>
        <v>0</v>
      </c>
      <c r="AB893" s="4">
        <f>IF(OR(INDEX($AH$2:$AH$1001,MATCH(ROWS($AG$2:AG893),$AG$2:$AG$1001,0),1)&gt;=100000,INDEX($AN$1005:$BO$1005,1,MATCH(COLUMNS($AN$1006:BN1006),$AN$1006:$BO$1006,0))&gt;=100000), " ",IF(INDEX($AN$2:$BO$1001,MATCH(ROWS($AG$2:AG893),$AG$2:$AG$1001,0),MATCH(COLUMNS($AN$1006:BN1006),$AN$1006:$BO$1006,0)), HYPERLINK("#",""), HYPERLINK(CONCATENATE("#Metadata!", ADDRESS(INDEX($AI$2:$AI$1001,MATCH(ROWS($AG$2:AG893),$AG$2:$AG$1001,0),0), INDEX($AN$1004:$BO$1004,1,MATCH(COLUMNS($AN$1006:BN1006),$AN$1006:$BO$1006,0)))),"Fix")))</f>
        <v>0</v>
      </c>
      <c r="AC893" s="4">
        <f>IF(OR(INDEX($AH$2:$AH$1001,MATCH(ROWS($AG$2:AG893),$AG$2:$AG$1001,0),1)&gt;=100000,INDEX($AN$1005:$BO$1005,1,MATCH(COLUMNS($AN$1006:BO1006),$AN$1006:$BO$1006,0))&gt;=100000), " ",IF(INDEX($AN$2:$BO$1001,MATCH(ROWS($AG$2:AG893),$AG$2:$AG$1001,0),MATCH(COLUMNS($AN$1006:BO1006),$AN$1006:$BO$1006,0)), HYPERLINK("#",""), HYPERLINK(CONCATENATE("#Metadata!", ADDRESS(INDEX($AI$2:$AI$1001,MATCH(ROWS($AG$2:AG893),$AG$2:$AG$1001,0),0), INDEX($AN$1004:$BO$1004,1,MATCH(COLUMNS($AN$1006:BO1006),$AN$1006:$BO$1006,0)))),"Fix")))</f>
        <v>0</v>
      </c>
      <c r="AG893">
        <v>0</v>
      </c>
      <c r="AH893">
        <v>0</v>
      </c>
      <c r="AI893">
        <v>0</v>
      </c>
      <c r="AJ893">
        <f>IF(AK893,TRUE,AND(AN893:BO893))</f>
        <v>0</v>
      </c>
      <c r="AK893">
        <f>COUNTBLANK(Metadata!B893:AC893)=COLUMNS(Metadata!B893:AC893)</f>
        <v>0</v>
      </c>
      <c r="AL893">
        <v>0</v>
      </c>
      <c r="AN893">
        <f>AND(IF(Metadata!B893="",FALSE,TRUE),COUNTIF(Metadata!B:B, Metadata!B893) = 1,NOT(ISERROR(SUMPRODUCT(SEARCH(MID(Metadata!B893,ROW(INDIRECT("1:"&amp;LEN(Metadata!B893))), 1),"0123456789abcdefghijklmnopqrstuvwxyzABCDEFGHIJKLMNOPQRSTUVWXYZ.")))))</f>
        <v>0</v>
      </c>
      <c r="AO893">
        <f>IF(Metadata!C893="",FALSE,TRUE)</f>
        <v>0</v>
      </c>
      <c r="AP893">
        <f>IF(Metadata!D893="",FALSE,TRUE)</f>
        <v>0</v>
      </c>
      <c r="AQ893">
        <f>OR(AND(IF(Metadata!E893="",FALSE,TRUE),OR(exact(Metadata!E893,"not collected"),exact(Metadata!E893,"not provided"),exact(Metadata!E893,"restricted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R893">
        <f>IF(Metadata!F893="",FALSE,TRUE)</f>
        <v>0</v>
      </c>
      <c r="AS893">
        <f>OR(AND(IF(Metadata!G893="",FALSE,TRUE),OR(exact(Metadata!G893,"not collected"),exact(Metadata!G893,"not provided"))),AND(IF(Metadata!G893="",FALSE,TRUE),OR(exact(Metadata!G893,"TRUE"),exact(Metadata!G893,"FALSE"))))</f>
        <v>0</v>
      </c>
      <c r="AT893">
        <f>OR(AND(IF(Metadata!H893="",FALSE,TRUE),OR(exact(Metadata!H893,"not collected"),exact(Metadata!H893,"not provided"),exact(Metadata!H893,"restricted access"))),AND(IF(Metadata!H893="",FALSE,ISNUMBER(VALUE(Metadata!H893))),Metadata!H893&gt;=-413.0))</f>
        <v>0</v>
      </c>
      <c r="AU893">
        <f>AND(IF(Metadata!I893="",FALSE,TRUE),exact(Metadata!I893,"meters"))</f>
        <v>0</v>
      </c>
      <c r="AV893">
        <f>AND(IF(Metadata!J893="",FALSE,TRUE),OR(exact(Metadata!J893,"Host-associated"),exact(Metadata!J893,"Free-living")))</f>
        <v>0</v>
      </c>
      <c r="AW893">
        <f>AND(IF(Metadata!K893="",FALSE,TRUE),OR(exact(Metadata!K893,"Animal"),exact(Metadata!K893,"Fungus"),exact(Metadata!K893,"Plant"),exact(Metadata!K893,"Saline"),exact(Metadata!K893,"Non-saline")))</f>
        <v>0</v>
      </c>
      <c r="AX893">
        <f>AND(IF(Metadata!L893="",FALSE,TRUE),OR(exact(Metadata!L893,"Plant secretion"),exact(Metadata!L893,"Plant rhizosphere"),exact(Metadata!L893,"Plant surface"),exact(Metadata!L893,"Plant corpus"),exact(Metadata!L893,"Fungus surface"),exact(Metadata!L893,"Fungus corpus"),exact(Metadata!L893,"Animal surface"),exact(Metadata!L893,"Animal proximal gut"),exact(Metadata!L893,"Animal corpus"),exact(Metadata!L893,"Animal distal gut"),exact(Metadata!L893,"Animal secretion"),exact(Metadata!L893,"Sub-surface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Y893">
        <f>IF(Metadata!M893="",FALSE,TRUE)</f>
        <v>0</v>
      </c>
      <c r="AZ893">
        <f>IF(Metadata!N893="",FALSE,TRUE)</f>
        <v>0</v>
      </c>
      <c r="BA893">
        <f>IF(Metadata!O893="",FALSE,TRUE)</f>
        <v>0</v>
      </c>
      <c r="BB893">
        <f>OR(AND(IF(Metadata!P893="",FALSE,TRUE),OR(exact(Metadata!P893,"not collected"),exact(Metadata!P893,"not provided"),exact(Metadata!P893,"restricted access"))),AND(IF(Metadata!P893="",FALSE,TRUE),OR(exact(Metadata!P893,"air"),exact(Metadata!P893,"built environment"),exact(Metadata!P893,"host-associated"),exact(Metadata!P893,"human-associated"),exact(Metadata!P893,"human-skin"),exact(Metadata!P893,"human-oral"),exact(Metadata!P893,"human-gut"),exact(Metadata!P893,"human-vaginal"),exact(Metadata!P893,"microbial mat/biofilm"),exact(Metadata!P893,"misc environment"),exact(Metadata!P893,"plant-associated"),exact(Metadata!P893,"sediment"),exact(Metadata!P893,"soil"),exact(Metadata!P893,"wastewater/sludge"),exact(Metadata!P893,"water"))))</f>
        <v>0</v>
      </c>
      <c r="BC893">
        <f>IF(Metadata!Q893="",FALSE,TRUE)</f>
        <v>0</v>
      </c>
      <c r="BD893">
        <f>IF(Metadata!R893="",FALSE,TRUE)</f>
        <v>0</v>
      </c>
      <c r="BE893">
        <f>OR(AND(IF(Metadata!S893="",FALSE,TRUE),OR(exact(Metadata!S893,"not collected"),exact(Metadata!S893,"not provided"),exact(Metadata!S893,"restricted access"))),AND(IF(Metadata!S893="",FALSE,ISNUMBER(VALUE(Metadata!S893))),Metadata!S893&gt;=-90.00,Metadata!S893&lt;=90.00))</f>
        <v>0</v>
      </c>
      <c r="BF893">
        <f>AND(IF(Metadata!T893="",FALSE,TRUE),exact(Metadata!T893,"Decimal degrees"))</f>
        <v>0</v>
      </c>
      <c r="BG893">
        <f>OR(AND(IF(Metadata!U893="",FALSE,TRUE),OR(exact(Metadata!U893,"not collected"),exact(Metadata!U893,"not provided"),exact(Metadata!U893,"restricted access"))),AND(IF(Metadata!U893="",FALSE,ISNUMBER(VALUE(Metadata!U893))),Metadata!U893&gt;=-180.00,Metadata!U893&lt;=180.00))</f>
        <v>0</v>
      </c>
      <c r="BH893">
        <f>AND(IF(Metadata!V893="",FALSE,TRUE),exact(Metadata!V893,"Decimal degrees"))</f>
        <v>0</v>
      </c>
      <c r="BI893">
        <f>IF(Metadata!W893="",FALSE,TRUE)</f>
        <v>0</v>
      </c>
      <c r="BJ893">
        <f>OR(AND(IF(Metadata!X893="",FALSE,TRUE),OR(exact(Metadata!X893,"not collected"),exact(Metadata!X893,"not provided"),exact(Metadata!X893,"restricted access"))),AND(IF(Metadata!X893="",FALSE,TRUE),OR(exact(Metadata!X893,"TRUE"),exact(Metadata!X893,"FALSE"))))</f>
        <v>0</v>
      </c>
      <c r="BK893">
        <f>AND(IF(Metadata!Y893="",FALSE,TRUE),exact(Metadata!Y893,"other"))</f>
        <v>0</v>
      </c>
      <c r="BL893">
        <f>IF(Metadata!Z893="",FALSE,TRUE)</f>
        <v>0</v>
      </c>
      <c r="BM893">
        <f>OR(AND(IF(Metadata!AA893="",FALSE,TRUE),OR(exact(Metadata!AA893,"not collected"),exact(Metadata!AA893,"not provided"))),AND(IF(Metadata!AA893="",FALSE,IF(ISERROR(INT(Metadata!AA893)),FALSE,INT(Metadata!AA893)=Metadata!AA893)),Metadata!AA893&gt;0))</f>
        <v>0</v>
      </c>
      <c r="BN893">
        <f>AND(IF(Metadata!AB893="",FALSE,TRUE),exact(Metadata!AB893,"Not applicable"))</f>
        <v>0</v>
      </c>
      <c r="BO893">
        <f>IF(Metadata!AC893="",FALSE,TRUE)</f>
        <v>0</v>
      </c>
    </row>
    <row r="894" spans="1:67">
      <c r="A894" s="5">
        <f>IF(B894=" "," ",HYPERLINK(CONCATENATE("#metadata!",ADDRESS(INDEX($AI$2:$AI$1001,MATCH(ROWS($AG$2:AG894),$AG$2:$AG$1001,0),0),1)),INDEX($AL$2:$AL$1001,MATCH(ROWS($AG$2:AG894),$AG$2:$AG$1001,0),0)))</f>
        <v>0</v>
      </c>
      <c r="B894" s="4">
        <f>IF(OR(INDEX($AH$2:$AH$1001,MATCH(ROWS($AG$2:AG894),$AG$2:$AG$1001,0),1)&gt;=100000,INDEX($AN$1005:$BO$1005,1,MATCH(COLUMNS($AN$1006:AN1006),$AN$1006:$BO$1006,0))&gt;=100000), " ",IF(INDEX($AN$2:$BO$1001,MATCH(ROWS($AG$2:AG894),$AG$2:$AG$1001,0),MATCH(COLUMNS($AN$1006:AN1006),$AN$1006:$BO$1006,0)), HYPERLINK("#",""), HYPERLINK(CONCATENATE("#Metadata!", ADDRESS(INDEX($AI$2:$AI$1001,MATCH(ROWS($AG$2:AG894),$AG$2:$AG$1001,0),0), INDEX($AN$1004:$BO$1004,1,MATCH(COLUMNS($AN$1006:AN1006),$AN$1006:$BO$1006,0)))),"Fix")))</f>
        <v>0</v>
      </c>
      <c r="C894" s="4">
        <f>IF(OR(INDEX($AH$2:$AH$1001,MATCH(ROWS($AG$2:AG894),$AG$2:$AG$1001,0),1)&gt;=100000,INDEX($AN$1005:$BO$1005,1,MATCH(COLUMNS($AN$1006:AO1006),$AN$1006:$BO$1006,0))&gt;=100000), " ",IF(INDEX($AN$2:$BO$1001,MATCH(ROWS($AG$2:AG894),$AG$2:$AG$1001,0),MATCH(COLUMNS($AN$1006:AO1006),$AN$1006:$BO$1006,0)), HYPERLINK("#",""), HYPERLINK(CONCATENATE("#Metadata!", ADDRESS(INDEX($AI$2:$AI$1001,MATCH(ROWS($AG$2:AG894),$AG$2:$AG$1001,0),0), INDEX($AN$1004:$BO$1004,1,MATCH(COLUMNS($AN$1006:AO1006),$AN$1006:$BO$1006,0)))),"Fix")))</f>
        <v>0</v>
      </c>
      <c r="D894" s="4">
        <f>IF(OR(INDEX($AH$2:$AH$1001,MATCH(ROWS($AG$2:AG894),$AG$2:$AG$1001,0),1)&gt;=100000,INDEX($AN$1005:$BO$1005,1,MATCH(COLUMNS($AN$1006:AP1006),$AN$1006:$BO$1006,0))&gt;=100000), " ",IF(INDEX($AN$2:$BO$1001,MATCH(ROWS($AG$2:AG894),$AG$2:$AG$1001,0),MATCH(COLUMNS($AN$1006:AP1006),$AN$1006:$BO$1006,0)), HYPERLINK("#",""), HYPERLINK(CONCATENATE("#Metadata!", ADDRESS(INDEX($AI$2:$AI$1001,MATCH(ROWS($AG$2:AG894),$AG$2:$AG$1001,0),0), INDEX($AN$1004:$BO$1004,1,MATCH(COLUMNS($AN$1006:AP1006),$AN$1006:$BO$1006,0)))),"Fix")))</f>
        <v>0</v>
      </c>
      <c r="E894" s="4">
        <f>IF(OR(INDEX($AH$2:$AH$1001,MATCH(ROWS($AG$2:AG894),$AG$2:$AG$1001,0),1)&gt;=100000,INDEX($AN$1005:$BO$1005,1,MATCH(COLUMNS($AN$1006:AQ1006),$AN$1006:$BO$1006,0))&gt;=100000), " ",IF(INDEX($AN$2:$BO$1001,MATCH(ROWS($AG$2:AG894),$AG$2:$AG$1001,0),MATCH(COLUMNS($AN$1006:AQ1006),$AN$1006:$BO$1006,0)), HYPERLINK("#",""), HYPERLINK(CONCATENATE("#Metadata!", ADDRESS(INDEX($AI$2:$AI$1001,MATCH(ROWS($AG$2:AG894),$AG$2:$AG$1001,0),0), INDEX($AN$1004:$BO$1004,1,MATCH(COLUMNS($AN$1006:AQ1006),$AN$1006:$BO$1006,0)))),"Fix")))</f>
        <v>0</v>
      </c>
      <c r="F894" s="4">
        <f>IF(OR(INDEX($AH$2:$AH$1001,MATCH(ROWS($AG$2:AG894),$AG$2:$AG$1001,0),1)&gt;=100000,INDEX($AN$1005:$BO$1005,1,MATCH(COLUMNS($AN$1006:AR1006),$AN$1006:$BO$1006,0))&gt;=100000), " ",IF(INDEX($AN$2:$BO$1001,MATCH(ROWS($AG$2:AG894),$AG$2:$AG$1001,0),MATCH(COLUMNS($AN$1006:AR1006),$AN$1006:$BO$1006,0)), HYPERLINK("#",""), HYPERLINK(CONCATENATE("#Metadata!", ADDRESS(INDEX($AI$2:$AI$1001,MATCH(ROWS($AG$2:AG894),$AG$2:$AG$1001,0),0), INDEX($AN$1004:$BO$1004,1,MATCH(COLUMNS($AN$1006:AR1006),$AN$1006:$BO$1006,0)))),"Fix")))</f>
        <v>0</v>
      </c>
      <c r="G894" s="4">
        <f>IF(OR(INDEX($AH$2:$AH$1001,MATCH(ROWS($AG$2:AG894),$AG$2:$AG$1001,0),1)&gt;=100000,INDEX($AN$1005:$BO$1005,1,MATCH(COLUMNS($AN$1006:AS1006),$AN$1006:$BO$1006,0))&gt;=100000), " ",IF(INDEX($AN$2:$BO$1001,MATCH(ROWS($AG$2:AG894),$AG$2:$AG$1001,0),MATCH(COLUMNS($AN$1006:AS1006),$AN$1006:$BO$1006,0)), HYPERLINK("#",""), HYPERLINK(CONCATENATE("#Metadata!", ADDRESS(INDEX($AI$2:$AI$1001,MATCH(ROWS($AG$2:AG894),$AG$2:$AG$1001,0),0), INDEX($AN$1004:$BO$1004,1,MATCH(COLUMNS($AN$1006:AS1006),$AN$1006:$BO$1006,0)))),"Fix")))</f>
        <v>0</v>
      </c>
      <c r="H894" s="4">
        <f>IF(OR(INDEX($AH$2:$AH$1001,MATCH(ROWS($AG$2:AG894),$AG$2:$AG$1001,0),1)&gt;=100000,INDEX($AN$1005:$BO$1005,1,MATCH(COLUMNS($AN$1006:AT1006),$AN$1006:$BO$1006,0))&gt;=100000), " ",IF(INDEX($AN$2:$BO$1001,MATCH(ROWS($AG$2:AG894),$AG$2:$AG$1001,0),MATCH(COLUMNS($AN$1006:AT1006),$AN$1006:$BO$1006,0)), HYPERLINK("#",""), HYPERLINK(CONCATENATE("#Metadata!", ADDRESS(INDEX($AI$2:$AI$1001,MATCH(ROWS($AG$2:AG894),$AG$2:$AG$1001,0),0), INDEX($AN$1004:$BO$1004,1,MATCH(COLUMNS($AN$1006:AT1006),$AN$1006:$BO$1006,0)))),"Fix")))</f>
        <v>0</v>
      </c>
      <c r="I894" s="4">
        <f>IF(OR(INDEX($AH$2:$AH$1001,MATCH(ROWS($AG$2:AG894),$AG$2:$AG$1001,0),1)&gt;=100000,INDEX($AN$1005:$BO$1005,1,MATCH(COLUMNS($AN$1006:AU1006),$AN$1006:$BO$1006,0))&gt;=100000), " ",IF(INDEX($AN$2:$BO$1001,MATCH(ROWS($AG$2:AG894),$AG$2:$AG$1001,0),MATCH(COLUMNS($AN$1006:AU1006),$AN$1006:$BO$1006,0)), HYPERLINK("#",""), HYPERLINK(CONCATENATE("#Metadata!", ADDRESS(INDEX($AI$2:$AI$1001,MATCH(ROWS($AG$2:AG894),$AG$2:$AG$1001,0),0), INDEX($AN$1004:$BO$1004,1,MATCH(COLUMNS($AN$1006:AU1006),$AN$1006:$BO$1006,0)))),"Fix")))</f>
        <v>0</v>
      </c>
      <c r="J894" s="4">
        <f>IF(OR(INDEX($AH$2:$AH$1001,MATCH(ROWS($AG$2:AG894),$AG$2:$AG$1001,0),1)&gt;=100000,INDEX($AN$1005:$BO$1005,1,MATCH(COLUMNS($AN$1006:AV1006),$AN$1006:$BO$1006,0))&gt;=100000), " ",IF(INDEX($AN$2:$BO$1001,MATCH(ROWS($AG$2:AG894),$AG$2:$AG$1001,0),MATCH(COLUMNS($AN$1006:AV1006),$AN$1006:$BO$1006,0)), HYPERLINK("#",""), HYPERLINK(CONCATENATE("#Metadata!", ADDRESS(INDEX($AI$2:$AI$1001,MATCH(ROWS($AG$2:AG894),$AG$2:$AG$1001,0),0), INDEX($AN$1004:$BO$1004,1,MATCH(COLUMNS($AN$1006:AV1006),$AN$1006:$BO$1006,0)))),"Fix")))</f>
        <v>0</v>
      </c>
      <c r="K894" s="4">
        <f>IF(OR(INDEX($AH$2:$AH$1001,MATCH(ROWS($AG$2:AG894),$AG$2:$AG$1001,0),1)&gt;=100000,INDEX($AN$1005:$BO$1005,1,MATCH(COLUMNS($AN$1006:AW1006),$AN$1006:$BO$1006,0))&gt;=100000), " ",IF(INDEX($AN$2:$BO$1001,MATCH(ROWS($AG$2:AG894),$AG$2:$AG$1001,0),MATCH(COLUMNS($AN$1006:AW1006),$AN$1006:$BO$1006,0)), HYPERLINK("#",""), HYPERLINK(CONCATENATE("#Metadata!", ADDRESS(INDEX($AI$2:$AI$1001,MATCH(ROWS($AG$2:AG894),$AG$2:$AG$1001,0),0), INDEX($AN$1004:$BO$1004,1,MATCH(COLUMNS($AN$1006:AW1006),$AN$1006:$BO$1006,0)))),"Fix")))</f>
        <v>0</v>
      </c>
      <c r="L894" s="4">
        <f>IF(OR(INDEX($AH$2:$AH$1001,MATCH(ROWS($AG$2:AG894),$AG$2:$AG$1001,0),1)&gt;=100000,INDEX($AN$1005:$BO$1005,1,MATCH(COLUMNS($AN$1006:AX1006),$AN$1006:$BO$1006,0))&gt;=100000), " ",IF(INDEX($AN$2:$BO$1001,MATCH(ROWS($AG$2:AG894),$AG$2:$AG$1001,0),MATCH(COLUMNS($AN$1006:AX1006),$AN$1006:$BO$1006,0)), HYPERLINK("#",""), HYPERLINK(CONCATENATE("#Metadata!", ADDRESS(INDEX($AI$2:$AI$1001,MATCH(ROWS($AG$2:AG894),$AG$2:$AG$1001,0),0), INDEX($AN$1004:$BO$1004,1,MATCH(COLUMNS($AN$1006:AX1006),$AN$1006:$BO$1006,0)))),"Fix")))</f>
        <v>0</v>
      </c>
      <c r="M894" s="4">
        <f>IF(OR(INDEX($AH$2:$AH$1001,MATCH(ROWS($AG$2:AG894),$AG$2:$AG$1001,0),1)&gt;=100000,INDEX($AN$1005:$BO$1005,1,MATCH(COLUMNS($AN$1006:AY1006),$AN$1006:$BO$1006,0))&gt;=100000), " ",IF(INDEX($AN$2:$BO$1001,MATCH(ROWS($AG$2:AG894),$AG$2:$AG$1001,0),MATCH(COLUMNS($AN$1006:AY1006),$AN$1006:$BO$1006,0)), HYPERLINK("#",""), HYPERLINK(CONCATENATE("#Metadata!", ADDRESS(INDEX($AI$2:$AI$1001,MATCH(ROWS($AG$2:AG894),$AG$2:$AG$1001,0),0), INDEX($AN$1004:$BO$1004,1,MATCH(COLUMNS($AN$1006:AY1006),$AN$1006:$BO$1006,0)))),"Fix")))</f>
        <v>0</v>
      </c>
      <c r="N894" s="4">
        <f>IF(OR(INDEX($AH$2:$AH$1001,MATCH(ROWS($AG$2:AG894),$AG$2:$AG$1001,0),1)&gt;=100000,INDEX($AN$1005:$BO$1005,1,MATCH(COLUMNS($AN$1006:AZ1006),$AN$1006:$BO$1006,0))&gt;=100000), " ",IF(INDEX($AN$2:$BO$1001,MATCH(ROWS($AG$2:AG894),$AG$2:$AG$1001,0),MATCH(COLUMNS($AN$1006:AZ1006),$AN$1006:$BO$1006,0)), HYPERLINK("#",""), HYPERLINK(CONCATENATE("#Metadata!", ADDRESS(INDEX($AI$2:$AI$1001,MATCH(ROWS($AG$2:AG894),$AG$2:$AG$1001,0),0), INDEX($AN$1004:$BO$1004,1,MATCH(COLUMNS($AN$1006:AZ1006),$AN$1006:$BO$1006,0)))),"Fix")))</f>
        <v>0</v>
      </c>
      <c r="O894" s="4">
        <f>IF(OR(INDEX($AH$2:$AH$1001,MATCH(ROWS($AG$2:AG894),$AG$2:$AG$1001,0),1)&gt;=100000,INDEX($AN$1005:$BO$1005,1,MATCH(COLUMNS($AN$1006:BA1006),$AN$1006:$BO$1006,0))&gt;=100000), " ",IF(INDEX($AN$2:$BO$1001,MATCH(ROWS($AG$2:AG894),$AG$2:$AG$1001,0),MATCH(COLUMNS($AN$1006:BA1006),$AN$1006:$BO$1006,0)), HYPERLINK("#",""), HYPERLINK(CONCATENATE("#Metadata!", ADDRESS(INDEX($AI$2:$AI$1001,MATCH(ROWS($AG$2:AG894),$AG$2:$AG$1001,0),0), INDEX($AN$1004:$BO$1004,1,MATCH(COLUMNS($AN$1006:BA1006),$AN$1006:$BO$1006,0)))),"Fix")))</f>
        <v>0</v>
      </c>
      <c r="P894" s="4">
        <f>IF(OR(INDEX($AH$2:$AH$1001,MATCH(ROWS($AG$2:AG894),$AG$2:$AG$1001,0),1)&gt;=100000,INDEX($AN$1005:$BO$1005,1,MATCH(COLUMNS($AN$1006:BB1006),$AN$1006:$BO$1006,0))&gt;=100000), " ",IF(INDEX($AN$2:$BO$1001,MATCH(ROWS($AG$2:AG894),$AG$2:$AG$1001,0),MATCH(COLUMNS($AN$1006:BB1006),$AN$1006:$BO$1006,0)), HYPERLINK("#",""), HYPERLINK(CONCATENATE("#Metadata!", ADDRESS(INDEX($AI$2:$AI$1001,MATCH(ROWS($AG$2:AG894),$AG$2:$AG$1001,0),0), INDEX($AN$1004:$BO$1004,1,MATCH(COLUMNS($AN$1006:BB1006),$AN$1006:$BO$1006,0)))),"Fix")))</f>
        <v>0</v>
      </c>
      <c r="Q894" s="4">
        <f>IF(OR(INDEX($AH$2:$AH$1001,MATCH(ROWS($AG$2:AG894),$AG$2:$AG$1001,0),1)&gt;=100000,INDEX($AN$1005:$BO$1005,1,MATCH(COLUMNS($AN$1006:BC1006),$AN$1006:$BO$1006,0))&gt;=100000), " ",IF(INDEX($AN$2:$BO$1001,MATCH(ROWS($AG$2:AG894),$AG$2:$AG$1001,0),MATCH(COLUMNS($AN$1006:BC1006),$AN$1006:$BO$1006,0)), HYPERLINK("#",""), HYPERLINK(CONCATENATE("#Metadata!", ADDRESS(INDEX($AI$2:$AI$1001,MATCH(ROWS($AG$2:AG894),$AG$2:$AG$1001,0),0), INDEX($AN$1004:$BO$1004,1,MATCH(COLUMNS($AN$1006:BC1006),$AN$1006:$BO$1006,0)))),"Fix")))</f>
        <v>0</v>
      </c>
      <c r="R894" s="4">
        <f>IF(OR(INDEX($AH$2:$AH$1001,MATCH(ROWS($AG$2:AG894),$AG$2:$AG$1001,0),1)&gt;=100000,INDEX($AN$1005:$BO$1005,1,MATCH(COLUMNS($AN$1006:BD1006),$AN$1006:$BO$1006,0))&gt;=100000), " ",IF(INDEX($AN$2:$BO$1001,MATCH(ROWS($AG$2:AG894),$AG$2:$AG$1001,0),MATCH(COLUMNS($AN$1006:BD1006),$AN$1006:$BO$1006,0)), HYPERLINK("#",""), HYPERLINK(CONCATENATE("#Metadata!", ADDRESS(INDEX($AI$2:$AI$1001,MATCH(ROWS($AG$2:AG894),$AG$2:$AG$1001,0),0), INDEX($AN$1004:$BO$1004,1,MATCH(COLUMNS($AN$1006:BD1006),$AN$1006:$BO$1006,0)))),"Fix")))</f>
        <v>0</v>
      </c>
      <c r="S894" s="4">
        <f>IF(OR(INDEX($AH$2:$AH$1001,MATCH(ROWS($AG$2:AG894),$AG$2:$AG$1001,0),1)&gt;=100000,INDEX($AN$1005:$BO$1005,1,MATCH(COLUMNS($AN$1006:BE1006),$AN$1006:$BO$1006,0))&gt;=100000), " ",IF(INDEX($AN$2:$BO$1001,MATCH(ROWS($AG$2:AG894),$AG$2:$AG$1001,0),MATCH(COLUMNS($AN$1006:BE1006),$AN$1006:$BO$1006,0)), HYPERLINK("#",""), HYPERLINK(CONCATENATE("#Metadata!", ADDRESS(INDEX($AI$2:$AI$1001,MATCH(ROWS($AG$2:AG894),$AG$2:$AG$1001,0),0), INDEX($AN$1004:$BO$1004,1,MATCH(COLUMNS($AN$1006:BE1006),$AN$1006:$BO$1006,0)))),"Fix")))</f>
        <v>0</v>
      </c>
      <c r="T894" s="4">
        <f>IF(OR(INDEX($AH$2:$AH$1001,MATCH(ROWS($AG$2:AG894),$AG$2:$AG$1001,0),1)&gt;=100000,INDEX($AN$1005:$BO$1005,1,MATCH(COLUMNS($AN$1006:BF1006),$AN$1006:$BO$1006,0))&gt;=100000), " ",IF(INDEX($AN$2:$BO$1001,MATCH(ROWS($AG$2:AG894),$AG$2:$AG$1001,0),MATCH(COLUMNS($AN$1006:BF1006),$AN$1006:$BO$1006,0)), HYPERLINK("#",""), HYPERLINK(CONCATENATE("#Metadata!", ADDRESS(INDEX($AI$2:$AI$1001,MATCH(ROWS($AG$2:AG894),$AG$2:$AG$1001,0),0), INDEX($AN$1004:$BO$1004,1,MATCH(COLUMNS($AN$1006:BF1006),$AN$1006:$BO$1006,0)))),"Fix")))</f>
        <v>0</v>
      </c>
      <c r="U894" s="4">
        <f>IF(OR(INDEX($AH$2:$AH$1001,MATCH(ROWS($AG$2:AG894),$AG$2:$AG$1001,0),1)&gt;=100000,INDEX($AN$1005:$BO$1005,1,MATCH(COLUMNS($AN$1006:BG1006),$AN$1006:$BO$1006,0))&gt;=100000), " ",IF(INDEX($AN$2:$BO$1001,MATCH(ROWS($AG$2:AG894),$AG$2:$AG$1001,0),MATCH(COLUMNS($AN$1006:BG1006),$AN$1006:$BO$1006,0)), HYPERLINK("#",""), HYPERLINK(CONCATENATE("#Metadata!", ADDRESS(INDEX($AI$2:$AI$1001,MATCH(ROWS($AG$2:AG894),$AG$2:$AG$1001,0),0), INDEX($AN$1004:$BO$1004,1,MATCH(COLUMNS($AN$1006:BG1006),$AN$1006:$BO$1006,0)))),"Fix")))</f>
        <v>0</v>
      </c>
      <c r="V894" s="4">
        <f>IF(OR(INDEX($AH$2:$AH$1001,MATCH(ROWS($AG$2:AG894),$AG$2:$AG$1001,0),1)&gt;=100000,INDEX($AN$1005:$BO$1005,1,MATCH(COLUMNS($AN$1006:BH1006),$AN$1006:$BO$1006,0))&gt;=100000), " ",IF(INDEX($AN$2:$BO$1001,MATCH(ROWS($AG$2:AG894),$AG$2:$AG$1001,0),MATCH(COLUMNS($AN$1006:BH1006),$AN$1006:$BO$1006,0)), HYPERLINK("#",""), HYPERLINK(CONCATENATE("#Metadata!", ADDRESS(INDEX($AI$2:$AI$1001,MATCH(ROWS($AG$2:AG894),$AG$2:$AG$1001,0),0), INDEX($AN$1004:$BO$1004,1,MATCH(COLUMNS($AN$1006:BH1006),$AN$1006:$BO$1006,0)))),"Fix")))</f>
        <v>0</v>
      </c>
      <c r="W894" s="4">
        <f>IF(OR(INDEX($AH$2:$AH$1001,MATCH(ROWS($AG$2:AG894),$AG$2:$AG$1001,0),1)&gt;=100000,INDEX($AN$1005:$BO$1005,1,MATCH(COLUMNS($AN$1006:BI1006),$AN$1006:$BO$1006,0))&gt;=100000), " ",IF(INDEX($AN$2:$BO$1001,MATCH(ROWS($AG$2:AG894),$AG$2:$AG$1001,0),MATCH(COLUMNS($AN$1006:BI1006),$AN$1006:$BO$1006,0)), HYPERLINK("#",""), HYPERLINK(CONCATENATE("#Metadata!", ADDRESS(INDEX($AI$2:$AI$1001,MATCH(ROWS($AG$2:AG894),$AG$2:$AG$1001,0),0), INDEX($AN$1004:$BO$1004,1,MATCH(COLUMNS($AN$1006:BI1006),$AN$1006:$BO$1006,0)))),"Fix")))</f>
        <v>0</v>
      </c>
      <c r="X894" s="4">
        <f>IF(OR(INDEX($AH$2:$AH$1001,MATCH(ROWS($AG$2:AG894),$AG$2:$AG$1001,0),1)&gt;=100000,INDEX($AN$1005:$BO$1005,1,MATCH(COLUMNS($AN$1006:BJ1006),$AN$1006:$BO$1006,0))&gt;=100000), " ",IF(INDEX($AN$2:$BO$1001,MATCH(ROWS($AG$2:AG894),$AG$2:$AG$1001,0),MATCH(COLUMNS($AN$1006:BJ1006),$AN$1006:$BO$1006,0)), HYPERLINK("#",""), HYPERLINK(CONCATENATE("#Metadata!", ADDRESS(INDEX($AI$2:$AI$1001,MATCH(ROWS($AG$2:AG894),$AG$2:$AG$1001,0),0), INDEX($AN$1004:$BO$1004,1,MATCH(COLUMNS($AN$1006:BJ1006),$AN$1006:$BO$1006,0)))),"Fix")))</f>
        <v>0</v>
      </c>
      <c r="Y894" s="4">
        <f>IF(OR(INDEX($AH$2:$AH$1001,MATCH(ROWS($AG$2:AG894),$AG$2:$AG$1001,0),1)&gt;=100000,INDEX($AN$1005:$BO$1005,1,MATCH(COLUMNS($AN$1006:BK1006),$AN$1006:$BO$1006,0))&gt;=100000), " ",IF(INDEX($AN$2:$BO$1001,MATCH(ROWS($AG$2:AG894),$AG$2:$AG$1001,0),MATCH(COLUMNS($AN$1006:BK1006),$AN$1006:$BO$1006,0)), HYPERLINK("#",""), HYPERLINK(CONCATENATE("#Metadata!", ADDRESS(INDEX($AI$2:$AI$1001,MATCH(ROWS($AG$2:AG894),$AG$2:$AG$1001,0),0), INDEX($AN$1004:$BO$1004,1,MATCH(COLUMNS($AN$1006:BK1006),$AN$1006:$BO$1006,0)))),"Fix")))</f>
        <v>0</v>
      </c>
      <c r="Z894" s="4">
        <f>IF(OR(INDEX($AH$2:$AH$1001,MATCH(ROWS($AG$2:AG894),$AG$2:$AG$1001,0),1)&gt;=100000,INDEX($AN$1005:$BO$1005,1,MATCH(COLUMNS($AN$1006:BL1006),$AN$1006:$BO$1006,0))&gt;=100000), " ",IF(INDEX($AN$2:$BO$1001,MATCH(ROWS($AG$2:AG894),$AG$2:$AG$1001,0),MATCH(COLUMNS($AN$1006:BL1006),$AN$1006:$BO$1006,0)), HYPERLINK("#",""), HYPERLINK(CONCATENATE("#Metadata!", ADDRESS(INDEX($AI$2:$AI$1001,MATCH(ROWS($AG$2:AG894),$AG$2:$AG$1001,0),0), INDEX($AN$1004:$BO$1004,1,MATCH(COLUMNS($AN$1006:BL1006),$AN$1006:$BO$1006,0)))),"Fix")))</f>
        <v>0</v>
      </c>
      <c r="AA894" s="4">
        <f>IF(OR(INDEX($AH$2:$AH$1001,MATCH(ROWS($AG$2:AG894),$AG$2:$AG$1001,0),1)&gt;=100000,INDEX($AN$1005:$BO$1005,1,MATCH(COLUMNS($AN$1006:BM1006),$AN$1006:$BO$1006,0))&gt;=100000), " ",IF(INDEX($AN$2:$BO$1001,MATCH(ROWS($AG$2:AG894),$AG$2:$AG$1001,0),MATCH(COLUMNS($AN$1006:BM1006),$AN$1006:$BO$1006,0)), HYPERLINK("#",""), HYPERLINK(CONCATENATE("#Metadata!", ADDRESS(INDEX($AI$2:$AI$1001,MATCH(ROWS($AG$2:AG894),$AG$2:$AG$1001,0),0), INDEX($AN$1004:$BO$1004,1,MATCH(COLUMNS($AN$1006:BM1006),$AN$1006:$BO$1006,0)))),"Fix")))</f>
        <v>0</v>
      </c>
      <c r="AB894" s="4">
        <f>IF(OR(INDEX($AH$2:$AH$1001,MATCH(ROWS($AG$2:AG894),$AG$2:$AG$1001,0),1)&gt;=100000,INDEX($AN$1005:$BO$1005,1,MATCH(COLUMNS($AN$1006:BN1006),$AN$1006:$BO$1006,0))&gt;=100000), " ",IF(INDEX($AN$2:$BO$1001,MATCH(ROWS($AG$2:AG894),$AG$2:$AG$1001,0),MATCH(COLUMNS($AN$1006:BN1006),$AN$1006:$BO$1006,0)), HYPERLINK("#",""), HYPERLINK(CONCATENATE("#Metadata!", ADDRESS(INDEX($AI$2:$AI$1001,MATCH(ROWS($AG$2:AG894),$AG$2:$AG$1001,0),0), INDEX($AN$1004:$BO$1004,1,MATCH(COLUMNS($AN$1006:BN1006),$AN$1006:$BO$1006,0)))),"Fix")))</f>
        <v>0</v>
      </c>
      <c r="AC894" s="4">
        <f>IF(OR(INDEX($AH$2:$AH$1001,MATCH(ROWS($AG$2:AG894),$AG$2:$AG$1001,0),1)&gt;=100000,INDEX($AN$1005:$BO$1005,1,MATCH(COLUMNS($AN$1006:BO1006),$AN$1006:$BO$1006,0))&gt;=100000), " ",IF(INDEX($AN$2:$BO$1001,MATCH(ROWS($AG$2:AG894),$AG$2:$AG$1001,0),MATCH(COLUMNS($AN$1006:BO1006),$AN$1006:$BO$1006,0)), HYPERLINK("#",""), HYPERLINK(CONCATENATE("#Metadata!", ADDRESS(INDEX($AI$2:$AI$1001,MATCH(ROWS($AG$2:AG894),$AG$2:$AG$1001,0),0), INDEX($AN$1004:$BO$1004,1,MATCH(COLUMNS($AN$1006:BO1006),$AN$1006:$BO$1006,0)))),"Fix")))</f>
        <v>0</v>
      </c>
      <c r="AG894">
        <v>0</v>
      </c>
      <c r="AH894">
        <v>0</v>
      </c>
      <c r="AI894">
        <v>0</v>
      </c>
      <c r="AJ894">
        <f>IF(AK894,TRUE,AND(AN894:BO894))</f>
        <v>0</v>
      </c>
      <c r="AK894">
        <f>COUNTBLANK(Metadata!B894:AC894)=COLUMNS(Metadata!B894:AC894)</f>
        <v>0</v>
      </c>
      <c r="AL894">
        <v>0</v>
      </c>
      <c r="AN894">
        <f>AND(IF(Metadata!B894="",FALSE,TRUE),COUNTIF(Metadata!B:B, Metadata!B894) = 1,NOT(ISERROR(SUMPRODUCT(SEARCH(MID(Metadata!B894,ROW(INDIRECT("1:"&amp;LEN(Metadata!B894))), 1),"0123456789abcdefghijklmnopqrstuvwxyzABCDEFGHIJKLMNOPQRSTUVWXYZ.")))))</f>
        <v>0</v>
      </c>
      <c r="AO894">
        <f>IF(Metadata!C894="",FALSE,TRUE)</f>
        <v>0</v>
      </c>
      <c r="AP894">
        <f>IF(Metadata!D894="",FALSE,TRUE)</f>
        <v>0</v>
      </c>
      <c r="AQ894">
        <f>OR(AND(IF(Metadata!E894="",FALSE,TRUE),OR(exact(Metadata!E894,"not collected"),exact(Metadata!E894,"not provided"),exact(Metadata!E894,"restricted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R894">
        <f>IF(Metadata!F894="",FALSE,TRUE)</f>
        <v>0</v>
      </c>
      <c r="AS894">
        <f>OR(AND(IF(Metadata!G894="",FALSE,TRUE),OR(exact(Metadata!G894,"not collected"),exact(Metadata!G894,"not provided"))),AND(IF(Metadata!G894="",FALSE,TRUE),OR(exact(Metadata!G894,"TRUE"),exact(Metadata!G894,"FALSE"))))</f>
        <v>0</v>
      </c>
      <c r="AT894">
        <f>OR(AND(IF(Metadata!H894="",FALSE,TRUE),OR(exact(Metadata!H894,"not collected"),exact(Metadata!H894,"not provided"),exact(Metadata!H894,"restricted access"))),AND(IF(Metadata!H894="",FALSE,ISNUMBER(VALUE(Metadata!H894))),Metadata!H894&gt;=-413.0))</f>
        <v>0</v>
      </c>
      <c r="AU894">
        <f>AND(IF(Metadata!I894="",FALSE,TRUE),exact(Metadata!I894,"meters"))</f>
        <v>0</v>
      </c>
      <c r="AV894">
        <f>AND(IF(Metadata!J894="",FALSE,TRUE),OR(exact(Metadata!J894,"Host-associated"),exact(Metadata!J894,"Free-living")))</f>
        <v>0</v>
      </c>
      <c r="AW894">
        <f>AND(IF(Metadata!K894="",FALSE,TRUE),OR(exact(Metadata!K894,"Animal"),exact(Metadata!K894,"Fungus"),exact(Metadata!K894,"Plant"),exact(Metadata!K894,"Saline"),exact(Metadata!K894,"Non-saline")))</f>
        <v>0</v>
      </c>
      <c r="AX894">
        <f>AND(IF(Metadata!L894="",FALSE,TRUE),OR(exact(Metadata!L894,"Plant secretion"),exact(Metadata!L894,"Plant rhizosphere"),exact(Metadata!L894,"Plant surface"),exact(Metadata!L894,"Plant corpus"),exact(Metadata!L894,"Fungus surface"),exact(Metadata!L894,"Fungus corpus"),exact(Metadata!L894,"Animal surface"),exact(Metadata!L894,"Animal proximal gut"),exact(Metadata!L894,"Animal corpus"),exact(Metadata!L894,"Animal distal gut"),exact(Metadata!L894,"Animal secretion"),exact(Metadata!L894,"Sub-surface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Y894">
        <f>IF(Metadata!M894="",FALSE,TRUE)</f>
        <v>0</v>
      </c>
      <c r="AZ894">
        <f>IF(Metadata!N894="",FALSE,TRUE)</f>
        <v>0</v>
      </c>
      <c r="BA894">
        <f>IF(Metadata!O894="",FALSE,TRUE)</f>
        <v>0</v>
      </c>
      <c r="BB894">
        <f>OR(AND(IF(Metadata!P894="",FALSE,TRUE),OR(exact(Metadata!P894,"not collected"),exact(Metadata!P894,"not provided"),exact(Metadata!P894,"restricted access"))),AND(IF(Metadata!P894="",FALSE,TRUE),OR(exact(Metadata!P894,"air"),exact(Metadata!P894,"built environment"),exact(Metadata!P894,"host-associated"),exact(Metadata!P894,"human-associated"),exact(Metadata!P894,"human-skin"),exact(Metadata!P894,"human-oral"),exact(Metadata!P894,"human-gut"),exact(Metadata!P894,"human-vaginal"),exact(Metadata!P894,"microbial mat/biofilm"),exact(Metadata!P894,"misc environment"),exact(Metadata!P894,"plant-associated"),exact(Metadata!P894,"sediment"),exact(Metadata!P894,"soil"),exact(Metadata!P894,"wastewater/sludge"),exact(Metadata!P894,"water"))))</f>
        <v>0</v>
      </c>
      <c r="BC894">
        <f>IF(Metadata!Q894="",FALSE,TRUE)</f>
        <v>0</v>
      </c>
      <c r="BD894">
        <f>IF(Metadata!R894="",FALSE,TRUE)</f>
        <v>0</v>
      </c>
      <c r="BE894">
        <f>OR(AND(IF(Metadata!S894="",FALSE,TRUE),OR(exact(Metadata!S894,"not collected"),exact(Metadata!S894,"not provided"),exact(Metadata!S894,"restricted access"))),AND(IF(Metadata!S894="",FALSE,ISNUMBER(VALUE(Metadata!S894))),Metadata!S894&gt;=-90.00,Metadata!S894&lt;=90.00))</f>
        <v>0</v>
      </c>
      <c r="BF894">
        <f>AND(IF(Metadata!T894="",FALSE,TRUE),exact(Metadata!T894,"Decimal degrees"))</f>
        <v>0</v>
      </c>
      <c r="BG894">
        <f>OR(AND(IF(Metadata!U894="",FALSE,TRUE),OR(exact(Metadata!U894,"not collected"),exact(Metadata!U894,"not provided"),exact(Metadata!U894,"restricted access"))),AND(IF(Metadata!U894="",FALSE,ISNUMBER(VALUE(Metadata!U894))),Metadata!U894&gt;=-180.00,Metadata!U894&lt;=180.00))</f>
        <v>0</v>
      </c>
      <c r="BH894">
        <f>AND(IF(Metadata!V894="",FALSE,TRUE),exact(Metadata!V894,"Decimal degrees"))</f>
        <v>0</v>
      </c>
      <c r="BI894">
        <f>IF(Metadata!W894="",FALSE,TRUE)</f>
        <v>0</v>
      </c>
      <c r="BJ894">
        <f>OR(AND(IF(Metadata!X894="",FALSE,TRUE),OR(exact(Metadata!X894,"not collected"),exact(Metadata!X894,"not provided"),exact(Metadata!X894,"restricted access"))),AND(IF(Metadata!X894="",FALSE,TRUE),OR(exact(Metadata!X894,"TRUE"),exact(Metadata!X894,"FALSE"))))</f>
        <v>0</v>
      </c>
      <c r="BK894">
        <f>AND(IF(Metadata!Y894="",FALSE,TRUE),exact(Metadata!Y894,"other"))</f>
        <v>0</v>
      </c>
      <c r="BL894">
        <f>IF(Metadata!Z894="",FALSE,TRUE)</f>
        <v>0</v>
      </c>
      <c r="BM894">
        <f>OR(AND(IF(Metadata!AA894="",FALSE,TRUE),OR(exact(Metadata!AA894,"not collected"),exact(Metadata!AA894,"not provided"))),AND(IF(Metadata!AA894="",FALSE,IF(ISERROR(INT(Metadata!AA894)),FALSE,INT(Metadata!AA894)=Metadata!AA894)),Metadata!AA894&gt;0))</f>
        <v>0</v>
      </c>
      <c r="BN894">
        <f>AND(IF(Metadata!AB894="",FALSE,TRUE),exact(Metadata!AB894,"Not applicable"))</f>
        <v>0</v>
      </c>
      <c r="BO894">
        <f>IF(Metadata!AC894="",FALSE,TRUE)</f>
        <v>0</v>
      </c>
    </row>
    <row r="895" spans="1:67">
      <c r="A895" s="5">
        <f>IF(B895=" "," ",HYPERLINK(CONCATENATE("#metadata!",ADDRESS(INDEX($AI$2:$AI$1001,MATCH(ROWS($AG$2:AG895),$AG$2:$AG$1001,0),0),1)),INDEX($AL$2:$AL$1001,MATCH(ROWS($AG$2:AG895),$AG$2:$AG$1001,0),0)))</f>
        <v>0</v>
      </c>
      <c r="B895" s="4">
        <f>IF(OR(INDEX($AH$2:$AH$1001,MATCH(ROWS($AG$2:AG895),$AG$2:$AG$1001,0),1)&gt;=100000,INDEX($AN$1005:$BO$1005,1,MATCH(COLUMNS($AN$1006:AN1006),$AN$1006:$BO$1006,0))&gt;=100000), " ",IF(INDEX($AN$2:$BO$1001,MATCH(ROWS($AG$2:AG895),$AG$2:$AG$1001,0),MATCH(COLUMNS($AN$1006:AN1006),$AN$1006:$BO$1006,0)), HYPERLINK("#",""), HYPERLINK(CONCATENATE("#Metadata!", ADDRESS(INDEX($AI$2:$AI$1001,MATCH(ROWS($AG$2:AG895),$AG$2:$AG$1001,0),0), INDEX($AN$1004:$BO$1004,1,MATCH(COLUMNS($AN$1006:AN1006),$AN$1006:$BO$1006,0)))),"Fix")))</f>
        <v>0</v>
      </c>
      <c r="C895" s="4">
        <f>IF(OR(INDEX($AH$2:$AH$1001,MATCH(ROWS($AG$2:AG895),$AG$2:$AG$1001,0),1)&gt;=100000,INDEX($AN$1005:$BO$1005,1,MATCH(COLUMNS($AN$1006:AO1006),$AN$1006:$BO$1006,0))&gt;=100000), " ",IF(INDEX($AN$2:$BO$1001,MATCH(ROWS($AG$2:AG895),$AG$2:$AG$1001,0),MATCH(COLUMNS($AN$1006:AO1006),$AN$1006:$BO$1006,0)), HYPERLINK("#",""), HYPERLINK(CONCATENATE("#Metadata!", ADDRESS(INDEX($AI$2:$AI$1001,MATCH(ROWS($AG$2:AG895),$AG$2:$AG$1001,0),0), INDEX($AN$1004:$BO$1004,1,MATCH(COLUMNS($AN$1006:AO1006),$AN$1006:$BO$1006,0)))),"Fix")))</f>
        <v>0</v>
      </c>
      <c r="D895" s="4">
        <f>IF(OR(INDEX($AH$2:$AH$1001,MATCH(ROWS($AG$2:AG895),$AG$2:$AG$1001,0),1)&gt;=100000,INDEX($AN$1005:$BO$1005,1,MATCH(COLUMNS($AN$1006:AP1006),$AN$1006:$BO$1006,0))&gt;=100000), " ",IF(INDEX($AN$2:$BO$1001,MATCH(ROWS($AG$2:AG895),$AG$2:$AG$1001,0),MATCH(COLUMNS($AN$1006:AP1006),$AN$1006:$BO$1006,0)), HYPERLINK("#",""), HYPERLINK(CONCATENATE("#Metadata!", ADDRESS(INDEX($AI$2:$AI$1001,MATCH(ROWS($AG$2:AG895),$AG$2:$AG$1001,0),0), INDEX($AN$1004:$BO$1004,1,MATCH(COLUMNS($AN$1006:AP1006),$AN$1006:$BO$1006,0)))),"Fix")))</f>
        <v>0</v>
      </c>
      <c r="E895" s="4">
        <f>IF(OR(INDEX($AH$2:$AH$1001,MATCH(ROWS($AG$2:AG895),$AG$2:$AG$1001,0),1)&gt;=100000,INDEX($AN$1005:$BO$1005,1,MATCH(COLUMNS($AN$1006:AQ1006),$AN$1006:$BO$1006,0))&gt;=100000), " ",IF(INDEX($AN$2:$BO$1001,MATCH(ROWS($AG$2:AG895),$AG$2:$AG$1001,0),MATCH(COLUMNS($AN$1006:AQ1006),$AN$1006:$BO$1006,0)), HYPERLINK("#",""), HYPERLINK(CONCATENATE("#Metadata!", ADDRESS(INDEX($AI$2:$AI$1001,MATCH(ROWS($AG$2:AG895),$AG$2:$AG$1001,0),0), INDEX($AN$1004:$BO$1004,1,MATCH(COLUMNS($AN$1006:AQ1006),$AN$1006:$BO$1006,0)))),"Fix")))</f>
        <v>0</v>
      </c>
      <c r="F895" s="4">
        <f>IF(OR(INDEX($AH$2:$AH$1001,MATCH(ROWS($AG$2:AG895),$AG$2:$AG$1001,0),1)&gt;=100000,INDEX($AN$1005:$BO$1005,1,MATCH(COLUMNS($AN$1006:AR1006),$AN$1006:$BO$1006,0))&gt;=100000), " ",IF(INDEX($AN$2:$BO$1001,MATCH(ROWS($AG$2:AG895),$AG$2:$AG$1001,0),MATCH(COLUMNS($AN$1006:AR1006),$AN$1006:$BO$1006,0)), HYPERLINK("#",""), HYPERLINK(CONCATENATE("#Metadata!", ADDRESS(INDEX($AI$2:$AI$1001,MATCH(ROWS($AG$2:AG895),$AG$2:$AG$1001,0),0), INDEX($AN$1004:$BO$1004,1,MATCH(COLUMNS($AN$1006:AR1006),$AN$1006:$BO$1006,0)))),"Fix")))</f>
        <v>0</v>
      </c>
      <c r="G895" s="4">
        <f>IF(OR(INDEX($AH$2:$AH$1001,MATCH(ROWS($AG$2:AG895),$AG$2:$AG$1001,0),1)&gt;=100000,INDEX($AN$1005:$BO$1005,1,MATCH(COLUMNS($AN$1006:AS1006),$AN$1006:$BO$1006,0))&gt;=100000), " ",IF(INDEX($AN$2:$BO$1001,MATCH(ROWS($AG$2:AG895),$AG$2:$AG$1001,0),MATCH(COLUMNS($AN$1006:AS1006),$AN$1006:$BO$1006,0)), HYPERLINK("#",""), HYPERLINK(CONCATENATE("#Metadata!", ADDRESS(INDEX($AI$2:$AI$1001,MATCH(ROWS($AG$2:AG895),$AG$2:$AG$1001,0),0), INDEX($AN$1004:$BO$1004,1,MATCH(COLUMNS($AN$1006:AS1006),$AN$1006:$BO$1006,0)))),"Fix")))</f>
        <v>0</v>
      </c>
      <c r="H895" s="4">
        <f>IF(OR(INDEX($AH$2:$AH$1001,MATCH(ROWS($AG$2:AG895),$AG$2:$AG$1001,0),1)&gt;=100000,INDEX($AN$1005:$BO$1005,1,MATCH(COLUMNS($AN$1006:AT1006),$AN$1006:$BO$1006,0))&gt;=100000), " ",IF(INDEX($AN$2:$BO$1001,MATCH(ROWS($AG$2:AG895),$AG$2:$AG$1001,0),MATCH(COLUMNS($AN$1006:AT1006),$AN$1006:$BO$1006,0)), HYPERLINK("#",""), HYPERLINK(CONCATENATE("#Metadata!", ADDRESS(INDEX($AI$2:$AI$1001,MATCH(ROWS($AG$2:AG895),$AG$2:$AG$1001,0),0), INDEX($AN$1004:$BO$1004,1,MATCH(COLUMNS($AN$1006:AT1006),$AN$1006:$BO$1006,0)))),"Fix")))</f>
        <v>0</v>
      </c>
      <c r="I895" s="4">
        <f>IF(OR(INDEX($AH$2:$AH$1001,MATCH(ROWS($AG$2:AG895),$AG$2:$AG$1001,0),1)&gt;=100000,INDEX($AN$1005:$BO$1005,1,MATCH(COLUMNS($AN$1006:AU1006),$AN$1006:$BO$1006,0))&gt;=100000), " ",IF(INDEX($AN$2:$BO$1001,MATCH(ROWS($AG$2:AG895),$AG$2:$AG$1001,0),MATCH(COLUMNS($AN$1006:AU1006),$AN$1006:$BO$1006,0)), HYPERLINK("#",""), HYPERLINK(CONCATENATE("#Metadata!", ADDRESS(INDEX($AI$2:$AI$1001,MATCH(ROWS($AG$2:AG895),$AG$2:$AG$1001,0),0), INDEX($AN$1004:$BO$1004,1,MATCH(COLUMNS($AN$1006:AU1006),$AN$1006:$BO$1006,0)))),"Fix")))</f>
        <v>0</v>
      </c>
      <c r="J895" s="4">
        <f>IF(OR(INDEX($AH$2:$AH$1001,MATCH(ROWS($AG$2:AG895),$AG$2:$AG$1001,0),1)&gt;=100000,INDEX($AN$1005:$BO$1005,1,MATCH(COLUMNS($AN$1006:AV1006),$AN$1006:$BO$1006,0))&gt;=100000), " ",IF(INDEX($AN$2:$BO$1001,MATCH(ROWS($AG$2:AG895),$AG$2:$AG$1001,0),MATCH(COLUMNS($AN$1006:AV1006),$AN$1006:$BO$1006,0)), HYPERLINK("#",""), HYPERLINK(CONCATENATE("#Metadata!", ADDRESS(INDEX($AI$2:$AI$1001,MATCH(ROWS($AG$2:AG895),$AG$2:$AG$1001,0),0), INDEX($AN$1004:$BO$1004,1,MATCH(COLUMNS($AN$1006:AV1006),$AN$1006:$BO$1006,0)))),"Fix")))</f>
        <v>0</v>
      </c>
      <c r="K895" s="4">
        <f>IF(OR(INDEX($AH$2:$AH$1001,MATCH(ROWS($AG$2:AG895),$AG$2:$AG$1001,0),1)&gt;=100000,INDEX($AN$1005:$BO$1005,1,MATCH(COLUMNS($AN$1006:AW1006),$AN$1006:$BO$1006,0))&gt;=100000), " ",IF(INDEX($AN$2:$BO$1001,MATCH(ROWS($AG$2:AG895),$AG$2:$AG$1001,0),MATCH(COLUMNS($AN$1006:AW1006),$AN$1006:$BO$1006,0)), HYPERLINK("#",""), HYPERLINK(CONCATENATE("#Metadata!", ADDRESS(INDEX($AI$2:$AI$1001,MATCH(ROWS($AG$2:AG895),$AG$2:$AG$1001,0),0), INDEX($AN$1004:$BO$1004,1,MATCH(COLUMNS($AN$1006:AW1006),$AN$1006:$BO$1006,0)))),"Fix")))</f>
        <v>0</v>
      </c>
      <c r="L895" s="4">
        <f>IF(OR(INDEX($AH$2:$AH$1001,MATCH(ROWS($AG$2:AG895),$AG$2:$AG$1001,0),1)&gt;=100000,INDEX($AN$1005:$BO$1005,1,MATCH(COLUMNS($AN$1006:AX1006),$AN$1006:$BO$1006,0))&gt;=100000), " ",IF(INDEX($AN$2:$BO$1001,MATCH(ROWS($AG$2:AG895),$AG$2:$AG$1001,0),MATCH(COLUMNS($AN$1006:AX1006),$AN$1006:$BO$1006,0)), HYPERLINK("#",""), HYPERLINK(CONCATENATE("#Metadata!", ADDRESS(INDEX($AI$2:$AI$1001,MATCH(ROWS($AG$2:AG895),$AG$2:$AG$1001,0),0), INDEX($AN$1004:$BO$1004,1,MATCH(COLUMNS($AN$1006:AX1006),$AN$1006:$BO$1006,0)))),"Fix")))</f>
        <v>0</v>
      </c>
      <c r="M895" s="4">
        <f>IF(OR(INDEX($AH$2:$AH$1001,MATCH(ROWS($AG$2:AG895),$AG$2:$AG$1001,0),1)&gt;=100000,INDEX($AN$1005:$BO$1005,1,MATCH(COLUMNS($AN$1006:AY1006),$AN$1006:$BO$1006,0))&gt;=100000), " ",IF(INDEX($AN$2:$BO$1001,MATCH(ROWS($AG$2:AG895),$AG$2:$AG$1001,0),MATCH(COLUMNS($AN$1006:AY1006),$AN$1006:$BO$1006,0)), HYPERLINK("#",""), HYPERLINK(CONCATENATE("#Metadata!", ADDRESS(INDEX($AI$2:$AI$1001,MATCH(ROWS($AG$2:AG895),$AG$2:$AG$1001,0),0), INDEX($AN$1004:$BO$1004,1,MATCH(COLUMNS($AN$1006:AY1006),$AN$1006:$BO$1006,0)))),"Fix")))</f>
        <v>0</v>
      </c>
      <c r="N895" s="4">
        <f>IF(OR(INDEX($AH$2:$AH$1001,MATCH(ROWS($AG$2:AG895),$AG$2:$AG$1001,0),1)&gt;=100000,INDEX($AN$1005:$BO$1005,1,MATCH(COLUMNS($AN$1006:AZ1006),$AN$1006:$BO$1006,0))&gt;=100000), " ",IF(INDEX($AN$2:$BO$1001,MATCH(ROWS($AG$2:AG895),$AG$2:$AG$1001,0),MATCH(COLUMNS($AN$1006:AZ1006),$AN$1006:$BO$1006,0)), HYPERLINK("#",""), HYPERLINK(CONCATENATE("#Metadata!", ADDRESS(INDEX($AI$2:$AI$1001,MATCH(ROWS($AG$2:AG895),$AG$2:$AG$1001,0),0), INDEX($AN$1004:$BO$1004,1,MATCH(COLUMNS($AN$1006:AZ1006),$AN$1006:$BO$1006,0)))),"Fix")))</f>
        <v>0</v>
      </c>
      <c r="O895" s="4">
        <f>IF(OR(INDEX($AH$2:$AH$1001,MATCH(ROWS($AG$2:AG895),$AG$2:$AG$1001,0),1)&gt;=100000,INDEX($AN$1005:$BO$1005,1,MATCH(COLUMNS($AN$1006:BA1006),$AN$1006:$BO$1006,0))&gt;=100000), " ",IF(INDEX($AN$2:$BO$1001,MATCH(ROWS($AG$2:AG895),$AG$2:$AG$1001,0),MATCH(COLUMNS($AN$1006:BA1006),$AN$1006:$BO$1006,0)), HYPERLINK("#",""), HYPERLINK(CONCATENATE("#Metadata!", ADDRESS(INDEX($AI$2:$AI$1001,MATCH(ROWS($AG$2:AG895),$AG$2:$AG$1001,0),0), INDEX($AN$1004:$BO$1004,1,MATCH(COLUMNS($AN$1006:BA1006),$AN$1006:$BO$1006,0)))),"Fix")))</f>
        <v>0</v>
      </c>
      <c r="P895" s="4">
        <f>IF(OR(INDEX($AH$2:$AH$1001,MATCH(ROWS($AG$2:AG895),$AG$2:$AG$1001,0),1)&gt;=100000,INDEX($AN$1005:$BO$1005,1,MATCH(COLUMNS($AN$1006:BB1006),$AN$1006:$BO$1006,0))&gt;=100000), " ",IF(INDEX($AN$2:$BO$1001,MATCH(ROWS($AG$2:AG895),$AG$2:$AG$1001,0),MATCH(COLUMNS($AN$1006:BB1006),$AN$1006:$BO$1006,0)), HYPERLINK("#",""), HYPERLINK(CONCATENATE("#Metadata!", ADDRESS(INDEX($AI$2:$AI$1001,MATCH(ROWS($AG$2:AG895),$AG$2:$AG$1001,0),0), INDEX($AN$1004:$BO$1004,1,MATCH(COLUMNS($AN$1006:BB1006),$AN$1006:$BO$1006,0)))),"Fix")))</f>
        <v>0</v>
      </c>
      <c r="Q895" s="4">
        <f>IF(OR(INDEX($AH$2:$AH$1001,MATCH(ROWS($AG$2:AG895),$AG$2:$AG$1001,0),1)&gt;=100000,INDEX($AN$1005:$BO$1005,1,MATCH(COLUMNS($AN$1006:BC1006),$AN$1006:$BO$1006,0))&gt;=100000), " ",IF(INDEX($AN$2:$BO$1001,MATCH(ROWS($AG$2:AG895),$AG$2:$AG$1001,0),MATCH(COLUMNS($AN$1006:BC1006),$AN$1006:$BO$1006,0)), HYPERLINK("#",""), HYPERLINK(CONCATENATE("#Metadata!", ADDRESS(INDEX($AI$2:$AI$1001,MATCH(ROWS($AG$2:AG895),$AG$2:$AG$1001,0),0), INDEX($AN$1004:$BO$1004,1,MATCH(COLUMNS($AN$1006:BC1006),$AN$1006:$BO$1006,0)))),"Fix")))</f>
        <v>0</v>
      </c>
      <c r="R895" s="4">
        <f>IF(OR(INDEX($AH$2:$AH$1001,MATCH(ROWS($AG$2:AG895),$AG$2:$AG$1001,0),1)&gt;=100000,INDEX($AN$1005:$BO$1005,1,MATCH(COLUMNS($AN$1006:BD1006),$AN$1006:$BO$1006,0))&gt;=100000), " ",IF(INDEX($AN$2:$BO$1001,MATCH(ROWS($AG$2:AG895),$AG$2:$AG$1001,0),MATCH(COLUMNS($AN$1006:BD1006),$AN$1006:$BO$1006,0)), HYPERLINK("#",""), HYPERLINK(CONCATENATE("#Metadata!", ADDRESS(INDEX($AI$2:$AI$1001,MATCH(ROWS($AG$2:AG895),$AG$2:$AG$1001,0),0), INDEX($AN$1004:$BO$1004,1,MATCH(COLUMNS($AN$1006:BD1006),$AN$1006:$BO$1006,0)))),"Fix")))</f>
        <v>0</v>
      </c>
      <c r="S895" s="4">
        <f>IF(OR(INDEX($AH$2:$AH$1001,MATCH(ROWS($AG$2:AG895),$AG$2:$AG$1001,0),1)&gt;=100000,INDEX($AN$1005:$BO$1005,1,MATCH(COLUMNS($AN$1006:BE1006),$AN$1006:$BO$1006,0))&gt;=100000), " ",IF(INDEX($AN$2:$BO$1001,MATCH(ROWS($AG$2:AG895),$AG$2:$AG$1001,0),MATCH(COLUMNS($AN$1006:BE1006),$AN$1006:$BO$1006,0)), HYPERLINK("#",""), HYPERLINK(CONCATENATE("#Metadata!", ADDRESS(INDEX($AI$2:$AI$1001,MATCH(ROWS($AG$2:AG895),$AG$2:$AG$1001,0),0), INDEX($AN$1004:$BO$1004,1,MATCH(COLUMNS($AN$1006:BE1006),$AN$1006:$BO$1006,0)))),"Fix")))</f>
        <v>0</v>
      </c>
      <c r="T895" s="4">
        <f>IF(OR(INDEX($AH$2:$AH$1001,MATCH(ROWS($AG$2:AG895),$AG$2:$AG$1001,0),1)&gt;=100000,INDEX($AN$1005:$BO$1005,1,MATCH(COLUMNS($AN$1006:BF1006),$AN$1006:$BO$1006,0))&gt;=100000), " ",IF(INDEX($AN$2:$BO$1001,MATCH(ROWS($AG$2:AG895),$AG$2:$AG$1001,0),MATCH(COLUMNS($AN$1006:BF1006),$AN$1006:$BO$1006,0)), HYPERLINK("#",""), HYPERLINK(CONCATENATE("#Metadata!", ADDRESS(INDEX($AI$2:$AI$1001,MATCH(ROWS($AG$2:AG895),$AG$2:$AG$1001,0),0), INDEX($AN$1004:$BO$1004,1,MATCH(COLUMNS($AN$1006:BF1006),$AN$1006:$BO$1006,0)))),"Fix")))</f>
        <v>0</v>
      </c>
      <c r="U895" s="4">
        <f>IF(OR(INDEX($AH$2:$AH$1001,MATCH(ROWS($AG$2:AG895),$AG$2:$AG$1001,0),1)&gt;=100000,INDEX($AN$1005:$BO$1005,1,MATCH(COLUMNS($AN$1006:BG1006),$AN$1006:$BO$1006,0))&gt;=100000), " ",IF(INDEX($AN$2:$BO$1001,MATCH(ROWS($AG$2:AG895),$AG$2:$AG$1001,0),MATCH(COLUMNS($AN$1006:BG1006),$AN$1006:$BO$1006,0)), HYPERLINK("#",""), HYPERLINK(CONCATENATE("#Metadata!", ADDRESS(INDEX($AI$2:$AI$1001,MATCH(ROWS($AG$2:AG895),$AG$2:$AG$1001,0),0), INDEX($AN$1004:$BO$1004,1,MATCH(COLUMNS($AN$1006:BG1006),$AN$1006:$BO$1006,0)))),"Fix")))</f>
        <v>0</v>
      </c>
      <c r="V895" s="4">
        <f>IF(OR(INDEX($AH$2:$AH$1001,MATCH(ROWS($AG$2:AG895),$AG$2:$AG$1001,0),1)&gt;=100000,INDEX($AN$1005:$BO$1005,1,MATCH(COLUMNS($AN$1006:BH1006),$AN$1006:$BO$1006,0))&gt;=100000), " ",IF(INDEX($AN$2:$BO$1001,MATCH(ROWS($AG$2:AG895),$AG$2:$AG$1001,0),MATCH(COLUMNS($AN$1006:BH1006),$AN$1006:$BO$1006,0)), HYPERLINK("#",""), HYPERLINK(CONCATENATE("#Metadata!", ADDRESS(INDEX($AI$2:$AI$1001,MATCH(ROWS($AG$2:AG895),$AG$2:$AG$1001,0),0), INDEX($AN$1004:$BO$1004,1,MATCH(COLUMNS($AN$1006:BH1006),$AN$1006:$BO$1006,0)))),"Fix")))</f>
        <v>0</v>
      </c>
      <c r="W895" s="4">
        <f>IF(OR(INDEX($AH$2:$AH$1001,MATCH(ROWS($AG$2:AG895),$AG$2:$AG$1001,0),1)&gt;=100000,INDEX($AN$1005:$BO$1005,1,MATCH(COLUMNS($AN$1006:BI1006),$AN$1006:$BO$1006,0))&gt;=100000), " ",IF(INDEX($AN$2:$BO$1001,MATCH(ROWS($AG$2:AG895),$AG$2:$AG$1001,0),MATCH(COLUMNS($AN$1006:BI1006),$AN$1006:$BO$1006,0)), HYPERLINK("#",""), HYPERLINK(CONCATENATE("#Metadata!", ADDRESS(INDEX($AI$2:$AI$1001,MATCH(ROWS($AG$2:AG895),$AG$2:$AG$1001,0),0), INDEX($AN$1004:$BO$1004,1,MATCH(COLUMNS($AN$1006:BI1006),$AN$1006:$BO$1006,0)))),"Fix")))</f>
        <v>0</v>
      </c>
      <c r="X895" s="4">
        <f>IF(OR(INDEX($AH$2:$AH$1001,MATCH(ROWS($AG$2:AG895),$AG$2:$AG$1001,0),1)&gt;=100000,INDEX($AN$1005:$BO$1005,1,MATCH(COLUMNS($AN$1006:BJ1006),$AN$1006:$BO$1006,0))&gt;=100000), " ",IF(INDEX($AN$2:$BO$1001,MATCH(ROWS($AG$2:AG895),$AG$2:$AG$1001,0),MATCH(COLUMNS($AN$1006:BJ1006),$AN$1006:$BO$1006,0)), HYPERLINK("#",""), HYPERLINK(CONCATENATE("#Metadata!", ADDRESS(INDEX($AI$2:$AI$1001,MATCH(ROWS($AG$2:AG895),$AG$2:$AG$1001,0),0), INDEX($AN$1004:$BO$1004,1,MATCH(COLUMNS($AN$1006:BJ1006),$AN$1006:$BO$1006,0)))),"Fix")))</f>
        <v>0</v>
      </c>
      <c r="Y895" s="4">
        <f>IF(OR(INDEX($AH$2:$AH$1001,MATCH(ROWS($AG$2:AG895),$AG$2:$AG$1001,0),1)&gt;=100000,INDEX($AN$1005:$BO$1005,1,MATCH(COLUMNS($AN$1006:BK1006),$AN$1006:$BO$1006,0))&gt;=100000), " ",IF(INDEX($AN$2:$BO$1001,MATCH(ROWS($AG$2:AG895),$AG$2:$AG$1001,0),MATCH(COLUMNS($AN$1006:BK1006),$AN$1006:$BO$1006,0)), HYPERLINK("#",""), HYPERLINK(CONCATENATE("#Metadata!", ADDRESS(INDEX($AI$2:$AI$1001,MATCH(ROWS($AG$2:AG895),$AG$2:$AG$1001,0),0), INDEX($AN$1004:$BO$1004,1,MATCH(COLUMNS($AN$1006:BK1006),$AN$1006:$BO$1006,0)))),"Fix")))</f>
        <v>0</v>
      </c>
      <c r="Z895" s="4">
        <f>IF(OR(INDEX($AH$2:$AH$1001,MATCH(ROWS($AG$2:AG895),$AG$2:$AG$1001,0),1)&gt;=100000,INDEX($AN$1005:$BO$1005,1,MATCH(COLUMNS($AN$1006:BL1006),$AN$1006:$BO$1006,0))&gt;=100000), " ",IF(INDEX($AN$2:$BO$1001,MATCH(ROWS($AG$2:AG895),$AG$2:$AG$1001,0),MATCH(COLUMNS($AN$1006:BL1006),$AN$1006:$BO$1006,0)), HYPERLINK("#",""), HYPERLINK(CONCATENATE("#Metadata!", ADDRESS(INDEX($AI$2:$AI$1001,MATCH(ROWS($AG$2:AG895),$AG$2:$AG$1001,0),0), INDEX($AN$1004:$BO$1004,1,MATCH(COLUMNS($AN$1006:BL1006),$AN$1006:$BO$1006,0)))),"Fix")))</f>
        <v>0</v>
      </c>
      <c r="AA895" s="4">
        <f>IF(OR(INDEX($AH$2:$AH$1001,MATCH(ROWS($AG$2:AG895),$AG$2:$AG$1001,0),1)&gt;=100000,INDEX($AN$1005:$BO$1005,1,MATCH(COLUMNS($AN$1006:BM1006),$AN$1006:$BO$1006,0))&gt;=100000), " ",IF(INDEX($AN$2:$BO$1001,MATCH(ROWS($AG$2:AG895),$AG$2:$AG$1001,0),MATCH(COLUMNS($AN$1006:BM1006),$AN$1006:$BO$1006,0)), HYPERLINK("#",""), HYPERLINK(CONCATENATE("#Metadata!", ADDRESS(INDEX($AI$2:$AI$1001,MATCH(ROWS($AG$2:AG895),$AG$2:$AG$1001,0),0), INDEX($AN$1004:$BO$1004,1,MATCH(COLUMNS($AN$1006:BM1006),$AN$1006:$BO$1006,0)))),"Fix")))</f>
        <v>0</v>
      </c>
      <c r="AB895" s="4">
        <f>IF(OR(INDEX($AH$2:$AH$1001,MATCH(ROWS($AG$2:AG895),$AG$2:$AG$1001,0),1)&gt;=100000,INDEX($AN$1005:$BO$1005,1,MATCH(COLUMNS($AN$1006:BN1006),$AN$1006:$BO$1006,0))&gt;=100000), " ",IF(INDEX($AN$2:$BO$1001,MATCH(ROWS($AG$2:AG895),$AG$2:$AG$1001,0),MATCH(COLUMNS($AN$1006:BN1006),$AN$1006:$BO$1006,0)), HYPERLINK("#",""), HYPERLINK(CONCATENATE("#Metadata!", ADDRESS(INDEX($AI$2:$AI$1001,MATCH(ROWS($AG$2:AG895),$AG$2:$AG$1001,0),0), INDEX($AN$1004:$BO$1004,1,MATCH(COLUMNS($AN$1006:BN1006),$AN$1006:$BO$1006,0)))),"Fix")))</f>
        <v>0</v>
      </c>
      <c r="AC895" s="4">
        <f>IF(OR(INDEX($AH$2:$AH$1001,MATCH(ROWS($AG$2:AG895),$AG$2:$AG$1001,0),1)&gt;=100000,INDEX($AN$1005:$BO$1005,1,MATCH(COLUMNS($AN$1006:BO1006),$AN$1006:$BO$1006,0))&gt;=100000), " ",IF(INDEX($AN$2:$BO$1001,MATCH(ROWS($AG$2:AG895),$AG$2:$AG$1001,0),MATCH(COLUMNS($AN$1006:BO1006),$AN$1006:$BO$1006,0)), HYPERLINK("#",""), HYPERLINK(CONCATENATE("#Metadata!", ADDRESS(INDEX($AI$2:$AI$1001,MATCH(ROWS($AG$2:AG895),$AG$2:$AG$1001,0),0), INDEX($AN$1004:$BO$1004,1,MATCH(COLUMNS($AN$1006:BO1006),$AN$1006:$BO$1006,0)))),"Fix")))</f>
        <v>0</v>
      </c>
      <c r="AG895">
        <v>0</v>
      </c>
      <c r="AH895">
        <v>0</v>
      </c>
      <c r="AI895">
        <v>0</v>
      </c>
      <c r="AJ895">
        <f>IF(AK895,TRUE,AND(AN895:BO895))</f>
        <v>0</v>
      </c>
      <c r="AK895">
        <f>COUNTBLANK(Metadata!B895:AC895)=COLUMNS(Metadata!B895:AC895)</f>
        <v>0</v>
      </c>
      <c r="AL895">
        <v>0</v>
      </c>
      <c r="AN895">
        <f>AND(IF(Metadata!B895="",FALSE,TRUE),COUNTIF(Metadata!B:B, Metadata!B895) = 1,NOT(ISERROR(SUMPRODUCT(SEARCH(MID(Metadata!B895,ROW(INDIRECT("1:"&amp;LEN(Metadata!B895))), 1),"0123456789abcdefghijklmnopqrstuvwxyzABCDEFGHIJKLMNOPQRSTUVWXYZ.")))))</f>
        <v>0</v>
      </c>
      <c r="AO895">
        <f>IF(Metadata!C895="",FALSE,TRUE)</f>
        <v>0</v>
      </c>
      <c r="AP895">
        <f>IF(Metadata!D895="",FALSE,TRUE)</f>
        <v>0</v>
      </c>
      <c r="AQ895">
        <f>OR(AND(IF(Metadata!E895="",FALSE,TRUE),OR(exact(Metadata!E895,"not collected"),exact(Metadata!E895,"not provided"),exact(Metadata!E895,"restricted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R895">
        <f>IF(Metadata!F895="",FALSE,TRUE)</f>
        <v>0</v>
      </c>
      <c r="AS895">
        <f>OR(AND(IF(Metadata!G895="",FALSE,TRUE),OR(exact(Metadata!G895,"not collected"),exact(Metadata!G895,"not provided"))),AND(IF(Metadata!G895="",FALSE,TRUE),OR(exact(Metadata!G895,"TRUE"),exact(Metadata!G895,"FALSE"))))</f>
        <v>0</v>
      </c>
      <c r="AT895">
        <f>OR(AND(IF(Metadata!H895="",FALSE,TRUE),OR(exact(Metadata!H895,"not collected"),exact(Metadata!H895,"not provided"),exact(Metadata!H895,"restricted access"))),AND(IF(Metadata!H895="",FALSE,ISNUMBER(VALUE(Metadata!H895))),Metadata!H895&gt;=-413.0))</f>
        <v>0</v>
      </c>
      <c r="AU895">
        <f>AND(IF(Metadata!I895="",FALSE,TRUE),exact(Metadata!I895,"meters"))</f>
        <v>0</v>
      </c>
      <c r="AV895">
        <f>AND(IF(Metadata!J895="",FALSE,TRUE),OR(exact(Metadata!J895,"Host-associated"),exact(Metadata!J895,"Free-living")))</f>
        <v>0</v>
      </c>
      <c r="AW895">
        <f>AND(IF(Metadata!K895="",FALSE,TRUE),OR(exact(Metadata!K895,"Animal"),exact(Metadata!K895,"Fungus"),exact(Metadata!K895,"Plant"),exact(Metadata!K895,"Saline"),exact(Metadata!K895,"Non-saline")))</f>
        <v>0</v>
      </c>
      <c r="AX895">
        <f>AND(IF(Metadata!L895="",FALSE,TRUE),OR(exact(Metadata!L895,"Plant secretion"),exact(Metadata!L895,"Plant rhizosphere"),exact(Metadata!L895,"Plant surface"),exact(Metadata!L895,"Plant corpus"),exact(Metadata!L895,"Fungus surface"),exact(Metadata!L895,"Fungus corpus"),exact(Metadata!L895,"Animal surface"),exact(Metadata!L895,"Animal proximal gut"),exact(Metadata!L895,"Animal corpus"),exact(Metadata!L895,"Animal distal gut"),exact(Metadata!L895,"Animal secretion"),exact(Metadata!L895,"Sub-surface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Y895">
        <f>IF(Metadata!M895="",FALSE,TRUE)</f>
        <v>0</v>
      </c>
      <c r="AZ895">
        <f>IF(Metadata!N895="",FALSE,TRUE)</f>
        <v>0</v>
      </c>
      <c r="BA895">
        <f>IF(Metadata!O895="",FALSE,TRUE)</f>
        <v>0</v>
      </c>
      <c r="BB895">
        <f>OR(AND(IF(Metadata!P895="",FALSE,TRUE),OR(exact(Metadata!P895,"not collected"),exact(Metadata!P895,"not provided"),exact(Metadata!P895,"restricted access"))),AND(IF(Metadata!P895="",FALSE,TRUE),OR(exact(Metadata!P895,"air"),exact(Metadata!P895,"built environment"),exact(Metadata!P895,"host-associated"),exact(Metadata!P895,"human-associated"),exact(Metadata!P895,"human-skin"),exact(Metadata!P895,"human-oral"),exact(Metadata!P895,"human-gut"),exact(Metadata!P895,"human-vaginal"),exact(Metadata!P895,"microbial mat/biofilm"),exact(Metadata!P895,"misc environment"),exact(Metadata!P895,"plant-associated"),exact(Metadata!P895,"sediment"),exact(Metadata!P895,"soil"),exact(Metadata!P895,"wastewater/sludge"),exact(Metadata!P895,"water"))))</f>
        <v>0</v>
      </c>
      <c r="BC895">
        <f>IF(Metadata!Q895="",FALSE,TRUE)</f>
        <v>0</v>
      </c>
      <c r="BD895">
        <f>IF(Metadata!R895="",FALSE,TRUE)</f>
        <v>0</v>
      </c>
      <c r="BE895">
        <f>OR(AND(IF(Metadata!S895="",FALSE,TRUE),OR(exact(Metadata!S895,"not collected"),exact(Metadata!S895,"not provided"),exact(Metadata!S895,"restricted access"))),AND(IF(Metadata!S895="",FALSE,ISNUMBER(VALUE(Metadata!S895))),Metadata!S895&gt;=-90.00,Metadata!S895&lt;=90.00))</f>
        <v>0</v>
      </c>
      <c r="BF895">
        <f>AND(IF(Metadata!T895="",FALSE,TRUE),exact(Metadata!T895,"Decimal degrees"))</f>
        <v>0</v>
      </c>
      <c r="BG895">
        <f>OR(AND(IF(Metadata!U895="",FALSE,TRUE),OR(exact(Metadata!U895,"not collected"),exact(Metadata!U895,"not provided"),exact(Metadata!U895,"restricted access"))),AND(IF(Metadata!U895="",FALSE,ISNUMBER(VALUE(Metadata!U895))),Metadata!U895&gt;=-180.00,Metadata!U895&lt;=180.00))</f>
        <v>0</v>
      </c>
      <c r="BH895">
        <f>AND(IF(Metadata!V895="",FALSE,TRUE),exact(Metadata!V895,"Decimal degrees"))</f>
        <v>0</v>
      </c>
      <c r="BI895">
        <f>IF(Metadata!W895="",FALSE,TRUE)</f>
        <v>0</v>
      </c>
      <c r="BJ895">
        <f>OR(AND(IF(Metadata!X895="",FALSE,TRUE),OR(exact(Metadata!X895,"not collected"),exact(Metadata!X895,"not provided"),exact(Metadata!X895,"restricted access"))),AND(IF(Metadata!X895="",FALSE,TRUE),OR(exact(Metadata!X895,"TRUE"),exact(Metadata!X895,"FALSE"))))</f>
        <v>0</v>
      </c>
      <c r="BK895">
        <f>AND(IF(Metadata!Y895="",FALSE,TRUE),exact(Metadata!Y895,"other"))</f>
        <v>0</v>
      </c>
      <c r="BL895">
        <f>IF(Metadata!Z895="",FALSE,TRUE)</f>
        <v>0</v>
      </c>
      <c r="BM895">
        <f>OR(AND(IF(Metadata!AA895="",FALSE,TRUE),OR(exact(Metadata!AA895,"not collected"),exact(Metadata!AA895,"not provided"))),AND(IF(Metadata!AA895="",FALSE,IF(ISERROR(INT(Metadata!AA895)),FALSE,INT(Metadata!AA895)=Metadata!AA895)),Metadata!AA895&gt;0))</f>
        <v>0</v>
      </c>
      <c r="BN895">
        <f>AND(IF(Metadata!AB895="",FALSE,TRUE),exact(Metadata!AB895,"Not applicable"))</f>
        <v>0</v>
      </c>
      <c r="BO895">
        <f>IF(Metadata!AC895="",FALSE,TRUE)</f>
        <v>0</v>
      </c>
    </row>
    <row r="896" spans="1:67">
      <c r="A896" s="5">
        <f>IF(B896=" "," ",HYPERLINK(CONCATENATE("#metadata!",ADDRESS(INDEX($AI$2:$AI$1001,MATCH(ROWS($AG$2:AG896),$AG$2:$AG$1001,0),0),1)),INDEX($AL$2:$AL$1001,MATCH(ROWS($AG$2:AG896),$AG$2:$AG$1001,0),0)))</f>
        <v>0</v>
      </c>
      <c r="B896" s="4">
        <f>IF(OR(INDEX($AH$2:$AH$1001,MATCH(ROWS($AG$2:AG896),$AG$2:$AG$1001,0),1)&gt;=100000,INDEX($AN$1005:$BO$1005,1,MATCH(COLUMNS($AN$1006:AN1006),$AN$1006:$BO$1006,0))&gt;=100000), " ",IF(INDEX($AN$2:$BO$1001,MATCH(ROWS($AG$2:AG896),$AG$2:$AG$1001,0),MATCH(COLUMNS($AN$1006:AN1006),$AN$1006:$BO$1006,0)), HYPERLINK("#",""), HYPERLINK(CONCATENATE("#Metadata!", ADDRESS(INDEX($AI$2:$AI$1001,MATCH(ROWS($AG$2:AG896),$AG$2:$AG$1001,0),0), INDEX($AN$1004:$BO$1004,1,MATCH(COLUMNS($AN$1006:AN1006),$AN$1006:$BO$1006,0)))),"Fix")))</f>
        <v>0</v>
      </c>
      <c r="C896" s="4">
        <f>IF(OR(INDEX($AH$2:$AH$1001,MATCH(ROWS($AG$2:AG896),$AG$2:$AG$1001,0),1)&gt;=100000,INDEX($AN$1005:$BO$1005,1,MATCH(COLUMNS($AN$1006:AO1006),$AN$1006:$BO$1006,0))&gt;=100000), " ",IF(INDEX($AN$2:$BO$1001,MATCH(ROWS($AG$2:AG896),$AG$2:$AG$1001,0),MATCH(COLUMNS($AN$1006:AO1006),$AN$1006:$BO$1006,0)), HYPERLINK("#",""), HYPERLINK(CONCATENATE("#Metadata!", ADDRESS(INDEX($AI$2:$AI$1001,MATCH(ROWS($AG$2:AG896),$AG$2:$AG$1001,0),0), INDEX($AN$1004:$BO$1004,1,MATCH(COLUMNS($AN$1006:AO1006),$AN$1006:$BO$1006,0)))),"Fix")))</f>
        <v>0</v>
      </c>
      <c r="D896" s="4">
        <f>IF(OR(INDEX($AH$2:$AH$1001,MATCH(ROWS($AG$2:AG896),$AG$2:$AG$1001,0),1)&gt;=100000,INDEX($AN$1005:$BO$1005,1,MATCH(COLUMNS($AN$1006:AP1006),$AN$1006:$BO$1006,0))&gt;=100000), " ",IF(INDEX($AN$2:$BO$1001,MATCH(ROWS($AG$2:AG896),$AG$2:$AG$1001,0),MATCH(COLUMNS($AN$1006:AP1006),$AN$1006:$BO$1006,0)), HYPERLINK("#",""), HYPERLINK(CONCATENATE("#Metadata!", ADDRESS(INDEX($AI$2:$AI$1001,MATCH(ROWS($AG$2:AG896),$AG$2:$AG$1001,0),0), INDEX($AN$1004:$BO$1004,1,MATCH(COLUMNS($AN$1006:AP1006),$AN$1006:$BO$1006,0)))),"Fix")))</f>
        <v>0</v>
      </c>
      <c r="E896" s="4">
        <f>IF(OR(INDEX($AH$2:$AH$1001,MATCH(ROWS($AG$2:AG896),$AG$2:$AG$1001,0),1)&gt;=100000,INDEX($AN$1005:$BO$1005,1,MATCH(COLUMNS($AN$1006:AQ1006),$AN$1006:$BO$1006,0))&gt;=100000), " ",IF(INDEX($AN$2:$BO$1001,MATCH(ROWS($AG$2:AG896),$AG$2:$AG$1001,0),MATCH(COLUMNS($AN$1006:AQ1006),$AN$1006:$BO$1006,0)), HYPERLINK("#",""), HYPERLINK(CONCATENATE("#Metadata!", ADDRESS(INDEX($AI$2:$AI$1001,MATCH(ROWS($AG$2:AG896),$AG$2:$AG$1001,0),0), INDEX($AN$1004:$BO$1004,1,MATCH(COLUMNS($AN$1006:AQ1006),$AN$1006:$BO$1006,0)))),"Fix")))</f>
        <v>0</v>
      </c>
      <c r="F896" s="4">
        <f>IF(OR(INDEX($AH$2:$AH$1001,MATCH(ROWS($AG$2:AG896),$AG$2:$AG$1001,0),1)&gt;=100000,INDEX($AN$1005:$BO$1005,1,MATCH(COLUMNS($AN$1006:AR1006),$AN$1006:$BO$1006,0))&gt;=100000), " ",IF(INDEX($AN$2:$BO$1001,MATCH(ROWS($AG$2:AG896),$AG$2:$AG$1001,0),MATCH(COLUMNS($AN$1006:AR1006),$AN$1006:$BO$1006,0)), HYPERLINK("#",""), HYPERLINK(CONCATENATE("#Metadata!", ADDRESS(INDEX($AI$2:$AI$1001,MATCH(ROWS($AG$2:AG896),$AG$2:$AG$1001,0),0), INDEX($AN$1004:$BO$1004,1,MATCH(COLUMNS($AN$1006:AR1006),$AN$1006:$BO$1006,0)))),"Fix")))</f>
        <v>0</v>
      </c>
      <c r="G896" s="4">
        <f>IF(OR(INDEX($AH$2:$AH$1001,MATCH(ROWS($AG$2:AG896),$AG$2:$AG$1001,0),1)&gt;=100000,INDEX($AN$1005:$BO$1005,1,MATCH(COLUMNS($AN$1006:AS1006),$AN$1006:$BO$1006,0))&gt;=100000), " ",IF(INDEX($AN$2:$BO$1001,MATCH(ROWS($AG$2:AG896),$AG$2:$AG$1001,0),MATCH(COLUMNS($AN$1006:AS1006),$AN$1006:$BO$1006,0)), HYPERLINK("#",""), HYPERLINK(CONCATENATE("#Metadata!", ADDRESS(INDEX($AI$2:$AI$1001,MATCH(ROWS($AG$2:AG896),$AG$2:$AG$1001,0),0), INDEX($AN$1004:$BO$1004,1,MATCH(COLUMNS($AN$1006:AS1006),$AN$1006:$BO$1006,0)))),"Fix")))</f>
        <v>0</v>
      </c>
      <c r="H896" s="4">
        <f>IF(OR(INDEX($AH$2:$AH$1001,MATCH(ROWS($AG$2:AG896),$AG$2:$AG$1001,0),1)&gt;=100000,INDEX($AN$1005:$BO$1005,1,MATCH(COLUMNS($AN$1006:AT1006),$AN$1006:$BO$1006,0))&gt;=100000), " ",IF(INDEX($AN$2:$BO$1001,MATCH(ROWS($AG$2:AG896),$AG$2:$AG$1001,0),MATCH(COLUMNS($AN$1006:AT1006),$AN$1006:$BO$1006,0)), HYPERLINK("#",""), HYPERLINK(CONCATENATE("#Metadata!", ADDRESS(INDEX($AI$2:$AI$1001,MATCH(ROWS($AG$2:AG896),$AG$2:$AG$1001,0),0), INDEX($AN$1004:$BO$1004,1,MATCH(COLUMNS($AN$1006:AT1006),$AN$1006:$BO$1006,0)))),"Fix")))</f>
        <v>0</v>
      </c>
      <c r="I896" s="4">
        <f>IF(OR(INDEX($AH$2:$AH$1001,MATCH(ROWS($AG$2:AG896),$AG$2:$AG$1001,0),1)&gt;=100000,INDEX($AN$1005:$BO$1005,1,MATCH(COLUMNS($AN$1006:AU1006),$AN$1006:$BO$1006,0))&gt;=100000), " ",IF(INDEX($AN$2:$BO$1001,MATCH(ROWS($AG$2:AG896),$AG$2:$AG$1001,0),MATCH(COLUMNS($AN$1006:AU1006),$AN$1006:$BO$1006,0)), HYPERLINK("#",""), HYPERLINK(CONCATENATE("#Metadata!", ADDRESS(INDEX($AI$2:$AI$1001,MATCH(ROWS($AG$2:AG896),$AG$2:$AG$1001,0),0), INDEX($AN$1004:$BO$1004,1,MATCH(COLUMNS($AN$1006:AU1006),$AN$1006:$BO$1006,0)))),"Fix")))</f>
        <v>0</v>
      </c>
      <c r="J896" s="4">
        <f>IF(OR(INDEX($AH$2:$AH$1001,MATCH(ROWS($AG$2:AG896),$AG$2:$AG$1001,0),1)&gt;=100000,INDEX($AN$1005:$BO$1005,1,MATCH(COLUMNS($AN$1006:AV1006),$AN$1006:$BO$1006,0))&gt;=100000), " ",IF(INDEX($AN$2:$BO$1001,MATCH(ROWS($AG$2:AG896),$AG$2:$AG$1001,0),MATCH(COLUMNS($AN$1006:AV1006),$AN$1006:$BO$1006,0)), HYPERLINK("#",""), HYPERLINK(CONCATENATE("#Metadata!", ADDRESS(INDEX($AI$2:$AI$1001,MATCH(ROWS($AG$2:AG896),$AG$2:$AG$1001,0),0), INDEX($AN$1004:$BO$1004,1,MATCH(COLUMNS($AN$1006:AV1006),$AN$1006:$BO$1006,0)))),"Fix")))</f>
        <v>0</v>
      </c>
      <c r="K896" s="4">
        <f>IF(OR(INDEX($AH$2:$AH$1001,MATCH(ROWS($AG$2:AG896),$AG$2:$AG$1001,0),1)&gt;=100000,INDEX($AN$1005:$BO$1005,1,MATCH(COLUMNS($AN$1006:AW1006),$AN$1006:$BO$1006,0))&gt;=100000), " ",IF(INDEX($AN$2:$BO$1001,MATCH(ROWS($AG$2:AG896),$AG$2:$AG$1001,0),MATCH(COLUMNS($AN$1006:AW1006),$AN$1006:$BO$1006,0)), HYPERLINK("#",""), HYPERLINK(CONCATENATE("#Metadata!", ADDRESS(INDEX($AI$2:$AI$1001,MATCH(ROWS($AG$2:AG896),$AG$2:$AG$1001,0),0), INDEX($AN$1004:$BO$1004,1,MATCH(COLUMNS($AN$1006:AW1006),$AN$1006:$BO$1006,0)))),"Fix")))</f>
        <v>0</v>
      </c>
      <c r="L896" s="4">
        <f>IF(OR(INDEX($AH$2:$AH$1001,MATCH(ROWS($AG$2:AG896),$AG$2:$AG$1001,0),1)&gt;=100000,INDEX($AN$1005:$BO$1005,1,MATCH(COLUMNS($AN$1006:AX1006),$AN$1006:$BO$1006,0))&gt;=100000), " ",IF(INDEX($AN$2:$BO$1001,MATCH(ROWS($AG$2:AG896),$AG$2:$AG$1001,0),MATCH(COLUMNS($AN$1006:AX1006),$AN$1006:$BO$1006,0)), HYPERLINK("#",""), HYPERLINK(CONCATENATE("#Metadata!", ADDRESS(INDEX($AI$2:$AI$1001,MATCH(ROWS($AG$2:AG896),$AG$2:$AG$1001,0),0), INDEX($AN$1004:$BO$1004,1,MATCH(COLUMNS($AN$1006:AX1006),$AN$1006:$BO$1006,0)))),"Fix")))</f>
        <v>0</v>
      </c>
      <c r="M896" s="4">
        <f>IF(OR(INDEX($AH$2:$AH$1001,MATCH(ROWS($AG$2:AG896),$AG$2:$AG$1001,0),1)&gt;=100000,INDEX($AN$1005:$BO$1005,1,MATCH(COLUMNS($AN$1006:AY1006),$AN$1006:$BO$1006,0))&gt;=100000), " ",IF(INDEX($AN$2:$BO$1001,MATCH(ROWS($AG$2:AG896),$AG$2:$AG$1001,0),MATCH(COLUMNS($AN$1006:AY1006),$AN$1006:$BO$1006,0)), HYPERLINK("#",""), HYPERLINK(CONCATENATE("#Metadata!", ADDRESS(INDEX($AI$2:$AI$1001,MATCH(ROWS($AG$2:AG896),$AG$2:$AG$1001,0),0), INDEX($AN$1004:$BO$1004,1,MATCH(COLUMNS($AN$1006:AY1006),$AN$1006:$BO$1006,0)))),"Fix")))</f>
        <v>0</v>
      </c>
      <c r="N896" s="4">
        <f>IF(OR(INDEX($AH$2:$AH$1001,MATCH(ROWS($AG$2:AG896),$AG$2:$AG$1001,0),1)&gt;=100000,INDEX($AN$1005:$BO$1005,1,MATCH(COLUMNS($AN$1006:AZ1006),$AN$1006:$BO$1006,0))&gt;=100000), " ",IF(INDEX($AN$2:$BO$1001,MATCH(ROWS($AG$2:AG896),$AG$2:$AG$1001,0),MATCH(COLUMNS($AN$1006:AZ1006),$AN$1006:$BO$1006,0)), HYPERLINK("#",""), HYPERLINK(CONCATENATE("#Metadata!", ADDRESS(INDEX($AI$2:$AI$1001,MATCH(ROWS($AG$2:AG896),$AG$2:$AG$1001,0),0), INDEX($AN$1004:$BO$1004,1,MATCH(COLUMNS($AN$1006:AZ1006),$AN$1006:$BO$1006,0)))),"Fix")))</f>
        <v>0</v>
      </c>
      <c r="O896" s="4">
        <f>IF(OR(INDEX($AH$2:$AH$1001,MATCH(ROWS($AG$2:AG896),$AG$2:$AG$1001,0),1)&gt;=100000,INDEX($AN$1005:$BO$1005,1,MATCH(COLUMNS($AN$1006:BA1006),$AN$1006:$BO$1006,0))&gt;=100000), " ",IF(INDEX($AN$2:$BO$1001,MATCH(ROWS($AG$2:AG896),$AG$2:$AG$1001,0),MATCH(COLUMNS($AN$1006:BA1006),$AN$1006:$BO$1006,0)), HYPERLINK("#",""), HYPERLINK(CONCATENATE("#Metadata!", ADDRESS(INDEX($AI$2:$AI$1001,MATCH(ROWS($AG$2:AG896),$AG$2:$AG$1001,0),0), INDEX($AN$1004:$BO$1004,1,MATCH(COLUMNS($AN$1006:BA1006),$AN$1006:$BO$1006,0)))),"Fix")))</f>
        <v>0</v>
      </c>
      <c r="P896" s="4">
        <f>IF(OR(INDEX($AH$2:$AH$1001,MATCH(ROWS($AG$2:AG896),$AG$2:$AG$1001,0),1)&gt;=100000,INDEX($AN$1005:$BO$1005,1,MATCH(COLUMNS($AN$1006:BB1006),$AN$1006:$BO$1006,0))&gt;=100000), " ",IF(INDEX($AN$2:$BO$1001,MATCH(ROWS($AG$2:AG896),$AG$2:$AG$1001,0),MATCH(COLUMNS($AN$1006:BB1006),$AN$1006:$BO$1006,0)), HYPERLINK("#",""), HYPERLINK(CONCATENATE("#Metadata!", ADDRESS(INDEX($AI$2:$AI$1001,MATCH(ROWS($AG$2:AG896),$AG$2:$AG$1001,0),0), INDEX($AN$1004:$BO$1004,1,MATCH(COLUMNS($AN$1006:BB1006),$AN$1006:$BO$1006,0)))),"Fix")))</f>
        <v>0</v>
      </c>
      <c r="Q896" s="4">
        <f>IF(OR(INDEX($AH$2:$AH$1001,MATCH(ROWS($AG$2:AG896),$AG$2:$AG$1001,0),1)&gt;=100000,INDEX($AN$1005:$BO$1005,1,MATCH(COLUMNS($AN$1006:BC1006),$AN$1006:$BO$1006,0))&gt;=100000), " ",IF(INDEX($AN$2:$BO$1001,MATCH(ROWS($AG$2:AG896),$AG$2:$AG$1001,0),MATCH(COLUMNS($AN$1006:BC1006),$AN$1006:$BO$1006,0)), HYPERLINK("#",""), HYPERLINK(CONCATENATE("#Metadata!", ADDRESS(INDEX($AI$2:$AI$1001,MATCH(ROWS($AG$2:AG896),$AG$2:$AG$1001,0),0), INDEX($AN$1004:$BO$1004,1,MATCH(COLUMNS($AN$1006:BC1006),$AN$1006:$BO$1006,0)))),"Fix")))</f>
        <v>0</v>
      </c>
      <c r="R896" s="4">
        <f>IF(OR(INDEX($AH$2:$AH$1001,MATCH(ROWS($AG$2:AG896),$AG$2:$AG$1001,0),1)&gt;=100000,INDEX($AN$1005:$BO$1005,1,MATCH(COLUMNS($AN$1006:BD1006),$AN$1006:$BO$1006,0))&gt;=100000), " ",IF(INDEX($AN$2:$BO$1001,MATCH(ROWS($AG$2:AG896),$AG$2:$AG$1001,0),MATCH(COLUMNS($AN$1006:BD1006),$AN$1006:$BO$1006,0)), HYPERLINK("#",""), HYPERLINK(CONCATENATE("#Metadata!", ADDRESS(INDEX($AI$2:$AI$1001,MATCH(ROWS($AG$2:AG896),$AG$2:$AG$1001,0),0), INDEX($AN$1004:$BO$1004,1,MATCH(COLUMNS($AN$1006:BD1006),$AN$1006:$BO$1006,0)))),"Fix")))</f>
        <v>0</v>
      </c>
      <c r="S896" s="4">
        <f>IF(OR(INDEX($AH$2:$AH$1001,MATCH(ROWS($AG$2:AG896),$AG$2:$AG$1001,0),1)&gt;=100000,INDEX($AN$1005:$BO$1005,1,MATCH(COLUMNS($AN$1006:BE1006),$AN$1006:$BO$1006,0))&gt;=100000), " ",IF(INDEX($AN$2:$BO$1001,MATCH(ROWS($AG$2:AG896),$AG$2:$AG$1001,0),MATCH(COLUMNS($AN$1006:BE1006),$AN$1006:$BO$1006,0)), HYPERLINK("#",""), HYPERLINK(CONCATENATE("#Metadata!", ADDRESS(INDEX($AI$2:$AI$1001,MATCH(ROWS($AG$2:AG896),$AG$2:$AG$1001,0),0), INDEX($AN$1004:$BO$1004,1,MATCH(COLUMNS($AN$1006:BE1006),$AN$1006:$BO$1006,0)))),"Fix")))</f>
        <v>0</v>
      </c>
      <c r="T896" s="4">
        <f>IF(OR(INDEX($AH$2:$AH$1001,MATCH(ROWS($AG$2:AG896),$AG$2:$AG$1001,0),1)&gt;=100000,INDEX($AN$1005:$BO$1005,1,MATCH(COLUMNS($AN$1006:BF1006),$AN$1006:$BO$1006,0))&gt;=100000), " ",IF(INDEX($AN$2:$BO$1001,MATCH(ROWS($AG$2:AG896),$AG$2:$AG$1001,0),MATCH(COLUMNS($AN$1006:BF1006),$AN$1006:$BO$1006,0)), HYPERLINK("#",""), HYPERLINK(CONCATENATE("#Metadata!", ADDRESS(INDEX($AI$2:$AI$1001,MATCH(ROWS($AG$2:AG896),$AG$2:$AG$1001,0),0), INDEX($AN$1004:$BO$1004,1,MATCH(COLUMNS($AN$1006:BF1006),$AN$1006:$BO$1006,0)))),"Fix")))</f>
        <v>0</v>
      </c>
      <c r="U896" s="4">
        <f>IF(OR(INDEX($AH$2:$AH$1001,MATCH(ROWS($AG$2:AG896),$AG$2:$AG$1001,0),1)&gt;=100000,INDEX($AN$1005:$BO$1005,1,MATCH(COLUMNS($AN$1006:BG1006),$AN$1006:$BO$1006,0))&gt;=100000), " ",IF(INDEX($AN$2:$BO$1001,MATCH(ROWS($AG$2:AG896),$AG$2:$AG$1001,0),MATCH(COLUMNS($AN$1006:BG1006),$AN$1006:$BO$1006,0)), HYPERLINK("#",""), HYPERLINK(CONCATENATE("#Metadata!", ADDRESS(INDEX($AI$2:$AI$1001,MATCH(ROWS($AG$2:AG896),$AG$2:$AG$1001,0),0), INDEX($AN$1004:$BO$1004,1,MATCH(COLUMNS($AN$1006:BG1006),$AN$1006:$BO$1006,0)))),"Fix")))</f>
        <v>0</v>
      </c>
      <c r="V896" s="4">
        <f>IF(OR(INDEX($AH$2:$AH$1001,MATCH(ROWS($AG$2:AG896),$AG$2:$AG$1001,0),1)&gt;=100000,INDEX($AN$1005:$BO$1005,1,MATCH(COLUMNS($AN$1006:BH1006),$AN$1006:$BO$1006,0))&gt;=100000), " ",IF(INDEX($AN$2:$BO$1001,MATCH(ROWS($AG$2:AG896),$AG$2:$AG$1001,0),MATCH(COLUMNS($AN$1006:BH1006),$AN$1006:$BO$1006,0)), HYPERLINK("#",""), HYPERLINK(CONCATENATE("#Metadata!", ADDRESS(INDEX($AI$2:$AI$1001,MATCH(ROWS($AG$2:AG896),$AG$2:$AG$1001,0),0), INDEX($AN$1004:$BO$1004,1,MATCH(COLUMNS($AN$1006:BH1006),$AN$1006:$BO$1006,0)))),"Fix")))</f>
        <v>0</v>
      </c>
      <c r="W896" s="4">
        <f>IF(OR(INDEX($AH$2:$AH$1001,MATCH(ROWS($AG$2:AG896),$AG$2:$AG$1001,0),1)&gt;=100000,INDEX($AN$1005:$BO$1005,1,MATCH(COLUMNS($AN$1006:BI1006),$AN$1006:$BO$1006,0))&gt;=100000), " ",IF(INDEX($AN$2:$BO$1001,MATCH(ROWS($AG$2:AG896),$AG$2:$AG$1001,0),MATCH(COLUMNS($AN$1006:BI1006),$AN$1006:$BO$1006,0)), HYPERLINK("#",""), HYPERLINK(CONCATENATE("#Metadata!", ADDRESS(INDEX($AI$2:$AI$1001,MATCH(ROWS($AG$2:AG896),$AG$2:$AG$1001,0),0), INDEX($AN$1004:$BO$1004,1,MATCH(COLUMNS($AN$1006:BI1006),$AN$1006:$BO$1006,0)))),"Fix")))</f>
        <v>0</v>
      </c>
      <c r="X896" s="4">
        <f>IF(OR(INDEX($AH$2:$AH$1001,MATCH(ROWS($AG$2:AG896),$AG$2:$AG$1001,0),1)&gt;=100000,INDEX($AN$1005:$BO$1005,1,MATCH(COLUMNS($AN$1006:BJ1006),$AN$1006:$BO$1006,0))&gt;=100000), " ",IF(INDEX($AN$2:$BO$1001,MATCH(ROWS($AG$2:AG896),$AG$2:$AG$1001,0),MATCH(COLUMNS($AN$1006:BJ1006),$AN$1006:$BO$1006,0)), HYPERLINK("#",""), HYPERLINK(CONCATENATE("#Metadata!", ADDRESS(INDEX($AI$2:$AI$1001,MATCH(ROWS($AG$2:AG896),$AG$2:$AG$1001,0),0), INDEX($AN$1004:$BO$1004,1,MATCH(COLUMNS($AN$1006:BJ1006),$AN$1006:$BO$1006,0)))),"Fix")))</f>
        <v>0</v>
      </c>
      <c r="Y896" s="4">
        <f>IF(OR(INDEX($AH$2:$AH$1001,MATCH(ROWS($AG$2:AG896),$AG$2:$AG$1001,0),1)&gt;=100000,INDEX($AN$1005:$BO$1005,1,MATCH(COLUMNS($AN$1006:BK1006),$AN$1006:$BO$1006,0))&gt;=100000), " ",IF(INDEX($AN$2:$BO$1001,MATCH(ROWS($AG$2:AG896),$AG$2:$AG$1001,0),MATCH(COLUMNS($AN$1006:BK1006),$AN$1006:$BO$1006,0)), HYPERLINK("#",""), HYPERLINK(CONCATENATE("#Metadata!", ADDRESS(INDEX($AI$2:$AI$1001,MATCH(ROWS($AG$2:AG896),$AG$2:$AG$1001,0),0), INDEX($AN$1004:$BO$1004,1,MATCH(COLUMNS($AN$1006:BK1006),$AN$1006:$BO$1006,0)))),"Fix")))</f>
        <v>0</v>
      </c>
      <c r="Z896" s="4">
        <f>IF(OR(INDEX($AH$2:$AH$1001,MATCH(ROWS($AG$2:AG896),$AG$2:$AG$1001,0),1)&gt;=100000,INDEX($AN$1005:$BO$1005,1,MATCH(COLUMNS($AN$1006:BL1006),$AN$1006:$BO$1006,0))&gt;=100000), " ",IF(INDEX($AN$2:$BO$1001,MATCH(ROWS($AG$2:AG896),$AG$2:$AG$1001,0),MATCH(COLUMNS($AN$1006:BL1006),$AN$1006:$BO$1006,0)), HYPERLINK("#",""), HYPERLINK(CONCATENATE("#Metadata!", ADDRESS(INDEX($AI$2:$AI$1001,MATCH(ROWS($AG$2:AG896),$AG$2:$AG$1001,0),0), INDEX($AN$1004:$BO$1004,1,MATCH(COLUMNS($AN$1006:BL1006),$AN$1006:$BO$1006,0)))),"Fix")))</f>
        <v>0</v>
      </c>
      <c r="AA896" s="4">
        <f>IF(OR(INDEX($AH$2:$AH$1001,MATCH(ROWS($AG$2:AG896),$AG$2:$AG$1001,0),1)&gt;=100000,INDEX($AN$1005:$BO$1005,1,MATCH(COLUMNS($AN$1006:BM1006),$AN$1006:$BO$1006,0))&gt;=100000), " ",IF(INDEX($AN$2:$BO$1001,MATCH(ROWS($AG$2:AG896),$AG$2:$AG$1001,0),MATCH(COLUMNS($AN$1006:BM1006),$AN$1006:$BO$1006,0)), HYPERLINK("#",""), HYPERLINK(CONCATENATE("#Metadata!", ADDRESS(INDEX($AI$2:$AI$1001,MATCH(ROWS($AG$2:AG896),$AG$2:$AG$1001,0),0), INDEX($AN$1004:$BO$1004,1,MATCH(COLUMNS($AN$1006:BM1006),$AN$1006:$BO$1006,0)))),"Fix")))</f>
        <v>0</v>
      </c>
      <c r="AB896" s="4">
        <f>IF(OR(INDEX($AH$2:$AH$1001,MATCH(ROWS($AG$2:AG896),$AG$2:$AG$1001,0),1)&gt;=100000,INDEX($AN$1005:$BO$1005,1,MATCH(COLUMNS($AN$1006:BN1006),$AN$1006:$BO$1006,0))&gt;=100000), " ",IF(INDEX($AN$2:$BO$1001,MATCH(ROWS($AG$2:AG896),$AG$2:$AG$1001,0),MATCH(COLUMNS($AN$1006:BN1006),$AN$1006:$BO$1006,0)), HYPERLINK("#",""), HYPERLINK(CONCATENATE("#Metadata!", ADDRESS(INDEX($AI$2:$AI$1001,MATCH(ROWS($AG$2:AG896),$AG$2:$AG$1001,0),0), INDEX($AN$1004:$BO$1004,1,MATCH(COLUMNS($AN$1006:BN1006),$AN$1006:$BO$1006,0)))),"Fix")))</f>
        <v>0</v>
      </c>
      <c r="AC896" s="4">
        <f>IF(OR(INDEX($AH$2:$AH$1001,MATCH(ROWS($AG$2:AG896),$AG$2:$AG$1001,0),1)&gt;=100000,INDEX($AN$1005:$BO$1005,1,MATCH(COLUMNS($AN$1006:BO1006),$AN$1006:$BO$1006,0))&gt;=100000), " ",IF(INDEX($AN$2:$BO$1001,MATCH(ROWS($AG$2:AG896),$AG$2:$AG$1001,0),MATCH(COLUMNS($AN$1006:BO1006),$AN$1006:$BO$1006,0)), HYPERLINK("#",""), HYPERLINK(CONCATENATE("#Metadata!", ADDRESS(INDEX($AI$2:$AI$1001,MATCH(ROWS($AG$2:AG896),$AG$2:$AG$1001,0),0), INDEX($AN$1004:$BO$1004,1,MATCH(COLUMNS($AN$1006:BO1006),$AN$1006:$BO$1006,0)))),"Fix")))</f>
        <v>0</v>
      </c>
      <c r="AG896">
        <v>0</v>
      </c>
      <c r="AH896">
        <v>0</v>
      </c>
      <c r="AI896">
        <v>0</v>
      </c>
      <c r="AJ896">
        <f>IF(AK896,TRUE,AND(AN896:BO896))</f>
        <v>0</v>
      </c>
      <c r="AK896">
        <f>COUNTBLANK(Metadata!B896:AC896)=COLUMNS(Metadata!B896:AC896)</f>
        <v>0</v>
      </c>
      <c r="AL896">
        <v>0</v>
      </c>
      <c r="AN896">
        <f>AND(IF(Metadata!B896="",FALSE,TRUE),COUNTIF(Metadata!B:B, Metadata!B896) = 1,NOT(ISERROR(SUMPRODUCT(SEARCH(MID(Metadata!B896,ROW(INDIRECT("1:"&amp;LEN(Metadata!B896))), 1),"0123456789abcdefghijklmnopqrstuvwxyzABCDEFGHIJKLMNOPQRSTUVWXYZ.")))))</f>
        <v>0</v>
      </c>
      <c r="AO896">
        <f>IF(Metadata!C896="",FALSE,TRUE)</f>
        <v>0</v>
      </c>
      <c r="AP896">
        <f>IF(Metadata!D896="",FALSE,TRUE)</f>
        <v>0</v>
      </c>
      <c r="AQ896">
        <f>OR(AND(IF(Metadata!E896="",FALSE,TRUE),OR(exact(Metadata!E896,"not collected"),exact(Metadata!E896,"not provided"),exact(Metadata!E896,"restricted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R896">
        <f>IF(Metadata!F896="",FALSE,TRUE)</f>
        <v>0</v>
      </c>
      <c r="AS896">
        <f>OR(AND(IF(Metadata!G896="",FALSE,TRUE),OR(exact(Metadata!G896,"not collected"),exact(Metadata!G896,"not provided"))),AND(IF(Metadata!G896="",FALSE,TRUE),OR(exact(Metadata!G896,"TRUE"),exact(Metadata!G896,"FALSE"))))</f>
        <v>0</v>
      </c>
      <c r="AT896">
        <f>OR(AND(IF(Metadata!H896="",FALSE,TRUE),OR(exact(Metadata!H896,"not collected"),exact(Metadata!H896,"not provided"),exact(Metadata!H896,"restricted access"))),AND(IF(Metadata!H896="",FALSE,ISNUMBER(VALUE(Metadata!H896))),Metadata!H896&gt;=-413.0))</f>
        <v>0</v>
      </c>
      <c r="AU896">
        <f>AND(IF(Metadata!I896="",FALSE,TRUE),exact(Metadata!I896,"meters"))</f>
        <v>0</v>
      </c>
      <c r="AV896">
        <f>AND(IF(Metadata!J896="",FALSE,TRUE),OR(exact(Metadata!J896,"Host-associated"),exact(Metadata!J896,"Free-living")))</f>
        <v>0</v>
      </c>
      <c r="AW896">
        <f>AND(IF(Metadata!K896="",FALSE,TRUE),OR(exact(Metadata!K896,"Animal"),exact(Metadata!K896,"Fungus"),exact(Metadata!K896,"Plant"),exact(Metadata!K896,"Saline"),exact(Metadata!K896,"Non-saline")))</f>
        <v>0</v>
      </c>
      <c r="AX896">
        <f>AND(IF(Metadata!L896="",FALSE,TRUE),OR(exact(Metadata!L896,"Plant secretion"),exact(Metadata!L896,"Plant rhizosphere"),exact(Metadata!L896,"Plant surface"),exact(Metadata!L896,"Plant corpus"),exact(Metadata!L896,"Fungus surface"),exact(Metadata!L896,"Fungus corpus"),exact(Metadata!L896,"Animal surface"),exact(Metadata!L896,"Animal proximal gut"),exact(Metadata!L896,"Animal corpus"),exact(Metadata!L896,"Animal distal gut"),exact(Metadata!L896,"Animal secretion"),exact(Metadata!L896,"Sub-surface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Y896">
        <f>IF(Metadata!M896="",FALSE,TRUE)</f>
        <v>0</v>
      </c>
      <c r="AZ896">
        <f>IF(Metadata!N896="",FALSE,TRUE)</f>
        <v>0</v>
      </c>
      <c r="BA896">
        <f>IF(Metadata!O896="",FALSE,TRUE)</f>
        <v>0</v>
      </c>
      <c r="BB896">
        <f>OR(AND(IF(Metadata!P896="",FALSE,TRUE),OR(exact(Metadata!P896,"not collected"),exact(Metadata!P896,"not provided"),exact(Metadata!P896,"restricted access"))),AND(IF(Metadata!P896="",FALSE,TRUE),OR(exact(Metadata!P896,"air"),exact(Metadata!P896,"built environment"),exact(Metadata!P896,"host-associated"),exact(Metadata!P896,"human-associated"),exact(Metadata!P896,"human-skin"),exact(Metadata!P896,"human-oral"),exact(Metadata!P896,"human-gut"),exact(Metadata!P896,"human-vaginal"),exact(Metadata!P896,"microbial mat/biofilm"),exact(Metadata!P896,"misc environment"),exact(Metadata!P896,"plant-associated"),exact(Metadata!P896,"sediment"),exact(Metadata!P896,"soil"),exact(Metadata!P896,"wastewater/sludge"),exact(Metadata!P896,"water"))))</f>
        <v>0</v>
      </c>
      <c r="BC896">
        <f>IF(Metadata!Q896="",FALSE,TRUE)</f>
        <v>0</v>
      </c>
      <c r="BD896">
        <f>IF(Metadata!R896="",FALSE,TRUE)</f>
        <v>0</v>
      </c>
      <c r="BE896">
        <f>OR(AND(IF(Metadata!S896="",FALSE,TRUE),OR(exact(Metadata!S896,"not collected"),exact(Metadata!S896,"not provided"),exact(Metadata!S896,"restricted access"))),AND(IF(Metadata!S896="",FALSE,ISNUMBER(VALUE(Metadata!S896))),Metadata!S896&gt;=-90.00,Metadata!S896&lt;=90.00))</f>
        <v>0</v>
      </c>
      <c r="BF896">
        <f>AND(IF(Metadata!T896="",FALSE,TRUE),exact(Metadata!T896,"Decimal degrees"))</f>
        <v>0</v>
      </c>
      <c r="BG896">
        <f>OR(AND(IF(Metadata!U896="",FALSE,TRUE),OR(exact(Metadata!U896,"not collected"),exact(Metadata!U896,"not provided"),exact(Metadata!U896,"restricted access"))),AND(IF(Metadata!U896="",FALSE,ISNUMBER(VALUE(Metadata!U896))),Metadata!U896&gt;=-180.00,Metadata!U896&lt;=180.00))</f>
        <v>0</v>
      </c>
      <c r="BH896">
        <f>AND(IF(Metadata!V896="",FALSE,TRUE),exact(Metadata!V896,"Decimal degrees"))</f>
        <v>0</v>
      </c>
      <c r="BI896">
        <f>IF(Metadata!W896="",FALSE,TRUE)</f>
        <v>0</v>
      </c>
      <c r="BJ896">
        <f>OR(AND(IF(Metadata!X896="",FALSE,TRUE),OR(exact(Metadata!X896,"not collected"),exact(Metadata!X896,"not provided"),exact(Metadata!X896,"restricted access"))),AND(IF(Metadata!X896="",FALSE,TRUE),OR(exact(Metadata!X896,"TRUE"),exact(Metadata!X896,"FALSE"))))</f>
        <v>0</v>
      </c>
      <c r="BK896">
        <f>AND(IF(Metadata!Y896="",FALSE,TRUE),exact(Metadata!Y896,"other"))</f>
        <v>0</v>
      </c>
      <c r="BL896">
        <f>IF(Metadata!Z896="",FALSE,TRUE)</f>
        <v>0</v>
      </c>
      <c r="BM896">
        <f>OR(AND(IF(Metadata!AA896="",FALSE,TRUE),OR(exact(Metadata!AA896,"not collected"),exact(Metadata!AA896,"not provided"))),AND(IF(Metadata!AA896="",FALSE,IF(ISERROR(INT(Metadata!AA896)),FALSE,INT(Metadata!AA896)=Metadata!AA896)),Metadata!AA896&gt;0))</f>
        <v>0</v>
      </c>
      <c r="BN896">
        <f>AND(IF(Metadata!AB896="",FALSE,TRUE),exact(Metadata!AB896,"Not applicable"))</f>
        <v>0</v>
      </c>
      <c r="BO896">
        <f>IF(Metadata!AC896="",FALSE,TRUE)</f>
        <v>0</v>
      </c>
    </row>
    <row r="897" spans="1:67">
      <c r="A897" s="5">
        <f>IF(B897=" "," ",HYPERLINK(CONCATENATE("#metadata!",ADDRESS(INDEX($AI$2:$AI$1001,MATCH(ROWS($AG$2:AG897),$AG$2:$AG$1001,0),0),1)),INDEX($AL$2:$AL$1001,MATCH(ROWS($AG$2:AG897),$AG$2:$AG$1001,0),0)))</f>
        <v>0</v>
      </c>
      <c r="B897" s="4">
        <f>IF(OR(INDEX($AH$2:$AH$1001,MATCH(ROWS($AG$2:AG897),$AG$2:$AG$1001,0),1)&gt;=100000,INDEX($AN$1005:$BO$1005,1,MATCH(COLUMNS($AN$1006:AN1006),$AN$1006:$BO$1006,0))&gt;=100000), " ",IF(INDEX($AN$2:$BO$1001,MATCH(ROWS($AG$2:AG897),$AG$2:$AG$1001,0),MATCH(COLUMNS($AN$1006:AN1006),$AN$1006:$BO$1006,0)), HYPERLINK("#",""), HYPERLINK(CONCATENATE("#Metadata!", ADDRESS(INDEX($AI$2:$AI$1001,MATCH(ROWS($AG$2:AG897),$AG$2:$AG$1001,0),0), INDEX($AN$1004:$BO$1004,1,MATCH(COLUMNS($AN$1006:AN1006),$AN$1006:$BO$1006,0)))),"Fix")))</f>
        <v>0</v>
      </c>
      <c r="C897" s="4">
        <f>IF(OR(INDEX($AH$2:$AH$1001,MATCH(ROWS($AG$2:AG897),$AG$2:$AG$1001,0),1)&gt;=100000,INDEX($AN$1005:$BO$1005,1,MATCH(COLUMNS($AN$1006:AO1006),$AN$1006:$BO$1006,0))&gt;=100000), " ",IF(INDEX($AN$2:$BO$1001,MATCH(ROWS($AG$2:AG897),$AG$2:$AG$1001,0),MATCH(COLUMNS($AN$1006:AO1006),$AN$1006:$BO$1006,0)), HYPERLINK("#",""), HYPERLINK(CONCATENATE("#Metadata!", ADDRESS(INDEX($AI$2:$AI$1001,MATCH(ROWS($AG$2:AG897),$AG$2:$AG$1001,0),0), INDEX($AN$1004:$BO$1004,1,MATCH(COLUMNS($AN$1006:AO1006),$AN$1006:$BO$1006,0)))),"Fix")))</f>
        <v>0</v>
      </c>
      <c r="D897" s="4">
        <f>IF(OR(INDEX($AH$2:$AH$1001,MATCH(ROWS($AG$2:AG897),$AG$2:$AG$1001,0),1)&gt;=100000,INDEX($AN$1005:$BO$1005,1,MATCH(COLUMNS($AN$1006:AP1006),$AN$1006:$BO$1006,0))&gt;=100000), " ",IF(INDEX($AN$2:$BO$1001,MATCH(ROWS($AG$2:AG897),$AG$2:$AG$1001,0),MATCH(COLUMNS($AN$1006:AP1006),$AN$1006:$BO$1006,0)), HYPERLINK("#",""), HYPERLINK(CONCATENATE("#Metadata!", ADDRESS(INDEX($AI$2:$AI$1001,MATCH(ROWS($AG$2:AG897),$AG$2:$AG$1001,0),0), INDEX($AN$1004:$BO$1004,1,MATCH(COLUMNS($AN$1006:AP1006),$AN$1006:$BO$1006,0)))),"Fix")))</f>
        <v>0</v>
      </c>
      <c r="E897" s="4">
        <f>IF(OR(INDEX($AH$2:$AH$1001,MATCH(ROWS($AG$2:AG897),$AG$2:$AG$1001,0),1)&gt;=100000,INDEX($AN$1005:$BO$1005,1,MATCH(COLUMNS($AN$1006:AQ1006),$AN$1006:$BO$1006,0))&gt;=100000), " ",IF(INDEX($AN$2:$BO$1001,MATCH(ROWS($AG$2:AG897),$AG$2:$AG$1001,0),MATCH(COLUMNS($AN$1006:AQ1006),$AN$1006:$BO$1006,0)), HYPERLINK("#",""), HYPERLINK(CONCATENATE("#Metadata!", ADDRESS(INDEX($AI$2:$AI$1001,MATCH(ROWS($AG$2:AG897),$AG$2:$AG$1001,0),0), INDEX($AN$1004:$BO$1004,1,MATCH(COLUMNS($AN$1006:AQ1006),$AN$1006:$BO$1006,0)))),"Fix")))</f>
        <v>0</v>
      </c>
      <c r="F897" s="4">
        <f>IF(OR(INDEX($AH$2:$AH$1001,MATCH(ROWS($AG$2:AG897),$AG$2:$AG$1001,0),1)&gt;=100000,INDEX($AN$1005:$BO$1005,1,MATCH(COLUMNS($AN$1006:AR1006),$AN$1006:$BO$1006,0))&gt;=100000), " ",IF(INDEX($AN$2:$BO$1001,MATCH(ROWS($AG$2:AG897),$AG$2:$AG$1001,0),MATCH(COLUMNS($AN$1006:AR1006),$AN$1006:$BO$1006,0)), HYPERLINK("#",""), HYPERLINK(CONCATENATE("#Metadata!", ADDRESS(INDEX($AI$2:$AI$1001,MATCH(ROWS($AG$2:AG897),$AG$2:$AG$1001,0),0), INDEX($AN$1004:$BO$1004,1,MATCH(COLUMNS($AN$1006:AR1006),$AN$1006:$BO$1006,0)))),"Fix")))</f>
        <v>0</v>
      </c>
      <c r="G897" s="4">
        <f>IF(OR(INDEX($AH$2:$AH$1001,MATCH(ROWS($AG$2:AG897),$AG$2:$AG$1001,0),1)&gt;=100000,INDEX($AN$1005:$BO$1005,1,MATCH(COLUMNS($AN$1006:AS1006),$AN$1006:$BO$1006,0))&gt;=100000), " ",IF(INDEX($AN$2:$BO$1001,MATCH(ROWS($AG$2:AG897),$AG$2:$AG$1001,0),MATCH(COLUMNS($AN$1006:AS1006),$AN$1006:$BO$1006,0)), HYPERLINK("#",""), HYPERLINK(CONCATENATE("#Metadata!", ADDRESS(INDEX($AI$2:$AI$1001,MATCH(ROWS($AG$2:AG897),$AG$2:$AG$1001,0),0), INDEX($AN$1004:$BO$1004,1,MATCH(COLUMNS($AN$1006:AS1006),$AN$1006:$BO$1006,0)))),"Fix")))</f>
        <v>0</v>
      </c>
      <c r="H897" s="4">
        <f>IF(OR(INDEX($AH$2:$AH$1001,MATCH(ROWS($AG$2:AG897),$AG$2:$AG$1001,0),1)&gt;=100000,INDEX($AN$1005:$BO$1005,1,MATCH(COLUMNS($AN$1006:AT1006),$AN$1006:$BO$1006,0))&gt;=100000), " ",IF(INDEX($AN$2:$BO$1001,MATCH(ROWS($AG$2:AG897),$AG$2:$AG$1001,0),MATCH(COLUMNS($AN$1006:AT1006),$AN$1006:$BO$1006,0)), HYPERLINK("#",""), HYPERLINK(CONCATENATE("#Metadata!", ADDRESS(INDEX($AI$2:$AI$1001,MATCH(ROWS($AG$2:AG897),$AG$2:$AG$1001,0),0), INDEX($AN$1004:$BO$1004,1,MATCH(COLUMNS($AN$1006:AT1006),$AN$1006:$BO$1006,0)))),"Fix")))</f>
        <v>0</v>
      </c>
      <c r="I897" s="4">
        <f>IF(OR(INDEX($AH$2:$AH$1001,MATCH(ROWS($AG$2:AG897),$AG$2:$AG$1001,0),1)&gt;=100000,INDEX($AN$1005:$BO$1005,1,MATCH(COLUMNS($AN$1006:AU1006),$AN$1006:$BO$1006,0))&gt;=100000), " ",IF(INDEX($AN$2:$BO$1001,MATCH(ROWS($AG$2:AG897),$AG$2:$AG$1001,0),MATCH(COLUMNS($AN$1006:AU1006),$AN$1006:$BO$1006,0)), HYPERLINK("#",""), HYPERLINK(CONCATENATE("#Metadata!", ADDRESS(INDEX($AI$2:$AI$1001,MATCH(ROWS($AG$2:AG897),$AG$2:$AG$1001,0),0), INDEX($AN$1004:$BO$1004,1,MATCH(COLUMNS($AN$1006:AU1006),$AN$1006:$BO$1006,0)))),"Fix")))</f>
        <v>0</v>
      </c>
      <c r="J897" s="4">
        <f>IF(OR(INDEX($AH$2:$AH$1001,MATCH(ROWS($AG$2:AG897),$AG$2:$AG$1001,0),1)&gt;=100000,INDEX($AN$1005:$BO$1005,1,MATCH(COLUMNS($AN$1006:AV1006),$AN$1006:$BO$1006,0))&gt;=100000), " ",IF(INDEX($AN$2:$BO$1001,MATCH(ROWS($AG$2:AG897),$AG$2:$AG$1001,0),MATCH(COLUMNS($AN$1006:AV1006),$AN$1006:$BO$1006,0)), HYPERLINK("#",""), HYPERLINK(CONCATENATE("#Metadata!", ADDRESS(INDEX($AI$2:$AI$1001,MATCH(ROWS($AG$2:AG897),$AG$2:$AG$1001,0),0), INDEX($AN$1004:$BO$1004,1,MATCH(COLUMNS($AN$1006:AV1006),$AN$1006:$BO$1006,0)))),"Fix")))</f>
        <v>0</v>
      </c>
      <c r="K897" s="4">
        <f>IF(OR(INDEX($AH$2:$AH$1001,MATCH(ROWS($AG$2:AG897),$AG$2:$AG$1001,0),1)&gt;=100000,INDEX($AN$1005:$BO$1005,1,MATCH(COLUMNS($AN$1006:AW1006),$AN$1006:$BO$1006,0))&gt;=100000), " ",IF(INDEX($AN$2:$BO$1001,MATCH(ROWS($AG$2:AG897),$AG$2:$AG$1001,0),MATCH(COLUMNS($AN$1006:AW1006),$AN$1006:$BO$1006,0)), HYPERLINK("#",""), HYPERLINK(CONCATENATE("#Metadata!", ADDRESS(INDEX($AI$2:$AI$1001,MATCH(ROWS($AG$2:AG897),$AG$2:$AG$1001,0),0), INDEX($AN$1004:$BO$1004,1,MATCH(COLUMNS($AN$1006:AW1006),$AN$1006:$BO$1006,0)))),"Fix")))</f>
        <v>0</v>
      </c>
      <c r="L897" s="4">
        <f>IF(OR(INDEX($AH$2:$AH$1001,MATCH(ROWS($AG$2:AG897),$AG$2:$AG$1001,0),1)&gt;=100000,INDEX($AN$1005:$BO$1005,1,MATCH(COLUMNS($AN$1006:AX1006),$AN$1006:$BO$1006,0))&gt;=100000), " ",IF(INDEX($AN$2:$BO$1001,MATCH(ROWS($AG$2:AG897),$AG$2:$AG$1001,0),MATCH(COLUMNS($AN$1006:AX1006),$AN$1006:$BO$1006,0)), HYPERLINK("#",""), HYPERLINK(CONCATENATE("#Metadata!", ADDRESS(INDEX($AI$2:$AI$1001,MATCH(ROWS($AG$2:AG897),$AG$2:$AG$1001,0),0), INDEX($AN$1004:$BO$1004,1,MATCH(COLUMNS($AN$1006:AX1006),$AN$1006:$BO$1006,0)))),"Fix")))</f>
        <v>0</v>
      </c>
      <c r="M897" s="4">
        <f>IF(OR(INDEX($AH$2:$AH$1001,MATCH(ROWS($AG$2:AG897),$AG$2:$AG$1001,0),1)&gt;=100000,INDEX($AN$1005:$BO$1005,1,MATCH(COLUMNS($AN$1006:AY1006),$AN$1006:$BO$1006,0))&gt;=100000), " ",IF(INDEX($AN$2:$BO$1001,MATCH(ROWS($AG$2:AG897),$AG$2:$AG$1001,0),MATCH(COLUMNS($AN$1006:AY1006),$AN$1006:$BO$1006,0)), HYPERLINK("#",""), HYPERLINK(CONCATENATE("#Metadata!", ADDRESS(INDEX($AI$2:$AI$1001,MATCH(ROWS($AG$2:AG897),$AG$2:$AG$1001,0),0), INDEX($AN$1004:$BO$1004,1,MATCH(COLUMNS($AN$1006:AY1006),$AN$1006:$BO$1006,0)))),"Fix")))</f>
        <v>0</v>
      </c>
      <c r="N897" s="4">
        <f>IF(OR(INDEX($AH$2:$AH$1001,MATCH(ROWS($AG$2:AG897),$AG$2:$AG$1001,0),1)&gt;=100000,INDEX($AN$1005:$BO$1005,1,MATCH(COLUMNS($AN$1006:AZ1006),$AN$1006:$BO$1006,0))&gt;=100000), " ",IF(INDEX($AN$2:$BO$1001,MATCH(ROWS($AG$2:AG897),$AG$2:$AG$1001,0),MATCH(COLUMNS($AN$1006:AZ1006),$AN$1006:$BO$1006,0)), HYPERLINK("#",""), HYPERLINK(CONCATENATE("#Metadata!", ADDRESS(INDEX($AI$2:$AI$1001,MATCH(ROWS($AG$2:AG897),$AG$2:$AG$1001,0),0), INDEX($AN$1004:$BO$1004,1,MATCH(COLUMNS($AN$1006:AZ1006),$AN$1006:$BO$1006,0)))),"Fix")))</f>
        <v>0</v>
      </c>
      <c r="O897" s="4">
        <f>IF(OR(INDEX($AH$2:$AH$1001,MATCH(ROWS($AG$2:AG897),$AG$2:$AG$1001,0),1)&gt;=100000,INDEX($AN$1005:$BO$1005,1,MATCH(COLUMNS($AN$1006:BA1006),$AN$1006:$BO$1006,0))&gt;=100000), " ",IF(INDEX($AN$2:$BO$1001,MATCH(ROWS($AG$2:AG897),$AG$2:$AG$1001,0),MATCH(COLUMNS($AN$1006:BA1006),$AN$1006:$BO$1006,0)), HYPERLINK("#",""), HYPERLINK(CONCATENATE("#Metadata!", ADDRESS(INDEX($AI$2:$AI$1001,MATCH(ROWS($AG$2:AG897),$AG$2:$AG$1001,0),0), INDEX($AN$1004:$BO$1004,1,MATCH(COLUMNS($AN$1006:BA1006),$AN$1006:$BO$1006,0)))),"Fix")))</f>
        <v>0</v>
      </c>
      <c r="P897" s="4">
        <f>IF(OR(INDEX($AH$2:$AH$1001,MATCH(ROWS($AG$2:AG897),$AG$2:$AG$1001,0),1)&gt;=100000,INDEX($AN$1005:$BO$1005,1,MATCH(COLUMNS($AN$1006:BB1006),$AN$1006:$BO$1006,0))&gt;=100000), " ",IF(INDEX($AN$2:$BO$1001,MATCH(ROWS($AG$2:AG897),$AG$2:$AG$1001,0),MATCH(COLUMNS($AN$1006:BB1006),$AN$1006:$BO$1006,0)), HYPERLINK("#",""), HYPERLINK(CONCATENATE("#Metadata!", ADDRESS(INDEX($AI$2:$AI$1001,MATCH(ROWS($AG$2:AG897),$AG$2:$AG$1001,0),0), INDEX($AN$1004:$BO$1004,1,MATCH(COLUMNS($AN$1006:BB1006),$AN$1006:$BO$1006,0)))),"Fix")))</f>
        <v>0</v>
      </c>
      <c r="Q897" s="4">
        <f>IF(OR(INDEX($AH$2:$AH$1001,MATCH(ROWS($AG$2:AG897),$AG$2:$AG$1001,0),1)&gt;=100000,INDEX($AN$1005:$BO$1005,1,MATCH(COLUMNS($AN$1006:BC1006),$AN$1006:$BO$1006,0))&gt;=100000), " ",IF(INDEX($AN$2:$BO$1001,MATCH(ROWS($AG$2:AG897),$AG$2:$AG$1001,0),MATCH(COLUMNS($AN$1006:BC1006),$AN$1006:$BO$1006,0)), HYPERLINK("#",""), HYPERLINK(CONCATENATE("#Metadata!", ADDRESS(INDEX($AI$2:$AI$1001,MATCH(ROWS($AG$2:AG897),$AG$2:$AG$1001,0),0), INDEX($AN$1004:$BO$1004,1,MATCH(COLUMNS($AN$1006:BC1006),$AN$1006:$BO$1006,0)))),"Fix")))</f>
        <v>0</v>
      </c>
      <c r="R897" s="4">
        <f>IF(OR(INDEX($AH$2:$AH$1001,MATCH(ROWS($AG$2:AG897),$AG$2:$AG$1001,0),1)&gt;=100000,INDEX($AN$1005:$BO$1005,1,MATCH(COLUMNS($AN$1006:BD1006),$AN$1006:$BO$1006,0))&gt;=100000), " ",IF(INDEX($AN$2:$BO$1001,MATCH(ROWS($AG$2:AG897),$AG$2:$AG$1001,0),MATCH(COLUMNS($AN$1006:BD1006),$AN$1006:$BO$1006,0)), HYPERLINK("#",""), HYPERLINK(CONCATENATE("#Metadata!", ADDRESS(INDEX($AI$2:$AI$1001,MATCH(ROWS($AG$2:AG897),$AG$2:$AG$1001,0),0), INDEX($AN$1004:$BO$1004,1,MATCH(COLUMNS($AN$1006:BD1006),$AN$1006:$BO$1006,0)))),"Fix")))</f>
        <v>0</v>
      </c>
      <c r="S897" s="4">
        <f>IF(OR(INDEX($AH$2:$AH$1001,MATCH(ROWS($AG$2:AG897),$AG$2:$AG$1001,0),1)&gt;=100000,INDEX($AN$1005:$BO$1005,1,MATCH(COLUMNS($AN$1006:BE1006),$AN$1006:$BO$1006,0))&gt;=100000), " ",IF(INDEX($AN$2:$BO$1001,MATCH(ROWS($AG$2:AG897),$AG$2:$AG$1001,0),MATCH(COLUMNS($AN$1006:BE1006),$AN$1006:$BO$1006,0)), HYPERLINK("#",""), HYPERLINK(CONCATENATE("#Metadata!", ADDRESS(INDEX($AI$2:$AI$1001,MATCH(ROWS($AG$2:AG897),$AG$2:$AG$1001,0),0), INDEX($AN$1004:$BO$1004,1,MATCH(COLUMNS($AN$1006:BE1006),$AN$1006:$BO$1006,0)))),"Fix")))</f>
        <v>0</v>
      </c>
      <c r="T897" s="4">
        <f>IF(OR(INDEX($AH$2:$AH$1001,MATCH(ROWS($AG$2:AG897),$AG$2:$AG$1001,0),1)&gt;=100000,INDEX($AN$1005:$BO$1005,1,MATCH(COLUMNS($AN$1006:BF1006),$AN$1006:$BO$1006,0))&gt;=100000), " ",IF(INDEX($AN$2:$BO$1001,MATCH(ROWS($AG$2:AG897),$AG$2:$AG$1001,0),MATCH(COLUMNS($AN$1006:BF1006),$AN$1006:$BO$1006,0)), HYPERLINK("#",""), HYPERLINK(CONCATENATE("#Metadata!", ADDRESS(INDEX($AI$2:$AI$1001,MATCH(ROWS($AG$2:AG897),$AG$2:$AG$1001,0),0), INDEX($AN$1004:$BO$1004,1,MATCH(COLUMNS($AN$1006:BF1006),$AN$1006:$BO$1006,0)))),"Fix")))</f>
        <v>0</v>
      </c>
      <c r="U897" s="4">
        <f>IF(OR(INDEX($AH$2:$AH$1001,MATCH(ROWS($AG$2:AG897),$AG$2:$AG$1001,0),1)&gt;=100000,INDEX($AN$1005:$BO$1005,1,MATCH(COLUMNS($AN$1006:BG1006),$AN$1006:$BO$1006,0))&gt;=100000), " ",IF(INDEX($AN$2:$BO$1001,MATCH(ROWS($AG$2:AG897),$AG$2:$AG$1001,0),MATCH(COLUMNS($AN$1006:BG1006),$AN$1006:$BO$1006,0)), HYPERLINK("#",""), HYPERLINK(CONCATENATE("#Metadata!", ADDRESS(INDEX($AI$2:$AI$1001,MATCH(ROWS($AG$2:AG897),$AG$2:$AG$1001,0),0), INDEX($AN$1004:$BO$1004,1,MATCH(COLUMNS($AN$1006:BG1006),$AN$1006:$BO$1006,0)))),"Fix")))</f>
        <v>0</v>
      </c>
      <c r="V897" s="4">
        <f>IF(OR(INDEX($AH$2:$AH$1001,MATCH(ROWS($AG$2:AG897),$AG$2:$AG$1001,0),1)&gt;=100000,INDEX($AN$1005:$BO$1005,1,MATCH(COLUMNS($AN$1006:BH1006),$AN$1006:$BO$1006,0))&gt;=100000), " ",IF(INDEX($AN$2:$BO$1001,MATCH(ROWS($AG$2:AG897),$AG$2:$AG$1001,0),MATCH(COLUMNS($AN$1006:BH1006),$AN$1006:$BO$1006,0)), HYPERLINK("#",""), HYPERLINK(CONCATENATE("#Metadata!", ADDRESS(INDEX($AI$2:$AI$1001,MATCH(ROWS($AG$2:AG897),$AG$2:$AG$1001,0),0), INDEX($AN$1004:$BO$1004,1,MATCH(COLUMNS($AN$1006:BH1006),$AN$1006:$BO$1006,0)))),"Fix")))</f>
        <v>0</v>
      </c>
      <c r="W897" s="4">
        <f>IF(OR(INDEX($AH$2:$AH$1001,MATCH(ROWS($AG$2:AG897),$AG$2:$AG$1001,0),1)&gt;=100000,INDEX($AN$1005:$BO$1005,1,MATCH(COLUMNS($AN$1006:BI1006),$AN$1006:$BO$1006,0))&gt;=100000), " ",IF(INDEX($AN$2:$BO$1001,MATCH(ROWS($AG$2:AG897),$AG$2:$AG$1001,0),MATCH(COLUMNS($AN$1006:BI1006),$AN$1006:$BO$1006,0)), HYPERLINK("#",""), HYPERLINK(CONCATENATE("#Metadata!", ADDRESS(INDEX($AI$2:$AI$1001,MATCH(ROWS($AG$2:AG897),$AG$2:$AG$1001,0),0), INDEX($AN$1004:$BO$1004,1,MATCH(COLUMNS($AN$1006:BI1006),$AN$1006:$BO$1006,0)))),"Fix")))</f>
        <v>0</v>
      </c>
      <c r="X897" s="4">
        <f>IF(OR(INDEX($AH$2:$AH$1001,MATCH(ROWS($AG$2:AG897),$AG$2:$AG$1001,0),1)&gt;=100000,INDEX($AN$1005:$BO$1005,1,MATCH(COLUMNS($AN$1006:BJ1006),$AN$1006:$BO$1006,0))&gt;=100000), " ",IF(INDEX($AN$2:$BO$1001,MATCH(ROWS($AG$2:AG897),$AG$2:$AG$1001,0),MATCH(COLUMNS($AN$1006:BJ1006),$AN$1006:$BO$1006,0)), HYPERLINK("#",""), HYPERLINK(CONCATENATE("#Metadata!", ADDRESS(INDEX($AI$2:$AI$1001,MATCH(ROWS($AG$2:AG897),$AG$2:$AG$1001,0),0), INDEX($AN$1004:$BO$1004,1,MATCH(COLUMNS($AN$1006:BJ1006),$AN$1006:$BO$1006,0)))),"Fix")))</f>
        <v>0</v>
      </c>
      <c r="Y897" s="4">
        <f>IF(OR(INDEX($AH$2:$AH$1001,MATCH(ROWS($AG$2:AG897),$AG$2:$AG$1001,0),1)&gt;=100000,INDEX($AN$1005:$BO$1005,1,MATCH(COLUMNS($AN$1006:BK1006),$AN$1006:$BO$1006,0))&gt;=100000), " ",IF(INDEX($AN$2:$BO$1001,MATCH(ROWS($AG$2:AG897),$AG$2:$AG$1001,0),MATCH(COLUMNS($AN$1006:BK1006),$AN$1006:$BO$1006,0)), HYPERLINK("#",""), HYPERLINK(CONCATENATE("#Metadata!", ADDRESS(INDEX($AI$2:$AI$1001,MATCH(ROWS($AG$2:AG897),$AG$2:$AG$1001,0),0), INDEX($AN$1004:$BO$1004,1,MATCH(COLUMNS($AN$1006:BK1006),$AN$1006:$BO$1006,0)))),"Fix")))</f>
        <v>0</v>
      </c>
      <c r="Z897" s="4">
        <f>IF(OR(INDEX($AH$2:$AH$1001,MATCH(ROWS($AG$2:AG897),$AG$2:$AG$1001,0),1)&gt;=100000,INDEX($AN$1005:$BO$1005,1,MATCH(COLUMNS($AN$1006:BL1006),$AN$1006:$BO$1006,0))&gt;=100000), " ",IF(INDEX($AN$2:$BO$1001,MATCH(ROWS($AG$2:AG897),$AG$2:$AG$1001,0),MATCH(COLUMNS($AN$1006:BL1006),$AN$1006:$BO$1006,0)), HYPERLINK("#",""), HYPERLINK(CONCATENATE("#Metadata!", ADDRESS(INDEX($AI$2:$AI$1001,MATCH(ROWS($AG$2:AG897),$AG$2:$AG$1001,0),0), INDEX($AN$1004:$BO$1004,1,MATCH(COLUMNS($AN$1006:BL1006),$AN$1006:$BO$1006,0)))),"Fix")))</f>
        <v>0</v>
      </c>
      <c r="AA897" s="4">
        <f>IF(OR(INDEX($AH$2:$AH$1001,MATCH(ROWS($AG$2:AG897),$AG$2:$AG$1001,0),1)&gt;=100000,INDEX($AN$1005:$BO$1005,1,MATCH(COLUMNS($AN$1006:BM1006),$AN$1006:$BO$1006,0))&gt;=100000), " ",IF(INDEX($AN$2:$BO$1001,MATCH(ROWS($AG$2:AG897),$AG$2:$AG$1001,0),MATCH(COLUMNS($AN$1006:BM1006),$AN$1006:$BO$1006,0)), HYPERLINK("#",""), HYPERLINK(CONCATENATE("#Metadata!", ADDRESS(INDEX($AI$2:$AI$1001,MATCH(ROWS($AG$2:AG897),$AG$2:$AG$1001,0),0), INDEX($AN$1004:$BO$1004,1,MATCH(COLUMNS($AN$1006:BM1006),$AN$1006:$BO$1006,0)))),"Fix")))</f>
        <v>0</v>
      </c>
      <c r="AB897" s="4">
        <f>IF(OR(INDEX($AH$2:$AH$1001,MATCH(ROWS($AG$2:AG897),$AG$2:$AG$1001,0),1)&gt;=100000,INDEX($AN$1005:$BO$1005,1,MATCH(COLUMNS($AN$1006:BN1006),$AN$1006:$BO$1006,0))&gt;=100000), " ",IF(INDEX($AN$2:$BO$1001,MATCH(ROWS($AG$2:AG897),$AG$2:$AG$1001,0),MATCH(COLUMNS($AN$1006:BN1006),$AN$1006:$BO$1006,0)), HYPERLINK("#",""), HYPERLINK(CONCATENATE("#Metadata!", ADDRESS(INDEX($AI$2:$AI$1001,MATCH(ROWS($AG$2:AG897),$AG$2:$AG$1001,0),0), INDEX($AN$1004:$BO$1004,1,MATCH(COLUMNS($AN$1006:BN1006),$AN$1006:$BO$1006,0)))),"Fix")))</f>
        <v>0</v>
      </c>
      <c r="AC897" s="4">
        <f>IF(OR(INDEX($AH$2:$AH$1001,MATCH(ROWS($AG$2:AG897),$AG$2:$AG$1001,0),1)&gt;=100000,INDEX($AN$1005:$BO$1005,1,MATCH(COLUMNS($AN$1006:BO1006),$AN$1006:$BO$1006,0))&gt;=100000), " ",IF(INDEX($AN$2:$BO$1001,MATCH(ROWS($AG$2:AG897),$AG$2:$AG$1001,0),MATCH(COLUMNS($AN$1006:BO1006),$AN$1006:$BO$1006,0)), HYPERLINK("#",""), HYPERLINK(CONCATENATE("#Metadata!", ADDRESS(INDEX($AI$2:$AI$1001,MATCH(ROWS($AG$2:AG897),$AG$2:$AG$1001,0),0), INDEX($AN$1004:$BO$1004,1,MATCH(COLUMNS($AN$1006:BO1006),$AN$1006:$BO$1006,0)))),"Fix")))</f>
        <v>0</v>
      </c>
      <c r="AG897">
        <v>0</v>
      </c>
      <c r="AH897">
        <v>0</v>
      </c>
      <c r="AI897">
        <v>0</v>
      </c>
      <c r="AJ897">
        <f>IF(AK897,TRUE,AND(AN897:BO897))</f>
        <v>0</v>
      </c>
      <c r="AK897">
        <f>COUNTBLANK(Metadata!B897:AC897)=COLUMNS(Metadata!B897:AC897)</f>
        <v>0</v>
      </c>
      <c r="AL897">
        <v>0</v>
      </c>
      <c r="AN897">
        <f>AND(IF(Metadata!B897="",FALSE,TRUE),COUNTIF(Metadata!B:B, Metadata!B897) = 1,NOT(ISERROR(SUMPRODUCT(SEARCH(MID(Metadata!B897,ROW(INDIRECT("1:"&amp;LEN(Metadata!B897))), 1),"0123456789abcdefghijklmnopqrstuvwxyzABCDEFGHIJKLMNOPQRSTUVWXYZ.")))))</f>
        <v>0</v>
      </c>
      <c r="AO897">
        <f>IF(Metadata!C897="",FALSE,TRUE)</f>
        <v>0</v>
      </c>
      <c r="AP897">
        <f>IF(Metadata!D897="",FALSE,TRUE)</f>
        <v>0</v>
      </c>
      <c r="AQ897">
        <f>OR(AND(IF(Metadata!E897="",FALSE,TRUE),OR(exact(Metadata!E897,"not collected"),exact(Metadata!E897,"not provided"),exact(Metadata!E897,"restricted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R897">
        <f>IF(Metadata!F897="",FALSE,TRUE)</f>
        <v>0</v>
      </c>
      <c r="AS897">
        <f>OR(AND(IF(Metadata!G897="",FALSE,TRUE),OR(exact(Metadata!G897,"not collected"),exact(Metadata!G897,"not provided"))),AND(IF(Metadata!G897="",FALSE,TRUE),OR(exact(Metadata!G897,"TRUE"),exact(Metadata!G897,"FALSE"))))</f>
        <v>0</v>
      </c>
      <c r="AT897">
        <f>OR(AND(IF(Metadata!H897="",FALSE,TRUE),OR(exact(Metadata!H897,"not collected"),exact(Metadata!H897,"not provided"),exact(Metadata!H897,"restricted access"))),AND(IF(Metadata!H897="",FALSE,ISNUMBER(VALUE(Metadata!H897))),Metadata!H897&gt;=-413.0))</f>
        <v>0</v>
      </c>
      <c r="AU897">
        <f>AND(IF(Metadata!I897="",FALSE,TRUE),exact(Metadata!I897,"meters"))</f>
        <v>0</v>
      </c>
      <c r="AV897">
        <f>AND(IF(Metadata!J897="",FALSE,TRUE),OR(exact(Metadata!J897,"Host-associated"),exact(Metadata!J897,"Free-living")))</f>
        <v>0</v>
      </c>
      <c r="AW897">
        <f>AND(IF(Metadata!K897="",FALSE,TRUE),OR(exact(Metadata!K897,"Animal"),exact(Metadata!K897,"Fungus"),exact(Metadata!K897,"Plant"),exact(Metadata!K897,"Saline"),exact(Metadata!K897,"Non-saline")))</f>
        <v>0</v>
      </c>
      <c r="AX897">
        <f>AND(IF(Metadata!L897="",FALSE,TRUE),OR(exact(Metadata!L897,"Plant secretion"),exact(Metadata!L897,"Plant rhizosphere"),exact(Metadata!L897,"Plant surface"),exact(Metadata!L897,"Plant corpus"),exact(Metadata!L897,"Fungus surface"),exact(Metadata!L897,"Fungus corpus"),exact(Metadata!L897,"Animal surface"),exact(Metadata!L897,"Animal proximal gut"),exact(Metadata!L897,"Animal corpus"),exact(Metadata!L897,"Animal distal gut"),exact(Metadata!L897,"Animal secretion"),exact(Metadata!L897,"Sub-surface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Y897">
        <f>IF(Metadata!M897="",FALSE,TRUE)</f>
        <v>0</v>
      </c>
      <c r="AZ897">
        <f>IF(Metadata!N897="",FALSE,TRUE)</f>
        <v>0</v>
      </c>
      <c r="BA897">
        <f>IF(Metadata!O897="",FALSE,TRUE)</f>
        <v>0</v>
      </c>
      <c r="BB897">
        <f>OR(AND(IF(Metadata!P897="",FALSE,TRUE),OR(exact(Metadata!P897,"not collected"),exact(Metadata!P897,"not provided"),exact(Metadata!P897,"restricted access"))),AND(IF(Metadata!P897="",FALSE,TRUE),OR(exact(Metadata!P897,"air"),exact(Metadata!P897,"built environment"),exact(Metadata!P897,"host-associated"),exact(Metadata!P897,"human-associated"),exact(Metadata!P897,"human-skin"),exact(Metadata!P897,"human-oral"),exact(Metadata!P897,"human-gut"),exact(Metadata!P897,"human-vaginal"),exact(Metadata!P897,"microbial mat/biofilm"),exact(Metadata!P897,"misc environment"),exact(Metadata!P897,"plant-associated"),exact(Metadata!P897,"sediment"),exact(Metadata!P897,"soil"),exact(Metadata!P897,"wastewater/sludge"),exact(Metadata!P897,"water"))))</f>
        <v>0</v>
      </c>
      <c r="BC897">
        <f>IF(Metadata!Q897="",FALSE,TRUE)</f>
        <v>0</v>
      </c>
      <c r="BD897">
        <f>IF(Metadata!R897="",FALSE,TRUE)</f>
        <v>0</v>
      </c>
      <c r="BE897">
        <f>OR(AND(IF(Metadata!S897="",FALSE,TRUE),OR(exact(Metadata!S897,"not collected"),exact(Metadata!S897,"not provided"),exact(Metadata!S897,"restricted access"))),AND(IF(Metadata!S897="",FALSE,ISNUMBER(VALUE(Metadata!S897))),Metadata!S897&gt;=-90.00,Metadata!S897&lt;=90.00))</f>
        <v>0</v>
      </c>
      <c r="BF897">
        <f>AND(IF(Metadata!T897="",FALSE,TRUE),exact(Metadata!T897,"Decimal degrees"))</f>
        <v>0</v>
      </c>
      <c r="BG897">
        <f>OR(AND(IF(Metadata!U897="",FALSE,TRUE),OR(exact(Metadata!U897,"not collected"),exact(Metadata!U897,"not provided"),exact(Metadata!U897,"restricted access"))),AND(IF(Metadata!U897="",FALSE,ISNUMBER(VALUE(Metadata!U897))),Metadata!U897&gt;=-180.00,Metadata!U897&lt;=180.00))</f>
        <v>0</v>
      </c>
      <c r="BH897">
        <f>AND(IF(Metadata!V897="",FALSE,TRUE),exact(Metadata!V897,"Decimal degrees"))</f>
        <v>0</v>
      </c>
      <c r="BI897">
        <f>IF(Metadata!W897="",FALSE,TRUE)</f>
        <v>0</v>
      </c>
      <c r="BJ897">
        <f>OR(AND(IF(Metadata!X897="",FALSE,TRUE),OR(exact(Metadata!X897,"not collected"),exact(Metadata!X897,"not provided"),exact(Metadata!X897,"restricted access"))),AND(IF(Metadata!X897="",FALSE,TRUE),OR(exact(Metadata!X897,"TRUE"),exact(Metadata!X897,"FALSE"))))</f>
        <v>0</v>
      </c>
      <c r="BK897">
        <f>AND(IF(Metadata!Y897="",FALSE,TRUE),exact(Metadata!Y897,"other"))</f>
        <v>0</v>
      </c>
      <c r="BL897">
        <f>IF(Metadata!Z897="",FALSE,TRUE)</f>
        <v>0</v>
      </c>
      <c r="BM897">
        <f>OR(AND(IF(Metadata!AA897="",FALSE,TRUE),OR(exact(Metadata!AA897,"not collected"),exact(Metadata!AA897,"not provided"))),AND(IF(Metadata!AA897="",FALSE,IF(ISERROR(INT(Metadata!AA897)),FALSE,INT(Metadata!AA897)=Metadata!AA897)),Metadata!AA897&gt;0))</f>
        <v>0</v>
      </c>
      <c r="BN897">
        <f>AND(IF(Metadata!AB897="",FALSE,TRUE),exact(Metadata!AB897,"Not applicable"))</f>
        <v>0</v>
      </c>
      <c r="BO897">
        <f>IF(Metadata!AC897="",FALSE,TRUE)</f>
        <v>0</v>
      </c>
    </row>
    <row r="898" spans="1:67">
      <c r="A898" s="5">
        <f>IF(B898=" "," ",HYPERLINK(CONCATENATE("#metadata!",ADDRESS(INDEX($AI$2:$AI$1001,MATCH(ROWS($AG$2:AG898),$AG$2:$AG$1001,0),0),1)),INDEX($AL$2:$AL$1001,MATCH(ROWS($AG$2:AG898),$AG$2:$AG$1001,0),0)))</f>
        <v>0</v>
      </c>
      <c r="B898" s="4">
        <f>IF(OR(INDEX($AH$2:$AH$1001,MATCH(ROWS($AG$2:AG898),$AG$2:$AG$1001,0),1)&gt;=100000,INDEX($AN$1005:$BO$1005,1,MATCH(COLUMNS($AN$1006:AN1006),$AN$1006:$BO$1006,0))&gt;=100000), " ",IF(INDEX($AN$2:$BO$1001,MATCH(ROWS($AG$2:AG898),$AG$2:$AG$1001,0),MATCH(COLUMNS($AN$1006:AN1006),$AN$1006:$BO$1006,0)), HYPERLINK("#",""), HYPERLINK(CONCATENATE("#Metadata!", ADDRESS(INDEX($AI$2:$AI$1001,MATCH(ROWS($AG$2:AG898),$AG$2:$AG$1001,0),0), INDEX($AN$1004:$BO$1004,1,MATCH(COLUMNS($AN$1006:AN1006),$AN$1006:$BO$1006,0)))),"Fix")))</f>
        <v>0</v>
      </c>
      <c r="C898" s="4">
        <f>IF(OR(INDEX($AH$2:$AH$1001,MATCH(ROWS($AG$2:AG898),$AG$2:$AG$1001,0),1)&gt;=100000,INDEX($AN$1005:$BO$1005,1,MATCH(COLUMNS($AN$1006:AO1006),$AN$1006:$BO$1006,0))&gt;=100000), " ",IF(INDEX($AN$2:$BO$1001,MATCH(ROWS($AG$2:AG898),$AG$2:$AG$1001,0),MATCH(COLUMNS($AN$1006:AO1006),$AN$1006:$BO$1006,0)), HYPERLINK("#",""), HYPERLINK(CONCATENATE("#Metadata!", ADDRESS(INDEX($AI$2:$AI$1001,MATCH(ROWS($AG$2:AG898),$AG$2:$AG$1001,0),0), INDEX($AN$1004:$BO$1004,1,MATCH(COLUMNS($AN$1006:AO1006),$AN$1006:$BO$1006,0)))),"Fix")))</f>
        <v>0</v>
      </c>
      <c r="D898" s="4">
        <f>IF(OR(INDEX($AH$2:$AH$1001,MATCH(ROWS($AG$2:AG898),$AG$2:$AG$1001,0),1)&gt;=100000,INDEX($AN$1005:$BO$1005,1,MATCH(COLUMNS($AN$1006:AP1006),$AN$1006:$BO$1006,0))&gt;=100000), " ",IF(INDEX($AN$2:$BO$1001,MATCH(ROWS($AG$2:AG898),$AG$2:$AG$1001,0),MATCH(COLUMNS($AN$1006:AP1006),$AN$1006:$BO$1006,0)), HYPERLINK("#",""), HYPERLINK(CONCATENATE("#Metadata!", ADDRESS(INDEX($AI$2:$AI$1001,MATCH(ROWS($AG$2:AG898),$AG$2:$AG$1001,0),0), INDEX($AN$1004:$BO$1004,1,MATCH(COLUMNS($AN$1006:AP1006),$AN$1006:$BO$1006,0)))),"Fix")))</f>
        <v>0</v>
      </c>
      <c r="E898" s="4">
        <f>IF(OR(INDEX($AH$2:$AH$1001,MATCH(ROWS($AG$2:AG898),$AG$2:$AG$1001,0),1)&gt;=100000,INDEX($AN$1005:$BO$1005,1,MATCH(COLUMNS($AN$1006:AQ1006),$AN$1006:$BO$1006,0))&gt;=100000), " ",IF(INDEX($AN$2:$BO$1001,MATCH(ROWS($AG$2:AG898),$AG$2:$AG$1001,0),MATCH(COLUMNS($AN$1006:AQ1006),$AN$1006:$BO$1006,0)), HYPERLINK("#",""), HYPERLINK(CONCATENATE("#Metadata!", ADDRESS(INDEX($AI$2:$AI$1001,MATCH(ROWS($AG$2:AG898),$AG$2:$AG$1001,0),0), INDEX($AN$1004:$BO$1004,1,MATCH(COLUMNS($AN$1006:AQ1006),$AN$1006:$BO$1006,0)))),"Fix")))</f>
        <v>0</v>
      </c>
      <c r="F898" s="4">
        <f>IF(OR(INDEX($AH$2:$AH$1001,MATCH(ROWS($AG$2:AG898),$AG$2:$AG$1001,0),1)&gt;=100000,INDEX($AN$1005:$BO$1005,1,MATCH(COLUMNS($AN$1006:AR1006),$AN$1006:$BO$1006,0))&gt;=100000), " ",IF(INDEX($AN$2:$BO$1001,MATCH(ROWS($AG$2:AG898),$AG$2:$AG$1001,0),MATCH(COLUMNS($AN$1006:AR1006),$AN$1006:$BO$1006,0)), HYPERLINK("#",""), HYPERLINK(CONCATENATE("#Metadata!", ADDRESS(INDEX($AI$2:$AI$1001,MATCH(ROWS($AG$2:AG898),$AG$2:$AG$1001,0),0), INDEX($AN$1004:$BO$1004,1,MATCH(COLUMNS($AN$1006:AR1006),$AN$1006:$BO$1006,0)))),"Fix")))</f>
        <v>0</v>
      </c>
      <c r="G898" s="4">
        <f>IF(OR(INDEX($AH$2:$AH$1001,MATCH(ROWS($AG$2:AG898),$AG$2:$AG$1001,0),1)&gt;=100000,INDEX($AN$1005:$BO$1005,1,MATCH(COLUMNS($AN$1006:AS1006),$AN$1006:$BO$1006,0))&gt;=100000), " ",IF(INDEX($AN$2:$BO$1001,MATCH(ROWS($AG$2:AG898),$AG$2:$AG$1001,0),MATCH(COLUMNS($AN$1006:AS1006),$AN$1006:$BO$1006,0)), HYPERLINK("#",""), HYPERLINK(CONCATENATE("#Metadata!", ADDRESS(INDEX($AI$2:$AI$1001,MATCH(ROWS($AG$2:AG898),$AG$2:$AG$1001,0),0), INDEX($AN$1004:$BO$1004,1,MATCH(COLUMNS($AN$1006:AS1006),$AN$1006:$BO$1006,0)))),"Fix")))</f>
        <v>0</v>
      </c>
      <c r="H898" s="4">
        <f>IF(OR(INDEX($AH$2:$AH$1001,MATCH(ROWS($AG$2:AG898),$AG$2:$AG$1001,0),1)&gt;=100000,INDEX($AN$1005:$BO$1005,1,MATCH(COLUMNS($AN$1006:AT1006),$AN$1006:$BO$1006,0))&gt;=100000), " ",IF(INDEX($AN$2:$BO$1001,MATCH(ROWS($AG$2:AG898),$AG$2:$AG$1001,0),MATCH(COLUMNS($AN$1006:AT1006),$AN$1006:$BO$1006,0)), HYPERLINK("#",""), HYPERLINK(CONCATENATE("#Metadata!", ADDRESS(INDEX($AI$2:$AI$1001,MATCH(ROWS($AG$2:AG898),$AG$2:$AG$1001,0),0), INDEX($AN$1004:$BO$1004,1,MATCH(COLUMNS($AN$1006:AT1006),$AN$1006:$BO$1006,0)))),"Fix")))</f>
        <v>0</v>
      </c>
      <c r="I898" s="4">
        <f>IF(OR(INDEX($AH$2:$AH$1001,MATCH(ROWS($AG$2:AG898),$AG$2:$AG$1001,0),1)&gt;=100000,INDEX($AN$1005:$BO$1005,1,MATCH(COLUMNS($AN$1006:AU1006),$AN$1006:$BO$1006,0))&gt;=100000), " ",IF(INDEX($AN$2:$BO$1001,MATCH(ROWS($AG$2:AG898),$AG$2:$AG$1001,0),MATCH(COLUMNS($AN$1006:AU1006),$AN$1006:$BO$1006,0)), HYPERLINK("#",""), HYPERLINK(CONCATENATE("#Metadata!", ADDRESS(INDEX($AI$2:$AI$1001,MATCH(ROWS($AG$2:AG898),$AG$2:$AG$1001,0),0), INDEX($AN$1004:$BO$1004,1,MATCH(COLUMNS($AN$1006:AU1006),$AN$1006:$BO$1006,0)))),"Fix")))</f>
        <v>0</v>
      </c>
      <c r="J898" s="4">
        <f>IF(OR(INDEX($AH$2:$AH$1001,MATCH(ROWS($AG$2:AG898),$AG$2:$AG$1001,0),1)&gt;=100000,INDEX($AN$1005:$BO$1005,1,MATCH(COLUMNS($AN$1006:AV1006),$AN$1006:$BO$1006,0))&gt;=100000), " ",IF(INDEX($AN$2:$BO$1001,MATCH(ROWS($AG$2:AG898),$AG$2:$AG$1001,0),MATCH(COLUMNS($AN$1006:AV1006),$AN$1006:$BO$1006,0)), HYPERLINK("#",""), HYPERLINK(CONCATENATE("#Metadata!", ADDRESS(INDEX($AI$2:$AI$1001,MATCH(ROWS($AG$2:AG898),$AG$2:$AG$1001,0),0), INDEX($AN$1004:$BO$1004,1,MATCH(COLUMNS($AN$1006:AV1006),$AN$1006:$BO$1006,0)))),"Fix")))</f>
        <v>0</v>
      </c>
      <c r="K898" s="4">
        <f>IF(OR(INDEX($AH$2:$AH$1001,MATCH(ROWS($AG$2:AG898),$AG$2:$AG$1001,0),1)&gt;=100000,INDEX($AN$1005:$BO$1005,1,MATCH(COLUMNS($AN$1006:AW1006),$AN$1006:$BO$1006,0))&gt;=100000), " ",IF(INDEX($AN$2:$BO$1001,MATCH(ROWS($AG$2:AG898),$AG$2:$AG$1001,0),MATCH(COLUMNS($AN$1006:AW1006),$AN$1006:$BO$1006,0)), HYPERLINK("#",""), HYPERLINK(CONCATENATE("#Metadata!", ADDRESS(INDEX($AI$2:$AI$1001,MATCH(ROWS($AG$2:AG898),$AG$2:$AG$1001,0),0), INDEX($AN$1004:$BO$1004,1,MATCH(COLUMNS($AN$1006:AW1006),$AN$1006:$BO$1006,0)))),"Fix")))</f>
        <v>0</v>
      </c>
      <c r="L898" s="4">
        <f>IF(OR(INDEX($AH$2:$AH$1001,MATCH(ROWS($AG$2:AG898),$AG$2:$AG$1001,0),1)&gt;=100000,INDEX($AN$1005:$BO$1005,1,MATCH(COLUMNS($AN$1006:AX1006),$AN$1006:$BO$1006,0))&gt;=100000), " ",IF(INDEX($AN$2:$BO$1001,MATCH(ROWS($AG$2:AG898),$AG$2:$AG$1001,0),MATCH(COLUMNS($AN$1006:AX1006),$AN$1006:$BO$1006,0)), HYPERLINK("#",""), HYPERLINK(CONCATENATE("#Metadata!", ADDRESS(INDEX($AI$2:$AI$1001,MATCH(ROWS($AG$2:AG898),$AG$2:$AG$1001,0),0), INDEX($AN$1004:$BO$1004,1,MATCH(COLUMNS($AN$1006:AX1006),$AN$1006:$BO$1006,0)))),"Fix")))</f>
        <v>0</v>
      </c>
      <c r="M898" s="4">
        <f>IF(OR(INDEX($AH$2:$AH$1001,MATCH(ROWS($AG$2:AG898),$AG$2:$AG$1001,0),1)&gt;=100000,INDEX($AN$1005:$BO$1005,1,MATCH(COLUMNS($AN$1006:AY1006),$AN$1006:$BO$1006,0))&gt;=100000), " ",IF(INDEX($AN$2:$BO$1001,MATCH(ROWS($AG$2:AG898),$AG$2:$AG$1001,0),MATCH(COLUMNS($AN$1006:AY1006),$AN$1006:$BO$1006,0)), HYPERLINK("#",""), HYPERLINK(CONCATENATE("#Metadata!", ADDRESS(INDEX($AI$2:$AI$1001,MATCH(ROWS($AG$2:AG898),$AG$2:$AG$1001,0),0), INDEX($AN$1004:$BO$1004,1,MATCH(COLUMNS($AN$1006:AY1006),$AN$1006:$BO$1006,0)))),"Fix")))</f>
        <v>0</v>
      </c>
      <c r="N898" s="4">
        <f>IF(OR(INDEX($AH$2:$AH$1001,MATCH(ROWS($AG$2:AG898),$AG$2:$AG$1001,0),1)&gt;=100000,INDEX($AN$1005:$BO$1005,1,MATCH(COLUMNS($AN$1006:AZ1006),$AN$1006:$BO$1006,0))&gt;=100000), " ",IF(INDEX($AN$2:$BO$1001,MATCH(ROWS($AG$2:AG898),$AG$2:$AG$1001,0),MATCH(COLUMNS($AN$1006:AZ1006),$AN$1006:$BO$1006,0)), HYPERLINK("#",""), HYPERLINK(CONCATENATE("#Metadata!", ADDRESS(INDEX($AI$2:$AI$1001,MATCH(ROWS($AG$2:AG898),$AG$2:$AG$1001,0),0), INDEX($AN$1004:$BO$1004,1,MATCH(COLUMNS($AN$1006:AZ1006),$AN$1006:$BO$1006,0)))),"Fix")))</f>
        <v>0</v>
      </c>
      <c r="O898" s="4">
        <f>IF(OR(INDEX($AH$2:$AH$1001,MATCH(ROWS($AG$2:AG898),$AG$2:$AG$1001,0),1)&gt;=100000,INDEX($AN$1005:$BO$1005,1,MATCH(COLUMNS($AN$1006:BA1006),$AN$1006:$BO$1006,0))&gt;=100000), " ",IF(INDEX($AN$2:$BO$1001,MATCH(ROWS($AG$2:AG898),$AG$2:$AG$1001,0),MATCH(COLUMNS($AN$1006:BA1006),$AN$1006:$BO$1006,0)), HYPERLINK("#",""), HYPERLINK(CONCATENATE("#Metadata!", ADDRESS(INDEX($AI$2:$AI$1001,MATCH(ROWS($AG$2:AG898),$AG$2:$AG$1001,0),0), INDEX($AN$1004:$BO$1004,1,MATCH(COLUMNS($AN$1006:BA1006),$AN$1006:$BO$1006,0)))),"Fix")))</f>
        <v>0</v>
      </c>
      <c r="P898" s="4">
        <f>IF(OR(INDEX($AH$2:$AH$1001,MATCH(ROWS($AG$2:AG898),$AG$2:$AG$1001,0),1)&gt;=100000,INDEX($AN$1005:$BO$1005,1,MATCH(COLUMNS($AN$1006:BB1006),$AN$1006:$BO$1006,0))&gt;=100000), " ",IF(INDEX($AN$2:$BO$1001,MATCH(ROWS($AG$2:AG898),$AG$2:$AG$1001,0),MATCH(COLUMNS($AN$1006:BB1006),$AN$1006:$BO$1006,0)), HYPERLINK("#",""), HYPERLINK(CONCATENATE("#Metadata!", ADDRESS(INDEX($AI$2:$AI$1001,MATCH(ROWS($AG$2:AG898),$AG$2:$AG$1001,0),0), INDEX($AN$1004:$BO$1004,1,MATCH(COLUMNS($AN$1006:BB1006),$AN$1006:$BO$1006,0)))),"Fix")))</f>
        <v>0</v>
      </c>
      <c r="Q898" s="4">
        <f>IF(OR(INDEX($AH$2:$AH$1001,MATCH(ROWS($AG$2:AG898),$AG$2:$AG$1001,0),1)&gt;=100000,INDEX($AN$1005:$BO$1005,1,MATCH(COLUMNS($AN$1006:BC1006),$AN$1006:$BO$1006,0))&gt;=100000), " ",IF(INDEX($AN$2:$BO$1001,MATCH(ROWS($AG$2:AG898),$AG$2:$AG$1001,0),MATCH(COLUMNS($AN$1006:BC1006),$AN$1006:$BO$1006,0)), HYPERLINK("#",""), HYPERLINK(CONCATENATE("#Metadata!", ADDRESS(INDEX($AI$2:$AI$1001,MATCH(ROWS($AG$2:AG898),$AG$2:$AG$1001,0),0), INDEX($AN$1004:$BO$1004,1,MATCH(COLUMNS($AN$1006:BC1006),$AN$1006:$BO$1006,0)))),"Fix")))</f>
        <v>0</v>
      </c>
      <c r="R898" s="4">
        <f>IF(OR(INDEX($AH$2:$AH$1001,MATCH(ROWS($AG$2:AG898),$AG$2:$AG$1001,0),1)&gt;=100000,INDEX($AN$1005:$BO$1005,1,MATCH(COLUMNS($AN$1006:BD1006),$AN$1006:$BO$1006,0))&gt;=100000), " ",IF(INDEX($AN$2:$BO$1001,MATCH(ROWS($AG$2:AG898),$AG$2:$AG$1001,0),MATCH(COLUMNS($AN$1006:BD1006),$AN$1006:$BO$1006,0)), HYPERLINK("#",""), HYPERLINK(CONCATENATE("#Metadata!", ADDRESS(INDEX($AI$2:$AI$1001,MATCH(ROWS($AG$2:AG898),$AG$2:$AG$1001,0),0), INDEX($AN$1004:$BO$1004,1,MATCH(COLUMNS($AN$1006:BD1006),$AN$1006:$BO$1006,0)))),"Fix")))</f>
        <v>0</v>
      </c>
      <c r="S898" s="4">
        <f>IF(OR(INDEX($AH$2:$AH$1001,MATCH(ROWS($AG$2:AG898),$AG$2:$AG$1001,0),1)&gt;=100000,INDEX($AN$1005:$BO$1005,1,MATCH(COLUMNS($AN$1006:BE1006),$AN$1006:$BO$1006,0))&gt;=100000), " ",IF(INDEX($AN$2:$BO$1001,MATCH(ROWS($AG$2:AG898),$AG$2:$AG$1001,0),MATCH(COLUMNS($AN$1006:BE1006),$AN$1006:$BO$1006,0)), HYPERLINK("#",""), HYPERLINK(CONCATENATE("#Metadata!", ADDRESS(INDEX($AI$2:$AI$1001,MATCH(ROWS($AG$2:AG898),$AG$2:$AG$1001,0),0), INDEX($AN$1004:$BO$1004,1,MATCH(COLUMNS($AN$1006:BE1006),$AN$1006:$BO$1006,0)))),"Fix")))</f>
        <v>0</v>
      </c>
      <c r="T898" s="4">
        <f>IF(OR(INDEX($AH$2:$AH$1001,MATCH(ROWS($AG$2:AG898),$AG$2:$AG$1001,0),1)&gt;=100000,INDEX($AN$1005:$BO$1005,1,MATCH(COLUMNS($AN$1006:BF1006),$AN$1006:$BO$1006,0))&gt;=100000), " ",IF(INDEX($AN$2:$BO$1001,MATCH(ROWS($AG$2:AG898),$AG$2:$AG$1001,0),MATCH(COLUMNS($AN$1006:BF1006),$AN$1006:$BO$1006,0)), HYPERLINK("#",""), HYPERLINK(CONCATENATE("#Metadata!", ADDRESS(INDEX($AI$2:$AI$1001,MATCH(ROWS($AG$2:AG898),$AG$2:$AG$1001,0),0), INDEX($AN$1004:$BO$1004,1,MATCH(COLUMNS($AN$1006:BF1006),$AN$1006:$BO$1006,0)))),"Fix")))</f>
        <v>0</v>
      </c>
      <c r="U898" s="4">
        <f>IF(OR(INDEX($AH$2:$AH$1001,MATCH(ROWS($AG$2:AG898),$AG$2:$AG$1001,0),1)&gt;=100000,INDEX($AN$1005:$BO$1005,1,MATCH(COLUMNS($AN$1006:BG1006),$AN$1006:$BO$1006,0))&gt;=100000), " ",IF(INDEX($AN$2:$BO$1001,MATCH(ROWS($AG$2:AG898),$AG$2:$AG$1001,0),MATCH(COLUMNS($AN$1006:BG1006),$AN$1006:$BO$1006,0)), HYPERLINK("#",""), HYPERLINK(CONCATENATE("#Metadata!", ADDRESS(INDEX($AI$2:$AI$1001,MATCH(ROWS($AG$2:AG898),$AG$2:$AG$1001,0),0), INDEX($AN$1004:$BO$1004,1,MATCH(COLUMNS($AN$1006:BG1006),$AN$1006:$BO$1006,0)))),"Fix")))</f>
        <v>0</v>
      </c>
      <c r="V898" s="4">
        <f>IF(OR(INDEX($AH$2:$AH$1001,MATCH(ROWS($AG$2:AG898),$AG$2:$AG$1001,0),1)&gt;=100000,INDEX($AN$1005:$BO$1005,1,MATCH(COLUMNS($AN$1006:BH1006),$AN$1006:$BO$1006,0))&gt;=100000), " ",IF(INDEX($AN$2:$BO$1001,MATCH(ROWS($AG$2:AG898),$AG$2:$AG$1001,0),MATCH(COLUMNS($AN$1006:BH1006),$AN$1006:$BO$1006,0)), HYPERLINK("#",""), HYPERLINK(CONCATENATE("#Metadata!", ADDRESS(INDEX($AI$2:$AI$1001,MATCH(ROWS($AG$2:AG898),$AG$2:$AG$1001,0),0), INDEX($AN$1004:$BO$1004,1,MATCH(COLUMNS($AN$1006:BH1006),$AN$1006:$BO$1006,0)))),"Fix")))</f>
        <v>0</v>
      </c>
      <c r="W898" s="4">
        <f>IF(OR(INDEX($AH$2:$AH$1001,MATCH(ROWS($AG$2:AG898),$AG$2:$AG$1001,0),1)&gt;=100000,INDEX($AN$1005:$BO$1005,1,MATCH(COLUMNS($AN$1006:BI1006),$AN$1006:$BO$1006,0))&gt;=100000), " ",IF(INDEX($AN$2:$BO$1001,MATCH(ROWS($AG$2:AG898),$AG$2:$AG$1001,0),MATCH(COLUMNS($AN$1006:BI1006),$AN$1006:$BO$1006,0)), HYPERLINK("#",""), HYPERLINK(CONCATENATE("#Metadata!", ADDRESS(INDEX($AI$2:$AI$1001,MATCH(ROWS($AG$2:AG898),$AG$2:$AG$1001,0),0), INDEX($AN$1004:$BO$1004,1,MATCH(COLUMNS($AN$1006:BI1006),$AN$1006:$BO$1006,0)))),"Fix")))</f>
        <v>0</v>
      </c>
      <c r="X898" s="4">
        <f>IF(OR(INDEX($AH$2:$AH$1001,MATCH(ROWS($AG$2:AG898),$AG$2:$AG$1001,0),1)&gt;=100000,INDEX($AN$1005:$BO$1005,1,MATCH(COLUMNS($AN$1006:BJ1006),$AN$1006:$BO$1006,0))&gt;=100000), " ",IF(INDEX($AN$2:$BO$1001,MATCH(ROWS($AG$2:AG898),$AG$2:$AG$1001,0),MATCH(COLUMNS($AN$1006:BJ1006),$AN$1006:$BO$1006,0)), HYPERLINK("#",""), HYPERLINK(CONCATENATE("#Metadata!", ADDRESS(INDEX($AI$2:$AI$1001,MATCH(ROWS($AG$2:AG898),$AG$2:$AG$1001,0),0), INDEX($AN$1004:$BO$1004,1,MATCH(COLUMNS($AN$1006:BJ1006),$AN$1006:$BO$1006,0)))),"Fix")))</f>
        <v>0</v>
      </c>
      <c r="Y898" s="4">
        <f>IF(OR(INDEX($AH$2:$AH$1001,MATCH(ROWS($AG$2:AG898),$AG$2:$AG$1001,0),1)&gt;=100000,INDEX($AN$1005:$BO$1005,1,MATCH(COLUMNS($AN$1006:BK1006),$AN$1006:$BO$1006,0))&gt;=100000), " ",IF(INDEX($AN$2:$BO$1001,MATCH(ROWS($AG$2:AG898),$AG$2:$AG$1001,0),MATCH(COLUMNS($AN$1006:BK1006),$AN$1006:$BO$1006,0)), HYPERLINK("#",""), HYPERLINK(CONCATENATE("#Metadata!", ADDRESS(INDEX($AI$2:$AI$1001,MATCH(ROWS($AG$2:AG898),$AG$2:$AG$1001,0),0), INDEX($AN$1004:$BO$1004,1,MATCH(COLUMNS($AN$1006:BK1006),$AN$1006:$BO$1006,0)))),"Fix")))</f>
        <v>0</v>
      </c>
      <c r="Z898" s="4">
        <f>IF(OR(INDEX($AH$2:$AH$1001,MATCH(ROWS($AG$2:AG898),$AG$2:$AG$1001,0),1)&gt;=100000,INDEX($AN$1005:$BO$1005,1,MATCH(COLUMNS($AN$1006:BL1006),$AN$1006:$BO$1006,0))&gt;=100000), " ",IF(INDEX($AN$2:$BO$1001,MATCH(ROWS($AG$2:AG898),$AG$2:$AG$1001,0),MATCH(COLUMNS($AN$1006:BL1006),$AN$1006:$BO$1006,0)), HYPERLINK("#",""), HYPERLINK(CONCATENATE("#Metadata!", ADDRESS(INDEX($AI$2:$AI$1001,MATCH(ROWS($AG$2:AG898),$AG$2:$AG$1001,0),0), INDEX($AN$1004:$BO$1004,1,MATCH(COLUMNS($AN$1006:BL1006),$AN$1006:$BO$1006,0)))),"Fix")))</f>
        <v>0</v>
      </c>
      <c r="AA898" s="4">
        <f>IF(OR(INDEX($AH$2:$AH$1001,MATCH(ROWS($AG$2:AG898),$AG$2:$AG$1001,0),1)&gt;=100000,INDEX($AN$1005:$BO$1005,1,MATCH(COLUMNS($AN$1006:BM1006),$AN$1006:$BO$1006,0))&gt;=100000), " ",IF(INDEX($AN$2:$BO$1001,MATCH(ROWS($AG$2:AG898),$AG$2:$AG$1001,0),MATCH(COLUMNS($AN$1006:BM1006),$AN$1006:$BO$1006,0)), HYPERLINK("#",""), HYPERLINK(CONCATENATE("#Metadata!", ADDRESS(INDEX($AI$2:$AI$1001,MATCH(ROWS($AG$2:AG898),$AG$2:$AG$1001,0),0), INDEX($AN$1004:$BO$1004,1,MATCH(COLUMNS($AN$1006:BM1006),$AN$1006:$BO$1006,0)))),"Fix")))</f>
        <v>0</v>
      </c>
      <c r="AB898" s="4">
        <f>IF(OR(INDEX($AH$2:$AH$1001,MATCH(ROWS($AG$2:AG898),$AG$2:$AG$1001,0),1)&gt;=100000,INDEX($AN$1005:$BO$1005,1,MATCH(COLUMNS($AN$1006:BN1006),$AN$1006:$BO$1006,0))&gt;=100000), " ",IF(INDEX($AN$2:$BO$1001,MATCH(ROWS($AG$2:AG898),$AG$2:$AG$1001,0),MATCH(COLUMNS($AN$1006:BN1006),$AN$1006:$BO$1006,0)), HYPERLINK("#",""), HYPERLINK(CONCATENATE("#Metadata!", ADDRESS(INDEX($AI$2:$AI$1001,MATCH(ROWS($AG$2:AG898),$AG$2:$AG$1001,0),0), INDEX($AN$1004:$BO$1004,1,MATCH(COLUMNS($AN$1006:BN1006),$AN$1006:$BO$1006,0)))),"Fix")))</f>
        <v>0</v>
      </c>
      <c r="AC898" s="4">
        <f>IF(OR(INDEX($AH$2:$AH$1001,MATCH(ROWS($AG$2:AG898),$AG$2:$AG$1001,0),1)&gt;=100000,INDEX($AN$1005:$BO$1005,1,MATCH(COLUMNS($AN$1006:BO1006),$AN$1006:$BO$1006,0))&gt;=100000), " ",IF(INDEX($AN$2:$BO$1001,MATCH(ROWS($AG$2:AG898),$AG$2:$AG$1001,0),MATCH(COLUMNS($AN$1006:BO1006),$AN$1006:$BO$1006,0)), HYPERLINK("#",""), HYPERLINK(CONCATENATE("#Metadata!", ADDRESS(INDEX($AI$2:$AI$1001,MATCH(ROWS($AG$2:AG898),$AG$2:$AG$1001,0),0), INDEX($AN$1004:$BO$1004,1,MATCH(COLUMNS($AN$1006:BO1006),$AN$1006:$BO$1006,0)))),"Fix")))</f>
        <v>0</v>
      </c>
      <c r="AG898">
        <v>0</v>
      </c>
      <c r="AH898">
        <v>0</v>
      </c>
      <c r="AI898">
        <v>0</v>
      </c>
      <c r="AJ898">
        <f>IF(AK898,TRUE,AND(AN898:BO898))</f>
        <v>0</v>
      </c>
      <c r="AK898">
        <f>COUNTBLANK(Metadata!B898:AC898)=COLUMNS(Metadata!B898:AC898)</f>
        <v>0</v>
      </c>
      <c r="AL898">
        <v>0</v>
      </c>
      <c r="AN898">
        <f>AND(IF(Metadata!B898="",FALSE,TRUE),COUNTIF(Metadata!B:B, Metadata!B898) = 1,NOT(ISERROR(SUMPRODUCT(SEARCH(MID(Metadata!B898,ROW(INDIRECT("1:"&amp;LEN(Metadata!B898))), 1),"0123456789abcdefghijklmnopqrstuvwxyzABCDEFGHIJKLMNOPQRSTUVWXYZ.")))))</f>
        <v>0</v>
      </c>
      <c r="AO898">
        <f>IF(Metadata!C898="",FALSE,TRUE)</f>
        <v>0</v>
      </c>
      <c r="AP898">
        <f>IF(Metadata!D898="",FALSE,TRUE)</f>
        <v>0</v>
      </c>
      <c r="AQ898">
        <f>OR(AND(IF(Metadata!E898="",FALSE,TRUE),OR(exact(Metadata!E898,"not collected"),exact(Metadata!E898,"not provided"),exact(Metadata!E898,"restricted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R898">
        <f>IF(Metadata!F898="",FALSE,TRUE)</f>
        <v>0</v>
      </c>
      <c r="AS898">
        <f>OR(AND(IF(Metadata!G898="",FALSE,TRUE),OR(exact(Metadata!G898,"not collected"),exact(Metadata!G898,"not provided"))),AND(IF(Metadata!G898="",FALSE,TRUE),OR(exact(Metadata!G898,"TRUE"),exact(Metadata!G898,"FALSE"))))</f>
        <v>0</v>
      </c>
      <c r="AT898">
        <f>OR(AND(IF(Metadata!H898="",FALSE,TRUE),OR(exact(Metadata!H898,"not collected"),exact(Metadata!H898,"not provided"),exact(Metadata!H898,"restricted access"))),AND(IF(Metadata!H898="",FALSE,ISNUMBER(VALUE(Metadata!H898))),Metadata!H898&gt;=-413.0))</f>
        <v>0</v>
      </c>
      <c r="AU898">
        <f>AND(IF(Metadata!I898="",FALSE,TRUE),exact(Metadata!I898,"meters"))</f>
        <v>0</v>
      </c>
      <c r="AV898">
        <f>AND(IF(Metadata!J898="",FALSE,TRUE),OR(exact(Metadata!J898,"Host-associated"),exact(Metadata!J898,"Free-living")))</f>
        <v>0</v>
      </c>
      <c r="AW898">
        <f>AND(IF(Metadata!K898="",FALSE,TRUE),OR(exact(Metadata!K898,"Animal"),exact(Metadata!K898,"Fungus"),exact(Metadata!K898,"Plant"),exact(Metadata!K898,"Saline"),exact(Metadata!K898,"Non-saline")))</f>
        <v>0</v>
      </c>
      <c r="AX898">
        <f>AND(IF(Metadata!L898="",FALSE,TRUE),OR(exact(Metadata!L898,"Plant secretion"),exact(Metadata!L898,"Plant rhizosphere"),exact(Metadata!L898,"Plant surface"),exact(Metadata!L898,"Plant corpus"),exact(Metadata!L898,"Fungus surface"),exact(Metadata!L898,"Fungus corpus"),exact(Metadata!L898,"Animal surface"),exact(Metadata!L898,"Animal proximal gut"),exact(Metadata!L898,"Animal corpus"),exact(Metadata!L898,"Animal distal gut"),exact(Metadata!L898,"Animal secretion"),exact(Metadata!L898,"Sub-surface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Y898">
        <f>IF(Metadata!M898="",FALSE,TRUE)</f>
        <v>0</v>
      </c>
      <c r="AZ898">
        <f>IF(Metadata!N898="",FALSE,TRUE)</f>
        <v>0</v>
      </c>
      <c r="BA898">
        <f>IF(Metadata!O898="",FALSE,TRUE)</f>
        <v>0</v>
      </c>
      <c r="BB898">
        <f>OR(AND(IF(Metadata!P898="",FALSE,TRUE),OR(exact(Metadata!P898,"not collected"),exact(Metadata!P898,"not provided"),exact(Metadata!P898,"restricted access"))),AND(IF(Metadata!P898="",FALSE,TRUE),OR(exact(Metadata!P898,"air"),exact(Metadata!P898,"built environment"),exact(Metadata!P898,"host-associated"),exact(Metadata!P898,"human-associated"),exact(Metadata!P898,"human-skin"),exact(Metadata!P898,"human-oral"),exact(Metadata!P898,"human-gut"),exact(Metadata!P898,"human-vaginal"),exact(Metadata!P898,"microbial mat/biofilm"),exact(Metadata!P898,"misc environment"),exact(Metadata!P898,"plant-associated"),exact(Metadata!P898,"sediment"),exact(Metadata!P898,"soil"),exact(Metadata!P898,"wastewater/sludge"),exact(Metadata!P898,"water"))))</f>
        <v>0</v>
      </c>
      <c r="BC898">
        <f>IF(Metadata!Q898="",FALSE,TRUE)</f>
        <v>0</v>
      </c>
      <c r="BD898">
        <f>IF(Metadata!R898="",FALSE,TRUE)</f>
        <v>0</v>
      </c>
      <c r="BE898">
        <f>OR(AND(IF(Metadata!S898="",FALSE,TRUE),OR(exact(Metadata!S898,"not collected"),exact(Metadata!S898,"not provided"),exact(Metadata!S898,"restricted access"))),AND(IF(Metadata!S898="",FALSE,ISNUMBER(VALUE(Metadata!S898))),Metadata!S898&gt;=-90.00,Metadata!S898&lt;=90.00))</f>
        <v>0</v>
      </c>
      <c r="BF898">
        <f>AND(IF(Metadata!T898="",FALSE,TRUE),exact(Metadata!T898,"Decimal degrees"))</f>
        <v>0</v>
      </c>
      <c r="BG898">
        <f>OR(AND(IF(Metadata!U898="",FALSE,TRUE),OR(exact(Metadata!U898,"not collected"),exact(Metadata!U898,"not provided"),exact(Metadata!U898,"restricted access"))),AND(IF(Metadata!U898="",FALSE,ISNUMBER(VALUE(Metadata!U898))),Metadata!U898&gt;=-180.00,Metadata!U898&lt;=180.00))</f>
        <v>0</v>
      </c>
      <c r="BH898">
        <f>AND(IF(Metadata!V898="",FALSE,TRUE),exact(Metadata!V898,"Decimal degrees"))</f>
        <v>0</v>
      </c>
      <c r="BI898">
        <f>IF(Metadata!W898="",FALSE,TRUE)</f>
        <v>0</v>
      </c>
      <c r="BJ898">
        <f>OR(AND(IF(Metadata!X898="",FALSE,TRUE),OR(exact(Metadata!X898,"not collected"),exact(Metadata!X898,"not provided"),exact(Metadata!X898,"restricted access"))),AND(IF(Metadata!X898="",FALSE,TRUE),OR(exact(Metadata!X898,"TRUE"),exact(Metadata!X898,"FALSE"))))</f>
        <v>0</v>
      </c>
      <c r="BK898">
        <f>AND(IF(Metadata!Y898="",FALSE,TRUE),exact(Metadata!Y898,"other"))</f>
        <v>0</v>
      </c>
      <c r="BL898">
        <f>IF(Metadata!Z898="",FALSE,TRUE)</f>
        <v>0</v>
      </c>
      <c r="BM898">
        <f>OR(AND(IF(Metadata!AA898="",FALSE,TRUE),OR(exact(Metadata!AA898,"not collected"),exact(Metadata!AA898,"not provided"))),AND(IF(Metadata!AA898="",FALSE,IF(ISERROR(INT(Metadata!AA898)),FALSE,INT(Metadata!AA898)=Metadata!AA898)),Metadata!AA898&gt;0))</f>
        <v>0</v>
      </c>
      <c r="BN898">
        <f>AND(IF(Metadata!AB898="",FALSE,TRUE),exact(Metadata!AB898,"Not applicable"))</f>
        <v>0</v>
      </c>
      <c r="BO898">
        <f>IF(Metadata!AC898="",FALSE,TRUE)</f>
        <v>0</v>
      </c>
    </row>
    <row r="899" spans="1:67">
      <c r="A899" s="5">
        <f>IF(B899=" "," ",HYPERLINK(CONCATENATE("#metadata!",ADDRESS(INDEX($AI$2:$AI$1001,MATCH(ROWS($AG$2:AG899),$AG$2:$AG$1001,0),0),1)),INDEX($AL$2:$AL$1001,MATCH(ROWS($AG$2:AG899),$AG$2:$AG$1001,0),0)))</f>
        <v>0</v>
      </c>
      <c r="B899" s="4">
        <f>IF(OR(INDEX($AH$2:$AH$1001,MATCH(ROWS($AG$2:AG899),$AG$2:$AG$1001,0),1)&gt;=100000,INDEX($AN$1005:$BO$1005,1,MATCH(COLUMNS($AN$1006:AN1006),$AN$1006:$BO$1006,0))&gt;=100000), " ",IF(INDEX($AN$2:$BO$1001,MATCH(ROWS($AG$2:AG899),$AG$2:$AG$1001,0),MATCH(COLUMNS($AN$1006:AN1006),$AN$1006:$BO$1006,0)), HYPERLINK("#",""), HYPERLINK(CONCATENATE("#Metadata!", ADDRESS(INDEX($AI$2:$AI$1001,MATCH(ROWS($AG$2:AG899),$AG$2:$AG$1001,0),0), INDEX($AN$1004:$BO$1004,1,MATCH(COLUMNS($AN$1006:AN1006),$AN$1006:$BO$1006,0)))),"Fix")))</f>
        <v>0</v>
      </c>
      <c r="C899" s="4">
        <f>IF(OR(INDEX($AH$2:$AH$1001,MATCH(ROWS($AG$2:AG899),$AG$2:$AG$1001,0),1)&gt;=100000,INDEX($AN$1005:$BO$1005,1,MATCH(COLUMNS($AN$1006:AO1006),$AN$1006:$BO$1006,0))&gt;=100000), " ",IF(INDEX($AN$2:$BO$1001,MATCH(ROWS($AG$2:AG899),$AG$2:$AG$1001,0),MATCH(COLUMNS($AN$1006:AO1006),$AN$1006:$BO$1006,0)), HYPERLINK("#",""), HYPERLINK(CONCATENATE("#Metadata!", ADDRESS(INDEX($AI$2:$AI$1001,MATCH(ROWS($AG$2:AG899),$AG$2:$AG$1001,0),0), INDEX($AN$1004:$BO$1004,1,MATCH(COLUMNS($AN$1006:AO1006),$AN$1006:$BO$1006,0)))),"Fix")))</f>
        <v>0</v>
      </c>
      <c r="D899" s="4">
        <f>IF(OR(INDEX($AH$2:$AH$1001,MATCH(ROWS($AG$2:AG899),$AG$2:$AG$1001,0),1)&gt;=100000,INDEX($AN$1005:$BO$1005,1,MATCH(COLUMNS($AN$1006:AP1006),$AN$1006:$BO$1006,0))&gt;=100000), " ",IF(INDEX($AN$2:$BO$1001,MATCH(ROWS($AG$2:AG899),$AG$2:$AG$1001,0),MATCH(COLUMNS($AN$1006:AP1006),$AN$1006:$BO$1006,0)), HYPERLINK("#",""), HYPERLINK(CONCATENATE("#Metadata!", ADDRESS(INDEX($AI$2:$AI$1001,MATCH(ROWS($AG$2:AG899),$AG$2:$AG$1001,0),0), INDEX($AN$1004:$BO$1004,1,MATCH(COLUMNS($AN$1006:AP1006),$AN$1006:$BO$1006,0)))),"Fix")))</f>
        <v>0</v>
      </c>
      <c r="E899" s="4">
        <f>IF(OR(INDEX($AH$2:$AH$1001,MATCH(ROWS($AG$2:AG899),$AG$2:$AG$1001,0),1)&gt;=100000,INDEX($AN$1005:$BO$1005,1,MATCH(COLUMNS($AN$1006:AQ1006),$AN$1006:$BO$1006,0))&gt;=100000), " ",IF(INDEX($AN$2:$BO$1001,MATCH(ROWS($AG$2:AG899),$AG$2:$AG$1001,0),MATCH(COLUMNS($AN$1006:AQ1006),$AN$1006:$BO$1006,0)), HYPERLINK("#",""), HYPERLINK(CONCATENATE("#Metadata!", ADDRESS(INDEX($AI$2:$AI$1001,MATCH(ROWS($AG$2:AG899),$AG$2:$AG$1001,0),0), INDEX($AN$1004:$BO$1004,1,MATCH(COLUMNS($AN$1006:AQ1006),$AN$1006:$BO$1006,0)))),"Fix")))</f>
        <v>0</v>
      </c>
      <c r="F899" s="4">
        <f>IF(OR(INDEX($AH$2:$AH$1001,MATCH(ROWS($AG$2:AG899),$AG$2:$AG$1001,0),1)&gt;=100000,INDEX($AN$1005:$BO$1005,1,MATCH(COLUMNS($AN$1006:AR1006),$AN$1006:$BO$1006,0))&gt;=100000), " ",IF(INDEX($AN$2:$BO$1001,MATCH(ROWS($AG$2:AG899),$AG$2:$AG$1001,0),MATCH(COLUMNS($AN$1006:AR1006),$AN$1006:$BO$1006,0)), HYPERLINK("#",""), HYPERLINK(CONCATENATE("#Metadata!", ADDRESS(INDEX($AI$2:$AI$1001,MATCH(ROWS($AG$2:AG899),$AG$2:$AG$1001,0),0), INDEX($AN$1004:$BO$1004,1,MATCH(COLUMNS($AN$1006:AR1006),$AN$1006:$BO$1006,0)))),"Fix")))</f>
        <v>0</v>
      </c>
      <c r="G899" s="4">
        <f>IF(OR(INDEX($AH$2:$AH$1001,MATCH(ROWS($AG$2:AG899),$AG$2:$AG$1001,0),1)&gt;=100000,INDEX($AN$1005:$BO$1005,1,MATCH(COLUMNS($AN$1006:AS1006),$AN$1006:$BO$1006,0))&gt;=100000), " ",IF(INDEX($AN$2:$BO$1001,MATCH(ROWS($AG$2:AG899),$AG$2:$AG$1001,0),MATCH(COLUMNS($AN$1006:AS1006),$AN$1006:$BO$1006,0)), HYPERLINK("#",""), HYPERLINK(CONCATENATE("#Metadata!", ADDRESS(INDEX($AI$2:$AI$1001,MATCH(ROWS($AG$2:AG899),$AG$2:$AG$1001,0),0), INDEX($AN$1004:$BO$1004,1,MATCH(COLUMNS($AN$1006:AS1006),$AN$1006:$BO$1006,0)))),"Fix")))</f>
        <v>0</v>
      </c>
      <c r="H899" s="4">
        <f>IF(OR(INDEX($AH$2:$AH$1001,MATCH(ROWS($AG$2:AG899),$AG$2:$AG$1001,0),1)&gt;=100000,INDEX($AN$1005:$BO$1005,1,MATCH(COLUMNS($AN$1006:AT1006),$AN$1006:$BO$1006,0))&gt;=100000), " ",IF(INDEX($AN$2:$BO$1001,MATCH(ROWS($AG$2:AG899),$AG$2:$AG$1001,0),MATCH(COLUMNS($AN$1006:AT1006),$AN$1006:$BO$1006,0)), HYPERLINK("#",""), HYPERLINK(CONCATENATE("#Metadata!", ADDRESS(INDEX($AI$2:$AI$1001,MATCH(ROWS($AG$2:AG899),$AG$2:$AG$1001,0),0), INDEX($AN$1004:$BO$1004,1,MATCH(COLUMNS($AN$1006:AT1006),$AN$1006:$BO$1006,0)))),"Fix")))</f>
        <v>0</v>
      </c>
      <c r="I899" s="4">
        <f>IF(OR(INDEX($AH$2:$AH$1001,MATCH(ROWS($AG$2:AG899),$AG$2:$AG$1001,0),1)&gt;=100000,INDEX($AN$1005:$BO$1005,1,MATCH(COLUMNS($AN$1006:AU1006),$AN$1006:$BO$1006,0))&gt;=100000), " ",IF(INDEX($AN$2:$BO$1001,MATCH(ROWS($AG$2:AG899),$AG$2:$AG$1001,0),MATCH(COLUMNS($AN$1006:AU1006),$AN$1006:$BO$1006,0)), HYPERLINK("#",""), HYPERLINK(CONCATENATE("#Metadata!", ADDRESS(INDEX($AI$2:$AI$1001,MATCH(ROWS($AG$2:AG899),$AG$2:$AG$1001,0),0), INDEX($AN$1004:$BO$1004,1,MATCH(COLUMNS($AN$1006:AU1006),$AN$1006:$BO$1006,0)))),"Fix")))</f>
        <v>0</v>
      </c>
      <c r="J899" s="4">
        <f>IF(OR(INDEX($AH$2:$AH$1001,MATCH(ROWS($AG$2:AG899),$AG$2:$AG$1001,0),1)&gt;=100000,INDEX($AN$1005:$BO$1005,1,MATCH(COLUMNS($AN$1006:AV1006),$AN$1006:$BO$1006,0))&gt;=100000), " ",IF(INDEX($AN$2:$BO$1001,MATCH(ROWS($AG$2:AG899),$AG$2:$AG$1001,0),MATCH(COLUMNS($AN$1006:AV1006),$AN$1006:$BO$1006,0)), HYPERLINK("#",""), HYPERLINK(CONCATENATE("#Metadata!", ADDRESS(INDEX($AI$2:$AI$1001,MATCH(ROWS($AG$2:AG899),$AG$2:$AG$1001,0),0), INDEX($AN$1004:$BO$1004,1,MATCH(COLUMNS($AN$1006:AV1006),$AN$1006:$BO$1006,0)))),"Fix")))</f>
        <v>0</v>
      </c>
      <c r="K899" s="4">
        <f>IF(OR(INDEX($AH$2:$AH$1001,MATCH(ROWS($AG$2:AG899),$AG$2:$AG$1001,0),1)&gt;=100000,INDEX($AN$1005:$BO$1005,1,MATCH(COLUMNS($AN$1006:AW1006),$AN$1006:$BO$1006,0))&gt;=100000), " ",IF(INDEX($AN$2:$BO$1001,MATCH(ROWS($AG$2:AG899),$AG$2:$AG$1001,0),MATCH(COLUMNS($AN$1006:AW1006),$AN$1006:$BO$1006,0)), HYPERLINK("#",""), HYPERLINK(CONCATENATE("#Metadata!", ADDRESS(INDEX($AI$2:$AI$1001,MATCH(ROWS($AG$2:AG899),$AG$2:$AG$1001,0),0), INDEX($AN$1004:$BO$1004,1,MATCH(COLUMNS($AN$1006:AW1006),$AN$1006:$BO$1006,0)))),"Fix")))</f>
        <v>0</v>
      </c>
      <c r="L899" s="4">
        <f>IF(OR(INDEX($AH$2:$AH$1001,MATCH(ROWS($AG$2:AG899),$AG$2:$AG$1001,0),1)&gt;=100000,INDEX($AN$1005:$BO$1005,1,MATCH(COLUMNS($AN$1006:AX1006),$AN$1006:$BO$1006,0))&gt;=100000), " ",IF(INDEX($AN$2:$BO$1001,MATCH(ROWS($AG$2:AG899),$AG$2:$AG$1001,0),MATCH(COLUMNS($AN$1006:AX1006),$AN$1006:$BO$1006,0)), HYPERLINK("#",""), HYPERLINK(CONCATENATE("#Metadata!", ADDRESS(INDEX($AI$2:$AI$1001,MATCH(ROWS($AG$2:AG899),$AG$2:$AG$1001,0),0), INDEX($AN$1004:$BO$1004,1,MATCH(COLUMNS($AN$1006:AX1006),$AN$1006:$BO$1006,0)))),"Fix")))</f>
        <v>0</v>
      </c>
      <c r="M899" s="4">
        <f>IF(OR(INDEX($AH$2:$AH$1001,MATCH(ROWS($AG$2:AG899),$AG$2:$AG$1001,0),1)&gt;=100000,INDEX($AN$1005:$BO$1005,1,MATCH(COLUMNS($AN$1006:AY1006),$AN$1006:$BO$1006,0))&gt;=100000), " ",IF(INDEX($AN$2:$BO$1001,MATCH(ROWS($AG$2:AG899),$AG$2:$AG$1001,0),MATCH(COLUMNS($AN$1006:AY1006),$AN$1006:$BO$1006,0)), HYPERLINK("#",""), HYPERLINK(CONCATENATE("#Metadata!", ADDRESS(INDEX($AI$2:$AI$1001,MATCH(ROWS($AG$2:AG899),$AG$2:$AG$1001,0),0), INDEX($AN$1004:$BO$1004,1,MATCH(COLUMNS($AN$1006:AY1006),$AN$1006:$BO$1006,0)))),"Fix")))</f>
        <v>0</v>
      </c>
      <c r="N899" s="4">
        <f>IF(OR(INDEX($AH$2:$AH$1001,MATCH(ROWS($AG$2:AG899),$AG$2:$AG$1001,0),1)&gt;=100000,INDEX($AN$1005:$BO$1005,1,MATCH(COLUMNS($AN$1006:AZ1006),$AN$1006:$BO$1006,0))&gt;=100000), " ",IF(INDEX($AN$2:$BO$1001,MATCH(ROWS($AG$2:AG899),$AG$2:$AG$1001,0),MATCH(COLUMNS($AN$1006:AZ1006),$AN$1006:$BO$1006,0)), HYPERLINK("#",""), HYPERLINK(CONCATENATE("#Metadata!", ADDRESS(INDEX($AI$2:$AI$1001,MATCH(ROWS($AG$2:AG899),$AG$2:$AG$1001,0),0), INDEX($AN$1004:$BO$1004,1,MATCH(COLUMNS($AN$1006:AZ1006),$AN$1006:$BO$1006,0)))),"Fix")))</f>
        <v>0</v>
      </c>
      <c r="O899" s="4">
        <f>IF(OR(INDEX($AH$2:$AH$1001,MATCH(ROWS($AG$2:AG899),$AG$2:$AG$1001,0),1)&gt;=100000,INDEX($AN$1005:$BO$1005,1,MATCH(COLUMNS($AN$1006:BA1006),$AN$1006:$BO$1006,0))&gt;=100000), " ",IF(INDEX($AN$2:$BO$1001,MATCH(ROWS($AG$2:AG899),$AG$2:$AG$1001,0),MATCH(COLUMNS($AN$1006:BA1006),$AN$1006:$BO$1006,0)), HYPERLINK("#",""), HYPERLINK(CONCATENATE("#Metadata!", ADDRESS(INDEX($AI$2:$AI$1001,MATCH(ROWS($AG$2:AG899),$AG$2:$AG$1001,0),0), INDEX($AN$1004:$BO$1004,1,MATCH(COLUMNS($AN$1006:BA1006),$AN$1006:$BO$1006,0)))),"Fix")))</f>
        <v>0</v>
      </c>
      <c r="P899" s="4">
        <f>IF(OR(INDEX($AH$2:$AH$1001,MATCH(ROWS($AG$2:AG899),$AG$2:$AG$1001,0),1)&gt;=100000,INDEX($AN$1005:$BO$1005,1,MATCH(COLUMNS($AN$1006:BB1006),$AN$1006:$BO$1006,0))&gt;=100000), " ",IF(INDEX($AN$2:$BO$1001,MATCH(ROWS($AG$2:AG899),$AG$2:$AG$1001,0),MATCH(COLUMNS($AN$1006:BB1006),$AN$1006:$BO$1006,0)), HYPERLINK("#",""), HYPERLINK(CONCATENATE("#Metadata!", ADDRESS(INDEX($AI$2:$AI$1001,MATCH(ROWS($AG$2:AG899),$AG$2:$AG$1001,0),0), INDEX($AN$1004:$BO$1004,1,MATCH(COLUMNS($AN$1006:BB1006),$AN$1006:$BO$1006,0)))),"Fix")))</f>
        <v>0</v>
      </c>
      <c r="Q899" s="4">
        <f>IF(OR(INDEX($AH$2:$AH$1001,MATCH(ROWS($AG$2:AG899),$AG$2:$AG$1001,0),1)&gt;=100000,INDEX($AN$1005:$BO$1005,1,MATCH(COLUMNS($AN$1006:BC1006),$AN$1006:$BO$1006,0))&gt;=100000), " ",IF(INDEX($AN$2:$BO$1001,MATCH(ROWS($AG$2:AG899),$AG$2:$AG$1001,0),MATCH(COLUMNS($AN$1006:BC1006),$AN$1006:$BO$1006,0)), HYPERLINK("#",""), HYPERLINK(CONCATENATE("#Metadata!", ADDRESS(INDEX($AI$2:$AI$1001,MATCH(ROWS($AG$2:AG899),$AG$2:$AG$1001,0),0), INDEX($AN$1004:$BO$1004,1,MATCH(COLUMNS($AN$1006:BC1006),$AN$1006:$BO$1006,0)))),"Fix")))</f>
        <v>0</v>
      </c>
      <c r="R899" s="4">
        <f>IF(OR(INDEX($AH$2:$AH$1001,MATCH(ROWS($AG$2:AG899),$AG$2:$AG$1001,0),1)&gt;=100000,INDEX($AN$1005:$BO$1005,1,MATCH(COLUMNS($AN$1006:BD1006),$AN$1006:$BO$1006,0))&gt;=100000), " ",IF(INDEX($AN$2:$BO$1001,MATCH(ROWS($AG$2:AG899),$AG$2:$AG$1001,0),MATCH(COLUMNS($AN$1006:BD1006),$AN$1006:$BO$1006,0)), HYPERLINK("#",""), HYPERLINK(CONCATENATE("#Metadata!", ADDRESS(INDEX($AI$2:$AI$1001,MATCH(ROWS($AG$2:AG899),$AG$2:$AG$1001,0),0), INDEX($AN$1004:$BO$1004,1,MATCH(COLUMNS($AN$1006:BD1006),$AN$1006:$BO$1006,0)))),"Fix")))</f>
        <v>0</v>
      </c>
      <c r="S899" s="4">
        <f>IF(OR(INDEX($AH$2:$AH$1001,MATCH(ROWS($AG$2:AG899),$AG$2:$AG$1001,0),1)&gt;=100000,INDEX($AN$1005:$BO$1005,1,MATCH(COLUMNS($AN$1006:BE1006),$AN$1006:$BO$1006,0))&gt;=100000), " ",IF(INDEX($AN$2:$BO$1001,MATCH(ROWS($AG$2:AG899),$AG$2:$AG$1001,0),MATCH(COLUMNS($AN$1006:BE1006),$AN$1006:$BO$1006,0)), HYPERLINK("#",""), HYPERLINK(CONCATENATE("#Metadata!", ADDRESS(INDEX($AI$2:$AI$1001,MATCH(ROWS($AG$2:AG899),$AG$2:$AG$1001,0),0), INDEX($AN$1004:$BO$1004,1,MATCH(COLUMNS($AN$1006:BE1006),$AN$1006:$BO$1006,0)))),"Fix")))</f>
        <v>0</v>
      </c>
      <c r="T899" s="4">
        <f>IF(OR(INDEX($AH$2:$AH$1001,MATCH(ROWS($AG$2:AG899),$AG$2:$AG$1001,0),1)&gt;=100000,INDEX($AN$1005:$BO$1005,1,MATCH(COLUMNS($AN$1006:BF1006),$AN$1006:$BO$1006,0))&gt;=100000), " ",IF(INDEX($AN$2:$BO$1001,MATCH(ROWS($AG$2:AG899),$AG$2:$AG$1001,0),MATCH(COLUMNS($AN$1006:BF1006),$AN$1006:$BO$1006,0)), HYPERLINK("#",""), HYPERLINK(CONCATENATE("#Metadata!", ADDRESS(INDEX($AI$2:$AI$1001,MATCH(ROWS($AG$2:AG899),$AG$2:$AG$1001,0),0), INDEX($AN$1004:$BO$1004,1,MATCH(COLUMNS($AN$1006:BF1006),$AN$1006:$BO$1006,0)))),"Fix")))</f>
        <v>0</v>
      </c>
      <c r="U899" s="4">
        <f>IF(OR(INDEX($AH$2:$AH$1001,MATCH(ROWS($AG$2:AG899),$AG$2:$AG$1001,0),1)&gt;=100000,INDEX($AN$1005:$BO$1005,1,MATCH(COLUMNS($AN$1006:BG1006),$AN$1006:$BO$1006,0))&gt;=100000), " ",IF(INDEX($AN$2:$BO$1001,MATCH(ROWS($AG$2:AG899),$AG$2:$AG$1001,0),MATCH(COLUMNS($AN$1006:BG1006),$AN$1006:$BO$1006,0)), HYPERLINK("#",""), HYPERLINK(CONCATENATE("#Metadata!", ADDRESS(INDEX($AI$2:$AI$1001,MATCH(ROWS($AG$2:AG899),$AG$2:$AG$1001,0),0), INDEX($AN$1004:$BO$1004,1,MATCH(COLUMNS($AN$1006:BG1006),$AN$1006:$BO$1006,0)))),"Fix")))</f>
        <v>0</v>
      </c>
      <c r="V899" s="4">
        <f>IF(OR(INDEX($AH$2:$AH$1001,MATCH(ROWS($AG$2:AG899),$AG$2:$AG$1001,0),1)&gt;=100000,INDEX($AN$1005:$BO$1005,1,MATCH(COLUMNS($AN$1006:BH1006),$AN$1006:$BO$1006,0))&gt;=100000), " ",IF(INDEX($AN$2:$BO$1001,MATCH(ROWS($AG$2:AG899),$AG$2:$AG$1001,0),MATCH(COLUMNS($AN$1006:BH1006),$AN$1006:$BO$1006,0)), HYPERLINK("#",""), HYPERLINK(CONCATENATE("#Metadata!", ADDRESS(INDEX($AI$2:$AI$1001,MATCH(ROWS($AG$2:AG899),$AG$2:$AG$1001,0),0), INDEX($AN$1004:$BO$1004,1,MATCH(COLUMNS($AN$1006:BH1006),$AN$1006:$BO$1006,0)))),"Fix")))</f>
        <v>0</v>
      </c>
      <c r="W899" s="4">
        <f>IF(OR(INDEX($AH$2:$AH$1001,MATCH(ROWS($AG$2:AG899),$AG$2:$AG$1001,0),1)&gt;=100000,INDEX($AN$1005:$BO$1005,1,MATCH(COLUMNS($AN$1006:BI1006),$AN$1006:$BO$1006,0))&gt;=100000), " ",IF(INDEX($AN$2:$BO$1001,MATCH(ROWS($AG$2:AG899),$AG$2:$AG$1001,0),MATCH(COLUMNS($AN$1006:BI1006),$AN$1006:$BO$1006,0)), HYPERLINK("#",""), HYPERLINK(CONCATENATE("#Metadata!", ADDRESS(INDEX($AI$2:$AI$1001,MATCH(ROWS($AG$2:AG899),$AG$2:$AG$1001,0),0), INDEX($AN$1004:$BO$1004,1,MATCH(COLUMNS($AN$1006:BI1006),$AN$1006:$BO$1006,0)))),"Fix")))</f>
        <v>0</v>
      </c>
      <c r="X899" s="4">
        <f>IF(OR(INDEX($AH$2:$AH$1001,MATCH(ROWS($AG$2:AG899),$AG$2:$AG$1001,0),1)&gt;=100000,INDEX($AN$1005:$BO$1005,1,MATCH(COLUMNS($AN$1006:BJ1006),$AN$1006:$BO$1006,0))&gt;=100000), " ",IF(INDEX($AN$2:$BO$1001,MATCH(ROWS($AG$2:AG899),$AG$2:$AG$1001,0),MATCH(COLUMNS($AN$1006:BJ1006),$AN$1006:$BO$1006,0)), HYPERLINK("#",""), HYPERLINK(CONCATENATE("#Metadata!", ADDRESS(INDEX($AI$2:$AI$1001,MATCH(ROWS($AG$2:AG899),$AG$2:$AG$1001,0),0), INDEX($AN$1004:$BO$1004,1,MATCH(COLUMNS($AN$1006:BJ1006),$AN$1006:$BO$1006,0)))),"Fix")))</f>
        <v>0</v>
      </c>
      <c r="Y899" s="4">
        <f>IF(OR(INDEX($AH$2:$AH$1001,MATCH(ROWS($AG$2:AG899),$AG$2:$AG$1001,0),1)&gt;=100000,INDEX($AN$1005:$BO$1005,1,MATCH(COLUMNS($AN$1006:BK1006),$AN$1006:$BO$1006,0))&gt;=100000), " ",IF(INDEX($AN$2:$BO$1001,MATCH(ROWS($AG$2:AG899),$AG$2:$AG$1001,0),MATCH(COLUMNS($AN$1006:BK1006),$AN$1006:$BO$1006,0)), HYPERLINK("#",""), HYPERLINK(CONCATENATE("#Metadata!", ADDRESS(INDEX($AI$2:$AI$1001,MATCH(ROWS($AG$2:AG899),$AG$2:$AG$1001,0),0), INDEX($AN$1004:$BO$1004,1,MATCH(COLUMNS($AN$1006:BK1006),$AN$1006:$BO$1006,0)))),"Fix")))</f>
        <v>0</v>
      </c>
      <c r="Z899" s="4">
        <f>IF(OR(INDEX($AH$2:$AH$1001,MATCH(ROWS($AG$2:AG899),$AG$2:$AG$1001,0),1)&gt;=100000,INDEX($AN$1005:$BO$1005,1,MATCH(COLUMNS($AN$1006:BL1006),$AN$1006:$BO$1006,0))&gt;=100000), " ",IF(INDEX($AN$2:$BO$1001,MATCH(ROWS($AG$2:AG899),$AG$2:$AG$1001,0),MATCH(COLUMNS($AN$1006:BL1006),$AN$1006:$BO$1006,0)), HYPERLINK("#",""), HYPERLINK(CONCATENATE("#Metadata!", ADDRESS(INDEX($AI$2:$AI$1001,MATCH(ROWS($AG$2:AG899),$AG$2:$AG$1001,0),0), INDEX($AN$1004:$BO$1004,1,MATCH(COLUMNS($AN$1006:BL1006),$AN$1006:$BO$1006,0)))),"Fix")))</f>
        <v>0</v>
      </c>
      <c r="AA899" s="4">
        <f>IF(OR(INDEX($AH$2:$AH$1001,MATCH(ROWS($AG$2:AG899),$AG$2:$AG$1001,0),1)&gt;=100000,INDEX($AN$1005:$BO$1005,1,MATCH(COLUMNS($AN$1006:BM1006),$AN$1006:$BO$1006,0))&gt;=100000), " ",IF(INDEX($AN$2:$BO$1001,MATCH(ROWS($AG$2:AG899),$AG$2:$AG$1001,0),MATCH(COLUMNS($AN$1006:BM1006),$AN$1006:$BO$1006,0)), HYPERLINK("#",""), HYPERLINK(CONCATENATE("#Metadata!", ADDRESS(INDEX($AI$2:$AI$1001,MATCH(ROWS($AG$2:AG899),$AG$2:$AG$1001,0),0), INDEX($AN$1004:$BO$1004,1,MATCH(COLUMNS($AN$1006:BM1006),$AN$1006:$BO$1006,0)))),"Fix")))</f>
        <v>0</v>
      </c>
      <c r="AB899" s="4">
        <f>IF(OR(INDEX($AH$2:$AH$1001,MATCH(ROWS($AG$2:AG899),$AG$2:$AG$1001,0),1)&gt;=100000,INDEX($AN$1005:$BO$1005,1,MATCH(COLUMNS($AN$1006:BN1006),$AN$1006:$BO$1006,0))&gt;=100000), " ",IF(INDEX($AN$2:$BO$1001,MATCH(ROWS($AG$2:AG899),$AG$2:$AG$1001,0),MATCH(COLUMNS($AN$1006:BN1006),$AN$1006:$BO$1006,0)), HYPERLINK("#",""), HYPERLINK(CONCATENATE("#Metadata!", ADDRESS(INDEX($AI$2:$AI$1001,MATCH(ROWS($AG$2:AG899),$AG$2:$AG$1001,0),0), INDEX($AN$1004:$BO$1004,1,MATCH(COLUMNS($AN$1006:BN1006),$AN$1006:$BO$1006,0)))),"Fix")))</f>
        <v>0</v>
      </c>
      <c r="AC899" s="4">
        <f>IF(OR(INDEX($AH$2:$AH$1001,MATCH(ROWS($AG$2:AG899),$AG$2:$AG$1001,0),1)&gt;=100000,INDEX($AN$1005:$BO$1005,1,MATCH(COLUMNS($AN$1006:BO1006),$AN$1006:$BO$1006,0))&gt;=100000), " ",IF(INDEX($AN$2:$BO$1001,MATCH(ROWS($AG$2:AG899),$AG$2:$AG$1001,0),MATCH(COLUMNS($AN$1006:BO1006),$AN$1006:$BO$1006,0)), HYPERLINK("#",""), HYPERLINK(CONCATENATE("#Metadata!", ADDRESS(INDEX($AI$2:$AI$1001,MATCH(ROWS($AG$2:AG899),$AG$2:$AG$1001,0),0), INDEX($AN$1004:$BO$1004,1,MATCH(COLUMNS($AN$1006:BO1006),$AN$1006:$BO$1006,0)))),"Fix")))</f>
        <v>0</v>
      </c>
      <c r="AG899">
        <v>0</v>
      </c>
      <c r="AH899">
        <v>0</v>
      </c>
      <c r="AI899">
        <v>0</v>
      </c>
      <c r="AJ899">
        <f>IF(AK899,TRUE,AND(AN899:BO899))</f>
        <v>0</v>
      </c>
      <c r="AK899">
        <f>COUNTBLANK(Metadata!B899:AC899)=COLUMNS(Metadata!B899:AC899)</f>
        <v>0</v>
      </c>
      <c r="AL899">
        <v>0</v>
      </c>
      <c r="AN899">
        <f>AND(IF(Metadata!B899="",FALSE,TRUE),COUNTIF(Metadata!B:B, Metadata!B899) = 1,NOT(ISERROR(SUMPRODUCT(SEARCH(MID(Metadata!B899,ROW(INDIRECT("1:"&amp;LEN(Metadata!B899))), 1),"0123456789abcdefghijklmnopqrstuvwxyzABCDEFGHIJKLMNOPQRSTUVWXYZ.")))))</f>
        <v>0</v>
      </c>
      <c r="AO899">
        <f>IF(Metadata!C899="",FALSE,TRUE)</f>
        <v>0</v>
      </c>
      <c r="AP899">
        <f>IF(Metadata!D899="",FALSE,TRUE)</f>
        <v>0</v>
      </c>
      <c r="AQ899">
        <f>OR(AND(IF(Metadata!E899="",FALSE,TRUE),OR(exact(Metadata!E899,"not collected"),exact(Metadata!E899,"not provided"),exact(Metadata!E899,"restricted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R899">
        <f>IF(Metadata!F899="",FALSE,TRUE)</f>
        <v>0</v>
      </c>
      <c r="AS899">
        <f>OR(AND(IF(Metadata!G899="",FALSE,TRUE),OR(exact(Metadata!G899,"not collected"),exact(Metadata!G899,"not provided"))),AND(IF(Metadata!G899="",FALSE,TRUE),OR(exact(Metadata!G899,"TRUE"),exact(Metadata!G899,"FALSE"))))</f>
        <v>0</v>
      </c>
      <c r="AT899">
        <f>OR(AND(IF(Metadata!H899="",FALSE,TRUE),OR(exact(Metadata!H899,"not collected"),exact(Metadata!H899,"not provided"),exact(Metadata!H899,"restricted access"))),AND(IF(Metadata!H899="",FALSE,ISNUMBER(VALUE(Metadata!H899))),Metadata!H899&gt;=-413.0))</f>
        <v>0</v>
      </c>
      <c r="AU899">
        <f>AND(IF(Metadata!I899="",FALSE,TRUE),exact(Metadata!I899,"meters"))</f>
        <v>0</v>
      </c>
      <c r="AV899">
        <f>AND(IF(Metadata!J899="",FALSE,TRUE),OR(exact(Metadata!J899,"Host-associated"),exact(Metadata!J899,"Free-living")))</f>
        <v>0</v>
      </c>
      <c r="AW899">
        <f>AND(IF(Metadata!K899="",FALSE,TRUE),OR(exact(Metadata!K899,"Animal"),exact(Metadata!K899,"Fungus"),exact(Metadata!K899,"Plant"),exact(Metadata!K899,"Saline"),exact(Metadata!K899,"Non-saline")))</f>
        <v>0</v>
      </c>
      <c r="AX899">
        <f>AND(IF(Metadata!L899="",FALSE,TRUE),OR(exact(Metadata!L899,"Plant secretion"),exact(Metadata!L899,"Plant rhizosphere"),exact(Metadata!L899,"Plant surface"),exact(Metadata!L899,"Plant corpus"),exact(Metadata!L899,"Fungus surface"),exact(Metadata!L899,"Fungus corpus"),exact(Metadata!L899,"Animal surface"),exact(Metadata!L899,"Animal proximal gut"),exact(Metadata!L899,"Animal corpus"),exact(Metadata!L899,"Animal distal gut"),exact(Metadata!L899,"Animal secretion"),exact(Metadata!L899,"Sub-surface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Y899">
        <f>IF(Metadata!M899="",FALSE,TRUE)</f>
        <v>0</v>
      </c>
      <c r="AZ899">
        <f>IF(Metadata!N899="",FALSE,TRUE)</f>
        <v>0</v>
      </c>
      <c r="BA899">
        <f>IF(Metadata!O899="",FALSE,TRUE)</f>
        <v>0</v>
      </c>
      <c r="BB899">
        <f>OR(AND(IF(Metadata!P899="",FALSE,TRUE),OR(exact(Metadata!P899,"not collected"),exact(Metadata!P899,"not provided"),exact(Metadata!P899,"restricted access"))),AND(IF(Metadata!P899="",FALSE,TRUE),OR(exact(Metadata!P899,"air"),exact(Metadata!P899,"built environment"),exact(Metadata!P899,"host-associated"),exact(Metadata!P899,"human-associated"),exact(Metadata!P899,"human-skin"),exact(Metadata!P899,"human-oral"),exact(Metadata!P899,"human-gut"),exact(Metadata!P899,"human-vaginal"),exact(Metadata!P899,"microbial mat/biofilm"),exact(Metadata!P899,"misc environment"),exact(Metadata!P899,"plant-associated"),exact(Metadata!P899,"sediment"),exact(Metadata!P899,"soil"),exact(Metadata!P899,"wastewater/sludge"),exact(Metadata!P899,"water"))))</f>
        <v>0</v>
      </c>
      <c r="BC899">
        <f>IF(Metadata!Q899="",FALSE,TRUE)</f>
        <v>0</v>
      </c>
      <c r="BD899">
        <f>IF(Metadata!R899="",FALSE,TRUE)</f>
        <v>0</v>
      </c>
      <c r="BE899">
        <f>OR(AND(IF(Metadata!S899="",FALSE,TRUE),OR(exact(Metadata!S899,"not collected"),exact(Metadata!S899,"not provided"),exact(Metadata!S899,"restricted access"))),AND(IF(Metadata!S899="",FALSE,ISNUMBER(VALUE(Metadata!S899))),Metadata!S899&gt;=-90.00,Metadata!S899&lt;=90.00))</f>
        <v>0</v>
      </c>
      <c r="BF899">
        <f>AND(IF(Metadata!T899="",FALSE,TRUE),exact(Metadata!T899,"Decimal degrees"))</f>
        <v>0</v>
      </c>
      <c r="BG899">
        <f>OR(AND(IF(Metadata!U899="",FALSE,TRUE),OR(exact(Metadata!U899,"not collected"),exact(Metadata!U899,"not provided"),exact(Metadata!U899,"restricted access"))),AND(IF(Metadata!U899="",FALSE,ISNUMBER(VALUE(Metadata!U899))),Metadata!U899&gt;=-180.00,Metadata!U899&lt;=180.00))</f>
        <v>0</v>
      </c>
      <c r="BH899">
        <f>AND(IF(Metadata!V899="",FALSE,TRUE),exact(Metadata!V899,"Decimal degrees"))</f>
        <v>0</v>
      </c>
      <c r="BI899">
        <f>IF(Metadata!W899="",FALSE,TRUE)</f>
        <v>0</v>
      </c>
      <c r="BJ899">
        <f>OR(AND(IF(Metadata!X899="",FALSE,TRUE),OR(exact(Metadata!X899,"not collected"),exact(Metadata!X899,"not provided"),exact(Metadata!X899,"restricted access"))),AND(IF(Metadata!X899="",FALSE,TRUE),OR(exact(Metadata!X899,"TRUE"),exact(Metadata!X899,"FALSE"))))</f>
        <v>0</v>
      </c>
      <c r="BK899">
        <f>AND(IF(Metadata!Y899="",FALSE,TRUE),exact(Metadata!Y899,"other"))</f>
        <v>0</v>
      </c>
      <c r="BL899">
        <f>IF(Metadata!Z899="",FALSE,TRUE)</f>
        <v>0</v>
      </c>
      <c r="BM899">
        <f>OR(AND(IF(Metadata!AA899="",FALSE,TRUE),OR(exact(Metadata!AA899,"not collected"),exact(Metadata!AA899,"not provided"))),AND(IF(Metadata!AA899="",FALSE,IF(ISERROR(INT(Metadata!AA899)),FALSE,INT(Metadata!AA899)=Metadata!AA899)),Metadata!AA899&gt;0))</f>
        <v>0</v>
      </c>
      <c r="BN899">
        <f>AND(IF(Metadata!AB899="",FALSE,TRUE),exact(Metadata!AB899,"Not applicable"))</f>
        <v>0</v>
      </c>
      <c r="BO899">
        <f>IF(Metadata!AC899="",FALSE,TRUE)</f>
        <v>0</v>
      </c>
    </row>
    <row r="900" spans="1:67">
      <c r="A900" s="5">
        <f>IF(B900=" "," ",HYPERLINK(CONCATENATE("#metadata!",ADDRESS(INDEX($AI$2:$AI$1001,MATCH(ROWS($AG$2:AG900),$AG$2:$AG$1001,0),0),1)),INDEX($AL$2:$AL$1001,MATCH(ROWS($AG$2:AG900),$AG$2:$AG$1001,0),0)))</f>
        <v>0</v>
      </c>
      <c r="B900" s="4">
        <f>IF(OR(INDEX($AH$2:$AH$1001,MATCH(ROWS($AG$2:AG900),$AG$2:$AG$1001,0),1)&gt;=100000,INDEX($AN$1005:$BO$1005,1,MATCH(COLUMNS($AN$1006:AN1006),$AN$1006:$BO$1006,0))&gt;=100000), " ",IF(INDEX($AN$2:$BO$1001,MATCH(ROWS($AG$2:AG900),$AG$2:$AG$1001,0),MATCH(COLUMNS($AN$1006:AN1006),$AN$1006:$BO$1006,0)), HYPERLINK("#",""), HYPERLINK(CONCATENATE("#Metadata!", ADDRESS(INDEX($AI$2:$AI$1001,MATCH(ROWS($AG$2:AG900),$AG$2:$AG$1001,0),0), INDEX($AN$1004:$BO$1004,1,MATCH(COLUMNS($AN$1006:AN1006),$AN$1006:$BO$1006,0)))),"Fix")))</f>
        <v>0</v>
      </c>
      <c r="C900" s="4">
        <f>IF(OR(INDEX($AH$2:$AH$1001,MATCH(ROWS($AG$2:AG900),$AG$2:$AG$1001,0),1)&gt;=100000,INDEX($AN$1005:$BO$1005,1,MATCH(COLUMNS($AN$1006:AO1006),$AN$1006:$BO$1006,0))&gt;=100000), " ",IF(INDEX($AN$2:$BO$1001,MATCH(ROWS($AG$2:AG900),$AG$2:$AG$1001,0),MATCH(COLUMNS($AN$1006:AO1006),$AN$1006:$BO$1006,0)), HYPERLINK("#",""), HYPERLINK(CONCATENATE("#Metadata!", ADDRESS(INDEX($AI$2:$AI$1001,MATCH(ROWS($AG$2:AG900),$AG$2:$AG$1001,0),0), INDEX($AN$1004:$BO$1004,1,MATCH(COLUMNS($AN$1006:AO1006),$AN$1006:$BO$1006,0)))),"Fix")))</f>
        <v>0</v>
      </c>
      <c r="D900" s="4">
        <f>IF(OR(INDEX($AH$2:$AH$1001,MATCH(ROWS($AG$2:AG900),$AG$2:$AG$1001,0),1)&gt;=100000,INDEX($AN$1005:$BO$1005,1,MATCH(COLUMNS($AN$1006:AP1006),$AN$1006:$BO$1006,0))&gt;=100000), " ",IF(INDEX($AN$2:$BO$1001,MATCH(ROWS($AG$2:AG900),$AG$2:$AG$1001,0),MATCH(COLUMNS($AN$1006:AP1006),$AN$1006:$BO$1006,0)), HYPERLINK("#",""), HYPERLINK(CONCATENATE("#Metadata!", ADDRESS(INDEX($AI$2:$AI$1001,MATCH(ROWS($AG$2:AG900),$AG$2:$AG$1001,0),0), INDEX($AN$1004:$BO$1004,1,MATCH(COLUMNS($AN$1006:AP1006),$AN$1006:$BO$1006,0)))),"Fix")))</f>
        <v>0</v>
      </c>
      <c r="E900" s="4">
        <f>IF(OR(INDEX($AH$2:$AH$1001,MATCH(ROWS($AG$2:AG900),$AG$2:$AG$1001,0),1)&gt;=100000,INDEX($AN$1005:$BO$1005,1,MATCH(COLUMNS($AN$1006:AQ1006),$AN$1006:$BO$1006,0))&gt;=100000), " ",IF(INDEX($AN$2:$BO$1001,MATCH(ROWS($AG$2:AG900),$AG$2:$AG$1001,0),MATCH(COLUMNS($AN$1006:AQ1006),$AN$1006:$BO$1006,0)), HYPERLINK("#",""), HYPERLINK(CONCATENATE("#Metadata!", ADDRESS(INDEX($AI$2:$AI$1001,MATCH(ROWS($AG$2:AG900),$AG$2:$AG$1001,0),0), INDEX($AN$1004:$BO$1004,1,MATCH(COLUMNS($AN$1006:AQ1006),$AN$1006:$BO$1006,0)))),"Fix")))</f>
        <v>0</v>
      </c>
      <c r="F900" s="4">
        <f>IF(OR(INDEX($AH$2:$AH$1001,MATCH(ROWS($AG$2:AG900),$AG$2:$AG$1001,0),1)&gt;=100000,INDEX($AN$1005:$BO$1005,1,MATCH(COLUMNS($AN$1006:AR1006),$AN$1006:$BO$1006,0))&gt;=100000), " ",IF(INDEX($AN$2:$BO$1001,MATCH(ROWS($AG$2:AG900),$AG$2:$AG$1001,0),MATCH(COLUMNS($AN$1006:AR1006),$AN$1006:$BO$1006,0)), HYPERLINK("#",""), HYPERLINK(CONCATENATE("#Metadata!", ADDRESS(INDEX($AI$2:$AI$1001,MATCH(ROWS($AG$2:AG900),$AG$2:$AG$1001,0),0), INDEX($AN$1004:$BO$1004,1,MATCH(COLUMNS($AN$1006:AR1006),$AN$1006:$BO$1006,0)))),"Fix")))</f>
        <v>0</v>
      </c>
      <c r="G900" s="4">
        <f>IF(OR(INDEX($AH$2:$AH$1001,MATCH(ROWS($AG$2:AG900),$AG$2:$AG$1001,0),1)&gt;=100000,INDEX($AN$1005:$BO$1005,1,MATCH(COLUMNS($AN$1006:AS1006),$AN$1006:$BO$1006,0))&gt;=100000), " ",IF(INDEX($AN$2:$BO$1001,MATCH(ROWS($AG$2:AG900),$AG$2:$AG$1001,0),MATCH(COLUMNS($AN$1006:AS1006),$AN$1006:$BO$1006,0)), HYPERLINK("#",""), HYPERLINK(CONCATENATE("#Metadata!", ADDRESS(INDEX($AI$2:$AI$1001,MATCH(ROWS($AG$2:AG900),$AG$2:$AG$1001,0),0), INDEX($AN$1004:$BO$1004,1,MATCH(COLUMNS($AN$1006:AS1006),$AN$1006:$BO$1006,0)))),"Fix")))</f>
        <v>0</v>
      </c>
      <c r="H900" s="4">
        <f>IF(OR(INDEX($AH$2:$AH$1001,MATCH(ROWS($AG$2:AG900),$AG$2:$AG$1001,0),1)&gt;=100000,INDEX($AN$1005:$BO$1005,1,MATCH(COLUMNS($AN$1006:AT1006),$AN$1006:$BO$1006,0))&gt;=100000), " ",IF(INDEX($AN$2:$BO$1001,MATCH(ROWS($AG$2:AG900),$AG$2:$AG$1001,0),MATCH(COLUMNS($AN$1006:AT1006),$AN$1006:$BO$1006,0)), HYPERLINK("#",""), HYPERLINK(CONCATENATE("#Metadata!", ADDRESS(INDEX($AI$2:$AI$1001,MATCH(ROWS($AG$2:AG900),$AG$2:$AG$1001,0),0), INDEX($AN$1004:$BO$1004,1,MATCH(COLUMNS($AN$1006:AT1006),$AN$1006:$BO$1006,0)))),"Fix")))</f>
        <v>0</v>
      </c>
      <c r="I900" s="4">
        <f>IF(OR(INDEX($AH$2:$AH$1001,MATCH(ROWS($AG$2:AG900),$AG$2:$AG$1001,0),1)&gt;=100000,INDEX($AN$1005:$BO$1005,1,MATCH(COLUMNS($AN$1006:AU1006),$AN$1006:$BO$1006,0))&gt;=100000), " ",IF(INDEX($AN$2:$BO$1001,MATCH(ROWS($AG$2:AG900),$AG$2:$AG$1001,0),MATCH(COLUMNS($AN$1006:AU1006),$AN$1006:$BO$1006,0)), HYPERLINK("#",""), HYPERLINK(CONCATENATE("#Metadata!", ADDRESS(INDEX($AI$2:$AI$1001,MATCH(ROWS($AG$2:AG900),$AG$2:$AG$1001,0),0), INDEX($AN$1004:$BO$1004,1,MATCH(COLUMNS($AN$1006:AU1006),$AN$1006:$BO$1006,0)))),"Fix")))</f>
        <v>0</v>
      </c>
      <c r="J900" s="4">
        <f>IF(OR(INDEX($AH$2:$AH$1001,MATCH(ROWS($AG$2:AG900),$AG$2:$AG$1001,0),1)&gt;=100000,INDEX($AN$1005:$BO$1005,1,MATCH(COLUMNS($AN$1006:AV1006),$AN$1006:$BO$1006,0))&gt;=100000), " ",IF(INDEX($AN$2:$BO$1001,MATCH(ROWS($AG$2:AG900),$AG$2:$AG$1001,0),MATCH(COLUMNS($AN$1006:AV1006),$AN$1006:$BO$1006,0)), HYPERLINK("#",""), HYPERLINK(CONCATENATE("#Metadata!", ADDRESS(INDEX($AI$2:$AI$1001,MATCH(ROWS($AG$2:AG900),$AG$2:$AG$1001,0),0), INDEX($AN$1004:$BO$1004,1,MATCH(COLUMNS($AN$1006:AV1006),$AN$1006:$BO$1006,0)))),"Fix")))</f>
        <v>0</v>
      </c>
      <c r="K900" s="4">
        <f>IF(OR(INDEX($AH$2:$AH$1001,MATCH(ROWS($AG$2:AG900),$AG$2:$AG$1001,0),1)&gt;=100000,INDEX($AN$1005:$BO$1005,1,MATCH(COLUMNS($AN$1006:AW1006),$AN$1006:$BO$1006,0))&gt;=100000), " ",IF(INDEX($AN$2:$BO$1001,MATCH(ROWS($AG$2:AG900),$AG$2:$AG$1001,0),MATCH(COLUMNS($AN$1006:AW1006),$AN$1006:$BO$1006,0)), HYPERLINK("#",""), HYPERLINK(CONCATENATE("#Metadata!", ADDRESS(INDEX($AI$2:$AI$1001,MATCH(ROWS($AG$2:AG900),$AG$2:$AG$1001,0),0), INDEX($AN$1004:$BO$1004,1,MATCH(COLUMNS($AN$1006:AW1006),$AN$1006:$BO$1006,0)))),"Fix")))</f>
        <v>0</v>
      </c>
      <c r="L900" s="4">
        <f>IF(OR(INDEX($AH$2:$AH$1001,MATCH(ROWS($AG$2:AG900),$AG$2:$AG$1001,0),1)&gt;=100000,INDEX($AN$1005:$BO$1005,1,MATCH(COLUMNS($AN$1006:AX1006),$AN$1006:$BO$1006,0))&gt;=100000), " ",IF(INDEX($AN$2:$BO$1001,MATCH(ROWS($AG$2:AG900),$AG$2:$AG$1001,0),MATCH(COLUMNS($AN$1006:AX1006),$AN$1006:$BO$1006,0)), HYPERLINK("#",""), HYPERLINK(CONCATENATE("#Metadata!", ADDRESS(INDEX($AI$2:$AI$1001,MATCH(ROWS($AG$2:AG900),$AG$2:$AG$1001,0),0), INDEX($AN$1004:$BO$1004,1,MATCH(COLUMNS($AN$1006:AX1006),$AN$1006:$BO$1006,0)))),"Fix")))</f>
        <v>0</v>
      </c>
      <c r="M900" s="4">
        <f>IF(OR(INDEX($AH$2:$AH$1001,MATCH(ROWS($AG$2:AG900),$AG$2:$AG$1001,0),1)&gt;=100000,INDEX($AN$1005:$BO$1005,1,MATCH(COLUMNS($AN$1006:AY1006),$AN$1006:$BO$1006,0))&gt;=100000), " ",IF(INDEX($AN$2:$BO$1001,MATCH(ROWS($AG$2:AG900),$AG$2:$AG$1001,0),MATCH(COLUMNS($AN$1006:AY1006),$AN$1006:$BO$1006,0)), HYPERLINK("#",""), HYPERLINK(CONCATENATE("#Metadata!", ADDRESS(INDEX($AI$2:$AI$1001,MATCH(ROWS($AG$2:AG900),$AG$2:$AG$1001,0),0), INDEX($AN$1004:$BO$1004,1,MATCH(COLUMNS($AN$1006:AY1006),$AN$1006:$BO$1006,0)))),"Fix")))</f>
        <v>0</v>
      </c>
      <c r="N900" s="4">
        <f>IF(OR(INDEX($AH$2:$AH$1001,MATCH(ROWS($AG$2:AG900),$AG$2:$AG$1001,0),1)&gt;=100000,INDEX($AN$1005:$BO$1005,1,MATCH(COLUMNS($AN$1006:AZ1006),$AN$1006:$BO$1006,0))&gt;=100000), " ",IF(INDEX($AN$2:$BO$1001,MATCH(ROWS($AG$2:AG900),$AG$2:$AG$1001,0),MATCH(COLUMNS($AN$1006:AZ1006),$AN$1006:$BO$1006,0)), HYPERLINK("#",""), HYPERLINK(CONCATENATE("#Metadata!", ADDRESS(INDEX($AI$2:$AI$1001,MATCH(ROWS($AG$2:AG900),$AG$2:$AG$1001,0),0), INDEX($AN$1004:$BO$1004,1,MATCH(COLUMNS($AN$1006:AZ1006),$AN$1006:$BO$1006,0)))),"Fix")))</f>
        <v>0</v>
      </c>
      <c r="O900" s="4">
        <f>IF(OR(INDEX($AH$2:$AH$1001,MATCH(ROWS($AG$2:AG900),$AG$2:$AG$1001,0),1)&gt;=100000,INDEX($AN$1005:$BO$1005,1,MATCH(COLUMNS($AN$1006:BA1006),$AN$1006:$BO$1006,0))&gt;=100000), " ",IF(INDEX($AN$2:$BO$1001,MATCH(ROWS($AG$2:AG900),$AG$2:$AG$1001,0),MATCH(COLUMNS($AN$1006:BA1006),$AN$1006:$BO$1006,0)), HYPERLINK("#",""), HYPERLINK(CONCATENATE("#Metadata!", ADDRESS(INDEX($AI$2:$AI$1001,MATCH(ROWS($AG$2:AG900),$AG$2:$AG$1001,0),0), INDEX($AN$1004:$BO$1004,1,MATCH(COLUMNS($AN$1006:BA1006),$AN$1006:$BO$1006,0)))),"Fix")))</f>
        <v>0</v>
      </c>
      <c r="P900" s="4">
        <f>IF(OR(INDEX($AH$2:$AH$1001,MATCH(ROWS($AG$2:AG900),$AG$2:$AG$1001,0),1)&gt;=100000,INDEX($AN$1005:$BO$1005,1,MATCH(COLUMNS($AN$1006:BB1006),$AN$1006:$BO$1006,0))&gt;=100000), " ",IF(INDEX($AN$2:$BO$1001,MATCH(ROWS($AG$2:AG900),$AG$2:$AG$1001,0),MATCH(COLUMNS($AN$1006:BB1006),$AN$1006:$BO$1006,0)), HYPERLINK("#",""), HYPERLINK(CONCATENATE("#Metadata!", ADDRESS(INDEX($AI$2:$AI$1001,MATCH(ROWS($AG$2:AG900),$AG$2:$AG$1001,0),0), INDEX($AN$1004:$BO$1004,1,MATCH(COLUMNS($AN$1006:BB1006),$AN$1006:$BO$1006,0)))),"Fix")))</f>
        <v>0</v>
      </c>
      <c r="Q900" s="4">
        <f>IF(OR(INDEX($AH$2:$AH$1001,MATCH(ROWS($AG$2:AG900),$AG$2:$AG$1001,0),1)&gt;=100000,INDEX($AN$1005:$BO$1005,1,MATCH(COLUMNS($AN$1006:BC1006),$AN$1006:$BO$1006,0))&gt;=100000), " ",IF(INDEX($AN$2:$BO$1001,MATCH(ROWS($AG$2:AG900),$AG$2:$AG$1001,0),MATCH(COLUMNS($AN$1006:BC1006),$AN$1006:$BO$1006,0)), HYPERLINK("#",""), HYPERLINK(CONCATENATE("#Metadata!", ADDRESS(INDEX($AI$2:$AI$1001,MATCH(ROWS($AG$2:AG900),$AG$2:$AG$1001,0),0), INDEX($AN$1004:$BO$1004,1,MATCH(COLUMNS($AN$1006:BC1006),$AN$1006:$BO$1006,0)))),"Fix")))</f>
        <v>0</v>
      </c>
      <c r="R900" s="4">
        <f>IF(OR(INDEX($AH$2:$AH$1001,MATCH(ROWS($AG$2:AG900),$AG$2:$AG$1001,0),1)&gt;=100000,INDEX($AN$1005:$BO$1005,1,MATCH(COLUMNS($AN$1006:BD1006),$AN$1006:$BO$1006,0))&gt;=100000), " ",IF(INDEX($AN$2:$BO$1001,MATCH(ROWS($AG$2:AG900),$AG$2:$AG$1001,0),MATCH(COLUMNS($AN$1006:BD1006),$AN$1006:$BO$1006,0)), HYPERLINK("#",""), HYPERLINK(CONCATENATE("#Metadata!", ADDRESS(INDEX($AI$2:$AI$1001,MATCH(ROWS($AG$2:AG900),$AG$2:$AG$1001,0),0), INDEX($AN$1004:$BO$1004,1,MATCH(COLUMNS($AN$1006:BD1006),$AN$1006:$BO$1006,0)))),"Fix")))</f>
        <v>0</v>
      </c>
      <c r="S900" s="4">
        <f>IF(OR(INDEX($AH$2:$AH$1001,MATCH(ROWS($AG$2:AG900),$AG$2:$AG$1001,0),1)&gt;=100000,INDEX($AN$1005:$BO$1005,1,MATCH(COLUMNS($AN$1006:BE1006),$AN$1006:$BO$1006,0))&gt;=100000), " ",IF(INDEX($AN$2:$BO$1001,MATCH(ROWS($AG$2:AG900),$AG$2:$AG$1001,0),MATCH(COLUMNS($AN$1006:BE1006),$AN$1006:$BO$1006,0)), HYPERLINK("#",""), HYPERLINK(CONCATENATE("#Metadata!", ADDRESS(INDEX($AI$2:$AI$1001,MATCH(ROWS($AG$2:AG900),$AG$2:$AG$1001,0),0), INDEX($AN$1004:$BO$1004,1,MATCH(COLUMNS($AN$1006:BE1006),$AN$1006:$BO$1006,0)))),"Fix")))</f>
        <v>0</v>
      </c>
      <c r="T900" s="4">
        <f>IF(OR(INDEX($AH$2:$AH$1001,MATCH(ROWS($AG$2:AG900),$AG$2:$AG$1001,0),1)&gt;=100000,INDEX($AN$1005:$BO$1005,1,MATCH(COLUMNS($AN$1006:BF1006),$AN$1006:$BO$1006,0))&gt;=100000), " ",IF(INDEX($AN$2:$BO$1001,MATCH(ROWS($AG$2:AG900),$AG$2:$AG$1001,0),MATCH(COLUMNS($AN$1006:BF1006),$AN$1006:$BO$1006,0)), HYPERLINK("#",""), HYPERLINK(CONCATENATE("#Metadata!", ADDRESS(INDEX($AI$2:$AI$1001,MATCH(ROWS($AG$2:AG900),$AG$2:$AG$1001,0),0), INDEX($AN$1004:$BO$1004,1,MATCH(COLUMNS($AN$1006:BF1006),$AN$1006:$BO$1006,0)))),"Fix")))</f>
        <v>0</v>
      </c>
      <c r="U900" s="4">
        <f>IF(OR(INDEX($AH$2:$AH$1001,MATCH(ROWS($AG$2:AG900),$AG$2:$AG$1001,0),1)&gt;=100000,INDEX($AN$1005:$BO$1005,1,MATCH(COLUMNS($AN$1006:BG1006),$AN$1006:$BO$1006,0))&gt;=100000), " ",IF(INDEX($AN$2:$BO$1001,MATCH(ROWS($AG$2:AG900),$AG$2:$AG$1001,0),MATCH(COLUMNS($AN$1006:BG1006),$AN$1006:$BO$1006,0)), HYPERLINK("#",""), HYPERLINK(CONCATENATE("#Metadata!", ADDRESS(INDEX($AI$2:$AI$1001,MATCH(ROWS($AG$2:AG900),$AG$2:$AG$1001,0),0), INDEX($AN$1004:$BO$1004,1,MATCH(COLUMNS($AN$1006:BG1006),$AN$1006:$BO$1006,0)))),"Fix")))</f>
        <v>0</v>
      </c>
      <c r="V900" s="4">
        <f>IF(OR(INDEX($AH$2:$AH$1001,MATCH(ROWS($AG$2:AG900),$AG$2:$AG$1001,0),1)&gt;=100000,INDEX($AN$1005:$BO$1005,1,MATCH(COLUMNS($AN$1006:BH1006),$AN$1006:$BO$1006,0))&gt;=100000), " ",IF(INDEX($AN$2:$BO$1001,MATCH(ROWS($AG$2:AG900),$AG$2:$AG$1001,0),MATCH(COLUMNS($AN$1006:BH1006),$AN$1006:$BO$1006,0)), HYPERLINK("#",""), HYPERLINK(CONCATENATE("#Metadata!", ADDRESS(INDEX($AI$2:$AI$1001,MATCH(ROWS($AG$2:AG900),$AG$2:$AG$1001,0),0), INDEX($AN$1004:$BO$1004,1,MATCH(COLUMNS($AN$1006:BH1006),$AN$1006:$BO$1006,0)))),"Fix")))</f>
        <v>0</v>
      </c>
      <c r="W900" s="4">
        <f>IF(OR(INDEX($AH$2:$AH$1001,MATCH(ROWS($AG$2:AG900),$AG$2:$AG$1001,0),1)&gt;=100000,INDEX($AN$1005:$BO$1005,1,MATCH(COLUMNS($AN$1006:BI1006),$AN$1006:$BO$1006,0))&gt;=100000), " ",IF(INDEX($AN$2:$BO$1001,MATCH(ROWS($AG$2:AG900),$AG$2:$AG$1001,0),MATCH(COLUMNS($AN$1006:BI1006),$AN$1006:$BO$1006,0)), HYPERLINK("#",""), HYPERLINK(CONCATENATE("#Metadata!", ADDRESS(INDEX($AI$2:$AI$1001,MATCH(ROWS($AG$2:AG900),$AG$2:$AG$1001,0),0), INDEX($AN$1004:$BO$1004,1,MATCH(COLUMNS($AN$1006:BI1006),$AN$1006:$BO$1006,0)))),"Fix")))</f>
        <v>0</v>
      </c>
      <c r="X900" s="4">
        <f>IF(OR(INDEX($AH$2:$AH$1001,MATCH(ROWS($AG$2:AG900),$AG$2:$AG$1001,0),1)&gt;=100000,INDEX($AN$1005:$BO$1005,1,MATCH(COLUMNS($AN$1006:BJ1006),$AN$1006:$BO$1006,0))&gt;=100000), " ",IF(INDEX($AN$2:$BO$1001,MATCH(ROWS($AG$2:AG900),$AG$2:$AG$1001,0),MATCH(COLUMNS($AN$1006:BJ1006),$AN$1006:$BO$1006,0)), HYPERLINK("#",""), HYPERLINK(CONCATENATE("#Metadata!", ADDRESS(INDEX($AI$2:$AI$1001,MATCH(ROWS($AG$2:AG900),$AG$2:$AG$1001,0),0), INDEX($AN$1004:$BO$1004,1,MATCH(COLUMNS($AN$1006:BJ1006),$AN$1006:$BO$1006,0)))),"Fix")))</f>
        <v>0</v>
      </c>
      <c r="Y900" s="4">
        <f>IF(OR(INDEX($AH$2:$AH$1001,MATCH(ROWS($AG$2:AG900),$AG$2:$AG$1001,0),1)&gt;=100000,INDEX($AN$1005:$BO$1005,1,MATCH(COLUMNS($AN$1006:BK1006),$AN$1006:$BO$1006,0))&gt;=100000), " ",IF(INDEX($AN$2:$BO$1001,MATCH(ROWS($AG$2:AG900),$AG$2:$AG$1001,0),MATCH(COLUMNS($AN$1006:BK1006),$AN$1006:$BO$1006,0)), HYPERLINK("#",""), HYPERLINK(CONCATENATE("#Metadata!", ADDRESS(INDEX($AI$2:$AI$1001,MATCH(ROWS($AG$2:AG900),$AG$2:$AG$1001,0),0), INDEX($AN$1004:$BO$1004,1,MATCH(COLUMNS($AN$1006:BK1006),$AN$1006:$BO$1006,0)))),"Fix")))</f>
        <v>0</v>
      </c>
      <c r="Z900" s="4">
        <f>IF(OR(INDEX($AH$2:$AH$1001,MATCH(ROWS($AG$2:AG900),$AG$2:$AG$1001,0),1)&gt;=100000,INDEX($AN$1005:$BO$1005,1,MATCH(COLUMNS($AN$1006:BL1006),$AN$1006:$BO$1006,0))&gt;=100000), " ",IF(INDEX($AN$2:$BO$1001,MATCH(ROWS($AG$2:AG900),$AG$2:$AG$1001,0),MATCH(COLUMNS($AN$1006:BL1006),$AN$1006:$BO$1006,0)), HYPERLINK("#",""), HYPERLINK(CONCATENATE("#Metadata!", ADDRESS(INDEX($AI$2:$AI$1001,MATCH(ROWS($AG$2:AG900),$AG$2:$AG$1001,0),0), INDEX($AN$1004:$BO$1004,1,MATCH(COLUMNS($AN$1006:BL1006),$AN$1006:$BO$1006,0)))),"Fix")))</f>
        <v>0</v>
      </c>
      <c r="AA900" s="4">
        <f>IF(OR(INDEX($AH$2:$AH$1001,MATCH(ROWS($AG$2:AG900),$AG$2:$AG$1001,0),1)&gt;=100000,INDEX($AN$1005:$BO$1005,1,MATCH(COLUMNS($AN$1006:BM1006),$AN$1006:$BO$1006,0))&gt;=100000), " ",IF(INDEX($AN$2:$BO$1001,MATCH(ROWS($AG$2:AG900),$AG$2:$AG$1001,0),MATCH(COLUMNS($AN$1006:BM1006),$AN$1006:$BO$1006,0)), HYPERLINK("#",""), HYPERLINK(CONCATENATE("#Metadata!", ADDRESS(INDEX($AI$2:$AI$1001,MATCH(ROWS($AG$2:AG900),$AG$2:$AG$1001,0),0), INDEX($AN$1004:$BO$1004,1,MATCH(COLUMNS($AN$1006:BM1006),$AN$1006:$BO$1006,0)))),"Fix")))</f>
        <v>0</v>
      </c>
      <c r="AB900" s="4">
        <f>IF(OR(INDEX($AH$2:$AH$1001,MATCH(ROWS($AG$2:AG900),$AG$2:$AG$1001,0),1)&gt;=100000,INDEX($AN$1005:$BO$1005,1,MATCH(COLUMNS($AN$1006:BN1006),$AN$1006:$BO$1006,0))&gt;=100000), " ",IF(INDEX($AN$2:$BO$1001,MATCH(ROWS($AG$2:AG900),$AG$2:$AG$1001,0),MATCH(COLUMNS($AN$1006:BN1006),$AN$1006:$BO$1006,0)), HYPERLINK("#",""), HYPERLINK(CONCATENATE("#Metadata!", ADDRESS(INDEX($AI$2:$AI$1001,MATCH(ROWS($AG$2:AG900),$AG$2:$AG$1001,0),0), INDEX($AN$1004:$BO$1004,1,MATCH(COLUMNS($AN$1006:BN1006),$AN$1006:$BO$1006,0)))),"Fix")))</f>
        <v>0</v>
      </c>
      <c r="AC900" s="4">
        <f>IF(OR(INDEX($AH$2:$AH$1001,MATCH(ROWS($AG$2:AG900),$AG$2:$AG$1001,0),1)&gt;=100000,INDEX($AN$1005:$BO$1005,1,MATCH(COLUMNS($AN$1006:BO1006),$AN$1006:$BO$1006,0))&gt;=100000), " ",IF(INDEX($AN$2:$BO$1001,MATCH(ROWS($AG$2:AG900),$AG$2:$AG$1001,0),MATCH(COLUMNS($AN$1006:BO1006),$AN$1006:$BO$1006,0)), HYPERLINK("#",""), HYPERLINK(CONCATENATE("#Metadata!", ADDRESS(INDEX($AI$2:$AI$1001,MATCH(ROWS($AG$2:AG900),$AG$2:$AG$1001,0),0), INDEX($AN$1004:$BO$1004,1,MATCH(COLUMNS($AN$1006:BO1006),$AN$1006:$BO$1006,0)))),"Fix")))</f>
        <v>0</v>
      </c>
      <c r="AG900">
        <v>0</v>
      </c>
      <c r="AH900">
        <v>0</v>
      </c>
      <c r="AI900">
        <v>0</v>
      </c>
      <c r="AJ900">
        <f>IF(AK900,TRUE,AND(AN900:BO900))</f>
        <v>0</v>
      </c>
      <c r="AK900">
        <f>COUNTBLANK(Metadata!B900:AC900)=COLUMNS(Metadata!B900:AC900)</f>
        <v>0</v>
      </c>
      <c r="AL900">
        <v>0</v>
      </c>
      <c r="AN900">
        <f>AND(IF(Metadata!B900="",FALSE,TRUE),COUNTIF(Metadata!B:B, Metadata!B900) = 1,NOT(ISERROR(SUMPRODUCT(SEARCH(MID(Metadata!B900,ROW(INDIRECT("1:"&amp;LEN(Metadata!B900))), 1),"0123456789abcdefghijklmnopqrstuvwxyzABCDEFGHIJKLMNOPQRSTUVWXYZ.")))))</f>
        <v>0</v>
      </c>
      <c r="AO900">
        <f>IF(Metadata!C900="",FALSE,TRUE)</f>
        <v>0</v>
      </c>
      <c r="AP900">
        <f>IF(Metadata!D900="",FALSE,TRUE)</f>
        <v>0</v>
      </c>
      <c r="AQ900">
        <f>OR(AND(IF(Metadata!E900="",FALSE,TRUE),OR(exact(Metadata!E900,"not collected"),exact(Metadata!E900,"not provided"),exact(Metadata!E900,"restricted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R900">
        <f>IF(Metadata!F900="",FALSE,TRUE)</f>
        <v>0</v>
      </c>
      <c r="AS900">
        <f>OR(AND(IF(Metadata!G900="",FALSE,TRUE),OR(exact(Metadata!G900,"not collected"),exact(Metadata!G900,"not provided"))),AND(IF(Metadata!G900="",FALSE,TRUE),OR(exact(Metadata!G900,"TRUE"),exact(Metadata!G900,"FALSE"))))</f>
        <v>0</v>
      </c>
      <c r="AT900">
        <f>OR(AND(IF(Metadata!H900="",FALSE,TRUE),OR(exact(Metadata!H900,"not collected"),exact(Metadata!H900,"not provided"),exact(Metadata!H900,"restricted access"))),AND(IF(Metadata!H900="",FALSE,ISNUMBER(VALUE(Metadata!H900))),Metadata!H900&gt;=-413.0))</f>
        <v>0</v>
      </c>
      <c r="AU900">
        <f>AND(IF(Metadata!I900="",FALSE,TRUE),exact(Metadata!I900,"meters"))</f>
        <v>0</v>
      </c>
      <c r="AV900">
        <f>AND(IF(Metadata!J900="",FALSE,TRUE),OR(exact(Metadata!J900,"Host-associated"),exact(Metadata!J900,"Free-living")))</f>
        <v>0</v>
      </c>
      <c r="AW900">
        <f>AND(IF(Metadata!K900="",FALSE,TRUE),OR(exact(Metadata!K900,"Animal"),exact(Metadata!K900,"Fungus"),exact(Metadata!K900,"Plant"),exact(Metadata!K900,"Saline"),exact(Metadata!K900,"Non-saline")))</f>
        <v>0</v>
      </c>
      <c r="AX900">
        <f>AND(IF(Metadata!L900="",FALSE,TRUE),OR(exact(Metadata!L900,"Plant secretion"),exact(Metadata!L900,"Plant rhizosphere"),exact(Metadata!L900,"Plant surface"),exact(Metadata!L900,"Plant corpus"),exact(Metadata!L900,"Fungus surface"),exact(Metadata!L900,"Fungus corpus"),exact(Metadata!L900,"Animal surface"),exact(Metadata!L900,"Animal proximal gut"),exact(Metadata!L900,"Animal corpus"),exact(Metadata!L900,"Animal distal gut"),exact(Metadata!L900,"Animal secretion"),exact(Metadata!L900,"Sub-surface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Y900">
        <f>IF(Metadata!M900="",FALSE,TRUE)</f>
        <v>0</v>
      </c>
      <c r="AZ900">
        <f>IF(Metadata!N900="",FALSE,TRUE)</f>
        <v>0</v>
      </c>
      <c r="BA900">
        <f>IF(Metadata!O900="",FALSE,TRUE)</f>
        <v>0</v>
      </c>
      <c r="BB900">
        <f>OR(AND(IF(Metadata!P900="",FALSE,TRUE),OR(exact(Metadata!P900,"not collected"),exact(Metadata!P900,"not provided"),exact(Metadata!P900,"restricted access"))),AND(IF(Metadata!P900="",FALSE,TRUE),OR(exact(Metadata!P900,"air"),exact(Metadata!P900,"built environment"),exact(Metadata!P900,"host-associated"),exact(Metadata!P900,"human-associated"),exact(Metadata!P900,"human-skin"),exact(Metadata!P900,"human-oral"),exact(Metadata!P900,"human-gut"),exact(Metadata!P900,"human-vaginal"),exact(Metadata!P900,"microbial mat/biofilm"),exact(Metadata!P900,"misc environment"),exact(Metadata!P900,"plant-associated"),exact(Metadata!P900,"sediment"),exact(Metadata!P900,"soil"),exact(Metadata!P900,"wastewater/sludge"),exact(Metadata!P900,"water"))))</f>
        <v>0</v>
      </c>
      <c r="BC900">
        <f>IF(Metadata!Q900="",FALSE,TRUE)</f>
        <v>0</v>
      </c>
      <c r="BD900">
        <f>IF(Metadata!R900="",FALSE,TRUE)</f>
        <v>0</v>
      </c>
      <c r="BE900">
        <f>OR(AND(IF(Metadata!S900="",FALSE,TRUE),OR(exact(Metadata!S900,"not collected"),exact(Metadata!S900,"not provided"),exact(Metadata!S900,"restricted access"))),AND(IF(Metadata!S900="",FALSE,ISNUMBER(VALUE(Metadata!S900))),Metadata!S900&gt;=-90.00,Metadata!S900&lt;=90.00))</f>
        <v>0</v>
      </c>
      <c r="BF900">
        <f>AND(IF(Metadata!T900="",FALSE,TRUE),exact(Metadata!T900,"Decimal degrees"))</f>
        <v>0</v>
      </c>
      <c r="BG900">
        <f>OR(AND(IF(Metadata!U900="",FALSE,TRUE),OR(exact(Metadata!U900,"not collected"),exact(Metadata!U900,"not provided"),exact(Metadata!U900,"restricted access"))),AND(IF(Metadata!U900="",FALSE,ISNUMBER(VALUE(Metadata!U900))),Metadata!U900&gt;=-180.00,Metadata!U900&lt;=180.00))</f>
        <v>0</v>
      </c>
      <c r="BH900">
        <f>AND(IF(Metadata!V900="",FALSE,TRUE),exact(Metadata!V900,"Decimal degrees"))</f>
        <v>0</v>
      </c>
      <c r="BI900">
        <f>IF(Metadata!W900="",FALSE,TRUE)</f>
        <v>0</v>
      </c>
      <c r="BJ900">
        <f>OR(AND(IF(Metadata!X900="",FALSE,TRUE),OR(exact(Metadata!X900,"not collected"),exact(Metadata!X900,"not provided"),exact(Metadata!X900,"restricted access"))),AND(IF(Metadata!X900="",FALSE,TRUE),OR(exact(Metadata!X900,"TRUE"),exact(Metadata!X900,"FALSE"))))</f>
        <v>0</v>
      </c>
      <c r="BK900">
        <f>AND(IF(Metadata!Y900="",FALSE,TRUE),exact(Metadata!Y900,"other"))</f>
        <v>0</v>
      </c>
      <c r="BL900">
        <f>IF(Metadata!Z900="",FALSE,TRUE)</f>
        <v>0</v>
      </c>
      <c r="BM900">
        <f>OR(AND(IF(Metadata!AA900="",FALSE,TRUE),OR(exact(Metadata!AA900,"not collected"),exact(Metadata!AA900,"not provided"))),AND(IF(Metadata!AA900="",FALSE,IF(ISERROR(INT(Metadata!AA900)),FALSE,INT(Metadata!AA900)=Metadata!AA900)),Metadata!AA900&gt;0))</f>
        <v>0</v>
      </c>
      <c r="BN900">
        <f>AND(IF(Metadata!AB900="",FALSE,TRUE),exact(Metadata!AB900,"Not applicable"))</f>
        <v>0</v>
      </c>
      <c r="BO900">
        <f>IF(Metadata!AC900="",FALSE,TRUE)</f>
        <v>0</v>
      </c>
    </row>
    <row r="901" spans="1:67">
      <c r="A901" s="5">
        <f>IF(B901=" "," ",HYPERLINK(CONCATENATE("#metadata!",ADDRESS(INDEX($AI$2:$AI$1001,MATCH(ROWS($AG$2:AG901),$AG$2:$AG$1001,0),0),1)),INDEX($AL$2:$AL$1001,MATCH(ROWS($AG$2:AG901),$AG$2:$AG$1001,0),0)))</f>
        <v>0</v>
      </c>
      <c r="B901" s="4">
        <f>IF(OR(INDEX($AH$2:$AH$1001,MATCH(ROWS($AG$2:AG901),$AG$2:$AG$1001,0),1)&gt;=100000,INDEX($AN$1005:$BO$1005,1,MATCH(COLUMNS($AN$1006:AN1006),$AN$1006:$BO$1006,0))&gt;=100000), " ",IF(INDEX($AN$2:$BO$1001,MATCH(ROWS($AG$2:AG901),$AG$2:$AG$1001,0),MATCH(COLUMNS($AN$1006:AN1006),$AN$1006:$BO$1006,0)), HYPERLINK("#",""), HYPERLINK(CONCATENATE("#Metadata!", ADDRESS(INDEX($AI$2:$AI$1001,MATCH(ROWS($AG$2:AG901),$AG$2:$AG$1001,0),0), INDEX($AN$1004:$BO$1004,1,MATCH(COLUMNS($AN$1006:AN1006),$AN$1006:$BO$1006,0)))),"Fix")))</f>
        <v>0</v>
      </c>
      <c r="C901" s="4">
        <f>IF(OR(INDEX($AH$2:$AH$1001,MATCH(ROWS($AG$2:AG901),$AG$2:$AG$1001,0),1)&gt;=100000,INDEX($AN$1005:$BO$1005,1,MATCH(COLUMNS($AN$1006:AO1006),$AN$1006:$BO$1006,0))&gt;=100000), " ",IF(INDEX($AN$2:$BO$1001,MATCH(ROWS($AG$2:AG901),$AG$2:$AG$1001,0),MATCH(COLUMNS($AN$1006:AO1006),$AN$1006:$BO$1006,0)), HYPERLINK("#",""), HYPERLINK(CONCATENATE("#Metadata!", ADDRESS(INDEX($AI$2:$AI$1001,MATCH(ROWS($AG$2:AG901),$AG$2:$AG$1001,0),0), INDEX($AN$1004:$BO$1004,1,MATCH(COLUMNS($AN$1006:AO1006),$AN$1006:$BO$1006,0)))),"Fix")))</f>
        <v>0</v>
      </c>
      <c r="D901" s="4">
        <f>IF(OR(INDEX($AH$2:$AH$1001,MATCH(ROWS($AG$2:AG901),$AG$2:$AG$1001,0),1)&gt;=100000,INDEX($AN$1005:$BO$1005,1,MATCH(COLUMNS($AN$1006:AP1006),$AN$1006:$BO$1006,0))&gt;=100000), " ",IF(INDEX($AN$2:$BO$1001,MATCH(ROWS($AG$2:AG901),$AG$2:$AG$1001,0),MATCH(COLUMNS($AN$1006:AP1006),$AN$1006:$BO$1006,0)), HYPERLINK("#",""), HYPERLINK(CONCATENATE("#Metadata!", ADDRESS(INDEX($AI$2:$AI$1001,MATCH(ROWS($AG$2:AG901),$AG$2:$AG$1001,0),0), INDEX($AN$1004:$BO$1004,1,MATCH(COLUMNS($AN$1006:AP1006),$AN$1006:$BO$1006,0)))),"Fix")))</f>
        <v>0</v>
      </c>
      <c r="E901" s="4">
        <f>IF(OR(INDEX($AH$2:$AH$1001,MATCH(ROWS($AG$2:AG901),$AG$2:$AG$1001,0),1)&gt;=100000,INDEX($AN$1005:$BO$1005,1,MATCH(COLUMNS($AN$1006:AQ1006),$AN$1006:$BO$1006,0))&gt;=100000), " ",IF(INDEX($AN$2:$BO$1001,MATCH(ROWS($AG$2:AG901),$AG$2:$AG$1001,0),MATCH(COLUMNS($AN$1006:AQ1006),$AN$1006:$BO$1006,0)), HYPERLINK("#",""), HYPERLINK(CONCATENATE("#Metadata!", ADDRESS(INDEX($AI$2:$AI$1001,MATCH(ROWS($AG$2:AG901),$AG$2:$AG$1001,0),0), INDEX($AN$1004:$BO$1004,1,MATCH(COLUMNS($AN$1006:AQ1006),$AN$1006:$BO$1006,0)))),"Fix")))</f>
        <v>0</v>
      </c>
      <c r="F901" s="4">
        <f>IF(OR(INDEX($AH$2:$AH$1001,MATCH(ROWS($AG$2:AG901),$AG$2:$AG$1001,0),1)&gt;=100000,INDEX($AN$1005:$BO$1005,1,MATCH(COLUMNS($AN$1006:AR1006),$AN$1006:$BO$1006,0))&gt;=100000), " ",IF(INDEX($AN$2:$BO$1001,MATCH(ROWS($AG$2:AG901),$AG$2:$AG$1001,0),MATCH(COLUMNS($AN$1006:AR1006),$AN$1006:$BO$1006,0)), HYPERLINK("#",""), HYPERLINK(CONCATENATE("#Metadata!", ADDRESS(INDEX($AI$2:$AI$1001,MATCH(ROWS($AG$2:AG901),$AG$2:$AG$1001,0),0), INDEX($AN$1004:$BO$1004,1,MATCH(COLUMNS($AN$1006:AR1006),$AN$1006:$BO$1006,0)))),"Fix")))</f>
        <v>0</v>
      </c>
      <c r="G901" s="4">
        <f>IF(OR(INDEX($AH$2:$AH$1001,MATCH(ROWS($AG$2:AG901),$AG$2:$AG$1001,0),1)&gt;=100000,INDEX($AN$1005:$BO$1005,1,MATCH(COLUMNS($AN$1006:AS1006),$AN$1006:$BO$1006,0))&gt;=100000), " ",IF(INDEX($AN$2:$BO$1001,MATCH(ROWS($AG$2:AG901),$AG$2:$AG$1001,0),MATCH(COLUMNS($AN$1006:AS1006),$AN$1006:$BO$1006,0)), HYPERLINK("#",""), HYPERLINK(CONCATENATE("#Metadata!", ADDRESS(INDEX($AI$2:$AI$1001,MATCH(ROWS($AG$2:AG901),$AG$2:$AG$1001,0),0), INDEX($AN$1004:$BO$1004,1,MATCH(COLUMNS($AN$1006:AS1006),$AN$1006:$BO$1006,0)))),"Fix")))</f>
        <v>0</v>
      </c>
      <c r="H901" s="4">
        <f>IF(OR(INDEX($AH$2:$AH$1001,MATCH(ROWS($AG$2:AG901),$AG$2:$AG$1001,0),1)&gt;=100000,INDEX($AN$1005:$BO$1005,1,MATCH(COLUMNS($AN$1006:AT1006),$AN$1006:$BO$1006,0))&gt;=100000), " ",IF(INDEX($AN$2:$BO$1001,MATCH(ROWS($AG$2:AG901),$AG$2:$AG$1001,0),MATCH(COLUMNS($AN$1006:AT1006),$AN$1006:$BO$1006,0)), HYPERLINK("#",""), HYPERLINK(CONCATENATE("#Metadata!", ADDRESS(INDEX($AI$2:$AI$1001,MATCH(ROWS($AG$2:AG901),$AG$2:$AG$1001,0),0), INDEX($AN$1004:$BO$1004,1,MATCH(COLUMNS($AN$1006:AT1006),$AN$1006:$BO$1006,0)))),"Fix")))</f>
        <v>0</v>
      </c>
      <c r="I901" s="4">
        <f>IF(OR(INDEX($AH$2:$AH$1001,MATCH(ROWS($AG$2:AG901),$AG$2:$AG$1001,0),1)&gt;=100000,INDEX($AN$1005:$BO$1005,1,MATCH(COLUMNS($AN$1006:AU1006),$AN$1006:$BO$1006,0))&gt;=100000), " ",IF(INDEX($AN$2:$BO$1001,MATCH(ROWS($AG$2:AG901),$AG$2:$AG$1001,0),MATCH(COLUMNS($AN$1006:AU1006),$AN$1006:$BO$1006,0)), HYPERLINK("#",""), HYPERLINK(CONCATENATE("#Metadata!", ADDRESS(INDEX($AI$2:$AI$1001,MATCH(ROWS($AG$2:AG901),$AG$2:$AG$1001,0),0), INDEX($AN$1004:$BO$1004,1,MATCH(COLUMNS($AN$1006:AU1006),$AN$1006:$BO$1006,0)))),"Fix")))</f>
        <v>0</v>
      </c>
      <c r="J901" s="4">
        <f>IF(OR(INDEX($AH$2:$AH$1001,MATCH(ROWS($AG$2:AG901),$AG$2:$AG$1001,0),1)&gt;=100000,INDEX($AN$1005:$BO$1005,1,MATCH(COLUMNS($AN$1006:AV1006),$AN$1006:$BO$1006,0))&gt;=100000), " ",IF(INDEX($AN$2:$BO$1001,MATCH(ROWS($AG$2:AG901),$AG$2:$AG$1001,0),MATCH(COLUMNS($AN$1006:AV1006),$AN$1006:$BO$1006,0)), HYPERLINK("#",""), HYPERLINK(CONCATENATE("#Metadata!", ADDRESS(INDEX($AI$2:$AI$1001,MATCH(ROWS($AG$2:AG901),$AG$2:$AG$1001,0),0), INDEX($AN$1004:$BO$1004,1,MATCH(COLUMNS($AN$1006:AV1006),$AN$1006:$BO$1006,0)))),"Fix")))</f>
        <v>0</v>
      </c>
      <c r="K901" s="4">
        <f>IF(OR(INDEX($AH$2:$AH$1001,MATCH(ROWS($AG$2:AG901),$AG$2:$AG$1001,0),1)&gt;=100000,INDEX($AN$1005:$BO$1005,1,MATCH(COLUMNS($AN$1006:AW1006),$AN$1006:$BO$1006,0))&gt;=100000), " ",IF(INDEX($AN$2:$BO$1001,MATCH(ROWS($AG$2:AG901),$AG$2:$AG$1001,0),MATCH(COLUMNS($AN$1006:AW1006),$AN$1006:$BO$1006,0)), HYPERLINK("#",""), HYPERLINK(CONCATENATE("#Metadata!", ADDRESS(INDEX($AI$2:$AI$1001,MATCH(ROWS($AG$2:AG901),$AG$2:$AG$1001,0),0), INDEX($AN$1004:$BO$1004,1,MATCH(COLUMNS($AN$1006:AW1006),$AN$1006:$BO$1006,0)))),"Fix")))</f>
        <v>0</v>
      </c>
      <c r="L901" s="4">
        <f>IF(OR(INDEX($AH$2:$AH$1001,MATCH(ROWS($AG$2:AG901),$AG$2:$AG$1001,0),1)&gt;=100000,INDEX($AN$1005:$BO$1005,1,MATCH(COLUMNS($AN$1006:AX1006),$AN$1006:$BO$1006,0))&gt;=100000), " ",IF(INDEX($AN$2:$BO$1001,MATCH(ROWS($AG$2:AG901),$AG$2:$AG$1001,0),MATCH(COLUMNS($AN$1006:AX1006),$AN$1006:$BO$1006,0)), HYPERLINK("#",""), HYPERLINK(CONCATENATE("#Metadata!", ADDRESS(INDEX($AI$2:$AI$1001,MATCH(ROWS($AG$2:AG901),$AG$2:$AG$1001,0),0), INDEX($AN$1004:$BO$1004,1,MATCH(COLUMNS($AN$1006:AX1006),$AN$1006:$BO$1006,0)))),"Fix")))</f>
        <v>0</v>
      </c>
      <c r="M901" s="4">
        <f>IF(OR(INDEX($AH$2:$AH$1001,MATCH(ROWS($AG$2:AG901),$AG$2:$AG$1001,0),1)&gt;=100000,INDEX($AN$1005:$BO$1005,1,MATCH(COLUMNS($AN$1006:AY1006),$AN$1006:$BO$1006,0))&gt;=100000), " ",IF(INDEX($AN$2:$BO$1001,MATCH(ROWS($AG$2:AG901),$AG$2:$AG$1001,0),MATCH(COLUMNS($AN$1006:AY1006),$AN$1006:$BO$1006,0)), HYPERLINK("#",""), HYPERLINK(CONCATENATE("#Metadata!", ADDRESS(INDEX($AI$2:$AI$1001,MATCH(ROWS($AG$2:AG901),$AG$2:$AG$1001,0),0), INDEX($AN$1004:$BO$1004,1,MATCH(COLUMNS($AN$1006:AY1006),$AN$1006:$BO$1006,0)))),"Fix")))</f>
        <v>0</v>
      </c>
      <c r="N901" s="4">
        <f>IF(OR(INDEX($AH$2:$AH$1001,MATCH(ROWS($AG$2:AG901),$AG$2:$AG$1001,0),1)&gt;=100000,INDEX($AN$1005:$BO$1005,1,MATCH(COLUMNS($AN$1006:AZ1006),$AN$1006:$BO$1006,0))&gt;=100000), " ",IF(INDEX($AN$2:$BO$1001,MATCH(ROWS($AG$2:AG901),$AG$2:$AG$1001,0),MATCH(COLUMNS($AN$1006:AZ1006),$AN$1006:$BO$1006,0)), HYPERLINK("#",""), HYPERLINK(CONCATENATE("#Metadata!", ADDRESS(INDEX($AI$2:$AI$1001,MATCH(ROWS($AG$2:AG901),$AG$2:$AG$1001,0),0), INDEX($AN$1004:$BO$1004,1,MATCH(COLUMNS($AN$1006:AZ1006),$AN$1006:$BO$1006,0)))),"Fix")))</f>
        <v>0</v>
      </c>
      <c r="O901" s="4">
        <f>IF(OR(INDEX($AH$2:$AH$1001,MATCH(ROWS($AG$2:AG901),$AG$2:$AG$1001,0),1)&gt;=100000,INDEX($AN$1005:$BO$1005,1,MATCH(COLUMNS($AN$1006:BA1006),$AN$1006:$BO$1006,0))&gt;=100000), " ",IF(INDEX($AN$2:$BO$1001,MATCH(ROWS($AG$2:AG901),$AG$2:$AG$1001,0),MATCH(COLUMNS($AN$1006:BA1006),$AN$1006:$BO$1006,0)), HYPERLINK("#",""), HYPERLINK(CONCATENATE("#Metadata!", ADDRESS(INDEX($AI$2:$AI$1001,MATCH(ROWS($AG$2:AG901),$AG$2:$AG$1001,0),0), INDEX($AN$1004:$BO$1004,1,MATCH(COLUMNS($AN$1006:BA1006),$AN$1006:$BO$1006,0)))),"Fix")))</f>
        <v>0</v>
      </c>
      <c r="P901" s="4">
        <f>IF(OR(INDEX($AH$2:$AH$1001,MATCH(ROWS($AG$2:AG901),$AG$2:$AG$1001,0),1)&gt;=100000,INDEX($AN$1005:$BO$1005,1,MATCH(COLUMNS($AN$1006:BB1006),$AN$1006:$BO$1006,0))&gt;=100000), " ",IF(INDEX($AN$2:$BO$1001,MATCH(ROWS($AG$2:AG901),$AG$2:$AG$1001,0),MATCH(COLUMNS($AN$1006:BB1006),$AN$1006:$BO$1006,0)), HYPERLINK("#",""), HYPERLINK(CONCATENATE("#Metadata!", ADDRESS(INDEX($AI$2:$AI$1001,MATCH(ROWS($AG$2:AG901),$AG$2:$AG$1001,0),0), INDEX($AN$1004:$BO$1004,1,MATCH(COLUMNS($AN$1006:BB1006),$AN$1006:$BO$1006,0)))),"Fix")))</f>
        <v>0</v>
      </c>
      <c r="Q901" s="4">
        <f>IF(OR(INDEX($AH$2:$AH$1001,MATCH(ROWS($AG$2:AG901),$AG$2:$AG$1001,0),1)&gt;=100000,INDEX($AN$1005:$BO$1005,1,MATCH(COLUMNS($AN$1006:BC1006),$AN$1006:$BO$1006,0))&gt;=100000), " ",IF(INDEX($AN$2:$BO$1001,MATCH(ROWS($AG$2:AG901),$AG$2:$AG$1001,0),MATCH(COLUMNS($AN$1006:BC1006),$AN$1006:$BO$1006,0)), HYPERLINK("#",""), HYPERLINK(CONCATENATE("#Metadata!", ADDRESS(INDEX($AI$2:$AI$1001,MATCH(ROWS($AG$2:AG901),$AG$2:$AG$1001,0),0), INDEX($AN$1004:$BO$1004,1,MATCH(COLUMNS($AN$1006:BC1006),$AN$1006:$BO$1006,0)))),"Fix")))</f>
        <v>0</v>
      </c>
      <c r="R901" s="4">
        <f>IF(OR(INDEX($AH$2:$AH$1001,MATCH(ROWS($AG$2:AG901),$AG$2:$AG$1001,0),1)&gt;=100000,INDEX($AN$1005:$BO$1005,1,MATCH(COLUMNS($AN$1006:BD1006),$AN$1006:$BO$1006,0))&gt;=100000), " ",IF(INDEX($AN$2:$BO$1001,MATCH(ROWS($AG$2:AG901),$AG$2:$AG$1001,0),MATCH(COLUMNS($AN$1006:BD1006),$AN$1006:$BO$1006,0)), HYPERLINK("#",""), HYPERLINK(CONCATENATE("#Metadata!", ADDRESS(INDEX($AI$2:$AI$1001,MATCH(ROWS($AG$2:AG901),$AG$2:$AG$1001,0),0), INDEX($AN$1004:$BO$1004,1,MATCH(COLUMNS($AN$1006:BD1006),$AN$1006:$BO$1006,0)))),"Fix")))</f>
        <v>0</v>
      </c>
      <c r="S901" s="4">
        <f>IF(OR(INDEX($AH$2:$AH$1001,MATCH(ROWS($AG$2:AG901),$AG$2:$AG$1001,0),1)&gt;=100000,INDEX($AN$1005:$BO$1005,1,MATCH(COLUMNS($AN$1006:BE1006),$AN$1006:$BO$1006,0))&gt;=100000), " ",IF(INDEX($AN$2:$BO$1001,MATCH(ROWS($AG$2:AG901),$AG$2:$AG$1001,0),MATCH(COLUMNS($AN$1006:BE1006),$AN$1006:$BO$1006,0)), HYPERLINK("#",""), HYPERLINK(CONCATENATE("#Metadata!", ADDRESS(INDEX($AI$2:$AI$1001,MATCH(ROWS($AG$2:AG901),$AG$2:$AG$1001,0),0), INDEX($AN$1004:$BO$1004,1,MATCH(COLUMNS($AN$1006:BE1006),$AN$1006:$BO$1006,0)))),"Fix")))</f>
        <v>0</v>
      </c>
      <c r="T901" s="4">
        <f>IF(OR(INDEX($AH$2:$AH$1001,MATCH(ROWS($AG$2:AG901),$AG$2:$AG$1001,0),1)&gt;=100000,INDEX($AN$1005:$BO$1005,1,MATCH(COLUMNS($AN$1006:BF1006),$AN$1006:$BO$1006,0))&gt;=100000), " ",IF(INDEX($AN$2:$BO$1001,MATCH(ROWS($AG$2:AG901),$AG$2:$AG$1001,0),MATCH(COLUMNS($AN$1006:BF1006),$AN$1006:$BO$1006,0)), HYPERLINK("#",""), HYPERLINK(CONCATENATE("#Metadata!", ADDRESS(INDEX($AI$2:$AI$1001,MATCH(ROWS($AG$2:AG901),$AG$2:$AG$1001,0),0), INDEX($AN$1004:$BO$1004,1,MATCH(COLUMNS($AN$1006:BF1006),$AN$1006:$BO$1006,0)))),"Fix")))</f>
        <v>0</v>
      </c>
      <c r="U901" s="4">
        <f>IF(OR(INDEX($AH$2:$AH$1001,MATCH(ROWS($AG$2:AG901),$AG$2:$AG$1001,0),1)&gt;=100000,INDEX($AN$1005:$BO$1005,1,MATCH(COLUMNS($AN$1006:BG1006),$AN$1006:$BO$1006,0))&gt;=100000), " ",IF(INDEX($AN$2:$BO$1001,MATCH(ROWS($AG$2:AG901),$AG$2:$AG$1001,0),MATCH(COLUMNS($AN$1006:BG1006),$AN$1006:$BO$1006,0)), HYPERLINK("#",""), HYPERLINK(CONCATENATE("#Metadata!", ADDRESS(INDEX($AI$2:$AI$1001,MATCH(ROWS($AG$2:AG901),$AG$2:$AG$1001,0),0), INDEX($AN$1004:$BO$1004,1,MATCH(COLUMNS($AN$1006:BG1006),$AN$1006:$BO$1006,0)))),"Fix")))</f>
        <v>0</v>
      </c>
      <c r="V901" s="4">
        <f>IF(OR(INDEX($AH$2:$AH$1001,MATCH(ROWS($AG$2:AG901),$AG$2:$AG$1001,0),1)&gt;=100000,INDEX($AN$1005:$BO$1005,1,MATCH(COLUMNS($AN$1006:BH1006),$AN$1006:$BO$1006,0))&gt;=100000), " ",IF(INDEX($AN$2:$BO$1001,MATCH(ROWS($AG$2:AG901),$AG$2:$AG$1001,0),MATCH(COLUMNS($AN$1006:BH1006),$AN$1006:$BO$1006,0)), HYPERLINK("#",""), HYPERLINK(CONCATENATE("#Metadata!", ADDRESS(INDEX($AI$2:$AI$1001,MATCH(ROWS($AG$2:AG901),$AG$2:$AG$1001,0),0), INDEX($AN$1004:$BO$1004,1,MATCH(COLUMNS($AN$1006:BH1006),$AN$1006:$BO$1006,0)))),"Fix")))</f>
        <v>0</v>
      </c>
      <c r="W901" s="4">
        <f>IF(OR(INDEX($AH$2:$AH$1001,MATCH(ROWS($AG$2:AG901),$AG$2:$AG$1001,0),1)&gt;=100000,INDEX($AN$1005:$BO$1005,1,MATCH(COLUMNS($AN$1006:BI1006),$AN$1006:$BO$1006,0))&gt;=100000), " ",IF(INDEX($AN$2:$BO$1001,MATCH(ROWS($AG$2:AG901),$AG$2:$AG$1001,0),MATCH(COLUMNS($AN$1006:BI1006),$AN$1006:$BO$1006,0)), HYPERLINK("#",""), HYPERLINK(CONCATENATE("#Metadata!", ADDRESS(INDEX($AI$2:$AI$1001,MATCH(ROWS($AG$2:AG901),$AG$2:$AG$1001,0),0), INDEX($AN$1004:$BO$1004,1,MATCH(COLUMNS($AN$1006:BI1006),$AN$1006:$BO$1006,0)))),"Fix")))</f>
        <v>0</v>
      </c>
      <c r="X901" s="4">
        <f>IF(OR(INDEX($AH$2:$AH$1001,MATCH(ROWS($AG$2:AG901),$AG$2:$AG$1001,0),1)&gt;=100000,INDEX($AN$1005:$BO$1005,1,MATCH(COLUMNS($AN$1006:BJ1006),$AN$1006:$BO$1006,0))&gt;=100000), " ",IF(INDEX($AN$2:$BO$1001,MATCH(ROWS($AG$2:AG901),$AG$2:$AG$1001,0),MATCH(COLUMNS($AN$1006:BJ1006),$AN$1006:$BO$1006,0)), HYPERLINK("#",""), HYPERLINK(CONCATENATE("#Metadata!", ADDRESS(INDEX($AI$2:$AI$1001,MATCH(ROWS($AG$2:AG901),$AG$2:$AG$1001,0),0), INDEX($AN$1004:$BO$1004,1,MATCH(COLUMNS($AN$1006:BJ1006),$AN$1006:$BO$1006,0)))),"Fix")))</f>
        <v>0</v>
      </c>
      <c r="Y901" s="4">
        <f>IF(OR(INDEX($AH$2:$AH$1001,MATCH(ROWS($AG$2:AG901),$AG$2:$AG$1001,0),1)&gt;=100000,INDEX($AN$1005:$BO$1005,1,MATCH(COLUMNS($AN$1006:BK1006),$AN$1006:$BO$1006,0))&gt;=100000), " ",IF(INDEX($AN$2:$BO$1001,MATCH(ROWS($AG$2:AG901),$AG$2:$AG$1001,0),MATCH(COLUMNS($AN$1006:BK1006),$AN$1006:$BO$1006,0)), HYPERLINK("#",""), HYPERLINK(CONCATENATE("#Metadata!", ADDRESS(INDEX($AI$2:$AI$1001,MATCH(ROWS($AG$2:AG901),$AG$2:$AG$1001,0),0), INDEX($AN$1004:$BO$1004,1,MATCH(COLUMNS($AN$1006:BK1006),$AN$1006:$BO$1006,0)))),"Fix")))</f>
        <v>0</v>
      </c>
      <c r="Z901" s="4">
        <f>IF(OR(INDEX($AH$2:$AH$1001,MATCH(ROWS($AG$2:AG901),$AG$2:$AG$1001,0),1)&gt;=100000,INDEX($AN$1005:$BO$1005,1,MATCH(COLUMNS($AN$1006:BL1006),$AN$1006:$BO$1006,0))&gt;=100000), " ",IF(INDEX($AN$2:$BO$1001,MATCH(ROWS($AG$2:AG901),$AG$2:$AG$1001,0),MATCH(COLUMNS($AN$1006:BL1006),$AN$1006:$BO$1006,0)), HYPERLINK("#",""), HYPERLINK(CONCATENATE("#Metadata!", ADDRESS(INDEX($AI$2:$AI$1001,MATCH(ROWS($AG$2:AG901),$AG$2:$AG$1001,0),0), INDEX($AN$1004:$BO$1004,1,MATCH(COLUMNS($AN$1006:BL1006),$AN$1006:$BO$1006,0)))),"Fix")))</f>
        <v>0</v>
      </c>
      <c r="AA901" s="4">
        <f>IF(OR(INDEX($AH$2:$AH$1001,MATCH(ROWS($AG$2:AG901),$AG$2:$AG$1001,0),1)&gt;=100000,INDEX($AN$1005:$BO$1005,1,MATCH(COLUMNS($AN$1006:BM1006),$AN$1006:$BO$1006,0))&gt;=100000), " ",IF(INDEX($AN$2:$BO$1001,MATCH(ROWS($AG$2:AG901),$AG$2:$AG$1001,0),MATCH(COLUMNS($AN$1006:BM1006),$AN$1006:$BO$1006,0)), HYPERLINK("#",""), HYPERLINK(CONCATENATE("#Metadata!", ADDRESS(INDEX($AI$2:$AI$1001,MATCH(ROWS($AG$2:AG901),$AG$2:$AG$1001,0),0), INDEX($AN$1004:$BO$1004,1,MATCH(COLUMNS($AN$1006:BM1006),$AN$1006:$BO$1006,0)))),"Fix")))</f>
        <v>0</v>
      </c>
      <c r="AB901" s="4">
        <f>IF(OR(INDEX($AH$2:$AH$1001,MATCH(ROWS($AG$2:AG901),$AG$2:$AG$1001,0),1)&gt;=100000,INDEX($AN$1005:$BO$1005,1,MATCH(COLUMNS($AN$1006:BN1006),$AN$1006:$BO$1006,0))&gt;=100000), " ",IF(INDEX($AN$2:$BO$1001,MATCH(ROWS($AG$2:AG901),$AG$2:$AG$1001,0),MATCH(COLUMNS($AN$1006:BN1006),$AN$1006:$BO$1006,0)), HYPERLINK("#",""), HYPERLINK(CONCATENATE("#Metadata!", ADDRESS(INDEX($AI$2:$AI$1001,MATCH(ROWS($AG$2:AG901),$AG$2:$AG$1001,0),0), INDEX($AN$1004:$BO$1004,1,MATCH(COLUMNS($AN$1006:BN1006),$AN$1006:$BO$1006,0)))),"Fix")))</f>
        <v>0</v>
      </c>
      <c r="AC901" s="4">
        <f>IF(OR(INDEX($AH$2:$AH$1001,MATCH(ROWS($AG$2:AG901),$AG$2:$AG$1001,0),1)&gt;=100000,INDEX($AN$1005:$BO$1005,1,MATCH(COLUMNS($AN$1006:BO1006),$AN$1006:$BO$1006,0))&gt;=100000), " ",IF(INDEX($AN$2:$BO$1001,MATCH(ROWS($AG$2:AG901),$AG$2:$AG$1001,0),MATCH(COLUMNS($AN$1006:BO1006),$AN$1006:$BO$1006,0)), HYPERLINK("#",""), HYPERLINK(CONCATENATE("#Metadata!", ADDRESS(INDEX($AI$2:$AI$1001,MATCH(ROWS($AG$2:AG901),$AG$2:$AG$1001,0),0), INDEX($AN$1004:$BO$1004,1,MATCH(COLUMNS($AN$1006:BO1006),$AN$1006:$BO$1006,0)))),"Fix")))</f>
        <v>0</v>
      </c>
      <c r="AG901">
        <v>0</v>
      </c>
      <c r="AH901">
        <v>0</v>
      </c>
      <c r="AI901">
        <v>0</v>
      </c>
      <c r="AJ901">
        <f>IF(AK901,TRUE,AND(AN901:BO901))</f>
        <v>0</v>
      </c>
      <c r="AK901">
        <f>COUNTBLANK(Metadata!B901:AC901)=COLUMNS(Metadata!B901:AC901)</f>
        <v>0</v>
      </c>
      <c r="AL901">
        <v>0</v>
      </c>
      <c r="AN901">
        <f>AND(IF(Metadata!B901="",FALSE,TRUE),COUNTIF(Metadata!B:B, Metadata!B901) = 1,NOT(ISERROR(SUMPRODUCT(SEARCH(MID(Metadata!B901,ROW(INDIRECT("1:"&amp;LEN(Metadata!B901))), 1),"0123456789abcdefghijklmnopqrstuvwxyzABCDEFGHIJKLMNOPQRSTUVWXYZ.")))))</f>
        <v>0</v>
      </c>
      <c r="AO901">
        <f>IF(Metadata!C901="",FALSE,TRUE)</f>
        <v>0</v>
      </c>
      <c r="AP901">
        <f>IF(Metadata!D901="",FALSE,TRUE)</f>
        <v>0</v>
      </c>
      <c r="AQ901">
        <f>OR(AND(IF(Metadata!E901="",FALSE,TRUE),OR(exact(Metadata!E901,"not collected"),exact(Metadata!E901,"not provided"),exact(Metadata!E901,"restricted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R901">
        <f>IF(Metadata!F901="",FALSE,TRUE)</f>
        <v>0</v>
      </c>
      <c r="AS901">
        <f>OR(AND(IF(Metadata!G901="",FALSE,TRUE),OR(exact(Metadata!G901,"not collected"),exact(Metadata!G901,"not provided"))),AND(IF(Metadata!G901="",FALSE,TRUE),OR(exact(Metadata!G901,"TRUE"),exact(Metadata!G901,"FALSE"))))</f>
        <v>0</v>
      </c>
      <c r="AT901">
        <f>OR(AND(IF(Metadata!H901="",FALSE,TRUE),OR(exact(Metadata!H901,"not collected"),exact(Metadata!H901,"not provided"),exact(Metadata!H901,"restricted access"))),AND(IF(Metadata!H901="",FALSE,ISNUMBER(VALUE(Metadata!H901))),Metadata!H901&gt;=-413.0))</f>
        <v>0</v>
      </c>
      <c r="AU901">
        <f>AND(IF(Metadata!I901="",FALSE,TRUE),exact(Metadata!I901,"meters"))</f>
        <v>0</v>
      </c>
      <c r="AV901">
        <f>AND(IF(Metadata!J901="",FALSE,TRUE),OR(exact(Metadata!J901,"Host-associated"),exact(Metadata!J901,"Free-living")))</f>
        <v>0</v>
      </c>
      <c r="AW901">
        <f>AND(IF(Metadata!K901="",FALSE,TRUE),OR(exact(Metadata!K901,"Animal"),exact(Metadata!K901,"Fungus"),exact(Metadata!K901,"Plant"),exact(Metadata!K901,"Saline"),exact(Metadata!K901,"Non-saline")))</f>
        <v>0</v>
      </c>
      <c r="AX901">
        <f>AND(IF(Metadata!L901="",FALSE,TRUE),OR(exact(Metadata!L901,"Plant secretion"),exact(Metadata!L901,"Plant rhizosphere"),exact(Metadata!L901,"Plant surface"),exact(Metadata!L901,"Plant corpus"),exact(Metadata!L901,"Fungus surface"),exact(Metadata!L901,"Fungus corpus"),exact(Metadata!L901,"Animal surface"),exact(Metadata!L901,"Animal proximal gut"),exact(Metadata!L901,"Animal corpus"),exact(Metadata!L901,"Animal distal gut"),exact(Metadata!L901,"Animal secretion"),exact(Metadata!L901,"Sub-surface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Y901">
        <f>IF(Metadata!M901="",FALSE,TRUE)</f>
        <v>0</v>
      </c>
      <c r="AZ901">
        <f>IF(Metadata!N901="",FALSE,TRUE)</f>
        <v>0</v>
      </c>
      <c r="BA901">
        <f>IF(Metadata!O901="",FALSE,TRUE)</f>
        <v>0</v>
      </c>
      <c r="BB901">
        <f>OR(AND(IF(Metadata!P901="",FALSE,TRUE),OR(exact(Metadata!P901,"not collected"),exact(Metadata!P901,"not provided"),exact(Metadata!P901,"restricted access"))),AND(IF(Metadata!P901="",FALSE,TRUE),OR(exact(Metadata!P901,"air"),exact(Metadata!P901,"built environment"),exact(Metadata!P901,"host-associated"),exact(Metadata!P901,"human-associated"),exact(Metadata!P901,"human-skin"),exact(Metadata!P901,"human-oral"),exact(Metadata!P901,"human-gut"),exact(Metadata!P901,"human-vaginal"),exact(Metadata!P901,"microbial mat/biofilm"),exact(Metadata!P901,"misc environment"),exact(Metadata!P901,"plant-associated"),exact(Metadata!P901,"sediment"),exact(Metadata!P901,"soil"),exact(Metadata!P901,"wastewater/sludge"),exact(Metadata!P901,"water"))))</f>
        <v>0</v>
      </c>
      <c r="BC901">
        <f>IF(Metadata!Q901="",FALSE,TRUE)</f>
        <v>0</v>
      </c>
      <c r="BD901">
        <f>IF(Metadata!R901="",FALSE,TRUE)</f>
        <v>0</v>
      </c>
      <c r="BE901">
        <f>OR(AND(IF(Metadata!S901="",FALSE,TRUE),OR(exact(Metadata!S901,"not collected"),exact(Metadata!S901,"not provided"),exact(Metadata!S901,"restricted access"))),AND(IF(Metadata!S901="",FALSE,ISNUMBER(VALUE(Metadata!S901))),Metadata!S901&gt;=-90.00,Metadata!S901&lt;=90.00))</f>
        <v>0</v>
      </c>
      <c r="BF901">
        <f>AND(IF(Metadata!T901="",FALSE,TRUE),exact(Metadata!T901,"Decimal degrees"))</f>
        <v>0</v>
      </c>
      <c r="BG901">
        <f>OR(AND(IF(Metadata!U901="",FALSE,TRUE),OR(exact(Metadata!U901,"not collected"),exact(Metadata!U901,"not provided"),exact(Metadata!U901,"restricted access"))),AND(IF(Metadata!U901="",FALSE,ISNUMBER(VALUE(Metadata!U901))),Metadata!U901&gt;=-180.00,Metadata!U901&lt;=180.00))</f>
        <v>0</v>
      </c>
      <c r="BH901">
        <f>AND(IF(Metadata!V901="",FALSE,TRUE),exact(Metadata!V901,"Decimal degrees"))</f>
        <v>0</v>
      </c>
      <c r="BI901">
        <f>IF(Metadata!W901="",FALSE,TRUE)</f>
        <v>0</v>
      </c>
      <c r="BJ901">
        <f>OR(AND(IF(Metadata!X901="",FALSE,TRUE),OR(exact(Metadata!X901,"not collected"),exact(Metadata!X901,"not provided"),exact(Metadata!X901,"restricted access"))),AND(IF(Metadata!X901="",FALSE,TRUE),OR(exact(Metadata!X901,"TRUE"),exact(Metadata!X901,"FALSE"))))</f>
        <v>0</v>
      </c>
      <c r="BK901">
        <f>AND(IF(Metadata!Y901="",FALSE,TRUE),exact(Metadata!Y901,"other"))</f>
        <v>0</v>
      </c>
      <c r="BL901">
        <f>IF(Metadata!Z901="",FALSE,TRUE)</f>
        <v>0</v>
      </c>
      <c r="BM901">
        <f>OR(AND(IF(Metadata!AA901="",FALSE,TRUE),OR(exact(Metadata!AA901,"not collected"),exact(Metadata!AA901,"not provided"))),AND(IF(Metadata!AA901="",FALSE,IF(ISERROR(INT(Metadata!AA901)),FALSE,INT(Metadata!AA901)=Metadata!AA901)),Metadata!AA901&gt;0))</f>
        <v>0</v>
      </c>
      <c r="BN901">
        <f>AND(IF(Metadata!AB901="",FALSE,TRUE),exact(Metadata!AB901,"Not applicable"))</f>
        <v>0</v>
      </c>
      <c r="BO901">
        <f>IF(Metadata!AC901="",FALSE,TRUE)</f>
        <v>0</v>
      </c>
    </row>
    <row r="902" spans="1:67">
      <c r="A902" s="5">
        <f>IF(B902=" "," ",HYPERLINK(CONCATENATE("#metadata!",ADDRESS(INDEX($AI$2:$AI$1001,MATCH(ROWS($AG$2:AG902),$AG$2:$AG$1001,0),0),1)),INDEX($AL$2:$AL$1001,MATCH(ROWS($AG$2:AG902),$AG$2:$AG$1001,0),0)))</f>
        <v>0</v>
      </c>
      <c r="B902" s="4">
        <f>IF(OR(INDEX($AH$2:$AH$1001,MATCH(ROWS($AG$2:AG902),$AG$2:$AG$1001,0),1)&gt;=100000,INDEX($AN$1005:$BO$1005,1,MATCH(COLUMNS($AN$1006:AN1006),$AN$1006:$BO$1006,0))&gt;=100000), " ",IF(INDEX($AN$2:$BO$1001,MATCH(ROWS($AG$2:AG902),$AG$2:$AG$1001,0),MATCH(COLUMNS($AN$1006:AN1006),$AN$1006:$BO$1006,0)), HYPERLINK("#",""), HYPERLINK(CONCATENATE("#Metadata!", ADDRESS(INDEX($AI$2:$AI$1001,MATCH(ROWS($AG$2:AG902),$AG$2:$AG$1001,0),0), INDEX($AN$1004:$BO$1004,1,MATCH(COLUMNS($AN$1006:AN1006),$AN$1006:$BO$1006,0)))),"Fix")))</f>
        <v>0</v>
      </c>
      <c r="C902" s="4">
        <f>IF(OR(INDEX($AH$2:$AH$1001,MATCH(ROWS($AG$2:AG902),$AG$2:$AG$1001,0),1)&gt;=100000,INDEX($AN$1005:$BO$1005,1,MATCH(COLUMNS($AN$1006:AO1006),$AN$1006:$BO$1006,0))&gt;=100000), " ",IF(INDEX($AN$2:$BO$1001,MATCH(ROWS($AG$2:AG902),$AG$2:$AG$1001,0),MATCH(COLUMNS($AN$1006:AO1006),$AN$1006:$BO$1006,0)), HYPERLINK("#",""), HYPERLINK(CONCATENATE("#Metadata!", ADDRESS(INDEX($AI$2:$AI$1001,MATCH(ROWS($AG$2:AG902),$AG$2:$AG$1001,0),0), INDEX($AN$1004:$BO$1004,1,MATCH(COLUMNS($AN$1006:AO1006),$AN$1006:$BO$1006,0)))),"Fix")))</f>
        <v>0</v>
      </c>
      <c r="D902" s="4">
        <f>IF(OR(INDEX($AH$2:$AH$1001,MATCH(ROWS($AG$2:AG902),$AG$2:$AG$1001,0),1)&gt;=100000,INDEX($AN$1005:$BO$1005,1,MATCH(COLUMNS($AN$1006:AP1006),$AN$1006:$BO$1006,0))&gt;=100000), " ",IF(INDEX($AN$2:$BO$1001,MATCH(ROWS($AG$2:AG902),$AG$2:$AG$1001,0),MATCH(COLUMNS($AN$1006:AP1006),$AN$1006:$BO$1006,0)), HYPERLINK("#",""), HYPERLINK(CONCATENATE("#Metadata!", ADDRESS(INDEX($AI$2:$AI$1001,MATCH(ROWS($AG$2:AG902),$AG$2:$AG$1001,0),0), INDEX($AN$1004:$BO$1004,1,MATCH(COLUMNS($AN$1006:AP1006),$AN$1006:$BO$1006,0)))),"Fix")))</f>
        <v>0</v>
      </c>
      <c r="E902" s="4">
        <f>IF(OR(INDEX($AH$2:$AH$1001,MATCH(ROWS($AG$2:AG902),$AG$2:$AG$1001,0),1)&gt;=100000,INDEX($AN$1005:$BO$1005,1,MATCH(COLUMNS($AN$1006:AQ1006),$AN$1006:$BO$1006,0))&gt;=100000), " ",IF(INDEX($AN$2:$BO$1001,MATCH(ROWS($AG$2:AG902),$AG$2:$AG$1001,0),MATCH(COLUMNS($AN$1006:AQ1006),$AN$1006:$BO$1006,0)), HYPERLINK("#",""), HYPERLINK(CONCATENATE("#Metadata!", ADDRESS(INDEX($AI$2:$AI$1001,MATCH(ROWS($AG$2:AG902),$AG$2:$AG$1001,0),0), INDEX($AN$1004:$BO$1004,1,MATCH(COLUMNS($AN$1006:AQ1006),$AN$1006:$BO$1006,0)))),"Fix")))</f>
        <v>0</v>
      </c>
      <c r="F902" s="4">
        <f>IF(OR(INDEX($AH$2:$AH$1001,MATCH(ROWS($AG$2:AG902),$AG$2:$AG$1001,0),1)&gt;=100000,INDEX($AN$1005:$BO$1005,1,MATCH(COLUMNS($AN$1006:AR1006),$AN$1006:$BO$1006,0))&gt;=100000), " ",IF(INDEX($AN$2:$BO$1001,MATCH(ROWS($AG$2:AG902),$AG$2:$AG$1001,0),MATCH(COLUMNS($AN$1006:AR1006),$AN$1006:$BO$1006,0)), HYPERLINK("#",""), HYPERLINK(CONCATENATE("#Metadata!", ADDRESS(INDEX($AI$2:$AI$1001,MATCH(ROWS($AG$2:AG902),$AG$2:$AG$1001,0),0), INDEX($AN$1004:$BO$1004,1,MATCH(COLUMNS($AN$1006:AR1006),$AN$1006:$BO$1006,0)))),"Fix")))</f>
        <v>0</v>
      </c>
      <c r="G902" s="4">
        <f>IF(OR(INDEX($AH$2:$AH$1001,MATCH(ROWS($AG$2:AG902),$AG$2:$AG$1001,0),1)&gt;=100000,INDEX($AN$1005:$BO$1005,1,MATCH(COLUMNS($AN$1006:AS1006),$AN$1006:$BO$1006,0))&gt;=100000), " ",IF(INDEX($AN$2:$BO$1001,MATCH(ROWS($AG$2:AG902),$AG$2:$AG$1001,0),MATCH(COLUMNS($AN$1006:AS1006),$AN$1006:$BO$1006,0)), HYPERLINK("#",""), HYPERLINK(CONCATENATE("#Metadata!", ADDRESS(INDEX($AI$2:$AI$1001,MATCH(ROWS($AG$2:AG902),$AG$2:$AG$1001,0),0), INDEX($AN$1004:$BO$1004,1,MATCH(COLUMNS($AN$1006:AS1006),$AN$1006:$BO$1006,0)))),"Fix")))</f>
        <v>0</v>
      </c>
      <c r="H902" s="4">
        <f>IF(OR(INDEX($AH$2:$AH$1001,MATCH(ROWS($AG$2:AG902),$AG$2:$AG$1001,0),1)&gt;=100000,INDEX($AN$1005:$BO$1005,1,MATCH(COLUMNS($AN$1006:AT1006),$AN$1006:$BO$1006,0))&gt;=100000), " ",IF(INDEX($AN$2:$BO$1001,MATCH(ROWS($AG$2:AG902),$AG$2:$AG$1001,0),MATCH(COLUMNS($AN$1006:AT1006),$AN$1006:$BO$1006,0)), HYPERLINK("#",""), HYPERLINK(CONCATENATE("#Metadata!", ADDRESS(INDEX($AI$2:$AI$1001,MATCH(ROWS($AG$2:AG902),$AG$2:$AG$1001,0),0), INDEX($AN$1004:$BO$1004,1,MATCH(COLUMNS($AN$1006:AT1006),$AN$1006:$BO$1006,0)))),"Fix")))</f>
        <v>0</v>
      </c>
      <c r="I902" s="4">
        <f>IF(OR(INDEX($AH$2:$AH$1001,MATCH(ROWS($AG$2:AG902),$AG$2:$AG$1001,0),1)&gt;=100000,INDEX($AN$1005:$BO$1005,1,MATCH(COLUMNS($AN$1006:AU1006),$AN$1006:$BO$1006,0))&gt;=100000), " ",IF(INDEX($AN$2:$BO$1001,MATCH(ROWS($AG$2:AG902),$AG$2:$AG$1001,0),MATCH(COLUMNS($AN$1006:AU1006),$AN$1006:$BO$1006,0)), HYPERLINK("#",""), HYPERLINK(CONCATENATE("#Metadata!", ADDRESS(INDEX($AI$2:$AI$1001,MATCH(ROWS($AG$2:AG902),$AG$2:$AG$1001,0),0), INDEX($AN$1004:$BO$1004,1,MATCH(COLUMNS($AN$1006:AU1006),$AN$1006:$BO$1006,0)))),"Fix")))</f>
        <v>0</v>
      </c>
      <c r="J902" s="4">
        <f>IF(OR(INDEX($AH$2:$AH$1001,MATCH(ROWS($AG$2:AG902),$AG$2:$AG$1001,0),1)&gt;=100000,INDEX($AN$1005:$BO$1005,1,MATCH(COLUMNS($AN$1006:AV1006),$AN$1006:$BO$1006,0))&gt;=100000), " ",IF(INDEX($AN$2:$BO$1001,MATCH(ROWS($AG$2:AG902),$AG$2:$AG$1001,0),MATCH(COLUMNS($AN$1006:AV1006),$AN$1006:$BO$1006,0)), HYPERLINK("#",""), HYPERLINK(CONCATENATE("#Metadata!", ADDRESS(INDEX($AI$2:$AI$1001,MATCH(ROWS($AG$2:AG902),$AG$2:$AG$1001,0),0), INDEX($AN$1004:$BO$1004,1,MATCH(COLUMNS($AN$1006:AV1006),$AN$1006:$BO$1006,0)))),"Fix")))</f>
        <v>0</v>
      </c>
      <c r="K902" s="4">
        <f>IF(OR(INDEX($AH$2:$AH$1001,MATCH(ROWS($AG$2:AG902),$AG$2:$AG$1001,0),1)&gt;=100000,INDEX($AN$1005:$BO$1005,1,MATCH(COLUMNS($AN$1006:AW1006),$AN$1006:$BO$1006,0))&gt;=100000), " ",IF(INDEX($AN$2:$BO$1001,MATCH(ROWS($AG$2:AG902),$AG$2:$AG$1001,0),MATCH(COLUMNS($AN$1006:AW1006),$AN$1006:$BO$1006,0)), HYPERLINK("#",""), HYPERLINK(CONCATENATE("#Metadata!", ADDRESS(INDEX($AI$2:$AI$1001,MATCH(ROWS($AG$2:AG902),$AG$2:$AG$1001,0),0), INDEX($AN$1004:$BO$1004,1,MATCH(COLUMNS($AN$1006:AW1006),$AN$1006:$BO$1006,0)))),"Fix")))</f>
        <v>0</v>
      </c>
      <c r="L902" s="4">
        <f>IF(OR(INDEX($AH$2:$AH$1001,MATCH(ROWS($AG$2:AG902),$AG$2:$AG$1001,0),1)&gt;=100000,INDEX($AN$1005:$BO$1005,1,MATCH(COLUMNS($AN$1006:AX1006),$AN$1006:$BO$1006,0))&gt;=100000), " ",IF(INDEX($AN$2:$BO$1001,MATCH(ROWS($AG$2:AG902),$AG$2:$AG$1001,0),MATCH(COLUMNS($AN$1006:AX1006),$AN$1006:$BO$1006,0)), HYPERLINK("#",""), HYPERLINK(CONCATENATE("#Metadata!", ADDRESS(INDEX($AI$2:$AI$1001,MATCH(ROWS($AG$2:AG902),$AG$2:$AG$1001,0),0), INDEX($AN$1004:$BO$1004,1,MATCH(COLUMNS($AN$1006:AX1006),$AN$1006:$BO$1006,0)))),"Fix")))</f>
        <v>0</v>
      </c>
      <c r="M902" s="4">
        <f>IF(OR(INDEX($AH$2:$AH$1001,MATCH(ROWS($AG$2:AG902),$AG$2:$AG$1001,0),1)&gt;=100000,INDEX($AN$1005:$BO$1005,1,MATCH(COLUMNS($AN$1006:AY1006),$AN$1006:$BO$1006,0))&gt;=100000), " ",IF(INDEX($AN$2:$BO$1001,MATCH(ROWS($AG$2:AG902),$AG$2:$AG$1001,0),MATCH(COLUMNS($AN$1006:AY1006),$AN$1006:$BO$1006,0)), HYPERLINK("#",""), HYPERLINK(CONCATENATE("#Metadata!", ADDRESS(INDEX($AI$2:$AI$1001,MATCH(ROWS($AG$2:AG902),$AG$2:$AG$1001,0),0), INDEX($AN$1004:$BO$1004,1,MATCH(COLUMNS($AN$1006:AY1006),$AN$1006:$BO$1006,0)))),"Fix")))</f>
        <v>0</v>
      </c>
      <c r="N902" s="4">
        <f>IF(OR(INDEX($AH$2:$AH$1001,MATCH(ROWS($AG$2:AG902),$AG$2:$AG$1001,0),1)&gt;=100000,INDEX($AN$1005:$BO$1005,1,MATCH(COLUMNS($AN$1006:AZ1006),$AN$1006:$BO$1006,0))&gt;=100000), " ",IF(INDEX($AN$2:$BO$1001,MATCH(ROWS($AG$2:AG902),$AG$2:$AG$1001,0),MATCH(COLUMNS($AN$1006:AZ1006),$AN$1006:$BO$1006,0)), HYPERLINK("#",""), HYPERLINK(CONCATENATE("#Metadata!", ADDRESS(INDEX($AI$2:$AI$1001,MATCH(ROWS($AG$2:AG902),$AG$2:$AG$1001,0),0), INDEX($AN$1004:$BO$1004,1,MATCH(COLUMNS($AN$1006:AZ1006),$AN$1006:$BO$1006,0)))),"Fix")))</f>
        <v>0</v>
      </c>
      <c r="O902" s="4">
        <f>IF(OR(INDEX($AH$2:$AH$1001,MATCH(ROWS($AG$2:AG902),$AG$2:$AG$1001,0),1)&gt;=100000,INDEX($AN$1005:$BO$1005,1,MATCH(COLUMNS($AN$1006:BA1006),$AN$1006:$BO$1006,0))&gt;=100000), " ",IF(INDEX($AN$2:$BO$1001,MATCH(ROWS($AG$2:AG902),$AG$2:$AG$1001,0),MATCH(COLUMNS($AN$1006:BA1006),$AN$1006:$BO$1006,0)), HYPERLINK("#",""), HYPERLINK(CONCATENATE("#Metadata!", ADDRESS(INDEX($AI$2:$AI$1001,MATCH(ROWS($AG$2:AG902),$AG$2:$AG$1001,0),0), INDEX($AN$1004:$BO$1004,1,MATCH(COLUMNS($AN$1006:BA1006),$AN$1006:$BO$1006,0)))),"Fix")))</f>
        <v>0</v>
      </c>
      <c r="P902" s="4">
        <f>IF(OR(INDEX($AH$2:$AH$1001,MATCH(ROWS($AG$2:AG902),$AG$2:$AG$1001,0),1)&gt;=100000,INDEX($AN$1005:$BO$1005,1,MATCH(COLUMNS($AN$1006:BB1006),$AN$1006:$BO$1006,0))&gt;=100000), " ",IF(INDEX($AN$2:$BO$1001,MATCH(ROWS($AG$2:AG902),$AG$2:$AG$1001,0),MATCH(COLUMNS($AN$1006:BB1006),$AN$1006:$BO$1006,0)), HYPERLINK("#",""), HYPERLINK(CONCATENATE("#Metadata!", ADDRESS(INDEX($AI$2:$AI$1001,MATCH(ROWS($AG$2:AG902),$AG$2:$AG$1001,0),0), INDEX($AN$1004:$BO$1004,1,MATCH(COLUMNS($AN$1006:BB1006),$AN$1006:$BO$1006,0)))),"Fix")))</f>
        <v>0</v>
      </c>
      <c r="Q902" s="4">
        <f>IF(OR(INDEX($AH$2:$AH$1001,MATCH(ROWS($AG$2:AG902),$AG$2:$AG$1001,0),1)&gt;=100000,INDEX($AN$1005:$BO$1005,1,MATCH(COLUMNS($AN$1006:BC1006),$AN$1006:$BO$1006,0))&gt;=100000), " ",IF(INDEX($AN$2:$BO$1001,MATCH(ROWS($AG$2:AG902),$AG$2:$AG$1001,0),MATCH(COLUMNS($AN$1006:BC1006),$AN$1006:$BO$1006,0)), HYPERLINK("#",""), HYPERLINK(CONCATENATE("#Metadata!", ADDRESS(INDEX($AI$2:$AI$1001,MATCH(ROWS($AG$2:AG902),$AG$2:$AG$1001,0),0), INDEX($AN$1004:$BO$1004,1,MATCH(COLUMNS($AN$1006:BC1006),$AN$1006:$BO$1006,0)))),"Fix")))</f>
        <v>0</v>
      </c>
      <c r="R902" s="4">
        <f>IF(OR(INDEX($AH$2:$AH$1001,MATCH(ROWS($AG$2:AG902),$AG$2:$AG$1001,0),1)&gt;=100000,INDEX($AN$1005:$BO$1005,1,MATCH(COLUMNS($AN$1006:BD1006),$AN$1006:$BO$1006,0))&gt;=100000), " ",IF(INDEX($AN$2:$BO$1001,MATCH(ROWS($AG$2:AG902),$AG$2:$AG$1001,0),MATCH(COLUMNS($AN$1006:BD1006),$AN$1006:$BO$1006,0)), HYPERLINK("#",""), HYPERLINK(CONCATENATE("#Metadata!", ADDRESS(INDEX($AI$2:$AI$1001,MATCH(ROWS($AG$2:AG902),$AG$2:$AG$1001,0),0), INDEX($AN$1004:$BO$1004,1,MATCH(COLUMNS($AN$1006:BD1006),$AN$1006:$BO$1006,0)))),"Fix")))</f>
        <v>0</v>
      </c>
      <c r="S902" s="4">
        <f>IF(OR(INDEX($AH$2:$AH$1001,MATCH(ROWS($AG$2:AG902),$AG$2:$AG$1001,0),1)&gt;=100000,INDEX($AN$1005:$BO$1005,1,MATCH(COLUMNS($AN$1006:BE1006),$AN$1006:$BO$1006,0))&gt;=100000), " ",IF(INDEX($AN$2:$BO$1001,MATCH(ROWS($AG$2:AG902),$AG$2:$AG$1001,0),MATCH(COLUMNS($AN$1006:BE1006),$AN$1006:$BO$1006,0)), HYPERLINK("#",""), HYPERLINK(CONCATENATE("#Metadata!", ADDRESS(INDEX($AI$2:$AI$1001,MATCH(ROWS($AG$2:AG902),$AG$2:$AG$1001,0),0), INDEX($AN$1004:$BO$1004,1,MATCH(COLUMNS($AN$1006:BE1006),$AN$1006:$BO$1006,0)))),"Fix")))</f>
        <v>0</v>
      </c>
      <c r="T902" s="4">
        <f>IF(OR(INDEX($AH$2:$AH$1001,MATCH(ROWS($AG$2:AG902),$AG$2:$AG$1001,0),1)&gt;=100000,INDEX($AN$1005:$BO$1005,1,MATCH(COLUMNS($AN$1006:BF1006),$AN$1006:$BO$1006,0))&gt;=100000), " ",IF(INDEX($AN$2:$BO$1001,MATCH(ROWS($AG$2:AG902),$AG$2:$AG$1001,0),MATCH(COLUMNS($AN$1006:BF1006),$AN$1006:$BO$1006,0)), HYPERLINK("#",""), HYPERLINK(CONCATENATE("#Metadata!", ADDRESS(INDEX($AI$2:$AI$1001,MATCH(ROWS($AG$2:AG902),$AG$2:$AG$1001,0),0), INDEX($AN$1004:$BO$1004,1,MATCH(COLUMNS($AN$1006:BF1006),$AN$1006:$BO$1006,0)))),"Fix")))</f>
        <v>0</v>
      </c>
      <c r="U902" s="4">
        <f>IF(OR(INDEX($AH$2:$AH$1001,MATCH(ROWS($AG$2:AG902),$AG$2:$AG$1001,0),1)&gt;=100000,INDEX($AN$1005:$BO$1005,1,MATCH(COLUMNS($AN$1006:BG1006),$AN$1006:$BO$1006,0))&gt;=100000), " ",IF(INDEX($AN$2:$BO$1001,MATCH(ROWS($AG$2:AG902),$AG$2:$AG$1001,0),MATCH(COLUMNS($AN$1006:BG1006),$AN$1006:$BO$1006,0)), HYPERLINK("#",""), HYPERLINK(CONCATENATE("#Metadata!", ADDRESS(INDEX($AI$2:$AI$1001,MATCH(ROWS($AG$2:AG902),$AG$2:$AG$1001,0),0), INDEX($AN$1004:$BO$1004,1,MATCH(COLUMNS($AN$1006:BG1006),$AN$1006:$BO$1006,0)))),"Fix")))</f>
        <v>0</v>
      </c>
      <c r="V902" s="4">
        <f>IF(OR(INDEX($AH$2:$AH$1001,MATCH(ROWS($AG$2:AG902),$AG$2:$AG$1001,0),1)&gt;=100000,INDEX($AN$1005:$BO$1005,1,MATCH(COLUMNS($AN$1006:BH1006),$AN$1006:$BO$1006,0))&gt;=100000), " ",IF(INDEX($AN$2:$BO$1001,MATCH(ROWS($AG$2:AG902),$AG$2:$AG$1001,0),MATCH(COLUMNS($AN$1006:BH1006),$AN$1006:$BO$1006,0)), HYPERLINK("#",""), HYPERLINK(CONCATENATE("#Metadata!", ADDRESS(INDEX($AI$2:$AI$1001,MATCH(ROWS($AG$2:AG902),$AG$2:$AG$1001,0),0), INDEX($AN$1004:$BO$1004,1,MATCH(COLUMNS($AN$1006:BH1006),$AN$1006:$BO$1006,0)))),"Fix")))</f>
        <v>0</v>
      </c>
      <c r="W902" s="4">
        <f>IF(OR(INDEX($AH$2:$AH$1001,MATCH(ROWS($AG$2:AG902),$AG$2:$AG$1001,0),1)&gt;=100000,INDEX($AN$1005:$BO$1005,1,MATCH(COLUMNS($AN$1006:BI1006),$AN$1006:$BO$1006,0))&gt;=100000), " ",IF(INDEX($AN$2:$BO$1001,MATCH(ROWS($AG$2:AG902),$AG$2:$AG$1001,0),MATCH(COLUMNS($AN$1006:BI1006),$AN$1006:$BO$1006,0)), HYPERLINK("#",""), HYPERLINK(CONCATENATE("#Metadata!", ADDRESS(INDEX($AI$2:$AI$1001,MATCH(ROWS($AG$2:AG902),$AG$2:$AG$1001,0),0), INDEX($AN$1004:$BO$1004,1,MATCH(COLUMNS($AN$1006:BI1006),$AN$1006:$BO$1006,0)))),"Fix")))</f>
        <v>0</v>
      </c>
      <c r="X902" s="4">
        <f>IF(OR(INDEX($AH$2:$AH$1001,MATCH(ROWS($AG$2:AG902),$AG$2:$AG$1001,0),1)&gt;=100000,INDEX($AN$1005:$BO$1005,1,MATCH(COLUMNS($AN$1006:BJ1006),$AN$1006:$BO$1006,0))&gt;=100000), " ",IF(INDEX($AN$2:$BO$1001,MATCH(ROWS($AG$2:AG902),$AG$2:$AG$1001,0),MATCH(COLUMNS($AN$1006:BJ1006),$AN$1006:$BO$1006,0)), HYPERLINK("#",""), HYPERLINK(CONCATENATE("#Metadata!", ADDRESS(INDEX($AI$2:$AI$1001,MATCH(ROWS($AG$2:AG902),$AG$2:$AG$1001,0),0), INDEX($AN$1004:$BO$1004,1,MATCH(COLUMNS($AN$1006:BJ1006),$AN$1006:$BO$1006,0)))),"Fix")))</f>
        <v>0</v>
      </c>
      <c r="Y902" s="4">
        <f>IF(OR(INDEX($AH$2:$AH$1001,MATCH(ROWS($AG$2:AG902),$AG$2:$AG$1001,0),1)&gt;=100000,INDEX($AN$1005:$BO$1005,1,MATCH(COLUMNS($AN$1006:BK1006),$AN$1006:$BO$1006,0))&gt;=100000), " ",IF(INDEX($AN$2:$BO$1001,MATCH(ROWS($AG$2:AG902),$AG$2:$AG$1001,0),MATCH(COLUMNS($AN$1006:BK1006),$AN$1006:$BO$1006,0)), HYPERLINK("#",""), HYPERLINK(CONCATENATE("#Metadata!", ADDRESS(INDEX($AI$2:$AI$1001,MATCH(ROWS($AG$2:AG902),$AG$2:$AG$1001,0),0), INDEX($AN$1004:$BO$1004,1,MATCH(COLUMNS($AN$1006:BK1006),$AN$1006:$BO$1006,0)))),"Fix")))</f>
        <v>0</v>
      </c>
      <c r="Z902" s="4">
        <f>IF(OR(INDEX($AH$2:$AH$1001,MATCH(ROWS($AG$2:AG902),$AG$2:$AG$1001,0),1)&gt;=100000,INDEX($AN$1005:$BO$1005,1,MATCH(COLUMNS($AN$1006:BL1006),$AN$1006:$BO$1006,0))&gt;=100000), " ",IF(INDEX($AN$2:$BO$1001,MATCH(ROWS($AG$2:AG902),$AG$2:$AG$1001,0),MATCH(COLUMNS($AN$1006:BL1006),$AN$1006:$BO$1006,0)), HYPERLINK("#",""), HYPERLINK(CONCATENATE("#Metadata!", ADDRESS(INDEX($AI$2:$AI$1001,MATCH(ROWS($AG$2:AG902),$AG$2:$AG$1001,0),0), INDEX($AN$1004:$BO$1004,1,MATCH(COLUMNS($AN$1006:BL1006),$AN$1006:$BO$1006,0)))),"Fix")))</f>
        <v>0</v>
      </c>
      <c r="AA902" s="4">
        <f>IF(OR(INDEX($AH$2:$AH$1001,MATCH(ROWS($AG$2:AG902),$AG$2:$AG$1001,0),1)&gt;=100000,INDEX($AN$1005:$BO$1005,1,MATCH(COLUMNS($AN$1006:BM1006),$AN$1006:$BO$1006,0))&gt;=100000), " ",IF(INDEX($AN$2:$BO$1001,MATCH(ROWS($AG$2:AG902),$AG$2:$AG$1001,0),MATCH(COLUMNS($AN$1006:BM1006),$AN$1006:$BO$1006,0)), HYPERLINK("#",""), HYPERLINK(CONCATENATE("#Metadata!", ADDRESS(INDEX($AI$2:$AI$1001,MATCH(ROWS($AG$2:AG902),$AG$2:$AG$1001,0),0), INDEX($AN$1004:$BO$1004,1,MATCH(COLUMNS($AN$1006:BM1006),$AN$1006:$BO$1006,0)))),"Fix")))</f>
        <v>0</v>
      </c>
      <c r="AB902" s="4">
        <f>IF(OR(INDEX($AH$2:$AH$1001,MATCH(ROWS($AG$2:AG902),$AG$2:$AG$1001,0),1)&gt;=100000,INDEX($AN$1005:$BO$1005,1,MATCH(COLUMNS($AN$1006:BN1006),$AN$1006:$BO$1006,0))&gt;=100000), " ",IF(INDEX($AN$2:$BO$1001,MATCH(ROWS($AG$2:AG902),$AG$2:$AG$1001,0),MATCH(COLUMNS($AN$1006:BN1006),$AN$1006:$BO$1006,0)), HYPERLINK("#",""), HYPERLINK(CONCATENATE("#Metadata!", ADDRESS(INDEX($AI$2:$AI$1001,MATCH(ROWS($AG$2:AG902),$AG$2:$AG$1001,0),0), INDEX($AN$1004:$BO$1004,1,MATCH(COLUMNS($AN$1006:BN1006),$AN$1006:$BO$1006,0)))),"Fix")))</f>
        <v>0</v>
      </c>
      <c r="AC902" s="4">
        <f>IF(OR(INDEX($AH$2:$AH$1001,MATCH(ROWS($AG$2:AG902),$AG$2:$AG$1001,0),1)&gt;=100000,INDEX($AN$1005:$BO$1005,1,MATCH(COLUMNS($AN$1006:BO1006),$AN$1006:$BO$1006,0))&gt;=100000), " ",IF(INDEX($AN$2:$BO$1001,MATCH(ROWS($AG$2:AG902),$AG$2:$AG$1001,0),MATCH(COLUMNS($AN$1006:BO1006),$AN$1006:$BO$1006,0)), HYPERLINK("#",""), HYPERLINK(CONCATENATE("#Metadata!", ADDRESS(INDEX($AI$2:$AI$1001,MATCH(ROWS($AG$2:AG902),$AG$2:$AG$1001,0),0), INDEX($AN$1004:$BO$1004,1,MATCH(COLUMNS($AN$1006:BO1006),$AN$1006:$BO$1006,0)))),"Fix")))</f>
        <v>0</v>
      </c>
      <c r="AG902">
        <v>0</v>
      </c>
      <c r="AH902">
        <v>0</v>
      </c>
      <c r="AI902">
        <v>0</v>
      </c>
      <c r="AJ902">
        <f>IF(AK902,TRUE,AND(AN902:BO902))</f>
        <v>0</v>
      </c>
      <c r="AK902">
        <f>COUNTBLANK(Metadata!B902:AC902)=COLUMNS(Metadata!B902:AC902)</f>
        <v>0</v>
      </c>
      <c r="AL902">
        <v>0</v>
      </c>
      <c r="AN902">
        <f>AND(IF(Metadata!B902="",FALSE,TRUE),COUNTIF(Metadata!B:B, Metadata!B902) = 1,NOT(ISERROR(SUMPRODUCT(SEARCH(MID(Metadata!B902,ROW(INDIRECT("1:"&amp;LEN(Metadata!B902))), 1),"0123456789abcdefghijklmnopqrstuvwxyzABCDEFGHIJKLMNOPQRSTUVWXYZ.")))))</f>
        <v>0</v>
      </c>
      <c r="AO902">
        <f>IF(Metadata!C902="",FALSE,TRUE)</f>
        <v>0</v>
      </c>
      <c r="AP902">
        <f>IF(Metadata!D902="",FALSE,TRUE)</f>
        <v>0</v>
      </c>
      <c r="AQ902">
        <f>OR(AND(IF(Metadata!E902="",FALSE,TRUE),OR(exact(Metadata!E902,"not collected"),exact(Metadata!E902,"not provided"),exact(Metadata!E902,"restricted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R902">
        <f>IF(Metadata!F902="",FALSE,TRUE)</f>
        <v>0</v>
      </c>
      <c r="AS902">
        <f>OR(AND(IF(Metadata!G902="",FALSE,TRUE),OR(exact(Metadata!G902,"not collected"),exact(Metadata!G902,"not provided"))),AND(IF(Metadata!G902="",FALSE,TRUE),OR(exact(Metadata!G902,"TRUE"),exact(Metadata!G902,"FALSE"))))</f>
        <v>0</v>
      </c>
      <c r="AT902">
        <f>OR(AND(IF(Metadata!H902="",FALSE,TRUE),OR(exact(Metadata!H902,"not collected"),exact(Metadata!H902,"not provided"),exact(Metadata!H902,"restricted access"))),AND(IF(Metadata!H902="",FALSE,ISNUMBER(VALUE(Metadata!H902))),Metadata!H902&gt;=-413.0))</f>
        <v>0</v>
      </c>
      <c r="AU902">
        <f>AND(IF(Metadata!I902="",FALSE,TRUE),exact(Metadata!I902,"meters"))</f>
        <v>0</v>
      </c>
      <c r="AV902">
        <f>AND(IF(Metadata!J902="",FALSE,TRUE),OR(exact(Metadata!J902,"Host-associated"),exact(Metadata!J902,"Free-living")))</f>
        <v>0</v>
      </c>
      <c r="AW902">
        <f>AND(IF(Metadata!K902="",FALSE,TRUE),OR(exact(Metadata!K902,"Animal"),exact(Metadata!K902,"Fungus"),exact(Metadata!K902,"Plant"),exact(Metadata!K902,"Saline"),exact(Metadata!K902,"Non-saline")))</f>
        <v>0</v>
      </c>
      <c r="AX902">
        <f>AND(IF(Metadata!L902="",FALSE,TRUE),OR(exact(Metadata!L902,"Plant secretion"),exact(Metadata!L902,"Plant rhizosphere"),exact(Metadata!L902,"Plant surface"),exact(Metadata!L902,"Plant corpus"),exact(Metadata!L902,"Fungus surface"),exact(Metadata!L902,"Fungus corpus"),exact(Metadata!L902,"Animal surface"),exact(Metadata!L902,"Animal proximal gut"),exact(Metadata!L902,"Animal corpus"),exact(Metadata!L902,"Animal distal gut"),exact(Metadata!L902,"Animal secretion"),exact(Metadata!L902,"Sub-surface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Y902">
        <f>IF(Metadata!M902="",FALSE,TRUE)</f>
        <v>0</v>
      </c>
      <c r="AZ902">
        <f>IF(Metadata!N902="",FALSE,TRUE)</f>
        <v>0</v>
      </c>
      <c r="BA902">
        <f>IF(Metadata!O902="",FALSE,TRUE)</f>
        <v>0</v>
      </c>
      <c r="BB902">
        <f>OR(AND(IF(Metadata!P902="",FALSE,TRUE),OR(exact(Metadata!P902,"not collected"),exact(Metadata!P902,"not provided"),exact(Metadata!P902,"restricted access"))),AND(IF(Metadata!P902="",FALSE,TRUE),OR(exact(Metadata!P902,"air"),exact(Metadata!P902,"built environment"),exact(Metadata!P902,"host-associated"),exact(Metadata!P902,"human-associated"),exact(Metadata!P902,"human-skin"),exact(Metadata!P902,"human-oral"),exact(Metadata!P902,"human-gut"),exact(Metadata!P902,"human-vaginal"),exact(Metadata!P902,"microbial mat/biofilm"),exact(Metadata!P902,"misc environment"),exact(Metadata!P902,"plant-associated"),exact(Metadata!P902,"sediment"),exact(Metadata!P902,"soil"),exact(Metadata!P902,"wastewater/sludge"),exact(Metadata!P902,"water"))))</f>
        <v>0</v>
      </c>
      <c r="BC902">
        <f>IF(Metadata!Q902="",FALSE,TRUE)</f>
        <v>0</v>
      </c>
      <c r="BD902">
        <f>IF(Metadata!R902="",FALSE,TRUE)</f>
        <v>0</v>
      </c>
      <c r="BE902">
        <f>OR(AND(IF(Metadata!S902="",FALSE,TRUE),OR(exact(Metadata!S902,"not collected"),exact(Metadata!S902,"not provided"),exact(Metadata!S902,"restricted access"))),AND(IF(Metadata!S902="",FALSE,ISNUMBER(VALUE(Metadata!S902))),Metadata!S902&gt;=-90.00,Metadata!S902&lt;=90.00))</f>
        <v>0</v>
      </c>
      <c r="BF902">
        <f>AND(IF(Metadata!T902="",FALSE,TRUE),exact(Metadata!T902,"Decimal degrees"))</f>
        <v>0</v>
      </c>
      <c r="BG902">
        <f>OR(AND(IF(Metadata!U902="",FALSE,TRUE),OR(exact(Metadata!U902,"not collected"),exact(Metadata!U902,"not provided"),exact(Metadata!U902,"restricted access"))),AND(IF(Metadata!U902="",FALSE,ISNUMBER(VALUE(Metadata!U902))),Metadata!U902&gt;=-180.00,Metadata!U902&lt;=180.00))</f>
        <v>0</v>
      </c>
      <c r="BH902">
        <f>AND(IF(Metadata!V902="",FALSE,TRUE),exact(Metadata!V902,"Decimal degrees"))</f>
        <v>0</v>
      </c>
      <c r="BI902">
        <f>IF(Metadata!W902="",FALSE,TRUE)</f>
        <v>0</v>
      </c>
      <c r="BJ902">
        <f>OR(AND(IF(Metadata!X902="",FALSE,TRUE),OR(exact(Metadata!X902,"not collected"),exact(Metadata!X902,"not provided"),exact(Metadata!X902,"restricted access"))),AND(IF(Metadata!X902="",FALSE,TRUE),OR(exact(Metadata!X902,"TRUE"),exact(Metadata!X902,"FALSE"))))</f>
        <v>0</v>
      </c>
      <c r="BK902">
        <f>AND(IF(Metadata!Y902="",FALSE,TRUE),exact(Metadata!Y902,"other"))</f>
        <v>0</v>
      </c>
      <c r="BL902">
        <f>IF(Metadata!Z902="",FALSE,TRUE)</f>
        <v>0</v>
      </c>
      <c r="BM902">
        <f>OR(AND(IF(Metadata!AA902="",FALSE,TRUE),OR(exact(Metadata!AA902,"not collected"),exact(Metadata!AA902,"not provided"))),AND(IF(Metadata!AA902="",FALSE,IF(ISERROR(INT(Metadata!AA902)),FALSE,INT(Metadata!AA902)=Metadata!AA902)),Metadata!AA902&gt;0))</f>
        <v>0</v>
      </c>
      <c r="BN902">
        <f>AND(IF(Metadata!AB902="",FALSE,TRUE),exact(Metadata!AB902,"Not applicable"))</f>
        <v>0</v>
      </c>
      <c r="BO902">
        <f>IF(Metadata!AC902="",FALSE,TRUE)</f>
        <v>0</v>
      </c>
    </row>
    <row r="903" spans="1:67">
      <c r="A903" s="5">
        <f>IF(B903=" "," ",HYPERLINK(CONCATENATE("#metadata!",ADDRESS(INDEX($AI$2:$AI$1001,MATCH(ROWS($AG$2:AG903),$AG$2:$AG$1001,0),0),1)),INDEX($AL$2:$AL$1001,MATCH(ROWS($AG$2:AG903),$AG$2:$AG$1001,0),0)))</f>
        <v>0</v>
      </c>
      <c r="B903" s="4">
        <f>IF(OR(INDEX($AH$2:$AH$1001,MATCH(ROWS($AG$2:AG903),$AG$2:$AG$1001,0),1)&gt;=100000,INDEX($AN$1005:$BO$1005,1,MATCH(COLUMNS($AN$1006:AN1006),$AN$1006:$BO$1006,0))&gt;=100000), " ",IF(INDEX($AN$2:$BO$1001,MATCH(ROWS($AG$2:AG903),$AG$2:$AG$1001,0),MATCH(COLUMNS($AN$1006:AN1006),$AN$1006:$BO$1006,0)), HYPERLINK("#",""), HYPERLINK(CONCATENATE("#Metadata!", ADDRESS(INDEX($AI$2:$AI$1001,MATCH(ROWS($AG$2:AG903),$AG$2:$AG$1001,0),0), INDEX($AN$1004:$BO$1004,1,MATCH(COLUMNS($AN$1006:AN1006),$AN$1006:$BO$1006,0)))),"Fix")))</f>
        <v>0</v>
      </c>
      <c r="C903" s="4">
        <f>IF(OR(INDEX($AH$2:$AH$1001,MATCH(ROWS($AG$2:AG903),$AG$2:$AG$1001,0),1)&gt;=100000,INDEX($AN$1005:$BO$1005,1,MATCH(COLUMNS($AN$1006:AO1006),$AN$1006:$BO$1006,0))&gt;=100000), " ",IF(INDEX($AN$2:$BO$1001,MATCH(ROWS($AG$2:AG903),$AG$2:$AG$1001,0),MATCH(COLUMNS($AN$1006:AO1006),$AN$1006:$BO$1006,0)), HYPERLINK("#",""), HYPERLINK(CONCATENATE("#Metadata!", ADDRESS(INDEX($AI$2:$AI$1001,MATCH(ROWS($AG$2:AG903),$AG$2:$AG$1001,0),0), INDEX($AN$1004:$BO$1004,1,MATCH(COLUMNS($AN$1006:AO1006),$AN$1006:$BO$1006,0)))),"Fix")))</f>
        <v>0</v>
      </c>
      <c r="D903" s="4">
        <f>IF(OR(INDEX($AH$2:$AH$1001,MATCH(ROWS($AG$2:AG903),$AG$2:$AG$1001,0),1)&gt;=100000,INDEX($AN$1005:$BO$1005,1,MATCH(COLUMNS($AN$1006:AP1006),$AN$1006:$BO$1006,0))&gt;=100000), " ",IF(INDEX($AN$2:$BO$1001,MATCH(ROWS($AG$2:AG903),$AG$2:$AG$1001,0),MATCH(COLUMNS($AN$1006:AP1006),$AN$1006:$BO$1006,0)), HYPERLINK("#",""), HYPERLINK(CONCATENATE("#Metadata!", ADDRESS(INDEX($AI$2:$AI$1001,MATCH(ROWS($AG$2:AG903),$AG$2:$AG$1001,0),0), INDEX($AN$1004:$BO$1004,1,MATCH(COLUMNS($AN$1006:AP1006),$AN$1006:$BO$1006,0)))),"Fix")))</f>
        <v>0</v>
      </c>
      <c r="E903" s="4">
        <f>IF(OR(INDEX($AH$2:$AH$1001,MATCH(ROWS($AG$2:AG903),$AG$2:$AG$1001,0),1)&gt;=100000,INDEX($AN$1005:$BO$1005,1,MATCH(COLUMNS($AN$1006:AQ1006),$AN$1006:$BO$1006,0))&gt;=100000), " ",IF(INDEX($AN$2:$BO$1001,MATCH(ROWS($AG$2:AG903),$AG$2:$AG$1001,0),MATCH(COLUMNS($AN$1006:AQ1006),$AN$1006:$BO$1006,0)), HYPERLINK("#",""), HYPERLINK(CONCATENATE("#Metadata!", ADDRESS(INDEX($AI$2:$AI$1001,MATCH(ROWS($AG$2:AG903),$AG$2:$AG$1001,0),0), INDEX($AN$1004:$BO$1004,1,MATCH(COLUMNS($AN$1006:AQ1006),$AN$1006:$BO$1006,0)))),"Fix")))</f>
        <v>0</v>
      </c>
      <c r="F903" s="4">
        <f>IF(OR(INDEX($AH$2:$AH$1001,MATCH(ROWS($AG$2:AG903),$AG$2:$AG$1001,0),1)&gt;=100000,INDEX($AN$1005:$BO$1005,1,MATCH(COLUMNS($AN$1006:AR1006),$AN$1006:$BO$1006,0))&gt;=100000), " ",IF(INDEX($AN$2:$BO$1001,MATCH(ROWS($AG$2:AG903),$AG$2:$AG$1001,0),MATCH(COLUMNS($AN$1006:AR1006),$AN$1006:$BO$1006,0)), HYPERLINK("#",""), HYPERLINK(CONCATENATE("#Metadata!", ADDRESS(INDEX($AI$2:$AI$1001,MATCH(ROWS($AG$2:AG903),$AG$2:$AG$1001,0),0), INDEX($AN$1004:$BO$1004,1,MATCH(COLUMNS($AN$1006:AR1006),$AN$1006:$BO$1006,0)))),"Fix")))</f>
        <v>0</v>
      </c>
      <c r="G903" s="4">
        <f>IF(OR(INDEX($AH$2:$AH$1001,MATCH(ROWS($AG$2:AG903),$AG$2:$AG$1001,0),1)&gt;=100000,INDEX($AN$1005:$BO$1005,1,MATCH(COLUMNS($AN$1006:AS1006),$AN$1006:$BO$1006,0))&gt;=100000), " ",IF(INDEX($AN$2:$BO$1001,MATCH(ROWS($AG$2:AG903),$AG$2:$AG$1001,0),MATCH(COLUMNS($AN$1006:AS1006),$AN$1006:$BO$1006,0)), HYPERLINK("#",""), HYPERLINK(CONCATENATE("#Metadata!", ADDRESS(INDEX($AI$2:$AI$1001,MATCH(ROWS($AG$2:AG903),$AG$2:$AG$1001,0),0), INDEX($AN$1004:$BO$1004,1,MATCH(COLUMNS($AN$1006:AS1006),$AN$1006:$BO$1006,0)))),"Fix")))</f>
        <v>0</v>
      </c>
      <c r="H903" s="4">
        <f>IF(OR(INDEX($AH$2:$AH$1001,MATCH(ROWS($AG$2:AG903),$AG$2:$AG$1001,0),1)&gt;=100000,INDEX($AN$1005:$BO$1005,1,MATCH(COLUMNS($AN$1006:AT1006),$AN$1006:$BO$1006,0))&gt;=100000), " ",IF(INDEX($AN$2:$BO$1001,MATCH(ROWS($AG$2:AG903),$AG$2:$AG$1001,0),MATCH(COLUMNS($AN$1006:AT1006),$AN$1006:$BO$1006,0)), HYPERLINK("#",""), HYPERLINK(CONCATENATE("#Metadata!", ADDRESS(INDEX($AI$2:$AI$1001,MATCH(ROWS($AG$2:AG903),$AG$2:$AG$1001,0),0), INDEX($AN$1004:$BO$1004,1,MATCH(COLUMNS($AN$1006:AT1006),$AN$1006:$BO$1006,0)))),"Fix")))</f>
        <v>0</v>
      </c>
      <c r="I903" s="4">
        <f>IF(OR(INDEX($AH$2:$AH$1001,MATCH(ROWS($AG$2:AG903),$AG$2:$AG$1001,0),1)&gt;=100000,INDEX($AN$1005:$BO$1005,1,MATCH(COLUMNS($AN$1006:AU1006),$AN$1006:$BO$1006,0))&gt;=100000), " ",IF(INDEX($AN$2:$BO$1001,MATCH(ROWS($AG$2:AG903),$AG$2:$AG$1001,0),MATCH(COLUMNS($AN$1006:AU1006),$AN$1006:$BO$1006,0)), HYPERLINK("#",""), HYPERLINK(CONCATENATE("#Metadata!", ADDRESS(INDEX($AI$2:$AI$1001,MATCH(ROWS($AG$2:AG903),$AG$2:$AG$1001,0),0), INDEX($AN$1004:$BO$1004,1,MATCH(COLUMNS($AN$1006:AU1006),$AN$1006:$BO$1006,0)))),"Fix")))</f>
        <v>0</v>
      </c>
      <c r="J903" s="4">
        <f>IF(OR(INDEX($AH$2:$AH$1001,MATCH(ROWS($AG$2:AG903),$AG$2:$AG$1001,0),1)&gt;=100000,INDEX($AN$1005:$BO$1005,1,MATCH(COLUMNS($AN$1006:AV1006),$AN$1006:$BO$1006,0))&gt;=100000), " ",IF(INDEX($AN$2:$BO$1001,MATCH(ROWS($AG$2:AG903),$AG$2:$AG$1001,0),MATCH(COLUMNS($AN$1006:AV1006),$AN$1006:$BO$1006,0)), HYPERLINK("#",""), HYPERLINK(CONCATENATE("#Metadata!", ADDRESS(INDEX($AI$2:$AI$1001,MATCH(ROWS($AG$2:AG903),$AG$2:$AG$1001,0),0), INDEX($AN$1004:$BO$1004,1,MATCH(COLUMNS($AN$1006:AV1006),$AN$1006:$BO$1006,0)))),"Fix")))</f>
        <v>0</v>
      </c>
      <c r="K903" s="4">
        <f>IF(OR(INDEX($AH$2:$AH$1001,MATCH(ROWS($AG$2:AG903),$AG$2:$AG$1001,0),1)&gt;=100000,INDEX($AN$1005:$BO$1005,1,MATCH(COLUMNS($AN$1006:AW1006),$AN$1006:$BO$1006,0))&gt;=100000), " ",IF(INDEX($AN$2:$BO$1001,MATCH(ROWS($AG$2:AG903),$AG$2:$AG$1001,0),MATCH(COLUMNS($AN$1006:AW1006),$AN$1006:$BO$1006,0)), HYPERLINK("#",""), HYPERLINK(CONCATENATE("#Metadata!", ADDRESS(INDEX($AI$2:$AI$1001,MATCH(ROWS($AG$2:AG903),$AG$2:$AG$1001,0),0), INDEX($AN$1004:$BO$1004,1,MATCH(COLUMNS($AN$1006:AW1006),$AN$1006:$BO$1006,0)))),"Fix")))</f>
        <v>0</v>
      </c>
      <c r="L903" s="4">
        <f>IF(OR(INDEX($AH$2:$AH$1001,MATCH(ROWS($AG$2:AG903),$AG$2:$AG$1001,0),1)&gt;=100000,INDEX($AN$1005:$BO$1005,1,MATCH(COLUMNS($AN$1006:AX1006),$AN$1006:$BO$1006,0))&gt;=100000), " ",IF(INDEX($AN$2:$BO$1001,MATCH(ROWS($AG$2:AG903),$AG$2:$AG$1001,0),MATCH(COLUMNS($AN$1006:AX1006),$AN$1006:$BO$1006,0)), HYPERLINK("#",""), HYPERLINK(CONCATENATE("#Metadata!", ADDRESS(INDEX($AI$2:$AI$1001,MATCH(ROWS($AG$2:AG903),$AG$2:$AG$1001,0),0), INDEX($AN$1004:$BO$1004,1,MATCH(COLUMNS($AN$1006:AX1006),$AN$1006:$BO$1006,0)))),"Fix")))</f>
        <v>0</v>
      </c>
      <c r="M903" s="4">
        <f>IF(OR(INDEX($AH$2:$AH$1001,MATCH(ROWS($AG$2:AG903),$AG$2:$AG$1001,0),1)&gt;=100000,INDEX($AN$1005:$BO$1005,1,MATCH(COLUMNS($AN$1006:AY1006),$AN$1006:$BO$1006,0))&gt;=100000), " ",IF(INDEX($AN$2:$BO$1001,MATCH(ROWS($AG$2:AG903),$AG$2:$AG$1001,0),MATCH(COLUMNS($AN$1006:AY1006),$AN$1006:$BO$1006,0)), HYPERLINK("#",""), HYPERLINK(CONCATENATE("#Metadata!", ADDRESS(INDEX($AI$2:$AI$1001,MATCH(ROWS($AG$2:AG903),$AG$2:$AG$1001,0),0), INDEX($AN$1004:$BO$1004,1,MATCH(COLUMNS($AN$1006:AY1006),$AN$1006:$BO$1006,0)))),"Fix")))</f>
        <v>0</v>
      </c>
      <c r="N903" s="4">
        <f>IF(OR(INDEX($AH$2:$AH$1001,MATCH(ROWS($AG$2:AG903),$AG$2:$AG$1001,0),1)&gt;=100000,INDEX($AN$1005:$BO$1005,1,MATCH(COLUMNS($AN$1006:AZ1006),$AN$1006:$BO$1006,0))&gt;=100000), " ",IF(INDEX($AN$2:$BO$1001,MATCH(ROWS($AG$2:AG903),$AG$2:$AG$1001,0),MATCH(COLUMNS($AN$1006:AZ1006),$AN$1006:$BO$1006,0)), HYPERLINK("#",""), HYPERLINK(CONCATENATE("#Metadata!", ADDRESS(INDEX($AI$2:$AI$1001,MATCH(ROWS($AG$2:AG903),$AG$2:$AG$1001,0),0), INDEX($AN$1004:$BO$1004,1,MATCH(COLUMNS($AN$1006:AZ1006),$AN$1006:$BO$1006,0)))),"Fix")))</f>
        <v>0</v>
      </c>
      <c r="O903" s="4">
        <f>IF(OR(INDEX($AH$2:$AH$1001,MATCH(ROWS($AG$2:AG903),$AG$2:$AG$1001,0),1)&gt;=100000,INDEX($AN$1005:$BO$1005,1,MATCH(COLUMNS($AN$1006:BA1006),$AN$1006:$BO$1006,0))&gt;=100000), " ",IF(INDEX($AN$2:$BO$1001,MATCH(ROWS($AG$2:AG903),$AG$2:$AG$1001,0),MATCH(COLUMNS($AN$1006:BA1006),$AN$1006:$BO$1006,0)), HYPERLINK("#",""), HYPERLINK(CONCATENATE("#Metadata!", ADDRESS(INDEX($AI$2:$AI$1001,MATCH(ROWS($AG$2:AG903),$AG$2:$AG$1001,0),0), INDEX($AN$1004:$BO$1004,1,MATCH(COLUMNS($AN$1006:BA1006),$AN$1006:$BO$1006,0)))),"Fix")))</f>
        <v>0</v>
      </c>
      <c r="P903" s="4">
        <f>IF(OR(INDEX($AH$2:$AH$1001,MATCH(ROWS($AG$2:AG903),$AG$2:$AG$1001,0),1)&gt;=100000,INDEX($AN$1005:$BO$1005,1,MATCH(COLUMNS($AN$1006:BB1006),$AN$1006:$BO$1006,0))&gt;=100000), " ",IF(INDEX($AN$2:$BO$1001,MATCH(ROWS($AG$2:AG903),$AG$2:$AG$1001,0),MATCH(COLUMNS($AN$1006:BB1006),$AN$1006:$BO$1006,0)), HYPERLINK("#",""), HYPERLINK(CONCATENATE("#Metadata!", ADDRESS(INDEX($AI$2:$AI$1001,MATCH(ROWS($AG$2:AG903),$AG$2:$AG$1001,0),0), INDEX($AN$1004:$BO$1004,1,MATCH(COLUMNS($AN$1006:BB1006),$AN$1006:$BO$1006,0)))),"Fix")))</f>
        <v>0</v>
      </c>
      <c r="Q903" s="4">
        <f>IF(OR(INDEX($AH$2:$AH$1001,MATCH(ROWS($AG$2:AG903),$AG$2:$AG$1001,0),1)&gt;=100000,INDEX($AN$1005:$BO$1005,1,MATCH(COLUMNS($AN$1006:BC1006),$AN$1006:$BO$1006,0))&gt;=100000), " ",IF(INDEX($AN$2:$BO$1001,MATCH(ROWS($AG$2:AG903),$AG$2:$AG$1001,0),MATCH(COLUMNS($AN$1006:BC1006),$AN$1006:$BO$1006,0)), HYPERLINK("#",""), HYPERLINK(CONCATENATE("#Metadata!", ADDRESS(INDEX($AI$2:$AI$1001,MATCH(ROWS($AG$2:AG903),$AG$2:$AG$1001,0),0), INDEX($AN$1004:$BO$1004,1,MATCH(COLUMNS($AN$1006:BC1006),$AN$1006:$BO$1006,0)))),"Fix")))</f>
        <v>0</v>
      </c>
      <c r="R903" s="4">
        <f>IF(OR(INDEX($AH$2:$AH$1001,MATCH(ROWS($AG$2:AG903),$AG$2:$AG$1001,0),1)&gt;=100000,INDEX($AN$1005:$BO$1005,1,MATCH(COLUMNS($AN$1006:BD1006),$AN$1006:$BO$1006,0))&gt;=100000), " ",IF(INDEX($AN$2:$BO$1001,MATCH(ROWS($AG$2:AG903),$AG$2:$AG$1001,0),MATCH(COLUMNS($AN$1006:BD1006),$AN$1006:$BO$1006,0)), HYPERLINK("#",""), HYPERLINK(CONCATENATE("#Metadata!", ADDRESS(INDEX($AI$2:$AI$1001,MATCH(ROWS($AG$2:AG903),$AG$2:$AG$1001,0),0), INDEX($AN$1004:$BO$1004,1,MATCH(COLUMNS($AN$1006:BD1006),$AN$1006:$BO$1006,0)))),"Fix")))</f>
        <v>0</v>
      </c>
      <c r="S903" s="4">
        <f>IF(OR(INDEX($AH$2:$AH$1001,MATCH(ROWS($AG$2:AG903),$AG$2:$AG$1001,0),1)&gt;=100000,INDEX($AN$1005:$BO$1005,1,MATCH(COLUMNS($AN$1006:BE1006),$AN$1006:$BO$1006,0))&gt;=100000), " ",IF(INDEX($AN$2:$BO$1001,MATCH(ROWS($AG$2:AG903),$AG$2:$AG$1001,0),MATCH(COLUMNS($AN$1006:BE1006),$AN$1006:$BO$1006,0)), HYPERLINK("#",""), HYPERLINK(CONCATENATE("#Metadata!", ADDRESS(INDEX($AI$2:$AI$1001,MATCH(ROWS($AG$2:AG903),$AG$2:$AG$1001,0),0), INDEX($AN$1004:$BO$1004,1,MATCH(COLUMNS($AN$1006:BE1006),$AN$1006:$BO$1006,0)))),"Fix")))</f>
        <v>0</v>
      </c>
      <c r="T903" s="4">
        <f>IF(OR(INDEX($AH$2:$AH$1001,MATCH(ROWS($AG$2:AG903),$AG$2:$AG$1001,0),1)&gt;=100000,INDEX($AN$1005:$BO$1005,1,MATCH(COLUMNS($AN$1006:BF1006),$AN$1006:$BO$1006,0))&gt;=100000), " ",IF(INDEX($AN$2:$BO$1001,MATCH(ROWS($AG$2:AG903),$AG$2:$AG$1001,0),MATCH(COLUMNS($AN$1006:BF1006),$AN$1006:$BO$1006,0)), HYPERLINK("#",""), HYPERLINK(CONCATENATE("#Metadata!", ADDRESS(INDEX($AI$2:$AI$1001,MATCH(ROWS($AG$2:AG903),$AG$2:$AG$1001,0),0), INDEX($AN$1004:$BO$1004,1,MATCH(COLUMNS($AN$1006:BF1006),$AN$1006:$BO$1006,0)))),"Fix")))</f>
        <v>0</v>
      </c>
      <c r="U903" s="4">
        <f>IF(OR(INDEX($AH$2:$AH$1001,MATCH(ROWS($AG$2:AG903),$AG$2:$AG$1001,0),1)&gt;=100000,INDEX($AN$1005:$BO$1005,1,MATCH(COLUMNS($AN$1006:BG1006),$AN$1006:$BO$1006,0))&gt;=100000), " ",IF(INDEX($AN$2:$BO$1001,MATCH(ROWS($AG$2:AG903),$AG$2:$AG$1001,0),MATCH(COLUMNS($AN$1006:BG1006),$AN$1006:$BO$1006,0)), HYPERLINK("#",""), HYPERLINK(CONCATENATE("#Metadata!", ADDRESS(INDEX($AI$2:$AI$1001,MATCH(ROWS($AG$2:AG903),$AG$2:$AG$1001,0),0), INDEX($AN$1004:$BO$1004,1,MATCH(COLUMNS($AN$1006:BG1006),$AN$1006:$BO$1006,0)))),"Fix")))</f>
        <v>0</v>
      </c>
      <c r="V903" s="4">
        <f>IF(OR(INDEX($AH$2:$AH$1001,MATCH(ROWS($AG$2:AG903),$AG$2:$AG$1001,0),1)&gt;=100000,INDEX($AN$1005:$BO$1005,1,MATCH(COLUMNS($AN$1006:BH1006),$AN$1006:$BO$1006,0))&gt;=100000), " ",IF(INDEX($AN$2:$BO$1001,MATCH(ROWS($AG$2:AG903),$AG$2:$AG$1001,0),MATCH(COLUMNS($AN$1006:BH1006),$AN$1006:$BO$1006,0)), HYPERLINK("#",""), HYPERLINK(CONCATENATE("#Metadata!", ADDRESS(INDEX($AI$2:$AI$1001,MATCH(ROWS($AG$2:AG903),$AG$2:$AG$1001,0),0), INDEX($AN$1004:$BO$1004,1,MATCH(COLUMNS($AN$1006:BH1006),$AN$1006:$BO$1006,0)))),"Fix")))</f>
        <v>0</v>
      </c>
      <c r="W903" s="4">
        <f>IF(OR(INDEX($AH$2:$AH$1001,MATCH(ROWS($AG$2:AG903),$AG$2:$AG$1001,0),1)&gt;=100000,INDEX($AN$1005:$BO$1005,1,MATCH(COLUMNS($AN$1006:BI1006),$AN$1006:$BO$1006,0))&gt;=100000), " ",IF(INDEX($AN$2:$BO$1001,MATCH(ROWS($AG$2:AG903),$AG$2:$AG$1001,0),MATCH(COLUMNS($AN$1006:BI1006),$AN$1006:$BO$1006,0)), HYPERLINK("#",""), HYPERLINK(CONCATENATE("#Metadata!", ADDRESS(INDEX($AI$2:$AI$1001,MATCH(ROWS($AG$2:AG903),$AG$2:$AG$1001,0),0), INDEX($AN$1004:$BO$1004,1,MATCH(COLUMNS($AN$1006:BI1006),$AN$1006:$BO$1006,0)))),"Fix")))</f>
        <v>0</v>
      </c>
      <c r="X903" s="4">
        <f>IF(OR(INDEX($AH$2:$AH$1001,MATCH(ROWS($AG$2:AG903),$AG$2:$AG$1001,0),1)&gt;=100000,INDEX($AN$1005:$BO$1005,1,MATCH(COLUMNS($AN$1006:BJ1006),$AN$1006:$BO$1006,0))&gt;=100000), " ",IF(INDEX($AN$2:$BO$1001,MATCH(ROWS($AG$2:AG903),$AG$2:$AG$1001,0),MATCH(COLUMNS($AN$1006:BJ1006),$AN$1006:$BO$1006,0)), HYPERLINK("#",""), HYPERLINK(CONCATENATE("#Metadata!", ADDRESS(INDEX($AI$2:$AI$1001,MATCH(ROWS($AG$2:AG903),$AG$2:$AG$1001,0),0), INDEX($AN$1004:$BO$1004,1,MATCH(COLUMNS($AN$1006:BJ1006),$AN$1006:$BO$1006,0)))),"Fix")))</f>
        <v>0</v>
      </c>
      <c r="Y903" s="4">
        <f>IF(OR(INDEX($AH$2:$AH$1001,MATCH(ROWS($AG$2:AG903),$AG$2:$AG$1001,0),1)&gt;=100000,INDEX($AN$1005:$BO$1005,1,MATCH(COLUMNS($AN$1006:BK1006),$AN$1006:$BO$1006,0))&gt;=100000), " ",IF(INDEX($AN$2:$BO$1001,MATCH(ROWS($AG$2:AG903),$AG$2:$AG$1001,0),MATCH(COLUMNS($AN$1006:BK1006),$AN$1006:$BO$1006,0)), HYPERLINK("#",""), HYPERLINK(CONCATENATE("#Metadata!", ADDRESS(INDEX($AI$2:$AI$1001,MATCH(ROWS($AG$2:AG903),$AG$2:$AG$1001,0),0), INDEX($AN$1004:$BO$1004,1,MATCH(COLUMNS($AN$1006:BK1006),$AN$1006:$BO$1006,0)))),"Fix")))</f>
        <v>0</v>
      </c>
      <c r="Z903" s="4">
        <f>IF(OR(INDEX($AH$2:$AH$1001,MATCH(ROWS($AG$2:AG903),$AG$2:$AG$1001,0),1)&gt;=100000,INDEX($AN$1005:$BO$1005,1,MATCH(COLUMNS($AN$1006:BL1006),$AN$1006:$BO$1006,0))&gt;=100000), " ",IF(INDEX($AN$2:$BO$1001,MATCH(ROWS($AG$2:AG903),$AG$2:$AG$1001,0),MATCH(COLUMNS($AN$1006:BL1006),$AN$1006:$BO$1006,0)), HYPERLINK("#",""), HYPERLINK(CONCATENATE("#Metadata!", ADDRESS(INDEX($AI$2:$AI$1001,MATCH(ROWS($AG$2:AG903),$AG$2:$AG$1001,0),0), INDEX($AN$1004:$BO$1004,1,MATCH(COLUMNS($AN$1006:BL1006),$AN$1006:$BO$1006,0)))),"Fix")))</f>
        <v>0</v>
      </c>
      <c r="AA903" s="4">
        <f>IF(OR(INDEX($AH$2:$AH$1001,MATCH(ROWS($AG$2:AG903),$AG$2:$AG$1001,0),1)&gt;=100000,INDEX($AN$1005:$BO$1005,1,MATCH(COLUMNS($AN$1006:BM1006),$AN$1006:$BO$1006,0))&gt;=100000), " ",IF(INDEX($AN$2:$BO$1001,MATCH(ROWS($AG$2:AG903),$AG$2:$AG$1001,0),MATCH(COLUMNS($AN$1006:BM1006),$AN$1006:$BO$1006,0)), HYPERLINK("#",""), HYPERLINK(CONCATENATE("#Metadata!", ADDRESS(INDEX($AI$2:$AI$1001,MATCH(ROWS($AG$2:AG903),$AG$2:$AG$1001,0),0), INDEX($AN$1004:$BO$1004,1,MATCH(COLUMNS($AN$1006:BM1006),$AN$1006:$BO$1006,0)))),"Fix")))</f>
        <v>0</v>
      </c>
      <c r="AB903" s="4">
        <f>IF(OR(INDEX($AH$2:$AH$1001,MATCH(ROWS($AG$2:AG903),$AG$2:$AG$1001,0),1)&gt;=100000,INDEX($AN$1005:$BO$1005,1,MATCH(COLUMNS($AN$1006:BN1006),$AN$1006:$BO$1006,0))&gt;=100000), " ",IF(INDEX($AN$2:$BO$1001,MATCH(ROWS($AG$2:AG903),$AG$2:$AG$1001,0),MATCH(COLUMNS($AN$1006:BN1006),$AN$1006:$BO$1006,0)), HYPERLINK("#",""), HYPERLINK(CONCATENATE("#Metadata!", ADDRESS(INDEX($AI$2:$AI$1001,MATCH(ROWS($AG$2:AG903),$AG$2:$AG$1001,0),0), INDEX($AN$1004:$BO$1004,1,MATCH(COLUMNS($AN$1006:BN1006),$AN$1006:$BO$1006,0)))),"Fix")))</f>
        <v>0</v>
      </c>
      <c r="AC903" s="4">
        <f>IF(OR(INDEX($AH$2:$AH$1001,MATCH(ROWS($AG$2:AG903),$AG$2:$AG$1001,0),1)&gt;=100000,INDEX($AN$1005:$BO$1005,1,MATCH(COLUMNS($AN$1006:BO1006),$AN$1006:$BO$1006,0))&gt;=100000), " ",IF(INDEX($AN$2:$BO$1001,MATCH(ROWS($AG$2:AG903),$AG$2:$AG$1001,0),MATCH(COLUMNS($AN$1006:BO1006),$AN$1006:$BO$1006,0)), HYPERLINK("#",""), HYPERLINK(CONCATENATE("#Metadata!", ADDRESS(INDEX($AI$2:$AI$1001,MATCH(ROWS($AG$2:AG903),$AG$2:$AG$1001,0),0), INDEX($AN$1004:$BO$1004,1,MATCH(COLUMNS($AN$1006:BO1006),$AN$1006:$BO$1006,0)))),"Fix")))</f>
        <v>0</v>
      </c>
      <c r="AG903">
        <v>0</v>
      </c>
      <c r="AH903">
        <v>0</v>
      </c>
      <c r="AI903">
        <v>0</v>
      </c>
      <c r="AJ903">
        <f>IF(AK903,TRUE,AND(AN903:BO903))</f>
        <v>0</v>
      </c>
      <c r="AK903">
        <f>COUNTBLANK(Metadata!B903:AC903)=COLUMNS(Metadata!B903:AC903)</f>
        <v>0</v>
      </c>
      <c r="AL903">
        <v>0</v>
      </c>
      <c r="AN903">
        <f>AND(IF(Metadata!B903="",FALSE,TRUE),COUNTIF(Metadata!B:B, Metadata!B903) = 1,NOT(ISERROR(SUMPRODUCT(SEARCH(MID(Metadata!B903,ROW(INDIRECT("1:"&amp;LEN(Metadata!B903))), 1),"0123456789abcdefghijklmnopqrstuvwxyzABCDEFGHIJKLMNOPQRSTUVWXYZ.")))))</f>
        <v>0</v>
      </c>
      <c r="AO903">
        <f>IF(Metadata!C903="",FALSE,TRUE)</f>
        <v>0</v>
      </c>
      <c r="AP903">
        <f>IF(Metadata!D903="",FALSE,TRUE)</f>
        <v>0</v>
      </c>
      <c r="AQ903">
        <f>OR(AND(IF(Metadata!E903="",FALSE,TRUE),OR(exact(Metadata!E903,"not collected"),exact(Metadata!E903,"not provided"),exact(Metadata!E903,"restricted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R903">
        <f>IF(Metadata!F903="",FALSE,TRUE)</f>
        <v>0</v>
      </c>
      <c r="AS903">
        <f>OR(AND(IF(Metadata!G903="",FALSE,TRUE),OR(exact(Metadata!G903,"not collected"),exact(Metadata!G903,"not provided"))),AND(IF(Metadata!G903="",FALSE,TRUE),OR(exact(Metadata!G903,"TRUE"),exact(Metadata!G903,"FALSE"))))</f>
        <v>0</v>
      </c>
      <c r="AT903">
        <f>OR(AND(IF(Metadata!H903="",FALSE,TRUE),OR(exact(Metadata!H903,"not collected"),exact(Metadata!H903,"not provided"),exact(Metadata!H903,"restricted access"))),AND(IF(Metadata!H903="",FALSE,ISNUMBER(VALUE(Metadata!H903))),Metadata!H903&gt;=-413.0))</f>
        <v>0</v>
      </c>
      <c r="AU903">
        <f>AND(IF(Metadata!I903="",FALSE,TRUE),exact(Metadata!I903,"meters"))</f>
        <v>0</v>
      </c>
      <c r="AV903">
        <f>AND(IF(Metadata!J903="",FALSE,TRUE),OR(exact(Metadata!J903,"Host-associated"),exact(Metadata!J903,"Free-living")))</f>
        <v>0</v>
      </c>
      <c r="AW903">
        <f>AND(IF(Metadata!K903="",FALSE,TRUE),OR(exact(Metadata!K903,"Animal"),exact(Metadata!K903,"Fungus"),exact(Metadata!K903,"Plant"),exact(Metadata!K903,"Saline"),exact(Metadata!K903,"Non-saline")))</f>
        <v>0</v>
      </c>
      <c r="AX903">
        <f>AND(IF(Metadata!L903="",FALSE,TRUE),OR(exact(Metadata!L903,"Plant secretion"),exact(Metadata!L903,"Plant rhizosphere"),exact(Metadata!L903,"Plant surface"),exact(Metadata!L903,"Plant corpus"),exact(Metadata!L903,"Fungus surface"),exact(Metadata!L903,"Fungus corpus"),exact(Metadata!L903,"Animal surface"),exact(Metadata!L903,"Animal proximal gut"),exact(Metadata!L903,"Animal corpus"),exact(Metadata!L903,"Animal distal gut"),exact(Metadata!L903,"Animal secretion"),exact(Metadata!L903,"Sub-surface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Y903">
        <f>IF(Metadata!M903="",FALSE,TRUE)</f>
        <v>0</v>
      </c>
      <c r="AZ903">
        <f>IF(Metadata!N903="",FALSE,TRUE)</f>
        <v>0</v>
      </c>
      <c r="BA903">
        <f>IF(Metadata!O903="",FALSE,TRUE)</f>
        <v>0</v>
      </c>
      <c r="BB903">
        <f>OR(AND(IF(Metadata!P903="",FALSE,TRUE),OR(exact(Metadata!P903,"not collected"),exact(Metadata!P903,"not provided"),exact(Metadata!P903,"restricted access"))),AND(IF(Metadata!P903="",FALSE,TRUE),OR(exact(Metadata!P903,"air"),exact(Metadata!P903,"built environment"),exact(Metadata!P903,"host-associated"),exact(Metadata!P903,"human-associated"),exact(Metadata!P903,"human-skin"),exact(Metadata!P903,"human-oral"),exact(Metadata!P903,"human-gut"),exact(Metadata!P903,"human-vaginal"),exact(Metadata!P903,"microbial mat/biofilm"),exact(Metadata!P903,"misc environment"),exact(Metadata!P903,"plant-associated"),exact(Metadata!P903,"sediment"),exact(Metadata!P903,"soil"),exact(Metadata!P903,"wastewater/sludge"),exact(Metadata!P903,"water"))))</f>
        <v>0</v>
      </c>
      <c r="BC903">
        <f>IF(Metadata!Q903="",FALSE,TRUE)</f>
        <v>0</v>
      </c>
      <c r="BD903">
        <f>IF(Metadata!R903="",FALSE,TRUE)</f>
        <v>0</v>
      </c>
      <c r="BE903">
        <f>OR(AND(IF(Metadata!S903="",FALSE,TRUE),OR(exact(Metadata!S903,"not collected"),exact(Metadata!S903,"not provided"),exact(Metadata!S903,"restricted access"))),AND(IF(Metadata!S903="",FALSE,ISNUMBER(VALUE(Metadata!S903))),Metadata!S903&gt;=-90.00,Metadata!S903&lt;=90.00))</f>
        <v>0</v>
      </c>
      <c r="BF903">
        <f>AND(IF(Metadata!T903="",FALSE,TRUE),exact(Metadata!T903,"Decimal degrees"))</f>
        <v>0</v>
      </c>
      <c r="BG903">
        <f>OR(AND(IF(Metadata!U903="",FALSE,TRUE),OR(exact(Metadata!U903,"not collected"),exact(Metadata!U903,"not provided"),exact(Metadata!U903,"restricted access"))),AND(IF(Metadata!U903="",FALSE,ISNUMBER(VALUE(Metadata!U903))),Metadata!U903&gt;=-180.00,Metadata!U903&lt;=180.00))</f>
        <v>0</v>
      </c>
      <c r="BH903">
        <f>AND(IF(Metadata!V903="",FALSE,TRUE),exact(Metadata!V903,"Decimal degrees"))</f>
        <v>0</v>
      </c>
      <c r="BI903">
        <f>IF(Metadata!W903="",FALSE,TRUE)</f>
        <v>0</v>
      </c>
      <c r="BJ903">
        <f>OR(AND(IF(Metadata!X903="",FALSE,TRUE),OR(exact(Metadata!X903,"not collected"),exact(Metadata!X903,"not provided"),exact(Metadata!X903,"restricted access"))),AND(IF(Metadata!X903="",FALSE,TRUE),OR(exact(Metadata!X903,"TRUE"),exact(Metadata!X903,"FALSE"))))</f>
        <v>0</v>
      </c>
      <c r="BK903">
        <f>AND(IF(Metadata!Y903="",FALSE,TRUE),exact(Metadata!Y903,"other"))</f>
        <v>0</v>
      </c>
      <c r="BL903">
        <f>IF(Metadata!Z903="",FALSE,TRUE)</f>
        <v>0</v>
      </c>
      <c r="BM903">
        <f>OR(AND(IF(Metadata!AA903="",FALSE,TRUE),OR(exact(Metadata!AA903,"not collected"),exact(Metadata!AA903,"not provided"))),AND(IF(Metadata!AA903="",FALSE,IF(ISERROR(INT(Metadata!AA903)),FALSE,INT(Metadata!AA903)=Metadata!AA903)),Metadata!AA903&gt;0))</f>
        <v>0</v>
      </c>
      <c r="BN903">
        <f>AND(IF(Metadata!AB903="",FALSE,TRUE),exact(Metadata!AB903,"Not applicable"))</f>
        <v>0</v>
      </c>
      <c r="BO903">
        <f>IF(Metadata!AC903="",FALSE,TRUE)</f>
        <v>0</v>
      </c>
    </row>
    <row r="904" spans="1:67">
      <c r="A904" s="5">
        <f>IF(B904=" "," ",HYPERLINK(CONCATENATE("#metadata!",ADDRESS(INDEX($AI$2:$AI$1001,MATCH(ROWS($AG$2:AG904),$AG$2:$AG$1001,0),0),1)),INDEX($AL$2:$AL$1001,MATCH(ROWS($AG$2:AG904),$AG$2:$AG$1001,0),0)))</f>
        <v>0</v>
      </c>
      <c r="B904" s="4">
        <f>IF(OR(INDEX($AH$2:$AH$1001,MATCH(ROWS($AG$2:AG904),$AG$2:$AG$1001,0),1)&gt;=100000,INDEX($AN$1005:$BO$1005,1,MATCH(COLUMNS($AN$1006:AN1006),$AN$1006:$BO$1006,0))&gt;=100000), " ",IF(INDEX($AN$2:$BO$1001,MATCH(ROWS($AG$2:AG904),$AG$2:$AG$1001,0),MATCH(COLUMNS($AN$1006:AN1006),$AN$1006:$BO$1006,0)), HYPERLINK("#",""), HYPERLINK(CONCATENATE("#Metadata!", ADDRESS(INDEX($AI$2:$AI$1001,MATCH(ROWS($AG$2:AG904),$AG$2:$AG$1001,0),0), INDEX($AN$1004:$BO$1004,1,MATCH(COLUMNS($AN$1006:AN1006),$AN$1006:$BO$1006,0)))),"Fix")))</f>
        <v>0</v>
      </c>
      <c r="C904" s="4">
        <f>IF(OR(INDEX($AH$2:$AH$1001,MATCH(ROWS($AG$2:AG904),$AG$2:$AG$1001,0),1)&gt;=100000,INDEX($AN$1005:$BO$1005,1,MATCH(COLUMNS($AN$1006:AO1006),$AN$1006:$BO$1006,0))&gt;=100000), " ",IF(INDEX($AN$2:$BO$1001,MATCH(ROWS($AG$2:AG904),$AG$2:$AG$1001,0),MATCH(COLUMNS($AN$1006:AO1006),$AN$1006:$BO$1006,0)), HYPERLINK("#",""), HYPERLINK(CONCATENATE("#Metadata!", ADDRESS(INDEX($AI$2:$AI$1001,MATCH(ROWS($AG$2:AG904),$AG$2:$AG$1001,0),0), INDEX($AN$1004:$BO$1004,1,MATCH(COLUMNS($AN$1006:AO1006),$AN$1006:$BO$1006,0)))),"Fix")))</f>
        <v>0</v>
      </c>
      <c r="D904" s="4">
        <f>IF(OR(INDEX($AH$2:$AH$1001,MATCH(ROWS($AG$2:AG904),$AG$2:$AG$1001,0),1)&gt;=100000,INDEX($AN$1005:$BO$1005,1,MATCH(COLUMNS($AN$1006:AP1006),$AN$1006:$BO$1006,0))&gt;=100000), " ",IF(INDEX($AN$2:$BO$1001,MATCH(ROWS($AG$2:AG904),$AG$2:$AG$1001,0),MATCH(COLUMNS($AN$1006:AP1006),$AN$1006:$BO$1006,0)), HYPERLINK("#",""), HYPERLINK(CONCATENATE("#Metadata!", ADDRESS(INDEX($AI$2:$AI$1001,MATCH(ROWS($AG$2:AG904),$AG$2:$AG$1001,0),0), INDEX($AN$1004:$BO$1004,1,MATCH(COLUMNS($AN$1006:AP1006),$AN$1006:$BO$1006,0)))),"Fix")))</f>
        <v>0</v>
      </c>
      <c r="E904" s="4">
        <f>IF(OR(INDEX($AH$2:$AH$1001,MATCH(ROWS($AG$2:AG904),$AG$2:$AG$1001,0),1)&gt;=100000,INDEX($AN$1005:$BO$1005,1,MATCH(COLUMNS($AN$1006:AQ1006),$AN$1006:$BO$1006,0))&gt;=100000), " ",IF(INDEX($AN$2:$BO$1001,MATCH(ROWS($AG$2:AG904),$AG$2:$AG$1001,0),MATCH(COLUMNS($AN$1006:AQ1006),$AN$1006:$BO$1006,0)), HYPERLINK("#",""), HYPERLINK(CONCATENATE("#Metadata!", ADDRESS(INDEX($AI$2:$AI$1001,MATCH(ROWS($AG$2:AG904),$AG$2:$AG$1001,0),0), INDEX($AN$1004:$BO$1004,1,MATCH(COLUMNS($AN$1006:AQ1006),$AN$1006:$BO$1006,0)))),"Fix")))</f>
        <v>0</v>
      </c>
      <c r="F904" s="4">
        <f>IF(OR(INDEX($AH$2:$AH$1001,MATCH(ROWS($AG$2:AG904),$AG$2:$AG$1001,0),1)&gt;=100000,INDEX($AN$1005:$BO$1005,1,MATCH(COLUMNS($AN$1006:AR1006),$AN$1006:$BO$1006,0))&gt;=100000), " ",IF(INDEX($AN$2:$BO$1001,MATCH(ROWS($AG$2:AG904),$AG$2:$AG$1001,0),MATCH(COLUMNS($AN$1006:AR1006),$AN$1006:$BO$1006,0)), HYPERLINK("#",""), HYPERLINK(CONCATENATE("#Metadata!", ADDRESS(INDEX($AI$2:$AI$1001,MATCH(ROWS($AG$2:AG904),$AG$2:$AG$1001,0),0), INDEX($AN$1004:$BO$1004,1,MATCH(COLUMNS($AN$1006:AR1006),$AN$1006:$BO$1006,0)))),"Fix")))</f>
        <v>0</v>
      </c>
      <c r="G904" s="4">
        <f>IF(OR(INDEX($AH$2:$AH$1001,MATCH(ROWS($AG$2:AG904),$AG$2:$AG$1001,0),1)&gt;=100000,INDEX($AN$1005:$BO$1005,1,MATCH(COLUMNS($AN$1006:AS1006),$AN$1006:$BO$1006,0))&gt;=100000), " ",IF(INDEX($AN$2:$BO$1001,MATCH(ROWS($AG$2:AG904),$AG$2:$AG$1001,0),MATCH(COLUMNS($AN$1006:AS1006),$AN$1006:$BO$1006,0)), HYPERLINK("#",""), HYPERLINK(CONCATENATE("#Metadata!", ADDRESS(INDEX($AI$2:$AI$1001,MATCH(ROWS($AG$2:AG904),$AG$2:$AG$1001,0),0), INDEX($AN$1004:$BO$1004,1,MATCH(COLUMNS($AN$1006:AS1006),$AN$1006:$BO$1006,0)))),"Fix")))</f>
        <v>0</v>
      </c>
      <c r="H904" s="4">
        <f>IF(OR(INDEX($AH$2:$AH$1001,MATCH(ROWS($AG$2:AG904),$AG$2:$AG$1001,0),1)&gt;=100000,INDEX($AN$1005:$BO$1005,1,MATCH(COLUMNS($AN$1006:AT1006),$AN$1006:$BO$1006,0))&gt;=100000), " ",IF(INDEX($AN$2:$BO$1001,MATCH(ROWS($AG$2:AG904),$AG$2:$AG$1001,0),MATCH(COLUMNS($AN$1006:AT1006),$AN$1006:$BO$1006,0)), HYPERLINK("#",""), HYPERLINK(CONCATENATE("#Metadata!", ADDRESS(INDEX($AI$2:$AI$1001,MATCH(ROWS($AG$2:AG904),$AG$2:$AG$1001,0),0), INDEX($AN$1004:$BO$1004,1,MATCH(COLUMNS($AN$1006:AT1006),$AN$1006:$BO$1006,0)))),"Fix")))</f>
        <v>0</v>
      </c>
      <c r="I904" s="4">
        <f>IF(OR(INDEX($AH$2:$AH$1001,MATCH(ROWS($AG$2:AG904),$AG$2:$AG$1001,0),1)&gt;=100000,INDEX($AN$1005:$BO$1005,1,MATCH(COLUMNS($AN$1006:AU1006),$AN$1006:$BO$1006,0))&gt;=100000), " ",IF(INDEX($AN$2:$BO$1001,MATCH(ROWS($AG$2:AG904),$AG$2:$AG$1001,0),MATCH(COLUMNS($AN$1006:AU1006),$AN$1006:$BO$1006,0)), HYPERLINK("#",""), HYPERLINK(CONCATENATE("#Metadata!", ADDRESS(INDEX($AI$2:$AI$1001,MATCH(ROWS($AG$2:AG904),$AG$2:$AG$1001,0),0), INDEX($AN$1004:$BO$1004,1,MATCH(COLUMNS($AN$1006:AU1006),$AN$1006:$BO$1006,0)))),"Fix")))</f>
        <v>0</v>
      </c>
      <c r="J904" s="4">
        <f>IF(OR(INDEX($AH$2:$AH$1001,MATCH(ROWS($AG$2:AG904),$AG$2:$AG$1001,0),1)&gt;=100000,INDEX($AN$1005:$BO$1005,1,MATCH(COLUMNS($AN$1006:AV1006),$AN$1006:$BO$1006,0))&gt;=100000), " ",IF(INDEX($AN$2:$BO$1001,MATCH(ROWS($AG$2:AG904),$AG$2:$AG$1001,0),MATCH(COLUMNS($AN$1006:AV1006),$AN$1006:$BO$1006,0)), HYPERLINK("#",""), HYPERLINK(CONCATENATE("#Metadata!", ADDRESS(INDEX($AI$2:$AI$1001,MATCH(ROWS($AG$2:AG904),$AG$2:$AG$1001,0),0), INDEX($AN$1004:$BO$1004,1,MATCH(COLUMNS($AN$1006:AV1006),$AN$1006:$BO$1006,0)))),"Fix")))</f>
        <v>0</v>
      </c>
      <c r="K904" s="4">
        <f>IF(OR(INDEX($AH$2:$AH$1001,MATCH(ROWS($AG$2:AG904),$AG$2:$AG$1001,0),1)&gt;=100000,INDEX($AN$1005:$BO$1005,1,MATCH(COLUMNS($AN$1006:AW1006),$AN$1006:$BO$1006,0))&gt;=100000), " ",IF(INDEX($AN$2:$BO$1001,MATCH(ROWS($AG$2:AG904),$AG$2:$AG$1001,0),MATCH(COLUMNS($AN$1006:AW1006),$AN$1006:$BO$1006,0)), HYPERLINK("#",""), HYPERLINK(CONCATENATE("#Metadata!", ADDRESS(INDEX($AI$2:$AI$1001,MATCH(ROWS($AG$2:AG904),$AG$2:$AG$1001,0),0), INDEX($AN$1004:$BO$1004,1,MATCH(COLUMNS($AN$1006:AW1006),$AN$1006:$BO$1006,0)))),"Fix")))</f>
        <v>0</v>
      </c>
      <c r="L904" s="4">
        <f>IF(OR(INDEX($AH$2:$AH$1001,MATCH(ROWS($AG$2:AG904),$AG$2:$AG$1001,0),1)&gt;=100000,INDEX($AN$1005:$BO$1005,1,MATCH(COLUMNS($AN$1006:AX1006),$AN$1006:$BO$1006,0))&gt;=100000), " ",IF(INDEX($AN$2:$BO$1001,MATCH(ROWS($AG$2:AG904),$AG$2:$AG$1001,0),MATCH(COLUMNS($AN$1006:AX1006),$AN$1006:$BO$1006,0)), HYPERLINK("#",""), HYPERLINK(CONCATENATE("#Metadata!", ADDRESS(INDEX($AI$2:$AI$1001,MATCH(ROWS($AG$2:AG904),$AG$2:$AG$1001,0),0), INDEX($AN$1004:$BO$1004,1,MATCH(COLUMNS($AN$1006:AX1006),$AN$1006:$BO$1006,0)))),"Fix")))</f>
        <v>0</v>
      </c>
      <c r="M904" s="4">
        <f>IF(OR(INDEX($AH$2:$AH$1001,MATCH(ROWS($AG$2:AG904),$AG$2:$AG$1001,0),1)&gt;=100000,INDEX($AN$1005:$BO$1005,1,MATCH(COLUMNS($AN$1006:AY1006),$AN$1006:$BO$1006,0))&gt;=100000), " ",IF(INDEX($AN$2:$BO$1001,MATCH(ROWS($AG$2:AG904),$AG$2:$AG$1001,0),MATCH(COLUMNS($AN$1006:AY1006),$AN$1006:$BO$1006,0)), HYPERLINK("#",""), HYPERLINK(CONCATENATE("#Metadata!", ADDRESS(INDEX($AI$2:$AI$1001,MATCH(ROWS($AG$2:AG904),$AG$2:$AG$1001,0),0), INDEX($AN$1004:$BO$1004,1,MATCH(COLUMNS($AN$1006:AY1006),$AN$1006:$BO$1006,0)))),"Fix")))</f>
        <v>0</v>
      </c>
      <c r="N904" s="4">
        <f>IF(OR(INDEX($AH$2:$AH$1001,MATCH(ROWS($AG$2:AG904),$AG$2:$AG$1001,0),1)&gt;=100000,INDEX($AN$1005:$BO$1005,1,MATCH(COLUMNS($AN$1006:AZ1006),$AN$1006:$BO$1006,0))&gt;=100000), " ",IF(INDEX($AN$2:$BO$1001,MATCH(ROWS($AG$2:AG904),$AG$2:$AG$1001,0),MATCH(COLUMNS($AN$1006:AZ1006),$AN$1006:$BO$1006,0)), HYPERLINK("#",""), HYPERLINK(CONCATENATE("#Metadata!", ADDRESS(INDEX($AI$2:$AI$1001,MATCH(ROWS($AG$2:AG904),$AG$2:$AG$1001,0),0), INDEX($AN$1004:$BO$1004,1,MATCH(COLUMNS($AN$1006:AZ1006),$AN$1006:$BO$1006,0)))),"Fix")))</f>
        <v>0</v>
      </c>
      <c r="O904" s="4">
        <f>IF(OR(INDEX($AH$2:$AH$1001,MATCH(ROWS($AG$2:AG904),$AG$2:$AG$1001,0),1)&gt;=100000,INDEX($AN$1005:$BO$1005,1,MATCH(COLUMNS($AN$1006:BA1006),$AN$1006:$BO$1006,0))&gt;=100000), " ",IF(INDEX($AN$2:$BO$1001,MATCH(ROWS($AG$2:AG904),$AG$2:$AG$1001,0),MATCH(COLUMNS($AN$1006:BA1006),$AN$1006:$BO$1006,0)), HYPERLINK("#",""), HYPERLINK(CONCATENATE("#Metadata!", ADDRESS(INDEX($AI$2:$AI$1001,MATCH(ROWS($AG$2:AG904),$AG$2:$AG$1001,0),0), INDEX($AN$1004:$BO$1004,1,MATCH(COLUMNS($AN$1006:BA1006),$AN$1006:$BO$1006,0)))),"Fix")))</f>
        <v>0</v>
      </c>
      <c r="P904" s="4">
        <f>IF(OR(INDEX($AH$2:$AH$1001,MATCH(ROWS($AG$2:AG904),$AG$2:$AG$1001,0),1)&gt;=100000,INDEX($AN$1005:$BO$1005,1,MATCH(COLUMNS($AN$1006:BB1006),$AN$1006:$BO$1006,0))&gt;=100000), " ",IF(INDEX($AN$2:$BO$1001,MATCH(ROWS($AG$2:AG904),$AG$2:$AG$1001,0),MATCH(COLUMNS($AN$1006:BB1006),$AN$1006:$BO$1006,0)), HYPERLINK("#",""), HYPERLINK(CONCATENATE("#Metadata!", ADDRESS(INDEX($AI$2:$AI$1001,MATCH(ROWS($AG$2:AG904),$AG$2:$AG$1001,0),0), INDEX($AN$1004:$BO$1004,1,MATCH(COLUMNS($AN$1006:BB1006),$AN$1006:$BO$1006,0)))),"Fix")))</f>
        <v>0</v>
      </c>
      <c r="Q904" s="4">
        <f>IF(OR(INDEX($AH$2:$AH$1001,MATCH(ROWS($AG$2:AG904),$AG$2:$AG$1001,0),1)&gt;=100000,INDEX($AN$1005:$BO$1005,1,MATCH(COLUMNS($AN$1006:BC1006),$AN$1006:$BO$1006,0))&gt;=100000), " ",IF(INDEX($AN$2:$BO$1001,MATCH(ROWS($AG$2:AG904),$AG$2:$AG$1001,0),MATCH(COLUMNS($AN$1006:BC1006),$AN$1006:$BO$1006,0)), HYPERLINK("#",""), HYPERLINK(CONCATENATE("#Metadata!", ADDRESS(INDEX($AI$2:$AI$1001,MATCH(ROWS($AG$2:AG904),$AG$2:$AG$1001,0),0), INDEX($AN$1004:$BO$1004,1,MATCH(COLUMNS($AN$1006:BC1006),$AN$1006:$BO$1006,0)))),"Fix")))</f>
        <v>0</v>
      </c>
      <c r="R904" s="4">
        <f>IF(OR(INDEX($AH$2:$AH$1001,MATCH(ROWS($AG$2:AG904),$AG$2:$AG$1001,0),1)&gt;=100000,INDEX($AN$1005:$BO$1005,1,MATCH(COLUMNS($AN$1006:BD1006),$AN$1006:$BO$1006,0))&gt;=100000), " ",IF(INDEX($AN$2:$BO$1001,MATCH(ROWS($AG$2:AG904),$AG$2:$AG$1001,0),MATCH(COLUMNS($AN$1006:BD1006),$AN$1006:$BO$1006,0)), HYPERLINK("#",""), HYPERLINK(CONCATENATE("#Metadata!", ADDRESS(INDEX($AI$2:$AI$1001,MATCH(ROWS($AG$2:AG904),$AG$2:$AG$1001,0),0), INDEX($AN$1004:$BO$1004,1,MATCH(COLUMNS($AN$1006:BD1006),$AN$1006:$BO$1006,0)))),"Fix")))</f>
        <v>0</v>
      </c>
      <c r="S904" s="4">
        <f>IF(OR(INDEX($AH$2:$AH$1001,MATCH(ROWS($AG$2:AG904),$AG$2:$AG$1001,0),1)&gt;=100000,INDEX($AN$1005:$BO$1005,1,MATCH(COLUMNS($AN$1006:BE1006),$AN$1006:$BO$1006,0))&gt;=100000), " ",IF(INDEX($AN$2:$BO$1001,MATCH(ROWS($AG$2:AG904),$AG$2:$AG$1001,0),MATCH(COLUMNS($AN$1006:BE1006),$AN$1006:$BO$1006,0)), HYPERLINK("#",""), HYPERLINK(CONCATENATE("#Metadata!", ADDRESS(INDEX($AI$2:$AI$1001,MATCH(ROWS($AG$2:AG904),$AG$2:$AG$1001,0),0), INDEX($AN$1004:$BO$1004,1,MATCH(COLUMNS($AN$1006:BE1006),$AN$1006:$BO$1006,0)))),"Fix")))</f>
        <v>0</v>
      </c>
      <c r="T904" s="4">
        <f>IF(OR(INDEX($AH$2:$AH$1001,MATCH(ROWS($AG$2:AG904),$AG$2:$AG$1001,0),1)&gt;=100000,INDEX($AN$1005:$BO$1005,1,MATCH(COLUMNS($AN$1006:BF1006),$AN$1006:$BO$1006,0))&gt;=100000), " ",IF(INDEX($AN$2:$BO$1001,MATCH(ROWS($AG$2:AG904),$AG$2:$AG$1001,0),MATCH(COLUMNS($AN$1006:BF1006),$AN$1006:$BO$1006,0)), HYPERLINK("#",""), HYPERLINK(CONCATENATE("#Metadata!", ADDRESS(INDEX($AI$2:$AI$1001,MATCH(ROWS($AG$2:AG904),$AG$2:$AG$1001,0),0), INDEX($AN$1004:$BO$1004,1,MATCH(COLUMNS($AN$1006:BF1006),$AN$1006:$BO$1006,0)))),"Fix")))</f>
        <v>0</v>
      </c>
      <c r="U904" s="4">
        <f>IF(OR(INDEX($AH$2:$AH$1001,MATCH(ROWS($AG$2:AG904),$AG$2:$AG$1001,0),1)&gt;=100000,INDEX($AN$1005:$BO$1005,1,MATCH(COLUMNS($AN$1006:BG1006),$AN$1006:$BO$1006,0))&gt;=100000), " ",IF(INDEX($AN$2:$BO$1001,MATCH(ROWS($AG$2:AG904),$AG$2:$AG$1001,0),MATCH(COLUMNS($AN$1006:BG1006),$AN$1006:$BO$1006,0)), HYPERLINK("#",""), HYPERLINK(CONCATENATE("#Metadata!", ADDRESS(INDEX($AI$2:$AI$1001,MATCH(ROWS($AG$2:AG904),$AG$2:$AG$1001,0),0), INDEX($AN$1004:$BO$1004,1,MATCH(COLUMNS($AN$1006:BG1006),$AN$1006:$BO$1006,0)))),"Fix")))</f>
        <v>0</v>
      </c>
      <c r="V904" s="4">
        <f>IF(OR(INDEX($AH$2:$AH$1001,MATCH(ROWS($AG$2:AG904),$AG$2:$AG$1001,0),1)&gt;=100000,INDEX($AN$1005:$BO$1005,1,MATCH(COLUMNS($AN$1006:BH1006),$AN$1006:$BO$1006,0))&gt;=100000), " ",IF(INDEX($AN$2:$BO$1001,MATCH(ROWS($AG$2:AG904),$AG$2:$AG$1001,0),MATCH(COLUMNS($AN$1006:BH1006),$AN$1006:$BO$1006,0)), HYPERLINK("#",""), HYPERLINK(CONCATENATE("#Metadata!", ADDRESS(INDEX($AI$2:$AI$1001,MATCH(ROWS($AG$2:AG904),$AG$2:$AG$1001,0),0), INDEX($AN$1004:$BO$1004,1,MATCH(COLUMNS($AN$1006:BH1006),$AN$1006:$BO$1006,0)))),"Fix")))</f>
        <v>0</v>
      </c>
      <c r="W904" s="4">
        <f>IF(OR(INDEX($AH$2:$AH$1001,MATCH(ROWS($AG$2:AG904),$AG$2:$AG$1001,0),1)&gt;=100000,INDEX($AN$1005:$BO$1005,1,MATCH(COLUMNS($AN$1006:BI1006),$AN$1006:$BO$1006,0))&gt;=100000), " ",IF(INDEX($AN$2:$BO$1001,MATCH(ROWS($AG$2:AG904),$AG$2:$AG$1001,0),MATCH(COLUMNS($AN$1006:BI1006),$AN$1006:$BO$1006,0)), HYPERLINK("#",""), HYPERLINK(CONCATENATE("#Metadata!", ADDRESS(INDEX($AI$2:$AI$1001,MATCH(ROWS($AG$2:AG904),$AG$2:$AG$1001,0),0), INDEX($AN$1004:$BO$1004,1,MATCH(COLUMNS($AN$1006:BI1006),$AN$1006:$BO$1006,0)))),"Fix")))</f>
        <v>0</v>
      </c>
      <c r="X904" s="4">
        <f>IF(OR(INDEX($AH$2:$AH$1001,MATCH(ROWS($AG$2:AG904),$AG$2:$AG$1001,0),1)&gt;=100000,INDEX($AN$1005:$BO$1005,1,MATCH(COLUMNS($AN$1006:BJ1006),$AN$1006:$BO$1006,0))&gt;=100000), " ",IF(INDEX($AN$2:$BO$1001,MATCH(ROWS($AG$2:AG904),$AG$2:$AG$1001,0),MATCH(COLUMNS($AN$1006:BJ1006),$AN$1006:$BO$1006,0)), HYPERLINK("#",""), HYPERLINK(CONCATENATE("#Metadata!", ADDRESS(INDEX($AI$2:$AI$1001,MATCH(ROWS($AG$2:AG904),$AG$2:$AG$1001,0),0), INDEX($AN$1004:$BO$1004,1,MATCH(COLUMNS($AN$1006:BJ1006),$AN$1006:$BO$1006,0)))),"Fix")))</f>
        <v>0</v>
      </c>
      <c r="Y904" s="4">
        <f>IF(OR(INDEX($AH$2:$AH$1001,MATCH(ROWS($AG$2:AG904),$AG$2:$AG$1001,0),1)&gt;=100000,INDEX($AN$1005:$BO$1005,1,MATCH(COLUMNS($AN$1006:BK1006),$AN$1006:$BO$1006,0))&gt;=100000), " ",IF(INDEX($AN$2:$BO$1001,MATCH(ROWS($AG$2:AG904),$AG$2:$AG$1001,0),MATCH(COLUMNS($AN$1006:BK1006),$AN$1006:$BO$1006,0)), HYPERLINK("#",""), HYPERLINK(CONCATENATE("#Metadata!", ADDRESS(INDEX($AI$2:$AI$1001,MATCH(ROWS($AG$2:AG904),$AG$2:$AG$1001,0),0), INDEX($AN$1004:$BO$1004,1,MATCH(COLUMNS($AN$1006:BK1006),$AN$1006:$BO$1006,0)))),"Fix")))</f>
        <v>0</v>
      </c>
      <c r="Z904" s="4">
        <f>IF(OR(INDEX($AH$2:$AH$1001,MATCH(ROWS($AG$2:AG904),$AG$2:$AG$1001,0),1)&gt;=100000,INDEX($AN$1005:$BO$1005,1,MATCH(COLUMNS($AN$1006:BL1006),$AN$1006:$BO$1006,0))&gt;=100000), " ",IF(INDEX($AN$2:$BO$1001,MATCH(ROWS($AG$2:AG904),$AG$2:$AG$1001,0),MATCH(COLUMNS($AN$1006:BL1006),$AN$1006:$BO$1006,0)), HYPERLINK("#",""), HYPERLINK(CONCATENATE("#Metadata!", ADDRESS(INDEX($AI$2:$AI$1001,MATCH(ROWS($AG$2:AG904),$AG$2:$AG$1001,0),0), INDEX($AN$1004:$BO$1004,1,MATCH(COLUMNS($AN$1006:BL1006),$AN$1006:$BO$1006,0)))),"Fix")))</f>
        <v>0</v>
      </c>
      <c r="AA904" s="4">
        <f>IF(OR(INDEX($AH$2:$AH$1001,MATCH(ROWS($AG$2:AG904),$AG$2:$AG$1001,0),1)&gt;=100000,INDEX($AN$1005:$BO$1005,1,MATCH(COLUMNS($AN$1006:BM1006),$AN$1006:$BO$1006,0))&gt;=100000), " ",IF(INDEX($AN$2:$BO$1001,MATCH(ROWS($AG$2:AG904),$AG$2:$AG$1001,0),MATCH(COLUMNS($AN$1006:BM1006),$AN$1006:$BO$1006,0)), HYPERLINK("#",""), HYPERLINK(CONCATENATE("#Metadata!", ADDRESS(INDEX($AI$2:$AI$1001,MATCH(ROWS($AG$2:AG904),$AG$2:$AG$1001,0),0), INDEX($AN$1004:$BO$1004,1,MATCH(COLUMNS($AN$1006:BM1006),$AN$1006:$BO$1006,0)))),"Fix")))</f>
        <v>0</v>
      </c>
      <c r="AB904" s="4">
        <f>IF(OR(INDEX($AH$2:$AH$1001,MATCH(ROWS($AG$2:AG904),$AG$2:$AG$1001,0),1)&gt;=100000,INDEX($AN$1005:$BO$1005,1,MATCH(COLUMNS($AN$1006:BN1006),$AN$1006:$BO$1006,0))&gt;=100000), " ",IF(INDEX($AN$2:$BO$1001,MATCH(ROWS($AG$2:AG904),$AG$2:$AG$1001,0),MATCH(COLUMNS($AN$1006:BN1006),$AN$1006:$BO$1006,0)), HYPERLINK("#",""), HYPERLINK(CONCATENATE("#Metadata!", ADDRESS(INDEX($AI$2:$AI$1001,MATCH(ROWS($AG$2:AG904),$AG$2:$AG$1001,0),0), INDEX($AN$1004:$BO$1004,1,MATCH(COLUMNS($AN$1006:BN1006),$AN$1006:$BO$1006,0)))),"Fix")))</f>
        <v>0</v>
      </c>
      <c r="AC904" s="4">
        <f>IF(OR(INDEX($AH$2:$AH$1001,MATCH(ROWS($AG$2:AG904),$AG$2:$AG$1001,0),1)&gt;=100000,INDEX($AN$1005:$BO$1005,1,MATCH(COLUMNS($AN$1006:BO1006),$AN$1006:$BO$1006,0))&gt;=100000), " ",IF(INDEX($AN$2:$BO$1001,MATCH(ROWS($AG$2:AG904),$AG$2:$AG$1001,0),MATCH(COLUMNS($AN$1006:BO1006),$AN$1006:$BO$1006,0)), HYPERLINK("#",""), HYPERLINK(CONCATENATE("#Metadata!", ADDRESS(INDEX($AI$2:$AI$1001,MATCH(ROWS($AG$2:AG904),$AG$2:$AG$1001,0),0), INDEX($AN$1004:$BO$1004,1,MATCH(COLUMNS($AN$1006:BO1006),$AN$1006:$BO$1006,0)))),"Fix")))</f>
        <v>0</v>
      </c>
      <c r="AG904">
        <v>0</v>
      </c>
      <c r="AH904">
        <v>0</v>
      </c>
      <c r="AI904">
        <v>0</v>
      </c>
      <c r="AJ904">
        <f>IF(AK904,TRUE,AND(AN904:BO904))</f>
        <v>0</v>
      </c>
      <c r="AK904">
        <f>COUNTBLANK(Metadata!B904:AC904)=COLUMNS(Metadata!B904:AC904)</f>
        <v>0</v>
      </c>
      <c r="AL904">
        <v>0</v>
      </c>
      <c r="AN904">
        <f>AND(IF(Metadata!B904="",FALSE,TRUE),COUNTIF(Metadata!B:B, Metadata!B904) = 1,NOT(ISERROR(SUMPRODUCT(SEARCH(MID(Metadata!B904,ROW(INDIRECT("1:"&amp;LEN(Metadata!B904))), 1),"0123456789abcdefghijklmnopqrstuvwxyzABCDEFGHIJKLMNOPQRSTUVWXYZ.")))))</f>
        <v>0</v>
      </c>
      <c r="AO904">
        <f>IF(Metadata!C904="",FALSE,TRUE)</f>
        <v>0</v>
      </c>
      <c r="AP904">
        <f>IF(Metadata!D904="",FALSE,TRUE)</f>
        <v>0</v>
      </c>
      <c r="AQ904">
        <f>OR(AND(IF(Metadata!E904="",FALSE,TRUE),OR(exact(Metadata!E904,"not collected"),exact(Metadata!E904,"not provided"),exact(Metadata!E904,"restricted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R904">
        <f>IF(Metadata!F904="",FALSE,TRUE)</f>
        <v>0</v>
      </c>
      <c r="AS904">
        <f>OR(AND(IF(Metadata!G904="",FALSE,TRUE),OR(exact(Metadata!G904,"not collected"),exact(Metadata!G904,"not provided"))),AND(IF(Metadata!G904="",FALSE,TRUE),OR(exact(Metadata!G904,"TRUE"),exact(Metadata!G904,"FALSE"))))</f>
        <v>0</v>
      </c>
      <c r="AT904">
        <f>OR(AND(IF(Metadata!H904="",FALSE,TRUE),OR(exact(Metadata!H904,"not collected"),exact(Metadata!H904,"not provided"),exact(Metadata!H904,"restricted access"))),AND(IF(Metadata!H904="",FALSE,ISNUMBER(VALUE(Metadata!H904))),Metadata!H904&gt;=-413.0))</f>
        <v>0</v>
      </c>
      <c r="AU904">
        <f>AND(IF(Metadata!I904="",FALSE,TRUE),exact(Metadata!I904,"meters"))</f>
        <v>0</v>
      </c>
      <c r="AV904">
        <f>AND(IF(Metadata!J904="",FALSE,TRUE),OR(exact(Metadata!J904,"Host-associated"),exact(Metadata!J904,"Free-living")))</f>
        <v>0</v>
      </c>
      <c r="AW904">
        <f>AND(IF(Metadata!K904="",FALSE,TRUE),OR(exact(Metadata!K904,"Animal"),exact(Metadata!K904,"Fungus"),exact(Metadata!K904,"Plant"),exact(Metadata!K904,"Saline"),exact(Metadata!K904,"Non-saline")))</f>
        <v>0</v>
      </c>
      <c r="AX904">
        <f>AND(IF(Metadata!L904="",FALSE,TRUE),OR(exact(Metadata!L904,"Plant secretion"),exact(Metadata!L904,"Plant rhizosphere"),exact(Metadata!L904,"Plant surface"),exact(Metadata!L904,"Plant corpus"),exact(Metadata!L904,"Fungus surface"),exact(Metadata!L904,"Fungus corpus"),exact(Metadata!L904,"Animal surface"),exact(Metadata!L904,"Animal proximal gut"),exact(Metadata!L904,"Animal corpus"),exact(Metadata!L904,"Animal distal gut"),exact(Metadata!L904,"Animal secretion"),exact(Metadata!L904,"Sub-surface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Y904">
        <f>IF(Metadata!M904="",FALSE,TRUE)</f>
        <v>0</v>
      </c>
      <c r="AZ904">
        <f>IF(Metadata!N904="",FALSE,TRUE)</f>
        <v>0</v>
      </c>
      <c r="BA904">
        <f>IF(Metadata!O904="",FALSE,TRUE)</f>
        <v>0</v>
      </c>
      <c r="BB904">
        <f>OR(AND(IF(Metadata!P904="",FALSE,TRUE),OR(exact(Metadata!P904,"not collected"),exact(Metadata!P904,"not provided"),exact(Metadata!P904,"restricted access"))),AND(IF(Metadata!P904="",FALSE,TRUE),OR(exact(Metadata!P904,"air"),exact(Metadata!P904,"built environment"),exact(Metadata!P904,"host-associated"),exact(Metadata!P904,"human-associated"),exact(Metadata!P904,"human-skin"),exact(Metadata!P904,"human-oral"),exact(Metadata!P904,"human-gut"),exact(Metadata!P904,"human-vaginal"),exact(Metadata!P904,"microbial mat/biofilm"),exact(Metadata!P904,"misc environment"),exact(Metadata!P904,"plant-associated"),exact(Metadata!P904,"sediment"),exact(Metadata!P904,"soil"),exact(Metadata!P904,"wastewater/sludge"),exact(Metadata!P904,"water"))))</f>
        <v>0</v>
      </c>
      <c r="BC904">
        <f>IF(Metadata!Q904="",FALSE,TRUE)</f>
        <v>0</v>
      </c>
      <c r="BD904">
        <f>IF(Metadata!R904="",FALSE,TRUE)</f>
        <v>0</v>
      </c>
      <c r="BE904">
        <f>OR(AND(IF(Metadata!S904="",FALSE,TRUE),OR(exact(Metadata!S904,"not collected"),exact(Metadata!S904,"not provided"),exact(Metadata!S904,"restricted access"))),AND(IF(Metadata!S904="",FALSE,ISNUMBER(VALUE(Metadata!S904))),Metadata!S904&gt;=-90.00,Metadata!S904&lt;=90.00))</f>
        <v>0</v>
      </c>
      <c r="BF904">
        <f>AND(IF(Metadata!T904="",FALSE,TRUE),exact(Metadata!T904,"Decimal degrees"))</f>
        <v>0</v>
      </c>
      <c r="BG904">
        <f>OR(AND(IF(Metadata!U904="",FALSE,TRUE),OR(exact(Metadata!U904,"not collected"),exact(Metadata!U904,"not provided"),exact(Metadata!U904,"restricted access"))),AND(IF(Metadata!U904="",FALSE,ISNUMBER(VALUE(Metadata!U904))),Metadata!U904&gt;=-180.00,Metadata!U904&lt;=180.00))</f>
        <v>0</v>
      </c>
      <c r="BH904">
        <f>AND(IF(Metadata!V904="",FALSE,TRUE),exact(Metadata!V904,"Decimal degrees"))</f>
        <v>0</v>
      </c>
      <c r="BI904">
        <f>IF(Metadata!W904="",FALSE,TRUE)</f>
        <v>0</v>
      </c>
      <c r="BJ904">
        <f>OR(AND(IF(Metadata!X904="",FALSE,TRUE),OR(exact(Metadata!X904,"not collected"),exact(Metadata!X904,"not provided"),exact(Metadata!X904,"restricted access"))),AND(IF(Metadata!X904="",FALSE,TRUE),OR(exact(Metadata!X904,"TRUE"),exact(Metadata!X904,"FALSE"))))</f>
        <v>0</v>
      </c>
      <c r="BK904">
        <f>AND(IF(Metadata!Y904="",FALSE,TRUE),exact(Metadata!Y904,"other"))</f>
        <v>0</v>
      </c>
      <c r="BL904">
        <f>IF(Metadata!Z904="",FALSE,TRUE)</f>
        <v>0</v>
      </c>
      <c r="BM904">
        <f>OR(AND(IF(Metadata!AA904="",FALSE,TRUE),OR(exact(Metadata!AA904,"not collected"),exact(Metadata!AA904,"not provided"))),AND(IF(Metadata!AA904="",FALSE,IF(ISERROR(INT(Metadata!AA904)),FALSE,INT(Metadata!AA904)=Metadata!AA904)),Metadata!AA904&gt;0))</f>
        <v>0</v>
      </c>
      <c r="BN904">
        <f>AND(IF(Metadata!AB904="",FALSE,TRUE),exact(Metadata!AB904,"Not applicable"))</f>
        <v>0</v>
      </c>
      <c r="BO904">
        <f>IF(Metadata!AC904="",FALSE,TRUE)</f>
        <v>0</v>
      </c>
    </row>
    <row r="905" spans="1:67">
      <c r="A905" s="5">
        <f>IF(B905=" "," ",HYPERLINK(CONCATENATE("#metadata!",ADDRESS(INDEX($AI$2:$AI$1001,MATCH(ROWS($AG$2:AG905),$AG$2:$AG$1001,0),0),1)),INDEX($AL$2:$AL$1001,MATCH(ROWS($AG$2:AG905),$AG$2:$AG$1001,0),0)))</f>
        <v>0</v>
      </c>
      <c r="B905" s="4">
        <f>IF(OR(INDEX($AH$2:$AH$1001,MATCH(ROWS($AG$2:AG905),$AG$2:$AG$1001,0),1)&gt;=100000,INDEX($AN$1005:$BO$1005,1,MATCH(COLUMNS($AN$1006:AN1006),$AN$1006:$BO$1006,0))&gt;=100000), " ",IF(INDEX($AN$2:$BO$1001,MATCH(ROWS($AG$2:AG905),$AG$2:$AG$1001,0),MATCH(COLUMNS($AN$1006:AN1006),$AN$1006:$BO$1006,0)), HYPERLINK("#",""), HYPERLINK(CONCATENATE("#Metadata!", ADDRESS(INDEX($AI$2:$AI$1001,MATCH(ROWS($AG$2:AG905),$AG$2:$AG$1001,0),0), INDEX($AN$1004:$BO$1004,1,MATCH(COLUMNS($AN$1006:AN1006),$AN$1006:$BO$1006,0)))),"Fix")))</f>
        <v>0</v>
      </c>
      <c r="C905" s="4">
        <f>IF(OR(INDEX($AH$2:$AH$1001,MATCH(ROWS($AG$2:AG905),$AG$2:$AG$1001,0),1)&gt;=100000,INDEX($AN$1005:$BO$1005,1,MATCH(COLUMNS($AN$1006:AO1006),$AN$1006:$BO$1006,0))&gt;=100000), " ",IF(INDEX($AN$2:$BO$1001,MATCH(ROWS($AG$2:AG905),$AG$2:$AG$1001,0),MATCH(COLUMNS($AN$1006:AO1006),$AN$1006:$BO$1006,0)), HYPERLINK("#",""), HYPERLINK(CONCATENATE("#Metadata!", ADDRESS(INDEX($AI$2:$AI$1001,MATCH(ROWS($AG$2:AG905),$AG$2:$AG$1001,0),0), INDEX($AN$1004:$BO$1004,1,MATCH(COLUMNS($AN$1006:AO1006),$AN$1006:$BO$1006,0)))),"Fix")))</f>
        <v>0</v>
      </c>
      <c r="D905" s="4">
        <f>IF(OR(INDEX($AH$2:$AH$1001,MATCH(ROWS($AG$2:AG905),$AG$2:$AG$1001,0),1)&gt;=100000,INDEX($AN$1005:$BO$1005,1,MATCH(COLUMNS($AN$1006:AP1006),$AN$1006:$BO$1006,0))&gt;=100000), " ",IF(INDEX($AN$2:$BO$1001,MATCH(ROWS($AG$2:AG905),$AG$2:$AG$1001,0),MATCH(COLUMNS($AN$1006:AP1006),$AN$1006:$BO$1006,0)), HYPERLINK("#",""), HYPERLINK(CONCATENATE("#Metadata!", ADDRESS(INDEX($AI$2:$AI$1001,MATCH(ROWS($AG$2:AG905),$AG$2:$AG$1001,0),0), INDEX($AN$1004:$BO$1004,1,MATCH(COLUMNS($AN$1006:AP1006),$AN$1006:$BO$1006,0)))),"Fix")))</f>
        <v>0</v>
      </c>
      <c r="E905" s="4">
        <f>IF(OR(INDEX($AH$2:$AH$1001,MATCH(ROWS($AG$2:AG905),$AG$2:$AG$1001,0),1)&gt;=100000,INDEX($AN$1005:$BO$1005,1,MATCH(COLUMNS($AN$1006:AQ1006),$AN$1006:$BO$1006,0))&gt;=100000), " ",IF(INDEX($AN$2:$BO$1001,MATCH(ROWS($AG$2:AG905),$AG$2:$AG$1001,0),MATCH(COLUMNS($AN$1006:AQ1006),$AN$1006:$BO$1006,0)), HYPERLINK("#",""), HYPERLINK(CONCATENATE("#Metadata!", ADDRESS(INDEX($AI$2:$AI$1001,MATCH(ROWS($AG$2:AG905),$AG$2:$AG$1001,0),0), INDEX($AN$1004:$BO$1004,1,MATCH(COLUMNS($AN$1006:AQ1006),$AN$1006:$BO$1006,0)))),"Fix")))</f>
        <v>0</v>
      </c>
      <c r="F905" s="4">
        <f>IF(OR(INDEX($AH$2:$AH$1001,MATCH(ROWS($AG$2:AG905),$AG$2:$AG$1001,0),1)&gt;=100000,INDEX($AN$1005:$BO$1005,1,MATCH(COLUMNS($AN$1006:AR1006),$AN$1006:$BO$1006,0))&gt;=100000), " ",IF(INDEX($AN$2:$BO$1001,MATCH(ROWS($AG$2:AG905),$AG$2:$AG$1001,0),MATCH(COLUMNS($AN$1006:AR1006),$AN$1006:$BO$1006,0)), HYPERLINK("#",""), HYPERLINK(CONCATENATE("#Metadata!", ADDRESS(INDEX($AI$2:$AI$1001,MATCH(ROWS($AG$2:AG905),$AG$2:$AG$1001,0),0), INDEX($AN$1004:$BO$1004,1,MATCH(COLUMNS($AN$1006:AR1006),$AN$1006:$BO$1006,0)))),"Fix")))</f>
        <v>0</v>
      </c>
      <c r="G905" s="4">
        <f>IF(OR(INDEX($AH$2:$AH$1001,MATCH(ROWS($AG$2:AG905),$AG$2:$AG$1001,0),1)&gt;=100000,INDEX($AN$1005:$BO$1005,1,MATCH(COLUMNS($AN$1006:AS1006),$AN$1006:$BO$1006,0))&gt;=100000), " ",IF(INDEX($AN$2:$BO$1001,MATCH(ROWS($AG$2:AG905),$AG$2:$AG$1001,0),MATCH(COLUMNS($AN$1006:AS1006),$AN$1006:$BO$1006,0)), HYPERLINK("#",""), HYPERLINK(CONCATENATE("#Metadata!", ADDRESS(INDEX($AI$2:$AI$1001,MATCH(ROWS($AG$2:AG905),$AG$2:$AG$1001,0),0), INDEX($AN$1004:$BO$1004,1,MATCH(COLUMNS($AN$1006:AS1006),$AN$1006:$BO$1006,0)))),"Fix")))</f>
        <v>0</v>
      </c>
      <c r="H905" s="4">
        <f>IF(OR(INDEX($AH$2:$AH$1001,MATCH(ROWS($AG$2:AG905),$AG$2:$AG$1001,0),1)&gt;=100000,INDEX($AN$1005:$BO$1005,1,MATCH(COLUMNS($AN$1006:AT1006),$AN$1006:$BO$1006,0))&gt;=100000), " ",IF(INDEX($AN$2:$BO$1001,MATCH(ROWS($AG$2:AG905),$AG$2:$AG$1001,0),MATCH(COLUMNS($AN$1006:AT1006),$AN$1006:$BO$1006,0)), HYPERLINK("#",""), HYPERLINK(CONCATENATE("#Metadata!", ADDRESS(INDEX($AI$2:$AI$1001,MATCH(ROWS($AG$2:AG905),$AG$2:$AG$1001,0),0), INDEX($AN$1004:$BO$1004,1,MATCH(COLUMNS($AN$1006:AT1006),$AN$1006:$BO$1006,0)))),"Fix")))</f>
        <v>0</v>
      </c>
      <c r="I905" s="4">
        <f>IF(OR(INDEX($AH$2:$AH$1001,MATCH(ROWS($AG$2:AG905),$AG$2:$AG$1001,0),1)&gt;=100000,INDEX($AN$1005:$BO$1005,1,MATCH(COLUMNS($AN$1006:AU1006),$AN$1006:$BO$1006,0))&gt;=100000), " ",IF(INDEX($AN$2:$BO$1001,MATCH(ROWS($AG$2:AG905),$AG$2:$AG$1001,0),MATCH(COLUMNS($AN$1006:AU1006),$AN$1006:$BO$1006,0)), HYPERLINK("#",""), HYPERLINK(CONCATENATE("#Metadata!", ADDRESS(INDEX($AI$2:$AI$1001,MATCH(ROWS($AG$2:AG905),$AG$2:$AG$1001,0),0), INDEX($AN$1004:$BO$1004,1,MATCH(COLUMNS($AN$1006:AU1006),$AN$1006:$BO$1006,0)))),"Fix")))</f>
        <v>0</v>
      </c>
      <c r="J905" s="4">
        <f>IF(OR(INDEX($AH$2:$AH$1001,MATCH(ROWS($AG$2:AG905),$AG$2:$AG$1001,0),1)&gt;=100000,INDEX($AN$1005:$BO$1005,1,MATCH(COLUMNS($AN$1006:AV1006),$AN$1006:$BO$1006,0))&gt;=100000), " ",IF(INDEX($AN$2:$BO$1001,MATCH(ROWS($AG$2:AG905),$AG$2:$AG$1001,0),MATCH(COLUMNS($AN$1006:AV1006),$AN$1006:$BO$1006,0)), HYPERLINK("#",""), HYPERLINK(CONCATENATE("#Metadata!", ADDRESS(INDEX($AI$2:$AI$1001,MATCH(ROWS($AG$2:AG905),$AG$2:$AG$1001,0),0), INDEX($AN$1004:$BO$1004,1,MATCH(COLUMNS($AN$1006:AV1006),$AN$1006:$BO$1006,0)))),"Fix")))</f>
        <v>0</v>
      </c>
      <c r="K905" s="4">
        <f>IF(OR(INDEX($AH$2:$AH$1001,MATCH(ROWS($AG$2:AG905),$AG$2:$AG$1001,0),1)&gt;=100000,INDEX($AN$1005:$BO$1005,1,MATCH(COLUMNS($AN$1006:AW1006),$AN$1006:$BO$1006,0))&gt;=100000), " ",IF(INDEX($AN$2:$BO$1001,MATCH(ROWS($AG$2:AG905),$AG$2:$AG$1001,0),MATCH(COLUMNS($AN$1006:AW1006),$AN$1006:$BO$1006,0)), HYPERLINK("#",""), HYPERLINK(CONCATENATE("#Metadata!", ADDRESS(INDEX($AI$2:$AI$1001,MATCH(ROWS($AG$2:AG905),$AG$2:$AG$1001,0),0), INDEX($AN$1004:$BO$1004,1,MATCH(COLUMNS($AN$1006:AW1006),$AN$1006:$BO$1006,0)))),"Fix")))</f>
        <v>0</v>
      </c>
      <c r="L905" s="4">
        <f>IF(OR(INDEX($AH$2:$AH$1001,MATCH(ROWS($AG$2:AG905),$AG$2:$AG$1001,0),1)&gt;=100000,INDEX($AN$1005:$BO$1005,1,MATCH(COLUMNS($AN$1006:AX1006),$AN$1006:$BO$1006,0))&gt;=100000), " ",IF(INDEX($AN$2:$BO$1001,MATCH(ROWS($AG$2:AG905),$AG$2:$AG$1001,0),MATCH(COLUMNS($AN$1006:AX1006),$AN$1006:$BO$1006,0)), HYPERLINK("#",""), HYPERLINK(CONCATENATE("#Metadata!", ADDRESS(INDEX($AI$2:$AI$1001,MATCH(ROWS($AG$2:AG905),$AG$2:$AG$1001,0),0), INDEX($AN$1004:$BO$1004,1,MATCH(COLUMNS($AN$1006:AX1006),$AN$1006:$BO$1006,0)))),"Fix")))</f>
        <v>0</v>
      </c>
      <c r="M905" s="4">
        <f>IF(OR(INDEX($AH$2:$AH$1001,MATCH(ROWS($AG$2:AG905),$AG$2:$AG$1001,0),1)&gt;=100000,INDEX($AN$1005:$BO$1005,1,MATCH(COLUMNS($AN$1006:AY1006),$AN$1006:$BO$1006,0))&gt;=100000), " ",IF(INDEX($AN$2:$BO$1001,MATCH(ROWS($AG$2:AG905),$AG$2:$AG$1001,0),MATCH(COLUMNS($AN$1006:AY1006),$AN$1006:$BO$1006,0)), HYPERLINK("#",""), HYPERLINK(CONCATENATE("#Metadata!", ADDRESS(INDEX($AI$2:$AI$1001,MATCH(ROWS($AG$2:AG905),$AG$2:$AG$1001,0),0), INDEX($AN$1004:$BO$1004,1,MATCH(COLUMNS($AN$1006:AY1006),$AN$1006:$BO$1006,0)))),"Fix")))</f>
        <v>0</v>
      </c>
      <c r="N905" s="4">
        <f>IF(OR(INDEX($AH$2:$AH$1001,MATCH(ROWS($AG$2:AG905),$AG$2:$AG$1001,0),1)&gt;=100000,INDEX($AN$1005:$BO$1005,1,MATCH(COLUMNS($AN$1006:AZ1006),$AN$1006:$BO$1006,0))&gt;=100000), " ",IF(INDEX($AN$2:$BO$1001,MATCH(ROWS($AG$2:AG905),$AG$2:$AG$1001,0),MATCH(COLUMNS($AN$1006:AZ1006),$AN$1006:$BO$1006,0)), HYPERLINK("#",""), HYPERLINK(CONCATENATE("#Metadata!", ADDRESS(INDEX($AI$2:$AI$1001,MATCH(ROWS($AG$2:AG905),$AG$2:$AG$1001,0),0), INDEX($AN$1004:$BO$1004,1,MATCH(COLUMNS($AN$1006:AZ1006),$AN$1006:$BO$1006,0)))),"Fix")))</f>
        <v>0</v>
      </c>
      <c r="O905" s="4">
        <f>IF(OR(INDEX($AH$2:$AH$1001,MATCH(ROWS($AG$2:AG905),$AG$2:$AG$1001,0),1)&gt;=100000,INDEX($AN$1005:$BO$1005,1,MATCH(COLUMNS($AN$1006:BA1006),$AN$1006:$BO$1006,0))&gt;=100000), " ",IF(INDEX($AN$2:$BO$1001,MATCH(ROWS($AG$2:AG905),$AG$2:$AG$1001,0),MATCH(COLUMNS($AN$1006:BA1006),$AN$1006:$BO$1006,0)), HYPERLINK("#",""), HYPERLINK(CONCATENATE("#Metadata!", ADDRESS(INDEX($AI$2:$AI$1001,MATCH(ROWS($AG$2:AG905),$AG$2:$AG$1001,0),0), INDEX($AN$1004:$BO$1004,1,MATCH(COLUMNS($AN$1006:BA1006),$AN$1006:$BO$1006,0)))),"Fix")))</f>
        <v>0</v>
      </c>
      <c r="P905" s="4">
        <f>IF(OR(INDEX($AH$2:$AH$1001,MATCH(ROWS($AG$2:AG905),$AG$2:$AG$1001,0),1)&gt;=100000,INDEX($AN$1005:$BO$1005,1,MATCH(COLUMNS($AN$1006:BB1006),$AN$1006:$BO$1006,0))&gt;=100000), " ",IF(INDEX($AN$2:$BO$1001,MATCH(ROWS($AG$2:AG905),$AG$2:$AG$1001,0),MATCH(COLUMNS($AN$1006:BB1006),$AN$1006:$BO$1006,0)), HYPERLINK("#",""), HYPERLINK(CONCATENATE("#Metadata!", ADDRESS(INDEX($AI$2:$AI$1001,MATCH(ROWS($AG$2:AG905),$AG$2:$AG$1001,0),0), INDEX($AN$1004:$BO$1004,1,MATCH(COLUMNS($AN$1006:BB1006),$AN$1006:$BO$1006,0)))),"Fix")))</f>
        <v>0</v>
      </c>
      <c r="Q905" s="4">
        <f>IF(OR(INDEX($AH$2:$AH$1001,MATCH(ROWS($AG$2:AG905),$AG$2:$AG$1001,0),1)&gt;=100000,INDEX($AN$1005:$BO$1005,1,MATCH(COLUMNS($AN$1006:BC1006),$AN$1006:$BO$1006,0))&gt;=100000), " ",IF(INDEX($AN$2:$BO$1001,MATCH(ROWS($AG$2:AG905),$AG$2:$AG$1001,0),MATCH(COLUMNS($AN$1006:BC1006),$AN$1006:$BO$1006,0)), HYPERLINK("#",""), HYPERLINK(CONCATENATE("#Metadata!", ADDRESS(INDEX($AI$2:$AI$1001,MATCH(ROWS($AG$2:AG905),$AG$2:$AG$1001,0),0), INDEX($AN$1004:$BO$1004,1,MATCH(COLUMNS($AN$1006:BC1006),$AN$1006:$BO$1006,0)))),"Fix")))</f>
        <v>0</v>
      </c>
      <c r="R905" s="4">
        <f>IF(OR(INDEX($AH$2:$AH$1001,MATCH(ROWS($AG$2:AG905),$AG$2:$AG$1001,0),1)&gt;=100000,INDEX($AN$1005:$BO$1005,1,MATCH(COLUMNS($AN$1006:BD1006),$AN$1006:$BO$1006,0))&gt;=100000), " ",IF(INDEX($AN$2:$BO$1001,MATCH(ROWS($AG$2:AG905),$AG$2:$AG$1001,0),MATCH(COLUMNS($AN$1006:BD1006),$AN$1006:$BO$1006,0)), HYPERLINK("#",""), HYPERLINK(CONCATENATE("#Metadata!", ADDRESS(INDEX($AI$2:$AI$1001,MATCH(ROWS($AG$2:AG905),$AG$2:$AG$1001,0),0), INDEX($AN$1004:$BO$1004,1,MATCH(COLUMNS($AN$1006:BD1006),$AN$1006:$BO$1006,0)))),"Fix")))</f>
        <v>0</v>
      </c>
      <c r="S905" s="4">
        <f>IF(OR(INDEX($AH$2:$AH$1001,MATCH(ROWS($AG$2:AG905),$AG$2:$AG$1001,0),1)&gt;=100000,INDEX($AN$1005:$BO$1005,1,MATCH(COLUMNS($AN$1006:BE1006),$AN$1006:$BO$1006,0))&gt;=100000), " ",IF(INDEX($AN$2:$BO$1001,MATCH(ROWS($AG$2:AG905),$AG$2:$AG$1001,0),MATCH(COLUMNS($AN$1006:BE1006),$AN$1006:$BO$1006,0)), HYPERLINK("#",""), HYPERLINK(CONCATENATE("#Metadata!", ADDRESS(INDEX($AI$2:$AI$1001,MATCH(ROWS($AG$2:AG905),$AG$2:$AG$1001,0),0), INDEX($AN$1004:$BO$1004,1,MATCH(COLUMNS($AN$1006:BE1006),$AN$1006:$BO$1006,0)))),"Fix")))</f>
        <v>0</v>
      </c>
      <c r="T905" s="4">
        <f>IF(OR(INDEX($AH$2:$AH$1001,MATCH(ROWS($AG$2:AG905),$AG$2:$AG$1001,0),1)&gt;=100000,INDEX($AN$1005:$BO$1005,1,MATCH(COLUMNS($AN$1006:BF1006),$AN$1006:$BO$1006,0))&gt;=100000), " ",IF(INDEX($AN$2:$BO$1001,MATCH(ROWS($AG$2:AG905),$AG$2:$AG$1001,0),MATCH(COLUMNS($AN$1006:BF1006),$AN$1006:$BO$1006,0)), HYPERLINK("#",""), HYPERLINK(CONCATENATE("#Metadata!", ADDRESS(INDEX($AI$2:$AI$1001,MATCH(ROWS($AG$2:AG905),$AG$2:$AG$1001,0),0), INDEX($AN$1004:$BO$1004,1,MATCH(COLUMNS($AN$1006:BF1006),$AN$1006:$BO$1006,0)))),"Fix")))</f>
        <v>0</v>
      </c>
      <c r="U905" s="4">
        <f>IF(OR(INDEX($AH$2:$AH$1001,MATCH(ROWS($AG$2:AG905),$AG$2:$AG$1001,0),1)&gt;=100000,INDEX($AN$1005:$BO$1005,1,MATCH(COLUMNS($AN$1006:BG1006),$AN$1006:$BO$1006,0))&gt;=100000), " ",IF(INDEX($AN$2:$BO$1001,MATCH(ROWS($AG$2:AG905),$AG$2:$AG$1001,0),MATCH(COLUMNS($AN$1006:BG1006),$AN$1006:$BO$1006,0)), HYPERLINK("#",""), HYPERLINK(CONCATENATE("#Metadata!", ADDRESS(INDEX($AI$2:$AI$1001,MATCH(ROWS($AG$2:AG905),$AG$2:$AG$1001,0),0), INDEX($AN$1004:$BO$1004,1,MATCH(COLUMNS($AN$1006:BG1006),$AN$1006:$BO$1006,0)))),"Fix")))</f>
        <v>0</v>
      </c>
      <c r="V905" s="4">
        <f>IF(OR(INDEX($AH$2:$AH$1001,MATCH(ROWS($AG$2:AG905),$AG$2:$AG$1001,0),1)&gt;=100000,INDEX($AN$1005:$BO$1005,1,MATCH(COLUMNS($AN$1006:BH1006),$AN$1006:$BO$1006,0))&gt;=100000), " ",IF(INDEX($AN$2:$BO$1001,MATCH(ROWS($AG$2:AG905),$AG$2:$AG$1001,0),MATCH(COLUMNS($AN$1006:BH1006),$AN$1006:$BO$1006,0)), HYPERLINK("#",""), HYPERLINK(CONCATENATE("#Metadata!", ADDRESS(INDEX($AI$2:$AI$1001,MATCH(ROWS($AG$2:AG905),$AG$2:$AG$1001,0),0), INDEX($AN$1004:$BO$1004,1,MATCH(COLUMNS($AN$1006:BH1006),$AN$1006:$BO$1006,0)))),"Fix")))</f>
        <v>0</v>
      </c>
      <c r="W905" s="4">
        <f>IF(OR(INDEX($AH$2:$AH$1001,MATCH(ROWS($AG$2:AG905),$AG$2:$AG$1001,0),1)&gt;=100000,INDEX($AN$1005:$BO$1005,1,MATCH(COLUMNS($AN$1006:BI1006),$AN$1006:$BO$1006,0))&gt;=100000), " ",IF(INDEX($AN$2:$BO$1001,MATCH(ROWS($AG$2:AG905),$AG$2:$AG$1001,0),MATCH(COLUMNS($AN$1006:BI1006),$AN$1006:$BO$1006,0)), HYPERLINK("#",""), HYPERLINK(CONCATENATE("#Metadata!", ADDRESS(INDEX($AI$2:$AI$1001,MATCH(ROWS($AG$2:AG905),$AG$2:$AG$1001,0),0), INDEX($AN$1004:$BO$1004,1,MATCH(COLUMNS($AN$1006:BI1006),$AN$1006:$BO$1006,0)))),"Fix")))</f>
        <v>0</v>
      </c>
      <c r="X905" s="4">
        <f>IF(OR(INDEX($AH$2:$AH$1001,MATCH(ROWS($AG$2:AG905),$AG$2:$AG$1001,0),1)&gt;=100000,INDEX($AN$1005:$BO$1005,1,MATCH(COLUMNS($AN$1006:BJ1006),$AN$1006:$BO$1006,0))&gt;=100000), " ",IF(INDEX($AN$2:$BO$1001,MATCH(ROWS($AG$2:AG905),$AG$2:$AG$1001,0),MATCH(COLUMNS($AN$1006:BJ1006),$AN$1006:$BO$1006,0)), HYPERLINK("#",""), HYPERLINK(CONCATENATE("#Metadata!", ADDRESS(INDEX($AI$2:$AI$1001,MATCH(ROWS($AG$2:AG905),$AG$2:$AG$1001,0),0), INDEX($AN$1004:$BO$1004,1,MATCH(COLUMNS($AN$1006:BJ1006),$AN$1006:$BO$1006,0)))),"Fix")))</f>
        <v>0</v>
      </c>
      <c r="Y905" s="4">
        <f>IF(OR(INDEX($AH$2:$AH$1001,MATCH(ROWS($AG$2:AG905),$AG$2:$AG$1001,0),1)&gt;=100000,INDEX($AN$1005:$BO$1005,1,MATCH(COLUMNS($AN$1006:BK1006),$AN$1006:$BO$1006,0))&gt;=100000), " ",IF(INDEX($AN$2:$BO$1001,MATCH(ROWS($AG$2:AG905),$AG$2:$AG$1001,0),MATCH(COLUMNS($AN$1006:BK1006),$AN$1006:$BO$1006,0)), HYPERLINK("#",""), HYPERLINK(CONCATENATE("#Metadata!", ADDRESS(INDEX($AI$2:$AI$1001,MATCH(ROWS($AG$2:AG905),$AG$2:$AG$1001,0),0), INDEX($AN$1004:$BO$1004,1,MATCH(COLUMNS($AN$1006:BK1006),$AN$1006:$BO$1006,0)))),"Fix")))</f>
        <v>0</v>
      </c>
      <c r="Z905" s="4">
        <f>IF(OR(INDEX($AH$2:$AH$1001,MATCH(ROWS($AG$2:AG905),$AG$2:$AG$1001,0),1)&gt;=100000,INDEX($AN$1005:$BO$1005,1,MATCH(COLUMNS($AN$1006:BL1006),$AN$1006:$BO$1006,0))&gt;=100000), " ",IF(INDEX($AN$2:$BO$1001,MATCH(ROWS($AG$2:AG905),$AG$2:$AG$1001,0),MATCH(COLUMNS($AN$1006:BL1006),$AN$1006:$BO$1006,0)), HYPERLINK("#",""), HYPERLINK(CONCATENATE("#Metadata!", ADDRESS(INDEX($AI$2:$AI$1001,MATCH(ROWS($AG$2:AG905),$AG$2:$AG$1001,0),0), INDEX($AN$1004:$BO$1004,1,MATCH(COLUMNS($AN$1006:BL1006),$AN$1006:$BO$1006,0)))),"Fix")))</f>
        <v>0</v>
      </c>
      <c r="AA905" s="4">
        <f>IF(OR(INDEX($AH$2:$AH$1001,MATCH(ROWS($AG$2:AG905),$AG$2:$AG$1001,0),1)&gt;=100000,INDEX($AN$1005:$BO$1005,1,MATCH(COLUMNS($AN$1006:BM1006),$AN$1006:$BO$1006,0))&gt;=100000), " ",IF(INDEX($AN$2:$BO$1001,MATCH(ROWS($AG$2:AG905),$AG$2:$AG$1001,0),MATCH(COLUMNS($AN$1006:BM1006),$AN$1006:$BO$1006,0)), HYPERLINK("#",""), HYPERLINK(CONCATENATE("#Metadata!", ADDRESS(INDEX($AI$2:$AI$1001,MATCH(ROWS($AG$2:AG905),$AG$2:$AG$1001,0),0), INDEX($AN$1004:$BO$1004,1,MATCH(COLUMNS($AN$1006:BM1006),$AN$1006:$BO$1006,0)))),"Fix")))</f>
        <v>0</v>
      </c>
      <c r="AB905" s="4">
        <f>IF(OR(INDEX($AH$2:$AH$1001,MATCH(ROWS($AG$2:AG905),$AG$2:$AG$1001,0),1)&gt;=100000,INDEX($AN$1005:$BO$1005,1,MATCH(COLUMNS($AN$1006:BN1006),$AN$1006:$BO$1006,0))&gt;=100000), " ",IF(INDEX($AN$2:$BO$1001,MATCH(ROWS($AG$2:AG905),$AG$2:$AG$1001,0),MATCH(COLUMNS($AN$1006:BN1006),$AN$1006:$BO$1006,0)), HYPERLINK("#",""), HYPERLINK(CONCATENATE("#Metadata!", ADDRESS(INDEX($AI$2:$AI$1001,MATCH(ROWS($AG$2:AG905),$AG$2:$AG$1001,0),0), INDEX($AN$1004:$BO$1004,1,MATCH(COLUMNS($AN$1006:BN1006),$AN$1006:$BO$1006,0)))),"Fix")))</f>
        <v>0</v>
      </c>
      <c r="AC905" s="4">
        <f>IF(OR(INDEX($AH$2:$AH$1001,MATCH(ROWS($AG$2:AG905),$AG$2:$AG$1001,0),1)&gt;=100000,INDEX($AN$1005:$BO$1005,1,MATCH(COLUMNS($AN$1006:BO1006),$AN$1006:$BO$1006,0))&gt;=100000), " ",IF(INDEX($AN$2:$BO$1001,MATCH(ROWS($AG$2:AG905),$AG$2:$AG$1001,0),MATCH(COLUMNS($AN$1006:BO1006),$AN$1006:$BO$1006,0)), HYPERLINK("#",""), HYPERLINK(CONCATENATE("#Metadata!", ADDRESS(INDEX($AI$2:$AI$1001,MATCH(ROWS($AG$2:AG905),$AG$2:$AG$1001,0),0), INDEX($AN$1004:$BO$1004,1,MATCH(COLUMNS($AN$1006:BO1006),$AN$1006:$BO$1006,0)))),"Fix")))</f>
        <v>0</v>
      </c>
      <c r="AG905">
        <v>0</v>
      </c>
      <c r="AH905">
        <v>0</v>
      </c>
      <c r="AI905">
        <v>0</v>
      </c>
      <c r="AJ905">
        <f>IF(AK905,TRUE,AND(AN905:BO905))</f>
        <v>0</v>
      </c>
      <c r="AK905">
        <f>COUNTBLANK(Metadata!B905:AC905)=COLUMNS(Metadata!B905:AC905)</f>
        <v>0</v>
      </c>
      <c r="AL905">
        <v>0</v>
      </c>
      <c r="AN905">
        <f>AND(IF(Metadata!B905="",FALSE,TRUE),COUNTIF(Metadata!B:B, Metadata!B905) = 1,NOT(ISERROR(SUMPRODUCT(SEARCH(MID(Metadata!B905,ROW(INDIRECT("1:"&amp;LEN(Metadata!B905))), 1),"0123456789abcdefghijklmnopqrstuvwxyzABCDEFGHIJKLMNOPQRSTUVWXYZ.")))))</f>
        <v>0</v>
      </c>
      <c r="AO905">
        <f>IF(Metadata!C905="",FALSE,TRUE)</f>
        <v>0</v>
      </c>
      <c r="AP905">
        <f>IF(Metadata!D905="",FALSE,TRUE)</f>
        <v>0</v>
      </c>
      <c r="AQ905">
        <f>OR(AND(IF(Metadata!E905="",FALSE,TRUE),OR(exact(Metadata!E905,"not collected"),exact(Metadata!E905,"not provided"),exact(Metadata!E905,"restricted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R905">
        <f>IF(Metadata!F905="",FALSE,TRUE)</f>
        <v>0</v>
      </c>
      <c r="AS905">
        <f>OR(AND(IF(Metadata!G905="",FALSE,TRUE),OR(exact(Metadata!G905,"not collected"),exact(Metadata!G905,"not provided"))),AND(IF(Metadata!G905="",FALSE,TRUE),OR(exact(Metadata!G905,"TRUE"),exact(Metadata!G905,"FALSE"))))</f>
        <v>0</v>
      </c>
      <c r="AT905">
        <f>OR(AND(IF(Metadata!H905="",FALSE,TRUE),OR(exact(Metadata!H905,"not collected"),exact(Metadata!H905,"not provided"),exact(Metadata!H905,"restricted access"))),AND(IF(Metadata!H905="",FALSE,ISNUMBER(VALUE(Metadata!H905))),Metadata!H905&gt;=-413.0))</f>
        <v>0</v>
      </c>
      <c r="AU905">
        <f>AND(IF(Metadata!I905="",FALSE,TRUE),exact(Metadata!I905,"meters"))</f>
        <v>0</v>
      </c>
      <c r="AV905">
        <f>AND(IF(Metadata!J905="",FALSE,TRUE),OR(exact(Metadata!J905,"Host-associated"),exact(Metadata!J905,"Free-living")))</f>
        <v>0</v>
      </c>
      <c r="AW905">
        <f>AND(IF(Metadata!K905="",FALSE,TRUE),OR(exact(Metadata!K905,"Animal"),exact(Metadata!K905,"Fungus"),exact(Metadata!K905,"Plant"),exact(Metadata!K905,"Saline"),exact(Metadata!K905,"Non-saline")))</f>
        <v>0</v>
      </c>
      <c r="AX905">
        <f>AND(IF(Metadata!L905="",FALSE,TRUE),OR(exact(Metadata!L905,"Plant secretion"),exact(Metadata!L905,"Plant rhizosphere"),exact(Metadata!L905,"Plant surface"),exact(Metadata!L905,"Plant corpus"),exact(Metadata!L905,"Fungus surface"),exact(Metadata!L905,"Fungus corpus"),exact(Metadata!L905,"Animal surface"),exact(Metadata!L905,"Animal proximal gut"),exact(Metadata!L905,"Animal corpus"),exact(Metadata!L905,"Animal distal gut"),exact(Metadata!L905,"Animal secretion"),exact(Metadata!L905,"Sub-surface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Y905">
        <f>IF(Metadata!M905="",FALSE,TRUE)</f>
        <v>0</v>
      </c>
      <c r="AZ905">
        <f>IF(Metadata!N905="",FALSE,TRUE)</f>
        <v>0</v>
      </c>
      <c r="BA905">
        <f>IF(Metadata!O905="",FALSE,TRUE)</f>
        <v>0</v>
      </c>
      <c r="BB905">
        <f>OR(AND(IF(Metadata!P905="",FALSE,TRUE),OR(exact(Metadata!P905,"not collected"),exact(Metadata!P905,"not provided"),exact(Metadata!P905,"restricted access"))),AND(IF(Metadata!P905="",FALSE,TRUE),OR(exact(Metadata!P905,"air"),exact(Metadata!P905,"built environment"),exact(Metadata!P905,"host-associated"),exact(Metadata!P905,"human-associated"),exact(Metadata!P905,"human-skin"),exact(Metadata!P905,"human-oral"),exact(Metadata!P905,"human-gut"),exact(Metadata!P905,"human-vaginal"),exact(Metadata!P905,"microbial mat/biofilm"),exact(Metadata!P905,"misc environment"),exact(Metadata!P905,"plant-associated"),exact(Metadata!P905,"sediment"),exact(Metadata!P905,"soil"),exact(Metadata!P905,"wastewater/sludge"),exact(Metadata!P905,"water"))))</f>
        <v>0</v>
      </c>
      <c r="BC905">
        <f>IF(Metadata!Q905="",FALSE,TRUE)</f>
        <v>0</v>
      </c>
      <c r="BD905">
        <f>IF(Metadata!R905="",FALSE,TRUE)</f>
        <v>0</v>
      </c>
      <c r="BE905">
        <f>OR(AND(IF(Metadata!S905="",FALSE,TRUE),OR(exact(Metadata!S905,"not collected"),exact(Metadata!S905,"not provided"),exact(Metadata!S905,"restricted access"))),AND(IF(Metadata!S905="",FALSE,ISNUMBER(VALUE(Metadata!S905))),Metadata!S905&gt;=-90.00,Metadata!S905&lt;=90.00))</f>
        <v>0</v>
      </c>
      <c r="BF905">
        <f>AND(IF(Metadata!T905="",FALSE,TRUE),exact(Metadata!T905,"Decimal degrees"))</f>
        <v>0</v>
      </c>
      <c r="BG905">
        <f>OR(AND(IF(Metadata!U905="",FALSE,TRUE),OR(exact(Metadata!U905,"not collected"),exact(Metadata!U905,"not provided"),exact(Metadata!U905,"restricted access"))),AND(IF(Metadata!U905="",FALSE,ISNUMBER(VALUE(Metadata!U905))),Metadata!U905&gt;=-180.00,Metadata!U905&lt;=180.00))</f>
        <v>0</v>
      </c>
      <c r="BH905">
        <f>AND(IF(Metadata!V905="",FALSE,TRUE),exact(Metadata!V905,"Decimal degrees"))</f>
        <v>0</v>
      </c>
      <c r="BI905">
        <f>IF(Metadata!W905="",FALSE,TRUE)</f>
        <v>0</v>
      </c>
      <c r="BJ905">
        <f>OR(AND(IF(Metadata!X905="",FALSE,TRUE),OR(exact(Metadata!X905,"not collected"),exact(Metadata!X905,"not provided"),exact(Metadata!X905,"restricted access"))),AND(IF(Metadata!X905="",FALSE,TRUE),OR(exact(Metadata!X905,"TRUE"),exact(Metadata!X905,"FALSE"))))</f>
        <v>0</v>
      </c>
      <c r="BK905">
        <f>AND(IF(Metadata!Y905="",FALSE,TRUE),exact(Metadata!Y905,"other"))</f>
        <v>0</v>
      </c>
      <c r="BL905">
        <f>IF(Metadata!Z905="",FALSE,TRUE)</f>
        <v>0</v>
      </c>
      <c r="BM905">
        <f>OR(AND(IF(Metadata!AA905="",FALSE,TRUE),OR(exact(Metadata!AA905,"not collected"),exact(Metadata!AA905,"not provided"))),AND(IF(Metadata!AA905="",FALSE,IF(ISERROR(INT(Metadata!AA905)),FALSE,INT(Metadata!AA905)=Metadata!AA905)),Metadata!AA905&gt;0))</f>
        <v>0</v>
      </c>
      <c r="BN905">
        <f>AND(IF(Metadata!AB905="",FALSE,TRUE),exact(Metadata!AB905,"Not applicable"))</f>
        <v>0</v>
      </c>
      <c r="BO905">
        <f>IF(Metadata!AC905="",FALSE,TRUE)</f>
        <v>0</v>
      </c>
    </row>
    <row r="906" spans="1:67">
      <c r="A906" s="5">
        <f>IF(B906=" "," ",HYPERLINK(CONCATENATE("#metadata!",ADDRESS(INDEX($AI$2:$AI$1001,MATCH(ROWS($AG$2:AG906),$AG$2:$AG$1001,0),0),1)),INDEX($AL$2:$AL$1001,MATCH(ROWS($AG$2:AG906),$AG$2:$AG$1001,0),0)))</f>
        <v>0</v>
      </c>
      <c r="B906" s="4">
        <f>IF(OR(INDEX($AH$2:$AH$1001,MATCH(ROWS($AG$2:AG906),$AG$2:$AG$1001,0),1)&gt;=100000,INDEX($AN$1005:$BO$1005,1,MATCH(COLUMNS($AN$1006:AN1006),$AN$1006:$BO$1006,0))&gt;=100000), " ",IF(INDEX($AN$2:$BO$1001,MATCH(ROWS($AG$2:AG906),$AG$2:$AG$1001,0),MATCH(COLUMNS($AN$1006:AN1006),$AN$1006:$BO$1006,0)), HYPERLINK("#",""), HYPERLINK(CONCATENATE("#Metadata!", ADDRESS(INDEX($AI$2:$AI$1001,MATCH(ROWS($AG$2:AG906),$AG$2:$AG$1001,0),0), INDEX($AN$1004:$BO$1004,1,MATCH(COLUMNS($AN$1006:AN1006),$AN$1006:$BO$1006,0)))),"Fix")))</f>
        <v>0</v>
      </c>
      <c r="C906" s="4">
        <f>IF(OR(INDEX($AH$2:$AH$1001,MATCH(ROWS($AG$2:AG906),$AG$2:$AG$1001,0),1)&gt;=100000,INDEX($AN$1005:$BO$1005,1,MATCH(COLUMNS($AN$1006:AO1006),$AN$1006:$BO$1006,0))&gt;=100000), " ",IF(INDEX($AN$2:$BO$1001,MATCH(ROWS($AG$2:AG906),$AG$2:$AG$1001,0),MATCH(COLUMNS($AN$1006:AO1006),$AN$1006:$BO$1006,0)), HYPERLINK("#",""), HYPERLINK(CONCATENATE("#Metadata!", ADDRESS(INDEX($AI$2:$AI$1001,MATCH(ROWS($AG$2:AG906),$AG$2:$AG$1001,0),0), INDEX($AN$1004:$BO$1004,1,MATCH(COLUMNS($AN$1006:AO1006),$AN$1006:$BO$1006,0)))),"Fix")))</f>
        <v>0</v>
      </c>
      <c r="D906" s="4">
        <f>IF(OR(INDEX($AH$2:$AH$1001,MATCH(ROWS($AG$2:AG906),$AG$2:$AG$1001,0),1)&gt;=100000,INDEX($AN$1005:$BO$1005,1,MATCH(COLUMNS($AN$1006:AP1006),$AN$1006:$BO$1006,0))&gt;=100000), " ",IF(INDEX($AN$2:$BO$1001,MATCH(ROWS($AG$2:AG906),$AG$2:$AG$1001,0),MATCH(COLUMNS($AN$1006:AP1006),$AN$1006:$BO$1006,0)), HYPERLINK("#",""), HYPERLINK(CONCATENATE("#Metadata!", ADDRESS(INDEX($AI$2:$AI$1001,MATCH(ROWS($AG$2:AG906),$AG$2:$AG$1001,0),0), INDEX($AN$1004:$BO$1004,1,MATCH(COLUMNS($AN$1006:AP1006),$AN$1006:$BO$1006,0)))),"Fix")))</f>
        <v>0</v>
      </c>
      <c r="E906" s="4">
        <f>IF(OR(INDEX($AH$2:$AH$1001,MATCH(ROWS($AG$2:AG906),$AG$2:$AG$1001,0),1)&gt;=100000,INDEX($AN$1005:$BO$1005,1,MATCH(COLUMNS($AN$1006:AQ1006),$AN$1006:$BO$1006,0))&gt;=100000), " ",IF(INDEX($AN$2:$BO$1001,MATCH(ROWS($AG$2:AG906),$AG$2:$AG$1001,0),MATCH(COLUMNS($AN$1006:AQ1006),$AN$1006:$BO$1006,0)), HYPERLINK("#",""), HYPERLINK(CONCATENATE("#Metadata!", ADDRESS(INDEX($AI$2:$AI$1001,MATCH(ROWS($AG$2:AG906),$AG$2:$AG$1001,0),0), INDEX($AN$1004:$BO$1004,1,MATCH(COLUMNS($AN$1006:AQ1006),$AN$1006:$BO$1006,0)))),"Fix")))</f>
        <v>0</v>
      </c>
      <c r="F906" s="4">
        <f>IF(OR(INDEX($AH$2:$AH$1001,MATCH(ROWS($AG$2:AG906),$AG$2:$AG$1001,0),1)&gt;=100000,INDEX($AN$1005:$BO$1005,1,MATCH(COLUMNS($AN$1006:AR1006),$AN$1006:$BO$1006,0))&gt;=100000), " ",IF(INDEX($AN$2:$BO$1001,MATCH(ROWS($AG$2:AG906),$AG$2:$AG$1001,0),MATCH(COLUMNS($AN$1006:AR1006),$AN$1006:$BO$1006,0)), HYPERLINK("#",""), HYPERLINK(CONCATENATE("#Metadata!", ADDRESS(INDEX($AI$2:$AI$1001,MATCH(ROWS($AG$2:AG906),$AG$2:$AG$1001,0),0), INDEX($AN$1004:$BO$1004,1,MATCH(COLUMNS($AN$1006:AR1006),$AN$1006:$BO$1006,0)))),"Fix")))</f>
        <v>0</v>
      </c>
      <c r="G906" s="4">
        <f>IF(OR(INDEX($AH$2:$AH$1001,MATCH(ROWS($AG$2:AG906),$AG$2:$AG$1001,0),1)&gt;=100000,INDEX($AN$1005:$BO$1005,1,MATCH(COLUMNS($AN$1006:AS1006),$AN$1006:$BO$1006,0))&gt;=100000), " ",IF(INDEX($AN$2:$BO$1001,MATCH(ROWS($AG$2:AG906),$AG$2:$AG$1001,0),MATCH(COLUMNS($AN$1006:AS1006),$AN$1006:$BO$1006,0)), HYPERLINK("#",""), HYPERLINK(CONCATENATE("#Metadata!", ADDRESS(INDEX($AI$2:$AI$1001,MATCH(ROWS($AG$2:AG906),$AG$2:$AG$1001,0),0), INDEX($AN$1004:$BO$1004,1,MATCH(COLUMNS($AN$1006:AS1006),$AN$1006:$BO$1006,0)))),"Fix")))</f>
        <v>0</v>
      </c>
      <c r="H906" s="4">
        <f>IF(OR(INDEX($AH$2:$AH$1001,MATCH(ROWS($AG$2:AG906),$AG$2:$AG$1001,0),1)&gt;=100000,INDEX($AN$1005:$BO$1005,1,MATCH(COLUMNS($AN$1006:AT1006),$AN$1006:$BO$1006,0))&gt;=100000), " ",IF(INDEX($AN$2:$BO$1001,MATCH(ROWS($AG$2:AG906),$AG$2:$AG$1001,0),MATCH(COLUMNS($AN$1006:AT1006),$AN$1006:$BO$1006,0)), HYPERLINK("#",""), HYPERLINK(CONCATENATE("#Metadata!", ADDRESS(INDEX($AI$2:$AI$1001,MATCH(ROWS($AG$2:AG906),$AG$2:$AG$1001,0),0), INDEX($AN$1004:$BO$1004,1,MATCH(COLUMNS($AN$1006:AT1006),$AN$1006:$BO$1006,0)))),"Fix")))</f>
        <v>0</v>
      </c>
      <c r="I906" s="4">
        <f>IF(OR(INDEX($AH$2:$AH$1001,MATCH(ROWS($AG$2:AG906),$AG$2:$AG$1001,0),1)&gt;=100000,INDEX($AN$1005:$BO$1005,1,MATCH(COLUMNS($AN$1006:AU1006),$AN$1006:$BO$1006,0))&gt;=100000), " ",IF(INDEX($AN$2:$BO$1001,MATCH(ROWS($AG$2:AG906),$AG$2:$AG$1001,0),MATCH(COLUMNS($AN$1006:AU1006),$AN$1006:$BO$1006,0)), HYPERLINK("#",""), HYPERLINK(CONCATENATE("#Metadata!", ADDRESS(INDEX($AI$2:$AI$1001,MATCH(ROWS($AG$2:AG906),$AG$2:$AG$1001,0),0), INDEX($AN$1004:$BO$1004,1,MATCH(COLUMNS($AN$1006:AU1006),$AN$1006:$BO$1006,0)))),"Fix")))</f>
        <v>0</v>
      </c>
      <c r="J906" s="4">
        <f>IF(OR(INDEX($AH$2:$AH$1001,MATCH(ROWS($AG$2:AG906),$AG$2:$AG$1001,0),1)&gt;=100000,INDEX($AN$1005:$BO$1005,1,MATCH(COLUMNS($AN$1006:AV1006),$AN$1006:$BO$1006,0))&gt;=100000), " ",IF(INDEX($AN$2:$BO$1001,MATCH(ROWS($AG$2:AG906),$AG$2:$AG$1001,0),MATCH(COLUMNS($AN$1006:AV1006),$AN$1006:$BO$1006,0)), HYPERLINK("#",""), HYPERLINK(CONCATENATE("#Metadata!", ADDRESS(INDEX($AI$2:$AI$1001,MATCH(ROWS($AG$2:AG906),$AG$2:$AG$1001,0),0), INDEX($AN$1004:$BO$1004,1,MATCH(COLUMNS($AN$1006:AV1006),$AN$1006:$BO$1006,0)))),"Fix")))</f>
        <v>0</v>
      </c>
      <c r="K906" s="4">
        <f>IF(OR(INDEX($AH$2:$AH$1001,MATCH(ROWS($AG$2:AG906),$AG$2:$AG$1001,0),1)&gt;=100000,INDEX($AN$1005:$BO$1005,1,MATCH(COLUMNS($AN$1006:AW1006),$AN$1006:$BO$1006,0))&gt;=100000), " ",IF(INDEX($AN$2:$BO$1001,MATCH(ROWS($AG$2:AG906),$AG$2:$AG$1001,0),MATCH(COLUMNS($AN$1006:AW1006),$AN$1006:$BO$1006,0)), HYPERLINK("#",""), HYPERLINK(CONCATENATE("#Metadata!", ADDRESS(INDEX($AI$2:$AI$1001,MATCH(ROWS($AG$2:AG906),$AG$2:$AG$1001,0),0), INDEX($AN$1004:$BO$1004,1,MATCH(COLUMNS($AN$1006:AW1006),$AN$1006:$BO$1006,0)))),"Fix")))</f>
        <v>0</v>
      </c>
      <c r="L906" s="4">
        <f>IF(OR(INDEX($AH$2:$AH$1001,MATCH(ROWS($AG$2:AG906),$AG$2:$AG$1001,0),1)&gt;=100000,INDEX($AN$1005:$BO$1005,1,MATCH(COLUMNS($AN$1006:AX1006),$AN$1006:$BO$1006,0))&gt;=100000), " ",IF(INDEX($AN$2:$BO$1001,MATCH(ROWS($AG$2:AG906),$AG$2:$AG$1001,0),MATCH(COLUMNS($AN$1006:AX1006),$AN$1006:$BO$1006,0)), HYPERLINK("#",""), HYPERLINK(CONCATENATE("#Metadata!", ADDRESS(INDEX($AI$2:$AI$1001,MATCH(ROWS($AG$2:AG906),$AG$2:$AG$1001,0),0), INDEX($AN$1004:$BO$1004,1,MATCH(COLUMNS($AN$1006:AX1006),$AN$1006:$BO$1006,0)))),"Fix")))</f>
        <v>0</v>
      </c>
      <c r="M906" s="4">
        <f>IF(OR(INDEX($AH$2:$AH$1001,MATCH(ROWS($AG$2:AG906),$AG$2:$AG$1001,0),1)&gt;=100000,INDEX($AN$1005:$BO$1005,1,MATCH(COLUMNS($AN$1006:AY1006),$AN$1006:$BO$1006,0))&gt;=100000), " ",IF(INDEX($AN$2:$BO$1001,MATCH(ROWS($AG$2:AG906),$AG$2:$AG$1001,0),MATCH(COLUMNS($AN$1006:AY1006),$AN$1006:$BO$1006,0)), HYPERLINK("#",""), HYPERLINK(CONCATENATE("#Metadata!", ADDRESS(INDEX($AI$2:$AI$1001,MATCH(ROWS($AG$2:AG906),$AG$2:$AG$1001,0),0), INDEX($AN$1004:$BO$1004,1,MATCH(COLUMNS($AN$1006:AY1006),$AN$1006:$BO$1006,0)))),"Fix")))</f>
        <v>0</v>
      </c>
      <c r="N906" s="4">
        <f>IF(OR(INDEX($AH$2:$AH$1001,MATCH(ROWS($AG$2:AG906),$AG$2:$AG$1001,0),1)&gt;=100000,INDEX($AN$1005:$BO$1005,1,MATCH(COLUMNS($AN$1006:AZ1006),$AN$1006:$BO$1006,0))&gt;=100000), " ",IF(INDEX($AN$2:$BO$1001,MATCH(ROWS($AG$2:AG906),$AG$2:$AG$1001,0),MATCH(COLUMNS($AN$1006:AZ1006),$AN$1006:$BO$1006,0)), HYPERLINK("#",""), HYPERLINK(CONCATENATE("#Metadata!", ADDRESS(INDEX($AI$2:$AI$1001,MATCH(ROWS($AG$2:AG906),$AG$2:$AG$1001,0),0), INDEX($AN$1004:$BO$1004,1,MATCH(COLUMNS($AN$1006:AZ1006),$AN$1006:$BO$1006,0)))),"Fix")))</f>
        <v>0</v>
      </c>
      <c r="O906" s="4">
        <f>IF(OR(INDEX($AH$2:$AH$1001,MATCH(ROWS($AG$2:AG906),$AG$2:$AG$1001,0),1)&gt;=100000,INDEX($AN$1005:$BO$1005,1,MATCH(COLUMNS($AN$1006:BA1006),$AN$1006:$BO$1006,0))&gt;=100000), " ",IF(INDEX($AN$2:$BO$1001,MATCH(ROWS($AG$2:AG906),$AG$2:$AG$1001,0),MATCH(COLUMNS($AN$1006:BA1006),$AN$1006:$BO$1006,0)), HYPERLINK("#",""), HYPERLINK(CONCATENATE("#Metadata!", ADDRESS(INDEX($AI$2:$AI$1001,MATCH(ROWS($AG$2:AG906),$AG$2:$AG$1001,0),0), INDEX($AN$1004:$BO$1004,1,MATCH(COLUMNS($AN$1006:BA1006),$AN$1006:$BO$1006,0)))),"Fix")))</f>
        <v>0</v>
      </c>
      <c r="P906" s="4">
        <f>IF(OR(INDEX($AH$2:$AH$1001,MATCH(ROWS($AG$2:AG906),$AG$2:$AG$1001,0),1)&gt;=100000,INDEX($AN$1005:$BO$1005,1,MATCH(COLUMNS($AN$1006:BB1006),$AN$1006:$BO$1006,0))&gt;=100000), " ",IF(INDEX($AN$2:$BO$1001,MATCH(ROWS($AG$2:AG906),$AG$2:$AG$1001,0),MATCH(COLUMNS($AN$1006:BB1006),$AN$1006:$BO$1006,0)), HYPERLINK("#",""), HYPERLINK(CONCATENATE("#Metadata!", ADDRESS(INDEX($AI$2:$AI$1001,MATCH(ROWS($AG$2:AG906),$AG$2:$AG$1001,0),0), INDEX($AN$1004:$BO$1004,1,MATCH(COLUMNS($AN$1006:BB1006),$AN$1006:$BO$1006,0)))),"Fix")))</f>
        <v>0</v>
      </c>
      <c r="Q906" s="4">
        <f>IF(OR(INDEX($AH$2:$AH$1001,MATCH(ROWS($AG$2:AG906),$AG$2:$AG$1001,0),1)&gt;=100000,INDEX($AN$1005:$BO$1005,1,MATCH(COLUMNS($AN$1006:BC1006),$AN$1006:$BO$1006,0))&gt;=100000), " ",IF(INDEX($AN$2:$BO$1001,MATCH(ROWS($AG$2:AG906),$AG$2:$AG$1001,0),MATCH(COLUMNS($AN$1006:BC1006),$AN$1006:$BO$1006,0)), HYPERLINK("#",""), HYPERLINK(CONCATENATE("#Metadata!", ADDRESS(INDEX($AI$2:$AI$1001,MATCH(ROWS($AG$2:AG906),$AG$2:$AG$1001,0),0), INDEX($AN$1004:$BO$1004,1,MATCH(COLUMNS($AN$1006:BC1006),$AN$1006:$BO$1006,0)))),"Fix")))</f>
        <v>0</v>
      </c>
      <c r="R906" s="4">
        <f>IF(OR(INDEX($AH$2:$AH$1001,MATCH(ROWS($AG$2:AG906),$AG$2:$AG$1001,0),1)&gt;=100000,INDEX($AN$1005:$BO$1005,1,MATCH(COLUMNS($AN$1006:BD1006),$AN$1006:$BO$1006,0))&gt;=100000), " ",IF(INDEX($AN$2:$BO$1001,MATCH(ROWS($AG$2:AG906),$AG$2:$AG$1001,0),MATCH(COLUMNS($AN$1006:BD1006),$AN$1006:$BO$1006,0)), HYPERLINK("#",""), HYPERLINK(CONCATENATE("#Metadata!", ADDRESS(INDEX($AI$2:$AI$1001,MATCH(ROWS($AG$2:AG906),$AG$2:$AG$1001,0),0), INDEX($AN$1004:$BO$1004,1,MATCH(COLUMNS($AN$1006:BD1006),$AN$1006:$BO$1006,0)))),"Fix")))</f>
        <v>0</v>
      </c>
      <c r="S906" s="4">
        <f>IF(OR(INDEX($AH$2:$AH$1001,MATCH(ROWS($AG$2:AG906),$AG$2:$AG$1001,0),1)&gt;=100000,INDEX($AN$1005:$BO$1005,1,MATCH(COLUMNS($AN$1006:BE1006),$AN$1006:$BO$1006,0))&gt;=100000), " ",IF(INDEX($AN$2:$BO$1001,MATCH(ROWS($AG$2:AG906),$AG$2:$AG$1001,0),MATCH(COLUMNS($AN$1006:BE1006),$AN$1006:$BO$1006,0)), HYPERLINK("#",""), HYPERLINK(CONCATENATE("#Metadata!", ADDRESS(INDEX($AI$2:$AI$1001,MATCH(ROWS($AG$2:AG906),$AG$2:$AG$1001,0),0), INDEX($AN$1004:$BO$1004,1,MATCH(COLUMNS($AN$1006:BE1006),$AN$1006:$BO$1006,0)))),"Fix")))</f>
        <v>0</v>
      </c>
      <c r="T906" s="4">
        <f>IF(OR(INDEX($AH$2:$AH$1001,MATCH(ROWS($AG$2:AG906),$AG$2:$AG$1001,0),1)&gt;=100000,INDEX($AN$1005:$BO$1005,1,MATCH(COLUMNS($AN$1006:BF1006),$AN$1006:$BO$1006,0))&gt;=100000), " ",IF(INDEX($AN$2:$BO$1001,MATCH(ROWS($AG$2:AG906),$AG$2:$AG$1001,0),MATCH(COLUMNS($AN$1006:BF1006),$AN$1006:$BO$1006,0)), HYPERLINK("#",""), HYPERLINK(CONCATENATE("#Metadata!", ADDRESS(INDEX($AI$2:$AI$1001,MATCH(ROWS($AG$2:AG906),$AG$2:$AG$1001,0),0), INDEX($AN$1004:$BO$1004,1,MATCH(COLUMNS($AN$1006:BF1006),$AN$1006:$BO$1006,0)))),"Fix")))</f>
        <v>0</v>
      </c>
      <c r="U906" s="4">
        <f>IF(OR(INDEX($AH$2:$AH$1001,MATCH(ROWS($AG$2:AG906),$AG$2:$AG$1001,0),1)&gt;=100000,INDEX($AN$1005:$BO$1005,1,MATCH(COLUMNS($AN$1006:BG1006),$AN$1006:$BO$1006,0))&gt;=100000), " ",IF(INDEX($AN$2:$BO$1001,MATCH(ROWS($AG$2:AG906),$AG$2:$AG$1001,0),MATCH(COLUMNS($AN$1006:BG1006),$AN$1006:$BO$1006,0)), HYPERLINK("#",""), HYPERLINK(CONCATENATE("#Metadata!", ADDRESS(INDEX($AI$2:$AI$1001,MATCH(ROWS($AG$2:AG906),$AG$2:$AG$1001,0),0), INDEX($AN$1004:$BO$1004,1,MATCH(COLUMNS($AN$1006:BG1006),$AN$1006:$BO$1006,0)))),"Fix")))</f>
        <v>0</v>
      </c>
      <c r="V906" s="4">
        <f>IF(OR(INDEX($AH$2:$AH$1001,MATCH(ROWS($AG$2:AG906),$AG$2:$AG$1001,0),1)&gt;=100000,INDEX($AN$1005:$BO$1005,1,MATCH(COLUMNS($AN$1006:BH1006),$AN$1006:$BO$1006,0))&gt;=100000), " ",IF(INDEX($AN$2:$BO$1001,MATCH(ROWS($AG$2:AG906),$AG$2:$AG$1001,0),MATCH(COLUMNS($AN$1006:BH1006),$AN$1006:$BO$1006,0)), HYPERLINK("#",""), HYPERLINK(CONCATENATE("#Metadata!", ADDRESS(INDEX($AI$2:$AI$1001,MATCH(ROWS($AG$2:AG906),$AG$2:$AG$1001,0),0), INDEX($AN$1004:$BO$1004,1,MATCH(COLUMNS($AN$1006:BH1006),$AN$1006:$BO$1006,0)))),"Fix")))</f>
        <v>0</v>
      </c>
      <c r="W906" s="4">
        <f>IF(OR(INDEX($AH$2:$AH$1001,MATCH(ROWS($AG$2:AG906),$AG$2:$AG$1001,0),1)&gt;=100000,INDEX($AN$1005:$BO$1005,1,MATCH(COLUMNS($AN$1006:BI1006),$AN$1006:$BO$1006,0))&gt;=100000), " ",IF(INDEX($AN$2:$BO$1001,MATCH(ROWS($AG$2:AG906),$AG$2:$AG$1001,0),MATCH(COLUMNS($AN$1006:BI1006),$AN$1006:$BO$1006,0)), HYPERLINK("#",""), HYPERLINK(CONCATENATE("#Metadata!", ADDRESS(INDEX($AI$2:$AI$1001,MATCH(ROWS($AG$2:AG906),$AG$2:$AG$1001,0),0), INDEX($AN$1004:$BO$1004,1,MATCH(COLUMNS($AN$1006:BI1006),$AN$1006:$BO$1006,0)))),"Fix")))</f>
        <v>0</v>
      </c>
      <c r="X906" s="4">
        <f>IF(OR(INDEX($AH$2:$AH$1001,MATCH(ROWS($AG$2:AG906),$AG$2:$AG$1001,0),1)&gt;=100000,INDEX($AN$1005:$BO$1005,1,MATCH(COLUMNS($AN$1006:BJ1006),$AN$1006:$BO$1006,0))&gt;=100000), " ",IF(INDEX($AN$2:$BO$1001,MATCH(ROWS($AG$2:AG906),$AG$2:$AG$1001,0),MATCH(COLUMNS($AN$1006:BJ1006),$AN$1006:$BO$1006,0)), HYPERLINK("#",""), HYPERLINK(CONCATENATE("#Metadata!", ADDRESS(INDEX($AI$2:$AI$1001,MATCH(ROWS($AG$2:AG906),$AG$2:$AG$1001,0),0), INDEX($AN$1004:$BO$1004,1,MATCH(COLUMNS($AN$1006:BJ1006),$AN$1006:$BO$1006,0)))),"Fix")))</f>
        <v>0</v>
      </c>
      <c r="Y906" s="4">
        <f>IF(OR(INDEX($AH$2:$AH$1001,MATCH(ROWS($AG$2:AG906),$AG$2:$AG$1001,0),1)&gt;=100000,INDEX($AN$1005:$BO$1005,1,MATCH(COLUMNS($AN$1006:BK1006),$AN$1006:$BO$1006,0))&gt;=100000), " ",IF(INDEX($AN$2:$BO$1001,MATCH(ROWS($AG$2:AG906),$AG$2:$AG$1001,0),MATCH(COLUMNS($AN$1006:BK1006),$AN$1006:$BO$1006,0)), HYPERLINK("#",""), HYPERLINK(CONCATENATE("#Metadata!", ADDRESS(INDEX($AI$2:$AI$1001,MATCH(ROWS($AG$2:AG906),$AG$2:$AG$1001,0),0), INDEX($AN$1004:$BO$1004,1,MATCH(COLUMNS($AN$1006:BK1006),$AN$1006:$BO$1006,0)))),"Fix")))</f>
        <v>0</v>
      </c>
      <c r="Z906" s="4">
        <f>IF(OR(INDEX($AH$2:$AH$1001,MATCH(ROWS($AG$2:AG906),$AG$2:$AG$1001,0),1)&gt;=100000,INDEX($AN$1005:$BO$1005,1,MATCH(COLUMNS($AN$1006:BL1006),$AN$1006:$BO$1006,0))&gt;=100000), " ",IF(INDEX($AN$2:$BO$1001,MATCH(ROWS($AG$2:AG906),$AG$2:$AG$1001,0),MATCH(COLUMNS($AN$1006:BL1006),$AN$1006:$BO$1006,0)), HYPERLINK("#",""), HYPERLINK(CONCATENATE("#Metadata!", ADDRESS(INDEX($AI$2:$AI$1001,MATCH(ROWS($AG$2:AG906),$AG$2:$AG$1001,0),0), INDEX($AN$1004:$BO$1004,1,MATCH(COLUMNS($AN$1006:BL1006),$AN$1006:$BO$1006,0)))),"Fix")))</f>
        <v>0</v>
      </c>
      <c r="AA906" s="4">
        <f>IF(OR(INDEX($AH$2:$AH$1001,MATCH(ROWS($AG$2:AG906),$AG$2:$AG$1001,0),1)&gt;=100000,INDEX($AN$1005:$BO$1005,1,MATCH(COLUMNS($AN$1006:BM1006),$AN$1006:$BO$1006,0))&gt;=100000), " ",IF(INDEX($AN$2:$BO$1001,MATCH(ROWS($AG$2:AG906),$AG$2:$AG$1001,0),MATCH(COLUMNS($AN$1006:BM1006),$AN$1006:$BO$1006,0)), HYPERLINK("#",""), HYPERLINK(CONCATENATE("#Metadata!", ADDRESS(INDEX($AI$2:$AI$1001,MATCH(ROWS($AG$2:AG906),$AG$2:$AG$1001,0),0), INDEX($AN$1004:$BO$1004,1,MATCH(COLUMNS($AN$1006:BM1006),$AN$1006:$BO$1006,0)))),"Fix")))</f>
        <v>0</v>
      </c>
      <c r="AB906" s="4">
        <f>IF(OR(INDEX($AH$2:$AH$1001,MATCH(ROWS($AG$2:AG906),$AG$2:$AG$1001,0),1)&gt;=100000,INDEX($AN$1005:$BO$1005,1,MATCH(COLUMNS($AN$1006:BN1006),$AN$1006:$BO$1006,0))&gt;=100000), " ",IF(INDEX($AN$2:$BO$1001,MATCH(ROWS($AG$2:AG906),$AG$2:$AG$1001,0),MATCH(COLUMNS($AN$1006:BN1006),$AN$1006:$BO$1006,0)), HYPERLINK("#",""), HYPERLINK(CONCATENATE("#Metadata!", ADDRESS(INDEX($AI$2:$AI$1001,MATCH(ROWS($AG$2:AG906),$AG$2:$AG$1001,0),0), INDEX($AN$1004:$BO$1004,1,MATCH(COLUMNS($AN$1006:BN1006),$AN$1006:$BO$1006,0)))),"Fix")))</f>
        <v>0</v>
      </c>
      <c r="AC906" s="4">
        <f>IF(OR(INDEX($AH$2:$AH$1001,MATCH(ROWS($AG$2:AG906),$AG$2:$AG$1001,0),1)&gt;=100000,INDEX($AN$1005:$BO$1005,1,MATCH(COLUMNS($AN$1006:BO1006),$AN$1006:$BO$1006,0))&gt;=100000), " ",IF(INDEX($AN$2:$BO$1001,MATCH(ROWS($AG$2:AG906),$AG$2:$AG$1001,0),MATCH(COLUMNS($AN$1006:BO1006),$AN$1006:$BO$1006,0)), HYPERLINK("#",""), HYPERLINK(CONCATENATE("#Metadata!", ADDRESS(INDEX($AI$2:$AI$1001,MATCH(ROWS($AG$2:AG906),$AG$2:$AG$1001,0),0), INDEX($AN$1004:$BO$1004,1,MATCH(COLUMNS($AN$1006:BO1006),$AN$1006:$BO$1006,0)))),"Fix")))</f>
        <v>0</v>
      </c>
      <c r="AG906">
        <v>0</v>
      </c>
      <c r="AH906">
        <v>0</v>
      </c>
      <c r="AI906">
        <v>0</v>
      </c>
      <c r="AJ906">
        <f>IF(AK906,TRUE,AND(AN906:BO906))</f>
        <v>0</v>
      </c>
      <c r="AK906">
        <f>COUNTBLANK(Metadata!B906:AC906)=COLUMNS(Metadata!B906:AC906)</f>
        <v>0</v>
      </c>
      <c r="AL906">
        <v>0</v>
      </c>
      <c r="AN906">
        <f>AND(IF(Metadata!B906="",FALSE,TRUE),COUNTIF(Metadata!B:B, Metadata!B906) = 1,NOT(ISERROR(SUMPRODUCT(SEARCH(MID(Metadata!B906,ROW(INDIRECT("1:"&amp;LEN(Metadata!B906))), 1),"0123456789abcdefghijklmnopqrstuvwxyzABCDEFGHIJKLMNOPQRSTUVWXYZ.")))))</f>
        <v>0</v>
      </c>
      <c r="AO906">
        <f>IF(Metadata!C906="",FALSE,TRUE)</f>
        <v>0</v>
      </c>
      <c r="AP906">
        <f>IF(Metadata!D906="",FALSE,TRUE)</f>
        <v>0</v>
      </c>
      <c r="AQ906">
        <f>OR(AND(IF(Metadata!E906="",FALSE,TRUE),OR(exact(Metadata!E906,"not collected"),exact(Metadata!E906,"not provided"),exact(Metadata!E906,"restricted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R906">
        <f>IF(Metadata!F906="",FALSE,TRUE)</f>
        <v>0</v>
      </c>
      <c r="AS906">
        <f>OR(AND(IF(Metadata!G906="",FALSE,TRUE),OR(exact(Metadata!G906,"not collected"),exact(Metadata!G906,"not provided"))),AND(IF(Metadata!G906="",FALSE,TRUE),OR(exact(Metadata!G906,"TRUE"),exact(Metadata!G906,"FALSE"))))</f>
        <v>0</v>
      </c>
      <c r="AT906">
        <f>OR(AND(IF(Metadata!H906="",FALSE,TRUE),OR(exact(Metadata!H906,"not collected"),exact(Metadata!H906,"not provided"),exact(Metadata!H906,"restricted access"))),AND(IF(Metadata!H906="",FALSE,ISNUMBER(VALUE(Metadata!H906))),Metadata!H906&gt;=-413.0))</f>
        <v>0</v>
      </c>
      <c r="AU906">
        <f>AND(IF(Metadata!I906="",FALSE,TRUE),exact(Metadata!I906,"meters"))</f>
        <v>0</v>
      </c>
      <c r="AV906">
        <f>AND(IF(Metadata!J906="",FALSE,TRUE),OR(exact(Metadata!J906,"Host-associated"),exact(Metadata!J906,"Free-living")))</f>
        <v>0</v>
      </c>
      <c r="AW906">
        <f>AND(IF(Metadata!K906="",FALSE,TRUE),OR(exact(Metadata!K906,"Animal"),exact(Metadata!K906,"Fungus"),exact(Metadata!K906,"Plant"),exact(Metadata!K906,"Saline"),exact(Metadata!K906,"Non-saline")))</f>
        <v>0</v>
      </c>
      <c r="AX906">
        <f>AND(IF(Metadata!L906="",FALSE,TRUE),OR(exact(Metadata!L906,"Plant secretion"),exact(Metadata!L906,"Plant rhizosphere"),exact(Metadata!L906,"Plant surface"),exact(Metadata!L906,"Plant corpus"),exact(Metadata!L906,"Fungus surface"),exact(Metadata!L906,"Fungus corpus"),exact(Metadata!L906,"Animal surface"),exact(Metadata!L906,"Animal proximal gut"),exact(Metadata!L906,"Animal corpus"),exact(Metadata!L906,"Animal distal gut"),exact(Metadata!L906,"Animal secretion"),exact(Metadata!L906,"Sub-surface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Y906">
        <f>IF(Metadata!M906="",FALSE,TRUE)</f>
        <v>0</v>
      </c>
      <c r="AZ906">
        <f>IF(Metadata!N906="",FALSE,TRUE)</f>
        <v>0</v>
      </c>
      <c r="BA906">
        <f>IF(Metadata!O906="",FALSE,TRUE)</f>
        <v>0</v>
      </c>
      <c r="BB906">
        <f>OR(AND(IF(Metadata!P906="",FALSE,TRUE),OR(exact(Metadata!P906,"not collected"),exact(Metadata!P906,"not provided"),exact(Metadata!P906,"restricted access"))),AND(IF(Metadata!P906="",FALSE,TRUE),OR(exact(Metadata!P906,"air"),exact(Metadata!P906,"built environment"),exact(Metadata!P906,"host-associated"),exact(Metadata!P906,"human-associated"),exact(Metadata!P906,"human-skin"),exact(Metadata!P906,"human-oral"),exact(Metadata!P906,"human-gut"),exact(Metadata!P906,"human-vaginal"),exact(Metadata!P906,"microbial mat/biofilm"),exact(Metadata!P906,"misc environment"),exact(Metadata!P906,"plant-associated"),exact(Metadata!P906,"sediment"),exact(Metadata!P906,"soil"),exact(Metadata!P906,"wastewater/sludge"),exact(Metadata!P906,"water"))))</f>
        <v>0</v>
      </c>
      <c r="BC906">
        <f>IF(Metadata!Q906="",FALSE,TRUE)</f>
        <v>0</v>
      </c>
      <c r="BD906">
        <f>IF(Metadata!R906="",FALSE,TRUE)</f>
        <v>0</v>
      </c>
      <c r="BE906">
        <f>OR(AND(IF(Metadata!S906="",FALSE,TRUE),OR(exact(Metadata!S906,"not collected"),exact(Metadata!S906,"not provided"),exact(Metadata!S906,"restricted access"))),AND(IF(Metadata!S906="",FALSE,ISNUMBER(VALUE(Metadata!S906))),Metadata!S906&gt;=-90.00,Metadata!S906&lt;=90.00))</f>
        <v>0</v>
      </c>
      <c r="BF906">
        <f>AND(IF(Metadata!T906="",FALSE,TRUE),exact(Metadata!T906,"Decimal degrees"))</f>
        <v>0</v>
      </c>
      <c r="BG906">
        <f>OR(AND(IF(Metadata!U906="",FALSE,TRUE),OR(exact(Metadata!U906,"not collected"),exact(Metadata!U906,"not provided"),exact(Metadata!U906,"restricted access"))),AND(IF(Metadata!U906="",FALSE,ISNUMBER(VALUE(Metadata!U906))),Metadata!U906&gt;=-180.00,Metadata!U906&lt;=180.00))</f>
        <v>0</v>
      </c>
      <c r="BH906">
        <f>AND(IF(Metadata!V906="",FALSE,TRUE),exact(Metadata!V906,"Decimal degrees"))</f>
        <v>0</v>
      </c>
      <c r="BI906">
        <f>IF(Metadata!W906="",FALSE,TRUE)</f>
        <v>0</v>
      </c>
      <c r="BJ906">
        <f>OR(AND(IF(Metadata!X906="",FALSE,TRUE),OR(exact(Metadata!X906,"not collected"),exact(Metadata!X906,"not provided"),exact(Metadata!X906,"restricted access"))),AND(IF(Metadata!X906="",FALSE,TRUE),OR(exact(Metadata!X906,"TRUE"),exact(Metadata!X906,"FALSE"))))</f>
        <v>0</v>
      </c>
      <c r="BK906">
        <f>AND(IF(Metadata!Y906="",FALSE,TRUE),exact(Metadata!Y906,"other"))</f>
        <v>0</v>
      </c>
      <c r="BL906">
        <f>IF(Metadata!Z906="",FALSE,TRUE)</f>
        <v>0</v>
      </c>
      <c r="BM906">
        <f>OR(AND(IF(Metadata!AA906="",FALSE,TRUE),OR(exact(Metadata!AA906,"not collected"),exact(Metadata!AA906,"not provided"))),AND(IF(Metadata!AA906="",FALSE,IF(ISERROR(INT(Metadata!AA906)),FALSE,INT(Metadata!AA906)=Metadata!AA906)),Metadata!AA906&gt;0))</f>
        <v>0</v>
      </c>
      <c r="BN906">
        <f>AND(IF(Metadata!AB906="",FALSE,TRUE),exact(Metadata!AB906,"Not applicable"))</f>
        <v>0</v>
      </c>
      <c r="BO906">
        <f>IF(Metadata!AC906="",FALSE,TRUE)</f>
        <v>0</v>
      </c>
    </row>
    <row r="907" spans="1:67">
      <c r="A907" s="5">
        <f>IF(B907=" "," ",HYPERLINK(CONCATENATE("#metadata!",ADDRESS(INDEX($AI$2:$AI$1001,MATCH(ROWS($AG$2:AG907),$AG$2:$AG$1001,0),0),1)),INDEX($AL$2:$AL$1001,MATCH(ROWS($AG$2:AG907),$AG$2:$AG$1001,0),0)))</f>
        <v>0</v>
      </c>
      <c r="B907" s="4">
        <f>IF(OR(INDEX($AH$2:$AH$1001,MATCH(ROWS($AG$2:AG907),$AG$2:$AG$1001,0),1)&gt;=100000,INDEX($AN$1005:$BO$1005,1,MATCH(COLUMNS($AN$1006:AN1006),$AN$1006:$BO$1006,0))&gt;=100000), " ",IF(INDEX($AN$2:$BO$1001,MATCH(ROWS($AG$2:AG907),$AG$2:$AG$1001,0),MATCH(COLUMNS($AN$1006:AN1006),$AN$1006:$BO$1006,0)), HYPERLINK("#",""), HYPERLINK(CONCATENATE("#Metadata!", ADDRESS(INDEX($AI$2:$AI$1001,MATCH(ROWS($AG$2:AG907),$AG$2:$AG$1001,0),0), INDEX($AN$1004:$BO$1004,1,MATCH(COLUMNS($AN$1006:AN1006),$AN$1006:$BO$1006,0)))),"Fix")))</f>
        <v>0</v>
      </c>
      <c r="C907" s="4">
        <f>IF(OR(INDEX($AH$2:$AH$1001,MATCH(ROWS($AG$2:AG907),$AG$2:$AG$1001,0),1)&gt;=100000,INDEX($AN$1005:$BO$1005,1,MATCH(COLUMNS($AN$1006:AO1006),$AN$1006:$BO$1006,0))&gt;=100000), " ",IF(INDEX($AN$2:$BO$1001,MATCH(ROWS($AG$2:AG907),$AG$2:$AG$1001,0),MATCH(COLUMNS($AN$1006:AO1006),$AN$1006:$BO$1006,0)), HYPERLINK("#",""), HYPERLINK(CONCATENATE("#Metadata!", ADDRESS(INDEX($AI$2:$AI$1001,MATCH(ROWS($AG$2:AG907),$AG$2:$AG$1001,0),0), INDEX($AN$1004:$BO$1004,1,MATCH(COLUMNS($AN$1006:AO1006),$AN$1006:$BO$1006,0)))),"Fix")))</f>
        <v>0</v>
      </c>
      <c r="D907" s="4">
        <f>IF(OR(INDEX($AH$2:$AH$1001,MATCH(ROWS($AG$2:AG907),$AG$2:$AG$1001,0),1)&gt;=100000,INDEX($AN$1005:$BO$1005,1,MATCH(COLUMNS($AN$1006:AP1006),$AN$1006:$BO$1006,0))&gt;=100000), " ",IF(INDEX($AN$2:$BO$1001,MATCH(ROWS($AG$2:AG907),$AG$2:$AG$1001,0),MATCH(COLUMNS($AN$1006:AP1006),$AN$1006:$BO$1006,0)), HYPERLINK("#",""), HYPERLINK(CONCATENATE("#Metadata!", ADDRESS(INDEX($AI$2:$AI$1001,MATCH(ROWS($AG$2:AG907),$AG$2:$AG$1001,0),0), INDEX($AN$1004:$BO$1004,1,MATCH(COLUMNS($AN$1006:AP1006),$AN$1006:$BO$1006,0)))),"Fix")))</f>
        <v>0</v>
      </c>
      <c r="E907" s="4">
        <f>IF(OR(INDEX($AH$2:$AH$1001,MATCH(ROWS($AG$2:AG907),$AG$2:$AG$1001,0),1)&gt;=100000,INDEX($AN$1005:$BO$1005,1,MATCH(COLUMNS($AN$1006:AQ1006),$AN$1006:$BO$1006,0))&gt;=100000), " ",IF(INDEX($AN$2:$BO$1001,MATCH(ROWS($AG$2:AG907),$AG$2:$AG$1001,0),MATCH(COLUMNS($AN$1006:AQ1006),$AN$1006:$BO$1006,0)), HYPERLINK("#",""), HYPERLINK(CONCATENATE("#Metadata!", ADDRESS(INDEX($AI$2:$AI$1001,MATCH(ROWS($AG$2:AG907),$AG$2:$AG$1001,0),0), INDEX($AN$1004:$BO$1004,1,MATCH(COLUMNS($AN$1006:AQ1006),$AN$1006:$BO$1006,0)))),"Fix")))</f>
        <v>0</v>
      </c>
      <c r="F907" s="4">
        <f>IF(OR(INDEX($AH$2:$AH$1001,MATCH(ROWS($AG$2:AG907),$AG$2:$AG$1001,0),1)&gt;=100000,INDEX($AN$1005:$BO$1005,1,MATCH(COLUMNS($AN$1006:AR1006),$AN$1006:$BO$1006,0))&gt;=100000), " ",IF(INDEX($AN$2:$BO$1001,MATCH(ROWS($AG$2:AG907),$AG$2:$AG$1001,0),MATCH(COLUMNS($AN$1006:AR1006),$AN$1006:$BO$1006,0)), HYPERLINK("#",""), HYPERLINK(CONCATENATE("#Metadata!", ADDRESS(INDEX($AI$2:$AI$1001,MATCH(ROWS($AG$2:AG907),$AG$2:$AG$1001,0),0), INDEX($AN$1004:$BO$1004,1,MATCH(COLUMNS($AN$1006:AR1006),$AN$1006:$BO$1006,0)))),"Fix")))</f>
        <v>0</v>
      </c>
      <c r="G907" s="4">
        <f>IF(OR(INDEX($AH$2:$AH$1001,MATCH(ROWS($AG$2:AG907),$AG$2:$AG$1001,0),1)&gt;=100000,INDEX($AN$1005:$BO$1005,1,MATCH(COLUMNS($AN$1006:AS1006),$AN$1006:$BO$1006,0))&gt;=100000), " ",IF(INDEX($AN$2:$BO$1001,MATCH(ROWS($AG$2:AG907),$AG$2:$AG$1001,0),MATCH(COLUMNS($AN$1006:AS1006),$AN$1006:$BO$1006,0)), HYPERLINK("#",""), HYPERLINK(CONCATENATE("#Metadata!", ADDRESS(INDEX($AI$2:$AI$1001,MATCH(ROWS($AG$2:AG907),$AG$2:$AG$1001,0),0), INDEX($AN$1004:$BO$1004,1,MATCH(COLUMNS($AN$1006:AS1006),$AN$1006:$BO$1006,0)))),"Fix")))</f>
        <v>0</v>
      </c>
      <c r="H907" s="4">
        <f>IF(OR(INDEX($AH$2:$AH$1001,MATCH(ROWS($AG$2:AG907),$AG$2:$AG$1001,0),1)&gt;=100000,INDEX($AN$1005:$BO$1005,1,MATCH(COLUMNS($AN$1006:AT1006),$AN$1006:$BO$1006,0))&gt;=100000), " ",IF(INDEX($AN$2:$BO$1001,MATCH(ROWS($AG$2:AG907),$AG$2:$AG$1001,0),MATCH(COLUMNS($AN$1006:AT1006),$AN$1006:$BO$1006,0)), HYPERLINK("#",""), HYPERLINK(CONCATENATE("#Metadata!", ADDRESS(INDEX($AI$2:$AI$1001,MATCH(ROWS($AG$2:AG907),$AG$2:$AG$1001,0),0), INDEX($AN$1004:$BO$1004,1,MATCH(COLUMNS($AN$1006:AT1006),$AN$1006:$BO$1006,0)))),"Fix")))</f>
        <v>0</v>
      </c>
      <c r="I907" s="4">
        <f>IF(OR(INDEX($AH$2:$AH$1001,MATCH(ROWS($AG$2:AG907),$AG$2:$AG$1001,0),1)&gt;=100000,INDEX($AN$1005:$BO$1005,1,MATCH(COLUMNS($AN$1006:AU1006),$AN$1006:$BO$1006,0))&gt;=100000), " ",IF(INDEX($AN$2:$BO$1001,MATCH(ROWS($AG$2:AG907),$AG$2:$AG$1001,0),MATCH(COLUMNS($AN$1006:AU1006),$AN$1006:$BO$1006,0)), HYPERLINK("#",""), HYPERLINK(CONCATENATE("#Metadata!", ADDRESS(INDEX($AI$2:$AI$1001,MATCH(ROWS($AG$2:AG907),$AG$2:$AG$1001,0),0), INDEX($AN$1004:$BO$1004,1,MATCH(COLUMNS($AN$1006:AU1006),$AN$1006:$BO$1006,0)))),"Fix")))</f>
        <v>0</v>
      </c>
      <c r="J907" s="4">
        <f>IF(OR(INDEX($AH$2:$AH$1001,MATCH(ROWS($AG$2:AG907),$AG$2:$AG$1001,0),1)&gt;=100000,INDEX($AN$1005:$BO$1005,1,MATCH(COLUMNS($AN$1006:AV1006),$AN$1006:$BO$1006,0))&gt;=100000), " ",IF(INDEX($AN$2:$BO$1001,MATCH(ROWS($AG$2:AG907),$AG$2:$AG$1001,0),MATCH(COLUMNS($AN$1006:AV1006),$AN$1006:$BO$1006,0)), HYPERLINK("#",""), HYPERLINK(CONCATENATE("#Metadata!", ADDRESS(INDEX($AI$2:$AI$1001,MATCH(ROWS($AG$2:AG907),$AG$2:$AG$1001,0),0), INDEX($AN$1004:$BO$1004,1,MATCH(COLUMNS($AN$1006:AV1006),$AN$1006:$BO$1006,0)))),"Fix")))</f>
        <v>0</v>
      </c>
      <c r="K907" s="4">
        <f>IF(OR(INDEX($AH$2:$AH$1001,MATCH(ROWS($AG$2:AG907),$AG$2:$AG$1001,0),1)&gt;=100000,INDEX($AN$1005:$BO$1005,1,MATCH(COLUMNS($AN$1006:AW1006),$AN$1006:$BO$1006,0))&gt;=100000), " ",IF(INDEX($AN$2:$BO$1001,MATCH(ROWS($AG$2:AG907),$AG$2:$AG$1001,0),MATCH(COLUMNS($AN$1006:AW1006),$AN$1006:$BO$1006,0)), HYPERLINK("#",""), HYPERLINK(CONCATENATE("#Metadata!", ADDRESS(INDEX($AI$2:$AI$1001,MATCH(ROWS($AG$2:AG907),$AG$2:$AG$1001,0),0), INDEX($AN$1004:$BO$1004,1,MATCH(COLUMNS($AN$1006:AW1006),$AN$1006:$BO$1006,0)))),"Fix")))</f>
        <v>0</v>
      </c>
      <c r="L907" s="4">
        <f>IF(OR(INDEX($AH$2:$AH$1001,MATCH(ROWS($AG$2:AG907),$AG$2:$AG$1001,0),1)&gt;=100000,INDEX($AN$1005:$BO$1005,1,MATCH(COLUMNS($AN$1006:AX1006),$AN$1006:$BO$1006,0))&gt;=100000), " ",IF(INDEX($AN$2:$BO$1001,MATCH(ROWS($AG$2:AG907),$AG$2:$AG$1001,0),MATCH(COLUMNS($AN$1006:AX1006),$AN$1006:$BO$1006,0)), HYPERLINK("#",""), HYPERLINK(CONCATENATE("#Metadata!", ADDRESS(INDEX($AI$2:$AI$1001,MATCH(ROWS($AG$2:AG907),$AG$2:$AG$1001,0),0), INDEX($AN$1004:$BO$1004,1,MATCH(COLUMNS($AN$1006:AX1006),$AN$1006:$BO$1006,0)))),"Fix")))</f>
        <v>0</v>
      </c>
      <c r="M907" s="4">
        <f>IF(OR(INDEX($AH$2:$AH$1001,MATCH(ROWS($AG$2:AG907),$AG$2:$AG$1001,0),1)&gt;=100000,INDEX($AN$1005:$BO$1005,1,MATCH(COLUMNS($AN$1006:AY1006),$AN$1006:$BO$1006,0))&gt;=100000), " ",IF(INDEX($AN$2:$BO$1001,MATCH(ROWS($AG$2:AG907),$AG$2:$AG$1001,0),MATCH(COLUMNS($AN$1006:AY1006),$AN$1006:$BO$1006,0)), HYPERLINK("#",""), HYPERLINK(CONCATENATE("#Metadata!", ADDRESS(INDEX($AI$2:$AI$1001,MATCH(ROWS($AG$2:AG907),$AG$2:$AG$1001,0),0), INDEX($AN$1004:$BO$1004,1,MATCH(COLUMNS($AN$1006:AY1006),$AN$1006:$BO$1006,0)))),"Fix")))</f>
        <v>0</v>
      </c>
      <c r="N907" s="4">
        <f>IF(OR(INDEX($AH$2:$AH$1001,MATCH(ROWS($AG$2:AG907),$AG$2:$AG$1001,0),1)&gt;=100000,INDEX($AN$1005:$BO$1005,1,MATCH(COLUMNS($AN$1006:AZ1006),$AN$1006:$BO$1006,0))&gt;=100000), " ",IF(INDEX($AN$2:$BO$1001,MATCH(ROWS($AG$2:AG907),$AG$2:$AG$1001,0),MATCH(COLUMNS($AN$1006:AZ1006),$AN$1006:$BO$1006,0)), HYPERLINK("#",""), HYPERLINK(CONCATENATE("#Metadata!", ADDRESS(INDEX($AI$2:$AI$1001,MATCH(ROWS($AG$2:AG907),$AG$2:$AG$1001,0),0), INDEX($AN$1004:$BO$1004,1,MATCH(COLUMNS($AN$1006:AZ1006),$AN$1006:$BO$1006,0)))),"Fix")))</f>
        <v>0</v>
      </c>
      <c r="O907" s="4">
        <f>IF(OR(INDEX($AH$2:$AH$1001,MATCH(ROWS($AG$2:AG907),$AG$2:$AG$1001,0),1)&gt;=100000,INDEX($AN$1005:$BO$1005,1,MATCH(COLUMNS($AN$1006:BA1006),$AN$1006:$BO$1006,0))&gt;=100000), " ",IF(INDEX($AN$2:$BO$1001,MATCH(ROWS($AG$2:AG907),$AG$2:$AG$1001,0),MATCH(COLUMNS($AN$1006:BA1006),$AN$1006:$BO$1006,0)), HYPERLINK("#",""), HYPERLINK(CONCATENATE("#Metadata!", ADDRESS(INDEX($AI$2:$AI$1001,MATCH(ROWS($AG$2:AG907),$AG$2:$AG$1001,0),0), INDEX($AN$1004:$BO$1004,1,MATCH(COLUMNS($AN$1006:BA1006),$AN$1006:$BO$1006,0)))),"Fix")))</f>
        <v>0</v>
      </c>
      <c r="P907" s="4">
        <f>IF(OR(INDEX($AH$2:$AH$1001,MATCH(ROWS($AG$2:AG907),$AG$2:$AG$1001,0),1)&gt;=100000,INDEX($AN$1005:$BO$1005,1,MATCH(COLUMNS($AN$1006:BB1006),$AN$1006:$BO$1006,0))&gt;=100000), " ",IF(INDEX($AN$2:$BO$1001,MATCH(ROWS($AG$2:AG907),$AG$2:$AG$1001,0),MATCH(COLUMNS($AN$1006:BB1006),$AN$1006:$BO$1006,0)), HYPERLINK("#",""), HYPERLINK(CONCATENATE("#Metadata!", ADDRESS(INDEX($AI$2:$AI$1001,MATCH(ROWS($AG$2:AG907),$AG$2:$AG$1001,0),0), INDEX($AN$1004:$BO$1004,1,MATCH(COLUMNS($AN$1006:BB1006),$AN$1006:$BO$1006,0)))),"Fix")))</f>
        <v>0</v>
      </c>
      <c r="Q907" s="4">
        <f>IF(OR(INDEX($AH$2:$AH$1001,MATCH(ROWS($AG$2:AG907),$AG$2:$AG$1001,0),1)&gt;=100000,INDEX($AN$1005:$BO$1005,1,MATCH(COLUMNS($AN$1006:BC1006),$AN$1006:$BO$1006,0))&gt;=100000), " ",IF(INDEX($AN$2:$BO$1001,MATCH(ROWS($AG$2:AG907),$AG$2:$AG$1001,0),MATCH(COLUMNS($AN$1006:BC1006),$AN$1006:$BO$1006,0)), HYPERLINK("#",""), HYPERLINK(CONCATENATE("#Metadata!", ADDRESS(INDEX($AI$2:$AI$1001,MATCH(ROWS($AG$2:AG907),$AG$2:$AG$1001,0),0), INDEX($AN$1004:$BO$1004,1,MATCH(COLUMNS($AN$1006:BC1006),$AN$1006:$BO$1006,0)))),"Fix")))</f>
        <v>0</v>
      </c>
      <c r="R907" s="4">
        <f>IF(OR(INDEX($AH$2:$AH$1001,MATCH(ROWS($AG$2:AG907),$AG$2:$AG$1001,0),1)&gt;=100000,INDEX($AN$1005:$BO$1005,1,MATCH(COLUMNS($AN$1006:BD1006),$AN$1006:$BO$1006,0))&gt;=100000), " ",IF(INDEX($AN$2:$BO$1001,MATCH(ROWS($AG$2:AG907),$AG$2:$AG$1001,0),MATCH(COLUMNS($AN$1006:BD1006),$AN$1006:$BO$1006,0)), HYPERLINK("#",""), HYPERLINK(CONCATENATE("#Metadata!", ADDRESS(INDEX($AI$2:$AI$1001,MATCH(ROWS($AG$2:AG907),$AG$2:$AG$1001,0),0), INDEX($AN$1004:$BO$1004,1,MATCH(COLUMNS($AN$1006:BD1006),$AN$1006:$BO$1006,0)))),"Fix")))</f>
        <v>0</v>
      </c>
      <c r="S907" s="4">
        <f>IF(OR(INDEX($AH$2:$AH$1001,MATCH(ROWS($AG$2:AG907),$AG$2:$AG$1001,0),1)&gt;=100000,INDEX($AN$1005:$BO$1005,1,MATCH(COLUMNS($AN$1006:BE1006),$AN$1006:$BO$1006,0))&gt;=100000), " ",IF(INDEX($AN$2:$BO$1001,MATCH(ROWS($AG$2:AG907),$AG$2:$AG$1001,0),MATCH(COLUMNS($AN$1006:BE1006),$AN$1006:$BO$1006,0)), HYPERLINK("#",""), HYPERLINK(CONCATENATE("#Metadata!", ADDRESS(INDEX($AI$2:$AI$1001,MATCH(ROWS($AG$2:AG907),$AG$2:$AG$1001,0),0), INDEX($AN$1004:$BO$1004,1,MATCH(COLUMNS($AN$1006:BE1006),$AN$1006:$BO$1006,0)))),"Fix")))</f>
        <v>0</v>
      </c>
      <c r="T907" s="4">
        <f>IF(OR(INDEX($AH$2:$AH$1001,MATCH(ROWS($AG$2:AG907),$AG$2:$AG$1001,0),1)&gt;=100000,INDEX($AN$1005:$BO$1005,1,MATCH(COLUMNS($AN$1006:BF1006),$AN$1006:$BO$1006,0))&gt;=100000), " ",IF(INDEX($AN$2:$BO$1001,MATCH(ROWS($AG$2:AG907),$AG$2:$AG$1001,0),MATCH(COLUMNS($AN$1006:BF1006),$AN$1006:$BO$1006,0)), HYPERLINK("#",""), HYPERLINK(CONCATENATE("#Metadata!", ADDRESS(INDEX($AI$2:$AI$1001,MATCH(ROWS($AG$2:AG907),$AG$2:$AG$1001,0),0), INDEX($AN$1004:$BO$1004,1,MATCH(COLUMNS($AN$1006:BF1006),$AN$1006:$BO$1006,0)))),"Fix")))</f>
        <v>0</v>
      </c>
      <c r="U907" s="4">
        <f>IF(OR(INDEX($AH$2:$AH$1001,MATCH(ROWS($AG$2:AG907),$AG$2:$AG$1001,0),1)&gt;=100000,INDEX($AN$1005:$BO$1005,1,MATCH(COLUMNS($AN$1006:BG1006),$AN$1006:$BO$1006,0))&gt;=100000), " ",IF(INDEX($AN$2:$BO$1001,MATCH(ROWS($AG$2:AG907),$AG$2:$AG$1001,0),MATCH(COLUMNS($AN$1006:BG1006),$AN$1006:$BO$1006,0)), HYPERLINK("#",""), HYPERLINK(CONCATENATE("#Metadata!", ADDRESS(INDEX($AI$2:$AI$1001,MATCH(ROWS($AG$2:AG907),$AG$2:$AG$1001,0),0), INDEX($AN$1004:$BO$1004,1,MATCH(COLUMNS($AN$1006:BG1006),$AN$1006:$BO$1006,0)))),"Fix")))</f>
        <v>0</v>
      </c>
      <c r="V907" s="4">
        <f>IF(OR(INDEX($AH$2:$AH$1001,MATCH(ROWS($AG$2:AG907),$AG$2:$AG$1001,0),1)&gt;=100000,INDEX($AN$1005:$BO$1005,1,MATCH(COLUMNS($AN$1006:BH1006),$AN$1006:$BO$1006,0))&gt;=100000), " ",IF(INDEX($AN$2:$BO$1001,MATCH(ROWS($AG$2:AG907),$AG$2:$AG$1001,0),MATCH(COLUMNS($AN$1006:BH1006),$AN$1006:$BO$1006,0)), HYPERLINK("#",""), HYPERLINK(CONCATENATE("#Metadata!", ADDRESS(INDEX($AI$2:$AI$1001,MATCH(ROWS($AG$2:AG907),$AG$2:$AG$1001,0),0), INDEX($AN$1004:$BO$1004,1,MATCH(COLUMNS($AN$1006:BH1006),$AN$1006:$BO$1006,0)))),"Fix")))</f>
        <v>0</v>
      </c>
      <c r="W907" s="4">
        <f>IF(OR(INDEX($AH$2:$AH$1001,MATCH(ROWS($AG$2:AG907),$AG$2:$AG$1001,0),1)&gt;=100000,INDEX($AN$1005:$BO$1005,1,MATCH(COLUMNS($AN$1006:BI1006),$AN$1006:$BO$1006,0))&gt;=100000), " ",IF(INDEX($AN$2:$BO$1001,MATCH(ROWS($AG$2:AG907),$AG$2:$AG$1001,0),MATCH(COLUMNS($AN$1006:BI1006),$AN$1006:$BO$1006,0)), HYPERLINK("#",""), HYPERLINK(CONCATENATE("#Metadata!", ADDRESS(INDEX($AI$2:$AI$1001,MATCH(ROWS($AG$2:AG907),$AG$2:$AG$1001,0),0), INDEX($AN$1004:$BO$1004,1,MATCH(COLUMNS($AN$1006:BI1006),$AN$1006:$BO$1006,0)))),"Fix")))</f>
        <v>0</v>
      </c>
      <c r="X907" s="4">
        <f>IF(OR(INDEX($AH$2:$AH$1001,MATCH(ROWS($AG$2:AG907),$AG$2:$AG$1001,0),1)&gt;=100000,INDEX($AN$1005:$BO$1005,1,MATCH(COLUMNS($AN$1006:BJ1006),$AN$1006:$BO$1006,0))&gt;=100000), " ",IF(INDEX($AN$2:$BO$1001,MATCH(ROWS($AG$2:AG907),$AG$2:$AG$1001,0),MATCH(COLUMNS($AN$1006:BJ1006),$AN$1006:$BO$1006,0)), HYPERLINK("#",""), HYPERLINK(CONCATENATE("#Metadata!", ADDRESS(INDEX($AI$2:$AI$1001,MATCH(ROWS($AG$2:AG907),$AG$2:$AG$1001,0),0), INDEX($AN$1004:$BO$1004,1,MATCH(COLUMNS($AN$1006:BJ1006),$AN$1006:$BO$1006,0)))),"Fix")))</f>
        <v>0</v>
      </c>
      <c r="Y907" s="4">
        <f>IF(OR(INDEX($AH$2:$AH$1001,MATCH(ROWS($AG$2:AG907),$AG$2:$AG$1001,0),1)&gt;=100000,INDEX($AN$1005:$BO$1005,1,MATCH(COLUMNS($AN$1006:BK1006),$AN$1006:$BO$1006,0))&gt;=100000), " ",IF(INDEX($AN$2:$BO$1001,MATCH(ROWS($AG$2:AG907),$AG$2:$AG$1001,0),MATCH(COLUMNS($AN$1006:BK1006),$AN$1006:$BO$1006,0)), HYPERLINK("#",""), HYPERLINK(CONCATENATE("#Metadata!", ADDRESS(INDEX($AI$2:$AI$1001,MATCH(ROWS($AG$2:AG907),$AG$2:$AG$1001,0),0), INDEX($AN$1004:$BO$1004,1,MATCH(COLUMNS($AN$1006:BK1006),$AN$1006:$BO$1006,0)))),"Fix")))</f>
        <v>0</v>
      </c>
      <c r="Z907" s="4">
        <f>IF(OR(INDEX($AH$2:$AH$1001,MATCH(ROWS($AG$2:AG907),$AG$2:$AG$1001,0),1)&gt;=100000,INDEX($AN$1005:$BO$1005,1,MATCH(COLUMNS($AN$1006:BL1006),$AN$1006:$BO$1006,0))&gt;=100000), " ",IF(INDEX($AN$2:$BO$1001,MATCH(ROWS($AG$2:AG907),$AG$2:$AG$1001,0),MATCH(COLUMNS($AN$1006:BL1006),$AN$1006:$BO$1006,0)), HYPERLINK("#",""), HYPERLINK(CONCATENATE("#Metadata!", ADDRESS(INDEX($AI$2:$AI$1001,MATCH(ROWS($AG$2:AG907),$AG$2:$AG$1001,0),0), INDEX($AN$1004:$BO$1004,1,MATCH(COLUMNS($AN$1006:BL1006),$AN$1006:$BO$1006,0)))),"Fix")))</f>
        <v>0</v>
      </c>
      <c r="AA907" s="4">
        <f>IF(OR(INDEX($AH$2:$AH$1001,MATCH(ROWS($AG$2:AG907),$AG$2:$AG$1001,0),1)&gt;=100000,INDEX($AN$1005:$BO$1005,1,MATCH(COLUMNS($AN$1006:BM1006),$AN$1006:$BO$1006,0))&gt;=100000), " ",IF(INDEX($AN$2:$BO$1001,MATCH(ROWS($AG$2:AG907),$AG$2:$AG$1001,0),MATCH(COLUMNS($AN$1006:BM1006),$AN$1006:$BO$1006,0)), HYPERLINK("#",""), HYPERLINK(CONCATENATE("#Metadata!", ADDRESS(INDEX($AI$2:$AI$1001,MATCH(ROWS($AG$2:AG907),$AG$2:$AG$1001,0),0), INDEX($AN$1004:$BO$1004,1,MATCH(COLUMNS($AN$1006:BM1006),$AN$1006:$BO$1006,0)))),"Fix")))</f>
        <v>0</v>
      </c>
      <c r="AB907" s="4">
        <f>IF(OR(INDEX($AH$2:$AH$1001,MATCH(ROWS($AG$2:AG907),$AG$2:$AG$1001,0),1)&gt;=100000,INDEX($AN$1005:$BO$1005,1,MATCH(COLUMNS($AN$1006:BN1006),$AN$1006:$BO$1006,0))&gt;=100000), " ",IF(INDEX($AN$2:$BO$1001,MATCH(ROWS($AG$2:AG907),$AG$2:$AG$1001,0),MATCH(COLUMNS($AN$1006:BN1006),$AN$1006:$BO$1006,0)), HYPERLINK("#",""), HYPERLINK(CONCATENATE("#Metadata!", ADDRESS(INDEX($AI$2:$AI$1001,MATCH(ROWS($AG$2:AG907),$AG$2:$AG$1001,0),0), INDEX($AN$1004:$BO$1004,1,MATCH(COLUMNS($AN$1006:BN1006),$AN$1006:$BO$1006,0)))),"Fix")))</f>
        <v>0</v>
      </c>
      <c r="AC907" s="4">
        <f>IF(OR(INDEX($AH$2:$AH$1001,MATCH(ROWS($AG$2:AG907),$AG$2:$AG$1001,0),1)&gt;=100000,INDEX($AN$1005:$BO$1005,1,MATCH(COLUMNS($AN$1006:BO1006),$AN$1006:$BO$1006,0))&gt;=100000), " ",IF(INDEX($AN$2:$BO$1001,MATCH(ROWS($AG$2:AG907),$AG$2:$AG$1001,0),MATCH(COLUMNS($AN$1006:BO1006),$AN$1006:$BO$1006,0)), HYPERLINK("#",""), HYPERLINK(CONCATENATE("#Metadata!", ADDRESS(INDEX($AI$2:$AI$1001,MATCH(ROWS($AG$2:AG907),$AG$2:$AG$1001,0),0), INDEX($AN$1004:$BO$1004,1,MATCH(COLUMNS($AN$1006:BO1006),$AN$1006:$BO$1006,0)))),"Fix")))</f>
        <v>0</v>
      </c>
      <c r="AG907">
        <v>0</v>
      </c>
      <c r="AH907">
        <v>0</v>
      </c>
      <c r="AI907">
        <v>0</v>
      </c>
      <c r="AJ907">
        <f>IF(AK907,TRUE,AND(AN907:BO907))</f>
        <v>0</v>
      </c>
      <c r="AK907">
        <f>COUNTBLANK(Metadata!B907:AC907)=COLUMNS(Metadata!B907:AC907)</f>
        <v>0</v>
      </c>
      <c r="AL907">
        <v>0</v>
      </c>
      <c r="AN907">
        <f>AND(IF(Metadata!B907="",FALSE,TRUE),COUNTIF(Metadata!B:B, Metadata!B907) = 1,NOT(ISERROR(SUMPRODUCT(SEARCH(MID(Metadata!B907,ROW(INDIRECT("1:"&amp;LEN(Metadata!B907))), 1),"0123456789abcdefghijklmnopqrstuvwxyzABCDEFGHIJKLMNOPQRSTUVWXYZ.")))))</f>
        <v>0</v>
      </c>
      <c r="AO907">
        <f>IF(Metadata!C907="",FALSE,TRUE)</f>
        <v>0</v>
      </c>
      <c r="AP907">
        <f>IF(Metadata!D907="",FALSE,TRUE)</f>
        <v>0</v>
      </c>
      <c r="AQ907">
        <f>OR(AND(IF(Metadata!E907="",FALSE,TRUE),OR(exact(Metadata!E907,"not collected"),exact(Metadata!E907,"not provided"),exact(Metadata!E907,"restricted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R907">
        <f>IF(Metadata!F907="",FALSE,TRUE)</f>
        <v>0</v>
      </c>
      <c r="AS907">
        <f>OR(AND(IF(Metadata!G907="",FALSE,TRUE),OR(exact(Metadata!G907,"not collected"),exact(Metadata!G907,"not provided"))),AND(IF(Metadata!G907="",FALSE,TRUE),OR(exact(Metadata!G907,"TRUE"),exact(Metadata!G907,"FALSE"))))</f>
        <v>0</v>
      </c>
      <c r="AT907">
        <f>OR(AND(IF(Metadata!H907="",FALSE,TRUE),OR(exact(Metadata!H907,"not collected"),exact(Metadata!H907,"not provided"),exact(Metadata!H907,"restricted access"))),AND(IF(Metadata!H907="",FALSE,ISNUMBER(VALUE(Metadata!H907))),Metadata!H907&gt;=-413.0))</f>
        <v>0</v>
      </c>
      <c r="AU907">
        <f>AND(IF(Metadata!I907="",FALSE,TRUE),exact(Metadata!I907,"meters"))</f>
        <v>0</v>
      </c>
      <c r="AV907">
        <f>AND(IF(Metadata!J907="",FALSE,TRUE),OR(exact(Metadata!J907,"Host-associated"),exact(Metadata!J907,"Free-living")))</f>
        <v>0</v>
      </c>
      <c r="AW907">
        <f>AND(IF(Metadata!K907="",FALSE,TRUE),OR(exact(Metadata!K907,"Animal"),exact(Metadata!K907,"Fungus"),exact(Metadata!K907,"Plant"),exact(Metadata!K907,"Saline"),exact(Metadata!K907,"Non-saline")))</f>
        <v>0</v>
      </c>
      <c r="AX907">
        <f>AND(IF(Metadata!L907="",FALSE,TRUE),OR(exact(Metadata!L907,"Plant secretion"),exact(Metadata!L907,"Plant rhizosphere"),exact(Metadata!L907,"Plant surface"),exact(Metadata!L907,"Plant corpus"),exact(Metadata!L907,"Fungus surface"),exact(Metadata!L907,"Fungus corpus"),exact(Metadata!L907,"Animal surface"),exact(Metadata!L907,"Animal proximal gut"),exact(Metadata!L907,"Animal corpus"),exact(Metadata!L907,"Animal distal gut"),exact(Metadata!L907,"Animal secretion"),exact(Metadata!L907,"Sub-surface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Y907">
        <f>IF(Metadata!M907="",FALSE,TRUE)</f>
        <v>0</v>
      </c>
      <c r="AZ907">
        <f>IF(Metadata!N907="",FALSE,TRUE)</f>
        <v>0</v>
      </c>
      <c r="BA907">
        <f>IF(Metadata!O907="",FALSE,TRUE)</f>
        <v>0</v>
      </c>
      <c r="BB907">
        <f>OR(AND(IF(Metadata!P907="",FALSE,TRUE),OR(exact(Metadata!P907,"not collected"),exact(Metadata!P907,"not provided"),exact(Metadata!P907,"restricted access"))),AND(IF(Metadata!P907="",FALSE,TRUE),OR(exact(Metadata!P907,"air"),exact(Metadata!P907,"built environment"),exact(Metadata!P907,"host-associated"),exact(Metadata!P907,"human-associated"),exact(Metadata!P907,"human-skin"),exact(Metadata!P907,"human-oral"),exact(Metadata!P907,"human-gut"),exact(Metadata!P907,"human-vaginal"),exact(Metadata!P907,"microbial mat/biofilm"),exact(Metadata!P907,"misc environment"),exact(Metadata!P907,"plant-associated"),exact(Metadata!P907,"sediment"),exact(Metadata!P907,"soil"),exact(Metadata!P907,"wastewater/sludge"),exact(Metadata!P907,"water"))))</f>
        <v>0</v>
      </c>
      <c r="BC907">
        <f>IF(Metadata!Q907="",FALSE,TRUE)</f>
        <v>0</v>
      </c>
      <c r="BD907">
        <f>IF(Metadata!R907="",FALSE,TRUE)</f>
        <v>0</v>
      </c>
      <c r="BE907">
        <f>OR(AND(IF(Metadata!S907="",FALSE,TRUE),OR(exact(Metadata!S907,"not collected"),exact(Metadata!S907,"not provided"),exact(Metadata!S907,"restricted access"))),AND(IF(Metadata!S907="",FALSE,ISNUMBER(VALUE(Metadata!S907))),Metadata!S907&gt;=-90.00,Metadata!S907&lt;=90.00))</f>
        <v>0</v>
      </c>
      <c r="BF907">
        <f>AND(IF(Metadata!T907="",FALSE,TRUE),exact(Metadata!T907,"Decimal degrees"))</f>
        <v>0</v>
      </c>
      <c r="BG907">
        <f>OR(AND(IF(Metadata!U907="",FALSE,TRUE),OR(exact(Metadata!U907,"not collected"),exact(Metadata!U907,"not provided"),exact(Metadata!U907,"restricted access"))),AND(IF(Metadata!U907="",FALSE,ISNUMBER(VALUE(Metadata!U907))),Metadata!U907&gt;=-180.00,Metadata!U907&lt;=180.00))</f>
        <v>0</v>
      </c>
      <c r="BH907">
        <f>AND(IF(Metadata!V907="",FALSE,TRUE),exact(Metadata!V907,"Decimal degrees"))</f>
        <v>0</v>
      </c>
      <c r="BI907">
        <f>IF(Metadata!W907="",FALSE,TRUE)</f>
        <v>0</v>
      </c>
      <c r="BJ907">
        <f>OR(AND(IF(Metadata!X907="",FALSE,TRUE),OR(exact(Metadata!X907,"not collected"),exact(Metadata!X907,"not provided"),exact(Metadata!X907,"restricted access"))),AND(IF(Metadata!X907="",FALSE,TRUE),OR(exact(Metadata!X907,"TRUE"),exact(Metadata!X907,"FALSE"))))</f>
        <v>0</v>
      </c>
      <c r="BK907">
        <f>AND(IF(Metadata!Y907="",FALSE,TRUE),exact(Metadata!Y907,"other"))</f>
        <v>0</v>
      </c>
      <c r="BL907">
        <f>IF(Metadata!Z907="",FALSE,TRUE)</f>
        <v>0</v>
      </c>
      <c r="BM907">
        <f>OR(AND(IF(Metadata!AA907="",FALSE,TRUE),OR(exact(Metadata!AA907,"not collected"),exact(Metadata!AA907,"not provided"))),AND(IF(Metadata!AA907="",FALSE,IF(ISERROR(INT(Metadata!AA907)),FALSE,INT(Metadata!AA907)=Metadata!AA907)),Metadata!AA907&gt;0))</f>
        <v>0</v>
      </c>
      <c r="BN907">
        <f>AND(IF(Metadata!AB907="",FALSE,TRUE),exact(Metadata!AB907,"Not applicable"))</f>
        <v>0</v>
      </c>
      <c r="BO907">
        <f>IF(Metadata!AC907="",FALSE,TRUE)</f>
        <v>0</v>
      </c>
    </row>
    <row r="908" spans="1:67">
      <c r="A908" s="5">
        <f>IF(B908=" "," ",HYPERLINK(CONCATENATE("#metadata!",ADDRESS(INDEX($AI$2:$AI$1001,MATCH(ROWS($AG$2:AG908),$AG$2:$AG$1001,0),0),1)),INDEX($AL$2:$AL$1001,MATCH(ROWS($AG$2:AG908),$AG$2:$AG$1001,0),0)))</f>
        <v>0</v>
      </c>
      <c r="B908" s="4">
        <f>IF(OR(INDEX($AH$2:$AH$1001,MATCH(ROWS($AG$2:AG908),$AG$2:$AG$1001,0),1)&gt;=100000,INDEX($AN$1005:$BO$1005,1,MATCH(COLUMNS($AN$1006:AN1006),$AN$1006:$BO$1006,0))&gt;=100000), " ",IF(INDEX($AN$2:$BO$1001,MATCH(ROWS($AG$2:AG908),$AG$2:$AG$1001,0),MATCH(COLUMNS($AN$1006:AN1006),$AN$1006:$BO$1006,0)), HYPERLINK("#",""), HYPERLINK(CONCATENATE("#Metadata!", ADDRESS(INDEX($AI$2:$AI$1001,MATCH(ROWS($AG$2:AG908),$AG$2:$AG$1001,0),0), INDEX($AN$1004:$BO$1004,1,MATCH(COLUMNS($AN$1006:AN1006),$AN$1006:$BO$1006,0)))),"Fix")))</f>
        <v>0</v>
      </c>
      <c r="C908" s="4">
        <f>IF(OR(INDEX($AH$2:$AH$1001,MATCH(ROWS($AG$2:AG908),$AG$2:$AG$1001,0),1)&gt;=100000,INDEX($AN$1005:$BO$1005,1,MATCH(COLUMNS($AN$1006:AO1006),$AN$1006:$BO$1006,0))&gt;=100000), " ",IF(INDEX($AN$2:$BO$1001,MATCH(ROWS($AG$2:AG908),$AG$2:$AG$1001,0),MATCH(COLUMNS($AN$1006:AO1006),$AN$1006:$BO$1006,0)), HYPERLINK("#",""), HYPERLINK(CONCATENATE("#Metadata!", ADDRESS(INDEX($AI$2:$AI$1001,MATCH(ROWS($AG$2:AG908),$AG$2:$AG$1001,0),0), INDEX($AN$1004:$BO$1004,1,MATCH(COLUMNS($AN$1006:AO1006),$AN$1006:$BO$1006,0)))),"Fix")))</f>
        <v>0</v>
      </c>
      <c r="D908" s="4">
        <f>IF(OR(INDEX($AH$2:$AH$1001,MATCH(ROWS($AG$2:AG908),$AG$2:$AG$1001,0),1)&gt;=100000,INDEX($AN$1005:$BO$1005,1,MATCH(COLUMNS($AN$1006:AP1006),$AN$1006:$BO$1006,0))&gt;=100000), " ",IF(INDEX($AN$2:$BO$1001,MATCH(ROWS($AG$2:AG908),$AG$2:$AG$1001,0),MATCH(COLUMNS($AN$1006:AP1006),$AN$1006:$BO$1006,0)), HYPERLINK("#",""), HYPERLINK(CONCATENATE("#Metadata!", ADDRESS(INDEX($AI$2:$AI$1001,MATCH(ROWS($AG$2:AG908),$AG$2:$AG$1001,0),0), INDEX($AN$1004:$BO$1004,1,MATCH(COLUMNS($AN$1006:AP1006),$AN$1006:$BO$1006,0)))),"Fix")))</f>
        <v>0</v>
      </c>
      <c r="E908" s="4">
        <f>IF(OR(INDEX($AH$2:$AH$1001,MATCH(ROWS($AG$2:AG908),$AG$2:$AG$1001,0),1)&gt;=100000,INDEX($AN$1005:$BO$1005,1,MATCH(COLUMNS($AN$1006:AQ1006),$AN$1006:$BO$1006,0))&gt;=100000), " ",IF(INDEX($AN$2:$BO$1001,MATCH(ROWS($AG$2:AG908),$AG$2:$AG$1001,0),MATCH(COLUMNS($AN$1006:AQ1006),$AN$1006:$BO$1006,0)), HYPERLINK("#",""), HYPERLINK(CONCATENATE("#Metadata!", ADDRESS(INDEX($AI$2:$AI$1001,MATCH(ROWS($AG$2:AG908),$AG$2:$AG$1001,0),0), INDEX($AN$1004:$BO$1004,1,MATCH(COLUMNS($AN$1006:AQ1006),$AN$1006:$BO$1006,0)))),"Fix")))</f>
        <v>0</v>
      </c>
      <c r="F908" s="4">
        <f>IF(OR(INDEX($AH$2:$AH$1001,MATCH(ROWS($AG$2:AG908),$AG$2:$AG$1001,0),1)&gt;=100000,INDEX($AN$1005:$BO$1005,1,MATCH(COLUMNS($AN$1006:AR1006),$AN$1006:$BO$1006,0))&gt;=100000), " ",IF(INDEX($AN$2:$BO$1001,MATCH(ROWS($AG$2:AG908),$AG$2:$AG$1001,0),MATCH(COLUMNS($AN$1006:AR1006),$AN$1006:$BO$1006,0)), HYPERLINK("#",""), HYPERLINK(CONCATENATE("#Metadata!", ADDRESS(INDEX($AI$2:$AI$1001,MATCH(ROWS($AG$2:AG908),$AG$2:$AG$1001,0),0), INDEX($AN$1004:$BO$1004,1,MATCH(COLUMNS($AN$1006:AR1006),$AN$1006:$BO$1006,0)))),"Fix")))</f>
        <v>0</v>
      </c>
      <c r="G908" s="4">
        <f>IF(OR(INDEX($AH$2:$AH$1001,MATCH(ROWS($AG$2:AG908),$AG$2:$AG$1001,0),1)&gt;=100000,INDEX($AN$1005:$BO$1005,1,MATCH(COLUMNS($AN$1006:AS1006),$AN$1006:$BO$1006,0))&gt;=100000), " ",IF(INDEX($AN$2:$BO$1001,MATCH(ROWS($AG$2:AG908),$AG$2:$AG$1001,0),MATCH(COLUMNS($AN$1006:AS1006),$AN$1006:$BO$1006,0)), HYPERLINK("#",""), HYPERLINK(CONCATENATE("#Metadata!", ADDRESS(INDEX($AI$2:$AI$1001,MATCH(ROWS($AG$2:AG908),$AG$2:$AG$1001,0),0), INDEX($AN$1004:$BO$1004,1,MATCH(COLUMNS($AN$1006:AS1006),$AN$1006:$BO$1006,0)))),"Fix")))</f>
        <v>0</v>
      </c>
      <c r="H908" s="4">
        <f>IF(OR(INDEX($AH$2:$AH$1001,MATCH(ROWS($AG$2:AG908),$AG$2:$AG$1001,0),1)&gt;=100000,INDEX($AN$1005:$BO$1005,1,MATCH(COLUMNS($AN$1006:AT1006),$AN$1006:$BO$1006,0))&gt;=100000), " ",IF(INDEX($AN$2:$BO$1001,MATCH(ROWS($AG$2:AG908),$AG$2:$AG$1001,0),MATCH(COLUMNS($AN$1006:AT1006),$AN$1006:$BO$1006,0)), HYPERLINK("#",""), HYPERLINK(CONCATENATE("#Metadata!", ADDRESS(INDEX($AI$2:$AI$1001,MATCH(ROWS($AG$2:AG908),$AG$2:$AG$1001,0),0), INDEX($AN$1004:$BO$1004,1,MATCH(COLUMNS($AN$1006:AT1006),$AN$1006:$BO$1006,0)))),"Fix")))</f>
        <v>0</v>
      </c>
      <c r="I908" s="4">
        <f>IF(OR(INDEX($AH$2:$AH$1001,MATCH(ROWS($AG$2:AG908),$AG$2:$AG$1001,0),1)&gt;=100000,INDEX($AN$1005:$BO$1005,1,MATCH(COLUMNS($AN$1006:AU1006),$AN$1006:$BO$1006,0))&gt;=100000), " ",IF(INDEX($AN$2:$BO$1001,MATCH(ROWS($AG$2:AG908),$AG$2:$AG$1001,0),MATCH(COLUMNS($AN$1006:AU1006),$AN$1006:$BO$1006,0)), HYPERLINK("#",""), HYPERLINK(CONCATENATE("#Metadata!", ADDRESS(INDEX($AI$2:$AI$1001,MATCH(ROWS($AG$2:AG908),$AG$2:$AG$1001,0),0), INDEX($AN$1004:$BO$1004,1,MATCH(COLUMNS($AN$1006:AU1006),$AN$1006:$BO$1006,0)))),"Fix")))</f>
        <v>0</v>
      </c>
      <c r="J908" s="4">
        <f>IF(OR(INDEX($AH$2:$AH$1001,MATCH(ROWS($AG$2:AG908),$AG$2:$AG$1001,0),1)&gt;=100000,INDEX($AN$1005:$BO$1005,1,MATCH(COLUMNS($AN$1006:AV1006),$AN$1006:$BO$1006,0))&gt;=100000), " ",IF(INDEX($AN$2:$BO$1001,MATCH(ROWS($AG$2:AG908),$AG$2:$AG$1001,0),MATCH(COLUMNS($AN$1006:AV1006),$AN$1006:$BO$1006,0)), HYPERLINK("#",""), HYPERLINK(CONCATENATE("#Metadata!", ADDRESS(INDEX($AI$2:$AI$1001,MATCH(ROWS($AG$2:AG908),$AG$2:$AG$1001,0),0), INDEX($AN$1004:$BO$1004,1,MATCH(COLUMNS($AN$1006:AV1006),$AN$1006:$BO$1006,0)))),"Fix")))</f>
        <v>0</v>
      </c>
      <c r="K908" s="4">
        <f>IF(OR(INDEX($AH$2:$AH$1001,MATCH(ROWS($AG$2:AG908),$AG$2:$AG$1001,0),1)&gt;=100000,INDEX($AN$1005:$BO$1005,1,MATCH(COLUMNS($AN$1006:AW1006),$AN$1006:$BO$1006,0))&gt;=100000), " ",IF(INDEX($AN$2:$BO$1001,MATCH(ROWS($AG$2:AG908),$AG$2:$AG$1001,0),MATCH(COLUMNS($AN$1006:AW1006),$AN$1006:$BO$1006,0)), HYPERLINK("#",""), HYPERLINK(CONCATENATE("#Metadata!", ADDRESS(INDEX($AI$2:$AI$1001,MATCH(ROWS($AG$2:AG908),$AG$2:$AG$1001,0),0), INDEX($AN$1004:$BO$1004,1,MATCH(COLUMNS($AN$1006:AW1006),$AN$1006:$BO$1006,0)))),"Fix")))</f>
        <v>0</v>
      </c>
      <c r="L908" s="4">
        <f>IF(OR(INDEX($AH$2:$AH$1001,MATCH(ROWS($AG$2:AG908),$AG$2:$AG$1001,0),1)&gt;=100000,INDEX($AN$1005:$BO$1005,1,MATCH(COLUMNS($AN$1006:AX1006),$AN$1006:$BO$1006,0))&gt;=100000), " ",IF(INDEX($AN$2:$BO$1001,MATCH(ROWS($AG$2:AG908),$AG$2:$AG$1001,0),MATCH(COLUMNS($AN$1006:AX1006),$AN$1006:$BO$1006,0)), HYPERLINK("#",""), HYPERLINK(CONCATENATE("#Metadata!", ADDRESS(INDEX($AI$2:$AI$1001,MATCH(ROWS($AG$2:AG908),$AG$2:$AG$1001,0),0), INDEX($AN$1004:$BO$1004,1,MATCH(COLUMNS($AN$1006:AX1006),$AN$1006:$BO$1006,0)))),"Fix")))</f>
        <v>0</v>
      </c>
      <c r="M908" s="4">
        <f>IF(OR(INDEX($AH$2:$AH$1001,MATCH(ROWS($AG$2:AG908),$AG$2:$AG$1001,0),1)&gt;=100000,INDEX($AN$1005:$BO$1005,1,MATCH(COLUMNS($AN$1006:AY1006),$AN$1006:$BO$1006,0))&gt;=100000), " ",IF(INDEX($AN$2:$BO$1001,MATCH(ROWS($AG$2:AG908),$AG$2:$AG$1001,0),MATCH(COLUMNS($AN$1006:AY1006),$AN$1006:$BO$1006,0)), HYPERLINK("#",""), HYPERLINK(CONCATENATE("#Metadata!", ADDRESS(INDEX($AI$2:$AI$1001,MATCH(ROWS($AG$2:AG908),$AG$2:$AG$1001,0),0), INDEX($AN$1004:$BO$1004,1,MATCH(COLUMNS($AN$1006:AY1006),$AN$1006:$BO$1006,0)))),"Fix")))</f>
        <v>0</v>
      </c>
      <c r="N908" s="4">
        <f>IF(OR(INDEX($AH$2:$AH$1001,MATCH(ROWS($AG$2:AG908),$AG$2:$AG$1001,0),1)&gt;=100000,INDEX($AN$1005:$BO$1005,1,MATCH(COLUMNS($AN$1006:AZ1006),$AN$1006:$BO$1006,0))&gt;=100000), " ",IF(INDEX($AN$2:$BO$1001,MATCH(ROWS($AG$2:AG908),$AG$2:$AG$1001,0),MATCH(COLUMNS($AN$1006:AZ1006),$AN$1006:$BO$1006,0)), HYPERLINK("#",""), HYPERLINK(CONCATENATE("#Metadata!", ADDRESS(INDEX($AI$2:$AI$1001,MATCH(ROWS($AG$2:AG908),$AG$2:$AG$1001,0),0), INDEX($AN$1004:$BO$1004,1,MATCH(COLUMNS($AN$1006:AZ1006),$AN$1006:$BO$1006,0)))),"Fix")))</f>
        <v>0</v>
      </c>
      <c r="O908" s="4">
        <f>IF(OR(INDEX($AH$2:$AH$1001,MATCH(ROWS($AG$2:AG908),$AG$2:$AG$1001,0),1)&gt;=100000,INDEX($AN$1005:$BO$1005,1,MATCH(COLUMNS($AN$1006:BA1006),$AN$1006:$BO$1006,0))&gt;=100000), " ",IF(INDEX($AN$2:$BO$1001,MATCH(ROWS($AG$2:AG908),$AG$2:$AG$1001,0),MATCH(COLUMNS($AN$1006:BA1006),$AN$1006:$BO$1006,0)), HYPERLINK("#",""), HYPERLINK(CONCATENATE("#Metadata!", ADDRESS(INDEX($AI$2:$AI$1001,MATCH(ROWS($AG$2:AG908),$AG$2:$AG$1001,0),0), INDEX($AN$1004:$BO$1004,1,MATCH(COLUMNS($AN$1006:BA1006),$AN$1006:$BO$1006,0)))),"Fix")))</f>
        <v>0</v>
      </c>
      <c r="P908" s="4">
        <f>IF(OR(INDEX($AH$2:$AH$1001,MATCH(ROWS($AG$2:AG908),$AG$2:$AG$1001,0),1)&gt;=100000,INDEX($AN$1005:$BO$1005,1,MATCH(COLUMNS($AN$1006:BB1006),$AN$1006:$BO$1006,0))&gt;=100000), " ",IF(INDEX($AN$2:$BO$1001,MATCH(ROWS($AG$2:AG908),$AG$2:$AG$1001,0),MATCH(COLUMNS($AN$1006:BB1006),$AN$1006:$BO$1006,0)), HYPERLINK("#",""), HYPERLINK(CONCATENATE("#Metadata!", ADDRESS(INDEX($AI$2:$AI$1001,MATCH(ROWS($AG$2:AG908),$AG$2:$AG$1001,0),0), INDEX($AN$1004:$BO$1004,1,MATCH(COLUMNS($AN$1006:BB1006),$AN$1006:$BO$1006,0)))),"Fix")))</f>
        <v>0</v>
      </c>
      <c r="Q908" s="4">
        <f>IF(OR(INDEX($AH$2:$AH$1001,MATCH(ROWS($AG$2:AG908),$AG$2:$AG$1001,0),1)&gt;=100000,INDEX($AN$1005:$BO$1005,1,MATCH(COLUMNS($AN$1006:BC1006),$AN$1006:$BO$1006,0))&gt;=100000), " ",IF(INDEX($AN$2:$BO$1001,MATCH(ROWS($AG$2:AG908),$AG$2:$AG$1001,0),MATCH(COLUMNS($AN$1006:BC1006),$AN$1006:$BO$1006,0)), HYPERLINK("#",""), HYPERLINK(CONCATENATE("#Metadata!", ADDRESS(INDEX($AI$2:$AI$1001,MATCH(ROWS($AG$2:AG908),$AG$2:$AG$1001,0),0), INDEX($AN$1004:$BO$1004,1,MATCH(COLUMNS($AN$1006:BC1006),$AN$1006:$BO$1006,0)))),"Fix")))</f>
        <v>0</v>
      </c>
      <c r="R908" s="4">
        <f>IF(OR(INDEX($AH$2:$AH$1001,MATCH(ROWS($AG$2:AG908),$AG$2:$AG$1001,0),1)&gt;=100000,INDEX($AN$1005:$BO$1005,1,MATCH(COLUMNS($AN$1006:BD1006),$AN$1006:$BO$1006,0))&gt;=100000), " ",IF(INDEX($AN$2:$BO$1001,MATCH(ROWS($AG$2:AG908),$AG$2:$AG$1001,0),MATCH(COLUMNS($AN$1006:BD1006),$AN$1006:$BO$1006,0)), HYPERLINK("#",""), HYPERLINK(CONCATENATE("#Metadata!", ADDRESS(INDEX($AI$2:$AI$1001,MATCH(ROWS($AG$2:AG908),$AG$2:$AG$1001,0),0), INDEX($AN$1004:$BO$1004,1,MATCH(COLUMNS($AN$1006:BD1006),$AN$1006:$BO$1006,0)))),"Fix")))</f>
        <v>0</v>
      </c>
      <c r="S908" s="4">
        <f>IF(OR(INDEX($AH$2:$AH$1001,MATCH(ROWS($AG$2:AG908),$AG$2:$AG$1001,0),1)&gt;=100000,INDEX($AN$1005:$BO$1005,1,MATCH(COLUMNS($AN$1006:BE1006),$AN$1006:$BO$1006,0))&gt;=100000), " ",IF(INDEX($AN$2:$BO$1001,MATCH(ROWS($AG$2:AG908),$AG$2:$AG$1001,0),MATCH(COLUMNS($AN$1006:BE1006),$AN$1006:$BO$1006,0)), HYPERLINK("#",""), HYPERLINK(CONCATENATE("#Metadata!", ADDRESS(INDEX($AI$2:$AI$1001,MATCH(ROWS($AG$2:AG908),$AG$2:$AG$1001,0),0), INDEX($AN$1004:$BO$1004,1,MATCH(COLUMNS($AN$1006:BE1006),$AN$1006:$BO$1006,0)))),"Fix")))</f>
        <v>0</v>
      </c>
      <c r="T908" s="4">
        <f>IF(OR(INDEX($AH$2:$AH$1001,MATCH(ROWS($AG$2:AG908),$AG$2:$AG$1001,0),1)&gt;=100000,INDEX($AN$1005:$BO$1005,1,MATCH(COLUMNS($AN$1006:BF1006),$AN$1006:$BO$1006,0))&gt;=100000), " ",IF(INDEX($AN$2:$BO$1001,MATCH(ROWS($AG$2:AG908),$AG$2:$AG$1001,0),MATCH(COLUMNS($AN$1006:BF1006),$AN$1006:$BO$1006,0)), HYPERLINK("#",""), HYPERLINK(CONCATENATE("#Metadata!", ADDRESS(INDEX($AI$2:$AI$1001,MATCH(ROWS($AG$2:AG908),$AG$2:$AG$1001,0),0), INDEX($AN$1004:$BO$1004,1,MATCH(COLUMNS($AN$1006:BF1006),$AN$1006:$BO$1006,0)))),"Fix")))</f>
        <v>0</v>
      </c>
      <c r="U908" s="4">
        <f>IF(OR(INDEX($AH$2:$AH$1001,MATCH(ROWS($AG$2:AG908),$AG$2:$AG$1001,0),1)&gt;=100000,INDEX($AN$1005:$BO$1005,1,MATCH(COLUMNS($AN$1006:BG1006),$AN$1006:$BO$1006,0))&gt;=100000), " ",IF(INDEX($AN$2:$BO$1001,MATCH(ROWS($AG$2:AG908),$AG$2:$AG$1001,0),MATCH(COLUMNS($AN$1006:BG1006),$AN$1006:$BO$1006,0)), HYPERLINK("#",""), HYPERLINK(CONCATENATE("#Metadata!", ADDRESS(INDEX($AI$2:$AI$1001,MATCH(ROWS($AG$2:AG908),$AG$2:$AG$1001,0),0), INDEX($AN$1004:$BO$1004,1,MATCH(COLUMNS($AN$1006:BG1006),$AN$1006:$BO$1006,0)))),"Fix")))</f>
        <v>0</v>
      </c>
      <c r="V908" s="4">
        <f>IF(OR(INDEX($AH$2:$AH$1001,MATCH(ROWS($AG$2:AG908),$AG$2:$AG$1001,0),1)&gt;=100000,INDEX($AN$1005:$BO$1005,1,MATCH(COLUMNS($AN$1006:BH1006),$AN$1006:$BO$1006,0))&gt;=100000), " ",IF(INDEX($AN$2:$BO$1001,MATCH(ROWS($AG$2:AG908),$AG$2:$AG$1001,0),MATCH(COLUMNS($AN$1006:BH1006),$AN$1006:$BO$1006,0)), HYPERLINK("#",""), HYPERLINK(CONCATENATE("#Metadata!", ADDRESS(INDEX($AI$2:$AI$1001,MATCH(ROWS($AG$2:AG908),$AG$2:$AG$1001,0),0), INDEX($AN$1004:$BO$1004,1,MATCH(COLUMNS($AN$1006:BH1006),$AN$1006:$BO$1006,0)))),"Fix")))</f>
        <v>0</v>
      </c>
      <c r="W908" s="4">
        <f>IF(OR(INDEX($AH$2:$AH$1001,MATCH(ROWS($AG$2:AG908),$AG$2:$AG$1001,0),1)&gt;=100000,INDEX($AN$1005:$BO$1005,1,MATCH(COLUMNS($AN$1006:BI1006),$AN$1006:$BO$1006,0))&gt;=100000), " ",IF(INDEX($AN$2:$BO$1001,MATCH(ROWS($AG$2:AG908),$AG$2:$AG$1001,0),MATCH(COLUMNS($AN$1006:BI1006),$AN$1006:$BO$1006,0)), HYPERLINK("#",""), HYPERLINK(CONCATENATE("#Metadata!", ADDRESS(INDEX($AI$2:$AI$1001,MATCH(ROWS($AG$2:AG908),$AG$2:$AG$1001,0),0), INDEX($AN$1004:$BO$1004,1,MATCH(COLUMNS($AN$1006:BI1006),$AN$1006:$BO$1006,0)))),"Fix")))</f>
        <v>0</v>
      </c>
      <c r="X908" s="4">
        <f>IF(OR(INDEX($AH$2:$AH$1001,MATCH(ROWS($AG$2:AG908),$AG$2:$AG$1001,0),1)&gt;=100000,INDEX($AN$1005:$BO$1005,1,MATCH(COLUMNS($AN$1006:BJ1006),$AN$1006:$BO$1006,0))&gt;=100000), " ",IF(INDEX($AN$2:$BO$1001,MATCH(ROWS($AG$2:AG908),$AG$2:$AG$1001,0),MATCH(COLUMNS($AN$1006:BJ1006),$AN$1006:$BO$1006,0)), HYPERLINK("#",""), HYPERLINK(CONCATENATE("#Metadata!", ADDRESS(INDEX($AI$2:$AI$1001,MATCH(ROWS($AG$2:AG908),$AG$2:$AG$1001,0),0), INDEX($AN$1004:$BO$1004,1,MATCH(COLUMNS($AN$1006:BJ1006),$AN$1006:$BO$1006,0)))),"Fix")))</f>
        <v>0</v>
      </c>
      <c r="Y908" s="4">
        <f>IF(OR(INDEX($AH$2:$AH$1001,MATCH(ROWS($AG$2:AG908),$AG$2:$AG$1001,0),1)&gt;=100000,INDEX($AN$1005:$BO$1005,1,MATCH(COLUMNS($AN$1006:BK1006),$AN$1006:$BO$1006,0))&gt;=100000), " ",IF(INDEX($AN$2:$BO$1001,MATCH(ROWS($AG$2:AG908),$AG$2:$AG$1001,0),MATCH(COLUMNS($AN$1006:BK1006),$AN$1006:$BO$1006,0)), HYPERLINK("#",""), HYPERLINK(CONCATENATE("#Metadata!", ADDRESS(INDEX($AI$2:$AI$1001,MATCH(ROWS($AG$2:AG908),$AG$2:$AG$1001,0),0), INDEX($AN$1004:$BO$1004,1,MATCH(COLUMNS($AN$1006:BK1006),$AN$1006:$BO$1006,0)))),"Fix")))</f>
        <v>0</v>
      </c>
      <c r="Z908" s="4">
        <f>IF(OR(INDEX($AH$2:$AH$1001,MATCH(ROWS($AG$2:AG908),$AG$2:$AG$1001,0),1)&gt;=100000,INDEX($AN$1005:$BO$1005,1,MATCH(COLUMNS($AN$1006:BL1006),$AN$1006:$BO$1006,0))&gt;=100000), " ",IF(INDEX($AN$2:$BO$1001,MATCH(ROWS($AG$2:AG908),$AG$2:$AG$1001,0),MATCH(COLUMNS($AN$1006:BL1006),$AN$1006:$BO$1006,0)), HYPERLINK("#",""), HYPERLINK(CONCATENATE("#Metadata!", ADDRESS(INDEX($AI$2:$AI$1001,MATCH(ROWS($AG$2:AG908),$AG$2:$AG$1001,0),0), INDEX($AN$1004:$BO$1004,1,MATCH(COLUMNS($AN$1006:BL1006),$AN$1006:$BO$1006,0)))),"Fix")))</f>
        <v>0</v>
      </c>
      <c r="AA908" s="4">
        <f>IF(OR(INDEX($AH$2:$AH$1001,MATCH(ROWS($AG$2:AG908),$AG$2:$AG$1001,0),1)&gt;=100000,INDEX($AN$1005:$BO$1005,1,MATCH(COLUMNS($AN$1006:BM1006),$AN$1006:$BO$1006,0))&gt;=100000), " ",IF(INDEX($AN$2:$BO$1001,MATCH(ROWS($AG$2:AG908),$AG$2:$AG$1001,0),MATCH(COLUMNS($AN$1006:BM1006),$AN$1006:$BO$1006,0)), HYPERLINK("#",""), HYPERLINK(CONCATENATE("#Metadata!", ADDRESS(INDEX($AI$2:$AI$1001,MATCH(ROWS($AG$2:AG908),$AG$2:$AG$1001,0),0), INDEX($AN$1004:$BO$1004,1,MATCH(COLUMNS($AN$1006:BM1006),$AN$1006:$BO$1006,0)))),"Fix")))</f>
        <v>0</v>
      </c>
      <c r="AB908" s="4">
        <f>IF(OR(INDEX($AH$2:$AH$1001,MATCH(ROWS($AG$2:AG908),$AG$2:$AG$1001,0),1)&gt;=100000,INDEX($AN$1005:$BO$1005,1,MATCH(COLUMNS($AN$1006:BN1006),$AN$1006:$BO$1006,0))&gt;=100000), " ",IF(INDEX($AN$2:$BO$1001,MATCH(ROWS($AG$2:AG908),$AG$2:$AG$1001,0),MATCH(COLUMNS($AN$1006:BN1006),$AN$1006:$BO$1006,0)), HYPERLINK("#",""), HYPERLINK(CONCATENATE("#Metadata!", ADDRESS(INDEX($AI$2:$AI$1001,MATCH(ROWS($AG$2:AG908),$AG$2:$AG$1001,0),0), INDEX($AN$1004:$BO$1004,1,MATCH(COLUMNS($AN$1006:BN1006),$AN$1006:$BO$1006,0)))),"Fix")))</f>
        <v>0</v>
      </c>
      <c r="AC908" s="4">
        <f>IF(OR(INDEX($AH$2:$AH$1001,MATCH(ROWS($AG$2:AG908),$AG$2:$AG$1001,0),1)&gt;=100000,INDEX($AN$1005:$BO$1005,1,MATCH(COLUMNS($AN$1006:BO1006),$AN$1006:$BO$1006,0))&gt;=100000), " ",IF(INDEX($AN$2:$BO$1001,MATCH(ROWS($AG$2:AG908),$AG$2:$AG$1001,0),MATCH(COLUMNS($AN$1006:BO1006),$AN$1006:$BO$1006,0)), HYPERLINK("#",""), HYPERLINK(CONCATENATE("#Metadata!", ADDRESS(INDEX($AI$2:$AI$1001,MATCH(ROWS($AG$2:AG908),$AG$2:$AG$1001,0),0), INDEX($AN$1004:$BO$1004,1,MATCH(COLUMNS($AN$1006:BO1006),$AN$1006:$BO$1006,0)))),"Fix")))</f>
        <v>0</v>
      </c>
      <c r="AG908">
        <v>0</v>
      </c>
      <c r="AH908">
        <v>0</v>
      </c>
      <c r="AI908">
        <v>0</v>
      </c>
      <c r="AJ908">
        <f>IF(AK908,TRUE,AND(AN908:BO908))</f>
        <v>0</v>
      </c>
      <c r="AK908">
        <f>COUNTBLANK(Metadata!B908:AC908)=COLUMNS(Metadata!B908:AC908)</f>
        <v>0</v>
      </c>
      <c r="AL908">
        <v>0</v>
      </c>
      <c r="AN908">
        <f>AND(IF(Metadata!B908="",FALSE,TRUE),COUNTIF(Metadata!B:B, Metadata!B908) = 1,NOT(ISERROR(SUMPRODUCT(SEARCH(MID(Metadata!B908,ROW(INDIRECT("1:"&amp;LEN(Metadata!B908))), 1),"0123456789abcdefghijklmnopqrstuvwxyzABCDEFGHIJKLMNOPQRSTUVWXYZ.")))))</f>
        <v>0</v>
      </c>
      <c r="AO908">
        <f>IF(Metadata!C908="",FALSE,TRUE)</f>
        <v>0</v>
      </c>
      <c r="AP908">
        <f>IF(Metadata!D908="",FALSE,TRUE)</f>
        <v>0</v>
      </c>
      <c r="AQ908">
        <f>OR(AND(IF(Metadata!E908="",FALSE,TRUE),OR(exact(Metadata!E908,"not collected"),exact(Metadata!E908,"not provided"),exact(Metadata!E908,"restricted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R908">
        <f>IF(Metadata!F908="",FALSE,TRUE)</f>
        <v>0</v>
      </c>
      <c r="AS908">
        <f>OR(AND(IF(Metadata!G908="",FALSE,TRUE),OR(exact(Metadata!G908,"not collected"),exact(Metadata!G908,"not provided"))),AND(IF(Metadata!G908="",FALSE,TRUE),OR(exact(Metadata!G908,"TRUE"),exact(Metadata!G908,"FALSE"))))</f>
        <v>0</v>
      </c>
      <c r="AT908">
        <f>OR(AND(IF(Metadata!H908="",FALSE,TRUE),OR(exact(Metadata!H908,"not collected"),exact(Metadata!H908,"not provided"),exact(Metadata!H908,"restricted access"))),AND(IF(Metadata!H908="",FALSE,ISNUMBER(VALUE(Metadata!H908))),Metadata!H908&gt;=-413.0))</f>
        <v>0</v>
      </c>
      <c r="AU908">
        <f>AND(IF(Metadata!I908="",FALSE,TRUE),exact(Metadata!I908,"meters"))</f>
        <v>0</v>
      </c>
      <c r="AV908">
        <f>AND(IF(Metadata!J908="",FALSE,TRUE),OR(exact(Metadata!J908,"Host-associated"),exact(Metadata!J908,"Free-living")))</f>
        <v>0</v>
      </c>
      <c r="AW908">
        <f>AND(IF(Metadata!K908="",FALSE,TRUE),OR(exact(Metadata!K908,"Animal"),exact(Metadata!K908,"Fungus"),exact(Metadata!K908,"Plant"),exact(Metadata!K908,"Saline"),exact(Metadata!K908,"Non-saline")))</f>
        <v>0</v>
      </c>
      <c r="AX908">
        <f>AND(IF(Metadata!L908="",FALSE,TRUE),OR(exact(Metadata!L908,"Plant secretion"),exact(Metadata!L908,"Plant rhizosphere"),exact(Metadata!L908,"Plant surface"),exact(Metadata!L908,"Plant corpus"),exact(Metadata!L908,"Fungus surface"),exact(Metadata!L908,"Fungus corpus"),exact(Metadata!L908,"Animal surface"),exact(Metadata!L908,"Animal proximal gut"),exact(Metadata!L908,"Animal corpus"),exact(Metadata!L908,"Animal distal gut"),exact(Metadata!L908,"Animal secretion"),exact(Metadata!L908,"Sub-surface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Y908">
        <f>IF(Metadata!M908="",FALSE,TRUE)</f>
        <v>0</v>
      </c>
      <c r="AZ908">
        <f>IF(Metadata!N908="",FALSE,TRUE)</f>
        <v>0</v>
      </c>
      <c r="BA908">
        <f>IF(Metadata!O908="",FALSE,TRUE)</f>
        <v>0</v>
      </c>
      <c r="BB908">
        <f>OR(AND(IF(Metadata!P908="",FALSE,TRUE),OR(exact(Metadata!P908,"not collected"),exact(Metadata!P908,"not provided"),exact(Metadata!P908,"restricted access"))),AND(IF(Metadata!P908="",FALSE,TRUE),OR(exact(Metadata!P908,"air"),exact(Metadata!P908,"built environment"),exact(Metadata!P908,"host-associated"),exact(Metadata!P908,"human-associated"),exact(Metadata!P908,"human-skin"),exact(Metadata!P908,"human-oral"),exact(Metadata!P908,"human-gut"),exact(Metadata!P908,"human-vaginal"),exact(Metadata!P908,"microbial mat/biofilm"),exact(Metadata!P908,"misc environment"),exact(Metadata!P908,"plant-associated"),exact(Metadata!P908,"sediment"),exact(Metadata!P908,"soil"),exact(Metadata!P908,"wastewater/sludge"),exact(Metadata!P908,"water"))))</f>
        <v>0</v>
      </c>
      <c r="BC908">
        <f>IF(Metadata!Q908="",FALSE,TRUE)</f>
        <v>0</v>
      </c>
      <c r="BD908">
        <f>IF(Metadata!R908="",FALSE,TRUE)</f>
        <v>0</v>
      </c>
      <c r="BE908">
        <f>OR(AND(IF(Metadata!S908="",FALSE,TRUE),OR(exact(Metadata!S908,"not collected"),exact(Metadata!S908,"not provided"),exact(Metadata!S908,"restricted access"))),AND(IF(Metadata!S908="",FALSE,ISNUMBER(VALUE(Metadata!S908))),Metadata!S908&gt;=-90.00,Metadata!S908&lt;=90.00))</f>
        <v>0</v>
      </c>
      <c r="BF908">
        <f>AND(IF(Metadata!T908="",FALSE,TRUE),exact(Metadata!T908,"Decimal degrees"))</f>
        <v>0</v>
      </c>
      <c r="BG908">
        <f>OR(AND(IF(Metadata!U908="",FALSE,TRUE),OR(exact(Metadata!U908,"not collected"),exact(Metadata!U908,"not provided"),exact(Metadata!U908,"restricted access"))),AND(IF(Metadata!U908="",FALSE,ISNUMBER(VALUE(Metadata!U908))),Metadata!U908&gt;=-180.00,Metadata!U908&lt;=180.00))</f>
        <v>0</v>
      </c>
      <c r="BH908">
        <f>AND(IF(Metadata!V908="",FALSE,TRUE),exact(Metadata!V908,"Decimal degrees"))</f>
        <v>0</v>
      </c>
      <c r="BI908">
        <f>IF(Metadata!W908="",FALSE,TRUE)</f>
        <v>0</v>
      </c>
      <c r="BJ908">
        <f>OR(AND(IF(Metadata!X908="",FALSE,TRUE),OR(exact(Metadata!X908,"not collected"),exact(Metadata!X908,"not provided"),exact(Metadata!X908,"restricted access"))),AND(IF(Metadata!X908="",FALSE,TRUE),OR(exact(Metadata!X908,"TRUE"),exact(Metadata!X908,"FALSE"))))</f>
        <v>0</v>
      </c>
      <c r="BK908">
        <f>AND(IF(Metadata!Y908="",FALSE,TRUE),exact(Metadata!Y908,"other"))</f>
        <v>0</v>
      </c>
      <c r="BL908">
        <f>IF(Metadata!Z908="",FALSE,TRUE)</f>
        <v>0</v>
      </c>
      <c r="BM908">
        <f>OR(AND(IF(Metadata!AA908="",FALSE,TRUE),OR(exact(Metadata!AA908,"not collected"),exact(Metadata!AA908,"not provided"))),AND(IF(Metadata!AA908="",FALSE,IF(ISERROR(INT(Metadata!AA908)),FALSE,INT(Metadata!AA908)=Metadata!AA908)),Metadata!AA908&gt;0))</f>
        <v>0</v>
      </c>
      <c r="BN908">
        <f>AND(IF(Metadata!AB908="",FALSE,TRUE),exact(Metadata!AB908,"Not applicable"))</f>
        <v>0</v>
      </c>
      <c r="BO908">
        <f>IF(Metadata!AC908="",FALSE,TRUE)</f>
        <v>0</v>
      </c>
    </row>
    <row r="909" spans="1:67">
      <c r="A909" s="5">
        <f>IF(B909=" "," ",HYPERLINK(CONCATENATE("#metadata!",ADDRESS(INDEX($AI$2:$AI$1001,MATCH(ROWS($AG$2:AG909),$AG$2:$AG$1001,0),0),1)),INDEX($AL$2:$AL$1001,MATCH(ROWS($AG$2:AG909),$AG$2:$AG$1001,0),0)))</f>
        <v>0</v>
      </c>
      <c r="B909" s="4">
        <f>IF(OR(INDEX($AH$2:$AH$1001,MATCH(ROWS($AG$2:AG909),$AG$2:$AG$1001,0),1)&gt;=100000,INDEX($AN$1005:$BO$1005,1,MATCH(COLUMNS($AN$1006:AN1006),$AN$1006:$BO$1006,0))&gt;=100000), " ",IF(INDEX($AN$2:$BO$1001,MATCH(ROWS($AG$2:AG909),$AG$2:$AG$1001,0),MATCH(COLUMNS($AN$1006:AN1006),$AN$1006:$BO$1006,0)), HYPERLINK("#",""), HYPERLINK(CONCATENATE("#Metadata!", ADDRESS(INDEX($AI$2:$AI$1001,MATCH(ROWS($AG$2:AG909),$AG$2:$AG$1001,0),0), INDEX($AN$1004:$BO$1004,1,MATCH(COLUMNS($AN$1006:AN1006),$AN$1006:$BO$1006,0)))),"Fix")))</f>
        <v>0</v>
      </c>
      <c r="C909" s="4">
        <f>IF(OR(INDEX($AH$2:$AH$1001,MATCH(ROWS($AG$2:AG909),$AG$2:$AG$1001,0),1)&gt;=100000,INDEX($AN$1005:$BO$1005,1,MATCH(COLUMNS($AN$1006:AO1006),$AN$1006:$BO$1006,0))&gt;=100000), " ",IF(INDEX($AN$2:$BO$1001,MATCH(ROWS($AG$2:AG909),$AG$2:$AG$1001,0),MATCH(COLUMNS($AN$1006:AO1006),$AN$1006:$BO$1006,0)), HYPERLINK("#",""), HYPERLINK(CONCATENATE("#Metadata!", ADDRESS(INDEX($AI$2:$AI$1001,MATCH(ROWS($AG$2:AG909),$AG$2:$AG$1001,0),0), INDEX($AN$1004:$BO$1004,1,MATCH(COLUMNS($AN$1006:AO1006),$AN$1006:$BO$1006,0)))),"Fix")))</f>
        <v>0</v>
      </c>
      <c r="D909" s="4">
        <f>IF(OR(INDEX($AH$2:$AH$1001,MATCH(ROWS($AG$2:AG909),$AG$2:$AG$1001,0),1)&gt;=100000,INDEX($AN$1005:$BO$1005,1,MATCH(COLUMNS($AN$1006:AP1006),$AN$1006:$BO$1006,0))&gt;=100000), " ",IF(INDEX($AN$2:$BO$1001,MATCH(ROWS($AG$2:AG909),$AG$2:$AG$1001,0),MATCH(COLUMNS($AN$1006:AP1006),$AN$1006:$BO$1006,0)), HYPERLINK("#",""), HYPERLINK(CONCATENATE("#Metadata!", ADDRESS(INDEX($AI$2:$AI$1001,MATCH(ROWS($AG$2:AG909),$AG$2:$AG$1001,0),0), INDEX($AN$1004:$BO$1004,1,MATCH(COLUMNS($AN$1006:AP1006),$AN$1006:$BO$1006,0)))),"Fix")))</f>
        <v>0</v>
      </c>
      <c r="E909" s="4">
        <f>IF(OR(INDEX($AH$2:$AH$1001,MATCH(ROWS($AG$2:AG909),$AG$2:$AG$1001,0),1)&gt;=100000,INDEX($AN$1005:$BO$1005,1,MATCH(COLUMNS($AN$1006:AQ1006),$AN$1006:$BO$1006,0))&gt;=100000), " ",IF(INDEX($AN$2:$BO$1001,MATCH(ROWS($AG$2:AG909),$AG$2:$AG$1001,0),MATCH(COLUMNS($AN$1006:AQ1006),$AN$1006:$BO$1006,0)), HYPERLINK("#",""), HYPERLINK(CONCATENATE("#Metadata!", ADDRESS(INDEX($AI$2:$AI$1001,MATCH(ROWS($AG$2:AG909),$AG$2:$AG$1001,0),0), INDEX($AN$1004:$BO$1004,1,MATCH(COLUMNS($AN$1006:AQ1006),$AN$1006:$BO$1006,0)))),"Fix")))</f>
        <v>0</v>
      </c>
      <c r="F909" s="4">
        <f>IF(OR(INDEX($AH$2:$AH$1001,MATCH(ROWS($AG$2:AG909),$AG$2:$AG$1001,0),1)&gt;=100000,INDEX($AN$1005:$BO$1005,1,MATCH(COLUMNS($AN$1006:AR1006),$AN$1006:$BO$1006,0))&gt;=100000), " ",IF(INDEX($AN$2:$BO$1001,MATCH(ROWS($AG$2:AG909),$AG$2:$AG$1001,0),MATCH(COLUMNS($AN$1006:AR1006),$AN$1006:$BO$1006,0)), HYPERLINK("#",""), HYPERLINK(CONCATENATE("#Metadata!", ADDRESS(INDEX($AI$2:$AI$1001,MATCH(ROWS($AG$2:AG909),$AG$2:$AG$1001,0),0), INDEX($AN$1004:$BO$1004,1,MATCH(COLUMNS($AN$1006:AR1006),$AN$1006:$BO$1006,0)))),"Fix")))</f>
        <v>0</v>
      </c>
      <c r="G909" s="4">
        <f>IF(OR(INDEX($AH$2:$AH$1001,MATCH(ROWS($AG$2:AG909),$AG$2:$AG$1001,0),1)&gt;=100000,INDEX($AN$1005:$BO$1005,1,MATCH(COLUMNS($AN$1006:AS1006),$AN$1006:$BO$1006,0))&gt;=100000), " ",IF(INDEX($AN$2:$BO$1001,MATCH(ROWS($AG$2:AG909),$AG$2:$AG$1001,0),MATCH(COLUMNS($AN$1006:AS1006),$AN$1006:$BO$1006,0)), HYPERLINK("#",""), HYPERLINK(CONCATENATE("#Metadata!", ADDRESS(INDEX($AI$2:$AI$1001,MATCH(ROWS($AG$2:AG909),$AG$2:$AG$1001,0),0), INDEX($AN$1004:$BO$1004,1,MATCH(COLUMNS($AN$1006:AS1006),$AN$1006:$BO$1006,0)))),"Fix")))</f>
        <v>0</v>
      </c>
      <c r="H909" s="4">
        <f>IF(OR(INDEX($AH$2:$AH$1001,MATCH(ROWS($AG$2:AG909),$AG$2:$AG$1001,0),1)&gt;=100000,INDEX($AN$1005:$BO$1005,1,MATCH(COLUMNS($AN$1006:AT1006),$AN$1006:$BO$1006,0))&gt;=100000), " ",IF(INDEX($AN$2:$BO$1001,MATCH(ROWS($AG$2:AG909),$AG$2:$AG$1001,0),MATCH(COLUMNS($AN$1006:AT1006),$AN$1006:$BO$1006,0)), HYPERLINK("#",""), HYPERLINK(CONCATENATE("#Metadata!", ADDRESS(INDEX($AI$2:$AI$1001,MATCH(ROWS($AG$2:AG909),$AG$2:$AG$1001,0),0), INDEX($AN$1004:$BO$1004,1,MATCH(COLUMNS($AN$1006:AT1006),$AN$1006:$BO$1006,0)))),"Fix")))</f>
        <v>0</v>
      </c>
      <c r="I909" s="4">
        <f>IF(OR(INDEX($AH$2:$AH$1001,MATCH(ROWS($AG$2:AG909),$AG$2:$AG$1001,0),1)&gt;=100000,INDEX($AN$1005:$BO$1005,1,MATCH(COLUMNS($AN$1006:AU1006),$AN$1006:$BO$1006,0))&gt;=100000), " ",IF(INDEX($AN$2:$BO$1001,MATCH(ROWS($AG$2:AG909),$AG$2:$AG$1001,0),MATCH(COLUMNS($AN$1006:AU1006),$AN$1006:$BO$1006,0)), HYPERLINK("#",""), HYPERLINK(CONCATENATE("#Metadata!", ADDRESS(INDEX($AI$2:$AI$1001,MATCH(ROWS($AG$2:AG909),$AG$2:$AG$1001,0),0), INDEX($AN$1004:$BO$1004,1,MATCH(COLUMNS($AN$1006:AU1006),$AN$1006:$BO$1006,0)))),"Fix")))</f>
        <v>0</v>
      </c>
      <c r="J909" s="4">
        <f>IF(OR(INDEX($AH$2:$AH$1001,MATCH(ROWS($AG$2:AG909),$AG$2:$AG$1001,0),1)&gt;=100000,INDEX($AN$1005:$BO$1005,1,MATCH(COLUMNS($AN$1006:AV1006),$AN$1006:$BO$1006,0))&gt;=100000), " ",IF(INDEX($AN$2:$BO$1001,MATCH(ROWS($AG$2:AG909),$AG$2:$AG$1001,0),MATCH(COLUMNS($AN$1006:AV1006),$AN$1006:$BO$1006,0)), HYPERLINK("#",""), HYPERLINK(CONCATENATE("#Metadata!", ADDRESS(INDEX($AI$2:$AI$1001,MATCH(ROWS($AG$2:AG909),$AG$2:$AG$1001,0),0), INDEX($AN$1004:$BO$1004,1,MATCH(COLUMNS($AN$1006:AV1006),$AN$1006:$BO$1006,0)))),"Fix")))</f>
        <v>0</v>
      </c>
      <c r="K909" s="4">
        <f>IF(OR(INDEX($AH$2:$AH$1001,MATCH(ROWS($AG$2:AG909),$AG$2:$AG$1001,0),1)&gt;=100000,INDEX($AN$1005:$BO$1005,1,MATCH(COLUMNS($AN$1006:AW1006),$AN$1006:$BO$1006,0))&gt;=100000), " ",IF(INDEX($AN$2:$BO$1001,MATCH(ROWS($AG$2:AG909),$AG$2:$AG$1001,0),MATCH(COLUMNS($AN$1006:AW1006),$AN$1006:$BO$1006,0)), HYPERLINK("#",""), HYPERLINK(CONCATENATE("#Metadata!", ADDRESS(INDEX($AI$2:$AI$1001,MATCH(ROWS($AG$2:AG909),$AG$2:$AG$1001,0),0), INDEX($AN$1004:$BO$1004,1,MATCH(COLUMNS($AN$1006:AW1006),$AN$1006:$BO$1006,0)))),"Fix")))</f>
        <v>0</v>
      </c>
      <c r="L909" s="4">
        <f>IF(OR(INDEX($AH$2:$AH$1001,MATCH(ROWS($AG$2:AG909),$AG$2:$AG$1001,0),1)&gt;=100000,INDEX($AN$1005:$BO$1005,1,MATCH(COLUMNS($AN$1006:AX1006),$AN$1006:$BO$1006,0))&gt;=100000), " ",IF(INDEX($AN$2:$BO$1001,MATCH(ROWS($AG$2:AG909),$AG$2:$AG$1001,0),MATCH(COLUMNS($AN$1006:AX1006),$AN$1006:$BO$1006,0)), HYPERLINK("#",""), HYPERLINK(CONCATENATE("#Metadata!", ADDRESS(INDEX($AI$2:$AI$1001,MATCH(ROWS($AG$2:AG909),$AG$2:$AG$1001,0),0), INDEX($AN$1004:$BO$1004,1,MATCH(COLUMNS($AN$1006:AX1006),$AN$1006:$BO$1006,0)))),"Fix")))</f>
        <v>0</v>
      </c>
      <c r="M909" s="4">
        <f>IF(OR(INDEX($AH$2:$AH$1001,MATCH(ROWS($AG$2:AG909),$AG$2:$AG$1001,0),1)&gt;=100000,INDEX($AN$1005:$BO$1005,1,MATCH(COLUMNS($AN$1006:AY1006),$AN$1006:$BO$1006,0))&gt;=100000), " ",IF(INDEX($AN$2:$BO$1001,MATCH(ROWS($AG$2:AG909),$AG$2:$AG$1001,0),MATCH(COLUMNS($AN$1006:AY1006),$AN$1006:$BO$1006,0)), HYPERLINK("#",""), HYPERLINK(CONCATENATE("#Metadata!", ADDRESS(INDEX($AI$2:$AI$1001,MATCH(ROWS($AG$2:AG909),$AG$2:$AG$1001,0),0), INDEX($AN$1004:$BO$1004,1,MATCH(COLUMNS($AN$1006:AY1006),$AN$1006:$BO$1006,0)))),"Fix")))</f>
        <v>0</v>
      </c>
      <c r="N909" s="4">
        <f>IF(OR(INDEX($AH$2:$AH$1001,MATCH(ROWS($AG$2:AG909),$AG$2:$AG$1001,0),1)&gt;=100000,INDEX($AN$1005:$BO$1005,1,MATCH(COLUMNS($AN$1006:AZ1006),$AN$1006:$BO$1006,0))&gt;=100000), " ",IF(INDEX($AN$2:$BO$1001,MATCH(ROWS($AG$2:AG909),$AG$2:$AG$1001,0),MATCH(COLUMNS($AN$1006:AZ1006),$AN$1006:$BO$1006,0)), HYPERLINK("#",""), HYPERLINK(CONCATENATE("#Metadata!", ADDRESS(INDEX($AI$2:$AI$1001,MATCH(ROWS($AG$2:AG909),$AG$2:$AG$1001,0),0), INDEX($AN$1004:$BO$1004,1,MATCH(COLUMNS($AN$1006:AZ1006),$AN$1006:$BO$1006,0)))),"Fix")))</f>
        <v>0</v>
      </c>
      <c r="O909" s="4">
        <f>IF(OR(INDEX($AH$2:$AH$1001,MATCH(ROWS($AG$2:AG909),$AG$2:$AG$1001,0),1)&gt;=100000,INDEX($AN$1005:$BO$1005,1,MATCH(COLUMNS($AN$1006:BA1006),$AN$1006:$BO$1006,0))&gt;=100000), " ",IF(INDEX($AN$2:$BO$1001,MATCH(ROWS($AG$2:AG909),$AG$2:$AG$1001,0),MATCH(COLUMNS($AN$1006:BA1006),$AN$1006:$BO$1006,0)), HYPERLINK("#",""), HYPERLINK(CONCATENATE("#Metadata!", ADDRESS(INDEX($AI$2:$AI$1001,MATCH(ROWS($AG$2:AG909),$AG$2:$AG$1001,0),0), INDEX($AN$1004:$BO$1004,1,MATCH(COLUMNS($AN$1006:BA1006),$AN$1006:$BO$1006,0)))),"Fix")))</f>
        <v>0</v>
      </c>
      <c r="P909" s="4">
        <f>IF(OR(INDEX($AH$2:$AH$1001,MATCH(ROWS($AG$2:AG909),$AG$2:$AG$1001,0),1)&gt;=100000,INDEX($AN$1005:$BO$1005,1,MATCH(COLUMNS($AN$1006:BB1006),$AN$1006:$BO$1006,0))&gt;=100000), " ",IF(INDEX($AN$2:$BO$1001,MATCH(ROWS($AG$2:AG909),$AG$2:$AG$1001,0),MATCH(COLUMNS($AN$1006:BB1006),$AN$1006:$BO$1006,0)), HYPERLINK("#",""), HYPERLINK(CONCATENATE("#Metadata!", ADDRESS(INDEX($AI$2:$AI$1001,MATCH(ROWS($AG$2:AG909),$AG$2:$AG$1001,0),0), INDEX($AN$1004:$BO$1004,1,MATCH(COLUMNS($AN$1006:BB1006),$AN$1006:$BO$1006,0)))),"Fix")))</f>
        <v>0</v>
      </c>
      <c r="Q909" s="4">
        <f>IF(OR(INDEX($AH$2:$AH$1001,MATCH(ROWS($AG$2:AG909),$AG$2:$AG$1001,0),1)&gt;=100000,INDEX($AN$1005:$BO$1005,1,MATCH(COLUMNS($AN$1006:BC1006),$AN$1006:$BO$1006,0))&gt;=100000), " ",IF(INDEX($AN$2:$BO$1001,MATCH(ROWS($AG$2:AG909),$AG$2:$AG$1001,0),MATCH(COLUMNS($AN$1006:BC1006),$AN$1006:$BO$1006,0)), HYPERLINK("#",""), HYPERLINK(CONCATENATE("#Metadata!", ADDRESS(INDEX($AI$2:$AI$1001,MATCH(ROWS($AG$2:AG909),$AG$2:$AG$1001,0),0), INDEX($AN$1004:$BO$1004,1,MATCH(COLUMNS($AN$1006:BC1006),$AN$1006:$BO$1006,0)))),"Fix")))</f>
        <v>0</v>
      </c>
      <c r="R909" s="4">
        <f>IF(OR(INDEX($AH$2:$AH$1001,MATCH(ROWS($AG$2:AG909),$AG$2:$AG$1001,0),1)&gt;=100000,INDEX($AN$1005:$BO$1005,1,MATCH(COLUMNS($AN$1006:BD1006),$AN$1006:$BO$1006,0))&gt;=100000), " ",IF(INDEX($AN$2:$BO$1001,MATCH(ROWS($AG$2:AG909),$AG$2:$AG$1001,0),MATCH(COLUMNS($AN$1006:BD1006),$AN$1006:$BO$1006,0)), HYPERLINK("#",""), HYPERLINK(CONCATENATE("#Metadata!", ADDRESS(INDEX($AI$2:$AI$1001,MATCH(ROWS($AG$2:AG909),$AG$2:$AG$1001,0),0), INDEX($AN$1004:$BO$1004,1,MATCH(COLUMNS($AN$1006:BD1006),$AN$1006:$BO$1006,0)))),"Fix")))</f>
        <v>0</v>
      </c>
      <c r="S909" s="4">
        <f>IF(OR(INDEX($AH$2:$AH$1001,MATCH(ROWS($AG$2:AG909),$AG$2:$AG$1001,0),1)&gt;=100000,INDEX($AN$1005:$BO$1005,1,MATCH(COLUMNS($AN$1006:BE1006),$AN$1006:$BO$1006,0))&gt;=100000), " ",IF(INDEX($AN$2:$BO$1001,MATCH(ROWS($AG$2:AG909),$AG$2:$AG$1001,0),MATCH(COLUMNS($AN$1006:BE1006),$AN$1006:$BO$1006,0)), HYPERLINK("#",""), HYPERLINK(CONCATENATE("#Metadata!", ADDRESS(INDEX($AI$2:$AI$1001,MATCH(ROWS($AG$2:AG909),$AG$2:$AG$1001,0),0), INDEX($AN$1004:$BO$1004,1,MATCH(COLUMNS($AN$1006:BE1006),$AN$1006:$BO$1006,0)))),"Fix")))</f>
        <v>0</v>
      </c>
      <c r="T909" s="4">
        <f>IF(OR(INDEX($AH$2:$AH$1001,MATCH(ROWS($AG$2:AG909),$AG$2:$AG$1001,0),1)&gt;=100000,INDEX($AN$1005:$BO$1005,1,MATCH(COLUMNS($AN$1006:BF1006),$AN$1006:$BO$1006,0))&gt;=100000), " ",IF(INDEX($AN$2:$BO$1001,MATCH(ROWS($AG$2:AG909),$AG$2:$AG$1001,0),MATCH(COLUMNS($AN$1006:BF1006),$AN$1006:$BO$1006,0)), HYPERLINK("#",""), HYPERLINK(CONCATENATE("#Metadata!", ADDRESS(INDEX($AI$2:$AI$1001,MATCH(ROWS($AG$2:AG909),$AG$2:$AG$1001,0),0), INDEX($AN$1004:$BO$1004,1,MATCH(COLUMNS($AN$1006:BF1006),$AN$1006:$BO$1006,0)))),"Fix")))</f>
        <v>0</v>
      </c>
      <c r="U909" s="4">
        <f>IF(OR(INDEX($AH$2:$AH$1001,MATCH(ROWS($AG$2:AG909),$AG$2:$AG$1001,0),1)&gt;=100000,INDEX($AN$1005:$BO$1005,1,MATCH(COLUMNS($AN$1006:BG1006),$AN$1006:$BO$1006,0))&gt;=100000), " ",IF(INDEX($AN$2:$BO$1001,MATCH(ROWS($AG$2:AG909),$AG$2:$AG$1001,0),MATCH(COLUMNS($AN$1006:BG1006),$AN$1006:$BO$1006,0)), HYPERLINK("#",""), HYPERLINK(CONCATENATE("#Metadata!", ADDRESS(INDEX($AI$2:$AI$1001,MATCH(ROWS($AG$2:AG909),$AG$2:$AG$1001,0),0), INDEX($AN$1004:$BO$1004,1,MATCH(COLUMNS($AN$1006:BG1006),$AN$1006:$BO$1006,0)))),"Fix")))</f>
        <v>0</v>
      </c>
      <c r="V909" s="4">
        <f>IF(OR(INDEX($AH$2:$AH$1001,MATCH(ROWS($AG$2:AG909),$AG$2:$AG$1001,0),1)&gt;=100000,INDEX($AN$1005:$BO$1005,1,MATCH(COLUMNS($AN$1006:BH1006),$AN$1006:$BO$1006,0))&gt;=100000), " ",IF(INDEX($AN$2:$BO$1001,MATCH(ROWS($AG$2:AG909),$AG$2:$AG$1001,0),MATCH(COLUMNS($AN$1006:BH1006),$AN$1006:$BO$1006,0)), HYPERLINK("#",""), HYPERLINK(CONCATENATE("#Metadata!", ADDRESS(INDEX($AI$2:$AI$1001,MATCH(ROWS($AG$2:AG909),$AG$2:$AG$1001,0),0), INDEX($AN$1004:$BO$1004,1,MATCH(COLUMNS($AN$1006:BH1006),$AN$1006:$BO$1006,0)))),"Fix")))</f>
        <v>0</v>
      </c>
      <c r="W909" s="4">
        <f>IF(OR(INDEX($AH$2:$AH$1001,MATCH(ROWS($AG$2:AG909),$AG$2:$AG$1001,0),1)&gt;=100000,INDEX($AN$1005:$BO$1005,1,MATCH(COLUMNS($AN$1006:BI1006),$AN$1006:$BO$1006,0))&gt;=100000), " ",IF(INDEX($AN$2:$BO$1001,MATCH(ROWS($AG$2:AG909),$AG$2:$AG$1001,0),MATCH(COLUMNS($AN$1006:BI1006),$AN$1006:$BO$1006,0)), HYPERLINK("#",""), HYPERLINK(CONCATENATE("#Metadata!", ADDRESS(INDEX($AI$2:$AI$1001,MATCH(ROWS($AG$2:AG909),$AG$2:$AG$1001,0),0), INDEX($AN$1004:$BO$1004,1,MATCH(COLUMNS($AN$1006:BI1006),$AN$1006:$BO$1006,0)))),"Fix")))</f>
        <v>0</v>
      </c>
      <c r="X909" s="4">
        <f>IF(OR(INDEX($AH$2:$AH$1001,MATCH(ROWS($AG$2:AG909),$AG$2:$AG$1001,0),1)&gt;=100000,INDEX($AN$1005:$BO$1005,1,MATCH(COLUMNS($AN$1006:BJ1006),$AN$1006:$BO$1006,0))&gt;=100000), " ",IF(INDEX($AN$2:$BO$1001,MATCH(ROWS($AG$2:AG909),$AG$2:$AG$1001,0),MATCH(COLUMNS($AN$1006:BJ1006),$AN$1006:$BO$1006,0)), HYPERLINK("#",""), HYPERLINK(CONCATENATE("#Metadata!", ADDRESS(INDEX($AI$2:$AI$1001,MATCH(ROWS($AG$2:AG909),$AG$2:$AG$1001,0),0), INDEX($AN$1004:$BO$1004,1,MATCH(COLUMNS($AN$1006:BJ1006),$AN$1006:$BO$1006,0)))),"Fix")))</f>
        <v>0</v>
      </c>
      <c r="Y909" s="4">
        <f>IF(OR(INDEX($AH$2:$AH$1001,MATCH(ROWS($AG$2:AG909),$AG$2:$AG$1001,0),1)&gt;=100000,INDEX($AN$1005:$BO$1005,1,MATCH(COLUMNS($AN$1006:BK1006),$AN$1006:$BO$1006,0))&gt;=100000), " ",IF(INDEX($AN$2:$BO$1001,MATCH(ROWS($AG$2:AG909),$AG$2:$AG$1001,0),MATCH(COLUMNS($AN$1006:BK1006),$AN$1006:$BO$1006,0)), HYPERLINK("#",""), HYPERLINK(CONCATENATE("#Metadata!", ADDRESS(INDEX($AI$2:$AI$1001,MATCH(ROWS($AG$2:AG909),$AG$2:$AG$1001,0),0), INDEX($AN$1004:$BO$1004,1,MATCH(COLUMNS($AN$1006:BK1006),$AN$1006:$BO$1006,0)))),"Fix")))</f>
        <v>0</v>
      </c>
      <c r="Z909" s="4">
        <f>IF(OR(INDEX($AH$2:$AH$1001,MATCH(ROWS($AG$2:AG909),$AG$2:$AG$1001,0),1)&gt;=100000,INDEX($AN$1005:$BO$1005,1,MATCH(COLUMNS($AN$1006:BL1006),$AN$1006:$BO$1006,0))&gt;=100000), " ",IF(INDEX($AN$2:$BO$1001,MATCH(ROWS($AG$2:AG909),$AG$2:$AG$1001,0),MATCH(COLUMNS($AN$1006:BL1006),$AN$1006:$BO$1006,0)), HYPERLINK("#",""), HYPERLINK(CONCATENATE("#Metadata!", ADDRESS(INDEX($AI$2:$AI$1001,MATCH(ROWS($AG$2:AG909),$AG$2:$AG$1001,0),0), INDEX($AN$1004:$BO$1004,1,MATCH(COLUMNS($AN$1006:BL1006),$AN$1006:$BO$1006,0)))),"Fix")))</f>
        <v>0</v>
      </c>
      <c r="AA909" s="4">
        <f>IF(OR(INDEX($AH$2:$AH$1001,MATCH(ROWS($AG$2:AG909),$AG$2:$AG$1001,0),1)&gt;=100000,INDEX($AN$1005:$BO$1005,1,MATCH(COLUMNS($AN$1006:BM1006),$AN$1006:$BO$1006,0))&gt;=100000), " ",IF(INDEX($AN$2:$BO$1001,MATCH(ROWS($AG$2:AG909),$AG$2:$AG$1001,0),MATCH(COLUMNS($AN$1006:BM1006),$AN$1006:$BO$1006,0)), HYPERLINK("#",""), HYPERLINK(CONCATENATE("#Metadata!", ADDRESS(INDEX($AI$2:$AI$1001,MATCH(ROWS($AG$2:AG909),$AG$2:$AG$1001,0),0), INDEX($AN$1004:$BO$1004,1,MATCH(COLUMNS($AN$1006:BM1006),$AN$1006:$BO$1006,0)))),"Fix")))</f>
        <v>0</v>
      </c>
      <c r="AB909" s="4">
        <f>IF(OR(INDEX($AH$2:$AH$1001,MATCH(ROWS($AG$2:AG909),$AG$2:$AG$1001,0),1)&gt;=100000,INDEX($AN$1005:$BO$1005,1,MATCH(COLUMNS($AN$1006:BN1006),$AN$1006:$BO$1006,0))&gt;=100000), " ",IF(INDEX($AN$2:$BO$1001,MATCH(ROWS($AG$2:AG909),$AG$2:$AG$1001,0),MATCH(COLUMNS($AN$1006:BN1006),$AN$1006:$BO$1006,0)), HYPERLINK("#",""), HYPERLINK(CONCATENATE("#Metadata!", ADDRESS(INDEX($AI$2:$AI$1001,MATCH(ROWS($AG$2:AG909),$AG$2:$AG$1001,0),0), INDEX($AN$1004:$BO$1004,1,MATCH(COLUMNS($AN$1006:BN1006),$AN$1006:$BO$1006,0)))),"Fix")))</f>
        <v>0</v>
      </c>
      <c r="AC909" s="4">
        <f>IF(OR(INDEX($AH$2:$AH$1001,MATCH(ROWS($AG$2:AG909),$AG$2:$AG$1001,0),1)&gt;=100000,INDEX($AN$1005:$BO$1005,1,MATCH(COLUMNS($AN$1006:BO1006),$AN$1006:$BO$1006,0))&gt;=100000), " ",IF(INDEX($AN$2:$BO$1001,MATCH(ROWS($AG$2:AG909),$AG$2:$AG$1001,0),MATCH(COLUMNS($AN$1006:BO1006),$AN$1006:$BO$1006,0)), HYPERLINK("#",""), HYPERLINK(CONCATENATE("#Metadata!", ADDRESS(INDEX($AI$2:$AI$1001,MATCH(ROWS($AG$2:AG909),$AG$2:$AG$1001,0),0), INDEX($AN$1004:$BO$1004,1,MATCH(COLUMNS($AN$1006:BO1006),$AN$1006:$BO$1006,0)))),"Fix")))</f>
        <v>0</v>
      </c>
      <c r="AG909">
        <v>0</v>
      </c>
      <c r="AH909">
        <v>0</v>
      </c>
      <c r="AI909">
        <v>0</v>
      </c>
      <c r="AJ909">
        <f>IF(AK909,TRUE,AND(AN909:BO909))</f>
        <v>0</v>
      </c>
      <c r="AK909">
        <f>COUNTBLANK(Metadata!B909:AC909)=COLUMNS(Metadata!B909:AC909)</f>
        <v>0</v>
      </c>
      <c r="AL909">
        <v>0</v>
      </c>
      <c r="AN909">
        <f>AND(IF(Metadata!B909="",FALSE,TRUE),COUNTIF(Metadata!B:B, Metadata!B909) = 1,NOT(ISERROR(SUMPRODUCT(SEARCH(MID(Metadata!B909,ROW(INDIRECT("1:"&amp;LEN(Metadata!B909))), 1),"0123456789abcdefghijklmnopqrstuvwxyzABCDEFGHIJKLMNOPQRSTUVWXYZ.")))))</f>
        <v>0</v>
      </c>
      <c r="AO909">
        <f>IF(Metadata!C909="",FALSE,TRUE)</f>
        <v>0</v>
      </c>
      <c r="AP909">
        <f>IF(Metadata!D909="",FALSE,TRUE)</f>
        <v>0</v>
      </c>
      <c r="AQ909">
        <f>OR(AND(IF(Metadata!E909="",FALSE,TRUE),OR(exact(Metadata!E909,"not collected"),exact(Metadata!E909,"not provided"),exact(Metadata!E909,"restricted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R909">
        <f>IF(Metadata!F909="",FALSE,TRUE)</f>
        <v>0</v>
      </c>
      <c r="AS909">
        <f>OR(AND(IF(Metadata!G909="",FALSE,TRUE),OR(exact(Metadata!G909,"not collected"),exact(Metadata!G909,"not provided"))),AND(IF(Metadata!G909="",FALSE,TRUE),OR(exact(Metadata!G909,"TRUE"),exact(Metadata!G909,"FALSE"))))</f>
        <v>0</v>
      </c>
      <c r="AT909">
        <f>OR(AND(IF(Metadata!H909="",FALSE,TRUE),OR(exact(Metadata!H909,"not collected"),exact(Metadata!H909,"not provided"),exact(Metadata!H909,"restricted access"))),AND(IF(Metadata!H909="",FALSE,ISNUMBER(VALUE(Metadata!H909))),Metadata!H909&gt;=-413.0))</f>
        <v>0</v>
      </c>
      <c r="AU909">
        <f>AND(IF(Metadata!I909="",FALSE,TRUE),exact(Metadata!I909,"meters"))</f>
        <v>0</v>
      </c>
      <c r="AV909">
        <f>AND(IF(Metadata!J909="",FALSE,TRUE),OR(exact(Metadata!J909,"Host-associated"),exact(Metadata!J909,"Free-living")))</f>
        <v>0</v>
      </c>
      <c r="AW909">
        <f>AND(IF(Metadata!K909="",FALSE,TRUE),OR(exact(Metadata!K909,"Animal"),exact(Metadata!K909,"Fungus"),exact(Metadata!K909,"Plant"),exact(Metadata!K909,"Saline"),exact(Metadata!K909,"Non-saline")))</f>
        <v>0</v>
      </c>
      <c r="AX909">
        <f>AND(IF(Metadata!L909="",FALSE,TRUE),OR(exact(Metadata!L909,"Plant secretion"),exact(Metadata!L909,"Plant rhizosphere"),exact(Metadata!L909,"Plant surface"),exact(Metadata!L909,"Plant corpus"),exact(Metadata!L909,"Fungus surface"),exact(Metadata!L909,"Fungus corpus"),exact(Metadata!L909,"Animal surface"),exact(Metadata!L909,"Animal proximal gut"),exact(Metadata!L909,"Animal corpus"),exact(Metadata!L909,"Animal distal gut"),exact(Metadata!L909,"Animal secretion"),exact(Metadata!L909,"Sub-surface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Y909">
        <f>IF(Metadata!M909="",FALSE,TRUE)</f>
        <v>0</v>
      </c>
      <c r="AZ909">
        <f>IF(Metadata!N909="",FALSE,TRUE)</f>
        <v>0</v>
      </c>
      <c r="BA909">
        <f>IF(Metadata!O909="",FALSE,TRUE)</f>
        <v>0</v>
      </c>
      <c r="BB909">
        <f>OR(AND(IF(Metadata!P909="",FALSE,TRUE),OR(exact(Metadata!P909,"not collected"),exact(Metadata!P909,"not provided"),exact(Metadata!P909,"restricted access"))),AND(IF(Metadata!P909="",FALSE,TRUE),OR(exact(Metadata!P909,"air"),exact(Metadata!P909,"built environment"),exact(Metadata!P909,"host-associated"),exact(Metadata!P909,"human-associated"),exact(Metadata!P909,"human-skin"),exact(Metadata!P909,"human-oral"),exact(Metadata!P909,"human-gut"),exact(Metadata!P909,"human-vaginal"),exact(Metadata!P909,"microbial mat/biofilm"),exact(Metadata!P909,"misc environment"),exact(Metadata!P909,"plant-associated"),exact(Metadata!P909,"sediment"),exact(Metadata!P909,"soil"),exact(Metadata!P909,"wastewater/sludge"),exact(Metadata!P909,"water"))))</f>
        <v>0</v>
      </c>
      <c r="BC909">
        <f>IF(Metadata!Q909="",FALSE,TRUE)</f>
        <v>0</v>
      </c>
      <c r="BD909">
        <f>IF(Metadata!R909="",FALSE,TRUE)</f>
        <v>0</v>
      </c>
      <c r="BE909">
        <f>OR(AND(IF(Metadata!S909="",FALSE,TRUE),OR(exact(Metadata!S909,"not collected"),exact(Metadata!S909,"not provided"),exact(Metadata!S909,"restricted access"))),AND(IF(Metadata!S909="",FALSE,ISNUMBER(VALUE(Metadata!S909))),Metadata!S909&gt;=-90.00,Metadata!S909&lt;=90.00))</f>
        <v>0</v>
      </c>
      <c r="BF909">
        <f>AND(IF(Metadata!T909="",FALSE,TRUE),exact(Metadata!T909,"Decimal degrees"))</f>
        <v>0</v>
      </c>
      <c r="BG909">
        <f>OR(AND(IF(Metadata!U909="",FALSE,TRUE),OR(exact(Metadata!U909,"not collected"),exact(Metadata!U909,"not provided"),exact(Metadata!U909,"restricted access"))),AND(IF(Metadata!U909="",FALSE,ISNUMBER(VALUE(Metadata!U909))),Metadata!U909&gt;=-180.00,Metadata!U909&lt;=180.00))</f>
        <v>0</v>
      </c>
      <c r="BH909">
        <f>AND(IF(Metadata!V909="",FALSE,TRUE),exact(Metadata!V909,"Decimal degrees"))</f>
        <v>0</v>
      </c>
      <c r="BI909">
        <f>IF(Metadata!W909="",FALSE,TRUE)</f>
        <v>0</v>
      </c>
      <c r="BJ909">
        <f>OR(AND(IF(Metadata!X909="",FALSE,TRUE),OR(exact(Metadata!X909,"not collected"),exact(Metadata!X909,"not provided"),exact(Metadata!X909,"restricted access"))),AND(IF(Metadata!X909="",FALSE,TRUE),OR(exact(Metadata!X909,"TRUE"),exact(Metadata!X909,"FALSE"))))</f>
        <v>0</v>
      </c>
      <c r="BK909">
        <f>AND(IF(Metadata!Y909="",FALSE,TRUE),exact(Metadata!Y909,"other"))</f>
        <v>0</v>
      </c>
      <c r="BL909">
        <f>IF(Metadata!Z909="",FALSE,TRUE)</f>
        <v>0</v>
      </c>
      <c r="BM909">
        <f>OR(AND(IF(Metadata!AA909="",FALSE,TRUE),OR(exact(Metadata!AA909,"not collected"),exact(Metadata!AA909,"not provided"))),AND(IF(Metadata!AA909="",FALSE,IF(ISERROR(INT(Metadata!AA909)),FALSE,INT(Metadata!AA909)=Metadata!AA909)),Metadata!AA909&gt;0))</f>
        <v>0</v>
      </c>
      <c r="BN909">
        <f>AND(IF(Metadata!AB909="",FALSE,TRUE),exact(Metadata!AB909,"Not applicable"))</f>
        <v>0</v>
      </c>
      <c r="BO909">
        <f>IF(Metadata!AC909="",FALSE,TRUE)</f>
        <v>0</v>
      </c>
    </row>
    <row r="910" spans="1:67">
      <c r="A910" s="5">
        <f>IF(B910=" "," ",HYPERLINK(CONCATENATE("#metadata!",ADDRESS(INDEX($AI$2:$AI$1001,MATCH(ROWS($AG$2:AG910),$AG$2:$AG$1001,0),0),1)),INDEX($AL$2:$AL$1001,MATCH(ROWS($AG$2:AG910),$AG$2:$AG$1001,0),0)))</f>
        <v>0</v>
      </c>
      <c r="B910" s="4">
        <f>IF(OR(INDEX($AH$2:$AH$1001,MATCH(ROWS($AG$2:AG910),$AG$2:$AG$1001,0),1)&gt;=100000,INDEX($AN$1005:$BO$1005,1,MATCH(COLUMNS($AN$1006:AN1006),$AN$1006:$BO$1006,0))&gt;=100000), " ",IF(INDEX($AN$2:$BO$1001,MATCH(ROWS($AG$2:AG910),$AG$2:$AG$1001,0),MATCH(COLUMNS($AN$1006:AN1006),$AN$1006:$BO$1006,0)), HYPERLINK("#",""), HYPERLINK(CONCATENATE("#Metadata!", ADDRESS(INDEX($AI$2:$AI$1001,MATCH(ROWS($AG$2:AG910),$AG$2:$AG$1001,0),0), INDEX($AN$1004:$BO$1004,1,MATCH(COLUMNS($AN$1006:AN1006),$AN$1006:$BO$1006,0)))),"Fix")))</f>
        <v>0</v>
      </c>
      <c r="C910" s="4">
        <f>IF(OR(INDEX($AH$2:$AH$1001,MATCH(ROWS($AG$2:AG910),$AG$2:$AG$1001,0),1)&gt;=100000,INDEX($AN$1005:$BO$1005,1,MATCH(COLUMNS($AN$1006:AO1006),$AN$1006:$BO$1006,0))&gt;=100000), " ",IF(INDEX($AN$2:$BO$1001,MATCH(ROWS($AG$2:AG910),$AG$2:$AG$1001,0),MATCH(COLUMNS($AN$1006:AO1006),$AN$1006:$BO$1006,0)), HYPERLINK("#",""), HYPERLINK(CONCATENATE("#Metadata!", ADDRESS(INDEX($AI$2:$AI$1001,MATCH(ROWS($AG$2:AG910),$AG$2:$AG$1001,0),0), INDEX($AN$1004:$BO$1004,1,MATCH(COLUMNS($AN$1006:AO1006),$AN$1006:$BO$1006,0)))),"Fix")))</f>
        <v>0</v>
      </c>
      <c r="D910" s="4">
        <f>IF(OR(INDEX($AH$2:$AH$1001,MATCH(ROWS($AG$2:AG910),$AG$2:$AG$1001,0),1)&gt;=100000,INDEX($AN$1005:$BO$1005,1,MATCH(COLUMNS($AN$1006:AP1006),$AN$1006:$BO$1006,0))&gt;=100000), " ",IF(INDEX($AN$2:$BO$1001,MATCH(ROWS($AG$2:AG910),$AG$2:$AG$1001,0),MATCH(COLUMNS($AN$1006:AP1006),$AN$1006:$BO$1006,0)), HYPERLINK("#",""), HYPERLINK(CONCATENATE("#Metadata!", ADDRESS(INDEX($AI$2:$AI$1001,MATCH(ROWS($AG$2:AG910),$AG$2:$AG$1001,0),0), INDEX($AN$1004:$BO$1004,1,MATCH(COLUMNS($AN$1006:AP1006),$AN$1006:$BO$1006,0)))),"Fix")))</f>
        <v>0</v>
      </c>
      <c r="E910" s="4">
        <f>IF(OR(INDEX($AH$2:$AH$1001,MATCH(ROWS($AG$2:AG910),$AG$2:$AG$1001,0),1)&gt;=100000,INDEX($AN$1005:$BO$1005,1,MATCH(COLUMNS($AN$1006:AQ1006),$AN$1006:$BO$1006,0))&gt;=100000), " ",IF(INDEX($AN$2:$BO$1001,MATCH(ROWS($AG$2:AG910),$AG$2:$AG$1001,0),MATCH(COLUMNS($AN$1006:AQ1006),$AN$1006:$BO$1006,0)), HYPERLINK("#",""), HYPERLINK(CONCATENATE("#Metadata!", ADDRESS(INDEX($AI$2:$AI$1001,MATCH(ROWS($AG$2:AG910),$AG$2:$AG$1001,0),0), INDEX($AN$1004:$BO$1004,1,MATCH(COLUMNS($AN$1006:AQ1006),$AN$1006:$BO$1006,0)))),"Fix")))</f>
        <v>0</v>
      </c>
      <c r="F910" s="4">
        <f>IF(OR(INDEX($AH$2:$AH$1001,MATCH(ROWS($AG$2:AG910),$AG$2:$AG$1001,0),1)&gt;=100000,INDEX($AN$1005:$BO$1005,1,MATCH(COLUMNS($AN$1006:AR1006),$AN$1006:$BO$1006,0))&gt;=100000), " ",IF(INDEX($AN$2:$BO$1001,MATCH(ROWS($AG$2:AG910),$AG$2:$AG$1001,0),MATCH(COLUMNS($AN$1006:AR1006),$AN$1006:$BO$1006,0)), HYPERLINK("#",""), HYPERLINK(CONCATENATE("#Metadata!", ADDRESS(INDEX($AI$2:$AI$1001,MATCH(ROWS($AG$2:AG910),$AG$2:$AG$1001,0),0), INDEX($AN$1004:$BO$1004,1,MATCH(COLUMNS($AN$1006:AR1006),$AN$1006:$BO$1006,0)))),"Fix")))</f>
        <v>0</v>
      </c>
      <c r="G910" s="4">
        <f>IF(OR(INDEX($AH$2:$AH$1001,MATCH(ROWS($AG$2:AG910),$AG$2:$AG$1001,0),1)&gt;=100000,INDEX($AN$1005:$BO$1005,1,MATCH(COLUMNS($AN$1006:AS1006),$AN$1006:$BO$1006,0))&gt;=100000), " ",IF(INDEX($AN$2:$BO$1001,MATCH(ROWS($AG$2:AG910),$AG$2:$AG$1001,0),MATCH(COLUMNS($AN$1006:AS1006),$AN$1006:$BO$1006,0)), HYPERLINK("#",""), HYPERLINK(CONCATENATE("#Metadata!", ADDRESS(INDEX($AI$2:$AI$1001,MATCH(ROWS($AG$2:AG910),$AG$2:$AG$1001,0),0), INDEX($AN$1004:$BO$1004,1,MATCH(COLUMNS($AN$1006:AS1006),$AN$1006:$BO$1006,0)))),"Fix")))</f>
        <v>0</v>
      </c>
      <c r="H910" s="4">
        <f>IF(OR(INDEX($AH$2:$AH$1001,MATCH(ROWS($AG$2:AG910),$AG$2:$AG$1001,0),1)&gt;=100000,INDEX($AN$1005:$BO$1005,1,MATCH(COLUMNS($AN$1006:AT1006),$AN$1006:$BO$1006,0))&gt;=100000), " ",IF(INDEX($AN$2:$BO$1001,MATCH(ROWS($AG$2:AG910),$AG$2:$AG$1001,0),MATCH(COLUMNS($AN$1006:AT1006),$AN$1006:$BO$1006,0)), HYPERLINK("#",""), HYPERLINK(CONCATENATE("#Metadata!", ADDRESS(INDEX($AI$2:$AI$1001,MATCH(ROWS($AG$2:AG910),$AG$2:$AG$1001,0),0), INDEX($AN$1004:$BO$1004,1,MATCH(COLUMNS($AN$1006:AT1006),$AN$1006:$BO$1006,0)))),"Fix")))</f>
        <v>0</v>
      </c>
      <c r="I910" s="4">
        <f>IF(OR(INDEX($AH$2:$AH$1001,MATCH(ROWS($AG$2:AG910),$AG$2:$AG$1001,0),1)&gt;=100000,INDEX($AN$1005:$BO$1005,1,MATCH(COLUMNS($AN$1006:AU1006),$AN$1006:$BO$1006,0))&gt;=100000), " ",IF(INDEX($AN$2:$BO$1001,MATCH(ROWS($AG$2:AG910),$AG$2:$AG$1001,0),MATCH(COLUMNS($AN$1006:AU1006),$AN$1006:$BO$1006,0)), HYPERLINK("#",""), HYPERLINK(CONCATENATE("#Metadata!", ADDRESS(INDEX($AI$2:$AI$1001,MATCH(ROWS($AG$2:AG910),$AG$2:$AG$1001,0),0), INDEX($AN$1004:$BO$1004,1,MATCH(COLUMNS($AN$1006:AU1006),$AN$1006:$BO$1006,0)))),"Fix")))</f>
        <v>0</v>
      </c>
      <c r="J910" s="4">
        <f>IF(OR(INDEX($AH$2:$AH$1001,MATCH(ROWS($AG$2:AG910),$AG$2:$AG$1001,0),1)&gt;=100000,INDEX($AN$1005:$BO$1005,1,MATCH(COLUMNS($AN$1006:AV1006),$AN$1006:$BO$1006,0))&gt;=100000), " ",IF(INDEX($AN$2:$BO$1001,MATCH(ROWS($AG$2:AG910),$AG$2:$AG$1001,0),MATCH(COLUMNS($AN$1006:AV1006),$AN$1006:$BO$1006,0)), HYPERLINK("#",""), HYPERLINK(CONCATENATE("#Metadata!", ADDRESS(INDEX($AI$2:$AI$1001,MATCH(ROWS($AG$2:AG910),$AG$2:$AG$1001,0),0), INDEX($AN$1004:$BO$1004,1,MATCH(COLUMNS($AN$1006:AV1006),$AN$1006:$BO$1006,0)))),"Fix")))</f>
        <v>0</v>
      </c>
      <c r="K910" s="4">
        <f>IF(OR(INDEX($AH$2:$AH$1001,MATCH(ROWS($AG$2:AG910),$AG$2:$AG$1001,0),1)&gt;=100000,INDEX($AN$1005:$BO$1005,1,MATCH(COLUMNS($AN$1006:AW1006),$AN$1006:$BO$1006,0))&gt;=100000), " ",IF(INDEX($AN$2:$BO$1001,MATCH(ROWS($AG$2:AG910),$AG$2:$AG$1001,0),MATCH(COLUMNS($AN$1006:AW1006),$AN$1006:$BO$1006,0)), HYPERLINK("#",""), HYPERLINK(CONCATENATE("#Metadata!", ADDRESS(INDEX($AI$2:$AI$1001,MATCH(ROWS($AG$2:AG910),$AG$2:$AG$1001,0),0), INDEX($AN$1004:$BO$1004,1,MATCH(COLUMNS($AN$1006:AW1006),$AN$1006:$BO$1006,0)))),"Fix")))</f>
        <v>0</v>
      </c>
      <c r="L910" s="4">
        <f>IF(OR(INDEX($AH$2:$AH$1001,MATCH(ROWS($AG$2:AG910),$AG$2:$AG$1001,0),1)&gt;=100000,INDEX($AN$1005:$BO$1005,1,MATCH(COLUMNS($AN$1006:AX1006),$AN$1006:$BO$1006,0))&gt;=100000), " ",IF(INDEX($AN$2:$BO$1001,MATCH(ROWS($AG$2:AG910),$AG$2:$AG$1001,0),MATCH(COLUMNS($AN$1006:AX1006),$AN$1006:$BO$1006,0)), HYPERLINK("#",""), HYPERLINK(CONCATENATE("#Metadata!", ADDRESS(INDEX($AI$2:$AI$1001,MATCH(ROWS($AG$2:AG910),$AG$2:$AG$1001,0),0), INDEX($AN$1004:$BO$1004,1,MATCH(COLUMNS($AN$1006:AX1006),$AN$1006:$BO$1006,0)))),"Fix")))</f>
        <v>0</v>
      </c>
      <c r="M910" s="4">
        <f>IF(OR(INDEX($AH$2:$AH$1001,MATCH(ROWS($AG$2:AG910),$AG$2:$AG$1001,0),1)&gt;=100000,INDEX($AN$1005:$BO$1005,1,MATCH(COLUMNS($AN$1006:AY1006),$AN$1006:$BO$1006,0))&gt;=100000), " ",IF(INDEX($AN$2:$BO$1001,MATCH(ROWS($AG$2:AG910),$AG$2:$AG$1001,0),MATCH(COLUMNS($AN$1006:AY1006),$AN$1006:$BO$1006,0)), HYPERLINK("#",""), HYPERLINK(CONCATENATE("#Metadata!", ADDRESS(INDEX($AI$2:$AI$1001,MATCH(ROWS($AG$2:AG910),$AG$2:$AG$1001,0),0), INDEX($AN$1004:$BO$1004,1,MATCH(COLUMNS($AN$1006:AY1006),$AN$1006:$BO$1006,0)))),"Fix")))</f>
        <v>0</v>
      </c>
      <c r="N910" s="4">
        <f>IF(OR(INDEX($AH$2:$AH$1001,MATCH(ROWS($AG$2:AG910),$AG$2:$AG$1001,0),1)&gt;=100000,INDEX($AN$1005:$BO$1005,1,MATCH(COLUMNS($AN$1006:AZ1006),$AN$1006:$BO$1006,0))&gt;=100000), " ",IF(INDEX($AN$2:$BO$1001,MATCH(ROWS($AG$2:AG910),$AG$2:$AG$1001,0),MATCH(COLUMNS($AN$1006:AZ1006),$AN$1006:$BO$1006,0)), HYPERLINK("#",""), HYPERLINK(CONCATENATE("#Metadata!", ADDRESS(INDEX($AI$2:$AI$1001,MATCH(ROWS($AG$2:AG910),$AG$2:$AG$1001,0),0), INDEX($AN$1004:$BO$1004,1,MATCH(COLUMNS($AN$1006:AZ1006),$AN$1006:$BO$1006,0)))),"Fix")))</f>
        <v>0</v>
      </c>
      <c r="O910" s="4">
        <f>IF(OR(INDEX($AH$2:$AH$1001,MATCH(ROWS($AG$2:AG910),$AG$2:$AG$1001,0),1)&gt;=100000,INDEX($AN$1005:$BO$1005,1,MATCH(COLUMNS($AN$1006:BA1006),$AN$1006:$BO$1006,0))&gt;=100000), " ",IF(INDEX($AN$2:$BO$1001,MATCH(ROWS($AG$2:AG910),$AG$2:$AG$1001,0),MATCH(COLUMNS($AN$1006:BA1006),$AN$1006:$BO$1006,0)), HYPERLINK("#",""), HYPERLINK(CONCATENATE("#Metadata!", ADDRESS(INDEX($AI$2:$AI$1001,MATCH(ROWS($AG$2:AG910),$AG$2:$AG$1001,0),0), INDEX($AN$1004:$BO$1004,1,MATCH(COLUMNS($AN$1006:BA1006),$AN$1006:$BO$1006,0)))),"Fix")))</f>
        <v>0</v>
      </c>
      <c r="P910" s="4">
        <f>IF(OR(INDEX($AH$2:$AH$1001,MATCH(ROWS($AG$2:AG910),$AG$2:$AG$1001,0),1)&gt;=100000,INDEX($AN$1005:$BO$1005,1,MATCH(COLUMNS($AN$1006:BB1006),$AN$1006:$BO$1006,0))&gt;=100000), " ",IF(INDEX($AN$2:$BO$1001,MATCH(ROWS($AG$2:AG910),$AG$2:$AG$1001,0),MATCH(COLUMNS($AN$1006:BB1006),$AN$1006:$BO$1006,0)), HYPERLINK("#",""), HYPERLINK(CONCATENATE("#Metadata!", ADDRESS(INDEX($AI$2:$AI$1001,MATCH(ROWS($AG$2:AG910),$AG$2:$AG$1001,0),0), INDEX($AN$1004:$BO$1004,1,MATCH(COLUMNS($AN$1006:BB1006),$AN$1006:$BO$1006,0)))),"Fix")))</f>
        <v>0</v>
      </c>
      <c r="Q910" s="4">
        <f>IF(OR(INDEX($AH$2:$AH$1001,MATCH(ROWS($AG$2:AG910),$AG$2:$AG$1001,0),1)&gt;=100000,INDEX($AN$1005:$BO$1005,1,MATCH(COLUMNS($AN$1006:BC1006),$AN$1006:$BO$1006,0))&gt;=100000), " ",IF(INDEX($AN$2:$BO$1001,MATCH(ROWS($AG$2:AG910),$AG$2:$AG$1001,0),MATCH(COLUMNS($AN$1006:BC1006),$AN$1006:$BO$1006,0)), HYPERLINK("#",""), HYPERLINK(CONCATENATE("#Metadata!", ADDRESS(INDEX($AI$2:$AI$1001,MATCH(ROWS($AG$2:AG910),$AG$2:$AG$1001,0),0), INDEX($AN$1004:$BO$1004,1,MATCH(COLUMNS($AN$1006:BC1006),$AN$1006:$BO$1006,0)))),"Fix")))</f>
        <v>0</v>
      </c>
      <c r="R910" s="4">
        <f>IF(OR(INDEX($AH$2:$AH$1001,MATCH(ROWS($AG$2:AG910),$AG$2:$AG$1001,0),1)&gt;=100000,INDEX($AN$1005:$BO$1005,1,MATCH(COLUMNS($AN$1006:BD1006),$AN$1006:$BO$1006,0))&gt;=100000), " ",IF(INDEX($AN$2:$BO$1001,MATCH(ROWS($AG$2:AG910),$AG$2:$AG$1001,0),MATCH(COLUMNS($AN$1006:BD1006),$AN$1006:$BO$1006,0)), HYPERLINK("#",""), HYPERLINK(CONCATENATE("#Metadata!", ADDRESS(INDEX($AI$2:$AI$1001,MATCH(ROWS($AG$2:AG910),$AG$2:$AG$1001,0),0), INDEX($AN$1004:$BO$1004,1,MATCH(COLUMNS($AN$1006:BD1006),$AN$1006:$BO$1006,0)))),"Fix")))</f>
        <v>0</v>
      </c>
      <c r="S910" s="4">
        <f>IF(OR(INDEX($AH$2:$AH$1001,MATCH(ROWS($AG$2:AG910),$AG$2:$AG$1001,0),1)&gt;=100000,INDEX($AN$1005:$BO$1005,1,MATCH(COLUMNS($AN$1006:BE1006),$AN$1006:$BO$1006,0))&gt;=100000), " ",IF(INDEX($AN$2:$BO$1001,MATCH(ROWS($AG$2:AG910),$AG$2:$AG$1001,0),MATCH(COLUMNS($AN$1006:BE1006),$AN$1006:$BO$1006,0)), HYPERLINK("#",""), HYPERLINK(CONCATENATE("#Metadata!", ADDRESS(INDEX($AI$2:$AI$1001,MATCH(ROWS($AG$2:AG910),$AG$2:$AG$1001,0),0), INDEX($AN$1004:$BO$1004,1,MATCH(COLUMNS($AN$1006:BE1006),$AN$1006:$BO$1006,0)))),"Fix")))</f>
        <v>0</v>
      </c>
      <c r="T910" s="4">
        <f>IF(OR(INDEX($AH$2:$AH$1001,MATCH(ROWS($AG$2:AG910),$AG$2:$AG$1001,0),1)&gt;=100000,INDEX($AN$1005:$BO$1005,1,MATCH(COLUMNS($AN$1006:BF1006),$AN$1006:$BO$1006,0))&gt;=100000), " ",IF(INDEX($AN$2:$BO$1001,MATCH(ROWS($AG$2:AG910),$AG$2:$AG$1001,0),MATCH(COLUMNS($AN$1006:BF1006),$AN$1006:$BO$1006,0)), HYPERLINK("#",""), HYPERLINK(CONCATENATE("#Metadata!", ADDRESS(INDEX($AI$2:$AI$1001,MATCH(ROWS($AG$2:AG910),$AG$2:$AG$1001,0),0), INDEX($AN$1004:$BO$1004,1,MATCH(COLUMNS($AN$1006:BF1006),$AN$1006:$BO$1006,0)))),"Fix")))</f>
        <v>0</v>
      </c>
      <c r="U910" s="4">
        <f>IF(OR(INDEX($AH$2:$AH$1001,MATCH(ROWS($AG$2:AG910),$AG$2:$AG$1001,0),1)&gt;=100000,INDEX($AN$1005:$BO$1005,1,MATCH(COLUMNS($AN$1006:BG1006),$AN$1006:$BO$1006,0))&gt;=100000), " ",IF(INDEX($AN$2:$BO$1001,MATCH(ROWS($AG$2:AG910),$AG$2:$AG$1001,0),MATCH(COLUMNS($AN$1006:BG1006),$AN$1006:$BO$1006,0)), HYPERLINK("#",""), HYPERLINK(CONCATENATE("#Metadata!", ADDRESS(INDEX($AI$2:$AI$1001,MATCH(ROWS($AG$2:AG910),$AG$2:$AG$1001,0),0), INDEX($AN$1004:$BO$1004,1,MATCH(COLUMNS($AN$1006:BG1006),$AN$1006:$BO$1006,0)))),"Fix")))</f>
        <v>0</v>
      </c>
      <c r="V910" s="4">
        <f>IF(OR(INDEX($AH$2:$AH$1001,MATCH(ROWS($AG$2:AG910),$AG$2:$AG$1001,0),1)&gt;=100000,INDEX($AN$1005:$BO$1005,1,MATCH(COLUMNS($AN$1006:BH1006),$AN$1006:$BO$1006,0))&gt;=100000), " ",IF(INDEX($AN$2:$BO$1001,MATCH(ROWS($AG$2:AG910),$AG$2:$AG$1001,0),MATCH(COLUMNS($AN$1006:BH1006),$AN$1006:$BO$1006,0)), HYPERLINK("#",""), HYPERLINK(CONCATENATE("#Metadata!", ADDRESS(INDEX($AI$2:$AI$1001,MATCH(ROWS($AG$2:AG910),$AG$2:$AG$1001,0),0), INDEX($AN$1004:$BO$1004,1,MATCH(COLUMNS($AN$1006:BH1006),$AN$1006:$BO$1006,0)))),"Fix")))</f>
        <v>0</v>
      </c>
      <c r="W910" s="4">
        <f>IF(OR(INDEX($AH$2:$AH$1001,MATCH(ROWS($AG$2:AG910),$AG$2:$AG$1001,0),1)&gt;=100000,INDEX($AN$1005:$BO$1005,1,MATCH(COLUMNS($AN$1006:BI1006),$AN$1006:$BO$1006,0))&gt;=100000), " ",IF(INDEX($AN$2:$BO$1001,MATCH(ROWS($AG$2:AG910),$AG$2:$AG$1001,0),MATCH(COLUMNS($AN$1006:BI1006),$AN$1006:$BO$1006,0)), HYPERLINK("#",""), HYPERLINK(CONCATENATE("#Metadata!", ADDRESS(INDEX($AI$2:$AI$1001,MATCH(ROWS($AG$2:AG910),$AG$2:$AG$1001,0),0), INDEX($AN$1004:$BO$1004,1,MATCH(COLUMNS($AN$1006:BI1006),$AN$1006:$BO$1006,0)))),"Fix")))</f>
        <v>0</v>
      </c>
      <c r="X910" s="4">
        <f>IF(OR(INDEX($AH$2:$AH$1001,MATCH(ROWS($AG$2:AG910),$AG$2:$AG$1001,0),1)&gt;=100000,INDEX($AN$1005:$BO$1005,1,MATCH(COLUMNS($AN$1006:BJ1006),$AN$1006:$BO$1006,0))&gt;=100000), " ",IF(INDEX($AN$2:$BO$1001,MATCH(ROWS($AG$2:AG910),$AG$2:$AG$1001,0),MATCH(COLUMNS($AN$1006:BJ1006),$AN$1006:$BO$1006,0)), HYPERLINK("#",""), HYPERLINK(CONCATENATE("#Metadata!", ADDRESS(INDEX($AI$2:$AI$1001,MATCH(ROWS($AG$2:AG910),$AG$2:$AG$1001,0),0), INDEX($AN$1004:$BO$1004,1,MATCH(COLUMNS($AN$1006:BJ1006),$AN$1006:$BO$1006,0)))),"Fix")))</f>
        <v>0</v>
      </c>
      <c r="Y910" s="4">
        <f>IF(OR(INDEX($AH$2:$AH$1001,MATCH(ROWS($AG$2:AG910),$AG$2:$AG$1001,0),1)&gt;=100000,INDEX($AN$1005:$BO$1005,1,MATCH(COLUMNS($AN$1006:BK1006),$AN$1006:$BO$1006,0))&gt;=100000), " ",IF(INDEX($AN$2:$BO$1001,MATCH(ROWS($AG$2:AG910),$AG$2:$AG$1001,0),MATCH(COLUMNS($AN$1006:BK1006),$AN$1006:$BO$1006,0)), HYPERLINK("#",""), HYPERLINK(CONCATENATE("#Metadata!", ADDRESS(INDEX($AI$2:$AI$1001,MATCH(ROWS($AG$2:AG910),$AG$2:$AG$1001,0),0), INDEX($AN$1004:$BO$1004,1,MATCH(COLUMNS($AN$1006:BK1006),$AN$1006:$BO$1006,0)))),"Fix")))</f>
        <v>0</v>
      </c>
      <c r="Z910" s="4">
        <f>IF(OR(INDEX($AH$2:$AH$1001,MATCH(ROWS($AG$2:AG910),$AG$2:$AG$1001,0),1)&gt;=100000,INDEX($AN$1005:$BO$1005,1,MATCH(COLUMNS($AN$1006:BL1006),$AN$1006:$BO$1006,0))&gt;=100000), " ",IF(INDEX($AN$2:$BO$1001,MATCH(ROWS($AG$2:AG910),$AG$2:$AG$1001,0),MATCH(COLUMNS($AN$1006:BL1006),$AN$1006:$BO$1006,0)), HYPERLINK("#",""), HYPERLINK(CONCATENATE("#Metadata!", ADDRESS(INDEX($AI$2:$AI$1001,MATCH(ROWS($AG$2:AG910),$AG$2:$AG$1001,0),0), INDEX($AN$1004:$BO$1004,1,MATCH(COLUMNS($AN$1006:BL1006),$AN$1006:$BO$1006,0)))),"Fix")))</f>
        <v>0</v>
      </c>
      <c r="AA910" s="4">
        <f>IF(OR(INDEX($AH$2:$AH$1001,MATCH(ROWS($AG$2:AG910),$AG$2:$AG$1001,0),1)&gt;=100000,INDEX($AN$1005:$BO$1005,1,MATCH(COLUMNS($AN$1006:BM1006),$AN$1006:$BO$1006,0))&gt;=100000), " ",IF(INDEX($AN$2:$BO$1001,MATCH(ROWS($AG$2:AG910),$AG$2:$AG$1001,0),MATCH(COLUMNS($AN$1006:BM1006),$AN$1006:$BO$1006,0)), HYPERLINK("#",""), HYPERLINK(CONCATENATE("#Metadata!", ADDRESS(INDEX($AI$2:$AI$1001,MATCH(ROWS($AG$2:AG910),$AG$2:$AG$1001,0),0), INDEX($AN$1004:$BO$1004,1,MATCH(COLUMNS($AN$1006:BM1006),$AN$1006:$BO$1006,0)))),"Fix")))</f>
        <v>0</v>
      </c>
      <c r="AB910" s="4">
        <f>IF(OR(INDEX($AH$2:$AH$1001,MATCH(ROWS($AG$2:AG910),$AG$2:$AG$1001,0),1)&gt;=100000,INDEX($AN$1005:$BO$1005,1,MATCH(COLUMNS($AN$1006:BN1006),$AN$1006:$BO$1006,0))&gt;=100000), " ",IF(INDEX($AN$2:$BO$1001,MATCH(ROWS($AG$2:AG910),$AG$2:$AG$1001,0),MATCH(COLUMNS($AN$1006:BN1006),$AN$1006:$BO$1006,0)), HYPERLINK("#",""), HYPERLINK(CONCATENATE("#Metadata!", ADDRESS(INDEX($AI$2:$AI$1001,MATCH(ROWS($AG$2:AG910),$AG$2:$AG$1001,0),0), INDEX($AN$1004:$BO$1004,1,MATCH(COLUMNS($AN$1006:BN1006),$AN$1006:$BO$1006,0)))),"Fix")))</f>
        <v>0</v>
      </c>
      <c r="AC910" s="4">
        <f>IF(OR(INDEX($AH$2:$AH$1001,MATCH(ROWS($AG$2:AG910),$AG$2:$AG$1001,0),1)&gt;=100000,INDEX($AN$1005:$BO$1005,1,MATCH(COLUMNS($AN$1006:BO1006),$AN$1006:$BO$1006,0))&gt;=100000), " ",IF(INDEX($AN$2:$BO$1001,MATCH(ROWS($AG$2:AG910),$AG$2:$AG$1001,0),MATCH(COLUMNS($AN$1006:BO1006),$AN$1006:$BO$1006,0)), HYPERLINK("#",""), HYPERLINK(CONCATENATE("#Metadata!", ADDRESS(INDEX($AI$2:$AI$1001,MATCH(ROWS($AG$2:AG910),$AG$2:$AG$1001,0),0), INDEX($AN$1004:$BO$1004,1,MATCH(COLUMNS($AN$1006:BO1006),$AN$1006:$BO$1006,0)))),"Fix")))</f>
        <v>0</v>
      </c>
      <c r="AG910">
        <v>0</v>
      </c>
      <c r="AH910">
        <v>0</v>
      </c>
      <c r="AI910">
        <v>0</v>
      </c>
      <c r="AJ910">
        <f>IF(AK910,TRUE,AND(AN910:BO910))</f>
        <v>0</v>
      </c>
      <c r="AK910">
        <f>COUNTBLANK(Metadata!B910:AC910)=COLUMNS(Metadata!B910:AC910)</f>
        <v>0</v>
      </c>
      <c r="AL910">
        <v>0</v>
      </c>
      <c r="AN910">
        <f>AND(IF(Metadata!B910="",FALSE,TRUE),COUNTIF(Metadata!B:B, Metadata!B910) = 1,NOT(ISERROR(SUMPRODUCT(SEARCH(MID(Metadata!B910,ROW(INDIRECT("1:"&amp;LEN(Metadata!B910))), 1),"0123456789abcdefghijklmnopqrstuvwxyzABCDEFGHIJKLMNOPQRSTUVWXYZ.")))))</f>
        <v>0</v>
      </c>
      <c r="AO910">
        <f>IF(Metadata!C910="",FALSE,TRUE)</f>
        <v>0</v>
      </c>
      <c r="AP910">
        <f>IF(Metadata!D910="",FALSE,TRUE)</f>
        <v>0</v>
      </c>
      <c r="AQ910">
        <f>OR(AND(IF(Metadata!E910="",FALSE,TRUE),OR(exact(Metadata!E910,"not collected"),exact(Metadata!E910,"not provided"),exact(Metadata!E910,"restricted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R910">
        <f>IF(Metadata!F910="",FALSE,TRUE)</f>
        <v>0</v>
      </c>
      <c r="AS910">
        <f>OR(AND(IF(Metadata!G910="",FALSE,TRUE),OR(exact(Metadata!G910,"not collected"),exact(Metadata!G910,"not provided"))),AND(IF(Metadata!G910="",FALSE,TRUE),OR(exact(Metadata!G910,"TRUE"),exact(Metadata!G910,"FALSE"))))</f>
        <v>0</v>
      </c>
      <c r="AT910">
        <f>OR(AND(IF(Metadata!H910="",FALSE,TRUE),OR(exact(Metadata!H910,"not collected"),exact(Metadata!H910,"not provided"),exact(Metadata!H910,"restricted access"))),AND(IF(Metadata!H910="",FALSE,ISNUMBER(VALUE(Metadata!H910))),Metadata!H910&gt;=-413.0))</f>
        <v>0</v>
      </c>
      <c r="AU910">
        <f>AND(IF(Metadata!I910="",FALSE,TRUE),exact(Metadata!I910,"meters"))</f>
        <v>0</v>
      </c>
      <c r="AV910">
        <f>AND(IF(Metadata!J910="",FALSE,TRUE),OR(exact(Metadata!J910,"Host-associated"),exact(Metadata!J910,"Free-living")))</f>
        <v>0</v>
      </c>
      <c r="AW910">
        <f>AND(IF(Metadata!K910="",FALSE,TRUE),OR(exact(Metadata!K910,"Animal"),exact(Metadata!K910,"Fungus"),exact(Metadata!K910,"Plant"),exact(Metadata!K910,"Saline"),exact(Metadata!K910,"Non-saline")))</f>
        <v>0</v>
      </c>
      <c r="AX910">
        <f>AND(IF(Metadata!L910="",FALSE,TRUE),OR(exact(Metadata!L910,"Plant secretion"),exact(Metadata!L910,"Plant rhizosphere"),exact(Metadata!L910,"Plant surface"),exact(Metadata!L910,"Plant corpus"),exact(Metadata!L910,"Fungus surface"),exact(Metadata!L910,"Fungus corpus"),exact(Metadata!L910,"Animal surface"),exact(Metadata!L910,"Animal proximal gut"),exact(Metadata!L910,"Animal corpus"),exact(Metadata!L910,"Animal distal gut"),exact(Metadata!L910,"Animal secretion"),exact(Metadata!L910,"Sub-surface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Y910">
        <f>IF(Metadata!M910="",FALSE,TRUE)</f>
        <v>0</v>
      </c>
      <c r="AZ910">
        <f>IF(Metadata!N910="",FALSE,TRUE)</f>
        <v>0</v>
      </c>
      <c r="BA910">
        <f>IF(Metadata!O910="",FALSE,TRUE)</f>
        <v>0</v>
      </c>
      <c r="BB910">
        <f>OR(AND(IF(Metadata!P910="",FALSE,TRUE),OR(exact(Metadata!P910,"not collected"),exact(Metadata!P910,"not provided"),exact(Metadata!P910,"restricted access"))),AND(IF(Metadata!P910="",FALSE,TRUE),OR(exact(Metadata!P910,"air"),exact(Metadata!P910,"built environment"),exact(Metadata!P910,"host-associated"),exact(Metadata!P910,"human-associated"),exact(Metadata!P910,"human-skin"),exact(Metadata!P910,"human-oral"),exact(Metadata!P910,"human-gut"),exact(Metadata!P910,"human-vaginal"),exact(Metadata!P910,"microbial mat/biofilm"),exact(Metadata!P910,"misc environment"),exact(Metadata!P910,"plant-associated"),exact(Metadata!P910,"sediment"),exact(Metadata!P910,"soil"),exact(Metadata!P910,"wastewater/sludge"),exact(Metadata!P910,"water"))))</f>
        <v>0</v>
      </c>
      <c r="BC910">
        <f>IF(Metadata!Q910="",FALSE,TRUE)</f>
        <v>0</v>
      </c>
      <c r="BD910">
        <f>IF(Metadata!R910="",FALSE,TRUE)</f>
        <v>0</v>
      </c>
      <c r="BE910">
        <f>OR(AND(IF(Metadata!S910="",FALSE,TRUE),OR(exact(Metadata!S910,"not collected"),exact(Metadata!S910,"not provided"),exact(Metadata!S910,"restricted access"))),AND(IF(Metadata!S910="",FALSE,ISNUMBER(VALUE(Metadata!S910))),Metadata!S910&gt;=-90.00,Metadata!S910&lt;=90.00))</f>
        <v>0</v>
      </c>
      <c r="BF910">
        <f>AND(IF(Metadata!T910="",FALSE,TRUE),exact(Metadata!T910,"Decimal degrees"))</f>
        <v>0</v>
      </c>
      <c r="BG910">
        <f>OR(AND(IF(Metadata!U910="",FALSE,TRUE),OR(exact(Metadata!U910,"not collected"),exact(Metadata!U910,"not provided"),exact(Metadata!U910,"restricted access"))),AND(IF(Metadata!U910="",FALSE,ISNUMBER(VALUE(Metadata!U910))),Metadata!U910&gt;=-180.00,Metadata!U910&lt;=180.00))</f>
        <v>0</v>
      </c>
      <c r="BH910">
        <f>AND(IF(Metadata!V910="",FALSE,TRUE),exact(Metadata!V910,"Decimal degrees"))</f>
        <v>0</v>
      </c>
      <c r="BI910">
        <f>IF(Metadata!W910="",FALSE,TRUE)</f>
        <v>0</v>
      </c>
      <c r="BJ910">
        <f>OR(AND(IF(Metadata!X910="",FALSE,TRUE),OR(exact(Metadata!X910,"not collected"),exact(Metadata!X910,"not provided"),exact(Metadata!X910,"restricted access"))),AND(IF(Metadata!X910="",FALSE,TRUE),OR(exact(Metadata!X910,"TRUE"),exact(Metadata!X910,"FALSE"))))</f>
        <v>0</v>
      </c>
      <c r="BK910">
        <f>AND(IF(Metadata!Y910="",FALSE,TRUE),exact(Metadata!Y910,"other"))</f>
        <v>0</v>
      </c>
      <c r="BL910">
        <f>IF(Metadata!Z910="",FALSE,TRUE)</f>
        <v>0</v>
      </c>
      <c r="BM910">
        <f>OR(AND(IF(Metadata!AA910="",FALSE,TRUE),OR(exact(Metadata!AA910,"not collected"),exact(Metadata!AA910,"not provided"))),AND(IF(Metadata!AA910="",FALSE,IF(ISERROR(INT(Metadata!AA910)),FALSE,INT(Metadata!AA910)=Metadata!AA910)),Metadata!AA910&gt;0))</f>
        <v>0</v>
      </c>
      <c r="BN910">
        <f>AND(IF(Metadata!AB910="",FALSE,TRUE),exact(Metadata!AB910,"Not applicable"))</f>
        <v>0</v>
      </c>
      <c r="BO910">
        <f>IF(Metadata!AC910="",FALSE,TRUE)</f>
        <v>0</v>
      </c>
    </row>
    <row r="911" spans="1:67">
      <c r="A911" s="5">
        <f>IF(B911=" "," ",HYPERLINK(CONCATENATE("#metadata!",ADDRESS(INDEX($AI$2:$AI$1001,MATCH(ROWS($AG$2:AG911),$AG$2:$AG$1001,0),0),1)),INDEX($AL$2:$AL$1001,MATCH(ROWS($AG$2:AG911),$AG$2:$AG$1001,0),0)))</f>
        <v>0</v>
      </c>
      <c r="B911" s="4">
        <f>IF(OR(INDEX($AH$2:$AH$1001,MATCH(ROWS($AG$2:AG911),$AG$2:$AG$1001,0),1)&gt;=100000,INDEX($AN$1005:$BO$1005,1,MATCH(COLUMNS($AN$1006:AN1006),$AN$1006:$BO$1006,0))&gt;=100000), " ",IF(INDEX($AN$2:$BO$1001,MATCH(ROWS($AG$2:AG911),$AG$2:$AG$1001,0),MATCH(COLUMNS($AN$1006:AN1006),$AN$1006:$BO$1006,0)), HYPERLINK("#",""), HYPERLINK(CONCATENATE("#Metadata!", ADDRESS(INDEX($AI$2:$AI$1001,MATCH(ROWS($AG$2:AG911),$AG$2:$AG$1001,0),0), INDEX($AN$1004:$BO$1004,1,MATCH(COLUMNS($AN$1006:AN1006),$AN$1006:$BO$1006,0)))),"Fix")))</f>
        <v>0</v>
      </c>
      <c r="C911" s="4">
        <f>IF(OR(INDEX($AH$2:$AH$1001,MATCH(ROWS($AG$2:AG911),$AG$2:$AG$1001,0),1)&gt;=100000,INDEX($AN$1005:$BO$1005,1,MATCH(COLUMNS($AN$1006:AO1006),$AN$1006:$BO$1006,0))&gt;=100000), " ",IF(INDEX($AN$2:$BO$1001,MATCH(ROWS($AG$2:AG911),$AG$2:$AG$1001,0),MATCH(COLUMNS($AN$1006:AO1006),$AN$1006:$BO$1006,0)), HYPERLINK("#",""), HYPERLINK(CONCATENATE("#Metadata!", ADDRESS(INDEX($AI$2:$AI$1001,MATCH(ROWS($AG$2:AG911),$AG$2:$AG$1001,0),0), INDEX($AN$1004:$BO$1004,1,MATCH(COLUMNS($AN$1006:AO1006),$AN$1006:$BO$1006,0)))),"Fix")))</f>
        <v>0</v>
      </c>
      <c r="D911" s="4">
        <f>IF(OR(INDEX($AH$2:$AH$1001,MATCH(ROWS($AG$2:AG911),$AG$2:$AG$1001,0),1)&gt;=100000,INDEX($AN$1005:$BO$1005,1,MATCH(COLUMNS($AN$1006:AP1006),$AN$1006:$BO$1006,0))&gt;=100000), " ",IF(INDEX($AN$2:$BO$1001,MATCH(ROWS($AG$2:AG911),$AG$2:$AG$1001,0),MATCH(COLUMNS($AN$1006:AP1006),$AN$1006:$BO$1006,0)), HYPERLINK("#",""), HYPERLINK(CONCATENATE("#Metadata!", ADDRESS(INDEX($AI$2:$AI$1001,MATCH(ROWS($AG$2:AG911),$AG$2:$AG$1001,0),0), INDEX($AN$1004:$BO$1004,1,MATCH(COLUMNS($AN$1006:AP1006),$AN$1006:$BO$1006,0)))),"Fix")))</f>
        <v>0</v>
      </c>
      <c r="E911" s="4">
        <f>IF(OR(INDEX($AH$2:$AH$1001,MATCH(ROWS($AG$2:AG911),$AG$2:$AG$1001,0),1)&gt;=100000,INDEX($AN$1005:$BO$1005,1,MATCH(COLUMNS($AN$1006:AQ1006),$AN$1006:$BO$1006,0))&gt;=100000), " ",IF(INDEX($AN$2:$BO$1001,MATCH(ROWS($AG$2:AG911),$AG$2:$AG$1001,0),MATCH(COLUMNS($AN$1006:AQ1006),$AN$1006:$BO$1006,0)), HYPERLINK("#",""), HYPERLINK(CONCATENATE("#Metadata!", ADDRESS(INDEX($AI$2:$AI$1001,MATCH(ROWS($AG$2:AG911),$AG$2:$AG$1001,0),0), INDEX($AN$1004:$BO$1004,1,MATCH(COLUMNS($AN$1006:AQ1006),$AN$1006:$BO$1006,0)))),"Fix")))</f>
        <v>0</v>
      </c>
      <c r="F911" s="4">
        <f>IF(OR(INDEX($AH$2:$AH$1001,MATCH(ROWS($AG$2:AG911),$AG$2:$AG$1001,0),1)&gt;=100000,INDEX($AN$1005:$BO$1005,1,MATCH(COLUMNS($AN$1006:AR1006),$AN$1006:$BO$1006,0))&gt;=100000), " ",IF(INDEX($AN$2:$BO$1001,MATCH(ROWS($AG$2:AG911),$AG$2:$AG$1001,0),MATCH(COLUMNS($AN$1006:AR1006),$AN$1006:$BO$1006,0)), HYPERLINK("#",""), HYPERLINK(CONCATENATE("#Metadata!", ADDRESS(INDEX($AI$2:$AI$1001,MATCH(ROWS($AG$2:AG911),$AG$2:$AG$1001,0),0), INDEX($AN$1004:$BO$1004,1,MATCH(COLUMNS($AN$1006:AR1006),$AN$1006:$BO$1006,0)))),"Fix")))</f>
        <v>0</v>
      </c>
      <c r="G911" s="4">
        <f>IF(OR(INDEX($AH$2:$AH$1001,MATCH(ROWS($AG$2:AG911),$AG$2:$AG$1001,0),1)&gt;=100000,INDEX($AN$1005:$BO$1005,1,MATCH(COLUMNS($AN$1006:AS1006),$AN$1006:$BO$1006,0))&gt;=100000), " ",IF(INDEX($AN$2:$BO$1001,MATCH(ROWS($AG$2:AG911),$AG$2:$AG$1001,0),MATCH(COLUMNS($AN$1006:AS1006),$AN$1006:$BO$1006,0)), HYPERLINK("#",""), HYPERLINK(CONCATENATE("#Metadata!", ADDRESS(INDEX($AI$2:$AI$1001,MATCH(ROWS($AG$2:AG911),$AG$2:$AG$1001,0),0), INDEX($AN$1004:$BO$1004,1,MATCH(COLUMNS($AN$1006:AS1006),$AN$1006:$BO$1006,0)))),"Fix")))</f>
        <v>0</v>
      </c>
      <c r="H911" s="4">
        <f>IF(OR(INDEX($AH$2:$AH$1001,MATCH(ROWS($AG$2:AG911),$AG$2:$AG$1001,0),1)&gt;=100000,INDEX($AN$1005:$BO$1005,1,MATCH(COLUMNS($AN$1006:AT1006),$AN$1006:$BO$1006,0))&gt;=100000), " ",IF(INDEX($AN$2:$BO$1001,MATCH(ROWS($AG$2:AG911),$AG$2:$AG$1001,0),MATCH(COLUMNS($AN$1006:AT1006),$AN$1006:$BO$1006,0)), HYPERLINK("#",""), HYPERLINK(CONCATENATE("#Metadata!", ADDRESS(INDEX($AI$2:$AI$1001,MATCH(ROWS($AG$2:AG911),$AG$2:$AG$1001,0),0), INDEX($AN$1004:$BO$1004,1,MATCH(COLUMNS($AN$1006:AT1006),$AN$1006:$BO$1006,0)))),"Fix")))</f>
        <v>0</v>
      </c>
      <c r="I911" s="4">
        <f>IF(OR(INDEX($AH$2:$AH$1001,MATCH(ROWS($AG$2:AG911),$AG$2:$AG$1001,0),1)&gt;=100000,INDEX($AN$1005:$BO$1005,1,MATCH(COLUMNS($AN$1006:AU1006),$AN$1006:$BO$1006,0))&gt;=100000), " ",IF(INDEX($AN$2:$BO$1001,MATCH(ROWS($AG$2:AG911),$AG$2:$AG$1001,0),MATCH(COLUMNS($AN$1006:AU1006),$AN$1006:$BO$1006,0)), HYPERLINK("#",""), HYPERLINK(CONCATENATE("#Metadata!", ADDRESS(INDEX($AI$2:$AI$1001,MATCH(ROWS($AG$2:AG911),$AG$2:$AG$1001,0),0), INDEX($AN$1004:$BO$1004,1,MATCH(COLUMNS($AN$1006:AU1006),$AN$1006:$BO$1006,0)))),"Fix")))</f>
        <v>0</v>
      </c>
      <c r="J911" s="4">
        <f>IF(OR(INDEX($AH$2:$AH$1001,MATCH(ROWS($AG$2:AG911),$AG$2:$AG$1001,0),1)&gt;=100000,INDEX($AN$1005:$BO$1005,1,MATCH(COLUMNS($AN$1006:AV1006),$AN$1006:$BO$1006,0))&gt;=100000), " ",IF(INDEX($AN$2:$BO$1001,MATCH(ROWS($AG$2:AG911),$AG$2:$AG$1001,0),MATCH(COLUMNS($AN$1006:AV1006),$AN$1006:$BO$1006,0)), HYPERLINK("#",""), HYPERLINK(CONCATENATE("#Metadata!", ADDRESS(INDEX($AI$2:$AI$1001,MATCH(ROWS($AG$2:AG911),$AG$2:$AG$1001,0),0), INDEX($AN$1004:$BO$1004,1,MATCH(COLUMNS($AN$1006:AV1006),$AN$1006:$BO$1006,0)))),"Fix")))</f>
        <v>0</v>
      </c>
      <c r="K911" s="4">
        <f>IF(OR(INDEX($AH$2:$AH$1001,MATCH(ROWS($AG$2:AG911),$AG$2:$AG$1001,0),1)&gt;=100000,INDEX($AN$1005:$BO$1005,1,MATCH(COLUMNS($AN$1006:AW1006),$AN$1006:$BO$1006,0))&gt;=100000), " ",IF(INDEX($AN$2:$BO$1001,MATCH(ROWS($AG$2:AG911),$AG$2:$AG$1001,0),MATCH(COLUMNS($AN$1006:AW1006),$AN$1006:$BO$1006,0)), HYPERLINK("#",""), HYPERLINK(CONCATENATE("#Metadata!", ADDRESS(INDEX($AI$2:$AI$1001,MATCH(ROWS($AG$2:AG911),$AG$2:$AG$1001,0),0), INDEX($AN$1004:$BO$1004,1,MATCH(COLUMNS($AN$1006:AW1006),$AN$1006:$BO$1006,0)))),"Fix")))</f>
        <v>0</v>
      </c>
      <c r="L911" s="4">
        <f>IF(OR(INDEX($AH$2:$AH$1001,MATCH(ROWS($AG$2:AG911),$AG$2:$AG$1001,0),1)&gt;=100000,INDEX($AN$1005:$BO$1005,1,MATCH(COLUMNS($AN$1006:AX1006),$AN$1006:$BO$1006,0))&gt;=100000), " ",IF(INDEX($AN$2:$BO$1001,MATCH(ROWS($AG$2:AG911),$AG$2:$AG$1001,0),MATCH(COLUMNS($AN$1006:AX1006),$AN$1006:$BO$1006,0)), HYPERLINK("#",""), HYPERLINK(CONCATENATE("#Metadata!", ADDRESS(INDEX($AI$2:$AI$1001,MATCH(ROWS($AG$2:AG911),$AG$2:$AG$1001,0),0), INDEX($AN$1004:$BO$1004,1,MATCH(COLUMNS($AN$1006:AX1006),$AN$1006:$BO$1006,0)))),"Fix")))</f>
        <v>0</v>
      </c>
      <c r="M911" s="4">
        <f>IF(OR(INDEX($AH$2:$AH$1001,MATCH(ROWS($AG$2:AG911),$AG$2:$AG$1001,0),1)&gt;=100000,INDEX($AN$1005:$BO$1005,1,MATCH(COLUMNS($AN$1006:AY1006),$AN$1006:$BO$1006,0))&gt;=100000), " ",IF(INDEX($AN$2:$BO$1001,MATCH(ROWS($AG$2:AG911),$AG$2:$AG$1001,0),MATCH(COLUMNS($AN$1006:AY1006),$AN$1006:$BO$1006,0)), HYPERLINK("#",""), HYPERLINK(CONCATENATE("#Metadata!", ADDRESS(INDEX($AI$2:$AI$1001,MATCH(ROWS($AG$2:AG911),$AG$2:$AG$1001,0),0), INDEX($AN$1004:$BO$1004,1,MATCH(COLUMNS($AN$1006:AY1006),$AN$1006:$BO$1006,0)))),"Fix")))</f>
        <v>0</v>
      </c>
      <c r="N911" s="4">
        <f>IF(OR(INDEX($AH$2:$AH$1001,MATCH(ROWS($AG$2:AG911),$AG$2:$AG$1001,0),1)&gt;=100000,INDEX($AN$1005:$BO$1005,1,MATCH(COLUMNS($AN$1006:AZ1006),$AN$1006:$BO$1006,0))&gt;=100000), " ",IF(INDEX($AN$2:$BO$1001,MATCH(ROWS($AG$2:AG911),$AG$2:$AG$1001,0),MATCH(COLUMNS($AN$1006:AZ1006),$AN$1006:$BO$1006,0)), HYPERLINK("#",""), HYPERLINK(CONCATENATE("#Metadata!", ADDRESS(INDEX($AI$2:$AI$1001,MATCH(ROWS($AG$2:AG911),$AG$2:$AG$1001,0),0), INDEX($AN$1004:$BO$1004,1,MATCH(COLUMNS($AN$1006:AZ1006),$AN$1006:$BO$1006,0)))),"Fix")))</f>
        <v>0</v>
      </c>
      <c r="O911" s="4">
        <f>IF(OR(INDEX($AH$2:$AH$1001,MATCH(ROWS($AG$2:AG911),$AG$2:$AG$1001,0),1)&gt;=100000,INDEX($AN$1005:$BO$1005,1,MATCH(COLUMNS($AN$1006:BA1006),$AN$1006:$BO$1006,0))&gt;=100000), " ",IF(INDEX($AN$2:$BO$1001,MATCH(ROWS($AG$2:AG911),$AG$2:$AG$1001,0),MATCH(COLUMNS($AN$1006:BA1006),$AN$1006:$BO$1006,0)), HYPERLINK("#",""), HYPERLINK(CONCATENATE("#Metadata!", ADDRESS(INDEX($AI$2:$AI$1001,MATCH(ROWS($AG$2:AG911),$AG$2:$AG$1001,0),0), INDEX($AN$1004:$BO$1004,1,MATCH(COLUMNS($AN$1006:BA1006),$AN$1006:$BO$1006,0)))),"Fix")))</f>
        <v>0</v>
      </c>
      <c r="P911" s="4">
        <f>IF(OR(INDEX($AH$2:$AH$1001,MATCH(ROWS($AG$2:AG911),$AG$2:$AG$1001,0),1)&gt;=100000,INDEX($AN$1005:$BO$1005,1,MATCH(COLUMNS($AN$1006:BB1006),$AN$1006:$BO$1006,0))&gt;=100000), " ",IF(INDEX($AN$2:$BO$1001,MATCH(ROWS($AG$2:AG911),$AG$2:$AG$1001,0),MATCH(COLUMNS($AN$1006:BB1006),$AN$1006:$BO$1006,0)), HYPERLINK("#",""), HYPERLINK(CONCATENATE("#Metadata!", ADDRESS(INDEX($AI$2:$AI$1001,MATCH(ROWS($AG$2:AG911),$AG$2:$AG$1001,0),0), INDEX($AN$1004:$BO$1004,1,MATCH(COLUMNS($AN$1006:BB1006),$AN$1006:$BO$1006,0)))),"Fix")))</f>
        <v>0</v>
      </c>
      <c r="Q911" s="4">
        <f>IF(OR(INDEX($AH$2:$AH$1001,MATCH(ROWS($AG$2:AG911),$AG$2:$AG$1001,0),1)&gt;=100000,INDEX($AN$1005:$BO$1005,1,MATCH(COLUMNS($AN$1006:BC1006),$AN$1006:$BO$1006,0))&gt;=100000), " ",IF(INDEX($AN$2:$BO$1001,MATCH(ROWS($AG$2:AG911),$AG$2:$AG$1001,0),MATCH(COLUMNS($AN$1006:BC1006),$AN$1006:$BO$1006,0)), HYPERLINK("#",""), HYPERLINK(CONCATENATE("#Metadata!", ADDRESS(INDEX($AI$2:$AI$1001,MATCH(ROWS($AG$2:AG911),$AG$2:$AG$1001,0),0), INDEX($AN$1004:$BO$1004,1,MATCH(COLUMNS($AN$1006:BC1006),$AN$1006:$BO$1006,0)))),"Fix")))</f>
        <v>0</v>
      </c>
      <c r="R911" s="4">
        <f>IF(OR(INDEX($AH$2:$AH$1001,MATCH(ROWS($AG$2:AG911),$AG$2:$AG$1001,0),1)&gt;=100000,INDEX($AN$1005:$BO$1005,1,MATCH(COLUMNS($AN$1006:BD1006),$AN$1006:$BO$1006,0))&gt;=100000), " ",IF(INDEX($AN$2:$BO$1001,MATCH(ROWS($AG$2:AG911),$AG$2:$AG$1001,0),MATCH(COLUMNS($AN$1006:BD1006),$AN$1006:$BO$1006,0)), HYPERLINK("#",""), HYPERLINK(CONCATENATE("#Metadata!", ADDRESS(INDEX($AI$2:$AI$1001,MATCH(ROWS($AG$2:AG911),$AG$2:$AG$1001,0),0), INDEX($AN$1004:$BO$1004,1,MATCH(COLUMNS($AN$1006:BD1006),$AN$1006:$BO$1006,0)))),"Fix")))</f>
        <v>0</v>
      </c>
      <c r="S911" s="4">
        <f>IF(OR(INDEX($AH$2:$AH$1001,MATCH(ROWS($AG$2:AG911),$AG$2:$AG$1001,0),1)&gt;=100000,INDEX($AN$1005:$BO$1005,1,MATCH(COLUMNS($AN$1006:BE1006),$AN$1006:$BO$1006,0))&gt;=100000), " ",IF(INDEX($AN$2:$BO$1001,MATCH(ROWS($AG$2:AG911),$AG$2:$AG$1001,0),MATCH(COLUMNS($AN$1006:BE1006),$AN$1006:$BO$1006,0)), HYPERLINK("#",""), HYPERLINK(CONCATENATE("#Metadata!", ADDRESS(INDEX($AI$2:$AI$1001,MATCH(ROWS($AG$2:AG911),$AG$2:$AG$1001,0),0), INDEX($AN$1004:$BO$1004,1,MATCH(COLUMNS($AN$1006:BE1006),$AN$1006:$BO$1006,0)))),"Fix")))</f>
        <v>0</v>
      </c>
      <c r="T911" s="4">
        <f>IF(OR(INDEX($AH$2:$AH$1001,MATCH(ROWS($AG$2:AG911),$AG$2:$AG$1001,0),1)&gt;=100000,INDEX($AN$1005:$BO$1005,1,MATCH(COLUMNS($AN$1006:BF1006),$AN$1006:$BO$1006,0))&gt;=100000), " ",IF(INDEX($AN$2:$BO$1001,MATCH(ROWS($AG$2:AG911),$AG$2:$AG$1001,0),MATCH(COLUMNS($AN$1006:BF1006),$AN$1006:$BO$1006,0)), HYPERLINK("#",""), HYPERLINK(CONCATENATE("#Metadata!", ADDRESS(INDEX($AI$2:$AI$1001,MATCH(ROWS($AG$2:AG911),$AG$2:$AG$1001,0),0), INDEX($AN$1004:$BO$1004,1,MATCH(COLUMNS($AN$1006:BF1006),$AN$1006:$BO$1006,0)))),"Fix")))</f>
        <v>0</v>
      </c>
      <c r="U911" s="4">
        <f>IF(OR(INDEX($AH$2:$AH$1001,MATCH(ROWS($AG$2:AG911),$AG$2:$AG$1001,0),1)&gt;=100000,INDEX($AN$1005:$BO$1005,1,MATCH(COLUMNS($AN$1006:BG1006),$AN$1006:$BO$1006,0))&gt;=100000), " ",IF(INDEX($AN$2:$BO$1001,MATCH(ROWS($AG$2:AG911),$AG$2:$AG$1001,0),MATCH(COLUMNS($AN$1006:BG1006),$AN$1006:$BO$1006,0)), HYPERLINK("#",""), HYPERLINK(CONCATENATE("#Metadata!", ADDRESS(INDEX($AI$2:$AI$1001,MATCH(ROWS($AG$2:AG911),$AG$2:$AG$1001,0),0), INDEX($AN$1004:$BO$1004,1,MATCH(COLUMNS($AN$1006:BG1006),$AN$1006:$BO$1006,0)))),"Fix")))</f>
        <v>0</v>
      </c>
      <c r="V911" s="4">
        <f>IF(OR(INDEX($AH$2:$AH$1001,MATCH(ROWS($AG$2:AG911),$AG$2:$AG$1001,0),1)&gt;=100000,INDEX($AN$1005:$BO$1005,1,MATCH(COLUMNS($AN$1006:BH1006),$AN$1006:$BO$1006,0))&gt;=100000), " ",IF(INDEX($AN$2:$BO$1001,MATCH(ROWS($AG$2:AG911),$AG$2:$AG$1001,0),MATCH(COLUMNS($AN$1006:BH1006),$AN$1006:$BO$1006,0)), HYPERLINK("#",""), HYPERLINK(CONCATENATE("#Metadata!", ADDRESS(INDEX($AI$2:$AI$1001,MATCH(ROWS($AG$2:AG911),$AG$2:$AG$1001,0),0), INDEX($AN$1004:$BO$1004,1,MATCH(COLUMNS($AN$1006:BH1006),$AN$1006:$BO$1006,0)))),"Fix")))</f>
        <v>0</v>
      </c>
      <c r="W911" s="4">
        <f>IF(OR(INDEX($AH$2:$AH$1001,MATCH(ROWS($AG$2:AG911),$AG$2:$AG$1001,0),1)&gt;=100000,INDEX($AN$1005:$BO$1005,1,MATCH(COLUMNS($AN$1006:BI1006),$AN$1006:$BO$1006,0))&gt;=100000), " ",IF(INDEX($AN$2:$BO$1001,MATCH(ROWS($AG$2:AG911),$AG$2:$AG$1001,0),MATCH(COLUMNS($AN$1006:BI1006),$AN$1006:$BO$1006,0)), HYPERLINK("#",""), HYPERLINK(CONCATENATE("#Metadata!", ADDRESS(INDEX($AI$2:$AI$1001,MATCH(ROWS($AG$2:AG911),$AG$2:$AG$1001,0),0), INDEX($AN$1004:$BO$1004,1,MATCH(COLUMNS($AN$1006:BI1006),$AN$1006:$BO$1006,0)))),"Fix")))</f>
        <v>0</v>
      </c>
      <c r="X911" s="4">
        <f>IF(OR(INDEX($AH$2:$AH$1001,MATCH(ROWS($AG$2:AG911),$AG$2:$AG$1001,0),1)&gt;=100000,INDEX($AN$1005:$BO$1005,1,MATCH(COLUMNS($AN$1006:BJ1006),$AN$1006:$BO$1006,0))&gt;=100000), " ",IF(INDEX($AN$2:$BO$1001,MATCH(ROWS($AG$2:AG911),$AG$2:$AG$1001,0),MATCH(COLUMNS($AN$1006:BJ1006),$AN$1006:$BO$1006,0)), HYPERLINK("#",""), HYPERLINK(CONCATENATE("#Metadata!", ADDRESS(INDEX($AI$2:$AI$1001,MATCH(ROWS($AG$2:AG911),$AG$2:$AG$1001,0),0), INDEX($AN$1004:$BO$1004,1,MATCH(COLUMNS($AN$1006:BJ1006),$AN$1006:$BO$1006,0)))),"Fix")))</f>
        <v>0</v>
      </c>
      <c r="Y911" s="4">
        <f>IF(OR(INDEX($AH$2:$AH$1001,MATCH(ROWS($AG$2:AG911),$AG$2:$AG$1001,0),1)&gt;=100000,INDEX($AN$1005:$BO$1005,1,MATCH(COLUMNS($AN$1006:BK1006),$AN$1006:$BO$1006,0))&gt;=100000), " ",IF(INDEX($AN$2:$BO$1001,MATCH(ROWS($AG$2:AG911),$AG$2:$AG$1001,0),MATCH(COLUMNS($AN$1006:BK1006),$AN$1006:$BO$1006,0)), HYPERLINK("#",""), HYPERLINK(CONCATENATE("#Metadata!", ADDRESS(INDEX($AI$2:$AI$1001,MATCH(ROWS($AG$2:AG911),$AG$2:$AG$1001,0),0), INDEX($AN$1004:$BO$1004,1,MATCH(COLUMNS($AN$1006:BK1006),$AN$1006:$BO$1006,0)))),"Fix")))</f>
        <v>0</v>
      </c>
      <c r="Z911" s="4">
        <f>IF(OR(INDEX($AH$2:$AH$1001,MATCH(ROWS($AG$2:AG911),$AG$2:$AG$1001,0),1)&gt;=100000,INDEX($AN$1005:$BO$1005,1,MATCH(COLUMNS($AN$1006:BL1006),$AN$1006:$BO$1006,0))&gt;=100000), " ",IF(INDEX($AN$2:$BO$1001,MATCH(ROWS($AG$2:AG911),$AG$2:$AG$1001,0),MATCH(COLUMNS($AN$1006:BL1006),$AN$1006:$BO$1006,0)), HYPERLINK("#",""), HYPERLINK(CONCATENATE("#Metadata!", ADDRESS(INDEX($AI$2:$AI$1001,MATCH(ROWS($AG$2:AG911),$AG$2:$AG$1001,0),0), INDEX($AN$1004:$BO$1004,1,MATCH(COLUMNS($AN$1006:BL1006),$AN$1006:$BO$1006,0)))),"Fix")))</f>
        <v>0</v>
      </c>
      <c r="AA911" s="4">
        <f>IF(OR(INDEX($AH$2:$AH$1001,MATCH(ROWS($AG$2:AG911),$AG$2:$AG$1001,0),1)&gt;=100000,INDEX($AN$1005:$BO$1005,1,MATCH(COLUMNS($AN$1006:BM1006),$AN$1006:$BO$1006,0))&gt;=100000), " ",IF(INDEX($AN$2:$BO$1001,MATCH(ROWS($AG$2:AG911),$AG$2:$AG$1001,0),MATCH(COLUMNS($AN$1006:BM1006),$AN$1006:$BO$1006,0)), HYPERLINK("#",""), HYPERLINK(CONCATENATE("#Metadata!", ADDRESS(INDEX($AI$2:$AI$1001,MATCH(ROWS($AG$2:AG911),$AG$2:$AG$1001,0),0), INDEX($AN$1004:$BO$1004,1,MATCH(COLUMNS($AN$1006:BM1006),$AN$1006:$BO$1006,0)))),"Fix")))</f>
        <v>0</v>
      </c>
      <c r="AB911" s="4">
        <f>IF(OR(INDEX($AH$2:$AH$1001,MATCH(ROWS($AG$2:AG911),$AG$2:$AG$1001,0),1)&gt;=100000,INDEX($AN$1005:$BO$1005,1,MATCH(COLUMNS($AN$1006:BN1006),$AN$1006:$BO$1006,0))&gt;=100000), " ",IF(INDEX($AN$2:$BO$1001,MATCH(ROWS($AG$2:AG911),$AG$2:$AG$1001,0),MATCH(COLUMNS($AN$1006:BN1006),$AN$1006:$BO$1006,0)), HYPERLINK("#",""), HYPERLINK(CONCATENATE("#Metadata!", ADDRESS(INDEX($AI$2:$AI$1001,MATCH(ROWS($AG$2:AG911),$AG$2:$AG$1001,0),0), INDEX($AN$1004:$BO$1004,1,MATCH(COLUMNS($AN$1006:BN1006),$AN$1006:$BO$1006,0)))),"Fix")))</f>
        <v>0</v>
      </c>
      <c r="AC911" s="4">
        <f>IF(OR(INDEX($AH$2:$AH$1001,MATCH(ROWS($AG$2:AG911),$AG$2:$AG$1001,0),1)&gt;=100000,INDEX($AN$1005:$BO$1005,1,MATCH(COLUMNS($AN$1006:BO1006),$AN$1006:$BO$1006,0))&gt;=100000), " ",IF(INDEX($AN$2:$BO$1001,MATCH(ROWS($AG$2:AG911),$AG$2:$AG$1001,0),MATCH(COLUMNS($AN$1006:BO1006),$AN$1006:$BO$1006,0)), HYPERLINK("#",""), HYPERLINK(CONCATENATE("#Metadata!", ADDRESS(INDEX($AI$2:$AI$1001,MATCH(ROWS($AG$2:AG911),$AG$2:$AG$1001,0),0), INDEX($AN$1004:$BO$1004,1,MATCH(COLUMNS($AN$1006:BO1006),$AN$1006:$BO$1006,0)))),"Fix")))</f>
        <v>0</v>
      </c>
      <c r="AG911">
        <v>0</v>
      </c>
      <c r="AH911">
        <v>0</v>
      </c>
      <c r="AI911">
        <v>0</v>
      </c>
      <c r="AJ911">
        <f>IF(AK911,TRUE,AND(AN911:BO911))</f>
        <v>0</v>
      </c>
      <c r="AK911">
        <f>COUNTBLANK(Metadata!B911:AC911)=COLUMNS(Metadata!B911:AC911)</f>
        <v>0</v>
      </c>
      <c r="AL911">
        <v>0</v>
      </c>
      <c r="AN911">
        <f>AND(IF(Metadata!B911="",FALSE,TRUE),COUNTIF(Metadata!B:B, Metadata!B911) = 1,NOT(ISERROR(SUMPRODUCT(SEARCH(MID(Metadata!B911,ROW(INDIRECT("1:"&amp;LEN(Metadata!B911))), 1),"0123456789abcdefghijklmnopqrstuvwxyzABCDEFGHIJKLMNOPQRSTUVWXYZ.")))))</f>
        <v>0</v>
      </c>
      <c r="AO911">
        <f>IF(Metadata!C911="",FALSE,TRUE)</f>
        <v>0</v>
      </c>
      <c r="AP911">
        <f>IF(Metadata!D911="",FALSE,TRUE)</f>
        <v>0</v>
      </c>
      <c r="AQ911">
        <f>OR(AND(IF(Metadata!E911="",FALSE,TRUE),OR(exact(Metadata!E911,"not collected"),exact(Metadata!E911,"not provided"),exact(Metadata!E911,"restricted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R911">
        <f>IF(Metadata!F911="",FALSE,TRUE)</f>
        <v>0</v>
      </c>
      <c r="AS911">
        <f>OR(AND(IF(Metadata!G911="",FALSE,TRUE),OR(exact(Metadata!G911,"not collected"),exact(Metadata!G911,"not provided"))),AND(IF(Metadata!G911="",FALSE,TRUE),OR(exact(Metadata!G911,"TRUE"),exact(Metadata!G911,"FALSE"))))</f>
        <v>0</v>
      </c>
      <c r="AT911">
        <f>OR(AND(IF(Metadata!H911="",FALSE,TRUE),OR(exact(Metadata!H911,"not collected"),exact(Metadata!H911,"not provided"),exact(Metadata!H911,"restricted access"))),AND(IF(Metadata!H911="",FALSE,ISNUMBER(VALUE(Metadata!H911))),Metadata!H911&gt;=-413.0))</f>
        <v>0</v>
      </c>
      <c r="AU911">
        <f>AND(IF(Metadata!I911="",FALSE,TRUE),exact(Metadata!I911,"meters"))</f>
        <v>0</v>
      </c>
      <c r="AV911">
        <f>AND(IF(Metadata!J911="",FALSE,TRUE),OR(exact(Metadata!J911,"Host-associated"),exact(Metadata!J911,"Free-living")))</f>
        <v>0</v>
      </c>
      <c r="AW911">
        <f>AND(IF(Metadata!K911="",FALSE,TRUE),OR(exact(Metadata!K911,"Animal"),exact(Metadata!K911,"Fungus"),exact(Metadata!K911,"Plant"),exact(Metadata!K911,"Saline"),exact(Metadata!K911,"Non-saline")))</f>
        <v>0</v>
      </c>
      <c r="AX911">
        <f>AND(IF(Metadata!L911="",FALSE,TRUE),OR(exact(Metadata!L911,"Plant secretion"),exact(Metadata!L911,"Plant rhizosphere"),exact(Metadata!L911,"Plant surface"),exact(Metadata!L911,"Plant corpus"),exact(Metadata!L911,"Fungus surface"),exact(Metadata!L911,"Fungus corpus"),exact(Metadata!L911,"Animal surface"),exact(Metadata!L911,"Animal proximal gut"),exact(Metadata!L911,"Animal corpus"),exact(Metadata!L911,"Animal distal gut"),exact(Metadata!L911,"Animal secretion"),exact(Metadata!L911,"Sub-surface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Y911">
        <f>IF(Metadata!M911="",FALSE,TRUE)</f>
        <v>0</v>
      </c>
      <c r="AZ911">
        <f>IF(Metadata!N911="",FALSE,TRUE)</f>
        <v>0</v>
      </c>
      <c r="BA911">
        <f>IF(Metadata!O911="",FALSE,TRUE)</f>
        <v>0</v>
      </c>
      <c r="BB911">
        <f>OR(AND(IF(Metadata!P911="",FALSE,TRUE),OR(exact(Metadata!P911,"not collected"),exact(Metadata!P911,"not provided"),exact(Metadata!P911,"restricted access"))),AND(IF(Metadata!P911="",FALSE,TRUE),OR(exact(Metadata!P911,"air"),exact(Metadata!P911,"built environment"),exact(Metadata!P911,"host-associated"),exact(Metadata!P911,"human-associated"),exact(Metadata!P911,"human-skin"),exact(Metadata!P911,"human-oral"),exact(Metadata!P911,"human-gut"),exact(Metadata!P911,"human-vaginal"),exact(Metadata!P911,"microbial mat/biofilm"),exact(Metadata!P911,"misc environment"),exact(Metadata!P911,"plant-associated"),exact(Metadata!P911,"sediment"),exact(Metadata!P911,"soil"),exact(Metadata!P911,"wastewater/sludge"),exact(Metadata!P911,"water"))))</f>
        <v>0</v>
      </c>
      <c r="BC911">
        <f>IF(Metadata!Q911="",FALSE,TRUE)</f>
        <v>0</v>
      </c>
      <c r="BD911">
        <f>IF(Metadata!R911="",FALSE,TRUE)</f>
        <v>0</v>
      </c>
      <c r="BE911">
        <f>OR(AND(IF(Metadata!S911="",FALSE,TRUE),OR(exact(Metadata!S911,"not collected"),exact(Metadata!S911,"not provided"),exact(Metadata!S911,"restricted access"))),AND(IF(Metadata!S911="",FALSE,ISNUMBER(VALUE(Metadata!S911))),Metadata!S911&gt;=-90.00,Metadata!S911&lt;=90.00))</f>
        <v>0</v>
      </c>
      <c r="BF911">
        <f>AND(IF(Metadata!T911="",FALSE,TRUE),exact(Metadata!T911,"Decimal degrees"))</f>
        <v>0</v>
      </c>
      <c r="BG911">
        <f>OR(AND(IF(Metadata!U911="",FALSE,TRUE),OR(exact(Metadata!U911,"not collected"),exact(Metadata!U911,"not provided"),exact(Metadata!U911,"restricted access"))),AND(IF(Metadata!U911="",FALSE,ISNUMBER(VALUE(Metadata!U911))),Metadata!U911&gt;=-180.00,Metadata!U911&lt;=180.00))</f>
        <v>0</v>
      </c>
      <c r="BH911">
        <f>AND(IF(Metadata!V911="",FALSE,TRUE),exact(Metadata!V911,"Decimal degrees"))</f>
        <v>0</v>
      </c>
      <c r="BI911">
        <f>IF(Metadata!W911="",FALSE,TRUE)</f>
        <v>0</v>
      </c>
      <c r="BJ911">
        <f>OR(AND(IF(Metadata!X911="",FALSE,TRUE),OR(exact(Metadata!X911,"not collected"),exact(Metadata!X911,"not provided"),exact(Metadata!X911,"restricted access"))),AND(IF(Metadata!X911="",FALSE,TRUE),OR(exact(Metadata!X911,"TRUE"),exact(Metadata!X911,"FALSE"))))</f>
        <v>0</v>
      </c>
      <c r="BK911">
        <f>AND(IF(Metadata!Y911="",FALSE,TRUE),exact(Metadata!Y911,"other"))</f>
        <v>0</v>
      </c>
      <c r="BL911">
        <f>IF(Metadata!Z911="",FALSE,TRUE)</f>
        <v>0</v>
      </c>
      <c r="BM911">
        <f>OR(AND(IF(Metadata!AA911="",FALSE,TRUE),OR(exact(Metadata!AA911,"not collected"),exact(Metadata!AA911,"not provided"))),AND(IF(Metadata!AA911="",FALSE,IF(ISERROR(INT(Metadata!AA911)),FALSE,INT(Metadata!AA911)=Metadata!AA911)),Metadata!AA911&gt;0))</f>
        <v>0</v>
      </c>
      <c r="BN911">
        <f>AND(IF(Metadata!AB911="",FALSE,TRUE),exact(Metadata!AB911,"Not applicable"))</f>
        <v>0</v>
      </c>
      <c r="BO911">
        <f>IF(Metadata!AC911="",FALSE,TRUE)</f>
        <v>0</v>
      </c>
    </row>
    <row r="912" spans="1:67">
      <c r="A912" s="5">
        <f>IF(B912=" "," ",HYPERLINK(CONCATENATE("#metadata!",ADDRESS(INDEX($AI$2:$AI$1001,MATCH(ROWS($AG$2:AG912),$AG$2:$AG$1001,0),0),1)),INDEX($AL$2:$AL$1001,MATCH(ROWS($AG$2:AG912),$AG$2:$AG$1001,0),0)))</f>
        <v>0</v>
      </c>
      <c r="B912" s="4">
        <f>IF(OR(INDEX($AH$2:$AH$1001,MATCH(ROWS($AG$2:AG912),$AG$2:$AG$1001,0),1)&gt;=100000,INDEX($AN$1005:$BO$1005,1,MATCH(COLUMNS($AN$1006:AN1006),$AN$1006:$BO$1006,0))&gt;=100000), " ",IF(INDEX($AN$2:$BO$1001,MATCH(ROWS($AG$2:AG912),$AG$2:$AG$1001,0),MATCH(COLUMNS($AN$1006:AN1006),$AN$1006:$BO$1006,0)), HYPERLINK("#",""), HYPERLINK(CONCATENATE("#Metadata!", ADDRESS(INDEX($AI$2:$AI$1001,MATCH(ROWS($AG$2:AG912),$AG$2:$AG$1001,0),0), INDEX($AN$1004:$BO$1004,1,MATCH(COLUMNS($AN$1006:AN1006),$AN$1006:$BO$1006,0)))),"Fix")))</f>
        <v>0</v>
      </c>
      <c r="C912" s="4">
        <f>IF(OR(INDEX($AH$2:$AH$1001,MATCH(ROWS($AG$2:AG912),$AG$2:$AG$1001,0),1)&gt;=100000,INDEX($AN$1005:$BO$1005,1,MATCH(COLUMNS($AN$1006:AO1006),$AN$1006:$BO$1006,0))&gt;=100000), " ",IF(INDEX($AN$2:$BO$1001,MATCH(ROWS($AG$2:AG912),$AG$2:$AG$1001,0),MATCH(COLUMNS($AN$1006:AO1006),$AN$1006:$BO$1006,0)), HYPERLINK("#",""), HYPERLINK(CONCATENATE("#Metadata!", ADDRESS(INDEX($AI$2:$AI$1001,MATCH(ROWS($AG$2:AG912),$AG$2:$AG$1001,0),0), INDEX($AN$1004:$BO$1004,1,MATCH(COLUMNS($AN$1006:AO1006),$AN$1006:$BO$1006,0)))),"Fix")))</f>
        <v>0</v>
      </c>
      <c r="D912" s="4">
        <f>IF(OR(INDEX($AH$2:$AH$1001,MATCH(ROWS($AG$2:AG912),$AG$2:$AG$1001,0),1)&gt;=100000,INDEX($AN$1005:$BO$1005,1,MATCH(COLUMNS($AN$1006:AP1006),$AN$1006:$BO$1006,0))&gt;=100000), " ",IF(INDEX($AN$2:$BO$1001,MATCH(ROWS($AG$2:AG912),$AG$2:$AG$1001,0),MATCH(COLUMNS($AN$1006:AP1006),$AN$1006:$BO$1006,0)), HYPERLINK("#",""), HYPERLINK(CONCATENATE("#Metadata!", ADDRESS(INDEX($AI$2:$AI$1001,MATCH(ROWS($AG$2:AG912),$AG$2:$AG$1001,0),0), INDEX($AN$1004:$BO$1004,1,MATCH(COLUMNS($AN$1006:AP1006),$AN$1006:$BO$1006,0)))),"Fix")))</f>
        <v>0</v>
      </c>
      <c r="E912" s="4">
        <f>IF(OR(INDEX($AH$2:$AH$1001,MATCH(ROWS($AG$2:AG912),$AG$2:$AG$1001,0),1)&gt;=100000,INDEX($AN$1005:$BO$1005,1,MATCH(COLUMNS($AN$1006:AQ1006),$AN$1006:$BO$1006,0))&gt;=100000), " ",IF(INDEX($AN$2:$BO$1001,MATCH(ROWS($AG$2:AG912),$AG$2:$AG$1001,0),MATCH(COLUMNS($AN$1006:AQ1006),$AN$1006:$BO$1006,0)), HYPERLINK("#",""), HYPERLINK(CONCATENATE("#Metadata!", ADDRESS(INDEX($AI$2:$AI$1001,MATCH(ROWS($AG$2:AG912),$AG$2:$AG$1001,0),0), INDEX($AN$1004:$BO$1004,1,MATCH(COLUMNS($AN$1006:AQ1006),$AN$1006:$BO$1006,0)))),"Fix")))</f>
        <v>0</v>
      </c>
      <c r="F912" s="4">
        <f>IF(OR(INDEX($AH$2:$AH$1001,MATCH(ROWS($AG$2:AG912),$AG$2:$AG$1001,0),1)&gt;=100000,INDEX($AN$1005:$BO$1005,1,MATCH(COLUMNS($AN$1006:AR1006),$AN$1006:$BO$1006,0))&gt;=100000), " ",IF(INDEX($AN$2:$BO$1001,MATCH(ROWS($AG$2:AG912),$AG$2:$AG$1001,0),MATCH(COLUMNS($AN$1006:AR1006),$AN$1006:$BO$1006,0)), HYPERLINK("#",""), HYPERLINK(CONCATENATE("#Metadata!", ADDRESS(INDEX($AI$2:$AI$1001,MATCH(ROWS($AG$2:AG912),$AG$2:$AG$1001,0),0), INDEX($AN$1004:$BO$1004,1,MATCH(COLUMNS($AN$1006:AR1006),$AN$1006:$BO$1006,0)))),"Fix")))</f>
        <v>0</v>
      </c>
      <c r="G912" s="4">
        <f>IF(OR(INDEX($AH$2:$AH$1001,MATCH(ROWS($AG$2:AG912),$AG$2:$AG$1001,0),1)&gt;=100000,INDEX($AN$1005:$BO$1005,1,MATCH(COLUMNS($AN$1006:AS1006),$AN$1006:$BO$1006,0))&gt;=100000), " ",IF(INDEX($AN$2:$BO$1001,MATCH(ROWS($AG$2:AG912),$AG$2:$AG$1001,0),MATCH(COLUMNS($AN$1006:AS1006),$AN$1006:$BO$1006,0)), HYPERLINK("#",""), HYPERLINK(CONCATENATE("#Metadata!", ADDRESS(INDEX($AI$2:$AI$1001,MATCH(ROWS($AG$2:AG912),$AG$2:$AG$1001,0),0), INDEX($AN$1004:$BO$1004,1,MATCH(COLUMNS($AN$1006:AS1006),$AN$1006:$BO$1006,0)))),"Fix")))</f>
        <v>0</v>
      </c>
      <c r="H912" s="4">
        <f>IF(OR(INDEX($AH$2:$AH$1001,MATCH(ROWS($AG$2:AG912),$AG$2:$AG$1001,0),1)&gt;=100000,INDEX($AN$1005:$BO$1005,1,MATCH(COLUMNS($AN$1006:AT1006),$AN$1006:$BO$1006,0))&gt;=100000), " ",IF(INDEX($AN$2:$BO$1001,MATCH(ROWS($AG$2:AG912),$AG$2:$AG$1001,0),MATCH(COLUMNS($AN$1006:AT1006),$AN$1006:$BO$1006,0)), HYPERLINK("#",""), HYPERLINK(CONCATENATE("#Metadata!", ADDRESS(INDEX($AI$2:$AI$1001,MATCH(ROWS($AG$2:AG912),$AG$2:$AG$1001,0),0), INDEX($AN$1004:$BO$1004,1,MATCH(COLUMNS($AN$1006:AT1006),$AN$1006:$BO$1006,0)))),"Fix")))</f>
        <v>0</v>
      </c>
      <c r="I912" s="4">
        <f>IF(OR(INDEX($AH$2:$AH$1001,MATCH(ROWS($AG$2:AG912),$AG$2:$AG$1001,0),1)&gt;=100000,INDEX($AN$1005:$BO$1005,1,MATCH(COLUMNS($AN$1006:AU1006),$AN$1006:$BO$1006,0))&gt;=100000), " ",IF(INDEX($AN$2:$BO$1001,MATCH(ROWS($AG$2:AG912),$AG$2:$AG$1001,0),MATCH(COLUMNS($AN$1006:AU1006),$AN$1006:$BO$1006,0)), HYPERLINK("#",""), HYPERLINK(CONCATENATE("#Metadata!", ADDRESS(INDEX($AI$2:$AI$1001,MATCH(ROWS($AG$2:AG912),$AG$2:$AG$1001,0),0), INDEX($AN$1004:$BO$1004,1,MATCH(COLUMNS($AN$1006:AU1006),$AN$1006:$BO$1006,0)))),"Fix")))</f>
        <v>0</v>
      </c>
      <c r="J912" s="4">
        <f>IF(OR(INDEX($AH$2:$AH$1001,MATCH(ROWS($AG$2:AG912),$AG$2:$AG$1001,0),1)&gt;=100000,INDEX($AN$1005:$BO$1005,1,MATCH(COLUMNS($AN$1006:AV1006),$AN$1006:$BO$1006,0))&gt;=100000), " ",IF(INDEX($AN$2:$BO$1001,MATCH(ROWS($AG$2:AG912),$AG$2:$AG$1001,0),MATCH(COLUMNS($AN$1006:AV1006),$AN$1006:$BO$1006,0)), HYPERLINK("#",""), HYPERLINK(CONCATENATE("#Metadata!", ADDRESS(INDEX($AI$2:$AI$1001,MATCH(ROWS($AG$2:AG912),$AG$2:$AG$1001,0),0), INDEX($AN$1004:$BO$1004,1,MATCH(COLUMNS($AN$1006:AV1006),$AN$1006:$BO$1006,0)))),"Fix")))</f>
        <v>0</v>
      </c>
      <c r="K912" s="4">
        <f>IF(OR(INDEX($AH$2:$AH$1001,MATCH(ROWS($AG$2:AG912),$AG$2:$AG$1001,0),1)&gt;=100000,INDEX($AN$1005:$BO$1005,1,MATCH(COLUMNS($AN$1006:AW1006),$AN$1006:$BO$1006,0))&gt;=100000), " ",IF(INDEX($AN$2:$BO$1001,MATCH(ROWS($AG$2:AG912),$AG$2:$AG$1001,0),MATCH(COLUMNS($AN$1006:AW1006),$AN$1006:$BO$1006,0)), HYPERLINK("#",""), HYPERLINK(CONCATENATE("#Metadata!", ADDRESS(INDEX($AI$2:$AI$1001,MATCH(ROWS($AG$2:AG912),$AG$2:$AG$1001,0),0), INDEX($AN$1004:$BO$1004,1,MATCH(COLUMNS($AN$1006:AW1006),$AN$1006:$BO$1006,0)))),"Fix")))</f>
        <v>0</v>
      </c>
      <c r="L912" s="4">
        <f>IF(OR(INDEX($AH$2:$AH$1001,MATCH(ROWS($AG$2:AG912),$AG$2:$AG$1001,0),1)&gt;=100000,INDEX($AN$1005:$BO$1005,1,MATCH(COLUMNS($AN$1006:AX1006),$AN$1006:$BO$1006,0))&gt;=100000), " ",IF(INDEX($AN$2:$BO$1001,MATCH(ROWS($AG$2:AG912),$AG$2:$AG$1001,0),MATCH(COLUMNS($AN$1006:AX1006),$AN$1006:$BO$1006,0)), HYPERLINK("#",""), HYPERLINK(CONCATENATE("#Metadata!", ADDRESS(INDEX($AI$2:$AI$1001,MATCH(ROWS($AG$2:AG912),$AG$2:$AG$1001,0),0), INDEX($AN$1004:$BO$1004,1,MATCH(COLUMNS($AN$1006:AX1006),$AN$1006:$BO$1006,0)))),"Fix")))</f>
        <v>0</v>
      </c>
      <c r="M912" s="4">
        <f>IF(OR(INDEX($AH$2:$AH$1001,MATCH(ROWS($AG$2:AG912),$AG$2:$AG$1001,0),1)&gt;=100000,INDEX($AN$1005:$BO$1005,1,MATCH(COLUMNS($AN$1006:AY1006),$AN$1006:$BO$1006,0))&gt;=100000), " ",IF(INDEX($AN$2:$BO$1001,MATCH(ROWS($AG$2:AG912),$AG$2:$AG$1001,0),MATCH(COLUMNS($AN$1006:AY1006),$AN$1006:$BO$1006,0)), HYPERLINK("#",""), HYPERLINK(CONCATENATE("#Metadata!", ADDRESS(INDEX($AI$2:$AI$1001,MATCH(ROWS($AG$2:AG912),$AG$2:$AG$1001,0),0), INDEX($AN$1004:$BO$1004,1,MATCH(COLUMNS($AN$1006:AY1006),$AN$1006:$BO$1006,0)))),"Fix")))</f>
        <v>0</v>
      </c>
      <c r="N912" s="4">
        <f>IF(OR(INDEX($AH$2:$AH$1001,MATCH(ROWS($AG$2:AG912),$AG$2:$AG$1001,0),1)&gt;=100000,INDEX($AN$1005:$BO$1005,1,MATCH(COLUMNS($AN$1006:AZ1006),$AN$1006:$BO$1006,0))&gt;=100000), " ",IF(INDEX($AN$2:$BO$1001,MATCH(ROWS($AG$2:AG912),$AG$2:$AG$1001,0),MATCH(COLUMNS($AN$1006:AZ1006),$AN$1006:$BO$1006,0)), HYPERLINK("#",""), HYPERLINK(CONCATENATE("#Metadata!", ADDRESS(INDEX($AI$2:$AI$1001,MATCH(ROWS($AG$2:AG912),$AG$2:$AG$1001,0),0), INDEX($AN$1004:$BO$1004,1,MATCH(COLUMNS($AN$1006:AZ1006),$AN$1006:$BO$1006,0)))),"Fix")))</f>
        <v>0</v>
      </c>
      <c r="O912" s="4">
        <f>IF(OR(INDEX($AH$2:$AH$1001,MATCH(ROWS($AG$2:AG912),$AG$2:$AG$1001,0),1)&gt;=100000,INDEX($AN$1005:$BO$1005,1,MATCH(COLUMNS($AN$1006:BA1006),$AN$1006:$BO$1006,0))&gt;=100000), " ",IF(INDEX($AN$2:$BO$1001,MATCH(ROWS($AG$2:AG912),$AG$2:$AG$1001,0),MATCH(COLUMNS($AN$1006:BA1006),$AN$1006:$BO$1006,0)), HYPERLINK("#",""), HYPERLINK(CONCATENATE("#Metadata!", ADDRESS(INDEX($AI$2:$AI$1001,MATCH(ROWS($AG$2:AG912),$AG$2:$AG$1001,0),0), INDEX($AN$1004:$BO$1004,1,MATCH(COLUMNS($AN$1006:BA1006),$AN$1006:$BO$1006,0)))),"Fix")))</f>
        <v>0</v>
      </c>
      <c r="P912" s="4">
        <f>IF(OR(INDEX($AH$2:$AH$1001,MATCH(ROWS($AG$2:AG912),$AG$2:$AG$1001,0),1)&gt;=100000,INDEX($AN$1005:$BO$1005,1,MATCH(COLUMNS($AN$1006:BB1006),$AN$1006:$BO$1006,0))&gt;=100000), " ",IF(INDEX($AN$2:$BO$1001,MATCH(ROWS($AG$2:AG912),$AG$2:$AG$1001,0),MATCH(COLUMNS($AN$1006:BB1006),$AN$1006:$BO$1006,0)), HYPERLINK("#",""), HYPERLINK(CONCATENATE("#Metadata!", ADDRESS(INDEX($AI$2:$AI$1001,MATCH(ROWS($AG$2:AG912),$AG$2:$AG$1001,0),0), INDEX($AN$1004:$BO$1004,1,MATCH(COLUMNS($AN$1006:BB1006),$AN$1006:$BO$1006,0)))),"Fix")))</f>
        <v>0</v>
      </c>
      <c r="Q912" s="4">
        <f>IF(OR(INDEX($AH$2:$AH$1001,MATCH(ROWS($AG$2:AG912),$AG$2:$AG$1001,0),1)&gt;=100000,INDEX($AN$1005:$BO$1005,1,MATCH(COLUMNS($AN$1006:BC1006),$AN$1006:$BO$1006,0))&gt;=100000), " ",IF(INDEX($AN$2:$BO$1001,MATCH(ROWS($AG$2:AG912),$AG$2:$AG$1001,0),MATCH(COLUMNS($AN$1006:BC1006),$AN$1006:$BO$1006,0)), HYPERLINK("#",""), HYPERLINK(CONCATENATE("#Metadata!", ADDRESS(INDEX($AI$2:$AI$1001,MATCH(ROWS($AG$2:AG912),$AG$2:$AG$1001,0),0), INDEX($AN$1004:$BO$1004,1,MATCH(COLUMNS($AN$1006:BC1006),$AN$1006:$BO$1006,0)))),"Fix")))</f>
        <v>0</v>
      </c>
      <c r="R912" s="4">
        <f>IF(OR(INDEX($AH$2:$AH$1001,MATCH(ROWS($AG$2:AG912),$AG$2:$AG$1001,0),1)&gt;=100000,INDEX($AN$1005:$BO$1005,1,MATCH(COLUMNS($AN$1006:BD1006),$AN$1006:$BO$1006,0))&gt;=100000), " ",IF(INDEX($AN$2:$BO$1001,MATCH(ROWS($AG$2:AG912),$AG$2:$AG$1001,0),MATCH(COLUMNS($AN$1006:BD1006),$AN$1006:$BO$1006,0)), HYPERLINK("#",""), HYPERLINK(CONCATENATE("#Metadata!", ADDRESS(INDEX($AI$2:$AI$1001,MATCH(ROWS($AG$2:AG912),$AG$2:$AG$1001,0),0), INDEX($AN$1004:$BO$1004,1,MATCH(COLUMNS($AN$1006:BD1006),$AN$1006:$BO$1006,0)))),"Fix")))</f>
        <v>0</v>
      </c>
      <c r="S912" s="4">
        <f>IF(OR(INDEX($AH$2:$AH$1001,MATCH(ROWS($AG$2:AG912),$AG$2:$AG$1001,0),1)&gt;=100000,INDEX($AN$1005:$BO$1005,1,MATCH(COLUMNS($AN$1006:BE1006),$AN$1006:$BO$1006,0))&gt;=100000), " ",IF(INDEX($AN$2:$BO$1001,MATCH(ROWS($AG$2:AG912),$AG$2:$AG$1001,0),MATCH(COLUMNS($AN$1006:BE1006),$AN$1006:$BO$1006,0)), HYPERLINK("#",""), HYPERLINK(CONCATENATE("#Metadata!", ADDRESS(INDEX($AI$2:$AI$1001,MATCH(ROWS($AG$2:AG912),$AG$2:$AG$1001,0),0), INDEX($AN$1004:$BO$1004,1,MATCH(COLUMNS($AN$1006:BE1006),$AN$1006:$BO$1006,0)))),"Fix")))</f>
        <v>0</v>
      </c>
      <c r="T912" s="4">
        <f>IF(OR(INDEX($AH$2:$AH$1001,MATCH(ROWS($AG$2:AG912),$AG$2:$AG$1001,0),1)&gt;=100000,INDEX($AN$1005:$BO$1005,1,MATCH(COLUMNS($AN$1006:BF1006),$AN$1006:$BO$1006,0))&gt;=100000), " ",IF(INDEX($AN$2:$BO$1001,MATCH(ROWS($AG$2:AG912),$AG$2:$AG$1001,0),MATCH(COLUMNS($AN$1006:BF1006),$AN$1006:$BO$1006,0)), HYPERLINK("#",""), HYPERLINK(CONCATENATE("#Metadata!", ADDRESS(INDEX($AI$2:$AI$1001,MATCH(ROWS($AG$2:AG912),$AG$2:$AG$1001,0),0), INDEX($AN$1004:$BO$1004,1,MATCH(COLUMNS($AN$1006:BF1006),$AN$1006:$BO$1006,0)))),"Fix")))</f>
        <v>0</v>
      </c>
      <c r="U912" s="4">
        <f>IF(OR(INDEX($AH$2:$AH$1001,MATCH(ROWS($AG$2:AG912),$AG$2:$AG$1001,0),1)&gt;=100000,INDEX($AN$1005:$BO$1005,1,MATCH(COLUMNS($AN$1006:BG1006),$AN$1006:$BO$1006,0))&gt;=100000), " ",IF(INDEX($AN$2:$BO$1001,MATCH(ROWS($AG$2:AG912),$AG$2:$AG$1001,0),MATCH(COLUMNS($AN$1006:BG1006),$AN$1006:$BO$1006,0)), HYPERLINK("#",""), HYPERLINK(CONCATENATE("#Metadata!", ADDRESS(INDEX($AI$2:$AI$1001,MATCH(ROWS($AG$2:AG912),$AG$2:$AG$1001,0),0), INDEX($AN$1004:$BO$1004,1,MATCH(COLUMNS($AN$1006:BG1006),$AN$1006:$BO$1006,0)))),"Fix")))</f>
        <v>0</v>
      </c>
      <c r="V912" s="4">
        <f>IF(OR(INDEX($AH$2:$AH$1001,MATCH(ROWS($AG$2:AG912),$AG$2:$AG$1001,0),1)&gt;=100000,INDEX($AN$1005:$BO$1005,1,MATCH(COLUMNS($AN$1006:BH1006),$AN$1006:$BO$1006,0))&gt;=100000), " ",IF(INDEX($AN$2:$BO$1001,MATCH(ROWS($AG$2:AG912),$AG$2:$AG$1001,0),MATCH(COLUMNS($AN$1006:BH1006),$AN$1006:$BO$1006,0)), HYPERLINK("#",""), HYPERLINK(CONCATENATE("#Metadata!", ADDRESS(INDEX($AI$2:$AI$1001,MATCH(ROWS($AG$2:AG912),$AG$2:$AG$1001,0),0), INDEX($AN$1004:$BO$1004,1,MATCH(COLUMNS($AN$1006:BH1006),$AN$1006:$BO$1006,0)))),"Fix")))</f>
        <v>0</v>
      </c>
      <c r="W912" s="4">
        <f>IF(OR(INDEX($AH$2:$AH$1001,MATCH(ROWS($AG$2:AG912),$AG$2:$AG$1001,0),1)&gt;=100000,INDEX($AN$1005:$BO$1005,1,MATCH(COLUMNS($AN$1006:BI1006),$AN$1006:$BO$1006,0))&gt;=100000), " ",IF(INDEX($AN$2:$BO$1001,MATCH(ROWS($AG$2:AG912),$AG$2:$AG$1001,0),MATCH(COLUMNS($AN$1006:BI1006),$AN$1006:$BO$1006,0)), HYPERLINK("#",""), HYPERLINK(CONCATENATE("#Metadata!", ADDRESS(INDEX($AI$2:$AI$1001,MATCH(ROWS($AG$2:AG912),$AG$2:$AG$1001,0),0), INDEX($AN$1004:$BO$1004,1,MATCH(COLUMNS($AN$1006:BI1006),$AN$1006:$BO$1006,0)))),"Fix")))</f>
        <v>0</v>
      </c>
      <c r="X912" s="4">
        <f>IF(OR(INDEX($AH$2:$AH$1001,MATCH(ROWS($AG$2:AG912),$AG$2:$AG$1001,0),1)&gt;=100000,INDEX($AN$1005:$BO$1005,1,MATCH(COLUMNS($AN$1006:BJ1006),$AN$1006:$BO$1006,0))&gt;=100000), " ",IF(INDEX($AN$2:$BO$1001,MATCH(ROWS($AG$2:AG912),$AG$2:$AG$1001,0),MATCH(COLUMNS($AN$1006:BJ1006),$AN$1006:$BO$1006,0)), HYPERLINK("#",""), HYPERLINK(CONCATENATE("#Metadata!", ADDRESS(INDEX($AI$2:$AI$1001,MATCH(ROWS($AG$2:AG912),$AG$2:$AG$1001,0),0), INDEX($AN$1004:$BO$1004,1,MATCH(COLUMNS($AN$1006:BJ1006),$AN$1006:$BO$1006,0)))),"Fix")))</f>
        <v>0</v>
      </c>
      <c r="Y912" s="4">
        <f>IF(OR(INDEX($AH$2:$AH$1001,MATCH(ROWS($AG$2:AG912),$AG$2:$AG$1001,0),1)&gt;=100000,INDEX($AN$1005:$BO$1005,1,MATCH(COLUMNS($AN$1006:BK1006),$AN$1006:$BO$1006,0))&gt;=100000), " ",IF(INDEX($AN$2:$BO$1001,MATCH(ROWS($AG$2:AG912),$AG$2:$AG$1001,0),MATCH(COLUMNS($AN$1006:BK1006),$AN$1006:$BO$1006,0)), HYPERLINK("#",""), HYPERLINK(CONCATENATE("#Metadata!", ADDRESS(INDEX($AI$2:$AI$1001,MATCH(ROWS($AG$2:AG912),$AG$2:$AG$1001,0),0), INDEX($AN$1004:$BO$1004,1,MATCH(COLUMNS($AN$1006:BK1006),$AN$1006:$BO$1006,0)))),"Fix")))</f>
        <v>0</v>
      </c>
      <c r="Z912" s="4">
        <f>IF(OR(INDEX($AH$2:$AH$1001,MATCH(ROWS($AG$2:AG912),$AG$2:$AG$1001,0),1)&gt;=100000,INDEX($AN$1005:$BO$1005,1,MATCH(COLUMNS($AN$1006:BL1006),$AN$1006:$BO$1006,0))&gt;=100000), " ",IF(INDEX($AN$2:$BO$1001,MATCH(ROWS($AG$2:AG912),$AG$2:$AG$1001,0),MATCH(COLUMNS($AN$1006:BL1006),$AN$1006:$BO$1006,0)), HYPERLINK("#",""), HYPERLINK(CONCATENATE("#Metadata!", ADDRESS(INDEX($AI$2:$AI$1001,MATCH(ROWS($AG$2:AG912),$AG$2:$AG$1001,0),0), INDEX($AN$1004:$BO$1004,1,MATCH(COLUMNS($AN$1006:BL1006),$AN$1006:$BO$1006,0)))),"Fix")))</f>
        <v>0</v>
      </c>
      <c r="AA912" s="4">
        <f>IF(OR(INDEX($AH$2:$AH$1001,MATCH(ROWS($AG$2:AG912),$AG$2:$AG$1001,0),1)&gt;=100000,INDEX($AN$1005:$BO$1005,1,MATCH(COLUMNS($AN$1006:BM1006),$AN$1006:$BO$1006,0))&gt;=100000), " ",IF(INDEX($AN$2:$BO$1001,MATCH(ROWS($AG$2:AG912),$AG$2:$AG$1001,0),MATCH(COLUMNS($AN$1006:BM1006),$AN$1006:$BO$1006,0)), HYPERLINK("#",""), HYPERLINK(CONCATENATE("#Metadata!", ADDRESS(INDEX($AI$2:$AI$1001,MATCH(ROWS($AG$2:AG912),$AG$2:$AG$1001,0),0), INDEX($AN$1004:$BO$1004,1,MATCH(COLUMNS($AN$1006:BM1006),$AN$1006:$BO$1006,0)))),"Fix")))</f>
        <v>0</v>
      </c>
      <c r="AB912" s="4">
        <f>IF(OR(INDEX($AH$2:$AH$1001,MATCH(ROWS($AG$2:AG912),$AG$2:$AG$1001,0),1)&gt;=100000,INDEX($AN$1005:$BO$1005,1,MATCH(COLUMNS($AN$1006:BN1006),$AN$1006:$BO$1006,0))&gt;=100000), " ",IF(INDEX($AN$2:$BO$1001,MATCH(ROWS($AG$2:AG912),$AG$2:$AG$1001,0),MATCH(COLUMNS($AN$1006:BN1006),$AN$1006:$BO$1006,0)), HYPERLINK("#",""), HYPERLINK(CONCATENATE("#Metadata!", ADDRESS(INDEX($AI$2:$AI$1001,MATCH(ROWS($AG$2:AG912),$AG$2:$AG$1001,0),0), INDEX($AN$1004:$BO$1004,1,MATCH(COLUMNS($AN$1006:BN1006),$AN$1006:$BO$1006,0)))),"Fix")))</f>
        <v>0</v>
      </c>
      <c r="AC912" s="4">
        <f>IF(OR(INDEX($AH$2:$AH$1001,MATCH(ROWS($AG$2:AG912),$AG$2:$AG$1001,0),1)&gt;=100000,INDEX($AN$1005:$BO$1005,1,MATCH(COLUMNS($AN$1006:BO1006),$AN$1006:$BO$1006,0))&gt;=100000), " ",IF(INDEX($AN$2:$BO$1001,MATCH(ROWS($AG$2:AG912),$AG$2:$AG$1001,0),MATCH(COLUMNS($AN$1006:BO1006),$AN$1006:$BO$1006,0)), HYPERLINK("#",""), HYPERLINK(CONCATENATE("#Metadata!", ADDRESS(INDEX($AI$2:$AI$1001,MATCH(ROWS($AG$2:AG912),$AG$2:$AG$1001,0),0), INDEX($AN$1004:$BO$1004,1,MATCH(COLUMNS($AN$1006:BO1006),$AN$1006:$BO$1006,0)))),"Fix")))</f>
        <v>0</v>
      </c>
      <c r="AG912">
        <v>0</v>
      </c>
      <c r="AH912">
        <v>0</v>
      </c>
      <c r="AI912">
        <v>0</v>
      </c>
      <c r="AJ912">
        <f>IF(AK912,TRUE,AND(AN912:BO912))</f>
        <v>0</v>
      </c>
      <c r="AK912">
        <f>COUNTBLANK(Metadata!B912:AC912)=COLUMNS(Metadata!B912:AC912)</f>
        <v>0</v>
      </c>
      <c r="AL912">
        <v>0</v>
      </c>
      <c r="AN912">
        <f>AND(IF(Metadata!B912="",FALSE,TRUE),COUNTIF(Metadata!B:B, Metadata!B912) = 1,NOT(ISERROR(SUMPRODUCT(SEARCH(MID(Metadata!B912,ROW(INDIRECT("1:"&amp;LEN(Metadata!B912))), 1),"0123456789abcdefghijklmnopqrstuvwxyzABCDEFGHIJKLMNOPQRSTUVWXYZ.")))))</f>
        <v>0</v>
      </c>
      <c r="AO912">
        <f>IF(Metadata!C912="",FALSE,TRUE)</f>
        <v>0</v>
      </c>
      <c r="AP912">
        <f>IF(Metadata!D912="",FALSE,TRUE)</f>
        <v>0</v>
      </c>
      <c r="AQ912">
        <f>OR(AND(IF(Metadata!E912="",FALSE,TRUE),OR(exact(Metadata!E912,"not collected"),exact(Metadata!E912,"not provided"),exact(Metadata!E912,"restricted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R912">
        <f>IF(Metadata!F912="",FALSE,TRUE)</f>
        <v>0</v>
      </c>
      <c r="AS912">
        <f>OR(AND(IF(Metadata!G912="",FALSE,TRUE),OR(exact(Metadata!G912,"not collected"),exact(Metadata!G912,"not provided"))),AND(IF(Metadata!G912="",FALSE,TRUE),OR(exact(Metadata!G912,"TRUE"),exact(Metadata!G912,"FALSE"))))</f>
        <v>0</v>
      </c>
      <c r="AT912">
        <f>OR(AND(IF(Metadata!H912="",FALSE,TRUE),OR(exact(Metadata!H912,"not collected"),exact(Metadata!H912,"not provided"),exact(Metadata!H912,"restricted access"))),AND(IF(Metadata!H912="",FALSE,ISNUMBER(VALUE(Metadata!H912))),Metadata!H912&gt;=-413.0))</f>
        <v>0</v>
      </c>
      <c r="AU912">
        <f>AND(IF(Metadata!I912="",FALSE,TRUE),exact(Metadata!I912,"meters"))</f>
        <v>0</v>
      </c>
      <c r="AV912">
        <f>AND(IF(Metadata!J912="",FALSE,TRUE),OR(exact(Metadata!J912,"Host-associated"),exact(Metadata!J912,"Free-living")))</f>
        <v>0</v>
      </c>
      <c r="AW912">
        <f>AND(IF(Metadata!K912="",FALSE,TRUE),OR(exact(Metadata!K912,"Animal"),exact(Metadata!K912,"Fungus"),exact(Metadata!K912,"Plant"),exact(Metadata!K912,"Saline"),exact(Metadata!K912,"Non-saline")))</f>
        <v>0</v>
      </c>
      <c r="AX912">
        <f>AND(IF(Metadata!L912="",FALSE,TRUE),OR(exact(Metadata!L912,"Plant secretion"),exact(Metadata!L912,"Plant rhizosphere"),exact(Metadata!L912,"Plant surface"),exact(Metadata!L912,"Plant corpus"),exact(Metadata!L912,"Fungus surface"),exact(Metadata!L912,"Fungus corpus"),exact(Metadata!L912,"Animal surface"),exact(Metadata!L912,"Animal proximal gut"),exact(Metadata!L912,"Animal corpus"),exact(Metadata!L912,"Animal distal gut"),exact(Metadata!L912,"Animal secretion"),exact(Metadata!L912,"Sub-surface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Y912">
        <f>IF(Metadata!M912="",FALSE,TRUE)</f>
        <v>0</v>
      </c>
      <c r="AZ912">
        <f>IF(Metadata!N912="",FALSE,TRUE)</f>
        <v>0</v>
      </c>
      <c r="BA912">
        <f>IF(Metadata!O912="",FALSE,TRUE)</f>
        <v>0</v>
      </c>
      <c r="BB912">
        <f>OR(AND(IF(Metadata!P912="",FALSE,TRUE),OR(exact(Metadata!P912,"not collected"),exact(Metadata!P912,"not provided"),exact(Metadata!P912,"restricted access"))),AND(IF(Metadata!P912="",FALSE,TRUE),OR(exact(Metadata!P912,"air"),exact(Metadata!P912,"built environment"),exact(Metadata!P912,"host-associated"),exact(Metadata!P912,"human-associated"),exact(Metadata!P912,"human-skin"),exact(Metadata!P912,"human-oral"),exact(Metadata!P912,"human-gut"),exact(Metadata!P912,"human-vaginal"),exact(Metadata!P912,"microbial mat/biofilm"),exact(Metadata!P912,"misc environment"),exact(Metadata!P912,"plant-associated"),exact(Metadata!P912,"sediment"),exact(Metadata!P912,"soil"),exact(Metadata!P912,"wastewater/sludge"),exact(Metadata!P912,"water"))))</f>
        <v>0</v>
      </c>
      <c r="BC912">
        <f>IF(Metadata!Q912="",FALSE,TRUE)</f>
        <v>0</v>
      </c>
      <c r="BD912">
        <f>IF(Metadata!R912="",FALSE,TRUE)</f>
        <v>0</v>
      </c>
      <c r="BE912">
        <f>OR(AND(IF(Metadata!S912="",FALSE,TRUE),OR(exact(Metadata!S912,"not collected"),exact(Metadata!S912,"not provided"),exact(Metadata!S912,"restricted access"))),AND(IF(Metadata!S912="",FALSE,ISNUMBER(VALUE(Metadata!S912))),Metadata!S912&gt;=-90.00,Metadata!S912&lt;=90.00))</f>
        <v>0</v>
      </c>
      <c r="BF912">
        <f>AND(IF(Metadata!T912="",FALSE,TRUE),exact(Metadata!T912,"Decimal degrees"))</f>
        <v>0</v>
      </c>
      <c r="BG912">
        <f>OR(AND(IF(Metadata!U912="",FALSE,TRUE),OR(exact(Metadata!U912,"not collected"),exact(Metadata!U912,"not provided"),exact(Metadata!U912,"restricted access"))),AND(IF(Metadata!U912="",FALSE,ISNUMBER(VALUE(Metadata!U912))),Metadata!U912&gt;=-180.00,Metadata!U912&lt;=180.00))</f>
        <v>0</v>
      </c>
      <c r="BH912">
        <f>AND(IF(Metadata!V912="",FALSE,TRUE),exact(Metadata!V912,"Decimal degrees"))</f>
        <v>0</v>
      </c>
      <c r="BI912">
        <f>IF(Metadata!W912="",FALSE,TRUE)</f>
        <v>0</v>
      </c>
      <c r="BJ912">
        <f>OR(AND(IF(Metadata!X912="",FALSE,TRUE),OR(exact(Metadata!X912,"not collected"),exact(Metadata!X912,"not provided"),exact(Metadata!X912,"restricted access"))),AND(IF(Metadata!X912="",FALSE,TRUE),OR(exact(Metadata!X912,"TRUE"),exact(Metadata!X912,"FALSE"))))</f>
        <v>0</v>
      </c>
      <c r="BK912">
        <f>AND(IF(Metadata!Y912="",FALSE,TRUE),exact(Metadata!Y912,"other"))</f>
        <v>0</v>
      </c>
      <c r="BL912">
        <f>IF(Metadata!Z912="",FALSE,TRUE)</f>
        <v>0</v>
      </c>
      <c r="BM912">
        <f>OR(AND(IF(Metadata!AA912="",FALSE,TRUE),OR(exact(Metadata!AA912,"not collected"),exact(Metadata!AA912,"not provided"))),AND(IF(Metadata!AA912="",FALSE,IF(ISERROR(INT(Metadata!AA912)),FALSE,INT(Metadata!AA912)=Metadata!AA912)),Metadata!AA912&gt;0))</f>
        <v>0</v>
      </c>
      <c r="BN912">
        <f>AND(IF(Metadata!AB912="",FALSE,TRUE),exact(Metadata!AB912,"Not applicable"))</f>
        <v>0</v>
      </c>
      <c r="BO912">
        <f>IF(Metadata!AC912="",FALSE,TRUE)</f>
        <v>0</v>
      </c>
    </row>
    <row r="913" spans="1:67">
      <c r="A913" s="5">
        <f>IF(B913=" "," ",HYPERLINK(CONCATENATE("#metadata!",ADDRESS(INDEX($AI$2:$AI$1001,MATCH(ROWS($AG$2:AG913),$AG$2:$AG$1001,0),0),1)),INDEX($AL$2:$AL$1001,MATCH(ROWS($AG$2:AG913),$AG$2:$AG$1001,0),0)))</f>
        <v>0</v>
      </c>
      <c r="B913" s="4">
        <f>IF(OR(INDEX($AH$2:$AH$1001,MATCH(ROWS($AG$2:AG913),$AG$2:$AG$1001,0),1)&gt;=100000,INDEX($AN$1005:$BO$1005,1,MATCH(COLUMNS($AN$1006:AN1006),$AN$1006:$BO$1006,0))&gt;=100000), " ",IF(INDEX($AN$2:$BO$1001,MATCH(ROWS($AG$2:AG913),$AG$2:$AG$1001,0),MATCH(COLUMNS($AN$1006:AN1006),$AN$1006:$BO$1006,0)), HYPERLINK("#",""), HYPERLINK(CONCATENATE("#Metadata!", ADDRESS(INDEX($AI$2:$AI$1001,MATCH(ROWS($AG$2:AG913),$AG$2:$AG$1001,0),0), INDEX($AN$1004:$BO$1004,1,MATCH(COLUMNS($AN$1006:AN1006),$AN$1006:$BO$1006,0)))),"Fix")))</f>
        <v>0</v>
      </c>
      <c r="C913" s="4">
        <f>IF(OR(INDEX($AH$2:$AH$1001,MATCH(ROWS($AG$2:AG913),$AG$2:$AG$1001,0),1)&gt;=100000,INDEX($AN$1005:$BO$1005,1,MATCH(COLUMNS($AN$1006:AO1006),$AN$1006:$BO$1006,0))&gt;=100000), " ",IF(INDEX($AN$2:$BO$1001,MATCH(ROWS($AG$2:AG913),$AG$2:$AG$1001,0),MATCH(COLUMNS($AN$1006:AO1006),$AN$1006:$BO$1006,0)), HYPERLINK("#",""), HYPERLINK(CONCATENATE("#Metadata!", ADDRESS(INDEX($AI$2:$AI$1001,MATCH(ROWS($AG$2:AG913),$AG$2:$AG$1001,0),0), INDEX($AN$1004:$BO$1004,1,MATCH(COLUMNS($AN$1006:AO1006),$AN$1006:$BO$1006,0)))),"Fix")))</f>
        <v>0</v>
      </c>
      <c r="D913" s="4">
        <f>IF(OR(INDEX($AH$2:$AH$1001,MATCH(ROWS($AG$2:AG913),$AG$2:$AG$1001,0),1)&gt;=100000,INDEX($AN$1005:$BO$1005,1,MATCH(COLUMNS($AN$1006:AP1006),$AN$1006:$BO$1006,0))&gt;=100000), " ",IF(INDEX($AN$2:$BO$1001,MATCH(ROWS($AG$2:AG913),$AG$2:$AG$1001,0),MATCH(COLUMNS($AN$1006:AP1006),$AN$1006:$BO$1006,0)), HYPERLINK("#",""), HYPERLINK(CONCATENATE("#Metadata!", ADDRESS(INDEX($AI$2:$AI$1001,MATCH(ROWS($AG$2:AG913),$AG$2:$AG$1001,0),0), INDEX($AN$1004:$BO$1004,1,MATCH(COLUMNS($AN$1006:AP1006),$AN$1006:$BO$1006,0)))),"Fix")))</f>
        <v>0</v>
      </c>
      <c r="E913" s="4">
        <f>IF(OR(INDEX($AH$2:$AH$1001,MATCH(ROWS($AG$2:AG913),$AG$2:$AG$1001,0),1)&gt;=100000,INDEX($AN$1005:$BO$1005,1,MATCH(COLUMNS($AN$1006:AQ1006),$AN$1006:$BO$1006,0))&gt;=100000), " ",IF(INDEX($AN$2:$BO$1001,MATCH(ROWS($AG$2:AG913),$AG$2:$AG$1001,0),MATCH(COLUMNS($AN$1006:AQ1006),$AN$1006:$BO$1006,0)), HYPERLINK("#",""), HYPERLINK(CONCATENATE("#Metadata!", ADDRESS(INDEX($AI$2:$AI$1001,MATCH(ROWS($AG$2:AG913),$AG$2:$AG$1001,0),0), INDEX($AN$1004:$BO$1004,1,MATCH(COLUMNS($AN$1006:AQ1006),$AN$1006:$BO$1006,0)))),"Fix")))</f>
        <v>0</v>
      </c>
      <c r="F913" s="4">
        <f>IF(OR(INDEX($AH$2:$AH$1001,MATCH(ROWS($AG$2:AG913),$AG$2:$AG$1001,0),1)&gt;=100000,INDEX($AN$1005:$BO$1005,1,MATCH(COLUMNS($AN$1006:AR1006),$AN$1006:$BO$1006,0))&gt;=100000), " ",IF(INDEX($AN$2:$BO$1001,MATCH(ROWS($AG$2:AG913),$AG$2:$AG$1001,0),MATCH(COLUMNS($AN$1006:AR1006),$AN$1006:$BO$1006,0)), HYPERLINK("#",""), HYPERLINK(CONCATENATE("#Metadata!", ADDRESS(INDEX($AI$2:$AI$1001,MATCH(ROWS($AG$2:AG913),$AG$2:$AG$1001,0),0), INDEX($AN$1004:$BO$1004,1,MATCH(COLUMNS($AN$1006:AR1006),$AN$1006:$BO$1006,0)))),"Fix")))</f>
        <v>0</v>
      </c>
      <c r="G913" s="4">
        <f>IF(OR(INDEX($AH$2:$AH$1001,MATCH(ROWS($AG$2:AG913),$AG$2:$AG$1001,0),1)&gt;=100000,INDEX($AN$1005:$BO$1005,1,MATCH(COLUMNS($AN$1006:AS1006),$AN$1006:$BO$1006,0))&gt;=100000), " ",IF(INDEX($AN$2:$BO$1001,MATCH(ROWS($AG$2:AG913),$AG$2:$AG$1001,0),MATCH(COLUMNS($AN$1006:AS1006),$AN$1006:$BO$1006,0)), HYPERLINK("#",""), HYPERLINK(CONCATENATE("#Metadata!", ADDRESS(INDEX($AI$2:$AI$1001,MATCH(ROWS($AG$2:AG913),$AG$2:$AG$1001,0),0), INDEX($AN$1004:$BO$1004,1,MATCH(COLUMNS($AN$1006:AS1006),$AN$1006:$BO$1006,0)))),"Fix")))</f>
        <v>0</v>
      </c>
      <c r="H913" s="4">
        <f>IF(OR(INDEX($AH$2:$AH$1001,MATCH(ROWS($AG$2:AG913),$AG$2:$AG$1001,0),1)&gt;=100000,INDEX($AN$1005:$BO$1005,1,MATCH(COLUMNS($AN$1006:AT1006),$AN$1006:$BO$1006,0))&gt;=100000), " ",IF(INDEX($AN$2:$BO$1001,MATCH(ROWS($AG$2:AG913),$AG$2:$AG$1001,0),MATCH(COLUMNS($AN$1006:AT1006),$AN$1006:$BO$1006,0)), HYPERLINK("#",""), HYPERLINK(CONCATENATE("#Metadata!", ADDRESS(INDEX($AI$2:$AI$1001,MATCH(ROWS($AG$2:AG913),$AG$2:$AG$1001,0),0), INDEX($AN$1004:$BO$1004,1,MATCH(COLUMNS($AN$1006:AT1006),$AN$1006:$BO$1006,0)))),"Fix")))</f>
        <v>0</v>
      </c>
      <c r="I913" s="4">
        <f>IF(OR(INDEX($AH$2:$AH$1001,MATCH(ROWS($AG$2:AG913),$AG$2:$AG$1001,0),1)&gt;=100000,INDEX($AN$1005:$BO$1005,1,MATCH(COLUMNS($AN$1006:AU1006),$AN$1006:$BO$1006,0))&gt;=100000), " ",IF(INDEX($AN$2:$BO$1001,MATCH(ROWS($AG$2:AG913),$AG$2:$AG$1001,0),MATCH(COLUMNS($AN$1006:AU1006),$AN$1006:$BO$1006,0)), HYPERLINK("#",""), HYPERLINK(CONCATENATE("#Metadata!", ADDRESS(INDEX($AI$2:$AI$1001,MATCH(ROWS($AG$2:AG913),$AG$2:$AG$1001,0),0), INDEX($AN$1004:$BO$1004,1,MATCH(COLUMNS($AN$1006:AU1006),$AN$1006:$BO$1006,0)))),"Fix")))</f>
        <v>0</v>
      </c>
      <c r="J913" s="4">
        <f>IF(OR(INDEX($AH$2:$AH$1001,MATCH(ROWS($AG$2:AG913),$AG$2:$AG$1001,0),1)&gt;=100000,INDEX($AN$1005:$BO$1005,1,MATCH(COLUMNS($AN$1006:AV1006),$AN$1006:$BO$1006,0))&gt;=100000), " ",IF(INDEX($AN$2:$BO$1001,MATCH(ROWS($AG$2:AG913),$AG$2:$AG$1001,0),MATCH(COLUMNS($AN$1006:AV1006),$AN$1006:$BO$1006,0)), HYPERLINK("#",""), HYPERLINK(CONCATENATE("#Metadata!", ADDRESS(INDEX($AI$2:$AI$1001,MATCH(ROWS($AG$2:AG913),$AG$2:$AG$1001,0),0), INDEX($AN$1004:$BO$1004,1,MATCH(COLUMNS($AN$1006:AV1006),$AN$1006:$BO$1006,0)))),"Fix")))</f>
        <v>0</v>
      </c>
      <c r="K913" s="4">
        <f>IF(OR(INDEX($AH$2:$AH$1001,MATCH(ROWS($AG$2:AG913),$AG$2:$AG$1001,0),1)&gt;=100000,INDEX($AN$1005:$BO$1005,1,MATCH(COLUMNS($AN$1006:AW1006),$AN$1006:$BO$1006,0))&gt;=100000), " ",IF(INDEX($AN$2:$BO$1001,MATCH(ROWS($AG$2:AG913),$AG$2:$AG$1001,0),MATCH(COLUMNS($AN$1006:AW1006),$AN$1006:$BO$1006,0)), HYPERLINK("#",""), HYPERLINK(CONCATENATE("#Metadata!", ADDRESS(INDEX($AI$2:$AI$1001,MATCH(ROWS($AG$2:AG913),$AG$2:$AG$1001,0),0), INDEX($AN$1004:$BO$1004,1,MATCH(COLUMNS($AN$1006:AW1006),$AN$1006:$BO$1006,0)))),"Fix")))</f>
        <v>0</v>
      </c>
      <c r="L913" s="4">
        <f>IF(OR(INDEX($AH$2:$AH$1001,MATCH(ROWS($AG$2:AG913),$AG$2:$AG$1001,0),1)&gt;=100000,INDEX($AN$1005:$BO$1005,1,MATCH(COLUMNS($AN$1006:AX1006),$AN$1006:$BO$1006,0))&gt;=100000), " ",IF(INDEX($AN$2:$BO$1001,MATCH(ROWS($AG$2:AG913),$AG$2:$AG$1001,0),MATCH(COLUMNS($AN$1006:AX1006),$AN$1006:$BO$1006,0)), HYPERLINK("#",""), HYPERLINK(CONCATENATE("#Metadata!", ADDRESS(INDEX($AI$2:$AI$1001,MATCH(ROWS($AG$2:AG913),$AG$2:$AG$1001,0),0), INDEX($AN$1004:$BO$1004,1,MATCH(COLUMNS($AN$1006:AX1006),$AN$1006:$BO$1006,0)))),"Fix")))</f>
        <v>0</v>
      </c>
      <c r="M913" s="4">
        <f>IF(OR(INDEX($AH$2:$AH$1001,MATCH(ROWS($AG$2:AG913),$AG$2:$AG$1001,0),1)&gt;=100000,INDEX($AN$1005:$BO$1005,1,MATCH(COLUMNS($AN$1006:AY1006),$AN$1006:$BO$1006,0))&gt;=100000), " ",IF(INDEX($AN$2:$BO$1001,MATCH(ROWS($AG$2:AG913),$AG$2:$AG$1001,0),MATCH(COLUMNS($AN$1006:AY1006),$AN$1006:$BO$1006,0)), HYPERLINK("#",""), HYPERLINK(CONCATENATE("#Metadata!", ADDRESS(INDEX($AI$2:$AI$1001,MATCH(ROWS($AG$2:AG913),$AG$2:$AG$1001,0),0), INDEX($AN$1004:$BO$1004,1,MATCH(COLUMNS($AN$1006:AY1006),$AN$1006:$BO$1006,0)))),"Fix")))</f>
        <v>0</v>
      </c>
      <c r="N913" s="4">
        <f>IF(OR(INDEX($AH$2:$AH$1001,MATCH(ROWS($AG$2:AG913),$AG$2:$AG$1001,0),1)&gt;=100000,INDEX($AN$1005:$BO$1005,1,MATCH(COLUMNS($AN$1006:AZ1006),$AN$1006:$BO$1006,0))&gt;=100000), " ",IF(INDEX($AN$2:$BO$1001,MATCH(ROWS($AG$2:AG913),$AG$2:$AG$1001,0),MATCH(COLUMNS($AN$1006:AZ1006),$AN$1006:$BO$1006,0)), HYPERLINK("#",""), HYPERLINK(CONCATENATE("#Metadata!", ADDRESS(INDEX($AI$2:$AI$1001,MATCH(ROWS($AG$2:AG913),$AG$2:$AG$1001,0),0), INDEX($AN$1004:$BO$1004,1,MATCH(COLUMNS($AN$1006:AZ1006),$AN$1006:$BO$1006,0)))),"Fix")))</f>
        <v>0</v>
      </c>
      <c r="O913" s="4">
        <f>IF(OR(INDEX($AH$2:$AH$1001,MATCH(ROWS($AG$2:AG913),$AG$2:$AG$1001,0),1)&gt;=100000,INDEX($AN$1005:$BO$1005,1,MATCH(COLUMNS($AN$1006:BA1006),$AN$1006:$BO$1006,0))&gt;=100000), " ",IF(INDEX($AN$2:$BO$1001,MATCH(ROWS($AG$2:AG913),$AG$2:$AG$1001,0),MATCH(COLUMNS($AN$1006:BA1006),$AN$1006:$BO$1006,0)), HYPERLINK("#",""), HYPERLINK(CONCATENATE("#Metadata!", ADDRESS(INDEX($AI$2:$AI$1001,MATCH(ROWS($AG$2:AG913),$AG$2:$AG$1001,0),0), INDEX($AN$1004:$BO$1004,1,MATCH(COLUMNS($AN$1006:BA1006),$AN$1006:$BO$1006,0)))),"Fix")))</f>
        <v>0</v>
      </c>
      <c r="P913" s="4">
        <f>IF(OR(INDEX($AH$2:$AH$1001,MATCH(ROWS($AG$2:AG913),$AG$2:$AG$1001,0),1)&gt;=100000,INDEX($AN$1005:$BO$1005,1,MATCH(COLUMNS($AN$1006:BB1006),$AN$1006:$BO$1006,0))&gt;=100000), " ",IF(INDEX($AN$2:$BO$1001,MATCH(ROWS($AG$2:AG913),$AG$2:$AG$1001,0),MATCH(COLUMNS($AN$1006:BB1006),$AN$1006:$BO$1006,0)), HYPERLINK("#",""), HYPERLINK(CONCATENATE("#Metadata!", ADDRESS(INDEX($AI$2:$AI$1001,MATCH(ROWS($AG$2:AG913),$AG$2:$AG$1001,0),0), INDEX($AN$1004:$BO$1004,1,MATCH(COLUMNS($AN$1006:BB1006),$AN$1006:$BO$1006,0)))),"Fix")))</f>
        <v>0</v>
      </c>
      <c r="Q913" s="4">
        <f>IF(OR(INDEX($AH$2:$AH$1001,MATCH(ROWS($AG$2:AG913),$AG$2:$AG$1001,0),1)&gt;=100000,INDEX($AN$1005:$BO$1005,1,MATCH(COLUMNS($AN$1006:BC1006),$AN$1006:$BO$1006,0))&gt;=100000), " ",IF(INDEX($AN$2:$BO$1001,MATCH(ROWS($AG$2:AG913),$AG$2:$AG$1001,0),MATCH(COLUMNS($AN$1006:BC1006),$AN$1006:$BO$1006,0)), HYPERLINK("#",""), HYPERLINK(CONCATENATE("#Metadata!", ADDRESS(INDEX($AI$2:$AI$1001,MATCH(ROWS($AG$2:AG913),$AG$2:$AG$1001,0),0), INDEX($AN$1004:$BO$1004,1,MATCH(COLUMNS($AN$1006:BC1006),$AN$1006:$BO$1006,0)))),"Fix")))</f>
        <v>0</v>
      </c>
      <c r="R913" s="4">
        <f>IF(OR(INDEX($AH$2:$AH$1001,MATCH(ROWS($AG$2:AG913),$AG$2:$AG$1001,0),1)&gt;=100000,INDEX($AN$1005:$BO$1005,1,MATCH(COLUMNS($AN$1006:BD1006),$AN$1006:$BO$1006,0))&gt;=100000), " ",IF(INDEX($AN$2:$BO$1001,MATCH(ROWS($AG$2:AG913),$AG$2:$AG$1001,0),MATCH(COLUMNS($AN$1006:BD1006),$AN$1006:$BO$1006,0)), HYPERLINK("#",""), HYPERLINK(CONCATENATE("#Metadata!", ADDRESS(INDEX($AI$2:$AI$1001,MATCH(ROWS($AG$2:AG913),$AG$2:$AG$1001,0),0), INDEX($AN$1004:$BO$1004,1,MATCH(COLUMNS($AN$1006:BD1006),$AN$1006:$BO$1006,0)))),"Fix")))</f>
        <v>0</v>
      </c>
      <c r="S913" s="4">
        <f>IF(OR(INDEX($AH$2:$AH$1001,MATCH(ROWS($AG$2:AG913),$AG$2:$AG$1001,0),1)&gt;=100000,INDEX($AN$1005:$BO$1005,1,MATCH(COLUMNS($AN$1006:BE1006),$AN$1006:$BO$1006,0))&gt;=100000), " ",IF(INDEX($AN$2:$BO$1001,MATCH(ROWS($AG$2:AG913),$AG$2:$AG$1001,0),MATCH(COLUMNS($AN$1006:BE1006),$AN$1006:$BO$1006,0)), HYPERLINK("#",""), HYPERLINK(CONCATENATE("#Metadata!", ADDRESS(INDEX($AI$2:$AI$1001,MATCH(ROWS($AG$2:AG913),$AG$2:$AG$1001,0),0), INDEX($AN$1004:$BO$1004,1,MATCH(COLUMNS($AN$1006:BE1006),$AN$1006:$BO$1006,0)))),"Fix")))</f>
        <v>0</v>
      </c>
      <c r="T913" s="4">
        <f>IF(OR(INDEX($AH$2:$AH$1001,MATCH(ROWS($AG$2:AG913),$AG$2:$AG$1001,0),1)&gt;=100000,INDEX($AN$1005:$BO$1005,1,MATCH(COLUMNS($AN$1006:BF1006),$AN$1006:$BO$1006,0))&gt;=100000), " ",IF(INDEX($AN$2:$BO$1001,MATCH(ROWS($AG$2:AG913),$AG$2:$AG$1001,0),MATCH(COLUMNS($AN$1006:BF1006),$AN$1006:$BO$1006,0)), HYPERLINK("#",""), HYPERLINK(CONCATENATE("#Metadata!", ADDRESS(INDEX($AI$2:$AI$1001,MATCH(ROWS($AG$2:AG913),$AG$2:$AG$1001,0),0), INDEX($AN$1004:$BO$1004,1,MATCH(COLUMNS($AN$1006:BF1006),$AN$1006:$BO$1006,0)))),"Fix")))</f>
        <v>0</v>
      </c>
      <c r="U913" s="4">
        <f>IF(OR(INDEX($AH$2:$AH$1001,MATCH(ROWS($AG$2:AG913),$AG$2:$AG$1001,0),1)&gt;=100000,INDEX($AN$1005:$BO$1005,1,MATCH(COLUMNS($AN$1006:BG1006),$AN$1006:$BO$1006,0))&gt;=100000), " ",IF(INDEX($AN$2:$BO$1001,MATCH(ROWS($AG$2:AG913),$AG$2:$AG$1001,0),MATCH(COLUMNS($AN$1006:BG1006),$AN$1006:$BO$1006,0)), HYPERLINK("#",""), HYPERLINK(CONCATENATE("#Metadata!", ADDRESS(INDEX($AI$2:$AI$1001,MATCH(ROWS($AG$2:AG913),$AG$2:$AG$1001,0),0), INDEX($AN$1004:$BO$1004,1,MATCH(COLUMNS($AN$1006:BG1006),$AN$1006:$BO$1006,0)))),"Fix")))</f>
        <v>0</v>
      </c>
      <c r="V913" s="4">
        <f>IF(OR(INDEX($AH$2:$AH$1001,MATCH(ROWS($AG$2:AG913),$AG$2:$AG$1001,0),1)&gt;=100000,INDEX($AN$1005:$BO$1005,1,MATCH(COLUMNS($AN$1006:BH1006),$AN$1006:$BO$1006,0))&gt;=100000), " ",IF(INDEX($AN$2:$BO$1001,MATCH(ROWS($AG$2:AG913),$AG$2:$AG$1001,0),MATCH(COLUMNS($AN$1006:BH1006),$AN$1006:$BO$1006,0)), HYPERLINK("#",""), HYPERLINK(CONCATENATE("#Metadata!", ADDRESS(INDEX($AI$2:$AI$1001,MATCH(ROWS($AG$2:AG913),$AG$2:$AG$1001,0),0), INDEX($AN$1004:$BO$1004,1,MATCH(COLUMNS($AN$1006:BH1006),$AN$1006:$BO$1006,0)))),"Fix")))</f>
        <v>0</v>
      </c>
      <c r="W913" s="4">
        <f>IF(OR(INDEX($AH$2:$AH$1001,MATCH(ROWS($AG$2:AG913),$AG$2:$AG$1001,0),1)&gt;=100000,INDEX($AN$1005:$BO$1005,1,MATCH(COLUMNS($AN$1006:BI1006),$AN$1006:$BO$1006,0))&gt;=100000), " ",IF(INDEX($AN$2:$BO$1001,MATCH(ROWS($AG$2:AG913),$AG$2:$AG$1001,0),MATCH(COLUMNS($AN$1006:BI1006),$AN$1006:$BO$1006,0)), HYPERLINK("#",""), HYPERLINK(CONCATENATE("#Metadata!", ADDRESS(INDEX($AI$2:$AI$1001,MATCH(ROWS($AG$2:AG913),$AG$2:$AG$1001,0),0), INDEX($AN$1004:$BO$1004,1,MATCH(COLUMNS($AN$1006:BI1006),$AN$1006:$BO$1006,0)))),"Fix")))</f>
        <v>0</v>
      </c>
      <c r="X913" s="4">
        <f>IF(OR(INDEX($AH$2:$AH$1001,MATCH(ROWS($AG$2:AG913),$AG$2:$AG$1001,0),1)&gt;=100000,INDEX($AN$1005:$BO$1005,1,MATCH(COLUMNS($AN$1006:BJ1006),$AN$1006:$BO$1006,0))&gt;=100000), " ",IF(INDEX($AN$2:$BO$1001,MATCH(ROWS($AG$2:AG913),$AG$2:$AG$1001,0),MATCH(COLUMNS($AN$1006:BJ1006),$AN$1006:$BO$1006,0)), HYPERLINK("#",""), HYPERLINK(CONCATENATE("#Metadata!", ADDRESS(INDEX($AI$2:$AI$1001,MATCH(ROWS($AG$2:AG913),$AG$2:$AG$1001,0),0), INDEX($AN$1004:$BO$1004,1,MATCH(COLUMNS($AN$1006:BJ1006),$AN$1006:$BO$1006,0)))),"Fix")))</f>
        <v>0</v>
      </c>
      <c r="Y913" s="4">
        <f>IF(OR(INDEX($AH$2:$AH$1001,MATCH(ROWS($AG$2:AG913),$AG$2:$AG$1001,0),1)&gt;=100000,INDEX($AN$1005:$BO$1005,1,MATCH(COLUMNS($AN$1006:BK1006),$AN$1006:$BO$1006,0))&gt;=100000), " ",IF(INDEX($AN$2:$BO$1001,MATCH(ROWS($AG$2:AG913),$AG$2:$AG$1001,0),MATCH(COLUMNS($AN$1006:BK1006),$AN$1006:$BO$1006,0)), HYPERLINK("#",""), HYPERLINK(CONCATENATE("#Metadata!", ADDRESS(INDEX($AI$2:$AI$1001,MATCH(ROWS($AG$2:AG913),$AG$2:$AG$1001,0),0), INDEX($AN$1004:$BO$1004,1,MATCH(COLUMNS($AN$1006:BK1006),$AN$1006:$BO$1006,0)))),"Fix")))</f>
        <v>0</v>
      </c>
      <c r="Z913" s="4">
        <f>IF(OR(INDEX($AH$2:$AH$1001,MATCH(ROWS($AG$2:AG913),$AG$2:$AG$1001,0),1)&gt;=100000,INDEX($AN$1005:$BO$1005,1,MATCH(COLUMNS($AN$1006:BL1006),$AN$1006:$BO$1006,0))&gt;=100000), " ",IF(INDEX($AN$2:$BO$1001,MATCH(ROWS($AG$2:AG913),$AG$2:$AG$1001,0),MATCH(COLUMNS($AN$1006:BL1006),$AN$1006:$BO$1006,0)), HYPERLINK("#",""), HYPERLINK(CONCATENATE("#Metadata!", ADDRESS(INDEX($AI$2:$AI$1001,MATCH(ROWS($AG$2:AG913),$AG$2:$AG$1001,0),0), INDEX($AN$1004:$BO$1004,1,MATCH(COLUMNS($AN$1006:BL1006),$AN$1006:$BO$1006,0)))),"Fix")))</f>
        <v>0</v>
      </c>
      <c r="AA913" s="4">
        <f>IF(OR(INDEX($AH$2:$AH$1001,MATCH(ROWS($AG$2:AG913),$AG$2:$AG$1001,0),1)&gt;=100000,INDEX($AN$1005:$BO$1005,1,MATCH(COLUMNS($AN$1006:BM1006),$AN$1006:$BO$1006,0))&gt;=100000), " ",IF(INDEX($AN$2:$BO$1001,MATCH(ROWS($AG$2:AG913),$AG$2:$AG$1001,0),MATCH(COLUMNS($AN$1006:BM1006),$AN$1006:$BO$1006,0)), HYPERLINK("#",""), HYPERLINK(CONCATENATE("#Metadata!", ADDRESS(INDEX($AI$2:$AI$1001,MATCH(ROWS($AG$2:AG913),$AG$2:$AG$1001,0),0), INDEX($AN$1004:$BO$1004,1,MATCH(COLUMNS($AN$1006:BM1006),$AN$1006:$BO$1006,0)))),"Fix")))</f>
        <v>0</v>
      </c>
      <c r="AB913" s="4">
        <f>IF(OR(INDEX($AH$2:$AH$1001,MATCH(ROWS($AG$2:AG913),$AG$2:$AG$1001,0),1)&gt;=100000,INDEX($AN$1005:$BO$1005,1,MATCH(COLUMNS($AN$1006:BN1006),$AN$1006:$BO$1006,0))&gt;=100000), " ",IF(INDEX($AN$2:$BO$1001,MATCH(ROWS($AG$2:AG913),$AG$2:$AG$1001,0),MATCH(COLUMNS($AN$1006:BN1006),$AN$1006:$BO$1006,0)), HYPERLINK("#",""), HYPERLINK(CONCATENATE("#Metadata!", ADDRESS(INDEX($AI$2:$AI$1001,MATCH(ROWS($AG$2:AG913),$AG$2:$AG$1001,0),0), INDEX($AN$1004:$BO$1004,1,MATCH(COLUMNS($AN$1006:BN1006),$AN$1006:$BO$1006,0)))),"Fix")))</f>
        <v>0</v>
      </c>
      <c r="AC913" s="4">
        <f>IF(OR(INDEX($AH$2:$AH$1001,MATCH(ROWS($AG$2:AG913),$AG$2:$AG$1001,0),1)&gt;=100000,INDEX($AN$1005:$BO$1005,1,MATCH(COLUMNS($AN$1006:BO1006),$AN$1006:$BO$1006,0))&gt;=100000), " ",IF(INDEX($AN$2:$BO$1001,MATCH(ROWS($AG$2:AG913),$AG$2:$AG$1001,0),MATCH(COLUMNS($AN$1006:BO1006),$AN$1006:$BO$1006,0)), HYPERLINK("#",""), HYPERLINK(CONCATENATE("#Metadata!", ADDRESS(INDEX($AI$2:$AI$1001,MATCH(ROWS($AG$2:AG913),$AG$2:$AG$1001,0),0), INDEX($AN$1004:$BO$1004,1,MATCH(COLUMNS($AN$1006:BO1006),$AN$1006:$BO$1006,0)))),"Fix")))</f>
        <v>0</v>
      </c>
      <c r="AG913">
        <v>0</v>
      </c>
      <c r="AH913">
        <v>0</v>
      </c>
      <c r="AI913">
        <v>0</v>
      </c>
      <c r="AJ913">
        <f>IF(AK913,TRUE,AND(AN913:BO913))</f>
        <v>0</v>
      </c>
      <c r="AK913">
        <f>COUNTBLANK(Metadata!B913:AC913)=COLUMNS(Metadata!B913:AC913)</f>
        <v>0</v>
      </c>
      <c r="AL913">
        <v>0</v>
      </c>
      <c r="AN913">
        <f>AND(IF(Metadata!B913="",FALSE,TRUE),COUNTIF(Metadata!B:B, Metadata!B913) = 1,NOT(ISERROR(SUMPRODUCT(SEARCH(MID(Metadata!B913,ROW(INDIRECT("1:"&amp;LEN(Metadata!B913))), 1),"0123456789abcdefghijklmnopqrstuvwxyzABCDEFGHIJKLMNOPQRSTUVWXYZ.")))))</f>
        <v>0</v>
      </c>
      <c r="AO913">
        <f>IF(Metadata!C913="",FALSE,TRUE)</f>
        <v>0</v>
      </c>
      <c r="AP913">
        <f>IF(Metadata!D913="",FALSE,TRUE)</f>
        <v>0</v>
      </c>
      <c r="AQ913">
        <f>OR(AND(IF(Metadata!E913="",FALSE,TRUE),OR(exact(Metadata!E913,"not collected"),exact(Metadata!E913,"not provided"),exact(Metadata!E913,"restricted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R913">
        <f>IF(Metadata!F913="",FALSE,TRUE)</f>
        <v>0</v>
      </c>
      <c r="AS913">
        <f>OR(AND(IF(Metadata!G913="",FALSE,TRUE),OR(exact(Metadata!G913,"not collected"),exact(Metadata!G913,"not provided"))),AND(IF(Metadata!G913="",FALSE,TRUE),OR(exact(Metadata!G913,"TRUE"),exact(Metadata!G913,"FALSE"))))</f>
        <v>0</v>
      </c>
      <c r="AT913">
        <f>OR(AND(IF(Metadata!H913="",FALSE,TRUE),OR(exact(Metadata!H913,"not collected"),exact(Metadata!H913,"not provided"),exact(Metadata!H913,"restricted access"))),AND(IF(Metadata!H913="",FALSE,ISNUMBER(VALUE(Metadata!H913))),Metadata!H913&gt;=-413.0))</f>
        <v>0</v>
      </c>
      <c r="AU913">
        <f>AND(IF(Metadata!I913="",FALSE,TRUE),exact(Metadata!I913,"meters"))</f>
        <v>0</v>
      </c>
      <c r="AV913">
        <f>AND(IF(Metadata!J913="",FALSE,TRUE),OR(exact(Metadata!J913,"Host-associated"),exact(Metadata!J913,"Free-living")))</f>
        <v>0</v>
      </c>
      <c r="AW913">
        <f>AND(IF(Metadata!K913="",FALSE,TRUE),OR(exact(Metadata!K913,"Animal"),exact(Metadata!K913,"Fungus"),exact(Metadata!K913,"Plant"),exact(Metadata!K913,"Saline"),exact(Metadata!K913,"Non-saline")))</f>
        <v>0</v>
      </c>
      <c r="AX913">
        <f>AND(IF(Metadata!L913="",FALSE,TRUE),OR(exact(Metadata!L913,"Plant secretion"),exact(Metadata!L913,"Plant rhizosphere"),exact(Metadata!L913,"Plant surface"),exact(Metadata!L913,"Plant corpus"),exact(Metadata!L913,"Fungus surface"),exact(Metadata!L913,"Fungus corpus"),exact(Metadata!L913,"Animal surface"),exact(Metadata!L913,"Animal proximal gut"),exact(Metadata!L913,"Animal corpus"),exact(Metadata!L913,"Animal distal gut"),exact(Metadata!L913,"Animal secretion"),exact(Metadata!L913,"Sub-surface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Y913">
        <f>IF(Metadata!M913="",FALSE,TRUE)</f>
        <v>0</v>
      </c>
      <c r="AZ913">
        <f>IF(Metadata!N913="",FALSE,TRUE)</f>
        <v>0</v>
      </c>
      <c r="BA913">
        <f>IF(Metadata!O913="",FALSE,TRUE)</f>
        <v>0</v>
      </c>
      <c r="BB913">
        <f>OR(AND(IF(Metadata!P913="",FALSE,TRUE),OR(exact(Metadata!P913,"not collected"),exact(Metadata!P913,"not provided"),exact(Metadata!P913,"restricted access"))),AND(IF(Metadata!P913="",FALSE,TRUE),OR(exact(Metadata!P913,"air"),exact(Metadata!P913,"built environment"),exact(Metadata!P913,"host-associated"),exact(Metadata!P913,"human-associated"),exact(Metadata!P913,"human-skin"),exact(Metadata!P913,"human-oral"),exact(Metadata!P913,"human-gut"),exact(Metadata!P913,"human-vaginal"),exact(Metadata!P913,"microbial mat/biofilm"),exact(Metadata!P913,"misc environment"),exact(Metadata!P913,"plant-associated"),exact(Metadata!P913,"sediment"),exact(Metadata!P913,"soil"),exact(Metadata!P913,"wastewater/sludge"),exact(Metadata!P913,"water"))))</f>
        <v>0</v>
      </c>
      <c r="BC913">
        <f>IF(Metadata!Q913="",FALSE,TRUE)</f>
        <v>0</v>
      </c>
      <c r="BD913">
        <f>IF(Metadata!R913="",FALSE,TRUE)</f>
        <v>0</v>
      </c>
      <c r="BE913">
        <f>OR(AND(IF(Metadata!S913="",FALSE,TRUE),OR(exact(Metadata!S913,"not collected"),exact(Metadata!S913,"not provided"),exact(Metadata!S913,"restricted access"))),AND(IF(Metadata!S913="",FALSE,ISNUMBER(VALUE(Metadata!S913))),Metadata!S913&gt;=-90.00,Metadata!S913&lt;=90.00))</f>
        <v>0</v>
      </c>
      <c r="BF913">
        <f>AND(IF(Metadata!T913="",FALSE,TRUE),exact(Metadata!T913,"Decimal degrees"))</f>
        <v>0</v>
      </c>
      <c r="BG913">
        <f>OR(AND(IF(Metadata!U913="",FALSE,TRUE),OR(exact(Metadata!U913,"not collected"),exact(Metadata!U913,"not provided"),exact(Metadata!U913,"restricted access"))),AND(IF(Metadata!U913="",FALSE,ISNUMBER(VALUE(Metadata!U913))),Metadata!U913&gt;=-180.00,Metadata!U913&lt;=180.00))</f>
        <v>0</v>
      </c>
      <c r="BH913">
        <f>AND(IF(Metadata!V913="",FALSE,TRUE),exact(Metadata!V913,"Decimal degrees"))</f>
        <v>0</v>
      </c>
      <c r="BI913">
        <f>IF(Metadata!W913="",FALSE,TRUE)</f>
        <v>0</v>
      </c>
      <c r="BJ913">
        <f>OR(AND(IF(Metadata!X913="",FALSE,TRUE),OR(exact(Metadata!X913,"not collected"),exact(Metadata!X913,"not provided"),exact(Metadata!X913,"restricted access"))),AND(IF(Metadata!X913="",FALSE,TRUE),OR(exact(Metadata!X913,"TRUE"),exact(Metadata!X913,"FALSE"))))</f>
        <v>0</v>
      </c>
      <c r="BK913">
        <f>AND(IF(Metadata!Y913="",FALSE,TRUE),exact(Metadata!Y913,"other"))</f>
        <v>0</v>
      </c>
      <c r="BL913">
        <f>IF(Metadata!Z913="",FALSE,TRUE)</f>
        <v>0</v>
      </c>
      <c r="BM913">
        <f>OR(AND(IF(Metadata!AA913="",FALSE,TRUE),OR(exact(Metadata!AA913,"not collected"),exact(Metadata!AA913,"not provided"))),AND(IF(Metadata!AA913="",FALSE,IF(ISERROR(INT(Metadata!AA913)),FALSE,INT(Metadata!AA913)=Metadata!AA913)),Metadata!AA913&gt;0))</f>
        <v>0</v>
      </c>
      <c r="BN913">
        <f>AND(IF(Metadata!AB913="",FALSE,TRUE),exact(Metadata!AB913,"Not applicable"))</f>
        <v>0</v>
      </c>
      <c r="BO913">
        <f>IF(Metadata!AC913="",FALSE,TRUE)</f>
        <v>0</v>
      </c>
    </row>
    <row r="914" spans="1:67">
      <c r="A914" s="5">
        <f>IF(B914=" "," ",HYPERLINK(CONCATENATE("#metadata!",ADDRESS(INDEX($AI$2:$AI$1001,MATCH(ROWS($AG$2:AG914),$AG$2:$AG$1001,0),0),1)),INDEX($AL$2:$AL$1001,MATCH(ROWS($AG$2:AG914),$AG$2:$AG$1001,0),0)))</f>
        <v>0</v>
      </c>
      <c r="B914" s="4">
        <f>IF(OR(INDEX($AH$2:$AH$1001,MATCH(ROWS($AG$2:AG914),$AG$2:$AG$1001,0),1)&gt;=100000,INDEX($AN$1005:$BO$1005,1,MATCH(COLUMNS($AN$1006:AN1006),$AN$1006:$BO$1006,0))&gt;=100000), " ",IF(INDEX($AN$2:$BO$1001,MATCH(ROWS($AG$2:AG914),$AG$2:$AG$1001,0),MATCH(COLUMNS($AN$1006:AN1006),$AN$1006:$BO$1006,0)), HYPERLINK("#",""), HYPERLINK(CONCATENATE("#Metadata!", ADDRESS(INDEX($AI$2:$AI$1001,MATCH(ROWS($AG$2:AG914),$AG$2:$AG$1001,0),0), INDEX($AN$1004:$BO$1004,1,MATCH(COLUMNS($AN$1006:AN1006),$AN$1006:$BO$1006,0)))),"Fix")))</f>
        <v>0</v>
      </c>
      <c r="C914" s="4">
        <f>IF(OR(INDEX($AH$2:$AH$1001,MATCH(ROWS($AG$2:AG914),$AG$2:$AG$1001,0),1)&gt;=100000,INDEX($AN$1005:$BO$1005,1,MATCH(COLUMNS($AN$1006:AO1006),$AN$1006:$BO$1006,0))&gt;=100000), " ",IF(INDEX($AN$2:$BO$1001,MATCH(ROWS($AG$2:AG914),$AG$2:$AG$1001,0),MATCH(COLUMNS($AN$1006:AO1006),$AN$1006:$BO$1006,0)), HYPERLINK("#",""), HYPERLINK(CONCATENATE("#Metadata!", ADDRESS(INDEX($AI$2:$AI$1001,MATCH(ROWS($AG$2:AG914),$AG$2:$AG$1001,0),0), INDEX($AN$1004:$BO$1004,1,MATCH(COLUMNS($AN$1006:AO1006),$AN$1006:$BO$1006,0)))),"Fix")))</f>
        <v>0</v>
      </c>
      <c r="D914" s="4">
        <f>IF(OR(INDEX($AH$2:$AH$1001,MATCH(ROWS($AG$2:AG914),$AG$2:$AG$1001,0),1)&gt;=100000,INDEX($AN$1005:$BO$1005,1,MATCH(COLUMNS($AN$1006:AP1006),$AN$1006:$BO$1006,0))&gt;=100000), " ",IF(INDEX($AN$2:$BO$1001,MATCH(ROWS($AG$2:AG914),$AG$2:$AG$1001,0),MATCH(COLUMNS($AN$1006:AP1006),$AN$1006:$BO$1006,0)), HYPERLINK("#",""), HYPERLINK(CONCATENATE("#Metadata!", ADDRESS(INDEX($AI$2:$AI$1001,MATCH(ROWS($AG$2:AG914),$AG$2:$AG$1001,0),0), INDEX($AN$1004:$BO$1004,1,MATCH(COLUMNS($AN$1006:AP1006),$AN$1006:$BO$1006,0)))),"Fix")))</f>
        <v>0</v>
      </c>
      <c r="E914" s="4">
        <f>IF(OR(INDEX($AH$2:$AH$1001,MATCH(ROWS($AG$2:AG914),$AG$2:$AG$1001,0),1)&gt;=100000,INDEX($AN$1005:$BO$1005,1,MATCH(COLUMNS($AN$1006:AQ1006),$AN$1006:$BO$1006,0))&gt;=100000), " ",IF(INDEX($AN$2:$BO$1001,MATCH(ROWS($AG$2:AG914),$AG$2:$AG$1001,0),MATCH(COLUMNS($AN$1006:AQ1006),$AN$1006:$BO$1006,0)), HYPERLINK("#",""), HYPERLINK(CONCATENATE("#Metadata!", ADDRESS(INDEX($AI$2:$AI$1001,MATCH(ROWS($AG$2:AG914),$AG$2:$AG$1001,0),0), INDEX($AN$1004:$BO$1004,1,MATCH(COLUMNS($AN$1006:AQ1006),$AN$1006:$BO$1006,0)))),"Fix")))</f>
        <v>0</v>
      </c>
      <c r="F914" s="4">
        <f>IF(OR(INDEX($AH$2:$AH$1001,MATCH(ROWS($AG$2:AG914),$AG$2:$AG$1001,0),1)&gt;=100000,INDEX($AN$1005:$BO$1005,1,MATCH(COLUMNS($AN$1006:AR1006),$AN$1006:$BO$1006,0))&gt;=100000), " ",IF(INDEX($AN$2:$BO$1001,MATCH(ROWS($AG$2:AG914),$AG$2:$AG$1001,0),MATCH(COLUMNS($AN$1006:AR1006),$AN$1006:$BO$1006,0)), HYPERLINK("#",""), HYPERLINK(CONCATENATE("#Metadata!", ADDRESS(INDEX($AI$2:$AI$1001,MATCH(ROWS($AG$2:AG914),$AG$2:$AG$1001,0),0), INDEX($AN$1004:$BO$1004,1,MATCH(COLUMNS($AN$1006:AR1006),$AN$1006:$BO$1006,0)))),"Fix")))</f>
        <v>0</v>
      </c>
      <c r="G914" s="4">
        <f>IF(OR(INDEX($AH$2:$AH$1001,MATCH(ROWS($AG$2:AG914),$AG$2:$AG$1001,0),1)&gt;=100000,INDEX($AN$1005:$BO$1005,1,MATCH(COLUMNS($AN$1006:AS1006),$AN$1006:$BO$1006,0))&gt;=100000), " ",IF(INDEX($AN$2:$BO$1001,MATCH(ROWS($AG$2:AG914),$AG$2:$AG$1001,0),MATCH(COLUMNS($AN$1006:AS1006),$AN$1006:$BO$1006,0)), HYPERLINK("#",""), HYPERLINK(CONCATENATE("#Metadata!", ADDRESS(INDEX($AI$2:$AI$1001,MATCH(ROWS($AG$2:AG914),$AG$2:$AG$1001,0),0), INDEX($AN$1004:$BO$1004,1,MATCH(COLUMNS($AN$1006:AS1006),$AN$1006:$BO$1006,0)))),"Fix")))</f>
        <v>0</v>
      </c>
      <c r="H914" s="4">
        <f>IF(OR(INDEX($AH$2:$AH$1001,MATCH(ROWS($AG$2:AG914),$AG$2:$AG$1001,0),1)&gt;=100000,INDEX($AN$1005:$BO$1005,1,MATCH(COLUMNS($AN$1006:AT1006),$AN$1006:$BO$1006,0))&gt;=100000), " ",IF(INDEX($AN$2:$BO$1001,MATCH(ROWS($AG$2:AG914),$AG$2:$AG$1001,0),MATCH(COLUMNS($AN$1006:AT1006),$AN$1006:$BO$1006,0)), HYPERLINK("#",""), HYPERLINK(CONCATENATE("#Metadata!", ADDRESS(INDEX($AI$2:$AI$1001,MATCH(ROWS($AG$2:AG914),$AG$2:$AG$1001,0),0), INDEX($AN$1004:$BO$1004,1,MATCH(COLUMNS($AN$1006:AT1006),$AN$1006:$BO$1006,0)))),"Fix")))</f>
        <v>0</v>
      </c>
      <c r="I914" s="4">
        <f>IF(OR(INDEX($AH$2:$AH$1001,MATCH(ROWS($AG$2:AG914),$AG$2:$AG$1001,0),1)&gt;=100000,INDEX($AN$1005:$BO$1005,1,MATCH(COLUMNS($AN$1006:AU1006),$AN$1006:$BO$1006,0))&gt;=100000), " ",IF(INDEX($AN$2:$BO$1001,MATCH(ROWS($AG$2:AG914),$AG$2:$AG$1001,0),MATCH(COLUMNS($AN$1006:AU1006),$AN$1006:$BO$1006,0)), HYPERLINK("#",""), HYPERLINK(CONCATENATE("#Metadata!", ADDRESS(INDEX($AI$2:$AI$1001,MATCH(ROWS($AG$2:AG914),$AG$2:$AG$1001,0),0), INDEX($AN$1004:$BO$1004,1,MATCH(COLUMNS($AN$1006:AU1006),$AN$1006:$BO$1006,0)))),"Fix")))</f>
        <v>0</v>
      </c>
      <c r="J914" s="4">
        <f>IF(OR(INDEX($AH$2:$AH$1001,MATCH(ROWS($AG$2:AG914),$AG$2:$AG$1001,0),1)&gt;=100000,INDEX($AN$1005:$BO$1005,1,MATCH(COLUMNS($AN$1006:AV1006),$AN$1006:$BO$1006,0))&gt;=100000), " ",IF(INDEX($AN$2:$BO$1001,MATCH(ROWS($AG$2:AG914),$AG$2:$AG$1001,0),MATCH(COLUMNS($AN$1006:AV1006),$AN$1006:$BO$1006,0)), HYPERLINK("#",""), HYPERLINK(CONCATENATE("#Metadata!", ADDRESS(INDEX($AI$2:$AI$1001,MATCH(ROWS($AG$2:AG914),$AG$2:$AG$1001,0),0), INDEX($AN$1004:$BO$1004,1,MATCH(COLUMNS($AN$1006:AV1006),$AN$1006:$BO$1006,0)))),"Fix")))</f>
        <v>0</v>
      </c>
      <c r="K914" s="4">
        <f>IF(OR(INDEX($AH$2:$AH$1001,MATCH(ROWS($AG$2:AG914),$AG$2:$AG$1001,0),1)&gt;=100000,INDEX($AN$1005:$BO$1005,1,MATCH(COLUMNS($AN$1006:AW1006),$AN$1006:$BO$1006,0))&gt;=100000), " ",IF(INDEX($AN$2:$BO$1001,MATCH(ROWS($AG$2:AG914),$AG$2:$AG$1001,0),MATCH(COLUMNS($AN$1006:AW1006),$AN$1006:$BO$1006,0)), HYPERLINK("#",""), HYPERLINK(CONCATENATE("#Metadata!", ADDRESS(INDEX($AI$2:$AI$1001,MATCH(ROWS($AG$2:AG914),$AG$2:$AG$1001,0),0), INDEX($AN$1004:$BO$1004,1,MATCH(COLUMNS($AN$1006:AW1006),$AN$1006:$BO$1006,0)))),"Fix")))</f>
        <v>0</v>
      </c>
      <c r="L914" s="4">
        <f>IF(OR(INDEX($AH$2:$AH$1001,MATCH(ROWS($AG$2:AG914),$AG$2:$AG$1001,0),1)&gt;=100000,INDEX($AN$1005:$BO$1005,1,MATCH(COLUMNS($AN$1006:AX1006),$AN$1006:$BO$1006,0))&gt;=100000), " ",IF(INDEX($AN$2:$BO$1001,MATCH(ROWS($AG$2:AG914),$AG$2:$AG$1001,0),MATCH(COLUMNS($AN$1006:AX1006),$AN$1006:$BO$1006,0)), HYPERLINK("#",""), HYPERLINK(CONCATENATE("#Metadata!", ADDRESS(INDEX($AI$2:$AI$1001,MATCH(ROWS($AG$2:AG914),$AG$2:$AG$1001,0),0), INDEX($AN$1004:$BO$1004,1,MATCH(COLUMNS($AN$1006:AX1006),$AN$1006:$BO$1006,0)))),"Fix")))</f>
        <v>0</v>
      </c>
      <c r="M914" s="4">
        <f>IF(OR(INDEX($AH$2:$AH$1001,MATCH(ROWS($AG$2:AG914),$AG$2:$AG$1001,0),1)&gt;=100000,INDEX($AN$1005:$BO$1005,1,MATCH(COLUMNS($AN$1006:AY1006),$AN$1006:$BO$1006,0))&gt;=100000), " ",IF(INDEX($AN$2:$BO$1001,MATCH(ROWS($AG$2:AG914),$AG$2:$AG$1001,0),MATCH(COLUMNS($AN$1006:AY1006),$AN$1006:$BO$1006,0)), HYPERLINK("#",""), HYPERLINK(CONCATENATE("#Metadata!", ADDRESS(INDEX($AI$2:$AI$1001,MATCH(ROWS($AG$2:AG914),$AG$2:$AG$1001,0),0), INDEX($AN$1004:$BO$1004,1,MATCH(COLUMNS($AN$1006:AY1006),$AN$1006:$BO$1006,0)))),"Fix")))</f>
        <v>0</v>
      </c>
      <c r="N914" s="4">
        <f>IF(OR(INDEX($AH$2:$AH$1001,MATCH(ROWS($AG$2:AG914),$AG$2:$AG$1001,0),1)&gt;=100000,INDEX($AN$1005:$BO$1005,1,MATCH(COLUMNS($AN$1006:AZ1006),$AN$1006:$BO$1006,0))&gt;=100000), " ",IF(INDEX($AN$2:$BO$1001,MATCH(ROWS($AG$2:AG914),$AG$2:$AG$1001,0),MATCH(COLUMNS($AN$1006:AZ1006),$AN$1006:$BO$1006,0)), HYPERLINK("#",""), HYPERLINK(CONCATENATE("#Metadata!", ADDRESS(INDEX($AI$2:$AI$1001,MATCH(ROWS($AG$2:AG914),$AG$2:$AG$1001,0),0), INDEX($AN$1004:$BO$1004,1,MATCH(COLUMNS($AN$1006:AZ1006),$AN$1006:$BO$1006,0)))),"Fix")))</f>
        <v>0</v>
      </c>
      <c r="O914" s="4">
        <f>IF(OR(INDEX($AH$2:$AH$1001,MATCH(ROWS($AG$2:AG914),$AG$2:$AG$1001,0),1)&gt;=100000,INDEX($AN$1005:$BO$1005,1,MATCH(COLUMNS($AN$1006:BA1006),$AN$1006:$BO$1006,0))&gt;=100000), " ",IF(INDEX($AN$2:$BO$1001,MATCH(ROWS($AG$2:AG914),$AG$2:$AG$1001,0),MATCH(COLUMNS($AN$1006:BA1006),$AN$1006:$BO$1006,0)), HYPERLINK("#",""), HYPERLINK(CONCATENATE("#Metadata!", ADDRESS(INDEX($AI$2:$AI$1001,MATCH(ROWS($AG$2:AG914),$AG$2:$AG$1001,0),0), INDEX($AN$1004:$BO$1004,1,MATCH(COLUMNS($AN$1006:BA1006),$AN$1006:$BO$1006,0)))),"Fix")))</f>
        <v>0</v>
      </c>
      <c r="P914" s="4">
        <f>IF(OR(INDEX($AH$2:$AH$1001,MATCH(ROWS($AG$2:AG914),$AG$2:$AG$1001,0),1)&gt;=100000,INDEX($AN$1005:$BO$1005,1,MATCH(COLUMNS($AN$1006:BB1006),$AN$1006:$BO$1006,0))&gt;=100000), " ",IF(INDEX($AN$2:$BO$1001,MATCH(ROWS($AG$2:AG914),$AG$2:$AG$1001,0),MATCH(COLUMNS($AN$1006:BB1006),$AN$1006:$BO$1006,0)), HYPERLINK("#",""), HYPERLINK(CONCATENATE("#Metadata!", ADDRESS(INDEX($AI$2:$AI$1001,MATCH(ROWS($AG$2:AG914),$AG$2:$AG$1001,0),0), INDEX($AN$1004:$BO$1004,1,MATCH(COLUMNS($AN$1006:BB1006),$AN$1006:$BO$1006,0)))),"Fix")))</f>
        <v>0</v>
      </c>
      <c r="Q914" s="4">
        <f>IF(OR(INDEX($AH$2:$AH$1001,MATCH(ROWS($AG$2:AG914),$AG$2:$AG$1001,0),1)&gt;=100000,INDEX($AN$1005:$BO$1005,1,MATCH(COLUMNS($AN$1006:BC1006),$AN$1006:$BO$1006,0))&gt;=100000), " ",IF(INDEX($AN$2:$BO$1001,MATCH(ROWS($AG$2:AG914),$AG$2:$AG$1001,0),MATCH(COLUMNS($AN$1006:BC1006),$AN$1006:$BO$1006,0)), HYPERLINK("#",""), HYPERLINK(CONCATENATE("#Metadata!", ADDRESS(INDEX($AI$2:$AI$1001,MATCH(ROWS($AG$2:AG914),$AG$2:$AG$1001,0),0), INDEX($AN$1004:$BO$1004,1,MATCH(COLUMNS($AN$1006:BC1006),$AN$1006:$BO$1006,0)))),"Fix")))</f>
        <v>0</v>
      </c>
      <c r="R914" s="4">
        <f>IF(OR(INDEX($AH$2:$AH$1001,MATCH(ROWS($AG$2:AG914),$AG$2:$AG$1001,0),1)&gt;=100000,INDEX($AN$1005:$BO$1005,1,MATCH(COLUMNS($AN$1006:BD1006),$AN$1006:$BO$1006,0))&gt;=100000), " ",IF(INDEX($AN$2:$BO$1001,MATCH(ROWS($AG$2:AG914),$AG$2:$AG$1001,0),MATCH(COLUMNS($AN$1006:BD1006),$AN$1006:$BO$1006,0)), HYPERLINK("#",""), HYPERLINK(CONCATENATE("#Metadata!", ADDRESS(INDEX($AI$2:$AI$1001,MATCH(ROWS($AG$2:AG914),$AG$2:$AG$1001,0),0), INDEX($AN$1004:$BO$1004,1,MATCH(COLUMNS($AN$1006:BD1006),$AN$1006:$BO$1006,0)))),"Fix")))</f>
        <v>0</v>
      </c>
      <c r="S914" s="4">
        <f>IF(OR(INDEX($AH$2:$AH$1001,MATCH(ROWS($AG$2:AG914),$AG$2:$AG$1001,0),1)&gt;=100000,INDEX($AN$1005:$BO$1005,1,MATCH(COLUMNS($AN$1006:BE1006),$AN$1006:$BO$1006,0))&gt;=100000), " ",IF(INDEX($AN$2:$BO$1001,MATCH(ROWS($AG$2:AG914),$AG$2:$AG$1001,0),MATCH(COLUMNS($AN$1006:BE1006),$AN$1006:$BO$1006,0)), HYPERLINK("#",""), HYPERLINK(CONCATENATE("#Metadata!", ADDRESS(INDEX($AI$2:$AI$1001,MATCH(ROWS($AG$2:AG914),$AG$2:$AG$1001,0),0), INDEX($AN$1004:$BO$1004,1,MATCH(COLUMNS($AN$1006:BE1006),$AN$1006:$BO$1006,0)))),"Fix")))</f>
        <v>0</v>
      </c>
      <c r="T914" s="4">
        <f>IF(OR(INDEX($AH$2:$AH$1001,MATCH(ROWS($AG$2:AG914),$AG$2:$AG$1001,0),1)&gt;=100000,INDEX($AN$1005:$BO$1005,1,MATCH(COLUMNS($AN$1006:BF1006),$AN$1006:$BO$1006,0))&gt;=100000), " ",IF(INDEX($AN$2:$BO$1001,MATCH(ROWS($AG$2:AG914),$AG$2:$AG$1001,0),MATCH(COLUMNS($AN$1006:BF1006),$AN$1006:$BO$1006,0)), HYPERLINK("#",""), HYPERLINK(CONCATENATE("#Metadata!", ADDRESS(INDEX($AI$2:$AI$1001,MATCH(ROWS($AG$2:AG914),$AG$2:$AG$1001,0),0), INDEX($AN$1004:$BO$1004,1,MATCH(COLUMNS($AN$1006:BF1006),$AN$1006:$BO$1006,0)))),"Fix")))</f>
        <v>0</v>
      </c>
      <c r="U914" s="4">
        <f>IF(OR(INDEX($AH$2:$AH$1001,MATCH(ROWS($AG$2:AG914),$AG$2:$AG$1001,0),1)&gt;=100000,INDEX($AN$1005:$BO$1005,1,MATCH(COLUMNS($AN$1006:BG1006),$AN$1006:$BO$1006,0))&gt;=100000), " ",IF(INDEX($AN$2:$BO$1001,MATCH(ROWS($AG$2:AG914),$AG$2:$AG$1001,0),MATCH(COLUMNS($AN$1006:BG1006),$AN$1006:$BO$1006,0)), HYPERLINK("#",""), HYPERLINK(CONCATENATE("#Metadata!", ADDRESS(INDEX($AI$2:$AI$1001,MATCH(ROWS($AG$2:AG914),$AG$2:$AG$1001,0),0), INDEX($AN$1004:$BO$1004,1,MATCH(COLUMNS($AN$1006:BG1006),$AN$1006:$BO$1006,0)))),"Fix")))</f>
        <v>0</v>
      </c>
      <c r="V914" s="4">
        <f>IF(OR(INDEX($AH$2:$AH$1001,MATCH(ROWS($AG$2:AG914),$AG$2:$AG$1001,0),1)&gt;=100000,INDEX($AN$1005:$BO$1005,1,MATCH(COLUMNS($AN$1006:BH1006),$AN$1006:$BO$1006,0))&gt;=100000), " ",IF(INDEX($AN$2:$BO$1001,MATCH(ROWS($AG$2:AG914),$AG$2:$AG$1001,0),MATCH(COLUMNS($AN$1006:BH1006),$AN$1006:$BO$1006,0)), HYPERLINK("#",""), HYPERLINK(CONCATENATE("#Metadata!", ADDRESS(INDEX($AI$2:$AI$1001,MATCH(ROWS($AG$2:AG914),$AG$2:$AG$1001,0),0), INDEX($AN$1004:$BO$1004,1,MATCH(COLUMNS($AN$1006:BH1006),$AN$1006:$BO$1006,0)))),"Fix")))</f>
        <v>0</v>
      </c>
      <c r="W914" s="4">
        <f>IF(OR(INDEX($AH$2:$AH$1001,MATCH(ROWS($AG$2:AG914),$AG$2:$AG$1001,0),1)&gt;=100000,INDEX($AN$1005:$BO$1005,1,MATCH(COLUMNS($AN$1006:BI1006),$AN$1006:$BO$1006,0))&gt;=100000), " ",IF(INDEX($AN$2:$BO$1001,MATCH(ROWS($AG$2:AG914),$AG$2:$AG$1001,0),MATCH(COLUMNS($AN$1006:BI1006),$AN$1006:$BO$1006,0)), HYPERLINK("#",""), HYPERLINK(CONCATENATE("#Metadata!", ADDRESS(INDEX($AI$2:$AI$1001,MATCH(ROWS($AG$2:AG914),$AG$2:$AG$1001,0),0), INDEX($AN$1004:$BO$1004,1,MATCH(COLUMNS($AN$1006:BI1006),$AN$1006:$BO$1006,0)))),"Fix")))</f>
        <v>0</v>
      </c>
      <c r="X914" s="4">
        <f>IF(OR(INDEX($AH$2:$AH$1001,MATCH(ROWS($AG$2:AG914),$AG$2:$AG$1001,0),1)&gt;=100000,INDEX($AN$1005:$BO$1005,1,MATCH(COLUMNS($AN$1006:BJ1006),$AN$1006:$BO$1006,0))&gt;=100000), " ",IF(INDEX($AN$2:$BO$1001,MATCH(ROWS($AG$2:AG914),$AG$2:$AG$1001,0),MATCH(COLUMNS($AN$1006:BJ1006),$AN$1006:$BO$1006,0)), HYPERLINK("#",""), HYPERLINK(CONCATENATE("#Metadata!", ADDRESS(INDEX($AI$2:$AI$1001,MATCH(ROWS($AG$2:AG914),$AG$2:$AG$1001,0),0), INDEX($AN$1004:$BO$1004,1,MATCH(COLUMNS($AN$1006:BJ1006),$AN$1006:$BO$1006,0)))),"Fix")))</f>
        <v>0</v>
      </c>
      <c r="Y914" s="4">
        <f>IF(OR(INDEX($AH$2:$AH$1001,MATCH(ROWS($AG$2:AG914),$AG$2:$AG$1001,0),1)&gt;=100000,INDEX($AN$1005:$BO$1005,1,MATCH(COLUMNS($AN$1006:BK1006),$AN$1006:$BO$1006,0))&gt;=100000), " ",IF(INDEX($AN$2:$BO$1001,MATCH(ROWS($AG$2:AG914),$AG$2:$AG$1001,0),MATCH(COLUMNS($AN$1006:BK1006),$AN$1006:$BO$1006,0)), HYPERLINK("#",""), HYPERLINK(CONCATENATE("#Metadata!", ADDRESS(INDEX($AI$2:$AI$1001,MATCH(ROWS($AG$2:AG914),$AG$2:$AG$1001,0),0), INDEX($AN$1004:$BO$1004,1,MATCH(COLUMNS($AN$1006:BK1006),$AN$1006:$BO$1006,0)))),"Fix")))</f>
        <v>0</v>
      </c>
      <c r="Z914" s="4">
        <f>IF(OR(INDEX($AH$2:$AH$1001,MATCH(ROWS($AG$2:AG914),$AG$2:$AG$1001,0),1)&gt;=100000,INDEX($AN$1005:$BO$1005,1,MATCH(COLUMNS($AN$1006:BL1006),$AN$1006:$BO$1006,0))&gt;=100000), " ",IF(INDEX($AN$2:$BO$1001,MATCH(ROWS($AG$2:AG914),$AG$2:$AG$1001,0),MATCH(COLUMNS($AN$1006:BL1006),$AN$1006:$BO$1006,0)), HYPERLINK("#",""), HYPERLINK(CONCATENATE("#Metadata!", ADDRESS(INDEX($AI$2:$AI$1001,MATCH(ROWS($AG$2:AG914),$AG$2:$AG$1001,0),0), INDEX($AN$1004:$BO$1004,1,MATCH(COLUMNS($AN$1006:BL1006),$AN$1006:$BO$1006,0)))),"Fix")))</f>
        <v>0</v>
      </c>
      <c r="AA914" s="4">
        <f>IF(OR(INDEX($AH$2:$AH$1001,MATCH(ROWS($AG$2:AG914),$AG$2:$AG$1001,0),1)&gt;=100000,INDEX($AN$1005:$BO$1005,1,MATCH(COLUMNS($AN$1006:BM1006),$AN$1006:$BO$1006,0))&gt;=100000), " ",IF(INDEX($AN$2:$BO$1001,MATCH(ROWS($AG$2:AG914),$AG$2:$AG$1001,0),MATCH(COLUMNS($AN$1006:BM1006),$AN$1006:$BO$1006,0)), HYPERLINK("#",""), HYPERLINK(CONCATENATE("#Metadata!", ADDRESS(INDEX($AI$2:$AI$1001,MATCH(ROWS($AG$2:AG914),$AG$2:$AG$1001,0),0), INDEX($AN$1004:$BO$1004,1,MATCH(COLUMNS($AN$1006:BM1006),$AN$1006:$BO$1006,0)))),"Fix")))</f>
        <v>0</v>
      </c>
      <c r="AB914" s="4">
        <f>IF(OR(INDEX($AH$2:$AH$1001,MATCH(ROWS($AG$2:AG914),$AG$2:$AG$1001,0),1)&gt;=100000,INDEX($AN$1005:$BO$1005,1,MATCH(COLUMNS($AN$1006:BN1006),$AN$1006:$BO$1006,0))&gt;=100000), " ",IF(INDEX($AN$2:$BO$1001,MATCH(ROWS($AG$2:AG914),$AG$2:$AG$1001,0),MATCH(COLUMNS($AN$1006:BN1006),$AN$1006:$BO$1006,0)), HYPERLINK("#",""), HYPERLINK(CONCATENATE("#Metadata!", ADDRESS(INDEX($AI$2:$AI$1001,MATCH(ROWS($AG$2:AG914),$AG$2:$AG$1001,0),0), INDEX($AN$1004:$BO$1004,1,MATCH(COLUMNS($AN$1006:BN1006),$AN$1006:$BO$1006,0)))),"Fix")))</f>
        <v>0</v>
      </c>
      <c r="AC914" s="4">
        <f>IF(OR(INDEX($AH$2:$AH$1001,MATCH(ROWS($AG$2:AG914),$AG$2:$AG$1001,0),1)&gt;=100000,INDEX($AN$1005:$BO$1005,1,MATCH(COLUMNS($AN$1006:BO1006),$AN$1006:$BO$1006,0))&gt;=100000), " ",IF(INDEX($AN$2:$BO$1001,MATCH(ROWS($AG$2:AG914),$AG$2:$AG$1001,0),MATCH(COLUMNS($AN$1006:BO1006),$AN$1006:$BO$1006,0)), HYPERLINK("#",""), HYPERLINK(CONCATENATE("#Metadata!", ADDRESS(INDEX($AI$2:$AI$1001,MATCH(ROWS($AG$2:AG914),$AG$2:$AG$1001,0),0), INDEX($AN$1004:$BO$1004,1,MATCH(COLUMNS($AN$1006:BO1006),$AN$1006:$BO$1006,0)))),"Fix")))</f>
        <v>0</v>
      </c>
      <c r="AG914">
        <v>0</v>
      </c>
      <c r="AH914">
        <v>0</v>
      </c>
      <c r="AI914">
        <v>0</v>
      </c>
      <c r="AJ914">
        <f>IF(AK914,TRUE,AND(AN914:BO914))</f>
        <v>0</v>
      </c>
      <c r="AK914">
        <f>COUNTBLANK(Metadata!B914:AC914)=COLUMNS(Metadata!B914:AC914)</f>
        <v>0</v>
      </c>
      <c r="AL914">
        <v>0</v>
      </c>
      <c r="AN914">
        <f>AND(IF(Metadata!B914="",FALSE,TRUE),COUNTIF(Metadata!B:B, Metadata!B914) = 1,NOT(ISERROR(SUMPRODUCT(SEARCH(MID(Metadata!B914,ROW(INDIRECT("1:"&amp;LEN(Metadata!B914))), 1),"0123456789abcdefghijklmnopqrstuvwxyzABCDEFGHIJKLMNOPQRSTUVWXYZ.")))))</f>
        <v>0</v>
      </c>
      <c r="AO914">
        <f>IF(Metadata!C914="",FALSE,TRUE)</f>
        <v>0</v>
      </c>
      <c r="AP914">
        <f>IF(Metadata!D914="",FALSE,TRUE)</f>
        <v>0</v>
      </c>
      <c r="AQ914">
        <f>OR(AND(IF(Metadata!E914="",FALSE,TRUE),OR(exact(Metadata!E914,"not collected"),exact(Metadata!E914,"not provided"),exact(Metadata!E914,"restricted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R914">
        <f>IF(Metadata!F914="",FALSE,TRUE)</f>
        <v>0</v>
      </c>
      <c r="AS914">
        <f>OR(AND(IF(Metadata!G914="",FALSE,TRUE),OR(exact(Metadata!G914,"not collected"),exact(Metadata!G914,"not provided"))),AND(IF(Metadata!G914="",FALSE,TRUE),OR(exact(Metadata!G914,"TRUE"),exact(Metadata!G914,"FALSE"))))</f>
        <v>0</v>
      </c>
      <c r="AT914">
        <f>OR(AND(IF(Metadata!H914="",FALSE,TRUE),OR(exact(Metadata!H914,"not collected"),exact(Metadata!H914,"not provided"),exact(Metadata!H914,"restricted access"))),AND(IF(Metadata!H914="",FALSE,ISNUMBER(VALUE(Metadata!H914))),Metadata!H914&gt;=-413.0))</f>
        <v>0</v>
      </c>
      <c r="AU914">
        <f>AND(IF(Metadata!I914="",FALSE,TRUE),exact(Metadata!I914,"meters"))</f>
        <v>0</v>
      </c>
      <c r="AV914">
        <f>AND(IF(Metadata!J914="",FALSE,TRUE),OR(exact(Metadata!J914,"Host-associated"),exact(Metadata!J914,"Free-living")))</f>
        <v>0</v>
      </c>
      <c r="AW914">
        <f>AND(IF(Metadata!K914="",FALSE,TRUE),OR(exact(Metadata!K914,"Animal"),exact(Metadata!K914,"Fungus"),exact(Metadata!K914,"Plant"),exact(Metadata!K914,"Saline"),exact(Metadata!K914,"Non-saline")))</f>
        <v>0</v>
      </c>
      <c r="AX914">
        <f>AND(IF(Metadata!L914="",FALSE,TRUE),OR(exact(Metadata!L914,"Plant secretion"),exact(Metadata!L914,"Plant rhizosphere"),exact(Metadata!L914,"Plant surface"),exact(Metadata!L914,"Plant corpus"),exact(Metadata!L914,"Fungus surface"),exact(Metadata!L914,"Fungus corpus"),exact(Metadata!L914,"Animal surface"),exact(Metadata!L914,"Animal proximal gut"),exact(Metadata!L914,"Animal corpus"),exact(Metadata!L914,"Animal distal gut"),exact(Metadata!L914,"Animal secretion"),exact(Metadata!L914,"Sub-surface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Y914">
        <f>IF(Metadata!M914="",FALSE,TRUE)</f>
        <v>0</v>
      </c>
      <c r="AZ914">
        <f>IF(Metadata!N914="",FALSE,TRUE)</f>
        <v>0</v>
      </c>
      <c r="BA914">
        <f>IF(Metadata!O914="",FALSE,TRUE)</f>
        <v>0</v>
      </c>
      <c r="BB914">
        <f>OR(AND(IF(Metadata!P914="",FALSE,TRUE),OR(exact(Metadata!P914,"not collected"),exact(Metadata!P914,"not provided"),exact(Metadata!P914,"restricted access"))),AND(IF(Metadata!P914="",FALSE,TRUE),OR(exact(Metadata!P914,"air"),exact(Metadata!P914,"built environment"),exact(Metadata!P914,"host-associated"),exact(Metadata!P914,"human-associated"),exact(Metadata!P914,"human-skin"),exact(Metadata!P914,"human-oral"),exact(Metadata!P914,"human-gut"),exact(Metadata!P914,"human-vaginal"),exact(Metadata!P914,"microbial mat/biofilm"),exact(Metadata!P914,"misc environment"),exact(Metadata!P914,"plant-associated"),exact(Metadata!P914,"sediment"),exact(Metadata!P914,"soil"),exact(Metadata!P914,"wastewater/sludge"),exact(Metadata!P914,"water"))))</f>
        <v>0</v>
      </c>
      <c r="BC914">
        <f>IF(Metadata!Q914="",FALSE,TRUE)</f>
        <v>0</v>
      </c>
      <c r="BD914">
        <f>IF(Metadata!R914="",FALSE,TRUE)</f>
        <v>0</v>
      </c>
      <c r="BE914">
        <f>OR(AND(IF(Metadata!S914="",FALSE,TRUE),OR(exact(Metadata!S914,"not collected"),exact(Metadata!S914,"not provided"),exact(Metadata!S914,"restricted access"))),AND(IF(Metadata!S914="",FALSE,ISNUMBER(VALUE(Metadata!S914))),Metadata!S914&gt;=-90.00,Metadata!S914&lt;=90.00))</f>
        <v>0</v>
      </c>
      <c r="BF914">
        <f>AND(IF(Metadata!T914="",FALSE,TRUE),exact(Metadata!T914,"Decimal degrees"))</f>
        <v>0</v>
      </c>
      <c r="BG914">
        <f>OR(AND(IF(Metadata!U914="",FALSE,TRUE),OR(exact(Metadata!U914,"not collected"),exact(Metadata!U914,"not provided"),exact(Metadata!U914,"restricted access"))),AND(IF(Metadata!U914="",FALSE,ISNUMBER(VALUE(Metadata!U914))),Metadata!U914&gt;=-180.00,Metadata!U914&lt;=180.00))</f>
        <v>0</v>
      </c>
      <c r="BH914">
        <f>AND(IF(Metadata!V914="",FALSE,TRUE),exact(Metadata!V914,"Decimal degrees"))</f>
        <v>0</v>
      </c>
      <c r="BI914">
        <f>IF(Metadata!W914="",FALSE,TRUE)</f>
        <v>0</v>
      </c>
      <c r="BJ914">
        <f>OR(AND(IF(Metadata!X914="",FALSE,TRUE),OR(exact(Metadata!X914,"not collected"),exact(Metadata!X914,"not provided"),exact(Metadata!X914,"restricted access"))),AND(IF(Metadata!X914="",FALSE,TRUE),OR(exact(Metadata!X914,"TRUE"),exact(Metadata!X914,"FALSE"))))</f>
        <v>0</v>
      </c>
      <c r="BK914">
        <f>AND(IF(Metadata!Y914="",FALSE,TRUE),exact(Metadata!Y914,"other"))</f>
        <v>0</v>
      </c>
      <c r="BL914">
        <f>IF(Metadata!Z914="",FALSE,TRUE)</f>
        <v>0</v>
      </c>
      <c r="BM914">
        <f>OR(AND(IF(Metadata!AA914="",FALSE,TRUE),OR(exact(Metadata!AA914,"not collected"),exact(Metadata!AA914,"not provided"))),AND(IF(Metadata!AA914="",FALSE,IF(ISERROR(INT(Metadata!AA914)),FALSE,INT(Metadata!AA914)=Metadata!AA914)),Metadata!AA914&gt;0))</f>
        <v>0</v>
      </c>
      <c r="BN914">
        <f>AND(IF(Metadata!AB914="",FALSE,TRUE),exact(Metadata!AB914,"Not applicable"))</f>
        <v>0</v>
      </c>
      <c r="BO914">
        <f>IF(Metadata!AC914="",FALSE,TRUE)</f>
        <v>0</v>
      </c>
    </row>
    <row r="915" spans="1:67">
      <c r="A915" s="5">
        <f>IF(B915=" "," ",HYPERLINK(CONCATENATE("#metadata!",ADDRESS(INDEX($AI$2:$AI$1001,MATCH(ROWS($AG$2:AG915),$AG$2:$AG$1001,0),0),1)),INDEX($AL$2:$AL$1001,MATCH(ROWS($AG$2:AG915),$AG$2:$AG$1001,0),0)))</f>
        <v>0</v>
      </c>
      <c r="B915" s="4">
        <f>IF(OR(INDEX($AH$2:$AH$1001,MATCH(ROWS($AG$2:AG915),$AG$2:$AG$1001,0),1)&gt;=100000,INDEX($AN$1005:$BO$1005,1,MATCH(COLUMNS($AN$1006:AN1006),$AN$1006:$BO$1006,0))&gt;=100000), " ",IF(INDEX($AN$2:$BO$1001,MATCH(ROWS($AG$2:AG915),$AG$2:$AG$1001,0),MATCH(COLUMNS($AN$1006:AN1006),$AN$1006:$BO$1006,0)), HYPERLINK("#",""), HYPERLINK(CONCATENATE("#Metadata!", ADDRESS(INDEX($AI$2:$AI$1001,MATCH(ROWS($AG$2:AG915),$AG$2:$AG$1001,0),0), INDEX($AN$1004:$BO$1004,1,MATCH(COLUMNS($AN$1006:AN1006),$AN$1006:$BO$1006,0)))),"Fix")))</f>
        <v>0</v>
      </c>
      <c r="C915" s="4">
        <f>IF(OR(INDEX($AH$2:$AH$1001,MATCH(ROWS($AG$2:AG915),$AG$2:$AG$1001,0),1)&gt;=100000,INDEX($AN$1005:$BO$1005,1,MATCH(COLUMNS($AN$1006:AO1006),$AN$1006:$BO$1006,0))&gt;=100000), " ",IF(INDEX($AN$2:$BO$1001,MATCH(ROWS($AG$2:AG915),$AG$2:$AG$1001,0),MATCH(COLUMNS($AN$1006:AO1006),$AN$1006:$BO$1006,0)), HYPERLINK("#",""), HYPERLINK(CONCATENATE("#Metadata!", ADDRESS(INDEX($AI$2:$AI$1001,MATCH(ROWS($AG$2:AG915),$AG$2:$AG$1001,0),0), INDEX($AN$1004:$BO$1004,1,MATCH(COLUMNS($AN$1006:AO1006),$AN$1006:$BO$1006,0)))),"Fix")))</f>
        <v>0</v>
      </c>
      <c r="D915" s="4">
        <f>IF(OR(INDEX($AH$2:$AH$1001,MATCH(ROWS($AG$2:AG915),$AG$2:$AG$1001,0),1)&gt;=100000,INDEX($AN$1005:$BO$1005,1,MATCH(COLUMNS($AN$1006:AP1006),$AN$1006:$BO$1006,0))&gt;=100000), " ",IF(INDEX($AN$2:$BO$1001,MATCH(ROWS($AG$2:AG915),$AG$2:$AG$1001,0),MATCH(COLUMNS($AN$1006:AP1006),$AN$1006:$BO$1006,0)), HYPERLINK("#",""), HYPERLINK(CONCATENATE("#Metadata!", ADDRESS(INDEX($AI$2:$AI$1001,MATCH(ROWS($AG$2:AG915),$AG$2:$AG$1001,0),0), INDEX($AN$1004:$BO$1004,1,MATCH(COLUMNS($AN$1006:AP1006),$AN$1006:$BO$1006,0)))),"Fix")))</f>
        <v>0</v>
      </c>
      <c r="E915" s="4">
        <f>IF(OR(INDEX($AH$2:$AH$1001,MATCH(ROWS($AG$2:AG915),$AG$2:$AG$1001,0),1)&gt;=100000,INDEX($AN$1005:$BO$1005,1,MATCH(COLUMNS($AN$1006:AQ1006),$AN$1006:$BO$1006,0))&gt;=100000), " ",IF(INDEX($AN$2:$BO$1001,MATCH(ROWS($AG$2:AG915),$AG$2:$AG$1001,0),MATCH(COLUMNS($AN$1006:AQ1006),$AN$1006:$BO$1006,0)), HYPERLINK("#",""), HYPERLINK(CONCATENATE("#Metadata!", ADDRESS(INDEX($AI$2:$AI$1001,MATCH(ROWS($AG$2:AG915),$AG$2:$AG$1001,0),0), INDEX($AN$1004:$BO$1004,1,MATCH(COLUMNS($AN$1006:AQ1006),$AN$1006:$BO$1006,0)))),"Fix")))</f>
        <v>0</v>
      </c>
      <c r="F915" s="4">
        <f>IF(OR(INDEX($AH$2:$AH$1001,MATCH(ROWS($AG$2:AG915),$AG$2:$AG$1001,0),1)&gt;=100000,INDEX($AN$1005:$BO$1005,1,MATCH(COLUMNS($AN$1006:AR1006),$AN$1006:$BO$1006,0))&gt;=100000), " ",IF(INDEX($AN$2:$BO$1001,MATCH(ROWS($AG$2:AG915),$AG$2:$AG$1001,0),MATCH(COLUMNS($AN$1006:AR1006),$AN$1006:$BO$1006,0)), HYPERLINK("#",""), HYPERLINK(CONCATENATE("#Metadata!", ADDRESS(INDEX($AI$2:$AI$1001,MATCH(ROWS($AG$2:AG915),$AG$2:$AG$1001,0),0), INDEX($AN$1004:$BO$1004,1,MATCH(COLUMNS($AN$1006:AR1006),$AN$1006:$BO$1006,0)))),"Fix")))</f>
        <v>0</v>
      </c>
      <c r="G915" s="4">
        <f>IF(OR(INDEX($AH$2:$AH$1001,MATCH(ROWS($AG$2:AG915),$AG$2:$AG$1001,0),1)&gt;=100000,INDEX($AN$1005:$BO$1005,1,MATCH(COLUMNS($AN$1006:AS1006),$AN$1006:$BO$1006,0))&gt;=100000), " ",IF(INDEX($AN$2:$BO$1001,MATCH(ROWS($AG$2:AG915),$AG$2:$AG$1001,0),MATCH(COLUMNS($AN$1006:AS1006),$AN$1006:$BO$1006,0)), HYPERLINK("#",""), HYPERLINK(CONCATENATE("#Metadata!", ADDRESS(INDEX($AI$2:$AI$1001,MATCH(ROWS($AG$2:AG915),$AG$2:$AG$1001,0),0), INDEX($AN$1004:$BO$1004,1,MATCH(COLUMNS($AN$1006:AS1006),$AN$1006:$BO$1006,0)))),"Fix")))</f>
        <v>0</v>
      </c>
      <c r="H915" s="4">
        <f>IF(OR(INDEX($AH$2:$AH$1001,MATCH(ROWS($AG$2:AG915),$AG$2:$AG$1001,0),1)&gt;=100000,INDEX($AN$1005:$BO$1005,1,MATCH(COLUMNS($AN$1006:AT1006),$AN$1006:$BO$1006,0))&gt;=100000), " ",IF(INDEX($AN$2:$BO$1001,MATCH(ROWS($AG$2:AG915),$AG$2:$AG$1001,0),MATCH(COLUMNS($AN$1006:AT1006),$AN$1006:$BO$1006,0)), HYPERLINK("#",""), HYPERLINK(CONCATENATE("#Metadata!", ADDRESS(INDEX($AI$2:$AI$1001,MATCH(ROWS($AG$2:AG915),$AG$2:$AG$1001,0),0), INDEX($AN$1004:$BO$1004,1,MATCH(COLUMNS($AN$1006:AT1006),$AN$1006:$BO$1006,0)))),"Fix")))</f>
        <v>0</v>
      </c>
      <c r="I915" s="4">
        <f>IF(OR(INDEX($AH$2:$AH$1001,MATCH(ROWS($AG$2:AG915),$AG$2:$AG$1001,0),1)&gt;=100000,INDEX($AN$1005:$BO$1005,1,MATCH(COLUMNS($AN$1006:AU1006),$AN$1006:$BO$1006,0))&gt;=100000), " ",IF(INDEX($AN$2:$BO$1001,MATCH(ROWS($AG$2:AG915),$AG$2:$AG$1001,0),MATCH(COLUMNS($AN$1006:AU1006),$AN$1006:$BO$1006,0)), HYPERLINK("#",""), HYPERLINK(CONCATENATE("#Metadata!", ADDRESS(INDEX($AI$2:$AI$1001,MATCH(ROWS($AG$2:AG915),$AG$2:$AG$1001,0),0), INDEX($AN$1004:$BO$1004,1,MATCH(COLUMNS($AN$1006:AU1006),$AN$1006:$BO$1006,0)))),"Fix")))</f>
        <v>0</v>
      </c>
      <c r="J915" s="4">
        <f>IF(OR(INDEX($AH$2:$AH$1001,MATCH(ROWS($AG$2:AG915),$AG$2:$AG$1001,0),1)&gt;=100000,INDEX($AN$1005:$BO$1005,1,MATCH(COLUMNS($AN$1006:AV1006),$AN$1006:$BO$1006,0))&gt;=100000), " ",IF(INDEX($AN$2:$BO$1001,MATCH(ROWS($AG$2:AG915),$AG$2:$AG$1001,0),MATCH(COLUMNS($AN$1006:AV1006),$AN$1006:$BO$1006,0)), HYPERLINK("#",""), HYPERLINK(CONCATENATE("#Metadata!", ADDRESS(INDEX($AI$2:$AI$1001,MATCH(ROWS($AG$2:AG915),$AG$2:$AG$1001,0),0), INDEX($AN$1004:$BO$1004,1,MATCH(COLUMNS($AN$1006:AV1006),$AN$1006:$BO$1006,0)))),"Fix")))</f>
        <v>0</v>
      </c>
      <c r="K915" s="4">
        <f>IF(OR(INDEX($AH$2:$AH$1001,MATCH(ROWS($AG$2:AG915),$AG$2:$AG$1001,0),1)&gt;=100000,INDEX($AN$1005:$BO$1005,1,MATCH(COLUMNS($AN$1006:AW1006),$AN$1006:$BO$1006,0))&gt;=100000), " ",IF(INDEX($AN$2:$BO$1001,MATCH(ROWS($AG$2:AG915),$AG$2:$AG$1001,0),MATCH(COLUMNS($AN$1006:AW1006),$AN$1006:$BO$1006,0)), HYPERLINK("#",""), HYPERLINK(CONCATENATE("#Metadata!", ADDRESS(INDEX($AI$2:$AI$1001,MATCH(ROWS($AG$2:AG915),$AG$2:$AG$1001,0),0), INDEX($AN$1004:$BO$1004,1,MATCH(COLUMNS($AN$1006:AW1006),$AN$1006:$BO$1006,0)))),"Fix")))</f>
        <v>0</v>
      </c>
      <c r="L915" s="4">
        <f>IF(OR(INDEX($AH$2:$AH$1001,MATCH(ROWS($AG$2:AG915),$AG$2:$AG$1001,0),1)&gt;=100000,INDEX($AN$1005:$BO$1005,1,MATCH(COLUMNS($AN$1006:AX1006),$AN$1006:$BO$1006,0))&gt;=100000), " ",IF(INDEX($AN$2:$BO$1001,MATCH(ROWS($AG$2:AG915),$AG$2:$AG$1001,0),MATCH(COLUMNS($AN$1006:AX1006),$AN$1006:$BO$1006,0)), HYPERLINK("#",""), HYPERLINK(CONCATENATE("#Metadata!", ADDRESS(INDEX($AI$2:$AI$1001,MATCH(ROWS($AG$2:AG915),$AG$2:$AG$1001,0),0), INDEX($AN$1004:$BO$1004,1,MATCH(COLUMNS($AN$1006:AX1006),$AN$1006:$BO$1006,0)))),"Fix")))</f>
        <v>0</v>
      </c>
      <c r="M915" s="4">
        <f>IF(OR(INDEX($AH$2:$AH$1001,MATCH(ROWS($AG$2:AG915),$AG$2:$AG$1001,0),1)&gt;=100000,INDEX($AN$1005:$BO$1005,1,MATCH(COLUMNS($AN$1006:AY1006),$AN$1006:$BO$1006,0))&gt;=100000), " ",IF(INDEX($AN$2:$BO$1001,MATCH(ROWS($AG$2:AG915),$AG$2:$AG$1001,0),MATCH(COLUMNS($AN$1006:AY1006),$AN$1006:$BO$1006,0)), HYPERLINK("#",""), HYPERLINK(CONCATENATE("#Metadata!", ADDRESS(INDEX($AI$2:$AI$1001,MATCH(ROWS($AG$2:AG915),$AG$2:$AG$1001,0),0), INDEX($AN$1004:$BO$1004,1,MATCH(COLUMNS($AN$1006:AY1006),$AN$1006:$BO$1006,0)))),"Fix")))</f>
        <v>0</v>
      </c>
      <c r="N915" s="4">
        <f>IF(OR(INDEX($AH$2:$AH$1001,MATCH(ROWS($AG$2:AG915),$AG$2:$AG$1001,0),1)&gt;=100000,INDEX($AN$1005:$BO$1005,1,MATCH(COLUMNS($AN$1006:AZ1006),$AN$1006:$BO$1006,0))&gt;=100000), " ",IF(INDEX($AN$2:$BO$1001,MATCH(ROWS($AG$2:AG915),$AG$2:$AG$1001,0),MATCH(COLUMNS($AN$1006:AZ1006),$AN$1006:$BO$1006,0)), HYPERLINK("#",""), HYPERLINK(CONCATENATE("#Metadata!", ADDRESS(INDEX($AI$2:$AI$1001,MATCH(ROWS($AG$2:AG915),$AG$2:$AG$1001,0),0), INDEX($AN$1004:$BO$1004,1,MATCH(COLUMNS($AN$1006:AZ1006),$AN$1006:$BO$1006,0)))),"Fix")))</f>
        <v>0</v>
      </c>
      <c r="O915" s="4">
        <f>IF(OR(INDEX($AH$2:$AH$1001,MATCH(ROWS($AG$2:AG915),$AG$2:$AG$1001,0),1)&gt;=100000,INDEX($AN$1005:$BO$1005,1,MATCH(COLUMNS($AN$1006:BA1006),$AN$1006:$BO$1006,0))&gt;=100000), " ",IF(INDEX($AN$2:$BO$1001,MATCH(ROWS($AG$2:AG915),$AG$2:$AG$1001,0),MATCH(COLUMNS($AN$1006:BA1006),$AN$1006:$BO$1006,0)), HYPERLINK("#",""), HYPERLINK(CONCATENATE("#Metadata!", ADDRESS(INDEX($AI$2:$AI$1001,MATCH(ROWS($AG$2:AG915),$AG$2:$AG$1001,0),0), INDEX($AN$1004:$BO$1004,1,MATCH(COLUMNS($AN$1006:BA1006),$AN$1006:$BO$1006,0)))),"Fix")))</f>
        <v>0</v>
      </c>
      <c r="P915" s="4">
        <f>IF(OR(INDEX($AH$2:$AH$1001,MATCH(ROWS($AG$2:AG915),$AG$2:$AG$1001,0),1)&gt;=100000,INDEX($AN$1005:$BO$1005,1,MATCH(COLUMNS($AN$1006:BB1006),$AN$1006:$BO$1006,0))&gt;=100000), " ",IF(INDEX($AN$2:$BO$1001,MATCH(ROWS($AG$2:AG915),$AG$2:$AG$1001,0),MATCH(COLUMNS($AN$1006:BB1006),$AN$1006:$BO$1006,0)), HYPERLINK("#",""), HYPERLINK(CONCATENATE("#Metadata!", ADDRESS(INDEX($AI$2:$AI$1001,MATCH(ROWS($AG$2:AG915),$AG$2:$AG$1001,0),0), INDEX($AN$1004:$BO$1004,1,MATCH(COLUMNS($AN$1006:BB1006),$AN$1006:$BO$1006,0)))),"Fix")))</f>
        <v>0</v>
      </c>
      <c r="Q915" s="4">
        <f>IF(OR(INDEX($AH$2:$AH$1001,MATCH(ROWS($AG$2:AG915),$AG$2:$AG$1001,0),1)&gt;=100000,INDEX($AN$1005:$BO$1005,1,MATCH(COLUMNS($AN$1006:BC1006),$AN$1006:$BO$1006,0))&gt;=100000), " ",IF(INDEX($AN$2:$BO$1001,MATCH(ROWS($AG$2:AG915),$AG$2:$AG$1001,0),MATCH(COLUMNS($AN$1006:BC1006),$AN$1006:$BO$1006,0)), HYPERLINK("#",""), HYPERLINK(CONCATENATE("#Metadata!", ADDRESS(INDEX($AI$2:$AI$1001,MATCH(ROWS($AG$2:AG915),$AG$2:$AG$1001,0),0), INDEX($AN$1004:$BO$1004,1,MATCH(COLUMNS($AN$1006:BC1006),$AN$1006:$BO$1006,0)))),"Fix")))</f>
        <v>0</v>
      </c>
      <c r="R915" s="4">
        <f>IF(OR(INDEX($AH$2:$AH$1001,MATCH(ROWS($AG$2:AG915),$AG$2:$AG$1001,0),1)&gt;=100000,INDEX($AN$1005:$BO$1005,1,MATCH(COLUMNS($AN$1006:BD1006),$AN$1006:$BO$1006,0))&gt;=100000), " ",IF(INDEX($AN$2:$BO$1001,MATCH(ROWS($AG$2:AG915),$AG$2:$AG$1001,0),MATCH(COLUMNS($AN$1006:BD1006),$AN$1006:$BO$1006,0)), HYPERLINK("#",""), HYPERLINK(CONCATENATE("#Metadata!", ADDRESS(INDEX($AI$2:$AI$1001,MATCH(ROWS($AG$2:AG915),$AG$2:$AG$1001,0),0), INDEX($AN$1004:$BO$1004,1,MATCH(COLUMNS($AN$1006:BD1006),$AN$1006:$BO$1006,0)))),"Fix")))</f>
        <v>0</v>
      </c>
      <c r="S915" s="4">
        <f>IF(OR(INDEX($AH$2:$AH$1001,MATCH(ROWS($AG$2:AG915),$AG$2:$AG$1001,0),1)&gt;=100000,INDEX($AN$1005:$BO$1005,1,MATCH(COLUMNS($AN$1006:BE1006),$AN$1006:$BO$1006,0))&gt;=100000), " ",IF(INDEX($AN$2:$BO$1001,MATCH(ROWS($AG$2:AG915),$AG$2:$AG$1001,0),MATCH(COLUMNS($AN$1006:BE1006),$AN$1006:$BO$1006,0)), HYPERLINK("#",""), HYPERLINK(CONCATENATE("#Metadata!", ADDRESS(INDEX($AI$2:$AI$1001,MATCH(ROWS($AG$2:AG915),$AG$2:$AG$1001,0),0), INDEX($AN$1004:$BO$1004,1,MATCH(COLUMNS($AN$1006:BE1006),$AN$1006:$BO$1006,0)))),"Fix")))</f>
        <v>0</v>
      </c>
      <c r="T915" s="4">
        <f>IF(OR(INDEX($AH$2:$AH$1001,MATCH(ROWS($AG$2:AG915),$AG$2:$AG$1001,0),1)&gt;=100000,INDEX($AN$1005:$BO$1005,1,MATCH(COLUMNS($AN$1006:BF1006),$AN$1006:$BO$1006,0))&gt;=100000), " ",IF(INDEX($AN$2:$BO$1001,MATCH(ROWS($AG$2:AG915),$AG$2:$AG$1001,0),MATCH(COLUMNS($AN$1006:BF1006),$AN$1006:$BO$1006,0)), HYPERLINK("#",""), HYPERLINK(CONCATENATE("#Metadata!", ADDRESS(INDEX($AI$2:$AI$1001,MATCH(ROWS($AG$2:AG915),$AG$2:$AG$1001,0),0), INDEX($AN$1004:$BO$1004,1,MATCH(COLUMNS($AN$1006:BF1006),$AN$1006:$BO$1006,0)))),"Fix")))</f>
        <v>0</v>
      </c>
      <c r="U915" s="4">
        <f>IF(OR(INDEX($AH$2:$AH$1001,MATCH(ROWS($AG$2:AG915),$AG$2:$AG$1001,0),1)&gt;=100000,INDEX($AN$1005:$BO$1005,1,MATCH(COLUMNS($AN$1006:BG1006),$AN$1006:$BO$1006,0))&gt;=100000), " ",IF(INDEX($AN$2:$BO$1001,MATCH(ROWS($AG$2:AG915),$AG$2:$AG$1001,0),MATCH(COLUMNS($AN$1006:BG1006),$AN$1006:$BO$1006,0)), HYPERLINK("#",""), HYPERLINK(CONCATENATE("#Metadata!", ADDRESS(INDEX($AI$2:$AI$1001,MATCH(ROWS($AG$2:AG915),$AG$2:$AG$1001,0),0), INDEX($AN$1004:$BO$1004,1,MATCH(COLUMNS($AN$1006:BG1006),$AN$1006:$BO$1006,0)))),"Fix")))</f>
        <v>0</v>
      </c>
      <c r="V915" s="4">
        <f>IF(OR(INDEX($AH$2:$AH$1001,MATCH(ROWS($AG$2:AG915),$AG$2:$AG$1001,0),1)&gt;=100000,INDEX($AN$1005:$BO$1005,1,MATCH(COLUMNS($AN$1006:BH1006),$AN$1006:$BO$1006,0))&gt;=100000), " ",IF(INDEX($AN$2:$BO$1001,MATCH(ROWS($AG$2:AG915),$AG$2:$AG$1001,0),MATCH(COLUMNS($AN$1006:BH1006),$AN$1006:$BO$1006,0)), HYPERLINK("#",""), HYPERLINK(CONCATENATE("#Metadata!", ADDRESS(INDEX($AI$2:$AI$1001,MATCH(ROWS($AG$2:AG915),$AG$2:$AG$1001,0),0), INDEX($AN$1004:$BO$1004,1,MATCH(COLUMNS($AN$1006:BH1006),$AN$1006:$BO$1006,0)))),"Fix")))</f>
        <v>0</v>
      </c>
      <c r="W915" s="4">
        <f>IF(OR(INDEX($AH$2:$AH$1001,MATCH(ROWS($AG$2:AG915),$AG$2:$AG$1001,0),1)&gt;=100000,INDEX($AN$1005:$BO$1005,1,MATCH(COLUMNS($AN$1006:BI1006),$AN$1006:$BO$1006,0))&gt;=100000), " ",IF(INDEX($AN$2:$BO$1001,MATCH(ROWS($AG$2:AG915),$AG$2:$AG$1001,0),MATCH(COLUMNS($AN$1006:BI1006),$AN$1006:$BO$1006,0)), HYPERLINK("#",""), HYPERLINK(CONCATENATE("#Metadata!", ADDRESS(INDEX($AI$2:$AI$1001,MATCH(ROWS($AG$2:AG915),$AG$2:$AG$1001,0),0), INDEX($AN$1004:$BO$1004,1,MATCH(COLUMNS($AN$1006:BI1006),$AN$1006:$BO$1006,0)))),"Fix")))</f>
        <v>0</v>
      </c>
      <c r="X915" s="4">
        <f>IF(OR(INDEX($AH$2:$AH$1001,MATCH(ROWS($AG$2:AG915),$AG$2:$AG$1001,0),1)&gt;=100000,INDEX($AN$1005:$BO$1005,1,MATCH(COLUMNS($AN$1006:BJ1006),$AN$1006:$BO$1006,0))&gt;=100000), " ",IF(INDEX($AN$2:$BO$1001,MATCH(ROWS($AG$2:AG915),$AG$2:$AG$1001,0),MATCH(COLUMNS($AN$1006:BJ1006),$AN$1006:$BO$1006,0)), HYPERLINK("#",""), HYPERLINK(CONCATENATE("#Metadata!", ADDRESS(INDEX($AI$2:$AI$1001,MATCH(ROWS($AG$2:AG915),$AG$2:$AG$1001,0),0), INDEX($AN$1004:$BO$1004,1,MATCH(COLUMNS($AN$1006:BJ1006),$AN$1006:$BO$1006,0)))),"Fix")))</f>
        <v>0</v>
      </c>
      <c r="Y915" s="4">
        <f>IF(OR(INDEX($AH$2:$AH$1001,MATCH(ROWS($AG$2:AG915),$AG$2:$AG$1001,0),1)&gt;=100000,INDEX($AN$1005:$BO$1005,1,MATCH(COLUMNS($AN$1006:BK1006),$AN$1006:$BO$1006,0))&gt;=100000), " ",IF(INDEX($AN$2:$BO$1001,MATCH(ROWS($AG$2:AG915),$AG$2:$AG$1001,0),MATCH(COLUMNS($AN$1006:BK1006),$AN$1006:$BO$1006,0)), HYPERLINK("#",""), HYPERLINK(CONCATENATE("#Metadata!", ADDRESS(INDEX($AI$2:$AI$1001,MATCH(ROWS($AG$2:AG915),$AG$2:$AG$1001,0),0), INDEX($AN$1004:$BO$1004,1,MATCH(COLUMNS($AN$1006:BK1006),$AN$1006:$BO$1006,0)))),"Fix")))</f>
        <v>0</v>
      </c>
      <c r="Z915" s="4">
        <f>IF(OR(INDEX($AH$2:$AH$1001,MATCH(ROWS($AG$2:AG915),$AG$2:$AG$1001,0),1)&gt;=100000,INDEX($AN$1005:$BO$1005,1,MATCH(COLUMNS($AN$1006:BL1006),$AN$1006:$BO$1006,0))&gt;=100000), " ",IF(INDEX($AN$2:$BO$1001,MATCH(ROWS($AG$2:AG915),$AG$2:$AG$1001,0),MATCH(COLUMNS($AN$1006:BL1006),$AN$1006:$BO$1006,0)), HYPERLINK("#",""), HYPERLINK(CONCATENATE("#Metadata!", ADDRESS(INDEX($AI$2:$AI$1001,MATCH(ROWS($AG$2:AG915),$AG$2:$AG$1001,0),0), INDEX($AN$1004:$BO$1004,1,MATCH(COLUMNS($AN$1006:BL1006),$AN$1006:$BO$1006,0)))),"Fix")))</f>
        <v>0</v>
      </c>
      <c r="AA915" s="4">
        <f>IF(OR(INDEX($AH$2:$AH$1001,MATCH(ROWS($AG$2:AG915),$AG$2:$AG$1001,0),1)&gt;=100000,INDEX($AN$1005:$BO$1005,1,MATCH(COLUMNS($AN$1006:BM1006),$AN$1006:$BO$1006,0))&gt;=100000), " ",IF(INDEX($AN$2:$BO$1001,MATCH(ROWS($AG$2:AG915),$AG$2:$AG$1001,0),MATCH(COLUMNS($AN$1006:BM1006),$AN$1006:$BO$1006,0)), HYPERLINK("#",""), HYPERLINK(CONCATENATE("#Metadata!", ADDRESS(INDEX($AI$2:$AI$1001,MATCH(ROWS($AG$2:AG915),$AG$2:$AG$1001,0),0), INDEX($AN$1004:$BO$1004,1,MATCH(COLUMNS($AN$1006:BM1006),$AN$1006:$BO$1006,0)))),"Fix")))</f>
        <v>0</v>
      </c>
      <c r="AB915" s="4">
        <f>IF(OR(INDEX($AH$2:$AH$1001,MATCH(ROWS($AG$2:AG915),$AG$2:$AG$1001,0),1)&gt;=100000,INDEX($AN$1005:$BO$1005,1,MATCH(COLUMNS($AN$1006:BN1006),$AN$1006:$BO$1006,0))&gt;=100000), " ",IF(INDEX($AN$2:$BO$1001,MATCH(ROWS($AG$2:AG915),$AG$2:$AG$1001,0),MATCH(COLUMNS($AN$1006:BN1006),$AN$1006:$BO$1006,0)), HYPERLINK("#",""), HYPERLINK(CONCATENATE("#Metadata!", ADDRESS(INDEX($AI$2:$AI$1001,MATCH(ROWS($AG$2:AG915),$AG$2:$AG$1001,0),0), INDEX($AN$1004:$BO$1004,1,MATCH(COLUMNS($AN$1006:BN1006),$AN$1006:$BO$1006,0)))),"Fix")))</f>
        <v>0</v>
      </c>
      <c r="AC915" s="4">
        <f>IF(OR(INDEX($AH$2:$AH$1001,MATCH(ROWS($AG$2:AG915),$AG$2:$AG$1001,0),1)&gt;=100000,INDEX($AN$1005:$BO$1005,1,MATCH(COLUMNS($AN$1006:BO1006),$AN$1006:$BO$1006,0))&gt;=100000), " ",IF(INDEX($AN$2:$BO$1001,MATCH(ROWS($AG$2:AG915),$AG$2:$AG$1001,0),MATCH(COLUMNS($AN$1006:BO1006),$AN$1006:$BO$1006,0)), HYPERLINK("#",""), HYPERLINK(CONCATENATE("#Metadata!", ADDRESS(INDEX($AI$2:$AI$1001,MATCH(ROWS($AG$2:AG915),$AG$2:$AG$1001,0),0), INDEX($AN$1004:$BO$1004,1,MATCH(COLUMNS($AN$1006:BO1006),$AN$1006:$BO$1006,0)))),"Fix")))</f>
        <v>0</v>
      </c>
      <c r="AG915">
        <v>0</v>
      </c>
      <c r="AH915">
        <v>0</v>
      </c>
      <c r="AI915">
        <v>0</v>
      </c>
      <c r="AJ915">
        <f>IF(AK915,TRUE,AND(AN915:BO915))</f>
        <v>0</v>
      </c>
      <c r="AK915">
        <f>COUNTBLANK(Metadata!B915:AC915)=COLUMNS(Metadata!B915:AC915)</f>
        <v>0</v>
      </c>
      <c r="AL915">
        <v>0</v>
      </c>
      <c r="AN915">
        <f>AND(IF(Metadata!B915="",FALSE,TRUE),COUNTIF(Metadata!B:B, Metadata!B915) = 1,NOT(ISERROR(SUMPRODUCT(SEARCH(MID(Metadata!B915,ROW(INDIRECT("1:"&amp;LEN(Metadata!B915))), 1),"0123456789abcdefghijklmnopqrstuvwxyzABCDEFGHIJKLMNOPQRSTUVWXYZ.")))))</f>
        <v>0</v>
      </c>
      <c r="AO915">
        <f>IF(Metadata!C915="",FALSE,TRUE)</f>
        <v>0</v>
      </c>
      <c r="AP915">
        <f>IF(Metadata!D915="",FALSE,TRUE)</f>
        <v>0</v>
      </c>
      <c r="AQ915">
        <f>OR(AND(IF(Metadata!E915="",FALSE,TRUE),OR(exact(Metadata!E915,"not collected"),exact(Metadata!E915,"not provided"),exact(Metadata!E915,"restricted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R915">
        <f>IF(Metadata!F915="",FALSE,TRUE)</f>
        <v>0</v>
      </c>
      <c r="AS915">
        <f>OR(AND(IF(Metadata!G915="",FALSE,TRUE),OR(exact(Metadata!G915,"not collected"),exact(Metadata!G915,"not provided"))),AND(IF(Metadata!G915="",FALSE,TRUE),OR(exact(Metadata!G915,"TRUE"),exact(Metadata!G915,"FALSE"))))</f>
        <v>0</v>
      </c>
      <c r="AT915">
        <f>OR(AND(IF(Metadata!H915="",FALSE,TRUE),OR(exact(Metadata!H915,"not collected"),exact(Metadata!H915,"not provided"),exact(Metadata!H915,"restricted access"))),AND(IF(Metadata!H915="",FALSE,ISNUMBER(VALUE(Metadata!H915))),Metadata!H915&gt;=-413.0))</f>
        <v>0</v>
      </c>
      <c r="AU915">
        <f>AND(IF(Metadata!I915="",FALSE,TRUE),exact(Metadata!I915,"meters"))</f>
        <v>0</v>
      </c>
      <c r="AV915">
        <f>AND(IF(Metadata!J915="",FALSE,TRUE),OR(exact(Metadata!J915,"Host-associated"),exact(Metadata!J915,"Free-living")))</f>
        <v>0</v>
      </c>
      <c r="AW915">
        <f>AND(IF(Metadata!K915="",FALSE,TRUE),OR(exact(Metadata!K915,"Animal"),exact(Metadata!K915,"Fungus"),exact(Metadata!K915,"Plant"),exact(Metadata!K915,"Saline"),exact(Metadata!K915,"Non-saline")))</f>
        <v>0</v>
      </c>
      <c r="AX915">
        <f>AND(IF(Metadata!L915="",FALSE,TRUE),OR(exact(Metadata!L915,"Plant secretion"),exact(Metadata!L915,"Plant rhizosphere"),exact(Metadata!L915,"Plant surface"),exact(Metadata!L915,"Plant corpus"),exact(Metadata!L915,"Fungus surface"),exact(Metadata!L915,"Fungus corpus"),exact(Metadata!L915,"Animal surface"),exact(Metadata!L915,"Animal proximal gut"),exact(Metadata!L915,"Animal corpus"),exact(Metadata!L915,"Animal distal gut"),exact(Metadata!L915,"Animal secretion"),exact(Metadata!L915,"Sub-surface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Y915">
        <f>IF(Metadata!M915="",FALSE,TRUE)</f>
        <v>0</v>
      </c>
      <c r="AZ915">
        <f>IF(Metadata!N915="",FALSE,TRUE)</f>
        <v>0</v>
      </c>
      <c r="BA915">
        <f>IF(Metadata!O915="",FALSE,TRUE)</f>
        <v>0</v>
      </c>
      <c r="BB915">
        <f>OR(AND(IF(Metadata!P915="",FALSE,TRUE),OR(exact(Metadata!P915,"not collected"),exact(Metadata!P915,"not provided"),exact(Metadata!P915,"restricted access"))),AND(IF(Metadata!P915="",FALSE,TRUE),OR(exact(Metadata!P915,"air"),exact(Metadata!P915,"built environment"),exact(Metadata!P915,"host-associated"),exact(Metadata!P915,"human-associated"),exact(Metadata!P915,"human-skin"),exact(Metadata!P915,"human-oral"),exact(Metadata!P915,"human-gut"),exact(Metadata!P915,"human-vaginal"),exact(Metadata!P915,"microbial mat/biofilm"),exact(Metadata!P915,"misc environment"),exact(Metadata!P915,"plant-associated"),exact(Metadata!P915,"sediment"),exact(Metadata!P915,"soil"),exact(Metadata!P915,"wastewater/sludge"),exact(Metadata!P915,"water"))))</f>
        <v>0</v>
      </c>
      <c r="BC915">
        <f>IF(Metadata!Q915="",FALSE,TRUE)</f>
        <v>0</v>
      </c>
      <c r="BD915">
        <f>IF(Metadata!R915="",FALSE,TRUE)</f>
        <v>0</v>
      </c>
      <c r="BE915">
        <f>OR(AND(IF(Metadata!S915="",FALSE,TRUE),OR(exact(Metadata!S915,"not collected"),exact(Metadata!S915,"not provided"),exact(Metadata!S915,"restricted access"))),AND(IF(Metadata!S915="",FALSE,ISNUMBER(VALUE(Metadata!S915))),Metadata!S915&gt;=-90.00,Metadata!S915&lt;=90.00))</f>
        <v>0</v>
      </c>
      <c r="BF915">
        <f>AND(IF(Metadata!T915="",FALSE,TRUE),exact(Metadata!T915,"Decimal degrees"))</f>
        <v>0</v>
      </c>
      <c r="BG915">
        <f>OR(AND(IF(Metadata!U915="",FALSE,TRUE),OR(exact(Metadata!U915,"not collected"),exact(Metadata!U915,"not provided"),exact(Metadata!U915,"restricted access"))),AND(IF(Metadata!U915="",FALSE,ISNUMBER(VALUE(Metadata!U915))),Metadata!U915&gt;=-180.00,Metadata!U915&lt;=180.00))</f>
        <v>0</v>
      </c>
      <c r="BH915">
        <f>AND(IF(Metadata!V915="",FALSE,TRUE),exact(Metadata!V915,"Decimal degrees"))</f>
        <v>0</v>
      </c>
      <c r="BI915">
        <f>IF(Metadata!W915="",FALSE,TRUE)</f>
        <v>0</v>
      </c>
      <c r="BJ915">
        <f>OR(AND(IF(Metadata!X915="",FALSE,TRUE),OR(exact(Metadata!X915,"not collected"),exact(Metadata!X915,"not provided"),exact(Metadata!X915,"restricted access"))),AND(IF(Metadata!X915="",FALSE,TRUE),OR(exact(Metadata!X915,"TRUE"),exact(Metadata!X915,"FALSE"))))</f>
        <v>0</v>
      </c>
      <c r="BK915">
        <f>AND(IF(Metadata!Y915="",FALSE,TRUE),exact(Metadata!Y915,"other"))</f>
        <v>0</v>
      </c>
      <c r="BL915">
        <f>IF(Metadata!Z915="",FALSE,TRUE)</f>
        <v>0</v>
      </c>
      <c r="BM915">
        <f>OR(AND(IF(Metadata!AA915="",FALSE,TRUE),OR(exact(Metadata!AA915,"not collected"),exact(Metadata!AA915,"not provided"))),AND(IF(Metadata!AA915="",FALSE,IF(ISERROR(INT(Metadata!AA915)),FALSE,INT(Metadata!AA915)=Metadata!AA915)),Metadata!AA915&gt;0))</f>
        <v>0</v>
      </c>
      <c r="BN915">
        <f>AND(IF(Metadata!AB915="",FALSE,TRUE),exact(Metadata!AB915,"Not applicable"))</f>
        <v>0</v>
      </c>
      <c r="BO915">
        <f>IF(Metadata!AC915="",FALSE,TRUE)</f>
        <v>0</v>
      </c>
    </row>
    <row r="916" spans="1:67">
      <c r="A916" s="5">
        <f>IF(B916=" "," ",HYPERLINK(CONCATENATE("#metadata!",ADDRESS(INDEX($AI$2:$AI$1001,MATCH(ROWS($AG$2:AG916),$AG$2:$AG$1001,0),0),1)),INDEX($AL$2:$AL$1001,MATCH(ROWS($AG$2:AG916),$AG$2:$AG$1001,0),0)))</f>
        <v>0</v>
      </c>
      <c r="B916" s="4">
        <f>IF(OR(INDEX($AH$2:$AH$1001,MATCH(ROWS($AG$2:AG916),$AG$2:$AG$1001,0),1)&gt;=100000,INDEX($AN$1005:$BO$1005,1,MATCH(COLUMNS($AN$1006:AN1006),$AN$1006:$BO$1006,0))&gt;=100000), " ",IF(INDEX($AN$2:$BO$1001,MATCH(ROWS($AG$2:AG916),$AG$2:$AG$1001,0),MATCH(COLUMNS($AN$1006:AN1006),$AN$1006:$BO$1006,0)), HYPERLINK("#",""), HYPERLINK(CONCATENATE("#Metadata!", ADDRESS(INDEX($AI$2:$AI$1001,MATCH(ROWS($AG$2:AG916),$AG$2:$AG$1001,0),0), INDEX($AN$1004:$BO$1004,1,MATCH(COLUMNS($AN$1006:AN1006),$AN$1006:$BO$1006,0)))),"Fix")))</f>
        <v>0</v>
      </c>
      <c r="C916" s="4">
        <f>IF(OR(INDEX($AH$2:$AH$1001,MATCH(ROWS($AG$2:AG916),$AG$2:$AG$1001,0),1)&gt;=100000,INDEX($AN$1005:$BO$1005,1,MATCH(COLUMNS($AN$1006:AO1006),$AN$1006:$BO$1006,0))&gt;=100000), " ",IF(INDEX($AN$2:$BO$1001,MATCH(ROWS($AG$2:AG916),$AG$2:$AG$1001,0),MATCH(COLUMNS($AN$1006:AO1006),$AN$1006:$BO$1006,0)), HYPERLINK("#",""), HYPERLINK(CONCATENATE("#Metadata!", ADDRESS(INDEX($AI$2:$AI$1001,MATCH(ROWS($AG$2:AG916),$AG$2:$AG$1001,0),0), INDEX($AN$1004:$BO$1004,1,MATCH(COLUMNS($AN$1006:AO1006),$AN$1006:$BO$1006,0)))),"Fix")))</f>
        <v>0</v>
      </c>
      <c r="D916" s="4">
        <f>IF(OR(INDEX($AH$2:$AH$1001,MATCH(ROWS($AG$2:AG916),$AG$2:$AG$1001,0),1)&gt;=100000,INDEX($AN$1005:$BO$1005,1,MATCH(COLUMNS($AN$1006:AP1006),$AN$1006:$BO$1006,0))&gt;=100000), " ",IF(INDEX($AN$2:$BO$1001,MATCH(ROWS($AG$2:AG916),$AG$2:$AG$1001,0),MATCH(COLUMNS($AN$1006:AP1006),$AN$1006:$BO$1006,0)), HYPERLINK("#",""), HYPERLINK(CONCATENATE("#Metadata!", ADDRESS(INDEX($AI$2:$AI$1001,MATCH(ROWS($AG$2:AG916),$AG$2:$AG$1001,0),0), INDEX($AN$1004:$BO$1004,1,MATCH(COLUMNS($AN$1006:AP1006),$AN$1006:$BO$1006,0)))),"Fix")))</f>
        <v>0</v>
      </c>
      <c r="E916" s="4">
        <f>IF(OR(INDEX($AH$2:$AH$1001,MATCH(ROWS($AG$2:AG916),$AG$2:$AG$1001,0),1)&gt;=100000,INDEX($AN$1005:$BO$1005,1,MATCH(COLUMNS($AN$1006:AQ1006),$AN$1006:$BO$1006,0))&gt;=100000), " ",IF(INDEX($AN$2:$BO$1001,MATCH(ROWS($AG$2:AG916),$AG$2:$AG$1001,0),MATCH(COLUMNS($AN$1006:AQ1006),$AN$1006:$BO$1006,0)), HYPERLINK("#",""), HYPERLINK(CONCATENATE("#Metadata!", ADDRESS(INDEX($AI$2:$AI$1001,MATCH(ROWS($AG$2:AG916),$AG$2:$AG$1001,0),0), INDEX($AN$1004:$BO$1004,1,MATCH(COLUMNS($AN$1006:AQ1006),$AN$1006:$BO$1006,0)))),"Fix")))</f>
        <v>0</v>
      </c>
      <c r="F916" s="4">
        <f>IF(OR(INDEX($AH$2:$AH$1001,MATCH(ROWS($AG$2:AG916),$AG$2:$AG$1001,0),1)&gt;=100000,INDEX($AN$1005:$BO$1005,1,MATCH(COLUMNS($AN$1006:AR1006),$AN$1006:$BO$1006,0))&gt;=100000), " ",IF(INDEX($AN$2:$BO$1001,MATCH(ROWS($AG$2:AG916),$AG$2:$AG$1001,0),MATCH(COLUMNS($AN$1006:AR1006),$AN$1006:$BO$1006,0)), HYPERLINK("#",""), HYPERLINK(CONCATENATE("#Metadata!", ADDRESS(INDEX($AI$2:$AI$1001,MATCH(ROWS($AG$2:AG916),$AG$2:$AG$1001,0),0), INDEX($AN$1004:$BO$1004,1,MATCH(COLUMNS($AN$1006:AR1006),$AN$1006:$BO$1006,0)))),"Fix")))</f>
        <v>0</v>
      </c>
      <c r="G916" s="4">
        <f>IF(OR(INDEX($AH$2:$AH$1001,MATCH(ROWS($AG$2:AG916),$AG$2:$AG$1001,0),1)&gt;=100000,INDEX($AN$1005:$BO$1005,1,MATCH(COLUMNS($AN$1006:AS1006),$AN$1006:$BO$1006,0))&gt;=100000), " ",IF(INDEX($AN$2:$BO$1001,MATCH(ROWS($AG$2:AG916),$AG$2:$AG$1001,0),MATCH(COLUMNS($AN$1006:AS1006),$AN$1006:$BO$1006,0)), HYPERLINK("#",""), HYPERLINK(CONCATENATE("#Metadata!", ADDRESS(INDEX($AI$2:$AI$1001,MATCH(ROWS($AG$2:AG916),$AG$2:$AG$1001,0),0), INDEX($AN$1004:$BO$1004,1,MATCH(COLUMNS($AN$1006:AS1006),$AN$1006:$BO$1006,0)))),"Fix")))</f>
        <v>0</v>
      </c>
      <c r="H916" s="4">
        <f>IF(OR(INDEX($AH$2:$AH$1001,MATCH(ROWS($AG$2:AG916),$AG$2:$AG$1001,0),1)&gt;=100000,INDEX($AN$1005:$BO$1005,1,MATCH(COLUMNS($AN$1006:AT1006),$AN$1006:$BO$1006,0))&gt;=100000), " ",IF(INDEX($AN$2:$BO$1001,MATCH(ROWS($AG$2:AG916),$AG$2:$AG$1001,0),MATCH(COLUMNS($AN$1006:AT1006),$AN$1006:$BO$1006,0)), HYPERLINK("#",""), HYPERLINK(CONCATENATE("#Metadata!", ADDRESS(INDEX($AI$2:$AI$1001,MATCH(ROWS($AG$2:AG916),$AG$2:$AG$1001,0),0), INDEX($AN$1004:$BO$1004,1,MATCH(COLUMNS($AN$1006:AT1006),$AN$1006:$BO$1006,0)))),"Fix")))</f>
        <v>0</v>
      </c>
      <c r="I916" s="4">
        <f>IF(OR(INDEX($AH$2:$AH$1001,MATCH(ROWS($AG$2:AG916),$AG$2:$AG$1001,0),1)&gt;=100000,INDEX($AN$1005:$BO$1005,1,MATCH(COLUMNS($AN$1006:AU1006),$AN$1006:$BO$1006,0))&gt;=100000), " ",IF(INDEX($AN$2:$BO$1001,MATCH(ROWS($AG$2:AG916),$AG$2:$AG$1001,0),MATCH(COLUMNS($AN$1006:AU1006),$AN$1006:$BO$1006,0)), HYPERLINK("#",""), HYPERLINK(CONCATENATE("#Metadata!", ADDRESS(INDEX($AI$2:$AI$1001,MATCH(ROWS($AG$2:AG916),$AG$2:$AG$1001,0),0), INDEX($AN$1004:$BO$1004,1,MATCH(COLUMNS($AN$1006:AU1006),$AN$1006:$BO$1006,0)))),"Fix")))</f>
        <v>0</v>
      </c>
      <c r="J916" s="4">
        <f>IF(OR(INDEX($AH$2:$AH$1001,MATCH(ROWS($AG$2:AG916),$AG$2:$AG$1001,0),1)&gt;=100000,INDEX($AN$1005:$BO$1005,1,MATCH(COLUMNS($AN$1006:AV1006),$AN$1006:$BO$1006,0))&gt;=100000), " ",IF(INDEX($AN$2:$BO$1001,MATCH(ROWS($AG$2:AG916),$AG$2:$AG$1001,0),MATCH(COLUMNS($AN$1006:AV1006),$AN$1006:$BO$1006,0)), HYPERLINK("#",""), HYPERLINK(CONCATENATE("#Metadata!", ADDRESS(INDEX($AI$2:$AI$1001,MATCH(ROWS($AG$2:AG916),$AG$2:$AG$1001,0),0), INDEX($AN$1004:$BO$1004,1,MATCH(COLUMNS($AN$1006:AV1006),$AN$1006:$BO$1006,0)))),"Fix")))</f>
        <v>0</v>
      </c>
      <c r="K916" s="4">
        <f>IF(OR(INDEX($AH$2:$AH$1001,MATCH(ROWS($AG$2:AG916),$AG$2:$AG$1001,0),1)&gt;=100000,INDEX($AN$1005:$BO$1005,1,MATCH(COLUMNS($AN$1006:AW1006),$AN$1006:$BO$1006,0))&gt;=100000), " ",IF(INDEX($AN$2:$BO$1001,MATCH(ROWS($AG$2:AG916),$AG$2:$AG$1001,0),MATCH(COLUMNS($AN$1006:AW1006),$AN$1006:$BO$1006,0)), HYPERLINK("#",""), HYPERLINK(CONCATENATE("#Metadata!", ADDRESS(INDEX($AI$2:$AI$1001,MATCH(ROWS($AG$2:AG916),$AG$2:$AG$1001,0),0), INDEX($AN$1004:$BO$1004,1,MATCH(COLUMNS($AN$1006:AW1006),$AN$1006:$BO$1006,0)))),"Fix")))</f>
        <v>0</v>
      </c>
      <c r="L916" s="4">
        <f>IF(OR(INDEX($AH$2:$AH$1001,MATCH(ROWS($AG$2:AG916),$AG$2:$AG$1001,0),1)&gt;=100000,INDEX($AN$1005:$BO$1005,1,MATCH(COLUMNS($AN$1006:AX1006),$AN$1006:$BO$1006,0))&gt;=100000), " ",IF(INDEX($AN$2:$BO$1001,MATCH(ROWS($AG$2:AG916),$AG$2:$AG$1001,0),MATCH(COLUMNS($AN$1006:AX1006),$AN$1006:$BO$1006,0)), HYPERLINK("#",""), HYPERLINK(CONCATENATE("#Metadata!", ADDRESS(INDEX($AI$2:$AI$1001,MATCH(ROWS($AG$2:AG916),$AG$2:$AG$1001,0),0), INDEX($AN$1004:$BO$1004,1,MATCH(COLUMNS($AN$1006:AX1006),$AN$1006:$BO$1006,0)))),"Fix")))</f>
        <v>0</v>
      </c>
      <c r="M916" s="4">
        <f>IF(OR(INDEX($AH$2:$AH$1001,MATCH(ROWS($AG$2:AG916),$AG$2:$AG$1001,0),1)&gt;=100000,INDEX($AN$1005:$BO$1005,1,MATCH(COLUMNS($AN$1006:AY1006),$AN$1006:$BO$1006,0))&gt;=100000), " ",IF(INDEX($AN$2:$BO$1001,MATCH(ROWS($AG$2:AG916),$AG$2:$AG$1001,0),MATCH(COLUMNS($AN$1006:AY1006),$AN$1006:$BO$1006,0)), HYPERLINK("#",""), HYPERLINK(CONCATENATE("#Metadata!", ADDRESS(INDEX($AI$2:$AI$1001,MATCH(ROWS($AG$2:AG916),$AG$2:$AG$1001,0),0), INDEX($AN$1004:$BO$1004,1,MATCH(COLUMNS($AN$1006:AY1006),$AN$1006:$BO$1006,0)))),"Fix")))</f>
        <v>0</v>
      </c>
      <c r="N916" s="4">
        <f>IF(OR(INDEX($AH$2:$AH$1001,MATCH(ROWS($AG$2:AG916),$AG$2:$AG$1001,0),1)&gt;=100000,INDEX($AN$1005:$BO$1005,1,MATCH(COLUMNS($AN$1006:AZ1006),$AN$1006:$BO$1006,0))&gt;=100000), " ",IF(INDEX($AN$2:$BO$1001,MATCH(ROWS($AG$2:AG916),$AG$2:$AG$1001,0),MATCH(COLUMNS($AN$1006:AZ1006),$AN$1006:$BO$1006,0)), HYPERLINK("#",""), HYPERLINK(CONCATENATE("#Metadata!", ADDRESS(INDEX($AI$2:$AI$1001,MATCH(ROWS($AG$2:AG916),$AG$2:$AG$1001,0),0), INDEX($AN$1004:$BO$1004,1,MATCH(COLUMNS($AN$1006:AZ1006),$AN$1006:$BO$1006,0)))),"Fix")))</f>
        <v>0</v>
      </c>
      <c r="O916" s="4">
        <f>IF(OR(INDEX($AH$2:$AH$1001,MATCH(ROWS($AG$2:AG916),$AG$2:$AG$1001,0),1)&gt;=100000,INDEX($AN$1005:$BO$1005,1,MATCH(COLUMNS($AN$1006:BA1006),$AN$1006:$BO$1006,0))&gt;=100000), " ",IF(INDEX($AN$2:$BO$1001,MATCH(ROWS($AG$2:AG916),$AG$2:$AG$1001,0),MATCH(COLUMNS($AN$1006:BA1006),$AN$1006:$BO$1006,0)), HYPERLINK("#",""), HYPERLINK(CONCATENATE("#Metadata!", ADDRESS(INDEX($AI$2:$AI$1001,MATCH(ROWS($AG$2:AG916),$AG$2:$AG$1001,0),0), INDEX($AN$1004:$BO$1004,1,MATCH(COLUMNS($AN$1006:BA1006),$AN$1006:$BO$1006,0)))),"Fix")))</f>
        <v>0</v>
      </c>
      <c r="P916" s="4">
        <f>IF(OR(INDEX($AH$2:$AH$1001,MATCH(ROWS($AG$2:AG916),$AG$2:$AG$1001,0),1)&gt;=100000,INDEX($AN$1005:$BO$1005,1,MATCH(COLUMNS($AN$1006:BB1006),$AN$1006:$BO$1006,0))&gt;=100000), " ",IF(INDEX($AN$2:$BO$1001,MATCH(ROWS($AG$2:AG916),$AG$2:$AG$1001,0),MATCH(COLUMNS($AN$1006:BB1006),$AN$1006:$BO$1006,0)), HYPERLINK("#",""), HYPERLINK(CONCATENATE("#Metadata!", ADDRESS(INDEX($AI$2:$AI$1001,MATCH(ROWS($AG$2:AG916),$AG$2:$AG$1001,0),0), INDEX($AN$1004:$BO$1004,1,MATCH(COLUMNS($AN$1006:BB1006),$AN$1006:$BO$1006,0)))),"Fix")))</f>
        <v>0</v>
      </c>
      <c r="Q916" s="4">
        <f>IF(OR(INDEX($AH$2:$AH$1001,MATCH(ROWS($AG$2:AG916),$AG$2:$AG$1001,0),1)&gt;=100000,INDEX($AN$1005:$BO$1005,1,MATCH(COLUMNS($AN$1006:BC1006),$AN$1006:$BO$1006,0))&gt;=100000), " ",IF(INDEX($AN$2:$BO$1001,MATCH(ROWS($AG$2:AG916),$AG$2:$AG$1001,0),MATCH(COLUMNS($AN$1006:BC1006),$AN$1006:$BO$1006,0)), HYPERLINK("#",""), HYPERLINK(CONCATENATE("#Metadata!", ADDRESS(INDEX($AI$2:$AI$1001,MATCH(ROWS($AG$2:AG916),$AG$2:$AG$1001,0),0), INDEX($AN$1004:$BO$1004,1,MATCH(COLUMNS($AN$1006:BC1006),$AN$1006:$BO$1006,0)))),"Fix")))</f>
        <v>0</v>
      </c>
      <c r="R916" s="4">
        <f>IF(OR(INDEX($AH$2:$AH$1001,MATCH(ROWS($AG$2:AG916),$AG$2:$AG$1001,0),1)&gt;=100000,INDEX($AN$1005:$BO$1005,1,MATCH(COLUMNS($AN$1006:BD1006),$AN$1006:$BO$1006,0))&gt;=100000), " ",IF(INDEX($AN$2:$BO$1001,MATCH(ROWS($AG$2:AG916),$AG$2:$AG$1001,0),MATCH(COLUMNS($AN$1006:BD1006),$AN$1006:$BO$1006,0)), HYPERLINK("#",""), HYPERLINK(CONCATENATE("#Metadata!", ADDRESS(INDEX($AI$2:$AI$1001,MATCH(ROWS($AG$2:AG916),$AG$2:$AG$1001,0),0), INDEX($AN$1004:$BO$1004,1,MATCH(COLUMNS($AN$1006:BD1006),$AN$1006:$BO$1006,0)))),"Fix")))</f>
        <v>0</v>
      </c>
      <c r="S916" s="4">
        <f>IF(OR(INDEX($AH$2:$AH$1001,MATCH(ROWS($AG$2:AG916),$AG$2:$AG$1001,0),1)&gt;=100000,INDEX($AN$1005:$BO$1005,1,MATCH(COLUMNS($AN$1006:BE1006),$AN$1006:$BO$1006,0))&gt;=100000), " ",IF(INDEX($AN$2:$BO$1001,MATCH(ROWS($AG$2:AG916),$AG$2:$AG$1001,0),MATCH(COLUMNS($AN$1006:BE1006),$AN$1006:$BO$1006,0)), HYPERLINK("#",""), HYPERLINK(CONCATENATE("#Metadata!", ADDRESS(INDEX($AI$2:$AI$1001,MATCH(ROWS($AG$2:AG916),$AG$2:$AG$1001,0),0), INDEX($AN$1004:$BO$1004,1,MATCH(COLUMNS($AN$1006:BE1006),$AN$1006:$BO$1006,0)))),"Fix")))</f>
        <v>0</v>
      </c>
      <c r="T916" s="4">
        <f>IF(OR(INDEX($AH$2:$AH$1001,MATCH(ROWS($AG$2:AG916),$AG$2:$AG$1001,0),1)&gt;=100000,INDEX($AN$1005:$BO$1005,1,MATCH(COLUMNS($AN$1006:BF1006),$AN$1006:$BO$1006,0))&gt;=100000), " ",IF(INDEX($AN$2:$BO$1001,MATCH(ROWS($AG$2:AG916),$AG$2:$AG$1001,0),MATCH(COLUMNS($AN$1006:BF1006),$AN$1006:$BO$1006,0)), HYPERLINK("#",""), HYPERLINK(CONCATENATE("#Metadata!", ADDRESS(INDEX($AI$2:$AI$1001,MATCH(ROWS($AG$2:AG916),$AG$2:$AG$1001,0),0), INDEX($AN$1004:$BO$1004,1,MATCH(COLUMNS($AN$1006:BF1006),$AN$1006:$BO$1006,0)))),"Fix")))</f>
        <v>0</v>
      </c>
      <c r="U916" s="4">
        <f>IF(OR(INDEX($AH$2:$AH$1001,MATCH(ROWS($AG$2:AG916),$AG$2:$AG$1001,0),1)&gt;=100000,INDEX($AN$1005:$BO$1005,1,MATCH(COLUMNS($AN$1006:BG1006),$AN$1006:$BO$1006,0))&gt;=100000), " ",IF(INDEX($AN$2:$BO$1001,MATCH(ROWS($AG$2:AG916),$AG$2:$AG$1001,0),MATCH(COLUMNS($AN$1006:BG1006),$AN$1006:$BO$1006,0)), HYPERLINK("#",""), HYPERLINK(CONCATENATE("#Metadata!", ADDRESS(INDEX($AI$2:$AI$1001,MATCH(ROWS($AG$2:AG916),$AG$2:$AG$1001,0),0), INDEX($AN$1004:$BO$1004,1,MATCH(COLUMNS($AN$1006:BG1006),$AN$1006:$BO$1006,0)))),"Fix")))</f>
        <v>0</v>
      </c>
      <c r="V916" s="4">
        <f>IF(OR(INDEX($AH$2:$AH$1001,MATCH(ROWS($AG$2:AG916),$AG$2:$AG$1001,0),1)&gt;=100000,INDEX($AN$1005:$BO$1005,1,MATCH(COLUMNS($AN$1006:BH1006),$AN$1006:$BO$1006,0))&gt;=100000), " ",IF(INDEX($AN$2:$BO$1001,MATCH(ROWS($AG$2:AG916),$AG$2:$AG$1001,0),MATCH(COLUMNS($AN$1006:BH1006),$AN$1006:$BO$1006,0)), HYPERLINK("#",""), HYPERLINK(CONCATENATE("#Metadata!", ADDRESS(INDEX($AI$2:$AI$1001,MATCH(ROWS($AG$2:AG916),$AG$2:$AG$1001,0),0), INDEX($AN$1004:$BO$1004,1,MATCH(COLUMNS($AN$1006:BH1006),$AN$1006:$BO$1006,0)))),"Fix")))</f>
        <v>0</v>
      </c>
      <c r="W916" s="4">
        <f>IF(OR(INDEX($AH$2:$AH$1001,MATCH(ROWS($AG$2:AG916),$AG$2:$AG$1001,0),1)&gt;=100000,INDEX($AN$1005:$BO$1005,1,MATCH(COLUMNS($AN$1006:BI1006),$AN$1006:$BO$1006,0))&gt;=100000), " ",IF(INDEX($AN$2:$BO$1001,MATCH(ROWS($AG$2:AG916),$AG$2:$AG$1001,0),MATCH(COLUMNS($AN$1006:BI1006),$AN$1006:$BO$1006,0)), HYPERLINK("#",""), HYPERLINK(CONCATENATE("#Metadata!", ADDRESS(INDEX($AI$2:$AI$1001,MATCH(ROWS($AG$2:AG916),$AG$2:$AG$1001,0),0), INDEX($AN$1004:$BO$1004,1,MATCH(COLUMNS($AN$1006:BI1006),$AN$1006:$BO$1006,0)))),"Fix")))</f>
        <v>0</v>
      </c>
      <c r="X916" s="4">
        <f>IF(OR(INDEX($AH$2:$AH$1001,MATCH(ROWS($AG$2:AG916),$AG$2:$AG$1001,0),1)&gt;=100000,INDEX($AN$1005:$BO$1005,1,MATCH(COLUMNS($AN$1006:BJ1006),$AN$1006:$BO$1006,0))&gt;=100000), " ",IF(INDEX($AN$2:$BO$1001,MATCH(ROWS($AG$2:AG916),$AG$2:$AG$1001,0),MATCH(COLUMNS($AN$1006:BJ1006),$AN$1006:$BO$1006,0)), HYPERLINK("#",""), HYPERLINK(CONCATENATE("#Metadata!", ADDRESS(INDEX($AI$2:$AI$1001,MATCH(ROWS($AG$2:AG916),$AG$2:$AG$1001,0),0), INDEX($AN$1004:$BO$1004,1,MATCH(COLUMNS($AN$1006:BJ1006),$AN$1006:$BO$1006,0)))),"Fix")))</f>
        <v>0</v>
      </c>
      <c r="Y916" s="4">
        <f>IF(OR(INDEX($AH$2:$AH$1001,MATCH(ROWS($AG$2:AG916),$AG$2:$AG$1001,0),1)&gt;=100000,INDEX($AN$1005:$BO$1005,1,MATCH(COLUMNS($AN$1006:BK1006),$AN$1006:$BO$1006,0))&gt;=100000), " ",IF(INDEX($AN$2:$BO$1001,MATCH(ROWS($AG$2:AG916),$AG$2:$AG$1001,0),MATCH(COLUMNS($AN$1006:BK1006),$AN$1006:$BO$1006,0)), HYPERLINK("#",""), HYPERLINK(CONCATENATE("#Metadata!", ADDRESS(INDEX($AI$2:$AI$1001,MATCH(ROWS($AG$2:AG916),$AG$2:$AG$1001,0),0), INDEX($AN$1004:$BO$1004,1,MATCH(COLUMNS($AN$1006:BK1006),$AN$1006:$BO$1006,0)))),"Fix")))</f>
        <v>0</v>
      </c>
      <c r="Z916" s="4">
        <f>IF(OR(INDEX($AH$2:$AH$1001,MATCH(ROWS($AG$2:AG916),$AG$2:$AG$1001,0),1)&gt;=100000,INDEX($AN$1005:$BO$1005,1,MATCH(COLUMNS($AN$1006:BL1006),$AN$1006:$BO$1006,0))&gt;=100000), " ",IF(INDEX($AN$2:$BO$1001,MATCH(ROWS($AG$2:AG916),$AG$2:$AG$1001,0),MATCH(COLUMNS($AN$1006:BL1006),$AN$1006:$BO$1006,0)), HYPERLINK("#",""), HYPERLINK(CONCATENATE("#Metadata!", ADDRESS(INDEX($AI$2:$AI$1001,MATCH(ROWS($AG$2:AG916),$AG$2:$AG$1001,0),0), INDEX($AN$1004:$BO$1004,1,MATCH(COLUMNS($AN$1006:BL1006),$AN$1006:$BO$1006,0)))),"Fix")))</f>
        <v>0</v>
      </c>
      <c r="AA916" s="4">
        <f>IF(OR(INDEX($AH$2:$AH$1001,MATCH(ROWS($AG$2:AG916),$AG$2:$AG$1001,0),1)&gt;=100000,INDEX($AN$1005:$BO$1005,1,MATCH(COLUMNS($AN$1006:BM1006),$AN$1006:$BO$1006,0))&gt;=100000), " ",IF(INDEX($AN$2:$BO$1001,MATCH(ROWS($AG$2:AG916),$AG$2:$AG$1001,0),MATCH(COLUMNS($AN$1006:BM1006),$AN$1006:$BO$1006,0)), HYPERLINK("#",""), HYPERLINK(CONCATENATE("#Metadata!", ADDRESS(INDEX($AI$2:$AI$1001,MATCH(ROWS($AG$2:AG916),$AG$2:$AG$1001,0),0), INDEX($AN$1004:$BO$1004,1,MATCH(COLUMNS($AN$1006:BM1006),$AN$1006:$BO$1006,0)))),"Fix")))</f>
        <v>0</v>
      </c>
      <c r="AB916" s="4">
        <f>IF(OR(INDEX($AH$2:$AH$1001,MATCH(ROWS($AG$2:AG916),$AG$2:$AG$1001,0),1)&gt;=100000,INDEX($AN$1005:$BO$1005,1,MATCH(COLUMNS($AN$1006:BN1006),$AN$1006:$BO$1006,0))&gt;=100000), " ",IF(INDEX($AN$2:$BO$1001,MATCH(ROWS($AG$2:AG916),$AG$2:$AG$1001,0),MATCH(COLUMNS($AN$1006:BN1006),$AN$1006:$BO$1006,0)), HYPERLINK("#",""), HYPERLINK(CONCATENATE("#Metadata!", ADDRESS(INDEX($AI$2:$AI$1001,MATCH(ROWS($AG$2:AG916),$AG$2:$AG$1001,0),0), INDEX($AN$1004:$BO$1004,1,MATCH(COLUMNS($AN$1006:BN1006),$AN$1006:$BO$1006,0)))),"Fix")))</f>
        <v>0</v>
      </c>
      <c r="AC916" s="4">
        <f>IF(OR(INDEX($AH$2:$AH$1001,MATCH(ROWS($AG$2:AG916),$AG$2:$AG$1001,0),1)&gt;=100000,INDEX($AN$1005:$BO$1005,1,MATCH(COLUMNS($AN$1006:BO1006),$AN$1006:$BO$1006,0))&gt;=100000), " ",IF(INDEX($AN$2:$BO$1001,MATCH(ROWS($AG$2:AG916),$AG$2:$AG$1001,0),MATCH(COLUMNS($AN$1006:BO1006),$AN$1006:$BO$1006,0)), HYPERLINK("#",""), HYPERLINK(CONCATENATE("#Metadata!", ADDRESS(INDEX($AI$2:$AI$1001,MATCH(ROWS($AG$2:AG916),$AG$2:$AG$1001,0),0), INDEX($AN$1004:$BO$1004,1,MATCH(COLUMNS($AN$1006:BO1006),$AN$1006:$BO$1006,0)))),"Fix")))</f>
        <v>0</v>
      </c>
      <c r="AG916">
        <v>0</v>
      </c>
      <c r="AH916">
        <v>0</v>
      </c>
      <c r="AI916">
        <v>0</v>
      </c>
      <c r="AJ916">
        <f>IF(AK916,TRUE,AND(AN916:BO916))</f>
        <v>0</v>
      </c>
      <c r="AK916">
        <f>COUNTBLANK(Metadata!B916:AC916)=COLUMNS(Metadata!B916:AC916)</f>
        <v>0</v>
      </c>
      <c r="AL916">
        <v>0</v>
      </c>
      <c r="AN916">
        <f>AND(IF(Metadata!B916="",FALSE,TRUE),COUNTIF(Metadata!B:B, Metadata!B916) = 1,NOT(ISERROR(SUMPRODUCT(SEARCH(MID(Metadata!B916,ROW(INDIRECT("1:"&amp;LEN(Metadata!B916))), 1),"0123456789abcdefghijklmnopqrstuvwxyzABCDEFGHIJKLMNOPQRSTUVWXYZ.")))))</f>
        <v>0</v>
      </c>
      <c r="AO916">
        <f>IF(Metadata!C916="",FALSE,TRUE)</f>
        <v>0</v>
      </c>
      <c r="AP916">
        <f>IF(Metadata!D916="",FALSE,TRUE)</f>
        <v>0</v>
      </c>
      <c r="AQ916">
        <f>OR(AND(IF(Metadata!E916="",FALSE,TRUE),OR(exact(Metadata!E916,"not collected"),exact(Metadata!E916,"not provided"),exact(Metadata!E916,"restricted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R916">
        <f>IF(Metadata!F916="",FALSE,TRUE)</f>
        <v>0</v>
      </c>
      <c r="AS916">
        <f>OR(AND(IF(Metadata!G916="",FALSE,TRUE),OR(exact(Metadata!G916,"not collected"),exact(Metadata!G916,"not provided"))),AND(IF(Metadata!G916="",FALSE,TRUE),OR(exact(Metadata!G916,"TRUE"),exact(Metadata!G916,"FALSE"))))</f>
        <v>0</v>
      </c>
      <c r="AT916">
        <f>OR(AND(IF(Metadata!H916="",FALSE,TRUE),OR(exact(Metadata!H916,"not collected"),exact(Metadata!H916,"not provided"),exact(Metadata!H916,"restricted access"))),AND(IF(Metadata!H916="",FALSE,ISNUMBER(VALUE(Metadata!H916))),Metadata!H916&gt;=-413.0))</f>
        <v>0</v>
      </c>
      <c r="AU916">
        <f>AND(IF(Metadata!I916="",FALSE,TRUE),exact(Metadata!I916,"meters"))</f>
        <v>0</v>
      </c>
      <c r="AV916">
        <f>AND(IF(Metadata!J916="",FALSE,TRUE),OR(exact(Metadata!J916,"Host-associated"),exact(Metadata!J916,"Free-living")))</f>
        <v>0</v>
      </c>
      <c r="AW916">
        <f>AND(IF(Metadata!K916="",FALSE,TRUE),OR(exact(Metadata!K916,"Animal"),exact(Metadata!K916,"Fungus"),exact(Metadata!K916,"Plant"),exact(Metadata!K916,"Saline"),exact(Metadata!K916,"Non-saline")))</f>
        <v>0</v>
      </c>
      <c r="AX916">
        <f>AND(IF(Metadata!L916="",FALSE,TRUE),OR(exact(Metadata!L916,"Plant secretion"),exact(Metadata!L916,"Plant rhizosphere"),exact(Metadata!L916,"Plant surface"),exact(Metadata!L916,"Plant corpus"),exact(Metadata!L916,"Fungus surface"),exact(Metadata!L916,"Fungus corpus"),exact(Metadata!L916,"Animal surface"),exact(Metadata!L916,"Animal proximal gut"),exact(Metadata!L916,"Animal corpus"),exact(Metadata!L916,"Animal distal gut"),exact(Metadata!L916,"Animal secretion"),exact(Metadata!L916,"Sub-surface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Y916">
        <f>IF(Metadata!M916="",FALSE,TRUE)</f>
        <v>0</v>
      </c>
      <c r="AZ916">
        <f>IF(Metadata!N916="",FALSE,TRUE)</f>
        <v>0</v>
      </c>
      <c r="BA916">
        <f>IF(Metadata!O916="",FALSE,TRUE)</f>
        <v>0</v>
      </c>
      <c r="BB916">
        <f>OR(AND(IF(Metadata!P916="",FALSE,TRUE),OR(exact(Metadata!P916,"not collected"),exact(Metadata!P916,"not provided"),exact(Metadata!P916,"restricted access"))),AND(IF(Metadata!P916="",FALSE,TRUE),OR(exact(Metadata!P916,"air"),exact(Metadata!P916,"built environment"),exact(Metadata!P916,"host-associated"),exact(Metadata!P916,"human-associated"),exact(Metadata!P916,"human-skin"),exact(Metadata!P916,"human-oral"),exact(Metadata!P916,"human-gut"),exact(Metadata!P916,"human-vaginal"),exact(Metadata!P916,"microbial mat/biofilm"),exact(Metadata!P916,"misc environment"),exact(Metadata!P916,"plant-associated"),exact(Metadata!P916,"sediment"),exact(Metadata!P916,"soil"),exact(Metadata!P916,"wastewater/sludge"),exact(Metadata!P916,"water"))))</f>
        <v>0</v>
      </c>
      <c r="BC916">
        <f>IF(Metadata!Q916="",FALSE,TRUE)</f>
        <v>0</v>
      </c>
      <c r="BD916">
        <f>IF(Metadata!R916="",FALSE,TRUE)</f>
        <v>0</v>
      </c>
      <c r="BE916">
        <f>OR(AND(IF(Metadata!S916="",FALSE,TRUE),OR(exact(Metadata!S916,"not collected"),exact(Metadata!S916,"not provided"),exact(Metadata!S916,"restricted access"))),AND(IF(Metadata!S916="",FALSE,ISNUMBER(VALUE(Metadata!S916))),Metadata!S916&gt;=-90.00,Metadata!S916&lt;=90.00))</f>
        <v>0</v>
      </c>
      <c r="BF916">
        <f>AND(IF(Metadata!T916="",FALSE,TRUE),exact(Metadata!T916,"Decimal degrees"))</f>
        <v>0</v>
      </c>
      <c r="BG916">
        <f>OR(AND(IF(Metadata!U916="",FALSE,TRUE),OR(exact(Metadata!U916,"not collected"),exact(Metadata!U916,"not provided"),exact(Metadata!U916,"restricted access"))),AND(IF(Metadata!U916="",FALSE,ISNUMBER(VALUE(Metadata!U916))),Metadata!U916&gt;=-180.00,Metadata!U916&lt;=180.00))</f>
        <v>0</v>
      </c>
      <c r="BH916">
        <f>AND(IF(Metadata!V916="",FALSE,TRUE),exact(Metadata!V916,"Decimal degrees"))</f>
        <v>0</v>
      </c>
      <c r="BI916">
        <f>IF(Metadata!W916="",FALSE,TRUE)</f>
        <v>0</v>
      </c>
      <c r="BJ916">
        <f>OR(AND(IF(Metadata!X916="",FALSE,TRUE),OR(exact(Metadata!X916,"not collected"),exact(Metadata!X916,"not provided"),exact(Metadata!X916,"restricted access"))),AND(IF(Metadata!X916="",FALSE,TRUE),OR(exact(Metadata!X916,"TRUE"),exact(Metadata!X916,"FALSE"))))</f>
        <v>0</v>
      </c>
      <c r="BK916">
        <f>AND(IF(Metadata!Y916="",FALSE,TRUE),exact(Metadata!Y916,"other"))</f>
        <v>0</v>
      </c>
      <c r="BL916">
        <f>IF(Metadata!Z916="",FALSE,TRUE)</f>
        <v>0</v>
      </c>
      <c r="BM916">
        <f>OR(AND(IF(Metadata!AA916="",FALSE,TRUE),OR(exact(Metadata!AA916,"not collected"),exact(Metadata!AA916,"not provided"))),AND(IF(Metadata!AA916="",FALSE,IF(ISERROR(INT(Metadata!AA916)),FALSE,INT(Metadata!AA916)=Metadata!AA916)),Metadata!AA916&gt;0))</f>
        <v>0</v>
      </c>
      <c r="BN916">
        <f>AND(IF(Metadata!AB916="",FALSE,TRUE),exact(Metadata!AB916,"Not applicable"))</f>
        <v>0</v>
      </c>
      <c r="BO916">
        <f>IF(Metadata!AC916="",FALSE,TRUE)</f>
        <v>0</v>
      </c>
    </row>
    <row r="917" spans="1:67">
      <c r="A917" s="5">
        <f>IF(B917=" "," ",HYPERLINK(CONCATENATE("#metadata!",ADDRESS(INDEX($AI$2:$AI$1001,MATCH(ROWS($AG$2:AG917),$AG$2:$AG$1001,0),0),1)),INDEX($AL$2:$AL$1001,MATCH(ROWS($AG$2:AG917),$AG$2:$AG$1001,0),0)))</f>
        <v>0</v>
      </c>
      <c r="B917" s="4">
        <f>IF(OR(INDEX($AH$2:$AH$1001,MATCH(ROWS($AG$2:AG917),$AG$2:$AG$1001,0),1)&gt;=100000,INDEX($AN$1005:$BO$1005,1,MATCH(COLUMNS($AN$1006:AN1006),$AN$1006:$BO$1006,0))&gt;=100000), " ",IF(INDEX($AN$2:$BO$1001,MATCH(ROWS($AG$2:AG917),$AG$2:$AG$1001,0),MATCH(COLUMNS($AN$1006:AN1006),$AN$1006:$BO$1006,0)), HYPERLINK("#",""), HYPERLINK(CONCATENATE("#Metadata!", ADDRESS(INDEX($AI$2:$AI$1001,MATCH(ROWS($AG$2:AG917),$AG$2:$AG$1001,0),0), INDEX($AN$1004:$BO$1004,1,MATCH(COLUMNS($AN$1006:AN1006),$AN$1006:$BO$1006,0)))),"Fix")))</f>
        <v>0</v>
      </c>
      <c r="C917" s="4">
        <f>IF(OR(INDEX($AH$2:$AH$1001,MATCH(ROWS($AG$2:AG917),$AG$2:$AG$1001,0),1)&gt;=100000,INDEX($AN$1005:$BO$1005,1,MATCH(COLUMNS($AN$1006:AO1006),$AN$1006:$BO$1006,0))&gt;=100000), " ",IF(INDEX($AN$2:$BO$1001,MATCH(ROWS($AG$2:AG917),$AG$2:$AG$1001,0),MATCH(COLUMNS($AN$1006:AO1006),$AN$1006:$BO$1006,0)), HYPERLINK("#",""), HYPERLINK(CONCATENATE("#Metadata!", ADDRESS(INDEX($AI$2:$AI$1001,MATCH(ROWS($AG$2:AG917),$AG$2:$AG$1001,0),0), INDEX($AN$1004:$BO$1004,1,MATCH(COLUMNS($AN$1006:AO1006),$AN$1006:$BO$1006,0)))),"Fix")))</f>
        <v>0</v>
      </c>
      <c r="D917" s="4">
        <f>IF(OR(INDEX($AH$2:$AH$1001,MATCH(ROWS($AG$2:AG917),$AG$2:$AG$1001,0),1)&gt;=100000,INDEX($AN$1005:$BO$1005,1,MATCH(COLUMNS($AN$1006:AP1006),$AN$1006:$BO$1006,0))&gt;=100000), " ",IF(INDEX($AN$2:$BO$1001,MATCH(ROWS($AG$2:AG917),$AG$2:$AG$1001,0),MATCH(COLUMNS($AN$1006:AP1006),$AN$1006:$BO$1006,0)), HYPERLINK("#",""), HYPERLINK(CONCATENATE("#Metadata!", ADDRESS(INDEX($AI$2:$AI$1001,MATCH(ROWS($AG$2:AG917),$AG$2:$AG$1001,0),0), INDEX($AN$1004:$BO$1004,1,MATCH(COLUMNS($AN$1006:AP1006),$AN$1006:$BO$1006,0)))),"Fix")))</f>
        <v>0</v>
      </c>
      <c r="E917" s="4">
        <f>IF(OR(INDEX($AH$2:$AH$1001,MATCH(ROWS($AG$2:AG917),$AG$2:$AG$1001,0),1)&gt;=100000,INDEX($AN$1005:$BO$1005,1,MATCH(COLUMNS($AN$1006:AQ1006),$AN$1006:$BO$1006,0))&gt;=100000), " ",IF(INDEX($AN$2:$BO$1001,MATCH(ROWS($AG$2:AG917),$AG$2:$AG$1001,0),MATCH(COLUMNS($AN$1006:AQ1006),$AN$1006:$BO$1006,0)), HYPERLINK("#",""), HYPERLINK(CONCATENATE("#Metadata!", ADDRESS(INDEX($AI$2:$AI$1001,MATCH(ROWS($AG$2:AG917),$AG$2:$AG$1001,0),0), INDEX($AN$1004:$BO$1004,1,MATCH(COLUMNS($AN$1006:AQ1006),$AN$1006:$BO$1006,0)))),"Fix")))</f>
        <v>0</v>
      </c>
      <c r="F917" s="4">
        <f>IF(OR(INDEX($AH$2:$AH$1001,MATCH(ROWS($AG$2:AG917),$AG$2:$AG$1001,0),1)&gt;=100000,INDEX($AN$1005:$BO$1005,1,MATCH(COLUMNS($AN$1006:AR1006),$AN$1006:$BO$1006,0))&gt;=100000), " ",IF(INDEX($AN$2:$BO$1001,MATCH(ROWS($AG$2:AG917),$AG$2:$AG$1001,0),MATCH(COLUMNS($AN$1006:AR1006),$AN$1006:$BO$1006,0)), HYPERLINK("#",""), HYPERLINK(CONCATENATE("#Metadata!", ADDRESS(INDEX($AI$2:$AI$1001,MATCH(ROWS($AG$2:AG917),$AG$2:$AG$1001,0),0), INDEX($AN$1004:$BO$1004,1,MATCH(COLUMNS($AN$1006:AR1006),$AN$1006:$BO$1006,0)))),"Fix")))</f>
        <v>0</v>
      </c>
      <c r="G917" s="4">
        <f>IF(OR(INDEX($AH$2:$AH$1001,MATCH(ROWS($AG$2:AG917),$AG$2:$AG$1001,0),1)&gt;=100000,INDEX($AN$1005:$BO$1005,1,MATCH(COLUMNS($AN$1006:AS1006),$AN$1006:$BO$1006,0))&gt;=100000), " ",IF(INDEX($AN$2:$BO$1001,MATCH(ROWS($AG$2:AG917),$AG$2:$AG$1001,0),MATCH(COLUMNS($AN$1006:AS1006),$AN$1006:$BO$1006,0)), HYPERLINK("#",""), HYPERLINK(CONCATENATE("#Metadata!", ADDRESS(INDEX($AI$2:$AI$1001,MATCH(ROWS($AG$2:AG917),$AG$2:$AG$1001,0),0), INDEX($AN$1004:$BO$1004,1,MATCH(COLUMNS($AN$1006:AS1006),$AN$1006:$BO$1006,0)))),"Fix")))</f>
        <v>0</v>
      </c>
      <c r="H917" s="4">
        <f>IF(OR(INDEX($AH$2:$AH$1001,MATCH(ROWS($AG$2:AG917),$AG$2:$AG$1001,0),1)&gt;=100000,INDEX($AN$1005:$BO$1005,1,MATCH(COLUMNS($AN$1006:AT1006),$AN$1006:$BO$1006,0))&gt;=100000), " ",IF(INDEX($AN$2:$BO$1001,MATCH(ROWS($AG$2:AG917),$AG$2:$AG$1001,0),MATCH(COLUMNS($AN$1006:AT1006),$AN$1006:$BO$1006,0)), HYPERLINK("#",""), HYPERLINK(CONCATENATE("#Metadata!", ADDRESS(INDEX($AI$2:$AI$1001,MATCH(ROWS($AG$2:AG917),$AG$2:$AG$1001,0),0), INDEX($AN$1004:$BO$1004,1,MATCH(COLUMNS($AN$1006:AT1006),$AN$1006:$BO$1006,0)))),"Fix")))</f>
        <v>0</v>
      </c>
      <c r="I917" s="4">
        <f>IF(OR(INDEX($AH$2:$AH$1001,MATCH(ROWS($AG$2:AG917),$AG$2:$AG$1001,0),1)&gt;=100000,INDEX($AN$1005:$BO$1005,1,MATCH(COLUMNS($AN$1006:AU1006),$AN$1006:$BO$1006,0))&gt;=100000), " ",IF(INDEX($AN$2:$BO$1001,MATCH(ROWS($AG$2:AG917),$AG$2:$AG$1001,0),MATCH(COLUMNS($AN$1006:AU1006),$AN$1006:$BO$1006,0)), HYPERLINK("#",""), HYPERLINK(CONCATENATE("#Metadata!", ADDRESS(INDEX($AI$2:$AI$1001,MATCH(ROWS($AG$2:AG917),$AG$2:$AG$1001,0),0), INDEX($AN$1004:$BO$1004,1,MATCH(COLUMNS($AN$1006:AU1006),$AN$1006:$BO$1006,0)))),"Fix")))</f>
        <v>0</v>
      </c>
      <c r="J917" s="4">
        <f>IF(OR(INDEX($AH$2:$AH$1001,MATCH(ROWS($AG$2:AG917),$AG$2:$AG$1001,0),1)&gt;=100000,INDEX($AN$1005:$BO$1005,1,MATCH(COLUMNS($AN$1006:AV1006),$AN$1006:$BO$1006,0))&gt;=100000), " ",IF(INDEX($AN$2:$BO$1001,MATCH(ROWS($AG$2:AG917),$AG$2:$AG$1001,0),MATCH(COLUMNS($AN$1006:AV1006),$AN$1006:$BO$1006,0)), HYPERLINK("#",""), HYPERLINK(CONCATENATE("#Metadata!", ADDRESS(INDEX($AI$2:$AI$1001,MATCH(ROWS($AG$2:AG917),$AG$2:$AG$1001,0),0), INDEX($AN$1004:$BO$1004,1,MATCH(COLUMNS($AN$1006:AV1006),$AN$1006:$BO$1006,0)))),"Fix")))</f>
        <v>0</v>
      </c>
      <c r="K917" s="4">
        <f>IF(OR(INDEX($AH$2:$AH$1001,MATCH(ROWS($AG$2:AG917),$AG$2:$AG$1001,0),1)&gt;=100000,INDEX($AN$1005:$BO$1005,1,MATCH(COLUMNS($AN$1006:AW1006),$AN$1006:$BO$1006,0))&gt;=100000), " ",IF(INDEX($AN$2:$BO$1001,MATCH(ROWS($AG$2:AG917),$AG$2:$AG$1001,0),MATCH(COLUMNS($AN$1006:AW1006),$AN$1006:$BO$1006,0)), HYPERLINK("#",""), HYPERLINK(CONCATENATE("#Metadata!", ADDRESS(INDEX($AI$2:$AI$1001,MATCH(ROWS($AG$2:AG917),$AG$2:$AG$1001,0),0), INDEX($AN$1004:$BO$1004,1,MATCH(COLUMNS($AN$1006:AW1006),$AN$1006:$BO$1006,0)))),"Fix")))</f>
        <v>0</v>
      </c>
      <c r="L917" s="4">
        <f>IF(OR(INDEX($AH$2:$AH$1001,MATCH(ROWS($AG$2:AG917),$AG$2:$AG$1001,0),1)&gt;=100000,INDEX($AN$1005:$BO$1005,1,MATCH(COLUMNS($AN$1006:AX1006),$AN$1006:$BO$1006,0))&gt;=100000), " ",IF(INDEX($AN$2:$BO$1001,MATCH(ROWS($AG$2:AG917),$AG$2:$AG$1001,0),MATCH(COLUMNS($AN$1006:AX1006),$AN$1006:$BO$1006,0)), HYPERLINK("#",""), HYPERLINK(CONCATENATE("#Metadata!", ADDRESS(INDEX($AI$2:$AI$1001,MATCH(ROWS($AG$2:AG917),$AG$2:$AG$1001,0),0), INDEX($AN$1004:$BO$1004,1,MATCH(COLUMNS($AN$1006:AX1006),$AN$1006:$BO$1006,0)))),"Fix")))</f>
        <v>0</v>
      </c>
      <c r="M917" s="4">
        <f>IF(OR(INDEX($AH$2:$AH$1001,MATCH(ROWS($AG$2:AG917),$AG$2:$AG$1001,0),1)&gt;=100000,INDEX($AN$1005:$BO$1005,1,MATCH(COLUMNS($AN$1006:AY1006),$AN$1006:$BO$1006,0))&gt;=100000), " ",IF(INDEX($AN$2:$BO$1001,MATCH(ROWS($AG$2:AG917),$AG$2:$AG$1001,0),MATCH(COLUMNS($AN$1006:AY1006),$AN$1006:$BO$1006,0)), HYPERLINK("#",""), HYPERLINK(CONCATENATE("#Metadata!", ADDRESS(INDEX($AI$2:$AI$1001,MATCH(ROWS($AG$2:AG917),$AG$2:$AG$1001,0),0), INDEX($AN$1004:$BO$1004,1,MATCH(COLUMNS($AN$1006:AY1006),$AN$1006:$BO$1006,0)))),"Fix")))</f>
        <v>0</v>
      </c>
      <c r="N917" s="4">
        <f>IF(OR(INDEX($AH$2:$AH$1001,MATCH(ROWS($AG$2:AG917),$AG$2:$AG$1001,0),1)&gt;=100000,INDEX($AN$1005:$BO$1005,1,MATCH(COLUMNS($AN$1006:AZ1006),$AN$1006:$BO$1006,0))&gt;=100000), " ",IF(INDEX($AN$2:$BO$1001,MATCH(ROWS($AG$2:AG917),$AG$2:$AG$1001,0),MATCH(COLUMNS($AN$1006:AZ1006),$AN$1006:$BO$1006,0)), HYPERLINK("#",""), HYPERLINK(CONCATENATE("#Metadata!", ADDRESS(INDEX($AI$2:$AI$1001,MATCH(ROWS($AG$2:AG917),$AG$2:$AG$1001,0),0), INDEX($AN$1004:$BO$1004,1,MATCH(COLUMNS($AN$1006:AZ1006),$AN$1006:$BO$1006,0)))),"Fix")))</f>
        <v>0</v>
      </c>
      <c r="O917" s="4">
        <f>IF(OR(INDEX($AH$2:$AH$1001,MATCH(ROWS($AG$2:AG917),$AG$2:$AG$1001,0),1)&gt;=100000,INDEX($AN$1005:$BO$1005,1,MATCH(COLUMNS($AN$1006:BA1006),$AN$1006:$BO$1006,0))&gt;=100000), " ",IF(INDEX($AN$2:$BO$1001,MATCH(ROWS($AG$2:AG917),$AG$2:$AG$1001,0),MATCH(COLUMNS($AN$1006:BA1006),$AN$1006:$BO$1006,0)), HYPERLINK("#",""), HYPERLINK(CONCATENATE("#Metadata!", ADDRESS(INDEX($AI$2:$AI$1001,MATCH(ROWS($AG$2:AG917),$AG$2:$AG$1001,0),0), INDEX($AN$1004:$BO$1004,1,MATCH(COLUMNS($AN$1006:BA1006),$AN$1006:$BO$1006,0)))),"Fix")))</f>
        <v>0</v>
      </c>
      <c r="P917" s="4">
        <f>IF(OR(INDEX($AH$2:$AH$1001,MATCH(ROWS($AG$2:AG917),$AG$2:$AG$1001,0),1)&gt;=100000,INDEX($AN$1005:$BO$1005,1,MATCH(COLUMNS($AN$1006:BB1006),$AN$1006:$BO$1006,0))&gt;=100000), " ",IF(INDEX($AN$2:$BO$1001,MATCH(ROWS($AG$2:AG917),$AG$2:$AG$1001,0),MATCH(COLUMNS($AN$1006:BB1006),$AN$1006:$BO$1006,0)), HYPERLINK("#",""), HYPERLINK(CONCATENATE("#Metadata!", ADDRESS(INDEX($AI$2:$AI$1001,MATCH(ROWS($AG$2:AG917),$AG$2:$AG$1001,0),0), INDEX($AN$1004:$BO$1004,1,MATCH(COLUMNS($AN$1006:BB1006),$AN$1006:$BO$1006,0)))),"Fix")))</f>
        <v>0</v>
      </c>
      <c r="Q917" s="4">
        <f>IF(OR(INDEX($AH$2:$AH$1001,MATCH(ROWS($AG$2:AG917),$AG$2:$AG$1001,0),1)&gt;=100000,INDEX($AN$1005:$BO$1005,1,MATCH(COLUMNS($AN$1006:BC1006),$AN$1006:$BO$1006,0))&gt;=100000), " ",IF(INDEX($AN$2:$BO$1001,MATCH(ROWS($AG$2:AG917),$AG$2:$AG$1001,0),MATCH(COLUMNS($AN$1006:BC1006),$AN$1006:$BO$1006,0)), HYPERLINK("#",""), HYPERLINK(CONCATENATE("#Metadata!", ADDRESS(INDEX($AI$2:$AI$1001,MATCH(ROWS($AG$2:AG917),$AG$2:$AG$1001,0),0), INDEX($AN$1004:$BO$1004,1,MATCH(COLUMNS($AN$1006:BC1006),$AN$1006:$BO$1006,0)))),"Fix")))</f>
        <v>0</v>
      </c>
      <c r="R917" s="4">
        <f>IF(OR(INDEX($AH$2:$AH$1001,MATCH(ROWS($AG$2:AG917),$AG$2:$AG$1001,0),1)&gt;=100000,INDEX($AN$1005:$BO$1005,1,MATCH(COLUMNS($AN$1006:BD1006),$AN$1006:$BO$1006,0))&gt;=100000), " ",IF(INDEX($AN$2:$BO$1001,MATCH(ROWS($AG$2:AG917),$AG$2:$AG$1001,0),MATCH(COLUMNS($AN$1006:BD1006),$AN$1006:$BO$1006,0)), HYPERLINK("#",""), HYPERLINK(CONCATENATE("#Metadata!", ADDRESS(INDEX($AI$2:$AI$1001,MATCH(ROWS($AG$2:AG917),$AG$2:$AG$1001,0),0), INDEX($AN$1004:$BO$1004,1,MATCH(COLUMNS($AN$1006:BD1006),$AN$1006:$BO$1006,0)))),"Fix")))</f>
        <v>0</v>
      </c>
      <c r="S917" s="4">
        <f>IF(OR(INDEX($AH$2:$AH$1001,MATCH(ROWS($AG$2:AG917),$AG$2:$AG$1001,0),1)&gt;=100000,INDEX($AN$1005:$BO$1005,1,MATCH(COLUMNS($AN$1006:BE1006),$AN$1006:$BO$1006,0))&gt;=100000), " ",IF(INDEX($AN$2:$BO$1001,MATCH(ROWS($AG$2:AG917),$AG$2:$AG$1001,0),MATCH(COLUMNS($AN$1006:BE1006),$AN$1006:$BO$1006,0)), HYPERLINK("#",""), HYPERLINK(CONCATENATE("#Metadata!", ADDRESS(INDEX($AI$2:$AI$1001,MATCH(ROWS($AG$2:AG917),$AG$2:$AG$1001,0),0), INDEX($AN$1004:$BO$1004,1,MATCH(COLUMNS($AN$1006:BE1006),$AN$1006:$BO$1006,0)))),"Fix")))</f>
        <v>0</v>
      </c>
      <c r="T917" s="4">
        <f>IF(OR(INDEX($AH$2:$AH$1001,MATCH(ROWS($AG$2:AG917),$AG$2:$AG$1001,0),1)&gt;=100000,INDEX($AN$1005:$BO$1005,1,MATCH(COLUMNS($AN$1006:BF1006),$AN$1006:$BO$1006,0))&gt;=100000), " ",IF(INDEX($AN$2:$BO$1001,MATCH(ROWS($AG$2:AG917),$AG$2:$AG$1001,0),MATCH(COLUMNS($AN$1006:BF1006),$AN$1006:$BO$1006,0)), HYPERLINK("#",""), HYPERLINK(CONCATENATE("#Metadata!", ADDRESS(INDEX($AI$2:$AI$1001,MATCH(ROWS($AG$2:AG917),$AG$2:$AG$1001,0),0), INDEX($AN$1004:$BO$1004,1,MATCH(COLUMNS($AN$1006:BF1006),$AN$1006:$BO$1006,0)))),"Fix")))</f>
        <v>0</v>
      </c>
      <c r="U917" s="4">
        <f>IF(OR(INDEX($AH$2:$AH$1001,MATCH(ROWS($AG$2:AG917),$AG$2:$AG$1001,0),1)&gt;=100000,INDEX($AN$1005:$BO$1005,1,MATCH(COLUMNS($AN$1006:BG1006),$AN$1006:$BO$1006,0))&gt;=100000), " ",IF(INDEX($AN$2:$BO$1001,MATCH(ROWS($AG$2:AG917),$AG$2:$AG$1001,0),MATCH(COLUMNS($AN$1006:BG1006),$AN$1006:$BO$1006,0)), HYPERLINK("#",""), HYPERLINK(CONCATENATE("#Metadata!", ADDRESS(INDEX($AI$2:$AI$1001,MATCH(ROWS($AG$2:AG917),$AG$2:$AG$1001,0),0), INDEX($AN$1004:$BO$1004,1,MATCH(COLUMNS($AN$1006:BG1006),$AN$1006:$BO$1006,0)))),"Fix")))</f>
        <v>0</v>
      </c>
      <c r="V917" s="4">
        <f>IF(OR(INDEX($AH$2:$AH$1001,MATCH(ROWS($AG$2:AG917),$AG$2:$AG$1001,0),1)&gt;=100000,INDEX($AN$1005:$BO$1005,1,MATCH(COLUMNS($AN$1006:BH1006),$AN$1006:$BO$1006,0))&gt;=100000), " ",IF(INDEX($AN$2:$BO$1001,MATCH(ROWS($AG$2:AG917),$AG$2:$AG$1001,0),MATCH(COLUMNS($AN$1006:BH1006),$AN$1006:$BO$1006,0)), HYPERLINK("#",""), HYPERLINK(CONCATENATE("#Metadata!", ADDRESS(INDEX($AI$2:$AI$1001,MATCH(ROWS($AG$2:AG917),$AG$2:$AG$1001,0),0), INDEX($AN$1004:$BO$1004,1,MATCH(COLUMNS($AN$1006:BH1006),$AN$1006:$BO$1006,0)))),"Fix")))</f>
        <v>0</v>
      </c>
      <c r="W917" s="4">
        <f>IF(OR(INDEX($AH$2:$AH$1001,MATCH(ROWS($AG$2:AG917),$AG$2:$AG$1001,0),1)&gt;=100000,INDEX($AN$1005:$BO$1005,1,MATCH(COLUMNS($AN$1006:BI1006),$AN$1006:$BO$1006,0))&gt;=100000), " ",IF(INDEX($AN$2:$BO$1001,MATCH(ROWS($AG$2:AG917),$AG$2:$AG$1001,0),MATCH(COLUMNS($AN$1006:BI1006),$AN$1006:$BO$1006,0)), HYPERLINK("#",""), HYPERLINK(CONCATENATE("#Metadata!", ADDRESS(INDEX($AI$2:$AI$1001,MATCH(ROWS($AG$2:AG917),$AG$2:$AG$1001,0),0), INDEX($AN$1004:$BO$1004,1,MATCH(COLUMNS($AN$1006:BI1006),$AN$1006:$BO$1006,0)))),"Fix")))</f>
        <v>0</v>
      </c>
      <c r="X917" s="4">
        <f>IF(OR(INDEX($AH$2:$AH$1001,MATCH(ROWS($AG$2:AG917),$AG$2:$AG$1001,0),1)&gt;=100000,INDEX($AN$1005:$BO$1005,1,MATCH(COLUMNS($AN$1006:BJ1006),$AN$1006:$BO$1006,0))&gt;=100000), " ",IF(INDEX($AN$2:$BO$1001,MATCH(ROWS($AG$2:AG917),$AG$2:$AG$1001,0),MATCH(COLUMNS($AN$1006:BJ1006),$AN$1006:$BO$1006,0)), HYPERLINK("#",""), HYPERLINK(CONCATENATE("#Metadata!", ADDRESS(INDEX($AI$2:$AI$1001,MATCH(ROWS($AG$2:AG917),$AG$2:$AG$1001,0),0), INDEX($AN$1004:$BO$1004,1,MATCH(COLUMNS($AN$1006:BJ1006),$AN$1006:$BO$1006,0)))),"Fix")))</f>
        <v>0</v>
      </c>
      <c r="Y917" s="4">
        <f>IF(OR(INDEX($AH$2:$AH$1001,MATCH(ROWS($AG$2:AG917),$AG$2:$AG$1001,0),1)&gt;=100000,INDEX($AN$1005:$BO$1005,1,MATCH(COLUMNS($AN$1006:BK1006),$AN$1006:$BO$1006,0))&gt;=100000), " ",IF(INDEX($AN$2:$BO$1001,MATCH(ROWS($AG$2:AG917),$AG$2:$AG$1001,0),MATCH(COLUMNS($AN$1006:BK1006),$AN$1006:$BO$1006,0)), HYPERLINK("#",""), HYPERLINK(CONCATENATE("#Metadata!", ADDRESS(INDEX($AI$2:$AI$1001,MATCH(ROWS($AG$2:AG917),$AG$2:$AG$1001,0),0), INDEX($AN$1004:$BO$1004,1,MATCH(COLUMNS($AN$1006:BK1006),$AN$1006:$BO$1006,0)))),"Fix")))</f>
        <v>0</v>
      </c>
      <c r="Z917" s="4">
        <f>IF(OR(INDEX($AH$2:$AH$1001,MATCH(ROWS($AG$2:AG917),$AG$2:$AG$1001,0),1)&gt;=100000,INDEX($AN$1005:$BO$1005,1,MATCH(COLUMNS($AN$1006:BL1006),$AN$1006:$BO$1006,0))&gt;=100000), " ",IF(INDEX($AN$2:$BO$1001,MATCH(ROWS($AG$2:AG917),$AG$2:$AG$1001,0),MATCH(COLUMNS($AN$1006:BL1006),$AN$1006:$BO$1006,0)), HYPERLINK("#",""), HYPERLINK(CONCATENATE("#Metadata!", ADDRESS(INDEX($AI$2:$AI$1001,MATCH(ROWS($AG$2:AG917),$AG$2:$AG$1001,0),0), INDEX($AN$1004:$BO$1004,1,MATCH(COLUMNS($AN$1006:BL1006),$AN$1006:$BO$1006,0)))),"Fix")))</f>
        <v>0</v>
      </c>
      <c r="AA917" s="4">
        <f>IF(OR(INDEX($AH$2:$AH$1001,MATCH(ROWS($AG$2:AG917),$AG$2:$AG$1001,0),1)&gt;=100000,INDEX($AN$1005:$BO$1005,1,MATCH(COLUMNS($AN$1006:BM1006),$AN$1006:$BO$1006,0))&gt;=100000), " ",IF(INDEX($AN$2:$BO$1001,MATCH(ROWS($AG$2:AG917),$AG$2:$AG$1001,0),MATCH(COLUMNS($AN$1006:BM1006),$AN$1006:$BO$1006,0)), HYPERLINK("#",""), HYPERLINK(CONCATENATE("#Metadata!", ADDRESS(INDEX($AI$2:$AI$1001,MATCH(ROWS($AG$2:AG917),$AG$2:$AG$1001,0),0), INDEX($AN$1004:$BO$1004,1,MATCH(COLUMNS($AN$1006:BM1006),$AN$1006:$BO$1006,0)))),"Fix")))</f>
        <v>0</v>
      </c>
      <c r="AB917" s="4">
        <f>IF(OR(INDEX($AH$2:$AH$1001,MATCH(ROWS($AG$2:AG917),$AG$2:$AG$1001,0),1)&gt;=100000,INDEX($AN$1005:$BO$1005,1,MATCH(COLUMNS($AN$1006:BN1006),$AN$1006:$BO$1006,0))&gt;=100000), " ",IF(INDEX($AN$2:$BO$1001,MATCH(ROWS($AG$2:AG917),$AG$2:$AG$1001,0),MATCH(COLUMNS($AN$1006:BN1006),$AN$1006:$BO$1006,0)), HYPERLINK("#",""), HYPERLINK(CONCATENATE("#Metadata!", ADDRESS(INDEX($AI$2:$AI$1001,MATCH(ROWS($AG$2:AG917),$AG$2:$AG$1001,0),0), INDEX($AN$1004:$BO$1004,1,MATCH(COLUMNS($AN$1006:BN1006),$AN$1006:$BO$1006,0)))),"Fix")))</f>
        <v>0</v>
      </c>
      <c r="AC917" s="4">
        <f>IF(OR(INDEX($AH$2:$AH$1001,MATCH(ROWS($AG$2:AG917),$AG$2:$AG$1001,0),1)&gt;=100000,INDEX($AN$1005:$BO$1005,1,MATCH(COLUMNS($AN$1006:BO1006),$AN$1006:$BO$1006,0))&gt;=100000), " ",IF(INDEX($AN$2:$BO$1001,MATCH(ROWS($AG$2:AG917),$AG$2:$AG$1001,0),MATCH(COLUMNS($AN$1006:BO1006),$AN$1006:$BO$1006,0)), HYPERLINK("#",""), HYPERLINK(CONCATENATE("#Metadata!", ADDRESS(INDEX($AI$2:$AI$1001,MATCH(ROWS($AG$2:AG917),$AG$2:$AG$1001,0),0), INDEX($AN$1004:$BO$1004,1,MATCH(COLUMNS($AN$1006:BO1006),$AN$1006:$BO$1006,0)))),"Fix")))</f>
        <v>0</v>
      </c>
      <c r="AG917">
        <v>0</v>
      </c>
      <c r="AH917">
        <v>0</v>
      </c>
      <c r="AI917">
        <v>0</v>
      </c>
      <c r="AJ917">
        <f>IF(AK917,TRUE,AND(AN917:BO917))</f>
        <v>0</v>
      </c>
      <c r="AK917">
        <f>COUNTBLANK(Metadata!B917:AC917)=COLUMNS(Metadata!B917:AC917)</f>
        <v>0</v>
      </c>
      <c r="AL917">
        <v>0</v>
      </c>
      <c r="AN917">
        <f>AND(IF(Metadata!B917="",FALSE,TRUE),COUNTIF(Metadata!B:B, Metadata!B917) = 1,NOT(ISERROR(SUMPRODUCT(SEARCH(MID(Metadata!B917,ROW(INDIRECT("1:"&amp;LEN(Metadata!B917))), 1),"0123456789abcdefghijklmnopqrstuvwxyzABCDEFGHIJKLMNOPQRSTUVWXYZ.")))))</f>
        <v>0</v>
      </c>
      <c r="AO917">
        <f>IF(Metadata!C917="",FALSE,TRUE)</f>
        <v>0</v>
      </c>
      <c r="AP917">
        <f>IF(Metadata!D917="",FALSE,TRUE)</f>
        <v>0</v>
      </c>
      <c r="AQ917">
        <f>OR(AND(IF(Metadata!E917="",FALSE,TRUE),OR(exact(Metadata!E917,"not collected"),exact(Metadata!E917,"not provided"),exact(Metadata!E917,"restricted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R917">
        <f>IF(Metadata!F917="",FALSE,TRUE)</f>
        <v>0</v>
      </c>
      <c r="AS917">
        <f>OR(AND(IF(Metadata!G917="",FALSE,TRUE),OR(exact(Metadata!G917,"not collected"),exact(Metadata!G917,"not provided"))),AND(IF(Metadata!G917="",FALSE,TRUE),OR(exact(Metadata!G917,"TRUE"),exact(Metadata!G917,"FALSE"))))</f>
        <v>0</v>
      </c>
      <c r="AT917">
        <f>OR(AND(IF(Metadata!H917="",FALSE,TRUE),OR(exact(Metadata!H917,"not collected"),exact(Metadata!H917,"not provided"),exact(Metadata!H917,"restricted access"))),AND(IF(Metadata!H917="",FALSE,ISNUMBER(VALUE(Metadata!H917))),Metadata!H917&gt;=-413.0))</f>
        <v>0</v>
      </c>
      <c r="AU917">
        <f>AND(IF(Metadata!I917="",FALSE,TRUE),exact(Metadata!I917,"meters"))</f>
        <v>0</v>
      </c>
      <c r="AV917">
        <f>AND(IF(Metadata!J917="",FALSE,TRUE),OR(exact(Metadata!J917,"Host-associated"),exact(Metadata!J917,"Free-living")))</f>
        <v>0</v>
      </c>
      <c r="AW917">
        <f>AND(IF(Metadata!K917="",FALSE,TRUE),OR(exact(Metadata!K917,"Animal"),exact(Metadata!K917,"Fungus"),exact(Metadata!K917,"Plant"),exact(Metadata!K917,"Saline"),exact(Metadata!K917,"Non-saline")))</f>
        <v>0</v>
      </c>
      <c r="AX917">
        <f>AND(IF(Metadata!L917="",FALSE,TRUE),OR(exact(Metadata!L917,"Plant secretion"),exact(Metadata!L917,"Plant rhizosphere"),exact(Metadata!L917,"Plant surface"),exact(Metadata!L917,"Plant corpus"),exact(Metadata!L917,"Fungus surface"),exact(Metadata!L917,"Fungus corpus"),exact(Metadata!L917,"Animal surface"),exact(Metadata!L917,"Animal proximal gut"),exact(Metadata!L917,"Animal corpus"),exact(Metadata!L917,"Animal distal gut"),exact(Metadata!L917,"Animal secretion"),exact(Metadata!L917,"Sub-surface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Y917">
        <f>IF(Metadata!M917="",FALSE,TRUE)</f>
        <v>0</v>
      </c>
      <c r="AZ917">
        <f>IF(Metadata!N917="",FALSE,TRUE)</f>
        <v>0</v>
      </c>
      <c r="BA917">
        <f>IF(Metadata!O917="",FALSE,TRUE)</f>
        <v>0</v>
      </c>
      <c r="BB917">
        <f>OR(AND(IF(Metadata!P917="",FALSE,TRUE),OR(exact(Metadata!P917,"not collected"),exact(Metadata!P917,"not provided"),exact(Metadata!P917,"restricted access"))),AND(IF(Metadata!P917="",FALSE,TRUE),OR(exact(Metadata!P917,"air"),exact(Metadata!P917,"built environment"),exact(Metadata!P917,"host-associated"),exact(Metadata!P917,"human-associated"),exact(Metadata!P917,"human-skin"),exact(Metadata!P917,"human-oral"),exact(Metadata!P917,"human-gut"),exact(Metadata!P917,"human-vaginal"),exact(Metadata!P917,"microbial mat/biofilm"),exact(Metadata!P917,"misc environment"),exact(Metadata!P917,"plant-associated"),exact(Metadata!P917,"sediment"),exact(Metadata!P917,"soil"),exact(Metadata!P917,"wastewater/sludge"),exact(Metadata!P917,"water"))))</f>
        <v>0</v>
      </c>
      <c r="BC917">
        <f>IF(Metadata!Q917="",FALSE,TRUE)</f>
        <v>0</v>
      </c>
      <c r="BD917">
        <f>IF(Metadata!R917="",FALSE,TRUE)</f>
        <v>0</v>
      </c>
      <c r="BE917">
        <f>OR(AND(IF(Metadata!S917="",FALSE,TRUE),OR(exact(Metadata!S917,"not collected"),exact(Metadata!S917,"not provided"),exact(Metadata!S917,"restricted access"))),AND(IF(Metadata!S917="",FALSE,ISNUMBER(VALUE(Metadata!S917))),Metadata!S917&gt;=-90.00,Metadata!S917&lt;=90.00))</f>
        <v>0</v>
      </c>
      <c r="BF917">
        <f>AND(IF(Metadata!T917="",FALSE,TRUE),exact(Metadata!T917,"Decimal degrees"))</f>
        <v>0</v>
      </c>
      <c r="BG917">
        <f>OR(AND(IF(Metadata!U917="",FALSE,TRUE),OR(exact(Metadata!U917,"not collected"),exact(Metadata!U917,"not provided"),exact(Metadata!U917,"restricted access"))),AND(IF(Metadata!U917="",FALSE,ISNUMBER(VALUE(Metadata!U917))),Metadata!U917&gt;=-180.00,Metadata!U917&lt;=180.00))</f>
        <v>0</v>
      </c>
      <c r="BH917">
        <f>AND(IF(Metadata!V917="",FALSE,TRUE),exact(Metadata!V917,"Decimal degrees"))</f>
        <v>0</v>
      </c>
      <c r="BI917">
        <f>IF(Metadata!W917="",FALSE,TRUE)</f>
        <v>0</v>
      </c>
      <c r="BJ917">
        <f>OR(AND(IF(Metadata!X917="",FALSE,TRUE),OR(exact(Metadata!X917,"not collected"),exact(Metadata!X917,"not provided"),exact(Metadata!X917,"restricted access"))),AND(IF(Metadata!X917="",FALSE,TRUE),OR(exact(Metadata!X917,"TRUE"),exact(Metadata!X917,"FALSE"))))</f>
        <v>0</v>
      </c>
      <c r="BK917">
        <f>AND(IF(Metadata!Y917="",FALSE,TRUE),exact(Metadata!Y917,"other"))</f>
        <v>0</v>
      </c>
      <c r="BL917">
        <f>IF(Metadata!Z917="",FALSE,TRUE)</f>
        <v>0</v>
      </c>
      <c r="BM917">
        <f>OR(AND(IF(Metadata!AA917="",FALSE,TRUE),OR(exact(Metadata!AA917,"not collected"),exact(Metadata!AA917,"not provided"))),AND(IF(Metadata!AA917="",FALSE,IF(ISERROR(INT(Metadata!AA917)),FALSE,INT(Metadata!AA917)=Metadata!AA917)),Metadata!AA917&gt;0))</f>
        <v>0</v>
      </c>
      <c r="BN917">
        <f>AND(IF(Metadata!AB917="",FALSE,TRUE),exact(Metadata!AB917,"Not applicable"))</f>
        <v>0</v>
      </c>
      <c r="BO917">
        <f>IF(Metadata!AC917="",FALSE,TRUE)</f>
        <v>0</v>
      </c>
    </row>
    <row r="918" spans="1:67">
      <c r="A918" s="5">
        <f>IF(B918=" "," ",HYPERLINK(CONCATENATE("#metadata!",ADDRESS(INDEX($AI$2:$AI$1001,MATCH(ROWS($AG$2:AG918),$AG$2:$AG$1001,0),0),1)),INDEX($AL$2:$AL$1001,MATCH(ROWS($AG$2:AG918),$AG$2:$AG$1001,0),0)))</f>
        <v>0</v>
      </c>
      <c r="B918" s="4">
        <f>IF(OR(INDEX($AH$2:$AH$1001,MATCH(ROWS($AG$2:AG918),$AG$2:$AG$1001,0),1)&gt;=100000,INDEX($AN$1005:$BO$1005,1,MATCH(COLUMNS($AN$1006:AN1006),$AN$1006:$BO$1006,0))&gt;=100000), " ",IF(INDEX($AN$2:$BO$1001,MATCH(ROWS($AG$2:AG918),$AG$2:$AG$1001,0),MATCH(COLUMNS($AN$1006:AN1006),$AN$1006:$BO$1006,0)), HYPERLINK("#",""), HYPERLINK(CONCATENATE("#Metadata!", ADDRESS(INDEX($AI$2:$AI$1001,MATCH(ROWS($AG$2:AG918),$AG$2:$AG$1001,0),0), INDEX($AN$1004:$BO$1004,1,MATCH(COLUMNS($AN$1006:AN1006),$AN$1006:$BO$1006,0)))),"Fix")))</f>
        <v>0</v>
      </c>
      <c r="C918" s="4">
        <f>IF(OR(INDEX($AH$2:$AH$1001,MATCH(ROWS($AG$2:AG918),$AG$2:$AG$1001,0),1)&gt;=100000,INDEX($AN$1005:$BO$1005,1,MATCH(COLUMNS($AN$1006:AO1006),$AN$1006:$BO$1006,0))&gt;=100000), " ",IF(INDEX($AN$2:$BO$1001,MATCH(ROWS($AG$2:AG918),$AG$2:$AG$1001,0),MATCH(COLUMNS($AN$1006:AO1006),$AN$1006:$BO$1006,0)), HYPERLINK("#",""), HYPERLINK(CONCATENATE("#Metadata!", ADDRESS(INDEX($AI$2:$AI$1001,MATCH(ROWS($AG$2:AG918),$AG$2:$AG$1001,0),0), INDEX($AN$1004:$BO$1004,1,MATCH(COLUMNS($AN$1006:AO1006),$AN$1006:$BO$1006,0)))),"Fix")))</f>
        <v>0</v>
      </c>
      <c r="D918" s="4">
        <f>IF(OR(INDEX($AH$2:$AH$1001,MATCH(ROWS($AG$2:AG918),$AG$2:$AG$1001,0),1)&gt;=100000,INDEX($AN$1005:$BO$1005,1,MATCH(COLUMNS($AN$1006:AP1006),$AN$1006:$BO$1006,0))&gt;=100000), " ",IF(INDEX($AN$2:$BO$1001,MATCH(ROWS($AG$2:AG918),$AG$2:$AG$1001,0),MATCH(COLUMNS($AN$1006:AP1006),$AN$1006:$BO$1006,0)), HYPERLINK("#",""), HYPERLINK(CONCATENATE("#Metadata!", ADDRESS(INDEX($AI$2:$AI$1001,MATCH(ROWS($AG$2:AG918),$AG$2:$AG$1001,0),0), INDEX($AN$1004:$BO$1004,1,MATCH(COLUMNS($AN$1006:AP1006),$AN$1006:$BO$1006,0)))),"Fix")))</f>
        <v>0</v>
      </c>
      <c r="E918" s="4">
        <f>IF(OR(INDEX($AH$2:$AH$1001,MATCH(ROWS($AG$2:AG918),$AG$2:$AG$1001,0),1)&gt;=100000,INDEX($AN$1005:$BO$1005,1,MATCH(COLUMNS($AN$1006:AQ1006),$AN$1006:$BO$1006,0))&gt;=100000), " ",IF(INDEX($AN$2:$BO$1001,MATCH(ROWS($AG$2:AG918),$AG$2:$AG$1001,0),MATCH(COLUMNS($AN$1006:AQ1006),$AN$1006:$BO$1006,0)), HYPERLINK("#",""), HYPERLINK(CONCATENATE("#Metadata!", ADDRESS(INDEX($AI$2:$AI$1001,MATCH(ROWS($AG$2:AG918),$AG$2:$AG$1001,0),0), INDEX($AN$1004:$BO$1004,1,MATCH(COLUMNS($AN$1006:AQ1006),$AN$1006:$BO$1006,0)))),"Fix")))</f>
        <v>0</v>
      </c>
      <c r="F918" s="4">
        <f>IF(OR(INDEX($AH$2:$AH$1001,MATCH(ROWS($AG$2:AG918),$AG$2:$AG$1001,0),1)&gt;=100000,INDEX($AN$1005:$BO$1005,1,MATCH(COLUMNS($AN$1006:AR1006),$AN$1006:$BO$1006,0))&gt;=100000), " ",IF(INDEX($AN$2:$BO$1001,MATCH(ROWS($AG$2:AG918),$AG$2:$AG$1001,0),MATCH(COLUMNS($AN$1006:AR1006),$AN$1006:$BO$1006,0)), HYPERLINK("#",""), HYPERLINK(CONCATENATE("#Metadata!", ADDRESS(INDEX($AI$2:$AI$1001,MATCH(ROWS($AG$2:AG918),$AG$2:$AG$1001,0),0), INDEX($AN$1004:$BO$1004,1,MATCH(COLUMNS($AN$1006:AR1006),$AN$1006:$BO$1006,0)))),"Fix")))</f>
        <v>0</v>
      </c>
      <c r="G918" s="4">
        <f>IF(OR(INDEX($AH$2:$AH$1001,MATCH(ROWS($AG$2:AG918),$AG$2:$AG$1001,0),1)&gt;=100000,INDEX($AN$1005:$BO$1005,1,MATCH(COLUMNS($AN$1006:AS1006),$AN$1006:$BO$1006,0))&gt;=100000), " ",IF(INDEX($AN$2:$BO$1001,MATCH(ROWS($AG$2:AG918),$AG$2:$AG$1001,0),MATCH(COLUMNS($AN$1006:AS1006),$AN$1006:$BO$1006,0)), HYPERLINK("#",""), HYPERLINK(CONCATENATE("#Metadata!", ADDRESS(INDEX($AI$2:$AI$1001,MATCH(ROWS($AG$2:AG918),$AG$2:$AG$1001,0),0), INDEX($AN$1004:$BO$1004,1,MATCH(COLUMNS($AN$1006:AS1006),$AN$1006:$BO$1006,0)))),"Fix")))</f>
        <v>0</v>
      </c>
      <c r="H918" s="4">
        <f>IF(OR(INDEX($AH$2:$AH$1001,MATCH(ROWS($AG$2:AG918),$AG$2:$AG$1001,0),1)&gt;=100000,INDEX($AN$1005:$BO$1005,1,MATCH(COLUMNS($AN$1006:AT1006),$AN$1006:$BO$1006,0))&gt;=100000), " ",IF(INDEX($AN$2:$BO$1001,MATCH(ROWS($AG$2:AG918),$AG$2:$AG$1001,0),MATCH(COLUMNS($AN$1006:AT1006),$AN$1006:$BO$1006,0)), HYPERLINK("#",""), HYPERLINK(CONCATENATE("#Metadata!", ADDRESS(INDEX($AI$2:$AI$1001,MATCH(ROWS($AG$2:AG918),$AG$2:$AG$1001,0),0), INDEX($AN$1004:$BO$1004,1,MATCH(COLUMNS($AN$1006:AT1006),$AN$1006:$BO$1006,0)))),"Fix")))</f>
        <v>0</v>
      </c>
      <c r="I918" s="4">
        <f>IF(OR(INDEX($AH$2:$AH$1001,MATCH(ROWS($AG$2:AG918),$AG$2:$AG$1001,0),1)&gt;=100000,INDEX($AN$1005:$BO$1005,1,MATCH(COLUMNS($AN$1006:AU1006),$AN$1006:$BO$1006,0))&gt;=100000), " ",IF(INDEX($AN$2:$BO$1001,MATCH(ROWS($AG$2:AG918),$AG$2:$AG$1001,0),MATCH(COLUMNS($AN$1006:AU1006),$AN$1006:$BO$1006,0)), HYPERLINK("#",""), HYPERLINK(CONCATENATE("#Metadata!", ADDRESS(INDEX($AI$2:$AI$1001,MATCH(ROWS($AG$2:AG918),$AG$2:$AG$1001,0),0), INDEX($AN$1004:$BO$1004,1,MATCH(COLUMNS($AN$1006:AU1006),$AN$1006:$BO$1006,0)))),"Fix")))</f>
        <v>0</v>
      </c>
      <c r="J918" s="4">
        <f>IF(OR(INDEX($AH$2:$AH$1001,MATCH(ROWS($AG$2:AG918),$AG$2:$AG$1001,0),1)&gt;=100000,INDEX($AN$1005:$BO$1005,1,MATCH(COLUMNS($AN$1006:AV1006),$AN$1006:$BO$1006,0))&gt;=100000), " ",IF(INDEX($AN$2:$BO$1001,MATCH(ROWS($AG$2:AG918),$AG$2:$AG$1001,0),MATCH(COLUMNS($AN$1006:AV1006),$AN$1006:$BO$1006,0)), HYPERLINK("#",""), HYPERLINK(CONCATENATE("#Metadata!", ADDRESS(INDEX($AI$2:$AI$1001,MATCH(ROWS($AG$2:AG918),$AG$2:$AG$1001,0),0), INDEX($AN$1004:$BO$1004,1,MATCH(COLUMNS($AN$1006:AV1006),$AN$1006:$BO$1006,0)))),"Fix")))</f>
        <v>0</v>
      </c>
      <c r="K918" s="4">
        <f>IF(OR(INDEX($AH$2:$AH$1001,MATCH(ROWS($AG$2:AG918),$AG$2:$AG$1001,0),1)&gt;=100000,INDEX($AN$1005:$BO$1005,1,MATCH(COLUMNS($AN$1006:AW1006),$AN$1006:$BO$1006,0))&gt;=100000), " ",IF(INDEX($AN$2:$BO$1001,MATCH(ROWS($AG$2:AG918),$AG$2:$AG$1001,0),MATCH(COLUMNS($AN$1006:AW1006),$AN$1006:$BO$1006,0)), HYPERLINK("#",""), HYPERLINK(CONCATENATE("#Metadata!", ADDRESS(INDEX($AI$2:$AI$1001,MATCH(ROWS($AG$2:AG918),$AG$2:$AG$1001,0),0), INDEX($AN$1004:$BO$1004,1,MATCH(COLUMNS($AN$1006:AW1006),$AN$1006:$BO$1006,0)))),"Fix")))</f>
        <v>0</v>
      </c>
      <c r="L918" s="4">
        <f>IF(OR(INDEX($AH$2:$AH$1001,MATCH(ROWS($AG$2:AG918),$AG$2:$AG$1001,0),1)&gt;=100000,INDEX($AN$1005:$BO$1005,1,MATCH(COLUMNS($AN$1006:AX1006),$AN$1006:$BO$1006,0))&gt;=100000), " ",IF(INDEX($AN$2:$BO$1001,MATCH(ROWS($AG$2:AG918),$AG$2:$AG$1001,0),MATCH(COLUMNS($AN$1006:AX1006),$AN$1006:$BO$1006,0)), HYPERLINK("#",""), HYPERLINK(CONCATENATE("#Metadata!", ADDRESS(INDEX($AI$2:$AI$1001,MATCH(ROWS($AG$2:AG918),$AG$2:$AG$1001,0),0), INDEX($AN$1004:$BO$1004,1,MATCH(COLUMNS($AN$1006:AX1006),$AN$1006:$BO$1006,0)))),"Fix")))</f>
        <v>0</v>
      </c>
      <c r="M918" s="4">
        <f>IF(OR(INDEX($AH$2:$AH$1001,MATCH(ROWS($AG$2:AG918),$AG$2:$AG$1001,0),1)&gt;=100000,INDEX($AN$1005:$BO$1005,1,MATCH(COLUMNS($AN$1006:AY1006),$AN$1006:$BO$1006,0))&gt;=100000), " ",IF(INDEX($AN$2:$BO$1001,MATCH(ROWS($AG$2:AG918),$AG$2:$AG$1001,0),MATCH(COLUMNS($AN$1006:AY1006),$AN$1006:$BO$1006,0)), HYPERLINK("#",""), HYPERLINK(CONCATENATE("#Metadata!", ADDRESS(INDEX($AI$2:$AI$1001,MATCH(ROWS($AG$2:AG918),$AG$2:$AG$1001,0),0), INDEX($AN$1004:$BO$1004,1,MATCH(COLUMNS($AN$1006:AY1006),$AN$1006:$BO$1006,0)))),"Fix")))</f>
        <v>0</v>
      </c>
      <c r="N918" s="4">
        <f>IF(OR(INDEX($AH$2:$AH$1001,MATCH(ROWS($AG$2:AG918),$AG$2:$AG$1001,0),1)&gt;=100000,INDEX($AN$1005:$BO$1005,1,MATCH(COLUMNS($AN$1006:AZ1006),$AN$1006:$BO$1006,0))&gt;=100000), " ",IF(INDEX($AN$2:$BO$1001,MATCH(ROWS($AG$2:AG918),$AG$2:$AG$1001,0),MATCH(COLUMNS($AN$1006:AZ1006),$AN$1006:$BO$1006,0)), HYPERLINK("#",""), HYPERLINK(CONCATENATE("#Metadata!", ADDRESS(INDEX($AI$2:$AI$1001,MATCH(ROWS($AG$2:AG918),$AG$2:$AG$1001,0),0), INDEX($AN$1004:$BO$1004,1,MATCH(COLUMNS($AN$1006:AZ1006),$AN$1006:$BO$1006,0)))),"Fix")))</f>
        <v>0</v>
      </c>
      <c r="O918" s="4">
        <f>IF(OR(INDEX($AH$2:$AH$1001,MATCH(ROWS($AG$2:AG918),$AG$2:$AG$1001,0),1)&gt;=100000,INDEX($AN$1005:$BO$1005,1,MATCH(COLUMNS($AN$1006:BA1006),$AN$1006:$BO$1006,0))&gt;=100000), " ",IF(INDEX($AN$2:$BO$1001,MATCH(ROWS($AG$2:AG918),$AG$2:$AG$1001,0),MATCH(COLUMNS($AN$1006:BA1006),$AN$1006:$BO$1006,0)), HYPERLINK("#",""), HYPERLINK(CONCATENATE("#Metadata!", ADDRESS(INDEX($AI$2:$AI$1001,MATCH(ROWS($AG$2:AG918),$AG$2:$AG$1001,0),0), INDEX($AN$1004:$BO$1004,1,MATCH(COLUMNS($AN$1006:BA1006),$AN$1006:$BO$1006,0)))),"Fix")))</f>
        <v>0</v>
      </c>
      <c r="P918" s="4">
        <f>IF(OR(INDEX($AH$2:$AH$1001,MATCH(ROWS($AG$2:AG918),$AG$2:$AG$1001,0),1)&gt;=100000,INDEX($AN$1005:$BO$1005,1,MATCH(COLUMNS($AN$1006:BB1006),$AN$1006:$BO$1006,0))&gt;=100000), " ",IF(INDEX($AN$2:$BO$1001,MATCH(ROWS($AG$2:AG918),$AG$2:$AG$1001,0),MATCH(COLUMNS($AN$1006:BB1006),$AN$1006:$BO$1006,0)), HYPERLINK("#",""), HYPERLINK(CONCATENATE("#Metadata!", ADDRESS(INDEX($AI$2:$AI$1001,MATCH(ROWS($AG$2:AG918),$AG$2:$AG$1001,0),0), INDEX($AN$1004:$BO$1004,1,MATCH(COLUMNS($AN$1006:BB1006),$AN$1006:$BO$1006,0)))),"Fix")))</f>
        <v>0</v>
      </c>
      <c r="Q918" s="4">
        <f>IF(OR(INDEX($AH$2:$AH$1001,MATCH(ROWS($AG$2:AG918),$AG$2:$AG$1001,0),1)&gt;=100000,INDEX($AN$1005:$BO$1005,1,MATCH(COLUMNS($AN$1006:BC1006),$AN$1006:$BO$1006,0))&gt;=100000), " ",IF(INDEX($AN$2:$BO$1001,MATCH(ROWS($AG$2:AG918),$AG$2:$AG$1001,0),MATCH(COLUMNS($AN$1006:BC1006),$AN$1006:$BO$1006,0)), HYPERLINK("#",""), HYPERLINK(CONCATENATE("#Metadata!", ADDRESS(INDEX($AI$2:$AI$1001,MATCH(ROWS($AG$2:AG918),$AG$2:$AG$1001,0),0), INDEX($AN$1004:$BO$1004,1,MATCH(COLUMNS($AN$1006:BC1006),$AN$1006:$BO$1006,0)))),"Fix")))</f>
        <v>0</v>
      </c>
      <c r="R918" s="4">
        <f>IF(OR(INDEX($AH$2:$AH$1001,MATCH(ROWS($AG$2:AG918),$AG$2:$AG$1001,0),1)&gt;=100000,INDEX($AN$1005:$BO$1005,1,MATCH(COLUMNS($AN$1006:BD1006),$AN$1006:$BO$1006,0))&gt;=100000), " ",IF(INDEX($AN$2:$BO$1001,MATCH(ROWS($AG$2:AG918),$AG$2:$AG$1001,0),MATCH(COLUMNS($AN$1006:BD1006),$AN$1006:$BO$1006,0)), HYPERLINK("#",""), HYPERLINK(CONCATENATE("#Metadata!", ADDRESS(INDEX($AI$2:$AI$1001,MATCH(ROWS($AG$2:AG918),$AG$2:$AG$1001,0),0), INDEX($AN$1004:$BO$1004,1,MATCH(COLUMNS($AN$1006:BD1006),$AN$1006:$BO$1006,0)))),"Fix")))</f>
        <v>0</v>
      </c>
      <c r="S918" s="4">
        <f>IF(OR(INDEX($AH$2:$AH$1001,MATCH(ROWS($AG$2:AG918),$AG$2:$AG$1001,0),1)&gt;=100000,INDEX($AN$1005:$BO$1005,1,MATCH(COLUMNS($AN$1006:BE1006),$AN$1006:$BO$1006,0))&gt;=100000), " ",IF(INDEX($AN$2:$BO$1001,MATCH(ROWS($AG$2:AG918),$AG$2:$AG$1001,0),MATCH(COLUMNS($AN$1006:BE1006),$AN$1006:$BO$1006,0)), HYPERLINK("#",""), HYPERLINK(CONCATENATE("#Metadata!", ADDRESS(INDEX($AI$2:$AI$1001,MATCH(ROWS($AG$2:AG918),$AG$2:$AG$1001,0),0), INDEX($AN$1004:$BO$1004,1,MATCH(COLUMNS($AN$1006:BE1006),$AN$1006:$BO$1006,0)))),"Fix")))</f>
        <v>0</v>
      </c>
      <c r="T918" s="4">
        <f>IF(OR(INDEX($AH$2:$AH$1001,MATCH(ROWS($AG$2:AG918),$AG$2:$AG$1001,0),1)&gt;=100000,INDEX($AN$1005:$BO$1005,1,MATCH(COLUMNS($AN$1006:BF1006),$AN$1006:$BO$1006,0))&gt;=100000), " ",IF(INDEX($AN$2:$BO$1001,MATCH(ROWS($AG$2:AG918),$AG$2:$AG$1001,0),MATCH(COLUMNS($AN$1006:BF1006),$AN$1006:$BO$1006,0)), HYPERLINK("#",""), HYPERLINK(CONCATENATE("#Metadata!", ADDRESS(INDEX($AI$2:$AI$1001,MATCH(ROWS($AG$2:AG918),$AG$2:$AG$1001,0),0), INDEX($AN$1004:$BO$1004,1,MATCH(COLUMNS($AN$1006:BF1006),$AN$1006:$BO$1006,0)))),"Fix")))</f>
        <v>0</v>
      </c>
      <c r="U918" s="4">
        <f>IF(OR(INDEX($AH$2:$AH$1001,MATCH(ROWS($AG$2:AG918),$AG$2:$AG$1001,0),1)&gt;=100000,INDEX($AN$1005:$BO$1005,1,MATCH(COLUMNS($AN$1006:BG1006),$AN$1006:$BO$1006,0))&gt;=100000), " ",IF(INDEX($AN$2:$BO$1001,MATCH(ROWS($AG$2:AG918),$AG$2:$AG$1001,0),MATCH(COLUMNS($AN$1006:BG1006),$AN$1006:$BO$1006,0)), HYPERLINK("#",""), HYPERLINK(CONCATENATE("#Metadata!", ADDRESS(INDEX($AI$2:$AI$1001,MATCH(ROWS($AG$2:AG918),$AG$2:$AG$1001,0),0), INDEX($AN$1004:$BO$1004,1,MATCH(COLUMNS($AN$1006:BG1006),$AN$1006:$BO$1006,0)))),"Fix")))</f>
        <v>0</v>
      </c>
      <c r="V918" s="4">
        <f>IF(OR(INDEX($AH$2:$AH$1001,MATCH(ROWS($AG$2:AG918),$AG$2:$AG$1001,0),1)&gt;=100000,INDEX($AN$1005:$BO$1005,1,MATCH(COLUMNS($AN$1006:BH1006),$AN$1006:$BO$1006,0))&gt;=100000), " ",IF(INDEX($AN$2:$BO$1001,MATCH(ROWS($AG$2:AG918),$AG$2:$AG$1001,0),MATCH(COLUMNS($AN$1006:BH1006),$AN$1006:$BO$1006,0)), HYPERLINK("#",""), HYPERLINK(CONCATENATE("#Metadata!", ADDRESS(INDEX($AI$2:$AI$1001,MATCH(ROWS($AG$2:AG918),$AG$2:$AG$1001,0),0), INDEX($AN$1004:$BO$1004,1,MATCH(COLUMNS($AN$1006:BH1006),$AN$1006:$BO$1006,0)))),"Fix")))</f>
        <v>0</v>
      </c>
      <c r="W918" s="4">
        <f>IF(OR(INDEX($AH$2:$AH$1001,MATCH(ROWS($AG$2:AG918),$AG$2:$AG$1001,0),1)&gt;=100000,INDEX($AN$1005:$BO$1005,1,MATCH(COLUMNS($AN$1006:BI1006),$AN$1006:$BO$1006,0))&gt;=100000), " ",IF(INDEX($AN$2:$BO$1001,MATCH(ROWS($AG$2:AG918),$AG$2:$AG$1001,0),MATCH(COLUMNS($AN$1006:BI1006),$AN$1006:$BO$1006,0)), HYPERLINK("#",""), HYPERLINK(CONCATENATE("#Metadata!", ADDRESS(INDEX($AI$2:$AI$1001,MATCH(ROWS($AG$2:AG918),$AG$2:$AG$1001,0),0), INDEX($AN$1004:$BO$1004,1,MATCH(COLUMNS($AN$1006:BI1006),$AN$1006:$BO$1006,0)))),"Fix")))</f>
        <v>0</v>
      </c>
      <c r="X918" s="4">
        <f>IF(OR(INDEX($AH$2:$AH$1001,MATCH(ROWS($AG$2:AG918),$AG$2:$AG$1001,0),1)&gt;=100000,INDEX($AN$1005:$BO$1005,1,MATCH(COLUMNS($AN$1006:BJ1006),$AN$1006:$BO$1006,0))&gt;=100000), " ",IF(INDEX($AN$2:$BO$1001,MATCH(ROWS($AG$2:AG918),$AG$2:$AG$1001,0),MATCH(COLUMNS($AN$1006:BJ1006),$AN$1006:$BO$1006,0)), HYPERLINK("#",""), HYPERLINK(CONCATENATE("#Metadata!", ADDRESS(INDEX($AI$2:$AI$1001,MATCH(ROWS($AG$2:AG918),$AG$2:$AG$1001,0),0), INDEX($AN$1004:$BO$1004,1,MATCH(COLUMNS($AN$1006:BJ1006),$AN$1006:$BO$1006,0)))),"Fix")))</f>
        <v>0</v>
      </c>
      <c r="Y918" s="4">
        <f>IF(OR(INDEX($AH$2:$AH$1001,MATCH(ROWS($AG$2:AG918),$AG$2:$AG$1001,0),1)&gt;=100000,INDEX($AN$1005:$BO$1005,1,MATCH(COLUMNS($AN$1006:BK1006),$AN$1006:$BO$1006,0))&gt;=100000), " ",IF(INDEX($AN$2:$BO$1001,MATCH(ROWS($AG$2:AG918),$AG$2:$AG$1001,0),MATCH(COLUMNS($AN$1006:BK1006),$AN$1006:$BO$1006,0)), HYPERLINK("#",""), HYPERLINK(CONCATENATE("#Metadata!", ADDRESS(INDEX($AI$2:$AI$1001,MATCH(ROWS($AG$2:AG918),$AG$2:$AG$1001,0),0), INDEX($AN$1004:$BO$1004,1,MATCH(COLUMNS($AN$1006:BK1006),$AN$1006:$BO$1006,0)))),"Fix")))</f>
        <v>0</v>
      </c>
      <c r="Z918" s="4">
        <f>IF(OR(INDEX($AH$2:$AH$1001,MATCH(ROWS($AG$2:AG918),$AG$2:$AG$1001,0),1)&gt;=100000,INDEX($AN$1005:$BO$1005,1,MATCH(COLUMNS($AN$1006:BL1006),$AN$1006:$BO$1006,0))&gt;=100000), " ",IF(INDEX($AN$2:$BO$1001,MATCH(ROWS($AG$2:AG918),$AG$2:$AG$1001,0),MATCH(COLUMNS($AN$1006:BL1006),$AN$1006:$BO$1006,0)), HYPERLINK("#",""), HYPERLINK(CONCATENATE("#Metadata!", ADDRESS(INDEX($AI$2:$AI$1001,MATCH(ROWS($AG$2:AG918),$AG$2:$AG$1001,0),0), INDEX($AN$1004:$BO$1004,1,MATCH(COLUMNS($AN$1006:BL1006),$AN$1006:$BO$1006,0)))),"Fix")))</f>
        <v>0</v>
      </c>
      <c r="AA918" s="4">
        <f>IF(OR(INDEX($AH$2:$AH$1001,MATCH(ROWS($AG$2:AG918),$AG$2:$AG$1001,0),1)&gt;=100000,INDEX($AN$1005:$BO$1005,1,MATCH(COLUMNS($AN$1006:BM1006),$AN$1006:$BO$1006,0))&gt;=100000), " ",IF(INDEX($AN$2:$BO$1001,MATCH(ROWS($AG$2:AG918),$AG$2:$AG$1001,0),MATCH(COLUMNS($AN$1006:BM1006),$AN$1006:$BO$1006,0)), HYPERLINK("#",""), HYPERLINK(CONCATENATE("#Metadata!", ADDRESS(INDEX($AI$2:$AI$1001,MATCH(ROWS($AG$2:AG918),$AG$2:$AG$1001,0),0), INDEX($AN$1004:$BO$1004,1,MATCH(COLUMNS($AN$1006:BM1006),$AN$1006:$BO$1006,0)))),"Fix")))</f>
        <v>0</v>
      </c>
      <c r="AB918" s="4">
        <f>IF(OR(INDEX($AH$2:$AH$1001,MATCH(ROWS($AG$2:AG918),$AG$2:$AG$1001,0),1)&gt;=100000,INDEX($AN$1005:$BO$1005,1,MATCH(COLUMNS($AN$1006:BN1006),$AN$1006:$BO$1006,0))&gt;=100000), " ",IF(INDEX($AN$2:$BO$1001,MATCH(ROWS($AG$2:AG918),$AG$2:$AG$1001,0),MATCH(COLUMNS($AN$1006:BN1006),$AN$1006:$BO$1006,0)), HYPERLINK("#",""), HYPERLINK(CONCATENATE("#Metadata!", ADDRESS(INDEX($AI$2:$AI$1001,MATCH(ROWS($AG$2:AG918),$AG$2:$AG$1001,0),0), INDEX($AN$1004:$BO$1004,1,MATCH(COLUMNS($AN$1006:BN1006),$AN$1006:$BO$1006,0)))),"Fix")))</f>
        <v>0</v>
      </c>
      <c r="AC918" s="4">
        <f>IF(OR(INDEX($AH$2:$AH$1001,MATCH(ROWS($AG$2:AG918),$AG$2:$AG$1001,0),1)&gt;=100000,INDEX($AN$1005:$BO$1005,1,MATCH(COLUMNS($AN$1006:BO1006),$AN$1006:$BO$1006,0))&gt;=100000), " ",IF(INDEX($AN$2:$BO$1001,MATCH(ROWS($AG$2:AG918),$AG$2:$AG$1001,0),MATCH(COLUMNS($AN$1006:BO1006),$AN$1006:$BO$1006,0)), HYPERLINK("#",""), HYPERLINK(CONCATENATE("#Metadata!", ADDRESS(INDEX($AI$2:$AI$1001,MATCH(ROWS($AG$2:AG918),$AG$2:$AG$1001,0),0), INDEX($AN$1004:$BO$1004,1,MATCH(COLUMNS($AN$1006:BO1006),$AN$1006:$BO$1006,0)))),"Fix")))</f>
        <v>0</v>
      </c>
      <c r="AG918">
        <v>0</v>
      </c>
      <c r="AH918">
        <v>0</v>
      </c>
      <c r="AI918">
        <v>0</v>
      </c>
      <c r="AJ918">
        <f>IF(AK918,TRUE,AND(AN918:BO918))</f>
        <v>0</v>
      </c>
      <c r="AK918">
        <f>COUNTBLANK(Metadata!B918:AC918)=COLUMNS(Metadata!B918:AC918)</f>
        <v>0</v>
      </c>
      <c r="AL918">
        <v>0</v>
      </c>
      <c r="AN918">
        <f>AND(IF(Metadata!B918="",FALSE,TRUE),COUNTIF(Metadata!B:B, Metadata!B918) = 1,NOT(ISERROR(SUMPRODUCT(SEARCH(MID(Metadata!B918,ROW(INDIRECT("1:"&amp;LEN(Metadata!B918))), 1),"0123456789abcdefghijklmnopqrstuvwxyzABCDEFGHIJKLMNOPQRSTUVWXYZ.")))))</f>
        <v>0</v>
      </c>
      <c r="AO918">
        <f>IF(Metadata!C918="",FALSE,TRUE)</f>
        <v>0</v>
      </c>
      <c r="AP918">
        <f>IF(Metadata!D918="",FALSE,TRUE)</f>
        <v>0</v>
      </c>
      <c r="AQ918">
        <f>OR(AND(IF(Metadata!E918="",FALSE,TRUE),OR(exact(Metadata!E918,"not collected"),exact(Metadata!E918,"not provided"),exact(Metadata!E918,"restricted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R918">
        <f>IF(Metadata!F918="",FALSE,TRUE)</f>
        <v>0</v>
      </c>
      <c r="AS918">
        <f>OR(AND(IF(Metadata!G918="",FALSE,TRUE),OR(exact(Metadata!G918,"not collected"),exact(Metadata!G918,"not provided"))),AND(IF(Metadata!G918="",FALSE,TRUE),OR(exact(Metadata!G918,"TRUE"),exact(Metadata!G918,"FALSE"))))</f>
        <v>0</v>
      </c>
      <c r="AT918">
        <f>OR(AND(IF(Metadata!H918="",FALSE,TRUE),OR(exact(Metadata!H918,"not collected"),exact(Metadata!H918,"not provided"),exact(Metadata!H918,"restricted access"))),AND(IF(Metadata!H918="",FALSE,ISNUMBER(VALUE(Metadata!H918))),Metadata!H918&gt;=-413.0))</f>
        <v>0</v>
      </c>
      <c r="AU918">
        <f>AND(IF(Metadata!I918="",FALSE,TRUE),exact(Metadata!I918,"meters"))</f>
        <v>0</v>
      </c>
      <c r="AV918">
        <f>AND(IF(Metadata!J918="",FALSE,TRUE),OR(exact(Metadata!J918,"Host-associated"),exact(Metadata!J918,"Free-living")))</f>
        <v>0</v>
      </c>
      <c r="AW918">
        <f>AND(IF(Metadata!K918="",FALSE,TRUE),OR(exact(Metadata!K918,"Animal"),exact(Metadata!K918,"Fungus"),exact(Metadata!K918,"Plant"),exact(Metadata!K918,"Saline"),exact(Metadata!K918,"Non-saline")))</f>
        <v>0</v>
      </c>
      <c r="AX918">
        <f>AND(IF(Metadata!L918="",FALSE,TRUE),OR(exact(Metadata!L918,"Plant secretion"),exact(Metadata!L918,"Plant rhizosphere"),exact(Metadata!L918,"Plant surface"),exact(Metadata!L918,"Plant corpus"),exact(Metadata!L918,"Fungus surface"),exact(Metadata!L918,"Fungus corpus"),exact(Metadata!L918,"Animal surface"),exact(Metadata!L918,"Animal proximal gut"),exact(Metadata!L918,"Animal corpus"),exact(Metadata!L918,"Animal distal gut"),exact(Metadata!L918,"Animal secretion"),exact(Metadata!L918,"Sub-surface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Y918">
        <f>IF(Metadata!M918="",FALSE,TRUE)</f>
        <v>0</v>
      </c>
      <c r="AZ918">
        <f>IF(Metadata!N918="",FALSE,TRUE)</f>
        <v>0</v>
      </c>
      <c r="BA918">
        <f>IF(Metadata!O918="",FALSE,TRUE)</f>
        <v>0</v>
      </c>
      <c r="BB918">
        <f>OR(AND(IF(Metadata!P918="",FALSE,TRUE),OR(exact(Metadata!P918,"not collected"),exact(Metadata!P918,"not provided"),exact(Metadata!P918,"restricted access"))),AND(IF(Metadata!P918="",FALSE,TRUE),OR(exact(Metadata!P918,"air"),exact(Metadata!P918,"built environment"),exact(Metadata!P918,"host-associated"),exact(Metadata!P918,"human-associated"),exact(Metadata!P918,"human-skin"),exact(Metadata!P918,"human-oral"),exact(Metadata!P918,"human-gut"),exact(Metadata!P918,"human-vaginal"),exact(Metadata!P918,"microbial mat/biofilm"),exact(Metadata!P918,"misc environment"),exact(Metadata!P918,"plant-associated"),exact(Metadata!P918,"sediment"),exact(Metadata!P918,"soil"),exact(Metadata!P918,"wastewater/sludge"),exact(Metadata!P918,"water"))))</f>
        <v>0</v>
      </c>
      <c r="BC918">
        <f>IF(Metadata!Q918="",FALSE,TRUE)</f>
        <v>0</v>
      </c>
      <c r="BD918">
        <f>IF(Metadata!R918="",FALSE,TRUE)</f>
        <v>0</v>
      </c>
      <c r="BE918">
        <f>OR(AND(IF(Metadata!S918="",FALSE,TRUE),OR(exact(Metadata!S918,"not collected"),exact(Metadata!S918,"not provided"),exact(Metadata!S918,"restricted access"))),AND(IF(Metadata!S918="",FALSE,ISNUMBER(VALUE(Metadata!S918))),Metadata!S918&gt;=-90.00,Metadata!S918&lt;=90.00))</f>
        <v>0</v>
      </c>
      <c r="BF918">
        <f>AND(IF(Metadata!T918="",FALSE,TRUE),exact(Metadata!T918,"Decimal degrees"))</f>
        <v>0</v>
      </c>
      <c r="BG918">
        <f>OR(AND(IF(Metadata!U918="",FALSE,TRUE),OR(exact(Metadata!U918,"not collected"),exact(Metadata!U918,"not provided"),exact(Metadata!U918,"restricted access"))),AND(IF(Metadata!U918="",FALSE,ISNUMBER(VALUE(Metadata!U918))),Metadata!U918&gt;=-180.00,Metadata!U918&lt;=180.00))</f>
        <v>0</v>
      </c>
      <c r="BH918">
        <f>AND(IF(Metadata!V918="",FALSE,TRUE),exact(Metadata!V918,"Decimal degrees"))</f>
        <v>0</v>
      </c>
      <c r="BI918">
        <f>IF(Metadata!W918="",FALSE,TRUE)</f>
        <v>0</v>
      </c>
      <c r="BJ918">
        <f>OR(AND(IF(Metadata!X918="",FALSE,TRUE),OR(exact(Metadata!X918,"not collected"),exact(Metadata!X918,"not provided"),exact(Metadata!X918,"restricted access"))),AND(IF(Metadata!X918="",FALSE,TRUE),OR(exact(Metadata!X918,"TRUE"),exact(Metadata!X918,"FALSE"))))</f>
        <v>0</v>
      </c>
      <c r="BK918">
        <f>AND(IF(Metadata!Y918="",FALSE,TRUE),exact(Metadata!Y918,"other"))</f>
        <v>0</v>
      </c>
      <c r="BL918">
        <f>IF(Metadata!Z918="",FALSE,TRUE)</f>
        <v>0</v>
      </c>
      <c r="BM918">
        <f>OR(AND(IF(Metadata!AA918="",FALSE,TRUE),OR(exact(Metadata!AA918,"not collected"),exact(Metadata!AA918,"not provided"))),AND(IF(Metadata!AA918="",FALSE,IF(ISERROR(INT(Metadata!AA918)),FALSE,INT(Metadata!AA918)=Metadata!AA918)),Metadata!AA918&gt;0))</f>
        <v>0</v>
      </c>
      <c r="BN918">
        <f>AND(IF(Metadata!AB918="",FALSE,TRUE),exact(Metadata!AB918,"Not applicable"))</f>
        <v>0</v>
      </c>
      <c r="BO918">
        <f>IF(Metadata!AC918="",FALSE,TRUE)</f>
        <v>0</v>
      </c>
    </row>
    <row r="919" spans="1:67">
      <c r="A919" s="5">
        <f>IF(B919=" "," ",HYPERLINK(CONCATENATE("#metadata!",ADDRESS(INDEX($AI$2:$AI$1001,MATCH(ROWS($AG$2:AG919),$AG$2:$AG$1001,0),0),1)),INDEX($AL$2:$AL$1001,MATCH(ROWS($AG$2:AG919),$AG$2:$AG$1001,0),0)))</f>
        <v>0</v>
      </c>
      <c r="B919" s="4">
        <f>IF(OR(INDEX($AH$2:$AH$1001,MATCH(ROWS($AG$2:AG919),$AG$2:$AG$1001,0),1)&gt;=100000,INDEX($AN$1005:$BO$1005,1,MATCH(COLUMNS($AN$1006:AN1006),$AN$1006:$BO$1006,0))&gt;=100000), " ",IF(INDEX($AN$2:$BO$1001,MATCH(ROWS($AG$2:AG919),$AG$2:$AG$1001,0),MATCH(COLUMNS($AN$1006:AN1006),$AN$1006:$BO$1006,0)), HYPERLINK("#",""), HYPERLINK(CONCATENATE("#Metadata!", ADDRESS(INDEX($AI$2:$AI$1001,MATCH(ROWS($AG$2:AG919),$AG$2:$AG$1001,0),0), INDEX($AN$1004:$BO$1004,1,MATCH(COLUMNS($AN$1006:AN1006),$AN$1006:$BO$1006,0)))),"Fix")))</f>
        <v>0</v>
      </c>
      <c r="C919" s="4">
        <f>IF(OR(INDEX($AH$2:$AH$1001,MATCH(ROWS($AG$2:AG919),$AG$2:$AG$1001,0),1)&gt;=100000,INDEX($AN$1005:$BO$1005,1,MATCH(COLUMNS($AN$1006:AO1006),$AN$1006:$BO$1006,0))&gt;=100000), " ",IF(INDEX($AN$2:$BO$1001,MATCH(ROWS($AG$2:AG919),$AG$2:$AG$1001,0),MATCH(COLUMNS($AN$1006:AO1006),$AN$1006:$BO$1006,0)), HYPERLINK("#",""), HYPERLINK(CONCATENATE("#Metadata!", ADDRESS(INDEX($AI$2:$AI$1001,MATCH(ROWS($AG$2:AG919),$AG$2:$AG$1001,0),0), INDEX($AN$1004:$BO$1004,1,MATCH(COLUMNS($AN$1006:AO1006),$AN$1006:$BO$1006,0)))),"Fix")))</f>
        <v>0</v>
      </c>
      <c r="D919" s="4">
        <f>IF(OR(INDEX($AH$2:$AH$1001,MATCH(ROWS($AG$2:AG919),$AG$2:$AG$1001,0),1)&gt;=100000,INDEX($AN$1005:$BO$1005,1,MATCH(COLUMNS($AN$1006:AP1006),$AN$1006:$BO$1006,0))&gt;=100000), " ",IF(INDEX($AN$2:$BO$1001,MATCH(ROWS($AG$2:AG919),$AG$2:$AG$1001,0),MATCH(COLUMNS($AN$1006:AP1006),$AN$1006:$BO$1006,0)), HYPERLINK("#",""), HYPERLINK(CONCATENATE("#Metadata!", ADDRESS(INDEX($AI$2:$AI$1001,MATCH(ROWS($AG$2:AG919),$AG$2:$AG$1001,0),0), INDEX($AN$1004:$BO$1004,1,MATCH(COLUMNS($AN$1006:AP1006),$AN$1006:$BO$1006,0)))),"Fix")))</f>
        <v>0</v>
      </c>
      <c r="E919" s="4">
        <f>IF(OR(INDEX($AH$2:$AH$1001,MATCH(ROWS($AG$2:AG919),$AG$2:$AG$1001,0),1)&gt;=100000,INDEX($AN$1005:$BO$1005,1,MATCH(COLUMNS($AN$1006:AQ1006),$AN$1006:$BO$1006,0))&gt;=100000), " ",IF(INDEX($AN$2:$BO$1001,MATCH(ROWS($AG$2:AG919),$AG$2:$AG$1001,0),MATCH(COLUMNS($AN$1006:AQ1006),$AN$1006:$BO$1006,0)), HYPERLINK("#",""), HYPERLINK(CONCATENATE("#Metadata!", ADDRESS(INDEX($AI$2:$AI$1001,MATCH(ROWS($AG$2:AG919),$AG$2:$AG$1001,0),0), INDEX($AN$1004:$BO$1004,1,MATCH(COLUMNS($AN$1006:AQ1006),$AN$1006:$BO$1006,0)))),"Fix")))</f>
        <v>0</v>
      </c>
      <c r="F919" s="4">
        <f>IF(OR(INDEX($AH$2:$AH$1001,MATCH(ROWS($AG$2:AG919),$AG$2:$AG$1001,0),1)&gt;=100000,INDEX($AN$1005:$BO$1005,1,MATCH(COLUMNS($AN$1006:AR1006),$AN$1006:$BO$1006,0))&gt;=100000), " ",IF(INDEX($AN$2:$BO$1001,MATCH(ROWS($AG$2:AG919),$AG$2:$AG$1001,0),MATCH(COLUMNS($AN$1006:AR1006),$AN$1006:$BO$1006,0)), HYPERLINK("#",""), HYPERLINK(CONCATENATE("#Metadata!", ADDRESS(INDEX($AI$2:$AI$1001,MATCH(ROWS($AG$2:AG919),$AG$2:$AG$1001,0),0), INDEX($AN$1004:$BO$1004,1,MATCH(COLUMNS($AN$1006:AR1006),$AN$1006:$BO$1006,0)))),"Fix")))</f>
        <v>0</v>
      </c>
      <c r="G919" s="4">
        <f>IF(OR(INDEX($AH$2:$AH$1001,MATCH(ROWS($AG$2:AG919),$AG$2:$AG$1001,0),1)&gt;=100000,INDEX($AN$1005:$BO$1005,1,MATCH(COLUMNS($AN$1006:AS1006),$AN$1006:$BO$1006,0))&gt;=100000), " ",IF(INDEX($AN$2:$BO$1001,MATCH(ROWS($AG$2:AG919),$AG$2:$AG$1001,0),MATCH(COLUMNS($AN$1006:AS1006),$AN$1006:$BO$1006,0)), HYPERLINK("#",""), HYPERLINK(CONCATENATE("#Metadata!", ADDRESS(INDEX($AI$2:$AI$1001,MATCH(ROWS($AG$2:AG919),$AG$2:$AG$1001,0),0), INDEX($AN$1004:$BO$1004,1,MATCH(COLUMNS($AN$1006:AS1006),$AN$1006:$BO$1006,0)))),"Fix")))</f>
        <v>0</v>
      </c>
      <c r="H919" s="4">
        <f>IF(OR(INDEX($AH$2:$AH$1001,MATCH(ROWS($AG$2:AG919),$AG$2:$AG$1001,0),1)&gt;=100000,INDEX($AN$1005:$BO$1005,1,MATCH(COLUMNS($AN$1006:AT1006),$AN$1006:$BO$1006,0))&gt;=100000), " ",IF(INDEX($AN$2:$BO$1001,MATCH(ROWS($AG$2:AG919),$AG$2:$AG$1001,0),MATCH(COLUMNS($AN$1006:AT1006),$AN$1006:$BO$1006,0)), HYPERLINK("#",""), HYPERLINK(CONCATENATE("#Metadata!", ADDRESS(INDEX($AI$2:$AI$1001,MATCH(ROWS($AG$2:AG919),$AG$2:$AG$1001,0),0), INDEX($AN$1004:$BO$1004,1,MATCH(COLUMNS($AN$1006:AT1006),$AN$1006:$BO$1006,0)))),"Fix")))</f>
        <v>0</v>
      </c>
      <c r="I919" s="4">
        <f>IF(OR(INDEX($AH$2:$AH$1001,MATCH(ROWS($AG$2:AG919),$AG$2:$AG$1001,0),1)&gt;=100000,INDEX($AN$1005:$BO$1005,1,MATCH(COLUMNS($AN$1006:AU1006),$AN$1006:$BO$1006,0))&gt;=100000), " ",IF(INDEX($AN$2:$BO$1001,MATCH(ROWS($AG$2:AG919),$AG$2:$AG$1001,0),MATCH(COLUMNS($AN$1006:AU1006),$AN$1006:$BO$1006,0)), HYPERLINK("#",""), HYPERLINK(CONCATENATE("#Metadata!", ADDRESS(INDEX($AI$2:$AI$1001,MATCH(ROWS($AG$2:AG919),$AG$2:$AG$1001,0),0), INDEX($AN$1004:$BO$1004,1,MATCH(COLUMNS($AN$1006:AU1006),$AN$1006:$BO$1006,0)))),"Fix")))</f>
        <v>0</v>
      </c>
      <c r="J919" s="4">
        <f>IF(OR(INDEX($AH$2:$AH$1001,MATCH(ROWS($AG$2:AG919),$AG$2:$AG$1001,0),1)&gt;=100000,INDEX($AN$1005:$BO$1005,1,MATCH(COLUMNS($AN$1006:AV1006),$AN$1006:$BO$1006,0))&gt;=100000), " ",IF(INDEX($AN$2:$BO$1001,MATCH(ROWS($AG$2:AG919),$AG$2:$AG$1001,0),MATCH(COLUMNS($AN$1006:AV1006),$AN$1006:$BO$1006,0)), HYPERLINK("#",""), HYPERLINK(CONCATENATE("#Metadata!", ADDRESS(INDEX($AI$2:$AI$1001,MATCH(ROWS($AG$2:AG919),$AG$2:$AG$1001,0),0), INDEX($AN$1004:$BO$1004,1,MATCH(COLUMNS($AN$1006:AV1006),$AN$1006:$BO$1006,0)))),"Fix")))</f>
        <v>0</v>
      </c>
      <c r="K919" s="4">
        <f>IF(OR(INDEX($AH$2:$AH$1001,MATCH(ROWS($AG$2:AG919),$AG$2:$AG$1001,0),1)&gt;=100000,INDEX($AN$1005:$BO$1005,1,MATCH(COLUMNS($AN$1006:AW1006),$AN$1006:$BO$1006,0))&gt;=100000), " ",IF(INDEX($AN$2:$BO$1001,MATCH(ROWS($AG$2:AG919),$AG$2:$AG$1001,0),MATCH(COLUMNS($AN$1006:AW1006),$AN$1006:$BO$1006,0)), HYPERLINK("#",""), HYPERLINK(CONCATENATE("#Metadata!", ADDRESS(INDEX($AI$2:$AI$1001,MATCH(ROWS($AG$2:AG919),$AG$2:$AG$1001,0),0), INDEX($AN$1004:$BO$1004,1,MATCH(COLUMNS($AN$1006:AW1006),$AN$1006:$BO$1006,0)))),"Fix")))</f>
        <v>0</v>
      </c>
      <c r="L919" s="4">
        <f>IF(OR(INDEX($AH$2:$AH$1001,MATCH(ROWS($AG$2:AG919),$AG$2:$AG$1001,0),1)&gt;=100000,INDEX($AN$1005:$BO$1005,1,MATCH(COLUMNS($AN$1006:AX1006),$AN$1006:$BO$1006,0))&gt;=100000), " ",IF(INDEX($AN$2:$BO$1001,MATCH(ROWS($AG$2:AG919),$AG$2:$AG$1001,0),MATCH(COLUMNS($AN$1006:AX1006),$AN$1006:$BO$1006,0)), HYPERLINK("#",""), HYPERLINK(CONCATENATE("#Metadata!", ADDRESS(INDEX($AI$2:$AI$1001,MATCH(ROWS($AG$2:AG919),$AG$2:$AG$1001,0),0), INDEX($AN$1004:$BO$1004,1,MATCH(COLUMNS($AN$1006:AX1006),$AN$1006:$BO$1006,0)))),"Fix")))</f>
        <v>0</v>
      </c>
      <c r="M919" s="4">
        <f>IF(OR(INDEX($AH$2:$AH$1001,MATCH(ROWS($AG$2:AG919),$AG$2:$AG$1001,0),1)&gt;=100000,INDEX($AN$1005:$BO$1005,1,MATCH(COLUMNS($AN$1006:AY1006),$AN$1006:$BO$1006,0))&gt;=100000), " ",IF(INDEX($AN$2:$BO$1001,MATCH(ROWS($AG$2:AG919),$AG$2:$AG$1001,0),MATCH(COLUMNS($AN$1006:AY1006),$AN$1006:$BO$1006,0)), HYPERLINK("#",""), HYPERLINK(CONCATENATE("#Metadata!", ADDRESS(INDEX($AI$2:$AI$1001,MATCH(ROWS($AG$2:AG919),$AG$2:$AG$1001,0),0), INDEX($AN$1004:$BO$1004,1,MATCH(COLUMNS($AN$1006:AY1006),$AN$1006:$BO$1006,0)))),"Fix")))</f>
        <v>0</v>
      </c>
      <c r="N919" s="4">
        <f>IF(OR(INDEX($AH$2:$AH$1001,MATCH(ROWS($AG$2:AG919),$AG$2:$AG$1001,0),1)&gt;=100000,INDEX($AN$1005:$BO$1005,1,MATCH(COLUMNS($AN$1006:AZ1006),$AN$1006:$BO$1006,0))&gt;=100000), " ",IF(INDEX($AN$2:$BO$1001,MATCH(ROWS($AG$2:AG919),$AG$2:$AG$1001,0),MATCH(COLUMNS($AN$1006:AZ1006),$AN$1006:$BO$1006,0)), HYPERLINK("#",""), HYPERLINK(CONCATENATE("#Metadata!", ADDRESS(INDEX($AI$2:$AI$1001,MATCH(ROWS($AG$2:AG919),$AG$2:$AG$1001,0),0), INDEX($AN$1004:$BO$1004,1,MATCH(COLUMNS($AN$1006:AZ1006),$AN$1006:$BO$1006,0)))),"Fix")))</f>
        <v>0</v>
      </c>
      <c r="O919" s="4">
        <f>IF(OR(INDEX($AH$2:$AH$1001,MATCH(ROWS($AG$2:AG919),$AG$2:$AG$1001,0),1)&gt;=100000,INDEX($AN$1005:$BO$1005,1,MATCH(COLUMNS($AN$1006:BA1006),$AN$1006:$BO$1006,0))&gt;=100000), " ",IF(INDEX($AN$2:$BO$1001,MATCH(ROWS($AG$2:AG919),$AG$2:$AG$1001,0),MATCH(COLUMNS($AN$1006:BA1006),$AN$1006:$BO$1006,0)), HYPERLINK("#",""), HYPERLINK(CONCATENATE("#Metadata!", ADDRESS(INDEX($AI$2:$AI$1001,MATCH(ROWS($AG$2:AG919),$AG$2:$AG$1001,0),0), INDEX($AN$1004:$BO$1004,1,MATCH(COLUMNS($AN$1006:BA1006),$AN$1006:$BO$1006,0)))),"Fix")))</f>
        <v>0</v>
      </c>
      <c r="P919" s="4">
        <f>IF(OR(INDEX($AH$2:$AH$1001,MATCH(ROWS($AG$2:AG919),$AG$2:$AG$1001,0),1)&gt;=100000,INDEX($AN$1005:$BO$1005,1,MATCH(COLUMNS($AN$1006:BB1006),$AN$1006:$BO$1006,0))&gt;=100000), " ",IF(INDEX($AN$2:$BO$1001,MATCH(ROWS($AG$2:AG919),$AG$2:$AG$1001,0),MATCH(COLUMNS($AN$1006:BB1006),$AN$1006:$BO$1006,0)), HYPERLINK("#",""), HYPERLINK(CONCATENATE("#Metadata!", ADDRESS(INDEX($AI$2:$AI$1001,MATCH(ROWS($AG$2:AG919),$AG$2:$AG$1001,0),0), INDEX($AN$1004:$BO$1004,1,MATCH(COLUMNS($AN$1006:BB1006),$AN$1006:$BO$1006,0)))),"Fix")))</f>
        <v>0</v>
      </c>
      <c r="Q919" s="4">
        <f>IF(OR(INDEX($AH$2:$AH$1001,MATCH(ROWS($AG$2:AG919),$AG$2:$AG$1001,0),1)&gt;=100000,INDEX($AN$1005:$BO$1005,1,MATCH(COLUMNS($AN$1006:BC1006),$AN$1006:$BO$1006,0))&gt;=100000), " ",IF(INDEX($AN$2:$BO$1001,MATCH(ROWS($AG$2:AG919),$AG$2:$AG$1001,0),MATCH(COLUMNS($AN$1006:BC1006),$AN$1006:$BO$1006,0)), HYPERLINK("#",""), HYPERLINK(CONCATENATE("#Metadata!", ADDRESS(INDEX($AI$2:$AI$1001,MATCH(ROWS($AG$2:AG919),$AG$2:$AG$1001,0),0), INDEX($AN$1004:$BO$1004,1,MATCH(COLUMNS($AN$1006:BC1006),$AN$1006:$BO$1006,0)))),"Fix")))</f>
        <v>0</v>
      </c>
      <c r="R919" s="4">
        <f>IF(OR(INDEX($AH$2:$AH$1001,MATCH(ROWS($AG$2:AG919),$AG$2:$AG$1001,0),1)&gt;=100000,INDEX($AN$1005:$BO$1005,1,MATCH(COLUMNS($AN$1006:BD1006),$AN$1006:$BO$1006,0))&gt;=100000), " ",IF(INDEX($AN$2:$BO$1001,MATCH(ROWS($AG$2:AG919),$AG$2:$AG$1001,0),MATCH(COLUMNS($AN$1006:BD1006),$AN$1006:$BO$1006,0)), HYPERLINK("#",""), HYPERLINK(CONCATENATE("#Metadata!", ADDRESS(INDEX($AI$2:$AI$1001,MATCH(ROWS($AG$2:AG919),$AG$2:$AG$1001,0),0), INDEX($AN$1004:$BO$1004,1,MATCH(COLUMNS($AN$1006:BD1006),$AN$1006:$BO$1006,0)))),"Fix")))</f>
        <v>0</v>
      </c>
      <c r="S919" s="4">
        <f>IF(OR(INDEX($AH$2:$AH$1001,MATCH(ROWS($AG$2:AG919),$AG$2:$AG$1001,0),1)&gt;=100000,INDEX($AN$1005:$BO$1005,1,MATCH(COLUMNS($AN$1006:BE1006),$AN$1006:$BO$1006,0))&gt;=100000), " ",IF(INDEX($AN$2:$BO$1001,MATCH(ROWS($AG$2:AG919),$AG$2:$AG$1001,0),MATCH(COLUMNS($AN$1006:BE1006),$AN$1006:$BO$1006,0)), HYPERLINK("#",""), HYPERLINK(CONCATENATE("#Metadata!", ADDRESS(INDEX($AI$2:$AI$1001,MATCH(ROWS($AG$2:AG919),$AG$2:$AG$1001,0),0), INDEX($AN$1004:$BO$1004,1,MATCH(COLUMNS($AN$1006:BE1006),$AN$1006:$BO$1006,0)))),"Fix")))</f>
        <v>0</v>
      </c>
      <c r="T919" s="4">
        <f>IF(OR(INDEX($AH$2:$AH$1001,MATCH(ROWS($AG$2:AG919),$AG$2:$AG$1001,0),1)&gt;=100000,INDEX($AN$1005:$BO$1005,1,MATCH(COLUMNS($AN$1006:BF1006),$AN$1006:$BO$1006,0))&gt;=100000), " ",IF(INDEX($AN$2:$BO$1001,MATCH(ROWS($AG$2:AG919),$AG$2:$AG$1001,0),MATCH(COLUMNS($AN$1006:BF1006),$AN$1006:$BO$1006,0)), HYPERLINK("#",""), HYPERLINK(CONCATENATE("#Metadata!", ADDRESS(INDEX($AI$2:$AI$1001,MATCH(ROWS($AG$2:AG919),$AG$2:$AG$1001,0),0), INDEX($AN$1004:$BO$1004,1,MATCH(COLUMNS($AN$1006:BF1006),$AN$1006:$BO$1006,0)))),"Fix")))</f>
        <v>0</v>
      </c>
      <c r="U919" s="4">
        <f>IF(OR(INDEX($AH$2:$AH$1001,MATCH(ROWS($AG$2:AG919),$AG$2:$AG$1001,0),1)&gt;=100000,INDEX($AN$1005:$BO$1005,1,MATCH(COLUMNS($AN$1006:BG1006),$AN$1006:$BO$1006,0))&gt;=100000), " ",IF(INDEX($AN$2:$BO$1001,MATCH(ROWS($AG$2:AG919),$AG$2:$AG$1001,0),MATCH(COLUMNS($AN$1006:BG1006),$AN$1006:$BO$1006,0)), HYPERLINK("#",""), HYPERLINK(CONCATENATE("#Metadata!", ADDRESS(INDEX($AI$2:$AI$1001,MATCH(ROWS($AG$2:AG919),$AG$2:$AG$1001,0),0), INDEX($AN$1004:$BO$1004,1,MATCH(COLUMNS($AN$1006:BG1006),$AN$1006:$BO$1006,0)))),"Fix")))</f>
        <v>0</v>
      </c>
      <c r="V919" s="4">
        <f>IF(OR(INDEX($AH$2:$AH$1001,MATCH(ROWS($AG$2:AG919),$AG$2:$AG$1001,0),1)&gt;=100000,INDEX($AN$1005:$BO$1005,1,MATCH(COLUMNS($AN$1006:BH1006),$AN$1006:$BO$1006,0))&gt;=100000), " ",IF(INDEX($AN$2:$BO$1001,MATCH(ROWS($AG$2:AG919),$AG$2:$AG$1001,0),MATCH(COLUMNS($AN$1006:BH1006),$AN$1006:$BO$1006,0)), HYPERLINK("#",""), HYPERLINK(CONCATENATE("#Metadata!", ADDRESS(INDEX($AI$2:$AI$1001,MATCH(ROWS($AG$2:AG919),$AG$2:$AG$1001,0),0), INDEX($AN$1004:$BO$1004,1,MATCH(COLUMNS($AN$1006:BH1006),$AN$1006:$BO$1006,0)))),"Fix")))</f>
        <v>0</v>
      </c>
      <c r="W919" s="4">
        <f>IF(OR(INDEX($AH$2:$AH$1001,MATCH(ROWS($AG$2:AG919),$AG$2:$AG$1001,0),1)&gt;=100000,INDEX($AN$1005:$BO$1005,1,MATCH(COLUMNS($AN$1006:BI1006),$AN$1006:$BO$1006,0))&gt;=100000), " ",IF(INDEX($AN$2:$BO$1001,MATCH(ROWS($AG$2:AG919),$AG$2:$AG$1001,0),MATCH(COLUMNS($AN$1006:BI1006),$AN$1006:$BO$1006,0)), HYPERLINK("#",""), HYPERLINK(CONCATENATE("#Metadata!", ADDRESS(INDEX($AI$2:$AI$1001,MATCH(ROWS($AG$2:AG919),$AG$2:$AG$1001,0),0), INDEX($AN$1004:$BO$1004,1,MATCH(COLUMNS($AN$1006:BI1006),$AN$1006:$BO$1006,0)))),"Fix")))</f>
        <v>0</v>
      </c>
      <c r="X919" s="4">
        <f>IF(OR(INDEX($AH$2:$AH$1001,MATCH(ROWS($AG$2:AG919),$AG$2:$AG$1001,0),1)&gt;=100000,INDEX($AN$1005:$BO$1005,1,MATCH(COLUMNS($AN$1006:BJ1006),$AN$1006:$BO$1006,0))&gt;=100000), " ",IF(INDEX($AN$2:$BO$1001,MATCH(ROWS($AG$2:AG919),$AG$2:$AG$1001,0),MATCH(COLUMNS($AN$1006:BJ1006),$AN$1006:$BO$1006,0)), HYPERLINK("#",""), HYPERLINK(CONCATENATE("#Metadata!", ADDRESS(INDEX($AI$2:$AI$1001,MATCH(ROWS($AG$2:AG919),$AG$2:$AG$1001,0),0), INDEX($AN$1004:$BO$1004,1,MATCH(COLUMNS($AN$1006:BJ1006),$AN$1006:$BO$1006,0)))),"Fix")))</f>
        <v>0</v>
      </c>
      <c r="Y919" s="4">
        <f>IF(OR(INDEX($AH$2:$AH$1001,MATCH(ROWS($AG$2:AG919),$AG$2:$AG$1001,0),1)&gt;=100000,INDEX($AN$1005:$BO$1005,1,MATCH(COLUMNS($AN$1006:BK1006),$AN$1006:$BO$1006,0))&gt;=100000), " ",IF(INDEX($AN$2:$BO$1001,MATCH(ROWS($AG$2:AG919),$AG$2:$AG$1001,0),MATCH(COLUMNS($AN$1006:BK1006),$AN$1006:$BO$1006,0)), HYPERLINK("#",""), HYPERLINK(CONCATENATE("#Metadata!", ADDRESS(INDEX($AI$2:$AI$1001,MATCH(ROWS($AG$2:AG919),$AG$2:$AG$1001,0),0), INDEX($AN$1004:$BO$1004,1,MATCH(COLUMNS($AN$1006:BK1006),$AN$1006:$BO$1006,0)))),"Fix")))</f>
        <v>0</v>
      </c>
      <c r="Z919" s="4">
        <f>IF(OR(INDEX($AH$2:$AH$1001,MATCH(ROWS($AG$2:AG919),$AG$2:$AG$1001,0),1)&gt;=100000,INDEX($AN$1005:$BO$1005,1,MATCH(COLUMNS($AN$1006:BL1006),$AN$1006:$BO$1006,0))&gt;=100000), " ",IF(INDEX($AN$2:$BO$1001,MATCH(ROWS($AG$2:AG919),$AG$2:$AG$1001,0),MATCH(COLUMNS($AN$1006:BL1006),$AN$1006:$BO$1006,0)), HYPERLINK("#",""), HYPERLINK(CONCATENATE("#Metadata!", ADDRESS(INDEX($AI$2:$AI$1001,MATCH(ROWS($AG$2:AG919),$AG$2:$AG$1001,0),0), INDEX($AN$1004:$BO$1004,1,MATCH(COLUMNS($AN$1006:BL1006),$AN$1006:$BO$1006,0)))),"Fix")))</f>
        <v>0</v>
      </c>
      <c r="AA919" s="4">
        <f>IF(OR(INDEX($AH$2:$AH$1001,MATCH(ROWS($AG$2:AG919),$AG$2:$AG$1001,0),1)&gt;=100000,INDEX($AN$1005:$BO$1005,1,MATCH(COLUMNS($AN$1006:BM1006),$AN$1006:$BO$1006,0))&gt;=100000), " ",IF(INDEX($AN$2:$BO$1001,MATCH(ROWS($AG$2:AG919),$AG$2:$AG$1001,0),MATCH(COLUMNS($AN$1006:BM1006),$AN$1006:$BO$1006,0)), HYPERLINK("#",""), HYPERLINK(CONCATENATE("#Metadata!", ADDRESS(INDEX($AI$2:$AI$1001,MATCH(ROWS($AG$2:AG919),$AG$2:$AG$1001,0),0), INDEX($AN$1004:$BO$1004,1,MATCH(COLUMNS($AN$1006:BM1006),$AN$1006:$BO$1006,0)))),"Fix")))</f>
        <v>0</v>
      </c>
      <c r="AB919" s="4">
        <f>IF(OR(INDEX($AH$2:$AH$1001,MATCH(ROWS($AG$2:AG919),$AG$2:$AG$1001,0),1)&gt;=100000,INDEX($AN$1005:$BO$1005,1,MATCH(COLUMNS($AN$1006:BN1006),$AN$1006:$BO$1006,0))&gt;=100000), " ",IF(INDEX($AN$2:$BO$1001,MATCH(ROWS($AG$2:AG919),$AG$2:$AG$1001,0),MATCH(COLUMNS($AN$1006:BN1006),$AN$1006:$BO$1006,0)), HYPERLINK("#",""), HYPERLINK(CONCATENATE("#Metadata!", ADDRESS(INDEX($AI$2:$AI$1001,MATCH(ROWS($AG$2:AG919),$AG$2:$AG$1001,0),0), INDEX($AN$1004:$BO$1004,1,MATCH(COLUMNS($AN$1006:BN1006),$AN$1006:$BO$1006,0)))),"Fix")))</f>
        <v>0</v>
      </c>
      <c r="AC919" s="4">
        <f>IF(OR(INDEX($AH$2:$AH$1001,MATCH(ROWS($AG$2:AG919),$AG$2:$AG$1001,0),1)&gt;=100000,INDEX($AN$1005:$BO$1005,1,MATCH(COLUMNS($AN$1006:BO1006),$AN$1006:$BO$1006,0))&gt;=100000), " ",IF(INDEX($AN$2:$BO$1001,MATCH(ROWS($AG$2:AG919),$AG$2:$AG$1001,0),MATCH(COLUMNS($AN$1006:BO1006),$AN$1006:$BO$1006,0)), HYPERLINK("#",""), HYPERLINK(CONCATENATE("#Metadata!", ADDRESS(INDEX($AI$2:$AI$1001,MATCH(ROWS($AG$2:AG919),$AG$2:$AG$1001,0),0), INDEX($AN$1004:$BO$1004,1,MATCH(COLUMNS($AN$1006:BO1006),$AN$1006:$BO$1006,0)))),"Fix")))</f>
        <v>0</v>
      </c>
      <c r="AG919">
        <v>0</v>
      </c>
      <c r="AH919">
        <v>0</v>
      </c>
      <c r="AI919">
        <v>0</v>
      </c>
      <c r="AJ919">
        <f>IF(AK919,TRUE,AND(AN919:BO919))</f>
        <v>0</v>
      </c>
      <c r="AK919">
        <f>COUNTBLANK(Metadata!B919:AC919)=COLUMNS(Metadata!B919:AC919)</f>
        <v>0</v>
      </c>
      <c r="AL919">
        <v>0</v>
      </c>
      <c r="AN919">
        <f>AND(IF(Metadata!B919="",FALSE,TRUE),COUNTIF(Metadata!B:B, Metadata!B919) = 1,NOT(ISERROR(SUMPRODUCT(SEARCH(MID(Metadata!B919,ROW(INDIRECT("1:"&amp;LEN(Metadata!B919))), 1),"0123456789abcdefghijklmnopqrstuvwxyzABCDEFGHIJKLMNOPQRSTUVWXYZ.")))))</f>
        <v>0</v>
      </c>
      <c r="AO919">
        <f>IF(Metadata!C919="",FALSE,TRUE)</f>
        <v>0</v>
      </c>
      <c r="AP919">
        <f>IF(Metadata!D919="",FALSE,TRUE)</f>
        <v>0</v>
      </c>
      <c r="AQ919">
        <f>OR(AND(IF(Metadata!E919="",FALSE,TRUE),OR(exact(Metadata!E919,"not collected"),exact(Metadata!E919,"not provided"),exact(Metadata!E919,"restricted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R919">
        <f>IF(Metadata!F919="",FALSE,TRUE)</f>
        <v>0</v>
      </c>
      <c r="AS919">
        <f>OR(AND(IF(Metadata!G919="",FALSE,TRUE),OR(exact(Metadata!G919,"not collected"),exact(Metadata!G919,"not provided"))),AND(IF(Metadata!G919="",FALSE,TRUE),OR(exact(Metadata!G919,"TRUE"),exact(Metadata!G919,"FALSE"))))</f>
        <v>0</v>
      </c>
      <c r="AT919">
        <f>OR(AND(IF(Metadata!H919="",FALSE,TRUE),OR(exact(Metadata!H919,"not collected"),exact(Metadata!H919,"not provided"),exact(Metadata!H919,"restricted access"))),AND(IF(Metadata!H919="",FALSE,ISNUMBER(VALUE(Metadata!H919))),Metadata!H919&gt;=-413.0))</f>
        <v>0</v>
      </c>
      <c r="AU919">
        <f>AND(IF(Metadata!I919="",FALSE,TRUE),exact(Metadata!I919,"meters"))</f>
        <v>0</v>
      </c>
      <c r="AV919">
        <f>AND(IF(Metadata!J919="",FALSE,TRUE),OR(exact(Metadata!J919,"Host-associated"),exact(Metadata!J919,"Free-living")))</f>
        <v>0</v>
      </c>
      <c r="AW919">
        <f>AND(IF(Metadata!K919="",FALSE,TRUE),OR(exact(Metadata!K919,"Animal"),exact(Metadata!K919,"Fungus"),exact(Metadata!K919,"Plant"),exact(Metadata!K919,"Saline"),exact(Metadata!K919,"Non-saline")))</f>
        <v>0</v>
      </c>
      <c r="AX919">
        <f>AND(IF(Metadata!L919="",FALSE,TRUE),OR(exact(Metadata!L919,"Plant secretion"),exact(Metadata!L919,"Plant rhizosphere"),exact(Metadata!L919,"Plant surface"),exact(Metadata!L919,"Plant corpus"),exact(Metadata!L919,"Fungus surface"),exact(Metadata!L919,"Fungus corpus"),exact(Metadata!L919,"Animal surface"),exact(Metadata!L919,"Animal proximal gut"),exact(Metadata!L919,"Animal corpus"),exact(Metadata!L919,"Animal distal gut"),exact(Metadata!L919,"Animal secretion"),exact(Metadata!L919,"Sub-surface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Y919">
        <f>IF(Metadata!M919="",FALSE,TRUE)</f>
        <v>0</v>
      </c>
      <c r="AZ919">
        <f>IF(Metadata!N919="",FALSE,TRUE)</f>
        <v>0</v>
      </c>
      <c r="BA919">
        <f>IF(Metadata!O919="",FALSE,TRUE)</f>
        <v>0</v>
      </c>
      <c r="BB919">
        <f>OR(AND(IF(Metadata!P919="",FALSE,TRUE),OR(exact(Metadata!P919,"not collected"),exact(Metadata!P919,"not provided"),exact(Metadata!P919,"restricted access"))),AND(IF(Metadata!P919="",FALSE,TRUE),OR(exact(Metadata!P919,"air"),exact(Metadata!P919,"built environment"),exact(Metadata!P919,"host-associated"),exact(Metadata!P919,"human-associated"),exact(Metadata!P919,"human-skin"),exact(Metadata!P919,"human-oral"),exact(Metadata!P919,"human-gut"),exact(Metadata!P919,"human-vaginal"),exact(Metadata!P919,"microbial mat/biofilm"),exact(Metadata!P919,"misc environment"),exact(Metadata!P919,"plant-associated"),exact(Metadata!P919,"sediment"),exact(Metadata!P919,"soil"),exact(Metadata!P919,"wastewater/sludge"),exact(Metadata!P919,"water"))))</f>
        <v>0</v>
      </c>
      <c r="BC919">
        <f>IF(Metadata!Q919="",FALSE,TRUE)</f>
        <v>0</v>
      </c>
      <c r="BD919">
        <f>IF(Metadata!R919="",FALSE,TRUE)</f>
        <v>0</v>
      </c>
      <c r="BE919">
        <f>OR(AND(IF(Metadata!S919="",FALSE,TRUE),OR(exact(Metadata!S919,"not collected"),exact(Metadata!S919,"not provided"),exact(Metadata!S919,"restricted access"))),AND(IF(Metadata!S919="",FALSE,ISNUMBER(VALUE(Metadata!S919))),Metadata!S919&gt;=-90.00,Metadata!S919&lt;=90.00))</f>
        <v>0</v>
      </c>
      <c r="BF919">
        <f>AND(IF(Metadata!T919="",FALSE,TRUE),exact(Metadata!T919,"Decimal degrees"))</f>
        <v>0</v>
      </c>
      <c r="BG919">
        <f>OR(AND(IF(Metadata!U919="",FALSE,TRUE),OR(exact(Metadata!U919,"not collected"),exact(Metadata!U919,"not provided"),exact(Metadata!U919,"restricted access"))),AND(IF(Metadata!U919="",FALSE,ISNUMBER(VALUE(Metadata!U919))),Metadata!U919&gt;=-180.00,Metadata!U919&lt;=180.00))</f>
        <v>0</v>
      </c>
      <c r="BH919">
        <f>AND(IF(Metadata!V919="",FALSE,TRUE),exact(Metadata!V919,"Decimal degrees"))</f>
        <v>0</v>
      </c>
      <c r="BI919">
        <f>IF(Metadata!W919="",FALSE,TRUE)</f>
        <v>0</v>
      </c>
      <c r="BJ919">
        <f>OR(AND(IF(Metadata!X919="",FALSE,TRUE),OR(exact(Metadata!X919,"not collected"),exact(Metadata!X919,"not provided"),exact(Metadata!X919,"restricted access"))),AND(IF(Metadata!X919="",FALSE,TRUE),OR(exact(Metadata!X919,"TRUE"),exact(Metadata!X919,"FALSE"))))</f>
        <v>0</v>
      </c>
      <c r="BK919">
        <f>AND(IF(Metadata!Y919="",FALSE,TRUE),exact(Metadata!Y919,"other"))</f>
        <v>0</v>
      </c>
      <c r="BL919">
        <f>IF(Metadata!Z919="",FALSE,TRUE)</f>
        <v>0</v>
      </c>
      <c r="BM919">
        <f>OR(AND(IF(Metadata!AA919="",FALSE,TRUE),OR(exact(Metadata!AA919,"not collected"),exact(Metadata!AA919,"not provided"))),AND(IF(Metadata!AA919="",FALSE,IF(ISERROR(INT(Metadata!AA919)),FALSE,INT(Metadata!AA919)=Metadata!AA919)),Metadata!AA919&gt;0))</f>
        <v>0</v>
      </c>
      <c r="BN919">
        <f>AND(IF(Metadata!AB919="",FALSE,TRUE),exact(Metadata!AB919,"Not applicable"))</f>
        <v>0</v>
      </c>
      <c r="BO919">
        <f>IF(Metadata!AC919="",FALSE,TRUE)</f>
        <v>0</v>
      </c>
    </row>
    <row r="920" spans="1:67">
      <c r="A920" s="5">
        <f>IF(B920=" "," ",HYPERLINK(CONCATENATE("#metadata!",ADDRESS(INDEX($AI$2:$AI$1001,MATCH(ROWS($AG$2:AG920),$AG$2:$AG$1001,0),0),1)),INDEX($AL$2:$AL$1001,MATCH(ROWS($AG$2:AG920),$AG$2:$AG$1001,0),0)))</f>
        <v>0</v>
      </c>
      <c r="B920" s="4">
        <f>IF(OR(INDEX($AH$2:$AH$1001,MATCH(ROWS($AG$2:AG920),$AG$2:$AG$1001,0),1)&gt;=100000,INDEX($AN$1005:$BO$1005,1,MATCH(COLUMNS($AN$1006:AN1006),$AN$1006:$BO$1006,0))&gt;=100000), " ",IF(INDEX($AN$2:$BO$1001,MATCH(ROWS($AG$2:AG920),$AG$2:$AG$1001,0),MATCH(COLUMNS($AN$1006:AN1006),$AN$1006:$BO$1006,0)), HYPERLINK("#",""), HYPERLINK(CONCATENATE("#Metadata!", ADDRESS(INDEX($AI$2:$AI$1001,MATCH(ROWS($AG$2:AG920),$AG$2:$AG$1001,0),0), INDEX($AN$1004:$BO$1004,1,MATCH(COLUMNS($AN$1006:AN1006),$AN$1006:$BO$1006,0)))),"Fix")))</f>
        <v>0</v>
      </c>
      <c r="C920" s="4">
        <f>IF(OR(INDEX($AH$2:$AH$1001,MATCH(ROWS($AG$2:AG920),$AG$2:$AG$1001,0),1)&gt;=100000,INDEX($AN$1005:$BO$1005,1,MATCH(COLUMNS($AN$1006:AO1006),$AN$1006:$BO$1006,0))&gt;=100000), " ",IF(INDEX($AN$2:$BO$1001,MATCH(ROWS($AG$2:AG920),$AG$2:$AG$1001,0),MATCH(COLUMNS($AN$1006:AO1006),$AN$1006:$BO$1006,0)), HYPERLINK("#",""), HYPERLINK(CONCATENATE("#Metadata!", ADDRESS(INDEX($AI$2:$AI$1001,MATCH(ROWS($AG$2:AG920),$AG$2:$AG$1001,0),0), INDEX($AN$1004:$BO$1004,1,MATCH(COLUMNS($AN$1006:AO1006),$AN$1006:$BO$1006,0)))),"Fix")))</f>
        <v>0</v>
      </c>
      <c r="D920" s="4">
        <f>IF(OR(INDEX($AH$2:$AH$1001,MATCH(ROWS($AG$2:AG920),$AG$2:$AG$1001,0),1)&gt;=100000,INDEX($AN$1005:$BO$1005,1,MATCH(COLUMNS($AN$1006:AP1006),$AN$1006:$BO$1006,0))&gt;=100000), " ",IF(INDEX($AN$2:$BO$1001,MATCH(ROWS($AG$2:AG920),$AG$2:$AG$1001,0),MATCH(COLUMNS($AN$1006:AP1006),$AN$1006:$BO$1006,0)), HYPERLINK("#",""), HYPERLINK(CONCATENATE("#Metadata!", ADDRESS(INDEX($AI$2:$AI$1001,MATCH(ROWS($AG$2:AG920),$AG$2:$AG$1001,0),0), INDEX($AN$1004:$BO$1004,1,MATCH(COLUMNS($AN$1006:AP1006),$AN$1006:$BO$1006,0)))),"Fix")))</f>
        <v>0</v>
      </c>
      <c r="E920" s="4">
        <f>IF(OR(INDEX($AH$2:$AH$1001,MATCH(ROWS($AG$2:AG920),$AG$2:$AG$1001,0),1)&gt;=100000,INDEX($AN$1005:$BO$1005,1,MATCH(COLUMNS($AN$1006:AQ1006),$AN$1006:$BO$1006,0))&gt;=100000), " ",IF(INDEX($AN$2:$BO$1001,MATCH(ROWS($AG$2:AG920),$AG$2:$AG$1001,0),MATCH(COLUMNS($AN$1006:AQ1006),$AN$1006:$BO$1006,0)), HYPERLINK("#",""), HYPERLINK(CONCATENATE("#Metadata!", ADDRESS(INDEX($AI$2:$AI$1001,MATCH(ROWS($AG$2:AG920),$AG$2:$AG$1001,0),0), INDEX($AN$1004:$BO$1004,1,MATCH(COLUMNS($AN$1006:AQ1006),$AN$1006:$BO$1006,0)))),"Fix")))</f>
        <v>0</v>
      </c>
      <c r="F920" s="4">
        <f>IF(OR(INDEX($AH$2:$AH$1001,MATCH(ROWS($AG$2:AG920),$AG$2:$AG$1001,0),1)&gt;=100000,INDEX($AN$1005:$BO$1005,1,MATCH(COLUMNS($AN$1006:AR1006),$AN$1006:$BO$1006,0))&gt;=100000), " ",IF(INDEX($AN$2:$BO$1001,MATCH(ROWS($AG$2:AG920),$AG$2:$AG$1001,0),MATCH(COLUMNS($AN$1006:AR1006),$AN$1006:$BO$1006,0)), HYPERLINK("#",""), HYPERLINK(CONCATENATE("#Metadata!", ADDRESS(INDEX($AI$2:$AI$1001,MATCH(ROWS($AG$2:AG920),$AG$2:$AG$1001,0),0), INDEX($AN$1004:$BO$1004,1,MATCH(COLUMNS($AN$1006:AR1006),$AN$1006:$BO$1006,0)))),"Fix")))</f>
        <v>0</v>
      </c>
      <c r="G920" s="4">
        <f>IF(OR(INDEX($AH$2:$AH$1001,MATCH(ROWS($AG$2:AG920),$AG$2:$AG$1001,0),1)&gt;=100000,INDEX($AN$1005:$BO$1005,1,MATCH(COLUMNS($AN$1006:AS1006),$AN$1006:$BO$1006,0))&gt;=100000), " ",IF(INDEX($AN$2:$BO$1001,MATCH(ROWS($AG$2:AG920),$AG$2:$AG$1001,0),MATCH(COLUMNS($AN$1006:AS1006),$AN$1006:$BO$1006,0)), HYPERLINK("#",""), HYPERLINK(CONCATENATE("#Metadata!", ADDRESS(INDEX($AI$2:$AI$1001,MATCH(ROWS($AG$2:AG920),$AG$2:$AG$1001,0),0), INDEX($AN$1004:$BO$1004,1,MATCH(COLUMNS($AN$1006:AS1006),$AN$1006:$BO$1006,0)))),"Fix")))</f>
        <v>0</v>
      </c>
      <c r="H920" s="4">
        <f>IF(OR(INDEX($AH$2:$AH$1001,MATCH(ROWS($AG$2:AG920),$AG$2:$AG$1001,0),1)&gt;=100000,INDEX($AN$1005:$BO$1005,1,MATCH(COLUMNS($AN$1006:AT1006),$AN$1006:$BO$1006,0))&gt;=100000), " ",IF(INDEX($AN$2:$BO$1001,MATCH(ROWS($AG$2:AG920),$AG$2:$AG$1001,0),MATCH(COLUMNS($AN$1006:AT1006),$AN$1006:$BO$1006,0)), HYPERLINK("#",""), HYPERLINK(CONCATENATE("#Metadata!", ADDRESS(INDEX($AI$2:$AI$1001,MATCH(ROWS($AG$2:AG920),$AG$2:$AG$1001,0),0), INDEX($AN$1004:$BO$1004,1,MATCH(COLUMNS($AN$1006:AT1006),$AN$1006:$BO$1006,0)))),"Fix")))</f>
        <v>0</v>
      </c>
      <c r="I920" s="4">
        <f>IF(OR(INDEX($AH$2:$AH$1001,MATCH(ROWS($AG$2:AG920),$AG$2:$AG$1001,0),1)&gt;=100000,INDEX($AN$1005:$BO$1005,1,MATCH(COLUMNS($AN$1006:AU1006),$AN$1006:$BO$1006,0))&gt;=100000), " ",IF(INDEX($AN$2:$BO$1001,MATCH(ROWS($AG$2:AG920),$AG$2:$AG$1001,0),MATCH(COLUMNS($AN$1006:AU1006),$AN$1006:$BO$1006,0)), HYPERLINK("#",""), HYPERLINK(CONCATENATE("#Metadata!", ADDRESS(INDEX($AI$2:$AI$1001,MATCH(ROWS($AG$2:AG920),$AG$2:$AG$1001,0),0), INDEX($AN$1004:$BO$1004,1,MATCH(COLUMNS($AN$1006:AU1006),$AN$1006:$BO$1006,0)))),"Fix")))</f>
        <v>0</v>
      </c>
      <c r="J920" s="4">
        <f>IF(OR(INDEX($AH$2:$AH$1001,MATCH(ROWS($AG$2:AG920),$AG$2:$AG$1001,0),1)&gt;=100000,INDEX($AN$1005:$BO$1005,1,MATCH(COLUMNS($AN$1006:AV1006),$AN$1006:$BO$1006,0))&gt;=100000), " ",IF(INDEX($AN$2:$BO$1001,MATCH(ROWS($AG$2:AG920),$AG$2:$AG$1001,0),MATCH(COLUMNS($AN$1006:AV1006),$AN$1006:$BO$1006,0)), HYPERLINK("#",""), HYPERLINK(CONCATENATE("#Metadata!", ADDRESS(INDEX($AI$2:$AI$1001,MATCH(ROWS($AG$2:AG920),$AG$2:$AG$1001,0),0), INDEX($AN$1004:$BO$1004,1,MATCH(COLUMNS($AN$1006:AV1006),$AN$1006:$BO$1006,0)))),"Fix")))</f>
        <v>0</v>
      </c>
      <c r="K920" s="4">
        <f>IF(OR(INDEX($AH$2:$AH$1001,MATCH(ROWS($AG$2:AG920),$AG$2:$AG$1001,0),1)&gt;=100000,INDEX($AN$1005:$BO$1005,1,MATCH(COLUMNS($AN$1006:AW1006),$AN$1006:$BO$1006,0))&gt;=100000), " ",IF(INDEX($AN$2:$BO$1001,MATCH(ROWS($AG$2:AG920),$AG$2:$AG$1001,0),MATCH(COLUMNS($AN$1006:AW1006),$AN$1006:$BO$1006,0)), HYPERLINK("#",""), HYPERLINK(CONCATENATE("#Metadata!", ADDRESS(INDEX($AI$2:$AI$1001,MATCH(ROWS($AG$2:AG920),$AG$2:$AG$1001,0),0), INDEX($AN$1004:$BO$1004,1,MATCH(COLUMNS($AN$1006:AW1006),$AN$1006:$BO$1006,0)))),"Fix")))</f>
        <v>0</v>
      </c>
      <c r="L920" s="4">
        <f>IF(OR(INDEX($AH$2:$AH$1001,MATCH(ROWS($AG$2:AG920),$AG$2:$AG$1001,0),1)&gt;=100000,INDEX($AN$1005:$BO$1005,1,MATCH(COLUMNS($AN$1006:AX1006),$AN$1006:$BO$1006,0))&gt;=100000), " ",IF(INDEX($AN$2:$BO$1001,MATCH(ROWS($AG$2:AG920),$AG$2:$AG$1001,0),MATCH(COLUMNS($AN$1006:AX1006),$AN$1006:$BO$1006,0)), HYPERLINK("#",""), HYPERLINK(CONCATENATE("#Metadata!", ADDRESS(INDEX($AI$2:$AI$1001,MATCH(ROWS($AG$2:AG920),$AG$2:$AG$1001,0),0), INDEX($AN$1004:$BO$1004,1,MATCH(COLUMNS($AN$1006:AX1006),$AN$1006:$BO$1006,0)))),"Fix")))</f>
        <v>0</v>
      </c>
      <c r="M920" s="4">
        <f>IF(OR(INDEX($AH$2:$AH$1001,MATCH(ROWS($AG$2:AG920),$AG$2:$AG$1001,0),1)&gt;=100000,INDEX($AN$1005:$BO$1005,1,MATCH(COLUMNS($AN$1006:AY1006),$AN$1006:$BO$1006,0))&gt;=100000), " ",IF(INDEX($AN$2:$BO$1001,MATCH(ROWS($AG$2:AG920),$AG$2:$AG$1001,0),MATCH(COLUMNS($AN$1006:AY1006),$AN$1006:$BO$1006,0)), HYPERLINK("#",""), HYPERLINK(CONCATENATE("#Metadata!", ADDRESS(INDEX($AI$2:$AI$1001,MATCH(ROWS($AG$2:AG920),$AG$2:$AG$1001,0),0), INDEX($AN$1004:$BO$1004,1,MATCH(COLUMNS($AN$1006:AY1006),$AN$1006:$BO$1006,0)))),"Fix")))</f>
        <v>0</v>
      </c>
      <c r="N920" s="4">
        <f>IF(OR(INDEX($AH$2:$AH$1001,MATCH(ROWS($AG$2:AG920),$AG$2:$AG$1001,0),1)&gt;=100000,INDEX($AN$1005:$BO$1005,1,MATCH(COLUMNS($AN$1006:AZ1006),$AN$1006:$BO$1006,0))&gt;=100000), " ",IF(INDEX($AN$2:$BO$1001,MATCH(ROWS($AG$2:AG920),$AG$2:$AG$1001,0),MATCH(COLUMNS($AN$1006:AZ1006),$AN$1006:$BO$1006,0)), HYPERLINK("#",""), HYPERLINK(CONCATENATE("#Metadata!", ADDRESS(INDEX($AI$2:$AI$1001,MATCH(ROWS($AG$2:AG920),$AG$2:$AG$1001,0),0), INDEX($AN$1004:$BO$1004,1,MATCH(COLUMNS($AN$1006:AZ1006),$AN$1006:$BO$1006,0)))),"Fix")))</f>
        <v>0</v>
      </c>
      <c r="O920" s="4">
        <f>IF(OR(INDEX($AH$2:$AH$1001,MATCH(ROWS($AG$2:AG920),$AG$2:$AG$1001,0),1)&gt;=100000,INDEX($AN$1005:$BO$1005,1,MATCH(COLUMNS($AN$1006:BA1006),$AN$1006:$BO$1006,0))&gt;=100000), " ",IF(INDEX($AN$2:$BO$1001,MATCH(ROWS($AG$2:AG920),$AG$2:$AG$1001,0),MATCH(COLUMNS($AN$1006:BA1006),$AN$1006:$BO$1006,0)), HYPERLINK("#",""), HYPERLINK(CONCATENATE("#Metadata!", ADDRESS(INDEX($AI$2:$AI$1001,MATCH(ROWS($AG$2:AG920),$AG$2:$AG$1001,0),0), INDEX($AN$1004:$BO$1004,1,MATCH(COLUMNS($AN$1006:BA1006),$AN$1006:$BO$1006,0)))),"Fix")))</f>
        <v>0</v>
      </c>
      <c r="P920" s="4">
        <f>IF(OR(INDEX($AH$2:$AH$1001,MATCH(ROWS($AG$2:AG920),$AG$2:$AG$1001,0),1)&gt;=100000,INDEX($AN$1005:$BO$1005,1,MATCH(COLUMNS($AN$1006:BB1006),$AN$1006:$BO$1006,0))&gt;=100000), " ",IF(INDEX($AN$2:$BO$1001,MATCH(ROWS($AG$2:AG920),$AG$2:$AG$1001,0),MATCH(COLUMNS($AN$1006:BB1006),$AN$1006:$BO$1006,0)), HYPERLINK("#",""), HYPERLINK(CONCATENATE("#Metadata!", ADDRESS(INDEX($AI$2:$AI$1001,MATCH(ROWS($AG$2:AG920),$AG$2:$AG$1001,0),0), INDEX($AN$1004:$BO$1004,1,MATCH(COLUMNS($AN$1006:BB1006),$AN$1006:$BO$1006,0)))),"Fix")))</f>
        <v>0</v>
      </c>
      <c r="Q920" s="4">
        <f>IF(OR(INDEX($AH$2:$AH$1001,MATCH(ROWS($AG$2:AG920),$AG$2:$AG$1001,0),1)&gt;=100000,INDEX($AN$1005:$BO$1005,1,MATCH(COLUMNS($AN$1006:BC1006),$AN$1006:$BO$1006,0))&gt;=100000), " ",IF(INDEX($AN$2:$BO$1001,MATCH(ROWS($AG$2:AG920),$AG$2:$AG$1001,0),MATCH(COLUMNS($AN$1006:BC1006),$AN$1006:$BO$1006,0)), HYPERLINK("#",""), HYPERLINK(CONCATENATE("#Metadata!", ADDRESS(INDEX($AI$2:$AI$1001,MATCH(ROWS($AG$2:AG920),$AG$2:$AG$1001,0),0), INDEX($AN$1004:$BO$1004,1,MATCH(COLUMNS($AN$1006:BC1006),$AN$1006:$BO$1006,0)))),"Fix")))</f>
        <v>0</v>
      </c>
      <c r="R920" s="4">
        <f>IF(OR(INDEX($AH$2:$AH$1001,MATCH(ROWS($AG$2:AG920),$AG$2:$AG$1001,0),1)&gt;=100000,INDEX($AN$1005:$BO$1005,1,MATCH(COLUMNS($AN$1006:BD1006),$AN$1006:$BO$1006,0))&gt;=100000), " ",IF(INDEX($AN$2:$BO$1001,MATCH(ROWS($AG$2:AG920),$AG$2:$AG$1001,0),MATCH(COLUMNS($AN$1006:BD1006),$AN$1006:$BO$1006,0)), HYPERLINK("#",""), HYPERLINK(CONCATENATE("#Metadata!", ADDRESS(INDEX($AI$2:$AI$1001,MATCH(ROWS($AG$2:AG920),$AG$2:$AG$1001,0),0), INDEX($AN$1004:$BO$1004,1,MATCH(COLUMNS($AN$1006:BD1006),$AN$1006:$BO$1006,0)))),"Fix")))</f>
        <v>0</v>
      </c>
      <c r="S920" s="4">
        <f>IF(OR(INDEX($AH$2:$AH$1001,MATCH(ROWS($AG$2:AG920),$AG$2:$AG$1001,0),1)&gt;=100000,INDEX($AN$1005:$BO$1005,1,MATCH(COLUMNS($AN$1006:BE1006),$AN$1006:$BO$1006,0))&gt;=100000), " ",IF(INDEX($AN$2:$BO$1001,MATCH(ROWS($AG$2:AG920),$AG$2:$AG$1001,0),MATCH(COLUMNS($AN$1006:BE1006),$AN$1006:$BO$1006,0)), HYPERLINK("#",""), HYPERLINK(CONCATENATE("#Metadata!", ADDRESS(INDEX($AI$2:$AI$1001,MATCH(ROWS($AG$2:AG920),$AG$2:$AG$1001,0),0), INDEX($AN$1004:$BO$1004,1,MATCH(COLUMNS($AN$1006:BE1006),$AN$1006:$BO$1006,0)))),"Fix")))</f>
        <v>0</v>
      </c>
      <c r="T920" s="4">
        <f>IF(OR(INDEX($AH$2:$AH$1001,MATCH(ROWS($AG$2:AG920),$AG$2:$AG$1001,0),1)&gt;=100000,INDEX($AN$1005:$BO$1005,1,MATCH(COLUMNS($AN$1006:BF1006),$AN$1006:$BO$1006,0))&gt;=100000), " ",IF(INDEX($AN$2:$BO$1001,MATCH(ROWS($AG$2:AG920),$AG$2:$AG$1001,0),MATCH(COLUMNS($AN$1006:BF1006),$AN$1006:$BO$1006,0)), HYPERLINK("#",""), HYPERLINK(CONCATENATE("#Metadata!", ADDRESS(INDEX($AI$2:$AI$1001,MATCH(ROWS($AG$2:AG920),$AG$2:$AG$1001,0),0), INDEX($AN$1004:$BO$1004,1,MATCH(COLUMNS($AN$1006:BF1006),$AN$1006:$BO$1006,0)))),"Fix")))</f>
        <v>0</v>
      </c>
      <c r="U920" s="4">
        <f>IF(OR(INDEX($AH$2:$AH$1001,MATCH(ROWS($AG$2:AG920),$AG$2:$AG$1001,0),1)&gt;=100000,INDEX($AN$1005:$BO$1005,1,MATCH(COLUMNS($AN$1006:BG1006),$AN$1006:$BO$1006,0))&gt;=100000), " ",IF(INDEX($AN$2:$BO$1001,MATCH(ROWS($AG$2:AG920),$AG$2:$AG$1001,0),MATCH(COLUMNS($AN$1006:BG1006),$AN$1006:$BO$1006,0)), HYPERLINK("#",""), HYPERLINK(CONCATENATE("#Metadata!", ADDRESS(INDEX($AI$2:$AI$1001,MATCH(ROWS($AG$2:AG920),$AG$2:$AG$1001,0),0), INDEX($AN$1004:$BO$1004,1,MATCH(COLUMNS($AN$1006:BG1006),$AN$1006:$BO$1006,0)))),"Fix")))</f>
        <v>0</v>
      </c>
      <c r="V920" s="4">
        <f>IF(OR(INDEX($AH$2:$AH$1001,MATCH(ROWS($AG$2:AG920),$AG$2:$AG$1001,0),1)&gt;=100000,INDEX($AN$1005:$BO$1005,1,MATCH(COLUMNS($AN$1006:BH1006),$AN$1006:$BO$1006,0))&gt;=100000), " ",IF(INDEX($AN$2:$BO$1001,MATCH(ROWS($AG$2:AG920),$AG$2:$AG$1001,0),MATCH(COLUMNS($AN$1006:BH1006),$AN$1006:$BO$1006,0)), HYPERLINK("#",""), HYPERLINK(CONCATENATE("#Metadata!", ADDRESS(INDEX($AI$2:$AI$1001,MATCH(ROWS($AG$2:AG920),$AG$2:$AG$1001,0),0), INDEX($AN$1004:$BO$1004,1,MATCH(COLUMNS($AN$1006:BH1006),$AN$1006:$BO$1006,0)))),"Fix")))</f>
        <v>0</v>
      </c>
      <c r="W920" s="4">
        <f>IF(OR(INDEX($AH$2:$AH$1001,MATCH(ROWS($AG$2:AG920),$AG$2:$AG$1001,0),1)&gt;=100000,INDEX($AN$1005:$BO$1005,1,MATCH(COLUMNS($AN$1006:BI1006),$AN$1006:$BO$1006,0))&gt;=100000), " ",IF(INDEX($AN$2:$BO$1001,MATCH(ROWS($AG$2:AG920),$AG$2:$AG$1001,0),MATCH(COLUMNS($AN$1006:BI1006),$AN$1006:$BO$1006,0)), HYPERLINK("#",""), HYPERLINK(CONCATENATE("#Metadata!", ADDRESS(INDEX($AI$2:$AI$1001,MATCH(ROWS($AG$2:AG920),$AG$2:$AG$1001,0),0), INDEX($AN$1004:$BO$1004,1,MATCH(COLUMNS($AN$1006:BI1006),$AN$1006:$BO$1006,0)))),"Fix")))</f>
        <v>0</v>
      </c>
      <c r="X920" s="4">
        <f>IF(OR(INDEX($AH$2:$AH$1001,MATCH(ROWS($AG$2:AG920),$AG$2:$AG$1001,0),1)&gt;=100000,INDEX($AN$1005:$BO$1005,1,MATCH(COLUMNS($AN$1006:BJ1006),$AN$1006:$BO$1006,0))&gt;=100000), " ",IF(INDEX($AN$2:$BO$1001,MATCH(ROWS($AG$2:AG920),$AG$2:$AG$1001,0),MATCH(COLUMNS($AN$1006:BJ1006),$AN$1006:$BO$1006,0)), HYPERLINK("#",""), HYPERLINK(CONCATENATE("#Metadata!", ADDRESS(INDEX($AI$2:$AI$1001,MATCH(ROWS($AG$2:AG920),$AG$2:$AG$1001,0),0), INDEX($AN$1004:$BO$1004,1,MATCH(COLUMNS($AN$1006:BJ1006),$AN$1006:$BO$1006,0)))),"Fix")))</f>
        <v>0</v>
      </c>
      <c r="Y920" s="4">
        <f>IF(OR(INDEX($AH$2:$AH$1001,MATCH(ROWS($AG$2:AG920),$AG$2:$AG$1001,0),1)&gt;=100000,INDEX($AN$1005:$BO$1005,1,MATCH(COLUMNS($AN$1006:BK1006),$AN$1006:$BO$1006,0))&gt;=100000), " ",IF(INDEX($AN$2:$BO$1001,MATCH(ROWS($AG$2:AG920),$AG$2:$AG$1001,0),MATCH(COLUMNS($AN$1006:BK1006),$AN$1006:$BO$1006,0)), HYPERLINK("#",""), HYPERLINK(CONCATENATE("#Metadata!", ADDRESS(INDEX($AI$2:$AI$1001,MATCH(ROWS($AG$2:AG920),$AG$2:$AG$1001,0),0), INDEX($AN$1004:$BO$1004,1,MATCH(COLUMNS($AN$1006:BK1006),$AN$1006:$BO$1006,0)))),"Fix")))</f>
        <v>0</v>
      </c>
      <c r="Z920" s="4">
        <f>IF(OR(INDEX($AH$2:$AH$1001,MATCH(ROWS($AG$2:AG920),$AG$2:$AG$1001,0),1)&gt;=100000,INDEX($AN$1005:$BO$1005,1,MATCH(COLUMNS($AN$1006:BL1006),$AN$1006:$BO$1006,0))&gt;=100000), " ",IF(INDEX($AN$2:$BO$1001,MATCH(ROWS($AG$2:AG920),$AG$2:$AG$1001,0),MATCH(COLUMNS($AN$1006:BL1006),$AN$1006:$BO$1006,0)), HYPERLINK("#",""), HYPERLINK(CONCATENATE("#Metadata!", ADDRESS(INDEX($AI$2:$AI$1001,MATCH(ROWS($AG$2:AG920),$AG$2:$AG$1001,0),0), INDEX($AN$1004:$BO$1004,1,MATCH(COLUMNS($AN$1006:BL1006),$AN$1006:$BO$1006,0)))),"Fix")))</f>
        <v>0</v>
      </c>
      <c r="AA920" s="4">
        <f>IF(OR(INDEX($AH$2:$AH$1001,MATCH(ROWS($AG$2:AG920),$AG$2:$AG$1001,0),1)&gt;=100000,INDEX($AN$1005:$BO$1005,1,MATCH(COLUMNS($AN$1006:BM1006),$AN$1006:$BO$1006,0))&gt;=100000), " ",IF(INDEX($AN$2:$BO$1001,MATCH(ROWS($AG$2:AG920),$AG$2:$AG$1001,0),MATCH(COLUMNS($AN$1006:BM1006),$AN$1006:$BO$1006,0)), HYPERLINK("#",""), HYPERLINK(CONCATENATE("#Metadata!", ADDRESS(INDEX($AI$2:$AI$1001,MATCH(ROWS($AG$2:AG920),$AG$2:$AG$1001,0),0), INDEX($AN$1004:$BO$1004,1,MATCH(COLUMNS($AN$1006:BM1006),$AN$1006:$BO$1006,0)))),"Fix")))</f>
        <v>0</v>
      </c>
      <c r="AB920" s="4">
        <f>IF(OR(INDEX($AH$2:$AH$1001,MATCH(ROWS($AG$2:AG920),$AG$2:$AG$1001,0),1)&gt;=100000,INDEX($AN$1005:$BO$1005,1,MATCH(COLUMNS($AN$1006:BN1006),$AN$1006:$BO$1006,0))&gt;=100000), " ",IF(INDEX($AN$2:$BO$1001,MATCH(ROWS($AG$2:AG920),$AG$2:$AG$1001,0),MATCH(COLUMNS($AN$1006:BN1006),$AN$1006:$BO$1006,0)), HYPERLINK("#",""), HYPERLINK(CONCATENATE("#Metadata!", ADDRESS(INDEX($AI$2:$AI$1001,MATCH(ROWS($AG$2:AG920),$AG$2:$AG$1001,0),0), INDEX($AN$1004:$BO$1004,1,MATCH(COLUMNS($AN$1006:BN1006),$AN$1006:$BO$1006,0)))),"Fix")))</f>
        <v>0</v>
      </c>
      <c r="AC920" s="4">
        <f>IF(OR(INDEX($AH$2:$AH$1001,MATCH(ROWS($AG$2:AG920),$AG$2:$AG$1001,0),1)&gt;=100000,INDEX($AN$1005:$BO$1005,1,MATCH(COLUMNS($AN$1006:BO1006),$AN$1006:$BO$1006,0))&gt;=100000), " ",IF(INDEX($AN$2:$BO$1001,MATCH(ROWS($AG$2:AG920),$AG$2:$AG$1001,0),MATCH(COLUMNS($AN$1006:BO1006),$AN$1006:$BO$1006,0)), HYPERLINK("#",""), HYPERLINK(CONCATENATE("#Metadata!", ADDRESS(INDEX($AI$2:$AI$1001,MATCH(ROWS($AG$2:AG920),$AG$2:$AG$1001,0),0), INDEX($AN$1004:$BO$1004,1,MATCH(COLUMNS($AN$1006:BO1006),$AN$1006:$BO$1006,0)))),"Fix")))</f>
        <v>0</v>
      </c>
      <c r="AG920">
        <v>0</v>
      </c>
      <c r="AH920">
        <v>0</v>
      </c>
      <c r="AI920">
        <v>0</v>
      </c>
      <c r="AJ920">
        <f>IF(AK920,TRUE,AND(AN920:BO920))</f>
        <v>0</v>
      </c>
      <c r="AK920">
        <f>COUNTBLANK(Metadata!B920:AC920)=COLUMNS(Metadata!B920:AC920)</f>
        <v>0</v>
      </c>
      <c r="AL920">
        <v>0</v>
      </c>
      <c r="AN920">
        <f>AND(IF(Metadata!B920="",FALSE,TRUE),COUNTIF(Metadata!B:B, Metadata!B920) = 1,NOT(ISERROR(SUMPRODUCT(SEARCH(MID(Metadata!B920,ROW(INDIRECT("1:"&amp;LEN(Metadata!B920))), 1),"0123456789abcdefghijklmnopqrstuvwxyzABCDEFGHIJKLMNOPQRSTUVWXYZ.")))))</f>
        <v>0</v>
      </c>
      <c r="AO920">
        <f>IF(Metadata!C920="",FALSE,TRUE)</f>
        <v>0</v>
      </c>
      <c r="AP920">
        <f>IF(Metadata!D920="",FALSE,TRUE)</f>
        <v>0</v>
      </c>
      <c r="AQ920">
        <f>OR(AND(IF(Metadata!E920="",FALSE,TRUE),OR(exact(Metadata!E920,"not collected"),exact(Metadata!E920,"not provided"),exact(Metadata!E920,"restricted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R920">
        <f>IF(Metadata!F920="",FALSE,TRUE)</f>
        <v>0</v>
      </c>
      <c r="AS920">
        <f>OR(AND(IF(Metadata!G920="",FALSE,TRUE),OR(exact(Metadata!G920,"not collected"),exact(Metadata!G920,"not provided"))),AND(IF(Metadata!G920="",FALSE,TRUE),OR(exact(Metadata!G920,"TRUE"),exact(Metadata!G920,"FALSE"))))</f>
        <v>0</v>
      </c>
      <c r="AT920">
        <f>OR(AND(IF(Metadata!H920="",FALSE,TRUE),OR(exact(Metadata!H920,"not collected"),exact(Metadata!H920,"not provided"),exact(Metadata!H920,"restricted access"))),AND(IF(Metadata!H920="",FALSE,ISNUMBER(VALUE(Metadata!H920))),Metadata!H920&gt;=-413.0))</f>
        <v>0</v>
      </c>
      <c r="AU920">
        <f>AND(IF(Metadata!I920="",FALSE,TRUE),exact(Metadata!I920,"meters"))</f>
        <v>0</v>
      </c>
      <c r="AV920">
        <f>AND(IF(Metadata!J920="",FALSE,TRUE),OR(exact(Metadata!J920,"Host-associated"),exact(Metadata!J920,"Free-living")))</f>
        <v>0</v>
      </c>
      <c r="AW920">
        <f>AND(IF(Metadata!K920="",FALSE,TRUE),OR(exact(Metadata!K920,"Animal"),exact(Metadata!K920,"Fungus"),exact(Metadata!K920,"Plant"),exact(Metadata!K920,"Saline"),exact(Metadata!K920,"Non-saline")))</f>
        <v>0</v>
      </c>
      <c r="AX920">
        <f>AND(IF(Metadata!L920="",FALSE,TRUE),OR(exact(Metadata!L920,"Plant secretion"),exact(Metadata!L920,"Plant rhizosphere"),exact(Metadata!L920,"Plant surface"),exact(Metadata!L920,"Plant corpus"),exact(Metadata!L920,"Fungus surface"),exact(Metadata!L920,"Fungus corpus"),exact(Metadata!L920,"Animal surface"),exact(Metadata!L920,"Animal proximal gut"),exact(Metadata!L920,"Animal corpus"),exact(Metadata!L920,"Animal distal gut"),exact(Metadata!L920,"Animal secretion"),exact(Metadata!L920,"Sub-surface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Y920">
        <f>IF(Metadata!M920="",FALSE,TRUE)</f>
        <v>0</v>
      </c>
      <c r="AZ920">
        <f>IF(Metadata!N920="",FALSE,TRUE)</f>
        <v>0</v>
      </c>
      <c r="BA920">
        <f>IF(Metadata!O920="",FALSE,TRUE)</f>
        <v>0</v>
      </c>
      <c r="BB920">
        <f>OR(AND(IF(Metadata!P920="",FALSE,TRUE),OR(exact(Metadata!P920,"not collected"),exact(Metadata!P920,"not provided"),exact(Metadata!P920,"restricted access"))),AND(IF(Metadata!P920="",FALSE,TRUE),OR(exact(Metadata!P920,"air"),exact(Metadata!P920,"built environment"),exact(Metadata!P920,"host-associated"),exact(Metadata!P920,"human-associated"),exact(Metadata!P920,"human-skin"),exact(Metadata!P920,"human-oral"),exact(Metadata!P920,"human-gut"),exact(Metadata!P920,"human-vaginal"),exact(Metadata!P920,"microbial mat/biofilm"),exact(Metadata!P920,"misc environment"),exact(Metadata!P920,"plant-associated"),exact(Metadata!P920,"sediment"),exact(Metadata!P920,"soil"),exact(Metadata!P920,"wastewater/sludge"),exact(Metadata!P920,"water"))))</f>
        <v>0</v>
      </c>
      <c r="BC920">
        <f>IF(Metadata!Q920="",FALSE,TRUE)</f>
        <v>0</v>
      </c>
      <c r="BD920">
        <f>IF(Metadata!R920="",FALSE,TRUE)</f>
        <v>0</v>
      </c>
      <c r="BE920">
        <f>OR(AND(IF(Metadata!S920="",FALSE,TRUE),OR(exact(Metadata!S920,"not collected"),exact(Metadata!S920,"not provided"),exact(Metadata!S920,"restricted access"))),AND(IF(Metadata!S920="",FALSE,ISNUMBER(VALUE(Metadata!S920))),Metadata!S920&gt;=-90.00,Metadata!S920&lt;=90.00))</f>
        <v>0</v>
      </c>
      <c r="BF920">
        <f>AND(IF(Metadata!T920="",FALSE,TRUE),exact(Metadata!T920,"Decimal degrees"))</f>
        <v>0</v>
      </c>
      <c r="BG920">
        <f>OR(AND(IF(Metadata!U920="",FALSE,TRUE),OR(exact(Metadata!U920,"not collected"),exact(Metadata!U920,"not provided"),exact(Metadata!U920,"restricted access"))),AND(IF(Metadata!U920="",FALSE,ISNUMBER(VALUE(Metadata!U920))),Metadata!U920&gt;=-180.00,Metadata!U920&lt;=180.00))</f>
        <v>0</v>
      </c>
      <c r="BH920">
        <f>AND(IF(Metadata!V920="",FALSE,TRUE),exact(Metadata!V920,"Decimal degrees"))</f>
        <v>0</v>
      </c>
      <c r="BI920">
        <f>IF(Metadata!W920="",FALSE,TRUE)</f>
        <v>0</v>
      </c>
      <c r="BJ920">
        <f>OR(AND(IF(Metadata!X920="",FALSE,TRUE),OR(exact(Metadata!X920,"not collected"),exact(Metadata!X920,"not provided"),exact(Metadata!X920,"restricted access"))),AND(IF(Metadata!X920="",FALSE,TRUE),OR(exact(Metadata!X920,"TRUE"),exact(Metadata!X920,"FALSE"))))</f>
        <v>0</v>
      </c>
      <c r="BK920">
        <f>AND(IF(Metadata!Y920="",FALSE,TRUE),exact(Metadata!Y920,"other"))</f>
        <v>0</v>
      </c>
      <c r="BL920">
        <f>IF(Metadata!Z920="",FALSE,TRUE)</f>
        <v>0</v>
      </c>
      <c r="BM920">
        <f>OR(AND(IF(Metadata!AA920="",FALSE,TRUE),OR(exact(Metadata!AA920,"not collected"),exact(Metadata!AA920,"not provided"))),AND(IF(Metadata!AA920="",FALSE,IF(ISERROR(INT(Metadata!AA920)),FALSE,INT(Metadata!AA920)=Metadata!AA920)),Metadata!AA920&gt;0))</f>
        <v>0</v>
      </c>
      <c r="BN920">
        <f>AND(IF(Metadata!AB920="",FALSE,TRUE),exact(Metadata!AB920,"Not applicable"))</f>
        <v>0</v>
      </c>
      <c r="BO920">
        <f>IF(Metadata!AC920="",FALSE,TRUE)</f>
        <v>0</v>
      </c>
    </row>
    <row r="921" spans="1:67">
      <c r="A921" s="5">
        <f>IF(B921=" "," ",HYPERLINK(CONCATENATE("#metadata!",ADDRESS(INDEX($AI$2:$AI$1001,MATCH(ROWS($AG$2:AG921),$AG$2:$AG$1001,0),0),1)),INDEX($AL$2:$AL$1001,MATCH(ROWS($AG$2:AG921),$AG$2:$AG$1001,0),0)))</f>
        <v>0</v>
      </c>
      <c r="B921" s="4">
        <f>IF(OR(INDEX($AH$2:$AH$1001,MATCH(ROWS($AG$2:AG921),$AG$2:$AG$1001,0),1)&gt;=100000,INDEX($AN$1005:$BO$1005,1,MATCH(COLUMNS($AN$1006:AN1006),$AN$1006:$BO$1006,0))&gt;=100000), " ",IF(INDEX($AN$2:$BO$1001,MATCH(ROWS($AG$2:AG921),$AG$2:$AG$1001,0),MATCH(COLUMNS($AN$1006:AN1006),$AN$1006:$BO$1006,0)), HYPERLINK("#",""), HYPERLINK(CONCATENATE("#Metadata!", ADDRESS(INDEX($AI$2:$AI$1001,MATCH(ROWS($AG$2:AG921),$AG$2:$AG$1001,0),0), INDEX($AN$1004:$BO$1004,1,MATCH(COLUMNS($AN$1006:AN1006),$AN$1006:$BO$1006,0)))),"Fix")))</f>
        <v>0</v>
      </c>
      <c r="C921" s="4">
        <f>IF(OR(INDEX($AH$2:$AH$1001,MATCH(ROWS($AG$2:AG921),$AG$2:$AG$1001,0),1)&gt;=100000,INDEX($AN$1005:$BO$1005,1,MATCH(COLUMNS($AN$1006:AO1006),$AN$1006:$BO$1006,0))&gt;=100000), " ",IF(INDEX($AN$2:$BO$1001,MATCH(ROWS($AG$2:AG921),$AG$2:$AG$1001,0),MATCH(COLUMNS($AN$1006:AO1006),$AN$1006:$BO$1006,0)), HYPERLINK("#",""), HYPERLINK(CONCATENATE("#Metadata!", ADDRESS(INDEX($AI$2:$AI$1001,MATCH(ROWS($AG$2:AG921),$AG$2:$AG$1001,0),0), INDEX($AN$1004:$BO$1004,1,MATCH(COLUMNS($AN$1006:AO1006),$AN$1006:$BO$1006,0)))),"Fix")))</f>
        <v>0</v>
      </c>
      <c r="D921" s="4">
        <f>IF(OR(INDEX($AH$2:$AH$1001,MATCH(ROWS($AG$2:AG921),$AG$2:$AG$1001,0),1)&gt;=100000,INDEX($AN$1005:$BO$1005,1,MATCH(COLUMNS($AN$1006:AP1006),$AN$1006:$BO$1006,0))&gt;=100000), " ",IF(INDEX($AN$2:$BO$1001,MATCH(ROWS($AG$2:AG921),$AG$2:$AG$1001,0),MATCH(COLUMNS($AN$1006:AP1006),$AN$1006:$BO$1006,0)), HYPERLINK("#",""), HYPERLINK(CONCATENATE("#Metadata!", ADDRESS(INDEX($AI$2:$AI$1001,MATCH(ROWS($AG$2:AG921),$AG$2:$AG$1001,0),0), INDEX($AN$1004:$BO$1004,1,MATCH(COLUMNS($AN$1006:AP1006),$AN$1006:$BO$1006,0)))),"Fix")))</f>
        <v>0</v>
      </c>
      <c r="E921" s="4">
        <f>IF(OR(INDEX($AH$2:$AH$1001,MATCH(ROWS($AG$2:AG921),$AG$2:$AG$1001,0),1)&gt;=100000,INDEX($AN$1005:$BO$1005,1,MATCH(COLUMNS($AN$1006:AQ1006),$AN$1006:$BO$1006,0))&gt;=100000), " ",IF(INDEX($AN$2:$BO$1001,MATCH(ROWS($AG$2:AG921),$AG$2:$AG$1001,0),MATCH(COLUMNS($AN$1006:AQ1006),$AN$1006:$BO$1006,0)), HYPERLINK("#",""), HYPERLINK(CONCATENATE("#Metadata!", ADDRESS(INDEX($AI$2:$AI$1001,MATCH(ROWS($AG$2:AG921),$AG$2:$AG$1001,0),0), INDEX($AN$1004:$BO$1004,1,MATCH(COLUMNS($AN$1006:AQ1006),$AN$1006:$BO$1006,0)))),"Fix")))</f>
        <v>0</v>
      </c>
      <c r="F921" s="4">
        <f>IF(OR(INDEX($AH$2:$AH$1001,MATCH(ROWS($AG$2:AG921),$AG$2:$AG$1001,0),1)&gt;=100000,INDEX($AN$1005:$BO$1005,1,MATCH(COLUMNS($AN$1006:AR1006),$AN$1006:$BO$1006,0))&gt;=100000), " ",IF(INDEX($AN$2:$BO$1001,MATCH(ROWS($AG$2:AG921),$AG$2:$AG$1001,0),MATCH(COLUMNS($AN$1006:AR1006),$AN$1006:$BO$1006,0)), HYPERLINK("#",""), HYPERLINK(CONCATENATE("#Metadata!", ADDRESS(INDEX($AI$2:$AI$1001,MATCH(ROWS($AG$2:AG921),$AG$2:$AG$1001,0),0), INDEX($AN$1004:$BO$1004,1,MATCH(COLUMNS($AN$1006:AR1006),$AN$1006:$BO$1006,0)))),"Fix")))</f>
        <v>0</v>
      </c>
      <c r="G921" s="4">
        <f>IF(OR(INDEX($AH$2:$AH$1001,MATCH(ROWS($AG$2:AG921),$AG$2:$AG$1001,0),1)&gt;=100000,INDEX($AN$1005:$BO$1005,1,MATCH(COLUMNS($AN$1006:AS1006),$AN$1006:$BO$1006,0))&gt;=100000), " ",IF(INDEX($AN$2:$BO$1001,MATCH(ROWS($AG$2:AG921),$AG$2:$AG$1001,0),MATCH(COLUMNS($AN$1006:AS1006),$AN$1006:$BO$1006,0)), HYPERLINK("#",""), HYPERLINK(CONCATENATE("#Metadata!", ADDRESS(INDEX($AI$2:$AI$1001,MATCH(ROWS($AG$2:AG921),$AG$2:$AG$1001,0),0), INDEX($AN$1004:$BO$1004,1,MATCH(COLUMNS($AN$1006:AS1006),$AN$1006:$BO$1006,0)))),"Fix")))</f>
        <v>0</v>
      </c>
      <c r="H921" s="4">
        <f>IF(OR(INDEX($AH$2:$AH$1001,MATCH(ROWS($AG$2:AG921),$AG$2:$AG$1001,0),1)&gt;=100000,INDEX($AN$1005:$BO$1005,1,MATCH(COLUMNS($AN$1006:AT1006),$AN$1006:$BO$1006,0))&gt;=100000), " ",IF(INDEX($AN$2:$BO$1001,MATCH(ROWS($AG$2:AG921),$AG$2:$AG$1001,0),MATCH(COLUMNS($AN$1006:AT1006),$AN$1006:$BO$1006,0)), HYPERLINK("#",""), HYPERLINK(CONCATENATE("#Metadata!", ADDRESS(INDEX($AI$2:$AI$1001,MATCH(ROWS($AG$2:AG921),$AG$2:$AG$1001,0),0), INDEX($AN$1004:$BO$1004,1,MATCH(COLUMNS($AN$1006:AT1006),$AN$1006:$BO$1006,0)))),"Fix")))</f>
        <v>0</v>
      </c>
      <c r="I921" s="4">
        <f>IF(OR(INDEX($AH$2:$AH$1001,MATCH(ROWS($AG$2:AG921),$AG$2:$AG$1001,0),1)&gt;=100000,INDEX($AN$1005:$BO$1005,1,MATCH(COLUMNS($AN$1006:AU1006),$AN$1006:$BO$1006,0))&gt;=100000), " ",IF(INDEX($AN$2:$BO$1001,MATCH(ROWS($AG$2:AG921),$AG$2:$AG$1001,0),MATCH(COLUMNS($AN$1006:AU1006),$AN$1006:$BO$1006,0)), HYPERLINK("#",""), HYPERLINK(CONCATENATE("#Metadata!", ADDRESS(INDEX($AI$2:$AI$1001,MATCH(ROWS($AG$2:AG921),$AG$2:$AG$1001,0),0), INDEX($AN$1004:$BO$1004,1,MATCH(COLUMNS($AN$1006:AU1006),$AN$1006:$BO$1006,0)))),"Fix")))</f>
        <v>0</v>
      </c>
      <c r="J921" s="4">
        <f>IF(OR(INDEX($AH$2:$AH$1001,MATCH(ROWS($AG$2:AG921),$AG$2:$AG$1001,0),1)&gt;=100000,INDEX($AN$1005:$BO$1005,1,MATCH(COLUMNS($AN$1006:AV1006),$AN$1006:$BO$1006,0))&gt;=100000), " ",IF(INDEX($AN$2:$BO$1001,MATCH(ROWS($AG$2:AG921),$AG$2:$AG$1001,0),MATCH(COLUMNS($AN$1006:AV1006),$AN$1006:$BO$1006,0)), HYPERLINK("#",""), HYPERLINK(CONCATENATE("#Metadata!", ADDRESS(INDEX($AI$2:$AI$1001,MATCH(ROWS($AG$2:AG921),$AG$2:$AG$1001,0),0), INDEX($AN$1004:$BO$1004,1,MATCH(COLUMNS($AN$1006:AV1006),$AN$1006:$BO$1006,0)))),"Fix")))</f>
        <v>0</v>
      </c>
      <c r="K921" s="4">
        <f>IF(OR(INDEX($AH$2:$AH$1001,MATCH(ROWS($AG$2:AG921),$AG$2:$AG$1001,0),1)&gt;=100000,INDEX($AN$1005:$BO$1005,1,MATCH(COLUMNS($AN$1006:AW1006),$AN$1006:$BO$1006,0))&gt;=100000), " ",IF(INDEX($AN$2:$BO$1001,MATCH(ROWS($AG$2:AG921),$AG$2:$AG$1001,0),MATCH(COLUMNS($AN$1006:AW1006),$AN$1006:$BO$1006,0)), HYPERLINK("#",""), HYPERLINK(CONCATENATE("#Metadata!", ADDRESS(INDEX($AI$2:$AI$1001,MATCH(ROWS($AG$2:AG921),$AG$2:$AG$1001,0),0), INDEX($AN$1004:$BO$1004,1,MATCH(COLUMNS($AN$1006:AW1006),$AN$1006:$BO$1006,0)))),"Fix")))</f>
        <v>0</v>
      </c>
      <c r="L921" s="4">
        <f>IF(OR(INDEX($AH$2:$AH$1001,MATCH(ROWS($AG$2:AG921),$AG$2:$AG$1001,0),1)&gt;=100000,INDEX($AN$1005:$BO$1005,1,MATCH(COLUMNS($AN$1006:AX1006),$AN$1006:$BO$1006,0))&gt;=100000), " ",IF(INDEX($AN$2:$BO$1001,MATCH(ROWS($AG$2:AG921),$AG$2:$AG$1001,0),MATCH(COLUMNS($AN$1006:AX1006),$AN$1006:$BO$1006,0)), HYPERLINK("#",""), HYPERLINK(CONCATENATE("#Metadata!", ADDRESS(INDEX($AI$2:$AI$1001,MATCH(ROWS($AG$2:AG921),$AG$2:$AG$1001,0),0), INDEX($AN$1004:$BO$1004,1,MATCH(COLUMNS($AN$1006:AX1006),$AN$1006:$BO$1006,0)))),"Fix")))</f>
        <v>0</v>
      </c>
      <c r="M921" s="4">
        <f>IF(OR(INDEX($AH$2:$AH$1001,MATCH(ROWS($AG$2:AG921),$AG$2:$AG$1001,0),1)&gt;=100000,INDEX($AN$1005:$BO$1005,1,MATCH(COLUMNS($AN$1006:AY1006),$AN$1006:$BO$1006,0))&gt;=100000), " ",IF(INDEX($AN$2:$BO$1001,MATCH(ROWS($AG$2:AG921),$AG$2:$AG$1001,0),MATCH(COLUMNS($AN$1006:AY1006),$AN$1006:$BO$1006,0)), HYPERLINK("#",""), HYPERLINK(CONCATENATE("#Metadata!", ADDRESS(INDEX($AI$2:$AI$1001,MATCH(ROWS($AG$2:AG921),$AG$2:$AG$1001,0),0), INDEX($AN$1004:$BO$1004,1,MATCH(COLUMNS($AN$1006:AY1006),$AN$1006:$BO$1006,0)))),"Fix")))</f>
        <v>0</v>
      </c>
      <c r="N921" s="4">
        <f>IF(OR(INDEX($AH$2:$AH$1001,MATCH(ROWS($AG$2:AG921),$AG$2:$AG$1001,0),1)&gt;=100000,INDEX($AN$1005:$BO$1005,1,MATCH(COLUMNS($AN$1006:AZ1006),$AN$1006:$BO$1006,0))&gt;=100000), " ",IF(INDEX($AN$2:$BO$1001,MATCH(ROWS($AG$2:AG921),$AG$2:$AG$1001,0),MATCH(COLUMNS($AN$1006:AZ1006),$AN$1006:$BO$1006,0)), HYPERLINK("#",""), HYPERLINK(CONCATENATE("#Metadata!", ADDRESS(INDEX($AI$2:$AI$1001,MATCH(ROWS($AG$2:AG921),$AG$2:$AG$1001,0),0), INDEX($AN$1004:$BO$1004,1,MATCH(COLUMNS($AN$1006:AZ1006),$AN$1006:$BO$1006,0)))),"Fix")))</f>
        <v>0</v>
      </c>
      <c r="O921" s="4">
        <f>IF(OR(INDEX($AH$2:$AH$1001,MATCH(ROWS($AG$2:AG921),$AG$2:$AG$1001,0),1)&gt;=100000,INDEX($AN$1005:$BO$1005,1,MATCH(COLUMNS($AN$1006:BA1006),$AN$1006:$BO$1006,0))&gt;=100000), " ",IF(INDEX($AN$2:$BO$1001,MATCH(ROWS($AG$2:AG921),$AG$2:$AG$1001,0),MATCH(COLUMNS($AN$1006:BA1006),$AN$1006:$BO$1006,0)), HYPERLINK("#",""), HYPERLINK(CONCATENATE("#Metadata!", ADDRESS(INDEX($AI$2:$AI$1001,MATCH(ROWS($AG$2:AG921),$AG$2:$AG$1001,0),0), INDEX($AN$1004:$BO$1004,1,MATCH(COLUMNS($AN$1006:BA1006),$AN$1006:$BO$1006,0)))),"Fix")))</f>
        <v>0</v>
      </c>
      <c r="P921" s="4">
        <f>IF(OR(INDEX($AH$2:$AH$1001,MATCH(ROWS($AG$2:AG921),$AG$2:$AG$1001,0),1)&gt;=100000,INDEX($AN$1005:$BO$1005,1,MATCH(COLUMNS($AN$1006:BB1006),$AN$1006:$BO$1006,0))&gt;=100000), " ",IF(INDEX($AN$2:$BO$1001,MATCH(ROWS($AG$2:AG921),$AG$2:$AG$1001,0),MATCH(COLUMNS($AN$1006:BB1006),$AN$1006:$BO$1006,0)), HYPERLINK("#",""), HYPERLINK(CONCATENATE("#Metadata!", ADDRESS(INDEX($AI$2:$AI$1001,MATCH(ROWS($AG$2:AG921),$AG$2:$AG$1001,0),0), INDEX($AN$1004:$BO$1004,1,MATCH(COLUMNS($AN$1006:BB1006),$AN$1006:$BO$1006,0)))),"Fix")))</f>
        <v>0</v>
      </c>
      <c r="Q921" s="4">
        <f>IF(OR(INDEX($AH$2:$AH$1001,MATCH(ROWS($AG$2:AG921),$AG$2:$AG$1001,0),1)&gt;=100000,INDEX($AN$1005:$BO$1005,1,MATCH(COLUMNS($AN$1006:BC1006),$AN$1006:$BO$1006,0))&gt;=100000), " ",IF(INDEX($AN$2:$BO$1001,MATCH(ROWS($AG$2:AG921),$AG$2:$AG$1001,0),MATCH(COLUMNS($AN$1006:BC1006),$AN$1006:$BO$1006,0)), HYPERLINK("#",""), HYPERLINK(CONCATENATE("#Metadata!", ADDRESS(INDEX($AI$2:$AI$1001,MATCH(ROWS($AG$2:AG921),$AG$2:$AG$1001,0),0), INDEX($AN$1004:$BO$1004,1,MATCH(COLUMNS($AN$1006:BC1006),$AN$1006:$BO$1006,0)))),"Fix")))</f>
        <v>0</v>
      </c>
      <c r="R921" s="4">
        <f>IF(OR(INDEX($AH$2:$AH$1001,MATCH(ROWS($AG$2:AG921),$AG$2:$AG$1001,0),1)&gt;=100000,INDEX($AN$1005:$BO$1005,1,MATCH(COLUMNS($AN$1006:BD1006),$AN$1006:$BO$1006,0))&gt;=100000), " ",IF(INDEX($AN$2:$BO$1001,MATCH(ROWS($AG$2:AG921),$AG$2:$AG$1001,0),MATCH(COLUMNS($AN$1006:BD1006),$AN$1006:$BO$1006,0)), HYPERLINK("#",""), HYPERLINK(CONCATENATE("#Metadata!", ADDRESS(INDEX($AI$2:$AI$1001,MATCH(ROWS($AG$2:AG921),$AG$2:$AG$1001,0),0), INDEX($AN$1004:$BO$1004,1,MATCH(COLUMNS($AN$1006:BD1006),$AN$1006:$BO$1006,0)))),"Fix")))</f>
        <v>0</v>
      </c>
      <c r="S921" s="4">
        <f>IF(OR(INDEX($AH$2:$AH$1001,MATCH(ROWS($AG$2:AG921),$AG$2:$AG$1001,0),1)&gt;=100000,INDEX($AN$1005:$BO$1005,1,MATCH(COLUMNS($AN$1006:BE1006),$AN$1006:$BO$1006,0))&gt;=100000), " ",IF(INDEX($AN$2:$BO$1001,MATCH(ROWS($AG$2:AG921),$AG$2:$AG$1001,0),MATCH(COLUMNS($AN$1006:BE1006),$AN$1006:$BO$1006,0)), HYPERLINK("#",""), HYPERLINK(CONCATENATE("#Metadata!", ADDRESS(INDEX($AI$2:$AI$1001,MATCH(ROWS($AG$2:AG921),$AG$2:$AG$1001,0),0), INDEX($AN$1004:$BO$1004,1,MATCH(COLUMNS($AN$1006:BE1006),$AN$1006:$BO$1006,0)))),"Fix")))</f>
        <v>0</v>
      </c>
      <c r="T921" s="4">
        <f>IF(OR(INDEX($AH$2:$AH$1001,MATCH(ROWS($AG$2:AG921),$AG$2:$AG$1001,0),1)&gt;=100000,INDEX($AN$1005:$BO$1005,1,MATCH(COLUMNS($AN$1006:BF1006),$AN$1006:$BO$1006,0))&gt;=100000), " ",IF(INDEX($AN$2:$BO$1001,MATCH(ROWS($AG$2:AG921),$AG$2:$AG$1001,0),MATCH(COLUMNS($AN$1006:BF1006),$AN$1006:$BO$1006,0)), HYPERLINK("#",""), HYPERLINK(CONCATENATE("#Metadata!", ADDRESS(INDEX($AI$2:$AI$1001,MATCH(ROWS($AG$2:AG921),$AG$2:$AG$1001,0),0), INDEX($AN$1004:$BO$1004,1,MATCH(COLUMNS($AN$1006:BF1006),$AN$1006:$BO$1006,0)))),"Fix")))</f>
        <v>0</v>
      </c>
      <c r="U921" s="4">
        <f>IF(OR(INDEX($AH$2:$AH$1001,MATCH(ROWS($AG$2:AG921),$AG$2:$AG$1001,0),1)&gt;=100000,INDEX($AN$1005:$BO$1005,1,MATCH(COLUMNS($AN$1006:BG1006),$AN$1006:$BO$1006,0))&gt;=100000), " ",IF(INDEX($AN$2:$BO$1001,MATCH(ROWS($AG$2:AG921),$AG$2:$AG$1001,0),MATCH(COLUMNS($AN$1006:BG1006),$AN$1006:$BO$1006,0)), HYPERLINK("#",""), HYPERLINK(CONCATENATE("#Metadata!", ADDRESS(INDEX($AI$2:$AI$1001,MATCH(ROWS($AG$2:AG921),$AG$2:$AG$1001,0),0), INDEX($AN$1004:$BO$1004,1,MATCH(COLUMNS($AN$1006:BG1006),$AN$1006:$BO$1006,0)))),"Fix")))</f>
        <v>0</v>
      </c>
      <c r="V921" s="4">
        <f>IF(OR(INDEX($AH$2:$AH$1001,MATCH(ROWS($AG$2:AG921),$AG$2:$AG$1001,0),1)&gt;=100000,INDEX($AN$1005:$BO$1005,1,MATCH(COLUMNS($AN$1006:BH1006),$AN$1006:$BO$1006,0))&gt;=100000), " ",IF(INDEX($AN$2:$BO$1001,MATCH(ROWS($AG$2:AG921),$AG$2:$AG$1001,0),MATCH(COLUMNS($AN$1006:BH1006),$AN$1006:$BO$1006,0)), HYPERLINK("#",""), HYPERLINK(CONCATENATE("#Metadata!", ADDRESS(INDEX($AI$2:$AI$1001,MATCH(ROWS($AG$2:AG921),$AG$2:$AG$1001,0),0), INDEX($AN$1004:$BO$1004,1,MATCH(COLUMNS($AN$1006:BH1006),$AN$1006:$BO$1006,0)))),"Fix")))</f>
        <v>0</v>
      </c>
      <c r="W921" s="4">
        <f>IF(OR(INDEX($AH$2:$AH$1001,MATCH(ROWS($AG$2:AG921),$AG$2:$AG$1001,0),1)&gt;=100000,INDEX($AN$1005:$BO$1005,1,MATCH(COLUMNS($AN$1006:BI1006),$AN$1006:$BO$1006,0))&gt;=100000), " ",IF(INDEX($AN$2:$BO$1001,MATCH(ROWS($AG$2:AG921),$AG$2:$AG$1001,0),MATCH(COLUMNS($AN$1006:BI1006),$AN$1006:$BO$1006,0)), HYPERLINK("#",""), HYPERLINK(CONCATENATE("#Metadata!", ADDRESS(INDEX($AI$2:$AI$1001,MATCH(ROWS($AG$2:AG921),$AG$2:$AG$1001,0),0), INDEX($AN$1004:$BO$1004,1,MATCH(COLUMNS($AN$1006:BI1006),$AN$1006:$BO$1006,0)))),"Fix")))</f>
        <v>0</v>
      </c>
      <c r="X921" s="4">
        <f>IF(OR(INDEX($AH$2:$AH$1001,MATCH(ROWS($AG$2:AG921),$AG$2:$AG$1001,0),1)&gt;=100000,INDEX($AN$1005:$BO$1005,1,MATCH(COLUMNS($AN$1006:BJ1006),$AN$1006:$BO$1006,0))&gt;=100000), " ",IF(INDEX($AN$2:$BO$1001,MATCH(ROWS($AG$2:AG921),$AG$2:$AG$1001,0),MATCH(COLUMNS($AN$1006:BJ1006),$AN$1006:$BO$1006,0)), HYPERLINK("#",""), HYPERLINK(CONCATENATE("#Metadata!", ADDRESS(INDEX($AI$2:$AI$1001,MATCH(ROWS($AG$2:AG921),$AG$2:$AG$1001,0),0), INDEX($AN$1004:$BO$1004,1,MATCH(COLUMNS($AN$1006:BJ1006),$AN$1006:$BO$1006,0)))),"Fix")))</f>
        <v>0</v>
      </c>
      <c r="Y921" s="4">
        <f>IF(OR(INDEX($AH$2:$AH$1001,MATCH(ROWS($AG$2:AG921),$AG$2:$AG$1001,0),1)&gt;=100000,INDEX($AN$1005:$BO$1005,1,MATCH(COLUMNS($AN$1006:BK1006),$AN$1006:$BO$1006,0))&gt;=100000), " ",IF(INDEX($AN$2:$BO$1001,MATCH(ROWS($AG$2:AG921),$AG$2:$AG$1001,0),MATCH(COLUMNS($AN$1006:BK1006),$AN$1006:$BO$1006,0)), HYPERLINK("#",""), HYPERLINK(CONCATENATE("#Metadata!", ADDRESS(INDEX($AI$2:$AI$1001,MATCH(ROWS($AG$2:AG921),$AG$2:$AG$1001,0),0), INDEX($AN$1004:$BO$1004,1,MATCH(COLUMNS($AN$1006:BK1006),$AN$1006:$BO$1006,0)))),"Fix")))</f>
        <v>0</v>
      </c>
      <c r="Z921" s="4">
        <f>IF(OR(INDEX($AH$2:$AH$1001,MATCH(ROWS($AG$2:AG921),$AG$2:$AG$1001,0),1)&gt;=100000,INDEX($AN$1005:$BO$1005,1,MATCH(COLUMNS($AN$1006:BL1006),$AN$1006:$BO$1006,0))&gt;=100000), " ",IF(INDEX($AN$2:$BO$1001,MATCH(ROWS($AG$2:AG921),$AG$2:$AG$1001,0),MATCH(COLUMNS($AN$1006:BL1006),$AN$1006:$BO$1006,0)), HYPERLINK("#",""), HYPERLINK(CONCATENATE("#Metadata!", ADDRESS(INDEX($AI$2:$AI$1001,MATCH(ROWS($AG$2:AG921),$AG$2:$AG$1001,0),0), INDEX($AN$1004:$BO$1004,1,MATCH(COLUMNS($AN$1006:BL1006),$AN$1006:$BO$1006,0)))),"Fix")))</f>
        <v>0</v>
      </c>
      <c r="AA921" s="4">
        <f>IF(OR(INDEX($AH$2:$AH$1001,MATCH(ROWS($AG$2:AG921),$AG$2:$AG$1001,0),1)&gt;=100000,INDEX($AN$1005:$BO$1005,1,MATCH(COLUMNS($AN$1006:BM1006),$AN$1006:$BO$1006,0))&gt;=100000), " ",IF(INDEX($AN$2:$BO$1001,MATCH(ROWS($AG$2:AG921),$AG$2:$AG$1001,0),MATCH(COLUMNS($AN$1006:BM1006),$AN$1006:$BO$1006,0)), HYPERLINK("#",""), HYPERLINK(CONCATENATE("#Metadata!", ADDRESS(INDEX($AI$2:$AI$1001,MATCH(ROWS($AG$2:AG921),$AG$2:$AG$1001,0),0), INDEX($AN$1004:$BO$1004,1,MATCH(COLUMNS($AN$1006:BM1006),$AN$1006:$BO$1006,0)))),"Fix")))</f>
        <v>0</v>
      </c>
      <c r="AB921" s="4">
        <f>IF(OR(INDEX($AH$2:$AH$1001,MATCH(ROWS($AG$2:AG921),$AG$2:$AG$1001,0),1)&gt;=100000,INDEX($AN$1005:$BO$1005,1,MATCH(COLUMNS($AN$1006:BN1006),$AN$1006:$BO$1006,0))&gt;=100000), " ",IF(INDEX($AN$2:$BO$1001,MATCH(ROWS($AG$2:AG921),$AG$2:$AG$1001,0),MATCH(COLUMNS($AN$1006:BN1006),$AN$1006:$BO$1006,0)), HYPERLINK("#",""), HYPERLINK(CONCATENATE("#Metadata!", ADDRESS(INDEX($AI$2:$AI$1001,MATCH(ROWS($AG$2:AG921),$AG$2:$AG$1001,0),0), INDEX($AN$1004:$BO$1004,1,MATCH(COLUMNS($AN$1006:BN1006),$AN$1006:$BO$1006,0)))),"Fix")))</f>
        <v>0</v>
      </c>
      <c r="AC921" s="4">
        <f>IF(OR(INDEX($AH$2:$AH$1001,MATCH(ROWS($AG$2:AG921),$AG$2:$AG$1001,0),1)&gt;=100000,INDEX($AN$1005:$BO$1005,1,MATCH(COLUMNS($AN$1006:BO1006),$AN$1006:$BO$1006,0))&gt;=100000), " ",IF(INDEX($AN$2:$BO$1001,MATCH(ROWS($AG$2:AG921),$AG$2:$AG$1001,0),MATCH(COLUMNS($AN$1006:BO1006),$AN$1006:$BO$1006,0)), HYPERLINK("#",""), HYPERLINK(CONCATENATE("#Metadata!", ADDRESS(INDEX($AI$2:$AI$1001,MATCH(ROWS($AG$2:AG921),$AG$2:$AG$1001,0),0), INDEX($AN$1004:$BO$1004,1,MATCH(COLUMNS($AN$1006:BO1006),$AN$1006:$BO$1006,0)))),"Fix")))</f>
        <v>0</v>
      </c>
      <c r="AG921">
        <v>0</v>
      </c>
      <c r="AH921">
        <v>0</v>
      </c>
      <c r="AI921">
        <v>0</v>
      </c>
      <c r="AJ921">
        <f>IF(AK921,TRUE,AND(AN921:BO921))</f>
        <v>0</v>
      </c>
      <c r="AK921">
        <f>COUNTBLANK(Metadata!B921:AC921)=COLUMNS(Metadata!B921:AC921)</f>
        <v>0</v>
      </c>
      <c r="AL921">
        <v>0</v>
      </c>
      <c r="AN921">
        <f>AND(IF(Metadata!B921="",FALSE,TRUE),COUNTIF(Metadata!B:B, Metadata!B921) = 1,NOT(ISERROR(SUMPRODUCT(SEARCH(MID(Metadata!B921,ROW(INDIRECT("1:"&amp;LEN(Metadata!B921))), 1),"0123456789abcdefghijklmnopqrstuvwxyzABCDEFGHIJKLMNOPQRSTUVWXYZ.")))))</f>
        <v>0</v>
      </c>
      <c r="AO921">
        <f>IF(Metadata!C921="",FALSE,TRUE)</f>
        <v>0</v>
      </c>
      <c r="AP921">
        <f>IF(Metadata!D921="",FALSE,TRUE)</f>
        <v>0</v>
      </c>
      <c r="AQ921">
        <f>OR(AND(IF(Metadata!E921="",FALSE,TRUE),OR(exact(Metadata!E921,"not collected"),exact(Metadata!E921,"not provided"),exact(Metadata!E921,"restricted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R921">
        <f>IF(Metadata!F921="",FALSE,TRUE)</f>
        <v>0</v>
      </c>
      <c r="AS921">
        <f>OR(AND(IF(Metadata!G921="",FALSE,TRUE),OR(exact(Metadata!G921,"not collected"),exact(Metadata!G921,"not provided"))),AND(IF(Metadata!G921="",FALSE,TRUE),OR(exact(Metadata!G921,"TRUE"),exact(Metadata!G921,"FALSE"))))</f>
        <v>0</v>
      </c>
      <c r="AT921">
        <f>OR(AND(IF(Metadata!H921="",FALSE,TRUE),OR(exact(Metadata!H921,"not collected"),exact(Metadata!H921,"not provided"),exact(Metadata!H921,"restricted access"))),AND(IF(Metadata!H921="",FALSE,ISNUMBER(VALUE(Metadata!H921))),Metadata!H921&gt;=-413.0))</f>
        <v>0</v>
      </c>
      <c r="AU921">
        <f>AND(IF(Metadata!I921="",FALSE,TRUE),exact(Metadata!I921,"meters"))</f>
        <v>0</v>
      </c>
      <c r="AV921">
        <f>AND(IF(Metadata!J921="",FALSE,TRUE),OR(exact(Metadata!J921,"Host-associated"),exact(Metadata!J921,"Free-living")))</f>
        <v>0</v>
      </c>
      <c r="AW921">
        <f>AND(IF(Metadata!K921="",FALSE,TRUE),OR(exact(Metadata!K921,"Animal"),exact(Metadata!K921,"Fungus"),exact(Metadata!K921,"Plant"),exact(Metadata!K921,"Saline"),exact(Metadata!K921,"Non-saline")))</f>
        <v>0</v>
      </c>
      <c r="AX921">
        <f>AND(IF(Metadata!L921="",FALSE,TRUE),OR(exact(Metadata!L921,"Plant secretion"),exact(Metadata!L921,"Plant rhizosphere"),exact(Metadata!L921,"Plant surface"),exact(Metadata!L921,"Plant corpus"),exact(Metadata!L921,"Fungus surface"),exact(Metadata!L921,"Fungus corpus"),exact(Metadata!L921,"Animal surface"),exact(Metadata!L921,"Animal proximal gut"),exact(Metadata!L921,"Animal corpus"),exact(Metadata!L921,"Animal distal gut"),exact(Metadata!L921,"Animal secretion"),exact(Metadata!L921,"Sub-surface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Y921">
        <f>IF(Metadata!M921="",FALSE,TRUE)</f>
        <v>0</v>
      </c>
      <c r="AZ921">
        <f>IF(Metadata!N921="",FALSE,TRUE)</f>
        <v>0</v>
      </c>
      <c r="BA921">
        <f>IF(Metadata!O921="",FALSE,TRUE)</f>
        <v>0</v>
      </c>
      <c r="BB921">
        <f>OR(AND(IF(Metadata!P921="",FALSE,TRUE),OR(exact(Metadata!P921,"not collected"),exact(Metadata!P921,"not provided"),exact(Metadata!P921,"restricted access"))),AND(IF(Metadata!P921="",FALSE,TRUE),OR(exact(Metadata!P921,"air"),exact(Metadata!P921,"built environment"),exact(Metadata!P921,"host-associated"),exact(Metadata!P921,"human-associated"),exact(Metadata!P921,"human-skin"),exact(Metadata!P921,"human-oral"),exact(Metadata!P921,"human-gut"),exact(Metadata!P921,"human-vaginal"),exact(Metadata!P921,"microbial mat/biofilm"),exact(Metadata!P921,"misc environment"),exact(Metadata!P921,"plant-associated"),exact(Metadata!P921,"sediment"),exact(Metadata!P921,"soil"),exact(Metadata!P921,"wastewater/sludge"),exact(Metadata!P921,"water"))))</f>
        <v>0</v>
      </c>
      <c r="BC921">
        <f>IF(Metadata!Q921="",FALSE,TRUE)</f>
        <v>0</v>
      </c>
      <c r="BD921">
        <f>IF(Metadata!R921="",FALSE,TRUE)</f>
        <v>0</v>
      </c>
      <c r="BE921">
        <f>OR(AND(IF(Metadata!S921="",FALSE,TRUE),OR(exact(Metadata!S921,"not collected"),exact(Metadata!S921,"not provided"),exact(Metadata!S921,"restricted access"))),AND(IF(Metadata!S921="",FALSE,ISNUMBER(VALUE(Metadata!S921))),Metadata!S921&gt;=-90.00,Metadata!S921&lt;=90.00))</f>
        <v>0</v>
      </c>
      <c r="BF921">
        <f>AND(IF(Metadata!T921="",FALSE,TRUE),exact(Metadata!T921,"Decimal degrees"))</f>
        <v>0</v>
      </c>
      <c r="BG921">
        <f>OR(AND(IF(Metadata!U921="",FALSE,TRUE),OR(exact(Metadata!U921,"not collected"),exact(Metadata!U921,"not provided"),exact(Metadata!U921,"restricted access"))),AND(IF(Metadata!U921="",FALSE,ISNUMBER(VALUE(Metadata!U921))),Metadata!U921&gt;=-180.00,Metadata!U921&lt;=180.00))</f>
        <v>0</v>
      </c>
      <c r="BH921">
        <f>AND(IF(Metadata!V921="",FALSE,TRUE),exact(Metadata!V921,"Decimal degrees"))</f>
        <v>0</v>
      </c>
      <c r="BI921">
        <f>IF(Metadata!W921="",FALSE,TRUE)</f>
        <v>0</v>
      </c>
      <c r="BJ921">
        <f>OR(AND(IF(Metadata!X921="",FALSE,TRUE),OR(exact(Metadata!X921,"not collected"),exact(Metadata!X921,"not provided"),exact(Metadata!X921,"restricted access"))),AND(IF(Metadata!X921="",FALSE,TRUE),OR(exact(Metadata!X921,"TRUE"),exact(Metadata!X921,"FALSE"))))</f>
        <v>0</v>
      </c>
      <c r="BK921">
        <f>AND(IF(Metadata!Y921="",FALSE,TRUE),exact(Metadata!Y921,"other"))</f>
        <v>0</v>
      </c>
      <c r="BL921">
        <f>IF(Metadata!Z921="",FALSE,TRUE)</f>
        <v>0</v>
      </c>
      <c r="BM921">
        <f>OR(AND(IF(Metadata!AA921="",FALSE,TRUE),OR(exact(Metadata!AA921,"not collected"),exact(Metadata!AA921,"not provided"))),AND(IF(Metadata!AA921="",FALSE,IF(ISERROR(INT(Metadata!AA921)),FALSE,INT(Metadata!AA921)=Metadata!AA921)),Metadata!AA921&gt;0))</f>
        <v>0</v>
      </c>
      <c r="BN921">
        <f>AND(IF(Metadata!AB921="",FALSE,TRUE),exact(Metadata!AB921,"Not applicable"))</f>
        <v>0</v>
      </c>
      <c r="BO921">
        <f>IF(Metadata!AC921="",FALSE,TRUE)</f>
        <v>0</v>
      </c>
    </row>
    <row r="922" spans="1:67">
      <c r="A922" s="5">
        <f>IF(B922=" "," ",HYPERLINK(CONCATENATE("#metadata!",ADDRESS(INDEX($AI$2:$AI$1001,MATCH(ROWS($AG$2:AG922),$AG$2:$AG$1001,0),0),1)),INDEX($AL$2:$AL$1001,MATCH(ROWS($AG$2:AG922),$AG$2:$AG$1001,0),0)))</f>
        <v>0</v>
      </c>
      <c r="B922" s="4">
        <f>IF(OR(INDEX($AH$2:$AH$1001,MATCH(ROWS($AG$2:AG922),$AG$2:$AG$1001,0),1)&gt;=100000,INDEX($AN$1005:$BO$1005,1,MATCH(COLUMNS($AN$1006:AN1006),$AN$1006:$BO$1006,0))&gt;=100000), " ",IF(INDEX($AN$2:$BO$1001,MATCH(ROWS($AG$2:AG922),$AG$2:$AG$1001,0),MATCH(COLUMNS($AN$1006:AN1006),$AN$1006:$BO$1006,0)), HYPERLINK("#",""), HYPERLINK(CONCATENATE("#Metadata!", ADDRESS(INDEX($AI$2:$AI$1001,MATCH(ROWS($AG$2:AG922),$AG$2:$AG$1001,0),0), INDEX($AN$1004:$BO$1004,1,MATCH(COLUMNS($AN$1006:AN1006),$AN$1006:$BO$1006,0)))),"Fix")))</f>
        <v>0</v>
      </c>
      <c r="C922" s="4">
        <f>IF(OR(INDEX($AH$2:$AH$1001,MATCH(ROWS($AG$2:AG922),$AG$2:$AG$1001,0),1)&gt;=100000,INDEX($AN$1005:$BO$1005,1,MATCH(COLUMNS($AN$1006:AO1006),$AN$1006:$BO$1006,0))&gt;=100000), " ",IF(INDEX($AN$2:$BO$1001,MATCH(ROWS($AG$2:AG922),$AG$2:$AG$1001,0),MATCH(COLUMNS($AN$1006:AO1006),$AN$1006:$BO$1006,0)), HYPERLINK("#",""), HYPERLINK(CONCATENATE("#Metadata!", ADDRESS(INDEX($AI$2:$AI$1001,MATCH(ROWS($AG$2:AG922),$AG$2:$AG$1001,0),0), INDEX($AN$1004:$BO$1004,1,MATCH(COLUMNS($AN$1006:AO1006),$AN$1006:$BO$1006,0)))),"Fix")))</f>
        <v>0</v>
      </c>
      <c r="D922" s="4">
        <f>IF(OR(INDEX($AH$2:$AH$1001,MATCH(ROWS($AG$2:AG922),$AG$2:$AG$1001,0),1)&gt;=100000,INDEX($AN$1005:$BO$1005,1,MATCH(COLUMNS($AN$1006:AP1006),$AN$1006:$BO$1006,0))&gt;=100000), " ",IF(INDEX($AN$2:$BO$1001,MATCH(ROWS($AG$2:AG922),$AG$2:$AG$1001,0),MATCH(COLUMNS($AN$1006:AP1006),$AN$1006:$BO$1006,0)), HYPERLINK("#",""), HYPERLINK(CONCATENATE("#Metadata!", ADDRESS(INDEX($AI$2:$AI$1001,MATCH(ROWS($AG$2:AG922),$AG$2:$AG$1001,0),0), INDEX($AN$1004:$BO$1004,1,MATCH(COLUMNS($AN$1006:AP1006),$AN$1006:$BO$1006,0)))),"Fix")))</f>
        <v>0</v>
      </c>
      <c r="E922" s="4">
        <f>IF(OR(INDEX($AH$2:$AH$1001,MATCH(ROWS($AG$2:AG922),$AG$2:$AG$1001,0),1)&gt;=100000,INDEX($AN$1005:$BO$1005,1,MATCH(COLUMNS($AN$1006:AQ1006),$AN$1006:$BO$1006,0))&gt;=100000), " ",IF(INDEX($AN$2:$BO$1001,MATCH(ROWS($AG$2:AG922),$AG$2:$AG$1001,0),MATCH(COLUMNS($AN$1006:AQ1006),$AN$1006:$BO$1006,0)), HYPERLINK("#",""), HYPERLINK(CONCATENATE("#Metadata!", ADDRESS(INDEX($AI$2:$AI$1001,MATCH(ROWS($AG$2:AG922),$AG$2:$AG$1001,0),0), INDEX($AN$1004:$BO$1004,1,MATCH(COLUMNS($AN$1006:AQ1006),$AN$1006:$BO$1006,0)))),"Fix")))</f>
        <v>0</v>
      </c>
      <c r="F922" s="4">
        <f>IF(OR(INDEX($AH$2:$AH$1001,MATCH(ROWS($AG$2:AG922),$AG$2:$AG$1001,0),1)&gt;=100000,INDEX($AN$1005:$BO$1005,1,MATCH(COLUMNS($AN$1006:AR1006),$AN$1006:$BO$1006,0))&gt;=100000), " ",IF(INDEX($AN$2:$BO$1001,MATCH(ROWS($AG$2:AG922),$AG$2:$AG$1001,0),MATCH(COLUMNS($AN$1006:AR1006),$AN$1006:$BO$1006,0)), HYPERLINK("#",""), HYPERLINK(CONCATENATE("#Metadata!", ADDRESS(INDEX($AI$2:$AI$1001,MATCH(ROWS($AG$2:AG922),$AG$2:$AG$1001,0),0), INDEX($AN$1004:$BO$1004,1,MATCH(COLUMNS($AN$1006:AR1006),$AN$1006:$BO$1006,0)))),"Fix")))</f>
        <v>0</v>
      </c>
      <c r="G922" s="4">
        <f>IF(OR(INDEX($AH$2:$AH$1001,MATCH(ROWS($AG$2:AG922),$AG$2:$AG$1001,0),1)&gt;=100000,INDEX($AN$1005:$BO$1005,1,MATCH(COLUMNS($AN$1006:AS1006),$AN$1006:$BO$1006,0))&gt;=100000), " ",IF(INDEX($AN$2:$BO$1001,MATCH(ROWS($AG$2:AG922),$AG$2:$AG$1001,0),MATCH(COLUMNS($AN$1006:AS1006),$AN$1006:$BO$1006,0)), HYPERLINK("#",""), HYPERLINK(CONCATENATE("#Metadata!", ADDRESS(INDEX($AI$2:$AI$1001,MATCH(ROWS($AG$2:AG922),$AG$2:$AG$1001,0),0), INDEX($AN$1004:$BO$1004,1,MATCH(COLUMNS($AN$1006:AS1006),$AN$1006:$BO$1006,0)))),"Fix")))</f>
        <v>0</v>
      </c>
      <c r="H922" s="4">
        <f>IF(OR(INDEX($AH$2:$AH$1001,MATCH(ROWS($AG$2:AG922),$AG$2:$AG$1001,0),1)&gt;=100000,INDEX($AN$1005:$BO$1005,1,MATCH(COLUMNS($AN$1006:AT1006),$AN$1006:$BO$1006,0))&gt;=100000), " ",IF(INDEX($AN$2:$BO$1001,MATCH(ROWS($AG$2:AG922),$AG$2:$AG$1001,0),MATCH(COLUMNS($AN$1006:AT1006),$AN$1006:$BO$1006,0)), HYPERLINK("#",""), HYPERLINK(CONCATENATE("#Metadata!", ADDRESS(INDEX($AI$2:$AI$1001,MATCH(ROWS($AG$2:AG922),$AG$2:$AG$1001,0),0), INDEX($AN$1004:$BO$1004,1,MATCH(COLUMNS($AN$1006:AT1006),$AN$1006:$BO$1006,0)))),"Fix")))</f>
        <v>0</v>
      </c>
      <c r="I922" s="4">
        <f>IF(OR(INDEX($AH$2:$AH$1001,MATCH(ROWS($AG$2:AG922),$AG$2:$AG$1001,0),1)&gt;=100000,INDEX($AN$1005:$BO$1005,1,MATCH(COLUMNS($AN$1006:AU1006),$AN$1006:$BO$1006,0))&gt;=100000), " ",IF(INDEX($AN$2:$BO$1001,MATCH(ROWS($AG$2:AG922),$AG$2:$AG$1001,0),MATCH(COLUMNS($AN$1006:AU1006),$AN$1006:$BO$1006,0)), HYPERLINK("#",""), HYPERLINK(CONCATENATE("#Metadata!", ADDRESS(INDEX($AI$2:$AI$1001,MATCH(ROWS($AG$2:AG922),$AG$2:$AG$1001,0),0), INDEX($AN$1004:$BO$1004,1,MATCH(COLUMNS($AN$1006:AU1006),$AN$1006:$BO$1006,0)))),"Fix")))</f>
        <v>0</v>
      </c>
      <c r="J922" s="4">
        <f>IF(OR(INDEX($AH$2:$AH$1001,MATCH(ROWS($AG$2:AG922),$AG$2:$AG$1001,0),1)&gt;=100000,INDEX($AN$1005:$BO$1005,1,MATCH(COLUMNS($AN$1006:AV1006),$AN$1006:$BO$1006,0))&gt;=100000), " ",IF(INDEX($AN$2:$BO$1001,MATCH(ROWS($AG$2:AG922),$AG$2:$AG$1001,0),MATCH(COLUMNS($AN$1006:AV1006),$AN$1006:$BO$1006,0)), HYPERLINK("#",""), HYPERLINK(CONCATENATE("#Metadata!", ADDRESS(INDEX($AI$2:$AI$1001,MATCH(ROWS($AG$2:AG922),$AG$2:$AG$1001,0),0), INDEX($AN$1004:$BO$1004,1,MATCH(COLUMNS($AN$1006:AV1006),$AN$1006:$BO$1006,0)))),"Fix")))</f>
        <v>0</v>
      </c>
      <c r="K922" s="4">
        <f>IF(OR(INDEX($AH$2:$AH$1001,MATCH(ROWS($AG$2:AG922),$AG$2:$AG$1001,0),1)&gt;=100000,INDEX($AN$1005:$BO$1005,1,MATCH(COLUMNS($AN$1006:AW1006),$AN$1006:$BO$1006,0))&gt;=100000), " ",IF(INDEX($AN$2:$BO$1001,MATCH(ROWS($AG$2:AG922),$AG$2:$AG$1001,0),MATCH(COLUMNS($AN$1006:AW1006),$AN$1006:$BO$1006,0)), HYPERLINK("#",""), HYPERLINK(CONCATENATE("#Metadata!", ADDRESS(INDEX($AI$2:$AI$1001,MATCH(ROWS($AG$2:AG922),$AG$2:$AG$1001,0),0), INDEX($AN$1004:$BO$1004,1,MATCH(COLUMNS($AN$1006:AW1006),$AN$1006:$BO$1006,0)))),"Fix")))</f>
        <v>0</v>
      </c>
      <c r="L922" s="4">
        <f>IF(OR(INDEX($AH$2:$AH$1001,MATCH(ROWS($AG$2:AG922),$AG$2:$AG$1001,0),1)&gt;=100000,INDEX($AN$1005:$BO$1005,1,MATCH(COLUMNS($AN$1006:AX1006),$AN$1006:$BO$1006,0))&gt;=100000), " ",IF(INDEX($AN$2:$BO$1001,MATCH(ROWS($AG$2:AG922),$AG$2:$AG$1001,0),MATCH(COLUMNS($AN$1006:AX1006),$AN$1006:$BO$1006,0)), HYPERLINK("#",""), HYPERLINK(CONCATENATE("#Metadata!", ADDRESS(INDEX($AI$2:$AI$1001,MATCH(ROWS($AG$2:AG922),$AG$2:$AG$1001,0),0), INDEX($AN$1004:$BO$1004,1,MATCH(COLUMNS($AN$1006:AX1006),$AN$1006:$BO$1006,0)))),"Fix")))</f>
        <v>0</v>
      </c>
      <c r="M922" s="4">
        <f>IF(OR(INDEX($AH$2:$AH$1001,MATCH(ROWS($AG$2:AG922),$AG$2:$AG$1001,0),1)&gt;=100000,INDEX($AN$1005:$BO$1005,1,MATCH(COLUMNS($AN$1006:AY1006),$AN$1006:$BO$1006,0))&gt;=100000), " ",IF(INDEX($AN$2:$BO$1001,MATCH(ROWS($AG$2:AG922),$AG$2:$AG$1001,0),MATCH(COLUMNS($AN$1006:AY1006),$AN$1006:$BO$1006,0)), HYPERLINK("#",""), HYPERLINK(CONCATENATE("#Metadata!", ADDRESS(INDEX($AI$2:$AI$1001,MATCH(ROWS($AG$2:AG922),$AG$2:$AG$1001,0),0), INDEX($AN$1004:$BO$1004,1,MATCH(COLUMNS($AN$1006:AY1006),$AN$1006:$BO$1006,0)))),"Fix")))</f>
        <v>0</v>
      </c>
      <c r="N922" s="4">
        <f>IF(OR(INDEX($AH$2:$AH$1001,MATCH(ROWS($AG$2:AG922),$AG$2:$AG$1001,0),1)&gt;=100000,INDEX($AN$1005:$BO$1005,1,MATCH(COLUMNS($AN$1006:AZ1006),$AN$1006:$BO$1006,0))&gt;=100000), " ",IF(INDEX($AN$2:$BO$1001,MATCH(ROWS($AG$2:AG922),$AG$2:$AG$1001,0),MATCH(COLUMNS($AN$1006:AZ1006),$AN$1006:$BO$1006,0)), HYPERLINK("#",""), HYPERLINK(CONCATENATE("#Metadata!", ADDRESS(INDEX($AI$2:$AI$1001,MATCH(ROWS($AG$2:AG922),$AG$2:$AG$1001,0),0), INDEX($AN$1004:$BO$1004,1,MATCH(COLUMNS($AN$1006:AZ1006),$AN$1006:$BO$1006,0)))),"Fix")))</f>
        <v>0</v>
      </c>
      <c r="O922" s="4">
        <f>IF(OR(INDEX($AH$2:$AH$1001,MATCH(ROWS($AG$2:AG922),$AG$2:$AG$1001,0),1)&gt;=100000,INDEX($AN$1005:$BO$1005,1,MATCH(COLUMNS($AN$1006:BA1006),$AN$1006:$BO$1006,0))&gt;=100000), " ",IF(INDEX($AN$2:$BO$1001,MATCH(ROWS($AG$2:AG922),$AG$2:$AG$1001,0),MATCH(COLUMNS($AN$1006:BA1006),$AN$1006:$BO$1006,0)), HYPERLINK("#",""), HYPERLINK(CONCATENATE("#Metadata!", ADDRESS(INDEX($AI$2:$AI$1001,MATCH(ROWS($AG$2:AG922),$AG$2:$AG$1001,0),0), INDEX($AN$1004:$BO$1004,1,MATCH(COLUMNS($AN$1006:BA1006),$AN$1006:$BO$1006,0)))),"Fix")))</f>
        <v>0</v>
      </c>
      <c r="P922" s="4">
        <f>IF(OR(INDEX($AH$2:$AH$1001,MATCH(ROWS($AG$2:AG922),$AG$2:$AG$1001,0),1)&gt;=100000,INDEX($AN$1005:$BO$1005,1,MATCH(COLUMNS($AN$1006:BB1006),$AN$1006:$BO$1006,0))&gt;=100000), " ",IF(INDEX($AN$2:$BO$1001,MATCH(ROWS($AG$2:AG922),$AG$2:$AG$1001,0),MATCH(COLUMNS($AN$1006:BB1006),$AN$1006:$BO$1006,0)), HYPERLINK("#",""), HYPERLINK(CONCATENATE("#Metadata!", ADDRESS(INDEX($AI$2:$AI$1001,MATCH(ROWS($AG$2:AG922),$AG$2:$AG$1001,0),0), INDEX($AN$1004:$BO$1004,1,MATCH(COLUMNS($AN$1006:BB1006),$AN$1006:$BO$1006,0)))),"Fix")))</f>
        <v>0</v>
      </c>
      <c r="Q922" s="4">
        <f>IF(OR(INDEX($AH$2:$AH$1001,MATCH(ROWS($AG$2:AG922),$AG$2:$AG$1001,0),1)&gt;=100000,INDEX($AN$1005:$BO$1005,1,MATCH(COLUMNS($AN$1006:BC1006),$AN$1006:$BO$1006,0))&gt;=100000), " ",IF(INDEX($AN$2:$BO$1001,MATCH(ROWS($AG$2:AG922),$AG$2:$AG$1001,0),MATCH(COLUMNS($AN$1006:BC1006),$AN$1006:$BO$1006,0)), HYPERLINK("#",""), HYPERLINK(CONCATENATE("#Metadata!", ADDRESS(INDEX($AI$2:$AI$1001,MATCH(ROWS($AG$2:AG922),$AG$2:$AG$1001,0),0), INDEX($AN$1004:$BO$1004,1,MATCH(COLUMNS($AN$1006:BC1006),$AN$1006:$BO$1006,0)))),"Fix")))</f>
        <v>0</v>
      </c>
      <c r="R922" s="4">
        <f>IF(OR(INDEX($AH$2:$AH$1001,MATCH(ROWS($AG$2:AG922),$AG$2:$AG$1001,0),1)&gt;=100000,INDEX($AN$1005:$BO$1005,1,MATCH(COLUMNS($AN$1006:BD1006),$AN$1006:$BO$1006,0))&gt;=100000), " ",IF(INDEX($AN$2:$BO$1001,MATCH(ROWS($AG$2:AG922),$AG$2:$AG$1001,0),MATCH(COLUMNS($AN$1006:BD1006),$AN$1006:$BO$1006,0)), HYPERLINK("#",""), HYPERLINK(CONCATENATE("#Metadata!", ADDRESS(INDEX($AI$2:$AI$1001,MATCH(ROWS($AG$2:AG922),$AG$2:$AG$1001,0),0), INDEX($AN$1004:$BO$1004,1,MATCH(COLUMNS($AN$1006:BD1006),$AN$1006:$BO$1006,0)))),"Fix")))</f>
        <v>0</v>
      </c>
      <c r="S922" s="4">
        <f>IF(OR(INDEX($AH$2:$AH$1001,MATCH(ROWS($AG$2:AG922),$AG$2:$AG$1001,0),1)&gt;=100000,INDEX($AN$1005:$BO$1005,1,MATCH(COLUMNS($AN$1006:BE1006),$AN$1006:$BO$1006,0))&gt;=100000), " ",IF(INDEX($AN$2:$BO$1001,MATCH(ROWS($AG$2:AG922),$AG$2:$AG$1001,0),MATCH(COLUMNS($AN$1006:BE1006),$AN$1006:$BO$1006,0)), HYPERLINK("#",""), HYPERLINK(CONCATENATE("#Metadata!", ADDRESS(INDEX($AI$2:$AI$1001,MATCH(ROWS($AG$2:AG922),$AG$2:$AG$1001,0),0), INDEX($AN$1004:$BO$1004,1,MATCH(COLUMNS($AN$1006:BE1006),$AN$1006:$BO$1006,0)))),"Fix")))</f>
        <v>0</v>
      </c>
      <c r="T922" s="4">
        <f>IF(OR(INDEX($AH$2:$AH$1001,MATCH(ROWS($AG$2:AG922),$AG$2:$AG$1001,0),1)&gt;=100000,INDEX($AN$1005:$BO$1005,1,MATCH(COLUMNS($AN$1006:BF1006),$AN$1006:$BO$1006,0))&gt;=100000), " ",IF(INDEX($AN$2:$BO$1001,MATCH(ROWS($AG$2:AG922),$AG$2:$AG$1001,0),MATCH(COLUMNS($AN$1006:BF1006),$AN$1006:$BO$1006,0)), HYPERLINK("#",""), HYPERLINK(CONCATENATE("#Metadata!", ADDRESS(INDEX($AI$2:$AI$1001,MATCH(ROWS($AG$2:AG922),$AG$2:$AG$1001,0),0), INDEX($AN$1004:$BO$1004,1,MATCH(COLUMNS($AN$1006:BF1006),$AN$1006:$BO$1006,0)))),"Fix")))</f>
        <v>0</v>
      </c>
      <c r="U922" s="4">
        <f>IF(OR(INDEX($AH$2:$AH$1001,MATCH(ROWS($AG$2:AG922),$AG$2:$AG$1001,0),1)&gt;=100000,INDEX($AN$1005:$BO$1005,1,MATCH(COLUMNS($AN$1006:BG1006),$AN$1006:$BO$1006,0))&gt;=100000), " ",IF(INDEX($AN$2:$BO$1001,MATCH(ROWS($AG$2:AG922),$AG$2:$AG$1001,0),MATCH(COLUMNS($AN$1006:BG1006),$AN$1006:$BO$1006,0)), HYPERLINK("#",""), HYPERLINK(CONCATENATE("#Metadata!", ADDRESS(INDEX($AI$2:$AI$1001,MATCH(ROWS($AG$2:AG922),$AG$2:$AG$1001,0),0), INDEX($AN$1004:$BO$1004,1,MATCH(COLUMNS($AN$1006:BG1006),$AN$1006:$BO$1006,0)))),"Fix")))</f>
        <v>0</v>
      </c>
      <c r="V922" s="4">
        <f>IF(OR(INDEX($AH$2:$AH$1001,MATCH(ROWS($AG$2:AG922),$AG$2:$AG$1001,0),1)&gt;=100000,INDEX($AN$1005:$BO$1005,1,MATCH(COLUMNS($AN$1006:BH1006),$AN$1006:$BO$1006,0))&gt;=100000), " ",IF(INDEX($AN$2:$BO$1001,MATCH(ROWS($AG$2:AG922),$AG$2:$AG$1001,0),MATCH(COLUMNS($AN$1006:BH1006),$AN$1006:$BO$1006,0)), HYPERLINK("#",""), HYPERLINK(CONCATENATE("#Metadata!", ADDRESS(INDEX($AI$2:$AI$1001,MATCH(ROWS($AG$2:AG922),$AG$2:$AG$1001,0),0), INDEX($AN$1004:$BO$1004,1,MATCH(COLUMNS($AN$1006:BH1006),$AN$1006:$BO$1006,0)))),"Fix")))</f>
        <v>0</v>
      </c>
      <c r="W922" s="4">
        <f>IF(OR(INDEX($AH$2:$AH$1001,MATCH(ROWS($AG$2:AG922),$AG$2:$AG$1001,0),1)&gt;=100000,INDEX($AN$1005:$BO$1005,1,MATCH(COLUMNS($AN$1006:BI1006),$AN$1006:$BO$1006,0))&gt;=100000), " ",IF(INDEX($AN$2:$BO$1001,MATCH(ROWS($AG$2:AG922),$AG$2:$AG$1001,0),MATCH(COLUMNS($AN$1006:BI1006),$AN$1006:$BO$1006,0)), HYPERLINK("#",""), HYPERLINK(CONCATENATE("#Metadata!", ADDRESS(INDEX($AI$2:$AI$1001,MATCH(ROWS($AG$2:AG922),$AG$2:$AG$1001,0),0), INDEX($AN$1004:$BO$1004,1,MATCH(COLUMNS($AN$1006:BI1006),$AN$1006:$BO$1006,0)))),"Fix")))</f>
        <v>0</v>
      </c>
      <c r="X922" s="4">
        <f>IF(OR(INDEX($AH$2:$AH$1001,MATCH(ROWS($AG$2:AG922),$AG$2:$AG$1001,0),1)&gt;=100000,INDEX($AN$1005:$BO$1005,1,MATCH(COLUMNS($AN$1006:BJ1006),$AN$1006:$BO$1006,0))&gt;=100000), " ",IF(INDEX($AN$2:$BO$1001,MATCH(ROWS($AG$2:AG922),$AG$2:$AG$1001,0),MATCH(COLUMNS($AN$1006:BJ1006),$AN$1006:$BO$1006,0)), HYPERLINK("#",""), HYPERLINK(CONCATENATE("#Metadata!", ADDRESS(INDEX($AI$2:$AI$1001,MATCH(ROWS($AG$2:AG922),$AG$2:$AG$1001,0),0), INDEX($AN$1004:$BO$1004,1,MATCH(COLUMNS($AN$1006:BJ1006),$AN$1006:$BO$1006,0)))),"Fix")))</f>
        <v>0</v>
      </c>
      <c r="Y922" s="4">
        <f>IF(OR(INDEX($AH$2:$AH$1001,MATCH(ROWS($AG$2:AG922),$AG$2:$AG$1001,0),1)&gt;=100000,INDEX($AN$1005:$BO$1005,1,MATCH(COLUMNS($AN$1006:BK1006),$AN$1006:$BO$1006,0))&gt;=100000), " ",IF(INDEX($AN$2:$BO$1001,MATCH(ROWS($AG$2:AG922),$AG$2:$AG$1001,0),MATCH(COLUMNS($AN$1006:BK1006),$AN$1006:$BO$1006,0)), HYPERLINK("#",""), HYPERLINK(CONCATENATE("#Metadata!", ADDRESS(INDEX($AI$2:$AI$1001,MATCH(ROWS($AG$2:AG922),$AG$2:$AG$1001,0),0), INDEX($AN$1004:$BO$1004,1,MATCH(COLUMNS($AN$1006:BK1006),$AN$1006:$BO$1006,0)))),"Fix")))</f>
        <v>0</v>
      </c>
      <c r="Z922" s="4">
        <f>IF(OR(INDEX($AH$2:$AH$1001,MATCH(ROWS($AG$2:AG922),$AG$2:$AG$1001,0),1)&gt;=100000,INDEX($AN$1005:$BO$1005,1,MATCH(COLUMNS($AN$1006:BL1006),$AN$1006:$BO$1006,0))&gt;=100000), " ",IF(INDEX($AN$2:$BO$1001,MATCH(ROWS($AG$2:AG922),$AG$2:$AG$1001,0),MATCH(COLUMNS($AN$1006:BL1006),$AN$1006:$BO$1006,0)), HYPERLINK("#",""), HYPERLINK(CONCATENATE("#Metadata!", ADDRESS(INDEX($AI$2:$AI$1001,MATCH(ROWS($AG$2:AG922),$AG$2:$AG$1001,0),0), INDEX($AN$1004:$BO$1004,1,MATCH(COLUMNS($AN$1006:BL1006),$AN$1006:$BO$1006,0)))),"Fix")))</f>
        <v>0</v>
      </c>
      <c r="AA922" s="4">
        <f>IF(OR(INDEX($AH$2:$AH$1001,MATCH(ROWS($AG$2:AG922),$AG$2:$AG$1001,0),1)&gt;=100000,INDEX($AN$1005:$BO$1005,1,MATCH(COLUMNS($AN$1006:BM1006),$AN$1006:$BO$1006,0))&gt;=100000), " ",IF(INDEX($AN$2:$BO$1001,MATCH(ROWS($AG$2:AG922),$AG$2:$AG$1001,0),MATCH(COLUMNS($AN$1006:BM1006),$AN$1006:$BO$1006,0)), HYPERLINK("#",""), HYPERLINK(CONCATENATE("#Metadata!", ADDRESS(INDEX($AI$2:$AI$1001,MATCH(ROWS($AG$2:AG922),$AG$2:$AG$1001,0),0), INDEX($AN$1004:$BO$1004,1,MATCH(COLUMNS($AN$1006:BM1006),$AN$1006:$BO$1006,0)))),"Fix")))</f>
        <v>0</v>
      </c>
      <c r="AB922" s="4">
        <f>IF(OR(INDEX($AH$2:$AH$1001,MATCH(ROWS($AG$2:AG922),$AG$2:$AG$1001,0),1)&gt;=100000,INDEX($AN$1005:$BO$1005,1,MATCH(COLUMNS($AN$1006:BN1006),$AN$1006:$BO$1006,0))&gt;=100000), " ",IF(INDEX($AN$2:$BO$1001,MATCH(ROWS($AG$2:AG922),$AG$2:$AG$1001,0),MATCH(COLUMNS($AN$1006:BN1006),$AN$1006:$BO$1006,0)), HYPERLINK("#",""), HYPERLINK(CONCATENATE("#Metadata!", ADDRESS(INDEX($AI$2:$AI$1001,MATCH(ROWS($AG$2:AG922),$AG$2:$AG$1001,0),0), INDEX($AN$1004:$BO$1004,1,MATCH(COLUMNS($AN$1006:BN1006),$AN$1006:$BO$1006,0)))),"Fix")))</f>
        <v>0</v>
      </c>
      <c r="AC922" s="4">
        <f>IF(OR(INDEX($AH$2:$AH$1001,MATCH(ROWS($AG$2:AG922),$AG$2:$AG$1001,0),1)&gt;=100000,INDEX($AN$1005:$BO$1005,1,MATCH(COLUMNS($AN$1006:BO1006),$AN$1006:$BO$1006,0))&gt;=100000), " ",IF(INDEX($AN$2:$BO$1001,MATCH(ROWS($AG$2:AG922),$AG$2:$AG$1001,0),MATCH(COLUMNS($AN$1006:BO1006),$AN$1006:$BO$1006,0)), HYPERLINK("#",""), HYPERLINK(CONCATENATE("#Metadata!", ADDRESS(INDEX($AI$2:$AI$1001,MATCH(ROWS($AG$2:AG922),$AG$2:$AG$1001,0),0), INDEX($AN$1004:$BO$1004,1,MATCH(COLUMNS($AN$1006:BO1006),$AN$1006:$BO$1006,0)))),"Fix")))</f>
        <v>0</v>
      </c>
      <c r="AG922">
        <v>0</v>
      </c>
      <c r="AH922">
        <v>0</v>
      </c>
      <c r="AI922">
        <v>0</v>
      </c>
      <c r="AJ922">
        <f>IF(AK922,TRUE,AND(AN922:BO922))</f>
        <v>0</v>
      </c>
      <c r="AK922">
        <f>COUNTBLANK(Metadata!B922:AC922)=COLUMNS(Metadata!B922:AC922)</f>
        <v>0</v>
      </c>
      <c r="AL922">
        <v>0</v>
      </c>
      <c r="AN922">
        <f>AND(IF(Metadata!B922="",FALSE,TRUE),COUNTIF(Metadata!B:B, Metadata!B922) = 1,NOT(ISERROR(SUMPRODUCT(SEARCH(MID(Metadata!B922,ROW(INDIRECT("1:"&amp;LEN(Metadata!B922))), 1),"0123456789abcdefghijklmnopqrstuvwxyzABCDEFGHIJKLMNOPQRSTUVWXYZ.")))))</f>
        <v>0</v>
      </c>
      <c r="AO922">
        <f>IF(Metadata!C922="",FALSE,TRUE)</f>
        <v>0</v>
      </c>
      <c r="AP922">
        <f>IF(Metadata!D922="",FALSE,TRUE)</f>
        <v>0</v>
      </c>
      <c r="AQ922">
        <f>OR(AND(IF(Metadata!E922="",FALSE,TRUE),OR(exact(Metadata!E922,"not collected"),exact(Metadata!E922,"not provided"),exact(Metadata!E922,"restricted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R922">
        <f>IF(Metadata!F922="",FALSE,TRUE)</f>
        <v>0</v>
      </c>
      <c r="AS922">
        <f>OR(AND(IF(Metadata!G922="",FALSE,TRUE),OR(exact(Metadata!G922,"not collected"),exact(Metadata!G922,"not provided"))),AND(IF(Metadata!G922="",FALSE,TRUE),OR(exact(Metadata!G922,"TRUE"),exact(Metadata!G922,"FALSE"))))</f>
        <v>0</v>
      </c>
      <c r="AT922">
        <f>OR(AND(IF(Metadata!H922="",FALSE,TRUE),OR(exact(Metadata!H922,"not collected"),exact(Metadata!H922,"not provided"),exact(Metadata!H922,"restricted access"))),AND(IF(Metadata!H922="",FALSE,ISNUMBER(VALUE(Metadata!H922))),Metadata!H922&gt;=-413.0))</f>
        <v>0</v>
      </c>
      <c r="AU922">
        <f>AND(IF(Metadata!I922="",FALSE,TRUE),exact(Metadata!I922,"meters"))</f>
        <v>0</v>
      </c>
      <c r="AV922">
        <f>AND(IF(Metadata!J922="",FALSE,TRUE),OR(exact(Metadata!J922,"Host-associated"),exact(Metadata!J922,"Free-living")))</f>
        <v>0</v>
      </c>
      <c r="AW922">
        <f>AND(IF(Metadata!K922="",FALSE,TRUE),OR(exact(Metadata!K922,"Animal"),exact(Metadata!K922,"Fungus"),exact(Metadata!K922,"Plant"),exact(Metadata!K922,"Saline"),exact(Metadata!K922,"Non-saline")))</f>
        <v>0</v>
      </c>
      <c r="AX922">
        <f>AND(IF(Metadata!L922="",FALSE,TRUE),OR(exact(Metadata!L922,"Plant secretion"),exact(Metadata!L922,"Plant rhizosphere"),exact(Metadata!L922,"Plant surface"),exact(Metadata!L922,"Plant corpus"),exact(Metadata!L922,"Fungus surface"),exact(Metadata!L922,"Fungus corpus"),exact(Metadata!L922,"Animal surface"),exact(Metadata!L922,"Animal proximal gut"),exact(Metadata!L922,"Animal corpus"),exact(Metadata!L922,"Animal distal gut"),exact(Metadata!L922,"Animal secretion"),exact(Metadata!L922,"Sub-surface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Y922">
        <f>IF(Metadata!M922="",FALSE,TRUE)</f>
        <v>0</v>
      </c>
      <c r="AZ922">
        <f>IF(Metadata!N922="",FALSE,TRUE)</f>
        <v>0</v>
      </c>
      <c r="BA922">
        <f>IF(Metadata!O922="",FALSE,TRUE)</f>
        <v>0</v>
      </c>
      <c r="BB922">
        <f>OR(AND(IF(Metadata!P922="",FALSE,TRUE),OR(exact(Metadata!P922,"not collected"),exact(Metadata!P922,"not provided"),exact(Metadata!P922,"restricted access"))),AND(IF(Metadata!P922="",FALSE,TRUE),OR(exact(Metadata!P922,"air"),exact(Metadata!P922,"built environment"),exact(Metadata!P922,"host-associated"),exact(Metadata!P922,"human-associated"),exact(Metadata!P922,"human-skin"),exact(Metadata!P922,"human-oral"),exact(Metadata!P922,"human-gut"),exact(Metadata!P922,"human-vaginal"),exact(Metadata!P922,"microbial mat/biofilm"),exact(Metadata!P922,"misc environment"),exact(Metadata!P922,"plant-associated"),exact(Metadata!P922,"sediment"),exact(Metadata!P922,"soil"),exact(Metadata!P922,"wastewater/sludge"),exact(Metadata!P922,"water"))))</f>
        <v>0</v>
      </c>
      <c r="BC922">
        <f>IF(Metadata!Q922="",FALSE,TRUE)</f>
        <v>0</v>
      </c>
      <c r="BD922">
        <f>IF(Metadata!R922="",FALSE,TRUE)</f>
        <v>0</v>
      </c>
      <c r="BE922">
        <f>OR(AND(IF(Metadata!S922="",FALSE,TRUE),OR(exact(Metadata!S922,"not collected"),exact(Metadata!S922,"not provided"),exact(Metadata!S922,"restricted access"))),AND(IF(Metadata!S922="",FALSE,ISNUMBER(VALUE(Metadata!S922))),Metadata!S922&gt;=-90.00,Metadata!S922&lt;=90.00))</f>
        <v>0</v>
      </c>
      <c r="BF922">
        <f>AND(IF(Metadata!T922="",FALSE,TRUE),exact(Metadata!T922,"Decimal degrees"))</f>
        <v>0</v>
      </c>
      <c r="BG922">
        <f>OR(AND(IF(Metadata!U922="",FALSE,TRUE),OR(exact(Metadata!U922,"not collected"),exact(Metadata!U922,"not provided"),exact(Metadata!U922,"restricted access"))),AND(IF(Metadata!U922="",FALSE,ISNUMBER(VALUE(Metadata!U922))),Metadata!U922&gt;=-180.00,Metadata!U922&lt;=180.00))</f>
        <v>0</v>
      </c>
      <c r="BH922">
        <f>AND(IF(Metadata!V922="",FALSE,TRUE),exact(Metadata!V922,"Decimal degrees"))</f>
        <v>0</v>
      </c>
      <c r="BI922">
        <f>IF(Metadata!W922="",FALSE,TRUE)</f>
        <v>0</v>
      </c>
      <c r="BJ922">
        <f>OR(AND(IF(Metadata!X922="",FALSE,TRUE),OR(exact(Metadata!X922,"not collected"),exact(Metadata!X922,"not provided"),exact(Metadata!X922,"restricted access"))),AND(IF(Metadata!X922="",FALSE,TRUE),OR(exact(Metadata!X922,"TRUE"),exact(Metadata!X922,"FALSE"))))</f>
        <v>0</v>
      </c>
      <c r="BK922">
        <f>AND(IF(Metadata!Y922="",FALSE,TRUE),exact(Metadata!Y922,"other"))</f>
        <v>0</v>
      </c>
      <c r="BL922">
        <f>IF(Metadata!Z922="",FALSE,TRUE)</f>
        <v>0</v>
      </c>
      <c r="BM922">
        <f>OR(AND(IF(Metadata!AA922="",FALSE,TRUE),OR(exact(Metadata!AA922,"not collected"),exact(Metadata!AA922,"not provided"))),AND(IF(Metadata!AA922="",FALSE,IF(ISERROR(INT(Metadata!AA922)),FALSE,INT(Metadata!AA922)=Metadata!AA922)),Metadata!AA922&gt;0))</f>
        <v>0</v>
      </c>
      <c r="BN922">
        <f>AND(IF(Metadata!AB922="",FALSE,TRUE),exact(Metadata!AB922,"Not applicable"))</f>
        <v>0</v>
      </c>
      <c r="BO922">
        <f>IF(Metadata!AC922="",FALSE,TRUE)</f>
        <v>0</v>
      </c>
    </row>
    <row r="923" spans="1:67">
      <c r="A923" s="5">
        <f>IF(B923=" "," ",HYPERLINK(CONCATENATE("#metadata!",ADDRESS(INDEX($AI$2:$AI$1001,MATCH(ROWS($AG$2:AG923),$AG$2:$AG$1001,0),0),1)),INDEX($AL$2:$AL$1001,MATCH(ROWS($AG$2:AG923),$AG$2:$AG$1001,0),0)))</f>
        <v>0</v>
      </c>
      <c r="B923" s="4">
        <f>IF(OR(INDEX($AH$2:$AH$1001,MATCH(ROWS($AG$2:AG923),$AG$2:$AG$1001,0),1)&gt;=100000,INDEX($AN$1005:$BO$1005,1,MATCH(COLUMNS($AN$1006:AN1006),$AN$1006:$BO$1006,0))&gt;=100000), " ",IF(INDEX($AN$2:$BO$1001,MATCH(ROWS($AG$2:AG923),$AG$2:$AG$1001,0),MATCH(COLUMNS($AN$1006:AN1006),$AN$1006:$BO$1006,0)), HYPERLINK("#",""), HYPERLINK(CONCATENATE("#Metadata!", ADDRESS(INDEX($AI$2:$AI$1001,MATCH(ROWS($AG$2:AG923),$AG$2:$AG$1001,0),0), INDEX($AN$1004:$BO$1004,1,MATCH(COLUMNS($AN$1006:AN1006),$AN$1006:$BO$1006,0)))),"Fix")))</f>
        <v>0</v>
      </c>
      <c r="C923" s="4">
        <f>IF(OR(INDEX($AH$2:$AH$1001,MATCH(ROWS($AG$2:AG923),$AG$2:$AG$1001,0),1)&gt;=100000,INDEX($AN$1005:$BO$1005,1,MATCH(COLUMNS($AN$1006:AO1006),$AN$1006:$BO$1006,0))&gt;=100000), " ",IF(INDEX($AN$2:$BO$1001,MATCH(ROWS($AG$2:AG923),$AG$2:$AG$1001,0),MATCH(COLUMNS($AN$1006:AO1006),$AN$1006:$BO$1006,0)), HYPERLINK("#",""), HYPERLINK(CONCATENATE("#Metadata!", ADDRESS(INDEX($AI$2:$AI$1001,MATCH(ROWS($AG$2:AG923),$AG$2:$AG$1001,0),0), INDEX($AN$1004:$BO$1004,1,MATCH(COLUMNS($AN$1006:AO1006),$AN$1006:$BO$1006,0)))),"Fix")))</f>
        <v>0</v>
      </c>
      <c r="D923" s="4">
        <f>IF(OR(INDEX($AH$2:$AH$1001,MATCH(ROWS($AG$2:AG923),$AG$2:$AG$1001,0),1)&gt;=100000,INDEX($AN$1005:$BO$1005,1,MATCH(COLUMNS($AN$1006:AP1006),$AN$1006:$BO$1006,0))&gt;=100000), " ",IF(INDEX($AN$2:$BO$1001,MATCH(ROWS($AG$2:AG923),$AG$2:$AG$1001,0),MATCH(COLUMNS($AN$1006:AP1006),$AN$1006:$BO$1006,0)), HYPERLINK("#",""), HYPERLINK(CONCATENATE("#Metadata!", ADDRESS(INDEX($AI$2:$AI$1001,MATCH(ROWS($AG$2:AG923),$AG$2:$AG$1001,0),0), INDEX($AN$1004:$BO$1004,1,MATCH(COLUMNS($AN$1006:AP1006),$AN$1006:$BO$1006,0)))),"Fix")))</f>
        <v>0</v>
      </c>
      <c r="E923" s="4">
        <f>IF(OR(INDEX($AH$2:$AH$1001,MATCH(ROWS($AG$2:AG923),$AG$2:$AG$1001,0),1)&gt;=100000,INDEX($AN$1005:$BO$1005,1,MATCH(COLUMNS($AN$1006:AQ1006),$AN$1006:$BO$1006,0))&gt;=100000), " ",IF(INDEX($AN$2:$BO$1001,MATCH(ROWS($AG$2:AG923),$AG$2:$AG$1001,0),MATCH(COLUMNS($AN$1006:AQ1006),$AN$1006:$BO$1006,0)), HYPERLINK("#",""), HYPERLINK(CONCATENATE("#Metadata!", ADDRESS(INDEX($AI$2:$AI$1001,MATCH(ROWS($AG$2:AG923),$AG$2:$AG$1001,0),0), INDEX($AN$1004:$BO$1004,1,MATCH(COLUMNS($AN$1006:AQ1006),$AN$1006:$BO$1006,0)))),"Fix")))</f>
        <v>0</v>
      </c>
      <c r="F923" s="4">
        <f>IF(OR(INDEX($AH$2:$AH$1001,MATCH(ROWS($AG$2:AG923),$AG$2:$AG$1001,0),1)&gt;=100000,INDEX($AN$1005:$BO$1005,1,MATCH(COLUMNS($AN$1006:AR1006),$AN$1006:$BO$1006,0))&gt;=100000), " ",IF(INDEX($AN$2:$BO$1001,MATCH(ROWS($AG$2:AG923),$AG$2:$AG$1001,0),MATCH(COLUMNS($AN$1006:AR1006),$AN$1006:$BO$1006,0)), HYPERLINK("#",""), HYPERLINK(CONCATENATE("#Metadata!", ADDRESS(INDEX($AI$2:$AI$1001,MATCH(ROWS($AG$2:AG923),$AG$2:$AG$1001,0),0), INDEX($AN$1004:$BO$1004,1,MATCH(COLUMNS($AN$1006:AR1006),$AN$1006:$BO$1006,0)))),"Fix")))</f>
        <v>0</v>
      </c>
      <c r="G923" s="4">
        <f>IF(OR(INDEX($AH$2:$AH$1001,MATCH(ROWS($AG$2:AG923),$AG$2:$AG$1001,0),1)&gt;=100000,INDEX($AN$1005:$BO$1005,1,MATCH(COLUMNS($AN$1006:AS1006),$AN$1006:$BO$1006,0))&gt;=100000), " ",IF(INDEX($AN$2:$BO$1001,MATCH(ROWS($AG$2:AG923),$AG$2:$AG$1001,0),MATCH(COLUMNS($AN$1006:AS1006),$AN$1006:$BO$1006,0)), HYPERLINK("#",""), HYPERLINK(CONCATENATE("#Metadata!", ADDRESS(INDEX($AI$2:$AI$1001,MATCH(ROWS($AG$2:AG923),$AG$2:$AG$1001,0),0), INDEX($AN$1004:$BO$1004,1,MATCH(COLUMNS($AN$1006:AS1006),$AN$1006:$BO$1006,0)))),"Fix")))</f>
        <v>0</v>
      </c>
      <c r="H923" s="4">
        <f>IF(OR(INDEX($AH$2:$AH$1001,MATCH(ROWS($AG$2:AG923),$AG$2:$AG$1001,0),1)&gt;=100000,INDEX($AN$1005:$BO$1005,1,MATCH(COLUMNS($AN$1006:AT1006),$AN$1006:$BO$1006,0))&gt;=100000), " ",IF(INDEX($AN$2:$BO$1001,MATCH(ROWS($AG$2:AG923),$AG$2:$AG$1001,0),MATCH(COLUMNS($AN$1006:AT1006),$AN$1006:$BO$1006,0)), HYPERLINK("#",""), HYPERLINK(CONCATENATE("#Metadata!", ADDRESS(INDEX($AI$2:$AI$1001,MATCH(ROWS($AG$2:AG923),$AG$2:$AG$1001,0),0), INDEX($AN$1004:$BO$1004,1,MATCH(COLUMNS($AN$1006:AT1006),$AN$1006:$BO$1006,0)))),"Fix")))</f>
        <v>0</v>
      </c>
      <c r="I923" s="4">
        <f>IF(OR(INDEX($AH$2:$AH$1001,MATCH(ROWS($AG$2:AG923),$AG$2:$AG$1001,0),1)&gt;=100000,INDEX($AN$1005:$BO$1005,1,MATCH(COLUMNS($AN$1006:AU1006),$AN$1006:$BO$1006,0))&gt;=100000), " ",IF(INDEX($AN$2:$BO$1001,MATCH(ROWS($AG$2:AG923),$AG$2:$AG$1001,0),MATCH(COLUMNS($AN$1006:AU1006),$AN$1006:$BO$1006,0)), HYPERLINK("#",""), HYPERLINK(CONCATENATE("#Metadata!", ADDRESS(INDEX($AI$2:$AI$1001,MATCH(ROWS($AG$2:AG923),$AG$2:$AG$1001,0),0), INDEX($AN$1004:$BO$1004,1,MATCH(COLUMNS($AN$1006:AU1006),$AN$1006:$BO$1006,0)))),"Fix")))</f>
        <v>0</v>
      </c>
      <c r="J923" s="4">
        <f>IF(OR(INDEX($AH$2:$AH$1001,MATCH(ROWS($AG$2:AG923),$AG$2:$AG$1001,0),1)&gt;=100000,INDEX($AN$1005:$BO$1005,1,MATCH(COLUMNS($AN$1006:AV1006),$AN$1006:$BO$1006,0))&gt;=100000), " ",IF(INDEX($AN$2:$BO$1001,MATCH(ROWS($AG$2:AG923),$AG$2:$AG$1001,0),MATCH(COLUMNS($AN$1006:AV1006),$AN$1006:$BO$1006,0)), HYPERLINK("#",""), HYPERLINK(CONCATENATE("#Metadata!", ADDRESS(INDEX($AI$2:$AI$1001,MATCH(ROWS($AG$2:AG923),$AG$2:$AG$1001,0),0), INDEX($AN$1004:$BO$1004,1,MATCH(COLUMNS($AN$1006:AV1006),$AN$1006:$BO$1006,0)))),"Fix")))</f>
        <v>0</v>
      </c>
      <c r="K923" s="4">
        <f>IF(OR(INDEX($AH$2:$AH$1001,MATCH(ROWS($AG$2:AG923),$AG$2:$AG$1001,0),1)&gt;=100000,INDEX($AN$1005:$BO$1005,1,MATCH(COLUMNS($AN$1006:AW1006),$AN$1006:$BO$1006,0))&gt;=100000), " ",IF(INDEX($AN$2:$BO$1001,MATCH(ROWS($AG$2:AG923),$AG$2:$AG$1001,0),MATCH(COLUMNS($AN$1006:AW1006),$AN$1006:$BO$1006,0)), HYPERLINK("#",""), HYPERLINK(CONCATENATE("#Metadata!", ADDRESS(INDEX($AI$2:$AI$1001,MATCH(ROWS($AG$2:AG923),$AG$2:$AG$1001,0),0), INDEX($AN$1004:$BO$1004,1,MATCH(COLUMNS($AN$1006:AW1006),$AN$1006:$BO$1006,0)))),"Fix")))</f>
        <v>0</v>
      </c>
      <c r="L923" s="4">
        <f>IF(OR(INDEX($AH$2:$AH$1001,MATCH(ROWS($AG$2:AG923),$AG$2:$AG$1001,0),1)&gt;=100000,INDEX($AN$1005:$BO$1005,1,MATCH(COLUMNS($AN$1006:AX1006),$AN$1006:$BO$1006,0))&gt;=100000), " ",IF(INDEX($AN$2:$BO$1001,MATCH(ROWS($AG$2:AG923),$AG$2:$AG$1001,0),MATCH(COLUMNS($AN$1006:AX1006),$AN$1006:$BO$1006,0)), HYPERLINK("#",""), HYPERLINK(CONCATENATE("#Metadata!", ADDRESS(INDEX($AI$2:$AI$1001,MATCH(ROWS($AG$2:AG923),$AG$2:$AG$1001,0),0), INDEX($AN$1004:$BO$1004,1,MATCH(COLUMNS($AN$1006:AX1006),$AN$1006:$BO$1006,0)))),"Fix")))</f>
        <v>0</v>
      </c>
      <c r="M923" s="4">
        <f>IF(OR(INDEX($AH$2:$AH$1001,MATCH(ROWS($AG$2:AG923),$AG$2:$AG$1001,0),1)&gt;=100000,INDEX($AN$1005:$BO$1005,1,MATCH(COLUMNS($AN$1006:AY1006),$AN$1006:$BO$1006,0))&gt;=100000), " ",IF(INDEX($AN$2:$BO$1001,MATCH(ROWS($AG$2:AG923),$AG$2:$AG$1001,0),MATCH(COLUMNS($AN$1006:AY1006),$AN$1006:$BO$1006,0)), HYPERLINK("#",""), HYPERLINK(CONCATENATE("#Metadata!", ADDRESS(INDEX($AI$2:$AI$1001,MATCH(ROWS($AG$2:AG923),$AG$2:$AG$1001,0),0), INDEX($AN$1004:$BO$1004,1,MATCH(COLUMNS($AN$1006:AY1006),$AN$1006:$BO$1006,0)))),"Fix")))</f>
        <v>0</v>
      </c>
      <c r="N923" s="4">
        <f>IF(OR(INDEX($AH$2:$AH$1001,MATCH(ROWS($AG$2:AG923),$AG$2:$AG$1001,0),1)&gt;=100000,INDEX($AN$1005:$BO$1005,1,MATCH(COLUMNS($AN$1006:AZ1006),$AN$1006:$BO$1006,0))&gt;=100000), " ",IF(INDEX($AN$2:$BO$1001,MATCH(ROWS($AG$2:AG923),$AG$2:$AG$1001,0),MATCH(COLUMNS($AN$1006:AZ1006),$AN$1006:$BO$1006,0)), HYPERLINK("#",""), HYPERLINK(CONCATENATE("#Metadata!", ADDRESS(INDEX($AI$2:$AI$1001,MATCH(ROWS($AG$2:AG923),$AG$2:$AG$1001,0),0), INDEX($AN$1004:$BO$1004,1,MATCH(COLUMNS($AN$1006:AZ1006),$AN$1006:$BO$1006,0)))),"Fix")))</f>
        <v>0</v>
      </c>
      <c r="O923" s="4">
        <f>IF(OR(INDEX($AH$2:$AH$1001,MATCH(ROWS($AG$2:AG923),$AG$2:$AG$1001,0),1)&gt;=100000,INDEX($AN$1005:$BO$1005,1,MATCH(COLUMNS($AN$1006:BA1006),$AN$1006:$BO$1006,0))&gt;=100000), " ",IF(INDEX($AN$2:$BO$1001,MATCH(ROWS($AG$2:AG923),$AG$2:$AG$1001,0),MATCH(COLUMNS($AN$1006:BA1006),$AN$1006:$BO$1006,0)), HYPERLINK("#",""), HYPERLINK(CONCATENATE("#Metadata!", ADDRESS(INDEX($AI$2:$AI$1001,MATCH(ROWS($AG$2:AG923),$AG$2:$AG$1001,0),0), INDEX($AN$1004:$BO$1004,1,MATCH(COLUMNS($AN$1006:BA1006),$AN$1006:$BO$1006,0)))),"Fix")))</f>
        <v>0</v>
      </c>
      <c r="P923" s="4">
        <f>IF(OR(INDEX($AH$2:$AH$1001,MATCH(ROWS($AG$2:AG923),$AG$2:$AG$1001,0),1)&gt;=100000,INDEX($AN$1005:$BO$1005,1,MATCH(COLUMNS($AN$1006:BB1006),$AN$1006:$BO$1006,0))&gt;=100000), " ",IF(INDEX($AN$2:$BO$1001,MATCH(ROWS($AG$2:AG923),$AG$2:$AG$1001,0),MATCH(COLUMNS($AN$1006:BB1006),$AN$1006:$BO$1006,0)), HYPERLINK("#",""), HYPERLINK(CONCATENATE("#Metadata!", ADDRESS(INDEX($AI$2:$AI$1001,MATCH(ROWS($AG$2:AG923),$AG$2:$AG$1001,0),0), INDEX($AN$1004:$BO$1004,1,MATCH(COLUMNS($AN$1006:BB1006),$AN$1006:$BO$1006,0)))),"Fix")))</f>
        <v>0</v>
      </c>
      <c r="Q923" s="4">
        <f>IF(OR(INDEX($AH$2:$AH$1001,MATCH(ROWS($AG$2:AG923),$AG$2:$AG$1001,0),1)&gt;=100000,INDEX($AN$1005:$BO$1005,1,MATCH(COLUMNS($AN$1006:BC1006),$AN$1006:$BO$1006,0))&gt;=100000), " ",IF(INDEX($AN$2:$BO$1001,MATCH(ROWS($AG$2:AG923),$AG$2:$AG$1001,0),MATCH(COLUMNS($AN$1006:BC1006),$AN$1006:$BO$1006,0)), HYPERLINK("#",""), HYPERLINK(CONCATENATE("#Metadata!", ADDRESS(INDEX($AI$2:$AI$1001,MATCH(ROWS($AG$2:AG923),$AG$2:$AG$1001,0),0), INDEX($AN$1004:$BO$1004,1,MATCH(COLUMNS($AN$1006:BC1006),$AN$1006:$BO$1006,0)))),"Fix")))</f>
        <v>0</v>
      </c>
      <c r="R923" s="4">
        <f>IF(OR(INDEX($AH$2:$AH$1001,MATCH(ROWS($AG$2:AG923),$AG$2:$AG$1001,0),1)&gt;=100000,INDEX($AN$1005:$BO$1005,1,MATCH(COLUMNS($AN$1006:BD1006),$AN$1006:$BO$1006,0))&gt;=100000), " ",IF(INDEX($AN$2:$BO$1001,MATCH(ROWS($AG$2:AG923),$AG$2:$AG$1001,0),MATCH(COLUMNS($AN$1006:BD1006),$AN$1006:$BO$1006,0)), HYPERLINK("#",""), HYPERLINK(CONCATENATE("#Metadata!", ADDRESS(INDEX($AI$2:$AI$1001,MATCH(ROWS($AG$2:AG923),$AG$2:$AG$1001,0),0), INDEX($AN$1004:$BO$1004,1,MATCH(COLUMNS($AN$1006:BD1006),$AN$1006:$BO$1006,0)))),"Fix")))</f>
        <v>0</v>
      </c>
      <c r="S923" s="4">
        <f>IF(OR(INDEX($AH$2:$AH$1001,MATCH(ROWS($AG$2:AG923),$AG$2:$AG$1001,0),1)&gt;=100000,INDEX($AN$1005:$BO$1005,1,MATCH(COLUMNS($AN$1006:BE1006),$AN$1006:$BO$1006,0))&gt;=100000), " ",IF(INDEX($AN$2:$BO$1001,MATCH(ROWS($AG$2:AG923),$AG$2:$AG$1001,0),MATCH(COLUMNS($AN$1006:BE1006),$AN$1006:$BO$1006,0)), HYPERLINK("#",""), HYPERLINK(CONCATENATE("#Metadata!", ADDRESS(INDEX($AI$2:$AI$1001,MATCH(ROWS($AG$2:AG923),$AG$2:$AG$1001,0),0), INDEX($AN$1004:$BO$1004,1,MATCH(COLUMNS($AN$1006:BE1006),$AN$1006:$BO$1006,0)))),"Fix")))</f>
        <v>0</v>
      </c>
      <c r="T923" s="4">
        <f>IF(OR(INDEX($AH$2:$AH$1001,MATCH(ROWS($AG$2:AG923),$AG$2:$AG$1001,0),1)&gt;=100000,INDEX($AN$1005:$BO$1005,1,MATCH(COLUMNS($AN$1006:BF1006),$AN$1006:$BO$1006,0))&gt;=100000), " ",IF(INDEX($AN$2:$BO$1001,MATCH(ROWS($AG$2:AG923),$AG$2:$AG$1001,0),MATCH(COLUMNS($AN$1006:BF1006),$AN$1006:$BO$1006,0)), HYPERLINK("#",""), HYPERLINK(CONCATENATE("#Metadata!", ADDRESS(INDEX($AI$2:$AI$1001,MATCH(ROWS($AG$2:AG923),$AG$2:$AG$1001,0),0), INDEX($AN$1004:$BO$1004,1,MATCH(COLUMNS($AN$1006:BF1006),$AN$1006:$BO$1006,0)))),"Fix")))</f>
        <v>0</v>
      </c>
      <c r="U923" s="4">
        <f>IF(OR(INDEX($AH$2:$AH$1001,MATCH(ROWS($AG$2:AG923),$AG$2:$AG$1001,0),1)&gt;=100000,INDEX($AN$1005:$BO$1005,1,MATCH(COLUMNS($AN$1006:BG1006),$AN$1006:$BO$1006,0))&gt;=100000), " ",IF(INDEX($AN$2:$BO$1001,MATCH(ROWS($AG$2:AG923),$AG$2:$AG$1001,0),MATCH(COLUMNS($AN$1006:BG1006),$AN$1006:$BO$1006,0)), HYPERLINK("#",""), HYPERLINK(CONCATENATE("#Metadata!", ADDRESS(INDEX($AI$2:$AI$1001,MATCH(ROWS($AG$2:AG923),$AG$2:$AG$1001,0),0), INDEX($AN$1004:$BO$1004,1,MATCH(COLUMNS($AN$1006:BG1006),$AN$1006:$BO$1006,0)))),"Fix")))</f>
        <v>0</v>
      </c>
      <c r="V923" s="4">
        <f>IF(OR(INDEX($AH$2:$AH$1001,MATCH(ROWS($AG$2:AG923),$AG$2:$AG$1001,0),1)&gt;=100000,INDEX($AN$1005:$BO$1005,1,MATCH(COLUMNS($AN$1006:BH1006),$AN$1006:$BO$1006,0))&gt;=100000), " ",IF(INDEX($AN$2:$BO$1001,MATCH(ROWS($AG$2:AG923),$AG$2:$AG$1001,0),MATCH(COLUMNS($AN$1006:BH1006),$AN$1006:$BO$1006,0)), HYPERLINK("#",""), HYPERLINK(CONCATENATE("#Metadata!", ADDRESS(INDEX($AI$2:$AI$1001,MATCH(ROWS($AG$2:AG923),$AG$2:$AG$1001,0),0), INDEX($AN$1004:$BO$1004,1,MATCH(COLUMNS($AN$1006:BH1006),$AN$1006:$BO$1006,0)))),"Fix")))</f>
        <v>0</v>
      </c>
      <c r="W923" s="4">
        <f>IF(OR(INDEX($AH$2:$AH$1001,MATCH(ROWS($AG$2:AG923),$AG$2:$AG$1001,0),1)&gt;=100000,INDEX($AN$1005:$BO$1005,1,MATCH(COLUMNS($AN$1006:BI1006),$AN$1006:$BO$1006,0))&gt;=100000), " ",IF(INDEX($AN$2:$BO$1001,MATCH(ROWS($AG$2:AG923),$AG$2:$AG$1001,0),MATCH(COLUMNS($AN$1006:BI1006),$AN$1006:$BO$1006,0)), HYPERLINK("#",""), HYPERLINK(CONCATENATE("#Metadata!", ADDRESS(INDEX($AI$2:$AI$1001,MATCH(ROWS($AG$2:AG923),$AG$2:$AG$1001,0),0), INDEX($AN$1004:$BO$1004,1,MATCH(COLUMNS($AN$1006:BI1006),$AN$1006:$BO$1006,0)))),"Fix")))</f>
        <v>0</v>
      </c>
      <c r="X923" s="4">
        <f>IF(OR(INDEX($AH$2:$AH$1001,MATCH(ROWS($AG$2:AG923),$AG$2:$AG$1001,0),1)&gt;=100000,INDEX($AN$1005:$BO$1005,1,MATCH(COLUMNS($AN$1006:BJ1006),$AN$1006:$BO$1006,0))&gt;=100000), " ",IF(INDEX($AN$2:$BO$1001,MATCH(ROWS($AG$2:AG923),$AG$2:$AG$1001,0),MATCH(COLUMNS($AN$1006:BJ1006),$AN$1006:$BO$1006,0)), HYPERLINK("#",""), HYPERLINK(CONCATENATE("#Metadata!", ADDRESS(INDEX($AI$2:$AI$1001,MATCH(ROWS($AG$2:AG923),$AG$2:$AG$1001,0),0), INDEX($AN$1004:$BO$1004,1,MATCH(COLUMNS($AN$1006:BJ1006),$AN$1006:$BO$1006,0)))),"Fix")))</f>
        <v>0</v>
      </c>
      <c r="Y923" s="4">
        <f>IF(OR(INDEX($AH$2:$AH$1001,MATCH(ROWS($AG$2:AG923),$AG$2:$AG$1001,0),1)&gt;=100000,INDEX($AN$1005:$BO$1005,1,MATCH(COLUMNS($AN$1006:BK1006),$AN$1006:$BO$1006,0))&gt;=100000), " ",IF(INDEX($AN$2:$BO$1001,MATCH(ROWS($AG$2:AG923),$AG$2:$AG$1001,0),MATCH(COLUMNS($AN$1006:BK1006),$AN$1006:$BO$1006,0)), HYPERLINK("#",""), HYPERLINK(CONCATENATE("#Metadata!", ADDRESS(INDEX($AI$2:$AI$1001,MATCH(ROWS($AG$2:AG923),$AG$2:$AG$1001,0),0), INDEX($AN$1004:$BO$1004,1,MATCH(COLUMNS($AN$1006:BK1006),$AN$1006:$BO$1006,0)))),"Fix")))</f>
        <v>0</v>
      </c>
      <c r="Z923" s="4">
        <f>IF(OR(INDEX($AH$2:$AH$1001,MATCH(ROWS($AG$2:AG923),$AG$2:$AG$1001,0),1)&gt;=100000,INDEX($AN$1005:$BO$1005,1,MATCH(COLUMNS($AN$1006:BL1006),$AN$1006:$BO$1006,0))&gt;=100000), " ",IF(INDEX($AN$2:$BO$1001,MATCH(ROWS($AG$2:AG923),$AG$2:$AG$1001,0),MATCH(COLUMNS($AN$1006:BL1006),$AN$1006:$BO$1006,0)), HYPERLINK("#",""), HYPERLINK(CONCATENATE("#Metadata!", ADDRESS(INDEX($AI$2:$AI$1001,MATCH(ROWS($AG$2:AG923),$AG$2:$AG$1001,0),0), INDEX($AN$1004:$BO$1004,1,MATCH(COLUMNS($AN$1006:BL1006),$AN$1006:$BO$1006,0)))),"Fix")))</f>
        <v>0</v>
      </c>
      <c r="AA923" s="4">
        <f>IF(OR(INDEX($AH$2:$AH$1001,MATCH(ROWS($AG$2:AG923),$AG$2:$AG$1001,0),1)&gt;=100000,INDEX($AN$1005:$BO$1005,1,MATCH(COLUMNS($AN$1006:BM1006),$AN$1006:$BO$1006,0))&gt;=100000), " ",IF(INDEX($AN$2:$BO$1001,MATCH(ROWS($AG$2:AG923),$AG$2:$AG$1001,0),MATCH(COLUMNS($AN$1006:BM1006),$AN$1006:$BO$1006,0)), HYPERLINK("#",""), HYPERLINK(CONCATENATE("#Metadata!", ADDRESS(INDEX($AI$2:$AI$1001,MATCH(ROWS($AG$2:AG923),$AG$2:$AG$1001,0),0), INDEX($AN$1004:$BO$1004,1,MATCH(COLUMNS($AN$1006:BM1006),$AN$1006:$BO$1006,0)))),"Fix")))</f>
        <v>0</v>
      </c>
      <c r="AB923" s="4">
        <f>IF(OR(INDEX($AH$2:$AH$1001,MATCH(ROWS($AG$2:AG923),$AG$2:$AG$1001,0),1)&gt;=100000,INDEX($AN$1005:$BO$1005,1,MATCH(COLUMNS($AN$1006:BN1006),$AN$1006:$BO$1006,0))&gt;=100000), " ",IF(INDEX($AN$2:$BO$1001,MATCH(ROWS($AG$2:AG923),$AG$2:$AG$1001,0),MATCH(COLUMNS($AN$1006:BN1006),$AN$1006:$BO$1006,0)), HYPERLINK("#",""), HYPERLINK(CONCATENATE("#Metadata!", ADDRESS(INDEX($AI$2:$AI$1001,MATCH(ROWS($AG$2:AG923),$AG$2:$AG$1001,0),0), INDEX($AN$1004:$BO$1004,1,MATCH(COLUMNS($AN$1006:BN1006),$AN$1006:$BO$1006,0)))),"Fix")))</f>
        <v>0</v>
      </c>
      <c r="AC923" s="4">
        <f>IF(OR(INDEX($AH$2:$AH$1001,MATCH(ROWS($AG$2:AG923),$AG$2:$AG$1001,0),1)&gt;=100000,INDEX($AN$1005:$BO$1005,1,MATCH(COLUMNS($AN$1006:BO1006),$AN$1006:$BO$1006,0))&gt;=100000), " ",IF(INDEX($AN$2:$BO$1001,MATCH(ROWS($AG$2:AG923),$AG$2:$AG$1001,0),MATCH(COLUMNS($AN$1006:BO1006),$AN$1006:$BO$1006,0)), HYPERLINK("#",""), HYPERLINK(CONCATENATE("#Metadata!", ADDRESS(INDEX($AI$2:$AI$1001,MATCH(ROWS($AG$2:AG923),$AG$2:$AG$1001,0),0), INDEX($AN$1004:$BO$1004,1,MATCH(COLUMNS($AN$1006:BO1006),$AN$1006:$BO$1006,0)))),"Fix")))</f>
        <v>0</v>
      </c>
      <c r="AG923">
        <v>0</v>
      </c>
      <c r="AH923">
        <v>0</v>
      </c>
      <c r="AI923">
        <v>0</v>
      </c>
      <c r="AJ923">
        <f>IF(AK923,TRUE,AND(AN923:BO923))</f>
        <v>0</v>
      </c>
      <c r="AK923">
        <f>COUNTBLANK(Metadata!B923:AC923)=COLUMNS(Metadata!B923:AC923)</f>
        <v>0</v>
      </c>
      <c r="AL923">
        <v>0</v>
      </c>
      <c r="AN923">
        <f>AND(IF(Metadata!B923="",FALSE,TRUE),COUNTIF(Metadata!B:B, Metadata!B923) = 1,NOT(ISERROR(SUMPRODUCT(SEARCH(MID(Metadata!B923,ROW(INDIRECT("1:"&amp;LEN(Metadata!B923))), 1),"0123456789abcdefghijklmnopqrstuvwxyzABCDEFGHIJKLMNOPQRSTUVWXYZ.")))))</f>
        <v>0</v>
      </c>
      <c r="AO923">
        <f>IF(Metadata!C923="",FALSE,TRUE)</f>
        <v>0</v>
      </c>
      <c r="AP923">
        <f>IF(Metadata!D923="",FALSE,TRUE)</f>
        <v>0</v>
      </c>
      <c r="AQ923">
        <f>OR(AND(IF(Metadata!E923="",FALSE,TRUE),OR(exact(Metadata!E923,"not collected"),exact(Metadata!E923,"not provided"),exact(Metadata!E923,"restricted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R923">
        <f>IF(Metadata!F923="",FALSE,TRUE)</f>
        <v>0</v>
      </c>
      <c r="AS923">
        <f>OR(AND(IF(Metadata!G923="",FALSE,TRUE),OR(exact(Metadata!G923,"not collected"),exact(Metadata!G923,"not provided"))),AND(IF(Metadata!G923="",FALSE,TRUE),OR(exact(Metadata!G923,"TRUE"),exact(Metadata!G923,"FALSE"))))</f>
        <v>0</v>
      </c>
      <c r="AT923">
        <f>OR(AND(IF(Metadata!H923="",FALSE,TRUE),OR(exact(Metadata!H923,"not collected"),exact(Metadata!H923,"not provided"),exact(Metadata!H923,"restricted access"))),AND(IF(Metadata!H923="",FALSE,ISNUMBER(VALUE(Metadata!H923))),Metadata!H923&gt;=-413.0))</f>
        <v>0</v>
      </c>
      <c r="AU923">
        <f>AND(IF(Metadata!I923="",FALSE,TRUE),exact(Metadata!I923,"meters"))</f>
        <v>0</v>
      </c>
      <c r="AV923">
        <f>AND(IF(Metadata!J923="",FALSE,TRUE),OR(exact(Metadata!J923,"Host-associated"),exact(Metadata!J923,"Free-living")))</f>
        <v>0</v>
      </c>
      <c r="AW923">
        <f>AND(IF(Metadata!K923="",FALSE,TRUE),OR(exact(Metadata!K923,"Animal"),exact(Metadata!K923,"Fungus"),exact(Metadata!K923,"Plant"),exact(Metadata!K923,"Saline"),exact(Metadata!K923,"Non-saline")))</f>
        <v>0</v>
      </c>
      <c r="AX923">
        <f>AND(IF(Metadata!L923="",FALSE,TRUE),OR(exact(Metadata!L923,"Plant secretion"),exact(Metadata!L923,"Plant rhizosphere"),exact(Metadata!L923,"Plant surface"),exact(Metadata!L923,"Plant corpus"),exact(Metadata!L923,"Fungus surface"),exact(Metadata!L923,"Fungus corpus"),exact(Metadata!L923,"Animal surface"),exact(Metadata!L923,"Animal proximal gut"),exact(Metadata!L923,"Animal corpus"),exact(Metadata!L923,"Animal distal gut"),exact(Metadata!L923,"Animal secretion"),exact(Metadata!L923,"Sub-surface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Y923">
        <f>IF(Metadata!M923="",FALSE,TRUE)</f>
        <v>0</v>
      </c>
      <c r="AZ923">
        <f>IF(Metadata!N923="",FALSE,TRUE)</f>
        <v>0</v>
      </c>
      <c r="BA923">
        <f>IF(Metadata!O923="",FALSE,TRUE)</f>
        <v>0</v>
      </c>
      <c r="BB923">
        <f>OR(AND(IF(Metadata!P923="",FALSE,TRUE),OR(exact(Metadata!P923,"not collected"),exact(Metadata!P923,"not provided"),exact(Metadata!P923,"restricted access"))),AND(IF(Metadata!P923="",FALSE,TRUE),OR(exact(Metadata!P923,"air"),exact(Metadata!P923,"built environment"),exact(Metadata!P923,"host-associated"),exact(Metadata!P923,"human-associated"),exact(Metadata!P923,"human-skin"),exact(Metadata!P923,"human-oral"),exact(Metadata!P923,"human-gut"),exact(Metadata!P923,"human-vaginal"),exact(Metadata!P923,"microbial mat/biofilm"),exact(Metadata!P923,"misc environment"),exact(Metadata!P923,"plant-associated"),exact(Metadata!P923,"sediment"),exact(Metadata!P923,"soil"),exact(Metadata!P923,"wastewater/sludge"),exact(Metadata!P923,"water"))))</f>
        <v>0</v>
      </c>
      <c r="BC923">
        <f>IF(Metadata!Q923="",FALSE,TRUE)</f>
        <v>0</v>
      </c>
      <c r="BD923">
        <f>IF(Metadata!R923="",FALSE,TRUE)</f>
        <v>0</v>
      </c>
      <c r="BE923">
        <f>OR(AND(IF(Metadata!S923="",FALSE,TRUE),OR(exact(Metadata!S923,"not collected"),exact(Metadata!S923,"not provided"),exact(Metadata!S923,"restricted access"))),AND(IF(Metadata!S923="",FALSE,ISNUMBER(VALUE(Metadata!S923))),Metadata!S923&gt;=-90.00,Metadata!S923&lt;=90.00))</f>
        <v>0</v>
      </c>
      <c r="BF923">
        <f>AND(IF(Metadata!T923="",FALSE,TRUE),exact(Metadata!T923,"Decimal degrees"))</f>
        <v>0</v>
      </c>
      <c r="BG923">
        <f>OR(AND(IF(Metadata!U923="",FALSE,TRUE),OR(exact(Metadata!U923,"not collected"),exact(Metadata!U923,"not provided"),exact(Metadata!U923,"restricted access"))),AND(IF(Metadata!U923="",FALSE,ISNUMBER(VALUE(Metadata!U923))),Metadata!U923&gt;=-180.00,Metadata!U923&lt;=180.00))</f>
        <v>0</v>
      </c>
      <c r="BH923">
        <f>AND(IF(Metadata!V923="",FALSE,TRUE),exact(Metadata!V923,"Decimal degrees"))</f>
        <v>0</v>
      </c>
      <c r="BI923">
        <f>IF(Metadata!W923="",FALSE,TRUE)</f>
        <v>0</v>
      </c>
      <c r="BJ923">
        <f>OR(AND(IF(Metadata!X923="",FALSE,TRUE),OR(exact(Metadata!X923,"not collected"),exact(Metadata!X923,"not provided"),exact(Metadata!X923,"restricted access"))),AND(IF(Metadata!X923="",FALSE,TRUE),OR(exact(Metadata!X923,"TRUE"),exact(Metadata!X923,"FALSE"))))</f>
        <v>0</v>
      </c>
      <c r="BK923">
        <f>AND(IF(Metadata!Y923="",FALSE,TRUE),exact(Metadata!Y923,"other"))</f>
        <v>0</v>
      </c>
      <c r="BL923">
        <f>IF(Metadata!Z923="",FALSE,TRUE)</f>
        <v>0</v>
      </c>
      <c r="BM923">
        <f>OR(AND(IF(Metadata!AA923="",FALSE,TRUE),OR(exact(Metadata!AA923,"not collected"),exact(Metadata!AA923,"not provided"))),AND(IF(Metadata!AA923="",FALSE,IF(ISERROR(INT(Metadata!AA923)),FALSE,INT(Metadata!AA923)=Metadata!AA923)),Metadata!AA923&gt;0))</f>
        <v>0</v>
      </c>
      <c r="BN923">
        <f>AND(IF(Metadata!AB923="",FALSE,TRUE),exact(Metadata!AB923,"Not applicable"))</f>
        <v>0</v>
      </c>
      <c r="BO923">
        <f>IF(Metadata!AC923="",FALSE,TRUE)</f>
        <v>0</v>
      </c>
    </row>
    <row r="924" spans="1:67">
      <c r="A924" s="5">
        <f>IF(B924=" "," ",HYPERLINK(CONCATENATE("#metadata!",ADDRESS(INDEX($AI$2:$AI$1001,MATCH(ROWS($AG$2:AG924),$AG$2:$AG$1001,0),0),1)),INDEX($AL$2:$AL$1001,MATCH(ROWS($AG$2:AG924),$AG$2:$AG$1001,0),0)))</f>
        <v>0</v>
      </c>
      <c r="B924" s="4">
        <f>IF(OR(INDEX($AH$2:$AH$1001,MATCH(ROWS($AG$2:AG924),$AG$2:$AG$1001,0),1)&gt;=100000,INDEX($AN$1005:$BO$1005,1,MATCH(COLUMNS($AN$1006:AN1006),$AN$1006:$BO$1006,0))&gt;=100000), " ",IF(INDEX($AN$2:$BO$1001,MATCH(ROWS($AG$2:AG924),$AG$2:$AG$1001,0),MATCH(COLUMNS($AN$1006:AN1006),$AN$1006:$BO$1006,0)), HYPERLINK("#",""), HYPERLINK(CONCATENATE("#Metadata!", ADDRESS(INDEX($AI$2:$AI$1001,MATCH(ROWS($AG$2:AG924),$AG$2:$AG$1001,0),0), INDEX($AN$1004:$BO$1004,1,MATCH(COLUMNS($AN$1006:AN1006),$AN$1006:$BO$1006,0)))),"Fix")))</f>
        <v>0</v>
      </c>
      <c r="C924" s="4">
        <f>IF(OR(INDEX($AH$2:$AH$1001,MATCH(ROWS($AG$2:AG924),$AG$2:$AG$1001,0),1)&gt;=100000,INDEX($AN$1005:$BO$1005,1,MATCH(COLUMNS($AN$1006:AO1006),$AN$1006:$BO$1006,0))&gt;=100000), " ",IF(INDEX($AN$2:$BO$1001,MATCH(ROWS($AG$2:AG924),$AG$2:$AG$1001,0),MATCH(COLUMNS($AN$1006:AO1006),$AN$1006:$BO$1006,0)), HYPERLINK("#",""), HYPERLINK(CONCATENATE("#Metadata!", ADDRESS(INDEX($AI$2:$AI$1001,MATCH(ROWS($AG$2:AG924),$AG$2:$AG$1001,0),0), INDEX($AN$1004:$BO$1004,1,MATCH(COLUMNS($AN$1006:AO1006),$AN$1006:$BO$1006,0)))),"Fix")))</f>
        <v>0</v>
      </c>
      <c r="D924" s="4">
        <f>IF(OR(INDEX($AH$2:$AH$1001,MATCH(ROWS($AG$2:AG924),$AG$2:$AG$1001,0),1)&gt;=100000,INDEX($AN$1005:$BO$1005,1,MATCH(COLUMNS($AN$1006:AP1006),$AN$1006:$BO$1006,0))&gt;=100000), " ",IF(INDEX($AN$2:$BO$1001,MATCH(ROWS($AG$2:AG924),$AG$2:$AG$1001,0),MATCH(COLUMNS($AN$1006:AP1006),$AN$1006:$BO$1006,0)), HYPERLINK("#",""), HYPERLINK(CONCATENATE("#Metadata!", ADDRESS(INDEX($AI$2:$AI$1001,MATCH(ROWS($AG$2:AG924),$AG$2:$AG$1001,0),0), INDEX($AN$1004:$BO$1004,1,MATCH(COLUMNS($AN$1006:AP1006),$AN$1006:$BO$1006,0)))),"Fix")))</f>
        <v>0</v>
      </c>
      <c r="E924" s="4">
        <f>IF(OR(INDEX($AH$2:$AH$1001,MATCH(ROWS($AG$2:AG924),$AG$2:$AG$1001,0),1)&gt;=100000,INDEX($AN$1005:$BO$1005,1,MATCH(COLUMNS($AN$1006:AQ1006),$AN$1006:$BO$1006,0))&gt;=100000), " ",IF(INDEX($AN$2:$BO$1001,MATCH(ROWS($AG$2:AG924),$AG$2:$AG$1001,0),MATCH(COLUMNS($AN$1006:AQ1006),$AN$1006:$BO$1006,0)), HYPERLINK("#",""), HYPERLINK(CONCATENATE("#Metadata!", ADDRESS(INDEX($AI$2:$AI$1001,MATCH(ROWS($AG$2:AG924),$AG$2:$AG$1001,0),0), INDEX($AN$1004:$BO$1004,1,MATCH(COLUMNS($AN$1006:AQ1006),$AN$1006:$BO$1006,0)))),"Fix")))</f>
        <v>0</v>
      </c>
      <c r="F924" s="4">
        <f>IF(OR(INDEX($AH$2:$AH$1001,MATCH(ROWS($AG$2:AG924),$AG$2:$AG$1001,0),1)&gt;=100000,INDEX($AN$1005:$BO$1005,1,MATCH(COLUMNS($AN$1006:AR1006),$AN$1006:$BO$1006,0))&gt;=100000), " ",IF(INDEX($AN$2:$BO$1001,MATCH(ROWS($AG$2:AG924),$AG$2:$AG$1001,0),MATCH(COLUMNS($AN$1006:AR1006),$AN$1006:$BO$1006,0)), HYPERLINK("#",""), HYPERLINK(CONCATENATE("#Metadata!", ADDRESS(INDEX($AI$2:$AI$1001,MATCH(ROWS($AG$2:AG924),$AG$2:$AG$1001,0),0), INDEX($AN$1004:$BO$1004,1,MATCH(COLUMNS($AN$1006:AR1006),$AN$1006:$BO$1006,0)))),"Fix")))</f>
        <v>0</v>
      </c>
      <c r="G924" s="4">
        <f>IF(OR(INDEX($AH$2:$AH$1001,MATCH(ROWS($AG$2:AG924),$AG$2:$AG$1001,0),1)&gt;=100000,INDEX($AN$1005:$BO$1005,1,MATCH(COLUMNS($AN$1006:AS1006),$AN$1006:$BO$1006,0))&gt;=100000), " ",IF(INDEX($AN$2:$BO$1001,MATCH(ROWS($AG$2:AG924),$AG$2:$AG$1001,0),MATCH(COLUMNS($AN$1006:AS1006),$AN$1006:$BO$1006,0)), HYPERLINK("#",""), HYPERLINK(CONCATENATE("#Metadata!", ADDRESS(INDEX($AI$2:$AI$1001,MATCH(ROWS($AG$2:AG924),$AG$2:$AG$1001,0),0), INDEX($AN$1004:$BO$1004,1,MATCH(COLUMNS($AN$1006:AS1006),$AN$1006:$BO$1006,0)))),"Fix")))</f>
        <v>0</v>
      </c>
      <c r="H924" s="4">
        <f>IF(OR(INDEX($AH$2:$AH$1001,MATCH(ROWS($AG$2:AG924),$AG$2:$AG$1001,0),1)&gt;=100000,INDEX($AN$1005:$BO$1005,1,MATCH(COLUMNS($AN$1006:AT1006),$AN$1006:$BO$1006,0))&gt;=100000), " ",IF(INDEX($AN$2:$BO$1001,MATCH(ROWS($AG$2:AG924),$AG$2:$AG$1001,0),MATCH(COLUMNS($AN$1006:AT1006),$AN$1006:$BO$1006,0)), HYPERLINK("#",""), HYPERLINK(CONCATENATE("#Metadata!", ADDRESS(INDEX($AI$2:$AI$1001,MATCH(ROWS($AG$2:AG924),$AG$2:$AG$1001,0),0), INDEX($AN$1004:$BO$1004,1,MATCH(COLUMNS($AN$1006:AT1006),$AN$1006:$BO$1006,0)))),"Fix")))</f>
        <v>0</v>
      </c>
      <c r="I924" s="4">
        <f>IF(OR(INDEX($AH$2:$AH$1001,MATCH(ROWS($AG$2:AG924),$AG$2:$AG$1001,0),1)&gt;=100000,INDEX($AN$1005:$BO$1005,1,MATCH(COLUMNS($AN$1006:AU1006),$AN$1006:$BO$1006,0))&gt;=100000), " ",IF(INDEX($AN$2:$BO$1001,MATCH(ROWS($AG$2:AG924),$AG$2:$AG$1001,0),MATCH(COLUMNS($AN$1006:AU1006),$AN$1006:$BO$1006,0)), HYPERLINK("#",""), HYPERLINK(CONCATENATE("#Metadata!", ADDRESS(INDEX($AI$2:$AI$1001,MATCH(ROWS($AG$2:AG924),$AG$2:$AG$1001,0),0), INDEX($AN$1004:$BO$1004,1,MATCH(COLUMNS($AN$1006:AU1006),$AN$1006:$BO$1006,0)))),"Fix")))</f>
        <v>0</v>
      </c>
      <c r="J924" s="4">
        <f>IF(OR(INDEX($AH$2:$AH$1001,MATCH(ROWS($AG$2:AG924),$AG$2:$AG$1001,0),1)&gt;=100000,INDEX($AN$1005:$BO$1005,1,MATCH(COLUMNS($AN$1006:AV1006),$AN$1006:$BO$1006,0))&gt;=100000), " ",IF(INDEX($AN$2:$BO$1001,MATCH(ROWS($AG$2:AG924),$AG$2:$AG$1001,0),MATCH(COLUMNS($AN$1006:AV1006),$AN$1006:$BO$1006,0)), HYPERLINK("#",""), HYPERLINK(CONCATENATE("#Metadata!", ADDRESS(INDEX($AI$2:$AI$1001,MATCH(ROWS($AG$2:AG924),$AG$2:$AG$1001,0),0), INDEX($AN$1004:$BO$1004,1,MATCH(COLUMNS($AN$1006:AV1006),$AN$1006:$BO$1006,0)))),"Fix")))</f>
        <v>0</v>
      </c>
      <c r="K924" s="4">
        <f>IF(OR(INDEX($AH$2:$AH$1001,MATCH(ROWS($AG$2:AG924),$AG$2:$AG$1001,0),1)&gt;=100000,INDEX($AN$1005:$BO$1005,1,MATCH(COLUMNS($AN$1006:AW1006),$AN$1006:$BO$1006,0))&gt;=100000), " ",IF(INDEX($AN$2:$BO$1001,MATCH(ROWS($AG$2:AG924),$AG$2:$AG$1001,0),MATCH(COLUMNS($AN$1006:AW1006),$AN$1006:$BO$1006,0)), HYPERLINK("#",""), HYPERLINK(CONCATENATE("#Metadata!", ADDRESS(INDEX($AI$2:$AI$1001,MATCH(ROWS($AG$2:AG924),$AG$2:$AG$1001,0),0), INDEX($AN$1004:$BO$1004,1,MATCH(COLUMNS($AN$1006:AW1006),$AN$1006:$BO$1006,0)))),"Fix")))</f>
        <v>0</v>
      </c>
      <c r="L924" s="4">
        <f>IF(OR(INDEX($AH$2:$AH$1001,MATCH(ROWS($AG$2:AG924),$AG$2:$AG$1001,0),1)&gt;=100000,INDEX($AN$1005:$BO$1005,1,MATCH(COLUMNS($AN$1006:AX1006),$AN$1006:$BO$1006,0))&gt;=100000), " ",IF(INDEX($AN$2:$BO$1001,MATCH(ROWS($AG$2:AG924),$AG$2:$AG$1001,0),MATCH(COLUMNS($AN$1006:AX1006),$AN$1006:$BO$1006,0)), HYPERLINK("#",""), HYPERLINK(CONCATENATE("#Metadata!", ADDRESS(INDEX($AI$2:$AI$1001,MATCH(ROWS($AG$2:AG924),$AG$2:$AG$1001,0),0), INDEX($AN$1004:$BO$1004,1,MATCH(COLUMNS($AN$1006:AX1006),$AN$1006:$BO$1006,0)))),"Fix")))</f>
        <v>0</v>
      </c>
      <c r="M924" s="4">
        <f>IF(OR(INDEX($AH$2:$AH$1001,MATCH(ROWS($AG$2:AG924),$AG$2:$AG$1001,0),1)&gt;=100000,INDEX($AN$1005:$BO$1005,1,MATCH(COLUMNS($AN$1006:AY1006),$AN$1006:$BO$1006,0))&gt;=100000), " ",IF(INDEX($AN$2:$BO$1001,MATCH(ROWS($AG$2:AG924),$AG$2:$AG$1001,0),MATCH(COLUMNS($AN$1006:AY1006),$AN$1006:$BO$1006,0)), HYPERLINK("#",""), HYPERLINK(CONCATENATE("#Metadata!", ADDRESS(INDEX($AI$2:$AI$1001,MATCH(ROWS($AG$2:AG924),$AG$2:$AG$1001,0),0), INDEX($AN$1004:$BO$1004,1,MATCH(COLUMNS($AN$1006:AY1006),$AN$1006:$BO$1006,0)))),"Fix")))</f>
        <v>0</v>
      </c>
      <c r="N924" s="4">
        <f>IF(OR(INDEX($AH$2:$AH$1001,MATCH(ROWS($AG$2:AG924),$AG$2:$AG$1001,0),1)&gt;=100000,INDEX($AN$1005:$BO$1005,1,MATCH(COLUMNS($AN$1006:AZ1006),$AN$1006:$BO$1006,0))&gt;=100000), " ",IF(INDEX($AN$2:$BO$1001,MATCH(ROWS($AG$2:AG924),$AG$2:$AG$1001,0),MATCH(COLUMNS($AN$1006:AZ1006),$AN$1006:$BO$1006,0)), HYPERLINK("#",""), HYPERLINK(CONCATENATE("#Metadata!", ADDRESS(INDEX($AI$2:$AI$1001,MATCH(ROWS($AG$2:AG924),$AG$2:$AG$1001,0),0), INDEX($AN$1004:$BO$1004,1,MATCH(COLUMNS($AN$1006:AZ1006),$AN$1006:$BO$1006,0)))),"Fix")))</f>
        <v>0</v>
      </c>
      <c r="O924" s="4">
        <f>IF(OR(INDEX($AH$2:$AH$1001,MATCH(ROWS($AG$2:AG924),$AG$2:$AG$1001,0),1)&gt;=100000,INDEX($AN$1005:$BO$1005,1,MATCH(COLUMNS($AN$1006:BA1006),$AN$1006:$BO$1006,0))&gt;=100000), " ",IF(INDEX($AN$2:$BO$1001,MATCH(ROWS($AG$2:AG924),$AG$2:$AG$1001,0),MATCH(COLUMNS($AN$1006:BA1006),$AN$1006:$BO$1006,0)), HYPERLINK("#",""), HYPERLINK(CONCATENATE("#Metadata!", ADDRESS(INDEX($AI$2:$AI$1001,MATCH(ROWS($AG$2:AG924),$AG$2:$AG$1001,0),0), INDEX($AN$1004:$BO$1004,1,MATCH(COLUMNS($AN$1006:BA1006),$AN$1006:$BO$1006,0)))),"Fix")))</f>
        <v>0</v>
      </c>
      <c r="P924" s="4">
        <f>IF(OR(INDEX($AH$2:$AH$1001,MATCH(ROWS($AG$2:AG924),$AG$2:$AG$1001,0),1)&gt;=100000,INDEX($AN$1005:$BO$1005,1,MATCH(COLUMNS($AN$1006:BB1006),$AN$1006:$BO$1006,0))&gt;=100000), " ",IF(INDEX($AN$2:$BO$1001,MATCH(ROWS($AG$2:AG924),$AG$2:$AG$1001,0),MATCH(COLUMNS($AN$1006:BB1006),$AN$1006:$BO$1006,0)), HYPERLINK("#",""), HYPERLINK(CONCATENATE("#Metadata!", ADDRESS(INDEX($AI$2:$AI$1001,MATCH(ROWS($AG$2:AG924),$AG$2:$AG$1001,0),0), INDEX($AN$1004:$BO$1004,1,MATCH(COLUMNS($AN$1006:BB1006),$AN$1006:$BO$1006,0)))),"Fix")))</f>
        <v>0</v>
      </c>
      <c r="Q924" s="4">
        <f>IF(OR(INDEX($AH$2:$AH$1001,MATCH(ROWS($AG$2:AG924),$AG$2:$AG$1001,0),1)&gt;=100000,INDEX($AN$1005:$BO$1005,1,MATCH(COLUMNS($AN$1006:BC1006),$AN$1006:$BO$1006,0))&gt;=100000), " ",IF(INDEX($AN$2:$BO$1001,MATCH(ROWS($AG$2:AG924),$AG$2:$AG$1001,0),MATCH(COLUMNS($AN$1006:BC1006),$AN$1006:$BO$1006,0)), HYPERLINK("#",""), HYPERLINK(CONCATENATE("#Metadata!", ADDRESS(INDEX($AI$2:$AI$1001,MATCH(ROWS($AG$2:AG924),$AG$2:$AG$1001,0),0), INDEX($AN$1004:$BO$1004,1,MATCH(COLUMNS($AN$1006:BC1006),$AN$1006:$BO$1006,0)))),"Fix")))</f>
        <v>0</v>
      </c>
      <c r="R924" s="4">
        <f>IF(OR(INDEX($AH$2:$AH$1001,MATCH(ROWS($AG$2:AG924),$AG$2:$AG$1001,0),1)&gt;=100000,INDEX($AN$1005:$BO$1005,1,MATCH(COLUMNS($AN$1006:BD1006),$AN$1006:$BO$1006,0))&gt;=100000), " ",IF(INDEX($AN$2:$BO$1001,MATCH(ROWS($AG$2:AG924),$AG$2:$AG$1001,0),MATCH(COLUMNS($AN$1006:BD1006),$AN$1006:$BO$1006,0)), HYPERLINK("#",""), HYPERLINK(CONCATENATE("#Metadata!", ADDRESS(INDEX($AI$2:$AI$1001,MATCH(ROWS($AG$2:AG924),$AG$2:$AG$1001,0),0), INDEX($AN$1004:$BO$1004,1,MATCH(COLUMNS($AN$1006:BD1006),$AN$1006:$BO$1006,0)))),"Fix")))</f>
        <v>0</v>
      </c>
      <c r="S924" s="4">
        <f>IF(OR(INDEX($AH$2:$AH$1001,MATCH(ROWS($AG$2:AG924),$AG$2:$AG$1001,0),1)&gt;=100000,INDEX($AN$1005:$BO$1005,1,MATCH(COLUMNS($AN$1006:BE1006),$AN$1006:$BO$1006,0))&gt;=100000), " ",IF(INDEX($AN$2:$BO$1001,MATCH(ROWS($AG$2:AG924),$AG$2:$AG$1001,0),MATCH(COLUMNS($AN$1006:BE1006),$AN$1006:$BO$1006,0)), HYPERLINK("#",""), HYPERLINK(CONCATENATE("#Metadata!", ADDRESS(INDEX($AI$2:$AI$1001,MATCH(ROWS($AG$2:AG924),$AG$2:$AG$1001,0),0), INDEX($AN$1004:$BO$1004,1,MATCH(COLUMNS($AN$1006:BE1006),$AN$1006:$BO$1006,0)))),"Fix")))</f>
        <v>0</v>
      </c>
      <c r="T924" s="4">
        <f>IF(OR(INDEX($AH$2:$AH$1001,MATCH(ROWS($AG$2:AG924),$AG$2:$AG$1001,0),1)&gt;=100000,INDEX($AN$1005:$BO$1005,1,MATCH(COLUMNS($AN$1006:BF1006),$AN$1006:$BO$1006,0))&gt;=100000), " ",IF(INDEX($AN$2:$BO$1001,MATCH(ROWS($AG$2:AG924),$AG$2:$AG$1001,0),MATCH(COLUMNS($AN$1006:BF1006),$AN$1006:$BO$1006,0)), HYPERLINK("#",""), HYPERLINK(CONCATENATE("#Metadata!", ADDRESS(INDEX($AI$2:$AI$1001,MATCH(ROWS($AG$2:AG924),$AG$2:$AG$1001,0),0), INDEX($AN$1004:$BO$1004,1,MATCH(COLUMNS($AN$1006:BF1006),$AN$1006:$BO$1006,0)))),"Fix")))</f>
        <v>0</v>
      </c>
      <c r="U924" s="4">
        <f>IF(OR(INDEX($AH$2:$AH$1001,MATCH(ROWS($AG$2:AG924),$AG$2:$AG$1001,0),1)&gt;=100000,INDEX($AN$1005:$BO$1005,1,MATCH(COLUMNS($AN$1006:BG1006),$AN$1006:$BO$1006,0))&gt;=100000), " ",IF(INDEX($AN$2:$BO$1001,MATCH(ROWS($AG$2:AG924),$AG$2:$AG$1001,0),MATCH(COLUMNS($AN$1006:BG1006),$AN$1006:$BO$1006,0)), HYPERLINK("#",""), HYPERLINK(CONCATENATE("#Metadata!", ADDRESS(INDEX($AI$2:$AI$1001,MATCH(ROWS($AG$2:AG924),$AG$2:$AG$1001,0),0), INDEX($AN$1004:$BO$1004,1,MATCH(COLUMNS($AN$1006:BG1006),$AN$1006:$BO$1006,0)))),"Fix")))</f>
        <v>0</v>
      </c>
      <c r="V924" s="4">
        <f>IF(OR(INDEX($AH$2:$AH$1001,MATCH(ROWS($AG$2:AG924),$AG$2:$AG$1001,0),1)&gt;=100000,INDEX($AN$1005:$BO$1005,1,MATCH(COLUMNS($AN$1006:BH1006),$AN$1006:$BO$1006,0))&gt;=100000), " ",IF(INDEX($AN$2:$BO$1001,MATCH(ROWS($AG$2:AG924),$AG$2:$AG$1001,0),MATCH(COLUMNS($AN$1006:BH1006),$AN$1006:$BO$1006,0)), HYPERLINK("#",""), HYPERLINK(CONCATENATE("#Metadata!", ADDRESS(INDEX($AI$2:$AI$1001,MATCH(ROWS($AG$2:AG924),$AG$2:$AG$1001,0),0), INDEX($AN$1004:$BO$1004,1,MATCH(COLUMNS($AN$1006:BH1006),$AN$1006:$BO$1006,0)))),"Fix")))</f>
        <v>0</v>
      </c>
      <c r="W924" s="4">
        <f>IF(OR(INDEX($AH$2:$AH$1001,MATCH(ROWS($AG$2:AG924),$AG$2:$AG$1001,0),1)&gt;=100000,INDEX($AN$1005:$BO$1005,1,MATCH(COLUMNS($AN$1006:BI1006),$AN$1006:$BO$1006,0))&gt;=100000), " ",IF(INDEX($AN$2:$BO$1001,MATCH(ROWS($AG$2:AG924),$AG$2:$AG$1001,0),MATCH(COLUMNS($AN$1006:BI1006),$AN$1006:$BO$1006,0)), HYPERLINK("#",""), HYPERLINK(CONCATENATE("#Metadata!", ADDRESS(INDEX($AI$2:$AI$1001,MATCH(ROWS($AG$2:AG924),$AG$2:$AG$1001,0),0), INDEX($AN$1004:$BO$1004,1,MATCH(COLUMNS($AN$1006:BI1006),$AN$1006:$BO$1006,0)))),"Fix")))</f>
        <v>0</v>
      </c>
      <c r="X924" s="4">
        <f>IF(OR(INDEX($AH$2:$AH$1001,MATCH(ROWS($AG$2:AG924),$AG$2:$AG$1001,0),1)&gt;=100000,INDEX($AN$1005:$BO$1005,1,MATCH(COLUMNS($AN$1006:BJ1006),$AN$1006:$BO$1006,0))&gt;=100000), " ",IF(INDEX($AN$2:$BO$1001,MATCH(ROWS($AG$2:AG924),$AG$2:$AG$1001,0),MATCH(COLUMNS($AN$1006:BJ1006),$AN$1006:$BO$1006,0)), HYPERLINK("#",""), HYPERLINK(CONCATENATE("#Metadata!", ADDRESS(INDEX($AI$2:$AI$1001,MATCH(ROWS($AG$2:AG924),$AG$2:$AG$1001,0),0), INDEX($AN$1004:$BO$1004,1,MATCH(COLUMNS($AN$1006:BJ1006),$AN$1006:$BO$1006,0)))),"Fix")))</f>
        <v>0</v>
      </c>
      <c r="Y924" s="4">
        <f>IF(OR(INDEX($AH$2:$AH$1001,MATCH(ROWS($AG$2:AG924),$AG$2:$AG$1001,0),1)&gt;=100000,INDEX($AN$1005:$BO$1005,1,MATCH(COLUMNS($AN$1006:BK1006),$AN$1006:$BO$1006,0))&gt;=100000), " ",IF(INDEX($AN$2:$BO$1001,MATCH(ROWS($AG$2:AG924),$AG$2:$AG$1001,0),MATCH(COLUMNS($AN$1006:BK1006),$AN$1006:$BO$1006,0)), HYPERLINK("#",""), HYPERLINK(CONCATENATE("#Metadata!", ADDRESS(INDEX($AI$2:$AI$1001,MATCH(ROWS($AG$2:AG924),$AG$2:$AG$1001,0),0), INDEX($AN$1004:$BO$1004,1,MATCH(COLUMNS($AN$1006:BK1006),$AN$1006:$BO$1006,0)))),"Fix")))</f>
        <v>0</v>
      </c>
      <c r="Z924" s="4">
        <f>IF(OR(INDEX($AH$2:$AH$1001,MATCH(ROWS($AG$2:AG924),$AG$2:$AG$1001,0),1)&gt;=100000,INDEX($AN$1005:$BO$1005,1,MATCH(COLUMNS($AN$1006:BL1006),$AN$1006:$BO$1006,0))&gt;=100000), " ",IF(INDEX($AN$2:$BO$1001,MATCH(ROWS($AG$2:AG924),$AG$2:$AG$1001,0),MATCH(COLUMNS($AN$1006:BL1006),$AN$1006:$BO$1006,0)), HYPERLINK("#",""), HYPERLINK(CONCATENATE("#Metadata!", ADDRESS(INDEX($AI$2:$AI$1001,MATCH(ROWS($AG$2:AG924),$AG$2:$AG$1001,0),0), INDEX($AN$1004:$BO$1004,1,MATCH(COLUMNS($AN$1006:BL1006),$AN$1006:$BO$1006,0)))),"Fix")))</f>
        <v>0</v>
      </c>
      <c r="AA924" s="4">
        <f>IF(OR(INDEX($AH$2:$AH$1001,MATCH(ROWS($AG$2:AG924),$AG$2:$AG$1001,0),1)&gt;=100000,INDEX($AN$1005:$BO$1005,1,MATCH(COLUMNS($AN$1006:BM1006),$AN$1006:$BO$1006,0))&gt;=100000), " ",IF(INDEX($AN$2:$BO$1001,MATCH(ROWS($AG$2:AG924),$AG$2:$AG$1001,0),MATCH(COLUMNS($AN$1006:BM1006),$AN$1006:$BO$1006,0)), HYPERLINK("#",""), HYPERLINK(CONCATENATE("#Metadata!", ADDRESS(INDEX($AI$2:$AI$1001,MATCH(ROWS($AG$2:AG924),$AG$2:$AG$1001,0),0), INDEX($AN$1004:$BO$1004,1,MATCH(COLUMNS($AN$1006:BM1006),$AN$1006:$BO$1006,0)))),"Fix")))</f>
        <v>0</v>
      </c>
      <c r="AB924" s="4">
        <f>IF(OR(INDEX($AH$2:$AH$1001,MATCH(ROWS($AG$2:AG924),$AG$2:$AG$1001,0),1)&gt;=100000,INDEX($AN$1005:$BO$1005,1,MATCH(COLUMNS($AN$1006:BN1006),$AN$1006:$BO$1006,0))&gt;=100000), " ",IF(INDEX($AN$2:$BO$1001,MATCH(ROWS($AG$2:AG924),$AG$2:$AG$1001,0),MATCH(COLUMNS($AN$1006:BN1006),$AN$1006:$BO$1006,0)), HYPERLINK("#",""), HYPERLINK(CONCATENATE("#Metadata!", ADDRESS(INDEX($AI$2:$AI$1001,MATCH(ROWS($AG$2:AG924),$AG$2:$AG$1001,0),0), INDEX($AN$1004:$BO$1004,1,MATCH(COLUMNS($AN$1006:BN1006),$AN$1006:$BO$1006,0)))),"Fix")))</f>
        <v>0</v>
      </c>
      <c r="AC924" s="4">
        <f>IF(OR(INDEX($AH$2:$AH$1001,MATCH(ROWS($AG$2:AG924),$AG$2:$AG$1001,0),1)&gt;=100000,INDEX($AN$1005:$BO$1005,1,MATCH(COLUMNS($AN$1006:BO1006),$AN$1006:$BO$1006,0))&gt;=100000), " ",IF(INDEX($AN$2:$BO$1001,MATCH(ROWS($AG$2:AG924),$AG$2:$AG$1001,0),MATCH(COLUMNS($AN$1006:BO1006),$AN$1006:$BO$1006,0)), HYPERLINK("#",""), HYPERLINK(CONCATENATE("#Metadata!", ADDRESS(INDEX($AI$2:$AI$1001,MATCH(ROWS($AG$2:AG924),$AG$2:$AG$1001,0),0), INDEX($AN$1004:$BO$1004,1,MATCH(COLUMNS($AN$1006:BO1006),$AN$1006:$BO$1006,0)))),"Fix")))</f>
        <v>0</v>
      </c>
      <c r="AG924">
        <v>0</v>
      </c>
      <c r="AH924">
        <v>0</v>
      </c>
      <c r="AI924">
        <v>0</v>
      </c>
      <c r="AJ924">
        <f>IF(AK924,TRUE,AND(AN924:BO924))</f>
        <v>0</v>
      </c>
      <c r="AK924">
        <f>COUNTBLANK(Metadata!B924:AC924)=COLUMNS(Metadata!B924:AC924)</f>
        <v>0</v>
      </c>
      <c r="AL924">
        <v>0</v>
      </c>
      <c r="AN924">
        <f>AND(IF(Metadata!B924="",FALSE,TRUE),COUNTIF(Metadata!B:B, Metadata!B924) = 1,NOT(ISERROR(SUMPRODUCT(SEARCH(MID(Metadata!B924,ROW(INDIRECT("1:"&amp;LEN(Metadata!B924))), 1),"0123456789abcdefghijklmnopqrstuvwxyzABCDEFGHIJKLMNOPQRSTUVWXYZ.")))))</f>
        <v>0</v>
      </c>
      <c r="AO924">
        <f>IF(Metadata!C924="",FALSE,TRUE)</f>
        <v>0</v>
      </c>
      <c r="AP924">
        <f>IF(Metadata!D924="",FALSE,TRUE)</f>
        <v>0</v>
      </c>
      <c r="AQ924">
        <f>OR(AND(IF(Metadata!E924="",FALSE,TRUE),OR(exact(Metadata!E924,"not collected"),exact(Metadata!E924,"not provided"),exact(Metadata!E924,"restricted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R924">
        <f>IF(Metadata!F924="",FALSE,TRUE)</f>
        <v>0</v>
      </c>
      <c r="AS924">
        <f>OR(AND(IF(Metadata!G924="",FALSE,TRUE),OR(exact(Metadata!G924,"not collected"),exact(Metadata!G924,"not provided"))),AND(IF(Metadata!G924="",FALSE,TRUE),OR(exact(Metadata!G924,"TRUE"),exact(Metadata!G924,"FALSE"))))</f>
        <v>0</v>
      </c>
      <c r="AT924">
        <f>OR(AND(IF(Metadata!H924="",FALSE,TRUE),OR(exact(Metadata!H924,"not collected"),exact(Metadata!H924,"not provided"),exact(Metadata!H924,"restricted access"))),AND(IF(Metadata!H924="",FALSE,ISNUMBER(VALUE(Metadata!H924))),Metadata!H924&gt;=-413.0))</f>
        <v>0</v>
      </c>
      <c r="AU924">
        <f>AND(IF(Metadata!I924="",FALSE,TRUE),exact(Metadata!I924,"meters"))</f>
        <v>0</v>
      </c>
      <c r="AV924">
        <f>AND(IF(Metadata!J924="",FALSE,TRUE),OR(exact(Metadata!J924,"Host-associated"),exact(Metadata!J924,"Free-living")))</f>
        <v>0</v>
      </c>
      <c r="AW924">
        <f>AND(IF(Metadata!K924="",FALSE,TRUE),OR(exact(Metadata!K924,"Animal"),exact(Metadata!K924,"Fungus"),exact(Metadata!K924,"Plant"),exact(Metadata!K924,"Saline"),exact(Metadata!K924,"Non-saline")))</f>
        <v>0</v>
      </c>
      <c r="AX924">
        <f>AND(IF(Metadata!L924="",FALSE,TRUE),OR(exact(Metadata!L924,"Plant secretion"),exact(Metadata!L924,"Plant rhizosphere"),exact(Metadata!L924,"Plant surface"),exact(Metadata!L924,"Plant corpus"),exact(Metadata!L924,"Fungus surface"),exact(Metadata!L924,"Fungus corpus"),exact(Metadata!L924,"Animal surface"),exact(Metadata!L924,"Animal proximal gut"),exact(Metadata!L924,"Animal corpus"),exact(Metadata!L924,"Animal distal gut"),exact(Metadata!L924,"Animal secretion"),exact(Metadata!L924,"Sub-surface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Y924">
        <f>IF(Metadata!M924="",FALSE,TRUE)</f>
        <v>0</v>
      </c>
      <c r="AZ924">
        <f>IF(Metadata!N924="",FALSE,TRUE)</f>
        <v>0</v>
      </c>
      <c r="BA924">
        <f>IF(Metadata!O924="",FALSE,TRUE)</f>
        <v>0</v>
      </c>
      <c r="BB924">
        <f>OR(AND(IF(Metadata!P924="",FALSE,TRUE),OR(exact(Metadata!P924,"not collected"),exact(Metadata!P924,"not provided"),exact(Metadata!P924,"restricted access"))),AND(IF(Metadata!P924="",FALSE,TRUE),OR(exact(Metadata!P924,"air"),exact(Metadata!P924,"built environment"),exact(Metadata!P924,"host-associated"),exact(Metadata!P924,"human-associated"),exact(Metadata!P924,"human-skin"),exact(Metadata!P924,"human-oral"),exact(Metadata!P924,"human-gut"),exact(Metadata!P924,"human-vaginal"),exact(Metadata!P924,"microbial mat/biofilm"),exact(Metadata!P924,"misc environment"),exact(Metadata!P924,"plant-associated"),exact(Metadata!P924,"sediment"),exact(Metadata!P924,"soil"),exact(Metadata!P924,"wastewater/sludge"),exact(Metadata!P924,"water"))))</f>
        <v>0</v>
      </c>
      <c r="BC924">
        <f>IF(Metadata!Q924="",FALSE,TRUE)</f>
        <v>0</v>
      </c>
      <c r="BD924">
        <f>IF(Metadata!R924="",FALSE,TRUE)</f>
        <v>0</v>
      </c>
      <c r="BE924">
        <f>OR(AND(IF(Metadata!S924="",FALSE,TRUE),OR(exact(Metadata!S924,"not collected"),exact(Metadata!S924,"not provided"),exact(Metadata!S924,"restricted access"))),AND(IF(Metadata!S924="",FALSE,ISNUMBER(VALUE(Metadata!S924))),Metadata!S924&gt;=-90.00,Metadata!S924&lt;=90.00))</f>
        <v>0</v>
      </c>
      <c r="BF924">
        <f>AND(IF(Metadata!T924="",FALSE,TRUE),exact(Metadata!T924,"Decimal degrees"))</f>
        <v>0</v>
      </c>
      <c r="BG924">
        <f>OR(AND(IF(Metadata!U924="",FALSE,TRUE),OR(exact(Metadata!U924,"not collected"),exact(Metadata!U924,"not provided"),exact(Metadata!U924,"restricted access"))),AND(IF(Metadata!U924="",FALSE,ISNUMBER(VALUE(Metadata!U924))),Metadata!U924&gt;=-180.00,Metadata!U924&lt;=180.00))</f>
        <v>0</v>
      </c>
      <c r="BH924">
        <f>AND(IF(Metadata!V924="",FALSE,TRUE),exact(Metadata!V924,"Decimal degrees"))</f>
        <v>0</v>
      </c>
      <c r="BI924">
        <f>IF(Metadata!W924="",FALSE,TRUE)</f>
        <v>0</v>
      </c>
      <c r="BJ924">
        <f>OR(AND(IF(Metadata!X924="",FALSE,TRUE),OR(exact(Metadata!X924,"not collected"),exact(Metadata!X924,"not provided"),exact(Metadata!X924,"restricted access"))),AND(IF(Metadata!X924="",FALSE,TRUE),OR(exact(Metadata!X924,"TRUE"),exact(Metadata!X924,"FALSE"))))</f>
        <v>0</v>
      </c>
      <c r="BK924">
        <f>AND(IF(Metadata!Y924="",FALSE,TRUE),exact(Metadata!Y924,"other"))</f>
        <v>0</v>
      </c>
      <c r="BL924">
        <f>IF(Metadata!Z924="",FALSE,TRUE)</f>
        <v>0</v>
      </c>
      <c r="BM924">
        <f>OR(AND(IF(Metadata!AA924="",FALSE,TRUE),OR(exact(Metadata!AA924,"not collected"),exact(Metadata!AA924,"not provided"))),AND(IF(Metadata!AA924="",FALSE,IF(ISERROR(INT(Metadata!AA924)),FALSE,INT(Metadata!AA924)=Metadata!AA924)),Metadata!AA924&gt;0))</f>
        <v>0</v>
      </c>
      <c r="BN924">
        <f>AND(IF(Metadata!AB924="",FALSE,TRUE),exact(Metadata!AB924,"Not applicable"))</f>
        <v>0</v>
      </c>
      <c r="BO924">
        <f>IF(Metadata!AC924="",FALSE,TRUE)</f>
        <v>0</v>
      </c>
    </row>
    <row r="925" spans="1:67">
      <c r="A925" s="5">
        <f>IF(B925=" "," ",HYPERLINK(CONCATENATE("#metadata!",ADDRESS(INDEX($AI$2:$AI$1001,MATCH(ROWS($AG$2:AG925),$AG$2:$AG$1001,0),0),1)),INDEX($AL$2:$AL$1001,MATCH(ROWS($AG$2:AG925),$AG$2:$AG$1001,0),0)))</f>
        <v>0</v>
      </c>
      <c r="B925" s="4">
        <f>IF(OR(INDEX($AH$2:$AH$1001,MATCH(ROWS($AG$2:AG925),$AG$2:$AG$1001,0),1)&gt;=100000,INDEX($AN$1005:$BO$1005,1,MATCH(COLUMNS($AN$1006:AN1006),$AN$1006:$BO$1006,0))&gt;=100000), " ",IF(INDEX($AN$2:$BO$1001,MATCH(ROWS($AG$2:AG925),$AG$2:$AG$1001,0),MATCH(COLUMNS($AN$1006:AN1006),$AN$1006:$BO$1006,0)), HYPERLINK("#",""), HYPERLINK(CONCATENATE("#Metadata!", ADDRESS(INDEX($AI$2:$AI$1001,MATCH(ROWS($AG$2:AG925),$AG$2:$AG$1001,0),0), INDEX($AN$1004:$BO$1004,1,MATCH(COLUMNS($AN$1006:AN1006),$AN$1006:$BO$1006,0)))),"Fix")))</f>
        <v>0</v>
      </c>
      <c r="C925" s="4">
        <f>IF(OR(INDEX($AH$2:$AH$1001,MATCH(ROWS($AG$2:AG925),$AG$2:$AG$1001,0),1)&gt;=100000,INDEX($AN$1005:$BO$1005,1,MATCH(COLUMNS($AN$1006:AO1006),$AN$1006:$BO$1006,0))&gt;=100000), " ",IF(INDEX($AN$2:$BO$1001,MATCH(ROWS($AG$2:AG925),$AG$2:$AG$1001,0),MATCH(COLUMNS($AN$1006:AO1006),$AN$1006:$BO$1006,0)), HYPERLINK("#",""), HYPERLINK(CONCATENATE("#Metadata!", ADDRESS(INDEX($AI$2:$AI$1001,MATCH(ROWS($AG$2:AG925),$AG$2:$AG$1001,0),0), INDEX($AN$1004:$BO$1004,1,MATCH(COLUMNS($AN$1006:AO1006),$AN$1006:$BO$1006,0)))),"Fix")))</f>
        <v>0</v>
      </c>
      <c r="D925" s="4">
        <f>IF(OR(INDEX($AH$2:$AH$1001,MATCH(ROWS($AG$2:AG925),$AG$2:$AG$1001,0),1)&gt;=100000,INDEX($AN$1005:$BO$1005,1,MATCH(COLUMNS($AN$1006:AP1006),$AN$1006:$BO$1006,0))&gt;=100000), " ",IF(INDEX($AN$2:$BO$1001,MATCH(ROWS($AG$2:AG925),$AG$2:$AG$1001,0),MATCH(COLUMNS($AN$1006:AP1006),$AN$1006:$BO$1006,0)), HYPERLINK("#",""), HYPERLINK(CONCATENATE("#Metadata!", ADDRESS(INDEX($AI$2:$AI$1001,MATCH(ROWS($AG$2:AG925),$AG$2:$AG$1001,0),0), INDEX($AN$1004:$BO$1004,1,MATCH(COLUMNS($AN$1006:AP1006),$AN$1006:$BO$1006,0)))),"Fix")))</f>
        <v>0</v>
      </c>
      <c r="E925" s="4">
        <f>IF(OR(INDEX($AH$2:$AH$1001,MATCH(ROWS($AG$2:AG925),$AG$2:$AG$1001,0),1)&gt;=100000,INDEX($AN$1005:$BO$1005,1,MATCH(COLUMNS($AN$1006:AQ1006),$AN$1006:$BO$1006,0))&gt;=100000), " ",IF(INDEX($AN$2:$BO$1001,MATCH(ROWS($AG$2:AG925),$AG$2:$AG$1001,0),MATCH(COLUMNS($AN$1006:AQ1006),$AN$1006:$BO$1006,0)), HYPERLINK("#",""), HYPERLINK(CONCATENATE("#Metadata!", ADDRESS(INDEX($AI$2:$AI$1001,MATCH(ROWS($AG$2:AG925),$AG$2:$AG$1001,0),0), INDEX($AN$1004:$BO$1004,1,MATCH(COLUMNS($AN$1006:AQ1006),$AN$1006:$BO$1006,0)))),"Fix")))</f>
        <v>0</v>
      </c>
      <c r="F925" s="4">
        <f>IF(OR(INDEX($AH$2:$AH$1001,MATCH(ROWS($AG$2:AG925),$AG$2:$AG$1001,0),1)&gt;=100000,INDEX($AN$1005:$BO$1005,1,MATCH(COLUMNS($AN$1006:AR1006),$AN$1006:$BO$1006,0))&gt;=100000), " ",IF(INDEX($AN$2:$BO$1001,MATCH(ROWS($AG$2:AG925),$AG$2:$AG$1001,0),MATCH(COLUMNS($AN$1006:AR1006),$AN$1006:$BO$1006,0)), HYPERLINK("#",""), HYPERLINK(CONCATENATE("#Metadata!", ADDRESS(INDEX($AI$2:$AI$1001,MATCH(ROWS($AG$2:AG925),$AG$2:$AG$1001,0),0), INDEX($AN$1004:$BO$1004,1,MATCH(COLUMNS($AN$1006:AR1006),$AN$1006:$BO$1006,0)))),"Fix")))</f>
        <v>0</v>
      </c>
      <c r="G925" s="4">
        <f>IF(OR(INDEX($AH$2:$AH$1001,MATCH(ROWS($AG$2:AG925),$AG$2:$AG$1001,0),1)&gt;=100000,INDEX($AN$1005:$BO$1005,1,MATCH(COLUMNS($AN$1006:AS1006),$AN$1006:$BO$1006,0))&gt;=100000), " ",IF(INDEX($AN$2:$BO$1001,MATCH(ROWS($AG$2:AG925),$AG$2:$AG$1001,0),MATCH(COLUMNS($AN$1006:AS1006),$AN$1006:$BO$1006,0)), HYPERLINK("#",""), HYPERLINK(CONCATENATE("#Metadata!", ADDRESS(INDEX($AI$2:$AI$1001,MATCH(ROWS($AG$2:AG925),$AG$2:$AG$1001,0),0), INDEX($AN$1004:$BO$1004,1,MATCH(COLUMNS($AN$1006:AS1006),$AN$1006:$BO$1006,0)))),"Fix")))</f>
        <v>0</v>
      </c>
      <c r="H925" s="4">
        <f>IF(OR(INDEX($AH$2:$AH$1001,MATCH(ROWS($AG$2:AG925),$AG$2:$AG$1001,0),1)&gt;=100000,INDEX($AN$1005:$BO$1005,1,MATCH(COLUMNS($AN$1006:AT1006),$AN$1006:$BO$1006,0))&gt;=100000), " ",IF(INDEX($AN$2:$BO$1001,MATCH(ROWS($AG$2:AG925),$AG$2:$AG$1001,0),MATCH(COLUMNS($AN$1006:AT1006),$AN$1006:$BO$1006,0)), HYPERLINK("#",""), HYPERLINK(CONCATENATE("#Metadata!", ADDRESS(INDEX($AI$2:$AI$1001,MATCH(ROWS($AG$2:AG925),$AG$2:$AG$1001,0),0), INDEX($AN$1004:$BO$1004,1,MATCH(COLUMNS($AN$1006:AT1006),$AN$1006:$BO$1006,0)))),"Fix")))</f>
        <v>0</v>
      </c>
      <c r="I925" s="4">
        <f>IF(OR(INDEX($AH$2:$AH$1001,MATCH(ROWS($AG$2:AG925),$AG$2:$AG$1001,0),1)&gt;=100000,INDEX($AN$1005:$BO$1005,1,MATCH(COLUMNS($AN$1006:AU1006),$AN$1006:$BO$1006,0))&gt;=100000), " ",IF(INDEX($AN$2:$BO$1001,MATCH(ROWS($AG$2:AG925),$AG$2:$AG$1001,0),MATCH(COLUMNS($AN$1006:AU1006),$AN$1006:$BO$1006,0)), HYPERLINK("#",""), HYPERLINK(CONCATENATE("#Metadata!", ADDRESS(INDEX($AI$2:$AI$1001,MATCH(ROWS($AG$2:AG925),$AG$2:$AG$1001,0),0), INDEX($AN$1004:$BO$1004,1,MATCH(COLUMNS($AN$1006:AU1006),$AN$1006:$BO$1006,0)))),"Fix")))</f>
        <v>0</v>
      </c>
      <c r="J925" s="4">
        <f>IF(OR(INDEX($AH$2:$AH$1001,MATCH(ROWS($AG$2:AG925),$AG$2:$AG$1001,0),1)&gt;=100000,INDEX($AN$1005:$BO$1005,1,MATCH(COLUMNS($AN$1006:AV1006),$AN$1006:$BO$1006,0))&gt;=100000), " ",IF(INDEX($AN$2:$BO$1001,MATCH(ROWS($AG$2:AG925),$AG$2:$AG$1001,0),MATCH(COLUMNS($AN$1006:AV1006),$AN$1006:$BO$1006,0)), HYPERLINK("#",""), HYPERLINK(CONCATENATE("#Metadata!", ADDRESS(INDEX($AI$2:$AI$1001,MATCH(ROWS($AG$2:AG925),$AG$2:$AG$1001,0),0), INDEX($AN$1004:$BO$1004,1,MATCH(COLUMNS($AN$1006:AV1006),$AN$1006:$BO$1006,0)))),"Fix")))</f>
        <v>0</v>
      </c>
      <c r="K925" s="4">
        <f>IF(OR(INDEX($AH$2:$AH$1001,MATCH(ROWS($AG$2:AG925),$AG$2:$AG$1001,0),1)&gt;=100000,INDEX($AN$1005:$BO$1005,1,MATCH(COLUMNS($AN$1006:AW1006),$AN$1006:$BO$1006,0))&gt;=100000), " ",IF(INDEX($AN$2:$BO$1001,MATCH(ROWS($AG$2:AG925),$AG$2:$AG$1001,0),MATCH(COLUMNS($AN$1006:AW1006),$AN$1006:$BO$1006,0)), HYPERLINK("#",""), HYPERLINK(CONCATENATE("#Metadata!", ADDRESS(INDEX($AI$2:$AI$1001,MATCH(ROWS($AG$2:AG925),$AG$2:$AG$1001,0),0), INDEX($AN$1004:$BO$1004,1,MATCH(COLUMNS($AN$1006:AW1006),$AN$1006:$BO$1006,0)))),"Fix")))</f>
        <v>0</v>
      </c>
      <c r="L925" s="4">
        <f>IF(OR(INDEX($AH$2:$AH$1001,MATCH(ROWS($AG$2:AG925),$AG$2:$AG$1001,0),1)&gt;=100000,INDEX($AN$1005:$BO$1005,1,MATCH(COLUMNS($AN$1006:AX1006),$AN$1006:$BO$1006,0))&gt;=100000), " ",IF(INDEX($AN$2:$BO$1001,MATCH(ROWS($AG$2:AG925),$AG$2:$AG$1001,0),MATCH(COLUMNS($AN$1006:AX1006),$AN$1006:$BO$1006,0)), HYPERLINK("#",""), HYPERLINK(CONCATENATE("#Metadata!", ADDRESS(INDEX($AI$2:$AI$1001,MATCH(ROWS($AG$2:AG925),$AG$2:$AG$1001,0),0), INDEX($AN$1004:$BO$1004,1,MATCH(COLUMNS($AN$1006:AX1006),$AN$1006:$BO$1006,0)))),"Fix")))</f>
        <v>0</v>
      </c>
      <c r="M925" s="4">
        <f>IF(OR(INDEX($AH$2:$AH$1001,MATCH(ROWS($AG$2:AG925),$AG$2:$AG$1001,0),1)&gt;=100000,INDEX($AN$1005:$BO$1005,1,MATCH(COLUMNS($AN$1006:AY1006),$AN$1006:$BO$1006,0))&gt;=100000), " ",IF(INDEX($AN$2:$BO$1001,MATCH(ROWS($AG$2:AG925),$AG$2:$AG$1001,0),MATCH(COLUMNS($AN$1006:AY1006),$AN$1006:$BO$1006,0)), HYPERLINK("#",""), HYPERLINK(CONCATENATE("#Metadata!", ADDRESS(INDEX($AI$2:$AI$1001,MATCH(ROWS($AG$2:AG925),$AG$2:$AG$1001,0),0), INDEX($AN$1004:$BO$1004,1,MATCH(COLUMNS($AN$1006:AY1006),$AN$1006:$BO$1006,0)))),"Fix")))</f>
        <v>0</v>
      </c>
      <c r="N925" s="4">
        <f>IF(OR(INDEX($AH$2:$AH$1001,MATCH(ROWS($AG$2:AG925),$AG$2:$AG$1001,0),1)&gt;=100000,INDEX($AN$1005:$BO$1005,1,MATCH(COLUMNS($AN$1006:AZ1006),$AN$1006:$BO$1006,0))&gt;=100000), " ",IF(INDEX($AN$2:$BO$1001,MATCH(ROWS($AG$2:AG925),$AG$2:$AG$1001,0),MATCH(COLUMNS($AN$1006:AZ1006),$AN$1006:$BO$1006,0)), HYPERLINK("#",""), HYPERLINK(CONCATENATE("#Metadata!", ADDRESS(INDEX($AI$2:$AI$1001,MATCH(ROWS($AG$2:AG925),$AG$2:$AG$1001,0),0), INDEX($AN$1004:$BO$1004,1,MATCH(COLUMNS($AN$1006:AZ1006),$AN$1006:$BO$1006,0)))),"Fix")))</f>
        <v>0</v>
      </c>
      <c r="O925" s="4">
        <f>IF(OR(INDEX($AH$2:$AH$1001,MATCH(ROWS($AG$2:AG925),$AG$2:$AG$1001,0),1)&gt;=100000,INDEX($AN$1005:$BO$1005,1,MATCH(COLUMNS($AN$1006:BA1006),$AN$1006:$BO$1006,0))&gt;=100000), " ",IF(INDEX($AN$2:$BO$1001,MATCH(ROWS($AG$2:AG925),$AG$2:$AG$1001,0),MATCH(COLUMNS($AN$1006:BA1006),$AN$1006:$BO$1006,0)), HYPERLINK("#",""), HYPERLINK(CONCATENATE("#Metadata!", ADDRESS(INDEX($AI$2:$AI$1001,MATCH(ROWS($AG$2:AG925),$AG$2:$AG$1001,0),0), INDEX($AN$1004:$BO$1004,1,MATCH(COLUMNS($AN$1006:BA1006),$AN$1006:$BO$1006,0)))),"Fix")))</f>
        <v>0</v>
      </c>
      <c r="P925" s="4">
        <f>IF(OR(INDEX($AH$2:$AH$1001,MATCH(ROWS($AG$2:AG925),$AG$2:$AG$1001,0),1)&gt;=100000,INDEX($AN$1005:$BO$1005,1,MATCH(COLUMNS($AN$1006:BB1006),$AN$1006:$BO$1006,0))&gt;=100000), " ",IF(INDEX($AN$2:$BO$1001,MATCH(ROWS($AG$2:AG925),$AG$2:$AG$1001,0),MATCH(COLUMNS($AN$1006:BB1006),$AN$1006:$BO$1006,0)), HYPERLINK("#",""), HYPERLINK(CONCATENATE("#Metadata!", ADDRESS(INDEX($AI$2:$AI$1001,MATCH(ROWS($AG$2:AG925),$AG$2:$AG$1001,0),0), INDEX($AN$1004:$BO$1004,1,MATCH(COLUMNS($AN$1006:BB1006),$AN$1006:$BO$1006,0)))),"Fix")))</f>
        <v>0</v>
      </c>
      <c r="Q925" s="4">
        <f>IF(OR(INDEX($AH$2:$AH$1001,MATCH(ROWS($AG$2:AG925),$AG$2:$AG$1001,0),1)&gt;=100000,INDEX($AN$1005:$BO$1005,1,MATCH(COLUMNS($AN$1006:BC1006),$AN$1006:$BO$1006,0))&gt;=100000), " ",IF(INDEX($AN$2:$BO$1001,MATCH(ROWS($AG$2:AG925),$AG$2:$AG$1001,0),MATCH(COLUMNS($AN$1006:BC1006),$AN$1006:$BO$1006,0)), HYPERLINK("#",""), HYPERLINK(CONCATENATE("#Metadata!", ADDRESS(INDEX($AI$2:$AI$1001,MATCH(ROWS($AG$2:AG925),$AG$2:$AG$1001,0),0), INDEX($AN$1004:$BO$1004,1,MATCH(COLUMNS($AN$1006:BC1006),$AN$1006:$BO$1006,0)))),"Fix")))</f>
        <v>0</v>
      </c>
      <c r="R925" s="4">
        <f>IF(OR(INDEX($AH$2:$AH$1001,MATCH(ROWS($AG$2:AG925),$AG$2:$AG$1001,0),1)&gt;=100000,INDEX($AN$1005:$BO$1005,1,MATCH(COLUMNS($AN$1006:BD1006),$AN$1006:$BO$1006,0))&gt;=100000), " ",IF(INDEX($AN$2:$BO$1001,MATCH(ROWS($AG$2:AG925),$AG$2:$AG$1001,0),MATCH(COLUMNS($AN$1006:BD1006),$AN$1006:$BO$1006,0)), HYPERLINK("#",""), HYPERLINK(CONCATENATE("#Metadata!", ADDRESS(INDEX($AI$2:$AI$1001,MATCH(ROWS($AG$2:AG925),$AG$2:$AG$1001,0),0), INDEX($AN$1004:$BO$1004,1,MATCH(COLUMNS($AN$1006:BD1006),$AN$1006:$BO$1006,0)))),"Fix")))</f>
        <v>0</v>
      </c>
      <c r="S925" s="4">
        <f>IF(OR(INDEX($AH$2:$AH$1001,MATCH(ROWS($AG$2:AG925),$AG$2:$AG$1001,0),1)&gt;=100000,INDEX($AN$1005:$BO$1005,1,MATCH(COLUMNS($AN$1006:BE1006),$AN$1006:$BO$1006,0))&gt;=100000), " ",IF(INDEX($AN$2:$BO$1001,MATCH(ROWS($AG$2:AG925),$AG$2:$AG$1001,0),MATCH(COLUMNS($AN$1006:BE1006),$AN$1006:$BO$1006,0)), HYPERLINK("#",""), HYPERLINK(CONCATENATE("#Metadata!", ADDRESS(INDEX($AI$2:$AI$1001,MATCH(ROWS($AG$2:AG925),$AG$2:$AG$1001,0),0), INDEX($AN$1004:$BO$1004,1,MATCH(COLUMNS($AN$1006:BE1006),$AN$1006:$BO$1006,0)))),"Fix")))</f>
        <v>0</v>
      </c>
      <c r="T925" s="4">
        <f>IF(OR(INDEX($AH$2:$AH$1001,MATCH(ROWS($AG$2:AG925),$AG$2:$AG$1001,0),1)&gt;=100000,INDEX($AN$1005:$BO$1005,1,MATCH(COLUMNS($AN$1006:BF1006),$AN$1006:$BO$1006,0))&gt;=100000), " ",IF(INDEX($AN$2:$BO$1001,MATCH(ROWS($AG$2:AG925),$AG$2:$AG$1001,0),MATCH(COLUMNS($AN$1006:BF1006),$AN$1006:$BO$1006,0)), HYPERLINK("#",""), HYPERLINK(CONCATENATE("#Metadata!", ADDRESS(INDEX($AI$2:$AI$1001,MATCH(ROWS($AG$2:AG925),$AG$2:$AG$1001,0),0), INDEX($AN$1004:$BO$1004,1,MATCH(COLUMNS($AN$1006:BF1006),$AN$1006:$BO$1006,0)))),"Fix")))</f>
        <v>0</v>
      </c>
      <c r="U925" s="4">
        <f>IF(OR(INDEX($AH$2:$AH$1001,MATCH(ROWS($AG$2:AG925),$AG$2:$AG$1001,0),1)&gt;=100000,INDEX($AN$1005:$BO$1005,1,MATCH(COLUMNS($AN$1006:BG1006),$AN$1006:$BO$1006,0))&gt;=100000), " ",IF(INDEX($AN$2:$BO$1001,MATCH(ROWS($AG$2:AG925),$AG$2:$AG$1001,0),MATCH(COLUMNS($AN$1006:BG1006),$AN$1006:$BO$1006,0)), HYPERLINK("#",""), HYPERLINK(CONCATENATE("#Metadata!", ADDRESS(INDEX($AI$2:$AI$1001,MATCH(ROWS($AG$2:AG925),$AG$2:$AG$1001,0),0), INDEX($AN$1004:$BO$1004,1,MATCH(COLUMNS($AN$1006:BG1006),$AN$1006:$BO$1006,0)))),"Fix")))</f>
        <v>0</v>
      </c>
      <c r="V925" s="4">
        <f>IF(OR(INDEX($AH$2:$AH$1001,MATCH(ROWS($AG$2:AG925),$AG$2:$AG$1001,0),1)&gt;=100000,INDEX($AN$1005:$BO$1005,1,MATCH(COLUMNS($AN$1006:BH1006),$AN$1006:$BO$1006,0))&gt;=100000), " ",IF(INDEX($AN$2:$BO$1001,MATCH(ROWS($AG$2:AG925),$AG$2:$AG$1001,0),MATCH(COLUMNS($AN$1006:BH1006),$AN$1006:$BO$1006,0)), HYPERLINK("#",""), HYPERLINK(CONCATENATE("#Metadata!", ADDRESS(INDEX($AI$2:$AI$1001,MATCH(ROWS($AG$2:AG925),$AG$2:$AG$1001,0),0), INDEX($AN$1004:$BO$1004,1,MATCH(COLUMNS($AN$1006:BH1006),$AN$1006:$BO$1006,0)))),"Fix")))</f>
        <v>0</v>
      </c>
      <c r="W925" s="4">
        <f>IF(OR(INDEX($AH$2:$AH$1001,MATCH(ROWS($AG$2:AG925),$AG$2:$AG$1001,0),1)&gt;=100000,INDEX($AN$1005:$BO$1005,1,MATCH(COLUMNS($AN$1006:BI1006),$AN$1006:$BO$1006,0))&gt;=100000), " ",IF(INDEX($AN$2:$BO$1001,MATCH(ROWS($AG$2:AG925),$AG$2:$AG$1001,0),MATCH(COLUMNS($AN$1006:BI1006),$AN$1006:$BO$1006,0)), HYPERLINK("#",""), HYPERLINK(CONCATENATE("#Metadata!", ADDRESS(INDEX($AI$2:$AI$1001,MATCH(ROWS($AG$2:AG925),$AG$2:$AG$1001,0),0), INDEX($AN$1004:$BO$1004,1,MATCH(COLUMNS($AN$1006:BI1006),$AN$1006:$BO$1006,0)))),"Fix")))</f>
        <v>0</v>
      </c>
      <c r="X925" s="4">
        <f>IF(OR(INDEX($AH$2:$AH$1001,MATCH(ROWS($AG$2:AG925),$AG$2:$AG$1001,0),1)&gt;=100000,INDEX($AN$1005:$BO$1005,1,MATCH(COLUMNS($AN$1006:BJ1006),$AN$1006:$BO$1006,0))&gt;=100000), " ",IF(INDEX($AN$2:$BO$1001,MATCH(ROWS($AG$2:AG925),$AG$2:$AG$1001,0),MATCH(COLUMNS($AN$1006:BJ1006),$AN$1006:$BO$1006,0)), HYPERLINK("#",""), HYPERLINK(CONCATENATE("#Metadata!", ADDRESS(INDEX($AI$2:$AI$1001,MATCH(ROWS($AG$2:AG925),$AG$2:$AG$1001,0),0), INDEX($AN$1004:$BO$1004,1,MATCH(COLUMNS($AN$1006:BJ1006),$AN$1006:$BO$1006,0)))),"Fix")))</f>
        <v>0</v>
      </c>
      <c r="Y925" s="4">
        <f>IF(OR(INDEX($AH$2:$AH$1001,MATCH(ROWS($AG$2:AG925),$AG$2:$AG$1001,0),1)&gt;=100000,INDEX($AN$1005:$BO$1005,1,MATCH(COLUMNS($AN$1006:BK1006),$AN$1006:$BO$1006,0))&gt;=100000), " ",IF(INDEX($AN$2:$BO$1001,MATCH(ROWS($AG$2:AG925),$AG$2:$AG$1001,0),MATCH(COLUMNS($AN$1006:BK1006),$AN$1006:$BO$1006,0)), HYPERLINK("#",""), HYPERLINK(CONCATENATE("#Metadata!", ADDRESS(INDEX($AI$2:$AI$1001,MATCH(ROWS($AG$2:AG925),$AG$2:$AG$1001,0),0), INDEX($AN$1004:$BO$1004,1,MATCH(COLUMNS($AN$1006:BK1006),$AN$1006:$BO$1006,0)))),"Fix")))</f>
        <v>0</v>
      </c>
      <c r="Z925" s="4">
        <f>IF(OR(INDEX($AH$2:$AH$1001,MATCH(ROWS($AG$2:AG925),$AG$2:$AG$1001,0),1)&gt;=100000,INDEX($AN$1005:$BO$1005,1,MATCH(COLUMNS($AN$1006:BL1006),$AN$1006:$BO$1006,0))&gt;=100000), " ",IF(INDEX($AN$2:$BO$1001,MATCH(ROWS($AG$2:AG925),$AG$2:$AG$1001,0),MATCH(COLUMNS($AN$1006:BL1006),$AN$1006:$BO$1006,0)), HYPERLINK("#",""), HYPERLINK(CONCATENATE("#Metadata!", ADDRESS(INDEX($AI$2:$AI$1001,MATCH(ROWS($AG$2:AG925),$AG$2:$AG$1001,0),0), INDEX($AN$1004:$BO$1004,1,MATCH(COLUMNS($AN$1006:BL1006),$AN$1006:$BO$1006,0)))),"Fix")))</f>
        <v>0</v>
      </c>
      <c r="AA925" s="4">
        <f>IF(OR(INDEX($AH$2:$AH$1001,MATCH(ROWS($AG$2:AG925),$AG$2:$AG$1001,0),1)&gt;=100000,INDEX($AN$1005:$BO$1005,1,MATCH(COLUMNS($AN$1006:BM1006),$AN$1006:$BO$1006,0))&gt;=100000), " ",IF(INDEX($AN$2:$BO$1001,MATCH(ROWS($AG$2:AG925),$AG$2:$AG$1001,0),MATCH(COLUMNS($AN$1006:BM1006),$AN$1006:$BO$1006,0)), HYPERLINK("#",""), HYPERLINK(CONCATENATE("#Metadata!", ADDRESS(INDEX($AI$2:$AI$1001,MATCH(ROWS($AG$2:AG925),$AG$2:$AG$1001,0),0), INDEX($AN$1004:$BO$1004,1,MATCH(COLUMNS($AN$1006:BM1006),$AN$1006:$BO$1006,0)))),"Fix")))</f>
        <v>0</v>
      </c>
      <c r="AB925" s="4">
        <f>IF(OR(INDEX($AH$2:$AH$1001,MATCH(ROWS($AG$2:AG925),$AG$2:$AG$1001,0),1)&gt;=100000,INDEX($AN$1005:$BO$1005,1,MATCH(COLUMNS($AN$1006:BN1006),$AN$1006:$BO$1006,0))&gt;=100000), " ",IF(INDEX($AN$2:$BO$1001,MATCH(ROWS($AG$2:AG925),$AG$2:$AG$1001,0),MATCH(COLUMNS($AN$1006:BN1006),$AN$1006:$BO$1006,0)), HYPERLINK("#",""), HYPERLINK(CONCATENATE("#Metadata!", ADDRESS(INDEX($AI$2:$AI$1001,MATCH(ROWS($AG$2:AG925),$AG$2:$AG$1001,0),0), INDEX($AN$1004:$BO$1004,1,MATCH(COLUMNS($AN$1006:BN1006),$AN$1006:$BO$1006,0)))),"Fix")))</f>
        <v>0</v>
      </c>
      <c r="AC925" s="4">
        <f>IF(OR(INDEX($AH$2:$AH$1001,MATCH(ROWS($AG$2:AG925),$AG$2:$AG$1001,0),1)&gt;=100000,INDEX($AN$1005:$BO$1005,1,MATCH(COLUMNS($AN$1006:BO1006),$AN$1006:$BO$1006,0))&gt;=100000), " ",IF(INDEX($AN$2:$BO$1001,MATCH(ROWS($AG$2:AG925),$AG$2:$AG$1001,0),MATCH(COLUMNS($AN$1006:BO1006),$AN$1006:$BO$1006,0)), HYPERLINK("#",""), HYPERLINK(CONCATENATE("#Metadata!", ADDRESS(INDEX($AI$2:$AI$1001,MATCH(ROWS($AG$2:AG925),$AG$2:$AG$1001,0),0), INDEX($AN$1004:$BO$1004,1,MATCH(COLUMNS($AN$1006:BO1006),$AN$1006:$BO$1006,0)))),"Fix")))</f>
        <v>0</v>
      </c>
      <c r="AG925">
        <v>0</v>
      </c>
      <c r="AH925">
        <v>0</v>
      </c>
      <c r="AI925">
        <v>0</v>
      </c>
      <c r="AJ925">
        <f>IF(AK925,TRUE,AND(AN925:BO925))</f>
        <v>0</v>
      </c>
      <c r="AK925">
        <f>COUNTBLANK(Metadata!B925:AC925)=COLUMNS(Metadata!B925:AC925)</f>
        <v>0</v>
      </c>
      <c r="AL925">
        <v>0</v>
      </c>
      <c r="AN925">
        <f>AND(IF(Metadata!B925="",FALSE,TRUE),COUNTIF(Metadata!B:B, Metadata!B925) = 1,NOT(ISERROR(SUMPRODUCT(SEARCH(MID(Metadata!B925,ROW(INDIRECT("1:"&amp;LEN(Metadata!B925))), 1),"0123456789abcdefghijklmnopqrstuvwxyzABCDEFGHIJKLMNOPQRSTUVWXYZ.")))))</f>
        <v>0</v>
      </c>
      <c r="AO925">
        <f>IF(Metadata!C925="",FALSE,TRUE)</f>
        <v>0</v>
      </c>
      <c r="AP925">
        <f>IF(Metadata!D925="",FALSE,TRUE)</f>
        <v>0</v>
      </c>
      <c r="AQ925">
        <f>OR(AND(IF(Metadata!E925="",FALSE,TRUE),OR(exact(Metadata!E925,"not collected"),exact(Metadata!E925,"not provided"),exact(Metadata!E925,"restricted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R925">
        <f>IF(Metadata!F925="",FALSE,TRUE)</f>
        <v>0</v>
      </c>
      <c r="AS925">
        <f>OR(AND(IF(Metadata!G925="",FALSE,TRUE),OR(exact(Metadata!G925,"not collected"),exact(Metadata!G925,"not provided"))),AND(IF(Metadata!G925="",FALSE,TRUE),OR(exact(Metadata!G925,"TRUE"),exact(Metadata!G925,"FALSE"))))</f>
        <v>0</v>
      </c>
      <c r="AT925">
        <f>OR(AND(IF(Metadata!H925="",FALSE,TRUE),OR(exact(Metadata!H925,"not collected"),exact(Metadata!H925,"not provided"),exact(Metadata!H925,"restricted access"))),AND(IF(Metadata!H925="",FALSE,ISNUMBER(VALUE(Metadata!H925))),Metadata!H925&gt;=-413.0))</f>
        <v>0</v>
      </c>
      <c r="AU925">
        <f>AND(IF(Metadata!I925="",FALSE,TRUE),exact(Metadata!I925,"meters"))</f>
        <v>0</v>
      </c>
      <c r="AV925">
        <f>AND(IF(Metadata!J925="",FALSE,TRUE),OR(exact(Metadata!J925,"Host-associated"),exact(Metadata!J925,"Free-living")))</f>
        <v>0</v>
      </c>
      <c r="AW925">
        <f>AND(IF(Metadata!K925="",FALSE,TRUE),OR(exact(Metadata!K925,"Animal"),exact(Metadata!K925,"Fungus"),exact(Metadata!K925,"Plant"),exact(Metadata!K925,"Saline"),exact(Metadata!K925,"Non-saline")))</f>
        <v>0</v>
      </c>
      <c r="AX925">
        <f>AND(IF(Metadata!L925="",FALSE,TRUE),OR(exact(Metadata!L925,"Plant secretion"),exact(Metadata!L925,"Plant rhizosphere"),exact(Metadata!L925,"Plant surface"),exact(Metadata!L925,"Plant corpus"),exact(Metadata!L925,"Fungus surface"),exact(Metadata!L925,"Fungus corpus"),exact(Metadata!L925,"Animal surface"),exact(Metadata!L925,"Animal proximal gut"),exact(Metadata!L925,"Animal corpus"),exact(Metadata!L925,"Animal distal gut"),exact(Metadata!L925,"Animal secretion"),exact(Metadata!L925,"Sub-surface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Y925">
        <f>IF(Metadata!M925="",FALSE,TRUE)</f>
        <v>0</v>
      </c>
      <c r="AZ925">
        <f>IF(Metadata!N925="",FALSE,TRUE)</f>
        <v>0</v>
      </c>
      <c r="BA925">
        <f>IF(Metadata!O925="",FALSE,TRUE)</f>
        <v>0</v>
      </c>
      <c r="BB925">
        <f>OR(AND(IF(Metadata!P925="",FALSE,TRUE),OR(exact(Metadata!P925,"not collected"),exact(Metadata!P925,"not provided"),exact(Metadata!P925,"restricted access"))),AND(IF(Metadata!P925="",FALSE,TRUE),OR(exact(Metadata!P925,"air"),exact(Metadata!P925,"built environment"),exact(Metadata!P925,"host-associated"),exact(Metadata!P925,"human-associated"),exact(Metadata!P925,"human-skin"),exact(Metadata!P925,"human-oral"),exact(Metadata!P925,"human-gut"),exact(Metadata!P925,"human-vaginal"),exact(Metadata!P925,"microbial mat/biofilm"),exact(Metadata!P925,"misc environment"),exact(Metadata!P925,"plant-associated"),exact(Metadata!P925,"sediment"),exact(Metadata!P925,"soil"),exact(Metadata!P925,"wastewater/sludge"),exact(Metadata!P925,"water"))))</f>
        <v>0</v>
      </c>
      <c r="BC925">
        <f>IF(Metadata!Q925="",FALSE,TRUE)</f>
        <v>0</v>
      </c>
      <c r="BD925">
        <f>IF(Metadata!R925="",FALSE,TRUE)</f>
        <v>0</v>
      </c>
      <c r="BE925">
        <f>OR(AND(IF(Metadata!S925="",FALSE,TRUE),OR(exact(Metadata!S925,"not collected"),exact(Metadata!S925,"not provided"),exact(Metadata!S925,"restricted access"))),AND(IF(Metadata!S925="",FALSE,ISNUMBER(VALUE(Metadata!S925))),Metadata!S925&gt;=-90.00,Metadata!S925&lt;=90.00))</f>
        <v>0</v>
      </c>
      <c r="BF925">
        <f>AND(IF(Metadata!T925="",FALSE,TRUE),exact(Metadata!T925,"Decimal degrees"))</f>
        <v>0</v>
      </c>
      <c r="BG925">
        <f>OR(AND(IF(Metadata!U925="",FALSE,TRUE),OR(exact(Metadata!U925,"not collected"),exact(Metadata!U925,"not provided"),exact(Metadata!U925,"restricted access"))),AND(IF(Metadata!U925="",FALSE,ISNUMBER(VALUE(Metadata!U925))),Metadata!U925&gt;=-180.00,Metadata!U925&lt;=180.00))</f>
        <v>0</v>
      </c>
      <c r="BH925">
        <f>AND(IF(Metadata!V925="",FALSE,TRUE),exact(Metadata!V925,"Decimal degrees"))</f>
        <v>0</v>
      </c>
      <c r="BI925">
        <f>IF(Metadata!W925="",FALSE,TRUE)</f>
        <v>0</v>
      </c>
      <c r="BJ925">
        <f>OR(AND(IF(Metadata!X925="",FALSE,TRUE),OR(exact(Metadata!X925,"not collected"),exact(Metadata!X925,"not provided"),exact(Metadata!X925,"restricted access"))),AND(IF(Metadata!X925="",FALSE,TRUE),OR(exact(Metadata!X925,"TRUE"),exact(Metadata!X925,"FALSE"))))</f>
        <v>0</v>
      </c>
      <c r="BK925">
        <f>AND(IF(Metadata!Y925="",FALSE,TRUE),exact(Metadata!Y925,"other"))</f>
        <v>0</v>
      </c>
      <c r="BL925">
        <f>IF(Metadata!Z925="",FALSE,TRUE)</f>
        <v>0</v>
      </c>
      <c r="BM925">
        <f>OR(AND(IF(Metadata!AA925="",FALSE,TRUE),OR(exact(Metadata!AA925,"not collected"),exact(Metadata!AA925,"not provided"))),AND(IF(Metadata!AA925="",FALSE,IF(ISERROR(INT(Metadata!AA925)),FALSE,INT(Metadata!AA925)=Metadata!AA925)),Metadata!AA925&gt;0))</f>
        <v>0</v>
      </c>
      <c r="BN925">
        <f>AND(IF(Metadata!AB925="",FALSE,TRUE),exact(Metadata!AB925,"Not applicable"))</f>
        <v>0</v>
      </c>
      <c r="BO925">
        <f>IF(Metadata!AC925="",FALSE,TRUE)</f>
        <v>0</v>
      </c>
    </row>
    <row r="926" spans="1:67">
      <c r="A926" s="5">
        <f>IF(B926=" "," ",HYPERLINK(CONCATENATE("#metadata!",ADDRESS(INDEX($AI$2:$AI$1001,MATCH(ROWS($AG$2:AG926),$AG$2:$AG$1001,0),0),1)),INDEX($AL$2:$AL$1001,MATCH(ROWS($AG$2:AG926),$AG$2:$AG$1001,0),0)))</f>
        <v>0</v>
      </c>
      <c r="B926" s="4">
        <f>IF(OR(INDEX($AH$2:$AH$1001,MATCH(ROWS($AG$2:AG926),$AG$2:$AG$1001,0),1)&gt;=100000,INDEX($AN$1005:$BO$1005,1,MATCH(COLUMNS($AN$1006:AN1006),$AN$1006:$BO$1006,0))&gt;=100000), " ",IF(INDEX($AN$2:$BO$1001,MATCH(ROWS($AG$2:AG926),$AG$2:$AG$1001,0),MATCH(COLUMNS($AN$1006:AN1006),$AN$1006:$BO$1006,0)), HYPERLINK("#",""), HYPERLINK(CONCATENATE("#Metadata!", ADDRESS(INDEX($AI$2:$AI$1001,MATCH(ROWS($AG$2:AG926),$AG$2:$AG$1001,0),0), INDEX($AN$1004:$BO$1004,1,MATCH(COLUMNS($AN$1006:AN1006),$AN$1006:$BO$1006,0)))),"Fix")))</f>
        <v>0</v>
      </c>
      <c r="C926" s="4">
        <f>IF(OR(INDEX($AH$2:$AH$1001,MATCH(ROWS($AG$2:AG926),$AG$2:$AG$1001,0),1)&gt;=100000,INDEX($AN$1005:$BO$1005,1,MATCH(COLUMNS($AN$1006:AO1006),$AN$1006:$BO$1006,0))&gt;=100000), " ",IF(INDEX($AN$2:$BO$1001,MATCH(ROWS($AG$2:AG926),$AG$2:$AG$1001,0),MATCH(COLUMNS($AN$1006:AO1006),$AN$1006:$BO$1006,0)), HYPERLINK("#",""), HYPERLINK(CONCATENATE("#Metadata!", ADDRESS(INDEX($AI$2:$AI$1001,MATCH(ROWS($AG$2:AG926),$AG$2:$AG$1001,0),0), INDEX($AN$1004:$BO$1004,1,MATCH(COLUMNS($AN$1006:AO1006),$AN$1006:$BO$1006,0)))),"Fix")))</f>
        <v>0</v>
      </c>
      <c r="D926" s="4">
        <f>IF(OR(INDEX($AH$2:$AH$1001,MATCH(ROWS($AG$2:AG926),$AG$2:$AG$1001,0),1)&gt;=100000,INDEX($AN$1005:$BO$1005,1,MATCH(COLUMNS($AN$1006:AP1006),$AN$1006:$BO$1006,0))&gt;=100000), " ",IF(INDEX($AN$2:$BO$1001,MATCH(ROWS($AG$2:AG926),$AG$2:$AG$1001,0),MATCH(COLUMNS($AN$1006:AP1006),$AN$1006:$BO$1006,0)), HYPERLINK("#",""), HYPERLINK(CONCATENATE("#Metadata!", ADDRESS(INDEX($AI$2:$AI$1001,MATCH(ROWS($AG$2:AG926),$AG$2:$AG$1001,0),0), INDEX($AN$1004:$BO$1004,1,MATCH(COLUMNS($AN$1006:AP1006),$AN$1006:$BO$1006,0)))),"Fix")))</f>
        <v>0</v>
      </c>
      <c r="E926" s="4">
        <f>IF(OR(INDEX($AH$2:$AH$1001,MATCH(ROWS($AG$2:AG926),$AG$2:$AG$1001,0),1)&gt;=100000,INDEX($AN$1005:$BO$1005,1,MATCH(COLUMNS($AN$1006:AQ1006),$AN$1006:$BO$1006,0))&gt;=100000), " ",IF(INDEX($AN$2:$BO$1001,MATCH(ROWS($AG$2:AG926),$AG$2:$AG$1001,0),MATCH(COLUMNS($AN$1006:AQ1006),$AN$1006:$BO$1006,0)), HYPERLINK("#",""), HYPERLINK(CONCATENATE("#Metadata!", ADDRESS(INDEX($AI$2:$AI$1001,MATCH(ROWS($AG$2:AG926),$AG$2:$AG$1001,0),0), INDEX($AN$1004:$BO$1004,1,MATCH(COLUMNS($AN$1006:AQ1006),$AN$1006:$BO$1006,0)))),"Fix")))</f>
        <v>0</v>
      </c>
      <c r="F926" s="4">
        <f>IF(OR(INDEX($AH$2:$AH$1001,MATCH(ROWS($AG$2:AG926),$AG$2:$AG$1001,0),1)&gt;=100000,INDEX($AN$1005:$BO$1005,1,MATCH(COLUMNS($AN$1006:AR1006),$AN$1006:$BO$1006,0))&gt;=100000), " ",IF(INDEX($AN$2:$BO$1001,MATCH(ROWS($AG$2:AG926),$AG$2:$AG$1001,0),MATCH(COLUMNS($AN$1006:AR1006),$AN$1006:$BO$1006,0)), HYPERLINK("#",""), HYPERLINK(CONCATENATE("#Metadata!", ADDRESS(INDEX($AI$2:$AI$1001,MATCH(ROWS($AG$2:AG926),$AG$2:$AG$1001,0),0), INDEX($AN$1004:$BO$1004,1,MATCH(COLUMNS($AN$1006:AR1006),$AN$1006:$BO$1006,0)))),"Fix")))</f>
        <v>0</v>
      </c>
      <c r="G926" s="4">
        <f>IF(OR(INDEX($AH$2:$AH$1001,MATCH(ROWS($AG$2:AG926),$AG$2:$AG$1001,0),1)&gt;=100000,INDEX($AN$1005:$BO$1005,1,MATCH(COLUMNS($AN$1006:AS1006),$AN$1006:$BO$1006,0))&gt;=100000), " ",IF(INDEX($AN$2:$BO$1001,MATCH(ROWS($AG$2:AG926),$AG$2:$AG$1001,0),MATCH(COLUMNS($AN$1006:AS1006),$AN$1006:$BO$1006,0)), HYPERLINK("#",""), HYPERLINK(CONCATENATE("#Metadata!", ADDRESS(INDEX($AI$2:$AI$1001,MATCH(ROWS($AG$2:AG926),$AG$2:$AG$1001,0),0), INDEX($AN$1004:$BO$1004,1,MATCH(COLUMNS($AN$1006:AS1006),$AN$1006:$BO$1006,0)))),"Fix")))</f>
        <v>0</v>
      </c>
      <c r="H926" s="4">
        <f>IF(OR(INDEX($AH$2:$AH$1001,MATCH(ROWS($AG$2:AG926),$AG$2:$AG$1001,0),1)&gt;=100000,INDEX($AN$1005:$BO$1005,1,MATCH(COLUMNS($AN$1006:AT1006),$AN$1006:$BO$1006,0))&gt;=100000), " ",IF(INDEX($AN$2:$BO$1001,MATCH(ROWS($AG$2:AG926),$AG$2:$AG$1001,0),MATCH(COLUMNS($AN$1006:AT1006),$AN$1006:$BO$1006,0)), HYPERLINK("#",""), HYPERLINK(CONCATENATE("#Metadata!", ADDRESS(INDEX($AI$2:$AI$1001,MATCH(ROWS($AG$2:AG926),$AG$2:$AG$1001,0),0), INDEX($AN$1004:$BO$1004,1,MATCH(COLUMNS($AN$1006:AT1006),$AN$1006:$BO$1006,0)))),"Fix")))</f>
        <v>0</v>
      </c>
      <c r="I926" s="4">
        <f>IF(OR(INDEX($AH$2:$AH$1001,MATCH(ROWS($AG$2:AG926),$AG$2:$AG$1001,0),1)&gt;=100000,INDEX($AN$1005:$BO$1005,1,MATCH(COLUMNS($AN$1006:AU1006),$AN$1006:$BO$1006,0))&gt;=100000), " ",IF(INDEX($AN$2:$BO$1001,MATCH(ROWS($AG$2:AG926),$AG$2:$AG$1001,0),MATCH(COLUMNS($AN$1006:AU1006),$AN$1006:$BO$1006,0)), HYPERLINK("#",""), HYPERLINK(CONCATENATE("#Metadata!", ADDRESS(INDEX($AI$2:$AI$1001,MATCH(ROWS($AG$2:AG926),$AG$2:$AG$1001,0),0), INDEX($AN$1004:$BO$1004,1,MATCH(COLUMNS($AN$1006:AU1006),$AN$1006:$BO$1006,0)))),"Fix")))</f>
        <v>0</v>
      </c>
      <c r="J926" s="4">
        <f>IF(OR(INDEX($AH$2:$AH$1001,MATCH(ROWS($AG$2:AG926),$AG$2:$AG$1001,0),1)&gt;=100000,INDEX($AN$1005:$BO$1005,1,MATCH(COLUMNS($AN$1006:AV1006),$AN$1006:$BO$1006,0))&gt;=100000), " ",IF(INDEX($AN$2:$BO$1001,MATCH(ROWS($AG$2:AG926),$AG$2:$AG$1001,0),MATCH(COLUMNS($AN$1006:AV1006),$AN$1006:$BO$1006,0)), HYPERLINK("#",""), HYPERLINK(CONCATENATE("#Metadata!", ADDRESS(INDEX($AI$2:$AI$1001,MATCH(ROWS($AG$2:AG926),$AG$2:$AG$1001,0),0), INDEX($AN$1004:$BO$1004,1,MATCH(COLUMNS($AN$1006:AV1006),$AN$1006:$BO$1006,0)))),"Fix")))</f>
        <v>0</v>
      </c>
      <c r="K926" s="4">
        <f>IF(OR(INDEX($AH$2:$AH$1001,MATCH(ROWS($AG$2:AG926),$AG$2:$AG$1001,0),1)&gt;=100000,INDEX($AN$1005:$BO$1005,1,MATCH(COLUMNS($AN$1006:AW1006),$AN$1006:$BO$1006,0))&gt;=100000), " ",IF(INDEX($AN$2:$BO$1001,MATCH(ROWS($AG$2:AG926),$AG$2:$AG$1001,0),MATCH(COLUMNS($AN$1006:AW1006),$AN$1006:$BO$1006,0)), HYPERLINK("#",""), HYPERLINK(CONCATENATE("#Metadata!", ADDRESS(INDEX($AI$2:$AI$1001,MATCH(ROWS($AG$2:AG926),$AG$2:$AG$1001,0),0), INDEX($AN$1004:$BO$1004,1,MATCH(COLUMNS($AN$1006:AW1006),$AN$1006:$BO$1006,0)))),"Fix")))</f>
        <v>0</v>
      </c>
      <c r="L926" s="4">
        <f>IF(OR(INDEX($AH$2:$AH$1001,MATCH(ROWS($AG$2:AG926),$AG$2:$AG$1001,0),1)&gt;=100000,INDEX($AN$1005:$BO$1005,1,MATCH(COLUMNS($AN$1006:AX1006),$AN$1006:$BO$1006,0))&gt;=100000), " ",IF(INDEX($AN$2:$BO$1001,MATCH(ROWS($AG$2:AG926),$AG$2:$AG$1001,0),MATCH(COLUMNS($AN$1006:AX1006),$AN$1006:$BO$1006,0)), HYPERLINK("#",""), HYPERLINK(CONCATENATE("#Metadata!", ADDRESS(INDEX($AI$2:$AI$1001,MATCH(ROWS($AG$2:AG926),$AG$2:$AG$1001,0),0), INDEX($AN$1004:$BO$1004,1,MATCH(COLUMNS($AN$1006:AX1006),$AN$1006:$BO$1006,0)))),"Fix")))</f>
        <v>0</v>
      </c>
      <c r="M926" s="4">
        <f>IF(OR(INDEX($AH$2:$AH$1001,MATCH(ROWS($AG$2:AG926),$AG$2:$AG$1001,0),1)&gt;=100000,INDEX($AN$1005:$BO$1005,1,MATCH(COLUMNS($AN$1006:AY1006),$AN$1006:$BO$1006,0))&gt;=100000), " ",IF(INDEX($AN$2:$BO$1001,MATCH(ROWS($AG$2:AG926),$AG$2:$AG$1001,0),MATCH(COLUMNS($AN$1006:AY1006),$AN$1006:$BO$1006,0)), HYPERLINK("#",""), HYPERLINK(CONCATENATE("#Metadata!", ADDRESS(INDEX($AI$2:$AI$1001,MATCH(ROWS($AG$2:AG926),$AG$2:$AG$1001,0),0), INDEX($AN$1004:$BO$1004,1,MATCH(COLUMNS($AN$1006:AY1006),$AN$1006:$BO$1006,0)))),"Fix")))</f>
        <v>0</v>
      </c>
      <c r="N926" s="4">
        <f>IF(OR(INDEX($AH$2:$AH$1001,MATCH(ROWS($AG$2:AG926),$AG$2:$AG$1001,0),1)&gt;=100000,INDEX($AN$1005:$BO$1005,1,MATCH(COLUMNS($AN$1006:AZ1006),$AN$1006:$BO$1006,0))&gt;=100000), " ",IF(INDEX($AN$2:$BO$1001,MATCH(ROWS($AG$2:AG926),$AG$2:$AG$1001,0),MATCH(COLUMNS($AN$1006:AZ1006),$AN$1006:$BO$1006,0)), HYPERLINK("#",""), HYPERLINK(CONCATENATE("#Metadata!", ADDRESS(INDEX($AI$2:$AI$1001,MATCH(ROWS($AG$2:AG926),$AG$2:$AG$1001,0),0), INDEX($AN$1004:$BO$1004,1,MATCH(COLUMNS($AN$1006:AZ1006),$AN$1006:$BO$1006,0)))),"Fix")))</f>
        <v>0</v>
      </c>
      <c r="O926" s="4">
        <f>IF(OR(INDEX($AH$2:$AH$1001,MATCH(ROWS($AG$2:AG926),$AG$2:$AG$1001,0),1)&gt;=100000,INDEX($AN$1005:$BO$1005,1,MATCH(COLUMNS($AN$1006:BA1006),$AN$1006:$BO$1006,0))&gt;=100000), " ",IF(INDEX($AN$2:$BO$1001,MATCH(ROWS($AG$2:AG926),$AG$2:$AG$1001,0),MATCH(COLUMNS($AN$1006:BA1006),$AN$1006:$BO$1006,0)), HYPERLINK("#",""), HYPERLINK(CONCATENATE("#Metadata!", ADDRESS(INDEX($AI$2:$AI$1001,MATCH(ROWS($AG$2:AG926),$AG$2:$AG$1001,0),0), INDEX($AN$1004:$BO$1004,1,MATCH(COLUMNS($AN$1006:BA1006),$AN$1006:$BO$1006,0)))),"Fix")))</f>
        <v>0</v>
      </c>
      <c r="P926" s="4">
        <f>IF(OR(INDEX($AH$2:$AH$1001,MATCH(ROWS($AG$2:AG926),$AG$2:$AG$1001,0),1)&gt;=100000,INDEX($AN$1005:$BO$1005,1,MATCH(COLUMNS($AN$1006:BB1006),$AN$1006:$BO$1006,0))&gt;=100000), " ",IF(INDEX($AN$2:$BO$1001,MATCH(ROWS($AG$2:AG926),$AG$2:$AG$1001,0),MATCH(COLUMNS($AN$1006:BB1006),$AN$1006:$BO$1006,0)), HYPERLINK("#",""), HYPERLINK(CONCATENATE("#Metadata!", ADDRESS(INDEX($AI$2:$AI$1001,MATCH(ROWS($AG$2:AG926),$AG$2:$AG$1001,0),0), INDEX($AN$1004:$BO$1004,1,MATCH(COLUMNS($AN$1006:BB1006),$AN$1006:$BO$1006,0)))),"Fix")))</f>
        <v>0</v>
      </c>
      <c r="Q926" s="4">
        <f>IF(OR(INDEX($AH$2:$AH$1001,MATCH(ROWS($AG$2:AG926),$AG$2:$AG$1001,0),1)&gt;=100000,INDEX($AN$1005:$BO$1005,1,MATCH(COLUMNS($AN$1006:BC1006),$AN$1006:$BO$1006,0))&gt;=100000), " ",IF(INDEX($AN$2:$BO$1001,MATCH(ROWS($AG$2:AG926),$AG$2:$AG$1001,0),MATCH(COLUMNS($AN$1006:BC1006),$AN$1006:$BO$1006,0)), HYPERLINK("#",""), HYPERLINK(CONCATENATE("#Metadata!", ADDRESS(INDEX($AI$2:$AI$1001,MATCH(ROWS($AG$2:AG926),$AG$2:$AG$1001,0),0), INDEX($AN$1004:$BO$1004,1,MATCH(COLUMNS($AN$1006:BC1006),$AN$1006:$BO$1006,0)))),"Fix")))</f>
        <v>0</v>
      </c>
      <c r="R926" s="4">
        <f>IF(OR(INDEX($AH$2:$AH$1001,MATCH(ROWS($AG$2:AG926),$AG$2:$AG$1001,0),1)&gt;=100000,INDEX($AN$1005:$BO$1005,1,MATCH(COLUMNS($AN$1006:BD1006),$AN$1006:$BO$1006,0))&gt;=100000), " ",IF(INDEX($AN$2:$BO$1001,MATCH(ROWS($AG$2:AG926),$AG$2:$AG$1001,0),MATCH(COLUMNS($AN$1006:BD1006),$AN$1006:$BO$1006,0)), HYPERLINK("#",""), HYPERLINK(CONCATENATE("#Metadata!", ADDRESS(INDEX($AI$2:$AI$1001,MATCH(ROWS($AG$2:AG926),$AG$2:$AG$1001,0),0), INDEX($AN$1004:$BO$1004,1,MATCH(COLUMNS($AN$1006:BD1006),$AN$1006:$BO$1006,0)))),"Fix")))</f>
        <v>0</v>
      </c>
      <c r="S926" s="4">
        <f>IF(OR(INDEX($AH$2:$AH$1001,MATCH(ROWS($AG$2:AG926),$AG$2:$AG$1001,0),1)&gt;=100000,INDEX($AN$1005:$BO$1005,1,MATCH(COLUMNS($AN$1006:BE1006),$AN$1006:$BO$1006,0))&gt;=100000), " ",IF(INDEX($AN$2:$BO$1001,MATCH(ROWS($AG$2:AG926),$AG$2:$AG$1001,0),MATCH(COLUMNS($AN$1006:BE1006),$AN$1006:$BO$1006,0)), HYPERLINK("#",""), HYPERLINK(CONCATENATE("#Metadata!", ADDRESS(INDEX($AI$2:$AI$1001,MATCH(ROWS($AG$2:AG926),$AG$2:$AG$1001,0),0), INDEX($AN$1004:$BO$1004,1,MATCH(COLUMNS($AN$1006:BE1006),$AN$1006:$BO$1006,0)))),"Fix")))</f>
        <v>0</v>
      </c>
      <c r="T926" s="4">
        <f>IF(OR(INDEX($AH$2:$AH$1001,MATCH(ROWS($AG$2:AG926),$AG$2:$AG$1001,0),1)&gt;=100000,INDEX($AN$1005:$BO$1005,1,MATCH(COLUMNS($AN$1006:BF1006),$AN$1006:$BO$1006,0))&gt;=100000), " ",IF(INDEX($AN$2:$BO$1001,MATCH(ROWS($AG$2:AG926),$AG$2:$AG$1001,0),MATCH(COLUMNS($AN$1006:BF1006),$AN$1006:$BO$1006,0)), HYPERLINK("#",""), HYPERLINK(CONCATENATE("#Metadata!", ADDRESS(INDEX($AI$2:$AI$1001,MATCH(ROWS($AG$2:AG926),$AG$2:$AG$1001,0),0), INDEX($AN$1004:$BO$1004,1,MATCH(COLUMNS($AN$1006:BF1006),$AN$1006:$BO$1006,0)))),"Fix")))</f>
        <v>0</v>
      </c>
      <c r="U926" s="4">
        <f>IF(OR(INDEX($AH$2:$AH$1001,MATCH(ROWS($AG$2:AG926),$AG$2:$AG$1001,0),1)&gt;=100000,INDEX($AN$1005:$BO$1005,1,MATCH(COLUMNS($AN$1006:BG1006),$AN$1006:$BO$1006,0))&gt;=100000), " ",IF(INDEX($AN$2:$BO$1001,MATCH(ROWS($AG$2:AG926),$AG$2:$AG$1001,0),MATCH(COLUMNS($AN$1006:BG1006),$AN$1006:$BO$1006,0)), HYPERLINK("#",""), HYPERLINK(CONCATENATE("#Metadata!", ADDRESS(INDEX($AI$2:$AI$1001,MATCH(ROWS($AG$2:AG926),$AG$2:$AG$1001,0),0), INDEX($AN$1004:$BO$1004,1,MATCH(COLUMNS($AN$1006:BG1006),$AN$1006:$BO$1006,0)))),"Fix")))</f>
        <v>0</v>
      </c>
      <c r="V926" s="4">
        <f>IF(OR(INDEX($AH$2:$AH$1001,MATCH(ROWS($AG$2:AG926),$AG$2:$AG$1001,0),1)&gt;=100000,INDEX($AN$1005:$BO$1005,1,MATCH(COLUMNS($AN$1006:BH1006),$AN$1006:$BO$1006,0))&gt;=100000), " ",IF(INDEX($AN$2:$BO$1001,MATCH(ROWS($AG$2:AG926),$AG$2:$AG$1001,0),MATCH(COLUMNS($AN$1006:BH1006),$AN$1006:$BO$1006,0)), HYPERLINK("#",""), HYPERLINK(CONCATENATE("#Metadata!", ADDRESS(INDEX($AI$2:$AI$1001,MATCH(ROWS($AG$2:AG926),$AG$2:$AG$1001,0),0), INDEX($AN$1004:$BO$1004,1,MATCH(COLUMNS($AN$1006:BH1006),$AN$1006:$BO$1006,0)))),"Fix")))</f>
        <v>0</v>
      </c>
      <c r="W926" s="4">
        <f>IF(OR(INDEX($AH$2:$AH$1001,MATCH(ROWS($AG$2:AG926),$AG$2:$AG$1001,0),1)&gt;=100000,INDEX($AN$1005:$BO$1005,1,MATCH(COLUMNS($AN$1006:BI1006),$AN$1006:$BO$1006,0))&gt;=100000), " ",IF(INDEX($AN$2:$BO$1001,MATCH(ROWS($AG$2:AG926),$AG$2:$AG$1001,0),MATCH(COLUMNS($AN$1006:BI1006),$AN$1006:$BO$1006,0)), HYPERLINK("#",""), HYPERLINK(CONCATENATE("#Metadata!", ADDRESS(INDEX($AI$2:$AI$1001,MATCH(ROWS($AG$2:AG926),$AG$2:$AG$1001,0),0), INDEX($AN$1004:$BO$1004,1,MATCH(COLUMNS($AN$1006:BI1006),$AN$1006:$BO$1006,0)))),"Fix")))</f>
        <v>0</v>
      </c>
      <c r="X926" s="4">
        <f>IF(OR(INDEX($AH$2:$AH$1001,MATCH(ROWS($AG$2:AG926),$AG$2:$AG$1001,0),1)&gt;=100000,INDEX($AN$1005:$BO$1005,1,MATCH(COLUMNS($AN$1006:BJ1006),$AN$1006:$BO$1006,0))&gt;=100000), " ",IF(INDEX($AN$2:$BO$1001,MATCH(ROWS($AG$2:AG926),$AG$2:$AG$1001,0),MATCH(COLUMNS($AN$1006:BJ1006),$AN$1006:$BO$1006,0)), HYPERLINK("#",""), HYPERLINK(CONCATENATE("#Metadata!", ADDRESS(INDEX($AI$2:$AI$1001,MATCH(ROWS($AG$2:AG926),$AG$2:$AG$1001,0),0), INDEX($AN$1004:$BO$1004,1,MATCH(COLUMNS($AN$1006:BJ1006),$AN$1006:$BO$1006,0)))),"Fix")))</f>
        <v>0</v>
      </c>
      <c r="Y926" s="4">
        <f>IF(OR(INDEX($AH$2:$AH$1001,MATCH(ROWS($AG$2:AG926),$AG$2:$AG$1001,0),1)&gt;=100000,INDEX($AN$1005:$BO$1005,1,MATCH(COLUMNS($AN$1006:BK1006),$AN$1006:$BO$1006,0))&gt;=100000), " ",IF(INDEX($AN$2:$BO$1001,MATCH(ROWS($AG$2:AG926),$AG$2:$AG$1001,0),MATCH(COLUMNS($AN$1006:BK1006),$AN$1006:$BO$1006,0)), HYPERLINK("#",""), HYPERLINK(CONCATENATE("#Metadata!", ADDRESS(INDEX($AI$2:$AI$1001,MATCH(ROWS($AG$2:AG926),$AG$2:$AG$1001,0),0), INDEX($AN$1004:$BO$1004,1,MATCH(COLUMNS($AN$1006:BK1006),$AN$1006:$BO$1006,0)))),"Fix")))</f>
        <v>0</v>
      </c>
      <c r="Z926" s="4">
        <f>IF(OR(INDEX($AH$2:$AH$1001,MATCH(ROWS($AG$2:AG926),$AG$2:$AG$1001,0),1)&gt;=100000,INDEX($AN$1005:$BO$1005,1,MATCH(COLUMNS($AN$1006:BL1006),$AN$1006:$BO$1006,0))&gt;=100000), " ",IF(INDEX($AN$2:$BO$1001,MATCH(ROWS($AG$2:AG926),$AG$2:$AG$1001,0),MATCH(COLUMNS($AN$1006:BL1006),$AN$1006:$BO$1006,0)), HYPERLINK("#",""), HYPERLINK(CONCATENATE("#Metadata!", ADDRESS(INDEX($AI$2:$AI$1001,MATCH(ROWS($AG$2:AG926),$AG$2:$AG$1001,0),0), INDEX($AN$1004:$BO$1004,1,MATCH(COLUMNS($AN$1006:BL1006),$AN$1006:$BO$1006,0)))),"Fix")))</f>
        <v>0</v>
      </c>
      <c r="AA926" s="4">
        <f>IF(OR(INDEX($AH$2:$AH$1001,MATCH(ROWS($AG$2:AG926),$AG$2:$AG$1001,0),1)&gt;=100000,INDEX($AN$1005:$BO$1005,1,MATCH(COLUMNS($AN$1006:BM1006),$AN$1006:$BO$1006,0))&gt;=100000), " ",IF(INDEX($AN$2:$BO$1001,MATCH(ROWS($AG$2:AG926),$AG$2:$AG$1001,0),MATCH(COLUMNS($AN$1006:BM1006),$AN$1006:$BO$1006,0)), HYPERLINK("#",""), HYPERLINK(CONCATENATE("#Metadata!", ADDRESS(INDEX($AI$2:$AI$1001,MATCH(ROWS($AG$2:AG926),$AG$2:$AG$1001,0),0), INDEX($AN$1004:$BO$1004,1,MATCH(COLUMNS($AN$1006:BM1006),$AN$1006:$BO$1006,0)))),"Fix")))</f>
        <v>0</v>
      </c>
      <c r="AB926" s="4">
        <f>IF(OR(INDEX($AH$2:$AH$1001,MATCH(ROWS($AG$2:AG926),$AG$2:$AG$1001,0),1)&gt;=100000,INDEX($AN$1005:$BO$1005,1,MATCH(COLUMNS($AN$1006:BN1006),$AN$1006:$BO$1006,0))&gt;=100000), " ",IF(INDEX($AN$2:$BO$1001,MATCH(ROWS($AG$2:AG926),$AG$2:$AG$1001,0),MATCH(COLUMNS($AN$1006:BN1006),$AN$1006:$BO$1006,0)), HYPERLINK("#",""), HYPERLINK(CONCATENATE("#Metadata!", ADDRESS(INDEX($AI$2:$AI$1001,MATCH(ROWS($AG$2:AG926),$AG$2:$AG$1001,0),0), INDEX($AN$1004:$BO$1004,1,MATCH(COLUMNS($AN$1006:BN1006),$AN$1006:$BO$1006,0)))),"Fix")))</f>
        <v>0</v>
      </c>
      <c r="AC926" s="4">
        <f>IF(OR(INDEX($AH$2:$AH$1001,MATCH(ROWS($AG$2:AG926),$AG$2:$AG$1001,0),1)&gt;=100000,INDEX($AN$1005:$BO$1005,1,MATCH(COLUMNS($AN$1006:BO1006),$AN$1006:$BO$1006,0))&gt;=100000), " ",IF(INDEX($AN$2:$BO$1001,MATCH(ROWS($AG$2:AG926),$AG$2:$AG$1001,0),MATCH(COLUMNS($AN$1006:BO1006),$AN$1006:$BO$1006,0)), HYPERLINK("#",""), HYPERLINK(CONCATENATE("#Metadata!", ADDRESS(INDEX($AI$2:$AI$1001,MATCH(ROWS($AG$2:AG926),$AG$2:$AG$1001,0),0), INDEX($AN$1004:$BO$1004,1,MATCH(COLUMNS($AN$1006:BO1006),$AN$1006:$BO$1006,0)))),"Fix")))</f>
        <v>0</v>
      </c>
      <c r="AG926">
        <v>0</v>
      </c>
      <c r="AH926">
        <v>0</v>
      </c>
      <c r="AI926">
        <v>0</v>
      </c>
      <c r="AJ926">
        <f>IF(AK926,TRUE,AND(AN926:BO926))</f>
        <v>0</v>
      </c>
      <c r="AK926">
        <f>COUNTBLANK(Metadata!B926:AC926)=COLUMNS(Metadata!B926:AC926)</f>
        <v>0</v>
      </c>
      <c r="AL926">
        <v>0</v>
      </c>
      <c r="AN926">
        <f>AND(IF(Metadata!B926="",FALSE,TRUE),COUNTIF(Metadata!B:B, Metadata!B926) = 1,NOT(ISERROR(SUMPRODUCT(SEARCH(MID(Metadata!B926,ROW(INDIRECT("1:"&amp;LEN(Metadata!B926))), 1),"0123456789abcdefghijklmnopqrstuvwxyzABCDEFGHIJKLMNOPQRSTUVWXYZ.")))))</f>
        <v>0</v>
      </c>
      <c r="AO926">
        <f>IF(Metadata!C926="",FALSE,TRUE)</f>
        <v>0</v>
      </c>
      <c r="AP926">
        <f>IF(Metadata!D926="",FALSE,TRUE)</f>
        <v>0</v>
      </c>
      <c r="AQ926">
        <f>OR(AND(IF(Metadata!E926="",FALSE,TRUE),OR(exact(Metadata!E926,"not collected"),exact(Metadata!E926,"not provided"),exact(Metadata!E926,"restricted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R926">
        <f>IF(Metadata!F926="",FALSE,TRUE)</f>
        <v>0</v>
      </c>
      <c r="AS926">
        <f>OR(AND(IF(Metadata!G926="",FALSE,TRUE),OR(exact(Metadata!G926,"not collected"),exact(Metadata!G926,"not provided"))),AND(IF(Metadata!G926="",FALSE,TRUE),OR(exact(Metadata!G926,"TRUE"),exact(Metadata!G926,"FALSE"))))</f>
        <v>0</v>
      </c>
      <c r="AT926">
        <f>OR(AND(IF(Metadata!H926="",FALSE,TRUE),OR(exact(Metadata!H926,"not collected"),exact(Metadata!H926,"not provided"),exact(Metadata!H926,"restricted access"))),AND(IF(Metadata!H926="",FALSE,ISNUMBER(VALUE(Metadata!H926))),Metadata!H926&gt;=-413.0))</f>
        <v>0</v>
      </c>
      <c r="AU926">
        <f>AND(IF(Metadata!I926="",FALSE,TRUE),exact(Metadata!I926,"meters"))</f>
        <v>0</v>
      </c>
      <c r="AV926">
        <f>AND(IF(Metadata!J926="",FALSE,TRUE),OR(exact(Metadata!J926,"Host-associated"),exact(Metadata!J926,"Free-living")))</f>
        <v>0</v>
      </c>
      <c r="AW926">
        <f>AND(IF(Metadata!K926="",FALSE,TRUE),OR(exact(Metadata!K926,"Animal"),exact(Metadata!K926,"Fungus"),exact(Metadata!K926,"Plant"),exact(Metadata!K926,"Saline"),exact(Metadata!K926,"Non-saline")))</f>
        <v>0</v>
      </c>
      <c r="AX926">
        <f>AND(IF(Metadata!L926="",FALSE,TRUE),OR(exact(Metadata!L926,"Plant secretion"),exact(Metadata!L926,"Plant rhizosphere"),exact(Metadata!L926,"Plant surface"),exact(Metadata!L926,"Plant corpus"),exact(Metadata!L926,"Fungus surface"),exact(Metadata!L926,"Fungus corpus"),exact(Metadata!L926,"Animal surface"),exact(Metadata!L926,"Animal proximal gut"),exact(Metadata!L926,"Animal corpus"),exact(Metadata!L926,"Animal distal gut"),exact(Metadata!L926,"Animal secretion"),exact(Metadata!L926,"Sub-surface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Y926">
        <f>IF(Metadata!M926="",FALSE,TRUE)</f>
        <v>0</v>
      </c>
      <c r="AZ926">
        <f>IF(Metadata!N926="",FALSE,TRUE)</f>
        <v>0</v>
      </c>
      <c r="BA926">
        <f>IF(Metadata!O926="",FALSE,TRUE)</f>
        <v>0</v>
      </c>
      <c r="BB926">
        <f>OR(AND(IF(Metadata!P926="",FALSE,TRUE),OR(exact(Metadata!P926,"not collected"),exact(Metadata!P926,"not provided"),exact(Metadata!P926,"restricted access"))),AND(IF(Metadata!P926="",FALSE,TRUE),OR(exact(Metadata!P926,"air"),exact(Metadata!P926,"built environment"),exact(Metadata!P926,"host-associated"),exact(Metadata!P926,"human-associated"),exact(Metadata!P926,"human-skin"),exact(Metadata!P926,"human-oral"),exact(Metadata!P926,"human-gut"),exact(Metadata!P926,"human-vaginal"),exact(Metadata!P926,"microbial mat/biofilm"),exact(Metadata!P926,"misc environment"),exact(Metadata!P926,"plant-associated"),exact(Metadata!P926,"sediment"),exact(Metadata!P926,"soil"),exact(Metadata!P926,"wastewater/sludge"),exact(Metadata!P926,"water"))))</f>
        <v>0</v>
      </c>
      <c r="BC926">
        <f>IF(Metadata!Q926="",FALSE,TRUE)</f>
        <v>0</v>
      </c>
      <c r="BD926">
        <f>IF(Metadata!R926="",FALSE,TRUE)</f>
        <v>0</v>
      </c>
      <c r="BE926">
        <f>OR(AND(IF(Metadata!S926="",FALSE,TRUE),OR(exact(Metadata!S926,"not collected"),exact(Metadata!S926,"not provided"),exact(Metadata!S926,"restricted access"))),AND(IF(Metadata!S926="",FALSE,ISNUMBER(VALUE(Metadata!S926))),Metadata!S926&gt;=-90.00,Metadata!S926&lt;=90.00))</f>
        <v>0</v>
      </c>
      <c r="BF926">
        <f>AND(IF(Metadata!T926="",FALSE,TRUE),exact(Metadata!T926,"Decimal degrees"))</f>
        <v>0</v>
      </c>
      <c r="BG926">
        <f>OR(AND(IF(Metadata!U926="",FALSE,TRUE),OR(exact(Metadata!U926,"not collected"),exact(Metadata!U926,"not provided"),exact(Metadata!U926,"restricted access"))),AND(IF(Metadata!U926="",FALSE,ISNUMBER(VALUE(Metadata!U926))),Metadata!U926&gt;=-180.00,Metadata!U926&lt;=180.00))</f>
        <v>0</v>
      </c>
      <c r="BH926">
        <f>AND(IF(Metadata!V926="",FALSE,TRUE),exact(Metadata!V926,"Decimal degrees"))</f>
        <v>0</v>
      </c>
      <c r="BI926">
        <f>IF(Metadata!W926="",FALSE,TRUE)</f>
        <v>0</v>
      </c>
      <c r="BJ926">
        <f>OR(AND(IF(Metadata!X926="",FALSE,TRUE),OR(exact(Metadata!X926,"not collected"),exact(Metadata!X926,"not provided"),exact(Metadata!X926,"restricted access"))),AND(IF(Metadata!X926="",FALSE,TRUE),OR(exact(Metadata!X926,"TRUE"),exact(Metadata!X926,"FALSE"))))</f>
        <v>0</v>
      </c>
      <c r="BK926">
        <f>AND(IF(Metadata!Y926="",FALSE,TRUE),exact(Metadata!Y926,"other"))</f>
        <v>0</v>
      </c>
      <c r="BL926">
        <f>IF(Metadata!Z926="",FALSE,TRUE)</f>
        <v>0</v>
      </c>
      <c r="BM926">
        <f>OR(AND(IF(Metadata!AA926="",FALSE,TRUE),OR(exact(Metadata!AA926,"not collected"),exact(Metadata!AA926,"not provided"))),AND(IF(Metadata!AA926="",FALSE,IF(ISERROR(INT(Metadata!AA926)),FALSE,INT(Metadata!AA926)=Metadata!AA926)),Metadata!AA926&gt;0))</f>
        <v>0</v>
      </c>
      <c r="BN926">
        <f>AND(IF(Metadata!AB926="",FALSE,TRUE),exact(Metadata!AB926,"Not applicable"))</f>
        <v>0</v>
      </c>
      <c r="BO926">
        <f>IF(Metadata!AC926="",FALSE,TRUE)</f>
        <v>0</v>
      </c>
    </row>
    <row r="927" spans="1:67">
      <c r="A927" s="5">
        <f>IF(B927=" "," ",HYPERLINK(CONCATENATE("#metadata!",ADDRESS(INDEX($AI$2:$AI$1001,MATCH(ROWS($AG$2:AG927),$AG$2:$AG$1001,0),0),1)),INDEX($AL$2:$AL$1001,MATCH(ROWS($AG$2:AG927),$AG$2:$AG$1001,0),0)))</f>
        <v>0</v>
      </c>
      <c r="B927" s="4">
        <f>IF(OR(INDEX($AH$2:$AH$1001,MATCH(ROWS($AG$2:AG927),$AG$2:$AG$1001,0),1)&gt;=100000,INDEX($AN$1005:$BO$1005,1,MATCH(COLUMNS($AN$1006:AN1006),$AN$1006:$BO$1006,0))&gt;=100000), " ",IF(INDEX($AN$2:$BO$1001,MATCH(ROWS($AG$2:AG927),$AG$2:$AG$1001,0),MATCH(COLUMNS($AN$1006:AN1006),$AN$1006:$BO$1006,0)), HYPERLINK("#",""), HYPERLINK(CONCATENATE("#Metadata!", ADDRESS(INDEX($AI$2:$AI$1001,MATCH(ROWS($AG$2:AG927),$AG$2:$AG$1001,0),0), INDEX($AN$1004:$BO$1004,1,MATCH(COLUMNS($AN$1006:AN1006),$AN$1006:$BO$1006,0)))),"Fix")))</f>
        <v>0</v>
      </c>
      <c r="C927" s="4">
        <f>IF(OR(INDEX($AH$2:$AH$1001,MATCH(ROWS($AG$2:AG927),$AG$2:$AG$1001,0),1)&gt;=100000,INDEX($AN$1005:$BO$1005,1,MATCH(COLUMNS($AN$1006:AO1006),$AN$1006:$BO$1006,0))&gt;=100000), " ",IF(INDEX($AN$2:$BO$1001,MATCH(ROWS($AG$2:AG927),$AG$2:$AG$1001,0),MATCH(COLUMNS($AN$1006:AO1006),$AN$1006:$BO$1006,0)), HYPERLINK("#",""), HYPERLINK(CONCATENATE("#Metadata!", ADDRESS(INDEX($AI$2:$AI$1001,MATCH(ROWS($AG$2:AG927),$AG$2:$AG$1001,0),0), INDEX($AN$1004:$BO$1004,1,MATCH(COLUMNS($AN$1006:AO1006),$AN$1006:$BO$1006,0)))),"Fix")))</f>
        <v>0</v>
      </c>
      <c r="D927" s="4">
        <f>IF(OR(INDEX($AH$2:$AH$1001,MATCH(ROWS($AG$2:AG927),$AG$2:$AG$1001,0),1)&gt;=100000,INDEX($AN$1005:$BO$1005,1,MATCH(COLUMNS($AN$1006:AP1006),$AN$1006:$BO$1006,0))&gt;=100000), " ",IF(INDEX($AN$2:$BO$1001,MATCH(ROWS($AG$2:AG927),$AG$2:$AG$1001,0),MATCH(COLUMNS($AN$1006:AP1006),$AN$1006:$BO$1006,0)), HYPERLINK("#",""), HYPERLINK(CONCATENATE("#Metadata!", ADDRESS(INDEX($AI$2:$AI$1001,MATCH(ROWS($AG$2:AG927),$AG$2:$AG$1001,0),0), INDEX($AN$1004:$BO$1004,1,MATCH(COLUMNS($AN$1006:AP1006),$AN$1006:$BO$1006,0)))),"Fix")))</f>
        <v>0</v>
      </c>
      <c r="E927" s="4">
        <f>IF(OR(INDEX($AH$2:$AH$1001,MATCH(ROWS($AG$2:AG927),$AG$2:$AG$1001,0),1)&gt;=100000,INDEX($AN$1005:$BO$1005,1,MATCH(COLUMNS($AN$1006:AQ1006),$AN$1006:$BO$1006,0))&gt;=100000), " ",IF(INDEX($AN$2:$BO$1001,MATCH(ROWS($AG$2:AG927),$AG$2:$AG$1001,0),MATCH(COLUMNS($AN$1006:AQ1006),$AN$1006:$BO$1006,0)), HYPERLINK("#",""), HYPERLINK(CONCATENATE("#Metadata!", ADDRESS(INDEX($AI$2:$AI$1001,MATCH(ROWS($AG$2:AG927),$AG$2:$AG$1001,0),0), INDEX($AN$1004:$BO$1004,1,MATCH(COLUMNS($AN$1006:AQ1006),$AN$1006:$BO$1006,0)))),"Fix")))</f>
        <v>0</v>
      </c>
      <c r="F927" s="4">
        <f>IF(OR(INDEX($AH$2:$AH$1001,MATCH(ROWS($AG$2:AG927),$AG$2:$AG$1001,0),1)&gt;=100000,INDEX($AN$1005:$BO$1005,1,MATCH(COLUMNS($AN$1006:AR1006),$AN$1006:$BO$1006,0))&gt;=100000), " ",IF(INDEX($AN$2:$BO$1001,MATCH(ROWS($AG$2:AG927),$AG$2:$AG$1001,0),MATCH(COLUMNS($AN$1006:AR1006),$AN$1006:$BO$1006,0)), HYPERLINK("#",""), HYPERLINK(CONCATENATE("#Metadata!", ADDRESS(INDEX($AI$2:$AI$1001,MATCH(ROWS($AG$2:AG927),$AG$2:$AG$1001,0),0), INDEX($AN$1004:$BO$1004,1,MATCH(COLUMNS($AN$1006:AR1006),$AN$1006:$BO$1006,0)))),"Fix")))</f>
        <v>0</v>
      </c>
      <c r="G927" s="4">
        <f>IF(OR(INDEX($AH$2:$AH$1001,MATCH(ROWS($AG$2:AG927),$AG$2:$AG$1001,0),1)&gt;=100000,INDEX($AN$1005:$BO$1005,1,MATCH(COLUMNS($AN$1006:AS1006),$AN$1006:$BO$1006,0))&gt;=100000), " ",IF(INDEX($AN$2:$BO$1001,MATCH(ROWS($AG$2:AG927),$AG$2:$AG$1001,0),MATCH(COLUMNS($AN$1006:AS1006),$AN$1006:$BO$1006,0)), HYPERLINK("#",""), HYPERLINK(CONCATENATE("#Metadata!", ADDRESS(INDEX($AI$2:$AI$1001,MATCH(ROWS($AG$2:AG927),$AG$2:$AG$1001,0),0), INDEX($AN$1004:$BO$1004,1,MATCH(COLUMNS($AN$1006:AS1006),$AN$1006:$BO$1006,0)))),"Fix")))</f>
        <v>0</v>
      </c>
      <c r="H927" s="4">
        <f>IF(OR(INDEX($AH$2:$AH$1001,MATCH(ROWS($AG$2:AG927),$AG$2:$AG$1001,0),1)&gt;=100000,INDEX($AN$1005:$BO$1005,1,MATCH(COLUMNS($AN$1006:AT1006),$AN$1006:$BO$1006,0))&gt;=100000), " ",IF(INDEX($AN$2:$BO$1001,MATCH(ROWS($AG$2:AG927),$AG$2:$AG$1001,0),MATCH(COLUMNS($AN$1006:AT1006),$AN$1006:$BO$1006,0)), HYPERLINK("#",""), HYPERLINK(CONCATENATE("#Metadata!", ADDRESS(INDEX($AI$2:$AI$1001,MATCH(ROWS($AG$2:AG927),$AG$2:$AG$1001,0),0), INDEX($AN$1004:$BO$1004,1,MATCH(COLUMNS($AN$1006:AT1006),$AN$1006:$BO$1006,0)))),"Fix")))</f>
        <v>0</v>
      </c>
      <c r="I927" s="4">
        <f>IF(OR(INDEX($AH$2:$AH$1001,MATCH(ROWS($AG$2:AG927),$AG$2:$AG$1001,0),1)&gt;=100000,INDEX($AN$1005:$BO$1005,1,MATCH(COLUMNS($AN$1006:AU1006),$AN$1006:$BO$1006,0))&gt;=100000), " ",IF(INDEX($AN$2:$BO$1001,MATCH(ROWS($AG$2:AG927),$AG$2:$AG$1001,0),MATCH(COLUMNS($AN$1006:AU1006),$AN$1006:$BO$1006,0)), HYPERLINK("#",""), HYPERLINK(CONCATENATE("#Metadata!", ADDRESS(INDEX($AI$2:$AI$1001,MATCH(ROWS($AG$2:AG927),$AG$2:$AG$1001,0),0), INDEX($AN$1004:$BO$1004,1,MATCH(COLUMNS($AN$1006:AU1006),$AN$1006:$BO$1006,0)))),"Fix")))</f>
        <v>0</v>
      </c>
      <c r="J927" s="4">
        <f>IF(OR(INDEX($AH$2:$AH$1001,MATCH(ROWS($AG$2:AG927),$AG$2:$AG$1001,0),1)&gt;=100000,INDEX($AN$1005:$BO$1005,1,MATCH(COLUMNS($AN$1006:AV1006),$AN$1006:$BO$1006,0))&gt;=100000), " ",IF(INDEX($AN$2:$BO$1001,MATCH(ROWS($AG$2:AG927),$AG$2:$AG$1001,0),MATCH(COLUMNS($AN$1006:AV1006),$AN$1006:$BO$1006,0)), HYPERLINK("#",""), HYPERLINK(CONCATENATE("#Metadata!", ADDRESS(INDEX($AI$2:$AI$1001,MATCH(ROWS($AG$2:AG927),$AG$2:$AG$1001,0),0), INDEX($AN$1004:$BO$1004,1,MATCH(COLUMNS($AN$1006:AV1006),$AN$1006:$BO$1006,0)))),"Fix")))</f>
        <v>0</v>
      </c>
      <c r="K927" s="4">
        <f>IF(OR(INDEX($AH$2:$AH$1001,MATCH(ROWS($AG$2:AG927),$AG$2:$AG$1001,0),1)&gt;=100000,INDEX($AN$1005:$BO$1005,1,MATCH(COLUMNS($AN$1006:AW1006),$AN$1006:$BO$1006,0))&gt;=100000), " ",IF(INDEX($AN$2:$BO$1001,MATCH(ROWS($AG$2:AG927),$AG$2:$AG$1001,0),MATCH(COLUMNS($AN$1006:AW1006),$AN$1006:$BO$1006,0)), HYPERLINK("#",""), HYPERLINK(CONCATENATE("#Metadata!", ADDRESS(INDEX($AI$2:$AI$1001,MATCH(ROWS($AG$2:AG927),$AG$2:$AG$1001,0),0), INDEX($AN$1004:$BO$1004,1,MATCH(COLUMNS($AN$1006:AW1006),$AN$1006:$BO$1006,0)))),"Fix")))</f>
        <v>0</v>
      </c>
      <c r="L927" s="4">
        <f>IF(OR(INDEX($AH$2:$AH$1001,MATCH(ROWS($AG$2:AG927),$AG$2:$AG$1001,0),1)&gt;=100000,INDEX($AN$1005:$BO$1005,1,MATCH(COLUMNS($AN$1006:AX1006),$AN$1006:$BO$1006,0))&gt;=100000), " ",IF(INDEX($AN$2:$BO$1001,MATCH(ROWS($AG$2:AG927),$AG$2:$AG$1001,0),MATCH(COLUMNS($AN$1006:AX1006),$AN$1006:$BO$1006,0)), HYPERLINK("#",""), HYPERLINK(CONCATENATE("#Metadata!", ADDRESS(INDEX($AI$2:$AI$1001,MATCH(ROWS($AG$2:AG927),$AG$2:$AG$1001,0),0), INDEX($AN$1004:$BO$1004,1,MATCH(COLUMNS($AN$1006:AX1006),$AN$1006:$BO$1006,0)))),"Fix")))</f>
        <v>0</v>
      </c>
      <c r="M927" s="4">
        <f>IF(OR(INDEX($AH$2:$AH$1001,MATCH(ROWS($AG$2:AG927),$AG$2:$AG$1001,0),1)&gt;=100000,INDEX($AN$1005:$BO$1005,1,MATCH(COLUMNS($AN$1006:AY1006),$AN$1006:$BO$1006,0))&gt;=100000), " ",IF(INDEX($AN$2:$BO$1001,MATCH(ROWS($AG$2:AG927),$AG$2:$AG$1001,0),MATCH(COLUMNS($AN$1006:AY1006),$AN$1006:$BO$1006,0)), HYPERLINK("#",""), HYPERLINK(CONCATENATE("#Metadata!", ADDRESS(INDEX($AI$2:$AI$1001,MATCH(ROWS($AG$2:AG927),$AG$2:$AG$1001,0),0), INDEX($AN$1004:$BO$1004,1,MATCH(COLUMNS($AN$1006:AY1006),$AN$1006:$BO$1006,0)))),"Fix")))</f>
        <v>0</v>
      </c>
      <c r="N927" s="4">
        <f>IF(OR(INDEX($AH$2:$AH$1001,MATCH(ROWS($AG$2:AG927),$AG$2:$AG$1001,0),1)&gt;=100000,INDEX($AN$1005:$BO$1005,1,MATCH(COLUMNS($AN$1006:AZ1006),$AN$1006:$BO$1006,0))&gt;=100000), " ",IF(INDEX($AN$2:$BO$1001,MATCH(ROWS($AG$2:AG927),$AG$2:$AG$1001,0),MATCH(COLUMNS($AN$1006:AZ1006),$AN$1006:$BO$1006,0)), HYPERLINK("#",""), HYPERLINK(CONCATENATE("#Metadata!", ADDRESS(INDEX($AI$2:$AI$1001,MATCH(ROWS($AG$2:AG927),$AG$2:$AG$1001,0),0), INDEX($AN$1004:$BO$1004,1,MATCH(COLUMNS($AN$1006:AZ1006),$AN$1006:$BO$1006,0)))),"Fix")))</f>
        <v>0</v>
      </c>
      <c r="O927" s="4">
        <f>IF(OR(INDEX($AH$2:$AH$1001,MATCH(ROWS($AG$2:AG927),$AG$2:$AG$1001,0),1)&gt;=100000,INDEX($AN$1005:$BO$1005,1,MATCH(COLUMNS($AN$1006:BA1006),$AN$1006:$BO$1006,0))&gt;=100000), " ",IF(INDEX($AN$2:$BO$1001,MATCH(ROWS($AG$2:AG927),$AG$2:$AG$1001,0),MATCH(COLUMNS($AN$1006:BA1006),$AN$1006:$BO$1006,0)), HYPERLINK("#",""), HYPERLINK(CONCATENATE("#Metadata!", ADDRESS(INDEX($AI$2:$AI$1001,MATCH(ROWS($AG$2:AG927),$AG$2:$AG$1001,0),0), INDEX($AN$1004:$BO$1004,1,MATCH(COLUMNS($AN$1006:BA1006),$AN$1006:$BO$1006,0)))),"Fix")))</f>
        <v>0</v>
      </c>
      <c r="P927" s="4">
        <f>IF(OR(INDEX($AH$2:$AH$1001,MATCH(ROWS($AG$2:AG927),$AG$2:$AG$1001,0),1)&gt;=100000,INDEX($AN$1005:$BO$1005,1,MATCH(COLUMNS($AN$1006:BB1006),$AN$1006:$BO$1006,0))&gt;=100000), " ",IF(INDEX($AN$2:$BO$1001,MATCH(ROWS($AG$2:AG927),$AG$2:$AG$1001,0),MATCH(COLUMNS($AN$1006:BB1006),$AN$1006:$BO$1006,0)), HYPERLINK("#",""), HYPERLINK(CONCATENATE("#Metadata!", ADDRESS(INDEX($AI$2:$AI$1001,MATCH(ROWS($AG$2:AG927),$AG$2:$AG$1001,0),0), INDEX($AN$1004:$BO$1004,1,MATCH(COLUMNS($AN$1006:BB1006),$AN$1006:$BO$1006,0)))),"Fix")))</f>
        <v>0</v>
      </c>
      <c r="Q927" s="4">
        <f>IF(OR(INDEX($AH$2:$AH$1001,MATCH(ROWS($AG$2:AG927),$AG$2:$AG$1001,0),1)&gt;=100000,INDEX($AN$1005:$BO$1005,1,MATCH(COLUMNS($AN$1006:BC1006),$AN$1006:$BO$1006,0))&gt;=100000), " ",IF(INDEX($AN$2:$BO$1001,MATCH(ROWS($AG$2:AG927),$AG$2:$AG$1001,0),MATCH(COLUMNS($AN$1006:BC1006),$AN$1006:$BO$1006,0)), HYPERLINK("#",""), HYPERLINK(CONCATENATE("#Metadata!", ADDRESS(INDEX($AI$2:$AI$1001,MATCH(ROWS($AG$2:AG927),$AG$2:$AG$1001,0),0), INDEX($AN$1004:$BO$1004,1,MATCH(COLUMNS($AN$1006:BC1006),$AN$1006:$BO$1006,0)))),"Fix")))</f>
        <v>0</v>
      </c>
      <c r="R927" s="4">
        <f>IF(OR(INDEX($AH$2:$AH$1001,MATCH(ROWS($AG$2:AG927),$AG$2:$AG$1001,0),1)&gt;=100000,INDEX($AN$1005:$BO$1005,1,MATCH(COLUMNS($AN$1006:BD1006),$AN$1006:$BO$1006,0))&gt;=100000), " ",IF(INDEX($AN$2:$BO$1001,MATCH(ROWS($AG$2:AG927),$AG$2:$AG$1001,0),MATCH(COLUMNS($AN$1006:BD1006),$AN$1006:$BO$1006,0)), HYPERLINK("#",""), HYPERLINK(CONCATENATE("#Metadata!", ADDRESS(INDEX($AI$2:$AI$1001,MATCH(ROWS($AG$2:AG927),$AG$2:$AG$1001,0),0), INDEX($AN$1004:$BO$1004,1,MATCH(COLUMNS($AN$1006:BD1006),$AN$1006:$BO$1006,0)))),"Fix")))</f>
        <v>0</v>
      </c>
      <c r="S927" s="4">
        <f>IF(OR(INDEX($AH$2:$AH$1001,MATCH(ROWS($AG$2:AG927),$AG$2:$AG$1001,0),1)&gt;=100000,INDEX($AN$1005:$BO$1005,1,MATCH(COLUMNS($AN$1006:BE1006),$AN$1006:$BO$1006,0))&gt;=100000), " ",IF(INDEX($AN$2:$BO$1001,MATCH(ROWS($AG$2:AG927),$AG$2:$AG$1001,0),MATCH(COLUMNS($AN$1006:BE1006),$AN$1006:$BO$1006,0)), HYPERLINK("#",""), HYPERLINK(CONCATENATE("#Metadata!", ADDRESS(INDEX($AI$2:$AI$1001,MATCH(ROWS($AG$2:AG927),$AG$2:$AG$1001,0),0), INDEX($AN$1004:$BO$1004,1,MATCH(COLUMNS($AN$1006:BE1006),$AN$1006:$BO$1006,0)))),"Fix")))</f>
        <v>0</v>
      </c>
      <c r="T927" s="4">
        <f>IF(OR(INDEX($AH$2:$AH$1001,MATCH(ROWS($AG$2:AG927),$AG$2:$AG$1001,0),1)&gt;=100000,INDEX($AN$1005:$BO$1005,1,MATCH(COLUMNS($AN$1006:BF1006),$AN$1006:$BO$1006,0))&gt;=100000), " ",IF(INDEX($AN$2:$BO$1001,MATCH(ROWS($AG$2:AG927),$AG$2:$AG$1001,0),MATCH(COLUMNS($AN$1006:BF1006),$AN$1006:$BO$1006,0)), HYPERLINK("#",""), HYPERLINK(CONCATENATE("#Metadata!", ADDRESS(INDEX($AI$2:$AI$1001,MATCH(ROWS($AG$2:AG927),$AG$2:$AG$1001,0),0), INDEX($AN$1004:$BO$1004,1,MATCH(COLUMNS($AN$1006:BF1006),$AN$1006:$BO$1006,0)))),"Fix")))</f>
        <v>0</v>
      </c>
      <c r="U927" s="4">
        <f>IF(OR(INDEX($AH$2:$AH$1001,MATCH(ROWS($AG$2:AG927),$AG$2:$AG$1001,0),1)&gt;=100000,INDEX($AN$1005:$BO$1005,1,MATCH(COLUMNS($AN$1006:BG1006),$AN$1006:$BO$1006,0))&gt;=100000), " ",IF(INDEX($AN$2:$BO$1001,MATCH(ROWS($AG$2:AG927),$AG$2:$AG$1001,0),MATCH(COLUMNS($AN$1006:BG1006),$AN$1006:$BO$1006,0)), HYPERLINK("#",""), HYPERLINK(CONCATENATE("#Metadata!", ADDRESS(INDEX($AI$2:$AI$1001,MATCH(ROWS($AG$2:AG927),$AG$2:$AG$1001,0),0), INDEX($AN$1004:$BO$1004,1,MATCH(COLUMNS($AN$1006:BG1006),$AN$1006:$BO$1006,0)))),"Fix")))</f>
        <v>0</v>
      </c>
      <c r="V927" s="4">
        <f>IF(OR(INDEX($AH$2:$AH$1001,MATCH(ROWS($AG$2:AG927),$AG$2:$AG$1001,0),1)&gt;=100000,INDEX($AN$1005:$BO$1005,1,MATCH(COLUMNS($AN$1006:BH1006),$AN$1006:$BO$1006,0))&gt;=100000), " ",IF(INDEX($AN$2:$BO$1001,MATCH(ROWS($AG$2:AG927),$AG$2:$AG$1001,0),MATCH(COLUMNS($AN$1006:BH1006),$AN$1006:$BO$1006,0)), HYPERLINK("#",""), HYPERLINK(CONCATENATE("#Metadata!", ADDRESS(INDEX($AI$2:$AI$1001,MATCH(ROWS($AG$2:AG927),$AG$2:$AG$1001,0),0), INDEX($AN$1004:$BO$1004,1,MATCH(COLUMNS($AN$1006:BH1006),$AN$1006:$BO$1006,0)))),"Fix")))</f>
        <v>0</v>
      </c>
      <c r="W927" s="4">
        <f>IF(OR(INDEX($AH$2:$AH$1001,MATCH(ROWS($AG$2:AG927),$AG$2:$AG$1001,0),1)&gt;=100000,INDEX($AN$1005:$BO$1005,1,MATCH(COLUMNS($AN$1006:BI1006),$AN$1006:$BO$1006,0))&gt;=100000), " ",IF(INDEX($AN$2:$BO$1001,MATCH(ROWS($AG$2:AG927),$AG$2:$AG$1001,0),MATCH(COLUMNS($AN$1006:BI1006),$AN$1006:$BO$1006,0)), HYPERLINK("#",""), HYPERLINK(CONCATENATE("#Metadata!", ADDRESS(INDEX($AI$2:$AI$1001,MATCH(ROWS($AG$2:AG927),$AG$2:$AG$1001,0),0), INDEX($AN$1004:$BO$1004,1,MATCH(COLUMNS($AN$1006:BI1006),$AN$1006:$BO$1006,0)))),"Fix")))</f>
        <v>0</v>
      </c>
      <c r="X927" s="4">
        <f>IF(OR(INDEX($AH$2:$AH$1001,MATCH(ROWS($AG$2:AG927),$AG$2:$AG$1001,0),1)&gt;=100000,INDEX($AN$1005:$BO$1005,1,MATCH(COLUMNS($AN$1006:BJ1006),$AN$1006:$BO$1006,0))&gt;=100000), " ",IF(INDEX($AN$2:$BO$1001,MATCH(ROWS($AG$2:AG927),$AG$2:$AG$1001,0),MATCH(COLUMNS($AN$1006:BJ1006),$AN$1006:$BO$1006,0)), HYPERLINK("#",""), HYPERLINK(CONCATENATE("#Metadata!", ADDRESS(INDEX($AI$2:$AI$1001,MATCH(ROWS($AG$2:AG927),$AG$2:$AG$1001,0),0), INDEX($AN$1004:$BO$1004,1,MATCH(COLUMNS($AN$1006:BJ1006),$AN$1006:$BO$1006,0)))),"Fix")))</f>
        <v>0</v>
      </c>
      <c r="Y927" s="4">
        <f>IF(OR(INDEX($AH$2:$AH$1001,MATCH(ROWS($AG$2:AG927),$AG$2:$AG$1001,0),1)&gt;=100000,INDEX($AN$1005:$BO$1005,1,MATCH(COLUMNS($AN$1006:BK1006),$AN$1006:$BO$1006,0))&gt;=100000), " ",IF(INDEX($AN$2:$BO$1001,MATCH(ROWS($AG$2:AG927),$AG$2:$AG$1001,0),MATCH(COLUMNS($AN$1006:BK1006),$AN$1006:$BO$1006,0)), HYPERLINK("#",""), HYPERLINK(CONCATENATE("#Metadata!", ADDRESS(INDEX($AI$2:$AI$1001,MATCH(ROWS($AG$2:AG927),$AG$2:$AG$1001,0),0), INDEX($AN$1004:$BO$1004,1,MATCH(COLUMNS($AN$1006:BK1006),$AN$1006:$BO$1006,0)))),"Fix")))</f>
        <v>0</v>
      </c>
      <c r="Z927" s="4">
        <f>IF(OR(INDEX($AH$2:$AH$1001,MATCH(ROWS($AG$2:AG927),$AG$2:$AG$1001,0),1)&gt;=100000,INDEX($AN$1005:$BO$1005,1,MATCH(COLUMNS($AN$1006:BL1006),$AN$1006:$BO$1006,0))&gt;=100000), " ",IF(INDEX($AN$2:$BO$1001,MATCH(ROWS($AG$2:AG927),$AG$2:$AG$1001,0),MATCH(COLUMNS($AN$1006:BL1006),$AN$1006:$BO$1006,0)), HYPERLINK("#",""), HYPERLINK(CONCATENATE("#Metadata!", ADDRESS(INDEX($AI$2:$AI$1001,MATCH(ROWS($AG$2:AG927),$AG$2:$AG$1001,0),0), INDEX($AN$1004:$BO$1004,1,MATCH(COLUMNS($AN$1006:BL1006),$AN$1006:$BO$1006,0)))),"Fix")))</f>
        <v>0</v>
      </c>
      <c r="AA927" s="4">
        <f>IF(OR(INDEX($AH$2:$AH$1001,MATCH(ROWS($AG$2:AG927),$AG$2:$AG$1001,0),1)&gt;=100000,INDEX($AN$1005:$BO$1005,1,MATCH(COLUMNS($AN$1006:BM1006),$AN$1006:$BO$1006,0))&gt;=100000), " ",IF(INDEX($AN$2:$BO$1001,MATCH(ROWS($AG$2:AG927),$AG$2:$AG$1001,0),MATCH(COLUMNS($AN$1006:BM1006),$AN$1006:$BO$1006,0)), HYPERLINK("#",""), HYPERLINK(CONCATENATE("#Metadata!", ADDRESS(INDEX($AI$2:$AI$1001,MATCH(ROWS($AG$2:AG927),$AG$2:$AG$1001,0),0), INDEX($AN$1004:$BO$1004,1,MATCH(COLUMNS($AN$1006:BM1006),$AN$1006:$BO$1006,0)))),"Fix")))</f>
        <v>0</v>
      </c>
      <c r="AB927" s="4">
        <f>IF(OR(INDEX($AH$2:$AH$1001,MATCH(ROWS($AG$2:AG927),$AG$2:$AG$1001,0),1)&gt;=100000,INDEX($AN$1005:$BO$1005,1,MATCH(COLUMNS($AN$1006:BN1006),$AN$1006:$BO$1006,0))&gt;=100000), " ",IF(INDEX($AN$2:$BO$1001,MATCH(ROWS($AG$2:AG927),$AG$2:$AG$1001,0),MATCH(COLUMNS($AN$1006:BN1006),$AN$1006:$BO$1006,0)), HYPERLINK("#",""), HYPERLINK(CONCATENATE("#Metadata!", ADDRESS(INDEX($AI$2:$AI$1001,MATCH(ROWS($AG$2:AG927),$AG$2:$AG$1001,0),0), INDEX($AN$1004:$BO$1004,1,MATCH(COLUMNS($AN$1006:BN1006),$AN$1006:$BO$1006,0)))),"Fix")))</f>
        <v>0</v>
      </c>
      <c r="AC927" s="4">
        <f>IF(OR(INDEX($AH$2:$AH$1001,MATCH(ROWS($AG$2:AG927),$AG$2:$AG$1001,0),1)&gt;=100000,INDEX($AN$1005:$BO$1005,1,MATCH(COLUMNS($AN$1006:BO1006),$AN$1006:$BO$1006,0))&gt;=100000), " ",IF(INDEX($AN$2:$BO$1001,MATCH(ROWS($AG$2:AG927),$AG$2:$AG$1001,0),MATCH(COLUMNS($AN$1006:BO1006),$AN$1006:$BO$1006,0)), HYPERLINK("#",""), HYPERLINK(CONCATENATE("#Metadata!", ADDRESS(INDEX($AI$2:$AI$1001,MATCH(ROWS($AG$2:AG927),$AG$2:$AG$1001,0),0), INDEX($AN$1004:$BO$1004,1,MATCH(COLUMNS($AN$1006:BO1006),$AN$1006:$BO$1006,0)))),"Fix")))</f>
        <v>0</v>
      </c>
      <c r="AG927">
        <v>0</v>
      </c>
      <c r="AH927">
        <v>0</v>
      </c>
      <c r="AI927">
        <v>0</v>
      </c>
      <c r="AJ927">
        <f>IF(AK927,TRUE,AND(AN927:BO927))</f>
        <v>0</v>
      </c>
      <c r="AK927">
        <f>COUNTBLANK(Metadata!B927:AC927)=COLUMNS(Metadata!B927:AC927)</f>
        <v>0</v>
      </c>
      <c r="AL927">
        <v>0</v>
      </c>
      <c r="AN927">
        <f>AND(IF(Metadata!B927="",FALSE,TRUE),COUNTIF(Metadata!B:B, Metadata!B927) = 1,NOT(ISERROR(SUMPRODUCT(SEARCH(MID(Metadata!B927,ROW(INDIRECT("1:"&amp;LEN(Metadata!B927))), 1),"0123456789abcdefghijklmnopqrstuvwxyzABCDEFGHIJKLMNOPQRSTUVWXYZ.")))))</f>
        <v>0</v>
      </c>
      <c r="AO927">
        <f>IF(Metadata!C927="",FALSE,TRUE)</f>
        <v>0</v>
      </c>
      <c r="AP927">
        <f>IF(Metadata!D927="",FALSE,TRUE)</f>
        <v>0</v>
      </c>
      <c r="AQ927">
        <f>OR(AND(IF(Metadata!E927="",FALSE,TRUE),OR(exact(Metadata!E927,"not collected"),exact(Metadata!E927,"not provided"),exact(Metadata!E927,"restricted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R927">
        <f>IF(Metadata!F927="",FALSE,TRUE)</f>
        <v>0</v>
      </c>
      <c r="AS927">
        <f>OR(AND(IF(Metadata!G927="",FALSE,TRUE),OR(exact(Metadata!G927,"not collected"),exact(Metadata!G927,"not provided"))),AND(IF(Metadata!G927="",FALSE,TRUE),OR(exact(Metadata!G927,"TRUE"),exact(Metadata!G927,"FALSE"))))</f>
        <v>0</v>
      </c>
      <c r="AT927">
        <f>OR(AND(IF(Metadata!H927="",FALSE,TRUE),OR(exact(Metadata!H927,"not collected"),exact(Metadata!H927,"not provided"),exact(Metadata!H927,"restricted access"))),AND(IF(Metadata!H927="",FALSE,ISNUMBER(VALUE(Metadata!H927))),Metadata!H927&gt;=-413.0))</f>
        <v>0</v>
      </c>
      <c r="AU927">
        <f>AND(IF(Metadata!I927="",FALSE,TRUE),exact(Metadata!I927,"meters"))</f>
        <v>0</v>
      </c>
      <c r="AV927">
        <f>AND(IF(Metadata!J927="",FALSE,TRUE),OR(exact(Metadata!J927,"Host-associated"),exact(Metadata!J927,"Free-living")))</f>
        <v>0</v>
      </c>
      <c r="AW927">
        <f>AND(IF(Metadata!K927="",FALSE,TRUE),OR(exact(Metadata!K927,"Animal"),exact(Metadata!K927,"Fungus"),exact(Metadata!K927,"Plant"),exact(Metadata!K927,"Saline"),exact(Metadata!K927,"Non-saline")))</f>
        <v>0</v>
      </c>
      <c r="AX927">
        <f>AND(IF(Metadata!L927="",FALSE,TRUE),OR(exact(Metadata!L927,"Plant secretion"),exact(Metadata!L927,"Plant rhizosphere"),exact(Metadata!L927,"Plant surface"),exact(Metadata!L927,"Plant corpus"),exact(Metadata!L927,"Fungus surface"),exact(Metadata!L927,"Fungus corpus"),exact(Metadata!L927,"Animal surface"),exact(Metadata!L927,"Animal proximal gut"),exact(Metadata!L927,"Animal corpus"),exact(Metadata!L927,"Animal distal gut"),exact(Metadata!L927,"Animal secretion"),exact(Metadata!L927,"Sub-surface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Y927">
        <f>IF(Metadata!M927="",FALSE,TRUE)</f>
        <v>0</v>
      </c>
      <c r="AZ927">
        <f>IF(Metadata!N927="",FALSE,TRUE)</f>
        <v>0</v>
      </c>
      <c r="BA927">
        <f>IF(Metadata!O927="",FALSE,TRUE)</f>
        <v>0</v>
      </c>
      <c r="BB927">
        <f>OR(AND(IF(Metadata!P927="",FALSE,TRUE),OR(exact(Metadata!P927,"not collected"),exact(Metadata!P927,"not provided"),exact(Metadata!P927,"restricted access"))),AND(IF(Metadata!P927="",FALSE,TRUE),OR(exact(Metadata!P927,"air"),exact(Metadata!P927,"built environment"),exact(Metadata!P927,"host-associated"),exact(Metadata!P927,"human-associated"),exact(Metadata!P927,"human-skin"),exact(Metadata!P927,"human-oral"),exact(Metadata!P927,"human-gut"),exact(Metadata!P927,"human-vaginal"),exact(Metadata!P927,"microbial mat/biofilm"),exact(Metadata!P927,"misc environment"),exact(Metadata!P927,"plant-associated"),exact(Metadata!P927,"sediment"),exact(Metadata!P927,"soil"),exact(Metadata!P927,"wastewater/sludge"),exact(Metadata!P927,"water"))))</f>
        <v>0</v>
      </c>
      <c r="BC927">
        <f>IF(Metadata!Q927="",FALSE,TRUE)</f>
        <v>0</v>
      </c>
      <c r="BD927">
        <f>IF(Metadata!R927="",FALSE,TRUE)</f>
        <v>0</v>
      </c>
      <c r="BE927">
        <f>OR(AND(IF(Metadata!S927="",FALSE,TRUE),OR(exact(Metadata!S927,"not collected"),exact(Metadata!S927,"not provided"),exact(Metadata!S927,"restricted access"))),AND(IF(Metadata!S927="",FALSE,ISNUMBER(VALUE(Metadata!S927))),Metadata!S927&gt;=-90.00,Metadata!S927&lt;=90.00))</f>
        <v>0</v>
      </c>
      <c r="BF927">
        <f>AND(IF(Metadata!T927="",FALSE,TRUE),exact(Metadata!T927,"Decimal degrees"))</f>
        <v>0</v>
      </c>
      <c r="BG927">
        <f>OR(AND(IF(Metadata!U927="",FALSE,TRUE),OR(exact(Metadata!U927,"not collected"),exact(Metadata!U927,"not provided"),exact(Metadata!U927,"restricted access"))),AND(IF(Metadata!U927="",FALSE,ISNUMBER(VALUE(Metadata!U927))),Metadata!U927&gt;=-180.00,Metadata!U927&lt;=180.00))</f>
        <v>0</v>
      </c>
      <c r="BH927">
        <f>AND(IF(Metadata!V927="",FALSE,TRUE),exact(Metadata!V927,"Decimal degrees"))</f>
        <v>0</v>
      </c>
      <c r="BI927">
        <f>IF(Metadata!W927="",FALSE,TRUE)</f>
        <v>0</v>
      </c>
      <c r="BJ927">
        <f>OR(AND(IF(Metadata!X927="",FALSE,TRUE),OR(exact(Metadata!X927,"not collected"),exact(Metadata!X927,"not provided"),exact(Metadata!X927,"restricted access"))),AND(IF(Metadata!X927="",FALSE,TRUE),OR(exact(Metadata!X927,"TRUE"),exact(Metadata!X927,"FALSE"))))</f>
        <v>0</v>
      </c>
      <c r="BK927">
        <f>AND(IF(Metadata!Y927="",FALSE,TRUE),exact(Metadata!Y927,"other"))</f>
        <v>0</v>
      </c>
      <c r="BL927">
        <f>IF(Metadata!Z927="",FALSE,TRUE)</f>
        <v>0</v>
      </c>
      <c r="BM927">
        <f>OR(AND(IF(Metadata!AA927="",FALSE,TRUE),OR(exact(Metadata!AA927,"not collected"),exact(Metadata!AA927,"not provided"))),AND(IF(Metadata!AA927="",FALSE,IF(ISERROR(INT(Metadata!AA927)),FALSE,INT(Metadata!AA927)=Metadata!AA927)),Metadata!AA927&gt;0))</f>
        <v>0</v>
      </c>
      <c r="BN927">
        <f>AND(IF(Metadata!AB927="",FALSE,TRUE),exact(Metadata!AB927,"Not applicable"))</f>
        <v>0</v>
      </c>
      <c r="BO927">
        <f>IF(Metadata!AC927="",FALSE,TRUE)</f>
        <v>0</v>
      </c>
    </row>
    <row r="928" spans="1:67">
      <c r="A928" s="5">
        <f>IF(B928=" "," ",HYPERLINK(CONCATENATE("#metadata!",ADDRESS(INDEX($AI$2:$AI$1001,MATCH(ROWS($AG$2:AG928),$AG$2:$AG$1001,0),0),1)),INDEX($AL$2:$AL$1001,MATCH(ROWS($AG$2:AG928),$AG$2:$AG$1001,0),0)))</f>
        <v>0</v>
      </c>
      <c r="B928" s="4">
        <f>IF(OR(INDEX($AH$2:$AH$1001,MATCH(ROWS($AG$2:AG928),$AG$2:$AG$1001,0),1)&gt;=100000,INDEX($AN$1005:$BO$1005,1,MATCH(COLUMNS($AN$1006:AN1006),$AN$1006:$BO$1006,0))&gt;=100000), " ",IF(INDEX($AN$2:$BO$1001,MATCH(ROWS($AG$2:AG928),$AG$2:$AG$1001,0),MATCH(COLUMNS($AN$1006:AN1006),$AN$1006:$BO$1006,0)), HYPERLINK("#",""), HYPERLINK(CONCATENATE("#Metadata!", ADDRESS(INDEX($AI$2:$AI$1001,MATCH(ROWS($AG$2:AG928),$AG$2:$AG$1001,0),0), INDEX($AN$1004:$BO$1004,1,MATCH(COLUMNS($AN$1006:AN1006),$AN$1006:$BO$1006,0)))),"Fix")))</f>
        <v>0</v>
      </c>
      <c r="C928" s="4">
        <f>IF(OR(INDEX($AH$2:$AH$1001,MATCH(ROWS($AG$2:AG928),$AG$2:$AG$1001,0),1)&gt;=100000,INDEX($AN$1005:$BO$1005,1,MATCH(COLUMNS($AN$1006:AO1006),$AN$1006:$BO$1006,0))&gt;=100000), " ",IF(INDEX($AN$2:$BO$1001,MATCH(ROWS($AG$2:AG928),$AG$2:$AG$1001,0),MATCH(COLUMNS($AN$1006:AO1006),$AN$1006:$BO$1006,0)), HYPERLINK("#",""), HYPERLINK(CONCATENATE("#Metadata!", ADDRESS(INDEX($AI$2:$AI$1001,MATCH(ROWS($AG$2:AG928),$AG$2:$AG$1001,0),0), INDEX($AN$1004:$BO$1004,1,MATCH(COLUMNS($AN$1006:AO1006),$AN$1006:$BO$1006,0)))),"Fix")))</f>
        <v>0</v>
      </c>
      <c r="D928" s="4">
        <f>IF(OR(INDEX($AH$2:$AH$1001,MATCH(ROWS($AG$2:AG928),$AG$2:$AG$1001,0),1)&gt;=100000,INDEX($AN$1005:$BO$1005,1,MATCH(COLUMNS($AN$1006:AP1006),$AN$1006:$BO$1006,0))&gt;=100000), " ",IF(INDEX($AN$2:$BO$1001,MATCH(ROWS($AG$2:AG928),$AG$2:$AG$1001,0),MATCH(COLUMNS($AN$1006:AP1006),$AN$1006:$BO$1006,0)), HYPERLINK("#",""), HYPERLINK(CONCATENATE("#Metadata!", ADDRESS(INDEX($AI$2:$AI$1001,MATCH(ROWS($AG$2:AG928),$AG$2:$AG$1001,0),0), INDEX($AN$1004:$BO$1004,1,MATCH(COLUMNS($AN$1006:AP1006),$AN$1006:$BO$1006,0)))),"Fix")))</f>
        <v>0</v>
      </c>
      <c r="E928" s="4">
        <f>IF(OR(INDEX($AH$2:$AH$1001,MATCH(ROWS($AG$2:AG928),$AG$2:$AG$1001,0),1)&gt;=100000,INDEX($AN$1005:$BO$1005,1,MATCH(COLUMNS($AN$1006:AQ1006),$AN$1006:$BO$1006,0))&gt;=100000), " ",IF(INDEX($AN$2:$BO$1001,MATCH(ROWS($AG$2:AG928),$AG$2:$AG$1001,0),MATCH(COLUMNS($AN$1006:AQ1006),$AN$1006:$BO$1006,0)), HYPERLINK("#",""), HYPERLINK(CONCATENATE("#Metadata!", ADDRESS(INDEX($AI$2:$AI$1001,MATCH(ROWS($AG$2:AG928),$AG$2:$AG$1001,0),0), INDEX($AN$1004:$BO$1004,1,MATCH(COLUMNS($AN$1006:AQ1006),$AN$1006:$BO$1006,0)))),"Fix")))</f>
        <v>0</v>
      </c>
      <c r="F928" s="4">
        <f>IF(OR(INDEX($AH$2:$AH$1001,MATCH(ROWS($AG$2:AG928),$AG$2:$AG$1001,0),1)&gt;=100000,INDEX($AN$1005:$BO$1005,1,MATCH(COLUMNS($AN$1006:AR1006),$AN$1006:$BO$1006,0))&gt;=100000), " ",IF(INDEX($AN$2:$BO$1001,MATCH(ROWS($AG$2:AG928),$AG$2:$AG$1001,0),MATCH(COLUMNS($AN$1006:AR1006),$AN$1006:$BO$1006,0)), HYPERLINK("#",""), HYPERLINK(CONCATENATE("#Metadata!", ADDRESS(INDEX($AI$2:$AI$1001,MATCH(ROWS($AG$2:AG928),$AG$2:$AG$1001,0),0), INDEX($AN$1004:$BO$1004,1,MATCH(COLUMNS($AN$1006:AR1006),$AN$1006:$BO$1006,0)))),"Fix")))</f>
        <v>0</v>
      </c>
      <c r="G928" s="4">
        <f>IF(OR(INDEX($AH$2:$AH$1001,MATCH(ROWS($AG$2:AG928),$AG$2:$AG$1001,0),1)&gt;=100000,INDEX($AN$1005:$BO$1005,1,MATCH(COLUMNS($AN$1006:AS1006),$AN$1006:$BO$1006,0))&gt;=100000), " ",IF(INDEX($AN$2:$BO$1001,MATCH(ROWS($AG$2:AG928),$AG$2:$AG$1001,0),MATCH(COLUMNS($AN$1006:AS1006),$AN$1006:$BO$1006,0)), HYPERLINK("#",""), HYPERLINK(CONCATENATE("#Metadata!", ADDRESS(INDEX($AI$2:$AI$1001,MATCH(ROWS($AG$2:AG928),$AG$2:$AG$1001,0),0), INDEX($AN$1004:$BO$1004,1,MATCH(COLUMNS($AN$1006:AS1006),$AN$1006:$BO$1006,0)))),"Fix")))</f>
        <v>0</v>
      </c>
      <c r="H928" s="4">
        <f>IF(OR(INDEX($AH$2:$AH$1001,MATCH(ROWS($AG$2:AG928),$AG$2:$AG$1001,0),1)&gt;=100000,INDEX($AN$1005:$BO$1005,1,MATCH(COLUMNS($AN$1006:AT1006),$AN$1006:$BO$1006,0))&gt;=100000), " ",IF(INDEX($AN$2:$BO$1001,MATCH(ROWS($AG$2:AG928),$AG$2:$AG$1001,0),MATCH(COLUMNS($AN$1006:AT1006),$AN$1006:$BO$1006,0)), HYPERLINK("#",""), HYPERLINK(CONCATENATE("#Metadata!", ADDRESS(INDEX($AI$2:$AI$1001,MATCH(ROWS($AG$2:AG928),$AG$2:$AG$1001,0),0), INDEX($AN$1004:$BO$1004,1,MATCH(COLUMNS($AN$1006:AT1006),$AN$1006:$BO$1006,0)))),"Fix")))</f>
        <v>0</v>
      </c>
      <c r="I928" s="4">
        <f>IF(OR(INDEX($AH$2:$AH$1001,MATCH(ROWS($AG$2:AG928),$AG$2:$AG$1001,0),1)&gt;=100000,INDEX($AN$1005:$BO$1005,1,MATCH(COLUMNS($AN$1006:AU1006),$AN$1006:$BO$1006,0))&gt;=100000), " ",IF(INDEX($AN$2:$BO$1001,MATCH(ROWS($AG$2:AG928),$AG$2:$AG$1001,0),MATCH(COLUMNS($AN$1006:AU1006),$AN$1006:$BO$1006,0)), HYPERLINK("#",""), HYPERLINK(CONCATENATE("#Metadata!", ADDRESS(INDEX($AI$2:$AI$1001,MATCH(ROWS($AG$2:AG928),$AG$2:$AG$1001,0),0), INDEX($AN$1004:$BO$1004,1,MATCH(COLUMNS($AN$1006:AU1006),$AN$1006:$BO$1006,0)))),"Fix")))</f>
        <v>0</v>
      </c>
      <c r="J928" s="4">
        <f>IF(OR(INDEX($AH$2:$AH$1001,MATCH(ROWS($AG$2:AG928),$AG$2:$AG$1001,0),1)&gt;=100000,INDEX($AN$1005:$BO$1005,1,MATCH(COLUMNS($AN$1006:AV1006),$AN$1006:$BO$1006,0))&gt;=100000), " ",IF(INDEX($AN$2:$BO$1001,MATCH(ROWS($AG$2:AG928),$AG$2:$AG$1001,0),MATCH(COLUMNS($AN$1006:AV1006),$AN$1006:$BO$1006,0)), HYPERLINK("#",""), HYPERLINK(CONCATENATE("#Metadata!", ADDRESS(INDEX($AI$2:$AI$1001,MATCH(ROWS($AG$2:AG928),$AG$2:$AG$1001,0),0), INDEX($AN$1004:$BO$1004,1,MATCH(COLUMNS($AN$1006:AV1006),$AN$1006:$BO$1006,0)))),"Fix")))</f>
        <v>0</v>
      </c>
      <c r="K928" s="4">
        <f>IF(OR(INDEX($AH$2:$AH$1001,MATCH(ROWS($AG$2:AG928),$AG$2:$AG$1001,0),1)&gt;=100000,INDEX($AN$1005:$BO$1005,1,MATCH(COLUMNS($AN$1006:AW1006),$AN$1006:$BO$1006,0))&gt;=100000), " ",IF(INDEX($AN$2:$BO$1001,MATCH(ROWS($AG$2:AG928),$AG$2:$AG$1001,0),MATCH(COLUMNS($AN$1006:AW1006),$AN$1006:$BO$1006,0)), HYPERLINK("#",""), HYPERLINK(CONCATENATE("#Metadata!", ADDRESS(INDEX($AI$2:$AI$1001,MATCH(ROWS($AG$2:AG928),$AG$2:$AG$1001,0),0), INDEX($AN$1004:$BO$1004,1,MATCH(COLUMNS($AN$1006:AW1006),$AN$1006:$BO$1006,0)))),"Fix")))</f>
        <v>0</v>
      </c>
      <c r="L928" s="4">
        <f>IF(OR(INDEX($AH$2:$AH$1001,MATCH(ROWS($AG$2:AG928),$AG$2:$AG$1001,0),1)&gt;=100000,INDEX($AN$1005:$BO$1005,1,MATCH(COLUMNS($AN$1006:AX1006),$AN$1006:$BO$1006,0))&gt;=100000), " ",IF(INDEX($AN$2:$BO$1001,MATCH(ROWS($AG$2:AG928),$AG$2:$AG$1001,0),MATCH(COLUMNS($AN$1006:AX1006),$AN$1006:$BO$1006,0)), HYPERLINK("#",""), HYPERLINK(CONCATENATE("#Metadata!", ADDRESS(INDEX($AI$2:$AI$1001,MATCH(ROWS($AG$2:AG928),$AG$2:$AG$1001,0),0), INDEX($AN$1004:$BO$1004,1,MATCH(COLUMNS($AN$1006:AX1006),$AN$1006:$BO$1006,0)))),"Fix")))</f>
        <v>0</v>
      </c>
      <c r="M928" s="4">
        <f>IF(OR(INDEX($AH$2:$AH$1001,MATCH(ROWS($AG$2:AG928),$AG$2:$AG$1001,0),1)&gt;=100000,INDEX($AN$1005:$BO$1005,1,MATCH(COLUMNS($AN$1006:AY1006),$AN$1006:$BO$1006,0))&gt;=100000), " ",IF(INDEX($AN$2:$BO$1001,MATCH(ROWS($AG$2:AG928),$AG$2:$AG$1001,0),MATCH(COLUMNS($AN$1006:AY1006),$AN$1006:$BO$1006,0)), HYPERLINK("#",""), HYPERLINK(CONCATENATE("#Metadata!", ADDRESS(INDEX($AI$2:$AI$1001,MATCH(ROWS($AG$2:AG928),$AG$2:$AG$1001,0),0), INDEX($AN$1004:$BO$1004,1,MATCH(COLUMNS($AN$1006:AY1006),$AN$1006:$BO$1006,0)))),"Fix")))</f>
        <v>0</v>
      </c>
      <c r="N928" s="4">
        <f>IF(OR(INDEX($AH$2:$AH$1001,MATCH(ROWS($AG$2:AG928),$AG$2:$AG$1001,0),1)&gt;=100000,INDEX($AN$1005:$BO$1005,1,MATCH(COLUMNS($AN$1006:AZ1006),$AN$1006:$BO$1006,0))&gt;=100000), " ",IF(INDEX($AN$2:$BO$1001,MATCH(ROWS($AG$2:AG928),$AG$2:$AG$1001,0),MATCH(COLUMNS($AN$1006:AZ1006),$AN$1006:$BO$1006,0)), HYPERLINK("#",""), HYPERLINK(CONCATENATE("#Metadata!", ADDRESS(INDEX($AI$2:$AI$1001,MATCH(ROWS($AG$2:AG928),$AG$2:$AG$1001,0),0), INDEX($AN$1004:$BO$1004,1,MATCH(COLUMNS($AN$1006:AZ1006),$AN$1006:$BO$1006,0)))),"Fix")))</f>
        <v>0</v>
      </c>
      <c r="O928" s="4">
        <f>IF(OR(INDEX($AH$2:$AH$1001,MATCH(ROWS($AG$2:AG928),$AG$2:$AG$1001,0),1)&gt;=100000,INDEX($AN$1005:$BO$1005,1,MATCH(COLUMNS($AN$1006:BA1006),$AN$1006:$BO$1006,0))&gt;=100000), " ",IF(INDEX($AN$2:$BO$1001,MATCH(ROWS($AG$2:AG928),$AG$2:$AG$1001,0),MATCH(COLUMNS($AN$1006:BA1006),$AN$1006:$BO$1006,0)), HYPERLINK("#",""), HYPERLINK(CONCATENATE("#Metadata!", ADDRESS(INDEX($AI$2:$AI$1001,MATCH(ROWS($AG$2:AG928),$AG$2:$AG$1001,0),0), INDEX($AN$1004:$BO$1004,1,MATCH(COLUMNS($AN$1006:BA1006),$AN$1006:$BO$1006,0)))),"Fix")))</f>
        <v>0</v>
      </c>
      <c r="P928" s="4">
        <f>IF(OR(INDEX($AH$2:$AH$1001,MATCH(ROWS($AG$2:AG928),$AG$2:$AG$1001,0),1)&gt;=100000,INDEX($AN$1005:$BO$1005,1,MATCH(COLUMNS($AN$1006:BB1006),$AN$1006:$BO$1006,0))&gt;=100000), " ",IF(INDEX($AN$2:$BO$1001,MATCH(ROWS($AG$2:AG928),$AG$2:$AG$1001,0),MATCH(COLUMNS($AN$1006:BB1006),$AN$1006:$BO$1006,0)), HYPERLINK("#",""), HYPERLINK(CONCATENATE("#Metadata!", ADDRESS(INDEX($AI$2:$AI$1001,MATCH(ROWS($AG$2:AG928),$AG$2:$AG$1001,0),0), INDEX($AN$1004:$BO$1004,1,MATCH(COLUMNS($AN$1006:BB1006),$AN$1006:$BO$1006,0)))),"Fix")))</f>
        <v>0</v>
      </c>
      <c r="Q928" s="4">
        <f>IF(OR(INDEX($AH$2:$AH$1001,MATCH(ROWS($AG$2:AG928),$AG$2:$AG$1001,0),1)&gt;=100000,INDEX($AN$1005:$BO$1005,1,MATCH(COLUMNS($AN$1006:BC1006),$AN$1006:$BO$1006,0))&gt;=100000), " ",IF(INDEX($AN$2:$BO$1001,MATCH(ROWS($AG$2:AG928),$AG$2:$AG$1001,0),MATCH(COLUMNS($AN$1006:BC1006),$AN$1006:$BO$1006,0)), HYPERLINK("#",""), HYPERLINK(CONCATENATE("#Metadata!", ADDRESS(INDEX($AI$2:$AI$1001,MATCH(ROWS($AG$2:AG928),$AG$2:$AG$1001,0),0), INDEX($AN$1004:$BO$1004,1,MATCH(COLUMNS($AN$1006:BC1006),$AN$1006:$BO$1006,0)))),"Fix")))</f>
        <v>0</v>
      </c>
      <c r="R928" s="4">
        <f>IF(OR(INDEX($AH$2:$AH$1001,MATCH(ROWS($AG$2:AG928),$AG$2:$AG$1001,0),1)&gt;=100000,INDEX($AN$1005:$BO$1005,1,MATCH(COLUMNS($AN$1006:BD1006),$AN$1006:$BO$1006,0))&gt;=100000), " ",IF(INDEX($AN$2:$BO$1001,MATCH(ROWS($AG$2:AG928),$AG$2:$AG$1001,0),MATCH(COLUMNS($AN$1006:BD1006),$AN$1006:$BO$1006,0)), HYPERLINK("#",""), HYPERLINK(CONCATENATE("#Metadata!", ADDRESS(INDEX($AI$2:$AI$1001,MATCH(ROWS($AG$2:AG928),$AG$2:$AG$1001,0),0), INDEX($AN$1004:$BO$1004,1,MATCH(COLUMNS($AN$1006:BD1006),$AN$1006:$BO$1006,0)))),"Fix")))</f>
        <v>0</v>
      </c>
      <c r="S928" s="4">
        <f>IF(OR(INDEX($AH$2:$AH$1001,MATCH(ROWS($AG$2:AG928),$AG$2:$AG$1001,0),1)&gt;=100000,INDEX($AN$1005:$BO$1005,1,MATCH(COLUMNS($AN$1006:BE1006),$AN$1006:$BO$1006,0))&gt;=100000), " ",IF(INDEX($AN$2:$BO$1001,MATCH(ROWS($AG$2:AG928),$AG$2:$AG$1001,0),MATCH(COLUMNS($AN$1006:BE1006),$AN$1006:$BO$1006,0)), HYPERLINK("#",""), HYPERLINK(CONCATENATE("#Metadata!", ADDRESS(INDEX($AI$2:$AI$1001,MATCH(ROWS($AG$2:AG928),$AG$2:$AG$1001,0),0), INDEX($AN$1004:$BO$1004,1,MATCH(COLUMNS($AN$1006:BE1006),$AN$1006:$BO$1006,0)))),"Fix")))</f>
        <v>0</v>
      </c>
      <c r="T928" s="4">
        <f>IF(OR(INDEX($AH$2:$AH$1001,MATCH(ROWS($AG$2:AG928),$AG$2:$AG$1001,0),1)&gt;=100000,INDEX($AN$1005:$BO$1005,1,MATCH(COLUMNS($AN$1006:BF1006),$AN$1006:$BO$1006,0))&gt;=100000), " ",IF(INDEX($AN$2:$BO$1001,MATCH(ROWS($AG$2:AG928),$AG$2:$AG$1001,0),MATCH(COLUMNS($AN$1006:BF1006),$AN$1006:$BO$1006,0)), HYPERLINK("#",""), HYPERLINK(CONCATENATE("#Metadata!", ADDRESS(INDEX($AI$2:$AI$1001,MATCH(ROWS($AG$2:AG928),$AG$2:$AG$1001,0),0), INDEX($AN$1004:$BO$1004,1,MATCH(COLUMNS($AN$1006:BF1006),$AN$1006:$BO$1006,0)))),"Fix")))</f>
        <v>0</v>
      </c>
      <c r="U928" s="4">
        <f>IF(OR(INDEX($AH$2:$AH$1001,MATCH(ROWS($AG$2:AG928),$AG$2:$AG$1001,0),1)&gt;=100000,INDEX($AN$1005:$BO$1005,1,MATCH(COLUMNS($AN$1006:BG1006),$AN$1006:$BO$1006,0))&gt;=100000), " ",IF(INDEX($AN$2:$BO$1001,MATCH(ROWS($AG$2:AG928),$AG$2:$AG$1001,0),MATCH(COLUMNS($AN$1006:BG1006),$AN$1006:$BO$1006,0)), HYPERLINK("#",""), HYPERLINK(CONCATENATE("#Metadata!", ADDRESS(INDEX($AI$2:$AI$1001,MATCH(ROWS($AG$2:AG928),$AG$2:$AG$1001,0),0), INDEX($AN$1004:$BO$1004,1,MATCH(COLUMNS($AN$1006:BG1006),$AN$1006:$BO$1006,0)))),"Fix")))</f>
        <v>0</v>
      </c>
      <c r="V928" s="4">
        <f>IF(OR(INDEX($AH$2:$AH$1001,MATCH(ROWS($AG$2:AG928),$AG$2:$AG$1001,0),1)&gt;=100000,INDEX($AN$1005:$BO$1005,1,MATCH(COLUMNS($AN$1006:BH1006),$AN$1006:$BO$1006,0))&gt;=100000), " ",IF(INDEX($AN$2:$BO$1001,MATCH(ROWS($AG$2:AG928),$AG$2:$AG$1001,0),MATCH(COLUMNS($AN$1006:BH1006),$AN$1006:$BO$1006,0)), HYPERLINK("#",""), HYPERLINK(CONCATENATE("#Metadata!", ADDRESS(INDEX($AI$2:$AI$1001,MATCH(ROWS($AG$2:AG928),$AG$2:$AG$1001,0),0), INDEX($AN$1004:$BO$1004,1,MATCH(COLUMNS($AN$1006:BH1006),$AN$1006:$BO$1006,0)))),"Fix")))</f>
        <v>0</v>
      </c>
      <c r="W928" s="4">
        <f>IF(OR(INDEX($AH$2:$AH$1001,MATCH(ROWS($AG$2:AG928),$AG$2:$AG$1001,0),1)&gt;=100000,INDEX($AN$1005:$BO$1005,1,MATCH(COLUMNS($AN$1006:BI1006),$AN$1006:$BO$1006,0))&gt;=100000), " ",IF(INDEX($AN$2:$BO$1001,MATCH(ROWS($AG$2:AG928),$AG$2:$AG$1001,0),MATCH(COLUMNS($AN$1006:BI1006),$AN$1006:$BO$1006,0)), HYPERLINK("#",""), HYPERLINK(CONCATENATE("#Metadata!", ADDRESS(INDEX($AI$2:$AI$1001,MATCH(ROWS($AG$2:AG928),$AG$2:$AG$1001,0),0), INDEX($AN$1004:$BO$1004,1,MATCH(COLUMNS($AN$1006:BI1006),$AN$1006:$BO$1006,0)))),"Fix")))</f>
        <v>0</v>
      </c>
      <c r="X928" s="4">
        <f>IF(OR(INDEX($AH$2:$AH$1001,MATCH(ROWS($AG$2:AG928),$AG$2:$AG$1001,0),1)&gt;=100000,INDEX($AN$1005:$BO$1005,1,MATCH(COLUMNS($AN$1006:BJ1006),$AN$1006:$BO$1006,0))&gt;=100000), " ",IF(INDEX($AN$2:$BO$1001,MATCH(ROWS($AG$2:AG928),$AG$2:$AG$1001,0),MATCH(COLUMNS($AN$1006:BJ1006),$AN$1006:$BO$1006,0)), HYPERLINK("#",""), HYPERLINK(CONCATENATE("#Metadata!", ADDRESS(INDEX($AI$2:$AI$1001,MATCH(ROWS($AG$2:AG928),$AG$2:$AG$1001,0),0), INDEX($AN$1004:$BO$1004,1,MATCH(COLUMNS($AN$1006:BJ1006),$AN$1006:$BO$1006,0)))),"Fix")))</f>
        <v>0</v>
      </c>
      <c r="Y928" s="4">
        <f>IF(OR(INDEX($AH$2:$AH$1001,MATCH(ROWS($AG$2:AG928),$AG$2:$AG$1001,0),1)&gt;=100000,INDEX($AN$1005:$BO$1005,1,MATCH(COLUMNS($AN$1006:BK1006),$AN$1006:$BO$1006,0))&gt;=100000), " ",IF(INDEX($AN$2:$BO$1001,MATCH(ROWS($AG$2:AG928),$AG$2:$AG$1001,0),MATCH(COLUMNS($AN$1006:BK1006),$AN$1006:$BO$1006,0)), HYPERLINK("#",""), HYPERLINK(CONCATENATE("#Metadata!", ADDRESS(INDEX($AI$2:$AI$1001,MATCH(ROWS($AG$2:AG928),$AG$2:$AG$1001,0),0), INDEX($AN$1004:$BO$1004,1,MATCH(COLUMNS($AN$1006:BK1006),$AN$1006:$BO$1006,0)))),"Fix")))</f>
        <v>0</v>
      </c>
      <c r="Z928" s="4">
        <f>IF(OR(INDEX($AH$2:$AH$1001,MATCH(ROWS($AG$2:AG928),$AG$2:$AG$1001,0),1)&gt;=100000,INDEX($AN$1005:$BO$1005,1,MATCH(COLUMNS($AN$1006:BL1006),$AN$1006:$BO$1006,0))&gt;=100000), " ",IF(INDEX($AN$2:$BO$1001,MATCH(ROWS($AG$2:AG928),$AG$2:$AG$1001,0),MATCH(COLUMNS($AN$1006:BL1006),$AN$1006:$BO$1006,0)), HYPERLINK("#",""), HYPERLINK(CONCATENATE("#Metadata!", ADDRESS(INDEX($AI$2:$AI$1001,MATCH(ROWS($AG$2:AG928),$AG$2:$AG$1001,0),0), INDEX($AN$1004:$BO$1004,1,MATCH(COLUMNS($AN$1006:BL1006),$AN$1006:$BO$1006,0)))),"Fix")))</f>
        <v>0</v>
      </c>
      <c r="AA928" s="4">
        <f>IF(OR(INDEX($AH$2:$AH$1001,MATCH(ROWS($AG$2:AG928),$AG$2:$AG$1001,0),1)&gt;=100000,INDEX($AN$1005:$BO$1005,1,MATCH(COLUMNS($AN$1006:BM1006),$AN$1006:$BO$1006,0))&gt;=100000), " ",IF(INDEX($AN$2:$BO$1001,MATCH(ROWS($AG$2:AG928),$AG$2:$AG$1001,0),MATCH(COLUMNS($AN$1006:BM1006),$AN$1006:$BO$1006,0)), HYPERLINK("#",""), HYPERLINK(CONCATENATE("#Metadata!", ADDRESS(INDEX($AI$2:$AI$1001,MATCH(ROWS($AG$2:AG928),$AG$2:$AG$1001,0),0), INDEX($AN$1004:$BO$1004,1,MATCH(COLUMNS($AN$1006:BM1006),$AN$1006:$BO$1006,0)))),"Fix")))</f>
        <v>0</v>
      </c>
      <c r="AB928" s="4">
        <f>IF(OR(INDEX($AH$2:$AH$1001,MATCH(ROWS($AG$2:AG928),$AG$2:$AG$1001,0),1)&gt;=100000,INDEX($AN$1005:$BO$1005,1,MATCH(COLUMNS($AN$1006:BN1006),$AN$1006:$BO$1006,0))&gt;=100000), " ",IF(INDEX($AN$2:$BO$1001,MATCH(ROWS($AG$2:AG928),$AG$2:$AG$1001,0),MATCH(COLUMNS($AN$1006:BN1006),$AN$1006:$BO$1006,0)), HYPERLINK("#",""), HYPERLINK(CONCATENATE("#Metadata!", ADDRESS(INDEX($AI$2:$AI$1001,MATCH(ROWS($AG$2:AG928),$AG$2:$AG$1001,0),0), INDEX($AN$1004:$BO$1004,1,MATCH(COLUMNS($AN$1006:BN1006),$AN$1006:$BO$1006,0)))),"Fix")))</f>
        <v>0</v>
      </c>
      <c r="AC928" s="4">
        <f>IF(OR(INDEX($AH$2:$AH$1001,MATCH(ROWS($AG$2:AG928),$AG$2:$AG$1001,0),1)&gt;=100000,INDEX($AN$1005:$BO$1005,1,MATCH(COLUMNS($AN$1006:BO1006),$AN$1006:$BO$1006,0))&gt;=100000), " ",IF(INDEX($AN$2:$BO$1001,MATCH(ROWS($AG$2:AG928),$AG$2:$AG$1001,0),MATCH(COLUMNS($AN$1006:BO1006),$AN$1006:$BO$1006,0)), HYPERLINK("#",""), HYPERLINK(CONCATENATE("#Metadata!", ADDRESS(INDEX($AI$2:$AI$1001,MATCH(ROWS($AG$2:AG928),$AG$2:$AG$1001,0),0), INDEX($AN$1004:$BO$1004,1,MATCH(COLUMNS($AN$1006:BO1006),$AN$1006:$BO$1006,0)))),"Fix")))</f>
        <v>0</v>
      </c>
      <c r="AG928">
        <v>0</v>
      </c>
      <c r="AH928">
        <v>0</v>
      </c>
      <c r="AI928">
        <v>0</v>
      </c>
      <c r="AJ928">
        <f>IF(AK928,TRUE,AND(AN928:BO928))</f>
        <v>0</v>
      </c>
      <c r="AK928">
        <f>COUNTBLANK(Metadata!B928:AC928)=COLUMNS(Metadata!B928:AC928)</f>
        <v>0</v>
      </c>
      <c r="AL928">
        <v>0</v>
      </c>
      <c r="AN928">
        <f>AND(IF(Metadata!B928="",FALSE,TRUE),COUNTIF(Metadata!B:B, Metadata!B928) = 1,NOT(ISERROR(SUMPRODUCT(SEARCH(MID(Metadata!B928,ROW(INDIRECT("1:"&amp;LEN(Metadata!B928))), 1),"0123456789abcdefghijklmnopqrstuvwxyzABCDEFGHIJKLMNOPQRSTUVWXYZ.")))))</f>
        <v>0</v>
      </c>
      <c r="AO928">
        <f>IF(Metadata!C928="",FALSE,TRUE)</f>
        <v>0</v>
      </c>
      <c r="AP928">
        <f>IF(Metadata!D928="",FALSE,TRUE)</f>
        <v>0</v>
      </c>
      <c r="AQ928">
        <f>OR(AND(IF(Metadata!E928="",FALSE,TRUE),OR(exact(Metadata!E928,"not collected"),exact(Metadata!E928,"not provided"),exact(Metadata!E928,"restricted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R928">
        <f>IF(Metadata!F928="",FALSE,TRUE)</f>
        <v>0</v>
      </c>
      <c r="AS928">
        <f>OR(AND(IF(Metadata!G928="",FALSE,TRUE),OR(exact(Metadata!G928,"not collected"),exact(Metadata!G928,"not provided"))),AND(IF(Metadata!G928="",FALSE,TRUE),OR(exact(Metadata!G928,"TRUE"),exact(Metadata!G928,"FALSE"))))</f>
        <v>0</v>
      </c>
      <c r="AT928">
        <f>OR(AND(IF(Metadata!H928="",FALSE,TRUE),OR(exact(Metadata!H928,"not collected"),exact(Metadata!H928,"not provided"),exact(Metadata!H928,"restricted access"))),AND(IF(Metadata!H928="",FALSE,ISNUMBER(VALUE(Metadata!H928))),Metadata!H928&gt;=-413.0))</f>
        <v>0</v>
      </c>
      <c r="AU928">
        <f>AND(IF(Metadata!I928="",FALSE,TRUE),exact(Metadata!I928,"meters"))</f>
        <v>0</v>
      </c>
      <c r="AV928">
        <f>AND(IF(Metadata!J928="",FALSE,TRUE),OR(exact(Metadata!J928,"Host-associated"),exact(Metadata!J928,"Free-living")))</f>
        <v>0</v>
      </c>
      <c r="AW928">
        <f>AND(IF(Metadata!K928="",FALSE,TRUE),OR(exact(Metadata!K928,"Animal"),exact(Metadata!K928,"Fungus"),exact(Metadata!K928,"Plant"),exact(Metadata!K928,"Saline"),exact(Metadata!K928,"Non-saline")))</f>
        <v>0</v>
      </c>
      <c r="AX928">
        <f>AND(IF(Metadata!L928="",FALSE,TRUE),OR(exact(Metadata!L928,"Plant secretion"),exact(Metadata!L928,"Plant rhizosphere"),exact(Metadata!L928,"Plant surface"),exact(Metadata!L928,"Plant corpus"),exact(Metadata!L928,"Fungus surface"),exact(Metadata!L928,"Fungus corpus"),exact(Metadata!L928,"Animal surface"),exact(Metadata!L928,"Animal proximal gut"),exact(Metadata!L928,"Animal corpus"),exact(Metadata!L928,"Animal distal gut"),exact(Metadata!L928,"Animal secretion"),exact(Metadata!L928,"Sub-surface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Y928">
        <f>IF(Metadata!M928="",FALSE,TRUE)</f>
        <v>0</v>
      </c>
      <c r="AZ928">
        <f>IF(Metadata!N928="",FALSE,TRUE)</f>
        <v>0</v>
      </c>
      <c r="BA928">
        <f>IF(Metadata!O928="",FALSE,TRUE)</f>
        <v>0</v>
      </c>
      <c r="BB928">
        <f>OR(AND(IF(Metadata!P928="",FALSE,TRUE),OR(exact(Metadata!P928,"not collected"),exact(Metadata!P928,"not provided"),exact(Metadata!P928,"restricted access"))),AND(IF(Metadata!P928="",FALSE,TRUE),OR(exact(Metadata!P928,"air"),exact(Metadata!P928,"built environment"),exact(Metadata!P928,"host-associated"),exact(Metadata!P928,"human-associated"),exact(Metadata!P928,"human-skin"),exact(Metadata!P928,"human-oral"),exact(Metadata!P928,"human-gut"),exact(Metadata!P928,"human-vaginal"),exact(Metadata!P928,"microbial mat/biofilm"),exact(Metadata!P928,"misc environment"),exact(Metadata!P928,"plant-associated"),exact(Metadata!P928,"sediment"),exact(Metadata!P928,"soil"),exact(Metadata!P928,"wastewater/sludge"),exact(Metadata!P928,"water"))))</f>
        <v>0</v>
      </c>
      <c r="BC928">
        <f>IF(Metadata!Q928="",FALSE,TRUE)</f>
        <v>0</v>
      </c>
      <c r="BD928">
        <f>IF(Metadata!R928="",FALSE,TRUE)</f>
        <v>0</v>
      </c>
      <c r="BE928">
        <f>OR(AND(IF(Metadata!S928="",FALSE,TRUE),OR(exact(Metadata!S928,"not collected"),exact(Metadata!S928,"not provided"),exact(Metadata!S928,"restricted access"))),AND(IF(Metadata!S928="",FALSE,ISNUMBER(VALUE(Metadata!S928))),Metadata!S928&gt;=-90.00,Metadata!S928&lt;=90.00))</f>
        <v>0</v>
      </c>
      <c r="BF928">
        <f>AND(IF(Metadata!T928="",FALSE,TRUE),exact(Metadata!T928,"Decimal degrees"))</f>
        <v>0</v>
      </c>
      <c r="BG928">
        <f>OR(AND(IF(Metadata!U928="",FALSE,TRUE),OR(exact(Metadata!U928,"not collected"),exact(Metadata!U928,"not provided"),exact(Metadata!U928,"restricted access"))),AND(IF(Metadata!U928="",FALSE,ISNUMBER(VALUE(Metadata!U928))),Metadata!U928&gt;=-180.00,Metadata!U928&lt;=180.00))</f>
        <v>0</v>
      </c>
      <c r="BH928">
        <f>AND(IF(Metadata!V928="",FALSE,TRUE),exact(Metadata!V928,"Decimal degrees"))</f>
        <v>0</v>
      </c>
      <c r="BI928">
        <f>IF(Metadata!W928="",FALSE,TRUE)</f>
        <v>0</v>
      </c>
      <c r="BJ928">
        <f>OR(AND(IF(Metadata!X928="",FALSE,TRUE),OR(exact(Metadata!X928,"not collected"),exact(Metadata!X928,"not provided"),exact(Metadata!X928,"restricted access"))),AND(IF(Metadata!X928="",FALSE,TRUE),OR(exact(Metadata!X928,"TRUE"),exact(Metadata!X928,"FALSE"))))</f>
        <v>0</v>
      </c>
      <c r="BK928">
        <f>AND(IF(Metadata!Y928="",FALSE,TRUE),exact(Metadata!Y928,"other"))</f>
        <v>0</v>
      </c>
      <c r="BL928">
        <f>IF(Metadata!Z928="",FALSE,TRUE)</f>
        <v>0</v>
      </c>
      <c r="BM928">
        <f>OR(AND(IF(Metadata!AA928="",FALSE,TRUE),OR(exact(Metadata!AA928,"not collected"),exact(Metadata!AA928,"not provided"))),AND(IF(Metadata!AA928="",FALSE,IF(ISERROR(INT(Metadata!AA928)),FALSE,INT(Metadata!AA928)=Metadata!AA928)),Metadata!AA928&gt;0))</f>
        <v>0</v>
      </c>
      <c r="BN928">
        <f>AND(IF(Metadata!AB928="",FALSE,TRUE),exact(Metadata!AB928,"Not applicable"))</f>
        <v>0</v>
      </c>
      <c r="BO928">
        <f>IF(Metadata!AC928="",FALSE,TRUE)</f>
        <v>0</v>
      </c>
    </row>
    <row r="929" spans="1:67">
      <c r="A929" s="5">
        <f>IF(B929=" "," ",HYPERLINK(CONCATENATE("#metadata!",ADDRESS(INDEX($AI$2:$AI$1001,MATCH(ROWS($AG$2:AG929),$AG$2:$AG$1001,0),0),1)),INDEX($AL$2:$AL$1001,MATCH(ROWS($AG$2:AG929),$AG$2:$AG$1001,0),0)))</f>
        <v>0</v>
      </c>
      <c r="B929" s="4">
        <f>IF(OR(INDEX($AH$2:$AH$1001,MATCH(ROWS($AG$2:AG929),$AG$2:$AG$1001,0),1)&gt;=100000,INDEX($AN$1005:$BO$1005,1,MATCH(COLUMNS($AN$1006:AN1006),$AN$1006:$BO$1006,0))&gt;=100000), " ",IF(INDEX($AN$2:$BO$1001,MATCH(ROWS($AG$2:AG929),$AG$2:$AG$1001,0),MATCH(COLUMNS($AN$1006:AN1006),$AN$1006:$BO$1006,0)), HYPERLINK("#",""), HYPERLINK(CONCATENATE("#Metadata!", ADDRESS(INDEX($AI$2:$AI$1001,MATCH(ROWS($AG$2:AG929),$AG$2:$AG$1001,0),0), INDEX($AN$1004:$BO$1004,1,MATCH(COLUMNS($AN$1006:AN1006),$AN$1006:$BO$1006,0)))),"Fix")))</f>
        <v>0</v>
      </c>
      <c r="C929" s="4">
        <f>IF(OR(INDEX($AH$2:$AH$1001,MATCH(ROWS($AG$2:AG929),$AG$2:$AG$1001,0),1)&gt;=100000,INDEX($AN$1005:$BO$1005,1,MATCH(COLUMNS($AN$1006:AO1006),$AN$1006:$BO$1006,0))&gt;=100000), " ",IF(INDEX($AN$2:$BO$1001,MATCH(ROWS($AG$2:AG929),$AG$2:$AG$1001,0),MATCH(COLUMNS($AN$1006:AO1006),$AN$1006:$BO$1006,0)), HYPERLINK("#",""), HYPERLINK(CONCATENATE("#Metadata!", ADDRESS(INDEX($AI$2:$AI$1001,MATCH(ROWS($AG$2:AG929),$AG$2:$AG$1001,0),0), INDEX($AN$1004:$BO$1004,1,MATCH(COLUMNS($AN$1006:AO1006),$AN$1006:$BO$1006,0)))),"Fix")))</f>
        <v>0</v>
      </c>
      <c r="D929" s="4">
        <f>IF(OR(INDEX($AH$2:$AH$1001,MATCH(ROWS($AG$2:AG929),$AG$2:$AG$1001,0),1)&gt;=100000,INDEX($AN$1005:$BO$1005,1,MATCH(COLUMNS($AN$1006:AP1006),$AN$1006:$BO$1006,0))&gt;=100000), " ",IF(INDEX($AN$2:$BO$1001,MATCH(ROWS($AG$2:AG929),$AG$2:$AG$1001,0),MATCH(COLUMNS($AN$1006:AP1006),$AN$1006:$BO$1006,0)), HYPERLINK("#",""), HYPERLINK(CONCATENATE("#Metadata!", ADDRESS(INDEX($AI$2:$AI$1001,MATCH(ROWS($AG$2:AG929),$AG$2:$AG$1001,0),0), INDEX($AN$1004:$BO$1004,1,MATCH(COLUMNS($AN$1006:AP1006),$AN$1006:$BO$1006,0)))),"Fix")))</f>
        <v>0</v>
      </c>
      <c r="E929" s="4">
        <f>IF(OR(INDEX($AH$2:$AH$1001,MATCH(ROWS($AG$2:AG929),$AG$2:$AG$1001,0),1)&gt;=100000,INDEX($AN$1005:$BO$1005,1,MATCH(COLUMNS($AN$1006:AQ1006),$AN$1006:$BO$1006,0))&gt;=100000), " ",IF(INDEX($AN$2:$BO$1001,MATCH(ROWS($AG$2:AG929),$AG$2:$AG$1001,0),MATCH(COLUMNS($AN$1006:AQ1006),$AN$1006:$BO$1006,0)), HYPERLINK("#",""), HYPERLINK(CONCATENATE("#Metadata!", ADDRESS(INDEX($AI$2:$AI$1001,MATCH(ROWS($AG$2:AG929),$AG$2:$AG$1001,0),0), INDEX($AN$1004:$BO$1004,1,MATCH(COLUMNS($AN$1006:AQ1006),$AN$1006:$BO$1006,0)))),"Fix")))</f>
        <v>0</v>
      </c>
      <c r="F929" s="4">
        <f>IF(OR(INDEX($AH$2:$AH$1001,MATCH(ROWS($AG$2:AG929),$AG$2:$AG$1001,0),1)&gt;=100000,INDEX($AN$1005:$BO$1005,1,MATCH(COLUMNS($AN$1006:AR1006),$AN$1006:$BO$1006,0))&gt;=100000), " ",IF(INDEX($AN$2:$BO$1001,MATCH(ROWS($AG$2:AG929),$AG$2:$AG$1001,0),MATCH(COLUMNS($AN$1006:AR1006),$AN$1006:$BO$1006,0)), HYPERLINK("#",""), HYPERLINK(CONCATENATE("#Metadata!", ADDRESS(INDEX($AI$2:$AI$1001,MATCH(ROWS($AG$2:AG929),$AG$2:$AG$1001,0),0), INDEX($AN$1004:$BO$1004,1,MATCH(COLUMNS($AN$1006:AR1006),$AN$1006:$BO$1006,0)))),"Fix")))</f>
        <v>0</v>
      </c>
      <c r="G929" s="4">
        <f>IF(OR(INDEX($AH$2:$AH$1001,MATCH(ROWS($AG$2:AG929),$AG$2:$AG$1001,0),1)&gt;=100000,INDEX($AN$1005:$BO$1005,1,MATCH(COLUMNS($AN$1006:AS1006),$AN$1006:$BO$1006,0))&gt;=100000), " ",IF(INDEX($AN$2:$BO$1001,MATCH(ROWS($AG$2:AG929),$AG$2:$AG$1001,0),MATCH(COLUMNS($AN$1006:AS1006),$AN$1006:$BO$1006,0)), HYPERLINK("#",""), HYPERLINK(CONCATENATE("#Metadata!", ADDRESS(INDEX($AI$2:$AI$1001,MATCH(ROWS($AG$2:AG929),$AG$2:$AG$1001,0),0), INDEX($AN$1004:$BO$1004,1,MATCH(COLUMNS($AN$1006:AS1006),$AN$1006:$BO$1006,0)))),"Fix")))</f>
        <v>0</v>
      </c>
      <c r="H929" s="4">
        <f>IF(OR(INDEX($AH$2:$AH$1001,MATCH(ROWS($AG$2:AG929),$AG$2:$AG$1001,0),1)&gt;=100000,INDEX($AN$1005:$BO$1005,1,MATCH(COLUMNS($AN$1006:AT1006),$AN$1006:$BO$1006,0))&gt;=100000), " ",IF(INDEX($AN$2:$BO$1001,MATCH(ROWS($AG$2:AG929),$AG$2:$AG$1001,0),MATCH(COLUMNS($AN$1006:AT1006),$AN$1006:$BO$1006,0)), HYPERLINK("#",""), HYPERLINK(CONCATENATE("#Metadata!", ADDRESS(INDEX($AI$2:$AI$1001,MATCH(ROWS($AG$2:AG929),$AG$2:$AG$1001,0),0), INDEX($AN$1004:$BO$1004,1,MATCH(COLUMNS($AN$1006:AT1006),$AN$1006:$BO$1006,0)))),"Fix")))</f>
        <v>0</v>
      </c>
      <c r="I929" s="4">
        <f>IF(OR(INDEX($AH$2:$AH$1001,MATCH(ROWS($AG$2:AG929),$AG$2:$AG$1001,0),1)&gt;=100000,INDEX($AN$1005:$BO$1005,1,MATCH(COLUMNS($AN$1006:AU1006),$AN$1006:$BO$1006,0))&gt;=100000), " ",IF(INDEX($AN$2:$BO$1001,MATCH(ROWS($AG$2:AG929),$AG$2:$AG$1001,0),MATCH(COLUMNS($AN$1006:AU1006),$AN$1006:$BO$1006,0)), HYPERLINK("#",""), HYPERLINK(CONCATENATE("#Metadata!", ADDRESS(INDEX($AI$2:$AI$1001,MATCH(ROWS($AG$2:AG929),$AG$2:$AG$1001,0),0), INDEX($AN$1004:$BO$1004,1,MATCH(COLUMNS($AN$1006:AU1006),$AN$1006:$BO$1006,0)))),"Fix")))</f>
        <v>0</v>
      </c>
      <c r="J929" s="4">
        <f>IF(OR(INDEX($AH$2:$AH$1001,MATCH(ROWS($AG$2:AG929),$AG$2:$AG$1001,0),1)&gt;=100000,INDEX($AN$1005:$BO$1005,1,MATCH(COLUMNS($AN$1006:AV1006),$AN$1006:$BO$1006,0))&gt;=100000), " ",IF(INDEX($AN$2:$BO$1001,MATCH(ROWS($AG$2:AG929),$AG$2:$AG$1001,0),MATCH(COLUMNS($AN$1006:AV1006),$AN$1006:$BO$1006,0)), HYPERLINK("#",""), HYPERLINK(CONCATENATE("#Metadata!", ADDRESS(INDEX($AI$2:$AI$1001,MATCH(ROWS($AG$2:AG929),$AG$2:$AG$1001,0),0), INDEX($AN$1004:$BO$1004,1,MATCH(COLUMNS($AN$1006:AV1006),$AN$1006:$BO$1006,0)))),"Fix")))</f>
        <v>0</v>
      </c>
      <c r="K929" s="4">
        <f>IF(OR(INDEX($AH$2:$AH$1001,MATCH(ROWS($AG$2:AG929),$AG$2:$AG$1001,0),1)&gt;=100000,INDEX($AN$1005:$BO$1005,1,MATCH(COLUMNS($AN$1006:AW1006),$AN$1006:$BO$1006,0))&gt;=100000), " ",IF(INDEX($AN$2:$BO$1001,MATCH(ROWS($AG$2:AG929),$AG$2:$AG$1001,0),MATCH(COLUMNS($AN$1006:AW1006),$AN$1006:$BO$1006,0)), HYPERLINK("#",""), HYPERLINK(CONCATENATE("#Metadata!", ADDRESS(INDEX($AI$2:$AI$1001,MATCH(ROWS($AG$2:AG929),$AG$2:$AG$1001,0),0), INDEX($AN$1004:$BO$1004,1,MATCH(COLUMNS($AN$1006:AW1006),$AN$1006:$BO$1006,0)))),"Fix")))</f>
        <v>0</v>
      </c>
      <c r="L929" s="4">
        <f>IF(OR(INDEX($AH$2:$AH$1001,MATCH(ROWS($AG$2:AG929),$AG$2:$AG$1001,0),1)&gt;=100000,INDEX($AN$1005:$BO$1005,1,MATCH(COLUMNS($AN$1006:AX1006),$AN$1006:$BO$1006,0))&gt;=100000), " ",IF(INDEX($AN$2:$BO$1001,MATCH(ROWS($AG$2:AG929),$AG$2:$AG$1001,0),MATCH(COLUMNS($AN$1006:AX1006),$AN$1006:$BO$1006,0)), HYPERLINK("#",""), HYPERLINK(CONCATENATE("#Metadata!", ADDRESS(INDEX($AI$2:$AI$1001,MATCH(ROWS($AG$2:AG929),$AG$2:$AG$1001,0),0), INDEX($AN$1004:$BO$1004,1,MATCH(COLUMNS($AN$1006:AX1006),$AN$1006:$BO$1006,0)))),"Fix")))</f>
        <v>0</v>
      </c>
      <c r="M929" s="4">
        <f>IF(OR(INDEX($AH$2:$AH$1001,MATCH(ROWS($AG$2:AG929),$AG$2:$AG$1001,0),1)&gt;=100000,INDEX($AN$1005:$BO$1005,1,MATCH(COLUMNS($AN$1006:AY1006),$AN$1006:$BO$1006,0))&gt;=100000), " ",IF(INDEX($AN$2:$BO$1001,MATCH(ROWS($AG$2:AG929),$AG$2:$AG$1001,0),MATCH(COLUMNS($AN$1006:AY1006),$AN$1006:$BO$1006,0)), HYPERLINK("#",""), HYPERLINK(CONCATENATE("#Metadata!", ADDRESS(INDEX($AI$2:$AI$1001,MATCH(ROWS($AG$2:AG929),$AG$2:$AG$1001,0),0), INDEX($AN$1004:$BO$1004,1,MATCH(COLUMNS($AN$1006:AY1006),$AN$1006:$BO$1006,0)))),"Fix")))</f>
        <v>0</v>
      </c>
      <c r="N929" s="4">
        <f>IF(OR(INDEX($AH$2:$AH$1001,MATCH(ROWS($AG$2:AG929),$AG$2:$AG$1001,0),1)&gt;=100000,INDEX($AN$1005:$BO$1005,1,MATCH(COLUMNS($AN$1006:AZ1006),$AN$1006:$BO$1006,0))&gt;=100000), " ",IF(INDEX($AN$2:$BO$1001,MATCH(ROWS($AG$2:AG929),$AG$2:$AG$1001,0),MATCH(COLUMNS($AN$1006:AZ1006),$AN$1006:$BO$1006,0)), HYPERLINK("#",""), HYPERLINK(CONCATENATE("#Metadata!", ADDRESS(INDEX($AI$2:$AI$1001,MATCH(ROWS($AG$2:AG929),$AG$2:$AG$1001,0),0), INDEX($AN$1004:$BO$1004,1,MATCH(COLUMNS($AN$1006:AZ1006),$AN$1006:$BO$1006,0)))),"Fix")))</f>
        <v>0</v>
      </c>
      <c r="O929" s="4">
        <f>IF(OR(INDEX($AH$2:$AH$1001,MATCH(ROWS($AG$2:AG929),$AG$2:$AG$1001,0),1)&gt;=100000,INDEX($AN$1005:$BO$1005,1,MATCH(COLUMNS($AN$1006:BA1006),$AN$1006:$BO$1006,0))&gt;=100000), " ",IF(INDEX($AN$2:$BO$1001,MATCH(ROWS($AG$2:AG929),$AG$2:$AG$1001,0),MATCH(COLUMNS($AN$1006:BA1006),$AN$1006:$BO$1006,0)), HYPERLINK("#",""), HYPERLINK(CONCATENATE("#Metadata!", ADDRESS(INDEX($AI$2:$AI$1001,MATCH(ROWS($AG$2:AG929),$AG$2:$AG$1001,0),0), INDEX($AN$1004:$BO$1004,1,MATCH(COLUMNS($AN$1006:BA1006),$AN$1006:$BO$1006,0)))),"Fix")))</f>
        <v>0</v>
      </c>
      <c r="P929" s="4">
        <f>IF(OR(INDEX($AH$2:$AH$1001,MATCH(ROWS($AG$2:AG929),$AG$2:$AG$1001,0),1)&gt;=100000,INDEX($AN$1005:$BO$1005,1,MATCH(COLUMNS($AN$1006:BB1006),$AN$1006:$BO$1006,0))&gt;=100000), " ",IF(INDEX($AN$2:$BO$1001,MATCH(ROWS($AG$2:AG929),$AG$2:$AG$1001,0),MATCH(COLUMNS($AN$1006:BB1006),$AN$1006:$BO$1006,0)), HYPERLINK("#",""), HYPERLINK(CONCATENATE("#Metadata!", ADDRESS(INDEX($AI$2:$AI$1001,MATCH(ROWS($AG$2:AG929),$AG$2:$AG$1001,0),0), INDEX($AN$1004:$BO$1004,1,MATCH(COLUMNS($AN$1006:BB1006),$AN$1006:$BO$1006,0)))),"Fix")))</f>
        <v>0</v>
      </c>
      <c r="Q929" s="4">
        <f>IF(OR(INDEX($AH$2:$AH$1001,MATCH(ROWS($AG$2:AG929),$AG$2:$AG$1001,0),1)&gt;=100000,INDEX($AN$1005:$BO$1005,1,MATCH(COLUMNS($AN$1006:BC1006),$AN$1006:$BO$1006,0))&gt;=100000), " ",IF(INDEX($AN$2:$BO$1001,MATCH(ROWS($AG$2:AG929),$AG$2:$AG$1001,0),MATCH(COLUMNS($AN$1006:BC1006),$AN$1006:$BO$1006,0)), HYPERLINK("#",""), HYPERLINK(CONCATENATE("#Metadata!", ADDRESS(INDEX($AI$2:$AI$1001,MATCH(ROWS($AG$2:AG929),$AG$2:$AG$1001,0),0), INDEX($AN$1004:$BO$1004,1,MATCH(COLUMNS($AN$1006:BC1006),$AN$1006:$BO$1006,0)))),"Fix")))</f>
        <v>0</v>
      </c>
      <c r="R929" s="4">
        <f>IF(OR(INDEX($AH$2:$AH$1001,MATCH(ROWS($AG$2:AG929),$AG$2:$AG$1001,0),1)&gt;=100000,INDEX($AN$1005:$BO$1005,1,MATCH(COLUMNS($AN$1006:BD1006),$AN$1006:$BO$1006,0))&gt;=100000), " ",IF(INDEX($AN$2:$BO$1001,MATCH(ROWS($AG$2:AG929),$AG$2:$AG$1001,0),MATCH(COLUMNS($AN$1006:BD1006),$AN$1006:$BO$1006,0)), HYPERLINK("#",""), HYPERLINK(CONCATENATE("#Metadata!", ADDRESS(INDEX($AI$2:$AI$1001,MATCH(ROWS($AG$2:AG929),$AG$2:$AG$1001,0),0), INDEX($AN$1004:$BO$1004,1,MATCH(COLUMNS($AN$1006:BD1006),$AN$1006:$BO$1006,0)))),"Fix")))</f>
        <v>0</v>
      </c>
      <c r="S929" s="4">
        <f>IF(OR(INDEX($AH$2:$AH$1001,MATCH(ROWS($AG$2:AG929),$AG$2:$AG$1001,0),1)&gt;=100000,INDEX($AN$1005:$BO$1005,1,MATCH(COLUMNS($AN$1006:BE1006),$AN$1006:$BO$1006,0))&gt;=100000), " ",IF(INDEX($AN$2:$BO$1001,MATCH(ROWS($AG$2:AG929),$AG$2:$AG$1001,0),MATCH(COLUMNS($AN$1006:BE1006),$AN$1006:$BO$1006,0)), HYPERLINK("#",""), HYPERLINK(CONCATENATE("#Metadata!", ADDRESS(INDEX($AI$2:$AI$1001,MATCH(ROWS($AG$2:AG929),$AG$2:$AG$1001,0),0), INDEX($AN$1004:$BO$1004,1,MATCH(COLUMNS($AN$1006:BE1006),$AN$1006:$BO$1006,0)))),"Fix")))</f>
        <v>0</v>
      </c>
      <c r="T929" s="4">
        <f>IF(OR(INDEX($AH$2:$AH$1001,MATCH(ROWS($AG$2:AG929),$AG$2:$AG$1001,0),1)&gt;=100000,INDEX($AN$1005:$BO$1005,1,MATCH(COLUMNS($AN$1006:BF1006),$AN$1006:$BO$1006,0))&gt;=100000), " ",IF(INDEX($AN$2:$BO$1001,MATCH(ROWS($AG$2:AG929),$AG$2:$AG$1001,0),MATCH(COLUMNS($AN$1006:BF1006),$AN$1006:$BO$1006,0)), HYPERLINK("#",""), HYPERLINK(CONCATENATE("#Metadata!", ADDRESS(INDEX($AI$2:$AI$1001,MATCH(ROWS($AG$2:AG929),$AG$2:$AG$1001,0),0), INDEX($AN$1004:$BO$1004,1,MATCH(COLUMNS($AN$1006:BF1006),$AN$1006:$BO$1006,0)))),"Fix")))</f>
        <v>0</v>
      </c>
      <c r="U929" s="4">
        <f>IF(OR(INDEX($AH$2:$AH$1001,MATCH(ROWS($AG$2:AG929),$AG$2:$AG$1001,0),1)&gt;=100000,INDEX($AN$1005:$BO$1005,1,MATCH(COLUMNS($AN$1006:BG1006),$AN$1006:$BO$1006,0))&gt;=100000), " ",IF(INDEX($AN$2:$BO$1001,MATCH(ROWS($AG$2:AG929),$AG$2:$AG$1001,0),MATCH(COLUMNS($AN$1006:BG1006),$AN$1006:$BO$1006,0)), HYPERLINK("#",""), HYPERLINK(CONCATENATE("#Metadata!", ADDRESS(INDEX($AI$2:$AI$1001,MATCH(ROWS($AG$2:AG929),$AG$2:$AG$1001,0),0), INDEX($AN$1004:$BO$1004,1,MATCH(COLUMNS($AN$1006:BG1006),$AN$1006:$BO$1006,0)))),"Fix")))</f>
        <v>0</v>
      </c>
      <c r="V929" s="4">
        <f>IF(OR(INDEX($AH$2:$AH$1001,MATCH(ROWS($AG$2:AG929),$AG$2:$AG$1001,0),1)&gt;=100000,INDEX($AN$1005:$BO$1005,1,MATCH(COLUMNS($AN$1006:BH1006),$AN$1006:$BO$1006,0))&gt;=100000), " ",IF(INDEX($AN$2:$BO$1001,MATCH(ROWS($AG$2:AG929),$AG$2:$AG$1001,0),MATCH(COLUMNS($AN$1006:BH1006),$AN$1006:$BO$1006,0)), HYPERLINK("#",""), HYPERLINK(CONCATENATE("#Metadata!", ADDRESS(INDEX($AI$2:$AI$1001,MATCH(ROWS($AG$2:AG929),$AG$2:$AG$1001,0),0), INDEX($AN$1004:$BO$1004,1,MATCH(COLUMNS($AN$1006:BH1006),$AN$1006:$BO$1006,0)))),"Fix")))</f>
        <v>0</v>
      </c>
      <c r="W929" s="4">
        <f>IF(OR(INDEX($AH$2:$AH$1001,MATCH(ROWS($AG$2:AG929),$AG$2:$AG$1001,0),1)&gt;=100000,INDEX($AN$1005:$BO$1005,1,MATCH(COLUMNS($AN$1006:BI1006),$AN$1006:$BO$1006,0))&gt;=100000), " ",IF(INDEX($AN$2:$BO$1001,MATCH(ROWS($AG$2:AG929),$AG$2:$AG$1001,0),MATCH(COLUMNS($AN$1006:BI1006),$AN$1006:$BO$1006,0)), HYPERLINK("#",""), HYPERLINK(CONCATENATE("#Metadata!", ADDRESS(INDEX($AI$2:$AI$1001,MATCH(ROWS($AG$2:AG929),$AG$2:$AG$1001,0),0), INDEX($AN$1004:$BO$1004,1,MATCH(COLUMNS($AN$1006:BI1006),$AN$1006:$BO$1006,0)))),"Fix")))</f>
        <v>0</v>
      </c>
      <c r="X929" s="4">
        <f>IF(OR(INDEX($AH$2:$AH$1001,MATCH(ROWS($AG$2:AG929),$AG$2:$AG$1001,0),1)&gt;=100000,INDEX($AN$1005:$BO$1005,1,MATCH(COLUMNS($AN$1006:BJ1006),$AN$1006:$BO$1006,0))&gt;=100000), " ",IF(INDEX($AN$2:$BO$1001,MATCH(ROWS($AG$2:AG929),$AG$2:$AG$1001,0),MATCH(COLUMNS($AN$1006:BJ1006),$AN$1006:$BO$1006,0)), HYPERLINK("#",""), HYPERLINK(CONCATENATE("#Metadata!", ADDRESS(INDEX($AI$2:$AI$1001,MATCH(ROWS($AG$2:AG929),$AG$2:$AG$1001,0),0), INDEX($AN$1004:$BO$1004,1,MATCH(COLUMNS($AN$1006:BJ1006),$AN$1006:$BO$1006,0)))),"Fix")))</f>
        <v>0</v>
      </c>
      <c r="Y929" s="4">
        <f>IF(OR(INDEX($AH$2:$AH$1001,MATCH(ROWS($AG$2:AG929),$AG$2:$AG$1001,0),1)&gt;=100000,INDEX($AN$1005:$BO$1005,1,MATCH(COLUMNS($AN$1006:BK1006),$AN$1006:$BO$1006,0))&gt;=100000), " ",IF(INDEX($AN$2:$BO$1001,MATCH(ROWS($AG$2:AG929),$AG$2:$AG$1001,0),MATCH(COLUMNS($AN$1006:BK1006),$AN$1006:$BO$1006,0)), HYPERLINK("#",""), HYPERLINK(CONCATENATE("#Metadata!", ADDRESS(INDEX($AI$2:$AI$1001,MATCH(ROWS($AG$2:AG929),$AG$2:$AG$1001,0),0), INDEX($AN$1004:$BO$1004,1,MATCH(COLUMNS($AN$1006:BK1006),$AN$1006:$BO$1006,0)))),"Fix")))</f>
        <v>0</v>
      </c>
      <c r="Z929" s="4">
        <f>IF(OR(INDEX($AH$2:$AH$1001,MATCH(ROWS($AG$2:AG929),$AG$2:$AG$1001,0),1)&gt;=100000,INDEX($AN$1005:$BO$1005,1,MATCH(COLUMNS($AN$1006:BL1006),$AN$1006:$BO$1006,0))&gt;=100000), " ",IF(INDEX($AN$2:$BO$1001,MATCH(ROWS($AG$2:AG929),$AG$2:$AG$1001,0),MATCH(COLUMNS($AN$1006:BL1006),$AN$1006:$BO$1006,0)), HYPERLINK("#",""), HYPERLINK(CONCATENATE("#Metadata!", ADDRESS(INDEX($AI$2:$AI$1001,MATCH(ROWS($AG$2:AG929),$AG$2:$AG$1001,0),0), INDEX($AN$1004:$BO$1004,1,MATCH(COLUMNS($AN$1006:BL1006),$AN$1006:$BO$1006,0)))),"Fix")))</f>
        <v>0</v>
      </c>
      <c r="AA929" s="4">
        <f>IF(OR(INDEX($AH$2:$AH$1001,MATCH(ROWS($AG$2:AG929),$AG$2:$AG$1001,0),1)&gt;=100000,INDEX($AN$1005:$BO$1005,1,MATCH(COLUMNS($AN$1006:BM1006),$AN$1006:$BO$1006,0))&gt;=100000), " ",IF(INDEX($AN$2:$BO$1001,MATCH(ROWS($AG$2:AG929),$AG$2:$AG$1001,0),MATCH(COLUMNS($AN$1006:BM1006),$AN$1006:$BO$1006,0)), HYPERLINK("#",""), HYPERLINK(CONCATENATE("#Metadata!", ADDRESS(INDEX($AI$2:$AI$1001,MATCH(ROWS($AG$2:AG929),$AG$2:$AG$1001,0),0), INDEX($AN$1004:$BO$1004,1,MATCH(COLUMNS($AN$1006:BM1006),$AN$1006:$BO$1006,0)))),"Fix")))</f>
        <v>0</v>
      </c>
      <c r="AB929" s="4">
        <f>IF(OR(INDEX($AH$2:$AH$1001,MATCH(ROWS($AG$2:AG929),$AG$2:$AG$1001,0),1)&gt;=100000,INDEX($AN$1005:$BO$1005,1,MATCH(COLUMNS($AN$1006:BN1006),$AN$1006:$BO$1006,0))&gt;=100000), " ",IF(INDEX($AN$2:$BO$1001,MATCH(ROWS($AG$2:AG929),$AG$2:$AG$1001,0),MATCH(COLUMNS($AN$1006:BN1006),$AN$1006:$BO$1006,0)), HYPERLINK("#",""), HYPERLINK(CONCATENATE("#Metadata!", ADDRESS(INDEX($AI$2:$AI$1001,MATCH(ROWS($AG$2:AG929),$AG$2:$AG$1001,0),0), INDEX($AN$1004:$BO$1004,1,MATCH(COLUMNS($AN$1006:BN1006),$AN$1006:$BO$1006,0)))),"Fix")))</f>
        <v>0</v>
      </c>
      <c r="AC929" s="4">
        <f>IF(OR(INDEX($AH$2:$AH$1001,MATCH(ROWS($AG$2:AG929),$AG$2:$AG$1001,0),1)&gt;=100000,INDEX($AN$1005:$BO$1005,1,MATCH(COLUMNS($AN$1006:BO1006),$AN$1006:$BO$1006,0))&gt;=100000), " ",IF(INDEX($AN$2:$BO$1001,MATCH(ROWS($AG$2:AG929),$AG$2:$AG$1001,0),MATCH(COLUMNS($AN$1006:BO1006),$AN$1006:$BO$1006,0)), HYPERLINK("#",""), HYPERLINK(CONCATENATE("#Metadata!", ADDRESS(INDEX($AI$2:$AI$1001,MATCH(ROWS($AG$2:AG929),$AG$2:$AG$1001,0),0), INDEX($AN$1004:$BO$1004,1,MATCH(COLUMNS($AN$1006:BO1006),$AN$1006:$BO$1006,0)))),"Fix")))</f>
        <v>0</v>
      </c>
      <c r="AG929">
        <v>0</v>
      </c>
      <c r="AH929">
        <v>0</v>
      </c>
      <c r="AI929">
        <v>0</v>
      </c>
      <c r="AJ929">
        <f>IF(AK929,TRUE,AND(AN929:BO929))</f>
        <v>0</v>
      </c>
      <c r="AK929">
        <f>COUNTBLANK(Metadata!B929:AC929)=COLUMNS(Metadata!B929:AC929)</f>
        <v>0</v>
      </c>
      <c r="AL929">
        <v>0</v>
      </c>
      <c r="AN929">
        <f>AND(IF(Metadata!B929="",FALSE,TRUE),COUNTIF(Metadata!B:B, Metadata!B929) = 1,NOT(ISERROR(SUMPRODUCT(SEARCH(MID(Metadata!B929,ROW(INDIRECT("1:"&amp;LEN(Metadata!B929))), 1),"0123456789abcdefghijklmnopqrstuvwxyzABCDEFGHIJKLMNOPQRSTUVWXYZ.")))))</f>
        <v>0</v>
      </c>
      <c r="AO929">
        <f>IF(Metadata!C929="",FALSE,TRUE)</f>
        <v>0</v>
      </c>
      <c r="AP929">
        <f>IF(Metadata!D929="",FALSE,TRUE)</f>
        <v>0</v>
      </c>
      <c r="AQ929">
        <f>OR(AND(IF(Metadata!E929="",FALSE,TRUE),OR(exact(Metadata!E929,"not collected"),exact(Metadata!E929,"not provided"),exact(Metadata!E929,"restricted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R929">
        <f>IF(Metadata!F929="",FALSE,TRUE)</f>
        <v>0</v>
      </c>
      <c r="AS929">
        <f>OR(AND(IF(Metadata!G929="",FALSE,TRUE),OR(exact(Metadata!G929,"not collected"),exact(Metadata!G929,"not provided"))),AND(IF(Metadata!G929="",FALSE,TRUE),OR(exact(Metadata!G929,"TRUE"),exact(Metadata!G929,"FALSE"))))</f>
        <v>0</v>
      </c>
      <c r="AT929">
        <f>OR(AND(IF(Metadata!H929="",FALSE,TRUE),OR(exact(Metadata!H929,"not collected"),exact(Metadata!H929,"not provided"),exact(Metadata!H929,"restricted access"))),AND(IF(Metadata!H929="",FALSE,ISNUMBER(VALUE(Metadata!H929))),Metadata!H929&gt;=-413.0))</f>
        <v>0</v>
      </c>
      <c r="AU929">
        <f>AND(IF(Metadata!I929="",FALSE,TRUE),exact(Metadata!I929,"meters"))</f>
        <v>0</v>
      </c>
      <c r="AV929">
        <f>AND(IF(Metadata!J929="",FALSE,TRUE),OR(exact(Metadata!J929,"Host-associated"),exact(Metadata!J929,"Free-living")))</f>
        <v>0</v>
      </c>
      <c r="AW929">
        <f>AND(IF(Metadata!K929="",FALSE,TRUE),OR(exact(Metadata!K929,"Animal"),exact(Metadata!K929,"Fungus"),exact(Metadata!K929,"Plant"),exact(Metadata!K929,"Saline"),exact(Metadata!K929,"Non-saline")))</f>
        <v>0</v>
      </c>
      <c r="AX929">
        <f>AND(IF(Metadata!L929="",FALSE,TRUE),OR(exact(Metadata!L929,"Plant secretion"),exact(Metadata!L929,"Plant rhizosphere"),exact(Metadata!L929,"Plant surface"),exact(Metadata!L929,"Plant corpus"),exact(Metadata!L929,"Fungus surface"),exact(Metadata!L929,"Fungus corpus"),exact(Metadata!L929,"Animal surface"),exact(Metadata!L929,"Animal proximal gut"),exact(Metadata!L929,"Animal corpus"),exact(Metadata!L929,"Animal distal gut"),exact(Metadata!L929,"Animal secretion"),exact(Metadata!L929,"Sub-surface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Y929">
        <f>IF(Metadata!M929="",FALSE,TRUE)</f>
        <v>0</v>
      </c>
      <c r="AZ929">
        <f>IF(Metadata!N929="",FALSE,TRUE)</f>
        <v>0</v>
      </c>
      <c r="BA929">
        <f>IF(Metadata!O929="",FALSE,TRUE)</f>
        <v>0</v>
      </c>
      <c r="BB929">
        <f>OR(AND(IF(Metadata!P929="",FALSE,TRUE),OR(exact(Metadata!P929,"not collected"),exact(Metadata!P929,"not provided"),exact(Metadata!P929,"restricted access"))),AND(IF(Metadata!P929="",FALSE,TRUE),OR(exact(Metadata!P929,"air"),exact(Metadata!P929,"built environment"),exact(Metadata!P929,"host-associated"),exact(Metadata!P929,"human-associated"),exact(Metadata!P929,"human-skin"),exact(Metadata!P929,"human-oral"),exact(Metadata!P929,"human-gut"),exact(Metadata!P929,"human-vaginal"),exact(Metadata!P929,"microbial mat/biofilm"),exact(Metadata!P929,"misc environment"),exact(Metadata!P929,"plant-associated"),exact(Metadata!P929,"sediment"),exact(Metadata!P929,"soil"),exact(Metadata!P929,"wastewater/sludge"),exact(Metadata!P929,"water"))))</f>
        <v>0</v>
      </c>
      <c r="BC929">
        <f>IF(Metadata!Q929="",FALSE,TRUE)</f>
        <v>0</v>
      </c>
      <c r="BD929">
        <f>IF(Metadata!R929="",FALSE,TRUE)</f>
        <v>0</v>
      </c>
      <c r="BE929">
        <f>OR(AND(IF(Metadata!S929="",FALSE,TRUE),OR(exact(Metadata!S929,"not collected"),exact(Metadata!S929,"not provided"),exact(Metadata!S929,"restricted access"))),AND(IF(Metadata!S929="",FALSE,ISNUMBER(VALUE(Metadata!S929))),Metadata!S929&gt;=-90.00,Metadata!S929&lt;=90.00))</f>
        <v>0</v>
      </c>
      <c r="BF929">
        <f>AND(IF(Metadata!T929="",FALSE,TRUE),exact(Metadata!T929,"Decimal degrees"))</f>
        <v>0</v>
      </c>
      <c r="BG929">
        <f>OR(AND(IF(Metadata!U929="",FALSE,TRUE),OR(exact(Metadata!U929,"not collected"),exact(Metadata!U929,"not provided"),exact(Metadata!U929,"restricted access"))),AND(IF(Metadata!U929="",FALSE,ISNUMBER(VALUE(Metadata!U929))),Metadata!U929&gt;=-180.00,Metadata!U929&lt;=180.00))</f>
        <v>0</v>
      </c>
      <c r="BH929">
        <f>AND(IF(Metadata!V929="",FALSE,TRUE),exact(Metadata!V929,"Decimal degrees"))</f>
        <v>0</v>
      </c>
      <c r="BI929">
        <f>IF(Metadata!W929="",FALSE,TRUE)</f>
        <v>0</v>
      </c>
      <c r="BJ929">
        <f>OR(AND(IF(Metadata!X929="",FALSE,TRUE),OR(exact(Metadata!X929,"not collected"),exact(Metadata!X929,"not provided"),exact(Metadata!X929,"restricted access"))),AND(IF(Metadata!X929="",FALSE,TRUE),OR(exact(Metadata!X929,"TRUE"),exact(Metadata!X929,"FALSE"))))</f>
        <v>0</v>
      </c>
      <c r="BK929">
        <f>AND(IF(Metadata!Y929="",FALSE,TRUE),exact(Metadata!Y929,"other"))</f>
        <v>0</v>
      </c>
      <c r="BL929">
        <f>IF(Metadata!Z929="",FALSE,TRUE)</f>
        <v>0</v>
      </c>
      <c r="BM929">
        <f>OR(AND(IF(Metadata!AA929="",FALSE,TRUE),OR(exact(Metadata!AA929,"not collected"),exact(Metadata!AA929,"not provided"))),AND(IF(Metadata!AA929="",FALSE,IF(ISERROR(INT(Metadata!AA929)),FALSE,INT(Metadata!AA929)=Metadata!AA929)),Metadata!AA929&gt;0))</f>
        <v>0</v>
      </c>
      <c r="BN929">
        <f>AND(IF(Metadata!AB929="",FALSE,TRUE),exact(Metadata!AB929,"Not applicable"))</f>
        <v>0</v>
      </c>
      <c r="BO929">
        <f>IF(Metadata!AC929="",FALSE,TRUE)</f>
        <v>0</v>
      </c>
    </row>
    <row r="930" spans="1:67">
      <c r="A930" s="5">
        <f>IF(B930=" "," ",HYPERLINK(CONCATENATE("#metadata!",ADDRESS(INDEX($AI$2:$AI$1001,MATCH(ROWS($AG$2:AG930),$AG$2:$AG$1001,0),0),1)),INDEX($AL$2:$AL$1001,MATCH(ROWS($AG$2:AG930),$AG$2:$AG$1001,0),0)))</f>
        <v>0</v>
      </c>
      <c r="B930" s="4">
        <f>IF(OR(INDEX($AH$2:$AH$1001,MATCH(ROWS($AG$2:AG930),$AG$2:$AG$1001,0),1)&gt;=100000,INDEX($AN$1005:$BO$1005,1,MATCH(COLUMNS($AN$1006:AN1006),$AN$1006:$BO$1006,0))&gt;=100000), " ",IF(INDEX($AN$2:$BO$1001,MATCH(ROWS($AG$2:AG930),$AG$2:$AG$1001,0),MATCH(COLUMNS($AN$1006:AN1006),$AN$1006:$BO$1006,0)), HYPERLINK("#",""), HYPERLINK(CONCATENATE("#Metadata!", ADDRESS(INDEX($AI$2:$AI$1001,MATCH(ROWS($AG$2:AG930),$AG$2:$AG$1001,0),0), INDEX($AN$1004:$BO$1004,1,MATCH(COLUMNS($AN$1006:AN1006),$AN$1006:$BO$1006,0)))),"Fix")))</f>
        <v>0</v>
      </c>
      <c r="C930" s="4">
        <f>IF(OR(INDEX($AH$2:$AH$1001,MATCH(ROWS($AG$2:AG930),$AG$2:$AG$1001,0),1)&gt;=100000,INDEX($AN$1005:$BO$1005,1,MATCH(COLUMNS($AN$1006:AO1006),$AN$1006:$BO$1006,0))&gt;=100000), " ",IF(INDEX($AN$2:$BO$1001,MATCH(ROWS($AG$2:AG930),$AG$2:$AG$1001,0),MATCH(COLUMNS($AN$1006:AO1006),$AN$1006:$BO$1006,0)), HYPERLINK("#",""), HYPERLINK(CONCATENATE("#Metadata!", ADDRESS(INDEX($AI$2:$AI$1001,MATCH(ROWS($AG$2:AG930),$AG$2:$AG$1001,0),0), INDEX($AN$1004:$BO$1004,1,MATCH(COLUMNS($AN$1006:AO1006),$AN$1006:$BO$1006,0)))),"Fix")))</f>
        <v>0</v>
      </c>
      <c r="D930" s="4">
        <f>IF(OR(INDEX($AH$2:$AH$1001,MATCH(ROWS($AG$2:AG930),$AG$2:$AG$1001,0),1)&gt;=100000,INDEX($AN$1005:$BO$1005,1,MATCH(COLUMNS($AN$1006:AP1006),$AN$1006:$BO$1006,0))&gt;=100000), " ",IF(INDEX($AN$2:$BO$1001,MATCH(ROWS($AG$2:AG930),$AG$2:$AG$1001,0),MATCH(COLUMNS($AN$1006:AP1006),$AN$1006:$BO$1006,0)), HYPERLINK("#",""), HYPERLINK(CONCATENATE("#Metadata!", ADDRESS(INDEX($AI$2:$AI$1001,MATCH(ROWS($AG$2:AG930),$AG$2:$AG$1001,0),0), INDEX($AN$1004:$BO$1004,1,MATCH(COLUMNS($AN$1006:AP1006),$AN$1006:$BO$1006,0)))),"Fix")))</f>
        <v>0</v>
      </c>
      <c r="E930" s="4">
        <f>IF(OR(INDEX($AH$2:$AH$1001,MATCH(ROWS($AG$2:AG930),$AG$2:$AG$1001,0),1)&gt;=100000,INDEX($AN$1005:$BO$1005,1,MATCH(COLUMNS($AN$1006:AQ1006),$AN$1006:$BO$1006,0))&gt;=100000), " ",IF(INDEX($AN$2:$BO$1001,MATCH(ROWS($AG$2:AG930),$AG$2:$AG$1001,0),MATCH(COLUMNS($AN$1006:AQ1006),$AN$1006:$BO$1006,0)), HYPERLINK("#",""), HYPERLINK(CONCATENATE("#Metadata!", ADDRESS(INDEX($AI$2:$AI$1001,MATCH(ROWS($AG$2:AG930),$AG$2:$AG$1001,0),0), INDEX($AN$1004:$BO$1004,1,MATCH(COLUMNS($AN$1006:AQ1006),$AN$1006:$BO$1006,0)))),"Fix")))</f>
        <v>0</v>
      </c>
      <c r="F930" s="4">
        <f>IF(OR(INDEX($AH$2:$AH$1001,MATCH(ROWS($AG$2:AG930),$AG$2:$AG$1001,0),1)&gt;=100000,INDEX($AN$1005:$BO$1005,1,MATCH(COLUMNS($AN$1006:AR1006),$AN$1006:$BO$1006,0))&gt;=100000), " ",IF(INDEX($AN$2:$BO$1001,MATCH(ROWS($AG$2:AG930),$AG$2:$AG$1001,0),MATCH(COLUMNS($AN$1006:AR1006),$AN$1006:$BO$1006,0)), HYPERLINK("#",""), HYPERLINK(CONCATENATE("#Metadata!", ADDRESS(INDEX($AI$2:$AI$1001,MATCH(ROWS($AG$2:AG930),$AG$2:$AG$1001,0),0), INDEX($AN$1004:$BO$1004,1,MATCH(COLUMNS($AN$1006:AR1006),$AN$1006:$BO$1006,0)))),"Fix")))</f>
        <v>0</v>
      </c>
      <c r="G930" s="4">
        <f>IF(OR(INDEX($AH$2:$AH$1001,MATCH(ROWS($AG$2:AG930),$AG$2:$AG$1001,0),1)&gt;=100000,INDEX($AN$1005:$BO$1005,1,MATCH(COLUMNS($AN$1006:AS1006),$AN$1006:$BO$1006,0))&gt;=100000), " ",IF(INDEX($AN$2:$BO$1001,MATCH(ROWS($AG$2:AG930),$AG$2:$AG$1001,0),MATCH(COLUMNS($AN$1006:AS1006),$AN$1006:$BO$1006,0)), HYPERLINK("#",""), HYPERLINK(CONCATENATE("#Metadata!", ADDRESS(INDEX($AI$2:$AI$1001,MATCH(ROWS($AG$2:AG930),$AG$2:$AG$1001,0),0), INDEX($AN$1004:$BO$1004,1,MATCH(COLUMNS($AN$1006:AS1006),$AN$1006:$BO$1006,0)))),"Fix")))</f>
        <v>0</v>
      </c>
      <c r="H930" s="4">
        <f>IF(OR(INDEX($AH$2:$AH$1001,MATCH(ROWS($AG$2:AG930),$AG$2:$AG$1001,0),1)&gt;=100000,INDEX($AN$1005:$BO$1005,1,MATCH(COLUMNS($AN$1006:AT1006),$AN$1006:$BO$1006,0))&gt;=100000), " ",IF(INDEX($AN$2:$BO$1001,MATCH(ROWS($AG$2:AG930),$AG$2:$AG$1001,0),MATCH(COLUMNS($AN$1006:AT1006),$AN$1006:$BO$1006,0)), HYPERLINK("#",""), HYPERLINK(CONCATENATE("#Metadata!", ADDRESS(INDEX($AI$2:$AI$1001,MATCH(ROWS($AG$2:AG930),$AG$2:$AG$1001,0),0), INDEX($AN$1004:$BO$1004,1,MATCH(COLUMNS($AN$1006:AT1006),$AN$1006:$BO$1006,0)))),"Fix")))</f>
        <v>0</v>
      </c>
      <c r="I930" s="4">
        <f>IF(OR(INDEX($AH$2:$AH$1001,MATCH(ROWS($AG$2:AG930),$AG$2:$AG$1001,0),1)&gt;=100000,INDEX($AN$1005:$BO$1005,1,MATCH(COLUMNS($AN$1006:AU1006),$AN$1006:$BO$1006,0))&gt;=100000), " ",IF(INDEX($AN$2:$BO$1001,MATCH(ROWS($AG$2:AG930),$AG$2:$AG$1001,0),MATCH(COLUMNS($AN$1006:AU1006),$AN$1006:$BO$1006,0)), HYPERLINK("#",""), HYPERLINK(CONCATENATE("#Metadata!", ADDRESS(INDEX($AI$2:$AI$1001,MATCH(ROWS($AG$2:AG930),$AG$2:$AG$1001,0),0), INDEX($AN$1004:$BO$1004,1,MATCH(COLUMNS($AN$1006:AU1006),$AN$1006:$BO$1006,0)))),"Fix")))</f>
        <v>0</v>
      </c>
      <c r="J930" s="4">
        <f>IF(OR(INDEX($AH$2:$AH$1001,MATCH(ROWS($AG$2:AG930),$AG$2:$AG$1001,0),1)&gt;=100000,INDEX($AN$1005:$BO$1005,1,MATCH(COLUMNS($AN$1006:AV1006),$AN$1006:$BO$1006,0))&gt;=100000), " ",IF(INDEX($AN$2:$BO$1001,MATCH(ROWS($AG$2:AG930),$AG$2:$AG$1001,0),MATCH(COLUMNS($AN$1006:AV1006),$AN$1006:$BO$1006,0)), HYPERLINK("#",""), HYPERLINK(CONCATENATE("#Metadata!", ADDRESS(INDEX($AI$2:$AI$1001,MATCH(ROWS($AG$2:AG930),$AG$2:$AG$1001,0),0), INDEX($AN$1004:$BO$1004,1,MATCH(COLUMNS($AN$1006:AV1006),$AN$1006:$BO$1006,0)))),"Fix")))</f>
        <v>0</v>
      </c>
      <c r="K930" s="4">
        <f>IF(OR(INDEX($AH$2:$AH$1001,MATCH(ROWS($AG$2:AG930),$AG$2:$AG$1001,0),1)&gt;=100000,INDEX($AN$1005:$BO$1005,1,MATCH(COLUMNS($AN$1006:AW1006),$AN$1006:$BO$1006,0))&gt;=100000), " ",IF(INDEX($AN$2:$BO$1001,MATCH(ROWS($AG$2:AG930),$AG$2:$AG$1001,0),MATCH(COLUMNS($AN$1006:AW1006),$AN$1006:$BO$1006,0)), HYPERLINK("#",""), HYPERLINK(CONCATENATE("#Metadata!", ADDRESS(INDEX($AI$2:$AI$1001,MATCH(ROWS($AG$2:AG930),$AG$2:$AG$1001,0),0), INDEX($AN$1004:$BO$1004,1,MATCH(COLUMNS($AN$1006:AW1006),$AN$1006:$BO$1006,0)))),"Fix")))</f>
        <v>0</v>
      </c>
      <c r="L930" s="4">
        <f>IF(OR(INDEX($AH$2:$AH$1001,MATCH(ROWS($AG$2:AG930),$AG$2:$AG$1001,0),1)&gt;=100000,INDEX($AN$1005:$BO$1005,1,MATCH(COLUMNS($AN$1006:AX1006),$AN$1006:$BO$1006,0))&gt;=100000), " ",IF(INDEX($AN$2:$BO$1001,MATCH(ROWS($AG$2:AG930),$AG$2:$AG$1001,0),MATCH(COLUMNS($AN$1006:AX1006),$AN$1006:$BO$1006,0)), HYPERLINK("#",""), HYPERLINK(CONCATENATE("#Metadata!", ADDRESS(INDEX($AI$2:$AI$1001,MATCH(ROWS($AG$2:AG930),$AG$2:$AG$1001,0),0), INDEX($AN$1004:$BO$1004,1,MATCH(COLUMNS($AN$1006:AX1006),$AN$1006:$BO$1006,0)))),"Fix")))</f>
        <v>0</v>
      </c>
      <c r="M930" s="4">
        <f>IF(OR(INDEX($AH$2:$AH$1001,MATCH(ROWS($AG$2:AG930),$AG$2:$AG$1001,0),1)&gt;=100000,INDEX($AN$1005:$BO$1005,1,MATCH(COLUMNS($AN$1006:AY1006),$AN$1006:$BO$1006,0))&gt;=100000), " ",IF(INDEX($AN$2:$BO$1001,MATCH(ROWS($AG$2:AG930),$AG$2:$AG$1001,0),MATCH(COLUMNS($AN$1006:AY1006),$AN$1006:$BO$1006,0)), HYPERLINK("#",""), HYPERLINK(CONCATENATE("#Metadata!", ADDRESS(INDEX($AI$2:$AI$1001,MATCH(ROWS($AG$2:AG930),$AG$2:$AG$1001,0),0), INDEX($AN$1004:$BO$1004,1,MATCH(COLUMNS($AN$1006:AY1006),$AN$1006:$BO$1006,0)))),"Fix")))</f>
        <v>0</v>
      </c>
      <c r="N930" s="4">
        <f>IF(OR(INDEX($AH$2:$AH$1001,MATCH(ROWS($AG$2:AG930),$AG$2:$AG$1001,0),1)&gt;=100000,INDEX($AN$1005:$BO$1005,1,MATCH(COLUMNS($AN$1006:AZ1006),$AN$1006:$BO$1006,0))&gt;=100000), " ",IF(INDEX($AN$2:$BO$1001,MATCH(ROWS($AG$2:AG930),$AG$2:$AG$1001,0),MATCH(COLUMNS($AN$1006:AZ1006),$AN$1006:$BO$1006,0)), HYPERLINK("#",""), HYPERLINK(CONCATENATE("#Metadata!", ADDRESS(INDEX($AI$2:$AI$1001,MATCH(ROWS($AG$2:AG930),$AG$2:$AG$1001,0),0), INDEX($AN$1004:$BO$1004,1,MATCH(COLUMNS($AN$1006:AZ1006),$AN$1006:$BO$1006,0)))),"Fix")))</f>
        <v>0</v>
      </c>
      <c r="O930" s="4">
        <f>IF(OR(INDEX($AH$2:$AH$1001,MATCH(ROWS($AG$2:AG930),$AG$2:$AG$1001,0),1)&gt;=100000,INDEX($AN$1005:$BO$1005,1,MATCH(COLUMNS($AN$1006:BA1006),$AN$1006:$BO$1006,0))&gt;=100000), " ",IF(INDEX($AN$2:$BO$1001,MATCH(ROWS($AG$2:AG930),$AG$2:$AG$1001,0),MATCH(COLUMNS($AN$1006:BA1006),$AN$1006:$BO$1006,0)), HYPERLINK("#",""), HYPERLINK(CONCATENATE("#Metadata!", ADDRESS(INDEX($AI$2:$AI$1001,MATCH(ROWS($AG$2:AG930),$AG$2:$AG$1001,0),0), INDEX($AN$1004:$BO$1004,1,MATCH(COLUMNS($AN$1006:BA1006),$AN$1006:$BO$1006,0)))),"Fix")))</f>
        <v>0</v>
      </c>
      <c r="P930" s="4">
        <f>IF(OR(INDEX($AH$2:$AH$1001,MATCH(ROWS($AG$2:AG930),$AG$2:$AG$1001,0),1)&gt;=100000,INDEX($AN$1005:$BO$1005,1,MATCH(COLUMNS($AN$1006:BB1006),$AN$1006:$BO$1006,0))&gt;=100000), " ",IF(INDEX($AN$2:$BO$1001,MATCH(ROWS($AG$2:AG930),$AG$2:$AG$1001,0),MATCH(COLUMNS($AN$1006:BB1006),$AN$1006:$BO$1006,0)), HYPERLINK("#",""), HYPERLINK(CONCATENATE("#Metadata!", ADDRESS(INDEX($AI$2:$AI$1001,MATCH(ROWS($AG$2:AG930),$AG$2:$AG$1001,0),0), INDEX($AN$1004:$BO$1004,1,MATCH(COLUMNS($AN$1006:BB1006),$AN$1006:$BO$1006,0)))),"Fix")))</f>
        <v>0</v>
      </c>
      <c r="Q930" s="4">
        <f>IF(OR(INDEX($AH$2:$AH$1001,MATCH(ROWS($AG$2:AG930),$AG$2:$AG$1001,0),1)&gt;=100000,INDEX($AN$1005:$BO$1005,1,MATCH(COLUMNS($AN$1006:BC1006),$AN$1006:$BO$1006,0))&gt;=100000), " ",IF(INDEX($AN$2:$BO$1001,MATCH(ROWS($AG$2:AG930),$AG$2:$AG$1001,0),MATCH(COLUMNS($AN$1006:BC1006),$AN$1006:$BO$1006,0)), HYPERLINK("#",""), HYPERLINK(CONCATENATE("#Metadata!", ADDRESS(INDEX($AI$2:$AI$1001,MATCH(ROWS($AG$2:AG930),$AG$2:$AG$1001,0),0), INDEX($AN$1004:$BO$1004,1,MATCH(COLUMNS($AN$1006:BC1006),$AN$1006:$BO$1006,0)))),"Fix")))</f>
        <v>0</v>
      </c>
      <c r="R930" s="4">
        <f>IF(OR(INDEX($AH$2:$AH$1001,MATCH(ROWS($AG$2:AG930),$AG$2:$AG$1001,0),1)&gt;=100000,INDEX($AN$1005:$BO$1005,1,MATCH(COLUMNS($AN$1006:BD1006),$AN$1006:$BO$1006,0))&gt;=100000), " ",IF(INDEX($AN$2:$BO$1001,MATCH(ROWS($AG$2:AG930),$AG$2:$AG$1001,0),MATCH(COLUMNS($AN$1006:BD1006),$AN$1006:$BO$1006,0)), HYPERLINK("#",""), HYPERLINK(CONCATENATE("#Metadata!", ADDRESS(INDEX($AI$2:$AI$1001,MATCH(ROWS($AG$2:AG930),$AG$2:$AG$1001,0),0), INDEX($AN$1004:$BO$1004,1,MATCH(COLUMNS($AN$1006:BD1006),$AN$1006:$BO$1006,0)))),"Fix")))</f>
        <v>0</v>
      </c>
      <c r="S930" s="4">
        <f>IF(OR(INDEX($AH$2:$AH$1001,MATCH(ROWS($AG$2:AG930),$AG$2:$AG$1001,0),1)&gt;=100000,INDEX($AN$1005:$BO$1005,1,MATCH(COLUMNS($AN$1006:BE1006),$AN$1006:$BO$1006,0))&gt;=100000), " ",IF(INDEX($AN$2:$BO$1001,MATCH(ROWS($AG$2:AG930),$AG$2:$AG$1001,0),MATCH(COLUMNS($AN$1006:BE1006),$AN$1006:$BO$1006,0)), HYPERLINK("#",""), HYPERLINK(CONCATENATE("#Metadata!", ADDRESS(INDEX($AI$2:$AI$1001,MATCH(ROWS($AG$2:AG930),$AG$2:$AG$1001,0),0), INDEX($AN$1004:$BO$1004,1,MATCH(COLUMNS($AN$1006:BE1006),$AN$1006:$BO$1006,0)))),"Fix")))</f>
        <v>0</v>
      </c>
      <c r="T930" s="4">
        <f>IF(OR(INDEX($AH$2:$AH$1001,MATCH(ROWS($AG$2:AG930),$AG$2:$AG$1001,0),1)&gt;=100000,INDEX($AN$1005:$BO$1005,1,MATCH(COLUMNS($AN$1006:BF1006),$AN$1006:$BO$1006,0))&gt;=100000), " ",IF(INDEX($AN$2:$BO$1001,MATCH(ROWS($AG$2:AG930),$AG$2:$AG$1001,0),MATCH(COLUMNS($AN$1006:BF1006),$AN$1006:$BO$1006,0)), HYPERLINK("#",""), HYPERLINK(CONCATENATE("#Metadata!", ADDRESS(INDEX($AI$2:$AI$1001,MATCH(ROWS($AG$2:AG930),$AG$2:$AG$1001,0),0), INDEX($AN$1004:$BO$1004,1,MATCH(COLUMNS($AN$1006:BF1006),$AN$1006:$BO$1006,0)))),"Fix")))</f>
        <v>0</v>
      </c>
      <c r="U930" s="4">
        <f>IF(OR(INDEX($AH$2:$AH$1001,MATCH(ROWS($AG$2:AG930),$AG$2:$AG$1001,0),1)&gt;=100000,INDEX($AN$1005:$BO$1005,1,MATCH(COLUMNS($AN$1006:BG1006),$AN$1006:$BO$1006,0))&gt;=100000), " ",IF(INDEX($AN$2:$BO$1001,MATCH(ROWS($AG$2:AG930),$AG$2:$AG$1001,0),MATCH(COLUMNS($AN$1006:BG1006),$AN$1006:$BO$1006,0)), HYPERLINK("#",""), HYPERLINK(CONCATENATE("#Metadata!", ADDRESS(INDEX($AI$2:$AI$1001,MATCH(ROWS($AG$2:AG930),$AG$2:$AG$1001,0),0), INDEX($AN$1004:$BO$1004,1,MATCH(COLUMNS($AN$1006:BG1006),$AN$1006:$BO$1006,0)))),"Fix")))</f>
        <v>0</v>
      </c>
      <c r="V930" s="4">
        <f>IF(OR(INDEX($AH$2:$AH$1001,MATCH(ROWS($AG$2:AG930),$AG$2:$AG$1001,0),1)&gt;=100000,INDEX($AN$1005:$BO$1005,1,MATCH(COLUMNS($AN$1006:BH1006),$AN$1006:$BO$1006,0))&gt;=100000), " ",IF(INDEX($AN$2:$BO$1001,MATCH(ROWS($AG$2:AG930),$AG$2:$AG$1001,0),MATCH(COLUMNS($AN$1006:BH1006),$AN$1006:$BO$1006,0)), HYPERLINK("#",""), HYPERLINK(CONCATENATE("#Metadata!", ADDRESS(INDEX($AI$2:$AI$1001,MATCH(ROWS($AG$2:AG930),$AG$2:$AG$1001,0),0), INDEX($AN$1004:$BO$1004,1,MATCH(COLUMNS($AN$1006:BH1006),$AN$1006:$BO$1006,0)))),"Fix")))</f>
        <v>0</v>
      </c>
      <c r="W930" s="4">
        <f>IF(OR(INDEX($AH$2:$AH$1001,MATCH(ROWS($AG$2:AG930),$AG$2:$AG$1001,0),1)&gt;=100000,INDEX($AN$1005:$BO$1005,1,MATCH(COLUMNS($AN$1006:BI1006),$AN$1006:$BO$1006,0))&gt;=100000), " ",IF(INDEX($AN$2:$BO$1001,MATCH(ROWS($AG$2:AG930),$AG$2:$AG$1001,0),MATCH(COLUMNS($AN$1006:BI1006),$AN$1006:$BO$1006,0)), HYPERLINK("#",""), HYPERLINK(CONCATENATE("#Metadata!", ADDRESS(INDEX($AI$2:$AI$1001,MATCH(ROWS($AG$2:AG930),$AG$2:$AG$1001,0),0), INDEX($AN$1004:$BO$1004,1,MATCH(COLUMNS($AN$1006:BI1006),$AN$1006:$BO$1006,0)))),"Fix")))</f>
        <v>0</v>
      </c>
      <c r="X930" s="4">
        <f>IF(OR(INDEX($AH$2:$AH$1001,MATCH(ROWS($AG$2:AG930),$AG$2:$AG$1001,0),1)&gt;=100000,INDEX($AN$1005:$BO$1005,1,MATCH(COLUMNS($AN$1006:BJ1006),$AN$1006:$BO$1006,0))&gt;=100000), " ",IF(INDEX($AN$2:$BO$1001,MATCH(ROWS($AG$2:AG930),$AG$2:$AG$1001,0),MATCH(COLUMNS($AN$1006:BJ1006),$AN$1006:$BO$1006,0)), HYPERLINK("#",""), HYPERLINK(CONCATENATE("#Metadata!", ADDRESS(INDEX($AI$2:$AI$1001,MATCH(ROWS($AG$2:AG930),$AG$2:$AG$1001,0),0), INDEX($AN$1004:$BO$1004,1,MATCH(COLUMNS($AN$1006:BJ1006),$AN$1006:$BO$1006,0)))),"Fix")))</f>
        <v>0</v>
      </c>
      <c r="Y930" s="4">
        <f>IF(OR(INDEX($AH$2:$AH$1001,MATCH(ROWS($AG$2:AG930),$AG$2:$AG$1001,0),1)&gt;=100000,INDEX($AN$1005:$BO$1005,1,MATCH(COLUMNS($AN$1006:BK1006),$AN$1006:$BO$1006,0))&gt;=100000), " ",IF(INDEX($AN$2:$BO$1001,MATCH(ROWS($AG$2:AG930),$AG$2:$AG$1001,0),MATCH(COLUMNS($AN$1006:BK1006),$AN$1006:$BO$1006,0)), HYPERLINK("#",""), HYPERLINK(CONCATENATE("#Metadata!", ADDRESS(INDEX($AI$2:$AI$1001,MATCH(ROWS($AG$2:AG930),$AG$2:$AG$1001,0),0), INDEX($AN$1004:$BO$1004,1,MATCH(COLUMNS($AN$1006:BK1006),$AN$1006:$BO$1006,0)))),"Fix")))</f>
        <v>0</v>
      </c>
      <c r="Z930" s="4">
        <f>IF(OR(INDEX($AH$2:$AH$1001,MATCH(ROWS($AG$2:AG930),$AG$2:$AG$1001,0),1)&gt;=100000,INDEX($AN$1005:$BO$1005,1,MATCH(COLUMNS($AN$1006:BL1006),$AN$1006:$BO$1006,0))&gt;=100000), " ",IF(INDEX($AN$2:$BO$1001,MATCH(ROWS($AG$2:AG930),$AG$2:$AG$1001,0),MATCH(COLUMNS($AN$1006:BL1006),$AN$1006:$BO$1006,0)), HYPERLINK("#",""), HYPERLINK(CONCATENATE("#Metadata!", ADDRESS(INDEX($AI$2:$AI$1001,MATCH(ROWS($AG$2:AG930),$AG$2:$AG$1001,0),0), INDEX($AN$1004:$BO$1004,1,MATCH(COLUMNS($AN$1006:BL1006),$AN$1006:$BO$1006,0)))),"Fix")))</f>
        <v>0</v>
      </c>
      <c r="AA930" s="4">
        <f>IF(OR(INDEX($AH$2:$AH$1001,MATCH(ROWS($AG$2:AG930),$AG$2:$AG$1001,0),1)&gt;=100000,INDEX($AN$1005:$BO$1005,1,MATCH(COLUMNS($AN$1006:BM1006),$AN$1006:$BO$1006,0))&gt;=100000), " ",IF(INDEX($AN$2:$BO$1001,MATCH(ROWS($AG$2:AG930),$AG$2:$AG$1001,0),MATCH(COLUMNS($AN$1006:BM1006),$AN$1006:$BO$1006,0)), HYPERLINK("#",""), HYPERLINK(CONCATENATE("#Metadata!", ADDRESS(INDEX($AI$2:$AI$1001,MATCH(ROWS($AG$2:AG930),$AG$2:$AG$1001,0),0), INDEX($AN$1004:$BO$1004,1,MATCH(COLUMNS($AN$1006:BM1006),$AN$1006:$BO$1006,0)))),"Fix")))</f>
        <v>0</v>
      </c>
      <c r="AB930" s="4">
        <f>IF(OR(INDEX($AH$2:$AH$1001,MATCH(ROWS($AG$2:AG930),$AG$2:$AG$1001,0),1)&gt;=100000,INDEX($AN$1005:$BO$1005,1,MATCH(COLUMNS($AN$1006:BN1006),$AN$1006:$BO$1006,0))&gt;=100000), " ",IF(INDEX($AN$2:$BO$1001,MATCH(ROWS($AG$2:AG930),$AG$2:$AG$1001,0),MATCH(COLUMNS($AN$1006:BN1006),$AN$1006:$BO$1006,0)), HYPERLINK("#",""), HYPERLINK(CONCATENATE("#Metadata!", ADDRESS(INDEX($AI$2:$AI$1001,MATCH(ROWS($AG$2:AG930),$AG$2:$AG$1001,0),0), INDEX($AN$1004:$BO$1004,1,MATCH(COLUMNS($AN$1006:BN1006),$AN$1006:$BO$1006,0)))),"Fix")))</f>
        <v>0</v>
      </c>
      <c r="AC930" s="4">
        <f>IF(OR(INDEX($AH$2:$AH$1001,MATCH(ROWS($AG$2:AG930),$AG$2:$AG$1001,0),1)&gt;=100000,INDEX($AN$1005:$BO$1005,1,MATCH(COLUMNS($AN$1006:BO1006),$AN$1006:$BO$1006,0))&gt;=100000), " ",IF(INDEX($AN$2:$BO$1001,MATCH(ROWS($AG$2:AG930),$AG$2:$AG$1001,0),MATCH(COLUMNS($AN$1006:BO1006),$AN$1006:$BO$1006,0)), HYPERLINK("#",""), HYPERLINK(CONCATENATE("#Metadata!", ADDRESS(INDEX($AI$2:$AI$1001,MATCH(ROWS($AG$2:AG930),$AG$2:$AG$1001,0),0), INDEX($AN$1004:$BO$1004,1,MATCH(COLUMNS($AN$1006:BO1006),$AN$1006:$BO$1006,0)))),"Fix")))</f>
        <v>0</v>
      </c>
      <c r="AG930">
        <v>0</v>
      </c>
      <c r="AH930">
        <v>0</v>
      </c>
      <c r="AI930">
        <v>0</v>
      </c>
      <c r="AJ930">
        <f>IF(AK930,TRUE,AND(AN930:BO930))</f>
        <v>0</v>
      </c>
      <c r="AK930">
        <f>COUNTBLANK(Metadata!B930:AC930)=COLUMNS(Metadata!B930:AC930)</f>
        <v>0</v>
      </c>
      <c r="AL930">
        <v>0</v>
      </c>
      <c r="AN930">
        <f>AND(IF(Metadata!B930="",FALSE,TRUE),COUNTIF(Metadata!B:B, Metadata!B930) = 1,NOT(ISERROR(SUMPRODUCT(SEARCH(MID(Metadata!B930,ROW(INDIRECT("1:"&amp;LEN(Metadata!B930))), 1),"0123456789abcdefghijklmnopqrstuvwxyzABCDEFGHIJKLMNOPQRSTUVWXYZ.")))))</f>
        <v>0</v>
      </c>
      <c r="AO930">
        <f>IF(Metadata!C930="",FALSE,TRUE)</f>
        <v>0</v>
      </c>
      <c r="AP930">
        <f>IF(Metadata!D930="",FALSE,TRUE)</f>
        <v>0</v>
      </c>
      <c r="AQ930">
        <f>OR(AND(IF(Metadata!E930="",FALSE,TRUE),OR(exact(Metadata!E930,"not collected"),exact(Metadata!E930,"not provided"),exact(Metadata!E930,"restricted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R930">
        <f>IF(Metadata!F930="",FALSE,TRUE)</f>
        <v>0</v>
      </c>
      <c r="AS930">
        <f>OR(AND(IF(Metadata!G930="",FALSE,TRUE),OR(exact(Metadata!G930,"not collected"),exact(Metadata!G930,"not provided"))),AND(IF(Metadata!G930="",FALSE,TRUE),OR(exact(Metadata!G930,"TRUE"),exact(Metadata!G930,"FALSE"))))</f>
        <v>0</v>
      </c>
      <c r="AT930">
        <f>OR(AND(IF(Metadata!H930="",FALSE,TRUE),OR(exact(Metadata!H930,"not collected"),exact(Metadata!H930,"not provided"),exact(Metadata!H930,"restricted access"))),AND(IF(Metadata!H930="",FALSE,ISNUMBER(VALUE(Metadata!H930))),Metadata!H930&gt;=-413.0))</f>
        <v>0</v>
      </c>
      <c r="AU930">
        <f>AND(IF(Metadata!I930="",FALSE,TRUE),exact(Metadata!I930,"meters"))</f>
        <v>0</v>
      </c>
      <c r="AV930">
        <f>AND(IF(Metadata!J930="",FALSE,TRUE),OR(exact(Metadata!J930,"Host-associated"),exact(Metadata!J930,"Free-living")))</f>
        <v>0</v>
      </c>
      <c r="AW930">
        <f>AND(IF(Metadata!K930="",FALSE,TRUE),OR(exact(Metadata!K930,"Animal"),exact(Metadata!K930,"Fungus"),exact(Metadata!K930,"Plant"),exact(Metadata!K930,"Saline"),exact(Metadata!K930,"Non-saline")))</f>
        <v>0</v>
      </c>
      <c r="AX930">
        <f>AND(IF(Metadata!L930="",FALSE,TRUE),OR(exact(Metadata!L930,"Plant secretion"),exact(Metadata!L930,"Plant rhizosphere"),exact(Metadata!L930,"Plant surface"),exact(Metadata!L930,"Plant corpus"),exact(Metadata!L930,"Fungus surface"),exact(Metadata!L930,"Fungus corpus"),exact(Metadata!L930,"Animal surface"),exact(Metadata!L930,"Animal proximal gut"),exact(Metadata!L930,"Animal corpus"),exact(Metadata!L930,"Animal distal gut"),exact(Metadata!L930,"Animal secretion"),exact(Metadata!L930,"Sub-surface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Y930">
        <f>IF(Metadata!M930="",FALSE,TRUE)</f>
        <v>0</v>
      </c>
      <c r="AZ930">
        <f>IF(Metadata!N930="",FALSE,TRUE)</f>
        <v>0</v>
      </c>
      <c r="BA930">
        <f>IF(Metadata!O930="",FALSE,TRUE)</f>
        <v>0</v>
      </c>
      <c r="BB930">
        <f>OR(AND(IF(Metadata!P930="",FALSE,TRUE),OR(exact(Metadata!P930,"not collected"),exact(Metadata!P930,"not provided"),exact(Metadata!P930,"restricted access"))),AND(IF(Metadata!P930="",FALSE,TRUE),OR(exact(Metadata!P930,"air"),exact(Metadata!P930,"built environment"),exact(Metadata!P930,"host-associated"),exact(Metadata!P930,"human-associated"),exact(Metadata!P930,"human-skin"),exact(Metadata!P930,"human-oral"),exact(Metadata!P930,"human-gut"),exact(Metadata!P930,"human-vaginal"),exact(Metadata!P930,"microbial mat/biofilm"),exact(Metadata!P930,"misc environment"),exact(Metadata!P930,"plant-associated"),exact(Metadata!P930,"sediment"),exact(Metadata!P930,"soil"),exact(Metadata!P930,"wastewater/sludge"),exact(Metadata!P930,"water"))))</f>
        <v>0</v>
      </c>
      <c r="BC930">
        <f>IF(Metadata!Q930="",FALSE,TRUE)</f>
        <v>0</v>
      </c>
      <c r="BD930">
        <f>IF(Metadata!R930="",FALSE,TRUE)</f>
        <v>0</v>
      </c>
      <c r="BE930">
        <f>OR(AND(IF(Metadata!S930="",FALSE,TRUE),OR(exact(Metadata!S930,"not collected"),exact(Metadata!S930,"not provided"),exact(Metadata!S930,"restricted access"))),AND(IF(Metadata!S930="",FALSE,ISNUMBER(VALUE(Metadata!S930))),Metadata!S930&gt;=-90.00,Metadata!S930&lt;=90.00))</f>
        <v>0</v>
      </c>
      <c r="BF930">
        <f>AND(IF(Metadata!T930="",FALSE,TRUE),exact(Metadata!T930,"Decimal degrees"))</f>
        <v>0</v>
      </c>
      <c r="BG930">
        <f>OR(AND(IF(Metadata!U930="",FALSE,TRUE),OR(exact(Metadata!U930,"not collected"),exact(Metadata!U930,"not provided"),exact(Metadata!U930,"restricted access"))),AND(IF(Metadata!U930="",FALSE,ISNUMBER(VALUE(Metadata!U930))),Metadata!U930&gt;=-180.00,Metadata!U930&lt;=180.00))</f>
        <v>0</v>
      </c>
      <c r="BH930">
        <f>AND(IF(Metadata!V930="",FALSE,TRUE),exact(Metadata!V930,"Decimal degrees"))</f>
        <v>0</v>
      </c>
      <c r="BI930">
        <f>IF(Metadata!W930="",FALSE,TRUE)</f>
        <v>0</v>
      </c>
      <c r="BJ930">
        <f>OR(AND(IF(Metadata!X930="",FALSE,TRUE),OR(exact(Metadata!X930,"not collected"),exact(Metadata!X930,"not provided"),exact(Metadata!X930,"restricted access"))),AND(IF(Metadata!X930="",FALSE,TRUE),OR(exact(Metadata!X930,"TRUE"),exact(Metadata!X930,"FALSE"))))</f>
        <v>0</v>
      </c>
      <c r="BK930">
        <f>AND(IF(Metadata!Y930="",FALSE,TRUE),exact(Metadata!Y930,"other"))</f>
        <v>0</v>
      </c>
      <c r="BL930">
        <f>IF(Metadata!Z930="",FALSE,TRUE)</f>
        <v>0</v>
      </c>
      <c r="BM930">
        <f>OR(AND(IF(Metadata!AA930="",FALSE,TRUE),OR(exact(Metadata!AA930,"not collected"),exact(Metadata!AA930,"not provided"))),AND(IF(Metadata!AA930="",FALSE,IF(ISERROR(INT(Metadata!AA930)),FALSE,INT(Metadata!AA930)=Metadata!AA930)),Metadata!AA930&gt;0))</f>
        <v>0</v>
      </c>
      <c r="BN930">
        <f>AND(IF(Metadata!AB930="",FALSE,TRUE),exact(Metadata!AB930,"Not applicable"))</f>
        <v>0</v>
      </c>
      <c r="BO930">
        <f>IF(Metadata!AC930="",FALSE,TRUE)</f>
        <v>0</v>
      </c>
    </row>
    <row r="931" spans="1:67">
      <c r="A931" s="5">
        <f>IF(B931=" "," ",HYPERLINK(CONCATENATE("#metadata!",ADDRESS(INDEX($AI$2:$AI$1001,MATCH(ROWS($AG$2:AG931),$AG$2:$AG$1001,0),0),1)),INDEX($AL$2:$AL$1001,MATCH(ROWS($AG$2:AG931),$AG$2:$AG$1001,0),0)))</f>
        <v>0</v>
      </c>
      <c r="B931" s="4">
        <f>IF(OR(INDEX($AH$2:$AH$1001,MATCH(ROWS($AG$2:AG931),$AG$2:$AG$1001,0),1)&gt;=100000,INDEX($AN$1005:$BO$1005,1,MATCH(COLUMNS($AN$1006:AN1006),$AN$1006:$BO$1006,0))&gt;=100000), " ",IF(INDEX($AN$2:$BO$1001,MATCH(ROWS($AG$2:AG931),$AG$2:$AG$1001,0),MATCH(COLUMNS($AN$1006:AN1006),$AN$1006:$BO$1006,0)), HYPERLINK("#",""), HYPERLINK(CONCATENATE("#Metadata!", ADDRESS(INDEX($AI$2:$AI$1001,MATCH(ROWS($AG$2:AG931),$AG$2:$AG$1001,0),0), INDEX($AN$1004:$BO$1004,1,MATCH(COLUMNS($AN$1006:AN1006),$AN$1006:$BO$1006,0)))),"Fix")))</f>
        <v>0</v>
      </c>
      <c r="C931" s="4">
        <f>IF(OR(INDEX($AH$2:$AH$1001,MATCH(ROWS($AG$2:AG931),$AG$2:$AG$1001,0),1)&gt;=100000,INDEX($AN$1005:$BO$1005,1,MATCH(COLUMNS($AN$1006:AO1006),$AN$1006:$BO$1006,0))&gt;=100000), " ",IF(INDEX($AN$2:$BO$1001,MATCH(ROWS($AG$2:AG931),$AG$2:$AG$1001,0),MATCH(COLUMNS($AN$1006:AO1006),$AN$1006:$BO$1006,0)), HYPERLINK("#",""), HYPERLINK(CONCATENATE("#Metadata!", ADDRESS(INDEX($AI$2:$AI$1001,MATCH(ROWS($AG$2:AG931),$AG$2:$AG$1001,0),0), INDEX($AN$1004:$BO$1004,1,MATCH(COLUMNS($AN$1006:AO1006),$AN$1006:$BO$1006,0)))),"Fix")))</f>
        <v>0</v>
      </c>
      <c r="D931" s="4">
        <f>IF(OR(INDEX($AH$2:$AH$1001,MATCH(ROWS($AG$2:AG931),$AG$2:$AG$1001,0),1)&gt;=100000,INDEX($AN$1005:$BO$1005,1,MATCH(COLUMNS($AN$1006:AP1006),$AN$1006:$BO$1006,0))&gt;=100000), " ",IF(INDEX($AN$2:$BO$1001,MATCH(ROWS($AG$2:AG931),$AG$2:$AG$1001,0),MATCH(COLUMNS($AN$1006:AP1006),$AN$1006:$BO$1006,0)), HYPERLINK("#",""), HYPERLINK(CONCATENATE("#Metadata!", ADDRESS(INDEX($AI$2:$AI$1001,MATCH(ROWS($AG$2:AG931),$AG$2:$AG$1001,0),0), INDEX($AN$1004:$BO$1004,1,MATCH(COLUMNS($AN$1006:AP1006),$AN$1006:$BO$1006,0)))),"Fix")))</f>
        <v>0</v>
      </c>
      <c r="E931" s="4">
        <f>IF(OR(INDEX($AH$2:$AH$1001,MATCH(ROWS($AG$2:AG931),$AG$2:$AG$1001,0),1)&gt;=100000,INDEX($AN$1005:$BO$1005,1,MATCH(COLUMNS($AN$1006:AQ1006),$AN$1006:$BO$1006,0))&gt;=100000), " ",IF(INDEX($AN$2:$BO$1001,MATCH(ROWS($AG$2:AG931),$AG$2:$AG$1001,0),MATCH(COLUMNS($AN$1006:AQ1006),$AN$1006:$BO$1006,0)), HYPERLINK("#",""), HYPERLINK(CONCATENATE("#Metadata!", ADDRESS(INDEX($AI$2:$AI$1001,MATCH(ROWS($AG$2:AG931),$AG$2:$AG$1001,0),0), INDEX($AN$1004:$BO$1004,1,MATCH(COLUMNS($AN$1006:AQ1006),$AN$1006:$BO$1006,0)))),"Fix")))</f>
        <v>0</v>
      </c>
      <c r="F931" s="4">
        <f>IF(OR(INDEX($AH$2:$AH$1001,MATCH(ROWS($AG$2:AG931),$AG$2:$AG$1001,0),1)&gt;=100000,INDEX($AN$1005:$BO$1005,1,MATCH(COLUMNS($AN$1006:AR1006),$AN$1006:$BO$1006,0))&gt;=100000), " ",IF(INDEX($AN$2:$BO$1001,MATCH(ROWS($AG$2:AG931),$AG$2:$AG$1001,0),MATCH(COLUMNS($AN$1006:AR1006),$AN$1006:$BO$1006,0)), HYPERLINK("#",""), HYPERLINK(CONCATENATE("#Metadata!", ADDRESS(INDEX($AI$2:$AI$1001,MATCH(ROWS($AG$2:AG931),$AG$2:$AG$1001,0),0), INDEX($AN$1004:$BO$1004,1,MATCH(COLUMNS($AN$1006:AR1006),$AN$1006:$BO$1006,0)))),"Fix")))</f>
        <v>0</v>
      </c>
      <c r="G931" s="4">
        <f>IF(OR(INDEX($AH$2:$AH$1001,MATCH(ROWS($AG$2:AG931),$AG$2:$AG$1001,0),1)&gt;=100000,INDEX($AN$1005:$BO$1005,1,MATCH(COLUMNS($AN$1006:AS1006),$AN$1006:$BO$1006,0))&gt;=100000), " ",IF(INDEX($AN$2:$BO$1001,MATCH(ROWS($AG$2:AG931),$AG$2:$AG$1001,0),MATCH(COLUMNS($AN$1006:AS1006),$AN$1006:$BO$1006,0)), HYPERLINK("#",""), HYPERLINK(CONCATENATE("#Metadata!", ADDRESS(INDEX($AI$2:$AI$1001,MATCH(ROWS($AG$2:AG931),$AG$2:$AG$1001,0),0), INDEX($AN$1004:$BO$1004,1,MATCH(COLUMNS($AN$1006:AS1006),$AN$1006:$BO$1006,0)))),"Fix")))</f>
        <v>0</v>
      </c>
      <c r="H931" s="4">
        <f>IF(OR(INDEX($AH$2:$AH$1001,MATCH(ROWS($AG$2:AG931),$AG$2:$AG$1001,0),1)&gt;=100000,INDEX($AN$1005:$BO$1005,1,MATCH(COLUMNS($AN$1006:AT1006),$AN$1006:$BO$1006,0))&gt;=100000), " ",IF(INDEX($AN$2:$BO$1001,MATCH(ROWS($AG$2:AG931),$AG$2:$AG$1001,0),MATCH(COLUMNS($AN$1006:AT1006),$AN$1006:$BO$1006,0)), HYPERLINK("#",""), HYPERLINK(CONCATENATE("#Metadata!", ADDRESS(INDEX($AI$2:$AI$1001,MATCH(ROWS($AG$2:AG931),$AG$2:$AG$1001,0),0), INDEX($AN$1004:$BO$1004,1,MATCH(COLUMNS($AN$1006:AT1006),$AN$1006:$BO$1006,0)))),"Fix")))</f>
        <v>0</v>
      </c>
      <c r="I931" s="4">
        <f>IF(OR(INDEX($AH$2:$AH$1001,MATCH(ROWS($AG$2:AG931),$AG$2:$AG$1001,0),1)&gt;=100000,INDEX($AN$1005:$BO$1005,1,MATCH(COLUMNS($AN$1006:AU1006),$AN$1006:$BO$1006,0))&gt;=100000), " ",IF(INDEX($AN$2:$BO$1001,MATCH(ROWS($AG$2:AG931),$AG$2:$AG$1001,0),MATCH(COLUMNS($AN$1006:AU1006),$AN$1006:$BO$1006,0)), HYPERLINK("#",""), HYPERLINK(CONCATENATE("#Metadata!", ADDRESS(INDEX($AI$2:$AI$1001,MATCH(ROWS($AG$2:AG931),$AG$2:$AG$1001,0),0), INDEX($AN$1004:$BO$1004,1,MATCH(COLUMNS($AN$1006:AU1006),$AN$1006:$BO$1006,0)))),"Fix")))</f>
        <v>0</v>
      </c>
      <c r="J931" s="4">
        <f>IF(OR(INDEX($AH$2:$AH$1001,MATCH(ROWS($AG$2:AG931),$AG$2:$AG$1001,0),1)&gt;=100000,INDEX($AN$1005:$BO$1005,1,MATCH(COLUMNS($AN$1006:AV1006),$AN$1006:$BO$1006,0))&gt;=100000), " ",IF(INDEX($AN$2:$BO$1001,MATCH(ROWS($AG$2:AG931),$AG$2:$AG$1001,0),MATCH(COLUMNS($AN$1006:AV1006),$AN$1006:$BO$1006,0)), HYPERLINK("#",""), HYPERLINK(CONCATENATE("#Metadata!", ADDRESS(INDEX($AI$2:$AI$1001,MATCH(ROWS($AG$2:AG931),$AG$2:$AG$1001,0),0), INDEX($AN$1004:$BO$1004,1,MATCH(COLUMNS($AN$1006:AV1006),$AN$1006:$BO$1006,0)))),"Fix")))</f>
        <v>0</v>
      </c>
      <c r="K931" s="4">
        <f>IF(OR(INDEX($AH$2:$AH$1001,MATCH(ROWS($AG$2:AG931),$AG$2:$AG$1001,0),1)&gt;=100000,INDEX($AN$1005:$BO$1005,1,MATCH(COLUMNS($AN$1006:AW1006),$AN$1006:$BO$1006,0))&gt;=100000), " ",IF(INDEX($AN$2:$BO$1001,MATCH(ROWS($AG$2:AG931),$AG$2:$AG$1001,0),MATCH(COLUMNS($AN$1006:AW1006),$AN$1006:$BO$1006,0)), HYPERLINK("#",""), HYPERLINK(CONCATENATE("#Metadata!", ADDRESS(INDEX($AI$2:$AI$1001,MATCH(ROWS($AG$2:AG931),$AG$2:$AG$1001,0),0), INDEX($AN$1004:$BO$1004,1,MATCH(COLUMNS($AN$1006:AW1006),$AN$1006:$BO$1006,0)))),"Fix")))</f>
        <v>0</v>
      </c>
      <c r="L931" s="4">
        <f>IF(OR(INDEX($AH$2:$AH$1001,MATCH(ROWS($AG$2:AG931),$AG$2:$AG$1001,0),1)&gt;=100000,INDEX($AN$1005:$BO$1005,1,MATCH(COLUMNS($AN$1006:AX1006),$AN$1006:$BO$1006,0))&gt;=100000), " ",IF(INDEX($AN$2:$BO$1001,MATCH(ROWS($AG$2:AG931),$AG$2:$AG$1001,0),MATCH(COLUMNS($AN$1006:AX1006),$AN$1006:$BO$1006,0)), HYPERLINK("#",""), HYPERLINK(CONCATENATE("#Metadata!", ADDRESS(INDEX($AI$2:$AI$1001,MATCH(ROWS($AG$2:AG931),$AG$2:$AG$1001,0),0), INDEX($AN$1004:$BO$1004,1,MATCH(COLUMNS($AN$1006:AX1006),$AN$1006:$BO$1006,0)))),"Fix")))</f>
        <v>0</v>
      </c>
      <c r="M931" s="4">
        <f>IF(OR(INDEX($AH$2:$AH$1001,MATCH(ROWS($AG$2:AG931),$AG$2:$AG$1001,0),1)&gt;=100000,INDEX($AN$1005:$BO$1005,1,MATCH(COLUMNS($AN$1006:AY1006),$AN$1006:$BO$1006,0))&gt;=100000), " ",IF(INDEX($AN$2:$BO$1001,MATCH(ROWS($AG$2:AG931),$AG$2:$AG$1001,0),MATCH(COLUMNS($AN$1006:AY1006),$AN$1006:$BO$1006,0)), HYPERLINK("#",""), HYPERLINK(CONCATENATE("#Metadata!", ADDRESS(INDEX($AI$2:$AI$1001,MATCH(ROWS($AG$2:AG931),$AG$2:$AG$1001,0),0), INDEX($AN$1004:$BO$1004,1,MATCH(COLUMNS($AN$1006:AY1006),$AN$1006:$BO$1006,0)))),"Fix")))</f>
        <v>0</v>
      </c>
      <c r="N931" s="4">
        <f>IF(OR(INDEX($AH$2:$AH$1001,MATCH(ROWS($AG$2:AG931),$AG$2:$AG$1001,0),1)&gt;=100000,INDEX($AN$1005:$BO$1005,1,MATCH(COLUMNS($AN$1006:AZ1006),$AN$1006:$BO$1006,0))&gt;=100000), " ",IF(INDEX($AN$2:$BO$1001,MATCH(ROWS($AG$2:AG931),$AG$2:$AG$1001,0),MATCH(COLUMNS($AN$1006:AZ1006),$AN$1006:$BO$1006,0)), HYPERLINK("#",""), HYPERLINK(CONCATENATE("#Metadata!", ADDRESS(INDEX($AI$2:$AI$1001,MATCH(ROWS($AG$2:AG931),$AG$2:$AG$1001,0),0), INDEX($AN$1004:$BO$1004,1,MATCH(COLUMNS($AN$1006:AZ1006),$AN$1006:$BO$1006,0)))),"Fix")))</f>
        <v>0</v>
      </c>
      <c r="O931" s="4">
        <f>IF(OR(INDEX($AH$2:$AH$1001,MATCH(ROWS($AG$2:AG931),$AG$2:$AG$1001,0),1)&gt;=100000,INDEX($AN$1005:$BO$1005,1,MATCH(COLUMNS($AN$1006:BA1006),$AN$1006:$BO$1006,0))&gt;=100000), " ",IF(INDEX($AN$2:$BO$1001,MATCH(ROWS($AG$2:AG931),$AG$2:$AG$1001,0),MATCH(COLUMNS($AN$1006:BA1006),$AN$1006:$BO$1006,0)), HYPERLINK("#",""), HYPERLINK(CONCATENATE("#Metadata!", ADDRESS(INDEX($AI$2:$AI$1001,MATCH(ROWS($AG$2:AG931),$AG$2:$AG$1001,0),0), INDEX($AN$1004:$BO$1004,1,MATCH(COLUMNS($AN$1006:BA1006),$AN$1006:$BO$1006,0)))),"Fix")))</f>
        <v>0</v>
      </c>
      <c r="P931" s="4">
        <f>IF(OR(INDEX($AH$2:$AH$1001,MATCH(ROWS($AG$2:AG931),$AG$2:$AG$1001,0),1)&gt;=100000,INDEX($AN$1005:$BO$1005,1,MATCH(COLUMNS($AN$1006:BB1006),$AN$1006:$BO$1006,0))&gt;=100000), " ",IF(INDEX($AN$2:$BO$1001,MATCH(ROWS($AG$2:AG931),$AG$2:$AG$1001,0),MATCH(COLUMNS($AN$1006:BB1006),$AN$1006:$BO$1006,0)), HYPERLINK("#",""), HYPERLINK(CONCATENATE("#Metadata!", ADDRESS(INDEX($AI$2:$AI$1001,MATCH(ROWS($AG$2:AG931),$AG$2:$AG$1001,0),0), INDEX($AN$1004:$BO$1004,1,MATCH(COLUMNS($AN$1006:BB1006),$AN$1006:$BO$1006,0)))),"Fix")))</f>
        <v>0</v>
      </c>
      <c r="Q931" s="4">
        <f>IF(OR(INDEX($AH$2:$AH$1001,MATCH(ROWS($AG$2:AG931),$AG$2:$AG$1001,0),1)&gt;=100000,INDEX($AN$1005:$BO$1005,1,MATCH(COLUMNS($AN$1006:BC1006),$AN$1006:$BO$1006,0))&gt;=100000), " ",IF(INDEX($AN$2:$BO$1001,MATCH(ROWS($AG$2:AG931),$AG$2:$AG$1001,0),MATCH(COLUMNS($AN$1006:BC1006),$AN$1006:$BO$1006,0)), HYPERLINK("#",""), HYPERLINK(CONCATENATE("#Metadata!", ADDRESS(INDEX($AI$2:$AI$1001,MATCH(ROWS($AG$2:AG931),$AG$2:$AG$1001,0),0), INDEX($AN$1004:$BO$1004,1,MATCH(COLUMNS($AN$1006:BC1006),$AN$1006:$BO$1006,0)))),"Fix")))</f>
        <v>0</v>
      </c>
      <c r="R931" s="4">
        <f>IF(OR(INDEX($AH$2:$AH$1001,MATCH(ROWS($AG$2:AG931),$AG$2:$AG$1001,0),1)&gt;=100000,INDEX($AN$1005:$BO$1005,1,MATCH(COLUMNS($AN$1006:BD1006),$AN$1006:$BO$1006,0))&gt;=100000), " ",IF(INDEX($AN$2:$BO$1001,MATCH(ROWS($AG$2:AG931),$AG$2:$AG$1001,0),MATCH(COLUMNS($AN$1006:BD1006),$AN$1006:$BO$1006,0)), HYPERLINK("#",""), HYPERLINK(CONCATENATE("#Metadata!", ADDRESS(INDEX($AI$2:$AI$1001,MATCH(ROWS($AG$2:AG931),$AG$2:$AG$1001,0),0), INDEX($AN$1004:$BO$1004,1,MATCH(COLUMNS($AN$1006:BD1006),$AN$1006:$BO$1006,0)))),"Fix")))</f>
        <v>0</v>
      </c>
      <c r="S931" s="4">
        <f>IF(OR(INDEX($AH$2:$AH$1001,MATCH(ROWS($AG$2:AG931),$AG$2:$AG$1001,0),1)&gt;=100000,INDEX($AN$1005:$BO$1005,1,MATCH(COLUMNS($AN$1006:BE1006),$AN$1006:$BO$1006,0))&gt;=100000), " ",IF(INDEX($AN$2:$BO$1001,MATCH(ROWS($AG$2:AG931),$AG$2:$AG$1001,0),MATCH(COLUMNS($AN$1006:BE1006),$AN$1006:$BO$1006,0)), HYPERLINK("#",""), HYPERLINK(CONCATENATE("#Metadata!", ADDRESS(INDEX($AI$2:$AI$1001,MATCH(ROWS($AG$2:AG931),$AG$2:$AG$1001,0),0), INDEX($AN$1004:$BO$1004,1,MATCH(COLUMNS($AN$1006:BE1006),$AN$1006:$BO$1006,0)))),"Fix")))</f>
        <v>0</v>
      </c>
      <c r="T931" s="4">
        <f>IF(OR(INDEX($AH$2:$AH$1001,MATCH(ROWS($AG$2:AG931),$AG$2:$AG$1001,0),1)&gt;=100000,INDEX($AN$1005:$BO$1005,1,MATCH(COLUMNS($AN$1006:BF1006),$AN$1006:$BO$1006,0))&gt;=100000), " ",IF(INDEX($AN$2:$BO$1001,MATCH(ROWS($AG$2:AG931),$AG$2:$AG$1001,0),MATCH(COLUMNS($AN$1006:BF1006),$AN$1006:$BO$1006,0)), HYPERLINK("#",""), HYPERLINK(CONCATENATE("#Metadata!", ADDRESS(INDEX($AI$2:$AI$1001,MATCH(ROWS($AG$2:AG931),$AG$2:$AG$1001,0),0), INDEX($AN$1004:$BO$1004,1,MATCH(COLUMNS($AN$1006:BF1006),$AN$1006:$BO$1006,0)))),"Fix")))</f>
        <v>0</v>
      </c>
      <c r="U931" s="4">
        <f>IF(OR(INDEX($AH$2:$AH$1001,MATCH(ROWS($AG$2:AG931),$AG$2:$AG$1001,0),1)&gt;=100000,INDEX($AN$1005:$BO$1005,1,MATCH(COLUMNS($AN$1006:BG1006),$AN$1006:$BO$1006,0))&gt;=100000), " ",IF(INDEX($AN$2:$BO$1001,MATCH(ROWS($AG$2:AG931),$AG$2:$AG$1001,0),MATCH(COLUMNS($AN$1006:BG1006),$AN$1006:$BO$1006,0)), HYPERLINK("#",""), HYPERLINK(CONCATENATE("#Metadata!", ADDRESS(INDEX($AI$2:$AI$1001,MATCH(ROWS($AG$2:AG931),$AG$2:$AG$1001,0),0), INDEX($AN$1004:$BO$1004,1,MATCH(COLUMNS($AN$1006:BG1006),$AN$1006:$BO$1006,0)))),"Fix")))</f>
        <v>0</v>
      </c>
      <c r="V931" s="4">
        <f>IF(OR(INDEX($AH$2:$AH$1001,MATCH(ROWS($AG$2:AG931),$AG$2:$AG$1001,0),1)&gt;=100000,INDEX($AN$1005:$BO$1005,1,MATCH(COLUMNS($AN$1006:BH1006),$AN$1006:$BO$1006,0))&gt;=100000), " ",IF(INDEX($AN$2:$BO$1001,MATCH(ROWS($AG$2:AG931),$AG$2:$AG$1001,0),MATCH(COLUMNS($AN$1006:BH1006),$AN$1006:$BO$1006,0)), HYPERLINK("#",""), HYPERLINK(CONCATENATE("#Metadata!", ADDRESS(INDEX($AI$2:$AI$1001,MATCH(ROWS($AG$2:AG931),$AG$2:$AG$1001,0),0), INDEX($AN$1004:$BO$1004,1,MATCH(COLUMNS($AN$1006:BH1006),$AN$1006:$BO$1006,0)))),"Fix")))</f>
        <v>0</v>
      </c>
      <c r="W931" s="4">
        <f>IF(OR(INDEX($AH$2:$AH$1001,MATCH(ROWS($AG$2:AG931),$AG$2:$AG$1001,0),1)&gt;=100000,INDEX($AN$1005:$BO$1005,1,MATCH(COLUMNS($AN$1006:BI1006),$AN$1006:$BO$1006,0))&gt;=100000), " ",IF(INDEX($AN$2:$BO$1001,MATCH(ROWS($AG$2:AG931),$AG$2:$AG$1001,0),MATCH(COLUMNS($AN$1006:BI1006),$AN$1006:$BO$1006,0)), HYPERLINK("#",""), HYPERLINK(CONCATENATE("#Metadata!", ADDRESS(INDEX($AI$2:$AI$1001,MATCH(ROWS($AG$2:AG931),$AG$2:$AG$1001,0),0), INDEX($AN$1004:$BO$1004,1,MATCH(COLUMNS($AN$1006:BI1006),$AN$1006:$BO$1006,0)))),"Fix")))</f>
        <v>0</v>
      </c>
      <c r="X931" s="4">
        <f>IF(OR(INDEX($AH$2:$AH$1001,MATCH(ROWS($AG$2:AG931),$AG$2:$AG$1001,0),1)&gt;=100000,INDEX($AN$1005:$BO$1005,1,MATCH(COLUMNS($AN$1006:BJ1006),$AN$1006:$BO$1006,0))&gt;=100000), " ",IF(INDEX($AN$2:$BO$1001,MATCH(ROWS($AG$2:AG931),$AG$2:$AG$1001,0),MATCH(COLUMNS($AN$1006:BJ1006),$AN$1006:$BO$1006,0)), HYPERLINK("#",""), HYPERLINK(CONCATENATE("#Metadata!", ADDRESS(INDEX($AI$2:$AI$1001,MATCH(ROWS($AG$2:AG931),$AG$2:$AG$1001,0),0), INDEX($AN$1004:$BO$1004,1,MATCH(COLUMNS($AN$1006:BJ1006),$AN$1006:$BO$1006,0)))),"Fix")))</f>
        <v>0</v>
      </c>
      <c r="Y931" s="4">
        <f>IF(OR(INDEX($AH$2:$AH$1001,MATCH(ROWS($AG$2:AG931),$AG$2:$AG$1001,0),1)&gt;=100000,INDEX($AN$1005:$BO$1005,1,MATCH(COLUMNS($AN$1006:BK1006),$AN$1006:$BO$1006,0))&gt;=100000), " ",IF(INDEX($AN$2:$BO$1001,MATCH(ROWS($AG$2:AG931),$AG$2:$AG$1001,0),MATCH(COLUMNS($AN$1006:BK1006),$AN$1006:$BO$1006,0)), HYPERLINK("#",""), HYPERLINK(CONCATENATE("#Metadata!", ADDRESS(INDEX($AI$2:$AI$1001,MATCH(ROWS($AG$2:AG931),$AG$2:$AG$1001,0),0), INDEX($AN$1004:$BO$1004,1,MATCH(COLUMNS($AN$1006:BK1006),$AN$1006:$BO$1006,0)))),"Fix")))</f>
        <v>0</v>
      </c>
      <c r="Z931" s="4">
        <f>IF(OR(INDEX($AH$2:$AH$1001,MATCH(ROWS($AG$2:AG931),$AG$2:$AG$1001,0),1)&gt;=100000,INDEX($AN$1005:$BO$1005,1,MATCH(COLUMNS($AN$1006:BL1006),$AN$1006:$BO$1006,0))&gt;=100000), " ",IF(INDEX($AN$2:$BO$1001,MATCH(ROWS($AG$2:AG931),$AG$2:$AG$1001,0),MATCH(COLUMNS($AN$1006:BL1006),$AN$1006:$BO$1006,0)), HYPERLINK("#",""), HYPERLINK(CONCATENATE("#Metadata!", ADDRESS(INDEX($AI$2:$AI$1001,MATCH(ROWS($AG$2:AG931),$AG$2:$AG$1001,0),0), INDEX($AN$1004:$BO$1004,1,MATCH(COLUMNS($AN$1006:BL1006),$AN$1006:$BO$1006,0)))),"Fix")))</f>
        <v>0</v>
      </c>
      <c r="AA931" s="4">
        <f>IF(OR(INDEX($AH$2:$AH$1001,MATCH(ROWS($AG$2:AG931),$AG$2:$AG$1001,0),1)&gt;=100000,INDEX($AN$1005:$BO$1005,1,MATCH(COLUMNS($AN$1006:BM1006),$AN$1006:$BO$1006,0))&gt;=100000), " ",IF(INDEX($AN$2:$BO$1001,MATCH(ROWS($AG$2:AG931),$AG$2:$AG$1001,0),MATCH(COLUMNS($AN$1006:BM1006),$AN$1006:$BO$1006,0)), HYPERLINK("#",""), HYPERLINK(CONCATENATE("#Metadata!", ADDRESS(INDEX($AI$2:$AI$1001,MATCH(ROWS($AG$2:AG931),$AG$2:$AG$1001,0),0), INDEX($AN$1004:$BO$1004,1,MATCH(COLUMNS($AN$1006:BM1006),$AN$1006:$BO$1006,0)))),"Fix")))</f>
        <v>0</v>
      </c>
      <c r="AB931" s="4">
        <f>IF(OR(INDEX($AH$2:$AH$1001,MATCH(ROWS($AG$2:AG931),$AG$2:$AG$1001,0),1)&gt;=100000,INDEX($AN$1005:$BO$1005,1,MATCH(COLUMNS($AN$1006:BN1006),$AN$1006:$BO$1006,0))&gt;=100000), " ",IF(INDEX($AN$2:$BO$1001,MATCH(ROWS($AG$2:AG931),$AG$2:$AG$1001,0),MATCH(COLUMNS($AN$1006:BN1006),$AN$1006:$BO$1006,0)), HYPERLINK("#",""), HYPERLINK(CONCATENATE("#Metadata!", ADDRESS(INDEX($AI$2:$AI$1001,MATCH(ROWS($AG$2:AG931),$AG$2:$AG$1001,0),0), INDEX($AN$1004:$BO$1004,1,MATCH(COLUMNS($AN$1006:BN1006),$AN$1006:$BO$1006,0)))),"Fix")))</f>
        <v>0</v>
      </c>
      <c r="AC931" s="4">
        <f>IF(OR(INDEX($AH$2:$AH$1001,MATCH(ROWS($AG$2:AG931),$AG$2:$AG$1001,0),1)&gt;=100000,INDEX($AN$1005:$BO$1005,1,MATCH(COLUMNS($AN$1006:BO1006),$AN$1006:$BO$1006,0))&gt;=100000), " ",IF(INDEX($AN$2:$BO$1001,MATCH(ROWS($AG$2:AG931),$AG$2:$AG$1001,0),MATCH(COLUMNS($AN$1006:BO1006),$AN$1006:$BO$1006,0)), HYPERLINK("#",""), HYPERLINK(CONCATENATE("#Metadata!", ADDRESS(INDEX($AI$2:$AI$1001,MATCH(ROWS($AG$2:AG931),$AG$2:$AG$1001,0),0), INDEX($AN$1004:$BO$1004,1,MATCH(COLUMNS($AN$1006:BO1006),$AN$1006:$BO$1006,0)))),"Fix")))</f>
        <v>0</v>
      </c>
      <c r="AG931">
        <v>0</v>
      </c>
      <c r="AH931">
        <v>0</v>
      </c>
      <c r="AI931">
        <v>0</v>
      </c>
      <c r="AJ931">
        <f>IF(AK931,TRUE,AND(AN931:BO931))</f>
        <v>0</v>
      </c>
      <c r="AK931">
        <f>COUNTBLANK(Metadata!B931:AC931)=COLUMNS(Metadata!B931:AC931)</f>
        <v>0</v>
      </c>
      <c r="AL931">
        <v>0</v>
      </c>
      <c r="AN931">
        <f>AND(IF(Metadata!B931="",FALSE,TRUE),COUNTIF(Metadata!B:B, Metadata!B931) = 1,NOT(ISERROR(SUMPRODUCT(SEARCH(MID(Metadata!B931,ROW(INDIRECT("1:"&amp;LEN(Metadata!B931))), 1),"0123456789abcdefghijklmnopqrstuvwxyzABCDEFGHIJKLMNOPQRSTUVWXYZ.")))))</f>
        <v>0</v>
      </c>
      <c r="AO931">
        <f>IF(Metadata!C931="",FALSE,TRUE)</f>
        <v>0</v>
      </c>
      <c r="AP931">
        <f>IF(Metadata!D931="",FALSE,TRUE)</f>
        <v>0</v>
      </c>
      <c r="AQ931">
        <f>OR(AND(IF(Metadata!E931="",FALSE,TRUE),OR(exact(Metadata!E931,"not collected"),exact(Metadata!E931,"not provided"),exact(Metadata!E931,"restricted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R931">
        <f>IF(Metadata!F931="",FALSE,TRUE)</f>
        <v>0</v>
      </c>
      <c r="AS931">
        <f>OR(AND(IF(Metadata!G931="",FALSE,TRUE),OR(exact(Metadata!G931,"not collected"),exact(Metadata!G931,"not provided"))),AND(IF(Metadata!G931="",FALSE,TRUE),OR(exact(Metadata!G931,"TRUE"),exact(Metadata!G931,"FALSE"))))</f>
        <v>0</v>
      </c>
      <c r="AT931">
        <f>OR(AND(IF(Metadata!H931="",FALSE,TRUE),OR(exact(Metadata!H931,"not collected"),exact(Metadata!H931,"not provided"),exact(Metadata!H931,"restricted access"))),AND(IF(Metadata!H931="",FALSE,ISNUMBER(VALUE(Metadata!H931))),Metadata!H931&gt;=-413.0))</f>
        <v>0</v>
      </c>
      <c r="AU931">
        <f>AND(IF(Metadata!I931="",FALSE,TRUE),exact(Metadata!I931,"meters"))</f>
        <v>0</v>
      </c>
      <c r="AV931">
        <f>AND(IF(Metadata!J931="",FALSE,TRUE),OR(exact(Metadata!J931,"Host-associated"),exact(Metadata!J931,"Free-living")))</f>
        <v>0</v>
      </c>
      <c r="AW931">
        <f>AND(IF(Metadata!K931="",FALSE,TRUE),OR(exact(Metadata!K931,"Animal"),exact(Metadata!K931,"Fungus"),exact(Metadata!K931,"Plant"),exact(Metadata!K931,"Saline"),exact(Metadata!K931,"Non-saline")))</f>
        <v>0</v>
      </c>
      <c r="AX931">
        <f>AND(IF(Metadata!L931="",FALSE,TRUE),OR(exact(Metadata!L931,"Plant secretion"),exact(Metadata!L931,"Plant rhizosphere"),exact(Metadata!L931,"Plant surface"),exact(Metadata!L931,"Plant corpus"),exact(Metadata!L931,"Fungus surface"),exact(Metadata!L931,"Fungus corpus"),exact(Metadata!L931,"Animal surface"),exact(Metadata!L931,"Animal proximal gut"),exact(Metadata!L931,"Animal corpus"),exact(Metadata!L931,"Animal distal gut"),exact(Metadata!L931,"Animal secretion"),exact(Metadata!L931,"Sub-surface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Y931">
        <f>IF(Metadata!M931="",FALSE,TRUE)</f>
        <v>0</v>
      </c>
      <c r="AZ931">
        <f>IF(Metadata!N931="",FALSE,TRUE)</f>
        <v>0</v>
      </c>
      <c r="BA931">
        <f>IF(Metadata!O931="",FALSE,TRUE)</f>
        <v>0</v>
      </c>
      <c r="BB931">
        <f>OR(AND(IF(Metadata!P931="",FALSE,TRUE),OR(exact(Metadata!P931,"not collected"),exact(Metadata!P931,"not provided"),exact(Metadata!P931,"restricted access"))),AND(IF(Metadata!P931="",FALSE,TRUE),OR(exact(Metadata!P931,"air"),exact(Metadata!P931,"built environment"),exact(Metadata!P931,"host-associated"),exact(Metadata!P931,"human-associated"),exact(Metadata!P931,"human-skin"),exact(Metadata!P931,"human-oral"),exact(Metadata!P931,"human-gut"),exact(Metadata!P931,"human-vaginal"),exact(Metadata!P931,"microbial mat/biofilm"),exact(Metadata!P931,"misc environment"),exact(Metadata!P931,"plant-associated"),exact(Metadata!P931,"sediment"),exact(Metadata!P931,"soil"),exact(Metadata!P931,"wastewater/sludge"),exact(Metadata!P931,"water"))))</f>
        <v>0</v>
      </c>
      <c r="BC931">
        <f>IF(Metadata!Q931="",FALSE,TRUE)</f>
        <v>0</v>
      </c>
      <c r="BD931">
        <f>IF(Metadata!R931="",FALSE,TRUE)</f>
        <v>0</v>
      </c>
      <c r="BE931">
        <f>OR(AND(IF(Metadata!S931="",FALSE,TRUE),OR(exact(Metadata!S931,"not collected"),exact(Metadata!S931,"not provided"),exact(Metadata!S931,"restricted access"))),AND(IF(Metadata!S931="",FALSE,ISNUMBER(VALUE(Metadata!S931))),Metadata!S931&gt;=-90.00,Metadata!S931&lt;=90.00))</f>
        <v>0</v>
      </c>
      <c r="BF931">
        <f>AND(IF(Metadata!T931="",FALSE,TRUE),exact(Metadata!T931,"Decimal degrees"))</f>
        <v>0</v>
      </c>
      <c r="BG931">
        <f>OR(AND(IF(Metadata!U931="",FALSE,TRUE),OR(exact(Metadata!U931,"not collected"),exact(Metadata!U931,"not provided"),exact(Metadata!U931,"restricted access"))),AND(IF(Metadata!U931="",FALSE,ISNUMBER(VALUE(Metadata!U931))),Metadata!U931&gt;=-180.00,Metadata!U931&lt;=180.00))</f>
        <v>0</v>
      </c>
      <c r="BH931">
        <f>AND(IF(Metadata!V931="",FALSE,TRUE),exact(Metadata!V931,"Decimal degrees"))</f>
        <v>0</v>
      </c>
      <c r="BI931">
        <f>IF(Metadata!W931="",FALSE,TRUE)</f>
        <v>0</v>
      </c>
      <c r="BJ931">
        <f>OR(AND(IF(Metadata!X931="",FALSE,TRUE),OR(exact(Metadata!X931,"not collected"),exact(Metadata!X931,"not provided"),exact(Metadata!X931,"restricted access"))),AND(IF(Metadata!X931="",FALSE,TRUE),OR(exact(Metadata!X931,"TRUE"),exact(Metadata!X931,"FALSE"))))</f>
        <v>0</v>
      </c>
      <c r="BK931">
        <f>AND(IF(Metadata!Y931="",FALSE,TRUE),exact(Metadata!Y931,"other"))</f>
        <v>0</v>
      </c>
      <c r="BL931">
        <f>IF(Metadata!Z931="",FALSE,TRUE)</f>
        <v>0</v>
      </c>
      <c r="BM931">
        <f>OR(AND(IF(Metadata!AA931="",FALSE,TRUE),OR(exact(Metadata!AA931,"not collected"),exact(Metadata!AA931,"not provided"))),AND(IF(Metadata!AA931="",FALSE,IF(ISERROR(INT(Metadata!AA931)),FALSE,INT(Metadata!AA931)=Metadata!AA931)),Metadata!AA931&gt;0))</f>
        <v>0</v>
      </c>
      <c r="BN931">
        <f>AND(IF(Metadata!AB931="",FALSE,TRUE),exact(Metadata!AB931,"Not applicable"))</f>
        <v>0</v>
      </c>
      <c r="BO931">
        <f>IF(Metadata!AC931="",FALSE,TRUE)</f>
        <v>0</v>
      </c>
    </row>
    <row r="932" spans="1:67">
      <c r="A932" s="5">
        <f>IF(B932=" "," ",HYPERLINK(CONCATENATE("#metadata!",ADDRESS(INDEX($AI$2:$AI$1001,MATCH(ROWS($AG$2:AG932),$AG$2:$AG$1001,0),0),1)),INDEX($AL$2:$AL$1001,MATCH(ROWS($AG$2:AG932),$AG$2:$AG$1001,0),0)))</f>
        <v>0</v>
      </c>
      <c r="B932" s="4">
        <f>IF(OR(INDEX($AH$2:$AH$1001,MATCH(ROWS($AG$2:AG932),$AG$2:$AG$1001,0),1)&gt;=100000,INDEX($AN$1005:$BO$1005,1,MATCH(COLUMNS($AN$1006:AN1006),$AN$1006:$BO$1006,0))&gt;=100000), " ",IF(INDEX($AN$2:$BO$1001,MATCH(ROWS($AG$2:AG932),$AG$2:$AG$1001,0),MATCH(COLUMNS($AN$1006:AN1006),$AN$1006:$BO$1006,0)), HYPERLINK("#",""), HYPERLINK(CONCATENATE("#Metadata!", ADDRESS(INDEX($AI$2:$AI$1001,MATCH(ROWS($AG$2:AG932),$AG$2:$AG$1001,0),0), INDEX($AN$1004:$BO$1004,1,MATCH(COLUMNS($AN$1006:AN1006),$AN$1006:$BO$1006,0)))),"Fix")))</f>
        <v>0</v>
      </c>
      <c r="C932" s="4">
        <f>IF(OR(INDEX($AH$2:$AH$1001,MATCH(ROWS($AG$2:AG932),$AG$2:$AG$1001,0),1)&gt;=100000,INDEX($AN$1005:$BO$1005,1,MATCH(COLUMNS($AN$1006:AO1006),$AN$1006:$BO$1006,0))&gt;=100000), " ",IF(INDEX($AN$2:$BO$1001,MATCH(ROWS($AG$2:AG932),$AG$2:$AG$1001,0),MATCH(COLUMNS($AN$1006:AO1006),$AN$1006:$BO$1006,0)), HYPERLINK("#",""), HYPERLINK(CONCATENATE("#Metadata!", ADDRESS(INDEX($AI$2:$AI$1001,MATCH(ROWS($AG$2:AG932),$AG$2:$AG$1001,0),0), INDEX($AN$1004:$BO$1004,1,MATCH(COLUMNS($AN$1006:AO1006),$AN$1006:$BO$1006,0)))),"Fix")))</f>
        <v>0</v>
      </c>
      <c r="D932" s="4">
        <f>IF(OR(INDEX($AH$2:$AH$1001,MATCH(ROWS($AG$2:AG932),$AG$2:$AG$1001,0),1)&gt;=100000,INDEX($AN$1005:$BO$1005,1,MATCH(COLUMNS($AN$1006:AP1006),$AN$1006:$BO$1006,0))&gt;=100000), " ",IF(INDEX($AN$2:$BO$1001,MATCH(ROWS($AG$2:AG932),$AG$2:$AG$1001,0),MATCH(COLUMNS($AN$1006:AP1006),$AN$1006:$BO$1006,0)), HYPERLINK("#",""), HYPERLINK(CONCATENATE("#Metadata!", ADDRESS(INDEX($AI$2:$AI$1001,MATCH(ROWS($AG$2:AG932),$AG$2:$AG$1001,0),0), INDEX($AN$1004:$BO$1004,1,MATCH(COLUMNS($AN$1006:AP1006),$AN$1006:$BO$1006,0)))),"Fix")))</f>
        <v>0</v>
      </c>
      <c r="E932" s="4">
        <f>IF(OR(INDEX($AH$2:$AH$1001,MATCH(ROWS($AG$2:AG932),$AG$2:$AG$1001,0),1)&gt;=100000,INDEX($AN$1005:$BO$1005,1,MATCH(COLUMNS($AN$1006:AQ1006),$AN$1006:$BO$1006,0))&gt;=100000), " ",IF(INDEX($AN$2:$BO$1001,MATCH(ROWS($AG$2:AG932),$AG$2:$AG$1001,0),MATCH(COLUMNS($AN$1006:AQ1006),$AN$1006:$BO$1006,0)), HYPERLINK("#",""), HYPERLINK(CONCATENATE("#Metadata!", ADDRESS(INDEX($AI$2:$AI$1001,MATCH(ROWS($AG$2:AG932),$AG$2:$AG$1001,0),0), INDEX($AN$1004:$BO$1004,1,MATCH(COLUMNS($AN$1006:AQ1006),$AN$1006:$BO$1006,0)))),"Fix")))</f>
        <v>0</v>
      </c>
      <c r="F932" s="4">
        <f>IF(OR(INDEX($AH$2:$AH$1001,MATCH(ROWS($AG$2:AG932),$AG$2:$AG$1001,0),1)&gt;=100000,INDEX($AN$1005:$BO$1005,1,MATCH(COLUMNS($AN$1006:AR1006),$AN$1006:$BO$1006,0))&gt;=100000), " ",IF(INDEX($AN$2:$BO$1001,MATCH(ROWS($AG$2:AG932),$AG$2:$AG$1001,0),MATCH(COLUMNS($AN$1006:AR1006),$AN$1006:$BO$1006,0)), HYPERLINK("#",""), HYPERLINK(CONCATENATE("#Metadata!", ADDRESS(INDEX($AI$2:$AI$1001,MATCH(ROWS($AG$2:AG932),$AG$2:$AG$1001,0),0), INDEX($AN$1004:$BO$1004,1,MATCH(COLUMNS($AN$1006:AR1006),$AN$1006:$BO$1006,0)))),"Fix")))</f>
        <v>0</v>
      </c>
      <c r="G932" s="4">
        <f>IF(OR(INDEX($AH$2:$AH$1001,MATCH(ROWS($AG$2:AG932),$AG$2:$AG$1001,0),1)&gt;=100000,INDEX($AN$1005:$BO$1005,1,MATCH(COLUMNS($AN$1006:AS1006),$AN$1006:$BO$1006,0))&gt;=100000), " ",IF(INDEX($AN$2:$BO$1001,MATCH(ROWS($AG$2:AG932),$AG$2:$AG$1001,0),MATCH(COLUMNS($AN$1006:AS1006),$AN$1006:$BO$1006,0)), HYPERLINK("#",""), HYPERLINK(CONCATENATE("#Metadata!", ADDRESS(INDEX($AI$2:$AI$1001,MATCH(ROWS($AG$2:AG932),$AG$2:$AG$1001,0),0), INDEX($AN$1004:$BO$1004,1,MATCH(COLUMNS($AN$1006:AS1006),$AN$1006:$BO$1006,0)))),"Fix")))</f>
        <v>0</v>
      </c>
      <c r="H932" s="4">
        <f>IF(OR(INDEX($AH$2:$AH$1001,MATCH(ROWS($AG$2:AG932),$AG$2:$AG$1001,0),1)&gt;=100000,INDEX($AN$1005:$BO$1005,1,MATCH(COLUMNS($AN$1006:AT1006),$AN$1006:$BO$1006,0))&gt;=100000), " ",IF(INDEX($AN$2:$BO$1001,MATCH(ROWS($AG$2:AG932),$AG$2:$AG$1001,0),MATCH(COLUMNS($AN$1006:AT1006),$AN$1006:$BO$1006,0)), HYPERLINK("#",""), HYPERLINK(CONCATENATE("#Metadata!", ADDRESS(INDEX($AI$2:$AI$1001,MATCH(ROWS($AG$2:AG932),$AG$2:$AG$1001,0),0), INDEX($AN$1004:$BO$1004,1,MATCH(COLUMNS($AN$1006:AT1006),$AN$1006:$BO$1006,0)))),"Fix")))</f>
        <v>0</v>
      </c>
      <c r="I932" s="4">
        <f>IF(OR(INDEX($AH$2:$AH$1001,MATCH(ROWS($AG$2:AG932),$AG$2:$AG$1001,0),1)&gt;=100000,INDEX($AN$1005:$BO$1005,1,MATCH(COLUMNS($AN$1006:AU1006),$AN$1006:$BO$1006,0))&gt;=100000), " ",IF(INDEX($AN$2:$BO$1001,MATCH(ROWS($AG$2:AG932),$AG$2:$AG$1001,0),MATCH(COLUMNS($AN$1006:AU1006),$AN$1006:$BO$1006,0)), HYPERLINK("#",""), HYPERLINK(CONCATENATE("#Metadata!", ADDRESS(INDEX($AI$2:$AI$1001,MATCH(ROWS($AG$2:AG932),$AG$2:$AG$1001,0),0), INDEX($AN$1004:$BO$1004,1,MATCH(COLUMNS($AN$1006:AU1006),$AN$1006:$BO$1006,0)))),"Fix")))</f>
        <v>0</v>
      </c>
      <c r="J932" s="4">
        <f>IF(OR(INDEX($AH$2:$AH$1001,MATCH(ROWS($AG$2:AG932),$AG$2:$AG$1001,0),1)&gt;=100000,INDEX($AN$1005:$BO$1005,1,MATCH(COLUMNS($AN$1006:AV1006),$AN$1006:$BO$1006,0))&gt;=100000), " ",IF(INDEX($AN$2:$BO$1001,MATCH(ROWS($AG$2:AG932),$AG$2:$AG$1001,0),MATCH(COLUMNS($AN$1006:AV1006),$AN$1006:$BO$1006,0)), HYPERLINK("#",""), HYPERLINK(CONCATENATE("#Metadata!", ADDRESS(INDEX($AI$2:$AI$1001,MATCH(ROWS($AG$2:AG932),$AG$2:$AG$1001,0),0), INDEX($AN$1004:$BO$1004,1,MATCH(COLUMNS($AN$1006:AV1006),$AN$1006:$BO$1006,0)))),"Fix")))</f>
        <v>0</v>
      </c>
      <c r="K932" s="4">
        <f>IF(OR(INDEX($AH$2:$AH$1001,MATCH(ROWS($AG$2:AG932),$AG$2:$AG$1001,0),1)&gt;=100000,INDEX($AN$1005:$BO$1005,1,MATCH(COLUMNS($AN$1006:AW1006),$AN$1006:$BO$1006,0))&gt;=100000), " ",IF(INDEX($AN$2:$BO$1001,MATCH(ROWS($AG$2:AG932),$AG$2:$AG$1001,0),MATCH(COLUMNS($AN$1006:AW1006),$AN$1006:$BO$1006,0)), HYPERLINK("#",""), HYPERLINK(CONCATENATE("#Metadata!", ADDRESS(INDEX($AI$2:$AI$1001,MATCH(ROWS($AG$2:AG932),$AG$2:$AG$1001,0),0), INDEX($AN$1004:$BO$1004,1,MATCH(COLUMNS($AN$1006:AW1006),$AN$1006:$BO$1006,0)))),"Fix")))</f>
        <v>0</v>
      </c>
      <c r="L932" s="4">
        <f>IF(OR(INDEX($AH$2:$AH$1001,MATCH(ROWS($AG$2:AG932),$AG$2:$AG$1001,0),1)&gt;=100000,INDEX($AN$1005:$BO$1005,1,MATCH(COLUMNS($AN$1006:AX1006),$AN$1006:$BO$1006,0))&gt;=100000), " ",IF(INDEX($AN$2:$BO$1001,MATCH(ROWS($AG$2:AG932),$AG$2:$AG$1001,0),MATCH(COLUMNS($AN$1006:AX1006),$AN$1006:$BO$1006,0)), HYPERLINK("#",""), HYPERLINK(CONCATENATE("#Metadata!", ADDRESS(INDEX($AI$2:$AI$1001,MATCH(ROWS($AG$2:AG932),$AG$2:$AG$1001,0),0), INDEX($AN$1004:$BO$1004,1,MATCH(COLUMNS($AN$1006:AX1006),$AN$1006:$BO$1006,0)))),"Fix")))</f>
        <v>0</v>
      </c>
      <c r="M932" s="4">
        <f>IF(OR(INDEX($AH$2:$AH$1001,MATCH(ROWS($AG$2:AG932),$AG$2:$AG$1001,0),1)&gt;=100000,INDEX($AN$1005:$BO$1005,1,MATCH(COLUMNS($AN$1006:AY1006),$AN$1006:$BO$1006,0))&gt;=100000), " ",IF(INDEX($AN$2:$BO$1001,MATCH(ROWS($AG$2:AG932),$AG$2:$AG$1001,0),MATCH(COLUMNS($AN$1006:AY1006),$AN$1006:$BO$1006,0)), HYPERLINK("#",""), HYPERLINK(CONCATENATE("#Metadata!", ADDRESS(INDEX($AI$2:$AI$1001,MATCH(ROWS($AG$2:AG932),$AG$2:$AG$1001,0),0), INDEX($AN$1004:$BO$1004,1,MATCH(COLUMNS($AN$1006:AY1006),$AN$1006:$BO$1006,0)))),"Fix")))</f>
        <v>0</v>
      </c>
      <c r="N932" s="4">
        <f>IF(OR(INDEX($AH$2:$AH$1001,MATCH(ROWS($AG$2:AG932),$AG$2:$AG$1001,0),1)&gt;=100000,INDEX($AN$1005:$BO$1005,1,MATCH(COLUMNS($AN$1006:AZ1006),$AN$1006:$BO$1006,0))&gt;=100000), " ",IF(INDEX($AN$2:$BO$1001,MATCH(ROWS($AG$2:AG932),$AG$2:$AG$1001,0),MATCH(COLUMNS($AN$1006:AZ1006),$AN$1006:$BO$1006,0)), HYPERLINK("#",""), HYPERLINK(CONCATENATE("#Metadata!", ADDRESS(INDEX($AI$2:$AI$1001,MATCH(ROWS($AG$2:AG932),$AG$2:$AG$1001,0),0), INDEX($AN$1004:$BO$1004,1,MATCH(COLUMNS($AN$1006:AZ1006),$AN$1006:$BO$1006,0)))),"Fix")))</f>
        <v>0</v>
      </c>
      <c r="O932" s="4">
        <f>IF(OR(INDEX($AH$2:$AH$1001,MATCH(ROWS($AG$2:AG932),$AG$2:$AG$1001,0),1)&gt;=100000,INDEX($AN$1005:$BO$1005,1,MATCH(COLUMNS($AN$1006:BA1006),$AN$1006:$BO$1006,0))&gt;=100000), " ",IF(INDEX($AN$2:$BO$1001,MATCH(ROWS($AG$2:AG932),$AG$2:$AG$1001,0),MATCH(COLUMNS($AN$1006:BA1006),$AN$1006:$BO$1006,0)), HYPERLINK("#",""), HYPERLINK(CONCATENATE("#Metadata!", ADDRESS(INDEX($AI$2:$AI$1001,MATCH(ROWS($AG$2:AG932),$AG$2:$AG$1001,0),0), INDEX($AN$1004:$BO$1004,1,MATCH(COLUMNS($AN$1006:BA1006),$AN$1006:$BO$1006,0)))),"Fix")))</f>
        <v>0</v>
      </c>
      <c r="P932" s="4">
        <f>IF(OR(INDEX($AH$2:$AH$1001,MATCH(ROWS($AG$2:AG932),$AG$2:$AG$1001,0),1)&gt;=100000,INDEX($AN$1005:$BO$1005,1,MATCH(COLUMNS($AN$1006:BB1006),$AN$1006:$BO$1006,0))&gt;=100000), " ",IF(INDEX($AN$2:$BO$1001,MATCH(ROWS($AG$2:AG932),$AG$2:$AG$1001,0),MATCH(COLUMNS($AN$1006:BB1006),$AN$1006:$BO$1006,0)), HYPERLINK("#",""), HYPERLINK(CONCATENATE("#Metadata!", ADDRESS(INDEX($AI$2:$AI$1001,MATCH(ROWS($AG$2:AG932),$AG$2:$AG$1001,0),0), INDEX($AN$1004:$BO$1004,1,MATCH(COLUMNS($AN$1006:BB1006),$AN$1006:$BO$1006,0)))),"Fix")))</f>
        <v>0</v>
      </c>
      <c r="Q932" s="4">
        <f>IF(OR(INDEX($AH$2:$AH$1001,MATCH(ROWS($AG$2:AG932),$AG$2:$AG$1001,0),1)&gt;=100000,INDEX($AN$1005:$BO$1005,1,MATCH(COLUMNS($AN$1006:BC1006),$AN$1006:$BO$1006,0))&gt;=100000), " ",IF(INDEX($AN$2:$BO$1001,MATCH(ROWS($AG$2:AG932),$AG$2:$AG$1001,0),MATCH(COLUMNS($AN$1006:BC1006),$AN$1006:$BO$1006,0)), HYPERLINK("#",""), HYPERLINK(CONCATENATE("#Metadata!", ADDRESS(INDEX($AI$2:$AI$1001,MATCH(ROWS($AG$2:AG932),$AG$2:$AG$1001,0),0), INDEX($AN$1004:$BO$1004,1,MATCH(COLUMNS($AN$1006:BC1006),$AN$1006:$BO$1006,0)))),"Fix")))</f>
        <v>0</v>
      </c>
      <c r="R932" s="4">
        <f>IF(OR(INDEX($AH$2:$AH$1001,MATCH(ROWS($AG$2:AG932),$AG$2:$AG$1001,0),1)&gt;=100000,INDEX($AN$1005:$BO$1005,1,MATCH(COLUMNS($AN$1006:BD1006),$AN$1006:$BO$1006,0))&gt;=100000), " ",IF(INDEX($AN$2:$BO$1001,MATCH(ROWS($AG$2:AG932),$AG$2:$AG$1001,0),MATCH(COLUMNS($AN$1006:BD1006),$AN$1006:$BO$1006,0)), HYPERLINK("#",""), HYPERLINK(CONCATENATE("#Metadata!", ADDRESS(INDEX($AI$2:$AI$1001,MATCH(ROWS($AG$2:AG932),$AG$2:$AG$1001,0),0), INDEX($AN$1004:$BO$1004,1,MATCH(COLUMNS($AN$1006:BD1006),$AN$1006:$BO$1006,0)))),"Fix")))</f>
        <v>0</v>
      </c>
      <c r="S932" s="4">
        <f>IF(OR(INDEX($AH$2:$AH$1001,MATCH(ROWS($AG$2:AG932),$AG$2:$AG$1001,0),1)&gt;=100000,INDEX($AN$1005:$BO$1005,1,MATCH(COLUMNS($AN$1006:BE1006),$AN$1006:$BO$1006,0))&gt;=100000), " ",IF(INDEX($AN$2:$BO$1001,MATCH(ROWS($AG$2:AG932),$AG$2:$AG$1001,0),MATCH(COLUMNS($AN$1006:BE1006),$AN$1006:$BO$1006,0)), HYPERLINK("#",""), HYPERLINK(CONCATENATE("#Metadata!", ADDRESS(INDEX($AI$2:$AI$1001,MATCH(ROWS($AG$2:AG932),$AG$2:$AG$1001,0),0), INDEX($AN$1004:$BO$1004,1,MATCH(COLUMNS($AN$1006:BE1006),$AN$1006:$BO$1006,0)))),"Fix")))</f>
        <v>0</v>
      </c>
      <c r="T932" s="4">
        <f>IF(OR(INDEX($AH$2:$AH$1001,MATCH(ROWS($AG$2:AG932),$AG$2:$AG$1001,0),1)&gt;=100000,INDEX($AN$1005:$BO$1005,1,MATCH(COLUMNS($AN$1006:BF1006),$AN$1006:$BO$1006,0))&gt;=100000), " ",IF(INDEX($AN$2:$BO$1001,MATCH(ROWS($AG$2:AG932),$AG$2:$AG$1001,0),MATCH(COLUMNS($AN$1006:BF1006),$AN$1006:$BO$1006,0)), HYPERLINK("#",""), HYPERLINK(CONCATENATE("#Metadata!", ADDRESS(INDEX($AI$2:$AI$1001,MATCH(ROWS($AG$2:AG932),$AG$2:$AG$1001,0),0), INDEX($AN$1004:$BO$1004,1,MATCH(COLUMNS($AN$1006:BF1006),$AN$1006:$BO$1006,0)))),"Fix")))</f>
        <v>0</v>
      </c>
      <c r="U932" s="4">
        <f>IF(OR(INDEX($AH$2:$AH$1001,MATCH(ROWS($AG$2:AG932),$AG$2:$AG$1001,0),1)&gt;=100000,INDEX($AN$1005:$BO$1005,1,MATCH(COLUMNS($AN$1006:BG1006),$AN$1006:$BO$1006,0))&gt;=100000), " ",IF(INDEX($AN$2:$BO$1001,MATCH(ROWS($AG$2:AG932),$AG$2:$AG$1001,0),MATCH(COLUMNS($AN$1006:BG1006),$AN$1006:$BO$1006,0)), HYPERLINK("#",""), HYPERLINK(CONCATENATE("#Metadata!", ADDRESS(INDEX($AI$2:$AI$1001,MATCH(ROWS($AG$2:AG932),$AG$2:$AG$1001,0),0), INDEX($AN$1004:$BO$1004,1,MATCH(COLUMNS($AN$1006:BG1006),$AN$1006:$BO$1006,0)))),"Fix")))</f>
        <v>0</v>
      </c>
      <c r="V932" s="4">
        <f>IF(OR(INDEX($AH$2:$AH$1001,MATCH(ROWS($AG$2:AG932),$AG$2:$AG$1001,0),1)&gt;=100000,INDEX($AN$1005:$BO$1005,1,MATCH(COLUMNS($AN$1006:BH1006),$AN$1006:$BO$1006,0))&gt;=100000), " ",IF(INDEX($AN$2:$BO$1001,MATCH(ROWS($AG$2:AG932),$AG$2:$AG$1001,0),MATCH(COLUMNS($AN$1006:BH1006),$AN$1006:$BO$1006,0)), HYPERLINK("#",""), HYPERLINK(CONCATENATE("#Metadata!", ADDRESS(INDEX($AI$2:$AI$1001,MATCH(ROWS($AG$2:AG932),$AG$2:$AG$1001,0),0), INDEX($AN$1004:$BO$1004,1,MATCH(COLUMNS($AN$1006:BH1006),$AN$1006:$BO$1006,0)))),"Fix")))</f>
        <v>0</v>
      </c>
      <c r="W932" s="4">
        <f>IF(OR(INDEX($AH$2:$AH$1001,MATCH(ROWS($AG$2:AG932),$AG$2:$AG$1001,0),1)&gt;=100000,INDEX($AN$1005:$BO$1005,1,MATCH(COLUMNS($AN$1006:BI1006),$AN$1006:$BO$1006,0))&gt;=100000), " ",IF(INDEX($AN$2:$BO$1001,MATCH(ROWS($AG$2:AG932),$AG$2:$AG$1001,0),MATCH(COLUMNS($AN$1006:BI1006),$AN$1006:$BO$1006,0)), HYPERLINK("#",""), HYPERLINK(CONCATENATE("#Metadata!", ADDRESS(INDEX($AI$2:$AI$1001,MATCH(ROWS($AG$2:AG932),$AG$2:$AG$1001,0),0), INDEX($AN$1004:$BO$1004,1,MATCH(COLUMNS($AN$1006:BI1006),$AN$1006:$BO$1006,0)))),"Fix")))</f>
        <v>0</v>
      </c>
      <c r="X932" s="4">
        <f>IF(OR(INDEX($AH$2:$AH$1001,MATCH(ROWS($AG$2:AG932),$AG$2:$AG$1001,0),1)&gt;=100000,INDEX($AN$1005:$BO$1005,1,MATCH(COLUMNS($AN$1006:BJ1006),$AN$1006:$BO$1006,0))&gt;=100000), " ",IF(INDEX($AN$2:$BO$1001,MATCH(ROWS($AG$2:AG932),$AG$2:$AG$1001,0),MATCH(COLUMNS($AN$1006:BJ1006),$AN$1006:$BO$1006,0)), HYPERLINK("#",""), HYPERLINK(CONCATENATE("#Metadata!", ADDRESS(INDEX($AI$2:$AI$1001,MATCH(ROWS($AG$2:AG932),$AG$2:$AG$1001,0),0), INDEX($AN$1004:$BO$1004,1,MATCH(COLUMNS($AN$1006:BJ1006),$AN$1006:$BO$1006,0)))),"Fix")))</f>
        <v>0</v>
      </c>
      <c r="Y932" s="4">
        <f>IF(OR(INDEX($AH$2:$AH$1001,MATCH(ROWS($AG$2:AG932),$AG$2:$AG$1001,0),1)&gt;=100000,INDEX($AN$1005:$BO$1005,1,MATCH(COLUMNS($AN$1006:BK1006),$AN$1006:$BO$1006,0))&gt;=100000), " ",IF(INDEX($AN$2:$BO$1001,MATCH(ROWS($AG$2:AG932),$AG$2:$AG$1001,0),MATCH(COLUMNS($AN$1006:BK1006),$AN$1006:$BO$1006,0)), HYPERLINK("#",""), HYPERLINK(CONCATENATE("#Metadata!", ADDRESS(INDEX($AI$2:$AI$1001,MATCH(ROWS($AG$2:AG932),$AG$2:$AG$1001,0),0), INDEX($AN$1004:$BO$1004,1,MATCH(COLUMNS($AN$1006:BK1006),$AN$1006:$BO$1006,0)))),"Fix")))</f>
        <v>0</v>
      </c>
      <c r="Z932" s="4">
        <f>IF(OR(INDEX($AH$2:$AH$1001,MATCH(ROWS($AG$2:AG932),$AG$2:$AG$1001,0),1)&gt;=100000,INDEX($AN$1005:$BO$1005,1,MATCH(COLUMNS($AN$1006:BL1006),$AN$1006:$BO$1006,0))&gt;=100000), " ",IF(INDEX($AN$2:$BO$1001,MATCH(ROWS($AG$2:AG932),$AG$2:$AG$1001,0),MATCH(COLUMNS($AN$1006:BL1006),$AN$1006:$BO$1006,0)), HYPERLINK("#",""), HYPERLINK(CONCATENATE("#Metadata!", ADDRESS(INDEX($AI$2:$AI$1001,MATCH(ROWS($AG$2:AG932),$AG$2:$AG$1001,0),0), INDEX($AN$1004:$BO$1004,1,MATCH(COLUMNS($AN$1006:BL1006),$AN$1006:$BO$1006,0)))),"Fix")))</f>
        <v>0</v>
      </c>
      <c r="AA932" s="4">
        <f>IF(OR(INDEX($AH$2:$AH$1001,MATCH(ROWS($AG$2:AG932),$AG$2:$AG$1001,0),1)&gt;=100000,INDEX($AN$1005:$BO$1005,1,MATCH(COLUMNS($AN$1006:BM1006),$AN$1006:$BO$1006,0))&gt;=100000), " ",IF(INDEX($AN$2:$BO$1001,MATCH(ROWS($AG$2:AG932),$AG$2:$AG$1001,0),MATCH(COLUMNS($AN$1006:BM1006),$AN$1006:$BO$1006,0)), HYPERLINK("#",""), HYPERLINK(CONCATENATE("#Metadata!", ADDRESS(INDEX($AI$2:$AI$1001,MATCH(ROWS($AG$2:AG932),$AG$2:$AG$1001,0),0), INDEX($AN$1004:$BO$1004,1,MATCH(COLUMNS($AN$1006:BM1006),$AN$1006:$BO$1006,0)))),"Fix")))</f>
        <v>0</v>
      </c>
      <c r="AB932" s="4">
        <f>IF(OR(INDEX($AH$2:$AH$1001,MATCH(ROWS($AG$2:AG932),$AG$2:$AG$1001,0),1)&gt;=100000,INDEX($AN$1005:$BO$1005,1,MATCH(COLUMNS($AN$1006:BN1006),$AN$1006:$BO$1006,0))&gt;=100000), " ",IF(INDEX($AN$2:$BO$1001,MATCH(ROWS($AG$2:AG932),$AG$2:$AG$1001,0),MATCH(COLUMNS($AN$1006:BN1006),$AN$1006:$BO$1006,0)), HYPERLINK("#",""), HYPERLINK(CONCATENATE("#Metadata!", ADDRESS(INDEX($AI$2:$AI$1001,MATCH(ROWS($AG$2:AG932),$AG$2:$AG$1001,0),0), INDEX($AN$1004:$BO$1004,1,MATCH(COLUMNS($AN$1006:BN1006),$AN$1006:$BO$1006,0)))),"Fix")))</f>
        <v>0</v>
      </c>
      <c r="AC932" s="4">
        <f>IF(OR(INDEX($AH$2:$AH$1001,MATCH(ROWS($AG$2:AG932),$AG$2:$AG$1001,0),1)&gt;=100000,INDEX($AN$1005:$BO$1005,1,MATCH(COLUMNS($AN$1006:BO1006),$AN$1006:$BO$1006,0))&gt;=100000), " ",IF(INDEX($AN$2:$BO$1001,MATCH(ROWS($AG$2:AG932),$AG$2:$AG$1001,0),MATCH(COLUMNS($AN$1006:BO1006),$AN$1006:$BO$1006,0)), HYPERLINK("#",""), HYPERLINK(CONCATENATE("#Metadata!", ADDRESS(INDEX($AI$2:$AI$1001,MATCH(ROWS($AG$2:AG932),$AG$2:$AG$1001,0),0), INDEX($AN$1004:$BO$1004,1,MATCH(COLUMNS($AN$1006:BO1006),$AN$1006:$BO$1006,0)))),"Fix")))</f>
        <v>0</v>
      </c>
      <c r="AG932">
        <v>0</v>
      </c>
      <c r="AH932">
        <v>0</v>
      </c>
      <c r="AI932">
        <v>0</v>
      </c>
      <c r="AJ932">
        <f>IF(AK932,TRUE,AND(AN932:BO932))</f>
        <v>0</v>
      </c>
      <c r="AK932">
        <f>COUNTBLANK(Metadata!B932:AC932)=COLUMNS(Metadata!B932:AC932)</f>
        <v>0</v>
      </c>
      <c r="AL932">
        <v>0</v>
      </c>
      <c r="AN932">
        <f>AND(IF(Metadata!B932="",FALSE,TRUE),COUNTIF(Metadata!B:B, Metadata!B932) = 1,NOT(ISERROR(SUMPRODUCT(SEARCH(MID(Metadata!B932,ROW(INDIRECT("1:"&amp;LEN(Metadata!B932))), 1),"0123456789abcdefghijklmnopqrstuvwxyzABCDEFGHIJKLMNOPQRSTUVWXYZ.")))))</f>
        <v>0</v>
      </c>
      <c r="AO932">
        <f>IF(Metadata!C932="",FALSE,TRUE)</f>
        <v>0</v>
      </c>
      <c r="AP932">
        <f>IF(Metadata!D932="",FALSE,TRUE)</f>
        <v>0</v>
      </c>
      <c r="AQ932">
        <f>OR(AND(IF(Metadata!E932="",FALSE,TRUE),OR(exact(Metadata!E932,"not collected"),exact(Metadata!E932,"not provided"),exact(Metadata!E932,"restricted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R932">
        <f>IF(Metadata!F932="",FALSE,TRUE)</f>
        <v>0</v>
      </c>
      <c r="AS932">
        <f>OR(AND(IF(Metadata!G932="",FALSE,TRUE),OR(exact(Metadata!G932,"not collected"),exact(Metadata!G932,"not provided"))),AND(IF(Metadata!G932="",FALSE,TRUE),OR(exact(Metadata!G932,"TRUE"),exact(Metadata!G932,"FALSE"))))</f>
        <v>0</v>
      </c>
      <c r="AT932">
        <f>OR(AND(IF(Metadata!H932="",FALSE,TRUE),OR(exact(Metadata!H932,"not collected"),exact(Metadata!H932,"not provided"),exact(Metadata!H932,"restricted access"))),AND(IF(Metadata!H932="",FALSE,ISNUMBER(VALUE(Metadata!H932))),Metadata!H932&gt;=-413.0))</f>
        <v>0</v>
      </c>
      <c r="AU932">
        <f>AND(IF(Metadata!I932="",FALSE,TRUE),exact(Metadata!I932,"meters"))</f>
        <v>0</v>
      </c>
      <c r="AV932">
        <f>AND(IF(Metadata!J932="",FALSE,TRUE),OR(exact(Metadata!J932,"Host-associated"),exact(Metadata!J932,"Free-living")))</f>
        <v>0</v>
      </c>
      <c r="AW932">
        <f>AND(IF(Metadata!K932="",FALSE,TRUE),OR(exact(Metadata!K932,"Animal"),exact(Metadata!K932,"Fungus"),exact(Metadata!K932,"Plant"),exact(Metadata!K932,"Saline"),exact(Metadata!K932,"Non-saline")))</f>
        <v>0</v>
      </c>
      <c r="AX932">
        <f>AND(IF(Metadata!L932="",FALSE,TRUE),OR(exact(Metadata!L932,"Plant secretion"),exact(Metadata!L932,"Plant rhizosphere"),exact(Metadata!L932,"Plant surface"),exact(Metadata!L932,"Plant corpus"),exact(Metadata!L932,"Fungus surface"),exact(Metadata!L932,"Fungus corpus"),exact(Metadata!L932,"Animal surface"),exact(Metadata!L932,"Animal proximal gut"),exact(Metadata!L932,"Animal corpus"),exact(Metadata!L932,"Animal distal gut"),exact(Metadata!L932,"Animal secretion"),exact(Metadata!L932,"Sub-surface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Y932">
        <f>IF(Metadata!M932="",FALSE,TRUE)</f>
        <v>0</v>
      </c>
      <c r="AZ932">
        <f>IF(Metadata!N932="",FALSE,TRUE)</f>
        <v>0</v>
      </c>
      <c r="BA932">
        <f>IF(Metadata!O932="",FALSE,TRUE)</f>
        <v>0</v>
      </c>
      <c r="BB932">
        <f>OR(AND(IF(Metadata!P932="",FALSE,TRUE),OR(exact(Metadata!P932,"not collected"),exact(Metadata!P932,"not provided"),exact(Metadata!P932,"restricted access"))),AND(IF(Metadata!P932="",FALSE,TRUE),OR(exact(Metadata!P932,"air"),exact(Metadata!P932,"built environment"),exact(Metadata!P932,"host-associated"),exact(Metadata!P932,"human-associated"),exact(Metadata!P932,"human-skin"),exact(Metadata!P932,"human-oral"),exact(Metadata!P932,"human-gut"),exact(Metadata!P932,"human-vaginal"),exact(Metadata!P932,"microbial mat/biofilm"),exact(Metadata!P932,"misc environment"),exact(Metadata!P932,"plant-associated"),exact(Metadata!P932,"sediment"),exact(Metadata!P932,"soil"),exact(Metadata!P932,"wastewater/sludge"),exact(Metadata!P932,"water"))))</f>
        <v>0</v>
      </c>
      <c r="BC932">
        <f>IF(Metadata!Q932="",FALSE,TRUE)</f>
        <v>0</v>
      </c>
      <c r="BD932">
        <f>IF(Metadata!R932="",FALSE,TRUE)</f>
        <v>0</v>
      </c>
      <c r="BE932">
        <f>OR(AND(IF(Metadata!S932="",FALSE,TRUE),OR(exact(Metadata!S932,"not collected"),exact(Metadata!S932,"not provided"),exact(Metadata!S932,"restricted access"))),AND(IF(Metadata!S932="",FALSE,ISNUMBER(VALUE(Metadata!S932))),Metadata!S932&gt;=-90.00,Metadata!S932&lt;=90.00))</f>
        <v>0</v>
      </c>
      <c r="BF932">
        <f>AND(IF(Metadata!T932="",FALSE,TRUE),exact(Metadata!T932,"Decimal degrees"))</f>
        <v>0</v>
      </c>
      <c r="BG932">
        <f>OR(AND(IF(Metadata!U932="",FALSE,TRUE),OR(exact(Metadata!U932,"not collected"),exact(Metadata!U932,"not provided"),exact(Metadata!U932,"restricted access"))),AND(IF(Metadata!U932="",FALSE,ISNUMBER(VALUE(Metadata!U932))),Metadata!U932&gt;=-180.00,Metadata!U932&lt;=180.00))</f>
        <v>0</v>
      </c>
      <c r="BH932">
        <f>AND(IF(Metadata!V932="",FALSE,TRUE),exact(Metadata!V932,"Decimal degrees"))</f>
        <v>0</v>
      </c>
      <c r="BI932">
        <f>IF(Metadata!W932="",FALSE,TRUE)</f>
        <v>0</v>
      </c>
      <c r="BJ932">
        <f>OR(AND(IF(Metadata!X932="",FALSE,TRUE),OR(exact(Metadata!X932,"not collected"),exact(Metadata!X932,"not provided"),exact(Metadata!X932,"restricted access"))),AND(IF(Metadata!X932="",FALSE,TRUE),OR(exact(Metadata!X932,"TRUE"),exact(Metadata!X932,"FALSE"))))</f>
        <v>0</v>
      </c>
      <c r="BK932">
        <f>AND(IF(Metadata!Y932="",FALSE,TRUE),exact(Metadata!Y932,"other"))</f>
        <v>0</v>
      </c>
      <c r="BL932">
        <f>IF(Metadata!Z932="",FALSE,TRUE)</f>
        <v>0</v>
      </c>
      <c r="BM932">
        <f>OR(AND(IF(Metadata!AA932="",FALSE,TRUE),OR(exact(Metadata!AA932,"not collected"),exact(Metadata!AA932,"not provided"))),AND(IF(Metadata!AA932="",FALSE,IF(ISERROR(INT(Metadata!AA932)),FALSE,INT(Metadata!AA932)=Metadata!AA932)),Metadata!AA932&gt;0))</f>
        <v>0</v>
      </c>
      <c r="BN932">
        <f>AND(IF(Metadata!AB932="",FALSE,TRUE),exact(Metadata!AB932,"Not applicable"))</f>
        <v>0</v>
      </c>
      <c r="BO932">
        <f>IF(Metadata!AC932="",FALSE,TRUE)</f>
        <v>0</v>
      </c>
    </row>
    <row r="933" spans="1:67">
      <c r="A933" s="5">
        <f>IF(B933=" "," ",HYPERLINK(CONCATENATE("#metadata!",ADDRESS(INDEX($AI$2:$AI$1001,MATCH(ROWS($AG$2:AG933),$AG$2:$AG$1001,0),0),1)),INDEX($AL$2:$AL$1001,MATCH(ROWS($AG$2:AG933),$AG$2:$AG$1001,0),0)))</f>
        <v>0</v>
      </c>
      <c r="B933" s="4">
        <f>IF(OR(INDEX($AH$2:$AH$1001,MATCH(ROWS($AG$2:AG933),$AG$2:$AG$1001,0),1)&gt;=100000,INDEX($AN$1005:$BO$1005,1,MATCH(COLUMNS($AN$1006:AN1006),$AN$1006:$BO$1006,0))&gt;=100000), " ",IF(INDEX($AN$2:$BO$1001,MATCH(ROWS($AG$2:AG933),$AG$2:$AG$1001,0),MATCH(COLUMNS($AN$1006:AN1006),$AN$1006:$BO$1006,0)), HYPERLINK("#",""), HYPERLINK(CONCATENATE("#Metadata!", ADDRESS(INDEX($AI$2:$AI$1001,MATCH(ROWS($AG$2:AG933),$AG$2:$AG$1001,0),0), INDEX($AN$1004:$BO$1004,1,MATCH(COLUMNS($AN$1006:AN1006),$AN$1006:$BO$1006,0)))),"Fix")))</f>
        <v>0</v>
      </c>
      <c r="C933" s="4">
        <f>IF(OR(INDEX($AH$2:$AH$1001,MATCH(ROWS($AG$2:AG933),$AG$2:$AG$1001,0),1)&gt;=100000,INDEX($AN$1005:$BO$1005,1,MATCH(COLUMNS($AN$1006:AO1006),$AN$1006:$BO$1006,0))&gt;=100000), " ",IF(INDEX($AN$2:$BO$1001,MATCH(ROWS($AG$2:AG933),$AG$2:$AG$1001,0),MATCH(COLUMNS($AN$1006:AO1006),$AN$1006:$BO$1006,0)), HYPERLINK("#",""), HYPERLINK(CONCATENATE("#Metadata!", ADDRESS(INDEX($AI$2:$AI$1001,MATCH(ROWS($AG$2:AG933),$AG$2:$AG$1001,0),0), INDEX($AN$1004:$BO$1004,1,MATCH(COLUMNS($AN$1006:AO1006),$AN$1006:$BO$1006,0)))),"Fix")))</f>
        <v>0</v>
      </c>
      <c r="D933" s="4">
        <f>IF(OR(INDEX($AH$2:$AH$1001,MATCH(ROWS($AG$2:AG933),$AG$2:$AG$1001,0),1)&gt;=100000,INDEX($AN$1005:$BO$1005,1,MATCH(COLUMNS($AN$1006:AP1006),$AN$1006:$BO$1006,0))&gt;=100000), " ",IF(INDEX($AN$2:$BO$1001,MATCH(ROWS($AG$2:AG933),$AG$2:$AG$1001,0),MATCH(COLUMNS($AN$1006:AP1006),$AN$1006:$BO$1006,0)), HYPERLINK("#",""), HYPERLINK(CONCATENATE("#Metadata!", ADDRESS(INDEX($AI$2:$AI$1001,MATCH(ROWS($AG$2:AG933),$AG$2:$AG$1001,0),0), INDEX($AN$1004:$BO$1004,1,MATCH(COLUMNS($AN$1006:AP1006),$AN$1006:$BO$1006,0)))),"Fix")))</f>
        <v>0</v>
      </c>
      <c r="E933" s="4">
        <f>IF(OR(INDEX($AH$2:$AH$1001,MATCH(ROWS($AG$2:AG933),$AG$2:$AG$1001,0),1)&gt;=100000,INDEX($AN$1005:$BO$1005,1,MATCH(COLUMNS($AN$1006:AQ1006),$AN$1006:$BO$1006,0))&gt;=100000), " ",IF(INDEX($AN$2:$BO$1001,MATCH(ROWS($AG$2:AG933),$AG$2:$AG$1001,0),MATCH(COLUMNS($AN$1006:AQ1006),$AN$1006:$BO$1006,0)), HYPERLINK("#",""), HYPERLINK(CONCATENATE("#Metadata!", ADDRESS(INDEX($AI$2:$AI$1001,MATCH(ROWS($AG$2:AG933),$AG$2:$AG$1001,0),0), INDEX($AN$1004:$BO$1004,1,MATCH(COLUMNS($AN$1006:AQ1006),$AN$1006:$BO$1006,0)))),"Fix")))</f>
        <v>0</v>
      </c>
      <c r="F933" s="4">
        <f>IF(OR(INDEX($AH$2:$AH$1001,MATCH(ROWS($AG$2:AG933),$AG$2:$AG$1001,0),1)&gt;=100000,INDEX($AN$1005:$BO$1005,1,MATCH(COLUMNS($AN$1006:AR1006),$AN$1006:$BO$1006,0))&gt;=100000), " ",IF(INDEX($AN$2:$BO$1001,MATCH(ROWS($AG$2:AG933),$AG$2:$AG$1001,0),MATCH(COLUMNS($AN$1006:AR1006),$AN$1006:$BO$1006,0)), HYPERLINK("#",""), HYPERLINK(CONCATENATE("#Metadata!", ADDRESS(INDEX($AI$2:$AI$1001,MATCH(ROWS($AG$2:AG933),$AG$2:$AG$1001,0),0), INDEX($AN$1004:$BO$1004,1,MATCH(COLUMNS($AN$1006:AR1006),$AN$1006:$BO$1006,0)))),"Fix")))</f>
        <v>0</v>
      </c>
      <c r="G933" s="4">
        <f>IF(OR(INDEX($AH$2:$AH$1001,MATCH(ROWS($AG$2:AG933),$AG$2:$AG$1001,0),1)&gt;=100000,INDEX($AN$1005:$BO$1005,1,MATCH(COLUMNS($AN$1006:AS1006),$AN$1006:$BO$1006,0))&gt;=100000), " ",IF(INDEX($AN$2:$BO$1001,MATCH(ROWS($AG$2:AG933),$AG$2:$AG$1001,0),MATCH(COLUMNS($AN$1006:AS1006),$AN$1006:$BO$1006,0)), HYPERLINK("#",""), HYPERLINK(CONCATENATE("#Metadata!", ADDRESS(INDEX($AI$2:$AI$1001,MATCH(ROWS($AG$2:AG933),$AG$2:$AG$1001,0),0), INDEX($AN$1004:$BO$1004,1,MATCH(COLUMNS($AN$1006:AS1006),$AN$1006:$BO$1006,0)))),"Fix")))</f>
        <v>0</v>
      </c>
      <c r="H933" s="4">
        <f>IF(OR(INDEX($AH$2:$AH$1001,MATCH(ROWS($AG$2:AG933),$AG$2:$AG$1001,0),1)&gt;=100000,INDEX($AN$1005:$BO$1005,1,MATCH(COLUMNS($AN$1006:AT1006),$AN$1006:$BO$1006,0))&gt;=100000), " ",IF(INDEX($AN$2:$BO$1001,MATCH(ROWS($AG$2:AG933),$AG$2:$AG$1001,0),MATCH(COLUMNS($AN$1006:AT1006),$AN$1006:$BO$1006,0)), HYPERLINK("#",""), HYPERLINK(CONCATENATE("#Metadata!", ADDRESS(INDEX($AI$2:$AI$1001,MATCH(ROWS($AG$2:AG933),$AG$2:$AG$1001,0),0), INDEX($AN$1004:$BO$1004,1,MATCH(COLUMNS($AN$1006:AT1006),$AN$1006:$BO$1006,0)))),"Fix")))</f>
        <v>0</v>
      </c>
      <c r="I933" s="4">
        <f>IF(OR(INDEX($AH$2:$AH$1001,MATCH(ROWS($AG$2:AG933),$AG$2:$AG$1001,0),1)&gt;=100000,INDEX($AN$1005:$BO$1005,1,MATCH(COLUMNS($AN$1006:AU1006),$AN$1006:$BO$1006,0))&gt;=100000), " ",IF(INDEX($AN$2:$BO$1001,MATCH(ROWS($AG$2:AG933),$AG$2:$AG$1001,0),MATCH(COLUMNS($AN$1006:AU1006),$AN$1006:$BO$1006,0)), HYPERLINK("#",""), HYPERLINK(CONCATENATE("#Metadata!", ADDRESS(INDEX($AI$2:$AI$1001,MATCH(ROWS($AG$2:AG933),$AG$2:$AG$1001,0),0), INDEX($AN$1004:$BO$1004,1,MATCH(COLUMNS($AN$1006:AU1006),$AN$1006:$BO$1006,0)))),"Fix")))</f>
        <v>0</v>
      </c>
      <c r="J933" s="4">
        <f>IF(OR(INDEX($AH$2:$AH$1001,MATCH(ROWS($AG$2:AG933),$AG$2:$AG$1001,0),1)&gt;=100000,INDEX($AN$1005:$BO$1005,1,MATCH(COLUMNS($AN$1006:AV1006),$AN$1006:$BO$1006,0))&gt;=100000), " ",IF(INDEX($AN$2:$BO$1001,MATCH(ROWS($AG$2:AG933),$AG$2:$AG$1001,0),MATCH(COLUMNS($AN$1006:AV1006),$AN$1006:$BO$1006,0)), HYPERLINK("#",""), HYPERLINK(CONCATENATE("#Metadata!", ADDRESS(INDEX($AI$2:$AI$1001,MATCH(ROWS($AG$2:AG933),$AG$2:$AG$1001,0),0), INDEX($AN$1004:$BO$1004,1,MATCH(COLUMNS($AN$1006:AV1006),$AN$1006:$BO$1006,0)))),"Fix")))</f>
        <v>0</v>
      </c>
      <c r="K933" s="4">
        <f>IF(OR(INDEX($AH$2:$AH$1001,MATCH(ROWS($AG$2:AG933),$AG$2:$AG$1001,0),1)&gt;=100000,INDEX($AN$1005:$BO$1005,1,MATCH(COLUMNS($AN$1006:AW1006),$AN$1006:$BO$1006,0))&gt;=100000), " ",IF(INDEX($AN$2:$BO$1001,MATCH(ROWS($AG$2:AG933),$AG$2:$AG$1001,0),MATCH(COLUMNS($AN$1006:AW1006),$AN$1006:$BO$1006,0)), HYPERLINK("#",""), HYPERLINK(CONCATENATE("#Metadata!", ADDRESS(INDEX($AI$2:$AI$1001,MATCH(ROWS($AG$2:AG933),$AG$2:$AG$1001,0),0), INDEX($AN$1004:$BO$1004,1,MATCH(COLUMNS($AN$1006:AW1006),$AN$1006:$BO$1006,0)))),"Fix")))</f>
        <v>0</v>
      </c>
      <c r="L933" s="4">
        <f>IF(OR(INDEX($AH$2:$AH$1001,MATCH(ROWS($AG$2:AG933),$AG$2:$AG$1001,0),1)&gt;=100000,INDEX($AN$1005:$BO$1005,1,MATCH(COLUMNS($AN$1006:AX1006),$AN$1006:$BO$1006,0))&gt;=100000), " ",IF(INDEX($AN$2:$BO$1001,MATCH(ROWS($AG$2:AG933),$AG$2:$AG$1001,0),MATCH(COLUMNS($AN$1006:AX1006),$AN$1006:$BO$1006,0)), HYPERLINK("#",""), HYPERLINK(CONCATENATE("#Metadata!", ADDRESS(INDEX($AI$2:$AI$1001,MATCH(ROWS($AG$2:AG933),$AG$2:$AG$1001,0),0), INDEX($AN$1004:$BO$1004,1,MATCH(COLUMNS($AN$1006:AX1006),$AN$1006:$BO$1006,0)))),"Fix")))</f>
        <v>0</v>
      </c>
      <c r="M933" s="4">
        <f>IF(OR(INDEX($AH$2:$AH$1001,MATCH(ROWS($AG$2:AG933),$AG$2:$AG$1001,0),1)&gt;=100000,INDEX($AN$1005:$BO$1005,1,MATCH(COLUMNS($AN$1006:AY1006),$AN$1006:$BO$1006,0))&gt;=100000), " ",IF(INDEX($AN$2:$BO$1001,MATCH(ROWS($AG$2:AG933),$AG$2:$AG$1001,0),MATCH(COLUMNS($AN$1006:AY1006),$AN$1006:$BO$1006,0)), HYPERLINK("#",""), HYPERLINK(CONCATENATE("#Metadata!", ADDRESS(INDEX($AI$2:$AI$1001,MATCH(ROWS($AG$2:AG933),$AG$2:$AG$1001,0),0), INDEX($AN$1004:$BO$1004,1,MATCH(COLUMNS($AN$1006:AY1006),$AN$1006:$BO$1006,0)))),"Fix")))</f>
        <v>0</v>
      </c>
      <c r="N933" s="4">
        <f>IF(OR(INDEX($AH$2:$AH$1001,MATCH(ROWS($AG$2:AG933),$AG$2:$AG$1001,0),1)&gt;=100000,INDEX($AN$1005:$BO$1005,1,MATCH(COLUMNS($AN$1006:AZ1006),$AN$1006:$BO$1006,0))&gt;=100000), " ",IF(INDEX($AN$2:$BO$1001,MATCH(ROWS($AG$2:AG933),$AG$2:$AG$1001,0),MATCH(COLUMNS($AN$1006:AZ1006),$AN$1006:$BO$1006,0)), HYPERLINK("#",""), HYPERLINK(CONCATENATE("#Metadata!", ADDRESS(INDEX($AI$2:$AI$1001,MATCH(ROWS($AG$2:AG933),$AG$2:$AG$1001,0),0), INDEX($AN$1004:$BO$1004,1,MATCH(COLUMNS($AN$1006:AZ1006),$AN$1006:$BO$1006,0)))),"Fix")))</f>
        <v>0</v>
      </c>
      <c r="O933" s="4">
        <f>IF(OR(INDEX($AH$2:$AH$1001,MATCH(ROWS($AG$2:AG933),$AG$2:$AG$1001,0),1)&gt;=100000,INDEX($AN$1005:$BO$1005,1,MATCH(COLUMNS($AN$1006:BA1006),$AN$1006:$BO$1006,0))&gt;=100000), " ",IF(INDEX($AN$2:$BO$1001,MATCH(ROWS($AG$2:AG933),$AG$2:$AG$1001,0),MATCH(COLUMNS($AN$1006:BA1006),$AN$1006:$BO$1006,0)), HYPERLINK("#",""), HYPERLINK(CONCATENATE("#Metadata!", ADDRESS(INDEX($AI$2:$AI$1001,MATCH(ROWS($AG$2:AG933),$AG$2:$AG$1001,0),0), INDEX($AN$1004:$BO$1004,1,MATCH(COLUMNS($AN$1006:BA1006),$AN$1006:$BO$1006,0)))),"Fix")))</f>
        <v>0</v>
      </c>
      <c r="P933" s="4">
        <f>IF(OR(INDEX($AH$2:$AH$1001,MATCH(ROWS($AG$2:AG933),$AG$2:$AG$1001,0),1)&gt;=100000,INDEX($AN$1005:$BO$1005,1,MATCH(COLUMNS($AN$1006:BB1006),$AN$1006:$BO$1006,0))&gt;=100000), " ",IF(INDEX($AN$2:$BO$1001,MATCH(ROWS($AG$2:AG933),$AG$2:$AG$1001,0),MATCH(COLUMNS($AN$1006:BB1006),$AN$1006:$BO$1006,0)), HYPERLINK("#",""), HYPERLINK(CONCATENATE("#Metadata!", ADDRESS(INDEX($AI$2:$AI$1001,MATCH(ROWS($AG$2:AG933),$AG$2:$AG$1001,0),0), INDEX($AN$1004:$BO$1004,1,MATCH(COLUMNS($AN$1006:BB1006),$AN$1006:$BO$1006,0)))),"Fix")))</f>
        <v>0</v>
      </c>
      <c r="Q933" s="4">
        <f>IF(OR(INDEX($AH$2:$AH$1001,MATCH(ROWS($AG$2:AG933),$AG$2:$AG$1001,0),1)&gt;=100000,INDEX($AN$1005:$BO$1005,1,MATCH(COLUMNS($AN$1006:BC1006),$AN$1006:$BO$1006,0))&gt;=100000), " ",IF(INDEX($AN$2:$BO$1001,MATCH(ROWS($AG$2:AG933),$AG$2:$AG$1001,0),MATCH(COLUMNS($AN$1006:BC1006),$AN$1006:$BO$1006,0)), HYPERLINK("#",""), HYPERLINK(CONCATENATE("#Metadata!", ADDRESS(INDEX($AI$2:$AI$1001,MATCH(ROWS($AG$2:AG933),$AG$2:$AG$1001,0),0), INDEX($AN$1004:$BO$1004,1,MATCH(COLUMNS($AN$1006:BC1006),$AN$1006:$BO$1006,0)))),"Fix")))</f>
        <v>0</v>
      </c>
      <c r="R933" s="4">
        <f>IF(OR(INDEX($AH$2:$AH$1001,MATCH(ROWS($AG$2:AG933),$AG$2:$AG$1001,0),1)&gt;=100000,INDEX($AN$1005:$BO$1005,1,MATCH(COLUMNS($AN$1006:BD1006),$AN$1006:$BO$1006,0))&gt;=100000), " ",IF(INDEX($AN$2:$BO$1001,MATCH(ROWS($AG$2:AG933),$AG$2:$AG$1001,0),MATCH(COLUMNS($AN$1006:BD1006),$AN$1006:$BO$1006,0)), HYPERLINK("#",""), HYPERLINK(CONCATENATE("#Metadata!", ADDRESS(INDEX($AI$2:$AI$1001,MATCH(ROWS($AG$2:AG933),$AG$2:$AG$1001,0),0), INDEX($AN$1004:$BO$1004,1,MATCH(COLUMNS($AN$1006:BD1006),$AN$1006:$BO$1006,0)))),"Fix")))</f>
        <v>0</v>
      </c>
      <c r="S933" s="4">
        <f>IF(OR(INDEX($AH$2:$AH$1001,MATCH(ROWS($AG$2:AG933),$AG$2:$AG$1001,0),1)&gt;=100000,INDEX($AN$1005:$BO$1005,1,MATCH(COLUMNS($AN$1006:BE1006),$AN$1006:$BO$1006,0))&gt;=100000), " ",IF(INDEX($AN$2:$BO$1001,MATCH(ROWS($AG$2:AG933),$AG$2:$AG$1001,0),MATCH(COLUMNS($AN$1006:BE1006),$AN$1006:$BO$1006,0)), HYPERLINK("#",""), HYPERLINK(CONCATENATE("#Metadata!", ADDRESS(INDEX($AI$2:$AI$1001,MATCH(ROWS($AG$2:AG933),$AG$2:$AG$1001,0),0), INDEX($AN$1004:$BO$1004,1,MATCH(COLUMNS($AN$1006:BE1006),$AN$1006:$BO$1006,0)))),"Fix")))</f>
        <v>0</v>
      </c>
      <c r="T933" s="4">
        <f>IF(OR(INDEX($AH$2:$AH$1001,MATCH(ROWS($AG$2:AG933),$AG$2:$AG$1001,0),1)&gt;=100000,INDEX($AN$1005:$BO$1005,1,MATCH(COLUMNS($AN$1006:BF1006),$AN$1006:$BO$1006,0))&gt;=100000), " ",IF(INDEX($AN$2:$BO$1001,MATCH(ROWS($AG$2:AG933),$AG$2:$AG$1001,0),MATCH(COLUMNS($AN$1006:BF1006),$AN$1006:$BO$1006,0)), HYPERLINK("#",""), HYPERLINK(CONCATENATE("#Metadata!", ADDRESS(INDEX($AI$2:$AI$1001,MATCH(ROWS($AG$2:AG933),$AG$2:$AG$1001,0),0), INDEX($AN$1004:$BO$1004,1,MATCH(COLUMNS($AN$1006:BF1006),$AN$1006:$BO$1006,0)))),"Fix")))</f>
        <v>0</v>
      </c>
      <c r="U933" s="4">
        <f>IF(OR(INDEX($AH$2:$AH$1001,MATCH(ROWS($AG$2:AG933),$AG$2:$AG$1001,0),1)&gt;=100000,INDEX($AN$1005:$BO$1005,1,MATCH(COLUMNS($AN$1006:BG1006),$AN$1006:$BO$1006,0))&gt;=100000), " ",IF(INDEX($AN$2:$BO$1001,MATCH(ROWS($AG$2:AG933),$AG$2:$AG$1001,0),MATCH(COLUMNS($AN$1006:BG1006),$AN$1006:$BO$1006,0)), HYPERLINK("#",""), HYPERLINK(CONCATENATE("#Metadata!", ADDRESS(INDEX($AI$2:$AI$1001,MATCH(ROWS($AG$2:AG933),$AG$2:$AG$1001,0),0), INDEX($AN$1004:$BO$1004,1,MATCH(COLUMNS($AN$1006:BG1006),$AN$1006:$BO$1006,0)))),"Fix")))</f>
        <v>0</v>
      </c>
      <c r="V933" s="4">
        <f>IF(OR(INDEX($AH$2:$AH$1001,MATCH(ROWS($AG$2:AG933),$AG$2:$AG$1001,0),1)&gt;=100000,INDEX($AN$1005:$BO$1005,1,MATCH(COLUMNS($AN$1006:BH1006),$AN$1006:$BO$1006,0))&gt;=100000), " ",IF(INDEX($AN$2:$BO$1001,MATCH(ROWS($AG$2:AG933),$AG$2:$AG$1001,0),MATCH(COLUMNS($AN$1006:BH1006),$AN$1006:$BO$1006,0)), HYPERLINK("#",""), HYPERLINK(CONCATENATE("#Metadata!", ADDRESS(INDEX($AI$2:$AI$1001,MATCH(ROWS($AG$2:AG933),$AG$2:$AG$1001,0),0), INDEX($AN$1004:$BO$1004,1,MATCH(COLUMNS($AN$1006:BH1006),$AN$1006:$BO$1006,0)))),"Fix")))</f>
        <v>0</v>
      </c>
      <c r="W933" s="4">
        <f>IF(OR(INDEX($AH$2:$AH$1001,MATCH(ROWS($AG$2:AG933),$AG$2:$AG$1001,0),1)&gt;=100000,INDEX($AN$1005:$BO$1005,1,MATCH(COLUMNS($AN$1006:BI1006),$AN$1006:$BO$1006,0))&gt;=100000), " ",IF(INDEX($AN$2:$BO$1001,MATCH(ROWS($AG$2:AG933),$AG$2:$AG$1001,0),MATCH(COLUMNS($AN$1006:BI1006),$AN$1006:$BO$1006,0)), HYPERLINK("#",""), HYPERLINK(CONCATENATE("#Metadata!", ADDRESS(INDEX($AI$2:$AI$1001,MATCH(ROWS($AG$2:AG933),$AG$2:$AG$1001,0),0), INDEX($AN$1004:$BO$1004,1,MATCH(COLUMNS($AN$1006:BI1006),$AN$1006:$BO$1006,0)))),"Fix")))</f>
        <v>0</v>
      </c>
      <c r="X933" s="4">
        <f>IF(OR(INDEX($AH$2:$AH$1001,MATCH(ROWS($AG$2:AG933),$AG$2:$AG$1001,0),1)&gt;=100000,INDEX($AN$1005:$BO$1005,1,MATCH(COLUMNS($AN$1006:BJ1006),$AN$1006:$BO$1006,0))&gt;=100000), " ",IF(INDEX($AN$2:$BO$1001,MATCH(ROWS($AG$2:AG933),$AG$2:$AG$1001,0),MATCH(COLUMNS($AN$1006:BJ1006),$AN$1006:$BO$1006,0)), HYPERLINK("#",""), HYPERLINK(CONCATENATE("#Metadata!", ADDRESS(INDEX($AI$2:$AI$1001,MATCH(ROWS($AG$2:AG933),$AG$2:$AG$1001,0),0), INDEX($AN$1004:$BO$1004,1,MATCH(COLUMNS($AN$1006:BJ1006),$AN$1006:$BO$1006,0)))),"Fix")))</f>
        <v>0</v>
      </c>
      <c r="Y933" s="4">
        <f>IF(OR(INDEX($AH$2:$AH$1001,MATCH(ROWS($AG$2:AG933),$AG$2:$AG$1001,0),1)&gt;=100000,INDEX($AN$1005:$BO$1005,1,MATCH(COLUMNS($AN$1006:BK1006),$AN$1006:$BO$1006,0))&gt;=100000), " ",IF(INDEX($AN$2:$BO$1001,MATCH(ROWS($AG$2:AG933),$AG$2:$AG$1001,0),MATCH(COLUMNS($AN$1006:BK1006),$AN$1006:$BO$1006,0)), HYPERLINK("#",""), HYPERLINK(CONCATENATE("#Metadata!", ADDRESS(INDEX($AI$2:$AI$1001,MATCH(ROWS($AG$2:AG933),$AG$2:$AG$1001,0),0), INDEX($AN$1004:$BO$1004,1,MATCH(COLUMNS($AN$1006:BK1006),$AN$1006:$BO$1006,0)))),"Fix")))</f>
        <v>0</v>
      </c>
      <c r="Z933" s="4">
        <f>IF(OR(INDEX($AH$2:$AH$1001,MATCH(ROWS($AG$2:AG933),$AG$2:$AG$1001,0),1)&gt;=100000,INDEX($AN$1005:$BO$1005,1,MATCH(COLUMNS($AN$1006:BL1006),$AN$1006:$BO$1006,0))&gt;=100000), " ",IF(INDEX($AN$2:$BO$1001,MATCH(ROWS($AG$2:AG933),$AG$2:$AG$1001,0),MATCH(COLUMNS($AN$1006:BL1006),$AN$1006:$BO$1006,0)), HYPERLINK("#",""), HYPERLINK(CONCATENATE("#Metadata!", ADDRESS(INDEX($AI$2:$AI$1001,MATCH(ROWS($AG$2:AG933),$AG$2:$AG$1001,0),0), INDEX($AN$1004:$BO$1004,1,MATCH(COLUMNS($AN$1006:BL1006),$AN$1006:$BO$1006,0)))),"Fix")))</f>
        <v>0</v>
      </c>
      <c r="AA933" s="4">
        <f>IF(OR(INDEX($AH$2:$AH$1001,MATCH(ROWS($AG$2:AG933),$AG$2:$AG$1001,0),1)&gt;=100000,INDEX($AN$1005:$BO$1005,1,MATCH(COLUMNS($AN$1006:BM1006),$AN$1006:$BO$1006,0))&gt;=100000), " ",IF(INDEX($AN$2:$BO$1001,MATCH(ROWS($AG$2:AG933),$AG$2:$AG$1001,0),MATCH(COLUMNS($AN$1006:BM1006),$AN$1006:$BO$1006,0)), HYPERLINK("#",""), HYPERLINK(CONCATENATE("#Metadata!", ADDRESS(INDEX($AI$2:$AI$1001,MATCH(ROWS($AG$2:AG933),$AG$2:$AG$1001,0),0), INDEX($AN$1004:$BO$1004,1,MATCH(COLUMNS($AN$1006:BM1006),$AN$1006:$BO$1006,0)))),"Fix")))</f>
        <v>0</v>
      </c>
      <c r="AB933" s="4">
        <f>IF(OR(INDEX($AH$2:$AH$1001,MATCH(ROWS($AG$2:AG933),$AG$2:$AG$1001,0),1)&gt;=100000,INDEX($AN$1005:$BO$1005,1,MATCH(COLUMNS($AN$1006:BN1006),$AN$1006:$BO$1006,0))&gt;=100000), " ",IF(INDEX($AN$2:$BO$1001,MATCH(ROWS($AG$2:AG933),$AG$2:$AG$1001,0),MATCH(COLUMNS($AN$1006:BN1006),$AN$1006:$BO$1006,0)), HYPERLINK("#",""), HYPERLINK(CONCATENATE("#Metadata!", ADDRESS(INDEX($AI$2:$AI$1001,MATCH(ROWS($AG$2:AG933),$AG$2:$AG$1001,0),0), INDEX($AN$1004:$BO$1004,1,MATCH(COLUMNS($AN$1006:BN1006),$AN$1006:$BO$1006,0)))),"Fix")))</f>
        <v>0</v>
      </c>
      <c r="AC933" s="4">
        <f>IF(OR(INDEX($AH$2:$AH$1001,MATCH(ROWS($AG$2:AG933),$AG$2:$AG$1001,0),1)&gt;=100000,INDEX($AN$1005:$BO$1005,1,MATCH(COLUMNS($AN$1006:BO1006),$AN$1006:$BO$1006,0))&gt;=100000), " ",IF(INDEX($AN$2:$BO$1001,MATCH(ROWS($AG$2:AG933),$AG$2:$AG$1001,0),MATCH(COLUMNS($AN$1006:BO1006),$AN$1006:$BO$1006,0)), HYPERLINK("#",""), HYPERLINK(CONCATENATE("#Metadata!", ADDRESS(INDEX($AI$2:$AI$1001,MATCH(ROWS($AG$2:AG933),$AG$2:$AG$1001,0),0), INDEX($AN$1004:$BO$1004,1,MATCH(COLUMNS($AN$1006:BO1006),$AN$1006:$BO$1006,0)))),"Fix")))</f>
        <v>0</v>
      </c>
      <c r="AG933">
        <v>0</v>
      </c>
      <c r="AH933">
        <v>0</v>
      </c>
      <c r="AI933">
        <v>0</v>
      </c>
      <c r="AJ933">
        <f>IF(AK933,TRUE,AND(AN933:BO933))</f>
        <v>0</v>
      </c>
      <c r="AK933">
        <f>COUNTBLANK(Metadata!B933:AC933)=COLUMNS(Metadata!B933:AC933)</f>
        <v>0</v>
      </c>
      <c r="AL933">
        <v>0</v>
      </c>
      <c r="AN933">
        <f>AND(IF(Metadata!B933="",FALSE,TRUE),COUNTIF(Metadata!B:B, Metadata!B933) = 1,NOT(ISERROR(SUMPRODUCT(SEARCH(MID(Metadata!B933,ROW(INDIRECT("1:"&amp;LEN(Metadata!B933))), 1),"0123456789abcdefghijklmnopqrstuvwxyzABCDEFGHIJKLMNOPQRSTUVWXYZ.")))))</f>
        <v>0</v>
      </c>
      <c r="AO933">
        <f>IF(Metadata!C933="",FALSE,TRUE)</f>
        <v>0</v>
      </c>
      <c r="AP933">
        <f>IF(Metadata!D933="",FALSE,TRUE)</f>
        <v>0</v>
      </c>
      <c r="AQ933">
        <f>OR(AND(IF(Metadata!E933="",FALSE,TRUE),OR(exact(Metadata!E933,"not collected"),exact(Metadata!E933,"not provided"),exact(Metadata!E933,"restricted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R933">
        <f>IF(Metadata!F933="",FALSE,TRUE)</f>
        <v>0</v>
      </c>
      <c r="AS933">
        <f>OR(AND(IF(Metadata!G933="",FALSE,TRUE),OR(exact(Metadata!G933,"not collected"),exact(Metadata!G933,"not provided"))),AND(IF(Metadata!G933="",FALSE,TRUE),OR(exact(Metadata!G933,"TRUE"),exact(Metadata!G933,"FALSE"))))</f>
        <v>0</v>
      </c>
      <c r="AT933">
        <f>OR(AND(IF(Metadata!H933="",FALSE,TRUE),OR(exact(Metadata!H933,"not collected"),exact(Metadata!H933,"not provided"),exact(Metadata!H933,"restricted access"))),AND(IF(Metadata!H933="",FALSE,ISNUMBER(VALUE(Metadata!H933))),Metadata!H933&gt;=-413.0))</f>
        <v>0</v>
      </c>
      <c r="AU933">
        <f>AND(IF(Metadata!I933="",FALSE,TRUE),exact(Metadata!I933,"meters"))</f>
        <v>0</v>
      </c>
      <c r="AV933">
        <f>AND(IF(Metadata!J933="",FALSE,TRUE),OR(exact(Metadata!J933,"Host-associated"),exact(Metadata!J933,"Free-living")))</f>
        <v>0</v>
      </c>
      <c r="AW933">
        <f>AND(IF(Metadata!K933="",FALSE,TRUE),OR(exact(Metadata!K933,"Animal"),exact(Metadata!K933,"Fungus"),exact(Metadata!K933,"Plant"),exact(Metadata!K933,"Saline"),exact(Metadata!K933,"Non-saline")))</f>
        <v>0</v>
      </c>
      <c r="AX933">
        <f>AND(IF(Metadata!L933="",FALSE,TRUE),OR(exact(Metadata!L933,"Plant secretion"),exact(Metadata!L933,"Plant rhizosphere"),exact(Metadata!L933,"Plant surface"),exact(Metadata!L933,"Plant corpus"),exact(Metadata!L933,"Fungus surface"),exact(Metadata!L933,"Fungus corpus"),exact(Metadata!L933,"Animal surface"),exact(Metadata!L933,"Animal proximal gut"),exact(Metadata!L933,"Animal corpus"),exact(Metadata!L933,"Animal distal gut"),exact(Metadata!L933,"Animal secretion"),exact(Metadata!L933,"Sub-surface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Y933">
        <f>IF(Metadata!M933="",FALSE,TRUE)</f>
        <v>0</v>
      </c>
      <c r="AZ933">
        <f>IF(Metadata!N933="",FALSE,TRUE)</f>
        <v>0</v>
      </c>
      <c r="BA933">
        <f>IF(Metadata!O933="",FALSE,TRUE)</f>
        <v>0</v>
      </c>
      <c r="BB933">
        <f>OR(AND(IF(Metadata!P933="",FALSE,TRUE),OR(exact(Metadata!P933,"not collected"),exact(Metadata!P933,"not provided"),exact(Metadata!P933,"restricted access"))),AND(IF(Metadata!P933="",FALSE,TRUE),OR(exact(Metadata!P933,"air"),exact(Metadata!P933,"built environment"),exact(Metadata!P933,"host-associated"),exact(Metadata!P933,"human-associated"),exact(Metadata!P933,"human-skin"),exact(Metadata!P933,"human-oral"),exact(Metadata!P933,"human-gut"),exact(Metadata!P933,"human-vaginal"),exact(Metadata!P933,"microbial mat/biofilm"),exact(Metadata!P933,"misc environment"),exact(Metadata!P933,"plant-associated"),exact(Metadata!P933,"sediment"),exact(Metadata!P933,"soil"),exact(Metadata!P933,"wastewater/sludge"),exact(Metadata!P933,"water"))))</f>
        <v>0</v>
      </c>
      <c r="BC933">
        <f>IF(Metadata!Q933="",FALSE,TRUE)</f>
        <v>0</v>
      </c>
      <c r="BD933">
        <f>IF(Metadata!R933="",FALSE,TRUE)</f>
        <v>0</v>
      </c>
      <c r="BE933">
        <f>OR(AND(IF(Metadata!S933="",FALSE,TRUE),OR(exact(Metadata!S933,"not collected"),exact(Metadata!S933,"not provided"),exact(Metadata!S933,"restricted access"))),AND(IF(Metadata!S933="",FALSE,ISNUMBER(VALUE(Metadata!S933))),Metadata!S933&gt;=-90.00,Metadata!S933&lt;=90.00))</f>
        <v>0</v>
      </c>
      <c r="BF933">
        <f>AND(IF(Metadata!T933="",FALSE,TRUE),exact(Metadata!T933,"Decimal degrees"))</f>
        <v>0</v>
      </c>
      <c r="BG933">
        <f>OR(AND(IF(Metadata!U933="",FALSE,TRUE),OR(exact(Metadata!U933,"not collected"),exact(Metadata!U933,"not provided"),exact(Metadata!U933,"restricted access"))),AND(IF(Metadata!U933="",FALSE,ISNUMBER(VALUE(Metadata!U933))),Metadata!U933&gt;=-180.00,Metadata!U933&lt;=180.00))</f>
        <v>0</v>
      </c>
      <c r="BH933">
        <f>AND(IF(Metadata!V933="",FALSE,TRUE),exact(Metadata!V933,"Decimal degrees"))</f>
        <v>0</v>
      </c>
      <c r="BI933">
        <f>IF(Metadata!W933="",FALSE,TRUE)</f>
        <v>0</v>
      </c>
      <c r="BJ933">
        <f>OR(AND(IF(Metadata!X933="",FALSE,TRUE),OR(exact(Metadata!X933,"not collected"),exact(Metadata!X933,"not provided"),exact(Metadata!X933,"restricted access"))),AND(IF(Metadata!X933="",FALSE,TRUE),OR(exact(Metadata!X933,"TRUE"),exact(Metadata!X933,"FALSE"))))</f>
        <v>0</v>
      </c>
      <c r="BK933">
        <f>AND(IF(Metadata!Y933="",FALSE,TRUE),exact(Metadata!Y933,"other"))</f>
        <v>0</v>
      </c>
      <c r="BL933">
        <f>IF(Metadata!Z933="",FALSE,TRUE)</f>
        <v>0</v>
      </c>
      <c r="BM933">
        <f>OR(AND(IF(Metadata!AA933="",FALSE,TRUE),OR(exact(Metadata!AA933,"not collected"),exact(Metadata!AA933,"not provided"))),AND(IF(Metadata!AA933="",FALSE,IF(ISERROR(INT(Metadata!AA933)),FALSE,INT(Metadata!AA933)=Metadata!AA933)),Metadata!AA933&gt;0))</f>
        <v>0</v>
      </c>
      <c r="BN933">
        <f>AND(IF(Metadata!AB933="",FALSE,TRUE),exact(Metadata!AB933,"Not applicable"))</f>
        <v>0</v>
      </c>
      <c r="BO933">
        <f>IF(Metadata!AC933="",FALSE,TRUE)</f>
        <v>0</v>
      </c>
    </row>
    <row r="934" spans="1:67">
      <c r="A934" s="5">
        <f>IF(B934=" "," ",HYPERLINK(CONCATENATE("#metadata!",ADDRESS(INDEX($AI$2:$AI$1001,MATCH(ROWS($AG$2:AG934),$AG$2:$AG$1001,0),0),1)),INDEX($AL$2:$AL$1001,MATCH(ROWS($AG$2:AG934),$AG$2:$AG$1001,0),0)))</f>
        <v>0</v>
      </c>
      <c r="B934" s="4">
        <f>IF(OR(INDEX($AH$2:$AH$1001,MATCH(ROWS($AG$2:AG934),$AG$2:$AG$1001,0),1)&gt;=100000,INDEX($AN$1005:$BO$1005,1,MATCH(COLUMNS($AN$1006:AN1006),$AN$1006:$BO$1006,0))&gt;=100000), " ",IF(INDEX($AN$2:$BO$1001,MATCH(ROWS($AG$2:AG934),$AG$2:$AG$1001,0),MATCH(COLUMNS($AN$1006:AN1006),$AN$1006:$BO$1006,0)), HYPERLINK("#",""), HYPERLINK(CONCATENATE("#Metadata!", ADDRESS(INDEX($AI$2:$AI$1001,MATCH(ROWS($AG$2:AG934),$AG$2:$AG$1001,0),0), INDEX($AN$1004:$BO$1004,1,MATCH(COLUMNS($AN$1006:AN1006),$AN$1006:$BO$1006,0)))),"Fix")))</f>
        <v>0</v>
      </c>
      <c r="C934" s="4">
        <f>IF(OR(INDEX($AH$2:$AH$1001,MATCH(ROWS($AG$2:AG934),$AG$2:$AG$1001,0),1)&gt;=100000,INDEX($AN$1005:$BO$1005,1,MATCH(COLUMNS($AN$1006:AO1006),$AN$1006:$BO$1006,0))&gt;=100000), " ",IF(INDEX($AN$2:$BO$1001,MATCH(ROWS($AG$2:AG934),$AG$2:$AG$1001,0),MATCH(COLUMNS($AN$1006:AO1006),$AN$1006:$BO$1006,0)), HYPERLINK("#",""), HYPERLINK(CONCATENATE("#Metadata!", ADDRESS(INDEX($AI$2:$AI$1001,MATCH(ROWS($AG$2:AG934),$AG$2:$AG$1001,0),0), INDEX($AN$1004:$BO$1004,1,MATCH(COLUMNS($AN$1006:AO1006),$AN$1006:$BO$1006,0)))),"Fix")))</f>
        <v>0</v>
      </c>
      <c r="D934" s="4">
        <f>IF(OR(INDEX($AH$2:$AH$1001,MATCH(ROWS($AG$2:AG934),$AG$2:$AG$1001,0),1)&gt;=100000,INDEX($AN$1005:$BO$1005,1,MATCH(COLUMNS($AN$1006:AP1006),$AN$1006:$BO$1006,0))&gt;=100000), " ",IF(INDEX($AN$2:$BO$1001,MATCH(ROWS($AG$2:AG934),$AG$2:$AG$1001,0),MATCH(COLUMNS($AN$1006:AP1006),$AN$1006:$BO$1006,0)), HYPERLINK("#",""), HYPERLINK(CONCATENATE("#Metadata!", ADDRESS(INDEX($AI$2:$AI$1001,MATCH(ROWS($AG$2:AG934),$AG$2:$AG$1001,0),0), INDEX($AN$1004:$BO$1004,1,MATCH(COLUMNS($AN$1006:AP1006),$AN$1006:$BO$1006,0)))),"Fix")))</f>
        <v>0</v>
      </c>
      <c r="E934" s="4">
        <f>IF(OR(INDEX($AH$2:$AH$1001,MATCH(ROWS($AG$2:AG934),$AG$2:$AG$1001,0),1)&gt;=100000,INDEX($AN$1005:$BO$1005,1,MATCH(COLUMNS($AN$1006:AQ1006),$AN$1006:$BO$1006,0))&gt;=100000), " ",IF(INDEX($AN$2:$BO$1001,MATCH(ROWS($AG$2:AG934),$AG$2:$AG$1001,0),MATCH(COLUMNS($AN$1006:AQ1006),$AN$1006:$BO$1006,0)), HYPERLINK("#",""), HYPERLINK(CONCATENATE("#Metadata!", ADDRESS(INDEX($AI$2:$AI$1001,MATCH(ROWS($AG$2:AG934),$AG$2:$AG$1001,0),0), INDEX($AN$1004:$BO$1004,1,MATCH(COLUMNS($AN$1006:AQ1006),$AN$1006:$BO$1006,0)))),"Fix")))</f>
        <v>0</v>
      </c>
      <c r="F934" s="4">
        <f>IF(OR(INDEX($AH$2:$AH$1001,MATCH(ROWS($AG$2:AG934),$AG$2:$AG$1001,0),1)&gt;=100000,INDEX($AN$1005:$BO$1005,1,MATCH(COLUMNS($AN$1006:AR1006),$AN$1006:$BO$1006,0))&gt;=100000), " ",IF(INDEX($AN$2:$BO$1001,MATCH(ROWS($AG$2:AG934),$AG$2:$AG$1001,0),MATCH(COLUMNS($AN$1006:AR1006),$AN$1006:$BO$1006,0)), HYPERLINK("#",""), HYPERLINK(CONCATENATE("#Metadata!", ADDRESS(INDEX($AI$2:$AI$1001,MATCH(ROWS($AG$2:AG934),$AG$2:$AG$1001,0),0), INDEX($AN$1004:$BO$1004,1,MATCH(COLUMNS($AN$1006:AR1006),$AN$1006:$BO$1006,0)))),"Fix")))</f>
        <v>0</v>
      </c>
      <c r="G934" s="4">
        <f>IF(OR(INDEX($AH$2:$AH$1001,MATCH(ROWS($AG$2:AG934),$AG$2:$AG$1001,0),1)&gt;=100000,INDEX($AN$1005:$BO$1005,1,MATCH(COLUMNS($AN$1006:AS1006),$AN$1006:$BO$1006,0))&gt;=100000), " ",IF(INDEX($AN$2:$BO$1001,MATCH(ROWS($AG$2:AG934),$AG$2:$AG$1001,0),MATCH(COLUMNS($AN$1006:AS1006),$AN$1006:$BO$1006,0)), HYPERLINK("#",""), HYPERLINK(CONCATENATE("#Metadata!", ADDRESS(INDEX($AI$2:$AI$1001,MATCH(ROWS($AG$2:AG934),$AG$2:$AG$1001,0),0), INDEX($AN$1004:$BO$1004,1,MATCH(COLUMNS($AN$1006:AS1006),$AN$1006:$BO$1006,0)))),"Fix")))</f>
        <v>0</v>
      </c>
      <c r="H934" s="4">
        <f>IF(OR(INDEX($AH$2:$AH$1001,MATCH(ROWS($AG$2:AG934),$AG$2:$AG$1001,0),1)&gt;=100000,INDEX($AN$1005:$BO$1005,1,MATCH(COLUMNS($AN$1006:AT1006),$AN$1006:$BO$1006,0))&gt;=100000), " ",IF(INDEX($AN$2:$BO$1001,MATCH(ROWS($AG$2:AG934),$AG$2:$AG$1001,0),MATCH(COLUMNS($AN$1006:AT1006),$AN$1006:$BO$1006,0)), HYPERLINK("#",""), HYPERLINK(CONCATENATE("#Metadata!", ADDRESS(INDEX($AI$2:$AI$1001,MATCH(ROWS($AG$2:AG934),$AG$2:$AG$1001,0),0), INDEX($AN$1004:$BO$1004,1,MATCH(COLUMNS($AN$1006:AT1006),$AN$1006:$BO$1006,0)))),"Fix")))</f>
        <v>0</v>
      </c>
      <c r="I934" s="4">
        <f>IF(OR(INDEX($AH$2:$AH$1001,MATCH(ROWS($AG$2:AG934),$AG$2:$AG$1001,0),1)&gt;=100000,INDEX($AN$1005:$BO$1005,1,MATCH(COLUMNS($AN$1006:AU1006),$AN$1006:$BO$1006,0))&gt;=100000), " ",IF(INDEX($AN$2:$BO$1001,MATCH(ROWS($AG$2:AG934),$AG$2:$AG$1001,0),MATCH(COLUMNS($AN$1006:AU1006),$AN$1006:$BO$1006,0)), HYPERLINK("#",""), HYPERLINK(CONCATENATE("#Metadata!", ADDRESS(INDEX($AI$2:$AI$1001,MATCH(ROWS($AG$2:AG934),$AG$2:$AG$1001,0),0), INDEX($AN$1004:$BO$1004,1,MATCH(COLUMNS($AN$1006:AU1006),$AN$1006:$BO$1006,0)))),"Fix")))</f>
        <v>0</v>
      </c>
      <c r="J934" s="4">
        <f>IF(OR(INDEX($AH$2:$AH$1001,MATCH(ROWS($AG$2:AG934),$AG$2:$AG$1001,0),1)&gt;=100000,INDEX($AN$1005:$BO$1005,1,MATCH(COLUMNS($AN$1006:AV1006),$AN$1006:$BO$1006,0))&gt;=100000), " ",IF(INDEX($AN$2:$BO$1001,MATCH(ROWS($AG$2:AG934),$AG$2:$AG$1001,0),MATCH(COLUMNS($AN$1006:AV1006),$AN$1006:$BO$1006,0)), HYPERLINK("#",""), HYPERLINK(CONCATENATE("#Metadata!", ADDRESS(INDEX($AI$2:$AI$1001,MATCH(ROWS($AG$2:AG934),$AG$2:$AG$1001,0),0), INDEX($AN$1004:$BO$1004,1,MATCH(COLUMNS($AN$1006:AV1006),$AN$1006:$BO$1006,0)))),"Fix")))</f>
        <v>0</v>
      </c>
      <c r="K934" s="4">
        <f>IF(OR(INDEX($AH$2:$AH$1001,MATCH(ROWS($AG$2:AG934),$AG$2:$AG$1001,0),1)&gt;=100000,INDEX($AN$1005:$BO$1005,1,MATCH(COLUMNS($AN$1006:AW1006),$AN$1006:$BO$1006,0))&gt;=100000), " ",IF(INDEX($AN$2:$BO$1001,MATCH(ROWS($AG$2:AG934),$AG$2:$AG$1001,0),MATCH(COLUMNS($AN$1006:AW1006),$AN$1006:$BO$1006,0)), HYPERLINK("#",""), HYPERLINK(CONCATENATE("#Metadata!", ADDRESS(INDEX($AI$2:$AI$1001,MATCH(ROWS($AG$2:AG934),$AG$2:$AG$1001,0),0), INDEX($AN$1004:$BO$1004,1,MATCH(COLUMNS($AN$1006:AW1006),$AN$1006:$BO$1006,0)))),"Fix")))</f>
        <v>0</v>
      </c>
      <c r="L934" s="4">
        <f>IF(OR(INDEX($AH$2:$AH$1001,MATCH(ROWS($AG$2:AG934),$AG$2:$AG$1001,0),1)&gt;=100000,INDEX($AN$1005:$BO$1005,1,MATCH(COLUMNS($AN$1006:AX1006),$AN$1006:$BO$1006,0))&gt;=100000), " ",IF(INDEX($AN$2:$BO$1001,MATCH(ROWS($AG$2:AG934),$AG$2:$AG$1001,0),MATCH(COLUMNS($AN$1006:AX1006),$AN$1006:$BO$1006,0)), HYPERLINK("#",""), HYPERLINK(CONCATENATE("#Metadata!", ADDRESS(INDEX($AI$2:$AI$1001,MATCH(ROWS($AG$2:AG934),$AG$2:$AG$1001,0),0), INDEX($AN$1004:$BO$1004,1,MATCH(COLUMNS($AN$1006:AX1006),$AN$1006:$BO$1006,0)))),"Fix")))</f>
        <v>0</v>
      </c>
      <c r="M934" s="4">
        <f>IF(OR(INDEX($AH$2:$AH$1001,MATCH(ROWS($AG$2:AG934),$AG$2:$AG$1001,0),1)&gt;=100000,INDEX($AN$1005:$BO$1005,1,MATCH(COLUMNS($AN$1006:AY1006),$AN$1006:$BO$1006,0))&gt;=100000), " ",IF(INDEX($AN$2:$BO$1001,MATCH(ROWS($AG$2:AG934),$AG$2:$AG$1001,0),MATCH(COLUMNS($AN$1006:AY1006),$AN$1006:$BO$1006,0)), HYPERLINK("#",""), HYPERLINK(CONCATENATE("#Metadata!", ADDRESS(INDEX($AI$2:$AI$1001,MATCH(ROWS($AG$2:AG934),$AG$2:$AG$1001,0),0), INDEX($AN$1004:$BO$1004,1,MATCH(COLUMNS($AN$1006:AY1006),$AN$1006:$BO$1006,0)))),"Fix")))</f>
        <v>0</v>
      </c>
      <c r="N934" s="4">
        <f>IF(OR(INDEX($AH$2:$AH$1001,MATCH(ROWS($AG$2:AG934),$AG$2:$AG$1001,0),1)&gt;=100000,INDEX($AN$1005:$BO$1005,1,MATCH(COLUMNS($AN$1006:AZ1006),$AN$1006:$BO$1006,0))&gt;=100000), " ",IF(INDEX($AN$2:$BO$1001,MATCH(ROWS($AG$2:AG934),$AG$2:$AG$1001,0),MATCH(COLUMNS($AN$1006:AZ1006),$AN$1006:$BO$1006,0)), HYPERLINK("#",""), HYPERLINK(CONCATENATE("#Metadata!", ADDRESS(INDEX($AI$2:$AI$1001,MATCH(ROWS($AG$2:AG934),$AG$2:$AG$1001,0),0), INDEX($AN$1004:$BO$1004,1,MATCH(COLUMNS($AN$1006:AZ1006),$AN$1006:$BO$1006,0)))),"Fix")))</f>
        <v>0</v>
      </c>
      <c r="O934" s="4">
        <f>IF(OR(INDEX($AH$2:$AH$1001,MATCH(ROWS($AG$2:AG934),$AG$2:$AG$1001,0),1)&gt;=100000,INDEX($AN$1005:$BO$1005,1,MATCH(COLUMNS($AN$1006:BA1006),$AN$1006:$BO$1006,0))&gt;=100000), " ",IF(INDEX($AN$2:$BO$1001,MATCH(ROWS($AG$2:AG934),$AG$2:$AG$1001,0),MATCH(COLUMNS($AN$1006:BA1006),$AN$1006:$BO$1006,0)), HYPERLINK("#",""), HYPERLINK(CONCATENATE("#Metadata!", ADDRESS(INDEX($AI$2:$AI$1001,MATCH(ROWS($AG$2:AG934),$AG$2:$AG$1001,0),0), INDEX($AN$1004:$BO$1004,1,MATCH(COLUMNS($AN$1006:BA1006),$AN$1006:$BO$1006,0)))),"Fix")))</f>
        <v>0</v>
      </c>
      <c r="P934" s="4">
        <f>IF(OR(INDEX($AH$2:$AH$1001,MATCH(ROWS($AG$2:AG934),$AG$2:$AG$1001,0),1)&gt;=100000,INDEX($AN$1005:$BO$1005,1,MATCH(COLUMNS($AN$1006:BB1006),$AN$1006:$BO$1006,0))&gt;=100000), " ",IF(INDEX($AN$2:$BO$1001,MATCH(ROWS($AG$2:AG934),$AG$2:$AG$1001,0),MATCH(COLUMNS($AN$1006:BB1006),$AN$1006:$BO$1006,0)), HYPERLINK("#",""), HYPERLINK(CONCATENATE("#Metadata!", ADDRESS(INDEX($AI$2:$AI$1001,MATCH(ROWS($AG$2:AG934),$AG$2:$AG$1001,0),0), INDEX($AN$1004:$BO$1004,1,MATCH(COLUMNS($AN$1006:BB1006),$AN$1006:$BO$1006,0)))),"Fix")))</f>
        <v>0</v>
      </c>
      <c r="Q934" s="4">
        <f>IF(OR(INDEX($AH$2:$AH$1001,MATCH(ROWS($AG$2:AG934),$AG$2:$AG$1001,0),1)&gt;=100000,INDEX($AN$1005:$BO$1005,1,MATCH(COLUMNS($AN$1006:BC1006),$AN$1006:$BO$1006,0))&gt;=100000), " ",IF(INDEX($AN$2:$BO$1001,MATCH(ROWS($AG$2:AG934),$AG$2:$AG$1001,0),MATCH(COLUMNS($AN$1006:BC1006),$AN$1006:$BO$1006,0)), HYPERLINK("#",""), HYPERLINK(CONCATENATE("#Metadata!", ADDRESS(INDEX($AI$2:$AI$1001,MATCH(ROWS($AG$2:AG934),$AG$2:$AG$1001,0),0), INDEX($AN$1004:$BO$1004,1,MATCH(COLUMNS($AN$1006:BC1006),$AN$1006:$BO$1006,0)))),"Fix")))</f>
        <v>0</v>
      </c>
      <c r="R934" s="4">
        <f>IF(OR(INDEX($AH$2:$AH$1001,MATCH(ROWS($AG$2:AG934),$AG$2:$AG$1001,0),1)&gt;=100000,INDEX($AN$1005:$BO$1005,1,MATCH(COLUMNS($AN$1006:BD1006),$AN$1006:$BO$1006,0))&gt;=100000), " ",IF(INDEX($AN$2:$BO$1001,MATCH(ROWS($AG$2:AG934),$AG$2:$AG$1001,0),MATCH(COLUMNS($AN$1006:BD1006),$AN$1006:$BO$1006,0)), HYPERLINK("#",""), HYPERLINK(CONCATENATE("#Metadata!", ADDRESS(INDEX($AI$2:$AI$1001,MATCH(ROWS($AG$2:AG934),$AG$2:$AG$1001,0),0), INDEX($AN$1004:$BO$1004,1,MATCH(COLUMNS($AN$1006:BD1006),$AN$1006:$BO$1006,0)))),"Fix")))</f>
        <v>0</v>
      </c>
      <c r="S934" s="4">
        <f>IF(OR(INDEX($AH$2:$AH$1001,MATCH(ROWS($AG$2:AG934),$AG$2:$AG$1001,0),1)&gt;=100000,INDEX($AN$1005:$BO$1005,1,MATCH(COLUMNS($AN$1006:BE1006),$AN$1006:$BO$1006,0))&gt;=100000), " ",IF(INDEX($AN$2:$BO$1001,MATCH(ROWS($AG$2:AG934),$AG$2:$AG$1001,0),MATCH(COLUMNS($AN$1006:BE1006),$AN$1006:$BO$1006,0)), HYPERLINK("#",""), HYPERLINK(CONCATENATE("#Metadata!", ADDRESS(INDEX($AI$2:$AI$1001,MATCH(ROWS($AG$2:AG934),$AG$2:$AG$1001,0),0), INDEX($AN$1004:$BO$1004,1,MATCH(COLUMNS($AN$1006:BE1006),$AN$1006:$BO$1006,0)))),"Fix")))</f>
        <v>0</v>
      </c>
      <c r="T934" s="4">
        <f>IF(OR(INDEX($AH$2:$AH$1001,MATCH(ROWS($AG$2:AG934),$AG$2:$AG$1001,0),1)&gt;=100000,INDEX($AN$1005:$BO$1005,1,MATCH(COLUMNS($AN$1006:BF1006),$AN$1006:$BO$1006,0))&gt;=100000), " ",IF(INDEX($AN$2:$BO$1001,MATCH(ROWS($AG$2:AG934),$AG$2:$AG$1001,0),MATCH(COLUMNS($AN$1006:BF1006),$AN$1006:$BO$1006,0)), HYPERLINK("#",""), HYPERLINK(CONCATENATE("#Metadata!", ADDRESS(INDEX($AI$2:$AI$1001,MATCH(ROWS($AG$2:AG934),$AG$2:$AG$1001,0),0), INDEX($AN$1004:$BO$1004,1,MATCH(COLUMNS($AN$1006:BF1006),$AN$1006:$BO$1006,0)))),"Fix")))</f>
        <v>0</v>
      </c>
      <c r="U934" s="4">
        <f>IF(OR(INDEX($AH$2:$AH$1001,MATCH(ROWS($AG$2:AG934),$AG$2:$AG$1001,0),1)&gt;=100000,INDEX($AN$1005:$BO$1005,1,MATCH(COLUMNS($AN$1006:BG1006),$AN$1006:$BO$1006,0))&gt;=100000), " ",IF(INDEX($AN$2:$BO$1001,MATCH(ROWS($AG$2:AG934),$AG$2:$AG$1001,0),MATCH(COLUMNS($AN$1006:BG1006),$AN$1006:$BO$1006,0)), HYPERLINK("#",""), HYPERLINK(CONCATENATE("#Metadata!", ADDRESS(INDEX($AI$2:$AI$1001,MATCH(ROWS($AG$2:AG934),$AG$2:$AG$1001,0),0), INDEX($AN$1004:$BO$1004,1,MATCH(COLUMNS($AN$1006:BG1006),$AN$1006:$BO$1006,0)))),"Fix")))</f>
        <v>0</v>
      </c>
      <c r="V934" s="4">
        <f>IF(OR(INDEX($AH$2:$AH$1001,MATCH(ROWS($AG$2:AG934),$AG$2:$AG$1001,0),1)&gt;=100000,INDEX($AN$1005:$BO$1005,1,MATCH(COLUMNS($AN$1006:BH1006),$AN$1006:$BO$1006,0))&gt;=100000), " ",IF(INDEX($AN$2:$BO$1001,MATCH(ROWS($AG$2:AG934),$AG$2:$AG$1001,0),MATCH(COLUMNS($AN$1006:BH1006),$AN$1006:$BO$1006,0)), HYPERLINK("#",""), HYPERLINK(CONCATENATE("#Metadata!", ADDRESS(INDEX($AI$2:$AI$1001,MATCH(ROWS($AG$2:AG934),$AG$2:$AG$1001,0),0), INDEX($AN$1004:$BO$1004,1,MATCH(COLUMNS($AN$1006:BH1006),$AN$1006:$BO$1006,0)))),"Fix")))</f>
        <v>0</v>
      </c>
      <c r="W934" s="4">
        <f>IF(OR(INDEX($AH$2:$AH$1001,MATCH(ROWS($AG$2:AG934),$AG$2:$AG$1001,0),1)&gt;=100000,INDEX($AN$1005:$BO$1005,1,MATCH(COLUMNS($AN$1006:BI1006),$AN$1006:$BO$1006,0))&gt;=100000), " ",IF(INDEX($AN$2:$BO$1001,MATCH(ROWS($AG$2:AG934),$AG$2:$AG$1001,0),MATCH(COLUMNS($AN$1006:BI1006),$AN$1006:$BO$1006,0)), HYPERLINK("#",""), HYPERLINK(CONCATENATE("#Metadata!", ADDRESS(INDEX($AI$2:$AI$1001,MATCH(ROWS($AG$2:AG934),$AG$2:$AG$1001,0),0), INDEX($AN$1004:$BO$1004,1,MATCH(COLUMNS($AN$1006:BI1006),$AN$1006:$BO$1006,0)))),"Fix")))</f>
        <v>0</v>
      </c>
      <c r="X934" s="4">
        <f>IF(OR(INDEX($AH$2:$AH$1001,MATCH(ROWS($AG$2:AG934),$AG$2:$AG$1001,0),1)&gt;=100000,INDEX($AN$1005:$BO$1005,1,MATCH(COLUMNS($AN$1006:BJ1006),$AN$1006:$BO$1006,0))&gt;=100000), " ",IF(INDEX($AN$2:$BO$1001,MATCH(ROWS($AG$2:AG934),$AG$2:$AG$1001,0),MATCH(COLUMNS($AN$1006:BJ1006),$AN$1006:$BO$1006,0)), HYPERLINK("#",""), HYPERLINK(CONCATENATE("#Metadata!", ADDRESS(INDEX($AI$2:$AI$1001,MATCH(ROWS($AG$2:AG934),$AG$2:$AG$1001,0),0), INDEX($AN$1004:$BO$1004,1,MATCH(COLUMNS($AN$1006:BJ1006),$AN$1006:$BO$1006,0)))),"Fix")))</f>
        <v>0</v>
      </c>
      <c r="Y934" s="4">
        <f>IF(OR(INDEX($AH$2:$AH$1001,MATCH(ROWS($AG$2:AG934),$AG$2:$AG$1001,0),1)&gt;=100000,INDEX($AN$1005:$BO$1005,1,MATCH(COLUMNS($AN$1006:BK1006),$AN$1006:$BO$1006,0))&gt;=100000), " ",IF(INDEX($AN$2:$BO$1001,MATCH(ROWS($AG$2:AG934),$AG$2:$AG$1001,0),MATCH(COLUMNS($AN$1006:BK1006),$AN$1006:$BO$1006,0)), HYPERLINK("#",""), HYPERLINK(CONCATENATE("#Metadata!", ADDRESS(INDEX($AI$2:$AI$1001,MATCH(ROWS($AG$2:AG934),$AG$2:$AG$1001,0),0), INDEX($AN$1004:$BO$1004,1,MATCH(COLUMNS($AN$1006:BK1006),$AN$1006:$BO$1006,0)))),"Fix")))</f>
        <v>0</v>
      </c>
      <c r="Z934" s="4">
        <f>IF(OR(INDEX($AH$2:$AH$1001,MATCH(ROWS($AG$2:AG934),$AG$2:$AG$1001,0),1)&gt;=100000,INDEX($AN$1005:$BO$1005,1,MATCH(COLUMNS($AN$1006:BL1006),$AN$1006:$BO$1006,0))&gt;=100000), " ",IF(INDEX($AN$2:$BO$1001,MATCH(ROWS($AG$2:AG934),$AG$2:$AG$1001,0),MATCH(COLUMNS($AN$1006:BL1006),$AN$1006:$BO$1006,0)), HYPERLINK("#",""), HYPERLINK(CONCATENATE("#Metadata!", ADDRESS(INDEX($AI$2:$AI$1001,MATCH(ROWS($AG$2:AG934),$AG$2:$AG$1001,0),0), INDEX($AN$1004:$BO$1004,1,MATCH(COLUMNS($AN$1006:BL1006),$AN$1006:$BO$1006,0)))),"Fix")))</f>
        <v>0</v>
      </c>
      <c r="AA934" s="4">
        <f>IF(OR(INDEX($AH$2:$AH$1001,MATCH(ROWS($AG$2:AG934),$AG$2:$AG$1001,0),1)&gt;=100000,INDEX($AN$1005:$BO$1005,1,MATCH(COLUMNS($AN$1006:BM1006),$AN$1006:$BO$1006,0))&gt;=100000), " ",IF(INDEX($AN$2:$BO$1001,MATCH(ROWS($AG$2:AG934),$AG$2:$AG$1001,0),MATCH(COLUMNS($AN$1006:BM1006),$AN$1006:$BO$1006,0)), HYPERLINK("#",""), HYPERLINK(CONCATENATE("#Metadata!", ADDRESS(INDEX($AI$2:$AI$1001,MATCH(ROWS($AG$2:AG934),$AG$2:$AG$1001,0),0), INDEX($AN$1004:$BO$1004,1,MATCH(COLUMNS($AN$1006:BM1006),$AN$1006:$BO$1006,0)))),"Fix")))</f>
        <v>0</v>
      </c>
      <c r="AB934" s="4">
        <f>IF(OR(INDEX($AH$2:$AH$1001,MATCH(ROWS($AG$2:AG934),$AG$2:$AG$1001,0),1)&gt;=100000,INDEX($AN$1005:$BO$1005,1,MATCH(COLUMNS($AN$1006:BN1006),$AN$1006:$BO$1006,0))&gt;=100000), " ",IF(INDEX($AN$2:$BO$1001,MATCH(ROWS($AG$2:AG934),$AG$2:$AG$1001,0),MATCH(COLUMNS($AN$1006:BN1006),$AN$1006:$BO$1006,0)), HYPERLINK("#",""), HYPERLINK(CONCATENATE("#Metadata!", ADDRESS(INDEX($AI$2:$AI$1001,MATCH(ROWS($AG$2:AG934),$AG$2:$AG$1001,0),0), INDEX($AN$1004:$BO$1004,1,MATCH(COLUMNS($AN$1006:BN1006),$AN$1006:$BO$1006,0)))),"Fix")))</f>
        <v>0</v>
      </c>
      <c r="AC934" s="4">
        <f>IF(OR(INDEX($AH$2:$AH$1001,MATCH(ROWS($AG$2:AG934),$AG$2:$AG$1001,0),1)&gt;=100000,INDEX($AN$1005:$BO$1005,1,MATCH(COLUMNS($AN$1006:BO1006),$AN$1006:$BO$1006,0))&gt;=100000), " ",IF(INDEX($AN$2:$BO$1001,MATCH(ROWS($AG$2:AG934),$AG$2:$AG$1001,0),MATCH(COLUMNS($AN$1006:BO1006),$AN$1006:$BO$1006,0)), HYPERLINK("#",""), HYPERLINK(CONCATENATE("#Metadata!", ADDRESS(INDEX($AI$2:$AI$1001,MATCH(ROWS($AG$2:AG934),$AG$2:$AG$1001,0),0), INDEX($AN$1004:$BO$1004,1,MATCH(COLUMNS($AN$1006:BO1006),$AN$1006:$BO$1006,0)))),"Fix")))</f>
        <v>0</v>
      </c>
      <c r="AG934">
        <v>0</v>
      </c>
      <c r="AH934">
        <v>0</v>
      </c>
      <c r="AI934">
        <v>0</v>
      </c>
      <c r="AJ934">
        <f>IF(AK934,TRUE,AND(AN934:BO934))</f>
        <v>0</v>
      </c>
      <c r="AK934">
        <f>COUNTBLANK(Metadata!B934:AC934)=COLUMNS(Metadata!B934:AC934)</f>
        <v>0</v>
      </c>
      <c r="AL934">
        <v>0</v>
      </c>
      <c r="AN934">
        <f>AND(IF(Metadata!B934="",FALSE,TRUE),COUNTIF(Metadata!B:B, Metadata!B934) = 1,NOT(ISERROR(SUMPRODUCT(SEARCH(MID(Metadata!B934,ROW(INDIRECT("1:"&amp;LEN(Metadata!B934))), 1),"0123456789abcdefghijklmnopqrstuvwxyzABCDEFGHIJKLMNOPQRSTUVWXYZ.")))))</f>
        <v>0</v>
      </c>
      <c r="AO934">
        <f>IF(Metadata!C934="",FALSE,TRUE)</f>
        <v>0</v>
      </c>
      <c r="AP934">
        <f>IF(Metadata!D934="",FALSE,TRUE)</f>
        <v>0</v>
      </c>
      <c r="AQ934">
        <f>OR(AND(IF(Metadata!E934="",FALSE,TRUE),OR(exact(Metadata!E934,"not collected"),exact(Metadata!E934,"not provided"),exact(Metadata!E934,"restricted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R934">
        <f>IF(Metadata!F934="",FALSE,TRUE)</f>
        <v>0</v>
      </c>
      <c r="AS934">
        <f>OR(AND(IF(Metadata!G934="",FALSE,TRUE),OR(exact(Metadata!G934,"not collected"),exact(Metadata!G934,"not provided"))),AND(IF(Metadata!G934="",FALSE,TRUE),OR(exact(Metadata!G934,"TRUE"),exact(Metadata!G934,"FALSE"))))</f>
        <v>0</v>
      </c>
      <c r="AT934">
        <f>OR(AND(IF(Metadata!H934="",FALSE,TRUE),OR(exact(Metadata!H934,"not collected"),exact(Metadata!H934,"not provided"),exact(Metadata!H934,"restricted access"))),AND(IF(Metadata!H934="",FALSE,ISNUMBER(VALUE(Metadata!H934))),Metadata!H934&gt;=-413.0))</f>
        <v>0</v>
      </c>
      <c r="AU934">
        <f>AND(IF(Metadata!I934="",FALSE,TRUE),exact(Metadata!I934,"meters"))</f>
        <v>0</v>
      </c>
      <c r="AV934">
        <f>AND(IF(Metadata!J934="",FALSE,TRUE),OR(exact(Metadata!J934,"Host-associated"),exact(Metadata!J934,"Free-living")))</f>
        <v>0</v>
      </c>
      <c r="AW934">
        <f>AND(IF(Metadata!K934="",FALSE,TRUE),OR(exact(Metadata!K934,"Animal"),exact(Metadata!K934,"Fungus"),exact(Metadata!K934,"Plant"),exact(Metadata!K934,"Saline"),exact(Metadata!K934,"Non-saline")))</f>
        <v>0</v>
      </c>
      <c r="AX934">
        <f>AND(IF(Metadata!L934="",FALSE,TRUE),OR(exact(Metadata!L934,"Plant secretion"),exact(Metadata!L934,"Plant rhizosphere"),exact(Metadata!L934,"Plant surface"),exact(Metadata!L934,"Plant corpus"),exact(Metadata!L934,"Fungus surface"),exact(Metadata!L934,"Fungus corpus"),exact(Metadata!L934,"Animal surface"),exact(Metadata!L934,"Animal proximal gut"),exact(Metadata!L934,"Animal corpus"),exact(Metadata!L934,"Animal distal gut"),exact(Metadata!L934,"Animal secretion"),exact(Metadata!L934,"Sub-surface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Y934">
        <f>IF(Metadata!M934="",FALSE,TRUE)</f>
        <v>0</v>
      </c>
      <c r="AZ934">
        <f>IF(Metadata!N934="",FALSE,TRUE)</f>
        <v>0</v>
      </c>
      <c r="BA934">
        <f>IF(Metadata!O934="",FALSE,TRUE)</f>
        <v>0</v>
      </c>
      <c r="BB934">
        <f>OR(AND(IF(Metadata!P934="",FALSE,TRUE),OR(exact(Metadata!P934,"not collected"),exact(Metadata!P934,"not provided"),exact(Metadata!P934,"restricted access"))),AND(IF(Metadata!P934="",FALSE,TRUE),OR(exact(Metadata!P934,"air"),exact(Metadata!P934,"built environment"),exact(Metadata!P934,"host-associated"),exact(Metadata!P934,"human-associated"),exact(Metadata!P934,"human-skin"),exact(Metadata!P934,"human-oral"),exact(Metadata!P934,"human-gut"),exact(Metadata!P934,"human-vaginal"),exact(Metadata!P934,"microbial mat/biofilm"),exact(Metadata!P934,"misc environment"),exact(Metadata!P934,"plant-associated"),exact(Metadata!P934,"sediment"),exact(Metadata!P934,"soil"),exact(Metadata!P934,"wastewater/sludge"),exact(Metadata!P934,"water"))))</f>
        <v>0</v>
      </c>
      <c r="BC934">
        <f>IF(Metadata!Q934="",FALSE,TRUE)</f>
        <v>0</v>
      </c>
      <c r="BD934">
        <f>IF(Metadata!R934="",FALSE,TRUE)</f>
        <v>0</v>
      </c>
      <c r="BE934">
        <f>OR(AND(IF(Metadata!S934="",FALSE,TRUE),OR(exact(Metadata!S934,"not collected"),exact(Metadata!S934,"not provided"),exact(Metadata!S934,"restricted access"))),AND(IF(Metadata!S934="",FALSE,ISNUMBER(VALUE(Metadata!S934))),Metadata!S934&gt;=-90.00,Metadata!S934&lt;=90.00))</f>
        <v>0</v>
      </c>
      <c r="BF934">
        <f>AND(IF(Metadata!T934="",FALSE,TRUE),exact(Metadata!T934,"Decimal degrees"))</f>
        <v>0</v>
      </c>
      <c r="BG934">
        <f>OR(AND(IF(Metadata!U934="",FALSE,TRUE),OR(exact(Metadata!U934,"not collected"),exact(Metadata!U934,"not provided"),exact(Metadata!U934,"restricted access"))),AND(IF(Metadata!U934="",FALSE,ISNUMBER(VALUE(Metadata!U934))),Metadata!U934&gt;=-180.00,Metadata!U934&lt;=180.00))</f>
        <v>0</v>
      </c>
      <c r="BH934">
        <f>AND(IF(Metadata!V934="",FALSE,TRUE),exact(Metadata!V934,"Decimal degrees"))</f>
        <v>0</v>
      </c>
      <c r="BI934">
        <f>IF(Metadata!W934="",FALSE,TRUE)</f>
        <v>0</v>
      </c>
      <c r="BJ934">
        <f>OR(AND(IF(Metadata!X934="",FALSE,TRUE),OR(exact(Metadata!X934,"not collected"),exact(Metadata!X934,"not provided"),exact(Metadata!X934,"restricted access"))),AND(IF(Metadata!X934="",FALSE,TRUE),OR(exact(Metadata!X934,"TRUE"),exact(Metadata!X934,"FALSE"))))</f>
        <v>0</v>
      </c>
      <c r="BK934">
        <f>AND(IF(Metadata!Y934="",FALSE,TRUE),exact(Metadata!Y934,"other"))</f>
        <v>0</v>
      </c>
      <c r="BL934">
        <f>IF(Metadata!Z934="",FALSE,TRUE)</f>
        <v>0</v>
      </c>
      <c r="BM934">
        <f>OR(AND(IF(Metadata!AA934="",FALSE,TRUE),OR(exact(Metadata!AA934,"not collected"),exact(Metadata!AA934,"not provided"))),AND(IF(Metadata!AA934="",FALSE,IF(ISERROR(INT(Metadata!AA934)),FALSE,INT(Metadata!AA934)=Metadata!AA934)),Metadata!AA934&gt;0))</f>
        <v>0</v>
      </c>
      <c r="BN934">
        <f>AND(IF(Metadata!AB934="",FALSE,TRUE),exact(Metadata!AB934,"Not applicable"))</f>
        <v>0</v>
      </c>
      <c r="BO934">
        <f>IF(Metadata!AC934="",FALSE,TRUE)</f>
        <v>0</v>
      </c>
    </row>
    <row r="935" spans="1:67">
      <c r="A935" s="5">
        <f>IF(B935=" "," ",HYPERLINK(CONCATENATE("#metadata!",ADDRESS(INDEX($AI$2:$AI$1001,MATCH(ROWS($AG$2:AG935),$AG$2:$AG$1001,0),0),1)),INDEX($AL$2:$AL$1001,MATCH(ROWS($AG$2:AG935),$AG$2:$AG$1001,0),0)))</f>
        <v>0</v>
      </c>
      <c r="B935" s="4">
        <f>IF(OR(INDEX($AH$2:$AH$1001,MATCH(ROWS($AG$2:AG935),$AG$2:$AG$1001,0),1)&gt;=100000,INDEX($AN$1005:$BO$1005,1,MATCH(COLUMNS($AN$1006:AN1006),$AN$1006:$BO$1006,0))&gt;=100000), " ",IF(INDEX($AN$2:$BO$1001,MATCH(ROWS($AG$2:AG935),$AG$2:$AG$1001,0),MATCH(COLUMNS($AN$1006:AN1006),$AN$1006:$BO$1006,0)), HYPERLINK("#",""), HYPERLINK(CONCATENATE("#Metadata!", ADDRESS(INDEX($AI$2:$AI$1001,MATCH(ROWS($AG$2:AG935),$AG$2:$AG$1001,0),0), INDEX($AN$1004:$BO$1004,1,MATCH(COLUMNS($AN$1006:AN1006),$AN$1006:$BO$1006,0)))),"Fix")))</f>
        <v>0</v>
      </c>
      <c r="C935" s="4">
        <f>IF(OR(INDEX($AH$2:$AH$1001,MATCH(ROWS($AG$2:AG935),$AG$2:$AG$1001,0),1)&gt;=100000,INDEX($AN$1005:$BO$1005,1,MATCH(COLUMNS($AN$1006:AO1006),$AN$1006:$BO$1006,0))&gt;=100000), " ",IF(INDEX($AN$2:$BO$1001,MATCH(ROWS($AG$2:AG935),$AG$2:$AG$1001,0),MATCH(COLUMNS($AN$1006:AO1006),$AN$1006:$BO$1006,0)), HYPERLINK("#",""), HYPERLINK(CONCATENATE("#Metadata!", ADDRESS(INDEX($AI$2:$AI$1001,MATCH(ROWS($AG$2:AG935),$AG$2:$AG$1001,0),0), INDEX($AN$1004:$BO$1004,1,MATCH(COLUMNS($AN$1006:AO1006),$AN$1006:$BO$1006,0)))),"Fix")))</f>
        <v>0</v>
      </c>
      <c r="D935" s="4">
        <f>IF(OR(INDEX($AH$2:$AH$1001,MATCH(ROWS($AG$2:AG935),$AG$2:$AG$1001,0),1)&gt;=100000,INDEX($AN$1005:$BO$1005,1,MATCH(COLUMNS($AN$1006:AP1006),$AN$1006:$BO$1006,0))&gt;=100000), " ",IF(INDEX($AN$2:$BO$1001,MATCH(ROWS($AG$2:AG935),$AG$2:$AG$1001,0),MATCH(COLUMNS($AN$1006:AP1006),$AN$1006:$BO$1006,0)), HYPERLINK("#",""), HYPERLINK(CONCATENATE("#Metadata!", ADDRESS(INDEX($AI$2:$AI$1001,MATCH(ROWS($AG$2:AG935),$AG$2:$AG$1001,0),0), INDEX($AN$1004:$BO$1004,1,MATCH(COLUMNS($AN$1006:AP1006),$AN$1006:$BO$1006,0)))),"Fix")))</f>
        <v>0</v>
      </c>
      <c r="E935" s="4">
        <f>IF(OR(INDEX($AH$2:$AH$1001,MATCH(ROWS($AG$2:AG935),$AG$2:$AG$1001,0),1)&gt;=100000,INDEX($AN$1005:$BO$1005,1,MATCH(COLUMNS($AN$1006:AQ1006),$AN$1006:$BO$1006,0))&gt;=100000), " ",IF(INDEX($AN$2:$BO$1001,MATCH(ROWS($AG$2:AG935),$AG$2:$AG$1001,0),MATCH(COLUMNS($AN$1006:AQ1006),$AN$1006:$BO$1006,0)), HYPERLINK("#",""), HYPERLINK(CONCATENATE("#Metadata!", ADDRESS(INDEX($AI$2:$AI$1001,MATCH(ROWS($AG$2:AG935),$AG$2:$AG$1001,0),0), INDEX($AN$1004:$BO$1004,1,MATCH(COLUMNS($AN$1006:AQ1006),$AN$1006:$BO$1006,0)))),"Fix")))</f>
        <v>0</v>
      </c>
      <c r="F935" s="4">
        <f>IF(OR(INDEX($AH$2:$AH$1001,MATCH(ROWS($AG$2:AG935),$AG$2:$AG$1001,0),1)&gt;=100000,INDEX($AN$1005:$BO$1005,1,MATCH(COLUMNS($AN$1006:AR1006),$AN$1006:$BO$1006,0))&gt;=100000), " ",IF(INDEX($AN$2:$BO$1001,MATCH(ROWS($AG$2:AG935),$AG$2:$AG$1001,0),MATCH(COLUMNS($AN$1006:AR1006),$AN$1006:$BO$1006,0)), HYPERLINK("#",""), HYPERLINK(CONCATENATE("#Metadata!", ADDRESS(INDEX($AI$2:$AI$1001,MATCH(ROWS($AG$2:AG935),$AG$2:$AG$1001,0),0), INDEX($AN$1004:$BO$1004,1,MATCH(COLUMNS($AN$1006:AR1006),$AN$1006:$BO$1006,0)))),"Fix")))</f>
        <v>0</v>
      </c>
      <c r="G935" s="4">
        <f>IF(OR(INDEX($AH$2:$AH$1001,MATCH(ROWS($AG$2:AG935),$AG$2:$AG$1001,0),1)&gt;=100000,INDEX($AN$1005:$BO$1005,1,MATCH(COLUMNS($AN$1006:AS1006),$AN$1006:$BO$1006,0))&gt;=100000), " ",IF(INDEX($AN$2:$BO$1001,MATCH(ROWS($AG$2:AG935),$AG$2:$AG$1001,0),MATCH(COLUMNS($AN$1006:AS1006),$AN$1006:$BO$1006,0)), HYPERLINK("#",""), HYPERLINK(CONCATENATE("#Metadata!", ADDRESS(INDEX($AI$2:$AI$1001,MATCH(ROWS($AG$2:AG935),$AG$2:$AG$1001,0),0), INDEX($AN$1004:$BO$1004,1,MATCH(COLUMNS($AN$1006:AS1006),$AN$1006:$BO$1006,0)))),"Fix")))</f>
        <v>0</v>
      </c>
      <c r="H935" s="4">
        <f>IF(OR(INDEX($AH$2:$AH$1001,MATCH(ROWS($AG$2:AG935),$AG$2:$AG$1001,0),1)&gt;=100000,INDEX($AN$1005:$BO$1005,1,MATCH(COLUMNS($AN$1006:AT1006),$AN$1006:$BO$1006,0))&gt;=100000), " ",IF(INDEX($AN$2:$BO$1001,MATCH(ROWS($AG$2:AG935),$AG$2:$AG$1001,0),MATCH(COLUMNS($AN$1006:AT1006),$AN$1006:$BO$1006,0)), HYPERLINK("#",""), HYPERLINK(CONCATENATE("#Metadata!", ADDRESS(INDEX($AI$2:$AI$1001,MATCH(ROWS($AG$2:AG935),$AG$2:$AG$1001,0),0), INDEX($AN$1004:$BO$1004,1,MATCH(COLUMNS($AN$1006:AT1006),$AN$1006:$BO$1006,0)))),"Fix")))</f>
        <v>0</v>
      </c>
      <c r="I935" s="4">
        <f>IF(OR(INDEX($AH$2:$AH$1001,MATCH(ROWS($AG$2:AG935),$AG$2:$AG$1001,0),1)&gt;=100000,INDEX($AN$1005:$BO$1005,1,MATCH(COLUMNS($AN$1006:AU1006),$AN$1006:$BO$1006,0))&gt;=100000), " ",IF(INDEX($AN$2:$BO$1001,MATCH(ROWS($AG$2:AG935),$AG$2:$AG$1001,0),MATCH(COLUMNS($AN$1006:AU1006),$AN$1006:$BO$1006,0)), HYPERLINK("#",""), HYPERLINK(CONCATENATE("#Metadata!", ADDRESS(INDEX($AI$2:$AI$1001,MATCH(ROWS($AG$2:AG935),$AG$2:$AG$1001,0),0), INDEX($AN$1004:$BO$1004,1,MATCH(COLUMNS($AN$1006:AU1006),$AN$1006:$BO$1006,0)))),"Fix")))</f>
        <v>0</v>
      </c>
      <c r="J935" s="4">
        <f>IF(OR(INDEX($AH$2:$AH$1001,MATCH(ROWS($AG$2:AG935),$AG$2:$AG$1001,0),1)&gt;=100000,INDEX($AN$1005:$BO$1005,1,MATCH(COLUMNS($AN$1006:AV1006),$AN$1006:$BO$1006,0))&gt;=100000), " ",IF(INDEX($AN$2:$BO$1001,MATCH(ROWS($AG$2:AG935),$AG$2:$AG$1001,0),MATCH(COLUMNS($AN$1006:AV1006),$AN$1006:$BO$1006,0)), HYPERLINK("#",""), HYPERLINK(CONCATENATE("#Metadata!", ADDRESS(INDEX($AI$2:$AI$1001,MATCH(ROWS($AG$2:AG935),$AG$2:$AG$1001,0),0), INDEX($AN$1004:$BO$1004,1,MATCH(COLUMNS($AN$1006:AV1006),$AN$1006:$BO$1006,0)))),"Fix")))</f>
        <v>0</v>
      </c>
      <c r="K935" s="4">
        <f>IF(OR(INDEX($AH$2:$AH$1001,MATCH(ROWS($AG$2:AG935),$AG$2:$AG$1001,0),1)&gt;=100000,INDEX($AN$1005:$BO$1005,1,MATCH(COLUMNS($AN$1006:AW1006),$AN$1006:$BO$1006,0))&gt;=100000), " ",IF(INDEX($AN$2:$BO$1001,MATCH(ROWS($AG$2:AG935),$AG$2:$AG$1001,0),MATCH(COLUMNS($AN$1006:AW1006),$AN$1006:$BO$1006,0)), HYPERLINK("#",""), HYPERLINK(CONCATENATE("#Metadata!", ADDRESS(INDEX($AI$2:$AI$1001,MATCH(ROWS($AG$2:AG935),$AG$2:$AG$1001,0),0), INDEX($AN$1004:$BO$1004,1,MATCH(COLUMNS($AN$1006:AW1006),$AN$1006:$BO$1006,0)))),"Fix")))</f>
        <v>0</v>
      </c>
      <c r="L935" s="4">
        <f>IF(OR(INDEX($AH$2:$AH$1001,MATCH(ROWS($AG$2:AG935),$AG$2:$AG$1001,0),1)&gt;=100000,INDEX($AN$1005:$BO$1005,1,MATCH(COLUMNS($AN$1006:AX1006),$AN$1006:$BO$1006,0))&gt;=100000), " ",IF(INDEX($AN$2:$BO$1001,MATCH(ROWS($AG$2:AG935),$AG$2:$AG$1001,0),MATCH(COLUMNS($AN$1006:AX1006),$AN$1006:$BO$1006,0)), HYPERLINK("#",""), HYPERLINK(CONCATENATE("#Metadata!", ADDRESS(INDEX($AI$2:$AI$1001,MATCH(ROWS($AG$2:AG935),$AG$2:$AG$1001,0),0), INDEX($AN$1004:$BO$1004,1,MATCH(COLUMNS($AN$1006:AX1006),$AN$1006:$BO$1006,0)))),"Fix")))</f>
        <v>0</v>
      </c>
      <c r="M935" s="4">
        <f>IF(OR(INDEX($AH$2:$AH$1001,MATCH(ROWS($AG$2:AG935),$AG$2:$AG$1001,0),1)&gt;=100000,INDEX($AN$1005:$BO$1005,1,MATCH(COLUMNS($AN$1006:AY1006),$AN$1006:$BO$1006,0))&gt;=100000), " ",IF(INDEX($AN$2:$BO$1001,MATCH(ROWS($AG$2:AG935),$AG$2:$AG$1001,0),MATCH(COLUMNS($AN$1006:AY1006),$AN$1006:$BO$1006,0)), HYPERLINK("#",""), HYPERLINK(CONCATENATE("#Metadata!", ADDRESS(INDEX($AI$2:$AI$1001,MATCH(ROWS($AG$2:AG935),$AG$2:$AG$1001,0),0), INDEX($AN$1004:$BO$1004,1,MATCH(COLUMNS($AN$1006:AY1006),$AN$1006:$BO$1006,0)))),"Fix")))</f>
        <v>0</v>
      </c>
      <c r="N935" s="4">
        <f>IF(OR(INDEX($AH$2:$AH$1001,MATCH(ROWS($AG$2:AG935),$AG$2:$AG$1001,0),1)&gt;=100000,INDEX($AN$1005:$BO$1005,1,MATCH(COLUMNS($AN$1006:AZ1006),$AN$1006:$BO$1006,0))&gt;=100000), " ",IF(INDEX($AN$2:$BO$1001,MATCH(ROWS($AG$2:AG935),$AG$2:$AG$1001,0),MATCH(COLUMNS($AN$1006:AZ1006),$AN$1006:$BO$1006,0)), HYPERLINK("#",""), HYPERLINK(CONCATENATE("#Metadata!", ADDRESS(INDEX($AI$2:$AI$1001,MATCH(ROWS($AG$2:AG935),$AG$2:$AG$1001,0),0), INDEX($AN$1004:$BO$1004,1,MATCH(COLUMNS($AN$1006:AZ1006),$AN$1006:$BO$1006,0)))),"Fix")))</f>
        <v>0</v>
      </c>
      <c r="O935" s="4">
        <f>IF(OR(INDEX($AH$2:$AH$1001,MATCH(ROWS($AG$2:AG935),$AG$2:$AG$1001,0),1)&gt;=100000,INDEX($AN$1005:$BO$1005,1,MATCH(COLUMNS($AN$1006:BA1006),$AN$1006:$BO$1006,0))&gt;=100000), " ",IF(INDEX($AN$2:$BO$1001,MATCH(ROWS($AG$2:AG935),$AG$2:$AG$1001,0),MATCH(COLUMNS($AN$1006:BA1006),$AN$1006:$BO$1006,0)), HYPERLINK("#",""), HYPERLINK(CONCATENATE("#Metadata!", ADDRESS(INDEX($AI$2:$AI$1001,MATCH(ROWS($AG$2:AG935),$AG$2:$AG$1001,0),0), INDEX($AN$1004:$BO$1004,1,MATCH(COLUMNS($AN$1006:BA1006),$AN$1006:$BO$1006,0)))),"Fix")))</f>
        <v>0</v>
      </c>
      <c r="P935" s="4">
        <f>IF(OR(INDEX($AH$2:$AH$1001,MATCH(ROWS($AG$2:AG935),$AG$2:$AG$1001,0),1)&gt;=100000,INDEX($AN$1005:$BO$1005,1,MATCH(COLUMNS($AN$1006:BB1006),$AN$1006:$BO$1006,0))&gt;=100000), " ",IF(INDEX($AN$2:$BO$1001,MATCH(ROWS($AG$2:AG935),$AG$2:$AG$1001,0),MATCH(COLUMNS($AN$1006:BB1006),$AN$1006:$BO$1006,0)), HYPERLINK("#",""), HYPERLINK(CONCATENATE("#Metadata!", ADDRESS(INDEX($AI$2:$AI$1001,MATCH(ROWS($AG$2:AG935),$AG$2:$AG$1001,0),0), INDEX($AN$1004:$BO$1004,1,MATCH(COLUMNS($AN$1006:BB1006),$AN$1006:$BO$1006,0)))),"Fix")))</f>
        <v>0</v>
      </c>
      <c r="Q935" s="4">
        <f>IF(OR(INDEX($AH$2:$AH$1001,MATCH(ROWS($AG$2:AG935),$AG$2:$AG$1001,0),1)&gt;=100000,INDEX($AN$1005:$BO$1005,1,MATCH(COLUMNS($AN$1006:BC1006),$AN$1006:$BO$1006,0))&gt;=100000), " ",IF(INDEX($AN$2:$BO$1001,MATCH(ROWS($AG$2:AG935),$AG$2:$AG$1001,0),MATCH(COLUMNS($AN$1006:BC1006),$AN$1006:$BO$1006,0)), HYPERLINK("#",""), HYPERLINK(CONCATENATE("#Metadata!", ADDRESS(INDEX($AI$2:$AI$1001,MATCH(ROWS($AG$2:AG935),$AG$2:$AG$1001,0),0), INDEX($AN$1004:$BO$1004,1,MATCH(COLUMNS($AN$1006:BC1006),$AN$1006:$BO$1006,0)))),"Fix")))</f>
        <v>0</v>
      </c>
      <c r="R935" s="4">
        <f>IF(OR(INDEX($AH$2:$AH$1001,MATCH(ROWS($AG$2:AG935),$AG$2:$AG$1001,0),1)&gt;=100000,INDEX($AN$1005:$BO$1005,1,MATCH(COLUMNS($AN$1006:BD1006),$AN$1006:$BO$1006,0))&gt;=100000), " ",IF(INDEX($AN$2:$BO$1001,MATCH(ROWS($AG$2:AG935),$AG$2:$AG$1001,0),MATCH(COLUMNS($AN$1006:BD1006),$AN$1006:$BO$1006,0)), HYPERLINK("#",""), HYPERLINK(CONCATENATE("#Metadata!", ADDRESS(INDEX($AI$2:$AI$1001,MATCH(ROWS($AG$2:AG935),$AG$2:$AG$1001,0),0), INDEX($AN$1004:$BO$1004,1,MATCH(COLUMNS($AN$1006:BD1006),$AN$1006:$BO$1006,0)))),"Fix")))</f>
        <v>0</v>
      </c>
      <c r="S935" s="4">
        <f>IF(OR(INDEX($AH$2:$AH$1001,MATCH(ROWS($AG$2:AG935),$AG$2:$AG$1001,0),1)&gt;=100000,INDEX($AN$1005:$BO$1005,1,MATCH(COLUMNS($AN$1006:BE1006),$AN$1006:$BO$1006,0))&gt;=100000), " ",IF(INDEX($AN$2:$BO$1001,MATCH(ROWS($AG$2:AG935),$AG$2:$AG$1001,0),MATCH(COLUMNS($AN$1006:BE1006),$AN$1006:$BO$1006,0)), HYPERLINK("#",""), HYPERLINK(CONCATENATE("#Metadata!", ADDRESS(INDEX($AI$2:$AI$1001,MATCH(ROWS($AG$2:AG935),$AG$2:$AG$1001,0),0), INDEX($AN$1004:$BO$1004,1,MATCH(COLUMNS($AN$1006:BE1006),$AN$1006:$BO$1006,0)))),"Fix")))</f>
        <v>0</v>
      </c>
      <c r="T935" s="4">
        <f>IF(OR(INDEX($AH$2:$AH$1001,MATCH(ROWS($AG$2:AG935),$AG$2:$AG$1001,0),1)&gt;=100000,INDEX($AN$1005:$BO$1005,1,MATCH(COLUMNS($AN$1006:BF1006),$AN$1006:$BO$1006,0))&gt;=100000), " ",IF(INDEX($AN$2:$BO$1001,MATCH(ROWS($AG$2:AG935),$AG$2:$AG$1001,0),MATCH(COLUMNS($AN$1006:BF1006),$AN$1006:$BO$1006,0)), HYPERLINK("#",""), HYPERLINK(CONCATENATE("#Metadata!", ADDRESS(INDEX($AI$2:$AI$1001,MATCH(ROWS($AG$2:AG935),$AG$2:$AG$1001,0),0), INDEX($AN$1004:$BO$1004,1,MATCH(COLUMNS($AN$1006:BF1006),$AN$1006:$BO$1006,0)))),"Fix")))</f>
        <v>0</v>
      </c>
      <c r="U935" s="4">
        <f>IF(OR(INDEX($AH$2:$AH$1001,MATCH(ROWS($AG$2:AG935),$AG$2:$AG$1001,0),1)&gt;=100000,INDEX($AN$1005:$BO$1005,1,MATCH(COLUMNS($AN$1006:BG1006),$AN$1006:$BO$1006,0))&gt;=100000), " ",IF(INDEX($AN$2:$BO$1001,MATCH(ROWS($AG$2:AG935),$AG$2:$AG$1001,0),MATCH(COLUMNS($AN$1006:BG1006),$AN$1006:$BO$1006,0)), HYPERLINK("#",""), HYPERLINK(CONCATENATE("#Metadata!", ADDRESS(INDEX($AI$2:$AI$1001,MATCH(ROWS($AG$2:AG935),$AG$2:$AG$1001,0),0), INDEX($AN$1004:$BO$1004,1,MATCH(COLUMNS($AN$1006:BG1006),$AN$1006:$BO$1006,0)))),"Fix")))</f>
        <v>0</v>
      </c>
      <c r="V935" s="4">
        <f>IF(OR(INDEX($AH$2:$AH$1001,MATCH(ROWS($AG$2:AG935),$AG$2:$AG$1001,0),1)&gt;=100000,INDEX($AN$1005:$BO$1005,1,MATCH(COLUMNS($AN$1006:BH1006),$AN$1006:$BO$1006,0))&gt;=100000), " ",IF(INDEX($AN$2:$BO$1001,MATCH(ROWS($AG$2:AG935),$AG$2:$AG$1001,0),MATCH(COLUMNS($AN$1006:BH1006),$AN$1006:$BO$1006,0)), HYPERLINK("#",""), HYPERLINK(CONCATENATE("#Metadata!", ADDRESS(INDEX($AI$2:$AI$1001,MATCH(ROWS($AG$2:AG935),$AG$2:$AG$1001,0),0), INDEX($AN$1004:$BO$1004,1,MATCH(COLUMNS($AN$1006:BH1006),$AN$1006:$BO$1006,0)))),"Fix")))</f>
        <v>0</v>
      </c>
      <c r="W935" s="4">
        <f>IF(OR(INDEX($AH$2:$AH$1001,MATCH(ROWS($AG$2:AG935),$AG$2:$AG$1001,0),1)&gt;=100000,INDEX($AN$1005:$BO$1005,1,MATCH(COLUMNS($AN$1006:BI1006),$AN$1006:$BO$1006,0))&gt;=100000), " ",IF(INDEX($AN$2:$BO$1001,MATCH(ROWS($AG$2:AG935),$AG$2:$AG$1001,0),MATCH(COLUMNS($AN$1006:BI1006),$AN$1006:$BO$1006,0)), HYPERLINK("#",""), HYPERLINK(CONCATENATE("#Metadata!", ADDRESS(INDEX($AI$2:$AI$1001,MATCH(ROWS($AG$2:AG935),$AG$2:$AG$1001,0),0), INDEX($AN$1004:$BO$1004,1,MATCH(COLUMNS($AN$1006:BI1006),$AN$1006:$BO$1006,0)))),"Fix")))</f>
        <v>0</v>
      </c>
      <c r="X935" s="4">
        <f>IF(OR(INDEX($AH$2:$AH$1001,MATCH(ROWS($AG$2:AG935),$AG$2:$AG$1001,0),1)&gt;=100000,INDEX($AN$1005:$BO$1005,1,MATCH(COLUMNS($AN$1006:BJ1006),$AN$1006:$BO$1006,0))&gt;=100000), " ",IF(INDEX($AN$2:$BO$1001,MATCH(ROWS($AG$2:AG935),$AG$2:$AG$1001,0),MATCH(COLUMNS($AN$1006:BJ1006),$AN$1006:$BO$1006,0)), HYPERLINK("#",""), HYPERLINK(CONCATENATE("#Metadata!", ADDRESS(INDEX($AI$2:$AI$1001,MATCH(ROWS($AG$2:AG935),$AG$2:$AG$1001,0),0), INDEX($AN$1004:$BO$1004,1,MATCH(COLUMNS($AN$1006:BJ1006),$AN$1006:$BO$1006,0)))),"Fix")))</f>
        <v>0</v>
      </c>
      <c r="Y935" s="4">
        <f>IF(OR(INDEX($AH$2:$AH$1001,MATCH(ROWS($AG$2:AG935),$AG$2:$AG$1001,0),1)&gt;=100000,INDEX($AN$1005:$BO$1005,1,MATCH(COLUMNS($AN$1006:BK1006),$AN$1006:$BO$1006,0))&gt;=100000), " ",IF(INDEX($AN$2:$BO$1001,MATCH(ROWS($AG$2:AG935),$AG$2:$AG$1001,0),MATCH(COLUMNS($AN$1006:BK1006),$AN$1006:$BO$1006,0)), HYPERLINK("#",""), HYPERLINK(CONCATENATE("#Metadata!", ADDRESS(INDEX($AI$2:$AI$1001,MATCH(ROWS($AG$2:AG935),$AG$2:$AG$1001,0),0), INDEX($AN$1004:$BO$1004,1,MATCH(COLUMNS($AN$1006:BK1006),$AN$1006:$BO$1006,0)))),"Fix")))</f>
        <v>0</v>
      </c>
      <c r="Z935" s="4">
        <f>IF(OR(INDEX($AH$2:$AH$1001,MATCH(ROWS($AG$2:AG935),$AG$2:$AG$1001,0),1)&gt;=100000,INDEX($AN$1005:$BO$1005,1,MATCH(COLUMNS($AN$1006:BL1006),$AN$1006:$BO$1006,0))&gt;=100000), " ",IF(INDEX($AN$2:$BO$1001,MATCH(ROWS($AG$2:AG935),$AG$2:$AG$1001,0),MATCH(COLUMNS($AN$1006:BL1006),$AN$1006:$BO$1006,0)), HYPERLINK("#",""), HYPERLINK(CONCATENATE("#Metadata!", ADDRESS(INDEX($AI$2:$AI$1001,MATCH(ROWS($AG$2:AG935),$AG$2:$AG$1001,0),0), INDEX($AN$1004:$BO$1004,1,MATCH(COLUMNS($AN$1006:BL1006),$AN$1006:$BO$1006,0)))),"Fix")))</f>
        <v>0</v>
      </c>
      <c r="AA935" s="4">
        <f>IF(OR(INDEX($AH$2:$AH$1001,MATCH(ROWS($AG$2:AG935),$AG$2:$AG$1001,0),1)&gt;=100000,INDEX($AN$1005:$BO$1005,1,MATCH(COLUMNS($AN$1006:BM1006),$AN$1006:$BO$1006,0))&gt;=100000), " ",IF(INDEX($AN$2:$BO$1001,MATCH(ROWS($AG$2:AG935),$AG$2:$AG$1001,0),MATCH(COLUMNS($AN$1006:BM1006),$AN$1006:$BO$1006,0)), HYPERLINK("#",""), HYPERLINK(CONCATENATE("#Metadata!", ADDRESS(INDEX($AI$2:$AI$1001,MATCH(ROWS($AG$2:AG935),$AG$2:$AG$1001,0),0), INDEX($AN$1004:$BO$1004,1,MATCH(COLUMNS($AN$1006:BM1006),$AN$1006:$BO$1006,0)))),"Fix")))</f>
        <v>0</v>
      </c>
      <c r="AB935" s="4">
        <f>IF(OR(INDEX($AH$2:$AH$1001,MATCH(ROWS($AG$2:AG935),$AG$2:$AG$1001,0),1)&gt;=100000,INDEX($AN$1005:$BO$1005,1,MATCH(COLUMNS($AN$1006:BN1006),$AN$1006:$BO$1006,0))&gt;=100000), " ",IF(INDEX($AN$2:$BO$1001,MATCH(ROWS($AG$2:AG935),$AG$2:$AG$1001,0),MATCH(COLUMNS($AN$1006:BN1006),$AN$1006:$BO$1006,0)), HYPERLINK("#",""), HYPERLINK(CONCATENATE("#Metadata!", ADDRESS(INDEX($AI$2:$AI$1001,MATCH(ROWS($AG$2:AG935),$AG$2:$AG$1001,0),0), INDEX($AN$1004:$BO$1004,1,MATCH(COLUMNS($AN$1006:BN1006),$AN$1006:$BO$1006,0)))),"Fix")))</f>
        <v>0</v>
      </c>
      <c r="AC935" s="4">
        <f>IF(OR(INDEX($AH$2:$AH$1001,MATCH(ROWS($AG$2:AG935),$AG$2:$AG$1001,0),1)&gt;=100000,INDEX($AN$1005:$BO$1005,1,MATCH(COLUMNS($AN$1006:BO1006),$AN$1006:$BO$1006,0))&gt;=100000), " ",IF(INDEX($AN$2:$BO$1001,MATCH(ROWS($AG$2:AG935),$AG$2:$AG$1001,0),MATCH(COLUMNS($AN$1006:BO1006),$AN$1006:$BO$1006,0)), HYPERLINK("#",""), HYPERLINK(CONCATENATE("#Metadata!", ADDRESS(INDEX($AI$2:$AI$1001,MATCH(ROWS($AG$2:AG935),$AG$2:$AG$1001,0),0), INDEX($AN$1004:$BO$1004,1,MATCH(COLUMNS($AN$1006:BO1006),$AN$1006:$BO$1006,0)))),"Fix")))</f>
        <v>0</v>
      </c>
      <c r="AG935">
        <v>0</v>
      </c>
      <c r="AH935">
        <v>0</v>
      </c>
      <c r="AI935">
        <v>0</v>
      </c>
      <c r="AJ935">
        <f>IF(AK935,TRUE,AND(AN935:BO935))</f>
        <v>0</v>
      </c>
      <c r="AK935">
        <f>COUNTBLANK(Metadata!B935:AC935)=COLUMNS(Metadata!B935:AC935)</f>
        <v>0</v>
      </c>
      <c r="AL935">
        <v>0</v>
      </c>
      <c r="AN935">
        <f>AND(IF(Metadata!B935="",FALSE,TRUE),COUNTIF(Metadata!B:B, Metadata!B935) = 1,NOT(ISERROR(SUMPRODUCT(SEARCH(MID(Metadata!B935,ROW(INDIRECT("1:"&amp;LEN(Metadata!B935))), 1),"0123456789abcdefghijklmnopqrstuvwxyzABCDEFGHIJKLMNOPQRSTUVWXYZ.")))))</f>
        <v>0</v>
      </c>
      <c r="AO935">
        <f>IF(Metadata!C935="",FALSE,TRUE)</f>
        <v>0</v>
      </c>
      <c r="AP935">
        <f>IF(Metadata!D935="",FALSE,TRUE)</f>
        <v>0</v>
      </c>
      <c r="AQ935">
        <f>OR(AND(IF(Metadata!E935="",FALSE,TRUE),OR(exact(Metadata!E935,"not collected"),exact(Metadata!E935,"not provided"),exact(Metadata!E935,"restricted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R935">
        <f>IF(Metadata!F935="",FALSE,TRUE)</f>
        <v>0</v>
      </c>
      <c r="AS935">
        <f>OR(AND(IF(Metadata!G935="",FALSE,TRUE),OR(exact(Metadata!G935,"not collected"),exact(Metadata!G935,"not provided"))),AND(IF(Metadata!G935="",FALSE,TRUE),OR(exact(Metadata!G935,"TRUE"),exact(Metadata!G935,"FALSE"))))</f>
        <v>0</v>
      </c>
      <c r="AT935">
        <f>OR(AND(IF(Metadata!H935="",FALSE,TRUE),OR(exact(Metadata!H935,"not collected"),exact(Metadata!H935,"not provided"),exact(Metadata!H935,"restricted access"))),AND(IF(Metadata!H935="",FALSE,ISNUMBER(VALUE(Metadata!H935))),Metadata!H935&gt;=-413.0))</f>
        <v>0</v>
      </c>
      <c r="AU935">
        <f>AND(IF(Metadata!I935="",FALSE,TRUE),exact(Metadata!I935,"meters"))</f>
        <v>0</v>
      </c>
      <c r="AV935">
        <f>AND(IF(Metadata!J935="",FALSE,TRUE),OR(exact(Metadata!J935,"Host-associated"),exact(Metadata!J935,"Free-living")))</f>
        <v>0</v>
      </c>
      <c r="AW935">
        <f>AND(IF(Metadata!K935="",FALSE,TRUE),OR(exact(Metadata!K935,"Animal"),exact(Metadata!K935,"Fungus"),exact(Metadata!K935,"Plant"),exact(Metadata!K935,"Saline"),exact(Metadata!K935,"Non-saline")))</f>
        <v>0</v>
      </c>
      <c r="AX935">
        <f>AND(IF(Metadata!L935="",FALSE,TRUE),OR(exact(Metadata!L935,"Plant secretion"),exact(Metadata!L935,"Plant rhizosphere"),exact(Metadata!L935,"Plant surface"),exact(Metadata!L935,"Plant corpus"),exact(Metadata!L935,"Fungus surface"),exact(Metadata!L935,"Fungus corpus"),exact(Metadata!L935,"Animal surface"),exact(Metadata!L935,"Animal proximal gut"),exact(Metadata!L935,"Animal corpus"),exact(Metadata!L935,"Animal distal gut"),exact(Metadata!L935,"Animal secretion"),exact(Metadata!L935,"Sub-surface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Y935">
        <f>IF(Metadata!M935="",FALSE,TRUE)</f>
        <v>0</v>
      </c>
      <c r="AZ935">
        <f>IF(Metadata!N935="",FALSE,TRUE)</f>
        <v>0</v>
      </c>
      <c r="BA935">
        <f>IF(Metadata!O935="",FALSE,TRUE)</f>
        <v>0</v>
      </c>
      <c r="BB935">
        <f>OR(AND(IF(Metadata!P935="",FALSE,TRUE),OR(exact(Metadata!P935,"not collected"),exact(Metadata!P935,"not provided"),exact(Metadata!P935,"restricted access"))),AND(IF(Metadata!P935="",FALSE,TRUE),OR(exact(Metadata!P935,"air"),exact(Metadata!P935,"built environment"),exact(Metadata!P935,"host-associated"),exact(Metadata!P935,"human-associated"),exact(Metadata!P935,"human-skin"),exact(Metadata!P935,"human-oral"),exact(Metadata!P935,"human-gut"),exact(Metadata!P935,"human-vaginal"),exact(Metadata!P935,"microbial mat/biofilm"),exact(Metadata!P935,"misc environment"),exact(Metadata!P935,"plant-associated"),exact(Metadata!P935,"sediment"),exact(Metadata!P935,"soil"),exact(Metadata!P935,"wastewater/sludge"),exact(Metadata!P935,"water"))))</f>
        <v>0</v>
      </c>
      <c r="BC935">
        <f>IF(Metadata!Q935="",FALSE,TRUE)</f>
        <v>0</v>
      </c>
      <c r="BD935">
        <f>IF(Metadata!R935="",FALSE,TRUE)</f>
        <v>0</v>
      </c>
      <c r="BE935">
        <f>OR(AND(IF(Metadata!S935="",FALSE,TRUE),OR(exact(Metadata!S935,"not collected"),exact(Metadata!S935,"not provided"),exact(Metadata!S935,"restricted access"))),AND(IF(Metadata!S935="",FALSE,ISNUMBER(VALUE(Metadata!S935))),Metadata!S935&gt;=-90.00,Metadata!S935&lt;=90.00))</f>
        <v>0</v>
      </c>
      <c r="BF935">
        <f>AND(IF(Metadata!T935="",FALSE,TRUE),exact(Metadata!T935,"Decimal degrees"))</f>
        <v>0</v>
      </c>
      <c r="BG935">
        <f>OR(AND(IF(Metadata!U935="",FALSE,TRUE),OR(exact(Metadata!U935,"not collected"),exact(Metadata!U935,"not provided"),exact(Metadata!U935,"restricted access"))),AND(IF(Metadata!U935="",FALSE,ISNUMBER(VALUE(Metadata!U935))),Metadata!U935&gt;=-180.00,Metadata!U935&lt;=180.00))</f>
        <v>0</v>
      </c>
      <c r="BH935">
        <f>AND(IF(Metadata!V935="",FALSE,TRUE),exact(Metadata!V935,"Decimal degrees"))</f>
        <v>0</v>
      </c>
      <c r="BI935">
        <f>IF(Metadata!W935="",FALSE,TRUE)</f>
        <v>0</v>
      </c>
      <c r="BJ935">
        <f>OR(AND(IF(Metadata!X935="",FALSE,TRUE),OR(exact(Metadata!X935,"not collected"),exact(Metadata!X935,"not provided"),exact(Metadata!X935,"restricted access"))),AND(IF(Metadata!X935="",FALSE,TRUE),OR(exact(Metadata!X935,"TRUE"),exact(Metadata!X935,"FALSE"))))</f>
        <v>0</v>
      </c>
      <c r="BK935">
        <f>AND(IF(Metadata!Y935="",FALSE,TRUE),exact(Metadata!Y935,"other"))</f>
        <v>0</v>
      </c>
      <c r="BL935">
        <f>IF(Metadata!Z935="",FALSE,TRUE)</f>
        <v>0</v>
      </c>
      <c r="BM935">
        <f>OR(AND(IF(Metadata!AA935="",FALSE,TRUE),OR(exact(Metadata!AA935,"not collected"),exact(Metadata!AA935,"not provided"))),AND(IF(Metadata!AA935="",FALSE,IF(ISERROR(INT(Metadata!AA935)),FALSE,INT(Metadata!AA935)=Metadata!AA935)),Metadata!AA935&gt;0))</f>
        <v>0</v>
      </c>
      <c r="BN935">
        <f>AND(IF(Metadata!AB935="",FALSE,TRUE),exact(Metadata!AB935,"Not applicable"))</f>
        <v>0</v>
      </c>
      <c r="BO935">
        <f>IF(Metadata!AC935="",FALSE,TRUE)</f>
        <v>0</v>
      </c>
    </row>
    <row r="936" spans="1:67">
      <c r="A936" s="5">
        <f>IF(B936=" "," ",HYPERLINK(CONCATENATE("#metadata!",ADDRESS(INDEX($AI$2:$AI$1001,MATCH(ROWS($AG$2:AG936),$AG$2:$AG$1001,0),0),1)),INDEX($AL$2:$AL$1001,MATCH(ROWS($AG$2:AG936),$AG$2:$AG$1001,0),0)))</f>
        <v>0</v>
      </c>
      <c r="B936" s="4">
        <f>IF(OR(INDEX($AH$2:$AH$1001,MATCH(ROWS($AG$2:AG936),$AG$2:$AG$1001,0),1)&gt;=100000,INDEX($AN$1005:$BO$1005,1,MATCH(COLUMNS($AN$1006:AN1006),$AN$1006:$BO$1006,0))&gt;=100000), " ",IF(INDEX($AN$2:$BO$1001,MATCH(ROWS($AG$2:AG936),$AG$2:$AG$1001,0),MATCH(COLUMNS($AN$1006:AN1006),$AN$1006:$BO$1006,0)), HYPERLINK("#",""), HYPERLINK(CONCATENATE("#Metadata!", ADDRESS(INDEX($AI$2:$AI$1001,MATCH(ROWS($AG$2:AG936),$AG$2:$AG$1001,0),0), INDEX($AN$1004:$BO$1004,1,MATCH(COLUMNS($AN$1006:AN1006),$AN$1006:$BO$1006,0)))),"Fix")))</f>
        <v>0</v>
      </c>
      <c r="C936" s="4">
        <f>IF(OR(INDEX($AH$2:$AH$1001,MATCH(ROWS($AG$2:AG936),$AG$2:$AG$1001,0),1)&gt;=100000,INDEX($AN$1005:$BO$1005,1,MATCH(COLUMNS($AN$1006:AO1006),$AN$1006:$BO$1006,0))&gt;=100000), " ",IF(INDEX($AN$2:$BO$1001,MATCH(ROWS($AG$2:AG936),$AG$2:$AG$1001,0),MATCH(COLUMNS($AN$1006:AO1006),$AN$1006:$BO$1006,0)), HYPERLINK("#",""), HYPERLINK(CONCATENATE("#Metadata!", ADDRESS(INDEX($AI$2:$AI$1001,MATCH(ROWS($AG$2:AG936),$AG$2:$AG$1001,0),0), INDEX($AN$1004:$BO$1004,1,MATCH(COLUMNS($AN$1006:AO1006),$AN$1006:$BO$1006,0)))),"Fix")))</f>
        <v>0</v>
      </c>
      <c r="D936" s="4">
        <f>IF(OR(INDEX($AH$2:$AH$1001,MATCH(ROWS($AG$2:AG936),$AG$2:$AG$1001,0),1)&gt;=100000,INDEX($AN$1005:$BO$1005,1,MATCH(COLUMNS($AN$1006:AP1006),$AN$1006:$BO$1006,0))&gt;=100000), " ",IF(INDEX($AN$2:$BO$1001,MATCH(ROWS($AG$2:AG936),$AG$2:$AG$1001,0),MATCH(COLUMNS($AN$1006:AP1006),$AN$1006:$BO$1006,0)), HYPERLINK("#",""), HYPERLINK(CONCATENATE("#Metadata!", ADDRESS(INDEX($AI$2:$AI$1001,MATCH(ROWS($AG$2:AG936),$AG$2:$AG$1001,0),0), INDEX($AN$1004:$BO$1004,1,MATCH(COLUMNS($AN$1006:AP1006),$AN$1006:$BO$1006,0)))),"Fix")))</f>
        <v>0</v>
      </c>
      <c r="E936" s="4">
        <f>IF(OR(INDEX($AH$2:$AH$1001,MATCH(ROWS($AG$2:AG936),$AG$2:$AG$1001,0),1)&gt;=100000,INDEX($AN$1005:$BO$1005,1,MATCH(COLUMNS($AN$1006:AQ1006),$AN$1006:$BO$1006,0))&gt;=100000), " ",IF(INDEX($AN$2:$BO$1001,MATCH(ROWS($AG$2:AG936),$AG$2:$AG$1001,0),MATCH(COLUMNS($AN$1006:AQ1006),$AN$1006:$BO$1006,0)), HYPERLINK("#",""), HYPERLINK(CONCATENATE("#Metadata!", ADDRESS(INDEX($AI$2:$AI$1001,MATCH(ROWS($AG$2:AG936),$AG$2:$AG$1001,0),0), INDEX($AN$1004:$BO$1004,1,MATCH(COLUMNS($AN$1006:AQ1006),$AN$1006:$BO$1006,0)))),"Fix")))</f>
        <v>0</v>
      </c>
      <c r="F936" s="4">
        <f>IF(OR(INDEX($AH$2:$AH$1001,MATCH(ROWS($AG$2:AG936),$AG$2:$AG$1001,0),1)&gt;=100000,INDEX($AN$1005:$BO$1005,1,MATCH(COLUMNS($AN$1006:AR1006),$AN$1006:$BO$1006,0))&gt;=100000), " ",IF(INDEX($AN$2:$BO$1001,MATCH(ROWS($AG$2:AG936),$AG$2:$AG$1001,0),MATCH(COLUMNS($AN$1006:AR1006),$AN$1006:$BO$1006,0)), HYPERLINK("#",""), HYPERLINK(CONCATENATE("#Metadata!", ADDRESS(INDEX($AI$2:$AI$1001,MATCH(ROWS($AG$2:AG936),$AG$2:$AG$1001,0),0), INDEX($AN$1004:$BO$1004,1,MATCH(COLUMNS($AN$1006:AR1006),$AN$1006:$BO$1006,0)))),"Fix")))</f>
        <v>0</v>
      </c>
      <c r="G936" s="4">
        <f>IF(OR(INDEX($AH$2:$AH$1001,MATCH(ROWS($AG$2:AG936),$AG$2:$AG$1001,0),1)&gt;=100000,INDEX($AN$1005:$BO$1005,1,MATCH(COLUMNS($AN$1006:AS1006),$AN$1006:$BO$1006,0))&gt;=100000), " ",IF(INDEX($AN$2:$BO$1001,MATCH(ROWS($AG$2:AG936),$AG$2:$AG$1001,0),MATCH(COLUMNS($AN$1006:AS1006),$AN$1006:$BO$1006,0)), HYPERLINK("#",""), HYPERLINK(CONCATENATE("#Metadata!", ADDRESS(INDEX($AI$2:$AI$1001,MATCH(ROWS($AG$2:AG936),$AG$2:$AG$1001,0),0), INDEX($AN$1004:$BO$1004,1,MATCH(COLUMNS($AN$1006:AS1006),$AN$1006:$BO$1006,0)))),"Fix")))</f>
        <v>0</v>
      </c>
      <c r="H936" s="4">
        <f>IF(OR(INDEX($AH$2:$AH$1001,MATCH(ROWS($AG$2:AG936),$AG$2:$AG$1001,0),1)&gt;=100000,INDEX($AN$1005:$BO$1005,1,MATCH(COLUMNS($AN$1006:AT1006),$AN$1006:$BO$1006,0))&gt;=100000), " ",IF(INDEX($AN$2:$BO$1001,MATCH(ROWS($AG$2:AG936),$AG$2:$AG$1001,0),MATCH(COLUMNS($AN$1006:AT1006),$AN$1006:$BO$1006,0)), HYPERLINK("#",""), HYPERLINK(CONCATENATE("#Metadata!", ADDRESS(INDEX($AI$2:$AI$1001,MATCH(ROWS($AG$2:AG936),$AG$2:$AG$1001,0),0), INDEX($AN$1004:$BO$1004,1,MATCH(COLUMNS($AN$1006:AT1006),$AN$1006:$BO$1006,0)))),"Fix")))</f>
        <v>0</v>
      </c>
      <c r="I936" s="4">
        <f>IF(OR(INDEX($AH$2:$AH$1001,MATCH(ROWS($AG$2:AG936),$AG$2:$AG$1001,0),1)&gt;=100000,INDEX($AN$1005:$BO$1005,1,MATCH(COLUMNS($AN$1006:AU1006),$AN$1006:$BO$1006,0))&gt;=100000), " ",IF(INDEX($AN$2:$BO$1001,MATCH(ROWS($AG$2:AG936),$AG$2:$AG$1001,0),MATCH(COLUMNS($AN$1006:AU1006),$AN$1006:$BO$1006,0)), HYPERLINK("#",""), HYPERLINK(CONCATENATE("#Metadata!", ADDRESS(INDEX($AI$2:$AI$1001,MATCH(ROWS($AG$2:AG936),$AG$2:$AG$1001,0),0), INDEX($AN$1004:$BO$1004,1,MATCH(COLUMNS($AN$1006:AU1006),$AN$1006:$BO$1006,0)))),"Fix")))</f>
        <v>0</v>
      </c>
      <c r="J936" s="4">
        <f>IF(OR(INDEX($AH$2:$AH$1001,MATCH(ROWS($AG$2:AG936),$AG$2:$AG$1001,0),1)&gt;=100000,INDEX($AN$1005:$BO$1005,1,MATCH(COLUMNS($AN$1006:AV1006),$AN$1006:$BO$1006,0))&gt;=100000), " ",IF(INDEX($AN$2:$BO$1001,MATCH(ROWS($AG$2:AG936),$AG$2:$AG$1001,0),MATCH(COLUMNS($AN$1006:AV1006),$AN$1006:$BO$1006,0)), HYPERLINK("#",""), HYPERLINK(CONCATENATE("#Metadata!", ADDRESS(INDEX($AI$2:$AI$1001,MATCH(ROWS($AG$2:AG936),$AG$2:$AG$1001,0),0), INDEX($AN$1004:$BO$1004,1,MATCH(COLUMNS($AN$1006:AV1006),$AN$1006:$BO$1006,0)))),"Fix")))</f>
        <v>0</v>
      </c>
      <c r="K936" s="4">
        <f>IF(OR(INDEX($AH$2:$AH$1001,MATCH(ROWS($AG$2:AG936),$AG$2:$AG$1001,0),1)&gt;=100000,INDEX($AN$1005:$BO$1005,1,MATCH(COLUMNS($AN$1006:AW1006),$AN$1006:$BO$1006,0))&gt;=100000), " ",IF(INDEX($AN$2:$BO$1001,MATCH(ROWS($AG$2:AG936),$AG$2:$AG$1001,0),MATCH(COLUMNS($AN$1006:AW1006),$AN$1006:$BO$1006,0)), HYPERLINK("#",""), HYPERLINK(CONCATENATE("#Metadata!", ADDRESS(INDEX($AI$2:$AI$1001,MATCH(ROWS($AG$2:AG936),$AG$2:$AG$1001,0),0), INDEX($AN$1004:$BO$1004,1,MATCH(COLUMNS($AN$1006:AW1006),$AN$1006:$BO$1006,0)))),"Fix")))</f>
        <v>0</v>
      </c>
      <c r="L936" s="4">
        <f>IF(OR(INDEX($AH$2:$AH$1001,MATCH(ROWS($AG$2:AG936),$AG$2:$AG$1001,0),1)&gt;=100000,INDEX($AN$1005:$BO$1005,1,MATCH(COLUMNS($AN$1006:AX1006),$AN$1006:$BO$1006,0))&gt;=100000), " ",IF(INDEX($AN$2:$BO$1001,MATCH(ROWS($AG$2:AG936),$AG$2:$AG$1001,0),MATCH(COLUMNS($AN$1006:AX1006),$AN$1006:$BO$1006,0)), HYPERLINK("#",""), HYPERLINK(CONCATENATE("#Metadata!", ADDRESS(INDEX($AI$2:$AI$1001,MATCH(ROWS($AG$2:AG936),$AG$2:$AG$1001,0),0), INDEX($AN$1004:$BO$1004,1,MATCH(COLUMNS($AN$1006:AX1006),$AN$1006:$BO$1006,0)))),"Fix")))</f>
        <v>0</v>
      </c>
      <c r="M936" s="4">
        <f>IF(OR(INDEX($AH$2:$AH$1001,MATCH(ROWS($AG$2:AG936),$AG$2:$AG$1001,0),1)&gt;=100000,INDEX($AN$1005:$BO$1005,1,MATCH(COLUMNS($AN$1006:AY1006),$AN$1006:$BO$1006,0))&gt;=100000), " ",IF(INDEX($AN$2:$BO$1001,MATCH(ROWS($AG$2:AG936),$AG$2:$AG$1001,0),MATCH(COLUMNS($AN$1006:AY1006),$AN$1006:$BO$1006,0)), HYPERLINK("#",""), HYPERLINK(CONCATENATE("#Metadata!", ADDRESS(INDEX($AI$2:$AI$1001,MATCH(ROWS($AG$2:AG936),$AG$2:$AG$1001,0),0), INDEX($AN$1004:$BO$1004,1,MATCH(COLUMNS($AN$1006:AY1006),$AN$1006:$BO$1006,0)))),"Fix")))</f>
        <v>0</v>
      </c>
      <c r="N936" s="4">
        <f>IF(OR(INDEX($AH$2:$AH$1001,MATCH(ROWS($AG$2:AG936),$AG$2:$AG$1001,0),1)&gt;=100000,INDEX($AN$1005:$BO$1005,1,MATCH(COLUMNS($AN$1006:AZ1006),$AN$1006:$BO$1006,0))&gt;=100000), " ",IF(INDEX($AN$2:$BO$1001,MATCH(ROWS($AG$2:AG936),$AG$2:$AG$1001,0),MATCH(COLUMNS($AN$1006:AZ1006),$AN$1006:$BO$1006,0)), HYPERLINK("#",""), HYPERLINK(CONCATENATE("#Metadata!", ADDRESS(INDEX($AI$2:$AI$1001,MATCH(ROWS($AG$2:AG936),$AG$2:$AG$1001,0),0), INDEX($AN$1004:$BO$1004,1,MATCH(COLUMNS($AN$1006:AZ1006),$AN$1006:$BO$1006,0)))),"Fix")))</f>
        <v>0</v>
      </c>
      <c r="O936" s="4">
        <f>IF(OR(INDEX($AH$2:$AH$1001,MATCH(ROWS($AG$2:AG936),$AG$2:$AG$1001,0),1)&gt;=100000,INDEX($AN$1005:$BO$1005,1,MATCH(COLUMNS($AN$1006:BA1006),$AN$1006:$BO$1006,0))&gt;=100000), " ",IF(INDEX($AN$2:$BO$1001,MATCH(ROWS($AG$2:AG936),$AG$2:$AG$1001,0),MATCH(COLUMNS($AN$1006:BA1006),$AN$1006:$BO$1006,0)), HYPERLINK("#",""), HYPERLINK(CONCATENATE("#Metadata!", ADDRESS(INDEX($AI$2:$AI$1001,MATCH(ROWS($AG$2:AG936),$AG$2:$AG$1001,0),0), INDEX($AN$1004:$BO$1004,1,MATCH(COLUMNS($AN$1006:BA1006),$AN$1006:$BO$1006,0)))),"Fix")))</f>
        <v>0</v>
      </c>
      <c r="P936" s="4">
        <f>IF(OR(INDEX($AH$2:$AH$1001,MATCH(ROWS($AG$2:AG936),$AG$2:$AG$1001,0),1)&gt;=100000,INDEX($AN$1005:$BO$1005,1,MATCH(COLUMNS($AN$1006:BB1006),$AN$1006:$BO$1006,0))&gt;=100000), " ",IF(INDEX($AN$2:$BO$1001,MATCH(ROWS($AG$2:AG936),$AG$2:$AG$1001,0),MATCH(COLUMNS($AN$1006:BB1006),$AN$1006:$BO$1006,0)), HYPERLINK("#",""), HYPERLINK(CONCATENATE("#Metadata!", ADDRESS(INDEX($AI$2:$AI$1001,MATCH(ROWS($AG$2:AG936),$AG$2:$AG$1001,0),0), INDEX($AN$1004:$BO$1004,1,MATCH(COLUMNS($AN$1006:BB1006),$AN$1006:$BO$1006,0)))),"Fix")))</f>
        <v>0</v>
      </c>
      <c r="Q936" s="4">
        <f>IF(OR(INDEX($AH$2:$AH$1001,MATCH(ROWS($AG$2:AG936),$AG$2:$AG$1001,0),1)&gt;=100000,INDEX($AN$1005:$BO$1005,1,MATCH(COLUMNS($AN$1006:BC1006),$AN$1006:$BO$1006,0))&gt;=100000), " ",IF(INDEX($AN$2:$BO$1001,MATCH(ROWS($AG$2:AG936),$AG$2:$AG$1001,0),MATCH(COLUMNS($AN$1006:BC1006),$AN$1006:$BO$1006,0)), HYPERLINK("#",""), HYPERLINK(CONCATENATE("#Metadata!", ADDRESS(INDEX($AI$2:$AI$1001,MATCH(ROWS($AG$2:AG936),$AG$2:$AG$1001,0),0), INDEX($AN$1004:$BO$1004,1,MATCH(COLUMNS($AN$1006:BC1006),$AN$1006:$BO$1006,0)))),"Fix")))</f>
        <v>0</v>
      </c>
      <c r="R936" s="4">
        <f>IF(OR(INDEX($AH$2:$AH$1001,MATCH(ROWS($AG$2:AG936),$AG$2:$AG$1001,0),1)&gt;=100000,INDEX($AN$1005:$BO$1005,1,MATCH(COLUMNS($AN$1006:BD1006),$AN$1006:$BO$1006,0))&gt;=100000), " ",IF(INDEX($AN$2:$BO$1001,MATCH(ROWS($AG$2:AG936),$AG$2:$AG$1001,0),MATCH(COLUMNS($AN$1006:BD1006),$AN$1006:$BO$1006,0)), HYPERLINK("#",""), HYPERLINK(CONCATENATE("#Metadata!", ADDRESS(INDEX($AI$2:$AI$1001,MATCH(ROWS($AG$2:AG936),$AG$2:$AG$1001,0),0), INDEX($AN$1004:$BO$1004,1,MATCH(COLUMNS($AN$1006:BD1006),$AN$1006:$BO$1006,0)))),"Fix")))</f>
        <v>0</v>
      </c>
      <c r="S936" s="4">
        <f>IF(OR(INDEX($AH$2:$AH$1001,MATCH(ROWS($AG$2:AG936),$AG$2:$AG$1001,0),1)&gt;=100000,INDEX($AN$1005:$BO$1005,1,MATCH(COLUMNS($AN$1006:BE1006),$AN$1006:$BO$1006,0))&gt;=100000), " ",IF(INDEX($AN$2:$BO$1001,MATCH(ROWS($AG$2:AG936),$AG$2:$AG$1001,0),MATCH(COLUMNS($AN$1006:BE1006),$AN$1006:$BO$1006,0)), HYPERLINK("#",""), HYPERLINK(CONCATENATE("#Metadata!", ADDRESS(INDEX($AI$2:$AI$1001,MATCH(ROWS($AG$2:AG936),$AG$2:$AG$1001,0),0), INDEX($AN$1004:$BO$1004,1,MATCH(COLUMNS($AN$1006:BE1006),$AN$1006:$BO$1006,0)))),"Fix")))</f>
        <v>0</v>
      </c>
      <c r="T936" s="4">
        <f>IF(OR(INDEX($AH$2:$AH$1001,MATCH(ROWS($AG$2:AG936),$AG$2:$AG$1001,0),1)&gt;=100000,INDEX($AN$1005:$BO$1005,1,MATCH(COLUMNS($AN$1006:BF1006),$AN$1006:$BO$1006,0))&gt;=100000), " ",IF(INDEX($AN$2:$BO$1001,MATCH(ROWS($AG$2:AG936),$AG$2:$AG$1001,0),MATCH(COLUMNS($AN$1006:BF1006),$AN$1006:$BO$1006,0)), HYPERLINK("#",""), HYPERLINK(CONCATENATE("#Metadata!", ADDRESS(INDEX($AI$2:$AI$1001,MATCH(ROWS($AG$2:AG936),$AG$2:$AG$1001,0),0), INDEX($AN$1004:$BO$1004,1,MATCH(COLUMNS($AN$1006:BF1006),$AN$1006:$BO$1006,0)))),"Fix")))</f>
        <v>0</v>
      </c>
      <c r="U936" s="4">
        <f>IF(OR(INDEX($AH$2:$AH$1001,MATCH(ROWS($AG$2:AG936),$AG$2:$AG$1001,0),1)&gt;=100000,INDEX($AN$1005:$BO$1005,1,MATCH(COLUMNS($AN$1006:BG1006),$AN$1006:$BO$1006,0))&gt;=100000), " ",IF(INDEX($AN$2:$BO$1001,MATCH(ROWS($AG$2:AG936),$AG$2:$AG$1001,0),MATCH(COLUMNS($AN$1006:BG1006),$AN$1006:$BO$1006,0)), HYPERLINK("#",""), HYPERLINK(CONCATENATE("#Metadata!", ADDRESS(INDEX($AI$2:$AI$1001,MATCH(ROWS($AG$2:AG936),$AG$2:$AG$1001,0),0), INDEX($AN$1004:$BO$1004,1,MATCH(COLUMNS($AN$1006:BG1006),$AN$1006:$BO$1006,0)))),"Fix")))</f>
        <v>0</v>
      </c>
      <c r="V936" s="4">
        <f>IF(OR(INDEX($AH$2:$AH$1001,MATCH(ROWS($AG$2:AG936),$AG$2:$AG$1001,0),1)&gt;=100000,INDEX($AN$1005:$BO$1005,1,MATCH(COLUMNS($AN$1006:BH1006),$AN$1006:$BO$1006,0))&gt;=100000), " ",IF(INDEX($AN$2:$BO$1001,MATCH(ROWS($AG$2:AG936),$AG$2:$AG$1001,0),MATCH(COLUMNS($AN$1006:BH1006),$AN$1006:$BO$1006,0)), HYPERLINK("#",""), HYPERLINK(CONCATENATE("#Metadata!", ADDRESS(INDEX($AI$2:$AI$1001,MATCH(ROWS($AG$2:AG936),$AG$2:$AG$1001,0),0), INDEX($AN$1004:$BO$1004,1,MATCH(COLUMNS($AN$1006:BH1006),$AN$1006:$BO$1006,0)))),"Fix")))</f>
        <v>0</v>
      </c>
      <c r="W936" s="4">
        <f>IF(OR(INDEX($AH$2:$AH$1001,MATCH(ROWS($AG$2:AG936),$AG$2:$AG$1001,0),1)&gt;=100000,INDEX($AN$1005:$BO$1005,1,MATCH(COLUMNS($AN$1006:BI1006),$AN$1006:$BO$1006,0))&gt;=100000), " ",IF(INDEX($AN$2:$BO$1001,MATCH(ROWS($AG$2:AG936),$AG$2:$AG$1001,0),MATCH(COLUMNS($AN$1006:BI1006),$AN$1006:$BO$1006,0)), HYPERLINK("#",""), HYPERLINK(CONCATENATE("#Metadata!", ADDRESS(INDEX($AI$2:$AI$1001,MATCH(ROWS($AG$2:AG936),$AG$2:$AG$1001,0),0), INDEX($AN$1004:$BO$1004,1,MATCH(COLUMNS($AN$1006:BI1006),$AN$1006:$BO$1006,0)))),"Fix")))</f>
        <v>0</v>
      </c>
      <c r="X936" s="4">
        <f>IF(OR(INDEX($AH$2:$AH$1001,MATCH(ROWS($AG$2:AG936),$AG$2:$AG$1001,0),1)&gt;=100000,INDEX($AN$1005:$BO$1005,1,MATCH(COLUMNS($AN$1006:BJ1006),$AN$1006:$BO$1006,0))&gt;=100000), " ",IF(INDEX($AN$2:$BO$1001,MATCH(ROWS($AG$2:AG936),$AG$2:$AG$1001,0),MATCH(COLUMNS($AN$1006:BJ1006),$AN$1006:$BO$1006,0)), HYPERLINK("#",""), HYPERLINK(CONCATENATE("#Metadata!", ADDRESS(INDEX($AI$2:$AI$1001,MATCH(ROWS($AG$2:AG936),$AG$2:$AG$1001,0),0), INDEX($AN$1004:$BO$1004,1,MATCH(COLUMNS($AN$1006:BJ1006),$AN$1006:$BO$1006,0)))),"Fix")))</f>
        <v>0</v>
      </c>
      <c r="Y936" s="4">
        <f>IF(OR(INDEX($AH$2:$AH$1001,MATCH(ROWS($AG$2:AG936),$AG$2:$AG$1001,0),1)&gt;=100000,INDEX($AN$1005:$BO$1005,1,MATCH(COLUMNS($AN$1006:BK1006),$AN$1006:$BO$1006,0))&gt;=100000), " ",IF(INDEX($AN$2:$BO$1001,MATCH(ROWS($AG$2:AG936),$AG$2:$AG$1001,0),MATCH(COLUMNS($AN$1006:BK1006),$AN$1006:$BO$1006,0)), HYPERLINK("#",""), HYPERLINK(CONCATENATE("#Metadata!", ADDRESS(INDEX($AI$2:$AI$1001,MATCH(ROWS($AG$2:AG936),$AG$2:$AG$1001,0),0), INDEX($AN$1004:$BO$1004,1,MATCH(COLUMNS($AN$1006:BK1006),$AN$1006:$BO$1006,0)))),"Fix")))</f>
        <v>0</v>
      </c>
      <c r="Z936" s="4">
        <f>IF(OR(INDEX($AH$2:$AH$1001,MATCH(ROWS($AG$2:AG936),$AG$2:$AG$1001,0),1)&gt;=100000,INDEX($AN$1005:$BO$1005,1,MATCH(COLUMNS($AN$1006:BL1006),$AN$1006:$BO$1006,0))&gt;=100000), " ",IF(INDEX($AN$2:$BO$1001,MATCH(ROWS($AG$2:AG936),$AG$2:$AG$1001,0),MATCH(COLUMNS($AN$1006:BL1006),$AN$1006:$BO$1006,0)), HYPERLINK("#",""), HYPERLINK(CONCATENATE("#Metadata!", ADDRESS(INDEX($AI$2:$AI$1001,MATCH(ROWS($AG$2:AG936),$AG$2:$AG$1001,0),0), INDEX($AN$1004:$BO$1004,1,MATCH(COLUMNS($AN$1006:BL1006),$AN$1006:$BO$1006,0)))),"Fix")))</f>
        <v>0</v>
      </c>
      <c r="AA936" s="4">
        <f>IF(OR(INDEX($AH$2:$AH$1001,MATCH(ROWS($AG$2:AG936),$AG$2:$AG$1001,0),1)&gt;=100000,INDEX($AN$1005:$BO$1005,1,MATCH(COLUMNS($AN$1006:BM1006),$AN$1006:$BO$1006,0))&gt;=100000), " ",IF(INDEX($AN$2:$BO$1001,MATCH(ROWS($AG$2:AG936),$AG$2:$AG$1001,0),MATCH(COLUMNS($AN$1006:BM1006),$AN$1006:$BO$1006,0)), HYPERLINK("#",""), HYPERLINK(CONCATENATE("#Metadata!", ADDRESS(INDEX($AI$2:$AI$1001,MATCH(ROWS($AG$2:AG936),$AG$2:$AG$1001,0),0), INDEX($AN$1004:$BO$1004,1,MATCH(COLUMNS($AN$1006:BM1006),$AN$1006:$BO$1006,0)))),"Fix")))</f>
        <v>0</v>
      </c>
      <c r="AB936" s="4">
        <f>IF(OR(INDEX($AH$2:$AH$1001,MATCH(ROWS($AG$2:AG936),$AG$2:$AG$1001,0),1)&gt;=100000,INDEX($AN$1005:$BO$1005,1,MATCH(COLUMNS($AN$1006:BN1006),$AN$1006:$BO$1006,0))&gt;=100000), " ",IF(INDEX($AN$2:$BO$1001,MATCH(ROWS($AG$2:AG936),$AG$2:$AG$1001,0),MATCH(COLUMNS($AN$1006:BN1006),$AN$1006:$BO$1006,0)), HYPERLINK("#",""), HYPERLINK(CONCATENATE("#Metadata!", ADDRESS(INDEX($AI$2:$AI$1001,MATCH(ROWS($AG$2:AG936),$AG$2:$AG$1001,0),0), INDEX($AN$1004:$BO$1004,1,MATCH(COLUMNS($AN$1006:BN1006),$AN$1006:$BO$1006,0)))),"Fix")))</f>
        <v>0</v>
      </c>
      <c r="AC936" s="4">
        <f>IF(OR(INDEX($AH$2:$AH$1001,MATCH(ROWS($AG$2:AG936),$AG$2:$AG$1001,0),1)&gt;=100000,INDEX($AN$1005:$BO$1005,1,MATCH(COLUMNS($AN$1006:BO1006),$AN$1006:$BO$1006,0))&gt;=100000), " ",IF(INDEX($AN$2:$BO$1001,MATCH(ROWS($AG$2:AG936),$AG$2:$AG$1001,0),MATCH(COLUMNS($AN$1006:BO1006),$AN$1006:$BO$1006,0)), HYPERLINK("#",""), HYPERLINK(CONCATENATE("#Metadata!", ADDRESS(INDEX($AI$2:$AI$1001,MATCH(ROWS($AG$2:AG936),$AG$2:$AG$1001,0),0), INDEX($AN$1004:$BO$1004,1,MATCH(COLUMNS($AN$1006:BO1006),$AN$1006:$BO$1006,0)))),"Fix")))</f>
        <v>0</v>
      </c>
      <c r="AG936">
        <v>0</v>
      </c>
      <c r="AH936">
        <v>0</v>
      </c>
      <c r="AI936">
        <v>0</v>
      </c>
      <c r="AJ936">
        <f>IF(AK936,TRUE,AND(AN936:BO936))</f>
        <v>0</v>
      </c>
      <c r="AK936">
        <f>COUNTBLANK(Metadata!B936:AC936)=COLUMNS(Metadata!B936:AC936)</f>
        <v>0</v>
      </c>
      <c r="AL936">
        <v>0</v>
      </c>
      <c r="AN936">
        <f>AND(IF(Metadata!B936="",FALSE,TRUE),COUNTIF(Metadata!B:B, Metadata!B936) = 1,NOT(ISERROR(SUMPRODUCT(SEARCH(MID(Metadata!B936,ROW(INDIRECT("1:"&amp;LEN(Metadata!B936))), 1),"0123456789abcdefghijklmnopqrstuvwxyzABCDEFGHIJKLMNOPQRSTUVWXYZ.")))))</f>
        <v>0</v>
      </c>
      <c r="AO936">
        <f>IF(Metadata!C936="",FALSE,TRUE)</f>
        <v>0</v>
      </c>
      <c r="AP936">
        <f>IF(Metadata!D936="",FALSE,TRUE)</f>
        <v>0</v>
      </c>
      <c r="AQ936">
        <f>OR(AND(IF(Metadata!E936="",FALSE,TRUE),OR(exact(Metadata!E936,"not collected"),exact(Metadata!E936,"not provided"),exact(Metadata!E936,"restricted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R936">
        <f>IF(Metadata!F936="",FALSE,TRUE)</f>
        <v>0</v>
      </c>
      <c r="AS936">
        <f>OR(AND(IF(Metadata!G936="",FALSE,TRUE),OR(exact(Metadata!G936,"not collected"),exact(Metadata!G936,"not provided"))),AND(IF(Metadata!G936="",FALSE,TRUE),OR(exact(Metadata!G936,"TRUE"),exact(Metadata!G936,"FALSE"))))</f>
        <v>0</v>
      </c>
      <c r="AT936">
        <f>OR(AND(IF(Metadata!H936="",FALSE,TRUE),OR(exact(Metadata!H936,"not collected"),exact(Metadata!H936,"not provided"),exact(Metadata!H936,"restricted access"))),AND(IF(Metadata!H936="",FALSE,ISNUMBER(VALUE(Metadata!H936))),Metadata!H936&gt;=-413.0))</f>
        <v>0</v>
      </c>
      <c r="AU936">
        <f>AND(IF(Metadata!I936="",FALSE,TRUE),exact(Metadata!I936,"meters"))</f>
        <v>0</v>
      </c>
      <c r="AV936">
        <f>AND(IF(Metadata!J936="",FALSE,TRUE),OR(exact(Metadata!J936,"Host-associated"),exact(Metadata!J936,"Free-living")))</f>
        <v>0</v>
      </c>
      <c r="AW936">
        <f>AND(IF(Metadata!K936="",FALSE,TRUE),OR(exact(Metadata!K936,"Animal"),exact(Metadata!K936,"Fungus"),exact(Metadata!K936,"Plant"),exact(Metadata!K936,"Saline"),exact(Metadata!K936,"Non-saline")))</f>
        <v>0</v>
      </c>
      <c r="AX936">
        <f>AND(IF(Metadata!L936="",FALSE,TRUE),OR(exact(Metadata!L936,"Plant secretion"),exact(Metadata!L936,"Plant rhizosphere"),exact(Metadata!L936,"Plant surface"),exact(Metadata!L936,"Plant corpus"),exact(Metadata!L936,"Fungus surface"),exact(Metadata!L936,"Fungus corpus"),exact(Metadata!L936,"Animal surface"),exact(Metadata!L936,"Animal proximal gut"),exact(Metadata!L936,"Animal corpus"),exact(Metadata!L936,"Animal distal gut"),exact(Metadata!L936,"Animal secretion"),exact(Metadata!L936,"Sub-surface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Y936">
        <f>IF(Metadata!M936="",FALSE,TRUE)</f>
        <v>0</v>
      </c>
      <c r="AZ936">
        <f>IF(Metadata!N936="",FALSE,TRUE)</f>
        <v>0</v>
      </c>
      <c r="BA936">
        <f>IF(Metadata!O936="",FALSE,TRUE)</f>
        <v>0</v>
      </c>
      <c r="BB936">
        <f>OR(AND(IF(Metadata!P936="",FALSE,TRUE),OR(exact(Metadata!P936,"not collected"),exact(Metadata!P936,"not provided"),exact(Metadata!P936,"restricted access"))),AND(IF(Metadata!P936="",FALSE,TRUE),OR(exact(Metadata!P936,"air"),exact(Metadata!P936,"built environment"),exact(Metadata!P936,"host-associated"),exact(Metadata!P936,"human-associated"),exact(Metadata!P936,"human-skin"),exact(Metadata!P936,"human-oral"),exact(Metadata!P936,"human-gut"),exact(Metadata!P936,"human-vaginal"),exact(Metadata!P936,"microbial mat/biofilm"),exact(Metadata!P936,"misc environment"),exact(Metadata!P936,"plant-associated"),exact(Metadata!P936,"sediment"),exact(Metadata!P936,"soil"),exact(Metadata!P936,"wastewater/sludge"),exact(Metadata!P936,"water"))))</f>
        <v>0</v>
      </c>
      <c r="BC936">
        <f>IF(Metadata!Q936="",FALSE,TRUE)</f>
        <v>0</v>
      </c>
      <c r="BD936">
        <f>IF(Metadata!R936="",FALSE,TRUE)</f>
        <v>0</v>
      </c>
      <c r="BE936">
        <f>OR(AND(IF(Metadata!S936="",FALSE,TRUE),OR(exact(Metadata!S936,"not collected"),exact(Metadata!S936,"not provided"),exact(Metadata!S936,"restricted access"))),AND(IF(Metadata!S936="",FALSE,ISNUMBER(VALUE(Metadata!S936))),Metadata!S936&gt;=-90.00,Metadata!S936&lt;=90.00))</f>
        <v>0</v>
      </c>
      <c r="BF936">
        <f>AND(IF(Metadata!T936="",FALSE,TRUE),exact(Metadata!T936,"Decimal degrees"))</f>
        <v>0</v>
      </c>
      <c r="BG936">
        <f>OR(AND(IF(Metadata!U936="",FALSE,TRUE),OR(exact(Metadata!U936,"not collected"),exact(Metadata!U936,"not provided"),exact(Metadata!U936,"restricted access"))),AND(IF(Metadata!U936="",FALSE,ISNUMBER(VALUE(Metadata!U936))),Metadata!U936&gt;=-180.00,Metadata!U936&lt;=180.00))</f>
        <v>0</v>
      </c>
      <c r="BH936">
        <f>AND(IF(Metadata!V936="",FALSE,TRUE),exact(Metadata!V936,"Decimal degrees"))</f>
        <v>0</v>
      </c>
      <c r="BI936">
        <f>IF(Metadata!W936="",FALSE,TRUE)</f>
        <v>0</v>
      </c>
      <c r="BJ936">
        <f>OR(AND(IF(Metadata!X936="",FALSE,TRUE),OR(exact(Metadata!X936,"not collected"),exact(Metadata!X936,"not provided"),exact(Metadata!X936,"restricted access"))),AND(IF(Metadata!X936="",FALSE,TRUE),OR(exact(Metadata!X936,"TRUE"),exact(Metadata!X936,"FALSE"))))</f>
        <v>0</v>
      </c>
      <c r="BK936">
        <f>AND(IF(Metadata!Y936="",FALSE,TRUE),exact(Metadata!Y936,"other"))</f>
        <v>0</v>
      </c>
      <c r="BL936">
        <f>IF(Metadata!Z936="",FALSE,TRUE)</f>
        <v>0</v>
      </c>
      <c r="BM936">
        <f>OR(AND(IF(Metadata!AA936="",FALSE,TRUE),OR(exact(Metadata!AA936,"not collected"),exact(Metadata!AA936,"not provided"))),AND(IF(Metadata!AA936="",FALSE,IF(ISERROR(INT(Metadata!AA936)),FALSE,INT(Metadata!AA936)=Metadata!AA936)),Metadata!AA936&gt;0))</f>
        <v>0</v>
      </c>
      <c r="BN936">
        <f>AND(IF(Metadata!AB936="",FALSE,TRUE),exact(Metadata!AB936,"Not applicable"))</f>
        <v>0</v>
      </c>
      <c r="BO936">
        <f>IF(Metadata!AC936="",FALSE,TRUE)</f>
        <v>0</v>
      </c>
    </row>
    <row r="937" spans="1:67">
      <c r="A937" s="5">
        <f>IF(B937=" "," ",HYPERLINK(CONCATENATE("#metadata!",ADDRESS(INDEX($AI$2:$AI$1001,MATCH(ROWS($AG$2:AG937),$AG$2:$AG$1001,0),0),1)),INDEX($AL$2:$AL$1001,MATCH(ROWS($AG$2:AG937),$AG$2:$AG$1001,0),0)))</f>
        <v>0</v>
      </c>
      <c r="B937" s="4">
        <f>IF(OR(INDEX($AH$2:$AH$1001,MATCH(ROWS($AG$2:AG937),$AG$2:$AG$1001,0),1)&gt;=100000,INDEX($AN$1005:$BO$1005,1,MATCH(COLUMNS($AN$1006:AN1006),$AN$1006:$BO$1006,0))&gt;=100000), " ",IF(INDEX($AN$2:$BO$1001,MATCH(ROWS($AG$2:AG937),$AG$2:$AG$1001,0),MATCH(COLUMNS($AN$1006:AN1006),$AN$1006:$BO$1006,0)), HYPERLINK("#",""), HYPERLINK(CONCATENATE("#Metadata!", ADDRESS(INDEX($AI$2:$AI$1001,MATCH(ROWS($AG$2:AG937),$AG$2:$AG$1001,0),0), INDEX($AN$1004:$BO$1004,1,MATCH(COLUMNS($AN$1006:AN1006),$AN$1006:$BO$1006,0)))),"Fix")))</f>
        <v>0</v>
      </c>
      <c r="C937" s="4">
        <f>IF(OR(INDEX($AH$2:$AH$1001,MATCH(ROWS($AG$2:AG937),$AG$2:$AG$1001,0),1)&gt;=100000,INDEX($AN$1005:$BO$1005,1,MATCH(COLUMNS($AN$1006:AO1006),$AN$1006:$BO$1006,0))&gt;=100000), " ",IF(INDEX($AN$2:$BO$1001,MATCH(ROWS($AG$2:AG937),$AG$2:$AG$1001,0),MATCH(COLUMNS($AN$1006:AO1006),$AN$1006:$BO$1006,0)), HYPERLINK("#",""), HYPERLINK(CONCATENATE("#Metadata!", ADDRESS(INDEX($AI$2:$AI$1001,MATCH(ROWS($AG$2:AG937),$AG$2:$AG$1001,0),0), INDEX($AN$1004:$BO$1004,1,MATCH(COLUMNS($AN$1006:AO1006),$AN$1006:$BO$1006,0)))),"Fix")))</f>
        <v>0</v>
      </c>
      <c r="D937" s="4">
        <f>IF(OR(INDEX($AH$2:$AH$1001,MATCH(ROWS($AG$2:AG937),$AG$2:$AG$1001,0),1)&gt;=100000,INDEX($AN$1005:$BO$1005,1,MATCH(COLUMNS($AN$1006:AP1006),$AN$1006:$BO$1006,0))&gt;=100000), " ",IF(INDEX($AN$2:$BO$1001,MATCH(ROWS($AG$2:AG937),$AG$2:$AG$1001,0),MATCH(COLUMNS($AN$1006:AP1006),$AN$1006:$BO$1006,0)), HYPERLINK("#",""), HYPERLINK(CONCATENATE("#Metadata!", ADDRESS(INDEX($AI$2:$AI$1001,MATCH(ROWS($AG$2:AG937),$AG$2:$AG$1001,0),0), INDEX($AN$1004:$BO$1004,1,MATCH(COLUMNS($AN$1006:AP1006),$AN$1006:$BO$1006,0)))),"Fix")))</f>
        <v>0</v>
      </c>
      <c r="E937" s="4">
        <f>IF(OR(INDEX($AH$2:$AH$1001,MATCH(ROWS($AG$2:AG937),$AG$2:$AG$1001,0),1)&gt;=100000,INDEX($AN$1005:$BO$1005,1,MATCH(COLUMNS($AN$1006:AQ1006),$AN$1006:$BO$1006,0))&gt;=100000), " ",IF(INDEX($AN$2:$BO$1001,MATCH(ROWS($AG$2:AG937),$AG$2:$AG$1001,0),MATCH(COLUMNS($AN$1006:AQ1006),$AN$1006:$BO$1006,0)), HYPERLINK("#",""), HYPERLINK(CONCATENATE("#Metadata!", ADDRESS(INDEX($AI$2:$AI$1001,MATCH(ROWS($AG$2:AG937),$AG$2:$AG$1001,0),0), INDEX($AN$1004:$BO$1004,1,MATCH(COLUMNS($AN$1006:AQ1006),$AN$1006:$BO$1006,0)))),"Fix")))</f>
        <v>0</v>
      </c>
      <c r="F937" s="4">
        <f>IF(OR(INDEX($AH$2:$AH$1001,MATCH(ROWS($AG$2:AG937),$AG$2:$AG$1001,0),1)&gt;=100000,INDEX($AN$1005:$BO$1005,1,MATCH(COLUMNS($AN$1006:AR1006),$AN$1006:$BO$1006,0))&gt;=100000), " ",IF(INDEX($AN$2:$BO$1001,MATCH(ROWS($AG$2:AG937),$AG$2:$AG$1001,0),MATCH(COLUMNS($AN$1006:AR1006),$AN$1006:$BO$1006,0)), HYPERLINK("#",""), HYPERLINK(CONCATENATE("#Metadata!", ADDRESS(INDEX($AI$2:$AI$1001,MATCH(ROWS($AG$2:AG937),$AG$2:$AG$1001,0),0), INDEX($AN$1004:$BO$1004,1,MATCH(COLUMNS($AN$1006:AR1006),$AN$1006:$BO$1006,0)))),"Fix")))</f>
        <v>0</v>
      </c>
      <c r="G937" s="4">
        <f>IF(OR(INDEX($AH$2:$AH$1001,MATCH(ROWS($AG$2:AG937),$AG$2:$AG$1001,0),1)&gt;=100000,INDEX($AN$1005:$BO$1005,1,MATCH(COLUMNS($AN$1006:AS1006),$AN$1006:$BO$1006,0))&gt;=100000), " ",IF(INDEX($AN$2:$BO$1001,MATCH(ROWS($AG$2:AG937),$AG$2:$AG$1001,0),MATCH(COLUMNS($AN$1006:AS1006),$AN$1006:$BO$1006,0)), HYPERLINK("#",""), HYPERLINK(CONCATENATE("#Metadata!", ADDRESS(INDEX($AI$2:$AI$1001,MATCH(ROWS($AG$2:AG937),$AG$2:$AG$1001,0),0), INDEX($AN$1004:$BO$1004,1,MATCH(COLUMNS($AN$1006:AS1006),$AN$1006:$BO$1006,0)))),"Fix")))</f>
        <v>0</v>
      </c>
      <c r="H937" s="4">
        <f>IF(OR(INDEX($AH$2:$AH$1001,MATCH(ROWS($AG$2:AG937),$AG$2:$AG$1001,0),1)&gt;=100000,INDEX($AN$1005:$BO$1005,1,MATCH(COLUMNS($AN$1006:AT1006),$AN$1006:$BO$1006,0))&gt;=100000), " ",IF(INDEX($AN$2:$BO$1001,MATCH(ROWS($AG$2:AG937),$AG$2:$AG$1001,0),MATCH(COLUMNS($AN$1006:AT1006),$AN$1006:$BO$1006,0)), HYPERLINK("#",""), HYPERLINK(CONCATENATE("#Metadata!", ADDRESS(INDEX($AI$2:$AI$1001,MATCH(ROWS($AG$2:AG937),$AG$2:$AG$1001,0),0), INDEX($AN$1004:$BO$1004,1,MATCH(COLUMNS($AN$1006:AT1006),$AN$1006:$BO$1006,0)))),"Fix")))</f>
        <v>0</v>
      </c>
      <c r="I937" s="4">
        <f>IF(OR(INDEX($AH$2:$AH$1001,MATCH(ROWS($AG$2:AG937),$AG$2:$AG$1001,0),1)&gt;=100000,INDEX($AN$1005:$BO$1005,1,MATCH(COLUMNS($AN$1006:AU1006),$AN$1006:$BO$1006,0))&gt;=100000), " ",IF(INDEX($AN$2:$BO$1001,MATCH(ROWS($AG$2:AG937),$AG$2:$AG$1001,0),MATCH(COLUMNS($AN$1006:AU1006),$AN$1006:$BO$1006,0)), HYPERLINK("#",""), HYPERLINK(CONCATENATE("#Metadata!", ADDRESS(INDEX($AI$2:$AI$1001,MATCH(ROWS($AG$2:AG937),$AG$2:$AG$1001,0),0), INDEX($AN$1004:$BO$1004,1,MATCH(COLUMNS($AN$1006:AU1006),$AN$1006:$BO$1006,0)))),"Fix")))</f>
        <v>0</v>
      </c>
      <c r="J937" s="4">
        <f>IF(OR(INDEX($AH$2:$AH$1001,MATCH(ROWS($AG$2:AG937),$AG$2:$AG$1001,0),1)&gt;=100000,INDEX($AN$1005:$BO$1005,1,MATCH(COLUMNS($AN$1006:AV1006),$AN$1006:$BO$1006,0))&gt;=100000), " ",IF(INDEX($AN$2:$BO$1001,MATCH(ROWS($AG$2:AG937),$AG$2:$AG$1001,0),MATCH(COLUMNS($AN$1006:AV1006),$AN$1006:$BO$1006,0)), HYPERLINK("#",""), HYPERLINK(CONCATENATE("#Metadata!", ADDRESS(INDEX($AI$2:$AI$1001,MATCH(ROWS($AG$2:AG937),$AG$2:$AG$1001,0),0), INDEX($AN$1004:$BO$1004,1,MATCH(COLUMNS($AN$1006:AV1006),$AN$1006:$BO$1006,0)))),"Fix")))</f>
        <v>0</v>
      </c>
      <c r="K937" s="4">
        <f>IF(OR(INDEX($AH$2:$AH$1001,MATCH(ROWS($AG$2:AG937),$AG$2:$AG$1001,0),1)&gt;=100000,INDEX($AN$1005:$BO$1005,1,MATCH(COLUMNS($AN$1006:AW1006),$AN$1006:$BO$1006,0))&gt;=100000), " ",IF(INDEX($AN$2:$BO$1001,MATCH(ROWS($AG$2:AG937),$AG$2:$AG$1001,0),MATCH(COLUMNS($AN$1006:AW1006),$AN$1006:$BO$1006,0)), HYPERLINK("#",""), HYPERLINK(CONCATENATE("#Metadata!", ADDRESS(INDEX($AI$2:$AI$1001,MATCH(ROWS($AG$2:AG937),$AG$2:$AG$1001,0),0), INDEX($AN$1004:$BO$1004,1,MATCH(COLUMNS($AN$1006:AW1006),$AN$1006:$BO$1006,0)))),"Fix")))</f>
        <v>0</v>
      </c>
      <c r="L937" s="4">
        <f>IF(OR(INDEX($AH$2:$AH$1001,MATCH(ROWS($AG$2:AG937),$AG$2:$AG$1001,0),1)&gt;=100000,INDEX($AN$1005:$BO$1005,1,MATCH(COLUMNS($AN$1006:AX1006),$AN$1006:$BO$1006,0))&gt;=100000), " ",IF(INDEX($AN$2:$BO$1001,MATCH(ROWS($AG$2:AG937),$AG$2:$AG$1001,0),MATCH(COLUMNS($AN$1006:AX1006),$AN$1006:$BO$1006,0)), HYPERLINK("#",""), HYPERLINK(CONCATENATE("#Metadata!", ADDRESS(INDEX($AI$2:$AI$1001,MATCH(ROWS($AG$2:AG937),$AG$2:$AG$1001,0),0), INDEX($AN$1004:$BO$1004,1,MATCH(COLUMNS($AN$1006:AX1006),$AN$1006:$BO$1006,0)))),"Fix")))</f>
        <v>0</v>
      </c>
      <c r="M937" s="4">
        <f>IF(OR(INDEX($AH$2:$AH$1001,MATCH(ROWS($AG$2:AG937),$AG$2:$AG$1001,0),1)&gt;=100000,INDEX($AN$1005:$BO$1005,1,MATCH(COLUMNS($AN$1006:AY1006),$AN$1006:$BO$1006,0))&gt;=100000), " ",IF(INDEX($AN$2:$BO$1001,MATCH(ROWS($AG$2:AG937),$AG$2:$AG$1001,0),MATCH(COLUMNS($AN$1006:AY1006),$AN$1006:$BO$1006,0)), HYPERLINK("#",""), HYPERLINK(CONCATENATE("#Metadata!", ADDRESS(INDEX($AI$2:$AI$1001,MATCH(ROWS($AG$2:AG937),$AG$2:$AG$1001,0),0), INDEX($AN$1004:$BO$1004,1,MATCH(COLUMNS($AN$1006:AY1006),$AN$1006:$BO$1006,0)))),"Fix")))</f>
        <v>0</v>
      </c>
      <c r="N937" s="4">
        <f>IF(OR(INDEX($AH$2:$AH$1001,MATCH(ROWS($AG$2:AG937),$AG$2:$AG$1001,0),1)&gt;=100000,INDEX($AN$1005:$BO$1005,1,MATCH(COLUMNS($AN$1006:AZ1006),$AN$1006:$BO$1006,0))&gt;=100000), " ",IF(INDEX($AN$2:$BO$1001,MATCH(ROWS($AG$2:AG937),$AG$2:$AG$1001,0),MATCH(COLUMNS($AN$1006:AZ1006),$AN$1006:$BO$1006,0)), HYPERLINK("#",""), HYPERLINK(CONCATENATE("#Metadata!", ADDRESS(INDEX($AI$2:$AI$1001,MATCH(ROWS($AG$2:AG937),$AG$2:$AG$1001,0),0), INDEX($AN$1004:$BO$1004,1,MATCH(COLUMNS($AN$1006:AZ1006),$AN$1006:$BO$1006,0)))),"Fix")))</f>
        <v>0</v>
      </c>
      <c r="O937" s="4">
        <f>IF(OR(INDEX($AH$2:$AH$1001,MATCH(ROWS($AG$2:AG937),$AG$2:$AG$1001,0),1)&gt;=100000,INDEX($AN$1005:$BO$1005,1,MATCH(COLUMNS($AN$1006:BA1006),$AN$1006:$BO$1006,0))&gt;=100000), " ",IF(INDEX($AN$2:$BO$1001,MATCH(ROWS($AG$2:AG937),$AG$2:$AG$1001,0),MATCH(COLUMNS($AN$1006:BA1006),$AN$1006:$BO$1006,0)), HYPERLINK("#",""), HYPERLINK(CONCATENATE("#Metadata!", ADDRESS(INDEX($AI$2:$AI$1001,MATCH(ROWS($AG$2:AG937),$AG$2:$AG$1001,0),0), INDEX($AN$1004:$BO$1004,1,MATCH(COLUMNS($AN$1006:BA1006),$AN$1006:$BO$1006,0)))),"Fix")))</f>
        <v>0</v>
      </c>
      <c r="P937" s="4">
        <f>IF(OR(INDEX($AH$2:$AH$1001,MATCH(ROWS($AG$2:AG937),$AG$2:$AG$1001,0),1)&gt;=100000,INDEX($AN$1005:$BO$1005,1,MATCH(COLUMNS($AN$1006:BB1006),$AN$1006:$BO$1006,0))&gt;=100000), " ",IF(INDEX($AN$2:$BO$1001,MATCH(ROWS($AG$2:AG937),$AG$2:$AG$1001,0),MATCH(COLUMNS($AN$1006:BB1006),$AN$1006:$BO$1006,0)), HYPERLINK("#",""), HYPERLINK(CONCATENATE("#Metadata!", ADDRESS(INDEX($AI$2:$AI$1001,MATCH(ROWS($AG$2:AG937),$AG$2:$AG$1001,0),0), INDEX($AN$1004:$BO$1004,1,MATCH(COLUMNS($AN$1006:BB1006),$AN$1006:$BO$1006,0)))),"Fix")))</f>
        <v>0</v>
      </c>
      <c r="Q937" s="4">
        <f>IF(OR(INDEX($AH$2:$AH$1001,MATCH(ROWS($AG$2:AG937),$AG$2:$AG$1001,0),1)&gt;=100000,INDEX($AN$1005:$BO$1005,1,MATCH(COLUMNS($AN$1006:BC1006),$AN$1006:$BO$1006,0))&gt;=100000), " ",IF(INDEX($AN$2:$BO$1001,MATCH(ROWS($AG$2:AG937),$AG$2:$AG$1001,0),MATCH(COLUMNS($AN$1006:BC1006),$AN$1006:$BO$1006,0)), HYPERLINK("#",""), HYPERLINK(CONCATENATE("#Metadata!", ADDRESS(INDEX($AI$2:$AI$1001,MATCH(ROWS($AG$2:AG937),$AG$2:$AG$1001,0),0), INDEX($AN$1004:$BO$1004,1,MATCH(COLUMNS($AN$1006:BC1006),$AN$1006:$BO$1006,0)))),"Fix")))</f>
        <v>0</v>
      </c>
      <c r="R937" s="4">
        <f>IF(OR(INDEX($AH$2:$AH$1001,MATCH(ROWS($AG$2:AG937),$AG$2:$AG$1001,0),1)&gt;=100000,INDEX($AN$1005:$BO$1005,1,MATCH(COLUMNS($AN$1006:BD1006),$AN$1006:$BO$1006,0))&gt;=100000), " ",IF(INDEX($AN$2:$BO$1001,MATCH(ROWS($AG$2:AG937),$AG$2:$AG$1001,0),MATCH(COLUMNS($AN$1006:BD1006),$AN$1006:$BO$1006,0)), HYPERLINK("#",""), HYPERLINK(CONCATENATE("#Metadata!", ADDRESS(INDEX($AI$2:$AI$1001,MATCH(ROWS($AG$2:AG937),$AG$2:$AG$1001,0),0), INDEX($AN$1004:$BO$1004,1,MATCH(COLUMNS($AN$1006:BD1006),$AN$1006:$BO$1006,0)))),"Fix")))</f>
        <v>0</v>
      </c>
      <c r="S937" s="4">
        <f>IF(OR(INDEX($AH$2:$AH$1001,MATCH(ROWS($AG$2:AG937),$AG$2:$AG$1001,0),1)&gt;=100000,INDEX($AN$1005:$BO$1005,1,MATCH(COLUMNS($AN$1006:BE1006),$AN$1006:$BO$1006,0))&gt;=100000), " ",IF(INDEX($AN$2:$BO$1001,MATCH(ROWS($AG$2:AG937),$AG$2:$AG$1001,0),MATCH(COLUMNS($AN$1006:BE1006),$AN$1006:$BO$1006,0)), HYPERLINK("#",""), HYPERLINK(CONCATENATE("#Metadata!", ADDRESS(INDEX($AI$2:$AI$1001,MATCH(ROWS($AG$2:AG937),$AG$2:$AG$1001,0),0), INDEX($AN$1004:$BO$1004,1,MATCH(COLUMNS($AN$1006:BE1006),$AN$1006:$BO$1006,0)))),"Fix")))</f>
        <v>0</v>
      </c>
      <c r="T937" s="4">
        <f>IF(OR(INDEX($AH$2:$AH$1001,MATCH(ROWS($AG$2:AG937),$AG$2:$AG$1001,0),1)&gt;=100000,INDEX($AN$1005:$BO$1005,1,MATCH(COLUMNS($AN$1006:BF1006),$AN$1006:$BO$1006,0))&gt;=100000), " ",IF(INDEX($AN$2:$BO$1001,MATCH(ROWS($AG$2:AG937),$AG$2:$AG$1001,0),MATCH(COLUMNS($AN$1006:BF1006),$AN$1006:$BO$1006,0)), HYPERLINK("#",""), HYPERLINK(CONCATENATE("#Metadata!", ADDRESS(INDEX($AI$2:$AI$1001,MATCH(ROWS($AG$2:AG937),$AG$2:$AG$1001,0),0), INDEX($AN$1004:$BO$1004,1,MATCH(COLUMNS($AN$1006:BF1006),$AN$1006:$BO$1006,0)))),"Fix")))</f>
        <v>0</v>
      </c>
      <c r="U937" s="4">
        <f>IF(OR(INDEX($AH$2:$AH$1001,MATCH(ROWS($AG$2:AG937),$AG$2:$AG$1001,0),1)&gt;=100000,INDEX($AN$1005:$BO$1005,1,MATCH(COLUMNS($AN$1006:BG1006),$AN$1006:$BO$1006,0))&gt;=100000), " ",IF(INDEX($AN$2:$BO$1001,MATCH(ROWS($AG$2:AG937),$AG$2:$AG$1001,0),MATCH(COLUMNS($AN$1006:BG1006),$AN$1006:$BO$1006,0)), HYPERLINK("#",""), HYPERLINK(CONCATENATE("#Metadata!", ADDRESS(INDEX($AI$2:$AI$1001,MATCH(ROWS($AG$2:AG937),$AG$2:$AG$1001,0),0), INDEX($AN$1004:$BO$1004,1,MATCH(COLUMNS($AN$1006:BG1006),$AN$1006:$BO$1006,0)))),"Fix")))</f>
        <v>0</v>
      </c>
      <c r="V937" s="4">
        <f>IF(OR(INDEX($AH$2:$AH$1001,MATCH(ROWS($AG$2:AG937),$AG$2:$AG$1001,0),1)&gt;=100000,INDEX($AN$1005:$BO$1005,1,MATCH(COLUMNS($AN$1006:BH1006),$AN$1006:$BO$1006,0))&gt;=100000), " ",IF(INDEX($AN$2:$BO$1001,MATCH(ROWS($AG$2:AG937),$AG$2:$AG$1001,0),MATCH(COLUMNS($AN$1006:BH1006),$AN$1006:$BO$1006,0)), HYPERLINK("#",""), HYPERLINK(CONCATENATE("#Metadata!", ADDRESS(INDEX($AI$2:$AI$1001,MATCH(ROWS($AG$2:AG937),$AG$2:$AG$1001,0),0), INDEX($AN$1004:$BO$1004,1,MATCH(COLUMNS($AN$1006:BH1006),$AN$1006:$BO$1006,0)))),"Fix")))</f>
        <v>0</v>
      </c>
      <c r="W937" s="4">
        <f>IF(OR(INDEX($AH$2:$AH$1001,MATCH(ROWS($AG$2:AG937),$AG$2:$AG$1001,0),1)&gt;=100000,INDEX($AN$1005:$BO$1005,1,MATCH(COLUMNS($AN$1006:BI1006),$AN$1006:$BO$1006,0))&gt;=100000), " ",IF(INDEX($AN$2:$BO$1001,MATCH(ROWS($AG$2:AG937),$AG$2:$AG$1001,0),MATCH(COLUMNS($AN$1006:BI1006),$AN$1006:$BO$1006,0)), HYPERLINK("#",""), HYPERLINK(CONCATENATE("#Metadata!", ADDRESS(INDEX($AI$2:$AI$1001,MATCH(ROWS($AG$2:AG937),$AG$2:$AG$1001,0),0), INDEX($AN$1004:$BO$1004,1,MATCH(COLUMNS($AN$1006:BI1006),$AN$1006:$BO$1006,0)))),"Fix")))</f>
        <v>0</v>
      </c>
      <c r="X937" s="4">
        <f>IF(OR(INDEX($AH$2:$AH$1001,MATCH(ROWS($AG$2:AG937),$AG$2:$AG$1001,0),1)&gt;=100000,INDEX($AN$1005:$BO$1005,1,MATCH(COLUMNS($AN$1006:BJ1006),$AN$1006:$BO$1006,0))&gt;=100000), " ",IF(INDEX($AN$2:$BO$1001,MATCH(ROWS($AG$2:AG937),$AG$2:$AG$1001,0),MATCH(COLUMNS($AN$1006:BJ1006),$AN$1006:$BO$1006,0)), HYPERLINK("#",""), HYPERLINK(CONCATENATE("#Metadata!", ADDRESS(INDEX($AI$2:$AI$1001,MATCH(ROWS($AG$2:AG937),$AG$2:$AG$1001,0),0), INDEX($AN$1004:$BO$1004,1,MATCH(COLUMNS($AN$1006:BJ1006),$AN$1006:$BO$1006,0)))),"Fix")))</f>
        <v>0</v>
      </c>
      <c r="Y937" s="4">
        <f>IF(OR(INDEX($AH$2:$AH$1001,MATCH(ROWS($AG$2:AG937),$AG$2:$AG$1001,0),1)&gt;=100000,INDEX($AN$1005:$BO$1005,1,MATCH(COLUMNS($AN$1006:BK1006),$AN$1006:$BO$1006,0))&gt;=100000), " ",IF(INDEX($AN$2:$BO$1001,MATCH(ROWS($AG$2:AG937),$AG$2:$AG$1001,0),MATCH(COLUMNS($AN$1006:BK1006),$AN$1006:$BO$1006,0)), HYPERLINK("#",""), HYPERLINK(CONCATENATE("#Metadata!", ADDRESS(INDEX($AI$2:$AI$1001,MATCH(ROWS($AG$2:AG937),$AG$2:$AG$1001,0),0), INDEX($AN$1004:$BO$1004,1,MATCH(COLUMNS($AN$1006:BK1006),$AN$1006:$BO$1006,0)))),"Fix")))</f>
        <v>0</v>
      </c>
      <c r="Z937" s="4">
        <f>IF(OR(INDEX($AH$2:$AH$1001,MATCH(ROWS($AG$2:AG937),$AG$2:$AG$1001,0),1)&gt;=100000,INDEX($AN$1005:$BO$1005,1,MATCH(COLUMNS($AN$1006:BL1006),$AN$1006:$BO$1006,0))&gt;=100000), " ",IF(INDEX($AN$2:$BO$1001,MATCH(ROWS($AG$2:AG937),$AG$2:$AG$1001,0),MATCH(COLUMNS($AN$1006:BL1006),$AN$1006:$BO$1006,0)), HYPERLINK("#",""), HYPERLINK(CONCATENATE("#Metadata!", ADDRESS(INDEX($AI$2:$AI$1001,MATCH(ROWS($AG$2:AG937),$AG$2:$AG$1001,0),0), INDEX($AN$1004:$BO$1004,1,MATCH(COLUMNS($AN$1006:BL1006),$AN$1006:$BO$1006,0)))),"Fix")))</f>
        <v>0</v>
      </c>
      <c r="AA937" s="4">
        <f>IF(OR(INDEX($AH$2:$AH$1001,MATCH(ROWS($AG$2:AG937),$AG$2:$AG$1001,0),1)&gt;=100000,INDEX($AN$1005:$BO$1005,1,MATCH(COLUMNS($AN$1006:BM1006),$AN$1006:$BO$1006,0))&gt;=100000), " ",IF(INDEX($AN$2:$BO$1001,MATCH(ROWS($AG$2:AG937),$AG$2:$AG$1001,0),MATCH(COLUMNS($AN$1006:BM1006),$AN$1006:$BO$1006,0)), HYPERLINK("#",""), HYPERLINK(CONCATENATE("#Metadata!", ADDRESS(INDEX($AI$2:$AI$1001,MATCH(ROWS($AG$2:AG937),$AG$2:$AG$1001,0),0), INDEX($AN$1004:$BO$1004,1,MATCH(COLUMNS($AN$1006:BM1006),$AN$1006:$BO$1006,0)))),"Fix")))</f>
        <v>0</v>
      </c>
      <c r="AB937" s="4">
        <f>IF(OR(INDEX($AH$2:$AH$1001,MATCH(ROWS($AG$2:AG937),$AG$2:$AG$1001,0),1)&gt;=100000,INDEX($AN$1005:$BO$1005,1,MATCH(COLUMNS($AN$1006:BN1006),$AN$1006:$BO$1006,0))&gt;=100000), " ",IF(INDEX($AN$2:$BO$1001,MATCH(ROWS($AG$2:AG937),$AG$2:$AG$1001,0),MATCH(COLUMNS($AN$1006:BN1006),$AN$1006:$BO$1006,0)), HYPERLINK("#",""), HYPERLINK(CONCATENATE("#Metadata!", ADDRESS(INDEX($AI$2:$AI$1001,MATCH(ROWS($AG$2:AG937),$AG$2:$AG$1001,0),0), INDEX($AN$1004:$BO$1004,1,MATCH(COLUMNS($AN$1006:BN1006),$AN$1006:$BO$1006,0)))),"Fix")))</f>
        <v>0</v>
      </c>
      <c r="AC937" s="4">
        <f>IF(OR(INDEX($AH$2:$AH$1001,MATCH(ROWS($AG$2:AG937),$AG$2:$AG$1001,0),1)&gt;=100000,INDEX($AN$1005:$BO$1005,1,MATCH(COLUMNS($AN$1006:BO1006),$AN$1006:$BO$1006,0))&gt;=100000), " ",IF(INDEX($AN$2:$BO$1001,MATCH(ROWS($AG$2:AG937),$AG$2:$AG$1001,0),MATCH(COLUMNS($AN$1006:BO1006),$AN$1006:$BO$1006,0)), HYPERLINK("#",""), HYPERLINK(CONCATENATE("#Metadata!", ADDRESS(INDEX($AI$2:$AI$1001,MATCH(ROWS($AG$2:AG937),$AG$2:$AG$1001,0),0), INDEX($AN$1004:$BO$1004,1,MATCH(COLUMNS($AN$1006:BO1006),$AN$1006:$BO$1006,0)))),"Fix")))</f>
        <v>0</v>
      </c>
      <c r="AG937">
        <v>0</v>
      </c>
      <c r="AH937">
        <v>0</v>
      </c>
      <c r="AI937">
        <v>0</v>
      </c>
      <c r="AJ937">
        <f>IF(AK937,TRUE,AND(AN937:BO937))</f>
        <v>0</v>
      </c>
      <c r="AK937">
        <f>COUNTBLANK(Metadata!B937:AC937)=COLUMNS(Metadata!B937:AC937)</f>
        <v>0</v>
      </c>
      <c r="AL937">
        <v>0</v>
      </c>
      <c r="AN937">
        <f>AND(IF(Metadata!B937="",FALSE,TRUE),COUNTIF(Metadata!B:B, Metadata!B937) = 1,NOT(ISERROR(SUMPRODUCT(SEARCH(MID(Metadata!B937,ROW(INDIRECT("1:"&amp;LEN(Metadata!B937))), 1),"0123456789abcdefghijklmnopqrstuvwxyzABCDEFGHIJKLMNOPQRSTUVWXYZ.")))))</f>
        <v>0</v>
      </c>
      <c r="AO937">
        <f>IF(Metadata!C937="",FALSE,TRUE)</f>
        <v>0</v>
      </c>
      <c r="AP937">
        <f>IF(Metadata!D937="",FALSE,TRUE)</f>
        <v>0</v>
      </c>
      <c r="AQ937">
        <f>OR(AND(IF(Metadata!E937="",FALSE,TRUE),OR(exact(Metadata!E937,"not collected"),exact(Metadata!E937,"not provided"),exact(Metadata!E937,"restricted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R937">
        <f>IF(Metadata!F937="",FALSE,TRUE)</f>
        <v>0</v>
      </c>
      <c r="AS937">
        <f>OR(AND(IF(Metadata!G937="",FALSE,TRUE),OR(exact(Metadata!G937,"not collected"),exact(Metadata!G937,"not provided"))),AND(IF(Metadata!G937="",FALSE,TRUE),OR(exact(Metadata!G937,"TRUE"),exact(Metadata!G937,"FALSE"))))</f>
        <v>0</v>
      </c>
      <c r="AT937">
        <f>OR(AND(IF(Metadata!H937="",FALSE,TRUE),OR(exact(Metadata!H937,"not collected"),exact(Metadata!H937,"not provided"),exact(Metadata!H937,"restricted access"))),AND(IF(Metadata!H937="",FALSE,ISNUMBER(VALUE(Metadata!H937))),Metadata!H937&gt;=-413.0))</f>
        <v>0</v>
      </c>
      <c r="AU937">
        <f>AND(IF(Metadata!I937="",FALSE,TRUE),exact(Metadata!I937,"meters"))</f>
        <v>0</v>
      </c>
      <c r="AV937">
        <f>AND(IF(Metadata!J937="",FALSE,TRUE),OR(exact(Metadata!J937,"Host-associated"),exact(Metadata!J937,"Free-living")))</f>
        <v>0</v>
      </c>
      <c r="AW937">
        <f>AND(IF(Metadata!K937="",FALSE,TRUE),OR(exact(Metadata!K937,"Animal"),exact(Metadata!K937,"Fungus"),exact(Metadata!K937,"Plant"),exact(Metadata!K937,"Saline"),exact(Metadata!K937,"Non-saline")))</f>
        <v>0</v>
      </c>
      <c r="AX937">
        <f>AND(IF(Metadata!L937="",FALSE,TRUE),OR(exact(Metadata!L937,"Plant secretion"),exact(Metadata!L937,"Plant rhizosphere"),exact(Metadata!L937,"Plant surface"),exact(Metadata!L937,"Plant corpus"),exact(Metadata!L937,"Fungus surface"),exact(Metadata!L937,"Fungus corpus"),exact(Metadata!L937,"Animal surface"),exact(Metadata!L937,"Animal proximal gut"),exact(Metadata!L937,"Animal corpus"),exact(Metadata!L937,"Animal distal gut"),exact(Metadata!L937,"Animal secretion"),exact(Metadata!L937,"Sub-surface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Y937">
        <f>IF(Metadata!M937="",FALSE,TRUE)</f>
        <v>0</v>
      </c>
      <c r="AZ937">
        <f>IF(Metadata!N937="",FALSE,TRUE)</f>
        <v>0</v>
      </c>
      <c r="BA937">
        <f>IF(Metadata!O937="",FALSE,TRUE)</f>
        <v>0</v>
      </c>
      <c r="BB937">
        <f>OR(AND(IF(Metadata!P937="",FALSE,TRUE),OR(exact(Metadata!P937,"not collected"),exact(Metadata!P937,"not provided"),exact(Metadata!P937,"restricted access"))),AND(IF(Metadata!P937="",FALSE,TRUE),OR(exact(Metadata!P937,"air"),exact(Metadata!P937,"built environment"),exact(Metadata!P937,"host-associated"),exact(Metadata!P937,"human-associated"),exact(Metadata!P937,"human-skin"),exact(Metadata!P937,"human-oral"),exact(Metadata!P937,"human-gut"),exact(Metadata!P937,"human-vaginal"),exact(Metadata!P937,"microbial mat/biofilm"),exact(Metadata!P937,"misc environment"),exact(Metadata!P937,"plant-associated"),exact(Metadata!P937,"sediment"),exact(Metadata!P937,"soil"),exact(Metadata!P937,"wastewater/sludge"),exact(Metadata!P937,"water"))))</f>
        <v>0</v>
      </c>
      <c r="BC937">
        <f>IF(Metadata!Q937="",FALSE,TRUE)</f>
        <v>0</v>
      </c>
      <c r="BD937">
        <f>IF(Metadata!R937="",FALSE,TRUE)</f>
        <v>0</v>
      </c>
      <c r="BE937">
        <f>OR(AND(IF(Metadata!S937="",FALSE,TRUE),OR(exact(Metadata!S937,"not collected"),exact(Metadata!S937,"not provided"),exact(Metadata!S937,"restricted access"))),AND(IF(Metadata!S937="",FALSE,ISNUMBER(VALUE(Metadata!S937))),Metadata!S937&gt;=-90.00,Metadata!S937&lt;=90.00))</f>
        <v>0</v>
      </c>
      <c r="BF937">
        <f>AND(IF(Metadata!T937="",FALSE,TRUE),exact(Metadata!T937,"Decimal degrees"))</f>
        <v>0</v>
      </c>
      <c r="BG937">
        <f>OR(AND(IF(Metadata!U937="",FALSE,TRUE),OR(exact(Metadata!U937,"not collected"),exact(Metadata!U937,"not provided"),exact(Metadata!U937,"restricted access"))),AND(IF(Metadata!U937="",FALSE,ISNUMBER(VALUE(Metadata!U937))),Metadata!U937&gt;=-180.00,Metadata!U937&lt;=180.00))</f>
        <v>0</v>
      </c>
      <c r="BH937">
        <f>AND(IF(Metadata!V937="",FALSE,TRUE),exact(Metadata!V937,"Decimal degrees"))</f>
        <v>0</v>
      </c>
      <c r="BI937">
        <f>IF(Metadata!W937="",FALSE,TRUE)</f>
        <v>0</v>
      </c>
      <c r="BJ937">
        <f>OR(AND(IF(Metadata!X937="",FALSE,TRUE),OR(exact(Metadata!X937,"not collected"),exact(Metadata!X937,"not provided"),exact(Metadata!X937,"restricted access"))),AND(IF(Metadata!X937="",FALSE,TRUE),OR(exact(Metadata!X937,"TRUE"),exact(Metadata!X937,"FALSE"))))</f>
        <v>0</v>
      </c>
      <c r="BK937">
        <f>AND(IF(Metadata!Y937="",FALSE,TRUE),exact(Metadata!Y937,"other"))</f>
        <v>0</v>
      </c>
      <c r="BL937">
        <f>IF(Metadata!Z937="",FALSE,TRUE)</f>
        <v>0</v>
      </c>
      <c r="BM937">
        <f>OR(AND(IF(Metadata!AA937="",FALSE,TRUE),OR(exact(Metadata!AA937,"not collected"),exact(Metadata!AA937,"not provided"))),AND(IF(Metadata!AA937="",FALSE,IF(ISERROR(INT(Metadata!AA937)),FALSE,INT(Metadata!AA937)=Metadata!AA937)),Metadata!AA937&gt;0))</f>
        <v>0</v>
      </c>
      <c r="BN937">
        <f>AND(IF(Metadata!AB937="",FALSE,TRUE),exact(Metadata!AB937,"Not applicable"))</f>
        <v>0</v>
      </c>
      <c r="BO937">
        <f>IF(Metadata!AC937="",FALSE,TRUE)</f>
        <v>0</v>
      </c>
    </row>
    <row r="938" spans="1:67">
      <c r="A938" s="5">
        <f>IF(B938=" "," ",HYPERLINK(CONCATENATE("#metadata!",ADDRESS(INDEX($AI$2:$AI$1001,MATCH(ROWS($AG$2:AG938),$AG$2:$AG$1001,0),0),1)),INDEX($AL$2:$AL$1001,MATCH(ROWS($AG$2:AG938),$AG$2:$AG$1001,0),0)))</f>
        <v>0</v>
      </c>
      <c r="B938" s="4">
        <f>IF(OR(INDEX($AH$2:$AH$1001,MATCH(ROWS($AG$2:AG938),$AG$2:$AG$1001,0),1)&gt;=100000,INDEX($AN$1005:$BO$1005,1,MATCH(COLUMNS($AN$1006:AN1006),$AN$1006:$BO$1006,0))&gt;=100000), " ",IF(INDEX($AN$2:$BO$1001,MATCH(ROWS($AG$2:AG938),$AG$2:$AG$1001,0),MATCH(COLUMNS($AN$1006:AN1006),$AN$1006:$BO$1006,0)), HYPERLINK("#",""), HYPERLINK(CONCATENATE("#Metadata!", ADDRESS(INDEX($AI$2:$AI$1001,MATCH(ROWS($AG$2:AG938),$AG$2:$AG$1001,0),0), INDEX($AN$1004:$BO$1004,1,MATCH(COLUMNS($AN$1006:AN1006),$AN$1006:$BO$1006,0)))),"Fix")))</f>
        <v>0</v>
      </c>
      <c r="C938" s="4">
        <f>IF(OR(INDEX($AH$2:$AH$1001,MATCH(ROWS($AG$2:AG938),$AG$2:$AG$1001,0),1)&gt;=100000,INDEX($AN$1005:$BO$1005,1,MATCH(COLUMNS($AN$1006:AO1006),$AN$1006:$BO$1006,0))&gt;=100000), " ",IF(INDEX($AN$2:$BO$1001,MATCH(ROWS($AG$2:AG938),$AG$2:$AG$1001,0),MATCH(COLUMNS($AN$1006:AO1006),$AN$1006:$BO$1006,0)), HYPERLINK("#",""), HYPERLINK(CONCATENATE("#Metadata!", ADDRESS(INDEX($AI$2:$AI$1001,MATCH(ROWS($AG$2:AG938),$AG$2:$AG$1001,0),0), INDEX($AN$1004:$BO$1004,1,MATCH(COLUMNS($AN$1006:AO1006),$AN$1006:$BO$1006,0)))),"Fix")))</f>
        <v>0</v>
      </c>
      <c r="D938" s="4">
        <f>IF(OR(INDEX($AH$2:$AH$1001,MATCH(ROWS($AG$2:AG938),$AG$2:$AG$1001,0),1)&gt;=100000,INDEX($AN$1005:$BO$1005,1,MATCH(COLUMNS($AN$1006:AP1006),$AN$1006:$BO$1006,0))&gt;=100000), " ",IF(INDEX($AN$2:$BO$1001,MATCH(ROWS($AG$2:AG938),$AG$2:$AG$1001,0),MATCH(COLUMNS($AN$1006:AP1006),$AN$1006:$BO$1006,0)), HYPERLINK("#",""), HYPERLINK(CONCATENATE("#Metadata!", ADDRESS(INDEX($AI$2:$AI$1001,MATCH(ROWS($AG$2:AG938),$AG$2:$AG$1001,0),0), INDEX($AN$1004:$BO$1004,1,MATCH(COLUMNS($AN$1006:AP1006),$AN$1006:$BO$1006,0)))),"Fix")))</f>
        <v>0</v>
      </c>
      <c r="E938" s="4">
        <f>IF(OR(INDEX($AH$2:$AH$1001,MATCH(ROWS($AG$2:AG938),$AG$2:$AG$1001,0),1)&gt;=100000,INDEX($AN$1005:$BO$1005,1,MATCH(COLUMNS($AN$1006:AQ1006),$AN$1006:$BO$1006,0))&gt;=100000), " ",IF(INDEX($AN$2:$BO$1001,MATCH(ROWS($AG$2:AG938),$AG$2:$AG$1001,0),MATCH(COLUMNS($AN$1006:AQ1006),$AN$1006:$BO$1006,0)), HYPERLINK("#",""), HYPERLINK(CONCATENATE("#Metadata!", ADDRESS(INDEX($AI$2:$AI$1001,MATCH(ROWS($AG$2:AG938),$AG$2:$AG$1001,0),0), INDEX($AN$1004:$BO$1004,1,MATCH(COLUMNS($AN$1006:AQ1006),$AN$1006:$BO$1006,0)))),"Fix")))</f>
        <v>0</v>
      </c>
      <c r="F938" s="4">
        <f>IF(OR(INDEX($AH$2:$AH$1001,MATCH(ROWS($AG$2:AG938),$AG$2:$AG$1001,0),1)&gt;=100000,INDEX($AN$1005:$BO$1005,1,MATCH(COLUMNS($AN$1006:AR1006),$AN$1006:$BO$1006,0))&gt;=100000), " ",IF(INDEX($AN$2:$BO$1001,MATCH(ROWS($AG$2:AG938),$AG$2:$AG$1001,0),MATCH(COLUMNS($AN$1006:AR1006),$AN$1006:$BO$1006,0)), HYPERLINK("#",""), HYPERLINK(CONCATENATE("#Metadata!", ADDRESS(INDEX($AI$2:$AI$1001,MATCH(ROWS($AG$2:AG938),$AG$2:$AG$1001,0),0), INDEX($AN$1004:$BO$1004,1,MATCH(COLUMNS($AN$1006:AR1006),$AN$1006:$BO$1006,0)))),"Fix")))</f>
        <v>0</v>
      </c>
      <c r="G938" s="4">
        <f>IF(OR(INDEX($AH$2:$AH$1001,MATCH(ROWS($AG$2:AG938),$AG$2:$AG$1001,0),1)&gt;=100000,INDEX($AN$1005:$BO$1005,1,MATCH(COLUMNS($AN$1006:AS1006),$AN$1006:$BO$1006,0))&gt;=100000), " ",IF(INDEX($AN$2:$BO$1001,MATCH(ROWS($AG$2:AG938),$AG$2:$AG$1001,0),MATCH(COLUMNS($AN$1006:AS1006),$AN$1006:$BO$1006,0)), HYPERLINK("#",""), HYPERLINK(CONCATENATE("#Metadata!", ADDRESS(INDEX($AI$2:$AI$1001,MATCH(ROWS($AG$2:AG938),$AG$2:$AG$1001,0),0), INDEX($AN$1004:$BO$1004,1,MATCH(COLUMNS($AN$1006:AS1006),$AN$1006:$BO$1006,0)))),"Fix")))</f>
        <v>0</v>
      </c>
      <c r="H938" s="4">
        <f>IF(OR(INDEX($AH$2:$AH$1001,MATCH(ROWS($AG$2:AG938),$AG$2:$AG$1001,0),1)&gt;=100000,INDEX($AN$1005:$BO$1005,1,MATCH(COLUMNS($AN$1006:AT1006),$AN$1006:$BO$1006,0))&gt;=100000), " ",IF(INDEX($AN$2:$BO$1001,MATCH(ROWS($AG$2:AG938),$AG$2:$AG$1001,0),MATCH(COLUMNS($AN$1006:AT1006),$AN$1006:$BO$1006,0)), HYPERLINK("#",""), HYPERLINK(CONCATENATE("#Metadata!", ADDRESS(INDEX($AI$2:$AI$1001,MATCH(ROWS($AG$2:AG938),$AG$2:$AG$1001,0),0), INDEX($AN$1004:$BO$1004,1,MATCH(COLUMNS($AN$1006:AT1006),$AN$1006:$BO$1006,0)))),"Fix")))</f>
        <v>0</v>
      </c>
      <c r="I938" s="4">
        <f>IF(OR(INDEX($AH$2:$AH$1001,MATCH(ROWS($AG$2:AG938),$AG$2:$AG$1001,0),1)&gt;=100000,INDEX($AN$1005:$BO$1005,1,MATCH(COLUMNS($AN$1006:AU1006),$AN$1006:$BO$1006,0))&gt;=100000), " ",IF(INDEX($AN$2:$BO$1001,MATCH(ROWS($AG$2:AG938),$AG$2:$AG$1001,0),MATCH(COLUMNS($AN$1006:AU1006),$AN$1006:$BO$1006,0)), HYPERLINK("#",""), HYPERLINK(CONCATENATE("#Metadata!", ADDRESS(INDEX($AI$2:$AI$1001,MATCH(ROWS($AG$2:AG938),$AG$2:$AG$1001,0),0), INDEX($AN$1004:$BO$1004,1,MATCH(COLUMNS($AN$1006:AU1006),$AN$1006:$BO$1006,0)))),"Fix")))</f>
        <v>0</v>
      </c>
      <c r="J938" s="4">
        <f>IF(OR(INDEX($AH$2:$AH$1001,MATCH(ROWS($AG$2:AG938),$AG$2:$AG$1001,0),1)&gt;=100000,INDEX($AN$1005:$BO$1005,1,MATCH(COLUMNS($AN$1006:AV1006),$AN$1006:$BO$1006,0))&gt;=100000), " ",IF(INDEX($AN$2:$BO$1001,MATCH(ROWS($AG$2:AG938),$AG$2:$AG$1001,0),MATCH(COLUMNS($AN$1006:AV1006),$AN$1006:$BO$1006,0)), HYPERLINK("#",""), HYPERLINK(CONCATENATE("#Metadata!", ADDRESS(INDEX($AI$2:$AI$1001,MATCH(ROWS($AG$2:AG938),$AG$2:$AG$1001,0),0), INDEX($AN$1004:$BO$1004,1,MATCH(COLUMNS($AN$1006:AV1006),$AN$1006:$BO$1006,0)))),"Fix")))</f>
        <v>0</v>
      </c>
      <c r="K938" s="4">
        <f>IF(OR(INDEX($AH$2:$AH$1001,MATCH(ROWS($AG$2:AG938),$AG$2:$AG$1001,0),1)&gt;=100000,INDEX($AN$1005:$BO$1005,1,MATCH(COLUMNS($AN$1006:AW1006),$AN$1006:$BO$1006,0))&gt;=100000), " ",IF(INDEX($AN$2:$BO$1001,MATCH(ROWS($AG$2:AG938),$AG$2:$AG$1001,0),MATCH(COLUMNS($AN$1006:AW1006),$AN$1006:$BO$1006,0)), HYPERLINK("#",""), HYPERLINK(CONCATENATE("#Metadata!", ADDRESS(INDEX($AI$2:$AI$1001,MATCH(ROWS($AG$2:AG938),$AG$2:$AG$1001,0),0), INDEX($AN$1004:$BO$1004,1,MATCH(COLUMNS($AN$1006:AW1006),$AN$1006:$BO$1006,0)))),"Fix")))</f>
        <v>0</v>
      </c>
      <c r="L938" s="4">
        <f>IF(OR(INDEX($AH$2:$AH$1001,MATCH(ROWS($AG$2:AG938),$AG$2:$AG$1001,0),1)&gt;=100000,INDEX($AN$1005:$BO$1005,1,MATCH(COLUMNS($AN$1006:AX1006),$AN$1006:$BO$1006,0))&gt;=100000), " ",IF(INDEX($AN$2:$BO$1001,MATCH(ROWS($AG$2:AG938),$AG$2:$AG$1001,0),MATCH(COLUMNS($AN$1006:AX1006),$AN$1006:$BO$1006,0)), HYPERLINK("#",""), HYPERLINK(CONCATENATE("#Metadata!", ADDRESS(INDEX($AI$2:$AI$1001,MATCH(ROWS($AG$2:AG938),$AG$2:$AG$1001,0),0), INDEX($AN$1004:$BO$1004,1,MATCH(COLUMNS($AN$1006:AX1006),$AN$1006:$BO$1006,0)))),"Fix")))</f>
        <v>0</v>
      </c>
      <c r="M938" s="4">
        <f>IF(OR(INDEX($AH$2:$AH$1001,MATCH(ROWS($AG$2:AG938),$AG$2:$AG$1001,0),1)&gt;=100000,INDEX($AN$1005:$BO$1005,1,MATCH(COLUMNS($AN$1006:AY1006),$AN$1006:$BO$1006,0))&gt;=100000), " ",IF(INDEX($AN$2:$BO$1001,MATCH(ROWS($AG$2:AG938),$AG$2:$AG$1001,0),MATCH(COLUMNS($AN$1006:AY1006),$AN$1006:$BO$1006,0)), HYPERLINK("#",""), HYPERLINK(CONCATENATE("#Metadata!", ADDRESS(INDEX($AI$2:$AI$1001,MATCH(ROWS($AG$2:AG938),$AG$2:$AG$1001,0),0), INDEX($AN$1004:$BO$1004,1,MATCH(COLUMNS($AN$1006:AY1006),$AN$1006:$BO$1006,0)))),"Fix")))</f>
        <v>0</v>
      </c>
      <c r="N938" s="4">
        <f>IF(OR(INDEX($AH$2:$AH$1001,MATCH(ROWS($AG$2:AG938),$AG$2:$AG$1001,0),1)&gt;=100000,INDEX($AN$1005:$BO$1005,1,MATCH(COLUMNS($AN$1006:AZ1006),$AN$1006:$BO$1006,0))&gt;=100000), " ",IF(INDEX($AN$2:$BO$1001,MATCH(ROWS($AG$2:AG938),$AG$2:$AG$1001,0),MATCH(COLUMNS($AN$1006:AZ1006),$AN$1006:$BO$1006,0)), HYPERLINK("#",""), HYPERLINK(CONCATENATE("#Metadata!", ADDRESS(INDEX($AI$2:$AI$1001,MATCH(ROWS($AG$2:AG938),$AG$2:$AG$1001,0),0), INDEX($AN$1004:$BO$1004,1,MATCH(COLUMNS($AN$1006:AZ1006),$AN$1006:$BO$1006,0)))),"Fix")))</f>
        <v>0</v>
      </c>
      <c r="O938" s="4">
        <f>IF(OR(INDEX($AH$2:$AH$1001,MATCH(ROWS($AG$2:AG938),$AG$2:$AG$1001,0),1)&gt;=100000,INDEX($AN$1005:$BO$1005,1,MATCH(COLUMNS($AN$1006:BA1006),$AN$1006:$BO$1006,0))&gt;=100000), " ",IF(INDEX($AN$2:$BO$1001,MATCH(ROWS($AG$2:AG938),$AG$2:$AG$1001,0),MATCH(COLUMNS($AN$1006:BA1006),$AN$1006:$BO$1006,0)), HYPERLINK("#",""), HYPERLINK(CONCATENATE("#Metadata!", ADDRESS(INDEX($AI$2:$AI$1001,MATCH(ROWS($AG$2:AG938),$AG$2:$AG$1001,0),0), INDEX($AN$1004:$BO$1004,1,MATCH(COLUMNS($AN$1006:BA1006),$AN$1006:$BO$1006,0)))),"Fix")))</f>
        <v>0</v>
      </c>
      <c r="P938" s="4">
        <f>IF(OR(INDEX($AH$2:$AH$1001,MATCH(ROWS($AG$2:AG938),$AG$2:$AG$1001,0),1)&gt;=100000,INDEX($AN$1005:$BO$1005,1,MATCH(COLUMNS($AN$1006:BB1006),$AN$1006:$BO$1006,0))&gt;=100000), " ",IF(INDEX($AN$2:$BO$1001,MATCH(ROWS($AG$2:AG938),$AG$2:$AG$1001,0),MATCH(COLUMNS($AN$1006:BB1006),$AN$1006:$BO$1006,0)), HYPERLINK("#",""), HYPERLINK(CONCATENATE("#Metadata!", ADDRESS(INDEX($AI$2:$AI$1001,MATCH(ROWS($AG$2:AG938),$AG$2:$AG$1001,0),0), INDEX($AN$1004:$BO$1004,1,MATCH(COLUMNS($AN$1006:BB1006),$AN$1006:$BO$1006,0)))),"Fix")))</f>
        <v>0</v>
      </c>
      <c r="Q938" s="4">
        <f>IF(OR(INDEX($AH$2:$AH$1001,MATCH(ROWS($AG$2:AG938),$AG$2:$AG$1001,0),1)&gt;=100000,INDEX($AN$1005:$BO$1005,1,MATCH(COLUMNS($AN$1006:BC1006),$AN$1006:$BO$1006,0))&gt;=100000), " ",IF(INDEX($AN$2:$BO$1001,MATCH(ROWS($AG$2:AG938),$AG$2:$AG$1001,0),MATCH(COLUMNS($AN$1006:BC1006),$AN$1006:$BO$1006,0)), HYPERLINK("#",""), HYPERLINK(CONCATENATE("#Metadata!", ADDRESS(INDEX($AI$2:$AI$1001,MATCH(ROWS($AG$2:AG938),$AG$2:$AG$1001,0),0), INDEX($AN$1004:$BO$1004,1,MATCH(COLUMNS($AN$1006:BC1006),$AN$1006:$BO$1006,0)))),"Fix")))</f>
        <v>0</v>
      </c>
      <c r="R938" s="4">
        <f>IF(OR(INDEX($AH$2:$AH$1001,MATCH(ROWS($AG$2:AG938),$AG$2:$AG$1001,0),1)&gt;=100000,INDEX($AN$1005:$BO$1005,1,MATCH(COLUMNS($AN$1006:BD1006),$AN$1006:$BO$1006,0))&gt;=100000), " ",IF(INDEX($AN$2:$BO$1001,MATCH(ROWS($AG$2:AG938),$AG$2:$AG$1001,0),MATCH(COLUMNS($AN$1006:BD1006),$AN$1006:$BO$1006,0)), HYPERLINK("#",""), HYPERLINK(CONCATENATE("#Metadata!", ADDRESS(INDEX($AI$2:$AI$1001,MATCH(ROWS($AG$2:AG938),$AG$2:$AG$1001,0),0), INDEX($AN$1004:$BO$1004,1,MATCH(COLUMNS($AN$1006:BD1006),$AN$1006:$BO$1006,0)))),"Fix")))</f>
        <v>0</v>
      </c>
      <c r="S938" s="4">
        <f>IF(OR(INDEX($AH$2:$AH$1001,MATCH(ROWS($AG$2:AG938),$AG$2:$AG$1001,0),1)&gt;=100000,INDEX($AN$1005:$BO$1005,1,MATCH(COLUMNS($AN$1006:BE1006),$AN$1006:$BO$1006,0))&gt;=100000), " ",IF(INDEX($AN$2:$BO$1001,MATCH(ROWS($AG$2:AG938),$AG$2:$AG$1001,0),MATCH(COLUMNS($AN$1006:BE1006),$AN$1006:$BO$1006,0)), HYPERLINK("#",""), HYPERLINK(CONCATENATE("#Metadata!", ADDRESS(INDEX($AI$2:$AI$1001,MATCH(ROWS($AG$2:AG938),$AG$2:$AG$1001,0),0), INDEX($AN$1004:$BO$1004,1,MATCH(COLUMNS($AN$1006:BE1006),$AN$1006:$BO$1006,0)))),"Fix")))</f>
        <v>0</v>
      </c>
      <c r="T938" s="4">
        <f>IF(OR(INDEX($AH$2:$AH$1001,MATCH(ROWS($AG$2:AG938),$AG$2:$AG$1001,0),1)&gt;=100000,INDEX($AN$1005:$BO$1005,1,MATCH(COLUMNS($AN$1006:BF1006),$AN$1006:$BO$1006,0))&gt;=100000), " ",IF(INDEX($AN$2:$BO$1001,MATCH(ROWS($AG$2:AG938),$AG$2:$AG$1001,0),MATCH(COLUMNS($AN$1006:BF1006),$AN$1006:$BO$1006,0)), HYPERLINK("#",""), HYPERLINK(CONCATENATE("#Metadata!", ADDRESS(INDEX($AI$2:$AI$1001,MATCH(ROWS($AG$2:AG938),$AG$2:$AG$1001,0),0), INDEX($AN$1004:$BO$1004,1,MATCH(COLUMNS($AN$1006:BF1006),$AN$1006:$BO$1006,0)))),"Fix")))</f>
        <v>0</v>
      </c>
      <c r="U938" s="4">
        <f>IF(OR(INDEX($AH$2:$AH$1001,MATCH(ROWS($AG$2:AG938),$AG$2:$AG$1001,0),1)&gt;=100000,INDEX($AN$1005:$BO$1005,1,MATCH(COLUMNS($AN$1006:BG1006),$AN$1006:$BO$1006,0))&gt;=100000), " ",IF(INDEX($AN$2:$BO$1001,MATCH(ROWS($AG$2:AG938),$AG$2:$AG$1001,0),MATCH(COLUMNS($AN$1006:BG1006),$AN$1006:$BO$1006,0)), HYPERLINK("#",""), HYPERLINK(CONCATENATE("#Metadata!", ADDRESS(INDEX($AI$2:$AI$1001,MATCH(ROWS($AG$2:AG938),$AG$2:$AG$1001,0),0), INDEX($AN$1004:$BO$1004,1,MATCH(COLUMNS($AN$1006:BG1006),$AN$1006:$BO$1006,0)))),"Fix")))</f>
        <v>0</v>
      </c>
      <c r="V938" s="4">
        <f>IF(OR(INDEX($AH$2:$AH$1001,MATCH(ROWS($AG$2:AG938),$AG$2:$AG$1001,0),1)&gt;=100000,INDEX($AN$1005:$BO$1005,1,MATCH(COLUMNS($AN$1006:BH1006),$AN$1006:$BO$1006,0))&gt;=100000), " ",IF(INDEX($AN$2:$BO$1001,MATCH(ROWS($AG$2:AG938),$AG$2:$AG$1001,0),MATCH(COLUMNS($AN$1006:BH1006),$AN$1006:$BO$1006,0)), HYPERLINK("#",""), HYPERLINK(CONCATENATE("#Metadata!", ADDRESS(INDEX($AI$2:$AI$1001,MATCH(ROWS($AG$2:AG938),$AG$2:$AG$1001,0),0), INDEX($AN$1004:$BO$1004,1,MATCH(COLUMNS($AN$1006:BH1006),$AN$1006:$BO$1006,0)))),"Fix")))</f>
        <v>0</v>
      </c>
      <c r="W938" s="4">
        <f>IF(OR(INDEX($AH$2:$AH$1001,MATCH(ROWS($AG$2:AG938),$AG$2:$AG$1001,0),1)&gt;=100000,INDEX($AN$1005:$BO$1005,1,MATCH(COLUMNS($AN$1006:BI1006),$AN$1006:$BO$1006,0))&gt;=100000), " ",IF(INDEX($AN$2:$BO$1001,MATCH(ROWS($AG$2:AG938),$AG$2:$AG$1001,0),MATCH(COLUMNS($AN$1006:BI1006),$AN$1006:$BO$1006,0)), HYPERLINK("#",""), HYPERLINK(CONCATENATE("#Metadata!", ADDRESS(INDEX($AI$2:$AI$1001,MATCH(ROWS($AG$2:AG938),$AG$2:$AG$1001,0),0), INDEX($AN$1004:$BO$1004,1,MATCH(COLUMNS($AN$1006:BI1006),$AN$1006:$BO$1006,0)))),"Fix")))</f>
        <v>0</v>
      </c>
      <c r="X938" s="4">
        <f>IF(OR(INDEX($AH$2:$AH$1001,MATCH(ROWS($AG$2:AG938),$AG$2:$AG$1001,0),1)&gt;=100000,INDEX($AN$1005:$BO$1005,1,MATCH(COLUMNS($AN$1006:BJ1006),$AN$1006:$BO$1006,0))&gt;=100000), " ",IF(INDEX($AN$2:$BO$1001,MATCH(ROWS($AG$2:AG938),$AG$2:$AG$1001,0),MATCH(COLUMNS($AN$1006:BJ1006),$AN$1006:$BO$1006,0)), HYPERLINK("#",""), HYPERLINK(CONCATENATE("#Metadata!", ADDRESS(INDEX($AI$2:$AI$1001,MATCH(ROWS($AG$2:AG938),$AG$2:$AG$1001,0),0), INDEX($AN$1004:$BO$1004,1,MATCH(COLUMNS($AN$1006:BJ1006),$AN$1006:$BO$1006,0)))),"Fix")))</f>
        <v>0</v>
      </c>
      <c r="Y938" s="4">
        <f>IF(OR(INDEX($AH$2:$AH$1001,MATCH(ROWS($AG$2:AG938),$AG$2:$AG$1001,0),1)&gt;=100000,INDEX($AN$1005:$BO$1005,1,MATCH(COLUMNS($AN$1006:BK1006),$AN$1006:$BO$1006,0))&gt;=100000), " ",IF(INDEX($AN$2:$BO$1001,MATCH(ROWS($AG$2:AG938),$AG$2:$AG$1001,0),MATCH(COLUMNS($AN$1006:BK1006),$AN$1006:$BO$1006,0)), HYPERLINK("#",""), HYPERLINK(CONCATENATE("#Metadata!", ADDRESS(INDEX($AI$2:$AI$1001,MATCH(ROWS($AG$2:AG938),$AG$2:$AG$1001,0),0), INDEX($AN$1004:$BO$1004,1,MATCH(COLUMNS($AN$1006:BK1006),$AN$1006:$BO$1006,0)))),"Fix")))</f>
        <v>0</v>
      </c>
      <c r="Z938" s="4">
        <f>IF(OR(INDEX($AH$2:$AH$1001,MATCH(ROWS($AG$2:AG938),$AG$2:$AG$1001,0),1)&gt;=100000,INDEX($AN$1005:$BO$1005,1,MATCH(COLUMNS($AN$1006:BL1006),$AN$1006:$BO$1006,0))&gt;=100000), " ",IF(INDEX($AN$2:$BO$1001,MATCH(ROWS($AG$2:AG938),$AG$2:$AG$1001,0),MATCH(COLUMNS($AN$1006:BL1006),$AN$1006:$BO$1006,0)), HYPERLINK("#",""), HYPERLINK(CONCATENATE("#Metadata!", ADDRESS(INDEX($AI$2:$AI$1001,MATCH(ROWS($AG$2:AG938),$AG$2:$AG$1001,0),0), INDEX($AN$1004:$BO$1004,1,MATCH(COLUMNS($AN$1006:BL1006),$AN$1006:$BO$1006,0)))),"Fix")))</f>
        <v>0</v>
      </c>
      <c r="AA938" s="4">
        <f>IF(OR(INDEX($AH$2:$AH$1001,MATCH(ROWS($AG$2:AG938),$AG$2:$AG$1001,0),1)&gt;=100000,INDEX($AN$1005:$BO$1005,1,MATCH(COLUMNS($AN$1006:BM1006),$AN$1006:$BO$1006,0))&gt;=100000), " ",IF(INDEX($AN$2:$BO$1001,MATCH(ROWS($AG$2:AG938),$AG$2:$AG$1001,0),MATCH(COLUMNS($AN$1006:BM1006),$AN$1006:$BO$1006,0)), HYPERLINK("#",""), HYPERLINK(CONCATENATE("#Metadata!", ADDRESS(INDEX($AI$2:$AI$1001,MATCH(ROWS($AG$2:AG938),$AG$2:$AG$1001,0),0), INDEX($AN$1004:$BO$1004,1,MATCH(COLUMNS($AN$1006:BM1006),$AN$1006:$BO$1006,0)))),"Fix")))</f>
        <v>0</v>
      </c>
      <c r="AB938" s="4">
        <f>IF(OR(INDEX($AH$2:$AH$1001,MATCH(ROWS($AG$2:AG938),$AG$2:$AG$1001,0),1)&gt;=100000,INDEX($AN$1005:$BO$1005,1,MATCH(COLUMNS($AN$1006:BN1006),$AN$1006:$BO$1006,0))&gt;=100000), " ",IF(INDEX($AN$2:$BO$1001,MATCH(ROWS($AG$2:AG938),$AG$2:$AG$1001,0),MATCH(COLUMNS($AN$1006:BN1006),$AN$1006:$BO$1006,0)), HYPERLINK("#",""), HYPERLINK(CONCATENATE("#Metadata!", ADDRESS(INDEX($AI$2:$AI$1001,MATCH(ROWS($AG$2:AG938),$AG$2:$AG$1001,0),0), INDEX($AN$1004:$BO$1004,1,MATCH(COLUMNS($AN$1006:BN1006),$AN$1006:$BO$1006,0)))),"Fix")))</f>
        <v>0</v>
      </c>
      <c r="AC938" s="4">
        <f>IF(OR(INDEX($AH$2:$AH$1001,MATCH(ROWS($AG$2:AG938),$AG$2:$AG$1001,0),1)&gt;=100000,INDEX($AN$1005:$BO$1005,1,MATCH(COLUMNS($AN$1006:BO1006),$AN$1006:$BO$1006,0))&gt;=100000), " ",IF(INDEX($AN$2:$BO$1001,MATCH(ROWS($AG$2:AG938),$AG$2:$AG$1001,0),MATCH(COLUMNS($AN$1006:BO1006),$AN$1006:$BO$1006,0)), HYPERLINK("#",""), HYPERLINK(CONCATENATE("#Metadata!", ADDRESS(INDEX($AI$2:$AI$1001,MATCH(ROWS($AG$2:AG938),$AG$2:$AG$1001,0),0), INDEX($AN$1004:$BO$1004,1,MATCH(COLUMNS($AN$1006:BO1006),$AN$1006:$BO$1006,0)))),"Fix")))</f>
        <v>0</v>
      </c>
      <c r="AG938">
        <v>0</v>
      </c>
      <c r="AH938">
        <v>0</v>
      </c>
      <c r="AI938">
        <v>0</v>
      </c>
      <c r="AJ938">
        <f>IF(AK938,TRUE,AND(AN938:BO938))</f>
        <v>0</v>
      </c>
      <c r="AK938">
        <f>COUNTBLANK(Metadata!B938:AC938)=COLUMNS(Metadata!B938:AC938)</f>
        <v>0</v>
      </c>
      <c r="AL938">
        <v>0</v>
      </c>
      <c r="AN938">
        <f>AND(IF(Metadata!B938="",FALSE,TRUE),COUNTIF(Metadata!B:B, Metadata!B938) = 1,NOT(ISERROR(SUMPRODUCT(SEARCH(MID(Metadata!B938,ROW(INDIRECT("1:"&amp;LEN(Metadata!B938))), 1),"0123456789abcdefghijklmnopqrstuvwxyzABCDEFGHIJKLMNOPQRSTUVWXYZ.")))))</f>
        <v>0</v>
      </c>
      <c r="AO938">
        <f>IF(Metadata!C938="",FALSE,TRUE)</f>
        <v>0</v>
      </c>
      <c r="AP938">
        <f>IF(Metadata!D938="",FALSE,TRUE)</f>
        <v>0</v>
      </c>
      <c r="AQ938">
        <f>OR(AND(IF(Metadata!E938="",FALSE,TRUE),OR(exact(Metadata!E938,"not collected"),exact(Metadata!E938,"not provided"),exact(Metadata!E938,"restricted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R938">
        <f>IF(Metadata!F938="",FALSE,TRUE)</f>
        <v>0</v>
      </c>
      <c r="AS938">
        <f>OR(AND(IF(Metadata!G938="",FALSE,TRUE),OR(exact(Metadata!G938,"not collected"),exact(Metadata!G938,"not provided"))),AND(IF(Metadata!G938="",FALSE,TRUE),OR(exact(Metadata!G938,"TRUE"),exact(Metadata!G938,"FALSE"))))</f>
        <v>0</v>
      </c>
      <c r="AT938">
        <f>OR(AND(IF(Metadata!H938="",FALSE,TRUE),OR(exact(Metadata!H938,"not collected"),exact(Metadata!H938,"not provided"),exact(Metadata!H938,"restricted access"))),AND(IF(Metadata!H938="",FALSE,ISNUMBER(VALUE(Metadata!H938))),Metadata!H938&gt;=-413.0))</f>
        <v>0</v>
      </c>
      <c r="AU938">
        <f>AND(IF(Metadata!I938="",FALSE,TRUE),exact(Metadata!I938,"meters"))</f>
        <v>0</v>
      </c>
      <c r="AV938">
        <f>AND(IF(Metadata!J938="",FALSE,TRUE),OR(exact(Metadata!J938,"Host-associated"),exact(Metadata!J938,"Free-living")))</f>
        <v>0</v>
      </c>
      <c r="AW938">
        <f>AND(IF(Metadata!K938="",FALSE,TRUE),OR(exact(Metadata!K938,"Animal"),exact(Metadata!K938,"Fungus"),exact(Metadata!K938,"Plant"),exact(Metadata!K938,"Saline"),exact(Metadata!K938,"Non-saline")))</f>
        <v>0</v>
      </c>
      <c r="AX938">
        <f>AND(IF(Metadata!L938="",FALSE,TRUE),OR(exact(Metadata!L938,"Plant secretion"),exact(Metadata!L938,"Plant rhizosphere"),exact(Metadata!L938,"Plant surface"),exact(Metadata!L938,"Plant corpus"),exact(Metadata!L938,"Fungus surface"),exact(Metadata!L938,"Fungus corpus"),exact(Metadata!L938,"Animal surface"),exact(Metadata!L938,"Animal proximal gut"),exact(Metadata!L938,"Animal corpus"),exact(Metadata!L938,"Animal distal gut"),exact(Metadata!L938,"Animal secretion"),exact(Metadata!L938,"Sub-surface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Y938">
        <f>IF(Metadata!M938="",FALSE,TRUE)</f>
        <v>0</v>
      </c>
      <c r="AZ938">
        <f>IF(Metadata!N938="",FALSE,TRUE)</f>
        <v>0</v>
      </c>
      <c r="BA938">
        <f>IF(Metadata!O938="",FALSE,TRUE)</f>
        <v>0</v>
      </c>
      <c r="BB938">
        <f>OR(AND(IF(Metadata!P938="",FALSE,TRUE),OR(exact(Metadata!P938,"not collected"),exact(Metadata!P938,"not provided"),exact(Metadata!P938,"restricted access"))),AND(IF(Metadata!P938="",FALSE,TRUE),OR(exact(Metadata!P938,"air"),exact(Metadata!P938,"built environment"),exact(Metadata!P938,"host-associated"),exact(Metadata!P938,"human-associated"),exact(Metadata!P938,"human-skin"),exact(Metadata!P938,"human-oral"),exact(Metadata!P938,"human-gut"),exact(Metadata!P938,"human-vaginal"),exact(Metadata!P938,"microbial mat/biofilm"),exact(Metadata!P938,"misc environment"),exact(Metadata!P938,"plant-associated"),exact(Metadata!P938,"sediment"),exact(Metadata!P938,"soil"),exact(Metadata!P938,"wastewater/sludge"),exact(Metadata!P938,"water"))))</f>
        <v>0</v>
      </c>
      <c r="BC938">
        <f>IF(Metadata!Q938="",FALSE,TRUE)</f>
        <v>0</v>
      </c>
      <c r="BD938">
        <f>IF(Metadata!R938="",FALSE,TRUE)</f>
        <v>0</v>
      </c>
      <c r="BE938">
        <f>OR(AND(IF(Metadata!S938="",FALSE,TRUE),OR(exact(Metadata!S938,"not collected"),exact(Metadata!S938,"not provided"),exact(Metadata!S938,"restricted access"))),AND(IF(Metadata!S938="",FALSE,ISNUMBER(VALUE(Metadata!S938))),Metadata!S938&gt;=-90.00,Metadata!S938&lt;=90.00))</f>
        <v>0</v>
      </c>
      <c r="BF938">
        <f>AND(IF(Metadata!T938="",FALSE,TRUE),exact(Metadata!T938,"Decimal degrees"))</f>
        <v>0</v>
      </c>
      <c r="BG938">
        <f>OR(AND(IF(Metadata!U938="",FALSE,TRUE),OR(exact(Metadata!U938,"not collected"),exact(Metadata!U938,"not provided"),exact(Metadata!U938,"restricted access"))),AND(IF(Metadata!U938="",FALSE,ISNUMBER(VALUE(Metadata!U938))),Metadata!U938&gt;=-180.00,Metadata!U938&lt;=180.00))</f>
        <v>0</v>
      </c>
      <c r="BH938">
        <f>AND(IF(Metadata!V938="",FALSE,TRUE),exact(Metadata!V938,"Decimal degrees"))</f>
        <v>0</v>
      </c>
      <c r="BI938">
        <f>IF(Metadata!W938="",FALSE,TRUE)</f>
        <v>0</v>
      </c>
      <c r="BJ938">
        <f>OR(AND(IF(Metadata!X938="",FALSE,TRUE),OR(exact(Metadata!X938,"not collected"),exact(Metadata!X938,"not provided"),exact(Metadata!X938,"restricted access"))),AND(IF(Metadata!X938="",FALSE,TRUE),OR(exact(Metadata!X938,"TRUE"),exact(Metadata!X938,"FALSE"))))</f>
        <v>0</v>
      </c>
      <c r="BK938">
        <f>AND(IF(Metadata!Y938="",FALSE,TRUE),exact(Metadata!Y938,"other"))</f>
        <v>0</v>
      </c>
      <c r="BL938">
        <f>IF(Metadata!Z938="",FALSE,TRUE)</f>
        <v>0</v>
      </c>
      <c r="BM938">
        <f>OR(AND(IF(Metadata!AA938="",FALSE,TRUE),OR(exact(Metadata!AA938,"not collected"),exact(Metadata!AA938,"not provided"))),AND(IF(Metadata!AA938="",FALSE,IF(ISERROR(INT(Metadata!AA938)),FALSE,INT(Metadata!AA938)=Metadata!AA938)),Metadata!AA938&gt;0))</f>
        <v>0</v>
      </c>
      <c r="BN938">
        <f>AND(IF(Metadata!AB938="",FALSE,TRUE),exact(Metadata!AB938,"Not applicable"))</f>
        <v>0</v>
      </c>
      <c r="BO938">
        <f>IF(Metadata!AC938="",FALSE,TRUE)</f>
        <v>0</v>
      </c>
    </row>
    <row r="939" spans="1:67">
      <c r="A939" s="5">
        <f>IF(B939=" "," ",HYPERLINK(CONCATENATE("#metadata!",ADDRESS(INDEX($AI$2:$AI$1001,MATCH(ROWS($AG$2:AG939),$AG$2:$AG$1001,0),0),1)),INDEX($AL$2:$AL$1001,MATCH(ROWS($AG$2:AG939),$AG$2:$AG$1001,0),0)))</f>
        <v>0</v>
      </c>
      <c r="B939" s="4">
        <f>IF(OR(INDEX($AH$2:$AH$1001,MATCH(ROWS($AG$2:AG939),$AG$2:$AG$1001,0),1)&gt;=100000,INDEX($AN$1005:$BO$1005,1,MATCH(COLUMNS($AN$1006:AN1006),$AN$1006:$BO$1006,0))&gt;=100000), " ",IF(INDEX($AN$2:$BO$1001,MATCH(ROWS($AG$2:AG939),$AG$2:$AG$1001,0),MATCH(COLUMNS($AN$1006:AN1006),$AN$1006:$BO$1006,0)), HYPERLINK("#",""), HYPERLINK(CONCATENATE("#Metadata!", ADDRESS(INDEX($AI$2:$AI$1001,MATCH(ROWS($AG$2:AG939),$AG$2:$AG$1001,0),0), INDEX($AN$1004:$BO$1004,1,MATCH(COLUMNS($AN$1006:AN1006),$AN$1006:$BO$1006,0)))),"Fix")))</f>
        <v>0</v>
      </c>
      <c r="C939" s="4">
        <f>IF(OR(INDEX($AH$2:$AH$1001,MATCH(ROWS($AG$2:AG939),$AG$2:$AG$1001,0),1)&gt;=100000,INDEX($AN$1005:$BO$1005,1,MATCH(COLUMNS($AN$1006:AO1006),$AN$1006:$BO$1006,0))&gt;=100000), " ",IF(INDEX($AN$2:$BO$1001,MATCH(ROWS($AG$2:AG939),$AG$2:$AG$1001,0),MATCH(COLUMNS($AN$1006:AO1006),$AN$1006:$BO$1006,0)), HYPERLINK("#",""), HYPERLINK(CONCATENATE("#Metadata!", ADDRESS(INDEX($AI$2:$AI$1001,MATCH(ROWS($AG$2:AG939),$AG$2:$AG$1001,0),0), INDEX($AN$1004:$BO$1004,1,MATCH(COLUMNS($AN$1006:AO1006),$AN$1006:$BO$1006,0)))),"Fix")))</f>
        <v>0</v>
      </c>
      <c r="D939" s="4">
        <f>IF(OR(INDEX($AH$2:$AH$1001,MATCH(ROWS($AG$2:AG939),$AG$2:$AG$1001,0),1)&gt;=100000,INDEX($AN$1005:$BO$1005,1,MATCH(COLUMNS($AN$1006:AP1006),$AN$1006:$BO$1006,0))&gt;=100000), " ",IF(INDEX($AN$2:$BO$1001,MATCH(ROWS($AG$2:AG939),$AG$2:$AG$1001,0),MATCH(COLUMNS($AN$1006:AP1006),$AN$1006:$BO$1006,0)), HYPERLINK("#",""), HYPERLINK(CONCATENATE("#Metadata!", ADDRESS(INDEX($AI$2:$AI$1001,MATCH(ROWS($AG$2:AG939),$AG$2:$AG$1001,0),0), INDEX($AN$1004:$BO$1004,1,MATCH(COLUMNS($AN$1006:AP1006),$AN$1006:$BO$1006,0)))),"Fix")))</f>
        <v>0</v>
      </c>
      <c r="E939" s="4">
        <f>IF(OR(INDEX($AH$2:$AH$1001,MATCH(ROWS($AG$2:AG939),$AG$2:$AG$1001,0),1)&gt;=100000,INDEX($AN$1005:$BO$1005,1,MATCH(COLUMNS($AN$1006:AQ1006),$AN$1006:$BO$1006,0))&gt;=100000), " ",IF(INDEX($AN$2:$BO$1001,MATCH(ROWS($AG$2:AG939),$AG$2:$AG$1001,0),MATCH(COLUMNS($AN$1006:AQ1006),$AN$1006:$BO$1006,0)), HYPERLINK("#",""), HYPERLINK(CONCATENATE("#Metadata!", ADDRESS(INDEX($AI$2:$AI$1001,MATCH(ROWS($AG$2:AG939),$AG$2:$AG$1001,0),0), INDEX($AN$1004:$BO$1004,1,MATCH(COLUMNS($AN$1006:AQ1006),$AN$1006:$BO$1006,0)))),"Fix")))</f>
        <v>0</v>
      </c>
      <c r="F939" s="4">
        <f>IF(OR(INDEX($AH$2:$AH$1001,MATCH(ROWS($AG$2:AG939),$AG$2:$AG$1001,0),1)&gt;=100000,INDEX($AN$1005:$BO$1005,1,MATCH(COLUMNS($AN$1006:AR1006),$AN$1006:$BO$1006,0))&gt;=100000), " ",IF(INDEX($AN$2:$BO$1001,MATCH(ROWS($AG$2:AG939),$AG$2:$AG$1001,0),MATCH(COLUMNS($AN$1006:AR1006),$AN$1006:$BO$1006,0)), HYPERLINK("#",""), HYPERLINK(CONCATENATE("#Metadata!", ADDRESS(INDEX($AI$2:$AI$1001,MATCH(ROWS($AG$2:AG939),$AG$2:$AG$1001,0),0), INDEX($AN$1004:$BO$1004,1,MATCH(COLUMNS($AN$1006:AR1006),$AN$1006:$BO$1006,0)))),"Fix")))</f>
        <v>0</v>
      </c>
      <c r="G939" s="4">
        <f>IF(OR(INDEX($AH$2:$AH$1001,MATCH(ROWS($AG$2:AG939),$AG$2:$AG$1001,0),1)&gt;=100000,INDEX($AN$1005:$BO$1005,1,MATCH(COLUMNS($AN$1006:AS1006),$AN$1006:$BO$1006,0))&gt;=100000), " ",IF(INDEX($AN$2:$BO$1001,MATCH(ROWS($AG$2:AG939),$AG$2:$AG$1001,0),MATCH(COLUMNS($AN$1006:AS1006),$AN$1006:$BO$1006,0)), HYPERLINK("#",""), HYPERLINK(CONCATENATE("#Metadata!", ADDRESS(INDEX($AI$2:$AI$1001,MATCH(ROWS($AG$2:AG939),$AG$2:$AG$1001,0),0), INDEX($AN$1004:$BO$1004,1,MATCH(COLUMNS($AN$1006:AS1006),$AN$1006:$BO$1006,0)))),"Fix")))</f>
        <v>0</v>
      </c>
      <c r="H939" s="4">
        <f>IF(OR(INDEX($AH$2:$AH$1001,MATCH(ROWS($AG$2:AG939),$AG$2:$AG$1001,0),1)&gt;=100000,INDEX($AN$1005:$BO$1005,1,MATCH(COLUMNS($AN$1006:AT1006),$AN$1006:$BO$1006,0))&gt;=100000), " ",IF(INDEX($AN$2:$BO$1001,MATCH(ROWS($AG$2:AG939),$AG$2:$AG$1001,0),MATCH(COLUMNS($AN$1006:AT1006),$AN$1006:$BO$1006,0)), HYPERLINK("#",""), HYPERLINK(CONCATENATE("#Metadata!", ADDRESS(INDEX($AI$2:$AI$1001,MATCH(ROWS($AG$2:AG939),$AG$2:$AG$1001,0),0), INDEX($AN$1004:$BO$1004,1,MATCH(COLUMNS($AN$1006:AT1006),$AN$1006:$BO$1006,0)))),"Fix")))</f>
        <v>0</v>
      </c>
      <c r="I939" s="4">
        <f>IF(OR(INDEX($AH$2:$AH$1001,MATCH(ROWS($AG$2:AG939),$AG$2:$AG$1001,0),1)&gt;=100000,INDEX($AN$1005:$BO$1005,1,MATCH(COLUMNS($AN$1006:AU1006),$AN$1006:$BO$1006,0))&gt;=100000), " ",IF(INDEX($AN$2:$BO$1001,MATCH(ROWS($AG$2:AG939),$AG$2:$AG$1001,0),MATCH(COLUMNS($AN$1006:AU1006),$AN$1006:$BO$1006,0)), HYPERLINK("#",""), HYPERLINK(CONCATENATE("#Metadata!", ADDRESS(INDEX($AI$2:$AI$1001,MATCH(ROWS($AG$2:AG939),$AG$2:$AG$1001,0),0), INDEX($AN$1004:$BO$1004,1,MATCH(COLUMNS($AN$1006:AU1006),$AN$1006:$BO$1006,0)))),"Fix")))</f>
        <v>0</v>
      </c>
      <c r="J939" s="4">
        <f>IF(OR(INDEX($AH$2:$AH$1001,MATCH(ROWS($AG$2:AG939),$AG$2:$AG$1001,0),1)&gt;=100000,INDEX($AN$1005:$BO$1005,1,MATCH(COLUMNS($AN$1006:AV1006),$AN$1006:$BO$1006,0))&gt;=100000), " ",IF(INDEX($AN$2:$BO$1001,MATCH(ROWS($AG$2:AG939),$AG$2:$AG$1001,0),MATCH(COLUMNS($AN$1006:AV1006),$AN$1006:$BO$1006,0)), HYPERLINK("#",""), HYPERLINK(CONCATENATE("#Metadata!", ADDRESS(INDEX($AI$2:$AI$1001,MATCH(ROWS($AG$2:AG939),$AG$2:$AG$1001,0),0), INDEX($AN$1004:$BO$1004,1,MATCH(COLUMNS($AN$1006:AV1006),$AN$1006:$BO$1006,0)))),"Fix")))</f>
        <v>0</v>
      </c>
      <c r="K939" s="4">
        <f>IF(OR(INDEX($AH$2:$AH$1001,MATCH(ROWS($AG$2:AG939),$AG$2:$AG$1001,0),1)&gt;=100000,INDEX($AN$1005:$BO$1005,1,MATCH(COLUMNS($AN$1006:AW1006),$AN$1006:$BO$1006,0))&gt;=100000), " ",IF(INDEX($AN$2:$BO$1001,MATCH(ROWS($AG$2:AG939),$AG$2:$AG$1001,0),MATCH(COLUMNS($AN$1006:AW1006),$AN$1006:$BO$1006,0)), HYPERLINK("#",""), HYPERLINK(CONCATENATE("#Metadata!", ADDRESS(INDEX($AI$2:$AI$1001,MATCH(ROWS($AG$2:AG939),$AG$2:$AG$1001,0),0), INDEX($AN$1004:$BO$1004,1,MATCH(COLUMNS($AN$1006:AW1006),$AN$1006:$BO$1006,0)))),"Fix")))</f>
        <v>0</v>
      </c>
      <c r="L939" s="4">
        <f>IF(OR(INDEX($AH$2:$AH$1001,MATCH(ROWS($AG$2:AG939),$AG$2:$AG$1001,0),1)&gt;=100000,INDEX($AN$1005:$BO$1005,1,MATCH(COLUMNS($AN$1006:AX1006),$AN$1006:$BO$1006,0))&gt;=100000), " ",IF(INDEX($AN$2:$BO$1001,MATCH(ROWS($AG$2:AG939),$AG$2:$AG$1001,0),MATCH(COLUMNS($AN$1006:AX1006),$AN$1006:$BO$1006,0)), HYPERLINK("#",""), HYPERLINK(CONCATENATE("#Metadata!", ADDRESS(INDEX($AI$2:$AI$1001,MATCH(ROWS($AG$2:AG939),$AG$2:$AG$1001,0),0), INDEX($AN$1004:$BO$1004,1,MATCH(COLUMNS($AN$1006:AX1006),$AN$1006:$BO$1006,0)))),"Fix")))</f>
        <v>0</v>
      </c>
      <c r="M939" s="4">
        <f>IF(OR(INDEX($AH$2:$AH$1001,MATCH(ROWS($AG$2:AG939),$AG$2:$AG$1001,0),1)&gt;=100000,INDEX($AN$1005:$BO$1005,1,MATCH(COLUMNS($AN$1006:AY1006),$AN$1006:$BO$1006,0))&gt;=100000), " ",IF(INDEX($AN$2:$BO$1001,MATCH(ROWS($AG$2:AG939),$AG$2:$AG$1001,0),MATCH(COLUMNS($AN$1006:AY1006),$AN$1006:$BO$1006,0)), HYPERLINK("#",""), HYPERLINK(CONCATENATE("#Metadata!", ADDRESS(INDEX($AI$2:$AI$1001,MATCH(ROWS($AG$2:AG939),$AG$2:$AG$1001,0),0), INDEX($AN$1004:$BO$1004,1,MATCH(COLUMNS($AN$1006:AY1006),$AN$1006:$BO$1006,0)))),"Fix")))</f>
        <v>0</v>
      </c>
      <c r="N939" s="4">
        <f>IF(OR(INDEX($AH$2:$AH$1001,MATCH(ROWS($AG$2:AG939),$AG$2:$AG$1001,0),1)&gt;=100000,INDEX($AN$1005:$BO$1005,1,MATCH(COLUMNS($AN$1006:AZ1006),$AN$1006:$BO$1006,0))&gt;=100000), " ",IF(INDEX($AN$2:$BO$1001,MATCH(ROWS($AG$2:AG939),$AG$2:$AG$1001,0),MATCH(COLUMNS($AN$1006:AZ1006),$AN$1006:$BO$1006,0)), HYPERLINK("#",""), HYPERLINK(CONCATENATE("#Metadata!", ADDRESS(INDEX($AI$2:$AI$1001,MATCH(ROWS($AG$2:AG939),$AG$2:$AG$1001,0),0), INDEX($AN$1004:$BO$1004,1,MATCH(COLUMNS($AN$1006:AZ1006),$AN$1006:$BO$1006,0)))),"Fix")))</f>
        <v>0</v>
      </c>
      <c r="O939" s="4">
        <f>IF(OR(INDEX($AH$2:$AH$1001,MATCH(ROWS($AG$2:AG939),$AG$2:$AG$1001,0),1)&gt;=100000,INDEX($AN$1005:$BO$1005,1,MATCH(COLUMNS($AN$1006:BA1006),$AN$1006:$BO$1006,0))&gt;=100000), " ",IF(INDEX($AN$2:$BO$1001,MATCH(ROWS($AG$2:AG939),$AG$2:$AG$1001,0),MATCH(COLUMNS($AN$1006:BA1006),$AN$1006:$BO$1006,0)), HYPERLINK("#",""), HYPERLINK(CONCATENATE("#Metadata!", ADDRESS(INDEX($AI$2:$AI$1001,MATCH(ROWS($AG$2:AG939),$AG$2:$AG$1001,0),0), INDEX($AN$1004:$BO$1004,1,MATCH(COLUMNS($AN$1006:BA1006),$AN$1006:$BO$1006,0)))),"Fix")))</f>
        <v>0</v>
      </c>
      <c r="P939" s="4">
        <f>IF(OR(INDEX($AH$2:$AH$1001,MATCH(ROWS($AG$2:AG939),$AG$2:$AG$1001,0),1)&gt;=100000,INDEX($AN$1005:$BO$1005,1,MATCH(COLUMNS($AN$1006:BB1006),$AN$1006:$BO$1006,0))&gt;=100000), " ",IF(INDEX($AN$2:$BO$1001,MATCH(ROWS($AG$2:AG939),$AG$2:$AG$1001,0),MATCH(COLUMNS($AN$1006:BB1006),$AN$1006:$BO$1006,0)), HYPERLINK("#",""), HYPERLINK(CONCATENATE("#Metadata!", ADDRESS(INDEX($AI$2:$AI$1001,MATCH(ROWS($AG$2:AG939),$AG$2:$AG$1001,0),0), INDEX($AN$1004:$BO$1004,1,MATCH(COLUMNS($AN$1006:BB1006),$AN$1006:$BO$1006,0)))),"Fix")))</f>
        <v>0</v>
      </c>
      <c r="Q939" s="4">
        <f>IF(OR(INDEX($AH$2:$AH$1001,MATCH(ROWS($AG$2:AG939),$AG$2:$AG$1001,0),1)&gt;=100000,INDEX($AN$1005:$BO$1005,1,MATCH(COLUMNS($AN$1006:BC1006),$AN$1006:$BO$1006,0))&gt;=100000), " ",IF(INDEX($AN$2:$BO$1001,MATCH(ROWS($AG$2:AG939),$AG$2:$AG$1001,0),MATCH(COLUMNS($AN$1006:BC1006),$AN$1006:$BO$1006,0)), HYPERLINK("#",""), HYPERLINK(CONCATENATE("#Metadata!", ADDRESS(INDEX($AI$2:$AI$1001,MATCH(ROWS($AG$2:AG939),$AG$2:$AG$1001,0),0), INDEX($AN$1004:$BO$1004,1,MATCH(COLUMNS($AN$1006:BC1006),$AN$1006:$BO$1006,0)))),"Fix")))</f>
        <v>0</v>
      </c>
      <c r="R939" s="4">
        <f>IF(OR(INDEX($AH$2:$AH$1001,MATCH(ROWS($AG$2:AG939),$AG$2:$AG$1001,0),1)&gt;=100000,INDEX($AN$1005:$BO$1005,1,MATCH(COLUMNS($AN$1006:BD1006),$AN$1006:$BO$1006,0))&gt;=100000), " ",IF(INDEX($AN$2:$BO$1001,MATCH(ROWS($AG$2:AG939),$AG$2:$AG$1001,0),MATCH(COLUMNS($AN$1006:BD1006),$AN$1006:$BO$1006,0)), HYPERLINK("#",""), HYPERLINK(CONCATENATE("#Metadata!", ADDRESS(INDEX($AI$2:$AI$1001,MATCH(ROWS($AG$2:AG939),$AG$2:$AG$1001,0),0), INDEX($AN$1004:$BO$1004,1,MATCH(COLUMNS($AN$1006:BD1006),$AN$1006:$BO$1006,0)))),"Fix")))</f>
        <v>0</v>
      </c>
      <c r="S939" s="4">
        <f>IF(OR(INDEX($AH$2:$AH$1001,MATCH(ROWS($AG$2:AG939),$AG$2:$AG$1001,0),1)&gt;=100000,INDEX($AN$1005:$BO$1005,1,MATCH(COLUMNS($AN$1006:BE1006),$AN$1006:$BO$1006,0))&gt;=100000), " ",IF(INDEX($AN$2:$BO$1001,MATCH(ROWS($AG$2:AG939),$AG$2:$AG$1001,0),MATCH(COLUMNS($AN$1006:BE1006),$AN$1006:$BO$1006,0)), HYPERLINK("#",""), HYPERLINK(CONCATENATE("#Metadata!", ADDRESS(INDEX($AI$2:$AI$1001,MATCH(ROWS($AG$2:AG939),$AG$2:$AG$1001,0),0), INDEX($AN$1004:$BO$1004,1,MATCH(COLUMNS($AN$1006:BE1006),$AN$1006:$BO$1006,0)))),"Fix")))</f>
        <v>0</v>
      </c>
      <c r="T939" s="4">
        <f>IF(OR(INDEX($AH$2:$AH$1001,MATCH(ROWS($AG$2:AG939),$AG$2:$AG$1001,0),1)&gt;=100000,INDEX($AN$1005:$BO$1005,1,MATCH(COLUMNS($AN$1006:BF1006),$AN$1006:$BO$1006,0))&gt;=100000), " ",IF(INDEX($AN$2:$BO$1001,MATCH(ROWS($AG$2:AG939),$AG$2:$AG$1001,0),MATCH(COLUMNS($AN$1006:BF1006),$AN$1006:$BO$1006,0)), HYPERLINK("#",""), HYPERLINK(CONCATENATE("#Metadata!", ADDRESS(INDEX($AI$2:$AI$1001,MATCH(ROWS($AG$2:AG939),$AG$2:$AG$1001,0),0), INDEX($AN$1004:$BO$1004,1,MATCH(COLUMNS($AN$1006:BF1006),$AN$1006:$BO$1006,0)))),"Fix")))</f>
        <v>0</v>
      </c>
      <c r="U939" s="4">
        <f>IF(OR(INDEX($AH$2:$AH$1001,MATCH(ROWS($AG$2:AG939),$AG$2:$AG$1001,0),1)&gt;=100000,INDEX($AN$1005:$BO$1005,1,MATCH(COLUMNS($AN$1006:BG1006),$AN$1006:$BO$1006,0))&gt;=100000), " ",IF(INDEX($AN$2:$BO$1001,MATCH(ROWS($AG$2:AG939),$AG$2:$AG$1001,0),MATCH(COLUMNS($AN$1006:BG1006),$AN$1006:$BO$1006,0)), HYPERLINK("#",""), HYPERLINK(CONCATENATE("#Metadata!", ADDRESS(INDEX($AI$2:$AI$1001,MATCH(ROWS($AG$2:AG939),$AG$2:$AG$1001,0),0), INDEX($AN$1004:$BO$1004,1,MATCH(COLUMNS($AN$1006:BG1006),$AN$1006:$BO$1006,0)))),"Fix")))</f>
        <v>0</v>
      </c>
      <c r="V939" s="4">
        <f>IF(OR(INDEX($AH$2:$AH$1001,MATCH(ROWS($AG$2:AG939),$AG$2:$AG$1001,0),1)&gt;=100000,INDEX($AN$1005:$BO$1005,1,MATCH(COLUMNS($AN$1006:BH1006),$AN$1006:$BO$1006,0))&gt;=100000), " ",IF(INDEX($AN$2:$BO$1001,MATCH(ROWS($AG$2:AG939),$AG$2:$AG$1001,0),MATCH(COLUMNS($AN$1006:BH1006),$AN$1006:$BO$1006,0)), HYPERLINK("#",""), HYPERLINK(CONCATENATE("#Metadata!", ADDRESS(INDEX($AI$2:$AI$1001,MATCH(ROWS($AG$2:AG939),$AG$2:$AG$1001,0),0), INDEX($AN$1004:$BO$1004,1,MATCH(COLUMNS($AN$1006:BH1006),$AN$1006:$BO$1006,0)))),"Fix")))</f>
        <v>0</v>
      </c>
      <c r="W939" s="4">
        <f>IF(OR(INDEX($AH$2:$AH$1001,MATCH(ROWS($AG$2:AG939),$AG$2:$AG$1001,0),1)&gt;=100000,INDEX($AN$1005:$BO$1005,1,MATCH(COLUMNS($AN$1006:BI1006),$AN$1006:$BO$1006,0))&gt;=100000), " ",IF(INDEX($AN$2:$BO$1001,MATCH(ROWS($AG$2:AG939),$AG$2:$AG$1001,0),MATCH(COLUMNS($AN$1006:BI1006),$AN$1006:$BO$1006,0)), HYPERLINK("#",""), HYPERLINK(CONCATENATE("#Metadata!", ADDRESS(INDEX($AI$2:$AI$1001,MATCH(ROWS($AG$2:AG939),$AG$2:$AG$1001,0),0), INDEX($AN$1004:$BO$1004,1,MATCH(COLUMNS($AN$1006:BI1006),$AN$1006:$BO$1006,0)))),"Fix")))</f>
        <v>0</v>
      </c>
      <c r="X939" s="4">
        <f>IF(OR(INDEX($AH$2:$AH$1001,MATCH(ROWS($AG$2:AG939),$AG$2:$AG$1001,0),1)&gt;=100000,INDEX($AN$1005:$BO$1005,1,MATCH(COLUMNS($AN$1006:BJ1006),$AN$1006:$BO$1006,0))&gt;=100000), " ",IF(INDEX($AN$2:$BO$1001,MATCH(ROWS($AG$2:AG939),$AG$2:$AG$1001,0),MATCH(COLUMNS($AN$1006:BJ1006),$AN$1006:$BO$1006,0)), HYPERLINK("#",""), HYPERLINK(CONCATENATE("#Metadata!", ADDRESS(INDEX($AI$2:$AI$1001,MATCH(ROWS($AG$2:AG939),$AG$2:$AG$1001,0),0), INDEX($AN$1004:$BO$1004,1,MATCH(COLUMNS($AN$1006:BJ1006),$AN$1006:$BO$1006,0)))),"Fix")))</f>
        <v>0</v>
      </c>
      <c r="Y939" s="4">
        <f>IF(OR(INDEX($AH$2:$AH$1001,MATCH(ROWS($AG$2:AG939),$AG$2:$AG$1001,0),1)&gt;=100000,INDEX($AN$1005:$BO$1005,1,MATCH(COLUMNS($AN$1006:BK1006),$AN$1006:$BO$1006,0))&gt;=100000), " ",IF(INDEX($AN$2:$BO$1001,MATCH(ROWS($AG$2:AG939),$AG$2:$AG$1001,0),MATCH(COLUMNS($AN$1006:BK1006),$AN$1006:$BO$1006,0)), HYPERLINK("#",""), HYPERLINK(CONCATENATE("#Metadata!", ADDRESS(INDEX($AI$2:$AI$1001,MATCH(ROWS($AG$2:AG939),$AG$2:$AG$1001,0),0), INDEX($AN$1004:$BO$1004,1,MATCH(COLUMNS($AN$1006:BK1006),$AN$1006:$BO$1006,0)))),"Fix")))</f>
        <v>0</v>
      </c>
      <c r="Z939" s="4">
        <f>IF(OR(INDEX($AH$2:$AH$1001,MATCH(ROWS($AG$2:AG939),$AG$2:$AG$1001,0),1)&gt;=100000,INDEX($AN$1005:$BO$1005,1,MATCH(COLUMNS($AN$1006:BL1006),$AN$1006:$BO$1006,0))&gt;=100000), " ",IF(INDEX($AN$2:$BO$1001,MATCH(ROWS($AG$2:AG939),$AG$2:$AG$1001,0),MATCH(COLUMNS($AN$1006:BL1006),$AN$1006:$BO$1006,0)), HYPERLINK("#",""), HYPERLINK(CONCATENATE("#Metadata!", ADDRESS(INDEX($AI$2:$AI$1001,MATCH(ROWS($AG$2:AG939),$AG$2:$AG$1001,0),0), INDEX($AN$1004:$BO$1004,1,MATCH(COLUMNS($AN$1006:BL1006),$AN$1006:$BO$1006,0)))),"Fix")))</f>
        <v>0</v>
      </c>
      <c r="AA939" s="4">
        <f>IF(OR(INDEX($AH$2:$AH$1001,MATCH(ROWS($AG$2:AG939),$AG$2:$AG$1001,0),1)&gt;=100000,INDEX($AN$1005:$BO$1005,1,MATCH(COLUMNS($AN$1006:BM1006),$AN$1006:$BO$1006,0))&gt;=100000), " ",IF(INDEX($AN$2:$BO$1001,MATCH(ROWS($AG$2:AG939),$AG$2:$AG$1001,0),MATCH(COLUMNS($AN$1006:BM1006),$AN$1006:$BO$1006,0)), HYPERLINK("#",""), HYPERLINK(CONCATENATE("#Metadata!", ADDRESS(INDEX($AI$2:$AI$1001,MATCH(ROWS($AG$2:AG939),$AG$2:$AG$1001,0),0), INDEX($AN$1004:$BO$1004,1,MATCH(COLUMNS($AN$1006:BM1006),$AN$1006:$BO$1006,0)))),"Fix")))</f>
        <v>0</v>
      </c>
      <c r="AB939" s="4">
        <f>IF(OR(INDEX($AH$2:$AH$1001,MATCH(ROWS($AG$2:AG939),$AG$2:$AG$1001,0),1)&gt;=100000,INDEX($AN$1005:$BO$1005,1,MATCH(COLUMNS($AN$1006:BN1006),$AN$1006:$BO$1006,0))&gt;=100000), " ",IF(INDEX($AN$2:$BO$1001,MATCH(ROWS($AG$2:AG939),$AG$2:$AG$1001,0),MATCH(COLUMNS($AN$1006:BN1006),$AN$1006:$BO$1006,0)), HYPERLINK("#",""), HYPERLINK(CONCATENATE("#Metadata!", ADDRESS(INDEX($AI$2:$AI$1001,MATCH(ROWS($AG$2:AG939),$AG$2:$AG$1001,0),0), INDEX($AN$1004:$BO$1004,1,MATCH(COLUMNS($AN$1006:BN1006),$AN$1006:$BO$1006,0)))),"Fix")))</f>
        <v>0</v>
      </c>
      <c r="AC939" s="4">
        <f>IF(OR(INDEX($AH$2:$AH$1001,MATCH(ROWS($AG$2:AG939),$AG$2:$AG$1001,0),1)&gt;=100000,INDEX($AN$1005:$BO$1005,1,MATCH(COLUMNS($AN$1006:BO1006),$AN$1006:$BO$1006,0))&gt;=100000), " ",IF(INDEX($AN$2:$BO$1001,MATCH(ROWS($AG$2:AG939),$AG$2:$AG$1001,0),MATCH(COLUMNS($AN$1006:BO1006),$AN$1006:$BO$1006,0)), HYPERLINK("#",""), HYPERLINK(CONCATENATE("#Metadata!", ADDRESS(INDEX($AI$2:$AI$1001,MATCH(ROWS($AG$2:AG939),$AG$2:$AG$1001,0),0), INDEX($AN$1004:$BO$1004,1,MATCH(COLUMNS($AN$1006:BO1006),$AN$1006:$BO$1006,0)))),"Fix")))</f>
        <v>0</v>
      </c>
      <c r="AG939">
        <v>0</v>
      </c>
      <c r="AH939">
        <v>0</v>
      </c>
      <c r="AI939">
        <v>0</v>
      </c>
      <c r="AJ939">
        <f>IF(AK939,TRUE,AND(AN939:BO939))</f>
        <v>0</v>
      </c>
      <c r="AK939">
        <f>COUNTBLANK(Metadata!B939:AC939)=COLUMNS(Metadata!B939:AC939)</f>
        <v>0</v>
      </c>
      <c r="AL939">
        <v>0</v>
      </c>
      <c r="AN939">
        <f>AND(IF(Metadata!B939="",FALSE,TRUE),COUNTIF(Metadata!B:B, Metadata!B939) = 1,NOT(ISERROR(SUMPRODUCT(SEARCH(MID(Metadata!B939,ROW(INDIRECT("1:"&amp;LEN(Metadata!B939))), 1),"0123456789abcdefghijklmnopqrstuvwxyzABCDEFGHIJKLMNOPQRSTUVWXYZ.")))))</f>
        <v>0</v>
      </c>
      <c r="AO939">
        <f>IF(Metadata!C939="",FALSE,TRUE)</f>
        <v>0</v>
      </c>
      <c r="AP939">
        <f>IF(Metadata!D939="",FALSE,TRUE)</f>
        <v>0</v>
      </c>
      <c r="AQ939">
        <f>OR(AND(IF(Metadata!E939="",FALSE,TRUE),OR(exact(Metadata!E939,"not collected"),exact(Metadata!E939,"not provided"),exact(Metadata!E939,"restricted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R939">
        <f>IF(Metadata!F939="",FALSE,TRUE)</f>
        <v>0</v>
      </c>
      <c r="AS939">
        <f>OR(AND(IF(Metadata!G939="",FALSE,TRUE),OR(exact(Metadata!G939,"not collected"),exact(Metadata!G939,"not provided"))),AND(IF(Metadata!G939="",FALSE,TRUE),OR(exact(Metadata!G939,"TRUE"),exact(Metadata!G939,"FALSE"))))</f>
        <v>0</v>
      </c>
      <c r="AT939">
        <f>OR(AND(IF(Metadata!H939="",FALSE,TRUE),OR(exact(Metadata!H939,"not collected"),exact(Metadata!H939,"not provided"),exact(Metadata!H939,"restricted access"))),AND(IF(Metadata!H939="",FALSE,ISNUMBER(VALUE(Metadata!H939))),Metadata!H939&gt;=-413.0))</f>
        <v>0</v>
      </c>
      <c r="AU939">
        <f>AND(IF(Metadata!I939="",FALSE,TRUE),exact(Metadata!I939,"meters"))</f>
        <v>0</v>
      </c>
      <c r="AV939">
        <f>AND(IF(Metadata!J939="",FALSE,TRUE),OR(exact(Metadata!J939,"Host-associated"),exact(Metadata!J939,"Free-living")))</f>
        <v>0</v>
      </c>
      <c r="AW939">
        <f>AND(IF(Metadata!K939="",FALSE,TRUE),OR(exact(Metadata!K939,"Animal"),exact(Metadata!K939,"Fungus"),exact(Metadata!K939,"Plant"),exact(Metadata!K939,"Saline"),exact(Metadata!K939,"Non-saline")))</f>
        <v>0</v>
      </c>
      <c r="AX939">
        <f>AND(IF(Metadata!L939="",FALSE,TRUE),OR(exact(Metadata!L939,"Plant secretion"),exact(Metadata!L939,"Plant rhizosphere"),exact(Metadata!L939,"Plant surface"),exact(Metadata!L939,"Plant corpus"),exact(Metadata!L939,"Fungus surface"),exact(Metadata!L939,"Fungus corpus"),exact(Metadata!L939,"Animal surface"),exact(Metadata!L939,"Animal proximal gut"),exact(Metadata!L939,"Animal corpus"),exact(Metadata!L939,"Animal distal gut"),exact(Metadata!L939,"Animal secretion"),exact(Metadata!L939,"Sub-surface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Y939">
        <f>IF(Metadata!M939="",FALSE,TRUE)</f>
        <v>0</v>
      </c>
      <c r="AZ939">
        <f>IF(Metadata!N939="",FALSE,TRUE)</f>
        <v>0</v>
      </c>
      <c r="BA939">
        <f>IF(Metadata!O939="",FALSE,TRUE)</f>
        <v>0</v>
      </c>
      <c r="BB939">
        <f>OR(AND(IF(Metadata!P939="",FALSE,TRUE),OR(exact(Metadata!P939,"not collected"),exact(Metadata!P939,"not provided"),exact(Metadata!P939,"restricted access"))),AND(IF(Metadata!P939="",FALSE,TRUE),OR(exact(Metadata!P939,"air"),exact(Metadata!P939,"built environment"),exact(Metadata!P939,"host-associated"),exact(Metadata!P939,"human-associated"),exact(Metadata!P939,"human-skin"),exact(Metadata!P939,"human-oral"),exact(Metadata!P939,"human-gut"),exact(Metadata!P939,"human-vaginal"),exact(Metadata!P939,"microbial mat/biofilm"),exact(Metadata!P939,"misc environment"),exact(Metadata!P939,"plant-associated"),exact(Metadata!P939,"sediment"),exact(Metadata!P939,"soil"),exact(Metadata!P939,"wastewater/sludge"),exact(Metadata!P939,"water"))))</f>
        <v>0</v>
      </c>
      <c r="BC939">
        <f>IF(Metadata!Q939="",FALSE,TRUE)</f>
        <v>0</v>
      </c>
      <c r="BD939">
        <f>IF(Metadata!R939="",FALSE,TRUE)</f>
        <v>0</v>
      </c>
      <c r="BE939">
        <f>OR(AND(IF(Metadata!S939="",FALSE,TRUE),OR(exact(Metadata!S939,"not collected"),exact(Metadata!S939,"not provided"),exact(Metadata!S939,"restricted access"))),AND(IF(Metadata!S939="",FALSE,ISNUMBER(VALUE(Metadata!S939))),Metadata!S939&gt;=-90.00,Metadata!S939&lt;=90.00))</f>
        <v>0</v>
      </c>
      <c r="BF939">
        <f>AND(IF(Metadata!T939="",FALSE,TRUE),exact(Metadata!T939,"Decimal degrees"))</f>
        <v>0</v>
      </c>
      <c r="BG939">
        <f>OR(AND(IF(Metadata!U939="",FALSE,TRUE),OR(exact(Metadata!U939,"not collected"),exact(Metadata!U939,"not provided"),exact(Metadata!U939,"restricted access"))),AND(IF(Metadata!U939="",FALSE,ISNUMBER(VALUE(Metadata!U939))),Metadata!U939&gt;=-180.00,Metadata!U939&lt;=180.00))</f>
        <v>0</v>
      </c>
      <c r="BH939">
        <f>AND(IF(Metadata!V939="",FALSE,TRUE),exact(Metadata!V939,"Decimal degrees"))</f>
        <v>0</v>
      </c>
      <c r="BI939">
        <f>IF(Metadata!W939="",FALSE,TRUE)</f>
        <v>0</v>
      </c>
      <c r="BJ939">
        <f>OR(AND(IF(Metadata!X939="",FALSE,TRUE),OR(exact(Metadata!X939,"not collected"),exact(Metadata!X939,"not provided"),exact(Metadata!X939,"restricted access"))),AND(IF(Metadata!X939="",FALSE,TRUE),OR(exact(Metadata!X939,"TRUE"),exact(Metadata!X939,"FALSE"))))</f>
        <v>0</v>
      </c>
      <c r="BK939">
        <f>AND(IF(Metadata!Y939="",FALSE,TRUE),exact(Metadata!Y939,"other"))</f>
        <v>0</v>
      </c>
      <c r="BL939">
        <f>IF(Metadata!Z939="",FALSE,TRUE)</f>
        <v>0</v>
      </c>
      <c r="BM939">
        <f>OR(AND(IF(Metadata!AA939="",FALSE,TRUE),OR(exact(Metadata!AA939,"not collected"),exact(Metadata!AA939,"not provided"))),AND(IF(Metadata!AA939="",FALSE,IF(ISERROR(INT(Metadata!AA939)),FALSE,INT(Metadata!AA939)=Metadata!AA939)),Metadata!AA939&gt;0))</f>
        <v>0</v>
      </c>
      <c r="BN939">
        <f>AND(IF(Metadata!AB939="",FALSE,TRUE),exact(Metadata!AB939,"Not applicable"))</f>
        <v>0</v>
      </c>
      <c r="BO939">
        <f>IF(Metadata!AC939="",FALSE,TRUE)</f>
        <v>0</v>
      </c>
    </row>
    <row r="940" spans="1:67">
      <c r="A940" s="5">
        <f>IF(B940=" "," ",HYPERLINK(CONCATENATE("#metadata!",ADDRESS(INDEX($AI$2:$AI$1001,MATCH(ROWS($AG$2:AG940),$AG$2:$AG$1001,0),0),1)),INDEX($AL$2:$AL$1001,MATCH(ROWS($AG$2:AG940),$AG$2:$AG$1001,0),0)))</f>
        <v>0</v>
      </c>
      <c r="B940" s="4">
        <f>IF(OR(INDEX($AH$2:$AH$1001,MATCH(ROWS($AG$2:AG940),$AG$2:$AG$1001,0),1)&gt;=100000,INDEX($AN$1005:$BO$1005,1,MATCH(COLUMNS($AN$1006:AN1006),$AN$1006:$BO$1006,0))&gt;=100000), " ",IF(INDEX($AN$2:$BO$1001,MATCH(ROWS($AG$2:AG940),$AG$2:$AG$1001,0),MATCH(COLUMNS($AN$1006:AN1006),$AN$1006:$BO$1006,0)), HYPERLINK("#",""), HYPERLINK(CONCATENATE("#Metadata!", ADDRESS(INDEX($AI$2:$AI$1001,MATCH(ROWS($AG$2:AG940),$AG$2:$AG$1001,0),0), INDEX($AN$1004:$BO$1004,1,MATCH(COLUMNS($AN$1006:AN1006),$AN$1006:$BO$1006,0)))),"Fix")))</f>
        <v>0</v>
      </c>
      <c r="C940" s="4">
        <f>IF(OR(INDEX($AH$2:$AH$1001,MATCH(ROWS($AG$2:AG940),$AG$2:$AG$1001,0),1)&gt;=100000,INDEX($AN$1005:$BO$1005,1,MATCH(COLUMNS($AN$1006:AO1006),$AN$1006:$BO$1006,0))&gt;=100000), " ",IF(INDEX($AN$2:$BO$1001,MATCH(ROWS($AG$2:AG940),$AG$2:$AG$1001,0),MATCH(COLUMNS($AN$1006:AO1006),$AN$1006:$BO$1006,0)), HYPERLINK("#",""), HYPERLINK(CONCATENATE("#Metadata!", ADDRESS(INDEX($AI$2:$AI$1001,MATCH(ROWS($AG$2:AG940),$AG$2:$AG$1001,0),0), INDEX($AN$1004:$BO$1004,1,MATCH(COLUMNS($AN$1006:AO1006),$AN$1006:$BO$1006,0)))),"Fix")))</f>
        <v>0</v>
      </c>
      <c r="D940" s="4">
        <f>IF(OR(INDEX($AH$2:$AH$1001,MATCH(ROWS($AG$2:AG940),$AG$2:$AG$1001,0),1)&gt;=100000,INDEX($AN$1005:$BO$1005,1,MATCH(COLUMNS($AN$1006:AP1006),$AN$1006:$BO$1006,0))&gt;=100000), " ",IF(INDEX($AN$2:$BO$1001,MATCH(ROWS($AG$2:AG940),$AG$2:$AG$1001,0),MATCH(COLUMNS($AN$1006:AP1006),$AN$1006:$BO$1006,0)), HYPERLINK("#",""), HYPERLINK(CONCATENATE("#Metadata!", ADDRESS(INDEX($AI$2:$AI$1001,MATCH(ROWS($AG$2:AG940),$AG$2:$AG$1001,0),0), INDEX($AN$1004:$BO$1004,1,MATCH(COLUMNS($AN$1006:AP1006),$AN$1006:$BO$1006,0)))),"Fix")))</f>
        <v>0</v>
      </c>
      <c r="E940" s="4">
        <f>IF(OR(INDEX($AH$2:$AH$1001,MATCH(ROWS($AG$2:AG940),$AG$2:$AG$1001,0),1)&gt;=100000,INDEX($AN$1005:$BO$1005,1,MATCH(COLUMNS($AN$1006:AQ1006),$AN$1006:$BO$1006,0))&gt;=100000), " ",IF(INDEX($AN$2:$BO$1001,MATCH(ROWS($AG$2:AG940),$AG$2:$AG$1001,0),MATCH(COLUMNS($AN$1006:AQ1006),$AN$1006:$BO$1006,0)), HYPERLINK("#",""), HYPERLINK(CONCATENATE("#Metadata!", ADDRESS(INDEX($AI$2:$AI$1001,MATCH(ROWS($AG$2:AG940),$AG$2:$AG$1001,0),0), INDEX($AN$1004:$BO$1004,1,MATCH(COLUMNS($AN$1006:AQ1006),$AN$1006:$BO$1006,0)))),"Fix")))</f>
        <v>0</v>
      </c>
      <c r="F940" s="4">
        <f>IF(OR(INDEX($AH$2:$AH$1001,MATCH(ROWS($AG$2:AG940),$AG$2:$AG$1001,0),1)&gt;=100000,INDEX($AN$1005:$BO$1005,1,MATCH(COLUMNS($AN$1006:AR1006),$AN$1006:$BO$1006,0))&gt;=100000), " ",IF(INDEX($AN$2:$BO$1001,MATCH(ROWS($AG$2:AG940),$AG$2:$AG$1001,0),MATCH(COLUMNS($AN$1006:AR1006),$AN$1006:$BO$1006,0)), HYPERLINK("#",""), HYPERLINK(CONCATENATE("#Metadata!", ADDRESS(INDEX($AI$2:$AI$1001,MATCH(ROWS($AG$2:AG940),$AG$2:$AG$1001,0),0), INDEX($AN$1004:$BO$1004,1,MATCH(COLUMNS($AN$1006:AR1006),$AN$1006:$BO$1006,0)))),"Fix")))</f>
        <v>0</v>
      </c>
      <c r="G940" s="4">
        <f>IF(OR(INDEX($AH$2:$AH$1001,MATCH(ROWS($AG$2:AG940),$AG$2:$AG$1001,0),1)&gt;=100000,INDEX($AN$1005:$BO$1005,1,MATCH(COLUMNS($AN$1006:AS1006),$AN$1006:$BO$1006,0))&gt;=100000), " ",IF(INDEX($AN$2:$BO$1001,MATCH(ROWS($AG$2:AG940),$AG$2:$AG$1001,0),MATCH(COLUMNS($AN$1006:AS1006),$AN$1006:$BO$1006,0)), HYPERLINK("#",""), HYPERLINK(CONCATENATE("#Metadata!", ADDRESS(INDEX($AI$2:$AI$1001,MATCH(ROWS($AG$2:AG940),$AG$2:$AG$1001,0),0), INDEX($AN$1004:$BO$1004,1,MATCH(COLUMNS($AN$1006:AS1006),$AN$1006:$BO$1006,0)))),"Fix")))</f>
        <v>0</v>
      </c>
      <c r="H940" s="4">
        <f>IF(OR(INDEX($AH$2:$AH$1001,MATCH(ROWS($AG$2:AG940),$AG$2:$AG$1001,0),1)&gt;=100000,INDEX($AN$1005:$BO$1005,1,MATCH(COLUMNS($AN$1006:AT1006),$AN$1006:$BO$1006,0))&gt;=100000), " ",IF(INDEX($AN$2:$BO$1001,MATCH(ROWS($AG$2:AG940),$AG$2:$AG$1001,0),MATCH(COLUMNS($AN$1006:AT1006),$AN$1006:$BO$1006,0)), HYPERLINK("#",""), HYPERLINK(CONCATENATE("#Metadata!", ADDRESS(INDEX($AI$2:$AI$1001,MATCH(ROWS($AG$2:AG940),$AG$2:$AG$1001,0),0), INDEX($AN$1004:$BO$1004,1,MATCH(COLUMNS($AN$1006:AT1006),$AN$1006:$BO$1006,0)))),"Fix")))</f>
        <v>0</v>
      </c>
      <c r="I940" s="4">
        <f>IF(OR(INDEX($AH$2:$AH$1001,MATCH(ROWS($AG$2:AG940),$AG$2:$AG$1001,0),1)&gt;=100000,INDEX($AN$1005:$BO$1005,1,MATCH(COLUMNS($AN$1006:AU1006),$AN$1006:$BO$1006,0))&gt;=100000), " ",IF(INDEX($AN$2:$BO$1001,MATCH(ROWS($AG$2:AG940),$AG$2:$AG$1001,0),MATCH(COLUMNS($AN$1006:AU1006),$AN$1006:$BO$1006,0)), HYPERLINK("#",""), HYPERLINK(CONCATENATE("#Metadata!", ADDRESS(INDEX($AI$2:$AI$1001,MATCH(ROWS($AG$2:AG940),$AG$2:$AG$1001,0),0), INDEX($AN$1004:$BO$1004,1,MATCH(COLUMNS($AN$1006:AU1006),$AN$1006:$BO$1006,0)))),"Fix")))</f>
        <v>0</v>
      </c>
      <c r="J940" s="4">
        <f>IF(OR(INDEX($AH$2:$AH$1001,MATCH(ROWS($AG$2:AG940),$AG$2:$AG$1001,0),1)&gt;=100000,INDEX($AN$1005:$BO$1005,1,MATCH(COLUMNS($AN$1006:AV1006),$AN$1006:$BO$1006,0))&gt;=100000), " ",IF(INDEX($AN$2:$BO$1001,MATCH(ROWS($AG$2:AG940),$AG$2:$AG$1001,0),MATCH(COLUMNS($AN$1006:AV1006),$AN$1006:$BO$1006,0)), HYPERLINK("#",""), HYPERLINK(CONCATENATE("#Metadata!", ADDRESS(INDEX($AI$2:$AI$1001,MATCH(ROWS($AG$2:AG940),$AG$2:$AG$1001,0),0), INDEX($AN$1004:$BO$1004,1,MATCH(COLUMNS($AN$1006:AV1006),$AN$1006:$BO$1006,0)))),"Fix")))</f>
        <v>0</v>
      </c>
      <c r="K940" s="4">
        <f>IF(OR(INDEX($AH$2:$AH$1001,MATCH(ROWS($AG$2:AG940),$AG$2:$AG$1001,0),1)&gt;=100000,INDEX($AN$1005:$BO$1005,1,MATCH(COLUMNS($AN$1006:AW1006),$AN$1006:$BO$1006,0))&gt;=100000), " ",IF(INDEX($AN$2:$BO$1001,MATCH(ROWS($AG$2:AG940),$AG$2:$AG$1001,0),MATCH(COLUMNS($AN$1006:AW1006),$AN$1006:$BO$1006,0)), HYPERLINK("#",""), HYPERLINK(CONCATENATE("#Metadata!", ADDRESS(INDEX($AI$2:$AI$1001,MATCH(ROWS($AG$2:AG940),$AG$2:$AG$1001,0),0), INDEX($AN$1004:$BO$1004,1,MATCH(COLUMNS($AN$1006:AW1006),$AN$1006:$BO$1006,0)))),"Fix")))</f>
        <v>0</v>
      </c>
      <c r="L940" s="4">
        <f>IF(OR(INDEX($AH$2:$AH$1001,MATCH(ROWS($AG$2:AG940),$AG$2:$AG$1001,0),1)&gt;=100000,INDEX($AN$1005:$BO$1005,1,MATCH(COLUMNS($AN$1006:AX1006),$AN$1006:$BO$1006,0))&gt;=100000), " ",IF(INDEX($AN$2:$BO$1001,MATCH(ROWS($AG$2:AG940),$AG$2:$AG$1001,0),MATCH(COLUMNS($AN$1006:AX1006),$AN$1006:$BO$1006,0)), HYPERLINK("#",""), HYPERLINK(CONCATENATE("#Metadata!", ADDRESS(INDEX($AI$2:$AI$1001,MATCH(ROWS($AG$2:AG940),$AG$2:$AG$1001,0),0), INDEX($AN$1004:$BO$1004,1,MATCH(COLUMNS($AN$1006:AX1006),$AN$1006:$BO$1006,0)))),"Fix")))</f>
        <v>0</v>
      </c>
      <c r="M940" s="4">
        <f>IF(OR(INDEX($AH$2:$AH$1001,MATCH(ROWS($AG$2:AG940),$AG$2:$AG$1001,0),1)&gt;=100000,INDEX($AN$1005:$BO$1005,1,MATCH(COLUMNS($AN$1006:AY1006),$AN$1006:$BO$1006,0))&gt;=100000), " ",IF(INDEX($AN$2:$BO$1001,MATCH(ROWS($AG$2:AG940),$AG$2:$AG$1001,0),MATCH(COLUMNS($AN$1006:AY1006),$AN$1006:$BO$1006,0)), HYPERLINK("#",""), HYPERLINK(CONCATENATE("#Metadata!", ADDRESS(INDEX($AI$2:$AI$1001,MATCH(ROWS($AG$2:AG940),$AG$2:$AG$1001,0),0), INDEX($AN$1004:$BO$1004,1,MATCH(COLUMNS($AN$1006:AY1006),$AN$1006:$BO$1006,0)))),"Fix")))</f>
        <v>0</v>
      </c>
      <c r="N940" s="4">
        <f>IF(OR(INDEX($AH$2:$AH$1001,MATCH(ROWS($AG$2:AG940),$AG$2:$AG$1001,0),1)&gt;=100000,INDEX($AN$1005:$BO$1005,1,MATCH(COLUMNS($AN$1006:AZ1006),$AN$1006:$BO$1006,0))&gt;=100000), " ",IF(INDEX($AN$2:$BO$1001,MATCH(ROWS($AG$2:AG940),$AG$2:$AG$1001,0),MATCH(COLUMNS($AN$1006:AZ1006),$AN$1006:$BO$1006,0)), HYPERLINK("#",""), HYPERLINK(CONCATENATE("#Metadata!", ADDRESS(INDEX($AI$2:$AI$1001,MATCH(ROWS($AG$2:AG940),$AG$2:$AG$1001,0),0), INDEX($AN$1004:$BO$1004,1,MATCH(COLUMNS($AN$1006:AZ1006),$AN$1006:$BO$1006,0)))),"Fix")))</f>
        <v>0</v>
      </c>
      <c r="O940" s="4">
        <f>IF(OR(INDEX($AH$2:$AH$1001,MATCH(ROWS($AG$2:AG940),$AG$2:$AG$1001,0),1)&gt;=100000,INDEX($AN$1005:$BO$1005,1,MATCH(COLUMNS($AN$1006:BA1006),$AN$1006:$BO$1006,0))&gt;=100000), " ",IF(INDEX($AN$2:$BO$1001,MATCH(ROWS($AG$2:AG940),$AG$2:$AG$1001,0),MATCH(COLUMNS($AN$1006:BA1006),$AN$1006:$BO$1006,0)), HYPERLINK("#",""), HYPERLINK(CONCATENATE("#Metadata!", ADDRESS(INDEX($AI$2:$AI$1001,MATCH(ROWS($AG$2:AG940),$AG$2:$AG$1001,0),0), INDEX($AN$1004:$BO$1004,1,MATCH(COLUMNS($AN$1006:BA1006),$AN$1006:$BO$1006,0)))),"Fix")))</f>
        <v>0</v>
      </c>
      <c r="P940" s="4">
        <f>IF(OR(INDEX($AH$2:$AH$1001,MATCH(ROWS($AG$2:AG940),$AG$2:$AG$1001,0),1)&gt;=100000,INDEX($AN$1005:$BO$1005,1,MATCH(COLUMNS($AN$1006:BB1006),$AN$1006:$BO$1006,0))&gt;=100000), " ",IF(INDEX($AN$2:$BO$1001,MATCH(ROWS($AG$2:AG940),$AG$2:$AG$1001,0),MATCH(COLUMNS($AN$1006:BB1006),$AN$1006:$BO$1006,0)), HYPERLINK("#",""), HYPERLINK(CONCATENATE("#Metadata!", ADDRESS(INDEX($AI$2:$AI$1001,MATCH(ROWS($AG$2:AG940),$AG$2:$AG$1001,0),0), INDEX($AN$1004:$BO$1004,1,MATCH(COLUMNS($AN$1006:BB1006),$AN$1006:$BO$1006,0)))),"Fix")))</f>
        <v>0</v>
      </c>
      <c r="Q940" s="4">
        <f>IF(OR(INDEX($AH$2:$AH$1001,MATCH(ROWS($AG$2:AG940),$AG$2:$AG$1001,0),1)&gt;=100000,INDEX($AN$1005:$BO$1005,1,MATCH(COLUMNS($AN$1006:BC1006),$AN$1006:$BO$1006,0))&gt;=100000), " ",IF(INDEX($AN$2:$BO$1001,MATCH(ROWS($AG$2:AG940),$AG$2:$AG$1001,0),MATCH(COLUMNS($AN$1006:BC1006),$AN$1006:$BO$1006,0)), HYPERLINK("#",""), HYPERLINK(CONCATENATE("#Metadata!", ADDRESS(INDEX($AI$2:$AI$1001,MATCH(ROWS($AG$2:AG940),$AG$2:$AG$1001,0),0), INDEX($AN$1004:$BO$1004,1,MATCH(COLUMNS($AN$1006:BC1006),$AN$1006:$BO$1006,0)))),"Fix")))</f>
        <v>0</v>
      </c>
      <c r="R940" s="4">
        <f>IF(OR(INDEX($AH$2:$AH$1001,MATCH(ROWS($AG$2:AG940),$AG$2:$AG$1001,0),1)&gt;=100000,INDEX($AN$1005:$BO$1005,1,MATCH(COLUMNS($AN$1006:BD1006),$AN$1006:$BO$1006,0))&gt;=100000), " ",IF(INDEX($AN$2:$BO$1001,MATCH(ROWS($AG$2:AG940),$AG$2:$AG$1001,0),MATCH(COLUMNS($AN$1006:BD1006),$AN$1006:$BO$1006,0)), HYPERLINK("#",""), HYPERLINK(CONCATENATE("#Metadata!", ADDRESS(INDEX($AI$2:$AI$1001,MATCH(ROWS($AG$2:AG940),$AG$2:$AG$1001,0),0), INDEX($AN$1004:$BO$1004,1,MATCH(COLUMNS($AN$1006:BD1006),$AN$1006:$BO$1006,0)))),"Fix")))</f>
        <v>0</v>
      </c>
      <c r="S940" s="4">
        <f>IF(OR(INDEX($AH$2:$AH$1001,MATCH(ROWS($AG$2:AG940),$AG$2:$AG$1001,0),1)&gt;=100000,INDEX($AN$1005:$BO$1005,1,MATCH(COLUMNS($AN$1006:BE1006),$AN$1006:$BO$1006,0))&gt;=100000), " ",IF(INDEX($AN$2:$BO$1001,MATCH(ROWS($AG$2:AG940),$AG$2:$AG$1001,0),MATCH(COLUMNS($AN$1006:BE1006),$AN$1006:$BO$1006,0)), HYPERLINK("#",""), HYPERLINK(CONCATENATE("#Metadata!", ADDRESS(INDEX($AI$2:$AI$1001,MATCH(ROWS($AG$2:AG940),$AG$2:$AG$1001,0),0), INDEX($AN$1004:$BO$1004,1,MATCH(COLUMNS($AN$1006:BE1006),$AN$1006:$BO$1006,0)))),"Fix")))</f>
        <v>0</v>
      </c>
      <c r="T940" s="4">
        <f>IF(OR(INDEX($AH$2:$AH$1001,MATCH(ROWS($AG$2:AG940),$AG$2:$AG$1001,0),1)&gt;=100000,INDEX($AN$1005:$BO$1005,1,MATCH(COLUMNS($AN$1006:BF1006),$AN$1006:$BO$1006,0))&gt;=100000), " ",IF(INDEX($AN$2:$BO$1001,MATCH(ROWS($AG$2:AG940),$AG$2:$AG$1001,0),MATCH(COLUMNS($AN$1006:BF1006),$AN$1006:$BO$1006,0)), HYPERLINK("#",""), HYPERLINK(CONCATENATE("#Metadata!", ADDRESS(INDEX($AI$2:$AI$1001,MATCH(ROWS($AG$2:AG940),$AG$2:$AG$1001,0),0), INDEX($AN$1004:$BO$1004,1,MATCH(COLUMNS($AN$1006:BF1006),$AN$1006:$BO$1006,0)))),"Fix")))</f>
        <v>0</v>
      </c>
      <c r="U940" s="4">
        <f>IF(OR(INDEX($AH$2:$AH$1001,MATCH(ROWS($AG$2:AG940),$AG$2:$AG$1001,0),1)&gt;=100000,INDEX($AN$1005:$BO$1005,1,MATCH(COLUMNS($AN$1006:BG1006),$AN$1006:$BO$1006,0))&gt;=100000), " ",IF(INDEX($AN$2:$BO$1001,MATCH(ROWS($AG$2:AG940),$AG$2:$AG$1001,0),MATCH(COLUMNS($AN$1006:BG1006),$AN$1006:$BO$1006,0)), HYPERLINK("#",""), HYPERLINK(CONCATENATE("#Metadata!", ADDRESS(INDEX($AI$2:$AI$1001,MATCH(ROWS($AG$2:AG940),$AG$2:$AG$1001,0),0), INDEX($AN$1004:$BO$1004,1,MATCH(COLUMNS($AN$1006:BG1006),$AN$1006:$BO$1006,0)))),"Fix")))</f>
        <v>0</v>
      </c>
      <c r="V940" s="4">
        <f>IF(OR(INDEX($AH$2:$AH$1001,MATCH(ROWS($AG$2:AG940),$AG$2:$AG$1001,0),1)&gt;=100000,INDEX($AN$1005:$BO$1005,1,MATCH(COLUMNS($AN$1006:BH1006),$AN$1006:$BO$1006,0))&gt;=100000), " ",IF(INDEX($AN$2:$BO$1001,MATCH(ROWS($AG$2:AG940),$AG$2:$AG$1001,0),MATCH(COLUMNS($AN$1006:BH1006),$AN$1006:$BO$1006,0)), HYPERLINK("#",""), HYPERLINK(CONCATENATE("#Metadata!", ADDRESS(INDEX($AI$2:$AI$1001,MATCH(ROWS($AG$2:AG940),$AG$2:$AG$1001,0),0), INDEX($AN$1004:$BO$1004,1,MATCH(COLUMNS($AN$1006:BH1006),$AN$1006:$BO$1006,0)))),"Fix")))</f>
        <v>0</v>
      </c>
      <c r="W940" s="4">
        <f>IF(OR(INDEX($AH$2:$AH$1001,MATCH(ROWS($AG$2:AG940),$AG$2:$AG$1001,0),1)&gt;=100000,INDEX($AN$1005:$BO$1005,1,MATCH(COLUMNS($AN$1006:BI1006),$AN$1006:$BO$1006,0))&gt;=100000), " ",IF(INDEX($AN$2:$BO$1001,MATCH(ROWS($AG$2:AG940),$AG$2:$AG$1001,0),MATCH(COLUMNS($AN$1006:BI1006),$AN$1006:$BO$1006,0)), HYPERLINK("#",""), HYPERLINK(CONCATENATE("#Metadata!", ADDRESS(INDEX($AI$2:$AI$1001,MATCH(ROWS($AG$2:AG940),$AG$2:$AG$1001,0),0), INDEX($AN$1004:$BO$1004,1,MATCH(COLUMNS($AN$1006:BI1006),$AN$1006:$BO$1006,0)))),"Fix")))</f>
        <v>0</v>
      </c>
      <c r="X940" s="4">
        <f>IF(OR(INDEX($AH$2:$AH$1001,MATCH(ROWS($AG$2:AG940),$AG$2:$AG$1001,0),1)&gt;=100000,INDEX($AN$1005:$BO$1005,1,MATCH(COLUMNS($AN$1006:BJ1006),$AN$1006:$BO$1006,0))&gt;=100000), " ",IF(INDEX($AN$2:$BO$1001,MATCH(ROWS($AG$2:AG940),$AG$2:$AG$1001,0),MATCH(COLUMNS($AN$1006:BJ1006),$AN$1006:$BO$1006,0)), HYPERLINK("#",""), HYPERLINK(CONCATENATE("#Metadata!", ADDRESS(INDEX($AI$2:$AI$1001,MATCH(ROWS($AG$2:AG940),$AG$2:$AG$1001,0),0), INDEX($AN$1004:$BO$1004,1,MATCH(COLUMNS($AN$1006:BJ1006),$AN$1006:$BO$1006,0)))),"Fix")))</f>
        <v>0</v>
      </c>
      <c r="Y940" s="4">
        <f>IF(OR(INDEX($AH$2:$AH$1001,MATCH(ROWS($AG$2:AG940),$AG$2:$AG$1001,0),1)&gt;=100000,INDEX($AN$1005:$BO$1005,1,MATCH(COLUMNS($AN$1006:BK1006),$AN$1006:$BO$1006,0))&gt;=100000), " ",IF(INDEX($AN$2:$BO$1001,MATCH(ROWS($AG$2:AG940),$AG$2:$AG$1001,0),MATCH(COLUMNS($AN$1006:BK1006),$AN$1006:$BO$1006,0)), HYPERLINK("#",""), HYPERLINK(CONCATENATE("#Metadata!", ADDRESS(INDEX($AI$2:$AI$1001,MATCH(ROWS($AG$2:AG940),$AG$2:$AG$1001,0),0), INDEX($AN$1004:$BO$1004,1,MATCH(COLUMNS($AN$1006:BK1006),$AN$1006:$BO$1006,0)))),"Fix")))</f>
        <v>0</v>
      </c>
      <c r="Z940" s="4">
        <f>IF(OR(INDEX($AH$2:$AH$1001,MATCH(ROWS($AG$2:AG940),$AG$2:$AG$1001,0),1)&gt;=100000,INDEX($AN$1005:$BO$1005,1,MATCH(COLUMNS($AN$1006:BL1006),$AN$1006:$BO$1006,0))&gt;=100000), " ",IF(INDEX($AN$2:$BO$1001,MATCH(ROWS($AG$2:AG940),$AG$2:$AG$1001,0),MATCH(COLUMNS($AN$1006:BL1006),$AN$1006:$BO$1006,0)), HYPERLINK("#",""), HYPERLINK(CONCATENATE("#Metadata!", ADDRESS(INDEX($AI$2:$AI$1001,MATCH(ROWS($AG$2:AG940),$AG$2:$AG$1001,0),0), INDEX($AN$1004:$BO$1004,1,MATCH(COLUMNS($AN$1006:BL1006),$AN$1006:$BO$1006,0)))),"Fix")))</f>
        <v>0</v>
      </c>
      <c r="AA940" s="4">
        <f>IF(OR(INDEX($AH$2:$AH$1001,MATCH(ROWS($AG$2:AG940),$AG$2:$AG$1001,0),1)&gt;=100000,INDEX($AN$1005:$BO$1005,1,MATCH(COLUMNS($AN$1006:BM1006),$AN$1006:$BO$1006,0))&gt;=100000), " ",IF(INDEX($AN$2:$BO$1001,MATCH(ROWS($AG$2:AG940),$AG$2:$AG$1001,0),MATCH(COLUMNS($AN$1006:BM1006),$AN$1006:$BO$1006,0)), HYPERLINK("#",""), HYPERLINK(CONCATENATE("#Metadata!", ADDRESS(INDEX($AI$2:$AI$1001,MATCH(ROWS($AG$2:AG940),$AG$2:$AG$1001,0),0), INDEX($AN$1004:$BO$1004,1,MATCH(COLUMNS($AN$1006:BM1006),$AN$1006:$BO$1006,0)))),"Fix")))</f>
        <v>0</v>
      </c>
      <c r="AB940" s="4">
        <f>IF(OR(INDEX($AH$2:$AH$1001,MATCH(ROWS($AG$2:AG940),$AG$2:$AG$1001,0),1)&gt;=100000,INDEX($AN$1005:$BO$1005,1,MATCH(COLUMNS($AN$1006:BN1006),$AN$1006:$BO$1006,0))&gt;=100000), " ",IF(INDEX($AN$2:$BO$1001,MATCH(ROWS($AG$2:AG940),$AG$2:$AG$1001,0),MATCH(COLUMNS($AN$1006:BN1006),$AN$1006:$BO$1006,0)), HYPERLINK("#",""), HYPERLINK(CONCATENATE("#Metadata!", ADDRESS(INDEX($AI$2:$AI$1001,MATCH(ROWS($AG$2:AG940),$AG$2:$AG$1001,0),0), INDEX($AN$1004:$BO$1004,1,MATCH(COLUMNS($AN$1006:BN1006),$AN$1006:$BO$1006,0)))),"Fix")))</f>
        <v>0</v>
      </c>
      <c r="AC940" s="4">
        <f>IF(OR(INDEX($AH$2:$AH$1001,MATCH(ROWS($AG$2:AG940),$AG$2:$AG$1001,0),1)&gt;=100000,INDEX($AN$1005:$BO$1005,1,MATCH(COLUMNS($AN$1006:BO1006),$AN$1006:$BO$1006,0))&gt;=100000), " ",IF(INDEX($AN$2:$BO$1001,MATCH(ROWS($AG$2:AG940),$AG$2:$AG$1001,0),MATCH(COLUMNS($AN$1006:BO1006),$AN$1006:$BO$1006,0)), HYPERLINK("#",""), HYPERLINK(CONCATENATE("#Metadata!", ADDRESS(INDEX($AI$2:$AI$1001,MATCH(ROWS($AG$2:AG940),$AG$2:$AG$1001,0),0), INDEX($AN$1004:$BO$1004,1,MATCH(COLUMNS($AN$1006:BO1006),$AN$1006:$BO$1006,0)))),"Fix")))</f>
        <v>0</v>
      </c>
      <c r="AG940">
        <v>0</v>
      </c>
      <c r="AH940">
        <v>0</v>
      </c>
      <c r="AI940">
        <v>0</v>
      </c>
      <c r="AJ940">
        <f>IF(AK940,TRUE,AND(AN940:BO940))</f>
        <v>0</v>
      </c>
      <c r="AK940">
        <f>COUNTBLANK(Metadata!B940:AC940)=COLUMNS(Metadata!B940:AC940)</f>
        <v>0</v>
      </c>
      <c r="AL940">
        <v>0</v>
      </c>
      <c r="AN940">
        <f>AND(IF(Metadata!B940="",FALSE,TRUE),COUNTIF(Metadata!B:B, Metadata!B940) = 1,NOT(ISERROR(SUMPRODUCT(SEARCH(MID(Metadata!B940,ROW(INDIRECT("1:"&amp;LEN(Metadata!B940))), 1),"0123456789abcdefghijklmnopqrstuvwxyzABCDEFGHIJKLMNOPQRSTUVWXYZ.")))))</f>
        <v>0</v>
      </c>
      <c r="AO940">
        <f>IF(Metadata!C940="",FALSE,TRUE)</f>
        <v>0</v>
      </c>
      <c r="AP940">
        <f>IF(Metadata!D940="",FALSE,TRUE)</f>
        <v>0</v>
      </c>
      <c r="AQ940">
        <f>OR(AND(IF(Metadata!E940="",FALSE,TRUE),OR(exact(Metadata!E940,"not collected"),exact(Metadata!E940,"not provided"),exact(Metadata!E940,"restricted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R940">
        <f>IF(Metadata!F940="",FALSE,TRUE)</f>
        <v>0</v>
      </c>
      <c r="AS940">
        <f>OR(AND(IF(Metadata!G940="",FALSE,TRUE),OR(exact(Metadata!G940,"not collected"),exact(Metadata!G940,"not provided"))),AND(IF(Metadata!G940="",FALSE,TRUE),OR(exact(Metadata!G940,"TRUE"),exact(Metadata!G940,"FALSE"))))</f>
        <v>0</v>
      </c>
      <c r="AT940">
        <f>OR(AND(IF(Metadata!H940="",FALSE,TRUE),OR(exact(Metadata!H940,"not collected"),exact(Metadata!H940,"not provided"),exact(Metadata!H940,"restricted access"))),AND(IF(Metadata!H940="",FALSE,ISNUMBER(VALUE(Metadata!H940))),Metadata!H940&gt;=-413.0))</f>
        <v>0</v>
      </c>
      <c r="AU940">
        <f>AND(IF(Metadata!I940="",FALSE,TRUE),exact(Metadata!I940,"meters"))</f>
        <v>0</v>
      </c>
      <c r="AV940">
        <f>AND(IF(Metadata!J940="",FALSE,TRUE),OR(exact(Metadata!J940,"Host-associated"),exact(Metadata!J940,"Free-living")))</f>
        <v>0</v>
      </c>
      <c r="AW940">
        <f>AND(IF(Metadata!K940="",FALSE,TRUE),OR(exact(Metadata!K940,"Animal"),exact(Metadata!K940,"Fungus"),exact(Metadata!K940,"Plant"),exact(Metadata!K940,"Saline"),exact(Metadata!K940,"Non-saline")))</f>
        <v>0</v>
      </c>
      <c r="AX940">
        <f>AND(IF(Metadata!L940="",FALSE,TRUE),OR(exact(Metadata!L940,"Plant secretion"),exact(Metadata!L940,"Plant rhizosphere"),exact(Metadata!L940,"Plant surface"),exact(Metadata!L940,"Plant corpus"),exact(Metadata!L940,"Fungus surface"),exact(Metadata!L940,"Fungus corpus"),exact(Metadata!L940,"Animal surface"),exact(Metadata!L940,"Animal proximal gut"),exact(Metadata!L940,"Animal corpus"),exact(Metadata!L940,"Animal distal gut"),exact(Metadata!L940,"Animal secretion"),exact(Metadata!L940,"Sub-surface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Y940">
        <f>IF(Metadata!M940="",FALSE,TRUE)</f>
        <v>0</v>
      </c>
      <c r="AZ940">
        <f>IF(Metadata!N940="",FALSE,TRUE)</f>
        <v>0</v>
      </c>
      <c r="BA940">
        <f>IF(Metadata!O940="",FALSE,TRUE)</f>
        <v>0</v>
      </c>
      <c r="BB940">
        <f>OR(AND(IF(Metadata!P940="",FALSE,TRUE),OR(exact(Metadata!P940,"not collected"),exact(Metadata!P940,"not provided"),exact(Metadata!P940,"restricted access"))),AND(IF(Metadata!P940="",FALSE,TRUE),OR(exact(Metadata!P940,"air"),exact(Metadata!P940,"built environment"),exact(Metadata!P940,"host-associated"),exact(Metadata!P940,"human-associated"),exact(Metadata!P940,"human-skin"),exact(Metadata!P940,"human-oral"),exact(Metadata!P940,"human-gut"),exact(Metadata!P940,"human-vaginal"),exact(Metadata!P940,"microbial mat/biofilm"),exact(Metadata!P940,"misc environment"),exact(Metadata!P940,"plant-associated"),exact(Metadata!P940,"sediment"),exact(Metadata!P940,"soil"),exact(Metadata!P940,"wastewater/sludge"),exact(Metadata!P940,"water"))))</f>
        <v>0</v>
      </c>
      <c r="BC940">
        <f>IF(Metadata!Q940="",FALSE,TRUE)</f>
        <v>0</v>
      </c>
      <c r="BD940">
        <f>IF(Metadata!R940="",FALSE,TRUE)</f>
        <v>0</v>
      </c>
      <c r="BE940">
        <f>OR(AND(IF(Metadata!S940="",FALSE,TRUE),OR(exact(Metadata!S940,"not collected"),exact(Metadata!S940,"not provided"),exact(Metadata!S940,"restricted access"))),AND(IF(Metadata!S940="",FALSE,ISNUMBER(VALUE(Metadata!S940))),Metadata!S940&gt;=-90.00,Metadata!S940&lt;=90.00))</f>
        <v>0</v>
      </c>
      <c r="BF940">
        <f>AND(IF(Metadata!T940="",FALSE,TRUE),exact(Metadata!T940,"Decimal degrees"))</f>
        <v>0</v>
      </c>
      <c r="BG940">
        <f>OR(AND(IF(Metadata!U940="",FALSE,TRUE),OR(exact(Metadata!U940,"not collected"),exact(Metadata!U940,"not provided"),exact(Metadata!U940,"restricted access"))),AND(IF(Metadata!U940="",FALSE,ISNUMBER(VALUE(Metadata!U940))),Metadata!U940&gt;=-180.00,Metadata!U940&lt;=180.00))</f>
        <v>0</v>
      </c>
      <c r="BH940">
        <f>AND(IF(Metadata!V940="",FALSE,TRUE),exact(Metadata!V940,"Decimal degrees"))</f>
        <v>0</v>
      </c>
      <c r="BI940">
        <f>IF(Metadata!W940="",FALSE,TRUE)</f>
        <v>0</v>
      </c>
      <c r="BJ940">
        <f>OR(AND(IF(Metadata!X940="",FALSE,TRUE),OR(exact(Metadata!X940,"not collected"),exact(Metadata!X940,"not provided"),exact(Metadata!X940,"restricted access"))),AND(IF(Metadata!X940="",FALSE,TRUE),OR(exact(Metadata!X940,"TRUE"),exact(Metadata!X940,"FALSE"))))</f>
        <v>0</v>
      </c>
      <c r="BK940">
        <f>AND(IF(Metadata!Y940="",FALSE,TRUE),exact(Metadata!Y940,"other"))</f>
        <v>0</v>
      </c>
      <c r="BL940">
        <f>IF(Metadata!Z940="",FALSE,TRUE)</f>
        <v>0</v>
      </c>
      <c r="BM940">
        <f>OR(AND(IF(Metadata!AA940="",FALSE,TRUE),OR(exact(Metadata!AA940,"not collected"),exact(Metadata!AA940,"not provided"))),AND(IF(Metadata!AA940="",FALSE,IF(ISERROR(INT(Metadata!AA940)),FALSE,INT(Metadata!AA940)=Metadata!AA940)),Metadata!AA940&gt;0))</f>
        <v>0</v>
      </c>
      <c r="BN940">
        <f>AND(IF(Metadata!AB940="",FALSE,TRUE),exact(Metadata!AB940,"Not applicable"))</f>
        <v>0</v>
      </c>
      <c r="BO940">
        <f>IF(Metadata!AC940="",FALSE,TRUE)</f>
        <v>0</v>
      </c>
    </row>
    <row r="941" spans="1:67">
      <c r="A941" s="5">
        <f>IF(B941=" "," ",HYPERLINK(CONCATENATE("#metadata!",ADDRESS(INDEX($AI$2:$AI$1001,MATCH(ROWS($AG$2:AG941),$AG$2:$AG$1001,0),0),1)),INDEX($AL$2:$AL$1001,MATCH(ROWS($AG$2:AG941),$AG$2:$AG$1001,0),0)))</f>
        <v>0</v>
      </c>
      <c r="B941" s="4">
        <f>IF(OR(INDEX($AH$2:$AH$1001,MATCH(ROWS($AG$2:AG941),$AG$2:$AG$1001,0),1)&gt;=100000,INDEX($AN$1005:$BO$1005,1,MATCH(COLUMNS($AN$1006:AN1006),$AN$1006:$BO$1006,0))&gt;=100000), " ",IF(INDEX($AN$2:$BO$1001,MATCH(ROWS($AG$2:AG941),$AG$2:$AG$1001,0),MATCH(COLUMNS($AN$1006:AN1006),$AN$1006:$BO$1006,0)), HYPERLINK("#",""), HYPERLINK(CONCATENATE("#Metadata!", ADDRESS(INDEX($AI$2:$AI$1001,MATCH(ROWS($AG$2:AG941),$AG$2:$AG$1001,0),0), INDEX($AN$1004:$BO$1004,1,MATCH(COLUMNS($AN$1006:AN1006),$AN$1006:$BO$1006,0)))),"Fix")))</f>
        <v>0</v>
      </c>
      <c r="C941" s="4">
        <f>IF(OR(INDEX($AH$2:$AH$1001,MATCH(ROWS($AG$2:AG941),$AG$2:$AG$1001,0),1)&gt;=100000,INDEX($AN$1005:$BO$1005,1,MATCH(COLUMNS($AN$1006:AO1006),$AN$1006:$BO$1006,0))&gt;=100000), " ",IF(INDEX($AN$2:$BO$1001,MATCH(ROWS($AG$2:AG941),$AG$2:$AG$1001,0),MATCH(COLUMNS($AN$1006:AO1006),$AN$1006:$BO$1006,0)), HYPERLINK("#",""), HYPERLINK(CONCATENATE("#Metadata!", ADDRESS(INDEX($AI$2:$AI$1001,MATCH(ROWS($AG$2:AG941),$AG$2:$AG$1001,0),0), INDEX($AN$1004:$BO$1004,1,MATCH(COLUMNS($AN$1006:AO1006),$AN$1006:$BO$1006,0)))),"Fix")))</f>
        <v>0</v>
      </c>
      <c r="D941" s="4">
        <f>IF(OR(INDEX($AH$2:$AH$1001,MATCH(ROWS($AG$2:AG941),$AG$2:$AG$1001,0),1)&gt;=100000,INDEX($AN$1005:$BO$1005,1,MATCH(COLUMNS($AN$1006:AP1006),$AN$1006:$BO$1006,0))&gt;=100000), " ",IF(INDEX($AN$2:$BO$1001,MATCH(ROWS($AG$2:AG941),$AG$2:$AG$1001,0),MATCH(COLUMNS($AN$1006:AP1006),$AN$1006:$BO$1006,0)), HYPERLINK("#",""), HYPERLINK(CONCATENATE("#Metadata!", ADDRESS(INDEX($AI$2:$AI$1001,MATCH(ROWS($AG$2:AG941),$AG$2:$AG$1001,0),0), INDEX($AN$1004:$BO$1004,1,MATCH(COLUMNS($AN$1006:AP1006),$AN$1006:$BO$1006,0)))),"Fix")))</f>
        <v>0</v>
      </c>
      <c r="E941" s="4">
        <f>IF(OR(INDEX($AH$2:$AH$1001,MATCH(ROWS($AG$2:AG941),$AG$2:$AG$1001,0),1)&gt;=100000,INDEX($AN$1005:$BO$1005,1,MATCH(COLUMNS($AN$1006:AQ1006),$AN$1006:$BO$1006,0))&gt;=100000), " ",IF(INDEX($AN$2:$BO$1001,MATCH(ROWS($AG$2:AG941),$AG$2:$AG$1001,0),MATCH(COLUMNS($AN$1006:AQ1006),$AN$1006:$BO$1006,0)), HYPERLINK("#",""), HYPERLINK(CONCATENATE("#Metadata!", ADDRESS(INDEX($AI$2:$AI$1001,MATCH(ROWS($AG$2:AG941),$AG$2:$AG$1001,0),0), INDEX($AN$1004:$BO$1004,1,MATCH(COLUMNS($AN$1006:AQ1006),$AN$1006:$BO$1006,0)))),"Fix")))</f>
        <v>0</v>
      </c>
      <c r="F941" s="4">
        <f>IF(OR(INDEX($AH$2:$AH$1001,MATCH(ROWS($AG$2:AG941),$AG$2:$AG$1001,0),1)&gt;=100000,INDEX($AN$1005:$BO$1005,1,MATCH(COLUMNS($AN$1006:AR1006),$AN$1006:$BO$1006,0))&gt;=100000), " ",IF(INDEX($AN$2:$BO$1001,MATCH(ROWS($AG$2:AG941),$AG$2:$AG$1001,0),MATCH(COLUMNS($AN$1006:AR1006),$AN$1006:$BO$1006,0)), HYPERLINK("#",""), HYPERLINK(CONCATENATE("#Metadata!", ADDRESS(INDEX($AI$2:$AI$1001,MATCH(ROWS($AG$2:AG941),$AG$2:$AG$1001,0),0), INDEX($AN$1004:$BO$1004,1,MATCH(COLUMNS($AN$1006:AR1006),$AN$1006:$BO$1006,0)))),"Fix")))</f>
        <v>0</v>
      </c>
      <c r="G941" s="4">
        <f>IF(OR(INDEX($AH$2:$AH$1001,MATCH(ROWS($AG$2:AG941),$AG$2:$AG$1001,0),1)&gt;=100000,INDEX($AN$1005:$BO$1005,1,MATCH(COLUMNS($AN$1006:AS1006),$AN$1006:$BO$1006,0))&gt;=100000), " ",IF(INDEX($AN$2:$BO$1001,MATCH(ROWS($AG$2:AG941),$AG$2:$AG$1001,0),MATCH(COLUMNS($AN$1006:AS1006),$AN$1006:$BO$1006,0)), HYPERLINK("#",""), HYPERLINK(CONCATENATE("#Metadata!", ADDRESS(INDEX($AI$2:$AI$1001,MATCH(ROWS($AG$2:AG941),$AG$2:$AG$1001,0),0), INDEX($AN$1004:$BO$1004,1,MATCH(COLUMNS($AN$1006:AS1006),$AN$1006:$BO$1006,0)))),"Fix")))</f>
        <v>0</v>
      </c>
      <c r="H941" s="4">
        <f>IF(OR(INDEX($AH$2:$AH$1001,MATCH(ROWS($AG$2:AG941),$AG$2:$AG$1001,0),1)&gt;=100000,INDEX($AN$1005:$BO$1005,1,MATCH(COLUMNS($AN$1006:AT1006),$AN$1006:$BO$1006,0))&gt;=100000), " ",IF(INDEX($AN$2:$BO$1001,MATCH(ROWS($AG$2:AG941),$AG$2:$AG$1001,0),MATCH(COLUMNS($AN$1006:AT1006),$AN$1006:$BO$1006,0)), HYPERLINK("#",""), HYPERLINK(CONCATENATE("#Metadata!", ADDRESS(INDEX($AI$2:$AI$1001,MATCH(ROWS($AG$2:AG941),$AG$2:$AG$1001,0),0), INDEX($AN$1004:$BO$1004,1,MATCH(COLUMNS($AN$1006:AT1006),$AN$1006:$BO$1006,0)))),"Fix")))</f>
        <v>0</v>
      </c>
      <c r="I941" s="4">
        <f>IF(OR(INDEX($AH$2:$AH$1001,MATCH(ROWS($AG$2:AG941),$AG$2:$AG$1001,0),1)&gt;=100000,INDEX($AN$1005:$BO$1005,1,MATCH(COLUMNS($AN$1006:AU1006),$AN$1006:$BO$1006,0))&gt;=100000), " ",IF(INDEX($AN$2:$BO$1001,MATCH(ROWS($AG$2:AG941),$AG$2:$AG$1001,0),MATCH(COLUMNS($AN$1006:AU1006),$AN$1006:$BO$1006,0)), HYPERLINK("#",""), HYPERLINK(CONCATENATE("#Metadata!", ADDRESS(INDEX($AI$2:$AI$1001,MATCH(ROWS($AG$2:AG941),$AG$2:$AG$1001,0),0), INDEX($AN$1004:$BO$1004,1,MATCH(COLUMNS($AN$1006:AU1006),$AN$1006:$BO$1006,0)))),"Fix")))</f>
        <v>0</v>
      </c>
      <c r="J941" s="4">
        <f>IF(OR(INDEX($AH$2:$AH$1001,MATCH(ROWS($AG$2:AG941),$AG$2:$AG$1001,0),1)&gt;=100000,INDEX($AN$1005:$BO$1005,1,MATCH(COLUMNS($AN$1006:AV1006),$AN$1006:$BO$1006,0))&gt;=100000), " ",IF(INDEX($AN$2:$BO$1001,MATCH(ROWS($AG$2:AG941),$AG$2:$AG$1001,0),MATCH(COLUMNS($AN$1006:AV1006),$AN$1006:$BO$1006,0)), HYPERLINK("#",""), HYPERLINK(CONCATENATE("#Metadata!", ADDRESS(INDEX($AI$2:$AI$1001,MATCH(ROWS($AG$2:AG941),$AG$2:$AG$1001,0),0), INDEX($AN$1004:$BO$1004,1,MATCH(COLUMNS($AN$1006:AV1006),$AN$1006:$BO$1006,0)))),"Fix")))</f>
        <v>0</v>
      </c>
      <c r="K941" s="4">
        <f>IF(OR(INDEX($AH$2:$AH$1001,MATCH(ROWS($AG$2:AG941),$AG$2:$AG$1001,0),1)&gt;=100000,INDEX($AN$1005:$BO$1005,1,MATCH(COLUMNS($AN$1006:AW1006),$AN$1006:$BO$1006,0))&gt;=100000), " ",IF(INDEX($AN$2:$BO$1001,MATCH(ROWS($AG$2:AG941),$AG$2:$AG$1001,0),MATCH(COLUMNS($AN$1006:AW1006),$AN$1006:$BO$1006,0)), HYPERLINK("#",""), HYPERLINK(CONCATENATE("#Metadata!", ADDRESS(INDEX($AI$2:$AI$1001,MATCH(ROWS($AG$2:AG941),$AG$2:$AG$1001,0),0), INDEX($AN$1004:$BO$1004,1,MATCH(COLUMNS($AN$1006:AW1006),$AN$1006:$BO$1006,0)))),"Fix")))</f>
        <v>0</v>
      </c>
      <c r="L941" s="4">
        <f>IF(OR(INDEX($AH$2:$AH$1001,MATCH(ROWS($AG$2:AG941),$AG$2:$AG$1001,0),1)&gt;=100000,INDEX($AN$1005:$BO$1005,1,MATCH(COLUMNS($AN$1006:AX1006),$AN$1006:$BO$1006,0))&gt;=100000), " ",IF(INDEX($AN$2:$BO$1001,MATCH(ROWS($AG$2:AG941),$AG$2:$AG$1001,0),MATCH(COLUMNS($AN$1006:AX1006),$AN$1006:$BO$1006,0)), HYPERLINK("#",""), HYPERLINK(CONCATENATE("#Metadata!", ADDRESS(INDEX($AI$2:$AI$1001,MATCH(ROWS($AG$2:AG941),$AG$2:$AG$1001,0),0), INDEX($AN$1004:$BO$1004,1,MATCH(COLUMNS($AN$1006:AX1006),$AN$1006:$BO$1006,0)))),"Fix")))</f>
        <v>0</v>
      </c>
      <c r="M941" s="4">
        <f>IF(OR(INDEX($AH$2:$AH$1001,MATCH(ROWS($AG$2:AG941),$AG$2:$AG$1001,0),1)&gt;=100000,INDEX($AN$1005:$BO$1005,1,MATCH(COLUMNS($AN$1006:AY1006),$AN$1006:$BO$1006,0))&gt;=100000), " ",IF(INDEX($AN$2:$BO$1001,MATCH(ROWS($AG$2:AG941),$AG$2:$AG$1001,0),MATCH(COLUMNS($AN$1006:AY1006),$AN$1006:$BO$1006,0)), HYPERLINK("#",""), HYPERLINK(CONCATENATE("#Metadata!", ADDRESS(INDEX($AI$2:$AI$1001,MATCH(ROWS($AG$2:AG941),$AG$2:$AG$1001,0),0), INDEX($AN$1004:$BO$1004,1,MATCH(COLUMNS($AN$1006:AY1006),$AN$1006:$BO$1006,0)))),"Fix")))</f>
        <v>0</v>
      </c>
      <c r="N941" s="4">
        <f>IF(OR(INDEX($AH$2:$AH$1001,MATCH(ROWS($AG$2:AG941),$AG$2:$AG$1001,0),1)&gt;=100000,INDEX($AN$1005:$BO$1005,1,MATCH(COLUMNS($AN$1006:AZ1006),$AN$1006:$BO$1006,0))&gt;=100000), " ",IF(INDEX($AN$2:$BO$1001,MATCH(ROWS($AG$2:AG941),$AG$2:$AG$1001,0),MATCH(COLUMNS($AN$1006:AZ1006),$AN$1006:$BO$1006,0)), HYPERLINK("#",""), HYPERLINK(CONCATENATE("#Metadata!", ADDRESS(INDEX($AI$2:$AI$1001,MATCH(ROWS($AG$2:AG941),$AG$2:$AG$1001,0),0), INDEX($AN$1004:$BO$1004,1,MATCH(COLUMNS($AN$1006:AZ1006),$AN$1006:$BO$1006,0)))),"Fix")))</f>
        <v>0</v>
      </c>
      <c r="O941" s="4">
        <f>IF(OR(INDEX($AH$2:$AH$1001,MATCH(ROWS($AG$2:AG941),$AG$2:$AG$1001,0),1)&gt;=100000,INDEX($AN$1005:$BO$1005,1,MATCH(COLUMNS($AN$1006:BA1006),$AN$1006:$BO$1006,0))&gt;=100000), " ",IF(INDEX($AN$2:$BO$1001,MATCH(ROWS($AG$2:AG941),$AG$2:$AG$1001,0),MATCH(COLUMNS($AN$1006:BA1006),$AN$1006:$BO$1006,0)), HYPERLINK("#",""), HYPERLINK(CONCATENATE("#Metadata!", ADDRESS(INDEX($AI$2:$AI$1001,MATCH(ROWS($AG$2:AG941),$AG$2:$AG$1001,0),0), INDEX($AN$1004:$BO$1004,1,MATCH(COLUMNS($AN$1006:BA1006),$AN$1006:$BO$1006,0)))),"Fix")))</f>
        <v>0</v>
      </c>
      <c r="P941" s="4">
        <f>IF(OR(INDEX($AH$2:$AH$1001,MATCH(ROWS($AG$2:AG941),$AG$2:$AG$1001,0),1)&gt;=100000,INDEX($AN$1005:$BO$1005,1,MATCH(COLUMNS($AN$1006:BB1006),$AN$1006:$BO$1006,0))&gt;=100000), " ",IF(INDEX($AN$2:$BO$1001,MATCH(ROWS($AG$2:AG941),$AG$2:$AG$1001,0),MATCH(COLUMNS($AN$1006:BB1006),$AN$1006:$BO$1006,0)), HYPERLINK("#",""), HYPERLINK(CONCATENATE("#Metadata!", ADDRESS(INDEX($AI$2:$AI$1001,MATCH(ROWS($AG$2:AG941),$AG$2:$AG$1001,0),0), INDEX($AN$1004:$BO$1004,1,MATCH(COLUMNS($AN$1006:BB1006),$AN$1006:$BO$1006,0)))),"Fix")))</f>
        <v>0</v>
      </c>
      <c r="Q941" s="4">
        <f>IF(OR(INDEX($AH$2:$AH$1001,MATCH(ROWS($AG$2:AG941),$AG$2:$AG$1001,0),1)&gt;=100000,INDEX($AN$1005:$BO$1005,1,MATCH(COLUMNS($AN$1006:BC1006),$AN$1006:$BO$1006,0))&gt;=100000), " ",IF(INDEX($AN$2:$BO$1001,MATCH(ROWS($AG$2:AG941),$AG$2:$AG$1001,0),MATCH(COLUMNS($AN$1006:BC1006),$AN$1006:$BO$1006,0)), HYPERLINK("#",""), HYPERLINK(CONCATENATE("#Metadata!", ADDRESS(INDEX($AI$2:$AI$1001,MATCH(ROWS($AG$2:AG941),$AG$2:$AG$1001,0),0), INDEX($AN$1004:$BO$1004,1,MATCH(COLUMNS($AN$1006:BC1006),$AN$1006:$BO$1006,0)))),"Fix")))</f>
        <v>0</v>
      </c>
      <c r="R941" s="4">
        <f>IF(OR(INDEX($AH$2:$AH$1001,MATCH(ROWS($AG$2:AG941),$AG$2:$AG$1001,0),1)&gt;=100000,INDEX($AN$1005:$BO$1005,1,MATCH(COLUMNS($AN$1006:BD1006),$AN$1006:$BO$1006,0))&gt;=100000), " ",IF(INDEX($AN$2:$BO$1001,MATCH(ROWS($AG$2:AG941),$AG$2:$AG$1001,0),MATCH(COLUMNS($AN$1006:BD1006),$AN$1006:$BO$1006,0)), HYPERLINK("#",""), HYPERLINK(CONCATENATE("#Metadata!", ADDRESS(INDEX($AI$2:$AI$1001,MATCH(ROWS($AG$2:AG941),$AG$2:$AG$1001,0),0), INDEX($AN$1004:$BO$1004,1,MATCH(COLUMNS($AN$1006:BD1006),$AN$1006:$BO$1006,0)))),"Fix")))</f>
        <v>0</v>
      </c>
      <c r="S941" s="4">
        <f>IF(OR(INDEX($AH$2:$AH$1001,MATCH(ROWS($AG$2:AG941),$AG$2:$AG$1001,0),1)&gt;=100000,INDEX($AN$1005:$BO$1005,1,MATCH(COLUMNS($AN$1006:BE1006),$AN$1006:$BO$1006,0))&gt;=100000), " ",IF(INDEX($AN$2:$BO$1001,MATCH(ROWS($AG$2:AG941),$AG$2:$AG$1001,0),MATCH(COLUMNS($AN$1006:BE1006),$AN$1006:$BO$1006,0)), HYPERLINK("#",""), HYPERLINK(CONCATENATE("#Metadata!", ADDRESS(INDEX($AI$2:$AI$1001,MATCH(ROWS($AG$2:AG941),$AG$2:$AG$1001,0),0), INDEX($AN$1004:$BO$1004,1,MATCH(COLUMNS($AN$1006:BE1006),$AN$1006:$BO$1006,0)))),"Fix")))</f>
        <v>0</v>
      </c>
      <c r="T941" s="4">
        <f>IF(OR(INDEX($AH$2:$AH$1001,MATCH(ROWS($AG$2:AG941),$AG$2:$AG$1001,0),1)&gt;=100000,INDEX($AN$1005:$BO$1005,1,MATCH(COLUMNS($AN$1006:BF1006),$AN$1006:$BO$1006,0))&gt;=100000), " ",IF(INDEX($AN$2:$BO$1001,MATCH(ROWS($AG$2:AG941),$AG$2:$AG$1001,0),MATCH(COLUMNS($AN$1006:BF1006),$AN$1006:$BO$1006,0)), HYPERLINK("#",""), HYPERLINK(CONCATENATE("#Metadata!", ADDRESS(INDEX($AI$2:$AI$1001,MATCH(ROWS($AG$2:AG941),$AG$2:$AG$1001,0),0), INDEX($AN$1004:$BO$1004,1,MATCH(COLUMNS($AN$1006:BF1006),$AN$1006:$BO$1006,0)))),"Fix")))</f>
        <v>0</v>
      </c>
      <c r="U941" s="4">
        <f>IF(OR(INDEX($AH$2:$AH$1001,MATCH(ROWS($AG$2:AG941),$AG$2:$AG$1001,0),1)&gt;=100000,INDEX($AN$1005:$BO$1005,1,MATCH(COLUMNS($AN$1006:BG1006),$AN$1006:$BO$1006,0))&gt;=100000), " ",IF(INDEX($AN$2:$BO$1001,MATCH(ROWS($AG$2:AG941),$AG$2:$AG$1001,0),MATCH(COLUMNS($AN$1006:BG1006),$AN$1006:$BO$1006,0)), HYPERLINK("#",""), HYPERLINK(CONCATENATE("#Metadata!", ADDRESS(INDEX($AI$2:$AI$1001,MATCH(ROWS($AG$2:AG941),$AG$2:$AG$1001,0),0), INDEX($AN$1004:$BO$1004,1,MATCH(COLUMNS($AN$1006:BG1006),$AN$1006:$BO$1006,0)))),"Fix")))</f>
        <v>0</v>
      </c>
      <c r="V941" s="4">
        <f>IF(OR(INDEX($AH$2:$AH$1001,MATCH(ROWS($AG$2:AG941),$AG$2:$AG$1001,0),1)&gt;=100000,INDEX($AN$1005:$BO$1005,1,MATCH(COLUMNS($AN$1006:BH1006),$AN$1006:$BO$1006,0))&gt;=100000), " ",IF(INDEX($AN$2:$BO$1001,MATCH(ROWS($AG$2:AG941),$AG$2:$AG$1001,0),MATCH(COLUMNS($AN$1006:BH1006),$AN$1006:$BO$1006,0)), HYPERLINK("#",""), HYPERLINK(CONCATENATE("#Metadata!", ADDRESS(INDEX($AI$2:$AI$1001,MATCH(ROWS($AG$2:AG941),$AG$2:$AG$1001,0),0), INDEX($AN$1004:$BO$1004,1,MATCH(COLUMNS($AN$1006:BH1006),$AN$1006:$BO$1006,0)))),"Fix")))</f>
        <v>0</v>
      </c>
      <c r="W941" s="4">
        <f>IF(OR(INDEX($AH$2:$AH$1001,MATCH(ROWS($AG$2:AG941),$AG$2:$AG$1001,0),1)&gt;=100000,INDEX($AN$1005:$BO$1005,1,MATCH(COLUMNS($AN$1006:BI1006),$AN$1006:$BO$1006,0))&gt;=100000), " ",IF(INDEX($AN$2:$BO$1001,MATCH(ROWS($AG$2:AG941),$AG$2:$AG$1001,0),MATCH(COLUMNS($AN$1006:BI1006),$AN$1006:$BO$1006,0)), HYPERLINK("#",""), HYPERLINK(CONCATENATE("#Metadata!", ADDRESS(INDEX($AI$2:$AI$1001,MATCH(ROWS($AG$2:AG941),$AG$2:$AG$1001,0),0), INDEX($AN$1004:$BO$1004,1,MATCH(COLUMNS($AN$1006:BI1006),$AN$1006:$BO$1006,0)))),"Fix")))</f>
        <v>0</v>
      </c>
      <c r="X941" s="4">
        <f>IF(OR(INDEX($AH$2:$AH$1001,MATCH(ROWS($AG$2:AG941),$AG$2:$AG$1001,0),1)&gt;=100000,INDEX($AN$1005:$BO$1005,1,MATCH(COLUMNS($AN$1006:BJ1006),$AN$1006:$BO$1006,0))&gt;=100000), " ",IF(INDEX($AN$2:$BO$1001,MATCH(ROWS($AG$2:AG941),$AG$2:$AG$1001,0),MATCH(COLUMNS($AN$1006:BJ1006),$AN$1006:$BO$1006,0)), HYPERLINK("#",""), HYPERLINK(CONCATENATE("#Metadata!", ADDRESS(INDEX($AI$2:$AI$1001,MATCH(ROWS($AG$2:AG941),$AG$2:$AG$1001,0),0), INDEX($AN$1004:$BO$1004,1,MATCH(COLUMNS($AN$1006:BJ1006),$AN$1006:$BO$1006,0)))),"Fix")))</f>
        <v>0</v>
      </c>
      <c r="Y941" s="4">
        <f>IF(OR(INDEX($AH$2:$AH$1001,MATCH(ROWS($AG$2:AG941),$AG$2:$AG$1001,0),1)&gt;=100000,INDEX($AN$1005:$BO$1005,1,MATCH(COLUMNS($AN$1006:BK1006),$AN$1006:$BO$1006,0))&gt;=100000), " ",IF(INDEX($AN$2:$BO$1001,MATCH(ROWS($AG$2:AG941),$AG$2:$AG$1001,0),MATCH(COLUMNS($AN$1006:BK1006),$AN$1006:$BO$1006,0)), HYPERLINK("#",""), HYPERLINK(CONCATENATE("#Metadata!", ADDRESS(INDEX($AI$2:$AI$1001,MATCH(ROWS($AG$2:AG941),$AG$2:$AG$1001,0),0), INDEX($AN$1004:$BO$1004,1,MATCH(COLUMNS($AN$1006:BK1006),$AN$1006:$BO$1006,0)))),"Fix")))</f>
        <v>0</v>
      </c>
      <c r="Z941" s="4">
        <f>IF(OR(INDEX($AH$2:$AH$1001,MATCH(ROWS($AG$2:AG941),$AG$2:$AG$1001,0),1)&gt;=100000,INDEX($AN$1005:$BO$1005,1,MATCH(COLUMNS($AN$1006:BL1006),$AN$1006:$BO$1006,0))&gt;=100000), " ",IF(INDEX($AN$2:$BO$1001,MATCH(ROWS($AG$2:AG941),$AG$2:$AG$1001,0),MATCH(COLUMNS($AN$1006:BL1006),$AN$1006:$BO$1006,0)), HYPERLINK("#",""), HYPERLINK(CONCATENATE("#Metadata!", ADDRESS(INDEX($AI$2:$AI$1001,MATCH(ROWS($AG$2:AG941),$AG$2:$AG$1001,0),0), INDEX($AN$1004:$BO$1004,1,MATCH(COLUMNS($AN$1006:BL1006),$AN$1006:$BO$1006,0)))),"Fix")))</f>
        <v>0</v>
      </c>
      <c r="AA941" s="4">
        <f>IF(OR(INDEX($AH$2:$AH$1001,MATCH(ROWS($AG$2:AG941),$AG$2:$AG$1001,0),1)&gt;=100000,INDEX($AN$1005:$BO$1005,1,MATCH(COLUMNS($AN$1006:BM1006),$AN$1006:$BO$1006,0))&gt;=100000), " ",IF(INDEX($AN$2:$BO$1001,MATCH(ROWS($AG$2:AG941),$AG$2:$AG$1001,0),MATCH(COLUMNS($AN$1006:BM1006),$AN$1006:$BO$1006,0)), HYPERLINK("#",""), HYPERLINK(CONCATENATE("#Metadata!", ADDRESS(INDEX($AI$2:$AI$1001,MATCH(ROWS($AG$2:AG941),$AG$2:$AG$1001,0),0), INDEX($AN$1004:$BO$1004,1,MATCH(COLUMNS($AN$1006:BM1006),$AN$1006:$BO$1006,0)))),"Fix")))</f>
        <v>0</v>
      </c>
      <c r="AB941" s="4">
        <f>IF(OR(INDEX($AH$2:$AH$1001,MATCH(ROWS($AG$2:AG941),$AG$2:$AG$1001,0),1)&gt;=100000,INDEX($AN$1005:$BO$1005,1,MATCH(COLUMNS($AN$1006:BN1006),$AN$1006:$BO$1006,0))&gt;=100000), " ",IF(INDEX($AN$2:$BO$1001,MATCH(ROWS($AG$2:AG941),$AG$2:$AG$1001,0),MATCH(COLUMNS($AN$1006:BN1006),$AN$1006:$BO$1006,0)), HYPERLINK("#",""), HYPERLINK(CONCATENATE("#Metadata!", ADDRESS(INDEX($AI$2:$AI$1001,MATCH(ROWS($AG$2:AG941),$AG$2:$AG$1001,0),0), INDEX($AN$1004:$BO$1004,1,MATCH(COLUMNS($AN$1006:BN1006),$AN$1006:$BO$1006,0)))),"Fix")))</f>
        <v>0</v>
      </c>
      <c r="AC941" s="4">
        <f>IF(OR(INDEX($AH$2:$AH$1001,MATCH(ROWS($AG$2:AG941),$AG$2:$AG$1001,0),1)&gt;=100000,INDEX($AN$1005:$BO$1005,1,MATCH(COLUMNS($AN$1006:BO1006),$AN$1006:$BO$1006,0))&gt;=100000), " ",IF(INDEX($AN$2:$BO$1001,MATCH(ROWS($AG$2:AG941),$AG$2:$AG$1001,0),MATCH(COLUMNS($AN$1006:BO1006),$AN$1006:$BO$1006,0)), HYPERLINK("#",""), HYPERLINK(CONCATENATE("#Metadata!", ADDRESS(INDEX($AI$2:$AI$1001,MATCH(ROWS($AG$2:AG941),$AG$2:$AG$1001,0),0), INDEX($AN$1004:$BO$1004,1,MATCH(COLUMNS($AN$1006:BO1006),$AN$1006:$BO$1006,0)))),"Fix")))</f>
        <v>0</v>
      </c>
      <c r="AG941">
        <v>0</v>
      </c>
      <c r="AH941">
        <v>0</v>
      </c>
      <c r="AI941">
        <v>0</v>
      </c>
      <c r="AJ941">
        <f>IF(AK941,TRUE,AND(AN941:BO941))</f>
        <v>0</v>
      </c>
      <c r="AK941">
        <f>COUNTBLANK(Metadata!B941:AC941)=COLUMNS(Metadata!B941:AC941)</f>
        <v>0</v>
      </c>
      <c r="AL941">
        <v>0</v>
      </c>
      <c r="AN941">
        <f>AND(IF(Metadata!B941="",FALSE,TRUE),COUNTIF(Metadata!B:B, Metadata!B941) = 1,NOT(ISERROR(SUMPRODUCT(SEARCH(MID(Metadata!B941,ROW(INDIRECT("1:"&amp;LEN(Metadata!B941))), 1),"0123456789abcdefghijklmnopqrstuvwxyzABCDEFGHIJKLMNOPQRSTUVWXYZ.")))))</f>
        <v>0</v>
      </c>
      <c r="AO941">
        <f>IF(Metadata!C941="",FALSE,TRUE)</f>
        <v>0</v>
      </c>
      <c r="AP941">
        <f>IF(Metadata!D941="",FALSE,TRUE)</f>
        <v>0</v>
      </c>
      <c r="AQ941">
        <f>OR(AND(IF(Metadata!E941="",FALSE,TRUE),OR(exact(Metadata!E941,"not collected"),exact(Metadata!E941,"not provided"),exact(Metadata!E941,"restricted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R941">
        <f>IF(Metadata!F941="",FALSE,TRUE)</f>
        <v>0</v>
      </c>
      <c r="AS941">
        <f>OR(AND(IF(Metadata!G941="",FALSE,TRUE),OR(exact(Metadata!G941,"not collected"),exact(Metadata!G941,"not provided"))),AND(IF(Metadata!G941="",FALSE,TRUE),OR(exact(Metadata!G941,"TRUE"),exact(Metadata!G941,"FALSE"))))</f>
        <v>0</v>
      </c>
      <c r="AT941">
        <f>OR(AND(IF(Metadata!H941="",FALSE,TRUE),OR(exact(Metadata!H941,"not collected"),exact(Metadata!H941,"not provided"),exact(Metadata!H941,"restricted access"))),AND(IF(Metadata!H941="",FALSE,ISNUMBER(VALUE(Metadata!H941))),Metadata!H941&gt;=-413.0))</f>
        <v>0</v>
      </c>
      <c r="AU941">
        <f>AND(IF(Metadata!I941="",FALSE,TRUE),exact(Metadata!I941,"meters"))</f>
        <v>0</v>
      </c>
      <c r="AV941">
        <f>AND(IF(Metadata!J941="",FALSE,TRUE),OR(exact(Metadata!J941,"Host-associated"),exact(Metadata!J941,"Free-living")))</f>
        <v>0</v>
      </c>
      <c r="AW941">
        <f>AND(IF(Metadata!K941="",FALSE,TRUE),OR(exact(Metadata!K941,"Animal"),exact(Metadata!K941,"Fungus"),exact(Metadata!K941,"Plant"),exact(Metadata!K941,"Saline"),exact(Metadata!K941,"Non-saline")))</f>
        <v>0</v>
      </c>
      <c r="AX941">
        <f>AND(IF(Metadata!L941="",FALSE,TRUE),OR(exact(Metadata!L941,"Plant secretion"),exact(Metadata!L941,"Plant rhizosphere"),exact(Metadata!L941,"Plant surface"),exact(Metadata!L941,"Plant corpus"),exact(Metadata!L941,"Fungus surface"),exact(Metadata!L941,"Fungus corpus"),exact(Metadata!L941,"Animal surface"),exact(Metadata!L941,"Animal proximal gut"),exact(Metadata!L941,"Animal corpus"),exact(Metadata!L941,"Animal distal gut"),exact(Metadata!L941,"Animal secretion"),exact(Metadata!L941,"Sub-surface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Y941">
        <f>IF(Metadata!M941="",FALSE,TRUE)</f>
        <v>0</v>
      </c>
      <c r="AZ941">
        <f>IF(Metadata!N941="",FALSE,TRUE)</f>
        <v>0</v>
      </c>
      <c r="BA941">
        <f>IF(Metadata!O941="",FALSE,TRUE)</f>
        <v>0</v>
      </c>
      <c r="BB941">
        <f>OR(AND(IF(Metadata!P941="",FALSE,TRUE),OR(exact(Metadata!P941,"not collected"),exact(Metadata!P941,"not provided"),exact(Metadata!P941,"restricted access"))),AND(IF(Metadata!P941="",FALSE,TRUE),OR(exact(Metadata!P941,"air"),exact(Metadata!P941,"built environment"),exact(Metadata!P941,"host-associated"),exact(Metadata!P941,"human-associated"),exact(Metadata!P941,"human-skin"),exact(Metadata!P941,"human-oral"),exact(Metadata!P941,"human-gut"),exact(Metadata!P941,"human-vaginal"),exact(Metadata!P941,"microbial mat/biofilm"),exact(Metadata!P941,"misc environment"),exact(Metadata!P941,"plant-associated"),exact(Metadata!P941,"sediment"),exact(Metadata!P941,"soil"),exact(Metadata!P941,"wastewater/sludge"),exact(Metadata!P941,"water"))))</f>
        <v>0</v>
      </c>
      <c r="BC941">
        <f>IF(Metadata!Q941="",FALSE,TRUE)</f>
        <v>0</v>
      </c>
      <c r="BD941">
        <f>IF(Metadata!R941="",FALSE,TRUE)</f>
        <v>0</v>
      </c>
      <c r="BE941">
        <f>OR(AND(IF(Metadata!S941="",FALSE,TRUE),OR(exact(Metadata!S941,"not collected"),exact(Metadata!S941,"not provided"),exact(Metadata!S941,"restricted access"))),AND(IF(Metadata!S941="",FALSE,ISNUMBER(VALUE(Metadata!S941))),Metadata!S941&gt;=-90.00,Metadata!S941&lt;=90.00))</f>
        <v>0</v>
      </c>
      <c r="BF941">
        <f>AND(IF(Metadata!T941="",FALSE,TRUE),exact(Metadata!T941,"Decimal degrees"))</f>
        <v>0</v>
      </c>
      <c r="BG941">
        <f>OR(AND(IF(Metadata!U941="",FALSE,TRUE),OR(exact(Metadata!U941,"not collected"),exact(Metadata!U941,"not provided"),exact(Metadata!U941,"restricted access"))),AND(IF(Metadata!U941="",FALSE,ISNUMBER(VALUE(Metadata!U941))),Metadata!U941&gt;=-180.00,Metadata!U941&lt;=180.00))</f>
        <v>0</v>
      </c>
      <c r="BH941">
        <f>AND(IF(Metadata!V941="",FALSE,TRUE),exact(Metadata!V941,"Decimal degrees"))</f>
        <v>0</v>
      </c>
      <c r="BI941">
        <f>IF(Metadata!W941="",FALSE,TRUE)</f>
        <v>0</v>
      </c>
      <c r="BJ941">
        <f>OR(AND(IF(Metadata!X941="",FALSE,TRUE),OR(exact(Metadata!X941,"not collected"),exact(Metadata!X941,"not provided"),exact(Metadata!X941,"restricted access"))),AND(IF(Metadata!X941="",FALSE,TRUE),OR(exact(Metadata!X941,"TRUE"),exact(Metadata!X941,"FALSE"))))</f>
        <v>0</v>
      </c>
      <c r="BK941">
        <f>AND(IF(Metadata!Y941="",FALSE,TRUE),exact(Metadata!Y941,"other"))</f>
        <v>0</v>
      </c>
      <c r="BL941">
        <f>IF(Metadata!Z941="",FALSE,TRUE)</f>
        <v>0</v>
      </c>
      <c r="BM941">
        <f>OR(AND(IF(Metadata!AA941="",FALSE,TRUE),OR(exact(Metadata!AA941,"not collected"),exact(Metadata!AA941,"not provided"))),AND(IF(Metadata!AA941="",FALSE,IF(ISERROR(INT(Metadata!AA941)),FALSE,INT(Metadata!AA941)=Metadata!AA941)),Metadata!AA941&gt;0))</f>
        <v>0</v>
      </c>
      <c r="BN941">
        <f>AND(IF(Metadata!AB941="",FALSE,TRUE),exact(Metadata!AB941,"Not applicable"))</f>
        <v>0</v>
      </c>
      <c r="BO941">
        <f>IF(Metadata!AC941="",FALSE,TRUE)</f>
        <v>0</v>
      </c>
    </row>
    <row r="942" spans="1:67">
      <c r="A942" s="5">
        <f>IF(B942=" "," ",HYPERLINK(CONCATENATE("#metadata!",ADDRESS(INDEX($AI$2:$AI$1001,MATCH(ROWS($AG$2:AG942),$AG$2:$AG$1001,0),0),1)),INDEX($AL$2:$AL$1001,MATCH(ROWS($AG$2:AG942),$AG$2:$AG$1001,0),0)))</f>
        <v>0</v>
      </c>
      <c r="B942" s="4">
        <f>IF(OR(INDEX($AH$2:$AH$1001,MATCH(ROWS($AG$2:AG942),$AG$2:$AG$1001,0),1)&gt;=100000,INDEX($AN$1005:$BO$1005,1,MATCH(COLUMNS($AN$1006:AN1006),$AN$1006:$BO$1006,0))&gt;=100000), " ",IF(INDEX($AN$2:$BO$1001,MATCH(ROWS($AG$2:AG942),$AG$2:$AG$1001,0),MATCH(COLUMNS($AN$1006:AN1006),$AN$1006:$BO$1006,0)), HYPERLINK("#",""), HYPERLINK(CONCATENATE("#Metadata!", ADDRESS(INDEX($AI$2:$AI$1001,MATCH(ROWS($AG$2:AG942),$AG$2:$AG$1001,0),0), INDEX($AN$1004:$BO$1004,1,MATCH(COLUMNS($AN$1006:AN1006),$AN$1006:$BO$1006,0)))),"Fix")))</f>
        <v>0</v>
      </c>
      <c r="C942" s="4">
        <f>IF(OR(INDEX($AH$2:$AH$1001,MATCH(ROWS($AG$2:AG942),$AG$2:$AG$1001,0),1)&gt;=100000,INDEX($AN$1005:$BO$1005,1,MATCH(COLUMNS($AN$1006:AO1006),$AN$1006:$BO$1006,0))&gt;=100000), " ",IF(INDEX($AN$2:$BO$1001,MATCH(ROWS($AG$2:AG942),$AG$2:$AG$1001,0),MATCH(COLUMNS($AN$1006:AO1006),$AN$1006:$BO$1006,0)), HYPERLINK("#",""), HYPERLINK(CONCATENATE("#Metadata!", ADDRESS(INDEX($AI$2:$AI$1001,MATCH(ROWS($AG$2:AG942),$AG$2:$AG$1001,0),0), INDEX($AN$1004:$BO$1004,1,MATCH(COLUMNS($AN$1006:AO1006),$AN$1006:$BO$1006,0)))),"Fix")))</f>
        <v>0</v>
      </c>
      <c r="D942" s="4">
        <f>IF(OR(INDEX($AH$2:$AH$1001,MATCH(ROWS($AG$2:AG942),$AG$2:$AG$1001,0),1)&gt;=100000,INDEX($AN$1005:$BO$1005,1,MATCH(COLUMNS($AN$1006:AP1006),$AN$1006:$BO$1006,0))&gt;=100000), " ",IF(INDEX($AN$2:$BO$1001,MATCH(ROWS($AG$2:AG942),$AG$2:$AG$1001,0),MATCH(COLUMNS($AN$1006:AP1006),$AN$1006:$BO$1006,0)), HYPERLINK("#",""), HYPERLINK(CONCATENATE("#Metadata!", ADDRESS(INDEX($AI$2:$AI$1001,MATCH(ROWS($AG$2:AG942),$AG$2:$AG$1001,0),0), INDEX($AN$1004:$BO$1004,1,MATCH(COLUMNS($AN$1006:AP1006),$AN$1006:$BO$1006,0)))),"Fix")))</f>
        <v>0</v>
      </c>
      <c r="E942" s="4">
        <f>IF(OR(INDEX($AH$2:$AH$1001,MATCH(ROWS($AG$2:AG942),$AG$2:$AG$1001,0),1)&gt;=100000,INDEX($AN$1005:$BO$1005,1,MATCH(COLUMNS($AN$1006:AQ1006),$AN$1006:$BO$1006,0))&gt;=100000), " ",IF(INDEX($AN$2:$BO$1001,MATCH(ROWS($AG$2:AG942),$AG$2:$AG$1001,0),MATCH(COLUMNS($AN$1006:AQ1006),$AN$1006:$BO$1006,0)), HYPERLINK("#",""), HYPERLINK(CONCATENATE("#Metadata!", ADDRESS(INDEX($AI$2:$AI$1001,MATCH(ROWS($AG$2:AG942),$AG$2:$AG$1001,0),0), INDEX($AN$1004:$BO$1004,1,MATCH(COLUMNS($AN$1006:AQ1006),$AN$1006:$BO$1006,0)))),"Fix")))</f>
        <v>0</v>
      </c>
      <c r="F942" s="4">
        <f>IF(OR(INDEX($AH$2:$AH$1001,MATCH(ROWS($AG$2:AG942),$AG$2:$AG$1001,0),1)&gt;=100000,INDEX($AN$1005:$BO$1005,1,MATCH(COLUMNS($AN$1006:AR1006),$AN$1006:$BO$1006,0))&gt;=100000), " ",IF(INDEX($AN$2:$BO$1001,MATCH(ROWS($AG$2:AG942),$AG$2:$AG$1001,0),MATCH(COLUMNS($AN$1006:AR1006),$AN$1006:$BO$1006,0)), HYPERLINK("#",""), HYPERLINK(CONCATENATE("#Metadata!", ADDRESS(INDEX($AI$2:$AI$1001,MATCH(ROWS($AG$2:AG942),$AG$2:$AG$1001,0),0), INDEX($AN$1004:$BO$1004,1,MATCH(COLUMNS($AN$1006:AR1006),$AN$1006:$BO$1006,0)))),"Fix")))</f>
        <v>0</v>
      </c>
      <c r="G942" s="4">
        <f>IF(OR(INDEX($AH$2:$AH$1001,MATCH(ROWS($AG$2:AG942),$AG$2:$AG$1001,0),1)&gt;=100000,INDEX($AN$1005:$BO$1005,1,MATCH(COLUMNS($AN$1006:AS1006),$AN$1006:$BO$1006,0))&gt;=100000), " ",IF(INDEX($AN$2:$BO$1001,MATCH(ROWS($AG$2:AG942),$AG$2:$AG$1001,0),MATCH(COLUMNS($AN$1006:AS1006),$AN$1006:$BO$1006,0)), HYPERLINK("#",""), HYPERLINK(CONCATENATE("#Metadata!", ADDRESS(INDEX($AI$2:$AI$1001,MATCH(ROWS($AG$2:AG942),$AG$2:$AG$1001,0),0), INDEX($AN$1004:$BO$1004,1,MATCH(COLUMNS($AN$1006:AS1006),$AN$1006:$BO$1006,0)))),"Fix")))</f>
        <v>0</v>
      </c>
      <c r="H942" s="4">
        <f>IF(OR(INDEX($AH$2:$AH$1001,MATCH(ROWS($AG$2:AG942),$AG$2:$AG$1001,0),1)&gt;=100000,INDEX($AN$1005:$BO$1005,1,MATCH(COLUMNS($AN$1006:AT1006),$AN$1006:$BO$1006,0))&gt;=100000), " ",IF(INDEX($AN$2:$BO$1001,MATCH(ROWS($AG$2:AG942),$AG$2:$AG$1001,0),MATCH(COLUMNS($AN$1006:AT1006),$AN$1006:$BO$1006,0)), HYPERLINK("#",""), HYPERLINK(CONCATENATE("#Metadata!", ADDRESS(INDEX($AI$2:$AI$1001,MATCH(ROWS($AG$2:AG942),$AG$2:$AG$1001,0),0), INDEX($AN$1004:$BO$1004,1,MATCH(COLUMNS($AN$1006:AT1006),$AN$1006:$BO$1006,0)))),"Fix")))</f>
        <v>0</v>
      </c>
      <c r="I942" s="4">
        <f>IF(OR(INDEX($AH$2:$AH$1001,MATCH(ROWS($AG$2:AG942),$AG$2:$AG$1001,0),1)&gt;=100000,INDEX($AN$1005:$BO$1005,1,MATCH(COLUMNS($AN$1006:AU1006),$AN$1006:$BO$1006,0))&gt;=100000), " ",IF(INDEX($AN$2:$BO$1001,MATCH(ROWS($AG$2:AG942),$AG$2:$AG$1001,0),MATCH(COLUMNS($AN$1006:AU1006),$AN$1006:$BO$1006,0)), HYPERLINK("#",""), HYPERLINK(CONCATENATE("#Metadata!", ADDRESS(INDEX($AI$2:$AI$1001,MATCH(ROWS($AG$2:AG942),$AG$2:$AG$1001,0),0), INDEX($AN$1004:$BO$1004,1,MATCH(COLUMNS($AN$1006:AU1006),$AN$1006:$BO$1006,0)))),"Fix")))</f>
        <v>0</v>
      </c>
      <c r="J942" s="4">
        <f>IF(OR(INDEX($AH$2:$AH$1001,MATCH(ROWS($AG$2:AG942),$AG$2:$AG$1001,0),1)&gt;=100000,INDEX($AN$1005:$BO$1005,1,MATCH(COLUMNS($AN$1006:AV1006),$AN$1006:$BO$1006,0))&gt;=100000), " ",IF(INDEX($AN$2:$BO$1001,MATCH(ROWS($AG$2:AG942),$AG$2:$AG$1001,0),MATCH(COLUMNS($AN$1006:AV1006),$AN$1006:$BO$1006,0)), HYPERLINK("#",""), HYPERLINK(CONCATENATE("#Metadata!", ADDRESS(INDEX($AI$2:$AI$1001,MATCH(ROWS($AG$2:AG942),$AG$2:$AG$1001,0),0), INDEX($AN$1004:$BO$1004,1,MATCH(COLUMNS($AN$1006:AV1006),$AN$1006:$BO$1006,0)))),"Fix")))</f>
        <v>0</v>
      </c>
      <c r="K942" s="4">
        <f>IF(OR(INDEX($AH$2:$AH$1001,MATCH(ROWS($AG$2:AG942),$AG$2:$AG$1001,0),1)&gt;=100000,INDEX($AN$1005:$BO$1005,1,MATCH(COLUMNS($AN$1006:AW1006),$AN$1006:$BO$1006,0))&gt;=100000), " ",IF(INDEX($AN$2:$BO$1001,MATCH(ROWS($AG$2:AG942),$AG$2:$AG$1001,0),MATCH(COLUMNS($AN$1006:AW1006),$AN$1006:$BO$1006,0)), HYPERLINK("#",""), HYPERLINK(CONCATENATE("#Metadata!", ADDRESS(INDEX($AI$2:$AI$1001,MATCH(ROWS($AG$2:AG942),$AG$2:$AG$1001,0),0), INDEX($AN$1004:$BO$1004,1,MATCH(COLUMNS($AN$1006:AW1006),$AN$1006:$BO$1006,0)))),"Fix")))</f>
        <v>0</v>
      </c>
      <c r="L942" s="4">
        <f>IF(OR(INDEX($AH$2:$AH$1001,MATCH(ROWS($AG$2:AG942),$AG$2:$AG$1001,0),1)&gt;=100000,INDEX($AN$1005:$BO$1005,1,MATCH(COLUMNS($AN$1006:AX1006),$AN$1006:$BO$1006,0))&gt;=100000), " ",IF(INDEX($AN$2:$BO$1001,MATCH(ROWS($AG$2:AG942),$AG$2:$AG$1001,0),MATCH(COLUMNS($AN$1006:AX1006),$AN$1006:$BO$1006,0)), HYPERLINK("#",""), HYPERLINK(CONCATENATE("#Metadata!", ADDRESS(INDEX($AI$2:$AI$1001,MATCH(ROWS($AG$2:AG942),$AG$2:$AG$1001,0),0), INDEX($AN$1004:$BO$1004,1,MATCH(COLUMNS($AN$1006:AX1006),$AN$1006:$BO$1006,0)))),"Fix")))</f>
        <v>0</v>
      </c>
      <c r="M942" s="4">
        <f>IF(OR(INDEX($AH$2:$AH$1001,MATCH(ROWS($AG$2:AG942),$AG$2:$AG$1001,0),1)&gt;=100000,INDEX($AN$1005:$BO$1005,1,MATCH(COLUMNS($AN$1006:AY1006),$AN$1006:$BO$1006,0))&gt;=100000), " ",IF(INDEX($AN$2:$BO$1001,MATCH(ROWS($AG$2:AG942),$AG$2:$AG$1001,0),MATCH(COLUMNS($AN$1006:AY1006),$AN$1006:$BO$1006,0)), HYPERLINK("#",""), HYPERLINK(CONCATENATE("#Metadata!", ADDRESS(INDEX($AI$2:$AI$1001,MATCH(ROWS($AG$2:AG942),$AG$2:$AG$1001,0),0), INDEX($AN$1004:$BO$1004,1,MATCH(COLUMNS($AN$1006:AY1006),$AN$1006:$BO$1006,0)))),"Fix")))</f>
        <v>0</v>
      </c>
      <c r="N942" s="4">
        <f>IF(OR(INDEX($AH$2:$AH$1001,MATCH(ROWS($AG$2:AG942),$AG$2:$AG$1001,0),1)&gt;=100000,INDEX($AN$1005:$BO$1005,1,MATCH(COLUMNS($AN$1006:AZ1006),$AN$1006:$BO$1006,0))&gt;=100000), " ",IF(INDEX($AN$2:$BO$1001,MATCH(ROWS($AG$2:AG942),$AG$2:$AG$1001,0),MATCH(COLUMNS($AN$1006:AZ1006),$AN$1006:$BO$1006,0)), HYPERLINK("#",""), HYPERLINK(CONCATENATE("#Metadata!", ADDRESS(INDEX($AI$2:$AI$1001,MATCH(ROWS($AG$2:AG942),$AG$2:$AG$1001,0),0), INDEX($AN$1004:$BO$1004,1,MATCH(COLUMNS($AN$1006:AZ1006),$AN$1006:$BO$1006,0)))),"Fix")))</f>
        <v>0</v>
      </c>
      <c r="O942" s="4">
        <f>IF(OR(INDEX($AH$2:$AH$1001,MATCH(ROWS($AG$2:AG942),$AG$2:$AG$1001,0),1)&gt;=100000,INDEX($AN$1005:$BO$1005,1,MATCH(COLUMNS($AN$1006:BA1006),$AN$1006:$BO$1006,0))&gt;=100000), " ",IF(INDEX($AN$2:$BO$1001,MATCH(ROWS($AG$2:AG942),$AG$2:$AG$1001,0),MATCH(COLUMNS($AN$1006:BA1006),$AN$1006:$BO$1006,0)), HYPERLINK("#",""), HYPERLINK(CONCATENATE("#Metadata!", ADDRESS(INDEX($AI$2:$AI$1001,MATCH(ROWS($AG$2:AG942),$AG$2:$AG$1001,0),0), INDEX($AN$1004:$BO$1004,1,MATCH(COLUMNS($AN$1006:BA1006),$AN$1006:$BO$1006,0)))),"Fix")))</f>
        <v>0</v>
      </c>
      <c r="P942" s="4">
        <f>IF(OR(INDEX($AH$2:$AH$1001,MATCH(ROWS($AG$2:AG942),$AG$2:$AG$1001,0),1)&gt;=100000,INDEX($AN$1005:$BO$1005,1,MATCH(COLUMNS($AN$1006:BB1006),$AN$1006:$BO$1006,0))&gt;=100000), " ",IF(INDEX($AN$2:$BO$1001,MATCH(ROWS($AG$2:AG942),$AG$2:$AG$1001,0),MATCH(COLUMNS($AN$1006:BB1006),$AN$1006:$BO$1006,0)), HYPERLINK("#",""), HYPERLINK(CONCATENATE("#Metadata!", ADDRESS(INDEX($AI$2:$AI$1001,MATCH(ROWS($AG$2:AG942),$AG$2:$AG$1001,0),0), INDEX($AN$1004:$BO$1004,1,MATCH(COLUMNS($AN$1006:BB1006),$AN$1006:$BO$1006,0)))),"Fix")))</f>
        <v>0</v>
      </c>
      <c r="Q942" s="4">
        <f>IF(OR(INDEX($AH$2:$AH$1001,MATCH(ROWS($AG$2:AG942),$AG$2:$AG$1001,0),1)&gt;=100000,INDEX($AN$1005:$BO$1005,1,MATCH(COLUMNS($AN$1006:BC1006),$AN$1006:$BO$1006,0))&gt;=100000), " ",IF(INDEX($AN$2:$BO$1001,MATCH(ROWS($AG$2:AG942),$AG$2:$AG$1001,0),MATCH(COLUMNS($AN$1006:BC1006),$AN$1006:$BO$1006,0)), HYPERLINK("#",""), HYPERLINK(CONCATENATE("#Metadata!", ADDRESS(INDEX($AI$2:$AI$1001,MATCH(ROWS($AG$2:AG942),$AG$2:$AG$1001,0),0), INDEX($AN$1004:$BO$1004,1,MATCH(COLUMNS($AN$1006:BC1006),$AN$1006:$BO$1006,0)))),"Fix")))</f>
        <v>0</v>
      </c>
      <c r="R942" s="4">
        <f>IF(OR(INDEX($AH$2:$AH$1001,MATCH(ROWS($AG$2:AG942),$AG$2:$AG$1001,0),1)&gt;=100000,INDEX($AN$1005:$BO$1005,1,MATCH(COLUMNS($AN$1006:BD1006),$AN$1006:$BO$1006,0))&gt;=100000), " ",IF(INDEX($AN$2:$BO$1001,MATCH(ROWS($AG$2:AG942),$AG$2:$AG$1001,0),MATCH(COLUMNS($AN$1006:BD1006),$AN$1006:$BO$1006,0)), HYPERLINK("#",""), HYPERLINK(CONCATENATE("#Metadata!", ADDRESS(INDEX($AI$2:$AI$1001,MATCH(ROWS($AG$2:AG942),$AG$2:$AG$1001,0),0), INDEX($AN$1004:$BO$1004,1,MATCH(COLUMNS($AN$1006:BD1006),$AN$1006:$BO$1006,0)))),"Fix")))</f>
        <v>0</v>
      </c>
      <c r="S942" s="4">
        <f>IF(OR(INDEX($AH$2:$AH$1001,MATCH(ROWS($AG$2:AG942),$AG$2:$AG$1001,0),1)&gt;=100000,INDEX($AN$1005:$BO$1005,1,MATCH(COLUMNS($AN$1006:BE1006),$AN$1006:$BO$1006,0))&gt;=100000), " ",IF(INDEX($AN$2:$BO$1001,MATCH(ROWS($AG$2:AG942),$AG$2:$AG$1001,0),MATCH(COLUMNS($AN$1006:BE1006),$AN$1006:$BO$1006,0)), HYPERLINK("#",""), HYPERLINK(CONCATENATE("#Metadata!", ADDRESS(INDEX($AI$2:$AI$1001,MATCH(ROWS($AG$2:AG942),$AG$2:$AG$1001,0),0), INDEX($AN$1004:$BO$1004,1,MATCH(COLUMNS($AN$1006:BE1006),$AN$1006:$BO$1006,0)))),"Fix")))</f>
        <v>0</v>
      </c>
      <c r="T942" s="4">
        <f>IF(OR(INDEX($AH$2:$AH$1001,MATCH(ROWS($AG$2:AG942),$AG$2:$AG$1001,0),1)&gt;=100000,INDEX($AN$1005:$BO$1005,1,MATCH(COLUMNS($AN$1006:BF1006),$AN$1006:$BO$1006,0))&gt;=100000), " ",IF(INDEX($AN$2:$BO$1001,MATCH(ROWS($AG$2:AG942),$AG$2:$AG$1001,0),MATCH(COLUMNS($AN$1006:BF1006),$AN$1006:$BO$1006,0)), HYPERLINK("#",""), HYPERLINK(CONCATENATE("#Metadata!", ADDRESS(INDEX($AI$2:$AI$1001,MATCH(ROWS($AG$2:AG942),$AG$2:$AG$1001,0),0), INDEX($AN$1004:$BO$1004,1,MATCH(COLUMNS($AN$1006:BF1006),$AN$1006:$BO$1006,0)))),"Fix")))</f>
        <v>0</v>
      </c>
      <c r="U942" s="4">
        <f>IF(OR(INDEX($AH$2:$AH$1001,MATCH(ROWS($AG$2:AG942),$AG$2:$AG$1001,0),1)&gt;=100000,INDEX($AN$1005:$BO$1005,1,MATCH(COLUMNS($AN$1006:BG1006),$AN$1006:$BO$1006,0))&gt;=100000), " ",IF(INDEX($AN$2:$BO$1001,MATCH(ROWS($AG$2:AG942),$AG$2:$AG$1001,0),MATCH(COLUMNS($AN$1006:BG1006),$AN$1006:$BO$1006,0)), HYPERLINK("#",""), HYPERLINK(CONCATENATE("#Metadata!", ADDRESS(INDEX($AI$2:$AI$1001,MATCH(ROWS($AG$2:AG942),$AG$2:$AG$1001,0),0), INDEX($AN$1004:$BO$1004,1,MATCH(COLUMNS($AN$1006:BG1006),$AN$1006:$BO$1006,0)))),"Fix")))</f>
        <v>0</v>
      </c>
      <c r="V942" s="4">
        <f>IF(OR(INDEX($AH$2:$AH$1001,MATCH(ROWS($AG$2:AG942),$AG$2:$AG$1001,0),1)&gt;=100000,INDEX($AN$1005:$BO$1005,1,MATCH(COLUMNS($AN$1006:BH1006),$AN$1006:$BO$1006,0))&gt;=100000), " ",IF(INDEX($AN$2:$BO$1001,MATCH(ROWS($AG$2:AG942),$AG$2:$AG$1001,0),MATCH(COLUMNS($AN$1006:BH1006),$AN$1006:$BO$1006,0)), HYPERLINK("#",""), HYPERLINK(CONCATENATE("#Metadata!", ADDRESS(INDEX($AI$2:$AI$1001,MATCH(ROWS($AG$2:AG942),$AG$2:$AG$1001,0),0), INDEX($AN$1004:$BO$1004,1,MATCH(COLUMNS($AN$1006:BH1006),$AN$1006:$BO$1006,0)))),"Fix")))</f>
        <v>0</v>
      </c>
      <c r="W942" s="4">
        <f>IF(OR(INDEX($AH$2:$AH$1001,MATCH(ROWS($AG$2:AG942),$AG$2:$AG$1001,0),1)&gt;=100000,INDEX($AN$1005:$BO$1005,1,MATCH(COLUMNS($AN$1006:BI1006),$AN$1006:$BO$1006,0))&gt;=100000), " ",IF(INDEX($AN$2:$BO$1001,MATCH(ROWS($AG$2:AG942),$AG$2:$AG$1001,0),MATCH(COLUMNS($AN$1006:BI1006),$AN$1006:$BO$1006,0)), HYPERLINK("#",""), HYPERLINK(CONCATENATE("#Metadata!", ADDRESS(INDEX($AI$2:$AI$1001,MATCH(ROWS($AG$2:AG942),$AG$2:$AG$1001,0),0), INDEX($AN$1004:$BO$1004,1,MATCH(COLUMNS($AN$1006:BI1006),$AN$1006:$BO$1006,0)))),"Fix")))</f>
        <v>0</v>
      </c>
      <c r="X942" s="4">
        <f>IF(OR(INDEX($AH$2:$AH$1001,MATCH(ROWS($AG$2:AG942),$AG$2:$AG$1001,0),1)&gt;=100000,INDEX($AN$1005:$BO$1005,1,MATCH(COLUMNS($AN$1006:BJ1006),$AN$1006:$BO$1006,0))&gt;=100000), " ",IF(INDEX($AN$2:$BO$1001,MATCH(ROWS($AG$2:AG942),$AG$2:$AG$1001,0),MATCH(COLUMNS($AN$1006:BJ1006),$AN$1006:$BO$1006,0)), HYPERLINK("#",""), HYPERLINK(CONCATENATE("#Metadata!", ADDRESS(INDEX($AI$2:$AI$1001,MATCH(ROWS($AG$2:AG942),$AG$2:$AG$1001,0),0), INDEX($AN$1004:$BO$1004,1,MATCH(COLUMNS($AN$1006:BJ1006),$AN$1006:$BO$1006,0)))),"Fix")))</f>
        <v>0</v>
      </c>
      <c r="Y942" s="4">
        <f>IF(OR(INDEX($AH$2:$AH$1001,MATCH(ROWS($AG$2:AG942),$AG$2:$AG$1001,0),1)&gt;=100000,INDEX($AN$1005:$BO$1005,1,MATCH(COLUMNS($AN$1006:BK1006),$AN$1006:$BO$1006,0))&gt;=100000), " ",IF(INDEX($AN$2:$BO$1001,MATCH(ROWS($AG$2:AG942),$AG$2:$AG$1001,0),MATCH(COLUMNS($AN$1006:BK1006),$AN$1006:$BO$1006,0)), HYPERLINK("#",""), HYPERLINK(CONCATENATE("#Metadata!", ADDRESS(INDEX($AI$2:$AI$1001,MATCH(ROWS($AG$2:AG942),$AG$2:$AG$1001,0),0), INDEX($AN$1004:$BO$1004,1,MATCH(COLUMNS($AN$1006:BK1006),$AN$1006:$BO$1006,0)))),"Fix")))</f>
        <v>0</v>
      </c>
      <c r="Z942" s="4">
        <f>IF(OR(INDEX($AH$2:$AH$1001,MATCH(ROWS($AG$2:AG942),$AG$2:$AG$1001,0),1)&gt;=100000,INDEX($AN$1005:$BO$1005,1,MATCH(COLUMNS($AN$1006:BL1006),$AN$1006:$BO$1006,0))&gt;=100000), " ",IF(INDEX($AN$2:$BO$1001,MATCH(ROWS($AG$2:AG942),$AG$2:$AG$1001,0),MATCH(COLUMNS($AN$1006:BL1006),$AN$1006:$BO$1006,0)), HYPERLINK("#",""), HYPERLINK(CONCATENATE("#Metadata!", ADDRESS(INDEX($AI$2:$AI$1001,MATCH(ROWS($AG$2:AG942),$AG$2:$AG$1001,0),0), INDEX($AN$1004:$BO$1004,1,MATCH(COLUMNS($AN$1006:BL1006),$AN$1006:$BO$1006,0)))),"Fix")))</f>
        <v>0</v>
      </c>
      <c r="AA942" s="4">
        <f>IF(OR(INDEX($AH$2:$AH$1001,MATCH(ROWS($AG$2:AG942),$AG$2:$AG$1001,0),1)&gt;=100000,INDEX($AN$1005:$BO$1005,1,MATCH(COLUMNS($AN$1006:BM1006),$AN$1006:$BO$1006,0))&gt;=100000), " ",IF(INDEX($AN$2:$BO$1001,MATCH(ROWS($AG$2:AG942),$AG$2:$AG$1001,0),MATCH(COLUMNS($AN$1006:BM1006),$AN$1006:$BO$1006,0)), HYPERLINK("#",""), HYPERLINK(CONCATENATE("#Metadata!", ADDRESS(INDEX($AI$2:$AI$1001,MATCH(ROWS($AG$2:AG942),$AG$2:$AG$1001,0),0), INDEX($AN$1004:$BO$1004,1,MATCH(COLUMNS($AN$1006:BM1006),$AN$1006:$BO$1006,0)))),"Fix")))</f>
        <v>0</v>
      </c>
      <c r="AB942" s="4">
        <f>IF(OR(INDEX($AH$2:$AH$1001,MATCH(ROWS($AG$2:AG942),$AG$2:$AG$1001,0),1)&gt;=100000,INDEX($AN$1005:$BO$1005,1,MATCH(COLUMNS($AN$1006:BN1006),$AN$1006:$BO$1006,0))&gt;=100000), " ",IF(INDEX($AN$2:$BO$1001,MATCH(ROWS($AG$2:AG942),$AG$2:$AG$1001,0),MATCH(COLUMNS($AN$1006:BN1006),$AN$1006:$BO$1006,0)), HYPERLINK("#",""), HYPERLINK(CONCATENATE("#Metadata!", ADDRESS(INDEX($AI$2:$AI$1001,MATCH(ROWS($AG$2:AG942),$AG$2:$AG$1001,0),0), INDEX($AN$1004:$BO$1004,1,MATCH(COLUMNS($AN$1006:BN1006),$AN$1006:$BO$1006,0)))),"Fix")))</f>
        <v>0</v>
      </c>
      <c r="AC942" s="4">
        <f>IF(OR(INDEX($AH$2:$AH$1001,MATCH(ROWS($AG$2:AG942),$AG$2:$AG$1001,0),1)&gt;=100000,INDEX($AN$1005:$BO$1005,1,MATCH(COLUMNS($AN$1006:BO1006),$AN$1006:$BO$1006,0))&gt;=100000), " ",IF(INDEX($AN$2:$BO$1001,MATCH(ROWS($AG$2:AG942),$AG$2:$AG$1001,0),MATCH(COLUMNS($AN$1006:BO1006),$AN$1006:$BO$1006,0)), HYPERLINK("#",""), HYPERLINK(CONCATENATE("#Metadata!", ADDRESS(INDEX($AI$2:$AI$1001,MATCH(ROWS($AG$2:AG942),$AG$2:$AG$1001,0),0), INDEX($AN$1004:$BO$1004,1,MATCH(COLUMNS($AN$1006:BO1006),$AN$1006:$BO$1006,0)))),"Fix")))</f>
        <v>0</v>
      </c>
      <c r="AG942">
        <v>0</v>
      </c>
      <c r="AH942">
        <v>0</v>
      </c>
      <c r="AI942">
        <v>0</v>
      </c>
      <c r="AJ942">
        <f>IF(AK942,TRUE,AND(AN942:BO942))</f>
        <v>0</v>
      </c>
      <c r="AK942">
        <f>COUNTBLANK(Metadata!B942:AC942)=COLUMNS(Metadata!B942:AC942)</f>
        <v>0</v>
      </c>
      <c r="AL942">
        <v>0</v>
      </c>
      <c r="AN942">
        <f>AND(IF(Metadata!B942="",FALSE,TRUE),COUNTIF(Metadata!B:B, Metadata!B942) = 1,NOT(ISERROR(SUMPRODUCT(SEARCH(MID(Metadata!B942,ROW(INDIRECT("1:"&amp;LEN(Metadata!B942))), 1),"0123456789abcdefghijklmnopqrstuvwxyzABCDEFGHIJKLMNOPQRSTUVWXYZ.")))))</f>
        <v>0</v>
      </c>
      <c r="AO942">
        <f>IF(Metadata!C942="",FALSE,TRUE)</f>
        <v>0</v>
      </c>
      <c r="AP942">
        <f>IF(Metadata!D942="",FALSE,TRUE)</f>
        <v>0</v>
      </c>
      <c r="AQ942">
        <f>OR(AND(IF(Metadata!E942="",FALSE,TRUE),OR(exact(Metadata!E942,"not collected"),exact(Metadata!E942,"not provided"),exact(Metadata!E942,"restricted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R942">
        <f>IF(Metadata!F942="",FALSE,TRUE)</f>
        <v>0</v>
      </c>
      <c r="AS942">
        <f>OR(AND(IF(Metadata!G942="",FALSE,TRUE),OR(exact(Metadata!G942,"not collected"),exact(Metadata!G942,"not provided"))),AND(IF(Metadata!G942="",FALSE,TRUE),OR(exact(Metadata!G942,"TRUE"),exact(Metadata!G942,"FALSE"))))</f>
        <v>0</v>
      </c>
      <c r="AT942">
        <f>OR(AND(IF(Metadata!H942="",FALSE,TRUE),OR(exact(Metadata!H942,"not collected"),exact(Metadata!H942,"not provided"),exact(Metadata!H942,"restricted access"))),AND(IF(Metadata!H942="",FALSE,ISNUMBER(VALUE(Metadata!H942))),Metadata!H942&gt;=-413.0))</f>
        <v>0</v>
      </c>
      <c r="AU942">
        <f>AND(IF(Metadata!I942="",FALSE,TRUE),exact(Metadata!I942,"meters"))</f>
        <v>0</v>
      </c>
      <c r="AV942">
        <f>AND(IF(Metadata!J942="",FALSE,TRUE),OR(exact(Metadata!J942,"Host-associated"),exact(Metadata!J942,"Free-living")))</f>
        <v>0</v>
      </c>
      <c r="AW942">
        <f>AND(IF(Metadata!K942="",FALSE,TRUE),OR(exact(Metadata!K942,"Animal"),exact(Metadata!K942,"Fungus"),exact(Metadata!K942,"Plant"),exact(Metadata!K942,"Saline"),exact(Metadata!K942,"Non-saline")))</f>
        <v>0</v>
      </c>
      <c r="AX942">
        <f>AND(IF(Metadata!L942="",FALSE,TRUE),OR(exact(Metadata!L942,"Plant secretion"),exact(Metadata!L942,"Plant rhizosphere"),exact(Metadata!L942,"Plant surface"),exact(Metadata!L942,"Plant corpus"),exact(Metadata!L942,"Fungus surface"),exact(Metadata!L942,"Fungus corpus"),exact(Metadata!L942,"Animal surface"),exact(Metadata!L942,"Animal proximal gut"),exact(Metadata!L942,"Animal corpus"),exact(Metadata!L942,"Animal distal gut"),exact(Metadata!L942,"Animal secretion"),exact(Metadata!L942,"Sub-surface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Y942">
        <f>IF(Metadata!M942="",FALSE,TRUE)</f>
        <v>0</v>
      </c>
      <c r="AZ942">
        <f>IF(Metadata!N942="",FALSE,TRUE)</f>
        <v>0</v>
      </c>
      <c r="BA942">
        <f>IF(Metadata!O942="",FALSE,TRUE)</f>
        <v>0</v>
      </c>
      <c r="BB942">
        <f>OR(AND(IF(Metadata!P942="",FALSE,TRUE),OR(exact(Metadata!P942,"not collected"),exact(Metadata!P942,"not provided"),exact(Metadata!P942,"restricted access"))),AND(IF(Metadata!P942="",FALSE,TRUE),OR(exact(Metadata!P942,"air"),exact(Metadata!P942,"built environment"),exact(Metadata!P942,"host-associated"),exact(Metadata!P942,"human-associated"),exact(Metadata!P942,"human-skin"),exact(Metadata!P942,"human-oral"),exact(Metadata!P942,"human-gut"),exact(Metadata!P942,"human-vaginal"),exact(Metadata!P942,"microbial mat/biofilm"),exact(Metadata!P942,"misc environment"),exact(Metadata!P942,"plant-associated"),exact(Metadata!P942,"sediment"),exact(Metadata!P942,"soil"),exact(Metadata!P942,"wastewater/sludge"),exact(Metadata!P942,"water"))))</f>
        <v>0</v>
      </c>
      <c r="BC942">
        <f>IF(Metadata!Q942="",FALSE,TRUE)</f>
        <v>0</v>
      </c>
      <c r="BD942">
        <f>IF(Metadata!R942="",FALSE,TRUE)</f>
        <v>0</v>
      </c>
      <c r="BE942">
        <f>OR(AND(IF(Metadata!S942="",FALSE,TRUE),OR(exact(Metadata!S942,"not collected"),exact(Metadata!S942,"not provided"),exact(Metadata!S942,"restricted access"))),AND(IF(Metadata!S942="",FALSE,ISNUMBER(VALUE(Metadata!S942))),Metadata!S942&gt;=-90.00,Metadata!S942&lt;=90.00))</f>
        <v>0</v>
      </c>
      <c r="BF942">
        <f>AND(IF(Metadata!T942="",FALSE,TRUE),exact(Metadata!T942,"Decimal degrees"))</f>
        <v>0</v>
      </c>
      <c r="BG942">
        <f>OR(AND(IF(Metadata!U942="",FALSE,TRUE),OR(exact(Metadata!U942,"not collected"),exact(Metadata!U942,"not provided"),exact(Metadata!U942,"restricted access"))),AND(IF(Metadata!U942="",FALSE,ISNUMBER(VALUE(Metadata!U942))),Metadata!U942&gt;=-180.00,Metadata!U942&lt;=180.00))</f>
        <v>0</v>
      </c>
      <c r="BH942">
        <f>AND(IF(Metadata!V942="",FALSE,TRUE),exact(Metadata!V942,"Decimal degrees"))</f>
        <v>0</v>
      </c>
      <c r="BI942">
        <f>IF(Metadata!W942="",FALSE,TRUE)</f>
        <v>0</v>
      </c>
      <c r="BJ942">
        <f>OR(AND(IF(Metadata!X942="",FALSE,TRUE),OR(exact(Metadata!X942,"not collected"),exact(Metadata!X942,"not provided"),exact(Metadata!X942,"restricted access"))),AND(IF(Metadata!X942="",FALSE,TRUE),OR(exact(Metadata!X942,"TRUE"),exact(Metadata!X942,"FALSE"))))</f>
        <v>0</v>
      </c>
      <c r="BK942">
        <f>AND(IF(Metadata!Y942="",FALSE,TRUE),exact(Metadata!Y942,"other"))</f>
        <v>0</v>
      </c>
      <c r="BL942">
        <f>IF(Metadata!Z942="",FALSE,TRUE)</f>
        <v>0</v>
      </c>
      <c r="BM942">
        <f>OR(AND(IF(Metadata!AA942="",FALSE,TRUE),OR(exact(Metadata!AA942,"not collected"),exact(Metadata!AA942,"not provided"))),AND(IF(Metadata!AA942="",FALSE,IF(ISERROR(INT(Metadata!AA942)),FALSE,INT(Metadata!AA942)=Metadata!AA942)),Metadata!AA942&gt;0))</f>
        <v>0</v>
      </c>
      <c r="BN942">
        <f>AND(IF(Metadata!AB942="",FALSE,TRUE),exact(Metadata!AB942,"Not applicable"))</f>
        <v>0</v>
      </c>
      <c r="BO942">
        <f>IF(Metadata!AC942="",FALSE,TRUE)</f>
        <v>0</v>
      </c>
    </row>
    <row r="943" spans="1:67">
      <c r="A943" s="5">
        <f>IF(B943=" "," ",HYPERLINK(CONCATENATE("#metadata!",ADDRESS(INDEX($AI$2:$AI$1001,MATCH(ROWS($AG$2:AG943),$AG$2:$AG$1001,0),0),1)),INDEX($AL$2:$AL$1001,MATCH(ROWS($AG$2:AG943),$AG$2:$AG$1001,0),0)))</f>
        <v>0</v>
      </c>
      <c r="B943" s="4">
        <f>IF(OR(INDEX($AH$2:$AH$1001,MATCH(ROWS($AG$2:AG943),$AG$2:$AG$1001,0),1)&gt;=100000,INDEX($AN$1005:$BO$1005,1,MATCH(COLUMNS($AN$1006:AN1006),$AN$1006:$BO$1006,0))&gt;=100000), " ",IF(INDEX($AN$2:$BO$1001,MATCH(ROWS($AG$2:AG943),$AG$2:$AG$1001,0),MATCH(COLUMNS($AN$1006:AN1006),$AN$1006:$BO$1006,0)), HYPERLINK("#",""), HYPERLINK(CONCATENATE("#Metadata!", ADDRESS(INDEX($AI$2:$AI$1001,MATCH(ROWS($AG$2:AG943),$AG$2:$AG$1001,0),0), INDEX($AN$1004:$BO$1004,1,MATCH(COLUMNS($AN$1006:AN1006),$AN$1006:$BO$1006,0)))),"Fix")))</f>
        <v>0</v>
      </c>
      <c r="C943" s="4">
        <f>IF(OR(INDEX($AH$2:$AH$1001,MATCH(ROWS($AG$2:AG943),$AG$2:$AG$1001,0),1)&gt;=100000,INDEX($AN$1005:$BO$1005,1,MATCH(COLUMNS($AN$1006:AO1006),$AN$1006:$BO$1006,0))&gt;=100000), " ",IF(INDEX($AN$2:$BO$1001,MATCH(ROWS($AG$2:AG943),$AG$2:$AG$1001,0),MATCH(COLUMNS($AN$1006:AO1006),$AN$1006:$BO$1006,0)), HYPERLINK("#",""), HYPERLINK(CONCATENATE("#Metadata!", ADDRESS(INDEX($AI$2:$AI$1001,MATCH(ROWS($AG$2:AG943),$AG$2:$AG$1001,0),0), INDEX($AN$1004:$BO$1004,1,MATCH(COLUMNS($AN$1006:AO1006),$AN$1006:$BO$1006,0)))),"Fix")))</f>
        <v>0</v>
      </c>
      <c r="D943" s="4">
        <f>IF(OR(INDEX($AH$2:$AH$1001,MATCH(ROWS($AG$2:AG943),$AG$2:$AG$1001,0),1)&gt;=100000,INDEX($AN$1005:$BO$1005,1,MATCH(COLUMNS($AN$1006:AP1006),$AN$1006:$BO$1006,0))&gt;=100000), " ",IF(INDEX($AN$2:$BO$1001,MATCH(ROWS($AG$2:AG943),$AG$2:$AG$1001,0),MATCH(COLUMNS($AN$1006:AP1006),$AN$1006:$BO$1006,0)), HYPERLINK("#",""), HYPERLINK(CONCATENATE("#Metadata!", ADDRESS(INDEX($AI$2:$AI$1001,MATCH(ROWS($AG$2:AG943),$AG$2:$AG$1001,0),0), INDEX($AN$1004:$BO$1004,1,MATCH(COLUMNS($AN$1006:AP1006),$AN$1006:$BO$1006,0)))),"Fix")))</f>
        <v>0</v>
      </c>
      <c r="E943" s="4">
        <f>IF(OR(INDEX($AH$2:$AH$1001,MATCH(ROWS($AG$2:AG943),$AG$2:$AG$1001,0),1)&gt;=100000,INDEX($AN$1005:$BO$1005,1,MATCH(COLUMNS($AN$1006:AQ1006),$AN$1006:$BO$1006,0))&gt;=100000), " ",IF(INDEX($AN$2:$BO$1001,MATCH(ROWS($AG$2:AG943),$AG$2:$AG$1001,0),MATCH(COLUMNS($AN$1006:AQ1006),$AN$1006:$BO$1006,0)), HYPERLINK("#",""), HYPERLINK(CONCATENATE("#Metadata!", ADDRESS(INDEX($AI$2:$AI$1001,MATCH(ROWS($AG$2:AG943),$AG$2:$AG$1001,0),0), INDEX($AN$1004:$BO$1004,1,MATCH(COLUMNS($AN$1006:AQ1006),$AN$1006:$BO$1006,0)))),"Fix")))</f>
        <v>0</v>
      </c>
      <c r="F943" s="4">
        <f>IF(OR(INDEX($AH$2:$AH$1001,MATCH(ROWS($AG$2:AG943),$AG$2:$AG$1001,0),1)&gt;=100000,INDEX($AN$1005:$BO$1005,1,MATCH(COLUMNS($AN$1006:AR1006),$AN$1006:$BO$1006,0))&gt;=100000), " ",IF(INDEX($AN$2:$BO$1001,MATCH(ROWS($AG$2:AG943),$AG$2:$AG$1001,0),MATCH(COLUMNS($AN$1006:AR1006),$AN$1006:$BO$1006,0)), HYPERLINK("#",""), HYPERLINK(CONCATENATE("#Metadata!", ADDRESS(INDEX($AI$2:$AI$1001,MATCH(ROWS($AG$2:AG943),$AG$2:$AG$1001,0),0), INDEX($AN$1004:$BO$1004,1,MATCH(COLUMNS($AN$1006:AR1006),$AN$1006:$BO$1006,0)))),"Fix")))</f>
        <v>0</v>
      </c>
      <c r="G943" s="4">
        <f>IF(OR(INDEX($AH$2:$AH$1001,MATCH(ROWS($AG$2:AG943),$AG$2:$AG$1001,0),1)&gt;=100000,INDEX($AN$1005:$BO$1005,1,MATCH(COLUMNS($AN$1006:AS1006),$AN$1006:$BO$1006,0))&gt;=100000), " ",IF(INDEX($AN$2:$BO$1001,MATCH(ROWS($AG$2:AG943),$AG$2:$AG$1001,0),MATCH(COLUMNS($AN$1006:AS1006),$AN$1006:$BO$1006,0)), HYPERLINK("#",""), HYPERLINK(CONCATENATE("#Metadata!", ADDRESS(INDEX($AI$2:$AI$1001,MATCH(ROWS($AG$2:AG943),$AG$2:$AG$1001,0),0), INDEX($AN$1004:$BO$1004,1,MATCH(COLUMNS($AN$1006:AS1006),$AN$1006:$BO$1006,0)))),"Fix")))</f>
        <v>0</v>
      </c>
      <c r="H943" s="4">
        <f>IF(OR(INDEX($AH$2:$AH$1001,MATCH(ROWS($AG$2:AG943),$AG$2:$AG$1001,0),1)&gt;=100000,INDEX($AN$1005:$BO$1005,1,MATCH(COLUMNS($AN$1006:AT1006),$AN$1006:$BO$1006,0))&gt;=100000), " ",IF(INDEX($AN$2:$BO$1001,MATCH(ROWS($AG$2:AG943),$AG$2:$AG$1001,0),MATCH(COLUMNS($AN$1006:AT1006),$AN$1006:$BO$1006,0)), HYPERLINK("#",""), HYPERLINK(CONCATENATE("#Metadata!", ADDRESS(INDEX($AI$2:$AI$1001,MATCH(ROWS($AG$2:AG943),$AG$2:$AG$1001,0),0), INDEX($AN$1004:$BO$1004,1,MATCH(COLUMNS($AN$1006:AT1006),$AN$1006:$BO$1006,0)))),"Fix")))</f>
        <v>0</v>
      </c>
      <c r="I943" s="4">
        <f>IF(OR(INDEX($AH$2:$AH$1001,MATCH(ROWS($AG$2:AG943),$AG$2:$AG$1001,0),1)&gt;=100000,INDEX($AN$1005:$BO$1005,1,MATCH(COLUMNS($AN$1006:AU1006),$AN$1006:$BO$1006,0))&gt;=100000), " ",IF(INDEX($AN$2:$BO$1001,MATCH(ROWS($AG$2:AG943),$AG$2:$AG$1001,0),MATCH(COLUMNS($AN$1006:AU1006),$AN$1006:$BO$1006,0)), HYPERLINK("#",""), HYPERLINK(CONCATENATE("#Metadata!", ADDRESS(INDEX($AI$2:$AI$1001,MATCH(ROWS($AG$2:AG943),$AG$2:$AG$1001,0),0), INDEX($AN$1004:$BO$1004,1,MATCH(COLUMNS($AN$1006:AU1006),$AN$1006:$BO$1006,0)))),"Fix")))</f>
        <v>0</v>
      </c>
      <c r="J943" s="4">
        <f>IF(OR(INDEX($AH$2:$AH$1001,MATCH(ROWS($AG$2:AG943),$AG$2:$AG$1001,0),1)&gt;=100000,INDEX($AN$1005:$BO$1005,1,MATCH(COLUMNS($AN$1006:AV1006),$AN$1006:$BO$1006,0))&gt;=100000), " ",IF(INDEX($AN$2:$BO$1001,MATCH(ROWS($AG$2:AG943),$AG$2:$AG$1001,0),MATCH(COLUMNS($AN$1006:AV1006),$AN$1006:$BO$1006,0)), HYPERLINK("#",""), HYPERLINK(CONCATENATE("#Metadata!", ADDRESS(INDEX($AI$2:$AI$1001,MATCH(ROWS($AG$2:AG943),$AG$2:$AG$1001,0),0), INDEX($AN$1004:$BO$1004,1,MATCH(COLUMNS($AN$1006:AV1006),$AN$1006:$BO$1006,0)))),"Fix")))</f>
        <v>0</v>
      </c>
      <c r="K943" s="4">
        <f>IF(OR(INDEX($AH$2:$AH$1001,MATCH(ROWS($AG$2:AG943),$AG$2:$AG$1001,0),1)&gt;=100000,INDEX($AN$1005:$BO$1005,1,MATCH(COLUMNS($AN$1006:AW1006),$AN$1006:$BO$1006,0))&gt;=100000), " ",IF(INDEX($AN$2:$BO$1001,MATCH(ROWS($AG$2:AG943),$AG$2:$AG$1001,0),MATCH(COLUMNS($AN$1006:AW1006),$AN$1006:$BO$1006,0)), HYPERLINK("#",""), HYPERLINK(CONCATENATE("#Metadata!", ADDRESS(INDEX($AI$2:$AI$1001,MATCH(ROWS($AG$2:AG943),$AG$2:$AG$1001,0),0), INDEX($AN$1004:$BO$1004,1,MATCH(COLUMNS($AN$1006:AW1006),$AN$1006:$BO$1006,0)))),"Fix")))</f>
        <v>0</v>
      </c>
      <c r="L943" s="4">
        <f>IF(OR(INDEX($AH$2:$AH$1001,MATCH(ROWS($AG$2:AG943),$AG$2:$AG$1001,0),1)&gt;=100000,INDEX($AN$1005:$BO$1005,1,MATCH(COLUMNS($AN$1006:AX1006),$AN$1006:$BO$1006,0))&gt;=100000), " ",IF(INDEX($AN$2:$BO$1001,MATCH(ROWS($AG$2:AG943),$AG$2:$AG$1001,0),MATCH(COLUMNS($AN$1006:AX1006),$AN$1006:$BO$1006,0)), HYPERLINK("#",""), HYPERLINK(CONCATENATE("#Metadata!", ADDRESS(INDEX($AI$2:$AI$1001,MATCH(ROWS($AG$2:AG943),$AG$2:$AG$1001,0),0), INDEX($AN$1004:$BO$1004,1,MATCH(COLUMNS($AN$1006:AX1006),$AN$1006:$BO$1006,0)))),"Fix")))</f>
        <v>0</v>
      </c>
      <c r="M943" s="4">
        <f>IF(OR(INDEX($AH$2:$AH$1001,MATCH(ROWS($AG$2:AG943),$AG$2:$AG$1001,0),1)&gt;=100000,INDEX($AN$1005:$BO$1005,1,MATCH(COLUMNS($AN$1006:AY1006),$AN$1006:$BO$1006,0))&gt;=100000), " ",IF(INDEX($AN$2:$BO$1001,MATCH(ROWS($AG$2:AG943),$AG$2:$AG$1001,0),MATCH(COLUMNS($AN$1006:AY1006),$AN$1006:$BO$1006,0)), HYPERLINK("#",""), HYPERLINK(CONCATENATE("#Metadata!", ADDRESS(INDEX($AI$2:$AI$1001,MATCH(ROWS($AG$2:AG943),$AG$2:$AG$1001,0),0), INDEX($AN$1004:$BO$1004,1,MATCH(COLUMNS($AN$1006:AY1006),$AN$1006:$BO$1006,0)))),"Fix")))</f>
        <v>0</v>
      </c>
      <c r="N943" s="4">
        <f>IF(OR(INDEX($AH$2:$AH$1001,MATCH(ROWS($AG$2:AG943),$AG$2:$AG$1001,0),1)&gt;=100000,INDEX($AN$1005:$BO$1005,1,MATCH(COLUMNS($AN$1006:AZ1006),$AN$1006:$BO$1006,0))&gt;=100000), " ",IF(INDEX($AN$2:$BO$1001,MATCH(ROWS($AG$2:AG943),$AG$2:$AG$1001,0),MATCH(COLUMNS($AN$1006:AZ1006),$AN$1006:$BO$1006,0)), HYPERLINK("#",""), HYPERLINK(CONCATENATE("#Metadata!", ADDRESS(INDEX($AI$2:$AI$1001,MATCH(ROWS($AG$2:AG943),$AG$2:$AG$1001,0),0), INDEX($AN$1004:$BO$1004,1,MATCH(COLUMNS($AN$1006:AZ1006),$AN$1006:$BO$1006,0)))),"Fix")))</f>
        <v>0</v>
      </c>
      <c r="O943" s="4">
        <f>IF(OR(INDEX($AH$2:$AH$1001,MATCH(ROWS($AG$2:AG943),$AG$2:$AG$1001,0),1)&gt;=100000,INDEX($AN$1005:$BO$1005,1,MATCH(COLUMNS($AN$1006:BA1006),$AN$1006:$BO$1006,0))&gt;=100000), " ",IF(INDEX($AN$2:$BO$1001,MATCH(ROWS($AG$2:AG943),$AG$2:$AG$1001,0),MATCH(COLUMNS($AN$1006:BA1006),$AN$1006:$BO$1006,0)), HYPERLINK("#",""), HYPERLINK(CONCATENATE("#Metadata!", ADDRESS(INDEX($AI$2:$AI$1001,MATCH(ROWS($AG$2:AG943),$AG$2:$AG$1001,0),0), INDEX($AN$1004:$BO$1004,1,MATCH(COLUMNS($AN$1006:BA1006),$AN$1006:$BO$1006,0)))),"Fix")))</f>
        <v>0</v>
      </c>
      <c r="P943" s="4">
        <f>IF(OR(INDEX($AH$2:$AH$1001,MATCH(ROWS($AG$2:AG943),$AG$2:$AG$1001,0),1)&gt;=100000,INDEX($AN$1005:$BO$1005,1,MATCH(COLUMNS($AN$1006:BB1006),$AN$1006:$BO$1006,0))&gt;=100000), " ",IF(INDEX($AN$2:$BO$1001,MATCH(ROWS($AG$2:AG943),$AG$2:$AG$1001,0),MATCH(COLUMNS($AN$1006:BB1006),$AN$1006:$BO$1006,0)), HYPERLINK("#",""), HYPERLINK(CONCATENATE("#Metadata!", ADDRESS(INDEX($AI$2:$AI$1001,MATCH(ROWS($AG$2:AG943),$AG$2:$AG$1001,0),0), INDEX($AN$1004:$BO$1004,1,MATCH(COLUMNS($AN$1006:BB1006),$AN$1006:$BO$1006,0)))),"Fix")))</f>
        <v>0</v>
      </c>
      <c r="Q943" s="4">
        <f>IF(OR(INDEX($AH$2:$AH$1001,MATCH(ROWS($AG$2:AG943),$AG$2:$AG$1001,0),1)&gt;=100000,INDEX($AN$1005:$BO$1005,1,MATCH(COLUMNS($AN$1006:BC1006),$AN$1006:$BO$1006,0))&gt;=100000), " ",IF(INDEX($AN$2:$BO$1001,MATCH(ROWS($AG$2:AG943),$AG$2:$AG$1001,0),MATCH(COLUMNS($AN$1006:BC1006),$AN$1006:$BO$1006,0)), HYPERLINK("#",""), HYPERLINK(CONCATENATE("#Metadata!", ADDRESS(INDEX($AI$2:$AI$1001,MATCH(ROWS($AG$2:AG943),$AG$2:$AG$1001,0),0), INDEX($AN$1004:$BO$1004,1,MATCH(COLUMNS($AN$1006:BC1006),$AN$1006:$BO$1006,0)))),"Fix")))</f>
        <v>0</v>
      </c>
      <c r="R943" s="4">
        <f>IF(OR(INDEX($AH$2:$AH$1001,MATCH(ROWS($AG$2:AG943),$AG$2:$AG$1001,0),1)&gt;=100000,INDEX($AN$1005:$BO$1005,1,MATCH(COLUMNS($AN$1006:BD1006),$AN$1006:$BO$1006,0))&gt;=100000), " ",IF(INDEX($AN$2:$BO$1001,MATCH(ROWS($AG$2:AG943),$AG$2:$AG$1001,0),MATCH(COLUMNS($AN$1006:BD1006),$AN$1006:$BO$1006,0)), HYPERLINK("#",""), HYPERLINK(CONCATENATE("#Metadata!", ADDRESS(INDEX($AI$2:$AI$1001,MATCH(ROWS($AG$2:AG943),$AG$2:$AG$1001,0),0), INDEX($AN$1004:$BO$1004,1,MATCH(COLUMNS($AN$1006:BD1006),$AN$1006:$BO$1006,0)))),"Fix")))</f>
        <v>0</v>
      </c>
      <c r="S943" s="4">
        <f>IF(OR(INDEX($AH$2:$AH$1001,MATCH(ROWS($AG$2:AG943),$AG$2:$AG$1001,0),1)&gt;=100000,INDEX($AN$1005:$BO$1005,1,MATCH(COLUMNS($AN$1006:BE1006),$AN$1006:$BO$1006,0))&gt;=100000), " ",IF(INDEX($AN$2:$BO$1001,MATCH(ROWS($AG$2:AG943),$AG$2:$AG$1001,0),MATCH(COLUMNS($AN$1006:BE1006),$AN$1006:$BO$1006,0)), HYPERLINK("#",""), HYPERLINK(CONCATENATE("#Metadata!", ADDRESS(INDEX($AI$2:$AI$1001,MATCH(ROWS($AG$2:AG943),$AG$2:$AG$1001,0),0), INDEX($AN$1004:$BO$1004,1,MATCH(COLUMNS($AN$1006:BE1006),$AN$1006:$BO$1006,0)))),"Fix")))</f>
        <v>0</v>
      </c>
      <c r="T943" s="4">
        <f>IF(OR(INDEX($AH$2:$AH$1001,MATCH(ROWS($AG$2:AG943),$AG$2:$AG$1001,0),1)&gt;=100000,INDEX($AN$1005:$BO$1005,1,MATCH(COLUMNS($AN$1006:BF1006),$AN$1006:$BO$1006,0))&gt;=100000), " ",IF(INDEX($AN$2:$BO$1001,MATCH(ROWS($AG$2:AG943),$AG$2:$AG$1001,0),MATCH(COLUMNS($AN$1006:BF1006),$AN$1006:$BO$1006,0)), HYPERLINK("#",""), HYPERLINK(CONCATENATE("#Metadata!", ADDRESS(INDEX($AI$2:$AI$1001,MATCH(ROWS($AG$2:AG943),$AG$2:$AG$1001,0),0), INDEX($AN$1004:$BO$1004,1,MATCH(COLUMNS($AN$1006:BF1006),$AN$1006:$BO$1006,0)))),"Fix")))</f>
        <v>0</v>
      </c>
      <c r="U943" s="4">
        <f>IF(OR(INDEX($AH$2:$AH$1001,MATCH(ROWS($AG$2:AG943),$AG$2:$AG$1001,0),1)&gt;=100000,INDEX($AN$1005:$BO$1005,1,MATCH(COLUMNS($AN$1006:BG1006),$AN$1006:$BO$1006,0))&gt;=100000), " ",IF(INDEX($AN$2:$BO$1001,MATCH(ROWS($AG$2:AG943),$AG$2:$AG$1001,0),MATCH(COLUMNS($AN$1006:BG1006),$AN$1006:$BO$1006,0)), HYPERLINK("#",""), HYPERLINK(CONCATENATE("#Metadata!", ADDRESS(INDEX($AI$2:$AI$1001,MATCH(ROWS($AG$2:AG943),$AG$2:$AG$1001,0),0), INDEX($AN$1004:$BO$1004,1,MATCH(COLUMNS($AN$1006:BG1006),$AN$1006:$BO$1006,0)))),"Fix")))</f>
        <v>0</v>
      </c>
      <c r="V943" s="4">
        <f>IF(OR(INDEX($AH$2:$AH$1001,MATCH(ROWS($AG$2:AG943),$AG$2:$AG$1001,0),1)&gt;=100000,INDEX($AN$1005:$BO$1005,1,MATCH(COLUMNS($AN$1006:BH1006),$AN$1006:$BO$1006,0))&gt;=100000), " ",IF(INDEX($AN$2:$BO$1001,MATCH(ROWS($AG$2:AG943),$AG$2:$AG$1001,0),MATCH(COLUMNS($AN$1006:BH1006),$AN$1006:$BO$1006,0)), HYPERLINK("#",""), HYPERLINK(CONCATENATE("#Metadata!", ADDRESS(INDEX($AI$2:$AI$1001,MATCH(ROWS($AG$2:AG943),$AG$2:$AG$1001,0),0), INDEX($AN$1004:$BO$1004,1,MATCH(COLUMNS($AN$1006:BH1006),$AN$1006:$BO$1006,0)))),"Fix")))</f>
        <v>0</v>
      </c>
      <c r="W943" s="4">
        <f>IF(OR(INDEX($AH$2:$AH$1001,MATCH(ROWS($AG$2:AG943),$AG$2:$AG$1001,0),1)&gt;=100000,INDEX($AN$1005:$BO$1005,1,MATCH(COLUMNS($AN$1006:BI1006),$AN$1006:$BO$1006,0))&gt;=100000), " ",IF(INDEX($AN$2:$BO$1001,MATCH(ROWS($AG$2:AG943),$AG$2:$AG$1001,0),MATCH(COLUMNS($AN$1006:BI1006),$AN$1006:$BO$1006,0)), HYPERLINK("#",""), HYPERLINK(CONCATENATE("#Metadata!", ADDRESS(INDEX($AI$2:$AI$1001,MATCH(ROWS($AG$2:AG943),$AG$2:$AG$1001,0),0), INDEX($AN$1004:$BO$1004,1,MATCH(COLUMNS($AN$1006:BI1006),$AN$1006:$BO$1006,0)))),"Fix")))</f>
        <v>0</v>
      </c>
      <c r="X943" s="4">
        <f>IF(OR(INDEX($AH$2:$AH$1001,MATCH(ROWS($AG$2:AG943),$AG$2:$AG$1001,0),1)&gt;=100000,INDEX($AN$1005:$BO$1005,1,MATCH(COLUMNS($AN$1006:BJ1006),$AN$1006:$BO$1006,0))&gt;=100000), " ",IF(INDEX($AN$2:$BO$1001,MATCH(ROWS($AG$2:AG943),$AG$2:$AG$1001,0),MATCH(COLUMNS($AN$1006:BJ1006),$AN$1006:$BO$1006,0)), HYPERLINK("#",""), HYPERLINK(CONCATENATE("#Metadata!", ADDRESS(INDEX($AI$2:$AI$1001,MATCH(ROWS($AG$2:AG943),$AG$2:$AG$1001,0),0), INDEX($AN$1004:$BO$1004,1,MATCH(COLUMNS($AN$1006:BJ1006),$AN$1006:$BO$1006,0)))),"Fix")))</f>
        <v>0</v>
      </c>
      <c r="Y943" s="4">
        <f>IF(OR(INDEX($AH$2:$AH$1001,MATCH(ROWS($AG$2:AG943),$AG$2:$AG$1001,0),1)&gt;=100000,INDEX($AN$1005:$BO$1005,1,MATCH(COLUMNS($AN$1006:BK1006),$AN$1006:$BO$1006,0))&gt;=100000), " ",IF(INDEX($AN$2:$BO$1001,MATCH(ROWS($AG$2:AG943),$AG$2:$AG$1001,0),MATCH(COLUMNS($AN$1006:BK1006),$AN$1006:$BO$1006,0)), HYPERLINK("#",""), HYPERLINK(CONCATENATE("#Metadata!", ADDRESS(INDEX($AI$2:$AI$1001,MATCH(ROWS($AG$2:AG943),$AG$2:$AG$1001,0),0), INDEX($AN$1004:$BO$1004,1,MATCH(COLUMNS($AN$1006:BK1006),$AN$1006:$BO$1006,0)))),"Fix")))</f>
        <v>0</v>
      </c>
      <c r="Z943" s="4">
        <f>IF(OR(INDEX($AH$2:$AH$1001,MATCH(ROWS($AG$2:AG943),$AG$2:$AG$1001,0),1)&gt;=100000,INDEX($AN$1005:$BO$1005,1,MATCH(COLUMNS($AN$1006:BL1006),$AN$1006:$BO$1006,0))&gt;=100000), " ",IF(INDEX($AN$2:$BO$1001,MATCH(ROWS($AG$2:AG943),$AG$2:$AG$1001,0),MATCH(COLUMNS($AN$1006:BL1006),$AN$1006:$BO$1006,0)), HYPERLINK("#",""), HYPERLINK(CONCATENATE("#Metadata!", ADDRESS(INDEX($AI$2:$AI$1001,MATCH(ROWS($AG$2:AG943),$AG$2:$AG$1001,0),0), INDEX($AN$1004:$BO$1004,1,MATCH(COLUMNS($AN$1006:BL1006),$AN$1006:$BO$1006,0)))),"Fix")))</f>
        <v>0</v>
      </c>
      <c r="AA943" s="4">
        <f>IF(OR(INDEX($AH$2:$AH$1001,MATCH(ROWS($AG$2:AG943),$AG$2:$AG$1001,0),1)&gt;=100000,INDEX($AN$1005:$BO$1005,1,MATCH(COLUMNS($AN$1006:BM1006),$AN$1006:$BO$1006,0))&gt;=100000), " ",IF(INDEX($AN$2:$BO$1001,MATCH(ROWS($AG$2:AG943),$AG$2:$AG$1001,0),MATCH(COLUMNS($AN$1006:BM1006),$AN$1006:$BO$1006,0)), HYPERLINK("#",""), HYPERLINK(CONCATENATE("#Metadata!", ADDRESS(INDEX($AI$2:$AI$1001,MATCH(ROWS($AG$2:AG943),$AG$2:$AG$1001,0),0), INDEX($AN$1004:$BO$1004,1,MATCH(COLUMNS($AN$1006:BM1006),$AN$1006:$BO$1006,0)))),"Fix")))</f>
        <v>0</v>
      </c>
      <c r="AB943" s="4">
        <f>IF(OR(INDEX($AH$2:$AH$1001,MATCH(ROWS($AG$2:AG943),$AG$2:$AG$1001,0),1)&gt;=100000,INDEX($AN$1005:$BO$1005,1,MATCH(COLUMNS($AN$1006:BN1006),$AN$1006:$BO$1006,0))&gt;=100000), " ",IF(INDEX($AN$2:$BO$1001,MATCH(ROWS($AG$2:AG943),$AG$2:$AG$1001,0),MATCH(COLUMNS($AN$1006:BN1006),$AN$1006:$BO$1006,0)), HYPERLINK("#",""), HYPERLINK(CONCATENATE("#Metadata!", ADDRESS(INDEX($AI$2:$AI$1001,MATCH(ROWS($AG$2:AG943),$AG$2:$AG$1001,0),0), INDEX($AN$1004:$BO$1004,1,MATCH(COLUMNS($AN$1006:BN1006),$AN$1006:$BO$1006,0)))),"Fix")))</f>
        <v>0</v>
      </c>
      <c r="AC943" s="4">
        <f>IF(OR(INDEX($AH$2:$AH$1001,MATCH(ROWS($AG$2:AG943),$AG$2:$AG$1001,0),1)&gt;=100000,INDEX($AN$1005:$BO$1005,1,MATCH(COLUMNS($AN$1006:BO1006),$AN$1006:$BO$1006,0))&gt;=100000), " ",IF(INDEX($AN$2:$BO$1001,MATCH(ROWS($AG$2:AG943),$AG$2:$AG$1001,0),MATCH(COLUMNS($AN$1006:BO1006),$AN$1006:$BO$1006,0)), HYPERLINK("#",""), HYPERLINK(CONCATENATE("#Metadata!", ADDRESS(INDEX($AI$2:$AI$1001,MATCH(ROWS($AG$2:AG943),$AG$2:$AG$1001,0),0), INDEX($AN$1004:$BO$1004,1,MATCH(COLUMNS($AN$1006:BO1006),$AN$1006:$BO$1006,0)))),"Fix")))</f>
        <v>0</v>
      </c>
      <c r="AG943">
        <v>0</v>
      </c>
      <c r="AH943">
        <v>0</v>
      </c>
      <c r="AI943">
        <v>0</v>
      </c>
      <c r="AJ943">
        <f>IF(AK943,TRUE,AND(AN943:BO943))</f>
        <v>0</v>
      </c>
      <c r="AK943">
        <f>COUNTBLANK(Metadata!B943:AC943)=COLUMNS(Metadata!B943:AC943)</f>
        <v>0</v>
      </c>
      <c r="AL943">
        <v>0</v>
      </c>
      <c r="AN943">
        <f>AND(IF(Metadata!B943="",FALSE,TRUE),COUNTIF(Metadata!B:B, Metadata!B943) = 1,NOT(ISERROR(SUMPRODUCT(SEARCH(MID(Metadata!B943,ROW(INDIRECT("1:"&amp;LEN(Metadata!B943))), 1),"0123456789abcdefghijklmnopqrstuvwxyzABCDEFGHIJKLMNOPQRSTUVWXYZ.")))))</f>
        <v>0</v>
      </c>
      <c r="AO943">
        <f>IF(Metadata!C943="",FALSE,TRUE)</f>
        <v>0</v>
      </c>
      <c r="AP943">
        <f>IF(Metadata!D943="",FALSE,TRUE)</f>
        <v>0</v>
      </c>
      <c r="AQ943">
        <f>OR(AND(IF(Metadata!E943="",FALSE,TRUE),OR(exact(Metadata!E943,"not collected"),exact(Metadata!E943,"not provided"),exact(Metadata!E943,"restricted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R943">
        <f>IF(Metadata!F943="",FALSE,TRUE)</f>
        <v>0</v>
      </c>
      <c r="AS943">
        <f>OR(AND(IF(Metadata!G943="",FALSE,TRUE),OR(exact(Metadata!G943,"not collected"),exact(Metadata!G943,"not provided"))),AND(IF(Metadata!G943="",FALSE,TRUE),OR(exact(Metadata!G943,"TRUE"),exact(Metadata!G943,"FALSE"))))</f>
        <v>0</v>
      </c>
      <c r="AT943">
        <f>OR(AND(IF(Metadata!H943="",FALSE,TRUE),OR(exact(Metadata!H943,"not collected"),exact(Metadata!H943,"not provided"),exact(Metadata!H943,"restricted access"))),AND(IF(Metadata!H943="",FALSE,ISNUMBER(VALUE(Metadata!H943))),Metadata!H943&gt;=-413.0))</f>
        <v>0</v>
      </c>
      <c r="AU943">
        <f>AND(IF(Metadata!I943="",FALSE,TRUE),exact(Metadata!I943,"meters"))</f>
        <v>0</v>
      </c>
      <c r="AV943">
        <f>AND(IF(Metadata!J943="",FALSE,TRUE),OR(exact(Metadata!J943,"Host-associated"),exact(Metadata!J943,"Free-living")))</f>
        <v>0</v>
      </c>
      <c r="AW943">
        <f>AND(IF(Metadata!K943="",FALSE,TRUE),OR(exact(Metadata!K943,"Animal"),exact(Metadata!K943,"Fungus"),exact(Metadata!K943,"Plant"),exact(Metadata!K943,"Saline"),exact(Metadata!K943,"Non-saline")))</f>
        <v>0</v>
      </c>
      <c r="AX943">
        <f>AND(IF(Metadata!L943="",FALSE,TRUE),OR(exact(Metadata!L943,"Plant secretion"),exact(Metadata!L943,"Plant rhizosphere"),exact(Metadata!L943,"Plant surface"),exact(Metadata!L943,"Plant corpus"),exact(Metadata!L943,"Fungus surface"),exact(Metadata!L943,"Fungus corpus"),exact(Metadata!L943,"Animal surface"),exact(Metadata!L943,"Animal proximal gut"),exact(Metadata!L943,"Animal corpus"),exact(Metadata!L943,"Animal distal gut"),exact(Metadata!L943,"Animal secretion"),exact(Metadata!L943,"Sub-surface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Y943">
        <f>IF(Metadata!M943="",FALSE,TRUE)</f>
        <v>0</v>
      </c>
      <c r="AZ943">
        <f>IF(Metadata!N943="",FALSE,TRUE)</f>
        <v>0</v>
      </c>
      <c r="BA943">
        <f>IF(Metadata!O943="",FALSE,TRUE)</f>
        <v>0</v>
      </c>
      <c r="BB943">
        <f>OR(AND(IF(Metadata!P943="",FALSE,TRUE),OR(exact(Metadata!P943,"not collected"),exact(Metadata!P943,"not provided"),exact(Metadata!P943,"restricted access"))),AND(IF(Metadata!P943="",FALSE,TRUE),OR(exact(Metadata!P943,"air"),exact(Metadata!P943,"built environment"),exact(Metadata!P943,"host-associated"),exact(Metadata!P943,"human-associated"),exact(Metadata!P943,"human-skin"),exact(Metadata!P943,"human-oral"),exact(Metadata!P943,"human-gut"),exact(Metadata!P943,"human-vaginal"),exact(Metadata!P943,"microbial mat/biofilm"),exact(Metadata!P943,"misc environment"),exact(Metadata!P943,"plant-associated"),exact(Metadata!P943,"sediment"),exact(Metadata!P943,"soil"),exact(Metadata!P943,"wastewater/sludge"),exact(Metadata!P943,"water"))))</f>
        <v>0</v>
      </c>
      <c r="BC943">
        <f>IF(Metadata!Q943="",FALSE,TRUE)</f>
        <v>0</v>
      </c>
      <c r="BD943">
        <f>IF(Metadata!R943="",FALSE,TRUE)</f>
        <v>0</v>
      </c>
      <c r="BE943">
        <f>OR(AND(IF(Metadata!S943="",FALSE,TRUE),OR(exact(Metadata!S943,"not collected"),exact(Metadata!S943,"not provided"),exact(Metadata!S943,"restricted access"))),AND(IF(Metadata!S943="",FALSE,ISNUMBER(VALUE(Metadata!S943))),Metadata!S943&gt;=-90.00,Metadata!S943&lt;=90.00))</f>
        <v>0</v>
      </c>
      <c r="BF943">
        <f>AND(IF(Metadata!T943="",FALSE,TRUE),exact(Metadata!T943,"Decimal degrees"))</f>
        <v>0</v>
      </c>
      <c r="BG943">
        <f>OR(AND(IF(Metadata!U943="",FALSE,TRUE),OR(exact(Metadata!U943,"not collected"),exact(Metadata!U943,"not provided"),exact(Metadata!U943,"restricted access"))),AND(IF(Metadata!U943="",FALSE,ISNUMBER(VALUE(Metadata!U943))),Metadata!U943&gt;=-180.00,Metadata!U943&lt;=180.00))</f>
        <v>0</v>
      </c>
      <c r="BH943">
        <f>AND(IF(Metadata!V943="",FALSE,TRUE),exact(Metadata!V943,"Decimal degrees"))</f>
        <v>0</v>
      </c>
      <c r="BI943">
        <f>IF(Metadata!W943="",FALSE,TRUE)</f>
        <v>0</v>
      </c>
      <c r="BJ943">
        <f>OR(AND(IF(Metadata!X943="",FALSE,TRUE),OR(exact(Metadata!X943,"not collected"),exact(Metadata!X943,"not provided"),exact(Metadata!X943,"restricted access"))),AND(IF(Metadata!X943="",FALSE,TRUE),OR(exact(Metadata!X943,"TRUE"),exact(Metadata!X943,"FALSE"))))</f>
        <v>0</v>
      </c>
      <c r="BK943">
        <f>AND(IF(Metadata!Y943="",FALSE,TRUE),exact(Metadata!Y943,"other"))</f>
        <v>0</v>
      </c>
      <c r="BL943">
        <f>IF(Metadata!Z943="",FALSE,TRUE)</f>
        <v>0</v>
      </c>
      <c r="BM943">
        <f>OR(AND(IF(Metadata!AA943="",FALSE,TRUE),OR(exact(Metadata!AA943,"not collected"),exact(Metadata!AA943,"not provided"))),AND(IF(Metadata!AA943="",FALSE,IF(ISERROR(INT(Metadata!AA943)),FALSE,INT(Metadata!AA943)=Metadata!AA943)),Metadata!AA943&gt;0))</f>
        <v>0</v>
      </c>
      <c r="BN943">
        <f>AND(IF(Metadata!AB943="",FALSE,TRUE),exact(Metadata!AB943,"Not applicable"))</f>
        <v>0</v>
      </c>
      <c r="BO943">
        <f>IF(Metadata!AC943="",FALSE,TRUE)</f>
        <v>0</v>
      </c>
    </row>
    <row r="944" spans="1:67">
      <c r="A944" s="5">
        <f>IF(B944=" "," ",HYPERLINK(CONCATENATE("#metadata!",ADDRESS(INDEX($AI$2:$AI$1001,MATCH(ROWS($AG$2:AG944),$AG$2:$AG$1001,0),0),1)),INDEX($AL$2:$AL$1001,MATCH(ROWS($AG$2:AG944),$AG$2:$AG$1001,0),0)))</f>
        <v>0</v>
      </c>
      <c r="B944" s="4">
        <f>IF(OR(INDEX($AH$2:$AH$1001,MATCH(ROWS($AG$2:AG944),$AG$2:$AG$1001,0),1)&gt;=100000,INDEX($AN$1005:$BO$1005,1,MATCH(COLUMNS($AN$1006:AN1006),$AN$1006:$BO$1006,0))&gt;=100000), " ",IF(INDEX($AN$2:$BO$1001,MATCH(ROWS($AG$2:AG944),$AG$2:$AG$1001,0),MATCH(COLUMNS($AN$1006:AN1006),$AN$1006:$BO$1006,0)), HYPERLINK("#",""), HYPERLINK(CONCATENATE("#Metadata!", ADDRESS(INDEX($AI$2:$AI$1001,MATCH(ROWS($AG$2:AG944),$AG$2:$AG$1001,0),0), INDEX($AN$1004:$BO$1004,1,MATCH(COLUMNS($AN$1006:AN1006),$AN$1006:$BO$1006,0)))),"Fix")))</f>
        <v>0</v>
      </c>
      <c r="C944" s="4">
        <f>IF(OR(INDEX($AH$2:$AH$1001,MATCH(ROWS($AG$2:AG944),$AG$2:$AG$1001,0),1)&gt;=100000,INDEX($AN$1005:$BO$1005,1,MATCH(COLUMNS($AN$1006:AO1006),$AN$1006:$BO$1006,0))&gt;=100000), " ",IF(INDEX($AN$2:$BO$1001,MATCH(ROWS($AG$2:AG944),$AG$2:$AG$1001,0),MATCH(COLUMNS($AN$1006:AO1006),$AN$1006:$BO$1006,0)), HYPERLINK("#",""), HYPERLINK(CONCATENATE("#Metadata!", ADDRESS(INDEX($AI$2:$AI$1001,MATCH(ROWS($AG$2:AG944),$AG$2:$AG$1001,0),0), INDEX($AN$1004:$BO$1004,1,MATCH(COLUMNS($AN$1006:AO1006),$AN$1006:$BO$1006,0)))),"Fix")))</f>
        <v>0</v>
      </c>
      <c r="D944" s="4">
        <f>IF(OR(INDEX($AH$2:$AH$1001,MATCH(ROWS($AG$2:AG944),$AG$2:$AG$1001,0),1)&gt;=100000,INDEX($AN$1005:$BO$1005,1,MATCH(COLUMNS($AN$1006:AP1006),$AN$1006:$BO$1006,0))&gt;=100000), " ",IF(INDEX($AN$2:$BO$1001,MATCH(ROWS($AG$2:AG944),$AG$2:$AG$1001,0),MATCH(COLUMNS($AN$1006:AP1006),$AN$1006:$BO$1006,0)), HYPERLINK("#",""), HYPERLINK(CONCATENATE("#Metadata!", ADDRESS(INDEX($AI$2:$AI$1001,MATCH(ROWS($AG$2:AG944),$AG$2:$AG$1001,0),0), INDEX($AN$1004:$BO$1004,1,MATCH(COLUMNS($AN$1006:AP1006),$AN$1006:$BO$1006,0)))),"Fix")))</f>
        <v>0</v>
      </c>
      <c r="E944" s="4">
        <f>IF(OR(INDEX($AH$2:$AH$1001,MATCH(ROWS($AG$2:AG944),$AG$2:$AG$1001,0),1)&gt;=100000,INDEX($AN$1005:$BO$1005,1,MATCH(COLUMNS($AN$1006:AQ1006),$AN$1006:$BO$1006,0))&gt;=100000), " ",IF(INDEX($AN$2:$BO$1001,MATCH(ROWS($AG$2:AG944),$AG$2:$AG$1001,0),MATCH(COLUMNS($AN$1006:AQ1006),$AN$1006:$BO$1006,0)), HYPERLINK("#",""), HYPERLINK(CONCATENATE("#Metadata!", ADDRESS(INDEX($AI$2:$AI$1001,MATCH(ROWS($AG$2:AG944),$AG$2:$AG$1001,0),0), INDEX($AN$1004:$BO$1004,1,MATCH(COLUMNS($AN$1006:AQ1006),$AN$1006:$BO$1006,0)))),"Fix")))</f>
        <v>0</v>
      </c>
      <c r="F944" s="4">
        <f>IF(OR(INDEX($AH$2:$AH$1001,MATCH(ROWS($AG$2:AG944),$AG$2:$AG$1001,0),1)&gt;=100000,INDEX($AN$1005:$BO$1005,1,MATCH(COLUMNS($AN$1006:AR1006),$AN$1006:$BO$1006,0))&gt;=100000), " ",IF(INDEX($AN$2:$BO$1001,MATCH(ROWS($AG$2:AG944),$AG$2:$AG$1001,0),MATCH(COLUMNS($AN$1006:AR1006),$AN$1006:$BO$1006,0)), HYPERLINK("#",""), HYPERLINK(CONCATENATE("#Metadata!", ADDRESS(INDEX($AI$2:$AI$1001,MATCH(ROWS($AG$2:AG944),$AG$2:$AG$1001,0),0), INDEX($AN$1004:$BO$1004,1,MATCH(COLUMNS($AN$1006:AR1006),$AN$1006:$BO$1006,0)))),"Fix")))</f>
        <v>0</v>
      </c>
      <c r="G944" s="4">
        <f>IF(OR(INDEX($AH$2:$AH$1001,MATCH(ROWS($AG$2:AG944),$AG$2:$AG$1001,0),1)&gt;=100000,INDEX($AN$1005:$BO$1005,1,MATCH(COLUMNS($AN$1006:AS1006),$AN$1006:$BO$1006,0))&gt;=100000), " ",IF(INDEX($AN$2:$BO$1001,MATCH(ROWS($AG$2:AG944),$AG$2:$AG$1001,0),MATCH(COLUMNS($AN$1006:AS1006),$AN$1006:$BO$1006,0)), HYPERLINK("#",""), HYPERLINK(CONCATENATE("#Metadata!", ADDRESS(INDEX($AI$2:$AI$1001,MATCH(ROWS($AG$2:AG944),$AG$2:$AG$1001,0),0), INDEX($AN$1004:$BO$1004,1,MATCH(COLUMNS($AN$1006:AS1006),$AN$1006:$BO$1006,0)))),"Fix")))</f>
        <v>0</v>
      </c>
      <c r="H944" s="4">
        <f>IF(OR(INDEX($AH$2:$AH$1001,MATCH(ROWS($AG$2:AG944),$AG$2:$AG$1001,0),1)&gt;=100000,INDEX($AN$1005:$BO$1005,1,MATCH(COLUMNS($AN$1006:AT1006),$AN$1006:$BO$1006,0))&gt;=100000), " ",IF(INDEX($AN$2:$BO$1001,MATCH(ROWS($AG$2:AG944),$AG$2:$AG$1001,0),MATCH(COLUMNS($AN$1006:AT1006),$AN$1006:$BO$1006,0)), HYPERLINK("#",""), HYPERLINK(CONCATENATE("#Metadata!", ADDRESS(INDEX($AI$2:$AI$1001,MATCH(ROWS($AG$2:AG944),$AG$2:$AG$1001,0),0), INDEX($AN$1004:$BO$1004,1,MATCH(COLUMNS($AN$1006:AT1006),$AN$1006:$BO$1006,0)))),"Fix")))</f>
        <v>0</v>
      </c>
      <c r="I944" s="4">
        <f>IF(OR(INDEX($AH$2:$AH$1001,MATCH(ROWS($AG$2:AG944),$AG$2:$AG$1001,0),1)&gt;=100000,INDEX($AN$1005:$BO$1005,1,MATCH(COLUMNS($AN$1006:AU1006),$AN$1006:$BO$1006,0))&gt;=100000), " ",IF(INDEX($AN$2:$BO$1001,MATCH(ROWS($AG$2:AG944),$AG$2:$AG$1001,0),MATCH(COLUMNS($AN$1006:AU1006),$AN$1006:$BO$1006,0)), HYPERLINK("#",""), HYPERLINK(CONCATENATE("#Metadata!", ADDRESS(INDEX($AI$2:$AI$1001,MATCH(ROWS($AG$2:AG944),$AG$2:$AG$1001,0),0), INDEX($AN$1004:$BO$1004,1,MATCH(COLUMNS($AN$1006:AU1006),$AN$1006:$BO$1006,0)))),"Fix")))</f>
        <v>0</v>
      </c>
      <c r="J944" s="4">
        <f>IF(OR(INDEX($AH$2:$AH$1001,MATCH(ROWS($AG$2:AG944),$AG$2:$AG$1001,0),1)&gt;=100000,INDEX($AN$1005:$BO$1005,1,MATCH(COLUMNS($AN$1006:AV1006),$AN$1006:$BO$1006,0))&gt;=100000), " ",IF(INDEX($AN$2:$BO$1001,MATCH(ROWS($AG$2:AG944),$AG$2:$AG$1001,0),MATCH(COLUMNS($AN$1006:AV1006),$AN$1006:$BO$1006,0)), HYPERLINK("#",""), HYPERLINK(CONCATENATE("#Metadata!", ADDRESS(INDEX($AI$2:$AI$1001,MATCH(ROWS($AG$2:AG944),$AG$2:$AG$1001,0),0), INDEX($AN$1004:$BO$1004,1,MATCH(COLUMNS($AN$1006:AV1006),$AN$1006:$BO$1006,0)))),"Fix")))</f>
        <v>0</v>
      </c>
      <c r="K944" s="4">
        <f>IF(OR(INDEX($AH$2:$AH$1001,MATCH(ROWS($AG$2:AG944),$AG$2:$AG$1001,0),1)&gt;=100000,INDEX($AN$1005:$BO$1005,1,MATCH(COLUMNS($AN$1006:AW1006),$AN$1006:$BO$1006,0))&gt;=100000), " ",IF(INDEX($AN$2:$BO$1001,MATCH(ROWS($AG$2:AG944),$AG$2:$AG$1001,0),MATCH(COLUMNS($AN$1006:AW1006),$AN$1006:$BO$1006,0)), HYPERLINK("#",""), HYPERLINK(CONCATENATE("#Metadata!", ADDRESS(INDEX($AI$2:$AI$1001,MATCH(ROWS($AG$2:AG944),$AG$2:$AG$1001,0),0), INDEX($AN$1004:$BO$1004,1,MATCH(COLUMNS($AN$1006:AW1006),$AN$1006:$BO$1006,0)))),"Fix")))</f>
        <v>0</v>
      </c>
      <c r="L944" s="4">
        <f>IF(OR(INDEX($AH$2:$AH$1001,MATCH(ROWS($AG$2:AG944),$AG$2:$AG$1001,0),1)&gt;=100000,INDEX($AN$1005:$BO$1005,1,MATCH(COLUMNS($AN$1006:AX1006),$AN$1006:$BO$1006,0))&gt;=100000), " ",IF(INDEX($AN$2:$BO$1001,MATCH(ROWS($AG$2:AG944),$AG$2:$AG$1001,0),MATCH(COLUMNS($AN$1006:AX1006),$AN$1006:$BO$1006,0)), HYPERLINK("#",""), HYPERLINK(CONCATENATE("#Metadata!", ADDRESS(INDEX($AI$2:$AI$1001,MATCH(ROWS($AG$2:AG944),$AG$2:$AG$1001,0),0), INDEX($AN$1004:$BO$1004,1,MATCH(COLUMNS($AN$1006:AX1006),$AN$1006:$BO$1006,0)))),"Fix")))</f>
        <v>0</v>
      </c>
      <c r="M944" s="4">
        <f>IF(OR(INDEX($AH$2:$AH$1001,MATCH(ROWS($AG$2:AG944),$AG$2:$AG$1001,0),1)&gt;=100000,INDEX($AN$1005:$BO$1005,1,MATCH(COLUMNS($AN$1006:AY1006),$AN$1006:$BO$1006,0))&gt;=100000), " ",IF(INDEX($AN$2:$BO$1001,MATCH(ROWS($AG$2:AG944),$AG$2:$AG$1001,0),MATCH(COLUMNS($AN$1006:AY1006),$AN$1006:$BO$1006,0)), HYPERLINK("#",""), HYPERLINK(CONCATENATE("#Metadata!", ADDRESS(INDEX($AI$2:$AI$1001,MATCH(ROWS($AG$2:AG944),$AG$2:$AG$1001,0),0), INDEX($AN$1004:$BO$1004,1,MATCH(COLUMNS($AN$1006:AY1006),$AN$1006:$BO$1006,0)))),"Fix")))</f>
        <v>0</v>
      </c>
      <c r="N944" s="4">
        <f>IF(OR(INDEX($AH$2:$AH$1001,MATCH(ROWS($AG$2:AG944),$AG$2:$AG$1001,0),1)&gt;=100000,INDEX($AN$1005:$BO$1005,1,MATCH(COLUMNS($AN$1006:AZ1006),$AN$1006:$BO$1006,0))&gt;=100000), " ",IF(INDEX($AN$2:$BO$1001,MATCH(ROWS($AG$2:AG944),$AG$2:$AG$1001,0),MATCH(COLUMNS($AN$1006:AZ1006),$AN$1006:$BO$1006,0)), HYPERLINK("#",""), HYPERLINK(CONCATENATE("#Metadata!", ADDRESS(INDEX($AI$2:$AI$1001,MATCH(ROWS($AG$2:AG944),$AG$2:$AG$1001,0),0), INDEX($AN$1004:$BO$1004,1,MATCH(COLUMNS($AN$1006:AZ1006),$AN$1006:$BO$1006,0)))),"Fix")))</f>
        <v>0</v>
      </c>
      <c r="O944" s="4">
        <f>IF(OR(INDEX($AH$2:$AH$1001,MATCH(ROWS($AG$2:AG944),$AG$2:$AG$1001,0),1)&gt;=100000,INDEX($AN$1005:$BO$1005,1,MATCH(COLUMNS($AN$1006:BA1006),$AN$1006:$BO$1006,0))&gt;=100000), " ",IF(INDEX($AN$2:$BO$1001,MATCH(ROWS($AG$2:AG944),$AG$2:$AG$1001,0),MATCH(COLUMNS($AN$1006:BA1006),$AN$1006:$BO$1006,0)), HYPERLINK("#",""), HYPERLINK(CONCATENATE("#Metadata!", ADDRESS(INDEX($AI$2:$AI$1001,MATCH(ROWS($AG$2:AG944),$AG$2:$AG$1001,0),0), INDEX($AN$1004:$BO$1004,1,MATCH(COLUMNS($AN$1006:BA1006),$AN$1006:$BO$1006,0)))),"Fix")))</f>
        <v>0</v>
      </c>
      <c r="P944" s="4">
        <f>IF(OR(INDEX($AH$2:$AH$1001,MATCH(ROWS($AG$2:AG944),$AG$2:$AG$1001,0),1)&gt;=100000,INDEX($AN$1005:$BO$1005,1,MATCH(COLUMNS($AN$1006:BB1006),$AN$1006:$BO$1006,0))&gt;=100000), " ",IF(INDEX($AN$2:$BO$1001,MATCH(ROWS($AG$2:AG944),$AG$2:$AG$1001,0),MATCH(COLUMNS($AN$1006:BB1006),$AN$1006:$BO$1006,0)), HYPERLINK("#",""), HYPERLINK(CONCATENATE("#Metadata!", ADDRESS(INDEX($AI$2:$AI$1001,MATCH(ROWS($AG$2:AG944),$AG$2:$AG$1001,0),0), INDEX($AN$1004:$BO$1004,1,MATCH(COLUMNS($AN$1006:BB1006),$AN$1006:$BO$1006,0)))),"Fix")))</f>
        <v>0</v>
      </c>
      <c r="Q944" s="4">
        <f>IF(OR(INDEX($AH$2:$AH$1001,MATCH(ROWS($AG$2:AG944),$AG$2:$AG$1001,0),1)&gt;=100000,INDEX($AN$1005:$BO$1005,1,MATCH(COLUMNS($AN$1006:BC1006),$AN$1006:$BO$1006,0))&gt;=100000), " ",IF(INDEX($AN$2:$BO$1001,MATCH(ROWS($AG$2:AG944),$AG$2:$AG$1001,0),MATCH(COLUMNS($AN$1006:BC1006),$AN$1006:$BO$1006,0)), HYPERLINK("#",""), HYPERLINK(CONCATENATE("#Metadata!", ADDRESS(INDEX($AI$2:$AI$1001,MATCH(ROWS($AG$2:AG944),$AG$2:$AG$1001,0),0), INDEX($AN$1004:$BO$1004,1,MATCH(COLUMNS($AN$1006:BC1006),$AN$1006:$BO$1006,0)))),"Fix")))</f>
        <v>0</v>
      </c>
      <c r="R944" s="4">
        <f>IF(OR(INDEX($AH$2:$AH$1001,MATCH(ROWS($AG$2:AG944),$AG$2:$AG$1001,0),1)&gt;=100000,INDEX($AN$1005:$BO$1005,1,MATCH(COLUMNS($AN$1006:BD1006),$AN$1006:$BO$1006,0))&gt;=100000), " ",IF(INDEX($AN$2:$BO$1001,MATCH(ROWS($AG$2:AG944),$AG$2:$AG$1001,0),MATCH(COLUMNS($AN$1006:BD1006),$AN$1006:$BO$1006,0)), HYPERLINK("#",""), HYPERLINK(CONCATENATE("#Metadata!", ADDRESS(INDEX($AI$2:$AI$1001,MATCH(ROWS($AG$2:AG944),$AG$2:$AG$1001,0),0), INDEX($AN$1004:$BO$1004,1,MATCH(COLUMNS($AN$1006:BD1006),$AN$1006:$BO$1006,0)))),"Fix")))</f>
        <v>0</v>
      </c>
      <c r="S944" s="4">
        <f>IF(OR(INDEX($AH$2:$AH$1001,MATCH(ROWS($AG$2:AG944),$AG$2:$AG$1001,0),1)&gt;=100000,INDEX($AN$1005:$BO$1005,1,MATCH(COLUMNS($AN$1006:BE1006),$AN$1006:$BO$1006,0))&gt;=100000), " ",IF(INDEX($AN$2:$BO$1001,MATCH(ROWS($AG$2:AG944),$AG$2:$AG$1001,0),MATCH(COLUMNS($AN$1006:BE1006),$AN$1006:$BO$1006,0)), HYPERLINK("#",""), HYPERLINK(CONCATENATE("#Metadata!", ADDRESS(INDEX($AI$2:$AI$1001,MATCH(ROWS($AG$2:AG944),$AG$2:$AG$1001,0),0), INDEX($AN$1004:$BO$1004,1,MATCH(COLUMNS($AN$1006:BE1006),$AN$1006:$BO$1006,0)))),"Fix")))</f>
        <v>0</v>
      </c>
      <c r="T944" s="4">
        <f>IF(OR(INDEX($AH$2:$AH$1001,MATCH(ROWS($AG$2:AG944),$AG$2:$AG$1001,0),1)&gt;=100000,INDEX($AN$1005:$BO$1005,1,MATCH(COLUMNS($AN$1006:BF1006),$AN$1006:$BO$1006,0))&gt;=100000), " ",IF(INDEX($AN$2:$BO$1001,MATCH(ROWS($AG$2:AG944),$AG$2:$AG$1001,0),MATCH(COLUMNS($AN$1006:BF1006),$AN$1006:$BO$1006,0)), HYPERLINK("#",""), HYPERLINK(CONCATENATE("#Metadata!", ADDRESS(INDEX($AI$2:$AI$1001,MATCH(ROWS($AG$2:AG944),$AG$2:$AG$1001,0),0), INDEX($AN$1004:$BO$1004,1,MATCH(COLUMNS($AN$1006:BF1006),$AN$1006:$BO$1006,0)))),"Fix")))</f>
        <v>0</v>
      </c>
      <c r="U944" s="4">
        <f>IF(OR(INDEX($AH$2:$AH$1001,MATCH(ROWS($AG$2:AG944),$AG$2:$AG$1001,0),1)&gt;=100000,INDEX($AN$1005:$BO$1005,1,MATCH(COLUMNS($AN$1006:BG1006),$AN$1006:$BO$1006,0))&gt;=100000), " ",IF(INDEX($AN$2:$BO$1001,MATCH(ROWS($AG$2:AG944),$AG$2:$AG$1001,0),MATCH(COLUMNS($AN$1006:BG1006),$AN$1006:$BO$1006,0)), HYPERLINK("#",""), HYPERLINK(CONCATENATE("#Metadata!", ADDRESS(INDEX($AI$2:$AI$1001,MATCH(ROWS($AG$2:AG944),$AG$2:$AG$1001,0),0), INDEX($AN$1004:$BO$1004,1,MATCH(COLUMNS($AN$1006:BG1006),$AN$1006:$BO$1006,0)))),"Fix")))</f>
        <v>0</v>
      </c>
      <c r="V944" s="4">
        <f>IF(OR(INDEX($AH$2:$AH$1001,MATCH(ROWS($AG$2:AG944),$AG$2:$AG$1001,0),1)&gt;=100000,INDEX($AN$1005:$BO$1005,1,MATCH(COLUMNS($AN$1006:BH1006),$AN$1006:$BO$1006,0))&gt;=100000), " ",IF(INDEX($AN$2:$BO$1001,MATCH(ROWS($AG$2:AG944),$AG$2:$AG$1001,0),MATCH(COLUMNS($AN$1006:BH1006),$AN$1006:$BO$1006,0)), HYPERLINK("#",""), HYPERLINK(CONCATENATE("#Metadata!", ADDRESS(INDEX($AI$2:$AI$1001,MATCH(ROWS($AG$2:AG944),$AG$2:$AG$1001,0),0), INDEX($AN$1004:$BO$1004,1,MATCH(COLUMNS($AN$1006:BH1006),$AN$1006:$BO$1006,0)))),"Fix")))</f>
        <v>0</v>
      </c>
      <c r="W944" s="4">
        <f>IF(OR(INDEX($AH$2:$AH$1001,MATCH(ROWS($AG$2:AG944),$AG$2:$AG$1001,0),1)&gt;=100000,INDEX($AN$1005:$BO$1005,1,MATCH(COLUMNS($AN$1006:BI1006),$AN$1006:$BO$1006,0))&gt;=100000), " ",IF(INDEX($AN$2:$BO$1001,MATCH(ROWS($AG$2:AG944),$AG$2:$AG$1001,0),MATCH(COLUMNS($AN$1006:BI1006),$AN$1006:$BO$1006,0)), HYPERLINK("#",""), HYPERLINK(CONCATENATE("#Metadata!", ADDRESS(INDEX($AI$2:$AI$1001,MATCH(ROWS($AG$2:AG944),$AG$2:$AG$1001,0),0), INDEX($AN$1004:$BO$1004,1,MATCH(COLUMNS($AN$1006:BI1006),$AN$1006:$BO$1006,0)))),"Fix")))</f>
        <v>0</v>
      </c>
      <c r="X944" s="4">
        <f>IF(OR(INDEX($AH$2:$AH$1001,MATCH(ROWS($AG$2:AG944),$AG$2:$AG$1001,0),1)&gt;=100000,INDEX($AN$1005:$BO$1005,1,MATCH(COLUMNS($AN$1006:BJ1006),$AN$1006:$BO$1006,0))&gt;=100000), " ",IF(INDEX($AN$2:$BO$1001,MATCH(ROWS($AG$2:AG944),$AG$2:$AG$1001,0),MATCH(COLUMNS($AN$1006:BJ1006),$AN$1006:$BO$1006,0)), HYPERLINK("#",""), HYPERLINK(CONCATENATE("#Metadata!", ADDRESS(INDEX($AI$2:$AI$1001,MATCH(ROWS($AG$2:AG944),$AG$2:$AG$1001,0),0), INDEX($AN$1004:$BO$1004,1,MATCH(COLUMNS($AN$1006:BJ1006),$AN$1006:$BO$1006,0)))),"Fix")))</f>
        <v>0</v>
      </c>
      <c r="Y944" s="4">
        <f>IF(OR(INDEX($AH$2:$AH$1001,MATCH(ROWS($AG$2:AG944),$AG$2:$AG$1001,0),1)&gt;=100000,INDEX($AN$1005:$BO$1005,1,MATCH(COLUMNS($AN$1006:BK1006),$AN$1006:$BO$1006,0))&gt;=100000), " ",IF(INDEX($AN$2:$BO$1001,MATCH(ROWS($AG$2:AG944),$AG$2:$AG$1001,0),MATCH(COLUMNS($AN$1006:BK1006),$AN$1006:$BO$1006,0)), HYPERLINK("#",""), HYPERLINK(CONCATENATE("#Metadata!", ADDRESS(INDEX($AI$2:$AI$1001,MATCH(ROWS($AG$2:AG944),$AG$2:$AG$1001,0),0), INDEX($AN$1004:$BO$1004,1,MATCH(COLUMNS($AN$1006:BK1006),$AN$1006:$BO$1006,0)))),"Fix")))</f>
        <v>0</v>
      </c>
      <c r="Z944" s="4">
        <f>IF(OR(INDEX($AH$2:$AH$1001,MATCH(ROWS($AG$2:AG944),$AG$2:$AG$1001,0),1)&gt;=100000,INDEX($AN$1005:$BO$1005,1,MATCH(COLUMNS($AN$1006:BL1006),$AN$1006:$BO$1006,0))&gt;=100000), " ",IF(INDEX($AN$2:$BO$1001,MATCH(ROWS($AG$2:AG944),$AG$2:$AG$1001,0),MATCH(COLUMNS($AN$1006:BL1006),$AN$1006:$BO$1006,0)), HYPERLINK("#",""), HYPERLINK(CONCATENATE("#Metadata!", ADDRESS(INDEX($AI$2:$AI$1001,MATCH(ROWS($AG$2:AG944),$AG$2:$AG$1001,0),0), INDEX($AN$1004:$BO$1004,1,MATCH(COLUMNS($AN$1006:BL1006),$AN$1006:$BO$1006,0)))),"Fix")))</f>
        <v>0</v>
      </c>
      <c r="AA944" s="4">
        <f>IF(OR(INDEX($AH$2:$AH$1001,MATCH(ROWS($AG$2:AG944),$AG$2:$AG$1001,0),1)&gt;=100000,INDEX($AN$1005:$BO$1005,1,MATCH(COLUMNS($AN$1006:BM1006),$AN$1006:$BO$1006,0))&gt;=100000), " ",IF(INDEX($AN$2:$BO$1001,MATCH(ROWS($AG$2:AG944),$AG$2:$AG$1001,0),MATCH(COLUMNS($AN$1006:BM1006),$AN$1006:$BO$1006,0)), HYPERLINK("#",""), HYPERLINK(CONCATENATE("#Metadata!", ADDRESS(INDEX($AI$2:$AI$1001,MATCH(ROWS($AG$2:AG944),$AG$2:$AG$1001,0),0), INDEX($AN$1004:$BO$1004,1,MATCH(COLUMNS($AN$1006:BM1006),$AN$1006:$BO$1006,0)))),"Fix")))</f>
        <v>0</v>
      </c>
      <c r="AB944" s="4">
        <f>IF(OR(INDEX($AH$2:$AH$1001,MATCH(ROWS($AG$2:AG944),$AG$2:$AG$1001,0),1)&gt;=100000,INDEX($AN$1005:$BO$1005,1,MATCH(COLUMNS($AN$1006:BN1006),$AN$1006:$BO$1006,0))&gt;=100000), " ",IF(INDEX($AN$2:$BO$1001,MATCH(ROWS($AG$2:AG944),$AG$2:$AG$1001,0),MATCH(COLUMNS($AN$1006:BN1006),$AN$1006:$BO$1006,0)), HYPERLINK("#",""), HYPERLINK(CONCATENATE("#Metadata!", ADDRESS(INDEX($AI$2:$AI$1001,MATCH(ROWS($AG$2:AG944),$AG$2:$AG$1001,0),0), INDEX($AN$1004:$BO$1004,1,MATCH(COLUMNS($AN$1006:BN1006),$AN$1006:$BO$1006,0)))),"Fix")))</f>
        <v>0</v>
      </c>
      <c r="AC944" s="4">
        <f>IF(OR(INDEX($AH$2:$AH$1001,MATCH(ROWS($AG$2:AG944),$AG$2:$AG$1001,0),1)&gt;=100000,INDEX($AN$1005:$BO$1005,1,MATCH(COLUMNS($AN$1006:BO1006),$AN$1006:$BO$1006,0))&gt;=100000), " ",IF(INDEX($AN$2:$BO$1001,MATCH(ROWS($AG$2:AG944),$AG$2:$AG$1001,0),MATCH(COLUMNS($AN$1006:BO1006),$AN$1006:$BO$1006,0)), HYPERLINK("#",""), HYPERLINK(CONCATENATE("#Metadata!", ADDRESS(INDEX($AI$2:$AI$1001,MATCH(ROWS($AG$2:AG944),$AG$2:$AG$1001,0),0), INDEX($AN$1004:$BO$1004,1,MATCH(COLUMNS($AN$1006:BO1006),$AN$1006:$BO$1006,0)))),"Fix")))</f>
        <v>0</v>
      </c>
      <c r="AG944">
        <v>0</v>
      </c>
      <c r="AH944">
        <v>0</v>
      </c>
      <c r="AI944">
        <v>0</v>
      </c>
      <c r="AJ944">
        <f>IF(AK944,TRUE,AND(AN944:BO944))</f>
        <v>0</v>
      </c>
      <c r="AK944">
        <f>COUNTBLANK(Metadata!B944:AC944)=COLUMNS(Metadata!B944:AC944)</f>
        <v>0</v>
      </c>
      <c r="AL944">
        <v>0</v>
      </c>
      <c r="AN944">
        <f>AND(IF(Metadata!B944="",FALSE,TRUE),COUNTIF(Metadata!B:B, Metadata!B944) = 1,NOT(ISERROR(SUMPRODUCT(SEARCH(MID(Metadata!B944,ROW(INDIRECT("1:"&amp;LEN(Metadata!B944))), 1),"0123456789abcdefghijklmnopqrstuvwxyzABCDEFGHIJKLMNOPQRSTUVWXYZ.")))))</f>
        <v>0</v>
      </c>
      <c r="AO944">
        <f>IF(Metadata!C944="",FALSE,TRUE)</f>
        <v>0</v>
      </c>
      <c r="AP944">
        <f>IF(Metadata!D944="",FALSE,TRUE)</f>
        <v>0</v>
      </c>
      <c r="AQ944">
        <f>OR(AND(IF(Metadata!E944="",FALSE,TRUE),OR(exact(Metadata!E944,"not collected"),exact(Metadata!E944,"not provided"),exact(Metadata!E944,"restricted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R944">
        <f>IF(Metadata!F944="",FALSE,TRUE)</f>
        <v>0</v>
      </c>
      <c r="AS944">
        <f>OR(AND(IF(Metadata!G944="",FALSE,TRUE),OR(exact(Metadata!G944,"not collected"),exact(Metadata!G944,"not provided"))),AND(IF(Metadata!G944="",FALSE,TRUE),OR(exact(Metadata!G944,"TRUE"),exact(Metadata!G944,"FALSE"))))</f>
        <v>0</v>
      </c>
      <c r="AT944">
        <f>OR(AND(IF(Metadata!H944="",FALSE,TRUE),OR(exact(Metadata!H944,"not collected"),exact(Metadata!H944,"not provided"),exact(Metadata!H944,"restricted access"))),AND(IF(Metadata!H944="",FALSE,ISNUMBER(VALUE(Metadata!H944))),Metadata!H944&gt;=-413.0))</f>
        <v>0</v>
      </c>
      <c r="AU944">
        <f>AND(IF(Metadata!I944="",FALSE,TRUE),exact(Metadata!I944,"meters"))</f>
        <v>0</v>
      </c>
      <c r="AV944">
        <f>AND(IF(Metadata!J944="",FALSE,TRUE),OR(exact(Metadata!J944,"Host-associated"),exact(Metadata!J944,"Free-living")))</f>
        <v>0</v>
      </c>
      <c r="AW944">
        <f>AND(IF(Metadata!K944="",FALSE,TRUE),OR(exact(Metadata!K944,"Animal"),exact(Metadata!K944,"Fungus"),exact(Metadata!K944,"Plant"),exact(Metadata!K944,"Saline"),exact(Metadata!K944,"Non-saline")))</f>
        <v>0</v>
      </c>
      <c r="AX944">
        <f>AND(IF(Metadata!L944="",FALSE,TRUE),OR(exact(Metadata!L944,"Plant secretion"),exact(Metadata!L944,"Plant rhizosphere"),exact(Metadata!L944,"Plant surface"),exact(Metadata!L944,"Plant corpus"),exact(Metadata!L944,"Fungus surface"),exact(Metadata!L944,"Fungus corpus"),exact(Metadata!L944,"Animal surface"),exact(Metadata!L944,"Animal proximal gut"),exact(Metadata!L944,"Animal corpus"),exact(Metadata!L944,"Animal distal gut"),exact(Metadata!L944,"Animal secretion"),exact(Metadata!L944,"Sub-surface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Y944">
        <f>IF(Metadata!M944="",FALSE,TRUE)</f>
        <v>0</v>
      </c>
      <c r="AZ944">
        <f>IF(Metadata!N944="",FALSE,TRUE)</f>
        <v>0</v>
      </c>
      <c r="BA944">
        <f>IF(Metadata!O944="",FALSE,TRUE)</f>
        <v>0</v>
      </c>
      <c r="BB944">
        <f>OR(AND(IF(Metadata!P944="",FALSE,TRUE),OR(exact(Metadata!P944,"not collected"),exact(Metadata!P944,"not provided"),exact(Metadata!P944,"restricted access"))),AND(IF(Metadata!P944="",FALSE,TRUE),OR(exact(Metadata!P944,"air"),exact(Metadata!P944,"built environment"),exact(Metadata!P944,"host-associated"),exact(Metadata!P944,"human-associated"),exact(Metadata!P944,"human-skin"),exact(Metadata!P944,"human-oral"),exact(Metadata!P944,"human-gut"),exact(Metadata!P944,"human-vaginal"),exact(Metadata!P944,"microbial mat/biofilm"),exact(Metadata!P944,"misc environment"),exact(Metadata!P944,"plant-associated"),exact(Metadata!P944,"sediment"),exact(Metadata!P944,"soil"),exact(Metadata!P944,"wastewater/sludge"),exact(Metadata!P944,"water"))))</f>
        <v>0</v>
      </c>
      <c r="BC944">
        <f>IF(Metadata!Q944="",FALSE,TRUE)</f>
        <v>0</v>
      </c>
      <c r="BD944">
        <f>IF(Metadata!R944="",FALSE,TRUE)</f>
        <v>0</v>
      </c>
      <c r="BE944">
        <f>OR(AND(IF(Metadata!S944="",FALSE,TRUE),OR(exact(Metadata!S944,"not collected"),exact(Metadata!S944,"not provided"),exact(Metadata!S944,"restricted access"))),AND(IF(Metadata!S944="",FALSE,ISNUMBER(VALUE(Metadata!S944))),Metadata!S944&gt;=-90.00,Metadata!S944&lt;=90.00))</f>
        <v>0</v>
      </c>
      <c r="BF944">
        <f>AND(IF(Metadata!T944="",FALSE,TRUE),exact(Metadata!T944,"Decimal degrees"))</f>
        <v>0</v>
      </c>
      <c r="BG944">
        <f>OR(AND(IF(Metadata!U944="",FALSE,TRUE),OR(exact(Metadata!U944,"not collected"),exact(Metadata!U944,"not provided"),exact(Metadata!U944,"restricted access"))),AND(IF(Metadata!U944="",FALSE,ISNUMBER(VALUE(Metadata!U944))),Metadata!U944&gt;=-180.00,Metadata!U944&lt;=180.00))</f>
        <v>0</v>
      </c>
      <c r="BH944">
        <f>AND(IF(Metadata!V944="",FALSE,TRUE),exact(Metadata!V944,"Decimal degrees"))</f>
        <v>0</v>
      </c>
      <c r="BI944">
        <f>IF(Metadata!W944="",FALSE,TRUE)</f>
        <v>0</v>
      </c>
      <c r="BJ944">
        <f>OR(AND(IF(Metadata!X944="",FALSE,TRUE),OR(exact(Metadata!X944,"not collected"),exact(Metadata!X944,"not provided"),exact(Metadata!X944,"restricted access"))),AND(IF(Metadata!X944="",FALSE,TRUE),OR(exact(Metadata!X944,"TRUE"),exact(Metadata!X944,"FALSE"))))</f>
        <v>0</v>
      </c>
      <c r="BK944">
        <f>AND(IF(Metadata!Y944="",FALSE,TRUE),exact(Metadata!Y944,"other"))</f>
        <v>0</v>
      </c>
      <c r="BL944">
        <f>IF(Metadata!Z944="",FALSE,TRUE)</f>
        <v>0</v>
      </c>
      <c r="BM944">
        <f>OR(AND(IF(Metadata!AA944="",FALSE,TRUE),OR(exact(Metadata!AA944,"not collected"),exact(Metadata!AA944,"not provided"))),AND(IF(Metadata!AA944="",FALSE,IF(ISERROR(INT(Metadata!AA944)),FALSE,INT(Metadata!AA944)=Metadata!AA944)),Metadata!AA944&gt;0))</f>
        <v>0</v>
      </c>
      <c r="BN944">
        <f>AND(IF(Metadata!AB944="",FALSE,TRUE),exact(Metadata!AB944,"Not applicable"))</f>
        <v>0</v>
      </c>
      <c r="BO944">
        <f>IF(Metadata!AC944="",FALSE,TRUE)</f>
        <v>0</v>
      </c>
    </row>
    <row r="945" spans="1:67">
      <c r="A945" s="5">
        <f>IF(B945=" "," ",HYPERLINK(CONCATENATE("#metadata!",ADDRESS(INDEX($AI$2:$AI$1001,MATCH(ROWS($AG$2:AG945),$AG$2:$AG$1001,0),0),1)),INDEX($AL$2:$AL$1001,MATCH(ROWS($AG$2:AG945),$AG$2:$AG$1001,0),0)))</f>
        <v>0</v>
      </c>
      <c r="B945" s="4">
        <f>IF(OR(INDEX($AH$2:$AH$1001,MATCH(ROWS($AG$2:AG945),$AG$2:$AG$1001,0),1)&gt;=100000,INDEX($AN$1005:$BO$1005,1,MATCH(COLUMNS($AN$1006:AN1006),$AN$1006:$BO$1006,0))&gt;=100000), " ",IF(INDEX($AN$2:$BO$1001,MATCH(ROWS($AG$2:AG945),$AG$2:$AG$1001,0),MATCH(COLUMNS($AN$1006:AN1006),$AN$1006:$BO$1006,0)), HYPERLINK("#",""), HYPERLINK(CONCATENATE("#Metadata!", ADDRESS(INDEX($AI$2:$AI$1001,MATCH(ROWS($AG$2:AG945),$AG$2:$AG$1001,0),0), INDEX($AN$1004:$BO$1004,1,MATCH(COLUMNS($AN$1006:AN1006),$AN$1006:$BO$1006,0)))),"Fix")))</f>
        <v>0</v>
      </c>
      <c r="C945" s="4">
        <f>IF(OR(INDEX($AH$2:$AH$1001,MATCH(ROWS($AG$2:AG945),$AG$2:$AG$1001,0),1)&gt;=100000,INDEX($AN$1005:$BO$1005,1,MATCH(COLUMNS($AN$1006:AO1006),$AN$1006:$BO$1006,0))&gt;=100000), " ",IF(INDEX($AN$2:$BO$1001,MATCH(ROWS($AG$2:AG945),$AG$2:$AG$1001,0),MATCH(COLUMNS($AN$1006:AO1006),$AN$1006:$BO$1006,0)), HYPERLINK("#",""), HYPERLINK(CONCATENATE("#Metadata!", ADDRESS(INDEX($AI$2:$AI$1001,MATCH(ROWS($AG$2:AG945),$AG$2:$AG$1001,0),0), INDEX($AN$1004:$BO$1004,1,MATCH(COLUMNS($AN$1006:AO1006),$AN$1006:$BO$1006,0)))),"Fix")))</f>
        <v>0</v>
      </c>
      <c r="D945" s="4">
        <f>IF(OR(INDEX($AH$2:$AH$1001,MATCH(ROWS($AG$2:AG945),$AG$2:$AG$1001,0),1)&gt;=100000,INDEX($AN$1005:$BO$1005,1,MATCH(COLUMNS($AN$1006:AP1006),$AN$1006:$BO$1006,0))&gt;=100000), " ",IF(INDEX($AN$2:$BO$1001,MATCH(ROWS($AG$2:AG945),$AG$2:$AG$1001,0),MATCH(COLUMNS($AN$1006:AP1006),$AN$1006:$BO$1006,0)), HYPERLINK("#",""), HYPERLINK(CONCATENATE("#Metadata!", ADDRESS(INDEX($AI$2:$AI$1001,MATCH(ROWS($AG$2:AG945),$AG$2:$AG$1001,0),0), INDEX($AN$1004:$BO$1004,1,MATCH(COLUMNS($AN$1006:AP1006),$AN$1006:$BO$1006,0)))),"Fix")))</f>
        <v>0</v>
      </c>
      <c r="E945" s="4">
        <f>IF(OR(INDEX($AH$2:$AH$1001,MATCH(ROWS($AG$2:AG945),$AG$2:$AG$1001,0),1)&gt;=100000,INDEX($AN$1005:$BO$1005,1,MATCH(COLUMNS($AN$1006:AQ1006),$AN$1006:$BO$1006,0))&gt;=100000), " ",IF(INDEX($AN$2:$BO$1001,MATCH(ROWS($AG$2:AG945),$AG$2:$AG$1001,0),MATCH(COLUMNS($AN$1006:AQ1006),$AN$1006:$BO$1006,0)), HYPERLINK("#",""), HYPERLINK(CONCATENATE("#Metadata!", ADDRESS(INDEX($AI$2:$AI$1001,MATCH(ROWS($AG$2:AG945),$AG$2:$AG$1001,0),0), INDEX($AN$1004:$BO$1004,1,MATCH(COLUMNS($AN$1006:AQ1006),$AN$1006:$BO$1006,0)))),"Fix")))</f>
        <v>0</v>
      </c>
      <c r="F945" s="4">
        <f>IF(OR(INDEX($AH$2:$AH$1001,MATCH(ROWS($AG$2:AG945),$AG$2:$AG$1001,0),1)&gt;=100000,INDEX($AN$1005:$BO$1005,1,MATCH(COLUMNS($AN$1006:AR1006),$AN$1006:$BO$1006,0))&gt;=100000), " ",IF(INDEX($AN$2:$BO$1001,MATCH(ROWS($AG$2:AG945),$AG$2:$AG$1001,0),MATCH(COLUMNS($AN$1006:AR1006),$AN$1006:$BO$1006,0)), HYPERLINK("#",""), HYPERLINK(CONCATENATE("#Metadata!", ADDRESS(INDEX($AI$2:$AI$1001,MATCH(ROWS($AG$2:AG945),$AG$2:$AG$1001,0),0), INDEX($AN$1004:$BO$1004,1,MATCH(COLUMNS($AN$1006:AR1006),$AN$1006:$BO$1006,0)))),"Fix")))</f>
        <v>0</v>
      </c>
      <c r="G945" s="4">
        <f>IF(OR(INDEX($AH$2:$AH$1001,MATCH(ROWS($AG$2:AG945),$AG$2:$AG$1001,0),1)&gt;=100000,INDEX($AN$1005:$BO$1005,1,MATCH(COLUMNS($AN$1006:AS1006),$AN$1006:$BO$1006,0))&gt;=100000), " ",IF(INDEX($AN$2:$BO$1001,MATCH(ROWS($AG$2:AG945),$AG$2:$AG$1001,0),MATCH(COLUMNS($AN$1006:AS1006),$AN$1006:$BO$1006,0)), HYPERLINK("#",""), HYPERLINK(CONCATENATE("#Metadata!", ADDRESS(INDEX($AI$2:$AI$1001,MATCH(ROWS($AG$2:AG945),$AG$2:$AG$1001,0),0), INDEX($AN$1004:$BO$1004,1,MATCH(COLUMNS($AN$1006:AS1006),$AN$1006:$BO$1006,0)))),"Fix")))</f>
        <v>0</v>
      </c>
      <c r="H945" s="4">
        <f>IF(OR(INDEX($AH$2:$AH$1001,MATCH(ROWS($AG$2:AG945),$AG$2:$AG$1001,0),1)&gt;=100000,INDEX($AN$1005:$BO$1005,1,MATCH(COLUMNS($AN$1006:AT1006),$AN$1006:$BO$1006,0))&gt;=100000), " ",IF(INDEX($AN$2:$BO$1001,MATCH(ROWS($AG$2:AG945),$AG$2:$AG$1001,0),MATCH(COLUMNS($AN$1006:AT1006),$AN$1006:$BO$1006,0)), HYPERLINK("#",""), HYPERLINK(CONCATENATE("#Metadata!", ADDRESS(INDEX($AI$2:$AI$1001,MATCH(ROWS($AG$2:AG945),$AG$2:$AG$1001,0),0), INDEX($AN$1004:$BO$1004,1,MATCH(COLUMNS($AN$1006:AT1006),$AN$1006:$BO$1006,0)))),"Fix")))</f>
        <v>0</v>
      </c>
      <c r="I945" s="4">
        <f>IF(OR(INDEX($AH$2:$AH$1001,MATCH(ROWS($AG$2:AG945),$AG$2:$AG$1001,0),1)&gt;=100000,INDEX($AN$1005:$BO$1005,1,MATCH(COLUMNS($AN$1006:AU1006),$AN$1006:$BO$1006,0))&gt;=100000), " ",IF(INDEX($AN$2:$BO$1001,MATCH(ROWS($AG$2:AG945),$AG$2:$AG$1001,0),MATCH(COLUMNS($AN$1006:AU1006),$AN$1006:$BO$1006,0)), HYPERLINK("#",""), HYPERLINK(CONCATENATE("#Metadata!", ADDRESS(INDEX($AI$2:$AI$1001,MATCH(ROWS($AG$2:AG945),$AG$2:$AG$1001,0),0), INDEX($AN$1004:$BO$1004,1,MATCH(COLUMNS($AN$1006:AU1006),$AN$1006:$BO$1006,0)))),"Fix")))</f>
        <v>0</v>
      </c>
      <c r="J945" s="4">
        <f>IF(OR(INDEX($AH$2:$AH$1001,MATCH(ROWS($AG$2:AG945),$AG$2:$AG$1001,0),1)&gt;=100000,INDEX($AN$1005:$BO$1005,1,MATCH(COLUMNS($AN$1006:AV1006),$AN$1006:$BO$1006,0))&gt;=100000), " ",IF(INDEX($AN$2:$BO$1001,MATCH(ROWS($AG$2:AG945),$AG$2:$AG$1001,0),MATCH(COLUMNS($AN$1006:AV1006),$AN$1006:$BO$1006,0)), HYPERLINK("#",""), HYPERLINK(CONCATENATE("#Metadata!", ADDRESS(INDEX($AI$2:$AI$1001,MATCH(ROWS($AG$2:AG945),$AG$2:$AG$1001,0),0), INDEX($AN$1004:$BO$1004,1,MATCH(COLUMNS($AN$1006:AV1006),$AN$1006:$BO$1006,0)))),"Fix")))</f>
        <v>0</v>
      </c>
      <c r="K945" s="4">
        <f>IF(OR(INDEX($AH$2:$AH$1001,MATCH(ROWS($AG$2:AG945),$AG$2:$AG$1001,0),1)&gt;=100000,INDEX($AN$1005:$BO$1005,1,MATCH(COLUMNS($AN$1006:AW1006),$AN$1006:$BO$1006,0))&gt;=100000), " ",IF(INDEX($AN$2:$BO$1001,MATCH(ROWS($AG$2:AG945),$AG$2:$AG$1001,0),MATCH(COLUMNS($AN$1006:AW1006),$AN$1006:$BO$1006,0)), HYPERLINK("#",""), HYPERLINK(CONCATENATE("#Metadata!", ADDRESS(INDEX($AI$2:$AI$1001,MATCH(ROWS($AG$2:AG945),$AG$2:$AG$1001,0),0), INDEX($AN$1004:$BO$1004,1,MATCH(COLUMNS($AN$1006:AW1006),$AN$1006:$BO$1006,0)))),"Fix")))</f>
        <v>0</v>
      </c>
      <c r="L945" s="4">
        <f>IF(OR(INDEX($AH$2:$AH$1001,MATCH(ROWS($AG$2:AG945),$AG$2:$AG$1001,0),1)&gt;=100000,INDEX($AN$1005:$BO$1005,1,MATCH(COLUMNS($AN$1006:AX1006),$AN$1006:$BO$1006,0))&gt;=100000), " ",IF(INDEX($AN$2:$BO$1001,MATCH(ROWS($AG$2:AG945),$AG$2:$AG$1001,0),MATCH(COLUMNS($AN$1006:AX1006),$AN$1006:$BO$1006,0)), HYPERLINK("#",""), HYPERLINK(CONCATENATE("#Metadata!", ADDRESS(INDEX($AI$2:$AI$1001,MATCH(ROWS($AG$2:AG945),$AG$2:$AG$1001,0),0), INDEX($AN$1004:$BO$1004,1,MATCH(COLUMNS($AN$1006:AX1006),$AN$1006:$BO$1006,0)))),"Fix")))</f>
        <v>0</v>
      </c>
      <c r="M945" s="4">
        <f>IF(OR(INDEX($AH$2:$AH$1001,MATCH(ROWS($AG$2:AG945),$AG$2:$AG$1001,0),1)&gt;=100000,INDEX($AN$1005:$BO$1005,1,MATCH(COLUMNS($AN$1006:AY1006),$AN$1006:$BO$1006,0))&gt;=100000), " ",IF(INDEX($AN$2:$BO$1001,MATCH(ROWS($AG$2:AG945),$AG$2:$AG$1001,0),MATCH(COLUMNS($AN$1006:AY1006),$AN$1006:$BO$1006,0)), HYPERLINK("#",""), HYPERLINK(CONCATENATE("#Metadata!", ADDRESS(INDEX($AI$2:$AI$1001,MATCH(ROWS($AG$2:AG945),$AG$2:$AG$1001,0),0), INDEX($AN$1004:$BO$1004,1,MATCH(COLUMNS($AN$1006:AY1006),$AN$1006:$BO$1006,0)))),"Fix")))</f>
        <v>0</v>
      </c>
      <c r="N945" s="4">
        <f>IF(OR(INDEX($AH$2:$AH$1001,MATCH(ROWS($AG$2:AG945),$AG$2:$AG$1001,0),1)&gt;=100000,INDEX($AN$1005:$BO$1005,1,MATCH(COLUMNS($AN$1006:AZ1006),$AN$1006:$BO$1006,0))&gt;=100000), " ",IF(INDEX($AN$2:$BO$1001,MATCH(ROWS($AG$2:AG945),$AG$2:$AG$1001,0),MATCH(COLUMNS($AN$1006:AZ1006),$AN$1006:$BO$1006,0)), HYPERLINK("#",""), HYPERLINK(CONCATENATE("#Metadata!", ADDRESS(INDEX($AI$2:$AI$1001,MATCH(ROWS($AG$2:AG945),$AG$2:$AG$1001,0),0), INDEX($AN$1004:$BO$1004,1,MATCH(COLUMNS($AN$1006:AZ1006),$AN$1006:$BO$1006,0)))),"Fix")))</f>
        <v>0</v>
      </c>
      <c r="O945" s="4">
        <f>IF(OR(INDEX($AH$2:$AH$1001,MATCH(ROWS($AG$2:AG945),$AG$2:$AG$1001,0),1)&gt;=100000,INDEX($AN$1005:$BO$1005,1,MATCH(COLUMNS($AN$1006:BA1006),$AN$1006:$BO$1006,0))&gt;=100000), " ",IF(INDEX($AN$2:$BO$1001,MATCH(ROWS($AG$2:AG945),$AG$2:$AG$1001,0),MATCH(COLUMNS($AN$1006:BA1006),$AN$1006:$BO$1006,0)), HYPERLINK("#",""), HYPERLINK(CONCATENATE("#Metadata!", ADDRESS(INDEX($AI$2:$AI$1001,MATCH(ROWS($AG$2:AG945),$AG$2:$AG$1001,0),0), INDEX($AN$1004:$BO$1004,1,MATCH(COLUMNS($AN$1006:BA1006),$AN$1006:$BO$1006,0)))),"Fix")))</f>
        <v>0</v>
      </c>
      <c r="P945" s="4">
        <f>IF(OR(INDEX($AH$2:$AH$1001,MATCH(ROWS($AG$2:AG945),$AG$2:$AG$1001,0),1)&gt;=100000,INDEX($AN$1005:$BO$1005,1,MATCH(COLUMNS($AN$1006:BB1006),$AN$1006:$BO$1006,0))&gt;=100000), " ",IF(INDEX($AN$2:$BO$1001,MATCH(ROWS($AG$2:AG945),$AG$2:$AG$1001,0),MATCH(COLUMNS($AN$1006:BB1006),$AN$1006:$BO$1006,0)), HYPERLINK("#",""), HYPERLINK(CONCATENATE("#Metadata!", ADDRESS(INDEX($AI$2:$AI$1001,MATCH(ROWS($AG$2:AG945),$AG$2:$AG$1001,0),0), INDEX($AN$1004:$BO$1004,1,MATCH(COLUMNS($AN$1006:BB1006),$AN$1006:$BO$1006,0)))),"Fix")))</f>
        <v>0</v>
      </c>
      <c r="Q945" s="4">
        <f>IF(OR(INDEX($AH$2:$AH$1001,MATCH(ROWS($AG$2:AG945),$AG$2:$AG$1001,0),1)&gt;=100000,INDEX($AN$1005:$BO$1005,1,MATCH(COLUMNS($AN$1006:BC1006),$AN$1006:$BO$1006,0))&gt;=100000), " ",IF(INDEX($AN$2:$BO$1001,MATCH(ROWS($AG$2:AG945),$AG$2:$AG$1001,0),MATCH(COLUMNS($AN$1006:BC1006),$AN$1006:$BO$1006,0)), HYPERLINK("#",""), HYPERLINK(CONCATENATE("#Metadata!", ADDRESS(INDEX($AI$2:$AI$1001,MATCH(ROWS($AG$2:AG945),$AG$2:$AG$1001,0),0), INDEX($AN$1004:$BO$1004,1,MATCH(COLUMNS($AN$1006:BC1006),$AN$1006:$BO$1006,0)))),"Fix")))</f>
        <v>0</v>
      </c>
      <c r="R945" s="4">
        <f>IF(OR(INDEX($AH$2:$AH$1001,MATCH(ROWS($AG$2:AG945),$AG$2:$AG$1001,0),1)&gt;=100000,INDEX($AN$1005:$BO$1005,1,MATCH(COLUMNS($AN$1006:BD1006),$AN$1006:$BO$1006,0))&gt;=100000), " ",IF(INDEX($AN$2:$BO$1001,MATCH(ROWS($AG$2:AG945),$AG$2:$AG$1001,0),MATCH(COLUMNS($AN$1006:BD1006),$AN$1006:$BO$1006,0)), HYPERLINK("#",""), HYPERLINK(CONCATENATE("#Metadata!", ADDRESS(INDEX($AI$2:$AI$1001,MATCH(ROWS($AG$2:AG945),$AG$2:$AG$1001,0),0), INDEX($AN$1004:$BO$1004,1,MATCH(COLUMNS($AN$1006:BD1006),$AN$1006:$BO$1006,0)))),"Fix")))</f>
        <v>0</v>
      </c>
      <c r="S945" s="4">
        <f>IF(OR(INDEX($AH$2:$AH$1001,MATCH(ROWS($AG$2:AG945),$AG$2:$AG$1001,0),1)&gt;=100000,INDEX($AN$1005:$BO$1005,1,MATCH(COLUMNS($AN$1006:BE1006),$AN$1006:$BO$1006,0))&gt;=100000), " ",IF(INDEX($AN$2:$BO$1001,MATCH(ROWS($AG$2:AG945),$AG$2:$AG$1001,0),MATCH(COLUMNS($AN$1006:BE1006),$AN$1006:$BO$1006,0)), HYPERLINK("#",""), HYPERLINK(CONCATENATE("#Metadata!", ADDRESS(INDEX($AI$2:$AI$1001,MATCH(ROWS($AG$2:AG945),$AG$2:$AG$1001,0),0), INDEX($AN$1004:$BO$1004,1,MATCH(COLUMNS($AN$1006:BE1006),$AN$1006:$BO$1006,0)))),"Fix")))</f>
        <v>0</v>
      </c>
      <c r="T945" s="4">
        <f>IF(OR(INDEX($AH$2:$AH$1001,MATCH(ROWS($AG$2:AG945),$AG$2:$AG$1001,0),1)&gt;=100000,INDEX($AN$1005:$BO$1005,1,MATCH(COLUMNS($AN$1006:BF1006),$AN$1006:$BO$1006,0))&gt;=100000), " ",IF(INDEX($AN$2:$BO$1001,MATCH(ROWS($AG$2:AG945),$AG$2:$AG$1001,0),MATCH(COLUMNS($AN$1006:BF1006),$AN$1006:$BO$1006,0)), HYPERLINK("#",""), HYPERLINK(CONCATENATE("#Metadata!", ADDRESS(INDEX($AI$2:$AI$1001,MATCH(ROWS($AG$2:AG945),$AG$2:$AG$1001,0),0), INDEX($AN$1004:$BO$1004,1,MATCH(COLUMNS($AN$1006:BF1006),$AN$1006:$BO$1006,0)))),"Fix")))</f>
        <v>0</v>
      </c>
      <c r="U945" s="4">
        <f>IF(OR(INDEX($AH$2:$AH$1001,MATCH(ROWS($AG$2:AG945),$AG$2:$AG$1001,0),1)&gt;=100000,INDEX($AN$1005:$BO$1005,1,MATCH(COLUMNS($AN$1006:BG1006),$AN$1006:$BO$1006,0))&gt;=100000), " ",IF(INDEX($AN$2:$BO$1001,MATCH(ROWS($AG$2:AG945),$AG$2:$AG$1001,0),MATCH(COLUMNS($AN$1006:BG1006),$AN$1006:$BO$1006,0)), HYPERLINK("#",""), HYPERLINK(CONCATENATE("#Metadata!", ADDRESS(INDEX($AI$2:$AI$1001,MATCH(ROWS($AG$2:AG945),$AG$2:$AG$1001,0),0), INDEX($AN$1004:$BO$1004,1,MATCH(COLUMNS($AN$1006:BG1006),$AN$1006:$BO$1006,0)))),"Fix")))</f>
        <v>0</v>
      </c>
      <c r="V945" s="4">
        <f>IF(OR(INDEX($AH$2:$AH$1001,MATCH(ROWS($AG$2:AG945),$AG$2:$AG$1001,0),1)&gt;=100000,INDEX($AN$1005:$BO$1005,1,MATCH(COLUMNS($AN$1006:BH1006),$AN$1006:$BO$1006,0))&gt;=100000), " ",IF(INDEX($AN$2:$BO$1001,MATCH(ROWS($AG$2:AG945),$AG$2:$AG$1001,0),MATCH(COLUMNS($AN$1006:BH1006),$AN$1006:$BO$1006,0)), HYPERLINK("#",""), HYPERLINK(CONCATENATE("#Metadata!", ADDRESS(INDEX($AI$2:$AI$1001,MATCH(ROWS($AG$2:AG945),$AG$2:$AG$1001,0),0), INDEX($AN$1004:$BO$1004,1,MATCH(COLUMNS($AN$1006:BH1006),$AN$1006:$BO$1006,0)))),"Fix")))</f>
        <v>0</v>
      </c>
      <c r="W945" s="4">
        <f>IF(OR(INDEX($AH$2:$AH$1001,MATCH(ROWS($AG$2:AG945),$AG$2:$AG$1001,0),1)&gt;=100000,INDEX($AN$1005:$BO$1005,1,MATCH(COLUMNS($AN$1006:BI1006),$AN$1006:$BO$1006,0))&gt;=100000), " ",IF(INDEX($AN$2:$BO$1001,MATCH(ROWS($AG$2:AG945),$AG$2:$AG$1001,0),MATCH(COLUMNS($AN$1006:BI1006),$AN$1006:$BO$1006,0)), HYPERLINK("#",""), HYPERLINK(CONCATENATE("#Metadata!", ADDRESS(INDEX($AI$2:$AI$1001,MATCH(ROWS($AG$2:AG945),$AG$2:$AG$1001,0),0), INDEX($AN$1004:$BO$1004,1,MATCH(COLUMNS($AN$1006:BI1006),$AN$1006:$BO$1006,0)))),"Fix")))</f>
        <v>0</v>
      </c>
      <c r="X945" s="4">
        <f>IF(OR(INDEX($AH$2:$AH$1001,MATCH(ROWS($AG$2:AG945),$AG$2:$AG$1001,0),1)&gt;=100000,INDEX($AN$1005:$BO$1005,1,MATCH(COLUMNS($AN$1006:BJ1006),$AN$1006:$BO$1006,0))&gt;=100000), " ",IF(INDEX($AN$2:$BO$1001,MATCH(ROWS($AG$2:AG945),$AG$2:$AG$1001,0),MATCH(COLUMNS($AN$1006:BJ1006),$AN$1006:$BO$1006,0)), HYPERLINK("#",""), HYPERLINK(CONCATENATE("#Metadata!", ADDRESS(INDEX($AI$2:$AI$1001,MATCH(ROWS($AG$2:AG945),$AG$2:$AG$1001,0),0), INDEX($AN$1004:$BO$1004,1,MATCH(COLUMNS($AN$1006:BJ1006),$AN$1006:$BO$1006,0)))),"Fix")))</f>
        <v>0</v>
      </c>
      <c r="Y945" s="4">
        <f>IF(OR(INDEX($AH$2:$AH$1001,MATCH(ROWS($AG$2:AG945),$AG$2:$AG$1001,0),1)&gt;=100000,INDEX($AN$1005:$BO$1005,1,MATCH(COLUMNS($AN$1006:BK1006),$AN$1006:$BO$1006,0))&gt;=100000), " ",IF(INDEX($AN$2:$BO$1001,MATCH(ROWS($AG$2:AG945),$AG$2:$AG$1001,0),MATCH(COLUMNS($AN$1006:BK1006),$AN$1006:$BO$1006,0)), HYPERLINK("#",""), HYPERLINK(CONCATENATE("#Metadata!", ADDRESS(INDEX($AI$2:$AI$1001,MATCH(ROWS($AG$2:AG945),$AG$2:$AG$1001,0),0), INDEX($AN$1004:$BO$1004,1,MATCH(COLUMNS($AN$1006:BK1006),$AN$1006:$BO$1006,0)))),"Fix")))</f>
        <v>0</v>
      </c>
      <c r="Z945" s="4">
        <f>IF(OR(INDEX($AH$2:$AH$1001,MATCH(ROWS($AG$2:AG945),$AG$2:$AG$1001,0),1)&gt;=100000,INDEX($AN$1005:$BO$1005,1,MATCH(COLUMNS($AN$1006:BL1006),$AN$1006:$BO$1006,0))&gt;=100000), " ",IF(INDEX($AN$2:$BO$1001,MATCH(ROWS($AG$2:AG945),$AG$2:$AG$1001,0),MATCH(COLUMNS($AN$1006:BL1006),$AN$1006:$BO$1006,0)), HYPERLINK("#",""), HYPERLINK(CONCATENATE("#Metadata!", ADDRESS(INDEX($AI$2:$AI$1001,MATCH(ROWS($AG$2:AG945),$AG$2:$AG$1001,0),0), INDEX($AN$1004:$BO$1004,1,MATCH(COLUMNS($AN$1006:BL1006),$AN$1006:$BO$1006,0)))),"Fix")))</f>
        <v>0</v>
      </c>
      <c r="AA945" s="4">
        <f>IF(OR(INDEX($AH$2:$AH$1001,MATCH(ROWS($AG$2:AG945),$AG$2:$AG$1001,0),1)&gt;=100000,INDEX($AN$1005:$BO$1005,1,MATCH(COLUMNS($AN$1006:BM1006),$AN$1006:$BO$1006,0))&gt;=100000), " ",IF(INDEX($AN$2:$BO$1001,MATCH(ROWS($AG$2:AG945),$AG$2:$AG$1001,0),MATCH(COLUMNS($AN$1006:BM1006),$AN$1006:$BO$1006,0)), HYPERLINK("#",""), HYPERLINK(CONCATENATE("#Metadata!", ADDRESS(INDEX($AI$2:$AI$1001,MATCH(ROWS($AG$2:AG945),$AG$2:$AG$1001,0),0), INDEX($AN$1004:$BO$1004,1,MATCH(COLUMNS($AN$1006:BM1006),$AN$1006:$BO$1006,0)))),"Fix")))</f>
        <v>0</v>
      </c>
      <c r="AB945" s="4">
        <f>IF(OR(INDEX($AH$2:$AH$1001,MATCH(ROWS($AG$2:AG945),$AG$2:$AG$1001,0),1)&gt;=100000,INDEX($AN$1005:$BO$1005,1,MATCH(COLUMNS($AN$1006:BN1006),$AN$1006:$BO$1006,0))&gt;=100000), " ",IF(INDEX($AN$2:$BO$1001,MATCH(ROWS($AG$2:AG945),$AG$2:$AG$1001,0),MATCH(COLUMNS($AN$1006:BN1006),$AN$1006:$BO$1006,0)), HYPERLINK("#",""), HYPERLINK(CONCATENATE("#Metadata!", ADDRESS(INDEX($AI$2:$AI$1001,MATCH(ROWS($AG$2:AG945),$AG$2:$AG$1001,0),0), INDEX($AN$1004:$BO$1004,1,MATCH(COLUMNS($AN$1006:BN1006),$AN$1006:$BO$1006,0)))),"Fix")))</f>
        <v>0</v>
      </c>
      <c r="AC945" s="4">
        <f>IF(OR(INDEX($AH$2:$AH$1001,MATCH(ROWS($AG$2:AG945),$AG$2:$AG$1001,0),1)&gt;=100000,INDEX($AN$1005:$BO$1005,1,MATCH(COLUMNS($AN$1006:BO1006),$AN$1006:$BO$1006,0))&gt;=100000), " ",IF(INDEX($AN$2:$BO$1001,MATCH(ROWS($AG$2:AG945),$AG$2:$AG$1001,0),MATCH(COLUMNS($AN$1006:BO1006),$AN$1006:$BO$1006,0)), HYPERLINK("#",""), HYPERLINK(CONCATENATE("#Metadata!", ADDRESS(INDEX($AI$2:$AI$1001,MATCH(ROWS($AG$2:AG945),$AG$2:$AG$1001,0),0), INDEX($AN$1004:$BO$1004,1,MATCH(COLUMNS($AN$1006:BO1006),$AN$1006:$BO$1006,0)))),"Fix")))</f>
        <v>0</v>
      </c>
      <c r="AG945">
        <v>0</v>
      </c>
      <c r="AH945">
        <v>0</v>
      </c>
      <c r="AI945">
        <v>0</v>
      </c>
      <c r="AJ945">
        <f>IF(AK945,TRUE,AND(AN945:BO945))</f>
        <v>0</v>
      </c>
      <c r="AK945">
        <f>COUNTBLANK(Metadata!B945:AC945)=COLUMNS(Metadata!B945:AC945)</f>
        <v>0</v>
      </c>
      <c r="AL945">
        <v>0</v>
      </c>
      <c r="AN945">
        <f>AND(IF(Metadata!B945="",FALSE,TRUE),COUNTIF(Metadata!B:B, Metadata!B945) = 1,NOT(ISERROR(SUMPRODUCT(SEARCH(MID(Metadata!B945,ROW(INDIRECT("1:"&amp;LEN(Metadata!B945))), 1),"0123456789abcdefghijklmnopqrstuvwxyzABCDEFGHIJKLMNOPQRSTUVWXYZ.")))))</f>
        <v>0</v>
      </c>
      <c r="AO945">
        <f>IF(Metadata!C945="",FALSE,TRUE)</f>
        <v>0</v>
      </c>
      <c r="AP945">
        <f>IF(Metadata!D945="",FALSE,TRUE)</f>
        <v>0</v>
      </c>
      <c r="AQ945">
        <f>OR(AND(IF(Metadata!E945="",FALSE,TRUE),OR(exact(Metadata!E945,"not collected"),exact(Metadata!E945,"not provided"),exact(Metadata!E945,"restricted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R945">
        <f>IF(Metadata!F945="",FALSE,TRUE)</f>
        <v>0</v>
      </c>
      <c r="AS945">
        <f>OR(AND(IF(Metadata!G945="",FALSE,TRUE),OR(exact(Metadata!G945,"not collected"),exact(Metadata!G945,"not provided"))),AND(IF(Metadata!G945="",FALSE,TRUE),OR(exact(Metadata!G945,"TRUE"),exact(Metadata!G945,"FALSE"))))</f>
        <v>0</v>
      </c>
      <c r="AT945">
        <f>OR(AND(IF(Metadata!H945="",FALSE,TRUE),OR(exact(Metadata!H945,"not collected"),exact(Metadata!H945,"not provided"),exact(Metadata!H945,"restricted access"))),AND(IF(Metadata!H945="",FALSE,ISNUMBER(VALUE(Metadata!H945))),Metadata!H945&gt;=-413.0))</f>
        <v>0</v>
      </c>
      <c r="AU945">
        <f>AND(IF(Metadata!I945="",FALSE,TRUE),exact(Metadata!I945,"meters"))</f>
        <v>0</v>
      </c>
      <c r="AV945">
        <f>AND(IF(Metadata!J945="",FALSE,TRUE),OR(exact(Metadata!J945,"Host-associated"),exact(Metadata!J945,"Free-living")))</f>
        <v>0</v>
      </c>
      <c r="AW945">
        <f>AND(IF(Metadata!K945="",FALSE,TRUE),OR(exact(Metadata!K945,"Animal"),exact(Metadata!K945,"Fungus"),exact(Metadata!K945,"Plant"),exact(Metadata!K945,"Saline"),exact(Metadata!K945,"Non-saline")))</f>
        <v>0</v>
      </c>
      <c r="AX945">
        <f>AND(IF(Metadata!L945="",FALSE,TRUE),OR(exact(Metadata!L945,"Plant secretion"),exact(Metadata!L945,"Plant rhizosphere"),exact(Metadata!L945,"Plant surface"),exact(Metadata!L945,"Plant corpus"),exact(Metadata!L945,"Fungus surface"),exact(Metadata!L945,"Fungus corpus"),exact(Metadata!L945,"Animal surface"),exact(Metadata!L945,"Animal proximal gut"),exact(Metadata!L945,"Animal corpus"),exact(Metadata!L945,"Animal distal gut"),exact(Metadata!L945,"Animal secretion"),exact(Metadata!L945,"Sub-surface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Y945">
        <f>IF(Metadata!M945="",FALSE,TRUE)</f>
        <v>0</v>
      </c>
      <c r="AZ945">
        <f>IF(Metadata!N945="",FALSE,TRUE)</f>
        <v>0</v>
      </c>
      <c r="BA945">
        <f>IF(Metadata!O945="",FALSE,TRUE)</f>
        <v>0</v>
      </c>
      <c r="BB945">
        <f>OR(AND(IF(Metadata!P945="",FALSE,TRUE),OR(exact(Metadata!P945,"not collected"),exact(Metadata!P945,"not provided"),exact(Metadata!P945,"restricted access"))),AND(IF(Metadata!P945="",FALSE,TRUE),OR(exact(Metadata!P945,"air"),exact(Metadata!P945,"built environment"),exact(Metadata!P945,"host-associated"),exact(Metadata!P945,"human-associated"),exact(Metadata!P945,"human-skin"),exact(Metadata!P945,"human-oral"),exact(Metadata!P945,"human-gut"),exact(Metadata!P945,"human-vaginal"),exact(Metadata!P945,"microbial mat/biofilm"),exact(Metadata!P945,"misc environment"),exact(Metadata!P945,"plant-associated"),exact(Metadata!P945,"sediment"),exact(Metadata!P945,"soil"),exact(Metadata!P945,"wastewater/sludge"),exact(Metadata!P945,"water"))))</f>
        <v>0</v>
      </c>
      <c r="BC945">
        <f>IF(Metadata!Q945="",FALSE,TRUE)</f>
        <v>0</v>
      </c>
      <c r="BD945">
        <f>IF(Metadata!R945="",FALSE,TRUE)</f>
        <v>0</v>
      </c>
      <c r="BE945">
        <f>OR(AND(IF(Metadata!S945="",FALSE,TRUE),OR(exact(Metadata!S945,"not collected"),exact(Metadata!S945,"not provided"),exact(Metadata!S945,"restricted access"))),AND(IF(Metadata!S945="",FALSE,ISNUMBER(VALUE(Metadata!S945))),Metadata!S945&gt;=-90.00,Metadata!S945&lt;=90.00))</f>
        <v>0</v>
      </c>
      <c r="BF945">
        <f>AND(IF(Metadata!T945="",FALSE,TRUE),exact(Metadata!T945,"Decimal degrees"))</f>
        <v>0</v>
      </c>
      <c r="BG945">
        <f>OR(AND(IF(Metadata!U945="",FALSE,TRUE),OR(exact(Metadata!U945,"not collected"),exact(Metadata!U945,"not provided"),exact(Metadata!U945,"restricted access"))),AND(IF(Metadata!U945="",FALSE,ISNUMBER(VALUE(Metadata!U945))),Metadata!U945&gt;=-180.00,Metadata!U945&lt;=180.00))</f>
        <v>0</v>
      </c>
      <c r="BH945">
        <f>AND(IF(Metadata!V945="",FALSE,TRUE),exact(Metadata!V945,"Decimal degrees"))</f>
        <v>0</v>
      </c>
      <c r="BI945">
        <f>IF(Metadata!W945="",FALSE,TRUE)</f>
        <v>0</v>
      </c>
      <c r="BJ945">
        <f>OR(AND(IF(Metadata!X945="",FALSE,TRUE),OR(exact(Metadata!X945,"not collected"),exact(Metadata!X945,"not provided"),exact(Metadata!X945,"restricted access"))),AND(IF(Metadata!X945="",FALSE,TRUE),OR(exact(Metadata!X945,"TRUE"),exact(Metadata!X945,"FALSE"))))</f>
        <v>0</v>
      </c>
      <c r="BK945">
        <f>AND(IF(Metadata!Y945="",FALSE,TRUE),exact(Metadata!Y945,"other"))</f>
        <v>0</v>
      </c>
      <c r="BL945">
        <f>IF(Metadata!Z945="",FALSE,TRUE)</f>
        <v>0</v>
      </c>
      <c r="BM945">
        <f>OR(AND(IF(Metadata!AA945="",FALSE,TRUE),OR(exact(Metadata!AA945,"not collected"),exact(Metadata!AA945,"not provided"))),AND(IF(Metadata!AA945="",FALSE,IF(ISERROR(INT(Metadata!AA945)),FALSE,INT(Metadata!AA945)=Metadata!AA945)),Metadata!AA945&gt;0))</f>
        <v>0</v>
      </c>
      <c r="BN945">
        <f>AND(IF(Metadata!AB945="",FALSE,TRUE),exact(Metadata!AB945,"Not applicable"))</f>
        <v>0</v>
      </c>
      <c r="BO945">
        <f>IF(Metadata!AC945="",FALSE,TRUE)</f>
        <v>0</v>
      </c>
    </row>
    <row r="946" spans="1:67">
      <c r="A946" s="5">
        <f>IF(B946=" "," ",HYPERLINK(CONCATENATE("#metadata!",ADDRESS(INDEX($AI$2:$AI$1001,MATCH(ROWS($AG$2:AG946),$AG$2:$AG$1001,0),0),1)),INDEX($AL$2:$AL$1001,MATCH(ROWS($AG$2:AG946),$AG$2:$AG$1001,0),0)))</f>
        <v>0</v>
      </c>
      <c r="B946" s="4">
        <f>IF(OR(INDEX($AH$2:$AH$1001,MATCH(ROWS($AG$2:AG946),$AG$2:$AG$1001,0),1)&gt;=100000,INDEX($AN$1005:$BO$1005,1,MATCH(COLUMNS($AN$1006:AN1006),$AN$1006:$BO$1006,0))&gt;=100000), " ",IF(INDEX($AN$2:$BO$1001,MATCH(ROWS($AG$2:AG946),$AG$2:$AG$1001,0),MATCH(COLUMNS($AN$1006:AN1006),$AN$1006:$BO$1006,0)), HYPERLINK("#",""), HYPERLINK(CONCATENATE("#Metadata!", ADDRESS(INDEX($AI$2:$AI$1001,MATCH(ROWS($AG$2:AG946),$AG$2:$AG$1001,0),0), INDEX($AN$1004:$BO$1004,1,MATCH(COLUMNS($AN$1006:AN1006),$AN$1006:$BO$1006,0)))),"Fix")))</f>
        <v>0</v>
      </c>
      <c r="C946" s="4">
        <f>IF(OR(INDEX($AH$2:$AH$1001,MATCH(ROWS($AG$2:AG946),$AG$2:$AG$1001,0),1)&gt;=100000,INDEX($AN$1005:$BO$1005,1,MATCH(COLUMNS($AN$1006:AO1006),$AN$1006:$BO$1006,0))&gt;=100000), " ",IF(INDEX($AN$2:$BO$1001,MATCH(ROWS($AG$2:AG946),$AG$2:$AG$1001,0),MATCH(COLUMNS($AN$1006:AO1006),$AN$1006:$BO$1006,0)), HYPERLINK("#",""), HYPERLINK(CONCATENATE("#Metadata!", ADDRESS(INDEX($AI$2:$AI$1001,MATCH(ROWS($AG$2:AG946),$AG$2:$AG$1001,0),0), INDEX($AN$1004:$BO$1004,1,MATCH(COLUMNS($AN$1006:AO1006),$AN$1006:$BO$1006,0)))),"Fix")))</f>
        <v>0</v>
      </c>
      <c r="D946" s="4">
        <f>IF(OR(INDEX($AH$2:$AH$1001,MATCH(ROWS($AG$2:AG946),$AG$2:$AG$1001,0),1)&gt;=100000,INDEX($AN$1005:$BO$1005,1,MATCH(COLUMNS($AN$1006:AP1006),$AN$1006:$BO$1006,0))&gt;=100000), " ",IF(INDEX($AN$2:$BO$1001,MATCH(ROWS($AG$2:AG946),$AG$2:$AG$1001,0),MATCH(COLUMNS($AN$1006:AP1006),$AN$1006:$BO$1006,0)), HYPERLINK("#",""), HYPERLINK(CONCATENATE("#Metadata!", ADDRESS(INDEX($AI$2:$AI$1001,MATCH(ROWS($AG$2:AG946),$AG$2:$AG$1001,0),0), INDEX($AN$1004:$BO$1004,1,MATCH(COLUMNS($AN$1006:AP1006),$AN$1006:$BO$1006,0)))),"Fix")))</f>
        <v>0</v>
      </c>
      <c r="E946" s="4">
        <f>IF(OR(INDEX($AH$2:$AH$1001,MATCH(ROWS($AG$2:AG946),$AG$2:$AG$1001,0),1)&gt;=100000,INDEX($AN$1005:$BO$1005,1,MATCH(COLUMNS($AN$1006:AQ1006),$AN$1006:$BO$1006,0))&gt;=100000), " ",IF(INDEX($AN$2:$BO$1001,MATCH(ROWS($AG$2:AG946),$AG$2:$AG$1001,0),MATCH(COLUMNS($AN$1006:AQ1006),$AN$1006:$BO$1006,0)), HYPERLINK("#",""), HYPERLINK(CONCATENATE("#Metadata!", ADDRESS(INDEX($AI$2:$AI$1001,MATCH(ROWS($AG$2:AG946),$AG$2:$AG$1001,0),0), INDEX($AN$1004:$BO$1004,1,MATCH(COLUMNS($AN$1006:AQ1006),$AN$1006:$BO$1006,0)))),"Fix")))</f>
        <v>0</v>
      </c>
      <c r="F946" s="4">
        <f>IF(OR(INDEX($AH$2:$AH$1001,MATCH(ROWS($AG$2:AG946),$AG$2:$AG$1001,0),1)&gt;=100000,INDEX($AN$1005:$BO$1005,1,MATCH(COLUMNS($AN$1006:AR1006),$AN$1006:$BO$1006,0))&gt;=100000), " ",IF(INDEX($AN$2:$BO$1001,MATCH(ROWS($AG$2:AG946),$AG$2:$AG$1001,0),MATCH(COLUMNS($AN$1006:AR1006),$AN$1006:$BO$1006,0)), HYPERLINK("#",""), HYPERLINK(CONCATENATE("#Metadata!", ADDRESS(INDEX($AI$2:$AI$1001,MATCH(ROWS($AG$2:AG946),$AG$2:$AG$1001,0),0), INDEX($AN$1004:$BO$1004,1,MATCH(COLUMNS($AN$1006:AR1006),$AN$1006:$BO$1006,0)))),"Fix")))</f>
        <v>0</v>
      </c>
      <c r="G946" s="4">
        <f>IF(OR(INDEX($AH$2:$AH$1001,MATCH(ROWS($AG$2:AG946),$AG$2:$AG$1001,0),1)&gt;=100000,INDEX($AN$1005:$BO$1005,1,MATCH(COLUMNS($AN$1006:AS1006),$AN$1006:$BO$1006,0))&gt;=100000), " ",IF(INDEX($AN$2:$BO$1001,MATCH(ROWS($AG$2:AG946),$AG$2:$AG$1001,0),MATCH(COLUMNS($AN$1006:AS1006),$AN$1006:$BO$1006,0)), HYPERLINK("#",""), HYPERLINK(CONCATENATE("#Metadata!", ADDRESS(INDEX($AI$2:$AI$1001,MATCH(ROWS($AG$2:AG946),$AG$2:$AG$1001,0),0), INDEX($AN$1004:$BO$1004,1,MATCH(COLUMNS($AN$1006:AS1006),$AN$1006:$BO$1006,0)))),"Fix")))</f>
        <v>0</v>
      </c>
      <c r="H946" s="4">
        <f>IF(OR(INDEX($AH$2:$AH$1001,MATCH(ROWS($AG$2:AG946),$AG$2:$AG$1001,0),1)&gt;=100000,INDEX($AN$1005:$BO$1005,1,MATCH(COLUMNS($AN$1006:AT1006),$AN$1006:$BO$1006,0))&gt;=100000), " ",IF(INDEX($AN$2:$BO$1001,MATCH(ROWS($AG$2:AG946),$AG$2:$AG$1001,0),MATCH(COLUMNS($AN$1006:AT1006),$AN$1006:$BO$1006,0)), HYPERLINK("#",""), HYPERLINK(CONCATENATE("#Metadata!", ADDRESS(INDEX($AI$2:$AI$1001,MATCH(ROWS($AG$2:AG946),$AG$2:$AG$1001,0),0), INDEX($AN$1004:$BO$1004,1,MATCH(COLUMNS($AN$1006:AT1006),$AN$1006:$BO$1006,0)))),"Fix")))</f>
        <v>0</v>
      </c>
      <c r="I946" s="4">
        <f>IF(OR(INDEX($AH$2:$AH$1001,MATCH(ROWS($AG$2:AG946),$AG$2:$AG$1001,0),1)&gt;=100000,INDEX($AN$1005:$BO$1005,1,MATCH(COLUMNS($AN$1006:AU1006),$AN$1006:$BO$1006,0))&gt;=100000), " ",IF(INDEX($AN$2:$BO$1001,MATCH(ROWS($AG$2:AG946),$AG$2:$AG$1001,0),MATCH(COLUMNS($AN$1006:AU1006),$AN$1006:$BO$1006,0)), HYPERLINK("#",""), HYPERLINK(CONCATENATE("#Metadata!", ADDRESS(INDEX($AI$2:$AI$1001,MATCH(ROWS($AG$2:AG946),$AG$2:$AG$1001,0),0), INDEX($AN$1004:$BO$1004,1,MATCH(COLUMNS($AN$1006:AU1006),$AN$1006:$BO$1006,0)))),"Fix")))</f>
        <v>0</v>
      </c>
      <c r="J946" s="4">
        <f>IF(OR(INDEX($AH$2:$AH$1001,MATCH(ROWS($AG$2:AG946),$AG$2:$AG$1001,0),1)&gt;=100000,INDEX($AN$1005:$BO$1005,1,MATCH(COLUMNS($AN$1006:AV1006),$AN$1006:$BO$1006,0))&gt;=100000), " ",IF(INDEX($AN$2:$BO$1001,MATCH(ROWS($AG$2:AG946),$AG$2:$AG$1001,0),MATCH(COLUMNS($AN$1006:AV1006),$AN$1006:$BO$1006,0)), HYPERLINK("#",""), HYPERLINK(CONCATENATE("#Metadata!", ADDRESS(INDEX($AI$2:$AI$1001,MATCH(ROWS($AG$2:AG946),$AG$2:$AG$1001,0),0), INDEX($AN$1004:$BO$1004,1,MATCH(COLUMNS($AN$1006:AV1006),$AN$1006:$BO$1006,0)))),"Fix")))</f>
        <v>0</v>
      </c>
      <c r="K946" s="4">
        <f>IF(OR(INDEX($AH$2:$AH$1001,MATCH(ROWS($AG$2:AG946),$AG$2:$AG$1001,0),1)&gt;=100000,INDEX($AN$1005:$BO$1005,1,MATCH(COLUMNS($AN$1006:AW1006),$AN$1006:$BO$1006,0))&gt;=100000), " ",IF(INDEX($AN$2:$BO$1001,MATCH(ROWS($AG$2:AG946),$AG$2:$AG$1001,0),MATCH(COLUMNS($AN$1006:AW1006),$AN$1006:$BO$1006,0)), HYPERLINK("#",""), HYPERLINK(CONCATENATE("#Metadata!", ADDRESS(INDEX($AI$2:$AI$1001,MATCH(ROWS($AG$2:AG946),$AG$2:$AG$1001,0),0), INDEX($AN$1004:$BO$1004,1,MATCH(COLUMNS($AN$1006:AW1006),$AN$1006:$BO$1006,0)))),"Fix")))</f>
        <v>0</v>
      </c>
      <c r="L946" s="4">
        <f>IF(OR(INDEX($AH$2:$AH$1001,MATCH(ROWS($AG$2:AG946),$AG$2:$AG$1001,0),1)&gt;=100000,INDEX($AN$1005:$BO$1005,1,MATCH(COLUMNS($AN$1006:AX1006),$AN$1006:$BO$1006,0))&gt;=100000), " ",IF(INDEX($AN$2:$BO$1001,MATCH(ROWS($AG$2:AG946),$AG$2:$AG$1001,0),MATCH(COLUMNS($AN$1006:AX1006),$AN$1006:$BO$1006,0)), HYPERLINK("#",""), HYPERLINK(CONCATENATE("#Metadata!", ADDRESS(INDEX($AI$2:$AI$1001,MATCH(ROWS($AG$2:AG946),$AG$2:$AG$1001,0),0), INDEX($AN$1004:$BO$1004,1,MATCH(COLUMNS($AN$1006:AX1006),$AN$1006:$BO$1006,0)))),"Fix")))</f>
        <v>0</v>
      </c>
      <c r="M946" s="4">
        <f>IF(OR(INDEX($AH$2:$AH$1001,MATCH(ROWS($AG$2:AG946),$AG$2:$AG$1001,0),1)&gt;=100000,INDEX($AN$1005:$BO$1005,1,MATCH(COLUMNS($AN$1006:AY1006),$AN$1006:$BO$1006,0))&gt;=100000), " ",IF(INDEX($AN$2:$BO$1001,MATCH(ROWS($AG$2:AG946),$AG$2:$AG$1001,0),MATCH(COLUMNS($AN$1006:AY1006),$AN$1006:$BO$1006,0)), HYPERLINK("#",""), HYPERLINK(CONCATENATE("#Metadata!", ADDRESS(INDEX($AI$2:$AI$1001,MATCH(ROWS($AG$2:AG946),$AG$2:$AG$1001,0),0), INDEX($AN$1004:$BO$1004,1,MATCH(COLUMNS($AN$1006:AY1006),$AN$1006:$BO$1006,0)))),"Fix")))</f>
        <v>0</v>
      </c>
      <c r="N946" s="4">
        <f>IF(OR(INDEX($AH$2:$AH$1001,MATCH(ROWS($AG$2:AG946),$AG$2:$AG$1001,0),1)&gt;=100000,INDEX($AN$1005:$BO$1005,1,MATCH(COLUMNS($AN$1006:AZ1006),$AN$1006:$BO$1006,0))&gt;=100000), " ",IF(INDEX($AN$2:$BO$1001,MATCH(ROWS($AG$2:AG946),$AG$2:$AG$1001,0),MATCH(COLUMNS($AN$1006:AZ1006),$AN$1006:$BO$1006,0)), HYPERLINK("#",""), HYPERLINK(CONCATENATE("#Metadata!", ADDRESS(INDEX($AI$2:$AI$1001,MATCH(ROWS($AG$2:AG946),$AG$2:$AG$1001,0),0), INDEX($AN$1004:$BO$1004,1,MATCH(COLUMNS($AN$1006:AZ1006),$AN$1006:$BO$1006,0)))),"Fix")))</f>
        <v>0</v>
      </c>
      <c r="O946" s="4">
        <f>IF(OR(INDEX($AH$2:$AH$1001,MATCH(ROWS($AG$2:AG946),$AG$2:$AG$1001,0),1)&gt;=100000,INDEX($AN$1005:$BO$1005,1,MATCH(COLUMNS($AN$1006:BA1006),$AN$1006:$BO$1006,0))&gt;=100000), " ",IF(INDEX($AN$2:$BO$1001,MATCH(ROWS($AG$2:AG946),$AG$2:$AG$1001,0),MATCH(COLUMNS($AN$1006:BA1006),$AN$1006:$BO$1006,0)), HYPERLINK("#",""), HYPERLINK(CONCATENATE("#Metadata!", ADDRESS(INDEX($AI$2:$AI$1001,MATCH(ROWS($AG$2:AG946),$AG$2:$AG$1001,0),0), INDEX($AN$1004:$BO$1004,1,MATCH(COLUMNS($AN$1006:BA1006),$AN$1006:$BO$1006,0)))),"Fix")))</f>
        <v>0</v>
      </c>
      <c r="P946" s="4">
        <f>IF(OR(INDEX($AH$2:$AH$1001,MATCH(ROWS($AG$2:AG946),$AG$2:$AG$1001,0),1)&gt;=100000,INDEX($AN$1005:$BO$1005,1,MATCH(COLUMNS($AN$1006:BB1006),$AN$1006:$BO$1006,0))&gt;=100000), " ",IF(INDEX($AN$2:$BO$1001,MATCH(ROWS($AG$2:AG946),$AG$2:$AG$1001,0),MATCH(COLUMNS($AN$1006:BB1006),$AN$1006:$BO$1006,0)), HYPERLINK("#",""), HYPERLINK(CONCATENATE("#Metadata!", ADDRESS(INDEX($AI$2:$AI$1001,MATCH(ROWS($AG$2:AG946),$AG$2:$AG$1001,0),0), INDEX($AN$1004:$BO$1004,1,MATCH(COLUMNS($AN$1006:BB1006),$AN$1006:$BO$1006,0)))),"Fix")))</f>
        <v>0</v>
      </c>
      <c r="Q946" s="4">
        <f>IF(OR(INDEX($AH$2:$AH$1001,MATCH(ROWS($AG$2:AG946),$AG$2:$AG$1001,0),1)&gt;=100000,INDEX($AN$1005:$BO$1005,1,MATCH(COLUMNS($AN$1006:BC1006),$AN$1006:$BO$1006,0))&gt;=100000), " ",IF(INDEX($AN$2:$BO$1001,MATCH(ROWS($AG$2:AG946),$AG$2:$AG$1001,0),MATCH(COLUMNS($AN$1006:BC1006),$AN$1006:$BO$1006,0)), HYPERLINK("#",""), HYPERLINK(CONCATENATE("#Metadata!", ADDRESS(INDEX($AI$2:$AI$1001,MATCH(ROWS($AG$2:AG946),$AG$2:$AG$1001,0),0), INDEX($AN$1004:$BO$1004,1,MATCH(COLUMNS($AN$1006:BC1006),$AN$1006:$BO$1006,0)))),"Fix")))</f>
        <v>0</v>
      </c>
      <c r="R946" s="4">
        <f>IF(OR(INDEX($AH$2:$AH$1001,MATCH(ROWS($AG$2:AG946),$AG$2:$AG$1001,0),1)&gt;=100000,INDEX($AN$1005:$BO$1005,1,MATCH(COLUMNS($AN$1006:BD1006),$AN$1006:$BO$1006,0))&gt;=100000), " ",IF(INDEX($AN$2:$BO$1001,MATCH(ROWS($AG$2:AG946),$AG$2:$AG$1001,0),MATCH(COLUMNS($AN$1006:BD1006),$AN$1006:$BO$1006,0)), HYPERLINK("#",""), HYPERLINK(CONCATENATE("#Metadata!", ADDRESS(INDEX($AI$2:$AI$1001,MATCH(ROWS($AG$2:AG946),$AG$2:$AG$1001,0),0), INDEX($AN$1004:$BO$1004,1,MATCH(COLUMNS($AN$1006:BD1006),$AN$1006:$BO$1006,0)))),"Fix")))</f>
        <v>0</v>
      </c>
      <c r="S946" s="4">
        <f>IF(OR(INDEX($AH$2:$AH$1001,MATCH(ROWS($AG$2:AG946),$AG$2:$AG$1001,0),1)&gt;=100000,INDEX($AN$1005:$BO$1005,1,MATCH(COLUMNS($AN$1006:BE1006),$AN$1006:$BO$1006,0))&gt;=100000), " ",IF(INDEX($AN$2:$BO$1001,MATCH(ROWS($AG$2:AG946),$AG$2:$AG$1001,0),MATCH(COLUMNS($AN$1006:BE1006),$AN$1006:$BO$1006,0)), HYPERLINK("#",""), HYPERLINK(CONCATENATE("#Metadata!", ADDRESS(INDEX($AI$2:$AI$1001,MATCH(ROWS($AG$2:AG946),$AG$2:$AG$1001,0),0), INDEX($AN$1004:$BO$1004,1,MATCH(COLUMNS($AN$1006:BE1006),$AN$1006:$BO$1006,0)))),"Fix")))</f>
        <v>0</v>
      </c>
      <c r="T946" s="4">
        <f>IF(OR(INDEX($AH$2:$AH$1001,MATCH(ROWS($AG$2:AG946),$AG$2:$AG$1001,0),1)&gt;=100000,INDEX($AN$1005:$BO$1005,1,MATCH(COLUMNS($AN$1006:BF1006),$AN$1006:$BO$1006,0))&gt;=100000), " ",IF(INDEX($AN$2:$BO$1001,MATCH(ROWS($AG$2:AG946),$AG$2:$AG$1001,0),MATCH(COLUMNS($AN$1006:BF1006),$AN$1006:$BO$1006,0)), HYPERLINK("#",""), HYPERLINK(CONCATENATE("#Metadata!", ADDRESS(INDEX($AI$2:$AI$1001,MATCH(ROWS($AG$2:AG946),$AG$2:$AG$1001,0),0), INDEX($AN$1004:$BO$1004,1,MATCH(COLUMNS($AN$1006:BF1006),$AN$1006:$BO$1006,0)))),"Fix")))</f>
        <v>0</v>
      </c>
      <c r="U946" s="4">
        <f>IF(OR(INDEX($AH$2:$AH$1001,MATCH(ROWS($AG$2:AG946),$AG$2:$AG$1001,0),1)&gt;=100000,INDEX($AN$1005:$BO$1005,1,MATCH(COLUMNS($AN$1006:BG1006),$AN$1006:$BO$1006,0))&gt;=100000), " ",IF(INDEX($AN$2:$BO$1001,MATCH(ROWS($AG$2:AG946),$AG$2:$AG$1001,0),MATCH(COLUMNS($AN$1006:BG1006),$AN$1006:$BO$1006,0)), HYPERLINK("#",""), HYPERLINK(CONCATENATE("#Metadata!", ADDRESS(INDEX($AI$2:$AI$1001,MATCH(ROWS($AG$2:AG946),$AG$2:$AG$1001,0),0), INDEX($AN$1004:$BO$1004,1,MATCH(COLUMNS($AN$1006:BG1006),$AN$1006:$BO$1006,0)))),"Fix")))</f>
        <v>0</v>
      </c>
      <c r="V946" s="4">
        <f>IF(OR(INDEX($AH$2:$AH$1001,MATCH(ROWS($AG$2:AG946),$AG$2:$AG$1001,0),1)&gt;=100000,INDEX($AN$1005:$BO$1005,1,MATCH(COLUMNS($AN$1006:BH1006),$AN$1006:$BO$1006,0))&gt;=100000), " ",IF(INDEX($AN$2:$BO$1001,MATCH(ROWS($AG$2:AG946),$AG$2:$AG$1001,0),MATCH(COLUMNS($AN$1006:BH1006),$AN$1006:$BO$1006,0)), HYPERLINK("#",""), HYPERLINK(CONCATENATE("#Metadata!", ADDRESS(INDEX($AI$2:$AI$1001,MATCH(ROWS($AG$2:AG946),$AG$2:$AG$1001,0),0), INDEX($AN$1004:$BO$1004,1,MATCH(COLUMNS($AN$1006:BH1006),$AN$1006:$BO$1006,0)))),"Fix")))</f>
        <v>0</v>
      </c>
      <c r="W946" s="4">
        <f>IF(OR(INDEX($AH$2:$AH$1001,MATCH(ROWS($AG$2:AG946),$AG$2:$AG$1001,0),1)&gt;=100000,INDEX($AN$1005:$BO$1005,1,MATCH(COLUMNS($AN$1006:BI1006),$AN$1006:$BO$1006,0))&gt;=100000), " ",IF(INDEX($AN$2:$BO$1001,MATCH(ROWS($AG$2:AG946),$AG$2:$AG$1001,0),MATCH(COLUMNS($AN$1006:BI1006),$AN$1006:$BO$1006,0)), HYPERLINK("#",""), HYPERLINK(CONCATENATE("#Metadata!", ADDRESS(INDEX($AI$2:$AI$1001,MATCH(ROWS($AG$2:AG946),$AG$2:$AG$1001,0),0), INDEX($AN$1004:$BO$1004,1,MATCH(COLUMNS($AN$1006:BI1006),$AN$1006:$BO$1006,0)))),"Fix")))</f>
        <v>0</v>
      </c>
      <c r="X946" s="4">
        <f>IF(OR(INDEX($AH$2:$AH$1001,MATCH(ROWS($AG$2:AG946),$AG$2:$AG$1001,0),1)&gt;=100000,INDEX($AN$1005:$BO$1005,1,MATCH(COLUMNS($AN$1006:BJ1006),$AN$1006:$BO$1006,0))&gt;=100000), " ",IF(INDEX($AN$2:$BO$1001,MATCH(ROWS($AG$2:AG946),$AG$2:$AG$1001,0),MATCH(COLUMNS($AN$1006:BJ1006),$AN$1006:$BO$1006,0)), HYPERLINK("#",""), HYPERLINK(CONCATENATE("#Metadata!", ADDRESS(INDEX($AI$2:$AI$1001,MATCH(ROWS($AG$2:AG946),$AG$2:$AG$1001,0),0), INDEX($AN$1004:$BO$1004,1,MATCH(COLUMNS($AN$1006:BJ1006),$AN$1006:$BO$1006,0)))),"Fix")))</f>
        <v>0</v>
      </c>
      <c r="Y946" s="4">
        <f>IF(OR(INDEX($AH$2:$AH$1001,MATCH(ROWS($AG$2:AG946),$AG$2:$AG$1001,0),1)&gt;=100000,INDEX($AN$1005:$BO$1005,1,MATCH(COLUMNS($AN$1006:BK1006),$AN$1006:$BO$1006,0))&gt;=100000), " ",IF(INDEX($AN$2:$BO$1001,MATCH(ROWS($AG$2:AG946),$AG$2:$AG$1001,0),MATCH(COLUMNS($AN$1006:BK1006),$AN$1006:$BO$1006,0)), HYPERLINK("#",""), HYPERLINK(CONCATENATE("#Metadata!", ADDRESS(INDEX($AI$2:$AI$1001,MATCH(ROWS($AG$2:AG946),$AG$2:$AG$1001,0),0), INDEX($AN$1004:$BO$1004,1,MATCH(COLUMNS($AN$1006:BK1006),$AN$1006:$BO$1006,0)))),"Fix")))</f>
        <v>0</v>
      </c>
      <c r="Z946" s="4">
        <f>IF(OR(INDEX($AH$2:$AH$1001,MATCH(ROWS($AG$2:AG946),$AG$2:$AG$1001,0),1)&gt;=100000,INDEX($AN$1005:$BO$1005,1,MATCH(COLUMNS($AN$1006:BL1006),$AN$1006:$BO$1006,0))&gt;=100000), " ",IF(INDEX($AN$2:$BO$1001,MATCH(ROWS($AG$2:AG946),$AG$2:$AG$1001,0),MATCH(COLUMNS($AN$1006:BL1006),$AN$1006:$BO$1006,0)), HYPERLINK("#",""), HYPERLINK(CONCATENATE("#Metadata!", ADDRESS(INDEX($AI$2:$AI$1001,MATCH(ROWS($AG$2:AG946),$AG$2:$AG$1001,0),0), INDEX($AN$1004:$BO$1004,1,MATCH(COLUMNS($AN$1006:BL1006),$AN$1006:$BO$1006,0)))),"Fix")))</f>
        <v>0</v>
      </c>
      <c r="AA946" s="4">
        <f>IF(OR(INDEX($AH$2:$AH$1001,MATCH(ROWS($AG$2:AG946),$AG$2:$AG$1001,0),1)&gt;=100000,INDEX($AN$1005:$BO$1005,1,MATCH(COLUMNS($AN$1006:BM1006),$AN$1006:$BO$1006,0))&gt;=100000), " ",IF(INDEX($AN$2:$BO$1001,MATCH(ROWS($AG$2:AG946),$AG$2:$AG$1001,0),MATCH(COLUMNS($AN$1006:BM1006),$AN$1006:$BO$1006,0)), HYPERLINK("#",""), HYPERLINK(CONCATENATE("#Metadata!", ADDRESS(INDEX($AI$2:$AI$1001,MATCH(ROWS($AG$2:AG946),$AG$2:$AG$1001,0),0), INDEX($AN$1004:$BO$1004,1,MATCH(COLUMNS($AN$1006:BM1006),$AN$1006:$BO$1006,0)))),"Fix")))</f>
        <v>0</v>
      </c>
      <c r="AB946" s="4">
        <f>IF(OR(INDEX($AH$2:$AH$1001,MATCH(ROWS($AG$2:AG946),$AG$2:$AG$1001,0),1)&gt;=100000,INDEX($AN$1005:$BO$1005,1,MATCH(COLUMNS($AN$1006:BN1006),$AN$1006:$BO$1006,0))&gt;=100000), " ",IF(INDEX($AN$2:$BO$1001,MATCH(ROWS($AG$2:AG946),$AG$2:$AG$1001,0),MATCH(COLUMNS($AN$1006:BN1006),$AN$1006:$BO$1006,0)), HYPERLINK("#",""), HYPERLINK(CONCATENATE("#Metadata!", ADDRESS(INDEX($AI$2:$AI$1001,MATCH(ROWS($AG$2:AG946),$AG$2:$AG$1001,0),0), INDEX($AN$1004:$BO$1004,1,MATCH(COLUMNS($AN$1006:BN1006),$AN$1006:$BO$1006,0)))),"Fix")))</f>
        <v>0</v>
      </c>
      <c r="AC946" s="4">
        <f>IF(OR(INDEX($AH$2:$AH$1001,MATCH(ROWS($AG$2:AG946),$AG$2:$AG$1001,0),1)&gt;=100000,INDEX($AN$1005:$BO$1005,1,MATCH(COLUMNS($AN$1006:BO1006),$AN$1006:$BO$1006,0))&gt;=100000), " ",IF(INDEX($AN$2:$BO$1001,MATCH(ROWS($AG$2:AG946),$AG$2:$AG$1001,0),MATCH(COLUMNS($AN$1006:BO1006),$AN$1006:$BO$1006,0)), HYPERLINK("#",""), HYPERLINK(CONCATENATE("#Metadata!", ADDRESS(INDEX($AI$2:$AI$1001,MATCH(ROWS($AG$2:AG946),$AG$2:$AG$1001,0),0), INDEX($AN$1004:$BO$1004,1,MATCH(COLUMNS($AN$1006:BO1006),$AN$1006:$BO$1006,0)))),"Fix")))</f>
        <v>0</v>
      </c>
      <c r="AG946">
        <v>0</v>
      </c>
      <c r="AH946">
        <v>0</v>
      </c>
      <c r="AI946">
        <v>0</v>
      </c>
      <c r="AJ946">
        <f>IF(AK946,TRUE,AND(AN946:BO946))</f>
        <v>0</v>
      </c>
      <c r="AK946">
        <f>COUNTBLANK(Metadata!B946:AC946)=COLUMNS(Metadata!B946:AC946)</f>
        <v>0</v>
      </c>
      <c r="AL946">
        <v>0</v>
      </c>
      <c r="AN946">
        <f>AND(IF(Metadata!B946="",FALSE,TRUE),COUNTIF(Metadata!B:B, Metadata!B946) = 1,NOT(ISERROR(SUMPRODUCT(SEARCH(MID(Metadata!B946,ROW(INDIRECT("1:"&amp;LEN(Metadata!B946))), 1),"0123456789abcdefghijklmnopqrstuvwxyzABCDEFGHIJKLMNOPQRSTUVWXYZ.")))))</f>
        <v>0</v>
      </c>
      <c r="AO946">
        <f>IF(Metadata!C946="",FALSE,TRUE)</f>
        <v>0</v>
      </c>
      <c r="AP946">
        <f>IF(Metadata!D946="",FALSE,TRUE)</f>
        <v>0</v>
      </c>
      <c r="AQ946">
        <f>OR(AND(IF(Metadata!E946="",FALSE,TRUE),OR(exact(Metadata!E946,"not collected"),exact(Metadata!E946,"not provided"),exact(Metadata!E946,"restricted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R946">
        <f>IF(Metadata!F946="",FALSE,TRUE)</f>
        <v>0</v>
      </c>
      <c r="AS946">
        <f>OR(AND(IF(Metadata!G946="",FALSE,TRUE),OR(exact(Metadata!G946,"not collected"),exact(Metadata!G946,"not provided"))),AND(IF(Metadata!G946="",FALSE,TRUE),OR(exact(Metadata!G946,"TRUE"),exact(Metadata!G946,"FALSE"))))</f>
        <v>0</v>
      </c>
      <c r="AT946">
        <f>OR(AND(IF(Metadata!H946="",FALSE,TRUE),OR(exact(Metadata!H946,"not collected"),exact(Metadata!H946,"not provided"),exact(Metadata!H946,"restricted access"))),AND(IF(Metadata!H946="",FALSE,ISNUMBER(VALUE(Metadata!H946))),Metadata!H946&gt;=-413.0))</f>
        <v>0</v>
      </c>
      <c r="AU946">
        <f>AND(IF(Metadata!I946="",FALSE,TRUE),exact(Metadata!I946,"meters"))</f>
        <v>0</v>
      </c>
      <c r="AV946">
        <f>AND(IF(Metadata!J946="",FALSE,TRUE),OR(exact(Metadata!J946,"Host-associated"),exact(Metadata!J946,"Free-living")))</f>
        <v>0</v>
      </c>
      <c r="AW946">
        <f>AND(IF(Metadata!K946="",FALSE,TRUE),OR(exact(Metadata!K946,"Animal"),exact(Metadata!K946,"Fungus"),exact(Metadata!K946,"Plant"),exact(Metadata!K946,"Saline"),exact(Metadata!K946,"Non-saline")))</f>
        <v>0</v>
      </c>
      <c r="AX946">
        <f>AND(IF(Metadata!L946="",FALSE,TRUE),OR(exact(Metadata!L946,"Plant secretion"),exact(Metadata!L946,"Plant rhizosphere"),exact(Metadata!L946,"Plant surface"),exact(Metadata!L946,"Plant corpus"),exact(Metadata!L946,"Fungus surface"),exact(Metadata!L946,"Fungus corpus"),exact(Metadata!L946,"Animal surface"),exact(Metadata!L946,"Animal proximal gut"),exact(Metadata!L946,"Animal corpus"),exact(Metadata!L946,"Animal distal gut"),exact(Metadata!L946,"Animal secretion"),exact(Metadata!L946,"Sub-surface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Y946">
        <f>IF(Metadata!M946="",FALSE,TRUE)</f>
        <v>0</v>
      </c>
      <c r="AZ946">
        <f>IF(Metadata!N946="",FALSE,TRUE)</f>
        <v>0</v>
      </c>
      <c r="BA946">
        <f>IF(Metadata!O946="",FALSE,TRUE)</f>
        <v>0</v>
      </c>
      <c r="BB946">
        <f>OR(AND(IF(Metadata!P946="",FALSE,TRUE),OR(exact(Metadata!P946,"not collected"),exact(Metadata!P946,"not provided"),exact(Metadata!P946,"restricted access"))),AND(IF(Metadata!P946="",FALSE,TRUE),OR(exact(Metadata!P946,"air"),exact(Metadata!P946,"built environment"),exact(Metadata!P946,"host-associated"),exact(Metadata!P946,"human-associated"),exact(Metadata!P946,"human-skin"),exact(Metadata!P946,"human-oral"),exact(Metadata!P946,"human-gut"),exact(Metadata!P946,"human-vaginal"),exact(Metadata!P946,"microbial mat/biofilm"),exact(Metadata!P946,"misc environment"),exact(Metadata!P946,"plant-associated"),exact(Metadata!P946,"sediment"),exact(Metadata!P946,"soil"),exact(Metadata!P946,"wastewater/sludge"),exact(Metadata!P946,"water"))))</f>
        <v>0</v>
      </c>
      <c r="BC946">
        <f>IF(Metadata!Q946="",FALSE,TRUE)</f>
        <v>0</v>
      </c>
      <c r="BD946">
        <f>IF(Metadata!R946="",FALSE,TRUE)</f>
        <v>0</v>
      </c>
      <c r="BE946">
        <f>OR(AND(IF(Metadata!S946="",FALSE,TRUE),OR(exact(Metadata!S946,"not collected"),exact(Metadata!S946,"not provided"),exact(Metadata!S946,"restricted access"))),AND(IF(Metadata!S946="",FALSE,ISNUMBER(VALUE(Metadata!S946))),Metadata!S946&gt;=-90.00,Metadata!S946&lt;=90.00))</f>
        <v>0</v>
      </c>
      <c r="BF946">
        <f>AND(IF(Metadata!T946="",FALSE,TRUE),exact(Metadata!T946,"Decimal degrees"))</f>
        <v>0</v>
      </c>
      <c r="BG946">
        <f>OR(AND(IF(Metadata!U946="",FALSE,TRUE),OR(exact(Metadata!U946,"not collected"),exact(Metadata!U946,"not provided"),exact(Metadata!U946,"restricted access"))),AND(IF(Metadata!U946="",FALSE,ISNUMBER(VALUE(Metadata!U946))),Metadata!U946&gt;=-180.00,Metadata!U946&lt;=180.00))</f>
        <v>0</v>
      </c>
      <c r="BH946">
        <f>AND(IF(Metadata!V946="",FALSE,TRUE),exact(Metadata!V946,"Decimal degrees"))</f>
        <v>0</v>
      </c>
      <c r="BI946">
        <f>IF(Metadata!W946="",FALSE,TRUE)</f>
        <v>0</v>
      </c>
      <c r="BJ946">
        <f>OR(AND(IF(Metadata!X946="",FALSE,TRUE),OR(exact(Metadata!X946,"not collected"),exact(Metadata!X946,"not provided"),exact(Metadata!X946,"restricted access"))),AND(IF(Metadata!X946="",FALSE,TRUE),OR(exact(Metadata!X946,"TRUE"),exact(Metadata!X946,"FALSE"))))</f>
        <v>0</v>
      </c>
      <c r="BK946">
        <f>AND(IF(Metadata!Y946="",FALSE,TRUE),exact(Metadata!Y946,"other"))</f>
        <v>0</v>
      </c>
      <c r="BL946">
        <f>IF(Metadata!Z946="",FALSE,TRUE)</f>
        <v>0</v>
      </c>
      <c r="BM946">
        <f>OR(AND(IF(Metadata!AA946="",FALSE,TRUE),OR(exact(Metadata!AA946,"not collected"),exact(Metadata!AA946,"not provided"))),AND(IF(Metadata!AA946="",FALSE,IF(ISERROR(INT(Metadata!AA946)),FALSE,INT(Metadata!AA946)=Metadata!AA946)),Metadata!AA946&gt;0))</f>
        <v>0</v>
      </c>
      <c r="BN946">
        <f>AND(IF(Metadata!AB946="",FALSE,TRUE),exact(Metadata!AB946,"Not applicable"))</f>
        <v>0</v>
      </c>
      <c r="BO946">
        <f>IF(Metadata!AC946="",FALSE,TRUE)</f>
        <v>0</v>
      </c>
    </row>
    <row r="947" spans="1:67">
      <c r="A947" s="5">
        <f>IF(B947=" "," ",HYPERLINK(CONCATENATE("#metadata!",ADDRESS(INDEX($AI$2:$AI$1001,MATCH(ROWS($AG$2:AG947),$AG$2:$AG$1001,0),0),1)),INDEX($AL$2:$AL$1001,MATCH(ROWS($AG$2:AG947),$AG$2:$AG$1001,0),0)))</f>
        <v>0</v>
      </c>
      <c r="B947" s="4">
        <f>IF(OR(INDEX($AH$2:$AH$1001,MATCH(ROWS($AG$2:AG947),$AG$2:$AG$1001,0),1)&gt;=100000,INDEX($AN$1005:$BO$1005,1,MATCH(COLUMNS($AN$1006:AN1006),$AN$1006:$BO$1006,0))&gt;=100000), " ",IF(INDEX($AN$2:$BO$1001,MATCH(ROWS($AG$2:AG947),$AG$2:$AG$1001,0),MATCH(COLUMNS($AN$1006:AN1006),$AN$1006:$BO$1006,0)), HYPERLINK("#",""), HYPERLINK(CONCATENATE("#Metadata!", ADDRESS(INDEX($AI$2:$AI$1001,MATCH(ROWS($AG$2:AG947),$AG$2:$AG$1001,0),0), INDEX($AN$1004:$BO$1004,1,MATCH(COLUMNS($AN$1006:AN1006),$AN$1006:$BO$1006,0)))),"Fix")))</f>
        <v>0</v>
      </c>
      <c r="C947" s="4">
        <f>IF(OR(INDEX($AH$2:$AH$1001,MATCH(ROWS($AG$2:AG947),$AG$2:$AG$1001,0),1)&gt;=100000,INDEX($AN$1005:$BO$1005,1,MATCH(COLUMNS($AN$1006:AO1006),$AN$1006:$BO$1006,0))&gt;=100000), " ",IF(INDEX($AN$2:$BO$1001,MATCH(ROWS($AG$2:AG947),$AG$2:$AG$1001,0),MATCH(COLUMNS($AN$1006:AO1006),$AN$1006:$BO$1006,0)), HYPERLINK("#",""), HYPERLINK(CONCATENATE("#Metadata!", ADDRESS(INDEX($AI$2:$AI$1001,MATCH(ROWS($AG$2:AG947),$AG$2:$AG$1001,0),0), INDEX($AN$1004:$BO$1004,1,MATCH(COLUMNS($AN$1006:AO1006),$AN$1006:$BO$1006,0)))),"Fix")))</f>
        <v>0</v>
      </c>
      <c r="D947" s="4">
        <f>IF(OR(INDEX($AH$2:$AH$1001,MATCH(ROWS($AG$2:AG947),$AG$2:$AG$1001,0),1)&gt;=100000,INDEX($AN$1005:$BO$1005,1,MATCH(COLUMNS($AN$1006:AP1006),$AN$1006:$BO$1006,0))&gt;=100000), " ",IF(INDEX($AN$2:$BO$1001,MATCH(ROWS($AG$2:AG947),$AG$2:$AG$1001,0),MATCH(COLUMNS($AN$1006:AP1006),$AN$1006:$BO$1006,0)), HYPERLINK("#",""), HYPERLINK(CONCATENATE("#Metadata!", ADDRESS(INDEX($AI$2:$AI$1001,MATCH(ROWS($AG$2:AG947),$AG$2:$AG$1001,0),0), INDEX($AN$1004:$BO$1004,1,MATCH(COLUMNS($AN$1006:AP1006),$AN$1006:$BO$1006,0)))),"Fix")))</f>
        <v>0</v>
      </c>
      <c r="E947" s="4">
        <f>IF(OR(INDEX($AH$2:$AH$1001,MATCH(ROWS($AG$2:AG947),$AG$2:$AG$1001,0),1)&gt;=100000,INDEX($AN$1005:$BO$1005,1,MATCH(COLUMNS($AN$1006:AQ1006),$AN$1006:$BO$1006,0))&gt;=100000), " ",IF(INDEX($AN$2:$BO$1001,MATCH(ROWS($AG$2:AG947),$AG$2:$AG$1001,0),MATCH(COLUMNS($AN$1006:AQ1006),$AN$1006:$BO$1006,0)), HYPERLINK("#",""), HYPERLINK(CONCATENATE("#Metadata!", ADDRESS(INDEX($AI$2:$AI$1001,MATCH(ROWS($AG$2:AG947),$AG$2:$AG$1001,0),0), INDEX($AN$1004:$BO$1004,1,MATCH(COLUMNS($AN$1006:AQ1006),$AN$1006:$BO$1006,0)))),"Fix")))</f>
        <v>0</v>
      </c>
      <c r="F947" s="4">
        <f>IF(OR(INDEX($AH$2:$AH$1001,MATCH(ROWS($AG$2:AG947),$AG$2:$AG$1001,0),1)&gt;=100000,INDEX($AN$1005:$BO$1005,1,MATCH(COLUMNS($AN$1006:AR1006),$AN$1006:$BO$1006,0))&gt;=100000), " ",IF(INDEX($AN$2:$BO$1001,MATCH(ROWS($AG$2:AG947),$AG$2:$AG$1001,0),MATCH(COLUMNS($AN$1006:AR1006),$AN$1006:$BO$1006,0)), HYPERLINK("#",""), HYPERLINK(CONCATENATE("#Metadata!", ADDRESS(INDEX($AI$2:$AI$1001,MATCH(ROWS($AG$2:AG947),$AG$2:$AG$1001,0),0), INDEX($AN$1004:$BO$1004,1,MATCH(COLUMNS($AN$1006:AR1006),$AN$1006:$BO$1006,0)))),"Fix")))</f>
        <v>0</v>
      </c>
      <c r="G947" s="4">
        <f>IF(OR(INDEX($AH$2:$AH$1001,MATCH(ROWS($AG$2:AG947),$AG$2:$AG$1001,0),1)&gt;=100000,INDEX($AN$1005:$BO$1005,1,MATCH(COLUMNS($AN$1006:AS1006),$AN$1006:$BO$1006,0))&gt;=100000), " ",IF(INDEX($AN$2:$BO$1001,MATCH(ROWS($AG$2:AG947),$AG$2:$AG$1001,0),MATCH(COLUMNS($AN$1006:AS1006),$AN$1006:$BO$1006,0)), HYPERLINK("#",""), HYPERLINK(CONCATENATE("#Metadata!", ADDRESS(INDEX($AI$2:$AI$1001,MATCH(ROWS($AG$2:AG947),$AG$2:$AG$1001,0),0), INDEX($AN$1004:$BO$1004,1,MATCH(COLUMNS($AN$1006:AS1006),$AN$1006:$BO$1006,0)))),"Fix")))</f>
        <v>0</v>
      </c>
      <c r="H947" s="4">
        <f>IF(OR(INDEX($AH$2:$AH$1001,MATCH(ROWS($AG$2:AG947),$AG$2:$AG$1001,0),1)&gt;=100000,INDEX($AN$1005:$BO$1005,1,MATCH(COLUMNS($AN$1006:AT1006),$AN$1006:$BO$1006,0))&gt;=100000), " ",IF(INDEX($AN$2:$BO$1001,MATCH(ROWS($AG$2:AG947),$AG$2:$AG$1001,0),MATCH(COLUMNS($AN$1006:AT1006),$AN$1006:$BO$1006,0)), HYPERLINK("#",""), HYPERLINK(CONCATENATE("#Metadata!", ADDRESS(INDEX($AI$2:$AI$1001,MATCH(ROWS($AG$2:AG947),$AG$2:$AG$1001,0),0), INDEX($AN$1004:$BO$1004,1,MATCH(COLUMNS($AN$1006:AT1006),$AN$1006:$BO$1006,0)))),"Fix")))</f>
        <v>0</v>
      </c>
      <c r="I947" s="4">
        <f>IF(OR(INDEX($AH$2:$AH$1001,MATCH(ROWS($AG$2:AG947),$AG$2:$AG$1001,0),1)&gt;=100000,INDEX($AN$1005:$BO$1005,1,MATCH(COLUMNS($AN$1006:AU1006),$AN$1006:$BO$1006,0))&gt;=100000), " ",IF(INDEX($AN$2:$BO$1001,MATCH(ROWS($AG$2:AG947),$AG$2:$AG$1001,0),MATCH(COLUMNS($AN$1006:AU1006),$AN$1006:$BO$1006,0)), HYPERLINK("#",""), HYPERLINK(CONCATENATE("#Metadata!", ADDRESS(INDEX($AI$2:$AI$1001,MATCH(ROWS($AG$2:AG947),$AG$2:$AG$1001,0),0), INDEX($AN$1004:$BO$1004,1,MATCH(COLUMNS($AN$1006:AU1006),$AN$1006:$BO$1006,0)))),"Fix")))</f>
        <v>0</v>
      </c>
      <c r="J947" s="4">
        <f>IF(OR(INDEX($AH$2:$AH$1001,MATCH(ROWS($AG$2:AG947),$AG$2:$AG$1001,0),1)&gt;=100000,INDEX($AN$1005:$BO$1005,1,MATCH(COLUMNS($AN$1006:AV1006),$AN$1006:$BO$1006,0))&gt;=100000), " ",IF(INDEX($AN$2:$BO$1001,MATCH(ROWS($AG$2:AG947),$AG$2:$AG$1001,0),MATCH(COLUMNS($AN$1006:AV1006),$AN$1006:$BO$1006,0)), HYPERLINK("#",""), HYPERLINK(CONCATENATE("#Metadata!", ADDRESS(INDEX($AI$2:$AI$1001,MATCH(ROWS($AG$2:AG947),$AG$2:$AG$1001,0),0), INDEX($AN$1004:$BO$1004,1,MATCH(COLUMNS($AN$1006:AV1006),$AN$1006:$BO$1006,0)))),"Fix")))</f>
        <v>0</v>
      </c>
      <c r="K947" s="4">
        <f>IF(OR(INDEX($AH$2:$AH$1001,MATCH(ROWS($AG$2:AG947),$AG$2:$AG$1001,0),1)&gt;=100000,INDEX($AN$1005:$BO$1005,1,MATCH(COLUMNS($AN$1006:AW1006),$AN$1006:$BO$1006,0))&gt;=100000), " ",IF(INDEX($AN$2:$BO$1001,MATCH(ROWS($AG$2:AG947),$AG$2:$AG$1001,0),MATCH(COLUMNS($AN$1006:AW1006),$AN$1006:$BO$1006,0)), HYPERLINK("#",""), HYPERLINK(CONCATENATE("#Metadata!", ADDRESS(INDEX($AI$2:$AI$1001,MATCH(ROWS($AG$2:AG947),$AG$2:$AG$1001,0),0), INDEX($AN$1004:$BO$1004,1,MATCH(COLUMNS($AN$1006:AW1006),$AN$1006:$BO$1006,0)))),"Fix")))</f>
        <v>0</v>
      </c>
      <c r="L947" s="4">
        <f>IF(OR(INDEX($AH$2:$AH$1001,MATCH(ROWS($AG$2:AG947),$AG$2:$AG$1001,0),1)&gt;=100000,INDEX($AN$1005:$BO$1005,1,MATCH(COLUMNS($AN$1006:AX1006),$AN$1006:$BO$1006,0))&gt;=100000), " ",IF(INDEX($AN$2:$BO$1001,MATCH(ROWS($AG$2:AG947),$AG$2:$AG$1001,0),MATCH(COLUMNS($AN$1006:AX1006),$AN$1006:$BO$1006,0)), HYPERLINK("#",""), HYPERLINK(CONCATENATE("#Metadata!", ADDRESS(INDEX($AI$2:$AI$1001,MATCH(ROWS($AG$2:AG947),$AG$2:$AG$1001,0),0), INDEX($AN$1004:$BO$1004,1,MATCH(COLUMNS($AN$1006:AX1006),$AN$1006:$BO$1006,0)))),"Fix")))</f>
        <v>0</v>
      </c>
      <c r="M947" s="4">
        <f>IF(OR(INDEX($AH$2:$AH$1001,MATCH(ROWS($AG$2:AG947),$AG$2:$AG$1001,0),1)&gt;=100000,INDEX($AN$1005:$BO$1005,1,MATCH(COLUMNS($AN$1006:AY1006),$AN$1006:$BO$1006,0))&gt;=100000), " ",IF(INDEX($AN$2:$BO$1001,MATCH(ROWS($AG$2:AG947),$AG$2:$AG$1001,0),MATCH(COLUMNS($AN$1006:AY1006),$AN$1006:$BO$1006,0)), HYPERLINK("#",""), HYPERLINK(CONCATENATE("#Metadata!", ADDRESS(INDEX($AI$2:$AI$1001,MATCH(ROWS($AG$2:AG947),$AG$2:$AG$1001,0),0), INDEX($AN$1004:$BO$1004,1,MATCH(COLUMNS($AN$1006:AY1006),$AN$1006:$BO$1006,0)))),"Fix")))</f>
        <v>0</v>
      </c>
      <c r="N947" s="4">
        <f>IF(OR(INDEX($AH$2:$AH$1001,MATCH(ROWS($AG$2:AG947),$AG$2:$AG$1001,0),1)&gt;=100000,INDEX($AN$1005:$BO$1005,1,MATCH(COLUMNS($AN$1006:AZ1006),$AN$1006:$BO$1006,0))&gt;=100000), " ",IF(INDEX($AN$2:$BO$1001,MATCH(ROWS($AG$2:AG947),$AG$2:$AG$1001,0),MATCH(COLUMNS($AN$1006:AZ1006),$AN$1006:$BO$1006,0)), HYPERLINK("#",""), HYPERLINK(CONCATENATE("#Metadata!", ADDRESS(INDEX($AI$2:$AI$1001,MATCH(ROWS($AG$2:AG947),$AG$2:$AG$1001,0),0), INDEX($AN$1004:$BO$1004,1,MATCH(COLUMNS($AN$1006:AZ1006),$AN$1006:$BO$1006,0)))),"Fix")))</f>
        <v>0</v>
      </c>
      <c r="O947" s="4">
        <f>IF(OR(INDEX($AH$2:$AH$1001,MATCH(ROWS($AG$2:AG947),$AG$2:$AG$1001,0),1)&gt;=100000,INDEX($AN$1005:$BO$1005,1,MATCH(COLUMNS($AN$1006:BA1006),$AN$1006:$BO$1006,0))&gt;=100000), " ",IF(INDEX($AN$2:$BO$1001,MATCH(ROWS($AG$2:AG947),$AG$2:$AG$1001,0),MATCH(COLUMNS($AN$1006:BA1006),$AN$1006:$BO$1006,0)), HYPERLINK("#",""), HYPERLINK(CONCATENATE("#Metadata!", ADDRESS(INDEX($AI$2:$AI$1001,MATCH(ROWS($AG$2:AG947),$AG$2:$AG$1001,0),0), INDEX($AN$1004:$BO$1004,1,MATCH(COLUMNS($AN$1006:BA1006),$AN$1006:$BO$1006,0)))),"Fix")))</f>
        <v>0</v>
      </c>
      <c r="P947" s="4">
        <f>IF(OR(INDEX($AH$2:$AH$1001,MATCH(ROWS($AG$2:AG947),$AG$2:$AG$1001,0),1)&gt;=100000,INDEX($AN$1005:$BO$1005,1,MATCH(COLUMNS($AN$1006:BB1006),$AN$1006:$BO$1006,0))&gt;=100000), " ",IF(INDEX($AN$2:$BO$1001,MATCH(ROWS($AG$2:AG947),$AG$2:$AG$1001,0),MATCH(COLUMNS($AN$1006:BB1006),$AN$1006:$BO$1006,0)), HYPERLINK("#",""), HYPERLINK(CONCATENATE("#Metadata!", ADDRESS(INDEX($AI$2:$AI$1001,MATCH(ROWS($AG$2:AG947),$AG$2:$AG$1001,0),0), INDEX($AN$1004:$BO$1004,1,MATCH(COLUMNS($AN$1006:BB1006),$AN$1006:$BO$1006,0)))),"Fix")))</f>
        <v>0</v>
      </c>
      <c r="Q947" s="4">
        <f>IF(OR(INDEX($AH$2:$AH$1001,MATCH(ROWS($AG$2:AG947),$AG$2:$AG$1001,0),1)&gt;=100000,INDEX($AN$1005:$BO$1005,1,MATCH(COLUMNS($AN$1006:BC1006),$AN$1006:$BO$1006,0))&gt;=100000), " ",IF(INDEX($AN$2:$BO$1001,MATCH(ROWS($AG$2:AG947),$AG$2:$AG$1001,0),MATCH(COLUMNS($AN$1006:BC1006),$AN$1006:$BO$1006,0)), HYPERLINK("#",""), HYPERLINK(CONCATENATE("#Metadata!", ADDRESS(INDEX($AI$2:$AI$1001,MATCH(ROWS($AG$2:AG947),$AG$2:$AG$1001,0),0), INDEX($AN$1004:$BO$1004,1,MATCH(COLUMNS($AN$1006:BC1006),$AN$1006:$BO$1006,0)))),"Fix")))</f>
        <v>0</v>
      </c>
      <c r="R947" s="4">
        <f>IF(OR(INDEX($AH$2:$AH$1001,MATCH(ROWS($AG$2:AG947),$AG$2:$AG$1001,0),1)&gt;=100000,INDEX($AN$1005:$BO$1005,1,MATCH(COLUMNS($AN$1006:BD1006),$AN$1006:$BO$1006,0))&gt;=100000), " ",IF(INDEX($AN$2:$BO$1001,MATCH(ROWS($AG$2:AG947),$AG$2:$AG$1001,0),MATCH(COLUMNS($AN$1006:BD1006),$AN$1006:$BO$1006,0)), HYPERLINK("#",""), HYPERLINK(CONCATENATE("#Metadata!", ADDRESS(INDEX($AI$2:$AI$1001,MATCH(ROWS($AG$2:AG947),$AG$2:$AG$1001,0),0), INDEX($AN$1004:$BO$1004,1,MATCH(COLUMNS($AN$1006:BD1006),$AN$1006:$BO$1006,0)))),"Fix")))</f>
        <v>0</v>
      </c>
      <c r="S947" s="4">
        <f>IF(OR(INDEX($AH$2:$AH$1001,MATCH(ROWS($AG$2:AG947),$AG$2:$AG$1001,0),1)&gt;=100000,INDEX($AN$1005:$BO$1005,1,MATCH(COLUMNS($AN$1006:BE1006),$AN$1006:$BO$1006,0))&gt;=100000), " ",IF(INDEX($AN$2:$BO$1001,MATCH(ROWS($AG$2:AG947),$AG$2:$AG$1001,0),MATCH(COLUMNS($AN$1006:BE1006),$AN$1006:$BO$1006,0)), HYPERLINK("#",""), HYPERLINK(CONCATENATE("#Metadata!", ADDRESS(INDEX($AI$2:$AI$1001,MATCH(ROWS($AG$2:AG947),$AG$2:$AG$1001,0),0), INDEX($AN$1004:$BO$1004,1,MATCH(COLUMNS($AN$1006:BE1006),$AN$1006:$BO$1006,0)))),"Fix")))</f>
        <v>0</v>
      </c>
      <c r="T947" s="4">
        <f>IF(OR(INDEX($AH$2:$AH$1001,MATCH(ROWS($AG$2:AG947),$AG$2:$AG$1001,0),1)&gt;=100000,INDEX($AN$1005:$BO$1005,1,MATCH(COLUMNS($AN$1006:BF1006),$AN$1006:$BO$1006,0))&gt;=100000), " ",IF(INDEX($AN$2:$BO$1001,MATCH(ROWS($AG$2:AG947),$AG$2:$AG$1001,0),MATCH(COLUMNS($AN$1006:BF1006),$AN$1006:$BO$1006,0)), HYPERLINK("#",""), HYPERLINK(CONCATENATE("#Metadata!", ADDRESS(INDEX($AI$2:$AI$1001,MATCH(ROWS($AG$2:AG947),$AG$2:$AG$1001,0),0), INDEX($AN$1004:$BO$1004,1,MATCH(COLUMNS($AN$1006:BF1006),$AN$1006:$BO$1006,0)))),"Fix")))</f>
        <v>0</v>
      </c>
      <c r="U947" s="4">
        <f>IF(OR(INDEX($AH$2:$AH$1001,MATCH(ROWS($AG$2:AG947),$AG$2:$AG$1001,0),1)&gt;=100000,INDEX($AN$1005:$BO$1005,1,MATCH(COLUMNS($AN$1006:BG1006),$AN$1006:$BO$1006,0))&gt;=100000), " ",IF(INDEX($AN$2:$BO$1001,MATCH(ROWS($AG$2:AG947),$AG$2:$AG$1001,0),MATCH(COLUMNS($AN$1006:BG1006),$AN$1006:$BO$1006,0)), HYPERLINK("#",""), HYPERLINK(CONCATENATE("#Metadata!", ADDRESS(INDEX($AI$2:$AI$1001,MATCH(ROWS($AG$2:AG947),$AG$2:$AG$1001,0),0), INDEX($AN$1004:$BO$1004,1,MATCH(COLUMNS($AN$1006:BG1006),$AN$1006:$BO$1006,0)))),"Fix")))</f>
        <v>0</v>
      </c>
      <c r="V947" s="4">
        <f>IF(OR(INDEX($AH$2:$AH$1001,MATCH(ROWS($AG$2:AG947),$AG$2:$AG$1001,0),1)&gt;=100000,INDEX($AN$1005:$BO$1005,1,MATCH(COLUMNS($AN$1006:BH1006),$AN$1006:$BO$1006,0))&gt;=100000), " ",IF(INDEX($AN$2:$BO$1001,MATCH(ROWS($AG$2:AG947),$AG$2:$AG$1001,0),MATCH(COLUMNS($AN$1006:BH1006),$AN$1006:$BO$1006,0)), HYPERLINK("#",""), HYPERLINK(CONCATENATE("#Metadata!", ADDRESS(INDEX($AI$2:$AI$1001,MATCH(ROWS($AG$2:AG947),$AG$2:$AG$1001,0),0), INDEX($AN$1004:$BO$1004,1,MATCH(COLUMNS($AN$1006:BH1006),$AN$1006:$BO$1006,0)))),"Fix")))</f>
        <v>0</v>
      </c>
      <c r="W947" s="4">
        <f>IF(OR(INDEX($AH$2:$AH$1001,MATCH(ROWS($AG$2:AG947),$AG$2:$AG$1001,0),1)&gt;=100000,INDEX($AN$1005:$BO$1005,1,MATCH(COLUMNS($AN$1006:BI1006),$AN$1006:$BO$1006,0))&gt;=100000), " ",IF(INDEX($AN$2:$BO$1001,MATCH(ROWS($AG$2:AG947),$AG$2:$AG$1001,0),MATCH(COLUMNS($AN$1006:BI1006),$AN$1006:$BO$1006,0)), HYPERLINK("#",""), HYPERLINK(CONCATENATE("#Metadata!", ADDRESS(INDEX($AI$2:$AI$1001,MATCH(ROWS($AG$2:AG947),$AG$2:$AG$1001,0),0), INDEX($AN$1004:$BO$1004,1,MATCH(COLUMNS($AN$1006:BI1006),$AN$1006:$BO$1006,0)))),"Fix")))</f>
        <v>0</v>
      </c>
      <c r="X947" s="4">
        <f>IF(OR(INDEX($AH$2:$AH$1001,MATCH(ROWS($AG$2:AG947),$AG$2:$AG$1001,0),1)&gt;=100000,INDEX($AN$1005:$BO$1005,1,MATCH(COLUMNS($AN$1006:BJ1006),$AN$1006:$BO$1006,0))&gt;=100000), " ",IF(INDEX($AN$2:$BO$1001,MATCH(ROWS($AG$2:AG947),$AG$2:$AG$1001,0),MATCH(COLUMNS($AN$1006:BJ1006),$AN$1006:$BO$1006,0)), HYPERLINK("#",""), HYPERLINK(CONCATENATE("#Metadata!", ADDRESS(INDEX($AI$2:$AI$1001,MATCH(ROWS($AG$2:AG947),$AG$2:$AG$1001,0),0), INDEX($AN$1004:$BO$1004,1,MATCH(COLUMNS($AN$1006:BJ1006),$AN$1006:$BO$1006,0)))),"Fix")))</f>
        <v>0</v>
      </c>
      <c r="Y947" s="4">
        <f>IF(OR(INDEX($AH$2:$AH$1001,MATCH(ROWS($AG$2:AG947),$AG$2:$AG$1001,0),1)&gt;=100000,INDEX($AN$1005:$BO$1005,1,MATCH(COLUMNS($AN$1006:BK1006),$AN$1006:$BO$1006,0))&gt;=100000), " ",IF(INDEX($AN$2:$BO$1001,MATCH(ROWS($AG$2:AG947),$AG$2:$AG$1001,0),MATCH(COLUMNS($AN$1006:BK1006),$AN$1006:$BO$1006,0)), HYPERLINK("#",""), HYPERLINK(CONCATENATE("#Metadata!", ADDRESS(INDEX($AI$2:$AI$1001,MATCH(ROWS($AG$2:AG947),$AG$2:$AG$1001,0),0), INDEX($AN$1004:$BO$1004,1,MATCH(COLUMNS($AN$1006:BK1006),$AN$1006:$BO$1006,0)))),"Fix")))</f>
        <v>0</v>
      </c>
      <c r="Z947" s="4">
        <f>IF(OR(INDEX($AH$2:$AH$1001,MATCH(ROWS($AG$2:AG947),$AG$2:$AG$1001,0),1)&gt;=100000,INDEX($AN$1005:$BO$1005,1,MATCH(COLUMNS($AN$1006:BL1006),$AN$1006:$BO$1006,0))&gt;=100000), " ",IF(INDEX($AN$2:$BO$1001,MATCH(ROWS($AG$2:AG947),$AG$2:$AG$1001,0),MATCH(COLUMNS($AN$1006:BL1006),$AN$1006:$BO$1006,0)), HYPERLINK("#",""), HYPERLINK(CONCATENATE("#Metadata!", ADDRESS(INDEX($AI$2:$AI$1001,MATCH(ROWS($AG$2:AG947),$AG$2:$AG$1001,0),0), INDEX($AN$1004:$BO$1004,1,MATCH(COLUMNS($AN$1006:BL1006),$AN$1006:$BO$1006,0)))),"Fix")))</f>
        <v>0</v>
      </c>
      <c r="AA947" s="4">
        <f>IF(OR(INDEX($AH$2:$AH$1001,MATCH(ROWS($AG$2:AG947),$AG$2:$AG$1001,0),1)&gt;=100000,INDEX($AN$1005:$BO$1005,1,MATCH(COLUMNS($AN$1006:BM1006),$AN$1006:$BO$1006,0))&gt;=100000), " ",IF(INDEX($AN$2:$BO$1001,MATCH(ROWS($AG$2:AG947),$AG$2:$AG$1001,0),MATCH(COLUMNS($AN$1006:BM1006),$AN$1006:$BO$1006,0)), HYPERLINK("#",""), HYPERLINK(CONCATENATE("#Metadata!", ADDRESS(INDEX($AI$2:$AI$1001,MATCH(ROWS($AG$2:AG947),$AG$2:$AG$1001,0),0), INDEX($AN$1004:$BO$1004,1,MATCH(COLUMNS($AN$1006:BM1006),$AN$1006:$BO$1006,0)))),"Fix")))</f>
        <v>0</v>
      </c>
      <c r="AB947" s="4">
        <f>IF(OR(INDEX($AH$2:$AH$1001,MATCH(ROWS($AG$2:AG947),$AG$2:$AG$1001,0),1)&gt;=100000,INDEX($AN$1005:$BO$1005,1,MATCH(COLUMNS($AN$1006:BN1006),$AN$1006:$BO$1006,0))&gt;=100000), " ",IF(INDEX($AN$2:$BO$1001,MATCH(ROWS($AG$2:AG947),$AG$2:$AG$1001,0),MATCH(COLUMNS($AN$1006:BN1006),$AN$1006:$BO$1006,0)), HYPERLINK("#",""), HYPERLINK(CONCATENATE("#Metadata!", ADDRESS(INDEX($AI$2:$AI$1001,MATCH(ROWS($AG$2:AG947),$AG$2:$AG$1001,0),0), INDEX($AN$1004:$BO$1004,1,MATCH(COLUMNS($AN$1006:BN1006),$AN$1006:$BO$1006,0)))),"Fix")))</f>
        <v>0</v>
      </c>
      <c r="AC947" s="4">
        <f>IF(OR(INDEX($AH$2:$AH$1001,MATCH(ROWS($AG$2:AG947),$AG$2:$AG$1001,0),1)&gt;=100000,INDEX($AN$1005:$BO$1005,1,MATCH(COLUMNS($AN$1006:BO1006),$AN$1006:$BO$1006,0))&gt;=100000), " ",IF(INDEX($AN$2:$BO$1001,MATCH(ROWS($AG$2:AG947),$AG$2:$AG$1001,0),MATCH(COLUMNS($AN$1006:BO1006),$AN$1006:$BO$1006,0)), HYPERLINK("#",""), HYPERLINK(CONCATENATE("#Metadata!", ADDRESS(INDEX($AI$2:$AI$1001,MATCH(ROWS($AG$2:AG947),$AG$2:$AG$1001,0),0), INDEX($AN$1004:$BO$1004,1,MATCH(COLUMNS($AN$1006:BO1006),$AN$1006:$BO$1006,0)))),"Fix")))</f>
        <v>0</v>
      </c>
      <c r="AG947">
        <v>0</v>
      </c>
      <c r="AH947">
        <v>0</v>
      </c>
      <c r="AI947">
        <v>0</v>
      </c>
      <c r="AJ947">
        <f>IF(AK947,TRUE,AND(AN947:BO947))</f>
        <v>0</v>
      </c>
      <c r="AK947">
        <f>COUNTBLANK(Metadata!B947:AC947)=COLUMNS(Metadata!B947:AC947)</f>
        <v>0</v>
      </c>
      <c r="AL947">
        <v>0</v>
      </c>
      <c r="AN947">
        <f>AND(IF(Metadata!B947="",FALSE,TRUE),COUNTIF(Metadata!B:B, Metadata!B947) = 1,NOT(ISERROR(SUMPRODUCT(SEARCH(MID(Metadata!B947,ROW(INDIRECT("1:"&amp;LEN(Metadata!B947))), 1),"0123456789abcdefghijklmnopqrstuvwxyzABCDEFGHIJKLMNOPQRSTUVWXYZ.")))))</f>
        <v>0</v>
      </c>
      <c r="AO947">
        <f>IF(Metadata!C947="",FALSE,TRUE)</f>
        <v>0</v>
      </c>
      <c r="AP947">
        <f>IF(Metadata!D947="",FALSE,TRUE)</f>
        <v>0</v>
      </c>
      <c r="AQ947">
        <f>OR(AND(IF(Metadata!E947="",FALSE,TRUE),OR(exact(Metadata!E947,"not collected"),exact(Metadata!E947,"not provided"),exact(Metadata!E947,"restricted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R947">
        <f>IF(Metadata!F947="",FALSE,TRUE)</f>
        <v>0</v>
      </c>
      <c r="AS947">
        <f>OR(AND(IF(Metadata!G947="",FALSE,TRUE),OR(exact(Metadata!G947,"not collected"),exact(Metadata!G947,"not provided"))),AND(IF(Metadata!G947="",FALSE,TRUE),OR(exact(Metadata!G947,"TRUE"),exact(Metadata!G947,"FALSE"))))</f>
        <v>0</v>
      </c>
      <c r="AT947">
        <f>OR(AND(IF(Metadata!H947="",FALSE,TRUE),OR(exact(Metadata!H947,"not collected"),exact(Metadata!H947,"not provided"),exact(Metadata!H947,"restricted access"))),AND(IF(Metadata!H947="",FALSE,ISNUMBER(VALUE(Metadata!H947))),Metadata!H947&gt;=-413.0))</f>
        <v>0</v>
      </c>
      <c r="AU947">
        <f>AND(IF(Metadata!I947="",FALSE,TRUE),exact(Metadata!I947,"meters"))</f>
        <v>0</v>
      </c>
      <c r="AV947">
        <f>AND(IF(Metadata!J947="",FALSE,TRUE),OR(exact(Metadata!J947,"Host-associated"),exact(Metadata!J947,"Free-living")))</f>
        <v>0</v>
      </c>
      <c r="AW947">
        <f>AND(IF(Metadata!K947="",FALSE,TRUE),OR(exact(Metadata!K947,"Animal"),exact(Metadata!K947,"Fungus"),exact(Metadata!K947,"Plant"),exact(Metadata!K947,"Saline"),exact(Metadata!K947,"Non-saline")))</f>
        <v>0</v>
      </c>
      <c r="AX947">
        <f>AND(IF(Metadata!L947="",FALSE,TRUE),OR(exact(Metadata!L947,"Plant secretion"),exact(Metadata!L947,"Plant rhizosphere"),exact(Metadata!L947,"Plant surface"),exact(Metadata!L947,"Plant corpus"),exact(Metadata!L947,"Fungus surface"),exact(Metadata!L947,"Fungus corpus"),exact(Metadata!L947,"Animal surface"),exact(Metadata!L947,"Animal proximal gut"),exact(Metadata!L947,"Animal corpus"),exact(Metadata!L947,"Animal distal gut"),exact(Metadata!L947,"Animal secretion"),exact(Metadata!L947,"Sub-surface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Y947">
        <f>IF(Metadata!M947="",FALSE,TRUE)</f>
        <v>0</v>
      </c>
      <c r="AZ947">
        <f>IF(Metadata!N947="",FALSE,TRUE)</f>
        <v>0</v>
      </c>
      <c r="BA947">
        <f>IF(Metadata!O947="",FALSE,TRUE)</f>
        <v>0</v>
      </c>
      <c r="BB947">
        <f>OR(AND(IF(Metadata!P947="",FALSE,TRUE),OR(exact(Metadata!P947,"not collected"),exact(Metadata!P947,"not provided"),exact(Metadata!P947,"restricted access"))),AND(IF(Metadata!P947="",FALSE,TRUE),OR(exact(Metadata!P947,"air"),exact(Metadata!P947,"built environment"),exact(Metadata!P947,"host-associated"),exact(Metadata!P947,"human-associated"),exact(Metadata!P947,"human-skin"),exact(Metadata!P947,"human-oral"),exact(Metadata!P947,"human-gut"),exact(Metadata!P947,"human-vaginal"),exact(Metadata!P947,"microbial mat/biofilm"),exact(Metadata!P947,"misc environment"),exact(Metadata!P947,"plant-associated"),exact(Metadata!P947,"sediment"),exact(Metadata!P947,"soil"),exact(Metadata!P947,"wastewater/sludge"),exact(Metadata!P947,"water"))))</f>
        <v>0</v>
      </c>
      <c r="BC947">
        <f>IF(Metadata!Q947="",FALSE,TRUE)</f>
        <v>0</v>
      </c>
      <c r="BD947">
        <f>IF(Metadata!R947="",FALSE,TRUE)</f>
        <v>0</v>
      </c>
      <c r="BE947">
        <f>OR(AND(IF(Metadata!S947="",FALSE,TRUE),OR(exact(Metadata!S947,"not collected"),exact(Metadata!S947,"not provided"),exact(Metadata!S947,"restricted access"))),AND(IF(Metadata!S947="",FALSE,ISNUMBER(VALUE(Metadata!S947))),Metadata!S947&gt;=-90.00,Metadata!S947&lt;=90.00))</f>
        <v>0</v>
      </c>
      <c r="BF947">
        <f>AND(IF(Metadata!T947="",FALSE,TRUE),exact(Metadata!T947,"Decimal degrees"))</f>
        <v>0</v>
      </c>
      <c r="BG947">
        <f>OR(AND(IF(Metadata!U947="",FALSE,TRUE),OR(exact(Metadata!U947,"not collected"),exact(Metadata!U947,"not provided"),exact(Metadata!U947,"restricted access"))),AND(IF(Metadata!U947="",FALSE,ISNUMBER(VALUE(Metadata!U947))),Metadata!U947&gt;=-180.00,Metadata!U947&lt;=180.00))</f>
        <v>0</v>
      </c>
      <c r="BH947">
        <f>AND(IF(Metadata!V947="",FALSE,TRUE),exact(Metadata!V947,"Decimal degrees"))</f>
        <v>0</v>
      </c>
      <c r="BI947">
        <f>IF(Metadata!W947="",FALSE,TRUE)</f>
        <v>0</v>
      </c>
      <c r="BJ947">
        <f>OR(AND(IF(Metadata!X947="",FALSE,TRUE),OR(exact(Metadata!X947,"not collected"),exact(Metadata!X947,"not provided"),exact(Metadata!X947,"restricted access"))),AND(IF(Metadata!X947="",FALSE,TRUE),OR(exact(Metadata!X947,"TRUE"),exact(Metadata!X947,"FALSE"))))</f>
        <v>0</v>
      </c>
      <c r="BK947">
        <f>AND(IF(Metadata!Y947="",FALSE,TRUE),exact(Metadata!Y947,"other"))</f>
        <v>0</v>
      </c>
      <c r="BL947">
        <f>IF(Metadata!Z947="",FALSE,TRUE)</f>
        <v>0</v>
      </c>
      <c r="BM947">
        <f>OR(AND(IF(Metadata!AA947="",FALSE,TRUE),OR(exact(Metadata!AA947,"not collected"),exact(Metadata!AA947,"not provided"))),AND(IF(Metadata!AA947="",FALSE,IF(ISERROR(INT(Metadata!AA947)),FALSE,INT(Metadata!AA947)=Metadata!AA947)),Metadata!AA947&gt;0))</f>
        <v>0</v>
      </c>
      <c r="BN947">
        <f>AND(IF(Metadata!AB947="",FALSE,TRUE),exact(Metadata!AB947,"Not applicable"))</f>
        <v>0</v>
      </c>
      <c r="BO947">
        <f>IF(Metadata!AC947="",FALSE,TRUE)</f>
        <v>0</v>
      </c>
    </row>
    <row r="948" spans="1:67">
      <c r="A948" s="5">
        <f>IF(B948=" "," ",HYPERLINK(CONCATENATE("#metadata!",ADDRESS(INDEX($AI$2:$AI$1001,MATCH(ROWS($AG$2:AG948),$AG$2:$AG$1001,0),0),1)),INDEX($AL$2:$AL$1001,MATCH(ROWS($AG$2:AG948),$AG$2:$AG$1001,0),0)))</f>
        <v>0</v>
      </c>
      <c r="B948" s="4">
        <f>IF(OR(INDEX($AH$2:$AH$1001,MATCH(ROWS($AG$2:AG948),$AG$2:$AG$1001,0),1)&gt;=100000,INDEX($AN$1005:$BO$1005,1,MATCH(COLUMNS($AN$1006:AN1006),$AN$1006:$BO$1006,0))&gt;=100000), " ",IF(INDEX($AN$2:$BO$1001,MATCH(ROWS($AG$2:AG948),$AG$2:$AG$1001,0),MATCH(COLUMNS($AN$1006:AN1006),$AN$1006:$BO$1006,0)), HYPERLINK("#",""), HYPERLINK(CONCATENATE("#Metadata!", ADDRESS(INDEX($AI$2:$AI$1001,MATCH(ROWS($AG$2:AG948),$AG$2:$AG$1001,0),0), INDEX($AN$1004:$BO$1004,1,MATCH(COLUMNS($AN$1006:AN1006),$AN$1006:$BO$1006,0)))),"Fix")))</f>
        <v>0</v>
      </c>
      <c r="C948" s="4">
        <f>IF(OR(INDEX($AH$2:$AH$1001,MATCH(ROWS($AG$2:AG948),$AG$2:$AG$1001,0),1)&gt;=100000,INDEX($AN$1005:$BO$1005,1,MATCH(COLUMNS($AN$1006:AO1006),$AN$1006:$BO$1006,0))&gt;=100000), " ",IF(INDEX($AN$2:$BO$1001,MATCH(ROWS($AG$2:AG948),$AG$2:$AG$1001,0),MATCH(COLUMNS($AN$1006:AO1006),$AN$1006:$BO$1006,0)), HYPERLINK("#",""), HYPERLINK(CONCATENATE("#Metadata!", ADDRESS(INDEX($AI$2:$AI$1001,MATCH(ROWS($AG$2:AG948),$AG$2:$AG$1001,0),0), INDEX($AN$1004:$BO$1004,1,MATCH(COLUMNS($AN$1006:AO1006),$AN$1006:$BO$1006,0)))),"Fix")))</f>
        <v>0</v>
      </c>
      <c r="D948" s="4">
        <f>IF(OR(INDEX($AH$2:$AH$1001,MATCH(ROWS($AG$2:AG948),$AG$2:$AG$1001,0),1)&gt;=100000,INDEX($AN$1005:$BO$1005,1,MATCH(COLUMNS($AN$1006:AP1006),$AN$1006:$BO$1006,0))&gt;=100000), " ",IF(INDEX($AN$2:$BO$1001,MATCH(ROWS($AG$2:AG948),$AG$2:$AG$1001,0),MATCH(COLUMNS($AN$1006:AP1006),$AN$1006:$BO$1006,0)), HYPERLINK("#",""), HYPERLINK(CONCATENATE("#Metadata!", ADDRESS(INDEX($AI$2:$AI$1001,MATCH(ROWS($AG$2:AG948),$AG$2:$AG$1001,0),0), INDEX($AN$1004:$BO$1004,1,MATCH(COLUMNS($AN$1006:AP1006),$AN$1006:$BO$1006,0)))),"Fix")))</f>
        <v>0</v>
      </c>
      <c r="E948" s="4">
        <f>IF(OR(INDEX($AH$2:$AH$1001,MATCH(ROWS($AG$2:AG948),$AG$2:$AG$1001,0),1)&gt;=100000,INDEX($AN$1005:$BO$1005,1,MATCH(COLUMNS($AN$1006:AQ1006),$AN$1006:$BO$1006,0))&gt;=100000), " ",IF(INDEX($AN$2:$BO$1001,MATCH(ROWS($AG$2:AG948),$AG$2:$AG$1001,0),MATCH(COLUMNS($AN$1006:AQ1006),$AN$1006:$BO$1006,0)), HYPERLINK("#",""), HYPERLINK(CONCATENATE("#Metadata!", ADDRESS(INDEX($AI$2:$AI$1001,MATCH(ROWS($AG$2:AG948),$AG$2:$AG$1001,0),0), INDEX($AN$1004:$BO$1004,1,MATCH(COLUMNS($AN$1006:AQ1006),$AN$1006:$BO$1006,0)))),"Fix")))</f>
        <v>0</v>
      </c>
      <c r="F948" s="4">
        <f>IF(OR(INDEX($AH$2:$AH$1001,MATCH(ROWS($AG$2:AG948),$AG$2:$AG$1001,0),1)&gt;=100000,INDEX($AN$1005:$BO$1005,1,MATCH(COLUMNS($AN$1006:AR1006),$AN$1006:$BO$1006,0))&gt;=100000), " ",IF(INDEX($AN$2:$BO$1001,MATCH(ROWS($AG$2:AG948),$AG$2:$AG$1001,0),MATCH(COLUMNS($AN$1006:AR1006),$AN$1006:$BO$1006,0)), HYPERLINK("#",""), HYPERLINK(CONCATENATE("#Metadata!", ADDRESS(INDEX($AI$2:$AI$1001,MATCH(ROWS($AG$2:AG948),$AG$2:$AG$1001,0),0), INDEX($AN$1004:$BO$1004,1,MATCH(COLUMNS($AN$1006:AR1006),$AN$1006:$BO$1006,0)))),"Fix")))</f>
        <v>0</v>
      </c>
      <c r="G948" s="4">
        <f>IF(OR(INDEX($AH$2:$AH$1001,MATCH(ROWS($AG$2:AG948),$AG$2:$AG$1001,0),1)&gt;=100000,INDEX($AN$1005:$BO$1005,1,MATCH(COLUMNS($AN$1006:AS1006),$AN$1006:$BO$1006,0))&gt;=100000), " ",IF(INDEX($AN$2:$BO$1001,MATCH(ROWS($AG$2:AG948),$AG$2:$AG$1001,0),MATCH(COLUMNS($AN$1006:AS1006),$AN$1006:$BO$1006,0)), HYPERLINK("#",""), HYPERLINK(CONCATENATE("#Metadata!", ADDRESS(INDEX($AI$2:$AI$1001,MATCH(ROWS($AG$2:AG948),$AG$2:$AG$1001,0),0), INDEX($AN$1004:$BO$1004,1,MATCH(COLUMNS($AN$1006:AS1006),$AN$1006:$BO$1006,0)))),"Fix")))</f>
        <v>0</v>
      </c>
      <c r="H948" s="4">
        <f>IF(OR(INDEX($AH$2:$AH$1001,MATCH(ROWS($AG$2:AG948),$AG$2:$AG$1001,0),1)&gt;=100000,INDEX($AN$1005:$BO$1005,1,MATCH(COLUMNS($AN$1006:AT1006),$AN$1006:$BO$1006,0))&gt;=100000), " ",IF(INDEX($AN$2:$BO$1001,MATCH(ROWS($AG$2:AG948),$AG$2:$AG$1001,0),MATCH(COLUMNS($AN$1006:AT1006),$AN$1006:$BO$1006,0)), HYPERLINK("#",""), HYPERLINK(CONCATENATE("#Metadata!", ADDRESS(INDEX($AI$2:$AI$1001,MATCH(ROWS($AG$2:AG948),$AG$2:$AG$1001,0),0), INDEX($AN$1004:$BO$1004,1,MATCH(COLUMNS($AN$1006:AT1006),$AN$1006:$BO$1006,0)))),"Fix")))</f>
        <v>0</v>
      </c>
      <c r="I948" s="4">
        <f>IF(OR(INDEX($AH$2:$AH$1001,MATCH(ROWS($AG$2:AG948),$AG$2:$AG$1001,0),1)&gt;=100000,INDEX($AN$1005:$BO$1005,1,MATCH(COLUMNS($AN$1006:AU1006),$AN$1006:$BO$1006,0))&gt;=100000), " ",IF(INDEX($AN$2:$BO$1001,MATCH(ROWS($AG$2:AG948),$AG$2:$AG$1001,0),MATCH(COLUMNS($AN$1006:AU1006),$AN$1006:$BO$1006,0)), HYPERLINK("#",""), HYPERLINK(CONCATENATE("#Metadata!", ADDRESS(INDEX($AI$2:$AI$1001,MATCH(ROWS($AG$2:AG948),$AG$2:$AG$1001,0),0), INDEX($AN$1004:$BO$1004,1,MATCH(COLUMNS($AN$1006:AU1006),$AN$1006:$BO$1006,0)))),"Fix")))</f>
        <v>0</v>
      </c>
      <c r="J948" s="4">
        <f>IF(OR(INDEX($AH$2:$AH$1001,MATCH(ROWS($AG$2:AG948),$AG$2:$AG$1001,0),1)&gt;=100000,INDEX($AN$1005:$BO$1005,1,MATCH(COLUMNS($AN$1006:AV1006),$AN$1006:$BO$1006,0))&gt;=100000), " ",IF(INDEX($AN$2:$BO$1001,MATCH(ROWS($AG$2:AG948),$AG$2:$AG$1001,0),MATCH(COLUMNS($AN$1006:AV1006),$AN$1006:$BO$1006,0)), HYPERLINK("#",""), HYPERLINK(CONCATENATE("#Metadata!", ADDRESS(INDEX($AI$2:$AI$1001,MATCH(ROWS($AG$2:AG948),$AG$2:$AG$1001,0),0), INDEX($AN$1004:$BO$1004,1,MATCH(COLUMNS($AN$1006:AV1006),$AN$1006:$BO$1006,0)))),"Fix")))</f>
        <v>0</v>
      </c>
      <c r="K948" s="4">
        <f>IF(OR(INDEX($AH$2:$AH$1001,MATCH(ROWS($AG$2:AG948),$AG$2:$AG$1001,0),1)&gt;=100000,INDEX($AN$1005:$BO$1005,1,MATCH(COLUMNS($AN$1006:AW1006),$AN$1006:$BO$1006,0))&gt;=100000), " ",IF(INDEX($AN$2:$BO$1001,MATCH(ROWS($AG$2:AG948),$AG$2:$AG$1001,0),MATCH(COLUMNS($AN$1006:AW1006),$AN$1006:$BO$1006,0)), HYPERLINK("#",""), HYPERLINK(CONCATENATE("#Metadata!", ADDRESS(INDEX($AI$2:$AI$1001,MATCH(ROWS($AG$2:AG948),$AG$2:$AG$1001,0),0), INDEX($AN$1004:$BO$1004,1,MATCH(COLUMNS($AN$1006:AW1006),$AN$1006:$BO$1006,0)))),"Fix")))</f>
        <v>0</v>
      </c>
      <c r="L948" s="4">
        <f>IF(OR(INDEX($AH$2:$AH$1001,MATCH(ROWS($AG$2:AG948),$AG$2:$AG$1001,0),1)&gt;=100000,INDEX($AN$1005:$BO$1005,1,MATCH(COLUMNS($AN$1006:AX1006),$AN$1006:$BO$1006,0))&gt;=100000), " ",IF(INDEX($AN$2:$BO$1001,MATCH(ROWS($AG$2:AG948),$AG$2:$AG$1001,0),MATCH(COLUMNS($AN$1006:AX1006),$AN$1006:$BO$1006,0)), HYPERLINK("#",""), HYPERLINK(CONCATENATE("#Metadata!", ADDRESS(INDEX($AI$2:$AI$1001,MATCH(ROWS($AG$2:AG948),$AG$2:$AG$1001,0),0), INDEX($AN$1004:$BO$1004,1,MATCH(COLUMNS($AN$1006:AX1006),$AN$1006:$BO$1006,0)))),"Fix")))</f>
        <v>0</v>
      </c>
      <c r="M948" s="4">
        <f>IF(OR(INDEX($AH$2:$AH$1001,MATCH(ROWS($AG$2:AG948),$AG$2:$AG$1001,0),1)&gt;=100000,INDEX($AN$1005:$BO$1005,1,MATCH(COLUMNS($AN$1006:AY1006),$AN$1006:$BO$1006,0))&gt;=100000), " ",IF(INDEX($AN$2:$BO$1001,MATCH(ROWS($AG$2:AG948),$AG$2:$AG$1001,0),MATCH(COLUMNS($AN$1006:AY1006),$AN$1006:$BO$1006,0)), HYPERLINK("#",""), HYPERLINK(CONCATENATE("#Metadata!", ADDRESS(INDEX($AI$2:$AI$1001,MATCH(ROWS($AG$2:AG948),$AG$2:$AG$1001,0),0), INDEX($AN$1004:$BO$1004,1,MATCH(COLUMNS($AN$1006:AY1006),$AN$1006:$BO$1006,0)))),"Fix")))</f>
        <v>0</v>
      </c>
      <c r="N948" s="4">
        <f>IF(OR(INDEX($AH$2:$AH$1001,MATCH(ROWS($AG$2:AG948),$AG$2:$AG$1001,0),1)&gt;=100000,INDEX($AN$1005:$BO$1005,1,MATCH(COLUMNS($AN$1006:AZ1006),$AN$1006:$BO$1006,0))&gt;=100000), " ",IF(INDEX($AN$2:$BO$1001,MATCH(ROWS($AG$2:AG948),$AG$2:$AG$1001,0),MATCH(COLUMNS($AN$1006:AZ1006),$AN$1006:$BO$1006,0)), HYPERLINK("#",""), HYPERLINK(CONCATENATE("#Metadata!", ADDRESS(INDEX($AI$2:$AI$1001,MATCH(ROWS($AG$2:AG948),$AG$2:$AG$1001,0),0), INDEX($AN$1004:$BO$1004,1,MATCH(COLUMNS($AN$1006:AZ1006),$AN$1006:$BO$1006,0)))),"Fix")))</f>
        <v>0</v>
      </c>
      <c r="O948" s="4">
        <f>IF(OR(INDEX($AH$2:$AH$1001,MATCH(ROWS($AG$2:AG948),$AG$2:$AG$1001,0),1)&gt;=100000,INDEX($AN$1005:$BO$1005,1,MATCH(COLUMNS($AN$1006:BA1006),$AN$1006:$BO$1006,0))&gt;=100000), " ",IF(INDEX($AN$2:$BO$1001,MATCH(ROWS($AG$2:AG948),$AG$2:$AG$1001,0),MATCH(COLUMNS($AN$1006:BA1006),$AN$1006:$BO$1006,0)), HYPERLINK("#",""), HYPERLINK(CONCATENATE("#Metadata!", ADDRESS(INDEX($AI$2:$AI$1001,MATCH(ROWS($AG$2:AG948),$AG$2:$AG$1001,0),0), INDEX($AN$1004:$BO$1004,1,MATCH(COLUMNS($AN$1006:BA1006),$AN$1006:$BO$1006,0)))),"Fix")))</f>
        <v>0</v>
      </c>
      <c r="P948" s="4">
        <f>IF(OR(INDEX($AH$2:$AH$1001,MATCH(ROWS($AG$2:AG948),$AG$2:$AG$1001,0),1)&gt;=100000,INDEX($AN$1005:$BO$1005,1,MATCH(COLUMNS($AN$1006:BB1006),$AN$1006:$BO$1006,0))&gt;=100000), " ",IF(INDEX($AN$2:$BO$1001,MATCH(ROWS($AG$2:AG948),$AG$2:$AG$1001,0),MATCH(COLUMNS($AN$1006:BB1006),$AN$1006:$BO$1006,0)), HYPERLINK("#",""), HYPERLINK(CONCATENATE("#Metadata!", ADDRESS(INDEX($AI$2:$AI$1001,MATCH(ROWS($AG$2:AG948),$AG$2:$AG$1001,0),0), INDEX($AN$1004:$BO$1004,1,MATCH(COLUMNS($AN$1006:BB1006),$AN$1006:$BO$1006,0)))),"Fix")))</f>
        <v>0</v>
      </c>
      <c r="Q948" s="4">
        <f>IF(OR(INDEX($AH$2:$AH$1001,MATCH(ROWS($AG$2:AG948),$AG$2:$AG$1001,0),1)&gt;=100000,INDEX($AN$1005:$BO$1005,1,MATCH(COLUMNS($AN$1006:BC1006),$AN$1006:$BO$1006,0))&gt;=100000), " ",IF(INDEX($AN$2:$BO$1001,MATCH(ROWS($AG$2:AG948),$AG$2:$AG$1001,0),MATCH(COLUMNS($AN$1006:BC1006),$AN$1006:$BO$1006,0)), HYPERLINK("#",""), HYPERLINK(CONCATENATE("#Metadata!", ADDRESS(INDEX($AI$2:$AI$1001,MATCH(ROWS($AG$2:AG948),$AG$2:$AG$1001,0),0), INDEX($AN$1004:$BO$1004,1,MATCH(COLUMNS($AN$1006:BC1006),$AN$1006:$BO$1006,0)))),"Fix")))</f>
        <v>0</v>
      </c>
      <c r="R948" s="4">
        <f>IF(OR(INDEX($AH$2:$AH$1001,MATCH(ROWS($AG$2:AG948),$AG$2:$AG$1001,0),1)&gt;=100000,INDEX($AN$1005:$BO$1005,1,MATCH(COLUMNS($AN$1006:BD1006),$AN$1006:$BO$1006,0))&gt;=100000), " ",IF(INDEX($AN$2:$BO$1001,MATCH(ROWS($AG$2:AG948),$AG$2:$AG$1001,0),MATCH(COLUMNS($AN$1006:BD1006),$AN$1006:$BO$1006,0)), HYPERLINK("#",""), HYPERLINK(CONCATENATE("#Metadata!", ADDRESS(INDEX($AI$2:$AI$1001,MATCH(ROWS($AG$2:AG948),$AG$2:$AG$1001,0),0), INDEX($AN$1004:$BO$1004,1,MATCH(COLUMNS($AN$1006:BD1006),$AN$1006:$BO$1006,0)))),"Fix")))</f>
        <v>0</v>
      </c>
      <c r="S948" s="4">
        <f>IF(OR(INDEX($AH$2:$AH$1001,MATCH(ROWS($AG$2:AG948),$AG$2:$AG$1001,0),1)&gt;=100000,INDEX($AN$1005:$BO$1005,1,MATCH(COLUMNS($AN$1006:BE1006),$AN$1006:$BO$1006,0))&gt;=100000), " ",IF(INDEX($AN$2:$BO$1001,MATCH(ROWS($AG$2:AG948),$AG$2:$AG$1001,0),MATCH(COLUMNS($AN$1006:BE1006),$AN$1006:$BO$1006,0)), HYPERLINK("#",""), HYPERLINK(CONCATENATE("#Metadata!", ADDRESS(INDEX($AI$2:$AI$1001,MATCH(ROWS($AG$2:AG948),$AG$2:$AG$1001,0),0), INDEX($AN$1004:$BO$1004,1,MATCH(COLUMNS($AN$1006:BE1006),$AN$1006:$BO$1006,0)))),"Fix")))</f>
        <v>0</v>
      </c>
      <c r="T948" s="4">
        <f>IF(OR(INDEX($AH$2:$AH$1001,MATCH(ROWS($AG$2:AG948),$AG$2:$AG$1001,0),1)&gt;=100000,INDEX($AN$1005:$BO$1005,1,MATCH(COLUMNS($AN$1006:BF1006),$AN$1006:$BO$1006,0))&gt;=100000), " ",IF(INDEX($AN$2:$BO$1001,MATCH(ROWS($AG$2:AG948),$AG$2:$AG$1001,0),MATCH(COLUMNS($AN$1006:BF1006),$AN$1006:$BO$1006,0)), HYPERLINK("#",""), HYPERLINK(CONCATENATE("#Metadata!", ADDRESS(INDEX($AI$2:$AI$1001,MATCH(ROWS($AG$2:AG948),$AG$2:$AG$1001,0),0), INDEX($AN$1004:$BO$1004,1,MATCH(COLUMNS($AN$1006:BF1006),$AN$1006:$BO$1006,0)))),"Fix")))</f>
        <v>0</v>
      </c>
      <c r="U948" s="4">
        <f>IF(OR(INDEX($AH$2:$AH$1001,MATCH(ROWS($AG$2:AG948),$AG$2:$AG$1001,0),1)&gt;=100000,INDEX($AN$1005:$BO$1005,1,MATCH(COLUMNS($AN$1006:BG1006),$AN$1006:$BO$1006,0))&gt;=100000), " ",IF(INDEX($AN$2:$BO$1001,MATCH(ROWS($AG$2:AG948),$AG$2:$AG$1001,0),MATCH(COLUMNS($AN$1006:BG1006),$AN$1006:$BO$1006,0)), HYPERLINK("#",""), HYPERLINK(CONCATENATE("#Metadata!", ADDRESS(INDEX($AI$2:$AI$1001,MATCH(ROWS($AG$2:AG948),$AG$2:$AG$1001,0),0), INDEX($AN$1004:$BO$1004,1,MATCH(COLUMNS($AN$1006:BG1006),$AN$1006:$BO$1006,0)))),"Fix")))</f>
        <v>0</v>
      </c>
      <c r="V948" s="4">
        <f>IF(OR(INDEX($AH$2:$AH$1001,MATCH(ROWS($AG$2:AG948),$AG$2:$AG$1001,0),1)&gt;=100000,INDEX($AN$1005:$BO$1005,1,MATCH(COLUMNS($AN$1006:BH1006),$AN$1006:$BO$1006,0))&gt;=100000), " ",IF(INDEX($AN$2:$BO$1001,MATCH(ROWS($AG$2:AG948),$AG$2:$AG$1001,0),MATCH(COLUMNS($AN$1006:BH1006),$AN$1006:$BO$1006,0)), HYPERLINK("#",""), HYPERLINK(CONCATENATE("#Metadata!", ADDRESS(INDEX($AI$2:$AI$1001,MATCH(ROWS($AG$2:AG948),$AG$2:$AG$1001,0),0), INDEX($AN$1004:$BO$1004,1,MATCH(COLUMNS($AN$1006:BH1006),$AN$1006:$BO$1006,0)))),"Fix")))</f>
        <v>0</v>
      </c>
      <c r="W948" s="4">
        <f>IF(OR(INDEX($AH$2:$AH$1001,MATCH(ROWS($AG$2:AG948),$AG$2:$AG$1001,0),1)&gt;=100000,INDEX($AN$1005:$BO$1005,1,MATCH(COLUMNS($AN$1006:BI1006),$AN$1006:$BO$1006,0))&gt;=100000), " ",IF(INDEX($AN$2:$BO$1001,MATCH(ROWS($AG$2:AG948),$AG$2:$AG$1001,0),MATCH(COLUMNS($AN$1006:BI1006),$AN$1006:$BO$1006,0)), HYPERLINK("#",""), HYPERLINK(CONCATENATE("#Metadata!", ADDRESS(INDEX($AI$2:$AI$1001,MATCH(ROWS($AG$2:AG948),$AG$2:$AG$1001,0),0), INDEX($AN$1004:$BO$1004,1,MATCH(COLUMNS($AN$1006:BI1006),$AN$1006:$BO$1006,0)))),"Fix")))</f>
        <v>0</v>
      </c>
      <c r="X948" s="4">
        <f>IF(OR(INDEX($AH$2:$AH$1001,MATCH(ROWS($AG$2:AG948),$AG$2:$AG$1001,0),1)&gt;=100000,INDEX($AN$1005:$BO$1005,1,MATCH(COLUMNS($AN$1006:BJ1006),$AN$1006:$BO$1006,0))&gt;=100000), " ",IF(INDEX($AN$2:$BO$1001,MATCH(ROWS($AG$2:AG948),$AG$2:$AG$1001,0),MATCH(COLUMNS($AN$1006:BJ1006),$AN$1006:$BO$1006,0)), HYPERLINK("#",""), HYPERLINK(CONCATENATE("#Metadata!", ADDRESS(INDEX($AI$2:$AI$1001,MATCH(ROWS($AG$2:AG948),$AG$2:$AG$1001,0),0), INDEX($AN$1004:$BO$1004,1,MATCH(COLUMNS($AN$1006:BJ1006),$AN$1006:$BO$1006,0)))),"Fix")))</f>
        <v>0</v>
      </c>
      <c r="Y948" s="4">
        <f>IF(OR(INDEX($AH$2:$AH$1001,MATCH(ROWS($AG$2:AG948),$AG$2:$AG$1001,0),1)&gt;=100000,INDEX($AN$1005:$BO$1005,1,MATCH(COLUMNS($AN$1006:BK1006),$AN$1006:$BO$1006,0))&gt;=100000), " ",IF(INDEX($AN$2:$BO$1001,MATCH(ROWS($AG$2:AG948),$AG$2:$AG$1001,0),MATCH(COLUMNS($AN$1006:BK1006),$AN$1006:$BO$1006,0)), HYPERLINK("#",""), HYPERLINK(CONCATENATE("#Metadata!", ADDRESS(INDEX($AI$2:$AI$1001,MATCH(ROWS($AG$2:AG948),$AG$2:$AG$1001,0),0), INDEX($AN$1004:$BO$1004,1,MATCH(COLUMNS($AN$1006:BK1006),$AN$1006:$BO$1006,0)))),"Fix")))</f>
        <v>0</v>
      </c>
      <c r="Z948" s="4">
        <f>IF(OR(INDEX($AH$2:$AH$1001,MATCH(ROWS($AG$2:AG948),$AG$2:$AG$1001,0),1)&gt;=100000,INDEX($AN$1005:$BO$1005,1,MATCH(COLUMNS($AN$1006:BL1006),$AN$1006:$BO$1006,0))&gt;=100000), " ",IF(INDEX($AN$2:$BO$1001,MATCH(ROWS($AG$2:AG948),$AG$2:$AG$1001,0),MATCH(COLUMNS($AN$1006:BL1006),$AN$1006:$BO$1006,0)), HYPERLINK("#",""), HYPERLINK(CONCATENATE("#Metadata!", ADDRESS(INDEX($AI$2:$AI$1001,MATCH(ROWS($AG$2:AG948),$AG$2:$AG$1001,0),0), INDEX($AN$1004:$BO$1004,1,MATCH(COLUMNS($AN$1006:BL1006),$AN$1006:$BO$1006,0)))),"Fix")))</f>
        <v>0</v>
      </c>
      <c r="AA948" s="4">
        <f>IF(OR(INDEX($AH$2:$AH$1001,MATCH(ROWS($AG$2:AG948),$AG$2:$AG$1001,0),1)&gt;=100000,INDEX($AN$1005:$BO$1005,1,MATCH(COLUMNS($AN$1006:BM1006),$AN$1006:$BO$1006,0))&gt;=100000), " ",IF(INDEX($AN$2:$BO$1001,MATCH(ROWS($AG$2:AG948),$AG$2:$AG$1001,0),MATCH(COLUMNS($AN$1006:BM1006),$AN$1006:$BO$1006,0)), HYPERLINK("#",""), HYPERLINK(CONCATENATE("#Metadata!", ADDRESS(INDEX($AI$2:$AI$1001,MATCH(ROWS($AG$2:AG948),$AG$2:$AG$1001,0),0), INDEX($AN$1004:$BO$1004,1,MATCH(COLUMNS($AN$1006:BM1006),$AN$1006:$BO$1006,0)))),"Fix")))</f>
        <v>0</v>
      </c>
      <c r="AB948" s="4">
        <f>IF(OR(INDEX($AH$2:$AH$1001,MATCH(ROWS($AG$2:AG948),$AG$2:$AG$1001,0),1)&gt;=100000,INDEX($AN$1005:$BO$1005,1,MATCH(COLUMNS($AN$1006:BN1006),$AN$1006:$BO$1006,0))&gt;=100000), " ",IF(INDEX($AN$2:$BO$1001,MATCH(ROWS($AG$2:AG948),$AG$2:$AG$1001,0),MATCH(COLUMNS($AN$1006:BN1006),$AN$1006:$BO$1006,0)), HYPERLINK("#",""), HYPERLINK(CONCATENATE("#Metadata!", ADDRESS(INDEX($AI$2:$AI$1001,MATCH(ROWS($AG$2:AG948),$AG$2:$AG$1001,0),0), INDEX($AN$1004:$BO$1004,1,MATCH(COLUMNS($AN$1006:BN1006),$AN$1006:$BO$1006,0)))),"Fix")))</f>
        <v>0</v>
      </c>
      <c r="AC948" s="4">
        <f>IF(OR(INDEX($AH$2:$AH$1001,MATCH(ROWS($AG$2:AG948),$AG$2:$AG$1001,0),1)&gt;=100000,INDEX($AN$1005:$BO$1005,1,MATCH(COLUMNS($AN$1006:BO1006),$AN$1006:$BO$1006,0))&gt;=100000), " ",IF(INDEX($AN$2:$BO$1001,MATCH(ROWS($AG$2:AG948),$AG$2:$AG$1001,0),MATCH(COLUMNS($AN$1006:BO1006),$AN$1006:$BO$1006,0)), HYPERLINK("#",""), HYPERLINK(CONCATENATE("#Metadata!", ADDRESS(INDEX($AI$2:$AI$1001,MATCH(ROWS($AG$2:AG948),$AG$2:$AG$1001,0),0), INDEX($AN$1004:$BO$1004,1,MATCH(COLUMNS($AN$1006:BO1006),$AN$1006:$BO$1006,0)))),"Fix")))</f>
        <v>0</v>
      </c>
      <c r="AG948">
        <v>0</v>
      </c>
      <c r="AH948">
        <v>0</v>
      </c>
      <c r="AI948">
        <v>0</v>
      </c>
      <c r="AJ948">
        <f>IF(AK948,TRUE,AND(AN948:BO948))</f>
        <v>0</v>
      </c>
      <c r="AK948">
        <f>COUNTBLANK(Metadata!B948:AC948)=COLUMNS(Metadata!B948:AC948)</f>
        <v>0</v>
      </c>
      <c r="AL948">
        <v>0</v>
      </c>
      <c r="AN948">
        <f>AND(IF(Metadata!B948="",FALSE,TRUE),COUNTIF(Metadata!B:B, Metadata!B948) = 1,NOT(ISERROR(SUMPRODUCT(SEARCH(MID(Metadata!B948,ROW(INDIRECT("1:"&amp;LEN(Metadata!B948))), 1),"0123456789abcdefghijklmnopqrstuvwxyzABCDEFGHIJKLMNOPQRSTUVWXYZ.")))))</f>
        <v>0</v>
      </c>
      <c r="AO948">
        <f>IF(Metadata!C948="",FALSE,TRUE)</f>
        <v>0</v>
      </c>
      <c r="AP948">
        <f>IF(Metadata!D948="",FALSE,TRUE)</f>
        <v>0</v>
      </c>
      <c r="AQ948">
        <f>OR(AND(IF(Metadata!E948="",FALSE,TRUE),OR(exact(Metadata!E948,"not collected"),exact(Metadata!E948,"not provided"),exact(Metadata!E948,"restricted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R948">
        <f>IF(Metadata!F948="",FALSE,TRUE)</f>
        <v>0</v>
      </c>
      <c r="AS948">
        <f>OR(AND(IF(Metadata!G948="",FALSE,TRUE),OR(exact(Metadata!G948,"not collected"),exact(Metadata!G948,"not provided"))),AND(IF(Metadata!G948="",FALSE,TRUE),OR(exact(Metadata!G948,"TRUE"),exact(Metadata!G948,"FALSE"))))</f>
        <v>0</v>
      </c>
      <c r="AT948">
        <f>OR(AND(IF(Metadata!H948="",FALSE,TRUE),OR(exact(Metadata!H948,"not collected"),exact(Metadata!H948,"not provided"),exact(Metadata!H948,"restricted access"))),AND(IF(Metadata!H948="",FALSE,ISNUMBER(VALUE(Metadata!H948))),Metadata!H948&gt;=-413.0))</f>
        <v>0</v>
      </c>
      <c r="AU948">
        <f>AND(IF(Metadata!I948="",FALSE,TRUE),exact(Metadata!I948,"meters"))</f>
        <v>0</v>
      </c>
      <c r="AV948">
        <f>AND(IF(Metadata!J948="",FALSE,TRUE),OR(exact(Metadata!J948,"Host-associated"),exact(Metadata!J948,"Free-living")))</f>
        <v>0</v>
      </c>
      <c r="AW948">
        <f>AND(IF(Metadata!K948="",FALSE,TRUE),OR(exact(Metadata!K948,"Animal"),exact(Metadata!K948,"Fungus"),exact(Metadata!K948,"Plant"),exact(Metadata!K948,"Saline"),exact(Metadata!K948,"Non-saline")))</f>
        <v>0</v>
      </c>
      <c r="AX948">
        <f>AND(IF(Metadata!L948="",FALSE,TRUE),OR(exact(Metadata!L948,"Plant secretion"),exact(Metadata!L948,"Plant rhizosphere"),exact(Metadata!L948,"Plant surface"),exact(Metadata!L948,"Plant corpus"),exact(Metadata!L948,"Fungus surface"),exact(Metadata!L948,"Fungus corpus"),exact(Metadata!L948,"Animal surface"),exact(Metadata!L948,"Animal proximal gut"),exact(Metadata!L948,"Animal corpus"),exact(Metadata!L948,"Animal distal gut"),exact(Metadata!L948,"Animal secretion"),exact(Metadata!L948,"Sub-surface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Y948">
        <f>IF(Metadata!M948="",FALSE,TRUE)</f>
        <v>0</v>
      </c>
      <c r="AZ948">
        <f>IF(Metadata!N948="",FALSE,TRUE)</f>
        <v>0</v>
      </c>
      <c r="BA948">
        <f>IF(Metadata!O948="",FALSE,TRUE)</f>
        <v>0</v>
      </c>
      <c r="BB948">
        <f>OR(AND(IF(Metadata!P948="",FALSE,TRUE),OR(exact(Metadata!P948,"not collected"),exact(Metadata!P948,"not provided"),exact(Metadata!P948,"restricted access"))),AND(IF(Metadata!P948="",FALSE,TRUE),OR(exact(Metadata!P948,"air"),exact(Metadata!P948,"built environment"),exact(Metadata!P948,"host-associated"),exact(Metadata!P948,"human-associated"),exact(Metadata!P948,"human-skin"),exact(Metadata!P948,"human-oral"),exact(Metadata!P948,"human-gut"),exact(Metadata!P948,"human-vaginal"),exact(Metadata!P948,"microbial mat/biofilm"),exact(Metadata!P948,"misc environment"),exact(Metadata!P948,"plant-associated"),exact(Metadata!P948,"sediment"),exact(Metadata!P948,"soil"),exact(Metadata!P948,"wastewater/sludge"),exact(Metadata!P948,"water"))))</f>
        <v>0</v>
      </c>
      <c r="BC948">
        <f>IF(Metadata!Q948="",FALSE,TRUE)</f>
        <v>0</v>
      </c>
      <c r="BD948">
        <f>IF(Metadata!R948="",FALSE,TRUE)</f>
        <v>0</v>
      </c>
      <c r="BE948">
        <f>OR(AND(IF(Metadata!S948="",FALSE,TRUE),OR(exact(Metadata!S948,"not collected"),exact(Metadata!S948,"not provided"),exact(Metadata!S948,"restricted access"))),AND(IF(Metadata!S948="",FALSE,ISNUMBER(VALUE(Metadata!S948))),Metadata!S948&gt;=-90.00,Metadata!S948&lt;=90.00))</f>
        <v>0</v>
      </c>
      <c r="BF948">
        <f>AND(IF(Metadata!T948="",FALSE,TRUE),exact(Metadata!T948,"Decimal degrees"))</f>
        <v>0</v>
      </c>
      <c r="BG948">
        <f>OR(AND(IF(Metadata!U948="",FALSE,TRUE),OR(exact(Metadata!U948,"not collected"),exact(Metadata!U948,"not provided"),exact(Metadata!U948,"restricted access"))),AND(IF(Metadata!U948="",FALSE,ISNUMBER(VALUE(Metadata!U948))),Metadata!U948&gt;=-180.00,Metadata!U948&lt;=180.00))</f>
        <v>0</v>
      </c>
      <c r="BH948">
        <f>AND(IF(Metadata!V948="",FALSE,TRUE),exact(Metadata!V948,"Decimal degrees"))</f>
        <v>0</v>
      </c>
      <c r="BI948">
        <f>IF(Metadata!W948="",FALSE,TRUE)</f>
        <v>0</v>
      </c>
      <c r="BJ948">
        <f>OR(AND(IF(Metadata!X948="",FALSE,TRUE),OR(exact(Metadata!X948,"not collected"),exact(Metadata!X948,"not provided"),exact(Metadata!X948,"restricted access"))),AND(IF(Metadata!X948="",FALSE,TRUE),OR(exact(Metadata!X948,"TRUE"),exact(Metadata!X948,"FALSE"))))</f>
        <v>0</v>
      </c>
      <c r="BK948">
        <f>AND(IF(Metadata!Y948="",FALSE,TRUE),exact(Metadata!Y948,"other"))</f>
        <v>0</v>
      </c>
      <c r="BL948">
        <f>IF(Metadata!Z948="",FALSE,TRUE)</f>
        <v>0</v>
      </c>
      <c r="BM948">
        <f>OR(AND(IF(Metadata!AA948="",FALSE,TRUE),OR(exact(Metadata!AA948,"not collected"),exact(Metadata!AA948,"not provided"))),AND(IF(Metadata!AA948="",FALSE,IF(ISERROR(INT(Metadata!AA948)),FALSE,INT(Metadata!AA948)=Metadata!AA948)),Metadata!AA948&gt;0))</f>
        <v>0</v>
      </c>
      <c r="BN948">
        <f>AND(IF(Metadata!AB948="",FALSE,TRUE),exact(Metadata!AB948,"Not applicable"))</f>
        <v>0</v>
      </c>
      <c r="BO948">
        <f>IF(Metadata!AC948="",FALSE,TRUE)</f>
        <v>0</v>
      </c>
    </row>
    <row r="949" spans="1:67">
      <c r="A949" s="5">
        <f>IF(B949=" "," ",HYPERLINK(CONCATENATE("#metadata!",ADDRESS(INDEX($AI$2:$AI$1001,MATCH(ROWS($AG$2:AG949),$AG$2:$AG$1001,0),0),1)),INDEX($AL$2:$AL$1001,MATCH(ROWS($AG$2:AG949),$AG$2:$AG$1001,0),0)))</f>
        <v>0</v>
      </c>
      <c r="B949" s="4">
        <f>IF(OR(INDEX($AH$2:$AH$1001,MATCH(ROWS($AG$2:AG949),$AG$2:$AG$1001,0),1)&gt;=100000,INDEX($AN$1005:$BO$1005,1,MATCH(COLUMNS($AN$1006:AN1006),$AN$1006:$BO$1006,0))&gt;=100000), " ",IF(INDEX($AN$2:$BO$1001,MATCH(ROWS($AG$2:AG949),$AG$2:$AG$1001,0),MATCH(COLUMNS($AN$1006:AN1006),$AN$1006:$BO$1006,0)), HYPERLINK("#",""), HYPERLINK(CONCATENATE("#Metadata!", ADDRESS(INDEX($AI$2:$AI$1001,MATCH(ROWS($AG$2:AG949),$AG$2:$AG$1001,0),0), INDEX($AN$1004:$BO$1004,1,MATCH(COLUMNS($AN$1006:AN1006),$AN$1006:$BO$1006,0)))),"Fix")))</f>
        <v>0</v>
      </c>
      <c r="C949" s="4">
        <f>IF(OR(INDEX($AH$2:$AH$1001,MATCH(ROWS($AG$2:AG949),$AG$2:$AG$1001,0),1)&gt;=100000,INDEX($AN$1005:$BO$1005,1,MATCH(COLUMNS($AN$1006:AO1006),$AN$1006:$BO$1006,0))&gt;=100000), " ",IF(INDEX($AN$2:$BO$1001,MATCH(ROWS($AG$2:AG949),$AG$2:$AG$1001,0),MATCH(COLUMNS($AN$1006:AO1006),$AN$1006:$BO$1006,0)), HYPERLINK("#",""), HYPERLINK(CONCATENATE("#Metadata!", ADDRESS(INDEX($AI$2:$AI$1001,MATCH(ROWS($AG$2:AG949),$AG$2:$AG$1001,0),0), INDEX($AN$1004:$BO$1004,1,MATCH(COLUMNS($AN$1006:AO1006),$AN$1006:$BO$1006,0)))),"Fix")))</f>
        <v>0</v>
      </c>
      <c r="D949" s="4">
        <f>IF(OR(INDEX($AH$2:$AH$1001,MATCH(ROWS($AG$2:AG949),$AG$2:$AG$1001,0),1)&gt;=100000,INDEX($AN$1005:$BO$1005,1,MATCH(COLUMNS($AN$1006:AP1006),$AN$1006:$BO$1006,0))&gt;=100000), " ",IF(INDEX($AN$2:$BO$1001,MATCH(ROWS($AG$2:AG949),$AG$2:$AG$1001,0),MATCH(COLUMNS($AN$1006:AP1006),$AN$1006:$BO$1006,0)), HYPERLINK("#",""), HYPERLINK(CONCATENATE("#Metadata!", ADDRESS(INDEX($AI$2:$AI$1001,MATCH(ROWS($AG$2:AG949),$AG$2:$AG$1001,0),0), INDEX($AN$1004:$BO$1004,1,MATCH(COLUMNS($AN$1006:AP1006),$AN$1006:$BO$1006,0)))),"Fix")))</f>
        <v>0</v>
      </c>
      <c r="E949" s="4">
        <f>IF(OR(INDEX($AH$2:$AH$1001,MATCH(ROWS($AG$2:AG949),$AG$2:$AG$1001,0),1)&gt;=100000,INDEX($AN$1005:$BO$1005,1,MATCH(COLUMNS($AN$1006:AQ1006),$AN$1006:$BO$1006,0))&gt;=100000), " ",IF(INDEX($AN$2:$BO$1001,MATCH(ROWS($AG$2:AG949),$AG$2:$AG$1001,0),MATCH(COLUMNS($AN$1006:AQ1006),$AN$1006:$BO$1006,0)), HYPERLINK("#",""), HYPERLINK(CONCATENATE("#Metadata!", ADDRESS(INDEX($AI$2:$AI$1001,MATCH(ROWS($AG$2:AG949),$AG$2:$AG$1001,0),0), INDEX($AN$1004:$BO$1004,1,MATCH(COLUMNS($AN$1006:AQ1006),$AN$1006:$BO$1006,0)))),"Fix")))</f>
        <v>0</v>
      </c>
      <c r="F949" s="4">
        <f>IF(OR(INDEX($AH$2:$AH$1001,MATCH(ROWS($AG$2:AG949),$AG$2:$AG$1001,0),1)&gt;=100000,INDEX($AN$1005:$BO$1005,1,MATCH(COLUMNS($AN$1006:AR1006),$AN$1006:$BO$1006,0))&gt;=100000), " ",IF(INDEX($AN$2:$BO$1001,MATCH(ROWS($AG$2:AG949),$AG$2:$AG$1001,0),MATCH(COLUMNS($AN$1006:AR1006),$AN$1006:$BO$1006,0)), HYPERLINK("#",""), HYPERLINK(CONCATENATE("#Metadata!", ADDRESS(INDEX($AI$2:$AI$1001,MATCH(ROWS($AG$2:AG949),$AG$2:$AG$1001,0),0), INDEX($AN$1004:$BO$1004,1,MATCH(COLUMNS($AN$1006:AR1006),$AN$1006:$BO$1006,0)))),"Fix")))</f>
        <v>0</v>
      </c>
      <c r="G949" s="4">
        <f>IF(OR(INDEX($AH$2:$AH$1001,MATCH(ROWS($AG$2:AG949),$AG$2:$AG$1001,0),1)&gt;=100000,INDEX($AN$1005:$BO$1005,1,MATCH(COLUMNS($AN$1006:AS1006),$AN$1006:$BO$1006,0))&gt;=100000), " ",IF(INDEX($AN$2:$BO$1001,MATCH(ROWS($AG$2:AG949),$AG$2:$AG$1001,0),MATCH(COLUMNS($AN$1006:AS1006),$AN$1006:$BO$1006,0)), HYPERLINK("#",""), HYPERLINK(CONCATENATE("#Metadata!", ADDRESS(INDEX($AI$2:$AI$1001,MATCH(ROWS($AG$2:AG949),$AG$2:$AG$1001,0),0), INDEX($AN$1004:$BO$1004,1,MATCH(COLUMNS($AN$1006:AS1006),$AN$1006:$BO$1006,0)))),"Fix")))</f>
        <v>0</v>
      </c>
      <c r="H949" s="4">
        <f>IF(OR(INDEX($AH$2:$AH$1001,MATCH(ROWS($AG$2:AG949),$AG$2:$AG$1001,0),1)&gt;=100000,INDEX($AN$1005:$BO$1005,1,MATCH(COLUMNS($AN$1006:AT1006),$AN$1006:$BO$1006,0))&gt;=100000), " ",IF(INDEX($AN$2:$BO$1001,MATCH(ROWS($AG$2:AG949),$AG$2:$AG$1001,0),MATCH(COLUMNS($AN$1006:AT1006),$AN$1006:$BO$1006,0)), HYPERLINK("#",""), HYPERLINK(CONCATENATE("#Metadata!", ADDRESS(INDEX($AI$2:$AI$1001,MATCH(ROWS($AG$2:AG949),$AG$2:$AG$1001,0),0), INDEX($AN$1004:$BO$1004,1,MATCH(COLUMNS($AN$1006:AT1006),$AN$1006:$BO$1006,0)))),"Fix")))</f>
        <v>0</v>
      </c>
      <c r="I949" s="4">
        <f>IF(OR(INDEX($AH$2:$AH$1001,MATCH(ROWS($AG$2:AG949),$AG$2:$AG$1001,0),1)&gt;=100000,INDEX($AN$1005:$BO$1005,1,MATCH(COLUMNS($AN$1006:AU1006),$AN$1006:$BO$1006,0))&gt;=100000), " ",IF(INDEX($AN$2:$BO$1001,MATCH(ROWS($AG$2:AG949),$AG$2:$AG$1001,0),MATCH(COLUMNS($AN$1006:AU1006),$AN$1006:$BO$1006,0)), HYPERLINK("#",""), HYPERLINK(CONCATENATE("#Metadata!", ADDRESS(INDEX($AI$2:$AI$1001,MATCH(ROWS($AG$2:AG949),$AG$2:$AG$1001,0),0), INDEX($AN$1004:$BO$1004,1,MATCH(COLUMNS($AN$1006:AU1006),$AN$1006:$BO$1006,0)))),"Fix")))</f>
        <v>0</v>
      </c>
      <c r="J949" s="4">
        <f>IF(OR(INDEX($AH$2:$AH$1001,MATCH(ROWS($AG$2:AG949),$AG$2:$AG$1001,0),1)&gt;=100000,INDEX($AN$1005:$BO$1005,1,MATCH(COLUMNS($AN$1006:AV1006),$AN$1006:$BO$1006,0))&gt;=100000), " ",IF(INDEX($AN$2:$BO$1001,MATCH(ROWS($AG$2:AG949),$AG$2:$AG$1001,0),MATCH(COLUMNS($AN$1006:AV1006),$AN$1006:$BO$1006,0)), HYPERLINK("#",""), HYPERLINK(CONCATENATE("#Metadata!", ADDRESS(INDEX($AI$2:$AI$1001,MATCH(ROWS($AG$2:AG949),$AG$2:$AG$1001,0),0), INDEX($AN$1004:$BO$1004,1,MATCH(COLUMNS($AN$1006:AV1006),$AN$1006:$BO$1006,0)))),"Fix")))</f>
        <v>0</v>
      </c>
      <c r="K949" s="4">
        <f>IF(OR(INDEX($AH$2:$AH$1001,MATCH(ROWS($AG$2:AG949),$AG$2:$AG$1001,0),1)&gt;=100000,INDEX($AN$1005:$BO$1005,1,MATCH(COLUMNS($AN$1006:AW1006),$AN$1006:$BO$1006,0))&gt;=100000), " ",IF(INDEX($AN$2:$BO$1001,MATCH(ROWS($AG$2:AG949),$AG$2:$AG$1001,0),MATCH(COLUMNS($AN$1006:AW1006),$AN$1006:$BO$1006,0)), HYPERLINK("#",""), HYPERLINK(CONCATENATE("#Metadata!", ADDRESS(INDEX($AI$2:$AI$1001,MATCH(ROWS($AG$2:AG949),$AG$2:$AG$1001,0),0), INDEX($AN$1004:$BO$1004,1,MATCH(COLUMNS($AN$1006:AW1006),$AN$1006:$BO$1006,0)))),"Fix")))</f>
        <v>0</v>
      </c>
      <c r="L949" s="4">
        <f>IF(OR(INDEX($AH$2:$AH$1001,MATCH(ROWS($AG$2:AG949),$AG$2:$AG$1001,0),1)&gt;=100000,INDEX($AN$1005:$BO$1005,1,MATCH(COLUMNS($AN$1006:AX1006),$AN$1006:$BO$1006,0))&gt;=100000), " ",IF(INDEX($AN$2:$BO$1001,MATCH(ROWS($AG$2:AG949),$AG$2:$AG$1001,0),MATCH(COLUMNS($AN$1006:AX1006),$AN$1006:$BO$1006,0)), HYPERLINK("#",""), HYPERLINK(CONCATENATE("#Metadata!", ADDRESS(INDEX($AI$2:$AI$1001,MATCH(ROWS($AG$2:AG949),$AG$2:$AG$1001,0),0), INDEX($AN$1004:$BO$1004,1,MATCH(COLUMNS($AN$1006:AX1006),$AN$1006:$BO$1006,0)))),"Fix")))</f>
        <v>0</v>
      </c>
      <c r="M949" s="4">
        <f>IF(OR(INDEX($AH$2:$AH$1001,MATCH(ROWS($AG$2:AG949),$AG$2:$AG$1001,0),1)&gt;=100000,INDEX($AN$1005:$BO$1005,1,MATCH(COLUMNS($AN$1006:AY1006),$AN$1006:$BO$1006,0))&gt;=100000), " ",IF(INDEX($AN$2:$BO$1001,MATCH(ROWS($AG$2:AG949),$AG$2:$AG$1001,0),MATCH(COLUMNS($AN$1006:AY1006),$AN$1006:$BO$1006,0)), HYPERLINK("#",""), HYPERLINK(CONCATENATE("#Metadata!", ADDRESS(INDEX($AI$2:$AI$1001,MATCH(ROWS($AG$2:AG949),$AG$2:$AG$1001,0),0), INDEX($AN$1004:$BO$1004,1,MATCH(COLUMNS($AN$1006:AY1006),$AN$1006:$BO$1006,0)))),"Fix")))</f>
        <v>0</v>
      </c>
      <c r="N949" s="4">
        <f>IF(OR(INDEX($AH$2:$AH$1001,MATCH(ROWS($AG$2:AG949),$AG$2:$AG$1001,0),1)&gt;=100000,INDEX($AN$1005:$BO$1005,1,MATCH(COLUMNS($AN$1006:AZ1006),$AN$1006:$BO$1006,0))&gt;=100000), " ",IF(INDEX($AN$2:$BO$1001,MATCH(ROWS($AG$2:AG949),$AG$2:$AG$1001,0),MATCH(COLUMNS($AN$1006:AZ1006),$AN$1006:$BO$1006,0)), HYPERLINK("#",""), HYPERLINK(CONCATENATE("#Metadata!", ADDRESS(INDEX($AI$2:$AI$1001,MATCH(ROWS($AG$2:AG949),$AG$2:$AG$1001,0),0), INDEX($AN$1004:$BO$1004,1,MATCH(COLUMNS($AN$1006:AZ1006),$AN$1006:$BO$1006,0)))),"Fix")))</f>
        <v>0</v>
      </c>
      <c r="O949" s="4">
        <f>IF(OR(INDEX($AH$2:$AH$1001,MATCH(ROWS($AG$2:AG949),$AG$2:$AG$1001,0),1)&gt;=100000,INDEX($AN$1005:$BO$1005,1,MATCH(COLUMNS($AN$1006:BA1006),$AN$1006:$BO$1006,0))&gt;=100000), " ",IF(INDEX($AN$2:$BO$1001,MATCH(ROWS($AG$2:AG949),$AG$2:$AG$1001,0),MATCH(COLUMNS($AN$1006:BA1006),$AN$1006:$BO$1006,0)), HYPERLINK("#",""), HYPERLINK(CONCATENATE("#Metadata!", ADDRESS(INDEX($AI$2:$AI$1001,MATCH(ROWS($AG$2:AG949),$AG$2:$AG$1001,0),0), INDEX($AN$1004:$BO$1004,1,MATCH(COLUMNS($AN$1006:BA1006),$AN$1006:$BO$1006,0)))),"Fix")))</f>
        <v>0</v>
      </c>
      <c r="P949" s="4">
        <f>IF(OR(INDEX($AH$2:$AH$1001,MATCH(ROWS($AG$2:AG949),$AG$2:$AG$1001,0),1)&gt;=100000,INDEX($AN$1005:$BO$1005,1,MATCH(COLUMNS($AN$1006:BB1006),$AN$1006:$BO$1006,0))&gt;=100000), " ",IF(INDEX($AN$2:$BO$1001,MATCH(ROWS($AG$2:AG949),$AG$2:$AG$1001,0),MATCH(COLUMNS($AN$1006:BB1006),$AN$1006:$BO$1006,0)), HYPERLINK("#",""), HYPERLINK(CONCATENATE("#Metadata!", ADDRESS(INDEX($AI$2:$AI$1001,MATCH(ROWS($AG$2:AG949),$AG$2:$AG$1001,0),0), INDEX($AN$1004:$BO$1004,1,MATCH(COLUMNS($AN$1006:BB1006),$AN$1006:$BO$1006,0)))),"Fix")))</f>
        <v>0</v>
      </c>
      <c r="Q949" s="4">
        <f>IF(OR(INDEX($AH$2:$AH$1001,MATCH(ROWS($AG$2:AG949),$AG$2:$AG$1001,0),1)&gt;=100000,INDEX($AN$1005:$BO$1005,1,MATCH(COLUMNS($AN$1006:BC1006),$AN$1006:$BO$1006,0))&gt;=100000), " ",IF(INDEX($AN$2:$BO$1001,MATCH(ROWS($AG$2:AG949),$AG$2:$AG$1001,0),MATCH(COLUMNS($AN$1006:BC1006),$AN$1006:$BO$1006,0)), HYPERLINK("#",""), HYPERLINK(CONCATENATE("#Metadata!", ADDRESS(INDEX($AI$2:$AI$1001,MATCH(ROWS($AG$2:AG949),$AG$2:$AG$1001,0),0), INDEX($AN$1004:$BO$1004,1,MATCH(COLUMNS($AN$1006:BC1006),$AN$1006:$BO$1006,0)))),"Fix")))</f>
        <v>0</v>
      </c>
      <c r="R949" s="4">
        <f>IF(OR(INDEX($AH$2:$AH$1001,MATCH(ROWS($AG$2:AG949),$AG$2:$AG$1001,0),1)&gt;=100000,INDEX($AN$1005:$BO$1005,1,MATCH(COLUMNS($AN$1006:BD1006),$AN$1006:$BO$1006,0))&gt;=100000), " ",IF(INDEX($AN$2:$BO$1001,MATCH(ROWS($AG$2:AG949),$AG$2:$AG$1001,0),MATCH(COLUMNS($AN$1006:BD1006),$AN$1006:$BO$1006,0)), HYPERLINK("#",""), HYPERLINK(CONCATENATE("#Metadata!", ADDRESS(INDEX($AI$2:$AI$1001,MATCH(ROWS($AG$2:AG949),$AG$2:$AG$1001,0),0), INDEX($AN$1004:$BO$1004,1,MATCH(COLUMNS($AN$1006:BD1006),$AN$1006:$BO$1006,0)))),"Fix")))</f>
        <v>0</v>
      </c>
      <c r="S949" s="4">
        <f>IF(OR(INDEX($AH$2:$AH$1001,MATCH(ROWS($AG$2:AG949),$AG$2:$AG$1001,0),1)&gt;=100000,INDEX($AN$1005:$BO$1005,1,MATCH(COLUMNS($AN$1006:BE1006),$AN$1006:$BO$1006,0))&gt;=100000), " ",IF(INDEX($AN$2:$BO$1001,MATCH(ROWS($AG$2:AG949),$AG$2:$AG$1001,0),MATCH(COLUMNS($AN$1006:BE1006),$AN$1006:$BO$1006,0)), HYPERLINK("#",""), HYPERLINK(CONCATENATE("#Metadata!", ADDRESS(INDEX($AI$2:$AI$1001,MATCH(ROWS($AG$2:AG949),$AG$2:$AG$1001,0),0), INDEX($AN$1004:$BO$1004,1,MATCH(COLUMNS($AN$1006:BE1006),$AN$1006:$BO$1006,0)))),"Fix")))</f>
        <v>0</v>
      </c>
      <c r="T949" s="4">
        <f>IF(OR(INDEX($AH$2:$AH$1001,MATCH(ROWS($AG$2:AG949),$AG$2:$AG$1001,0),1)&gt;=100000,INDEX($AN$1005:$BO$1005,1,MATCH(COLUMNS($AN$1006:BF1006),$AN$1006:$BO$1006,0))&gt;=100000), " ",IF(INDEX($AN$2:$BO$1001,MATCH(ROWS($AG$2:AG949),$AG$2:$AG$1001,0),MATCH(COLUMNS($AN$1006:BF1006),$AN$1006:$BO$1006,0)), HYPERLINK("#",""), HYPERLINK(CONCATENATE("#Metadata!", ADDRESS(INDEX($AI$2:$AI$1001,MATCH(ROWS($AG$2:AG949),$AG$2:$AG$1001,0),0), INDEX($AN$1004:$BO$1004,1,MATCH(COLUMNS($AN$1006:BF1006),$AN$1006:$BO$1006,0)))),"Fix")))</f>
        <v>0</v>
      </c>
      <c r="U949" s="4">
        <f>IF(OR(INDEX($AH$2:$AH$1001,MATCH(ROWS($AG$2:AG949),$AG$2:$AG$1001,0),1)&gt;=100000,INDEX($AN$1005:$BO$1005,1,MATCH(COLUMNS($AN$1006:BG1006),$AN$1006:$BO$1006,0))&gt;=100000), " ",IF(INDEX($AN$2:$BO$1001,MATCH(ROWS($AG$2:AG949),$AG$2:$AG$1001,0),MATCH(COLUMNS($AN$1006:BG1006),$AN$1006:$BO$1006,0)), HYPERLINK("#",""), HYPERLINK(CONCATENATE("#Metadata!", ADDRESS(INDEX($AI$2:$AI$1001,MATCH(ROWS($AG$2:AG949),$AG$2:$AG$1001,0),0), INDEX($AN$1004:$BO$1004,1,MATCH(COLUMNS($AN$1006:BG1006),$AN$1006:$BO$1006,0)))),"Fix")))</f>
        <v>0</v>
      </c>
      <c r="V949" s="4">
        <f>IF(OR(INDEX($AH$2:$AH$1001,MATCH(ROWS($AG$2:AG949),$AG$2:$AG$1001,0),1)&gt;=100000,INDEX($AN$1005:$BO$1005,1,MATCH(COLUMNS($AN$1006:BH1006),$AN$1006:$BO$1006,0))&gt;=100000), " ",IF(INDEX($AN$2:$BO$1001,MATCH(ROWS($AG$2:AG949),$AG$2:$AG$1001,0),MATCH(COLUMNS($AN$1006:BH1006),$AN$1006:$BO$1006,0)), HYPERLINK("#",""), HYPERLINK(CONCATENATE("#Metadata!", ADDRESS(INDEX($AI$2:$AI$1001,MATCH(ROWS($AG$2:AG949),$AG$2:$AG$1001,0),0), INDEX($AN$1004:$BO$1004,1,MATCH(COLUMNS($AN$1006:BH1006),$AN$1006:$BO$1006,0)))),"Fix")))</f>
        <v>0</v>
      </c>
      <c r="W949" s="4">
        <f>IF(OR(INDEX($AH$2:$AH$1001,MATCH(ROWS($AG$2:AG949),$AG$2:$AG$1001,0),1)&gt;=100000,INDEX($AN$1005:$BO$1005,1,MATCH(COLUMNS($AN$1006:BI1006),$AN$1006:$BO$1006,0))&gt;=100000), " ",IF(INDEX($AN$2:$BO$1001,MATCH(ROWS($AG$2:AG949),$AG$2:$AG$1001,0),MATCH(COLUMNS($AN$1006:BI1006),$AN$1006:$BO$1006,0)), HYPERLINK("#",""), HYPERLINK(CONCATENATE("#Metadata!", ADDRESS(INDEX($AI$2:$AI$1001,MATCH(ROWS($AG$2:AG949),$AG$2:$AG$1001,0),0), INDEX($AN$1004:$BO$1004,1,MATCH(COLUMNS($AN$1006:BI1006),$AN$1006:$BO$1006,0)))),"Fix")))</f>
        <v>0</v>
      </c>
      <c r="X949" s="4">
        <f>IF(OR(INDEX($AH$2:$AH$1001,MATCH(ROWS($AG$2:AG949),$AG$2:$AG$1001,0),1)&gt;=100000,INDEX($AN$1005:$BO$1005,1,MATCH(COLUMNS($AN$1006:BJ1006),$AN$1006:$BO$1006,0))&gt;=100000), " ",IF(INDEX($AN$2:$BO$1001,MATCH(ROWS($AG$2:AG949),$AG$2:$AG$1001,0),MATCH(COLUMNS($AN$1006:BJ1006),$AN$1006:$BO$1006,0)), HYPERLINK("#",""), HYPERLINK(CONCATENATE("#Metadata!", ADDRESS(INDEX($AI$2:$AI$1001,MATCH(ROWS($AG$2:AG949),$AG$2:$AG$1001,0),0), INDEX($AN$1004:$BO$1004,1,MATCH(COLUMNS($AN$1006:BJ1006),$AN$1006:$BO$1006,0)))),"Fix")))</f>
        <v>0</v>
      </c>
      <c r="Y949" s="4">
        <f>IF(OR(INDEX($AH$2:$AH$1001,MATCH(ROWS($AG$2:AG949),$AG$2:$AG$1001,0),1)&gt;=100000,INDEX($AN$1005:$BO$1005,1,MATCH(COLUMNS($AN$1006:BK1006),$AN$1006:$BO$1006,0))&gt;=100000), " ",IF(INDEX($AN$2:$BO$1001,MATCH(ROWS($AG$2:AG949),$AG$2:$AG$1001,0),MATCH(COLUMNS($AN$1006:BK1006),$AN$1006:$BO$1006,0)), HYPERLINK("#",""), HYPERLINK(CONCATENATE("#Metadata!", ADDRESS(INDEX($AI$2:$AI$1001,MATCH(ROWS($AG$2:AG949),$AG$2:$AG$1001,0),0), INDEX($AN$1004:$BO$1004,1,MATCH(COLUMNS($AN$1006:BK1006),$AN$1006:$BO$1006,0)))),"Fix")))</f>
        <v>0</v>
      </c>
      <c r="Z949" s="4">
        <f>IF(OR(INDEX($AH$2:$AH$1001,MATCH(ROWS($AG$2:AG949),$AG$2:$AG$1001,0),1)&gt;=100000,INDEX($AN$1005:$BO$1005,1,MATCH(COLUMNS($AN$1006:BL1006),$AN$1006:$BO$1006,0))&gt;=100000), " ",IF(INDEX($AN$2:$BO$1001,MATCH(ROWS($AG$2:AG949),$AG$2:$AG$1001,0),MATCH(COLUMNS($AN$1006:BL1006),$AN$1006:$BO$1006,0)), HYPERLINK("#",""), HYPERLINK(CONCATENATE("#Metadata!", ADDRESS(INDEX($AI$2:$AI$1001,MATCH(ROWS($AG$2:AG949),$AG$2:$AG$1001,0),0), INDEX($AN$1004:$BO$1004,1,MATCH(COLUMNS($AN$1006:BL1006),$AN$1006:$BO$1006,0)))),"Fix")))</f>
        <v>0</v>
      </c>
      <c r="AA949" s="4">
        <f>IF(OR(INDEX($AH$2:$AH$1001,MATCH(ROWS($AG$2:AG949),$AG$2:$AG$1001,0),1)&gt;=100000,INDEX($AN$1005:$BO$1005,1,MATCH(COLUMNS($AN$1006:BM1006),$AN$1006:$BO$1006,0))&gt;=100000), " ",IF(INDEX($AN$2:$BO$1001,MATCH(ROWS($AG$2:AG949),$AG$2:$AG$1001,0),MATCH(COLUMNS($AN$1006:BM1006),$AN$1006:$BO$1006,0)), HYPERLINK("#",""), HYPERLINK(CONCATENATE("#Metadata!", ADDRESS(INDEX($AI$2:$AI$1001,MATCH(ROWS($AG$2:AG949),$AG$2:$AG$1001,0),0), INDEX($AN$1004:$BO$1004,1,MATCH(COLUMNS($AN$1006:BM1006),$AN$1006:$BO$1006,0)))),"Fix")))</f>
        <v>0</v>
      </c>
      <c r="AB949" s="4">
        <f>IF(OR(INDEX($AH$2:$AH$1001,MATCH(ROWS($AG$2:AG949),$AG$2:$AG$1001,0),1)&gt;=100000,INDEX($AN$1005:$BO$1005,1,MATCH(COLUMNS($AN$1006:BN1006),$AN$1006:$BO$1006,0))&gt;=100000), " ",IF(INDEX($AN$2:$BO$1001,MATCH(ROWS($AG$2:AG949),$AG$2:$AG$1001,0),MATCH(COLUMNS($AN$1006:BN1006),$AN$1006:$BO$1006,0)), HYPERLINK("#",""), HYPERLINK(CONCATENATE("#Metadata!", ADDRESS(INDEX($AI$2:$AI$1001,MATCH(ROWS($AG$2:AG949),$AG$2:$AG$1001,0),0), INDEX($AN$1004:$BO$1004,1,MATCH(COLUMNS($AN$1006:BN1006),$AN$1006:$BO$1006,0)))),"Fix")))</f>
        <v>0</v>
      </c>
      <c r="AC949" s="4">
        <f>IF(OR(INDEX($AH$2:$AH$1001,MATCH(ROWS($AG$2:AG949),$AG$2:$AG$1001,0),1)&gt;=100000,INDEX($AN$1005:$BO$1005,1,MATCH(COLUMNS($AN$1006:BO1006),$AN$1006:$BO$1006,0))&gt;=100000), " ",IF(INDEX($AN$2:$BO$1001,MATCH(ROWS($AG$2:AG949),$AG$2:$AG$1001,0),MATCH(COLUMNS($AN$1006:BO1006),$AN$1006:$BO$1006,0)), HYPERLINK("#",""), HYPERLINK(CONCATENATE("#Metadata!", ADDRESS(INDEX($AI$2:$AI$1001,MATCH(ROWS($AG$2:AG949),$AG$2:$AG$1001,0),0), INDEX($AN$1004:$BO$1004,1,MATCH(COLUMNS($AN$1006:BO1006),$AN$1006:$BO$1006,0)))),"Fix")))</f>
        <v>0</v>
      </c>
      <c r="AG949">
        <v>0</v>
      </c>
      <c r="AH949">
        <v>0</v>
      </c>
      <c r="AI949">
        <v>0</v>
      </c>
      <c r="AJ949">
        <f>IF(AK949,TRUE,AND(AN949:BO949))</f>
        <v>0</v>
      </c>
      <c r="AK949">
        <f>COUNTBLANK(Metadata!B949:AC949)=COLUMNS(Metadata!B949:AC949)</f>
        <v>0</v>
      </c>
      <c r="AL949">
        <v>0</v>
      </c>
      <c r="AN949">
        <f>AND(IF(Metadata!B949="",FALSE,TRUE),COUNTIF(Metadata!B:B, Metadata!B949) = 1,NOT(ISERROR(SUMPRODUCT(SEARCH(MID(Metadata!B949,ROW(INDIRECT("1:"&amp;LEN(Metadata!B949))), 1),"0123456789abcdefghijklmnopqrstuvwxyzABCDEFGHIJKLMNOPQRSTUVWXYZ.")))))</f>
        <v>0</v>
      </c>
      <c r="AO949">
        <f>IF(Metadata!C949="",FALSE,TRUE)</f>
        <v>0</v>
      </c>
      <c r="AP949">
        <f>IF(Metadata!D949="",FALSE,TRUE)</f>
        <v>0</v>
      </c>
      <c r="AQ949">
        <f>OR(AND(IF(Metadata!E949="",FALSE,TRUE),OR(exact(Metadata!E949,"not collected"),exact(Metadata!E949,"not provided"),exact(Metadata!E949,"restricted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R949">
        <f>IF(Metadata!F949="",FALSE,TRUE)</f>
        <v>0</v>
      </c>
      <c r="AS949">
        <f>OR(AND(IF(Metadata!G949="",FALSE,TRUE),OR(exact(Metadata!G949,"not collected"),exact(Metadata!G949,"not provided"))),AND(IF(Metadata!G949="",FALSE,TRUE),OR(exact(Metadata!G949,"TRUE"),exact(Metadata!G949,"FALSE"))))</f>
        <v>0</v>
      </c>
      <c r="AT949">
        <f>OR(AND(IF(Metadata!H949="",FALSE,TRUE),OR(exact(Metadata!H949,"not collected"),exact(Metadata!H949,"not provided"),exact(Metadata!H949,"restricted access"))),AND(IF(Metadata!H949="",FALSE,ISNUMBER(VALUE(Metadata!H949))),Metadata!H949&gt;=-413.0))</f>
        <v>0</v>
      </c>
      <c r="AU949">
        <f>AND(IF(Metadata!I949="",FALSE,TRUE),exact(Metadata!I949,"meters"))</f>
        <v>0</v>
      </c>
      <c r="AV949">
        <f>AND(IF(Metadata!J949="",FALSE,TRUE),OR(exact(Metadata!J949,"Host-associated"),exact(Metadata!J949,"Free-living")))</f>
        <v>0</v>
      </c>
      <c r="AW949">
        <f>AND(IF(Metadata!K949="",FALSE,TRUE),OR(exact(Metadata!K949,"Animal"),exact(Metadata!K949,"Fungus"),exact(Metadata!K949,"Plant"),exact(Metadata!K949,"Saline"),exact(Metadata!K949,"Non-saline")))</f>
        <v>0</v>
      </c>
      <c r="AX949">
        <f>AND(IF(Metadata!L949="",FALSE,TRUE),OR(exact(Metadata!L949,"Plant secretion"),exact(Metadata!L949,"Plant rhizosphere"),exact(Metadata!L949,"Plant surface"),exact(Metadata!L949,"Plant corpus"),exact(Metadata!L949,"Fungus surface"),exact(Metadata!L949,"Fungus corpus"),exact(Metadata!L949,"Animal surface"),exact(Metadata!L949,"Animal proximal gut"),exact(Metadata!L949,"Animal corpus"),exact(Metadata!L949,"Animal distal gut"),exact(Metadata!L949,"Animal secretion"),exact(Metadata!L949,"Sub-surface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Y949">
        <f>IF(Metadata!M949="",FALSE,TRUE)</f>
        <v>0</v>
      </c>
      <c r="AZ949">
        <f>IF(Metadata!N949="",FALSE,TRUE)</f>
        <v>0</v>
      </c>
      <c r="BA949">
        <f>IF(Metadata!O949="",FALSE,TRUE)</f>
        <v>0</v>
      </c>
      <c r="BB949">
        <f>OR(AND(IF(Metadata!P949="",FALSE,TRUE),OR(exact(Metadata!P949,"not collected"),exact(Metadata!P949,"not provided"),exact(Metadata!P949,"restricted access"))),AND(IF(Metadata!P949="",FALSE,TRUE),OR(exact(Metadata!P949,"air"),exact(Metadata!P949,"built environment"),exact(Metadata!P949,"host-associated"),exact(Metadata!P949,"human-associated"),exact(Metadata!P949,"human-skin"),exact(Metadata!P949,"human-oral"),exact(Metadata!P949,"human-gut"),exact(Metadata!P949,"human-vaginal"),exact(Metadata!P949,"microbial mat/biofilm"),exact(Metadata!P949,"misc environment"),exact(Metadata!P949,"plant-associated"),exact(Metadata!P949,"sediment"),exact(Metadata!P949,"soil"),exact(Metadata!P949,"wastewater/sludge"),exact(Metadata!P949,"water"))))</f>
        <v>0</v>
      </c>
      <c r="BC949">
        <f>IF(Metadata!Q949="",FALSE,TRUE)</f>
        <v>0</v>
      </c>
      <c r="BD949">
        <f>IF(Metadata!R949="",FALSE,TRUE)</f>
        <v>0</v>
      </c>
      <c r="BE949">
        <f>OR(AND(IF(Metadata!S949="",FALSE,TRUE),OR(exact(Metadata!S949,"not collected"),exact(Metadata!S949,"not provided"),exact(Metadata!S949,"restricted access"))),AND(IF(Metadata!S949="",FALSE,ISNUMBER(VALUE(Metadata!S949))),Metadata!S949&gt;=-90.00,Metadata!S949&lt;=90.00))</f>
        <v>0</v>
      </c>
      <c r="BF949">
        <f>AND(IF(Metadata!T949="",FALSE,TRUE),exact(Metadata!T949,"Decimal degrees"))</f>
        <v>0</v>
      </c>
      <c r="BG949">
        <f>OR(AND(IF(Metadata!U949="",FALSE,TRUE),OR(exact(Metadata!U949,"not collected"),exact(Metadata!U949,"not provided"),exact(Metadata!U949,"restricted access"))),AND(IF(Metadata!U949="",FALSE,ISNUMBER(VALUE(Metadata!U949))),Metadata!U949&gt;=-180.00,Metadata!U949&lt;=180.00))</f>
        <v>0</v>
      </c>
      <c r="BH949">
        <f>AND(IF(Metadata!V949="",FALSE,TRUE),exact(Metadata!V949,"Decimal degrees"))</f>
        <v>0</v>
      </c>
      <c r="BI949">
        <f>IF(Metadata!W949="",FALSE,TRUE)</f>
        <v>0</v>
      </c>
      <c r="BJ949">
        <f>OR(AND(IF(Metadata!X949="",FALSE,TRUE),OR(exact(Metadata!X949,"not collected"),exact(Metadata!X949,"not provided"),exact(Metadata!X949,"restricted access"))),AND(IF(Metadata!X949="",FALSE,TRUE),OR(exact(Metadata!X949,"TRUE"),exact(Metadata!X949,"FALSE"))))</f>
        <v>0</v>
      </c>
      <c r="BK949">
        <f>AND(IF(Metadata!Y949="",FALSE,TRUE),exact(Metadata!Y949,"other"))</f>
        <v>0</v>
      </c>
      <c r="BL949">
        <f>IF(Metadata!Z949="",FALSE,TRUE)</f>
        <v>0</v>
      </c>
      <c r="BM949">
        <f>OR(AND(IF(Metadata!AA949="",FALSE,TRUE),OR(exact(Metadata!AA949,"not collected"),exact(Metadata!AA949,"not provided"))),AND(IF(Metadata!AA949="",FALSE,IF(ISERROR(INT(Metadata!AA949)),FALSE,INT(Metadata!AA949)=Metadata!AA949)),Metadata!AA949&gt;0))</f>
        <v>0</v>
      </c>
      <c r="BN949">
        <f>AND(IF(Metadata!AB949="",FALSE,TRUE),exact(Metadata!AB949,"Not applicable"))</f>
        <v>0</v>
      </c>
      <c r="BO949">
        <f>IF(Metadata!AC949="",FALSE,TRUE)</f>
        <v>0</v>
      </c>
    </row>
    <row r="950" spans="1:67">
      <c r="A950" s="5">
        <f>IF(B950=" "," ",HYPERLINK(CONCATENATE("#metadata!",ADDRESS(INDEX($AI$2:$AI$1001,MATCH(ROWS($AG$2:AG950),$AG$2:$AG$1001,0),0),1)),INDEX($AL$2:$AL$1001,MATCH(ROWS($AG$2:AG950),$AG$2:$AG$1001,0),0)))</f>
        <v>0</v>
      </c>
      <c r="B950" s="4">
        <f>IF(OR(INDEX($AH$2:$AH$1001,MATCH(ROWS($AG$2:AG950),$AG$2:$AG$1001,0),1)&gt;=100000,INDEX($AN$1005:$BO$1005,1,MATCH(COLUMNS($AN$1006:AN1006),$AN$1006:$BO$1006,0))&gt;=100000), " ",IF(INDEX($AN$2:$BO$1001,MATCH(ROWS($AG$2:AG950),$AG$2:$AG$1001,0),MATCH(COLUMNS($AN$1006:AN1006),$AN$1006:$BO$1006,0)), HYPERLINK("#",""), HYPERLINK(CONCATENATE("#Metadata!", ADDRESS(INDEX($AI$2:$AI$1001,MATCH(ROWS($AG$2:AG950),$AG$2:$AG$1001,0),0), INDEX($AN$1004:$BO$1004,1,MATCH(COLUMNS($AN$1006:AN1006),$AN$1006:$BO$1006,0)))),"Fix")))</f>
        <v>0</v>
      </c>
      <c r="C950" s="4">
        <f>IF(OR(INDEX($AH$2:$AH$1001,MATCH(ROWS($AG$2:AG950),$AG$2:$AG$1001,0),1)&gt;=100000,INDEX($AN$1005:$BO$1005,1,MATCH(COLUMNS($AN$1006:AO1006),$AN$1006:$BO$1006,0))&gt;=100000), " ",IF(INDEX($AN$2:$BO$1001,MATCH(ROWS($AG$2:AG950),$AG$2:$AG$1001,0),MATCH(COLUMNS($AN$1006:AO1006),$AN$1006:$BO$1006,0)), HYPERLINK("#",""), HYPERLINK(CONCATENATE("#Metadata!", ADDRESS(INDEX($AI$2:$AI$1001,MATCH(ROWS($AG$2:AG950),$AG$2:$AG$1001,0),0), INDEX($AN$1004:$BO$1004,1,MATCH(COLUMNS($AN$1006:AO1006),$AN$1006:$BO$1006,0)))),"Fix")))</f>
        <v>0</v>
      </c>
      <c r="D950" s="4">
        <f>IF(OR(INDEX($AH$2:$AH$1001,MATCH(ROWS($AG$2:AG950),$AG$2:$AG$1001,0),1)&gt;=100000,INDEX($AN$1005:$BO$1005,1,MATCH(COLUMNS($AN$1006:AP1006),$AN$1006:$BO$1006,0))&gt;=100000), " ",IF(INDEX($AN$2:$BO$1001,MATCH(ROWS($AG$2:AG950),$AG$2:$AG$1001,0),MATCH(COLUMNS($AN$1006:AP1006),$AN$1006:$BO$1006,0)), HYPERLINK("#",""), HYPERLINK(CONCATENATE("#Metadata!", ADDRESS(INDEX($AI$2:$AI$1001,MATCH(ROWS($AG$2:AG950),$AG$2:$AG$1001,0),0), INDEX($AN$1004:$BO$1004,1,MATCH(COLUMNS($AN$1006:AP1006),$AN$1006:$BO$1006,0)))),"Fix")))</f>
        <v>0</v>
      </c>
      <c r="E950" s="4">
        <f>IF(OR(INDEX($AH$2:$AH$1001,MATCH(ROWS($AG$2:AG950),$AG$2:$AG$1001,0),1)&gt;=100000,INDEX($AN$1005:$BO$1005,1,MATCH(COLUMNS($AN$1006:AQ1006),$AN$1006:$BO$1006,0))&gt;=100000), " ",IF(INDEX($AN$2:$BO$1001,MATCH(ROWS($AG$2:AG950),$AG$2:$AG$1001,0),MATCH(COLUMNS($AN$1006:AQ1006),$AN$1006:$BO$1006,0)), HYPERLINK("#",""), HYPERLINK(CONCATENATE("#Metadata!", ADDRESS(INDEX($AI$2:$AI$1001,MATCH(ROWS($AG$2:AG950),$AG$2:$AG$1001,0),0), INDEX($AN$1004:$BO$1004,1,MATCH(COLUMNS($AN$1006:AQ1006),$AN$1006:$BO$1006,0)))),"Fix")))</f>
        <v>0</v>
      </c>
      <c r="F950" s="4">
        <f>IF(OR(INDEX($AH$2:$AH$1001,MATCH(ROWS($AG$2:AG950),$AG$2:$AG$1001,0),1)&gt;=100000,INDEX($AN$1005:$BO$1005,1,MATCH(COLUMNS($AN$1006:AR1006),$AN$1006:$BO$1006,0))&gt;=100000), " ",IF(INDEX($AN$2:$BO$1001,MATCH(ROWS($AG$2:AG950),$AG$2:$AG$1001,0),MATCH(COLUMNS($AN$1006:AR1006),$AN$1006:$BO$1006,0)), HYPERLINK("#",""), HYPERLINK(CONCATENATE("#Metadata!", ADDRESS(INDEX($AI$2:$AI$1001,MATCH(ROWS($AG$2:AG950),$AG$2:$AG$1001,0),0), INDEX($AN$1004:$BO$1004,1,MATCH(COLUMNS($AN$1006:AR1006),$AN$1006:$BO$1006,0)))),"Fix")))</f>
        <v>0</v>
      </c>
      <c r="G950" s="4">
        <f>IF(OR(INDEX($AH$2:$AH$1001,MATCH(ROWS($AG$2:AG950),$AG$2:$AG$1001,0),1)&gt;=100000,INDEX($AN$1005:$BO$1005,1,MATCH(COLUMNS($AN$1006:AS1006),$AN$1006:$BO$1006,0))&gt;=100000), " ",IF(INDEX($AN$2:$BO$1001,MATCH(ROWS($AG$2:AG950),$AG$2:$AG$1001,0),MATCH(COLUMNS($AN$1006:AS1006),$AN$1006:$BO$1006,0)), HYPERLINK("#",""), HYPERLINK(CONCATENATE("#Metadata!", ADDRESS(INDEX($AI$2:$AI$1001,MATCH(ROWS($AG$2:AG950),$AG$2:$AG$1001,0),0), INDEX($AN$1004:$BO$1004,1,MATCH(COLUMNS($AN$1006:AS1006),$AN$1006:$BO$1006,0)))),"Fix")))</f>
        <v>0</v>
      </c>
      <c r="H950" s="4">
        <f>IF(OR(INDEX($AH$2:$AH$1001,MATCH(ROWS($AG$2:AG950),$AG$2:$AG$1001,0),1)&gt;=100000,INDEX($AN$1005:$BO$1005,1,MATCH(COLUMNS($AN$1006:AT1006),$AN$1006:$BO$1006,0))&gt;=100000), " ",IF(INDEX($AN$2:$BO$1001,MATCH(ROWS($AG$2:AG950),$AG$2:$AG$1001,0),MATCH(COLUMNS($AN$1006:AT1006),$AN$1006:$BO$1006,0)), HYPERLINK("#",""), HYPERLINK(CONCATENATE("#Metadata!", ADDRESS(INDEX($AI$2:$AI$1001,MATCH(ROWS($AG$2:AG950),$AG$2:$AG$1001,0),0), INDEX($AN$1004:$BO$1004,1,MATCH(COLUMNS($AN$1006:AT1006),$AN$1006:$BO$1006,0)))),"Fix")))</f>
        <v>0</v>
      </c>
      <c r="I950" s="4">
        <f>IF(OR(INDEX($AH$2:$AH$1001,MATCH(ROWS($AG$2:AG950),$AG$2:$AG$1001,0),1)&gt;=100000,INDEX($AN$1005:$BO$1005,1,MATCH(COLUMNS($AN$1006:AU1006),$AN$1006:$BO$1006,0))&gt;=100000), " ",IF(INDEX($AN$2:$BO$1001,MATCH(ROWS($AG$2:AG950),$AG$2:$AG$1001,0),MATCH(COLUMNS($AN$1006:AU1006),$AN$1006:$BO$1006,0)), HYPERLINK("#",""), HYPERLINK(CONCATENATE("#Metadata!", ADDRESS(INDEX($AI$2:$AI$1001,MATCH(ROWS($AG$2:AG950),$AG$2:$AG$1001,0),0), INDEX($AN$1004:$BO$1004,1,MATCH(COLUMNS($AN$1006:AU1006),$AN$1006:$BO$1006,0)))),"Fix")))</f>
        <v>0</v>
      </c>
      <c r="J950" s="4">
        <f>IF(OR(INDEX($AH$2:$AH$1001,MATCH(ROWS($AG$2:AG950),$AG$2:$AG$1001,0),1)&gt;=100000,INDEX($AN$1005:$BO$1005,1,MATCH(COLUMNS($AN$1006:AV1006),$AN$1006:$BO$1006,0))&gt;=100000), " ",IF(INDEX($AN$2:$BO$1001,MATCH(ROWS($AG$2:AG950),$AG$2:$AG$1001,0),MATCH(COLUMNS($AN$1006:AV1006),$AN$1006:$BO$1006,0)), HYPERLINK("#",""), HYPERLINK(CONCATENATE("#Metadata!", ADDRESS(INDEX($AI$2:$AI$1001,MATCH(ROWS($AG$2:AG950),$AG$2:$AG$1001,0),0), INDEX($AN$1004:$BO$1004,1,MATCH(COLUMNS($AN$1006:AV1006),$AN$1006:$BO$1006,0)))),"Fix")))</f>
        <v>0</v>
      </c>
      <c r="K950" s="4">
        <f>IF(OR(INDEX($AH$2:$AH$1001,MATCH(ROWS($AG$2:AG950),$AG$2:$AG$1001,0),1)&gt;=100000,INDEX($AN$1005:$BO$1005,1,MATCH(COLUMNS($AN$1006:AW1006),$AN$1006:$BO$1006,0))&gt;=100000), " ",IF(INDEX($AN$2:$BO$1001,MATCH(ROWS($AG$2:AG950),$AG$2:$AG$1001,0),MATCH(COLUMNS($AN$1006:AW1006),$AN$1006:$BO$1006,0)), HYPERLINK("#",""), HYPERLINK(CONCATENATE("#Metadata!", ADDRESS(INDEX($AI$2:$AI$1001,MATCH(ROWS($AG$2:AG950),$AG$2:$AG$1001,0),0), INDEX($AN$1004:$BO$1004,1,MATCH(COLUMNS($AN$1006:AW1006),$AN$1006:$BO$1006,0)))),"Fix")))</f>
        <v>0</v>
      </c>
      <c r="L950" s="4">
        <f>IF(OR(INDEX($AH$2:$AH$1001,MATCH(ROWS($AG$2:AG950),$AG$2:$AG$1001,0),1)&gt;=100000,INDEX($AN$1005:$BO$1005,1,MATCH(COLUMNS($AN$1006:AX1006),$AN$1006:$BO$1006,0))&gt;=100000), " ",IF(INDEX($AN$2:$BO$1001,MATCH(ROWS($AG$2:AG950),$AG$2:$AG$1001,0),MATCH(COLUMNS($AN$1006:AX1006),$AN$1006:$BO$1006,0)), HYPERLINK("#",""), HYPERLINK(CONCATENATE("#Metadata!", ADDRESS(INDEX($AI$2:$AI$1001,MATCH(ROWS($AG$2:AG950),$AG$2:$AG$1001,0),0), INDEX($AN$1004:$BO$1004,1,MATCH(COLUMNS($AN$1006:AX1006),$AN$1006:$BO$1006,0)))),"Fix")))</f>
        <v>0</v>
      </c>
      <c r="M950" s="4">
        <f>IF(OR(INDEX($AH$2:$AH$1001,MATCH(ROWS($AG$2:AG950),$AG$2:$AG$1001,0),1)&gt;=100000,INDEX($AN$1005:$BO$1005,1,MATCH(COLUMNS($AN$1006:AY1006),$AN$1006:$BO$1006,0))&gt;=100000), " ",IF(INDEX($AN$2:$BO$1001,MATCH(ROWS($AG$2:AG950),$AG$2:$AG$1001,0),MATCH(COLUMNS($AN$1006:AY1006),$AN$1006:$BO$1006,0)), HYPERLINK("#",""), HYPERLINK(CONCATENATE("#Metadata!", ADDRESS(INDEX($AI$2:$AI$1001,MATCH(ROWS($AG$2:AG950),$AG$2:$AG$1001,0),0), INDEX($AN$1004:$BO$1004,1,MATCH(COLUMNS($AN$1006:AY1006),$AN$1006:$BO$1006,0)))),"Fix")))</f>
        <v>0</v>
      </c>
      <c r="N950" s="4">
        <f>IF(OR(INDEX($AH$2:$AH$1001,MATCH(ROWS($AG$2:AG950),$AG$2:$AG$1001,0),1)&gt;=100000,INDEX($AN$1005:$BO$1005,1,MATCH(COLUMNS($AN$1006:AZ1006),$AN$1006:$BO$1006,0))&gt;=100000), " ",IF(INDEX($AN$2:$BO$1001,MATCH(ROWS($AG$2:AG950),$AG$2:$AG$1001,0),MATCH(COLUMNS($AN$1006:AZ1006),$AN$1006:$BO$1006,0)), HYPERLINK("#",""), HYPERLINK(CONCATENATE("#Metadata!", ADDRESS(INDEX($AI$2:$AI$1001,MATCH(ROWS($AG$2:AG950),$AG$2:$AG$1001,0),0), INDEX($AN$1004:$BO$1004,1,MATCH(COLUMNS($AN$1006:AZ1006),$AN$1006:$BO$1006,0)))),"Fix")))</f>
        <v>0</v>
      </c>
      <c r="O950" s="4">
        <f>IF(OR(INDEX($AH$2:$AH$1001,MATCH(ROWS($AG$2:AG950),$AG$2:$AG$1001,0),1)&gt;=100000,INDEX($AN$1005:$BO$1005,1,MATCH(COLUMNS($AN$1006:BA1006),$AN$1006:$BO$1006,0))&gt;=100000), " ",IF(INDEX($AN$2:$BO$1001,MATCH(ROWS($AG$2:AG950),$AG$2:$AG$1001,0),MATCH(COLUMNS($AN$1006:BA1006),$AN$1006:$BO$1006,0)), HYPERLINK("#",""), HYPERLINK(CONCATENATE("#Metadata!", ADDRESS(INDEX($AI$2:$AI$1001,MATCH(ROWS($AG$2:AG950),$AG$2:$AG$1001,0),0), INDEX($AN$1004:$BO$1004,1,MATCH(COLUMNS($AN$1006:BA1006),$AN$1006:$BO$1006,0)))),"Fix")))</f>
        <v>0</v>
      </c>
      <c r="P950" s="4">
        <f>IF(OR(INDEX($AH$2:$AH$1001,MATCH(ROWS($AG$2:AG950),$AG$2:$AG$1001,0),1)&gt;=100000,INDEX($AN$1005:$BO$1005,1,MATCH(COLUMNS($AN$1006:BB1006),$AN$1006:$BO$1006,0))&gt;=100000), " ",IF(INDEX($AN$2:$BO$1001,MATCH(ROWS($AG$2:AG950),$AG$2:$AG$1001,0),MATCH(COLUMNS($AN$1006:BB1006),$AN$1006:$BO$1006,0)), HYPERLINK("#",""), HYPERLINK(CONCATENATE("#Metadata!", ADDRESS(INDEX($AI$2:$AI$1001,MATCH(ROWS($AG$2:AG950),$AG$2:$AG$1001,0),0), INDEX($AN$1004:$BO$1004,1,MATCH(COLUMNS($AN$1006:BB1006),$AN$1006:$BO$1006,0)))),"Fix")))</f>
        <v>0</v>
      </c>
      <c r="Q950" s="4">
        <f>IF(OR(INDEX($AH$2:$AH$1001,MATCH(ROWS($AG$2:AG950),$AG$2:$AG$1001,0),1)&gt;=100000,INDEX($AN$1005:$BO$1005,1,MATCH(COLUMNS($AN$1006:BC1006),$AN$1006:$BO$1006,0))&gt;=100000), " ",IF(INDEX($AN$2:$BO$1001,MATCH(ROWS($AG$2:AG950),$AG$2:$AG$1001,0),MATCH(COLUMNS($AN$1006:BC1006),$AN$1006:$BO$1006,0)), HYPERLINK("#",""), HYPERLINK(CONCATENATE("#Metadata!", ADDRESS(INDEX($AI$2:$AI$1001,MATCH(ROWS($AG$2:AG950),$AG$2:$AG$1001,0),0), INDEX($AN$1004:$BO$1004,1,MATCH(COLUMNS($AN$1006:BC1006),$AN$1006:$BO$1006,0)))),"Fix")))</f>
        <v>0</v>
      </c>
      <c r="R950" s="4">
        <f>IF(OR(INDEX($AH$2:$AH$1001,MATCH(ROWS($AG$2:AG950),$AG$2:$AG$1001,0),1)&gt;=100000,INDEX($AN$1005:$BO$1005,1,MATCH(COLUMNS($AN$1006:BD1006),$AN$1006:$BO$1006,0))&gt;=100000), " ",IF(INDEX($AN$2:$BO$1001,MATCH(ROWS($AG$2:AG950),$AG$2:$AG$1001,0),MATCH(COLUMNS($AN$1006:BD1006),$AN$1006:$BO$1006,0)), HYPERLINK("#",""), HYPERLINK(CONCATENATE("#Metadata!", ADDRESS(INDEX($AI$2:$AI$1001,MATCH(ROWS($AG$2:AG950),$AG$2:$AG$1001,0),0), INDEX($AN$1004:$BO$1004,1,MATCH(COLUMNS($AN$1006:BD1006),$AN$1006:$BO$1006,0)))),"Fix")))</f>
        <v>0</v>
      </c>
      <c r="S950" s="4">
        <f>IF(OR(INDEX($AH$2:$AH$1001,MATCH(ROWS($AG$2:AG950),$AG$2:$AG$1001,0),1)&gt;=100000,INDEX($AN$1005:$BO$1005,1,MATCH(COLUMNS($AN$1006:BE1006),$AN$1006:$BO$1006,0))&gt;=100000), " ",IF(INDEX($AN$2:$BO$1001,MATCH(ROWS($AG$2:AG950),$AG$2:$AG$1001,0),MATCH(COLUMNS($AN$1006:BE1006),$AN$1006:$BO$1006,0)), HYPERLINK("#",""), HYPERLINK(CONCATENATE("#Metadata!", ADDRESS(INDEX($AI$2:$AI$1001,MATCH(ROWS($AG$2:AG950),$AG$2:$AG$1001,0),0), INDEX($AN$1004:$BO$1004,1,MATCH(COLUMNS($AN$1006:BE1006),$AN$1006:$BO$1006,0)))),"Fix")))</f>
        <v>0</v>
      </c>
      <c r="T950" s="4">
        <f>IF(OR(INDEX($AH$2:$AH$1001,MATCH(ROWS($AG$2:AG950),$AG$2:$AG$1001,0),1)&gt;=100000,INDEX($AN$1005:$BO$1005,1,MATCH(COLUMNS($AN$1006:BF1006),$AN$1006:$BO$1006,0))&gt;=100000), " ",IF(INDEX($AN$2:$BO$1001,MATCH(ROWS($AG$2:AG950),$AG$2:$AG$1001,0),MATCH(COLUMNS($AN$1006:BF1006),$AN$1006:$BO$1006,0)), HYPERLINK("#",""), HYPERLINK(CONCATENATE("#Metadata!", ADDRESS(INDEX($AI$2:$AI$1001,MATCH(ROWS($AG$2:AG950),$AG$2:$AG$1001,0),0), INDEX($AN$1004:$BO$1004,1,MATCH(COLUMNS($AN$1006:BF1006),$AN$1006:$BO$1006,0)))),"Fix")))</f>
        <v>0</v>
      </c>
      <c r="U950" s="4">
        <f>IF(OR(INDEX($AH$2:$AH$1001,MATCH(ROWS($AG$2:AG950),$AG$2:$AG$1001,0),1)&gt;=100000,INDEX($AN$1005:$BO$1005,1,MATCH(COLUMNS($AN$1006:BG1006),$AN$1006:$BO$1006,0))&gt;=100000), " ",IF(INDEX($AN$2:$BO$1001,MATCH(ROWS($AG$2:AG950),$AG$2:$AG$1001,0),MATCH(COLUMNS($AN$1006:BG1006),$AN$1006:$BO$1006,0)), HYPERLINK("#",""), HYPERLINK(CONCATENATE("#Metadata!", ADDRESS(INDEX($AI$2:$AI$1001,MATCH(ROWS($AG$2:AG950),$AG$2:$AG$1001,0),0), INDEX($AN$1004:$BO$1004,1,MATCH(COLUMNS($AN$1006:BG1006),$AN$1006:$BO$1006,0)))),"Fix")))</f>
        <v>0</v>
      </c>
      <c r="V950" s="4">
        <f>IF(OR(INDEX($AH$2:$AH$1001,MATCH(ROWS($AG$2:AG950),$AG$2:$AG$1001,0),1)&gt;=100000,INDEX($AN$1005:$BO$1005,1,MATCH(COLUMNS($AN$1006:BH1006),$AN$1006:$BO$1006,0))&gt;=100000), " ",IF(INDEX($AN$2:$BO$1001,MATCH(ROWS($AG$2:AG950),$AG$2:$AG$1001,0),MATCH(COLUMNS($AN$1006:BH1006),$AN$1006:$BO$1006,0)), HYPERLINK("#",""), HYPERLINK(CONCATENATE("#Metadata!", ADDRESS(INDEX($AI$2:$AI$1001,MATCH(ROWS($AG$2:AG950),$AG$2:$AG$1001,0),0), INDEX($AN$1004:$BO$1004,1,MATCH(COLUMNS($AN$1006:BH1006),$AN$1006:$BO$1006,0)))),"Fix")))</f>
        <v>0</v>
      </c>
      <c r="W950" s="4">
        <f>IF(OR(INDEX($AH$2:$AH$1001,MATCH(ROWS($AG$2:AG950),$AG$2:$AG$1001,0),1)&gt;=100000,INDEX($AN$1005:$BO$1005,1,MATCH(COLUMNS($AN$1006:BI1006),$AN$1006:$BO$1006,0))&gt;=100000), " ",IF(INDEX($AN$2:$BO$1001,MATCH(ROWS($AG$2:AG950),$AG$2:$AG$1001,0),MATCH(COLUMNS($AN$1006:BI1006),$AN$1006:$BO$1006,0)), HYPERLINK("#",""), HYPERLINK(CONCATENATE("#Metadata!", ADDRESS(INDEX($AI$2:$AI$1001,MATCH(ROWS($AG$2:AG950),$AG$2:$AG$1001,0),0), INDEX($AN$1004:$BO$1004,1,MATCH(COLUMNS($AN$1006:BI1006),$AN$1006:$BO$1006,0)))),"Fix")))</f>
        <v>0</v>
      </c>
      <c r="X950" s="4">
        <f>IF(OR(INDEX($AH$2:$AH$1001,MATCH(ROWS($AG$2:AG950),$AG$2:$AG$1001,0),1)&gt;=100000,INDEX($AN$1005:$BO$1005,1,MATCH(COLUMNS($AN$1006:BJ1006),$AN$1006:$BO$1006,0))&gt;=100000), " ",IF(INDEX($AN$2:$BO$1001,MATCH(ROWS($AG$2:AG950),$AG$2:$AG$1001,0),MATCH(COLUMNS($AN$1006:BJ1006),$AN$1006:$BO$1006,0)), HYPERLINK("#",""), HYPERLINK(CONCATENATE("#Metadata!", ADDRESS(INDEX($AI$2:$AI$1001,MATCH(ROWS($AG$2:AG950),$AG$2:$AG$1001,0),0), INDEX($AN$1004:$BO$1004,1,MATCH(COLUMNS($AN$1006:BJ1006),$AN$1006:$BO$1006,0)))),"Fix")))</f>
        <v>0</v>
      </c>
      <c r="Y950" s="4">
        <f>IF(OR(INDEX($AH$2:$AH$1001,MATCH(ROWS($AG$2:AG950),$AG$2:$AG$1001,0),1)&gt;=100000,INDEX($AN$1005:$BO$1005,1,MATCH(COLUMNS($AN$1006:BK1006),$AN$1006:$BO$1006,0))&gt;=100000), " ",IF(INDEX($AN$2:$BO$1001,MATCH(ROWS($AG$2:AG950),$AG$2:$AG$1001,0),MATCH(COLUMNS($AN$1006:BK1006),$AN$1006:$BO$1006,0)), HYPERLINK("#",""), HYPERLINK(CONCATENATE("#Metadata!", ADDRESS(INDEX($AI$2:$AI$1001,MATCH(ROWS($AG$2:AG950),$AG$2:$AG$1001,0),0), INDEX($AN$1004:$BO$1004,1,MATCH(COLUMNS($AN$1006:BK1006),$AN$1006:$BO$1006,0)))),"Fix")))</f>
        <v>0</v>
      </c>
      <c r="Z950" s="4">
        <f>IF(OR(INDEX($AH$2:$AH$1001,MATCH(ROWS($AG$2:AG950),$AG$2:$AG$1001,0),1)&gt;=100000,INDEX($AN$1005:$BO$1005,1,MATCH(COLUMNS($AN$1006:BL1006),$AN$1006:$BO$1006,0))&gt;=100000), " ",IF(INDEX($AN$2:$BO$1001,MATCH(ROWS($AG$2:AG950),$AG$2:$AG$1001,0),MATCH(COLUMNS($AN$1006:BL1006),$AN$1006:$BO$1006,0)), HYPERLINK("#",""), HYPERLINK(CONCATENATE("#Metadata!", ADDRESS(INDEX($AI$2:$AI$1001,MATCH(ROWS($AG$2:AG950),$AG$2:$AG$1001,0),0), INDEX($AN$1004:$BO$1004,1,MATCH(COLUMNS($AN$1006:BL1006),$AN$1006:$BO$1006,0)))),"Fix")))</f>
        <v>0</v>
      </c>
      <c r="AA950" s="4">
        <f>IF(OR(INDEX($AH$2:$AH$1001,MATCH(ROWS($AG$2:AG950),$AG$2:$AG$1001,0),1)&gt;=100000,INDEX($AN$1005:$BO$1005,1,MATCH(COLUMNS($AN$1006:BM1006),$AN$1006:$BO$1006,0))&gt;=100000), " ",IF(INDEX($AN$2:$BO$1001,MATCH(ROWS($AG$2:AG950),$AG$2:$AG$1001,0),MATCH(COLUMNS($AN$1006:BM1006),$AN$1006:$BO$1006,0)), HYPERLINK("#",""), HYPERLINK(CONCATENATE("#Metadata!", ADDRESS(INDEX($AI$2:$AI$1001,MATCH(ROWS($AG$2:AG950),$AG$2:$AG$1001,0),0), INDEX($AN$1004:$BO$1004,1,MATCH(COLUMNS($AN$1006:BM1006),$AN$1006:$BO$1006,0)))),"Fix")))</f>
        <v>0</v>
      </c>
      <c r="AB950" s="4">
        <f>IF(OR(INDEX($AH$2:$AH$1001,MATCH(ROWS($AG$2:AG950),$AG$2:$AG$1001,0),1)&gt;=100000,INDEX($AN$1005:$BO$1005,1,MATCH(COLUMNS($AN$1006:BN1006),$AN$1006:$BO$1006,0))&gt;=100000), " ",IF(INDEX($AN$2:$BO$1001,MATCH(ROWS($AG$2:AG950),$AG$2:$AG$1001,0),MATCH(COLUMNS($AN$1006:BN1006),$AN$1006:$BO$1006,0)), HYPERLINK("#",""), HYPERLINK(CONCATENATE("#Metadata!", ADDRESS(INDEX($AI$2:$AI$1001,MATCH(ROWS($AG$2:AG950),$AG$2:$AG$1001,0),0), INDEX($AN$1004:$BO$1004,1,MATCH(COLUMNS($AN$1006:BN1006),$AN$1006:$BO$1006,0)))),"Fix")))</f>
        <v>0</v>
      </c>
      <c r="AC950" s="4">
        <f>IF(OR(INDEX($AH$2:$AH$1001,MATCH(ROWS($AG$2:AG950),$AG$2:$AG$1001,0),1)&gt;=100000,INDEX($AN$1005:$BO$1005,1,MATCH(COLUMNS($AN$1006:BO1006),$AN$1006:$BO$1006,0))&gt;=100000), " ",IF(INDEX($AN$2:$BO$1001,MATCH(ROWS($AG$2:AG950),$AG$2:$AG$1001,0),MATCH(COLUMNS($AN$1006:BO1006),$AN$1006:$BO$1006,0)), HYPERLINK("#",""), HYPERLINK(CONCATENATE("#Metadata!", ADDRESS(INDEX($AI$2:$AI$1001,MATCH(ROWS($AG$2:AG950),$AG$2:$AG$1001,0),0), INDEX($AN$1004:$BO$1004,1,MATCH(COLUMNS($AN$1006:BO1006),$AN$1006:$BO$1006,0)))),"Fix")))</f>
        <v>0</v>
      </c>
      <c r="AG950">
        <v>0</v>
      </c>
      <c r="AH950">
        <v>0</v>
      </c>
      <c r="AI950">
        <v>0</v>
      </c>
      <c r="AJ950">
        <f>IF(AK950,TRUE,AND(AN950:BO950))</f>
        <v>0</v>
      </c>
      <c r="AK950">
        <f>COUNTBLANK(Metadata!B950:AC950)=COLUMNS(Metadata!B950:AC950)</f>
        <v>0</v>
      </c>
      <c r="AL950">
        <v>0</v>
      </c>
      <c r="AN950">
        <f>AND(IF(Metadata!B950="",FALSE,TRUE),COUNTIF(Metadata!B:B, Metadata!B950) = 1,NOT(ISERROR(SUMPRODUCT(SEARCH(MID(Metadata!B950,ROW(INDIRECT("1:"&amp;LEN(Metadata!B950))), 1),"0123456789abcdefghijklmnopqrstuvwxyzABCDEFGHIJKLMNOPQRSTUVWXYZ.")))))</f>
        <v>0</v>
      </c>
      <c r="AO950">
        <f>IF(Metadata!C950="",FALSE,TRUE)</f>
        <v>0</v>
      </c>
      <c r="AP950">
        <f>IF(Metadata!D950="",FALSE,TRUE)</f>
        <v>0</v>
      </c>
      <c r="AQ950">
        <f>OR(AND(IF(Metadata!E950="",FALSE,TRUE),OR(exact(Metadata!E950,"not collected"),exact(Metadata!E950,"not provided"),exact(Metadata!E950,"restricted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R950">
        <f>IF(Metadata!F950="",FALSE,TRUE)</f>
        <v>0</v>
      </c>
      <c r="AS950">
        <f>OR(AND(IF(Metadata!G950="",FALSE,TRUE),OR(exact(Metadata!G950,"not collected"),exact(Metadata!G950,"not provided"))),AND(IF(Metadata!G950="",FALSE,TRUE),OR(exact(Metadata!G950,"TRUE"),exact(Metadata!G950,"FALSE"))))</f>
        <v>0</v>
      </c>
      <c r="AT950">
        <f>OR(AND(IF(Metadata!H950="",FALSE,TRUE),OR(exact(Metadata!H950,"not collected"),exact(Metadata!H950,"not provided"),exact(Metadata!H950,"restricted access"))),AND(IF(Metadata!H950="",FALSE,ISNUMBER(VALUE(Metadata!H950))),Metadata!H950&gt;=-413.0))</f>
        <v>0</v>
      </c>
      <c r="AU950">
        <f>AND(IF(Metadata!I950="",FALSE,TRUE),exact(Metadata!I950,"meters"))</f>
        <v>0</v>
      </c>
      <c r="AV950">
        <f>AND(IF(Metadata!J950="",FALSE,TRUE),OR(exact(Metadata!J950,"Host-associated"),exact(Metadata!J950,"Free-living")))</f>
        <v>0</v>
      </c>
      <c r="AW950">
        <f>AND(IF(Metadata!K950="",FALSE,TRUE),OR(exact(Metadata!K950,"Animal"),exact(Metadata!K950,"Fungus"),exact(Metadata!K950,"Plant"),exact(Metadata!K950,"Saline"),exact(Metadata!K950,"Non-saline")))</f>
        <v>0</v>
      </c>
      <c r="AX950">
        <f>AND(IF(Metadata!L950="",FALSE,TRUE),OR(exact(Metadata!L950,"Plant secretion"),exact(Metadata!L950,"Plant rhizosphere"),exact(Metadata!L950,"Plant surface"),exact(Metadata!L950,"Plant corpus"),exact(Metadata!L950,"Fungus surface"),exact(Metadata!L950,"Fungus corpus"),exact(Metadata!L950,"Animal surface"),exact(Metadata!L950,"Animal proximal gut"),exact(Metadata!L950,"Animal corpus"),exact(Metadata!L950,"Animal distal gut"),exact(Metadata!L950,"Animal secretion"),exact(Metadata!L950,"Sub-surface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Y950">
        <f>IF(Metadata!M950="",FALSE,TRUE)</f>
        <v>0</v>
      </c>
      <c r="AZ950">
        <f>IF(Metadata!N950="",FALSE,TRUE)</f>
        <v>0</v>
      </c>
      <c r="BA950">
        <f>IF(Metadata!O950="",FALSE,TRUE)</f>
        <v>0</v>
      </c>
      <c r="BB950">
        <f>OR(AND(IF(Metadata!P950="",FALSE,TRUE),OR(exact(Metadata!P950,"not collected"),exact(Metadata!P950,"not provided"),exact(Metadata!P950,"restricted access"))),AND(IF(Metadata!P950="",FALSE,TRUE),OR(exact(Metadata!P950,"air"),exact(Metadata!P950,"built environment"),exact(Metadata!P950,"host-associated"),exact(Metadata!P950,"human-associated"),exact(Metadata!P950,"human-skin"),exact(Metadata!P950,"human-oral"),exact(Metadata!P950,"human-gut"),exact(Metadata!P950,"human-vaginal"),exact(Metadata!P950,"microbial mat/biofilm"),exact(Metadata!P950,"misc environment"),exact(Metadata!P950,"plant-associated"),exact(Metadata!P950,"sediment"),exact(Metadata!P950,"soil"),exact(Metadata!P950,"wastewater/sludge"),exact(Metadata!P950,"water"))))</f>
        <v>0</v>
      </c>
      <c r="BC950">
        <f>IF(Metadata!Q950="",FALSE,TRUE)</f>
        <v>0</v>
      </c>
      <c r="BD950">
        <f>IF(Metadata!R950="",FALSE,TRUE)</f>
        <v>0</v>
      </c>
      <c r="BE950">
        <f>OR(AND(IF(Metadata!S950="",FALSE,TRUE),OR(exact(Metadata!S950,"not collected"),exact(Metadata!S950,"not provided"),exact(Metadata!S950,"restricted access"))),AND(IF(Metadata!S950="",FALSE,ISNUMBER(VALUE(Metadata!S950))),Metadata!S950&gt;=-90.00,Metadata!S950&lt;=90.00))</f>
        <v>0</v>
      </c>
      <c r="BF950">
        <f>AND(IF(Metadata!T950="",FALSE,TRUE),exact(Metadata!T950,"Decimal degrees"))</f>
        <v>0</v>
      </c>
      <c r="BG950">
        <f>OR(AND(IF(Metadata!U950="",FALSE,TRUE),OR(exact(Metadata!U950,"not collected"),exact(Metadata!U950,"not provided"),exact(Metadata!U950,"restricted access"))),AND(IF(Metadata!U950="",FALSE,ISNUMBER(VALUE(Metadata!U950))),Metadata!U950&gt;=-180.00,Metadata!U950&lt;=180.00))</f>
        <v>0</v>
      </c>
      <c r="BH950">
        <f>AND(IF(Metadata!V950="",FALSE,TRUE),exact(Metadata!V950,"Decimal degrees"))</f>
        <v>0</v>
      </c>
      <c r="BI950">
        <f>IF(Metadata!W950="",FALSE,TRUE)</f>
        <v>0</v>
      </c>
      <c r="BJ950">
        <f>OR(AND(IF(Metadata!X950="",FALSE,TRUE),OR(exact(Metadata!X950,"not collected"),exact(Metadata!X950,"not provided"),exact(Metadata!X950,"restricted access"))),AND(IF(Metadata!X950="",FALSE,TRUE),OR(exact(Metadata!X950,"TRUE"),exact(Metadata!X950,"FALSE"))))</f>
        <v>0</v>
      </c>
      <c r="BK950">
        <f>AND(IF(Metadata!Y950="",FALSE,TRUE),exact(Metadata!Y950,"other"))</f>
        <v>0</v>
      </c>
      <c r="BL950">
        <f>IF(Metadata!Z950="",FALSE,TRUE)</f>
        <v>0</v>
      </c>
      <c r="BM950">
        <f>OR(AND(IF(Metadata!AA950="",FALSE,TRUE),OR(exact(Metadata!AA950,"not collected"),exact(Metadata!AA950,"not provided"))),AND(IF(Metadata!AA950="",FALSE,IF(ISERROR(INT(Metadata!AA950)),FALSE,INT(Metadata!AA950)=Metadata!AA950)),Metadata!AA950&gt;0))</f>
        <v>0</v>
      </c>
      <c r="BN950">
        <f>AND(IF(Metadata!AB950="",FALSE,TRUE),exact(Metadata!AB950,"Not applicable"))</f>
        <v>0</v>
      </c>
      <c r="BO950">
        <f>IF(Metadata!AC950="",FALSE,TRUE)</f>
        <v>0</v>
      </c>
    </row>
    <row r="951" spans="1:67">
      <c r="A951" s="5">
        <f>IF(B951=" "," ",HYPERLINK(CONCATENATE("#metadata!",ADDRESS(INDEX($AI$2:$AI$1001,MATCH(ROWS($AG$2:AG951),$AG$2:$AG$1001,0),0),1)),INDEX($AL$2:$AL$1001,MATCH(ROWS($AG$2:AG951),$AG$2:$AG$1001,0),0)))</f>
        <v>0</v>
      </c>
      <c r="B951" s="4">
        <f>IF(OR(INDEX($AH$2:$AH$1001,MATCH(ROWS($AG$2:AG951),$AG$2:$AG$1001,0),1)&gt;=100000,INDEX($AN$1005:$BO$1005,1,MATCH(COLUMNS($AN$1006:AN1006),$AN$1006:$BO$1006,0))&gt;=100000), " ",IF(INDEX($AN$2:$BO$1001,MATCH(ROWS($AG$2:AG951),$AG$2:$AG$1001,0),MATCH(COLUMNS($AN$1006:AN1006),$AN$1006:$BO$1006,0)), HYPERLINK("#",""), HYPERLINK(CONCATENATE("#Metadata!", ADDRESS(INDEX($AI$2:$AI$1001,MATCH(ROWS($AG$2:AG951),$AG$2:$AG$1001,0),0), INDEX($AN$1004:$BO$1004,1,MATCH(COLUMNS($AN$1006:AN1006),$AN$1006:$BO$1006,0)))),"Fix")))</f>
        <v>0</v>
      </c>
      <c r="C951" s="4">
        <f>IF(OR(INDEX($AH$2:$AH$1001,MATCH(ROWS($AG$2:AG951),$AG$2:$AG$1001,0),1)&gt;=100000,INDEX($AN$1005:$BO$1005,1,MATCH(COLUMNS($AN$1006:AO1006),$AN$1006:$BO$1006,0))&gt;=100000), " ",IF(INDEX($AN$2:$BO$1001,MATCH(ROWS($AG$2:AG951),$AG$2:$AG$1001,0),MATCH(COLUMNS($AN$1006:AO1006),$AN$1006:$BO$1006,0)), HYPERLINK("#",""), HYPERLINK(CONCATENATE("#Metadata!", ADDRESS(INDEX($AI$2:$AI$1001,MATCH(ROWS($AG$2:AG951),$AG$2:$AG$1001,0),0), INDEX($AN$1004:$BO$1004,1,MATCH(COLUMNS($AN$1006:AO1006),$AN$1006:$BO$1006,0)))),"Fix")))</f>
        <v>0</v>
      </c>
      <c r="D951" s="4">
        <f>IF(OR(INDEX($AH$2:$AH$1001,MATCH(ROWS($AG$2:AG951),$AG$2:$AG$1001,0),1)&gt;=100000,INDEX($AN$1005:$BO$1005,1,MATCH(COLUMNS($AN$1006:AP1006),$AN$1006:$BO$1006,0))&gt;=100000), " ",IF(INDEX($AN$2:$BO$1001,MATCH(ROWS($AG$2:AG951),$AG$2:$AG$1001,0),MATCH(COLUMNS($AN$1006:AP1006),$AN$1006:$BO$1006,0)), HYPERLINK("#",""), HYPERLINK(CONCATENATE("#Metadata!", ADDRESS(INDEX($AI$2:$AI$1001,MATCH(ROWS($AG$2:AG951),$AG$2:$AG$1001,0),0), INDEX($AN$1004:$BO$1004,1,MATCH(COLUMNS($AN$1006:AP1006),$AN$1006:$BO$1006,0)))),"Fix")))</f>
        <v>0</v>
      </c>
      <c r="E951" s="4">
        <f>IF(OR(INDEX($AH$2:$AH$1001,MATCH(ROWS($AG$2:AG951),$AG$2:$AG$1001,0),1)&gt;=100000,INDEX($AN$1005:$BO$1005,1,MATCH(COLUMNS($AN$1006:AQ1006),$AN$1006:$BO$1006,0))&gt;=100000), " ",IF(INDEX($AN$2:$BO$1001,MATCH(ROWS($AG$2:AG951),$AG$2:$AG$1001,0),MATCH(COLUMNS($AN$1006:AQ1006),$AN$1006:$BO$1006,0)), HYPERLINK("#",""), HYPERLINK(CONCATENATE("#Metadata!", ADDRESS(INDEX($AI$2:$AI$1001,MATCH(ROWS($AG$2:AG951),$AG$2:$AG$1001,0),0), INDEX($AN$1004:$BO$1004,1,MATCH(COLUMNS($AN$1006:AQ1006),$AN$1006:$BO$1006,0)))),"Fix")))</f>
        <v>0</v>
      </c>
      <c r="F951" s="4">
        <f>IF(OR(INDEX($AH$2:$AH$1001,MATCH(ROWS($AG$2:AG951),$AG$2:$AG$1001,0),1)&gt;=100000,INDEX($AN$1005:$BO$1005,1,MATCH(COLUMNS($AN$1006:AR1006),$AN$1006:$BO$1006,0))&gt;=100000), " ",IF(INDEX($AN$2:$BO$1001,MATCH(ROWS($AG$2:AG951),$AG$2:$AG$1001,0),MATCH(COLUMNS($AN$1006:AR1006),$AN$1006:$BO$1006,0)), HYPERLINK("#",""), HYPERLINK(CONCATENATE("#Metadata!", ADDRESS(INDEX($AI$2:$AI$1001,MATCH(ROWS($AG$2:AG951),$AG$2:$AG$1001,0),0), INDEX($AN$1004:$BO$1004,1,MATCH(COLUMNS($AN$1006:AR1006),$AN$1006:$BO$1006,0)))),"Fix")))</f>
        <v>0</v>
      </c>
      <c r="G951" s="4">
        <f>IF(OR(INDEX($AH$2:$AH$1001,MATCH(ROWS($AG$2:AG951),$AG$2:$AG$1001,0),1)&gt;=100000,INDEX($AN$1005:$BO$1005,1,MATCH(COLUMNS($AN$1006:AS1006),$AN$1006:$BO$1006,0))&gt;=100000), " ",IF(INDEX($AN$2:$BO$1001,MATCH(ROWS($AG$2:AG951),$AG$2:$AG$1001,0),MATCH(COLUMNS($AN$1006:AS1006),$AN$1006:$BO$1006,0)), HYPERLINK("#",""), HYPERLINK(CONCATENATE("#Metadata!", ADDRESS(INDEX($AI$2:$AI$1001,MATCH(ROWS($AG$2:AG951),$AG$2:$AG$1001,0),0), INDEX($AN$1004:$BO$1004,1,MATCH(COLUMNS($AN$1006:AS1006),$AN$1006:$BO$1006,0)))),"Fix")))</f>
        <v>0</v>
      </c>
      <c r="H951" s="4">
        <f>IF(OR(INDEX($AH$2:$AH$1001,MATCH(ROWS($AG$2:AG951),$AG$2:$AG$1001,0),1)&gt;=100000,INDEX($AN$1005:$BO$1005,1,MATCH(COLUMNS($AN$1006:AT1006),$AN$1006:$BO$1006,0))&gt;=100000), " ",IF(INDEX($AN$2:$BO$1001,MATCH(ROWS($AG$2:AG951),$AG$2:$AG$1001,0),MATCH(COLUMNS($AN$1006:AT1006),$AN$1006:$BO$1006,0)), HYPERLINK("#",""), HYPERLINK(CONCATENATE("#Metadata!", ADDRESS(INDEX($AI$2:$AI$1001,MATCH(ROWS($AG$2:AG951),$AG$2:$AG$1001,0),0), INDEX($AN$1004:$BO$1004,1,MATCH(COLUMNS($AN$1006:AT1006),$AN$1006:$BO$1006,0)))),"Fix")))</f>
        <v>0</v>
      </c>
      <c r="I951" s="4">
        <f>IF(OR(INDEX($AH$2:$AH$1001,MATCH(ROWS($AG$2:AG951),$AG$2:$AG$1001,0),1)&gt;=100000,INDEX($AN$1005:$BO$1005,1,MATCH(COLUMNS($AN$1006:AU1006),$AN$1006:$BO$1006,0))&gt;=100000), " ",IF(INDEX($AN$2:$BO$1001,MATCH(ROWS($AG$2:AG951),$AG$2:$AG$1001,0),MATCH(COLUMNS($AN$1006:AU1006),$AN$1006:$BO$1006,0)), HYPERLINK("#",""), HYPERLINK(CONCATENATE("#Metadata!", ADDRESS(INDEX($AI$2:$AI$1001,MATCH(ROWS($AG$2:AG951),$AG$2:$AG$1001,0),0), INDEX($AN$1004:$BO$1004,1,MATCH(COLUMNS($AN$1006:AU1006),$AN$1006:$BO$1006,0)))),"Fix")))</f>
        <v>0</v>
      </c>
      <c r="J951" s="4">
        <f>IF(OR(INDEX($AH$2:$AH$1001,MATCH(ROWS($AG$2:AG951),$AG$2:$AG$1001,0),1)&gt;=100000,INDEX($AN$1005:$BO$1005,1,MATCH(COLUMNS($AN$1006:AV1006),$AN$1006:$BO$1006,0))&gt;=100000), " ",IF(INDEX($AN$2:$BO$1001,MATCH(ROWS($AG$2:AG951),$AG$2:$AG$1001,0),MATCH(COLUMNS($AN$1006:AV1006),$AN$1006:$BO$1006,0)), HYPERLINK("#",""), HYPERLINK(CONCATENATE("#Metadata!", ADDRESS(INDEX($AI$2:$AI$1001,MATCH(ROWS($AG$2:AG951),$AG$2:$AG$1001,0),0), INDEX($AN$1004:$BO$1004,1,MATCH(COLUMNS($AN$1006:AV1006),$AN$1006:$BO$1006,0)))),"Fix")))</f>
        <v>0</v>
      </c>
      <c r="K951" s="4">
        <f>IF(OR(INDEX($AH$2:$AH$1001,MATCH(ROWS($AG$2:AG951),$AG$2:$AG$1001,0),1)&gt;=100000,INDEX($AN$1005:$BO$1005,1,MATCH(COLUMNS($AN$1006:AW1006),$AN$1006:$BO$1006,0))&gt;=100000), " ",IF(INDEX($AN$2:$BO$1001,MATCH(ROWS($AG$2:AG951),$AG$2:$AG$1001,0),MATCH(COLUMNS($AN$1006:AW1006),$AN$1006:$BO$1006,0)), HYPERLINK("#",""), HYPERLINK(CONCATENATE("#Metadata!", ADDRESS(INDEX($AI$2:$AI$1001,MATCH(ROWS($AG$2:AG951),$AG$2:$AG$1001,0),0), INDEX($AN$1004:$BO$1004,1,MATCH(COLUMNS($AN$1006:AW1006),$AN$1006:$BO$1006,0)))),"Fix")))</f>
        <v>0</v>
      </c>
      <c r="L951" s="4">
        <f>IF(OR(INDEX($AH$2:$AH$1001,MATCH(ROWS($AG$2:AG951),$AG$2:$AG$1001,0),1)&gt;=100000,INDEX($AN$1005:$BO$1005,1,MATCH(COLUMNS($AN$1006:AX1006),$AN$1006:$BO$1006,0))&gt;=100000), " ",IF(INDEX($AN$2:$BO$1001,MATCH(ROWS($AG$2:AG951),$AG$2:$AG$1001,0),MATCH(COLUMNS($AN$1006:AX1006),$AN$1006:$BO$1006,0)), HYPERLINK("#",""), HYPERLINK(CONCATENATE("#Metadata!", ADDRESS(INDEX($AI$2:$AI$1001,MATCH(ROWS($AG$2:AG951),$AG$2:$AG$1001,0),0), INDEX($AN$1004:$BO$1004,1,MATCH(COLUMNS($AN$1006:AX1006),$AN$1006:$BO$1006,0)))),"Fix")))</f>
        <v>0</v>
      </c>
      <c r="M951" s="4">
        <f>IF(OR(INDEX($AH$2:$AH$1001,MATCH(ROWS($AG$2:AG951),$AG$2:$AG$1001,0),1)&gt;=100000,INDEX($AN$1005:$BO$1005,1,MATCH(COLUMNS($AN$1006:AY1006),$AN$1006:$BO$1006,0))&gt;=100000), " ",IF(INDEX($AN$2:$BO$1001,MATCH(ROWS($AG$2:AG951),$AG$2:$AG$1001,0),MATCH(COLUMNS($AN$1006:AY1006),$AN$1006:$BO$1006,0)), HYPERLINK("#",""), HYPERLINK(CONCATENATE("#Metadata!", ADDRESS(INDEX($AI$2:$AI$1001,MATCH(ROWS($AG$2:AG951),$AG$2:$AG$1001,0),0), INDEX($AN$1004:$BO$1004,1,MATCH(COLUMNS($AN$1006:AY1006),$AN$1006:$BO$1006,0)))),"Fix")))</f>
        <v>0</v>
      </c>
      <c r="N951" s="4">
        <f>IF(OR(INDEX($AH$2:$AH$1001,MATCH(ROWS($AG$2:AG951),$AG$2:$AG$1001,0),1)&gt;=100000,INDEX($AN$1005:$BO$1005,1,MATCH(COLUMNS($AN$1006:AZ1006),$AN$1006:$BO$1006,0))&gt;=100000), " ",IF(INDEX($AN$2:$BO$1001,MATCH(ROWS($AG$2:AG951),$AG$2:$AG$1001,0),MATCH(COLUMNS($AN$1006:AZ1006),$AN$1006:$BO$1006,0)), HYPERLINK("#",""), HYPERLINK(CONCATENATE("#Metadata!", ADDRESS(INDEX($AI$2:$AI$1001,MATCH(ROWS($AG$2:AG951),$AG$2:$AG$1001,0),0), INDEX($AN$1004:$BO$1004,1,MATCH(COLUMNS($AN$1006:AZ1006),$AN$1006:$BO$1006,0)))),"Fix")))</f>
        <v>0</v>
      </c>
      <c r="O951" s="4">
        <f>IF(OR(INDEX($AH$2:$AH$1001,MATCH(ROWS($AG$2:AG951),$AG$2:$AG$1001,0),1)&gt;=100000,INDEX($AN$1005:$BO$1005,1,MATCH(COLUMNS($AN$1006:BA1006),$AN$1006:$BO$1006,0))&gt;=100000), " ",IF(INDEX($AN$2:$BO$1001,MATCH(ROWS($AG$2:AG951),$AG$2:$AG$1001,0),MATCH(COLUMNS($AN$1006:BA1006),$AN$1006:$BO$1006,0)), HYPERLINK("#",""), HYPERLINK(CONCATENATE("#Metadata!", ADDRESS(INDEX($AI$2:$AI$1001,MATCH(ROWS($AG$2:AG951),$AG$2:$AG$1001,0),0), INDEX($AN$1004:$BO$1004,1,MATCH(COLUMNS($AN$1006:BA1006),$AN$1006:$BO$1006,0)))),"Fix")))</f>
        <v>0</v>
      </c>
      <c r="P951" s="4">
        <f>IF(OR(INDEX($AH$2:$AH$1001,MATCH(ROWS($AG$2:AG951),$AG$2:$AG$1001,0),1)&gt;=100000,INDEX($AN$1005:$BO$1005,1,MATCH(COLUMNS($AN$1006:BB1006),$AN$1006:$BO$1006,0))&gt;=100000), " ",IF(INDEX($AN$2:$BO$1001,MATCH(ROWS($AG$2:AG951),$AG$2:$AG$1001,0),MATCH(COLUMNS($AN$1006:BB1006),$AN$1006:$BO$1006,0)), HYPERLINK("#",""), HYPERLINK(CONCATENATE("#Metadata!", ADDRESS(INDEX($AI$2:$AI$1001,MATCH(ROWS($AG$2:AG951),$AG$2:$AG$1001,0),0), INDEX($AN$1004:$BO$1004,1,MATCH(COLUMNS($AN$1006:BB1006),$AN$1006:$BO$1006,0)))),"Fix")))</f>
        <v>0</v>
      </c>
      <c r="Q951" s="4">
        <f>IF(OR(INDEX($AH$2:$AH$1001,MATCH(ROWS($AG$2:AG951),$AG$2:$AG$1001,0),1)&gt;=100000,INDEX($AN$1005:$BO$1005,1,MATCH(COLUMNS($AN$1006:BC1006),$AN$1006:$BO$1006,0))&gt;=100000), " ",IF(INDEX($AN$2:$BO$1001,MATCH(ROWS($AG$2:AG951),$AG$2:$AG$1001,0),MATCH(COLUMNS($AN$1006:BC1006),$AN$1006:$BO$1006,0)), HYPERLINK("#",""), HYPERLINK(CONCATENATE("#Metadata!", ADDRESS(INDEX($AI$2:$AI$1001,MATCH(ROWS($AG$2:AG951),$AG$2:$AG$1001,0),0), INDEX($AN$1004:$BO$1004,1,MATCH(COLUMNS($AN$1006:BC1006),$AN$1006:$BO$1006,0)))),"Fix")))</f>
        <v>0</v>
      </c>
      <c r="R951" s="4">
        <f>IF(OR(INDEX($AH$2:$AH$1001,MATCH(ROWS($AG$2:AG951),$AG$2:$AG$1001,0),1)&gt;=100000,INDEX($AN$1005:$BO$1005,1,MATCH(COLUMNS($AN$1006:BD1006),$AN$1006:$BO$1006,0))&gt;=100000), " ",IF(INDEX($AN$2:$BO$1001,MATCH(ROWS($AG$2:AG951),$AG$2:$AG$1001,0),MATCH(COLUMNS($AN$1006:BD1006),$AN$1006:$BO$1006,0)), HYPERLINK("#",""), HYPERLINK(CONCATENATE("#Metadata!", ADDRESS(INDEX($AI$2:$AI$1001,MATCH(ROWS($AG$2:AG951),$AG$2:$AG$1001,0),0), INDEX($AN$1004:$BO$1004,1,MATCH(COLUMNS($AN$1006:BD1006),$AN$1006:$BO$1006,0)))),"Fix")))</f>
        <v>0</v>
      </c>
      <c r="S951" s="4">
        <f>IF(OR(INDEX($AH$2:$AH$1001,MATCH(ROWS($AG$2:AG951),$AG$2:$AG$1001,0),1)&gt;=100000,INDEX($AN$1005:$BO$1005,1,MATCH(COLUMNS($AN$1006:BE1006),$AN$1006:$BO$1006,0))&gt;=100000), " ",IF(INDEX($AN$2:$BO$1001,MATCH(ROWS($AG$2:AG951),$AG$2:$AG$1001,0),MATCH(COLUMNS($AN$1006:BE1006),$AN$1006:$BO$1006,0)), HYPERLINK("#",""), HYPERLINK(CONCATENATE("#Metadata!", ADDRESS(INDEX($AI$2:$AI$1001,MATCH(ROWS($AG$2:AG951),$AG$2:$AG$1001,0),0), INDEX($AN$1004:$BO$1004,1,MATCH(COLUMNS($AN$1006:BE1006),$AN$1006:$BO$1006,0)))),"Fix")))</f>
        <v>0</v>
      </c>
      <c r="T951" s="4">
        <f>IF(OR(INDEX($AH$2:$AH$1001,MATCH(ROWS($AG$2:AG951),$AG$2:$AG$1001,0),1)&gt;=100000,INDEX($AN$1005:$BO$1005,1,MATCH(COLUMNS($AN$1006:BF1006),$AN$1006:$BO$1006,0))&gt;=100000), " ",IF(INDEX($AN$2:$BO$1001,MATCH(ROWS($AG$2:AG951),$AG$2:$AG$1001,0),MATCH(COLUMNS($AN$1006:BF1006),$AN$1006:$BO$1006,0)), HYPERLINK("#",""), HYPERLINK(CONCATENATE("#Metadata!", ADDRESS(INDEX($AI$2:$AI$1001,MATCH(ROWS($AG$2:AG951),$AG$2:$AG$1001,0),0), INDEX($AN$1004:$BO$1004,1,MATCH(COLUMNS($AN$1006:BF1006),$AN$1006:$BO$1006,0)))),"Fix")))</f>
        <v>0</v>
      </c>
      <c r="U951" s="4">
        <f>IF(OR(INDEX($AH$2:$AH$1001,MATCH(ROWS($AG$2:AG951),$AG$2:$AG$1001,0),1)&gt;=100000,INDEX($AN$1005:$BO$1005,1,MATCH(COLUMNS($AN$1006:BG1006),$AN$1006:$BO$1006,0))&gt;=100000), " ",IF(INDEX($AN$2:$BO$1001,MATCH(ROWS($AG$2:AG951),$AG$2:$AG$1001,0),MATCH(COLUMNS($AN$1006:BG1006),$AN$1006:$BO$1006,0)), HYPERLINK("#",""), HYPERLINK(CONCATENATE("#Metadata!", ADDRESS(INDEX($AI$2:$AI$1001,MATCH(ROWS($AG$2:AG951),$AG$2:$AG$1001,0),0), INDEX($AN$1004:$BO$1004,1,MATCH(COLUMNS($AN$1006:BG1006),$AN$1006:$BO$1006,0)))),"Fix")))</f>
        <v>0</v>
      </c>
      <c r="V951" s="4">
        <f>IF(OR(INDEX($AH$2:$AH$1001,MATCH(ROWS($AG$2:AG951),$AG$2:$AG$1001,0),1)&gt;=100000,INDEX($AN$1005:$BO$1005,1,MATCH(COLUMNS($AN$1006:BH1006),$AN$1006:$BO$1006,0))&gt;=100000), " ",IF(INDEX($AN$2:$BO$1001,MATCH(ROWS($AG$2:AG951),$AG$2:$AG$1001,0),MATCH(COLUMNS($AN$1006:BH1006),$AN$1006:$BO$1006,0)), HYPERLINK("#",""), HYPERLINK(CONCATENATE("#Metadata!", ADDRESS(INDEX($AI$2:$AI$1001,MATCH(ROWS($AG$2:AG951),$AG$2:$AG$1001,0),0), INDEX($AN$1004:$BO$1004,1,MATCH(COLUMNS($AN$1006:BH1006),$AN$1006:$BO$1006,0)))),"Fix")))</f>
        <v>0</v>
      </c>
      <c r="W951" s="4">
        <f>IF(OR(INDEX($AH$2:$AH$1001,MATCH(ROWS($AG$2:AG951),$AG$2:$AG$1001,0),1)&gt;=100000,INDEX($AN$1005:$BO$1005,1,MATCH(COLUMNS($AN$1006:BI1006),$AN$1006:$BO$1006,0))&gt;=100000), " ",IF(INDEX($AN$2:$BO$1001,MATCH(ROWS($AG$2:AG951),$AG$2:$AG$1001,0),MATCH(COLUMNS($AN$1006:BI1006),$AN$1006:$BO$1006,0)), HYPERLINK("#",""), HYPERLINK(CONCATENATE("#Metadata!", ADDRESS(INDEX($AI$2:$AI$1001,MATCH(ROWS($AG$2:AG951),$AG$2:$AG$1001,0),0), INDEX($AN$1004:$BO$1004,1,MATCH(COLUMNS($AN$1006:BI1006),$AN$1006:$BO$1006,0)))),"Fix")))</f>
        <v>0</v>
      </c>
      <c r="X951" s="4">
        <f>IF(OR(INDEX($AH$2:$AH$1001,MATCH(ROWS($AG$2:AG951),$AG$2:$AG$1001,0),1)&gt;=100000,INDEX($AN$1005:$BO$1005,1,MATCH(COLUMNS($AN$1006:BJ1006),$AN$1006:$BO$1006,0))&gt;=100000), " ",IF(INDEX($AN$2:$BO$1001,MATCH(ROWS($AG$2:AG951),$AG$2:$AG$1001,0),MATCH(COLUMNS($AN$1006:BJ1006),$AN$1006:$BO$1006,0)), HYPERLINK("#",""), HYPERLINK(CONCATENATE("#Metadata!", ADDRESS(INDEX($AI$2:$AI$1001,MATCH(ROWS($AG$2:AG951),$AG$2:$AG$1001,0),0), INDEX($AN$1004:$BO$1004,1,MATCH(COLUMNS($AN$1006:BJ1006),$AN$1006:$BO$1006,0)))),"Fix")))</f>
        <v>0</v>
      </c>
      <c r="Y951" s="4">
        <f>IF(OR(INDEX($AH$2:$AH$1001,MATCH(ROWS($AG$2:AG951),$AG$2:$AG$1001,0),1)&gt;=100000,INDEX($AN$1005:$BO$1005,1,MATCH(COLUMNS($AN$1006:BK1006),$AN$1006:$BO$1006,0))&gt;=100000), " ",IF(INDEX($AN$2:$BO$1001,MATCH(ROWS($AG$2:AG951),$AG$2:$AG$1001,0),MATCH(COLUMNS($AN$1006:BK1006),$AN$1006:$BO$1006,0)), HYPERLINK("#",""), HYPERLINK(CONCATENATE("#Metadata!", ADDRESS(INDEX($AI$2:$AI$1001,MATCH(ROWS($AG$2:AG951),$AG$2:$AG$1001,0),0), INDEX($AN$1004:$BO$1004,1,MATCH(COLUMNS($AN$1006:BK1006),$AN$1006:$BO$1006,0)))),"Fix")))</f>
        <v>0</v>
      </c>
      <c r="Z951" s="4">
        <f>IF(OR(INDEX($AH$2:$AH$1001,MATCH(ROWS($AG$2:AG951),$AG$2:$AG$1001,0),1)&gt;=100000,INDEX($AN$1005:$BO$1005,1,MATCH(COLUMNS($AN$1006:BL1006),$AN$1006:$BO$1006,0))&gt;=100000), " ",IF(INDEX($AN$2:$BO$1001,MATCH(ROWS($AG$2:AG951),$AG$2:$AG$1001,0),MATCH(COLUMNS($AN$1006:BL1006),$AN$1006:$BO$1006,0)), HYPERLINK("#",""), HYPERLINK(CONCATENATE("#Metadata!", ADDRESS(INDEX($AI$2:$AI$1001,MATCH(ROWS($AG$2:AG951),$AG$2:$AG$1001,0),0), INDEX($AN$1004:$BO$1004,1,MATCH(COLUMNS($AN$1006:BL1006),$AN$1006:$BO$1006,0)))),"Fix")))</f>
        <v>0</v>
      </c>
      <c r="AA951" s="4">
        <f>IF(OR(INDEX($AH$2:$AH$1001,MATCH(ROWS($AG$2:AG951),$AG$2:$AG$1001,0),1)&gt;=100000,INDEX($AN$1005:$BO$1005,1,MATCH(COLUMNS($AN$1006:BM1006),$AN$1006:$BO$1006,0))&gt;=100000), " ",IF(INDEX($AN$2:$BO$1001,MATCH(ROWS($AG$2:AG951),$AG$2:$AG$1001,0),MATCH(COLUMNS($AN$1006:BM1006),$AN$1006:$BO$1006,0)), HYPERLINK("#",""), HYPERLINK(CONCATENATE("#Metadata!", ADDRESS(INDEX($AI$2:$AI$1001,MATCH(ROWS($AG$2:AG951),$AG$2:$AG$1001,0),0), INDEX($AN$1004:$BO$1004,1,MATCH(COLUMNS($AN$1006:BM1006),$AN$1006:$BO$1006,0)))),"Fix")))</f>
        <v>0</v>
      </c>
      <c r="AB951" s="4">
        <f>IF(OR(INDEX($AH$2:$AH$1001,MATCH(ROWS($AG$2:AG951),$AG$2:$AG$1001,0),1)&gt;=100000,INDEX($AN$1005:$BO$1005,1,MATCH(COLUMNS($AN$1006:BN1006),$AN$1006:$BO$1006,0))&gt;=100000), " ",IF(INDEX($AN$2:$BO$1001,MATCH(ROWS($AG$2:AG951),$AG$2:$AG$1001,0),MATCH(COLUMNS($AN$1006:BN1006),$AN$1006:$BO$1006,0)), HYPERLINK("#",""), HYPERLINK(CONCATENATE("#Metadata!", ADDRESS(INDEX($AI$2:$AI$1001,MATCH(ROWS($AG$2:AG951),$AG$2:$AG$1001,0),0), INDEX($AN$1004:$BO$1004,1,MATCH(COLUMNS($AN$1006:BN1006),$AN$1006:$BO$1006,0)))),"Fix")))</f>
        <v>0</v>
      </c>
      <c r="AC951" s="4">
        <f>IF(OR(INDEX($AH$2:$AH$1001,MATCH(ROWS($AG$2:AG951),$AG$2:$AG$1001,0),1)&gt;=100000,INDEX($AN$1005:$BO$1005,1,MATCH(COLUMNS($AN$1006:BO1006),$AN$1006:$BO$1006,0))&gt;=100000), " ",IF(INDEX($AN$2:$BO$1001,MATCH(ROWS($AG$2:AG951),$AG$2:$AG$1001,0),MATCH(COLUMNS($AN$1006:BO1006),$AN$1006:$BO$1006,0)), HYPERLINK("#",""), HYPERLINK(CONCATENATE("#Metadata!", ADDRESS(INDEX($AI$2:$AI$1001,MATCH(ROWS($AG$2:AG951),$AG$2:$AG$1001,0),0), INDEX($AN$1004:$BO$1004,1,MATCH(COLUMNS($AN$1006:BO1006),$AN$1006:$BO$1006,0)))),"Fix")))</f>
        <v>0</v>
      </c>
      <c r="AG951">
        <v>0</v>
      </c>
      <c r="AH951">
        <v>0</v>
      </c>
      <c r="AI951">
        <v>0</v>
      </c>
      <c r="AJ951">
        <f>IF(AK951,TRUE,AND(AN951:BO951))</f>
        <v>0</v>
      </c>
      <c r="AK951">
        <f>COUNTBLANK(Metadata!B951:AC951)=COLUMNS(Metadata!B951:AC951)</f>
        <v>0</v>
      </c>
      <c r="AL951">
        <v>0</v>
      </c>
      <c r="AN951">
        <f>AND(IF(Metadata!B951="",FALSE,TRUE),COUNTIF(Metadata!B:B, Metadata!B951) = 1,NOT(ISERROR(SUMPRODUCT(SEARCH(MID(Metadata!B951,ROW(INDIRECT("1:"&amp;LEN(Metadata!B951))), 1),"0123456789abcdefghijklmnopqrstuvwxyzABCDEFGHIJKLMNOPQRSTUVWXYZ.")))))</f>
        <v>0</v>
      </c>
      <c r="AO951">
        <f>IF(Metadata!C951="",FALSE,TRUE)</f>
        <v>0</v>
      </c>
      <c r="AP951">
        <f>IF(Metadata!D951="",FALSE,TRUE)</f>
        <v>0</v>
      </c>
      <c r="AQ951">
        <f>OR(AND(IF(Metadata!E951="",FALSE,TRUE),OR(exact(Metadata!E951,"not collected"),exact(Metadata!E951,"not provided"),exact(Metadata!E951,"restricted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R951">
        <f>IF(Metadata!F951="",FALSE,TRUE)</f>
        <v>0</v>
      </c>
      <c r="AS951">
        <f>OR(AND(IF(Metadata!G951="",FALSE,TRUE),OR(exact(Metadata!G951,"not collected"),exact(Metadata!G951,"not provided"))),AND(IF(Metadata!G951="",FALSE,TRUE),OR(exact(Metadata!G951,"TRUE"),exact(Metadata!G951,"FALSE"))))</f>
        <v>0</v>
      </c>
      <c r="AT951">
        <f>OR(AND(IF(Metadata!H951="",FALSE,TRUE),OR(exact(Metadata!H951,"not collected"),exact(Metadata!H951,"not provided"),exact(Metadata!H951,"restricted access"))),AND(IF(Metadata!H951="",FALSE,ISNUMBER(VALUE(Metadata!H951))),Metadata!H951&gt;=-413.0))</f>
        <v>0</v>
      </c>
      <c r="AU951">
        <f>AND(IF(Metadata!I951="",FALSE,TRUE),exact(Metadata!I951,"meters"))</f>
        <v>0</v>
      </c>
      <c r="AV951">
        <f>AND(IF(Metadata!J951="",FALSE,TRUE),OR(exact(Metadata!J951,"Host-associated"),exact(Metadata!J951,"Free-living")))</f>
        <v>0</v>
      </c>
      <c r="AW951">
        <f>AND(IF(Metadata!K951="",FALSE,TRUE),OR(exact(Metadata!K951,"Animal"),exact(Metadata!K951,"Fungus"),exact(Metadata!K951,"Plant"),exact(Metadata!K951,"Saline"),exact(Metadata!K951,"Non-saline")))</f>
        <v>0</v>
      </c>
      <c r="AX951">
        <f>AND(IF(Metadata!L951="",FALSE,TRUE),OR(exact(Metadata!L951,"Plant secretion"),exact(Metadata!L951,"Plant rhizosphere"),exact(Metadata!L951,"Plant surface"),exact(Metadata!L951,"Plant corpus"),exact(Metadata!L951,"Fungus surface"),exact(Metadata!L951,"Fungus corpus"),exact(Metadata!L951,"Animal surface"),exact(Metadata!L951,"Animal proximal gut"),exact(Metadata!L951,"Animal corpus"),exact(Metadata!L951,"Animal distal gut"),exact(Metadata!L951,"Animal secretion"),exact(Metadata!L951,"Sub-surface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Y951">
        <f>IF(Metadata!M951="",FALSE,TRUE)</f>
        <v>0</v>
      </c>
      <c r="AZ951">
        <f>IF(Metadata!N951="",FALSE,TRUE)</f>
        <v>0</v>
      </c>
      <c r="BA951">
        <f>IF(Metadata!O951="",FALSE,TRUE)</f>
        <v>0</v>
      </c>
      <c r="BB951">
        <f>OR(AND(IF(Metadata!P951="",FALSE,TRUE),OR(exact(Metadata!P951,"not collected"),exact(Metadata!P951,"not provided"),exact(Metadata!P951,"restricted access"))),AND(IF(Metadata!P951="",FALSE,TRUE),OR(exact(Metadata!P951,"air"),exact(Metadata!P951,"built environment"),exact(Metadata!P951,"host-associated"),exact(Metadata!P951,"human-associated"),exact(Metadata!P951,"human-skin"),exact(Metadata!P951,"human-oral"),exact(Metadata!P951,"human-gut"),exact(Metadata!P951,"human-vaginal"),exact(Metadata!P951,"microbial mat/biofilm"),exact(Metadata!P951,"misc environment"),exact(Metadata!P951,"plant-associated"),exact(Metadata!P951,"sediment"),exact(Metadata!P951,"soil"),exact(Metadata!P951,"wastewater/sludge"),exact(Metadata!P951,"water"))))</f>
        <v>0</v>
      </c>
      <c r="BC951">
        <f>IF(Metadata!Q951="",FALSE,TRUE)</f>
        <v>0</v>
      </c>
      <c r="BD951">
        <f>IF(Metadata!R951="",FALSE,TRUE)</f>
        <v>0</v>
      </c>
      <c r="BE951">
        <f>OR(AND(IF(Metadata!S951="",FALSE,TRUE),OR(exact(Metadata!S951,"not collected"),exact(Metadata!S951,"not provided"),exact(Metadata!S951,"restricted access"))),AND(IF(Metadata!S951="",FALSE,ISNUMBER(VALUE(Metadata!S951))),Metadata!S951&gt;=-90.00,Metadata!S951&lt;=90.00))</f>
        <v>0</v>
      </c>
      <c r="BF951">
        <f>AND(IF(Metadata!T951="",FALSE,TRUE),exact(Metadata!T951,"Decimal degrees"))</f>
        <v>0</v>
      </c>
      <c r="BG951">
        <f>OR(AND(IF(Metadata!U951="",FALSE,TRUE),OR(exact(Metadata!U951,"not collected"),exact(Metadata!U951,"not provided"),exact(Metadata!U951,"restricted access"))),AND(IF(Metadata!U951="",FALSE,ISNUMBER(VALUE(Metadata!U951))),Metadata!U951&gt;=-180.00,Metadata!U951&lt;=180.00))</f>
        <v>0</v>
      </c>
      <c r="BH951">
        <f>AND(IF(Metadata!V951="",FALSE,TRUE),exact(Metadata!V951,"Decimal degrees"))</f>
        <v>0</v>
      </c>
      <c r="BI951">
        <f>IF(Metadata!W951="",FALSE,TRUE)</f>
        <v>0</v>
      </c>
      <c r="BJ951">
        <f>OR(AND(IF(Metadata!X951="",FALSE,TRUE),OR(exact(Metadata!X951,"not collected"),exact(Metadata!X951,"not provided"),exact(Metadata!X951,"restricted access"))),AND(IF(Metadata!X951="",FALSE,TRUE),OR(exact(Metadata!X951,"TRUE"),exact(Metadata!X951,"FALSE"))))</f>
        <v>0</v>
      </c>
      <c r="BK951">
        <f>AND(IF(Metadata!Y951="",FALSE,TRUE),exact(Metadata!Y951,"other"))</f>
        <v>0</v>
      </c>
      <c r="BL951">
        <f>IF(Metadata!Z951="",FALSE,TRUE)</f>
        <v>0</v>
      </c>
      <c r="BM951">
        <f>OR(AND(IF(Metadata!AA951="",FALSE,TRUE),OR(exact(Metadata!AA951,"not collected"),exact(Metadata!AA951,"not provided"))),AND(IF(Metadata!AA951="",FALSE,IF(ISERROR(INT(Metadata!AA951)),FALSE,INT(Metadata!AA951)=Metadata!AA951)),Metadata!AA951&gt;0))</f>
        <v>0</v>
      </c>
      <c r="BN951">
        <f>AND(IF(Metadata!AB951="",FALSE,TRUE),exact(Metadata!AB951,"Not applicable"))</f>
        <v>0</v>
      </c>
      <c r="BO951">
        <f>IF(Metadata!AC951="",FALSE,TRUE)</f>
        <v>0</v>
      </c>
    </row>
    <row r="952" spans="1:67">
      <c r="A952" s="5">
        <f>IF(B952=" "," ",HYPERLINK(CONCATENATE("#metadata!",ADDRESS(INDEX($AI$2:$AI$1001,MATCH(ROWS($AG$2:AG952),$AG$2:$AG$1001,0),0),1)),INDEX($AL$2:$AL$1001,MATCH(ROWS($AG$2:AG952),$AG$2:$AG$1001,0),0)))</f>
        <v>0</v>
      </c>
      <c r="B952" s="4">
        <f>IF(OR(INDEX($AH$2:$AH$1001,MATCH(ROWS($AG$2:AG952),$AG$2:$AG$1001,0),1)&gt;=100000,INDEX($AN$1005:$BO$1005,1,MATCH(COLUMNS($AN$1006:AN1006),$AN$1006:$BO$1006,0))&gt;=100000), " ",IF(INDEX($AN$2:$BO$1001,MATCH(ROWS($AG$2:AG952),$AG$2:$AG$1001,0),MATCH(COLUMNS($AN$1006:AN1006),$AN$1006:$BO$1006,0)), HYPERLINK("#",""), HYPERLINK(CONCATENATE("#Metadata!", ADDRESS(INDEX($AI$2:$AI$1001,MATCH(ROWS($AG$2:AG952),$AG$2:$AG$1001,0),0), INDEX($AN$1004:$BO$1004,1,MATCH(COLUMNS($AN$1006:AN1006),$AN$1006:$BO$1006,0)))),"Fix")))</f>
        <v>0</v>
      </c>
      <c r="C952" s="4">
        <f>IF(OR(INDEX($AH$2:$AH$1001,MATCH(ROWS($AG$2:AG952),$AG$2:$AG$1001,0),1)&gt;=100000,INDEX($AN$1005:$BO$1005,1,MATCH(COLUMNS($AN$1006:AO1006),$AN$1006:$BO$1006,0))&gt;=100000), " ",IF(INDEX($AN$2:$BO$1001,MATCH(ROWS($AG$2:AG952),$AG$2:$AG$1001,0),MATCH(COLUMNS($AN$1006:AO1006),$AN$1006:$BO$1006,0)), HYPERLINK("#",""), HYPERLINK(CONCATENATE("#Metadata!", ADDRESS(INDEX($AI$2:$AI$1001,MATCH(ROWS($AG$2:AG952),$AG$2:$AG$1001,0),0), INDEX($AN$1004:$BO$1004,1,MATCH(COLUMNS($AN$1006:AO1006),$AN$1006:$BO$1006,0)))),"Fix")))</f>
        <v>0</v>
      </c>
      <c r="D952" s="4">
        <f>IF(OR(INDEX($AH$2:$AH$1001,MATCH(ROWS($AG$2:AG952),$AG$2:$AG$1001,0),1)&gt;=100000,INDEX($AN$1005:$BO$1005,1,MATCH(COLUMNS($AN$1006:AP1006),$AN$1006:$BO$1006,0))&gt;=100000), " ",IF(INDEX($AN$2:$BO$1001,MATCH(ROWS($AG$2:AG952),$AG$2:$AG$1001,0),MATCH(COLUMNS($AN$1006:AP1006),$AN$1006:$BO$1006,0)), HYPERLINK("#",""), HYPERLINK(CONCATENATE("#Metadata!", ADDRESS(INDEX($AI$2:$AI$1001,MATCH(ROWS($AG$2:AG952),$AG$2:$AG$1001,0),0), INDEX($AN$1004:$BO$1004,1,MATCH(COLUMNS($AN$1006:AP1006),$AN$1006:$BO$1006,0)))),"Fix")))</f>
        <v>0</v>
      </c>
      <c r="E952" s="4">
        <f>IF(OR(INDEX($AH$2:$AH$1001,MATCH(ROWS($AG$2:AG952),$AG$2:$AG$1001,0),1)&gt;=100000,INDEX($AN$1005:$BO$1005,1,MATCH(COLUMNS($AN$1006:AQ1006),$AN$1006:$BO$1006,0))&gt;=100000), " ",IF(INDEX($AN$2:$BO$1001,MATCH(ROWS($AG$2:AG952),$AG$2:$AG$1001,0),MATCH(COLUMNS($AN$1006:AQ1006),$AN$1006:$BO$1006,0)), HYPERLINK("#",""), HYPERLINK(CONCATENATE("#Metadata!", ADDRESS(INDEX($AI$2:$AI$1001,MATCH(ROWS($AG$2:AG952),$AG$2:$AG$1001,0),0), INDEX($AN$1004:$BO$1004,1,MATCH(COLUMNS($AN$1006:AQ1006),$AN$1006:$BO$1006,0)))),"Fix")))</f>
        <v>0</v>
      </c>
      <c r="F952" s="4">
        <f>IF(OR(INDEX($AH$2:$AH$1001,MATCH(ROWS($AG$2:AG952),$AG$2:$AG$1001,0),1)&gt;=100000,INDEX($AN$1005:$BO$1005,1,MATCH(COLUMNS($AN$1006:AR1006),$AN$1006:$BO$1006,0))&gt;=100000), " ",IF(INDEX($AN$2:$BO$1001,MATCH(ROWS($AG$2:AG952),$AG$2:$AG$1001,0),MATCH(COLUMNS($AN$1006:AR1006),$AN$1006:$BO$1006,0)), HYPERLINK("#",""), HYPERLINK(CONCATENATE("#Metadata!", ADDRESS(INDEX($AI$2:$AI$1001,MATCH(ROWS($AG$2:AG952),$AG$2:$AG$1001,0),0), INDEX($AN$1004:$BO$1004,1,MATCH(COLUMNS($AN$1006:AR1006),$AN$1006:$BO$1006,0)))),"Fix")))</f>
        <v>0</v>
      </c>
      <c r="G952" s="4">
        <f>IF(OR(INDEX($AH$2:$AH$1001,MATCH(ROWS($AG$2:AG952),$AG$2:$AG$1001,0),1)&gt;=100000,INDEX($AN$1005:$BO$1005,1,MATCH(COLUMNS($AN$1006:AS1006),$AN$1006:$BO$1006,0))&gt;=100000), " ",IF(INDEX($AN$2:$BO$1001,MATCH(ROWS($AG$2:AG952),$AG$2:$AG$1001,0),MATCH(COLUMNS($AN$1006:AS1006),$AN$1006:$BO$1006,0)), HYPERLINK("#",""), HYPERLINK(CONCATENATE("#Metadata!", ADDRESS(INDEX($AI$2:$AI$1001,MATCH(ROWS($AG$2:AG952),$AG$2:$AG$1001,0),0), INDEX($AN$1004:$BO$1004,1,MATCH(COLUMNS($AN$1006:AS1006),$AN$1006:$BO$1006,0)))),"Fix")))</f>
        <v>0</v>
      </c>
      <c r="H952" s="4">
        <f>IF(OR(INDEX($AH$2:$AH$1001,MATCH(ROWS($AG$2:AG952),$AG$2:$AG$1001,0),1)&gt;=100000,INDEX($AN$1005:$BO$1005,1,MATCH(COLUMNS($AN$1006:AT1006),$AN$1006:$BO$1006,0))&gt;=100000), " ",IF(INDEX($AN$2:$BO$1001,MATCH(ROWS($AG$2:AG952),$AG$2:$AG$1001,0),MATCH(COLUMNS($AN$1006:AT1006),$AN$1006:$BO$1006,0)), HYPERLINK("#",""), HYPERLINK(CONCATENATE("#Metadata!", ADDRESS(INDEX($AI$2:$AI$1001,MATCH(ROWS($AG$2:AG952),$AG$2:$AG$1001,0),0), INDEX($AN$1004:$BO$1004,1,MATCH(COLUMNS($AN$1006:AT1006),$AN$1006:$BO$1006,0)))),"Fix")))</f>
        <v>0</v>
      </c>
      <c r="I952" s="4">
        <f>IF(OR(INDEX($AH$2:$AH$1001,MATCH(ROWS($AG$2:AG952),$AG$2:$AG$1001,0),1)&gt;=100000,INDEX($AN$1005:$BO$1005,1,MATCH(COLUMNS($AN$1006:AU1006),$AN$1006:$BO$1006,0))&gt;=100000), " ",IF(INDEX($AN$2:$BO$1001,MATCH(ROWS($AG$2:AG952),$AG$2:$AG$1001,0),MATCH(COLUMNS($AN$1006:AU1006),$AN$1006:$BO$1006,0)), HYPERLINK("#",""), HYPERLINK(CONCATENATE("#Metadata!", ADDRESS(INDEX($AI$2:$AI$1001,MATCH(ROWS($AG$2:AG952),$AG$2:$AG$1001,0),0), INDEX($AN$1004:$BO$1004,1,MATCH(COLUMNS($AN$1006:AU1006),$AN$1006:$BO$1006,0)))),"Fix")))</f>
        <v>0</v>
      </c>
      <c r="J952" s="4">
        <f>IF(OR(INDEX($AH$2:$AH$1001,MATCH(ROWS($AG$2:AG952),$AG$2:$AG$1001,0),1)&gt;=100000,INDEX($AN$1005:$BO$1005,1,MATCH(COLUMNS($AN$1006:AV1006),$AN$1006:$BO$1006,0))&gt;=100000), " ",IF(INDEX($AN$2:$BO$1001,MATCH(ROWS($AG$2:AG952),$AG$2:$AG$1001,0),MATCH(COLUMNS($AN$1006:AV1006),$AN$1006:$BO$1006,0)), HYPERLINK("#",""), HYPERLINK(CONCATENATE("#Metadata!", ADDRESS(INDEX($AI$2:$AI$1001,MATCH(ROWS($AG$2:AG952),$AG$2:$AG$1001,0),0), INDEX($AN$1004:$BO$1004,1,MATCH(COLUMNS($AN$1006:AV1006),$AN$1006:$BO$1006,0)))),"Fix")))</f>
        <v>0</v>
      </c>
      <c r="K952" s="4">
        <f>IF(OR(INDEX($AH$2:$AH$1001,MATCH(ROWS($AG$2:AG952),$AG$2:$AG$1001,0),1)&gt;=100000,INDEX($AN$1005:$BO$1005,1,MATCH(COLUMNS($AN$1006:AW1006),$AN$1006:$BO$1006,0))&gt;=100000), " ",IF(INDEX($AN$2:$BO$1001,MATCH(ROWS($AG$2:AG952),$AG$2:$AG$1001,0),MATCH(COLUMNS($AN$1006:AW1006),$AN$1006:$BO$1006,0)), HYPERLINK("#",""), HYPERLINK(CONCATENATE("#Metadata!", ADDRESS(INDEX($AI$2:$AI$1001,MATCH(ROWS($AG$2:AG952),$AG$2:$AG$1001,0),0), INDEX($AN$1004:$BO$1004,1,MATCH(COLUMNS($AN$1006:AW1006),$AN$1006:$BO$1006,0)))),"Fix")))</f>
        <v>0</v>
      </c>
      <c r="L952" s="4">
        <f>IF(OR(INDEX($AH$2:$AH$1001,MATCH(ROWS($AG$2:AG952),$AG$2:$AG$1001,0),1)&gt;=100000,INDEX($AN$1005:$BO$1005,1,MATCH(COLUMNS($AN$1006:AX1006),$AN$1006:$BO$1006,0))&gt;=100000), " ",IF(INDEX($AN$2:$BO$1001,MATCH(ROWS($AG$2:AG952),$AG$2:$AG$1001,0),MATCH(COLUMNS($AN$1006:AX1006),$AN$1006:$BO$1006,0)), HYPERLINK("#",""), HYPERLINK(CONCATENATE("#Metadata!", ADDRESS(INDEX($AI$2:$AI$1001,MATCH(ROWS($AG$2:AG952),$AG$2:$AG$1001,0),0), INDEX($AN$1004:$BO$1004,1,MATCH(COLUMNS($AN$1006:AX1006),$AN$1006:$BO$1006,0)))),"Fix")))</f>
        <v>0</v>
      </c>
      <c r="M952" s="4">
        <f>IF(OR(INDEX($AH$2:$AH$1001,MATCH(ROWS($AG$2:AG952),$AG$2:$AG$1001,0),1)&gt;=100000,INDEX($AN$1005:$BO$1005,1,MATCH(COLUMNS($AN$1006:AY1006),$AN$1006:$BO$1006,0))&gt;=100000), " ",IF(INDEX($AN$2:$BO$1001,MATCH(ROWS($AG$2:AG952),$AG$2:$AG$1001,0),MATCH(COLUMNS($AN$1006:AY1006),$AN$1006:$BO$1006,0)), HYPERLINK("#",""), HYPERLINK(CONCATENATE("#Metadata!", ADDRESS(INDEX($AI$2:$AI$1001,MATCH(ROWS($AG$2:AG952),$AG$2:$AG$1001,0),0), INDEX($AN$1004:$BO$1004,1,MATCH(COLUMNS($AN$1006:AY1006),$AN$1006:$BO$1006,0)))),"Fix")))</f>
        <v>0</v>
      </c>
      <c r="N952" s="4">
        <f>IF(OR(INDEX($AH$2:$AH$1001,MATCH(ROWS($AG$2:AG952),$AG$2:$AG$1001,0),1)&gt;=100000,INDEX($AN$1005:$BO$1005,1,MATCH(COLUMNS($AN$1006:AZ1006),$AN$1006:$BO$1006,0))&gt;=100000), " ",IF(INDEX($AN$2:$BO$1001,MATCH(ROWS($AG$2:AG952),$AG$2:$AG$1001,0),MATCH(COLUMNS($AN$1006:AZ1006),$AN$1006:$BO$1006,0)), HYPERLINK("#",""), HYPERLINK(CONCATENATE("#Metadata!", ADDRESS(INDEX($AI$2:$AI$1001,MATCH(ROWS($AG$2:AG952),$AG$2:$AG$1001,0),0), INDEX($AN$1004:$BO$1004,1,MATCH(COLUMNS($AN$1006:AZ1006),$AN$1006:$BO$1006,0)))),"Fix")))</f>
        <v>0</v>
      </c>
      <c r="O952" s="4">
        <f>IF(OR(INDEX($AH$2:$AH$1001,MATCH(ROWS($AG$2:AG952),$AG$2:$AG$1001,0),1)&gt;=100000,INDEX($AN$1005:$BO$1005,1,MATCH(COLUMNS($AN$1006:BA1006),$AN$1006:$BO$1006,0))&gt;=100000), " ",IF(INDEX($AN$2:$BO$1001,MATCH(ROWS($AG$2:AG952),$AG$2:$AG$1001,0),MATCH(COLUMNS($AN$1006:BA1006),$AN$1006:$BO$1006,0)), HYPERLINK("#",""), HYPERLINK(CONCATENATE("#Metadata!", ADDRESS(INDEX($AI$2:$AI$1001,MATCH(ROWS($AG$2:AG952),$AG$2:$AG$1001,0),0), INDEX($AN$1004:$BO$1004,1,MATCH(COLUMNS($AN$1006:BA1006),$AN$1006:$BO$1006,0)))),"Fix")))</f>
        <v>0</v>
      </c>
      <c r="P952" s="4">
        <f>IF(OR(INDEX($AH$2:$AH$1001,MATCH(ROWS($AG$2:AG952),$AG$2:$AG$1001,0),1)&gt;=100000,INDEX($AN$1005:$BO$1005,1,MATCH(COLUMNS($AN$1006:BB1006),$AN$1006:$BO$1006,0))&gt;=100000), " ",IF(INDEX($AN$2:$BO$1001,MATCH(ROWS($AG$2:AG952),$AG$2:$AG$1001,0),MATCH(COLUMNS($AN$1006:BB1006),$AN$1006:$BO$1006,0)), HYPERLINK("#",""), HYPERLINK(CONCATENATE("#Metadata!", ADDRESS(INDEX($AI$2:$AI$1001,MATCH(ROWS($AG$2:AG952),$AG$2:$AG$1001,0),0), INDEX($AN$1004:$BO$1004,1,MATCH(COLUMNS($AN$1006:BB1006),$AN$1006:$BO$1006,0)))),"Fix")))</f>
        <v>0</v>
      </c>
      <c r="Q952" s="4">
        <f>IF(OR(INDEX($AH$2:$AH$1001,MATCH(ROWS($AG$2:AG952),$AG$2:$AG$1001,0),1)&gt;=100000,INDEX($AN$1005:$BO$1005,1,MATCH(COLUMNS($AN$1006:BC1006),$AN$1006:$BO$1006,0))&gt;=100000), " ",IF(INDEX($AN$2:$BO$1001,MATCH(ROWS($AG$2:AG952),$AG$2:$AG$1001,0),MATCH(COLUMNS($AN$1006:BC1006),$AN$1006:$BO$1006,0)), HYPERLINK("#",""), HYPERLINK(CONCATENATE("#Metadata!", ADDRESS(INDEX($AI$2:$AI$1001,MATCH(ROWS($AG$2:AG952),$AG$2:$AG$1001,0),0), INDEX($AN$1004:$BO$1004,1,MATCH(COLUMNS($AN$1006:BC1006),$AN$1006:$BO$1006,0)))),"Fix")))</f>
        <v>0</v>
      </c>
      <c r="R952" s="4">
        <f>IF(OR(INDEX($AH$2:$AH$1001,MATCH(ROWS($AG$2:AG952),$AG$2:$AG$1001,0),1)&gt;=100000,INDEX($AN$1005:$BO$1005,1,MATCH(COLUMNS($AN$1006:BD1006),$AN$1006:$BO$1006,0))&gt;=100000), " ",IF(INDEX($AN$2:$BO$1001,MATCH(ROWS($AG$2:AG952),$AG$2:$AG$1001,0),MATCH(COLUMNS($AN$1006:BD1006),$AN$1006:$BO$1006,0)), HYPERLINK("#",""), HYPERLINK(CONCATENATE("#Metadata!", ADDRESS(INDEX($AI$2:$AI$1001,MATCH(ROWS($AG$2:AG952),$AG$2:$AG$1001,0),0), INDEX($AN$1004:$BO$1004,1,MATCH(COLUMNS($AN$1006:BD1006),$AN$1006:$BO$1006,0)))),"Fix")))</f>
        <v>0</v>
      </c>
      <c r="S952" s="4">
        <f>IF(OR(INDEX($AH$2:$AH$1001,MATCH(ROWS($AG$2:AG952),$AG$2:$AG$1001,0),1)&gt;=100000,INDEX($AN$1005:$BO$1005,1,MATCH(COLUMNS($AN$1006:BE1006),$AN$1006:$BO$1006,0))&gt;=100000), " ",IF(INDEX($AN$2:$BO$1001,MATCH(ROWS($AG$2:AG952),$AG$2:$AG$1001,0),MATCH(COLUMNS($AN$1006:BE1006),$AN$1006:$BO$1006,0)), HYPERLINK("#",""), HYPERLINK(CONCATENATE("#Metadata!", ADDRESS(INDEX($AI$2:$AI$1001,MATCH(ROWS($AG$2:AG952),$AG$2:$AG$1001,0),0), INDEX($AN$1004:$BO$1004,1,MATCH(COLUMNS($AN$1006:BE1006),$AN$1006:$BO$1006,0)))),"Fix")))</f>
        <v>0</v>
      </c>
      <c r="T952" s="4">
        <f>IF(OR(INDEX($AH$2:$AH$1001,MATCH(ROWS($AG$2:AG952),$AG$2:$AG$1001,0),1)&gt;=100000,INDEX($AN$1005:$BO$1005,1,MATCH(COLUMNS($AN$1006:BF1006),$AN$1006:$BO$1006,0))&gt;=100000), " ",IF(INDEX($AN$2:$BO$1001,MATCH(ROWS($AG$2:AG952),$AG$2:$AG$1001,0),MATCH(COLUMNS($AN$1006:BF1006),$AN$1006:$BO$1006,0)), HYPERLINK("#",""), HYPERLINK(CONCATENATE("#Metadata!", ADDRESS(INDEX($AI$2:$AI$1001,MATCH(ROWS($AG$2:AG952),$AG$2:$AG$1001,0),0), INDEX($AN$1004:$BO$1004,1,MATCH(COLUMNS($AN$1006:BF1006),$AN$1006:$BO$1006,0)))),"Fix")))</f>
        <v>0</v>
      </c>
      <c r="U952" s="4">
        <f>IF(OR(INDEX($AH$2:$AH$1001,MATCH(ROWS($AG$2:AG952),$AG$2:$AG$1001,0),1)&gt;=100000,INDEX($AN$1005:$BO$1005,1,MATCH(COLUMNS($AN$1006:BG1006),$AN$1006:$BO$1006,0))&gt;=100000), " ",IF(INDEX($AN$2:$BO$1001,MATCH(ROWS($AG$2:AG952),$AG$2:$AG$1001,0),MATCH(COLUMNS($AN$1006:BG1006),$AN$1006:$BO$1006,0)), HYPERLINK("#",""), HYPERLINK(CONCATENATE("#Metadata!", ADDRESS(INDEX($AI$2:$AI$1001,MATCH(ROWS($AG$2:AG952),$AG$2:$AG$1001,0),0), INDEX($AN$1004:$BO$1004,1,MATCH(COLUMNS($AN$1006:BG1006),$AN$1006:$BO$1006,0)))),"Fix")))</f>
        <v>0</v>
      </c>
      <c r="V952" s="4">
        <f>IF(OR(INDEX($AH$2:$AH$1001,MATCH(ROWS($AG$2:AG952),$AG$2:$AG$1001,0),1)&gt;=100000,INDEX($AN$1005:$BO$1005,1,MATCH(COLUMNS($AN$1006:BH1006),$AN$1006:$BO$1006,0))&gt;=100000), " ",IF(INDEX($AN$2:$BO$1001,MATCH(ROWS($AG$2:AG952),$AG$2:$AG$1001,0),MATCH(COLUMNS($AN$1006:BH1006),$AN$1006:$BO$1006,0)), HYPERLINK("#",""), HYPERLINK(CONCATENATE("#Metadata!", ADDRESS(INDEX($AI$2:$AI$1001,MATCH(ROWS($AG$2:AG952),$AG$2:$AG$1001,0),0), INDEX($AN$1004:$BO$1004,1,MATCH(COLUMNS($AN$1006:BH1006),$AN$1006:$BO$1006,0)))),"Fix")))</f>
        <v>0</v>
      </c>
      <c r="W952" s="4">
        <f>IF(OR(INDEX($AH$2:$AH$1001,MATCH(ROWS($AG$2:AG952),$AG$2:$AG$1001,0),1)&gt;=100000,INDEX($AN$1005:$BO$1005,1,MATCH(COLUMNS($AN$1006:BI1006),$AN$1006:$BO$1006,0))&gt;=100000), " ",IF(INDEX($AN$2:$BO$1001,MATCH(ROWS($AG$2:AG952),$AG$2:$AG$1001,0),MATCH(COLUMNS($AN$1006:BI1006),$AN$1006:$BO$1006,0)), HYPERLINK("#",""), HYPERLINK(CONCATENATE("#Metadata!", ADDRESS(INDEX($AI$2:$AI$1001,MATCH(ROWS($AG$2:AG952),$AG$2:$AG$1001,0),0), INDEX($AN$1004:$BO$1004,1,MATCH(COLUMNS($AN$1006:BI1006),$AN$1006:$BO$1006,0)))),"Fix")))</f>
        <v>0</v>
      </c>
      <c r="X952" s="4">
        <f>IF(OR(INDEX($AH$2:$AH$1001,MATCH(ROWS($AG$2:AG952),$AG$2:$AG$1001,0),1)&gt;=100000,INDEX($AN$1005:$BO$1005,1,MATCH(COLUMNS($AN$1006:BJ1006),$AN$1006:$BO$1006,0))&gt;=100000), " ",IF(INDEX($AN$2:$BO$1001,MATCH(ROWS($AG$2:AG952),$AG$2:$AG$1001,0),MATCH(COLUMNS($AN$1006:BJ1006),$AN$1006:$BO$1006,0)), HYPERLINK("#",""), HYPERLINK(CONCATENATE("#Metadata!", ADDRESS(INDEX($AI$2:$AI$1001,MATCH(ROWS($AG$2:AG952),$AG$2:$AG$1001,0),0), INDEX($AN$1004:$BO$1004,1,MATCH(COLUMNS($AN$1006:BJ1006),$AN$1006:$BO$1006,0)))),"Fix")))</f>
        <v>0</v>
      </c>
      <c r="Y952" s="4">
        <f>IF(OR(INDEX($AH$2:$AH$1001,MATCH(ROWS($AG$2:AG952),$AG$2:$AG$1001,0),1)&gt;=100000,INDEX($AN$1005:$BO$1005,1,MATCH(COLUMNS($AN$1006:BK1006),$AN$1006:$BO$1006,0))&gt;=100000), " ",IF(INDEX($AN$2:$BO$1001,MATCH(ROWS($AG$2:AG952),$AG$2:$AG$1001,0),MATCH(COLUMNS($AN$1006:BK1006),$AN$1006:$BO$1006,0)), HYPERLINK("#",""), HYPERLINK(CONCATENATE("#Metadata!", ADDRESS(INDEX($AI$2:$AI$1001,MATCH(ROWS($AG$2:AG952),$AG$2:$AG$1001,0),0), INDEX($AN$1004:$BO$1004,1,MATCH(COLUMNS($AN$1006:BK1006),$AN$1006:$BO$1006,0)))),"Fix")))</f>
        <v>0</v>
      </c>
      <c r="Z952" s="4">
        <f>IF(OR(INDEX($AH$2:$AH$1001,MATCH(ROWS($AG$2:AG952),$AG$2:$AG$1001,0),1)&gt;=100000,INDEX($AN$1005:$BO$1005,1,MATCH(COLUMNS($AN$1006:BL1006),$AN$1006:$BO$1006,0))&gt;=100000), " ",IF(INDEX($AN$2:$BO$1001,MATCH(ROWS($AG$2:AG952),$AG$2:$AG$1001,0),MATCH(COLUMNS($AN$1006:BL1006),$AN$1006:$BO$1006,0)), HYPERLINK("#",""), HYPERLINK(CONCATENATE("#Metadata!", ADDRESS(INDEX($AI$2:$AI$1001,MATCH(ROWS($AG$2:AG952),$AG$2:$AG$1001,0),0), INDEX($AN$1004:$BO$1004,1,MATCH(COLUMNS($AN$1006:BL1006),$AN$1006:$BO$1006,0)))),"Fix")))</f>
        <v>0</v>
      </c>
      <c r="AA952" s="4">
        <f>IF(OR(INDEX($AH$2:$AH$1001,MATCH(ROWS($AG$2:AG952),$AG$2:$AG$1001,0),1)&gt;=100000,INDEX($AN$1005:$BO$1005,1,MATCH(COLUMNS($AN$1006:BM1006),$AN$1006:$BO$1006,0))&gt;=100000), " ",IF(INDEX($AN$2:$BO$1001,MATCH(ROWS($AG$2:AG952),$AG$2:$AG$1001,0),MATCH(COLUMNS($AN$1006:BM1006),$AN$1006:$BO$1006,0)), HYPERLINK("#",""), HYPERLINK(CONCATENATE("#Metadata!", ADDRESS(INDEX($AI$2:$AI$1001,MATCH(ROWS($AG$2:AG952),$AG$2:$AG$1001,0),0), INDEX($AN$1004:$BO$1004,1,MATCH(COLUMNS($AN$1006:BM1006),$AN$1006:$BO$1006,0)))),"Fix")))</f>
        <v>0</v>
      </c>
      <c r="AB952" s="4">
        <f>IF(OR(INDEX($AH$2:$AH$1001,MATCH(ROWS($AG$2:AG952),$AG$2:$AG$1001,0),1)&gt;=100000,INDEX($AN$1005:$BO$1005,1,MATCH(COLUMNS($AN$1006:BN1006),$AN$1006:$BO$1006,0))&gt;=100000), " ",IF(INDEX($AN$2:$BO$1001,MATCH(ROWS($AG$2:AG952),$AG$2:$AG$1001,0),MATCH(COLUMNS($AN$1006:BN1006),$AN$1006:$BO$1006,0)), HYPERLINK("#",""), HYPERLINK(CONCATENATE("#Metadata!", ADDRESS(INDEX($AI$2:$AI$1001,MATCH(ROWS($AG$2:AG952),$AG$2:$AG$1001,0),0), INDEX($AN$1004:$BO$1004,1,MATCH(COLUMNS($AN$1006:BN1006),$AN$1006:$BO$1006,0)))),"Fix")))</f>
        <v>0</v>
      </c>
      <c r="AC952" s="4">
        <f>IF(OR(INDEX($AH$2:$AH$1001,MATCH(ROWS($AG$2:AG952),$AG$2:$AG$1001,0),1)&gt;=100000,INDEX($AN$1005:$BO$1005,1,MATCH(COLUMNS($AN$1006:BO1006),$AN$1006:$BO$1006,0))&gt;=100000), " ",IF(INDEX($AN$2:$BO$1001,MATCH(ROWS($AG$2:AG952),$AG$2:$AG$1001,0),MATCH(COLUMNS($AN$1006:BO1006),$AN$1006:$BO$1006,0)), HYPERLINK("#",""), HYPERLINK(CONCATENATE("#Metadata!", ADDRESS(INDEX($AI$2:$AI$1001,MATCH(ROWS($AG$2:AG952),$AG$2:$AG$1001,0),0), INDEX($AN$1004:$BO$1004,1,MATCH(COLUMNS($AN$1006:BO1006),$AN$1006:$BO$1006,0)))),"Fix")))</f>
        <v>0</v>
      </c>
      <c r="AG952">
        <v>0</v>
      </c>
      <c r="AH952">
        <v>0</v>
      </c>
      <c r="AI952">
        <v>0</v>
      </c>
      <c r="AJ952">
        <f>IF(AK952,TRUE,AND(AN952:BO952))</f>
        <v>0</v>
      </c>
      <c r="AK952">
        <f>COUNTBLANK(Metadata!B952:AC952)=COLUMNS(Metadata!B952:AC952)</f>
        <v>0</v>
      </c>
      <c r="AL952">
        <v>0</v>
      </c>
      <c r="AN952">
        <f>AND(IF(Metadata!B952="",FALSE,TRUE),COUNTIF(Metadata!B:B, Metadata!B952) = 1,NOT(ISERROR(SUMPRODUCT(SEARCH(MID(Metadata!B952,ROW(INDIRECT("1:"&amp;LEN(Metadata!B952))), 1),"0123456789abcdefghijklmnopqrstuvwxyzABCDEFGHIJKLMNOPQRSTUVWXYZ.")))))</f>
        <v>0</v>
      </c>
      <c r="AO952">
        <f>IF(Metadata!C952="",FALSE,TRUE)</f>
        <v>0</v>
      </c>
      <c r="AP952">
        <f>IF(Metadata!D952="",FALSE,TRUE)</f>
        <v>0</v>
      </c>
      <c r="AQ952">
        <f>OR(AND(IF(Metadata!E952="",FALSE,TRUE),OR(exact(Metadata!E952,"not collected"),exact(Metadata!E952,"not provided"),exact(Metadata!E952,"restricted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R952">
        <f>IF(Metadata!F952="",FALSE,TRUE)</f>
        <v>0</v>
      </c>
      <c r="AS952">
        <f>OR(AND(IF(Metadata!G952="",FALSE,TRUE),OR(exact(Metadata!G952,"not collected"),exact(Metadata!G952,"not provided"))),AND(IF(Metadata!G952="",FALSE,TRUE),OR(exact(Metadata!G952,"TRUE"),exact(Metadata!G952,"FALSE"))))</f>
        <v>0</v>
      </c>
      <c r="AT952">
        <f>OR(AND(IF(Metadata!H952="",FALSE,TRUE),OR(exact(Metadata!H952,"not collected"),exact(Metadata!H952,"not provided"),exact(Metadata!H952,"restricted access"))),AND(IF(Metadata!H952="",FALSE,ISNUMBER(VALUE(Metadata!H952))),Metadata!H952&gt;=-413.0))</f>
        <v>0</v>
      </c>
      <c r="AU952">
        <f>AND(IF(Metadata!I952="",FALSE,TRUE),exact(Metadata!I952,"meters"))</f>
        <v>0</v>
      </c>
      <c r="AV952">
        <f>AND(IF(Metadata!J952="",FALSE,TRUE),OR(exact(Metadata!J952,"Host-associated"),exact(Metadata!J952,"Free-living")))</f>
        <v>0</v>
      </c>
      <c r="AW952">
        <f>AND(IF(Metadata!K952="",FALSE,TRUE),OR(exact(Metadata!K952,"Animal"),exact(Metadata!K952,"Fungus"),exact(Metadata!K952,"Plant"),exact(Metadata!K952,"Saline"),exact(Metadata!K952,"Non-saline")))</f>
        <v>0</v>
      </c>
      <c r="AX952">
        <f>AND(IF(Metadata!L952="",FALSE,TRUE),OR(exact(Metadata!L952,"Plant secretion"),exact(Metadata!L952,"Plant rhizosphere"),exact(Metadata!L952,"Plant surface"),exact(Metadata!L952,"Plant corpus"),exact(Metadata!L952,"Fungus surface"),exact(Metadata!L952,"Fungus corpus"),exact(Metadata!L952,"Animal surface"),exact(Metadata!L952,"Animal proximal gut"),exact(Metadata!L952,"Animal corpus"),exact(Metadata!L952,"Animal distal gut"),exact(Metadata!L952,"Animal secretion"),exact(Metadata!L952,"Sub-surface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Y952">
        <f>IF(Metadata!M952="",FALSE,TRUE)</f>
        <v>0</v>
      </c>
      <c r="AZ952">
        <f>IF(Metadata!N952="",FALSE,TRUE)</f>
        <v>0</v>
      </c>
      <c r="BA952">
        <f>IF(Metadata!O952="",FALSE,TRUE)</f>
        <v>0</v>
      </c>
      <c r="BB952">
        <f>OR(AND(IF(Metadata!P952="",FALSE,TRUE),OR(exact(Metadata!P952,"not collected"),exact(Metadata!P952,"not provided"),exact(Metadata!P952,"restricted access"))),AND(IF(Metadata!P952="",FALSE,TRUE),OR(exact(Metadata!P952,"air"),exact(Metadata!P952,"built environment"),exact(Metadata!P952,"host-associated"),exact(Metadata!P952,"human-associated"),exact(Metadata!P952,"human-skin"),exact(Metadata!P952,"human-oral"),exact(Metadata!P952,"human-gut"),exact(Metadata!P952,"human-vaginal"),exact(Metadata!P952,"microbial mat/biofilm"),exact(Metadata!P952,"misc environment"),exact(Metadata!P952,"plant-associated"),exact(Metadata!P952,"sediment"),exact(Metadata!P952,"soil"),exact(Metadata!P952,"wastewater/sludge"),exact(Metadata!P952,"water"))))</f>
        <v>0</v>
      </c>
      <c r="BC952">
        <f>IF(Metadata!Q952="",FALSE,TRUE)</f>
        <v>0</v>
      </c>
      <c r="BD952">
        <f>IF(Metadata!R952="",FALSE,TRUE)</f>
        <v>0</v>
      </c>
      <c r="BE952">
        <f>OR(AND(IF(Metadata!S952="",FALSE,TRUE),OR(exact(Metadata!S952,"not collected"),exact(Metadata!S952,"not provided"),exact(Metadata!S952,"restricted access"))),AND(IF(Metadata!S952="",FALSE,ISNUMBER(VALUE(Metadata!S952))),Metadata!S952&gt;=-90.00,Metadata!S952&lt;=90.00))</f>
        <v>0</v>
      </c>
      <c r="BF952">
        <f>AND(IF(Metadata!T952="",FALSE,TRUE),exact(Metadata!T952,"Decimal degrees"))</f>
        <v>0</v>
      </c>
      <c r="BG952">
        <f>OR(AND(IF(Metadata!U952="",FALSE,TRUE),OR(exact(Metadata!U952,"not collected"),exact(Metadata!U952,"not provided"),exact(Metadata!U952,"restricted access"))),AND(IF(Metadata!U952="",FALSE,ISNUMBER(VALUE(Metadata!U952))),Metadata!U952&gt;=-180.00,Metadata!U952&lt;=180.00))</f>
        <v>0</v>
      </c>
      <c r="BH952">
        <f>AND(IF(Metadata!V952="",FALSE,TRUE),exact(Metadata!V952,"Decimal degrees"))</f>
        <v>0</v>
      </c>
      <c r="BI952">
        <f>IF(Metadata!W952="",FALSE,TRUE)</f>
        <v>0</v>
      </c>
      <c r="BJ952">
        <f>OR(AND(IF(Metadata!X952="",FALSE,TRUE),OR(exact(Metadata!X952,"not collected"),exact(Metadata!X952,"not provided"),exact(Metadata!X952,"restricted access"))),AND(IF(Metadata!X952="",FALSE,TRUE),OR(exact(Metadata!X952,"TRUE"),exact(Metadata!X952,"FALSE"))))</f>
        <v>0</v>
      </c>
      <c r="BK952">
        <f>AND(IF(Metadata!Y952="",FALSE,TRUE),exact(Metadata!Y952,"other"))</f>
        <v>0</v>
      </c>
      <c r="BL952">
        <f>IF(Metadata!Z952="",FALSE,TRUE)</f>
        <v>0</v>
      </c>
      <c r="BM952">
        <f>OR(AND(IF(Metadata!AA952="",FALSE,TRUE),OR(exact(Metadata!AA952,"not collected"),exact(Metadata!AA952,"not provided"))),AND(IF(Metadata!AA952="",FALSE,IF(ISERROR(INT(Metadata!AA952)),FALSE,INT(Metadata!AA952)=Metadata!AA952)),Metadata!AA952&gt;0))</f>
        <v>0</v>
      </c>
      <c r="BN952">
        <f>AND(IF(Metadata!AB952="",FALSE,TRUE),exact(Metadata!AB952,"Not applicable"))</f>
        <v>0</v>
      </c>
      <c r="BO952">
        <f>IF(Metadata!AC952="",FALSE,TRUE)</f>
        <v>0</v>
      </c>
    </row>
    <row r="953" spans="1:67">
      <c r="A953" s="5">
        <f>IF(B953=" "," ",HYPERLINK(CONCATENATE("#metadata!",ADDRESS(INDEX($AI$2:$AI$1001,MATCH(ROWS($AG$2:AG953),$AG$2:$AG$1001,0),0),1)),INDEX($AL$2:$AL$1001,MATCH(ROWS($AG$2:AG953),$AG$2:$AG$1001,0),0)))</f>
        <v>0</v>
      </c>
      <c r="B953" s="4">
        <f>IF(OR(INDEX($AH$2:$AH$1001,MATCH(ROWS($AG$2:AG953),$AG$2:$AG$1001,0),1)&gt;=100000,INDEX($AN$1005:$BO$1005,1,MATCH(COLUMNS($AN$1006:AN1006),$AN$1006:$BO$1006,0))&gt;=100000), " ",IF(INDEX($AN$2:$BO$1001,MATCH(ROWS($AG$2:AG953),$AG$2:$AG$1001,0),MATCH(COLUMNS($AN$1006:AN1006),$AN$1006:$BO$1006,0)), HYPERLINK("#",""), HYPERLINK(CONCATENATE("#Metadata!", ADDRESS(INDEX($AI$2:$AI$1001,MATCH(ROWS($AG$2:AG953),$AG$2:$AG$1001,0),0), INDEX($AN$1004:$BO$1004,1,MATCH(COLUMNS($AN$1006:AN1006),$AN$1006:$BO$1006,0)))),"Fix")))</f>
        <v>0</v>
      </c>
      <c r="C953" s="4">
        <f>IF(OR(INDEX($AH$2:$AH$1001,MATCH(ROWS($AG$2:AG953),$AG$2:$AG$1001,0),1)&gt;=100000,INDEX($AN$1005:$BO$1005,1,MATCH(COLUMNS($AN$1006:AO1006),$AN$1006:$BO$1006,0))&gt;=100000), " ",IF(INDEX($AN$2:$BO$1001,MATCH(ROWS($AG$2:AG953),$AG$2:$AG$1001,0),MATCH(COLUMNS($AN$1006:AO1006),$AN$1006:$BO$1006,0)), HYPERLINK("#",""), HYPERLINK(CONCATENATE("#Metadata!", ADDRESS(INDEX($AI$2:$AI$1001,MATCH(ROWS($AG$2:AG953),$AG$2:$AG$1001,0),0), INDEX($AN$1004:$BO$1004,1,MATCH(COLUMNS($AN$1006:AO1006),$AN$1006:$BO$1006,0)))),"Fix")))</f>
        <v>0</v>
      </c>
      <c r="D953" s="4">
        <f>IF(OR(INDEX($AH$2:$AH$1001,MATCH(ROWS($AG$2:AG953),$AG$2:$AG$1001,0),1)&gt;=100000,INDEX($AN$1005:$BO$1005,1,MATCH(COLUMNS($AN$1006:AP1006),$AN$1006:$BO$1006,0))&gt;=100000), " ",IF(INDEX($AN$2:$BO$1001,MATCH(ROWS($AG$2:AG953),$AG$2:$AG$1001,0),MATCH(COLUMNS($AN$1006:AP1006),$AN$1006:$BO$1006,0)), HYPERLINK("#",""), HYPERLINK(CONCATENATE("#Metadata!", ADDRESS(INDEX($AI$2:$AI$1001,MATCH(ROWS($AG$2:AG953),$AG$2:$AG$1001,0),0), INDEX($AN$1004:$BO$1004,1,MATCH(COLUMNS($AN$1006:AP1006),$AN$1006:$BO$1006,0)))),"Fix")))</f>
        <v>0</v>
      </c>
      <c r="E953" s="4">
        <f>IF(OR(INDEX($AH$2:$AH$1001,MATCH(ROWS($AG$2:AG953),$AG$2:$AG$1001,0),1)&gt;=100000,INDEX($AN$1005:$BO$1005,1,MATCH(COLUMNS($AN$1006:AQ1006),$AN$1006:$BO$1006,0))&gt;=100000), " ",IF(INDEX($AN$2:$BO$1001,MATCH(ROWS($AG$2:AG953),$AG$2:$AG$1001,0),MATCH(COLUMNS($AN$1006:AQ1006),$AN$1006:$BO$1006,0)), HYPERLINK("#",""), HYPERLINK(CONCATENATE("#Metadata!", ADDRESS(INDEX($AI$2:$AI$1001,MATCH(ROWS($AG$2:AG953),$AG$2:$AG$1001,0),0), INDEX($AN$1004:$BO$1004,1,MATCH(COLUMNS($AN$1006:AQ1006),$AN$1006:$BO$1006,0)))),"Fix")))</f>
        <v>0</v>
      </c>
      <c r="F953" s="4">
        <f>IF(OR(INDEX($AH$2:$AH$1001,MATCH(ROWS($AG$2:AG953),$AG$2:$AG$1001,0),1)&gt;=100000,INDEX($AN$1005:$BO$1005,1,MATCH(COLUMNS($AN$1006:AR1006),$AN$1006:$BO$1006,0))&gt;=100000), " ",IF(INDEX($AN$2:$BO$1001,MATCH(ROWS($AG$2:AG953),$AG$2:$AG$1001,0),MATCH(COLUMNS($AN$1006:AR1006),$AN$1006:$BO$1006,0)), HYPERLINK("#",""), HYPERLINK(CONCATENATE("#Metadata!", ADDRESS(INDEX($AI$2:$AI$1001,MATCH(ROWS($AG$2:AG953),$AG$2:$AG$1001,0),0), INDEX($AN$1004:$BO$1004,1,MATCH(COLUMNS($AN$1006:AR1006),$AN$1006:$BO$1006,0)))),"Fix")))</f>
        <v>0</v>
      </c>
      <c r="G953" s="4">
        <f>IF(OR(INDEX($AH$2:$AH$1001,MATCH(ROWS($AG$2:AG953),$AG$2:$AG$1001,0),1)&gt;=100000,INDEX($AN$1005:$BO$1005,1,MATCH(COLUMNS($AN$1006:AS1006),$AN$1006:$BO$1006,0))&gt;=100000), " ",IF(INDEX($AN$2:$BO$1001,MATCH(ROWS($AG$2:AG953),$AG$2:$AG$1001,0),MATCH(COLUMNS($AN$1006:AS1006),$AN$1006:$BO$1006,0)), HYPERLINK("#",""), HYPERLINK(CONCATENATE("#Metadata!", ADDRESS(INDEX($AI$2:$AI$1001,MATCH(ROWS($AG$2:AG953),$AG$2:$AG$1001,0),0), INDEX($AN$1004:$BO$1004,1,MATCH(COLUMNS($AN$1006:AS1006),$AN$1006:$BO$1006,0)))),"Fix")))</f>
        <v>0</v>
      </c>
      <c r="H953" s="4">
        <f>IF(OR(INDEX($AH$2:$AH$1001,MATCH(ROWS($AG$2:AG953),$AG$2:$AG$1001,0),1)&gt;=100000,INDEX($AN$1005:$BO$1005,1,MATCH(COLUMNS($AN$1006:AT1006),$AN$1006:$BO$1006,0))&gt;=100000), " ",IF(INDEX($AN$2:$BO$1001,MATCH(ROWS($AG$2:AG953),$AG$2:$AG$1001,0),MATCH(COLUMNS($AN$1006:AT1006),$AN$1006:$BO$1006,0)), HYPERLINK("#",""), HYPERLINK(CONCATENATE("#Metadata!", ADDRESS(INDEX($AI$2:$AI$1001,MATCH(ROWS($AG$2:AG953),$AG$2:$AG$1001,0),0), INDEX($AN$1004:$BO$1004,1,MATCH(COLUMNS($AN$1006:AT1006),$AN$1006:$BO$1006,0)))),"Fix")))</f>
        <v>0</v>
      </c>
      <c r="I953" s="4">
        <f>IF(OR(INDEX($AH$2:$AH$1001,MATCH(ROWS($AG$2:AG953),$AG$2:$AG$1001,0),1)&gt;=100000,INDEX($AN$1005:$BO$1005,1,MATCH(COLUMNS($AN$1006:AU1006),$AN$1006:$BO$1006,0))&gt;=100000), " ",IF(INDEX($AN$2:$BO$1001,MATCH(ROWS($AG$2:AG953),$AG$2:$AG$1001,0),MATCH(COLUMNS($AN$1006:AU1006),$AN$1006:$BO$1006,0)), HYPERLINK("#",""), HYPERLINK(CONCATENATE("#Metadata!", ADDRESS(INDEX($AI$2:$AI$1001,MATCH(ROWS($AG$2:AG953),$AG$2:$AG$1001,0),0), INDEX($AN$1004:$BO$1004,1,MATCH(COLUMNS($AN$1006:AU1006),$AN$1006:$BO$1006,0)))),"Fix")))</f>
        <v>0</v>
      </c>
      <c r="J953" s="4">
        <f>IF(OR(INDEX($AH$2:$AH$1001,MATCH(ROWS($AG$2:AG953),$AG$2:$AG$1001,0),1)&gt;=100000,INDEX($AN$1005:$BO$1005,1,MATCH(COLUMNS($AN$1006:AV1006),$AN$1006:$BO$1006,0))&gt;=100000), " ",IF(INDEX($AN$2:$BO$1001,MATCH(ROWS($AG$2:AG953),$AG$2:$AG$1001,0),MATCH(COLUMNS($AN$1006:AV1006),$AN$1006:$BO$1006,0)), HYPERLINK("#",""), HYPERLINK(CONCATENATE("#Metadata!", ADDRESS(INDEX($AI$2:$AI$1001,MATCH(ROWS($AG$2:AG953),$AG$2:$AG$1001,0),0), INDEX($AN$1004:$BO$1004,1,MATCH(COLUMNS($AN$1006:AV1006),$AN$1006:$BO$1006,0)))),"Fix")))</f>
        <v>0</v>
      </c>
      <c r="K953" s="4">
        <f>IF(OR(INDEX($AH$2:$AH$1001,MATCH(ROWS($AG$2:AG953),$AG$2:$AG$1001,0),1)&gt;=100000,INDEX($AN$1005:$BO$1005,1,MATCH(COLUMNS($AN$1006:AW1006),$AN$1006:$BO$1006,0))&gt;=100000), " ",IF(INDEX($AN$2:$BO$1001,MATCH(ROWS($AG$2:AG953),$AG$2:$AG$1001,0),MATCH(COLUMNS($AN$1006:AW1006),$AN$1006:$BO$1006,0)), HYPERLINK("#",""), HYPERLINK(CONCATENATE("#Metadata!", ADDRESS(INDEX($AI$2:$AI$1001,MATCH(ROWS($AG$2:AG953),$AG$2:$AG$1001,0),0), INDEX($AN$1004:$BO$1004,1,MATCH(COLUMNS($AN$1006:AW1006),$AN$1006:$BO$1006,0)))),"Fix")))</f>
        <v>0</v>
      </c>
      <c r="L953" s="4">
        <f>IF(OR(INDEX($AH$2:$AH$1001,MATCH(ROWS($AG$2:AG953),$AG$2:$AG$1001,0),1)&gt;=100000,INDEX($AN$1005:$BO$1005,1,MATCH(COLUMNS($AN$1006:AX1006),$AN$1006:$BO$1006,0))&gt;=100000), " ",IF(INDEX($AN$2:$BO$1001,MATCH(ROWS($AG$2:AG953),$AG$2:$AG$1001,0),MATCH(COLUMNS($AN$1006:AX1006),$AN$1006:$BO$1006,0)), HYPERLINK("#",""), HYPERLINK(CONCATENATE("#Metadata!", ADDRESS(INDEX($AI$2:$AI$1001,MATCH(ROWS($AG$2:AG953),$AG$2:$AG$1001,0),0), INDEX($AN$1004:$BO$1004,1,MATCH(COLUMNS($AN$1006:AX1006),$AN$1006:$BO$1006,0)))),"Fix")))</f>
        <v>0</v>
      </c>
      <c r="M953" s="4">
        <f>IF(OR(INDEX($AH$2:$AH$1001,MATCH(ROWS($AG$2:AG953),$AG$2:$AG$1001,0),1)&gt;=100000,INDEX($AN$1005:$BO$1005,1,MATCH(COLUMNS($AN$1006:AY1006),$AN$1006:$BO$1006,0))&gt;=100000), " ",IF(INDEX($AN$2:$BO$1001,MATCH(ROWS($AG$2:AG953),$AG$2:$AG$1001,0),MATCH(COLUMNS($AN$1006:AY1006),$AN$1006:$BO$1006,0)), HYPERLINK("#",""), HYPERLINK(CONCATENATE("#Metadata!", ADDRESS(INDEX($AI$2:$AI$1001,MATCH(ROWS($AG$2:AG953),$AG$2:$AG$1001,0),0), INDEX($AN$1004:$BO$1004,1,MATCH(COLUMNS($AN$1006:AY1006),$AN$1006:$BO$1006,0)))),"Fix")))</f>
        <v>0</v>
      </c>
      <c r="N953" s="4">
        <f>IF(OR(INDEX($AH$2:$AH$1001,MATCH(ROWS($AG$2:AG953),$AG$2:$AG$1001,0),1)&gt;=100000,INDEX($AN$1005:$BO$1005,1,MATCH(COLUMNS($AN$1006:AZ1006),$AN$1006:$BO$1006,0))&gt;=100000), " ",IF(INDEX($AN$2:$BO$1001,MATCH(ROWS($AG$2:AG953),$AG$2:$AG$1001,0),MATCH(COLUMNS($AN$1006:AZ1006),$AN$1006:$BO$1006,0)), HYPERLINK("#",""), HYPERLINK(CONCATENATE("#Metadata!", ADDRESS(INDEX($AI$2:$AI$1001,MATCH(ROWS($AG$2:AG953),$AG$2:$AG$1001,0),0), INDEX($AN$1004:$BO$1004,1,MATCH(COLUMNS($AN$1006:AZ1006),$AN$1006:$BO$1006,0)))),"Fix")))</f>
        <v>0</v>
      </c>
      <c r="O953" s="4">
        <f>IF(OR(INDEX($AH$2:$AH$1001,MATCH(ROWS($AG$2:AG953),$AG$2:$AG$1001,0),1)&gt;=100000,INDEX($AN$1005:$BO$1005,1,MATCH(COLUMNS($AN$1006:BA1006),$AN$1006:$BO$1006,0))&gt;=100000), " ",IF(INDEX($AN$2:$BO$1001,MATCH(ROWS($AG$2:AG953),$AG$2:$AG$1001,0),MATCH(COLUMNS($AN$1006:BA1006),$AN$1006:$BO$1006,0)), HYPERLINK("#",""), HYPERLINK(CONCATENATE("#Metadata!", ADDRESS(INDEX($AI$2:$AI$1001,MATCH(ROWS($AG$2:AG953),$AG$2:$AG$1001,0),0), INDEX($AN$1004:$BO$1004,1,MATCH(COLUMNS($AN$1006:BA1006),$AN$1006:$BO$1006,0)))),"Fix")))</f>
        <v>0</v>
      </c>
      <c r="P953" s="4">
        <f>IF(OR(INDEX($AH$2:$AH$1001,MATCH(ROWS($AG$2:AG953),$AG$2:$AG$1001,0),1)&gt;=100000,INDEX($AN$1005:$BO$1005,1,MATCH(COLUMNS($AN$1006:BB1006),$AN$1006:$BO$1006,0))&gt;=100000), " ",IF(INDEX($AN$2:$BO$1001,MATCH(ROWS($AG$2:AG953),$AG$2:$AG$1001,0),MATCH(COLUMNS($AN$1006:BB1006),$AN$1006:$BO$1006,0)), HYPERLINK("#",""), HYPERLINK(CONCATENATE("#Metadata!", ADDRESS(INDEX($AI$2:$AI$1001,MATCH(ROWS($AG$2:AG953),$AG$2:$AG$1001,0),0), INDEX($AN$1004:$BO$1004,1,MATCH(COLUMNS($AN$1006:BB1006),$AN$1006:$BO$1006,0)))),"Fix")))</f>
        <v>0</v>
      </c>
      <c r="Q953" s="4">
        <f>IF(OR(INDEX($AH$2:$AH$1001,MATCH(ROWS($AG$2:AG953),$AG$2:$AG$1001,0),1)&gt;=100000,INDEX($AN$1005:$BO$1005,1,MATCH(COLUMNS($AN$1006:BC1006),$AN$1006:$BO$1006,0))&gt;=100000), " ",IF(INDEX($AN$2:$BO$1001,MATCH(ROWS($AG$2:AG953),$AG$2:$AG$1001,0),MATCH(COLUMNS($AN$1006:BC1006),$AN$1006:$BO$1006,0)), HYPERLINK("#",""), HYPERLINK(CONCATENATE("#Metadata!", ADDRESS(INDEX($AI$2:$AI$1001,MATCH(ROWS($AG$2:AG953),$AG$2:$AG$1001,0),0), INDEX($AN$1004:$BO$1004,1,MATCH(COLUMNS($AN$1006:BC1006),$AN$1006:$BO$1006,0)))),"Fix")))</f>
        <v>0</v>
      </c>
      <c r="R953" s="4">
        <f>IF(OR(INDEX($AH$2:$AH$1001,MATCH(ROWS($AG$2:AG953),$AG$2:$AG$1001,0),1)&gt;=100000,INDEX($AN$1005:$BO$1005,1,MATCH(COLUMNS($AN$1006:BD1006),$AN$1006:$BO$1006,0))&gt;=100000), " ",IF(INDEX($AN$2:$BO$1001,MATCH(ROWS($AG$2:AG953),$AG$2:$AG$1001,0),MATCH(COLUMNS($AN$1006:BD1006),$AN$1006:$BO$1006,0)), HYPERLINK("#",""), HYPERLINK(CONCATENATE("#Metadata!", ADDRESS(INDEX($AI$2:$AI$1001,MATCH(ROWS($AG$2:AG953),$AG$2:$AG$1001,0),0), INDEX($AN$1004:$BO$1004,1,MATCH(COLUMNS($AN$1006:BD1006),$AN$1006:$BO$1006,0)))),"Fix")))</f>
        <v>0</v>
      </c>
      <c r="S953" s="4">
        <f>IF(OR(INDEX($AH$2:$AH$1001,MATCH(ROWS($AG$2:AG953),$AG$2:$AG$1001,0),1)&gt;=100000,INDEX($AN$1005:$BO$1005,1,MATCH(COLUMNS($AN$1006:BE1006),$AN$1006:$BO$1006,0))&gt;=100000), " ",IF(INDEX($AN$2:$BO$1001,MATCH(ROWS($AG$2:AG953),$AG$2:$AG$1001,0),MATCH(COLUMNS($AN$1006:BE1006),$AN$1006:$BO$1006,0)), HYPERLINK("#",""), HYPERLINK(CONCATENATE("#Metadata!", ADDRESS(INDEX($AI$2:$AI$1001,MATCH(ROWS($AG$2:AG953),$AG$2:$AG$1001,0),0), INDEX($AN$1004:$BO$1004,1,MATCH(COLUMNS($AN$1006:BE1006),$AN$1006:$BO$1006,0)))),"Fix")))</f>
        <v>0</v>
      </c>
      <c r="T953" s="4">
        <f>IF(OR(INDEX($AH$2:$AH$1001,MATCH(ROWS($AG$2:AG953),$AG$2:$AG$1001,0),1)&gt;=100000,INDEX($AN$1005:$BO$1005,1,MATCH(COLUMNS($AN$1006:BF1006),$AN$1006:$BO$1006,0))&gt;=100000), " ",IF(INDEX($AN$2:$BO$1001,MATCH(ROWS($AG$2:AG953),$AG$2:$AG$1001,0),MATCH(COLUMNS($AN$1006:BF1006),$AN$1006:$BO$1006,0)), HYPERLINK("#",""), HYPERLINK(CONCATENATE("#Metadata!", ADDRESS(INDEX($AI$2:$AI$1001,MATCH(ROWS($AG$2:AG953),$AG$2:$AG$1001,0),0), INDEX($AN$1004:$BO$1004,1,MATCH(COLUMNS($AN$1006:BF1006),$AN$1006:$BO$1006,0)))),"Fix")))</f>
        <v>0</v>
      </c>
      <c r="U953" s="4">
        <f>IF(OR(INDEX($AH$2:$AH$1001,MATCH(ROWS($AG$2:AG953),$AG$2:$AG$1001,0),1)&gt;=100000,INDEX($AN$1005:$BO$1005,1,MATCH(COLUMNS($AN$1006:BG1006),$AN$1006:$BO$1006,0))&gt;=100000), " ",IF(INDEX($AN$2:$BO$1001,MATCH(ROWS($AG$2:AG953),$AG$2:$AG$1001,0),MATCH(COLUMNS($AN$1006:BG1006),$AN$1006:$BO$1006,0)), HYPERLINK("#",""), HYPERLINK(CONCATENATE("#Metadata!", ADDRESS(INDEX($AI$2:$AI$1001,MATCH(ROWS($AG$2:AG953),$AG$2:$AG$1001,0),0), INDEX($AN$1004:$BO$1004,1,MATCH(COLUMNS($AN$1006:BG1006),$AN$1006:$BO$1006,0)))),"Fix")))</f>
        <v>0</v>
      </c>
      <c r="V953" s="4">
        <f>IF(OR(INDEX($AH$2:$AH$1001,MATCH(ROWS($AG$2:AG953),$AG$2:$AG$1001,0),1)&gt;=100000,INDEX($AN$1005:$BO$1005,1,MATCH(COLUMNS($AN$1006:BH1006),$AN$1006:$BO$1006,0))&gt;=100000), " ",IF(INDEX($AN$2:$BO$1001,MATCH(ROWS($AG$2:AG953),$AG$2:$AG$1001,0),MATCH(COLUMNS($AN$1006:BH1006),$AN$1006:$BO$1006,0)), HYPERLINK("#",""), HYPERLINK(CONCATENATE("#Metadata!", ADDRESS(INDEX($AI$2:$AI$1001,MATCH(ROWS($AG$2:AG953),$AG$2:$AG$1001,0),0), INDEX($AN$1004:$BO$1004,1,MATCH(COLUMNS($AN$1006:BH1006),$AN$1006:$BO$1006,0)))),"Fix")))</f>
        <v>0</v>
      </c>
      <c r="W953" s="4">
        <f>IF(OR(INDEX($AH$2:$AH$1001,MATCH(ROWS($AG$2:AG953),$AG$2:$AG$1001,0),1)&gt;=100000,INDEX($AN$1005:$BO$1005,1,MATCH(COLUMNS($AN$1006:BI1006),$AN$1006:$BO$1006,0))&gt;=100000), " ",IF(INDEX($AN$2:$BO$1001,MATCH(ROWS($AG$2:AG953),$AG$2:$AG$1001,0),MATCH(COLUMNS($AN$1006:BI1006),$AN$1006:$BO$1006,0)), HYPERLINK("#",""), HYPERLINK(CONCATENATE("#Metadata!", ADDRESS(INDEX($AI$2:$AI$1001,MATCH(ROWS($AG$2:AG953),$AG$2:$AG$1001,0),0), INDEX($AN$1004:$BO$1004,1,MATCH(COLUMNS($AN$1006:BI1006),$AN$1006:$BO$1006,0)))),"Fix")))</f>
        <v>0</v>
      </c>
      <c r="X953" s="4">
        <f>IF(OR(INDEX($AH$2:$AH$1001,MATCH(ROWS($AG$2:AG953),$AG$2:$AG$1001,0),1)&gt;=100000,INDEX($AN$1005:$BO$1005,1,MATCH(COLUMNS($AN$1006:BJ1006),$AN$1006:$BO$1006,0))&gt;=100000), " ",IF(INDEX($AN$2:$BO$1001,MATCH(ROWS($AG$2:AG953),$AG$2:$AG$1001,0),MATCH(COLUMNS($AN$1006:BJ1006),$AN$1006:$BO$1006,0)), HYPERLINK("#",""), HYPERLINK(CONCATENATE("#Metadata!", ADDRESS(INDEX($AI$2:$AI$1001,MATCH(ROWS($AG$2:AG953),$AG$2:$AG$1001,0),0), INDEX($AN$1004:$BO$1004,1,MATCH(COLUMNS($AN$1006:BJ1006),$AN$1006:$BO$1006,0)))),"Fix")))</f>
        <v>0</v>
      </c>
      <c r="Y953" s="4">
        <f>IF(OR(INDEX($AH$2:$AH$1001,MATCH(ROWS($AG$2:AG953),$AG$2:$AG$1001,0),1)&gt;=100000,INDEX($AN$1005:$BO$1005,1,MATCH(COLUMNS($AN$1006:BK1006),$AN$1006:$BO$1006,0))&gt;=100000), " ",IF(INDEX($AN$2:$BO$1001,MATCH(ROWS($AG$2:AG953),$AG$2:$AG$1001,0),MATCH(COLUMNS($AN$1006:BK1006),$AN$1006:$BO$1006,0)), HYPERLINK("#",""), HYPERLINK(CONCATENATE("#Metadata!", ADDRESS(INDEX($AI$2:$AI$1001,MATCH(ROWS($AG$2:AG953),$AG$2:$AG$1001,0),0), INDEX($AN$1004:$BO$1004,1,MATCH(COLUMNS($AN$1006:BK1006),$AN$1006:$BO$1006,0)))),"Fix")))</f>
        <v>0</v>
      </c>
      <c r="Z953" s="4">
        <f>IF(OR(INDEX($AH$2:$AH$1001,MATCH(ROWS($AG$2:AG953),$AG$2:$AG$1001,0),1)&gt;=100000,INDEX($AN$1005:$BO$1005,1,MATCH(COLUMNS($AN$1006:BL1006),$AN$1006:$BO$1006,0))&gt;=100000), " ",IF(INDEX($AN$2:$BO$1001,MATCH(ROWS($AG$2:AG953),$AG$2:$AG$1001,0),MATCH(COLUMNS($AN$1006:BL1006),$AN$1006:$BO$1006,0)), HYPERLINK("#",""), HYPERLINK(CONCATENATE("#Metadata!", ADDRESS(INDEX($AI$2:$AI$1001,MATCH(ROWS($AG$2:AG953),$AG$2:$AG$1001,0),0), INDEX($AN$1004:$BO$1004,1,MATCH(COLUMNS($AN$1006:BL1006),$AN$1006:$BO$1006,0)))),"Fix")))</f>
        <v>0</v>
      </c>
      <c r="AA953" s="4">
        <f>IF(OR(INDEX($AH$2:$AH$1001,MATCH(ROWS($AG$2:AG953),$AG$2:$AG$1001,0),1)&gt;=100000,INDEX($AN$1005:$BO$1005,1,MATCH(COLUMNS($AN$1006:BM1006),$AN$1006:$BO$1006,0))&gt;=100000), " ",IF(INDEX($AN$2:$BO$1001,MATCH(ROWS($AG$2:AG953),$AG$2:$AG$1001,0),MATCH(COLUMNS($AN$1006:BM1006),$AN$1006:$BO$1006,0)), HYPERLINK("#",""), HYPERLINK(CONCATENATE("#Metadata!", ADDRESS(INDEX($AI$2:$AI$1001,MATCH(ROWS($AG$2:AG953),$AG$2:$AG$1001,0),0), INDEX($AN$1004:$BO$1004,1,MATCH(COLUMNS($AN$1006:BM1006),$AN$1006:$BO$1006,0)))),"Fix")))</f>
        <v>0</v>
      </c>
      <c r="AB953" s="4">
        <f>IF(OR(INDEX($AH$2:$AH$1001,MATCH(ROWS($AG$2:AG953),$AG$2:$AG$1001,0),1)&gt;=100000,INDEX($AN$1005:$BO$1005,1,MATCH(COLUMNS($AN$1006:BN1006),$AN$1006:$BO$1006,0))&gt;=100000), " ",IF(INDEX($AN$2:$BO$1001,MATCH(ROWS($AG$2:AG953),$AG$2:$AG$1001,0),MATCH(COLUMNS($AN$1006:BN1006),$AN$1006:$BO$1006,0)), HYPERLINK("#",""), HYPERLINK(CONCATENATE("#Metadata!", ADDRESS(INDEX($AI$2:$AI$1001,MATCH(ROWS($AG$2:AG953),$AG$2:$AG$1001,0),0), INDEX($AN$1004:$BO$1004,1,MATCH(COLUMNS($AN$1006:BN1006),$AN$1006:$BO$1006,0)))),"Fix")))</f>
        <v>0</v>
      </c>
      <c r="AC953" s="4">
        <f>IF(OR(INDEX($AH$2:$AH$1001,MATCH(ROWS($AG$2:AG953),$AG$2:$AG$1001,0),1)&gt;=100000,INDEX($AN$1005:$BO$1005,1,MATCH(COLUMNS($AN$1006:BO1006),$AN$1006:$BO$1006,0))&gt;=100000), " ",IF(INDEX($AN$2:$BO$1001,MATCH(ROWS($AG$2:AG953),$AG$2:$AG$1001,0),MATCH(COLUMNS($AN$1006:BO1006),$AN$1006:$BO$1006,0)), HYPERLINK("#",""), HYPERLINK(CONCATENATE("#Metadata!", ADDRESS(INDEX($AI$2:$AI$1001,MATCH(ROWS($AG$2:AG953),$AG$2:$AG$1001,0),0), INDEX($AN$1004:$BO$1004,1,MATCH(COLUMNS($AN$1006:BO1006),$AN$1006:$BO$1006,0)))),"Fix")))</f>
        <v>0</v>
      </c>
      <c r="AG953">
        <v>0</v>
      </c>
      <c r="AH953">
        <v>0</v>
      </c>
      <c r="AI953">
        <v>0</v>
      </c>
      <c r="AJ953">
        <f>IF(AK953,TRUE,AND(AN953:BO953))</f>
        <v>0</v>
      </c>
      <c r="AK953">
        <f>COUNTBLANK(Metadata!B953:AC953)=COLUMNS(Metadata!B953:AC953)</f>
        <v>0</v>
      </c>
      <c r="AL953">
        <v>0</v>
      </c>
      <c r="AN953">
        <f>AND(IF(Metadata!B953="",FALSE,TRUE),COUNTIF(Metadata!B:B, Metadata!B953) = 1,NOT(ISERROR(SUMPRODUCT(SEARCH(MID(Metadata!B953,ROW(INDIRECT("1:"&amp;LEN(Metadata!B953))), 1),"0123456789abcdefghijklmnopqrstuvwxyzABCDEFGHIJKLMNOPQRSTUVWXYZ.")))))</f>
        <v>0</v>
      </c>
      <c r="AO953">
        <f>IF(Metadata!C953="",FALSE,TRUE)</f>
        <v>0</v>
      </c>
      <c r="AP953">
        <f>IF(Metadata!D953="",FALSE,TRUE)</f>
        <v>0</v>
      </c>
      <c r="AQ953">
        <f>OR(AND(IF(Metadata!E953="",FALSE,TRUE),OR(exact(Metadata!E953,"not collected"),exact(Metadata!E953,"not provided"),exact(Metadata!E953,"restricted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R953">
        <f>IF(Metadata!F953="",FALSE,TRUE)</f>
        <v>0</v>
      </c>
      <c r="AS953">
        <f>OR(AND(IF(Metadata!G953="",FALSE,TRUE),OR(exact(Metadata!G953,"not collected"),exact(Metadata!G953,"not provided"))),AND(IF(Metadata!G953="",FALSE,TRUE),OR(exact(Metadata!G953,"TRUE"),exact(Metadata!G953,"FALSE"))))</f>
        <v>0</v>
      </c>
      <c r="AT953">
        <f>OR(AND(IF(Metadata!H953="",FALSE,TRUE),OR(exact(Metadata!H953,"not collected"),exact(Metadata!H953,"not provided"),exact(Metadata!H953,"restricted access"))),AND(IF(Metadata!H953="",FALSE,ISNUMBER(VALUE(Metadata!H953))),Metadata!H953&gt;=-413.0))</f>
        <v>0</v>
      </c>
      <c r="AU953">
        <f>AND(IF(Metadata!I953="",FALSE,TRUE),exact(Metadata!I953,"meters"))</f>
        <v>0</v>
      </c>
      <c r="AV953">
        <f>AND(IF(Metadata!J953="",FALSE,TRUE),OR(exact(Metadata!J953,"Host-associated"),exact(Metadata!J953,"Free-living")))</f>
        <v>0</v>
      </c>
      <c r="AW953">
        <f>AND(IF(Metadata!K953="",FALSE,TRUE),OR(exact(Metadata!K953,"Animal"),exact(Metadata!K953,"Fungus"),exact(Metadata!K953,"Plant"),exact(Metadata!K953,"Saline"),exact(Metadata!K953,"Non-saline")))</f>
        <v>0</v>
      </c>
      <c r="AX953">
        <f>AND(IF(Metadata!L953="",FALSE,TRUE),OR(exact(Metadata!L953,"Plant secretion"),exact(Metadata!L953,"Plant rhizosphere"),exact(Metadata!L953,"Plant surface"),exact(Metadata!L953,"Plant corpus"),exact(Metadata!L953,"Fungus surface"),exact(Metadata!L953,"Fungus corpus"),exact(Metadata!L953,"Animal surface"),exact(Metadata!L953,"Animal proximal gut"),exact(Metadata!L953,"Animal corpus"),exact(Metadata!L953,"Animal distal gut"),exact(Metadata!L953,"Animal secretion"),exact(Metadata!L953,"Sub-surface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Y953">
        <f>IF(Metadata!M953="",FALSE,TRUE)</f>
        <v>0</v>
      </c>
      <c r="AZ953">
        <f>IF(Metadata!N953="",FALSE,TRUE)</f>
        <v>0</v>
      </c>
      <c r="BA953">
        <f>IF(Metadata!O953="",FALSE,TRUE)</f>
        <v>0</v>
      </c>
      <c r="BB953">
        <f>OR(AND(IF(Metadata!P953="",FALSE,TRUE),OR(exact(Metadata!P953,"not collected"),exact(Metadata!P953,"not provided"),exact(Metadata!P953,"restricted access"))),AND(IF(Metadata!P953="",FALSE,TRUE),OR(exact(Metadata!P953,"air"),exact(Metadata!P953,"built environment"),exact(Metadata!P953,"host-associated"),exact(Metadata!P953,"human-associated"),exact(Metadata!P953,"human-skin"),exact(Metadata!P953,"human-oral"),exact(Metadata!P953,"human-gut"),exact(Metadata!P953,"human-vaginal"),exact(Metadata!P953,"microbial mat/biofilm"),exact(Metadata!P953,"misc environment"),exact(Metadata!P953,"plant-associated"),exact(Metadata!P953,"sediment"),exact(Metadata!P953,"soil"),exact(Metadata!P953,"wastewater/sludge"),exact(Metadata!P953,"water"))))</f>
        <v>0</v>
      </c>
      <c r="BC953">
        <f>IF(Metadata!Q953="",FALSE,TRUE)</f>
        <v>0</v>
      </c>
      <c r="BD953">
        <f>IF(Metadata!R953="",FALSE,TRUE)</f>
        <v>0</v>
      </c>
      <c r="BE953">
        <f>OR(AND(IF(Metadata!S953="",FALSE,TRUE),OR(exact(Metadata!S953,"not collected"),exact(Metadata!S953,"not provided"),exact(Metadata!S953,"restricted access"))),AND(IF(Metadata!S953="",FALSE,ISNUMBER(VALUE(Metadata!S953))),Metadata!S953&gt;=-90.00,Metadata!S953&lt;=90.00))</f>
        <v>0</v>
      </c>
      <c r="BF953">
        <f>AND(IF(Metadata!T953="",FALSE,TRUE),exact(Metadata!T953,"Decimal degrees"))</f>
        <v>0</v>
      </c>
      <c r="BG953">
        <f>OR(AND(IF(Metadata!U953="",FALSE,TRUE),OR(exact(Metadata!U953,"not collected"),exact(Metadata!U953,"not provided"),exact(Metadata!U953,"restricted access"))),AND(IF(Metadata!U953="",FALSE,ISNUMBER(VALUE(Metadata!U953))),Metadata!U953&gt;=-180.00,Metadata!U953&lt;=180.00))</f>
        <v>0</v>
      </c>
      <c r="BH953">
        <f>AND(IF(Metadata!V953="",FALSE,TRUE),exact(Metadata!V953,"Decimal degrees"))</f>
        <v>0</v>
      </c>
      <c r="BI953">
        <f>IF(Metadata!W953="",FALSE,TRUE)</f>
        <v>0</v>
      </c>
      <c r="BJ953">
        <f>OR(AND(IF(Metadata!X953="",FALSE,TRUE),OR(exact(Metadata!X953,"not collected"),exact(Metadata!X953,"not provided"),exact(Metadata!X953,"restricted access"))),AND(IF(Metadata!X953="",FALSE,TRUE),OR(exact(Metadata!X953,"TRUE"),exact(Metadata!X953,"FALSE"))))</f>
        <v>0</v>
      </c>
      <c r="BK953">
        <f>AND(IF(Metadata!Y953="",FALSE,TRUE),exact(Metadata!Y953,"other"))</f>
        <v>0</v>
      </c>
      <c r="BL953">
        <f>IF(Metadata!Z953="",FALSE,TRUE)</f>
        <v>0</v>
      </c>
      <c r="BM953">
        <f>OR(AND(IF(Metadata!AA953="",FALSE,TRUE),OR(exact(Metadata!AA953,"not collected"),exact(Metadata!AA953,"not provided"))),AND(IF(Metadata!AA953="",FALSE,IF(ISERROR(INT(Metadata!AA953)),FALSE,INT(Metadata!AA953)=Metadata!AA953)),Metadata!AA953&gt;0))</f>
        <v>0</v>
      </c>
      <c r="BN953">
        <f>AND(IF(Metadata!AB953="",FALSE,TRUE),exact(Metadata!AB953,"Not applicable"))</f>
        <v>0</v>
      </c>
      <c r="BO953">
        <f>IF(Metadata!AC953="",FALSE,TRUE)</f>
        <v>0</v>
      </c>
    </row>
    <row r="954" spans="1:67">
      <c r="A954" s="5">
        <f>IF(B954=" "," ",HYPERLINK(CONCATENATE("#metadata!",ADDRESS(INDEX($AI$2:$AI$1001,MATCH(ROWS($AG$2:AG954),$AG$2:$AG$1001,0),0),1)),INDEX($AL$2:$AL$1001,MATCH(ROWS($AG$2:AG954),$AG$2:$AG$1001,0),0)))</f>
        <v>0</v>
      </c>
      <c r="B954" s="4">
        <f>IF(OR(INDEX($AH$2:$AH$1001,MATCH(ROWS($AG$2:AG954),$AG$2:$AG$1001,0),1)&gt;=100000,INDEX($AN$1005:$BO$1005,1,MATCH(COLUMNS($AN$1006:AN1006),$AN$1006:$BO$1006,0))&gt;=100000), " ",IF(INDEX($AN$2:$BO$1001,MATCH(ROWS($AG$2:AG954),$AG$2:$AG$1001,0),MATCH(COLUMNS($AN$1006:AN1006),$AN$1006:$BO$1006,0)), HYPERLINK("#",""), HYPERLINK(CONCATENATE("#Metadata!", ADDRESS(INDEX($AI$2:$AI$1001,MATCH(ROWS($AG$2:AG954),$AG$2:$AG$1001,0),0), INDEX($AN$1004:$BO$1004,1,MATCH(COLUMNS($AN$1006:AN1006),$AN$1006:$BO$1006,0)))),"Fix")))</f>
        <v>0</v>
      </c>
      <c r="C954" s="4">
        <f>IF(OR(INDEX($AH$2:$AH$1001,MATCH(ROWS($AG$2:AG954),$AG$2:$AG$1001,0),1)&gt;=100000,INDEX($AN$1005:$BO$1005,1,MATCH(COLUMNS($AN$1006:AO1006),$AN$1006:$BO$1006,0))&gt;=100000), " ",IF(INDEX($AN$2:$BO$1001,MATCH(ROWS($AG$2:AG954),$AG$2:$AG$1001,0),MATCH(COLUMNS($AN$1006:AO1006),$AN$1006:$BO$1006,0)), HYPERLINK("#",""), HYPERLINK(CONCATENATE("#Metadata!", ADDRESS(INDEX($AI$2:$AI$1001,MATCH(ROWS($AG$2:AG954),$AG$2:$AG$1001,0),0), INDEX($AN$1004:$BO$1004,1,MATCH(COLUMNS($AN$1006:AO1006),$AN$1006:$BO$1006,0)))),"Fix")))</f>
        <v>0</v>
      </c>
      <c r="D954" s="4">
        <f>IF(OR(INDEX($AH$2:$AH$1001,MATCH(ROWS($AG$2:AG954),$AG$2:$AG$1001,0),1)&gt;=100000,INDEX($AN$1005:$BO$1005,1,MATCH(COLUMNS($AN$1006:AP1006),$AN$1006:$BO$1006,0))&gt;=100000), " ",IF(INDEX($AN$2:$BO$1001,MATCH(ROWS($AG$2:AG954),$AG$2:$AG$1001,0),MATCH(COLUMNS($AN$1006:AP1006),$AN$1006:$BO$1006,0)), HYPERLINK("#",""), HYPERLINK(CONCATENATE("#Metadata!", ADDRESS(INDEX($AI$2:$AI$1001,MATCH(ROWS($AG$2:AG954),$AG$2:$AG$1001,0),0), INDEX($AN$1004:$BO$1004,1,MATCH(COLUMNS($AN$1006:AP1006),$AN$1006:$BO$1006,0)))),"Fix")))</f>
        <v>0</v>
      </c>
      <c r="E954" s="4">
        <f>IF(OR(INDEX($AH$2:$AH$1001,MATCH(ROWS($AG$2:AG954),$AG$2:$AG$1001,0),1)&gt;=100000,INDEX($AN$1005:$BO$1005,1,MATCH(COLUMNS($AN$1006:AQ1006),$AN$1006:$BO$1006,0))&gt;=100000), " ",IF(INDEX($AN$2:$BO$1001,MATCH(ROWS($AG$2:AG954),$AG$2:$AG$1001,0),MATCH(COLUMNS($AN$1006:AQ1006),$AN$1006:$BO$1006,0)), HYPERLINK("#",""), HYPERLINK(CONCATENATE("#Metadata!", ADDRESS(INDEX($AI$2:$AI$1001,MATCH(ROWS($AG$2:AG954),$AG$2:$AG$1001,0),0), INDEX($AN$1004:$BO$1004,1,MATCH(COLUMNS($AN$1006:AQ1006),$AN$1006:$BO$1006,0)))),"Fix")))</f>
        <v>0</v>
      </c>
      <c r="F954" s="4">
        <f>IF(OR(INDEX($AH$2:$AH$1001,MATCH(ROWS($AG$2:AG954),$AG$2:$AG$1001,0),1)&gt;=100000,INDEX($AN$1005:$BO$1005,1,MATCH(COLUMNS($AN$1006:AR1006),$AN$1006:$BO$1006,0))&gt;=100000), " ",IF(INDEX($AN$2:$BO$1001,MATCH(ROWS($AG$2:AG954),$AG$2:$AG$1001,0),MATCH(COLUMNS($AN$1006:AR1006),$AN$1006:$BO$1006,0)), HYPERLINK("#",""), HYPERLINK(CONCATENATE("#Metadata!", ADDRESS(INDEX($AI$2:$AI$1001,MATCH(ROWS($AG$2:AG954),$AG$2:$AG$1001,0),0), INDEX($AN$1004:$BO$1004,1,MATCH(COLUMNS($AN$1006:AR1006),$AN$1006:$BO$1006,0)))),"Fix")))</f>
        <v>0</v>
      </c>
      <c r="G954" s="4">
        <f>IF(OR(INDEX($AH$2:$AH$1001,MATCH(ROWS($AG$2:AG954),$AG$2:$AG$1001,0),1)&gt;=100000,INDEX($AN$1005:$BO$1005,1,MATCH(COLUMNS($AN$1006:AS1006),$AN$1006:$BO$1006,0))&gt;=100000), " ",IF(INDEX($AN$2:$BO$1001,MATCH(ROWS($AG$2:AG954),$AG$2:$AG$1001,0),MATCH(COLUMNS($AN$1006:AS1006),$AN$1006:$BO$1006,0)), HYPERLINK("#",""), HYPERLINK(CONCATENATE("#Metadata!", ADDRESS(INDEX($AI$2:$AI$1001,MATCH(ROWS($AG$2:AG954),$AG$2:$AG$1001,0),0), INDEX($AN$1004:$BO$1004,1,MATCH(COLUMNS($AN$1006:AS1006),$AN$1006:$BO$1006,0)))),"Fix")))</f>
        <v>0</v>
      </c>
      <c r="H954" s="4">
        <f>IF(OR(INDEX($AH$2:$AH$1001,MATCH(ROWS($AG$2:AG954),$AG$2:$AG$1001,0),1)&gt;=100000,INDEX($AN$1005:$BO$1005,1,MATCH(COLUMNS($AN$1006:AT1006),$AN$1006:$BO$1006,0))&gt;=100000), " ",IF(INDEX($AN$2:$BO$1001,MATCH(ROWS($AG$2:AG954),$AG$2:$AG$1001,0),MATCH(COLUMNS($AN$1006:AT1006),$AN$1006:$BO$1006,0)), HYPERLINK("#",""), HYPERLINK(CONCATENATE("#Metadata!", ADDRESS(INDEX($AI$2:$AI$1001,MATCH(ROWS($AG$2:AG954),$AG$2:$AG$1001,0),0), INDEX($AN$1004:$BO$1004,1,MATCH(COLUMNS($AN$1006:AT1006),$AN$1006:$BO$1006,0)))),"Fix")))</f>
        <v>0</v>
      </c>
      <c r="I954" s="4">
        <f>IF(OR(INDEX($AH$2:$AH$1001,MATCH(ROWS($AG$2:AG954),$AG$2:$AG$1001,0),1)&gt;=100000,INDEX($AN$1005:$BO$1005,1,MATCH(COLUMNS($AN$1006:AU1006),$AN$1006:$BO$1006,0))&gt;=100000), " ",IF(INDEX($AN$2:$BO$1001,MATCH(ROWS($AG$2:AG954),$AG$2:$AG$1001,0),MATCH(COLUMNS($AN$1006:AU1006),$AN$1006:$BO$1006,0)), HYPERLINK("#",""), HYPERLINK(CONCATENATE("#Metadata!", ADDRESS(INDEX($AI$2:$AI$1001,MATCH(ROWS($AG$2:AG954),$AG$2:$AG$1001,0),0), INDEX($AN$1004:$BO$1004,1,MATCH(COLUMNS($AN$1006:AU1006),$AN$1006:$BO$1006,0)))),"Fix")))</f>
        <v>0</v>
      </c>
      <c r="J954" s="4">
        <f>IF(OR(INDEX($AH$2:$AH$1001,MATCH(ROWS($AG$2:AG954),$AG$2:$AG$1001,0),1)&gt;=100000,INDEX($AN$1005:$BO$1005,1,MATCH(COLUMNS($AN$1006:AV1006),$AN$1006:$BO$1006,0))&gt;=100000), " ",IF(INDEX($AN$2:$BO$1001,MATCH(ROWS($AG$2:AG954),$AG$2:$AG$1001,0),MATCH(COLUMNS($AN$1006:AV1006),$AN$1006:$BO$1006,0)), HYPERLINK("#",""), HYPERLINK(CONCATENATE("#Metadata!", ADDRESS(INDEX($AI$2:$AI$1001,MATCH(ROWS($AG$2:AG954),$AG$2:$AG$1001,0),0), INDEX($AN$1004:$BO$1004,1,MATCH(COLUMNS($AN$1006:AV1006),$AN$1006:$BO$1006,0)))),"Fix")))</f>
        <v>0</v>
      </c>
      <c r="K954" s="4">
        <f>IF(OR(INDEX($AH$2:$AH$1001,MATCH(ROWS($AG$2:AG954),$AG$2:$AG$1001,0),1)&gt;=100000,INDEX($AN$1005:$BO$1005,1,MATCH(COLUMNS($AN$1006:AW1006),$AN$1006:$BO$1006,0))&gt;=100000), " ",IF(INDEX($AN$2:$BO$1001,MATCH(ROWS($AG$2:AG954),$AG$2:$AG$1001,0),MATCH(COLUMNS($AN$1006:AW1006),$AN$1006:$BO$1006,0)), HYPERLINK("#",""), HYPERLINK(CONCATENATE("#Metadata!", ADDRESS(INDEX($AI$2:$AI$1001,MATCH(ROWS($AG$2:AG954),$AG$2:$AG$1001,0),0), INDEX($AN$1004:$BO$1004,1,MATCH(COLUMNS($AN$1006:AW1006),$AN$1006:$BO$1006,0)))),"Fix")))</f>
        <v>0</v>
      </c>
      <c r="L954" s="4">
        <f>IF(OR(INDEX($AH$2:$AH$1001,MATCH(ROWS($AG$2:AG954),$AG$2:$AG$1001,0),1)&gt;=100000,INDEX($AN$1005:$BO$1005,1,MATCH(COLUMNS($AN$1006:AX1006),$AN$1006:$BO$1006,0))&gt;=100000), " ",IF(INDEX($AN$2:$BO$1001,MATCH(ROWS($AG$2:AG954),$AG$2:$AG$1001,0),MATCH(COLUMNS($AN$1006:AX1006),$AN$1006:$BO$1006,0)), HYPERLINK("#",""), HYPERLINK(CONCATENATE("#Metadata!", ADDRESS(INDEX($AI$2:$AI$1001,MATCH(ROWS($AG$2:AG954),$AG$2:$AG$1001,0),0), INDEX($AN$1004:$BO$1004,1,MATCH(COLUMNS($AN$1006:AX1006),$AN$1006:$BO$1006,0)))),"Fix")))</f>
        <v>0</v>
      </c>
      <c r="M954" s="4">
        <f>IF(OR(INDEX($AH$2:$AH$1001,MATCH(ROWS($AG$2:AG954),$AG$2:$AG$1001,0),1)&gt;=100000,INDEX($AN$1005:$BO$1005,1,MATCH(COLUMNS($AN$1006:AY1006),$AN$1006:$BO$1006,0))&gt;=100000), " ",IF(INDEX($AN$2:$BO$1001,MATCH(ROWS($AG$2:AG954),$AG$2:$AG$1001,0),MATCH(COLUMNS($AN$1006:AY1006),$AN$1006:$BO$1006,0)), HYPERLINK("#",""), HYPERLINK(CONCATENATE("#Metadata!", ADDRESS(INDEX($AI$2:$AI$1001,MATCH(ROWS($AG$2:AG954),$AG$2:$AG$1001,0),0), INDEX($AN$1004:$BO$1004,1,MATCH(COLUMNS($AN$1006:AY1006),$AN$1006:$BO$1006,0)))),"Fix")))</f>
        <v>0</v>
      </c>
      <c r="N954" s="4">
        <f>IF(OR(INDEX($AH$2:$AH$1001,MATCH(ROWS($AG$2:AG954),$AG$2:$AG$1001,0),1)&gt;=100000,INDEX($AN$1005:$BO$1005,1,MATCH(COLUMNS($AN$1006:AZ1006),$AN$1006:$BO$1006,0))&gt;=100000), " ",IF(INDEX($AN$2:$BO$1001,MATCH(ROWS($AG$2:AG954),$AG$2:$AG$1001,0),MATCH(COLUMNS($AN$1006:AZ1006),$AN$1006:$BO$1006,0)), HYPERLINK("#",""), HYPERLINK(CONCATENATE("#Metadata!", ADDRESS(INDEX($AI$2:$AI$1001,MATCH(ROWS($AG$2:AG954),$AG$2:$AG$1001,0),0), INDEX($AN$1004:$BO$1004,1,MATCH(COLUMNS($AN$1006:AZ1006),$AN$1006:$BO$1006,0)))),"Fix")))</f>
        <v>0</v>
      </c>
      <c r="O954" s="4">
        <f>IF(OR(INDEX($AH$2:$AH$1001,MATCH(ROWS($AG$2:AG954),$AG$2:$AG$1001,0),1)&gt;=100000,INDEX($AN$1005:$BO$1005,1,MATCH(COLUMNS($AN$1006:BA1006),$AN$1006:$BO$1006,0))&gt;=100000), " ",IF(INDEX($AN$2:$BO$1001,MATCH(ROWS($AG$2:AG954),$AG$2:$AG$1001,0),MATCH(COLUMNS($AN$1006:BA1006),$AN$1006:$BO$1006,0)), HYPERLINK("#",""), HYPERLINK(CONCATENATE("#Metadata!", ADDRESS(INDEX($AI$2:$AI$1001,MATCH(ROWS($AG$2:AG954),$AG$2:$AG$1001,0),0), INDEX($AN$1004:$BO$1004,1,MATCH(COLUMNS($AN$1006:BA1006),$AN$1006:$BO$1006,0)))),"Fix")))</f>
        <v>0</v>
      </c>
      <c r="P954" s="4">
        <f>IF(OR(INDEX($AH$2:$AH$1001,MATCH(ROWS($AG$2:AG954),$AG$2:$AG$1001,0),1)&gt;=100000,INDEX($AN$1005:$BO$1005,1,MATCH(COLUMNS($AN$1006:BB1006),$AN$1006:$BO$1006,0))&gt;=100000), " ",IF(INDEX($AN$2:$BO$1001,MATCH(ROWS($AG$2:AG954),$AG$2:$AG$1001,0),MATCH(COLUMNS($AN$1006:BB1006),$AN$1006:$BO$1006,0)), HYPERLINK("#",""), HYPERLINK(CONCATENATE("#Metadata!", ADDRESS(INDEX($AI$2:$AI$1001,MATCH(ROWS($AG$2:AG954),$AG$2:$AG$1001,0),0), INDEX($AN$1004:$BO$1004,1,MATCH(COLUMNS($AN$1006:BB1006),$AN$1006:$BO$1006,0)))),"Fix")))</f>
        <v>0</v>
      </c>
      <c r="Q954" s="4">
        <f>IF(OR(INDEX($AH$2:$AH$1001,MATCH(ROWS($AG$2:AG954),$AG$2:$AG$1001,0),1)&gt;=100000,INDEX($AN$1005:$BO$1005,1,MATCH(COLUMNS($AN$1006:BC1006),$AN$1006:$BO$1006,0))&gt;=100000), " ",IF(INDEX($AN$2:$BO$1001,MATCH(ROWS($AG$2:AG954),$AG$2:$AG$1001,0),MATCH(COLUMNS($AN$1006:BC1006),$AN$1006:$BO$1006,0)), HYPERLINK("#",""), HYPERLINK(CONCATENATE("#Metadata!", ADDRESS(INDEX($AI$2:$AI$1001,MATCH(ROWS($AG$2:AG954),$AG$2:$AG$1001,0),0), INDEX($AN$1004:$BO$1004,1,MATCH(COLUMNS($AN$1006:BC1006),$AN$1006:$BO$1006,0)))),"Fix")))</f>
        <v>0</v>
      </c>
      <c r="R954" s="4">
        <f>IF(OR(INDEX($AH$2:$AH$1001,MATCH(ROWS($AG$2:AG954),$AG$2:$AG$1001,0),1)&gt;=100000,INDEX($AN$1005:$BO$1005,1,MATCH(COLUMNS($AN$1006:BD1006),$AN$1006:$BO$1006,0))&gt;=100000), " ",IF(INDEX($AN$2:$BO$1001,MATCH(ROWS($AG$2:AG954),$AG$2:$AG$1001,0),MATCH(COLUMNS($AN$1006:BD1006),$AN$1006:$BO$1006,0)), HYPERLINK("#",""), HYPERLINK(CONCATENATE("#Metadata!", ADDRESS(INDEX($AI$2:$AI$1001,MATCH(ROWS($AG$2:AG954),$AG$2:$AG$1001,0),0), INDEX($AN$1004:$BO$1004,1,MATCH(COLUMNS($AN$1006:BD1006),$AN$1006:$BO$1006,0)))),"Fix")))</f>
        <v>0</v>
      </c>
      <c r="S954" s="4">
        <f>IF(OR(INDEX($AH$2:$AH$1001,MATCH(ROWS($AG$2:AG954),$AG$2:$AG$1001,0),1)&gt;=100000,INDEX($AN$1005:$BO$1005,1,MATCH(COLUMNS($AN$1006:BE1006),$AN$1006:$BO$1006,0))&gt;=100000), " ",IF(INDEX($AN$2:$BO$1001,MATCH(ROWS($AG$2:AG954),$AG$2:$AG$1001,0),MATCH(COLUMNS($AN$1006:BE1006),$AN$1006:$BO$1006,0)), HYPERLINK("#",""), HYPERLINK(CONCATENATE("#Metadata!", ADDRESS(INDEX($AI$2:$AI$1001,MATCH(ROWS($AG$2:AG954),$AG$2:$AG$1001,0),0), INDEX($AN$1004:$BO$1004,1,MATCH(COLUMNS($AN$1006:BE1006),$AN$1006:$BO$1006,0)))),"Fix")))</f>
        <v>0</v>
      </c>
      <c r="T954" s="4">
        <f>IF(OR(INDEX($AH$2:$AH$1001,MATCH(ROWS($AG$2:AG954),$AG$2:$AG$1001,0),1)&gt;=100000,INDEX($AN$1005:$BO$1005,1,MATCH(COLUMNS($AN$1006:BF1006),$AN$1006:$BO$1006,0))&gt;=100000), " ",IF(INDEX($AN$2:$BO$1001,MATCH(ROWS($AG$2:AG954),$AG$2:$AG$1001,0),MATCH(COLUMNS($AN$1006:BF1006),$AN$1006:$BO$1006,0)), HYPERLINK("#",""), HYPERLINK(CONCATENATE("#Metadata!", ADDRESS(INDEX($AI$2:$AI$1001,MATCH(ROWS($AG$2:AG954),$AG$2:$AG$1001,0),0), INDEX($AN$1004:$BO$1004,1,MATCH(COLUMNS($AN$1006:BF1006),$AN$1006:$BO$1006,0)))),"Fix")))</f>
        <v>0</v>
      </c>
      <c r="U954" s="4">
        <f>IF(OR(INDEX($AH$2:$AH$1001,MATCH(ROWS($AG$2:AG954),$AG$2:$AG$1001,0),1)&gt;=100000,INDEX($AN$1005:$BO$1005,1,MATCH(COLUMNS($AN$1006:BG1006),$AN$1006:$BO$1006,0))&gt;=100000), " ",IF(INDEX($AN$2:$BO$1001,MATCH(ROWS($AG$2:AG954),$AG$2:$AG$1001,0),MATCH(COLUMNS($AN$1006:BG1006),$AN$1006:$BO$1006,0)), HYPERLINK("#",""), HYPERLINK(CONCATENATE("#Metadata!", ADDRESS(INDEX($AI$2:$AI$1001,MATCH(ROWS($AG$2:AG954),$AG$2:$AG$1001,0),0), INDEX($AN$1004:$BO$1004,1,MATCH(COLUMNS($AN$1006:BG1006),$AN$1006:$BO$1006,0)))),"Fix")))</f>
        <v>0</v>
      </c>
      <c r="V954" s="4">
        <f>IF(OR(INDEX($AH$2:$AH$1001,MATCH(ROWS($AG$2:AG954),$AG$2:$AG$1001,0),1)&gt;=100000,INDEX($AN$1005:$BO$1005,1,MATCH(COLUMNS($AN$1006:BH1006),$AN$1006:$BO$1006,0))&gt;=100000), " ",IF(INDEX($AN$2:$BO$1001,MATCH(ROWS($AG$2:AG954),$AG$2:$AG$1001,0),MATCH(COLUMNS($AN$1006:BH1006),$AN$1006:$BO$1006,0)), HYPERLINK("#",""), HYPERLINK(CONCATENATE("#Metadata!", ADDRESS(INDEX($AI$2:$AI$1001,MATCH(ROWS($AG$2:AG954),$AG$2:$AG$1001,0),0), INDEX($AN$1004:$BO$1004,1,MATCH(COLUMNS($AN$1006:BH1006),$AN$1006:$BO$1006,0)))),"Fix")))</f>
        <v>0</v>
      </c>
      <c r="W954" s="4">
        <f>IF(OR(INDEX($AH$2:$AH$1001,MATCH(ROWS($AG$2:AG954),$AG$2:$AG$1001,0),1)&gt;=100000,INDEX($AN$1005:$BO$1005,1,MATCH(COLUMNS($AN$1006:BI1006),$AN$1006:$BO$1006,0))&gt;=100000), " ",IF(INDEX($AN$2:$BO$1001,MATCH(ROWS($AG$2:AG954),$AG$2:$AG$1001,0),MATCH(COLUMNS($AN$1006:BI1006),$AN$1006:$BO$1006,0)), HYPERLINK("#",""), HYPERLINK(CONCATENATE("#Metadata!", ADDRESS(INDEX($AI$2:$AI$1001,MATCH(ROWS($AG$2:AG954),$AG$2:$AG$1001,0),0), INDEX($AN$1004:$BO$1004,1,MATCH(COLUMNS($AN$1006:BI1006),$AN$1006:$BO$1006,0)))),"Fix")))</f>
        <v>0</v>
      </c>
      <c r="X954" s="4">
        <f>IF(OR(INDEX($AH$2:$AH$1001,MATCH(ROWS($AG$2:AG954),$AG$2:$AG$1001,0),1)&gt;=100000,INDEX($AN$1005:$BO$1005,1,MATCH(COLUMNS($AN$1006:BJ1006),$AN$1006:$BO$1006,0))&gt;=100000), " ",IF(INDEX($AN$2:$BO$1001,MATCH(ROWS($AG$2:AG954),$AG$2:$AG$1001,0),MATCH(COLUMNS($AN$1006:BJ1006),$AN$1006:$BO$1006,0)), HYPERLINK("#",""), HYPERLINK(CONCATENATE("#Metadata!", ADDRESS(INDEX($AI$2:$AI$1001,MATCH(ROWS($AG$2:AG954),$AG$2:$AG$1001,0),0), INDEX($AN$1004:$BO$1004,1,MATCH(COLUMNS($AN$1006:BJ1006),$AN$1006:$BO$1006,0)))),"Fix")))</f>
        <v>0</v>
      </c>
      <c r="Y954" s="4">
        <f>IF(OR(INDEX($AH$2:$AH$1001,MATCH(ROWS($AG$2:AG954),$AG$2:$AG$1001,0),1)&gt;=100000,INDEX($AN$1005:$BO$1005,1,MATCH(COLUMNS($AN$1006:BK1006),$AN$1006:$BO$1006,0))&gt;=100000), " ",IF(INDEX($AN$2:$BO$1001,MATCH(ROWS($AG$2:AG954),$AG$2:$AG$1001,0),MATCH(COLUMNS($AN$1006:BK1006),$AN$1006:$BO$1006,0)), HYPERLINK("#",""), HYPERLINK(CONCATENATE("#Metadata!", ADDRESS(INDEX($AI$2:$AI$1001,MATCH(ROWS($AG$2:AG954),$AG$2:$AG$1001,0),0), INDEX($AN$1004:$BO$1004,1,MATCH(COLUMNS($AN$1006:BK1006),$AN$1006:$BO$1006,0)))),"Fix")))</f>
        <v>0</v>
      </c>
      <c r="Z954" s="4">
        <f>IF(OR(INDEX($AH$2:$AH$1001,MATCH(ROWS($AG$2:AG954),$AG$2:$AG$1001,0),1)&gt;=100000,INDEX($AN$1005:$BO$1005,1,MATCH(COLUMNS($AN$1006:BL1006),$AN$1006:$BO$1006,0))&gt;=100000), " ",IF(INDEX($AN$2:$BO$1001,MATCH(ROWS($AG$2:AG954),$AG$2:$AG$1001,0),MATCH(COLUMNS($AN$1006:BL1006),$AN$1006:$BO$1006,0)), HYPERLINK("#",""), HYPERLINK(CONCATENATE("#Metadata!", ADDRESS(INDEX($AI$2:$AI$1001,MATCH(ROWS($AG$2:AG954),$AG$2:$AG$1001,0),0), INDEX($AN$1004:$BO$1004,1,MATCH(COLUMNS($AN$1006:BL1006),$AN$1006:$BO$1006,0)))),"Fix")))</f>
        <v>0</v>
      </c>
      <c r="AA954" s="4">
        <f>IF(OR(INDEX($AH$2:$AH$1001,MATCH(ROWS($AG$2:AG954),$AG$2:$AG$1001,0),1)&gt;=100000,INDEX($AN$1005:$BO$1005,1,MATCH(COLUMNS($AN$1006:BM1006),$AN$1006:$BO$1006,0))&gt;=100000), " ",IF(INDEX($AN$2:$BO$1001,MATCH(ROWS($AG$2:AG954),$AG$2:$AG$1001,0),MATCH(COLUMNS($AN$1006:BM1006),$AN$1006:$BO$1006,0)), HYPERLINK("#",""), HYPERLINK(CONCATENATE("#Metadata!", ADDRESS(INDEX($AI$2:$AI$1001,MATCH(ROWS($AG$2:AG954),$AG$2:$AG$1001,0),0), INDEX($AN$1004:$BO$1004,1,MATCH(COLUMNS($AN$1006:BM1006),$AN$1006:$BO$1006,0)))),"Fix")))</f>
        <v>0</v>
      </c>
      <c r="AB954" s="4">
        <f>IF(OR(INDEX($AH$2:$AH$1001,MATCH(ROWS($AG$2:AG954),$AG$2:$AG$1001,0),1)&gt;=100000,INDEX($AN$1005:$BO$1005,1,MATCH(COLUMNS($AN$1006:BN1006),$AN$1006:$BO$1006,0))&gt;=100000), " ",IF(INDEX($AN$2:$BO$1001,MATCH(ROWS($AG$2:AG954),$AG$2:$AG$1001,0),MATCH(COLUMNS($AN$1006:BN1006),$AN$1006:$BO$1006,0)), HYPERLINK("#",""), HYPERLINK(CONCATENATE("#Metadata!", ADDRESS(INDEX($AI$2:$AI$1001,MATCH(ROWS($AG$2:AG954),$AG$2:$AG$1001,0),0), INDEX($AN$1004:$BO$1004,1,MATCH(COLUMNS($AN$1006:BN1006),$AN$1006:$BO$1006,0)))),"Fix")))</f>
        <v>0</v>
      </c>
      <c r="AC954" s="4">
        <f>IF(OR(INDEX($AH$2:$AH$1001,MATCH(ROWS($AG$2:AG954),$AG$2:$AG$1001,0),1)&gt;=100000,INDEX($AN$1005:$BO$1005,1,MATCH(COLUMNS($AN$1006:BO1006),$AN$1006:$BO$1006,0))&gt;=100000), " ",IF(INDEX($AN$2:$BO$1001,MATCH(ROWS($AG$2:AG954),$AG$2:$AG$1001,0),MATCH(COLUMNS($AN$1006:BO1006),$AN$1006:$BO$1006,0)), HYPERLINK("#",""), HYPERLINK(CONCATENATE("#Metadata!", ADDRESS(INDEX($AI$2:$AI$1001,MATCH(ROWS($AG$2:AG954),$AG$2:$AG$1001,0),0), INDEX($AN$1004:$BO$1004,1,MATCH(COLUMNS($AN$1006:BO1006),$AN$1006:$BO$1006,0)))),"Fix")))</f>
        <v>0</v>
      </c>
      <c r="AG954">
        <v>0</v>
      </c>
      <c r="AH954">
        <v>0</v>
      </c>
      <c r="AI954">
        <v>0</v>
      </c>
      <c r="AJ954">
        <f>IF(AK954,TRUE,AND(AN954:BO954))</f>
        <v>0</v>
      </c>
      <c r="AK954">
        <f>COUNTBLANK(Metadata!B954:AC954)=COLUMNS(Metadata!B954:AC954)</f>
        <v>0</v>
      </c>
      <c r="AL954">
        <v>0</v>
      </c>
      <c r="AN954">
        <f>AND(IF(Metadata!B954="",FALSE,TRUE),COUNTIF(Metadata!B:B, Metadata!B954) = 1,NOT(ISERROR(SUMPRODUCT(SEARCH(MID(Metadata!B954,ROW(INDIRECT("1:"&amp;LEN(Metadata!B954))), 1),"0123456789abcdefghijklmnopqrstuvwxyzABCDEFGHIJKLMNOPQRSTUVWXYZ.")))))</f>
        <v>0</v>
      </c>
      <c r="AO954">
        <f>IF(Metadata!C954="",FALSE,TRUE)</f>
        <v>0</v>
      </c>
      <c r="AP954">
        <f>IF(Metadata!D954="",FALSE,TRUE)</f>
        <v>0</v>
      </c>
      <c r="AQ954">
        <f>OR(AND(IF(Metadata!E954="",FALSE,TRUE),OR(exact(Metadata!E954,"not collected"),exact(Metadata!E954,"not provided"),exact(Metadata!E954,"restricted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R954">
        <f>IF(Metadata!F954="",FALSE,TRUE)</f>
        <v>0</v>
      </c>
      <c r="AS954">
        <f>OR(AND(IF(Metadata!G954="",FALSE,TRUE),OR(exact(Metadata!G954,"not collected"),exact(Metadata!G954,"not provided"))),AND(IF(Metadata!G954="",FALSE,TRUE),OR(exact(Metadata!G954,"TRUE"),exact(Metadata!G954,"FALSE"))))</f>
        <v>0</v>
      </c>
      <c r="AT954">
        <f>OR(AND(IF(Metadata!H954="",FALSE,TRUE),OR(exact(Metadata!H954,"not collected"),exact(Metadata!H954,"not provided"),exact(Metadata!H954,"restricted access"))),AND(IF(Metadata!H954="",FALSE,ISNUMBER(VALUE(Metadata!H954))),Metadata!H954&gt;=-413.0))</f>
        <v>0</v>
      </c>
      <c r="AU954">
        <f>AND(IF(Metadata!I954="",FALSE,TRUE),exact(Metadata!I954,"meters"))</f>
        <v>0</v>
      </c>
      <c r="AV954">
        <f>AND(IF(Metadata!J954="",FALSE,TRUE),OR(exact(Metadata!J954,"Host-associated"),exact(Metadata!J954,"Free-living")))</f>
        <v>0</v>
      </c>
      <c r="AW954">
        <f>AND(IF(Metadata!K954="",FALSE,TRUE),OR(exact(Metadata!K954,"Animal"),exact(Metadata!K954,"Fungus"),exact(Metadata!K954,"Plant"),exact(Metadata!K954,"Saline"),exact(Metadata!K954,"Non-saline")))</f>
        <v>0</v>
      </c>
      <c r="AX954">
        <f>AND(IF(Metadata!L954="",FALSE,TRUE),OR(exact(Metadata!L954,"Plant secretion"),exact(Metadata!L954,"Plant rhizosphere"),exact(Metadata!L954,"Plant surface"),exact(Metadata!L954,"Plant corpus"),exact(Metadata!L954,"Fungus surface"),exact(Metadata!L954,"Fungus corpus"),exact(Metadata!L954,"Animal surface"),exact(Metadata!L954,"Animal proximal gut"),exact(Metadata!L954,"Animal corpus"),exact(Metadata!L954,"Animal distal gut"),exact(Metadata!L954,"Animal secretion"),exact(Metadata!L954,"Sub-surface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Y954">
        <f>IF(Metadata!M954="",FALSE,TRUE)</f>
        <v>0</v>
      </c>
      <c r="AZ954">
        <f>IF(Metadata!N954="",FALSE,TRUE)</f>
        <v>0</v>
      </c>
      <c r="BA954">
        <f>IF(Metadata!O954="",FALSE,TRUE)</f>
        <v>0</v>
      </c>
      <c r="BB954">
        <f>OR(AND(IF(Metadata!P954="",FALSE,TRUE),OR(exact(Metadata!P954,"not collected"),exact(Metadata!P954,"not provided"),exact(Metadata!P954,"restricted access"))),AND(IF(Metadata!P954="",FALSE,TRUE),OR(exact(Metadata!P954,"air"),exact(Metadata!P954,"built environment"),exact(Metadata!P954,"host-associated"),exact(Metadata!P954,"human-associated"),exact(Metadata!P954,"human-skin"),exact(Metadata!P954,"human-oral"),exact(Metadata!P954,"human-gut"),exact(Metadata!P954,"human-vaginal"),exact(Metadata!P954,"microbial mat/biofilm"),exact(Metadata!P954,"misc environment"),exact(Metadata!P954,"plant-associated"),exact(Metadata!P954,"sediment"),exact(Metadata!P954,"soil"),exact(Metadata!P954,"wastewater/sludge"),exact(Metadata!P954,"water"))))</f>
        <v>0</v>
      </c>
      <c r="BC954">
        <f>IF(Metadata!Q954="",FALSE,TRUE)</f>
        <v>0</v>
      </c>
      <c r="BD954">
        <f>IF(Metadata!R954="",FALSE,TRUE)</f>
        <v>0</v>
      </c>
      <c r="BE954">
        <f>OR(AND(IF(Metadata!S954="",FALSE,TRUE),OR(exact(Metadata!S954,"not collected"),exact(Metadata!S954,"not provided"),exact(Metadata!S954,"restricted access"))),AND(IF(Metadata!S954="",FALSE,ISNUMBER(VALUE(Metadata!S954))),Metadata!S954&gt;=-90.00,Metadata!S954&lt;=90.00))</f>
        <v>0</v>
      </c>
      <c r="BF954">
        <f>AND(IF(Metadata!T954="",FALSE,TRUE),exact(Metadata!T954,"Decimal degrees"))</f>
        <v>0</v>
      </c>
      <c r="BG954">
        <f>OR(AND(IF(Metadata!U954="",FALSE,TRUE),OR(exact(Metadata!U954,"not collected"),exact(Metadata!U954,"not provided"),exact(Metadata!U954,"restricted access"))),AND(IF(Metadata!U954="",FALSE,ISNUMBER(VALUE(Metadata!U954))),Metadata!U954&gt;=-180.00,Metadata!U954&lt;=180.00))</f>
        <v>0</v>
      </c>
      <c r="BH954">
        <f>AND(IF(Metadata!V954="",FALSE,TRUE),exact(Metadata!V954,"Decimal degrees"))</f>
        <v>0</v>
      </c>
      <c r="BI954">
        <f>IF(Metadata!W954="",FALSE,TRUE)</f>
        <v>0</v>
      </c>
      <c r="BJ954">
        <f>OR(AND(IF(Metadata!X954="",FALSE,TRUE),OR(exact(Metadata!X954,"not collected"),exact(Metadata!X954,"not provided"),exact(Metadata!X954,"restricted access"))),AND(IF(Metadata!X954="",FALSE,TRUE),OR(exact(Metadata!X954,"TRUE"),exact(Metadata!X954,"FALSE"))))</f>
        <v>0</v>
      </c>
      <c r="BK954">
        <f>AND(IF(Metadata!Y954="",FALSE,TRUE),exact(Metadata!Y954,"other"))</f>
        <v>0</v>
      </c>
      <c r="BL954">
        <f>IF(Metadata!Z954="",FALSE,TRUE)</f>
        <v>0</v>
      </c>
      <c r="BM954">
        <f>OR(AND(IF(Metadata!AA954="",FALSE,TRUE),OR(exact(Metadata!AA954,"not collected"),exact(Metadata!AA954,"not provided"))),AND(IF(Metadata!AA954="",FALSE,IF(ISERROR(INT(Metadata!AA954)),FALSE,INT(Metadata!AA954)=Metadata!AA954)),Metadata!AA954&gt;0))</f>
        <v>0</v>
      </c>
      <c r="BN954">
        <f>AND(IF(Metadata!AB954="",FALSE,TRUE),exact(Metadata!AB954,"Not applicable"))</f>
        <v>0</v>
      </c>
      <c r="BO954">
        <f>IF(Metadata!AC954="",FALSE,TRUE)</f>
        <v>0</v>
      </c>
    </row>
    <row r="955" spans="1:67">
      <c r="A955" s="5">
        <f>IF(B955=" "," ",HYPERLINK(CONCATENATE("#metadata!",ADDRESS(INDEX($AI$2:$AI$1001,MATCH(ROWS($AG$2:AG955),$AG$2:$AG$1001,0),0),1)),INDEX($AL$2:$AL$1001,MATCH(ROWS($AG$2:AG955),$AG$2:$AG$1001,0),0)))</f>
        <v>0</v>
      </c>
      <c r="B955" s="4">
        <f>IF(OR(INDEX($AH$2:$AH$1001,MATCH(ROWS($AG$2:AG955),$AG$2:$AG$1001,0),1)&gt;=100000,INDEX($AN$1005:$BO$1005,1,MATCH(COLUMNS($AN$1006:AN1006),$AN$1006:$BO$1006,0))&gt;=100000), " ",IF(INDEX($AN$2:$BO$1001,MATCH(ROWS($AG$2:AG955),$AG$2:$AG$1001,0),MATCH(COLUMNS($AN$1006:AN1006),$AN$1006:$BO$1006,0)), HYPERLINK("#",""), HYPERLINK(CONCATENATE("#Metadata!", ADDRESS(INDEX($AI$2:$AI$1001,MATCH(ROWS($AG$2:AG955),$AG$2:$AG$1001,0),0), INDEX($AN$1004:$BO$1004,1,MATCH(COLUMNS($AN$1006:AN1006),$AN$1006:$BO$1006,0)))),"Fix")))</f>
        <v>0</v>
      </c>
      <c r="C955" s="4">
        <f>IF(OR(INDEX($AH$2:$AH$1001,MATCH(ROWS($AG$2:AG955),$AG$2:$AG$1001,0),1)&gt;=100000,INDEX($AN$1005:$BO$1005,1,MATCH(COLUMNS($AN$1006:AO1006),$AN$1006:$BO$1006,0))&gt;=100000), " ",IF(INDEX($AN$2:$BO$1001,MATCH(ROWS($AG$2:AG955),$AG$2:$AG$1001,0),MATCH(COLUMNS($AN$1006:AO1006),$AN$1006:$BO$1006,0)), HYPERLINK("#",""), HYPERLINK(CONCATENATE("#Metadata!", ADDRESS(INDEX($AI$2:$AI$1001,MATCH(ROWS($AG$2:AG955),$AG$2:$AG$1001,0),0), INDEX($AN$1004:$BO$1004,1,MATCH(COLUMNS($AN$1006:AO1006),$AN$1006:$BO$1006,0)))),"Fix")))</f>
        <v>0</v>
      </c>
      <c r="D955" s="4">
        <f>IF(OR(INDEX($AH$2:$AH$1001,MATCH(ROWS($AG$2:AG955),$AG$2:$AG$1001,0),1)&gt;=100000,INDEX($AN$1005:$BO$1005,1,MATCH(COLUMNS($AN$1006:AP1006),$AN$1006:$BO$1006,0))&gt;=100000), " ",IF(INDEX($AN$2:$BO$1001,MATCH(ROWS($AG$2:AG955),$AG$2:$AG$1001,0),MATCH(COLUMNS($AN$1006:AP1006),$AN$1006:$BO$1006,0)), HYPERLINK("#",""), HYPERLINK(CONCATENATE("#Metadata!", ADDRESS(INDEX($AI$2:$AI$1001,MATCH(ROWS($AG$2:AG955),$AG$2:$AG$1001,0),0), INDEX($AN$1004:$BO$1004,1,MATCH(COLUMNS($AN$1006:AP1006),$AN$1006:$BO$1006,0)))),"Fix")))</f>
        <v>0</v>
      </c>
      <c r="E955" s="4">
        <f>IF(OR(INDEX($AH$2:$AH$1001,MATCH(ROWS($AG$2:AG955),$AG$2:$AG$1001,0),1)&gt;=100000,INDEX($AN$1005:$BO$1005,1,MATCH(COLUMNS($AN$1006:AQ1006),$AN$1006:$BO$1006,0))&gt;=100000), " ",IF(INDEX($AN$2:$BO$1001,MATCH(ROWS($AG$2:AG955),$AG$2:$AG$1001,0),MATCH(COLUMNS($AN$1006:AQ1006),$AN$1006:$BO$1006,0)), HYPERLINK("#",""), HYPERLINK(CONCATENATE("#Metadata!", ADDRESS(INDEX($AI$2:$AI$1001,MATCH(ROWS($AG$2:AG955),$AG$2:$AG$1001,0),0), INDEX($AN$1004:$BO$1004,1,MATCH(COLUMNS($AN$1006:AQ1006),$AN$1006:$BO$1006,0)))),"Fix")))</f>
        <v>0</v>
      </c>
      <c r="F955" s="4">
        <f>IF(OR(INDEX($AH$2:$AH$1001,MATCH(ROWS($AG$2:AG955),$AG$2:$AG$1001,0),1)&gt;=100000,INDEX($AN$1005:$BO$1005,1,MATCH(COLUMNS($AN$1006:AR1006),$AN$1006:$BO$1006,0))&gt;=100000), " ",IF(INDEX($AN$2:$BO$1001,MATCH(ROWS($AG$2:AG955),$AG$2:$AG$1001,0),MATCH(COLUMNS($AN$1006:AR1006),$AN$1006:$BO$1006,0)), HYPERLINK("#",""), HYPERLINK(CONCATENATE("#Metadata!", ADDRESS(INDEX($AI$2:$AI$1001,MATCH(ROWS($AG$2:AG955),$AG$2:$AG$1001,0),0), INDEX($AN$1004:$BO$1004,1,MATCH(COLUMNS($AN$1006:AR1006),$AN$1006:$BO$1006,0)))),"Fix")))</f>
        <v>0</v>
      </c>
      <c r="G955" s="4">
        <f>IF(OR(INDEX($AH$2:$AH$1001,MATCH(ROWS($AG$2:AG955),$AG$2:$AG$1001,0),1)&gt;=100000,INDEX($AN$1005:$BO$1005,1,MATCH(COLUMNS($AN$1006:AS1006),$AN$1006:$BO$1006,0))&gt;=100000), " ",IF(INDEX($AN$2:$BO$1001,MATCH(ROWS($AG$2:AG955),$AG$2:$AG$1001,0),MATCH(COLUMNS($AN$1006:AS1006),$AN$1006:$BO$1006,0)), HYPERLINK("#",""), HYPERLINK(CONCATENATE("#Metadata!", ADDRESS(INDEX($AI$2:$AI$1001,MATCH(ROWS($AG$2:AG955),$AG$2:$AG$1001,0),0), INDEX($AN$1004:$BO$1004,1,MATCH(COLUMNS($AN$1006:AS1006),$AN$1006:$BO$1006,0)))),"Fix")))</f>
        <v>0</v>
      </c>
      <c r="H955" s="4">
        <f>IF(OR(INDEX($AH$2:$AH$1001,MATCH(ROWS($AG$2:AG955),$AG$2:$AG$1001,0),1)&gt;=100000,INDEX($AN$1005:$BO$1005,1,MATCH(COLUMNS($AN$1006:AT1006),$AN$1006:$BO$1006,0))&gt;=100000), " ",IF(INDEX($AN$2:$BO$1001,MATCH(ROWS($AG$2:AG955),$AG$2:$AG$1001,0),MATCH(COLUMNS($AN$1006:AT1006),$AN$1006:$BO$1006,0)), HYPERLINK("#",""), HYPERLINK(CONCATENATE("#Metadata!", ADDRESS(INDEX($AI$2:$AI$1001,MATCH(ROWS($AG$2:AG955),$AG$2:$AG$1001,0),0), INDEX($AN$1004:$BO$1004,1,MATCH(COLUMNS($AN$1006:AT1006),$AN$1006:$BO$1006,0)))),"Fix")))</f>
        <v>0</v>
      </c>
      <c r="I955" s="4">
        <f>IF(OR(INDEX($AH$2:$AH$1001,MATCH(ROWS($AG$2:AG955),$AG$2:$AG$1001,0),1)&gt;=100000,INDEX($AN$1005:$BO$1005,1,MATCH(COLUMNS($AN$1006:AU1006),$AN$1006:$BO$1006,0))&gt;=100000), " ",IF(INDEX($AN$2:$BO$1001,MATCH(ROWS($AG$2:AG955),$AG$2:$AG$1001,0),MATCH(COLUMNS($AN$1006:AU1006),$AN$1006:$BO$1006,0)), HYPERLINK("#",""), HYPERLINK(CONCATENATE("#Metadata!", ADDRESS(INDEX($AI$2:$AI$1001,MATCH(ROWS($AG$2:AG955),$AG$2:$AG$1001,0),0), INDEX($AN$1004:$BO$1004,1,MATCH(COLUMNS($AN$1006:AU1006),$AN$1006:$BO$1006,0)))),"Fix")))</f>
        <v>0</v>
      </c>
      <c r="J955" s="4">
        <f>IF(OR(INDEX($AH$2:$AH$1001,MATCH(ROWS($AG$2:AG955),$AG$2:$AG$1001,0),1)&gt;=100000,INDEX($AN$1005:$BO$1005,1,MATCH(COLUMNS($AN$1006:AV1006),$AN$1006:$BO$1006,0))&gt;=100000), " ",IF(INDEX($AN$2:$BO$1001,MATCH(ROWS($AG$2:AG955),$AG$2:$AG$1001,0),MATCH(COLUMNS($AN$1006:AV1006),$AN$1006:$BO$1006,0)), HYPERLINK("#",""), HYPERLINK(CONCATENATE("#Metadata!", ADDRESS(INDEX($AI$2:$AI$1001,MATCH(ROWS($AG$2:AG955),$AG$2:$AG$1001,0),0), INDEX($AN$1004:$BO$1004,1,MATCH(COLUMNS($AN$1006:AV1006),$AN$1006:$BO$1006,0)))),"Fix")))</f>
        <v>0</v>
      </c>
      <c r="K955" s="4">
        <f>IF(OR(INDEX($AH$2:$AH$1001,MATCH(ROWS($AG$2:AG955),$AG$2:$AG$1001,0),1)&gt;=100000,INDEX($AN$1005:$BO$1005,1,MATCH(COLUMNS($AN$1006:AW1006),$AN$1006:$BO$1006,0))&gt;=100000), " ",IF(INDEX($AN$2:$BO$1001,MATCH(ROWS($AG$2:AG955),$AG$2:$AG$1001,0),MATCH(COLUMNS($AN$1006:AW1006),$AN$1006:$BO$1006,0)), HYPERLINK("#",""), HYPERLINK(CONCATENATE("#Metadata!", ADDRESS(INDEX($AI$2:$AI$1001,MATCH(ROWS($AG$2:AG955),$AG$2:$AG$1001,0),0), INDEX($AN$1004:$BO$1004,1,MATCH(COLUMNS($AN$1006:AW1006),$AN$1006:$BO$1006,0)))),"Fix")))</f>
        <v>0</v>
      </c>
      <c r="L955" s="4">
        <f>IF(OR(INDEX($AH$2:$AH$1001,MATCH(ROWS($AG$2:AG955),$AG$2:$AG$1001,0),1)&gt;=100000,INDEX($AN$1005:$BO$1005,1,MATCH(COLUMNS($AN$1006:AX1006),$AN$1006:$BO$1006,0))&gt;=100000), " ",IF(INDEX($AN$2:$BO$1001,MATCH(ROWS($AG$2:AG955),$AG$2:$AG$1001,0),MATCH(COLUMNS($AN$1006:AX1006),$AN$1006:$BO$1006,0)), HYPERLINK("#",""), HYPERLINK(CONCATENATE("#Metadata!", ADDRESS(INDEX($AI$2:$AI$1001,MATCH(ROWS($AG$2:AG955),$AG$2:$AG$1001,0),0), INDEX($AN$1004:$BO$1004,1,MATCH(COLUMNS($AN$1006:AX1006),$AN$1006:$BO$1006,0)))),"Fix")))</f>
        <v>0</v>
      </c>
      <c r="M955" s="4">
        <f>IF(OR(INDEX($AH$2:$AH$1001,MATCH(ROWS($AG$2:AG955),$AG$2:$AG$1001,0),1)&gt;=100000,INDEX($AN$1005:$BO$1005,1,MATCH(COLUMNS($AN$1006:AY1006),$AN$1006:$BO$1006,0))&gt;=100000), " ",IF(INDEX($AN$2:$BO$1001,MATCH(ROWS($AG$2:AG955),$AG$2:$AG$1001,0),MATCH(COLUMNS($AN$1006:AY1006),$AN$1006:$BO$1006,0)), HYPERLINK("#",""), HYPERLINK(CONCATENATE("#Metadata!", ADDRESS(INDEX($AI$2:$AI$1001,MATCH(ROWS($AG$2:AG955),$AG$2:$AG$1001,0),0), INDEX($AN$1004:$BO$1004,1,MATCH(COLUMNS($AN$1006:AY1006),$AN$1006:$BO$1006,0)))),"Fix")))</f>
        <v>0</v>
      </c>
      <c r="N955" s="4">
        <f>IF(OR(INDEX($AH$2:$AH$1001,MATCH(ROWS($AG$2:AG955),$AG$2:$AG$1001,0),1)&gt;=100000,INDEX($AN$1005:$BO$1005,1,MATCH(COLUMNS($AN$1006:AZ1006),$AN$1006:$BO$1006,0))&gt;=100000), " ",IF(INDEX($AN$2:$BO$1001,MATCH(ROWS($AG$2:AG955),$AG$2:$AG$1001,0),MATCH(COLUMNS($AN$1006:AZ1006),$AN$1006:$BO$1006,0)), HYPERLINK("#",""), HYPERLINK(CONCATENATE("#Metadata!", ADDRESS(INDEX($AI$2:$AI$1001,MATCH(ROWS($AG$2:AG955),$AG$2:$AG$1001,0),0), INDEX($AN$1004:$BO$1004,1,MATCH(COLUMNS($AN$1006:AZ1006),$AN$1006:$BO$1006,0)))),"Fix")))</f>
        <v>0</v>
      </c>
      <c r="O955" s="4">
        <f>IF(OR(INDEX($AH$2:$AH$1001,MATCH(ROWS($AG$2:AG955),$AG$2:$AG$1001,0),1)&gt;=100000,INDEX($AN$1005:$BO$1005,1,MATCH(COLUMNS($AN$1006:BA1006),$AN$1006:$BO$1006,0))&gt;=100000), " ",IF(INDEX($AN$2:$BO$1001,MATCH(ROWS($AG$2:AG955),$AG$2:$AG$1001,0),MATCH(COLUMNS($AN$1006:BA1006),$AN$1006:$BO$1006,0)), HYPERLINK("#",""), HYPERLINK(CONCATENATE("#Metadata!", ADDRESS(INDEX($AI$2:$AI$1001,MATCH(ROWS($AG$2:AG955),$AG$2:$AG$1001,0),0), INDEX($AN$1004:$BO$1004,1,MATCH(COLUMNS($AN$1006:BA1006),$AN$1006:$BO$1006,0)))),"Fix")))</f>
        <v>0</v>
      </c>
      <c r="P955" s="4">
        <f>IF(OR(INDEX($AH$2:$AH$1001,MATCH(ROWS($AG$2:AG955),$AG$2:$AG$1001,0),1)&gt;=100000,INDEX($AN$1005:$BO$1005,1,MATCH(COLUMNS($AN$1006:BB1006),$AN$1006:$BO$1006,0))&gt;=100000), " ",IF(INDEX($AN$2:$BO$1001,MATCH(ROWS($AG$2:AG955),$AG$2:$AG$1001,0),MATCH(COLUMNS($AN$1006:BB1006),$AN$1006:$BO$1006,0)), HYPERLINK("#",""), HYPERLINK(CONCATENATE("#Metadata!", ADDRESS(INDEX($AI$2:$AI$1001,MATCH(ROWS($AG$2:AG955),$AG$2:$AG$1001,0),0), INDEX($AN$1004:$BO$1004,1,MATCH(COLUMNS($AN$1006:BB1006),$AN$1006:$BO$1006,0)))),"Fix")))</f>
        <v>0</v>
      </c>
      <c r="Q955" s="4">
        <f>IF(OR(INDEX($AH$2:$AH$1001,MATCH(ROWS($AG$2:AG955),$AG$2:$AG$1001,0),1)&gt;=100000,INDEX($AN$1005:$BO$1005,1,MATCH(COLUMNS($AN$1006:BC1006),$AN$1006:$BO$1006,0))&gt;=100000), " ",IF(INDEX($AN$2:$BO$1001,MATCH(ROWS($AG$2:AG955),$AG$2:$AG$1001,0),MATCH(COLUMNS($AN$1006:BC1006),$AN$1006:$BO$1006,0)), HYPERLINK("#",""), HYPERLINK(CONCATENATE("#Metadata!", ADDRESS(INDEX($AI$2:$AI$1001,MATCH(ROWS($AG$2:AG955),$AG$2:$AG$1001,0),0), INDEX($AN$1004:$BO$1004,1,MATCH(COLUMNS($AN$1006:BC1006),$AN$1006:$BO$1006,0)))),"Fix")))</f>
        <v>0</v>
      </c>
      <c r="R955" s="4">
        <f>IF(OR(INDEX($AH$2:$AH$1001,MATCH(ROWS($AG$2:AG955),$AG$2:$AG$1001,0),1)&gt;=100000,INDEX($AN$1005:$BO$1005,1,MATCH(COLUMNS($AN$1006:BD1006),$AN$1006:$BO$1006,0))&gt;=100000), " ",IF(INDEX($AN$2:$BO$1001,MATCH(ROWS($AG$2:AG955),$AG$2:$AG$1001,0),MATCH(COLUMNS($AN$1006:BD1006),$AN$1006:$BO$1006,0)), HYPERLINK("#",""), HYPERLINK(CONCATENATE("#Metadata!", ADDRESS(INDEX($AI$2:$AI$1001,MATCH(ROWS($AG$2:AG955),$AG$2:$AG$1001,0),0), INDEX($AN$1004:$BO$1004,1,MATCH(COLUMNS($AN$1006:BD1006),$AN$1006:$BO$1006,0)))),"Fix")))</f>
        <v>0</v>
      </c>
      <c r="S955" s="4">
        <f>IF(OR(INDEX($AH$2:$AH$1001,MATCH(ROWS($AG$2:AG955),$AG$2:$AG$1001,0),1)&gt;=100000,INDEX($AN$1005:$BO$1005,1,MATCH(COLUMNS($AN$1006:BE1006),$AN$1006:$BO$1006,0))&gt;=100000), " ",IF(INDEX($AN$2:$BO$1001,MATCH(ROWS($AG$2:AG955),$AG$2:$AG$1001,0),MATCH(COLUMNS($AN$1006:BE1006),$AN$1006:$BO$1006,0)), HYPERLINK("#",""), HYPERLINK(CONCATENATE("#Metadata!", ADDRESS(INDEX($AI$2:$AI$1001,MATCH(ROWS($AG$2:AG955),$AG$2:$AG$1001,0),0), INDEX($AN$1004:$BO$1004,1,MATCH(COLUMNS($AN$1006:BE1006),$AN$1006:$BO$1006,0)))),"Fix")))</f>
        <v>0</v>
      </c>
      <c r="T955" s="4">
        <f>IF(OR(INDEX($AH$2:$AH$1001,MATCH(ROWS($AG$2:AG955),$AG$2:$AG$1001,0),1)&gt;=100000,INDEX($AN$1005:$BO$1005,1,MATCH(COLUMNS($AN$1006:BF1006),$AN$1006:$BO$1006,0))&gt;=100000), " ",IF(INDEX($AN$2:$BO$1001,MATCH(ROWS($AG$2:AG955),$AG$2:$AG$1001,0),MATCH(COLUMNS($AN$1006:BF1006),$AN$1006:$BO$1006,0)), HYPERLINK("#",""), HYPERLINK(CONCATENATE("#Metadata!", ADDRESS(INDEX($AI$2:$AI$1001,MATCH(ROWS($AG$2:AG955),$AG$2:$AG$1001,0),0), INDEX($AN$1004:$BO$1004,1,MATCH(COLUMNS($AN$1006:BF1006),$AN$1006:$BO$1006,0)))),"Fix")))</f>
        <v>0</v>
      </c>
      <c r="U955" s="4">
        <f>IF(OR(INDEX($AH$2:$AH$1001,MATCH(ROWS($AG$2:AG955),$AG$2:$AG$1001,0),1)&gt;=100000,INDEX($AN$1005:$BO$1005,1,MATCH(COLUMNS($AN$1006:BG1006),$AN$1006:$BO$1006,0))&gt;=100000), " ",IF(INDEX($AN$2:$BO$1001,MATCH(ROWS($AG$2:AG955),$AG$2:$AG$1001,0),MATCH(COLUMNS($AN$1006:BG1006),$AN$1006:$BO$1006,0)), HYPERLINK("#",""), HYPERLINK(CONCATENATE("#Metadata!", ADDRESS(INDEX($AI$2:$AI$1001,MATCH(ROWS($AG$2:AG955),$AG$2:$AG$1001,0),0), INDEX($AN$1004:$BO$1004,1,MATCH(COLUMNS($AN$1006:BG1006),$AN$1006:$BO$1006,0)))),"Fix")))</f>
        <v>0</v>
      </c>
      <c r="V955" s="4">
        <f>IF(OR(INDEX($AH$2:$AH$1001,MATCH(ROWS($AG$2:AG955),$AG$2:$AG$1001,0),1)&gt;=100000,INDEX($AN$1005:$BO$1005,1,MATCH(COLUMNS($AN$1006:BH1006),$AN$1006:$BO$1006,0))&gt;=100000), " ",IF(INDEX($AN$2:$BO$1001,MATCH(ROWS($AG$2:AG955),$AG$2:$AG$1001,0),MATCH(COLUMNS($AN$1006:BH1006),$AN$1006:$BO$1006,0)), HYPERLINK("#",""), HYPERLINK(CONCATENATE("#Metadata!", ADDRESS(INDEX($AI$2:$AI$1001,MATCH(ROWS($AG$2:AG955),$AG$2:$AG$1001,0),0), INDEX($AN$1004:$BO$1004,1,MATCH(COLUMNS($AN$1006:BH1006),$AN$1006:$BO$1006,0)))),"Fix")))</f>
        <v>0</v>
      </c>
      <c r="W955" s="4">
        <f>IF(OR(INDEX($AH$2:$AH$1001,MATCH(ROWS($AG$2:AG955),$AG$2:$AG$1001,0),1)&gt;=100000,INDEX($AN$1005:$BO$1005,1,MATCH(COLUMNS($AN$1006:BI1006),$AN$1006:$BO$1006,0))&gt;=100000), " ",IF(INDEX($AN$2:$BO$1001,MATCH(ROWS($AG$2:AG955),$AG$2:$AG$1001,0),MATCH(COLUMNS($AN$1006:BI1006),$AN$1006:$BO$1006,0)), HYPERLINK("#",""), HYPERLINK(CONCATENATE("#Metadata!", ADDRESS(INDEX($AI$2:$AI$1001,MATCH(ROWS($AG$2:AG955),$AG$2:$AG$1001,0),0), INDEX($AN$1004:$BO$1004,1,MATCH(COLUMNS($AN$1006:BI1006),$AN$1006:$BO$1006,0)))),"Fix")))</f>
        <v>0</v>
      </c>
      <c r="X955" s="4">
        <f>IF(OR(INDEX($AH$2:$AH$1001,MATCH(ROWS($AG$2:AG955),$AG$2:$AG$1001,0),1)&gt;=100000,INDEX($AN$1005:$BO$1005,1,MATCH(COLUMNS($AN$1006:BJ1006),$AN$1006:$BO$1006,0))&gt;=100000), " ",IF(INDEX($AN$2:$BO$1001,MATCH(ROWS($AG$2:AG955),$AG$2:$AG$1001,0),MATCH(COLUMNS($AN$1006:BJ1006),$AN$1006:$BO$1006,0)), HYPERLINK("#",""), HYPERLINK(CONCATENATE("#Metadata!", ADDRESS(INDEX($AI$2:$AI$1001,MATCH(ROWS($AG$2:AG955),$AG$2:$AG$1001,0),0), INDEX($AN$1004:$BO$1004,1,MATCH(COLUMNS($AN$1006:BJ1006),$AN$1006:$BO$1006,0)))),"Fix")))</f>
        <v>0</v>
      </c>
      <c r="Y955" s="4">
        <f>IF(OR(INDEX($AH$2:$AH$1001,MATCH(ROWS($AG$2:AG955),$AG$2:$AG$1001,0),1)&gt;=100000,INDEX($AN$1005:$BO$1005,1,MATCH(COLUMNS($AN$1006:BK1006),$AN$1006:$BO$1006,0))&gt;=100000), " ",IF(INDEX($AN$2:$BO$1001,MATCH(ROWS($AG$2:AG955),$AG$2:$AG$1001,0),MATCH(COLUMNS($AN$1006:BK1006),$AN$1006:$BO$1006,0)), HYPERLINK("#",""), HYPERLINK(CONCATENATE("#Metadata!", ADDRESS(INDEX($AI$2:$AI$1001,MATCH(ROWS($AG$2:AG955),$AG$2:$AG$1001,0),0), INDEX($AN$1004:$BO$1004,1,MATCH(COLUMNS($AN$1006:BK1006),$AN$1006:$BO$1006,0)))),"Fix")))</f>
        <v>0</v>
      </c>
      <c r="Z955" s="4">
        <f>IF(OR(INDEX($AH$2:$AH$1001,MATCH(ROWS($AG$2:AG955),$AG$2:$AG$1001,0),1)&gt;=100000,INDEX($AN$1005:$BO$1005,1,MATCH(COLUMNS($AN$1006:BL1006),$AN$1006:$BO$1006,0))&gt;=100000), " ",IF(INDEX($AN$2:$BO$1001,MATCH(ROWS($AG$2:AG955),$AG$2:$AG$1001,0),MATCH(COLUMNS($AN$1006:BL1006),$AN$1006:$BO$1006,0)), HYPERLINK("#",""), HYPERLINK(CONCATENATE("#Metadata!", ADDRESS(INDEX($AI$2:$AI$1001,MATCH(ROWS($AG$2:AG955),$AG$2:$AG$1001,0),0), INDEX($AN$1004:$BO$1004,1,MATCH(COLUMNS($AN$1006:BL1006),$AN$1006:$BO$1006,0)))),"Fix")))</f>
        <v>0</v>
      </c>
      <c r="AA955" s="4">
        <f>IF(OR(INDEX($AH$2:$AH$1001,MATCH(ROWS($AG$2:AG955),$AG$2:$AG$1001,0),1)&gt;=100000,INDEX($AN$1005:$BO$1005,1,MATCH(COLUMNS($AN$1006:BM1006),$AN$1006:$BO$1006,0))&gt;=100000), " ",IF(INDEX($AN$2:$BO$1001,MATCH(ROWS($AG$2:AG955),$AG$2:$AG$1001,0),MATCH(COLUMNS($AN$1006:BM1006),$AN$1006:$BO$1006,0)), HYPERLINK("#",""), HYPERLINK(CONCATENATE("#Metadata!", ADDRESS(INDEX($AI$2:$AI$1001,MATCH(ROWS($AG$2:AG955),$AG$2:$AG$1001,0),0), INDEX($AN$1004:$BO$1004,1,MATCH(COLUMNS($AN$1006:BM1006),$AN$1006:$BO$1006,0)))),"Fix")))</f>
        <v>0</v>
      </c>
      <c r="AB955" s="4">
        <f>IF(OR(INDEX($AH$2:$AH$1001,MATCH(ROWS($AG$2:AG955),$AG$2:$AG$1001,0),1)&gt;=100000,INDEX($AN$1005:$BO$1005,1,MATCH(COLUMNS($AN$1006:BN1006),$AN$1006:$BO$1006,0))&gt;=100000), " ",IF(INDEX($AN$2:$BO$1001,MATCH(ROWS($AG$2:AG955),$AG$2:$AG$1001,0),MATCH(COLUMNS($AN$1006:BN1006),$AN$1006:$BO$1006,0)), HYPERLINK("#",""), HYPERLINK(CONCATENATE("#Metadata!", ADDRESS(INDEX($AI$2:$AI$1001,MATCH(ROWS($AG$2:AG955),$AG$2:$AG$1001,0),0), INDEX($AN$1004:$BO$1004,1,MATCH(COLUMNS($AN$1006:BN1006),$AN$1006:$BO$1006,0)))),"Fix")))</f>
        <v>0</v>
      </c>
      <c r="AC955" s="4">
        <f>IF(OR(INDEX($AH$2:$AH$1001,MATCH(ROWS($AG$2:AG955),$AG$2:$AG$1001,0),1)&gt;=100000,INDEX($AN$1005:$BO$1005,1,MATCH(COLUMNS($AN$1006:BO1006),$AN$1006:$BO$1006,0))&gt;=100000), " ",IF(INDEX($AN$2:$BO$1001,MATCH(ROWS($AG$2:AG955),$AG$2:$AG$1001,0),MATCH(COLUMNS($AN$1006:BO1006),$AN$1006:$BO$1006,0)), HYPERLINK("#",""), HYPERLINK(CONCATENATE("#Metadata!", ADDRESS(INDEX($AI$2:$AI$1001,MATCH(ROWS($AG$2:AG955),$AG$2:$AG$1001,0),0), INDEX($AN$1004:$BO$1004,1,MATCH(COLUMNS($AN$1006:BO1006),$AN$1006:$BO$1006,0)))),"Fix")))</f>
        <v>0</v>
      </c>
      <c r="AG955">
        <v>0</v>
      </c>
      <c r="AH955">
        <v>0</v>
      </c>
      <c r="AI955">
        <v>0</v>
      </c>
      <c r="AJ955">
        <f>IF(AK955,TRUE,AND(AN955:BO955))</f>
        <v>0</v>
      </c>
      <c r="AK955">
        <f>COUNTBLANK(Metadata!B955:AC955)=COLUMNS(Metadata!B955:AC955)</f>
        <v>0</v>
      </c>
      <c r="AL955">
        <v>0</v>
      </c>
      <c r="AN955">
        <f>AND(IF(Metadata!B955="",FALSE,TRUE),COUNTIF(Metadata!B:B, Metadata!B955) = 1,NOT(ISERROR(SUMPRODUCT(SEARCH(MID(Metadata!B955,ROW(INDIRECT("1:"&amp;LEN(Metadata!B955))), 1),"0123456789abcdefghijklmnopqrstuvwxyzABCDEFGHIJKLMNOPQRSTUVWXYZ.")))))</f>
        <v>0</v>
      </c>
      <c r="AO955">
        <f>IF(Metadata!C955="",FALSE,TRUE)</f>
        <v>0</v>
      </c>
      <c r="AP955">
        <f>IF(Metadata!D955="",FALSE,TRUE)</f>
        <v>0</v>
      </c>
      <c r="AQ955">
        <f>OR(AND(IF(Metadata!E955="",FALSE,TRUE),OR(exact(Metadata!E955,"not collected"),exact(Metadata!E955,"not provided"),exact(Metadata!E955,"restricted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R955">
        <f>IF(Metadata!F955="",FALSE,TRUE)</f>
        <v>0</v>
      </c>
      <c r="AS955">
        <f>OR(AND(IF(Metadata!G955="",FALSE,TRUE),OR(exact(Metadata!G955,"not collected"),exact(Metadata!G955,"not provided"))),AND(IF(Metadata!G955="",FALSE,TRUE),OR(exact(Metadata!G955,"TRUE"),exact(Metadata!G955,"FALSE"))))</f>
        <v>0</v>
      </c>
      <c r="AT955">
        <f>OR(AND(IF(Metadata!H955="",FALSE,TRUE),OR(exact(Metadata!H955,"not collected"),exact(Metadata!H955,"not provided"),exact(Metadata!H955,"restricted access"))),AND(IF(Metadata!H955="",FALSE,ISNUMBER(VALUE(Metadata!H955))),Metadata!H955&gt;=-413.0))</f>
        <v>0</v>
      </c>
      <c r="AU955">
        <f>AND(IF(Metadata!I955="",FALSE,TRUE),exact(Metadata!I955,"meters"))</f>
        <v>0</v>
      </c>
      <c r="AV955">
        <f>AND(IF(Metadata!J955="",FALSE,TRUE),OR(exact(Metadata!J955,"Host-associated"),exact(Metadata!J955,"Free-living")))</f>
        <v>0</v>
      </c>
      <c r="AW955">
        <f>AND(IF(Metadata!K955="",FALSE,TRUE),OR(exact(Metadata!K955,"Animal"),exact(Metadata!K955,"Fungus"),exact(Metadata!K955,"Plant"),exact(Metadata!K955,"Saline"),exact(Metadata!K955,"Non-saline")))</f>
        <v>0</v>
      </c>
      <c r="AX955">
        <f>AND(IF(Metadata!L955="",FALSE,TRUE),OR(exact(Metadata!L955,"Plant secretion"),exact(Metadata!L955,"Plant rhizosphere"),exact(Metadata!L955,"Plant surface"),exact(Metadata!L955,"Plant corpus"),exact(Metadata!L955,"Fungus surface"),exact(Metadata!L955,"Fungus corpus"),exact(Metadata!L955,"Animal surface"),exact(Metadata!L955,"Animal proximal gut"),exact(Metadata!L955,"Animal corpus"),exact(Metadata!L955,"Animal distal gut"),exact(Metadata!L955,"Animal secretion"),exact(Metadata!L955,"Sub-surface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Y955">
        <f>IF(Metadata!M955="",FALSE,TRUE)</f>
        <v>0</v>
      </c>
      <c r="AZ955">
        <f>IF(Metadata!N955="",FALSE,TRUE)</f>
        <v>0</v>
      </c>
      <c r="BA955">
        <f>IF(Metadata!O955="",FALSE,TRUE)</f>
        <v>0</v>
      </c>
      <c r="BB955">
        <f>OR(AND(IF(Metadata!P955="",FALSE,TRUE),OR(exact(Metadata!P955,"not collected"),exact(Metadata!P955,"not provided"),exact(Metadata!P955,"restricted access"))),AND(IF(Metadata!P955="",FALSE,TRUE),OR(exact(Metadata!P955,"air"),exact(Metadata!P955,"built environment"),exact(Metadata!P955,"host-associated"),exact(Metadata!P955,"human-associated"),exact(Metadata!P955,"human-skin"),exact(Metadata!P955,"human-oral"),exact(Metadata!P955,"human-gut"),exact(Metadata!P955,"human-vaginal"),exact(Metadata!P955,"microbial mat/biofilm"),exact(Metadata!P955,"misc environment"),exact(Metadata!P955,"plant-associated"),exact(Metadata!P955,"sediment"),exact(Metadata!P955,"soil"),exact(Metadata!P955,"wastewater/sludge"),exact(Metadata!P955,"water"))))</f>
        <v>0</v>
      </c>
      <c r="BC955">
        <f>IF(Metadata!Q955="",FALSE,TRUE)</f>
        <v>0</v>
      </c>
      <c r="BD955">
        <f>IF(Metadata!R955="",FALSE,TRUE)</f>
        <v>0</v>
      </c>
      <c r="BE955">
        <f>OR(AND(IF(Metadata!S955="",FALSE,TRUE),OR(exact(Metadata!S955,"not collected"),exact(Metadata!S955,"not provided"),exact(Metadata!S955,"restricted access"))),AND(IF(Metadata!S955="",FALSE,ISNUMBER(VALUE(Metadata!S955))),Metadata!S955&gt;=-90.00,Metadata!S955&lt;=90.00))</f>
        <v>0</v>
      </c>
      <c r="BF955">
        <f>AND(IF(Metadata!T955="",FALSE,TRUE),exact(Metadata!T955,"Decimal degrees"))</f>
        <v>0</v>
      </c>
      <c r="BG955">
        <f>OR(AND(IF(Metadata!U955="",FALSE,TRUE),OR(exact(Metadata!U955,"not collected"),exact(Metadata!U955,"not provided"),exact(Metadata!U955,"restricted access"))),AND(IF(Metadata!U955="",FALSE,ISNUMBER(VALUE(Metadata!U955))),Metadata!U955&gt;=-180.00,Metadata!U955&lt;=180.00))</f>
        <v>0</v>
      </c>
      <c r="BH955">
        <f>AND(IF(Metadata!V955="",FALSE,TRUE),exact(Metadata!V955,"Decimal degrees"))</f>
        <v>0</v>
      </c>
      <c r="BI955">
        <f>IF(Metadata!W955="",FALSE,TRUE)</f>
        <v>0</v>
      </c>
      <c r="BJ955">
        <f>OR(AND(IF(Metadata!X955="",FALSE,TRUE),OR(exact(Metadata!X955,"not collected"),exact(Metadata!X955,"not provided"),exact(Metadata!X955,"restricted access"))),AND(IF(Metadata!X955="",FALSE,TRUE),OR(exact(Metadata!X955,"TRUE"),exact(Metadata!X955,"FALSE"))))</f>
        <v>0</v>
      </c>
      <c r="BK955">
        <f>AND(IF(Metadata!Y955="",FALSE,TRUE),exact(Metadata!Y955,"other"))</f>
        <v>0</v>
      </c>
      <c r="BL955">
        <f>IF(Metadata!Z955="",FALSE,TRUE)</f>
        <v>0</v>
      </c>
      <c r="BM955">
        <f>OR(AND(IF(Metadata!AA955="",FALSE,TRUE),OR(exact(Metadata!AA955,"not collected"),exact(Metadata!AA955,"not provided"))),AND(IF(Metadata!AA955="",FALSE,IF(ISERROR(INT(Metadata!AA955)),FALSE,INT(Metadata!AA955)=Metadata!AA955)),Metadata!AA955&gt;0))</f>
        <v>0</v>
      </c>
      <c r="BN955">
        <f>AND(IF(Metadata!AB955="",FALSE,TRUE),exact(Metadata!AB955,"Not applicable"))</f>
        <v>0</v>
      </c>
      <c r="BO955">
        <f>IF(Metadata!AC955="",FALSE,TRUE)</f>
        <v>0</v>
      </c>
    </row>
    <row r="956" spans="1:67">
      <c r="A956" s="5">
        <f>IF(B956=" "," ",HYPERLINK(CONCATENATE("#metadata!",ADDRESS(INDEX($AI$2:$AI$1001,MATCH(ROWS($AG$2:AG956),$AG$2:$AG$1001,0),0),1)),INDEX($AL$2:$AL$1001,MATCH(ROWS($AG$2:AG956),$AG$2:$AG$1001,0),0)))</f>
        <v>0</v>
      </c>
      <c r="B956" s="4">
        <f>IF(OR(INDEX($AH$2:$AH$1001,MATCH(ROWS($AG$2:AG956),$AG$2:$AG$1001,0),1)&gt;=100000,INDEX($AN$1005:$BO$1005,1,MATCH(COLUMNS($AN$1006:AN1006),$AN$1006:$BO$1006,0))&gt;=100000), " ",IF(INDEX($AN$2:$BO$1001,MATCH(ROWS($AG$2:AG956),$AG$2:$AG$1001,0),MATCH(COLUMNS($AN$1006:AN1006),$AN$1006:$BO$1006,0)), HYPERLINK("#",""), HYPERLINK(CONCATENATE("#Metadata!", ADDRESS(INDEX($AI$2:$AI$1001,MATCH(ROWS($AG$2:AG956),$AG$2:$AG$1001,0),0), INDEX($AN$1004:$BO$1004,1,MATCH(COLUMNS($AN$1006:AN1006),$AN$1006:$BO$1006,0)))),"Fix")))</f>
        <v>0</v>
      </c>
      <c r="C956" s="4">
        <f>IF(OR(INDEX($AH$2:$AH$1001,MATCH(ROWS($AG$2:AG956),$AG$2:$AG$1001,0),1)&gt;=100000,INDEX($AN$1005:$BO$1005,1,MATCH(COLUMNS($AN$1006:AO1006),$AN$1006:$BO$1006,0))&gt;=100000), " ",IF(INDEX($AN$2:$BO$1001,MATCH(ROWS($AG$2:AG956),$AG$2:$AG$1001,0),MATCH(COLUMNS($AN$1006:AO1006),$AN$1006:$BO$1006,0)), HYPERLINK("#",""), HYPERLINK(CONCATENATE("#Metadata!", ADDRESS(INDEX($AI$2:$AI$1001,MATCH(ROWS($AG$2:AG956),$AG$2:$AG$1001,0),0), INDEX($AN$1004:$BO$1004,1,MATCH(COLUMNS($AN$1006:AO1006),$AN$1006:$BO$1006,0)))),"Fix")))</f>
        <v>0</v>
      </c>
      <c r="D956" s="4">
        <f>IF(OR(INDEX($AH$2:$AH$1001,MATCH(ROWS($AG$2:AG956),$AG$2:$AG$1001,0),1)&gt;=100000,INDEX($AN$1005:$BO$1005,1,MATCH(COLUMNS($AN$1006:AP1006),$AN$1006:$BO$1006,0))&gt;=100000), " ",IF(INDEX($AN$2:$BO$1001,MATCH(ROWS($AG$2:AG956),$AG$2:$AG$1001,0),MATCH(COLUMNS($AN$1006:AP1006),$AN$1006:$BO$1006,0)), HYPERLINK("#",""), HYPERLINK(CONCATENATE("#Metadata!", ADDRESS(INDEX($AI$2:$AI$1001,MATCH(ROWS($AG$2:AG956),$AG$2:$AG$1001,0),0), INDEX($AN$1004:$BO$1004,1,MATCH(COLUMNS($AN$1006:AP1006),$AN$1006:$BO$1006,0)))),"Fix")))</f>
        <v>0</v>
      </c>
      <c r="E956" s="4">
        <f>IF(OR(INDEX($AH$2:$AH$1001,MATCH(ROWS($AG$2:AG956),$AG$2:$AG$1001,0),1)&gt;=100000,INDEX($AN$1005:$BO$1005,1,MATCH(COLUMNS($AN$1006:AQ1006),$AN$1006:$BO$1006,0))&gt;=100000), " ",IF(INDEX($AN$2:$BO$1001,MATCH(ROWS($AG$2:AG956),$AG$2:$AG$1001,0),MATCH(COLUMNS($AN$1006:AQ1006),$AN$1006:$BO$1006,0)), HYPERLINK("#",""), HYPERLINK(CONCATENATE("#Metadata!", ADDRESS(INDEX($AI$2:$AI$1001,MATCH(ROWS($AG$2:AG956),$AG$2:$AG$1001,0),0), INDEX($AN$1004:$BO$1004,1,MATCH(COLUMNS($AN$1006:AQ1006),$AN$1006:$BO$1006,0)))),"Fix")))</f>
        <v>0</v>
      </c>
      <c r="F956" s="4">
        <f>IF(OR(INDEX($AH$2:$AH$1001,MATCH(ROWS($AG$2:AG956),$AG$2:$AG$1001,0),1)&gt;=100000,INDEX($AN$1005:$BO$1005,1,MATCH(COLUMNS($AN$1006:AR1006),$AN$1006:$BO$1006,0))&gt;=100000), " ",IF(INDEX($AN$2:$BO$1001,MATCH(ROWS($AG$2:AG956),$AG$2:$AG$1001,0),MATCH(COLUMNS($AN$1006:AR1006),$AN$1006:$BO$1006,0)), HYPERLINK("#",""), HYPERLINK(CONCATENATE("#Metadata!", ADDRESS(INDEX($AI$2:$AI$1001,MATCH(ROWS($AG$2:AG956),$AG$2:$AG$1001,0),0), INDEX($AN$1004:$BO$1004,1,MATCH(COLUMNS($AN$1006:AR1006),$AN$1006:$BO$1006,0)))),"Fix")))</f>
        <v>0</v>
      </c>
      <c r="G956" s="4">
        <f>IF(OR(INDEX($AH$2:$AH$1001,MATCH(ROWS($AG$2:AG956),$AG$2:$AG$1001,0),1)&gt;=100000,INDEX($AN$1005:$BO$1005,1,MATCH(COLUMNS($AN$1006:AS1006),$AN$1006:$BO$1006,0))&gt;=100000), " ",IF(INDEX($AN$2:$BO$1001,MATCH(ROWS($AG$2:AG956),$AG$2:$AG$1001,0),MATCH(COLUMNS($AN$1006:AS1006),$AN$1006:$BO$1006,0)), HYPERLINK("#",""), HYPERLINK(CONCATENATE("#Metadata!", ADDRESS(INDEX($AI$2:$AI$1001,MATCH(ROWS($AG$2:AG956),$AG$2:$AG$1001,0),0), INDEX($AN$1004:$BO$1004,1,MATCH(COLUMNS($AN$1006:AS1006),$AN$1006:$BO$1006,0)))),"Fix")))</f>
        <v>0</v>
      </c>
      <c r="H956" s="4">
        <f>IF(OR(INDEX($AH$2:$AH$1001,MATCH(ROWS($AG$2:AG956),$AG$2:$AG$1001,0),1)&gt;=100000,INDEX($AN$1005:$BO$1005,1,MATCH(COLUMNS($AN$1006:AT1006),$AN$1006:$BO$1006,0))&gt;=100000), " ",IF(INDEX($AN$2:$BO$1001,MATCH(ROWS($AG$2:AG956),$AG$2:$AG$1001,0),MATCH(COLUMNS($AN$1006:AT1006),$AN$1006:$BO$1006,0)), HYPERLINK("#",""), HYPERLINK(CONCATENATE("#Metadata!", ADDRESS(INDEX($AI$2:$AI$1001,MATCH(ROWS($AG$2:AG956),$AG$2:$AG$1001,0),0), INDEX($AN$1004:$BO$1004,1,MATCH(COLUMNS($AN$1006:AT1006),$AN$1006:$BO$1006,0)))),"Fix")))</f>
        <v>0</v>
      </c>
      <c r="I956" s="4">
        <f>IF(OR(INDEX($AH$2:$AH$1001,MATCH(ROWS($AG$2:AG956),$AG$2:$AG$1001,0),1)&gt;=100000,INDEX($AN$1005:$BO$1005,1,MATCH(COLUMNS($AN$1006:AU1006),$AN$1006:$BO$1006,0))&gt;=100000), " ",IF(INDEX($AN$2:$BO$1001,MATCH(ROWS($AG$2:AG956),$AG$2:$AG$1001,0),MATCH(COLUMNS($AN$1006:AU1006),$AN$1006:$BO$1006,0)), HYPERLINK("#",""), HYPERLINK(CONCATENATE("#Metadata!", ADDRESS(INDEX($AI$2:$AI$1001,MATCH(ROWS($AG$2:AG956),$AG$2:$AG$1001,0),0), INDEX($AN$1004:$BO$1004,1,MATCH(COLUMNS($AN$1006:AU1006),$AN$1006:$BO$1006,0)))),"Fix")))</f>
        <v>0</v>
      </c>
      <c r="J956" s="4">
        <f>IF(OR(INDEX($AH$2:$AH$1001,MATCH(ROWS($AG$2:AG956),$AG$2:$AG$1001,0),1)&gt;=100000,INDEX($AN$1005:$BO$1005,1,MATCH(COLUMNS($AN$1006:AV1006),$AN$1006:$BO$1006,0))&gt;=100000), " ",IF(INDEX($AN$2:$BO$1001,MATCH(ROWS($AG$2:AG956),$AG$2:$AG$1001,0),MATCH(COLUMNS($AN$1006:AV1006),$AN$1006:$BO$1006,0)), HYPERLINK("#",""), HYPERLINK(CONCATENATE("#Metadata!", ADDRESS(INDEX($AI$2:$AI$1001,MATCH(ROWS($AG$2:AG956),$AG$2:$AG$1001,0),0), INDEX($AN$1004:$BO$1004,1,MATCH(COLUMNS($AN$1006:AV1006),$AN$1006:$BO$1006,0)))),"Fix")))</f>
        <v>0</v>
      </c>
      <c r="K956" s="4">
        <f>IF(OR(INDEX($AH$2:$AH$1001,MATCH(ROWS($AG$2:AG956),$AG$2:$AG$1001,0),1)&gt;=100000,INDEX($AN$1005:$BO$1005,1,MATCH(COLUMNS($AN$1006:AW1006),$AN$1006:$BO$1006,0))&gt;=100000), " ",IF(INDEX($AN$2:$BO$1001,MATCH(ROWS($AG$2:AG956),$AG$2:$AG$1001,0),MATCH(COLUMNS($AN$1006:AW1006),$AN$1006:$BO$1006,0)), HYPERLINK("#",""), HYPERLINK(CONCATENATE("#Metadata!", ADDRESS(INDEX($AI$2:$AI$1001,MATCH(ROWS($AG$2:AG956),$AG$2:$AG$1001,0),0), INDEX($AN$1004:$BO$1004,1,MATCH(COLUMNS($AN$1006:AW1006),$AN$1006:$BO$1006,0)))),"Fix")))</f>
        <v>0</v>
      </c>
      <c r="L956" s="4">
        <f>IF(OR(INDEX($AH$2:$AH$1001,MATCH(ROWS($AG$2:AG956),$AG$2:$AG$1001,0),1)&gt;=100000,INDEX($AN$1005:$BO$1005,1,MATCH(COLUMNS($AN$1006:AX1006),$AN$1006:$BO$1006,0))&gt;=100000), " ",IF(INDEX($AN$2:$BO$1001,MATCH(ROWS($AG$2:AG956),$AG$2:$AG$1001,0),MATCH(COLUMNS($AN$1006:AX1006),$AN$1006:$BO$1006,0)), HYPERLINK("#",""), HYPERLINK(CONCATENATE("#Metadata!", ADDRESS(INDEX($AI$2:$AI$1001,MATCH(ROWS($AG$2:AG956),$AG$2:$AG$1001,0),0), INDEX($AN$1004:$BO$1004,1,MATCH(COLUMNS($AN$1006:AX1006),$AN$1006:$BO$1006,0)))),"Fix")))</f>
        <v>0</v>
      </c>
      <c r="M956" s="4">
        <f>IF(OR(INDEX($AH$2:$AH$1001,MATCH(ROWS($AG$2:AG956),$AG$2:$AG$1001,0),1)&gt;=100000,INDEX($AN$1005:$BO$1005,1,MATCH(COLUMNS($AN$1006:AY1006),$AN$1006:$BO$1006,0))&gt;=100000), " ",IF(INDEX($AN$2:$BO$1001,MATCH(ROWS($AG$2:AG956),$AG$2:$AG$1001,0),MATCH(COLUMNS($AN$1006:AY1006),$AN$1006:$BO$1006,0)), HYPERLINK("#",""), HYPERLINK(CONCATENATE("#Metadata!", ADDRESS(INDEX($AI$2:$AI$1001,MATCH(ROWS($AG$2:AG956),$AG$2:$AG$1001,0),0), INDEX($AN$1004:$BO$1004,1,MATCH(COLUMNS($AN$1006:AY1006),$AN$1006:$BO$1006,0)))),"Fix")))</f>
        <v>0</v>
      </c>
      <c r="N956" s="4">
        <f>IF(OR(INDEX($AH$2:$AH$1001,MATCH(ROWS($AG$2:AG956),$AG$2:$AG$1001,0),1)&gt;=100000,INDEX($AN$1005:$BO$1005,1,MATCH(COLUMNS($AN$1006:AZ1006),$AN$1006:$BO$1006,0))&gt;=100000), " ",IF(INDEX($AN$2:$BO$1001,MATCH(ROWS($AG$2:AG956),$AG$2:$AG$1001,0),MATCH(COLUMNS($AN$1006:AZ1006),$AN$1006:$BO$1006,0)), HYPERLINK("#",""), HYPERLINK(CONCATENATE("#Metadata!", ADDRESS(INDEX($AI$2:$AI$1001,MATCH(ROWS($AG$2:AG956),$AG$2:$AG$1001,0),0), INDEX($AN$1004:$BO$1004,1,MATCH(COLUMNS($AN$1006:AZ1006),$AN$1006:$BO$1006,0)))),"Fix")))</f>
        <v>0</v>
      </c>
      <c r="O956" s="4">
        <f>IF(OR(INDEX($AH$2:$AH$1001,MATCH(ROWS($AG$2:AG956),$AG$2:$AG$1001,0),1)&gt;=100000,INDEX($AN$1005:$BO$1005,1,MATCH(COLUMNS($AN$1006:BA1006),$AN$1006:$BO$1006,0))&gt;=100000), " ",IF(INDEX($AN$2:$BO$1001,MATCH(ROWS($AG$2:AG956),$AG$2:$AG$1001,0),MATCH(COLUMNS($AN$1006:BA1006),$AN$1006:$BO$1006,0)), HYPERLINK("#",""), HYPERLINK(CONCATENATE("#Metadata!", ADDRESS(INDEX($AI$2:$AI$1001,MATCH(ROWS($AG$2:AG956),$AG$2:$AG$1001,0),0), INDEX($AN$1004:$BO$1004,1,MATCH(COLUMNS($AN$1006:BA1006),$AN$1006:$BO$1006,0)))),"Fix")))</f>
        <v>0</v>
      </c>
      <c r="P956" s="4">
        <f>IF(OR(INDEX($AH$2:$AH$1001,MATCH(ROWS($AG$2:AG956),$AG$2:$AG$1001,0),1)&gt;=100000,INDEX($AN$1005:$BO$1005,1,MATCH(COLUMNS($AN$1006:BB1006),$AN$1006:$BO$1006,0))&gt;=100000), " ",IF(INDEX($AN$2:$BO$1001,MATCH(ROWS($AG$2:AG956),$AG$2:$AG$1001,0),MATCH(COLUMNS($AN$1006:BB1006),$AN$1006:$BO$1006,0)), HYPERLINK("#",""), HYPERLINK(CONCATENATE("#Metadata!", ADDRESS(INDEX($AI$2:$AI$1001,MATCH(ROWS($AG$2:AG956),$AG$2:$AG$1001,0),0), INDEX($AN$1004:$BO$1004,1,MATCH(COLUMNS($AN$1006:BB1006),$AN$1006:$BO$1006,0)))),"Fix")))</f>
        <v>0</v>
      </c>
      <c r="Q956" s="4">
        <f>IF(OR(INDEX($AH$2:$AH$1001,MATCH(ROWS($AG$2:AG956),$AG$2:$AG$1001,0),1)&gt;=100000,INDEX($AN$1005:$BO$1005,1,MATCH(COLUMNS($AN$1006:BC1006),$AN$1006:$BO$1006,0))&gt;=100000), " ",IF(INDEX($AN$2:$BO$1001,MATCH(ROWS($AG$2:AG956),$AG$2:$AG$1001,0),MATCH(COLUMNS($AN$1006:BC1006),$AN$1006:$BO$1006,0)), HYPERLINK("#",""), HYPERLINK(CONCATENATE("#Metadata!", ADDRESS(INDEX($AI$2:$AI$1001,MATCH(ROWS($AG$2:AG956),$AG$2:$AG$1001,0),0), INDEX($AN$1004:$BO$1004,1,MATCH(COLUMNS($AN$1006:BC1006),$AN$1006:$BO$1006,0)))),"Fix")))</f>
        <v>0</v>
      </c>
      <c r="R956" s="4">
        <f>IF(OR(INDEX($AH$2:$AH$1001,MATCH(ROWS($AG$2:AG956),$AG$2:$AG$1001,0),1)&gt;=100000,INDEX($AN$1005:$BO$1005,1,MATCH(COLUMNS($AN$1006:BD1006),$AN$1006:$BO$1006,0))&gt;=100000), " ",IF(INDEX($AN$2:$BO$1001,MATCH(ROWS($AG$2:AG956),$AG$2:$AG$1001,0),MATCH(COLUMNS($AN$1006:BD1006),$AN$1006:$BO$1006,0)), HYPERLINK("#",""), HYPERLINK(CONCATENATE("#Metadata!", ADDRESS(INDEX($AI$2:$AI$1001,MATCH(ROWS($AG$2:AG956),$AG$2:$AG$1001,0),0), INDEX($AN$1004:$BO$1004,1,MATCH(COLUMNS($AN$1006:BD1006),$AN$1006:$BO$1006,0)))),"Fix")))</f>
        <v>0</v>
      </c>
      <c r="S956" s="4">
        <f>IF(OR(INDEX($AH$2:$AH$1001,MATCH(ROWS($AG$2:AG956),$AG$2:$AG$1001,0),1)&gt;=100000,INDEX($AN$1005:$BO$1005,1,MATCH(COLUMNS($AN$1006:BE1006),$AN$1006:$BO$1006,0))&gt;=100000), " ",IF(INDEX($AN$2:$BO$1001,MATCH(ROWS($AG$2:AG956),$AG$2:$AG$1001,0),MATCH(COLUMNS($AN$1006:BE1006),$AN$1006:$BO$1006,0)), HYPERLINK("#",""), HYPERLINK(CONCATENATE("#Metadata!", ADDRESS(INDEX($AI$2:$AI$1001,MATCH(ROWS($AG$2:AG956),$AG$2:$AG$1001,0),0), INDEX($AN$1004:$BO$1004,1,MATCH(COLUMNS($AN$1006:BE1006),$AN$1006:$BO$1006,0)))),"Fix")))</f>
        <v>0</v>
      </c>
      <c r="T956" s="4">
        <f>IF(OR(INDEX($AH$2:$AH$1001,MATCH(ROWS($AG$2:AG956),$AG$2:$AG$1001,0),1)&gt;=100000,INDEX($AN$1005:$BO$1005,1,MATCH(COLUMNS($AN$1006:BF1006),$AN$1006:$BO$1006,0))&gt;=100000), " ",IF(INDEX($AN$2:$BO$1001,MATCH(ROWS($AG$2:AG956),$AG$2:$AG$1001,0),MATCH(COLUMNS($AN$1006:BF1006),$AN$1006:$BO$1006,0)), HYPERLINK("#",""), HYPERLINK(CONCATENATE("#Metadata!", ADDRESS(INDEX($AI$2:$AI$1001,MATCH(ROWS($AG$2:AG956),$AG$2:$AG$1001,0),0), INDEX($AN$1004:$BO$1004,1,MATCH(COLUMNS($AN$1006:BF1006),$AN$1006:$BO$1006,0)))),"Fix")))</f>
        <v>0</v>
      </c>
      <c r="U956" s="4">
        <f>IF(OR(INDEX($AH$2:$AH$1001,MATCH(ROWS($AG$2:AG956),$AG$2:$AG$1001,0),1)&gt;=100000,INDEX($AN$1005:$BO$1005,1,MATCH(COLUMNS($AN$1006:BG1006),$AN$1006:$BO$1006,0))&gt;=100000), " ",IF(INDEX($AN$2:$BO$1001,MATCH(ROWS($AG$2:AG956),$AG$2:$AG$1001,0),MATCH(COLUMNS($AN$1006:BG1006),$AN$1006:$BO$1006,0)), HYPERLINK("#",""), HYPERLINK(CONCATENATE("#Metadata!", ADDRESS(INDEX($AI$2:$AI$1001,MATCH(ROWS($AG$2:AG956),$AG$2:$AG$1001,0),0), INDEX($AN$1004:$BO$1004,1,MATCH(COLUMNS($AN$1006:BG1006),$AN$1006:$BO$1006,0)))),"Fix")))</f>
        <v>0</v>
      </c>
      <c r="V956" s="4">
        <f>IF(OR(INDEX($AH$2:$AH$1001,MATCH(ROWS($AG$2:AG956),$AG$2:$AG$1001,0),1)&gt;=100000,INDEX($AN$1005:$BO$1005,1,MATCH(COLUMNS($AN$1006:BH1006),$AN$1006:$BO$1006,0))&gt;=100000), " ",IF(INDEX($AN$2:$BO$1001,MATCH(ROWS($AG$2:AG956),$AG$2:$AG$1001,0),MATCH(COLUMNS($AN$1006:BH1006),$AN$1006:$BO$1006,0)), HYPERLINK("#",""), HYPERLINK(CONCATENATE("#Metadata!", ADDRESS(INDEX($AI$2:$AI$1001,MATCH(ROWS($AG$2:AG956),$AG$2:$AG$1001,0),0), INDEX($AN$1004:$BO$1004,1,MATCH(COLUMNS($AN$1006:BH1006),$AN$1006:$BO$1006,0)))),"Fix")))</f>
        <v>0</v>
      </c>
      <c r="W956" s="4">
        <f>IF(OR(INDEX($AH$2:$AH$1001,MATCH(ROWS($AG$2:AG956),$AG$2:$AG$1001,0),1)&gt;=100000,INDEX($AN$1005:$BO$1005,1,MATCH(COLUMNS($AN$1006:BI1006),$AN$1006:$BO$1006,0))&gt;=100000), " ",IF(INDEX($AN$2:$BO$1001,MATCH(ROWS($AG$2:AG956),$AG$2:$AG$1001,0),MATCH(COLUMNS($AN$1006:BI1006),$AN$1006:$BO$1006,0)), HYPERLINK("#",""), HYPERLINK(CONCATENATE("#Metadata!", ADDRESS(INDEX($AI$2:$AI$1001,MATCH(ROWS($AG$2:AG956),$AG$2:$AG$1001,0),0), INDEX($AN$1004:$BO$1004,1,MATCH(COLUMNS($AN$1006:BI1006),$AN$1006:$BO$1006,0)))),"Fix")))</f>
        <v>0</v>
      </c>
      <c r="X956" s="4">
        <f>IF(OR(INDEX($AH$2:$AH$1001,MATCH(ROWS($AG$2:AG956),$AG$2:$AG$1001,0),1)&gt;=100000,INDEX($AN$1005:$BO$1005,1,MATCH(COLUMNS($AN$1006:BJ1006),$AN$1006:$BO$1006,0))&gt;=100000), " ",IF(INDEX($AN$2:$BO$1001,MATCH(ROWS($AG$2:AG956),$AG$2:$AG$1001,0),MATCH(COLUMNS($AN$1006:BJ1006),$AN$1006:$BO$1006,0)), HYPERLINK("#",""), HYPERLINK(CONCATENATE("#Metadata!", ADDRESS(INDEX($AI$2:$AI$1001,MATCH(ROWS($AG$2:AG956),$AG$2:$AG$1001,0),0), INDEX($AN$1004:$BO$1004,1,MATCH(COLUMNS($AN$1006:BJ1006),$AN$1006:$BO$1006,0)))),"Fix")))</f>
        <v>0</v>
      </c>
      <c r="Y956" s="4">
        <f>IF(OR(INDEX($AH$2:$AH$1001,MATCH(ROWS($AG$2:AG956),$AG$2:$AG$1001,0),1)&gt;=100000,INDEX($AN$1005:$BO$1005,1,MATCH(COLUMNS($AN$1006:BK1006),$AN$1006:$BO$1006,0))&gt;=100000), " ",IF(INDEX($AN$2:$BO$1001,MATCH(ROWS($AG$2:AG956),$AG$2:$AG$1001,0),MATCH(COLUMNS($AN$1006:BK1006),$AN$1006:$BO$1006,0)), HYPERLINK("#",""), HYPERLINK(CONCATENATE("#Metadata!", ADDRESS(INDEX($AI$2:$AI$1001,MATCH(ROWS($AG$2:AG956),$AG$2:$AG$1001,0),0), INDEX($AN$1004:$BO$1004,1,MATCH(COLUMNS($AN$1006:BK1006),$AN$1006:$BO$1006,0)))),"Fix")))</f>
        <v>0</v>
      </c>
      <c r="Z956" s="4">
        <f>IF(OR(INDEX($AH$2:$AH$1001,MATCH(ROWS($AG$2:AG956),$AG$2:$AG$1001,0),1)&gt;=100000,INDEX($AN$1005:$BO$1005,1,MATCH(COLUMNS($AN$1006:BL1006),$AN$1006:$BO$1006,0))&gt;=100000), " ",IF(INDEX($AN$2:$BO$1001,MATCH(ROWS($AG$2:AG956),$AG$2:$AG$1001,0),MATCH(COLUMNS($AN$1006:BL1006),$AN$1006:$BO$1006,0)), HYPERLINK("#",""), HYPERLINK(CONCATENATE("#Metadata!", ADDRESS(INDEX($AI$2:$AI$1001,MATCH(ROWS($AG$2:AG956),$AG$2:$AG$1001,0),0), INDEX($AN$1004:$BO$1004,1,MATCH(COLUMNS($AN$1006:BL1006),$AN$1006:$BO$1006,0)))),"Fix")))</f>
        <v>0</v>
      </c>
      <c r="AA956" s="4">
        <f>IF(OR(INDEX($AH$2:$AH$1001,MATCH(ROWS($AG$2:AG956),$AG$2:$AG$1001,0),1)&gt;=100000,INDEX($AN$1005:$BO$1005,1,MATCH(COLUMNS($AN$1006:BM1006),$AN$1006:$BO$1006,0))&gt;=100000), " ",IF(INDEX($AN$2:$BO$1001,MATCH(ROWS($AG$2:AG956),$AG$2:$AG$1001,0),MATCH(COLUMNS($AN$1006:BM1006),$AN$1006:$BO$1006,0)), HYPERLINK("#",""), HYPERLINK(CONCATENATE("#Metadata!", ADDRESS(INDEX($AI$2:$AI$1001,MATCH(ROWS($AG$2:AG956),$AG$2:$AG$1001,0),0), INDEX($AN$1004:$BO$1004,1,MATCH(COLUMNS($AN$1006:BM1006),$AN$1006:$BO$1006,0)))),"Fix")))</f>
        <v>0</v>
      </c>
      <c r="AB956" s="4">
        <f>IF(OR(INDEX($AH$2:$AH$1001,MATCH(ROWS($AG$2:AG956),$AG$2:$AG$1001,0),1)&gt;=100000,INDEX($AN$1005:$BO$1005,1,MATCH(COLUMNS($AN$1006:BN1006),$AN$1006:$BO$1006,0))&gt;=100000), " ",IF(INDEX($AN$2:$BO$1001,MATCH(ROWS($AG$2:AG956),$AG$2:$AG$1001,0),MATCH(COLUMNS($AN$1006:BN1006),$AN$1006:$BO$1006,0)), HYPERLINK("#",""), HYPERLINK(CONCATENATE("#Metadata!", ADDRESS(INDEX($AI$2:$AI$1001,MATCH(ROWS($AG$2:AG956),$AG$2:$AG$1001,0),0), INDEX($AN$1004:$BO$1004,1,MATCH(COLUMNS($AN$1006:BN1006),$AN$1006:$BO$1006,0)))),"Fix")))</f>
        <v>0</v>
      </c>
      <c r="AC956" s="4">
        <f>IF(OR(INDEX($AH$2:$AH$1001,MATCH(ROWS($AG$2:AG956),$AG$2:$AG$1001,0),1)&gt;=100000,INDEX($AN$1005:$BO$1005,1,MATCH(COLUMNS($AN$1006:BO1006),$AN$1006:$BO$1006,0))&gt;=100000), " ",IF(INDEX($AN$2:$BO$1001,MATCH(ROWS($AG$2:AG956),$AG$2:$AG$1001,0),MATCH(COLUMNS($AN$1006:BO1006),$AN$1006:$BO$1006,0)), HYPERLINK("#",""), HYPERLINK(CONCATENATE("#Metadata!", ADDRESS(INDEX($AI$2:$AI$1001,MATCH(ROWS($AG$2:AG956),$AG$2:$AG$1001,0),0), INDEX($AN$1004:$BO$1004,1,MATCH(COLUMNS($AN$1006:BO1006),$AN$1006:$BO$1006,0)))),"Fix")))</f>
        <v>0</v>
      </c>
      <c r="AG956">
        <v>0</v>
      </c>
      <c r="AH956">
        <v>0</v>
      </c>
      <c r="AI956">
        <v>0</v>
      </c>
      <c r="AJ956">
        <f>IF(AK956,TRUE,AND(AN956:BO956))</f>
        <v>0</v>
      </c>
      <c r="AK956">
        <f>COUNTBLANK(Metadata!B956:AC956)=COLUMNS(Metadata!B956:AC956)</f>
        <v>0</v>
      </c>
      <c r="AL956">
        <v>0</v>
      </c>
      <c r="AN956">
        <f>AND(IF(Metadata!B956="",FALSE,TRUE),COUNTIF(Metadata!B:B, Metadata!B956) = 1,NOT(ISERROR(SUMPRODUCT(SEARCH(MID(Metadata!B956,ROW(INDIRECT("1:"&amp;LEN(Metadata!B956))), 1),"0123456789abcdefghijklmnopqrstuvwxyzABCDEFGHIJKLMNOPQRSTUVWXYZ.")))))</f>
        <v>0</v>
      </c>
      <c r="AO956">
        <f>IF(Metadata!C956="",FALSE,TRUE)</f>
        <v>0</v>
      </c>
      <c r="AP956">
        <f>IF(Metadata!D956="",FALSE,TRUE)</f>
        <v>0</v>
      </c>
      <c r="AQ956">
        <f>OR(AND(IF(Metadata!E956="",FALSE,TRUE),OR(exact(Metadata!E956,"not collected"),exact(Metadata!E956,"not provided"),exact(Metadata!E956,"restricted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R956">
        <f>IF(Metadata!F956="",FALSE,TRUE)</f>
        <v>0</v>
      </c>
      <c r="AS956">
        <f>OR(AND(IF(Metadata!G956="",FALSE,TRUE),OR(exact(Metadata!G956,"not collected"),exact(Metadata!G956,"not provided"))),AND(IF(Metadata!G956="",FALSE,TRUE),OR(exact(Metadata!G956,"TRUE"),exact(Metadata!G956,"FALSE"))))</f>
        <v>0</v>
      </c>
      <c r="AT956">
        <f>OR(AND(IF(Metadata!H956="",FALSE,TRUE),OR(exact(Metadata!H956,"not collected"),exact(Metadata!H956,"not provided"),exact(Metadata!H956,"restricted access"))),AND(IF(Metadata!H956="",FALSE,ISNUMBER(VALUE(Metadata!H956))),Metadata!H956&gt;=-413.0))</f>
        <v>0</v>
      </c>
      <c r="AU956">
        <f>AND(IF(Metadata!I956="",FALSE,TRUE),exact(Metadata!I956,"meters"))</f>
        <v>0</v>
      </c>
      <c r="AV956">
        <f>AND(IF(Metadata!J956="",FALSE,TRUE),OR(exact(Metadata!J956,"Host-associated"),exact(Metadata!J956,"Free-living")))</f>
        <v>0</v>
      </c>
      <c r="AW956">
        <f>AND(IF(Metadata!K956="",FALSE,TRUE),OR(exact(Metadata!K956,"Animal"),exact(Metadata!K956,"Fungus"),exact(Metadata!K956,"Plant"),exact(Metadata!K956,"Saline"),exact(Metadata!K956,"Non-saline")))</f>
        <v>0</v>
      </c>
      <c r="AX956">
        <f>AND(IF(Metadata!L956="",FALSE,TRUE),OR(exact(Metadata!L956,"Plant secretion"),exact(Metadata!L956,"Plant rhizosphere"),exact(Metadata!L956,"Plant surface"),exact(Metadata!L956,"Plant corpus"),exact(Metadata!L956,"Fungus surface"),exact(Metadata!L956,"Fungus corpus"),exact(Metadata!L956,"Animal surface"),exact(Metadata!L956,"Animal proximal gut"),exact(Metadata!L956,"Animal corpus"),exact(Metadata!L956,"Animal distal gut"),exact(Metadata!L956,"Animal secretion"),exact(Metadata!L956,"Sub-surface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Y956">
        <f>IF(Metadata!M956="",FALSE,TRUE)</f>
        <v>0</v>
      </c>
      <c r="AZ956">
        <f>IF(Metadata!N956="",FALSE,TRUE)</f>
        <v>0</v>
      </c>
      <c r="BA956">
        <f>IF(Metadata!O956="",FALSE,TRUE)</f>
        <v>0</v>
      </c>
      <c r="BB956">
        <f>OR(AND(IF(Metadata!P956="",FALSE,TRUE),OR(exact(Metadata!P956,"not collected"),exact(Metadata!P956,"not provided"),exact(Metadata!P956,"restricted access"))),AND(IF(Metadata!P956="",FALSE,TRUE),OR(exact(Metadata!P956,"air"),exact(Metadata!P956,"built environment"),exact(Metadata!P956,"host-associated"),exact(Metadata!P956,"human-associated"),exact(Metadata!P956,"human-skin"),exact(Metadata!P956,"human-oral"),exact(Metadata!P956,"human-gut"),exact(Metadata!P956,"human-vaginal"),exact(Metadata!P956,"microbial mat/biofilm"),exact(Metadata!P956,"misc environment"),exact(Metadata!P956,"plant-associated"),exact(Metadata!P956,"sediment"),exact(Metadata!P956,"soil"),exact(Metadata!P956,"wastewater/sludge"),exact(Metadata!P956,"water"))))</f>
        <v>0</v>
      </c>
      <c r="BC956">
        <f>IF(Metadata!Q956="",FALSE,TRUE)</f>
        <v>0</v>
      </c>
      <c r="BD956">
        <f>IF(Metadata!R956="",FALSE,TRUE)</f>
        <v>0</v>
      </c>
      <c r="BE956">
        <f>OR(AND(IF(Metadata!S956="",FALSE,TRUE),OR(exact(Metadata!S956,"not collected"),exact(Metadata!S956,"not provided"),exact(Metadata!S956,"restricted access"))),AND(IF(Metadata!S956="",FALSE,ISNUMBER(VALUE(Metadata!S956))),Metadata!S956&gt;=-90.00,Metadata!S956&lt;=90.00))</f>
        <v>0</v>
      </c>
      <c r="BF956">
        <f>AND(IF(Metadata!T956="",FALSE,TRUE),exact(Metadata!T956,"Decimal degrees"))</f>
        <v>0</v>
      </c>
      <c r="BG956">
        <f>OR(AND(IF(Metadata!U956="",FALSE,TRUE),OR(exact(Metadata!U956,"not collected"),exact(Metadata!U956,"not provided"),exact(Metadata!U956,"restricted access"))),AND(IF(Metadata!U956="",FALSE,ISNUMBER(VALUE(Metadata!U956))),Metadata!U956&gt;=-180.00,Metadata!U956&lt;=180.00))</f>
        <v>0</v>
      </c>
      <c r="BH956">
        <f>AND(IF(Metadata!V956="",FALSE,TRUE),exact(Metadata!V956,"Decimal degrees"))</f>
        <v>0</v>
      </c>
      <c r="BI956">
        <f>IF(Metadata!W956="",FALSE,TRUE)</f>
        <v>0</v>
      </c>
      <c r="BJ956">
        <f>OR(AND(IF(Metadata!X956="",FALSE,TRUE),OR(exact(Metadata!X956,"not collected"),exact(Metadata!X956,"not provided"),exact(Metadata!X956,"restricted access"))),AND(IF(Metadata!X956="",FALSE,TRUE),OR(exact(Metadata!X956,"TRUE"),exact(Metadata!X956,"FALSE"))))</f>
        <v>0</v>
      </c>
      <c r="BK956">
        <f>AND(IF(Metadata!Y956="",FALSE,TRUE),exact(Metadata!Y956,"other"))</f>
        <v>0</v>
      </c>
      <c r="BL956">
        <f>IF(Metadata!Z956="",FALSE,TRUE)</f>
        <v>0</v>
      </c>
      <c r="BM956">
        <f>OR(AND(IF(Metadata!AA956="",FALSE,TRUE),OR(exact(Metadata!AA956,"not collected"),exact(Metadata!AA956,"not provided"))),AND(IF(Metadata!AA956="",FALSE,IF(ISERROR(INT(Metadata!AA956)),FALSE,INT(Metadata!AA956)=Metadata!AA956)),Metadata!AA956&gt;0))</f>
        <v>0</v>
      </c>
      <c r="BN956">
        <f>AND(IF(Metadata!AB956="",FALSE,TRUE),exact(Metadata!AB956,"Not applicable"))</f>
        <v>0</v>
      </c>
      <c r="BO956">
        <f>IF(Metadata!AC956="",FALSE,TRUE)</f>
        <v>0</v>
      </c>
    </row>
    <row r="957" spans="1:67">
      <c r="A957" s="5">
        <f>IF(B957=" "," ",HYPERLINK(CONCATENATE("#metadata!",ADDRESS(INDEX($AI$2:$AI$1001,MATCH(ROWS($AG$2:AG957),$AG$2:$AG$1001,0),0),1)),INDEX($AL$2:$AL$1001,MATCH(ROWS($AG$2:AG957),$AG$2:$AG$1001,0),0)))</f>
        <v>0</v>
      </c>
      <c r="B957" s="4">
        <f>IF(OR(INDEX($AH$2:$AH$1001,MATCH(ROWS($AG$2:AG957),$AG$2:$AG$1001,0),1)&gt;=100000,INDEX($AN$1005:$BO$1005,1,MATCH(COLUMNS($AN$1006:AN1006),$AN$1006:$BO$1006,0))&gt;=100000), " ",IF(INDEX($AN$2:$BO$1001,MATCH(ROWS($AG$2:AG957),$AG$2:$AG$1001,0),MATCH(COLUMNS($AN$1006:AN1006),$AN$1006:$BO$1006,0)), HYPERLINK("#",""), HYPERLINK(CONCATENATE("#Metadata!", ADDRESS(INDEX($AI$2:$AI$1001,MATCH(ROWS($AG$2:AG957),$AG$2:$AG$1001,0),0), INDEX($AN$1004:$BO$1004,1,MATCH(COLUMNS($AN$1006:AN1006),$AN$1006:$BO$1006,0)))),"Fix")))</f>
        <v>0</v>
      </c>
      <c r="C957" s="4">
        <f>IF(OR(INDEX($AH$2:$AH$1001,MATCH(ROWS($AG$2:AG957),$AG$2:$AG$1001,0),1)&gt;=100000,INDEX($AN$1005:$BO$1005,1,MATCH(COLUMNS($AN$1006:AO1006),$AN$1006:$BO$1006,0))&gt;=100000), " ",IF(INDEX($AN$2:$BO$1001,MATCH(ROWS($AG$2:AG957),$AG$2:$AG$1001,0),MATCH(COLUMNS($AN$1006:AO1006),$AN$1006:$BO$1006,0)), HYPERLINK("#",""), HYPERLINK(CONCATENATE("#Metadata!", ADDRESS(INDEX($AI$2:$AI$1001,MATCH(ROWS($AG$2:AG957),$AG$2:$AG$1001,0),0), INDEX($AN$1004:$BO$1004,1,MATCH(COLUMNS($AN$1006:AO1006),$AN$1006:$BO$1006,0)))),"Fix")))</f>
        <v>0</v>
      </c>
      <c r="D957" s="4">
        <f>IF(OR(INDEX($AH$2:$AH$1001,MATCH(ROWS($AG$2:AG957),$AG$2:$AG$1001,0),1)&gt;=100000,INDEX($AN$1005:$BO$1005,1,MATCH(COLUMNS($AN$1006:AP1006),$AN$1006:$BO$1006,0))&gt;=100000), " ",IF(INDEX($AN$2:$BO$1001,MATCH(ROWS($AG$2:AG957),$AG$2:$AG$1001,0),MATCH(COLUMNS($AN$1006:AP1006),$AN$1006:$BO$1006,0)), HYPERLINK("#",""), HYPERLINK(CONCATENATE("#Metadata!", ADDRESS(INDEX($AI$2:$AI$1001,MATCH(ROWS($AG$2:AG957),$AG$2:$AG$1001,0),0), INDEX($AN$1004:$BO$1004,1,MATCH(COLUMNS($AN$1006:AP1006),$AN$1006:$BO$1006,0)))),"Fix")))</f>
        <v>0</v>
      </c>
      <c r="E957" s="4">
        <f>IF(OR(INDEX($AH$2:$AH$1001,MATCH(ROWS($AG$2:AG957),$AG$2:$AG$1001,0),1)&gt;=100000,INDEX($AN$1005:$BO$1005,1,MATCH(COLUMNS($AN$1006:AQ1006),$AN$1006:$BO$1006,0))&gt;=100000), " ",IF(INDEX($AN$2:$BO$1001,MATCH(ROWS($AG$2:AG957),$AG$2:$AG$1001,0),MATCH(COLUMNS($AN$1006:AQ1006),$AN$1006:$BO$1006,0)), HYPERLINK("#",""), HYPERLINK(CONCATENATE("#Metadata!", ADDRESS(INDEX($AI$2:$AI$1001,MATCH(ROWS($AG$2:AG957),$AG$2:$AG$1001,0),0), INDEX($AN$1004:$BO$1004,1,MATCH(COLUMNS($AN$1006:AQ1006),$AN$1006:$BO$1006,0)))),"Fix")))</f>
        <v>0</v>
      </c>
      <c r="F957" s="4">
        <f>IF(OR(INDEX($AH$2:$AH$1001,MATCH(ROWS($AG$2:AG957),$AG$2:$AG$1001,0),1)&gt;=100000,INDEX($AN$1005:$BO$1005,1,MATCH(COLUMNS($AN$1006:AR1006),$AN$1006:$BO$1006,0))&gt;=100000), " ",IF(INDEX($AN$2:$BO$1001,MATCH(ROWS($AG$2:AG957),$AG$2:$AG$1001,0),MATCH(COLUMNS($AN$1006:AR1006),$AN$1006:$BO$1006,0)), HYPERLINK("#",""), HYPERLINK(CONCATENATE("#Metadata!", ADDRESS(INDEX($AI$2:$AI$1001,MATCH(ROWS($AG$2:AG957),$AG$2:$AG$1001,0),0), INDEX($AN$1004:$BO$1004,1,MATCH(COLUMNS($AN$1006:AR1006),$AN$1006:$BO$1006,0)))),"Fix")))</f>
        <v>0</v>
      </c>
      <c r="G957" s="4">
        <f>IF(OR(INDEX($AH$2:$AH$1001,MATCH(ROWS($AG$2:AG957),$AG$2:$AG$1001,0),1)&gt;=100000,INDEX($AN$1005:$BO$1005,1,MATCH(COLUMNS($AN$1006:AS1006),$AN$1006:$BO$1006,0))&gt;=100000), " ",IF(INDEX($AN$2:$BO$1001,MATCH(ROWS($AG$2:AG957),$AG$2:$AG$1001,0),MATCH(COLUMNS($AN$1006:AS1006),$AN$1006:$BO$1006,0)), HYPERLINK("#",""), HYPERLINK(CONCATENATE("#Metadata!", ADDRESS(INDEX($AI$2:$AI$1001,MATCH(ROWS($AG$2:AG957),$AG$2:$AG$1001,0),0), INDEX($AN$1004:$BO$1004,1,MATCH(COLUMNS($AN$1006:AS1006),$AN$1006:$BO$1006,0)))),"Fix")))</f>
        <v>0</v>
      </c>
      <c r="H957" s="4">
        <f>IF(OR(INDEX($AH$2:$AH$1001,MATCH(ROWS($AG$2:AG957),$AG$2:$AG$1001,0),1)&gt;=100000,INDEX($AN$1005:$BO$1005,1,MATCH(COLUMNS($AN$1006:AT1006),$AN$1006:$BO$1006,0))&gt;=100000), " ",IF(INDEX($AN$2:$BO$1001,MATCH(ROWS($AG$2:AG957),$AG$2:$AG$1001,0),MATCH(COLUMNS($AN$1006:AT1006),$AN$1006:$BO$1006,0)), HYPERLINK("#",""), HYPERLINK(CONCATENATE("#Metadata!", ADDRESS(INDEX($AI$2:$AI$1001,MATCH(ROWS($AG$2:AG957),$AG$2:$AG$1001,0),0), INDEX($AN$1004:$BO$1004,1,MATCH(COLUMNS($AN$1006:AT1006),$AN$1006:$BO$1006,0)))),"Fix")))</f>
        <v>0</v>
      </c>
      <c r="I957" s="4">
        <f>IF(OR(INDEX($AH$2:$AH$1001,MATCH(ROWS($AG$2:AG957),$AG$2:$AG$1001,0),1)&gt;=100000,INDEX($AN$1005:$BO$1005,1,MATCH(COLUMNS($AN$1006:AU1006),$AN$1006:$BO$1006,0))&gt;=100000), " ",IF(INDEX($AN$2:$BO$1001,MATCH(ROWS($AG$2:AG957),$AG$2:$AG$1001,0),MATCH(COLUMNS($AN$1006:AU1006),$AN$1006:$BO$1006,0)), HYPERLINK("#",""), HYPERLINK(CONCATENATE("#Metadata!", ADDRESS(INDEX($AI$2:$AI$1001,MATCH(ROWS($AG$2:AG957),$AG$2:$AG$1001,0),0), INDEX($AN$1004:$BO$1004,1,MATCH(COLUMNS($AN$1006:AU1006),$AN$1006:$BO$1006,0)))),"Fix")))</f>
        <v>0</v>
      </c>
      <c r="J957" s="4">
        <f>IF(OR(INDEX($AH$2:$AH$1001,MATCH(ROWS($AG$2:AG957),$AG$2:$AG$1001,0),1)&gt;=100000,INDEX($AN$1005:$BO$1005,1,MATCH(COLUMNS($AN$1006:AV1006),$AN$1006:$BO$1006,0))&gt;=100000), " ",IF(INDEX($AN$2:$BO$1001,MATCH(ROWS($AG$2:AG957),$AG$2:$AG$1001,0),MATCH(COLUMNS($AN$1006:AV1006),$AN$1006:$BO$1006,0)), HYPERLINK("#",""), HYPERLINK(CONCATENATE("#Metadata!", ADDRESS(INDEX($AI$2:$AI$1001,MATCH(ROWS($AG$2:AG957),$AG$2:$AG$1001,0),0), INDEX($AN$1004:$BO$1004,1,MATCH(COLUMNS($AN$1006:AV1006),$AN$1006:$BO$1006,0)))),"Fix")))</f>
        <v>0</v>
      </c>
      <c r="K957" s="4">
        <f>IF(OR(INDEX($AH$2:$AH$1001,MATCH(ROWS($AG$2:AG957),$AG$2:$AG$1001,0),1)&gt;=100000,INDEX($AN$1005:$BO$1005,1,MATCH(COLUMNS($AN$1006:AW1006),$AN$1006:$BO$1006,0))&gt;=100000), " ",IF(INDEX($AN$2:$BO$1001,MATCH(ROWS($AG$2:AG957),$AG$2:$AG$1001,0),MATCH(COLUMNS($AN$1006:AW1006),$AN$1006:$BO$1006,0)), HYPERLINK("#",""), HYPERLINK(CONCATENATE("#Metadata!", ADDRESS(INDEX($AI$2:$AI$1001,MATCH(ROWS($AG$2:AG957),$AG$2:$AG$1001,0),0), INDEX($AN$1004:$BO$1004,1,MATCH(COLUMNS($AN$1006:AW1006),$AN$1006:$BO$1006,0)))),"Fix")))</f>
        <v>0</v>
      </c>
      <c r="L957" s="4">
        <f>IF(OR(INDEX($AH$2:$AH$1001,MATCH(ROWS($AG$2:AG957),$AG$2:$AG$1001,0),1)&gt;=100000,INDEX($AN$1005:$BO$1005,1,MATCH(COLUMNS($AN$1006:AX1006),$AN$1006:$BO$1006,0))&gt;=100000), " ",IF(INDEX($AN$2:$BO$1001,MATCH(ROWS($AG$2:AG957),$AG$2:$AG$1001,0),MATCH(COLUMNS($AN$1006:AX1006),$AN$1006:$BO$1006,0)), HYPERLINK("#",""), HYPERLINK(CONCATENATE("#Metadata!", ADDRESS(INDEX($AI$2:$AI$1001,MATCH(ROWS($AG$2:AG957),$AG$2:$AG$1001,0),0), INDEX($AN$1004:$BO$1004,1,MATCH(COLUMNS($AN$1006:AX1006),$AN$1006:$BO$1006,0)))),"Fix")))</f>
        <v>0</v>
      </c>
      <c r="M957" s="4">
        <f>IF(OR(INDEX($AH$2:$AH$1001,MATCH(ROWS($AG$2:AG957),$AG$2:$AG$1001,0),1)&gt;=100000,INDEX($AN$1005:$BO$1005,1,MATCH(COLUMNS($AN$1006:AY1006),$AN$1006:$BO$1006,0))&gt;=100000), " ",IF(INDEX($AN$2:$BO$1001,MATCH(ROWS($AG$2:AG957),$AG$2:$AG$1001,0),MATCH(COLUMNS($AN$1006:AY1006),$AN$1006:$BO$1006,0)), HYPERLINK("#",""), HYPERLINK(CONCATENATE("#Metadata!", ADDRESS(INDEX($AI$2:$AI$1001,MATCH(ROWS($AG$2:AG957),$AG$2:$AG$1001,0),0), INDEX($AN$1004:$BO$1004,1,MATCH(COLUMNS($AN$1006:AY1006),$AN$1006:$BO$1006,0)))),"Fix")))</f>
        <v>0</v>
      </c>
      <c r="N957" s="4">
        <f>IF(OR(INDEX($AH$2:$AH$1001,MATCH(ROWS($AG$2:AG957),$AG$2:$AG$1001,0),1)&gt;=100000,INDEX($AN$1005:$BO$1005,1,MATCH(COLUMNS($AN$1006:AZ1006),$AN$1006:$BO$1006,0))&gt;=100000), " ",IF(INDEX($AN$2:$BO$1001,MATCH(ROWS($AG$2:AG957),$AG$2:$AG$1001,0),MATCH(COLUMNS($AN$1006:AZ1006),$AN$1006:$BO$1006,0)), HYPERLINK("#",""), HYPERLINK(CONCATENATE("#Metadata!", ADDRESS(INDEX($AI$2:$AI$1001,MATCH(ROWS($AG$2:AG957),$AG$2:$AG$1001,0),0), INDEX($AN$1004:$BO$1004,1,MATCH(COLUMNS($AN$1006:AZ1006),$AN$1006:$BO$1006,0)))),"Fix")))</f>
        <v>0</v>
      </c>
      <c r="O957" s="4">
        <f>IF(OR(INDEX($AH$2:$AH$1001,MATCH(ROWS($AG$2:AG957),$AG$2:$AG$1001,0),1)&gt;=100000,INDEX($AN$1005:$BO$1005,1,MATCH(COLUMNS($AN$1006:BA1006),$AN$1006:$BO$1006,0))&gt;=100000), " ",IF(INDEX($AN$2:$BO$1001,MATCH(ROWS($AG$2:AG957),$AG$2:$AG$1001,0),MATCH(COLUMNS($AN$1006:BA1006),$AN$1006:$BO$1006,0)), HYPERLINK("#",""), HYPERLINK(CONCATENATE("#Metadata!", ADDRESS(INDEX($AI$2:$AI$1001,MATCH(ROWS($AG$2:AG957),$AG$2:$AG$1001,0),0), INDEX($AN$1004:$BO$1004,1,MATCH(COLUMNS($AN$1006:BA1006),$AN$1006:$BO$1006,0)))),"Fix")))</f>
        <v>0</v>
      </c>
      <c r="P957" s="4">
        <f>IF(OR(INDEX($AH$2:$AH$1001,MATCH(ROWS($AG$2:AG957),$AG$2:$AG$1001,0),1)&gt;=100000,INDEX($AN$1005:$BO$1005,1,MATCH(COLUMNS($AN$1006:BB1006),$AN$1006:$BO$1006,0))&gt;=100000), " ",IF(INDEX($AN$2:$BO$1001,MATCH(ROWS($AG$2:AG957),$AG$2:$AG$1001,0),MATCH(COLUMNS($AN$1006:BB1006),$AN$1006:$BO$1006,0)), HYPERLINK("#",""), HYPERLINK(CONCATENATE("#Metadata!", ADDRESS(INDEX($AI$2:$AI$1001,MATCH(ROWS($AG$2:AG957),$AG$2:$AG$1001,0),0), INDEX($AN$1004:$BO$1004,1,MATCH(COLUMNS($AN$1006:BB1006),$AN$1006:$BO$1006,0)))),"Fix")))</f>
        <v>0</v>
      </c>
      <c r="Q957" s="4">
        <f>IF(OR(INDEX($AH$2:$AH$1001,MATCH(ROWS($AG$2:AG957),$AG$2:$AG$1001,0),1)&gt;=100000,INDEX($AN$1005:$BO$1005,1,MATCH(COLUMNS($AN$1006:BC1006),$AN$1006:$BO$1006,0))&gt;=100000), " ",IF(INDEX($AN$2:$BO$1001,MATCH(ROWS($AG$2:AG957),$AG$2:$AG$1001,0),MATCH(COLUMNS($AN$1006:BC1006),$AN$1006:$BO$1006,0)), HYPERLINK("#",""), HYPERLINK(CONCATENATE("#Metadata!", ADDRESS(INDEX($AI$2:$AI$1001,MATCH(ROWS($AG$2:AG957),$AG$2:$AG$1001,0),0), INDEX($AN$1004:$BO$1004,1,MATCH(COLUMNS($AN$1006:BC1006),$AN$1006:$BO$1006,0)))),"Fix")))</f>
        <v>0</v>
      </c>
      <c r="R957" s="4">
        <f>IF(OR(INDEX($AH$2:$AH$1001,MATCH(ROWS($AG$2:AG957),$AG$2:$AG$1001,0),1)&gt;=100000,INDEX($AN$1005:$BO$1005,1,MATCH(COLUMNS($AN$1006:BD1006),$AN$1006:$BO$1006,0))&gt;=100000), " ",IF(INDEX($AN$2:$BO$1001,MATCH(ROWS($AG$2:AG957),$AG$2:$AG$1001,0),MATCH(COLUMNS($AN$1006:BD1006),$AN$1006:$BO$1006,0)), HYPERLINK("#",""), HYPERLINK(CONCATENATE("#Metadata!", ADDRESS(INDEX($AI$2:$AI$1001,MATCH(ROWS($AG$2:AG957),$AG$2:$AG$1001,0),0), INDEX($AN$1004:$BO$1004,1,MATCH(COLUMNS($AN$1006:BD1006),$AN$1006:$BO$1006,0)))),"Fix")))</f>
        <v>0</v>
      </c>
      <c r="S957" s="4">
        <f>IF(OR(INDEX($AH$2:$AH$1001,MATCH(ROWS($AG$2:AG957),$AG$2:$AG$1001,0),1)&gt;=100000,INDEX($AN$1005:$BO$1005,1,MATCH(COLUMNS($AN$1006:BE1006),$AN$1006:$BO$1006,0))&gt;=100000), " ",IF(INDEX($AN$2:$BO$1001,MATCH(ROWS($AG$2:AG957),$AG$2:$AG$1001,0),MATCH(COLUMNS($AN$1006:BE1006),$AN$1006:$BO$1006,0)), HYPERLINK("#",""), HYPERLINK(CONCATENATE("#Metadata!", ADDRESS(INDEX($AI$2:$AI$1001,MATCH(ROWS($AG$2:AG957),$AG$2:$AG$1001,0),0), INDEX($AN$1004:$BO$1004,1,MATCH(COLUMNS($AN$1006:BE1006),$AN$1006:$BO$1006,0)))),"Fix")))</f>
        <v>0</v>
      </c>
      <c r="T957" s="4">
        <f>IF(OR(INDEX($AH$2:$AH$1001,MATCH(ROWS($AG$2:AG957),$AG$2:$AG$1001,0),1)&gt;=100000,INDEX($AN$1005:$BO$1005,1,MATCH(COLUMNS($AN$1006:BF1006),$AN$1006:$BO$1006,0))&gt;=100000), " ",IF(INDEX($AN$2:$BO$1001,MATCH(ROWS($AG$2:AG957),$AG$2:$AG$1001,0),MATCH(COLUMNS($AN$1006:BF1006),$AN$1006:$BO$1006,0)), HYPERLINK("#",""), HYPERLINK(CONCATENATE("#Metadata!", ADDRESS(INDEX($AI$2:$AI$1001,MATCH(ROWS($AG$2:AG957),$AG$2:$AG$1001,0),0), INDEX($AN$1004:$BO$1004,1,MATCH(COLUMNS($AN$1006:BF1006),$AN$1006:$BO$1006,0)))),"Fix")))</f>
        <v>0</v>
      </c>
      <c r="U957" s="4">
        <f>IF(OR(INDEX($AH$2:$AH$1001,MATCH(ROWS($AG$2:AG957),$AG$2:$AG$1001,0),1)&gt;=100000,INDEX($AN$1005:$BO$1005,1,MATCH(COLUMNS($AN$1006:BG1006),$AN$1006:$BO$1006,0))&gt;=100000), " ",IF(INDEX($AN$2:$BO$1001,MATCH(ROWS($AG$2:AG957),$AG$2:$AG$1001,0),MATCH(COLUMNS($AN$1006:BG1006),$AN$1006:$BO$1006,0)), HYPERLINK("#",""), HYPERLINK(CONCATENATE("#Metadata!", ADDRESS(INDEX($AI$2:$AI$1001,MATCH(ROWS($AG$2:AG957),$AG$2:$AG$1001,0),0), INDEX($AN$1004:$BO$1004,1,MATCH(COLUMNS($AN$1006:BG1006),$AN$1006:$BO$1006,0)))),"Fix")))</f>
        <v>0</v>
      </c>
      <c r="V957" s="4">
        <f>IF(OR(INDEX($AH$2:$AH$1001,MATCH(ROWS($AG$2:AG957),$AG$2:$AG$1001,0),1)&gt;=100000,INDEX($AN$1005:$BO$1005,1,MATCH(COLUMNS($AN$1006:BH1006),$AN$1006:$BO$1006,0))&gt;=100000), " ",IF(INDEX($AN$2:$BO$1001,MATCH(ROWS($AG$2:AG957),$AG$2:$AG$1001,0),MATCH(COLUMNS($AN$1006:BH1006),$AN$1006:$BO$1006,0)), HYPERLINK("#",""), HYPERLINK(CONCATENATE("#Metadata!", ADDRESS(INDEX($AI$2:$AI$1001,MATCH(ROWS($AG$2:AG957),$AG$2:$AG$1001,0),0), INDEX($AN$1004:$BO$1004,1,MATCH(COLUMNS($AN$1006:BH1006),$AN$1006:$BO$1006,0)))),"Fix")))</f>
        <v>0</v>
      </c>
      <c r="W957" s="4">
        <f>IF(OR(INDEX($AH$2:$AH$1001,MATCH(ROWS($AG$2:AG957),$AG$2:$AG$1001,0),1)&gt;=100000,INDEX($AN$1005:$BO$1005,1,MATCH(COLUMNS($AN$1006:BI1006),$AN$1006:$BO$1006,0))&gt;=100000), " ",IF(INDEX($AN$2:$BO$1001,MATCH(ROWS($AG$2:AG957),$AG$2:$AG$1001,0),MATCH(COLUMNS($AN$1006:BI1006),$AN$1006:$BO$1006,0)), HYPERLINK("#",""), HYPERLINK(CONCATENATE("#Metadata!", ADDRESS(INDEX($AI$2:$AI$1001,MATCH(ROWS($AG$2:AG957),$AG$2:$AG$1001,0),0), INDEX($AN$1004:$BO$1004,1,MATCH(COLUMNS($AN$1006:BI1006),$AN$1006:$BO$1006,0)))),"Fix")))</f>
        <v>0</v>
      </c>
      <c r="X957" s="4">
        <f>IF(OR(INDEX($AH$2:$AH$1001,MATCH(ROWS($AG$2:AG957),$AG$2:$AG$1001,0),1)&gt;=100000,INDEX($AN$1005:$BO$1005,1,MATCH(COLUMNS($AN$1006:BJ1006),$AN$1006:$BO$1006,0))&gt;=100000), " ",IF(INDEX($AN$2:$BO$1001,MATCH(ROWS($AG$2:AG957),$AG$2:$AG$1001,0),MATCH(COLUMNS($AN$1006:BJ1006),$AN$1006:$BO$1006,0)), HYPERLINK("#",""), HYPERLINK(CONCATENATE("#Metadata!", ADDRESS(INDEX($AI$2:$AI$1001,MATCH(ROWS($AG$2:AG957),$AG$2:$AG$1001,0),0), INDEX($AN$1004:$BO$1004,1,MATCH(COLUMNS($AN$1006:BJ1006),$AN$1006:$BO$1006,0)))),"Fix")))</f>
        <v>0</v>
      </c>
      <c r="Y957" s="4">
        <f>IF(OR(INDEX($AH$2:$AH$1001,MATCH(ROWS($AG$2:AG957),$AG$2:$AG$1001,0),1)&gt;=100000,INDEX($AN$1005:$BO$1005,1,MATCH(COLUMNS($AN$1006:BK1006),$AN$1006:$BO$1006,0))&gt;=100000), " ",IF(INDEX($AN$2:$BO$1001,MATCH(ROWS($AG$2:AG957),$AG$2:$AG$1001,0),MATCH(COLUMNS($AN$1006:BK1006),$AN$1006:$BO$1006,0)), HYPERLINK("#",""), HYPERLINK(CONCATENATE("#Metadata!", ADDRESS(INDEX($AI$2:$AI$1001,MATCH(ROWS($AG$2:AG957),$AG$2:$AG$1001,0),0), INDEX($AN$1004:$BO$1004,1,MATCH(COLUMNS($AN$1006:BK1006),$AN$1006:$BO$1006,0)))),"Fix")))</f>
        <v>0</v>
      </c>
      <c r="Z957" s="4">
        <f>IF(OR(INDEX($AH$2:$AH$1001,MATCH(ROWS($AG$2:AG957),$AG$2:$AG$1001,0),1)&gt;=100000,INDEX($AN$1005:$BO$1005,1,MATCH(COLUMNS($AN$1006:BL1006),$AN$1006:$BO$1006,0))&gt;=100000), " ",IF(INDEX($AN$2:$BO$1001,MATCH(ROWS($AG$2:AG957),$AG$2:$AG$1001,0),MATCH(COLUMNS($AN$1006:BL1006),$AN$1006:$BO$1006,0)), HYPERLINK("#",""), HYPERLINK(CONCATENATE("#Metadata!", ADDRESS(INDEX($AI$2:$AI$1001,MATCH(ROWS($AG$2:AG957),$AG$2:$AG$1001,0),0), INDEX($AN$1004:$BO$1004,1,MATCH(COLUMNS($AN$1006:BL1006),$AN$1006:$BO$1006,0)))),"Fix")))</f>
        <v>0</v>
      </c>
      <c r="AA957" s="4">
        <f>IF(OR(INDEX($AH$2:$AH$1001,MATCH(ROWS($AG$2:AG957),$AG$2:$AG$1001,0),1)&gt;=100000,INDEX($AN$1005:$BO$1005,1,MATCH(COLUMNS($AN$1006:BM1006),$AN$1006:$BO$1006,0))&gt;=100000), " ",IF(INDEX($AN$2:$BO$1001,MATCH(ROWS($AG$2:AG957),$AG$2:$AG$1001,0),MATCH(COLUMNS($AN$1006:BM1006),$AN$1006:$BO$1006,0)), HYPERLINK("#",""), HYPERLINK(CONCATENATE("#Metadata!", ADDRESS(INDEX($AI$2:$AI$1001,MATCH(ROWS($AG$2:AG957),$AG$2:$AG$1001,0),0), INDEX($AN$1004:$BO$1004,1,MATCH(COLUMNS($AN$1006:BM1006),$AN$1006:$BO$1006,0)))),"Fix")))</f>
        <v>0</v>
      </c>
      <c r="AB957" s="4">
        <f>IF(OR(INDEX($AH$2:$AH$1001,MATCH(ROWS($AG$2:AG957),$AG$2:$AG$1001,0),1)&gt;=100000,INDEX($AN$1005:$BO$1005,1,MATCH(COLUMNS($AN$1006:BN1006),$AN$1006:$BO$1006,0))&gt;=100000), " ",IF(INDEX($AN$2:$BO$1001,MATCH(ROWS($AG$2:AG957),$AG$2:$AG$1001,0),MATCH(COLUMNS($AN$1006:BN1006),$AN$1006:$BO$1006,0)), HYPERLINK("#",""), HYPERLINK(CONCATENATE("#Metadata!", ADDRESS(INDEX($AI$2:$AI$1001,MATCH(ROWS($AG$2:AG957),$AG$2:$AG$1001,0),0), INDEX($AN$1004:$BO$1004,1,MATCH(COLUMNS($AN$1006:BN1006),$AN$1006:$BO$1006,0)))),"Fix")))</f>
        <v>0</v>
      </c>
      <c r="AC957" s="4">
        <f>IF(OR(INDEX($AH$2:$AH$1001,MATCH(ROWS($AG$2:AG957),$AG$2:$AG$1001,0),1)&gt;=100000,INDEX($AN$1005:$BO$1005,1,MATCH(COLUMNS($AN$1006:BO1006),$AN$1006:$BO$1006,0))&gt;=100000), " ",IF(INDEX($AN$2:$BO$1001,MATCH(ROWS($AG$2:AG957),$AG$2:$AG$1001,0),MATCH(COLUMNS($AN$1006:BO1006),$AN$1006:$BO$1006,0)), HYPERLINK("#",""), HYPERLINK(CONCATENATE("#Metadata!", ADDRESS(INDEX($AI$2:$AI$1001,MATCH(ROWS($AG$2:AG957),$AG$2:$AG$1001,0),0), INDEX($AN$1004:$BO$1004,1,MATCH(COLUMNS($AN$1006:BO1006),$AN$1006:$BO$1006,0)))),"Fix")))</f>
        <v>0</v>
      </c>
      <c r="AG957">
        <v>0</v>
      </c>
      <c r="AH957">
        <v>0</v>
      </c>
      <c r="AI957">
        <v>0</v>
      </c>
      <c r="AJ957">
        <f>IF(AK957,TRUE,AND(AN957:BO957))</f>
        <v>0</v>
      </c>
      <c r="AK957">
        <f>COUNTBLANK(Metadata!B957:AC957)=COLUMNS(Metadata!B957:AC957)</f>
        <v>0</v>
      </c>
      <c r="AL957">
        <v>0</v>
      </c>
      <c r="AN957">
        <f>AND(IF(Metadata!B957="",FALSE,TRUE),COUNTIF(Metadata!B:B, Metadata!B957) = 1,NOT(ISERROR(SUMPRODUCT(SEARCH(MID(Metadata!B957,ROW(INDIRECT("1:"&amp;LEN(Metadata!B957))), 1),"0123456789abcdefghijklmnopqrstuvwxyzABCDEFGHIJKLMNOPQRSTUVWXYZ.")))))</f>
        <v>0</v>
      </c>
      <c r="AO957">
        <f>IF(Metadata!C957="",FALSE,TRUE)</f>
        <v>0</v>
      </c>
      <c r="AP957">
        <f>IF(Metadata!D957="",FALSE,TRUE)</f>
        <v>0</v>
      </c>
      <c r="AQ957">
        <f>OR(AND(IF(Metadata!E957="",FALSE,TRUE),OR(exact(Metadata!E957,"not collected"),exact(Metadata!E957,"not provided"),exact(Metadata!E957,"restricted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R957">
        <f>IF(Metadata!F957="",FALSE,TRUE)</f>
        <v>0</v>
      </c>
      <c r="AS957">
        <f>OR(AND(IF(Metadata!G957="",FALSE,TRUE),OR(exact(Metadata!G957,"not collected"),exact(Metadata!G957,"not provided"))),AND(IF(Metadata!G957="",FALSE,TRUE),OR(exact(Metadata!G957,"TRUE"),exact(Metadata!G957,"FALSE"))))</f>
        <v>0</v>
      </c>
      <c r="AT957">
        <f>OR(AND(IF(Metadata!H957="",FALSE,TRUE),OR(exact(Metadata!H957,"not collected"),exact(Metadata!H957,"not provided"),exact(Metadata!H957,"restricted access"))),AND(IF(Metadata!H957="",FALSE,ISNUMBER(VALUE(Metadata!H957))),Metadata!H957&gt;=-413.0))</f>
        <v>0</v>
      </c>
      <c r="AU957">
        <f>AND(IF(Metadata!I957="",FALSE,TRUE),exact(Metadata!I957,"meters"))</f>
        <v>0</v>
      </c>
      <c r="AV957">
        <f>AND(IF(Metadata!J957="",FALSE,TRUE),OR(exact(Metadata!J957,"Host-associated"),exact(Metadata!J957,"Free-living")))</f>
        <v>0</v>
      </c>
      <c r="AW957">
        <f>AND(IF(Metadata!K957="",FALSE,TRUE),OR(exact(Metadata!K957,"Animal"),exact(Metadata!K957,"Fungus"),exact(Metadata!K957,"Plant"),exact(Metadata!K957,"Saline"),exact(Metadata!K957,"Non-saline")))</f>
        <v>0</v>
      </c>
      <c r="AX957">
        <f>AND(IF(Metadata!L957="",FALSE,TRUE),OR(exact(Metadata!L957,"Plant secretion"),exact(Metadata!L957,"Plant rhizosphere"),exact(Metadata!L957,"Plant surface"),exact(Metadata!L957,"Plant corpus"),exact(Metadata!L957,"Fungus surface"),exact(Metadata!L957,"Fungus corpus"),exact(Metadata!L957,"Animal surface"),exact(Metadata!L957,"Animal proximal gut"),exact(Metadata!L957,"Animal corpus"),exact(Metadata!L957,"Animal distal gut"),exact(Metadata!L957,"Animal secretion"),exact(Metadata!L957,"Sub-surface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Y957">
        <f>IF(Metadata!M957="",FALSE,TRUE)</f>
        <v>0</v>
      </c>
      <c r="AZ957">
        <f>IF(Metadata!N957="",FALSE,TRUE)</f>
        <v>0</v>
      </c>
      <c r="BA957">
        <f>IF(Metadata!O957="",FALSE,TRUE)</f>
        <v>0</v>
      </c>
      <c r="BB957">
        <f>OR(AND(IF(Metadata!P957="",FALSE,TRUE),OR(exact(Metadata!P957,"not collected"),exact(Metadata!P957,"not provided"),exact(Metadata!P957,"restricted access"))),AND(IF(Metadata!P957="",FALSE,TRUE),OR(exact(Metadata!P957,"air"),exact(Metadata!P957,"built environment"),exact(Metadata!P957,"host-associated"),exact(Metadata!P957,"human-associated"),exact(Metadata!P957,"human-skin"),exact(Metadata!P957,"human-oral"),exact(Metadata!P957,"human-gut"),exact(Metadata!P957,"human-vaginal"),exact(Metadata!P957,"microbial mat/biofilm"),exact(Metadata!P957,"misc environment"),exact(Metadata!P957,"plant-associated"),exact(Metadata!P957,"sediment"),exact(Metadata!P957,"soil"),exact(Metadata!P957,"wastewater/sludge"),exact(Metadata!P957,"water"))))</f>
        <v>0</v>
      </c>
      <c r="BC957">
        <f>IF(Metadata!Q957="",FALSE,TRUE)</f>
        <v>0</v>
      </c>
      <c r="BD957">
        <f>IF(Metadata!R957="",FALSE,TRUE)</f>
        <v>0</v>
      </c>
      <c r="BE957">
        <f>OR(AND(IF(Metadata!S957="",FALSE,TRUE),OR(exact(Metadata!S957,"not collected"),exact(Metadata!S957,"not provided"),exact(Metadata!S957,"restricted access"))),AND(IF(Metadata!S957="",FALSE,ISNUMBER(VALUE(Metadata!S957))),Metadata!S957&gt;=-90.00,Metadata!S957&lt;=90.00))</f>
        <v>0</v>
      </c>
      <c r="BF957">
        <f>AND(IF(Metadata!T957="",FALSE,TRUE),exact(Metadata!T957,"Decimal degrees"))</f>
        <v>0</v>
      </c>
      <c r="BG957">
        <f>OR(AND(IF(Metadata!U957="",FALSE,TRUE),OR(exact(Metadata!U957,"not collected"),exact(Metadata!U957,"not provided"),exact(Metadata!U957,"restricted access"))),AND(IF(Metadata!U957="",FALSE,ISNUMBER(VALUE(Metadata!U957))),Metadata!U957&gt;=-180.00,Metadata!U957&lt;=180.00))</f>
        <v>0</v>
      </c>
      <c r="BH957">
        <f>AND(IF(Metadata!V957="",FALSE,TRUE),exact(Metadata!V957,"Decimal degrees"))</f>
        <v>0</v>
      </c>
      <c r="BI957">
        <f>IF(Metadata!W957="",FALSE,TRUE)</f>
        <v>0</v>
      </c>
      <c r="BJ957">
        <f>OR(AND(IF(Metadata!X957="",FALSE,TRUE),OR(exact(Metadata!X957,"not collected"),exact(Metadata!X957,"not provided"),exact(Metadata!X957,"restricted access"))),AND(IF(Metadata!X957="",FALSE,TRUE),OR(exact(Metadata!X957,"TRUE"),exact(Metadata!X957,"FALSE"))))</f>
        <v>0</v>
      </c>
      <c r="BK957">
        <f>AND(IF(Metadata!Y957="",FALSE,TRUE),exact(Metadata!Y957,"other"))</f>
        <v>0</v>
      </c>
      <c r="BL957">
        <f>IF(Metadata!Z957="",FALSE,TRUE)</f>
        <v>0</v>
      </c>
      <c r="BM957">
        <f>OR(AND(IF(Metadata!AA957="",FALSE,TRUE),OR(exact(Metadata!AA957,"not collected"),exact(Metadata!AA957,"not provided"))),AND(IF(Metadata!AA957="",FALSE,IF(ISERROR(INT(Metadata!AA957)),FALSE,INT(Metadata!AA957)=Metadata!AA957)),Metadata!AA957&gt;0))</f>
        <v>0</v>
      </c>
      <c r="BN957">
        <f>AND(IF(Metadata!AB957="",FALSE,TRUE),exact(Metadata!AB957,"Not applicable"))</f>
        <v>0</v>
      </c>
      <c r="BO957">
        <f>IF(Metadata!AC957="",FALSE,TRUE)</f>
        <v>0</v>
      </c>
    </row>
    <row r="958" spans="1:67">
      <c r="A958" s="5">
        <f>IF(B958=" "," ",HYPERLINK(CONCATENATE("#metadata!",ADDRESS(INDEX($AI$2:$AI$1001,MATCH(ROWS($AG$2:AG958),$AG$2:$AG$1001,0),0),1)),INDEX($AL$2:$AL$1001,MATCH(ROWS($AG$2:AG958),$AG$2:$AG$1001,0),0)))</f>
        <v>0</v>
      </c>
      <c r="B958" s="4">
        <f>IF(OR(INDEX($AH$2:$AH$1001,MATCH(ROWS($AG$2:AG958),$AG$2:$AG$1001,0),1)&gt;=100000,INDEX($AN$1005:$BO$1005,1,MATCH(COLUMNS($AN$1006:AN1006),$AN$1006:$BO$1006,0))&gt;=100000), " ",IF(INDEX($AN$2:$BO$1001,MATCH(ROWS($AG$2:AG958),$AG$2:$AG$1001,0),MATCH(COLUMNS($AN$1006:AN1006),$AN$1006:$BO$1006,0)), HYPERLINK("#",""), HYPERLINK(CONCATENATE("#Metadata!", ADDRESS(INDEX($AI$2:$AI$1001,MATCH(ROWS($AG$2:AG958),$AG$2:$AG$1001,0),0), INDEX($AN$1004:$BO$1004,1,MATCH(COLUMNS($AN$1006:AN1006),$AN$1006:$BO$1006,0)))),"Fix")))</f>
        <v>0</v>
      </c>
      <c r="C958" s="4">
        <f>IF(OR(INDEX($AH$2:$AH$1001,MATCH(ROWS($AG$2:AG958),$AG$2:$AG$1001,0),1)&gt;=100000,INDEX($AN$1005:$BO$1005,1,MATCH(COLUMNS($AN$1006:AO1006),$AN$1006:$BO$1006,0))&gt;=100000), " ",IF(INDEX($AN$2:$BO$1001,MATCH(ROWS($AG$2:AG958),$AG$2:$AG$1001,0),MATCH(COLUMNS($AN$1006:AO1006),$AN$1006:$BO$1006,0)), HYPERLINK("#",""), HYPERLINK(CONCATENATE("#Metadata!", ADDRESS(INDEX($AI$2:$AI$1001,MATCH(ROWS($AG$2:AG958),$AG$2:$AG$1001,0),0), INDEX($AN$1004:$BO$1004,1,MATCH(COLUMNS($AN$1006:AO1006),$AN$1006:$BO$1006,0)))),"Fix")))</f>
        <v>0</v>
      </c>
      <c r="D958" s="4">
        <f>IF(OR(INDEX($AH$2:$AH$1001,MATCH(ROWS($AG$2:AG958),$AG$2:$AG$1001,0),1)&gt;=100000,INDEX($AN$1005:$BO$1005,1,MATCH(COLUMNS($AN$1006:AP1006),$AN$1006:$BO$1006,0))&gt;=100000), " ",IF(INDEX($AN$2:$BO$1001,MATCH(ROWS($AG$2:AG958),$AG$2:$AG$1001,0),MATCH(COLUMNS($AN$1006:AP1006),$AN$1006:$BO$1006,0)), HYPERLINK("#",""), HYPERLINK(CONCATENATE("#Metadata!", ADDRESS(INDEX($AI$2:$AI$1001,MATCH(ROWS($AG$2:AG958),$AG$2:$AG$1001,0),0), INDEX($AN$1004:$BO$1004,1,MATCH(COLUMNS($AN$1006:AP1006),$AN$1006:$BO$1006,0)))),"Fix")))</f>
        <v>0</v>
      </c>
      <c r="E958" s="4">
        <f>IF(OR(INDEX($AH$2:$AH$1001,MATCH(ROWS($AG$2:AG958),$AG$2:$AG$1001,0),1)&gt;=100000,INDEX($AN$1005:$BO$1005,1,MATCH(COLUMNS($AN$1006:AQ1006),$AN$1006:$BO$1006,0))&gt;=100000), " ",IF(INDEX($AN$2:$BO$1001,MATCH(ROWS($AG$2:AG958),$AG$2:$AG$1001,0),MATCH(COLUMNS($AN$1006:AQ1006),$AN$1006:$BO$1006,0)), HYPERLINK("#",""), HYPERLINK(CONCATENATE("#Metadata!", ADDRESS(INDEX($AI$2:$AI$1001,MATCH(ROWS($AG$2:AG958),$AG$2:$AG$1001,0),0), INDEX($AN$1004:$BO$1004,1,MATCH(COLUMNS($AN$1006:AQ1006),$AN$1006:$BO$1006,0)))),"Fix")))</f>
        <v>0</v>
      </c>
      <c r="F958" s="4">
        <f>IF(OR(INDEX($AH$2:$AH$1001,MATCH(ROWS($AG$2:AG958),$AG$2:$AG$1001,0),1)&gt;=100000,INDEX($AN$1005:$BO$1005,1,MATCH(COLUMNS($AN$1006:AR1006),$AN$1006:$BO$1006,0))&gt;=100000), " ",IF(INDEX($AN$2:$BO$1001,MATCH(ROWS($AG$2:AG958),$AG$2:$AG$1001,0),MATCH(COLUMNS($AN$1006:AR1006),$AN$1006:$BO$1006,0)), HYPERLINK("#",""), HYPERLINK(CONCATENATE("#Metadata!", ADDRESS(INDEX($AI$2:$AI$1001,MATCH(ROWS($AG$2:AG958),$AG$2:$AG$1001,0),0), INDEX($AN$1004:$BO$1004,1,MATCH(COLUMNS($AN$1006:AR1006),$AN$1006:$BO$1006,0)))),"Fix")))</f>
        <v>0</v>
      </c>
      <c r="G958" s="4">
        <f>IF(OR(INDEX($AH$2:$AH$1001,MATCH(ROWS($AG$2:AG958),$AG$2:$AG$1001,0),1)&gt;=100000,INDEX($AN$1005:$BO$1005,1,MATCH(COLUMNS($AN$1006:AS1006),$AN$1006:$BO$1006,0))&gt;=100000), " ",IF(INDEX($AN$2:$BO$1001,MATCH(ROWS($AG$2:AG958),$AG$2:$AG$1001,0),MATCH(COLUMNS($AN$1006:AS1006),$AN$1006:$BO$1006,0)), HYPERLINK("#",""), HYPERLINK(CONCATENATE("#Metadata!", ADDRESS(INDEX($AI$2:$AI$1001,MATCH(ROWS($AG$2:AG958),$AG$2:$AG$1001,0),0), INDEX($AN$1004:$BO$1004,1,MATCH(COLUMNS($AN$1006:AS1006),$AN$1006:$BO$1006,0)))),"Fix")))</f>
        <v>0</v>
      </c>
      <c r="H958" s="4">
        <f>IF(OR(INDEX($AH$2:$AH$1001,MATCH(ROWS($AG$2:AG958),$AG$2:$AG$1001,0),1)&gt;=100000,INDEX($AN$1005:$BO$1005,1,MATCH(COLUMNS($AN$1006:AT1006),$AN$1006:$BO$1006,0))&gt;=100000), " ",IF(INDEX($AN$2:$BO$1001,MATCH(ROWS($AG$2:AG958),$AG$2:$AG$1001,0),MATCH(COLUMNS($AN$1006:AT1006),$AN$1006:$BO$1006,0)), HYPERLINK("#",""), HYPERLINK(CONCATENATE("#Metadata!", ADDRESS(INDEX($AI$2:$AI$1001,MATCH(ROWS($AG$2:AG958),$AG$2:$AG$1001,0),0), INDEX($AN$1004:$BO$1004,1,MATCH(COLUMNS($AN$1006:AT1006),$AN$1006:$BO$1006,0)))),"Fix")))</f>
        <v>0</v>
      </c>
      <c r="I958" s="4">
        <f>IF(OR(INDEX($AH$2:$AH$1001,MATCH(ROWS($AG$2:AG958),$AG$2:$AG$1001,0),1)&gt;=100000,INDEX($AN$1005:$BO$1005,1,MATCH(COLUMNS($AN$1006:AU1006),$AN$1006:$BO$1006,0))&gt;=100000), " ",IF(INDEX($AN$2:$BO$1001,MATCH(ROWS($AG$2:AG958),$AG$2:$AG$1001,0),MATCH(COLUMNS($AN$1006:AU1006),$AN$1006:$BO$1006,0)), HYPERLINK("#",""), HYPERLINK(CONCATENATE("#Metadata!", ADDRESS(INDEX($AI$2:$AI$1001,MATCH(ROWS($AG$2:AG958),$AG$2:$AG$1001,0),0), INDEX($AN$1004:$BO$1004,1,MATCH(COLUMNS($AN$1006:AU1006),$AN$1006:$BO$1006,0)))),"Fix")))</f>
        <v>0</v>
      </c>
      <c r="J958" s="4">
        <f>IF(OR(INDEX($AH$2:$AH$1001,MATCH(ROWS($AG$2:AG958),$AG$2:$AG$1001,0),1)&gt;=100000,INDEX($AN$1005:$BO$1005,1,MATCH(COLUMNS($AN$1006:AV1006),$AN$1006:$BO$1006,0))&gt;=100000), " ",IF(INDEX($AN$2:$BO$1001,MATCH(ROWS($AG$2:AG958),$AG$2:$AG$1001,0),MATCH(COLUMNS($AN$1006:AV1006),$AN$1006:$BO$1006,0)), HYPERLINK("#",""), HYPERLINK(CONCATENATE("#Metadata!", ADDRESS(INDEX($AI$2:$AI$1001,MATCH(ROWS($AG$2:AG958),$AG$2:$AG$1001,0),0), INDEX($AN$1004:$BO$1004,1,MATCH(COLUMNS($AN$1006:AV1006),$AN$1006:$BO$1006,0)))),"Fix")))</f>
        <v>0</v>
      </c>
      <c r="K958" s="4">
        <f>IF(OR(INDEX($AH$2:$AH$1001,MATCH(ROWS($AG$2:AG958),$AG$2:$AG$1001,0),1)&gt;=100000,INDEX($AN$1005:$BO$1005,1,MATCH(COLUMNS($AN$1006:AW1006),$AN$1006:$BO$1006,0))&gt;=100000), " ",IF(INDEX($AN$2:$BO$1001,MATCH(ROWS($AG$2:AG958),$AG$2:$AG$1001,0),MATCH(COLUMNS($AN$1006:AW1006),$AN$1006:$BO$1006,0)), HYPERLINK("#",""), HYPERLINK(CONCATENATE("#Metadata!", ADDRESS(INDEX($AI$2:$AI$1001,MATCH(ROWS($AG$2:AG958),$AG$2:$AG$1001,0),0), INDEX($AN$1004:$BO$1004,1,MATCH(COLUMNS($AN$1006:AW1006),$AN$1006:$BO$1006,0)))),"Fix")))</f>
        <v>0</v>
      </c>
      <c r="L958" s="4">
        <f>IF(OR(INDEX($AH$2:$AH$1001,MATCH(ROWS($AG$2:AG958),$AG$2:$AG$1001,0),1)&gt;=100000,INDEX($AN$1005:$BO$1005,1,MATCH(COLUMNS($AN$1006:AX1006),$AN$1006:$BO$1006,0))&gt;=100000), " ",IF(INDEX($AN$2:$BO$1001,MATCH(ROWS($AG$2:AG958),$AG$2:$AG$1001,0),MATCH(COLUMNS($AN$1006:AX1006),$AN$1006:$BO$1006,0)), HYPERLINK("#",""), HYPERLINK(CONCATENATE("#Metadata!", ADDRESS(INDEX($AI$2:$AI$1001,MATCH(ROWS($AG$2:AG958),$AG$2:$AG$1001,0),0), INDEX($AN$1004:$BO$1004,1,MATCH(COLUMNS($AN$1006:AX1006),$AN$1006:$BO$1006,0)))),"Fix")))</f>
        <v>0</v>
      </c>
      <c r="M958" s="4">
        <f>IF(OR(INDEX($AH$2:$AH$1001,MATCH(ROWS($AG$2:AG958),$AG$2:$AG$1001,0),1)&gt;=100000,INDEX($AN$1005:$BO$1005,1,MATCH(COLUMNS($AN$1006:AY1006),$AN$1006:$BO$1006,0))&gt;=100000), " ",IF(INDEX($AN$2:$BO$1001,MATCH(ROWS($AG$2:AG958),$AG$2:$AG$1001,0),MATCH(COLUMNS($AN$1006:AY1006),$AN$1006:$BO$1006,0)), HYPERLINK("#",""), HYPERLINK(CONCATENATE("#Metadata!", ADDRESS(INDEX($AI$2:$AI$1001,MATCH(ROWS($AG$2:AG958),$AG$2:$AG$1001,0),0), INDEX($AN$1004:$BO$1004,1,MATCH(COLUMNS($AN$1006:AY1006),$AN$1006:$BO$1006,0)))),"Fix")))</f>
        <v>0</v>
      </c>
      <c r="N958" s="4">
        <f>IF(OR(INDEX($AH$2:$AH$1001,MATCH(ROWS($AG$2:AG958),$AG$2:$AG$1001,0),1)&gt;=100000,INDEX($AN$1005:$BO$1005,1,MATCH(COLUMNS($AN$1006:AZ1006),$AN$1006:$BO$1006,0))&gt;=100000), " ",IF(INDEX($AN$2:$BO$1001,MATCH(ROWS($AG$2:AG958),$AG$2:$AG$1001,0),MATCH(COLUMNS($AN$1006:AZ1006),$AN$1006:$BO$1006,0)), HYPERLINK("#",""), HYPERLINK(CONCATENATE("#Metadata!", ADDRESS(INDEX($AI$2:$AI$1001,MATCH(ROWS($AG$2:AG958),$AG$2:$AG$1001,0),0), INDEX($AN$1004:$BO$1004,1,MATCH(COLUMNS($AN$1006:AZ1006),$AN$1006:$BO$1006,0)))),"Fix")))</f>
        <v>0</v>
      </c>
      <c r="O958" s="4">
        <f>IF(OR(INDEX($AH$2:$AH$1001,MATCH(ROWS($AG$2:AG958),$AG$2:$AG$1001,0),1)&gt;=100000,INDEX($AN$1005:$BO$1005,1,MATCH(COLUMNS($AN$1006:BA1006),$AN$1006:$BO$1006,0))&gt;=100000), " ",IF(INDEX($AN$2:$BO$1001,MATCH(ROWS($AG$2:AG958),$AG$2:$AG$1001,0),MATCH(COLUMNS($AN$1006:BA1006),$AN$1006:$BO$1006,0)), HYPERLINK("#",""), HYPERLINK(CONCATENATE("#Metadata!", ADDRESS(INDEX($AI$2:$AI$1001,MATCH(ROWS($AG$2:AG958),$AG$2:$AG$1001,0),0), INDEX($AN$1004:$BO$1004,1,MATCH(COLUMNS($AN$1006:BA1006),$AN$1006:$BO$1006,0)))),"Fix")))</f>
        <v>0</v>
      </c>
      <c r="P958" s="4">
        <f>IF(OR(INDEX($AH$2:$AH$1001,MATCH(ROWS($AG$2:AG958),$AG$2:$AG$1001,0),1)&gt;=100000,INDEX($AN$1005:$BO$1005,1,MATCH(COLUMNS($AN$1006:BB1006),$AN$1006:$BO$1006,0))&gt;=100000), " ",IF(INDEX($AN$2:$BO$1001,MATCH(ROWS($AG$2:AG958),$AG$2:$AG$1001,0),MATCH(COLUMNS($AN$1006:BB1006),$AN$1006:$BO$1006,0)), HYPERLINK("#",""), HYPERLINK(CONCATENATE("#Metadata!", ADDRESS(INDEX($AI$2:$AI$1001,MATCH(ROWS($AG$2:AG958),$AG$2:$AG$1001,0),0), INDEX($AN$1004:$BO$1004,1,MATCH(COLUMNS($AN$1006:BB1006),$AN$1006:$BO$1006,0)))),"Fix")))</f>
        <v>0</v>
      </c>
      <c r="Q958" s="4">
        <f>IF(OR(INDEX($AH$2:$AH$1001,MATCH(ROWS($AG$2:AG958),$AG$2:$AG$1001,0),1)&gt;=100000,INDEX($AN$1005:$BO$1005,1,MATCH(COLUMNS($AN$1006:BC1006),$AN$1006:$BO$1006,0))&gt;=100000), " ",IF(INDEX($AN$2:$BO$1001,MATCH(ROWS($AG$2:AG958),$AG$2:$AG$1001,0),MATCH(COLUMNS($AN$1006:BC1006),$AN$1006:$BO$1006,0)), HYPERLINK("#",""), HYPERLINK(CONCATENATE("#Metadata!", ADDRESS(INDEX($AI$2:$AI$1001,MATCH(ROWS($AG$2:AG958),$AG$2:$AG$1001,0),0), INDEX($AN$1004:$BO$1004,1,MATCH(COLUMNS($AN$1006:BC1006),$AN$1006:$BO$1006,0)))),"Fix")))</f>
        <v>0</v>
      </c>
      <c r="R958" s="4">
        <f>IF(OR(INDEX($AH$2:$AH$1001,MATCH(ROWS($AG$2:AG958),$AG$2:$AG$1001,0),1)&gt;=100000,INDEX($AN$1005:$BO$1005,1,MATCH(COLUMNS($AN$1006:BD1006),$AN$1006:$BO$1006,0))&gt;=100000), " ",IF(INDEX($AN$2:$BO$1001,MATCH(ROWS($AG$2:AG958),$AG$2:$AG$1001,0),MATCH(COLUMNS($AN$1006:BD1006),$AN$1006:$BO$1006,0)), HYPERLINK("#",""), HYPERLINK(CONCATENATE("#Metadata!", ADDRESS(INDEX($AI$2:$AI$1001,MATCH(ROWS($AG$2:AG958),$AG$2:$AG$1001,0),0), INDEX($AN$1004:$BO$1004,1,MATCH(COLUMNS($AN$1006:BD1006),$AN$1006:$BO$1006,0)))),"Fix")))</f>
        <v>0</v>
      </c>
      <c r="S958" s="4">
        <f>IF(OR(INDEX($AH$2:$AH$1001,MATCH(ROWS($AG$2:AG958),$AG$2:$AG$1001,0),1)&gt;=100000,INDEX($AN$1005:$BO$1005,1,MATCH(COLUMNS($AN$1006:BE1006),$AN$1006:$BO$1006,0))&gt;=100000), " ",IF(INDEX($AN$2:$BO$1001,MATCH(ROWS($AG$2:AG958),$AG$2:$AG$1001,0),MATCH(COLUMNS($AN$1006:BE1006),$AN$1006:$BO$1006,0)), HYPERLINK("#",""), HYPERLINK(CONCATENATE("#Metadata!", ADDRESS(INDEX($AI$2:$AI$1001,MATCH(ROWS($AG$2:AG958),$AG$2:$AG$1001,0),0), INDEX($AN$1004:$BO$1004,1,MATCH(COLUMNS($AN$1006:BE1006),$AN$1006:$BO$1006,0)))),"Fix")))</f>
        <v>0</v>
      </c>
      <c r="T958" s="4">
        <f>IF(OR(INDEX($AH$2:$AH$1001,MATCH(ROWS($AG$2:AG958),$AG$2:$AG$1001,0),1)&gt;=100000,INDEX($AN$1005:$BO$1005,1,MATCH(COLUMNS($AN$1006:BF1006),$AN$1006:$BO$1006,0))&gt;=100000), " ",IF(INDEX($AN$2:$BO$1001,MATCH(ROWS($AG$2:AG958),$AG$2:$AG$1001,0),MATCH(COLUMNS($AN$1006:BF1006),$AN$1006:$BO$1006,0)), HYPERLINK("#",""), HYPERLINK(CONCATENATE("#Metadata!", ADDRESS(INDEX($AI$2:$AI$1001,MATCH(ROWS($AG$2:AG958),$AG$2:$AG$1001,0),0), INDEX($AN$1004:$BO$1004,1,MATCH(COLUMNS($AN$1006:BF1006),$AN$1006:$BO$1006,0)))),"Fix")))</f>
        <v>0</v>
      </c>
      <c r="U958" s="4">
        <f>IF(OR(INDEX($AH$2:$AH$1001,MATCH(ROWS($AG$2:AG958),$AG$2:$AG$1001,0),1)&gt;=100000,INDEX($AN$1005:$BO$1005,1,MATCH(COLUMNS($AN$1006:BG1006),$AN$1006:$BO$1006,0))&gt;=100000), " ",IF(INDEX($AN$2:$BO$1001,MATCH(ROWS($AG$2:AG958),$AG$2:$AG$1001,0),MATCH(COLUMNS($AN$1006:BG1006),$AN$1006:$BO$1006,0)), HYPERLINK("#",""), HYPERLINK(CONCATENATE("#Metadata!", ADDRESS(INDEX($AI$2:$AI$1001,MATCH(ROWS($AG$2:AG958),$AG$2:$AG$1001,0),0), INDEX($AN$1004:$BO$1004,1,MATCH(COLUMNS($AN$1006:BG1006),$AN$1006:$BO$1006,0)))),"Fix")))</f>
        <v>0</v>
      </c>
      <c r="V958" s="4">
        <f>IF(OR(INDEX($AH$2:$AH$1001,MATCH(ROWS($AG$2:AG958),$AG$2:$AG$1001,0),1)&gt;=100000,INDEX($AN$1005:$BO$1005,1,MATCH(COLUMNS($AN$1006:BH1006),$AN$1006:$BO$1006,0))&gt;=100000), " ",IF(INDEX($AN$2:$BO$1001,MATCH(ROWS($AG$2:AG958),$AG$2:$AG$1001,0),MATCH(COLUMNS($AN$1006:BH1006),$AN$1006:$BO$1006,0)), HYPERLINK("#",""), HYPERLINK(CONCATENATE("#Metadata!", ADDRESS(INDEX($AI$2:$AI$1001,MATCH(ROWS($AG$2:AG958),$AG$2:$AG$1001,0),0), INDEX($AN$1004:$BO$1004,1,MATCH(COLUMNS($AN$1006:BH1006),$AN$1006:$BO$1006,0)))),"Fix")))</f>
        <v>0</v>
      </c>
      <c r="W958" s="4">
        <f>IF(OR(INDEX($AH$2:$AH$1001,MATCH(ROWS($AG$2:AG958),$AG$2:$AG$1001,0),1)&gt;=100000,INDEX($AN$1005:$BO$1005,1,MATCH(COLUMNS($AN$1006:BI1006),$AN$1006:$BO$1006,0))&gt;=100000), " ",IF(INDEX($AN$2:$BO$1001,MATCH(ROWS($AG$2:AG958),$AG$2:$AG$1001,0),MATCH(COLUMNS($AN$1006:BI1006),$AN$1006:$BO$1006,0)), HYPERLINK("#",""), HYPERLINK(CONCATENATE("#Metadata!", ADDRESS(INDEX($AI$2:$AI$1001,MATCH(ROWS($AG$2:AG958),$AG$2:$AG$1001,0),0), INDEX($AN$1004:$BO$1004,1,MATCH(COLUMNS($AN$1006:BI1006),$AN$1006:$BO$1006,0)))),"Fix")))</f>
        <v>0</v>
      </c>
      <c r="X958" s="4">
        <f>IF(OR(INDEX($AH$2:$AH$1001,MATCH(ROWS($AG$2:AG958),$AG$2:$AG$1001,0),1)&gt;=100000,INDEX($AN$1005:$BO$1005,1,MATCH(COLUMNS($AN$1006:BJ1006),$AN$1006:$BO$1006,0))&gt;=100000), " ",IF(INDEX($AN$2:$BO$1001,MATCH(ROWS($AG$2:AG958),$AG$2:$AG$1001,0),MATCH(COLUMNS($AN$1006:BJ1006),$AN$1006:$BO$1006,0)), HYPERLINK("#",""), HYPERLINK(CONCATENATE("#Metadata!", ADDRESS(INDEX($AI$2:$AI$1001,MATCH(ROWS($AG$2:AG958),$AG$2:$AG$1001,0),0), INDEX($AN$1004:$BO$1004,1,MATCH(COLUMNS($AN$1006:BJ1006),$AN$1006:$BO$1006,0)))),"Fix")))</f>
        <v>0</v>
      </c>
      <c r="Y958" s="4">
        <f>IF(OR(INDEX($AH$2:$AH$1001,MATCH(ROWS($AG$2:AG958),$AG$2:$AG$1001,0),1)&gt;=100000,INDEX($AN$1005:$BO$1005,1,MATCH(COLUMNS($AN$1006:BK1006),$AN$1006:$BO$1006,0))&gt;=100000), " ",IF(INDEX($AN$2:$BO$1001,MATCH(ROWS($AG$2:AG958),$AG$2:$AG$1001,0),MATCH(COLUMNS($AN$1006:BK1006),$AN$1006:$BO$1006,0)), HYPERLINK("#",""), HYPERLINK(CONCATENATE("#Metadata!", ADDRESS(INDEX($AI$2:$AI$1001,MATCH(ROWS($AG$2:AG958),$AG$2:$AG$1001,0),0), INDEX($AN$1004:$BO$1004,1,MATCH(COLUMNS($AN$1006:BK1006),$AN$1006:$BO$1006,0)))),"Fix")))</f>
        <v>0</v>
      </c>
      <c r="Z958" s="4">
        <f>IF(OR(INDEX($AH$2:$AH$1001,MATCH(ROWS($AG$2:AG958),$AG$2:$AG$1001,0),1)&gt;=100000,INDEX($AN$1005:$BO$1005,1,MATCH(COLUMNS($AN$1006:BL1006),$AN$1006:$BO$1006,0))&gt;=100000), " ",IF(INDEX($AN$2:$BO$1001,MATCH(ROWS($AG$2:AG958),$AG$2:$AG$1001,0),MATCH(COLUMNS($AN$1006:BL1006),$AN$1006:$BO$1006,0)), HYPERLINK("#",""), HYPERLINK(CONCATENATE("#Metadata!", ADDRESS(INDEX($AI$2:$AI$1001,MATCH(ROWS($AG$2:AG958),$AG$2:$AG$1001,0),0), INDEX($AN$1004:$BO$1004,1,MATCH(COLUMNS($AN$1006:BL1006),$AN$1006:$BO$1006,0)))),"Fix")))</f>
        <v>0</v>
      </c>
      <c r="AA958" s="4">
        <f>IF(OR(INDEX($AH$2:$AH$1001,MATCH(ROWS($AG$2:AG958),$AG$2:$AG$1001,0),1)&gt;=100000,INDEX($AN$1005:$BO$1005,1,MATCH(COLUMNS($AN$1006:BM1006),$AN$1006:$BO$1006,0))&gt;=100000), " ",IF(INDEX($AN$2:$BO$1001,MATCH(ROWS($AG$2:AG958),$AG$2:$AG$1001,0),MATCH(COLUMNS($AN$1006:BM1006),$AN$1006:$BO$1006,0)), HYPERLINK("#",""), HYPERLINK(CONCATENATE("#Metadata!", ADDRESS(INDEX($AI$2:$AI$1001,MATCH(ROWS($AG$2:AG958),$AG$2:$AG$1001,0),0), INDEX($AN$1004:$BO$1004,1,MATCH(COLUMNS($AN$1006:BM1006),$AN$1006:$BO$1006,0)))),"Fix")))</f>
        <v>0</v>
      </c>
      <c r="AB958" s="4">
        <f>IF(OR(INDEX($AH$2:$AH$1001,MATCH(ROWS($AG$2:AG958),$AG$2:$AG$1001,0),1)&gt;=100000,INDEX($AN$1005:$BO$1005,1,MATCH(COLUMNS($AN$1006:BN1006),$AN$1006:$BO$1006,0))&gt;=100000), " ",IF(INDEX($AN$2:$BO$1001,MATCH(ROWS($AG$2:AG958),$AG$2:$AG$1001,0),MATCH(COLUMNS($AN$1006:BN1006),$AN$1006:$BO$1006,0)), HYPERLINK("#",""), HYPERLINK(CONCATENATE("#Metadata!", ADDRESS(INDEX($AI$2:$AI$1001,MATCH(ROWS($AG$2:AG958),$AG$2:$AG$1001,0),0), INDEX($AN$1004:$BO$1004,1,MATCH(COLUMNS($AN$1006:BN1006),$AN$1006:$BO$1006,0)))),"Fix")))</f>
        <v>0</v>
      </c>
      <c r="AC958" s="4">
        <f>IF(OR(INDEX($AH$2:$AH$1001,MATCH(ROWS($AG$2:AG958),$AG$2:$AG$1001,0),1)&gt;=100000,INDEX($AN$1005:$BO$1005,1,MATCH(COLUMNS($AN$1006:BO1006),$AN$1006:$BO$1006,0))&gt;=100000), " ",IF(INDEX($AN$2:$BO$1001,MATCH(ROWS($AG$2:AG958),$AG$2:$AG$1001,0),MATCH(COLUMNS($AN$1006:BO1006),$AN$1006:$BO$1006,0)), HYPERLINK("#",""), HYPERLINK(CONCATENATE("#Metadata!", ADDRESS(INDEX($AI$2:$AI$1001,MATCH(ROWS($AG$2:AG958),$AG$2:$AG$1001,0),0), INDEX($AN$1004:$BO$1004,1,MATCH(COLUMNS($AN$1006:BO1006),$AN$1006:$BO$1006,0)))),"Fix")))</f>
        <v>0</v>
      </c>
      <c r="AG958">
        <v>0</v>
      </c>
      <c r="AH958">
        <v>0</v>
      </c>
      <c r="AI958">
        <v>0</v>
      </c>
      <c r="AJ958">
        <f>IF(AK958,TRUE,AND(AN958:BO958))</f>
        <v>0</v>
      </c>
      <c r="AK958">
        <f>COUNTBLANK(Metadata!B958:AC958)=COLUMNS(Metadata!B958:AC958)</f>
        <v>0</v>
      </c>
      <c r="AL958">
        <v>0</v>
      </c>
      <c r="AN958">
        <f>AND(IF(Metadata!B958="",FALSE,TRUE),COUNTIF(Metadata!B:B, Metadata!B958) = 1,NOT(ISERROR(SUMPRODUCT(SEARCH(MID(Metadata!B958,ROW(INDIRECT("1:"&amp;LEN(Metadata!B958))), 1),"0123456789abcdefghijklmnopqrstuvwxyzABCDEFGHIJKLMNOPQRSTUVWXYZ.")))))</f>
        <v>0</v>
      </c>
      <c r="AO958">
        <f>IF(Metadata!C958="",FALSE,TRUE)</f>
        <v>0</v>
      </c>
      <c r="AP958">
        <f>IF(Metadata!D958="",FALSE,TRUE)</f>
        <v>0</v>
      </c>
      <c r="AQ958">
        <f>OR(AND(IF(Metadata!E958="",FALSE,TRUE),OR(exact(Metadata!E958,"not collected"),exact(Metadata!E958,"not provided"),exact(Metadata!E958,"restricted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R958">
        <f>IF(Metadata!F958="",FALSE,TRUE)</f>
        <v>0</v>
      </c>
      <c r="AS958">
        <f>OR(AND(IF(Metadata!G958="",FALSE,TRUE),OR(exact(Metadata!G958,"not collected"),exact(Metadata!G958,"not provided"))),AND(IF(Metadata!G958="",FALSE,TRUE),OR(exact(Metadata!G958,"TRUE"),exact(Metadata!G958,"FALSE"))))</f>
        <v>0</v>
      </c>
      <c r="AT958">
        <f>OR(AND(IF(Metadata!H958="",FALSE,TRUE),OR(exact(Metadata!H958,"not collected"),exact(Metadata!H958,"not provided"),exact(Metadata!H958,"restricted access"))),AND(IF(Metadata!H958="",FALSE,ISNUMBER(VALUE(Metadata!H958))),Metadata!H958&gt;=-413.0))</f>
        <v>0</v>
      </c>
      <c r="AU958">
        <f>AND(IF(Metadata!I958="",FALSE,TRUE),exact(Metadata!I958,"meters"))</f>
        <v>0</v>
      </c>
      <c r="AV958">
        <f>AND(IF(Metadata!J958="",FALSE,TRUE),OR(exact(Metadata!J958,"Host-associated"),exact(Metadata!J958,"Free-living")))</f>
        <v>0</v>
      </c>
      <c r="AW958">
        <f>AND(IF(Metadata!K958="",FALSE,TRUE),OR(exact(Metadata!K958,"Animal"),exact(Metadata!K958,"Fungus"),exact(Metadata!K958,"Plant"),exact(Metadata!K958,"Saline"),exact(Metadata!K958,"Non-saline")))</f>
        <v>0</v>
      </c>
      <c r="AX958">
        <f>AND(IF(Metadata!L958="",FALSE,TRUE),OR(exact(Metadata!L958,"Plant secretion"),exact(Metadata!L958,"Plant rhizosphere"),exact(Metadata!L958,"Plant surface"),exact(Metadata!L958,"Plant corpus"),exact(Metadata!L958,"Fungus surface"),exact(Metadata!L958,"Fungus corpus"),exact(Metadata!L958,"Animal surface"),exact(Metadata!L958,"Animal proximal gut"),exact(Metadata!L958,"Animal corpus"),exact(Metadata!L958,"Animal distal gut"),exact(Metadata!L958,"Animal secretion"),exact(Metadata!L958,"Sub-surface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Y958">
        <f>IF(Metadata!M958="",FALSE,TRUE)</f>
        <v>0</v>
      </c>
      <c r="AZ958">
        <f>IF(Metadata!N958="",FALSE,TRUE)</f>
        <v>0</v>
      </c>
      <c r="BA958">
        <f>IF(Metadata!O958="",FALSE,TRUE)</f>
        <v>0</v>
      </c>
      <c r="BB958">
        <f>OR(AND(IF(Metadata!P958="",FALSE,TRUE),OR(exact(Metadata!P958,"not collected"),exact(Metadata!P958,"not provided"),exact(Metadata!P958,"restricted access"))),AND(IF(Metadata!P958="",FALSE,TRUE),OR(exact(Metadata!P958,"air"),exact(Metadata!P958,"built environment"),exact(Metadata!P958,"host-associated"),exact(Metadata!P958,"human-associated"),exact(Metadata!P958,"human-skin"),exact(Metadata!P958,"human-oral"),exact(Metadata!P958,"human-gut"),exact(Metadata!P958,"human-vaginal"),exact(Metadata!P958,"microbial mat/biofilm"),exact(Metadata!P958,"misc environment"),exact(Metadata!P958,"plant-associated"),exact(Metadata!P958,"sediment"),exact(Metadata!P958,"soil"),exact(Metadata!P958,"wastewater/sludge"),exact(Metadata!P958,"water"))))</f>
        <v>0</v>
      </c>
      <c r="BC958">
        <f>IF(Metadata!Q958="",FALSE,TRUE)</f>
        <v>0</v>
      </c>
      <c r="BD958">
        <f>IF(Metadata!R958="",FALSE,TRUE)</f>
        <v>0</v>
      </c>
      <c r="BE958">
        <f>OR(AND(IF(Metadata!S958="",FALSE,TRUE),OR(exact(Metadata!S958,"not collected"),exact(Metadata!S958,"not provided"),exact(Metadata!S958,"restricted access"))),AND(IF(Metadata!S958="",FALSE,ISNUMBER(VALUE(Metadata!S958))),Metadata!S958&gt;=-90.00,Metadata!S958&lt;=90.00))</f>
        <v>0</v>
      </c>
      <c r="BF958">
        <f>AND(IF(Metadata!T958="",FALSE,TRUE),exact(Metadata!T958,"Decimal degrees"))</f>
        <v>0</v>
      </c>
      <c r="BG958">
        <f>OR(AND(IF(Metadata!U958="",FALSE,TRUE),OR(exact(Metadata!U958,"not collected"),exact(Metadata!U958,"not provided"),exact(Metadata!U958,"restricted access"))),AND(IF(Metadata!U958="",FALSE,ISNUMBER(VALUE(Metadata!U958))),Metadata!U958&gt;=-180.00,Metadata!U958&lt;=180.00))</f>
        <v>0</v>
      </c>
      <c r="BH958">
        <f>AND(IF(Metadata!V958="",FALSE,TRUE),exact(Metadata!V958,"Decimal degrees"))</f>
        <v>0</v>
      </c>
      <c r="BI958">
        <f>IF(Metadata!W958="",FALSE,TRUE)</f>
        <v>0</v>
      </c>
      <c r="BJ958">
        <f>OR(AND(IF(Metadata!X958="",FALSE,TRUE),OR(exact(Metadata!X958,"not collected"),exact(Metadata!X958,"not provided"),exact(Metadata!X958,"restricted access"))),AND(IF(Metadata!X958="",FALSE,TRUE),OR(exact(Metadata!X958,"TRUE"),exact(Metadata!X958,"FALSE"))))</f>
        <v>0</v>
      </c>
      <c r="BK958">
        <f>AND(IF(Metadata!Y958="",FALSE,TRUE),exact(Metadata!Y958,"other"))</f>
        <v>0</v>
      </c>
      <c r="BL958">
        <f>IF(Metadata!Z958="",FALSE,TRUE)</f>
        <v>0</v>
      </c>
      <c r="BM958">
        <f>OR(AND(IF(Metadata!AA958="",FALSE,TRUE),OR(exact(Metadata!AA958,"not collected"),exact(Metadata!AA958,"not provided"))),AND(IF(Metadata!AA958="",FALSE,IF(ISERROR(INT(Metadata!AA958)),FALSE,INT(Metadata!AA958)=Metadata!AA958)),Metadata!AA958&gt;0))</f>
        <v>0</v>
      </c>
      <c r="BN958">
        <f>AND(IF(Metadata!AB958="",FALSE,TRUE),exact(Metadata!AB958,"Not applicable"))</f>
        <v>0</v>
      </c>
      <c r="BO958">
        <f>IF(Metadata!AC958="",FALSE,TRUE)</f>
        <v>0</v>
      </c>
    </row>
    <row r="959" spans="1:67">
      <c r="A959" s="5">
        <f>IF(B959=" "," ",HYPERLINK(CONCATENATE("#metadata!",ADDRESS(INDEX($AI$2:$AI$1001,MATCH(ROWS($AG$2:AG959),$AG$2:$AG$1001,0),0),1)),INDEX($AL$2:$AL$1001,MATCH(ROWS($AG$2:AG959),$AG$2:$AG$1001,0),0)))</f>
        <v>0</v>
      </c>
      <c r="B959" s="4">
        <f>IF(OR(INDEX($AH$2:$AH$1001,MATCH(ROWS($AG$2:AG959),$AG$2:$AG$1001,0),1)&gt;=100000,INDEX($AN$1005:$BO$1005,1,MATCH(COLUMNS($AN$1006:AN1006),$AN$1006:$BO$1006,0))&gt;=100000), " ",IF(INDEX($AN$2:$BO$1001,MATCH(ROWS($AG$2:AG959),$AG$2:$AG$1001,0),MATCH(COLUMNS($AN$1006:AN1006),$AN$1006:$BO$1006,0)), HYPERLINK("#",""), HYPERLINK(CONCATENATE("#Metadata!", ADDRESS(INDEX($AI$2:$AI$1001,MATCH(ROWS($AG$2:AG959),$AG$2:$AG$1001,0),0), INDEX($AN$1004:$BO$1004,1,MATCH(COLUMNS($AN$1006:AN1006),$AN$1006:$BO$1006,0)))),"Fix")))</f>
        <v>0</v>
      </c>
      <c r="C959" s="4">
        <f>IF(OR(INDEX($AH$2:$AH$1001,MATCH(ROWS($AG$2:AG959),$AG$2:$AG$1001,0),1)&gt;=100000,INDEX($AN$1005:$BO$1005,1,MATCH(COLUMNS($AN$1006:AO1006),$AN$1006:$BO$1006,0))&gt;=100000), " ",IF(INDEX($AN$2:$BO$1001,MATCH(ROWS($AG$2:AG959),$AG$2:$AG$1001,0),MATCH(COLUMNS($AN$1006:AO1006),$AN$1006:$BO$1006,0)), HYPERLINK("#",""), HYPERLINK(CONCATENATE("#Metadata!", ADDRESS(INDEX($AI$2:$AI$1001,MATCH(ROWS($AG$2:AG959),$AG$2:$AG$1001,0),0), INDEX($AN$1004:$BO$1004,1,MATCH(COLUMNS($AN$1006:AO1006),$AN$1006:$BO$1006,0)))),"Fix")))</f>
        <v>0</v>
      </c>
      <c r="D959" s="4">
        <f>IF(OR(INDEX($AH$2:$AH$1001,MATCH(ROWS($AG$2:AG959),$AG$2:$AG$1001,0),1)&gt;=100000,INDEX($AN$1005:$BO$1005,1,MATCH(COLUMNS($AN$1006:AP1006),$AN$1006:$BO$1006,0))&gt;=100000), " ",IF(INDEX($AN$2:$BO$1001,MATCH(ROWS($AG$2:AG959),$AG$2:$AG$1001,0),MATCH(COLUMNS($AN$1006:AP1006),$AN$1006:$BO$1006,0)), HYPERLINK("#",""), HYPERLINK(CONCATENATE("#Metadata!", ADDRESS(INDEX($AI$2:$AI$1001,MATCH(ROWS($AG$2:AG959),$AG$2:$AG$1001,0),0), INDEX($AN$1004:$BO$1004,1,MATCH(COLUMNS($AN$1006:AP1006),$AN$1006:$BO$1006,0)))),"Fix")))</f>
        <v>0</v>
      </c>
      <c r="E959" s="4">
        <f>IF(OR(INDEX($AH$2:$AH$1001,MATCH(ROWS($AG$2:AG959),$AG$2:$AG$1001,0),1)&gt;=100000,INDEX($AN$1005:$BO$1005,1,MATCH(COLUMNS($AN$1006:AQ1006),$AN$1006:$BO$1006,0))&gt;=100000), " ",IF(INDEX($AN$2:$BO$1001,MATCH(ROWS($AG$2:AG959),$AG$2:$AG$1001,0),MATCH(COLUMNS($AN$1006:AQ1006),$AN$1006:$BO$1006,0)), HYPERLINK("#",""), HYPERLINK(CONCATENATE("#Metadata!", ADDRESS(INDEX($AI$2:$AI$1001,MATCH(ROWS($AG$2:AG959),$AG$2:$AG$1001,0),0), INDEX($AN$1004:$BO$1004,1,MATCH(COLUMNS($AN$1006:AQ1006),$AN$1006:$BO$1006,0)))),"Fix")))</f>
        <v>0</v>
      </c>
      <c r="F959" s="4">
        <f>IF(OR(INDEX($AH$2:$AH$1001,MATCH(ROWS($AG$2:AG959),$AG$2:$AG$1001,0),1)&gt;=100000,INDEX($AN$1005:$BO$1005,1,MATCH(COLUMNS($AN$1006:AR1006),$AN$1006:$BO$1006,0))&gt;=100000), " ",IF(INDEX($AN$2:$BO$1001,MATCH(ROWS($AG$2:AG959),$AG$2:$AG$1001,0),MATCH(COLUMNS($AN$1006:AR1006),$AN$1006:$BO$1006,0)), HYPERLINK("#",""), HYPERLINK(CONCATENATE("#Metadata!", ADDRESS(INDEX($AI$2:$AI$1001,MATCH(ROWS($AG$2:AG959),$AG$2:$AG$1001,0),0), INDEX($AN$1004:$BO$1004,1,MATCH(COLUMNS($AN$1006:AR1006),$AN$1006:$BO$1006,0)))),"Fix")))</f>
        <v>0</v>
      </c>
      <c r="G959" s="4">
        <f>IF(OR(INDEX($AH$2:$AH$1001,MATCH(ROWS($AG$2:AG959),$AG$2:$AG$1001,0),1)&gt;=100000,INDEX($AN$1005:$BO$1005,1,MATCH(COLUMNS($AN$1006:AS1006),$AN$1006:$BO$1006,0))&gt;=100000), " ",IF(INDEX($AN$2:$BO$1001,MATCH(ROWS($AG$2:AG959),$AG$2:$AG$1001,0),MATCH(COLUMNS($AN$1006:AS1006),$AN$1006:$BO$1006,0)), HYPERLINK("#",""), HYPERLINK(CONCATENATE("#Metadata!", ADDRESS(INDEX($AI$2:$AI$1001,MATCH(ROWS($AG$2:AG959),$AG$2:$AG$1001,0),0), INDEX($AN$1004:$BO$1004,1,MATCH(COLUMNS($AN$1006:AS1006),$AN$1006:$BO$1006,0)))),"Fix")))</f>
        <v>0</v>
      </c>
      <c r="H959" s="4">
        <f>IF(OR(INDEX($AH$2:$AH$1001,MATCH(ROWS($AG$2:AG959),$AG$2:$AG$1001,0),1)&gt;=100000,INDEX($AN$1005:$BO$1005,1,MATCH(COLUMNS($AN$1006:AT1006),$AN$1006:$BO$1006,0))&gt;=100000), " ",IF(INDEX($AN$2:$BO$1001,MATCH(ROWS($AG$2:AG959),$AG$2:$AG$1001,0),MATCH(COLUMNS($AN$1006:AT1006),$AN$1006:$BO$1006,0)), HYPERLINK("#",""), HYPERLINK(CONCATENATE("#Metadata!", ADDRESS(INDEX($AI$2:$AI$1001,MATCH(ROWS($AG$2:AG959),$AG$2:$AG$1001,0),0), INDEX($AN$1004:$BO$1004,1,MATCH(COLUMNS($AN$1006:AT1006),$AN$1006:$BO$1006,0)))),"Fix")))</f>
        <v>0</v>
      </c>
      <c r="I959" s="4">
        <f>IF(OR(INDEX($AH$2:$AH$1001,MATCH(ROWS($AG$2:AG959),$AG$2:$AG$1001,0),1)&gt;=100000,INDEX($AN$1005:$BO$1005,1,MATCH(COLUMNS($AN$1006:AU1006),$AN$1006:$BO$1006,0))&gt;=100000), " ",IF(INDEX($AN$2:$BO$1001,MATCH(ROWS($AG$2:AG959),$AG$2:$AG$1001,0),MATCH(COLUMNS($AN$1006:AU1006),$AN$1006:$BO$1006,0)), HYPERLINK("#",""), HYPERLINK(CONCATENATE("#Metadata!", ADDRESS(INDEX($AI$2:$AI$1001,MATCH(ROWS($AG$2:AG959),$AG$2:$AG$1001,0),0), INDEX($AN$1004:$BO$1004,1,MATCH(COLUMNS($AN$1006:AU1006),$AN$1006:$BO$1006,0)))),"Fix")))</f>
        <v>0</v>
      </c>
      <c r="J959" s="4">
        <f>IF(OR(INDEX($AH$2:$AH$1001,MATCH(ROWS($AG$2:AG959),$AG$2:$AG$1001,0),1)&gt;=100000,INDEX($AN$1005:$BO$1005,1,MATCH(COLUMNS($AN$1006:AV1006),$AN$1006:$BO$1006,0))&gt;=100000), " ",IF(INDEX($AN$2:$BO$1001,MATCH(ROWS($AG$2:AG959),$AG$2:$AG$1001,0),MATCH(COLUMNS($AN$1006:AV1006),$AN$1006:$BO$1006,0)), HYPERLINK("#",""), HYPERLINK(CONCATENATE("#Metadata!", ADDRESS(INDEX($AI$2:$AI$1001,MATCH(ROWS($AG$2:AG959),$AG$2:$AG$1001,0),0), INDEX($AN$1004:$BO$1004,1,MATCH(COLUMNS($AN$1006:AV1006),$AN$1006:$BO$1006,0)))),"Fix")))</f>
        <v>0</v>
      </c>
      <c r="K959" s="4">
        <f>IF(OR(INDEX($AH$2:$AH$1001,MATCH(ROWS($AG$2:AG959),$AG$2:$AG$1001,0),1)&gt;=100000,INDEX($AN$1005:$BO$1005,1,MATCH(COLUMNS($AN$1006:AW1006),$AN$1006:$BO$1006,0))&gt;=100000), " ",IF(INDEX($AN$2:$BO$1001,MATCH(ROWS($AG$2:AG959),$AG$2:$AG$1001,0),MATCH(COLUMNS($AN$1006:AW1006),$AN$1006:$BO$1006,0)), HYPERLINK("#",""), HYPERLINK(CONCATENATE("#Metadata!", ADDRESS(INDEX($AI$2:$AI$1001,MATCH(ROWS($AG$2:AG959),$AG$2:$AG$1001,0),0), INDEX($AN$1004:$BO$1004,1,MATCH(COLUMNS($AN$1006:AW1006),$AN$1006:$BO$1006,0)))),"Fix")))</f>
        <v>0</v>
      </c>
      <c r="L959" s="4">
        <f>IF(OR(INDEX($AH$2:$AH$1001,MATCH(ROWS($AG$2:AG959),$AG$2:$AG$1001,0),1)&gt;=100000,INDEX($AN$1005:$BO$1005,1,MATCH(COLUMNS($AN$1006:AX1006),$AN$1006:$BO$1006,0))&gt;=100000), " ",IF(INDEX($AN$2:$BO$1001,MATCH(ROWS($AG$2:AG959),$AG$2:$AG$1001,0),MATCH(COLUMNS($AN$1006:AX1006),$AN$1006:$BO$1006,0)), HYPERLINK("#",""), HYPERLINK(CONCATENATE("#Metadata!", ADDRESS(INDEX($AI$2:$AI$1001,MATCH(ROWS($AG$2:AG959),$AG$2:$AG$1001,0),0), INDEX($AN$1004:$BO$1004,1,MATCH(COLUMNS($AN$1006:AX1006),$AN$1006:$BO$1006,0)))),"Fix")))</f>
        <v>0</v>
      </c>
      <c r="M959" s="4">
        <f>IF(OR(INDEX($AH$2:$AH$1001,MATCH(ROWS($AG$2:AG959),$AG$2:$AG$1001,0),1)&gt;=100000,INDEX($AN$1005:$BO$1005,1,MATCH(COLUMNS($AN$1006:AY1006),$AN$1006:$BO$1006,0))&gt;=100000), " ",IF(INDEX($AN$2:$BO$1001,MATCH(ROWS($AG$2:AG959),$AG$2:$AG$1001,0),MATCH(COLUMNS($AN$1006:AY1006),$AN$1006:$BO$1006,0)), HYPERLINK("#",""), HYPERLINK(CONCATENATE("#Metadata!", ADDRESS(INDEX($AI$2:$AI$1001,MATCH(ROWS($AG$2:AG959),$AG$2:$AG$1001,0),0), INDEX($AN$1004:$BO$1004,1,MATCH(COLUMNS($AN$1006:AY1006),$AN$1006:$BO$1006,0)))),"Fix")))</f>
        <v>0</v>
      </c>
      <c r="N959" s="4">
        <f>IF(OR(INDEX($AH$2:$AH$1001,MATCH(ROWS($AG$2:AG959),$AG$2:$AG$1001,0),1)&gt;=100000,INDEX($AN$1005:$BO$1005,1,MATCH(COLUMNS($AN$1006:AZ1006),$AN$1006:$BO$1006,0))&gt;=100000), " ",IF(INDEX($AN$2:$BO$1001,MATCH(ROWS($AG$2:AG959),$AG$2:$AG$1001,0),MATCH(COLUMNS($AN$1006:AZ1006),$AN$1006:$BO$1006,0)), HYPERLINK("#",""), HYPERLINK(CONCATENATE("#Metadata!", ADDRESS(INDEX($AI$2:$AI$1001,MATCH(ROWS($AG$2:AG959),$AG$2:$AG$1001,0),0), INDEX($AN$1004:$BO$1004,1,MATCH(COLUMNS($AN$1006:AZ1006),$AN$1006:$BO$1006,0)))),"Fix")))</f>
        <v>0</v>
      </c>
      <c r="O959" s="4">
        <f>IF(OR(INDEX($AH$2:$AH$1001,MATCH(ROWS($AG$2:AG959),$AG$2:$AG$1001,0),1)&gt;=100000,INDEX($AN$1005:$BO$1005,1,MATCH(COLUMNS($AN$1006:BA1006),$AN$1006:$BO$1006,0))&gt;=100000), " ",IF(INDEX($AN$2:$BO$1001,MATCH(ROWS($AG$2:AG959),$AG$2:$AG$1001,0),MATCH(COLUMNS($AN$1006:BA1006),$AN$1006:$BO$1006,0)), HYPERLINK("#",""), HYPERLINK(CONCATENATE("#Metadata!", ADDRESS(INDEX($AI$2:$AI$1001,MATCH(ROWS($AG$2:AG959),$AG$2:$AG$1001,0),0), INDEX($AN$1004:$BO$1004,1,MATCH(COLUMNS($AN$1006:BA1006),$AN$1006:$BO$1006,0)))),"Fix")))</f>
        <v>0</v>
      </c>
      <c r="P959" s="4">
        <f>IF(OR(INDEX($AH$2:$AH$1001,MATCH(ROWS($AG$2:AG959),$AG$2:$AG$1001,0),1)&gt;=100000,INDEX($AN$1005:$BO$1005,1,MATCH(COLUMNS($AN$1006:BB1006),$AN$1006:$BO$1006,0))&gt;=100000), " ",IF(INDEX($AN$2:$BO$1001,MATCH(ROWS($AG$2:AG959),$AG$2:$AG$1001,0),MATCH(COLUMNS($AN$1006:BB1006),$AN$1006:$BO$1006,0)), HYPERLINK("#",""), HYPERLINK(CONCATENATE("#Metadata!", ADDRESS(INDEX($AI$2:$AI$1001,MATCH(ROWS($AG$2:AG959),$AG$2:$AG$1001,0),0), INDEX($AN$1004:$BO$1004,1,MATCH(COLUMNS($AN$1006:BB1006),$AN$1006:$BO$1006,0)))),"Fix")))</f>
        <v>0</v>
      </c>
      <c r="Q959" s="4">
        <f>IF(OR(INDEX($AH$2:$AH$1001,MATCH(ROWS($AG$2:AG959),$AG$2:$AG$1001,0),1)&gt;=100000,INDEX($AN$1005:$BO$1005,1,MATCH(COLUMNS($AN$1006:BC1006),$AN$1006:$BO$1006,0))&gt;=100000), " ",IF(INDEX($AN$2:$BO$1001,MATCH(ROWS($AG$2:AG959),$AG$2:$AG$1001,0),MATCH(COLUMNS($AN$1006:BC1006),$AN$1006:$BO$1006,0)), HYPERLINK("#",""), HYPERLINK(CONCATENATE("#Metadata!", ADDRESS(INDEX($AI$2:$AI$1001,MATCH(ROWS($AG$2:AG959),$AG$2:$AG$1001,0),0), INDEX($AN$1004:$BO$1004,1,MATCH(COLUMNS($AN$1006:BC1006),$AN$1006:$BO$1006,0)))),"Fix")))</f>
        <v>0</v>
      </c>
      <c r="R959" s="4">
        <f>IF(OR(INDEX($AH$2:$AH$1001,MATCH(ROWS($AG$2:AG959),$AG$2:$AG$1001,0),1)&gt;=100000,INDEX($AN$1005:$BO$1005,1,MATCH(COLUMNS($AN$1006:BD1006),$AN$1006:$BO$1006,0))&gt;=100000), " ",IF(INDEX($AN$2:$BO$1001,MATCH(ROWS($AG$2:AG959),$AG$2:$AG$1001,0),MATCH(COLUMNS($AN$1006:BD1006),$AN$1006:$BO$1006,0)), HYPERLINK("#",""), HYPERLINK(CONCATENATE("#Metadata!", ADDRESS(INDEX($AI$2:$AI$1001,MATCH(ROWS($AG$2:AG959),$AG$2:$AG$1001,0),0), INDEX($AN$1004:$BO$1004,1,MATCH(COLUMNS($AN$1006:BD1006),$AN$1006:$BO$1006,0)))),"Fix")))</f>
        <v>0</v>
      </c>
      <c r="S959" s="4">
        <f>IF(OR(INDEX($AH$2:$AH$1001,MATCH(ROWS($AG$2:AG959),$AG$2:$AG$1001,0),1)&gt;=100000,INDEX($AN$1005:$BO$1005,1,MATCH(COLUMNS($AN$1006:BE1006),$AN$1006:$BO$1006,0))&gt;=100000), " ",IF(INDEX($AN$2:$BO$1001,MATCH(ROWS($AG$2:AG959),$AG$2:$AG$1001,0),MATCH(COLUMNS($AN$1006:BE1006),$AN$1006:$BO$1006,0)), HYPERLINK("#",""), HYPERLINK(CONCATENATE("#Metadata!", ADDRESS(INDEX($AI$2:$AI$1001,MATCH(ROWS($AG$2:AG959),$AG$2:$AG$1001,0),0), INDEX($AN$1004:$BO$1004,1,MATCH(COLUMNS($AN$1006:BE1006),$AN$1006:$BO$1006,0)))),"Fix")))</f>
        <v>0</v>
      </c>
      <c r="T959" s="4">
        <f>IF(OR(INDEX($AH$2:$AH$1001,MATCH(ROWS($AG$2:AG959),$AG$2:$AG$1001,0),1)&gt;=100000,INDEX($AN$1005:$BO$1005,1,MATCH(COLUMNS($AN$1006:BF1006),$AN$1006:$BO$1006,0))&gt;=100000), " ",IF(INDEX($AN$2:$BO$1001,MATCH(ROWS($AG$2:AG959),$AG$2:$AG$1001,0),MATCH(COLUMNS($AN$1006:BF1006),$AN$1006:$BO$1006,0)), HYPERLINK("#",""), HYPERLINK(CONCATENATE("#Metadata!", ADDRESS(INDEX($AI$2:$AI$1001,MATCH(ROWS($AG$2:AG959),$AG$2:$AG$1001,0),0), INDEX($AN$1004:$BO$1004,1,MATCH(COLUMNS($AN$1006:BF1006),$AN$1006:$BO$1006,0)))),"Fix")))</f>
        <v>0</v>
      </c>
      <c r="U959" s="4">
        <f>IF(OR(INDEX($AH$2:$AH$1001,MATCH(ROWS($AG$2:AG959),$AG$2:$AG$1001,0),1)&gt;=100000,INDEX($AN$1005:$BO$1005,1,MATCH(COLUMNS($AN$1006:BG1006),$AN$1006:$BO$1006,0))&gt;=100000), " ",IF(INDEX($AN$2:$BO$1001,MATCH(ROWS($AG$2:AG959),$AG$2:$AG$1001,0),MATCH(COLUMNS($AN$1006:BG1006),$AN$1006:$BO$1006,0)), HYPERLINK("#",""), HYPERLINK(CONCATENATE("#Metadata!", ADDRESS(INDEX($AI$2:$AI$1001,MATCH(ROWS($AG$2:AG959),$AG$2:$AG$1001,0),0), INDEX($AN$1004:$BO$1004,1,MATCH(COLUMNS($AN$1006:BG1006),$AN$1006:$BO$1006,0)))),"Fix")))</f>
        <v>0</v>
      </c>
      <c r="V959" s="4">
        <f>IF(OR(INDEX($AH$2:$AH$1001,MATCH(ROWS($AG$2:AG959),$AG$2:$AG$1001,0),1)&gt;=100000,INDEX($AN$1005:$BO$1005,1,MATCH(COLUMNS($AN$1006:BH1006),$AN$1006:$BO$1006,0))&gt;=100000), " ",IF(INDEX($AN$2:$BO$1001,MATCH(ROWS($AG$2:AG959),$AG$2:$AG$1001,0),MATCH(COLUMNS($AN$1006:BH1006),$AN$1006:$BO$1006,0)), HYPERLINK("#",""), HYPERLINK(CONCATENATE("#Metadata!", ADDRESS(INDEX($AI$2:$AI$1001,MATCH(ROWS($AG$2:AG959),$AG$2:$AG$1001,0),0), INDEX($AN$1004:$BO$1004,1,MATCH(COLUMNS($AN$1006:BH1006),$AN$1006:$BO$1006,0)))),"Fix")))</f>
        <v>0</v>
      </c>
      <c r="W959" s="4">
        <f>IF(OR(INDEX($AH$2:$AH$1001,MATCH(ROWS($AG$2:AG959),$AG$2:$AG$1001,0),1)&gt;=100000,INDEX($AN$1005:$BO$1005,1,MATCH(COLUMNS($AN$1006:BI1006),$AN$1006:$BO$1006,0))&gt;=100000), " ",IF(INDEX($AN$2:$BO$1001,MATCH(ROWS($AG$2:AG959),$AG$2:$AG$1001,0),MATCH(COLUMNS($AN$1006:BI1006),$AN$1006:$BO$1006,0)), HYPERLINK("#",""), HYPERLINK(CONCATENATE("#Metadata!", ADDRESS(INDEX($AI$2:$AI$1001,MATCH(ROWS($AG$2:AG959),$AG$2:$AG$1001,0),0), INDEX($AN$1004:$BO$1004,1,MATCH(COLUMNS($AN$1006:BI1006),$AN$1006:$BO$1006,0)))),"Fix")))</f>
        <v>0</v>
      </c>
      <c r="X959" s="4">
        <f>IF(OR(INDEX($AH$2:$AH$1001,MATCH(ROWS($AG$2:AG959),$AG$2:$AG$1001,0),1)&gt;=100000,INDEX($AN$1005:$BO$1005,1,MATCH(COLUMNS($AN$1006:BJ1006),$AN$1006:$BO$1006,0))&gt;=100000), " ",IF(INDEX($AN$2:$BO$1001,MATCH(ROWS($AG$2:AG959),$AG$2:$AG$1001,0),MATCH(COLUMNS($AN$1006:BJ1006),$AN$1006:$BO$1006,0)), HYPERLINK("#",""), HYPERLINK(CONCATENATE("#Metadata!", ADDRESS(INDEX($AI$2:$AI$1001,MATCH(ROWS($AG$2:AG959),$AG$2:$AG$1001,0),0), INDEX($AN$1004:$BO$1004,1,MATCH(COLUMNS($AN$1006:BJ1006),$AN$1006:$BO$1006,0)))),"Fix")))</f>
        <v>0</v>
      </c>
      <c r="Y959" s="4">
        <f>IF(OR(INDEX($AH$2:$AH$1001,MATCH(ROWS($AG$2:AG959),$AG$2:$AG$1001,0),1)&gt;=100000,INDEX($AN$1005:$BO$1005,1,MATCH(COLUMNS($AN$1006:BK1006),$AN$1006:$BO$1006,0))&gt;=100000), " ",IF(INDEX($AN$2:$BO$1001,MATCH(ROWS($AG$2:AG959),$AG$2:$AG$1001,0),MATCH(COLUMNS($AN$1006:BK1006),$AN$1006:$BO$1006,0)), HYPERLINK("#",""), HYPERLINK(CONCATENATE("#Metadata!", ADDRESS(INDEX($AI$2:$AI$1001,MATCH(ROWS($AG$2:AG959),$AG$2:$AG$1001,0),0), INDEX($AN$1004:$BO$1004,1,MATCH(COLUMNS($AN$1006:BK1006),$AN$1006:$BO$1006,0)))),"Fix")))</f>
        <v>0</v>
      </c>
      <c r="Z959" s="4">
        <f>IF(OR(INDEX($AH$2:$AH$1001,MATCH(ROWS($AG$2:AG959),$AG$2:$AG$1001,0),1)&gt;=100000,INDEX($AN$1005:$BO$1005,1,MATCH(COLUMNS($AN$1006:BL1006),$AN$1006:$BO$1006,0))&gt;=100000), " ",IF(INDEX($AN$2:$BO$1001,MATCH(ROWS($AG$2:AG959),$AG$2:$AG$1001,0),MATCH(COLUMNS($AN$1006:BL1006),$AN$1006:$BO$1006,0)), HYPERLINK("#",""), HYPERLINK(CONCATENATE("#Metadata!", ADDRESS(INDEX($AI$2:$AI$1001,MATCH(ROWS($AG$2:AG959),$AG$2:$AG$1001,0),0), INDEX($AN$1004:$BO$1004,1,MATCH(COLUMNS($AN$1006:BL1006),$AN$1006:$BO$1006,0)))),"Fix")))</f>
        <v>0</v>
      </c>
      <c r="AA959" s="4">
        <f>IF(OR(INDEX($AH$2:$AH$1001,MATCH(ROWS($AG$2:AG959),$AG$2:$AG$1001,0),1)&gt;=100000,INDEX($AN$1005:$BO$1005,1,MATCH(COLUMNS($AN$1006:BM1006),$AN$1006:$BO$1006,0))&gt;=100000), " ",IF(INDEX($AN$2:$BO$1001,MATCH(ROWS($AG$2:AG959),$AG$2:$AG$1001,0),MATCH(COLUMNS($AN$1006:BM1006),$AN$1006:$BO$1006,0)), HYPERLINK("#",""), HYPERLINK(CONCATENATE("#Metadata!", ADDRESS(INDEX($AI$2:$AI$1001,MATCH(ROWS($AG$2:AG959),$AG$2:$AG$1001,0),0), INDEX($AN$1004:$BO$1004,1,MATCH(COLUMNS($AN$1006:BM1006),$AN$1006:$BO$1006,0)))),"Fix")))</f>
        <v>0</v>
      </c>
      <c r="AB959" s="4">
        <f>IF(OR(INDEX($AH$2:$AH$1001,MATCH(ROWS($AG$2:AG959),$AG$2:$AG$1001,0),1)&gt;=100000,INDEX($AN$1005:$BO$1005,1,MATCH(COLUMNS($AN$1006:BN1006),$AN$1006:$BO$1006,0))&gt;=100000), " ",IF(INDEX($AN$2:$BO$1001,MATCH(ROWS($AG$2:AG959),$AG$2:$AG$1001,0),MATCH(COLUMNS($AN$1006:BN1006),$AN$1006:$BO$1006,0)), HYPERLINK("#",""), HYPERLINK(CONCATENATE("#Metadata!", ADDRESS(INDEX($AI$2:$AI$1001,MATCH(ROWS($AG$2:AG959),$AG$2:$AG$1001,0),0), INDEX($AN$1004:$BO$1004,1,MATCH(COLUMNS($AN$1006:BN1006),$AN$1006:$BO$1006,0)))),"Fix")))</f>
        <v>0</v>
      </c>
      <c r="AC959" s="4">
        <f>IF(OR(INDEX($AH$2:$AH$1001,MATCH(ROWS($AG$2:AG959),$AG$2:$AG$1001,0),1)&gt;=100000,INDEX($AN$1005:$BO$1005,1,MATCH(COLUMNS($AN$1006:BO1006),$AN$1006:$BO$1006,0))&gt;=100000), " ",IF(INDEX($AN$2:$BO$1001,MATCH(ROWS($AG$2:AG959),$AG$2:$AG$1001,0),MATCH(COLUMNS($AN$1006:BO1006),$AN$1006:$BO$1006,0)), HYPERLINK("#",""), HYPERLINK(CONCATENATE("#Metadata!", ADDRESS(INDEX($AI$2:$AI$1001,MATCH(ROWS($AG$2:AG959),$AG$2:$AG$1001,0),0), INDEX($AN$1004:$BO$1004,1,MATCH(COLUMNS($AN$1006:BO1006),$AN$1006:$BO$1006,0)))),"Fix")))</f>
        <v>0</v>
      </c>
      <c r="AG959">
        <v>0</v>
      </c>
      <c r="AH959">
        <v>0</v>
      </c>
      <c r="AI959">
        <v>0</v>
      </c>
      <c r="AJ959">
        <f>IF(AK959,TRUE,AND(AN959:BO959))</f>
        <v>0</v>
      </c>
      <c r="AK959">
        <f>COUNTBLANK(Metadata!B959:AC959)=COLUMNS(Metadata!B959:AC959)</f>
        <v>0</v>
      </c>
      <c r="AL959">
        <v>0</v>
      </c>
      <c r="AN959">
        <f>AND(IF(Metadata!B959="",FALSE,TRUE),COUNTIF(Metadata!B:B, Metadata!B959) = 1,NOT(ISERROR(SUMPRODUCT(SEARCH(MID(Metadata!B959,ROW(INDIRECT("1:"&amp;LEN(Metadata!B959))), 1),"0123456789abcdefghijklmnopqrstuvwxyzABCDEFGHIJKLMNOPQRSTUVWXYZ.")))))</f>
        <v>0</v>
      </c>
      <c r="AO959">
        <f>IF(Metadata!C959="",FALSE,TRUE)</f>
        <v>0</v>
      </c>
      <c r="AP959">
        <f>IF(Metadata!D959="",FALSE,TRUE)</f>
        <v>0</v>
      </c>
      <c r="AQ959">
        <f>OR(AND(IF(Metadata!E959="",FALSE,TRUE),OR(exact(Metadata!E959,"not collected"),exact(Metadata!E959,"not provided"),exact(Metadata!E959,"restricted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R959">
        <f>IF(Metadata!F959="",FALSE,TRUE)</f>
        <v>0</v>
      </c>
      <c r="AS959">
        <f>OR(AND(IF(Metadata!G959="",FALSE,TRUE),OR(exact(Metadata!G959,"not collected"),exact(Metadata!G959,"not provided"))),AND(IF(Metadata!G959="",FALSE,TRUE),OR(exact(Metadata!G959,"TRUE"),exact(Metadata!G959,"FALSE"))))</f>
        <v>0</v>
      </c>
      <c r="AT959">
        <f>OR(AND(IF(Metadata!H959="",FALSE,TRUE),OR(exact(Metadata!H959,"not collected"),exact(Metadata!H959,"not provided"),exact(Metadata!H959,"restricted access"))),AND(IF(Metadata!H959="",FALSE,ISNUMBER(VALUE(Metadata!H959))),Metadata!H959&gt;=-413.0))</f>
        <v>0</v>
      </c>
      <c r="AU959">
        <f>AND(IF(Metadata!I959="",FALSE,TRUE),exact(Metadata!I959,"meters"))</f>
        <v>0</v>
      </c>
      <c r="AV959">
        <f>AND(IF(Metadata!J959="",FALSE,TRUE),OR(exact(Metadata!J959,"Host-associated"),exact(Metadata!J959,"Free-living")))</f>
        <v>0</v>
      </c>
      <c r="AW959">
        <f>AND(IF(Metadata!K959="",FALSE,TRUE),OR(exact(Metadata!K959,"Animal"),exact(Metadata!K959,"Fungus"),exact(Metadata!K959,"Plant"),exact(Metadata!K959,"Saline"),exact(Metadata!K959,"Non-saline")))</f>
        <v>0</v>
      </c>
      <c r="AX959">
        <f>AND(IF(Metadata!L959="",FALSE,TRUE),OR(exact(Metadata!L959,"Plant secretion"),exact(Metadata!L959,"Plant rhizosphere"),exact(Metadata!L959,"Plant surface"),exact(Metadata!L959,"Plant corpus"),exact(Metadata!L959,"Fungus surface"),exact(Metadata!L959,"Fungus corpus"),exact(Metadata!L959,"Animal surface"),exact(Metadata!L959,"Animal proximal gut"),exact(Metadata!L959,"Animal corpus"),exact(Metadata!L959,"Animal distal gut"),exact(Metadata!L959,"Animal secretion"),exact(Metadata!L959,"Sub-surface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Y959">
        <f>IF(Metadata!M959="",FALSE,TRUE)</f>
        <v>0</v>
      </c>
      <c r="AZ959">
        <f>IF(Metadata!N959="",FALSE,TRUE)</f>
        <v>0</v>
      </c>
      <c r="BA959">
        <f>IF(Metadata!O959="",FALSE,TRUE)</f>
        <v>0</v>
      </c>
      <c r="BB959">
        <f>OR(AND(IF(Metadata!P959="",FALSE,TRUE),OR(exact(Metadata!P959,"not collected"),exact(Metadata!P959,"not provided"),exact(Metadata!P959,"restricted access"))),AND(IF(Metadata!P959="",FALSE,TRUE),OR(exact(Metadata!P959,"air"),exact(Metadata!P959,"built environment"),exact(Metadata!P959,"host-associated"),exact(Metadata!P959,"human-associated"),exact(Metadata!P959,"human-skin"),exact(Metadata!P959,"human-oral"),exact(Metadata!P959,"human-gut"),exact(Metadata!P959,"human-vaginal"),exact(Metadata!P959,"microbial mat/biofilm"),exact(Metadata!P959,"misc environment"),exact(Metadata!P959,"plant-associated"),exact(Metadata!P959,"sediment"),exact(Metadata!P959,"soil"),exact(Metadata!P959,"wastewater/sludge"),exact(Metadata!P959,"water"))))</f>
        <v>0</v>
      </c>
      <c r="BC959">
        <f>IF(Metadata!Q959="",FALSE,TRUE)</f>
        <v>0</v>
      </c>
      <c r="BD959">
        <f>IF(Metadata!R959="",FALSE,TRUE)</f>
        <v>0</v>
      </c>
      <c r="BE959">
        <f>OR(AND(IF(Metadata!S959="",FALSE,TRUE),OR(exact(Metadata!S959,"not collected"),exact(Metadata!S959,"not provided"),exact(Metadata!S959,"restricted access"))),AND(IF(Metadata!S959="",FALSE,ISNUMBER(VALUE(Metadata!S959))),Metadata!S959&gt;=-90.00,Metadata!S959&lt;=90.00))</f>
        <v>0</v>
      </c>
      <c r="BF959">
        <f>AND(IF(Metadata!T959="",FALSE,TRUE),exact(Metadata!T959,"Decimal degrees"))</f>
        <v>0</v>
      </c>
      <c r="BG959">
        <f>OR(AND(IF(Metadata!U959="",FALSE,TRUE),OR(exact(Metadata!U959,"not collected"),exact(Metadata!U959,"not provided"),exact(Metadata!U959,"restricted access"))),AND(IF(Metadata!U959="",FALSE,ISNUMBER(VALUE(Metadata!U959))),Metadata!U959&gt;=-180.00,Metadata!U959&lt;=180.00))</f>
        <v>0</v>
      </c>
      <c r="BH959">
        <f>AND(IF(Metadata!V959="",FALSE,TRUE),exact(Metadata!V959,"Decimal degrees"))</f>
        <v>0</v>
      </c>
      <c r="BI959">
        <f>IF(Metadata!W959="",FALSE,TRUE)</f>
        <v>0</v>
      </c>
      <c r="BJ959">
        <f>OR(AND(IF(Metadata!X959="",FALSE,TRUE),OR(exact(Metadata!X959,"not collected"),exact(Metadata!X959,"not provided"),exact(Metadata!X959,"restricted access"))),AND(IF(Metadata!X959="",FALSE,TRUE),OR(exact(Metadata!X959,"TRUE"),exact(Metadata!X959,"FALSE"))))</f>
        <v>0</v>
      </c>
      <c r="BK959">
        <f>AND(IF(Metadata!Y959="",FALSE,TRUE),exact(Metadata!Y959,"other"))</f>
        <v>0</v>
      </c>
      <c r="BL959">
        <f>IF(Metadata!Z959="",FALSE,TRUE)</f>
        <v>0</v>
      </c>
      <c r="BM959">
        <f>OR(AND(IF(Metadata!AA959="",FALSE,TRUE),OR(exact(Metadata!AA959,"not collected"),exact(Metadata!AA959,"not provided"))),AND(IF(Metadata!AA959="",FALSE,IF(ISERROR(INT(Metadata!AA959)),FALSE,INT(Metadata!AA959)=Metadata!AA959)),Metadata!AA959&gt;0))</f>
        <v>0</v>
      </c>
      <c r="BN959">
        <f>AND(IF(Metadata!AB959="",FALSE,TRUE),exact(Metadata!AB959,"Not applicable"))</f>
        <v>0</v>
      </c>
      <c r="BO959">
        <f>IF(Metadata!AC959="",FALSE,TRUE)</f>
        <v>0</v>
      </c>
    </row>
    <row r="960" spans="1:67">
      <c r="A960" s="5">
        <f>IF(B960=" "," ",HYPERLINK(CONCATENATE("#metadata!",ADDRESS(INDEX($AI$2:$AI$1001,MATCH(ROWS($AG$2:AG960),$AG$2:$AG$1001,0),0),1)),INDEX($AL$2:$AL$1001,MATCH(ROWS($AG$2:AG960),$AG$2:$AG$1001,0),0)))</f>
        <v>0</v>
      </c>
      <c r="B960" s="4">
        <f>IF(OR(INDEX($AH$2:$AH$1001,MATCH(ROWS($AG$2:AG960),$AG$2:$AG$1001,0),1)&gt;=100000,INDEX($AN$1005:$BO$1005,1,MATCH(COLUMNS($AN$1006:AN1006),$AN$1006:$BO$1006,0))&gt;=100000), " ",IF(INDEX($AN$2:$BO$1001,MATCH(ROWS($AG$2:AG960),$AG$2:$AG$1001,0),MATCH(COLUMNS($AN$1006:AN1006),$AN$1006:$BO$1006,0)), HYPERLINK("#",""), HYPERLINK(CONCATENATE("#Metadata!", ADDRESS(INDEX($AI$2:$AI$1001,MATCH(ROWS($AG$2:AG960),$AG$2:$AG$1001,0),0), INDEX($AN$1004:$BO$1004,1,MATCH(COLUMNS($AN$1006:AN1006),$AN$1006:$BO$1006,0)))),"Fix")))</f>
        <v>0</v>
      </c>
      <c r="C960" s="4">
        <f>IF(OR(INDEX($AH$2:$AH$1001,MATCH(ROWS($AG$2:AG960),$AG$2:$AG$1001,0),1)&gt;=100000,INDEX($AN$1005:$BO$1005,1,MATCH(COLUMNS($AN$1006:AO1006),$AN$1006:$BO$1006,0))&gt;=100000), " ",IF(INDEX($AN$2:$BO$1001,MATCH(ROWS($AG$2:AG960),$AG$2:$AG$1001,0),MATCH(COLUMNS($AN$1006:AO1006),$AN$1006:$BO$1006,0)), HYPERLINK("#",""), HYPERLINK(CONCATENATE("#Metadata!", ADDRESS(INDEX($AI$2:$AI$1001,MATCH(ROWS($AG$2:AG960),$AG$2:$AG$1001,0),0), INDEX($AN$1004:$BO$1004,1,MATCH(COLUMNS($AN$1006:AO1006),$AN$1006:$BO$1006,0)))),"Fix")))</f>
        <v>0</v>
      </c>
      <c r="D960" s="4">
        <f>IF(OR(INDEX($AH$2:$AH$1001,MATCH(ROWS($AG$2:AG960),$AG$2:$AG$1001,0),1)&gt;=100000,INDEX($AN$1005:$BO$1005,1,MATCH(COLUMNS($AN$1006:AP1006),$AN$1006:$BO$1006,0))&gt;=100000), " ",IF(INDEX($AN$2:$BO$1001,MATCH(ROWS($AG$2:AG960),$AG$2:$AG$1001,0),MATCH(COLUMNS($AN$1006:AP1006),$AN$1006:$BO$1006,0)), HYPERLINK("#",""), HYPERLINK(CONCATENATE("#Metadata!", ADDRESS(INDEX($AI$2:$AI$1001,MATCH(ROWS($AG$2:AG960),$AG$2:$AG$1001,0),0), INDEX($AN$1004:$BO$1004,1,MATCH(COLUMNS($AN$1006:AP1006),$AN$1006:$BO$1006,0)))),"Fix")))</f>
        <v>0</v>
      </c>
      <c r="E960" s="4">
        <f>IF(OR(INDEX($AH$2:$AH$1001,MATCH(ROWS($AG$2:AG960),$AG$2:$AG$1001,0),1)&gt;=100000,INDEX($AN$1005:$BO$1005,1,MATCH(COLUMNS($AN$1006:AQ1006),$AN$1006:$BO$1006,0))&gt;=100000), " ",IF(INDEX($AN$2:$BO$1001,MATCH(ROWS($AG$2:AG960),$AG$2:$AG$1001,0),MATCH(COLUMNS($AN$1006:AQ1006),$AN$1006:$BO$1006,0)), HYPERLINK("#",""), HYPERLINK(CONCATENATE("#Metadata!", ADDRESS(INDEX($AI$2:$AI$1001,MATCH(ROWS($AG$2:AG960),$AG$2:$AG$1001,0),0), INDEX($AN$1004:$BO$1004,1,MATCH(COLUMNS($AN$1006:AQ1006),$AN$1006:$BO$1006,0)))),"Fix")))</f>
        <v>0</v>
      </c>
      <c r="F960" s="4">
        <f>IF(OR(INDEX($AH$2:$AH$1001,MATCH(ROWS($AG$2:AG960),$AG$2:$AG$1001,0),1)&gt;=100000,INDEX($AN$1005:$BO$1005,1,MATCH(COLUMNS($AN$1006:AR1006),$AN$1006:$BO$1006,0))&gt;=100000), " ",IF(INDEX($AN$2:$BO$1001,MATCH(ROWS($AG$2:AG960),$AG$2:$AG$1001,0),MATCH(COLUMNS($AN$1006:AR1006),$AN$1006:$BO$1006,0)), HYPERLINK("#",""), HYPERLINK(CONCATENATE("#Metadata!", ADDRESS(INDEX($AI$2:$AI$1001,MATCH(ROWS($AG$2:AG960),$AG$2:$AG$1001,0),0), INDEX($AN$1004:$BO$1004,1,MATCH(COLUMNS($AN$1006:AR1006),$AN$1006:$BO$1006,0)))),"Fix")))</f>
        <v>0</v>
      </c>
      <c r="G960" s="4">
        <f>IF(OR(INDEX($AH$2:$AH$1001,MATCH(ROWS($AG$2:AG960),$AG$2:$AG$1001,0),1)&gt;=100000,INDEX($AN$1005:$BO$1005,1,MATCH(COLUMNS($AN$1006:AS1006),$AN$1006:$BO$1006,0))&gt;=100000), " ",IF(INDEX($AN$2:$BO$1001,MATCH(ROWS($AG$2:AG960),$AG$2:$AG$1001,0),MATCH(COLUMNS($AN$1006:AS1006),$AN$1006:$BO$1006,0)), HYPERLINK("#",""), HYPERLINK(CONCATENATE("#Metadata!", ADDRESS(INDEX($AI$2:$AI$1001,MATCH(ROWS($AG$2:AG960),$AG$2:$AG$1001,0),0), INDEX($AN$1004:$BO$1004,1,MATCH(COLUMNS($AN$1006:AS1006),$AN$1006:$BO$1006,0)))),"Fix")))</f>
        <v>0</v>
      </c>
      <c r="H960" s="4">
        <f>IF(OR(INDEX($AH$2:$AH$1001,MATCH(ROWS($AG$2:AG960),$AG$2:$AG$1001,0),1)&gt;=100000,INDEX($AN$1005:$BO$1005,1,MATCH(COLUMNS($AN$1006:AT1006),$AN$1006:$BO$1006,0))&gt;=100000), " ",IF(INDEX($AN$2:$BO$1001,MATCH(ROWS($AG$2:AG960),$AG$2:$AG$1001,0),MATCH(COLUMNS($AN$1006:AT1006),$AN$1006:$BO$1006,0)), HYPERLINK("#",""), HYPERLINK(CONCATENATE("#Metadata!", ADDRESS(INDEX($AI$2:$AI$1001,MATCH(ROWS($AG$2:AG960),$AG$2:$AG$1001,0),0), INDEX($AN$1004:$BO$1004,1,MATCH(COLUMNS($AN$1006:AT1006),$AN$1006:$BO$1006,0)))),"Fix")))</f>
        <v>0</v>
      </c>
      <c r="I960" s="4">
        <f>IF(OR(INDEX($AH$2:$AH$1001,MATCH(ROWS($AG$2:AG960),$AG$2:$AG$1001,0),1)&gt;=100000,INDEX($AN$1005:$BO$1005,1,MATCH(COLUMNS($AN$1006:AU1006),$AN$1006:$BO$1006,0))&gt;=100000), " ",IF(INDEX($AN$2:$BO$1001,MATCH(ROWS($AG$2:AG960),$AG$2:$AG$1001,0),MATCH(COLUMNS($AN$1006:AU1006),$AN$1006:$BO$1006,0)), HYPERLINK("#",""), HYPERLINK(CONCATENATE("#Metadata!", ADDRESS(INDEX($AI$2:$AI$1001,MATCH(ROWS($AG$2:AG960),$AG$2:$AG$1001,0),0), INDEX($AN$1004:$BO$1004,1,MATCH(COLUMNS($AN$1006:AU1006),$AN$1006:$BO$1006,0)))),"Fix")))</f>
        <v>0</v>
      </c>
      <c r="J960" s="4">
        <f>IF(OR(INDEX($AH$2:$AH$1001,MATCH(ROWS($AG$2:AG960),$AG$2:$AG$1001,0),1)&gt;=100000,INDEX($AN$1005:$BO$1005,1,MATCH(COLUMNS($AN$1006:AV1006),$AN$1006:$BO$1006,0))&gt;=100000), " ",IF(INDEX($AN$2:$BO$1001,MATCH(ROWS($AG$2:AG960),$AG$2:$AG$1001,0),MATCH(COLUMNS($AN$1006:AV1006),$AN$1006:$BO$1006,0)), HYPERLINK("#",""), HYPERLINK(CONCATENATE("#Metadata!", ADDRESS(INDEX($AI$2:$AI$1001,MATCH(ROWS($AG$2:AG960),$AG$2:$AG$1001,0),0), INDEX($AN$1004:$BO$1004,1,MATCH(COLUMNS($AN$1006:AV1006),$AN$1006:$BO$1006,0)))),"Fix")))</f>
        <v>0</v>
      </c>
      <c r="K960" s="4">
        <f>IF(OR(INDEX($AH$2:$AH$1001,MATCH(ROWS($AG$2:AG960),$AG$2:$AG$1001,0),1)&gt;=100000,INDEX($AN$1005:$BO$1005,1,MATCH(COLUMNS($AN$1006:AW1006),$AN$1006:$BO$1006,0))&gt;=100000), " ",IF(INDEX($AN$2:$BO$1001,MATCH(ROWS($AG$2:AG960),$AG$2:$AG$1001,0),MATCH(COLUMNS($AN$1006:AW1006),$AN$1006:$BO$1006,0)), HYPERLINK("#",""), HYPERLINK(CONCATENATE("#Metadata!", ADDRESS(INDEX($AI$2:$AI$1001,MATCH(ROWS($AG$2:AG960),$AG$2:$AG$1001,0),0), INDEX($AN$1004:$BO$1004,1,MATCH(COLUMNS($AN$1006:AW1006),$AN$1006:$BO$1006,0)))),"Fix")))</f>
        <v>0</v>
      </c>
      <c r="L960" s="4">
        <f>IF(OR(INDEX($AH$2:$AH$1001,MATCH(ROWS($AG$2:AG960),$AG$2:$AG$1001,0),1)&gt;=100000,INDEX($AN$1005:$BO$1005,1,MATCH(COLUMNS($AN$1006:AX1006),$AN$1006:$BO$1006,0))&gt;=100000), " ",IF(INDEX($AN$2:$BO$1001,MATCH(ROWS($AG$2:AG960),$AG$2:$AG$1001,0),MATCH(COLUMNS($AN$1006:AX1006),$AN$1006:$BO$1006,0)), HYPERLINK("#",""), HYPERLINK(CONCATENATE("#Metadata!", ADDRESS(INDEX($AI$2:$AI$1001,MATCH(ROWS($AG$2:AG960),$AG$2:$AG$1001,0),0), INDEX($AN$1004:$BO$1004,1,MATCH(COLUMNS($AN$1006:AX1006),$AN$1006:$BO$1006,0)))),"Fix")))</f>
        <v>0</v>
      </c>
      <c r="M960" s="4">
        <f>IF(OR(INDEX($AH$2:$AH$1001,MATCH(ROWS($AG$2:AG960),$AG$2:$AG$1001,0),1)&gt;=100000,INDEX($AN$1005:$BO$1005,1,MATCH(COLUMNS($AN$1006:AY1006),$AN$1006:$BO$1006,0))&gt;=100000), " ",IF(INDEX($AN$2:$BO$1001,MATCH(ROWS($AG$2:AG960),$AG$2:$AG$1001,0),MATCH(COLUMNS($AN$1006:AY1006),$AN$1006:$BO$1006,0)), HYPERLINK("#",""), HYPERLINK(CONCATENATE("#Metadata!", ADDRESS(INDEX($AI$2:$AI$1001,MATCH(ROWS($AG$2:AG960),$AG$2:$AG$1001,0),0), INDEX($AN$1004:$BO$1004,1,MATCH(COLUMNS($AN$1006:AY1006),$AN$1006:$BO$1006,0)))),"Fix")))</f>
        <v>0</v>
      </c>
      <c r="N960" s="4">
        <f>IF(OR(INDEX($AH$2:$AH$1001,MATCH(ROWS($AG$2:AG960),$AG$2:$AG$1001,0),1)&gt;=100000,INDEX($AN$1005:$BO$1005,1,MATCH(COLUMNS($AN$1006:AZ1006),$AN$1006:$BO$1006,0))&gt;=100000), " ",IF(INDEX($AN$2:$BO$1001,MATCH(ROWS($AG$2:AG960),$AG$2:$AG$1001,0),MATCH(COLUMNS($AN$1006:AZ1006),$AN$1006:$BO$1006,0)), HYPERLINK("#",""), HYPERLINK(CONCATENATE("#Metadata!", ADDRESS(INDEX($AI$2:$AI$1001,MATCH(ROWS($AG$2:AG960),$AG$2:$AG$1001,0),0), INDEX($AN$1004:$BO$1004,1,MATCH(COLUMNS($AN$1006:AZ1006),$AN$1006:$BO$1006,0)))),"Fix")))</f>
        <v>0</v>
      </c>
      <c r="O960" s="4">
        <f>IF(OR(INDEX($AH$2:$AH$1001,MATCH(ROWS($AG$2:AG960),$AG$2:$AG$1001,0),1)&gt;=100000,INDEX($AN$1005:$BO$1005,1,MATCH(COLUMNS($AN$1006:BA1006),$AN$1006:$BO$1006,0))&gt;=100000), " ",IF(INDEX($AN$2:$BO$1001,MATCH(ROWS($AG$2:AG960),$AG$2:$AG$1001,0),MATCH(COLUMNS($AN$1006:BA1006),$AN$1006:$BO$1006,0)), HYPERLINK("#",""), HYPERLINK(CONCATENATE("#Metadata!", ADDRESS(INDEX($AI$2:$AI$1001,MATCH(ROWS($AG$2:AG960),$AG$2:$AG$1001,0),0), INDEX($AN$1004:$BO$1004,1,MATCH(COLUMNS($AN$1006:BA1006),$AN$1006:$BO$1006,0)))),"Fix")))</f>
        <v>0</v>
      </c>
      <c r="P960" s="4">
        <f>IF(OR(INDEX($AH$2:$AH$1001,MATCH(ROWS($AG$2:AG960),$AG$2:$AG$1001,0),1)&gt;=100000,INDEX($AN$1005:$BO$1005,1,MATCH(COLUMNS($AN$1006:BB1006),$AN$1006:$BO$1006,0))&gt;=100000), " ",IF(INDEX($AN$2:$BO$1001,MATCH(ROWS($AG$2:AG960),$AG$2:$AG$1001,0),MATCH(COLUMNS($AN$1006:BB1006),$AN$1006:$BO$1006,0)), HYPERLINK("#",""), HYPERLINK(CONCATENATE("#Metadata!", ADDRESS(INDEX($AI$2:$AI$1001,MATCH(ROWS($AG$2:AG960),$AG$2:$AG$1001,0),0), INDEX($AN$1004:$BO$1004,1,MATCH(COLUMNS($AN$1006:BB1006),$AN$1006:$BO$1006,0)))),"Fix")))</f>
        <v>0</v>
      </c>
      <c r="Q960" s="4">
        <f>IF(OR(INDEX($AH$2:$AH$1001,MATCH(ROWS($AG$2:AG960),$AG$2:$AG$1001,0),1)&gt;=100000,INDEX($AN$1005:$BO$1005,1,MATCH(COLUMNS($AN$1006:BC1006),$AN$1006:$BO$1006,0))&gt;=100000), " ",IF(INDEX($AN$2:$BO$1001,MATCH(ROWS($AG$2:AG960),$AG$2:$AG$1001,0),MATCH(COLUMNS($AN$1006:BC1006),$AN$1006:$BO$1006,0)), HYPERLINK("#",""), HYPERLINK(CONCATENATE("#Metadata!", ADDRESS(INDEX($AI$2:$AI$1001,MATCH(ROWS($AG$2:AG960),$AG$2:$AG$1001,0),0), INDEX($AN$1004:$BO$1004,1,MATCH(COLUMNS($AN$1006:BC1006),$AN$1006:$BO$1006,0)))),"Fix")))</f>
        <v>0</v>
      </c>
      <c r="R960" s="4">
        <f>IF(OR(INDEX($AH$2:$AH$1001,MATCH(ROWS($AG$2:AG960),$AG$2:$AG$1001,0),1)&gt;=100000,INDEX($AN$1005:$BO$1005,1,MATCH(COLUMNS($AN$1006:BD1006),$AN$1006:$BO$1006,0))&gt;=100000), " ",IF(INDEX($AN$2:$BO$1001,MATCH(ROWS($AG$2:AG960),$AG$2:$AG$1001,0),MATCH(COLUMNS($AN$1006:BD1006),$AN$1006:$BO$1006,0)), HYPERLINK("#",""), HYPERLINK(CONCATENATE("#Metadata!", ADDRESS(INDEX($AI$2:$AI$1001,MATCH(ROWS($AG$2:AG960),$AG$2:$AG$1001,0),0), INDEX($AN$1004:$BO$1004,1,MATCH(COLUMNS($AN$1006:BD1006),$AN$1006:$BO$1006,0)))),"Fix")))</f>
        <v>0</v>
      </c>
      <c r="S960" s="4">
        <f>IF(OR(INDEX($AH$2:$AH$1001,MATCH(ROWS($AG$2:AG960),$AG$2:$AG$1001,0),1)&gt;=100000,INDEX($AN$1005:$BO$1005,1,MATCH(COLUMNS($AN$1006:BE1006),$AN$1006:$BO$1006,0))&gt;=100000), " ",IF(INDEX($AN$2:$BO$1001,MATCH(ROWS($AG$2:AG960),$AG$2:$AG$1001,0),MATCH(COLUMNS($AN$1006:BE1006),$AN$1006:$BO$1006,0)), HYPERLINK("#",""), HYPERLINK(CONCATENATE("#Metadata!", ADDRESS(INDEX($AI$2:$AI$1001,MATCH(ROWS($AG$2:AG960),$AG$2:$AG$1001,0),0), INDEX($AN$1004:$BO$1004,1,MATCH(COLUMNS($AN$1006:BE1006),$AN$1006:$BO$1006,0)))),"Fix")))</f>
        <v>0</v>
      </c>
      <c r="T960" s="4">
        <f>IF(OR(INDEX($AH$2:$AH$1001,MATCH(ROWS($AG$2:AG960),$AG$2:$AG$1001,0),1)&gt;=100000,INDEX($AN$1005:$BO$1005,1,MATCH(COLUMNS($AN$1006:BF1006),$AN$1006:$BO$1006,0))&gt;=100000), " ",IF(INDEX($AN$2:$BO$1001,MATCH(ROWS($AG$2:AG960),$AG$2:$AG$1001,0),MATCH(COLUMNS($AN$1006:BF1006),$AN$1006:$BO$1006,0)), HYPERLINK("#",""), HYPERLINK(CONCATENATE("#Metadata!", ADDRESS(INDEX($AI$2:$AI$1001,MATCH(ROWS($AG$2:AG960),$AG$2:$AG$1001,0),0), INDEX($AN$1004:$BO$1004,1,MATCH(COLUMNS($AN$1006:BF1006),$AN$1006:$BO$1006,0)))),"Fix")))</f>
        <v>0</v>
      </c>
      <c r="U960" s="4">
        <f>IF(OR(INDEX($AH$2:$AH$1001,MATCH(ROWS($AG$2:AG960),$AG$2:$AG$1001,0),1)&gt;=100000,INDEX($AN$1005:$BO$1005,1,MATCH(COLUMNS($AN$1006:BG1006),$AN$1006:$BO$1006,0))&gt;=100000), " ",IF(INDEX($AN$2:$BO$1001,MATCH(ROWS($AG$2:AG960),$AG$2:$AG$1001,0),MATCH(COLUMNS($AN$1006:BG1006),$AN$1006:$BO$1006,0)), HYPERLINK("#",""), HYPERLINK(CONCATENATE("#Metadata!", ADDRESS(INDEX($AI$2:$AI$1001,MATCH(ROWS($AG$2:AG960),$AG$2:$AG$1001,0),0), INDEX($AN$1004:$BO$1004,1,MATCH(COLUMNS($AN$1006:BG1006),$AN$1006:$BO$1006,0)))),"Fix")))</f>
        <v>0</v>
      </c>
      <c r="V960" s="4">
        <f>IF(OR(INDEX($AH$2:$AH$1001,MATCH(ROWS($AG$2:AG960),$AG$2:$AG$1001,0),1)&gt;=100000,INDEX($AN$1005:$BO$1005,1,MATCH(COLUMNS($AN$1006:BH1006),$AN$1006:$BO$1006,0))&gt;=100000), " ",IF(INDEX($AN$2:$BO$1001,MATCH(ROWS($AG$2:AG960),$AG$2:$AG$1001,0),MATCH(COLUMNS($AN$1006:BH1006),$AN$1006:$BO$1006,0)), HYPERLINK("#",""), HYPERLINK(CONCATENATE("#Metadata!", ADDRESS(INDEX($AI$2:$AI$1001,MATCH(ROWS($AG$2:AG960),$AG$2:$AG$1001,0),0), INDEX($AN$1004:$BO$1004,1,MATCH(COLUMNS($AN$1006:BH1006),$AN$1006:$BO$1006,0)))),"Fix")))</f>
        <v>0</v>
      </c>
      <c r="W960" s="4">
        <f>IF(OR(INDEX($AH$2:$AH$1001,MATCH(ROWS($AG$2:AG960),$AG$2:$AG$1001,0),1)&gt;=100000,INDEX($AN$1005:$BO$1005,1,MATCH(COLUMNS($AN$1006:BI1006),$AN$1006:$BO$1006,0))&gt;=100000), " ",IF(INDEX($AN$2:$BO$1001,MATCH(ROWS($AG$2:AG960),$AG$2:$AG$1001,0),MATCH(COLUMNS($AN$1006:BI1006),$AN$1006:$BO$1006,0)), HYPERLINK("#",""), HYPERLINK(CONCATENATE("#Metadata!", ADDRESS(INDEX($AI$2:$AI$1001,MATCH(ROWS($AG$2:AG960),$AG$2:$AG$1001,0),0), INDEX($AN$1004:$BO$1004,1,MATCH(COLUMNS($AN$1006:BI1006),$AN$1006:$BO$1006,0)))),"Fix")))</f>
        <v>0</v>
      </c>
      <c r="X960" s="4">
        <f>IF(OR(INDEX($AH$2:$AH$1001,MATCH(ROWS($AG$2:AG960),$AG$2:$AG$1001,0),1)&gt;=100000,INDEX($AN$1005:$BO$1005,1,MATCH(COLUMNS($AN$1006:BJ1006),$AN$1006:$BO$1006,0))&gt;=100000), " ",IF(INDEX($AN$2:$BO$1001,MATCH(ROWS($AG$2:AG960),$AG$2:$AG$1001,0),MATCH(COLUMNS($AN$1006:BJ1006),$AN$1006:$BO$1006,0)), HYPERLINK("#",""), HYPERLINK(CONCATENATE("#Metadata!", ADDRESS(INDEX($AI$2:$AI$1001,MATCH(ROWS($AG$2:AG960),$AG$2:$AG$1001,0),0), INDEX($AN$1004:$BO$1004,1,MATCH(COLUMNS($AN$1006:BJ1006),$AN$1006:$BO$1006,0)))),"Fix")))</f>
        <v>0</v>
      </c>
      <c r="Y960" s="4">
        <f>IF(OR(INDEX($AH$2:$AH$1001,MATCH(ROWS($AG$2:AG960),$AG$2:$AG$1001,0),1)&gt;=100000,INDEX($AN$1005:$BO$1005,1,MATCH(COLUMNS($AN$1006:BK1006),$AN$1006:$BO$1006,0))&gt;=100000), " ",IF(INDEX($AN$2:$BO$1001,MATCH(ROWS($AG$2:AG960),$AG$2:$AG$1001,0),MATCH(COLUMNS($AN$1006:BK1006),$AN$1006:$BO$1006,0)), HYPERLINK("#",""), HYPERLINK(CONCATENATE("#Metadata!", ADDRESS(INDEX($AI$2:$AI$1001,MATCH(ROWS($AG$2:AG960),$AG$2:$AG$1001,0),0), INDEX($AN$1004:$BO$1004,1,MATCH(COLUMNS($AN$1006:BK1006),$AN$1006:$BO$1006,0)))),"Fix")))</f>
        <v>0</v>
      </c>
      <c r="Z960" s="4">
        <f>IF(OR(INDEX($AH$2:$AH$1001,MATCH(ROWS($AG$2:AG960),$AG$2:$AG$1001,0),1)&gt;=100000,INDEX($AN$1005:$BO$1005,1,MATCH(COLUMNS($AN$1006:BL1006),$AN$1006:$BO$1006,0))&gt;=100000), " ",IF(INDEX($AN$2:$BO$1001,MATCH(ROWS($AG$2:AG960),$AG$2:$AG$1001,0),MATCH(COLUMNS($AN$1006:BL1006),$AN$1006:$BO$1006,0)), HYPERLINK("#",""), HYPERLINK(CONCATENATE("#Metadata!", ADDRESS(INDEX($AI$2:$AI$1001,MATCH(ROWS($AG$2:AG960),$AG$2:$AG$1001,0),0), INDEX($AN$1004:$BO$1004,1,MATCH(COLUMNS($AN$1006:BL1006),$AN$1006:$BO$1006,0)))),"Fix")))</f>
        <v>0</v>
      </c>
      <c r="AA960" s="4">
        <f>IF(OR(INDEX($AH$2:$AH$1001,MATCH(ROWS($AG$2:AG960),$AG$2:$AG$1001,0),1)&gt;=100000,INDEX($AN$1005:$BO$1005,1,MATCH(COLUMNS($AN$1006:BM1006),$AN$1006:$BO$1006,0))&gt;=100000), " ",IF(INDEX($AN$2:$BO$1001,MATCH(ROWS($AG$2:AG960),$AG$2:$AG$1001,0),MATCH(COLUMNS($AN$1006:BM1006),$AN$1006:$BO$1006,0)), HYPERLINK("#",""), HYPERLINK(CONCATENATE("#Metadata!", ADDRESS(INDEX($AI$2:$AI$1001,MATCH(ROWS($AG$2:AG960),$AG$2:$AG$1001,0),0), INDEX($AN$1004:$BO$1004,1,MATCH(COLUMNS($AN$1006:BM1006),$AN$1006:$BO$1006,0)))),"Fix")))</f>
        <v>0</v>
      </c>
      <c r="AB960" s="4">
        <f>IF(OR(INDEX($AH$2:$AH$1001,MATCH(ROWS($AG$2:AG960),$AG$2:$AG$1001,0),1)&gt;=100000,INDEX($AN$1005:$BO$1005,1,MATCH(COLUMNS($AN$1006:BN1006),$AN$1006:$BO$1006,0))&gt;=100000), " ",IF(INDEX($AN$2:$BO$1001,MATCH(ROWS($AG$2:AG960),$AG$2:$AG$1001,0),MATCH(COLUMNS($AN$1006:BN1006),$AN$1006:$BO$1006,0)), HYPERLINK("#",""), HYPERLINK(CONCATENATE("#Metadata!", ADDRESS(INDEX($AI$2:$AI$1001,MATCH(ROWS($AG$2:AG960),$AG$2:$AG$1001,0),0), INDEX($AN$1004:$BO$1004,1,MATCH(COLUMNS($AN$1006:BN1006),$AN$1006:$BO$1006,0)))),"Fix")))</f>
        <v>0</v>
      </c>
      <c r="AC960" s="4">
        <f>IF(OR(INDEX($AH$2:$AH$1001,MATCH(ROWS($AG$2:AG960),$AG$2:$AG$1001,0),1)&gt;=100000,INDEX($AN$1005:$BO$1005,1,MATCH(COLUMNS($AN$1006:BO1006),$AN$1006:$BO$1006,0))&gt;=100000), " ",IF(INDEX($AN$2:$BO$1001,MATCH(ROWS($AG$2:AG960),$AG$2:$AG$1001,0),MATCH(COLUMNS($AN$1006:BO1006),$AN$1006:$BO$1006,0)), HYPERLINK("#",""), HYPERLINK(CONCATENATE("#Metadata!", ADDRESS(INDEX($AI$2:$AI$1001,MATCH(ROWS($AG$2:AG960),$AG$2:$AG$1001,0),0), INDEX($AN$1004:$BO$1004,1,MATCH(COLUMNS($AN$1006:BO1006),$AN$1006:$BO$1006,0)))),"Fix")))</f>
        <v>0</v>
      </c>
      <c r="AG960">
        <v>0</v>
      </c>
      <c r="AH960">
        <v>0</v>
      </c>
      <c r="AI960">
        <v>0</v>
      </c>
      <c r="AJ960">
        <f>IF(AK960,TRUE,AND(AN960:BO960))</f>
        <v>0</v>
      </c>
      <c r="AK960">
        <f>COUNTBLANK(Metadata!B960:AC960)=COLUMNS(Metadata!B960:AC960)</f>
        <v>0</v>
      </c>
      <c r="AL960">
        <v>0</v>
      </c>
      <c r="AN960">
        <f>AND(IF(Metadata!B960="",FALSE,TRUE),COUNTIF(Metadata!B:B, Metadata!B960) = 1,NOT(ISERROR(SUMPRODUCT(SEARCH(MID(Metadata!B960,ROW(INDIRECT("1:"&amp;LEN(Metadata!B960))), 1),"0123456789abcdefghijklmnopqrstuvwxyzABCDEFGHIJKLMNOPQRSTUVWXYZ.")))))</f>
        <v>0</v>
      </c>
      <c r="AO960">
        <f>IF(Metadata!C960="",FALSE,TRUE)</f>
        <v>0</v>
      </c>
      <c r="AP960">
        <f>IF(Metadata!D960="",FALSE,TRUE)</f>
        <v>0</v>
      </c>
      <c r="AQ960">
        <f>OR(AND(IF(Metadata!E960="",FALSE,TRUE),OR(exact(Metadata!E960,"not collected"),exact(Metadata!E960,"not provided"),exact(Metadata!E960,"restricted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R960">
        <f>IF(Metadata!F960="",FALSE,TRUE)</f>
        <v>0</v>
      </c>
      <c r="AS960">
        <f>OR(AND(IF(Metadata!G960="",FALSE,TRUE),OR(exact(Metadata!G960,"not collected"),exact(Metadata!G960,"not provided"))),AND(IF(Metadata!G960="",FALSE,TRUE),OR(exact(Metadata!G960,"TRUE"),exact(Metadata!G960,"FALSE"))))</f>
        <v>0</v>
      </c>
      <c r="AT960">
        <f>OR(AND(IF(Metadata!H960="",FALSE,TRUE),OR(exact(Metadata!H960,"not collected"),exact(Metadata!H960,"not provided"),exact(Metadata!H960,"restricted access"))),AND(IF(Metadata!H960="",FALSE,ISNUMBER(VALUE(Metadata!H960))),Metadata!H960&gt;=-413.0))</f>
        <v>0</v>
      </c>
      <c r="AU960">
        <f>AND(IF(Metadata!I960="",FALSE,TRUE),exact(Metadata!I960,"meters"))</f>
        <v>0</v>
      </c>
      <c r="AV960">
        <f>AND(IF(Metadata!J960="",FALSE,TRUE),OR(exact(Metadata!J960,"Host-associated"),exact(Metadata!J960,"Free-living")))</f>
        <v>0</v>
      </c>
      <c r="AW960">
        <f>AND(IF(Metadata!K960="",FALSE,TRUE),OR(exact(Metadata!K960,"Animal"),exact(Metadata!K960,"Fungus"),exact(Metadata!K960,"Plant"),exact(Metadata!K960,"Saline"),exact(Metadata!K960,"Non-saline")))</f>
        <v>0</v>
      </c>
      <c r="AX960">
        <f>AND(IF(Metadata!L960="",FALSE,TRUE),OR(exact(Metadata!L960,"Plant secretion"),exact(Metadata!L960,"Plant rhizosphere"),exact(Metadata!L960,"Plant surface"),exact(Metadata!L960,"Plant corpus"),exact(Metadata!L960,"Fungus surface"),exact(Metadata!L960,"Fungus corpus"),exact(Metadata!L960,"Animal surface"),exact(Metadata!L960,"Animal proximal gut"),exact(Metadata!L960,"Animal corpus"),exact(Metadata!L960,"Animal distal gut"),exact(Metadata!L960,"Animal secretion"),exact(Metadata!L960,"Sub-surface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Y960">
        <f>IF(Metadata!M960="",FALSE,TRUE)</f>
        <v>0</v>
      </c>
      <c r="AZ960">
        <f>IF(Metadata!N960="",FALSE,TRUE)</f>
        <v>0</v>
      </c>
      <c r="BA960">
        <f>IF(Metadata!O960="",FALSE,TRUE)</f>
        <v>0</v>
      </c>
      <c r="BB960">
        <f>OR(AND(IF(Metadata!P960="",FALSE,TRUE),OR(exact(Metadata!P960,"not collected"),exact(Metadata!P960,"not provided"),exact(Metadata!P960,"restricted access"))),AND(IF(Metadata!P960="",FALSE,TRUE),OR(exact(Metadata!P960,"air"),exact(Metadata!P960,"built environment"),exact(Metadata!P960,"host-associated"),exact(Metadata!P960,"human-associated"),exact(Metadata!P960,"human-skin"),exact(Metadata!P960,"human-oral"),exact(Metadata!P960,"human-gut"),exact(Metadata!P960,"human-vaginal"),exact(Metadata!P960,"microbial mat/biofilm"),exact(Metadata!P960,"misc environment"),exact(Metadata!P960,"plant-associated"),exact(Metadata!P960,"sediment"),exact(Metadata!P960,"soil"),exact(Metadata!P960,"wastewater/sludge"),exact(Metadata!P960,"water"))))</f>
        <v>0</v>
      </c>
      <c r="BC960">
        <f>IF(Metadata!Q960="",FALSE,TRUE)</f>
        <v>0</v>
      </c>
      <c r="BD960">
        <f>IF(Metadata!R960="",FALSE,TRUE)</f>
        <v>0</v>
      </c>
      <c r="BE960">
        <f>OR(AND(IF(Metadata!S960="",FALSE,TRUE),OR(exact(Metadata!S960,"not collected"),exact(Metadata!S960,"not provided"),exact(Metadata!S960,"restricted access"))),AND(IF(Metadata!S960="",FALSE,ISNUMBER(VALUE(Metadata!S960))),Metadata!S960&gt;=-90.00,Metadata!S960&lt;=90.00))</f>
        <v>0</v>
      </c>
      <c r="BF960">
        <f>AND(IF(Metadata!T960="",FALSE,TRUE),exact(Metadata!T960,"Decimal degrees"))</f>
        <v>0</v>
      </c>
      <c r="BG960">
        <f>OR(AND(IF(Metadata!U960="",FALSE,TRUE),OR(exact(Metadata!U960,"not collected"),exact(Metadata!U960,"not provided"),exact(Metadata!U960,"restricted access"))),AND(IF(Metadata!U960="",FALSE,ISNUMBER(VALUE(Metadata!U960))),Metadata!U960&gt;=-180.00,Metadata!U960&lt;=180.00))</f>
        <v>0</v>
      </c>
      <c r="BH960">
        <f>AND(IF(Metadata!V960="",FALSE,TRUE),exact(Metadata!V960,"Decimal degrees"))</f>
        <v>0</v>
      </c>
      <c r="BI960">
        <f>IF(Metadata!W960="",FALSE,TRUE)</f>
        <v>0</v>
      </c>
      <c r="BJ960">
        <f>OR(AND(IF(Metadata!X960="",FALSE,TRUE),OR(exact(Metadata!X960,"not collected"),exact(Metadata!X960,"not provided"),exact(Metadata!X960,"restricted access"))),AND(IF(Metadata!X960="",FALSE,TRUE),OR(exact(Metadata!X960,"TRUE"),exact(Metadata!X960,"FALSE"))))</f>
        <v>0</v>
      </c>
      <c r="BK960">
        <f>AND(IF(Metadata!Y960="",FALSE,TRUE),exact(Metadata!Y960,"other"))</f>
        <v>0</v>
      </c>
      <c r="BL960">
        <f>IF(Metadata!Z960="",FALSE,TRUE)</f>
        <v>0</v>
      </c>
      <c r="BM960">
        <f>OR(AND(IF(Metadata!AA960="",FALSE,TRUE),OR(exact(Metadata!AA960,"not collected"),exact(Metadata!AA960,"not provided"))),AND(IF(Metadata!AA960="",FALSE,IF(ISERROR(INT(Metadata!AA960)),FALSE,INT(Metadata!AA960)=Metadata!AA960)),Metadata!AA960&gt;0))</f>
        <v>0</v>
      </c>
      <c r="BN960">
        <f>AND(IF(Metadata!AB960="",FALSE,TRUE),exact(Metadata!AB960,"Not applicable"))</f>
        <v>0</v>
      </c>
      <c r="BO960">
        <f>IF(Metadata!AC960="",FALSE,TRUE)</f>
        <v>0</v>
      </c>
    </row>
    <row r="961" spans="1:67">
      <c r="A961" s="5">
        <f>IF(B961=" "," ",HYPERLINK(CONCATENATE("#metadata!",ADDRESS(INDEX($AI$2:$AI$1001,MATCH(ROWS($AG$2:AG961),$AG$2:$AG$1001,0),0),1)),INDEX($AL$2:$AL$1001,MATCH(ROWS($AG$2:AG961),$AG$2:$AG$1001,0),0)))</f>
        <v>0</v>
      </c>
      <c r="B961" s="4">
        <f>IF(OR(INDEX($AH$2:$AH$1001,MATCH(ROWS($AG$2:AG961),$AG$2:$AG$1001,0),1)&gt;=100000,INDEX($AN$1005:$BO$1005,1,MATCH(COLUMNS($AN$1006:AN1006),$AN$1006:$BO$1006,0))&gt;=100000), " ",IF(INDEX($AN$2:$BO$1001,MATCH(ROWS($AG$2:AG961),$AG$2:$AG$1001,0),MATCH(COLUMNS($AN$1006:AN1006),$AN$1006:$BO$1006,0)), HYPERLINK("#",""), HYPERLINK(CONCATENATE("#Metadata!", ADDRESS(INDEX($AI$2:$AI$1001,MATCH(ROWS($AG$2:AG961),$AG$2:$AG$1001,0),0), INDEX($AN$1004:$BO$1004,1,MATCH(COLUMNS($AN$1006:AN1006),$AN$1006:$BO$1006,0)))),"Fix")))</f>
        <v>0</v>
      </c>
      <c r="C961" s="4">
        <f>IF(OR(INDEX($AH$2:$AH$1001,MATCH(ROWS($AG$2:AG961),$AG$2:$AG$1001,0),1)&gt;=100000,INDEX($AN$1005:$BO$1005,1,MATCH(COLUMNS($AN$1006:AO1006),$AN$1006:$BO$1006,0))&gt;=100000), " ",IF(INDEX($AN$2:$BO$1001,MATCH(ROWS($AG$2:AG961),$AG$2:$AG$1001,0),MATCH(COLUMNS($AN$1006:AO1006),$AN$1006:$BO$1006,0)), HYPERLINK("#",""), HYPERLINK(CONCATENATE("#Metadata!", ADDRESS(INDEX($AI$2:$AI$1001,MATCH(ROWS($AG$2:AG961),$AG$2:$AG$1001,0),0), INDEX($AN$1004:$BO$1004,1,MATCH(COLUMNS($AN$1006:AO1006),$AN$1006:$BO$1006,0)))),"Fix")))</f>
        <v>0</v>
      </c>
      <c r="D961" s="4">
        <f>IF(OR(INDEX($AH$2:$AH$1001,MATCH(ROWS($AG$2:AG961),$AG$2:$AG$1001,0),1)&gt;=100000,INDEX($AN$1005:$BO$1005,1,MATCH(COLUMNS($AN$1006:AP1006),$AN$1006:$BO$1006,0))&gt;=100000), " ",IF(INDEX($AN$2:$BO$1001,MATCH(ROWS($AG$2:AG961),$AG$2:$AG$1001,0),MATCH(COLUMNS($AN$1006:AP1006),$AN$1006:$BO$1006,0)), HYPERLINK("#",""), HYPERLINK(CONCATENATE("#Metadata!", ADDRESS(INDEX($AI$2:$AI$1001,MATCH(ROWS($AG$2:AG961),$AG$2:$AG$1001,0),0), INDEX($AN$1004:$BO$1004,1,MATCH(COLUMNS($AN$1006:AP1006),$AN$1006:$BO$1006,0)))),"Fix")))</f>
        <v>0</v>
      </c>
      <c r="E961" s="4">
        <f>IF(OR(INDEX($AH$2:$AH$1001,MATCH(ROWS($AG$2:AG961),$AG$2:$AG$1001,0),1)&gt;=100000,INDEX($AN$1005:$BO$1005,1,MATCH(COLUMNS($AN$1006:AQ1006),$AN$1006:$BO$1006,0))&gt;=100000), " ",IF(INDEX($AN$2:$BO$1001,MATCH(ROWS($AG$2:AG961),$AG$2:$AG$1001,0),MATCH(COLUMNS($AN$1006:AQ1006),$AN$1006:$BO$1006,0)), HYPERLINK("#",""), HYPERLINK(CONCATENATE("#Metadata!", ADDRESS(INDEX($AI$2:$AI$1001,MATCH(ROWS($AG$2:AG961),$AG$2:$AG$1001,0),0), INDEX($AN$1004:$BO$1004,1,MATCH(COLUMNS($AN$1006:AQ1006),$AN$1006:$BO$1006,0)))),"Fix")))</f>
        <v>0</v>
      </c>
      <c r="F961" s="4">
        <f>IF(OR(INDEX($AH$2:$AH$1001,MATCH(ROWS($AG$2:AG961),$AG$2:$AG$1001,0),1)&gt;=100000,INDEX($AN$1005:$BO$1005,1,MATCH(COLUMNS($AN$1006:AR1006),$AN$1006:$BO$1006,0))&gt;=100000), " ",IF(INDEX($AN$2:$BO$1001,MATCH(ROWS($AG$2:AG961),$AG$2:$AG$1001,0),MATCH(COLUMNS($AN$1006:AR1006),$AN$1006:$BO$1006,0)), HYPERLINK("#",""), HYPERLINK(CONCATENATE("#Metadata!", ADDRESS(INDEX($AI$2:$AI$1001,MATCH(ROWS($AG$2:AG961),$AG$2:$AG$1001,0),0), INDEX($AN$1004:$BO$1004,1,MATCH(COLUMNS($AN$1006:AR1006),$AN$1006:$BO$1006,0)))),"Fix")))</f>
        <v>0</v>
      </c>
      <c r="G961" s="4">
        <f>IF(OR(INDEX($AH$2:$AH$1001,MATCH(ROWS($AG$2:AG961),$AG$2:$AG$1001,0),1)&gt;=100000,INDEX($AN$1005:$BO$1005,1,MATCH(COLUMNS($AN$1006:AS1006),$AN$1006:$BO$1006,0))&gt;=100000), " ",IF(INDEX($AN$2:$BO$1001,MATCH(ROWS($AG$2:AG961),$AG$2:$AG$1001,0),MATCH(COLUMNS($AN$1006:AS1006),$AN$1006:$BO$1006,0)), HYPERLINK("#",""), HYPERLINK(CONCATENATE("#Metadata!", ADDRESS(INDEX($AI$2:$AI$1001,MATCH(ROWS($AG$2:AG961),$AG$2:$AG$1001,0),0), INDEX($AN$1004:$BO$1004,1,MATCH(COLUMNS($AN$1006:AS1006),$AN$1006:$BO$1006,0)))),"Fix")))</f>
        <v>0</v>
      </c>
      <c r="H961" s="4">
        <f>IF(OR(INDEX($AH$2:$AH$1001,MATCH(ROWS($AG$2:AG961),$AG$2:$AG$1001,0),1)&gt;=100000,INDEX($AN$1005:$BO$1005,1,MATCH(COLUMNS($AN$1006:AT1006),$AN$1006:$BO$1006,0))&gt;=100000), " ",IF(INDEX($AN$2:$BO$1001,MATCH(ROWS($AG$2:AG961),$AG$2:$AG$1001,0),MATCH(COLUMNS($AN$1006:AT1006),$AN$1006:$BO$1006,0)), HYPERLINK("#",""), HYPERLINK(CONCATENATE("#Metadata!", ADDRESS(INDEX($AI$2:$AI$1001,MATCH(ROWS($AG$2:AG961),$AG$2:$AG$1001,0),0), INDEX($AN$1004:$BO$1004,1,MATCH(COLUMNS($AN$1006:AT1006),$AN$1006:$BO$1006,0)))),"Fix")))</f>
        <v>0</v>
      </c>
      <c r="I961" s="4">
        <f>IF(OR(INDEX($AH$2:$AH$1001,MATCH(ROWS($AG$2:AG961),$AG$2:$AG$1001,0),1)&gt;=100000,INDEX($AN$1005:$BO$1005,1,MATCH(COLUMNS($AN$1006:AU1006),$AN$1006:$BO$1006,0))&gt;=100000), " ",IF(INDEX($AN$2:$BO$1001,MATCH(ROWS($AG$2:AG961),$AG$2:$AG$1001,0),MATCH(COLUMNS($AN$1006:AU1006),$AN$1006:$BO$1006,0)), HYPERLINK("#",""), HYPERLINK(CONCATENATE("#Metadata!", ADDRESS(INDEX($AI$2:$AI$1001,MATCH(ROWS($AG$2:AG961),$AG$2:$AG$1001,0),0), INDEX($AN$1004:$BO$1004,1,MATCH(COLUMNS($AN$1006:AU1006),$AN$1006:$BO$1006,0)))),"Fix")))</f>
        <v>0</v>
      </c>
      <c r="J961" s="4">
        <f>IF(OR(INDEX($AH$2:$AH$1001,MATCH(ROWS($AG$2:AG961),$AG$2:$AG$1001,0),1)&gt;=100000,INDEX($AN$1005:$BO$1005,1,MATCH(COLUMNS($AN$1006:AV1006),$AN$1006:$BO$1006,0))&gt;=100000), " ",IF(INDEX($AN$2:$BO$1001,MATCH(ROWS($AG$2:AG961),$AG$2:$AG$1001,0),MATCH(COLUMNS($AN$1006:AV1006),$AN$1006:$BO$1006,0)), HYPERLINK("#",""), HYPERLINK(CONCATENATE("#Metadata!", ADDRESS(INDEX($AI$2:$AI$1001,MATCH(ROWS($AG$2:AG961),$AG$2:$AG$1001,0),0), INDEX($AN$1004:$BO$1004,1,MATCH(COLUMNS($AN$1006:AV1006),$AN$1006:$BO$1006,0)))),"Fix")))</f>
        <v>0</v>
      </c>
      <c r="K961" s="4">
        <f>IF(OR(INDEX($AH$2:$AH$1001,MATCH(ROWS($AG$2:AG961),$AG$2:$AG$1001,0),1)&gt;=100000,INDEX($AN$1005:$BO$1005,1,MATCH(COLUMNS($AN$1006:AW1006),$AN$1006:$BO$1006,0))&gt;=100000), " ",IF(INDEX($AN$2:$BO$1001,MATCH(ROWS($AG$2:AG961),$AG$2:$AG$1001,0),MATCH(COLUMNS($AN$1006:AW1006),$AN$1006:$BO$1006,0)), HYPERLINK("#",""), HYPERLINK(CONCATENATE("#Metadata!", ADDRESS(INDEX($AI$2:$AI$1001,MATCH(ROWS($AG$2:AG961),$AG$2:$AG$1001,0),0), INDEX($AN$1004:$BO$1004,1,MATCH(COLUMNS($AN$1006:AW1006),$AN$1006:$BO$1006,0)))),"Fix")))</f>
        <v>0</v>
      </c>
      <c r="L961" s="4">
        <f>IF(OR(INDEX($AH$2:$AH$1001,MATCH(ROWS($AG$2:AG961),$AG$2:$AG$1001,0),1)&gt;=100000,INDEX($AN$1005:$BO$1005,1,MATCH(COLUMNS($AN$1006:AX1006),$AN$1006:$BO$1006,0))&gt;=100000), " ",IF(INDEX($AN$2:$BO$1001,MATCH(ROWS($AG$2:AG961),$AG$2:$AG$1001,0),MATCH(COLUMNS($AN$1006:AX1006),$AN$1006:$BO$1006,0)), HYPERLINK("#",""), HYPERLINK(CONCATENATE("#Metadata!", ADDRESS(INDEX($AI$2:$AI$1001,MATCH(ROWS($AG$2:AG961),$AG$2:$AG$1001,0),0), INDEX($AN$1004:$BO$1004,1,MATCH(COLUMNS($AN$1006:AX1006),$AN$1006:$BO$1006,0)))),"Fix")))</f>
        <v>0</v>
      </c>
      <c r="M961" s="4">
        <f>IF(OR(INDEX($AH$2:$AH$1001,MATCH(ROWS($AG$2:AG961),$AG$2:$AG$1001,0),1)&gt;=100000,INDEX($AN$1005:$BO$1005,1,MATCH(COLUMNS($AN$1006:AY1006),$AN$1006:$BO$1006,0))&gt;=100000), " ",IF(INDEX($AN$2:$BO$1001,MATCH(ROWS($AG$2:AG961),$AG$2:$AG$1001,0),MATCH(COLUMNS($AN$1006:AY1006),$AN$1006:$BO$1006,0)), HYPERLINK("#",""), HYPERLINK(CONCATENATE("#Metadata!", ADDRESS(INDEX($AI$2:$AI$1001,MATCH(ROWS($AG$2:AG961),$AG$2:$AG$1001,0),0), INDEX($AN$1004:$BO$1004,1,MATCH(COLUMNS($AN$1006:AY1006),$AN$1006:$BO$1006,0)))),"Fix")))</f>
        <v>0</v>
      </c>
      <c r="N961" s="4">
        <f>IF(OR(INDEX($AH$2:$AH$1001,MATCH(ROWS($AG$2:AG961),$AG$2:$AG$1001,0),1)&gt;=100000,INDEX($AN$1005:$BO$1005,1,MATCH(COLUMNS($AN$1006:AZ1006),$AN$1006:$BO$1006,0))&gt;=100000), " ",IF(INDEX($AN$2:$BO$1001,MATCH(ROWS($AG$2:AG961),$AG$2:$AG$1001,0),MATCH(COLUMNS($AN$1006:AZ1006),$AN$1006:$BO$1006,0)), HYPERLINK("#",""), HYPERLINK(CONCATENATE("#Metadata!", ADDRESS(INDEX($AI$2:$AI$1001,MATCH(ROWS($AG$2:AG961),$AG$2:$AG$1001,0),0), INDEX($AN$1004:$BO$1004,1,MATCH(COLUMNS($AN$1006:AZ1006),$AN$1006:$BO$1006,0)))),"Fix")))</f>
        <v>0</v>
      </c>
      <c r="O961" s="4">
        <f>IF(OR(INDEX($AH$2:$AH$1001,MATCH(ROWS($AG$2:AG961),$AG$2:$AG$1001,0),1)&gt;=100000,INDEX($AN$1005:$BO$1005,1,MATCH(COLUMNS($AN$1006:BA1006),$AN$1006:$BO$1006,0))&gt;=100000), " ",IF(INDEX($AN$2:$BO$1001,MATCH(ROWS($AG$2:AG961),$AG$2:$AG$1001,0),MATCH(COLUMNS($AN$1006:BA1006),$AN$1006:$BO$1006,0)), HYPERLINK("#",""), HYPERLINK(CONCATENATE("#Metadata!", ADDRESS(INDEX($AI$2:$AI$1001,MATCH(ROWS($AG$2:AG961),$AG$2:$AG$1001,0),0), INDEX($AN$1004:$BO$1004,1,MATCH(COLUMNS($AN$1006:BA1006),$AN$1006:$BO$1006,0)))),"Fix")))</f>
        <v>0</v>
      </c>
      <c r="P961" s="4">
        <f>IF(OR(INDEX($AH$2:$AH$1001,MATCH(ROWS($AG$2:AG961),$AG$2:$AG$1001,0),1)&gt;=100000,INDEX($AN$1005:$BO$1005,1,MATCH(COLUMNS($AN$1006:BB1006),$AN$1006:$BO$1006,0))&gt;=100000), " ",IF(INDEX($AN$2:$BO$1001,MATCH(ROWS($AG$2:AG961),$AG$2:$AG$1001,0),MATCH(COLUMNS($AN$1006:BB1006),$AN$1006:$BO$1006,0)), HYPERLINK("#",""), HYPERLINK(CONCATENATE("#Metadata!", ADDRESS(INDEX($AI$2:$AI$1001,MATCH(ROWS($AG$2:AG961),$AG$2:$AG$1001,0),0), INDEX($AN$1004:$BO$1004,1,MATCH(COLUMNS($AN$1006:BB1006),$AN$1006:$BO$1006,0)))),"Fix")))</f>
        <v>0</v>
      </c>
      <c r="Q961" s="4">
        <f>IF(OR(INDEX($AH$2:$AH$1001,MATCH(ROWS($AG$2:AG961),$AG$2:$AG$1001,0),1)&gt;=100000,INDEX($AN$1005:$BO$1005,1,MATCH(COLUMNS($AN$1006:BC1006),$AN$1006:$BO$1006,0))&gt;=100000), " ",IF(INDEX($AN$2:$BO$1001,MATCH(ROWS($AG$2:AG961),$AG$2:$AG$1001,0),MATCH(COLUMNS($AN$1006:BC1006),$AN$1006:$BO$1006,0)), HYPERLINK("#",""), HYPERLINK(CONCATENATE("#Metadata!", ADDRESS(INDEX($AI$2:$AI$1001,MATCH(ROWS($AG$2:AG961),$AG$2:$AG$1001,0),0), INDEX($AN$1004:$BO$1004,1,MATCH(COLUMNS($AN$1006:BC1006),$AN$1006:$BO$1006,0)))),"Fix")))</f>
        <v>0</v>
      </c>
      <c r="R961" s="4">
        <f>IF(OR(INDEX($AH$2:$AH$1001,MATCH(ROWS($AG$2:AG961),$AG$2:$AG$1001,0),1)&gt;=100000,INDEX($AN$1005:$BO$1005,1,MATCH(COLUMNS($AN$1006:BD1006),$AN$1006:$BO$1006,0))&gt;=100000), " ",IF(INDEX($AN$2:$BO$1001,MATCH(ROWS($AG$2:AG961),$AG$2:$AG$1001,0),MATCH(COLUMNS($AN$1006:BD1006),$AN$1006:$BO$1006,0)), HYPERLINK("#",""), HYPERLINK(CONCATENATE("#Metadata!", ADDRESS(INDEX($AI$2:$AI$1001,MATCH(ROWS($AG$2:AG961),$AG$2:$AG$1001,0),0), INDEX($AN$1004:$BO$1004,1,MATCH(COLUMNS($AN$1006:BD1006),$AN$1006:$BO$1006,0)))),"Fix")))</f>
        <v>0</v>
      </c>
      <c r="S961" s="4">
        <f>IF(OR(INDEX($AH$2:$AH$1001,MATCH(ROWS($AG$2:AG961),$AG$2:$AG$1001,0),1)&gt;=100000,INDEX($AN$1005:$BO$1005,1,MATCH(COLUMNS($AN$1006:BE1006),$AN$1006:$BO$1006,0))&gt;=100000), " ",IF(INDEX($AN$2:$BO$1001,MATCH(ROWS($AG$2:AG961),$AG$2:$AG$1001,0),MATCH(COLUMNS($AN$1006:BE1006),$AN$1006:$BO$1006,0)), HYPERLINK("#",""), HYPERLINK(CONCATENATE("#Metadata!", ADDRESS(INDEX($AI$2:$AI$1001,MATCH(ROWS($AG$2:AG961),$AG$2:$AG$1001,0),0), INDEX($AN$1004:$BO$1004,1,MATCH(COLUMNS($AN$1006:BE1006),$AN$1006:$BO$1006,0)))),"Fix")))</f>
        <v>0</v>
      </c>
      <c r="T961" s="4">
        <f>IF(OR(INDEX($AH$2:$AH$1001,MATCH(ROWS($AG$2:AG961),$AG$2:$AG$1001,0),1)&gt;=100000,INDEX($AN$1005:$BO$1005,1,MATCH(COLUMNS($AN$1006:BF1006),$AN$1006:$BO$1006,0))&gt;=100000), " ",IF(INDEX($AN$2:$BO$1001,MATCH(ROWS($AG$2:AG961),$AG$2:$AG$1001,0),MATCH(COLUMNS($AN$1006:BF1006),$AN$1006:$BO$1006,0)), HYPERLINK("#",""), HYPERLINK(CONCATENATE("#Metadata!", ADDRESS(INDEX($AI$2:$AI$1001,MATCH(ROWS($AG$2:AG961),$AG$2:$AG$1001,0),0), INDEX($AN$1004:$BO$1004,1,MATCH(COLUMNS($AN$1006:BF1006),$AN$1006:$BO$1006,0)))),"Fix")))</f>
        <v>0</v>
      </c>
      <c r="U961" s="4">
        <f>IF(OR(INDEX($AH$2:$AH$1001,MATCH(ROWS($AG$2:AG961),$AG$2:$AG$1001,0),1)&gt;=100000,INDEX($AN$1005:$BO$1005,1,MATCH(COLUMNS($AN$1006:BG1006),$AN$1006:$BO$1006,0))&gt;=100000), " ",IF(INDEX($AN$2:$BO$1001,MATCH(ROWS($AG$2:AG961),$AG$2:$AG$1001,0),MATCH(COLUMNS($AN$1006:BG1006),$AN$1006:$BO$1006,0)), HYPERLINK("#",""), HYPERLINK(CONCATENATE("#Metadata!", ADDRESS(INDEX($AI$2:$AI$1001,MATCH(ROWS($AG$2:AG961),$AG$2:$AG$1001,0),0), INDEX($AN$1004:$BO$1004,1,MATCH(COLUMNS($AN$1006:BG1006),$AN$1006:$BO$1006,0)))),"Fix")))</f>
        <v>0</v>
      </c>
      <c r="V961" s="4">
        <f>IF(OR(INDEX($AH$2:$AH$1001,MATCH(ROWS($AG$2:AG961),$AG$2:$AG$1001,0),1)&gt;=100000,INDEX($AN$1005:$BO$1005,1,MATCH(COLUMNS($AN$1006:BH1006),$AN$1006:$BO$1006,0))&gt;=100000), " ",IF(INDEX($AN$2:$BO$1001,MATCH(ROWS($AG$2:AG961),$AG$2:$AG$1001,0),MATCH(COLUMNS($AN$1006:BH1006),$AN$1006:$BO$1006,0)), HYPERLINK("#",""), HYPERLINK(CONCATENATE("#Metadata!", ADDRESS(INDEX($AI$2:$AI$1001,MATCH(ROWS($AG$2:AG961),$AG$2:$AG$1001,0),0), INDEX($AN$1004:$BO$1004,1,MATCH(COLUMNS($AN$1006:BH1006),$AN$1006:$BO$1006,0)))),"Fix")))</f>
        <v>0</v>
      </c>
      <c r="W961" s="4">
        <f>IF(OR(INDEX($AH$2:$AH$1001,MATCH(ROWS($AG$2:AG961),$AG$2:$AG$1001,0),1)&gt;=100000,INDEX($AN$1005:$BO$1005,1,MATCH(COLUMNS($AN$1006:BI1006),$AN$1006:$BO$1006,0))&gt;=100000), " ",IF(INDEX($AN$2:$BO$1001,MATCH(ROWS($AG$2:AG961),$AG$2:$AG$1001,0),MATCH(COLUMNS($AN$1006:BI1006),$AN$1006:$BO$1006,0)), HYPERLINK("#",""), HYPERLINK(CONCATENATE("#Metadata!", ADDRESS(INDEX($AI$2:$AI$1001,MATCH(ROWS($AG$2:AG961),$AG$2:$AG$1001,0),0), INDEX($AN$1004:$BO$1004,1,MATCH(COLUMNS($AN$1006:BI1006),$AN$1006:$BO$1006,0)))),"Fix")))</f>
        <v>0</v>
      </c>
      <c r="X961" s="4">
        <f>IF(OR(INDEX($AH$2:$AH$1001,MATCH(ROWS($AG$2:AG961),$AG$2:$AG$1001,0),1)&gt;=100000,INDEX($AN$1005:$BO$1005,1,MATCH(COLUMNS($AN$1006:BJ1006),$AN$1006:$BO$1006,0))&gt;=100000), " ",IF(INDEX($AN$2:$BO$1001,MATCH(ROWS($AG$2:AG961),$AG$2:$AG$1001,0),MATCH(COLUMNS($AN$1006:BJ1006),$AN$1006:$BO$1006,0)), HYPERLINK("#",""), HYPERLINK(CONCATENATE("#Metadata!", ADDRESS(INDEX($AI$2:$AI$1001,MATCH(ROWS($AG$2:AG961),$AG$2:$AG$1001,0),0), INDEX($AN$1004:$BO$1004,1,MATCH(COLUMNS($AN$1006:BJ1006),$AN$1006:$BO$1006,0)))),"Fix")))</f>
        <v>0</v>
      </c>
      <c r="Y961" s="4">
        <f>IF(OR(INDEX($AH$2:$AH$1001,MATCH(ROWS($AG$2:AG961),$AG$2:$AG$1001,0),1)&gt;=100000,INDEX($AN$1005:$BO$1005,1,MATCH(COLUMNS($AN$1006:BK1006),$AN$1006:$BO$1006,0))&gt;=100000), " ",IF(INDEX($AN$2:$BO$1001,MATCH(ROWS($AG$2:AG961),$AG$2:$AG$1001,0),MATCH(COLUMNS($AN$1006:BK1006),$AN$1006:$BO$1006,0)), HYPERLINK("#",""), HYPERLINK(CONCATENATE("#Metadata!", ADDRESS(INDEX($AI$2:$AI$1001,MATCH(ROWS($AG$2:AG961),$AG$2:$AG$1001,0),0), INDEX($AN$1004:$BO$1004,1,MATCH(COLUMNS($AN$1006:BK1006),$AN$1006:$BO$1006,0)))),"Fix")))</f>
        <v>0</v>
      </c>
      <c r="Z961" s="4">
        <f>IF(OR(INDEX($AH$2:$AH$1001,MATCH(ROWS($AG$2:AG961),$AG$2:$AG$1001,0),1)&gt;=100000,INDEX($AN$1005:$BO$1005,1,MATCH(COLUMNS($AN$1006:BL1006),$AN$1006:$BO$1006,0))&gt;=100000), " ",IF(INDEX($AN$2:$BO$1001,MATCH(ROWS($AG$2:AG961),$AG$2:$AG$1001,0),MATCH(COLUMNS($AN$1006:BL1006),$AN$1006:$BO$1006,0)), HYPERLINK("#",""), HYPERLINK(CONCATENATE("#Metadata!", ADDRESS(INDEX($AI$2:$AI$1001,MATCH(ROWS($AG$2:AG961),$AG$2:$AG$1001,0),0), INDEX($AN$1004:$BO$1004,1,MATCH(COLUMNS($AN$1006:BL1006),$AN$1006:$BO$1006,0)))),"Fix")))</f>
        <v>0</v>
      </c>
      <c r="AA961" s="4">
        <f>IF(OR(INDEX($AH$2:$AH$1001,MATCH(ROWS($AG$2:AG961),$AG$2:$AG$1001,0),1)&gt;=100000,INDEX($AN$1005:$BO$1005,1,MATCH(COLUMNS($AN$1006:BM1006),$AN$1006:$BO$1006,0))&gt;=100000), " ",IF(INDEX($AN$2:$BO$1001,MATCH(ROWS($AG$2:AG961),$AG$2:$AG$1001,0),MATCH(COLUMNS($AN$1006:BM1006),$AN$1006:$BO$1006,0)), HYPERLINK("#",""), HYPERLINK(CONCATENATE("#Metadata!", ADDRESS(INDEX($AI$2:$AI$1001,MATCH(ROWS($AG$2:AG961),$AG$2:$AG$1001,0),0), INDEX($AN$1004:$BO$1004,1,MATCH(COLUMNS($AN$1006:BM1006),$AN$1006:$BO$1006,0)))),"Fix")))</f>
        <v>0</v>
      </c>
      <c r="AB961" s="4">
        <f>IF(OR(INDEX($AH$2:$AH$1001,MATCH(ROWS($AG$2:AG961),$AG$2:$AG$1001,0),1)&gt;=100000,INDEX($AN$1005:$BO$1005,1,MATCH(COLUMNS($AN$1006:BN1006),$AN$1006:$BO$1006,0))&gt;=100000), " ",IF(INDEX($AN$2:$BO$1001,MATCH(ROWS($AG$2:AG961),$AG$2:$AG$1001,0),MATCH(COLUMNS($AN$1006:BN1006),$AN$1006:$BO$1006,0)), HYPERLINK("#",""), HYPERLINK(CONCATENATE("#Metadata!", ADDRESS(INDEX($AI$2:$AI$1001,MATCH(ROWS($AG$2:AG961),$AG$2:$AG$1001,0),0), INDEX($AN$1004:$BO$1004,1,MATCH(COLUMNS($AN$1006:BN1006),$AN$1006:$BO$1006,0)))),"Fix")))</f>
        <v>0</v>
      </c>
      <c r="AC961" s="4">
        <f>IF(OR(INDEX($AH$2:$AH$1001,MATCH(ROWS($AG$2:AG961),$AG$2:$AG$1001,0),1)&gt;=100000,INDEX($AN$1005:$BO$1005,1,MATCH(COLUMNS($AN$1006:BO1006),$AN$1006:$BO$1006,0))&gt;=100000), " ",IF(INDEX($AN$2:$BO$1001,MATCH(ROWS($AG$2:AG961),$AG$2:$AG$1001,0),MATCH(COLUMNS($AN$1006:BO1006),$AN$1006:$BO$1006,0)), HYPERLINK("#",""), HYPERLINK(CONCATENATE("#Metadata!", ADDRESS(INDEX($AI$2:$AI$1001,MATCH(ROWS($AG$2:AG961),$AG$2:$AG$1001,0),0), INDEX($AN$1004:$BO$1004,1,MATCH(COLUMNS($AN$1006:BO1006),$AN$1006:$BO$1006,0)))),"Fix")))</f>
        <v>0</v>
      </c>
      <c r="AG961">
        <v>0</v>
      </c>
      <c r="AH961">
        <v>0</v>
      </c>
      <c r="AI961">
        <v>0</v>
      </c>
      <c r="AJ961">
        <f>IF(AK961,TRUE,AND(AN961:BO961))</f>
        <v>0</v>
      </c>
      <c r="AK961">
        <f>COUNTBLANK(Metadata!B961:AC961)=COLUMNS(Metadata!B961:AC961)</f>
        <v>0</v>
      </c>
      <c r="AL961">
        <v>0</v>
      </c>
      <c r="AN961">
        <f>AND(IF(Metadata!B961="",FALSE,TRUE),COUNTIF(Metadata!B:B, Metadata!B961) = 1,NOT(ISERROR(SUMPRODUCT(SEARCH(MID(Metadata!B961,ROW(INDIRECT("1:"&amp;LEN(Metadata!B961))), 1),"0123456789abcdefghijklmnopqrstuvwxyzABCDEFGHIJKLMNOPQRSTUVWXYZ.")))))</f>
        <v>0</v>
      </c>
      <c r="AO961">
        <f>IF(Metadata!C961="",FALSE,TRUE)</f>
        <v>0</v>
      </c>
      <c r="AP961">
        <f>IF(Metadata!D961="",FALSE,TRUE)</f>
        <v>0</v>
      </c>
      <c r="AQ961">
        <f>OR(AND(IF(Metadata!E961="",FALSE,TRUE),OR(exact(Metadata!E961,"not collected"),exact(Metadata!E961,"not provided"),exact(Metadata!E961,"restricted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R961">
        <f>IF(Metadata!F961="",FALSE,TRUE)</f>
        <v>0</v>
      </c>
      <c r="AS961">
        <f>OR(AND(IF(Metadata!G961="",FALSE,TRUE),OR(exact(Metadata!G961,"not collected"),exact(Metadata!G961,"not provided"))),AND(IF(Metadata!G961="",FALSE,TRUE),OR(exact(Metadata!G961,"TRUE"),exact(Metadata!G961,"FALSE"))))</f>
        <v>0</v>
      </c>
      <c r="AT961">
        <f>OR(AND(IF(Metadata!H961="",FALSE,TRUE),OR(exact(Metadata!H961,"not collected"),exact(Metadata!H961,"not provided"),exact(Metadata!H961,"restricted access"))),AND(IF(Metadata!H961="",FALSE,ISNUMBER(VALUE(Metadata!H961))),Metadata!H961&gt;=-413.0))</f>
        <v>0</v>
      </c>
      <c r="AU961">
        <f>AND(IF(Metadata!I961="",FALSE,TRUE),exact(Metadata!I961,"meters"))</f>
        <v>0</v>
      </c>
      <c r="AV961">
        <f>AND(IF(Metadata!J961="",FALSE,TRUE),OR(exact(Metadata!J961,"Host-associated"),exact(Metadata!J961,"Free-living")))</f>
        <v>0</v>
      </c>
      <c r="AW961">
        <f>AND(IF(Metadata!K961="",FALSE,TRUE),OR(exact(Metadata!K961,"Animal"),exact(Metadata!K961,"Fungus"),exact(Metadata!K961,"Plant"),exact(Metadata!K961,"Saline"),exact(Metadata!K961,"Non-saline")))</f>
        <v>0</v>
      </c>
      <c r="AX961">
        <f>AND(IF(Metadata!L961="",FALSE,TRUE),OR(exact(Metadata!L961,"Plant secretion"),exact(Metadata!L961,"Plant rhizosphere"),exact(Metadata!L961,"Plant surface"),exact(Metadata!L961,"Plant corpus"),exact(Metadata!L961,"Fungus surface"),exact(Metadata!L961,"Fungus corpus"),exact(Metadata!L961,"Animal surface"),exact(Metadata!L961,"Animal proximal gut"),exact(Metadata!L961,"Animal corpus"),exact(Metadata!L961,"Animal distal gut"),exact(Metadata!L961,"Animal secretion"),exact(Metadata!L961,"Sub-surface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Y961">
        <f>IF(Metadata!M961="",FALSE,TRUE)</f>
        <v>0</v>
      </c>
      <c r="AZ961">
        <f>IF(Metadata!N961="",FALSE,TRUE)</f>
        <v>0</v>
      </c>
      <c r="BA961">
        <f>IF(Metadata!O961="",FALSE,TRUE)</f>
        <v>0</v>
      </c>
      <c r="BB961">
        <f>OR(AND(IF(Metadata!P961="",FALSE,TRUE),OR(exact(Metadata!P961,"not collected"),exact(Metadata!P961,"not provided"),exact(Metadata!P961,"restricted access"))),AND(IF(Metadata!P961="",FALSE,TRUE),OR(exact(Metadata!P961,"air"),exact(Metadata!P961,"built environment"),exact(Metadata!P961,"host-associated"),exact(Metadata!P961,"human-associated"),exact(Metadata!P961,"human-skin"),exact(Metadata!P961,"human-oral"),exact(Metadata!P961,"human-gut"),exact(Metadata!P961,"human-vaginal"),exact(Metadata!P961,"microbial mat/biofilm"),exact(Metadata!P961,"misc environment"),exact(Metadata!P961,"plant-associated"),exact(Metadata!P961,"sediment"),exact(Metadata!P961,"soil"),exact(Metadata!P961,"wastewater/sludge"),exact(Metadata!P961,"water"))))</f>
        <v>0</v>
      </c>
      <c r="BC961">
        <f>IF(Metadata!Q961="",FALSE,TRUE)</f>
        <v>0</v>
      </c>
      <c r="BD961">
        <f>IF(Metadata!R961="",FALSE,TRUE)</f>
        <v>0</v>
      </c>
      <c r="BE961">
        <f>OR(AND(IF(Metadata!S961="",FALSE,TRUE),OR(exact(Metadata!S961,"not collected"),exact(Metadata!S961,"not provided"),exact(Metadata!S961,"restricted access"))),AND(IF(Metadata!S961="",FALSE,ISNUMBER(VALUE(Metadata!S961))),Metadata!S961&gt;=-90.00,Metadata!S961&lt;=90.00))</f>
        <v>0</v>
      </c>
      <c r="BF961">
        <f>AND(IF(Metadata!T961="",FALSE,TRUE),exact(Metadata!T961,"Decimal degrees"))</f>
        <v>0</v>
      </c>
      <c r="BG961">
        <f>OR(AND(IF(Metadata!U961="",FALSE,TRUE),OR(exact(Metadata!U961,"not collected"),exact(Metadata!U961,"not provided"),exact(Metadata!U961,"restricted access"))),AND(IF(Metadata!U961="",FALSE,ISNUMBER(VALUE(Metadata!U961))),Metadata!U961&gt;=-180.00,Metadata!U961&lt;=180.00))</f>
        <v>0</v>
      </c>
      <c r="BH961">
        <f>AND(IF(Metadata!V961="",FALSE,TRUE),exact(Metadata!V961,"Decimal degrees"))</f>
        <v>0</v>
      </c>
      <c r="BI961">
        <f>IF(Metadata!W961="",FALSE,TRUE)</f>
        <v>0</v>
      </c>
      <c r="BJ961">
        <f>OR(AND(IF(Metadata!X961="",FALSE,TRUE),OR(exact(Metadata!X961,"not collected"),exact(Metadata!X961,"not provided"),exact(Metadata!X961,"restricted access"))),AND(IF(Metadata!X961="",FALSE,TRUE),OR(exact(Metadata!X961,"TRUE"),exact(Metadata!X961,"FALSE"))))</f>
        <v>0</v>
      </c>
      <c r="BK961">
        <f>AND(IF(Metadata!Y961="",FALSE,TRUE),exact(Metadata!Y961,"other"))</f>
        <v>0</v>
      </c>
      <c r="BL961">
        <f>IF(Metadata!Z961="",FALSE,TRUE)</f>
        <v>0</v>
      </c>
      <c r="BM961">
        <f>OR(AND(IF(Metadata!AA961="",FALSE,TRUE),OR(exact(Metadata!AA961,"not collected"),exact(Metadata!AA961,"not provided"))),AND(IF(Metadata!AA961="",FALSE,IF(ISERROR(INT(Metadata!AA961)),FALSE,INT(Metadata!AA961)=Metadata!AA961)),Metadata!AA961&gt;0))</f>
        <v>0</v>
      </c>
      <c r="BN961">
        <f>AND(IF(Metadata!AB961="",FALSE,TRUE),exact(Metadata!AB961,"Not applicable"))</f>
        <v>0</v>
      </c>
      <c r="BO961">
        <f>IF(Metadata!AC961="",FALSE,TRUE)</f>
        <v>0</v>
      </c>
    </row>
    <row r="962" spans="1:67">
      <c r="A962" s="5">
        <f>IF(B962=" "," ",HYPERLINK(CONCATENATE("#metadata!",ADDRESS(INDEX($AI$2:$AI$1001,MATCH(ROWS($AG$2:AG962),$AG$2:$AG$1001,0),0),1)),INDEX($AL$2:$AL$1001,MATCH(ROWS($AG$2:AG962),$AG$2:$AG$1001,0),0)))</f>
        <v>0</v>
      </c>
      <c r="B962" s="4">
        <f>IF(OR(INDEX($AH$2:$AH$1001,MATCH(ROWS($AG$2:AG962),$AG$2:$AG$1001,0),1)&gt;=100000,INDEX($AN$1005:$BO$1005,1,MATCH(COLUMNS($AN$1006:AN1006),$AN$1006:$BO$1006,0))&gt;=100000), " ",IF(INDEX($AN$2:$BO$1001,MATCH(ROWS($AG$2:AG962),$AG$2:$AG$1001,0),MATCH(COLUMNS($AN$1006:AN1006),$AN$1006:$BO$1006,0)), HYPERLINK("#",""), HYPERLINK(CONCATENATE("#Metadata!", ADDRESS(INDEX($AI$2:$AI$1001,MATCH(ROWS($AG$2:AG962),$AG$2:$AG$1001,0),0), INDEX($AN$1004:$BO$1004,1,MATCH(COLUMNS($AN$1006:AN1006),$AN$1006:$BO$1006,0)))),"Fix")))</f>
        <v>0</v>
      </c>
      <c r="C962" s="4">
        <f>IF(OR(INDEX($AH$2:$AH$1001,MATCH(ROWS($AG$2:AG962),$AG$2:$AG$1001,0),1)&gt;=100000,INDEX($AN$1005:$BO$1005,1,MATCH(COLUMNS($AN$1006:AO1006),$AN$1006:$BO$1006,0))&gt;=100000), " ",IF(INDEX($AN$2:$BO$1001,MATCH(ROWS($AG$2:AG962),$AG$2:$AG$1001,0),MATCH(COLUMNS($AN$1006:AO1006),$AN$1006:$BO$1006,0)), HYPERLINK("#",""), HYPERLINK(CONCATENATE("#Metadata!", ADDRESS(INDEX($AI$2:$AI$1001,MATCH(ROWS($AG$2:AG962),$AG$2:$AG$1001,0),0), INDEX($AN$1004:$BO$1004,1,MATCH(COLUMNS($AN$1006:AO1006),$AN$1006:$BO$1006,0)))),"Fix")))</f>
        <v>0</v>
      </c>
      <c r="D962" s="4">
        <f>IF(OR(INDEX($AH$2:$AH$1001,MATCH(ROWS($AG$2:AG962),$AG$2:$AG$1001,0),1)&gt;=100000,INDEX($AN$1005:$BO$1005,1,MATCH(COLUMNS($AN$1006:AP1006),$AN$1006:$BO$1006,0))&gt;=100000), " ",IF(INDEX($AN$2:$BO$1001,MATCH(ROWS($AG$2:AG962),$AG$2:$AG$1001,0),MATCH(COLUMNS($AN$1006:AP1006),$AN$1006:$BO$1006,0)), HYPERLINK("#",""), HYPERLINK(CONCATENATE("#Metadata!", ADDRESS(INDEX($AI$2:$AI$1001,MATCH(ROWS($AG$2:AG962),$AG$2:$AG$1001,0),0), INDEX($AN$1004:$BO$1004,1,MATCH(COLUMNS($AN$1006:AP1006),$AN$1006:$BO$1006,0)))),"Fix")))</f>
        <v>0</v>
      </c>
      <c r="E962" s="4">
        <f>IF(OR(INDEX($AH$2:$AH$1001,MATCH(ROWS($AG$2:AG962),$AG$2:$AG$1001,0),1)&gt;=100000,INDEX($AN$1005:$BO$1005,1,MATCH(COLUMNS($AN$1006:AQ1006),$AN$1006:$BO$1006,0))&gt;=100000), " ",IF(INDEX($AN$2:$BO$1001,MATCH(ROWS($AG$2:AG962),$AG$2:$AG$1001,0),MATCH(COLUMNS($AN$1006:AQ1006),$AN$1006:$BO$1006,0)), HYPERLINK("#",""), HYPERLINK(CONCATENATE("#Metadata!", ADDRESS(INDEX($AI$2:$AI$1001,MATCH(ROWS($AG$2:AG962),$AG$2:$AG$1001,0),0), INDEX($AN$1004:$BO$1004,1,MATCH(COLUMNS($AN$1006:AQ1006),$AN$1006:$BO$1006,0)))),"Fix")))</f>
        <v>0</v>
      </c>
      <c r="F962" s="4">
        <f>IF(OR(INDEX($AH$2:$AH$1001,MATCH(ROWS($AG$2:AG962),$AG$2:$AG$1001,0),1)&gt;=100000,INDEX($AN$1005:$BO$1005,1,MATCH(COLUMNS($AN$1006:AR1006),$AN$1006:$BO$1006,0))&gt;=100000), " ",IF(INDEX($AN$2:$BO$1001,MATCH(ROWS($AG$2:AG962),$AG$2:$AG$1001,0),MATCH(COLUMNS($AN$1006:AR1006),$AN$1006:$BO$1006,0)), HYPERLINK("#",""), HYPERLINK(CONCATENATE("#Metadata!", ADDRESS(INDEX($AI$2:$AI$1001,MATCH(ROWS($AG$2:AG962),$AG$2:$AG$1001,0),0), INDEX($AN$1004:$BO$1004,1,MATCH(COLUMNS($AN$1006:AR1006),$AN$1006:$BO$1006,0)))),"Fix")))</f>
        <v>0</v>
      </c>
      <c r="G962" s="4">
        <f>IF(OR(INDEX($AH$2:$AH$1001,MATCH(ROWS($AG$2:AG962),$AG$2:$AG$1001,0),1)&gt;=100000,INDEX($AN$1005:$BO$1005,1,MATCH(COLUMNS($AN$1006:AS1006),$AN$1006:$BO$1006,0))&gt;=100000), " ",IF(INDEX($AN$2:$BO$1001,MATCH(ROWS($AG$2:AG962),$AG$2:$AG$1001,0),MATCH(COLUMNS($AN$1006:AS1006),$AN$1006:$BO$1006,0)), HYPERLINK("#",""), HYPERLINK(CONCATENATE("#Metadata!", ADDRESS(INDEX($AI$2:$AI$1001,MATCH(ROWS($AG$2:AG962),$AG$2:$AG$1001,0),0), INDEX($AN$1004:$BO$1004,1,MATCH(COLUMNS($AN$1006:AS1006),$AN$1006:$BO$1006,0)))),"Fix")))</f>
        <v>0</v>
      </c>
      <c r="H962" s="4">
        <f>IF(OR(INDEX($AH$2:$AH$1001,MATCH(ROWS($AG$2:AG962),$AG$2:$AG$1001,0),1)&gt;=100000,INDEX($AN$1005:$BO$1005,1,MATCH(COLUMNS($AN$1006:AT1006),$AN$1006:$BO$1006,0))&gt;=100000), " ",IF(INDEX($AN$2:$BO$1001,MATCH(ROWS($AG$2:AG962),$AG$2:$AG$1001,0),MATCH(COLUMNS($AN$1006:AT1006),$AN$1006:$BO$1006,0)), HYPERLINK("#",""), HYPERLINK(CONCATENATE("#Metadata!", ADDRESS(INDEX($AI$2:$AI$1001,MATCH(ROWS($AG$2:AG962),$AG$2:$AG$1001,0),0), INDEX($AN$1004:$BO$1004,1,MATCH(COLUMNS($AN$1006:AT1006),$AN$1006:$BO$1006,0)))),"Fix")))</f>
        <v>0</v>
      </c>
      <c r="I962" s="4">
        <f>IF(OR(INDEX($AH$2:$AH$1001,MATCH(ROWS($AG$2:AG962),$AG$2:$AG$1001,0),1)&gt;=100000,INDEX($AN$1005:$BO$1005,1,MATCH(COLUMNS($AN$1006:AU1006),$AN$1006:$BO$1006,0))&gt;=100000), " ",IF(INDEX($AN$2:$BO$1001,MATCH(ROWS($AG$2:AG962),$AG$2:$AG$1001,0),MATCH(COLUMNS($AN$1006:AU1006),$AN$1006:$BO$1006,0)), HYPERLINK("#",""), HYPERLINK(CONCATENATE("#Metadata!", ADDRESS(INDEX($AI$2:$AI$1001,MATCH(ROWS($AG$2:AG962),$AG$2:$AG$1001,0),0), INDEX($AN$1004:$BO$1004,1,MATCH(COLUMNS($AN$1006:AU1006),$AN$1006:$BO$1006,0)))),"Fix")))</f>
        <v>0</v>
      </c>
      <c r="J962" s="4">
        <f>IF(OR(INDEX($AH$2:$AH$1001,MATCH(ROWS($AG$2:AG962),$AG$2:$AG$1001,0),1)&gt;=100000,INDEX($AN$1005:$BO$1005,1,MATCH(COLUMNS($AN$1006:AV1006),$AN$1006:$BO$1006,0))&gt;=100000), " ",IF(INDEX($AN$2:$BO$1001,MATCH(ROWS($AG$2:AG962),$AG$2:$AG$1001,0),MATCH(COLUMNS($AN$1006:AV1006),$AN$1006:$BO$1006,0)), HYPERLINK("#",""), HYPERLINK(CONCATENATE("#Metadata!", ADDRESS(INDEX($AI$2:$AI$1001,MATCH(ROWS($AG$2:AG962),$AG$2:$AG$1001,0),0), INDEX($AN$1004:$BO$1004,1,MATCH(COLUMNS($AN$1006:AV1006),$AN$1006:$BO$1006,0)))),"Fix")))</f>
        <v>0</v>
      </c>
      <c r="K962" s="4">
        <f>IF(OR(INDEX($AH$2:$AH$1001,MATCH(ROWS($AG$2:AG962),$AG$2:$AG$1001,0),1)&gt;=100000,INDEX($AN$1005:$BO$1005,1,MATCH(COLUMNS($AN$1006:AW1006),$AN$1006:$BO$1006,0))&gt;=100000), " ",IF(INDEX($AN$2:$BO$1001,MATCH(ROWS($AG$2:AG962),$AG$2:$AG$1001,0),MATCH(COLUMNS($AN$1006:AW1006),$AN$1006:$BO$1006,0)), HYPERLINK("#",""), HYPERLINK(CONCATENATE("#Metadata!", ADDRESS(INDEX($AI$2:$AI$1001,MATCH(ROWS($AG$2:AG962),$AG$2:$AG$1001,0),0), INDEX($AN$1004:$BO$1004,1,MATCH(COLUMNS($AN$1006:AW1006),$AN$1006:$BO$1006,0)))),"Fix")))</f>
        <v>0</v>
      </c>
      <c r="L962" s="4">
        <f>IF(OR(INDEX($AH$2:$AH$1001,MATCH(ROWS($AG$2:AG962),$AG$2:$AG$1001,0),1)&gt;=100000,INDEX($AN$1005:$BO$1005,1,MATCH(COLUMNS($AN$1006:AX1006),$AN$1006:$BO$1006,0))&gt;=100000), " ",IF(INDEX($AN$2:$BO$1001,MATCH(ROWS($AG$2:AG962),$AG$2:$AG$1001,0),MATCH(COLUMNS($AN$1006:AX1006),$AN$1006:$BO$1006,0)), HYPERLINK("#",""), HYPERLINK(CONCATENATE("#Metadata!", ADDRESS(INDEX($AI$2:$AI$1001,MATCH(ROWS($AG$2:AG962),$AG$2:$AG$1001,0),0), INDEX($AN$1004:$BO$1004,1,MATCH(COLUMNS($AN$1006:AX1006),$AN$1006:$BO$1006,0)))),"Fix")))</f>
        <v>0</v>
      </c>
      <c r="M962" s="4">
        <f>IF(OR(INDEX($AH$2:$AH$1001,MATCH(ROWS($AG$2:AG962),$AG$2:$AG$1001,0),1)&gt;=100000,INDEX($AN$1005:$BO$1005,1,MATCH(COLUMNS($AN$1006:AY1006),$AN$1006:$BO$1006,0))&gt;=100000), " ",IF(INDEX($AN$2:$BO$1001,MATCH(ROWS($AG$2:AG962),$AG$2:$AG$1001,0),MATCH(COLUMNS($AN$1006:AY1006),$AN$1006:$BO$1006,0)), HYPERLINK("#",""), HYPERLINK(CONCATENATE("#Metadata!", ADDRESS(INDEX($AI$2:$AI$1001,MATCH(ROWS($AG$2:AG962),$AG$2:$AG$1001,0),0), INDEX($AN$1004:$BO$1004,1,MATCH(COLUMNS($AN$1006:AY1006),$AN$1006:$BO$1006,0)))),"Fix")))</f>
        <v>0</v>
      </c>
      <c r="N962" s="4">
        <f>IF(OR(INDEX($AH$2:$AH$1001,MATCH(ROWS($AG$2:AG962),$AG$2:$AG$1001,0),1)&gt;=100000,INDEX($AN$1005:$BO$1005,1,MATCH(COLUMNS($AN$1006:AZ1006),$AN$1006:$BO$1006,0))&gt;=100000), " ",IF(INDEX($AN$2:$BO$1001,MATCH(ROWS($AG$2:AG962),$AG$2:$AG$1001,0),MATCH(COLUMNS($AN$1006:AZ1006),$AN$1006:$BO$1006,0)), HYPERLINK("#",""), HYPERLINK(CONCATENATE("#Metadata!", ADDRESS(INDEX($AI$2:$AI$1001,MATCH(ROWS($AG$2:AG962),$AG$2:$AG$1001,0),0), INDEX($AN$1004:$BO$1004,1,MATCH(COLUMNS($AN$1006:AZ1006),$AN$1006:$BO$1006,0)))),"Fix")))</f>
        <v>0</v>
      </c>
      <c r="O962" s="4">
        <f>IF(OR(INDEX($AH$2:$AH$1001,MATCH(ROWS($AG$2:AG962),$AG$2:$AG$1001,0),1)&gt;=100000,INDEX($AN$1005:$BO$1005,1,MATCH(COLUMNS($AN$1006:BA1006),$AN$1006:$BO$1006,0))&gt;=100000), " ",IF(INDEX($AN$2:$BO$1001,MATCH(ROWS($AG$2:AG962),$AG$2:$AG$1001,0),MATCH(COLUMNS($AN$1006:BA1006),$AN$1006:$BO$1006,0)), HYPERLINK("#",""), HYPERLINK(CONCATENATE("#Metadata!", ADDRESS(INDEX($AI$2:$AI$1001,MATCH(ROWS($AG$2:AG962),$AG$2:$AG$1001,0),0), INDEX($AN$1004:$BO$1004,1,MATCH(COLUMNS($AN$1006:BA1006),$AN$1006:$BO$1006,0)))),"Fix")))</f>
        <v>0</v>
      </c>
      <c r="P962" s="4">
        <f>IF(OR(INDEX($AH$2:$AH$1001,MATCH(ROWS($AG$2:AG962),$AG$2:$AG$1001,0),1)&gt;=100000,INDEX($AN$1005:$BO$1005,1,MATCH(COLUMNS($AN$1006:BB1006),$AN$1006:$BO$1006,0))&gt;=100000), " ",IF(INDEX($AN$2:$BO$1001,MATCH(ROWS($AG$2:AG962),$AG$2:$AG$1001,0),MATCH(COLUMNS($AN$1006:BB1006),$AN$1006:$BO$1006,0)), HYPERLINK("#",""), HYPERLINK(CONCATENATE("#Metadata!", ADDRESS(INDEX($AI$2:$AI$1001,MATCH(ROWS($AG$2:AG962),$AG$2:$AG$1001,0),0), INDEX($AN$1004:$BO$1004,1,MATCH(COLUMNS($AN$1006:BB1006),$AN$1006:$BO$1006,0)))),"Fix")))</f>
        <v>0</v>
      </c>
      <c r="Q962" s="4">
        <f>IF(OR(INDEX($AH$2:$AH$1001,MATCH(ROWS($AG$2:AG962),$AG$2:$AG$1001,0),1)&gt;=100000,INDEX($AN$1005:$BO$1005,1,MATCH(COLUMNS($AN$1006:BC1006),$AN$1006:$BO$1006,0))&gt;=100000), " ",IF(INDEX($AN$2:$BO$1001,MATCH(ROWS($AG$2:AG962),$AG$2:$AG$1001,0),MATCH(COLUMNS($AN$1006:BC1006),$AN$1006:$BO$1006,0)), HYPERLINK("#",""), HYPERLINK(CONCATENATE("#Metadata!", ADDRESS(INDEX($AI$2:$AI$1001,MATCH(ROWS($AG$2:AG962),$AG$2:$AG$1001,0),0), INDEX($AN$1004:$BO$1004,1,MATCH(COLUMNS($AN$1006:BC1006),$AN$1006:$BO$1006,0)))),"Fix")))</f>
        <v>0</v>
      </c>
      <c r="R962" s="4">
        <f>IF(OR(INDEX($AH$2:$AH$1001,MATCH(ROWS($AG$2:AG962),$AG$2:$AG$1001,0),1)&gt;=100000,INDEX($AN$1005:$BO$1005,1,MATCH(COLUMNS($AN$1006:BD1006),$AN$1006:$BO$1006,0))&gt;=100000), " ",IF(INDEX($AN$2:$BO$1001,MATCH(ROWS($AG$2:AG962),$AG$2:$AG$1001,0),MATCH(COLUMNS($AN$1006:BD1006),$AN$1006:$BO$1006,0)), HYPERLINK("#",""), HYPERLINK(CONCATENATE("#Metadata!", ADDRESS(INDEX($AI$2:$AI$1001,MATCH(ROWS($AG$2:AG962),$AG$2:$AG$1001,0),0), INDEX($AN$1004:$BO$1004,1,MATCH(COLUMNS($AN$1006:BD1006),$AN$1006:$BO$1006,0)))),"Fix")))</f>
        <v>0</v>
      </c>
      <c r="S962" s="4">
        <f>IF(OR(INDEX($AH$2:$AH$1001,MATCH(ROWS($AG$2:AG962),$AG$2:$AG$1001,0),1)&gt;=100000,INDEX($AN$1005:$BO$1005,1,MATCH(COLUMNS($AN$1006:BE1006),$AN$1006:$BO$1006,0))&gt;=100000), " ",IF(INDEX($AN$2:$BO$1001,MATCH(ROWS($AG$2:AG962),$AG$2:$AG$1001,0),MATCH(COLUMNS($AN$1006:BE1006),$AN$1006:$BO$1006,0)), HYPERLINK("#",""), HYPERLINK(CONCATENATE("#Metadata!", ADDRESS(INDEX($AI$2:$AI$1001,MATCH(ROWS($AG$2:AG962),$AG$2:$AG$1001,0),0), INDEX($AN$1004:$BO$1004,1,MATCH(COLUMNS($AN$1006:BE1006),$AN$1006:$BO$1006,0)))),"Fix")))</f>
        <v>0</v>
      </c>
      <c r="T962" s="4">
        <f>IF(OR(INDEX($AH$2:$AH$1001,MATCH(ROWS($AG$2:AG962),$AG$2:$AG$1001,0),1)&gt;=100000,INDEX($AN$1005:$BO$1005,1,MATCH(COLUMNS($AN$1006:BF1006),$AN$1006:$BO$1006,0))&gt;=100000), " ",IF(INDEX($AN$2:$BO$1001,MATCH(ROWS($AG$2:AG962),$AG$2:$AG$1001,0),MATCH(COLUMNS($AN$1006:BF1006),$AN$1006:$BO$1006,0)), HYPERLINK("#",""), HYPERLINK(CONCATENATE("#Metadata!", ADDRESS(INDEX($AI$2:$AI$1001,MATCH(ROWS($AG$2:AG962),$AG$2:$AG$1001,0),0), INDEX($AN$1004:$BO$1004,1,MATCH(COLUMNS($AN$1006:BF1006),$AN$1006:$BO$1006,0)))),"Fix")))</f>
        <v>0</v>
      </c>
      <c r="U962" s="4">
        <f>IF(OR(INDEX($AH$2:$AH$1001,MATCH(ROWS($AG$2:AG962),$AG$2:$AG$1001,0),1)&gt;=100000,INDEX($AN$1005:$BO$1005,1,MATCH(COLUMNS($AN$1006:BG1006),$AN$1006:$BO$1006,0))&gt;=100000), " ",IF(INDEX($AN$2:$BO$1001,MATCH(ROWS($AG$2:AG962),$AG$2:$AG$1001,0),MATCH(COLUMNS($AN$1006:BG1006),$AN$1006:$BO$1006,0)), HYPERLINK("#",""), HYPERLINK(CONCATENATE("#Metadata!", ADDRESS(INDEX($AI$2:$AI$1001,MATCH(ROWS($AG$2:AG962),$AG$2:$AG$1001,0),0), INDEX($AN$1004:$BO$1004,1,MATCH(COLUMNS($AN$1006:BG1006),$AN$1006:$BO$1006,0)))),"Fix")))</f>
        <v>0</v>
      </c>
      <c r="V962" s="4">
        <f>IF(OR(INDEX($AH$2:$AH$1001,MATCH(ROWS($AG$2:AG962),$AG$2:$AG$1001,0),1)&gt;=100000,INDEX($AN$1005:$BO$1005,1,MATCH(COLUMNS($AN$1006:BH1006),$AN$1006:$BO$1006,0))&gt;=100000), " ",IF(INDEX($AN$2:$BO$1001,MATCH(ROWS($AG$2:AG962),$AG$2:$AG$1001,0),MATCH(COLUMNS($AN$1006:BH1006),$AN$1006:$BO$1006,0)), HYPERLINK("#",""), HYPERLINK(CONCATENATE("#Metadata!", ADDRESS(INDEX($AI$2:$AI$1001,MATCH(ROWS($AG$2:AG962),$AG$2:$AG$1001,0),0), INDEX($AN$1004:$BO$1004,1,MATCH(COLUMNS($AN$1006:BH1006),$AN$1006:$BO$1006,0)))),"Fix")))</f>
        <v>0</v>
      </c>
      <c r="W962" s="4">
        <f>IF(OR(INDEX($AH$2:$AH$1001,MATCH(ROWS($AG$2:AG962),$AG$2:$AG$1001,0),1)&gt;=100000,INDEX($AN$1005:$BO$1005,1,MATCH(COLUMNS($AN$1006:BI1006),$AN$1006:$BO$1006,0))&gt;=100000), " ",IF(INDEX($AN$2:$BO$1001,MATCH(ROWS($AG$2:AG962),$AG$2:$AG$1001,0),MATCH(COLUMNS($AN$1006:BI1006),$AN$1006:$BO$1006,0)), HYPERLINK("#",""), HYPERLINK(CONCATENATE("#Metadata!", ADDRESS(INDEX($AI$2:$AI$1001,MATCH(ROWS($AG$2:AG962),$AG$2:$AG$1001,0),0), INDEX($AN$1004:$BO$1004,1,MATCH(COLUMNS($AN$1006:BI1006),$AN$1006:$BO$1006,0)))),"Fix")))</f>
        <v>0</v>
      </c>
      <c r="X962" s="4">
        <f>IF(OR(INDEX($AH$2:$AH$1001,MATCH(ROWS($AG$2:AG962),$AG$2:$AG$1001,0),1)&gt;=100000,INDEX($AN$1005:$BO$1005,1,MATCH(COLUMNS($AN$1006:BJ1006),$AN$1006:$BO$1006,0))&gt;=100000), " ",IF(INDEX($AN$2:$BO$1001,MATCH(ROWS($AG$2:AG962),$AG$2:$AG$1001,0),MATCH(COLUMNS($AN$1006:BJ1006),$AN$1006:$BO$1006,0)), HYPERLINK("#",""), HYPERLINK(CONCATENATE("#Metadata!", ADDRESS(INDEX($AI$2:$AI$1001,MATCH(ROWS($AG$2:AG962),$AG$2:$AG$1001,0),0), INDEX($AN$1004:$BO$1004,1,MATCH(COLUMNS($AN$1006:BJ1006),$AN$1006:$BO$1006,0)))),"Fix")))</f>
        <v>0</v>
      </c>
      <c r="Y962" s="4">
        <f>IF(OR(INDEX($AH$2:$AH$1001,MATCH(ROWS($AG$2:AG962),$AG$2:$AG$1001,0),1)&gt;=100000,INDEX($AN$1005:$BO$1005,1,MATCH(COLUMNS($AN$1006:BK1006),$AN$1006:$BO$1006,0))&gt;=100000), " ",IF(INDEX($AN$2:$BO$1001,MATCH(ROWS($AG$2:AG962),$AG$2:$AG$1001,0),MATCH(COLUMNS($AN$1006:BK1006),$AN$1006:$BO$1006,0)), HYPERLINK("#",""), HYPERLINK(CONCATENATE("#Metadata!", ADDRESS(INDEX($AI$2:$AI$1001,MATCH(ROWS($AG$2:AG962),$AG$2:$AG$1001,0),0), INDEX($AN$1004:$BO$1004,1,MATCH(COLUMNS($AN$1006:BK1006),$AN$1006:$BO$1006,0)))),"Fix")))</f>
        <v>0</v>
      </c>
      <c r="Z962" s="4">
        <f>IF(OR(INDEX($AH$2:$AH$1001,MATCH(ROWS($AG$2:AG962),$AG$2:$AG$1001,0),1)&gt;=100000,INDEX($AN$1005:$BO$1005,1,MATCH(COLUMNS($AN$1006:BL1006),$AN$1006:$BO$1006,0))&gt;=100000), " ",IF(INDEX($AN$2:$BO$1001,MATCH(ROWS($AG$2:AG962),$AG$2:$AG$1001,0),MATCH(COLUMNS($AN$1006:BL1006),$AN$1006:$BO$1006,0)), HYPERLINK("#",""), HYPERLINK(CONCATENATE("#Metadata!", ADDRESS(INDEX($AI$2:$AI$1001,MATCH(ROWS($AG$2:AG962),$AG$2:$AG$1001,0),0), INDEX($AN$1004:$BO$1004,1,MATCH(COLUMNS($AN$1006:BL1006),$AN$1006:$BO$1006,0)))),"Fix")))</f>
        <v>0</v>
      </c>
      <c r="AA962" s="4">
        <f>IF(OR(INDEX($AH$2:$AH$1001,MATCH(ROWS($AG$2:AG962),$AG$2:$AG$1001,0),1)&gt;=100000,INDEX($AN$1005:$BO$1005,1,MATCH(COLUMNS($AN$1006:BM1006),$AN$1006:$BO$1006,0))&gt;=100000), " ",IF(INDEX($AN$2:$BO$1001,MATCH(ROWS($AG$2:AG962),$AG$2:$AG$1001,0),MATCH(COLUMNS($AN$1006:BM1006),$AN$1006:$BO$1006,0)), HYPERLINK("#",""), HYPERLINK(CONCATENATE("#Metadata!", ADDRESS(INDEX($AI$2:$AI$1001,MATCH(ROWS($AG$2:AG962),$AG$2:$AG$1001,0),0), INDEX($AN$1004:$BO$1004,1,MATCH(COLUMNS($AN$1006:BM1006),$AN$1006:$BO$1006,0)))),"Fix")))</f>
        <v>0</v>
      </c>
      <c r="AB962" s="4">
        <f>IF(OR(INDEX($AH$2:$AH$1001,MATCH(ROWS($AG$2:AG962),$AG$2:$AG$1001,0),1)&gt;=100000,INDEX($AN$1005:$BO$1005,1,MATCH(COLUMNS($AN$1006:BN1006),$AN$1006:$BO$1006,0))&gt;=100000), " ",IF(INDEX($AN$2:$BO$1001,MATCH(ROWS($AG$2:AG962),$AG$2:$AG$1001,0),MATCH(COLUMNS($AN$1006:BN1006),$AN$1006:$BO$1006,0)), HYPERLINK("#",""), HYPERLINK(CONCATENATE("#Metadata!", ADDRESS(INDEX($AI$2:$AI$1001,MATCH(ROWS($AG$2:AG962),$AG$2:$AG$1001,0),0), INDEX($AN$1004:$BO$1004,1,MATCH(COLUMNS($AN$1006:BN1006),$AN$1006:$BO$1006,0)))),"Fix")))</f>
        <v>0</v>
      </c>
      <c r="AC962" s="4">
        <f>IF(OR(INDEX($AH$2:$AH$1001,MATCH(ROWS($AG$2:AG962),$AG$2:$AG$1001,0),1)&gt;=100000,INDEX($AN$1005:$BO$1005,1,MATCH(COLUMNS($AN$1006:BO1006),$AN$1006:$BO$1006,0))&gt;=100000), " ",IF(INDEX($AN$2:$BO$1001,MATCH(ROWS($AG$2:AG962),$AG$2:$AG$1001,0),MATCH(COLUMNS($AN$1006:BO1006),$AN$1006:$BO$1006,0)), HYPERLINK("#",""), HYPERLINK(CONCATENATE("#Metadata!", ADDRESS(INDEX($AI$2:$AI$1001,MATCH(ROWS($AG$2:AG962),$AG$2:$AG$1001,0),0), INDEX($AN$1004:$BO$1004,1,MATCH(COLUMNS($AN$1006:BO1006),$AN$1006:$BO$1006,0)))),"Fix")))</f>
        <v>0</v>
      </c>
      <c r="AG962">
        <v>0</v>
      </c>
      <c r="AH962">
        <v>0</v>
      </c>
      <c r="AI962">
        <v>0</v>
      </c>
      <c r="AJ962">
        <f>IF(AK962,TRUE,AND(AN962:BO962))</f>
        <v>0</v>
      </c>
      <c r="AK962">
        <f>COUNTBLANK(Metadata!B962:AC962)=COLUMNS(Metadata!B962:AC962)</f>
        <v>0</v>
      </c>
      <c r="AL962">
        <v>0</v>
      </c>
      <c r="AN962">
        <f>AND(IF(Metadata!B962="",FALSE,TRUE),COUNTIF(Metadata!B:B, Metadata!B962) = 1,NOT(ISERROR(SUMPRODUCT(SEARCH(MID(Metadata!B962,ROW(INDIRECT("1:"&amp;LEN(Metadata!B962))), 1),"0123456789abcdefghijklmnopqrstuvwxyzABCDEFGHIJKLMNOPQRSTUVWXYZ.")))))</f>
        <v>0</v>
      </c>
      <c r="AO962">
        <f>IF(Metadata!C962="",FALSE,TRUE)</f>
        <v>0</v>
      </c>
      <c r="AP962">
        <f>IF(Metadata!D962="",FALSE,TRUE)</f>
        <v>0</v>
      </c>
      <c r="AQ962">
        <f>OR(AND(IF(Metadata!E962="",FALSE,TRUE),OR(exact(Metadata!E962,"not collected"),exact(Metadata!E962,"not provided"),exact(Metadata!E962,"restricted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R962">
        <f>IF(Metadata!F962="",FALSE,TRUE)</f>
        <v>0</v>
      </c>
      <c r="AS962">
        <f>OR(AND(IF(Metadata!G962="",FALSE,TRUE),OR(exact(Metadata!G962,"not collected"),exact(Metadata!G962,"not provided"))),AND(IF(Metadata!G962="",FALSE,TRUE),OR(exact(Metadata!G962,"TRUE"),exact(Metadata!G962,"FALSE"))))</f>
        <v>0</v>
      </c>
      <c r="AT962">
        <f>OR(AND(IF(Metadata!H962="",FALSE,TRUE),OR(exact(Metadata!H962,"not collected"),exact(Metadata!H962,"not provided"),exact(Metadata!H962,"restricted access"))),AND(IF(Metadata!H962="",FALSE,ISNUMBER(VALUE(Metadata!H962))),Metadata!H962&gt;=-413.0))</f>
        <v>0</v>
      </c>
      <c r="AU962">
        <f>AND(IF(Metadata!I962="",FALSE,TRUE),exact(Metadata!I962,"meters"))</f>
        <v>0</v>
      </c>
      <c r="AV962">
        <f>AND(IF(Metadata!J962="",FALSE,TRUE),OR(exact(Metadata!J962,"Host-associated"),exact(Metadata!J962,"Free-living")))</f>
        <v>0</v>
      </c>
      <c r="AW962">
        <f>AND(IF(Metadata!K962="",FALSE,TRUE),OR(exact(Metadata!K962,"Animal"),exact(Metadata!K962,"Fungus"),exact(Metadata!K962,"Plant"),exact(Metadata!K962,"Saline"),exact(Metadata!K962,"Non-saline")))</f>
        <v>0</v>
      </c>
      <c r="AX962">
        <f>AND(IF(Metadata!L962="",FALSE,TRUE),OR(exact(Metadata!L962,"Plant secretion"),exact(Metadata!L962,"Plant rhizosphere"),exact(Metadata!L962,"Plant surface"),exact(Metadata!L962,"Plant corpus"),exact(Metadata!L962,"Fungus surface"),exact(Metadata!L962,"Fungus corpus"),exact(Metadata!L962,"Animal surface"),exact(Metadata!L962,"Animal proximal gut"),exact(Metadata!L962,"Animal corpus"),exact(Metadata!L962,"Animal distal gut"),exact(Metadata!L962,"Animal secretion"),exact(Metadata!L962,"Sub-surface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Y962">
        <f>IF(Metadata!M962="",FALSE,TRUE)</f>
        <v>0</v>
      </c>
      <c r="AZ962">
        <f>IF(Metadata!N962="",FALSE,TRUE)</f>
        <v>0</v>
      </c>
      <c r="BA962">
        <f>IF(Metadata!O962="",FALSE,TRUE)</f>
        <v>0</v>
      </c>
      <c r="BB962">
        <f>OR(AND(IF(Metadata!P962="",FALSE,TRUE),OR(exact(Metadata!P962,"not collected"),exact(Metadata!P962,"not provided"),exact(Metadata!P962,"restricted access"))),AND(IF(Metadata!P962="",FALSE,TRUE),OR(exact(Metadata!P962,"air"),exact(Metadata!P962,"built environment"),exact(Metadata!P962,"host-associated"),exact(Metadata!P962,"human-associated"),exact(Metadata!P962,"human-skin"),exact(Metadata!P962,"human-oral"),exact(Metadata!P962,"human-gut"),exact(Metadata!P962,"human-vaginal"),exact(Metadata!P962,"microbial mat/biofilm"),exact(Metadata!P962,"misc environment"),exact(Metadata!P962,"plant-associated"),exact(Metadata!P962,"sediment"),exact(Metadata!P962,"soil"),exact(Metadata!P962,"wastewater/sludge"),exact(Metadata!P962,"water"))))</f>
        <v>0</v>
      </c>
      <c r="BC962">
        <f>IF(Metadata!Q962="",FALSE,TRUE)</f>
        <v>0</v>
      </c>
      <c r="BD962">
        <f>IF(Metadata!R962="",FALSE,TRUE)</f>
        <v>0</v>
      </c>
      <c r="BE962">
        <f>OR(AND(IF(Metadata!S962="",FALSE,TRUE),OR(exact(Metadata!S962,"not collected"),exact(Metadata!S962,"not provided"),exact(Metadata!S962,"restricted access"))),AND(IF(Metadata!S962="",FALSE,ISNUMBER(VALUE(Metadata!S962))),Metadata!S962&gt;=-90.00,Metadata!S962&lt;=90.00))</f>
        <v>0</v>
      </c>
      <c r="BF962">
        <f>AND(IF(Metadata!T962="",FALSE,TRUE),exact(Metadata!T962,"Decimal degrees"))</f>
        <v>0</v>
      </c>
      <c r="BG962">
        <f>OR(AND(IF(Metadata!U962="",FALSE,TRUE),OR(exact(Metadata!U962,"not collected"),exact(Metadata!U962,"not provided"),exact(Metadata!U962,"restricted access"))),AND(IF(Metadata!U962="",FALSE,ISNUMBER(VALUE(Metadata!U962))),Metadata!U962&gt;=-180.00,Metadata!U962&lt;=180.00))</f>
        <v>0</v>
      </c>
      <c r="BH962">
        <f>AND(IF(Metadata!V962="",FALSE,TRUE),exact(Metadata!V962,"Decimal degrees"))</f>
        <v>0</v>
      </c>
      <c r="BI962">
        <f>IF(Metadata!W962="",FALSE,TRUE)</f>
        <v>0</v>
      </c>
      <c r="BJ962">
        <f>OR(AND(IF(Metadata!X962="",FALSE,TRUE),OR(exact(Metadata!X962,"not collected"),exact(Metadata!X962,"not provided"),exact(Metadata!X962,"restricted access"))),AND(IF(Metadata!X962="",FALSE,TRUE),OR(exact(Metadata!X962,"TRUE"),exact(Metadata!X962,"FALSE"))))</f>
        <v>0</v>
      </c>
      <c r="BK962">
        <f>AND(IF(Metadata!Y962="",FALSE,TRUE),exact(Metadata!Y962,"other"))</f>
        <v>0</v>
      </c>
      <c r="BL962">
        <f>IF(Metadata!Z962="",FALSE,TRUE)</f>
        <v>0</v>
      </c>
      <c r="BM962">
        <f>OR(AND(IF(Metadata!AA962="",FALSE,TRUE),OR(exact(Metadata!AA962,"not collected"),exact(Metadata!AA962,"not provided"))),AND(IF(Metadata!AA962="",FALSE,IF(ISERROR(INT(Metadata!AA962)),FALSE,INT(Metadata!AA962)=Metadata!AA962)),Metadata!AA962&gt;0))</f>
        <v>0</v>
      </c>
      <c r="BN962">
        <f>AND(IF(Metadata!AB962="",FALSE,TRUE),exact(Metadata!AB962,"Not applicable"))</f>
        <v>0</v>
      </c>
      <c r="BO962">
        <f>IF(Metadata!AC962="",FALSE,TRUE)</f>
        <v>0</v>
      </c>
    </row>
    <row r="963" spans="1:67">
      <c r="A963" s="5">
        <f>IF(B963=" "," ",HYPERLINK(CONCATENATE("#metadata!",ADDRESS(INDEX($AI$2:$AI$1001,MATCH(ROWS($AG$2:AG963),$AG$2:$AG$1001,0),0),1)),INDEX($AL$2:$AL$1001,MATCH(ROWS($AG$2:AG963),$AG$2:$AG$1001,0),0)))</f>
        <v>0</v>
      </c>
      <c r="B963" s="4">
        <f>IF(OR(INDEX($AH$2:$AH$1001,MATCH(ROWS($AG$2:AG963),$AG$2:$AG$1001,0),1)&gt;=100000,INDEX($AN$1005:$BO$1005,1,MATCH(COLUMNS($AN$1006:AN1006),$AN$1006:$BO$1006,0))&gt;=100000), " ",IF(INDEX($AN$2:$BO$1001,MATCH(ROWS($AG$2:AG963),$AG$2:$AG$1001,0),MATCH(COLUMNS($AN$1006:AN1006),$AN$1006:$BO$1006,0)), HYPERLINK("#",""), HYPERLINK(CONCATENATE("#Metadata!", ADDRESS(INDEX($AI$2:$AI$1001,MATCH(ROWS($AG$2:AG963),$AG$2:$AG$1001,0),0), INDEX($AN$1004:$BO$1004,1,MATCH(COLUMNS($AN$1006:AN1006),$AN$1006:$BO$1006,0)))),"Fix")))</f>
        <v>0</v>
      </c>
      <c r="C963" s="4">
        <f>IF(OR(INDEX($AH$2:$AH$1001,MATCH(ROWS($AG$2:AG963),$AG$2:$AG$1001,0),1)&gt;=100000,INDEX($AN$1005:$BO$1005,1,MATCH(COLUMNS($AN$1006:AO1006),$AN$1006:$BO$1006,0))&gt;=100000), " ",IF(INDEX($AN$2:$BO$1001,MATCH(ROWS($AG$2:AG963),$AG$2:$AG$1001,0),MATCH(COLUMNS($AN$1006:AO1006),$AN$1006:$BO$1006,0)), HYPERLINK("#",""), HYPERLINK(CONCATENATE("#Metadata!", ADDRESS(INDEX($AI$2:$AI$1001,MATCH(ROWS($AG$2:AG963),$AG$2:$AG$1001,0),0), INDEX($AN$1004:$BO$1004,1,MATCH(COLUMNS($AN$1006:AO1006),$AN$1006:$BO$1006,0)))),"Fix")))</f>
        <v>0</v>
      </c>
      <c r="D963" s="4">
        <f>IF(OR(INDEX($AH$2:$AH$1001,MATCH(ROWS($AG$2:AG963),$AG$2:$AG$1001,0),1)&gt;=100000,INDEX($AN$1005:$BO$1005,1,MATCH(COLUMNS($AN$1006:AP1006),$AN$1006:$BO$1006,0))&gt;=100000), " ",IF(INDEX($AN$2:$BO$1001,MATCH(ROWS($AG$2:AG963),$AG$2:$AG$1001,0),MATCH(COLUMNS($AN$1006:AP1006),$AN$1006:$BO$1006,0)), HYPERLINK("#",""), HYPERLINK(CONCATENATE("#Metadata!", ADDRESS(INDEX($AI$2:$AI$1001,MATCH(ROWS($AG$2:AG963),$AG$2:$AG$1001,0),0), INDEX($AN$1004:$BO$1004,1,MATCH(COLUMNS($AN$1006:AP1006),$AN$1006:$BO$1006,0)))),"Fix")))</f>
        <v>0</v>
      </c>
      <c r="E963" s="4">
        <f>IF(OR(INDEX($AH$2:$AH$1001,MATCH(ROWS($AG$2:AG963),$AG$2:$AG$1001,0),1)&gt;=100000,INDEX($AN$1005:$BO$1005,1,MATCH(COLUMNS($AN$1006:AQ1006),$AN$1006:$BO$1006,0))&gt;=100000), " ",IF(INDEX($AN$2:$BO$1001,MATCH(ROWS($AG$2:AG963),$AG$2:$AG$1001,0),MATCH(COLUMNS($AN$1006:AQ1006),$AN$1006:$BO$1006,0)), HYPERLINK("#",""), HYPERLINK(CONCATENATE("#Metadata!", ADDRESS(INDEX($AI$2:$AI$1001,MATCH(ROWS($AG$2:AG963),$AG$2:$AG$1001,0),0), INDEX($AN$1004:$BO$1004,1,MATCH(COLUMNS($AN$1006:AQ1006),$AN$1006:$BO$1006,0)))),"Fix")))</f>
        <v>0</v>
      </c>
      <c r="F963" s="4">
        <f>IF(OR(INDEX($AH$2:$AH$1001,MATCH(ROWS($AG$2:AG963),$AG$2:$AG$1001,0),1)&gt;=100000,INDEX($AN$1005:$BO$1005,1,MATCH(COLUMNS($AN$1006:AR1006),$AN$1006:$BO$1006,0))&gt;=100000), " ",IF(INDEX($AN$2:$BO$1001,MATCH(ROWS($AG$2:AG963),$AG$2:$AG$1001,0),MATCH(COLUMNS($AN$1006:AR1006),$AN$1006:$BO$1006,0)), HYPERLINK("#",""), HYPERLINK(CONCATENATE("#Metadata!", ADDRESS(INDEX($AI$2:$AI$1001,MATCH(ROWS($AG$2:AG963),$AG$2:$AG$1001,0),0), INDEX($AN$1004:$BO$1004,1,MATCH(COLUMNS($AN$1006:AR1006),$AN$1006:$BO$1006,0)))),"Fix")))</f>
        <v>0</v>
      </c>
      <c r="G963" s="4">
        <f>IF(OR(INDEX($AH$2:$AH$1001,MATCH(ROWS($AG$2:AG963),$AG$2:$AG$1001,0),1)&gt;=100000,INDEX($AN$1005:$BO$1005,1,MATCH(COLUMNS($AN$1006:AS1006),$AN$1006:$BO$1006,0))&gt;=100000), " ",IF(INDEX($AN$2:$BO$1001,MATCH(ROWS($AG$2:AG963),$AG$2:$AG$1001,0),MATCH(COLUMNS($AN$1006:AS1006),$AN$1006:$BO$1006,0)), HYPERLINK("#",""), HYPERLINK(CONCATENATE("#Metadata!", ADDRESS(INDEX($AI$2:$AI$1001,MATCH(ROWS($AG$2:AG963),$AG$2:$AG$1001,0),0), INDEX($AN$1004:$BO$1004,1,MATCH(COLUMNS($AN$1006:AS1006),$AN$1006:$BO$1006,0)))),"Fix")))</f>
        <v>0</v>
      </c>
      <c r="H963" s="4">
        <f>IF(OR(INDEX($AH$2:$AH$1001,MATCH(ROWS($AG$2:AG963),$AG$2:$AG$1001,0),1)&gt;=100000,INDEX($AN$1005:$BO$1005,1,MATCH(COLUMNS($AN$1006:AT1006),$AN$1006:$BO$1006,0))&gt;=100000), " ",IF(INDEX($AN$2:$BO$1001,MATCH(ROWS($AG$2:AG963),$AG$2:$AG$1001,0),MATCH(COLUMNS($AN$1006:AT1006),$AN$1006:$BO$1006,0)), HYPERLINK("#",""), HYPERLINK(CONCATENATE("#Metadata!", ADDRESS(INDEX($AI$2:$AI$1001,MATCH(ROWS($AG$2:AG963),$AG$2:$AG$1001,0),0), INDEX($AN$1004:$BO$1004,1,MATCH(COLUMNS($AN$1006:AT1006),$AN$1006:$BO$1006,0)))),"Fix")))</f>
        <v>0</v>
      </c>
      <c r="I963" s="4">
        <f>IF(OR(INDEX($AH$2:$AH$1001,MATCH(ROWS($AG$2:AG963),$AG$2:$AG$1001,0),1)&gt;=100000,INDEX($AN$1005:$BO$1005,1,MATCH(COLUMNS($AN$1006:AU1006),$AN$1006:$BO$1006,0))&gt;=100000), " ",IF(INDEX($AN$2:$BO$1001,MATCH(ROWS($AG$2:AG963),$AG$2:$AG$1001,0),MATCH(COLUMNS($AN$1006:AU1006),$AN$1006:$BO$1006,0)), HYPERLINK("#",""), HYPERLINK(CONCATENATE("#Metadata!", ADDRESS(INDEX($AI$2:$AI$1001,MATCH(ROWS($AG$2:AG963),$AG$2:$AG$1001,0),0), INDEX($AN$1004:$BO$1004,1,MATCH(COLUMNS($AN$1006:AU1006),$AN$1006:$BO$1006,0)))),"Fix")))</f>
        <v>0</v>
      </c>
      <c r="J963" s="4">
        <f>IF(OR(INDEX($AH$2:$AH$1001,MATCH(ROWS($AG$2:AG963),$AG$2:$AG$1001,0),1)&gt;=100000,INDEX($AN$1005:$BO$1005,1,MATCH(COLUMNS($AN$1006:AV1006),$AN$1006:$BO$1006,0))&gt;=100000), " ",IF(INDEX($AN$2:$BO$1001,MATCH(ROWS($AG$2:AG963),$AG$2:$AG$1001,0),MATCH(COLUMNS($AN$1006:AV1006),$AN$1006:$BO$1006,0)), HYPERLINK("#",""), HYPERLINK(CONCATENATE("#Metadata!", ADDRESS(INDEX($AI$2:$AI$1001,MATCH(ROWS($AG$2:AG963),$AG$2:$AG$1001,0),0), INDEX($AN$1004:$BO$1004,1,MATCH(COLUMNS($AN$1006:AV1006),$AN$1006:$BO$1006,0)))),"Fix")))</f>
        <v>0</v>
      </c>
      <c r="K963" s="4">
        <f>IF(OR(INDEX($AH$2:$AH$1001,MATCH(ROWS($AG$2:AG963),$AG$2:$AG$1001,0),1)&gt;=100000,INDEX($AN$1005:$BO$1005,1,MATCH(COLUMNS($AN$1006:AW1006),$AN$1006:$BO$1006,0))&gt;=100000), " ",IF(INDEX($AN$2:$BO$1001,MATCH(ROWS($AG$2:AG963),$AG$2:$AG$1001,0),MATCH(COLUMNS($AN$1006:AW1006),$AN$1006:$BO$1006,0)), HYPERLINK("#",""), HYPERLINK(CONCATENATE("#Metadata!", ADDRESS(INDEX($AI$2:$AI$1001,MATCH(ROWS($AG$2:AG963),$AG$2:$AG$1001,0),0), INDEX($AN$1004:$BO$1004,1,MATCH(COLUMNS($AN$1006:AW1006),$AN$1006:$BO$1006,0)))),"Fix")))</f>
        <v>0</v>
      </c>
      <c r="L963" s="4">
        <f>IF(OR(INDEX($AH$2:$AH$1001,MATCH(ROWS($AG$2:AG963),$AG$2:$AG$1001,0),1)&gt;=100000,INDEX($AN$1005:$BO$1005,1,MATCH(COLUMNS($AN$1006:AX1006),$AN$1006:$BO$1006,0))&gt;=100000), " ",IF(INDEX($AN$2:$BO$1001,MATCH(ROWS($AG$2:AG963),$AG$2:$AG$1001,0),MATCH(COLUMNS($AN$1006:AX1006),$AN$1006:$BO$1006,0)), HYPERLINK("#",""), HYPERLINK(CONCATENATE("#Metadata!", ADDRESS(INDEX($AI$2:$AI$1001,MATCH(ROWS($AG$2:AG963),$AG$2:$AG$1001,0),0), INDEX($AN$1004:$BO$1004,1,MATCH(COLUMNS($AN$1006:AX1006),$AN$1006:$BO$1006,0)))),"Fix")))</f>
        <v>0</v>
      </c>
      <c r="M963" s="4">
        <f>IF(OR(INDEX($AH$2:$AH$1001,MATCH(ROWS($AG$2:AG963),$AG$2:$AG$1001,0),1)&gt;=100000,INDEX($AN$1005:$BO$1005,1,MATCH(COLUMNS($AN$1006:AY1006),$AN$1006:$BO$1006,0))&gt;=100000), " ",IF(INDEX($AN$2:$BO$1001,MATCH(ROWS($AG$2:AG963),$AG$2:$AG$1001,0),MATCH(COLUMNS($AN$1006:AY1006),$AN$1006:$BO$1006,0)), HYPERLINK("#",""), HYPERLINK(CONCATENATE("#Metadata!", ADDRESS(INDEX($AI$2:$AI$1001,MATCH(ROWS($AG$2:AG963),$AG$2:$AG$1001,0),0), INDEX($AN$1004:$BO$1004,1,MATCH(COLUMNS($AN$1006:AY1006),$AN$1006:$BO$1006,0)))),"Fix")))</f>
        <v>0</v>
      </c>
      <c r="N963" s="4">
        <f>IF(OR(INDEX($AH$2:$AH$1001,MATCH(ROWS($AG$2:AG963),$AG$2:$AG$1001,0),1)&gt;=100000,INDEX($AN$1005:$BO$1005,1,MATCH(COLUMNS($AN$1006:AZ1006),$AN$1006:$BO$1006,0))&gt;=100000), " ",IF(INDEX($AN$2:$BO$1001,MATCH(ROWS($AG$2:AG963),$AG$2:$AG$1001,0),MATCH(COLUMNS($AN$1006:AZ1006),$AN$1006:$BO$1006,0)), HYPERLINK("#",""), HYPERLINK(CONCATENATE("#Metadata!", ADDRESS(INDEX($AI$2:$AI$1001,MATCH(ROWS($AG$2:AG963),$AG$2:$AG$1001,0),0), INDEX($AN$1004:$BO$1004,1,MATCH(COLUMNS($AN$1006:AZ1006),$AN$1006:$BO$1006,0)))),"Fix")))</f>
        <v>0</v>
      </c>
      <c r="O963" s="4">
        <f>IF(OR(INDEX($AH$2:$AH$1001,MATCH(ROWS($AG$2:AG963),$AG$2:$AG$1001,0),1)&gt;=100000,INDEX($AN$1005:$BO$1005,1,MATCH(COLUMNS($AN$1006:BA1006),$AN$1006:$BO$1006,0))&gt;=100000), " ",IF(INDEX($AN$2:$BO$1001,MATCH(ROWS($AG$2:AG963),$AG$2:$AG$1001,0),MATCH(COLUMNS($AN$1006:BA1006),$AN$1006:$BO$1006,0)), HYPERLINK("#",""), HYPERLINK(CONCATENATE("#Metadata!", ADDRESS(INDEX($AI$2:$AI$1001,MATCH(ROWS($AG$2:AG963),$AG$2:$AG$1001,0),0), INDEX($AN$1004:$BO$1004,1,MATCH(COLUMNS($AN$1006:BA1006),$AN$1006:$BO$1006,0)))),"Fix")))</f>
        <v>0</v>
      </c>
      <c r="P963" s="4">
        <f>IF(OR(INDEX($AH$2:$AH$1001,MATCH(ROWS($AG$2:AG963),$AG$2:$AG$1001,0),1)&gt;=100000,INDEX($AN$1005:$BO$1005,1,MATCH(COLUMNS($AN$1006:BB1006),$AN$1006:$BO$1006,0))&gt;=100000), " ",IF(INDEX($AN$2:$BO$1001,MATCH(ROWS($AG$2:AG963),$AG$2:$AG$1001,0),MATCH(COLUMNS($AN$1006:BB1006),$AN$1006:$BO$1006,0)), HYPERLINK("#",""), HYPERLINK(CONCATENATE("#Metadata!", ADDRESS(INDEX($AI$2:$AI$1001,MATCH(ROWS($AG$2:AG963),$AG$2:$AG$1001,0),0), INDEX($AN$1004:$BO$1004,1,MATCH(COLUMNS($AN$1006:BB1006),$AN$1006:$BO$1006,0)))),"Fix")))</f>
        <v>0</v>
      </c>
      <c r="Q963" s="4">
        <f>IF(OR(INDEX($AH$2:$AH$1001,MATCH(ROWS($AG$2:AG963),$AG$2:$AG$1001,0),1)&gt;=100000,INDEX($AN$1005:$BO$1005,1,MATCH(COLUMNS($AN$1006:BC1006),$AN$1006:$BO$1006,0))&gt;=100000), " ",IF(INDEX($AN$2:$BO$1001,MATCH(ROWS($AG$2:AG963),$AG$2:$AG$1001,0),MATCH(COLUMNS($AN$1006:BC1006),$AN$1006:$BO$1006,0)), HYPERLINK("#",""), HYPERLINK(CONCATENATE("#Metadata!", ADDRESS(INDEX($AI$2:$AI$1001,MATCH(ROWS($AG$2:AG963),$AG$2:$AG$1001,0),0), INDEX($AN$1004:$BO$1004,1,MATCH(COLUMNS($AN$1006:BC1006),$AN$1006:$BO$1006,0)))),"Fix")))</f>
        <v>0</v>
      </c>
      <c r="R963" s="4">
        <f>IF(OR(INDEX($AH$2:$AH$1001,MATCH(ROWS($AG$2:AG963),$AG$2:$AG$1001,0),1)&gt;=100000,INDEX($AN$1005:$BO$1005,1,MATCH(COLUMNS($AN$1006:BD1006),$AN$1006:$BO$1006,0))&gt;=100000), " ",IF(INDEX($AN$2:$BO$1001,MATCH(ROWS($AG$2:AG963),$AG$2:$AG$1001,0),MATCH(COLUMNS($AN$1006:BD1006),$AN$1006:$BO$1006,0)), HYPERLINK("#",""), HYPERLINK(CONCATENATE("#Metadata!", ADDRESS(INDEX($AI$2:$AI$1001,MATCH(ROWS($AG$2:AG963),$AG$2:$AG$1001,0),0), INDEX($AN$1004:$BO$1004,1,MATCH(COLUMNS($AN$1006:BD1006),$AN$1006:$BO$1006,0)))),"Fix")))</f>
        <v>0</v>
      </c>
      <c r="S963" s="4">
        <f>IF(OR(INDEX($AH$2:$AH$1001,MATCH(ROWS($AG$2:AG963),$AG$2:$AG$1001,0),1)&gt;=100000,INDEX($AN$1005:$BO$1005,1,MATCH(COLUMNS($AN$1006:BE1006),$AN$1006:$BO$1006,0))&gt;=100000), " ",IF(INDEX($AN$2:$BO$1001,MATCH(ROWS($AG$2:AG963),$AG$2:$AG$1001,0),MATCH(COLUMNS($AN$1006:BE1006),$AN$1006:$BO$1006,0)), HYPERLINK("#",""), HYPERLINK(CONCATENATE("#Metadata!", ADDRESS(INDEX($AI$2:$AI$1001,MATCH(ROWS($AG$2:AG963),$AG$2:$AG$1001,0),0), INDEX($AN$1004:$BO$1004,1,MATCH(COLUMNS($AN$1006:BE1006),$AN$1006:$BO$1006,0)))),"Fix")))</f>
        <v>0</v>
      </c>
      <c r="T963" s="4">
        <f>IF(OR(INDEX($AH$2:$AH$1001,MATCH(ROWS($AG$2:AG963),$AG$2:$AG$1001,0),1)&gt;=100000,INDEX($AN$1005:$BO$1005,1,MATCH(COLUMNS($AN$1006:BF1006),$AN$1006:$BO$1006,0))&gt;=100000), " ",IF(INDEX($AN$2:$BO$1001,MATCH(ROWS($AG$2:AG963),$AG$2:$AG$1001,0),MATCH(COLUMNS($AN$1006:BF1006),$AN$1006:$BO$1006,0)), HYPERLINK("#",""), HYPERLINK(CONCATENATE("#Metadata!", ADDRESS(INDEX($AI$2:$AI$1001,MATCH(ROWS($AG$2:AG963),$AG$2:$AG$1001,0),0), INDEX($AN$1004:$BO$1004,1,MATCH(COLUMNS($AN$1006:BF1006),$AN$1006:$BO$1006,0)))),"Fix")))</f>
        <v>0</v>
      </c>
      <c r="U963" s="4">
        <f>IF(OR(INDEX($AH$2:$AH$1001,MATCH(ROWS($AG$2:AG963),$AG$2:$AG$1001,0),1)&gt;=100000,INDEX($AN$1005:$BO$1005,1,MATCH(COLUMNS($AN$1006:BG1006),$AN$1006:$BO$1006,0))&gt;=100000), " ",IF(INDEX($AN$2:$BO$1001,MATCH(ROWS($AG$2:AG963),$AG$2:$AG$1001,0),MATCH(COLUMNS($AN$1006:BG1006),$AN$1006:$BO$1006,0)), HYPERLINK("#",""), HYPERLINK(CONCATENATE("#Metadata!", ADDRESS(INDEX($AI$2:$AI$1001,MATCH(ROWS($AG$2:AG963),$AG$2:$AG$1001,0),0), INDEX($AN$1004:$BO$1004,1,MATCH(COLUMNS($AN$1006:BG1006),$AN$1006:$BO$1006,0)))),"Fix")))</f>
        <v>0</v>
      </c>
      <c r="V963" s="4">
        <f>IF(OR(INDEX($AH$2:$AH$1001,MATCH(ROWS($AG$2:AG963),$AG$2:$AG$1001,0),1)&gt;=100000,INDEX($AN$1005:$BO$1005,1,MATCH(COLUMNS($AN$1006:BH1006),$AN$1006:$BO$1006,0))&gt;=100000), " ",IF(INDEX($AN$2:$BO$1001,MATCH(ROWS($AG$2:AG963),$AG$2:$AG$1001,0),MATCH(COLUMNS($AN$1006:BH1006),$AN$1006:$BO$1006,0)), HYPERLINK("#",""), HYPERLINK(CONCATENATE("#Metadata!", ADDRESS(INDEX($AI$2:$AI$1001,MATCH(ROWS($AG$2:AG963),$AG$2:$AG$1001,0),0), INDEX($AN$1004:$BO$1004,1,MATCH(COLUMNS($AN$1006:BH1006),$AN$1006:$BO$1006,0)))),"Fix")))</f>
        <v>0</v>
      </c>
      <c r="W963" s="4">
        <f>IF(OR(INDEX($AH$2:$AH$1001,MATCH(ROWS($AG$2:AG963),$AG$2:$AG$1001,0),1)&gt;=100000,INDEX($AN$1005:$BO$1005,1,MATCH(COLUMNS($AN$1006:BI1006),$AN$1006:$BO$1006,0))&gt;=100000), " ",IF(INDEX($AN$2:$BO$1001,MATCH(ROWS($AG$2:AG963),$AG$2:$AG$1001,0),MATCH(COLUMNS($AN$1006:BI1006),$AN$1006:$BO$1006,0)), HYPERLINK("#",""), HYPERLINK(CONCATENATE("#Metadata!", ADDRESS(INDEX($AI$2:$AI$1001,MATCH(ROWS($AG$2:AG963),$AG$2:$AG$1001,0),0), INDEX($AN$1004:$BO$1004,1,MATCH(COLUMNS($AN$1006:BI1006),$AN$1006:$BO$1006,0)))),"Fix")))</f>
        <v>0</v>
      </c>
      <c r="X963" s="4">
        <f>IF(OR(INDEX($AH$2:$AH$1001,MATCH(ROWS($AG$2:AG963),$AG$2:$AG$1001,0),1)&gt;=100000,INDEX($AN$1005:$BO$1005,1,MATCH(COLUMNS($AN$1006:BJ1006),$AN$1006:$BO$1006,0))&gt;=100000), " ",IF(INDEX($AN$2:$BO$1001,MATCH(ROWS($AG$2:AG963),$AG$2:$AG$1001,0),MATCH(COLUMNS($AN$1006:BJ1006),$AN$1006:$BO$1006,0)), HYPERLINK("#",""), HYPERLINK(CONCATENATE("#Metadata!", ADDRESS(INDEX($AI$2:$AI$1001,MATCH(ROWS($AG$2:AG963),$AG$2:$AG$1001,0),0), INDEX($AN$1004:$BO$1004,1,MATCH(COLUMNS($AN$1006:BJ1006),$AN$1006:$BO$1006,0)))),"Fix")))</f>
        <v>0</v>
      </c>
      <c r="Y963" s="4">
        <f>IF(OR(INDEX($AH$2:$AH$1001,MATCH(ROWS($AG$2:AG963),$AG$2:$AG$1001,0),1)&gt;=100000,INDEX($AN$1005:$BO$1005,1,MATCH(COLUMNS($AN$1006:BK1006),$AN$1006:$BO$1006,0))&gt;=100000), " ",IF(INDEX($AN$2:$BO$1001,MATCH(ROWS($AG$2:AG963),$AG$2:$AG$1001,0),MATCH(COLUMNS($AN$1006:BK1006),$AN$1006:$BO$1006,0)), HYPERLINK("#",""), HYPERLINK(CONCATENATE("#Metadata!", ADDRESS(INDEX($AI$2:$AI$1001,MATCH(ROWS($AG$2:AG963),$AG$2:$AG$1001,0),0), INDEX($AN$1004:$BO$1004,1,MATCH(COLUMNS($AN$1006:BK1006),$AN$1006:$BO$1006,0)))),"Fix")))</f>
        <v>0</v>
      </c>
      <c r="Z963" s="4">
        <f>IF(OR(INDEX($AH$2:$AH$1001,MATCH(ROWS($AG$2:AG963),$AG$2:$AG$1001,0),1)&gt;=100000,INDEX($AN$1005:$BO$1005,1,MATCH(COLUMNS($AN$1006:BL1006),$AN$1006:$BO$1006,0))&gt;=100000), " ",IF(INDEX($AN$2:$BO$1001,MATCH(ROWS($AG$2:AG963),$AG$2:$AG$1001,0),MATCH(COLUMNS($AN$1006:BL1006),$AN$1006:$BO$1006,0)), HYPERLINK("#",""), HYPERLINK(CONCATENATE("#Metadata!", ADDRESS(INDEX($AI$2:$AI$1001,MATCH(ROWS($AG$2:AG963),$AG$2:$AG$1001,0),0), INDEX($AN$1004:$BO$1004,1,MATCH(COLUMNS($AN$1006:BL1006),$AN$1006:$BO$1006,0)))),"Fix")))</f>
        <v>0</v>
      </c>
      <c r="AA963" s="4">
        <f>IF(OR(INDEX($AH$2:$AH$1001,MATCH(ROWS($AG$2:AG963),$AG$2:$AG$1001,0),1)&gt;=100000,INDEX($AN$1005:$BO$1005,1,MATCH(COLUMNS($AN$1006:BM1006),$AN$1006:$BO$1006,0))&gt;=100000), " ",IF(INDEX($AN$2:$BO$1001,MATCH(ROWS($AG$2:AG963),$AG$2:$AG$1001,0),MATCH(COLUMNS($AN$1006:BM1006),$AN$1006:$BO$1006,0)), HYPERLINK("#",""), HYPERLINK(CONCATENATE("#Metadata!", ADDRESS(INDEX($AI$2:$AI$1001,MATCH(ROWS($AG$2:AG963),$AG$2:$AG$1001,0),0), INDEX($AN$1004:$BO$1004,1,MATCH(COLUMNS($AN$1006:BM1006),$AN$1006:$BO$1006,0)))),"Fix")))</f>
        <v>0</v>
      </c>
      <c r="AB963" s="4">
        <f>IF(OR(INDEX($AH$2:$AH$1001,MATCH(ROWS($AG$2:AG963),$AG$2:$AG$1001,0),1)&gt;=100000,INDEX($AN$1005:$BO$1005,1,MATCH(COLUMNS($AN$1006:BN1006),$AN$1006:$BO$1006,0))&gt;=100000), " ",IF(INDEX($AN$2:$BO$1001,MATCH(ROWS($AG$2:AG963),$AG$2:$AG$1001,0),MATCH(COLUMNS($AN$1006:BN1006),$AN$1006:$BO$1006,0)), HYPERLINK("#",""), HYPERLINK(CONCATENATE("#Metadata!", ADDRESS(INDEX($AI$2:$AI$1001,MATCH(ROWS($AG$2:AG963),$AG$2:$AG$1001,0),0), INDEX($AN$1004:$BO$1004,1,MATCH(COLUMNS($AN$1006:BN1006),$AN$1006:$BO$1006,0)))),"Fix")))</f>
        <v>0</v>
      </c>
      <c r="AC963" s="4">
        <f>IF(OR(INDEX($AH$2:$AH$1001,MATCH(ROWS($AG$2:AG963),$AG$2:$AG$1001,0),1)&gt;=100000,INDEX($AN$1005:$BO$1005,1,MATCH(COLUMNS($AN$1006:BO1006),$AN$1006:$BO$1006,0))&gt;=100000), " ",IF(INDEX($AN$2:$BO$1001,MATCH(ROWS($AG$2:AG963),$AG$2:$AG$1001,0),MATCH(COLUMNS($AN$1006:BO1006),$AN$1006:$BO$1006,0)), HYPERLINK("#",""), HYPERLINK(CONCATENATE("#Metadata!", ADDRESS(INDEX($AI$2:$AI$1001,MATCH(ROWS($AG$2:AG963),$AG$2:$AG$1001,0),0), INDEX($AN$1004:$BO$1004,1,MATCH(COLUMNS($AN$1006:BO1006),$AN$1006:$BO$1006,0)))),"Fix")))</f>
        <v>0</v>
      </c>
      <c r="AG963">
        <v>0</v>
      </c>
      <c r="AH963">
        <v>0</v>
      </c>
      <c r="AI963">
        <v>0</v>
      </c>
      <c r="AJ963">
        <f>IF(AK963,TRUE,AND(AN963:BO963))</f>
        <v>0</v>
      </c>
      <c r="AK963">
        <f>COUNTBLANK(Metadata!B963:AC963)=COLUMNS(Metadata!B963:AC963)</f>
        <v>0</v>
      </c>
      <c r="AL963">
        <v>0</v>
      </c>
      <c r="AN963">
        <f>AND(IF(Metadata!B963="",FALSE,TRUE),COUNTIF(Metadata!B:B, Metadata!B963) = 1,NOT(ISERROR(SUMPRODUCT(SEARCH(MID(Metadata!B963,ROW(INDIRECT("1:"&amp;LEN(Metadata!B963))), 1),"0123456789abcdefghijklmnopqrstuvwxyzABCDEFGHIJKLMNOPQRSTUVWXYZ.")))))</f>
        <v>0</v>
      </c>
      <c r="AO963">
        <f>IF(Metadata!C963="",FALSE,TRUE)</f>
        <v>0</v>
      </c>
      <c r="AP963">
        <f>IF(Metadata!D963="",FALSE,TRUE)</f>
        <v>0</v>
      </c>
      <c r="AQ963">
        <f>OR(AND(IF(Metadata!E963="",FALSE,TRUE),OR(exact(Metadata!E963,"not collected"),exact(Metadata!E963,"not provided"),exact(Metadata!E963,"restricted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R963">
        <f>IF(Metadata!F963="",FALSE,TRUE)</f>
        <v>0</v>
      </c>
      <c r="AS963">
        <f>OR(AND(IF(Metadata!G963="",FALSE,TRUE),OR(exact(Metadata!G963,"not collected"),exact(Metadata!G963,"not provided"))),AND(IF(Metadata!G963="",FALSE,TRUE),OR(exact(Metadata!G963,"TRUE"),exact(Metadata!G963,"FALSE"))))</f>
        <v>0</v>
      </c>
      <c r="AT963">
        <f>OR(AND(IF(Metadata!H963="",FALSE,TRUE),OR(exact(Metadata!H963,"not collected"),exact(Metadata!H963,"not provided"),exact(Metadata!H963,"restricted access"))),AND(IF(Metadata!H963="",FALSE,ISNUMBER(VALUE(Metadata!H963))),Metadata!H963&gt;=-413.0))</f>
        <v>0</v>
      </c>
      <c r="AU963">
        <f>AND(IF(Metadata!I963="",FALSE,TRUE),exact(Metadata!I963,"meters"))</f>
        <v>0</v>
      </c>
      <c r="AV963">
        <f>AND(IF(Metadata!J963="",FALSE,TRUE),OR(exact(Metadata!J963,"Host-associated"),exact(Metadata!J963,"Free-living")))</f>
        <v>0</v>
      </c>
      <c r="AW963">
        <f>AND(IF(Metadata!K963="",FALSE,TRUE),OR(exact(Metadata!K963,"Animal"),exact(Metadata!K963,"Fungus"),exact(Metadata!K963,"Plant"),exact(Metadata!K963,"Saline"),exact(Metadata!K963,"Non-saline")))</f>
        <v>0</v>
      </c>
      <c r="AX963">
        <f>AND(IF(Metadata!L963="",FALSE,TRUE),OR(exact(Metadata!L963,"Plant secretion"),exact(Metadata!L963,"Plant rhizosphere"),exact(Metadata!L963,"Plant surface"),exact(Metadata!L963,"Plant corpus"),exact(Metadata!L963,"Fungus surface"),exact(Metadata!L963,"Fungus corpus"),exact(Metadata!L963,"Animal surface"),exact(Metadata!L963,"Animal proximal gut"),exact(Metadata!L963,"Animal corpus"),exact(Metadata!L963,"Animal distal gut"),exact(Metadata!L963,"Animal secretion"),exact(Metadata!L963,"Sub-surface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Y963">
        <f>IF(Metadata!M963="",FALSE,TRUE)</f>
        <v>0</v>
      </c>
      <c r="AZ963">
        <f>IF(Metadata!N963="",FALSE,TRUE)</f>
        <v>0</v>
      </c>
      <c r="BA963">
        <f>IF(Metadata!O963="",FALSE,TRUE)</f>
        <v>0</v>
      </c>
      <c r="BB963">
        <f>OR(AND(IF(Metadata!P963="",FALSE,TRUE),OR(exact(Metadata!P963,"not collected"),exact(Metadata!P963,"not provided"),exact(Metadata!P963,"restricted access"))),AND(IF(Metadata!P963="",FALSE,TRUE),OR(exact(Metadata!P963,"air"),exact(Metadata!P963,"built environment"),exact(Metadata!P963,"host-associated"),exact(Metadata!P963,"human-associated"),exact(Metadata!P963,"human-skin"),exact(Metadata!P963,"human-oral"),exact(Metadata!P963,"human-gut"),exact(Metadata!P963,"human-vaginal"),exact(Metadata!P963,"microbial mat/biofilm"),exact(Metadata!P963,"misc environment"),exact(Metadata!P963,"plant-associated"),exact(Metadata!P963,"sediment"),exact(Metadata!P963,"soil"),exact(Metadata!P963,"wastewater/sludge"),exact(Metadata!P963,"water"))))</f>
        <v>0</v>
      </c>
      <c r="BC963">
        <f>IF(Metadata!Q963="",FALSE,TRUE)</f>
        <v>0</v>
      </c>
      <c r="BD963">
        <f>IF(Metadata!R963="",FALSE,TRUE)</f>
        <v>0</v>
      </c>
      <c r="BE963">
        <f>OR(AND(IF(Metadata!S963="",FALSE,TRUE),OR(exact(Metadata!S963,"not collected"),exact(Metadata!S963,"not provided"),exact(Metadata!S963,"restricted access"))),AND(IF(Metadata!S963="",FALSE,ISNUMBER(VALUE(Metadata!S963))),Metadata!S963&gt;=-90.00,Metadata!S963&lt;=90.00))</f>
        <v>0</v>
      </c>
      <c r="BF963">
        <f>AND(IF(Metadata!T963="",FALSE,TRUE),exact(Metadata!T963,"Decimal degrees"))</f>
        <v>0</v>
      </c>
      <c r="BG963">
        <f>OR(AND(IF(Metadata!U963="",FALSE,TRUE),OR(exact(Metadata!U963,"not collected"),exact(Metadata!U963,"not provided"),exact(Metadata!U963,"restricted access"))),AND(IF(Metadata!U963="",FALSE,ISNUMBER(VALUE(Metadata!U963))),Metadata!U963&gt;=-180.00,Metadata!U963&lt;=180.00))</f>
        <v>0</v>
      </c>
      <c r="BH963">
        <f>AND(IF(Metadata!V963="",FALSE,TRUE),exact(Metadata!V963,"Decimal degrees"))</f>
        <v>0</v>
      </c>
      <c r="BI963">
        <f>IF(Metadata!W963="",FALSE,TRUE)</f>
        <v>0</v>
      </c>
      <c r="BJ963">
        <f>OR(AND(IF(Metadata!X963="",FALSE,TRUE),OR(exact(Metadata!X963,"not collected"),exact(Metadata!X963,"not provided"),exact(Metadata!X963,"restricted access"))),AND(IF(Metadata!X963="",FALSE,TRUE),OR(exact(Metadata!X963,"TRUE"),exact(Metadata!X963,"FALSE"))))</f>
        <v>0</v>
      </c>
      <c r="BK963">
        <f>AND(IF(Metadata!Y963="",FALSE,TRUE),exact(Metadata!Y963,"other"))</f>
        <v>0</v>
      </c>
      <c r="BL963">
        <f>IF(Metadata!Z963="",FALSE,TRUE)</f>
        <v>0</v>
      </c>
      <c r="BM963">
        <f>OR(AND(IF(Metadata!AA963="",FALSE,TRUE),OR(exact(Metadata!AA963,"not collected"),exact(Metadata!AA963,"not provided"))),AND(IF(Metadata!AA963="",FALSE,IF(ISERROR(INT(Metadata!AA963)),FALSE,INT(Metadata!AA963)=Metadata!AA963)),Metadata!AA963&gt;0))</f>
        <v>0</v>
      </c>
      <c r="BN963">
        <f>AND(IF(Metadata!AB963="",FALSE,TRUE),exact(Metadata!AB963,"Not applicable"))</f>
        <v>0</v>
      </c>
      <c r="BO963">
        <f>IF(Metadata!AC963="",FALSE,TRUE)</f>
        <v>0</v>
      </c>
    </row>
    <row r="964" spans="1:67">
      <c r="A964" s="5">
        <f>IF(B964=" "," ",HYPERLINK(CONCATENATE("#metadata!",ADDRESS(INDEX($AI$2:$AI$1001,MATCH(ROWS($AG$2:AG964),$AG$2:$AG$1001,0),0),1)),INDEX($AL$2:$AL$1001,MATCH(ROWS($AG$2:AG964),$AG$2:$AG$1001,0),0)))</f>
        <v>0</v>
      </c>
      <c r="B964" s="4">
        <f>IF(OR(INDEX($AH$2:$AH$1001,MATCH(ROWS($AG$2:AG964),$AG$2:$AG$1001,0),1)&gt;=100000,INDEX($AN$1005:$BO$1005,1,MATCH(COLUMNS($AN$1006:AN1006),$AN$1006:$BO$1006,0))&gt;=100000), " ",IF(INDEX($AN$2:$BO$1001,MATCH(ROWS($AG$2:AG964),$AG$2:$AG$1001,0),MATCH(COLUMNS($AN$1006:AN1006),$AN$1006:$BO$1006,0)), HYPERLINK("#",""), HYPERLINK(CONCATENATE("#Metadata!", ADDRESS(INDEX($AI$2:$AI$1001,MATCH(ROWS($AG$2:AG964),$AG$2:$AG$1001,0),0), INDEX($AN$1004:$BO$1004,1,MATCH(COLUMNS($AN$1006:AN1006),$AN$1006:$BO$1006,0)))),"Fix")))</f>
        <v>0</v>
      </c>
      <c r="C964" s="4">
        <f>IF(OR(INDEX($AH$2:$AH$1001,MATCH(ROWS($AG$2:AG964),$AG$2:$AG$1001,0),1)&gt;=100000,INDEX($AN$1005:$BO$1005,1,MATCH(COLUMNS($AN$1006:AO1006),$AN$1006:$BO$1006,0))&gt;=100000), " ",IF(INDEX($AN$2:$BO$1001,MATCH(ROWS($AG$2:AG964),$AG$2:$AG$1001,0),MATCH(COLUMNS($AN$1006:AO1006),$AN$1006:$BO$1006,0)), HYPERLINK("#",""), HYPERLINK(CONCATENATE("#Metadata!", ADDRESS(INDEX($AI$2:$AI$1001,MATCH(ROWS($AG$2:AG964),$AG$2:$AG$1001,0),0), INDEX($AN$1004:$BO$1004,1,MATCH(COLUMNS($AN$1006:AO1006),$AN$1006:$BO$1006,0)))),"Fix")))</f>
        <v>0</v>
      </c>
      <c r="D964" s="4">
        <f>IF(OR(INDEX($AH$2:$AH$1001,MATCH(ROWS($AG$2:AG964),$AG$2:$AG$1001,0),1)&gt;=100000,INDEX($AN$1005:$BO$1005,1,MATCH(COLUMNS($AN$1006:AP1006),$AN$1006:$BO$1006,0))&gt;=100000), " ",IF(INDEX($AN$2:$BO$1001,MATCH(ROWS($AG$2:AG964),$AG$2:$AG$1001,0),MATCH(COLUMNS($AN$1006:AP1006),$AN$1006:$BO$1006,0)), HYPERLINK("#",""), HYPERLINK(CONCATENATE("#Metadata!", ADDRESS(INDEX($AI$2:$AI$1001,MATCH(ROWS($AG$2:AG964),$AG$2:$AG$1001,0),0), INDEX($AN$1004:$BO$1004,1,MATCH(COLUMNS($AN$1006:AP1006),$AN$1006:$BO$1006,0)))),"Fix")))</f>
        <v>0</v>
      </c>
      <c r="E964" s="4">
        <f>IF(OR(INDEX($AH$2:$AH$1001,MATCH(ROWS($AG$2:AG964),$AG$2:$AG$1001,0),1)&gt;=100000,INDEX($AN$1005:$BO$1005,1,MATCH(COLUMNS($AN$1006:AQ1006),$AN$1006:$BO$1006,0))&gt;=100000), " ",IF(INDEX($AN$2:$BO$1001,MATCH(ROWS($AG$2:AG964),$AG$2:$AG$1001,0),MATCH(COLUMNS($AN$1006:AQ1006),$AN$1006:$BO$1006,0)), HYPERLINK("#",""), HYPERLINK(CONCATENATE("#Metadata!", ADDRESS(INDEX($AI$2:$AI$1001,MATCH(ROWS($AG$2:AG964),$AG$2:$AG$1001,0),0), INDEX($AN$1004:$BO$1004,1,MATCH(COLUMNS($AN$1006:AQ1006),$AN$1006:$BO$1006,0)))),"Fix")))</f>
        <v>0</v>
      </c>
      <c r="F964" s="4">
        <f>IF(OR(INDEX($AH$2:$AH$1001,MATCH(ROWS($AG$2:AG964),$AG$2:$AG$1001,0),1)&gt;=100000,INDEX($AN$1005:$BO$1005,1,MATCH(COLUMNS($AN$1006:AR1006),$AN$1006:$BO$1006,0))&gt;=100000), " ",IF(INDEX($AN$2:$BO$1001,MATCH(ROWS($AG$2:AG964),$AG$2:$AG$1001,0),MATCH(COLUMNS($AN$1006:AR1006),$AN$1006:$BO$1006,0)), HYPERLINK("#",""), HYPERLINK(CONCATENATE("#Metadata!", ADDRESS(INDEX($AI$2:$AI$1001,MATCH(ROWS($AG$2:AG964),$AG$2:$AG$1001,0),0), INDEX($AN$1004:$BO$1004,1,MATCH(COLUMNS($AN$1006:AR1006),$AN$1006:$BO$1006,0)))),"Fix")))</f>
        <v>0</v>
      </c>
      <c r="G964" s="4">
        <f>IF(OR(INDEX($AH$2:$AH$1001,MATCH(ROWS($AG$2:AG964),$AG$2:$AG$1001,0),1)&gt;=100000,INDEX($AN$1005:$BO$1005,1,MATCH(COLUMNS($AN$1006:AS1006),$AN$1006:$BO$1006,0))&gt;=100000), " ",IF(INDEX($AN$2:$BO$1001,MATCH(ROWS($AG$2:AG964),$AG$2:$AG$1001,0),MATCH(COLUMNS($AN$1006:AS1006),$AN$1006:$BO$1006,0)), HYPERLINK("#",""), HYPERLINK(CONCATENATE("#Metadata!", ADDRESS(INDEX($AI$2:$AI$1001,MATCH(ROWS($AG$2:AG964),$AG$2:$AG$1001,0),0), INDEX($AN$1004:$BO$1004,1,MATCH(COLUMNS($AN$1006:AS1006),$AN$1006:$BO$1006,0)))),"Fix")))</f>
        <v>0</v>
      </c>
      <c r="H964" s="4">
        <f>IF(OR(INDEX($AH$2:$AH$1001,MATCH(ROWS($AG$2:AG964),$AG$2:$AG$1001,0),1)&gt;=100000,INDEX($AN$1005:$BO$1005,1,MATCH(COLUMNS($AN$1006:AT1006),$AN$1006:$BO$1006,0))&gt;=100000), " ",IF(INDEX($AN$2:$BO$1001,MATCH(ROWS($AG$2:AG964),$AG$2:$AG$1001,0),MATCH(COLUMNS($AN$1006:AT1006),$AN$1006:$BO$1006,0)), HYPERLINK("#",""), HYPERLINK(CONCATENATE("#Metadata!", ADDRESS(INDEX($AI$2:$AI$1001,MATCH(ROWS($AG$2:AG964),$AG$2:$AG$1001,0),0), INDEX($AN$1004:$BO$1004,1,MATCH(COLUMNS($AN$1006:AT1006),$AN$1006:$BO$1006,0)))),"Fix")))</f>
        <v>0</v>
      </c>
      <c r="I964" s="4">
        <f>IF(OR(INDEX($AH$2:$AH$1001,MATCH(ROWS($AG$2:AG964),$AG$2:$AG$1001,0),1)&gt;=100000,INDEX($AN$1005:$BO$1005,1,MATCH(COLUMNS($AN$1006:AU1006),$AN$1006:$BO$1006,0))&gt;=100000), " ",IF(INDEX($AN$2:$BO$1001,MATCH(ROWS($AG$2:AG964),$AG$2:$AG$1001,0),MATCH(COLUMNS($AN$1006:AU1006),$AN$1006:$BO$1006,0)), HYPERLINK("#",""), HYPERLINK(CONCATENATE("#Metadata!", ADDRESS(INDEX($AI$2:$AI$1001,MATCH(ROWS($AG$2:AG964),$AG$2:$AG$1001,0),0), INDEX($AN$1004:$BO$1004,1,MATCH(COLUMNS($AN$1006:AU1006),$AN$1006:$BO$1006,0)))),"Fix")))</f>
        <v>0</v>
      </c>
      <c r="J964" s="4">
        <f>IF(OR(INDEX($AH$2:$AH$1001,MATCH(ROWS($AG$2:AG964),$AG$2:$AG$1001,0),1)&gt;=100000,INDEX($AN$1005:$BO$1005,1,MATCH(COLUMNS($AN$1006:AV1006),$AN$1006:$BO$1006,0))&gt;=100000), " ",IF(INDEX($AN$2:$BO$1001,MATCH(ROWS($AG$2:AG964),$AG$2:$AG$1001,0),MATCH(COLUMNS($AN$1006:AV1006),$AN$1006:$BO$1006,0)), HYPERLINK("#",""), HYPERLINK(CONCATENATE("#Metadata!", ADDRESS(INDEX($AI$2:$AI$1001,MATCH(ROWS($AG$2:AG964),$AG$2:$AG$1001,0),0), INDEX($AN$1004:$BO$1004,1,MATCH(COLUMNS($AN$1006:AV1006),$AN$1006:$BO$1006,0)))),"Fix")))</f>
        <v>0</v>
      </c>
      <c r="K964" s="4">
        <f>IF(OR(INDEX($AH$2:$AH$1001,MATCH(ROWS($AG$2:AG964),$AG$2:$AG$1001,0),1)&gt;=100000,INDEX($AN$1005:$BO$1005,1,MATCH(COLUMNS($AN$1006:AW1006),$AN$1006:$BO$1006,0))&gt;=100000), " ",IF(INDEX($AN$2:$BO$1001,MATCH(ROWS($AG$2:AG964),$AG$2:$AG$1001,0),MATCH(COLUMNS($AN$1006:AW1006),$AN$1006:$BO$1006,0)), HYPERLINK("#",""), HYPERLINK(CONCATENATE("#Metadata!", ADDRESS(INDEX($AI$2:$AI$1001,MATCH(ROWS($AG$2:AG964),$AG$2:$AG$1001,0),0), INDEX($AN$1004:$BO$1004,1,MATCH(COLUMNS($AN$1006:AW1006),$AN$1006:$BO$1006,0)))),"Fix")))</f>
        <v>0</v>
      </c>
      <c r="L964" s="4">
        <f>IF(OR(INDEX($AH$2:$AH$1001,MATCH(ROWS($AG$2:AG964),$AG$2:$AG$1001,0),1)&gt;=100000,INDEX($AN$1005:$BO$1005,1,MATCH(COLUMNS($AN$1006:AX1006),$AN$1006:$BO$1006,0))&gt;=100000), " ",IF(INDEX($AN$2:$BO$1001,MATCH(ROWS($AG$2:AG964),$AG$2:$AG$1001,0),MATCH(COLUMNS($AN$1006:AX1006),$AN$1006:$BO$1006,0)), HYPERLINK("#",""), HYPERLINK(CONCATENATE("#Metadata!", ADDRESS(INDEX($AI$2:$AI$1001,MATCH(ROWS($AG$2:AG964),$AG$2:$AG$1001,0),0), INDEX($AN$1004:$BO$1004,1,MATCH(COLUMNS($AN$1006:AX1006),$AN$1006:$BO$1006,0)))),"Fix")))</f>
        <v>0</v>
      </c>
      <c r="M964" s="4">
        <f>IF(OR(INDEX($AH$2:$AH$1001,MATCH(ROWS($AG$2:AG964),$AG$2:$AG$1001,0),1)&gt;=100000,INDEX($AN$1005:$BO$1005,1,MATCH(COLUMNS($AN$1006:AY1006),$AN$1006:$BO$1006,0))&gt;=100000), " ",IF(INDEX($AN$2:$BO$1001,MATCH(ROWS($AG$2:AG964),$AG$2:$AG$1001,0),MATCH(COLUMNS($AN$1006:AY1006),$AN$1006:$BO$1006,0)), HYPERLINK("#",""), HYPERLINK(CONCATENATE("#Metadata!", ADDRESS(INDEX($AI$2:$AI$1001,MATCH(ROWS($AG$2:AG964),$AG$2:$AG$1001,0),0), INDEX($AN$1004:$BO$1004,1,MATCH(COLUMNS($AN$1006:AY1006),$AN$1006:$BO$1006,0)))),"Fix")))</f>
        <v>0</v>
      </c>
      <c r="N964" s="4">
        <f>IF(OR(INDEX($AH$2:$AH$1001,MATCH(ROWS($AG$2:AG964),$AG$2:$AG$1001,0),1)&gt;=100000,INDEX($AN$1005:$BO$1005,1,MATCH(COLUMNS($AN$1006:AZ1006),$AN$1006:$BO$1006,0))&gt;=100000), " ",IF(INDEX($AN$2:$BO$1001,MATCH(ROWS($AG$2:AG964),$AG$2:$AG$1001,0),MATCH(COLUMNS($AN$1006:AZ1006),$AN$1006:$BO$1006,0)), HYPERLINK("#",""), HYPERLINK(CONCATENATE("#Metadata!", ADDRESS(INDEX($AI$2:$AI$1001,MATCH(ROWS($AG$2:AG964),$AG$2:$AG$1001,0),0), INDEX($AN$1004:$BO$1004,1,MATCH(COLUMNS($AN$1006:AZ1006),$AN$1006:$BO$1006,0)))),"Fix")))</f>
        <v>0</v>
      </c>
      <c r="O964" s="4">
        <f>IF(OR(INDEX($AH$2:$AH$1001,MATCH(ROWS($AG$2:AG964),$AG$2:$AG$1001,0),1)&gt;=100000,INDEX($AN$1005:$BO$1005,1,MATCH(COLUMNS($AN$1006:BA1006),$AN$1006:$BO$1006,0))&gt;=100000), " ",IF(INDEX($AN$2:$BO$1001,MATCH(ROWS($AG$2:AG964),$AG$2:$AG$1001,0),MATCH(COLUMNS($AN$1006:BA1006),$AN$1006:$BO$1006,0)), HYPERLINK("#",""), HYPERLINK(CONCATENATE("#Metadata!", ADDRESS(INDEX($AI$2:$AI$1001,MATCH(ROWS($AG$2:AG964),$AG$2:$AG$1001,0),0), INDEX($AN$1004:$BO$1004,1,MATCH(COLUMNS($AN$1006:BA1006),$AN$1006:$BO$1006,0)))),"Fix")))</f>
        <v>0</v>
      </c>
      <c r="P964" s="4">
        <f>IF(OR(INDEX($AH$2:$AH$1001,MATCH(ROWS($AG$2:AG964),$AG$2:$AG$1001,0),1)&gt;=100000,INDEX($AN$1005:$BO$1005,1,MATCH(COLUMNS($AN$1006:BB1006),$AN$1006:$BO$1006,0))&gt;=100000), " ",IF(INDEX($AN$2:$BO$1001,MATCH(ROWS($AG$2:AG964),$AG$2:$AG$1001,0),MATCH(COLUMNS($AN$1006:BB1006),$AN$1006:$BO$1006,0)), HYPERLINK("#",""), HYPERLINK(CONCATENATE("#Metadata!", ADDRESS(INDEX($AI$2:$AI$1001,MATCH(ROWS($AG$2:AG964),$AG$2:$AG$1001,0),0), INDEX($AN$1004:$BO$1004,1,MATCH(COLUMNS($AN$1006:BB1006),$AN$1006:$BO$1006,0)))),"Fix")))</f>
        <v>0</v>
      </c>
      <c r="Q964" s="4">
        <f>IF(OR(INDEX($AH$2:$AH$1001,MATCH(ROWS($AG$2:AG964),$AG$2:$AG$1001,0),1)&gt;=100000,INDEX($AN$1005:$BO$1005,1,MATCH(COLUMNS($AN$1006:BC1006),$AN$1006:$BO$1006,0))&gt;=100000), " ",IF(INDEX($AN$2:$BO$1001,MATCH(ROWS($AG$2:AG964),$AG$2:$AG$1001,0),MATCH(COLUMNS($AN$1006:BC1006),$AN$1006:$BO$1006,0)), HYPERLINK("#",""), HYPERLINK(CONCATENATE("#Metadata!", ADDRESS(INDEX($AI$2:$AI$1001,MATCH(ROWS($AG$2:AG964),$AG$2:$AG$1001,0),0), INDEX($AN$1004:$BO$1004,1,MATCH(COLUMNS($AN$1006:BC1006),$AN$1006:$BO$1006,0)))),"Fix")))</f>
        <v>0</v>
      </c>
      <c r="R964" s="4">
        <f>IF(OR(INDEX($AH$2:$AH$1001,MATCH(ROWS($AG$2:AG964),$AG$2:$AG$1001,0),1)&gt;=100000,INDEX($AN$1005:$BO$1005,1,MATCH(COLUMNS($AN$1006:BD1006),$AN$1006:$BO$1006,0))&gt;=100000), " ",IF(INDEX($AN$2:$BO$1001,MATCH(ROWS($AG$2:AG964),$AG$2:$AG$1001,0),MATCH(COLUMNS($AN$1006:BD1006),$AN$1006:$BO$1006,0)), HYPERLINK("#",""), HYPERLINK(CONCATENATE("#Metadata!", ADDRESS(INDEX($AI$2:$AI$1001,MATCH(ROWS($AG$2:AG964),$AG$2:$AG$1001,0),0), INDEX($AN$1004:$BO$1004,1,MATCH(COLUMNS($AN$1006:BD1006),$AN$1006:$BO$1006,0)))),"Fix")))</f>
        <v>0</v>
      </c>
      <c r="S964" s="4">
        <f>IF(OR(INDEX($AH$2:$AH$1001,MATCH(ROWS($AG$2:AG964),$AG$2:$AG$1001,0),1)&gt;=100000,INDEX($AN$1005:$BO$1005,1,MATCH(COLUMNS($AN$1006:BE1006),$AN$1006:$BO$1006,0))&gt;=100000), " ",IF(INDEX($AN$2:$BO$1001,MATCH(ROWS($AG$2:AG964),$AG$2:$AG$1001,0),MATCH(COLUMNS($AN$1006:BE1006),$AN$1006:$BO$1006,0)), HYPERLINK("#",""), HYPERLINK(CONCATENATE("#Metadata!", ADDRESS(INDEX($AI$2:$AI$1001,MATCH(ROWS($AG$2:AG964),$AG$2:$AG$1001,0),0), INDEX($AN$1004:$BO$1004,1,MATCH(COLUMNS($AN$1006:BE1006),$AN$1006:$BO$1006,0)))),"Fix")))</f>
        <v>0</v>
      </c>
      <c r="T964" s="4">
        <f>IF(OR(INDEX($AH$2:$AH$1001,MATCH(ROWS($AG$2:AG964),$AG$2:$AG$1001,0),1)&gt;=100000,INDEX($AN$1005:$BO$1005,1,MATCH(COLUMNS($AN$1006:BF1006),$AN$1006:$BO$1006,0))&gt;=100000), " ",IF(INDEX($AN$2:$BO$1001,MATCH(ROWS($AG$2:AG964),$AG$2:$AG$1001,0),MATCH(COLUMNS($AN$1006:BF1006),$AN$1006:$BO$1006,0)), HYPERLINK("#",""), HYPERLINK(CONCATENATE("#Metadata!", ADDRESS(INDEX($AI$2:$AI$1001,MATCH(ROWS($AG$2:AG964),$AG$2:$AG$1001,0),0), INDEX($AN$1004:$BO$1004,1,MATCH(COLUMNS($AN$1006:BF1006),$AN$1006:$BO$1006,0)))),"Fix")))</f>
        <v>0</v>
      </c>
      <c r="U964" s="4">
        <f>IF(OR(INDEX($AH$2:$AH$1001,MATCH(ROWS($AG$2:AG964),$AG$2:$AG$1001,0),1)&gt;=100000,INDEX($AN$1005:$BO$1005,1,MATCH(COLUMNS($AN$1006:BG1006),$AN$1006:$BO$1006,0))&gt;=100000), " ",IF(INDEX($AN$2:$BO$1001,MATCH(ROWS($AG$2:AG964),$AG$2:$AG$1001,0),MATCH(COLUMNS($AN$1006:BG1006),$AN$1006:$BO$1006,0)), HYPERLINK("#",""), HYPERLINK(CONCATENATE("#Metadata!", ADDRESS(INDEX($AI$2:$AI$1001,MATCH(ROWS($AG$2:AG964),$AG$2:$AG$1001,0),0), INDEX($AN$1004:$BO$1004,1,MATCH(COLUMNS($AN$1006:BG1006),$AN$1006:$BO$1006,0)))),"Fix")))</f>
        <v>0</v>
      </c>
      <c r="V964" s="4">
        <f>IF(OR(INDEX($AH$2:$AH$1001,MATCH(ROWS($AG$2:AG964),$AG$2:$AG$1001,0),1)&gt;=100000,INDEX($AN$1005:$BO$1005,1,MATCH(COLUMNS($AN$1006:BH1006),$AN$1006:$BO$1006,0))&gt;=100000), " ",IF(INDEX($AN$2:$BO$1001,MATCH(ROWS($AG$2:AG964),$AG$2:$AG$1001,0),MATCH(COLUMNS($AN$1006:BH1006),$AN$1006:$BO$1006,0)), HYPERLINK("#",""), HYPERLINK(CONCATENATE("#Metadata!", ADDRESS(INDEX($AI$2:$AI$1001,MATCH(ROWS($AG$2:AG964),$AG$2:$AG$1001,0),0), INDEX($AN$1004:$BO$1004,1,MATCH(COLUMNS($AN$1006:BH1006),$AN$1006:$BO$1006,0)))),"Fix")))</f>
        <v>0</v>
      </c>
      <c r="W964" s="4">
        <f>IF(OR(INDEX($AH$2:$AH$1001,MATCH(ROWS($AG$2:AG964),$AG$2:$AG$1001,0),1)&gt;=100000,INDEX($AN$1005:$BO$1005,1,MATCH(COLUMNS($AN$1006:BI1006),$AN$1006:$BO$1006,0))&gt;=100000), " ",IF(INDEX($AN$2:$BO$1001,MATCH(ROWS($AG$2:AG964),$AG$2:$AG$1001,0),MATCH(COLUMNS($AN$1006:BI1006),$AN$1006:$BO$1006,0)), HYPERLINK("#",""), HYPERLINK(CONCATENATE("#Metadata!", ADDRESS(INDEX($AI$2:$AI$1001,MATCH(ROWS($AG$2:AG964),$AG$2:$AG$1001,0),0), INDEX($AN$1004:$BO$1004,1,MATCH(COLUMNS($AN$1006:BI1006),$AN$1006:$BO$1006,0)))),"Fix")))</f>
        <v>0</v>
      </c>
      <c r="X964" s="4">
        <f>IF(OR(INDEX($AH$2:$AH$1001,MATCH(ROWS($AG$2:AG964),$AG$2:$AG$1001,0),1)&gt;=100000,INDEX($AN$1005:$BO$1005,1,MATCH(COLUMNS($AN$1006:BJ1006),$AN$1006:$BO$1006,0))&gt;=100000), " ",IF(INDEX($AN$2:$BO$1001,MATCH(ROWS($AG$2:AG964),$AG$2:$AG$1001,0),MATCH(COLUMNS($AN$1006:BJ1006),$AN$1006:$BO$1006,0)), HYPERLINK("#",""), HYPERLINK(CONCATENATE("#Metadata!", ADDRESS(INDEX($AI$2:$AI$1001,MATCH(ROWS($AG$2:AG964),$AG$2:$AG$1001,0),0), INDEX($AN$1004:$BO$1004,1,MATCH(COLUMNS($AN$1006:BJ1006),$AN$1006:$BO$1006,0)))),"Fix")))</f>
        <v>0</v>
      </c>
      <c r="Y964" s="4">
        <f>IF(OR(INDEX($AH$2:$AH$1001,MATCH(ROWS($AG$2:AG964),$AG$2:$AG$1001,0),1)&gt;=100000,INDEX($AN$1005:$BO$1005,1,MATCH(COLUMNS($AN$1006:BK1006),$AN$1006:$BO$1006,0))&gt;=100000), " ",IF(INDEX($AN$2:$BO$1001,MATCH(ROWS($AG$2:AG964),$AG$2:$AG$1001,0),MATCH(COLUMNS($AN$1006:BK1006),$AN$1006:$BO$1006,0)), HYPERLINK("#",""), HYPERLINK(CONCATENATE("#Metadata!", ADDRESS(INDEX($AI$2:$AI$1001,MATCH(ROWS($AG$2:AG964),$AG$2:$AG$1001,0),0), INDEX($AN$1004:$BO$1004,1,MATCH(COLUMNS($AN$1006:BK1006),$AN$1006:$BO$1006,0)))),"Fix")))</f>
        <v>0</v>
      </c>
      <c r="Z964" s="4">
        <f>IF(OR(INDEX($AH$2:$AH$1001,MATCH(ROWS($AG$2:AG964),$AG$2:$AG$1001,0),1)&gt;=100000,INDEX($AN$1005:$BO$1005,1,MATCH(COLUMNS($AN$1006:BL1006),$AN$1006:$BO$1006,0))&gt;=100000), " ",IF(INDEX($AN$2:$BO$1001,MATCH(ROWS($AG$2:AG964),$AG$2:$AG$1001,0),MATCH(COLUMNS($AN$1006:BL1006),$AN$1006:$BO$1006,0)), HYPERLINK("#",""), HYPERLINK(CONCATENATE("#Metadata!", ADDRESS(INDEX($AI$2:$AI$1001,MATCH(ROWS($AG$2:AG964),$AG$2:$AG$1001,0),0), INDEX($AN$1004:$BO$1004,1,MATCH(COLUMNS($AN$1006:BL1006),$AN$1006:$BO$1006,0)))),"Fix")))</f>
        <v>0</v>
      </c>
      <c r="AA964" s="4">
        <f>IF(OR(INDEX($AH$2:$AH$1001,MATCH(ROWS($AG$2:AG964),$AG$2:$AG$1001,0),1)&gt;=100000,INDEX($AN$1005:$BO$1005,1,MATCH(COLUMNS($AN$1006:BM1006),$AN$1006:$BO$1006,0))&gt;=100000), " ",IF(INDEX($AN$2:$BO$1001,MATCH(ROWS($AG$2:AG964),$AG$2:$AG$1001,0),MATCH(COLUMNS($AN$1006:BM1006),$AN$1006:$BO$1006,0)), HYPERLINK("#",""), HYPERLINK(CONCATENATE("#Metadata!", ADDRESS(INDEX($AI$2:$AI$1001,MATCH(ROWS($AG$2:AG964),$AG$2:$AG$1001,0),0), INDEX($AN$1004:$BO$1004,1,MATCH(COLUMNS($AN$1006:BM1006),$AN$1006:$BO$1006,0)))),"Fix")))</f>
        <v>0</v>
      </c>
      <c r="AB964" s="4">
        <f>IF(OR(INDEX($AH$2:$AH$1001,MATCH(ROWS($AG$2:AG964),$AG$2:$AG$1001,0),1)&gt;=100000,INDEX($AN$1005:$BO$1005,1,MATCH(COLUMNS($AN$1006:BN1006),$AN$1006:$BO$1006,0))&gt;=100000), " ",IF(INDEX($AN$2:$BO$1001,MATCH(ROWS($AG$2:AG964),$AG$2:$AG$1001,0),MATCH(COLUMNS($AN$1006:BN1006),$AN$1006:$BO$1006,0)), HYPERLINK("#",""), HYPERLINK(CONCATENATE("#Metadata!", ADDRESS(INDEX($AI$2:$AI$1001,MATCH(ROWS($AG$2:AG964),$AG$2:$AG$1001,0),0), INDEX($AN$1004:$BO$1004,1,MATCH(COLUMNS($AN$1006:BN1006),$AN$1006:$BO$1006,0)))),"Fix")))</f>
        <v>0</v>
      </c>
      <c r="AC964" s="4">
        <f>IF(OR(INDEX($AH$2:$AH$1001,MATCH(ROWS($AG$2:AG964),$AG$2:$AG$1001,0),1)&gt;=100000,INDEX($AN$1005:$BO$1005,1,MATCH(COLUMNS($AN$1006:BO1006),$AN$1006:$BO$1006,0))&gt;=100000), " ",IF(INDEX($AN$2:$BO$1001,MATCH(ROWS($AG$2:AG964),$AG$2:$AG$1001,0),MATCH(COLUMNS($AN$1006:BO1006),$AN$1006:$BO$1006,0)), HYPERLINK("#",""), HYPERLINK(CONCATENATE("#Metadata!", ADDRESS(INDEX($AI$2:$AI$1001,MATCH(ROWS($AG$2:AG964),$AG$2:$AG$1001,0),0), INDEX($AN$1004:$BO$1004,1,MATCH(COLUMNS($AN$1006:BO1006),$AN$1006:$BO$1006,0)))),"Fix")))</f>
        <v>0</v>
      </c>
      <c r="AG964">
        <v>0</v>
      </c>
      <c r="AH964">
        <v>0</v>
      </c>
      <c r="AI964">
        <v>0</v>
      </c>
      <c r="AJ964">
        <f>IF(AK964,TRUE,AND(AN964:BO964))</f>
        <v>0</v>
      </c>
      <c r="AK964">
        <f>COUNTBLANK(Metadata!B964:AC964)=COLUMNS(Metadata!B964:AC964)</f>
        <v>0</v>
      </c>
      <c r="AL964">
        <v>0</v>
      </c>
      <c r="AN964">
        <f>AND(IF(Metadata!B964="",FALSE,TRUE),COUNTIF(Metadata!B:B, Metadata!B964) = 1,NOT(ISERROR(SUMPRODUCT(SEARCH(MID(Metadata!B964,ROW(INDIRECT("1:"&amp;LEN(Metadata!B964))), 1),"0123456789abcdefghijklmnopqrstuvwxyzABCDEFGHIJKLMNOPQRSTUVWXYZ.")))))</f>
        <v>0</v>
      </c>
      <c r="AO964">
        <f>IF(Metadata!C964="",FALSE,TRUE)</f>
        <v>0</v>
      </c>
      <c r="AP964">
        <f>IF(Metadata!D964="",FALSE,TRUE)</f>
        <v>0</v>
      </c>
      <c r="AQ964">
        <f>OR(AND(IF(Metadata!E964="",FALSE,TRUE),OR(exact(Metadata!E964,"not collected"),exact(Metadata!E964,"not provided"),exact(Metadata!E964,"restricted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R964">
        <f>IF(Metadata!F964="",FALSE,TRUE)</f>
        <v>0</v>
      </c>
      <c r="AS964">
        <f>OR(AND(IF(Metadata!G964="",FALSE,TRUE),OR(exact(Metadata!G964,"not collected"),exact(Metadata!G964,"not provided"))),AND(IF(Metadata!G964="",FALSE,TRUE),OR(exact(Metadata!G964,"TRUE"),exact(Metadata!G964,"FALSE"))))</f>
        <v>0</v>
      </c>
      <c r="AT964">
        <f>OR(AND(IF(Metadata!H964="",FALSE,TRUE),OR(exact(Metadata!H964,"not collected"),exact(Metadata!H964,"not provided"),exact(Metadata!H964,"restricted access"))),AND(IF(Metadata!H964="",FALSE,ISNUMBER(VALUE(Metadata!H964))),Metadata!H964&gt;=-413.0))</f>
        <v>0</v>
      </c>
      <c r="AU964">
        <f>AND(IF(Metadata!I964="",FALSE,TRUE),exact(Metadata!I964,"meters"))</f>
        <v>0</v>
      </c>
      <c r="AV964">
        <f>AND(IF(Metadata!J964="",FALSE,TRUE),OR(exact(Metadata!J964,"Host-associated"),exact(Metadata!J964,"Free-living")))</f>
        <v>0</v>
      </c>
      <c r="AW964">
        <f>AND(IF(Metadata!K964="",FALSE,TRUE),OR(exact(Metadata!K964,"Animal"),exact(Metadata!K964,"Fungus"),exact(Metadata!K964,"Plant"),exact(Metadata!K964,"Saline"),exact(Metadata!K964,"Non-saline")))</f>
        <v>0</v>
      </c>
      <c r="AX964">
        <f>AND(IF(Metadata!L964="",FALSE,TRUE),OR(exact(Metadata!L964,"Plant secretion"),exact(Metadata!L964,"Plant rhizosphere"),exact(Metadata!L964,"Plant surface"),exact(Metadata!L964,"Plant corpus"),exact(Metadata!L964,"Fungus surface"),exact(Metadata!L964,"Fungus corpus"),exact(Metadata!L964,"Animal surface"),exact(Metadata!L964,"Animal proximal gut"),exact(Metadata!L964,"Animal corpus"),exact(Metadata!L964,"Animal distal gut"),exact(Metadata!L964,"Animal secretion"),exact(Metadata!L964,"Sub-surface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Y964">
        <f>IF(Metadata!M964="",FALSE,TRUE)</f>
        <v>0</v>
      </c>
      <c r="AZ964">
        <f>IF(Metadata!N964="",FALSE,TRUE)</f>
        <v>0</v>
      </c>
      <c r="BA964">
        <f>IF(Metadata!O964="",FALSE,TRUE)</f>
        <v>0</v>
      </c>
      <c r="BB964">
        <f>OR(AND(IF(Metadata!P964="",FALSE,TRUE),OR(exact(Metadata!P964,"not collected"),exact(Metadata!P964,"not provided"),exact(Metadata!P964,"restricted access"))),AND(IF(Metadata!P964="",FALSE,TRUE),OR(exact(Metadata!P964,"air"),exact(Metadata!P964,"built environment"),exact(Metadata!P964,"host-associated"),exact(Metadata!P964,"human-associated"),exact(Metadata!P964,"human-skin"),exact(Metadata!P964,"human-oral"),exact(Metadata!P964,"human-gut"),exact(Metadata!P964,"human-vaginal"),exact(Metadata!P964,"microbial mat/biofilm"),exact(Metadata!P964,"misc environment"),exact(Metadata!P964,"plant-associated"),exact(Metadata!P964,"sediment"),exact(Metadata!P964,"soil"),exact(Metadata!P964,"wastewater/sludge"),exact(Metadata!P964,"water"))))</f>
        <v>0</v>
      </c>
      <c r="BC964">
        <f>IF(Metadata!Q964="",FALSE,TRUE)</f>
        <v>0</v>
      </c>
      <c r="BD964">
        <f>IF(Metadata!R964="",FALSE,TRUE)</f>
        <v>0</v>
      </c>
      <c r="BE964">
        <f>OR(AND(IF(Metadata!S964="",FALSE,TRUE),OR(exact(Metadata!S964,"not collected"),exact(Metadata!S964,"not provided"),exact(Metadata!S964,"restricted access"))),AND(IF(Metadata!S964="",FALSE,ISNUMBER(VALUE(Metadata!S964))),Metadata!S964&gt;=-90.00,Metadata!S964&lt;=90.00))</f>
        <v>0</v>
      </c>
      <c r="BF964">
        <f>AND(IF(Metadata!T964="",FALSE,TRUE),exact(Metadata!T964,"Decimal degrees"))</f>
        <v>0</v>
      </c>
      <c r="BG964">
        <f>OR(AND(IF(Metadata!U964="",FALSE,TRUE),OR(exact(Metadata!U964,"not collected"),exact(Metadata!U964,"not provided"),exact(Metadata!U964,"restricted access"))),AND(IF(Metadata!U964="",FALSE,ISNUMBER(VALUE(Metadata!U964))),Metadata!U964&gt;=-180.00,Metadata!U964&lt;=180.00))</f>
        <v>0</v>
      </c>
      <c r="BH964">
        <f>AND(IF(Metadata!V964="",FALSE,TRUE),exact(Metadata!V964,"Decimal degrees"))</f>
        <v>0</v>
      </c>
      <c r="BI964">
        <f>IF(Metadata!W964="",FALSE,TRUE)</f>
        <v>0</v>
      </c>
      <c r="BJ964">
        <f>OR(AND(IF(Metadata!X964="",FALSE,TRUE),OR(exact(Metadata!X964,"not collected"),exact(Metadata!X964,"not provided"),exact(Metadata!X964,"restricted access"))),AND(IF(Metadata!X964="",FALSE,TRUE),OR(exact(Metadata!X964,"TRUE"),exact(Metadata!X964,"FALSE"))))</f>
        <v>0</v>
      </c>
      <c r="BK964">
        <f>AND(IF(Metadata!Y964="",FALSE,TRUE),exact(Metadata!Y964,"other"))</f>
        <v>0</v>
      </c>
      <c r="BL964">
        <f>IF(Metadata!Z964="",FALSE,TRUE)</f>
        <v>0</v>
      </c>
      <c r="BM964">
        <f>OR(AND(IF(Metadata!AA964="",FALSE,TRUE),OR(exact(Metadata!AA964,"not collected"),exact(Metadata!AA964,"not provided"))),AND(IF(Metadata!AA964="",FALSE,IF(ISERROR(INT(Metadata!AA964)),FALSE,INT(Metadata!AA964)=Metadata!AA964)),Metadata!AA964&gt;0))</f>
        <v>0</v>
      </c>
      <c r="BN964">
        <f>AND(IF(Metadata!AB964="",FALSE,TRUE),exact(Metadata!AB964,"Not applicable"))</f>
        <v>0</v>
      </c>
      <c r="BO964">
        <f>IF(Metadata!AC964="",FALSE,TRUE)</f>
        <v>0</v>
      </c>
    </row>
    <row r="965" spans="1:67">
      <c r="A965" s="5">
        <f>IF(B965=" "," ",HYPERLINK(CONCATENATE("#metadata!",ADDRESS(INDEX($AI$2:$AI$1001,MATCH(ROWS($AG$2:AG965),$AG$2:$AG$1001,0),0),1)),INDEX($AL$2:$AL$1001,MATCH(ROWS($AG$2:AG965),$AG$2:$AG$1001,0),0)))</f>
        <v>0</v>
      </c>
      <c r="B965" s="4">
        <f>IF(OR(INDEX($AH$2:$AH$1001,MATCH(ROWS($AG$2:AG965),$AG$2:$AG$1001,0),1)&gt;=100000,INDEX($AN$1005:$BO$1005,1,MATCH(COLUMNS($AN$1006:AN1006),$AN$1006:$BO$1006,0))&gt;=100000), " ",IF(INDEX($AN$2:$BO$1001,MATCH(ROWS($AG$2:AG965),$AG$2:$AG$1001,0),MATCH(COLUMNS($AN$1006:AN1006),$AN$1006:$BO$1006,0)), HYPERLINK("#",""), HYPERLINK(CONCATENATE("#Metadata!", ADDRESS(INDEX($AI$2:$AI$1001,MATCH(ROWS($AG$2:AG965),$AG$2:$AG$1001,0),0), INDEX($AN$1004:$BO$1004,1,MATCH(COLUMNS($AN$1006:AN1006),$AN$1006:$BO$1006,0)))),"Fix")))</f>
        <v>0</v>
      </c>
      <c r="C965" s="4">
        <f>IF(OR(INDEX($AH$2:$AH$1001,MATCH(ROWS($AG$2:AG965),$AG$2:$AG$1001,0),1)&gt;=100000,INDEX($AN$1005:$BO$1005,1,MATCH(COLUMNS($AN$1006:AO1006),$AN$1006:$BO$1006,0))&gt;=100000), " ",IF(INDEX($AN$2:$BO$1001,MATCH(ROWS($AG$2:AG965),$AG$2:$AG$1001,0),MATCH(COLUMNS($AN$1006:AO1006),$AN$1006:$BO$1006,0)), HYPERLINK("#",""), HYPERLINK(CONCATENATE("#Metadata!", ADDRESS(INDEX($AI$2:$AI$1001,MATCH(ROWS($AG$2:AG965),$AG$2:$AG$1001,0),0), INDEX($AN$1004:$BO$1004,1,MATCH(COLUMNS($AN$1006:AO1006),$AN$1006:$BO$1006,0)))),"Fix")))</f>
        <v>0</v>
      </c>
      <c r="D965" s="4">
        <f>IF(OR(INDEX($AH$2:$AH$1001,MATCH(ROWS($AG$2:AG965),$AG$2:$AG$1001,0),1)&gt;=100000,INDEX($AN$1005:$BO$1005,1,MATCH(COLUMNS($AN$1006:AP1006),$AN$1006:$BO$1006,0))&gt;=100000), " ",IF(INDEX($AN$2:$BO$1001,MATCH(ROWS($AG$2:AG965),$AG$2:$AG$1001,0),MATCH(COLUMNS($AN$1006:AP1006),$AN$1006:$BO$1006,0)), HYPERLINK("#",""), HYPERLINK(CONCATENATE("#Metadata!", ADDRESS(INDEX($AI$2:$AI$1001,MATCH(ROWS($AG$2:AG965),$AG$2:$AG$1001,0),0), INDEX($AN$1004:$BO$1004,1,MATCH(COLUMNS($AN$1006:AP1006),$AN$1006:$BO$1006,0)))),"Fix")))</f>
        <v>0</v>
      </c>
      <c r="E965" s="4">
        <f>IF(OR(INDEX($AH$2:$AH$1001,MATCH(ROWS($AG$2:AG965),$AG$2:$AG$1001,0),1)&gt;=100000,INDEX($AN$1005:$BO$1005,1,MATCH(COLUMNS($AN$1006:AQ1006),$AN$1006:$BO$1006,0))&gt;=100000), " ",IF(INDEX($AN$2:$BO$1001,MATCH(ROWS($AG$2:AG965),$AG$2:$AG$1001,0),MATCH(COLUMNS($AN$1006:AQ1006),$AN$1006:$BO$1006,0)), HYPERLINK("#",""), HYPERLINK(CONCATENATE("#Metadata!", ADDRESS(INDEX($AI$2:$AI$1001,MATCH(ROWS($AG$2:AG965),$AG$2:$AG$1001,0),0), INDEX($AN$1004:$BO$1004,1,MATCH(COLUMNS($AN$1006:AQ1006),$AN$1006:$BO$1006,0)))),"Fix")))</f>
        <v>0</v>
      </c>
      <c r="F965" s="4">
        <f>IF(OR(INDEX($AH$2:$AH$1001,MATCH(ROWS($AG$2:AG965),$AG$2:$AG$1001,0),1)&gt;=100000,INDEX($AN$1005:$BO$1005,1,MATCH(COLUMNS($AN$1006:AR1006),$AN$1006:$BO$1006,0))&gt;=100000), " ",IF(INDEX($AN$2:$BO$1001,MATCH(ROWS($AG$2:AG965),$AG$2:$AG$1001,0),MATCH(COLUMNS($AN$1006:AR1006),$AN$1006:$BO$1006,0)), HYPERLINK("#",""), HYPERLINK(CONCATENATE("#Metadata!", ADDRESS(INDEX($AI$2:$AI$1001,MATCH(ROWS($AG$2:AG965),$AG$2:$AG$1001,0),0), INDEX($AN$1004:$BO$1004,1,MATCH(COLUMNS($AN$1006:AR1006),$AN$1006:$BO$1006,0)))),"Fix")))</f>
        <v>0</v>
      </c>
      <c r="G965" s="4">
        <f>IF(OR(INDEX($AH$2:$AH$1001,MATCH(ROWS($AG$2:AG965),$AG$2:$AG$1001,0),1)&gt;=100000,INDEX($AN$1005:$BO$1005,1,MATCH(COLUMNS($AN$1006:AS1006),$AN$1006:$BO$1006,0))&gt;=100000), " ",IF(INDEX($AN$2:$BO$1001,MATCH(ROWS($AG$2:AG965),$AG$2:$AG$1001,0),MATCH(COLUMNS($AN$1006:AS1006),$AN$1006:$BO$1006,0)), HYPERLINK("#",""), HYPERLINK(CONCATENATE("#Metadata!", ADDRESS(INDEX($AI$2:$AI$1001,MATCH(ROWS($AG$2:AG965),$AG$2:$AG$1001,0),0), INDEX($AN$1004:$BO$1004,1,MATCH(COLUMNS($AN$1006:AS1006),$AN$1006:$BO$1006,0)))),"Fix")))</f>
        <v>0</v>
      </c>
      <c r="H965" s="4">
        <f>IF(OR(INDEX($AH$2:$AH$1001,MATCH(ROWS($AG$2:AG965),$AG$2:$AG$1001,0),1)&gt;=100000,INDEX($AN$1005:$BO$1005,1,MATCH(COLUMNS($AN$1006:AT1006),$AN$1006:$BO$1006,0))&gt;=100000), " ",IF(INDEX($AN$2:$BO$1001,MATCH(ROWS($AG$2:AG965),$AG$2:$AG$1001,0),MATCH(COLUMNS($AN$1006:AT1006),$AN$1006:$BO$1006,0)), HYPERLINK("#",""), HYPERLINK(CONCATENATE("#Metadata!", ADDRESS(INDEX($AI$2:$AI$1001,MATCH(ROWS($AG$2:AG965),$AG$2:$AG$1001,0),0), INDEX($AN$1004:$BO$1004,1,MATCH(COLUMNS($AN$1006:AT1006),$AN$1006:$BO$1006,0)))),"Fix")))</f>
        <v>0</v>
      </c>
      <c r="I965" s="4">
        <f>IF(OR(INDEX($AH$2:$AH$1001,MATCH(ROWS($AG$2:AG965),$AG$2:$AG$1001,0),1)&gt;=100000,INDEX($AN$1005:$BO$1005,1,MATCH(COLUMNS($AN$1006:AU1006),$AN$1006:$BO$1006,0))&gt;=100000), " ",IF(INDEX($AN$2:$BO$1001,MATCH(ROWS($AG$2:AG965),$AG$2:$AG$1001,0),MATCH(COLUMNS($AN$1006:AU1006),$AN$1006:$BO$1006,0)), HYPERLINK("#",""), HYPERLINK(CONCATENATE("#Metadata!", ADDRESS(INDEX($AI$2:$AI$1001,MATCH(ROWS($AG$2:AG965),$AG$2:$AG$1001,0),0), INDEX($AN$1004:$BO$1004,1,MATCH(COLUMNS($AN$1006:AU1006),$AN$1006:$BO$1006,0)))),"Fix")))</f>
        <v>0</v>
      </c>
      <c r="J965" s="4">
        <f>IF(OR(INDEX($AH$2:$AH$1001,MATCH(ROWS($AG$2:AG965),$AG$2:$AG$1001,0),1)&gt;=100000,INDEX($AN$1005:$BO$1005,1,MATCH(COLUMNS($AN$1006:AV1006),$AN$1006:$BO$1006,0))&gt;=100000), " ",IF(INDEX($AN$2:$BO$1001,MATCH(ROWS($AG$2:AG965),$AG$2:$AG$1001,0),MATCH(COLUMNS($AN$1006:AV1006),$AN$1006:$BO$1006,0)), HYPERLINK("#",""), HYPERLINK(CONCATENATE("#Metadata!", ADDRESS(INDEX($AI$2:$AI$1001,MATCH(ROWS($AG$2:AG965),$AG$2:$AG$1001,0),0), INDEX($AN$1004:$BO$1004,1,MATCH(COLUMNS($AN$1006:AV1006),$AN$1006:$BO$1006,0)))),"Fix")))</f>
        <v>0</v>
      </c>
      <c r="K965" s="4">
        <f>IF(OR(INDEX($AH$2:$AH$1001,MATCH(ROWS($AG$2:AG965),$AG$2:$AG$1001,0),1)&gt;=100000,INDEX($AN$1005:$BO$1005,1,MATCH(COLUMNS($AN$1006:AW1006),$AN$1006:$BO$1006,0))&gt;=100000), " ",IF(INDEX($AN$2:$BO$1001,MATCH(ROWS($AG$2:AG965),$AG$2:$AG$1001,0),MATCH(COLUMNS($AN$1006:AW1006),$AN$1006:$BO$1006,0)), HYPERLINK("#",""), HYPERLINK(CONCATENATE("#Metadata!", ADDRESS(INDEX($AI$2:$AI$1001,MATCH(ROWS($AG$2:AG965),$AG$2:$AG$1001,0),0), INDEX($AN$1004:$BO$1004,1,MATCH(COLUMNS($AN$1006:AW1006),$AN$1006:$BO$1006,0)))),"Fix")))</f>
        <v>0</v>
      </c>
      <c r="L965" s="4">
        <f>IF(OR(INDEX($AH$2:$AH$1001,MATCH(ROWS($AG$2:AG965),$AG$2:$AG$1001,0),1)&gt;=100000,INDEX($AN$1005:$BO$1005,1,MATCH(COLUMNS($AN$1006:AX1006),$AN$1006:$BO$1006,0))&gt;=100000), " ",IF(INDEX($AN$2:$BO$1001,MATCH(ROWS($AG$2:AG965),$AG$2:$AG$1001,0),MATCH(COLUMNS($AN$1006:AX1006),$AN$1006:$BO$1006,0)), HYPERLINK("#",""), HYPERLINK(CONCATENATE("#Metadata!", ADDRESS(INDEX($AI$2:$AI$1001,MATCH(ROWS($AG$2:AG965),$AG$2:$AG$1001,0),0), INDEX($AN$1004:$BO$1004,1,MATCH(COLUMNS($AN$1006:AX1006),$AN$1006:$BO$1006,0)))),"Fix")))</f>
        <v>0</v>
      </c>
      <c r="M965" s="4">
        <f>IF(OR(INDEX($AH$2:$AH$1001,MATCH(ROWS($AG$2:AG965),$AG$2:$AG$1001,0),1)&gt;=100000,INDEX($AN$1005:$BO$1005,1,MATCH(COLUMNS($AN$1006:AY1006),$AN$1006:$BO$1006,0))&gt;=100000), " ",IF(INDEX($AN$2:$BO$1001,MATCH(ROWS($AG$2:AG965),$AG$2:$AG$1001,0),MATCH(COLUMNS($AN$1006:AY1006),$AN$1006:$BO$1006,0)), HYPERLINK("#",""), HYPERLINK(CONCATENATE("#Metadata!", ADDRESS(INDEX($AI$2:$AI$1001,MATCH(ROWS($AG$2:AG965),$AG$2:$AG$1001,0),0), INDEX($AN$1004:$BO$1004,1,MATCH(COLUMNS($AN$1006:AY1006),$AN$1006:$BO$1006,0)))),"Fix")))</f>
        <v>0</v>
      </c>
      <c r="N965" s="4">
        <f>IF(OR(INDEX($AH$2:$AH$1001,MATCH(ROWS($AG$2:AG965),$AG$2:$AG$1001,0),1)&gt;=100000,INDEX($AN$1005:$BO$1005,1,MATCH(COLUMNS($AN$1006:AZ1006),$AN$1006:$BO$1006,0))&gt;=100000), " ",IF(INDEX($AN$2:$BO$1001,MATCH(ROWS($AG$2:AG965),$AG$2:$AG$1001,0),MATCH(COLUMNS($AN$1006:AZ1006),$AN$1006:$BO$1006,0)), HYPERLINK("#",""), HYPERLINK(CONCATENATE("#Metadata!", ADDRESS(INDEX($AI$2:$AI$1001,MATCH(ROWS($AG$2:AG965),$AG$2:$AG$1001,0),0), INDEX($AN$1004:$BO$1004,1,MATCH(COLUMNS($AN$1006:AZ1006),$AN$1006:$BO$1006,0)))),"Fix")))</f>
        <v>0</v>
      </c>
      <c r="O965" s="4">
        <f>IF(OR(INDEX($AH$2:$AH$1001,MATCH(ROWS($AG$2:AG965),$AG$2:$AG$1001,0),1)&gt;=100000,INDEX($AN$1005:$BO$1005,1,MATCH(COLUMNS($AN$1006:BA1006),$AN$1006:$BO$1006,0))&gt;=100000), " ",IF(INDEX($AN$2:$BO$1001,MATCH(ROWS($AG$2:AG965),$AG$2:$AG$1001,0),MATCH(COLUMNS($AN$1006:BA1006),$AN$1006:$BO$1006,0)), HYPERLINK("#",""), HYPERLINK(CONCATENATE("#Metadata!", ADDRESS(INDEX($AI$2:$AI$1001,MATCH(ROWS($AG$2:AG965),$AG$2:$AG$1001,0),0), INDEX($AN$1004:$BO$1004,1,MATCH(COLUMNS($AN$1006:BA1006),$AN$1006:$BO$1006,0)))),"Fix")))</f>
        <v>0</v>
      </c>
      <c r="P965" s="4">
        <f>IF(OR(INDEX($AH$2:$AH$1001,MATCH(ROWS($AG$2:AG965),$AG$2:$AG$1001,0),1)&gt;=100000,INDEX($AN$1005:$BO$1005,1,MATCH(COLUMNS($AN$1006:BB1006),$AN$1006:$BO$1006,0))&gt;=100000), " ",IF(INDEX($AN$2:$BO$1001,MATCH(ROWS($AG$2:AG965),$AG$2:$AG$1001,0),MATCH(COLUMNS($AN$1006:BB1006),$AN$1006:$BO$1006,0)), HYPERLINK("#",""), HYPERLINK(CONCATENATE("#Metadata!", ADDRESS(INDEX($AI$2:$AI$1001,MATCH(ROWS($AG$2:AG965),$AG$2:$AG$1001,0),0), INDEX($AN$1004:$BO$1004,1,MATCH(COLUMNS($AN$1006:BB1006),$AN$1006:$BO$1006,0)))),"Fix")))</f>
        <v>0</v>
      </c>
      <c r="Q965" s="4">
        <f>IF(OR(INDEX($AH$2:$AH$1001,MATCH(ROWS($AG$2:AG965),$AG$2:$AG$1001,0),1)&gt;=100000,INDEX($AN$1005:$BO$1005,1,MATCH(COLUMNS($AN$1006:BC1006),$AN$1006:$BO$1006,0))&gt;=100000), " ",IF(INDEX($AN$2:$BO$1001,MATCH(ROWS($AG$2:AG965),$AG$2:$AG$1001,0),MATCH(COLUMNS($AN$1006:BC1006),$AN$1006:$BO$1006,0)), HYPERLINK("#",""), HYPERLINK(CONCATENATE("#Metadata!", ADDRESS(INDEX($AI$2:$AI$1001,MATCH(ROWS($AG$2:AG965),$AG$2:$AG$1001,0),0), INDEX($AN$1004:$BO$1004,1,MATCH(COLUMNS($AN$1006:BC1006),$AN$1006:$BO$1006,0)))),"Fix")))</f>
        <v>0</v>
      </c>
      <c r="R965" s="4">
        <f>IF(OR(INDEX($AH$2:$AH$1001,MATCH(ROWS($AG$2:AG965),$AG$2:$AG$1001,0),1)&gt;=100000,INDEX($AN$1005:$BO$1005,1,MATCH(COLUMNS($AN$1006:BD1006),$AN$1006:$BO$1006,0))&gt;=100000), " ",IF(INDEX($AN$2:$BO$1001,MATCH(ROWS($AG$2:AG965),$AG$2:$AG$1001,0),MATCH(COLUMNS($AN$1006:BD1006),$AN$1006:$BO$1006,0)), HYPERLINK("#",""), HYPERLINK(CONCATENATE("#Metadata!", ADDRESS(INDEX($AI$2:$AI$1001,MATCH(ROWS($AG$2:AG965),$AG$2:$AG$1001,0),0), INDEX($AN$1004:$BO$1004,1,MATCH(COLUMNS($AN$1006:BD1006),$AN$1006:$BO$1006,0)))),"Fix")))</f>
        <v>0</v>
      </c>
      <c r="S965" s="4">
        <f>IF(OR(INDEX($AH$2:$AH$1001,MATCH(ROWS($AG$2:AG965),$AG$2:$AG$1001,0),1)&gt;=100000,INDEX($AN$1005:$BO$1005,1,MATCH(COLUMNS($AN$1006:BE1006),$AN$1006:$BO$1006,0))&gt;=100000), " ",IF(INDEX($AN$2:$BO$1001,MATCH(ROWS($AG$2:AG965),$AG$2:$AG$1001,0),MATCH(COLUMNS($AN$1006:BE1006),$AN$1006:$BO$1006,0)), HYPERLINK("#",""), HYPERLINK(CONCATENATE("#Metadata!", ADDRESS(INDEX($AI$2:$AI$1001,MATCH(ROWS($AG$2:AG965),$AG$2:$AG$1001,0),0), INDEX($AN$1004:$BO$1004,1,MATCH(COLUMNS($AN$1006:BE1006),$AN$1006:$BO$1006,0)))),"Fix")))</f>
        <v>0</v>
      </c>
      <c r="T965" s="4">
        <f>IF(OR(INDEX($AH$2:$AH$1001,MATCH(ROWS($AG$2:AG965),$AG$2:$AG$1001,0),1)&gt;=100000,INDEX($AN$1005:$BO$1005,1,MATCH(COLUMNS($AN$1006:BF1006),$AN$1006:$BO$1006,0))&gt;=100000), " ",IF(INDEX($AN$2:$BO$1001,MATCH(ROWS($AG$2:AG965),$AG$2:$AG$1001,0),MATCH(COLUMNS($AN$1006:BF1006),$AN$1006:$BO$1006,0)), HYPERLINK("#",""), HYPERLINK(CONCATENATE("#Metadata!", ADDRESS(INDEX($AI$2:$AI$1001,MATCH(ROWS($AG$2:AG965),$AG$2:$AG$1001,0),0), INDEX($AN$1004:$BO$1004,1,MATCH(COLUMNS($AN$1006:BF1006),$AN$1006:$BO$1006,0)))),"Fix")))</f>
        <v>0</v>
      </c>
      <c r="U965" s="4">
        <f>IF(OR(INDEX($AH$2:$AH$1001,MATCH(ROWS($AG$2:AG965),$AG$2:$AG$1001,0),1)&gt;=100000,INDEX($AN$1005:$BO$1005,1,MATCH(COLUMNS($AN$1006:BG1006),$AN$1006:$BO$1006,0))&gt;=100000), " ",IF(INDEX($AN$2:$BO$1001,MATCH(ROWS($AG$2:AG965),$AG$2:$AG$1001,0),MATCH(COLUMNS($AN$1006:BG1006),$AN$1006:$BO$1006,0)), HYPERLINK("#",""), HYPERLINK(CONCATENATE("#Metadata!", ADDRESS(INDEX($AI$2:$AI$1001,MATCH(ROWS($AG$2:AG965),$AG$2:$AG$1001,0),0), INDEX($AN$1004:$BO$1004,1,MATCH(COLUMNS($AN$1006:BG1006),$AN$1006:$BO$1006,0)))),"Fix")))</f>
        <v>0</v>
      </c>
      <c r="V965" s="4">
        <f>IF(OR(INDEX($AH$2:$AH$1001,MATCH(ROWS($AG$2:AG965),$AG$2:$AG$1001,0),1)&gt;=100000,INDEX($AN$1005:$BO$1005,1,MATCH(COLUMNS($AN$1006:BH1006),$AN$1006:$BO$1006,0))&gt;=100000), " ",IF(INDEX($AN$2:$BO$1001,MATCH(ROWS($AG$2:AG965),$AG$2:$AG$1001,0),MATCH(COLUMNS($AN$1006:BH1006),$AN$1006:$BO$1006,0)), HYPERLINK("#",""), HYPERLINK(CONCATENATE("#Metadata!", ADDRESS(INDEX($AI$2:$AI$1001,MATCH(ROWS($AG$2:AG965),$AG$2:$AG$1001,0),0), INDEX($AN$1004:$BO$1004,1,MATCH(COLUMNS($AN$1006:BH1006),$AN$1006:$BO$1006,0)))),"Fix")))</f>
        <v>0</v>
      </c>
      <c r="W965" s="4">
        <f>IF(OR(INDEX($AH$2:$AH$1001,MATCH(ROWS($AG$2:AG965),$AG$2:$AG$1001,0),1)&gt;=100000,INDEX($AN$1005:$BO$1005,1,MATCH(COLUMNS($AN$1006:BI1006),$AN$1006:$BO$1006,0))&gt;=100000), " ",IF(INDEX($AN$2:$BO$1001,MATCH(ROWS($AG$2:AG965),$AG$2:$AG$1001,0),MATCH(COLUMNS($AN$1006:BI1006),$AN$1006:$BO$1006,0)), HYPERLINK("#",""), HYPERLINK(CONCATENATE("#Metadata!", ADDRESS(INDEX($AI$2:$AI$1001,MATCH(ROWS($AG$2:AG965),$AG$2:$AG$1001,0),0), INDEX($AN$1004:$BO$1004,1,MATCH(COLUMNS($AN$1006:BI1006),$AN$1006:$BO$1006,0)))),"Fix")))</f>
        <v>0</v>
      </c>
      <c r="X965" s="4">
        <f>IF(OR(INDEX($AH$2:$AH$1001,MATCH(ROWS($AG$2:AG965),$AG$2:$AG$1001,0),1)&gt;=100000,INDEX($AN$1005:$BO$1005,1,MATCH(COLUMNS($AN$1006:BJ1006),$AN$1006:$BO$1006,0))&gt;=100000), " ",IF(INDEX($AN$2:$BO$1001,MATCH(ROWS($AG$2:AG965),$AG$2:$AG$1001,0),MATCH(COLUMNS($AN$1006:BJ1006),$AN$1006:$BO$1006,0)), HYPERLINK("#",""), HYPERLINK(CONCATENATE("#Metadata!", ADDRESS(INDEX($AI$2:$AI$1001,MATCH(ROWS($AG$2:AG965),$AG$2:$AG$1001,0),0), INDEX($AN$1004:$BO$1004,1,MATCH(COLUMNS($AN$1006:BJ1006),$AN$1006:$BO$1006,0)))),"Fix")))</f>
        <v>0</v>
      </c>
      <c r="Y965" s="4">
        <f>IF(OR(INDEX($AH$2:$AH$1001,MATCH(ROWS($AG$2:AG965),$AG$2:$AG$1001,0),1)&gt;=100000,INDEX($AN$1005:$BO$1005,1,MATCH(COLUMNS($AN$1006:BK1006),$AN$1006:$BO$1006,0))&gt;=100000), " ",IF(INDEX($AN$2:$BO$1001,MATCH(ROWS($AG$2:AG965),$AG$2:$AG$1001,0),MATCH(COLUMNS($AN$1006:BK1006),$AN$1006:$BO$1006,0)), HYPERLINK("#",""), HYPERLINK(CONCATENATE("#Metadata!", ADDRESS(INDEX($AI$2:$AI$1001,MATCH(ROWS($AG$2:AG965),$AG$2:$AG$1001,0),0), INDEX($AN$1004:$BO$1004,1,MATCH(COLUMNS($AN$1006:BK1006),$AN$1006:$BO$1006,0)))),"Fix")))</f>
        <v>0</v>
      </c>
      <c r="Z965" s="4">
        <f>IF(OR(INDEX($AH$2:$AH$1001,MATCH(ROWS($AG$2:AG965),$AG$2:$AG$1001,0),1)&gt;=100000,INDEX($AN$1005:$BO$1005,1,MATCH(COLUMNS($AN$1006:BL1006),$AN$1006:$BO$1006,0))&gt;=100000), " ",IF(INDEX($AN$2:$BO$1001,MATCH(ROWS($AG$2:AG965),$AG$2:$AG$1001,0),MATCH(COLUMNS($AN$1006:BL1006),$AN$1006:$BO$1006,0)), HYPERLINK("#",""), HYPERLINK(CONCATENATE("#Metadata!", ADDRESS(INDEX($AI$2:$AI$1001,MATCH(ROWS($AG$2:AG965),$AG$2:$AG$1001,0),0), INDEX($AN$1004:$BO$1004,1,MATCH(COLUMNS($AN$1006:BL1006),$AN$1006:$BO$1006,0)))),"Fix")))</f>
        <v>0</v>
      </c>
      <c r="AA965" s="4">
        <f>IF(OR(INDEX($AH$2:$AH$1001,MATCH(ROWS($AG$2:AG965),$AG$2:$AG$1001,0),1)&gt;=100000,INDEX($AN$1005:$BO$1005,1,MATCH(COLUMNS($AN$1006:BM1006),$AN$1006:$BO$1006,0))&gt;=100000), " ",IF(INDEX($AN$2:$BO$1001,MATCH(ROWS($AG$2:AG965),$AG$2:$AG$1001,0),MATCH(COLUMNS($AN$1006:BM1006),$AN$1006:$BO$1006,0)), HYPERLINK("#",""), HYPERLINK(CONCATENATE("#Metadata!", ADDRESS(INDEX($AI$2:$AI$1001,MATCH(ROWS($AG$2:AG965),$AG$2:$AG$1001,0),0), INDEX($AN$1004:$BO$1004,1,MATCH(COLUMNS($AN$1006:BM1006),$AN$1006:$BO$1006,0)))),"Fix")))</f>
        <v>0</v>
      </c>
      <c r="AB965" s="4">
        <f>IF(OR(INDEX($AH$2:$AH$1001,MATCH(ROWS($AG$2:AG965),$AG$2:$AG$1001,0),1)&gt;=100000,INDEX($AN$1005:$BO$1005,1,MATCH(COLUMNS($AN$1006:BN1006),$AN$1006:$BO$1006,0))&gt;=100000), " ",IF(INDEX($AN$2:$BO$1001,MATCH(ROWS($AG$2:AG965),$AG$2:$AG$1001,0),MATCH(COLUMNS($AN$1006:BN1006),$AN$1006:$BO$1006,0)), HYPERLINK("#",""), HYPERLINK(CONCATENATE("#Metadata!", ADDRESS(INDEX($AI$2:$AI$1001,MATCH(ROWS($AG$2:AG965),$AG$2:$AG$1001,0),0), INDEX($AN$1004:$BO$1004,1,MATCH(COLUMNS($AN$1006:BN1006),$AN$1006:$BO$1006,0)))),"Fix")))</f>
        <v>0</v>
      </c>
      <c r="AC965" s="4">
        <f>IF(OR(INDEX($AH$2:$AH$1001,MATCH(ROWS($AG$2:AG965),$AG$2:$AG$1001,0),1)&gt;=100000,INDEX($AN$1005:$BO$1005,1,MATCH(COLUMNS($AN$1006:BO1006),$AN$1006:$BO$1006,0))&gt;=100000), " ",IF(INDEX($AN$2:$BO$1001,MATCH(ROWS($AG$2:AG965),$AG$2:$AG$1001,0),MATCH(COLUMNS($AN$1006:BO1006),$AN$1006:$BO$1006,0)), HYPERLINK("#",""), HYPERLINK(CONCATENATE("#Metadata!", ADDRESS(INDEX($AI$2:$AI$1001,MATCH(ROWS($AG$2:AG965),$AG$2:$AG$1001,0),0), INDEX($AN$1004:$BO$1004,1,MATCH(COLUMNS($AN$1006:BO1006),$AN$1006:$BO$1006,0)))),"Fix")))</f>
        <v>0</v>
      </c>
      <c r="AG965">
        <v>0</v>
      </c>
      <c r="AH965">
        <v>0</v>
      </c>
      <c r="AI965">
        <v>0</v>
      </c>
      <c r="AJ965">
        <f>IF(AK965,TRUE,AND(AN965:BO965))</f>
        <v>0</v>
      </c>
      <c r="AK965">
        <f>COUNTBLANK(Metadata!B965:AC965)=COLUMNS(Metadata!B965:AC965)</f>
        <v>0</v>
      </c>
      <c r="AL965">
        <v>0</v>
      </c>
      <c r="AN965">
        <f>AND(IF(Metadata!B965="",FALSE,TRUE),COUNTIF(Metadata!B:B, Metadata!B965) = 1,NOT(ISERROR(SUMPRODUCT(SEARCH(MID(Metadata!B965,ROW(INDIRECT("1:"&amp;LEN(Metadata!B965))), 1),"0123456789abcdefghijklmnopqrstuvwxyzABCDEFGHIJKLMNOPQRSTUVWXYZ.")))))</f>
        <v>0</v>
      </c>
      <c r="AO965">
        <f>IF(Metadata!C965="",FALSE,TRUE)</f>
        <v>0</v>
      </c>
      <c r="AP965">
        <f>IF(Metadata!D965="",FALSE,TRUE)</f>
        <v>0</v>
      </c>
      <c r="AQ965">
        <f>OR(AND(IF(Metadata!E965="",FALSE,TRUE),OR(exact(Metadata!E965,"not collected"),exact(Metadata!E965,"not provided"),exact(Metadata!E965,"restricted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R965">
        <f>IF(Metadata!F965="",FALSE,TRUE)</f>
        <v>0</v>
      </c>
      <c r="AS965">
        <f>OR(AND(IF(Metadata!G965="",FALSE,TRUE),OR(exact(Metadata!G965,"not collected"),exact(Metadata!G965,"not provided"))),AND(IF(Metadata!G965="",FALSE,TRUE),OR(exact(Metadata!G965,"TRUE"),exact(Metadata!G965,"FALSE"))))</f>
        <v>0</v>
      </c>
      <c r="AT965">
        <f>OR(AND(IF(Metadata!H965="",FALSE,TRUE),OR(exact(Metadata!H965,"not collected"),exact(Metadata!H965,"not provided"),exact(Metadata!H965,"restricted access"))),AND(IF(Metadata!H965="",FALSE,ISNUMBER(VALUE(Metadata!H965))),Metadata!H965&gt;=-413.0))</f>
        <v>0</v>
      </c>
      <c r="AU965">
        <f>AND(IF(Metadata!I965="",FALSE,TRUE),exact(Metadata!I965,"meters"))</f>
        <v>0</v>
      </c>
      <c r="AV965">
        <f>AND(IF(Metadata!J965="",FALSE,TRUE),OR(exact(Metadata!J965,"Host-associated"),exact(Metadata!J965,"Free-living")))</f>
        <v>0</v>
      </c>
      <c r="AW965">
        <f>AND(IF(Metadata!K965="",FALSE,TRUE),OR(exact(Metadata!K965,"Animal"),exact(Metadata!K965,"Fungus"),exact(Metadata!K965,"Plant"),exact(Metadata!K965,"Saline"),exact(Metadata!K965,"Non-saline")))</f>
        <v>0</v>
      </c>
      <c r="AX965">
        <f>AND(IF(Metadata!L965="",FALSE,TRUE),OR(exact(Metadata!L965,"Plant secretion"),exact(Metadata!L965,"Plant rhizosphere"),exact(Metadata!L965,"Plant surface"),exact(Metadata!L965,"Plant corpus"),exact(Metadata!L965,"Fungus surface"),exact(Metadata!L965,"Fungus corpus"),exact(Metadata!L965,"Animal surface"),exact(Metadata!L965,"Animal proximal gut"),exact(Metadata!L965,"Animal corpus"),exact(Metadata!L965,"Animal distal gut"),exact(Metadata!L965,"Animal secretion"),exact(Metadata!L965,"Sub-surface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Y965">
        <f>IF(Metadata!M965="",FALSE,TRUE)</f>
        <v>0</v>
      </c>
      <c r="AZ965">
        <f>IF(Metadata!N965="",FALSE,TRUE)</f>
        <v>0</v>
      </c>
      <c r="BA965">
        <f>IF(Metadata!O965="",FALSE,TRUE)</f>
        <v>0</v>
      </c>
      <c r="BB965">
        <f>OR(AND(IF(Metadata!P965="",FALSE,TRUE),OR(exact(Metadata!P965,"not collected"),exact(Metadata!P965,"not provided"),exact(Metadata!P965,"restricted access"))),AND(IF(Metadata!P965="",FALSE,TRUE),OR(exact(Metadata!P965,"air"),exact(Metadata!P965,"built environment"),exact(Metadata!P965,"host-associated"),exact(Metadata!P965,"human-associated"),exact(Metadata!P965,"human-skin"),exact(Metadata!P965,"human-oral"),exact(Metadata!P965,"human-gut"),exact(Metadata!P965,"human-vaginal"),exact(Metadata!P965,"microbial mat/biofilm"),exact(Metadata!P965,"misc environment"),exact(Metadata!P965,"plant-associated"),exact(Metadata!P965,"sediment"),exact(Metadata!P965,"soil"),exact(Metadata!P965,"wastewater/sludge"),exact(Metadata!P965,"water"))))</f>
        <v>0</v>
      </c>
      <c r="BC965">
        <f>IF(Metadata!Q965="",FALSE,TRUE)</f>
        <v>0</v>
      </c>
      <c r="BD965">
        <f>IF(Metadata!R965="",FALSE,TRUE)</f>
        <v>0</v>
      </c>
      <c r="BE965">
        <f>OR(AND(IF(Metadata!S965="",FALSE,TRUE),OR(exact(Metadata!S965,"not collected"),exact(Metadata!S965,"not provided"),exact(Metadata!S965,"restricted access"))),AND(IF(Metadata!S965="",FALSE,ISNUMBER(VALUE(Metadata!S965))),Metadata!S965&gt;=-90.00,Metadata!S965&lt;=90.00))</f>
        <v>0</v>
      </c>
      <c r="BF965">
        <f>AND(IF(Metadata!T965="",FALSE,TRUE),exact(Metadata!T965,"Decimal degrees"))</f>
        <v>0</v>
      </c>
      <c r="BG965">
        <f>OR(AND(IF(Metadata!U965="",FALSE,TRUE),OR(exact(Metadata!U965,"not collected"),exact(Metadata!U965,"not provided"),exact(Metadata!U965,"restricted access"))),AND(IF(Metadata!U965="",FALSE,ISNUMBER(VALUE(Metadata!U965))),Metadata!U965&gt;=-180.00,Metadata!U965&lt;=180.00))</f>
        <v>0</v>
      </c>
      <c r="BH965">
        <f>AND(IF(Metadata!V965="",FALSE,TRUE),exact(Metadata!V965,"Decimal degrees"))</f>
        <v>0</v>
      </c>
      <c r="BI965">
        <f>IF(Metadata!W965="",FALSE,TRUE)</f>
        <v>0</v>
      </c>
      <c r="BJ965">
        <f>OR(AND(IF(Metadata!X965="",FALSE,TRUE),OR(exact(Metadata!X965,"not collected"),exact(Metadata!X965,"not provided"),exact(Metadata!X965,"restricted access"))),AND(IF(Metadata!X965="",FALSE,TRUE),OR(exact(Metadata!X965,"TRUE"),exact(Metadata!X965,"FALSE"))))</f>
        <v>0</v>
      </c>
      <c r="BK965">
        <f>AND(IF(Metadata!Y965="",FALSE,TRUE),exact(Metadata!Y965,"other"))</f>
        <v>0</v>
      </c>
      <c r="BL965">
        <f>IF(Metadata!Z965="",FALSE,TRUE)</f>
        <v>0</v>
      </c>
      <c r="BM965">
        <f>OR(AND(IF(Metadata!AA965="",FALSE,TRUE),OR(exact(Metadata!AA965,"not collected"),exact(Metadata!AA965,"not provided"))),AND(IF(Metadata!AA965="",FALSE,IF(ISERROR(INT(Metadata!AA965)),FALSE,INT(Metadata!AA965)=Metadata!AA965)),Metadata!AA965&gt;0))</f>
        <v>0</v>
      </c>
      <c r="BN965">
        <f>AND(IF(Metadata!AB965="",FALSE,TRUE),exact(Metadata!AB965,"Not applicable"))</f>
        <v>0</v>
      </c>
      <c r="BO965">
        <f>IF(Metadata!AC965="",FALSE,TRUE)</f>
        <v>0</v>
      </c>
    </row>
    <row r="966" spans="1:67">
      <c r="A966" s="5">
        <f>IF(B966=" "," ",HYPERLINK(CONCATENATE("#metadata!",ADDRESS(INDEX($AI$2:$AI$1001,MATCH(ROWS($AG$2:AG966),$AG$2:$AG$1001,0),0),1)),INDEX($AL$2:$AL$1001,MATCH(ROWS($AG$2:AG966),$AG$2:$AG$1001,0),0)))</f>
        <v>0</v>
      </c>
      <c r="B966" s="4">
        <f>IF(OR(INDEX($AH$2:$AH$1001,MATCH(ROWS($AG$2:AG966),$AG$2:$AG$1001,0),1)&gt;=100000,INDEX($AN$1005:$BO$1005,1,MATCH(COLUMNS($AN$1006:AN1006),$AN$1006:$BO$1006,0))&gt;=100000), " ",IF(INDEX($AN$2:$BO$1001,MATCH(ROWS($AG$2:AG966),$AG$2:$AG$1001,0),MATCH(COLUMNS($AN$1006:AN1006),$AN$1006:$BO$1006,0)), HYPERLINK("#",""), HYPERLINK(CONCATENATE("#Metadata!", ADDRESS(INDEX($AI$2:$AI$1001,MATCH(ROWS($AG$2:AG966),$AG$2:$AG$1001,0),0), INDEX($AN$1004:$BO$1004,1,MATCH(COLUMNS($AN$1006:AN1006),$AN$1006:$BO$1006,0)))),"Fix")))</f>
        <v>0</v>
      </c>
      <c r="C966" s="4">
        <f>IF(OR(INDEX($AH$2:$AH$1001,MATCH(ROWS($AG$2:AG966),$AG$2:$AG$1001,0),1)&gt;=100000,INDEX($AN$1005:$BO$1005,1,MATCH(COLUMNS($AN$1006:AO1006),$AN$1006:$BO$1006,0))&gt;=100000), " ",IF(INDEX($AN$2:$BO$1001,MATCH(ROWS($AG$2:AG966),$AG$2:$AG$1001,0),MATCH(COLUMNS($AN$1006:AO1006),$AN$1006:$BO$1006,0)), HYPERLINK("#",""), HYPERLINK(CONCATENATE("#Metadata!", ADDRESS(INDEX($AI$2:$AI$1001,MATCH(ROWS($AG$2:AG966),$AG$2:$AG$1001,0),0), INDEX($AN$1004:$BO$1004,1,MATCH(COLUMNS($AN$1006:AO1006),$AN$1006:$BO$1006,0)))),"Fix")))</f>
        <v>0</v>
      </c>
      <c r="D966" s="4">
        <f>IF(OR(INDEX($AH$2:$AH$1001,MATCH(ROWS($AG$2:AG966),$AG$2:$AG$1001,0),1)&gt;=100000,INDEX($AN$1005:$BO$1005,1,MATCH(COLUMNS($AN$1006:AP1006),$AN$1006:$BO$1006,0))&gt;=100000), " ",IF(INDEX($AN$2:$BO$1001,MATCH(ROWS($AG$2:AG966),$AG$2:$AG$1001,0),MATCH(COLUMNS($AN$1006:AP1006),$AN$1006:$BO$1006,0)), HYPERLINK("#",""), HYPERLINK(CONCATENATE("#Metadata!", ADDRESS(INDEX($AI$2:$AI$1001,MATCH(ROWS($AG$2:AG966),$AG$2:$AG$1001,0),0), INDEX($AN$1004:$BO$1004,1,MATCH(COLUMNS($AN$1006:AP1006),$AN$1006:$BO$1006,0)))),"Fix")))</f>
        <v>0</v>
      </c>
      <c r="E966" s="4">
        <f>IF(OR(INDEX($AH$2:$AH$1001,MATCH(ROWS($AG$2:AG966),$AG$2:$AG$1001,0),1)&gt;=100000,INDEX($AN$1005:$BO$1005,1,MATCH(COLUMNS($AN$1006:AQ1006),$AN$1006:$BO$1006,0))&gt;=100000), " ",IF(INDEX($AN$2:$BO$1001,MATCH(ROWS($AG$2:AG966),$AG$2:$AG$1001,0),MATCH(COLUMNS($AN$1006:AQ1006),$AN$1006:$BO$1006,0)), HYPERLINK("#",""), HYPERLINK(CONCATENATE("#Metadata!", ADDRESS(INDEX($AI$2:$AI$1001,MATCH(ROWS($AG$2:AG966),$AG$2:$AG$1001,0),0), INDEX($AN$1004:$BO$1004,1,MATCH(COLUMNS($AN$1006:AQ1006),$AN$1006:$BO$1006,0)))),"Fix")))</f>
        <v>0</v>
      </c>
      <c r="F966" s="4">
        <f>IF(OR(INDEX($AH$2:$AH$1001,MATCH(ROWS($AG$2:AG966),$AG$2:$AG$1001,0),1)&gt;=100000,INDEX($AN$1005:$BO$1005,1,MATCH(COLUMNS($AN$1006:AR1006),$AN$1006:$BO$1006,0))&gt;=100000), " ",IF(INDEX($AN$2:$BO$1001,MATCH(ROWS($AG$2:AG966),$AG$2:$AG$1001,0),MATCH(COLUMNS($AN$1006:AR1006),$AN$1006:$BO$1006,0)), HYPERLINK("#",""), HYPERLINK(CONCATENATE("#Metadata!", ADDRESS(INDEX($AI$2:$AI$1001,MATCH(ROWS($AG$2:AG966),$AG$2:$AG$1001,0),0), INDEX($AN$1004:$BO$1004,1,MATCH(COLUMNS($AN$1006:AR1006),$AN$1006:$BO$1006,0)))),"Fix")))</f>
        <v>0</v>
      </c>
      <c r="G966" s="4">
        <f>IF(OR(INDEX($AH$2:$AH$1001,MATCH(ROWS($AG$2:AG966),$AG$2:$AG$1001,0),1)&gt;=100000,INDEX($AN$1005:$BO$1005,1,MATCH(COLUMNS($AN$1006:AS1006),$AN$1006:$BO$1006,0))&gt;=100000), " ",IF(INDEX($AN$2:$BO$1001,MATCH(ROWS($AG$2:AG966),$AG$2:$AG$1001,0),MATCH(COLUMNS($AN$1006:AS1006),$AN$1006:$BO$1006,0)), HYPERLINK("#",""), HYPERLINK(CONCATENATE("#Metadata!", ADDRESS(INDEX($AI$2:$AI$1001,MATCH(ROWS($AG$2:AG966),$AG$2:$AG$1001,0),0), INDEX($AN$1004:$BO$1004,1,MATCH(COLUMNS($AN$1006:AS1006),$AN$1006:$BO$1006,0)))),"Fix")))</f>
        <v>0</v>
      </c>
      <c r="H966" s="4">
        <f>IF(OR(INDEX($AH$2:$AH$1001,MATCH(ROWS($AG$2:AG966),$AG$2:$AG$1001,0),1)&gt;=100000,INDEX($AN$1005:$BO$1005,1,MATCH(COLUMNS($AN$1006:AT1006),$AN$1006:$BO$1006,0))&gt;=100000), " ",IF(INDEX($AN$2:$BO$1001,MATCH(ROWS($AG$2:AG966),$AG$2:$AG$1001,0),MATCH(COLUMNS($AN$1006:AT1006),$AN$1006:$BO$1006,0)), HYPERLINK("#",""), HYPERLINK(CONCATENATE("#Metadata!", ADDRESS(INDEX($AI$2:$AI$1001,MATCH(ROWS($AG$2:AG966),$AG$2:$AG$1001,0),0), INDEX($AN$1004:$BO$1004,1,MATCH(COLUMNS($AN$1006:AT1006),$AN$1006:$BO$1006,0)))),"Fix")))</f>
        <v>0</v>
      </c>
      <c r="I966" s="4">
        <f>IF(OR(INDEX($AH$2:$AH$1001,MATCH(ROWS($AG$2:AG966),$AG$2:$AG$1001,0),1)&gt;=100000,INDEX($AN$1005:$BO$1005,1,MATCH(COLUMNS($AN$1006:AU1006),$AN$1006:$BO$1006,0))&gt;=100000), " ",IF(INDEX($AN$2:$BO$1001,MATCH(ROWS($AG$2:AG966),$AG$2:$AG$1001,0),MATCH(COLUMNS($AN$1006:AU1006),$AN$1006:$BO$1006,0)), HYPERLINK("#",""), HYPERLINK(CONCATENATE("#Metadata!", ADDRESS(INDEX($AI$2:$AI$1001,MATCH(ROWS($AG$2:AG966),$AG$2:$AG$1001,0),0), INDEX($AN$1004:$BO$1004,1,MATCH(COLUMNS($AN$1006:AU1006),$AN$1006:$BO$1006,0)))),"Fix")))</f>
        <v>0</v>
      </c>
      <c r="J966" s="4">
        <f>IF(OR(INDEX($AH$2:$AH$1001,MATCH(ROWS($AG$2:AG966),$AG$2:$AG$1001,0),1)&gt;=100000,INDEX($AN$1005:$BO$1005,1,MATCH(COLUMNS($AN$1006:AV1006),$AN$1006:$BO$1006,0))&gt;=100000), " ",IF(INDEX($AN$2:$BO$1001,MATCH(ROWS($AG$2:AG966),$AG$2:$AG$1001,0),MATCH(COLUMNS($AN$1006:AV1006),$AN$1006:$BO$1006,0)), HYPERLINK("#",""), HYPERLINK(CONCATENATE("#Metadata!", ADDRESS(INDEX($AI$2:$AI$1001,MATCH(ROWS($AG$2:AG966),$AG$2:$AG$1001,0),0), INDEX($AN$1004:$BO$1004,1,MATCH(COLUMNS($AN$1006:AV1006),$AN$1006:$BO$1006,0)))),"Fix")))</f>
        <v>0</v>
      </c>
      <c r="K966" s="4">
        <f>IF(OR(INDEX($AH$2:$AH$1001,MATCH(ROWS($AG$2:AG966),$AG$2:$AG$1001,0),1)&gt;=100000,INDEX($AN$1005:$BO$1005,1,MATCH(COLUMNS($AN$1006:AW1006),$AN$1006:$BO$1006,0))&gt;=100000), " ",IF(INDEX($AN$2:$BO$1001,MATCH(ROWS($AG$2:AG966),$AG$2:$AG$1001,0),MATCH(COLUMNS($AN$1006:AW1006),$AN$1006:$BO$1006,0)), HYPERLINK("#",""), HYPERLINK(CONCATENATE("#Metadata!", ADDRESS(INDEX($AI$2:$AI$1001,MATCH(ROWS($AG$2:AG966),$AG$2:$AG$1001,0),0), INDEX($AN$1004:$BO$1004,1,MATCH(COLUMNS($AN$1006:AW1006),$AN$1006:$BO$1006,0)))),"Fix")))</f>
        <v>0</v>
      </c>
      <c r="L966" s="4">
        <f>IF(OR(INDEX($AH$2:$AH$1001,MATCH(ROWS($AG$2:AG966),$AG$2:$AG$1001,0),1)&gt;=100000,INDEX($AN$1005:$BO$1005,1,MATCH(COLUMNS($AN$1006:AX1006),$AN$1006:$BO$1006,0))&gt;=100000), " ",IF(INDEX($AN$2:$BO$1001,MATCH(ROWS($AG$2:AG966),$AG$2:$AG$1001,0),MATCH(COLUMNS($AN$1006:AX1006),$AN$1006:$BO$1006,0)), HYPERLINK("#",""), HYPERLINK(CONCATENATE("#Metadata!", ADDRESS(INDEX($AI$2:$AI$1001,MATCH(ROWS($AG$2:AG966),$AG$2:$AG$1001,0),0), INDEX($AN$1004:$BO$1004,1,MATCH(COLUMNS($AN$1006:AX1006),$AN$1006:$BO$1006,0)))),"Fix")))</f>
        <v>0</v>
      </c>
      <c r="M966" s="4">
        <f>IF(OR(INDEX($AH$2:$AH$1001,MATCH(ROWS($AG$2:AG966),$AG$2:$AG$1001,0),1)&gt;=100000,INDEX($AN$1005:$BO$1005,1,MATCH(COLUMNS($AN$1006:AY1006),$AN$1006:$BO$1006,0))&gt;=100000), " ",IF(INDEX($AN$2:$BO$1001,MATCH(ROWS($AG$2:AG966),$AG$2:$AG$1001,0),MATCH(COLUMNS($AN$1006:AY1006),$AN$1006:$BO$1006,0)), HYPERLINK("#",""), HYPERLINK(CONCATENATE("#Metadata!", ADDRESS(INDEX($AI$2:$AI$1001,MATCH(ROWS($AG$2:AG966),$AG$2:$AG$1001,0),0), INDEX($AN$1004:$BO$1004,1,MATCH(COLUMNS($AN$1006:AY1006),$AN$1006:$BO$1006,0)))),"Fix")))</f>
        <v>0</v>
      </c>
      <c r="N966" s="4">
        <f>IF(OR(INDEX($AH$2:$AH$1001,MATCH(ROWS($AG$2:AG966),$AG$2:$AG$1001,0),1)&gt;=100000,INDEX($AN$1005:$BO$1005,1,MATCH(COLUMNS($AN$1006:AZ1006),$AN$1006:$BO$1006,0))&gt;=100000), " ",IF(INDEX($AN$2:$BO$1001,MATCH(ROWS($AG$2:AG966),$AG$2:$AG$1001,0),MATCH(COLUMNS($AN$1006:AZ1006),$AN$1006:$BO$1006,0)), HYPERLINK("#",""), HYPERLINK(CONCATENATE("#Metadata!", ADDRESS(INDEX($AI$2:$AI$1001,MATCH(ROWS($AG$2:AG966),$AG$2:$AG$1001,0),0), INDEX($AN$1004:$BO$1004,1,MATCH(COLUMNS($AN$1006:AZ1006),$AN$1006:$BO$1006,0)))),"Fix")))</f>
        <v>0</v>
      </c>
      <c r="O966" s="4">
        <f>IF(OR(INDEX($AH$2:$AH$1001,MATCH(ROWS($AG$2:AG966),$AG$2:$AG$1001,0),1)&gt;=100000,INDEX($AN$1005:$BO$1005,1,MATCH(COLUMNS($AN$1006:BA1006),$AN$1006:$BO$1006,0))&gt;=100000), " ",IF(INDEX($AN$2:$BO$1001,MATCH(ROWS($AG$2:AG966),$AG$2:$AG$1001,0),MATCH(COLUMNS($AN$1006:BA1006),$AN$1006:$BO$1006,0)), HYPERLINK("#",""), HYPERLINK(CONCATENATE("#Metadata!", ADDRESS(INDEX($AI$2:$AI$1001,MATCH(ROWS($AG$2:AG966),$AG$2:$AG$1001,0),0), INDEX($AN$1004:$BO$1004,1,MATCH(COLUMNS($AN$1006:BA1006),$AN$1006:$BO$1006,0)))),"Fix")))</f>
        <v>0</v>
      </c>
      <c r="P966" s="4">
        <f>IF(OR(INDEX($AH$2:$AH$1001,MATCH(ROWS($AG$2:AG966),$AG$2:$AG$1001,0),1)&gt;=100000,INDEX($AN$1005:$BO$1005,1,MATCH(COLUMNS($AN$1006:BB1006),$AN$1006:$BO$1006,0))&gt;=100000), " ",IF(INDEX($AN$2:$BO$1001,MATCH(ROWS($AG$2:AG966),$AG$2:$AG$1001,0),MATCH(COLUMNS($AN$1006:BB1006),$AN$1006:$BO$1006,0)), HYPERLINK("#",""), HYPERLINK(CONCATENATE("#Metadata!", ADDRESS(INDEX($AI$2:$AI$1001,MATCH(ROWS($AG$2:AG966),$AG$2:$AG$1001,0),0), INDEX($AN$1004:$BO$1004,1,MATCH(COLUMNS($AN$1006:BB1006),$AN$1006:$BO$1006,0)))),"Fix")))</f>
        <v>0</v>
      </c>
      <c r="Q966" s="4">
        <f>IF(OR(INDEX($AH$2:$AH$1001,MATCH(ROWS($AG$2:AG966),$AG$2:$AG$1001,0),1)&gt;=100000,INDEX($AN$1005:$BO$1005,1,MATCH(COLUMNS($AN$1006:BC1006),$AN$1006:$BO$1006,0))&gt;=100000), " ",IF(INDEX($AN$2:$BO$1001,MATCH(ROWS($AG$2:AG966),$AG$2:$AG$1001,0),MATCH(COLUMNS($AN$1006:BC1006),$AN$1006:$BO$1006,0)), HYPERLINK("#",""), HYPERLINK(CONCATENATE("#Metadata!", ADDRESS(INDEX($AI$2:$AI$1001,MATCH(ROWS($AG$2:AG966),$AG$2:$AG$1001,0),0), INDEX($AN$1004:$BO$1004,1,MATCH(COLUMNS($AN$1006:BC1006),$AN$1006:$BO$1006,0)))),"Fix")))</f>
        <v>0</v>
      </c>
      <c r="R966" s="4">
        <f>IF(OR(INDEX($AH$2:$AH$1001,MATCH(ROWS($AG$2:AG966),$AG$2:$AG$1001,0),1)&gt;=100000,INDEX($AN$1005:$BO$1005,1,MATCH(COLUMNS($AN$1006:BD1006),$AN$1006:$BO$1006,0))&gt;=100000), " ",IF(INDEX($AN$2:$BO$1001,MATCH(ROWS($AG$2:AG966),$AG$2:$AG$1001,0),MATCH(COLUMNS($AN$1006:BD1006),$AN$1006:$BO$1006,0)), HYPERLINK("#",""), HYPERLINK(CONCATENATE("#Metadata!", ADDRESS(INDEX($AI$2:$AI$1001,MATCH(ROWS($AG$2:AG966),$AG$2:$AG$1001,0),0), INDEX($AN$1004:$BO$1004,1,MATCH(COLUMNS($AN$1006:BD1006),$AN$1006:$BO$1006,0)))),"Fix")))</f>
        <v>0</v>
      </c>
      <c r="S966" s="4">
        <f>IF(OR(INDEX($AH$2:$AH$1001,MATCH(ROWS($AG$2:AG966),$AG$2:$AG$1001,0),1)&gt;=100000,INDEX($AN$1005:$BO$1005,1,MATCH(COLUMNS($AN$1006:BE1006),$AN$1006:$BO$1006,0))&gt;=100000), " ",IF(INDEX($AN$2:$BO$1001,MATCH(ROWS($AG$2:AG966),$AG$2:$AG$1001,0),MATCH(COLUMNS($AN$1006:BE1006),$AN$1006:$BO$1006,0)), HYPERLINK("#",""), HYPERLINK(CONCATENATE("#Metadata!", ADDRESS(INDEX($AI$2:$AI$1001,MATCH(ROWS($AG$2:AG966),$AG$2:$AG$1001,0),0), INDEX($AN$1004:$BO$1004,1,MATCH(COLUMNS($AN$1006:BE1006),$AN$1006:$BO$1006,0)))),"Fix")))</f>
        <v>0</v>
      </c>
      <c r="T966" s="4">
        <f>IF(OR(INDEX($AH$2:$AH$1001,MATCH(ROWS($AG$2:AG966),$AG$2:$AG$1001,0),1)&gt;=100000,INDEX($AN$1005:$BO$1005,1,MATCH(COLUMNS($AN$1006:BF1006),$AN$1006:$BO$1006,0))&gt;=100000), " ",IF(INDEX($AN$2:$BO$1001,MATCH(ROWS($AG$2:AG966),$AG$2:$AG$1001,0),MATCH(COLUMNS($AN$1006:BF1006),$AN$1006:$BO$1006,0)), HYPERLINK("#",""), HYPERLINK(CONCATENATE("#Metadata!", ADDRESS(INDEX($AI$2:$AI$1001,MATCH(ROWS($AG$2:AG966),$AG$2:$AG$1001,0),0), INDEX($AN$1004:$BO$1004,1,MATCH(COLUMNS($AN$1006:BF1006),$AN$1006:$BO$1006,0)))),"Fix")))</f>
        <v>0</v>
      </c>
      <c r="U966" s="4">
        <f>IF(OR(INDEX($AH$2:$AH$1001,MATCH(ROWS($AG$2:AG966),$AG$2:$AG$1001,0),1)&gt;=100000,INDEX($AN$1005:$BO$1005,1,MATCH(COLUMNS($AN$1006:BG1006),$AN$1006:$BO$1006,0))&gt;=100000), " ",IF(INDEX($AN$2:$BO$1001,MATCH(ROWS($AG$2:AG966),$AG$2:$AG$1001,0),MATCH(COLUMNS($AN$1006:BG1006),$AN$1006:$BO$1006,0)), HYPERLINK("#",""), HYPERLINK(CONCATENATE("#Metadata!", ADDRESS(INDEX($AI$2:$AI$1001,MATCH(ROWS($AG$2:AG966),$AG$2:$AG$1001,0),0), INDEX($AN$1004:$BO$1004,1,MATCH(COLUMNS($AN$1006:BG1006),$AN$1006:$BO$1006,0)))),"Fix")))</f>
        <v>0</v>
      </c>
      <c r="V966" s="4">
        <f>IF(OR(INDEX($AH$2:$AH$1001,MATCH(ROWS($AG$2:AG966),$AG$2:$AG$1001,0),1)&gt;=100000,INDEX($AN$1005:$BO$1005,1,MATCH(COLUMNS($AN$1006:BH1006),$AN$1006:$BO$1006,0))&gt;=100000), " ",IF(INDEX($AN$2:$BO$1001,MATCH(ROWS($AG$2:AG966),$AG$2:$AG$1001,0),MATCH(COLUMNS($AN$1006:BH1006),$AN$1006:$BO$1006,0)), HYPERLINK("#",""), HYPERLINK(CONCATENATE("#Metadata!", ADDRESS(INDEX($AI$2:$AI$1001,MATCH(ROWS($AG$2:AG966),$AG$2:$AG$1001,0),0), INDEX($AN$1004:$BO$1004,1,MATCH(COLUMNS($AN$1006:BH1006),$AN$1006:$BO$1006,0)))),"Fix")))</f>
        <v>0</v>
      </c>
      <c r="W966" s="4">
        <f>IF(OR(INDEX($AH$2:$AH$1001,MATCH(ROWS($AG$2:AG966),$AG$2:$AG$1001,0),1)&gt;=100000,INDEX($AN$1005:$BO$1005,1,MATCH(COLUMNS($AN$1006:BI1006),$AN$1006:$BO$1006,0))&gt;=100000), " ",IF(INDEX($AN$2:$BO$1001,MATCH(ROWS($AG$2:AG966),$AG$2:$AG$1001,0),MATCH(COLUMNS($AN$1006:BI1006),$AN$1006:$BO$1006,0)), HYPERLINK("#",""), HYPERLINK(CONCATENATE("#Metadata!", ADDRESS(INDEX($AI$2:$AI$1001,MATCH(ROWS($AG$2:AG966),$AG$2:$AG$1001,0),0), INDEX($AN$1004:$BO$1004,1,MATCH(COLUMNS($AN$1006:BI1006),$AN$1006:$BO$1006,0)))),"Fix")))</f>
        <v>0</v>
      </c>
      <c r="X966" s="4">
        <f>IF(OR(INDEX($AH$2:$AH$1001,MATCH(ROWS($AG$2:AG966),$AG$2:$AG$1001,0),1)&gt;=100000,INDEX($AN$1005:$BO$1005,1,MATCH(COLUMNS($AN$1006:BJ1006),$AN$1006:$BO$1006,0))&gt;=100000), " ",IF(INDEX($AN$2:$BO$1001,MATCH(ROWS($AG$2:AG966),$AG$2:$AG$1001,0),MATCH(COLUMNS($AN$1006:BJ1006),$AN$1006:$BO$1006,0)), HYPERLINK("#",""), HYPERLINK(CONCATENATE("#Metadata!", ADDRESS(INDEX($AI$2:$AI$1001,MATCH(ROWS($AG$2:AG966),$AG$2:$AG$1001,0),0), INDEX($AN$1004:$BO$1004,1,MATCH(COLUMNS($AN$1006:BJ1006),$AN$1006:$BO$1006,0)))),"Fix")))</f>
        <v>0</v>
      </c>
      <c r="Y966" s="4">
        <f>IF(OR(INDEX($AH$2:$AH$1001,MATCH(ROWS($AG$2:AG966),$AG$2:$AG$1001,0),1)&gt;=100000,INDEX($AN$1005:$BO$1005,1,MATCH(COLUMNS($AN$1006:BK1006),$AN$1006:$BO$1006,0))&gt;=100000), " ",IF(INDEX($AN$2:$BO$1001,MATCH(ROWS($AG$2:AG966),$AG$2:$AG$1001,0),MATCH(COLUMNS($AN$1006:BK1006),$AN$1006:$BO$1006,0)), HYPERLINK("#",""), HYPERLINK(CONCATENATE("#Metadata!", ADDRESS(INDEX($AI$2:$AI$1001,MATCH(ROWS($AG$2:AG966),$AG$2:$AG$1001,0),0), INDEX($AN$1004:$BO$1004,1,MATCH(COLUMNS($AN$1006:BK1006),$AN$1006:$BO$1006,0)))),"Fix")))</f>
        <v>0</v>
      </c>
      <c r="Z966" s="4">
        <f>IF(OR(INDEX($AH$2:$AH$1001,MATCH(ROWS($AG$2:AG966),$AG$2:$AG$1001,0),1)&gt;=100000,INDEX($AN$1005:$BO$1005,1,MATCH(COLUMNS($AN$1006:BL1006),$AN$1006:$BO$1006,0))&gt;=100000), " ",IF(INDEX($AN$2:$BO$1001,MATCH(ROWS($AG$2:AG966),$AG$2:$AG$1001,0),MATCH(COLUMNS($AN$1006:BL1006),$AN$1006:$BO$1006,0)), HYPERLINK("#",""), HYPERLINK(CONCATENATE("#Metadata!", ADDRESS(INDEX($AI$2:$AI$1001,MATCH(ROWS($AG$2:AG966),$AG$2:$AG$1001,0),0), INDEX($AN$1004:$BO$1004,1,MATCH(COLUMNS($AN$1006:BL1006),$AN$1006:$BO$1006,0)))),"Fix")))</f>
        <v>0</v>
      </c>
      <c r="AA966" s="4">
        <f>IF(OR(INDEX($AH$2:$AH$1001,MATCH(ROWS($AG$2:AG966),$AG$2:$AG$1001,0),1)&gt;=100000,INDEX($AN$1005:$BO$1005,1,MATCH(COLUMNS($AN$1006:BM1006),$AN$1006:$BO$1006,0))&gt;=100000), " ",IF(INDEX($AN$2:$BO$1001,MATCH(ROWS($AG$2:AG966),$AG$2:$AG$1001,0),MATCH(COLUMNS($AN$1006:BM1006),$AN$1006:$BO$1006,0)), HYPERLINK("#",""), HYPERLINK(CONCATENATE("#Metadata!", ADDRESS(INDEX($AI$2:$AI$1001,MATCH(ROWS($AG$2:AG966),$AG$2:$AG$1001,0),0), INDEX($AN$1004:$BO$1004,1,MATCH(COLUMNS($AN$1006:BM1006),$AN$1006:$BO$1006,0)))),"Fix")))</f>
        <v>0</v>
      </c>
      <c r="AB966" s="4">
        <f>IF(OR(INDEX($AH$2:$AH$1001,MATCH(ROWS($AG$2:AG966),$AG$2:$AG$1001,0),1)&gt;=100000,INDEX($AN$1005:$BO$1005,1,MATCH(COLUMNS($AN$1006:BN1006),$AN$1006:$BO$1006,0))&gt;=100000), " ",IF(INDEX($AN$2:$BO$1001,MATCH(ROWS($AG$2:AG966),$AG$2:$AG$1001,0),MATCH(COLUMNS($AN$1006:BN1006),$AN$1006:$BO$1006,0)), HYPERLINK("#",""), HYPERLINK(CONCATENATE("#Metadata!", ADDRESS(INDEX($AI$2:$AI$1001,MATCH(ROWS($AG$2:AG966),$AG$2:$AG$1001,0),0), INDEX($AN$1004:$BO$1004,1,MATCH(COLUMNS($AN$1006:BN1006),$AN$1006:$BO$1006,0)))),"Fix")))</f>
        <v>0</v>
      </c>
      <c r="AC966" s="4">
        <f>IF(OR(INDEX($AH$2:$AH$1001,MATCH(ROWS($AG$2:AG966),$AG$2:$AG$1001,0),1)&gt;=100000,INDEX($AN$1005:$BO$1005,1,MATCH(COLUMNS($AN$1006:BO1006),$AN$1006:$BO$1006,0))&gt;=100000), " ",IF(INDEX($AN$2:$BO$1001,MATCH(ROWS($AG$2:AG966),$AG$2:$AG$1001,0),MATCH(COLUMNS($AN$1006:BO1006),$AN$1006:$BO$1006,0)), HYPERLINK("#",""), HYPERLINK(CONCATENATE("#Metadata!", ADDRESS(INDEX($AI$2:$AI$1001,MATCH(ROWS($AG$2:AG966),$AG$2:$AG$1001,0),0), INDEX($AN$1004:$BO$1004,1,MATCH(COLUMNS($AN$1006:BO1006),$AN$1006:$BO$1006,0)))),"Fix")))</f>
        <v>0</v>
      </c>
      <c r="AG966">
        <v>0</v>
      </c>
      <c r="AH966">
        <v>0</v>
      </c>
      <c r="AI966">
        <v>0</v>
      </c>
      <c r="AJ966">
        <f>IF(AK966,TRUE,AND(AN966:BO966))</f>
        <v>0</v>
      </c>
      <c r="AK966">
        <f>COUNTBLANK(Metadata!B966:AC966)=COLUMNS(Metadata!B966:AC966)</f>
        <v>0</v>
      </c>
      <c r="AL966">
        <v>0</v>
      </c>
      <c r="AN966">
        <f>AND(IF(Metadata!B966="",FALSE,TRUE),COUNTIF(Metadata!B:B, Metadata!B966) = 1,NOT(ISERROR(SUMPRODUCT(SEARCH(MID(Metadata!B966,ROW(INDIRECT("1:"&amp;LEN(Metadata!B966))), 1),"0123456789abcdefghijklmnopqrstuvwxyzABCDEFGHIJKLMNOPQRSTUVWXYZ.")))))</f>
        <v>0</v>
      </c>
      <c r="AO966">
        <f>IF(Metadata!C966="",FALSE,TRUE)</f>
        <v>0</v>
      </c>
      <c r="AP966">
        <f>IF(Metadata!D966="",FALSE,TRUE)</f>
        <v>0</v>
      </c>
      <c r="AQ966">
        <f>OR(AND(IF(Metadata!E966="",FALSE,TRUE),OR(exact(Metadata!E966,"not collected"),exact(Metadata!E966,"not provided"),exact(Metadata!E966,"restricted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R966">
        <f>IF(Metadata!F966="",FALSE,TRUE)</f>
        <v>0</v>
      </c>
      <c r="AS966">
        <f>OR(AND(IF(Metadata!G966="",FALSE,TRUE),OR(exact(Metadata!G966,"not collected"),exact(Metadata!G966,"not provided"))),AND(IF(Metadata!G966="",FALSE,TRUE),OR(exact(Metadata!G966,"TRUE"),exact(Metadata!G966,"FALSE"))))</f>
        <v>0</v>
      </c>
      <c r="AT966">
        <f>OR(AND(IF(Metadata!H966="",FALSE,TRUE),OR(exact(Metadata!H966,"not collected"),exact(Metadata!H966,"not provided"),exact(Metadata!H966,"restricted access"))),AND(IF(Metadata!H966="",FALSE,ISNUMBER(VALUE(Metadata!H966))),Metadata!H966&gt;=-413.0))</f>
        <v>0</v>
      </c>
      <c r="AU966">
        <f>AND(IF(Metadata!I966="",FALSE,TRUE),exact(Metadata!I966,"meters"))</f>
        <v>0</v>
      </c>
      <c r="AV966">
        <f>AND(IF(Metadata!J966="",FALSE,TRUE),OR(exact(Metadata!J966,"Host-associated"),exact(Metadata!J966,"Free-living")))</f>
        <v>0</v>
      </c>
      <c r="AW966">
        <f>AND(IF(Metadata!K966="",FALSE,TRUE),OR(exact(Metadata!K966,"Animal"),exact(Metadata!K966,"Fungus"),exact(Metadata!K966,"Plant"),exact(Metadata!K966,"Saline"),exact(Metadata!K966,"Non-saline")))</f>
        <v>0</v>
      </c>
      <c r="AX966">
        <f>AND(IF(Metadata!L966="",FALSE,TRUE),OR(exact(Metadata!L966,"Plant secretion"),exact(Metadata!L966,"Plant rhizosphere"),exact(Metadata!L966,"Plant surface"),exact(Metadata!L966,"Plant corpus"),exact(Metadata!L966,"Fungus surface"),exact(Metadata!L966,"Fungus corpus"),exact(Metadata!L966,"Animal surface"),exact(Metadata!L966,"Animal proximal gut"),exact(Metadata!L966,"Animal corpus"),exact(Metadata!L966,"Animal distal gut"),exact(Metadata!L966,"Animal secretion"),exact(Metadata!L966,"Sub-surface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Y966">
        <f>IF(Metadata!M966="",FALSE,TRUE)</f>
        <v>0</v>
      </c>
      <c r="AZ966">
        <f>IF(Metadata!N966="",FALSE,TRUE)</f>
        <v>0</v>
      </c>
      <c r="BA966">
        <f>IF(Metadata!O966="",FALSE,TRUE)</f>
        <v>0</v>
      </c>
      <c r="BB966">
        <f>OR(AND(IF(Metadata!P966="",FALSE,TRUE),OR(exact(Metadata!P966,"not collected"),exact(Metadata!P966,"not provided"),exact(Metadata!P966,"restricted access"))),AND(IF(Metadata!P966="",FALSE,TRUE),OR(exact(Metadata!P966,"air"),exact(Metadata!P966,"built environment"),exact(Metadata!P966,"host-associated"),exact(Metadata!P966,"human-associated"),exact(Metadata!P966,"human-skin"),exact(Metadata!P966,"human-oral"),exact(Metadata!P966,"human-gut"),exact(Metadata!P966,"human-vaginal"),exact(Metadata!P966,"microbial mat/biofilm"),exact(Metadata!P966,"misc environment"),exact(Metadata!P966,"plant-associated"),exact(Metadata!P966,"sediment"),exact(Metadata!P966,"soil"),exact(Metadata!P966,"wastewater/sludge"),exact(Metadata!P966,"water"))))</f>
        <v>0</v>
      </c>
      <c r="BC966">
        <f>IF(Metadata!Q966="",FALSE,TRUE)</f>
        <v>0</v>
      </c>
      <c r="BD966">
        <f>IF(Metadata!R966="",FALSE,TRUE)</f>
        <v>0</v>
      </c>
      <c r="BE966">
        <f>OR(AND(IF(Metadata!S966="",FALSE,TRUE),OR(exact(Metadata!S966,"not collected"),exact(Metadata!S966,"not provided"),exact(Metadata!S966,"restricted access"))),AND(IF(Metadata!S966="",FALSE,ISNUMBER(VALUE(Metadata!S966))),Metadata!S966&gt;=-90.00,Metadata!S966&lt;=90.00))</f>
        <v>0</v>
      </c>
      <c r="BF966">
        <f>AND(IF(Metadata!T966="",FALSE,TRUE),exact(Metadata!T966,"Decimal degrees"))</f>
        <v>0</v>
      </c>
      <c r="BG966">
        <f>OR(AND(IF(Metadata!U966="",FALSE,TRUE),OR(exact(Metadata!U966,"not collected"),exact(Metadata!U966,"not provided"),exact(Metadata!U966,"restricted access"))),AND(IF(Metadata!U966="",FALSE,ISNUMBER(VALUE(Metadata!U966))),Metadata!U966&gt;=-180.00,Metadata!U966&lt;=180.00))</f>
        <v>0</v>
      </c>
      <c r="BH966">
        <f>AND(IF(Metadata!V966="",FALSE,TRUE),exact(Metadata!V966,"Decimal degrees"))</f>
        <v>0</v>
      </c>
      <c r="BI966">
        <f>IF(Metadata!W966="",FALSE,TRUE)</f>
        <v>0</v>
      </c>
      <c r="BJ966">
        <f>OR(AND(IF(Metadata!X966="",FALSE,TRUE),OR(exact(Metadata!X966,"not collected"),exact(Metadata!X966,"not provided"),exact(Metadata!X966,"restricted access"))),AND(IF(Metadata!X966="",FALSE,TRUE),OR(exact(Metadata!X966,"TRUE"),exact(Metadata!X966,"FALSE"))))</f>
        <v>0</v>
      </c>
      <c r="BK966">
        <f>AND(IF(Metadata!Y966="",FALSE,TRUE),exact(Metadata!Y966,"other"))</f>
        <v>0</v>
      </c>
      <c r="BL966">
        <f>IF(Metadata!Z966="",FALSE,TRUE)</f>
        <v>0</v>
      </c>
      <c r="BM966">
        <f>OR(AND(IF(Metadata!AA966="",FALSE,TRUE),OR(exact(Metadata!AA966,"not collected"),exact(Metadata!AA966,"not provided"))),AND(IF(Metadata!AA966="",FALSE,IF(ISERROR(INT(Metadata!AA966)),FALSE,INT(Metadata!AA966)=Metadata!AA966)),Metadata!AA966&gt;0))</f>
        <v>0</v>
      </c>
      <c r="BN966">
        <f>AND(IF(Metadata!AB966="",FALSE,TRUE),exact(Metadata!AB966,"Not applicable"))</f>
        <v>0</v>
      </c>
      <c r="BO966">
        <f>IF(Metadata!AC966="",FALSE,TRUE)</f>
        <v>0</v>
      </c>
    </row>
    <row r="967" spans="1:67">
      <c r="A967" s="5">
        <f>IF(B967=" "," ",HYPERLINK(CONCATENATE("#metadata!",ADDRESS(INDEX($AI$2:$AI$1001,MATCH(ROWS($AG$2:AG967),$AG$2:$AG$1001,0),0),1)),INDEX($AL$2:$AL$1001,MATCH(ROWS($AG$2:AG967),$AG$2:$AG$1001,0),0)))</f>
        <v>0</v>
      </c>
      <c r="B967" s="4">
        <f>IF(OR(INDEX($AH$2:$AH$1001,MATCH(ROWS($AG$2:AG967),$AG$2:$AG$1001,0),1)&gt;=100000,INDEX($AN$1005:$BO$1005,1,MATCH(COLUMNS($AN$1006:AN1006),$AN$1006:$BO$1006,0))&gt;=100000), " ",IF(INDEX($AN$2:$BO$1001,MATCH(ROWS($AG$2:AG967),$AG$2:$AG$1001,0),MATCH(COLUMNS($AN$1006:AN1006),$AN$1006:$BO$1006,0)), HYPERLINK("#",""), HYPERLINK(CONCATENATE("#Metadata!", ADDRESS(INDEX($AI$2:$AI$1001,MATCH(ROWS($AG$2:AG967),$AG$2:$AG$1001,0),0), INDEX($AN$1004:$BO$1004,1,MATCH(COLUMNS($AN$1006:AN1006),$AN$1006:$BO$1006,0)))),"Fix")))</f>
        <v>0</v>
      </c>
      <c r="C967" s="4">
        <f>IF(OR(INDEX($AH$2:$AH$1001,MATCH(ROWS($AG$2:AG967),$AG$2:$AG$1001,0),1)&gt;=100000,INDEX($AN$1005:$BO$1005,1,MATCH(COLUMNS($AN$1006:AO1006),$AN$1006:$BO$1006,0))&gt;=100000), " ",IF(INDEX($AN$2:$BO$1001,MATCH(ROWS($AG$2:AG967),$AG$2:$AG$1001,0),MATCH(COLUMNS($AN$1006:AO1006),$AN$1006:$BO$1006,0)), HYPERLINK("#",""), HYPERLINK(CONCATENATE("#Metadata!", ADDRESS(INDEX($AI$2:$AI$1001,MATCH(ROWS($AG$2:AG967),$AG$2:$AG$1001,0),0), INDEX($AN$1004:$BO$1004,1,MATCH(COLUMNS($AN$1006:AO1006),$AN$1006:$BO$1006,0)))),"Fix")))</f>
        <v>0</v>
      </c>
      <c r="D967" s="4">
        <f>IF(OR(INDEX($AH$2:$AH$1001,MATCH(ROWS($AG$2:AG967),$AG$2:$AG$1001,0),1)&gt;=100000,INDEX($AN$1005:$BO$1005,1,MATCH(COLUMNS($AN$1006:AP1006),$AN$1006:$BO$1006,0))&gt;=100000), " ",IF(INDEX($AN$2:$BO$1001,MATCH(ROWS($AG$2:AG967),$AG$2:$AG$1001,0),MATCH(COLUMNS($AN$1006:AP1006),$AN$1006:$BO$1006,0)), HYPERLINK("#",""), HYPERLINK(CONCATENATE("#Metadata!", ADDRESS(INDEX($AI$2:$AI$1001,MATCH(ROWS($AG$2:AG967),$AG$2:$AG$1001,0),0), INDEX($AN$1004:$BO$1004,1,MATCH(COLUMNS($AN$1006:AP1006),$AN$1006:$BO$1006,0)))),"Fix")))</f>
        <v>0</v>
      </c>
      <c r="E967" s="4">
        <f>IF(OR(INDEX($AH$2:$AH$1001,MATCH(ROWS($AG$2:AG967),$AG$2:$AG$1001,0),1)&gt;=100000,INDEX($AN$1005:$BO$1005,1,MATCH(COLUMNS($AN$1006:AQ1006),$AN$1006:$BO$1006,0))&gt;=100000), " ",IF(INDEX($AN$2:$BO$1001,MATCH(ROWS($AG$2:AG967),$AG$2:$AG$1001,0),MATCH(COLUMNS($AN$1006:AQ1006),$AN$1006:$BO$1006,0)), HYPERLINK("#",""), HYPERLINK(CONCATENATE("#Metadata!", ADDRESS(INDEX($AI$2:$AI$1001,MATCH(ROWS($AG$2:AG967),$AG$2:$AG$1001,0),0), INDEX($AN$1004:$BO$1004,1,MATCH(COLUMNS($AN$1006:AQ1006),$AN$1006:$BO$1006,0)))),"Fix")))</f>
        <v>0</v>
      </c>
      <c r="F967" s="4">
        <f>IF(OR(INDEX($AH$2:$AH$1001,MATCH(ROWS($AG$2:AG967),$AG$2:$AG$1001,0),1)&gt;=100000,INDEX($AN$1005:$BO$1005,1,MATCH(COLUMNS($AN$1006:AR1006),$AN$1006:$BO$1006,0))&gt;=100000), " ",IF(INDEX($AN$2:$BO$1001,MATCH(ROWS($AG$2:AG967),$AG$2:$AG$1001,0),MATCH(COLUMNS($AN$1006:AR1006),$AN$1006:$BO$1006,0)), HYPERLINK("#",""), HYPERLINK(CONCATENATE("#Metadata!", ADDRESS(INDEX($AI$2:$AI$1001,MATCH(ROWS($AG$2:AG967),$AG$2:$AG$1001,0),0), INDEX($AN$1004:$BO$1004,1,MATCH(COLUMNS($AN$1006:AR1006),$AN$1006:$BO$1006,0)))),"Fix")))</f>
        <v>0</v>
      </c>
      <c r="G967" s="4">
        <f>IF(OR(INDEX($AH$2:$AH$1001,MATCH(ROWS($AG$2:AG967),$AG$2:$AG$1001,0),1)&gt;=100000,INDEX($AN$1005:$BO$1005,1,MATCH(COLUMNS($AN$1006:AS1006),$AN$1006:$BO$1006,0))&gt;=100000), " ",IF(INDEX($AN$2:$BO$1001,MATCH(ROWS($AG$2:AG967),$AG$2:$AG$1001,0),MATCH(COLUMNS($AN$1006:AS1006),$AN$1006:$BO$1006,0)), HYPERLINK("#",""), HYPERLINK(CONCATENATE("#Metadata!", ADDRESS(INDEX($AI$2:$AI$1001,MATCH(ROWS($AG$2:AG967),$AG$2:$AG$1001,0),0), INDEX($AN$1004:$BO$1004,1,MATCH(COLUMNS($AN$1006:AS1006),$AN$1006:$BO$1006,0)))),"Fix")))</f>
        <v>0</v>
      </c>
      <c r="H967" s="4">
        <f>IF(OR(INDEX($AH$2:$AH$1001,MATCH(ROWS($AG$2:AG967),$AG$2:$AG$1001,0),1)&gt;=100000,INDEX($AN$1005:$BO$1005,1,MATCH(COLUMNS($AN$1006:AT1006),$AN$1006:$BO$1006,0))&gt;=100000), " ",IF(INDEX($AN$2:$BO$1001,MATCH(ROWS($AG$2:AG967),$AG$2:$AG$1001,0),MATCH(COLUMNS($AN$1006:AT1006),$AN$1006:$BO$1006,0)), HYPERLINK("#",""), HYPERLINK(CONCATENATE("#Metadata!", ADDRESS(INDEX($AI$2:$AI$1001,MATCH(ROWS($AG$2:AG967),$AG$2:$AG$1001,0),0), INDEX($AN$1004:$BO$1004,1,MATCH(COLUMNS($AN$1006:AT1006),$AN$1006:$BO$1006,0)))),"Fix")))</f>
        <v>0</v>
      </c>
      <c r="I967" s="4">
        <f>IF(OR(INDEX($AH$2:$AH$1001,MATCH(ROWS($AG$2:AG967),$AG$2:$AG$1001,0),1)&gt;=100000,INDEX($AN$1005:$BO$1005,1,MATCH(COLUMNS($AN$1006:AU1006),$AN$1006:$BO$1006,0))&gt;=100000), " ",IF(INDEX($AN$2:$BO$1001,MATCH(ROWS($AG$2:AG967),$AG$2:$AG$1001,0),MATCH(COLUMNS($AN$1006:AU1006),$AN$1006:$BO$1006,0)), HYPERLINK("#",""), HYPERLINK(CONCATENATE("#Metadata!", ADDRESS(INDEX($AI$2:$AI$1001,MATCH(ROWS($AG$2:AG967),$AG$2:$AG$1001,0),0), INDEX($AN$1004:$BO$1004,1,MATCH(COLUMNS($AN$1006:AU1006),$AN$1006:$BO$1006,0)))),"Fix")))</f>
        <v>0</v>
      </c>
      <c r="J967" s="4">
        <f>IF(OR(INDEX($AH$2:$AH$1001,MATCH(ROWS($AG$2:AG967),$AG$2:$AG$1001,0),1)&gt;=100000,INDEX($AN$1005:$BO$1005,1,MATCH(COLUMNS($AN$1006:AV1006),$AN$1006:$BO$1006,0))&gt;=100000), " ",IF(INDEX($AN$2:$BO$1001,MATCH(ROWS($AG$2:AG967),$AG$2:$AG$1001,0),MATCH(COLUMNS($AN$1006:AV1006),$AN$1006:$BO$1006,0)), HYPERLINK("#",""), HYPERLINK(CONCATENATE("#Metadata!", ADDRESS(INDEX($AI$2:$AI$1001,MATCH(ROWS($AG$2:AG967),$AG$2:$AG$1001,0),0), INDEX($AN$1004:$BO$1004,1,MATCH(COLUMNS($AN$1006:AV1006),$AN$1006:$BO$1006,0)))),"Fix")))</f>
        <v>0</v>
      </c>
      <c r="K967" s="4">
        <f>IF(OR(INDEX($AH$2:$AH$1001,MATCH(ROWS($AG$2:AG967),$AG$2:$AG$1001,0),1)&gt;=100000,INDEX($AN$1005:$BO$1005,1,MATCH(COLUMNS($AN$1006:AW1006),$AN$1006:$BO$1006,0))&gt;=100000), " ",IF(INDEX($AN$2:$BO$1001,MATCH(ROWS($AG$2:AG967),$AG$2:$AG$1001,0),MATCH(COLUMNS($AN$1006:AW1006),$AN$1006:$BO$1006,0)), HYPERLINK("#",""), HYPERLINK(CONCATENATE("#Metadata!", ADDRESS(INDEX($AI$2:$AI$1001,MATCH(ROWS($AG$2:AG967),$AG$2:$AG$1001,0),0), INDEX($AN$1004:$BO$1004,1,MATCH(COLUMNS($AN$1006:AW1006),$AN$1006:$BO$1006,0)))),"Fix")))</f>
        <v>0</v>
      </c>
      <c r="L967" s="4">
        <f>IF(OR(INDEX($AH$2:$AH$1001,MATCH(ROWS($AG$2:AG967),$AG$2:$AG$1001,0),1)&gt;=100000,INDEX($AN$1005:$BO$1005,1,MATCH(COLUMNS($AN$1006:AX1006),$AN$1006:$BO$1006,0))&gt;=100000), " ",IF(INDEX($AN$2:$BO$1001,MATCH(ROWS($AG$2:AG967),$AG$2:$AG$1001,0),MATCH(COLUMNS($AN$1006:AX1006),$AN$1006:$BO$1006,0)), HYPERLINK("#",""), HYPERLINK(CONCATENATE("#Metadata!", ADDRESS(INDEX($AI$2:$AI$1001,MATCH(ROWS($AG$2:AG967),$AG$2:$AG$1001,0),0), INDEX($AN$1004:$BO$1004,1,MATCH(COLUMNS($AN$1006:AX1006),$AN$1006:$BO$1006,0)))),"Fix")))</f>
        <v>0</v>
      </c>
      <c r="M967" s="4">
        <f>IF(OR(INDEX($AH$2:$AH$1001,MATCH(ROWS($AG$2:AG967),$AG$2:$AG$1001,0),1)&gt;=100000,INDEX($AN$1005:$BO$1005,1,MATCH(COLUMNS($AN$1006:AY1006),$AN$1006:$BO$1006,0))&gt;=100000), " ",IF(INDEX($AN$2:$BO$1001,MATCH(ROWS($AG$2:AG967),$AG$2:$AG$1001,0),MATCH(COLUMNS($AN$1006:AY1006),$AN$1006:$BO$1006,0)), HYPERLINK("#",""), HYPERLINK(CONCATENATE("#Metadata!", ADDRESS(INDEX($AI$2:$AI$1001,MATCH(ROWS($AG$2:AG967),$AG$2:$AG$1001,0),0), INDEX($AN$1004:$BO$1004,1,MATCH(COLUMNS($AN$1006:AY1006),$AN$1006:$BO$1006,0)))),"Fix")))</f>
        <v>0</v>
      </c>
      <c r="N967" s="4">
        <f>IF(OR(INDEX($AH$2:$AH$1001,MATCH(ROWS($AG$2:AG967),$AG$2:$AG$1001,0),1)&gt;=100000,INDEX($AN$1005:$BO$1005,1,MATCH(COLUMNS($AN$1006:AZ1006),$AN$1006:$BO$1006,0))&gt;=100000), " ",IF(INDEX($AN$2:$BO$1001,MATCH(ROWS($AG$2:AG967),$AG$2:$AG$1001,0),MATCH(COLUMNS($AN$1006:AZ1006),$AN$1006:$BO$1006,0)), HYPERLINK("#",""), HYPERLINK(CONCATENATE("#Metadata!", ADDRESS(INDEX($AI$2:$AI$1001,MATCH(ROWS($AG$2:AG967),$AG$2:$AG$1001,0),0), INDEX($AN$1004:$BO$1004,1,MATCH(COLUMNS($AN$1006:AZ1006),$AN$1006:$BO$1006,0)))),"Fix")))</f>
        <v>0</v>
      </c>
      <c r="O967" s="4">
        <f>IF(OR(INDEX($AH$2:$AH$1001,MATCH(ROWS($AG$2:AG967),$AG$2:$AG$1001,0),1)&gt;=100000,INDEX($AN$1005:$BO$1005,1,MATCH(COLUMNS($AN$1006:BA1006),$AN$1006:$BO$1006,0))&gt;=100000), " ",IF(INDEX($AN$2:$BO$1001,MATCH(ROWS($AG$2:AG967),$AG$2:$AG$1001,0),MATCH(COLUMNS($AN$1006:BA1006),$AN$1006:$BO$1006,0)), HYPERLINK("#",""), HYPERLINK(CONCATENATE("#Metadata!", ADDRESS(INDEX($AI$2:$AI$1001,MATCH(ROWS($AG$2:AG967),$AG$2:$AG$1001,0),0), INDEX($AN$1004:$BO$1004,1,MATCH(COLUMNS($AN$1006:BA1006),$AN$1006:$BO$1006,0)))),"Fix")))</f>
        <v>0</v>
      </c>
      <c r="P967" s="4">
        <f>IF(OR(INDEX($AH$2:$AH$1001,MATCH(ROWS($AG$2:AG967),$AG$2:$AG$1001,0),1)&gt;=100000,INDEX($AN$1005:$BO$1005,1,MATCH(COLUMNS($AN$1006:BB1006),$AN$1006:$BO$1006,0))&gt;=100000), " ",IF(INDEX($AN$2:$BO$1001,MATCH(ROWS($AG$2:AG967),$AG$2:$AG$1001,0),MATCH(COLUMNS($AN$1006:BB1006),$AN$1006:$BO$1006,0)), HYPERLINK("#",""), HYPERLINK(CONCATENATE("#Metadata!", ADDRESS(INDEX($AI$2:$AI$1001,MATCH(ROWS($AG$2:AG967),$AG$2:$AG$1001,0),0), INDEX($AN$1004:$BO$1004,1,MATCH(COLUMNS($AN$1006:BB1006),$AN$1006:$BO$1006,0)))),"Fix")))</f>
        <v>0</v>
      </c>
      <c r="Q967" s="4">
        <f>IF(OR(INDEX($AH$2:$AH$1001,MATCH(ROWS($AG$2:AG967),$AG$2:$AG$1001,0),1)&gt;=100000,INDEX($AN$1005:$BO$1005,1,MATCH(COLUMNS($AN$1006:BC1006),$AN$1006:$BO$1006,0))&gt;=100000), " ",IF(INDEX($AN$2:$BO$1001,MATCH(ROWS($AG$2:AG967),$AG$2:$AG$1001,0),MATCH(COLUMNS($AN$1006:BC1006),$AN$1006:$BO$1006,0)), HYPERLINK("#",""), HYPERLINK(CONCATENATE("#Metadata!", ADDRESS(INDEX($AI$2:$AI$1001,MATCH(ROWS($AG$2:AG967),$AG$2:$AG$1001,0),0), INDEX($AN$1004:$BO$1004,1,MATCH(COLUMNS($AN$1006:BC1006),$AN$1006:$BO$1006,0)))),"Fix")))</f>
        <v>0</v>
      </c>
      <c r="R967" s="4">
        <f>IF(OR(INDEX($AH$2:$AH$1001,MATCH(ROWS($AG$2:AG967),$AG$2:$AG$1001,0),1)&gt;=100000,INDEX($AN$1005:$BO$1005,1,MATCH(COLUMNS($AN$1006:BD1006),$AN$1006:$BO$1006,0))&gt;=100000), " ",IF(INDEX($AN$2:$BO$1001,MATCH(ROWS($AG$2:AG967),$AG$2:$AG$1001,0),MATCH(COLUMNS($AN$1006:BD1006),$AN$1006:$BO$1006,0)), HYPERLINK("#",""), HYPERLINK(CONCATENATE("#Metadata!", ADDRESS(INDEX($AI$2:$AI$1001,MATCH(ROWS($AG$2:AG967),$AG$2:$AG$1001,0),0), INDEX($AN$1004:$BO$1004,1,MATCH(COLUMNS($AN$1006:BD1006),$AN$1006:$BO$1006,0)))),"Fix")))</f>
        <v>0</v>
      </c>
      <c r="S967" s="4">
        <f>IF(OR(INDEX($AH$2:$AH$1001,MATCH(ROWS($AG$2:AG967),$AG$2:$AG$1001,0),1)&gt;=100000,INDEX($AN$1005:$BO$1005,1,MATCH(COLUMNS($AN$1006:BE1006),$AN$1006:$BO$1006,0))&gt;=100000), " ",IF(INDEX($AN$2:$BO$1001,MATCH(ROWS($AG$2:AG967),$AG$2:$AG$1001,0),MATCH(COLUMNS($AN$1006:BE1006),$AN$1006:$BO$1006,0)), HYPERLINK("#",""), HYPERLINK(CONCATENATE("#Metadata!", ADDRESS(INDEX($AI$2:$AI$1001,MATCH(ROWS($AG$2:AG967),$AG$2:$AG$1001,0),0), INDEX($AN$1004:$BO$1004,1,MATCH(COLUMNS($AN$1006:BE1006),$AN$1006:$BO$1006,0)))),"Fix")))</f>
        <v>0</v>
      </c>
      <c r="T967" s="4">
        <f>IF(OR(INDEX($AH$2:$AH$1001,MATCH(ROWS($AG$2:AG967),$AG$2:$AG$1001,0),1)&gt;=100000,INDEX($AN$1005:$BO$1005,1,MATCH(COLUMNS($AN$1006:BF1006),$AN$1006:$BO$1006,0))&gt;=100000), " ",IF(INDEX($AN$2:$BO$1001,MATCH(ROWS($AG$2:AG967),$AG$2:$AG$1001,0),MATCH(COLUMNS($AN$1006:BF1006),$AN$1006:$BO$1006,0)), HYPERLINK("#",""), HYPERLINK(CONCATENATE("#Metadata!", ADDRESS(INDEX($AI$2:$AI$1001,MATCH(ROWS($AG$2:AG967),$AG$2:$AG$1001,0),0), INDEX($AN$1004:$BO$1004,1,MATCH(COLUMNS($AN$1006:BF1006),$AN$1006:$BO$1006,0)))),"Fix")))</f>
        <v>0</v>
      </c>
      <c r="U967" s="4">
        <f>IF(OR(INDEX($AH$2:$AH$1001,MATCH(ROWS($AG$2:AG967),$AG$2:$AG$1001,0),1)&gt;=100000,INDEX($AN$1005:$BO$1005,1,MATCH(COLUMNS($AN$1006:BG1006),$AN$1006:$BO$1006,0))&gt;=100000), " ",IF(INDEX($AN$2:$BO$1001,MATCH(ROWS($AG$2:AG967),$AG$2:$AG$1001,0),MATCH(COLUMNS($AN$1006:BG1006),$AN$1006:$BO$1006,0)), HYPERLINK("#",""), HYPERLINK(CONCATENATE("#Metadata!", ADDRESS(INDEX($AI$2:$AI$1001,MATCH(ROWS($AG$2:AG967),$AG$2:$AG$1001,0),0), INDEX($AN$1004:$BO$1004,1,MATCH(COLUMNS($AN$1006:BG1006),$AN$1006:$BO$1006,0)))),"Fix")))</f>
        <v>0</v>
      </c>
      <c r="V967" s="4">
        <f>IF(OR(INDEX($AH$2:$AH$1001,MATCH(ROWS($AG$2:AG967),$AG$2:$AG$1001,0),1)&gt;=100000,INDEX($AN$1005:$BO$1005,1,MATCH(COLUMNS($AN$1006:BH1006),$AN$1006:$BO$1006,0))&gt;=100000), " ",IF(INDEX($AN$2:$BO$1001,MATCH(ROWS($AG$2:AG967),$AG$2:$AG$1001,0),MATCH(COLUMNS($AN$1006:BH1006),$AN$1006:$BO$1006,0)), HYPERLINK("#",""), HYPERLINK(CONCATENATE("#Metadata!", ADDRESS(INDEX($AI$2:$AI$1001,MATCH(ROWS($AG$2:AG967),$AG$2:$AG$1001,0),0), INDEX($AN$1004:$BO$1004,1,MATCH(COLUMNS($AN$1006:BH1006),$AN$1006:$BO$1006,0)))),"Fix")))</f>
        <v>0</v>
      </c>
      <c r="W967" s="4">
        <f>IF(OR(INDEX($AH$2:$AH$1001,MATCH(ROWS($AG$2:AG967),$AG$2:$AG$1001,0),1)&gt;=100000,INDEX($AN$1005:$BO$1005,1,MATCH(COLUMNS($AN$1006:BI1006),$AN$1006:$BO$1006,0))&gt;=100000), " ",IF(INDEX($AN$2:$BO$1001,MATCH(ROWS($AG$2:AG967),$AG$2:$AG$1001,0),MATCH(COLUMNS($AN$1006:BI1006),$AN$1006:$BO$1006,0)), HYPERLINK("#",""), HYPERLINK(CONCATENATE("#Metadata!", ADDRESS(INDEX($AI$2:$AI$1001,MATCH(ROWS($AG$2:AG967),$AG$2:$AG$1001,0),0), INDEX($AN$1004:$BO$1004,1,MATCH(COLUMNS($AN$1006:BI1006),$AN$1006:$BO$1006,0)))),"Fix")))</f>
        <v>0</v>
      </c>
      <c r="X967" s="4">
        <f>IF(OR(INDEX($AH$2:$AH$1001,MATCH(ROWS($AG$2:AG967),$AG$2:$AG$1001,0),1)&gt;=100000,INDEX($AN$1005:$BO$1005,1,MATCH(COLUMNS($AN$1006:BJ1006),$AN$1006:$BO$1006,0))&gt;=100000), " ",IF(INDEX($AN$2:$BO$1001,MATCH(ROWS($AG$2:AG967),$AG$2:$AG$1001,0),MATCH(COLUMNS($AN$1006:BJ1006),$AN$1006:$BO$1006,0)), HYPERLINK("#",""), HYPERLINK(CONCATENATE("#Metadata!", ADDRESS(INDEX($AI$2:$AI$1001,MATCH(ROWS($AG$2:AG967),$AG$2:$AG$1001,0),0), INDEX($AN$1004:$BO$1004,1,MATCH(COLUMNS($AN$1006:BJ1006),$AN$1006:$BO$1006,0)))),"Fix")))</f>
        <v>0</v>
      </c>
      <c r="Y967" s="4">
        <f>IF(OR(INDEX($AH$2:$AH$1001,MATCH(ROWS($AG$2:AG967),$AG$2:$AG$1001,0),1)&gt;=100000,INDEX($AN$1005:$BO$1005,1,MATCH(COLUMNS($AN$1006:BK1006),$AN$1006:$BO$1006,0))&gt;=100000), " ",IF(INDEX($AN$2:$BO$1001,MATCH(ROWS($AG$2:AG967),$AG$2:$AG$1001,0),MATCH(COLUMNS($AN$1006:BK1006),$AN$1006:$BO$1006,0)), HYPERLINK("#",""), HYPERLINK(CONCATENATE("#Metadata!", ADDRESS(INDEX($AI$2:$AI$1001,MATCH(ROWS($AG$2:AG967),$AG$2:$AG$1001,0),0), INDEX($AN$1004:$BO$1004,1,MATCH(COLUMNS($AN$1006:BK1006),$AN$1006:$BO$1006,0)))),"Fix")))</f>
        <v>0</v>
      </c>
      <c r="Z967" s="4">
        <f>IF(OR(INDEX($AH$2:$AH$1001,MATCH(ROWS($AG$2:AG967),$AG$2:$AG$1001,0),1)&gt;=100000,INDEX($AN$1005:$BO$1005,1,MATCH(COLUMNS($AN$1006:BL1006),$AN$1006:$BO$1006,0))&gt;=100000), " ",IF(INDEX($AN$2:$BO$1001,MATCH(ROWS($AG$2:AG967),$AG$2:$AG$1001,0),MATCH(COLUMNS($AN$1006:BL1006),$AN$1006:$BO$1006,0)), HYPERLINK("#",""), HYPERLINK(CONCATENATE("#Metadata!", ADDRESS(INDEX($AI$2:$AI$1001,MATCH(ROWS($AG$2:AG967),$AG$2:$AG$1001,0),0), INDEX($AN$1004:$BO$1004,1,MATCH(COLUMNS($AN$1006:BL1006),$AN$1006:$BO$1006,0)))),"Fix")))</f>
        <v>0</v>
      </c>
      <c r="AA967" s="4">
        <f>IF(OR(INDEX($AH$2:$AH$1001,MATCH(ROWS($AG$2:AG967),$AG$2:$AG$1001,0),1)&gt;=100000,INDEX($AN$1005:$BO$1005,1,MATCH(COLUMNS($AN$1006:BM1006),$AN$1006:$BO$1006,0))&gt;=100000), " ",IF(INDEX($AN$2:$BO$1001,MATCH(ROWS($AG$2:AG967),$AG$2:$AG$1001,0),MATCH(COLUMNS($AN$1006:BM1006),$AN$1006:$BO$1006,0)), HYPERLINK("#",""), HYPERLINK(CONCATENATE("#Metadata!", ADDRESS(INDEX($AI$2:$AI$1001,MATCH(ROWS($AG$2:AG967),$AG$2:$AG$1001,0),0), INDEX($AN$1004:$BO$1004,1,MATCH(COLUMNS($AN$1006:BM1006),$AN$1006:$BO$1006,0)))),"Fix")))</f>
        <v>0</v>
      </c>
      <c r="AB967" s="4">
        <f>IF(OR(INDEX($AH$2:$AH$1001,MATCH(ROWS($AG$2:AG967),$AG$2:$AG$1001,0),1)&gt;=100000,INDEX($AN$1005:$BO$1005,1,MATCH(COLUMNS($AN$1006:BN1006),$AN$1006:$BO$1006,0))&gt;=100000), " ",IF(INDEX($AN$2:$BO$1001,MATCH(ROWS($AG$2:AG967),$AG$2:$AG$1001,0),MATCH(COLUMNS($AN$1006:BN1006),$AN$1006:$BO$1006,0)), HYPERLINK("#",""), HYPERLINK(CONCATENATE("#Metadata!", ADDRESS(INDEX($AI$2:$AI$1001,MATCH(ROWS($AG$2:AG967),$AG$2:$AG$1001,0),0), INDEX($AN$1004:$BO$1004,1,MATCH(COLUMNS($AN$1006:BN1006),$AN$1006:$BO$1006,0)))),"Fix")))</f>
        <v>0</v>
      </c>
      <c r="AC967" s="4">
        <f>IF(OR(INDEX($AH$2:$AH$1001,MATCH(ROWS($AG$2:AG967),$AG$2:$AG$1001,0),1)&gt;=100000,INDEX($AN$1005:$BO$1005,1,MATCH(COLUMNS($AN$1006:BO1006),$AN$1006:$BO$1006,0))&gt;=100000), " ",IF(INDEX($AN$2:$BO$1001,MATCH(ROWS($AG$2:AG967),$AG$2:$AG$1001,0),MATCH(COLUMNS($AN$1006:BO1006),$AN$1006:$BO$1006,0)), HYPERLINK("#",""), HYPERLINK(CONCATENATE("#Metadata!", ADDRESS(INDEX($AI$2:$AI$1001,MATCH(ROWS($AG$2:AG967),$AG$2:$AG$1001,0),0), INDEX($AN$1004:$BO$1004,1,MATCH(COLUMNS($AN$1006:BO1006),$AN$1006:$BO$1006,0)))),"Fix")))</f>
        <v>0</v>
      </c>
      <c r="AG967">
        <v>0</v>
      </c>
      <c r="AH967">
        <v>0</v>
      </c>
      <c r="AI967">
        <v>0</v>
      </c>
      <c r="AJ967">
        <f>IF(AK967,TRUE,AND(AN967:BO967))</f>
        <v>0</v>
      </c>
      <c r="AK967">
        <f>COUNTBLANK(Metadata!B967:AC967)=COLUMNS(Metadata!B967:AC967)</f>
        <v>0</v>
      </c>
      <c r="AL967">
        <v>0</v>
      </c>
      <c r="AN967">
        <f>AND(IF(Metadata!B967="",FALSE,TRUE),COUNTIF(Metadata!B:B, Metadata!B967) = 1,NOT(ISERROR(SUMPRODUCT(SEARCH(MID(Metadata!B967,ROW(INDIRECT("1:"&amp;LEN(Metadata!B967))), 1),"0123456789abcdefghijklmnopqrstuvwxyzABCDEFGHIJKLMNOPQRSTUVWXYZ.")))))</f>
        <v>0</v>
      </c>
      <c r="AO967">
        <f>IF(Metadata!C967="",FALSE,TRUE)</f>
        <v>0</v>
      </c>
      <c r="AP967">
        <f>IF(Metadata!D967="",FALSE,TRUE)</f>
        <v>0</v>
      </c>
      <c r="AQ967">
        <f>OR(AND(IF(Metadata!E967="",FALSE,TRUE),OR(exact(Metadata!E967,"not collected"),exact(Metadata!E967,"not provided"),exact(Metadata!E967,"restricted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R967">
        <f>IF(Metadata!F967="",FALSE,TRUE)</f>
        <v>0</v>
      </c>
      <c r="AS967">
        <f>OR(AND(IF(Metadata!G967="",FALSE,TRUE),OR(exact(Metadata!G967,"not collected"),exact(Metadata!G967,"not provided"))),AND(IF(Metadata!G967="",FALSE,TRUE),OR(exact(Metadata!G967,"TRUE"),exact(Metadata!G967,"FALSE"))))</f>
        <v>0</v>
      </c>
      <c r="AT967">
        <f>OR(AND(IF(Metadata!H967="",FALSE,TRUE),OR(exact(Metadata!H967,"not collected"),exact(Metadata!H967,"not provided"),exact(Metadata!H967,"restricted access"))),AND(IF(Metadata!H967="",FALSE,ISNUMBER(VALUE(Metadata!H967))),Metadata!H967&gt;=-413.0))</f>
        <v>0</v>
      </c>
      <c r="AU967">
        <f>AND(IF(Metadata!I967="",FALSE,TRUE),exact(Metadata!I967,"meters"))</f>
        <v>0</v>
      </c>
      <c r="AV967">
        <f>AND(IF(Metadata!J967="",FALSE,TRUE),OR(exact(Metadata!J967,"Host-associated"),exact(Metadata!J967,"Free-living")))</f>
        <v>0</v>
      </c>
      <c r="AW967">
        <f>AND(IF(Metadata!K967="",FALSE,TRUE),OR(exact(Metadata!K967,"Animal"),exact(Metadata!K967,"Fungus"),exact(Metadata!K967,"Plant"),exact(Metadata!K967,"Saline"),exact(Metadata!K967,"Non-saline")))</f>
        <v>0</v>
      </c>
      <c r="AX967">
        <f>AND(IF(Metadata!L967="",FALSE,TRUE),OR(exact(Metadata!L967,"Plant secretion"),exact(Metadata!L967,"Plant rhizosphere"),exact(Metadata!L967,"Plant surface"),exact(Metadata!L967,"Plant corpus"),exact(Metadata!L967,"Fungus surface"),exact(Metadata!L967,"Fungus corpus"),exact(Metadata!L967,"Animal surface"),exact(Metadata!L967,"Animal proximal gut"),exact(Metadata!L967,"Animal corpus"),exact(Metadata!L967,"Animal distal gut"),exact(Metadata!L967,"Animal secretion"),exact(Metadata!L967,"Sub-surface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Y967">
        <f>IF(Metadata!M967="",FALSE,TRUE)</f>
        <v>0</v>
      </c>
      <c r="AZ967">
        <f>IF(Metadata!N967="",FALSE,TRUE)</f>
        <v>0</v>
      </c>
      <c r="BA967">
        <f>IF(Metadata!O967="",FALSE,TRUE)</f>
        <v>0</v>
      </c>
      <c r="BB967">
        <f>OR(AND(IF(Metadata!P967="",FALSE,TRUE),OR(exact(Metadata!P967,"not collected"),exact(Metadata!P967,"not provided"),exact(Metadata!P967,"restricted access"))),AND(IF(Metadata!P967="",FALSE,TRUE),OR(exact(Metadata!P967,"air"),exact(Metadata!P967,"built environment"),exact(Metadata!P967,"host-associated"),exact(Metadata!P967,"human-associated"),exact(Metadata!P967,"human-skin"),exact(Metadata!P967,"human-oral"),exact(Metadata!P967,"human-gut"),exact(Metadata!P967,"human-vaginal"),exact(Metadata!P967,"microbial mat/biofilm"),exact(Metadata!P967,"misc environment"),exact(Metadata!P967,"plant-associated"),exact(Metadata!P967,"sediment"),exact(Metadata!P967,"soil"),exact(Metadata!P967,"wastewater/sludge"),exact(Metadata!P967,"water"))))</f>
        <v>0</v>
      </c>
      <c r="BC967">
        <f>IF(Metadata!Q967="",FALSE,TRUE)</f>
        <v>0</v>
      </c>
      <c r="BD967">
        <f>IF(Metadata!R967="",FALSE,TRUE)</f>
        <v>0</v>
      </c>
      <c r="BE967">
        <f>OR(AND(IF(Metadata!S967="",FALSE,TRUE),OR(exact(Metadata!S967,"not collected"),exact(Metadata!S967,"not provided"),exact(Metadata!S967,"restricted access"))),AND(IF(Metadata!S967="",FALSE,ISNUMBER(VALUE(Metadata!S967))),Metadata!S967&gt;=-90.00,Metadata!S967&lt;=90.00))</f>
        <v>0</v>
      </c>
      <c r="BF967">
        <f>AND(IF(Metadata!T967="",FALSE,TRUE),exact(Metadata!T967,"Decimal degrees"))</f>
        <v>0</v>
      </c>
      <c r="BG967">
        <f>OR(AND(IF(Metadata!U967="",FALSE,TRUE),OR(exact(Metadata!U967,"not collected"),exact(Metadata!U967,"not provided"),exact(Metadata!U967,"restricted access"))),AND(IF(Metadata!U967="",FALSE,ISNUMBER(VALUE(Metadata!U967))),Metadata!U967&gt;=-180.00,Metadata!U967&lt;=180.00))</f>
        <v>0</v>
      </c>
      <c r="BH967">
        <f>AND(IF(Metadata!V967="",FALSE,TRUE),exact(Metadata!V967,"Decimal degrees"))</f>
        <v>0</v>
      </c>
      <c r="BI967">
        <f>IF(Metadata!W967="",FALSE,TRUE)</f>
        <v>0</v>
      </c>
      <c r="BJ967">
        <f>OR(AND(IF(Metadata!X967="",FALSE,TRUE),OR(exact(Metadata!X967,"not collected"),exact(Metadata!X967,"not provided"),exact(Metadata!X967,"restricted access"))),AND(IF(Metadata!X967="",FALSE,TRUE),OR(exact(Metadata!X967,"TRUE"),exact(Metadata!X967,"FALSE"))))</f>
        <v>0</v>
      </c>
      <c r="BK967">
        <f>AND(IF(Metadata!Y967="",FALSE,TRUE),exact(Metadata!Y967,"other"))</f>
        <v>0</v>
      </c>
      <c r="BL967">
        <f>IF(Metadata!Z967="",FALSE,TRUE)</f>
        <v>0</v>
      </c>
      <c r="BM967">
        <f>OR(AND(IF(Metadata!AA967="",FALSE,TRUE),OR(exact(Metadata!AA967,"not collected"),exact(Metadata!AA967,"not provided"))),AND(IF(Metadata!AA967="",FALSE,IF(ISERROR(INT(Metadata!AA967)),FALSE,INT(Metadata!AA967)=Metadata!AA967)),Metadata!AA967&gt;0))</f>
        <v>0</v>
      </c>
      <c r="BN967">
        <f>AND(IF(Metadata!AB967="",FALSE,TRUE),exact(Metadata!AB967,"Not applicable"))</f>
        <v>0</v>
      </c>
      <c r="BO967">
        <f>IF(Metadata!AC967="",FALSE,TRUE)</f>
        <v>0</v>
      </c>
    </row>
    <row r="968" spans="1:67">
      <c r="A968" s="5">
        <f>IF(B968=" "," ",HYPERLINK(CONCATENATE("#metadata!",ADDRESS(INDEX($AI$2:$AI$1001,MATCH(ROWS($AG$2:AG968),$AG$2:$AG$1001,0),0),1)),INDEX($AL$2:$AL$1001,MATCH(ROWS($AG$2:AG968),$AG$2:$AG$1001,0),0)))</f>
        <v>0</v>
      </c>
      <c r="B968" s="4">
        <f>IF(OR(INDEX($AH$2:$AH$1001,MATCH(ROWS($AG$2:AG968),$AG$2:$AG$1001,0),1)&gt;=100000,INDEX($AN$1005:$BO$1005,1,MATCH(COLUMNS($AN$1006:AN1006),$AN$1006:$BO$1006,0))&gt;=100000), " ",IF(INDEX($AN$2:$BO$1001,MATCH(ROWS($AG$2:AG968),$AG$2:$AG$1001,0),MATCH(COLUMNS($AN$1006:AN1006),$AN$1006:$BO$1006,0)), HYPERLINK("#",""), HYPERLINK(CONCATENATE("#Metadata!", ADDRESS(INDEX($AI$2:$AI$1001,MATCH(ROWS($AG$2:AG968),$AG$2:$AG$1001,0),0), INDEX($AN$1004:$BO$1004,1,MATCH(COLUMNS($AN$1006:AN1006),$AN$1006:$BO$1006,0)))),"Fix")))</f>
        <v>0</v>
      </c>
      <c r="C968" s="4">
        <f>IF(OR(INDEX($AH$2:$AH$1001,MATCH(ROWS($AG$2:AG968),$AG$2:$AG$1001,0),1)&gt;=100000,INDEX($AN$1005:$BO$1005,1,MATCH(COLUMNS($AN$1006:AO1006),$AN$1006:$BO$1006,0))&gt;=100000), " ",IF(INDEX($AN$2:$BO$1001,MATCH(ROWS($AG$2:AG968),$AG$2:$AG$1001,0),MATCH(COLUMNS($AN$1006:AO1006),$AN$1006:$BO$1006,0)), HYPERLINK("#",""), HYPERLINK(CONCATENATE("#Metadata!", ADDRESS(INDEX($AI$2:$AI$1001,MATCH(ROWS($AG$2:AG968),$AG$2:$AG$1001,0),0), INDEX($AN$1004:$BO$1004,1,MATCH(COLUMNS($AN$1006:AO1006),$AN$1006:$BO$1006,0)))),"Fix")))</f>
        <v>0</v>
      </c>
      <c r="D968" s="4">
        <f>IF(OR(INDEX($AH$2:$AH$1001,MATCH(ROWS($AG$2:AG968),$AG$2:$AG$1001,0),1)&gt;=100000,INDEX($AN$1005:$BO$1005,1,MATCH(COLUMNS($AN$1006:AP1006),$AN$1006:$BO$1006,0))&gt;=100000), " ",IF(INDEX($AN$2:$BO$1001,MATCH(ROWS($AG$2:AG968),$AG$2:$AG$1001,0),MATCH(COLUMNS($AN$1006:AP1006),$AN$1006:$BO$1006,0)), HYPERLINK("#",""), HYPERLINK(CONCATENATE("#Metadata!", ADDRESS(INDEX($AI$2:$AI$1001,MATCH(ROWS($AG$2:AG968),$AG$2:$AG$1001,0),0), INDEX($AN$1004:$BO$1004,1,MATCH(COLUMNS($AN$1006:AP1006),$AN$1006:$BO$1006,0)))),"Fix")))</f>
        <v>0</v>
      </c>
      <c r="E968" s="4">
        <f>IF(OR(INDEX($AH$2:$AH$1001,MATCH(ROWS($AG$2:AG968),$AG$2:$AG$1001,0),1)&gt;=100000,INDEX($AN$1005:$BO$1005,1,MATCH(COLUMNS($AN$1006:AQ1006),$AN$1006:$BO$1006,0))&gt;=100000), " ",IF(INDEX($AN$2:$BO$1001,MATCH(ROWS($AG$2:AG968),$AG$2:$AG$1001,0),MATCH(COLUMNS($AN$1006:AQ1006),$AN$1006:$BO$1006,0)), HYPERLINK("#",""), HYPERLINK(CONCATENATE("#Metadata!", ADDRESS(INDEX($AI$2:$AI$1001,MATCH(ROWS($AG$2:AG968),$AG$2:$AG$1001,0),0), INDEX($AN$1004:$BO$1004,1,MATCH(COLUMNS($AN$1006:AQ1006),$AN$1006:$BO$1006,0)))),"Fix")))</f>
        <v>0</v>
      </c>
      <c r="F968" s="4">
        <f>IF(OR(INDEX($AH$2:$AH$1001,MATCH(ROWS($AG$2:AG968),$AG$2:$AG$1001,0),1)&gt;=100000,INDEX($AN$1005:$BO$1005,1,MATCH(COLUMNS($AN$1006:AR1006),$AN$1006:$BO$1006,0))&gt;=100000), " ",IF(INDEX($AN$2:$BO$1001,MATCH(ROWS($AG$2:AG968),$AG$2:$AG$1001,0),MATCH(COLUMNS($AN$1006:AR1006),$AN$1006:$BO$1006,0)), HYPERLINK("#",""), HYPERLINK(CONCATENATE("#Metadata!", ADDRESS(INDEX($AI$2:$AI$1001,MATCH(ROWS($AG$2:AG968),$AG$2:$AG$1001,0),0), INDEX($AN$1004:$BO$1004,1,MATCH(COLUMNS($AN$1006:AR1006),$AN$1006:$BO$1006,0)))),"Fix")))</f>
        <v>0</v>
      </c>
      <c r="G968" s="4">
        <f>IF(OR(INDEX($AH$2:$AH$1001,MATCH(ROWS($AG$2:AG968),$AG$2:$AG$1001,0),1)&gt;=100000,INDEX($AN$1005:$BO$1005,1,MATCH(COLUMNS($AN$1006:AS1006),$AN$1006:$BO$1006,0))&gt;=100000), " ",IF(INDEX($AN$2:$BO$1001,MATCH(ROWS($AG$2:AG968),$AG$2:$AG$1001,0),MATCH(COLUMNS($AN$1006:AS1006),$AN$1006:$BO$1006,0)), HYPERLINK("#",""), HYPERLINK(CONCATENATE("#Metadata!", ADDRESS(INDEX($AI$2:$AI$1001,MATCH(ROWS($AG$2:AG968),$AG$2:$AG$1001,0),0), INDEX($AN$1004:$BO$1004,1,MATCH(COLUMNS($AN$1006:AS1006),$AN$1006:$BO$1006,0)))),"Fix")))</f>
        <v>0</v>
      </c>
      <c r="H968" s="4">
        <f>IF(OR(INDEX($AH$2:$AH$1001,MATCH(ROWS($AG$2:AG968),$AG$2:$AG$1001,0),1)&gt;=100000,INDEX($AN$1005:$BO$1005,1,MATCH(COLUMNS($AN$1006:AT1006),$AN$1006:$BO$1006,0))&gt;=100000), " ",IF(INDEX($AN$2:$BO$1001,MATCH(ROWS($AG$2:AG968),$AG$2:$AG$1001,0),MATCH(COLUMNS($AN$1006:AT1006),$AN$1006:$BO$1006,0)), HYPERLINK("#",""), HYPERLINK(CONCATENATE("#Metadata!", ADDRESS(INDEX($AI$2:$AI$1001,MATCH(ROWS($AG$2:AG968),$AG$2:$AG$1001,0),0), INDEX($AN$1004:$BO$1004,1,MATCH(COLUMNS($AN$1006:AT1006),$AN$1006:$BO$1006,0)))),"Fix")))</f>
        <v>0</v>
      </c>
      <c r="I968" s="4">
        <f>IF(OR(INDEX($AH$2:$AH$1001,MATCH(ROWS($AG$2:AG968),$AG$2:$AG$1001,0),1)&gt;=100000,INDEX($AN$1005:$BO$1005,1,MATCH(COLUMNS($AN$1006:AU1006),$AN$1006:$BO$1006,0))&gt;=100000), " ",IF(INDEX($AN$2:$BO$1001,MATCH(ROWS($AG$2:AG968),$AG$2:$AG$1001,0),MATCH(COLUMNS($AN$1006:AU1006),$AN$1006:$BO$1006,0)), HYPERLINK("#",""), HYPERLINK(CONCATENATE("#Metadata!", ADDRESS(INDEX($AI$2:$AI$1001,MATCH(ROWS($AG$2:AG968),$AG$2:$AG$1001,0),0), INDEX($AN$1004:$BO$1004,1,MATCH(COLUMNS($AN$1006:AU1006),$AN$1006:$BO$1006,0)))),"Fix")))</f>
        <v>0</v>
      </c>
      <c r="J968" s="4">
        <f>IF(OR(INDEX($AH$2:$AH$1001,MATCH(ROWS($AG$2:AG968),$AG$2:$AG$1001,0),1)&gt;=100000,INDEX($AN$1005:$BO$1005,1,MATCH(COLUMNS($AN$1006:AV1006),$AN$1006:$BO$1006,0))&gt;=100000), " ",IF(INDEX($AN$2:$BO$1001,MATCH(ROWS($AG$2:AG968),$AG$2:$AG$1001,0),MATCH(COLUMNS($AN$1006:AV1006),$AN$1006:$BO$1006,0)), HYPERLINK("#",""), HYPERLINK(CONCATENATE("#Metadata!", ADDRESS(INDEX($AI$2:$AI$1001,MATCH(ROWS($AG$2:AG968),$AG$2:$AG$1001,0),0), INDEX($AN$1004:$BO$1004,1,MATCH(COLUMNS($AN$1006:AV1006),$AN$1006:$BO$1006,0)))),"Fix")))</f>
        <v>0</v>
      </c>
      <c r="K968" s="4">
        <f>IF(OR(INDEX($AH$2:$AH$1001,MATCH(ROWS($AG$2:AG968),$AG$2:$AG$1001,0),1)&gt;=100000,INDEX($AN$1005:$BO$1005,1,MATCH(COLUMNS($AN$1006:AW1006),$AN$1006:$BO$1006,0))&gt;=100000), " ",IF(INDEX($AN$2:$BO$1001,MATCH(ROWS($AG$2:AG968),$AG$2:$AG$1001,0),MATCH(COLUMNS($AN$1006:AW1006),$AN$1006:$BO$1006,0)), HYPERLINK("#",""), HYPERLINK(CONCATENATE("#Metadata!", ADDRESS(INDEX($AI$2:$AI$1001,MATCH(ROWS($AG$2:AG968),$AG$2:$AG$1001,0),0), INDEX($AN$1004:$BO$1004,1,MATCH(COLUMNS($AN$1006:AW1006),$AN$1006:$BO$1006,0)))),"Fix")))</f>
        <v>0</v>
      </c>
      <c r="L968" s="4">
        <f>IF(OR(INDEX($AH$2:$AH$1001,MATCH(ROWS($AG$2:AG968),$AG$2:$AG$1001,0),1)&gt;=100000,INDEX($AN$1005:$BO$1005,1,MATCH(COLUMNS($AN$1006:AX1006),$AN$1006:$BO$1006,0))&gt;=100000), " ",IF(INDEX($AN$2:$BO$1001,MATCH(ROWS($AG$2:AG968),$AG$2:$AG$1001,0),MATCH(COLUMNS($AN$1006:AX1006),$AN$1006:$BO$1006,0)), HYPERLINK("#",""), HYPERLINK(CONCATENATE("#Metadata!", ADDRESS(INDEX($AI$2:$AI$1001,MATCH(ROWS($AG$2:AG968),$AG$2:$AG$1001,0),0), INDEX($AN$1004:$BO$1004,1,MATCH(COLUMNS($AN$1006:AX1006),$AN$1006:$BO$1006,0)))),"Fix")))</f>
        <v>0</v>
      </c>
      <c r="M968" s="4">
        <f>IF(OR(INDEX($AH$2:$AH$1001,MATCH(ROWS($AG$2:AG968),$AG$2:$AG$1001,0),1)&gt;=100000,INDEX($AN$1005:$BO$1005,1,MATCH(COLUMNS($AN$1006:AY1006),$AN$1006:$BO$1006,0))&gt;=100000), " ",IF(INDEX($AN$2:$BO$1001,MATCH(ROWS($AG$2:AG968),$AG$2:$AG$1001,0),MATCH(COLUMNS($AN$1006:AY1006),$AN$1006:$BO$1006,0)), HYPERLINK("#",""), HYPERLINK(CONCATENATE("#Metadata!", ADDRESS(INDEX($AI$2:$AI$1001,MATCH(ROWS($AG$2:AG968),$AG$2:$AG$1001,0),0), INDEX($AN$1004:$BO$1004,1,MATCH(COLUMNS($AN$1006:AY1006),$AN$1006:$BO$1006,0)))),"Fix")))</f>
        <v>0</v>
      </c>
      <c r="N968" s="4">
        <f>IF(OR(INDEX($AH$2:$AH$1001,MATCH(ROWS($AG$2:AG968),$AG$2:$AG$1001,0),1)&gt;=100000,INDEX($AN$1005:$BO$1005,1,MATCH(COLUMNS($AN$1006:AZ1006),$AN$1006:$BO$1006,0))&gt;=100000), " ",IF(INDEX($AN$2:$BO$1001,MATCH(ROWS($AG$2:AG968),$AG$2:$AG$1001,0),MATCH(COLUMNS($AN$1006:AZ1006),$AN$1006:$BO$1006,0)), HYPERLINK("#",""), HYPERLINK(CONCATENATE("#Metadata!", ADDRESS(INDEX($AI$2:$AI$1001,MATCH(ROWS($AG$2:AG968),$AG$2:$AG$1001,0),0), INDEX($AN$1004:$BO$1004,1,MATCH(COLUMNS($AN$1006:AZ1006),$AN$1006:$BO$1006,0)))),"Fix")))</f>
        <v>0</v>
      </c>
      <c r="O968" s="4">
        <f>IF(OR(INDEX($AH$2:$AH$1001,MATCH(ROWS($AG$2:AG968),$AG$2:$AG$1001,0),1)&gt;=100000,INDEX($AN$1005:$BO$1005,1,MATCH(COLUMNS($AN$1006:BA1006),$AN$1006:$BO$1006,0))&gt;=100000), " ",IF(INDEX($AN$2:$BO$1001,MATCH(ROWS($AG$2:AG968),$AG$2:$AG$1001,0),MATCH(COLUMNS($AN$1006:BA1006),$AN$1006:$BO$1006,0)), HYPERLINK("#",""), HYPERLINK(CONCATENATE("#Metadata!", ADDRESS(INDEX($AI$2:$AI$1001,MATCH(ROWS($AG$2:AG968),$AG$2:$AG$1001,0),0), INDEX($AN$1004:$BO$1004,1,MATCH(COLUMNS($AN$1006:BA1006),$AN$1006:$BO$1006,0)))),"Fix")))</f>
        <v>0</v>
      </c>
      <c r="P968" s="4">
        <f>IF(OR(INDEX($AH$2:$AH$1001,MATCH(ROWS($AG$2:AG968),$AG$2:$AG$1001,0),1)&gt;=100000,INDEX($AN$1005:$BO$1005,1,MATCH(COLUMNS($AN$1006:BB1006),$AN$1006:$BO$1006,0))&gt;=100000), " ",IF(INDEX($AN$2:$BO$1001,MATCH(ROWS($AG$2:AG968),$AG$2:$AG$1001,0),MATCH(COLUMNS($AN$1006:BB1006),$AN$1006:$BO$1006,0)), HYPERLINK("#",""), HYPERLINK(CONCATENATE("#Metadata!", ADDRESS(INDEX($AI$2:$AI$1001,MATCH(ROWS($AG$2:AG968),$AG$2:$AG$1001,0),0), INDEX($AN$1004:$BO$1004,1,MATCH(COLUMNS($AN$1006:BB1006),$AN$1006:$BO$1006,0)))),"Fix")))</f>
        <v>0</v>
      </c>
      <c r="Q968" s="4">
        <f>IF(OR(INDEX($AH$2:$AH$1001,MATCH(ROWS($AG$2:AG968),$AG$2:$AG$1001,0),1)&gt;=100000,INDEX($AN$1005:$BO$1005,1,MATCH(COLUMNS($AN$1006:BC1006),$AN$1006:$BO$1006,0))&gt;=100000), " ",IF(INDEX($AN$2:$BO$1001,MATCH(ROWS($AG$2:AG968),$AG$2:$AG$1001,0),MATCH(COLUMNS($AN$1006:BC1006),$AN$1006:$BO$1006,0)), HYPERLINK("#",""), HYPERLINK(CONCATENATE("#Metadata!", ADDRESS(INDEX($AI$2:$AI$1001,MATCH(ROWS($AG$2:AG968),$AG$2:$AG$1001,0),0), INDEX($AN$1004:$BO$1004,1,MATCH(COLUMNS($AN$1006:BC1006),$AN$1006:$BO$1006,0)))),"Fix")))</f>
        <v>0</v>
      </c>
      <c r="R968" s="4">
        <f>IF(OR(INDEX($AH$2:$AH$1001,MATCH(ROWS($AG$2:AG968),$AG$2:$AG$1001,0),1)&gt;=100000,INDEX($AN$1005:$BO$1005,1,MATCH(COLUMNS($AN$1006:BD1006),$AN$1006:$BO$1006,0))&gt;=100000), " ",IF(INDEX($AN$2:$BO$1001,MATCH(ROWS($AG$2:AG968),$AG$2:$AG$1001,0),MATCH(COLUMNS($AN$1006:BD1006),$AN$1006:$BO$1006,0)), HYPERLINK("#",""), HYPERLINK(CONCATENATE("#Metadata!", ADDRESS(INDEX($AI$2:$AI$1001,MATCH(ROWS($AG$2:AG968),$AG$2:$AG$1001,0),0), INDEX($AN$1004:$BO$1004,1,MATCH(COLUMNS($AN$1006:BD1006),$AN$1006:$BO$1006,0)))),"Fix")))</f>
        <v>0</v>
      </c>
      <c r="S968" s="4">
        <f>IF(OR(INDEX($AH$2:$AH$1001,MATCH(ROWS($AG$2:AG968),$AG$2:$AG$1001,0),1)&gt;=100000,INDEX($AN$1005:$BO$1005,1,MATCH(COLUMNS($AN$1006:BE1006),$AN$1006:$BO$1006,0))&gt;=100000), " ",IF(INDEX($AN$2:$BO$1001,MATCH(ROWS($AG$2:AG968),$AG$2:$AG$1001,0),MATCH(COLUMNS($AN$1006:BE1006),$AN$1006:$BO$1006,0)), HYPERLINK("#",""), HYPERLINK(CONCATENATE("#Metadata!", ADDRESS(INDEX($AI$2:$AI$1001,MATCH(ROWS($AG$2:AG968),$AG$2:$AG$1001,0),0), INDEX($AN$1004:$BO$1004,1,MATCH(COLUMNS($AN$1006:BE1006),$AN$1006:$BO$1006,0)))),"Fix")))</f>
        <v>0</v>
      </c>
      <c r="T968" s="4">
        <f>IF(OR(INDEX($AH$2:$AH$1001,MATCH(ROWS($AG$2:AG968),$AG$2:$AG$1001,0),1)&gt;=100000,INDEX($AN$1005:$BO$1005,1,MATCH(COLUMNS($AN$1006:BF1006),$AN$1006:$BO$1006,0))&gt;=100000), " ",IF(INDEX($AN$2:$BO$1001,MATCH(ROWS($AG$2:AG968),$AG$2:$AG$1001,0),MATCH(COLUMNS($AN$1006:BF1006),$AN$1006:$BO$1006,0)), HYPERLINK("#",""), HYPERLINK(CONCATENATE("#Metadata!", ADDRESS(INDEX($AI$2:$AI$1001,MATCH(ROWS($AG$2:AG968),$AG$2:$AG$1001,0),0), INDEX($AN$1004:$BO$1004,1,MATCH(COLUMNS($AN$1006:BF1006),$AN$1006:$BO$1006,0)))),"Fix")))</f>
        <v>0</v>
      </c>
      <c r="U968" s="4">
        <f>IF(OR(INDEX($AH$2:$AH$1001,MATCH(ROWS($AG$2:AG968),$AG$2:$AG$1001,0),1)&gt;=100000,INDEX($AN$1005:$BO$1005,1,MATCH(COLUMNS($AN$1006:BG1006),$AN$1006:$BO$1006,0))&gt;=100000), " ",IF(INDEX($AN$2:$BO$1001,MATCH(ROWS($AG$2:AG968),$AG$2:$AG$1001,0),MATCH(COLUMNS($AN$1006:BG1006),$AN$1006:$BO$1006,0)), HYPERLINK("#",""), HYPERLINK(CONCATENATE("#Metadata!", ADDRESS(INDEX($AI$2:$AI$1001,MATCH(ROWS($AG$2:AG968),$AG$2:$AG$1001,0),0), INDEX($AN$1004:$BO$1004,1,MATCH(COLUMNS($AN$1006:BG1006),$AN$1006:$BO$1006,0)))),"Fix")))</f>
        <v>0</v>
      </c>
      <c r="V968" s="4">
        <f>IF(OR(INDEX($AH$2:$AH$1001,MATCH(ROWS($AG$2:AG968),$AG$2:$AG$1001,0),1)&gt;=100000,INDEX($AN$1005:$BO$1005,1,MATCH(COLUMNS($AN$1006:BH1006),$AN$1006:$BO$1006,0))&gt;=100000), " ",IF(INDEX($AN$2:$BO$1001,MATCH(ROWS($AG$2:AG968),$AG$2:$AG$1001,0),MATCH(COLUMNS($AN$1006:BH1006),$AN$1006:$BO$1006,0)), HYPERLINK("#",""), HYPERLINK(CONCATENATE("#Metadata!", ADDRESS(INDEX($AI$2:$AI$1001,MATCH(ROWS($AG$2:AG968),$AG$2:$AG$1001,0),0), INDEX($AN$1004:$BO$1004,1,MATCH(COLUMNS($AN$1006:BH1006),$AN$1006:$BO$1006,0)))),"Fix")))</f>
        <v>0</v>
      </c>
      <c r="W968" s="4">
        <f>IF(OR(INDEX($AH$2:$AH$1001,MATCH(ROWS($AG$2:AG968),$AG$2:$AG$1001,0),1)&gt;=100000,INDEX($AN$1005:$BO$1005,1,MATCH(COLUMNS($AN$1006:BI1006),$AN$1006:$BO$1006,0))&gt;=100000), " ",IF(INDEX($AN$2:$BO$1001,MATCH(ROWS($AG$2:AG968),$AG$2:$AG$1001,0),MATCH(COLUMNS($AN$1006:BI1006),$AN$1006:$BO$1006,0)), HYPERLINK("#",""), HYPERLINK(CONCATENATE("#Metadata!", ADDRESS(INDEX($AI$2:$AI$1001,MATCH(ROWS($AG$2:AG968),$AG$2:$AG$1001,0),0), INDEX($AN$1004:$BO$1004,1,MATCH(COLUMNS($AN$1006:BI1006),$AN$1006:$BO$1006,0)))),"Fix")))</f>
        <v>0</v>
      </c>
      <c r="X968" s="4">
        <f>IF(OR(INDEX($AH$2:$AH$1001,MATCH(ROWS($AG$2:AG968),$AG$2:$AG$1001,0),1)&gt;=100000,INDEX($AN$1005:$BO$1005,1,MATCH(COLUMNS($AN$1006:BJ1006),$AN$1006:$BO$1006,0))&gt;=100000), " ",IF(INDEX($AN$2:$BO$1001,MATCH(ROWS($AG$2:AG968),$AG$2:$AG$1001,0),MATCH(COLUMNS($AN$1006:BJ1006),$AN$1006:$BO$1006,0)), HYPERLINK("#",""), HYPERLINK(CONCATENATE("#Metadata!", ADDRESS(INDEX($AI$2:$AI$1001,MATCH(ROWS($AG$2:AG968),$AG$2:$AG$1001,0),0), INDEX($AN$1004:$BO$1004,1,MATCH(COLUMNS($AN$1006:BJ1006),$AN$1006:$BO$1006,0)))),"Fix")))</f>
        <v>0</v>
      </c>
      <c r="Y968" s="4">
        <f>IF(OR(INDEX($AH$2:$AH$1001,MATCH(ROWS($AG$2:AG968),$AG$2:$AG$1001,0),1)&gt;=100000,INDEX($AN$1005:$BO$1005,1,MATCH(COLUMNS($AN$1006:BK1006),$AN$1006:$BO$1006,0))&gt;=100000), " ",IF(INDEX($AN$2:$BO$1001,MATCH(ROWS($AG$2:AG968),$AG$2:$AG$1001,0),MATCH(COLUMNS($AN$1006:BK1006),$AN$1006:$BO$1006,0)), HYPERLINK("#",""), HYPERLINK(CONCATENATE("#Metadata!", ADDRESS(INDEX($AI$2:$AI$1001,MATCH(ROWS($AG$2:AG968),$AG$2:$AG$1001,0),0), INDEX($AN$1004:$BO$1004,1,MATCH(COLUMNS($AN$1006:BK1006),$AN$1006:$BO$1006,0)))),"Fix")))</f>
        <v>0</v>
      </c>
      <c r="Z968" s="4">
        <f>IF(OR(INDEX($AH$2:$AH$1001,MATCH(ROWS($AG$2:AG968),$AG$2:$AG$1001,0),1)&gt;=100000,INDEX($AN$1005:$BO$1005,1,MATCH(COLUMNS($AN$1006:BL1006),$AN$1006:$BO$1006,0))&gt;=100000), " ",IF(INDEX($AN$2:$BO$1001,MATCH(ROWS($AG$2:AG968),$AG$2:$AG$1001,0),MATCH(COLUMNS($AN$1006:BL1006),$AN$1006:$BO$1006,0)), HYPERLINK("#",""), HYPERLINK(CONCATENATE("#Metadata!", ADDRESS(INDEX($AI$2:$AI$1001,MATCH(ROWS($AG$2:AG968),$AG$2:$AG$1001,0),0), INDEX($AN$1004:$BO$1004,1,MATCH(COLUMNS($AN$1006:BL1006),$AN$1006:$BO$1006,0)))),"Fix")))</f>
        <v>0</v>
      </c>
      <c r="AA968" s="4">
        <f>IF(OR(INDEX($AH$2:$AH$1001,MATCH(ROWS($AG$2:AG968),$AG$2:$AG$1001,0),1)&gt;=100000,INDEX($AN$1005:$BO$1005,1,MATCH(COLUMNS($AN$1006:BM1006),$AN$1006:$BO$1006,0))&gt;=100000), " ",IF(INDEX($AN$2:$BO$1001,MATCH(ROWS($AG$2:AG968),$AG$2:$AG$1001,0),MATCH(COLUMNS($AN$1006:BM1006),$AN$1006:$BO$1006,0)), HYPERLINK("#",""), HYPERLINK(CONCATENATE("#Metadata!", ADDRESS(INDEX($AI$2:$AI$1001,MATCH(ROWS($AG$2:AG968),$AG$2:$AG$1001,0),0), INDEX($AN$1004:$BO$1004,1,MATCH(COLUMNS($AN$1006:BM1006),$AN$1006:$BO$1006,0)))),"Fix")))</f>
        <v>0</v>
      </c>
      <c r="AB968" s="4">
        <f>IF(OR(INDEX($AH$2:$AH$1001,MATCH(ROWS($AG$2:AG968),$AG$2:$AG$1001,0),1)&gt;=100000,INDEX($AN$1005:$BO$1005,1,MATCH(COLUMNS($AN$1006:BN1006),$AN$1006:$BO$1006,0))&gt;=100000), " ",IF(INDEX($AN$2:$BO$1001,MATCH(ROWS($AG$2:AG968),$AG$2:$AG$1001,0),MATCH(COLUMNS($AN$1006:BN1006),$AN$1006:$BO$1006,0)), HYPERLINK("#",""), HYPERLINK(CONCATENATE("#Metadata!", ADDRESS(INDEX($AI$2:$AI$1001,MATCH(ROWS($AG$2:AG968),$AG$2:$AG$1001,0),0), INDEX($AN$1004:$BO$1004,1,MATCH(COLUMNS($AN$1006:BN1006),$AN$1006:$BO$1006,0)))),"Fix")))</f>
        <v>0</v>
      </c>
      <c r="AC968" s="4">
        <f>IF(OR(INDEX($AH$2:$AH$1001,MATCH(ROWS($AG$2:AG968),$AG$2:$AG$1001,0),1)&gt;=100000,INDEX($AN$1005:$BO$1005,1,MATCH(COLUMNS($AN$1006:BO1006),$AN$1006:$BO$1006,0))&gt;=100000), " ",IF(INDEX($AN$2:$BO$1001,MATCH(ROWS($AG$2:AG968),$AG$2:$AG$1001,0),MATCH(COLUMNS($AN$1006:BO1006),$AN$1006:$BO$1006,0)), HYPERLINK("#",""), HYPERLINK(CONCATENATE("#Metadata!", ADDRESS(INDEX($AI$2:$AI$1001,MATCH(ROWS($AG$2:AG968),$AG$2:$AG$1001,0),0), INDEX($AN$1004:$BO$1004,1,MATCH(COLUMNS($AN$1006:BO1006),$AN$1006:$BO$1006,0)))),"Fix")))</f>
        <v>0</v>
      </c>
      <c r="AG968">
        <v>0</v>
      </c>
      <c r="AH968">
        <v>0</v>
      </c>
      <c r="AI968">
        <v>0</v>
      </c>
      <c r="AJ968">
        <f>IF(AK968,TRUE,AND(AN968:BO968))</f>
        <v>0</v>
      </c>
      <c r="AK968">
        <f>COUNTBLANK(Metadata!B968:AC968)=COLUMNS(Metadata!B968:AC968)</f>
        <v>0</v>
      </c>
      <c r="AL968">
        <v>0</v>
      </c>
      <c r="AN968">
        <f>AND(IF(Metadata!B968="",FALSE,TRUE),COUNTIF(Metadata!B:B, Metadata!B968) = 1,NOT(ISERROR(SUMPRODUCT(SEARCH(MID(Metadata!B968,ROW(INDIRECT("1:"&amp;LEN(Metadata!B968))), 1),"0123456789abcdefghijklmnopqrstuvwxyzABCDEFGHIJKLMNOPQRSTUVWXYZ.")))))</f>
        <v>0</v>
      </c>
      <c r="AO968">
        <f>IF(Metadata!C968="",FALSE,TRUE)</f>
        <v>0</v>
      </c>
      <c r="AP968">
        <f>IF(Metadata!D968="",FALSE,TRUE)</f>
        <v>0</v>
      </c>
      <c r="AQ968">
        <f>OR(AND(IF(Metadata!E968="",FALSE,TRUE),OR(exact(Metadata!E968,"not collected"),exact(Metadata!E968,"not provided"),exact(Metadata!E968,"restricted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R968">
        <f>IF(Metadata!F968="",FALSE,TRUE)</f>
        <v>0</v>
      </c>
      <c r="AS968">
        <f>OR(AND(IF(Metadata!G968="",FALSE,TRUE),OR(exact(Metadata!G968,"not collected"),exact(Metadata!G968,"not provided"))),AND(IF(Metadata!G968="",FALSE,TRUE),OR(exact(Metadata!G968,"TRUE"),exact(Metadata!G968,"FALSE"))))</f>
        <v>0</v>
      </c>
      <c r="AT968">
        <f>OR(AND(IF(Metadata!H968="",FALSE,TRUE),OR(exact(Metadata!H968,"not collected"),exact(Metadata!H968,"not provided"),exact(Metadata!H968,"restricted access"))),AND(IF(Metadata!H968="",FALSE,ISNUMBER(VALUE(Metadata!H968))),Metadata!H968&gt;=-413.0))</f>
        <v>0</v>
      </c>
      <c r="AU968">
        <f>AND(IF(Metadata!I968="",FALSE,TRUE),exact(Metadata!I968,"meters"))</f>
        <v>0</v>
      </c>
      <c r="AV968">
        <f>AND(IF(Metadata!J968="",FALSE,TRUE),OR(exact(Metadata!J968,"Host-associated"),exact(Metadata!J968,"Free-living")))</f>
        <v>0</v>
      </c>
      <c r="AW968">
        <f>AND(IF(Metadata!K968="",FALSE,TRUE),OR(exact(Metadata!K968,"Animal"),exact(Metadata!K968,"Fungus"),exact(Metadata!K968,"Plant"),exact(Metadata!K968,"Saline"),exact(Metadata!K968,"Non-saline")))</f>
        <v>0</v>
      </c>
      <c r="AX968">
        <f>AND(IF(Metadata!L968="",FALSE,TRUE),OR(exact(Metadata!L968,"Plant secretion"),exact(Metadata!L968,"Plant rhizosphere"),exact(Metadata!L968,"Plant surface"),exact(Metadata!L968,"Plant corpus"),exact(Metadata!L968,"Fungus surface"),exact(Metadata!L968,"Fungus corpus"),exact(Metadata!L968,"Animal surface"),exact(Metadata!L968,"Animal proximal gut"),exact(Metadata!L968,"Animal corpus"),exact(Metadata!L968,"Animal distal gut"),exact(Metadata!L968,"Animal secretion"),exact(Metadata!L968,"Sub-surface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Y968">
        <f>IF(Metadata!M968="",FALSE,TRUE)</f>
        <v>0</v>
      </c>
      <c r="AZ968">
        <f>IF(Metadata!N968="",FALSE,TRUE)</f>
        <v>0</v>
      </c>
      <c r="BA968">
        <f>IF(Metadata!O968="",FALSE,TRUE)</f>
        <v>0</v>
      </c>
      <c r="BB968">
        <f>OR(AND(IF(Metadata!P968="",FALSE,TRUE),OR(exact(Metadata!P968,"not collected"),exact(Metadata!P968,"not provided"),exact(Metadata!P968,"restricted access"))),AND(IF(Metadata!P968="",FALSE,TRUE),OR(exact(Metadata!P968,"air"),exact(Metadata!P968,"built environment"),exact(Metadata!P968,"host-associated"),exact(Metadata!P968,"human-associated"),exact(Metadata!P968,"human-skin"),exact(Metadata!P968,"human-oral"),exact(Metadata!P968,"human-gut"),exact(Metadata!P968,"human-vaginal"),exact(Metadata!P968,"microbial mat/biofilm"),exact(Metadata!P968,"misc environment"),exact(Metadata!P968,"plant-associated"),exact(Metadata!P968,"sediment"),exact(Metadata!P968,"soil"),exact(Metadata!P968,"wastewater/sludge"),exact(Metadata!P968,"water"))))</f>
        <v>0</v>
      </c>
      <c r="BC968">
        <f>IF(Metadata!Q968="",FALSE,TRUE)</f>
        <v>0</v>
      </c>
      <c r="BD968">
        <f>IF(Metadata!R968="",FALSE,TRUE)</f>
        <v>0</v>
      </c>
      <c r="BE968">
        <f>OR(AND(IF(Metadata!S968="",FALSE,TRUE),OR(exact(Metadata!S968,"not collected"),exact(Metadata!S968,"not provided"),exact(Metadata!S968,"restricted access"))),AND(IF(Metadata!S968="",FALSE,ISNUMBER(VALUE(Metadata!S968))),Metadata!S968&gt;=-90.00,Metadata!S968&lt;=90.00))</f>
        <v>0</v>
      </c>
      <c r="BF968">
        <f>AND(IF(Metadata!T968="",FALSE,TRUE),exact(Metadata!T968,"Decimal degrees"))</f>
        <v>0</v>
      </c>
      <c r="BG968">
        <f>OR(AND(IF(Metadata!U968="",FALSE,TRUE),OR(exact(Metadata!U968,"not collected"),exact(Metadata!U968,"not provided"),exact(Metadata!U968,"restricted access"))),AND(IF(Metadata!U968="",FALSE,ISNUMBER(VALUE(Metadata!U968))),Metadata!U968&gt;=-180.00,Metadata!U968&lt;=180.00))</f>
        <v>0</v>
      </c>
      <c r="BH968">
        <f>AND(IF(Metadata!V968="",FALSE,TRUE),exact(Metadata!V968,"Decimal degrees"))</f>
        <v>0</v>
      </c>
      <c r="BI968">
        <f>IF(Metadata!W968="",FALSE,TRUE)</f>
        <v>0</v>
      </c>
      <c r="BJ968">
        <f>OR(AND(IF(Metadata!X968="",FALSE,TRUE),OR(exact(Metadata!X968,"not collected"),exact(Metadata!X968,"not provided"),exact(Metadata!X968,"restricted access"))),AND(IF(Metadata!X968="",FALSE,TRUE),OR(exact(Metadata!X968,"TRUE"),exact(Metadata!X968,"FALSE"))))</f>
        <v>0</v>
      </c>
      <c r="BK968">
        <f>AND(IF(Metadata!Y968="",FALSE,TRUE),exact(Metadata!Y968,"other"))</f>
        <v>0</v>
      </c>
      <c r="BL968">
        <f>IF(Metadata!Z968="",FALSE,TRUE)</f>
        <v>0</v>
      </c>
      <c r="BM968">
        <f>OR(AND(IF(Metadata!AA968="",FALSE,TRUE),OR(exact(Metadata!AA968,"not collected"),exact(Metadata!AA968,"not provided"))),AND(IF(Metadata!AA968="",FALSE,IF(ISERROR(INT(Metadata!AA968)),FALSE,INT(Metadata!AA968)=Metadata!AA968)),Metadata!AA968&gt;0))</f>
        <v>0</v>
      </c>
      <c r="BN968">
        <f>AND(IF(Metadata!AB968="",FALSE,TRUE),exact(Metadata!AB968,"Not applicable"))</f>
        <v>0</v>
      </c>
      <c r="BO968">
        <f>IF(Metadata!AC968="",FALSE,TRUE)</f>
        <v>0</v>
      </c>
    </row>
    <row r="969" spans="1:67">
      <c r="A969" s="5">
        <f>IF(B969=" "," ",HYPERLINK(CONCATENATE("#metadata!",ADDRESS(INDEX($AI$2:$AI$1001,MATCH(ROWS($AG$2:AG969),$AG$2:$AG$1001,0),0),1)),INDEX($AL$2:$AL$1001,MATCH(ROWS($AG$2:AG969),$AG$2:$AG$1001,0),0)))</f>
        <v>0</v>
      </c>
      <c r="B969" s="4">
        <f>IF(OR(INDEX($AH$2:$AH$1001,MATCH(ROWS($AG$2:AG969),$AG$2:$AG$1001,0),1)&gt;=100000,INDEX($AN$1005:$BO$1005,1,MATCH(COLUMNS($AN$1006:AN1006),$AN$1006:$BO$1006,0))&gt;=100000), " ",IF(INDEX($AN$2:$BO$1001,MATCH(ROWS($AG$2:AG969),$AG$2:$AG$1001,0),MATCH(COLUMNS($AN$1006:AN1006),$AN$1006:$BO$1006,0)), HYPERLINK("#",""), HYPERLINK(CONCATENATE("#Metadata!", ADDRESS(INDEX($AI$2:$AI$1001,MATCH(ROWS($AG$2:AG969),$AG$2:$AG$1001,0),0), INDEX($AN$1004:$BO$1004,1,MATCH(COLUMNS($AN$1006:AN1006),$AN$1006:$BO$1006,0)))),"Fix")))</f>
        <v>0</v>
      </c>
      <c r="C969" s="4">
        <f>IF(OR(INDEX($AH$2:$AH$1001,MATCH(ROWS($AG$2:AG969),$AG$2:$AG$1001,0),1)&gt;=100000,INDEX($AN$1005:$BO$1005,1,MATCH(COLUMNS($AN$1006:AO1006),$AN$1006:$BO$1006,0))&gt;=100000), " ",IF(INDEX($AN$2:$BO$1001,MATCH(ROWS($AG$2:AG969),$AG$2:$AG$1001,0),MATCH(COLUMNS($AN$1006:AO1006),$AN$1006:$BO$1006,0)), HYPERLINK("#",""), HYPERLINK(CONCATENATE("#Metadata!", ADDRESS(INDEX($AI$2:$AI$1001,MATCH(ROWS($AG$2:AG969),$AG$2:$AG$1001,0),0), INDEX($AN$1004:$BO$1004,1,MATCH(COLUMNS($AN$1006:AO1006),$AN$1006:$BO$1006,0)))),"Fix")))</f>
        <v>0</v>
      </c>
      <c r="D969" s="4">
        <f>IF(OR(INDEX($AH$2:$AH$1001,MATCH(ROWS($AG$2:AG969),$AG$2:$AG$1001,0),1)&gt;=100000,INDEX($AN$1005:$BO$1005,1,MATCH(COLUMNS($AN$1006:AP1006),$AN$1006:$BO$1006,0))&gt;=100000), " ",IF(INDEX($AN$2:$BO$1001,MATCH(ROWS($AG$2:AG969),$AG$2:$AG$1001,0),MATCH(COLUMNS($AN$1006:AP1006),$AN$1006:$BO$1006,0)), HYPERLINK("#",""), HYPERLINK(CONCATENATE("#Metadata!", ADDRESS(INDEX($AI$2:$AI$1001,MATCH(ROWS($AG$2:AG969),$AG$2:$AG$1001,0),0), INDEX($AN$1004:$BO$1004,1,MATCH(COLUMNS($AN$1006:AP1006),$AN$1006:$BO$1006,0)))),"Fix")))</f>
        <v>0</v>
      </c>
      <c r="E969" s="4">
        <f>IF(OR(INDEX($AH$2:$AH$1001,MATCH(ROWS($AG$2:AG969),$AG$2:$AG$1001,0),1)&gt;=100000,INDEX($AN$1005:$BO$1005,1,MATCH(COLUMNS($AN$1006:AQ1006),$AN$1006:$BO$1006,0))&gt;=100000), " ",IF(INDEX($AN$2:$BO$1001,MATCH(ROWS($AG$2:AG969),$AG$2:$AG$1001,0),MATCH(COLUMNS($AN$1006:AQ1006),$AN$1006:$BO$1006,0)), HYPERLINK("#",""), HYPERLINK(CONCATENATE("#Metadata!", ADDRESS(INDEX($AI$2:$AI$1001,MATCH(ROWS($AG$2:AG969),$AG$2:$AG$1001,0),0), INDEX($AN$1004:$BO$1004,1,MATCH(COLUMNS($AN$1006:AQ1006),$AN$1006:$BO$1006,0)))),"Fix")))</f>
        <v>0</v>
      </c>
      <c r="F969" s="4">
        <f>IF(OR(INDEX($AH$2:$AH$1001,MATCH(ROWS($AG$2:AG969),$AG$2:$AG$1001,0),1)&gt;=100000,INDEX($AN$1005:$BO$1005,1,MATCH(COLUMNS($AN$1006:AR1006),$AN$1006:$BO$1006,0))&gt;=100000), " ",IF(INDEX($AN$2:$BO$1001,MATCH(ROWS($AG$2:AG969),$AG$2:$AG$1001,0),MATCH(COLUMNS($AN$1006:AR1006),$AN$1006:$BO$1006,0)), HYPERLINK("#",""), HYPERLINK(CONCATENATE("#Metadata!", ADDRESS(INDEX($AI$2:$AI$1001,MATCH(ROWS($AG$2:AG969),$AG$2:$AG$1001,0),0), INDEX($AN$1004:$BO$1004,1,MATCH(COLUMNS($AN$1006:AR1006),$AN$1006:$BO$1006,0)))),"Fix")))</f>
        <v>0</v>
      </c>
      <c r="G969" s="4">
        <f>IF(OR(INDEX($AH$2:$AH$1001,MATCH(ROWS($AG$2:AG969),$AG$2:$AG$1001,0),1)&gt;=100000,INDEX($AN$1005:$BO$1005,1,MATCH(COLUMNS($AN$1006:AS1006),$AN$1006:$BO$1006,0))&gt;=100000), " ",IF(INDEX($AN$2:$BO$1001,MATCH(ROWS($AG$2:AG969),$AG$2:$AG$1001,0),MATCH(COLUMNS($AN$1006:AS1006),$AN$1006:$BO$1006,0)), HYPERLINK("#",""), HYPERLINK(CONCATENATE("#Metadata!", ADDRESS(INDEX($AI$2:$AI$1001,MATCH(ROWS($AG$2:AG969),$AG$2:$AG$1001,0),0), INDEX($AN$1004:$BO$1004,1,MATCH(COLUMNS($AN$1006:AS1006),$AN$1006:$BO$1006,0)))),"Fix")))</f>
        <v>0</v>
      </c>
      <c r="H969" s="4">
        <f>IF(OR(INDEX($AH$2:$AH$1001,MATCH(ROWS($AG$2:AG969),$AG$2:$AG$1001,0),1)&gt;=100000,INDEX($AN$1005:$BO$1005,1,MATCH(COLUMNS($AN$1006:AT1006),$AN$1006:$BO$1006,0))&gt;=100000), " ",IF(INDEX($AN$2:$BO$1001,MATCH(ROWS($AG$2:AG969),$AG$2:$AG$1001,0),MATCH(COLUMNS($AN$1006:AT1006),$AN$1006:$BO$1006,0)), HYPERLINK("#",""), HYPERLINK(CONCATENATE("#Metadata!", ADDRESS(INDEX($AI$2:$AI$1001,MATCH(ROWS($AG$2:AG969),$AG$2:$AG$1001,0),0), INDEX($AN$1004:$BO$1004,1,MATCH(COLUMNS($AN$1006:AT1006),$AN$1006:$BO$1006,0)))),"Fix")))</f>
        <v>0</v>
      </c>
      <c r="I969" s="4">
        <f>IF(OR(INDEX($AH$2:$AH$1001,MATCH(ROWS($AG$2:AG969),$AG$2:$AG$1001,0),1)&gt;=100000,INDEX($AN$1005:$BO$1005,1,MATCH(COLUMNS($AN$1006:AU1006),$AN$1006:$BO$1006,0))&gt;=100000), " ",IF(INDEX($AN$2:$BO$1001,MATCH(ROWS($AG$2:AG969),$AG$2:$AG$1001,0),MATCH(COLUMNS($AN$1006:AU1006),$AN$1006:$BO$1006,0)), HYPERLINK("#",""), HYPERLINK(CONCATENATE("#Metadata!", ADDRESS(INDEX($AI$2:$AI$1001,MATCH(ROWS($AG$2:AG969),$AG$2:$AG$1001,0),0), INDEX($AN$1004:$BO$1004,1,MATCH(COLUMNS($AN$1006:AU1006),$AN$1006:$BO$1006,0)))),"Fix")))</f>
        <v>0</v>
      </c>
      <c r="J969" s="4">
        <f>IF(OR(INDEX($AH$2:$AH$1001,MATCH(ROWS($AG$2:AG969),$AG$2:$AG$1001,0),1)&gt;=100000,INDEX($AN$1005:$BO$1005,1,MATCH(COLUMNS($AN$1006:AV1006),$AN$1006:$BO$1006,0))&gt;=100000), " ",IF(INDEX($AN$2:$BO$1001,MATCH(ROWS($AG$2:AG969),$AG$2:$AG$1001,0),MATCH(COLUMNS($AN$1006:AV1006),$AN$1006:$BO$1006,0)), HYPERLINK("#",""), HYPERLINK(CONCATENATE("#Metadata!", ADDRESS(INDEX($AI$2:$AI$1001,MATCH(ROWS($AG$2:AG969),$AG$2:$AG$1001,0),0), INDEX($AN$1004:$BO$1004,1,MATCH(COLUMNS($AN$1006:AV1006),$AN$1006:$BO$1006,0)))),"Fix")))</f>
        <v>0</v>
      </c>
      <c r="K969" s="4">
        <f>IF(OR(INDEX($AH$2:$AH$1001,MATCH(ROWS($AG$2:AG969),$AG$2:$AG$1001,0),1)&gt;=100000,INDEX($AN$1005:$BO$1005,1,MATCH(COLUMNS($AN$1006:AW1006),$AN$1006:$BO$1006,0))&gt;=100000), " ",IF(INDEX($AN$2:$BO$1001,MATCH(ROWS($AG$2:AG969),$AG$2:$AG$1001,0),MATCH(COLUMNS($AN$1006:AW1006),$AN$1006:$BO$1006,0)), HYPERLINK("#",""), HYPERLINK(CONCATENATE("#Metadata!", ADDRESS(INDEX($AI$2:$AI$1001,MATCH(ROWS($AG$2:AG969),$AG$2:$AG$1001,0),0), INDEX($AN$1004:$BO$1004,1,MATCH(COLUMNS($AN$1006:AW1006),$AN$1006:$BO$1006,0)))),"Fix")))</f>
        <v>0</v>
      </c>
      <c r="L969" s="4">
        <f>IF(OR(INDEX($AH$2:$AH$1001,MATCH(ROWS($AG$2:AG969),$AG$2:$AG$1001,0),1)&gt;=100000,INDEX($AN$1005:$BO$1005,1,MATCH(COLUMNS($AN$1006:AX1006),$AN$1006:$BO$1006,0))&gt;=100000), " ",IF(INDEX($AN$2:$BO$1001,MATCH(ROWS($AG$2:AG969),$AG$2:$AG$1001,0),MATCH(COLUMNS($AN$1006:AX1006),$AN$1006:$BO$1006,0)), HYPERLINK("#",""), HYPERLINK(CONCATENATE("#Metadata!", ADDRESS(INDEX($AI$2:$AI$1001,MATCH(ROWS($AG$2:AG969),$AG$2:$AG$1001,0),0), INDEX($AN$1004:$BO$1004,1,MATCH(COLUMNS($AN$1006:AX1006),$AN$1006:$BO$1006,0)))),"Fix")))</f>
        <v>0</v>
      </c>
      <c r="M969" s="4">
        <f>IF(OR(INDEX($AH$2:$AH$1001,MATCH(ROWS($AG$2:AG969),$AG$2:$AG$1001,0),1)&gt;=100000,INDEX($AN$1005:$BO$1005,1,MATCH(COLUMNS($AN$1006:AY1006),$AN$1006:$BO$1006,0))&gt;=100000), " ",IF(INDEX($AN$2:$BO$1001,MATCH(ROWS($AG$2:AG969),$AG$2:$AG$1001,0),MATCH(COLUMNS($AN$1006:AY1006),$AN$1006:$BO$1006,0)), HYPERLINK("#",""), HYPERLINK(CONCATENATE("#Metadata!", ADDRESS(INDEX($AI$2:$AI$1001,MATCH(ROWS($AG$2:AG969),$AG$2:$AG$1001,0),0), INDEX($AN$1004:$BO$1004,1,MATCH(COLUMNS($AN$1006:AY1006),$AN$1006:$BO$1006,0)))),"Fix")))</f>
        <v>0</v>
      </c>
      <c r="N969" s="4">
        <f>IF(OR(INDEX($AH$2:$AH$1001,MATCH(ROWS($AG$2:AG969),$AG$2:$AG$1001,0),1)&gt;=100000,INDEX($AN$1005:$BO$1005,1,MATCH(COLUMNS($AN$1006:AZ1006),$AN$1006:$BO$1006,0))&gt;=100000), " ",IF(INDEX($AN$2:$BO$1001,MATCH(ROWS($AG$2:AG969),$AG$2:$AG$1001,0),MATCH(COLUMNS($AN$1006:AZ1006),$AN$1006:$BO$1006,0)), HYPERLINK("#",""), HYPERLINK(CONCATENATE("#Metadata!", ADDRESS(INDEX($AI$2:$AI$1001,MATCH(ROWS($AG$2:AG969),$AG$2:$AG$1001,0),0), INDEX($AN$1004:$BO$1004,1,MATCH(COLUMNS($AN$1006:AZ1006),$AN$1006:$BO$1006,0)))),"Fix")))</f>
        <v>0</v>
      </c>
      <c r="O969" s="4">
        <f>IF(OR(INDEX($AH$2:$AH$1001,MATCH(ROWS($AG$2:AG969),$AG$2:$AG$1001,0),1)&gt;=100000,INDEX($AN$1005:$BO$1005,1,MATCH(COLUMNS($AN$1006:BA1006),$AN$1006:$BO$1006,0))&gt;=100000), " ",IF(INDEX($AN$2:$BO$1001,MATCH(ROWS($AG$2:AG969),$AG$2:$AG$1001,0),MATCH(COLUMNS($AN$1006:BA1006),$AN$1006:$BO$1006,0)), HYPERLINK("#",""), HYPERLINK(CONCATENATE("#Metadata!", ADDRESS(INDEX($AI$2:$AI$1001,MATCH(ROWS($AG$2:AG969),$AG$2:$AG$1001,0),0), INDEX($AN$1004:$BO$1004,1,MATCH(COLUMNS($AN$1006:BA1006),$AN$1006:$BO$1006,0)))),"Fix")))</f>
        <v>0</v>
      </c>
      <c r="P969" s="4">
        <f>IF(OR(INDEX($AH$2:$AH$1001,MATCH(ROWS($AG$2:AG969),$AG$2:$AG$1001,0),1)&gt;=100000,INDEX($AN$1005:$BO$1005,1,MATCH(COLUMNS($AN$1006:BB1006),$AN$1006:$BO$1006,0))&gt;=100000), " ",IF(INDEX($AN$2:$BO$1001,MATCH(ROWS($AG$2:AG969),$AG$2:$AG$1001,0),MATCH(COLUMNS($AN$1006:BB1006),$AN$1006:$BO$1006,0)), HYPERLINK("#",""), HYPERLINK(CONCATENATE("#Metadata!", ADDRESS(INDEX($AI$2:$AI$1001,MATCH(ROWS($AG$2:AG969),$AG$2:$AG$1001,0),0), INDEX($AN$1004:$BO$1004,1,MATCH(COLUMNS($AN$1006:BB1006),$AN$1006:$BO$1006,0)))),"Fix")))</f>
        <v>0</v>
      </c>
      <c r="Q969" s="4">
        <f>IF(OR(INDEX($AH$2:$AH$1001,MATCH(ROWS($AG$2:AG969),$AG$2:$AG$1001,0),1)&gt;=100000,INDEX($AN$1005:$BO$1005,1,MATCH(COLUMNS($AN$1006:BC1006),$AN$1006:$BO$1006,0))&gt;=100000), " ",IF(INDEX($AN$2:$BO$1001,MATCH(ROWS($AG$2:AG969),$AG$2:$AG$1001,0),MATCH(COLUMNS($AN$1006:BC1006),$AN$1006:$BO$1006,0)), HYPERLINK("#",""), HYPERLINK(CONCATENATE("#Metadata!", ADDRESS(INDEX($AI$2:$AI$1001,MATCH(ROWS($AG$2:AG969),$AG$2:$AG$1001,0),0), INDEX($AN$1004:$BO$1004,1,MATCH(COLUMNS($AN$1006:BC1006),$AN$1006:$BO$1006,0)))),"Fix")))</f>
        <v>0</v>
      </c>
      <c r="R969" s="4">
        <f>IF(OR(INDEX($AH$2:$AH$1001,MATCH(ROWS($AG$2:AG969),$AG$2:$AG$1001,0),1)&gt;=100000,INDEX($AN$1005:$BO$1005,1,MATCH(COLUMNS($AN$1006:BD1006),$AN$1006:$BO$1006,0))&gt;=100000), " ",IF(INDEX($AN$2:$BO$1001,MATCH(ROWS($AG$2:AG969),$AG$2:$AG$1001,0),MATCH(COLUMNS($AN$1006:BD1006),$AN$1006:$BO$1006,0)), HYPERLINK("#",""), HYPERLINK(CONCATENATE("#Metadata!", ADDRESS(INDEX($AI$2:$AI$1001,MATCH(ROWS($AG$2:AG969),$AG$2:$AG$1001,0),0), INDEX($AN$1004:$BO$1004,1,MATCH(COLUMNS($AN$1006:BD1006),$AN$1006:$BO$1006,0)))),"Fix")))</f>
        <v>0</v>
      </c>
      <c r="S969" s="4">
        <f>IF(OR(INDEX($AH$2:$AH$1001,MATCH(ROWS($AG$2:AG969),$AG$2:$AG$1001,0),1)&gt;=100000,INDEX($AN$1005:$BO$1005,1,MATCH(COLUMNS($AN$1006:BE1006),$AN$1006:$BO$1006,0))&gt;=100000), " ",IF(INDEX($AN$2:$BO$1001,MATCH(ROWS($AG$2:AG969),$AG$2:$AG$1001,0),MATCH(COLUMNS($AN$1006:BE1006),$AN$1006:$BO$1006,0)), HYPERLINK("#",""), HYPERLINK(CONCATENATE("#Metadata!", ADDRESS(INDEX($AI$2:$AI$1001,MATCH(ROWS($AG$2:AG969),$AG$2:$AG$1001,0),0), INDEX($AN$1004:$BO$1004,1,MATCH(COLUMNS($AN$1006:BE1006),$AN$1006:$BO$1006,0)))),"Fix")))</f>
        <v>0</v>
      </c>
      <c r="T969" s="4">
        <f>IF(OR(INDEX($AH$2:$AH$1001,MATCH(ROWS($AG$2:AG969),$AG$2:$AG$1001,0),1)&gt;=100000,INDEX($AN$1005:$BO$1005,1,MATCH(COLUMNS($AN$1006:BF1006),$AN$1006:$BO$1006,0))&gt;=100000), " ",IF(INDEX($AN$2:$BO$1001,MATCH(ROWS($AG$2:AG969),$AG$2:$AG$1001,0),MATCH(COLUMNS($AN$1006:BF1006),$AN$1006:$BO$1006,0)), HYPERLINK("#",""), HYPERLINK(CONCATENATE("#Metadata!", ADDRESS(INDEX($AI$2:$AI$1001,MATCH(ROWS($AG$2:AG969),$AG$2:$AG$1001,0),0), INDEX($AN$1004:$BO$1004,1,MATCH(COLUMNS($AN$1006:BF1006),$AN$1006:$BO$1006,0)))),"Fix")))</f>
        <v>0</v>
      </c>
      <c r="U969" s="4">
        <f>IF(OR(INDEX($AH$2:$AH$1001,MATCH(ROWS($AG$2:AG969),$AG$2:$AG$1001,0),1)&gt;=100000,INDEX($AN$1005:$BO$1005,1,MATCH(COLUMNS($AN$1006:BG1006),$AN$1006:$BO$1006,0))&gt;=100000), " ",IF(INDEX($AN$2:$BO$1001,MATCH(ROWS($AG$2:AG969),$AG$2:$AG$1001,0),MATCH(COLUMNS($AN$1006:BG1006),$AN$1006:$BO$1006,0)), HYPERLINK("#",""), HYPERLINK(CONCATENATE("#Metadata!", ADDRESS(INDEX($AI$2:$AI$1001,MATCH(ROWS($AG$2:AG969),$AG$2:$AG$1001,0),0), INDEX($AN$1004:$BO$1004,1,MATCH(COLUMNS($AN$1006:BG1006),$AN$1006:$BO$1006,0)))),"Fix")))</f>
        <v>0</v>
      </c>
      <c r="V969" s="4">
        <f>IF(OR(INDEX($AH$2:$AH$1001,MATCH(ROWS($AG$2:AG969),$AG$2:$AG$1001,0),1)&gt;=100000,INDEX($AN$1005:$BO$1005,1,MATCH(COLUMNS($AN$1006:BH1006),$AN$1006:$BO$1006,0))&gt;=100000), " ",IF(INDEX($AN$2:$BO$1001,MATCH(ROWS($AG$2:AG969),$AG$2:$AG$1001,0),MATCH(COLUMNS($AN$1006:BH1006),$AN$1006:$BO$1006,0)), HYPERLINK("#",""), HYPERLINK(CONCATENATE("#Metadata!", ADDRESS(INDEX($AI$2:$AI$1001,MATCH(ROWS($AG$2:AG969),$AG$2:$AG$1001,0),0), INDEX($AN$1004:$BO$1004,1,MATCH(COLUMNS($AN$1006:BH1006),$AN$1006:$BO$1006,0)))),"Fix")))</f>
        <v>0</v>
      </c>
      <c r="W969" s="4">
        <f>IF(OR(INDEX($AH$2:$AH$1001,MATCH(ROWS($AG$2:AG969),$AG$2:$AG$1001,0),1)&gt;=100000,INDEX($AN$1005:$BO$1005,1,MATCH(COLUMNS($AN$1006:BI1006),$AN$1006:$BO$1006,0))&gt;=100000), " ",IF(INDEX($AN$2:$BO$1001,MATCH(ROWS($AG$2:AG969),$AG$2:$AG$1001,0),MATCH(COLUMNS($AN$1006:BI1006),$AN$1006:$BO$1006,0)), HYPERLINK("#",""), HYPERLINK(CONCATENATE("#Metadata!", ADDRESS(INDEX($AI$2:$AI$1001,MATCH(ROWS($AG$2:AG969),$AG$2:$AG$1001,0),0), INDEX($AN$1004:$BO$1004,1,MATCH(COLUMNS($AN$1006:BI1006),$AN$1006:$BO$1006,0)))),"Fix")))</f>
        <v>0</v>
      </c>
      <c r="X969" s="4">
        <f>IF(OR(INDEX($AH$2:$AH$1001,MATCH(ROWS($AG$2:AG969),$AG$2:$AG$1001,0),1)&gt;=100000,INDEX($AN$1005:$BO$1005,1,MATCH(COLUMNS($AN$1006:BJ1006),$AN$1006:$BO$1006,0))&gt;=100000), " ",IF(INDEX($AN$2:$BO$1001,MATCH(ROWS($AG$2:AG969),$AG$2:$AG$1001,0),MATCH(COLUMNS($AN$1006:BJ1006),$AN$1006:$BO$1006,0)), HYPERLINK("#",""), HYPERLINK(CONCATENATE("#Metadata!", ADDRESS(INDEX($AI$2:$AI$1001,MATCH(ROWS($AG$2:AG969),$AG$2:$AG$1001,0),0), INDEX($AN$1004:$BO$1004,1,MATCH(COLUMNS($AN$1006:BJ1006),$AN$1006:$BO$1006,0)))),"Fix")))</f>
        <v>0</v>
      </c>
      <c r="Y969" s="4">
        <f>IF(OR(INDEX($AH$2:$AH$1001,MATCH(ROWS($AG$2:AG969),$AG$2:$AG$1001,0),1)&gt;=100000,INDEX($AN$1005:$BO$1005,1,MATCH(COLUMNS($AN$1006:BK1006),$AN$1006:$BO$1006,0))&gt;=100000), " ",IF(INDEX($AN$2:$BO$1001,MATCH(ROWS($AG$2:AG969),$AG$2:$AG$1001,0),MATCH(COLUMNS($AN$1006:BK1006),$AN$1006:$BO$1006,0)), HYPERLINK("#",""), HYPERLINK(CONCATENATE("#Metadata!", ADDRESS(INDEX($AI$2:$AI$1001,MATCH(ROWS($AG$2:AG969),$AG$2:$AG$1001,0),0), INDEX($AN$1004:$BO$1004,1,MATCH(COLUMNS($AN$1006:BK1006),$AN$1006:$BO$1006,0)))),"Fix")))</f>
        <v>0</v>
      </c>
      <c r="Z969" s="4">
        <f>IF(OR(INDEX($AH$2:$AH$1001,MATCH(ROWS($AG$2:AG969),$AG$2:$AG$1001,0),1)&gt;=100000,INDEX($AN$1005:$BO$1005,1,MATCH(COLUMNS($AN$1006:BL1006),$AN$1006:$BO$1006,0))&gt;=100000), " ",IF(INDEX($AN$2:$BO$1001,MATCH(ROWS($AG$2:AG969),$AG$2:$AG$1001,0),MATCH(COLUMNS($AN$1006:BL1006),$AN$1006:$BO$1006,0)), HYPERLINK("#",""), HYPERLINK(CONCATENATE("#Metadata!", ADDRESS(INDEX($AI$2:$AI$1001,MATCH(ROWS($AG$2:AG969),$AG$2:$AG$1001,0),0), INDEX($AN$1004:$BO$1004,1,MATCH(COLUMNS($AN$1006:BL1006),$AN$1006:$BO$1006,0)))),"Fix")))</f>
        <v>0</v>
      </c>
      <c r="AA969" s="4">
        <f>IF(OR(INDEX($AH$2:$AH$1001,MATCH(ROWS($AG$2:AG969),$AG$2:$AG$1001,0),1)&gt;=100000,INDEX($AN$1005:$BO$1005,1,MATCH(COLUMNS($AN$1006:BM1006),$AN$1006:$BO$1006,0))&gt;=100000), " ",IF(INDEX($AN$2:$BO$1001,MATCH(ROWS($AG$2:AG969),$AG$2:$AG$1001,0),MATCH(COLUMNS($AN$1006:BM1006),$AN$1006:$BO$1006,0)), HYPERLINK("#",""), HYPERLINK(CONCATENATE("#Metadata!", ADDRESS(INDEX($AI$2:$AI$1001,MATCH(ROWS($AG$2:AG969),$AG$2:$AG$1001,0),0), INDEX($AN$1004:$BO$1004,1,MATCH(COLUMNS($AN$1006:BM1006),$AN$1006:$BO$1006,0)))),"Fix")))</f>
        <v>0</v>
      </c>
      <c r="AB969" s="4">
        <f>IF(OR(INDEX($AH$2:$AH$1001,MATCH(ROWS($AG$2:AG969),$AG$2:$AG$1001,0),1)&gt;=100000,INDEX($AN$1005:$BO$1005,1,MATCH(COLUMNS($AN$1006:BN1006),$AN$1006:$BO$1006,0))&gt;=100000), " ",IF(INDEX($AN$2:$BO$1001,MATCH(ROWS($AG$2:AG969),$AG$2:$AG$1001,0),MATCH(COLUMNS($AN$1006:BN1006),$AN$1006:$BO$1006,0)), HYPERLINK("#",""), HYPERLINK(CONCATENATE("#Metadata!", ADDRESS(INDEX($AI$2:$AI$1001,MATCH(ROWS($AG$2:AG969),$AG$2:$AG$1001,0),0), INDEX($AN$1004:$BO$1004,1,MATCH(COLUMNS($AN$1006:BN1006),$AN$1006:$BO$1006,0)))),"Fix")))</f>
        <v>0</v>
      </c>
      <c r="AC969" s="4">
        <f>IF(OR(INDEX($AH$2:$AH$1001,MATCH(ROWS($AG$2:AG969),$AG$2:$AG$1001,0),1)&gt;=100000,INDEX($AN$1005:$BO$1005,1,MATCH(COLUMNS($AN$1006:BO1006),$AN$1006:$BO$1006,0))&gt;=100000), " ",IF(INDEX($AN$2:$BO$1001,MATCH(ROWS($AG$2:AG969),$AG$2:$AG$1001,0),MATCH(COLUMNS($AN$1006:BO1006),$AN$1006:$BO$1006,0)), HYPERLINK("#",""), HYPERLINK(CONCATENATE("#Metadata!", ADDRESS(INDEX($AI$2:$AI$1001,MATCH(ROWS($AG$2:AG969),$AG$2:$AG$1001,0),0), INDEX($AN$1004:$BO$1004,1,MATCH(COLUMNS($AN$1006:BO1006),$AN$1006:$BO$1006,0)))),"Fix")))</f>
        <v>0</v>
      </c>
      <c r="AG969">
        <v>0</v>
      </c>
      <c r="AH969">
        <v>0</v>
      </c>
      <c r="AI969">
        <v>0</v>
      </c>
      <c r="AJ969">
        <f>IF(AK969,TRUE,AND(AN969:BO969))</f>
        <v>0</v>
      </c>
      <c r="AK969">
        <f>COUNTBLANK(Metadata!B969:AC969)=COLUMNS(Metadata!B969:AC969)</f>
        <v>0</v>
      </c>
      <c r="AL969">
        <v>0</v>
      </c>
      <c r="AN969">
        <f>AND(IF(Metadata!B969="",FALSE,TRUE),COUNTIF(Metadata!B:B, Metadata!B969) = 1,NOT(ISERROR(SUMPRODUCT(SEARCH(MID(Metadata!B969,ROW(INDIRECT("1:"&amp;LEN(Metadata!B969))), 1),"0123456789abcdefghijklmnopqrstuvwxyzABCDEFGHIJKLMNOPQRSTUVWXYZ.")))))</f>
        <v>0</v>
      </c>
      <c r="AO969">
        <f>IF(Metadata!C969="",FALSE,TRUE)</f>
        <v>0</v>
      </c>
      <c r="AP969">
        <f>IF(Metadata!D969="",FALSE,TRUE)</f>
        <v>0</v>
      </c>
      <c r="AQ969">
        <f>OR(AND(IF(Metadata!E969="",FALSE,TRUE),OR(exact(Metadata!E969,"not collected"),exact(Metadata!E969,"not provided"),exact(Metadata!E969,"restricted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R969">
        <f>IF(Metadata!F969="",FALSE,TRUE)</f>
        <v>0</v>
      </c>
      <c r="AS969">
        <f>OR(AND(IF(Metadata!G969="",FALSE,TRUE),OR(exact(Metadata!G969,"not collected"),exact(Metadata!G969,"not provided"))),AND(IF(Metadata!G969="",FALSE,TRUE),OR(exact(Metadata!G969,"TRUE"),exact(Metadata!G969,"FALSE"))))</f>
        <v>0</v>
      </c>
      <c r="AT969">
        <f>OR(AND(IF(Metadata!H969="",FALSE,TRUE),OR(exact(Metadata!H969,"not collected"),exact(Metadata!H969,"not provided"),exact(Metadata!H969,"restricted access"))),AND(IF(Metadata!H969="",FALSE,ISNUMBER(VALUE(Metadata!H969))),Metadata!H969&gt;=-413.0))</f>
        <v>0</v>
      </c>
      <c r="AU969">
        <f>AND(IF(Metadata!I969="",FALSE,TRUE),exact(Metadata!I969,"meters"))</f>
        <v>0</v>
      </c>
      <c r="AV969">
        <f>AND(IF(Metadata!J969="",FALSE,TRUE),OR(exact(Metadata!J969,"Host-associated"),exact(Metadata!J969,"Free-living")))</f>
        <v>0</v>
      </c>
      <c r="AW969">
        <f>AND(IF(Metadata!K969="",FALSE,TRUE),OR(exact(Metadata!K969,"Animal"),exact(Metadata!K969,"Fungus"),exact(Metadata!K969,"Plant"),exact(Metadata!K969,"Saline"),exact(Metadata!K969,"Non-saline")))</f>
        <v>0</v>
      </c>
      <c r="AX969">
        <f>AND(IF(Metadata!L969="",FALSE,TRUE),OR(exact(Metadata!L969,"Plant secretion"),exact(Metadata!L969,"Plant rhizosphere"),exact(Metadata!L969,"Plant surface"),exact(Metadata!L969,"Plant corpus"),exact(Metadata!L969,"Fungus surface"),exact(Metadata!L969,"Fungus corpus"),exact(Metadata!L969,"Animal surface"),exact(Metadata!L969,"Animal proximal gut"),exact(Metadata!L969,"Animal corpus"),exact(Metadata!L969,"Animal distal gut"),exact(Metadata!L969,"Animal secretion"),exact(Metadata!L969,"Sub-surface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Y969">
        <f>IF(Metadata!M969="",FALSE,TRUE)</f>
        <v>0</v>
      </c>
      <c r="AZ969">
        <f>IF(Metadata!N969="",FALSE,TRUE)</f>
        <v>0</v>
      </c>
      <c r="BA969">
        <f>IF(Metadata!O969="",FALSE,TRUE)</f>
        <v>0</v>
      </c>
      <c r="BB969">
        <f>OR(AND(IF(Metadata!P969="",FALSE,TRUE),OR(exact(Metadata!P969,"not collected"),exact(Metadata!P969,"not provided"),exact(Metadata!P969,"restricted access"))),AND(IF(Metadata!P969="",FALSE,TRUE),OR(exact(Metadata!P969,"air"),exact(Metadata!P969,"built environment"),exact(Metadata!P969,"host-associated"),exact(Metadata!P969,"human-associated"),exact(Metadata!P969,"human-skin"),exact(Metadata!P969,"human-oral"),exact(Metadata!P969,"human-gut"),exact(Metadata!P969,"human-vaginal"),exact(Metadata!P969,"microbial mat/biofilm"),exact(Metadata!P969,"misc environment"),exact(Metadata!P969,"plant-associated"),exact(Metadata!P969,"sediment"),exact(Metadata!P969,"soil"),exact(Metadata!P969,"wastewater/sludge"),exact(Metadata!P969,"water"))))</f>
        <v>0</v>
      </c>
      <c r="BC969">
        <f>IF(Metadata!Q969="",FALSE,TRUE)</f>
        <v>0</v>
      </c>
      <c r="BD969">
        <f>IF(Metadata!R969="",FALSE,TRUE)</f>
        <v>0</v>
      </c>
      <c r="BE969">
        <f>OR(AND(IF(Metadata!S969="",FALSE,TRUE),OR(exact(Metadata!S969,"not collected"),exact(Metadata!S969,"not provided"),exact(Metadata!S969,"restricted access"))),AND(IF(Metadata!S969="",FALSE,ISNUMBER(VALUE(Metadata!S969))),Metadata!S969&gt;=-90.00,Metadata!S969&lt;=90.00))</f>
        <v>0</v>
      </c>
      <c r="BF969">
        <f>AND(IF(Metadata!T969="",FALSE,TRUE),exact(Metadata!T969,"Decimal degrees"))</f>
        <v>0</v>
      </c>
      <c r="BG969">
        <f>OR(AND(IF(Metadata!U969="",FALSE,TRUE),OR(exact(Metadata!U969,"not collected"),exact(Metadata!U969,"not provided"),exact(Metadata!U969,"restricted access"))),AND(IF(Metadata!U969="",FALSE,ISNUMBER(VALUE(Metadata!U969))),Metadata!U969&gt;=-180.00,Metadata!U969&lt;=180.00))</f>
        <v>0</v>
      </c>
      <c r="BH969">
        <f>AND(IF(Metadata!V969="",FALSE,TRUE),exact(Metadata!V969,"Decimal degrees"))</f>
        <v>0</v>
      </c>
      <c r="BI969">
        <f>IF(Metadata!W969="",FALSE,TRUE)</f>
        <v>0</v>
      </c>
      <c r="BJ969">
        <f>OR(AND(IF(Metadata!X969="",FALSE,TRUE),OR(exact(Metadata!X969,"not collected"),exact(Metadata!X969,"not provided"),exact(Metadata!X969,"restricted access"))),AND(IF(Metadata!X969="",FALSE,TRUE),OR(exact(Metadata!X969,"TRUE"),exact(Metadata!X969,"FALSE"))))</f>
        <v>0</v>
      </c>
      <c r="BK969">
        <f>AND(IF(Metadata!Y969="",FALSE,TRUE),exact(Metadata!Y969,"other"))</f>
        <v>0</v>
      </c>
      <c r="BL969">
        <f>IF(Metadata!Z969="",FALSE,TRUE)</f>
        <v>0</v>
      </c>
      <c r="BM969">
        <f>OR(AND(IF(Metadata!AA969="",FALSE,TRUE),OR(exact(Metadata!AA969,"not collected"),exact(Metadata!AA969,"not provided"))),AND(IF(Metadata!AA969="",FALSE,IF(ISERROR(INT(Metadata!AA969)),FALSE,INT(Metadata!AA969)=Metadata!AA969)),Metadata!AA969&gt;0))</f>
        <v>0</v>
      </c>
      <c r="BN969">
        <f>AND(IF(Metadata!AB969="",FALSE,TRUE),exact(Metadata!AB969,"Not applicable"))</f>
        <v>0</v>
      </c>
      <c r="BO969">
        <f>IF(Metadata!AC969="",FALSE,TRUE)</f>
        <v>0</v>
      </c>
    </row>
    <row r="970" spans="1:67">
      <c r="A970" s="5">
        <f>IF(B970=" "," ",HYPERLINK(CONCATENATE("#metadata!",ADDRESS(INDEX($AI$2:$AI$1001,MATCH(ROWS($AG$2:AG970),$AG$2:$AG$1001,0),0),1)),INDEX($AL$2:$AL$1001,MATCH(ROWS($AG$2:AG970),$AG$2:$AG$1001,0),0)))</f>
        <v>0</v>
      </c>
      <c r="B970" s="4">
        <f>IF(OR(INDEX($AH$2:$AH$1001,MATCH(ROWS($AG$2:AG970),$AG$2:$AG$1001,0),1)&gt;=100000,INDEX($AN$1005:$BO$1005,1,MATCH(COLUMNS($AN$1006:AN1006),$AN$1006:$BO$1006,0))&gt;=100000), " ",IF(INDEX($AN$2:$BO$1001,MATCH(ROWS($AG$2:AG970),$AG$2:$AG$1001,0),MATCH(COLUMNS($AN$1006:AN1006),$AN$1006:$BO$1006,0)), HYPERLINK("#",""), HYPERLINK(CONCATENATE("#Metadata!", ADDRESS(INDEX($AI$2:$AI$1001,MATCH(ROWS($AG$2:AG970),$AG$2:$AG$1001,0),0), INDEX($AN$1004:$BO$1004,1,MATCH(COLUMNS($AN$1006:AN1006),$AN$1006:$BO$1006,0)))),"Fix")))</f>
        <v>0</v>
      </c>
      <c r="C970" s="4">
        <f>IF(OR(INDEX($AH$2:$AH$1001,MATCH(ROWS($AG$2:AG970),$AG$2:$AG$1001,0),1)&gt;=100000,INDEX($AN$1005:$BO$1005,1,MATCH(COLUMNS($AN$1006:AO1006),$AN$1006:$BO$1006,0))&gt;=100000), " ",IF(INDEX($AN$2:$BO$1001,MATCH(ROWS($AG$2:AG970),$AG$2:$AG$1001,0),MATCH(COLUMNS($AN$1006:AO1006),$AN$1006:$BO$1006,0)), HYPERLINK("#",""), HYPERLINK(CONCATENATE("#Metadata!", ADDRESS(INDEX($AI$2:$AI$1001,MATCH(ROWS($AG$2:AG970),$AG$2:$AG$1001,0),0), INDEX($AN$1004:$BO$1004,1,MATCH(COLUMNS($AN$1006:AO1006),$AN$1006:$BO$1006,0)))),"Fix")))</f>
        <v>0</v>
      </c>
      <c r="D970" s="4">
        <f>IF(OR(INDEX($AH$2:$AH$1001,MATCH(ROWS($AG$2:AG970),$AG$2:$AG$1001,0),1)&gt;=100000,INDEX($AN$1005:$BO$1005,1,MATCH(COLUMNS($AN$1006:AP1006),$AN$1006:$BO$1006,0))&gt;=100000), " ",IF(INDEX($AN$2:$BO$1001,MATCH(ROWS($AG$2:AG970),$AG$2:$AG$1001,0),MATCH(COLUMNS($AN$1006:AP1006),$AN$1006:$BO$1006,0)), HYPERLINK("#",""), HYPERLINK(CONCATENATE("#Metadata!", ADDRESS(INDEX($AI$2:$AI$1001,MATCH(ROWS($AG$2:AG970),$AG$2:$AG$1001,0),0), INDEX($AN$1004:$BO$1004,1,MATCH(COLUMNS($AN$1006:AP1006),$AN$1006:$BO$1006,0)))),"Fix")))</f>
        <v>0</v>
      </c>
      <c r="E970" s="4">
        <f>IF(OR(INDEX($AH$2:$AH$1001,MATCH(ROWS($AG$2:AG970),$AG$2:$AG$1001,0),1)&gt;=100000,INDEX($AN$1005:$BO$1005,1,MATCH(COLUMNS($AN$1006:AQ1006),$AN$1006:$BO$1006,0))&gt;=100000), " ",IF(INDEX($AN$2:$BO$1001,MATCH(ROWS($AG$2:AG970),$AG$2:$AG$1001,0),MATCH(COLUMNS($AN$1006:AQ1006),$AN$1006:$BO$1006,0)), HYPERLINK("#",""), HYPERLINK(CONCATENATE("#Metadata!", ADDRESS(INDEX($AI$2:$AI$1001,MATCH(ROWS($AG$2:AG970),$AG$2:$AG$1001,0),0), INDEX($AN$1004:$BO$1004,1,MATCH(COLUMNS($AN$1006:AQ1006),$AN$1006:$BO$1006,0)))),"Fix")))</f>
        <v>0</v>
      </c>
      <c r="F970" s="4">
        <f>IF(OR(INDEX($AH$2:$AH$1001,MATCH(ROWS($AG$2:AG970),$AG$2:$AG$1001,0),1)&gt;=100000,INDEX($AN$1005:$BO$1005,1,MATCH(COLUMNS($AN$1006:AR1006),$AN$1006:$BO$1006,0))&gt;=100000), " ",IF(INDEX($AN$2:$BO$1001,MATCH(ROWS($AG$2:AG970),$AG$2:$AG$1001,0),MATCH(COLUMNS($AN$1006:AR1006),$AN$1006:$BO$1006,0)), HYPERLINK("#",""), HYPERLINK(CONCATENATE("#Metadata!", ADDRESS(INDEX($AI$2:$AI$1001,MATCH(ROWS($AG$2:AG970),$AG$2:$AG$1001,0),0), INDEX($AN$1004:$BO$1004,1,MATCH(COLUMNS($AN$1006:AR1006),$AN$1006:$BO$1006,0)))),"Fix")))</f>
        <v>0</v>
      </c>
      <c r="G970" s="4">
        <f>IF(OR(INDEX($AH$2:$AH$1001,MATCH(ROWS($AG$2:AG970),$AG$2:$AG$1001,0),1)&gt;=100000,INDEX($AN$1005:$BO$1005,1,MATCH(COLUMNS($AN$1006:AS1006),$AN$1006:$BO$1006,0))&gt;=100000), " ",IF(INDEX($AN$2:$BO$1001,MATCH(ROWS($AG$2:AG970),$AG$2:$AG$1001,0),MATCH(COLUMNS($AN$1006:AS1006),$AN$1006:$BO$1006,0)), HYPERLINK("#",""), HYPERLINK(CONCATENATE("#Metadata!", ADDRESS(INDEX($AI$2:$AI$1001,MATCH(ROWS($AG$2:AG970),$AG$2:$AG$1001,0),0), INDEX($AN$1004:$BO$1004,1,MATCH(COLUMNS($AN$1006:AS1006),$AN$1006:$BO$1006,0)))),"Fix")))</f>
        <v>0</v>
      </c>
      <c r="H970" s="4">
        <f>IF(OR(INDEX($AH$2:$AH$1001,MATCH(ROWS($AG$2:AG970),$AG$2:$AG$1001,0),1)&gt;=100000,INDEX($AN$1005:$BO$1005,1,MATCH(COLUMNS($AN$1006:AT1006),$AN$1006:$BO$1006,0))&gt;=100000), " ",IF(INDEX($AN$2:$BO$1001,MATCH(ROWS($AG$2:AG970),$AG$2:$AG$1001,0),MATCH(COLUMNS($AN$1006:AT1006),$AN$1006:$BO$1006,0)), HYPERLINK("#",""), HYPERLINK(CONCATENATE("#Metadata!", ADDRESS(INDEX($AI$2:$AI$1001,MATCH(ROWS($AG$2:AG970),$AG$2:$AG$1001,0),0), INDEX($AN$1004:$BO$1004,1,MATCH(COLUMNS($AN$1006:AT1006),$AN$1006:$BO$1006,0)))),"Fix")))</f>
        <v>0</v>
      </c>
      <c r="I970" s="4">
        <f>IF(OR(INDEX($AH$2:$AH$1001,MATCH(ROWS($AG$2:AG970),$AG$2:$AG$1001,0),1)&gt;=100000,INDEX($AN$1005:$BO$1005,1,MATCH(COLUMNS($AN$1006:AU1006),$AN$1006:$BO$1006,0))&gt;=100000), " ",IF(INDEX($AN$2:$BO$1001,MATCH(ROWS($AG$2:AG970),$AG$2:$AG$1001,0),MATCH(COLUMNS($AN$1006:AU1006),$AN$1006:$BO$1006,0)), HYPERLINK("#",""), HYPERLINK(CONCATENATE("#Metadata!", ADDRESS(INDEX($AI$2:$AI$1001,MATCH(ROWS($AG$2:AG970),$AG$2:$AG$1001,0),0), INDEX($AN$1004:$BO$1004,1,MATCH(COLUMNS($AN$1006:AU1006),$AN$1006:$BO$1006,0)))),"Fix")))</f>
        <v>0</v>
      </c>
      <c r="J970" s="4">
        <f>IF(OR(INDEX($AH$2:$AH$1001,MATCH(ROWS($AG$2:AG970),$AG$2:$AG$1001,0),1)&gt;=100000,INDEX($AN$1005:$BO$1005,1,MATCH(COLUMNS($AN$1006:AV1006),$AN$1006:$BO$1006,0))&gt;=100000), " ",IF(INDEX($AN$2:$BO$1001,MATCH(ROWS($AG$2:AG970),$AG$2:$AG$1001,0),MATCH(COLUMNS($AN$1006:AV1006),$AN$1006:$BO$1006,0)), HYPERLINK("#",""), HYPERLINK(CONCATENATE("#Metadata!", ADDRESS(INDEX($AI$2:$AI$1001,MATCH(ROWS($AG$2:AG970),$AG$2:$AG$1001,0),0), INDEX($AN$1004:$BO$1004,1,MATCH(COLUMNS($AN$1006:AV1006),$AN$1006:$BO$1006,0)))),"Fix")))</f>
        <v>0</v>
      </c>
      <c r="K970" s="4">
        <f>IF(OR(INDEX($AH$2:$AH$1001,MATCH(ROWS($AG$2:AG970),$AG$2:$AG$1001,0),1)&gt;=100000,INDEX($AN$1005:$BO$1005,1,MATCH(COLUMNS($AN$1006:AW1006),$AN$1006:$BO$1006,0))&gt;=100000), " ",IF(INDEX($AN$2:$BO$1001,MATCH(ROWS($AG$2:AG970),$AG$2:$AG$1001,0),MATCH(COLUMNS($AN$1006:AW1006),$AN$1006:$BO$1006,0)), HYPERLINK("#",""), HYPERLINK(CONCATENATE("#Metadata!", ADDRESS(INDEX($AI$2:$AI$1001,MATCH(ROWS($AG$2:AG970),$AG$2:$AG$1001,0),0), INDEX($AN$1004:$BO$1004,1,MATCH(COLUMNS($AN$1006:AW1006),$AN$1006:$BO$1006,0)))),"Fix")))</f>
        <v>0</v>
      </c>
      <c r="L970" s="4">
        <f>IF(OR(INDEX($AH$2:$AH$1001,MATCH(ROWS($AG$2:AG970),$AG$2:$AG$1001,0),1)&gt;=100000,INDEX($AN$1005:$BO$1005,1,MATCH(COLUMNS($AN$1006:AX1006),$AN$1006:$BO$1006,0))&gt;=100000), " ",IF(INDEX($AN$2:$BO$1001,MATCH(ROWS($AG$2:AG970),$AG$2:$AG$1001,0),MATCH(COLUMNS($AN$1006:AX1006),$AN$1006:$BO$1006,0)), HYPERLINK("#",""), HYPERLINK(CONCATENATE("#Metadata!", ADDRESS(INDEX($AI$2:$AI$1001,MATCH(ROWS($AG$2:AG970),$AG$2:$AG$1001,0),0), INDEX($AN$1004:$BO$1004,1,MATCH(COLUMNS($AN$1006:AX1006),$AN$1006:$BO$1006,0)))),"Fix")))</f>
        <v>0</v>
      </c>
      <c r="M970" s="4">
        <f>IF(OR(INDEX($AH$2:$AH$1001,MATCH(ROWS($AG$2:AG970),$AG$2:$AG$1001,0),1)&gt;=100000,INDEX($AN$1005:$BO$1005,1,MATCH(COLUMNS($AN$1006:AY1006),$AN$1006:$BO$1006,0))&gt;=100000), " ",IF(INDEX($AN$2:$BO$1001,MATCH(ROWS($AG$2:AG970),$AG$2:$AG$1001,0),MATCH(COLUMNS($AN$1006:AY1006),$AN$1006:$BO$1006,0)), HYPERLINK("#",""), HYPERLINK(CONCATENATE("#Metadata!", ADDRESS(INDEX($AI$2:$AI$1001,MATCH(ROWS($AG$2:AG970),$AG$2:$AG$1001,0),0), INDEX($AN$1004:$BO$1004,1,MATCH(COLUMNS($AN$1006:AY1006),$AN$1006:$BO$1006,0)))),"Fix")))</f>
        <v>0</v>
      </c>
      <c r="N970" s="4">
        <f>IF(OR(INDEX($AH$2:$AH$1001,MATCH(ROWS($AG$2:AG970),$AG$2:$AG$1001,0),1)&gt;=100000,INDEX($AN$1005:$BO$1005,1,MATCH(COLUMNS($AN$1006:AZ1006),$AN$1006:$BO$1006,0))&gt;=100000), " ",IF(INDEX($AN$2:$BO$1001,MATCH(ROWS($AG$2:AG970),$AG$2:$AG$1001,0),MATCH(COLUMNS($AN$1006:AZ1006),$AN$1006:$BO$1006,0)), HYPERLINK("#",""), HYPERLINK(CONCATENATE("#Metadata!", ADDRESS(INDEX($AI$2:$AI$1001,MATCH(ROWS($AG$2:AG970),$AG$2:$AG$1001,0),0), INDEX($AN$1004:$BO$1004,1,MATCH(COLUMNS($AN$1006:AZ1006),$AN$1006:$BO$1006,0)))),"Fix")))</f>
        <v>0</v>
      </c>
      <c r="O970" s="4">
        <f>IF(OR(INDEX($AH$2:$AH$1001,MATCH(ROWS($AG$2:AG970),$AG$2:$AG$1001,0),1)&gt;=100000,INDEX($AN$1005:$BO$1005,1,MATCH(COLUMNS($AN$1006:BA1006),$AN$1006:$BO$1006,0))&gt;=100000), " ",IF(INDEX($AN$2:$BO$1001,MATCH(ROWS($AG$2:AG970),$AG$2:$AG$1001,0),MATCH(COLUMNS($AN$1006:BA1006),$AN$1006:$BO$1006,0)), HYPERLINK("#",""), HYPERLINK(CONCATENATE("#Metadata!", ADDRESS(INDEX($AI$2:$AI$1001,MATCH(ROWS($AG$2:AG970),$AG$2:$AG$1001,0),0), INDEX($AN$1004:$BO$1004,1,MATCH(COLUMNS($AN$1006:BA1006),$AN$1006:$BO$1006,0)))),"Fix")))</f>
        <v>0</v>
      </c>
      <c r="P970" s="4">
        <f>IF(OR(INDEX($AH$2:$AH$1001,MATCH(ROWS($AG$2:AG970),$AG$2:$AG$1001,0),1)&gt;=100000,INDEX($AN$1005:$BO$1005,1,MATCH(COLUMNS($AN$1006:BB1006),$AN$1006:$BO$1006,0))&gt;=100000), " ",IF(INDEX($AN$2:$BO$1001,MATCH(ROWS($AG$2:AG970),$AG$2:$AG$1001,0),MATCH(COLUMNS($AN$1006:BB1006),$AN$1006:$BO$1006,0)), HYPERLINK("#",""), HYPERLINK(CONCATENATE("#Metadata!", ADDRESS(INDEX($AI$2:$AI$1001,MATCH(ROWS($AG$2:AG970),$AG$2:$AG$1001,0),0), INDEX($AN$1004:$BO$1004,1,MATCH(COLUMNS($AN$1006:BB1006),$AN$1006:$BO$1006,0)))),"Fix")))</f>
        <v>0</v>
      </c>
      <c r="Q970" s="4">
        <f>IF(OR(INDEX($AH$2:$AH$1001,MATCH(ROWS($AG$2:AG970),$AG$2:$AG$1001,0),1)&gt;=100000,INDEX($AN$1005:$BO$1005,1,MATCH(COLUMNS($AN$1006:BC1006),$AN$1006:$BO$1006,0))&gt;=100000), " ",IF(INDEX($AN$2:$BO$1001,MATCH(ROWS($AG$2:AG970),$AG$2:$AG$1001,0),MATCH(COLUMNS($AN$1006:BC1006),$AN$1006:$BO$1006,0)), HYPERLINK("#",""), HYPERLINK(CONCATENATE("#Metadata!", ADDRESS(INDEX($AI$2:$AI$1001,MATCH(ROWS($AG$2:AG970),$AG$2:$AG$1001,0),0), INDEX($AN$1004:$BO$1004,1,MATCH(COLUMNS($AN$1006:BC1006),$AN$1006:$BO$1006,0)))),"Fix")))</f>
        <v>0</v>
      </c>
      <c r="R970" s="4">
        <f>IF(OR(INDEX($AH$2:$AH$1001,MATCH(ROWS($AG$2:AG970),$AG$2:$AG$1001,0),1)&gt;=100000,INDEX($AN$1005:$BO$1005,1,MATCH(COLUMNS($AN$1006:BD1006),$AN$1006:$BO$1006,0))&gt;=100000), " ",IF(INDEX($AN$2:$BO$1001,MATCH(ROWS($AG$2:AG970),$AG$2:$AG$1001,0),MATCH(COLUMNS($AN$1006:BD1006),$AN$1006:$BO$1006,0)), HYPERLINK("#",""), HYPERLINK(CONCATENATE("#Metadata!", ADDRESS(INDEX($AI$2:$AI$1001,MATCH(ROWS($AG$2:AG970),$AG$2:$AG$1001,0),0), INDEX($AN$1004:$BO$1004,1,MATCH(COLUMNS($AN$1006:BD1006),$AN$1006:$BO$1006,0)))),"Fix")))</f>
        <v>0</v>
      </c>
      <c r="S970" s="4">
        <f>IF(OR(INDEX($AH$2:$AH$1001,MATCH(ROWS($AG$2:AG970),$AG$2:$AG$1001,0),1)&gt;=100000,INDEX($AN$1005:$BO$1005,1,MATCH(COLUMNS($AN$1006:BE1006),$AN$1006:$BO$1006,0))&gt;=100000), " ",IF(INDEX($AN$2:$BO$1001,MATCH(ROWS($AG$2:AG970),$AG$2:$AG$1001,0),MATCH(COLUMNS($AN$1006:BE1006),$AN$1006:$BO$1006,0)), HYPERLINK("#",""), HYPERLINK(CONCATENATE("#Metadata!", ADDRESS(INDEX($AI$2:$AI$1001,MATCH(ROWS($AG$2:AG970),$AG$2:$AG$1001,0),0), INDEX($AN$1004:$BO$1004,1,MATCH(COLUMNS($AN$1006:BE1006),$AN$1006:$BO$1006,0)))),"Fix")))</f>
        <v>0</v>
      </c>
      <c r="T970" s="4">
        <f>IF(OR(INDEX($AH$2:$AH$1001,MATCH(ROWS($AG$2:AG970),$AG$2:$AG$1001,0),1)&gt;=100000,INDEX($AN$1005:$BO$1005,1,MATCH(COLUMNS($AN$1006:BF1006),$AN$1006:$BO$1006,0))&gt;=100000), " ",IF(INDEX($AN$2:$BO$1001,MATCH(ROWS($AG$2:AG970),$AG$2:$AG$1001,0),MATCH(COLUMNS($AN$1006:BF1006),$AN$1006:$BO$1006,0)), HYPERLINK("#",""), HYPERLINK(CONCATENATE("#Metadata!", ADDRESS(INDEX($AI$2:$AI$1001,MATCH(ROWS($AG$2:AG970),$AG$2:$AG$1001,0),0), INDEX($AN$1004:$BO$1004,1,MATCH(COLUMNS($AN$1006:BF1006),$AN$1006:$BO$1006,0)))),"Fix")))</f>
        <v>0</v>
      </c>
      <c r="U970" s="4">
        <f>IF(OR(INDEX($AH$2:$AH$1001,MATCH(ROWS($AG$2:AG970),$AG$2:$AG$1001,0),1)&gt;=100000,INDEX($AN$1005:$BO$1005,1,MATCH(COLUMNS($AN$1006:BG1006),$AN$1006:$BO$1006,0))&gt;=100000), " ",IF(INDEX($AN$2:$BO$1001,MATCH(ROWS($AG$2:AG970),$AG$2:$AG$1001,0),MATCH(COLUMNS($AN$1006:BG1006),$AN$1006:$BO$1006,0)), HYPERLINK("#",""), HYPERLINK(CONCATENATE("#Metadata!", ADDRESS(INDEX($AI$2:$AI$1001,MATCH(ROWS($AG$2:AG970),$AG$2:$AG$1001,0),0), INDEX($AN$1004:$BO$1004,1,MATCH(COLUMNS($AN$1006:BG1006),$AN$1006:$BO$1006,0)))),"Fix")))</f>
        <v>0</v>
      </c>
      <c r="V970" s="4">
        <f>IF(OR(INDEX($AH$2:$AH$1001,MATCH(ROWS($AG$2:AG970),$AG$2:$AG$1001,0),1)&gt;=100000,INDEX($AN$1005:$BO$1005,1,MATCH(COLUMNS($AN$1006:BH1006),$AN$1006:$BO$1006,0))&gt;=100000), " ",IF(INDEX($AN$2:$BO$1001,MATCH(ROWS($AG$2:AG970),$AG$2:$AG$1001,0),MATCH(COLUMNS($AN$1006:BH1006),$AN$1006:$BO$1006,0)), HYPERLINK("#",""), HYPERLINK(CONCATENATE("#Metadata!", ADDRESS(INDEX($AI$2:$AI$1001,MATCH(ROWS($AG$2:AG970),$AG$2:$AG$1001,0),0), INDEX($AN$1004:$BO$1004,1,MATCH(COLUMNS($AN$1006:BH1006),$AN$1006:$BO$1006,0)))),"Fix")))</f>
        <v>0</v>
      </c>
      <c r="W970" s="4">
        <f>IF(OR(INDEX($AH$2:$AH$1001,MATCH(ROWS($AG$2:AG970),$AG$2:$AG$1001,0),1)&gt;=100000,INDEX($AN$1005:$BO$1005,1,MATCH(COLUMNS($AN$1006:BI1006),$AN$1006:$BO$1006,0))&gt;=100000), " ",IF(INDEX($AN$2:$BO$1001,MATCH(ROWS($AG$2:AG970),$AG$2:$AG$1001,0),MATCH(COLUMNS($AN$1006:BI1006),$AN$1006:$BO$1006,0)), HYPERLINK("#",""), HYPERLINK(CONCATENATE("#Metadata!", ADDRESS(INDEX($AI$2:$AI$1001,MATCH(ROWS($AG$2:AG970),$AG$2:$AG$1001,0),0), INDEX($AN$1004:$BO$1004,1,MATCH(COLUMNS($AN$1006:BI1006),$AN$1006:$BO$1006,0)))),"Fix")))</f>
        <v>0</v>
      </c>
      <c r="X970" s="4">
        <f>IF(OR(INDEX($AH$2:$AH$1001,MATCH(ROWS($AG$2:AG970),$AG$2:$AG$1001,0),1)&gt;=100000,INDEX($AN$1005:$BO$1005,1,MATCH(COLUMNS($AN$1006:BJ1006),$AN$1006:$BO$1006,0))&gt;=100000), " ",IF(INDEX($AN$2:$BO$1001,MATCH(ROWS($AG$2:AG970),$AG$2:$AG$1001,0),MATCH(COLUMNS($AN$1006:BJ1006),$AN$1006:$BO$1006,0)), HYPERLINK("#",""), HYPERLINK(CONCATENATE("#Metadata!", ADDRESS(INDEX($AI$2:$AI$1001,MATCH(ROWS($AG$2:AG970),$AG$2:$AG$1001,0),0), INDEX($AN$1004:$BO$1004,1,MATCH(COLUMNS($AN$1006:BJ1006),$AN$1006:$BO$1006,0)))),"Fix")))</f>
        <v>0</v>
      </c>
      <c r="Y970" s="4">
        <f>IF(OR(INDEX($AH$2:$AH$1001,MATCH(ROWS($AG$2:AG970),$AG$2:$AG$1001,0),1)&gt;=100000,INDEX($AN$1005:$BO$1005,1,MATCH(COLUMNS($AN$1006:BK1006),$AN$1006:$BO$1006,0))&gt;=100000), " ",IF(INDEX($AN$2:$BO$1001,MATCH(ROWS($AG$2:AG970),$AG$2:$AG$1001,0),MATCH(COLUMNS($AN$1006:BK1006),$AN$1006:$BO$1006,0)), HYPERLINK("#",""), HYPERLINK(CONCATENATE("#Metadata!", ADDRESS(INDEX($AI$2:$AI$1001,MATCH(ROWS($AG$2:AG970),$AG$2:$AG$1001,0),0), INDEX($AN$1004:$BO$1004,1,MATCH(COLUMNS($AN$1006:BK1006),$AN$1006:$BO$1006,0)))),"Fix")))</f>
        <v>0</v>
      </c>
      <c r="Z970" s="4">
        <f>IF(OR(INDEX($AH$2:$AH$1001,MATCH(ROWS($AG$2:AG970),$AG$2:$AG$1001,0),1)&gt;=100000,INDEX($AN$1005:$BO$1005,1,MATCH(COLUMNS($AN$1006:BL1006),$AN$1006:$BO$1006,0))&gt;=100000), " ",IF(INDEX($AN$2:$BO$1001,MATCH(ROWS($AG$2:AG970),$AG$2:$AG$1001,0),MATCH(COLUMNS($AN$1006:BL1006),$AN$1006:$BO$1006,0)), HYPERLINK("#",""), HYPERLINK(CONCATENATE("#Metadata!", ADDRESS(INDEX($AI$2:$AI$1001,MATCH(ROWS($AG$2:AG970),$AG$2:$AG$1001,0),0), INDEX($AN$1004:$BO$1004,1,MATCH(COLUMNS($AN$1006:BL1006),$AN$1006:$BO$1006,0)))),"Fix")))</f>
        <v>0</v>
      </c>
      <c r="AA970" s="4">
        <f>IF(OR(INDEX($AH$2:$AH$1001,MATCH(ROWS($AG$2:AG970),$AG$2:$AG$1001,0),1)&gt;=100000,INDEX($AN$1005:$BO$1005,1,MATCH(COLUMNS($AN$1006:BM1006),$AN$1006:$BO$1006,0))&gt;=100000), " ",IF(INDEX($AN$2:$BO$1001,MATCH(ROWS($AG$2:AG970),$AG$2:$AG$1001,0),MATCH(COLUMNS($AN$1006:BM1006),$AN$1006:$BO$1006,0)), HYPERLINK("#",""), HYPERLINK(CONCATENATE("#Metadata!", ADDRESS(INDEX($AI$2:$AI$1001,MATCH(ROWS($AG$2:AG970),$AG$2:$AG$1001,0),0), INDEX($AN$1004:$BO$1004,1,MATCH(COLUMNS($AN$1006:BM1006),$AN$1006:$BO$1006,0)))),"Fix")))</f>
        <v>0</v>
      </c>
      <c r="AB970" s="4">
        <f>IF(OR(INDEX($AH$2:$AH$1001,MATCH(ROWS($AG$2:AG970),$AG$2:$AG$1001,0),1)&gt;=100000,INDEX($AN$1005:$BO$1005,1,MATCH(COLUMNS($AN$1006:BN1006),$AN$1006:$BO$1006,0))&gt;=100000), " ",IF(INDEX($AN$2:$BO$1001,MATCH(ROWS($AG$2:AG970),$AG$2:$AG$1001,0),MATCH(COLUMNS($AN$1006:BN1006),$AN$1006:$BO$1006,0)), HYPERLINK("#",""), HYPERLINK(CONCATENATE("#Metadata!", ADDRESS(INDEX($AI$2:$AI$1001,MATCH(ROWS($AG$2:AG970),$AG$2:$AG$1001,0),0), INDEX($AN$1004:$BO$1004,1,MATCH(COLUMNS($AN$1006:BN1006),$AN$1006:$BO$1006,0)))),"Fix")))</f>
        <v>0</v>
      </c>
      <c r="AC970" s="4">
        <f>IF(OR(INDEX($AH$2:$AH$1001,MATCH(ROWS($AG$2:AG970),$AG$2:$AG$1001,0),1)&gt;=100000,INDEX($AN$1005:$BO$1005,1,MATCH(COLUMNS($AN$1006:BO1006),$AN$1006:$BO$1006,0))&gt;=100000), " ",IF(INDEX($AN$2:$BO$1001,MATCH(ROWS($AG$2:AG970),$AG$2:$AG$1001,0),MATCH(COLUMNS($AN$1006:BO1006),$AN$1006:$BO$1006,0)), HYPERLINK("#",""), HYPERLINK(CONCATENATE("#Metadata!", ADDRESS(INDEX($AI$2:$AI$1001,MATCH(ROWS($AG$2:AG970),$AG$2:$AG$1001,0),0), INDEX($AN$1004:$BO$1004,1,MATCH(COLUMNS($AN$1006:BO1006),$AN$1006:$BO$1006,0)))),"Fix")))</f>
        <v>0</v>
      </c>
      <c r="AG970">
        <v>0</v>
      </c>
      <c r="AH970">
        <v>0</v>
      </c>
      <c r="AI970">
        <v>0</v>
      </c>
      <c r="AJ970">
        <f>IF(AK970,TRUE,AND(AN970:BO970))</f>
        <v>0</v>
      </c>
      <c r="AK970">
        <f>COUNTBLANK(Metadata!B970:AC970)=COLUMNS(Metadata!B970:AC970)</f>
        <v>0</v>
      </c>
      <c r="AL970">
        <v>0</v>
      </c>
      <c r="AN970">
        <f>AND(IF(Metadata!B970="",FALSE,TRUE),COUNTIF(Metadata!B:B, Metadata!B970) = 1,NOT(ISERROR(SUMPRODUCT(SEARCH(MID(Metadata!B970,ROW(INDIRECT("1:"&amp;LEN(Metadata!B970))), 1),"0123456789abcdefghijklmnopqrstuvwxyzABCDEFGHIJKLMNOPQRSTUVWXYZ.")))))</f>
        <v>0</v>
      </c>
      <c r="AO970">
        <f>IF(Metadata!C970="",FALSE,TRUE)</f>
        <v>0</v>
      </c>
      <c r="AP970">
        <f>IF(Metadata!D970="",FALSE,TRUE)</f>
        <v>0</v>
      </c>
      <c r="AQ970">
        <f>OR(AND(IF(Metadata!E970="",FALSE,TRUE),OR(exact(Metadata!E970,"not collected"),exact(Metadata!E970,"not provided"),exact(Metadata!E970,"restricted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R970">
        <f>IF(Metadata!F970="",FALSE,TRUE)</f>
        <v>0</v>
      </c>
      <c r="AS970">
        <f>OR(AND(IF(Metadata!G970="",FALSE,TRUE),OR(exact(Metadata!G970,"not collected"),exact(Metadata!G970,"not provided"))),AND(IF(Metadata!G970="",FALSE,TRUE),OR(exact(Metadata!G970,"TRUE"),exact(Metadata!G970,"FALSE"))))</f>
        <v>0</v>
      </c>
      <c r="AT970">
        <f>OR(AND(IF(Metadata!H970="",FALSE,TRUE),OR(exact(Metadata!H970,"not collected"),exact(Metadata!H970,"not provided"),exact(Metadata!H970,"restricted access"))),AND(IF(Metadata!H970="",FALSE,ISNUMBER(VALUE(Metadata!H970))),Metadata!H970&gt;=-413.0))</f>
        <v>0</v>
      </c>
      <c r="AU970">
        <f>AND(IF(Metadata!I970="",FALSE,TRUE),exact(Metadata!I970,"meters"))</f>
        <v>0</v>
      </c>
      <c r="AV970">
        <f>AND(IF(Metadata!J970="",FALSE,TRUE),OR(exact(Metadata!J970,"Host-associated"),exact(Metadata!J970,"Free-living")))</f>
        <v>0</v>
      </c>
      <c r="AW970">
        <f>AND(IF(Metadata!K970="",FALSE,TRUE),OR(exact(Metadata!K970,"Animal"),exact(Metadata!K970,"Fungus"),exact(Metadata!K970,"Plant"),exact(Metadata!K970,"Saline"),exact(Metadata!K970,"Non-saline")))</f>
        <v>0</v>
      </c>
      <c r="AX970">
        <f>AND(IF(Metadata!L970="",FALSE,TRUE),OR(exact(Metadata!L970,"Plant secretion"),exact(Metadata!L970,"Plant rhizosphere"),exact(Metadata!L970,"Plant surface"),exact(Metadata!L970,"Plant corpus"),exact(Metadata!L970,"Fungus surface"),exact(Metadata!L970,"Fungus corpus"),exact(Metadata!L970,"Animal surface"),exact(Metadata!L970,"Animal proximal gut"),exact(Metadata!L970,"Animal corpus"),exact(Metadata!L970,"Animal distal gut"),exact(Metadata!L970,"Animal secretion"),exact(Metadata!L970,"Sub-surface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Y970">
        <f>IF(Metadata!M970="",FALSE,TRUE)</f>
        <v>0</v>
      </c>
      <c r="AZ970">
        <f>IF(Metadata!N970="",FALSE,TRUE)</f>
        <v>0</v>
      </c>
      <c r="BA970">
        <f>IF(Metadata!O970="",FALSE,TRUE)</f>
        <v>0</v>
      </c>
      <c r="BB970">
        <f>OR(AND(IF(Metadata!P970="",FALSE,TRUE),OR(exact(Metadata!P970,"not collected"),exact(Metadata!P970,"not provided"),exact(Metadata!P970,"restricted access"))),AND(IF(Metadata!P970="",FALSE,TRUE),OR(exact(Metadata!P970,"air"),exact(Metadata!P970,"built environment"),exact(Metadata!P970,"host-associated"),exact(Metadata!P970,"human-associated"),exact(Metadata!P970,"human-skin"),exact(Metadata!P970,"human-oral"),exact(Metadata!P970,"human-gut"),exact(Metadata!P970,"human-vaginal"),exact(Metadata!P970,"microbial mat/biofilm"),exact(Metadata!P970,"misc environment"),exact(Metadata!P970,"plant-associated"),exact(Metadata!P970,"sediment"),exact(Metadata!P970,"soil"),exact(Metadata!P970,"wastewater/sludge"),exact(Metadata!P970,"water"))))</f>
        <v>0</v>
      </c>
      <c r="BC970">
        <f>IF(Metadata!Q970="",FALSE,TRUE)</f>
        <v>0</v>
      </c>
      <c r="BD970">
        <f>IF(Metadata!R970="",FALSE,TRUE)</f>
        <v>0</v>
      </c>
      <c r="BE970">
        <f>OR(AND(IF(Metadata!S970="",FALSE,TRUE),OR(exact(Metadata!S970,"not collected"),exact(Metadata!S970,"not provided"),exact(Metadata!S970,"restricted access"))),AND(IF(Metadata!S970="",FALSE,ISNUMBER(VALUE(Metadata!S970))),Metadata!S970&gt;=-90.00,Metadata!S970&lt;=90.00))</f>
        <v>0</v>
      </c>
      <c r="BF970">
        <f>AND(IF(Metadata!T970="",FALSE,TRUE),exact(Metadata!T970,"Decimal degrees"))</f>
        <v>0</v>
      </c>
      <c r="BG970">
        <f>OR(AND(IF(Metadata!U970="",FALSE,TRUE),OR(exact(Metadata!U970,"not collected"),exact(Metadata!U970,"not provided"),exact(Metadata!U970,"restricted access"))),AND(IF(Metadata!U970="",FALSE,ISNUMBER(VALUE(Metadata!U970))),Metadata!U970&gt;=-180.00,Metadata!U970&lt;=180.00))</f>
        <v>0</v>
      </c>
      <c r="BH970">
        <f>AND(IF(Metadata!V970="",FALSE,TRUE),exact(Metadata!V970,"Decimal degrees"))</f>
        <v>0</v>
      </c>
      <c r="BI970">
        <f>IF(Metadata!W970="",FALSE,TRUE)</f>
        <v>0</v>
      </c>
      <c r="BJ970">
        <f>OR(AND(IF(Metadata!X970="",FALSE,TRUE),OR(exact(Metadata!X970,"not collected"),exact(Metadata!X970,"not provided"),exact(Metadata!X970,"restricted access"))),AND(IF(Metadata!X970="",FALSE,TRUE),OR(exact(Metadata!X970,"TRUE"),exact(Metadata!X970,"FALSE"))))</f>
        <v>0</v>
      </c>
      <c r="BK970">
        <f>AND(IF(Metadata!Y970="",FALSE,TRUE),exact(Metadata!Y970,"other"))</f>
        <v>0</v>
      </c>
      <c r="BL970">
        <f>IF(Metadata!Z970="",FALSE,TRUE)</f>
        <v>0</v>
      </c>
      <c r="BM970">
        <f>OR(AND(IF(Metadata!AA970="",FALSE,TRUE),OR(exact(Metadata!AA970,"not collected"),exact(Metadata!AA970,"not provided"))),AND(IF(Metadata!AA970="",FALSE,IF(ISERROR(INT(Metadata!AA970)),FALSE,INT(Metadata!AA970)=Metadata!AA970)),Metadata!AA970&gt;0))</f>
        <v>0</v>
      </c>
      <c r="BN970">
        <f>AND(IF(Metadata!AB970="",FALSE,TRUE),exact(Metadata!AB970,"Not applicable"))</f>
        <v>0</v>
      </c>
      <c r="BO970">
        <f>IF(Metadata!AC970="",FALSE,TRUE)</f>
        <v>0</v>
      </c>
    </row>
    <row r="971" spans="1:67">
      <c r="A971" s="5">
        <f>IF(B971=" "," ",HYPERLINK(CONCATENATE("#metadata!",ADDRESS(INDEX($AI$2:$AI$1001,MATCH(ROWS($AG$2:AG971),$AG$2:$AG$1001,0),0),1)),INDEX($AL$2:$AL$1001,MATCH(ROWS($AG$2:AG971),$AG$2:$AG$1001,0),0)))</f>
        <v>0</v>
      </c>
      <c r="B971" s="4">
        <f>IF(OR(INDEX($AH$2:$AH$1001,MATCH(ROWS($AG$2:AG971),$AG$2:$AG$1001,0),1)&gt;=100000,INDEX($AN$1005:$BO$1005,1,MATCH(COLUMNS($AN$1006:AN1006),$AN$1006:$BO$1006,0))&gt;=100000), " ",IF(INDEX($AN$2:$BO$1001,MATCH(ROWS($AG$2:AG971),$AG$2:$AG$1001,0),MATCH(COLUMNS($AN$1006:AN1006),$AN$1006:$BO$1006,0)), HYPERLINK("#",""), HYPERLINK(CONCATENATE("#Metadata!", ADDRESS(INDEX($AI$2:$AI$1001,MATCH(ROWS($AG$2:AG971),$AG$2:$AG$1001,0),0), INDEX($AN$1004:$BO$1004,1,MATCH(COLUMNS($AN$1006:AN1006),$AN$1006:$BO$1006,0)))),"Fix")))</f>
        <v>0</v>
      </c>
      <c r="C971" s="4">
        <f>IF(OR(INDEX($AH$2:$AH$1001,MATCH(ROWS($AG$2:AG971),$AG$2:$AG$1001,0),1)&gt;=100000,INDEX($AN$1005:$BO$1005,1,MATCH(COLUMNS($AN$1006:AO1006),$AN$1006:$BO$1006,0))&gt;=100000), " ",IF(INDEX($AN$2:$BO$1001,MATCH(ROWS($AG$2:AG971),$AG$2:$AG$1001,0),MATCH(COLUMNS($AN$1006:AO1006),$AN$1006:$BO$1006,0)), HYPERLINK("#",""), HYPERLINK(CONCATENATE("#Metadata!", ADDRESS(INDEX($AI$2:$AI$1001,MATCH(ROWS($AG$2:AG971),$AG$2:$AG$1001,0),0), INDEX($AN$1004:$BO$1004,1,MATCH(COLUMNS($AN$1006:AO1006),$AN$1006:$BO$1006,0)))),"Fix")))</f>
        <v>0</v>
      </c>
      <c r="D971" s="4">
        <f>IF(OR(INDEX($AH$2:$AH$1001,MATCH(ROWS($AG$2:AG971),$AG$2:$AG$1001,0),1)&gt;=100000,INDEX($AN$1005:$BO$1005,1,MATCH(COLUMNS($AN$1006:AP1006),$AN$1006:$BO$1006,0))&gt;=100000), " ",IF(INDEX($AN$2:$BO$1001,MATCH(ROWS($AG$2:AG971),$AG$2:$AG$1001,0),MATCH(COLUMNS($AN$1006:AP1006),$AN$1006:$BO$1006,0)), HYPERLINK("#",""), HYPERLINK(CONCATENATE("#Metadata!", ADDRESS(INDEX($AI$2:$AI$1001,MATCH(ROWS($AG$2:AG971),$AG$2:$AG$1001,0),0), INDEX($AN$1004:$BO$1004,1,MATCH(COLUMNS($AN$1006:AP1006),$AN$1006:$BO$1006,0)))),"Fix")))</f>
        <v>0</v>
      </c>
      <c r="E971" s="4">
        <f>IF(OR(INDEX($AH$2:$AH$1001,MATCH(ROWS($AG$2:AG971),$AG$2:$AG$1001,0),1)&gt;=100000,INDEX($AN$1005:$BO$1005,1,MATCH(COLUMNS($AN$1006:AQ1006),$AN$1006:$BO$1006,0))&gt;=100000), " ",IF(INDEX($AN$2:$BO$1001,MATCH(ROWS($AG$2:AG971),$AG$2:$AG$1001,0),MATCH(COLUMNS($AN$1006:AQ1006),$AN$1006:$BO$1006,0)), HYPERLINK("#",""), HYPERLINK(CONCATENATE("#Metadata!", ADDRESS(INDEX($AI$2:$AI$1001,MATCH(ROWS($AG$2:AG971),$AG$2:$AG$1001,0),0), INDEX($AN$1004:$BO$1004,1,MATCH(COLUMNS($AN$1006:AQ1006),$AN$1006:$BO$1006,0)))),"Fix")))</f>
        <v>0</v>
      </c>
      <c r="F971" s="4">
        <f>IF(OR(INDEX($AH$2:$AH$1001,MATCH(ROWS($AG$2:AG971),$AG$2:$AG$1001,0),1)&gt;=100000,INDEX($AN$1005:$BO$1005,1,MATCH(COLUMNS($AN$1006:AR1006),$AN$1006:$BO$1006,0))&gt;=100000), " ",IF(INDEX($AN$2:$BO$1001,MATCH(ROWS($AG$2:AG971),$AG$2:$AG$1001,0),MATCH(COLUMNS($AN$1006:AR1006),$AN$1006:$BO$1006,0)), HYPERLINK("#",""), HYPERLINK(CONCATENATE("#Metadata!", ADDRESS(INDEX($AI$2:$AI$1001,MATCH(ROWS($AG$2:AG971),$AG$2:$AG$1001,0),0), INDEX($AN$1004:$BO$1004,1,MATCH(COLUMNS($AN$1006:AR1006),$AN$1006:$BO$1006,0)))),"Fix")))</f>
        <v>0</v>
      </c>
      <c r="G971" s="4">
        <f>IF(OR(INDEX($AH$2:$AH$1001,MATCH(ROWS($AG$2:AG971),$AG$2:$AG$1001,0),1)&gt;=100000,INDEX($AN$1005:$BO$1005,1,MATCH(COLUMNS($AN$1006:AS1006),$AN$1006:$BO$1006,0))&gt;=100000), " ",IF(INDEX($AN$2:$BO$1001,MATCH(ROWS($AG$2:AG971),$AG$2:$AG$1001,0),MATCH(COLUMNS($AN$1006:AS1006),$AN$1006:$BO$1006,0)), HYPERLINK("#",""), HYPERLINK(CONCATENATE("#Metadata!", ADDRESS(INDEX($AI$2:$AI$1001,MATCH(ROWS($AG$2:AG971),$AG$2:$AG$1001,0),0), INDEX($AN$1004:$BO$1004,1,MATCH(COLUMNS($AN$1006:AS1006),$AN$1006:$BO$1006,0)))),"Fix")))</f>
        <v>0</v>
      </c>
      <c r="H971" s="4">
        <f>IF(OR(INDEX($AH$2:$AH$1001,MATCH(ROWS($AG$2:AG971),$AG$2:$AG$1001,0),1)&gt;=100000,INDEX($AN$1005:$BO$1005,1,MATCH(COLUMNS($AN$1006:AT1006),$AN$1006:$BO$1006,0))&gt;=100000), " ",IF(INDEX($AN$2:$BO$1001,MATCH(ROWS($AG$2:AG971),$AG$2:$AG$1001,0),MATCH(COLUMNS($AN$1006:AT1006),$AN$1006:$BO$1006,0)), HYPERLINK("#",""), HYPERLINK(CONCATENATE("#Metadata!", ADDRESS(INDEX($AI$2:$AI$1001,MATCH(ROWS($AG$2:AG971),$AG$2:$AG$1001,0),0), INDEX($AN$1004:$BO$1004,1,MATCH(COLUMNS($AN$1006:AT1006),$AN$1006:$BO$1006,0)))),"Fix")))</f>
        <v>0</v>
      </c>
      <c r="I971" s="4">
        <f>IF(OR(INDEX($AH$2:$AH$1001,MATCH(ROWS($AG$2:AG971),$AG$2:$AG$1001,0),1)&gt;=100000,INDEX($AN$1005:$BO$1005,1,MATCH(COLUMNS($AN$1006:AU1006),$AN$1006:$BO$1006,0))&gt;=100000), " ",IF(INDEX($AN$2:$BO$1001,MATCH(ROWS($AG$2:AG971),$AG$2:$AG$1001,0),MATCH(COLUMNS($AN$1006:AU1006),$AN$1006:$BO$1006,0)), HYPERLINK("#",""), HYPERLINK(CONCATENATE("#Metadata!", ADDRESS(INDEX($AI$2:$AI$1001,MATCH(ROWS($AG$2:AG971),$AG$2:$AG$1001,0),0), INDEX($AN$1004:$BO$1004,1,MATCH(COLUMNS($AN$1006:AU1006),$AN$1006:$BO$1006,0)))),"Fix")))</f>
        <v>0</v>
      </c>
      <c r="J971" s="4">
        <f>IF(OR(INDEX($AH$2:$AH$1001,MATCH(ROWS($AG$2:AG971),$AG$2:$AG$1001,0),1)&gt;=100000,INDEX($AN$1005:$BO$1005,1,MATCH(COLUMNS($AN$1006:AV1006),$AN$1006:$BO$1006,0))&gt;=100000), " ",IF(INDEX($AN$2:$BO$1001,MATCH(ROWS($AG$2:AG971),$AG$2:$AG$1001,0),MATCH(COLUMNS($AN$1006:AV1006),$AN$1006:$BO$1006,0)), HYPERLINK("#",""), HYPERLINK(CONCATENATE("#Metadata!", ADDRESS(INDEX($AI$2:$AI$1001,MATCH(ROWS($AG$2:AG971),$AG$2:$AG$1001,0),0), INDEX($AN$1004:$BO$1004,1,MATCH(COLUMNS($AN$1006:AV1006),$AN$1006:$BO$1006,0)))),"Fix")))</f>
        <v>0</v>
      </c>
      <c r="K971" s="4">
        <f>IF(OR(INDEX($AH$2:$AH$1001,MATCH(ROWS($AG$2:AG971),$AG$2:$AG$1001,0),1)&gt;=100000,INDEX($AN$1005:$BO$1005,1,MATCH(COLUMNS($AN$1006:AW1006),$AN$1006:$BO$1006,0))&gt;=100000), " ",IF(INDEX($AN$2:$BO$1001,MATCH(ROWS($AG$2:AG971),$AG$2:$AG$1001,0),MATCH(COLUMNS($AN$1006:AW1006),$AN$1006:$BO$1006,0)), HYPERLINK("#",""), HYPERLINK(CONCATENATE("#Metadata!", ADDRESS(INDEX($AI$2:$AI$1001,MATCH(ROWS($AG$2:AG971),$AG$2:$AG$1001,0),0), INDEX($AN$1004:$BO$1004,1,MATCH(COLUMNS($AN$1006:AW1006),$AN$1006:$BO$1006,0)))),"Fix")))</f>
        <v>0</v>
      </c>
      <c r="L971" s="4">
        <f>IF(OR(INDEX($AH$2:$AH$1001,MATCH(ROWS($AG$2:AG971),$AG$2:$AG$1001,0),1)&gt;=100000,INDEX($AN$1005:$BO$1005,1,MATCH(COLUMNS($AN$1006:AX1006),$AN$1006:$BO$1006,0))&gt;=100000), " ",IF(INDEX($AN$2:$BO$1001,MATCH(ROWS($AG$2:AG971),$AG$2:$AG$1001,0),MATCH(COLUMNS($AN$1006:AX1006),$AN$1006:$BO$1006,0)), HYPERLINK("#",""), HYPERLINK(CONCATENATE("#Metadata!", ADDRESS(INDEX($AI$2:$AI$1001,MATCH(ROWS($AG$2:AG971),$AG$2:$AG$1001,0),0), INDEX($AN$1004:$BO$1004,1,MATCH(COLUMNS($AN$1006:AX1006),$AN$1006:$BO$1006,0)))),"Fix")))</f>
        <v>0</v>
      </c>
      <c r="M971" s="4">
        <f>IF(OR(INDEX($AH$2:$AH$1001,MATCH(ROWS($AG$2:AG971),$AG$2:$AG$1001,0),1)&gt;=100000,INDEX($AN$1005:$BO$1005,1,MATCH(COLUMNS($AN$1006:AY1006),$AN$1006:$BO$1006,0))&gt;=100000), " ",IF(INDEX($AN$2:$BO$1001,MATCH(ROWS($AG$2:AG971),$AG$2:$AG$1001,0),MATCH(COLUMNS($AN$1006:AY1006),$AN$1006:$BO$1006,0)), HYPERLINK("#",""), HYPERLINK(CONCATENATE("#Metadata!", ADDRESS(INDEX($AI$2:$AI$1001,MATCH(ROWS($AG$2:AG971),$AG$2:$AG$1001,0),0), INDEX($AN$1004:$BO$1004,1,MATCH(COLUMNS($AN$1006:AY1006),$AN$1006:$BO$1006,0)))),"Fix")))</f>
        <v>0</v>
      </c>
      <c r="N971" s="4">
        <f>IF(OR(INDEX($AH$2:$AH$1001,MATCH(ROWS($AG$2:AG971),$AG$2:$AG$1001,0),1)&gt;=100000,INDEX($AN$1005:$BO$1005,1,MATCH(COLUMNS($AN$1006:AZ1006),$AN$1006:$BO$1006,0))&gt;=100000), " ",IF(INDEX($AN$2:$BO$1001,MATCH(ROWS($AG$2:AG971),$AG$2:$AG$1001,0),MATCH(COLUMNS($AN$1006:AZ1006),$AN$1006:$BO$1006,0)), HYPERLINK("#",""), HYPERLINK(CONCATENATE("#Metadata!", ADDRESS(INDEX($AI$2:$AI$1001,MATCH(ROWS($AG$2:AG971),$AG$2:$AG$1001,0),0), INDEX($AN$1004:$BO$1004,1,MATCH(COLUMNS($AN$1006:AZ1006),$AN$1006:$BO$1006,0)))),"Fix")))</f>
        <v>0</v>
      </c>
      <c r="O971" s="4">
        <f>IF(OR(INDEX($AH$2:$AH$1001,MATCH(ROWS($AG$2:AG971),$AG$2:$AG$1001,0),1)&gt;=100000,INDEX($AN$1005:$BO$1005,1,MATCH(COLUMNS($AN$1006:BA1006),$AN$1006:$BO$1006,0))&gt;=100000), " ",IF(INDEX($AN$2:$BO$1001,MATCH(ROWS($AG$2:AG971),$AG$2:$AG$1001,0),MATCH(COLUMNS($AN$1006:BA1006),$AN$1006:$BO$1006,0)), HYPERLINK("#",""), HYPERLINK(CONCATENATE("#Metadata!", ADDRESS(INDEX($AI$2:$AI$1001,MATCH(ROWS($AG$2:AG971),$AG$2:$AG$1001,0),0), INDEX($AN$1004:$BO$1004,1,MATCH(COLUMNS($AN$1006:BA1006),$AN$1006:$BO$1006,0)))),"Fix")))</f>
        <v>0</v>
      </c>
      <c r="P971" s="4">
        <f>IF(OR(INDEX($AH$2:$AH$1001,MATCH(ROWS($AG$2:AG971),$AG$2:$AG$1001,0),1)&gt;=100000,INDEX($AN$1005:$BO$1005,1,MATCH(COLUMNS($AN$1006:BB1006),$AN$1006:$BO$1006,0))&gt;=100000), " ",IF(INDEX($AN$2:$BO$1001,MATCH(ROWS($AG$2:AG971),$AG$2:$AG$1001,0),MATCH(COLUMNS($AN$1006:BB1006),$AN$1006:$BO$1006,0)), HYPERLINK("#",""), HYPERLINK(CONCATENATE("#Metadata!", ADDRESS(INDEX($AI$2:$AI$1001,MATCH(ROWS($AG$2:AG971),$AG$2:$AG$1001,0),0), INDEX($AN$1004:$BO$1004,1,MATCH(COLUMNS($AN$1006:BB1006),$AN$1006:$BO$1006,0)))),"Fix")))</f>
        <v>0</v>
      </c>
      <c r="Q971" s="4">
        <f>IF(OR(INDEX($AH$2:$AH$1001,MATCH(ROWS($AG$2:AG971),$AG$2:$AG$1001,0),1)&gt;=100000,INDEX($AN$1005:$BO$1005,1,MATCH(COLUMNS($AN$1006:BC1006),$AN$1006:$BO$1006,0))&gt;=100000), " ",IF(INDEX($AN$2:$BO$1001,MATCH(ROWS($AG$2:AG971),$AG$2:$AG$1001,0),MATCH(COLUMNS($AN$1006:BC1006),$AN$1006:$BO$1006,0)), HYPERLINK("#",""), HYPERLINK(CONCATENATE("#Metadata!", ADDRESS(INDEX($AI$2:$AI$1001,MATCH(ROWS($AG$2:AG971),$AG$2:$AG$1001,0),0), INDEX($AN$1004:$BO$1004,1,MATCH(COLUMNS($AN$1006:BC1006),$AN$1006:$BO$1006,0)))),"Fix")))</f>
        <v>0</v>
      </c>
      <c r="R971" s="4">
        <f>IF(OR(INDEX($AH$2:$AH$1001,MATCH(ROWS($AG$2:AG971),$AG$2:$AG$1001,0),1)&gt;=100000,INDEX($AN$1005:$BO$1005,1,MATCH(COLUMNS($AN$1006:BD1006),$AN$1006:$BO$1006,0))&gt;=100000), " ",IF(INDEX($AN$2:$BO$1001,MATCH(ROWS($AG$2:AG971),$AG$2:$AG$1001,0),MATCH(COLUMNS($AN$1006:BD1006),$AN$1006:$BO$1006,0)), HYPERLINK("#",""), HYPERLINK(CONCATENATE("#Metadata!", ADDRESS(INDEX($AI$2:$AI$1001,MATCH(ROWS($AG$2:AG971),$AG$2:$AG$1001,0),0), INDEX($AN$1004:$BO$1004,1,MATCH(COLUMNS($AN$1006:BD1006),$AN$1006:$BO$1006,0)))),"Fix")))</f>
        <v>0</v>
      </c>
      <c r="S971" s="4">
        <f>IF(OR(INDEX($AH$2:$AH$1001,MATCH(ROWS($AG$2:AG971),$AG$2:$AG$1001,0),1)&gt;=100000,INDEX($AN$1005:$BO$1005,1,MATCH(COLUMNS($AN$1006:BE1006),$AN$1006:$BO$1006,0))&gt;=100000), " ",IF(INDEX($AN$2:$BO$1001,MATCH(ROWS($AG$2:AG971),$AG$2:$AG$1001,0),MATCH(COLUMNS($AN$1006:BE1006),$AN$1006:$BO$1006,0)), HYPERLINK("#",""), HYPERLINK(CONCATENATE("#Metadata!", ADDRESS(INDEX($AI$2:$AI$1001,MATCH(ROWS($AG$2:AG971),$AG$2:$AG$1001,0),0), INDEX($AN$1004:$BO$1004,1,MATCH(COLUMNS($AN$1006:BE1006),$AN$1006:$BO$1006,0)))),"Fix")))</f>
        <v>0</v>
      </c>
      <c r="T971" s="4">
        <f>IF(OR(INDEX($AH$2:$AH$1001,MATCH(ROWS($AG$2:AG971),$AG$2:$AG$1001,0),1)&gt;=100000,INDEX($AN$1005:$BO$1005,1,MATCH(COLUMNS($AN$1006:BF1006),$AN$1006:$BO$1006,0))&gt;=100000), " ",IF(INDEX($AN$2:$BO$1001,MATCH(ROWS($AG$2:AG971),$AG$2:$AG$1001,0),MATCH(COLUMNS($AN$1006:BF1006),$AN$1006:$BO$1006,0)), HYPERLINK("#",""), HYPERLINK(CONCATENATE("#Metadata!", ADDRESS(INDEX($AI$2:$AI$1001,MATCH(ROWS($AG$2:AG971),$AG$2:$AG$1001,0),0), INDEX($AN$1004:$BO$1004,1,MATCH(COLUMNS($AN$1006:BF1006),$AN$1006:$BO$1006,0)))),"Fix")))</f>
        <v>0</v>
      </c>
      <c r="U971" s="4">
        <f>IF(OR(INDEX($AH$2:$AH$1001,MATCH(ROWS($AG$2:AG971),$AG$2:$AG$1001,0),1)&gt;=100000,INDEX($AN$1005:$BO$1005,1,MATCH(COLUMNS($AN$1006:BG1006),$AN$1006:$BO$1006,0))&gt;=100000), " ",IF(INDEX($AN$2:$BO$1001,MATCH(ROWS($AG$2:AG971),$AG$2:$AG$1001,0),MATCH(COLUMNS($AN$1006:BG1006),$AN$1006:$BO$1006,0)), HYPERLINK("#",""), HYPERLINK(CONCATENATE("#Metadata!", ADDRESS(INDEX($AI$2:$AI$1001,MATCH(ROWS($AG$2:AG971),$AG$2:$AG$1001,0),0), INDEX($AN$1004:$BO$1004,1,MATCH(COLUMNS($AN$1006:BG1006),$AN$1006:$BO$1006,0)))),"Fix")))</f>
        <v>0</v>
      </c>
      <c r="V971" s="4">
        <f>IF(OR(INDEX($AH$2:$AH$1001,MATCH(ROWS($AG$2:AG971),$AG$2:$AG$1001,0),1)&gt;=100000,INDEX($AN$1005:$BO$1005,1,MATCH(COLUMNS($AN$1006:BH1006),$AN$1006:$BO$1006,0))&gt;=100000), " ",IF(INDEX($AN$2:$BO$1001,MATCH(ROWS($AG$2:AG971),$AG$2:$AG$1001,0),MATCH(COLUMNS($AN$1006:BH1006),$AN$1006:$BO$1006,0)), HYPERLINK("#",""), HYPERLINK(CONCATENATE("#Metadata!", ADDRESS(INDEX($AI$2:$AI$1001,MATCH(ROWS($AG$2:AG971),$AG$2:$AG$1001,0),0), INDEX($AN$1004:$BO$1004,1,MATCH(COLUMNS($AN$1006:BH1006),$AN$1006:$BO$1006,0)))),"Fix")))</f>
        <v>0</v>
      </c>
      <c r="W971" s="4">
        <f>IF(OR(INDEX($AH$2:$AH$1001,MATCH(ROWS($AG$2:AG971),$AG$2:$AG$1001,0),1)&gt;=100000,INDEX($AN$1005:$BO$1005,1,MATCH(COLUMNS($AN$1006:BI1006),$AN$1006:$BO$1006,0))&gt;=100000), " ",IF(INDEX($AN$2:$BO$1001,MATCH(ROWS($AG$2:AG971),$AG$2:$AG$1001,0),MATCH(COLUMNS($AN$1006:BI1006),$AN$1006:$BO$1006,0)), HYPERLINK("#",""), HYPERLINK(CONCATENATE("#Metadata!", ADDRESS(INDEX($AI$2:$AI$1001,MATCH(ROWS($AG$2:AG971),$AG$2:$AG$1001,0),0), INDEX($AN$1004:$BO$1004,1,MATCH(COLUMNS($AN$1006:BI1006),$AN$1006:$BO$1006,0)))),"Fix")))</f>
        <v>0</v>
      </c>
      <c r="X971" s="4">
        <f>IF(OR(INDEX($AH$2:$AH$1001,MATCH(ROWS($AG$2:AG971),$AG$2:$AG$1001,0),1)&gt;=100000,INDEX($AN$1005:$BO$1005,1,MATCH(COLUMNS($AN$1006:BJ1006),$AN$1006:$BO$1006,0))&gt;=100000), " ",IF(INDEX($AN$2:$BO$1001,MATCH(ROWS($AG$2:AG971),$AG$2:$AG$1001,0),MATCH(COLUMNS($AN$1006:BJ1006),$AN$1006:$BO$1006,0)), HYPERLINK("#",""), HYPERLINK(CONCATENATE("#Metadata!", ADDRESS(INDEX($AI$2:$AI$1001,MATCH(ROWS($AG$2:AG971),$AG$2:$AG$1001,0),0), INDEX($AN$1004:$BO$1004,1,MATCH(COLUMNS($AN$1006:BJ1006),$AN$1006:$BO$1006,0)))),"Fix")))</f>
        <v>0</v>
      </c>
      <c r="Y971" s="4">
        <f>IF(OR(INDEX($AH$2:$AH$1001,MATCH(ROWS($AG$2:AG971),$AG$2:$AG$1001,0),1)&gt;=100000,INDEX($AN$1005:$BO$1005,1,MATCH(COLUMNS($AN$1006:BK1006),$AN$1006:$BO$1006,0))&gt;=100000), " ",IF(INDEX($AN$2:$BO$1001,MATCH(ROWS($AG$2:AG971),$AG$2:$AG$1001,0),MATCH(COLUMNS($AN$1006:BK1006),$AN$1006:$BO$1006,0)), HYPERLINK("#",""), HYPERLINK(CONCATENATE("#Metadata!", ADDRESS(INDEX($AI$2:$AI$1001,MATCH(ROWS($AG$2:AG971),$AG$2:$AG$1001,0),0), INDEX($AN$1004:$BO$1004,1,MATCH(COLUMNS($AN$1006:BK1006),$AN$1006:$BO$1006,0)))),"Fix")))</f>
        <v>0</v>
      </c>
      <c r="Z971" s="4">
        <f>IF(OR(INDEX($AH$2:$AH$1001,MATCH(ROWS($AG$2:AG971),$AG$2:$AG$1001,0),1)&gt;=100000,INDEX($AN$1005:$BO$1005,1,MATCH(COLUMNS($AN$1006:BL1006),$AN$1006:$BO$1006,0))&gt;=100000), " ",IF(INDEX($AN$2:$BO$1001,MATCH(ROWS($AG$2:AG971),$AG$2:$AG$1001,0),MATCH(COLUMNS($AN$1006:BL1006),$AN$1006:$BO$1006,0)), HYPERLINK("#",""), HYPERLINK(CONCATENATE("#Metadata!", ADDRESS(INDEX($AI$2:$AI$1001,MATCH(ROWS($AG$2:AG971),$AG$2:$AG$1001,0),0), INDEX($AN$1004:$BO$1004,1,MATCH(COLUMNS($AN$1006:BL1006),$AN$1006:$BO$1006,0)))),"Fix")))</f>
        <v>0</v>
      </c>
      <c r="AA971" s="4">
        <f>IF(OR(INDEX($AH$2:$AH$1001,MATCH(ROWS($AG$2:AG971),$AG$2:$AG$1001,0),1)&gt;=100000,INDEX($AN$1005:$BO$1005,1,MATCH(COLUMNS($AN$1006:BM1006),$AN$1006:$BO$1006,0))&gt;=100000), " ",IF(INDEX($AN$2:$BO$1001,MATCH(ROWS($AG$2:AG971),$AG$2:$AG$1001,0),MATCH(COLUMNS($AN$1006:BM1006),$AN$1006:$BO$1006,0)), HYPERLINK("#",""), HYPERLINK(CONCATENATE("#Metadata!", ADDRESS(INDEX($AI$2:$AI$1001,MATCH(ROWS($AG$2:AG971),$AG$2:$AG$1001,0),0), INDEX($AN$1004:$BO$1004,1,MATCH(COLUMNS($AN$1006:BM1006),$AN$1006:$BO$1006,0)))),"Fix")))</f>
        <v>0</v>
      </c>
      <c r="AB971" s="4">
        <f>IF(OR(INDEX($AH$2:$AH$1001,MATCH(ROWS($AG$2:AG971),$AG$2:$AG$1001,0),1)&gt;=100000,INDEX($AN$1005:$BO$1005,1,MATCH(COLUMNS($AN$1006:BN1006),$AN$1006:$BO$1006,0))&gt;=100000), " ",IF(INDEX($AN$2:$BO$1001,MATCH(ROWS($AG$2:AG971),$AG$2:$AG$1001,0),MATCH(COLUMNS($AN$1006:BN1006),$AN$1006:$BO$1006,0)), HYPERLINK("#",""), HYPERLINK(CONCATENATE("#Metadata!", ADDRESS(INDEX($AI$2:$AI$1001,MATCH(ROWS($AG$2:AG971),$AG$2:$AG$1001,0),0), INDEX($AN$1004:$BO$1004,1,MATCH(COLUMNS($AN$1006:BN1006),$AN$1006:$BO$1006,0)))),"Fix")))</f>
        <v>0</v>
      </c>
      <c r="AC971" s="4">
        <f>IF(OR(INDEX($AH$2:$AH$1001,MATCH(ROWS($AG$2:AG971),$AG$2:$AG$1001,0),1)&gt;=100000,INDEX($AN$1005:$BO$1005,1,MATCH(COLUMNS($AN$1006:BO1006),$AN$1006:$BO$1006,0))&gt;=100000), " ",IF(INDEX($AN$2:$BO$1001,MATCH(ROWS($AG$2:AG971),$AG$2:$AG$1001,0),MATCH(COLUMNS($AN$1006:BO1006),$AN$1006:$BO$1006,0)), HYPERLINK("#",""), HYPERLINK(CONCATENATE("#Metadata!", ADDRESS(INDEX($AI$2:$AI$1001,MATCH(ROWS($AG$2:AG971),$AG$2:$AG$1001,0),0), INDEX($AN$1004:$BO$1004,1,MATCH(COLUMNS($AN$1006:BO1006),$AN$1006:$BO$1006,0)))),"Fix")))</f>
        <v>0</v>
      </c>
      <c r="AG971">
        <v>0</v>
      </c>
      <c r="AH971">
        <v>0</v>
      </c>
      <c r="AI971">
        <v>0</v>
      </c>
      <c r="AJ971">
        <f>IF(AK971,TRUE,AND(AN971:BO971))</f>
        <v>0</v>
      </c>
      <c r="AK971">
        <f>COUNTBLANK(Metadata!B971:AC971)=COLUMNS(Metadata!B971:AC971)</f>
        <v>0</v>
      </c>
      <c r="AL971">
        <v>0</v>
      </c>
      <c r="AN971">
        <f>AND(IF(Metadata!B971="",FALSE,TRUE),COUNTIF(Metadata!B:B, Metadata!B971) = 1,NOT(ISERROR(SUMPRODUCT(SEARCH(MID(Metadata!B971,ROW(INDIRECT("1:"&amp;LEN(Metadata!B971))), 1),"0123456789abcdefghijklmnopqrstuvwxyzABCDEFGHIJKLMNOPQRSTUVWXYZ.")))))</f>
        <v>0</v>
      </c>
      <c r="AO971">
        <f>IF(Metadata!C971="",FALSE,TRUE)</f>
        <v>0</v>
      </c>
      <c r="AP971">
        <f>IF(Metadata!D971="",FALSE,TRUE)</f>
        <v>0</v>
      </c>
      <c r="AQ971">
        <f>OR(AND(IF(Metadata!E971="",FALSE,TRUE),OR(exact(Metadata!E971,"not collected"),exact(Metadata!E971,"not provided"),exact(Metadata!E971,"restricted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R971">
        <f>IF(Metadata!F971="",FALSE,TRUE)</f>
        <v>0</v>
      </c>
      <c r="AS971">
        <f>OR(AND(IF(Metadata!G971="",FALSE,TRUE),OR(exact(Metadata!G971,"not collected"),exact(Metadata!G971,"not provided"))),AND(IF(Metadata!G971="",FALSE,TRUE),OR(exact(Metadata!G971,"TRUE"),exact(Metadata!G971,"FALSE"))))</f>
        <v>0</v>
      </c>
      <c r="AT971">
        <f>OR(AND(IF(Metadata!H971="",FALSE,TRUE),OR(exact(Metadata!H971,"not collected"),exact(Metadata!H971,"not provided"),exact(Metadata!H971,"restricted access"))),AND(IF(Metadata!H971="",FALSE,ISNUMBER(VALUE(Metadata!H971))),Metadata!H971&gt;=-413.0))</f>
        <v>0</v>
      </c>
      <c r="AU971">
        <f>AND(IF(Metadata!I971="",FALSE,TRUE),exact(Metadata!I971,"meters"))</f>
        <v>0</v>
      </c>
      <c r="AV971">
        <f>AND(IF(Metadata!J971="",FALSE,TRUE),OR(exact(Metadata!J971,"Host-associated"),exact(Metadata!J971,"Free-living")))</f>
        <v>0</v>
      </c>
      <c r="AW971">
        <f>AND(IF(Metadata!K971="",FALSE,TRUE),OR(exact(Metadata!K971,"Animal"),exact(Metadata!K971,"Fungus"),exact(Metadata!K971,"Plant"),exact(Metadata!K971,"Saline"),exact(Metadata!K971,"Non-saline")))</f>
        <v>0</v>
      </c>
      <c r="AX971">
        <f>AND(IF(Metadata!L971="",FALSE,TRUE),OR(exact(Metadata!L971,"Plant secretion"),exact(Metadata!L971,"Plant rhizosphere"),exact(Metadata!L971,"Plant surface"),exact(Metadata!L971,"Plant corpus"),exact(Metadata!L971,"Fungus surface"),exact(Metadata!L971,"Fungus corpus"),exact(Metadata!L971,"Animal surface"),exact(Metadata!L971,"Animal proximal gut"),exact(Metadata!L971,"Animal corpus"),exact(Metadata!L971,"Animal distal gut"),exact(Metadata!L971,"Animal secretion"),exact(Metadata!L971,"Sub-surface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Y971">
        <f>IF(Metadata!M971="",FALSE,TRUE)</f>
        <v>0</v>
      </c>
      <c r="AZ971">
        <f>IF(Metadata!N971="",FALSE,TRUE)</f>
        <v>0</v>
      </c>
      <c r="BA971">
        <f>IF(Metadata!O971="",FALSE,TRUE)</f>
        <v>0</v>
      </c>
      <c r="BB971">
        <f>OR(AND(IF(Metadata!P971="",FALSE,TRUE),OR(exact(Metadata!P971,"not collected"),exact(Metadata!P971,"not provided"),exact(Metadata!P971,"restricted access"))),AND(IF(Metadata!P971="",FALSE,TRUE),OR(exact(Metadata!P971,"air"),exact(Metadata!P971,"built environment"),exact(Metadata!P971,"host-associated"),exact(Metadata!P971,"human-associated"),exact(Metadata!P971,"human-skin"),exact(Metadata!P971,"human-oral"),exact(Metadata!P971,"human-gut"),exact(Metadata!P971,"human-vaginal"),exact(Metadata!P971,"microbial mat/biofilm"),exact(Metadata!P971,"misc environment"),exact(Metadata!P971,"plant-associated"),exact(Metadata!P971,"sediment"),exact(Metadata!P971,"soil"),exact(Metadata!P971,"wastewater/sludge"),exact(Metadata!P971,"water"))))</f>
        <v>0</v>
      </c>
      <c r="BC971">
        <f>IF(Metadata!Q971="",FALSE,TRUE)</f>
        <v>0</v>
      </c>
      <c r="BD971">
        <f>IF(Metadata!R971="",FALSE,TRUE)</f>
        <v>0</v>
      </c>
      <c r="BE971">
        <f>OR(AND(IF(Metadata!S971="",FALSE,TRUE),OR(exact(Metadata!S971,"not collected"),exact(Metadata!S971,"not provided"),exact(Metadata!S971,"restricted access"))),AND(IF(Metadata!S971="",FALSE,ISNUMBER(VALUE(Metadata!S971))),Metadata!S971&gt;=-90.00,Metadata!S971&lt;=90.00))</f>
        <v>0</v>
      </c>
      <c r="BF971">
        <f>AND(IF(Metadata!T971="",FALSE,TRUE),exact(Metadata!T971,"Decimal degrees"))</f>
        <v>0</v>
      </c>
      <c r="BG971">
        <f>OR(AND(IF(Metadata!U971="",FALSE,TRUE),OR(exact(Metadata!U971,"not collected"),exact(Metadata!U971,"not provided"),exact(Metadata!U971,"restricted access"))),AND(IF(Metadata!U971="",FALSE,ISNUMBER(VALUE(Metadata!U971))),Metadata!U971&gt;=-180.00,Metadata!U971&lt;=180.00))</f>
        <v>0</v>
      </c>
      <c r="BH971">
        <f>AND(IF(Metadata!V971="",FALSE,TRUE),exact(Metadata!V971,"Decimal degrees"))</f>
        <v>0</v>
      </c>
      <c r="BI971">
        <f>IF(Metadata!W971="",FALSE,TRUE)</f>
        <v>0</v>
      </c>
      <c r="BJ971">
        <f>OR(AND(IF(Metadata!X971="",FALSE,TRUE),OR(exact(Metadata!X971,"not collected"),exact(Metadata!X971,"not provided"),exact(Metadata!X971,"restricted access"))),AND(IF(Metadata!X971="",FALSE,TRUE),OR(exact(Metadata!X971,"TRUE"),exact(Metadata!X971,"FALSE"))))</f>
        <v>0</v>
      </c>
      <c r="BK971">
        <f>AND(IF(Metadata!Y971="",FALSE,TRUE),exact(Metadata!Y971,"other"))</f>
        <v>0</v>
      </c>
      <c r="BL971">
        <f>IF(Metadata!Z971="",FALSE,TRUE)</f>
        <v>0</v>
      </c>
      <c r="BM971">
        <f>OR(AND(IF(Metadata!AA971="",FALSE,TRUE),OR(exact(Metadata!AA971,"not collected"),exact(Metadata!AA971,"not provided"))),AND(IF(Metadata!AA971="",FALSE,IF(ISERROR(INT(Metadata!AA971)),FALSE,INT(Metadata!AA971)=Metadata!AA971)),Metadata!AA971&gt;0))</f>
        <v>0</v>
      </c>
      <c r="BN971">
        <f>AND(IF(Metadata!AB971="",FALSE,TRUE),exact(Metadata!AB971,"Not applicable"))</f>
        <v>0</v>
      </c>
      <c r="BO971">
        <f>IF(Metadata!AC971="",FALSE,TRUE)</f>
        <v>0</v>
      </c>
    </row>
    <row r="972" spans="1:67">
      <c r="A972" s="5">
        <f>IF(B972=" "," ",HYPERLINK(CONCATENATE("#metadata!",ADDRESS(INDEX($AI$2:$AI$1001,MATCH(ROWS($AG$2:AG972),$AG$2:$AG$1001,0),0),1)),INDEX($AL$2:$AL$1001,MATCH(ROWS($AG$2:AG972),$AG$2:$AG$1001,0),0)))</f>
        <v>0</v>
      </c>
      <c r="B972" s="4">
        <f>IF(OR(INDEX($AH$2:$AH$1001,MATCH(ROWS($AG$2:AG972),$AG$2:$AG$1001,0),1)&gt;=100000,INDEX($AN$1005:$BO$1005,1,MATCH(COLUMNS($AN$1006:AN1006),$AN$1006:$BO$1006,0))&gt;=100000), " ",IF(INDEX($AN$2:$BO$1001,MATCH(ROWS($AG$2:AG972),$AG$2:$AG$1001,0),MATCH(COLUMNS($AN$1006:AN1006),$AN$1006:$BO$1006,0)), HYPERLINK("#",""), HYPERLINK(CONCATENATE("#Metadata!", ADDRESS(INDEX($AI$2:$AI$1001,MATCH(ROWS($AG$2:AG972),$AG$2:$AG$1001,0),0), INDEX($AN$1004:$BO$1004,1,MATCH(COLUMNS($AN$1006:AN1006),$AN$1006:$BO$1006,0)))),"Fix")))</f>
        <v>0</v>
      </c>
      <c r="C972" s="4">
        <f>IF(OR(INDEX($AH$2:$AH$1001,MATCH(ROWS($AG$2:AG972),$AG$2:$AG$1001,0),1)&gt;=100000,INDEX($AN$1005:$BO$1005,1,MATCH(COLUMNS($AN$1006:AO1006),$AN$1006:$BO$1006,0))&gt;=100000), " ",IF(INDEX($AN$2:$BO$1001,MATCH(ROWS($AG$2:AG972),$AG$2:$AG$1001,0),MATCH(COLUMNS($AN$1006:AO1006),$AN$1006:$BO$1006,0)), HYPERLINK("#",""), HYPERLINK(CONCATENATE("#Metadata!", ADDRESS(INDEX($AI$2:$AI$1001,MATCH(ROWS($AG$2:AG972),$AG$2:$AG$1001,0),0), INDEX($AN$1004:$BO$1004,1,MATCH(COLUMNS($AN$1006:AO1006),$AN$1006:$BO$1006,0)))),"Fix")))</f>
        <v>0</v>
      </c>
      <c r="D972" s="4">
        <f>IF(OR(INDEX($AH$2:$AH$1001,MATCH(ROWS($AG$2:AG972),$AG$2:$AG$1001,0),1)&gt;=100000,INDEX($AN$1005:$BO$1005,1,MATCH(COLUMNS($AN$1006:AP1006),$AN$1006:$BO$1006,0))&gt;=100000), " ",IF(INDEX($AN$2:$BO$1001,MATCH(ROWS($AG$2:AG972),$AG$2:$AG$1001,0),MATCH(COLUMNS($AN$1006:AP1006),$AN$1006:$BO$1006,0)), HYPERLINK("#",""), HYPERLINK(CONCATENATE("#Metadata!", ADDRESS(INDEX($AI$2:$AI$1001,MATCH(ROWS($AG$2:AG972),$AG$2:$AG$1001,0),0), INDEX($AN$1004:$BO$1004,1,MATCH(COLUMNS($AN$1006:AP1006),$AN$1006:$BO$1006,0)))),"Fix")))</f>
        <v>0</v>
      </c>
      <c r="E972" s="4">
        <f>IF(OR(INDEX($AH$2:$AH$1001,MATCH(ROWS($AG$2:AG972),$AG$2:$AG$1001,0),1)&gt;=100000,INDEX($AN$1005:$BO$1005,1,MATCH(COLUMNS($AN$1006:AQ1006),$AN$1006:$BO$1006,0))&gt;=100000), " ",IF(INDEX($AN$2:$BO$1001,MATCH(ROWS($AG$2:AG972),$AG$2:$AG$1001,0),MATCH(COLUMNS($AN$1006:AQ1006),$AN$1006:$BO$1006,0)), HYPERLINK("#",""), HYPERLINK(CONCATENATE("#Metadata!", ADDRESS(INDEX($AI$2:$AI$1001,MATCH(ROWS($AG$2:AG972),$AG$2:$AG$1001,0),0), INDEX($AN$1004:$BO$1004,1,MATCH(COLUMNS($AN$1006:AQ1006),$AN$1006:$BO$1006,0)))),"Fix")))</f>
        <v>0</v>
      </c>
      <c r="F972" s="4">
        <f>IF(OR(INDEX($AH$2:$AH$1001,MATCH(ROWS($AG$2:AG972),$AG$2:$AG$1001,0),1)&gt;=100000,INDEX($AN$1005:$BO$1005,1,MATCH(COLUMNS($AN$1006:AR1006),$AN$1006:$BO$1006,0))&gt;=100000), " ",IF(INDEX($AN$2:$BO$1001,MATCH(ROWS($AG$2:AG972),$AG$2:$AG$1001,0),MATCH(COLUMNS($AN$1006:AR1006),$AN$1006:$BO$1006,0)), HYPERLINK("#",""), HYPERLINK(CONCATENATE("#Metadata!", ADDRESS(INDEX($AI$2:$AI$1001,MATCH(ROWS($AG$2:AG972),$AG$2:$AG$1001,0),0), INDEX($AN$1004:$BO$1004,1,MATCH(COLUMNS($AN$1006:AR1006),$AN$1006:$BO$1006,0)))),"Fix")))</f>
        <v>0</v>
      </c>
      <c r="G972" s="4">
        <f>IF(OR(INDEX($AH$2:$AH$1001,MATCH(ROWS($AG$2:AG972),$AG$2:$AG$1001,0),1)&gt;=100000,INDEX($AN$1005:$BO$1005,1,MATCH(COLUMNS($AN$1006:AS1006),$AN$1006:$BO$1006,0))&gt;=100000), " ",IF(INDEX($AN$2:$BO$1001,MATCH(ROWS($AG$2:AG972),$AG$2:$AG$1001,0),MATCH(COLUMNS($AN$1006:AS1006),$AN$1006:$BO$1006,0)), HYPERLINK("#",""), HYPERLINK(CONCATENATE("#Metadata!", ADDRESS(INDEX($AI$2:$AI$1001,MATCH(ROWS($AG$2:AG972),$AG$2:$AG$1001,0),0), INDEX($AN$1004:$BO$1004,1,MATCH(COLUMNS($AN$1006:AS1006),$AN$1006:$BO$1006,0)))),"Fix")))</f>
        <v>0</v>
      </c>
      <c r="H972" s="4">
        <f>IF(OR(INDEX($AH$2:$AH$1001,MATCH(ROWS($AG$2:AG972),$AG$2:$AG$1001,0),1)&gt;=100000,INDEX($AN$1005:$BO$1005,1,MATCH(COLUMNS($AN$1006:AT1006),$AN$1006:$BO$1006,0))&gt;=100000), " ",IF(INDEX($AN$2:$BO$1001,MATCH(ROWS($AG$2:AG972),$AG$2:$AG$1001,0),MATCH(COLUMNS($AN$1006:AT1006),$AN$1006:$BO$1006,0)), HYPERLINK("#",""), HYPERLINK(CONCATENATE("#Metadata!", ADDRESS(INDEX($AI$2:$AI$1001,MATCH(ROWS($AG$2:AG972),$AG$2:$AG$1001,0),0), INDEX($AN$1004:$BO$1004,1,MATCH(COLUMNS($AN$1006:AT1006),$AN$1006:$BO$1006,0)))),"Fix")))</f>
        <v>0</v>
      </c>
      <c r="I972" s="4">
        <f>IF(OR(INDEX($AH$2:$AH$1001,MATCH(ROWS($AG$2:AG972),$AG$2:$AG$1001,0),1)&gt;=100000,INDEX($AN$1005:$BO$1005,1,MATCH(COLUMNS($AN$1006:AU1006),$AN$1006:$BO$1006,0))&gt;=100000), " ",IF(INDEX($AN$2:$BO$1001,MATCH(ROWS($AG$2:AG972),$AG$2:$AG$1001,0),MATCH(COLUMNS($AN$1006:AU1006),$AN$1006:$BO$1006,0)), HYPERLINK("#",""), HYPERLINK(CONCATENATE("#Metadata!", ADDRESS(INDEX($AI$2:$AI$1001,MATCH(ROWS($AG$2:AG972),$AG$2:$AG$1001,0),0), INDEX($AN$1004:$BO$1004,1,MATCH(COLUMNS($AN$1006:AU1006),$AN$1006:$BO$1006,0)))),"Fix")))</f>
        <v>0</v>
      </c>
      <c r="J972" s="4">
        <f>IF(OR(INDEX($AH$2:$AH$1001,MATCH(ROWS($AG$2:AG972),$AG$2:$AG$1001,0),1)&gt;=100000,INDEX($AN$1005:$BO$1005,1,MATCH(COLUMNS($AN$1006:AV1006),$AN$1006:$BO$1006,0))&gt;=100000), " ",IF(INDEX($AN$2:$BO$1001,MATCH(ROWS($AG$2:AG972),$AG$2:$AG$1001,0),MATCH(COLUMNS($AN$1006:AV1006),$AN$1006:$BO$1006,0)), HYPERLINK("#",""), HYPERLINK(CONCATENATE("#Metadata!", ADDRESS(INDEX($AI$2:$AI$1001,MATCH(ROWS($AG$2:AG972),$AG$2:$AG$1001,0),0), INDEX($AN$1004:$BO$1004,1,MATCH(COLUMNS($AN$1006:AV1006),$AN$1006:$BO$1006,0)))),"Fix")))</f>
        <v>0</v>
      </c>
      <c r="K972" s="4">
        <f>IF(OR(INDEX($AH$2:$AH$1001,MATCH(ROWS($AG$2:AG972),$AG$2:$AG$1001,0),1)&gt;=100000,INDEX($AN$1005:$BO$1005,1,MATCH(COLUMNS($AN$1006:AW1006),$AN$1006:$BO$1006,0))&gt;=100000), " ",IF(INDEX($AN$2:$BO$1001,MATCH(ROWS($AG$2:AG972),$AG$2:$AG$1001,0),MATCH(COLUMNS($AN$1006:AW1006),$AN$1006:$BO$1006,0)), HYPERLINK("#",""), HYPERLINK(CONCATENATE("#Metadata!", ADDRESS(INDEX($AI$2:$AI$1001,MATCH(ROWS($AG$2:AG972),$AG$2:$AG$1001,0),0), INDEX($AN$1004:$BO$1004,1,MATCH(COLUMNS($AN$1006:AW1006),$AN$1006:$BO$1006,0)))),"Fix")))</f>
        <v>0</v>
      </c>
      <c r="L972" s="4">
        <f>IF(OR(INDEX($AH$2:$AH$1001,MATCH(ROWS($AG$2:AG972),$AG$2:$AG$1001,0),1)&gt;=100000,INDEX($AN$1005:$BO$1005,1,MATCH(COLUMNS($AN$1006:AX1006),$AN$1006:$BO$1006,0))&gt;=100000), " ",IF(INDEX($AN$2:$BO$1001,MATCH(ROWS($AG$2:AG972),$AG$2:$AG$1001,0),MATCH(COLUMNS($AN$1006:AX1006),$AN$1006:$BO$1006,0)), HYPERLINK("#",""), HYPERLINK(CONCATENATE("#Metadata!", ADDRESS(INDEX($AI$2:$AI$1001,MATCH(ROWS($AG$2:AG972),$AG$2:$AG$1001,0),0), INDEX($AN$1004:$BO$1004,1,MATCH(COLUMNS($AN$1006:AX1006),$AN$1006:$BO$1006,0)))),"Fix")))</f>
        <v>0</v>
      </c>
      <c r="M972" s="4">
        <f>IF(OR(INDEX($AH$2:$AH$1001,MATCH(ROWS($AG$2:AG972),$AG$2:$AG$1001,0),1)&gt;=100000,INDEX($AN$1005:$BO$1005,1,MATCH(COLUMNS($AN$1006:AY1006),$AN$1006:$BO$1006,0))&gt;=100000), " ",IF(INDEX($AN$2:$BO$1001,MATCH(ROWS($AG$2:AG972),$AG$2:$AG$1001,0),MATCH(COLUMNS($AN$1006:AY1006),$AN$1006:$BO$1006,0)), HYPERLINK("#",""), HYPERLINK(CONCATENATE("#Metadata!", ADDRESS(INDEX($AI$2:$AI$1001,MATCH(ROWS($AG$2:AG972),$AG$2:$AG$1001,0),0), INDEX($AN$1004:$BO$1004,1,MATCH(COLUMNS($AN$1006:AY1006),$AN$1006:$BO$1006,0)))),"Fix")))</f>
        <v>0</v>
      </c>
      <c r="N972" s="4">
        <f>IF(OR(INDEX($AH$2:$AH$1001,MATCH(ROWS($AG$2:AG972),$AG$2:$AG$1001,0),1)&gt;=100000,INDEX($AN$1005:$BO$1005,1,MATCH(COLUMNS($AN$1006:AZ1006),$AN$1006:$BO$1006,0))&gt;=100000), " ",IF(INDEX($AN$2:$BO$1001,MATCH(ROWS($AG$2:AG972),$AG$2:$AG$1001,0),MATCH(COLUMNS($AN$1006:AZ1006),$AN$1006:$BO$1006,0)), HYPERLINK("#",""), HYPERLINK(CONCATENATE("#Metadata!", ADDRESS(INDEX($AI$2:$AI$1001,MATCH(ROWS($AG$2:AG972),$AG$2:$AG$1001,0),0), INDEX($AN$1004:$BO$1004,1,MATCH(COLUMNS($AN$1006:AZ1006),$AN$1006:$BO$1006,0)))),"Fix")))</f>
        <v>0</v>
      </c>
      <c r="O972" s="4">
        <f>IF(OR(INDEX($AH$2:$AH$1001,MATCH(ROWS($AG$2:AG972),$AG$2:$AG$1001,0),1)&gt;=100000,INDEX($AN$1005:$BO$1005,1,MATCH(COLUMNS($AN$1006:BA1006),$AN$1006:$BO$1006,0))&gt;=100000), " ",IF(INDEX($AN$2:$BO$1001,MATCH(ROWS($AG$2:AG972),$AG$2:$AG$1001,0),MATCH(COLUMNS($AN$1006:BA1006),$AN$1006:$BO$1006,0)), HYPERLINK("#",""), HYPERLINK(CONCATENATE("#Metadata!", ADDRESS(INDEX($AI$2:$AI$1001,MATCH(ROWS($AG$2:AG972),$AG$2:$AG$1001,0),0), INDEX($AN$1004:$BO$1004,1,MATCH(COLUMNS($AN$1006:BA1006),$AN$1006:$BO$1006,0)))),"Fix")))</f>
        <v>0</v>
      </c>
      <c r="P972" s="4">
        <f>IF(OR(INDEX($AH$2:$AH$1001,MATCH(ROWS($AG$2:AG972),$AG$2:$AG$1001,0),1)&gt;=100000,INDEX($AN$1005:$BO$1005,1,MATCH(COLUMNS($AN$1006:BB1006),$AN$1006:$BO$1006,0))&gt;=100000), " ",IF(INDEX($AN$2:$BO$1001,MATCH(ROWS($AG$2:AG972),$AG$2:$AG$1001,0),MATCH(COLUMNS($AN$1006:BB1006),$AN$1006:$BO$1006,0)), HYPERLINK("#",""), HYPERLINK(CONCATENATE("#Metadata!", ADDRESS(INDEX($AI$2:$AI$1001,MATCH(ROWS($AG$2:AG972),$AG$2:$AG$1001,0),0), INDEX($AN$1004:$BO$1004,1,MATCH(COLUMNS($AN$1006:BB1006),$AN$1006:$BO$1006,0)))),"Fix")))</f>
        <v>0</v>
      </c>
      <c r="Q972" s="4">
        <f>IF(OR(INDEX($AH$2:$AH$1001,MATCH(ROWS($AG$2:AG972),$AG$2:$AG$1001,0),1)&gt;=100000,INDEX($AN$1005:$BO$1005,1,MATCH(COLUMNS($AN$1006:BC1006),$AN$1006:$BO$1006,0))&gt;=100000), " ",IF(INDEX($AN$2:$BO$1001,MATCH(ROWS($AG$2:AG972),$AG$2:$AG$1001,0),MATCH(COLUMNS($AN$1006:BC1006),$AN$1006:$BO$1006,0)), HYPERLINK("#",""), HYPERLINK(CONCATENATE("#Metadata!", ADDRESS(INDEX($AI$2:$AI$1001,MATCH(ROWS($AG$2:AG972),$AG$2:$AG$1001,0),0), INDEX($AN$1004:$BO$1004,1,MATCH(COLUMNS($AN$1006:BC1006),$AN$1006:$BO$1006,0)))),"Fix")))</f>
        <v>0</v>
      </c>
      <c r="R972" s="4">
        <f>IF(OR(INDEX($AH$2:$AH$1001,MATCH(ROWS($AG$2:AG972),$AG$2:$AG$1001,0),1)&gt;=100000,INDEX($AN$1005:$BO$1005,1,MATCH(COLUMNS($AN$1006:BD1006),$AN$1006:$BO$1006,0))&gt;=100000), " ",IF(INDEX($AN$2:$BO$1001,MATCH(ROWS($AG$2:AG972),$AG$2:$AG$1001,0),MATCH(COLUMNS($AN$1006:BD1006),$AN$1006:$BO$1006,0)), HYPERLINK("#",""), HYPERLINK(CONCATENATE("#Metadata!", ADDRESS(INDEX($AI$2:$AI$1001,MATCH(ROWS($AG$2:AG972),$AG$2:$AG$1001,0),0), INDEX($AN$1004:$BO$1004,1,MATCH(COLUMNS($AN$1006:BD1006),$AN$1006:$BO$1006,0)))),"Fix")))</f>
        <v>0</v>
      </c>
      <c r="S972" s="4">
        <f>IF(OR(INDEX($AH$2:$AH$1001,MATCH(ROWS($AG$2:AG972),$AG$2:$AG$1001,0),1)&gt;=100000,INDEX($AN$1005:$BO$1005,1,MATCH(COLUMNS($AN$1006:BE1006),$AN$1006:$BO$1006,0))&gt;=100000), " ",IF(INDEX($AN$2:$BO$1001,MATCH(ROWS($AG$2:AG972),$AG$2:$AG$1001,0),MATCH(COLUMNS($AN$1006:BE1006),$AN$1006:$BO$1006,0)), HYPERLINK("#",""), HYPERLINK(CONCATENATE("#Metadata!", ADDRESS(INDEX($AI$2:$AI$1001,MATCH(ROWS($AG$2:AG972),$AG$2:$AG$1001,0),0), INDEX($AN$1004:$BO$1004,1,MATCH(COLUMNS($AN$1006:BE1006),$AN$1006:$BO$1006,0)))),"Fix")))</f>
        <v>0</v>
      </c>
      <c r="T972" s="4">
        <f>IF(OR(INDEX($AH$2:$AH$1001,MATCH(ROWS($AG$2:AG972),$AG$2:$AG$1001,0),1)&gt;=100000,INDEX($AN$1005:$BO$1005,1,MATCH(COLUMNS($AN$1006:BF1006),$AN$1006:$BO$1006,0))&gt;=100000), " ",IF(INDEX($AN$2:$BO$1001,MATCH(ROWS($AG$2:AG972),$AG$2:$AG$1001,0),MATCH(COLUMNS($AN$1006:BF1006),$AN$1006:$BO$1006,0)), HYPERLINK("#",""), HYPERLINK(CONCATENATE("#Metadata!", ADDRESS(INDEX($AI$2:$AI$1001,MATCH(ROWS($AG$2:AG972),$AG$2:$AG$1001,0),0), INDEX($AN$1004:$BO$1004,1,MATCH(COLUMNS($AN$1006:BF1006),$AN$1006:$BO$1006,0)))),"Fix")))</f>
        <v>0</v>
      </c>
      <c r="U972" s="4">
        <f>IF(OR(INDEX($AH$2:$AH$1001,MATCH(ROWS($AG$2:AG972),$AG$2:$AG$1001,0),1)&gt;=100000,INDEX($AN$1005:$BO$1005,1,MATCH(COLUMNS($AN$1006:BG1006),$AN$1006:$BO$1006,0))&gt;=100000), " ",IF(INDEX($AN$2:$BO$1001,MATCH(ROWS($AG$2:AG972),$AG$2:$AG$1001,0),MATCH(COLUMNS($AN$1006:BG1006),$AN$1006:$BO$1006,0)), HYPERLINK("#",""), HYPERLINK(CONCATENATE("#Metadata!", ADDRESS(INDEX($AI$2:$AI$1001,MATCH(ROWS($AG$2:AG972),$AG$2:$AG$1001,0),0), INDEX($AN$1004:$BO$1004,1,MATCH(COLUMNS($AN$1006:BG1006),$AN$1006:$BO$1006,0)))),"Fix")))</f>
        <v>0</v>
      </c>
      <c r="V972" s="4">
        <f>IF(OR(INDEX($AH$2:$AH$1001,MATCH(ROWS($AG$2:AG972),$AG$2:$AG$1001,0),1)&gt;=100000,INDEX($AN$1005:$BO$1005,1,MATCH(COLUMNS($AN$1006:BH1006),$AN$1006:$BO$1006,0))&gt;=100000), " ",IF(INDEX($AN$2:$BO$1001,MATCH(ROWS($AG$2:AG972),$AG$2:$AG$1001,0),MATCH(COLUMNS($AN$1006:BH1006),$AN$1006:$BO$1006,0)), HYPERLINK("#",""), HYPERLINK(CONCATENATE("#Metadata!", ADDRESS(INDEX($AI$2:$AI$1001,MATCH(ROWS($AG$2:AG972),$AG$2:$AG$1001,0),0), INDEX($AN$1004:$BO$1004,1,MATCH(COLUMNS($AN$1006:BH1006),$AN$1006:$BO$1006,0)))),"Fix")))</f>
        <v>0</v>
      </c>
      <c r="W972" s="4">
        <f>IF(OR(INDEX($AH$2:$AH$1001,MATCH(ROWS($AG$2:AG972),$AG$2:$AG$1001,0),1)&gt;=100000,INDEX($AN$1005:$BO$1005,1,MATCH(COLUMNS($AN$1006:BI1006),$AN$1006:$BO$1006,0))&gt;=100000), " ",IF(INDEX($AN$2:$BO$1001,MATCH(ROWS($AG$2:AG972),$AG$2:$AG$1001,0),MATCH(COLUMNS($AN$1006:BI1006),$AN$1006:$BO$1006,0)), HYPERLINK("#",""), HYPERLINK(CONCATENATE("#Metadata!", ADDRESS(INDEX($AI$2:$AI$1001,MATCH(ROWS($AG$2:AG972),$AG$2:$AG$1001,0),0), INDEX($AN$1004:$BO$1004,1,MATCH(COLUMNS($AN$1006:BI1006),$AN$1006:$BO$1006,0)))),"Fix")))</f>
        <v>0</v>
      </c>
      <c r="X972" s="4">
        <f>IF(OR(INDEX($AH$2:$AH$1001,MATCH(ROWS($AG$2:AG972),$AG$2:$AG$1001,0),1)&gt;=100000,INDEX($AN$1005:$BO$1005,1,MATCH(COLUMNS($AN$1006:BJ1006),$AN$1006:$BO$1006,0))&gt;=100000), " ",IF(INDEX($AN$2:$BO$1001,MATCH(ROWS($AG$2:AG972),$AG$2:$AG$1001,0),MATCH(COLUMNS($AN$1006:BJ1006),$AN$1006:$BO$1006,0)), HYPERLINK("#",""), HYPERLINK(CONCATENATE("#Metadata!", ADDRESS(INDEX($AI$2:$AI$1001,MATCH(ROWS($AG$2:AG972),$AG$2:$AG$1001,0),0), INDEX($AN$1004:$BO$1004,1,MATCH(COLUMNS($AN$1006:BJ1006),$AN$1006:$BO$1006,0)))),"Fix")))</f>
        <v>0</v>
      </c>
      <c r="Y972" s="4">
        <f>IF(OR(INDEX($AH$2:$AH$1001,MATCH(ROWS($AG$2:AG972),$AG$2:$AG$1001,0),1)&gt;=100000,INDEX($AN$1005:$BO$1005,1,MATCH(COLUMNS($AN$1006:BK1006),$AN$1006:$BO$1006,0))&gt;=100000), " ",IF(INDEX($AN$2:$BO$1001,MATCH(ROWS($AG$2:AG972),$AG$2:$AG$1001,0),MATCH(COLUMNS($AN$1006:BK1006),$AN$1006:$BO$1006,0)), HYPERLINK("#",""), HYPERLINK(CONCATENATE("#Metadata!", ADDRESS(INDEX($AI$2:$AI$1001,MATCH(ROWS($AG$2:AG972),$AG$2:$AG$1001,0),0), INDEX($AN$1004:$BO$1004,1,MATCH(COLUMNS($AN$1006:BK1006),$AN$1006:$BO$1006,0)))),"Fix")))</f>
        <v>0</v>
      </c>
      <c r="Z972" s="4">
        <f>IF(OR(INDEX($AH$2:$AH$1001,MATCH(ROWS($AG$2:AG972),$AG$2:$AG$1001,0),1)&gt;=100000,INDEX($AN$1005:$BO$1005,1,MATCH(COLUMNS($AN$1006:BL1006),$AN$1006:$BO$1006,0))&gt;=100000), " ",IF(INDEX($AN$2:$BO$1001,MATCH(ROWS($AG$2:AG972),$AG$2:$AG$1001,0),MATCH(COLUMNS($AN$1006:BL1006),$AN$1006:$BO$1006,0)), HYPERLINK("#",""), HYPERLINK(CONCATENATE("#Metadata!", ADDRESS(INDEX($AI$2:$AI$1001,MATCH(ROWS($AG$2:AG972),$AG$2:$AG$1001,0),0), INDEX($AN$1004:$BO$1004,1,MATCH(COLUMNS($AN$1006:BL1006),$AN$1006:$BO$1006,0)))),"Fix")))</f>
        <v>0</v>
      </c>
      <c r="AA972" s="4">
        <f>IF(OR(INDEX($AH$2:$AH$1001,MATCH(ROWS($AG$2:AG972),$AG$2:$AG$1001,0),1)&gt;=100000,INDEX($AN$1005:$BO$1005,1,MATCH(COLUMNS($AN$1006:BM1006),$AN$1006:$BO$1006,0))&gt;=100000), " ",IF(INDEX($AN$2:$BO$1001,MATCH(ROWS($AG$2:AG972),$AG$2:$AG$1001,0),MATCH(COLUMNS($AN$1006:BM1006),$AN$1006:$BO$1006,0)), HYPERLINK("#",""), HYPERLINK(CONCATENATE("#Metadata!", ADDRESS(INDEX($AI$2:$AI$1001,MATCH(ROWS($AG$2:AG972),$AG$2:$AG$1001,0),0), INDEX($AN$1004:$BO$1004,1,MATCH(COLUMNS($AN$1006:BM1006),$AN$1006:$BO$1006,0)))),"Fix")))</f>
        <v>0</v>
      </c>
      <c r="AB972" s="4">
        <f>IF(OR(INDEX($AH$2:$AH$1001,MATCH(ROWS($AG$2:AG972),$AG$2:$AG$1001,0),1)&gt;=100000,INDEX($AN$1005:$BO$1005,1,MATCH(COLUMNS($AN$1006:BN1006),$AN$1006:$BO$1006,0))&gt;=100000), " ",IF(INDEX($AN$2:$BO$1001,MATCH(ROWS($AG$2:AG972),$AG$2:$AG$1001,0),MATCH(COLUMNS($AN$1006:BN1006),$AN$1006:$BO$1006,0)), HYPERLINK("#",""), HYPERLINK(CONCATENATE("#Metadata!", ADDRESS(INDEX($AI$2:$AI$1001,MATCH(ROWS($AG$2:AG972),$AG$2:$AG$1001,0),0), INDEX($AN$1004:$BO$1004,1,MATCH(COLUMNS($AN$1006:BN1006),$AN$1006:$BO$1006,0)))),"Fix")))</f>
        <v>0</v>
      </c>
      <c r="AC972" s="4">
        <f>IF(OR(INDEX($AH$2:$AH$1001,MATCH(ROWS($AG$2:AG972),$AG$2:$AG$1001,0),1)&gt;=100000,INDEX($AN$1005:$BO$1005,1,MATCH(COLUMNS($AN$1006:BO1006),$AN$1006:$BO$1006,0))&gt;=100000), " ",IF(INDEX($AN$2:$BO$1001,MATCH(ROWS($AG$2:AG972),$AG$2:$AG$1001,0),MATCH(COLUMNS($AN$1006:BO1006),$AN$1006:$BO$1006,0)), HYPERLINK("#",""), HYPERLINK(CONCATENATE("#Metadata!", ADDRESS(INDEX($AI$2:$AI$1001,MATCH(ROWS($AG$2:AG972),$AG$2:$AG$1001,0),0), INDEX($AN$1004:$BO$1004,1,MATCH(COLUMNS($AN$1006:BO1006),$AN$1006:$BO$1006,0)))),"Fix")))</f>
        <v>0</v>
      </c>
      <c r="AG972">
        <v>0</v>
      </c>
      <c r="AH972">
        <v>0</v>
      </c>
      <c r="AI972">
        <v>0</v>
      </c>
      <c r="AJ972">
        <f>IF(AK972,TRUE,AND(AN972:BO972))</f>
        <v>0</v>
      </c>
      <c r="AK972">
        <f>COUNTBLANK(Metadata!B972:AC972)=COLUMNS(Metadata!B972:AC972)</f>
        <v>0</v>
      </c>
      <c r="AL972">
        <v>0</v>
      </c>
      <c r="AN972">
        <f>AND(IF(Metadata!B972="",FALSE,TRUE),COUNTIF(Metadata!B:B, Metadata!B972) = 1,NOT(ISERROR(SUMPRODUCT(SEARCH(MID(Metadata!B972,ROW(INDIRECT("1:"&amp;LEN(Metadata!B972))), 1),"0123456789abcdefghijklmnopqrstuvwxyzABCDEFGHIJKLMNOPQRSTUVWXYZ.")))))</f>
        <v>0</v>
      </c>
      <c r="AO972">
        <f>IF(Metadata!C972="",FALSE,TRUE)</f>
        <v>0</v>
      </c>
      <c r="AP972">
        <f>IF(Metadata!D972="",FALSE,TRUE)</f>
        <v>0</v>
      </c>
      <c r="AQ972">
        <f>OR(AND(IF(Metadata!E972="",FALSE,TRUE),OR(exact(Metadata!E972,"not collected"),exact(Metadata!E972,"not provided"),exact(Metadata!E972,"restricted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R972">
        <f>IF(Metadata!F972="",FALSE,TRUE)</f>
        <v>0</v>
      </c>
      <c r="AS972">
        <f>OR(AND(IF(Metadata!G972="",FALSE,TRUE),OR(exact(Metadata!G972,"not collected"),exact(Metadata!G972,"not provided"))),AND(IF(Metadata!G972="",FALSE,TRUE),OR(exact(Metadata!G972,"TRUE"),exact(Metadata!G972,"FALSE"))))</f>
        <v>0</v>
      </c>
      <c r="AT972">
        <f>OR(AND(IF(Metadata!H972="",FALSE,TRUE),OR(exact(Metadata!H972,"not collected"),exact(Metadata!H972,"not provided"),exact(Metadata!H972,"restricted access"))),AND(IF(Metadata!H972="",FALSE,ISNUMBER(VALUE(Metadata!H972))),Metadata!H972&gt;=-413.0))</f>
        <v>0</v>
      </c>
      <c r="AU972">
        <f>AND(IF(Metadata!I972="",FALSE,TRUE),exact(Metadata!I972,"meters"))</f>
        <v>0</v>
      </c>
      <c r="AV972">
        <f>AND(IF(Metadata!J972="",FALSE,TRUE),OR(exact(Metadata!J972,"Host-associated"),exact(Metadata!J972,"Free-living")))</f>
        <v>0</v>
      </c>
      <c r="AW972">
        <f>AND(IF(Metadata!K972="",FALSE,TRUE),OR(exact(Metadata!K972,"Animal"),exact(Metadata!K972,"Fungus"),exact(Metadata!K972,"Plant"),exact(Metadata!K972,"Saline"),exact(Metadata!K972,"Non-saline")))</f>
        <v>0</v>
      </c>
      <c r="AX972">
        <f>AND(IF(Metadata!L972="",FALSE,TRUE),OR(exact(Metadata!L972,"Plant secretion"),exact(Metadata!L972,"Plant rhizosphere"),exact(Metadata!L972,"Plant surface"),exact(Metadata!L972,"Plant corpus"),exact(Metadata!L972,"Fungus surface"),exact(Metadata!L972,"Fungus corpus"),exact(Metadata!L972,"Animal surface"),exact(Metadata!L972,"Animal proximal gut"),exact(Metadata!L972,"Animal corpus"),exact(Metadata!L972,"Animal distal gut"),exact(Metadata!L972,"Animal secretion"),exact(Metadata!L972,"Sub-surface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Y972">
        <f>IF(Metadata!M972="",FALSE,TRUE)</f>
        <v>0</v>
      </c>
      <c r="AZ972">
        <f>IF(Metadata!N972="",FALSE,TRUE)</f>
        <v>0</v>
      </c>
      <c r="BA972">
        <f>IF(Metadata!O972="",FALSE,TRUE)</f>
        <v>0</v>
      </c>
      <c r="BB972">
        <f>OR(AND(IF(Metadata!P972="",FALSE,TRUE),OR(exact(Metadata!P972,"not collected"),exact(Metadata!P972,"not provided"),exact(Metadata!P972,"restricted access"))),AND(IF(Metadata!P972="",FALSE,TRUE),OR(exact(Metadata!P972,"air"),exact(Metadata!P972,"built environment"),exact(Metadata!P972,"host-associated"),exact(Metadata!P972,"human-associated"),exact(Metadata!P972,"human-skin"),exact(Metadata!P972,"human-oral"),exact(Metadata!P972,"human-gut"),exact(Metadata!P972,"human-vaginal"),exact(Metadata!P972,"microbial mat/biofilm"),exact(Metadata!P972,"misc environment"),exact(Metadata!P972,"plant-associated"),exact(Metadata!P972,"sediment"),exact(Metadata!P972,"soil"),exact(Metadata!P972,"wastewater/sludge"),exact(Metadata!P972,"water"))))</f>
        <v>0</v>
      </c>
      <c r="BC972">
        <f>IF(Metadata!Q972="",FALSE,TRUE)</f>
        <v>0</v>
      </c>
      <c r="BD972">
        <f>IF(Metadata!R972="",FALSE,TRUE)</f>
        <v>0</v>
      </c>
      <c r="BE972">
        <f>OR(AND(IF(Metadata!S972="",FALSE,TRUE),OR(exact(Metadata!S972,"not collected"),exact(Metadata!S972,"not provided"),exact(Metadata!S972,"restricted access"))),AND(IF(Metadata!S972="",FALSE,ISNUMBER(VALUE(Metadata!S972))),Metadata!S972&gt;=-90.00,Metadata!S972&lt;=90.00))</f>
        <v>0</v>
      </c>
      <c r="BF972">
        <f>AND(IF(Metadata!T972="",FALSE,TRUE),exact(Metadata!T972,"Decimal degrees"))</f>
        <v>0</v>
      </c>
      <c r="BG972">
        <f>OR(AND(IF(Metadata!U972="",FALSE,TRUE),OR(exact(Metadata!U972,"not collected"),exact(Metadata!U972,"not provided"),exact(Metadata!U972,"restricted access"))),AND(IF(Metadata!U972="",FALSE,ISNUMBER(VALUE(Metadata!U972))),Metadata!U972&gt;=-180.00,Metadata!U972&lt;=180.00))</f>
        <v>0</v>
      </c>
      <c r="BH972">
        <f>AND(IF(Metadata!V972="",FALSE,TRUE),exact(Metadata!V972,"Decimal degrees"))</f>
        <v>0</v>
      </c>
      <c r="BI972">
        <f>IF(Metadata!W972="",FALSE,TRUE)</f>
        <v>0</v>
      </c>
      <c r="BJ972">
        <f>OR(AND(IF(Metadata!X972="",FALSE,TRUE),OR(exact(Metadata!X972,"not collected"),exact(Metadata!X972,"not provided"),exact(Metadata!X972,"restricted access"))),AND(IF(Metadata!X972="",FALSE,TRUE),OR(exact(Metadata!X972,"TRUE"),exact(Metadata!X972,"FALSE"))))</f>
        <v>0</v>
      </c>
      <c r="BK972">
        <f>AND(IF(Metadata!Y972="",FALSE,TRUE),exact(Metadata!Y972,"other"))</f>
        <v>0</v>
      </c>
      <c r="BL972">
        <f>IF(Metadata!Z972="",FALSE,TRUE)</f>
        <v>0</v>
      </c>
      <c r="BM972">
        <f>OR(AND(IF(Metadata!AA972="",FALSE,TRUE),OR(exact(Metadata!AA972,"not collected"),exact(Metadata!AA972,"not provided"))),AND(IF(Metadata!AA972="",FALSE,IF(ISERROR(INT(Metadata!AA972)),FALSE,INT(Metadata!AA972)=Metadata!AA972)),Metadata!AA972&gt;0))</f>
        <v>0</v>
      </c>
      <c r="BN972">
        <f>AND(IF(Metadata!AB972="",FALSE,TRUE),exact(Metadata!AB972,"Not applicable"))</f>
        <v>0</v>
      </c>
      <c r="BO972">
        <f>IF(Metadata!AC972="",FALSE,TRUE)</f>
        <v>0</v>
      </c>
    </row>
    <row r="973" spans="1:67">
      <c r="A973" s="5">
        <f>IF(B973=" "," ",HYPERLINK(CONCATENATE("#metadata!",ADDRESS(INDEX($AI$2:$AI$1001,MATCH(ROWS($AG$2:AG973),$AG$2:$AG$1001,0),0),1)),INDEX($AL$2:$AL$1001,MATCH(ROWS($AG$2:AG973),$AG$2:$AG$1001,0),0)))</f>
        <v>0</v>
      </c>
      <c r="B973" s="4">
        <f>IF(OR(INDEX($AH$2:$AH$1001,MATCH(ROWS($AG$2:AG973),$AG$2:$AG$1001,0),1)&gt;=100000,INDEX($AN$1005:$BO$1005,1,MATCH(COLUMNS($AN$1006:AN1006),$AN$1006:$BO$1006,0))&gt;=100000), " ",IF(INDEX($AN$2:$BO$1001,MATCH(ROWS($AG$2:AG973),$AG$2:$AG$1001,0),MATCH(COLUMNS($AN$1006:AN1006),$AN$1006:$BO$1006,0)), HYPERLINK("#",""), HYPERLINK(CONCATENATE("#Metadata!", ADDRESS(INDEX($AI$2:$AI$1001,MATCH(ROWS($AG$2:AG973),$AG$2:$AG$1001,0),0), INDEX($AN$1004:$BO$1004,1,MATCH(COLUMNS($AN$1006:AN1006),$AN$1006:$BO$1006,0)))),"Fix")))</f>
        <v>0</v>
      </c>
      <c r="C973" s="4">
        <f>IF(OR(INDEX($AH$2:$AH$1001,MATCH(ROWS($AG$2:AG973),$AG$2:$AG$1001,0),1)&gt;=100000,INDEX($AN$1005:$BO$1005,1,MATCH(COLUMNS($AN$1006:AO1006),$AN$1006:$BO$1006,0))&gt;=100000), " ",IF(INDEX($AN$2:$BO$1001,MATCH(ROWS($AG$2:AG973),$AG$2:$AG$1001,0),MATCH(COLUMNS($AN$1006:AO1006),$AN$1006:$BO$1006,0)), HYPERLINK("#",""), HYPERLINK(CONCATENATE("#Metadata!", ADDRESS(INDEX($AI$2:$AI$1001,MATCH(ROWS($AG$2:AG973),$AG$2:$AG$1001,0),0), INDEX($AN$1004:$BO$1004,1,MATCH(COLUMNS($AN$1006:AO1006),$AN$1006:$BO$1006,0)))),"Fix")))</f>
        <v>0</v>
      </c>
      <c r="D973" s="4">
        <f>IF(OR(INDEX($AH$2:$AH$1001,MATCH(ROWS($AG$2:AG973),$AG$2:$AG$1001,0),1)&gt;=100000,INDEX($AN$1005:$BO$1005,1,MATCH(COLUMNS($AN$1006:AP1006),$AN$1006:$BO$1006,0))&gt;=100000), " ",IF(INDEX($AN$2:$BO$1001,MATCH(ROWS($AG$2:AG973),$AG$2:$AG$1001,0),MATCH(COLUMNS($AN$1006:AP1006),$AN$1006:$BO$1006,0)), HYPERLINK("#",""), HYPERLINK(CONCATENATE("#Metadata!", ADDRESS(INDEX($AI$2:$AI$1001,MATCH(ROWS($AG$2:AG973),$AG$2:$AG$1001,0),0), INDEX($AN$1004:$BO$1004,1,MATCH(COLUMNS($AN$1006:AP1006),$AN$1006:$BO$1006,0)))),"Fix")))</f>
        <v>0</v>
      </c>
      <c r="E973" s="4">
        <f>IF(OR(INDEX($AH$2:$AH$1001,MATCH(ROWS($AG$2:AG973),$AG$2:$AG$1001,0),1)&gt;=100000,INDEX($AN$1005:$BO$1005,1,MATCH(COLUMNS($AN$1006:AQ1006),$AN$1006:$BO$1006,0))&gt;=100000), " ",IF(INDEX($AN$2:$BO$1001,MATCH(ROWS($AG$2:AG973),$AG$2:$AG$1001,0),MATCH(COLUMNS($AN$1006:AQ1006),$AN$1006:$BO$1006,0)), HYPERLINK("#",""), HYPERLINK(CONCATENATE("#Metadata!", ADDRESS(INDEX($AI$2:$AI$1001,MATCH(ROWS($AG$2:AG973),$AG$2:$AG$1001,0),0), INDEX($AN$1004:$BO$1004,1,MATCH(COLUMNS($AN$1006:AQ1006),$AN$1006:$BO$1006,0)))),"Fix")))</f>
        <v>0</v>
      </c>
      <c r="F973" s="4">
        <f>IF(OR(INDEX($AH$2:$AH$1001,MATCH(ROWS($AG$2:AG973),$AG$2:$AG$1001,0),1)&gt;=100000,INDEX($AN$1005:$BO$1005,1,MATCH(COLUMNS($AN$1006:AR1006),$AN$1006:$BO$1006,0))&gt;=100000), " ",IF(INDEX($AN$2:$BO$1001,MATCH(ROWS($AG$2:AG973),$AG$2:$AG$1001,0),MATCH(COLUMNS($AN$1006:AR1006),$AN$1006:$BO$1006,0)), HYPERLINK("#",""), HYPERLINK(CONCATENATE("#Metadata!", ADDRESS(INDEX($AI$2:$AI$1001,MATCH(ROWS($AG$2:AG973),$AG$2:$AG$1001,0),0), INDEX($AN$1004:$BO$1004,1,MATCH(COLUMNS($AN$1006:AR1006),$AN$1006:$BO$1006,0)))),"Fix")))</f>
        <v>0</v>
      </c>
      <c r="G973" s="4">
        <f>IF(OR(INDEX($AH$2:$AH$1001,MATCH(ROWS($AG$2:AG973),$AG$2:$AG$1001,0),1)&gt;=100000,INDEX($AN$1005:$BO$1005,1,MATCH(COLUMNS($AN$1006:AS1006),$AN$1006:$BO$1006,0))&gt;=100000), " ",IF(INDEX($AN$2:$BO$1001,MATCH(ROWS($AG$2:AG973),$AG$2:$AG$1001,0),MATCH(COLUMNS($AN$1006:AS1006),$AN$1006:$BO$1006,0)), HYPERLINK("#",""), HYPERLINK(CONCATENATE("#Metadata!", ADDRESS(INDEX($AI$2:$AI$1001,MATCH(ROWS($AG$2:AG973),$AG$2:$AG$1001,0),0), INDEX($AN$1004:$BO$1004,1,MATCH(COLUMNS($AN$1006:AS1006),$AN$1006:$BO$1006,0)))),"Fix")))</f>
        <v>0</v>
      </c>
      <c r="H973" s="4">
        <f>IF(OR(INDEX($AH$2:$AH$1001,MATCH(ROWS($AG$2:AG973),$AG$2:$AG$1001,0),1)&gt;=100000,INDEX($AN$1005:$BO$1005,1,MATCH(COLUMNS($AN$1006:AT1006),$AN$1006:$BO$1006,0))&gt;=100000), " ",IF(INDEX($AN$2:$BO$1001,MATCH(ROWS($AG$2:AG973),$AG$2:$AG$1001,0),MATCH(COLUMNS($AN$1006:AT1006),$AN$1006:$BO$1006,0)), HYPERLINK("#",""), HYPERLINK(CONCATENATE("#Metadata!", ADDRESS(INDEX($AI$2:$AI$1001,MATCH(ROWS($AG$2:AG973),$AG$2:$AG$1001,0),0), INDEX($AN$1004:$BO$1004,1,MATCH(COLUMNS($AN$1006:AT1006),$AN$1006:$BO$1006,0)))),"Fix")))</f>
        <v>0</v>
      </c>
      <c r="I973" s="4">
        <f>IF(OR(INDEX($AH$2:$AH$1001,MATCH(ROWS($AG$2:AG973),$AG$2:$AG$1001,0),1)&gt;=100000,INDEX($AN$1005:$BO$1005,1,MATCH(COLUMNS($AN$1006:AU1006),$AN$1006:$BO$1006,0))&gt;=100000), " ",IF(INDEX($AN$2:$BO$1001,MATCH(ROWS($AG$2:AG973),$AG$2:$AG$1001,0),MATCH(COLUMNS($AN$1006:AU1006),$AN$1006:$BO$1006,0)), HYPERLINK("#",""), HYPERLINK(CONCATENATE("#Metadata!", ADDRESS(INDEX($AI$2:$AI$1001,MATCH(ROWS($AG$2:AG973),$AG$2:$AG$1001,0),0), INDEX($AN$1004:$BO$1004,1,MATCH(COLUMNS($AN$1006:AU1006),$AN$1006:$BO$1006,0)))),"Fix")))</f>
        <v>0</v>
      </c>
      <c r="J973" s="4">
        <f>IF(OR(INDEX($AH$2:$AH$1001,MATCH(ROWS($AG$2:AG973),$AG$2:$AG$1001,0),1)&gt;=100000,INDEX($AN$1005:$BO$1005,1,MATCH(COLUMNS($AN$1006:AV1006),$AN$1006:$BO$1006,0))&gt;=100000), " ",IF(INDEX($AN$2:$BO$1001,MATCH(ROWS($AG$2:AG973),$AG$2:$AG$1001,0),MATCH(COLUMNS($AN$1006:AV1006),$AN$1006:$BO$1006,0)), HYPERLINK("#",""), HYPERLINK(CONCATENATE("#Metadata!", ADDRESS(INDEX($AI$2:$AI$1001,MATCH(ROWS($AG$2:AG973),$AG$2:$AG$1001,0),0), INDEX($AN$1004:$BO$1004,1,MATCH(COLUMNS($AN$1006:AV1006),$AN$1006:$BO$1006,0)))),"Fix")))</f>
        <v>0</v>
      </c>
      <c r="K973" s="4">
        <f>IF(OR(INDEX($AH$2:$AH$1001,MATCH(ROWS($AG$2:AG973),$AG$2:$AG$1001,0),1)&gt;=100000,INDEX($AN$1005:$BO$1005,1,MATCH(COLUMNS($AN$1006:AW1006),$AN$1006:$BO$1006,0))&gt;=100000), " ",IF(INDEX($AN$2:$BO$1001,MATCH(ROWS($AG$2:AG973),$AG$2:$AG$1001,0),MATCH(COLUMNS($AN$1006:AW1006),$AN$1006:$BO$1006,0)), HYPERLINK("#",""), HYPERLINK(CONCATENATE("#Metadata!", ADDRESS(INDEX($AI$2:$AI$1001,MATCH(ROWS($AG$2:AG973),$AG$2:$AG$1001,0),0), INDEX($AN$1004:$BO$1004,1,MATCH(COLUMNS($AN$1006:AW1006),$AN$1006:$BO$1006,0)))),"Fix")))</f>
        <v>0</v>
      </c>
      <c r="L973" s="4">
        <f>IF(OR(INDEX($AH$2:$AH$1001,MATCH(ROWS($AG$2:AG973),$AG$2:$AG$1001,0),1)&gt;=100000,INDEX($AN$1005:$BO$1005,1,MATCH(COLUMNS($AN$1006:AX1006),$AN$1006:$BO$1006,0))&gt;=100000), " ",IF(INDEX($AN$2:$BO$1001,MATCH(ROWS($AG$2:AG973),$AG$2:$AG$1001,0),MATCH(COLUMNS($AN$1006:AX1006),$AN$1006:$BO$1006,0)), HYPERLINK("#",""), HYPERLINK(CONCATENATE("#Metadata!", ADDRESS(INDEX($AI$2:$AI$1001,MATCH(ROWS($AG$2:AG973),$AG$2:$AG$1001,0),0), INDEX($AN$1004:$BO$1004,1,MATCH(COLUMNS($AN$1006:AX1006),$AN$1006:$BO$1006,0)))),"Fix")))</f>
        <v>0</v>
      </c>
      <c r="M973" s="4">
        <f>IF(OR(INDEX($AH$2:$AH$1001,MATCH(ROWS($AG$2:AG973),$AG$2:$AG$1001,0),1)&gt;=100000,INDEX($AN$1005:$BO$1005,1,MATCH(COLUMNS($AN$1006:AY1006),$AN$1006:$BO$1006,0))&gt;=100000), " ",IF(INDEX($AN$2:$BO$1001,MATCH(ROWS($AG$2:AG973),$AG$2:$AG$1001,0),MATCH(COLUMNS($AN$1006:AY1006),$AN$1006:$BO$1006,0)), HYPERLINK("#",""), HYPERLINK(CONCATENATE("#Metadata!", ADDRESS(INDEX($AI$2:$AI$1001,MATCH(ROWS($AG$2:AG973),$AG$2:$AG$1001,0),0), INDEX($AN$1004:$BO$1004,1,MATCH(COLUMNS($AN$1006:AY1006),$AN$1006:$BO$1006,0)))),"Fix")))</f>
        <v>0</v>
      </c>
      <c r="N973" s="4">
        <f>IF(OR(INDEX($AH$2:$AH$1001,MATCH(ROWS($AG$2:AG973),$AG$2:$AG$1001,0),1)&gt;=100000,INDEX($AN$1005:$BO$1005,1,MATCH(COLUMNS($AN$1006:AZ1006),$AN$1006:$BO$1006,0))&gt;=100000), " ",IF(INDEX($AN$2:$BO$1001,MATCH(ROWS($AG$2:AG973),$AG$2:$AG$1001,0),MATCH(COLUMNS($AN$1006:AZ1006),$AN$1006:$BO$1006,0)), HYPERLINK("#",""), HYPERLINK(CONCATENATE("#Metadata!", ADDRESS(INDEX($AI$2:$AI$1001,MATCH(ROWS($AG$2:AG973),$AG$2:$AG$1001,0),0), INDEX($AN$1004:$BO$1004,1,MATCH(COLUMNS($AN$1006:AZ1006),$AN$1006:$BO$1006,0)))),"Fix")))</f>
        <v>0</v>
      </c>
      <c r="O973" s="4">
        <f>IF(OR(INDEX($AH$2:$AH$1001,MATCH(ROWS($AG$2:AG973),$AG$2:$AG$1001,0),1)&gt;=100000,INDEX($AN$1005:$BO$1005,1,MATCH(COLUMNS($AN$1006:BA1006),$AN$1006:$BO$1006,0))&gt;=100000), " ",IF(INDEX($AN$2:$BO$1001,MATCH(ROWS($AG$2:AG973),$AG$2:$AG$1001,0),MATCH(COLUMNS($AN$1006:BA1006),$AN$1006:$BO$1006,0)), HYPERLINK("#",""), HYPERLINK(CONCATENATE("#Metadata!", ADDRESS(INDEX($AI$2:$AI$1001,MATCH(ROWS($AG$2:AG973),$AG$2:$AG$1001,0),0), INDEX($AN$1004:$BO$1004,1,MATCH(COLUMNS($AN$1006:BA1006),$AN$1006:$BO$1006,0)))),"Fix")))</f>
        <v>0</v>
      </c>
      <c r="P973" s="4">
        <f>IF(OR(INDEX($AH$2:$AH$1001,MATCH(ROWS($AG$2:AG973),$AG$2:$AG$1001,0),1)&gt;=100000,INDEX($AN$1005:$BO$1005,1,MATCH(COLUMNS($AN$1006:BB1006),$AN$1006:$BO$1006,0))&gt;=100000), " ",IF(INDEX($AN$2:$BO$1001,MATCH(ROWS($AG$2:AG973),$AG$2:$AG$1001,0),MATCH(COLUMNS($AN$1006:BB1006),$AN$1006:$BO$1006,0)), HYPERLINK("#",""), HYPERLINK(CONCATENATE("#Metadata!", ADDRESS(INDEX($AI$2:$AI$1001,MATCH(ROWS($AG$2:AG973),$AG$2:$AG$1001,0),0), INDEX($AN$1004:$BO$1004,1,MATCH(COLUMNS($AN$1006:BB1006),$AN$1006:$BO$1006,0)))),"Fix")))</f>
        <v>0</v>
      </c>
      <c r="Q973" s="4">
        <f>IF(OR(INDEX($AH$2:$AH$1001,MATCH(ROWS($AG$2:AG973),$AG$2:$AG$1001,0),1)&gt;=100000,INDEX($AN$1005:$BO$1005,1,MATCH(COLUMNS($AN$1006:BC1006),$AN$1006:$BO$1006,0))&gt;=100000), " ",IF(INDEX($AN$2:$BO$1001,MATCH(ROWS($AG$2:AG973),$AG$2:$AG$1001,0),MATCH(COLUMNS($AN$1006:BC1006),$AN$1006:$BO$1006,0)), HYPERLINK("#",""), HYPERLINK(CONCATENATE("#Metadata!", ADDRESS(INDEX($AI$2:$AI$1001,MATCH(ROWS($AG$2:AG973),$AG$2:$AG$1001,0),0), INDEX($AN$1004:$BO$1004,1,MATCH(COLUMNS($AN$1006:BC1006),$AN$1006:$BO$1006,0)))),"Fix")))</f>
        <v>0</v>
      </c>
      <c r="R973" s="4">
        <f>IF(OR(INDEX($AH$2:$AH$1001,MATCH(ROWS($AG$2:AG973),$AG$2:$AG$1001,0),1)&gt;=100000,INDEX($AN$1005:$BO$1005,1,MATCH(COLUMNS($AN$1006:BD1006),$AN$1006:$BO$1006,0))&gt;=100000), " ",IF(INDEX($AN$2:$BO$1001,MATCH(ROWS($AG$2:AG973),$AG$2:$AG$1001,0),MATCH(COLUMNS($AN$1006:BD1006),$AN$1006:$BO$1006,0)), HYPERLINK("#",""), HYPERLINK(CONCATENATE("#Metadata!", ADDRESS(INDEX($AI$2:$AI$1001,MATCH(ROWS($AG$2:AG973),$AG$2:$AG$1001,0),0), INDEX($AN$1004:$BO$1004,1,MATCH(COLUMNS($AN$1006:BD1006),$AN$1006:$BO$1006,0)))),"Fix")))</f>
        <v>0</v>
      </c>
      <c r="S973" s="4">
        <f>IF(OR(INDEX($AH$2:$AH$1001,MATCH(ROWS($AG$2:AG973),$AG$2:$AG$1001,0),1)&gt;=100000,INDEX($AN$1005:$BO$1005,1,MATCH(COLUMNS($AN$1006:BE1006),$AN$1006:$BO$1006,0))&gt;=100000), " ",IF(INDEX($AN$2:$BO$1001,MATCH(ROWS($AG$2:AG973),$AG$2:$AG$1001,0),MATCH(COLUMNS($AN$1006:BE1006),$AN$1006:$BO$1006,0)), HYPERLINK("#",""), HYPERLINK(CONCATENATE("#Metadata!", ADDRESS(INDEX($AI$2:$AI$1001,MATCH(ROWS($AG$2:AG973),$AG$2:$AG$1001,0),0), INDEX($AN$1004:$BO$1004,1,MATCH(COLUMNS($AN$1006:BE1006),$AN$1006:$BO$1006,0)))),"Fix")))</f>
        <v>0</v>
      </c>
      <c r="T973" s="4">
        <f>IF(OR(INDEX($AH$2:$AH$1001,MATCH(ROWS($AG$2:AG973),$AG$2:$AG$1001,0),1)&gt;=100000,INDEX($AN$1005:$BO$1005,1,MATCH(COLUMNS($AN$1006:BF1006),$AN$1006:$BO$1006,0))&gt;=100000), " ",IF(INDEX($AN$2:$BO$1001,MATCH(ROWS($AG$2:AG973),$AG$2:$AG$1001,0),MATCH(COLUMNS($AN$1006:BF1006),$AN$1006:$BO$1006,0)), HYPERLINK("#",""), HYPERLINK(CONCATENATE("#Metadata!", ADDRESS(INDEX($AI$2:$AI$1001,MATCH(ROWS($AG$2:AG973),$AG$2:$AG$1001,0),0), INDEX($AN$1004:$BO$1004,1,MATCH(COLUMNS($AN$1006:BF1006),$AN$1006:$BO$1006,0)))),"Fix")))</f>
        <v>0</v>
      </c>
      <c r="U973" s="4">
        <f>IF(OR(INDEX($AH$2:$AH$1001,MATCH(ROWS($AG$2:AG973),$AG$2:$AG$1001,0),1)&gt;=100000,INDEX($AN$1005:$BO$1005,1,MATCH(COLUMNS($AN$1006:BG1006),$AN$1006:$BO$1006,0))&gt;=100000), " ",IF(INDEX($AN$2:$BO$1001,MATCH(ROWS($AG$2:AG973),$AG$2:$AG$1001,0),MATCH(COLUMNS($AN$1006:BG1006),$AN$1006:$BO$1006,0)), HYPERLINK("#",""), HYPERLINK(CONCATENATE("#Metadata!", ADDRESS(INDEX($AI$2:$AI$1001,MATCH(ROWS($AG$2:AG973),$AG$2:$AG$1001,0),0), INDEX($AN$1004:$BO$1004,1,MATCH(COLUMNS($AN$1006:BG1006),$AN$1006:$BO$1006,0)))),"Fix")))</f>
        <v>0</v>
      </c>
      <c r="V973" s="4">
        <f>IF(OR(INDEX($AH$2:$AH$1001,MATCH(ROWS($AG$2:AG973),$AG$2:$AG$1001,0),1)&gt;=100000,INDEX($AN$1005:$BO$1005,1,MATCH(COLUMNS($AN$1006:BH1006),$AN$1006:$BO$1006,0))&gt;=100000), " ",IF(INDEX($AN$2:$BO$1001,MATCH(ROWS($AG$2:AG973),$AG$2:$AG$1001,0),MATCH(COLUMNS($AN$1006:BH1006),$AN$1006:$BO$1006,0)), HYPERLINK("#",""), HYPERLINK(CONCATENATE("#Metadata!", ADDRESS(INDEX($AI$2:$AI$1001,MATCH(ROWS($AG$2:AG973),$AG$2:$AG$1001,0),0), INDEX($AN$1004:$BO$1004,1,MATCH(COLUMNS($AN$1006:BH1006),$AN$1006:$BO$1006,0)))),"Fix")))</f>
        <v>0</v>
      </c>
      <c r="W973" s="4">
        <f>IF(OR(INDEX($AH$2:$AH$1001,MATCH(ROWS($AG$2:AG973),$AG$2:$AG$1001,0),1)&gt;=100000,INDEX($AN$1005:$BO$1005,1,MATCH(COLUMNS($AN$1006:BI1006),$AN$1006:$BO$1006,0))&gt;=100000), " ",IF(INDEX($AN$2:$BO$1001,MATCH(ROWS($AG$2:AG973),$AG$2:$AG$1001,0),MATCH(COLUMNS($AN$1006:BI1006),$AN$1006:$BO$1006,0)), HYPERLINK("#",""), HYPERLINK(CONCATENATE("#Metadata!", ADDRESS(INDEX($AI$2:$AI$1001,MATCH(ROWS($AG$2:AG973),$AG$2:$AG$1001,0),0), INDEX($AN$1004:$BO$1004,1,MATCH(COLUMNS($AN$1006:BI1006),$AN$1006:$BO$1006,0)))),"Fix")))</f>
        <v>0</v>
      </c>
      <c r="X973" s="4">
        <f>IF(OR(INDEX($AH$2:$AH$1001,MATCH(ROWS($AG$2:AG973),$AG$2:$AG$1001,0),1)&gt;=100000,INDEX($AN$1005:$BO$1005,1,MATCH(COLUMNS($AN$1006:BJ1006),$AN$1006:$BO$1006,0))&gt;=100000), " ",IF(INDEX($AN$2:$BO$1001,MATCH(ROWS($AG$2:AG973),$AG$2:$AG$1001,0),MATCH(COLUMNS($AN$1006:BJ1006),$AN$1006:$BO$1006,0)), HYPERLINK("#",""), HYPERLINK(CONCATENATE("#Metadata!", ADDRESS(INDEX($AI$2:$AI$1001,MATCH(ROWS($AG$2:AG973),$AG$2:$AG$1001,0),0), INDEX($AN$1004:$BO$1004,1,MATCH(COLUMNS($AN$1006:BJ1006),$AN$1006:$BO$1006,0)))),"Fix")))</f>
        <v>0</v>
      </c>
      <c r="Y973" s="4">
        <f>IF(OR(INDEX($AH$2:$AH$1001,MATCH(ROWS($AG$2:AG973),$AG$2:$AG$1001,0),1)&gt;=100000,INDEX($AN$1005:$BO$1005,1,MATCH(COLUMNS($AN$1006:BK1006),$AN$1006:$BO$1006,0))&gt;=100000), " ",IF(INDEX($AN$2:$BO$1001,MATCH(ROWS($AG$2:AG973),$AG$2:$AG$1001,0),MATCH(COLUMNS($AN$1006:BK1006),$AN$1006:$BO$1006,0)), HYPERLINK("#",""), HYPERLINK(CONCATENATE("#Metadata!", ADDRESS(INDEX($AI$2:$AI$1001,MATCH(ROWS($AG$2:AG973),$AG$2:$AG$1001,0),0), INDEX($AN$1004:$BO$1004,1,MATCH(COLUMNS($AN$1006:BK1006),$AN$1006:$BO$1006,0)))),"Fix")))</f>
        <v>0</v>
      </c>
      <c r="Z973" s="4">
        <f>IF(OR(INDEX($AH$2:$AH$1001,MATCH(ROWS($AG$2:AG973),$AG$2:$AG$1001,0),1)&gt;=100000,INDEX($AN$1005:$BO$1005,1,MATCH(COLUMNS($AN$1006:BL1006),$AN$1006:$BO$1006,0))&gt;=100000), " ",IF(INDEX($AN$2:$BO$1001,MATCH(ROWS($AG$2:AG973),$AG$2:$AG$1001,0),MATCH(COLUMNS($AN$1006:BL1006),$AN$1006:$BO$1006,0)), HYPERLINK("#",""), HYPERLINK(CONCATENATE("#Metadata!", ADDRESS(INDEX($AI$2:$AI$1001,MATCH(ROWS($AG$2:AG973),$AG$2:$AG$1001,0),0), INDEX($AN$1004:$BO$1004,1,MATCH(COLUMNS($AN$1006:BL1006),$AN$1006:$BO$1006,0)))),"Fix")))</f>
        <v>0</v>
      </c>
      <c r="AA973" s="4">
        <f>IF(OR(INDEX($AH$2:$AH$1001,MATCH(ROWS($AG$2:AG973),$AG$2:$AG$1001,0),1)&gt;=100000,INDEX($AN$1005:$BO$1005,1,MATCH(COLUMNS($AN$1006:BM1006),$AN$1006:$BO$1006,0))&gt;=100000), " ",IF(INDEX($AN$2:$BO$1001,MATCH(ROWS($AG$2:AG973),$AG$2:$AG$1001,0),MATCH(COLUMNS($AN$1006:BM1006),$AN$1006:$BO$1006,0)), HYPERLINK("#",""), HYPERLINK(CONCATENATE("#Metadata!", ADDRESS(INDEX($AI$2:$AI$1001,MATCH(ROWS($AG$2:AG973),$AG$2:$AG$1001,0),0), INDEX($AN$1004:$BO$1004,1,MATCH(COLUMNS($AN$1006:BM1006),$AN$1006:$BO$1006,0)))),"Fix")))</f>
        <v>0</v>
      </c>
      <c r="AB973" s="4">
        <f>IF(OR(INDEX($AH$2:$AH$1001,MATCH(ROWS($AG$2:AG973),$AG$2:$AG$1001,0),1)&gt;=100000,INDEX($AN$1005:$BO$1005,1,MATCH(COLUMNS($AN$1006:BN1006),$AN$1006:$BO$1006,0))&gt;=100000), " ",IF(INDEX($AN$2:$BO$1001,MATCH(ROWS($AG$2:AG973),$AG$2:$AG$1001,0),MATCH(COLUMNS($AN$1006:BN1006),$AN$1006:$BO$1006,0)), HYPERLINK("#",""), HYPERLINK(CONCATENATE("#Metadata!", ADDRESS(INDEX($AI$2:$AI$1001,MATCH(ROWS($AG$2:AG973),$AG$2:$AG$1001,0),0), INDEX($AN$1004:$BO$1004,1,MATCH(COLUMNS($AN$1006:BN1006),$AN$1006:$BO$1006,0)))),"Fix")))</f>
        <v>0</v>
      </c>
      <c r="AC973" s="4">
        <f>IF(OR(INDEX($AH$2:$AH$1001,MATCH(ROWS($AG$2:AG973),$AG$2:$AG$1001,0),1)&gt;=100000,INDEX($AN$1005:$BO$1005,1,MATCH(COLUMNS($AN$1006:BO1006),$AN$1006:$BO$1006,0))&gt;=100000), " ",IF(INDEX($AN$2:$BO$1001,MATCH(ROWS($AG$2:AG973),$AG$2:$AG$1001,0),MATCH(COLUMNS($AN$1006:BO1006),$AN$1006:$BO$1006,0)), HYPERLINK("#",""), HYPERLINK(CONCATENATE("#Metadata!", ADDRESS(INDEX($AI$2:$AI$1001,MATCH(ROWS($AG$2:AG973),$AG$2:$AG$1001,0),0), INDEX($AN$1004:$BO$1004,1,MATCH(COLUMNS($AN$1006:BO1006),$AN$1006:$BO$1006,0)))),"Fix")))</f>
        <v>0</v>
      </c>
      <c r="AG973">
        <v>0</v>
      </c>
      <c r="AH973">
        <v>0</v>
      </c>
      <c r="AI973">
        <v>0</v>
      </c>
      <c r="AJ973">
        <f>IF(AK973,TRUE,AND(AN973:BO973))</f>
        <v>0</v>
      </c>
      <c r="AK973">
        <f>COUNTBLANK(Metadata!B973:AC973)=COLUMNS(Metadata!B973:AC973)</f>
        <v>0</v>
      </c>
      <c r="AL973">
        <v>0</v>
      </c>
      <c r="AN973">
        <f>AND(IF(Metadata!B973="",FALSE,TRUE),COUNTIF(Metadata!B:B, Metadata!B973) = 1,NOT(ISERROR(SUMPRODUCT(SEARCH(MID(Metadata!B973,ROW(INDIRECT("1:"&amp;LEN(Metadata!B973))), 1),"0123456789abcdefghijklmnopqrstuvwxyzABCDEFGHIJKLMNOPQRSTUVWXYZ.")))))</f>
        <v>0</v>
      </c>
      <c r="AO973">
        <f>IF(Metadata!C973="",FALSE,TRUE)</f>
        <v>0</v>
      </c>
      <c r="AP973">
        <f>IF(Metadata!D973="",FALSE,TRUE)</f>
        <v>0</v>
      </c>
      <c r="AQ973">
        <f>OR(AND(IF(Metadata!E973="",FALSE,TRUE),OR(exact(Metadata!E973,"not collected"),exact(Metadata!E973,"not provided"),exact(Metadata!E973,"restricted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R973">
        <f>IF(Metadata!F973="",FALSE,TRUE)</f>
        <v>0</v>
      </c>
      <c r="AS973">
        <f>OR(AND(IF(Metadata!G973="",FALSE,TRUE),OR(exact(Metadata!G973,"not collected"),exact(Metadata!G973,"not provided"))),AND(IF(Metadata!G973="",FALSE,TRUE),OR(exact(Metadata!G973,"TRUE"),exact(Metadata!G973,"FALSE"))))</f>
        <v>0</v>
      </c>
      <c r="AT973">
        <f>OR(AND(IF(Metadata!H973="",FALSE,TRUE),OR(exact(Metadata!H973,"not collected"),exact(Metadata!H973,"not provided"),exact(Metadata!H973,"restricted access"))),AND(IF(Metadata!H973="",FALSE,ISNUMBER(VALUE(Metadata!H973))),Metadata!H973&gt;=-413.0))</f>
        <v>0</v>
      </c>
      <c r="AU973">
        <f>AND(IF(Metadata!I973="",FALSE,TRUE),exact(Metadata!I973,"meters"))</f>
        <v>0</v>
      </c>
      <c r="AV973">
        <f>AND(IF(Metadata!J973="",FALSE,TRUE),OR(exact(Metadata!J973,"Host-associated"),exact(Metadata!J973,"Free-living")))</f>
        <v>0</v>
      </c>
      <c r="AW973">
        <f>AND(IF(Metadata!K973="",FALSE,TRUE),OR(exact(Metadata!K973,"Animal"),exact(Metadata!K973,"Fungus"),exact(Metadata!K973,"Plant"),exact(Metadata!K973,"Saline"),exact(Metadata!K973,"Non-saline")))</f>
        <v>0</v>
      </c>
      <c r="AX973">
        <f>AND(IF(Metadata!L973="",FALSE,TRUE),OR(exact(Metadata!L973,"Plant secretion"),exact(Metadata!L973,"Plant rhizosphere"),exact(Metadata!L973,"Plant surface"),exact(Metadata!L973,"Plant corpus"),exact(Metadata!L973,"Fungus surface"),exact(Metadata!L973,"Fungus corpus"),exact(Metadata!L973,"Animal surface"),exact(Metadata!L973,"Animal proximal gut"),exact(Metadata!L973,"Animal corpus"),exact(Metadata!L973,"Animal distal gut"),exact(Metadata!L973,"Animal secretion"),exact(Metadata!L973,"Sub-surface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Y973">
        <f>IF(Metadata!M973="",FALSE,TRUE)</f>
        <v>0</v>
      </c>
      <c r="AZ973">
        <f>IF(Metadata!N973="",FALSE,TRUE)</f>
        <v>0</v>
      </c>
      <c r="BA973">
        <f>IF(Metadata!O973="",FALSE,TRUE)</f>
        <v>0</v>
      </c>
      <c r="BB973">
        <f>OR(AND(IF(Metadata!P973="",FALSE,TRUE),OR(exact(Metadata!P973,"not collected"),exact(Metadata!P973,"not provided"),exact(Metadata!P973,"restricted access"))),AND(IF(Metadata!P973="",FALSE,TRUE),OR(exact(Metadata!P973,"air"),exact(Metadata!P973,"built environment"),exact(Metadata!P973,"host-associated"),exact(Metadata!P973,"human-associated"),exact(Metadata!P973,"human-skin"),exact(Metadata!P973,"human-oral"),exact(Metadata!P973,"human-gut"),exact(Metadata!P973,"human-vaginal"),exact(Metadata!P973,"microbial mat/biofilm"),exact(Metadata!P973,"misc environment"),exact(Metadata!P973,"plant-associated"),exact(Metadata!P973,"sediment"),exact(Metadata!P973,"soil"),exact(Metadata!P973,"wastewater/sludge"),exact(Metadata!P973,"water"))))</f>
        <v>0</v>
      </c>
      <c r="BC973">
        <f>IF(Metadata!Q973="",FALSE,TRUE)</f>
        <v>0</v>
      </c>
      <c r="BD973">
        <f>IF(Metadata!R973="",FALSE,TRUE)</f>
        <v>0</v>
      </c>
      <c r="BE973">
        <f>OR(AND(IF(Metadata!S973="",FALSE,TRUE),OR(exact(Metadata!S973,"not collected"),exact(Metadata!S973,"not provided"),exact(Metadata!S973,"restricted access"))),AND(IF(Metadata!S973="",FALSE,ISNUMBER(VALUE(Metadata!S973))),Metadata!S973&gt;=-90.00,Metadata!S973&lt;=90.00))</f>
        <v>0</v>
      </c>
      <c r="BF973">
        <f>AND(IF(Metadata!T973="",FALSE,TRUE),exact(Metadata!T973,"Decimal degrees"))</f>
        <v>0</v>
      </c>
      <c r="BG973">
        <f>OR(AND(IF(Metadata!U973="",FALSE,TRUE),OR(exact(Metadata!U973,"not collected"),exact(Metadata!U973,"not provided"),exact(Metadata!U973,"restricted access"))),AND(IF(Metadata!U973="",FALSE,ISNUMBER(VALUE(Metadata!U973))),Metadata!U973&gt;=-180.00,Metadata!U973&lt;=180.00))</f>
        <v>0</v>
      </c>
      <c r="BH973">
        <f>AND(IF(Metadata!V973="",FALSE,TRUE),exact(Metadata!V973,"Decimal degrees"))</f>
        <v>0</v>
      </c>
      <c r="BI973">
        <f>IF(Metadata!W973="",FALSE,TRUE)</f>
        <v>0</v>
      </c>
      <c r="BJ973">
        <f>OR(AND(IF(Metadata!X973="",FALSE,TRUE),OR(exact(Metadata!X973,"not collected"),exact(Metadata!X973,"not provided"),exact(Metadata!X973,"restricted access"))),AND(IF(Metadata!X973="",FALSE,TRUE),OR(exact(Metadata!X973,"TRUE"),exact(Metadata!X973,"FALSE"))))</f>
        <v>0</v>
      </c>
      <c r="BK973">
        <f>AND(IF(Metadata!Y973="",FALSE,TRUE),exact(Metadata!Y973,"other"))</f>
        <v>0</v>
      </c>
      <c r="BL973">
        <f>IF(Metadata!Z973="",FALSE,TRUE)</f>
        <v>0</v>
      </c>
      <c r="BM973">
        <f>OR(AND(IF(Metadata!AA973="",FALSE,TRUE),OR(exact(Metadata!AA973,"not collected"),exact(Metadata!AA973,"not provided"))),AND(IF(Metadata!AA973="",FALSE,IF(ISERROR(INT(Metadata!AA973)),FALSE,INT(Metadata!AA973)=Metadata!AA973)),Metadata!AA973&gt;0))</f>
        <v>0</v>
      </c>
      <c r="BN973">
        <f>AND(IF(Metadata!AB973="",FALSE,TRUE),exact(Metadata!AB973,"Not applicable"))</f>
        <v>0</v>
      </c>
      <c r="BO973">
        <f>IF(Metadata!AC973="",FALSE,TRUE)</f>
        <v>0</v>
      </c>
    </row>
    <row r="974" spans="1:67">
      <c r="A974" s="5">
        <f>IF(B974=" "," ",HYPERLINK(CONCATENATE("#metadata!",ADDRESS(INDEX($AI$2:$AI$1001,MATCH(ROWS($AG$2:AG974),$AG$2:$AG$1001,0),0),1)),INDEX($AL$2:$AL$1001,MATCH(ROWS($AG$2:AG974),$AG$2:$AG$1001,0),0)))</f>
        <v>0</v>
      </c>
      <c r="B974" s="4">
        <f>IF(OR(INDEX($AH$2:$AH$1001,MATCH(ROWS($AG$2:AG974),$AG$2:$AG$1001,0),1)&gt;=100000,INDEX($AN$1005:$BO$1005,1,MATCH(COLUMNS($AN$1006:AN1006),$AN$1006:$BO$1006,0))&gt;=100000), " ",IF(INDEX($AN$2:$BO$1001,MATCH(ROWS($AG$2:AG974),$AG$2:$AG$1001,0),MATCH(COLUMNS($AN$1006:AN1006),$AN$1006:$BO$1006,0)), HYPERLINK("#",""), HYPERLINK(CONCATENATE("#Metadata!", ADDRESS(INDEX($AI$2:$AI$1001,MATCH(ROWS($AG$2:AG974),$AG$2:$AG$1001,0),0), INDEX($AN$1004:$BO$1004,1,MATCH(COLUMNS($AN$1006:AN1006),$AN$1006:$BO$1006,0)))),"Fix")))</f>
        <v>0</v>
      </c>
      <c r="C974" s="4">
        <f>IF(OR(INDEX($AH$2:$AH$1001,MATCH(ROWS($AG$2:AG974),$AG$2:$AG$1001,0),1)&gt;=100000,INDEX($AN$1005:$BO$1005,1,MATCH(COLUMNS($AN$1006:AO1006),$AN$1006:$BO$1006,0))&gt;=100000), " ",IF(INDEX($AN$2:$BO$1001,MATCH(ROWS($AG$2:AG974),$AG$2:$AG$1001,0),MATCH(COLUMNS($AN$1006:AO1006),$AN$1006:$BO$1006,0)), HYPERLINK("#",""), HYPERLINK(CONCATENATE("#Metadata!", ADDRESS(INDEX($AI$2:$AI$1001,MATCH(ROWS($AG$2:AG974),$AG$2:$AG$1001,0),0), INDEX($AN$1004:$BO$1004,1,MATCH(COLUMNS($AN$1006:AO1006),$AN$1006:$BO$1006,0)))),"Fix")))</f>
        <v>0</v>
      </c>
      <c r="D974" s="4">
        <f>IF(OR(INDEX($AH$2:$AH$1001,MATCH(ROWS($AG$2:AG974),$AG$2:$AG$1001,0),1)&gt;=100000,INDEX($AN$1005:$BO$1005,1,MATCH(COLUMNS($AN$1006:AP1006),$AN$1006:$BO$1006,0))&gt;=100000), " ",IF(INDEX($AN$2:$BO$1001,MATCH(ROWS($AG$2:AG974),$AG$2:$AG$1001,0),MATCH(COLUMNS($AN$1006:AP1006),$AN$1006:$BO$1006,0)), HYPERLINK("#",""), HYPERLINK(CONCATENATE("#Metadata!", ADDRESS(INDEX($AI$2:$AI$1001,MATCH(ROWS($AG$2:AG974),$AG$2:$AG$1001,0),0), INDEX($AN$1004:$BO$1004,1,MATCH(COLUMNS($AN$1006:AP1006),$AN$1006:$BO$1006,0)))),"Fix")))</f>
        <v>0</v>
      </c>
      <c r="E974" s="4">
        <f>IF(OR(INDEX($AH$2:$AH$1001,MATCH(ROWS($AG$2:AG974),$AG$2:$AG$1001,0),1)&gt;=100000,INDEX($AN$1005:$BO$1005,1,MATCH(COLUMNS($AN$1006:AQ1006),$AN$1006:$BO$1006,0))&gt;=100000), " ",IF(INDEX($AN$2:$BO$1001,MATCH(ROWS($AG$2:AG974),$AG$2:$AG$1001,0),MATCH(COLUMNS($AN$1006:AQ1006),$AN$1006:$BO$1006,0)), HYPERLINK("#",""), HYPERLINK(CONCATENATE("#Metadata!", ADDRESS(INDEX($AI$2:$AI$1001,MATCH(ROWS($AG$2:AG974),$AG$2:$AG$1001,0),0), INDEX($AN$1004:$BO$1004,1,MATCH(COLUMNS($AN$1006:AQ1006),$AN$1006:$BO$1006,0)))),"Fix")))</f>
        <v>0</v>
      </c>
      <c r="F974" s="4">
        <f>IF(OR(INDEX($AH$2:$AH$1001,MATCH(ROWS($AG$2:AG974),$AG$2:$AG$1001,0),1)&gt;=100000,INDEX($AN$1005:$BO$1005,1,MATCH(COLUMNS($AN$1006:AR1006),$AN$1006:$BO$1006,0))&gt;=100000), " ",IF(INDEX($AN$2:$BO$1001,MATCH(ROWS($AG$2:AG974),$AG$2:$AG$1001,0),MATCH(COLUMNS($AN$1006:AR1006),$AN$1006:$BO$1006,0)), HYPERLINK("#",""), HYPERLINK(CONCATENATE("#Metadata!", ADDRESS(INDEX($AI$2:$AI$1001,MATCH(ROWS($AG$2:AG974),$AG$2:$AG$1001,0),0), INDEX($AN$1004:$BO$1004,1,MATCH(COLUMNS($AN$1006:AR1006),$AN$1006:$BO$1006,0)))),"Fix")))</f>
        <v>0</v>
      </c>
      <c r="G974" s="4">
        <f>IF(OR(INDEX($AH$2:$AH$1001,MATCH(ROWS($AG$2:AG974),$AG$2:$AG$1001,0),1)&gt;=100000,INDEX($AN$1005:$BO$1005,1,MATCH(COLUMNS($AN$1006:AS1006),$AN$1006:$BO$1006,0))&gt;=100000), " ",IF(INDEX($AN$2:$BO$1001,MATCH(ROWS($AG$2:AG974),$AG$2:$AG$1001,0),MATCH(COLUMNS($AN$1006:AS1006),$AN$1006:$BO$1006,0)), HYPERLINK("#",""), HYPERLINK(CONCATENATE("#Metadata!", ADDRESS(INDEX($AI$2:$AI$1001,MATCH(ROWS($AG$2:AG974),$AG$2:$AG$1001,0),0), INDEX($AN$1004:$BO$1004,1,MATCH(COLUMNS($AN$1006:AS1006),$AN$1006:$BO$1006,0)))),"Fix")))</f>
        <v>0</v>
      </c>
      <c r="H974" s="4">
        <f>IF(OR(INDEX($AH$2:$AH$1001,MATCH(ROWS($AG$2:AG974),$AG$2:$AG$1001,0),1)&gt;=100000,INDEX($AN$1005:$BO$1005,1,MATCH(COLUMNS($AN$1006:AT1006),$AN$1006:$BO$1006,0))&gt;=100000), " ",IF(INDEX($AN$2:$BO$1001,MATCH(ROWS($AG$2:AG974),$AG$2:$AG$1001,0),MATCH(COLUMNS($AN$1006:AT1006),$AN$1006:$BO$1006,0)), HYPERLINK("#",""), HYPERLINK(CONCATENATE("#Metadata!", ADDRESS(INDEX($AI$2:$AI$1001,MATCH(ROWS($AG$2:AG974),$AG$2:$AG$1001,0),0), INDEX($AN$1004:$BO$1004,1,MATCH(COLUMNS($AN$1006:AT1006),$AN$1006:$BO$1006,0)))),"Fix")))</f>
        <v>0</v>
      </c>
      <c r="I974" s="4">
        <f>IF(OR(INDEX($AH$2:$AH$1001,MATCH(ROWS($AG$2:AG974),$AG$2:$AG$1001,0),1)&gt;=100000,INDEX($AN$1005:$BO$1005,1,MATCH(COLUMNS($AN$1006:AU1006),$AN$1006:$BO$1006,0))&gt;=100000), " ",IF(INDEX($AN$2:$BO$1001,MATCH(ROWS($AG$2:AG974),$AG$2:$AG$1001,0),MATCH(COLUMNS($AN$1006:AU1006),$AN$1006:$BO$1006,0)), HYPERLINK("#",""), HYPERLINK(CONCATENATE("#Metadata!", ADDRESS(INDEX($AI$2:$AI$1001,MATCH(ROWS($AG$2:AG974),$AG$2:$AG$1001,0),0), INDEX($AN$1004:$BO$1004,1,MATCH(COLUMNS($AN$1006:AU1006),$AN$1006:$BO$1006,0)))),"Fix")))</f>
        <v>0</v>
      </c>
      <c r="J974" s="4">
        <f>IF(OR(INDEX($AH$2:$AH$1001,MATCH(ROWS($AG$2:AG974),$AG$2:$AG$1001,0),1)&gt;=100000,INDEX($AN$1005:$BO$1005,1,MATCH(COLUMNS($AN$1006:AV1006),$AN$1006:$BO$1006,0))&gt;=100000), " ",IF(INDEX($AN$2:$BO$1001,MATCH(ROWS($AG$2:AG974),$AG$2:$AG$1001,0),MATCH(COLUMNS($AN$1006:AV1006),$AN$1006:$BO$1006,0)), HYPERLINK("#",""), HYPERLINK(CONCATENATE("#Metadata!", ADDRESS(INDEX($AI$2:$AI$1001,MATCH(ROWS($AG$2:AG974),$AG$2:$AG$1001,0),0), INDEX($AN$1004:$BO$1004,1,MATCH(COLUMNS($AN$1006:AV1006),$AN$1006:$BO$1006,0)))),"Fix")))</f>
        <v>0</v>
      </c>
      <c r="K974" s="4">
        <f>IF(OR(INDEX($AH$2:$AH$1001,MATCH(ROWS($AG$2:AG974),$AG$2:$AG$1001,0),1)&gt;=100000,INDEX($AN$1005:$BO$1005,1,MATCH(COLUMNS($AN$1006:AW1006),$AN$1006:$BO$1006,0))&gt;=100000), " ",IF(INDEX($AN$2:$BO$1001,MATCH(ROWS($AG$2:AG974),$AG$2:$AG$1001,0),MATCH(COLUMNS($AN$1006:AW1006),$AN$1006:$BO$1006,0)), HYPERLINK("#",""), HYPERLINK(CONCATENATE("#Metadata!", ADDRESS(INDEX($AI$2:$AI$1001,MATCH(ROWS($AG$2:AG974),$AG$2:$AG$1001,0),0), INDEX($AN$1004:$BO$1004,1,MATCH(COLUMNS($AN$1006:AW1006),$AN$1006:$BO$1006,0)))),"Fix")))</f>
        <v>0</v>
      </c>
      <c r="L974" s="4">
        <f>IF(OR(INDEX($AH$2:$AH$1001,MATCH(ROWS($AG$2:AG974),$AG$2:$AG$1001,0),1)&gt;=100000,INDEX($AN$1005:$BO$1005,1,MATCH(COLUMNS($AN$1006:AX1006),$AN$1006:$BO$1006,0))&gt;=100000), " ",IF(INDEX($AN$2:$BO$1001,MATCH(ROWS($AG$2:AG974),$AG$2:$AG$1001,0),MATCH(COLUMNS($AN$1006:AX1006),$AN$1006:$BO$1006,0)), HYPERLINK("#",""), HYPERLINK(CONCATENATE("#Metadata!", ADDRESS(INDEX($AI$2:$AI$1001,MATCH(ROWS($AG$2:AG974),$AG$2:$AG$1001,0),0), INDEX($AN$1004:$BO$1004,1,MATCH(COLUMNS($AN$1006:AX1006),$AN$1006:$BO$1006,0)))),"Fix")))</f>
        <v>0</v>
      </c>
      <c r="M974" s="4">
        <f>IF(OR(INDEX($AH$2:$AH$1001,MATCH(ROWS($AG$2:AG974),$AG$2:$AG$1001,0),1)&gt;=100000,INDEX($AN$1005:$BO$1005,1,MATCH(COLUMNS($AN$1006:AY1006),$AN$1006:$BO$1006,0))&gt;=100000), " ",IF(INDEX($AN$2:$BO$1001,MATCH(ROWS($AG$2:AG974),$AG$2:$AG$1001,0),MATCH(COLUMNS($AN$1006:AY1006),$AN$1006:$BO$1006,0)), HYPERLINK("#",""), HYPERLINK(CONCATENATE("#Metadata!", ADDRESS(INDEX($AI$2:$AI$1001,MATCH(ROWS($AG$2:AG974),$AG$2:$AG$1001,0),0), INDEX($AN$1004:$BO$1004,1,MATCH(COLUMNS($AN$1006:AY1006),$AN$1006:$BO$1006,0)))),"Fix")))</f>
        <v>0</v>
      </c>
      <c r="N974" s="4">
        <f>IF(OR(INDEX($AH$2:$AH$1001,MATCH(ROWS($AG$2:AG974),$AG$2:$AG$1001,0),1)&gt;=100000,INDEX($AN$1005:$BO$1005,1,MATCH(COLUMNS($AN$1006:AZ1006),$AN$1006:$BO$1006,0))&gt;=100000), " ",IF(INDEX($AN$2:$BO$1001,MATCH(ROWS($AG$2:AG974),$AG$2:$AG$1001,0),MATCH(COLUMNS($AN$1006:AZ1006),$AN$1006:$BO$1006,0)), HYPERLINK("#",""), HYPERLINK(CONCATENATE("#Metadata!", ADDRESS(INDEX($AI$2:$AI$1001,MATCH(ROWS($AG$2:AG974),$AG$2:$AG$1001,0),0), INDEX($AN$1004:$BO$1004,1,MATCH(COLUMNS($AN$1006:AZ1006),$AN$1006:$BO$1006,0)))),"Fix")))</f>
        <v>0</v>
      </c>
      <c r="O974" s="4">
        <f>IF(OR(INDEX($AH$2:$AH$1001,MATCH(ROWS($AG$2:AG974),$AG$2:$AG$1001,0),1)&gt;=100000,INDEX($AN$1005:$BO$1005,1,MATCH(COLUMNS($AN$1006:BA1006),$AN$1006:$BO$1006,0))&gt;=100000), " ",IF(INDEX($AN$2:$BO$1001,MATCH(ROWS($AG$2:AG974),$AG$2:$AG$1001,0),MATCH(COLUMNS($AN$1006:BA1006),$AN$1006:$BO$1006,0)), HYPERLINK("#",""), HYPERLINK(CONCATENATE("#Metadata!", ADDRESS(INDEX($AI$2:$AI$1001,MATCH(ROWS($AG$2:AG974),$AG$2:$AG$1001,0),0), INDEX($AN$1004:$BO$1004,1,MATCH(COLUMNS($AN$1006:BA1006),$AN$1006:$BO$1006,0)))),"Fix")))</f>
        <v>0</v>
      </c>
      <c r="P974" s="4">
        <f>IF(OR(INDEX($AH$2:$AH$1001,MATCH(ROWS($AG$2:AG974),$AG$2:$AG$1001,0),1)&gt;=100000,INDEX($AN$1005:$BO$1005,1,MATCH(COLUMNS($AN$1006:BB1006),$AN$1006:$BO$1006,0))&gt;=100000), " ",IF(INDEX($AN$2:$BO$1001,MATCH(ROWS($AG$2:AG974),$AG$2:$AG$1001,0),MATCH(COLUMNS($AN$1006:BB1006),$AN$1006:$BO$1006,0)), HYPERLINK("#",""), HYPERLINK(CONCATENATE("#Metadata!", ADDRESS(INDEX($AI$2:$AI$1001,MATCH(ROWS($AG$2:AG974),$AG$2:$AG$1001,0),0), INDEX($AN$1004:$BO$1004,1,MATCH(COLUMNS($AN$1006:BB1006),$AN$1006:$BO$1006,0)))),"Fix")))</f>
        <v>0</v>
      </c>
      <c r="Q974" s="4">
        <f>IF(OR(INDEX($AH$2:$AH$1001,MATCH(ROWS($AG$2:AG974),$AG$2:$AG$1001,0),1)&gt;=100000,INDEX($AN$1005:$BO$1005,1,MATCH(COLUMNS($AN$1006:BC1006),$AN$1006:$BO$1006,0))&gt;=100000), " ",IF(INDEX($AN$2:$BO$1001,MATCH(ROWS($AG$2:AG974),$AG$2:$AG$1001,0),MATCH(COLUMNS($AN$1006:BC1006),$AN$1006:$BO$1006,0)), HYPERLINK("#",""), HYPERLINK(CONCATENATE("#Metadata!", ADDRESS(INDEX($AI$2:$AI$1001,MATCH(ROWS($AG$2:AG974),$AG$2:$AG$1001,0),0), INDEX($AN$1004:$BO$1004,1,MATCH(COLUMNS($AN$1006:BC1006),$AN$1006:$BO$1006,0)))),"Fix")))</f>
        <v>0</v>
      </c>
      <c r="R974" s="4">
        <f>IF(OR(INDEX($AH$2:$AH$1001,MATCH(ROWS($AG$2:AG974),$AG$2:$AG$1001,0),1)&gt;=100000,INDEX($AN$1005:$BO$1005,1,MATCH(COLUMNS($AN$1006:BD1006),$AN$1006:$BO$1006,0))&gt;=100000), " ",IF(INDEX($AN$2:$BO$1001,MATCH(ROWS($AG$2:AG974),$AG$2:$AG$1001,0),MATCH(COLUMNS($AN$1006:BD1006),$AN$1006:$BO$1006,0)), HYPERLINK("#",""), HYPERLINK(CONCATENATE("#Metadata!", ADDRESS(INDEX($AI$2:$AI$1001,MATCH(ROWS($AG$2:AG974),$AG$2:$AG$1001,0),0), INDEX($AN$1004:$BO$1004,1,MATCH(COLUMNS($AN$1006:BD1006),$AN$1006:$BO$1006,0)))),"Fix")))</f>
        <v>0</v>
      </c>
      <c r="S974" s="4">
        <f>IF(OR(INDEX($AH$2:$AH$1001,MATCH(ROWS($AG$2:AG974),$AG$2:$AG$1001,0),1)&gt;=100000,INDEX($AN$1005:$BO$1005,1,MATCH(COLUMNS($AN$1006:BE1006),$AN$1006:$BO$1006,0))&gt;=100000), " ",IF(INDEX($AN$2:$BO$1001,MATCH(ROWS($AG$2:AG974),$AG$2:$AG$1001,0),MATCH(COLUMNS($AN$1006:BE1006),$AN$1006:$BO$1006,0)), HYPERLINK("#",""), HYPERLINK(CONCATENATE("#Metadata!", ADDRESS(INDEX($AI$2:$AI$1001,MATCH(ROWS($AG$2:AG974),$AG$2:$AG$1001,0),0), INDEX($AN$1004:$BO$1004,1,MATCH(COLUMNS($AN$1006:BE1006),$AN$1006:$BO$1006,0)))),"Fix")))</f>
        <v>0</v>
      </c>
      <c r="T974" s="4">
        <f>IF(OR(INDEX($AH$2:$AH$1001,MATCH(ROWS($AG$2:AG974),$AG$2:$AG$1001,0),1)&gt;=100000,INDEX($AN$1005:$BO$1005,1,MATCH(COLUMNS($AN$1006:BF1006),$AN$1006:$BO$1006,0))&gt;=100000), " ",IF(INDEX($AN$2:$BO$1001,MATCH(ROWS($AG$2:AG974),$AG$2:$AG$1001,0),MATCH(COLUMNS($AN$1006:BF1006),$AN$1006:$BO$1006,0)), HYPERLINK("#",""), HYPERLINK(CONCATENATE("#Metadata!", ADDRESS(INDEX($AI$2:$AI$1001,MATCH(ROWS($AG$2:AG974),$AG$2:$AG$1001,0),0), INDEX($AN$1004:$BO$1004,1,MATCH(COLUMNS($AN$1006:BF1006),$AN$1006:$BO$1006,0)))),"Fix")))</f>
        <v>0</v>
      </c>
      <c r="U974" s="4">
        <f>IF(OR(INDEX($AH$2:$AH$1001,MATCH(ROWS($AG$2:AG974),$AG$2:$AG$1001,0),1)&gt;=100000,INDEX($AN$1005:$BO$1005,1,MATCH(COLUMNS($AN$1006:BG1006),$AN$1006:$BO$1006,0))&gt;=100000), " ",IF(INDEX($AN$2:$BO$1001,MATCH(ROWS($AG$2:AG974),$AG$2:$AG$1001,0),MATCH(COLUMNS($AN$1006:BG1006),$AN$1006:$BO$1006,0)), HYPERLINK("#",""), HYPERLINK(CONCATENATE("#Metadata!", ADDRESS(INDEX($AI$2:$AI$1001,MATCH(ROWS($AG$2:AG974),$AG$2:$AG$1001,0),0), INDEX($AN$1004:$BO$1004,1,MATCH(COLUMNS($AN$1006:BG1006),$AN$1006:$BO$1006,0)))),"Fix")))</f>
        <v>0</v>
      </c>
      <c r="V974" s="4">
        <f>IF(OR(INDEX($AH$2:$AH$1001,MATCH(ROWS($AG$2:AG974),$AG$2:$AG$1001,0),1)&gt;=100000,INDEX($AN$1005:$BO$1005,1,MATCH(COLUMNS($AN$1006:BH1006),$AN$1006:$BO$1006,0))&gt;=100000), " ",IF(INDEX($AN$2:$BO$1001,MATCH(ROWS($AG$2:AG974),$AG$2:$AG$1001,0),MATCH(COLUMNS($AN$1006:BH1006),$AN$1006:$BO$1006,0)), HYPERLINK("#",""), HYPERLINK(CONCATENATE("#Metadata!", ADDRESS(INDEX($AI$2:$AI$1001,MATCH(ROWS($AG$2:AG974),$AG$2:$AG$1001,0),0), INDEX($AN$1004:$BO$1004,1,MATCH(COLUMNS($AN$1006:BH1006),$AN$1006:$BO$1006,0)))),"Fix")))</f>
        <v>0</v>
      </c>
      <c r="W974" s="4">
        <f>IF(OR(INDEX($AH$2:$AH$1001,MATCH(ROWS($AG$2:AG974),$AG$2:$AG$1001,0),1)&gt;=100000,INDEX($AN$1005:$BO$1005,1,MATCH(COLUMNS($AN$1006:BI1006),$AN$1006:$BO$1006,0))&gt;=100000), " ",IF(INDEX($AN$2:$BO$1001,MATCH(ROWS($AG$2:AG974),$AG$2:$AG$1001,0),MATCH(COLUMNS($AN$1006:BI1006),$AN$1006:$BO$1006,0)), HYPERLINK("#",""), HYPERLINK(CONCATENATE("#Metadata!", ADDRESS(INDEX($AI$2:$AI$1001,MATCH(ROWS($AG$2:AG974),$AG$2:$AG$1001,0),0), INDEX($AN$1004:$BO$1004,1,MATCH(COLUMNS($AN$1006:BI1006),$AN$1006:$BO$1006,0)))),"Fix")))</f>
        <v>0</v>
      </c>
      <c r="X974" s="4">
        <f>IF(OR(INDEX($AH$2:$AH$1001,MATCH(ROWS($AG$2:AG974),$AG$2:$AG$1001,0),1)&gt;=100000,INDEX($AN$1005:$BO$1005,1,MATCH(COLUMNS($AN$1006:BJ1006),$AN$1006:$BO$1006,0))&gt;=100000), " ",IF(INDEX($AN$2:$BO$1001,MATCH(ROWS($AG$2:AG974),$AG$2:$AG$1001,0),MATCH(COLUMNS($AN$1006:BJ1006),$AN$1006:$BO$1006,0)), HYPERLINK("#",""), HYPERLINK(CONCATENATE("#Metadata!", ADDRESS(INDEX($AI$2:$AI$1001,MATCH(ROWS($AG$2:AG974),$AG$2:$AG$1001,0),0), INDEX($AN$1004:$BO$1004,1,MATCH(COLUMNS($AN$1006:BJ1006),$AN$1006:$BO$1006,0)))),"Fix")))</f>
        <v>0</v>
      </c>
      <c r="Y974" s="4">
        <f>IF(OR(INDEX($AH$2:$AH$1001,MATCH(ROWS($AG$2:AG974),$AG$2:$AG$1001,0),1)&gt;=100000,INDEX($AN$1005:$BO$1005,1,MATCH(COLUMNS($AN$1006:BK1006),$AN$1006:$BO$1006,0))&gt;=100000), " ",IF(INDEX($AN$2:$BO$1001,MATCH(ROWS($AG$2:AG974),$AG$2:$AG$1001,0),MATCH(COLUMNS($AN$1006:BK1006),$AN$1006:$BO$1006,0)), HYPERLINK("#",""), HYPERLINK(CONCATENATE("#Metadata!", ADDRESS(INDEX($AI$2:$AI$1001,MATCH(ROWS($AG$2:AG974),$AG$2:$AG$1001,0),0), INDEX($AN$1004:$BO$1004,1,MATCH(COLUMNS($AN$1006:BK1006),$AN$1006:$BO$1006,0)))),"Fix")))</f>
        <v>0</v>
      </c>
      <c r="Z974" s="4">
        <f>IF(OR(INDEX($AH$2:$AH$1001,MATCH(ROWS($AG$2:AG974),$AG$2:$AG$1001,0),1)&gt;=100000,INDEX($AN$1005:$BO$1005,1,MATCH(COLUMNS($AN$1006:BL1006),$AN$1006:$BO$1006,0))&gt;=100000), " ",IF(INDEX($AN$2:$BO$1001,MATCH(ROWS($AG$2:AG974),$AG$2:$AG$1001,0),MATCH(COLUMNS($AN$1006:BL1006),$AN$1006:$BO$1006,0)), HYPERLINK("#",""), HYPERLINK(CONCATENATE("#Metadata!", ADDRESS(INDEX($AI$2:$AI$1001,MATCH(ROWS($AG$2:AG974),$AG$2:$AG$1001,0),0), INDEX($AN$1004:$BO$1004,1,MATCH(COLUMNS($AN$1006:BL1006),$AN$1006:$BO$1006,0)))),"Fix")))</f>
        <v>0</v>
      </c>
      <c r="AA974" s="4">
        <f>IF(OR(INDEX($AH$2:$AH$1001,MATCH(ROWS($AG$2:AG974),$AG$2:$AG$1001,0),1)&gt;=100000,INDEX($AN$1005:$BO$1005,1,MATCH(COLUMNS($AN$1006:BM1006),$AN$1006:$BO$1006,0))&gt;=100000), " ",IF(INDEX($AN$2:$BO$1001,MATCH(ROWS($AG$2:AG974),$AG$2:$AG$1001,0),MATCH(COLUMNS($AN$1006:BM1006),$AN$1006:$BO$1006,0)), HYPERLINK("#",""), HYPERLINK(CONCATENATE("#Metadata!", ADDRESS(INDEX($AI$2:$AI$1001,MATCH(ROWS($AG$2:AG974),$AG$2:$AG$1001,0),0), INDEX($AN$1004:$BO$1004,1,MATCH(COLUMNS($AN$1006:BM1006),$AN$1006:$BO$1006,0)))),"Fix")))</f>
        <v>0</v>
      </c>
      <c r="AB974" s="4">
        <f>IF(OR(INDEX($AH$2:$AH$1001,MATCH(ROWS($AG$2:AG974),$AG$2:$AG$1001,0),1)&gt;=100000,INDEX($AN$1005:$BO$1005,1,MATCH(COLUMNS($AN$1006:BN1006),$AN$1006:$BO$1006,0))&gt;=100000), " ",IF(INDEX($AN$2:$BO$1001,MATCH(ROWS($AG$2:AG974),$AG$2:$AG$1001,0),MATCH(COLUMNS($AN$1006:BN1006),$AN$1006:$BO$1006,0)), HYPERLINK("#",""), HYPERLINK(CONCATENATE("#Metadata!", ADDRESS(INDEX($AI$2:$AI$1001,MATCH(ROWS($AG$2:AG974),$AG$2:$AG$1001,0),0), INDEX($AN$1004:$BO$1004,1,MATCH(COLUMNS($AN$1006:BN1006),$AN$1006:$BO$1006,0)))),"Fix")))</f>
        <v>0</v>
      </c>
      <c r="AC974" s="4">
        <f>IF(OR(INDEX($AH$2:$AH$1001,MATCH(ROWS($AG$2:AG974),$AG$2:$AG$1001,0),1)&gt;=100000,INDEX($AN$1005:$BO$1005,1,MATCH(COLUMNS($AN$1006:BO1006),$AN$1006:$BO$1006,0))&gt;=100000), " ",IF(INDEX($AN$2:$BO$1001,MATCH(ROWS($AG$2:AG974),$AG$2:$AG$1001,0),MATCH(COLUMNS($AN$1006:BO1006),$AN$1006:$BO$1006,0)), HYPERLINK("#",""), HYPERLINK(CONCATENATE("#Metadata!", ADDRESS(INDEX($AI$2:$AI$1001,MATCH(ROWS($AG$2:AG974),$AG$2:$AG$1001,0),0), INDEX($AN$1004:$BO$1004,1,MATCH(COLUMNS($AN$1006:BO1006),$AN$1006:$BO$1006,0)))),"Fix")))</f>
        <v>0</v>
      </c>
      <c r="AG974">
        <v>0</v>
      </c>
      <c r="AH974">
        <v>0</v>
      </c>
      <c r="AI974">
        <v>0</v>
      </c>
      <c r="AJ974">
        <f>IF(AK974,TRUE,AND(AN974:BO974))</f>
        <v>0</v>
      </c>
      <c r="AK974">
        <f>COUNTBLANK(Metadata!B974:AC974)=COLUMNS(Metadata!B974:AC974)</f>
        <v>0</v>
      </c>
      <c r="AL974">
        <v>0</v>
      </c>
      <c r="AN974">
        <f>AND(IF(Metadata!B974="",FALSE,TRUE),COUNTIF(Metadata!B:B, Metadata!B974) = 1,NOT(ISERROR(SUMPRODUCT(SEARCH(MID(Metadata!B974,ROW(INDIRECT("1:"&amp;LEN(Metadata!B974))), 1),"0123456789abcdefghijklmnopqrstuvwxyzABCDEFGHIJKLMNOPQRSTUVWXYZ.")))))</f>
        <v>0</v>
      </c>
      <c r="AO974">
        <f>IF(Metadata!C974="",FALSE,TRUE)</f>
        <v>0</v>
      </c>
      <c r="AP974">
        <f>IF(Metadata!D974="",FALSE,TRUE)</f>
        <v>0</v>
      </c>
      <c r="AQ974">
        <f>OR(AND(IF(Metadata!E974="",FALSE,TRUE),OR(exact(Metadata!E974,"not collected"),exact(Metadata!E974,"not provided"),exact(Metadata!E974,"restricted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R974">
        <f>IF(Metadata!F974="",FALSE,TRUE)</f>
        <v>0</v>
      </c>
      <c r="AS974">
        <f>OR(AND(IF(Metadata!G974="",FALSE,TRUE),OR(exact(Metadata!G974,"not collected"),exact(Metadata!G974,"not provided"))),AND(IF(Metadata!G974="",FALSE,TRUE),OR(exact(Metadata!G974,"TRUE"),exact(Metadata!G974,"FALSE"))))</f>
        <v>0</v>
      </c>
      <c r="AT974">
        <f>OR(AND(IF(Metadata!H974="",FALSE,TRUE),OR(exact(Metadata!H974,"not collected"),exact(Metadata!H974,"not provided"),exact(Metadata!H974,"restricted access"))),AND(IF(Metadata!H974="",FALSE,ISNUMBER(VALUE(Metadata!H974))),Metadata!H974&gt;=-413.0))</f>
        <v>0</v>
      </c>
      <c r="AU974">
        <f>AND(IF(Metadata!I974="",FALSE,TRUE),exact(Metadata!I974,"meters"))</f>
        <v>0</v>
      </c>
      <c r="AV974">
        <f>AND(IF(Metadata!J974="",FALSE,TRUE),OR(exact(Metadata!J974,"Host-associated"),exact(Metadata!J974,"Free-living")))</f>
        <v>0</v>
      </c>
      <c r="AW974">
        <f>AND(IF(Metadata!K974="",FALSE,TRUE),OR(exact(Metadata!K974,"Animal"),exact(Metadata!K974,"Fungus"),exact(Metadata!K974,"Plant"),exact(Metadata!K974,"Saline"),exact(Metadata!K974,"Non-saline")))</f>
        <v>0</v>
      </c>
      <c r="AX974">
        <f>AND(IF(Metadata!L974="",FALSE,TRUE),OR(exact(Metadata!L974,"Plant secretion"),exact(Metadata!L974,"Plant rhizosphere"),exact(Metadata!L974,"Plant surface"),exact(Metadata!L974,"Plant corpus"),exact(Metadata!L974,"Fungus surface"),exact(Metadata!L974,"Fungus corpus"),exact(Metadata!L974,"Animal surface"),exact(Metadata!L974,"Animal proximal gut"),exact(Metadata!L974,"Animal corpus"),exact(Metadata!L974,"Animal distal gut"),exact(Metadata!L974,"Animal secretion"),exact(Metadata!L974,"Sub-surface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Y974">
        <f>IF(Metadata!M974="",FALSE,TRUE)</f>
        <v>0</v>
      </c>
      <c r="AZ974">
        <f>IF(Metadata!N974="",FALSE,TRUE)</f>
        <v>0</v>
      </c>
      <c r="BA974">
        <f>IF(Metadata!O974="",FALSE,TRUE)</f>
        <v>0</v>
      </c>
      <c r="BB974">
        <f>OR(AND(IF(Metadata!P974="",FALSE,TRUE),OR(exact(Metadata!P974,"not collected"),exact(Metadata!P974,"not provided"),exact(Metadata!P974,"restricted access"))),AND(IF(Metadata!P974="",FALSE,TRUE),OR(exact(Metadata!P974,"air"),exact(Metadata!P974,"built environment"),exact(Metadata!P974,"host-associated"),exact(Metadata!P974,"human-associated"),exact(Metadata!P974,"human-skin"),exact(Metadata!P974,"human-oral"),exact(Metadata!P974,"human-gut"),exact(Metadata!P974,"human-vaginal"),exact(Metadata!P974,"microbial mat/biofilm"),exact(Metadata!P974,"misc environment"),exact(Metadata!P974,"plant-associated"),exact(Metadata!P974,"sediment"),exact(Metadata!P974,"soil"),exact(Metadata!P974,"wastewater/sludge"),exact(Metadata!P974,"water"))))</f>
        <v>0</v>
      </c>
      <c r="BC974">
        <f>IF(Metadata!Q974="",FALSE,TRUE)</f>
        <v>0</v>
      </c>
      <c r="BD974">
        <f>IF(Metadata!R974="",FALSE,TRUE)</f>
        <v>0</v>
      </c>
      <c r="BE974">
        <f>OR(AND(IF(Metadata!S974="",FALSE,TRUE),OR(exact(Metadata!S974,"not collected"),exact(Metadata!S974,"not provided"),exact(Metadata!S974,"restricted access"))),AND(IF(Metadata!S974="",FALSE,ISNUMBER(VALUE(Metadata!S974))),Metadata!S974&gt;=-90.00,Metadata!S974&lt;=90.00))</f>
        <v>0</v>
      </c>
      <c r="BF974">
        <f>AND(IF(Metadata!T974="",FALSE,TRUE),exact(Metadata!T974,"Decimal degrees"))</f>
        <v>0</v>
      </c>
      <c r="BG974">
        <f>OR(AND(IF(Metadata!U974="",FALSE,TRUE),OR(exact(Metadata!U974,"not collected"),exact(Metadata!U974,"not provided"),exact(Metadata!U974,"restricted access"))),AND(IF(Metadata!U974="",FALSE,ISNUMBER(VALUE(Metadata!U974))),Metadata!U974&gt;=-180.00,Metadata!U974&lt;=180.00))</f>
        <v>0</v>
      </c>
      <c r="BH974">
        <f>AND(IF(Metadata!V974="",FALSE,TRUE),exact(Metadata!V974,"Decimal degrees"))</f>
        <v>0</v>
      </c>
      <c r="BI974">
        <f>IF(Metadata!W974="",FALSE,TRUE)</f>
        <v>0</v>
      </c>
      <c r="BJ974">
        <f>OR(AND(IF(Metadata!X974="",FALSE,TRUE),OR(exact(Metadata!X974,"not collected"),exact(Metadata!X974,"not provided"),exact(Metadata!X974,"restricted access"))),AND(IF(Metadata!X974="",FALSE,TRUE),OR(exact(Metadata!X974,"TRUE"),exact(Metadata!X974,"FALSE"))))</f>
        <v>0</v>
      </c>
      <c r="BK974">
        <f>AND(IF(Metadata!Y974="",FALSE,TRUE),exact(Metadata!Y974,"other"))</f>
        <v>0</v>
      </c>
      <c r="BL974">
        <f>IF(Metadata!Z974="",FALSE,TRUE)</f>
        <v>0</v>
      </c>
      <c r="BM974">
        <f>OR(AND(IF(Metadata!AA974="",FALSE,TRUE),OR(exact(Metadata!AA974,"not collected"),exact(Metadata!AA974,"not provided"))),AND(IF(Metadata!AA974="",FALSE,IF(ISERROR(INT(Metadata!AA974)),FALSE,INT(Metadata!AA974)=Metadata!AA974)),Metadata!AA974&gt;0))</f>
        <v>0</v>
      </c>
      <c r="BN974">
        <f>AND(IF(Metadata!AB974="",FALSE,TRUE),exact(Metadata!AB974,"Not applicable"))</f>
        <v>0</v>
      </c>
      <c r="BO974">
        <f>IF(Metadata!AC974="",FALSE,TRUE)</f>
        <v>0</v>
      </c>
    </row>
    <row r="975" spans="1:67">
      <c r="A975" s="5">
        <f>IF(B975=" "," ",HYPERLINK(CONCATENATE("#metadata!",ADDRESS(INDEX($AI$2:$AI$1001,MATCH(ROWS($AG$2:AG975),$AG$2:$AG$1001,0),0),1)),INDEX($AL$2:$AL$1001,MATCH(ROWS($AG$2:AG975),$AG$2:$AG$1001,0),0)))</f>
        <v>0</v>
      </c>
      <c r="B975" s="4">
        <f>IF(OR(INDEX($AH$2:$AH$1001,MATCH(ROWS($AG$2:AG975),$AG$2:$AG$1001,0),1)&gt;=100000,INDEX($AN$1005:$BO$1005,1,MATCH(COLUMNS($AN$1006:AN1006),$AN$1006:$BO$1006,0))&gt;=100000), " ",IF(INDEX($AN$2:$BO$1001,MATCH(ROWS($AG$2:AG975),$AG$2:$AG$1001,0),MATCH(COLUMNS($AN$1006:AN1006),$AN$1006:$BO$1006,0)), HYPERLINK("#",""), HYPERLINK(CONCATENATE("#Metadata!", ADDRESS(INDEX($AI$2:$AI$1001,MATCH(ROWS($AG$2:AG975),$AG$2:$AG$1001,0),0), INDEX($AN$1004:$BO$1004,1,MATCH(COLUMNS($AN$1006:AN1006),$AN$1006:$BO$1006,0)))),"Fix")))</f>
        <v>0</v>
      </c>
      <c r="C975" s="4">
        <f>IF(OR(INDEX($AH$2:$AH$1001,MATCH(ROWS($AG$2:AG975),$AG$2:$AG$1001,0),1)&gt;=100000,INDEX($AN$1005:$BO$1005,1,MATCH(COLUMNS($AN$1006:AO1006),$AN$1006:$BO$1006,0))&gt;=100000), " ",IF(INDEX($AN$2:$BO$1001,MATCH(ROWS($AG$2:AG975),$AG$2:$AG$1001,0),MATCH(COLUMNS($AN$1006:AO1006),$AN$1006:$BO$1006,0)), HYPERLINK("#",""), HYPERLINK(CONCATENATE("#Metadata!", ADDRESS(INDEX($AI$2:$AI$1001,MATCH(ROWS($AG$2:AG975),$AG$2:$AG$1001,0),0), INDEX($AN$1004:$BO$1004,1,MATCH(COLUMNS($AN$1006:AO1006),$AN$1006:$BO$1006,0)))),"Fix")))</f>
        <v>0</v>
      </c>
      <c r="D975" s="4">
        <f>IF(OR(INDEX($AH$2:$AH$1001,MATCH(ROWS($AG$2:AG975),$AG$2:$AG$1001,0),1)&gt;=100000,INDEX($AN$1005:$BO$1005,1,MATCH(COLUMNS($AN$1006:AP1006),$AN$1006:$BO$1006,0))&gt;=100000), " ",IF(INDEX($AN$2:$BO$1001,MATCH(ROWS($AG$2:AG975),$AG$2:$AG$1001,0),MATCH(COLUMNS($AN$1006:AP1006),$AN$1006:$BO$1006,0)), HYPERLINK("#",""), HYPERLINK(CONCATENATE("#Metadata!", ADDRESS(INDEX($AI$2:$AI$1001,MATCH(ROWS($AG$2:AG975),$AG$2:$AG$1001,0),0), INDEX($AN$1004:$BO$1004,1,MATCH(COLUMNS($AN$1006:AP1006),$AN$1006:$BO$1006,0)))),"Fix")))</f>
        <v>0</v>
      </c>
      <c r="E975" s="4">
        <f>IF(OR(INDEX($AH$2:$AH$1001,MATCH(ROWS($AG$2:AG975),$AG$2:$AG$1001,0),1)&gt;=100000,INDEX($AN$1005:$BO$1005,1,MATCH(COLUMNS($AN$1006:AQ1006),$AN$1006:$BO$1006,0))&gt;=100000), " ",IF(INDEX($AN$2:$BO$1001,MATCH(ROWS($AG$2:AG975),$AG$2:$AG$1001,0),MATCH(COLUMNS($AN$1006:AQ1006),$AN$1006:$BO$1006,0)), HYPERLINK("#",""), HYPERLINK(CONCATENATE("#Metadata!", ADDRESS(INDEX($AI$2:$AI$1001,MATCH(ROWS($AG$2:AG975),$AG$2:$AG$1001,0),0), INDEX($AN$1004:$BO$1004,1,MATCH(COLUMNS($AN$1006:AQ1006),$AN$1006:$BO$1006,0)))),"Fix")))</f>
        <v>0</v>
      </c>
      <c r="F975" s="4">
        <f>IF(OR(INDEX($AH$2:$AH$1001,MATCH(ROWS($AG$2:AG975),$AG$2:$AG$1001,0),1)&gt;=100000,INDEX($AN$1005:$BO$1005,1,MATCH(COLUMNS($AN$1006:AR1006),$AN$1006:$BO$1006,0))&gt;=100000), " ",IF(INDEX($AN$2:$BO$1001,MATCH(ROWS($AG$2:AG975),$AG$2:$AG$1001,0),MATCH(COLUMNS($AN$1006:AR1006),$AN$1006:$BO$1006,0)), HYPERLINK("#",""), HYPERLINK(CONCATENATE("#Metadata!", ADDRESS(INDEX($AI$2:$AI$1001,MATCH(ROWS($AG$2:AG975),$AG$2:$AG$1001,0),0), INDEX($AN$1004:$BO$1004,1,MATCH(COLUMNS($AN$1006:AR1006),$AN$1006:$BO$1006,0)))),"Fix")))</f>
        <v>0</v>
      </c>
      <c r="G975" s="4">
        <f>IF(OR(INDEX($AH$2:$AH$1001,MATCH(ROWS($AG$2:AG975),$AG$2:$AG$1001,0),1)&gt;=100000,INDEX($AN$1005:$BO$1005,1,MATCH(COLUMNS($AN$1006:AS1006),$AN$1006:$BO$1006,0))&gt;=100000), " ",IF(INDEX($AN$2:$BO$1001,MATCH(ROWS($AG$2:AG975),$AG$2:$AG$1001,0),MATCH(COLUMNS($AN$1006:AS1006),$AN$1006:$BO$1006,0)), HYPERLINK("#",""), HYPERLINK(CONCATENATE("#Metadata!", ADDRESS(INDEX($AI$2:$AI$1001,MATCH(ROWS($AG$2:AG975),$AG$2:$AG$1001,0),0), INDEX($AN$1004:$BO$1004,1,MATCH(COLUMNS($AN$1006:AS1006),$AN$1006:$BO$1006,0)))),"Fix")))</f>
        <v>0</v>
      </c>
      <c r="H975" s="4">
        <f>IF(OR(INDEX($AH$2:$AH$1001,MATCH(ROWS($AG$2:AG975),$AG$2:$AG$1001,0),1)&gt;=100000,INDEX($AN$1005:$BO$1005,1,MATCH(COLUMNS($AN$1006:AT1006),$AN$1006:$BO$1006,0))&gt;=100000), " ",IF(INDEX($AN$2:$BO$1001,MATCH(ROWS($AG$2:AG975),$AG$2:$AG$1001,0),MATCH(COLUMNS($AN$1006:AT1006),$AN$1006:$BO$1006,0)), HYPERLINK("#",""), HYPERLINK(CONCATENATE("#Metadata!", ADDRESS(INDEX($AI$2:$AI$1001,MATCH(ROWS($AG$2:AG975),$AG$2:$AG$1001,0),0), INDEX($AN$1004:$BO$1004,1,MATCH(COLUMNS($AN$1006:AT1006),$AN$1006:$BO$1006,0)))),"Fix")))</f>
        <v>0</v>
      </c>
      <c r="I975" s="4">
        <f>IF(OR(INDEX($AH$2:$AH$1001,MATCH(ROWS($AG$2:AG975),$AG$2:$AG$1001,0),1)&gt;=100000,INDEX($AN$1005:$BO$1005,1,MATCH(COLUMNS($AN$1006:AU1006),$AN$1006:$BO$1006,0))&gt;=100000), " ",IF(INDEX($AN$2:$BO$1001,MATCH(ROWS($AG$2:AG975),$AG$2:$AG$1001,0),MATCH(COLUMNS($AN$1006:AU1006),$AN$1006:$BO$1006,0)), HYPERLINK("#",""), HYPERLINK(CONCATENATE("#Metadata!", ADDRESS(INDEX($AI$2:$AI$1001,MATCH(ROWS($AG$2:AG975),$AG$2:$AG$1001,0),0), INDEX($AN$1004:$BO$1004,1,MATCH(COLUMNS($AN$1006:AU1006),$AN$1006:$BO$1006,0)))),"Fix")))</f>
        <v>0</v>
      </c>
      <c r="J975" s="4">
        <f>IF(OR(INDEX($AH$2:$AH$1001,MATCH(ROWS($AG$2:AG975),$AG$2:$AG$1001,0),1)&gt;=100000,INDEX($AN$1005:$BO$1005,1,MATCH(COLUMNS($AN$1006:AV1006),$AN$1006:$BO$1006,0))&gt;=100000), " ",IF(INDEX($AN$2:$BO$1001,MATCH(ROWS($AG$2:AG975),$AG$2:$AG$1001,0),MATCH(COLUMNS($AN$1006:AV1006),$AN$1006:$BO$1006,0)), HYPERLINK("#",""), HYPERLINK(CONCATENATE("#Metadata!", ADDRESS(INDEX($AI$2:$AI$1001,MATCH(ROWS($AG$2:AG975),$AG$2:$AG$1001,0),0), INDEX($AN$1004:$BO$1004,1,MATCH(COLUMNS($AN$1006:AV1006),$AN$1006:$BO$1006,0)))),"Fix")))</f>
        <v>0</v>
      </c>
      <c r="K975" s="4">
        <f>IF(OR(INDEX($AH$2:$AH$1001,MATCH(ROWS($AG$2:AG975),$AG$2:$AG$1001,0),1)&gt;=100000,INDEX($AN$1005:$BO$1005,1,MATCH(COLUMNS($AN$1006:AW1006),$AN$1006:$BO$1006,0))&gt;=100000), " ",IF(INDEX($AN$2:$BO$1001,MATCH(ROWS($AG$2:AG975),$AG$2:$AG$1001,0),MATCH(COLUMNS($AN$1006:AW1006),$AN$1006:$BO$1006,0)), HYPERLINK("#",""), HYPERLINK(CONCATENATE("#Metadata!", ADDRESS(INDEX($AI$2:$AI$1001,MATCH(ROWS($AG$2:AG975),$AG$2:$AG$1001,0),0), INDEX($AN$1004:$BO$1004,1,MATCH(COLUMNS($AN$1006:AW1006),$AN$1006:$BO$1006,0)))),"Fix")))</f>
        <v>0</v>
      </c>
      <c r="L975" s="4">
        <f>IF(OR(INDEX($AH$2:$AH$1001,MATCH(ROWS($AG$2:AG975),$AG$2:$AG$1001,0),1)&gt;=100000,INDEX($AN$1005:$BO$1005,1,MATCH(COLUMNS($AN$1006:AX1006),$AN$1006:$BO$1006,0))&gt;=100000), " ",IF(INDEX($AN$2:$BO$1001,MATCH(ROWS($AG$2:AG975),$AG$2:$AG$1001,0),MATCH(COLUMNS($AN$1006:AX1006),$AN$1006:$BO$1006,0)), HYPERLINK("#",""), HYPERLINK(CONCATENATE("#Metadata!", ADDRESS(INDEX($AI$2:$AI$1001,MATCH(ROWS($AG$2:AG975),$AG$2:$AG$1001,0),0), INDEX($AN$1004:$BO$1004,1,MATCH(COLUMNS($AN$1006:AX1006),$AN$1006:$BO$1006,0)))),"Fix")))</f>
        <v>0</v>
      </c>
      <c r="M975" s="4">
        <f>IF(OR(INDEX($AH$2:$AH$1001,MATCH(ROWS($AG$2:AG975),$AG$2:$AG$1001,0),1)&gt;=100000,INDEX($AN$1005:$BO$1005,1,MATCH(COLUMNS($AN$1006:AY1006),$AN$1006:$BO$1006,0))&gt;=100000), " ",IF(INDEX($AN$2:$BO$1001,MATCH(ROWS($AG$2:AG975),$AG$2:$AG$1001,0),MATCH(COLUMNS($AN$1006:AY1006),$AN$1006:$BO$1006,0)), HYPERLINK("#",""), HYPERLINK(CONCATENATE("#Metadata!", ADDRESS(INDEX($AI$2:$AI$1001,MATCH(ROWS($AG$2:AG975),$AG$2:$AG$1001,0),0), INDEX($AN$1004:$BO$1004,1,MATCH(COLUMNS($AN$1006:AY1006),$AN$1006:$BO$1006,0)))),"Fix")))</f>
        <v>0</v>
      </c>
      <c r="N975" s="4">
        <f>IF(OR(INDEX($AH$2:$AH$1001,MATCH(ROWS($AG$2:AG975),$AG$2:$AG$1001,0),1)&gt;=100000,INDEX($AN$1005:$BO$1005,1,MATCH(COLUMNS($AN$1006:AZ1006),$AN$1006:$BO$1006,0))&gt;=100000), " ",IF(INDEX($AN$2:$BO$1001,MATCH(ROWS($AG$2:AG975),$AG$2:$AG$1001,0),MATCH(COLUMNS($AN$1006:AZ1006),$AN$1006:$BO$1006,0)), HYPERLINK("#",""), HYPERLINK(CONCATENATE("#Metadata!", ADDRESS(INDEX($AI$2:$AI$1001,MATCH(ROWS($AG$2:AG975),$AG$2:$AG$1001,0),0), INDEX($AN$1004:$BO$1004,1,MATCH(COLUMNS($AN$1006:AZ1006),$AN$1006:$BO$1006,0)))),"Fix")))</f>
        <v>0</v>
      </c>
      <c r="O975" s="4">
        <f>IF(OR(INDEX($AH$2:$AH$1001,MATCH(ROWS($AG$2:AG975),$AG$2:$AG$1001,0),1)&gt;=100000,INDEX($AN$1005:$BO$1005,1,MATCH(COLUMNS($AN$1006:BA1006),$AN$1006:$BO$1006,0))&gt;=100000), " ",IF(INDEX($AN$2:$BO$1001,MATCH(ROWS($AG$2:AG975),$AG$2:$AG$1001,0),MATCH(COLUMNS($AN$1006:BA1006),$AN$1006:$BO$1006,0)), HYPERLINK("#",""), HYPERLINK(CONCATENATE("#Metadata!", ADDRESS(INDEX($AI$2:$AI$1001,MATCH(ROWS($AG$2:AG975),$AG$2:$AG$1001,0),0), INDEX($AN$1004:$BO$1004,1,MATCH(COLUMNS($AN$1006:BA1006),$AN$1006:$BO$1006,0)))),"Fix")))</f>
        <v>0</v>
      </c>
      <c r="P975" s="4">
        <f>IF(OR(INDEX($AH$2:$AH$1001,MATCH(ROWS($AG$2:AG975),$AG$2:$AG$1001,0),1)&gt;=100000,INDEX($AN$1005:$BO$1005,1,MATCH(COLUMNS($AN$1006:BB1006),$AN$1006:$BO$1006,0))&gt;=100000), " ",IF(INDEX($AN$2:$BO$1001,MATCH(ROWS($AG$2:AG975),$AG$2:$AG$1001,0),MATCH(COLUMNS($AN$1006:BB1006),$AN$1006:$BO$1006,0)), HYPERLINK("#",""), HYPERLINK(CONCATENATE("#Metadata!", ADDRESS(INDEX($AI$2:$AI$1001,MATCH(ROWS($AG$2:AG975),$AG$2:$AG$1001,0),0), INDEX($AN$1004:$BO$1004,1,MATCH(COLUMNS($AN$1006:BB1006),$AN$1006:$BO$1006,0)))),"Fix")))</f>
        <v>0</v>
      </c>
      <c r="Q975" s="4">
        <f>IF(OR(INDEX($AH$2:$AH$1001,MATCH(ROWS($AG$2:AG975),$AG$2:$AG$1001,0),1)&gt;=100000,INDEX($AN$1005:$BO$1005,1,MATCH(COLUMNS($AN$1006:BC1006),$AN$1006:$BO$1006,0))&gt;=100000), " ",IF(INDEX($AN$2:$BO$1001,MATCH(ROWS($AG$2:AG975),$AG$2:$AG$1001,0),MATCH(COLUMNS($AN$1006:BC1006),$AN$1006:$BO$1006,0)), HYPERLINK("#",""), HYPERLINK(CONCATENATE("#Metadata!", ADDRESS(INDEX($AI$2:$AI$1001,MATCH(ROWS($AG$2:AG975),$AG$2:$AG$1001,0),0), INDEX($AN$1004:$BO$1004,1,MATCH(COLUMNS($AN$1006:BC1006),$AN$1006:$BO$1006,0)))),"Fix")))</f>
        <v>0</v>
      </c>
      <c r="R975" s="4">
        <f>IF(OR(INDEX($AH$2:$AH$1001,MATCH(ROWS($AG$2:AG975),$AG$2:$AG$1001,0),1)&gt;=100000,INDEX($AN$1005:$BO$1005,1,MATCH(COLUMNS($AN$1006:BD1006),$AN$1006:$BO$1006,0))&gt;=100000), " ",IF(INDEX($AN$2:$BO$1001,MATCH(ROWS($AG$2:AG975),$AG$2:$AG$1001,0),MATCH(COLUMNS($AN$1006:BD1006),$AN$1006:$BO$1006,0)), HYPERLINK("#",""), HYPERLINK(CONCATENATE("#Metadata!", ADDRESS(INDEX($AI$2:$AI$1001,MATCH(ROWS($AG$2:AG975),$AG$2:$AG$1001,0),0), INDEX($AN$1004:$BO$1004,1,MATCH(COLUMNS($AN$1006:BD1006),$AN$1006:$BO$1006,0)))),"Fix")))</f>
        <v>0</v>
      </c>
      <c r="S975" s="4">
        <f>IF(OR(INDEX($AH$2:$AH$1001,MATCH(ROWS($AG$2:AG975),$AG$2:$AG$1001,0),1)&gt;=100000,INDEX($AN$1005:$BO$1005,1,MATCH(COLUMNS($AN$1006:BE1006),$AN$1006:$BO$1006,0))&gt;=100000), " ",IF(INDEX($AN$2:$BO$1001,MATCH(ROWS($AG$2:AG975),$AG$2:$AG$1001,0),MATCH(COLUMNS($AN$1006:BE1006),$AN$1006:$BO$1006,0)), HYPERLINK("#",""), HYPERLINK(CONCATENATE("#Metadata!", ADDRESS(INDEX($AI$2:$AI$1001,MATCH(ROWS($AG$2:AG975),$AG$2:$AG$1001,0),0), INDEX($AN$1004:$BO$1004,1,MATCH(COLUMNS($AN$1006:BE1006),$AN$1006:$BO$1006,0)))),"Fix")))</f>
        <v>0</v>
      </c>
      <c r="T975" s="4">
        <f>IF(OR(INDEX($AH$2:$AH$1001,MATCH(ROWS($AG$2:AG975),$AG$2:$AG$1001,0),1)&gt;=100000,INDEX($AN$1005:$BO$1005,1,MATCH(COLUMNS($AN$1006:BF1006),$AN$1006:$BO$1006,0))&gt;=100000), " ",IF(INDEX($AN$2:$BO$1001,MATCH(ROWS($AG$2:AG975),$AG$2:$AG$1001,0),MATCH(COLUMNS($AN$1006:BF1006),$AN$1006:$BO$1006,0)), HYPERLINK("#",""), HYPERLINK(CONCATENATE("#Metadata!", ADDRESS(INDEX($AI$2:$AI$1001,MATCH(ROWS($AG$2:AG975),$AG$2:$AG$1001,0),0), INDEX($AN$1004:$BO$1004,1,MATCH(COLUMNS($AN$1006:BF1006),$AN$1006:$BO$1006,0)))),"Fix")))</f>
        <v>0</v>
      </c>
      <c r="U975" s="4">
        <f>IF(OR(INDEX($AH$2:$AH$1001,MATCH(ROWS($AG$2:AG975),$AG$2:$AG$1001,0),1)&gt;=100000,INDEX($AN$1005:$BO$1005,1,MATCH(COLUMNS($AN$1006:BG1006),$AN$1006:$BO$1006,0))&gt;=100000), " ",IF(INDEX($AN$2:$BO$1001,MATCH(ROWS($AG$2:AG975),$AG$2:$AG$1001,0),MATCH(COLUMNS($AN$1006:BG1006),$AN$1006:$BO$1006,0)), HYPERLINK("#",""), HYPERLINK(CONCATENATE("#Metadata!", ADDRESS(INDEX($AI$2:$AI$1001,MATCH(ROWS($AG$2:AG975),$AG$2:$AG$1001,0),0), INDEX($AN$1004:$BO$1004,1,MATCH(COLUMNS($AN$1006:BG1006),$AN$1006:$BO$1006,0)))),"Fix")))</f>
        <v>0</v>
      </c>
      <c r="V975" s="4">
        <f>IF(OR(INDEX($AH$2:$AH$1001,MATCH(ROWS($AG$2:AG975),$AG$2:$AG$1001,0),1)&gt;=100000,INDEX($AN$1005:$BO$1005,1,MATCH(COLUMNS($AN$1006:BH1006),$AN$1006:$BO$1006,0))&gt;=100000), " ",IF(INDEX($AN$2:$BO$1001,MATCH(ROWS($AG$2:AG975),$AG$2:$AG$1001,0),MATCH(COLUMNS($AN$1006:BH1006),$AN$1006:$BO$1006,0)), HYPERLINK("#",""), HYPERLINK(CONCATENATE("#Metadata!", ADDRESS(INDEX($AI$2:$AI$1001,MATCH(ROWS($AG$2:AG975),$AG$2:$AG$1001,0),0), INDEX($AN$1004:$BO$1004,1,MATCH(COLUMNS($AN$1006:BH1006),$AN$1006:$BO$1006,0)))),"Fix")))</f>
        <v>0</v>
      </c>
      <c r="W975" s="4">
        <f>IF(OR(INDEX($AH$2:$AH$1001,MATCH(ROWS($AG$2:AG975),$AG$2:$AG$1001,0),1)&gt;=100000,INDEX($AN$1005:$BO$1005,1,MATCH(COLUMNS($AN$1006:BI1006),$AN$1006:$BO$1006,0))&gt;=100000), " ",IF(INDEX($AN$2:$BO$1001,MATCH(ROWS($AG$2:AG975),$AG$2:$AG$1001,0),MATCH(COLUMNS($AN$1006:BI1006),$AN$1006:$BO$1006,0)), HYPERLINK("#",""), HYPERLINK(CONCATENATE("#Metadata!", ADDRESS(INDEX($AI$2:$AI$1001,MATCH(ROWS($AG$2:AG975),$AG$2:$AG$1001,0),0), INDEX($AN$1004:$BO$1004,1,MATCH(COLUMNS($AN$1006:BI1006),$AN$1006:$BO$1006,0)))),"Fix")))</f>
        <v>0</v>
      </c>
      <c r="X975" s="4">
        <f>IF(OR(INDEX($AH$2:$AH$1001,MATCH(ROWS($AG$2:AG975),$AG$2:$AG$1001,0),1)&gt;=100000,INDEX($AN$1005:$BO$1005,1,MATCH(COLUMNS($AN$1006:BJ1006),$AN$1006:$BO$1006,0))&gt;=100000), " ",IF(INDEX($AN$2:$BO$1001,MATCH(ROWS($AG$2:AG975),$AG$2:$AG$1001,0),MATCH(COLUMNS($AN$1006:BJ1006),$AN$1006:$BO$1006,0)), HYPERLINK("#",""), HYPERLINK(CONCATENATE("#Metadata!", ADDRESS(INDEX($AI$2:$AI$1001,MATCH(ROWS($AG$2:AG975),$AG$2:$AG$1001,0),0), INDEX($AN$1004:$BO$1004,1,MATCH(COLUMNS($AN$1006:BJ1006),$AN$1006:$BO$1006,0)))),"Fix")))</f>
        <v>0</v>
      </c>
      <c r="Y975" s="4">
        <f>IF(OR(INDEX($AH$2:$AH$1001,MATCH(ROWS($AG$2:AG975),$AG$2:$AG$1001,0),1)&gt;=100000,INDEX($AN$1005:$BO$1005,1,MATCH(COLUMNS($AN$1006:BK1006),$AN$1006:$BO$1006,0))&gt;=100000), " ",IF(INDEX($AN$2:$BO$1001,MATCH(ROWS($AG$2:AG975),$AG$2:$AG$1001,0),MATCH(COLUMNS($AN$1006:BK1006),$AN$1006:$BO$1006,0)), HYPERLINK("#",""), HYPERLINK(CONCATENATE("#Metadata!", ADDRESS(INDEX($AI$2:$AI$1001,MATCH(ROWS($AG$2:AG975),$AG$2:$AG$1001,0),0), INDEX($AN$1004:$BO$1004,1,MATCH(COLUMNS($AN$1006:BK1006),$AN$1006:$BO$1006,0)))),"Fix")))</f>
        <v>0</v>
      </c>
      <c r="Z975" s="4">
        <f>IF(OR(INDEX($AH$2:$AH$1001,MATCH(ROWS($AG$2:AG975),$AG$2:$AG$1001,0),1)&gt;=100000,INDEX($AN$1005:$BO$1005,1,MATCH(COLUMNS($AN$1006:BL1006),$AN$1006:$BO$1006,0))&gt;=100000), " ",IF(INDEX($AN$2:$BO$1001,MATCH(ROWS($AG$2:AG975),$AG$2:$AG$1001,0),MATCH(COLUMNS($AN$1006:BL1006),$AN$1006:$BO$1006,0)), HYPERLINK("#",""), HYPERLINK(CONCATENATE("#Metadata!", ADDRESS(INDEX($AI$2:$AI$1001,MATCH(ROWS($AG$2:AG975),$AG$2:$AG$1001,0),0), INDEX($AN$1004:$BO$1004,1,MATCH(COLUMNS($AN$1006:BL1006),$AN$1006:$BO$1006,0)))),"Fix")))</f>
        <v>0</v>
      </c>
      <c r="AA975" s="4">
        <f>IF(OR(INDEX($AH$2:$AH$1001,MATCH(ROWS($AG$2:AG975),$AG$2:$AG$1001,0),1)&gt;=100000,INDEX($AN$1005:$BO$1005,1,MATCH(COLUMNS($AN$1006:BM1006),$AN$1006:$BO$1006,0))&gt;=100000), " ",IF(INDEX($AN$2:$BO$1001,MATCH(ROWS($AG$2:AG975),$AG$2:$AG$1001,0),MATCH(COLUMNS($AN$1006:BM1006),$AN$1006:$BO$1006,0)), HYPERLINK("#",""), HYPERLINK(CONCATENATE("#Metadata!", ADDRESS(INDEX($AI$2:$AI$1001,MATCH(ROWS($AG$2:AG975),$AG$2:$AG$1001,0),0), INDEX($AN$1004:$BO$1004,1,MATCH(COLUMNS($AN$1006:BM1006),$AN$1006:$BO$1006,0)))),"Fix")))</f>
        <v>0</v>
      </c>
      <c r="AB975" s="4">
        <f>IF(OR(INDEX($AH$2:$AH$1001,MATCH(ROWS($AG$2:AG975),$AG$2:$AG$1001,0),1)&gt;=100000,INDEX($AN$1005:$BO$1005,1,MATCH(COLUMNS($AN$1006:BN1006),$AN$1006:$BO$1006,0))&gt;=100000), " ",IF(INDEX($AN$2:$BO$1001,MATCH(ROWS($AG$2:AG975),$AG$2:$AG$1001,0),MATCH(COLUMNS($AN$1006:BN1006),$AN$1006:$BO$1006,0)), HYPERLINK("#",""), HYPERLINK(CONCATENATE("#Metadata!", ADDRESS(INDEX($AI$2:$AI$1001,MATCH(ROWS($AG$2:AG975),$AG$2:$AG$1001,0),0), INDEX($AN$1004:$BO$1004,1,MATCH(COLUMNS($AN$1006:BN1006),$AN$1006:$BO$1006,0)))),"Fix")))</f>
        <v>0</v>
      </c>
      <c r="AC975" s="4">
        <f>IF(OR(INDEX($AH$2:$AH$1001,MATCH(ROWS($AG$2:AG975),$AG$2:$AG$1001,0),1)&gt;=100000,INDEX($AN$1005:$BO$1005,1,MATCH(COLUMNS($AN$1006:BO1006),$AN$1006:$BO$1006,0))&gt;=100000), " ",IF(INDEX($AN$2:$BO$1001,MATCH(ROWS($AG$2:AG975),$AG$2:$AG$1001,0),MATCH(COLUMNS($AN$1006:BO1006),$AN$1006:$BO$1006,0)), HYPERLINK("#",""), HYPERLINK(CONCATENATE("#Metadata!", ADDRESS(INDEX($AI$2:$AI$1001,MATCH(ROWS($AG$2:AG975),$AG$2:$AG$1001,0),0), INDEX($AN$1004:$BO$1004,1,MATCH(COLUMNS($AN$1006:BO1006),$AN$1006:$BO$1006,0)))),"Fix")))</f>
        <v>0</v>
      </c>
      <c r="AG975">
        <v>0</v>
      </c>
      <c r="AH975">
        <v>0</v>
      </c>
      <c r="AI975">
        <v>0</v>
      </c>
      <c r="AJ975">
        <f>IF(AK975,TRUE,AND(AN975:BO975))</f>
        <v>0</v>
      </c>
      <c r="AK975">
        <f>COUNTBLANK(Metadata!B975:AC975)=COLUMNS(Metadata!B975:AC975)</f>
        <v>0</v>
      </c>
      <c r="AL975">
        <v>0</v>
      </c>
      <c r="AN975">
        <f>AND(IF(Metadata!B975="",FALSE,TRUE),COUNTIF(Metadata!B:B, Metadata!B975) = 1,NOT(ISERROR(SUMPRODUCT(SEARCH(MID(Metadata!B975,ROW(INDIRECT("1:"&amp;LEN(Metadata!B975))), 1),"0123456789abcdefghijklmnopqrstuvwxyzABCDEFGHIJKLMNOPQRSTUVWXYZ.")))))</f>
        <v>0</v>
      </c>
      <c r="AO975">
        <f>IF(Metadata!C975="",FALSE,TRUE)</f>
        <v>0</v>
      </c>
      <c r="AP975">
        <f>IF(Metadata!D975="",FALSE,TRUE)</f>
        <v>0</v>
      </c>
      <c r="AQ975">
        <f>OR(AND(IF(Metadata!E975="",FALSE,TRUE),OR(exact(Metadata!E975,"not collected"),exact(Metadata!E975,"not provided"),exact(Metadata!E975,"restricted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R975">
        <f>IF(Metadata!F975="",FALSE,TRUE)</f>
        <v>0</v>
      </c>
      <c r="AS975">
        <f>OR(AND(IF(Metadata!G975="",FALSE,TRUE),OR(exact(Metadata!G975,"not collected"),exact(Metadata!G975,"not provided"))),AND(IF(Metadata!G975="",FALSE,TRUE),OR(exact(Metadata!G975,"TRUE"),exact(Metadata!G975,"FALSE"))))</f>
        <v>0</v>
      </c>
      <c r="AT975">
        <f>OR(AND(IF(Metadata!H975="",FALSE,TRUE),OR(exact(Metadata!H975,"not collected"),exact(Metadata!H975,"not provided"),exact(Metadata!H975,"restricted access"))),AND(IF(Metadata!H975="",FALSE,ISNUMBER(VALUE(Metadata!H975))),Metadata!H975&gt;=-413.0))</f>
        <v>0</v>
      </c>
      <c r="AU975">
        <f>AND(IF(Metadata!I975="",FALSE,TRUE),exact(Metadata!I975,"meters"))</f>
        <v>0</v>
      </c>
      <c r="AV975">
        <f>AND(IF(Metadata!J975="",FALSE,TRUE),OR(exact(Metadata!J975,"Host-associated"),exact(Metadata!J975,"Free-living")))</f>
        <v>0</v>
      </c>
      <c r="AW975">
        <f>AND(IF(Metadata!K975="",FALSE,TRUE),OR(exact(Metadata!K975,"Animal"),exact(Metadata!K975,"Fungus"),exact(Metadata!K975,"Plant"),exact(Metadata!K975,"Saline"),exact(Metadata!K975,"Non-saline")))</f>
        <v>0</v>
      </c>
      <c r="AX975">
        <f>AND(IF(Metadata!L975="",FALSE,TRUE),OR(exact(Metadata!L975,"Plant secretion"),exact(Metadata!L975,"Plant rhizosphere"),exact(Metadata!L975,"Plant surface"),exact(Metadata!L975,"Plant corpus"),exact(Metadata!L975,"Fungus surface"),exact(Metadata!L975,"Fungus corpus"),exact(Metadata!L975,"Animal surface"),exact(Metadata!L975,"Animal proximal gut"),exact(Metadata!L975,"Animal corpus"),exact(Metadata!L975,"Animal distal gut"),exact(Metadata!L975,"Animal secretion"),exact(Metadata!L975,"Sub-surface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Y975">
        <f>IF(Metadata!M975="",FALSE,TRUE)</f>
        <v>0</v>
      </c>
      <c r="AZ975">
        <f>IF(Metadata!N975="",FALSE,TRUE)</f>
        <v>0</v>
      </c>
      <c r="BA975">
        <f>IF(Metadata!O975="",FALSE,TRUE)</f>
        <v>0</v>
      </c>
      <c r="BB975">
        <f>OR(AND(IF(Metadata!P975="",FALSE,TRUE),OR(exact(Metadata!P975,"not collected"),exact(Metadata!P975,"not provided"),exact(Metadata!P975,"restricted access"))),AND(IF(Metadata!P975="",FALSE,TRUE),OR(exact(Metadata!P975,"air"),exact(Metadata!P975,"built environment"),exact(Metadata!P975,"host-associated"),exact(Metadata!P975,"human-associated"),exact(Metadata!P975,"human-skin"),exact(Metadata!P975,"human-oral"),exact(Metadata!P975,"human-gut"),exact(Metadata!P975,"human-vaginal"),exact(Metadata!P975,"microbial mat/biofilm"),exact(Metadata!P975,"misc environment"),exact(Metadata!P975,"plant-associated"),exact(Metadata!P975,"sediment"),exact(Metadata!P975,"soil"),exact(Metadata!P975,"wastewater/sludge"),exact(Metadata!P975,"water"))))</f>
        <v>0</v>
      </c>
      <c r="BC975">
        <f>IF(Metadata!Q975="",FALSE,TRUE)</f>
        <v>0</v>
      </c>
      <c r="BD975">
        <f>IF(Metadata!R975="",FALSE,TRUE)</f>
        <v>0</v>
      </c>
      <c r="BE975">
        <f>OR(AND(IF(Metadata!S975="",FALSE,TRUE),OR(exact(Metadata!S975,"not collected"),exact(Metadata!S975,"not provided"),exact(Metadata!S975,"restricted access"))),AND(IF(Metadata!S975="",FALSE,ISNUMBER(VALUE(Metadata!S975))),Metadata!S975&gt;=-90.00,Metadata!S975&lt;=90.00))</f>
        <v>0</v>
      </c>
      <c r="BF975">
        <f>AND(IF(Metadata!T975="",FALSE,TRUE),exact(Metadata!T975,"Decimal degrees"))</f>
        <v>0</v>
      </c>
      <c r="BG975">
        <f>OR(AND(IF(Metadata!U975="",FALSE,TRUE),OR(exact(Metadata!U975,"not collected"),exact(Metadata!U975,"not provided"),exact(Metadata!U975,"restricted access"))),AND(IF(Metadata!U975="",FALSE,ISNUMBER(VALUE(Metadata!U975))),Metadata!U975&gt;=-180.00,Metadata!U975&lt;=180.00))</f>
        <v>0</v>
      </c>
      <c r="BH975">
        <f>AND(IF(Metadata!V975="",FALSE,TRUE),exact(Metadata!V975,"Decimal degrees"))</f>
        <v>0</v>
      </c>
      <c r="BI975">
        <f>IF(Metadata!W975="",FALSE,TRUE)</f>
        <v>0</v>
      </c>
      <c r="BJ975">
        <f>OR(AND(IF(Metadata!X975="",FALSE,TRUE),OR(exact(Metadata!X975,"not collected"),exact(Metadata!X975,"not provided"),exact(Metadata!X975,"restricted access"))),AND(IF(Metadata!X975="",FALSE,TRUE),OR(exact(Metadata!X975,"TRUE"),exact(Metadata!X975,"FALSE"))))</f>
        <v>0</v>
      </c>
      <c r="BK975">
        <f>AND(IF(Metadata!Y975="",FALSE,TRUE),exact(Metadata!Y975,"other"))</f>
        <v>0</v>
      </c>
      <c r="BL975">
        <f>IF(Metadata!Z975="",FALSE,TRUE)</f>
        <v>0</v>
      </c>
      <c r="BM975">
        <f>OR(AND(IF(Metadata!AA975="",FALSE,TRUE),OR(exact(Metadata!AA975,"not collected"),exact(Metadata!AA975,"not provided"))),AND(IF(Metadata!AA975="",FALSE,IF(ISERROR(INT(Metadata!AA975)),FALSE,INT(Metadata!AA975)=Metadata!AA975)),Metadata!AA975&gt;0))</f>
        <v>0</v>
      </c>
      <c r="BN975">
        <f>AND(IF(Metadata!AB975="",FALSE,TRUE),exact(Metadata!AB975,"Not applicable"))</f>
        <v>0</v>
      </c>
      <c r="BO975">
        <f>IF(Metadata!AC975="",FALSE,TRUE)</f>
        <v>0</v>
      </c>
    </row>
    <row r="976" spans="1:67">
      <c r="A976" s="5">
        <f>IF(B976=" "," ",HYPERLINK(CONCATENATE("#metadata!",ADDRESS(INDEX($AI$2:$AI$1001,MATCH(ROWS($AG$2:AG976),$AG$2:$AG$1001,0),0),1)),INDEX($AL$2:$AL$1001,MATCH(ROWS($AG$2:AG976),$AG$2:$AG$1001,0),0)))</f>
        <v>0</v>
      </c>
      <c r="B976" s="4">
        <f>IF(OR(INDEX($AH$2:$AH$1001,MATCH(ROWS($AG$2:AG976),$AG$2:$AG$1001,0),1)&gt;=100000,INDEX($AN$1005:$BO$1005,1,MATCH(COLUMNS($AN$1006:AN1006),$AN$1006:$BO$1006,0))&gt;=100000), " ",IF(INDEX($AN$2:$BO$1001,MATCH(ROWS($AG$2:AG976),$AG$2:$AG$1001,0),MATCH(COLUMNS($AN$1006:AN1006),$AN$1006:$BO$1006,0)), HYPERLINK("#",""), HYPERLINK(CONCATENATE("#Metadata!", ADDRESS(INDEX($AI$2:$AI$1001,MATCH(ROWS($AG$2:AG976),$AG$2:$AG$1001,0),0), INDEX($AN$1004:$BO$1004,1,MATCH(COLUMNS($AN$1006:AN1006),$AN$1006:$BO$1006,0)))),"Fix")))</f>
        <v>0</v>
      </c>
      <c r="C976" s="4">
        <f>IF(OR(INDEX($AH$2:$AH$1001,MATCH(ROWS($AG$2:AG976),$AG$2:$AG$1001,0),1)&gt;=100000,INDEX($AN$1005:$BO$1005,1,MATCH(COLUMNS($AN$1006:AO1006),$AN$1006:$BO$1006,0))&gt;=100000), " ",IF(INDEX($AN$2:$BO$1001,MATCH(ROWS($AG$2:AG976),$AG$2:$AG$1001,0),MATCH(COLUMNS($AN$1006:AO1006),$AN$1006:$BO$1006,0)), HYPERLINK("#",""), HYPERLINK(CONCATENATE("#Metadata!", ADDRESS(INDEX($AI$2:$AI$1001,MATCH(ROWS($AG$2:AG976),$AG$2:$AG$1001,0),0), INDEX($AN$1004:$BO$1004,1,MATCH(COLUMNS($AN$1006:AO1006),$AN$1006:$BO$1006,0)))),"Fix")))</f>
        <v>0</v>
      </c>
      <c r="D976" s="4">
        <f>IF(OR(INDEX($AH$2:$AH$1001,MATCH(ROWS($AG$2:AG976),$AG$2:$AG$1001,0),1)&gt;=100000,INDEX($AN$1005:$BO$1005,1,MATCH(COLUMNS($AN$1006:AP1006),$AN$1006:$BO$1006,0))&gt;=100000), " ",IF(INDEX($AN$2:$BO$1001,MATCH(ROWS($AG$2:AG976),$AG$2:$AG$1001,0),MATCH(COLUMNS($AN$1006:AP1006),$AN$1006:$BO$1006,0)), HYPERLINK("#",""), HYPERLINK(CONCATENATE("#Metadata!", ADDRESS(INDEX($AI$2:$AI$1001,MATCH(ROWS($AG$2:AG976),$AG$2:$AG$1001,0),0), INDEX($AN$1004:$BO$1004,1,MATCH(COLUMNS($AN$1006:AP1006),$AN$1006:$BO$1006,0)))),"Fix")))</f>
        <v>0</v>
      </c>
      <c r="E976" s="4">
        <f>IF(OR(INDEX($AH$2:$AH$1001,MATCH(ROWS($AG$2:AG976),$AG$2:$AG$1001,0),1)&gt;=100000,INDEX($AN$1005:$BO$1005,1,MATCH(COLUMNS($AN$1006:AQ1006),$AN$1006:$BO$1006,0))&gt;=100000), " ",IF(INDEX($AN$2:$BO$1001,MATCH(ROWS($AG$2:AG976),$AG$2:$AG$1001,0),MATCH(COLUMNS($AN$1006:AQ1006),$AN$1006:$BO$1006,0)), HYPERLINK("#",""), HYPERLINK(CONCATENATE("#Metadata!", ADDRESS(INDEX($AI$2:$AI$1001,MATCH(ROWS($AG$2:AG976),$AG$2:$AG$1001,0),0), INDEX($AN$1004:$BO$1004,1,MATCH(COLUMNS($AN$1006:AQ1006),$AN$1006:$BO$1006,0)))),"Fix")))</f>
        <v>0</v>
      </c>
      <c r="F976" s="4">
        <f>IF(OR(INDEX($AH$2:$AH$1001,MATCH(ROWS($AG$2:AG976),$AG$2:$AG$1001,0),1)&gt;=100000,INDEX($AN$1005:$BO$1005,1,MATCH(COLUMNS($AN$1006:AR1006),$AN$1006:$BO$1006,0))&gt;=100000), " ",IF(INDEX($AN$2:$BO$1001,MATCH(ROWS($AG$2:AG976),$AG$2:$AG$1001,0),MATCH(COLUMNS($AN$1006:AR1006),$AN$1006:$BO$1006,0)), HYPERLINK("#",""), HYPERLINK(CONCATENATE("#Metadata!", ADDRESS(INDEX($AI$2:$AI$1001,MATCH(ROWS($AG$2:AG976),$AG$2:$AG$1001,0),0), INDEX($AN$1004:$BO$1004,1,MATCH(COLUMNS($AN$1006:AR1006),$AN$1006:$BO$1006,0)))),"Fix")))</f>
        <v>0</v>
      </c>
      <c r="G976" s="4">
        <f>IF(OR(INDEX($AH$2:$AH$1001,MATCH(ROWS($AG$2:AG976),$AG$2:$AG$1001,0),1)&gt;=100000,INDEX($AN$1005:$BO$1005,1,MATCH(COLUMNS($AN$1006:AS1006),$AN$1006:$BO$1006,0))&gt;=100000), " ",IF(INDEX($AN$2:$BO$1001,MATCH(ROWS($AG$2:AG976),$AG$2:$AG$1001,0),MATCH(COLUMNS($AN$1006:AS1006),$AN$1006:$BO$1006,0)), HYPERLINK("#",""), HYPERLINK(CONCATENATE("#Metadata!", ADDRESS(INDEX($AI$2:$AI$1001,MATCH(ROWS($AG$2:AG976),$AG$2:$AG$1001,0),0), INDEX($AN$1004:$BO$1004,1,MATCH(COLUMNS($AN$1006:AS1006),$AN$1006:$BO$1006,0)))),"Fix")))</f>
        <v>0</v>
      </c>
      <c r="H976" s="4">
        <f>IF(OR(INDEX($AH$2:$AH$1001,MATCH(ROWS($AG$2:AG976),$AG$2:$AG$1001,0),1)&gt;=100000,INDEX($AN$1005:$BO$1005,1,MATCH(COLUMNS($AN$1006:AT1006),$AN$1006:$BO$1006,0))&gt;=100000), " ",IF(INDEX($AN$2:$BO$1001,MATCH(ROWS($AG$2:AG976),$AG$2:$AG$1001,0),MATCH(COLUMNS($AN$1006:AT1006),$AN$1006:$BO$1006,0)), HYPERLINK("#",""), HYPERLINK(CONCATENATE("#Metadata!", ADDRESS(INDEX($AI$2:$AI$1001,MATCH(ROWS($AG$2:AG976),$AG$2:$AG$1001,0),0), INDEX($AN$1004:$BO$1004,1,MATCH(COLUMNS($AN$1006:AT1006),$AN$1006:$BO$1006,0)))),"Fix")))</f>
        <v>0</v>
      </c>
      <c r="I976" s="4">
        <f>IF(OR(INDEX($AH$2:$AH$1001,MATCH(ROWS($AG$2:AG976),$AG$2:$AG$1001,0),1)&gt;=100000,INDEX($AN$1005:$BO$1005,1,MATCH(COLUMNS($AN$1006:AU1006),$AN$1006:$BO$1006,0))&gt;=100000), " ",IF(INDEX($AN$2:$BO$1001,MATCH(ROWS($AG$2:AG976),$AG$2:$AG$1001,0),MATCH(COLUMNS($AN$1006:AU1006),$AN$1006:$BO$1006,0)), HYPERLINK("#",""), HYPERLINK(CONCATENATE("#Metadata!", ADDRESS(INDEX($AI$2:$AI$1001,MATCH(ROWS($AG$2:AG976),$AG$2:$AG$1001,0),0), INDEX($AN$1004:$BO$1004,1,MATCH(COLUMNS($AN$1006:AU1006),$AN$1006:$BO$1006,0)))),"Fix")))</f>
        <v>0</v>
      </c>
      <c r="J976" s="4">
        <f>IF(OR(INDEX($AH$2:$AH$1001,MATCH(ROWS($AG$2:AG976),$AG$2:$AG$1001,0),1)&gt;=100000,INDEX($AN$1005:$BO$1005,1,MATCH(COLUMNS($AN$1006:AV1006),$AN$1006:$BO$1006,0))&gt;=100000), " ",IF(INDEX($AN$2:$BO$1001,MATCH(ROWS($AG$2:AG976),$AG$2:$AG$1001,0),MATCH(COLUMNS($AN$1006:AV1006),$AN$1006:$BO$1006,0)), HYPERLINK("#",""), HYPERLINK(CONCATENATE("#Metadata!", ADDRESS(INDEX($AI$2:$AI$1001,MATCH(ROWS($AG$2:AG976),$AG$2:$AG$1001,0),0), INDEX($AN$1004:$BO$1004,1,MATCH(COLUMNS($AN$1006:AV1006),$AN$1006:$BO$1006,0)))),"Fix")))</f>
        <v>0</v>
      </c>
      <c r="K976" s="4">
        <f>IF(OR(INDEX($AH$2:$AH$1001,MATCH(ROWS($AG$2:AG976),$AG$2:$AG$1001,0),1)&gt;=100000,INDEX($AN$1005:$BO$1005,1,MATCH(COLUMNS($AN$1006:AW1006),$AN$1006:$BO$1006,0))&gt;=100000), " ",IF(INDEX($AN$2:$BO$1001,MATCH(ROWS($AG$2:AG976),$AG$2:$AG$1001,0),MATCH(COLUMNS($AN$1006:AW1006),$AN$1006:$BO$1006,0)), HYPERLINK("#",""), HYPERLINK(CONCATENATE("#Metadata!", ADDRESS(INDEX($AI$2:$AI$1001,MATCH(ROWS($AG$2:AG976),$AG$2:$AG$1001,0),0), INDEX($AN$1004:$BO$1004,1,MATCH(COLUMNS($AN$1006:AW1006),$AN$1006:$BO$1006,0)))),"Fix")))</f>
        <v>0</v>
      </c>
      <c r="L976" s="4">
        <f>IF(OR(INDEX($AH$2:$AH$1001,MATCH(ROWS($AG$2:AG976),$AG$2:$AG$1001,0),1)&gt;=100000,INDEX($AN$1005:$BO$1005,1,MATCH(COLUMNS($AN$1006:AX1006),$AN$1006:$BO$1006,0))&gt;=100000), " ",IF(INDEX($AN$2:$BO$1001,MATCH(ROWS($AG$2:AG976),$AG$2:$AG$1001,0),MATCH(COLUMNS($AN$1006:AX1006),$AN$1006:$BO$1006,0)), HYPERLINK("#",""), HYPERLINK(CONCATENATE("#Metadata!", ADDRESS(INDEX($AI$2:$AI$1001,MATCH(ROWS($AG$2:AG976),$AG$2:$AG$1001,0),0), INDEX($AN$1004:$BO$1004,1,MATCH(COLUMNS($AN$1006:AX1006),$AN$1006:$BO$1006,0)))),"Fix")))</f>
        <v>0</v>
      </c>
      <c r="M976" s="4">
        <f>IF(OR(INDEX($AH$2:$AH$1001,MATCH(ROWS($AG$2:AG976),$AG$2:$AG$1001,0),1)&gt;=100000,INDEX($AN$1005:$BO$1005,1,MATCH(COLUMNS($AN$1006:AY1006),$AN$1006:$BO$1006,0))&gt;=100000), " ",IF(INDEX($AN$2:$BO$1001,MATCH(ROWS($AG$2:AG976),$AG$2:$AG$1001,0),MATCH(COLUMNS($AN$1006:AY1006),$AN$1006:$BO$1006,0)), HYPERLINK("#",""), HYPERLINK(CONCATENATE("#Metadata!", ADDRESS(INDEX($AI$2:$AI$1001,MATCH(ROWS($AG$2:AG976),$AG$2:$AG$1001,0),0), INDEX($AN$1004:$BO$1004,1,MATCH(COLUMNS($AN$1006:AY1006),$AN$1006:$BO$1006,0)))),"Fix")))</f>
        <v>0</v>
      </c>
      <c r="N976" s="4">
        <f>IF(OR(INDEX($AH$2:$AH$1001,MATCH(ROWS($AG$2:AG976),$AG$2:$AG$1001,0),1)&gt;=100000,INDEX($AN$1005:$BO$1005,1,MATCH(COLUMNS($AN$1006:AZ1006),$AN$1006:$BO$1006,0))&gt;=100000), " ",IF(INDEX($AN$2:$BO$1001,MATCH(ROWS($AG$2:AG976),$AG$2:$AG$1001,0),MATCH(COLUMNS($AN$1006:AZ1006),$AN$1006:$BO$1006,0)), HYPERLINK("#",""), HYPERLINK(CONCATENATE("#Metadata!", ADDRESS(INDEX($AI$2:$AI$1001,MATCH(ROWS($AG$2:AG976),$AG$2:$AG$1001,0),0), INDEX($AN$1004:$BO$1004,1,MATCH(COLUMNS($AN$1006:AZ1006),$AN$1006:$BO$1006,0)))),"Fix")))</f>
        <v>0</v>
      </c>
      <c r="O976" s="4">
        <f>IF(OR(INDEX($AH$2:$AH$1001,MATCH(ROWS($AG$2:AG976),$AG$2:$AG$1001,0),1)&gt;=100000,INDEX($AN$1005:$BO$1005,1,MATCH(COLUMNS($AN$1006:BA1006),$AN$1006:$BO$1006,0))&gt;=100000), " ",IF(INDEX($AN$2:$BO$1001,MATCH(ROWS($AG$2:AG976),$AG$2:$AG$1001,0),MATCH(COLUMNS($AN$1006:BA1006),$AN$1006:$BO$1006,0)), HYPERLINK("#",""), HYPERLINK(CONCATENATE("#Metadata!", ADDRESS(INDEX($AI$2:$AI$1001,MATCH(ROWS($AG$2:AG976),$AG$2:$AG$1001,0),0), INDEX($AN$1004:$BO$1004,1,MATCH(COLUMNS($AN$1006:BA1006),$AN$1006:$BO$1006,0)))),"Fix")))</f>
        <v>0</v>
      </c>
      <c r="P976" s="4">
        <f>IF(OR(INDEX($AH$2:$AH$1001,MATCH(ROWS($AG$2:AG976),$AG$2:$AG$1001,0),1)&gt;=100000,INDEX($AN$1005:$BO$1005,1,MATCH(COLUMNS($AN$1006:BB1006),$AN$1006:$BO$1006,0))&gt;=100000), " ",IF(INDEX($AN$2:$BO$1001,MATCH(ROWS($AG$2:AG976),$AG$2:$AG$1001,0),MATCH(COLUMNS($AN$1006:BB1006),$AN$1006:$BO$1006,0)), HYPERLINK("#",""), HYPERLINK(CONCATENATE("#Metadata!", ADDRESS(INDEX($AI$2:$AI$1001,MATCH(ROWS($AG$2:AG976),$AG$2:$AG$1001,0),0), INDEX($AN$1004:$BO$1004,1,MATCH(COLUMNS($AN$1006:BB1006),$AN$1006:$BO$1006,0)))),"Fix")))</f>
        <v>0</v>
      </c>
      <c r="Q976" s="4">
        <f>IF(OR(INDEX($AH$2:$AH$1001,MATCH(ROWS($AG$2:AG976),$AG$2:$AG$1001,0),1)&gt;=100000,INDEX($AN$1005:$BO$1005,1,MATCH(COLUMNS($AN$1006:BC1006),$AN$1006:$BO$1006,0))&gt;=100000), " ",IF(INDEX($AN$2:$BO$1001,MATCH(ROWS($AG$2:AG976),$AG$2:$AG$1001,0),MATCH(COLUMNS($AN$1006:BC1006),$AN$1006:$BO$1006,0)), HYPERLINK("#",""), HYPERLINK(CONCATENATE("#Metadata!", ADDRESS(INDEX($AI$2:$AI$1001,MATCH(ROWS($AG$2:AG976),$AG$2:$AG$1001,0),0), INDEX($AN$1004:$BO$1004,1,MATCH(COLUMNS($AN$1006:BC1006),$AN$1006:$BO$1006,0)))),"Fix")))</f>
        <v>0</v>
      </c>
      <c r="R976" s="4">
        <f>IF(OR(INDEX($AH$2:$AH$1001,MATCH(ROWS($AG$2:AG976),$AG$2:$AG$1001,0),1)&gt;=100000,INDEX($AN$1005:$BO$1005,1,MATCH(COLUMNS($AN$1006:BD1006),$AN$1006:$BO$1006,0))&gt;=100000), " ",IF(INDEX($AN$2:$BO$1001,MATCH(ROWS($AG$2:AG976),$AG$2:$AG$1001,0),MATCH(COLUMNS($AN$1006:BD1006),$AN$1006:$BO$1006,0)), HYPERLINK("#",""), HYPERLINK(CONCATENATE("#Metadata!", ADDRESS(INDEX($AI$2:$AI$1001,MATCH(ROWS($AG$2:AG976),$AG$2:$AG$1001,0),0), INDEX($AN$1004:$BO$1004,1,MATCH(COLUMNS($AN$1006:BD1006),$AN$1006:$BO$1006,0)))),"Fix")))</f>
        <v>0</v>
      </c>
      <c r="S976" s="4">
        <f>IF(OR(INDEX($AH$2:$AH$1001,MATCH(ROWS($AG$2:AG976),$AG$2:$AG$1001,0),1)&gt;=100000,INDEX($AN$1005:$BO$1005,1,MATCH(COLUMNS($AN$1006:BE1006),$AN$1006:$BO$1006,0))&gt;=100000), " ",IF(INDEX($AN$2:$BO$1001,MATCH(ROWS($AG$2:AG976),$AG$2:$AG$1001,0),MATCH(COLUMNS($AN$1006:BE1006),$AN$1006:$BO$1006,0)), HYPERLINK("#",""), HYPERLINK(CONCATENATE("#Metadata!", ADDRESS(INDEX($AI$2:$AI$1001,MATCH(ROWS($AG$2:AG976),$AG$2:$AG$1001,0),0), INDEX($AN$1004:$BO$1004,1,MATCH(COLUMNS($AN$1006:BE1006),$AN$1006:$BO$1006,0)))),"Fix")))</f>
        <v>0</v>
      </c>
      <c r="T976" s="4">
        <f>IF(OR(INDEX($AH$2:$AH$1001,MATCH(ROWS($AG$2:AG976),$AG$2:$AG$1001,0),1)&gt;=100000,INDEX($AN$1005:$BO$1005,1,MATCH(COLUMNS($AN$1006:BF1006),$AN$1006:$BO$1006,0))&gt;=100000), " ",IF(INDEX($AN$2:$BO$1001,MATCH(ROWS($AG$2:AG976),$AG$2:$AG$1001,0),MATCH(COLUMNS($AN$1006:BF1006),$AN$1006:$BO$1006,0)), HYPERLINK("#",""), HYPERLINK(CONCATENATE("#Metadata!", ADDRESS(INDEX($AI$2:$AI$1001,MATCH(ROWS($AG$2:AG976),$AG$2:$AG$1001,0),0), INDEX($AN$1004:$BO$1004,1,MATCH(COLUMNS($AN$1006:BF1006),$AN$1006:$BO$1006,0)))),"Fix")))</f>
        <v>0</v>
      </c>
      <c r="U976" s="4">
        <f>IF(OR(INDEX($AH$2:$AH$1001,MATCH(ROWS($AG$2:AG976),$AG$2:$AG$1001,0),1)&gt;=100000,INDEX($AN$1005:$BO$1005,1,MATCH(COLUMNS($AN$1006:BG1006),$AN$1006:$BO$1006,0))&gt;=100000), " ",IF(INDEX($AN$2:$BO$1001,MATCH(ROWS($AG$2:AG976),$AG$2:$AG$1001,0),MATCH(COLUMNS($AN$1006:BG1006),$AN$1006:$BO$1006,0)), HYPERLINK("#",""), HYPERLINK(CONCATENATE("#Metadata!", ADDRESS(INDEX($AI$2:$AI$1001,MATCH(ROWS($AG$2:AG976),$AG$2:$AG$1001,0),0), INDEX($AN$1004:$BO$1004,1,MATCH(COLUMNS($AN$1006:BG1006),$AN$1006:$BO$1006,0)))),"Fix")))</f>
        <v>0</v>
      </c>
      <c r="V976" s="4">
        <f>IF(OR(INDEX($AH$2:$AH$1001,MATCH(ROWS($AG$2:AG976),$AG$2:$AG$1001,0),1)&gt;=100000,INDEX($AN$1005:$BO$1005,1,MATCH(COLUMNS($AN$1006:BH1006),$AN$1006:$BO$1006,0))&gt;=100000), " ",IF(INDEX($AN$2:$BO$1001,MATCH(ROWS($AG$2:AG976),$AG$2:$AG$1001,0),MATCH(COLUMNS($AN$1006:BH1006),$AN$1006:$BO$1006,0)), HYPERLINK("#",""), HYPERLINK(CONCATENATE("#Metadata!", ADDRESS(INDEX($AI$2:$AI$1001,MATCH(ROWS($AG$2:AG976),$AG$2:$AG$1001,0),0), INDEX($AN$1004:$BO$1004,1,MATCH(COLUMNS($AN$1006:BH1006),$AN$1006:$BO$1006,0)))),"Fix")))</f>
        <v>0</v>
      </c>
      <c r="W976" s="4">
        <f>IF(OR(INDEX($AH$2:$AH$1001,MATCH(ROWS($AG$2:AG976),$AG$2:$AG$1001,0),1)&gt;=100000,INDEX($AN$1005:$BO$1005,1,MATCH(COLUMNS($AN$1006:BI1006),$AN$1006:$BO$1006,0))&gt;=100000), " ",IF(INDEX($AN$2:$BO$1001,MATCH(ROWS($AG$2:AG976),$AG$2:$AG$1001,0),MATCH(COLUMNS($AN$1006:BI1006),$AN$1006:$BO$1006,0)), HYPERLINK("#",""), HYPERLINK(CONCATENATE("#Metadata!", ADDRESS(INDEX($AI$2:$AI$1001,MATCH(ROWS($AG$2:AG976),$AG$2:$AG$1001,0),0), INDEX($AN$1004:$BO$1004,1,MATCH(COLUMNS($AN$1006:BI1006),$AN$1006:$BO$1006,0)))),"Fix")))</f>
        <v>0</v>
      </c>
      <c r="X976" s="4">
        <f>IF(OR(INDEX($AH$2:$AH$1001,MATCH(ROWS($AG$2:AG976),$AG$2:$AG$1001,0),1)&gt;=100000,INDEX($AN$1005:$BO$1005,1,MATCH(COLUMNS($AN$1006:BJ1006),$AN$1006:$BO$1006,0))&gt;=100000), " ",IF(INDEX($AN$2:$BO$1001,MATCH(ROWS($AG$2:AG976),$AG$2:$AG$1001,0),MATCH(COLUMNS($AN$1006:BJ1006),$AN$1006:$BO$1006,0)), HYPERLINK("#",""), HYPERLINK(CONCATENATE("#Metadata!", ADDRESS(INDEX($AI$2:$AI$1001,MATCH(ROWS($AG$2:AG976),$AG$2:$AG$1001,0),0), INDEX($AN$1004:$BO$1004,1,MATCH(COLUMNS($AN$1006:BJ1006),$AN$1006:$BO$1006,0)))),"Fix")))</f>
        <v>0</v>
      </c>
      <c r="Y976" s="4">
        <f>IF(OR(INDEX($AH$2:$AH$1001,MATCH(ROWS($AG$2:AG976),$AG$2:$AG$1001,0),1)&gt;=100000,INDEX($AN$1005:$BO$1005,1,MATCH(COLUMNS($AN$1006:BK1006),$AN$1006:$BO$1006,0))&gt;=100000), " ",IF(INDEX($AN$2:$BO$1001,MATCH(ROWS($AG$2:AG976),$AG$2:$AG$1001,0),MATCH(COLUMNS($AN$1006:BK1006),$AN$1006:$BO$1006,0)), HYPERLINK("#",""), HYPERLINK(CONCATENATE("#Metadata!", ADDRESS(INDEX($AI$2:$AI$1001,MATCH(ROWS($AG$2:AG976),$AG$2:$AG$1001,0),0), INDEX($AN$1004:$BO$1004,1,MATCH(COLUMNS($AN$1006:BK1006),$AN$1006:$BO$1006,0)))),"Fix")))</f>
        <v>0</v>
      </c>
      <c r="Z976" s="4">
        <f>IF(OR(INDEX($AH$2:$AH$1001,MATCH(ROWS($AG$2:AG976),$AG$2:$AG$1001,0),1)&gt;=100000,INDEX($AN$1005:$BO$1005,1,MATCH(COLUMNS($AN$1006:BL1006),$AN$1006:$BO$1006,0))&gt;=100000), " ",IF(INDEX($AN$2:$BO$1001,MATCH(ROWS($AG$2:AG976),$AG$2:$AG$1001,0),MATCH(COLUMNS($AN$1006:BL1006),$AN$1006:$BO$1006,0)), HYPERLINK("#",""), HYPERLINK(CONCATENATE("#Metadata!", ADDRESS(INDEX($AI$2:$AI$1001,MATCH(ROWS($AG$2:AG976),$AG$2:$AG$1001,0),0), INDEX($AN$1004:$BO$1004,1,MATCH(COLUMNS($AN$1006:BL1006),$AN$1006:$BO$1006,0)))),"Fix")))</f>
        <v>0</v>
      </c>
      <c r="AA976" s="4">
        <f>IF(OR(INDEX($AH$2:$AH$1001,MATCH(ROWS($AG$2:AG976),$AG$2:$AG$1001,0),1)&gt;=100000,INDEX($AN$1005:$BO$1005,1,MATCH(COLUMNS($AN$1006:BM1006),$AN$1006:$BO$1006,0))&gt;=100000), " ",IF(INDEX($AN$2:$BO$1001,MATCH(ROWS($AG$2:AG976),$AG$2:$AG$1001,0),MATCH(COLUMNS($AN$1006:BM1006),$AN$1006:$BO$1006,0)), HYPERLINK("#",""), HYPERLINK(CONCATENATE("#Metadata!", ADDRESS(INDEX($AI$2:$AI$1001,MATCH(ROWS($AG$2:AG976),$AG$2:$AG$1001,0),0), INDEX($AN$1004:$BO$1004,1,MATCH(COLUMNS($AN$1006:BM1006),$AN$1006:$BO$1006,0)))),"Fix")))</f>
        <v>0</v>
      </c>
      <c r="AB976" s="4">
        <f>IF(OR(INDEX($AH$2:$AH$1001,MATCH(ROWS($AG$2:AG976),$AG$2:$AG$1001,0),1)&gt;=100000,INDEX($AN$1005:$BO$1005,1,MATCH(COLUMNS($AN$1006:BN1006),$AN$1006:$BO$1006,0))&gt;=100000), " ",IF(INDEX($AN$2:$BO$1001,MATCH(ROWS($AG$2:AG976),$AG$2:$AG$1001,0),MATCH(COLUMNS($AN$1006:BN1006),$AN$1006:$BO$1006,0)), HYPERLINK("#",""), HYPERLINK(CONCATENATE("#Metadata!", ADDRESS(INDEX($AI$2:$AI$1001,MATCH(ROWS($AG$2:AG976),$AG$2:$AG$1001,0),0), INDEX($AN$1004:$BO$1004,1,MATCH(COLUMNS($AN$1006:BN1006),$AN$1006:$BO$1006,0)))),"Fix")))</f>
        <v>0</v>
      </c>
      <c r="AC976" s="4">
        <f>IF(OR(INDEX($AH$2:$AH$1001,MATCH(ROWS($AG$2:AG976),$AG$2:$AG$1001,0),1)&gt;=100000,INDEX($AN$1005:$BO$1005,1,MATCH(COLUMNS($AN$1006:BO1006),$AN$1006:$BO$1006,0))&gt;=100000), " ",IF(INDEX($AN$2:$BO$1001,MATCH(ROWS($AG$2:AG976),$AG$2:$AG$1001,0),MATCH(COLUMNS($AN$1006:BO1006),$AN$1006:$BO$1006,0)), HYPERLINK("#",""), HYPERLINK(CONCATENATE("#Metadata!", ADDRESS(INDEX($AI$2:$AI$1001,MATCH(ROWS($AG$2:AG976),$AG$2:$AG$1001,0),0), INDEX($AN$1004:$BO$1004,1,MATCH(COLUMNS($AN$1006:BO1006),$AN$1006:$BO$1006,0)))),"Fix")))</f>
        <v>0</v>
      </c>
      <c r="AG976">
        <v>0</v>
      </c>
      <c r="AH976">
        <v>0</v>
      </c>
      <c r="AI976">
        <v>0</v>
      </c>
      <c r="AJ976">
        <f>IF(AK976,TRUE,AND(AN976:BO976))</f>
        <v>0</v>
      </c>
      <c r="AK976">
        <f>COUNTBLANK(Metadata!B976:AC976)=COLUMNS(Metadata!B976:AC976)</f>
        <v>0</v>
      </c>
      <c r="AL976">
        <v>0</v>
      </c>
      <c r="AN976">
        <f>AND(IF(Metadata!B976="",FALSE,TRUE),COUNTIF(Metadata!B:B, Metadata!B976) = 1,NOT(ISERROR(SUMPRODUCT(SEARCH(MID(Metadata!B976,ROW(INDIRECT("1:"&amp;LEN(Metadata!B976))), 1),"0123456789abcdefghijklmnopqrstuvwxyzABCDEFGHIJKLMNOPQRSTUVWXYZ.")))))</f>
        <v>0</v>
      </c>
      <c r="AO976">
        <f>IF(Metadata!C976="",FALSE,TRUE)</f>
        <v>0</v>
      </c>
      <c r="AP976">
        <f>IF(Metadata!D976="",FALSE,TRUE)</f>
        <v>0</v>
      </c>
      <c r="AQ976">
        <f>OR(AND(IF(Metadata!E976="",FALSE,TRUE),OR(exact(Metadata!E976,"not collected"),exact(Metadata!E976,"not provided"),exact(Metadata!E976,"restricted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R976">
        <f>IF(Metadata!F976="",FALSE,TRUE)</f>
        <v>0</v>
      </c>
      <c r="AS976">
        <f>OR(AND(IF(Metadata!G976="",FALSE,TRUE),OR(exact(Metadata!G976,"not collected"),exact(Metadata!G976,"not provided"))),AND(IF(Metadata!G976="",FALSE,TRUE),OR(exact(Metadata!G976,"TRUE"),exact(Metadata!G976,"FALSE"))))</f>
        <v>0</v>
      </c>
      <c r="AT976">
        <f>OR(AND(IF(Metadata!H976="",FALSE,TRUE),OR(exact(Metadata!H976,"not collected"),exact(Metadata!H976,"not provided"),exact(Metadata!H976,"restricted access"))),AND(IF(Metadata!H976="",FALSE,ISNUMBER(VALUE(Metadata!H976))),Metadata!H976&gt;=-413.0))</f>
        <v>0</v>
      </c>
      <c r="AU976">
        <f>AND(IF(Metadata!I976="",FALSE,TRUE),exact(Metadata!I976,"meters"))</f>
        <v>0</v>
      </c>
      <c r="AV976">
        <f>AND(IF(Metadata!J976="",FALSE,TRUE),OR(exact(Metadata!J976,"Host-associated"),exact(Metadata!J976,"Free-living")))</f>
        <v>0</v>
      </c>
      <c r="AW976">
        <f>AND(IF(Metadata!K976="",FALSE,TRUE),OR(exact(Metadata!K976,"Animal"),exact(Metadata!K976,"Fungus"),exact(Metadata!K976,"Plant"),exact(Metadata!K976,"Saline"),exact(Metadata!K976,"Non-saline")))</f>
        <v>0</v>
      </c>
      <c r="AX976">
        <f>AND(IF(Metadata!L976="",FALSE,TRUE),OR(exact(Metadata!L976,"Plant secretion"),exact(Metadata!L976,"Plant rhizosphere"),exact(Metadata!L976,"Plant surface"),exact(Metadata!L976,"Plant corpus"),exact(Metadata!L976,"Fungus surface"),exact(Metadata!L976,"Fungus corpus"),exact(Metadata!L976,"Animal surface"),exact(Metadata!L976,"Animal proximal gut"),exact(Metadata!L976,"Animal corpus"),exact(Metadata!L976,"Animal distal gut"),exact(Metadata!L976,"Animal secretion"),exact(Metadata!L976,"Sub-surface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Y976">
        <f>IF(Metadata!M976="",FALSE,TRUE)</f>
        <v>0</v>
      </c>
      <c r="AZ976">
        <f>IF(Metadata!N976="",FALSE,TRUE)</f>
        <v>0</v>
      </c>
      <c r="BA976">
        <f>IF(Metadata!O976="",FALSE,TRUE)</f>
        <v>0</v>
      </c>
      <c r="BB976">
        <f>OR(AND(IF(Metadata!P976="",FALSE,TRUE),OR(exact(Metadata!P976,"not collected"),exact(Metadata!P976,"not provided"),exact(Metadata!P976,"restricted access"))),AND(IF(Metadata!P976="",FALSE,TRUE),OR(exact(Metadata!P976,"air"),exact(Metadata!P976,"built environment"),exact(Metadata!P976,"host-associated"),exact(Metadata!P976,"human-associated"),exact(Metadata!P976,"human-skin"),exact(Metadata!P976,"human-oral"),exact(Metadata!P976,"human-gut"),exact(Metadata!P976,"human-vaginal"),exact(Metadata!P976,"microbial mat/biofilm"),exact(Metadata!P976,"misc environment"),exact(Metadata!P976,"plant-associated"),exact(Metadata!P976,"sediment"),exact(Metadata!P976,"soil"),exact(Metadata!P976,"wastewater/sludge"),exact(Metadata!P976,"water"))))</f>
        <v>0</v>
      </c>
      <c r="BC976">
        <f>IF(Metadata!Q976="",FALSE,TRUE)</f>
        <v>0</v>
      </c>
      <c r="BD976">
        <f>IF(Metadata!R976="",FALSE,TRUE)</f>
        <v>0</v>
      </c>
      <c r="BE976">
        <f>OR(AND(IF(Metadata!S976="",FALSE,TRUE),OR(exact(Metadata!S976,"not collected"),exact(Metadata!S976,"not provided"),exact(Metadata!S976,"restricted access"))),AND(IF(Metadata!S976="",FALSE,ISNUMBER(VALUE(Metadata!S976))),Metadata!S976&gt;=-90.00,Metadata!S976&lt;=90.00))</f>
        <v>0</v>
      </c>
      <c r="BF976">
        <f>AND(IF(Metadata!T976="",FALSE,TRUE),exact(Metadata!T976,"Decimal degrees"))</f>
        <v>0</v>
      </c>
      <c r="BG976">
        <f>OR(AND(IF(Metadata!U976="",FALSE,TRUE),OR(exact(Metadata!U976,"not collected"),exact(Metadata!U976,"not provided"),exact(Metadata!U976,"restricted access"))),AND(IF(Metadata!U976="",FALSE,ISNUMBER(VALUE(Metadata!U976))),Metadata!U976&gt;=-180.00,Metadata!U976&lt;=180.00))</f>
        <v>0</v>
      </c>
      <c r="BH976">
        <f>AND(IF(Metadata!V976="",FALSE,TRUE),exact(Metadata!V976,"Decimal degrees"))</f>
        <v>0</v>
      </c>
      <c r="BI976">
        <f>IF(Metadata!W976="",FALSE,TRUE)</f>
        <v>0</v>
      </c>
      <c r="BJ976">
        <f>OR(AND(IF(Metadata!X976="",FALSE,TRUE),OR(exact(Metadata!X976,"not collected"),exact(Metadata!X976,"not provided"),exact(Metadata!X976,"restricted access"))),AND(IF(Metadata!X976="",FALSE,TRUE),OR(exact(Metadata!X976,"TRUE"),exact(Metadata!X976,"FALSE"))))</f>
        <v>0</v>
      </c>
      <c r="BK976">
        <f>AND(IF(Metadata!Y976="",FALSE,TRUE),exact(Metadata!Y976,"other"))</f>
        <v>0</v>
      </c>
      <c r="BL976">
        <f>IF(Metadata!Z976="",FALSE,TRUE)</f>
        <v>0</v>
      </c>
      <c r="BM976">
        <f>OR(AND(IF(Metadata!AA976="",FALSE,TRUE),OR(exact(Metadata!AA976,"not collected"),exact(Metadata!AA976,"not provided"))),AND(IF(Metadata!AA976="",FALSE,IF(ISERROR(INT(Metadata!AA976)),FALSE,INT(Metadata!AA976)=Metadata!AA976)),Metadata!AA976&gt;0))</f>
        <v>0</v>
      </c>
      <c r="BN976">
        <f>AND(IF(Metadata!AB976="",FALSE,TRUE),exact(Metadata!AB976,"Not applicable"))</f>
        <v>0</v>
      </c>
      <c r="BO976">
        <f>IF(Metadata!AC976="",FALSE,TRUE)</f>
        <v>0</v>
      </c>
    </row>
    <row r="977" spans="1:67">
      <c r="A977" s="5">
        <f>IF(B977=" "," ",HYPERLINK(CONCATENATE("#metadata!",ADDRESS(INDEX($AI$2:$AI$1001,MATCH(ROWS($AG$2:AG977),$AG$2:$AG$1001,0),0),1)),INDEX($AL$2:$AL$1001,MATCH(ROWS($AG$2:AG977),$AG$2:$AG$1001,0),0)))</f>
        <v>0</v>
      </c>
      <c r="B977" s="4">
        <f>IF(OR(INDEX($AH$2:$AH$1001,MATCH(ROWS($AG$2:AG977),$AG$2:$AG$1001,0),1)&gt;=100000,INDEX($AN$1005:$BO$1005,1,MATCH(COLUMNS($AN$1006:AN1006),$AN$1006:$BO$1006,0))&gt;=100000), " ",IF(INDEX($AN$2:$BO$1001,MATCH(ROWS($AG$2:AG977),$AG$2:$AG$1001,0),MATCH(COLUMNS($AN$1006:AN1006),$AN$1006:$BO$1006,0)), HYPERLINK("#",""), HYPERLINK(CONCATENATE("#Metadata!", ADDRESS(INDEX($AI$2:$AI$1001,MATCH(ROWS($AG$2:AG977),$AG$2:$AG$1001,0),0), INDEX($AN$1004:$BO$1004,1,MATCH(COLUMNS($AN$1006:AN1006),$AN$1006:$BO$1006,0)))),"Fix")))</f>
        <v>0</v>
      </c>
      <c r="C977" s="4">
        <f>IF(OR(INDEX($AH$2:$AH$1001,MATCH(ROWS($AG$2:AG977),$AG$2:$AG$1001,0),1)&gt;=100000,INDEX($AN$1005:$BO$1005,1,MATCH(COLUMNS($AN$1006:AO1006),$AN$1006:$BO$1006,0))&gt;=100000), " ",IF(INDEX($AN$2:$BO$1001,MATCH(ROWS($AG$2:AG977),$AG$2:$AG$1001,0),MATCH(COLUMNS($AN$1006:AO1006),$AN$1006:$BO$1006,0)), HYPERLINK("#",""), HYPERLINK(CONCATENATE("#Metadata!", ADDRESS(INDEX($AI$2:$AI$1001,MATCH(ROWS($AG$2:AG977),$AG$2:$AG$1001,0),0), INDEX($AN$1004:$BO$1004,1,MATCH(COLUMNS($AN$1006:AO1006),$AN$1006:$BO$1006,0)))),"Fix")))</f>
        <v>0</v>
      </c>
      <c r="D977" s="4">
        <f>IF(OR(INDEX($AH$2:$AH$1001,MATCH(ROWS($AG$2:AG977),$AG$2:$AG$1001,0),1)&gt;=100000,INDEX($AN$1005:$BO$1005,1,MATCH(COLUMNS($AN$1006:AP1006),$AN$1006:$BO$1006,0))&gt;=100000), " ",IF(INDEX($AN$2:$BO$1001,MATCH(ROWS($AG$2:AG977),$AG$2:$AG$1001,0),MATCH(COLUMNS($AN$1006:AP1006),$AN$1006:$BO$1006,0)), HYPERLINK("#",""), HYPERLINK(CONCATENATE("#Metadata!", ADDRESS(INDEX($AI$2:$AI$1001,MATCH(ROWS($AG$2:AG977),$AG$2:$AG$1001,0),0), INDEX($AN$1004:$BO$1004,1,MATCH(COLUMNS($AN$1006:AP1006),$AN$1006:$BO$1006,0)))),"Fix")))</f>
        <v>0</v>
      </c>
      <c r="E977" s="4">
        <f>IF(OR(INDEX($AH$2:$AH$1001,MATCH(ROWS($AG$2:AG977),$AG$2:$AG$1001,0),1)&gt;=100000,INDEX($AN$1005:$BO$1005,1,MATCH(COLUMNS($AN$1006:AQ1006),$AN$1006:$BO$1006,0))&gt;=100000), " ",IF(INDEX($AN$2:$BO$1001,MATCH(ROWS($AG$2:AG977),$AG$2:$AG$1001,0),MATCH(COLUMNS($AN$1006:AQ1006),$AN$1006:$BO$1006,0)), HYPERLINK("#",""), HYPERLINK(CONCATENATE("#Metadata!", ADDRESS(INDEX($AI$2:$AI$1001,MATCH(ROWS($AG$2:AG977),$AG$2:$AG$1001,0),0), INDEX($AN$1004:$BO$1004,1,MATCH(COLUMNS($AN$1006:AQ1006),$AN$1006:$BO$1006,0)))),"Fix")))</f>
        <v>0</v>
      </c>
      <c r="F977" s="4">
        <f>IF(OR(INDEX($AH$2:$AH$1001,MATCH(ROWS($AG$2:AG977),$AG$2:$AG$1001,0),1)&gt;=100000,INDEX($AN$1005:$BO$1005,1,MATCH(COLUMNS($AN$1006:AR1006),$AN$1006:$BO$1006,0))&gt;=100000), " ",IF(INDEX($AN$2:$BO$1001,MATCH(ROWS($AG$2:AG977),$AG$2:$AG$1001,0),MATCH(COLUMNS($AN$1006:AR1006),$AN$1006:$BO$1006,0)), HYPERLINK("#",""), HYPERLINK(CONCATENATE("#Metadata!", ADDRESS(INDEX($AI$2:$AI$1001,MATCH(ROWS($AG$2:AG977),$AG$2:$AG$1001,0),0), INDEX($AN$1004:$BO$1004,1,MATCH(COLUMNS($AN$1006:AR1006),$AN$1006:$BO$1006,0)))),"Fix")))</f>
        <v>0</v>
      </c>
      <c r="G977" s="4">
        <f>IF(OR(INDEX($AH$2:$AH$1001,MATCH(ROWS($AG$2:AG977),$AG$2:$AG$1001,0),1)&gt;=100000,INDEX($AN$1005:$BO$1005,1,MATCH(COLUMNS($AN$1006:AS1006),$AN$1006:$BO$1006,0))&gt;=100000), " ",IF(INDEX($AN$2:$BO$1001,MATCH(ROWS($AG$2:AG977),$AG$2:$AG$1001,0),MATCH(COLUMNS($AN$1006:AS1006),$AN$1006:$BO$1006,0)), HYPERLINK("#",""), HYPERLINK(CONCATENATE("#Metadata!", ADDRESS(INDEX($AI$2:$AI$1001,MATCH(ROWS($AG$2:AG977),$AG$2:$AG$1001,0),0), INDEX($AN$1004:$BO$1004,1,MATCH(COLUMNS($AN$1006:AS1006),$AN$1006:$BO$1006,0)))),"Fix")))</f>
        <v>0</v>
      </c>
      <c r="H977" s="4">
        <f>IF(OR(INDEX($AH$2:$AH$1001,MATCH(ROWS($AG$2:AG977),$AG$2:$AG$1001,0),1)&gt;=100000,INDEX($AN$1005:$BO$1005,1,MATCH(COLUMNS($AN$1006:AT1006),$AN$1006:$BO$1006,0))&gt;=100000), " ",IF(INDEX($AN$2:$BO$1001,MATCH(ROWS($AG$2:AG977),$AG$2:$AG$1001,0),MATCH(COLUMNS($AN$1006:AT1006),$AN$1006:$BO$1006,0)), HYPERLINK("#",""), HYPERLINK(CONCATENATE("#Metadata!", ADDRESS(INDEX($AI$2:$AI$1001,MATCH(ROWS($AG$2:AG977),$AG$2:$AG$1001,0),0), INDEX($AN$1004:$BO$1004,1,MATCH(COLUMNS($AN$1006:AT1006),$AN$1006:$BO$1006,0)))),"Fix")))</f>
        <v>0</v>
      </c>
      <c r="I977" s="4">
        <f>IF(OR(INDEX($AH$2:$AH$1001,MATCH(ROWS($AG$2:AG977),$AG$2:$AG$1001,0),1)&gt;=100000,INDEX($AN$1005:$BO$1005,1,MATCH(COLUMNS($AN$1006:AU1006),$AN$1006:$BO$1006,0))&gt;=100000), " ",IF(INDEX($AN$2:$BO$1001,MATCH(ROWS($AG$2:AG977),$AG$2:$AG$1001,0),MATCH(COLUMNS($AN$1006:AU1006),$AN$1006:$BO$1006,0)), HYPERLINK("#",""), HYPERLINK(CONCATENATE("#Metadata!", ADDRESS(INDEX($AI$2:$AI$1001,MATCH(ROWS($AG$2:AG977),$AG$2:$AG$1001,0),0), INDEX($AN$1004:$BO$1004,1,MATCH(COLUMNS($AN$1006:AU1006),$AN$1006:$BO$1006,0)))),"Fix")))</f>
        <v>0</v>
      </c>
      <c r="J977" s="4">
        <f>IF(OR(INDEX($AH$2:$AH$1001,MATCH(ROWS($AG$2:AG977),$AG$2:$AG$1001,0),1)&gt;=100000,INDEX($AN$1005:$BO$1005,1,MATCH(COLUMNS($AN$1006:AV1006),$AN$1006:$BO$1006,0))&gt;=100000), " ",IF(INDEX($AN$2:$BO$1001,MATCH(ROWS($AG$2:AG977),$AG$2:$AG$1001,0),MATCH(COLUMNS($AN$1006:AV1006),$AN$1006:$BO$1006,0)), HYPERLINK("#",""), HYPERLINK(CONCATENATE("#Metadata!", ADDRESS(INDEX($AI$2:$AI$1001,MATCH(ROWS($AG$2:AG977),$AG$2:$AG$1001,0),0), INDEX($AN$1004:$BO$1004,1,MATCH(COLUMNS($AN$1006:AV1006),$AN$1006:$BO$1006,0)))),"Fix")))</f>
        <v>0</v>
      </c>
      <c r="K977" s="4">
        <f>IF(OR(INDEX($AH$2:$AH$1001,MATCH(ROWS($AG$2:AG977),$AG$2:$AG$1001,0),1)&gt;=100000,INDEX($AN$1005:$BO$1005,1,MATCH(COLUMNS($AN$1006:AW1006),$AN$1006:$BO$1006,0))&gt;=100000), " ",IF(INDEX($AN$2:$BO$1001,MATCH(ROWS($AG$2:AG977),$AG$2:$AG$1001,0),MATCH(COLUMNS($AN$1006:AW1006),$AN$1006:$BO$1006,0)), HYPERLINK("#",""), HYPERLINK(CONCATENATE("#Metadata!", ADDRESS(INDEX($AI$2:$AI$1001,MATCH(ROWS($AG$2:AG977),$AG$2:$AG$1001,0),0), INDEX($AN$1004:$BO$1004,1,MATCH(COLUMNS($AN$1006:AW1006),$AN$1006:$BO$1006,0)))),"Fix")))</f>
        <v>0</v>
      </c>
      <c r="L977" s="4">
        <f>IF(OR(INDEX($AH$2:$AH$1001,MATCH(ROWS($AG$2:AG977),$AG$2:$AG$1001,0),1)&gt;=100000,INDEX($AN$1005:$BO$1005,1,MATCH(COLUMNS($AN$1006:AX1006),$AN$1006:$BO$1006,0))&gt;=100000), " ",IF(INDEX($AN$2:$BO$1001,MATCH(ROWS($AG$2:AG977),$AG$2:$AG$1001,0),MATCH(COLUMNS($AN$1006:AX1006),$AN$1006:$BO$1006,0)), HYPERLINK("#",""), HYPERLINK(CONCATENATE("#Metadata!", ADDRESS(INDEX($AI$2:$AI$1001,MATCH(ROWS($AG$2:AG977),$AG$2:$AG$1001,0),0), INDEX($AN$1004:$BO$1004,1,MATCH(COLUMNS($AN$1006:AX1006),$AN$1006:$BO$1006,0)))),"Fix")))</f>
        <v>0</v>
      </c>
      <c r="M977" s="4">
        <f>IF(OR(INDEX($AH$2:$AH$1001,MATCH(ROWS($AG$2:AG977),$AG$2:$AG$1001,0),1)&gt;=100000,INDEX($AN$1005:$BO$1005,1,MATCH(COLUMNS($AN$1006:AY1006),$AN$1006:$BO$1006,0))&gt;=100000), " ",IF(INDEX($AN$2:$BO$1001,MATCH(ROWS($AG$2:AG977),$AG$2:$AG$1001,0),MATCH(COLUMNS($AN$1006:AY1006),$AN$1006:$BO$1006,0)), HYPERLINK("#",""), HYPERLINK(CONCATENATE("#Metadata!", ADDRESS(INDEX($AI$2:$AI$1001,MATCH(ROWS($AG$2:AG977),$AG$2:$AG$1001,0),0), INDEX($AN$1004:$BO$1004,1,MATCH(COLUMNS($AN$1006:AY1006),$AN$1006:$BO$1006,0)))),"Fix")))</f>
        <v>0</v>
      </c>
      <c r="N977" s="4">
        <f>IF(OR(INDEX($AH$2:$AH$1001,MATCH(ROWS($AG$2:AG977),$AG$2:$AG$1001,0),1)&gt;=100000,INDEX($AN$1005:$BO$1005,1,MATCH(COLUMNS($AN$1006:AZ1006),$AN$1006:$BO$1006,0))&gt;=100000), " ",IF(INDEX($AN$2:$BO$1001,MATCH(ROWS($AG$2:AG977),$AG$2:$AG$1001,0),MATCH(COLUMNS($AN$1006:AZ1006),$AN$1006:$BO$1006,0)), HYPERLINK("#",""), HYPERLINK(CONCATENATE("#Metadata!", ADDRESS(INDEX($AI$2:$AI$1001,MATCH(ROWS($AG$2:AG977),$AG$2:$AG$1001,0),0), INDEX($AN$1004:$BO$1004,1,MATCH(COLUMNS($AN$1006:AZ1006),$AN$1006:$BO$1006,0)))),"Fix")))</f>
        <v>0</v>
      </c>
      <c r="O977" s="4">
        <f>IF(OR(INDEX($AH$2:$AH$1001,MATCH(ROWS($AG$2:AG977),$AG$2:$AG$1001,0),1)&gt;=100000,INDEX($AN$1005:$BO$1005,1,MATCH(COLUMNS($AN$1006:BA1006),$AN$1006:$BO$1006,0))&gt;=100000), " ",IF(INDEX($AN$2:$BO$1001,MATCH(ROWS($AG$2:AG977),$AG$2:$AG$1001,0),MATCH(COLUMNS($AN$1006:BA1006),$AN$1006:$BO$1006,0)), HYPERLINK("#",""), HYPERLINK(CONCATENATE("#Metadata!", ADDRESS(INDEX($AI$2:$AI$1001,MATCH(ROWS($AG$2:AG977),$AG$2:$AG$1001,0),0), INDEX($AN$1004:$BO$1004,1,MATCH(COLUMNS($AN$1006:BA1006),$AN$1006:$BO$1006,0)))),"Fix")))</f>
        <v>0</v>
      </c>
      <c r="P977" s="4">
        <f>IF(OR(INDEX($AH$2:$AH$1001,MATCH(ROWS($AG$2:AG977),$AG$2:$AG$1001,0),1)&gt;=100000,INDEX($AN$1005:$BO$1005,1,MATCH(COLUMNS($AN$1006:BB1006),$AN$1006:$BO$1006,0))&gt;=100000), " ",IF(INDEX($AN$2:$BO$1001,MATCH(ROWS($AG$2:AG977),$AG$2:$AG$1001,0),MATCH(COLUMNS($AN$1006:BB1006),$AN$1006:$BO$1006,0)), HYPERLINK("#",""), HYPERLINK(CONCATENATE("#Metadata!", ADDRESS(INDEX($AI$2:$AI$1001,MATCH(ROWS($AG$2:AG977),$AG$2:$AG$1001,0),0), INDEX($AN$1004:$BO$1004,1,MATCH(COLUMNS($AN$1006:BB1006),$AN$1006:$BO$1006,0)))),"Fix")))</f>
        <v>0</v>
      </c>
      <c r="Q977" s="4">
        <f>IF(OR(INDEX($AH$2:$AH$1001,MATCH(ROWS($AG$2:AG977),$AG$2:$AG$1001,0),1)&gt;=100000,INDEX($AN$1005:$BO$1005,1,MATCH(COLUMNS($AN$1006:BC1006),$AN$1006:$BO$1006,0))&gt;=100000), " ",IF(INDEX($AN$2:$BO$1001,MATCH(ROWS($AG$2:AG977),$AG$2:$AG$1001,0),MATCH(COLUMNS($AN$1006:BC1006),$AN$1006:$BO$1006,0)), HYPERLINK("#",""), HYPERLINK(CONCATENATE("#Metadata!", ADDRESS(INDEX($AI$2:$AI$1001,MATCH(ROWS($AG$2:AG977),$AG$2:$AG$1001,0),0), INDEX($AN$1004:$BO$1004,1,MATCH(COLUMNS($AN$1006:BC1006),$AN$1006:$BO$1006,0)))),"Fix")))</f>
        <v>0</v>
      </c>
      <c r="R977" s="4">
        <f>IF(OR(INDEX($AH$2:$AH$1001,MATCH(ROWS($AG$2:AG977),$AG$2:$AG$1001,0),1)&gt;=100000,INDEX($AN$1005:$BO$1005,1,MATCH(COLUMNS($AN$1006:BD1006),$AN$1006:$BO$1006,0))&gt;=100000), " ",IF(INDEX($AN$2:$BO$1001,MATCH(ROWS($AG$2:AG977),$AG$2:$AG$1001,0),MATCH(COLUMNS($AN$1006:BD1006),$AN$1006:$BO$1006,0)), HYPERLINK("#",""), HYPERLINK(CONCATENATE("#Metadata!", ADDRESS(INDEX($AI$2:$AI$1001,MATCH(ROWS($AG$2:AG977),$AG$2:$AG$1001,0),0), INDEX($AN$1004:$BO$1004,1,MATCH(COLUMNS($AN$1006:BD1006),$AN$1006:$BO$1006,0)))),"Fix")))</f>
        <v>0</v>
      </c>
      <c r="S977" s="4">
        <f>IF(OR(INDEX($AH$2:$AH$1001,MATCH(ROWS($AG$2:AG977),$AG$2:$AG$1001,0),1)&gt;=100000,INDEX($AN$1005:$BO$1005,1,MATCH(COLUMNS($AN$1006:BE1006),$AN$1006:$BO$1006,0))&gt;=100000), " ",IF(INDEX($AN$2:$BO$1001,MATCH(ROWS($AG$2:AG977),$AG$2:$AG$1001,0),MATCH(COLUMNS($AN$1006:BE1006),$AN$1006:$BO$1006,0)), HYPERLINK("#",""), HYPERLINK(CONCATENATE("#Metadata!", ADDRESS(INDEX($AI$2:$AI$1001,MATCH(ROWS($AG$2:AG977),$AG$2:$AG$1001,0),0), INDEX($AN$1004:$BO$1004,1,MATCH(COLUMNS($AN$1006:BE1006),$AN$1006:$BO$1006,0)))),"Fix")))</f>
        <v>0</v>
      </c>
      <c r="T977" s="4">
        <f>IF(OR(INDEX($AH$2:$AH$1001,MATCH(ROWS($AG$2:AG977),$AG$2:$AG$1001,0),1)&gt;=100000,INDEX($AN$1005:$BO$1005,1,MATCH(COLUMNS($AN$1006:BF1006),$AN$1006:$BO$1006,0))&gt;=100000), " ",IF(INDEX($AN$2:$BO$1001,MATCH(ROWS($AG$2:AG977),$AG$2:$AG$1001,0),MATCH(COLUMNS($AN$1006:BF1006),$AN$1006:$BO$1006,0)), HYPERLINK("#",""), HYPERLINK(CONCATENATE("#Metadata!", ADDRESS(INDEX($AI$2:$AI$1001,MATCH(ROWS($AG$2:AG977),$AG$2:$AG$1001,0),0), INDEX($AN$1004:$BO$1004,1,MATCH(COLUMNS($AN$1006:BF1006),$AN$1006:$BO$1006,0)))),"Fix")))</f>
        <v>0</v>
      </c>
      <c r="U977" s="4">
        <f>IF(OR(INDEX($AH$2:$AH$1001,MATCH(ROWS($AG$2:AG977),$AG$2:$AG$1001,0),1)&gt;=100000,INDEX($AN$1005:$BO$1005,1,MATCH(COLUMNS($AN$1006:BG1006),$AN$1006:$BO$1006,0))&gt;=100000), " ",IF(INDEX($AN$2:$BO$1001,MATCH(ROWS($AG$2:AG977),$AG$2:$AG$1001,0),MATCH(COLUMNS($AN$1006:BG1006),$AN$1006:$BO$1006,0)), HYPERLINK("#",""), HYPERLINK(CONCATENATE("#Metadata!", ADDRESS(INDEX($AI$2:$AI$1001,MATCH(ROWS($AG$2:AG977),$AG$2:$AG$1001,0),0), INDEX($AN$1004:$BO$1004,1,MATCH(COLUMNS($AN$1006:BG1006),$AN$1006:$BO$1006,0)))),"Fix")))</f>
        <v>0</v>
      </c>
      <c r="V977" s="4">
        <f>IF(OR(INDEX($AH$2:$AH$1001,MATCH(ROWS($AG$2:AG977),$AG$2:$AG$1001,0),1)&gt;=100000,INDEX($AN$1005:$BO$1005,1,MATCH(COLUMNS($AN$1006:BH1006),$AN$1006:$BO$1006,0))&gt;=100000), " ",IF(INDEX($AN$2:$BO$1001,MATCH(ROWS($AG$2:AG977),$AG$2:$AG$1001,0),MATCH(COLUMNS($AN$1006:BH1006),$AN$1006:$BO$1006,0)), HYPERLINK("#",""), HYPERLINK(CONCATENATE("#Metadata!", ADDRESS(INDEX($AI$2:$AI$1001,MATCH(ROWS($AG$2:AG977),$AG$2:$AG$1001,0),0), INDEX($AN$1004:$BO$1004,1,MATCH(COLUMNS($AN$1006:BH1006),$AN$1006:$BO$1006,0)))),"Fix")))</f>
        <v>0</v>
      </c>
      <c r="W977" s="4">
        <f>IF(OR(INDEX($AH$2:$AH$1001,MATCH(ROWS($AG$2:AG977),$AG$2:$AG$1001,0),1)&gt;=100000,INDEX($AN$1005:$BO$1005,1,MATCH(COLUMNS($AN$1006:BI1006),$AN$1006:$BO$1006,0))&gt;=100000), " ",IF(INDEX($AN$2:$BO$1001,MATCH(ROWS($AG$2:AG977),$AG$2:$AG$1001,0),MATCH(COLUMNS($AN$1006:BI1006),$AN$1006:$BO$1006,0)), HYPERLINK("#",""), HYPERLINK(CONCATENATE("#Metadata!", ADDRESS(INDEX($AI$2:$AI$1001,MATCH(ROWS($AG$2:AG977),$AG$2:$AG$1001,0),0), INDEX($AN$1004:$BO$1004,1,MATCH(COLUMNS($AN$1006:BI1006),$AN$1006:$BO$1006,0)))),"Fix")))</f>
        <v>0</v>
      </c>
      <c r="X977" s="4">
        <f>IF(OR(INDEX($AH$2:$AH$1001,MATCH(ROWS($AG$2:AG977),$AG$2:$AG$1001,0),1)&gt;=100000,INDEX($AN$1005:$BO$1005,1,MATCH(COLUMNS($AN$1006:BJ1006),$AN$1006:$BO$1006,0))&gt;=100000), " ",IF(INDEX($AN$2:$BO$1001,MATCH(ROWS($AG$2:AG977),$AG$2:$AG$1001,0),MATCH(COLUMNS($AN$1006:BJ1006),$AN$1006:$BO$1006,0)), HYPERLINK("#",""), HYPERLINK(CONCATENATE("#Metadata!", ADDRESS(INDEX($AI$2:$AI$1001,MATCH(ROWS($AG$2:AG977),$AG$2:$AG$1001,0),0), INDEX($AN$1004:$BO$1004,1,MATCH(COLUMNS($AN$1006:BJ1006),$AN$1006:$BO$1006,0)))),"Fix")))</f>
        <v>0</v>
      </c>
      <c r="Y977" s="4">
        <f>IF(OR(INDEX($AH$2:$AH$1001,MATCH(ROWS($AG$2:AG977),$AG$2:$AG$1001,0),1)&gt;=100000,INDEX($AN$1005:$BO$1005,1,MATCH(COLUMNS($AN$1006:BK1006),$AN$1006:$BO$1006,0))&gt;=100000), " ",IF(INDEX($AN$2:$BO$1001,MATCH(ROWS($AG$2:AG977),$AG$2:$AG$1001,0),MATCH(COLUMNS($AN$1006:BK1006),$AN$1006:$BO$1006,0)), HYPERLINK("#",""), HYPERLINK(CONCATENATE("#Metadata!", ADDRESS(INDEX($AI$2:$AI$1001,MATCH(ROWS($AG$2:AG977),$AG$2:$AG$1001,0),0), INDEX($AN$1004:$BO$1004,1,MATCH(COLUMNS($AN$1006:BK1006),$AN$1006:$BO$1006,0)))),"Fix")))</f>
        <v>0</v>
      </c>
      <c r="Z977" s="4">
        <f>IF(OR(INDEX($AH$2:$AH$1001,MATCH(ROWS($AG$2:AG977),$AG$2:$AG$1001,0),1)&gt;=100000,INDEX($AN$1005:$BO$1005,1,MATCH(COLUMNS($AN$1006:BL1006),$AN$1006:$BO$1006,0))&gt;=100000), " ",IF(INDEX($AN$2:$BO$1001,MATCH(ROWS($AG$2:AG977),$AG$2:$AG$1001,0),MATCH(COLUMNS($AN$1006:BL1006),$AN$1006:$BO$1006,0)), HYPERLINK("#",""), HYPERLINK(CONCATENATE("#Metadata!", ADDRESS(INDEX($AI$2:$AI$1001,MATCH(ROWS($AG$2:AG977),$AG$2:$AG$1001,0),0), INDEX($AN$1004:$BO$1004,1,MATCH(COLUMNS($AN$1006:BL1006),$AN$1006:$BO$1006,0)))),"Fix")))</f>
        <v>0</v>
      </c>
      <c r="AA977" s="4">
        <f>IF(OR(INDEX($AH$2:$AH$1001,MATCH(ROWS($AG$2:AG977),$AG$2:$AG$1001,0),1)&gt;=100000,INDEX($AN$1005:$BO$1005,1,MATCH(COLUMNS($AN$1006:BM1006),$AN$1006:$BO$1006,0))&gt;=100000), " ",IF(INDEX($AN$2:$BO$1001,MATCH(ROWS($AG$2:AG977),$AG$2:$AG$1001,0),MATCH(COLUMNS($AN$1006:BM1006),$AN$1006:$BO$1006,0)), HYPERLINK("#",""), HYPERLINK(CONCATENATE("#Metadata!", ADDRESS(INDEX($AI$2:$AI$1001,MATCH(ROWS($AG$2:AG977),$AG$2:$AG$1001,0),0), INDEX($AN$1004:$BO$1004,1,MATCH(COLUMNS($AN$1006:BM1006),$AN$1006:$BO$1006,0)))),"Fix")))</f>
        <v>0</v>
      </c>
      <c r="AB977" s="4">
        <f>IF(OR(INDEX($AH$2:$AH$1001,MATCH(ROWS($AG$2:AG977),$AG$2:$AG$1001,0),1)&gt;=100000,INDEX($AN$1005:$BO$1005,1,MATCH(COLUMNS($AN$1006:BN1006),$AN$1006:$BO$1006,0))&gt;=100000), " ",IF(INDEX($AN$2:$BO$1001,MATCH(ROWS($AG$2:AG977),$AG$2:$AG$1001,0),MATCH(COLUMNS($AN$1006:BN1006),$AN$1006:$BO$1006,0)), HYPERLINK("#",""), HYPERLINK(CONCATENATE("#Metadata!", ADDRESS(INDEX($AI$2:$AI$1001,MATCH(ROWS($AG$2:AG977),$AG$2:$AG$1001,0),0), INDEX($AN$1004:$BO$1004,1,MATCH(COLUMNS($AN$1006:BN1006),$AN$1006:$BO$1006,0)))),"Fix")))</f>
        <v>0</v>
      </c>
      <c r="AC977" s="4">
        <f>IF(OR(INDEX($AH$2:$AH$1001,MATCH(ROWS($AG$2:AG977),$AG$2:$AG$1001,0),1)&gt;=100000,INDEX($AN$1005:$BO$1005,1,MATCH(COLUMNS($AN$1006:BO1006),$AN$1006:$BO$1006,0))&gt;=100000), " ",IF(INDEX($AN$2:$BO$1001,MATCH(ROWS($AG$2:AG977),$AG$2:$AG$1001,0),MATCH(COLUMNS($AN$1006:BO1006),$AN$1006:$BO$1006,0)), HYPERLINK("#",""), HYPERLINK(CONCATENATE("#Metadata!", ADDRESS(INDEX($AI$2:$AI$1001,MATCH(ROWS($AG$2:AG977),$AG$2:$AG$1001,0),0), INDEX($AN$1004:$BO$1004,1,MATCH(COLUMNS($AN$1006:BO1006),$AN$1006:$BO$1006,0)))),"Fix")))</f>
        <v>0</v>
      </c>
      <c r="AG977">
        <v>0</v>
      </c>
      <c r="AH977">
        <v>0</v>
      </c>
      <c r="AI977">
        <v>0</v>
      </c>
      <c r="AJ977">
        <f>IF(AK977,TRUE,AND(AN977:BO977))</f>
        <v>0</v>
      </c>
      <c r="AK977">
        <f>COUNTBLANK(Metadata!B977:AC977)=COLUMNS(Metadata!B977:AC977)</f>
        <v>0</v>
      </c>
      <c r="AL977">
        <v>0</v>
      </c>
      <c r="AN977">
        <f>AND(IF(Metadata!B977="",FALSE,TRUE),COUNTIF(Metadata!B:B, Metadata!B977) = 1,NOT(ISERROR(SUMPRODUCT(SEARCH(MID(Metadata!B977,ROW(INDIRECT("1:"&amp;LEN(Metadata!B977))), 1),"0123456789abcdefghijklmnopqrstuvwxyzABCDEFGHIJKLMNOPQRSTUVWXYZ.")))))</f>
        <v>0</v>
      </c>
      <c r="AO977">
        <f>IF(Metadata!C977="",FALSE,TRUE)</f>
        <v>0</v>
      </c>
      <c r="AP977">
        <f>IF(Metadata!D977="",FALSE,TRUE)</f>
        <v>0</v>
      </c>
      <c r="AQ977">
        <f>OR(AND(IF(Metadata!E977="",FALSE,TRUE),OR(exact(Metadata!E977,"not collected"),exact(Metadata!E977,"not provided"),exact(Metadata!E977,"restricted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R977">
        <f>IF(Metadata!F977="",FALSE,TRUE)</f>
        <v>0</v>
      </c>
      <c r="AS977">
        <f>OR(AND(IF(Metadata!G977="",FALSE,TRUE),OR(exact(Metadata!G977,"not collected"),exact(Metadata!G977,"not provided"))),AND(IF(Metadata!G977="",FALSE,TRUE),OR(exact(Metadata!G977,"TRUE"),exact(Metadata!G977,"FALSE"))))</f>
        <v>0</v>
      </c>
      <c r="AT977">
        <f>OR(AND(IF(Metadata!H977="",FALSE,TRUE),OR(exact(Metadata!H977,"not collected"),exact(Metadata!H977,"not provided"),exact(Metadata!H977,"restricted access"))),AND(IF(Metadata!H977="",FALSE,ISNUMBER(VALUE(Metadata!H977))),Metadata!H977&gt;=-413.0))</f>
        <v>0</v>
      </c>
      <c r="AU977">
        <f>AND(IF(Metadata!I977="",FALSE,TRUE),exact(Metadata!I977,"meters"))</f>
        <v>0</v>
      </c>
      <c r="AV977">
        <f>AND(IF(Metadata!J977="",FALSE,TRUE),OR(exact(Metadata!J977,"Host-associated"),exact(Metadata!J977,"Free-living")))</f>
        <v>0</v>
      </c>
      <c r="AW977">
        <f>AND(IF(Metadata!K977="",FALSE,TRUE),OR(exact(Metadata!K977,"Animal"),exact(Metadata!K977,"Fungus"),exact(Metadata!K977,"Plant"),exact(Metadata!K977,"Saline"),exact(Metadata!K977,"Non-saline")))</f>
        <v>0</v>
      </c>
      <c r="AX977">
        <f>AND(IF(Metadata!L977="",FALSE,TRUE),OR(exact(Metadata!L977,"Plant secretion"),exact(Metadata!L977,"Plant rhizosphere"),exact(Metadata!L977,"Plant surface"),exact(Metadata!L977,"Plant corpus"),exact(Metadata!L977,"Fungus surface"),exact(Metadata!L977,"Fungus corpus"),exact(Metadata!L977,"Animal surface"),exact(Metadata!L977,"Animal proximal gut"),exact(Metadata!L977,"Animal corpus"),exact(Metadata!L977,"Animal distal gut"),exact(Metadata!L977,"Animal secretion"),exact(Metadata!L977,"Sub-surface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Y977">
        <f>IF(Metadata!M977="",FALSE,TRUE)</f>
        <v>0</v>
      </c>
      <c r="AZ977">
        <f>IF(Metadata!N977="",FALSE,TRUE)</f>
        <v>0</v>
      </c>
      <c r="BA977">
        <f>IF(Metadata!O977="",FALSE,TRUE)</f>
        <v>0</v>
      </c>
      <c r="BB977">
        <f>OR(AND(IF(Metadata!P977="",FALSE,TRUE),OR(exact(Metadata!P977,"not collected"),exact(Metadata!P977,"not provided"),exact(Metadata!P977,"restricted access"))),AND(IF(Metadata!P977="",FALSE,TRUE),OR(exact(Metadata!P977,"air"),exact(Metadata!P977,"built environment"),exact(Metadata!P977,"host-associated"),exact(Metadata!P977,"human-associated"),exact(Metadata!P977,"human-skin"),exact(Metadata!P977,"human-oral"),exact(Metadata!P977,"human-gut"),exact(Metadata!P977,"human-vaginal"),exact(Metadata!P977,"microbial mat/biofilm"),exact(Metadata!P977,"misc environment"),exact(Metadata!P977,"plant-associated"),exact(Metadata!P977,"sediment"),exact(Metadata!P977,"soil"),exact(Metadata!P977,"wastewater/sludge"),exact(Metadata!P977,"water"))))</f>
        <v>0</v>
      </c>
      <c r="BC977">
        <f>IF(Metadata!Q977="",FALSE,TRUE)</f>
        <v>0</v>
      </c>
      <c r="BD977">
        <f>IF(Metadata!R977="",FALSE,TRUE)</f>
        <v>0</v>
      </c>
      <c r="BE977">
        <f>OR(AND(IF(Metadata!S977="",FALSE,TRUE),OR(exact(Metadata!S977,"not collected"),exact(Metadata!S977,"not provided"),exact(Metadata!S977,"restricted access"))),AND(IF(Metadata!S977="",FALSE,ISNUMBER(VALUE(Metadata!S977))),Metadata!S977&gt;=-90.00,Metadata!S977&lt;=90.00))</f>
        <v>0</v>
      </c>
      <c r="BF977">
        <f>AND(IF(Metadata!T977="",FALSE,TRUE),exact(Metadata!T977,"Decimal degrees"))</f>
        <v>0</v>
      </c>
      <c r="BG977">
        <f>OR(AND(IF(Metadata!U977="",FALSE,TRUE),OR(exact(Metadata!U977,"not collected"),exact(Metadata!U977,"not provided"),exact(Metadata!U977,"restricted access"))),AND(IF(Metadata!U977="",FALSE,ISNUMBER(VALUE(Metadata!U977))),Metadata!U977&gt;=-180.00,Metadata!U977&lt;=180.00))</f>
        <v>0</v>
      </c>
      <c r="BH977">
        <f>AND(IF(Metadata!V977="",FALSE,TRUE),exact(Metadata!V977,"Decimal degrees"))</f>
        <v>0</v>
      </c>
      <c r="BI977">
        <f>IF(Metadata!W977="",FALSE,TRUE)</f>
        <v>0</v>
      </c>
      <c r="BJ977">
        <f>OR(AND(IF(Metadata!X977="",FALSE,TRUE),OR(exact(Metadata!X977,"not collected"),exact(Metadata!X977,"not provided"),exact(Metadata!X977,"restricted access"))),AND(IF(Metadata!X977="",FALSE,TRUE),OR(exact(Metadata!X977,"TRUE"),exact(Metadata!X977,"FALSE"))))</f>
        <v>0</v>
      </c>
      <c r="BK977">
        <f>AND(IF(Metadata!Y977="",FALSE,TRUE),exact(Metadata!Y977,"other"))</f>
        <v>0</v>
      </c>
      <c r="BL977">
        <f>IF(Metadata!Z977="",FALSE,TRUE)</f>
        <v>0</v>
      </c>
      <c r="BM977">
        <f>OR(AND(IF(Metadata!AA977="",FALSE,TRUE),OR(exact(Metadata!AA977,"not collected"),exact(Metadata!AA977,"not provided"))),AND(IF(Metadata!AA977="",FALSE,IF(ISERROR(INT(Metadata!AA977)),FALSE,INT(Metadata!AA977)=Metadata!AA977)),Metadata!AA977&gt;0))</f>
        <v>0</v>
      </c>
      <c r="BN977">
        <f>AND(IF(Metadata!AB977="",FALSE,TRUE),exact(Metadata!AB977,"Not applicable"))</f>
        <v>0</v>
      </c>
      <c r="BO977">
        <f>IF(Metadata!AC977="",FALSE,TRUE)</f>
        <v>0</v>
      </c>
    </row>
    <row r="978" spans="1:67">
      <c r="A978" s="5">
        <f>IF(B978=" "," ",HYPERLINK(CONCATENATE("#metadata!",ADDRESS(INDEX($AI$2:$AI$1001,MATCH(ROWS($AG$2:AG978),$AG$2:$AG$1001,0),0),1)),INDEX($AL$2:$AL$1001,MATCH(ROWS($AG$2:AG978),$AG$2:$AG$1001,0),0)))</f>
        <v>0</v>
      </c>
      <c r="B978" s="4">
        <f>IF(OR(INDEX($AH$2:$AH$1001,MATCH(ROWS($AG$2:AG978),$AG$2:$AG$1001,0),1)&gt;=100000,INDEX($AN$1005:$BO$1005,1,MATCH(COLUMNS($AN$1006:AN1006),$AN$1006:$BO$1006,0))&gt;=100000), " ",IF(INDEX($AN$2:$BO$1001,MATCH(ROWS($AG$2:AG978),$AG$2:$AG$1001,0),MATCH(COLUMNS($AN$1006:AN1006),$AN$1006:$BO$1006,0)), HYPERLINK("#",""), HYPERLINK(CONCATENATE("#Metadata!", ADDRESS(INDEX($AI$2:$AI$1001,MATCH(ROWS($AG$2:AG978),$AG$2:$AG$1001,0),0), INDEX($AN$1004:$BO$1004,1,MATCH(COLUMNS($AN$1006:AN1006),$AN$1006:$BO$1006,0)))),"Fix")))</f>
        <v>0</v>
      </c>
      <c r="C978" s="4">
        <f>IF(OR(INDEX($AH$2:$AH$1001,MATCH(ROWS($AG$2:AG978),$AG$2:$AG$1001,0),1)&gt;=100000,INDEX($AN$1005:$BO$1005,1,MATCH(COLUMNS($AN$1006:AO1006),$AN$1006:$BO$1006,0))&gt;=100000), " ",IF(INDEX($AN$2:$BO$1001,MATCH(ROWS($AG$2:AG978),$AG$2:$AG$1001,0),MATCH(COLUMNS($AN$1006:AO1006),$AN$1006:$BO$1006,0)), HYPERLINK("#",""), HYPERLINK(CONCATENATE("#Metadata!", ADDRESS(INDEX($AI$2:$AI$1001,MATCH(ROWS($AG$2:AG978),$AG$2:$AG$1001,0),0), INDEX($AN$1004:$BO$1004,1,MATCH(COLUMNS($AN$1006:AO1006),$AN$1006:$BO$1006,0)))),"Fix")))</f>
        <v>0</v>
      </c>
      <c r="D978" s="4">
        <f>IF(OR(INDEX($AH$2:$AH$1001,MATCH(ROWS($AG$2:AG978),$AG$2:$AG$1001,0),1)&gt;=100000,INDEX($AN$1005:$BO$1005,1,MATCH(COLUMNS($AN$1006:AP1006),$AN$1006:$BO$1006,0))&gt;=100000), " ",IF(INDEX($AN$2:$BO$1001,MATCH(ROWS($AG$2:AG978),$AG$2:$AG$1001,0),MATCH(COLUMNS($AN$1006:AP1006),$AN$1006:$BO$1006,0)), HYPERLINK("#",""), HYPERLINK(CONCATENATE("#Metadata!", ADDRESS(INDEX($AI$2:$AI$1001,MATCH(ROWS($AG$2:AG978),$AG$2:$AG$1001,0),0), INDEX($AN$1004:$BO$1004,1,MATCH(COLUMNS($AN$1006:AP1006),$AN$1006:$BO$1006,0)))),"Fix")))</f>
        <v>0</v>
      </c>
      <c r="E978" s="4">
        <f>IF(OR(INDEX($AH$2:$AH$1001,MATCH(ROWS($AG$2:AG978),$AG$2:$AG$1001,0),1)&gt;=100000,INDEX($AN$1005:$BO$1005,1,MATCH(COLUMNS($AN$1006:AQ1006),$AN$1006:$BO$1006,0))&gt;=100000), " ",IF(INDEX($AN$2:$BO$1001,MATCH(ROWS($AG$2:AG978),$AG$2:$AG$1001,0),MATCH(COLUMNS($AN$1006:AQ1006),$AN$1006:$BO$1006,0)), HYPERLINK("#",""), HYPERLINK(CONCATENATE("#Metadata!", ADDRESS(INDEX($AI$2:$AI$1001,MATCH(ROWS($AG$2:AG978),$AG$2:$AG$1001,0),0), INDEX($AN$1004:$BO$1004,1,MATCH(COLUMNS($AN$1006:AQ1006),$AN$1006:$BO$1006,0)))),"Fix")))</f>
        <v>0</v>
      </c>
      <c r="F978" s="4">
        <f>IF(OR(INDEX($AH$2:$AH$1001,MATCH(ROWS($AG$2:AG978),$AG$2:$AG$1001,0),1)&gt;=100000,INDEX($AN$1005:$BO$1005,1,MATCH(COLUMNS($AN$1006:AR1006),$AN$1006:$BO$1006,0))&gt;=100000), " ",IF(INDEX($AN$2:$BO$1001,MATCH(ROWS($AG$2:AG978),$AG$2:$AG$1001,0),MATCH(COLUMNS($AN$1006:AR1006),$AN$1006:$BO$1006,0)), HYPERLINK("#",""), HYPERLINK(CONCATENATE("#Metadata!", ADDRESS(INDEX($AI$2:$AI$1001,MATCH(ROWS($AG$2:AG978),$AG$2:$AG$1001,0),0), INDEX($AN$1004:$BO$1004,1,MATCH(COLUMNS($AN$1006:AR1006),$AN$1006:$BO$1006,0)))),"Fix")))</f>
        <v>0</v>
      </c>
      <c r="G978" s="4">
        <f>IF(OR(INDEX($AH$2:$AH$1001,MATCH(ROWS($AG$2:AG978),$AG$2:$AG$1001,0),1)&gt;=100000,INDEX($AN$1005:$BO$1005,1,MATCH(COLUMNS($AN$1006:AS1006),$AN$1006:$BO$1006,0))&gt;=100000), " ",IF(INDEX($AN$2:$BO$1001,MATCH(ROWS($AG$2:AG978),$AG$2:$AG$1001,0),MATCH(COLUMNS($AN$1006:AS1006),$AN$1006:$BO$1006,0)), HYPERLINK("#",""), HYPERLINK(CONCATENATE("#Metadata!", ADDRESS(INDEX($AI$2:$AI$1001,MATCH(ROWS($AG$2:AG978),$AG$2:$AG$1001,0),0), INDEX($AN$1004:$BO$1004,1,MATCH(COLUMNS($AN$1006:AS1006),$AN$1006:$BO$1006,0)))),"Fix")))</f>
        <v>0</v>
      </c>
      <c r="H978" s="4">
        <f>IF(OR(INDEX($AH$2:$AH$1001,MATCH(ROWS($AG$2:AG978),$AG$2:$AG$1001,0),1)&gt;=100000,INDEX($AN$1005:$BO$1005,1,MATCH(COLUMNS($AN$1006:AT1006),$AN$1006:$BO$1006,0))&gt;=100000), " ",IF(INDEX($AN$2:$BO$1001,MATCH(ROWS($AG$2:AG978),$AG$2:$AG$1001,0),MATCH(COLUMNS($AN$1006:AT1006),$AN$1006:$BO$1006,0)), HYPERLINK("#",""), HYPERLINK(CONCATENATE("#Metadata!", ADDRESS(INDEX($AI$2:$AI$1001,MATCH(ROWS($AG$2:AG978),$AG$2:$AG$1001,0),0), INDEX($AN$1004:$BO$1004,1,MATCH(COLUMNS($AN$1006:AT1006),$AN$1006:$BO$1006,0)))),"Fix")))</f>
        <v>0</v>
      </c>
      <c r="I978" s="4">
        <f>IF(OR(INDEX($AH$2:$AH$1001,MATCH(ROWS($AG$2:AG978),$AG$2:$AG$1001,0),1)&gt;=100000,INDEX($AN$1005:$BO$1005,1,MATCH(COLUMNS($AN$1006:AU1006),$AN$1006:$BO$1006,0))&gt;=100000), " ",IF(INDEX($AN$2:$BO$1001,MATCH(ROWS($AG$2:AG978),$AG$2:$AG$1001,0),MATCH(COLUMNS($AN$1006:AU1006),$AN$1006:$BO$1006,0)), HYPERLINK("#",""), HYPERLINK(CONCATENATE("#Metadata!", ADDRESS(INDEX($AI$2:$AI$1001,MATCH(ROWS($AG$2:AG978),$AG$2:$AG$1001,0),0), INDEX($AN$1004:$BO$1004,1,MATCH(COLUMNS($AN$1006:AU1006),$AN$1006:$BO$1006,0)))),"Fix")))</f>
        <v>0</v>
      </c>
      <c r="J978" s="4">
        <f>IF(OR(INDEX($AH$2:$AH$1001,MATCH(ROWS($AG$2:AG978),$AG$2:$AG$1001,0),1)&gt;=100000,INDEX($AN$1005:$BO$1005,1,MATCH(COLUMNS($AN$1006:AV1006),$AN$1006:$BO$1006,0))&gt;=100000), " ",IF(INDEX($AN$2:$BO$1001,MATCH(ROWS($AG$2:AG978),$AG$2:$AG$1001,0),MATCH(COLUMNS($AN$1006:AV1006),$AN$1006:$BO$1006,0)), HYPERLINK("#",""), HYPERLINK(CONCATENATE("#Metadata!", ADDRESS(INDEX($AI$2:$AI$1001,MATCH(ROWS($AG$2:AG978),$AG$2:$AG$1001,0),0), INDEX($AN$1004:$BO$1004,1,MATCH(COLUMNS($AN$1006:AV1006),$AN$1006:$BO$1006,0)))),"Fix")))</f>
        <v>0</v>
      </c>
      <c r="K978" s="4">
        <f>IF(OR(INDEX($AH$2:$AH$1001,MATCH(ROWS($AG$2:AG978),$AG$2:$AG$1001,0),1)&gt;=100000,INDEX($AN$1005:$BO$1005,1,MATCH(COLUMNS($AN$1006:AW1006),$AN$1006:$BO$1006,0))&gt;=100000), " ",IF(INDEX($AN$2:$BO$1001,MATCH(ROWS($AG$2:AG978),$AG$2:$AG$1001,0),MATCH(COLUMNS($AN$1006:AW1006),$AN$1006:$BO$1006,0)), HYPERLINK("#",""), HYPERLINK(CONCATENATE("#Metadata!", ADDRESS(INDEX($AI$2:$AI$1001,MATCH(ROWS($AG$2:AG978),$AG$2:$AG$1001,0),0), INDEX($AN$1004:$BO$1004,1,MATCH(COLUMNS($AN$1006:AW1006),$AN$1006:$BO$1006,0)))),"Fix")))</f>
        <v>0</v>
      </c>
      <c r="L978" s="4">
        <f>IF(OR(INDEX($AH$2:$AH$1001,MATCH(ROWS($AG$2:AG978),$AG$2:$AG$1001,0),1)&gt;=100000,INDEX($AN$1005:$BO$1005,1,MATCH(COLUMNS($AN$1006:AX1006),$AN$1006:$BO$1006,0))&gt;=100000), " ",IF(INDEX($AN$2:$BO$1001,MATCH(ROWS($AG$2:AG978),$AG$2:$AG$1001,0),MATCH(COLUMNS($AN$1006:AX1006),$AN$1006:$BO$1006,0)), HYPERLINK("#",""), HYPERLINK(CONCATENATE("#Metadata!", ADDRESS(INDEX($AI$2:$AI$1001,MATCH(ROWS($AG$2:AG978),$AG$2:$AG$1001,0),0), INDEX($AN$1004:$BO$1004,1,MATCH(COLUMNS($AN$1006:AX1006),$AN$1006:$BO$1006,0)))),"Fix")))</f>
        <v>0</v>
      </c>
      <c r="M978" s="4">
        <f>IF(OR(INDEX($AH$2:$AH$1001,MATCH(ROWS($AG$2:AG978),$AG$2:$AG$1001,0),1)&gt;=100000,INDEX($AN$1005:$BO$1005,1,MATCH(COLUMNS($AN$1006:AY1006),$AN$1006:$BO$1006,0))&gt;=100000), " ",IF(INDEX($AN$2:$BO$1001,MATCH(ROWS($AG$2:AG978),$AG$2:$AG$1001,0),MATCH(COLUMNS($AN$1006:AY1006),$AN$1006:$BO$1006,0)), HYPERLINK("#",""), HYPERLINK(CONCATENATE("#Metadata!", ADDRESS(INDEX($AI$2:$AI$1001,MATCH(ROWS($AG$2:AG978),$AG$2:$AG$1001,0),0), INDEX($AN$1004:$BO$1004,1,MATCH(COLUMNS($AN$1006:AY1006),$AN$1006:$BO$1006,0)))),"Fix")))</f>
        <v>0</v>
      </c>
      <c r="N978" s="4">
        <f>IF(OR(INDEX($AH$2:$AH$1001,MATCH(ROWS($AG$2:AG978),$AG$2:$AG$1001,0),1)&gt;=100000,INDEX($AN$1005:$BO$1005,1,MATCH(COLUMNS($AN$1006:AZ1006),$AN$1006:$BO$1006,0))&gt;=100000), " ",IF(INDEX($AN$2:$BO$1001,MATCH(ROWS($AG$2:AG978),$AG$2:$AG$1001,0),MATCH(COLUMNS($AN$1006:AZ1006),$AN$1006:$BO$1006,0)), HYPERLINK("#",""), HYPERLINK(CONCATENATE("#Metadata!", ADDRESS(INDEX($AI$2:$AI$1001,MATCH(ROWS($AG$2:AG978),$AG$2:$AG$1001,0),0), INDEX($AN$1004:$BO$1004,1,MATCH(COLUMNS($AN$1006:AZ1006),$AN$1006:$BO$1006,0)))),"Fix")))</f>
        <v>0</v>
      </c>
      <c r="O978" s="4">
        <f>IF(OR(INDEX($AH$2:$AH$1001,MATCH(ROWS($AG$2:AG978),$AG$2:$AG$1001,0),1)&gt;=100000,INDEX($AN$1005:$BO$1005,1,MATCH(COLUMNS($AN$1006:BA1006),$AN$1006:$BO$1006,0))&gt;=100000), " ",IF(INDEX($AN$2:$BO$1001,MATCH(ROWS($AG$2:AG978),$AG$2:$AG$1001,0),MATCH(COLUMNS($AN$1006:BA1006),$AN$1006:$BO$1006,0)), HYPERLINK("#",""), HYPERLINK(CONCATENATE("#Metadata!", ADDRESS(INDEX($AI$2:$AI$1001,MATCH(ROWS($AG$2:AG978),$AG$2:$AG$1001,0),0), INDEX($AN$1004:$BO$1004,1,MATCH(COLUMNS($AN$1006:BA1006),$AN$1006:$BO$1006,0)))),"Fix")))</f>
        <v>0</v>
      </c>
      <c r="P978" s="4">
        <f>IF(OR(INDEX($AH$2:$AH$1001,MATCH(ROWS($AG$2:AG978),$AG$2:$AG$1001,0),1)&gt;=100000,INDEX($AN$1005:$BO$1005,1,MATCH(COLUMNS($AN$1006:BB1006),$AN$1006:$BO$1006,0))&gt;=100000), " ",IF(INDEX($AN$2:$BO$1001,MATCH(ROWS($AG$2:AG978),$AG$2:$AG$1001,0),MATCH(COLUMNS($AN$1006:BB1006),$AN$1006:$BO$1006,0)), HYPERLINK("#",""), HYPERLINK(CONCATENATE("#Metadata!", ADDRESS(INDEX($AI$2:$AI$1001,MATCH(ROWS($AG$2:AG978),$AG$2:$AG$1001,0),0), INDEX($AN$1004:$BO$1004,1,MATCH(COLUMNS($AN$1006:BB1006),$AN$1006:$BO$1006,0)))),"Fix")))</f>
        <v>0</v>
      </c>
      <c r="Q978" s="4">
        <f>IF(OR(INDEX($AH$2:$AH$1001,MATCH(ROWS($AG$2:AG978),$AG$2:$AG$1001,0),1)&gt;=100000,INDEX($AN$1005:$BO$1005,1,MATCH(COLUMNS($AN$1006:BC1006),$AN$1006:$BO$1006,0))&gt;=100000), " ",IF(INDEX($AN$2:$BO$1001,MATCH(ROWS($AG$2:AG978),$AG$2:$AG$1001,0),MATCH(COLUMNS($AN$1006:BC1006),$AN$1006:$BO$1006,0)), HYPERLINK("#",""), HYPERLINK(CONCATENATE("#Metadata!", ADDRESS(INDEX($AI$2:$AI$1001,MATCH(ROWS($AG$2:AG978),$AG$2:$AG$1001,0),0), INDEX($AN$1004:$BO$1004,1,MATCH(COLUMNS($AN$1006:BC1006),$AN$1006:$BO$1006,0)))),"Fix")))</f>
        <v>0</v>
      </c>
      <c r="R978" s="4">
        <f>IF(OR(INDEX($AH$2:$AH$1001,MATCH(ROWS($AG$2:AG978),$AG$2:$AG$1001,0),1)&gt;=100000,INDEX($AN$1005:$BO$1005,1,MATCH(COLUMNS($AN$1006:BD1006),$AN$1006:$BO$1006,0))&gt;=100000), " ",IF(INDEX($AN$2:$BO$1001,MATCH(ROWS($AG$2:AG978),$AG$2:$AG$1001,0),MATCH(COLUMNS($AN$1006:BD1006),$AN$1006:$BO$1006,0)), HYPERLINK("#",""), HYPERLINK(CONCATENATE("#Metadata!", ADDRESS(INDEX($AI$2:$AI$1001,MATCH(ROWS($AG$2:AG978),$AG$2:$AG$1001,0),0), INDEX($AN$1004:$BO$1004,1,MATCH(COLUMNS($AN$1006:BD1006),$AN$1006:$BO$1006,0)))),"Fix")))</f>
        <v>0</v>
      </c>
      <c r="S978" s="4">
        <f>IF(OR(INDEX($AH$2:$AH$1001,MATCH(ROWS($AG$2:AG978),$AG$2:$AG$1001,0),1)&gt;=100000,INDEX($AN$1005:$BO$1005,1,MATCH(COLUMNS($AN$1006:BE1006),$AN$1006:$BO$1006,0))&gt;=100000), " ",IF(INDEX($AN$2:$BO$1001,MATCH(ROWS($AG$2:AG978),$AG$2:$AG$1001,0),MATCH(COLUMNS($AN$1006:BE1006),$AN$1006:$BO$1006,0)), HYPERLINK("#",""), HYPERLINK(CONCATENATE("#Metadata!", ADDRESS(INDEX($AI$2:$AI$1001,MATCH(ROWS($AG$2:AG978),$AG$2:$AG$1001,0),0), INDEX($AN$1004:$BO$1004,1,MATCH(COLUMNS($AN$1006:BE1006),$AN$1006:$BO$1006,0)))),"Fix")))</f>
        <v>0</v>
      </c>
      <c r="T978" s="4">
        <f>IF(OR(INDEX($AH$2:$AH$1001,MATCH(ROWS($AG$2:AG978),$AG$2:$AG$1001,0),1)&gt;=100000,INDEX($AN$1005:$BO$1005,1,MATCH(COLUMNS($AN$1006:BF1006),$AN$1006:$BO$1006,0))&gt;=100000), " ",IF(INDEX($AN$2:$BO$1001,MATCH(ROWS($AG$2:AG978),$AG$2:$AG$1001,0),MATCH(COLUMNS($AN$1006:BF1006),$AN$1006:$BO$1006,0)), HYPERLINK("#",""), HYPERLINK(CONCATENATE("#Metadata!", ADDRESS(INDEX($AI$2:$AI$1001,MATCH(ROWS($AG$2:AG978),$AG$2:$AG$1001,0),0), INDEX($AN$1004:$BO$1004,1,MATCH(COLUMNS($AN$1006:BF1006),$AN$1006:$BO$1006,0)))),"Fix")))</f>
        <v>0</v>
      </c>
      <c r="U978" s="4">
        <f>IF(OR(INDEX($AH$2:$AH$1001,MATCH(ROWS($AG$2:AG978),$AG$2:$AG$1001,0),1)&gt;=100000,INDEX($AN$1005:$BO$1005,1,MATCH(COLUMNS($AN$1006:BG1006),$AN$1006:$BO$1006,0))&gt;=100000), " ",IF(INDEX($AN$2:$BO$1001,MATCH(ROWS($AG$2:AG978),$AG$2:$AG$1001,0),MATCH(COLUMNS($AN$1006:BG1006),$AN$1006:$BO$1006,0)), HYPERLINK("#",""), HYPERLINK(CONCATENATE("#Metadata!", ADDRESS(INDEX($AI$2:$AI$1001,MATCH(ROWS($AG$2:AG978),$AG$2:$AG$1001,0),0), INDEX($AN$1004:$BO$1004,1,MATCH(COLUMNS($AN$1006:BG1006),$AN$1006:$BO$1006,0)))),"Fix")))</f>
        <v>0</v>
      </c>
      <c r="V978" s="4">
        <f>IF(OR(INDEX($AH$2:$AH$1001,MATCH(ROWS($AG$2:AG978),$AG$2:$AG$1001,0),1)&gt;=100000,INDEX($AN$1005:$BO$1005,1,MATCH(COLUMNS($AN$1006:BH1006),$AN$1006:$BO$1006,0))&gt;=100000), " ",IF(INDEX($AN$2:$BO$1001,MATCH(ROWS($AG$2:AG978),$AG$2:$AG$1001,0),MATCH(COLUMNS($AN$1006:BH1006),$AN$1006:$BO$1006,0)), HYPERLINK("#",""), HYPERLINK(CONCATENATE("#Metadata!", ADDRESS(INDEX($AI$2:$AI$1001,MATCH(ROWS($AG$2:AG978),$AG$2:$AG$1001,0),0), INDEX($AN$1004:$BO$1004,1,MATCH(COLUMNS($AN$1006:BH1006),$AN$1006:$BO$1006,0)))),"Fix")))</f>
        <v>0</v>
      </c>
      <c r="W978" s="4">
        <f>IF(OR(INDEX($AH$2:$AH$1001,MATCH(ROWS($AG$2:AG978),$AG$2:$AG$1001,0),1)&gt;=100000,INDEX($AN$1005:$BO$1005,1,MATCH(COLUMNS($AN$1006:BI1006),$AN$1006:$BO$1006,0))&gt;=100000), " ",IF(INDEX($AN$2:$BO$1001,MATCH(ROWS($AG$2:AG978),$AG$2:$AG$1001,0),MATCH(COLUMNS($AN$1006:BI1006),$AN$1006:$BO$1006,0)), HYPERLINK("#",""), HYPERLINK(CONCATENATE("#Metadata!", ADDRESS(INDEX($AI$2:$AI$1001,MATCH(ROWS($AG$2:AG978),$AG$2:$AG$1001,0),0), INDEX($AN$1004:$BO$1004,1,MATCH(COLUMNS($AN$1006:BI1006),$AN$1006:$BO$1006,0)))),"Fix")))</f>
        <v>0</v>
      </c>
      <c r="X978" s="4">
        <f>IF(OR(INDEX($AH$2:$AH$1001,MATCH(ROWS($AG$2:AG978),$AG$2:$AG$1001,0),1)&gt;=100000,INDEX($AN$1005:$BO$1005,1,MATCH(COLUMNS($AN$1006:BJ1006),$AN$1006:$BO$1006,0))&gt;=100000), " ",IF(INDEX($AN$2:$BO$1001,MATCH(ROWS($AG$2:AG978),$AG$2:$AG$1001,0),MATCH(COLUMNS($AN$1006:BJ1006),$AN$1006:$BO$1006,0)), HYPERLINK("#",""), HYPERLINK(CONCATENATE("#Metadata!", ADDRESS(INDEX($AI$2:$AI$1001,MATCH(ROWS($AG$2:AG978),$AG$2:$AG$1001,0),0), INDEX($AN$1004:$BO$1004,1,MATCH(COLUMNS($AN$1006:BJ1006),$AN$1006:$BO$1006,0)))),"Fix")))</f>
        <v>0</v>
      </c>
      <c r="Y978" s="4">
        <f>IF(OR(INDEX($AH$2:$AH$1001,MATCH(ROWS($AG$2:AG978),$AG$2:$AG$1001,0),1)&gt;=100000,INDEX($AN$1005:$BO$1005,1,MATCH(COLUMNS($AN$1006:BK1006),$AN$1006:$BO$1006,0))&gt;=100000), " ",IF(INDEX($AN$2:$BO$1001,MATCH(ROWS($AG$2:AG978),$AG$2:$AG$1001,0),MATCH(COLUMNS($AN$1006:BK1006),$AN$1006:$BO$1006,0)), HYPERLINK("#",""), HYPERLINK(CONCATENATE("#Metadata!", ADDRESS(INDEX($AI$2:$AI$1001,MATCH(ROWS($AG$2:AG978),$AG$2:$AG$1001,0),0), INDEX($AN$1004:$BO$1004,1,MATCH(COLUMNS($AN$1006:BK1006),$AN$1006:$BO$1006,0)))),"Fix")))</f>
        <v>0</v>
      </c>
      <c r="Z978" s="4">
        <f>IF(OR(INDEX($AH$2:$AH$1001,MATCH(ROWS($AG$2:AG978),$AG$2:$AG$1001,0),1)&gt;=100000,INDEX($AN$1005:$BO$1005,1,MATCH(COLUMNS($AN$1006:BL1006),$AN$1006:$BO$1006,0))&gt;=100000), " ",IF(INDEX($AN$2:$BO$1001,MATCH(ROWS($AG$2:AG978),$AG$2:$AG$1001,0),MATCH(COLUMNS($AN$1006:BL1006),$AN$1006:$BO$1006,0)), HYPERLINK("#",""), HYPERLINK(CONCATENATE("#Metadata!", ADDRESS(INDEX($AI$2:$AI$1001,MATCH(ROWS($AG$2:AG978),$AG$2:$AG$1001,0),0), INDEX($AN$1004:$BO$1004,1,MATCH(COLUMNS($AN$1006:BL1006),$AN$1006:$BO$1006,0)))),"Fix")))</f>
        <v>0</v>
      </c>
      <c r="AA978" s="4">
        <f>IF(OR(INDEX($AH$2:$AH$1001,MATCH(ROWS($AG$2:AG978),$AG$2:$AG$1001,0),1)&gt;=100000,INDEX($AN$1005:$BO$1005,1,MATCH(COLUMNS($AN$1006:BM1006),$AN$1006:$BO$1006,0))&gt;=100000), " ",IF(INDEX($AN$2:$BO$1001,MATCH(ROWS($AG$2:AG978),$AG$2:$AG$1001,0),MATCH(COLUMNS($AN$1006:BM1006),$AN$1006:$BO$1006,0)), HYPERLINK("#",""), HYPERLINK(CONCATENATE("#Metadata!", ADDRESS(INDEX($AI$2:$AI$1001,MATCH(ROWS($AG$2:AG978),$AG$2:$AG$1001,0),0), INDEX($AN$1004:$BO$1004,1,MATCH(COLUMNS($AN$1006:BM1006),$AN$1006:$BO$1006,0)))),"Fix")))</f>
        <v>0</v>
      </c>
      <c r="AB978" s="4">
        <f>IF(OR(INDEX($AH$2:$AH$1001,MATCH(ROWS($AG$2:AG978),$AG$2:$AG$1001,0),1)&gt;=100000,INDEX($AN$1005:$BO$1005,1,MATCH(COLUMNS($AN$1006:BN1006),$AN$1006:$BO$1006,0))&gt;=100000), " ",IF(INDEX($AN$2:$BO$1001,MATCH(ROWS($AG$2:AG978),$AG$2:$AG$1001,0),MATCH(COLUMNS($AN$1006:BN1006),$AN$1006:$BO$1006,0)), HYPERLINK("#",""), HYPERLINK(CONCATENATE("#Metadata!", ADDRESS(INDEX($AI$2:$AI$1001,MATCH(ROWS($AG$2:AG978),$AG$2:$AG$1001,0),0), INDEX($AN$1004:$BO$1004,1,MATCH(COLUMNS($AN$1006:BN1006),$AN$1006:$BO$1006,0)))),"Fix")))</f>
        <v>0</v>
      </c>
      <c r="AC978" s="4">
        <f>IF(OR(INDEX($AH$2:$AH$1001,MATCH(ROWS($AG$2:AG978),$AG$2:$AG$1001,0),1)&gt;=100000,INDEX($AN$1005:$BO$1005,1,MATCH(COLUMNS($AN$1006:BO1006),$AN$1006:$BO$1006,0))&gt;=100000), " ",IF(INDEX($AN$2:$BO$1001,MATCH(ROWS($AG$2:AG978),$AG$2:$AG$1001,0),MATCH(COLUMNS($AN$1006:BO1006),$AN$1006:$BO$1006,0)), HYPERLINK("#",""), HYPERLINK(CONCATENATE("#Metadata!", ADDRESS(INDEX($AI$2:$AI$1001,MATCH(ROWS($AG$2:AG978),$AG$2:$AG$1001,0),0), INDEX($AN$1004:$BO$1004,1,MATCH(COLUMNS($AN$1006:BO1006),$AN$1006:$BO$1006,0)))),"Fix")))</f>
        <v>0</v>
      </c>
      <c r="AG978">
        <v>0</v>
      </c>
      <c r="AH978">
        <v>0</v>
      </c>
      <c r="AI978">
        <v>0</v>
      </c>
      <c r="AJ978">
        <f>IF(AK978,TRUE,AND(AN978:BO978))</f>
        <v>0</v>
      </c>
      <c r="AK978">
        <f>COUNTBLANK(Metadata!B978:AC978)=COLUMNS(Metadata!B978:AC978)</f>
        <v>0</v>
      </c>
      <c r="AL978">
        <v>0</v>
      </c>
      <c r="AN978">
        <f>AND(IF(Metadata!B978="",FALSE,TRUE),COUNTIF(Metadata!B:B, Metadata!B978) = 1,NOT(ISERROR(SUMPRODUCT(SEARCH(MID(Metadata!B978,ROW(INDIRECT("1:"&amp;LEN(Metadata!B978))), 1),"0123456789abcdefghijklmnopqrstuvwxyzABCDEFGHIJKLMNOPQRSTUVWXYZ.")))))</f>
        <v>0</v>
      </c>
      <c r="AO978">
        <f>IF(Metadata!C978="",FALSE,TRUE)</f>
        <v>0</v>
      </c>
      <c r="AP978">
        <f>IF(Metadata!D978="",FALSE,TRUE)</f>
        <v>0</v>
      </c>
      <c r="AQ978">
        <f>OR(AND(IF(Metadata!E978="",FALSE,TRUE),OR(exact(Metadata!E978,"not collected"),exact(Metadata!E978,"not provided"),exact(Metadata!E978,"restricted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R978">
        <f>IF(Metadata!F978="",FALSE,TRUE)</f>
        <v>0</v>
      </c>
      <c r="AS978">
        <f>OR(AND(IF(Metadata!G978="",FALSE,TRUE),OR(exact(Metadata!G978,"not collected"),exact(Metadata!G978,"not provided"))),AND(IF(Metadata!G978="",FALSE,TRUE),OR(exact(Metadata!G978,"TRUE"),exact(Metadata!G978,"FALSE"))))</f>
        <v>0</v>
      </c>
      <c r="AT978">
        <f>OR(AND(IF(Metadata!H978="",FALSE,TRUE),OR(exact(Metadata!H978,"not collected"),exact(Metadata!H978,"not provided"),exact(Metadata!H978,"restricted access"))),AND(IF(Metadata!H978="",FALSE,ISNUMBER(VALUE(Metadata!H978))),Metadata!H978&gt;=-413.0))</f>
        <v>0</v>
      </c>
      <c r="AU978">
        <f>AND(IF(Metadata!I978="",FALSE,TRUE),exact(Metadata!I978,"meters"))</f>
        <v>0</v>
      </c>
      <c r="AV978">
        <f>AND(IF(Metadata!J978="",FALSE,TRUE),OR(exact(Metadata!J978,"Host-associated"),exact(Metadata!J978,"Free-living")))</f>
        <v>0</v>
      </c>
      <c r="AW978">
        <f>AND(IF(Metadata!K978="",FALSE,TRUE),OR(exact(Metadata!K978,"Animal"),exact(Metadata!K978,"Fungus"),exact(Metadata!K978,"Plant"),exact(Metadata!K978,"Saline"),exact(Metadata!K978,"Non-saline")))</f>
        <v>0</v>
      </c>
      <c r="AX978">
        <f>AND(IF(Metadata!L978="",FALSE,TRUE),OR(exact(Metadata!L978,"Plant secretion"),exact(Metadata!L978,"Plant rhizosphere"),exact(Metadata!L978,"Plant surface"),exact(Metadata!L978,"Plant corpus"),exact(Metadata!L978,"Fungus surface"),exact(Metadata!L978,"Fungus corpus"),exact(Metadata!L978,"Animal surface"),exact(Metadata!L978,"Animal proximal gut"),exact(Metadata!L978,"Animal corpus"),exact(Metadata!L978,"Animal distal gut"),exact(Metadata!L978,"Animal secretion"),exact(Metadata!L978,"Sub-surface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Y978">
        <f>IF(Metadata!M978="",FALSE,TRUE)</f>
        <v>0</v>
      </c>
      <c r="AZ978">
        <f>IF(Metadata!N978="",FALSE,TRUE)</f>
        <v>0</v>
      </c>
      <c r="BA978">
        <f>IF(Metadata!O978="",FALSE,TRUE)</f>
        <v>0</v>
      </c>
      <c r="BB978">
        <f>OR(AND(IF(Metadata!P978="",FALSE,TRUE),OR(exact(Metadata!P978,"not collected"),exact(Metadata!P978,"not provided"),exact(Metadata!P978,"restricted access"))),AND(IF(Metadata!P978="",FALSE,TRUE),OR(exact(Metadata!P978,"air"),exact(Metadata!P978,"built environment"),exact(Metadata!P978,"host-associated"),exact(Metadata!P978,"human-associated"),exact(Metadata!P978,"human-skin"),exact(Metadata!P978,"human-oral"),exact(Metadata!P978,"human-gut"),exact(Metadata!P978,"human-vaginal"),exact(Metadata!P978,"microbial mat/biofilm"),exact(Metadata!P978,"misc environment"),exact(Metadata!P978,"plant-associated"),exact(Metadata!P978,"sediment"),exact(Metadata!P978,"soil"),exact(Metadata!P978,"wastewater/sludge"),exact(Metadata!P978,"water"))))</f>
        <v>0</v>
      </c>
      <c r="BC978">
        <f>IF(Metadata!Q978="",FALSE,TRUE)</f>
        <v>0</v>
      </c>
      <c r="BD978">
        <f>IF(Metadata!R978="",FALSE,TRUE)</f>
        <v>0</v>
      </c>
      <c r="BE978">
        <f>OR(AND(IF(Metadata!S978="",FALSE,TRUE),OR(exact(Metadata!S978,"not collected"),exact(Metadata!S978,"not provided"),exact(Metadata!S978,"restricted access"))),AND(IF(Metadata!S978="",FALSE,ISNUMBER(VALUE(Metadata!S978))),Metadata!S978&gt;=-90.00,Metadata!S978&lt;=90.00))</f>
        <v>0</v>
      </c>
      <c r="BF978">
        <f>AND(IF(Metadata!T978="",FALSE,TRUE),exact(Metadata!T978,"Decimal degrees"))</f>
        <v>0</v>
      </c>
      <c r="BG978">
        <f>OR(AND(IF(Metadata!U978="",FALSE,TRUE),OR(exact(Metadata!U978,"not collected"),exact(Metadata!U978,"not provided"),exact(Metadata!U978,"restricted access"))),AND(IF(Metadata!U978="",FALSE,ISNUMBER(VALUE(Metadata!U978))),Metadata!U978&gt;=-180.00,Metadata!U978&lt;=180.00))</f>
        <v>0</v>
      </c>
      <c r="BH978">
        <f>AND(IF(Metadata!V978="",FALSE,TRUE),exact(Metadata!V978,"Decimal degrees"))</f>
        <v>0</v>
      </c>
      <c r="BI978">
        <f>IF(Metadata!W978="",FALSE,TRUE)</f>
        <v>0</v>
      </c>
      <c r="BJ978">
        <f>OR(AND(IF(Metadata!X978="",FALSE,TRUE),OR(exact(Metadata!X978,"not collected"),exact(Metadata!X978,"not provided"),exact(Metadata!X978,"restricted access"))),AND(IF(Metadata!X978="",FALSE,TRUE),OR(exact(Metadata!X978,"TRUE"),exact(Metadata!X978,"FALSE"))))</f>
        <v>0</v>
      </c>
      <c r="BK978">
        <f>AND(IF(Metadata!Y978="",FALSE,TRUE),exact(Metadata!Y978,"other"))</f>
        <v>0</v>
      </c>
      <c r="BL978">
        <f>IF(Metadata!Z978="",FALSE,TRUE)</f>
        <v>0</v>
      </c>
      <c r="BM978">
        <f>OR(AND(IF(Metadata!AA978="",FALSE,TRUE),OR(exact(Metadata!AA978,"not collected"),exact(Metadata!AA978,"not provided"))),AND(IF(Metadata!AA978="",FALSE,IF(ISERROR(INT(Metadata!AA978)),FALSE,INT(Metadata!AA978)=Metadata!AA978)),Metadata!AA978&gt;0))</f>
        <v>0</v>
      </c>
      <c r="BN978">
        <f>AND(IF(Metadata!AB978="",FALSE,TRUE),exact(Metadata!AB978,"Not applicable"))</f>
        <v>0</v>
      </c>
      <c r="BO978">
        <f>IF(Metadata!AC978="",FALSE,TRUE)</f>
        <v>0</v>
      </c>
    </row>
    <row r="979" spans="1:67">
      <c r="A979" s="5">
        <f>IF(B979=" "," ",HYPERLINK(CONCATENATE("#metadata!",ADDRESS(INDEX($AI$2:$AI$1001,MATCH(ROWS($AG$2:AG979),$AG$2:$AG$1001,0),0),1)),INDEX($AL$2:$AL$1001,MATCH(ROWS($AG$2:AG979),$AG$2:$AG$1001,0),0)))</f>
        <v>0</v>
      </c>
      <c r="B979" s="4">
        <f>IF(OR(INDEX($AH$2:$AH$1001,MATCH(ROWS($AG$2:AG979),$AG$2:$AG$1001,0),1)&gt;=100000,INDEX($AN$1005:$BO$1005,1,MATCH(COLUMNS($AN$1006:AN1006),$AN$1006:$BO$1006,0))&gt;=100000), " ",IF(INDEX($AN$2:$BO$1001,MATCH(ROWS($AG$2:AG979),$AG$2:$AG$1001,0),MATCH(COLUMNS($AN$1006:AN1006),$AN$1006:$BO$1006,0)), HYPERLINK("#",""), HYPERLINK(CONCATENATE("#Metadata!", ADDRESS(INDEX($AI$2:$AI$1001,MATCH(ROWS($AG$2:AG979),$AG$2:$AG$1001,0),0), INDEX($AN$1004:$BO$1004,1,MATCH(COLUMNS($AN$1006:AN1006),$AN$1006:$BO$1006,0)))),"Fix")))</f>
        <v>0</v>
      </c>
      <c r="C979" s="4">
        <f>IF(OR(INDEX($AH$2:$AH$1001,MATCH(ROWS($AG$2:AG979),$AG$2:$AG$1001,0),1)&gt;=100000,INDEX($AN$1005:$BO$1005,1,MATCH(COLUMNS($AN$1006:AO1006),$AN$1006:$BO$1006,0))&gt;=100000), " ",IF(INDEX($AN$2:$BO$1001,MATCH(ROWS($AG$2:AG979),$AG$2:$AG$1001,0),MATCH(COLUMNS($AN$1006:AO1006),$AN$1006:$BO$1006,0)), HYPERLINK("#",""), HYPERLINK(CONCATENATE("#Metadata!", ADDRESS(INDEX($AI$2:$AI$1001,MATCH(ROWS($AG$2:AG979),$AG$2:$AG$1001,0),0), INDEX($AN$1004:$BO$1004,1,MATCH(COLUMNS($AN$1006:AO1006),$AN$1006:$BO$1006,0)))),"Fix")))</f>
        <v>0</v>
      </c>
      <c r="D979" s="4">
        <f>IF(OR(INDEX($AH$2:$AH$1001,MATCH(ROWS($AG$2:AG979),$AG$2:$AG$1001,0),1)&gt;=100000,INDEX($AN$1005:$BO$1005,1,MATCH(COLUMNS($AN$1006:AP1006),$AN$1006:$BO$1006,0))&gt;=100000), " ",IF(INDEX($AN$2:$BO$1001,MATCH(ROWS($AG$2:AG979),$AG$2:$AG$1001,0),MATCH(COLUMNS($AN$1006:AP1006),$AN$1006:$BO$1006,0)), HYPERLINK("#",""), HYPERLINK(CONCATENATE("#Metadata!", ADDRESS(INDEX($AI$2:$AI$1001,MATCH(ROWS($AG$2:AG979),$AG$2:$AG$1001,0),0), INDEX($AN$1004:$BO$1004,1,MATCH(COLUMNS($AN$1006:AP1006),$AN$1006:$BO$1006,0)))),"Fix")))</f>
        <v>0</v>
      </c>
      <c r="E979" s="4">
        <f>IF(OR(INDEX($AH$2:$AH$1001,MATCH(ROWS($AG$2:AG979),$AG$2:$AG$1001,0),1)&gt;=100000,INDEX($AN$1005:$BO$1005,1,MATCH(COLUMNS($AN$1006:AQ1006),$AN$1006:$BO$1006,0))&gt;=100000), " ",IF(INDEX($AN$2:$BO$1001,MATCH(ROWS($AG$2:AG979),$AG$2:$AG$1001,0),MATCH(COLUMNS($AN$1006:AQ1006),$AN$1006:$BO$1006,0)), HYPERLINK("#",""), HYPERLINK(CONCATENATE("#Metadata!", ADDRESS(INDEX($AI$2:$AI$1001,MATCH(ROWS($AG$2:AG979),$AG$2:$AG$1001,0),0), INDEX($AN$1004:$BO$1004,1,MATCH(COLUMNS($AN$1006:AQ1006),$AN$1006:$BO$1006,0)))),"Fix")))</f>
        <v>0</v>
      </c>
      <c r="F979" s="4">
        <f>IF(OR(INDEX($AH$2:$AH$1001,MATCH(ROWS($AG$2:AG979),$AG$2:$AG$1001,0),1)&gt;=100000,INDEX($AN$1005:$BO$1005,1,MATCH(COLUMNS($AN$1006:AR1006),$AN$1006:$BO$1006,0))&gt;=100000), " ",IF(INDEX($AN$2:$BO$1001,MATCH(ROWS($AG$2:AG979),$AG$2:$AG$1001,0),MATCH(COLUMNS($AN$1006:AR1006),$AN$1006:$BO$1006,0)), HYPERLINK("#",""), HYPERLINK(CONCATENATE("#Metadata!", ADDRESS(INDEX($AI$2:$AI$1001,MATCH(ROWS($AG$2:AG979),$AG$2:$AG$1001,0),0), INDEX($AN$1004:$BO$1004,1,MATCH(COLUMNS($AN$1006:AR1006),$AN$1006:$BO$1006,0)))),"Fix")))</f>
        <v>0</v>
      </c>
      <c r="G979" s="4">
        <f>IF(OR(INDEX($AH$2:$AH$1001,MATCH(ROWS($AG$2:AG979),$AG$2:$AG$1001,0),1)&gt;=100000,INDEX($AN$1005:$BO$1005,1,MATCH(COLUMNS($AN$1006:AS1006),$AN$1006:$BO$1006,0))&gt;=100000), " ",IF(INDEX($AN$2:$BO$1001,MATCH(ROWS($AG$2:AG979),$AG$2:$AG$1001,0),MATCH(COLUMNS($AN$1006:AS1006),$AN$1006:$BO$1006,0)), HYPERLINK("#",""), HYPERLINK(CONCATENATE("#Metadata!", ADDRESS(INDEX($AI$2:$AI$1001,MATCH(ROWS($AG$2:AG979),$AG$2:$AG$1001,0),0), INDEX($AN$1004:$BO$1004,1,MATCH(COLUMNS($AN$1006:AS1006),$AN$1006:$BO$1006,0)))),"Fix")))</f>
        <v>0</v>
      </c>
      <c r="H979" s="4">
        <f>IF(OR(INDEX($AH$2:$AH$1001,MATCH(ROWS($AG$2:AG979),$AG$2:$AG$1001,0),1)&gt;=100000,INDEX($AN$1005:$BO$1005,1,MATCH(COLUMNS($AN$1006:AT1006),$AN$1006:$BO$1006,0))&gt;=100000), " ",IF(INDEX($AN$2:$BO$1001,MATCH(ROWS($AG$2:AG979),$AG$2:$AG$1001,0),MATCH(COLUMNS($AN$1006:AT1006),$AN$1006:$BO$1006,0)), HYPERLINK("#",""), HYPERLINK(CONCATENATE("#Metadata!", ADDRESS(INDEX($AI$2:$AI$1001,MATCH(ROWS($AG$2:AG979),$AG$2:$AG$1001,0),0), INDEX($AN$1004:$BO$1004,1,MATCH(COLUMNS($AN$1006:AT1006),$AN$1006:$BO$1006,0)))),"Fix")))</f>
        <v>0</v>
      </c>
      <c r="I979" s="4">
        <f>IF(OR(INDEX($AH$2:$AH$1001,MATCH(ROWS($AG$2:AG979),$AG$2:$AG$1001,0),1)&gt;=100000,INDEX($AN$1005:$BO$1005,1,MATCH(COLUMNS($AN$1006:AU1006),$AN$1006:$BO$1006,0))&gt;=100000), " ",IF(INDEX($AN$2:$BO$1001,MATCH(ROWS($AG$2:AG979),$AG$2:$AG$1001,0),MATCH(COLUMNS($AN$1006:AU1006),$AN$1006:$BO$1006,0)), HYPERLINK("#",""), HYPERLINK(CONCATENATE("#Metadata!", ADDRESS(INDEX($AI$2:$AI$1001,MATCH(ROWS($AG$2:AG979),$AG$2:$AG$1001,0),0), INDEX($AN$1004:$BO$1004,1,MATCH(COLUMNS($AN$1006:AU1006),$AN$1006:$BO$1006,0)))),"Fix")))</f>
        <v>0</v>
      </c>
      <c r="J979" s="4">
        <f>IF(OR(INDEX($AH$2:$AH$1001,MATCH(ROWS($AG$2:AG979),$AG$2:$AG$1001,0),1)&gt;=100000,INDEX($AN$1005:$BO$1005,1,MATCH(COLUMNS($AN$1006:AV1006),$AN$1006:$BO$1006,0))&gt;=100000), " ",IF(INDEX($AN$2:$BO$1001,MATCH(ROWS($AG$2:AG979),$AG$2:$AG$1001,0),MATCH(COLUMNS($AN$1006:AV1006),$AN$1006:$BO$1006,0)), HYPERLINK("#",""), HYPERLINK(CONCATENATE("#Metadata!", ADDRESS(INDEX($AI$2:$AI$1001,MATCH(ROWS($AG$2:AG979),$AG$2:$AG$1001,0),0), INDEX($AN$1004:$BO$1004,1,MATCH(COLUMNS($AN$1006:AV1006),$AN$1006:$BO$1006,0)))),"Fix")))</f>
        <v>0</v>
      </c>
      <c r="K979" s="4">
        <f>IF(OR(INDEX($AH$2:$AH$1001,MATCH(ROWS($AG$2:AG979),$AG$2:$AG$1001,0),1)&gt;=100000,INDEX($AN$1005:$BO$1005,1,MATCH(COLUMNS($AN$1006:AW1006),$AN$1006:$BO$1006,0))&gt;=100000), " ",IF(INDEX($AN$2:$BO$1001,MATCH(ROWS($AG$2:AG979),$AG$2:$AG$1001,0),MATCH(COLUMNS($AN$1006:AW1006),$AN$1006:$BO$1006,0)), HYPERLINK("#",""), HYPERLINK(CONCATENATE("#Metadata!", ADDRESS(INDEX($AI$2:$AI$1001,MATCH(ROWS($AG$2:AG979),$AG$2:$AG$1001,0),0), INDEX($AN$1004:$BO$1004,1,MATCH(COLUMNS($AN$1006:AW1006),$AN$1006:$BO$1006,0)))),"Fix")))</f>
        <v>0</v>
      </c>
      <c r="L979" s="4">
        <f>IF(OR(INDEX($AH$2:$AH$1001,MATCH(ROWS($AG$2:AG979),$AG$2:$AG$1001,0),1)&gt;=100000,INDEX($AN$1005:$BO$1005,1,MATCH(COLUMNS($AN$1006:AX1006),$AN$1006:$BO$1006,0))&gt;=100000), " ",IF(INDEX($AN$2:$BO$1001,MATCH(ROWS($AG$2:AG979),$AG$2:$AG$1001,0),MATCH(COLUMNS($AN$1006:AX1006),$AN$1006:$BO$1006,0)), HYPERLINK("#",""), HYPERLINK(CONCATENATE("#Metadata!", ADDRESS(INDEX($AI$2:$AI$1001,MATCH(ROWS($AG$2:AG979),$AG$2:$AG$1001,0),0), INDEX($AN$1004:$BO$1004,1,MATCH(COLUMNS($AN$1006:AX1006),$AN$1006:$BO$1006,0)))),"Fix")))</f>
        <v>0</v>
      </c>
      <c r="M979" s="4">
        <f>IF(OR(INDEX($AH$2:$AH$1001,MATCH(ROWS($AG$2:AG979),$AG$2:$AG$1001,0),1)&gt;=100000,INDEX($AN$1005:$BO$1005,1,MATCH(COLUMNS($AN$1006:AY1006),$AN$1006:$BO$1006,0))&gt;=100000), " ",IF(INDEX($AN$2:$BO$1001,MATCH(ROWS($AG$2:AG979),$AG$2:$AG$1001,0),MATCH(COLUMNS($AN$1006:AY1006),$AN$1006:$BO$1006,0)), HYPERLINK("#",""), HYPERLINK(CONCATENATE("#Metadata!", ADDRESS(INDEX($AI$2:$AI$1001,MATCH(ROWS($AG$2:AG979),$AG$2:$AG$1001,0),0), INDEX($AN$1004:$BO$1004,1,MATCH(COLUMNS($AN$1006:AY1006),$AN$1006:$BO$1006,0)))),"Fix")))</f>
        <v>0</v>
      </c>
      <c r="N979" s="4">
        <f>IF(OR(INDEX($AH$2:$AH$1001,MATCH(ROWS($AG$2:AG979),$AG$2:$AG$1001,0),1)&gt;=100000,INDEX($AN$1005:$BO$1005,1,MATCH(COLUMNS($AN$1006:AZ1006),$AN$1006:$BO$1006,0))&gt;=100000), " ",IF(INDEX($AN$2:$BO$1001,MATCH(ROWS($AG$2:AG979),$AG$2:$AG$1001,0),MATCH(COLUMNS($AN$1006:AZ1006),$AN$1006:$BO$1006,0)), HYPERLINK("#",""), HYPERLINK(CONCATENATE("#Metadata!", ADDRESS(INDEX($AI$2:$AI$1001,MATCH(ROWS($AG$2:AG979),$AG$2:$AG$1001,0),0), INDEX($AN$1004:$BO$1004,1,MATCH(COLUMNS($AN$1006:AZ1006),$AN$1006:$BO$1006,0)))),"Fix")))</f>
        <v>0</v>
      </c>
      <c r="O979" s="4">
        <f>IF(OR(INDEX($AH$2:$AH$1001,MATCH(ROWS($AG$2:AG979),$AG$2:$AG$1001,0),1)&gt;=100000,INDEX($AN$1005:$BO$1005,1,MATCH(COLUMNS($AN$1006:BA1006),$AN$1006:$BO$1006,0))&gt;=100000), " ",IF(INDEX($AN$2:$BO$1001,MATCH(ROWS($AG$2:AG979),$AG$2:$AG$1001,0),MATCH(COLUMNS($AN$1006:BA1006),$AN$1006:$BO$1006,0)), HYPERLINK("#",""), HYPERLINK(CONCATENATE("#Metadata!", ADDRESS(INDEX($AI$2:$AI$1001,MATCH(ROWS($AG$2:AG979),$AG$2:$AG$1001,0),0), INDEX($AN$1004:$BO$1004,1,MATCH(COLUMNS($AN$1006:BA1006),$AN$1006:$BO$1006,0)))),"Fix")))</f>
        <v>0</v>
      </c>
      <c r="P979" s="4">
        <f>IF(OR(INDEX($AH$2:$AH$1001,MATCH(ROWS($AG$2:AG979),$AG$2:$AG$1001,0),1)&gt;=100000,INDEX($AN$1005:$BO$1005,1,MATCH(COLUMNS($AN$1006:BB1006),$AN$1006:$BO$1006,0))&gt;=100000), " ",IF(INDEX($AN$2:$BO$1001,MATCH(ROWS($AG$2:AG979),$AG$2:$AG$1001,0),MATCH(COLUMNS($AN$1006:BB1006),$AN$1006:$BO$1006,0)), HYPERLINK("#",""), HYPERLINK(CONCATENATE("#Metadata!", ADDRESS(INDEX($AI$2:$AI$1001,MATCH(ROWS($AG$2:AG979),$AG$2:$AG$1001,0),0), INDEX($AN$1004:$BO$1004,1,MATCH(COLUMNS($AN$1006:BB1006),$AN$1006:$BO$1006,0)))),"Fix")))</f>
        <v>0</v>
      </c>
      <c r="Q979" s="4">
        <f>IF(OR(INDEX($AH$2:$AH$1001,MATCH(ROWS($AG$2:AG979),$AG$2:$AG$1001,0),1)&gt;=100000,INDEX($AN$1005:$BO$1005,1,MATCH(COLUMNS($AN$1006:BC1006),$AN$1006:$BO$1006,0))&gt;=100000), " ",IF(INDEX($AN$2:$BO$1001,MATCH(ROWS($AG$2:AG979),$AG$2:$AG$1001,0),MATCH(COLUMNS($AN$1006:BC1006),$AN$1006:$BO$1006,0)), HYPERLINK("#",""), HYPERLINK(CONCATENATE("#Metadata!", ADDRESS(INDEX($AI$2:$AI$1001,MATCH(ROWS($AG$2:AG979),$AG$2:$AG$1001,0),0), INDEX($AN$1004:$BO$1004,1,MATCH(COLUMNS($AN$1006:BC1006),$AN$1006:$BO$1006,0)))),"Fix")))</f>
        <v>0</v>
      </c>
      <c r="R979" s="4">
        <f>IF(OR(INDEX($AH$2:$AH$1001,MATCH(ROWS($AG$2:AG979),$AG$2:$AG$1001,0),1)&gt;=100000,INDEX($AN$1005:$BO$1005,1,MATCH(COLUMNS($AN$1006:BD1006),$AN$1006:$BO$1006,0))&gt;=100000), " ",IF(INDEX($AN$2:$BO$1001,MATCH(ROWS($AG$2:AG979),$AG$2:$AG$1001,0),MATCH(COLUMNS($AN$1006:BD1006),$AN$1006:$BO$1006,0)), HYPERLINK("#",""), HYPERLINK(CONCATENATE("#Metadata!", ADDRESS(INDEX($AI$2:$AI$1001,MATCH(ROWS($AG$2:AG979),$AG$2:$AG$1001,0),0), INDEX($AN$1004:$BO$1004,1,MATCH(COLUMNS($AN$1006:BD1006),$AN$1006:$BO$1006,0)))),"Fix")))</f>
        <v>0</v>
      </c>
      <c r="S979" s="4">
        <f>IF(OR(INDEX($AH$2:$AH$1001,MATCH(ROWS($AG$2:AG979),$AG$2:$AG$1001,0),1)&gt;=100000,INDEX($AN$1005:$BO$1005,1,MATCH(COLUMNS($AN$1006:BE1006),$AN$1006:$BO$1006,0))&gt;=100000), " ",IF(INDEX($AN$2:$BO$1001,MATCH(ROWS($AG$2:AG979),$AG$2:$AG$1001,0),MATCH(COLUMNS($AN$1006:BE1006),$AN$1006:$BO$1006,0)), HYPERLINK("#",""), HYPERLINK(CONCATENATE("#Metadata!", ADDRESS(INDEX($AI$2:$AI$1001,MATCH(ROWS($AG$2:AG979),$AG$2:$AG$1001,0),0), INDEX($AN$1004:$BO$1004,1,MATCH(COLUMNS($AN$1006:BE1006),$AN$1006:$BO$1006,0)))),"Fix")))</f>
        <v>0</v>
      </c>
      <c r="T979" s="4">
        <f>IF(OR(INDEX($AH$2:$AH$1001,MATCH(ROWS($AG$2:AG979),$AG$2:$AG$1001,0),1)&gt;=100000,INDEX($AN$1005:$BO$1005,1,MATCH(COLUMNS($AN$1006:BF1006),$AN$1006:$BO$1006,0))&gt;=100000), " ",IF(INDEX($AN$2:$BO$1001,MATCH(ROWS($AG$2:AG979),$AG$2:$AG$1001,0),MATCH(COLUMNS($AN$1006:BF1006),$AN$1006:$BO$1006,0)), HYPERLINK("#",""), HYPERLINK(CONCATENATE("#Metadata!", ADDRESS(INDEX($AI$2:$AI$1001,MATCH(ROWS($AG$2:AG979),$AG$2:$AG$1001,0),0), INDEX($AN$1004:$BO$1004,1,MATCH(COLUMNS($AN$1006:BF1006),$AN$1006:$BO$1006,0)))),"Fix")))</f>
        <v>0</v>
      </c>
      <c r="U979" s="4">
        <f>IF(OR(INDEX($AH$2:$AH$1001,MATCH(ROWS($AG$2:AG979),$AG$2:$AG$1001,0),1)&gt;=100000,INDEX($AN$1005:$BO$1005,1,MATCH(COLUMNS($AN$1006:BG1006),$AN$1006:$BO$1006,0))&gt;=100000), " ",IF(INDEX($AN$2:$BO$1001,MATCH(ROWS($AG$2:AG979),$AG$2:$AG$1001,0),MATCH(COLUMNS($AN$1006:BG1006),$AN$1006:$BO$1006,0)), HYPERLINK("#",""), HYPERLINK(CONCATENATE("#Metadata!", ADDRESS(INDEX($AI$2:$AI$1001,MATCH(ROWS($AG$2:AG979),$AG$2:$AG$1001,0),0), INDEX($AN$1004:$BO$1004,1,MATCH(COLUMNS($AN$1006:BG1006),$AN$1006:$BO$1006,0)))),"Fix")))</f>
        <v>0</v>
      </c>
      <c r="V979" s="4">
        <f>IF(OR(INDEX($AH$2:$AH$1001,MATCH(ROWS($AG$2:AG979),$AG$2:$AG$1001,0),1)&gt;=100000,INDEX($AN$1005:$BO$1005,1,MATCH(COLUMNS($AN$1006:BH1006),$AN$1006:$BO$1006,0))&gt;=100000), " ",IF(INDEX($AN$2:$BO$1001,MATCH(ROWS($AG$2:AG979),$AG$2:$AG$1001,0),MATCH(COLUMNS($AN$1006:BH1006),$AN$1006:$BO$1006,0)), HYPERLINK("#",""), HYPERLINK(CONCATENATE("#Metadata!", ADDRESS(INDEX($AI$2:$AI$1001,MATCH(ROWS($AG$2:AG979),$AG$2:$AG$1001,0),0), INDEX($AN$1004:$BO$1004,1,MATCH(COLUMNS($AN$1006:BH1006),$AN$1006:$BO$1006,0)))),"Fix")))</f>
        <v>0</v>
      </c>
      <c r="W979" s="4">
        <f>IF(OR(INDEX($AH$2:$AH$1001,MATCH(ROWS($AG$2:AG979),$AG$2:$AG$1001,0),1)&gt;=100000,INDEX($AN$1005:$BO$1005,1,MATCH(COLUMNS($AN$1006:BI1006),$AN$1006:$BO$1006,0))&gt;=100000), " ",IF(INDEX($AN$2:$BO$1001,MATCH(ROWS($AG$2:AG979),$AG$2:$AG$1001,0),MATCH(COLUMNS($AN$1006:BI1006),$AN$1006:$BO$1006,0)), HYPERLINK("#",""), HYPERLINK(CONCATENATE("#Metadata!", ADDRESS(INDEX($AI$2:$AI$1001,MATCH(ROWS($AG$2:AG979),$AG$2:$AG$1001,0),0), INDEX($AN$1004:$BO$1004,1,MATCH(COLUMNS($AN$1006:BI1006),$AN$1006:$BO$1006,0)))),"Fix")))</f>
        <v>0</v>
      </c>
      <c r="X979" s="4">
        <f>IF(OR(INDEX($AH$2:$AH$1001,MATCH(ROWS($AG$2:AG979),$AG$2:$AG$1001,0),1)&gt;=100000,INDEX($AN$1005:$BO$1005,1,MATCH(COLUMNS($AN$1006:BJ1006),$AN$1006:$BO$1006,0))&gt;=100000), " ",IF(INDEX($AN$2:$BO$1001,MATCH(ROWS($AG$2:AG979),$AG$2:$AG$1001,0),MATCH(COLUMNS($AN$1006:BJ1006),$AN$1006:$BO$1006,0)), HYPERLINK("#",""), HYPERLINK(CONCATENATE("#Metadata!", ADDRESS(INDEX($AI$2:$AI$1001,MATCH(ROWS($AG$2:AG979),$AG$2:$AG$1001,0),0), INDEX($AN$1004:$BO$1004,1,MATCH(COLUMNS($AN$1006:BJ1006),$AN$1006:$BO$1006,0)))),"Fix")))</f>
        <v>0</v>
      </c>
      <c r="Y979" s="4">
        <f>IF(OR(INDEX($AH$2:$AH$1001,MATCH(ROWS($AG$2:AG979),$AG$2:$AG$1001,0),1)&gt;=100000,INDEX($AN$1005:$BO$1005,1,MATCH(COLUMNS($AN$1006:BK1006),$AN$1006:$BO$1006,0))&gt;=100000), " ",IF(INDEX($AN$2:$BO$1001,MATCH(ROWS($AG$2:AG979),$AG$2:$AG$1001,0),MATCH(COLUMNS($AN$1006:BK1006),$AN$1006:$BO$1006,0)), HYPERLINK("#",""), HYPERLINK(CONCATENATE("#Metadata!", ADDRESS(INDEX($AI$2:$AI$1001,MATCH(ROWS($AG$2:AG979),$AG$2:$AG$1001,0),0), INDEX($AN$1004:$BO$1004,1,MATCH(COLUMNS($AN$1006:BK1006),$AN$1006:$BO$1006,0)))),"Fix")))</f>
        <v>0</v>
      </c>
      <c r="Z979" s="4">
        <f>IF(OR(INDEX($AH$2:$AH$1001,MATCH(ROWS($AG$2:AG979),$AG$2:$AG$1001,0),1)&gt;=100000,INDEX($AN$1005:$BO$1005,1,MATCH(COLUMNS($AN$1006:BL1006),$AN$1006:$BO$1006,0))&gt;=100000), " ",IF(INDEX($AN$2:$BO$1001,MATCH(ROWS($AG$2:AG979),$AG$2:$AG$1001,0),MATCH(COLUMNS($AN$1006:BL1006),$AN$1006:$BO$1006,0)), HYPERLINK("#",""), HYPERLINK(CONCATENATE("#Metadata!", ADDRESS(INDEX($AI$2:$AI$1001,MATCH(ROWS($AG$2:AG979),$AG$2:$AG$1001,0),0), INDEX($AN$1004:$BO$1004,1,MATCH(COLUMNS($AN$1006:BL1006),$AN$1006:$BO$1006,0)))),"Fix")))</f>
        <v>0</v>
      </c>
      <c r="AA979" s="4">
        <f>IF(OR(INDEX($AH$2:$AH$1001,MATCH(ROWS($AG$2:AG979),$AG$2:$AG$1001,0),1)&gt;=100000,INDEX($AN$1005:$BO$1005,1,MATCH(COLUMNS($AN$1006:BM1006),$AN$1006:$BO$1006,0))&gt;=100000), " ",IF(INDEX($AN$2:$BO$1001,MATCH(ROWS($AG$2:AG979),$AG$2:$AG$1001,0),MATCH(COLUMNS($AN$1006:BM1006),$AN$1006:$BO$1006,0)), HYPERLINK("#",""), HYPERLINK(CONCATENATE("#Metadata!", ADDRESS(INDEX($AI$2:$AI$1001,MATCH(ROWS($AG$2:AG979),$AG$2:$AG$1001,0),0), INDEX($AN$1004:$BO$1004,1,MATCH(COLUMNS($AN$1006:BM1006),$AN$1006:$BO$1006,0)))),"Fix")))</f>
        <v>0</v>
      </c>
      <c r="AB979" s="4">
        <f>IF(OR(INDEX($AH$2:$AH$1001,MATCH(ROWS($AG$2:AG979),$AG$2:$AG$1001,0),1)&gt;=100000,INDEX($AN$1005:$BO$1005,1,MATCH(COLUMNS($AN$1006:BN1006),$AN$1006:$BO$1006,0))&gt;=100000), " ",IF(INDEX($AN$2:$BO$1001,MATCH(ROWS($AG$2:AG979),$AG$2:$AG$1001,0),MATCH(COLUMNS($AN$1006:BN1006),$AN$1006:$BO$1006,0)), HYPERLINK("#",""), HYPERLINK(CONCATENATE("#Metadata!", ADDRESS(INDEX($AI$2:$AI$1001,MATCH(ROWS($AG$2:AG979),$AG$2:$AG$1001,0),0), INDEX($AN$1004:$BO$1004,1,MATCH(COLUMNS($AN$1006:BN1006),$AN$1006:$BO$1006,0)))),"Fix")))</f>
        <v>0</v>
      </c>
      <c r="AC979" s="4">
        <f>IF(OR(INDEX($AH$2:$AH$1001,MATCH(ROWS($AG$2:AG979),$AG$2:$AG$1001,0),1)&gt;=100000,INDEX($AN$1005:$BO$1005,1,MATCH(COLUMNS($AN$1006:BO1006),$AN$1006:$BO$1006,0))&gt;=100000), " ",IF(INDEX($AN$2:$BO$1001,MATCH(ROWS($AG$2:AG979),$AG$2:$AG$1001,0),MATCH(COLUMNS($AN$1006:BO1006),$AN$1006:$BO$1006,0)), HYPERLINK("#",""), HYPERLINK(CONCATENATE("#Metadata!", ADDRESS(INDEX($AI$2:$AI$1001,MATCH(ROWS($AG$2:AG979),$AG$2:$AG$1001,0),0), INDEX($AN$1004:$BO$1004,1,MATCH(COLUMNS($AN$1006:BO1006),$AN$1006:$BO$1006,0)))),"Fix")))</f>
        <v>0</v>
      </c>
      <c r="AG979">
        <v>0</v>
      </c>
      <c r="AH979">
        <v>0</v>
      </c>
      <c r="AI979">
        <v>0</v>
      </c>
      <c r="AJ979">
        <f>IF(AK979,TRUE,AND(AN979:BO979))</f>
        <v>0</v>
      </c>
      <c r="AK979">
        <f>COUNTBLANK(Metadata!B979:AC979)=COLUMNS(Metadata!B979:AC979)</f>
        <v>0</v>
      </c>
      <c r="AL979">
        <v>0</v>
      </c>
      <c r="AN979">
        <f>AND(IF(Metadata!B979="",FALSE,TRUE),COUNTIF(Metadata!B:B, Metadata!B979) = 1,NOT(ISERROR(SUMPRODUCT(SEARCH(MID(Metadata!B979,ROW(INDIRECT("1:"&amp;LEN(Metadata!B979))), 1),"0123456789abcdefghijklmnopqrstuvwxyzABCDEFGHIJKLMNOPQRSTUVWXYZ.")))))</f>
        <v>0</v>
      </c>
      <c r="AO979">
        <f>IF(Metadata!C979="",FALSE,TRUE)</f>
        <v>0</v>
      </c>
      <c r="AP979">
        <f>IF(Metadata!D979="",FALSE,TRUE)</f>
        <v>0</v>
      </c>
      <c r="AQ979">
        <f>OR(AND(IF(Metadata!E979="",FALSE,TRUE),OR(exact(Metadata!E979,"not collected"),exact(Metadata!E979,"not provided"),exact(Metadata!E979,"restricted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R979">
        <f>IF(Metadata!F979="",FALSE,TRUE)</f>
        <v>0</v>
      </c>
      <c r="AS979">
        <f>OR(AND(IF(Metadata!G979="",FALSE,TRUE),OR(exact(Metadata!G979,"not collected"),exact(Metadata!G979,"not provided"))),AND(IF(Metadata!G979="",FALSE,TRUE),OR(exact(Metadata!G979,"TRUE"),exact(Metadata!G979,"FALSE"))))</f>
        <v>0</v>
      </c>
      <c r="AT979">
        <f>OR(AND(IF(Metadata!H979="",FALSE,TRUE),OR(exact(Metadata!H979,"not collected"),exact(Metadata!H979,"not provided"),exact(Metadata!H979,"restricted access"))),AND(IF(Metadata!H979="",FALSE,ISNUMBER(VALUE(Metadata!H979))),Metadata!H979&gt;=-413.0))</f>
        <v>0</v>
      </c>
      <c r="AU979">
        <f>AND(IF(Metadata!I979="",FALSE,TRUE),exact(Metadata!I979,"meters"))</f>
        <v>0</v>
      </c>
      <c r="AV979">
        <f>AND(IF(Metadata!J979="",FALSE,TRUE),OR(exact(Metadata!J979,"Host-associated"),exact(Metadata!J979,"Free-living")))</f>
        <v>0</v>
      </c>
      <c r="AW979">
        <f>AND(IF(Metadata!K979="",FALSE,TRUE),OR(exact(Metadata!K979,"Animal"),exact(Metadata!K979,"Fungus"),exact(Metadata!K979,"Plant"),exact(Metadata!K979,"Saline"),exact(Metadata!K979,"Non-saline")))</f>
        <v>0</v>
      </c>
      <c r="AX979">
        <f>AND(IF(Metadata!L979="",FALSE,TRUE),OR(exact(Metadata!L979,"Plant secretion"),exact(Metadata!L979,"Plant rhizosphere"),exact(Metadata!L979,"Plant surface"),exact(Metadata!L979,"Plant corpus"),exact(Metadata!L979,"Fungus surface"),exact(Metadata!L979,"Fungus corpus"),exact(Metadata!L979,"Animal surface"),exact(Metadata!L979,"Animal proximal gut"),exact(Metadata!L979,"Animal corpus"),exact(Metadata!L979,"Animal distal gut"),exact(Metadata!L979,"Animal secretion"),exact(Metadata!L979,"Sub-surface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Y979">
        <f>IF(Metadata!M979="",FALSE,TRUE)</f>
        <v>0</v>
      </c>
      <c r="AZ979">
        <f>IF(Metadata!N979="",FALSE,TRUE)</f>
        <v>0</v>
      </c>
      <c r="BA979">
        <f>IF(Metadata!O979="",FALSE,TRUE)</f>
        <v>0</v>
      </c>
      <c r="BB979">
        <f>OR(AND(IF(Metadata!P979="",FALSE,TRUE),OR(exact(Metadata!P979,"not collected"),exact(Metadata!P979,"not provided"),exact(Metadata!P979,"restricted access"))),AND(IF(Metadata!P979="",FALSE,TRUE),OR(exact(Metadata!P979,"air"),exact(Metadata!P979,"built environment"),exact(Metadata!P979,"host-associated"),exact(Metadata!P979,"human-associated"),exact(Metadata!P979,"human-skin"),exact(Metadata!P979,"human-oral"),exact(Metadata!P979,"human-gut"),exact(Metadata!P979,"human-vaginal"),exact(Metadata!P979,"microbial mat/biofilm"),exact(Metadata!P979,"misc environment"),exact(Metadata!P979,"plant-associated"),exact(Metadata!P979,"sediment"),exact(Metadata!P979,"soil"),exact(Metadata!P979,"wastewater/sludge"),exact(Metadata!P979,"water"))))</f>
        <v>0</v>
      </c>
      <c r="BC979">
        <f>IF(Metadata!Q979="",FALSE,TRUE)</f>
        <v>0</v>
      </c>
      <c r="BD979">
        <f>IF(Metadata!R979="",FALSE,TRUE)</f>
        <v>0</v>
      </c>
      <c r="BE979">
        <f>OR(AND(IF(Metadata!S979="",FALSE,TRUE),OR(exact(Metadata!S979,"not collected"),exact(Metadata!S979,"not provided"),exact(Metadata!S979,"restricted access"))),AND(IF(Metadata!S979="",FALSE,ISNUMBER(VALUE(Metadata!S979))),Metadata!S979&gt;=-90.00,Metadata!S979&lt;=90.00))</f>
        <v>0</v>
      </c>
      <c r="BF979">
        <f>AND(IF(Metadata!T979="",FALSE,TRUE),exact(Metadata!T979,"Decimal degrees"))</f>
        <v>0</v>
      </c>
      <c r="BG979">
        <f>OR(AND(IF(Metadata!U979="",FALSE,TRUE),OR(exact(Metadata!U979,"not collected"),exact(Metadata!U979,"not provided"),exact(Metadata!U979,"restricted access"))),AND(IF(Metadata!U979="",FALSE,ISNUMBER(VALUE(Metadata!U979))),Metadata!U979&gt;=-180.00,Metadata!U979&lt;=180.00))</f>
        <v>0</v>
      </c>
      <c r="BH979">
        <f>AND(IF(Metadata!V979="",FALSE,TRUE),exact(Metadata!V979,"Decimal degrees"))</f>
        <v>0</v>
      </c>
      <c r="BI979">
        <f>IF(Metadata!W979="",FALSE,TRUE)</f>
        <v>0</v>
      </c>
      <c r="BJ979">
        <f>OR(AND(IF(Metadata!X979="",FALSE,TRUE),OR(exact(Metadata!X979,"not collected"),exact(Metadata!X979,"not provided"),exact(Metadata!X979,"restricted access"))),AND(IF(Metadata!X979="",FALSE,TRUE),OR(exact(Metadata!X979,"TRUE"),exact(Metadata!X979,"FALSE"))))</f>
        <v>0</v>
      </c>
      <c r="BK979">
        <f>AND(IF(Metadata!Y979="",FALSE,TRUE),exact(Metadata!Y979,"other"))</f>
        <v>0</v>
      </c>
      <c r="BL979">
        <f>IF(Metadata!Z979="",FALSE,TRUE)</f>
        <v>0</v>
      </c>
      <c r="BM979">
        <f>OR(AND(IF(Metadata!AA979="",FALSE,TRUE),OR(exact(Metadata!AA979,"not collected"),exact(Metadata!AA979,"not provided"))),AND(IF(Metadata!AA979="",FALSE,IF(ISERROR(INT(Metadata!AA979)),FALSE,INT(Metadata!AA979)=Metadata!AA979)),Metadata!AA979&gt;0))</f>
        <v>0</v>
      </c>
      <c r="BN979">
        <f>AND(IF(Metadata!AB979="",FALSE,TRUE),exact(Metadata!AB979,"Not applicable"))</f>
        <v>0</v>
      </c>
      <c r="BO979">
        <f>IF(Metadata!AC979="",FALSE,TRUE)</f>
        <v>0</v>
      </c>
    </row>
    <row r="980" spans="1:67">
      <c r="A980" s="5">
        <f>IF(B980=" "," ",HYPERLINK(CONCATENATE("#metadata!",ADDRESS(INDEX($AI$2:$AI$1001,MATCH(ROWS($AG$2:AG980),$AG$2:$AG$1001,0),0),1)),INDEX($AL$2:$AL$1001,MATCH(ROWS($AG$2:AG980),$AG$2:$AG$1001,0),0)))</f>
        <v>0</v>
      </c>
      <c r="B980" s="4">
        <f>IF(OR(INDEX($AH$2:$AH$1001,MATCH(ROWS($AG$2:AG980),$AG$2:$AG$1001,0),1)&gt;=100000,INDEX($AN$1005:$BO$1005,1,MATCH(COLUMNS($AN$1006:AN1006),$AN$1006:$BO$1006,0))&gt;=100000), " ",IF(INDEX($AN$2:$BO$1001,MATCH(ROWS($AG$2:AG980),$AG$2:$AG$1001,0),MATCH(COLUMNS($AN$1006:AN1006),$AN$1006:$BO$1006,0)), HYPERLINK("#",""), HYPERLINK(CONCATENATE("#Metadata!", ADDRESS(INDEX($AI$2:$AI$1001,MATCH(ROWS($AG$2:AG980),$AG$2:$AG$1001,0),0), INDEX($AN$1004:$BO$1004,1,MATCH(COLUMNS($AN$1006:AN1006),$AN$1006:$BO$1006,0)))),"Fix")))</f>
        <v>0</v>
      </c>
      <c r="C980" s="4">
        <f>IF(OR(INDEX($AH$2:$AH$1001,MATCH(ROWS($AG$2:AG980),$AG$2:$AG$1001,0),1)&gt;=100000,INDEX($AN$1005:$BO$1005,1,MATCH(COLUMNS($AN$1006:AO1006),$AN$1006:$BO$1006,0))&gt;=100000), " ",IF(INDEX($AN$2:$BO$1001,MATCH(ROWS($AG$2:AG980),$AG$2:$AG$1001,0),MATCH(COLUMNS($AN$1006:AO1006),$AN$1006:$BO$1006,0)), HYPERLINK("#",""), HYPERLINK(CONCATENATE("#Metadata!", ADDRESS(INDEX($AI$2:$AI$1001,MATCH(ROWS($AG$2:AG980),$AG$2:$AG$1001,0),0), INDEX($AN$1004:$BO$1004,1,MATCH(COLUMNS($AN$1006:AO1006),$AN$1006:$BO$1006,0)))),"Fix")))</f>
        <v>0</v>
      </c>
      <c r="D980" s="4">
        <f>IF(OR(INDEX($AH$2:$AH$1001,MATCH(ROWS($AG$2:AG980),$AG$2:$AG$1001,0),1)&gt;=100000,INDEX($AN$1005:$BO$1005,1,MATCH(COLUMNS($AN$1006:AP1006),$AN$1006:$BO$1006,0))&gt;=100000), " ",IF(INDEX($AN$2:$BO$1001,MATCH(ROWS($AG$2:AG980),$AG$2:$AG$1001,0),MATCH(COLUMNS($AN$1006:AP1006),$AN$1006:$BO$1006,0)), HYPERLINK("#",""), HYPERLINK(CONCATENATE("#Metadata!", ADDRESS(INDEX($AI$2:$AI$1001,MATCH(ROWS($AG$2:AG980),$AG$2:$AG$1001,0),0), INDEX($AN$1004:$BO$1004,1,MATCH(COLUMNS($AN$1006:AP1006),$AN$1006:$BO$1006,0)))),"Fix")))</f>
        <v>0</v>
      </c>
      <c r="E980" s="4">
        <f>IF(OR(INDEX($AH$2:$AH$1001,MATCH(ROWS($AG$2:AG980),$AG$2:$AG$1001,0),1)&gt;=100000,INDEX($AN$1005:$BO$1005,1,MATCH(COLUMNS($AN$1006:AQ1006),$AN$1006:$BO$1006,0))&gt;=100000), " ",IF(INDEX($AN$2:$BO$1001,MATCH(ROWS($AG$2:AG980),$AG$2:$AG$1001,0),MATCH(COLUMNS($AN$1006:AQ1006),$AN$1006:$BO$1006,0)), HYPERLINK("#",""), HYPERLINK(CONCATENATE("#Metadata!", ADDRESS(INDEX($AI$2:$AI$1001,MATCH(ROWS($AG$2:AG980),$AG$2:$AG$1001,0),0), INDEX($AN$1004:$BO$1004,1,MATCH(COLUMNS($AN$1006:AQ1006),$AN$1006:$BO$1006,0)))),"Fix")))</f>
        <v>0</v>
      </c>
      <c r="F980" s="4">
        <f>IF(OR(INDEX($AH$2:$AH$1001,MATCH(ROWS($AG$2:AG980),$AG$2:$AG$1001,0),1)&gt;=100000,INDEX($AN$1005:$BO$1005,1,MATCH(COLUMNS($AN$1006:AR1006),$AN$1006:$BO$1006,0))&gt;=100000), " ",IF(INDEX($AN$2:$BO$1001,MATCH(ROWS($AG$2:AG980),$AG$2:$AG$1001,0),MATCH(COLUMNS($AN$1006:AR1006),$AN$1006:$BO$1006,0)), HYPERLINK("#",""), HYPERLINK(CONCATENATE("#Metadata!", ADDRESS(INDEX($AI$2:$AI$1001,MATCH(ROWS($AG$2:AG980),$AG$2:$AG$1001,0),0), INDEX($AN$1004:$BO$1004,1,MATCH(COLUMNS($AN$1006:AR1006),$AN$1006:$BO$1006,0)))),"Fix")))</f>
        <v>0</v>
      </c>
      <c r="G980" s="4">
        <f>IF(OR(INDEX($AH$2:$AH$1001,MATCH(ROWS($AG$2:AG980),$AG$2:$AG$1001,0),1)&gt;=100000,INDEX($AN$1005:$BO$1005,1,MATCH(COLUMNS($AN$1006:AS1006),$AN$1006:$BO$1006,0))&gt;=100000), " ",IF(INDEX($AN$2:$BO$1001,MATCH(ROWS($AG$2:AG980),$AG$2:$AG$1001,0),MATCH(COLUMNS($AN$1006:AS1006),$AN$1006:$BO$1006,0)), HYPERLINK("#",""), HYPERLINK(CONCATENATE("#Metadata!", ADDRESS(INDEX($AI$2:$AI$1001,MATCH(ROWS($AG$2:AG980),$AG$2:$AG$1001,0),0), INDEX($AN$1004:$BO$1004,1,MATCH(COLUMNS($AN$1006:AS1006),$AN$1006:$BO$1006,0)))),"Fix")))</f>
        <v>0</v>
      </c>
      <c r="H980" s="4">
        <f>IF(OR(INDEX($AH$2:$AH$1001,MATCH(ROWS($AG$2:AG980),$AG$2:$AG$1001,0),1)&gt;=100000,INDEX($AN$1005:$BO$1005,1,MATCH(COLUMNS($AN$1006:AT1006),$AN$1006:$BO$1006,0))&gt;=100000), " ",IF(INDEX($AN$2:$BO$1001,MATCH(ROWS($AG$2:AG980),$AG$2:$AG$1001,0),MATCH(COLUMNS($AN$1006:AT1006),$AN$1006:$BO$1006,0)), HYPERLINK("#",""), HYPERLINK(CONCATENATE("#Metadata!", ADDRESS(INDEX($AI$2:$AI$1001,MATCH(ROWS($AG$2:AG980),$AG$2:$AG$1001,0),0), INDEX($AN$1004:$BO$1004,1,MATCH(COLUMNS($AN$1006:AT1006),$AN$1006:$BO$1006,0)))),"Fix")))</f>
        <v>0</v>
      </c>
      <c r="I980" s="4">
        <f>IF(OR(INDEX($AH$2:$AH$1001,MATCH(ROWS($AG$2:AG980),$AG$2:$AG$1001,0),1)&gt;=100000,INDEX($AN$1005:$BO$1005,1,MATCH(COLUMNS($AN$1006:AU1006),$AN$1006:$BO$1006,0))&gt;=100000), " ",IF(INDEX($AN$2:$BO$1001,MATCH(ROWS($AG$2:AG980),$AG$2:$AG$1001,0),MATCH(COLUMNS($AN$1006:AU1006),$AN$1006:$BO$1006,0)), HYPERLINK("#",""), HYPERLINK(CONCATENATE("#Metadata!", ADDRESS(INDEX($AI$2:$AI$1001,MATCH(ROWS($AG$2:AG980),$AG$2:$AG$1001,0),0), INDEX($AN$1004:$BO$1004,1,MATCH(COLUMNS($AN$1006:AU1006),$AN$1006:$BO$1006,0)))),"Fix")))</f>
        <v>0</v>
      </c>
      <c r="J980" s="4">
        <f>IF(OR(INDEX($AH$2:$AH$1001,MATCH(ROWS($AG$2:AG980),$AG$2:$AG$1001,0),1)&gt;=100000,INDEX($AN$1005:$BO$1005,1,MATCH(COLUMNS($AN$1006:AV1006),$AN$1006:$BO$1006,0))&gt;=100000), " ",IF(INDEX($AN$2:$BO$1001,MATCH(ROWS($AG$2:AG980),$AG$2:$AG$1001,0),MATCH(COLUMNS($AN$1006:AV1006),$AN$1006:$BO$1006,0)), HYPERLINK("#",""), HYPERLINK(CONCATENATE("#Metadata!", ADDRESS(INDEX($AI$2:$AI$1001,MATCH(ROWS($AG$2:AG980),$AG$2:$AG$1001,0),0), INDEX($AN$1004:$BO$1004,1,MATCH(COLUMNS($AN$1006:AV1006),$AN$1006:$BO$1006,0)))),"Fix")))</f>
        <v>0</v>
      </c>
      <c r="K980" s="4">
        <f>IF(OR(INDEX($AH$2:$AH$1001,MATCH(ROWS($AG$2:AG980),$AG$2:$AG$1001,0),1)&gt;=100000,INDEX($AN$1005:$BO$1005,1,MATCH(COLUMNS($AN$1006:AW1006),$AN$1006:$BO$1006,0))&gt;=100000), " ",IF(INDEX($AN$2:$BO$1001,MATCH(ROWS($AG$2:AG980),$AG$2:$AG$1001,0),MATCH(COLUMNS($AN$1006:AW1006),$AN$1006:$BO$1006,0)), HYPERLINK("#",""), HYPERLINK(CONCATENATE("#Metadata!", ADDRESS(INDEX($AI$2:$AI$1001,MATCH(ROWS($AG$2:AG980),$AG$2:$AG$1001,0),0), INDEX($AN$1004:$BO$1004,1,MATCH(COLUMNS($AN$1006:AW1006),$AN$1006:$BO$1006,0)))),"Fix")))</f>
        <v>0</v>
      </c>
      <c r="L980" s="4">
        <f>IF(OR(INDEX($AH$2:$AH$1001,MATCH(ROWS($AG$2:AG980),$AG$2:$AG$1001,0),1)&gt;=100000,INDEX($AN$1005:$BO$1005,1,MATCH(COLUMNS($AN$1006:AX1006),$AN$1006:$BO$1006,0))&gt;=100000), " ",IF(INDEX($AN$2:$BO$1001,MATCH(ROWS($AG$2:AG980),$AG$2:$AG$1001,0),MATCH(COLUMNS($AN$1006:AX1006),$AN$1006:$BO$1006,0)), HYPERLINK("#",""), HYPERLINK(CONCATENATE("#Metadata!", ADDRESS(INDEX($AI$2:$AI$1001,MATCH(ROWS($AG$2:AG980),$AG$2:$AG$1001,0),0), INDEX($AN$1004:$BO$1004,1,MATCH(COLUMNS($AN$1006:AX1006),$AN$1006:$BO$1006,0)))),"Fix")))</f>
        <v>0</v>
      </c>
      <c r="M980" s="4">
        <f>IF(OR(INDEX($AH$2:$AH$1001,MATCH(ROWS($AG$2:AG980),$AG$2:$AG$1001,0),1)&gt;=100000,INDEX($AN$1005:$BO$1005,1,MATCH(COLUMNS($AN$1006:AY1006),$AN$1006:$BO$1006,0))&gt;=100000), " ",IF(INDEX($AN$2:$BO$1001,MATCH(ROWS($AG$2:AG980),$AG$2:$AG$1001,0),MATCH(COLUMNS($AN$1006:AY1006),$AN$1006:$BO$1006,0)), HYPERLINK("#",""), HYPERLINK(CONCATENATE("#Metadata!", ADDRESS(INDEX($AI$2:$AI$1001,MATCH(ROWS($AG$2:AG980),$AG$2:$AG$1001,0),0), INDEX($AN$1004:$BO$1004,1,MATCH(COLUMNS($AN$1006:AY1006),$AN$1006:$BO$1006,0)))),"Fix")))</f>
        <v>0</v>
      </c>
      <c r="N980" s="4">
        <f>IF(OR(INDEX($AH$2:$AH$1001,MATCH(ROWS($AG$2:AG980),$AG$2:$AG$1001,0),1)&gt;=100000,INDEX($AN$1005:$BO$1005,1,MATCH(COLUMNS($AN$1006:AZ1006),$AN$1006:$BO$1006,0))&gt;=100000), " ",IF(INDEX($AN$2:$BO$1001,MATCH(ROWS($AG$2:AG980),$AG$2:$AG$1001,0),MATCH(COLUMNS($AN$1006:AZ1006),$AN$1006:$BO$1006,0)), HYPERLINK("#",""), HYPERLINK(CONCATENATE("#Metadata!", ADDRESS(INDEX($AI$2:$AI$1001,MATCH(ROWS($AG$2:AG980),$AG$2:$AG$1001,0),0), INDEX($AN$1004:$BO$1004,1,MATCH(COLUMNS($AN$1006:AZ1006),$AN$1006:$BO$1006,0)))),"Fix")))</f>
        <v>0</v>
      </c>
      <c r="O980" s="4">
        <f>IF(OR(INDEX($AH$2:$AH$1001,MATCH(ROWS($AG$2:AG980),$AG$2:$AG$1001,0),1)&gt;=100000,INDEX($AN$1005:$BO$1005,1,MATCH(COLUMNS($AN$1006:BA1006),$AN$1006:$BO$1006,0))&gt;=100000), " ",IF(INDEX($AN$2:$BO$1001,MATCH(ROWS($AG$2:AG980),$AG$2:$AG$1001,0),MATCH(COLUMNS($AN$1006:BA1006),$AN$1006:$BO$1006,0)), HYPERLINK("#",""), HYPERLINK(CONCATENATE("#Metadata!", ADDRESS(INDEX($AI$2:$AI$1001,MATCH(ROWS($AG$2:AG980),$AG$2:$AG$1001,0),0), INDEX($AN$1004:$BO$1004,1,MATCH(COLUMNS($AN$1006:BA1006),$AN$1006:$BO$1006,0)))),"Fix")))</f>
        <v>0</v>
      </c>
      <c r="P980" s="4">
        <f>IF(OR(INDEX($AH$2:$AH$1001,MATCH(ROWS($AG$2:AG980),$AG$2:$AG$1001,0),1)&gt;=100000,INDEX($AN$1005:$BO$1005,1,MATCH(COLUMNS($AN$1006:BB1006),$AN$1006:$BO$1006,0))&gt;=100000), " ",IF(INDEX($AN$2:$BO$1001,MATCH(ROWS($AG$2:AG980),$AG$2:$AG$1001,0),MATCH(COLUMNS($AN$1006:BB1006),$AN$1006:$BO$1006,0)), HYPERLINK("#",""), HYPERLINK(CONCATENATE("#Metadata!", ADDRESS(INDEX($AI$2:$AI$1001,MATCH(ROWS($AG$2:AG980),$AG$2:$AG$1001,0),0), INDEX($AN$1004:$BO$1004,1,MATCH(COLUMNS($AN$1006:BB1006),$AN$1006:$BO$1006,0)))),"Fix")))</f>
        <v>0</v>
      </c>
      <c r="Q980" s="4">
        <f>IF(OR(INDEX($AH$2:$AH$1001,MATCH(ROWS($AG$2:AG980),$AG$2:$AG$1001,0),1)&gt;=100000,INDEX($AN$1005:$BO$1005,1,MATCH(COLUMNS($AN$1006:BC1006),$AN$1006:$BO$1006,0))&gt;=100000), " ",IF(INDEX($AN$2:$BO$1001,MATCH(ROWS($AG$2:AG980),$AG$2:$AG$1001,0),MATCH(COLUMNS($AN$1006:BC1006),$AN$1006:$BO$1006,0)), HYPERLINK("#",""), HYPERLINK(CONCATENATE("#Metadata!", ADDRESS(INDEX($AI$2:$AI$1001,MATCH(ROWS($AG$2:AG980),$AG$2:$AG$1001,0),0), INDEX($AN$1004:$BO$1004,1,MATCH(COLUMNS($AN$1006:BC1006),$AN$1006:$BO$1006,0)))),"Fix")))</f>
        <v>0</v>
      </c>
      <c r="R980" s="4">
        <f>IF(OR(INDEX($AH$2:$AH$1001,MATCH(ROWS($AG$2:AG980),$AG$2:$AG$1001,0),1)&gt;=100000,INDEX($AN$1005:$BO$1005,1,MATCH(COLUMNS($AN$1006:BD1006),$AN$1006:$BO$1006,0))&gt;=100000), " ",IF(INDEX($AN$2:$BO$1001,MATCH(ROWS($AG$2:AG980),$AG$2:$AG$1001,0),MATCH(COLUMNS($AN$1006:BD1006),$AN$1006:$BO$1006,0)), HYPERLINK("#",""), HYPERLINK(CONCATENATE("#Metadata!", ADDRESS(INDEX($AI$2:$AI$1001,MATCH(ROWS($AG$2:AG980),$AG$2:$AG$1001,0),0), INDEX($AN$1004:$BO$1004,1,MATCH(COLUMNS($AN$1006:BD1006),$AN$1006:$BO$1006,0)))),"Fix")))</f>
        <v>0</v>
      </c>
      <c r="S980" s="4">
        <f>IF(OR(INDEX($AH$2:$AH$1001,MATCH(ROWS($AG$2:AG980),$AG$2:$AG$1001,0),1)&gt;=100000,INDEX($AN$1005:$BO$1005,1,MATCH(COLUMNS($AN$1006:BE1006),$AN$1006:$BO$1006,0))&gt;=100000), " ",IF(INDEX($AN$2:$BO$1001,MATCH(ROWS($AG$2:AG980),$AG$2:$AG$1001,0),MATCH(COLUMNS($AN$1006:BE1006),$AN$1006:$BO$1006,0)), HYPERLINK("#",""), HYPERLINK(CONCATENATE("#Metadata!", ADDRESS(INDEX($AI$2:$AI$1001,MATCH(ROWS($AG$2:AG980),$AG$2:$AG$1001,0),0), INDEX($AN$1004:$BO$1004,1,MATCH(COLUMNS($AN$1006:BE1006),$AN$1006:$BO$1006,0)))),"Fix")))</f>
        <v>0</v>
      </c>
      <c r="T980" s="4">
        <f>IF(OR(INDEX($AH$2:$AH$1001,MATCH(ROWS($AG$2:AG980),$AG$2:$AG$1001,0),1)&gt;=100000,INDEX($AN$1005:$BO$1005,1,MATCH(COLUMNS($AN$1006:BF1006),$AN$1006:$BO$1006,0))&gt;=100000), " ",IF(INDEX($AN$2:$BO$1001,MATCH(ROWS($AG$2:AG980),$AG$2:$AG$1001,0),MATCH(COLUMNS($AN$1006:BF1006),$AN$1006:$BO$1006,0)), HYPERLINK("#",""), HYPERLINK(CONCATENATE("#Metadata!", ADDRESS(INDEX($AI$2:$AI$1001,MATCH(ROWS($AG$2:AG980),$AG$2:$AG$1001,0),0), INDEX($AN$1004:$BO$1004,1,MATCH(COLUMNS($AN$1006:BF1006),$AN$1006:$BO$1006,0)))),"Fix")))</f>
        <v>0</v>
      </c>
      <c r="U980" s="4">
        <f>IF(OR(INDEX($AH$2:$AH$1001,MATCH(ROWS($AG$2:AG980),$AG$2:$AG$1001,0),1)&gt;=100000,INDEX($AN$1005:$BO$1005,1,MATCH(COLUMNS($AN$1006:BG1006),$AN$1006:$BO$1006,0))&gt;=100000), " ",IF(INDEX($AN$2:$BO$1001,MATCH(ROWS($AG$2:AG980),$AG$2:$AG$1001,0),MATCH(COLUMNS($AN$1006:BG1006),$AN$1006:$BO$1006,0)), HYPERLINK("#",""), HYPERLINK(CONCATENATE("#Metadata!", ADDRESS(INDEX($AI$2:$AI$1001,MATCH(ROWS($AG$2:AG980),$AG$2:$AG$1001,0),0), INDEX($AN$1004:$BO$1004,1,MATCH(COLUMNS($AN$1006:BG1006),$AN$1006:$BO$1006,0)))),"Fix")))</f>
        <v>0</v>
      </c>
      <c r="V980" s="4">
        <f>IF(OR(INDEX($AH$2:$AH$1001,MATCH(ROWS($AG$2:AG980),$AG$2:$AG$1001,0),1)&gt;=100000,INDEX($AN$1005:$BO$1005,1,MATCH(COLUMNS($AN$1006:BH1006),$AN$1006:$BO$1006,0))&gt;=100000), " ",IF(INDEX($AN$2:$BO$1001,MATCH(ROWS($AG$2:AG980),$AG$2:$AG$1001,0),MATCH(COLUMNS($AN$1006:BH1006),$AN$1006:$BO$1006,0)), HYPERLINK("#",""), HYPERLINK(CONCATENATE("#Metadata!", ADDRESS(INDEX($AI$2:$AI$1001,MATCH(ROWS($AG$2:AG980),$AG$2:$AG$1001,0),0), INDEX($AN$1004:$BO$1004,1,MATCH(COLUMNS($AN$1006:BH1006),$AN$1006:$BO$1006,0)))),"Fix")))</f>
        <v>0</v>
      </c>
      <c r="W980" s="4">
        <f>IF(OR(INDEX($AH$2:$AH$1001,MATCH(ROWS($AG$2:AG980),$AG$2:$AG$1001,0),1)&gt;=100000,INDEX($AN$1005:$BO$1005,1,MATCH(COLUMNS($AN$1006:BI1006),$AN$1006:$BO$1006,0))&gt;=100000), " ",IF(INDEX($AN$2:$BO$1001,MATCH(ROWS($AG$2:AG980),$AG$2:$AG$1001,0),MATCH(COLUMNS($AN$1006:BI1006),$AN$1006:$BO$1006,0)), HYPERLINK("#",""), HYPERLINK(CONCATENATE("#Metadata!", ADDRESS(INDEX($AI$2:$AI$1001,MATCH(ROWS($AG$2:AG980),$AG$2:$AG$1001,0),0), INDEX($AN$1004:$BO$1004,1,MATCH(COLUMNS($AN$1006:BI1006),$AN$1006:$BO$1006,0)))),"Fix")))</f>
        <v>0</v>
      </c>
      <c r="X980" s="4">
        <f>IF(OR(INDEX($AH$2:$AH$1001,MATCH(ROWS($AG$2:AG980),$AG$2:$AG$1001,0),1)&gt;=100000,INDEX($AN$1005:$BO$1005,1,MATCH(COLUMNS($AN$1006:BJ1006),$AN$1006:$BO$1006,0))&gt;=100000), " ",IF(INDEX($AN$2:$BO$1001,MATCH(ROWS($AG$2:AG980),$AG$2:$AG$1001,0),MATCH(COLUMNS($AN$1006:BJ1006),$AN$1006:$BO$1006,0)), HYPERLINK("#",""), HYPERLINK(CONCATENATE("#Metadata!", ADDRESS(INDEX($AI$2:$AI$1001,MATCH(ROWS($AG$2:AG980),$AG$2:$AG$1001,0),0), INDEX($AN$1004:$BO$1004,1,MATCH(COLUMNS($AN$1006:BJ1006),$AN$1006:$BO$1006,0)))),"Fix")))</f>
        <v>0</v>
      </c>
      <c r="Y980" s="4">
        <f>IF(OR(INDEX($AH$2:$AH$1001,MATCH(ROWS($AG$2:AG980),$AG$2:$AG$1001,0),1)&gt;=100000,INDEX($AN$1005:$BO$1005,1,MATCH(COLUMNS($AN$1006:BK1006),$AN$1006:$BO$1006,0))&gt;=100000), " ",IF(INDEX($AN$2:$BO$1001,MATCH(ROWS($AG$2:AG980),$AG$2:$AG$1001,0),MATCH(COLUMNS($AN$1006:BK1006),$AN$1006:$BO$1006,0)), HYPERLINK("#",""), HYPERLINK(CONCATENATE("#Metadata!", ADDRESS(INDEX($AI$2:$AI$1001,MATCH(ROWS($AG$2:AG980),$AG$2:$AG$1001,0),0), INDEX($AN$1004:$BO$1004,1,MATCH(COLUMNS($AN$1006:BK1006),$AN$1006:$BO$1006,0)))),"Fix")))</f>
        <v>0</v>
      </c>
      <c r="Z980" s="4">
        <f>IF(OR(INDEX($AH$2:$AH$1001,MATCH(ROWS($AG$2:AG980),$AG$2:$AG$1001,0),1)&gt;=100000,INDEX($AN$1005:$BO$1005,1,MATCH(COLUMNS($AN$1006:BL1006),$AN$1006:$BO$1006,0))&gt;=100000), " ",IF(INDEX($AN$2:$BO$1001,MATCH(ROWS($AG$2:AG980),$AG$2:$AG$1001,0),MATCH(COLUMNS($AN$1006:BL1006),$AN$1006:$BO$1006,0)), HYPERLINK("#",""), HYPERLINK(CONCATENATE("#Metadata!", ADDRESS(INDEX($AI$2:$AI$1001,MATCH(ROWS($AG$2:AG980),$AG$2:$AG$1001,0),0), INDEX($AN$1004:$BO$1004,1,MATCH(COLUMNS($AN$1006:BL1006),$AN$1006:$BO$1006,0)))),"Fix")))</f>
        <v>0</v>
      </c>
      <c r="AA980" s="4">
        <f>IF(OR(INDEX($AH$2:$AH$1001,MATCH(ROWS($AG$2:AG980),$AG$2:$AG$1001,0),1)&gt;=100000,INDEX($AN$1005:$BO$1005,1,MATCH(COLUMNS($AN$1006:BM1006),$AN$1006:$BO$1006,0))&gt;=100000), " ",IF(INDEX($AN$2:$BO$1001,MATCH(ROWS($AG$2:AG980),$AG$2:$AG$1001,0),MATCH(COLUMNS($AN$1006:BM1006),$AN$1006:$BO$1006,0)), HYPERLINK("#",""), HYPERLINK(CONCATENATE("#Metadata!", ADDRESS(INDEX($AI$2:$AI$1001,MATCH(ROWS($AG$2:AG980),$AG$2:$AG$1001,0),0), INDEX($AN$1004:$BO$1004,1,MATCH(COLUMNS($AN$1006:BM1006),$AN$1006:$BO$1006,0)))),"Fix")))</f>
        <v>0</v>
      </c>
      <c r="AB980" s="4">
        <f>IF(OR(INDEX($AH$2:$AH$1001,MATCH(ROWS($AG$2:AG980),$AG$2:$AG$1001,0),1)&gt;=100000,INDEX($AN$1005:$BO$1005,1,MATCH(COLUMNS($AN$1006:BN1006),$AN$1006:$BO$1006,0))&gt;=100000), " ",IF(INDEX($AN$2:$BO$1001,MATCH(ROWS($AG$2:AG980),$AG$2:$AG$1001,0),MATCH(COLUMNS($AN$1006:BN1006),$AN$1006:$BO$1006,0)), HYPERLINK("#",""), HYPERLINK(CONCATENATE("#Metadata!", ADDRESS(INDEX($AI$2:$AI$1001,MATCH(ROWS($AG$2:AG980),$AG$2:$AG$1001,0),0), INDEX($AN$1004:$BO$1004,1,MATCH(COLUMNS($AN$1006:BN1006),$AN$1006:$BO$1006,0)))),"Fix")))</f>
        <v>0</v>
      </c>
      <c r="AC980" s="4">
        <f>IF(OR(INDEX($AH$2:$AH$1001,MATCH(ROWS($AG$2:AG980),$AG$2:$AG$1001,0),1)&gt;=100000,INDEX($AN$1005:$BO$1005,1,MATCH(COLUMNS($AN$1006:BO1006),$AN$1006:$BO$1006,0))&gt;=100000), " ",IF(INDEX($AN$2:$BO$1001,MATCH(ROWS($AG$2:AG980),$AG$2:$AG$1001,0),MATCH(COLUMNS($AN$1006:BO1006),$AN$1006:$BO$1006,0)), HYPERLINK("#",""), HYPERLINK(CONCATENATE("#Metadata!", ADDRESS(INDEX($AI$2:$AI$1001,MATCH(ROWS($AG$2:AG980),$AG$2:$AG$1001,0),0), INDEX($AN$1004:$BO$1004,1,MATCH(COLUMNS($AN$1006:BO1006),$AN$1006:$BO$1006,0)))),"Fix")))</f>
        <v>0</v>
      </c>
      <c r="AG980">
        <v>0</v>
      </c>
      <c r="AH980">
        <v>0</v>
      </c>
      <c r="AI980">
        <v>0</v>
      </c>
      <c r="AJ980">
        <f>IF(AK980,TRUE,AND(AN980:BO980))</f>
        <v>0</v>
      </c>
      <c r="AK980">
        <f>COUNTBLANK(Metadata!B980:AC980)=COLUMNS(Metadata!B980:AC980)</f>
        <v>0</v>
      </c>
      <c r="AL980">
        <v>0</v>
      </c>
      <c r="AN980">
        <f>AND(IF(Metadata!B980="",FALSE,TRUE),COUNTIF(Metadata!B:B, Metadata!B980) = 1,NOT(ISERROR(SUMPRODUCT(SEARCH(MID(Metadata!B980,ROW(INDIRECT("1:"&amp;LEN(Metadata!B980))), 1),"0123456789abcdefghijklmnopqrstuvwxyzABCDEFGHIJKLMNOPQRSTUVWXYZ.")))))</f>
        <v>0</v>
      </c>
      <c r="AO980">
        <f>IF(Metadata!C980="",FALSE,TRUE)</f>
        <v>0</v>
      </c>
      <c r="AP980">
        <f>IF(Metadata!D980="",FALSE,TRUE)</f>
        <v>0</v>
      </c>
      <c r="AQ980">
        <f>OR(AND(IF(Metadata!E980="",FALSE,TRUE),OR(exact(Metadata!E980,"not collected"),exact(Metadata!E980,"not provided"),exact(Metadata!E980,"restricted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R980">
        <f>IF(Metadata!F980="",FALSE,TRUE)</f>
        <v>0</v>
      </c>
      <c r="AS980">
        <f>OR(AND(IF(Metadata!G980="",FALSE,TRUE),OR(exact(Metadata!G980,"not collected"),exact(Metadata!G980,"not provided"))),AND(IF(Metadata!G980="",FALSE,TRUE),OR(exact(Metadata!G980,"TRUE"),exact(Metadata!G980,"FALSE"))))</f>
        <v>0</v>
      </c>
      <c r="AT980">
        <f>OR(AND(IF(Metadata!H980="",FALSE,TRUE),OR(exact(Metadata!H980,"not collected"),exact(Metadata!H980,"not provided"),exact(Metadata!H980,"restricted access"))),AND(IF(Metadata!H980="",FALSE,ISNUMBER(VALUE(Metadata!H980))),Metadata!H980&gt;=-413.0))</f>
        <v>0</v>
      </c>
      <c r="AU980">
        <f>AND(IF(Metadata!I980="",FALSE,TRUE),exact(Metadata!I980,"meters"))</f>
        <v>0</v>
      </c>
      <c r="AV980">
        <f>AND(IF(Metadata!J980="",FALSE,TRUE),OR(exact(Metadata!J980,"Host-associated"),exact(Metadata!J980,"Free-living")))</f>
        <v>0</v>
      </c>
      <c r="AW980">
        <f>AND(IF(Metadata!K980="",FALSE,TRUE),OR(exact(Metadata!K980,"Animal"),exact(Metadata!K980,"Fungus"),exact(Metadata!K980,"Plant"),exact(Metadata!K980,"Saline"),exact(Metadata!K980,"Non-saline")))</f>
        <v>0</v>
      </c>
      <c r="AX980">
        <f>AND(IF(Metadata!L980="",FALSE,TRUE),OR(exact(Metadata!L980,"Plant secretion"),exact(Metadata!L980,"Plant rhizosphere"),exact(Metadata!L980,"Plant surface"),exact(Metadata!L980,"Plant corpus"),exact(Metadata!L980,"Fungus surface"),exact(Metadata!L980,"Fungus corpus"),exact(Metadata!L980,"Animal surface"),exact(Metadata!L980,"Animal proximal gut"),exact(Metadata!L980,"Animal corpus"),exact(Metadata!L980,"Animal distal gut"),exact(Metadata!L980,"Animal secretion"),exact(Metadata!L980,"Sub-surface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Y980">
        <f>IF(Metadata!M980="",FALSE,TRUE)</f>
        <v>0</v>
      </c>
      <c r="AZ980">
        <f>IF(Metadata!N980="",FALSE,TRUE)</f>
        <v>0</v>
      </c>
      <c r="BA980">
        <f>IF(Metadata!O980="",FALSE,TRUE)</f>
        <v>0</v>
      </c>
      <c r="BB980">
        <f>OR(AND(IF(Metadata!P980="",FALSE,TRUE),OR(exact(Metadata!P980,"not collected"),exact(Metadata!P980,"not provided"),exact(Metadata!P980,"restricted access"))),AND(IF(Metadata!P980="",FALSE,TRUE),OR(exact(Metadata!P980,"air"),exact(Metadata!P980,"built environment"),exact(Metadata!P980,"host-associated"),exact(Metadata!P980,"human-associated"),exact(Metadata!P980,"human-skin"),exact(Metadata!P980,"human-oral"),exact(Metadata!P980,"human-gut"),exact(Metadata!P980,"human-vaginal"),exact(Metadata!P980,"microbial mat/biofilm"),exact(Metadata!P980,"misc environment"),exact(Metadata!P980,"plant-associated"),exact(Metadata!P980,"sediment"),exact(Metadata!P980,"soil"),exact(Metadata!P980,"wastewater/sludge"),exact(Metadata!P980,"water"))))</f>
        <v>0</v>
      </c>
      <c r="BC980">
        <f>IF(Metadata!Q980="",FALSE,TRUE)</f>
        <v>0</v>
      </c>
      <c r="BD980">
        <f>IF(Metadata!R980="",FALSE,TRUE)</f>
        <v>0</v>
      </c>
      <c r="BE980">
        <f>OR(AND(IF(Metadata!S980="",FALSE,TRUE),OR(exact(Metadata!S980,"not collected"),exact(Metadata!S980,"not provided"),exact(Metadata!S980,"restricted access"))),AND(IF(Metadata!S980="",FALSE,ISNUMBER(VALUE(Metadata!S980))),Metadata!S980&gt;=-90.00,Metadata!S980&lt;=90.00))</f>
        <v>0</v>
      </c>
      <c r="BF980">
        <f>AND(IF(Metadata!T980="",FALSE,TRUE),exact(Metadata!T980,"Decimal degrees"))</f>
        <v>0</v>
      </c>
      <c r="BG980">
        <f>OR(AND(IF(Metadata!U980="",FALSE,TRUE),OR(exact(Metadata!U980,"not collected"),exact(Metadata!U980,"not provided"),exact(Metadata!U980,"restricted access"))),AND(IF(Metadata!U980="",FALSE,ISNUMBER(VALUE(Metadata!U980))),Metadata!U980&gt;=-180.00,Metadata!U980&lt;=180.00))</f>
        <v>0</v>
      </c>
      <c r="BH980">
        <f>AND(IF(Metadata!V980="",FALSE,TRUE),exact(Metadata!V980,"Decimal degrees"))</f>
        <v>0</v>
      </c>
      <c r="BI980">
        <f>IF(Metadata!W980="",FALSE,TRUE)</f>
        <v>0</v>
      </c>
      <c r="BJ980">
        <f>OR(AND(IF(Metadata!X980="",FALSE,TRUE),OR(exact(Metadata!X980,"not collected"),exact(Metadata!X980,"not provided"),exact(Metadata!X980,"restricted access"))),AND(IF(Metadata!X980="",FALSE,TRUE),OR(exact(Metadata!X980,"TRUE"),exact(Metadata!X980,"FALSE"))))</f>
        <v>0</v>
      </c>
      <c r="BK980">
        <f>AND(IF(Metadata!Y980="",FALSE,TRUE),exact(Metadata!Y980,"other"))</f>
        <v>0</v>
      </c>
      <c r="BL980">
        <f>IF(Metadata!Z980="",FALSE,TRUE)</f>
        <v>0</v>
      </c>
      <c r="BM980">
        <f>OR(AND(IF(Metadata!AA980="",FALSE,TRUE),OR(exact(Metadata!AA980,"not collected"),exact(Metadata!AA980,"not provided"))),AND(IF(Metadata!AA980="",FALSE,IF(ISERROR(INT(Metadata!AA980)),FALSE,INT(Metadata!AA980)=Metadata!AA980)),Metadata!AA980&gt;0))</f>
        <v>0</v>
      </c>
      <c r="BN980">
        <f>AND(IF(Metadata!AB980="",FALSE,TRUE),exact(Metadata!AB980,"Not applicable"))</f>
        <v>0</v>
      </c>
      <c r="BO980">
        <f>IF(Metadata!AC980="",FALSE,TRUE)</f>
        <v>0</v>
      </c>
    </row>
    <row r="981" spans="1:67">
      <c r="A981" s="5">
        <f>IF(B981=" "," ",HYPERLINK(CONCATENATE("#metadata!",ADDRESS(INDEX($AI$2:$AI$1001,MATCH(ROWS($AG$2:AG981),$AG$2:$AG$1001,0),0),1)),INDEX($AL$2:$AL$1001,MATCH(ROWS($AG$2:AG981),$AG$2:$AG$1001,0),0)))</f>
        <v>0</v>
      </c>
      <c r="B981" s="4">
        <f>IF(OR(INDEX($AH$2:$AH$1001,MATCH(ROWS($AG$2:AG981),$AG$2:$AG$1001,0),1)&gt;=100000,INDEX($AN$1005:$BO$1005,1,MATCH(COLUMNS($AN$1006:AN1006),$AN$1006:$BO$1006,0))&gt;=100000), " ",IF(INDEX($AN$2:$BO$1001,MATCH(ROWS($AG$2:AG981),$AG$2:$AG$1001,0),MATCH(COLUMNS($AN$1006:AN1006),$AN$1006:$BO$1006,0)), HYPERLINK("#",""), HYPERLINK(CONCATENATE("#Metadata!", ADDRESS(INDEX($AI$2:$AI$1001,MATCH(ROWS($AG$2:AG981),$AG$2:$AG$1001,0),0), INDEX($AN$1004:$BO$1004,1,MATCH(COLUMNS($AN$1006:AN1006),$AN$1006:$BO$1006,0)))),"Fix")))</f>
        <v>0</v>
      </c>
      <c r="C981" s="4">
        <f>IF(OR(INDEX($AH$2:$AH$1001,MATCH(ROWS($AG$2:AG981),$AG$2:$AG$1001,0),1)&gt;=100000,INDEX($AN$1005:$BO$1005,1,MATCH(COLUMNS($AN$1006:AO1006),$AN$1006:$BO$1006,0))&gt;=100000), " ",IF(INDEX($AN$2:$BO$1001,MATCH(ROWS($AG$2:AG981),$AG$2:$AG$1001,0),MATCH(COLUMNS($AN$1006:AO1006),$AN$1006:$BO$1006,0)), HYPERLINK("#",""), HYPERLINK(CONCATENATE("#Metadata!", ADDRESS(INDEX($AI$2:$AI$1001,MATCH(ROWS($AG$2:AG981),$AG$2:$AG$1001,0),0), INDEX($AN$1004:$BO$1004,1,MATCH(COLUMNS($AN$1006:AO1006),$AN$1006:$BO$1006,0)))),"Fix")))</f>
        <v>0</v>
      </c>
      <c r="D981" s="4">
        <f>IF(OR(INDEX($AH$2:$AH$1001,MATCH(ROWS($AG$2:AG981),$AG$2:$AG$1001,0),1)&gt;=100000,INDEX($AN$1005:$BO$1005,1,MATCH(COLUMNS($AN$1006:AP1006),$AN$1006:$BO$1006,0))&gt;=100000), " ",IF(INDEX($AN$2:$BO$1001,MATCH(ROWS($AG$2:AG981),$AG$2:$AG$1001,0),MATCH(COLUMNS($AN$1006:AP1006),$AN$1006:$BO$1006,0)), HYPERLINK("#",""), HYPERLINK(CONCATENATE("#Metadata!", ADDRESS(INDEX($AI$2:$AI$1001,MATCH(ROWS($AG$2:AG981),$AG$2:$AG$1001,0),0), INDEX($AN$1004:$BO$1004,1,MATCH(COLUMNS($AN$1006:AP1006),$AN$1006:$BO$1006,0)))),"Fix")))</f>
        <v>0</v>
      </c>
      <c r="E981" s="4">
        <f>IF(OR(INDEX($AH$2:$AH$1001,MATCH(ROWS($AG$2:AG981),$AG$2:$AG$1001,0),1)&gt;=100000,INDEX($AN$1005:$BO$1005,1,MATCH(COLUMNS($AN$1006:AQ1006),$AN$1006:$BO$1006,0))&gt;=100000), " ",IF(INDEX($AN$2:$BO$1001,MATCH(ROWS($AG$2:AG981),$AG$2:$AG$1001,0),MATCH(COLUMNS($AN$1006:AQ1006),$AN$1006:$BO$1006,0)), HYPERLINK("#",""), HYPERLINK(CONCATENATE("#Metadata!", ADDRESS(INDEX($AI$2:$AI$1001,MATCH(ROWS($AG$2:AG981),$AG$2:$AG$1001,0),0), INDEX($AN$1004:$BO$1004,1,MATCH(COLUMNS($AN$1006:AQ1006),$AN$1006:$BO$1006,0)))),"Fix")))</f>
        <v>0</v>
      </c>
      <c r="F981" s="4">
        <f>IF(OR(INDEX($AH$2:$AH$1001,MATCH(ROWS($AG$2:AG981),$AG$2:$AG$1001,0),1)&gt;=100000,INDEX($AN$1005:$BO$1005,1,MATCH(COLUMNS($AN$1006:AR1006),$AN$1006:$BO$1006,0))&gt;=100000), " ",IF(INDEX($AN$2:$BO$1001,MATCH(ROWS($AG$2:AG981),$AG$2:$AG$1001,0),MATCH(COLUMNS($AN$1006:AR1006),$AN$1006:$BO$1006,0)), HYPERLINK("#",""), HYPERLINK(CONCATENATE("#Metadata!", ADDRESS(INDEX($AI$2:$AI$1001,MATCH(ROWS($AG$2:AG981),$AG$2:$AG$1001,0),0), INDEX($AN$1004:$BO$1004,1,MATCH(COLUMNS($AN$1006:AR1006),$AN$1006:$BO$1006,0)))),"Fix")))</f>
        <v>0</v>
      </c>
      <c r="G981" s="4">
        <f>IF(OR(INDEX($AH$2:$AH$1001,MATCH(ROWS($AG$2:AG981),$AG$2:$AG$1001,0),1)&gt;=100000,INDEX($AN$1005:$BO$1005,1,MATCH(COLUMNS($AN$1006:AS1006),$AN$1006:$BO$1006,0))&gt;=100000), " ",IF(INDEX($AN$2:$BO$1001,MATCH(ROWS($AG$2:AG981),$AG$2:$AG$1001,0),MATCH(COLUMNS($AN$1006:AS1006),$AN$1006:$BO$1006,0)), HYPERLINK("#",""), HYPERLINK(CONCATENATE("#Metadata!", ADDRESS(INDEX($AI$2:$AI$1001,MATCH(ROWS($AG$2:AG981),$AG$2:$AG$1001,0),0), INDEX($AN$1004:$BO$1004,1,MATCH(COLUMNS($AN$1006:AS1006),$AN$1006:$BO$1006,0)))),"Fix")))</f>
        <v>0</v>
      </c>
      <c r="H981" s="4">
        <f>IF(OR(INDEX($AH$2:$AH$1001,MATCH(ROWS($AG$2:AG981),$AG$2:$AG$1001,0),1)&gt;=100000,INDEX($AN$1005:$BO$1005,1,MATCH(COLUMNS($AN$1006:AT1006),$AN$1006:$BO$1006,0))&gt;=100000), " ",IF(INDEX($AN$2:$BO$1001,MATCH(ROWS($AG$2:AG981),$AG$2:$AG$1001,0),MATCH(COLUMNS($AN$1006:AT1006),$AN$1006:$BO$1006,0)), HYPERLINK("#",""), HYPERLINK(CONCATENATE("#Metadata!", ADDRESS(INDEX($AI$2:$AI$1001,MATCH(ROWS($AG$2:AG981),$AG$2:$AG$1001,0),0), INDEX($AN$1004:$BO$1004,1,MATCH(COLUMNS($AN$1006:AT1006),$AN$1006:$BO$1006,0)))),"Fix")))</f>
        <v>0</v>
      </c>
      <c r="I981" s="4">
        <f>IF(OR(INDEX($AH$2:$AH$1001,MATCH(ROWS($AG$2:AG981),$AG$2:$AG$1001,0),1)&gt;=100000,INDEX($AN$1005:$BO$1005,1,MATCH(COLUMNS($AN$1006:AU1006),$AN$1006:$BO$1006,0))&gt;=100000), " ",IF(INDEX($AN$2:$BO$1001,MATCH(ROWS($AG$2:AG981),$AG$2:$AG$1001,0),MATCH(COLUMNS($AN$1006:AU1006),$AN$1006:$BO$1006,0)), HYPERLINK("#",""), HYPERLINK(CONCATENATE("#Metadata!", ADDRESS(INDEX($AI$2:$AI$1001,MATCH(ROWS($AG$2:AG981),$AG$2:$AG$1001,0),0), INDEX($AN$1004:$BO$1004,1,MATCH(COLUMNS($AN$1006:AU1006),$AN$1006:$BO$1006,0)))),"Fix")))</f>
        <v>0</v>
      </c>
      <c r="J981" s="4">
        <f>IF(OR(INDEX($AH$2:$AH$1001,MATCH(ROWS($AG$2:AG981),$AG$2:$AG$1001,0),1)&gt;=100000,INDEX($AN$1005:$BO$1005,1,MATCH(COLUMNS($AN$1006:AV1006),$AN$1006:$BO$1006,0))&gt;=100000), " ",IF(INDEX($AN$2:$BO$1001,MATCH(ROWS($AG$2:AG981),$AG$2:$AG$1001,0),MATCH(COLUMNS($AN$1006:AV1006),$AN$1006:$BO$1006,0)), HYPERLINK("#",""), HYPERLINK(CONCATENATE("#Metadata!", ADDRESS(INDEX($AI$2:$AI$1001,MATCH(ROWS($AG$2:AG981),$AG$2:$AG$1001,0),0), INDEX($AN$1004:$BO$1004,1,MATCH(COLUMNS($AN$1006:AV1006),$AN$1006:$BO$1006,0)))),"Fix")))</f>
        <v>0</v>
      </c>
      <c r="K981" s="4">
        <f>IF(OR(INDEX($AH$2:$AH$1001,MATCH(ROWS($AG$2:AG981),$AG$2:$AG$1001,0),1)&gt;=100000,INDEX($AN$1005:$BO$1005,1,MATCH(COLUMNS($AN$1006:AW1006),$AN$1006:$BO$1006,0))&gt;=100000), " ",IF(INDEX($AN$2:$BO$1001,MATCH(ROWS($AG$2:AG981),$AG$2:$AG$1001,0),MATCH(COLUMNS($AN$1006:AW1006),$AN$1006:$BO$1006,0)), HYPERLINK("#",""), HYPERLINK(CONCATENATE("#Metadata!", ADDRESS(INDEX($AI$2:$AI$1001,MATCH(ROWS($AG$2:AG981),$AG$2:$AG$1001,0),0), INDEX($AN$1004:$BO$1004,1,MATCH(COLUMNS($AN$1006:AW1006),$AN$1006:$BO$1006,0)))),"Fix")))</f>
        <v>0</v>
      </c>
      <c r="L981" s="4">
        <f>IF(OR(INDEX($AH$2:$AH$1001,MATCH(ROWS($AG$2:AG981),$AG$2:$AG$1001,0),1)&gt;=100000,INDEX($AN$1005:$BO$1005,1,MATCH(COLUMNS($AN$1006:AX1006),$AN$1006:$BO$1006,0))&gt;=100000), " ",IF(INDEX($AN$2:$BO$1001,MATCH(ROWS($AG$2:AG981),$AG$2:$AG$1001,0),MATCH(COLUMNS($AN$1006:AX1006),$AN$1006:$BO$1006,0)), HYPERLINK("#",""), HYPERLINK(CONCATENATE("#Metadata!", ADDRESS(INDEX($AI$2:$AI$1001,MATCH(ROWS($AG$2:AG981),$AG$2:$AG$1001,0),0), INDEX($AN$1004:$BO$1004,1,MATCH(COLUMNS($AN$1006:AX1006),$AN$1006:$BO$1006,0)))),"Fix")))</f>
        <v>0</v>
      </c>
      <c r="M981" s="4">
        <f>IF(OR(INDEX($AH$2:$AH$1001,MATCH(ROWS($AG$2:AG981),$AG$2:$AG$1001,0),1)&gt;=100000,INDEX($AN$1005:$BO$1005,1,MATCH(COLUMNS($AN$1006:AY1006),$AN$1006:$BO$1006,0))&gt;=100000), " ",IF(INDEX($AN$2:$BO$1001,MATCH(ROWS($AG$2:AG981),$AG$2:$AG$1001,0),MATCH(COLUMNS($AN$1006:AY1006),$AN$1006:$BO$1006,0)), HYPERLINK("#",""), HYPERLINK(CONCATENATE("#Metadata!", ADDRESS(INDEX($AI$2:$AI$1001,MATCH(ROWS($AG$2:AG981),$AG$2:$AG$1001,0),0), INDEX($AN$1004:$BO$1004,1,MATCH(COLUMNS($AN$1006:AY1006),$AN$1006:$BO$1006,0)))),"Fix")))</f>
        <v>0</v>
      </c>
      <c r="N981" s="4">
        <f>IF(OR(INDEX($AH$2:$AH$1001,MATCH(ROWS($AG$2:AG981),$AG$2:$AG$1001,0),1)&gt;=100000,INDEX($AN$1005:$BO$1005,1,MATCH(COLUMNS($AN$1006:AZ1006),$AN$1006:$BO$1006,0))&gt;=100000), " ",IF(INDEX($AN$2:$BO$1001,MATCH(ROWS($AG$2:AG981),$AG$2:$AG$1001,0),MATCH(COLUMNS($AN$1006:AZ1006),$AN$1006:$BO$1006,0)), HYPERLINK("#",""), HYPERLINK(CONCATENATE("#Metadata!", ADDRESS(INDEX($AI$2:$AI$1001,MATCH(ROWS($AG$2:AG981),$AG$2:$AG$1001,0),0), INDEX($AN$1004:$BO$1004,1,MATCH(COLUMNS($AN$1006:AZ1006),$AN$1006:$BO$1006,0)))),"Fix")))</f>
        <v>0</v>
      </c>
      <c r="O981" s="4">
        <f>IF(OR(INDEX($AH$2:$AH$1001,MATCH(ROWS($AG$2:AG981),$AG$2:$AG$1001,0),1)&gt;=100000,INDEX($AN$1005:$BO$1005,1,MATCH(COLUMNS($AN$1006:BA1006),$AN$1006:$BO$1006,0))&gt;=100000), " ",IF(INDEX($AN$2:$BO$1001,MATCH(ROWS($AG$2:AG981),$AG$2:$AG$1001,0),MATCH(COLUMNS($AN$1006:BA1006),$AN$1006:$BO$1006,0)), HYPERLINK("#",""), HYPERLINK(CONCATENATE("#Metadata!", ADDRESS(INDEX($AI$2:$AI$1001,MATCH(ROWS($AG$2:AG981),$AG$2:$AG$1001,0),0), INDEX($AN$1004:$BO$1004,1,MATCH(COLUMNS($AN$1006:BA1006),$AN$1006:$BO$1006,0)))),"Fix")))</f>
        <v>0</v>
      </c>
      <c r="P981" s="4">
        <f>IF(OR(INDEX($AH$2:$AH$1001,MATCH(ROWS($AG$2:AG981),$AG$2:$AG$1001,0),1)&gt;=100000,INDEX($AN$1005:$BO$1005,1,MATCH(COLUMNS($AN$1006:BB1006),$AN$1006:$BO$1006,0))&gt;=100000), " ",IF(INDEX($AN$2:$BO$1001,MATCH(ROWS($AG$2:AG981),$AG$2:$AG$1001,0),MATCH(COLUMNS($AN$1006:BB1006),$AN$1006:$BO$1006,0)), HYPERLINK("#",""), HYPERLINK(CONCATENATE("#Metadata!", ADDRESS(INDEX($AI$2:$AI$1001,MATCH(ROWS($AG$2:AG981),$AG$2:$AG$1001,0),0), INDEX($AN$1004:$BO$1004,1,MATCH(COLUMNS($AN$1006:BB1006),$AN$1006:$BO$1006,0)))),"Fix")))</f>
        <v>0</v>
      </c>
      <c r="Q981" s="4">
        <f>IF(OR(INDEX($AH$2:$AH$1001,MATCH(ROWS($AG$2:AG981),$AG$2:$AG$1001,0),1)&gt;=100000,INDEX($AN$1005:$BO$1005,1,MATCH(COLUMNS($AN$1006:BC1006),$AN$1006:$BO$1006,0))&gt;=100000), " ",IF(INDEX($AN$2:$BO$1001,MATCH(ROWS($AG$2:AG981),$AG$2:$AG$1001,0),MATCH(COLUMNS($AN$1006:BC1006),$AN$1006:$BO$1006,0)), HYPERLINK("#",""), HYPERLINK(CONCATENATE("#Metadata!", ADDRESS(INDEX($AI$2:$AI$1001,MATCH(ROWS($AG$2:AG981),$AG$2:$AG$1001,0),0), INDEX($AN$1004:$BO$1004,1,MATCH(COLUMNS($AN$1006:BC1006),$AN$1006:$BO$1006,0)))),"Fix")))</f>
        <v>0</v>
      </c>
      <c r="R981" s="4">
        <f>IF(OR(INDEX($AH$2:$AH$1001,MATCH(ROWS($AG$2:AG981),$AG$2:$AG$1001,0),1)&gt;=100000,INDEX($AN$1005:$BO$1005,1,MATCH(COLUMNS($AN$1006:BD1006),$AN$1006:$BO$1006,0))&gt;=100000), " ",IF(INDEX($AN$2:$BO$1001,MATCH(ROWS($AG$2:AG981),$AG$2:$AG$1001,0),MATCH(COLUMNS($AN$1006:BD1006),$AN$1006:$BO$1006,0)), HYPERLINK("#",""), HYPERLINK(CONCATENATE("#Metadata!", ADDRESS(INDEX($AI$2:$AI$1001,MATCH(ROWS($AG$2:AG981),$AG$2:$AG$1001,0),0), INDEX($AN$1004:$BO$1004,1,MATCH(COLUMNS($AN$1006:BD1006),$AN$1006:$BO$1006,0)))),"Fix")))</f>
        <v>0</v>
      </c>
      <c r="S981" s="4">
        <f>IF(OR(INDEX($AH$2:$AH$1001,MATCH(ROWS($AG$2:AG981),$AG$2:$AG$1001,0),1)&gt;=100000,INDEX($AN$1005:$BO$1005,1,MATCH(COLUMNS($AN$1006:BE1006),$AN$1006:$BO$1006,0))&gt;=100000), " ",IF(INDEX($AN$2:$BO$1001,MATCH(ROWS($AG$2:AG981),$AG$2:$AG$1001,0),MATCH(COLUMNS($AN$1006:BE1006),$AN$1006:$BO$1006,0)), HYPERLINK("#",""), HYPERLINK(CONCATENATE("#Metadata!", ADDRESS(INDEX($AI$2:$AI$1001,MATCH(ROWS($AG$2:AG981),$AG$2:$AG$1001,0),0), INDEX($AN$1004:$BO$1004,1,MATCH(COLUMNS($AN$1006:BE1006),$AN$1006:$BO$1006,0)))),"Fix")))</f>
        <v>0</v>
      </c>
      <c r="T981" s="4">
        <f>IF(OR(INDEX($AH$2:$AH$1001,MATCH(ROWS($AG$2:AG981),$AG$2:$AG$1001,0),1)&gt;=100000,INDEX($AN$1005:$BO$1005,1,MATCH(COLUMNS($AN$1006:BF1006),$AN$1006:$BO$1006,0))&gt;=100000), " ",IF(INDEX($AN$2:$BO$1001,MATCH(ROWS($AG$2:AG981),$AG$2:$AG$1001,0),MATCH(COLUMNS($AN$1006:BF1006),$AN$1006:$BO$1006,0)), HYPERLINK("#",""), HYPERLINK(CONCATENATE("#Metadata!", ADDRESS(INDEX($AI$2:$AI$1001,MATCH(ROWS($AG$2:AG981),$AG$2:$AG$1001,0),0), INDEX($AN$1004:$BO$1004,1,MATCH(COLUMNS($AN$1006:BF1006),$AN$1006:$BO$1006,0)))),"Fix")))</f>
        <v>0</v>
      </c>
      <c r="U981" s="4">
        <f>IF(OR(INDEX($AH$2:$AH$1001,MATCH(ROWS($AG$2:AG981),$AG$2:$AG$1001,0),1)&gt;=100000,INDEX($AN$1005:$BO$1005,1,MATCH(COLUMNS($AN$1006:BG1006),$AN$1006:$BO$1006,0))&gt;=100000), " ",IF(INDEX($AN$2:$BO$1001,MATCH(ROWS($AG$2:AG981),$AG$2:$AG$1001,0),MATCH(COLUMNS($AN$1006:BG1006),$AN$1006:$BO$1006,0)), HYPERLINK("#",""), HYPERLINK(CONCATENATE("#Metadata!", ADDRESS(INDEX($AI$2:$AI$1001,MATCH(ROWS($AG$2:AG981),$AG$2:$AG$1001,0),0), INDEX($AN$1004:$BO$1004,1,MATCH(COLUMNS($AN$1006:BG1006),$AN$1006:$BO$1006,0)))),"Fix")))</f>
        <v>0</v>
      </c>
      <c r="V981" s="4">
        <f>IF(OR(INDEX($AH$2:$AH$1001,MATCH(ROWS($AG$2:AG981),$AG$2:$AG$1001,0),1)&gt;=100000,INDEX($AN$1005:$BO$1005,1,MATCH(COLUMNS($AN$1006:BH1006),$AN$1006:$BO$1006,0))&gt;=100000), " ",IF(INDEX($AN$2:$BO$1001,MATCH(ROWS($AG$2:AG981),$AG$2:$AG$1001,0),MATCH(COLUMNS($AN$1006:BH1006),$AN$1006:$BO$1006,0)), HYPERLINK("#",""), HYPERLINK(CONCATENATE("#Metadata!", ADDRESS(INDEX($AI$2:$AI$1001,MATCH(ROWS($AG$2:AG981),$AG$2:$AG$1001,0),0), INDEX($AN$1004:$BO$1004,1,MATCH(COLUMNS($AN$1006:BH1006),$AN$1006:$BO$1006,0)))),"Fix")))</f>
        <v>0</v>
      </c>
      <c r="W981" s="4">
        <f>IF(OR(INDEX($AH$2:$AH$1001,MATCH(ROWS($AG$2:AG981),$AG$2:$AG$1001,0),1)&gt;=100000,INDEX($AN$1005:$BO$1005,1,MATCH(COLUMNS($AN$1006:BI1006),$AN$1006:$BO$1006,0))&gt;=100000), " ",IF(INDEX($AN$2:$BO$1001,MATCH(ROWS($AG$2:AG981),$AG$2:$AG$1001,0),MATCH(COLUMNS($AN$1006:BI1006),$AN$1006:$BO$1006,0)), HYPERLINK("#",""), HYPERLINK(CONCATENATE("#Metadata!", ADDRESS(INDEX($AI$2:$AI$1001,MATCH(ROWS($AG$2:AG981),$AG$2:$AG$1001,0),0), INDEX($AN$1004:$BO$1004,1,MATCH(COLUMNS($AN$1006:BI1006),$AN$1006:$BO$1006,0)))),"Fix")))</f>
        <v>0</v>
      </c>
      <c r="X981" s="4">
        <f>IF(OR(INDEX($AH$2:$AH$1001,MATCH(ROWS($AG$2:AG981),$AG$2:$AG$1001,0),1)&gt;=100000,INDEX($AN$1005:$BO$1005,1,MATCH(COLUMNS($AN$1006:BJ1006),$AN$1006:$BO$1006,0))&gt;=100000), " ",IF(INDEX($AN$2:$BO$1001,MATCH(ROWS($AG$2:AG981),$AG$2:$AG$1001,0),MATCH(COLUMNS($AN$1006:BJ1006),$AN$1006:$BO$1006,0)), HYPERLINK("#",""), HYPERLINK(CONCATENATE("#Metadata!", ADDRESS(INDEX($AI$2:$AI$1001,MATCH(ROWS($AG$2:AG981),$AG$2:$AG$1001,0),0), INDEX($AN$1004:$BO$1004,1,MATCH(COLUMNS($AN$1006:BJ1006),$AN$1006:$BO$1006,0)))),"Fix")))</f>
        <v>0</v>
      </c>
      <c r="Y981" s="4">
        <f>IF(OR(INDEX($AH$2:$AH$1001,MATCH(ROWS($AG$2:AG981),$AG$2:$AG$1001,0),1)&gt;=100000,INDEX($AN$1005:$BO$1005,1,MATCH(COLUMNS($AN$1006:BK1006),$AN$1006:$BO$1006,0))&gt;=100000), " ",IF(INDEX($AN$2:$BO$1001,MATCH(ROWS($AG$2:AG981),$AG$2:$AG$1001,0),MATCH(COLUMNS($AN$1006:BK1006),$AN$1006:$BO$1006,0)), HYPERLINK("#",""), HYPERLINK(CONCATENATE("#Metadata!", ADDRESS(INDEX($AI$2:$AI$1001,MATCH(ROWS($AG$2:AG981),$AG$2:$AG$1001,0),0), INDEX($AN$1004:$BO$1004,1,MATCH(COLUMNS($AN$1006:BK1006),$AN$1006:$BO$1006,0)))),"Fix")))</f>
        <v>0</v>
      </c>
      <c r="Z981" s="4">
        <f>IF(OR(INDEX($AH$2:$AH$1001,MATCH(ROWS($AG$2:AG981),$AG$2:$AG$1001,0),1)&gt;=100000,INDEX($AN$1005:$BO$1005,1,MATCH(COLUMNS($AN$1006:BL1006),$AN$1006:$BO$1006,0))&gt;=100000), " ",IF(INDEX($AN$2:$BO$1001,MATCH(ROWS($AG$2:AG981),$AG$2:$AG$1001,0),MATCH(COLUMNS($AN$1006:BL1006),$AN$1006:$BO$1006,0)), HYPERLINK("#",""), HYPERLINK(CONCATENATE("#Metadata!", ADDRESS(INDEX($AI$2:$AI$1001,MATCH(ROWS($AG$2:AG981),$AG$2:$AG$1001,0),0), INDEX($AN$1004:$BO$1004,1,MATCH(COLUMNS($AN$1006:BL1006),$AN$1006:$BO$1006,0)))),"Fix")))</f>
        <v>0</v>
      </c>
      <c r="AA981" s="4">
        <f>IF(OR(INDEX($AH$2:$AH$1001,MATCH(ROWS($AG$2:AG981),$AG$2:$AG$1001,0),1)&gt;=100000,INDEX($AN$1005:$BO$1005,1,MATCH(COLUMNS($AN$1006:BM1006),$AN$1006:$BO$1006,0))&gt;=100000), " ",IF(INDEX($AN$2:$BO$1001,MATCH(ROWS($AG$2:AG981),$AG$2:$AG$1001,0),MATCH(COLUMNS($AN$1006:BM1006),$AN$1006:$BO$1006,0)), HYPERLINK("#",""), HYPERLINK(CONCATENATE("#Metadata!", ADDRESS(INDEX($AI$2:$AI$1001,MATCH(ROWS($AG$2:AG981),$AG$2:$AG$1001,0),0), INDEX($AN$1004:$BO$1004,1,MATCH(COLUMNS($AN$1006:BM1006),$AN$1006:$BO$1006,0)))),"Fix")))</f>
        <v>0</v>
      </c>
      <c r="AB981" s="4">
        <f>IF(OR(INDEX($AH$2:$AH$1001,MATCH(ROWS($AG$2:AG981),$AG$2:$AG$1001,0),1)&gt;=100000,INDEX($AN$1005:$BO$1005,1,MATCH(COLUMNS($AN$1006:BN1006),$AN$1006:$BO$1006,0))&gt;=100000), " ",IF(INDEX($AN$2:$BO$1001,MATCH(ROWS($AG$2:AG981),$AG$2:$AG$1001,0),MATCH(COLUMNS($AN$1006:BN1006),$AN$1006:$BO$1006,0)), HYPERLINK("#",""), HYPERLINK(CONCATENATE("#Metadata!", ADDRESS(INDEX($AI$2:$AI$1001,MATCH(ROWS($AG$2:AG981),$AG$2:$AG$1001,0),0), INDEX($AN$1004:$BO$1004,1,MATCH(COLUMNS($AN$1006:BN1006),$AN$1006:$BO$1006,0)))),"Fix")))</f>
        <v>0</v>
      </c>
      <c r="AC981" s="4">
        <f>IF(OR(INDEX($AH$2:$AH$1001,MATCH(ROWS($AG$2:AG981),$AG$2:$AG$1001,0),1)&gt;=100000,INDEX($AN$1005:$BO$1005,1,MATCH(COLUMNS($AN$1006:BO1006),$AN$1006:$BO$1006,0))&gt;=100000), " ",IF(INDEX($AN$2:$BO$1001,MATCH(ROWS($AG$2:AG981),$AG$2:$AG$1001,0),MATCH(COLUMNS($AN$1006:BO1006),$AN$1006:$BO$1006,0)), HYPERLINK("#",""), HYPERLINK(CONCATENATE("#Metadata!", ADDRESS(INDEX($AI$2:$AI$1001,MATCH(ROWS($AG$2:AG981),$AG$2:$AG$1001,0),0), INDEX($AN$1004:$BO$1004,1,MATCH(COLUMNS($AN$1006:BO1006),$AN$1006:$BO$1006,0)))),"Fix")))</f>
        <v>0</v>
      </c>
      <c r="AG981">
        <v>0</v>
      </c>
      <c r="AH981">
        <v>0</v>
      </c>
      <c r="AI981">
        <v>0</v>
      </c>
      <c r="AJ981">
        <f>IF(AK981,TRUE,AND(AN981:BO981))</f>
        <v>0</v>
      </c>
      <c r="AK981">
        <f>COUNTBLANK(Metadata!B981:AC981)=COLUMNS(Metadata!B981:AC981)</f>
        <v>0</v>
      </c>
      <c r="AL981">
        <v>0</v>
      </c>
      <c r="AN981">
        <f>AND(IF(Metadata!B981="",FALSE,TRUE),COUNTIF(Metadata!B:B, Metadata!B981) = 1,NOT(ISERROR(SUMPRODUCT(SEARCH(MID(Metadata!B981,ROW(INDIRECT("1:"&amp;LEN(Metadata!B981))), 1),"0123456789abcdefghijklmnopqrstuvwxyzABCDEFGHIJKLMNOPQRSTUVWXYZ.")))))</f>
        <v>0</v>
      </c>
      <c r="AO981">
        <f>IF(Metadata!C981="",FALSE,TRUE)</f>
        <v>0</v>
      </c>
      <c r="AP981">
        <f>IF(Metadata!D981="",FALSE,TRUE)</f>
        <v>0</v>
      </c>
      <c r="AQ981">
        <f>OR(AND(IF(Metadata!E981="",FALSE,TRUE),OR(exact(Metadata!E981,"not collected"),exact(Metadata!E981,"not provided"),exact(Metadata!E981,"restricted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R981">
        <f>IF(Metadata!F981="",FALSE,TRUE)</f>
        <v>0</v>
      </c>
      <c r="AS981">
        <f>OR(AND(IF(Metadata!G981="",FALSE,TRUE),OR(exact(Metadata!G981,"not collected"),exact(Metadata!G981,"not provided"))),AND(IF(Metadata!G981="",FALSE,TRUE),OR(exact(Metadata!G981,"TRUE"),exact(Metadata!G981,"FALSE"))))</f>
        <v>0</v>
      </c>
      <c r="AT981">
        <f>OR(AND(IF(Metadata!H981="",FALSE,TRUE),OR(exact(Metadata!H981,"not collected"),exact(Metadata!H981,"not provided"),exact(Metadata!H981,"restricted access"))),AND(IF(Metadata!H981="",FALSE,ISNUMBER(VALUE(Metadata!H981))),Metadata!H981&gt;=-413.0))</f>
        <v>0</v>
      </c>
      <c r="AU981">
        <f>AND(IF(Metadata!I981="",FALSE,TRUE),exact(Metadata!I981,"meters"))</f>
        <v>0</v>
      </c>
      <c r="AV981">
        <f>AND(IF(Metadata!J981="",FALSE,TRUE),OR(exact(Metadata!J981,"Host-associated"),exact(Metadata!J981,"Free-living")))</f>
        <v>0</v>
      </c>
      <c r="AW981">
        <f>AND(IF(Metadata!K981="",FALSE,TRUE),OR(exact(Metadata!K981,"Animal"),exact(Metadata!K981,"Fungus"),exact(Metadata!K981,"Plant"),exact(Metadata!K981,"Saline"),exact(Metadata!K981,"Non-saline")))</f>
        <v>0</v>
      </c>
      <c r="AX981">
        <f>AND(IF(Metadata!L981="",FALSE,TRUE),OR(exact(Metadata!L981,"Plant secretion"),exact(Metadata!L981,"Plant rhizosphere"),exact(Metadata!L981,"Plant surface"),exact(Metadata!L981,"Plant corpus"),exact(Metadata!L981,"Fungus surface"),exact(Metadata!L981,"Fungus corpus"),exact(Metadata!L981,"Animal surface"),exact(Metadata!L981,"Animal proximal gut"),exact(Metadata!L981,"Animal corpus"),exact(Metadata!L981,"Animal distal gut"),exact(Metadata!L981,"Animal secretion"),exact(Metadata!L981,"Sub-surface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Y981">
        <f>IF(Metadata!M981="",FALSE,TRUE)</f>
        <v>0</v>
      </c>
      <c r="AZ981">
        <f>IF(Metadata!N981="",FALSE,TRUE)</f>
        <v>0</v>
      </c>
      <c r="BA981">
        <f>IF(Metadata!O981="",FALSE,TRUE)</f>
        <v>0</v>
      </c>
      <c r="BB981">
        <f>OR(AND(IF(Metadata!P981="",FALSE,TRUE),OR(exact(Metadata!P981,"not collected"),exact(Metadata!P981,"not provided"),exact(Metadata!P981,"restricted access"))),AND(IF(Metadata!P981="",FALSE,TRUE),OR(exact(Metadata!P981,"air"),exact(Metadata!P981,"built environment"),exact(Metadata!P981,"host-associated"),exact(Metadata!P981,"human-associated"),exact(Metadata!P981,"human-skin"),exact(Metadata!P981,"human-oral"),exact(Metadata!P981,"human-gut"),exact(Metadata!P981,"human-vaginal"),exact(Metadata!P981,"microbial mat/biofilm"),exact(Metadata!P981,"misc environment"),exact(Metadata!P981,"plant-associated"),exact(Metadata!P981,"sediment"),exact(Metadata!P981,"soil"),exact(Metadata!P981,"wastewater/sludge"),exact(Metadata!P981,"water"))))</f>
        <v>0</v>
      </c>
      <c r="BC981">
        <f>IF(Metadata!Q981="",FALSE,TRUE)</f>
        <v>0</v>
      </c>
      <c r="BD981">
        <f>IF(Metadata!R981="",FALSE,TRUE)</f>
        <v>0</v>
      </c>
      <c r="BE981">
        <f>OR(AND(IF(Metadata!S981="",FALSE,TRUE),OR(exact(Metadata!S981,"not collected"),exact(Metadata!S981,"not provided"),exact(Metadata!S981,"restricted access"))),AND(IF(Metadata!S981="",FALSE,ISNUMBER(VALUE(Metadata!S981))),Metadata!S981&gt;=-90.00,Metadata!S981&lt;=90.00))</f>
        <v>0</v>
      </c>
      <c r="BF981">
        <f>AND(IF(Metadata!T981="",FALSE,TRUE),exact(Metadata!T981,"Decimal degrees"))</f>
        <v>0</v>
      </c>
      <c r="BG981">
        <f>OR(AND(IF(Metadata!U981="",FALSE,TRUE),OR(exact(Metadata!U981,"not collected"),exact(Metadata!U981,"not provided"),exact(Metadata!U981,"restricted access"))),AND(IF(Metadata!U981="",FALSE,ISNUMBER(VALUE(Metadata!U981))),Metadata!U981&gt;=-180.00,Metadata!U981&lt;=180.00))</f>
        <v>0</v>
      </c>
      <c r="BH981">
        <f>AND(IF(Metadata!V981="",FALSE,TRUE),exact(Metadata!V981,"Decimal degrees"))</f>
        <v>0</v>
      </c>
      <c r="BI981">
        <f>IF(Metadata!W981="",FALSE,TRUE)</f>
        <v>0</v>
      </c>
      <c r="BJ981">
        <f>OR(AND(IF(Metadata!X981="",FALSE,TRUE),OR(exact(Metadata!X981,"not collected"),exact(Metadata!X981,"not provided"),exact(Metadata!X981,"restricted access"))),AND(IF(Metadata!X981="",FALSE,TRUE),OR(exact(Metadata!X981,"TRUE"),exact(Metadata!X981,"FALSE"))))</f>
        <v>0</v>
      </c>
      <c r="BK981">
        <f>AND(IF(Metadata!Y981="",FALSE,TRUE),exact(Metadata!Y981,"other"))</f>
        <v>0</v>
      </c>
      <c r="BL981">
        <f>IF(Metadata!Z981="",FALSE,TRUE)</f>
        <v>0</v>
      </c>
      <c r="BM981">
        <f>OR(AND(IF(Metadata!AA981="",FALSE,TRUE),OR(exact(Metadata!AA981,"not collected"),exact(Metadata!AA981,"not provided"))),AND(IF(Metadata!AA981="",FALSE,IF(ISERROR(INT(Metadata!AA981)),FALSE,INT(Metadata!AA981)=Metadata!AA981)),Metadata!AA981&gt;0))</f>
        <v>0</v>
      </c>
      <c r="BN981">
        <f>AND(IF(Metadata!AB981="",FALSE,TRUE),exact(Metadata!AB981,"Not applicable"))</f>
        <v>0</v>
      </c>
      <c r="BO981">
        <f>IF(Metadata!AC981="",FALSE,TRUE)</f>
        <v>0</v>
      </c>
    </row>
    <row r="982" spans="1:67">
      <c r="A982" s="5">
        <f>IF(B982=" "," ",HYPERLINK(CONCATENATE("#metadata!",ADDRESS(INDEX($AI$2:$AI$1001,MATCH(ROWS($AG$2:AG982),$AG$2:$AG$1001,0),0),1)),INDEX($AL$2:$AL$1001,MATCH(ROWS($AG$2:AG982),$AG$2:$AG$1001,0),0)))</f>
        <v>0</v>
      </c>
      <c r="B982" s="4">
        <f>IF(OR(INDEX($AH$2:$AH$1001,MATCH(ROWS($AG$2:AG982),$AG$2:$AG$1001,0),1)&gt;=100000,INDEX($AN$1005:$BO$1005,1,MATCH(COLUMNS($AN$1006:AN1006),$AN$1006:$BO$1006,0))&gt;=100000), " ",IF(INDEX($AN$2:$BO$1001,MATCH(ROWS($AG$2:AG982),$AG$2:$AG$1001,0),MATCH(COLUMNS($AN$1006:AN1006),$AN$1006:$BO$1006,0)), HYPERLINK("#",""), HYPERLINK(CONCATENATE("#Metadata!", ADDRESS(INDEX($AI$2:$AI$1001,MATCH(ROWS($AG$2:AG982),$AG$2:$AG$1001,0),0), INDEX($AN$1004:$BO$1004,1,MATCH(COLUMNS($AN$1006:AN1006),$AN$1006:$BO$1006,0)))),"Fix")))</f>
        <v>0</v>
      </c>
      <c r="C982" s="4">
        <f>IF(OR(INDEX($AH$2:$AH$1001,MATCH(ROWS($AG$2:AG982),$AG$2:$AG$1001,0),1)&gt;=100000,INDEX($AN$1005:$BO$1005,1,MATCH(COLUMNS($AN$1006:AO1006),$AN$1006:$BO$1006,0))&gt;=100000), " ",IF(INDEX($AN$2:$BO$1001,MATCH(ROWS($AG$2:AG982),$AG$2:$AG$1001,0),MATCH(COLUMNS($AN$1006:AO1006),$AN$1006:$BO$1006,0)), HYPERLINK("#",""), HYPERLINK(CONCATENATE("#Metadata!", ADDRESS(INDEX($AI$2:$AI$1001,MATCH(ROWS($AG$2:AG982),$AG$2:$AG$1001,0),0), INDEX($AN$1004:$BO$1004,1,MATCH(COLUMNS($AN$1006:AO1006),$AN$1006:$BO$1006,0)))),"Fix")))</f>
        <v>0</v>
      </c>
      <c r="D982" s="4">
        <f>IF(OR(INDEX($AH$2:$AH$1001,MATCH(ROWS($AG$2:AG982),$AG$2:$AG$1001,0),1)&gt;=100000,INDEX($AN$1005:$BO$1005,1,MATCH(COLUMNS($AN$1006:AP1006),$AN$1006:$BO$1006,0))&gt;=100000), " ",IF(INDEX($AN$2:$BO$1001,MATCH(ROWS($AG$2:AG982),$AG$2:$AG$1001,0),MATCH(COLUMNS($AN$1006:AP1006),$AN$1006:$BO$1006,0)), HYPERLINK("#",""), HYPERLINK(CONCATENATE("#Metadata!", ADDRESS(INDEX($AI$2:$AI$1001,MATCH(ROWS($AG$2:AG982),$AG$2:$AG$1001,0),0), INDEX($AN$1004:$BO$1004,1,MATCH(COLUMNS($AN$1006:AP1006),$AN$1006:$BO$1006,0)))),"Fix")))</f>
        <v>0</v>
      </c>
      <c r="E982" s="4">
        <f>IF(OR(INDEX($AH$2:$AH$1001,MATCH(ROWS($AG$2:AG982),$AG$2:$AG$1001,0),1)&gt;=100000,INDEX($AN$1005:$BO$1005,1,MATCH(COLUMNS($AN$1006:AQ1006),$AN$1006:$BO$1006,0))&gt;=100000), " ",IF(INDEX($AN$2:$BO$1001,MATCH(ROWS($AG$2:AG982),$AG$2:$AG$1001,0),MATCH(COLUMNS($AN$1006:AQ1006),$AN$1006:$BO$1006,0)), HYPERLINK("#",""), HYPERLINK(CONCATENATE("#Metadata!", ADDRESS(INDEX($AI$2:$AI$1001,MATCH(ROWS($AG$2:AG982),$AG$2:$AG$1001,0),0), INDEX($AN$1004:$BO$1004,1,MATCH(COLUMNS($AN$1006:AQ1006),$AN$1006:$BO$1006,0)))),"Fix")))</f>
        <v>0</v>
      </c>
      <c r="F982" s="4">
        <f>IF(OR(INDEX($AH$2:$AH$1001,MATCH(ROWS($AG$2:AG982),$AG$2:$AG$1001,0),1)&gt;=100000,INDEX($AN$1005:$BO$1005,1,MATCH(COLUMNS($AN$1006:AR1006),$AN$1006:$BO$1006,0))&gt;=100000), " ",IF(INDEX($AN$2:$BO$1001,MATCH(ROWS($AG$2:AG982),$AG$2:$AG$1001,0),MATCH(COLUMNS($AN$1006:AR1006),$AN$1006:$BO$1006,0)), HYPERLINK("#",""), HYPERLINK(CONCATENATE("#Metadata!", ADDRESS(INDEX($AI$2:$AI$1001,MATCH(ROWS($AG$2:AG982),$AG$2:$AG$1001,0),0), INDEX($AN$1004:$BO$1004,1,MATCH(COLUMNS($AN$1006:AR1006),$AN$1006:$BO$1006,0)))),"Fix")))</f>
        <v>0</v>
      </c>
      <c r="G982" s="4">
        <f>IF(OR(INDEX($AH$2:$AH$1001,MATCH(ROWS($AG$2:AG982),$AG$2:$AG$1001,0),1)&gt;=100000,INDEX($AN$1005:$BO$1005,1,MATCH(COLUMNS($AN$1006:AS1006),$AN$1006:$BO$1006,0))&gt;=100000), " ",IF(INDEX($AN$2:$BO$1001,MATCH(ROWS($AG$2:AG982),$AG$2:$AG$1001,0),MATCH(COLUMNS($AN$1006:AS1006),$AN$1006:$BO$1006,0)), HYPERLINK("#",""), HYPERLINK(CONCATENATE("#Metadata!", ADDRESS(INDEX($AI$2:$AI$1001,MATCH(ROWS($AG$2:AG982),$AG$2:$AG$1001,0),0), INDEX($AN$1004:$BO$1004,1,MATCH(COLUMNS($AN$1006:AS1006),$AN$1006:$BO$1006,0)))),"Fix")))</f>
        <v>0</v>
      </c>
      <c r="H982" s="4">
        <f>IF(OR(INDEX($AH$2:$AH$1001,MATCH(ROWS($AG$2:AG982),$AG$2:$AG$1001,0),1)&gt;=100000,INDEX($AN$1005:$BO$1005,1,MATCH(COLUMNS($AN$1006:AT1006),$AN$1006:$BO$1006,0))&gt;=100000), " ",IF(INDEX($AN$2:$BO$1001,MATCH(ROWS($AG$2:AG982),$AG$2:$AG$1001,0),MATCH(COLUMNS($AN$1006:AT1006),$AN$1006:$BO$1006,0)), HYPERLINK("#",""), HYPERLINK(CONCATENATE("#Metadata!", ADDRESS(INDEX($AI$2:$AI$1001,MATCH(ROWS($AG$2:AG982),$AG$2:$AG$1001,0),0), INDEX($AN$1004:$BO$1004,1,MATCH(COLUMNS($AN$1006:AT1006),$AN$1006:$BO$1006,0)))),"Fix")))</f>
        <v>0</v>
      </c>
      <c r="I982" s="4">
        <f>IF(OR(INDEX($AH$2:$AH$1001,MATCH(ROWS($AG$2:AG982),$AG$2:$AG$1001,0),1)&gt;=100000,INDEX($AN$1005:$BO$1005,1,MATCH(COLUMNS($AN$1006:AU1006),$AN$1006:$BO$1006,0))&gt;=100000), " ",IF(INDEX($AN$2:$BO$1001,MATCH(ROWS($AG$2:AG982),$AG$2:$AG$1001,0),MATCH(COLUMNS($AN$1006:AU1006),$AN$1006:$BO$1006,0)), HYPERLINK("#",""), HYPERLINK(CONCATENATE("#Metadata!", ADDRESS(INDEX($AI$2:$AI$1001,MATCH(ROWS($AG$2:AG982),$AG$2:$AG$1001,0),0), INDEX($AN$1004:$BO$1004,1,MATCH(COLUMNS($AN$1006:AU1006),$AN$1006:$BO$1006,0)))),"Fix")))</f>
        <v>0</v>
      </c>
      <c r="J982" s="4">
        <f>IF(OR(INDEX($AH$2:$AH$1001,MATCH(ROWS($AG$2:AG982),$AG$2:$AG$1001,0),1)&gt;=100000,INDEX($AN$1005:$BO$1005,1,MATCH(COLUMNS($AN$1006:AV1006),$AN$1006:$BO$1006,0))&gt;=100000), " ",IF(INDEX($AN$2:$BO$1001,MATCH(ROWS($AG$2:AG982),$AG$2:$AG$1001,0),MATCH(COLUMNS($AN$1006:AV1006),$AN$1006:$BO$1006,0)), HYPERLINK("#",""), HYPERLINK(CONCATENATE("#Metadata!", ADDRESS(INDEX($AI$2:$AI$1001,MATCH(ROWS($AG$2:AG982),$AG$2:$AG$1001,0),0), INDEX($AN$1004:$BO$1004,1,MATCH(COLUMNS($AN$1006:AV1006),$AN$1006:$BO$1006,0)))),"Fix")))</f>
        <v>0</v>
      </c>
      <c r="K982" s="4">
        <f>IF(OR(INDEX($AH$2:$AH$1001,MATCH(ROWS($AG$2:AG982),$AG$2:$AG$1001,0),1)&gt;=100000,INDEX($AN$1005:$BO$1005,1,MATCH(COLUMNS($AN$1006:AW1006),$AN$1006:$BO$1006,0))&gt;=100000), " ",IF(INDEX($AN$2:$BO$1001,MATCH(ROWS($AG$2:AG982),$AG$2:$AG$1001,0),MATCH(COLUMNS($AN$1006:AW1006),$AN$1006:$BO$1006,0)), HYPERLINK("#",""), HYPERLINK(CONCATENATE("#Metadata!", ADDRESS(INDEX($AI$2:$AI$1001,MATCH(ROWS($AG$2:AG982),$AG$2:$AG$1001,0),0), INDEX($AN$1004:$BO$1004,1,MATCH(COLUMNS($AN$1006:AW1006),$AN$1006:$BO$1006,0)))),"Fix")))</f>
        <v>0</v>
      </c>
      <c r="L982" s="4">
        <f>IF(OR(INDEX($AH$2:$AH$1001,MATCH(ROWS($AG$2:AG982),$AG$2:$AG$1001,0),1)&gt;=100000,INDEX($AN$1005:$BO$1005,1,MATCH(COLUMNS($AN$1006:AX1006),$AN$1006:$BO$1006,0))&gt;=100000), " ",IF(INDEX($AN$2:$BO$1001,MATCH(ROWS($AG$2:AG982),$AG$2:$AG$1001,0),MATCH(COLUMNS($AN$1006:AX1006),$AN$1006:$BO$1006,0)), HYPERLINK("#",""), HYPERLINK(CONCATENATE("#Metadata!", ADDRESS(INDEX($AI$2:$AI$1001,MATCH(ROWS($AG$2:AG982),$AG$2:$AG$1001,0),0), INDEX($AN$1004:$BO$1004,1,MATCH(COLUMNS($AN$1006:AX1006),$AN$1006:$BO$1006,0)))),"Fix")))</f>
        <v>0</v>
      </c>
      <c r="M982" s="4">
        <f>IF(OR(INDEX($AH$2:$AH$1001,MATCH(ROWS($AG$2:AG982),$AG$2:$AG$1001,0),1)&gt;=100000,INDEX($AN$1005:$BO$1005,1,MATCH(COLUMNS($AN$1006:AY1006),$AN$1006:$BO$1006,0))&gt;=100000), " ",IF(INDEX($AN$2:$BO$1001,MATCH(ROWS($AG$2:AG982),$AG$2:$AG$1001,0),MATCH(COLUMNS($AN$1006:AY1006),$AN$1006:$BO$1006,0)), HYPERLINK("#",""), HYPERLINK(CONCATENATE("#Metadata!", ADDRESS(INDEX($AI$2:$AI$1001,MATCH(ROWS($AG$2:AG982),$AG$2:$AG$1001,0),0), INDEX($AN$1004:$BO$1004,1,MATCH(COLUMNS($AN$1006:AY1006),$AN$1006:$BO$1006,0)))),"Fix")))</f>
        <v>0</v>
      </c>
      <c r="N982" s="4">
        <f>IF(OR(INDEX($AH$2:$AH$1001,MATCH(ROWS($AG$2:AG982),$AG$2:$AG$1001,0),1)&gt;=100000,INDEX($AN$1005:$BO$1005,1,MATCH(COLUMNS($AN$1006:AZ1006),$AN$1006:$BO$1006,0))&gt;=100000), " ",IF(INDEX($AN$2:$BO$1001,MATCH(ROWS($AG$2:AG982),$AG$2:$AG$1001,0),MATCH(COLUMNS($AN$1006:AZ1006),$AN$1006:$BO$1006,0)), HYPERLINK("#",""), HYPERLINK(CONCATENATE("#Metadata!", ADDRESS(INDEX($AI$2:$AI$1001,MATCH(ROWS($AG$2:AG982),$AG$2:$AG$1001,0),0), INDEX($AN$1004:$BO$1004,1,MATCH(COLUMNS($AN$1006:AZ1006),$AN$1006:$BO$1006,0)))),"Fix")))</f>
        <v>0</v>
      </c>
      <c r="O982" s="4">
        <f>IF(OR(INDEX($AH$2:$AH$1001,MATCH(ROWS($AG$2:AG982),$AG$2:$AG$1001,0),1)&gt;=100000,INDEX($AN$1005:$BO$1005,1,MATCH(COLUMNS($AN$1006:BA1006),$AN$1006:$BO$1006,0))&gt;=100000), " ",IF(INDEX($AN$2:$BO$1001,MATCH(ROWS($AG$2:AG982),$AG$2:$AG$1001,0),MATCH(COLUMNS($AN$1006:BA1006),$AN$1006:$BO$1006,0)), HYPERLINK("#",""), HYPERLINK(CONCATENATE("#Metadata!", ADDRESS(INDEX($AI$2:$AI$1001,MATCH(ROWS($AG$2:AG982),$AG$2:$AG$1001,0),0), INDEX($AN$1004:$BO$1004,1,MATCH(COLUMNS($AN$1006:BA1006),$AN$1006:$BO$1006,0)))),"Fix")))</f>
        <v>0</v>
      </c>
      <c r="P982" s="4">
        <f>IF(OR(INDEX($AH$2:$AH$1001,MATCH(ROWS($AG$2:AG982),$AG$2:$AG$1001,0),1)&gt;=100000,INDEX($AN$1005:$BO$1005,1,MATCH(COLUMNS($AN$1006:BB1006),$AN$1006:$BO$1006,0))&gt;=100000), " ",IF(INDEX($AN$2:$BO$1001,MATCH(ROWS($AG$2:AG982),$AG$2:$AG$1001,0),MATCH(COLUMNS($AN$1006:BB1006),$AN$1006:$BO$1006,0)), HYPERLINK("#",""), HYPERLINK(CONCATENATE("#Metadata!", ADDRESS(INDEX($AI$2:$AI$1001,MATCH(ROWS($AG$2:AG982),$AG$2:$AG$1001,0),0), INDEX($AN$1004:$BO$1004,1,MATCH(COLUMNS($AN$1006:BB1006),$AN$1006:$BO$1006,0)))),"Fix")))</f>
        <v>0</v>
      </c>
      <c r="Q982" s="4">
        <f>IF(OR(INDEX($AH$2:$AH$1001,MATCH(ROWS($AG$2:AG982),$AG$2:$AG$1001,0),1)&gt;=100000,INDEX($AN$1005:$BO$1005,1,MATCH(COLUMNS($AN$1006:BC1006),$AN$1006:$BO$1006,0))&gt;=100000), " ",IF(INDEX($AN$2:$BO$1001,MATCH(ROWS($AG$2:AG982),$AG$2:$AG$1001,0),MATCH(COLUMNS($AN$1006:BC1006),$AN$1006:$BO$1006,0)), HYPERLINK("#",""), HYPERLINK(CONCATENATE("#Metadata!", ADDRESS(INDEX($AI$2:$AI$1001,MATCH(ROWS($AG$2:AG982),$AG$2:$AG$1001,0),0), INDEX($AN$1004:$BO$1004,1,MATCH(COLUMNS($AN$1006:BC1006),$AN$1006:$BO$1006,0)))),"Fix")))</f>
        <v>0</v>
      </c>
      <c r="R982" s="4">
        <f>IF(OR(INDEX($AH$2:$AH$1001,MATCH(ROWS($AG$2:AG982),$AG$2:$AG$1001,0),1)&gt;=100000,INDEX($AN$1005:$BO$1005,1,MATCH(COLUMNS($AN$1006:BD1006),$AN$1006:$BO$1006,0))&gt;=100000), " ",IF(INDEX($AN$2:$BO$1001,MATCH(ROWS($AG$2:AG982),$AG$2:$AG$1001,0),MATCH(COLUMNS($AN$1006:BD1006),$AN$1006:$BO$1006,0)), HYPERLINK("#",""), HYPERLINK(CONCATENATE("#Metadata!", ADDRESS(INDEX($AI$2:$AI$1001,MATCH(ROWS($AG$2:AG982),$AG$2:$AG$1001,0),0), INDEX($AN$1004:$BO$1004,1,MATCH(COLUMNS($AN$1006:BD1006),$AN$1006:$BO$1006,0)))),"Fix")))</f>
        <v>0</v>
      </c>
      <c r="S982" s="4">
        <f>IF(OR(INDEX($AH$2:$AH$1001,MATCH(ROWS($AG$2:AG982),$AG$2:$AG$1001,0),1)&gt;=100000,INDEX($AN$1005:$BO$1005,1,MATCH(COLUMNS($AN$1006:BE1006),$AN$1006:$BO$1006,0))&gt;=100000), " ",IF(INDEX($AN$2:$BO$1001,MATCH(ROWS($AG$2:AG982),$AG$2:$AG$1001,0),MATCH(COLUMNS($AN$1006:BE1006),$AN$1006:$BO$1006,0)), HYPERLINK("#",""), HYPERLINK(CONCATENATE("#Metadata!", ADDRESS(INDEX($AI$2:$AI$1001,MATCH(ROWS($AG$2:AG982),$AG$2:$AG$1001,0),0), INDEX($AN$1004:$BO$1004,1,MATCH(COLUMNS($AN$1006:BE1006),$AN$1006:$BO$1006,0)))),"Fix")))</f>
        <v>0</v>
      </c>
      <c r="T982" s="4">
        <f>IF(OR(INDEX($AH$2:$AH$1001,MATCH(ROWS($AG$2:AG982),$AG$2:$AG$1001,0),1)&gt;=100000,INDEX($AN$1005:$BO$1005,1,MATCH(COLUMNS($AN$1006:BF1006),$AN$1006:$BO$1006,0))&gt;=100000), " ",IF(INDEX($AN$2:$BO$1001,MATCH(ROWS($AG$2:AG982),$AG$2:$AG$1001,0),MATCH(COLUMNS($AN$1006:BF1006),$AN$1006:$BO$1006,0)), HYPERLINK("#",""), HYPERLINK(CONCATENATE("#Metadata!", ADDRESS(INDEX($AI$2:$AI$1001,MATCH(ROWS($AG$2:AG982),$AG$2:$AG$1001,0),0), INDEX($AN$1004:$BO$1004,1,MATCH(COLUMNS($AN$1006:BF1006),$AN$1006:$BO$1006,0)))),"Fix")))</f>
        <v>0</v>
      </c>
      <c r="U982" s="4">
        <f>IF(OR(INDEX($AH$2:$AH$1001,MATCH(ROWS($AG$2:AG982),$AG$2:$AG$1001,0),1)&gt;=100000,INDEX($AN$1005:$BO$1005,1,MATCH(COLUMNS($AN$1006:BG1006),$AN$1006:$BO$1006,0))&gt;=100000), " ",IF(INDEX($AN$2:$BO$1001,MATCH(ROWS($AG$2:AG982),$AG$2:$AG$1001,0),MATCH(COLUMNS($AN$1006:BG1006),$AN$1006:$BO$1006,0)), HYPERLINK("#",""), HYPERLINK(CONCATENATE("#Metadata!", ADDRESS(INDEX($AI$2:$AI$1001,MATCH(ROWS($AG$2:AG982),$AG$2:$AG$1001,0),0), INDEX($AN$1004:$BO$1004,1,MATCH(COLUMNS($AN$1006:BG1006),$AN$1006:$BO$1006,0)))),"Fix")))</f>
        <v>0</v>
      </c>
      <c r="V982" s="4">
        <f>IF(OR(INDEX($AH$2:$AH$1001,MATCH(ROWS($AG$2:AG982),$AG$2:$AG$1001,0),1)&gt;=100000,INDEX($AN$1005:$BO$1005,1,MATCH(COLUMNS($AN$1006:BH1006),$AN$1006:$BO$1006,0))&gt;=100000), " ",IF(INDEX($AN$2:$BO$1001,MATCH(ROWS($AG$2:AG982),$AG$2:$AG$1001,0),MATCH(COLUMNS($AN$1006:BH1006),$AN$1006:$BO$1006,0)), HYPERLINK("#",""), HYPERLINK(CONCATENATE("#Metadata!", ADDRESS(INDEX($AI$2:$AI$1001,MATCH(ROWS($AG$2:AG982),$AG$2:$AG$1001,0),0), INDEX($AN$1004:$BO$1004,1,MATCH(COLUMNS($AN$1006:BH1006),$AN$1006:$BO$1006,0)))),"Fix")))</f>
        <v>0</v>
      </c>
      <c r="W982" s="4">
        <f>IF(OR(INDEX($AH$2:$AH$1001,MATCH(ROWS($AG$2:AG982),$AG$2:$AG$1001,0),1)&gt;=100000,INDEX($AN$1005:$BO$1005,1,MATCH(COLUMNS($AN$1006:BI1006),$AN$1006:$BO$1006,0))&gt;=100000), " ",IF(INDEX($AN$2:$BO$1001,MATCH(ROWS($AG$2:AG982),$AG$2:$AG$1001,0),MATCH(COLUMNS($AN$1006:BI1006),$AN$1006:$BO$1006,0)), HYPERLINK("#",""), HYPERLINK(CONCATENATE("#Metadata!", ADDRESS(INDEX($AI$2:$AI$1001,MATCH(ROWS($AG$2:AG982),$AG$2:$AG$1001,0),0), INDEX($AN$1004:$BO$1004,1,MATCH(COLUMNS($AN$1006:BI1006),$AN$1006:$BO$1006,0)))),"Fix")))</f>
        <v>0</v>
      </c>
      <c r="X982" s="4">
        <f>IF(OR(INDEX($AH$2:$AH$1001,MATCH(ROWS($AG$2:AG982),$AG$2:$AG$1001,0),1)&gt;=100000,INDEX($AN$1005:$BO$1005,1,MATCH(COLUMNS($AN$1006:BJ1006),$AN$1006:$BO$1006,0))&gt;=100000), " ",IF(INDEX($AN$2:$BO$1001,MATCH(ROWS($AG$2:AG982),$AG$2:$AG$1001,0),MATCH(COLUMNS($AN$1006:BJ1006),$AN$1006:$BO$1006,0)), HYPERLINK("#",""), HYPERLINK(CONCATENATE("#Metadata!", ADDRESS(INDEX($AI$2:$AI$1001,MATCH(ROWS($AG$2:AG982),$AG$2:$AG$1001,0),0), INDEX($AN$1004:$BO$1004,1,MATCH(COLUMNS($AN$1006:BJ1006),$AN$1006:$BO$1006,0)))),"Fix")))</f>
        <v>0</v>
      </c>
      <c r="Y982" s="4">
        <f>IF(OR(INDEX($AH$2:$AH$1001,MATCH(ROWS($AG$2:AG982),$AG$2:$AG$1001,0),1)&gt;=100000,INDEX($AN$1005:$BO$1005,1,MATCH(COLUMNS($AN$1006:BK1006),$AN$1006:$BO$1006,0))&gt;=100000), " ",IF(INDEX($AN$2:$BO$1001,MATCH(ROWS($AG$2:AG982),$AG$2:$AG$1001,0),MATCH(COLUMNS($AN$1006:BK1006),$AN$1006:$BO$1006,0)), HYPERLINK("#",""), HYPERLINK(CONCATENATE("#Metadata!", ADDRESS(INDEX($AI$2:$AI$1001,MATCH(ROWS($AG$2:AG982),$AG$2:$AG$1001,0),0), INDEX($AN$1004:$BO$1004,1,MATCH(COLUMNS($AN$1006:BK1006),$AN$1006:$BO$1006,0)))),"Fix")))</f>
        <v>0</v>
      </c>
      <c r="Z982" s="4">
        <f>IF(OR(INDEX($AH$2:$AH$1001,MATCH(ROWS($AG$2:AG982),$AG$2:$AG$1001,0),1)&gt;=100000,INDEX($AN$1005:$BO$1005,1,MATCH(COLUMNS($AN$1006:BL1006),$AN$1006:$BO$1006,0))&gt;=100000), " ",IF(INDEX($AN$2:$BO$1001,MATCH(ROWS($AG$2:AG982),$AG$2:$AG$1001,0),MATCH(COLUMNS($AN$1006:BL1006),$AN$1006:$BO$1006,0)), HYPERLINK("#",""), HYPERLINK(CONCATENATE("#Metadata!", ADDRESS(INDEX($AI$2:$AI$1001,MATCH(ROWS($AG$2:AG982),$AG$2:$AG$1001,0),0), INDEX($AN$1004:$BO$1004,1,MATCH(COLUMNS($AN$1006:BL1006),$AN$1006:$BO$1006,0)))),"Fix")))</f>
        <v>0</v>
      </c>
      <c r="AA982" s="4">
        <f>IF(OR(INDEX($AH$2:$AH$1001,MATCH(ROWS($AG$2:AG982),$AG$2:$AG$1001,0),1)&gt;=100000,INDEX($AN$1005:$BO$1005,1,MATCH(COLUMNS($AN$1006:BM1006),$AN$1006:$BO$1006,0))&gt;=100000), " ",IF(INDEX($AN$2:$BO$1001,MATCH(ROWS($AG$2:AG982),$AG$2:$AG$1001,0),MATCH(COLUMNS($AN$1006:BM1006),$AN$1006:$BO$1006,0)), HYPERLINK("#",""), HYPERLINK(CONCATENATE("#Metadata!", ADDRESS(INDEX($AI$2:$AI$1001,MATCH(ROWS($AG$2:AG982),$AG$2:$AG$1001,0),0), INDEX($AN$1004:$BO$1004,1,MATCH(COLUMNS($AN$1006:BM1006),$AN$1006:$BO$1006,0)))),"Fix")))</f>
        <v>0</v>
      </c>
      <c r="AB982" s="4">
        <f>IF(OR(INDEX($AH$2:$AH$1001,MATCH(ROWS($AG$2:AG982),$AG$2:$AG$1001,0),1)&gt;=100000,INDEX($AN$1005:$BO$1005,1,MATCH(COLUMNS($AN$1006:BN1006),$AN$1006:$BO$1006,0))&gt;=100000), " ",IF(INDEX($AN$2:$BO$1001,MATCH(ROWS($AG$2:AG982),$AG$2:$AG$1001,0),MATCH(COLUMNS($AN$1006:BN1006),$AN$1006:$BO$1006,0)), HYPERLINK("#",""), HYPERLINK(CONCATENATE("#Metadata!", ADDRESS(INDEX($AI$2:$AI$1001,MATCH(ROWS($AG$2:AG982),$AG$2:$AG$1001,0),0), INDEX($AN$1004:$BO$1004,1,MATCH(COLUMNS($AN$1006:BN1006),$AN$1006:$BO$1006,0)))),"Fix")))</f>
        <v>0</v>
      </c>
      <c r="AC982" s="4">
        <f>IF(OR(INDEX($AH$2:$AH$1001,MATCH(ROWS($AG$2:AG982),$AG$2:$AG$1001,0),1)&gt;=100000,INDEX($AN$1005:$BO$1005,1,MATCH(COLUMNS($AN$1006:BO1006),$AN$1006:$BO$1006,0))&gt;=100000), " ",IF(INDEX($AN$2:$BO$1001,MATCH(ROWS($AG$2:AG982),$AG$2:$AG$1001,0),MATCH(COLUMNS($AN$1006:BO1006),$AN$1006:$BO$1006,0)), HYPERLINK("#",""), HYPERLINK(CONCATENATE("#Metadata!", ADDRESS(INDEX($AI$2:$AI$1001,MATCH(ROWS($AG$2:AG982),$AG$2:$AG$1001,0),0), INDEX($AN$1004:$BO$1004,1,MATCH(COLUMNS($AN$1006:BO1006),$AN$1006:$BO$1006,0)))),"Fix")))</f>
        <v>0</v>
      </c>
      <c r="AG982">
        <v>0</v>
      </c>
      <c r="AH982">
        <v>0</v>
      </c>
      <c r="AI982">
        <v>0</v>
      </c>
      <c r="AJ982">
        <f>IF(AK982,TRUE,AND(AN982:BO982))</f>
        <v>0</v>
      </c>
      <c r="AK982">
        <f>COUNTBLANK(Metadata!B982:AC982)=COLUMNS(Metadata!B982:AC982)</f>
        <v>0</v>
      </c>
      <c r="AL982">
        <v>0</v>
      </c>
      <c r="AN982">
        <f>AND(IF(Metadata!B982="",FALSE,TRUE),COUNTIF(Metadata!B:B, Metadata!B982) = 1,NOT(ISERROR(SUMPRODUCT(SEARCH(MID(Metadata!B982,ROW(INDIRECT("1:"&amp;LEN(Metadata!B982))), 1),"0123456789abcdefghijklmnopqrstuvwxyzABCDEFGHIJKLMNOPQRSTUVWXYZ.")))))</f>
        <v>0</v>
      </c>
      <c r="AO982">
        <f>IF(Metadata!C982="",FALSE,TRUE)</f>
        <v>0</v>
      </c>
      <c r="AP982">
        <f>IF(Metadata!D982="",FALSE,TRUE)</f>
        <v>0</v>
      </c>
      <c r="AQ982">
        <f>OR(AND(IF(Metadata!E982="",FALSE,TRUE),OR(exact(Metadata!E982,"not collected"),exact(Metadata!E982,"not provided"),exact(Metadata!E982,"restricted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R982">
        <f>IF(Metadata!F982="",FALSE,TRUE)</f>
        <v>0</v>
      </c>
      <c r="AS982">
        <f>OR(AND(IF(Metadata!G982="",FALSE,TRUE),OR(exact(Metadata!G982,"not collected"),exact(Metadata!G982,"not provided"))),AND(IF(Metadata!G982="",FALSE,TRUE),OR(exact(Metadata!G982,"TRUE"),exact(Metadata!G982,"FALSE"))))</f>
        <v>0</v>
      </c>
      <c r="AT982">
        <f>OR(AND(IF(Metadata!H982="",FALSE,TRUE),OR(exact(Metadata!H982,"not collected"),exact(Metadata!H982,"not provided"),exact(Metadata!H982,"restricted access"))),AND(IF(Metadata!H982="",FALSE,ISNUMBER(VALUE(Metadata!H982))),Metadata!H982&gt;=-413.0))</f>
        <v>0</v>
      </c>
      <c r="AU982">
        <f>AND(IF(Metadata!I982="",FALSE,TRUE),exact(Metadata!I982,"meters"))</f>
        <v>0</v>
      </c>
      <c r="AV982">
        <f>AND(IF(Metadata!J982="",FALSE,TRUE),OR(exact(Metadata!J982,"Host-associated"),exact(Metadata!J982,"Free-living")))</f>
        <v>0</v>
      </c>
      <c r="AW982">
        <f>AND(IF(Metadata!K982="",FALSE,TRUE),OR(exact(Metadata!K982,"Animal"),exact(Metadata!K982,"Fungus"),exact(Metadata!K982,"Plant"),exact(Metadata!K982,"Saline"),exact(Metadata!K982,"Non-saline")))</f>
        <v>0</v>
      </c>
      <c r="AX982">
        <f>AND(IF(Metadata!L982="",FALSE,TRUE),OR(exact(Metadata!L982,"Plant secretion"),exact(Metadata!L982,"Plant rhizosphere"),exact(Metadata!L982,"Plant surface"),exact(Metadata!L982,"Plant corpus"),exact(Metadata!L982,"Fungus surface"),exact(Metadata!L982,"Fungus corpus"),exact(Metadata!L982,"Animal surface"),exact(Metadata!L982,"Animal proximal gut"),exact(Metadata!L982,"Animal corpus"),exact(Metadata!L982,"Animal distal gut"),exact(Metadata!L982,"Animal secretion"),exact(Metadata!L982,"Sub-surface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Y982">
        <f>IF(Metadata!M982="",FALSE,TRUE)</f>
        <v>0</v>
      </c>
      <c r="AZ982">
        <f>IF(Metadata!N982="",FALSE,TRUE)</f>
        <v>0</v>
      </c>
      <c r="BA982">
        <f>IF(Metadata!O982="",FALSE,TRUE)</f>
        <v>0</v>
      </c>
      <c r="BB982">
        <f>OR(AND(IF(Metadata!P982="",FALSE,TRUE),OR(exact(Metadata!P982,"not collected"),exact(Metadata!P982,"not provided"),exact(Metadata!P982,"restricted access"))),AND(IF(Metadata!P982="",FALSE,TRUE),OR(exact(Metadata!P982,"air"),exact(Metadata!P982,"built environment"),exact(Metadata!P982,"host-associated"),exact(Metadata!P982,"human-associated"),exact(Metadata!P982,"human-skin"),exact(Metadata!P982,"human-oral"),exact(Metadata!P982,"human-gut"),exact(Metadata!P982,"human-vaginal"),exact(Metadata!P982,"microbial mat/biofilm"),exact(Metadata!P982,"misc environment"),exact(Metadata!P982,"plant-associated"),exact(Metadata!P982,"sediment"),exact(Metadata!P982,"soil"),exact(Metadata!P982,"wastewater/sludge"),exact(Metadata!P982,"water"))))</f>
        <v>0</v>
      </c>
      <c r="BC982">
        <f>IF(Metadata!Q982="",FALSE,TRUE)</f>
        <v>0</v>
      </c>
      <c r="BD982">
        <f>IF(Metadata!R982="",FALSE,TRUE)</f>
        <v>0</v>
      </c>
      <c r="BE982">
        <f>OR(AND(IF(Metadata!S982="",FALSE,TRUE),OR(exact(Metadata!S982,"not collected"),exact(Metadata!S982,"not provided"),exact(Metadata!S982,"restricted access"))),AND(IF(Metadata!S982="",FALSE,ISNUMBER(VALUE(Metadata!S982))),Metadata!S982&gt;=-90.00,Metadata!S982&lt;=90.00))</f>
        <v>0</v>
      </c>
      <c r="BF982">
        <f>AND(IF(Metadata!T982="",FALSE,TRUE),exact(Metadata!T982,"Decimal degrees"))</f>
        <v>0</v>
      </c>
      <c r="BG982">
        <f>OR(AND(IF(Metadata!U982="",FALSE,TRUE),OR(exact(Metadata!U982,"not collected"),exact(Metadata!U982,"not provided"),exact(Metadata!U982,"restricted access"))),AND(IF(Metadata!U982="",FALSE,ISNUMBER(VALUE(Metadata!U982))),Metadata!U982&gt;=-180.00,Metadata!U982&lt;=180.00))</f>
        <v>0</v>
      </c>
      <c r="BH982">
        <f>AND(IF(Metadata!V982="",FALSE,TRUE),exact(Metadata!V982,"Decimal degrees"))</f>
        <v>0</v>
      </c>
      <c r="BI982">
        <f>IF(Metadata!W982="",FALSE,TRUE)</f>
        <v>0</v>
      </c>
      <c r="BJ982">
        <f>OR(AND(IF(Metadata!X982="",FALSE,TRUE),OR(exact(Metadata!X982,"not collected"),exact(Metadata!X982,"not provided"),exact(Metadata!X982,"restricted access"))),AND(IF(Metadata!X982="",FALSE,TRUE),OR(exact(Metadata!X982,"TRUE"),exact(Metadata!X982,"FALSE"))))</f>
        <v>0</v>
      </c>
      <c r="BK982">
        <f>AND(IF(Metadata!Y982="",FALSE,TRUE),exact(Metadata!Y982,"other"))</f>
        <v>0</v>
      </c>
      <c r="BL982">
        <f>IF(Metadata!Z982="",FALSE,TRUE)</f>
        <v>0</v>
      </c>
      <c r="BM982">
        <f>OR(AND(IF(Metadata!AA982="",FALSE,TRUE),OR(exact(Metadata!AA982,"not collected"),exact(Metadata!AA982,"not provided"))),AND(IF(Metadata!AA982="",FALSE,IF(ISERROR(INT(Metadata!AA982)),FALSE,INT(Metadata!AA982)=Metadata!AA982)),Metadata!AA982&gt;0))</f>
        <v>0</v>
      </c>
      <c r="BN982">
        <f>AND(IF(Metadata!AB982="",FALSE,TRUE),exact(Metadata!AB982,"Not applicable"))</f>
        <v>0</v>
      </c>
      <c r="BO982">
        <f>IF(Metadata!AC982="",FALSE,TRUE)</f>
        <v>0</v>
      </c>
    </row>
    <row r="983" spans="1:67">
      <c r="A983" s="5">
        <f>IF(B983=" "," ",HYPERLINK(CONCATENATE("#metadata!",ADDRESS(INDEX($AI$2:$AI$1001,MATCH(ROWS($AG$2:AG983),$AG$2:$AG$1001,0),0),1)),INDEX($AL$2:$AL$1001,MATCH(ROWS($AG$2:AG983),$AG$2:$AG$1001,0),0)))</f>
        <v>0</v>
      </c>
      <c r="B983" s="4">
        <f>IF(OR(INDEX($AH$2:$AH$1001,MATCH(ROWS($AG$2:AG983),$AG$2:$AG$1001,0),1)&gt;=100000,INDEX($AN$1005:$BO$1005,1,MATCH(COLUMNS($AN$1006:AN1006),$AN$1006:$BO$1006,0))&gt;=100000), " ",IF(INDEX($AN$2:$BO$1001,MATCH(ROWS($AG$2:AG983),$AG$2:$AG$1001,0),MATCH(COLUMNS($AN$1006:AN1006),$AN$1006:$BO$1006,0)), HYPERLINK("#",""), HYPERLINK(CONCATENATE("#Metadata!", ADDRESS(INDEX($AI$2:$AI$1001,MATCH(ROWS($AG$2:AG983),$AG$2:$AG$1001,0),0), INDEX($AN$1004:$BO$1004,1,MATCH(COLUMNS($AN$1006:AN1006),$AN$1006:$BO$1006,0)))),"Fix")))</f>
        <v>0</v>
      </c>
      <c r="C983" s="4">
        <f>IF(OR(INDEX($AH$2:$AH$1001,MATCH(ROWS($AG$2:AG983),$AG$2:$AG$1001,0),1)&gt;=100000,INDEX($AN$1005:$BO$1005,1,MATCH(COLUMNS($AN$1006:AO1006),$AN$1006:$BO$1006,0))&gt;=100000), " ",IF(INDEX($AN$2:$BO$1001,MATCH(ROWS($AG$2:AG983),$AG$2:$AG$1001,0),MATCH(COLUMNS($AN$1006:AO1006),$AN$1006:$BO$1006,0)), HYPERLINK("#",""), HYPERLINK(CONCATENATE("#Metadata!", ADDRESS(INDEX($AI$2:$AI$1001,MATCH(ROWS($AG$2:AG983),$AG$2:$AG$1001,0),0), INDEX($AN$1004:$BO$1004,1,MATCH(COLUMNS($AN$1006:AO1006),$AN$1006:$BO$1006,0)))),"Fix")))</f>
        <v>0</v>
      </c>
      <c r="D983" s="4">
        <f>IF(OR(INDEX($AH$2:$AH$1001,MATCH(ROWS($AG$2:AG983),$AG$2:$AG$1001,0),1)&gt;=100000,INDEX($AN$1005:$BO$1005,1,MATCH(COLUMNS($AN$1006:AP1006),$AN$1006:$BO$1006,0))&gt;=100000), " ",IF(INDEX($AN$2:$BO$1001,MATCH(ROWS($AG$2:AG983),$AG$2:$AG$1001,0),MATCH(COLUMNS($AN$1006:AP1006),$AN$1006:$BO$1006,0)), HYPERLINK("#",""), HYPERLINK(CONCATENATE("#Metadata!", ADDRESS(INDEX($AI$2:$AI$1001,MATCH(ROWS($AG$2:AG983),$AG$2:$AG$1001,0),0), INDEX($AN$1004:$BO$1004,1,MATCH(COLUMNS($AN$1006:AP1006),$AN$1006:$BO$1006,0)))),"Fix")))</f>
        <v>0</v>
      </c>
      <c r="E983" s="4">
        <f>IF(OR(INDEX($AH$2:$AH$1001,MATCH(ROWS($AG$2:AG983),$AG$2:$AG$1001,0),1)&gt;=100000,INDEX($AN$1005:$BO$1005,1,MATCH(COLUMNS($AN$1006:AQ1006),$AN$1006:$BO$1006,0))&gt;=100000), " ",IF(INDEX($AN$2:$BO$1001,MATCH(ROWS($AG$2:AG983),$AG$2:$AG$1001,0),MATCH(COLUMNS($AN$1006:AQ1006),$AN$1006:$BO$1006,0)), HYPERLINK("#",""), HYPERLINK(CONCATENATE("#Metadata!", ADDRESS(INDEX($AI$2:$AI$1001,MATCH(ROWS($AG$2:AG983),$AG$2:$AG$1001,0),0), INDEX($AN$1004:$BO$1004,1,MATCH(COLUMNS($AN$1006:AQ1006),$AN$1006:$BO$1006,0)))),"Fix")))</f>
        <v>0</v>
      </c>
      <c r="F983" s="4">
        <f>IF(OR(INDEX($AH$2:$AH$1001,MATCH(ROWS($AG$2:AG983),$AG$2:$AG$1001,0),1)&gt;=100000,INDEX($AN$1005:$BO$1005,1,MATCH(COLUMNS($AN$1006:AR1006),$AN$1006:$BO$1006,0))&gt;=100000), " ",IF(INDEX($AN$2:$BO$1001,MATCH(ROWS($AG$2:AG983),$AG$2:$AG$1001,0),MATCH(COLUMNS($AN$1006:AR1006),$AN$1006:$BO$1006,0)), HYPERLINK("#",""), HYPERLINK(CONCATENATE("#Metadata!", ADDRESS(INDEX($AI$2:$AI$1001,MATCH(ROWS($AG$2:AG983),$AG$2:$AG$1001,0),0), INDEX($AN$1004:$BO$1004,1,MATCH(COLUMNS($AN$1006:AR1006),$AN$1006:$BO$1006,0)))),"Fix")))</f>
        <v>0</v>
      </c>
      <c r="G983" s="4">
        <f>IF(OR(INDEX($AH$2:$AH$1001,MATCH(ROWS($AG$2:AG983),$AG$2:$AG$1001,0),1)&gt;=100000,INDEX($AN$1005:$BO$1005,1,MATCH(COLUMNS($AN$1006:AS1006),$AN$1006:$BO$1006,0))&gt;=100000), " ",IF(INDEX($AN$2:$BO$1001,MATCH(ROWS($AG$2:AG983),$AG$2:$AG$1001,0),MATCH(COLUMNS($AN$1006:AS1006),$AN$1006:$BO$1006,0)), HYPERLINK("#",""), HYPERLINK(CONCATENATE("#Metadata!", ADDRESS(INDEX($AI$2:$AI$1001,MATCH(ROWS($AG$2:AG983),$AG$2:$AG$1001,0),0), INDEX($AN$1004:$BO$1004,1,MATCH(COLUMNS($AN$1006:AS1006),$AN$1006:$BO$1006,0)))),"Fix")))</f>
        <v>0</v>
      </c>
      <c r="H983" s="4">
        <f>IF(OR(INDEX($AH$2:$AH$1001,MATCH(ROWS($AG$2:AG983),$AG$2:$AG$1001,0),1)&gt;=100000,INDEX($AN$1005:$BO$1005,1,MATCH(COLUMNS($AN$1006:AT1006),$AN$1006:$BO$1006,0))&gt;=100000), " ",IF(INDEX($AN$2:$BO$1001,MATCH(ROWS($AG$2:AG983),$AG$2:$AG$1001,0),MATCH(COLUMNS($AN$1006:AT1006),$AN$1006:$BO$1006,0)), HYPERLINK("#",""), HYPERLINK(CONCATENATE("#Metadata!", ADDRESS(INDEX($AI$2:$AI$1001,MATCH(ROWS($AG$2:AG983),$AG$2:$AG$1001,0),0), INDEX($AN$1004:$BO$1004,1,MATCH(COLUMNS($AN$1006:AT1006),$AN$1006:$BO$1006,0)))),"Fix")))</f>
        <v>0</v>
      </c>
      <c r="I983" s="4">
        <f>IF(OR(INDEX($AH$2:$AH$1001,MATCH(ROWS($AG$2:AG983),$AG$2:$AG$1001,0),1)&gt;=100000,INDEX($AN$1005:$BO$1005,1,MATCH(COLUMNS($AN$1006:AU1006),$AN$1006:$BO$1006,0))&gt;=100000), " ",IF(INDEX($AN$2:$BO$1001,MATCH(ROWS($AG$2:AG983),$AG$2:$AG$1001,0),MATCH(COLUMNS($AN$1006:AU1006),$AN$1006:$BO$1006,0)), HYPERLINK("#",""), HYPERLINK(CONCATENATE("#Metadata!", ADDRESS(INDEX($AI$2:$AI$1001,MATCH(ROWS($AG$2:AG983),$AG$2:$AG$1001,0),0), INDEX($AN$1004:$BO$1004,1,MATCH(COLUMNS($AN$1006:AU1006),$AN$1006:$BO$1006,0)))),"Fix")))</f>
        <v>0</v>
      </c>
      <c r="J983" s="4">
        <f>IF(OR(INDEX($AH$2:$AH$1001,MATCH(ROWS($AG$2:AG983),$AG$2:$AG$1001,0),1)&gt;=100000,INDEX($AN$1005:$BO$1005,1,MATCH(COLUMNS($AN$1006:AV1006),$AN$1006:$BO$1006,0))&gt;=100000), " ",IF(INDEX($AN$2:$BO$1001,MATCH(ROWS($AG$2:AG983),$AG$2:$AG$1001,0),MATCH(COLUMNS($AN$1006:AV1006),$AN$1006:$BO$1006,0)), HYPERLINK("#",""), HYPERLINK(CONCATENATE("#Metadata!", ADDRESS(INDEX($AI$2:$AI$1001,MATCH(ROWS($AG$2:AG983),$AG$2:$AG$1001,0),0), INDEX($AN$1004:$BO$1004,1,MATCH(COLUMNS($AN$1006:AV1006),$AN$1006:$BO$1006,0)))),"Fix")))</f>
        <v>0</v>
      </c>
      <c r="K983" s="4">
        <f>IF(OR(INDEX($AH$2:$AH$1001,MATCH(ROWS($AG$2:AG983),$AG$2:$AG$1001,0),1)&gt;=100000,INDEX($AN$1005:$BO$1005,1,MATCH(COLUMNS($AN$1006:AW1006),$AN$1006:$BO$1006,0))&gt;=100000), " ",IF(INDEX($AN$2:$BO$1001,MATCH(ROWS($AG$2:AG983),$AG$2:$AG$1001,0),MATCH(COLUMNS($AN$1006:AW1006),$AN$1006:$BO$1006,0)), HYPERLINK("#",""), HYPERLINK(CONCATENATE("#Metadata!", ADDRESS(INDEX($AI$2:$AI$1001,MATCH(ROWS($AG$2:AG983),$AG$2:$AG$1001,0),0), INDEX($AN$1004:$BO$1004,1,MATCH(COLUMNS($AN$1006:AW1006),$AN$1006:$BO$1006,0)))),"Fix")))</f>
        <v>0</v>
      </c>
      <c r="L983" s="4">
        <f>IF(OR(INDEX($AH$2:$AH$1001,MATCH(ROWS($AG$2:AG983),$AG$2:$AG$1001,0),1)&gt;=100000,INDEX($AN$1005:$BO$1005,1,MATCH(COLUMNS($AN$1006:AX1006),$AN$1006:$BO$1006,0))&gt;=100000), " ",IF(INDEX($AN$2:$BO$1001,MATCH(ROWS($AG$2:AG983),$AG$2:$AG$1001,0),MATCH(COLUMNS($AN$1006:AX1006),$AN$1006:$BO$1006,0)), HYPERLINK("#",""), HYPERLINK(CONCATENATE("#Metadata!", ADDRESS(INDEX($AI$2:$AI$1001,MATCH(ROWS($AG$2:AG983),$AG$2:$AG$1001,0),0), INDEX($AN$1004:$BO$1004,1,MATCH(COLUMNS($AN$1006:AX1006),$AN$1006:$BO$1006,0)))),"Fix")))</f>
        <v>0</v>
      </c>
      <c r="M983" s="4">
        <f>IF(OR(INDEX($AH$2:$AH$1001,MATCH(ROWS($AG$2:AG983),$AG$2:$AG$1001,0),1)&gt;=100000,INDEX($AN$1005:$BO$1005,1,MATCH(COLUMNS($AN$1006:AY1006),$AN$1006:$BO$1006,0))&gt;=100000), " ",IF(INDEX($AN$2:$BO$1001,MATCH(ROWS($AG$2:AG983),$AG$2:$AG$1001,0),MATCH(COLUMNS($AN$1006:AY1006),$AN$1006:$BO$1006,0)), HYPERLINK("#",""), HYPERLINK(CONCATENATE("#Metadata!", ADDRESS(INDEX($AI$2:$AI$1001,MATCH(ROWS($AG$2:AG983),$AG$2:$AG$1001,0),0), INDEX($AN$1004:$BO$1004,1,MATCH(COLUMNS($AN$1006:AY1006),$AN$1006:$BO$1006,0)))),"Fix")))</f>
        <v>0</v>
      </c>
      <c r="N983" s="4">
        <f>IF(OR(INDEX($AH$2:$AH$1001,MATCH(ROWS($AG$2:AG983),$AG$2:$AG$1001,0),1)&gt;=100000,INDEX($AN$1005:$BO$1005,1,MATCH(COLUMNS($AN$1006:AZ1006),$AN$1006:$BO$1006,0))&gt;=100000), " ",IF(INDEX($AN$2:$BO$1001,MATCH(ROWS($AG$2:AG983),$AG$2:$AG$1001,0),MATCH(COLUMNS($AN$1006:AZ1006),$AN$1006:$BO$1006,0)), HYPERLINK("#",""), HYPERLINK(CONCATENATE("#Metadata!", ADDRESS(INDEX($AI$2:$AI$1001,MATCH(ROWS($AG$2:AG983),$AG$2:$AG$1001,0),0), INDEX($AN$1004:$BO$1004,1,MATCH(COLUMNS($AN$1006:AZ1006),$AN$1006:$BO$1006,0)))),"Fix")))</f>
        <v>0</v>
      </c>
      <c r="O983" s="4">
        <f>IF(OR(INDEX($AH$2:$AH$1001,MATCH(ROWS($AG$2:AG983),$AG$2:$AG$1001,0),1)&gt;=100000,INDEX($AN$1005:$BO$1005,1,MATCH(COLUMNS($AN$1006:BA1006),$AN$1006:$BO$1006,0))&gt;=100000), " ",IF(INDEX($AN$2:$BO$1001,MATCH(ROWS($AG$2:AG983),$AG$2:$AG$1001,0),MATCH(COLUMNS($AN$1006:BA1006),$AN$1006:$BO$1006,0)), HYPERLINK("#",""), HYPERLINK(CONCATENATE("#Metadata!", ADDRESS(INDEX($AI$2:$AI$1001,MATCH(ROWS($AG$2:AG983),$AG$2:$AG$1001,0),0), INDEX($AN$1004:$BO$1004,1,MATCH(COLUMNS($AN$1006:BA1006),$AN$1006:$BO$1006,0)))),"Fix")))</f>
        <v>0</v>
      </c>
      <c r="P983" s="4">
        <f>IF(OR(INDEX($AH$2:$AH$1001,MATCH(ROWS($AG$2:AG983),$AG$2:$AG$1001,0),1)&gt;=100000,INDEX($AN$1005:$BO$1005,1,MATCH(COLUMNS($AN$1006:BB1006),$AN$1006:$BO$1006,0))&gt;=100000), " ",IF(INDEX($AN$2:$BO$1001,MATCH(ROWS($AG$2:AG983),$AG$2:$AG$1001,0),MATCH(COLUMNS($AN$1006:BB1006),$AN$1006:$BO$1006,0)), HYPERLINK("#",""), HYPERLINK(CONCATENATE("#Metadata!", ADDRESS(INDEX($AI$2:$AI$1001,MATCH(ROWS($AG$2:AG983),$AG$2:$AG$1001,0),0), INDEX($AN$1004:$BO$1004,1,MATCH(COLUMNS($AN$1006:BB1006),$AN$1006:$BO$1006,0)))),"Fix")))</f>
        <v>0</v>
      </c>
      <c r="Q983" s="4">
        <f>IF(OR(INDEX($AH$2:$AH$1001,MATCH(ROWS($AG$2:AG983),$AG$2:$AG$1001,0),1)&gt;=100000,INDEX($AN$1005:$BO$1005,1,MATCH(COLUMNS($AN$1006:BC1006),$AN$1006:$BO$1006,0))&gt;=100000), " ",IF(INDEX($AN$2:$BO$1001,MATCH(ROWS($AG$2:AG983),$AG$2:$AG$1001,0),MATCH(COLUMNS($AN$1006:BC1006),$AN$1006:$BO$1006,0)), HYPERLINK("#",""), HYPERLINK(CONCATENATE("#Metadata!", ADDRESS(INDEX($AI$2:$AI$1001,MATCH(ROWS($AG$2:AG983),$AG$2:$AG$1001,0),0), INDEX($AN$1004:$BO$1004,1,MATCH(COLUMNS($AN$1006:BC1006),$AN$1006:$BO$1006,0)))),"Fix")))</f>
        <v>0</v>
      </c>
      <c r="R983" s="4">
        <f>IF(OR(INDEX($AH$2:$AH$1001,MATCH(ROWS($AG$2:AG983),$AG$2:$AG$1001,0),1)&gt;=100000,INDEX($AN$1005:$BO$1005,1,MATCH(COLUMNS($AN$1006:BD1006),$AN$1006:$BO$1006,0))&gt;=100000), " ",IF(INDEX($AN$2:$BO$1001,MATCH(ROWS($AG$2:AG983),$AG$2:$AG$1001,0),MATCH(COLUMNS($AN$1006:BD1006),$AN$1006:$BO$1006,0)), HYPERLINK("#",""), HYPERLINK(CONCATENATE("#Metadata!", ADDRESS(INDEX($AI$2:$AI$1001,MATCH(ROWS($AG$2:AG983),$AG$2:$AG$1001,0),0), INDEX($AN$1004:$BO$1004,1,MATCH(COLUMNS($AN$1006:BD1006),$AN$1006:$BO$1006,0)))),"Fix")))</f>
        <v>0</v>
      </c>
      <c r="S983" s="4">
        <f>IF(OR(INDEX($AH$2:$AH$1001,MATCH(ROWS($AG$2:AG983),$AG$2:$AG$1001,0),1)&gt;=100000,INDEX($AN$1005:$BO$1005,1,MATCH(COLUMNS($AN$1006:BE1006),$AN$1006:$BO$1006,0))&gt;=100000), " ",IF(INDEX($AN$2:$BO$1001,MATCH(ROWS($AG$2:AG983),$AG$2:$AG$1001,0),MATCH(COLUMNS($AN$1006:BE1006),$AN$1006:$BO$1006,0)), HYPERLINK("#",""), HYPERLINK(CONCATENATE("#Metadata!", ADDRESS(INDEX($AI$2:$AI$1001,MATCH(ROWS($AG$2:AG983),$AG$2:$AG$1001,0),0), INDEX($AN$1004:$BO$1004,1,MATCH(COLUMNS($AN$1006:BE1006),$AN$1006:$BO$1006,0)))),"Fix")))</f>
        <v>0</v>
      </c>
      <c r="T983" s="4">
        <f>IF(OR(INDEX($AH$2:$AH$1001,MATCH(ROWS($AG$2:AG983),$AG$2:$AG$1001,0),1)&gt;=100000,INDEX($AN$1005:$BO$1005,1,MATCH(COLUMNS($AN$1006:BF1006),$AN$1006:$BO$1006,0))&gt;=100000), " ",IF(INDEX($AN$2:$BO$1001,MATCH(ROWS($AG$2:AG983),$AG$2:$AG$1001,0),MATCH(COLUMNS($AN$1006:BF1006),$AN$1006:$BO$1006,0)), HYPERLINK("#",""), HYPERLINK(CONCATENATE("#Metadata!", ADDRESS(INDEX($AI$2:$AI$1001,MATCH(ROWS($AG$2:AG983),$AG$2:$AG$1001,0),0), INDEX($AN$1004:$BO$1004,1,MATCH(COLUMNS($AN$1006:BF1006),$AN$1006:$BO$1006,0)))),"Fix")))</f>
        <v>0</v>
      </c>
      <c r="U983" s="4">
        <f>IF(OR(INDEX($AH$2:$AH$1001,MATCH(ROWS($AG$2:AG983),$AG$2:$AG$1001,0),1)&gt;=100000,INDEX($AN$1005:$BO$1005,1,MATCH(COLUMNS($AN$1006:BG1006),$AN$1006:$BO$1006,0))&gt;=100000), " ",IF(INDEX($AN$2:$BO$1001,MATCH(ROWS($AG$2:AG983),$AG$2:$AG$1001,0),MATCH(COLUMNS($AN$1006:BG1006),$AN$1006:$BO$1006,0)), HYPERLINK("#",""), HYPERLINK(CONCATENATE("#Metadata!", ADDRESS(INDEX($AI$2:$AI$1001,MATCH(ROWS($AG$2:AG983),$AG$2:$AG$1001,0),0), INDEX($AN$1004:$BO$1004,1,MATCH(COLUMNS($AN$1006:BG1006),$AN$1006:$BO$1006,0)))),"Fix")))</f>
        <v>0</v>
      </c>
      <c r="V983" s="4">
        <f>IF(OR(INDEX($AH$2:$AH$1001,MATCH(ROWS($AG$2:AG983),$AG$2:$AG$1001,0),1)&gt;=100000,INDEX($AN$1005:$BO$1005,1,MATCH(COLUMNS($AN$1006:BH1006),$AN$1006:$BO$1006,0))&gt;=100000), " ",IF(INDEX($AN$2:$BO$1001,MATCH(ROWS($AG$2:AG983),$AG$2:$AG$1001,0),MATCH(COLUMNS($AN$1006:BH1006),$AN$1006:$BO$1006,0)), HYPERLINK("#",""), HYPERLINK(CONCATENATE("#Metadata!", ADDRESS(INDEX($AI$2:$AI$1001,MATCH(ROWS($AG$2:AG983),$AG$2:$AG$1001,0),0), INDEX($AN$1004:$BO$1004,1,MATCH(COLUMNS($AN$1006:BH1006),$AN$1006:$BO$1006,0)))),"Fix")))</f>
        <v>0</v>
      </c>
      <c r="W983" s="4">
        <f>IF(OR(INDEX($AH$2:$AH$1001,MATCH(ROWS($AG$2:AG983),$AG$2:$AG$1001,0),1)&gt;=100000,INDEX($AN$1005:$BO$1005,1,MATCH(COLUMNS($AN$1006:BI1006),$AN$1006:$BO$1006,0))&gt;=100000), " ",IF(INDEX($AN$2:$BO$1001,MATCH(ROWS($AG$2:AG983),$AG$2:$AG$1001,0),MATCH(COLUMNS($AN$1006:BI1006),$AN$1006:$BO$1006,0)), HYPERLINK("#",""), HYPERLINK(CONCATENATE("#Metadata!", ADDRESS(INDEX($AI$2:$AI$1001,MATCH(ROWS($AG$2:AG983),$AG$2:$AG$1001,0),0), INDEX($AN$1004:$BO$1004,1,MATCH(COLUMNS($AN$1006:BI1006),$AN$1006:$BO$1006,0)))),"Fix")))</f>
        <v>0</v>
      </c>
      <c r="X983" s="4">
        <f>IF(OR(INDEX($AH$2:$AH$1001,MATCH(ROWS($AG$2:AG983),$AG$2:$AG$1001,0),1)&gt;=100000,INDEX($AN$1005:$BO$1005,1,MATCH(COLUMNS($AN$1006:BJ1006),$AN$1006:$BO$1006,0))&gt;=100000), " ",IF(INDEX($AN$2:$BO$1001,MATCH(ROWS($AG$2:AG983),$AG$2:$AG$1001,0),MATCH(COLUMNS($AN$1006:BJ1006),$AN$1006:$BO$1006,0)), HYPERLINK("#",""), HYPERLINK(CONCATENATE("#Metadata!", ADDRESS(INDEX($AI$2:$AI$1001,MATCH(ROWS($AG$2:AG983),$AG$2:$AG$1001,0),0), INDEX($AN$1004:$BO$1004,1,MATCH(COLUMNS($AN$1006:BJ1006),$AN$1006:$BO$1006,0)))),"Fix")))</f>
        <v>0</v>
      </c>
      <c r="Y983" s="4">
        <f>IF(OR(INDEX($AH$2:$AH$1001,MATCH(ROWS($AG$2:AG983),$AG$2:$AG$1001,0),1)&gt;=100000,INDEX($AN$1005:$BO$1005,1,MATCH(COLUMNS($AN$1006:BK1006),$AN$1006:$BO$1006,0))&gt;=100000), " ",IF(INDEX($AN$2:$BO$1001,MATCH(ROWS($AG$2:AG983),$AG$2:$AG$1001,0),MATCH(COLUMNS($AN$1006:BK1006),$AN$1006:$BO$1006,0)), HYPERLINK("#",""), HYPERLINK(CONCATENATE("#Metadata!", ADDRESS(INDEX($AI$2:$AI$1001,MATCH(ROWS($AG$2:AG983),$AG$2:$AG$1001,0),0), INDEX($AN$1004:$BO$1004,1,MATCH(COLUMNS($AN$1006:BK1006),$AN$1006:$BO$1006,0)))),"Fix")))</f>
        <v>0</v>
      </c>
      <c r="Z983" s="4">
        <f>IF(OR(INDEX($AH$2:$AH$1001,MATCH(ROWS($AG$2:AG983),$AG$2:$AG$1001,0),1)&gt;=100000,INDEX($AN$1005:$BO$1005,1,MATCH(COLUMNS($AN$1006:BL1006),$AN$1006:$BO$1006,0))&gt;=100000), " ",IF(INDEX($AN$2:$BO$1001,MATCH(ROWS($AG$2:AG983),$AG$2:$AG$1001,0),MATCH(COLUMNS($AN$1006:BL1006),$AN$1006:$BO$1006,0)), HYPERLINK("#",""), HYPERLINK(CONCATENATE("#Metadata!", ADDRESS(INDEX($AI$2:$AI$1001,MATCH(ROWS($AG$2:AG983),$AG$2:$AG$1001,0),0), INDEX($AN$1004:$BO$1004,1,MATCH(COLUMNS($AN$1006:BL1006),$AN$1006:$BO$1006,0)))),"Fix")))</f>
        <v>0</v>
      </c>
      <c r="AA983" s="4">
        <f>IF(OR(INDEX($AH$2:$AH$1001,MATCH(ROWS($AG$2:AG983),$AG$2:$AG$1001,0),1)&gt;=100000,INDEX($AN$1005:$BO$1005,1,MATCH(COLUMNS($AN$1006:BM1006),$AN$1006:$BO$1006,0))&gt;=100000), " ",IF(INDEX($AN$2:$BO$1001,MATCH(ROWS($AG$2:AG983),$AG$2:$AG$1001,0),MATCH(COLUMNS($AN$1006:BM1006),$AN$1006:$BO$1006,0)), HYPERLINK("#",""), HYPERLINK(CONCATENATE("#Metadata!", ADDRESS(INDEX($AI$2:$AI$1001,MATCH(ROWS($AG$2:AG983),$AG$2:$AG$1001,0),0), INDEX($AN$1004:$BO$1004,1,MATCH(COLUMNS($AN$1006:BM1006),$AN$1006:$BO$1006,0)))),"Fix")))</f>
        <v>0</v>
      </c>
      <c r="AB983" s="4">
        <f>IF(OR(INDEX($AH$2:$AH$1001,MATCH(ROWS($AG$2:AG983),$AG$2:$AG$1001,0),1)&gt;=100000,INDEX($AN$1005:$BO$1005,1,MATCH(COLUMNS($AN$1006:BN1006),$AN$1006:$BO$1006,0))&gt;=100000), " ",IF(INDEX($AN$2:$BO$1001,MATCH(ROWS($AG$2:AG983),$AG$2:$AG$1001,0),MATCH(COLUMNS($AN$1006:BN1006),$AN$1006:$BO$1006,0)), HYPERLINK("#",""), HYPERLINK(CONCATENATE("#Metadata!", ADDRESS(INDEX($AI$2:$AI$1001,MATCH(ROWS($AG$2:AG983),$AG$2:$AG$1001,0),0), INDEX($AN$1004:$BO$1004,1,MATCH(COLUMNS($AN$1006:BN1006),$AN$1006:$BO$1006,0)))),"Fix")))</f>
        <v>0</v>
      </c>
      <c r="AC983" s="4">
        <f>IF(OR(INDEX($AH$2:$AH$1001,MATCH(ROWS($AG$2:AG983),$AG$2:$AG$1001,0),1)&gt;=100000,INDEX($AN$1005:$BO$1005,1,MATCH(COLUMNS($AN$1006:BO1006),$AN$1006:$BO$1006,0))&gt;=100000), " ",IF(INDEX($AN$2:$BO$1001,MATCH(ROWS($AG$2:AG983),$AG$2:$AG$1001,0),MATCH(COLUMNS($AN$1006:BO1006),$AN$1006:$BO$1006,0)), HYPERLINK("#",""), HYPERLINK(CONCATENATE("#Metadata!", ADDRESS(INDEX($AI$2:$AI$1001,MATCH(ROWS($AG$2:AG983),$AG$2:$AG$1001,0),0), INDEX($AN$1004:$BO$1004,1,MATCH(COLUMNS($AN$1006:BO1006),$AN$1006:$BO$1006,0)))),"Fix")))</f>
        <v>0</v>
      </c>
      <c r="AG983">
        <v>0</v>
      </c>
      <c r="AH983">
        <v>0</v>
      </c>
      <c r="AI983">
        <v>0</v>
      </c>
      <c r="AJ983">
        <f>IF(AK983,TRUE,AND(AN983:BO983))</f>
        <v>0</v>
      </c>
      <c r="AK983">
        <f>COUNTBLANK(Metadata!B983:AC983)=COLUMNS(Metadata!B983:AC983)</f>
        <v>0</v>
      </c>
      <c r="AL983">
        <v>0</v>
      </c>
      <c r="AN983">
        <f>AND(IF(Metadata!B983="",FALSE,TRUE),COUNTIF(Metadata!B:B, Metadata!B983) = 1,NOT(ISERROR(SUMPRODUCT(SEARCH(MID(Metadata!B983,ROW(INDIRECT("1:"&amp;LEN(Metadata!B983))), 1),"0123456789abcdefghijklmnopqrstuvwxyzABCDEFGHIJKLMNOPQRSTUVWXYZ.")))))</f>
        <v>0</v>
      </c>
      <c r="AO983">
        <f>IF(Metadata!C983="",FALSE,TRUE)</f>
        <v>0</v>
      </c>
      <c r="AP983">
        <f>IF(Metadata!D983="",FALSE,TRUE)</f>
        <v>0</v>
      </c>
      <c r="AQ983">
        <f>OR(AND(IF(Metadata!E983="",FALSE,TRUE),OR(exact(Metadata!E983,"not collected"),exact(Metadata!E983,"not provided"),exact(Metadata!E983,"restricted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R983">
        <f>IF(Metadata!F983="",FALSE,TRUE)</f>
        <v>0</v>
      </c>
      <c r="AS983">
        <f>OR(AND(IF(Metadata!G983="",FALSE,TRUE),OR(exact(Metadata!G983,"not collected"),exact(Metadata!G983,"not provided"))),AND(IF(Metadata!G983="",FALSE,TRUE),OR(exact(Metadata!G983,"TRUE"),exact(Metadata!G983,"FALSE"))))</f>
        <v>0</v>
      </c>
      <c r="AT983">
        <f>OR(AND(IF(Metadata!H983="",FALSE,TRUE),OR(exact(Metadata!H983,"not collected"),exact(Metadata!H983,"not provided"),exact(Metadata!H983,"restricted access"))),AND(IF(Metadata!H983="",FALSE,ISNUMBER(VALUE(Metadata!H983))),Metadata!H983&gt;=-413.0))</f>
        <v>0</v>
      </c>
      <c r="AU983">
        <f>AND(IF(Metadata!I983="",FALSE,TRUE),exact(Metadata!I983,"meters"))</f>
        <v>0</v>
      </c>
      <c r="AV983">
        <f>AND(IF(Metadata!J983="",FALSE,TRUE),OR(exact(Metadata!J983,"Host-associated"),exact(Metadata!J983,"Free-living")))</f>
        <v>0</v>
      </c>
      <c r="AW983">
        <f>AND(IF(Metadata!K983="",FALSE,TRUE),OR(exact(Metadata!K983,"Animal"),exact(Metadata!K983,"Fungus"),exact(Metadata!K983,"Plant"),exact(Metadata!K983,"Saline"),exact(Metadata!K983,"Non-saline")))</f>
        <v>0</v>
      </c>
      <c r="AX983">
        <f>AND(IF(Metadata!L983="",FALSE,TRUE),OR(exact(Metadata!L983,"Plant secretion"),exact(Metadata!L983,"Plant rhizosphere"),exact(Metadata!L983,"Plant surface"),exact(Metadata!L983,"Plant corpus"),exact(Metadata!L983,"Fungus surface"),exact(Metadata!L983,"Fungus corpus"),exact(Metadata!L983,"Animal surface"),exact(Metadata!L983,"Animal proximal gut"),exact(Metadata!L983,"Animal corpus"),exact(Metadata!L983,"Animal distal gut"),exact(Metadata!L983,"Animal secretion"),exact(Metadata!L983,"Sub-surface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Y983">
        <f>IF(Metadata!M983="",FALSE,TRUE)</f>
        <v>0</v>
      </c>
      <c r="AZ983">
        <f>IF(Metadata!N983="",FALSE,TRUE)</f>
        <v>0</v>
      </c>
      <c r="BA983">
        <f>IF(Metadata!O983="",FALSE,TRUE)</f>
        <v>0</v>
      </c>
      <c r="BB983">
        <f>OR(AND(IF(Metadata!P983="",FALSE,TRUE),OR(exact(Metadata!P983,"not collected"),exact(Metadata!P983,"not provided"),exact(Metadata!P983,"restricted access"))),AND(IF(Metadata!P983="",FALSE,TRUE),OR(exact(Metadata!P983,"air"),exact(Metadata!P983,"built environment"),exact(Metadata!P983,"host-associated"),exact(Metadata!P983,"human-associated"),exact(Metadata!P983,"human-skin"),exact(Metadata!P983,"human-oral"),exact(Metadata!P983,"human-gut"),exact(Metadata!P983,"human-vaginal"),exact(Metadata!P983,"microbial mat/biofilm"),exact(Metadata!P983,"misc environment"),exact(Metadata!P983,"plant-associated"),exact(Metadata!P983,"sediment"),exact(Metadata!P983,"soil"),exact(Metadata!P983,"wastewater/sludge"),exact(Metadata!P983,"water"))))</f>
        <v>0</v>
      </c>
      <c r="BC983">
        <f>IF(Metadata!Q983="",FALSE,TRUE)</f>
        <v>0</v>
      </c>
      <c r="BD983">
        <f>IF(Metadata!R983="",FALSE,TRUE)</f>
        <v>0</v>
      </c>
      <c r="BE983">
        <f>OR(AND(IF(Metadata!S983="",FALSE,TRUE),OR(exact(Metadata!S983,"not collected"),exact(Metadata!S983,"not provided"),exact(Metadata!S983,"restricted access"))),AND(IF(Metadata!S983="",FALSE,ISNUMBER(VALUE(Metadata!S983))),Metadata!S983&gt;=-90.00,Metadata!S983&lt;=90.00))</f>
        <v>0</v>
      </c>
      <c r="BF983">
        <f>AND(IF(Metadata!T983="",FALSE,TRUE),exact(Metadata!T983,"Decimal degrees"))</f>
        <v>0</v>
      </c>
      <c r="BG983">
        <f>OR(AND(IF(Metadata!U983="",FALSE,TRUE),OR(exact(Metadata!U983,"not collected"),exact(Metadata!U983,"not provided"),exact(Metadata!U983,"restricted access"))),AND(IF(Metadata!U983="",FALSE,ISNUMBER(VALUE(Metadata!U983))),Metadata!U983&gt;=-180.00,Metadata!U983&lt;=180.00))</f>
        <v>0</v>
      </c>
      <c r="BH983">
        <f>AND(IF(Metadata!V983="",FALSE,TRUE),exact(Metadata!V983,"Decimal degrees"))</f>
        <v>0</v>
      </c>
      <c r="BI983">
        <f>IF(Metadata!W983="",FALSE,TRUE)</f>
        <v>0</v>
      </c>
      <c r="BJ983">
        <f>OR(AND(IF(Metadata!X983="",FALSE,TRUE),OR(exact(Metadata!X983,"not collected"),exact(Metadata!X983,"not provided"),exact(Metadata!X983,"restricted access"))),AND(IF(Metadata!X983="",FALSE,TRUE),OR(exact(Metadata!X983,"TRUE"),exact(Metadata!X983,"FALSE"))))</f>
        <v>0</v>
      </c>
      <c r="BK983">
        <f>AND(IF(Metadata!Y983="",FALSE,TRUE),exact(Metadata!Y983,"other"))</f>
        <v>0</v>
      </c>
      <c r="BL983">
        <f>IF(Metadata!Z983="",FALSE,TRUE)</f>
        <v>0</v>
      </c>
      <c r="BM983">
        <f>OR(AND(IF(Metadata!AA983="",FALSE,TRUE),OR(exact(Metadata!AA983,"not collected"),exact(Metadata!AA983,"not provided"))),AND(IF(Metadata!AA983="",FALSE,IF(ISERROR(INT(Metadata!AA983)),FALSE,INT(Metadata!AA983)=Metadata!AA983)),Metadata!AA983&gt;0))</f>
        <v>0</v>
      </c>
      <c r="BN983">
        <f>AND(IF(Metadata!AB983="",FALSE,TRUE),exact(Metadata!AB983,"Not applicable"))</f>
        <v>0</v>
      </c>
      <c r="BO983">
        <f>IF(Metadata!AC983="",FALSE,TRUE)</f>
        <v>0</v>
      </c>
    </row>
    <row r="984" spans="1:67">
      <c r="A984" s="5">
        <f>IF(B984=" "," ",HYPERLINK(CONCATENATE("#metadata!",ADDRESS(INDEX($AI$2:$AI$1001,MATCH(ROWS($AG$2:AG984),$AG$2:$AG$1001,0),0),1)),INDEX($AL$2:$AL$1001,MATCH(ROWS($AG$2:AG984),$AG$2:$AG$1001,0),0)))</f>
        <v>0</v>
      </c>
      <c r="B984" s="4">
        <f>IF(OR(INDEX($AH$2:$AH$1001,MATCH(ROWS($AG$2:AG984),$AG$2:$AG$1001,0),1)&gt;=100000,INDEX($AN$1005:$BO$1005,1,MATCH(COLUMNS($AN$1006:AN1006),$AN$1006:$BO$1006,0))&gt;=100000), " ",IF(INDEX($AN$2:$BO$1001,MATCH(ROWS($AG$2:AG984),$AG$2:$AG$1001,0),MATCH(COLUMNS($AN$1006:AN1006),$AN$1006:$BO$1006,0)), HYPERLINK("#",""), HYPERLINK(CONCATENATE("#Metadata!", ADDRESS(INDEX($AI$2:$AI$1001,MATCH(ROWS($AG$2:AG984),$AG$2:$AG$1001,0),0), INDEX($AN$1004:$BO$1004,1,MATCH(COLUMNS($AN$1006:AN1006),$AN$1006:$BO$1006,0)))),"Fix")))</f>
        <v>0</v>
      </c>
      <c r="C984" s="4">
        <f>IF(OR(INDEX($AH$2:$AH$1001,MATCH(ROWS($AG$2:AG984),$AG$2:$AG$1001,0),1)&gt;=100000,INDEX($AN$1005:$BO$1005,1,MATCH(COLUMNS($AN$1006:AO1006),$AN$1006:$BO$1006,0))&gt;=100000), " ",IF(INDEX($AN$2:$BO$1001,MATCH(ROWS($AG$2:AG984),$AG$2:$AG$1001,0),MATCH(COLUMNS($AN$1006:AO1006),$AN$1006:$BO$1006,0)), HYPERLINK("#",""), HYPERLINK(CONCATENATE("#Metadata!", ADDRESS(INDEX($AI$2:$AI$1001,MATCH(ROWS($AG$2:AG984),$AG$2:$AG$1001,0),0), INDEX($AN$1004:$BO$1004,1,MATCH(COLUMNS($AN$1006:AO1006),$AN$1006:$BO$1006,0)))),"Fix")))</f>
        <v>0</v>
      </c>
      <c r="D984" s="4">
        <f>IF(OR(INDEX($AH$2:$AH$1001,MATCH(ROWS($AG$2:AG984),$AG$2:$AG$1001,0),1)&gt;=100000,INDEX($AN$1005:$BO$1005,1,MATCH(COLUMNS($AN$1006:AP1006),$AN$1006:$BO$1006,0))&gt;=100000), " ",IF(INDEX($AN$2:$BO$1001,MATCH(ROWS($AG$2:AG984),$AG$2:$AG$1001,0),MATCH(COLUMNS($AN$1006:AP1006),$AN$1006:$BO$1006,0)), HYPERLINK("#",""), HYPERLINK(CONCATENATE("#Metadata!", ADDRESS(INDEX($AI$2:$AI$1001,MATCH(ROWS($AG$2:AG984),$AG$2:$AG$1001,0),0), INDEX($AN$1004:$BO$1004,1,MATCH(COLUMNS($AN$1006:AP1006),$AN$1006:$BO$1006,0)))),"Fix")))</f>
        <v>0</v>
      </c>
      <c r="E984" s="4">
        <f>IF(OR(INDEX($AH$2:$AH$1001,MATCH(ROWS($AG$2:AG984),$AG$2:$AG$1001,0),1)&gt;=100000,INDEX($AN$1005:$BO$1005,1,MATCH(COLUMNS($AN$1006:AQ1006),$AN$1006:$BO$1006,0))&gt;=100000), " ",IF(INDEX($AN$2:$BO$1001,MATCH(ROWS($AG$2:AG984),$AG$2:$AG$1001,0),MATCH(COLUMNS($AN$1006:AQ1006),$AN$1006:$BO$1006,0)), HYPERLINK("#",""), HYPERLINK(CONCATENATE("#Metadata!", ADDRESS(INDEX($AI$2:$AI$1001,MATCH(ROWS($AG$2:AG984),$AG$2:$AG$1001,0),0), INDEX($AN$1004:$BO$1004,1,MATCH(COLUMNS($AN$1006:AQ1006),$AN$1006:$BO$1006,0)))),"Fix")))</f>
        <v>0</v>
      </c>
      <c r="F984" s="4">
        <f>IF(OR(INDEX($AH$2:$AH$1001,MATCH(ROWS($AG$2:AG984),$AG$2:$AG$1001,0),1)&gt;=100000,INDEX($AN$1005:$BO$1005,1,MATCH(COLUMNS($AN$1006:AR1006),$AN$1006:$BO$1006,0))&gt;=100000), " ",IF(INDEX($AN$2:$BO$1001,MATCH(ROWS($AG$2:AG984),$AG$2:$AG$1001,0),MATCH(COLUMNS($AN$1006:AR1006),$AN$1006:$BO$1006,0)), HYPERLINK("#",""), HYPERLINK(CONCATENATE("#Metadata!", ADDRESS(INDEX($AI$2:$AI$1001,MATCH(ROWS($AG$2:AG984),$AG$2:$AG$1001,0),0), INDEX($AN$1004:$BO$1004,1,MATCH(COLUMNS($AN$1006:AR1006),$AN$1006:$BO$1006,0)))),"Fix")))</f>
        <v>0</v>
      </c>
      <c r="G984" s="4">
        <f>IF(OR(INDEX($AH$2:$AH$1001,MATCH(ROWS($AG$2:AG984),$AG$2:$AG$1001,0),1)&gt;=100000,INDEX($AN$1005:$BO$1005,1,MATCH(COLUMNS($AN$1006:AS1006),$AN$1006:$BO$1006,0))&gt;=100000), " ",IF(INDEX($AN$2:$BO$1001,MATCH(ROWS($AG$2:AG984),$AG$2:$AG$1001,0),MATCH(COLUMNS($AN$1006:AS1006),$AN$1006:$BO$1006,0)), HYPERLINK("#",""), HYPERLINK(CONCATENATE("#Metadata!", ADDRESS(INDEX($AI$2:$AI$1001,MATCH(ROWS($AG$2:AG984),$AG$2:$AG$1001,0),0), INDEX($AN$1004:$BO$1004,1,MATCH(COLUMNS($AN$1006:AS1006),$AN$1006:$BO$1006,0)))),"Fix")))</f>
        <v>0</v>
      </c>
      <c r="H984" s="4">
        <f>IF(OR(INDEX($AH$2:$AH$1001,MATCH(ROWS($AG$2:AG984),$AG$2:$AG$1001,0),1)&gt;=100000,INDEX($AN$1005:$BO$1005,1,MATCH(COLUMNS($AN$1006:AT1006),$AN$1006:$BO$1006,0))&gt;=100000), " ",IF(INDEX($AN$2:$BO$1001,MATCH(ROWS($AG$2:AG984),$AG$2:$AG$1001,0),MATCH(COLUMNS($AN$1006:AT1006),$AN$1006:$BO$1006,0)), HYPERLINK("#",""), HYPERLINK(CONCATENATE("#Metadata!", ADDRESS(INDEX($AI$2:$AI$1001,MATCH(ROWS($AG$2:AG984),$AG$2:$AG$1001,0),0), INDEX($AN$1004:$BO$1004,1,MATCH(COLUMNS($AN$1006:AT1006),$AN$1006:$BO$1006,0)))),"Fix")))</f>
        <v>0</v>
      </c>
      <c r="I984" s="4">
        <f>IF(OR(INDEX($AH$2:$AH$1001,MATCH(ROWS($AG$2:AG984),$AG$2:$AG$1001,0),1)&gt;=100000,INDEX($AN$1005:$BO$1005,1,MATCH(COLUMNS($AN$1006:AU1006),$AN$1006:$BO$1006,0))&gt;=100000), " ",IF(INDEX($AN$2:$BO$1001,MATCH(ROWS($AG$2:AG984),$AG$2:$AG$1001,0),MATCH(COLUMNS($AN$1006:AU1006),$AN$1006:$BO$1006,0)), HYPERLINK("#",""), HYPERLINK(CONCATENATE("#Metadata!", ADDRESS(INDEX($AI$2:$AI$1001,MATCH(ROWS($AG$2:AG984),$AG$2:$AG$1001,0),0), INDEX($AN$1004:$BO$1004,1,MATCH(COLUMNS($AN$1006:AU1006),$AN$1006:$BO$1006,0)))),"Fix")))</f>
        <v>0</v>
      </c>
      <c r="J984" s="4">
        <f>IF(OR(INDEX($AH$2:$AH$1001,MATCH(ROWS($AG$2:AG984),$AG$2:$AG$1001,0),1)&gt;=100000,INDEX($AN$1005:$BO$1005,1,MATCH(COLUMNS($AN$1006:AV1006),$AN$1006:$BO$1006,0))&gt;=100000), " ",IF(INDEX($AN$2:$BO$1001,MATCH(ROWS($AG$2:AG984),$AG$2:$AG$1001,0),MATCH(COLUMNS($AN$1006:AV1006),$AN$1006:$BO$1006,0)), HYPERLINK("#",""), HYPERLINK(CONCATENATE("#Metadata!", ADDRESS(INDEX($AI$2:$AI$1001,MATCH(ROWS($AG$2:AG984),$AG$2:$AG$1001,0),0), INDEX($AN$1004:$BO$1004,1,MATCH(COLUMNS($AN$1006:AV1006),$AN$1006:$BO$1006,0)))),"Fix")))</f>
        <v>0</v>
      </c>
      <c r="K984" s="4">
        <f>IF(OR(INDEX($AH$2:$AH$1001,MATCH(ROWS($AG$2:AG984),$AG$2:$AG$1001,0),1)&gt;=100000,INDEX($AN$1005:$BO$1005,1,MATCH(COLUMNS($AN$1006:AW1006),$AN$1006:$BO$1006,0))&gt;=100000), " ",IF(INDEX($AN$2:$BO$1001,MATCH(ROWS($AG$2:AG984),$AG$2:$AG$1001,0),MATCH(COLUMNS($AN$1006:AW1006),$AN$1006:$BO$1006,0)), HYPERLINK("#",""), HYPERLINK(CONCATENATE("#Metadata!", ADDRESS(INDEX($AI$2:$AI$1001,MATCH(ROWS($AG$2:AG984),$AG$2:$AG$1001,0),0), INDEX($AN$1004:$BO$1004,1,MATCH(COLUMNS($AN$1006:AW1006),$AN$1006:$BO$1006,0)))),"Fix")))</f>
        <v>0</v>
      </c>
      <c r="L984" s="4">
        <f>IF(OR(INDEX($AH$2:$AH$1001,MATCH(ROWS($AG$2:AG984),$AG$2:$AG$1001,0),1)&gt;=100000,INDEX($AN$1005:$BO$1005,1,MATCH(COLUMNS($AN$1006:AX1006),$AN$1006:$BO$1006,0))&gt;=100000), " ",IF(INDEX($AN$2:$BO$1001,MATCH(ROWS($AG$2:AG984),$AG$2:$AG$1001,0),MATCH(COLUMNS($AN$1006:AX1006),$AN$1006:$BO$1006,0)), HYPERLINK("#",""), HYPERLINK(CONCATENATE("#Metadata!", ADDRESS(INDEX($AI$2:$AI$1001,MATCH(ROWS($AG$2:AG984),$AG$2:$AG$1001,0),0), INDEX($AN$1004:$BO$1004,1,MATCH(COLUMNS($AN$1006:AX1006),$AN$1006:$BO$1006,0)))),"Fix")))</f>
        <v>0</v>
      </c>
      <c r="M984" s="4">
        <f>IF(OR(INDEX($AH$2:$AH$1001,MATCH(ROWS($AG$2:AG984),$AG$2:$AG$1001,0),1)&gt;=100000,INDEX($AN$1005:$BO$1005,1,MATCH(COLUMNS($AN$1006:AY1006),$AN$1006:$BO$1006,0))&gt;=100000), " ",IF(INDEX($AN$2:$BO$1001,MATCH(ROWS($AG$2:AG984),$AG$2:$AG$1001,0),MATCH(COLUMNS($AN$1006:AY1006),$AN$1006:$BO$1006,0)), HYPERLINK("#",""), HYPERLINK(CONCATENATE("#Metadata!", ADDRESS(INDEX($AI$2:$AI$1001,MATCH(ROWS($AG$2:AG984),$AG$2:$AG$1001,0),0), INDEX($AN$1004:$BO$1004,1,MATCH(COLUMNS($AN$1006:AY1006),$AN$1006:$BO$1006,0)))),"Fix")))</f>
        <v>0</v>
      </c>
      <c r="N984" s="4">
        <f>IF(OR(INDEX($AH$2:$AH$1001,MATCH(ROWS($AG$2:AG984),$AG$2:$AG$1001,0),1)&gt;=100000,INDEX($AN$1005:$BO$1005,1,MATCH(COLUMNS($AN$1006:AZ1006),$AN$1006:$BO$1006,0))&gt;=100000), " ",IF(INDEX($AN$2:$BO$1001,MATCH(ROWS($AG$2:AG984),$AG$2:$AG$1001,0),MATCH(COLUMNS($AN$1006:AZ1006),$AN$1006:$BO$1006,0)), HYPERLINK("#",""), HYPERLINK(CONCATENATE("#Metadata!", ADDRESS(INDEX($AI$2:$AI$1001,MATCH(ROWS($AG$2:AG984),$AG$2:$AG$1001,0),0), INDEX($AN$1004:$BO$1004,1,MATCH(COLUMNS($AN$1006:AZ1006),$AN$1006:$BO$1006,0)))),"Fix")))</f>
        <v>0</v>
      </c>
      <c r="O984" s="4">
        <f>IF(OR(INDEX($AH$2:$AH$1001,MATCH(ROWS($AG$2:AG984),$AG$2:$AG$1001,0),1)&gt;=100000,INDEX($AN$1005:$BO$1005,1,MATCH(COLUMNS($AN$1006:BA1006),$AN$1006:$BO$1006,0))&gt;=100000), " ",IF(INDEX($AN$2:$BO$1001,MATCH(ROWS($AG$2:AG984),$AG$2:$AG$1001,0),MATCH(COLUMNS($AN$1006:BA1006),$AN$1006:$BO$1006,0)), HYPERLINK("#",""), HYPERLINK(CONCATENATE("#Metadata!", ADDRESS(INDEX($AI$2:$AI$1001,MATCH(ROWS($AG$2:AG984),$AG$2:$AG$1001,0),0), INDEX($AN$1004:$BO$1004,1,MATCH(COLUMNS($AN$1006:BA1006),$AN$1006:$BO$1006,0)))),"Fix")))</f>
        <v>0</v>
      </c>
      <c r="P984" s="4">
        <f>IF(OR(INDEX($AH$2:$AH$1001,MATCH(ROWS($AG$2:AG984),$AG$2:$AG$1001,0),1)&gt;=100000,INDEX($AN$1005:$BO$1005,1,MATCH(COLUMNS($AN$1006:BB1006),$AN$1006:$BO$1006,0))&gt;=100000), " ",IF(INDEX($AN$2:$BO$1001,MATCH(ROWS($AG$2:AG984),$AG$2:$AG$1001,0),MATCH(COLUMNS($AN$1006:BB1006),$AN$1006:$BO$1006,0)), HYPERLINK("#",""), HYPERLINK(CONCATENATE("#Metadata!", ADDRESS(INDEX($AI$2:$AI$1001,MATCH(ROWS($AG$2:AG984),$AG$2:$AG$1001,0),0), INDEX($AN$1004:$BO$1004,1,MATCH(COLUMNS($AN$1006:BB1006),$AN$1006:$BO$1006,0)))),"Fix")))</f>
        <v>0</v>
      </c>
      <c r="Q984" s="4">
        <f>IF(OR(INDEX($AH$2:$AH$1001,MATCH(ROWS($AG$2:AG984),$AG$2:$AG$1001,0),1)&gt;=100000,INDEX($AN$1005:$BO$1005,1,MATCH(COLUMNS($AN$1006:BC1006),$AN$1006:$BO$1006,0))&gt;=100000), " ",IF(INDEX($AN$2:$BO$1001,MATCH(ROWS($AG$2:AG984),$AG$2:$AG$1001,0),MATCH(COLUMNS($AN$1006:BC1006),$AN$1006:$BO$1006,0)), HYPERLINK("#",""), HYPERLINK(CONCATENATE("#Metadata!", ADDRESS(INDEX($AI$2:$AI$1001,MATCH(ROWS($AG$2:AG984),$AG$2:$AG$1001,0),0), INDEX($AN$1004:$BO$1004,1,MATCH(COLUMNS($AN$1006:BC1006),$AN$1006:$BO$1006,0)))),"Fix")))</f>
        <v>0</v>
      </c>
      <c r="R984" s="4">
        <f>IF(OR(INDEX($AH$2:$AH$1001,MATCH(ROWS($AG$2:AG984),$AG$2:$AG$1001,0),1)&gt;=100000,INDEX($AN$1005:$BO$1005,1,MATCH(COLUMNS($AN$1006:BD1006),$AN$1006:$BO$1006,0))&gt;=100000), " ",IF(INDEX($AN$2:$BO$1001,MATCH(ROWS($AG$2:AG984),$AG$2:$AG$1001,0),MATCH(COLUMNS($AN$1006:BD1006),$AN$1006:$BO$1006,0)), HYPERLINK("#",""), HYPERLINK(CONCATENATE("#Metadata!", ADDRESS(INDEX($AI$2:$AI$1001,MATCH(ROWS($AG$2:AG984),$AG$2:$AG$1001,0),0), INDEX($AN$1004:$BO$1004,1,MATCH(COLUMNS($AN$1006:BD1006),$AN$1006:$BO$1006,0)))),"Fix")))</f>
        <v>0</v>
      </c>
      <c r="S984" s="4">
        <f>IF(OR(INDEX($AH$2:$AH$1001,MATCH(ROWS($AG$2:AG984),$AG$2:$AG$1001,0),1)&gt;=100000,INDEX($AN$1005:$BO$1005,1,MATCH(COLUMNS($AN$1006:BE1006),$AN$1006:$BO$1006,0))&gt;=100000), " ",IF(INDEX($AN$2:$BO$1001,MATCH(ROWS($AG$2:AG984),$AG$2:$AG$1001,0),MATCH(COLUMNS($AN$1006:BE1006),$AN$1006:$BO$1006,0)), HYPERLINK("#",""), HYPERLINK(CONCATENATE("#Metadata!", ADDRESS(INDEX($AI$2:$AI$1001,MATCH(ROWS($AG$2:AG984),$AG$2:$AG$1001,0),0), INDEX($AN$1004:$BO$1004,1,MATCH(COLUMNS($AN$1006:BE1006),$AN$1006:$BO$1006,0)))),"Fix")))</f>
        <v>0</v>
      </c>
      <c r="T984" s="4">
        <f>IF(OR(INDEX($AH$2:$AH$1001,MATCH(ROWS($AG$2:AG984),$AG$2:$AG$1001,0),1)&gt;=100000,INDEX($AN$1005:$BO$1005,1,MATCH(COLUMNS($AN$1006:BF1006),$AN$1006:$BO$1006,0))&gt;=100000), " ",IF(INDEX($AN$2:$BO$1001,MATCH(ROWS($AG$2:AG984),$AG$2:$AG$1001,0),MATCH(COLUMNS($AN$1006:BF1006),$AN$1006:$BO$1006,0)), HYPERLINK("#",""), HYPERLINK(CONCATENATE("#Metadata!", ADDRESS(INDEX($AI$2:$AI$1001,MATCH(ROWS($AG$2:AG984),$AG$2:$AG$1001,0),0), INDEX($AN$1004:$BO$1004,1,MATCH(COLUMNS($AN$1006:BF1006),$AN$1006:$BO$1006,0)))),"Fix")))</f>
        <v>0</v>
      </c>
      <c r="U984" s="4">
        <f>IF(OR(INDEX($AH$2:$AH$1001,MATCH(ROWS($AG$2:AG984),$AG$2:$AG$1001,0),1)&gt;=100000,INDEX($AN$1005:$BO$1005,1,MATCH(COLUMNS($AN$1006:BG1006),$AN$1006:$BO$1006,0))&gt;=100000), " ",IF(INDEX($AN$2:$BO$1001,MATCH(ROWS($AG$2:AG984),$AG$2:$AG$1001,0),MATCH(COLUMNS($AN$1006:BG1006),$AN$1006:$BO$1006,0)), HYPERLINK("#",""), HYPERLINK(CONCATENATE("#Metadata!", ADDRESS(INDEX($AI$2:$AI$1001,MATCH(ROWS($AG$2:AG984),$AG$2:$AG$1001,0),0), INDEX($AN$1004:$BO$1004,1,MATCH(COLUMNS($AN$1006:BG1006),$AN$1006:$BO$1006,0)))),"Fix")))</f>
        <v>0</v>
      </c>
      <c r="V984" s="4">
        <f>IF(OR(INDEX($AH$2:$AH$1001,MATCH(ROWS($AG$2:AG984),$AG$2:$AG$1001,0),1)&gt;=100000,INDEX($AN$1005:$BO$1005,1,MATCH(COLUMNS($AN$1006:BH1006),$AN$1006:$BO$1006,0))&gt;=100000), " ",IF(INDEX($AN$2:$BO$1001,MATCH(ROWS($AG$2:AG984),$AG$2:$AG$1001,0),MATCH(COLUMNS($AN$1006:BH1006),$AN$1006:$BO$1006,0)), HYPERLINK("#",""), HYPERLINK(CONCATENATE("#Metadata!", ADDRESS(INDEX($AI$2:$AI$1001,MATCH(ROWS($AG$2:AG984),$AG$2:$AG$1001,0),0), INDEX($AN$1004:$BO$1004,1,MATCH(COLUMNS($AN$1006:BH1006),$AN$1006:$BO$1006,0)))),"Fix")))</f>
        <v>0</v>
      </c>
      <c r="W984" s="4">
        <f>IF(OR(INDEX($AH$2:$AH$1001,MATCH(ROWS($AG$2:AG984),$AG$2:$AG$1001,0),1)&gt;=100000,INDEX($AN$1005:$BO$1005,1,MATCH(COLUMNS($AN$1006:BI1006),$AN$1006:$BO$1006,0))&gt;=100000), " ",IF(INDEX($AN$2:$BO$1001,MATCH(ROWS($AG$2:AG984),$AG$2:$AG$1001,0),MATCH(COLUMNS($AN$1006:BI1006),$AN$1006:$BO$1006,0)), HYPERLINK("#",""), HYPERLINK(CONCATENATE("#Metadata!", ADDRESS(INDEX($AI$2:$AI$1001,MATCH(ROWS($AG$2:AG984),$AG$2:$AG$1001,0),0), INDEX($AN$1004:$BO$1004,1,MATCH(COLUMNS($AN$1006:BI1006),$AN$1006:$BO$1006,0)))),"Fix")))</f>
        <v>0</v>
      </c>
      <c r="X984" s="4">
        <f>IF(OR(INDEX($AH$2:$AH$1001,MATCH(ROWS($AG$2:AG984),$AG$2:$AG$1001,0),1)&gt;=100000,INDEX($AN$1005:$BO$1005,1,MATCH(COLUMNS($AN$1006:BJ1006),$AN$1006:$BO$1006,0))&gt;=100000), " ",IF(INDEX($AN$2:$BO$1001,MATCH(ROWS($AG$2:AG984),$AG$2:$AG$1001,0),MATCH(COLUMNS($AN$1006:BJ1006),$AN$1006:$BO$1006,0)), HYPERLINK("#",""), HYPERLINK(CONCATENATE("#Metadata!", ADDRESS(INDEX($AI$2:$AI$1001,MATCH(ROWS($AG$2:AG984),$AG$2:$AG$1001,0),0), INDEX($AN$1004:$BO$1004,1,MATCH(COLUMNS($AN$1006:BJ1006),$AN$1006:$BO$1006,0)))),"Fix")))</f>
        <v>0</v>
      </c>
      <c r="Y984" s="4">
        <f>IF(OR(INDEX($AH$2:$AH$1001,MATCH(ROWS($AG$2:AG984),$AG$2:$AG$1001,0),1)&gt;=100000,INDEX($AN$1005:$BO$1005,1,MATCH(COLUMNS($AN$1006:BK1006),$AN$1006:$BO$1006,0))&gt;=100000), " ",IF(INDEX($AN$2:$BO$1001,MATCH(ROWS($AG$2:AG984),$AG$2:$AG$1001,0),MATCH(COLUMNS($AN$1006:BK1006),$AN$1006:$BO$1006,0)), HYPERLINK("#",""), HYPERLINK(CONCATENATE("#Metadata!", ADDRESS(INDEX($AI$2:$AI$1001,MATCH(ROWS($AG$2:AG984),$AG$2:$AG$1001,0),0), INDEX($AN$1004:$BO$1004,1,MATCH(COLUMNS($AN$1006:BK1006),$AN$1006:$BO$1006,0)))),"Fix")))</f>
        <v>0</v>
      </c>
      <c r="Z984" s="4">
        <f>IF(OR(INDEX($AH$2:$AH$1001,MATCH(ROWS($AG$2:AG984),$AG$2:$AG$1001,0),1)&gt;=100000,INDEX($AN$1005:$BO$1005,1,MATCH(COLUMNS($AN$1006:BL1006),$AN$1006:$BO$1006,0))&gt;=100000), " ",IF(INDEX($AN$2:$BO$1001,MATCH(ROWS($AG$2:AG984),$AG$2:$AG$1001,0),MATCH(COLUMNS($AN$1006:BL1006),$AN$1006:$BO$1006,0)), HYPERLINK("#",""), HYPERLINK(CONCATENATE("#Metadata!", ADDRESS(INDEX($AI$2:$AI$1001,MATCH(ROWS($AG$2:AG984),$AG$2:$AG$1001,0),0), INDEX($AN$1004:$BO$1004,1,MATCH(COLUMNS($AN$1006:BL1006),$AN$1006:$BO$1006,0)))),"Fix")))</f>
        <v>0</v>
      </c>
      <c r="AA984" s="4">
        <f>IF(OR(INDEX($AH$2:$AH$1001,MATCH(ROWS($AG$2:AG984),$AG$2:$AG$1001,0),1)&gt;=100000,INDEX($AN$1005:$BO$1005,1,MATCH(COLUMNS($AN$1006:BM1006),$AN$1006:$BO$1006,0))&gt;=100000), " ",IF(INDEX($AN$2:$BO$1001,MATCH(ROWS($AG$2:AG984),$AG$2:$AG$1001,0),MATCH(COLUMNS($AN$1006:BM1006),$AN$1006:$BO$1006,0)), HYPERLINK("#",""), HYPERLINK(CONCATENATE("#Metadata!", ADDRESS(INDEX($AI$2:$AI$1001,MATCH(ROWS($AG$2:AG984),$AG$2:$AG$1001,0),0), INDEX($AN$1004:$BO$1004,1,MATCH(COLUMNS($AN$1006:BM1006),$AN$1006:$BO$1006,0)))),"Fix")))</f>
        <v>0</v>
      </c>
      <c r="AB984" s="4">
        <f>IF(OR(INDEX($AH$2:$AH$1001,MATCH(ROWS($AG$2:AG984),$AG$2:$AG$1001,0),1)&gt;=100000,INDEX($AN$1005:$BO$1005,1,MATCH(COLUMNS($AN$1006:BN1006),$AN$1006:$BO$1006,0))&gt;=100000), " ",IF(INDEX($AN$2:$BO$1001,MATCH(ROWS($AG$2:AG984),$AG$2:$AG$1001,0),MATCH(COLUMNS($AN$1006:BN1006),$AN$1006:$BO$1006,0)), HYPERLINK("#",""), HYPERLINK(CONCATENATE("#Metadata!", ADDRESS(INDEX($AI$2:$AI$1001,MATCH(ROWS($AG$2:AG984),$AG$2:$AG$1001,0),0), INDEX($AN$1004:$BO$1004,1,MATCH(COLUMNS($AN$1006:BN1006),$AN$1006:$BO$1006,0)))),"Fix")))</f>
        <v>0</v>
      </c>
      <c r="AC984" s="4">
        <f>IF(OR(INDEX($AH$2:$AH$1001,MATCH(ROWS($AG$2:AG984),$AG$2:$AG$1001,0),1)&gt;=100000,INDEX($AN$1005:$BO$1005,1,MATCH(COLUMNS($AN$1006:BO1006),$AN$1006:$BO$1006,0))&gt;=100000), " ",IF(INDEX($AN$2:$BO$1001,MATCH(ROWS($AG$2:AG984),$AG$2:$AG$1001,0),MATCH(COLUMNS($AN$1006:BO1006),$AN$1006:$BO$1006,0)), HYPERLINK("#",""), HYPERLINK(CONCATENATE("#Metadata!", ADDRESS(INDEX($AI$2:$AI$1001,MATCH(ROWS($AG$2:AG984),$AG$2:$AG$1001,0),0), INDEX($AN$1004:$BO$1004,1,MATCH(COLUMNS($AN$1006:BO1006),$AN$1006:$BO$1006,0)))),"Fix")))</f>
        <v>0</v>
      </c>
      <c r="AG984">
        <v>0</v>
      </c>
      <c r="AH984">
        <v>0</v>
      </c>
      <c r="AI984">
        <v>0</v>
      </c>
      <c r="AJ984">
        <f>IF(AK984,TRUE,AND(AN984:BO984))</f>
        <v>0</v>
      </c>
      <c r="AK984">
        <f>COUNTBLANK(Metadata!B984:AC984)=COLUMNS(Metadata!B984:AC984)</f>
        <v>0</v>
      </c>
      <c r="AL984">
        <v>0</v>
      </c>
      <c r="AN984">
        <f>AND(IF(Metadata!B984="",FALSE,TRUE),COUNTIF(Metadata!B:B, Metadata!B984) = 1,NOT(ISERROR(SUMPRODUCT(SEARCH(MID(Metadata!B984,ROW(INDIRECT("1:"&amp;LEN(Metadata!B984))), 1),"0123456789abcdefghijklmnopqrstuvwxyzABCDEFGHIJKLMNOPQRSTUVWXYZ.")))))</f>
        <v>0</v>
      </c>
      <c r="AO984">
        <f>IF(Metadata!C984="",FALSE,TRUE)</f>
        <v>0</v>
      </c>
      <c r="AP984">
        <f>IF(Metadata!D984="",FALSE,TRUE)</f>
        <v>0</v>
      </c>
      <c r="AQ984">
        <f>OR(AND(IF(Metadata!E984="",FALSE,TRUE),OR(exact(Metadata!E984,"not collected"),exact(Metadata!E984,"not provided"),exact(Metadata!E984,"restricted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R984">
        <f>IF(Metadata!F984="",FALSE,TRUE)</f>
        <v>0</v>
      </c>
      <c r="AS984">
        <f>OR(AND(IF(Metadata!G984="",FALSE,TRUE),OR(exact(Metadata!G984,"not collected"),exact(Metadata!G984,"not provided"))),AND(IF(Metadata!G984="",FALSE,TRUE),OR(exact(Metadata!G984,"TRUE"),exact(Metadata!G984,"FALSE"))))</f>
        <v>0</v>
      </c>
      <c r="AT984">
        <f>OR(AND(IF(Metadata!H984="",FALSE,TRUE),OR(exact(Metadata!H984,"not collected"),exact(Metadata!H984,"not provided"),exact(Metadata!H984,"restricted access"))),AND(IF(Metadata!H984="",FALSE,ISNUMBER(VALUE(Metadata!H984))),Metadata!H984&gt;=-413.0))</f>
        <v>0</v>
      </c>
      <c r="AU984">
        <f>AND(IF(Metadata!I984="",FALSE,TRUE),exact(Metadata!I984,"meters"))</f>
        <v>0</v>
      </c>
      <c r="AV984">
        <f>AND(IF(Metadata!J984="",FALSE,TRUE),OR(exact(Metadata!J984,"Host-associated"),exact(Metadata!J984,"Free-living")))</f>
        <v>0</v>
      </c>
      <c r="AW984">
        <f>AND(IF(Metadata!K984="",FALSE,TRUE),OR(exact(Metadata!K984,"Animal"),exact(Metadata!K984,"Fungus"),exact(Metadata!K984,"Plant"),exact(Metadata!K984,"Saline"),exact(Metadata!K984,"Non-saline")))</f>
        <v>0</v>
      </c>
      <c r="AX984">
        <f>AND(IF(Metadata!L984="",FALSE,TRUE),OR(exact(Metadata!L984,"Plant secretion"),exact(Metadata!L984,"Plant rhizosphere"),exact(Metadata!L984,"Plant surface"),exact(Metadata!L984,"Plant corpus"),exact(Metadata!L984,"Fungus surface"),exact(Metadata!L984,"Fungus corpus"),exact(Metadata!L984,"Animal surface"),exact(Metadata!L984,"Animal proximal gut"),exact(Metadata!L984,"Animal corpus"),exact(Metadata!L984,"Animal distal gut"),exact(Metadata!L984,"Animal secretion"),exact(Metadata!L984,"Sub-surface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Y984">
        <f>IF(Metadata!M984="",FALSE,TRUE)</f>
        <v>0</v>
      </c>
      <c r="AZ984">
        <f>IF(Metadata!N984="",FALSE,TRUE)</f>
        <v>0</v>
      </c>
      <c r="BA984">
        <f>IF(Metadata!O984="",FALSE,TRUE)</f>
        <v>0</v>
      </c>
      <c r="BB984">
        <f>OR(AND(IF(Metadata!P984="",FALSE,TRUE),OR(exact(Metadata!P984,"not collected"),exact(Metadata!P984,"not provided"),exact(Metadata!P984,"restricted access"))),AND(IF(Metadata!P984="",FALSE,TRUE),OR(exact(Metadata!P984,"air"),exact(Metadata!P984,"built environment"),exact(Metadata!P984,"host-associated"),exact(Metadata!P984,"human-associated"),exact(Metadata!P984,"human-skin"),exact(Metadata!P984,"human-oral"),exact(Metadata!P984,"human-gut"),exact(Metadata!P984,"human-vaginal"),exact(Metadata!P984,"microbial mat/biofilm"),exact(Metadata!P984,"misc environment"),exact(Metadata!P984,"plant-associated"),exact(Metadata!P984,"sediment"),exact(Metadata!P984,"soil"),exact(Metadata!P984,"wastewater/sludge"),exact(Metadata!P984,"water"))))</f>
        <v>0</v>
      </c>
      <c r="BC984">
        <f>IF(Metadata!Q984="",FALSE,TRUE)</f>
        <v>0</v>
      </c>
      <c r="BD984">
        <f>IF(Metadata!R984="",FALSE,TRUE)</f>
        <v>0</v>
      </c>
      <c r="BE984">
        <f>OR(AND(IF(Metadata!S984="",FALSE,TRUE),OR(exact(Metadata!S984,"not collected"),exact(Metadata!S984,"not provided"),exact(Metadata!S984,"restricted access"))),AND(IF(Metadata!S984="",FALSE,ISNUMBER(VALUE(Metadata!S984))),Metadata!S984&gt;=-90.00,Metadata!S984&lt;=90.00))</f>
        <v>0</v>
      </c>
      <c r="BF984">
        <f>AND(IF(Metadata!T984="",FALSE,TRUE),exact(Metadata!T984,"Decimal degrees"))</f>
        <v>0</v>
      </c>
      <c r="BG984">
        <f>OR(AND(IF(Metadata!U984="",FALSE,TRUE),OR(exact(Metadata!U984,"not collected"),exact(Metadata!U984,"not provided"),exact(Metadata!U984,"restricted access"))),AND(IF(Metadata!U984="",FALSE,ISNUMBER(VALUE(Metadata!U984))),Metadata!U984&gt;=-180.00,Metadata!U984&lt;=180.00))</f>
        <v>0</v>
      </c>
      <c r="BH984">
        <f>AND(IF(Metadata!V984="",FALSE,TRUE),exact(Metadata!V984,"Decimal degrees"))</f>
        <v>0</v>
      </c>
      <c r="BI984">
        <f>IF(Metadata!W984="",FALSE,TRUE)</f>
        <v>0</v>
      </c>
      <c r="BJ984">
        <f>OR(AND(IF(Metadata!X984="",FALSE,TRUE),OR(exact(Metadata!X984,"not collected"),exact(Metadata!X984,"not provided"),exact(Metadata!X984,"restricted access"))),AND(IF(Metadata!X984="",FALSE,TRUE),OR(exact(Metadata!X984,"TRUE"),exact(Metadata!X984,"FALSE"))))</f>
        <v>0</v>
      </c>
      <c r="BK984">
        <f>AND(IF(Metadata!Y984="",FALSE,TRUE),exact(Metadata!Y984,"other"))</f>
        <v>0</v>
      </c>
      <c r="BL984">
        <f>IF(Metadata!Z984="",FALSE,TRUE)</f>
        <v>0</v>
      </c>
      <c r="BM984">
        <f>OR(AND(IF(Metadata!AA984="",FALSE,TRUE),OR(exact(Metadata!AA984,"not collected"),exact(Metadata!AA984,"not provided"))),AND(IF(Metadata!AA984="",FALSE,IF(ISERROR(INT(Metadata!AA984)),FALSE,INT(Metadata!AA984)=Metadata!AA984)),Metadata!AA984&gt;0))</f>
        <v>0</v>
      </c>
      <c r="BN984">
        <f>AND(IF(Metadata!AB984="",FALSE,TRUE),exact(Metadata!AB984,"Not applicable"))</f>
        <v>0</v>
      </c>
      <c r="BO984">
        <f>IF(Metadata!AC984="",FALSE,TRUE)</f>
        <v>0</v>
      </c>
    </row>
    <row r="985" spans="1:67">
      <c r="A985" s="5">
        <f>IF(B985=" "," ",HYPERLINK(CONCATENATE("#metadata!",ADDRESS(INDEX($AI$2:$AI$1001,MATCH(ROWS($AG$2:AG985),$AG$2:$AG$1001,0),0),1)),INDEX($AL$2:$AL$1001,MATCH(ROWS($AG$2:AG985),$AG$2:$AG$1001,0),0)))</f>
        <v>0</v>
      </c>
      <c r="B985" s="4">
        <f>IF(OR(INDEX($AH$2:$AH$1001,MATCH(ROWS($AG$2:AG985),$AG$2:$AG$1001,0),1)&gt;=100000,INDEX($AN$1005:$BO$1005,1,MATCH(COLUMNS($AN$1006:AN1006),$AN$1006:$BO$1006,0))&gt;=100000), " ",IF(INDEX($AN$2:$BO$1001,MATCH(ROWS($AG$2:AG985),$AG$2:$AG$1001,0),MATCH(COLUMNS($AN$1006:AN1006),$AN$1006:$BO$1006,0)), HYPERLINK("#",""), HYPERLINK(CONCATENATE("#Metadata!", ADDRESS(INDEX($AI$2:$AI$1001,MATCH(ROWS($AG$2:AG985),$AG$2:$AG$1001,0),0), INDEX($AN$1004:$BO$1004,1,MATCH(COLUMNS($AN$1006:AN1006),$AN$1006:$BO$1006,0)))),"Fix")))</f>
        <v>0</v>
      </c>
      <c r="C985" s="4">
        <f>IF(OR(INDEX($AH$2:$AH$1001,MATCH(ROWS($AG$2:AG985),$AG$2:$AG$1001,0),1)&gt;=100000,INDEX($AN$1005:$BO$1005,1,MATCH(COLUMNS($AN$1006:AO1006),$AN$1006:$BO$1006,0))&gt;=100000), " ",IF(INDEX($AN$2:$BO$1001,MATCH(ROWS($AG$2:AG985),$AG$2:$AG$1001,0),MATCH(COLUMNS($AN$1006:AO1006),$AN$1006:$BO$1006,0)), HYPERLINK("#",""), HYPERLINK(CONCATENATE("#Metadata!", ADDRESS(INDEX($AI$2:$AI$1001,MATCH(ROWS($AG$2:AG985),$AG$2:$AG$1001,0),0), INDEX($AN$1004:$BO$1004,1,MATCH(COLUMNS($AN$1006:AO1006),$AN$1006:$BO$1006,0)))),"Fix")))</f>
        <v>0</v>
      </c>
      <c r="D985" s="4">
        <f>IF(OR(INDEX($AH$2:$AH$1001,MATCH(ROWS($AG$2:AG985),$AG$2:$AG$1001,0),1)&gt;=100000,INDEX($AN$1005:$BO$1005,1,MATCH(COLUMNS($AN$1006:AP1006),$AN$1006:$BO$1006,0))&gt;=100000), " ",IF(INDEX($AN$2:$BO$1001,MATCH(ROWS($AG$2:AG985),$AG$2:$AG$1001,0),MATCH(COLUMNS($AN$1006:AP1006),$AN$1006:$BO$1006,0)), HYPERLINK("#",""), HYPERLINK(CONCATENATE("#Metadata!", ADDRESS(INDEX($AI$2:$AI$1001,MATCH(ROWS($AG$2:AG985),$AG$2:$AG$1001,0),0), INDEX($AN$1004:$BO$1004,1,MATCH(COLUMNS($AN$1006:AP1006),$AN$1006:$BO$1006,0)))),"Fix")))</f>
        <v>0</v>
      </c>
      <c r="E985" s="4">
        <f>IF(OR(INDEX($AH$2:$AH$1001,MATCH(ROWS($AG$2:AG985),$AG$2:$AG$1001,0),1)&gt;=100000,INDEX($AN$1005:$BO$1005,1,MATCH(COLUMNS($AN$1006:AQ1006),$AN$1006:$BO$1006,0))&gt;=100000), " ",IF(INDEX($AN$2:$BO$1001,MATCH(ROWS($AG$2:AG985),$AG$2:$AG$1001,0),MATCH(COLUMNS($AN$1006:AQ1006),$AN$1006:$BO$1006,0)), HYPERLINK("#",""), HYPERLINK(CONCATENATE("#Metadata!", ADDRESS(INDEX($AI$2:$AI$1001,MATCH(ROWS($AG$2:AG985),$AG$2:$AG$1001,0),0), INDEX($AN$1004:$BO$1004,1,MATCH(COLUMNS($AN$1006:AQ1006),$AN$1006:$BO$1006,0)))),"Fix")))</f>
        <v>0</v>
      </c>
      <c r="F985" s="4">
        <f>IF(OR(INDEX($AH$2:$AH$1001,MATCH(ROWS($AG$2:AG985),$AG$2:$AG$1001,0),1)&gt;=100000,INDEX($AN$1005:$BO$1005,1,MATCH(COLUMNS($AN$1006:AR1006),$AN$1006:$BO$1006,0))&gt;=100000), " ",IF(INDEX($AN$2:$BO$1001,MATCH(ROWS($AG$2:AG985),$AG$2:$AG$1001,0),MATCH(COLUMNS($AN$1006:AR1006),$AN$1006:$BO$1006,0)), HYPERLINK("#",""), HYPERLINK(CONCATENATE("#Metadata!", ADDRESS(INDEX($AI$2:$AI$1001,MATCH(ROWS($AG$2:AG985),$AG$2:$AG$1001,0),0), INDEX($AN$1004:$BO$1004,1,MATCH(COLUMNS($AN$1006:AR1006),$AN$1006:$BO$1006,0)))),"Fix")))</f>
        <v>0</v>
      </c>
      <c r="G985" s="4">
        <f>IF(OR(INDEX($AH$2:$AH$1001,MATCH(ROWS($AG$2:AG985),$AG$2:$AG$1001,0),1)&gt;=100000,INDEX($AN$1005:$BO$1005,1,MATCH(COLUMNS($AN$1006:AS1006),$AN$1006:$BO$1006,0))&gt;=100000), " ",IF(INDEX($AN$2:$BO$1001,MATCH(ROWS($AG$2:AG985),$AG$2:$AG$1001,0),MATCH(COLUMNS($AN$1006:AS1006),$AN$1006:$BO$1006,0)), HYPERLINK("#",""), HYPERLINK(CONCATENATE("#Metadata!", ADDRESS(INDEX($AI$2:$AI$1001,MATCH(ROWS($AG$2:AG985),$AG$2:$AG$1001,0),0), INDEX($AN$1004:$BO$1004,1,MATCH(COLUMNS($AN$1006:AS1006),$AN$1006:$BO$1006,0)))),"Fix")))</f>
        <v>0</v>
      </c>
      <c r="H985" s="4">
        <f>IF(OR(INDEX($AH$2:$AH$1001,MATCH(ROWS($AG$2:AG985),$AG$2:$AG$1001,0),1)&gt;=100000,INDEX($AN$1005:$BO$1005,1,MATCH(COLUMNS($AN$1006:AT1006),$AN$1006:$BO$1006,0))&gt;=100000), " ",IF(INDEX($AN$2:$BO$1001,MATCH(ROWS($AG$2:AG985),$AG$2:$AG$1001,0),MATCH(COLUMNS($AN$1006:AT1006),$AN$1006:$BO$1006,0)), HYPERLINK("#",""), HYPERLINK(CONCATENATE("#Metadata!", ADDRESS(INDEX($AI$2:$AI$1001,MATCH(ROWS($AG$2:AG985),$AG$2:$AG$1001,0),0), INDEX($AN$1004:$BO$1004,1,MATCH(COLUMNS($AN$1006:AT1006),$AN$1006:$BO$1006,0)))),"Fix")))</f>
        <v>0</v>
      </c>
      <c r="I985" s="4">
        <f>IF(OR(INDEX($AH$2:$AH$1001,MATCH(ROWS($AG$2:AG985),$AG$2:$AG$1001,0),1)&gt;=100000,INDEX($AN$1005:$BO$1005,1,MATCH(COLUMNS($AN$1006:AU1006),$AN$1006:$BO$1006,0))&gt;=100000), " ",IF(INDEX($AN$2:$BO$1001,MATCH(ROWS($AG$2:AG985),$AG$2:$AG$1001,0),MATCH(COLUMNS($AN$1006:AU1006),$AN$1006:$BO$1006,0)), HYPERLINK("#",""), HYPERLINK(CONCATENATE("#Metadata!", ADDRESS(INDEX($AI$2:$AI$1001,MATCH(ROWS($AG$2:AG985),$AG$2:$AG$1001,0),0), INDEX($AN$1004:$BO$1004,1,MATCH(COLUMNS($AN$1006:AU1006),$AN$1006:$BO$1006,0)))),"Fix")))</f>
        <v>0</v>
      </c>
      <c r="J985" s="4">
        <f>IF(OR(INDEX($AH$2:$AH$1001,MATCH(ROWS($AG$2:AG985),$AG$2:$AG$1001,0),1)&gt;=100000,INDEX($AN$1005:$BO$1005,1,MATCH(COLUMNS($AN$1006:AV1006),$AN$1006:$BO$1006,0))&gt;=100000), " ",IF(INDEX($AN$2:$BO$1001,MATCH(ROWS($AG$2:AG985),$AG$2:$AG$1001,0),MATCH(COLUMNS($AN$1006:AV1006),$AN$1006:$BO$1006,0)), HYPERLINK("#",""), HYPERLINK(CONCATENATE("#Metadata!", ADDRESS(INDEX($AI$2:$AI$1001,MATCH(ROWS($AG$2:AG985),$AG$2:$AG$1001,0),0), INDEX($AN$1004:$BO$1004,1,MATCH(COLUMNS($AN$1006:AV1006),$AN$1006:$BO$1006,0)))),"Fix")))</f>
        <v>0</v>
      </c>
      <c r="K985" s="4">
        <f>IF(OR(INDEX($AH$2:$AH$1001,MATCH(ROWS($AG$2:AG985),$AG$2:$AG$1001,0),1)&gt;=100000,INDEX($AN$1005:$BO$1005,1,MATCH(COLUMNS($AN$1006:AW1006),$AN$1006:$BO$1006,0))&gt;=100000), " ",IF(INDEX($AN$2:$BO$1001,MATCH(ROWS($AG$2:AG985),$AG$2:$AG$1001,0),MATCH(COLUMNS($AN$1006:AW1006),$AN$1006:$BO$1006,0)), HYPERLINK("#",""), HYPERLINK(CONCATENATE("#Metadata!", ADDRESS(INDEX($AI$2:$AI$1001,MATCH(ROWS($AG$2:AG985),$AG$2:$AG$1001,0),0), INDEX($AN$1004:$BO$1004,1,MATCH(COLUMNS($AN$1006:AW1006),$AN$1006:$BO$1006,0)))),"Fix")))</f>
        <v>0</v>
      </c>
      <c r="L985" s="4">
        <f>IF(OR(INDEX($AH$2:$AH$1001,MATCH(ROWS($AG$2:AG985),$AG$2:$AG$1001,0),1)&gt;=100000,INDEX($AN$1005:$BO$1005,1,MATCH(COLUMNS($AN$1006:AX1006),$AN$1006:$BO$1006,0))&gt;=100000), " ",IF(INDEX($AN$2:$BO$1001,MATCH(ROWS($AG$2:AG985),$AG$2:$AG$1001,0),MATCH(COLUMNS($AN$1006:AX1006),$AN$1006:$BO$1006,0)), HYPERLINK("#",""), HYPERLINK(CONCATENATE("#Metadata!", ADDRESS(INDEX($AI$2:$AI$1001,MATCH(ROWS($AG$2:AG985),$AG$2:$AG$1001,0),0), INDEX($AN$1004:$BO$1004,1,MATCH(COLUMNS($AN$1006:AX1006),$AN$1006:$BO$1006,0)))),"Fix")))</f>
        <v>0</v>
      </c>
      <c r="M985" s="4">
        <f>IF(OR(INDEX($AH$2:$AH$1001,MATCH(ROWS($AG$2:AG985),$AG$2:$AG$1001,0),1)&gt;=100000,INDEX($AN$1005:$BO$1005,1,MATCH(COLUMNS($AN$1006:AY1006),$AN$1006:$BO$1006,0))&gt;=100000), " ",IF(INDEX($AN$2:$BO$1001,MATCH(ROWS($AG$2:AG985),$AG$2:$AG$1001,0),MATCH(COLUMNS($AN$1006:AY1006),$AN$1006:$BO$1006,0)), HYPERLINK("#",""), HYPERLINK(CONCATENATE("#Metadata!", ADDRESS(INDEX($AI$2:$AI$1001,MATCH(ROWS($AG$2:AG985),$AG$2:$AG$1001,0),0), INDEX($AN$1004:$BO$1004,1,MATCH(COLUMNS($AN$1006:AY1006),$AN$1006:$BO$1006,0)))),"Fix")))</f>
        <v>0</v>
      </c>
      <c r="N985" s="4">
        <f>IF(OR(INDEX($AH$2:$AH$1001,MATCH(ROWS($AG$2:AG985),$AG$2:$AG$1001,0),1)&gt;=100000,INDEX($AN$1005:$BO$1005,1,MATCH(COLUMNS($AN$1006:AZ1006),$AN$1006:$BO$1006,0))&gt;=100000), " ",IF(INDEX($AN$2:$BO$1001,MATCH(ROWS($AG$2:AG985),$AG$2:$AG$1001,0),MATCH(COLUMNS($AN$1006:AZ1006),$AN$1006:$BO$1006,0)), HYPERLINK("#",""), HYPERLINK(CONCATENATE("#Metadata!", ADDRESS(INDEX($AI$2:$AI$1001,MATCH(ROWS($AG$2:AG985),$AG$2:$AG$1001,0),0), INDEX($AN$1004:$BO$1004,1,MATCH(COLUMNS($AN$1006:AZ1006),$AN$1006:$BO$1006,0)))),"Fix")))</f>
        <v>0</v>
      </c>
      <c r="O985" s="4">
        <f>IF(OR(INDEX($AH$2:$AH$1001,MATCH(ROWS($AG$2:AG985),$AG$2:$AG$1001,0),1)&gt;=100000,INDEX($AN$1005:$BO$1005,1,MATCH(COLUMNS($AN$1006:BA1006),$AN$1006:$BO$1006,0))&gt;=100000), " ",IF(INDEX($AN$2:$BO$1001,MATCH(ROWS($AG$2:AG985),$AG$2:$AG$1001,0),MATCH(COLUMNS($AN$1006:BA1006),$AN$1006:$BO$1006,0)), HYPERLINK("#",""), HYPERLINK(CONCATENATE("#Metadata!", ADDRESS(INDEX($AI$2:$AI$1001,MATCH(ROWS($AG$2:AG985),$AG$2:$AG$1001,0),0), INDEX($AN$1004:$BO$1004,1,MATCH(COLUMNS($AN$1006:BA1006),$AN$1006:$BO$1006,0)))),"Fix")))</f>
        <v>0</v>
      </c>
      <c r="P985" s="4">
        <f>IF(OR(INDEX($AH$2:$AH$1001,MATCH(ROWS($AG$2:AG985),$AG$2:$AG$1001,0),1)&gt;=100000,INDEX($AN$1005:$BO$1005,1,MATCH(COLUMNS($AN$1006:BB1006),$AN$1006:$BO$1006,0))&gt;=100000), " ",IF(INDEX($AN$2:$BO$1001,MATCH(ROWS($AG$2:AG985),$AG$2:$AG$1001,0),MATCH(COLUMNS($AN$1006:BB1006),$AN$1006:$BO$1006,0)), HYPERLINK("#",""), HYPERLINK(CONCATENATE("#Metadata!", ADDRESS(INDEX($AI$2:$AI$1001,MATCH(ROWS($AG$2:AG985),$AG$2:$AG$1001,0),0), INDEX($AN$1004:$BO$1004,1,MATCH(COLUMNS($AN$1006:BB1006),$AN$1006:$BO$1006,0)))),"Fix")))</f>
        <v>0</v>
      </c>
      <c r="Q985" s="4">
        <f>IF(OR(INDEX($AH$2:$AH$1001,MATCH(ROWS($AG$2:AG985),$AG$2:$AG$1001,0),1)&gt;=100000,INDEX($AN$1005:$BO$1005,1,MATCH(COLUMNS($AN$1006:BC1006),$AN$1006:$BO$1006,0))&gt;=100000), " ",IF(INDEX($AN$2:$BO$1001,MATCH(ROWS($AG$2:AG985),$AG$2:$AG$1001,0),MATCH(COLUMNS($AN$1006:BC1006),$AN$1006:$BO$1006,0)), HYPERLINK("#",""), HYPERLINK(CONCATENATE("#Metadata!", ADDRESS(INDEX($AI$2:$AI$1001,MATCH(ROWS($AG$2:AG985),$AG$2:$AG$1001,0),0), INDEX($AN$1004:$BO$1004,1,MATCH(COLUMNS($AN$1006:BC1006),$AN$1006:$BO$1006,0)))),"Fix")))</f>
        <v>0</v>
      </c>
      <c r="R985" s="4">
        <f>IF(OR(INDEX($AH$2:$AH$1001,MATCH(ROWS($AG$2:AG985),$AG$2:$AG$1001,0),1)&gt;=100000,INDEX($AN$1005:$BO$1005,1,MATCH(COLUMNS($AN$1006:BD1006),$AN$1006:$BO$1006,0))&gt;=100000), " ",IF(INDEX($AN$2:$BO$1001,MATCH(ROWS($AG$2:AG985),$AG$2:$AG$1001,0),MATCH(COLUMNS($AN$1006:BD1006),$AN$1006:$BO$1006,0)), HYPERLINK("#",""), HYPERLINK(CONCATENATE("#Metadata!", ADDRESS(INDEX($AI$2:$AI$1001,MATCH(ROWS($AG$2:AG985),$AG$2:$AG$1001,0),0), INDEX($AN$1004:$BO$1004,1,MATCH(COLUMNS($AN$1006:BD1006),$AN$1006:$BO$1006,0)))),"Fix")))</f>
        <v>0</v>
      </c>
      <c r="S985" s="4">
        <f>IF(OR(INDEX($AH$2:$AH$1001,MATCH(ROWS($AG$2:AG985),$AG$2:$AG$1001,0),1)&gt;=100000,INDEX($AN$1005:$BO$1005,1,MATCH(COLUMNS($AN$1006:BE1006),$AN$1006:$BO$1006,0))&gt;=100000), " ",IF(INDEX($AN$2:$BO$1001,MATCH(ROWS($AG$2:AG985),$AG$2:$AG$1001,0),MATCH(COLUMNS($AN$1006:BE1006),$AN$1006:$BO$1006,0)), HYPERLINK("#",""), HYPERLINK(CONCATENATE("#Metadata!", ADDRESS(INDEX($AI$2:$AI$1001,MATCH(ROWS($AG$2:AG985),$AG$2:$AG$1001,0),0), INDEX($AN$1004:$BO$1004,1,MATCH(COLUMNS($AN$1006:BE1006),$AN$1006:$BO$1006,0)))),"Fix")))</f>
        <v>0</v>
      </c>
      <c r="T985" s="4">
        <f>IF(OR(INDEX($AH$2:$AH$1001,MATCH(ROWS($AG$2:AG985),$AG$2:$AG$1001,0),1)&gt;=100000,INDEX($AN$1005:$BO$1005,1,MATCH(COLUMNS($AN$1006:BF1006),$AN$1006:$BO$1006,0))&gt;=100000), " ",IF(INDEX($AN$2:$BO$1001,MATCH(ROWS($AG$2:AG985),$AG$2:$AG$1001,0),MATCH(COLUMNS($AN$1006:BF1006),$AN$1006:$BO$1006,0)), HYPERLINK("#",""), HYPERLINK(CONCATENATE("#Metadata!", ADDRESS(INDEX($AI$2:$AI$1001,MATCH(ROWS($AG$2:AG985),$AG$2:$AG$1001,0),0), INDEX($AN$1004:$BO$1004,1,MATCH(COLUMNS($AN$1006:BF1006),$AN$1006:$BO$1006,0)))),"Fix")))</f>
        <v>0</v>
      </c>
      <c r="U985" s="4">
        <f>IF(OR(INDEX($AH$2:$AH$1001,MATCH(ROWS($AG$2:AG985),$AG$2:$AG$1001,0),1)&gt;=100000,INDEX($AN$1005:$BO$1005,1,MATCH(COLUMNS($AN$1006:BG1006),$AN$1006:$BO$1006,0))&gt;=100000), " ",IF(INDEX($AN$2:$BO$1001,MATCH(ROWS($AG$2:AG985),$AG$2:$AG$1001,0),MATCH(COLUMNS($AN$1006:BG1006),$AN$1006:$BO$1006,0)), HYPERLINK("#",""), HYPERLINK(CONCATENATE("#Metadata!", ADDRESS(INDEX($AI$2:$AI$1001,MATCH(ROWS($AG$2:AG985),$AG$2:$AG$1001,0),0), INDEX($AN$1004:$BO$1004,1,MATCH(COLUMNS($AN$1006:BG1006),$AN$1006:$BO$1006,0)))),"Fix")))</f>
        <v>0</v>
      </c>
      <c r="V985" s="4">
        <f>IF(OR(INDEX($AH$2:$AH$1001,MATCH(ROWS($AG$2:AG985),$AG$2:$AG$1001,0),1)&gt;=100000,INDEX($AN$1005:$BO$1005,1,MATCH(COLUMNS($AN$1006:BH1006),$AN$1006:$BO$1006,0))&gt;=100000), " ",IF(INDEX($AN$2:$BO$1001,MATCH(ROWS($AG$2:AG985),$AG$2:$AG$1001,0),MATCH(COLUMNS($AN$1006:BH1006),$AN$1006:$BO$1006,0)), HYPERLINK("#",""), HYPERLINK(CONCATENATE("#Metadata!", ADDRESS(INDEX($AI$2:$AI$1001,MATCH(ROWS($AG$2:AG985),$AG$2:$AG$1001,0),0), INDEX($AN$1004:$BO$1004,1,MATCH(COLUMNS($AN$1006:BH1006),$AN$1006:$BO$1006,0)))),"Fix")))</f>
        <v>0</v>
      </c>
      <c r="W985" s="4">
        <f>IF(OR(INDEX($AH$2:$AH$1001,MATCH(ROWS($AG$2:AG985),$AG$2:$AG$1001,0),1)&gt;=100000,INDEX($AN$1005:$BO$1005,1,MATCH(COLUMNS($AN$1006:BI1006),$AN$1006:$BO$1006,0))&gt;=100000), " ",IF(INDEX($AN$2:$BO$1001,MATCH(ROWS($AG$2:AG985),$AG$2:$AG$1001,0),MATCH(COLUMNS($AN$1006:BI1006),$AN$1006:$BO$1006,0)), HYPERLINK("#",""), HYPERLINK(CONCATENATE("#Metadata!", ADDRESS(INDEX($AI$2:$AI$1001,MATCH(ROWS($AG$2:AG985),$AG$2:$AG$1001,0),0), INDEX($AN$1004:$BO$1004,1,MATCH(COLUMNS($AN$1006:BI1006),$AN$1006:$BO$1006,0)))),"Fix")))</f>
        <v>0</v>
      </c>
      <c r="X985" s="4">
        <f>IF(OR(INDEX($AH$2:$AH$1001,MATCH(ROWS($AG$2:AG985),$AG$2:$AG$1001,0),1)&gt;=100000,INDEX($AN$1005:$BO$1005,1,MATCH(COLUMNS($AN$1006:BJ1006),$AN$1006:$BO$1006,0))&gt;=100000), " ",IF(INDEX($AN$2:$BO$1001,MATCH(ROWS($AG$2:AG985),$AG$2:$AG$1001,0),MATCH(COLUMNS($AN$1006:BJ1006),$AN$1006:$BO$1006,0)), HYPERLINK("#",""), HYPERLINK(CONCATENATE("#Metadata!", ADDRESS(INDEX($AI$2:$AI$1001,MATCH(ROWS($AG$2:AG985),$AG$2:$AG$1001,0),0), INDEX($AN$1004:$BO$1004,1,MATCH(COLUMNS($AN$1006:BJ1006),$AN$1006:$BO$1006,0)))),"Fix")))</f>
        <v>0</v>
      </c>
      <c r="Y985" s="4">
        <f>IF(OR(INDEX($AH$2:$AH$1001,MATCH(ROWS($AG$2:AG985),$AG$2:$AG$1001,0),1)&gt;=100000,INDEX($AN$1005:$BO$1005,1,MATCH(COLUMNS($AN$1006:BK1006),$AN$1006:$BO$1006,0))&gt;=100000), " ",IF(INDEX($AN$2:$BO$1001,MATCH(ROWS($AG$2:AG985),$AG$2:$AG$1001,0),MATCH(COLUMNS($AN$1006:BK1006),$AN$1006:$BO$1006,0)), HYPERLINK("#",""), HYPERLINK(CONCATENATE("#Metadata!", ADDRESS(INDEX($AI$2:$AI$1001,MATCH(ROWS($AG$2:AG985),$AG$2:$AG$1001,0),0), INDEX($AN$1004:$BO$1004,1,MATCH(COLUMNS($AN$1006:BK1006),$AN$1006:$BO$1006,0)))),"Fix")))</f>
        <v>0</v>
      </c>
      <c r="Z985" s="4">
        <f>IF(OR(INDEX($AH$2:$AH$1001,MATCH(ROWS($AG$2:AG985),$AG$2:$AG$1001,0),1)&gt;=100000,INDEX($AN$1005:$BO$1005,1,MATCH(COLUMNS($AN$1006:BL1006),$AN$1006:$BO$1006,0))&gt;=100000), " ",IF(INDEX($AN$2:$BO$1001,MATCH(ROWS($AG$2:AG985),$AG$2:$AG$1001,0),MATCH(COLUMNS($AN$1006:BL1006),$AN$1006:$BO$1006,0)), HYPERLINK("#",""), HYPERLINK(CONCATENATE("#Metadata!", ADDRESS(INDEX($AI$2:$AI$1001,MATCH(ROWS($AG$2:AG985),$AG$2:$AG$1001,0),0), INDEX($AN$1004:$BO$1004,1,MATCH(COLUMNS($AN$1006:BL1006),$AN$1006:$BO$1006,0)))),"Fix")))</f>
        <v>0</v>
      </c>
      <c r="AA985" s="4">
        <f>IF(OR(INDEX($AH$2:$AH$1001,MATCH(ROWS($AG$2:AG985),$AG$2:$AG$1001,0),1)&gt;=100000,INDEX($AN$1005:$BO$1005,1,MATCH(COLUMNS($AN$1006:BM1006),$AN$1006:$BO$1006,0))&gt;=100000), " ",IF(INDEX($AN$2:$BO$1001,MATCH(ROWS($AG$2:AG985),$AG$2:$AG$1001,0),MATCH(COLUMNS($AN$1006:BM1006),$AN$1006:$BO$1006,0)), HYPERLINK("#",""), HYPERLINK(CONCATENATE("#Metadata!", ADDRESS(INDEX($AI$2:$AI$1001,MATCH(ROWS($AG$2:AG985),$AG$2:$AG$1001,0),0), INDEX($AN$1004:$BO$1004,1,MATCH(COLUMNS($AN$1006:BM1006),$AN$1006:$BO$1006,0)))),"Fix")))</f>
        <v>0</v>
      </c>
      <c r="AB985" s="4">
        <f>IF(OR(INDEX($AH$2:$AH$1001,MATCH(ROWS($AG$2:AG985),$AG$2:$AG$1001,0),1)&gt;=100000,INDEX($AN$1005:$BO$1005,1,MATCH(COLUMNS($AN$1006:BN1006),$AN$1006:$BO$1006,0))&gt;=100000), " ",IF(INDEX($AN$2:$BO$1001,MATCH(ROWS($AG$2:AG985),$AG$2:$AG$1001,0),MATCH(COLUMNS($AN$1006:BN1006),$AN$1006:$BO$1006,0)), HYPERLINK("#",""), HYPERLINK(CONCATENATE("#Metadata!", ADDRESS(INDEX($AI$2:$AI$1001,MATCH(ROWS($AG$2:AG985),$AG$2:$AG$1001,0),0), INDEX($AN$1004:$BO$1004,1,MATCH(COLUMNS($AN$1006:BN1006),$AN$1006:$BO$1006,0)))),"Fix")))</f>
        <v>0</v>
      </c>
      <c r="AC985" s="4">
        <f>IF(OR(INDEX($AH$2:$AH$1001,MATCH(ROWS($AG$2:AG985),$AG$2:$AG$1001,0),1)&gt;=100000,INDEX($AN$1005:$BO$1005,1,MATCH(COLUMNS($AN$1006:BO1006),$AN$1006:$BO$1006,0))&gt;=100000), " ",IF(INDEX($AN$2:$BO$1001,MATCH(ROWS($AG$2:AG985),$AG$2:$AG$1001,0),MATCH(COLUMNS($AN$1006:BO1006),$AN$1006:$BO$1006,0)), HYPERLINK("#",""), HYPERLINK(CONCATENATE("#Metadata!", ADDRESS(INDEX($AI$2:$AI$1001,MATCH(ROWS($AG$2:AG985),$AG$2:$AG$1001,0),0), INDEX($AN$1004:$BO$1004,1,MATCH(COLUMNS($AN$1006:BO1006),$AN$1006:$BO$1006,0)))),"Fix")))</f>
        <v>0</v>
      </c>
      <c r="AG985">
        <v>0</v>
      </c>
      <c r="AH985">
        <v>0</v>
      </c>
      <c r="AI985">
        <v>0</v>
      </c>
      <c r="AJ985">
        <f>IF(AK985,TRUE,AND(AN985:BO985))</f>
        <v>0</v>
      </c>
      <c r="AK985">
        <f>COUNTBLANK(Metadata!B985:AC985)=COLUMNS(Metadata!B985:AC985)</f>
        <v>0</v>
      </c>
      <c r="AL985">
        <v>0</v>
      </c>
      <c r="AN985">
        <f>AND(IF(Metadata!B985="",FALSE,TRUE),COUNTIF(Metadata!B:B, Metadata!B985) = 1,NOT(ISERROR(SUMPRODUCT(SEARCH(MID(Metadata!B985,ROW(INDIRECT("1:"&amp;LEN(Metadata!B985))), 1),"0123456789abcdefghijklmnopqrstuvwxyzABCDEFGHIJKLMNOPQRSTUVWXYZ.")))))</f>
        <v>0</v>
      </c>
      <c r="AO985">
        <f>IF(Metadata!C985="",FALSE,TRUE)</f>
        <v>0</v>
      </c>
      <c r="AP985">
        <f>IF(Metadata!D985="",FALSE,TRUE)</f>
        <v>0</v>
      </c>
      <c r="AQ985">
        <f>OR(AND(IF(Metadata!E985="",FALSE,TRUE),OR(exact(Metadata!E985,"not collected"),exact(Metadata!E985,"not provided"),exact(Metadata!E985,"restricted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R985">
        <f>IF(Metadata!F985="",FALSE,TRUE)</f>
        <v>0</v>
      </c>
      <c r="AS985">
        <f>OR(AND(IF(Metadata!G985="",FALSE,TRUE),OR(exact(Metadata!G985,"not collected"),exact(Metadata!G985,"not provided"))),AND(IF(Metadata!G985="",FALSE,TRUE),OR(exact(Metadata!G985,"TRUE"),exact(Metadata!G985,"FALSE"))))</f>
        <v>0</v>
      </c>
      <c r="AT985">
        <f>OR(AND(IF(Metadata!H985="",FALSE,TRUE),OR(exact(Metadata!H985,"not collected"),exact(Metadata!H985,"not provided"),exact(Metadata!H985,"restricted access"))),AND(IF(Metadata!H985="",FALSE,ISNUMBER(VALUE(Metadata!H985))),Metadata!H985&gt;=-413.0))</f>
        <v>0</v>
      </c>
      <c r="AU985">
        <f>AND(IF(Metadata!I985="",FALSE,TRUE),exact(Metadata!I985,"meters"))</f>
        <v>0</v>
      </c>
      <c r="AV985">
        <f>AND(IF(Metadata!J985="",FALSE,TRUE),OR(exact(Metadata!J985,"Host-associated"),exact(Metadata!J985,"Free-living")))</f>
        <v>0</v>
      </c>
      <c r="AW985">
        <f>AND(IF(Metadata!K985="",FALSE,TRUE),OR(exact(Metadata!K985,"Animal"),exact(Metadata!K985,"Fungus"),exact(Metadata!K985,"Plant"),exact(Metadata!K985,"Saline"),exact(Metadata!K985,"Non-saline")))</f>
        <v>0</v>
      </c>
      <c r="AX985">
        <f>AND(IF(Metadata!L985="",FALSE,TRUE),OR(exact(Metadata!L985,"Plant secretion"),exact(Metadata!L985,"Plant rhizosphere"),exact(Metadata!L985,"Plant surface"),exact(Metadata!L985,"Plant corpus"),exact(Metadata!L985,"Fungus surface"),exact(Metadata!L985,"Fungus corpus"),exact(Metadata!L985,"Animal surface"),exact(Metadata!L985,"Animal proximal gut"),exact(Metadata!L985,"Animal corpus"),exact(Metadata!L985,"Animal distal gut"),exact(Metadata!L985,"Animal secretion"),exact(Metadata!L985,"Sub-surface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Y985">
        <f>IF(Metadata!M985="",FALSE,TRUE)</f>
        <v>0</v>
      </c>
      <c r="AZ985">
        <f>IF(Metadata!N985="",FALSE,TRUE)</f>
        <v>0</v>
      </c>
      <c r="BA985">
        <f>IF(Metadata!O985="",FALSE,TRUE)</f>
        <v>0</v>
      </c>
      <c r="BB985">
        <f>OR(AND(IF(Metadata!P985="",FALSE,TRUE),OR(exact(Metadata!P985,"not collected"),exact(Metadata!P985,"not provided"),exact(Metadata!P985,"restricted access"))),AND(IF(Metadata!P985="",FALSE,TRUE),OR(exact(Metadata!P985,"air"),exact(Metadata!P985,"built environment"),exact(Metadata!P985,"host-associated"),exact(Metadata!P985,"human-associated"),exact(Metadata!P985,"human-skin"),exact(Metadata!P985,"human-oral"),exact(Metadata!P985,"human-gut"),exact(Metadata!P985,"human-vaginal"),exact(Metadata!P985,"microbial mat/biofilm"),exact(Metadata!P985,"misc environment"),exact(Metadata!P985,"plant-associated"),exact(Metadata!P985,"sediment"),exact(Metadata!P985,"soil"),exact(Metadata!P985,"wastewater/sludge"),exact(Metadata!P985,"water"))))</f>
        <v>0</v>
      </c>
      <c r="BC985">
        <f>IF(Metadata!Q985="",FALSE,TRUE)</f>
        <v>0</v>
      </c>
      <c r="BD985">
        <f>IF(Metadata!R985="",FALSE,TRUE)</f>
        <v>0</v>
      </c>
      <c r="BE985">
        <f>OR(AND(IF(Metadata!S985="",FALSE,TRUE),OR(exact(Metadata!S985,"not collected"),exact(Metadata!S985,"not provided"),exact(Metadata!S985,"restricted access"))),AND(IF(Metadata!S985="",FALSE,ISNUMBER(VALUE(Metadata!S985))),Metadata!S985&gt;=-90.00,Metadata!S985&lt;=90.00))</f>
        <v>0</v>
      </c>
      <c r="BF985">
        <f>AND(IF(Metadata!T985="",FALSE,TRUE),exact(Metadata!T985,"Decimal degrees"))</f>
        <v>0</v>
      </c>
      <c r="BG985">
        <f>OR(AND(IF(Metadata!U985="",FALSE,TRUE),OR(exact(Metadata!U985,"not collected"),exact(Metadata!U985,"not provided"),exact(Metadata!U985,"restricted access"))),AND(IF(Metadata!U985="",FALSE,ISNUMBER(VALUE(Metadata!U985))),Metadata!U985&gt;=-180.00,Metadata!U985&lt;=180.00))</f>
        <v>0</v>
      </c>
      <c r="BH985">
        <f>AND(IF(Metadata!V985="",FALSE,TRUE),exact(Metadata!V985,"Decimal degrees"))</f>
        <v>0</v>
      </c>
      <c r="BI985">
        <f>IF(Metadata!W985="",FALSE,TRUE)</f>
        <v>0</v>
      </c>
      <c r="BJ985">
        <f>OR(AND(IF(Metadata!X985="",FALSE,TRUE),OR(exact(Metadata!X985,"not collected"),exact(Metadata!X985,"not provided"),exact(Metadata!X985,"restricted access"))),AND(IF(Metadata!X985="",FALSE,TRUE),OR(exact(Metadata!X985,"TRUE"),exact(Metadata!X985,"FALSE"))))</f>
        <v>0</v>
      </c>
      <c r="BK985">
        <f>AND(IF(Metadata!Y985="",FALSE,TRUE),exact(Metadata!Y985,"other"))</f>
        <v>0</v>
      </c>
      <c r="BL985">
        <f>IF(Metadata!Z985="",FALSE,TRUE)</f>
        <v>0</v>
      </c>
      <c r="BM985">
        <f>OR(AND(IF(Metadata!AA985="",FALSE,TRUE),OR(exact(Metadata!AA985,"not collected"),exact(Metadata!AA985,"not provided"))),AND(IF(Metadata!AA985="",FALSE,IF(ISERROR(INT(Metadata!AA985)),FALSE,INT(Metadata!AA985)=Metadata!AA985)),Metadata!AA985&gt;0))</f>
        <v>0</v>
      </c>
      <c r="BN985">
        <f>AND(IF(Metadata!AB985="",FALSE,TRUE),exact(Metadata!AB985,"Not applicable"))</f>
        <v>0</v>
      </c>
      <c r="BO985">
        <f>IF(Metadata!AC985="",FALSE,TRUE)</f>
        <v>0</v>
      </c>
    </row>
    <row r="986" spans="1:67">
      <c r="A986" s="5">
        <f>IF(B986=" "," ",HYPERLINK(CONCATENATE("#metadata!",ADDRESS(INDEX($AI$2:$AI$1001,MATCH(ROWS($AG$2:AG986),$AG$2:$AG$1001,0),0),1)),INDEX($AL$2:$AL$1001,MATCH(ROWS($AG$2:AG986),$AG$2:$AG$1001,0),0)))</f>
        <v>0</v>
      </c>
      <c r="B986" s="4">
        <f>IF(OR(INDEX($AH$2:$AH$1001,MATCH(ROWS($AG$2:AG986),$AG$2:$AG$1001,0),1)&gt;=100000,INDEX($AN$1005:$BO$1005,1,MATCH(COLUMNS($AN$1006:AN1006),$AN$1006:$BO$1006,0))&gt;=100000), " ",IF(INDEX($AN$2:$BO$1001,MATCH(ROWS($AG$2:AG986),$AG$2:$AG$1001,0),MATCH(COLUMNS($AN$1006:AN1006),$AN$1006:$BO$1006,0)), HYPERLINK("#",""), HYPERLINK(CONCATENATE("#Metadata!", ADDRESS(INDEX($AI$2:$AI$1001,MATCH(ROWS($AG$2:AG986),$AG$2:$AG$1001,0),0), INDEX($AN$1004:$BO$1004,1,MATCH(COLUMNS($AN$1006:AN1006),$AN$1006:$BO$1006,0)))),"Fix")))</f>
        <v>0</v>
      </c>
      <c r="C986" s="4">
        <f>IF(OR(INDEX($AH$2:$AH$1001,MATCH(ROWS($AG$2:AG986),$AG$2:$AG$1001,0),1)&gt;=100000,INDEX($AN$1005:$BO$1005,1,MATCH(COLUMNS($AN$1006:AO1006),$AN$1006:$BO$1006,0))&gt;=100000), " ",IF(INDEX($AN$2:$BO$1001,MATCH(ROWS($AG$2:AG986),$AG$2:$AG$1001,0),MATCH(COLUMNS($AN$1006:AO1006),$AN$1006:$BO$1006,0)), HYPERLINK("#",""), HYPERLINK(CONCATENATE("#Metadata!", ADDRESS(INDEX($AI$2:$AI$1001,MATCH(ROWS($AG$2:AG986),$AG$2:$AG$1001,0),0), INDEX($AN$1004:$BO$1004,1,MATCH(COLUMNS($AN$1006:AO1006),$AN$1006:$BO$1006,0)))),"Fix")))</f>
        <v>0</v>
      </c>
      <c r="D986" s="4">
        <f>IF(OR(INDEX($AH$2:$AH$1001,MATCH(ROWS($AG$2:AG986),$AG$2:$AG$1001,0),1)&gt;=100000,INDEX($AN$1005:$BO$1005,1,MATCH(COLUMNS($AN$1006:AP1006),$AN$1006:$BO$1006,0))&gt;=100000), " ",IF(INDEX($AN$2:$BO$1001,MATCH(ROWS($AG$2:AG986),$AG$2:$AG$1001,0),MATCH(COLUMNS($AN$1006:AP1006),$AN$1006:$BO$1006,0)), HYPERLINK("#",""), HYPERLINK(CONCATENATE("#Metadata!", ADDRESS(INDEX($AI$2:$AI$1001,MATCH(ROWS($AG$2:AG986),$AG$2:$AG$1001,0),0), INDEX($AN$1004:$BO$1004,1,MATCH(COLUMNS($AN$1006:AP1006),$AN$1006:$BO$1006,0)))),"Fix")))</f>
        <v>0</v>
      </c>
      <c r="E986" s="4">
        <f>IF(OR(INDEX($AH$2:$AH$1001,MATCH(ROWS($AG$2:AG986),$AG$2:$AG$1001,0),1)&gt;=100000,INDEX($AN$1005:$BO$1005,1,MATCH(COLUMNS($AN$1006:AQ1006),$AN$1006:$BO$1006,0))&gt;=100000), " ",IF(INDEX($AN$2:$BO$1001,MATCH(ROWS($AG$2:AG986),$AG$2:$AG$1001,0),MATCH(COLUMNS($AN$1006:AQ1006),$AN$1006:$BO$1006,0)), HYPERLINK("#",""), HYPERLINK(CONCATENATE("#Metadata!", ADDRESS(INDEX($AI$2:$AI$1001,MATCH(ROWS($AG$2:AG986),$AG$2:$AG$1001,0),0), INDEX($AN$1004:$BO$1004,1,MATCH(COLUMNS($AN$1006:AQ1006),$AN$1006:$BO$1006,0)))),"Fix")))</f>
        <v>0</v>
      </c>
      <c r="F986" s="4">
        <f>IF(OR(INDEX($AH$2:$AH$1001,MATCH(ROWS($AG$2:AG986),$AG$2:$AG$1001,0),1)&gt;=100000,INDEX($AN$1005:$BO$1005,1,MATCH(COLUMNS($AN$1006:AR1006),$AN$1006:$BO$1006,0))&gt;=100000), " ",IF(INDEX($AN$2:$BO$1001,MATCH(ROWS($AG$2:AG986),$AG$2:$AG$1001,0),MATCH(COLUMNS($AN$1006:AR1006),$AN$1006:$BO$1006,0)), HYPERLINK("#",""), HYPERLINK(CONCATENATE("#Metadata!", ADDRESS(INDEX($AI$2:$AI$1001,MATCH(ROWS($AG$2:AG986),$AG$2:$AG$1001,0),0), INDEX($AN$1004:$BO$1004,1,MATCH(COLUMNS($AN$1006:AR1006),$AN$1006:$BO$1006,0)))),"Fix")))</f>
        <v>0</v>
      </c>
      <c r="G986" s="4">
        <f>IF(OR(INDEX($AH$2:$AH$1001,MATCH(ROWS($AG$2:AG986),$AG$2:$AG$1001,0),1)&gt;=100000,INDEX($AN$1005:$BO$1005,1,MATCH(COLUMNS($AN$1006:AS1006),$AN$1006:$BO$1006,0))&gt;=100000), " ",IF(INDEX($AN$2:$BO$1001,MATCH(ROWS($AG$2:AG986),$AG$2:$AG$1001,0),MATCH(COLUMNS($AN$1006:AS1006),$AN$1006:$BO$1006,0)), HYPERLINK("#",""), HYPERLINK(CONCATENATE("#Metadata!", ADDRESS(INDEX($AI$2:$AI$1001,MATCH(ROWS($AG$2:AG986),$AG$2:$AG$1001,0),0), INDEX($AN$1004:$BO$1004,1,MATCH(COLUMNS($AN$1006:AS1006),$AN$1006:$BO$1006,0)))),"Fix")))</f>
        <v>0</v>
      </c>
      <c r="H986" s="4">
        <f>IF(OR(INDEX($AH$2:$AH$1001,MATCH(ROWS($AG$2:AG986),$AG$2:$AG$1001,0),1)&gt;=100000,INDEX($AN$1005:$BO$1005,1,MATCH(COLUMNS($AN$1006:AT1006),$AN$1006:$BO$1006,0))&gt;=100000), " ",IF(INDEX($AN$2:$BO$1001,MATCH(ROWS($AG$2:AG986),$AG$2:$AG$1001,0),MATCH(COLUMNS($AN$1006:AT1006),$AN$1006:$BO$1006,0)), HYPERLINK("#",""), HYPERLINK(CONCATENATE("#Metadata!", ADDRESS(INDEX($AI$2:$AI$1001,MATCH(ROWS($AG$2:AG986),$AG$2:$AG$1001,0),0), INDEX($AN$1004:$BO$1004,1,MATCH(COLUMNS($AN$1006:AT1006),$AN$1006:$BO$1006,0)))),"Fix")))</f>
        <v>0</v>
      </c>
      <c r="I986" s="4">
        <f>IF(OR(INDEX($AH$2:$AH$1001,MATCH(ROWS($AG$2:AG986),$AG$2:$AG$1001,0),1)&gt;=100000,INDEX($AN$1005:$BO$1005,1,MATCH(COLUMNS($AN$1006:AU1006),$AN$1006:$BO$1006,0))&gt;=100000), " ",IF(INDEX($AN$2:$BO$1001,MATCH(ROWS($AG$2:AG986),$AG$2:$AG$1001,0),MATCH(COLUMNS($AN$1006:AU1006),$AN$1006:$BO$1006,0)), HYPERLINK("#",""), HYPERLINK(CONCATENATE("#Metadata!", ADDRESS(INDEX($AI$2:$AI$1001,MATCH(ROWS($AG$2:AG986),$AG$2:$AG$1001,0),0), INDEX($AN$1004:$BO$1004,1,MATCH(COLUMNS($AN$1006:AU1006),$AN$1006:$BO$1006,0)))),"Fix")))</f>
        <v>0</v>
      </c>
      <c r="J986" s="4">
        <f>IF(OR(INDEX($AH$2:$AH$1001,MATCH(ROWS($AG$2:AG986),$AG$2:$AG$1001,0),1)&gt;=100000,INDEX($AN$1005:$BO$1005,1,MATCH(COLUMNS($AN$1006:AV1006),$AN$1006:$BO$1006,0))&gt;=100000), " ",IF(INDEX($AN$2:$BO$1001,MATCH(ROWS($AG$2:AG986),$AG$2:$AG$1001,0),MATCH(COLUMNS($AN$1006:AV1006),$AN$1006:$BO$1006,0)), HYPERLINK("#",""), HYPERLINK(CONCATENATE("#Metadata!", ADDRESS(INDEX($AI$2:$AI$1001,MATCH(ROWS($AG$2:AG986),$AG$2:$AG$1001,0),0), INDEX($AN$1004:$BO$1004,1,MATCH(COLUMNS($AN$1006:AV1006),$AN$1006:$BO$1006,0)))),"Fix")))</f>
        <v>0</v>
      </c>
      <c r="K986" s="4">
        <f>IF(OR(INDEX($AH$2:$AH$1001,MATCH(ROWS($AG$2:AG986),$AG$2:$AG$1001,0),1)&gt;=100000,INDEX($AN$1005:$BO$1005,1,MATCH(COLUMNS($AN$1006:AW1006),$AN$1006:$BO$1006,0))&gt;=100000), " ",IF(INDEX($AN$2:$BO$1001,MATCH(ROWS($AG$2:AG986),$AG$2:$AG$1001,0),MATCH(COLUMNS($AN$1006:AW1006),$AN$1006:$BO$1006,0)), HYPERLINK("#",""), HYPERLINK(CONCATENATE("#Metadata!", ADDRESS(INDEX($AI$2:$AI$1001,MATCH(ROWS($AG$2:AG986),$AG$2:$AG$1001,0),0), INDEX($AN$1004:$BO$1004,1,MATCH(COLUMNS($AN$1006:AW1006),$AN$1006:$BO$1006,0)))),"Fix")))</f>
        <v>0</v>
      </c>
      <c r="L986" s="4">
        <f>IF(OR(INDEX($AH$2:$AH$1001,MATCH(ROWS($AG$2:AG986),$AG$2:$AG$1001,0),1)&gt;=100000,INDEX($AN$1005:$BO$1005,1,MATCH(COLUMNS($AN$1006:AX1006),$AN$1006:$BO$1006,0))&gt;=100000), " ",IF(INDEX($AN$2:$BO$1001,MATCH(ROWS($AG$2:AG986),$AG$2:$AG$1001,0),MATCH(COLUMNS($AN$1006:AX1006),$AN$1006:$BO$1006,0)), HYPERLINK("#",""), HYPERLINK(CONCATENATE("#Metadata!", ADDRESS(INDEX($AI$2:$AI$1001,MATCH(ROWS($AG$2:AG986),$AG$2:$AG$1001,0),0), INDEX($AN$1004:$BO$1004,1,MATCH(COLUMNS($AN$1006:AX1006),$AN$1006:$BO$1006,0)))),"Fix")))</f>
        <v>0</v>
      </c>
      <c r="M986" s="4">
        <f>IF(OR(INDEX($AH$2:$AH$1001,MATCH(ROWS($AG$2:AG986),$AG$2:$AG$1001,0),1)&gt;=100000,INDEX($AN$1005:$BO$1005,1,MATCH(COLUMNS($AN$1006:AY1006),$AN$1006:$BO$1006,0))&gt;=100000), " ",IF(INDEX($AN$2:$BO$1001,MATCH(ROWS($AG$2:AG986),$AG$2:$AG$1001,0),MATCH(COLUMNS($AN$1006:AY1006),$AN$1006:$BO$1006,0)), HYPERLINK("#",""), HYPERLINK(CONCATENATE("#Metadata!", ADDRESS(INDEX($AI$2:$AI$1001,MATCH(ROWS($AG$2:AG986),$AG$2:$AG$1001,0),0), INDEX($AN$1004:$BO$1004,1,MATCH(COLUMNS($AN$1006:AY1006),$AN$1006:$BO$1006,0)))),"Fix")))</f>
        <v>0</v>
      </c>
      <c r="N986" s="4">
        <f>IF(OR(INDEX($AH$2:$AH$1001,MATCH(ROWS($AG$2:AG986),$AG$2:$AG$1001,0),1)&gt;=100000,INDEX($AN$1005:$BO$1005,1,MATCH(COLUMNS($AN$1006:AZ1006),$AN$1006:$BO$1006,0))&gt;=100000), " ",IF(INDEX($AN$2:$BO$1001,MATCH(ROWS($AG$2:AG986),$AG$2:$AG$1001,0),MATCH(COLUMNS($AN$1006:AZ1006),$AN$1006:$BO$1006,0)), HYPERLINK("#",""), HYPERLINK(CONCATENATE("#Metadata!", ADDRESS(INDEX($AI$2:$AI$1001,MATCH(ROWS($AG$2:AG986),$AG$2:$AG$1001,0),0), INDEX($AN$1004:$BO$1004,1,MATCH(COLUMNS($AN$1006:AZ1006),$AN$1006:$BO$1006,0)))),"Fix")))</f>
        <v>0</v>
      </c>
      <c r="O986" s="4">
        <f>IF(OR(INDEX($AH$2:$AH$1001,MATCH(ROWS($AG$2:AG986),$AG$2:$AG$1001,0),1)&gt;=100000,INDEX($AN$1005:$BO$1005,1,MATCH(COLUMNS($AN$1006:BA1006),$AN$1006:$BO$1006,0))&gt;=100000), " ",IF(INDEX($AN$2:$BO$1001,MATCH(ROWS($AG$2:AG986),$AG$2:$AG$1001,0),MATCH(COLUMNS($AN$1006:BA1006),$AN$1006:$BO$1006,0)), HYPERLINK("#",""), HYPERLINK(CONCATENATE("#Metadata!", ADDRESS(INDEX($AI$2:$AI$1001,MATCH(ROWS($AG$2:AG986),$AG$2:$AG$1001,0),0), INDEX($AN$1004:$BO$1004,1,MATCH(COLUMNS($AN$1006:BA1006),$AN$1006:$BO$1006,0)))),"Fix")))</f>
        <v>0</v>
      </c>
      <c r="P986" s="4">
        <f>IF(OR(INDEX($AH$2:$AH$1001,MATCH(ROWS($AG$2:AG986),$AG$2:$AG$1001,0),1)&gt;=100000,INDEX($AN$1005:$BO$1005,1,MATCH(COLUMNS($AN$1006:BB1006),$AN$1006:$BO$1006,0))&gt;=100000), " ",IF(INDEX($AN$2:$BO$1001,MATCH(ROWS($AG$2:AG986),$AG$2:$AG$1001,0),MATCH(COLUMNS($AN$1006:BB1006),$AN$1006:$BO$1006,0)), HYPERLINK("#",""), HYPERLINK(CONCATENATE("#Metadata!", ADDRESS(INDEX($AI$2:$AI$1001,MATCH(ROWS($AG$2:AG986),$AG$2:$AG$1001,0),0), INDEX($AN$1004:$BO$1004,1,MATCH(COLUMNS($AN$1006:BB1006),$AN$1006:$BO$1006,0)))),"Fix")))</f>
        <v>0</v>
      </c>
      <c r="Q986" s="4">
        <f>IF(OR(INDEX($AH$2:$AH$1001,MATCH(ROWS($AG$2:AG986),$AG$2:$AG$1001,0),1)&gt;=100000,INDEX($AN$1005:$BO$1005,1,MATCH(COLUMNS($AN$1006:BC1006),$AN$1006:$BO$1006,0))&gt;=100000), " ",IF(INDEX($AN$2:$BO$1001,MATCH(ROWS($AG$2:AG986),$AG$2:$AG$1001,0),MATCH(COLUMNS($AN$1006:BC1006),$AN$1006:$BO$1006,0)), HYPERLINK("#",""), HYPERLINK(CONCATENATE("#Metadata!", ADDRESS(INDEX($AI$2:$AI$1001,MATCH(ROWS($AG$2:AG986),$AG$2:$AG$1001,0),0), INDEX($AN$1004:$BO$1004,1,MATCH(COLUMNS($AN$1006:BC1006),$AN$1006:$BO$1006,0)))),"Fix")))</f>
        <v>0</v>
      </c>
      <c r="R986" s="4">
        <f>IF(OR(INDEX($AH$2:$AH$1001,MATCH(ROWS($AG$2:AG986),$AG$2:$AG$1001,0),1)&gt;=100000,INDEX($AN$1005:$BO$1005,1,MATCH(COLUMNS($AN$1006:BD1006),$AN$1006:$BO$1006,0))&gt;=100000), " ",IF(INDEX($AN$2:$BO$1001,MATCH(ROWS($AG$2:AG986),$AG$2:$AG$1001,0),MATCH(COLUMNS($AN$1006:BD1006),$AN$1006:$BO$1006,0)), HYPERLINK("#",""), HYPERLINK(CONCATENATE("#Metadata!", ADDRESS(INDEX($AI$2:$AI$1001,MATCH(ROWS($AG$2:AG986),$AG$2:$AG$1001,0),0), INDEX($AN$1004:$BO$1004,1,MATCH(COLUMNS($AN$1006:BD1006),$AN$1006:$BO$1006,0)))),"Fix")))</f>
        <v>0</v>
      </c>
      <c r="S986" s="4">
        <f>IF(OR(INDEX($AH$2:$AH$1001,MATCH(ROWS($AG$2:AG986),$AG$2:$AG$1001,0),1)&gt;=100000,INDEX($AN$1005:$BO$1005,1,MATCH(COLUMNS($AN$1006:BE1006),$AN$1006:$BO$1006,0))&gt;=100000), " ",IF(INDEX($AN$2:$BO$1001,MATCH(ROWS($AG$2:AG986),$AG$2:$AG$1001,0),MATCH(COLUMNS($AN$1006:BE1006),$AN$1006:$BO$1006,0)), HYPERLINK("#",""), HYPERLINK(CONCATENATE("#Metadata!", ADDRESS(INDEX($AI$2:$AI$1001,MATCH(ROWS($AG$2:AG986),$AG$2:$AG$1001,0),0), INDEX($AN$1004:$BO$1004,1,MATCH(COLUMNS($AN$1006:BE1006),$AN$1006:$BO$1006,0)))),"Fix")))</f>
        <v>0</v>
      </c>
      <c r="T986" s="4">
        <f>IF(OR(INDEX($AH$2:$AH$1001,MATCH(ROWS($AG$2:AG986),$AG$2:$AG$1001,0),1)&gt;=100000,INDEX($AN$1005:$BO$1005,1,MATCH(COLUMNS($AN$1006:BF1006),$AN$1006:$BO$1006,0))&gt;=100000), " ",IF(INDEX($AN$2:$BO$1001,MATCH(ROWS($AG$2:AG986),$AG$2:$AG$1001,0),MATCH(COLUMNS($AN$1006:BF1006),$AN$1006:$BO$1006,0)), HYPERLINK("#",""), HYPERLINK(CONCATENATE("#Metadata!", ADDRESS(INDEX($AI$2:$AI$1001,MATCH(ROWS($AG$2:AG986),$AG$2:$AG$1001,0),0), INDEX($AN$1004:$BO$1004,1,MATCH(COLUMNS($AN$1006:BF1006),$AN$1006:$BO$1006,0)))),"Fix")))</f>
        <v>0</v>
      </c>
      <c r="U986" s="4">
        <f>IF(OR(INDEX($AH$2:$AH$1001,MATCH(ROWS($AG$2:AG986),$AG$2:$AG$1001,0),1)&gt;=100000,INDEX($AN$1005:$BO$1005,1,MATCH(COLUMNS($AN$1006:BG1006),$AN$1006:$BO$1006,0))&gt;=100000), " ",IF(INDEX($AN$2:$BO$1001,MATCH(ROWS($AG$2:AG986),$AG$2:$AG$1001,0),MATCH(COLUMNS($AN$1006:BG1006),$AN$1006:$BO$1006,0)), HYPERLINK("#",""), HYPERLINK(CONCATENATE("#Metadata!", ADDRESS(INDEX($AI$2:$AI$1001,MATCH(ROWS($AG$2:AG986),$AG$2:$AG$1001,0),0), INDEX($AN$1004:$BO$1004,1,MATCH(COLUMNS($AN$1006:BG1006),$AN$1006:$BO$1006,0)))),"Fix")))</f>
        <v>0</v>
      </c>
      <c r="V986" s="4">
        <f>IF(OR(INDEX($AH$2:$AH$1001,MATCH(ROWS($AG$2:AG986),$AG$2:$AG$1001,0),1)&gt;=100000,INDEX($AN$1005:$BO$1005,1,MATCH(COLUMNS($AN$1006:BH1006),$AN$1006:$BO$1006,0))&gt;=100000), " ",IF(INDEX($AN$2:$BO$1001,MATCH(ROWS($AG$2:AG986),$AG$2:$AG$1001,0),MATCH(COLUMNS($AN$1006:BH1006),$AN$1006:$BO$1006,0)), HYPERLINK("#",""), HYPERLINK(CONCATENATE("#Metadata!", ADDRESS(INDEX($AI$2:$AI$1001,MATCH(ROWS($AG$2:AG986),$AG$2:$AG$1001,0),0), INDEX($AN$1004:$BO$1004,1,MATCH(COLUMNS($AN$1006:BH1006),$AN$1006:$BO$1006,0)))),"Fix")))</f>
        <v>0</v>
      </c>
      <c r="W986" s="4">
        <f>IF(OR(INDEX($AH$2:$AH$1001,MATCH(ROWS($AG$2:AG986),$AG$2:$AG$1001,0),1)&gt;=100000,INDEX($AN$1005:$BO$1005,1,MATCH(COLUMNS($AN$1006:BI1006),$AN$1006:$BO$1006,0))&gt;=100000), " ",IF(INDEX($AN$2:$BO$1001,MATCH(ROWS($AG$2:AG986),$AG$2:$AG$1001,0),MATCH(COLUMNS($AN$1006:BI1006),$AN$1006:$BO$1006,0)), HYPERLINK("#",""), HYPERLINK(CONCATENATE("#Metadata!", ADDRESS(INDEX($AI$2:$AI$1001,MATCH(ROWS($AG$2:AG986),$AG$2:$AG$1001,0),0), INDEX($AN$1004:$BO$1004,1,MATCH(COLUMNS($AN$1006:BI1006),$AN$1006:$BO$1006,0)))),"Fix")))</f>
        <v>0</v>
      </c>
      <c r="X986" s="4">
        <f>IF(OR(INDEX($AH$2:$AH$1001,MATCH(ROWS($AG$2:AG986),$AG$2:$AG$1001,0),1)&gt;=100000,INDEX($AN$1005:$BO$1005,1,MATCH(COLUMNS($AN$1006:BJ1006),$AN$1006:$BO$1006,0))&gt;=100000), " ",IF(INDEX($AN$2:$BO$1001,MATCH(ROWS($AG$2:AG986),$AG$2:$AG$1001,0),MATCH(COLUMNS($AN$1006:BJ1006),$AN$1006:$BO$1006,0)), HYPERLINK("#",""), HYPERLINK(CONCATENATE("#Metadata!", ADDRESS(INDEX($AI$2:$AI$1001,MATCH(ROWS($AG$2:AG986),$AG$2:$AG$1001,0),0), INDEX($AN$1004:$BO$1004,1,MATCH(COLUMNS($AN$1006:BJ1006),$AN$1006:$BO$1006,0)))),"Fix")))</f>
        <v>0</v>
      </c>
      <c r="Y986" s="4">
        <f>IF(OR(INDEX($AH$2:$AH$1001,MATCH(ROWS($AG$2:AG986),$AG$2:$AG$1001,0),1)&gt;=100000,INDEX($AN$1005:$BO$1005,1,MATCH(COLUMNS($AN$1006:BK1006),$AN$1006:$BO$1006,0))&gt;=100000), " ",IF(INDEX($AN$2:$BO$1001,MATCH(ROWS($AG$2:AG986),$AG$2:$AG$1001,0),MATCH(COLUMNS($AN$1006:BK1006),$AN$1006:$BO$1006,0)), HYPERLINK("#",""), HYPERLINK(CONCATENATE("#Metadata!", ADDRESS(INDEX($AI$2:$AI$1001,MATCH(ROWS($AG$2:AG986),$AG$2:$AG$1001,0),0), INDEX($AN$1004:$BO$1004,1,MATCH(COLUMNS($AN$1006:BK1006),$AN$1006:$BO$1006,0)))),"Fix")))</f>
        <v>0</v>
      </c>
      <c r="Z986" s="4">
        <f>IF(OR(INDEX($AH$2:$AH$1001,MATCH(ROWS($AG$2:AG986),$AG$2:$AG$1001,0),1)&gt;=100000,INDEX($AN$1005:$BO$1005,1,MATCH(COLUMNS($AN$1006:BL1006),$AN$1006:$BO$1006,0))&gt;=100000), " ",IF(INDEX($AN$2:$BO$1001,MATCH(ROWS($AG$2:AG986),$AG$2:$AG$1001,0),MATCH(COLUMNS($AN$1006:BL1006),$AN$1006:$BO$1006,0)), HYPERLINK("#",""), HYPERLINK(CONCATENATE("#Metadata!", ADDRESS(INDEX($AI$2:$AI$1001,MATCH(ROWS($AG$2:AG986),$AG$2:$AG$1001,0),0), INDEX($AN$1004:$BO$1004,1,MATCH(COLUMNS($AN$1006:BL1006),$AN$1006:$BO$1006,0)))),"Fix")))</f>
        <v>0</v>
      </c>
      <c r="AA986" s="4">
        <f>IF(OR(INDEX($AH$2:$AH$1001,MATCH(ROWS($AG$2:AG986),$AG$2:$AG$1001,0),1)&gt;=100000,INDEX($AN$1005:$BO$1005,1,MATCH(COLUMNS($AN$1006:BM1006),$AN$1006:$BO$1006,0))&gt;=100000), " ",IF(INDEX($AN$2:$BO$1001,MATCH(ROWS($AG$2:AG986),$AG$2:$AG$1001,0),MATCH(COLUMNS($AN$1006:BM1006),$AN$1006:$BO$1006,0)), HYPERLINK("#",""), HYPERLINK(CONCATENATE("#Metadata!", ADDRESS(INDEX($AI$2:$AI$1001,MATCH(ROWS($AG$2:AG986),$AG$2:$AG$1001,0),0), INDEX($AN$1004:$BO$1004,1,MATCH(COLUMNS($AN$1006:BM1006),$AN$1006:$BO$1006,0)))),"Fix")))</f>
        <v>0</v>
      </c>
      <c r="AB986" s="4">
        <f>IF(OR(INDEX($AH$2:$AH$1001,MATCH(ROWS($AG$2:AG986),$AG$2:$AG$1001,0),1)&gt;=100000,INDEX($AN$1005:$BO$1005,1,MATCH(COLUMNS($AN$1006:BN1006),$AN$1006:$BO$1006,0))&gt;=100000), " ",IF(INDEX($AN$2:$BO$1001,MATCH(ROWS($AG$2:AG986),$AG$2:$AG$1001,0),MATCH(COLUMNS($AN$1006:BN1006),$AN$1006:$BO$1006,0)), HYPERLINK("#",""), HYPERLINK(CONCATENATE("#Metadata!", ADDRESS(INDEX($AI$2:$AI$1001,MATCH(ROWS($AG$2:AG986),$AG$2:$AG$1001,0),0), INDEX($AN$1004:$BO$1004,1,MATCH(COLUMNS($AN$1006:BN1006),$AN$1006:$BO$1006,0)))),"Fix")))</f>
        <v>0</v>
      </c>
      <c r="AC986" s="4">
        <f>IF(OR(INDEX($AH$2:$AH$1001,MATCH(ROWS($AG$2:AG986),$AG$2:$AG$1001,0),1)&gt;=100000,INDEX($AN$1005:$BO$1005,1,MATCH(COLUMNS($AN$1006:BO1006),$AN$1006:$BO$1006,0))&gt;=100000), " ",IF(INDEX($AN$2:$BO$1001,MATCH(ROWS($AG$2:AG986),$AG$2:$AG$1001,0),MATCH(COLUMNS($AN$1006:BO1006),$AN$1006:$BO$1006,0)), HYPERLINK("#",""), HYPERLINK(CONCATENATE("#Metadata!", ADDRESS(INDEX($AI$2:$AI$1001,MATCH(ROWS($AG$2:AG986),$AG$2:$AG$1001,0),0), INDEX($AN$1004:$BO$1004,1,MATCH(COLUMNS($AN$1006:BO1006),$AN$1006:$BO$1006,0)))),"Fix")))</f>
        <v>0</v>
      </c>
      <c r="AG986">
        <v>0</v>
      </c>
      <c r="AH986">
        <v>0</v>
      </c>
      <c r="AI986">
        <v>0</v>
      </c>
      <c r="AJ986">
        <f>IF(AK986,TRUE,AND(AN986:BO986))</f>
        <v>0</v>
      </c>
      <c r="AK986">
        <f>COUNTBLANK(Metadata!B986:AC986)=COLUMNS(Metadata!B986:AC986)</f>
        <v>0</v>
      </c>
      <c r="AL986">
        <v>0</v>
      </c>
      <c r="AN986">
        <f>AND(IF(Metadata!B986="",FALSE,TRUE),COUNTIF(Metadata!B:B, Metadata!B986) = 1,NOT(ISERROR(SUMPRODUCT(SEARCH(MID(Metadata!B986,ROW(INDIRECT("1:"&amp;LEN(Metadata!B986))), 1),"0123456789abcdefghijklmnopqrstuvwxyzABCDEFGHIJKLMNOPQRSTUVWXYZ.")))))</f>
        <v>0</v>
      </c>
      <c r="AO986">
        <f>IF(Metadata!C986="",FALSE,TRUE)</f>
        <v>0</v>
      </c>
      <c r="AP986">
        <f>IF(Metadata!D986="",FALSE,TRUE)</f>
        <v>0</v>
      </c>
      <c r="AQ986">
        <f>OR(AND(IF(Metadata!E986="",FALSE,TRUE),OR(exact(Metadata!E986,"not collected"),exact(Metadata!E986,"not provided"),exact(Metadata!E986,"restricted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R986">
        <f>IF(Metadata!F986="",FALSE,TRUE)</f>
        <v>0</v>
      </c>
      <c r="AS986">
        <f>OR(AND(IF(Metadata!G986="",FALSE,TRUE),OR(exact(Metadata!G986,"not collected"),exact(Metadata!G986,"not provided"))),AND(IF(Metadata!G986="",FALSE,TRUE),OR(exact(Metadata!G986,"TRUE"),exact(Metadata!G986,"FALSE"))))</f>
        <v>0</v>
      </c>
      <c r="AT986">
        <f>OR(AND(IF(Metadata!H986="",FALSE,TRUE),OR(exact(Metadata!H986,"not collected"),exact(Metadata!H986,"not provided"),exact(Metadata!H986,"restricted access"))),AND(IF(Metadata!H986="",FALSE,ISNUMBER(VALUE(Metadata!H986))),Metadata!H986&gt;=-413.0))</f>
        <v>0</v>
      </c>
      <c r="AU986">
        <f>AND(IF(Metadata!I986="",FALSE,TRUE),exact(Metadata!I986,"meters"))</f>
        <v>0</v>
      </c>
      <c r="AV986">
        <f>AND(IF(Metadata!J986="",FALSE,TRUE),OR(exact(Metadata!J986,"Host-associated"),exact(Metadata!J986,"Free-living")))</f>
        <v>0</v>
      </c>
      <c r="AW986">
        <f>AND(IF(Metadata!K986="",FALSE,TRUE),OR(exact(Metadata!K986,"Animal"),exact(Metadata!K986,"Fungus"),exact(Metadata!K986,"Plant"),exact(Metadata!K986,"Saline"),exact(Metadata!K986,"Non-saline")))</f>
        <v>0</v>
      </c>
      <c r="AX986">
        <f>AND(IF(Metadata!L986="",FALSE,TRUE),OR(exact(Metadata!L986,"Plant secretion"),exact(Metadata!L986,"Plant rhizosphere"),exact(Metadata!L986,"Plant surface"),exact(Metadata!L986,"Plant corpus"),exact(Metadata!L986,"Fungus surface"),exact(Metadata!L986,"Fungus corpus"),exact(Metadata!L986,"Animal surface"),exact(Metadata!L986,"Animal proximal gut"),exact(Metadata!L986,"Animal corpus"),exact(Metadata!L986,"Animal distal gut"),exact(Metadata!L986,"Animal secretion"),exact(Metadata!L986,"Sub-surface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Y986">
        <f>IF(Metadata!M986="",FALSE,TRUE)</f>
        <v>0</v>
      </c>
      <c r="AZ986">
        <f>IF(Metadata!N986="",FALSE,TRUE)</f>
        <v>0</v>
      </c>
      <c r="BA986">
        <f>IF(Metadata!O986="",FALSE,TRUE)</f>
        <v>0</v>
      </c>
      <c r="BB986">
        <f>OR(AND(IF(Metadata!P986="",FALSE,TRUE),OR(exact(Metadata!P986,"not collected"),exact(Metadata!P986,"not provided"),exact(Metadata!P986,"restricted access"))),AND(IF(Metadata!P986="",FALSE,TRUE),OR(exact(Metadata!P986,"air"),exact(Metadata!P986,"built environment"),exact(Metadata!P986,"host-associated"),exact(Metadata!P986,"human-associated"),exact(Metadata!P986,"human-skin"),exact(Metadata!P986,"human-oral"),exact(Metadata!P986,"human-gut"),exact(Metadata!P986,"human-vaginal"),exact(Metadata!P986,"microbial mat/biofilm"),exact(Metadata!P986,"misc environment"),exact(Metadata!P986,"plant-associated"),exact(Metadata!P986,"sediment"),exact(Metadata!P986,"soil"),exact(Metadata!P986,"wastewater/sludge"),exact(Metadata!P986,"water"))))</f>
        <v>0</v>
      </c>
      <c r="BC986">
        <f>IF(Metadata!Q986="",FALSE,TRUE)</f>
        <v>0</v>
      </c>
      <c r="BD986">
        <f>IF(Metadata!R986="",FALSE,TRUE)</f>
        <v>0</v>
      </c>
      <c r="BE986">
        <f>OR(AND(IF(Metadata!S986="",FALSE,TRUE),OR(exact(Metadata!S986,"not collected"),exact(Metadata!S986,"not provided"),exact(Metadata!S986,"restricted access"))),AND(IF(Metadata!S986="",FALSE,ISNUMBER(VALUE(Metadata!S986))),Metadata!S986&gt;=-90.00,Metadata!S986&lt;=90.00))</f>
        <v>0</v>
      </c>
      <c r="BF986">
        <f>AND(IF(Metadata!T986="",FALSE,TRUE),exact(Metadata!T986,"Decimal degrees"))</f>
        <v>0</v>
      </c>
      <c r="BG986">
        <f>OR(AND(IF(Metadata!U986="",FALSE,TRUE),OR(exact(Metadata!U986,"not collected"),exact(Metadata!U986,"not provided"),exact(Metadata!U986,"restricted access"))),AND(IF(Metadata!U986="",FALSE,ISNUMBER(VALUE(Metadata!U986))),Metadata!U986&gt;=-180.00,Metadata!U986&lt;=180.00))</f>
        <v>0</v>
      </c>
      <c r="BH986">
        <f>AND(IF(Metadata!V986="",FALSE,TRUE),exact(Metadata!V986,"Decimal degrees"))</f>
        <v>0</v>
      </c>
      <c r="BI986">
        <f>IF(Metadata!W986="",FALSE,TRUE)</f>
        <v>0</v>
      </c>
      <c r="BJ986">
        <f>OR(AND(IF(Metadata!X986="",FALSE,TRUE),OR(exact(Metadata!X986,"not collected"),exact(Metadata!X986,"not provided"),exact(Metadata!X986,"restricted access"))),AND(IF(Metadata!X986="",FALSE,TRUE),OR(exact(Metadata!X986,"TRUE"),exact(Metadata!X986,"FALSE"))))</f>
        <v>0</v>
      </c>
      <c r="BK986">
        <f>AND(IF(Metadata!Y986="",FALSE,TRUE),exact(Metadata!Y986,"other"))</f>
        <v>0</v>
      </c>
      <c r="BL986">
        <f>IF(Metadata!Z986="",FALSE,TRUE)</f>
        <v>0</v>
      </c>
      <c r="BM986">
        <f>OR(AND(IF(Metadata!AA986="",FALSE,TRUE),OR(exact(Metadata!AA986,"not collected"),exact(Metadata!AA986,"not provided"))),AND(IF(Metadata!AA986="",FALSE,IF(ISERROR(INT(Metadata!AA986)),FALSE,INT(Metadata!AA986)=Metadata!AA986)),Metadata!AA986&gt;0))</f>
        <v>0</v>
      </c>
      <c r="BN986">
        <f>AND(IF(Metadata!AB986="",FALSE,TRUE),exact(Metadata!AB986,"Not applicable"))</f>
        <v>0</v>
      </c>
      <c r="BO986">
        <f>IF(Metadata!AC986="",FALSE,TRUE)</f>
        <v>0</v>
      </c>
    </row>
    <row r="987" spans="1:67">
      <c r="A987" s="5">
        <f>IF(B987=" "," ",HYPERLINK(CONCATENATE("#metadata!",ADDRESS(INDEX($AI$2:$AI$1001,MATCH(ROWS($AG$2:AG987),$AG$2:$AG$1001,0),0),1)),INDEX($AL$2:$AL$1001,MATCH(ROWS($AG$2:AG987),$AG$2:$AG$1001,0),0)))</f>
        <v>0</v>
      </c>
      <c r="B987" s="4">
        <f>IF(OR(INDEX($AH$2:$AH$1001,MATCH(ROWS($AG$2:AG987),$AG$2:$AG$1001,0),1)&gt;=100000,INDEX($AN$1005:$BO$1005,1,MATCH(COLUMNS($AN$1006:AN1006),$AN$1006:$BO$1006,0))&gt;=100000), " ",IF(INDEX($AN$2:$BO$1001,MATCH(ROWS($AG$2:AG987),$AG$2:$AG$1001,0),MATCH(COLUMNS($AN$1006:AN1006),$AN$1006:$BO$1006,0)), HYPERLINK("#",""), HYPERLINK(CONCATENATE("#Metadata!", ADDRESS(INDEX($AI$2:$AI$1001,MATCH(ROWS($AG$2:AG987),$AG$2:$AG$1001,0),0), INDEX($AN$1004:$BO$1004,1,MATCH(COLUMNS($AN$1006:AN1006),$AN$1006:$BO$1006,0)))),"Fix")))</f>
        <v>0</v>
      </c>
      <c r="C987" s="4">
        <f>IF(OR(INDEX($AH$2:$AH$1001,MATCH(ROWS($AG$2:AG987),$AG$2:$AG$1001,0),1)&gt;=100000,INDEX($AN$1005:$BO$1005,1,MATCH(COLUMNS($AN$1006:AO1006),$AN$1006:$BO$1006,0))&gt;=100000), " ",IF(INDEX($AN$2:$BO$1001,MATCH(ROWS($AG$2:AG987),$AG$2:$AG$1001,0),MATCH(COLUMNS($AN$1006:AO1006),$AN$1006:$BO$1006,0)), HYPERLINK("#",""), HYPERLINK(CONCATENATE("#Metadata!", ADDRESS(INDEX($AI$2:$AI$1001,MATCH(ROWS($AG$2:AG987),$AG$2:$AG$1001,0),0), INDEX($AN$1004:$BO$1004,1,MATCH(COLUMNS($AN$1006:AO1006),$AN$1006:$BO$1006,0)))),"Fix")))</f>
        <v>0</v>
      </c>
      <c r="D987" s="4">
        <f>IF(OR(INDEX($AH$2:$AH$1001,MATCH(ROWS($AG$2:AG987),$AG$2:$AG$1001,0),1)&gt;=100000,INDEX($AN$1005:$BO$1005,1,MATCH(COLUMNS($AN$1006:AP1006),$AN$1006:$BO$1006,0))&gt;=100000), " ",IF(INDEX($AN$2:$BO$1001,MATCH(ROWS($AG$2:AG987),$AG$2:$AG$1001,0),MATCH(COLUMNS($AN$1006:AP1006),$AN$1006:$BO$1006,0)), HYPERLINK("#",""), HYPERLINK(CONCATENATE("#Metadata!", ADDRESS(INDEX($AI$2:$AI$1001,MATCH(ROWS($AG$2:AG987),$AG$2:$AG$1001,0),0), INDEX($AN$1004:$BO$1004,1,MATCH(COLUMNS($AN$1006:AP1006),$AN$1006:$BO$1006,0)))),"Fix")))</f>
        <v>0</v>
      </c>
      <c r="E987" s="4">
        <f>IF(OR(INDEX($AH$2:$AH$1001,MATCH(ROWS($AG$2:AG987),$AG$2:$AG$1001,0),1)&gt;=100000,INDEX($AN$1005:$BO$1005,1,MATCH(COLUMNS($AN$1006:AQ1006),$AN$1006:$BO$1006,0))&gt;=100000), " ",IF(INDEX($AN$2:$BO$1001,MATCH(ROWS($AG$2:AG987),$AG$2:$AG$1001,0),MATCH(COLUMNS($AN$1006:AQ1006),$AN$1006:$BO$1006,0)), HYPERLINK("#",""), HYPERLINK(CONCATENATE("#Metadata!", ADDRESS(INDEX($AI$2:$AI$1001,MATCH(ROWS($AG$2:AG987),$AG$2:$AG$1001,0),0), INDEX($AN$1004:$BO$1004,1,MATCH(COLUMNS($AN$1006:AQ1006),$AN$1006:$BO$1006,0)))),"Fix")))</f>
        <v>0</v>
      </c>
      <c r="F987" s="4">
        <f>IF(OR(INDEX($AH$2:$AH$1001,MATCH(ROWS($AG$2:AG987),$AG$2:$AG$1001,0),1)&gt;=100000,INDEX($AN$1005:$BO$1005,1,MATCH(COLUMNS($AN$1006:AR1006),$AN$1006:$BO$1006,0))&gt;=100000), " ",IF(INDEX($AN$2:$BO$1001,MATCH(ROWS($AG$2:AG987),$AG$2:$AG$1001,0),MATCH(COLUMNS($AN$1006:AR1006),$AN$1006:$BO$1006,0)), HYPERLINK("#",""), HYPERLINK(CONCATENATE("#Metadata!", ADDRESS(INDEX($AI$2:$AI$1001,MATCH(ROWS($AG$2:AG987),$AG$2:$AG$1001,0),0), INDEX($AN$1004:$BO$1004,1,MATCH(COLUMNS($AN$1006:AR1006),$AN$1006:$BO$1006,0)))),"Fix")))</f>
        <v>0</v>
      </c>
      <c r="G987" s="4">
        <f>IF(OR(INDEX($AH$2:$AH$1001,MATCH(ROWS($AG$2:AG987),$AG$2:$AG$1001,0),1)&gt;=100000,INDEX($AN$1005:$BO$1005,1,MATCH(COLUMNS($AN$1006:AS1006),$AN$1006:$BO$1006,0))&gt;=100000), " ",IF(INDEX($AN$2:$BO$1001,MATCH(ROWS($AG$2:AG987),$AG$2:$AG$1001,0),MATCH(COLUMNS($AN$1006:AS1006),$AN$1006:$BO$1006,0)), HYPERLINK("#",""), HYPERLINK(CONCATENATE("#Metadata!", ADDRESS(INDEX($AI$2:$AI$1001,MATCH(ROWS($AG$2:AG987),$AG$2:$AG$1001,0),0), INDEX($AN$1004:$BO$1004,1,MATCH(COLUMNS($AN$1006:AS1006),$AN$1006:$BO$1006,0)))),"Fix")))</f>
        <v>0</v>
      </c>
      <c r="H987" s="4">
        <f>IF(OR(INDEX($AH$2:$AH$1001,MATCH(ROWS($AG$2:AG987),$AG$2:$AG$1001,0),1)&gt;=100000,INDEX($AN$1005:$BO$1005,1,MATCH(COLUMNS($AN$1006:AT1006),$AN$1006:$BO$1006,0))&gt;=100000), " ",IF(INDEX($AN$2:$BO$1001,MATCH(ROWS($AG$2:AG987),$AG$2:$AG$1001,0),MATCH(COLUMNS($AN$1006:AT1006),$AN$1006:$BO$1006,0)), HYPERLINK("#",""), HYPERLINK(CONCATENATE("#Metadata!", ADDRESS(INDEX($AI$2:$AI$1001,MATCH(ROWS($AG$2:AG987),$AG$2:$AG$1001,0),0), INDEX($AN$1004:$BO$1004,1,MATCH(COLUMNS($AN$1006:AT1006),$AN$1006:$BO$1006,0)))),"Fix")))</f>
        <v>0</v>
      </c>
      <c r="I987" s="4">
        <f>IF(OR(INDEX($AH$2:$AH$1001,MATCH(ROWS($AG$2:AG987),$AG$2:$AG$1001,0),1)&gt;=100000,INDEX($AN$1005:$BO$1005,1,MATCH(COLUMNS($AN$1006:AU1006),$AN$1006:$BO$1006,0))&gt;=100000), " ",IF(INDEX($AN$2:$BO$1001,MATCH(ROWS($AG$2:AG987),$AG$2:$AG$1001,0),MATCH(COLUMNS($AN$1006:AU1006),$AN$1006:$BO$1006,0)), HYPERLINK("#",""), HYPERLINK(CONCATENATE("#Metadata!", ADDRESS(INDEX($AI$2:$AI$1001,MATCH(ROWS($AG$2:AG987),$AG$2:$AG$1001,0),0), INDEX($AN$1004:$BO$1004,1,MATCH(COLUMNS($AN$1006:AU1006),$AN$1006:$BO$1006,0)))),"Fix")))</f>
        <v>0</v>
      </c>
      <c r="J987" s="4">
        <f>IF(OR(INDEX($AH$2:$AH$1001,MATCH(ROWS($AG$2:AG987),$AG$2:$AG$1001,0),1)&gt;=100000,INDEX($AN$1005:$BO$1005,1,MATCH(COLUMNS($AN$1006:AV1006),$AN$1006:$BO$1006,0))&gt;=100000), " ",IF(INDEX($AN$2:$BO$1001,MATCH(ROWS($AG$2:AG987),$AG$2:$AG$1001,0),MATCH(COLUMNS($AN$1006:AV1006),$AN$1006:$BO$1006,0)), HYPERLINK("#",""), HYPERLINK(CONCATENATE("#Metadata!", ADDRESS(INDEX($AI$2:$AI$1001,MATCH(ROWS($AG$2:AG987),$AG$2:$AG$1001,0),0), INDEX($AN$1004:$BO$1004,1,MATCH(COLUMNS($AN$1006:AV1006),$AN$1006:$BO$1006,0)))),"Fix")))</f>
        <v>0</v>
      </c>
      <c r="K987" s="4">
        <f>IF(OR(INDEX($AH$2:$AH$1001,MATCH(ROWS($AG$2:AG987),$AG$2:$AG$1001,0),1)&gt;=100000,INDEX($AN$1005:$BO$1005,1,MATCH(COLUMNS($AN$1006:AW1006),$AN$1006:$BO$1006,0))&gt;=100000), " ",IF(INDEX($AN$2:$BO$1001,MATCH(ROWS($AG$2:AG987),$AG$2:$AG$1001,0),MATCH(COLUMNS($AN$1006:AW1006),$AN$1006:$BO$1006,0)), HYPERLINK("#",""), HYPERLINK(CONCATENATE("#Metadata!", ADDRESS(INDEX($AI$2:$AI$1001,MATCH(ROWS($AG$2:AG987),$AG$2:$AG$1001,0),0), INDEX($AN$1004:$BO$1004,1,MATCH(COLUMNS($AN$1006:AW1006),$AN$1006:$BO$1006,0)))),"Fix")))</f>
        <v>0</v>
      </c>
      <c r="L987" s="4">
        <f>IF(OR(INDEX($AH$2:$AH$1001,MATCH(ROWS($AG$2:AG987),$AG$2:$AG$1001,0),1)&gt;=100000,INDEX($AN$1005:$BO$1005,1,MATCH(COLUMNS($AN$1006:AX1006),$AN$1006:$BO$1006,0))&gt;=100000), " ",IF(INDEX($AN$2:$BO$1001,MATCH(ROWS($AG$2:AG987),$AG$2:$AG$1001,0),MATCH(COLUMNS($AN$1006:AX1006),$AN$1006:$BO$1006,0)), HYPERLINK("#",""), HYPERLINK(CONCATENATE("#Metadata!", ADDRESS(INDEX($AI$2:$AI$1001,MATCH(ROWS($AG$2:AG987),$AG$2:$AG$1001,0),0), INDEX($AN$1004:$BO$1004,1,MATCH(COLUMNS($AN$1006:AX1006),$AN$1006:$BO$1006,0)))),"Fix")))</f>
        <v>0</v>
      </c>
      <c r="M987" s="4">
        <f>IF(OR(INDEX($AH$2:$AH$1001,MATCH(ROWS($AG$2:AG987),$AG$2:$AG$1001,0),1)&gt;=100000,INDEX($AN$1005:$BO$1005,1,MATCH(COLUMNS($AN$1006:AY1006),$AN$1006:$BO$1006,0))&gt;=100000), " ",IF(INDEX($AN$2:$BO$1001,MATCH(ROWS($AG$2:AG987),$AG$2:$AG$1001,0),MATCH(COLUMNS($AN$1006:AY1006),$AN$1006:$BO$1006,0)), HYPERLINK("#",""), HYPERLINK(CONCATENATE("#Metadata!", ADDRESS(INDEX($AI$2:$AI$1001,MATCH(ROWS($AG$2:AG987),$AG$2:$AG$1001,0),0), INDEX($AN$1004:$BO$1004,1,MATCH(COLUMNS($AN$1006:AY1006),$AN$1006:$BO$1006,0)))),"Fix")))</f>
        <v>0</v>
      </c>
      <c r="N987" s="4">
        <f>IF(OR(INDEX($AH$2:$AH$1001,MATCH(ROWS($AG$2:AG987),$AG$2:$AG$1001,0),1)&gt;=100000,INDEX($AN$1005:$BO$1005,1,MATCH(COLUMNS($AN$1006:AZ1006),$AN$1006:$BO$1006,0))&gt;=100000), " ",IF(INDEX($AN$2:$BO$1001,MATCH(ROWS($AG$2:AG987),$AG$2:$AG$1001,0),MATCH(COLUMNS($AN$1006:AZ1006),$AN$1006:$BO$1006,0)), HYPERLINK("#",""), HYPERLINK(CONCATENATE("#Metadata!", ADDRESS(INDEX($AI$2:$AI$1001,MATCH(ROWS($AG$2:AG987),$AG$2:$AG$1001,0),0), INDEX($AN$1004:$BO$1004,1,MATCH(COLUMNS($AN$1006:AZ1006),$AN$1006:$BO$1006,0)))),"Fix")))</f>
        <v>0</v>
      </c>
      <c r="O987" s="4">
        <f>IF(OR(INDEX($AH$2:$AH$1001,MATCH(ROWS($AG$2:AG987),$AG$2:$AG$1001,0),1)&gt;=100000,INDEX($AN$1005:$BO$1005,1,MATCH(COLUMNS($AN$1006:BA1006),$AN$1006:$BO$1006,0))&gt;=100000), " ",IF(INDEX($AN$2:$BO$1001,MATCH(ROWS($AG$2:AG987),$AG$2:$AG$1001,0),MATCH(COLUMNS($AN$1006:BA1006),$AN$1006:$BO$1006,0)), HYPERLINK("#",""), HYPERLINK(CONCATENATE("#Metadata!", ADDRESS(INDEX($AI$2:$AI$1001,MATCH(ROWS($AG$2:AG987),$AG$2:$AG$1001,0),0), INDEX($AN$1004:$BO$1004,1,MATCH(COLUMNS($AN$1006:BA1006),$AN$1006:$BO$1006,0)))),"Fix")))</f>
        <v>0</v>
      </c>
      <c r="P987" s="4">
        <f>IF(OR(INDEX($AH$2:$AH$1001,MATCH(ROWS($AG$2:AG987),$AG$2:$AG$1001,0),1)&gt;=100000,INDEX($AN$1005:$BO$1005,1,MATCH(COLUMNS($AN$1006:BB1006),$AN$1006:$BO$1006,0))&gt;=100000), " ",IF(INDEX($AN$2:$BO$1001,MATCH(ROWS($AG$2:AG987),$AG$2:$AG$1001,0),MATCH(COLUMNS($AN$1006:BB1006),$AN$1006:$BO$1006,0)), HYPERLINK("#",""), HYPERLINK(CONCATENATE("#Metadata!", ADDRESS(INDEX($AI$2:$AI$1001,MATCH(ROWS($AG$2:AG987),$AG$2:$AG$1001,0),0), INDEX($AN$1004:$BO$1004,1,MATCH(COLUMNS($AN$1006:BB1006),$AN$1006:$BO$1006,0)))),"Fix")))</f>
        <v>0</v>
      </c>
      <c r="Q987" s="4">
        <f>IF(OR(INDEX($AH$2:$AH$1001,MATCH(ROWS($AG$2:AG987),$AG$2:$AG$1001,0),1)&gt;=100000,INDEX($AN$1005:$BO$1005,1,MATCH(COLUMNS($AN$1006:BC1006),$AN$1006:$BO$1006,0))&gt;=100000), " ",IF(INDEX($AN$2:$BO$1001,MATCH(ROWS($AG$2:AG987),$AG$2:$AG$1001,0),MATCH(COLUMNS($AN$1006:BC1006),$AN$1006:$BO$1006,0)), HYPERLINK("#",""), HYPERLINK(CONCATENATE("#Metadata!", ADDRESS(INDEX($AI$2:$AI$1001,MATCH(ROWS($AG$2:AG987),$AG$2:$AG$1001,0),0), INDEX($AN$1004:$BO$1004,1,MATCH(COLUMNS($AN$1006:BC1006),$AN$1006:$BO$1006,0)))),"Fix")))</f>
        <v>0</v>
      </c>
      <c r="R987" s="4">
        <f>IF(OR(INDEX($AH$2:$AH$1001,MATCH(ROWS($AG$2:AG987),$AG$2:$AG$1001,0),1)&gt;=100000,INDEX($AN$1005:$BO$1005,1,MATCH(COLUMNS($AN$1006:BD1006),$AN$1006:$BO$1006,0))&gt;=100000), " ",IF(INDEX($AN$2:$BO$1001,MATCH(ROWS($AG$2:AG987),$AG$2:$AG$1001,0),MATCH(COLUMNS($AN$1006:BD1006),$AN$1006:$BO$1006,0)), HYPERLINK("#",""), HYPERLINK(CONCATENATE("#Metadata!", ADDRESS(INDEX($AI$2:$AI$1001,MATCH(ROWS($AG$2:AG987),$AG$2:$AG$1001,0),0), INDEX($AN$1004:$BO$1004,1,MATCH(COLUMNS($AN$1006:BD1006),$AN$1006:$BO$1006,0)))),"Fix")))</f>
        <v>0</v>
      </c>
      <c r="S987" s="4">
        <f>IF(OR(INDEX($AH$2:$AH$1001,MATCH(ROWS($AG$2:AG987),$AG$2:$AG$1001,0),1)&gt;=100000,INDEX($AN$1005:$BO$1005,1,MATCH(COLUMNS($AN$1006:BE1006),$AN$1006:$BO$1006,0))&gt;=100000), " ",IF(INDEX($AN$2:$BO$1001,MATCH(ROWS($AG$2:AG987),$AG$2:$AG$1001,0),MATCH(COLUMNS($AN$1006:BE1006),$AN$1006:$BO$1006,0)), HYPERLINK("#",""), HYPERLINK(CONCATENATE("#Metadata!", ADDRESS(INDEX($AI$2:$AI$1001,MATCH(ROWS($AG$2:AG987),$AG$2:$AG$1001,0),0), INDEX($AN$1004:$BO$1004,1,MATCH(COLUMNS($AN$1006:BE1006),$AN$1006:$BO$1006,0)))),"Fix")))</f>
        <v>0</v>
      </c>
      <c r="T987" s="4">
        <f>IF(OR(INDEX($AH$2:$AH$1001,MATCH(ROWS($AG$2:AG987),$AG$2:$AG$1001,0),1)&gt;=100000,INDEX($AN$1005:$BO$1005,1,MATCH(COLUMNS($AN$1006:BF1006),$AN$1006:$BO$1006,0))&gt;=100000), " ",IF(INDEX($AN$2:$BO$1001,MATCH(ROWS($AG$2:AG987),$AG$2:$AG$1001,0),MATCH(COLUMNS($AN$1006:BF1006),$AN$1006:$BO$1006,0)), HYPERLINK("#",""), HYPERLINK(CONCATENATE("#Metadata!", ADDRESS(INDEX($AI$2:$AI$1001,MATCH(ROWS($AG$2:AG987),$AG$2:$AG$1001,0),0), INDEX($AN$1004:$BO$1004,1,MATCH(COLUMNS($AN$1006:BF1006),$AN$1006:$BO$1006,0)))),"Fix")))</f>
        <v>0</v>
      </c>
      <c r="U987" s="4">
        <f>IF(OR(INDEX($AH$2:$AH$1001,MATCH(ROWS($AG$2:AG987),$AG$2:$AG$1001,0),1)&gt;=100000,INDEX($AN$1005:$BO$1005,1,MATCH(COLUMNS($AN$1006:BG1006),$AN$1006:$BO$1006,0))&gt;=100000), " ",IF(INDEX($AN$2:$BO$1001,MATCH(ROWS($AG$2:AG987),$AG$2:$AG$1001,0),MATCH(COLUMNS($AN$1006:BG1006),$AN$1006:$BO$1006,0)), HYPERLINK("#",""), HYPERLINK(CONCATENATE("#Metadata!", ADDRESS(INDEX($AI$2:$AI$1001,MATCH(ROWS($AG$2:AG987),$AG$2:$AG$1001,0),0), INDEX($AN$1004:$BO$1004,1,MATCH(COLUMNS($AN$1006:BG1006),$AN$1006:$BO$1006,0)))),"Fix")))</f>
        <v>0</v>
      </c>
      <c r="V987" s="4">
        <f>IF(OR(INDEX($AH$2:$AH$1001,MATCH(ROWS($AG$2:AG987),$AG$2:$AG$1001,0),1)&gt;=100000,INDEX($AN$1005:$BO$1005,1,MATCH(COLUMNS($AN$1006:BH1006),$AN$1006:$BO$1006,0))&gt;=100000), " ",IF(INDEX($AN$2:$BO$1001,MATCH(ROWS($AG$2:AG987),$AG$2:$AG$1001,0),MATCH(COLUMNS($AN$1006:BH1006),$AN$1006:$BO$1006,0)), HYPERLINK("#",""), HYPERLINK(CONCATENATE("#Metadata!", ADDRESS(INDEX($AI$2:$AI$1001,MATCH(ROWS($AG$2:AG987),$AG$2:$AG$1001,0),0), INDEX($AN$1004:$BO$1004,1,MATCH(COLUMNS($AN$1006:BH1006),$AN$1006:$BO$1006,0)))),"Fix")))</f>
        <v>0</v>
      </c>
      <c r="W987" s="4">
        <f>IF(OR(INDEX($AH$2:$AH$1001,MATCH(ROWS($AG$2:AG987),$AG$2:$AG$1001,0),1)&gt;=100000,INDEX($AN$1005:$BO$1005,1,MATCH(COLUMNS($AN$1006:BI1006),$AN$1006:$BO$1006,0))&gt;=100000), " ",IF(INDEX($AN$2:$BO$1001,MATCH(ROWS($AG$2:AG987),$AG$2:$AG$1001,0),MATCH(COLUMNS($AN$1006:BI1006),$AN$1006:$BO$1006,0)), HYPERLINK("#",""), HYPERLINK(CONCATENATE("#Metadata!", ADDRESS(INDEX($AI$2:$AI$1001,MATCH(ROWS($AG$2:AG987),$AG$2:$AG$1001,0),0), INDEX($AN$1004:$BO$1004,1,MATCH(COLUMNS($AN$1006:BI1006),$AN$1006:$BO$1006,0)))),"Fix")))</f>
        <v>0</v>
      </c>
      <c r="X987" s="4">
        <f>IF(OR(INDEX($AH$2:$AH$1001,MATCH(ROWS($AG$2:AG987),$AG$2:$AG$1001,0),1)&gt;=100000,INDEX($AN$1005:$BO$1005,1,MATCH(COLUMNS($AN$1006:BJ1006),$AN$1006:$BO$1006,0))&gt;=100000), " ",IF(INDEX($AN$2:$BO$1001,MATCH(ROWS($AG$2:AG987),$AG$2:$AG$1001,0),MATCH(COLUMNS($AN$1006:BJ1006),$AN$1006:$BO$1006,0)), HYPERLINK("#",""), HYPERLINK(CONCATENATE("#Metadata!", ADDRESS(INDEX($AI$2:$AI$1001,MATCH(ROWS($AG$2:AG987),$AG$2:$AG$1001,0),0), INDEX($AN$1004:$BO$1004,1,MATCH(COLUMNS($AN$1006:BJ1006),$AN$1006:$BO$1006,0)))),"Fix")))</f>
        <v>0</v>
      </c>
      <c r="Y987" s="4">
        <f>IF(OR(INDEX($AH$2:$AH$1001,MATCH(ROWS($AG$2:AG987),$AG$2:$AG$1001,0),1)&gt;=100000,INDEX($AN$1005:$BO$1005,1,MATCH(COLUMNS($AN$1006:BK1006),$AN$1006:$BO$1006,0))&gt;=100000), " ",IF(INDEX($AN$2:$BO$1001,MATCH(ROWS($AG$2:AG987),$AG$2:$AG$1001,0),MATCH(COLUMNS($AN$1006:BK1006),$AN$1006:$BO$1006,0)), HYPERLINK("#",""), HYPERLINK(CONCATENATE("#Metadata!", ADDRESS(INDEX($AI$2:$AI$1001,MATCH(ROWS($AG$2:AG987),$AG$2:$AG$1001,0),0), INDEX($AN$1004:$BO$1004,1,MATCH(COLUMNS($AN$1006:BK1006),$AN$1006:$BO$1006,0)))),"Fix")))</f>
        <v>0</v>
      </c>
      <c r="Z987" s="4">
        <f>IF(OR(INDEX($AH$2:$AH$1001,MATCH(ROWS($AG$2:AG987),$AG$2:$AG$1001,0),1)&gt;=100000,INDEX($AN$1005:$BO$1005,1,MATCH(COLUMNS($AN$1006:BL1006),$AN$1006:$BO$1006,0))&gt;=100000), " ",IF(INDEX($AN$2:$BO$1001,MATCH(ROWS($AG$2:AG987),$AG$2:$AG$1001,0),MATCH(COLUMNS($AN$1006:BL1006),$AN$1006:$BO$1006,0)), HYPERLINK("#",""), HYPERLINK(CONCATENATE("#Metadata!", ADDRESS(INDEX($AI$2:$AI$1001,MATCH(ROWS($AG$2:AG987),$AG$2:$AG$1001,0),0), INDEX($AN$1004:$BO$1004,1,MATCH(COLUMNS($AN$1006:BL1006),$AN$1006:$BO$1006,0)))),"Fix")))</f>
        <v>0</v>
      </c>
      <c r="AA987" s="4">
        <f>IF(OR(INDEX($AH$2:$AH$1001,MATCH(ROWS($AG$2:AG987),$AG$2:$AG$1001,0),1)&gt;=100000,INDEX($AN$1005:$BO$1005,1,MATCH(COLUMNS($AN$1006:BM1006),$AN$1006:$BO$1006,0))&gt;=100000), " ",IF(INDEX($AN$2:$BO$1001,MATCH(ROWS($AG$2:AG987),$AG$2:$AG$1001,0),MATCH(COLUMNS($AN$1006:BM1006),$AN$1006:$BO$1006,0)), HYPERLINK("#",""), HYPERLINK(CONCATENATE("#Metadata!", ADDRESS(INDEX($AI$2:$AI$1001,MATCH(ROWS($AG$2:AG987),$AG$2:$AG$1001,0),0), INDEX($AN$1004:$BO$1004,1,MATCH(COLUMNS($AN$1006:BM1006),$AN$1006:$BO$1006,0)))),"Fix")))</f>
        <v>0</v>
      </c>
      <c r="AB987" s="4">
        <f>IF(OR(INDEX($AH$2:$AH$1001,MATCH(ROWS($AG$2:AG987),$AG$2:$AG$1001,0),1)&gt;=100000,INDEX($AN$1005:$BO$1005,1,MATCH(COLUMNS($AN$1006:BN1006),$AN$1006:$BO$1006,0))&gt;=100000), " ",IF(INDEX($AN$2:$BO$1001,MATCH(ROWS($AG$2:AG987),$AG$2:$AG$1001,0),MATCH(COLUMNS($AN$1006:BN1006),$AN$1006:$BO$1006,0)), HYPERLINK("#",""), HYPERLINK(CONCATENATE("#Metadata!", ADDRESS(INDEX($AI$2:$AI$1001,MATCH(ROWS($AG$2:AG987),$AG$2:$AG$1001,0),0), INDEX($AN$1004:$BO$1004,1,MATCH(COLUMNS($AN$1006:BN1006),$AN$1006:$BO$1006,0)))),"Fix")))</f>
        <v>0</v>
      </c>
      <c r="AC987" s="4">
        <f>IF(OR(INDEX($AH$2:$AH$1001,MATCH(ROWS($AG$2:AG987),$AG$2:$AG$1001,0),1)&gt;=100000,INDEX($AN$1005:$BO$1005,1,MATCH(COLUMNS($AN$1006:BO1006),$AN$1006:$BO$1006,0))&gt;=100000), " ",IF(INDEX($AN$2:$BO$1001,MATCH(ROWS($AG$2:AG987),$AG$2:$AG$1001,0),MATCH(COLUMNS($AN$1006:BO1006),$AN$1006:$BO$1006,0)), HYPERLINK("#",""), HYPERLINK(CONCATENATE("#Metadata!", ADDRESS(INDEX($AI$2:$AI$1001,MATCH(ROWS($AG$2:AG987),$AG$2:$AG$1001,0),0), INDEX($AN$1004:$BO$1004,1,MATCH(COLUMNS($AN$1006:BO1006),$AN$1006:$BO$1006,0)))),"Fix")))</f>
        <v>0</v>
      </c>
      <c r="AG987">
        <v>0</v>
      </c>
      <c r="AH987">
        <v>0</v>
      </c>
      <c r="AI987">
        <v>0</v>
      </c>
      <c r="AJ987">
        <f>IF(AK987,TRUE,AND(AN987:BO987))</f>
        <v>0</v>
      </c>
      <c r="AK987">
        <f>COUNTBLANK(Metadata!B987:AC987)=COLUMNS(Metadata!B987:AC987)</f>
        <v>0</v>
      </c>
      <c r="AL987">
        <v>0</v>
      </c>
      <c r="AN987">
        <f>AND(IF(Metadata!B987="",FALSE,TRUE),COUNTIF(Metadata!B:B, Metadata!B987) = 1,NOT(ISERROR(SUMPRODUCT(SEARCH(MID(Metadata!B987,ROW(INDIRECT("1:"&amp;LEN(Metadata!B987))), 1),"0123456789abcdefghijklmnopqrstuvwxyzABCDEFGHIJKLMNOPQRSTUVWXYZ.")))))</f>
        <v>0</v>
      </c>
      <c r="AO987">
        <f>IF(Metadata!C987="",FALSE,TRUE)</f>
        <v>0</v>
      </c>
      <c r="AP987">
        <f>IF(Metadata!D987="",FALSE,TRUE)</f>
        <v>0</v>
      </c>
      <c r="AQ987">
        <f>OR(AND(IF(Metadata!E987="",FALSE,TRUE),OR(exact(Metadata!E987,"not collected"),exact(Metadata!E987,"not provided"),exact(Metadata!E987,"restricted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R987">
        <f>IF(Metadata!F987="",FALSE,TRUE)</f>
        <v>0</v>
      </c>
      <c r="AS987">
        <f>OR(AND(IF(Metadata!G987="",FALSE,TRUE),OR(exact(Metadata!G987,"not collected"),exact(Metadata!G987,"not provided"))),AND(IF(Metadata!G987="",FALSE,TRUE),OR(exact(Metadata!G987,"TRUE"),exact(Metadata!G987,"FALSE"))))</f>
        <v>0</v>
      </c>
      <c r="AT987">
        <f>OR(AND(IF(Metadata!H987="",FALSE,TRUE),OR(exact(Metadata!H987,"not collected"),exact(Metadata!H987,"not provided"),exact(Metadata!H987,"restricted access"))),AND(IF(Metadata!H987="",FALSE,ISNUMBER(VALUE(Metadata!H987))),Metadata!H987&gt;=-413.0))</f>
        <v>0</v>
      </c>
      <c r="AU987">
        <f>AND(IF(Metadata!I987="",FALSE,TRUE),exact(Metadata!I987,"meters"))</f>
        <v>0</v>
      </c>
      <c r="AV987">
        <f>AND(IF(Metadata!J987="",FALSE,TRUE),OR(exact(Metadata!J987,"Host-associated"),exact(Metadata!J987,"Free-living")))</f>
        <v>0</v>
      </c>
      <c r="AW987">
        <f>AND(IF(Metadata!K987="",FALSE,TRUE),OR(exact(Metadata!K987,"Animal"),exact(Metadata!K987,"Fungus"),exact(Metadata!K987,"Plant"),exact(Metadata!K987,"Saline"),exact(Metadata!K987,"Non-saline")))</f>
        <v>0</v>
      </c>
      <c r="AX987">
        <f>AND(IF(Metadata!L987="",FALSE,TRUE),OR(exact(Metadata!L987,"Plant secretion"),exact(Metadata!L987,"Plant rhizosphere"),exact(Metadata!L987,"Plant surface"),exact(Metadata!L987,"Plant corpus"),exact(Metadata!L987,"Fungus surface"),exact(Metadata!L987,"Fungus corpus"),exact(Metadata!L987,"Animal surface"),exact(Metadata!L987,"Animal proximal gut"),exact(Metadata!L987,"Animal corpus"),exact(Metadata!L987,"Animal distal gut"),exact(Metadata!L987,"Animal secretion"),exact(Metadata!L987,"Sub-surface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Y987">
        <f>IF(Metadata!M987="",FALSE,TRUE)</f>
        <v>0</v>
      </c>
      <c r="AZ987">
        <f>IF(Metadata!N987="",FALSE,TRUE)</f>
        <v>0</v>
      </c>
      <c r="BA987">
        <f>IF(Metadata!O987="",FALSE,TRUE)</f>
        <v>0</v>
      </c>
      <c r="BB987">
        <f>OR(AND(IF(Metadata!P987="",FALSE,TRUE),OR(exact(Metadata!P987,"not collected"),exact(Metadata!P987,"not provided"),exact(Metadata!P987,"restricted access"))),AND(IF(Metadata!P987="",FALSE,TRUE),OR(exact(Metadata!P987,"air"),exact(Metadata!P987,"built environment"),exact(Metadata!P987,"host-associated"),exact(Metadata!P987,"human-associated"),exact(Metadata!P987,"human-skin"),exact(Metadata!P987,"human-oral"),exact(Metadata!P987,"human-gut"),exact(Metadata!P987,"human-vaginal"),exact(Metadata!P987,"microbial mat/biofilm"),exact(Metadata!P987,"misc environment"),exact(Metadata!P987,"plant-associated"),exact(Metadata!P987,"sediment"),exact(Metadata!P987,"soil"),exact(Metadata!P987,"wastewater/sludge"),exact(Metadata!P987,"water"))))</f>
        <v>0</v>
      </c>
      <c r="BC987">
        <f>IF(Metadata!Q987="",FALSE,TRUE)</f>
        <v>0</v>
      </c>
      <c r="BD987">
        <f>IF(Metadata!R987="",FALSE,TRUE)</f>
        <v>0</v>
      </c>
      <c r="BE987">
        <f>OR(AND(IF(Metadata!S987="",FALSE,TRUE),OR(exact(Metadata!S987,"not collected"),exact(Metadata!S987,"not provided"),exact(Metadata!S987,"restricted access"))),AND(IF(Metadata!S987="",FALSE,ISNUMBER(VALUE(Metadata!S987))),Metadata!S987&gt;=-90.00,Metadata!S987&lt;=90.00))</f>
        <v>0</v>
      </c>
      <c r="BF987">
        <f>AND(IF(Metadata!T987="",FALSE,TRUE),exact(Metadata!T987,"Decimal degrees"))</f>
        <v>0</v>
      </c>
      <c r="BG987">
        <f>OR(AND(IF(Metadata!U987="",FALSE,TRUE),OR(exact(Metadata!U987,"not collected"),exact(Metadata!U987,"not provided"),exact(Metadata!U987,"restricted access"))),AND(IF(Metadata!U987="",FALSE,ISNUMBER(VALUE(Metadata!U987))),Metadata!U987&gt;=-180.00,Metadata!U987&lt;=180.00))</f>
        <v>0</v>
      </c>
      <c r="BH987">
        <f>AND(IF(Metadata!V987="",FALSE,TRUE),exact(Metadata!V987,"Decimal degrees"))</f>
        <v>0</v>
      </c>
      <c r="BI987">
        <f>IF(Metadata!W987="",FALSE,TRUE)</f>
        <v>0</v>
      </c>
      <c r="BJ987">
        <f>OR(AND(IF(Metadata!X987="",FALSE,TRUE),OR(exact(Metadata!X987,"not collected"),exact(Metadata!X987,"not provided"),exact(Metadata!X987,"restricted access"))),AND(IF(Metadata!X987="",FALSE,TRUE),OR(exact(Metadata!X987,"TRUE"),exact(Metadata!X987,"FALSE"))))</f>
        <v>0</v>
      </c>
      <c r="BK987">
        <f>AND(IF(Metadata!Y987="",FALSE,TRUE),exact(Metadata!Y987,"other"))</f>
        <v>0</v>
      </c>
      <c r="BL987">
        <f>IF(Metadata!Z987="",FALSE,TRUE)</f>
        <v>0</v>
      </c>
      <c r="BM987">
        <f>OR(AND(IF(Metadata!AA987="",FALSE,TRUE),OR(exact(Metadata!AA987,"not collected"),exact(Metadata!AA987,"not provided"))),AND(IF(Metadata!AA987="",FALSE,IF(ISERROR(INT(Metadata!AA987)),FALSE,INT(Metadata!AA987)=Metadata!AA987)),Metadata!AA987&gt;0))</f>
        <v>0</v>
      </c>
      <c r="BN987">
        <f>AND(IF(Metadata!AB987="",FALSE,TRUE),exact(Metadata!AB987,"Not applicable"))</f>
        <v>0</v>
      </c>
      <c r="BO987">
        <f>IF(Metadata!AC987="",FALSE,TRUE)</f>
        <v>0</v>
      </c>
    </row>
    <row r="988" spans="1:67">
      <c r="A988" s="5">
        <f>IF(B988=" "," ",HYPERLINK(CONCATENATE("#metadata!",ADDRESS(INDEX($AI$2:$AI$1001,MATCH(ROWS($AG$2:AG988),$AG$2:$AG$1001,0),0),1)),INDEX($AL$2:$AL$1001,MATCH(ROWS($AG$2:AG988),$AG$2:$AG$1001,0),0)))</f>
        <v>0</v>
      </c>
      <c r="B988" s="4">
        <f>IF(OR(INDEX($AH$2:$AH$1001,MATCH(ROWS($AG$2:AG988),$AG$2:$AG$1001,0),1)&gt;=100000,INDEX($AN$1005:$BO$1005,1,MATCH(COLUMNS($AN$1006:AN1006),$AN$1006:$BO$1006,0))&gt;=100000), " ",IF(INDEX($AN$2:$BO$1001,MATCH(ROWS($AG$2:AG988),$AG$2:$AG$1001,0),MATCH(COLUMNS($AN$1006:AN1006),$AN$1006:$BO$1006,0)), HYPERLINK("#",""), HYPERLINK(CONCATENATE("#Metadata!", ADDRESS(INDEX($AI$2:$AI$1001,MATCH(ROWS($AG$2:AG988),$AG$2:$AG$1001,0),0), INDEX($AN$1004:$BO$1004,1,MATCH(COLUMNS($AN$1006:AN1006),$AN$1006:$BO$1006,0)))),"Fix")))</f>
        <v>0</v>
      </c>
      <c r="C988" s="4">
        <f>IF(OR(INDEX($AH$2:$AH$1001,MATCH(ROWS($AG$2:AG988),$AG$2:$AG$1001,0),1)&gt;=100000,INDEX($AN$1005:$BO$1005,1,MATCH(COLUMNS($AN$1006:AO1006),$AN$1006:$BO$1006,0))&gt;=100000), " ",IF(INDEX($AN$2:$BO$1001,MATCH(ROWS($AG$2:AG988),$AG$2:$AG$1001,0),MATCH(COLUMNS($AN$1006:AO1006),$AN$1006:$BO$1006,0)), HYPERLINK("#",""), HYPERLINK(CONCATENATE("#Metadata!", ADDRESS(INDEX($AI$2:$AI$1001,MATCH(ROWS($AG$2:AG988),$AG$2:$AG$1001,0),0), INDEX($AN$1004:$BO$1004,1,MATCH(COLUMNS($AN$1006:AO1006),$AN$1006:$BO$1006,0)))),"Fix")))</f>
        <v>0</v>
      </c>
      <c r="D988" s="4">
        <f>IF(OR(INDEX($AH$2:$AH$1001,MATCH(ROWS($AG$2:AG988),$AG$2:$AG$1001,0),1)&gt;=100000,INDEX($AN$1005:$BO$1005,1,MATCH(COLUMNS($AN$1006:AP1006),$AN$1006:$BO$1006,0))&gt;=100000), " ",IF(INDEX($AN$2:$BO$1001,MATCH(ROWS($AG$2:AG988),$AG$2:$AG$1001,0),MATCH(COLUMNS($AN$1006:AP1006),$AN$1006:$BO$1006,0)), HYPERLINK("#",""), HYPERLINK(CONCATENATE("#Metadata!", ADDRESS(INDEX($AI$2:$AI$1001,MATCH(ROWS($AG$2:AG988),$AG$2:$AG$1001,0),0), INDEX($AN$1004:$BO$1004,1,MATCH(COLUMNS($AN$1006:AP1006),$AN$1006:$BO$1006,0)))),"Fix")))</f>
        <v>0</v>
      </c>
      <c r="E988" s="4">
        <f>IF(OR(INDEX($AH$2:$AH$1001,MATCH(ROWS($AG$2:AG988),$AG$2:$AG$1001,0),1)&gt;=100000,INDEX($AN$1005:$BO$1005,1,MATCH(COLUMNS($AN$1006:AQ1006),$AN$1006:$BO$1006,0))&gt;=100000), " ",IF(INDEX($AN$2:$BO$1001,MATCH(ROWS($AG$2:AG988),$AG$2:$AG$1001,0),MATCH(COLUMNS($AN$1006:AQ1006),$AN$1006:$BO$1006,0)), HYPERLINK("#",""), HYPERLINK(CONCATENATE("#Metadata!", ADDRESS(INDEX($AI$2:$AI$1001,MATCH(ROWS($AG$2:AG988),$AG$2:$AG$1001,0),0), INDEX($AN$1004:$BO$1004,1,MATCH(COLUMNS($AN$1006:AQ1006),$AN$1006:$BO$1006,0)))),"Fix")))</f>
        <v>0</v>
      </c>
      <c r="F988" s="4">
        <f>IF(OR(INDEX($AH$2:$AH$1001,MATCH(ROWS($AG$2:AG988),$AG$2:$AG$1001,0),1)&gt;=100000,INDEX($AN$1005:$BO$1005,1,MATCH(COLUMNS($AN$1006:AR1006),$AN$1006:$BO$1006,0))&gt;=100000), " ",IF(INDEX($AN$2:$BO$1001,MATCH(ROWS($AG$2:AG988),$AG$2:$AG$1001,0),MATCH(COLUMNS($AN$1006:AR1006),$AN$1006:$BO$1006,0)), HYPERLINK("#",""), HYPERLINK(CONCATENATE("#Metadata!", ADDRESS(INDEX($AI$2:$AI$1001,MATCH(ROWS($AG$2:AG988),$AG$2:$AG$1001,0),0), INDEX($AN$1004:$BO$1004,1,MATCH(COLUMNS($AN$1006:AR1006),$AN$1006:$BO$1006,0)))),"Fix")))</f>
        <v>0</v>
      </c>
      <c r="G988" s="4">
        <f>IF(OR(INDEX($AH$2:$AH$1001,MATCH(ROWS($AG$2:AG988),$AG$2:$AG$1001,0),1)&gt;=100000,INDEX($AN$1005:$BO$1005,1,MATCH(COLUMNS($AN$1006:AS1006),$AN$1006:$BO$1006,0))&gt;=100000), " ",IF(INDEX($AN$2:$BO$1001,MATCH(ROWS($AG$2:AG988),$AG$2:$AG$1001,0),MATCH(COLUMNS($AN$1006:AS1006),$AN$1006:$BO$1006,0)), HYPERLINK("#",""), HYPERLINK(CONCATENATE("#Metadata!", ADDRESS(INDEX($AI$2:$AI$1001,MATCH(ROWS($AG$2:AG988),$AG$2:$AG$1001,0),0), INDEX($AN$1004:$BO$1004,1,MATCH(COLUMNS($AN$1006:AS1006),$AN$1006:$BO$1006,0)))),"Fix")))</f>
        <v>0</v>
      </c>
      <c r="H988" s="4">
        <f>IF(OR(INDEX($AH$2:$AH$1001,MATCH(ROWS($AG$2:AG988),$AG$2:$AG$1001,0),1)&gt;=100000,INDEX($AN$1005:$BO$1005,1,MATCH(COLUMNS($AN$1006:AT1006),$AN$1006:$BO$1006,0))&gt;=100000), " ",IF(INDEX($AN$2:$BO$1001,MATCH(ROWS($AG$2:AG988),$AG$2:$AG$1001,0),MATCH(COLUMNS($AN$1006:AT1006),$AN$1006:$BO$1006,0)), HYPERLINK("#",""), HYPERLINK(CONCATENATE("#Metadata!", ADDRESS(INDEX($AI$2:$AI$1001,MATCH(ROWS($AG$2:AG988),$AG$2:$AG$1001,0),0), INDEX($AN$1004:$BO$1004,1,MATCH(COLUMNS($AN$1006:AT1006),$AN$1006:$BO$1006,0)))),"Fix")))</f>
        <v>0</v>
      </c>
      <c r="I988" s="4">
        <f>IF(OR(INDEX($AH$2:$AH$1001,MATCH(ROWS($AG$2:AG988),$AG$2:$AG$1001,0),1)&gt;=100000,INDEX($AN$1005:$BO$1005,1,MATCH(COLUMNS($AN$1006:AU1006),$AN$1006:$BO$1006,0))&gt;=100000), " ",IF(INDEX($AN$2:$BO$1001,MATCH(ROWS($AG$2:AG988),$AG$2:$AG$1001,0),MATCH(COLUMNS($AN$1006:AU1006),$AN$1006:$BO$1006,0)), HYPERLINK("#",""), HYPERLINK(CONCATENATE("#Metadata!", ADDRESS(INDEX($AI$2:$AI$1001,MATCH(ROWS($AG$2:AG988),$AG$2:$AG$1001,0),0), INDEX($AN$1004:$BO$1004,1,MATCH(COLUMNS($AN$1006:AU1006),$AN$1006:$BO$1006,0)))),"Fix")))</f>
        <v>0</v>
      </c>
      <c r="J988" s="4">
        <f>IF(OR(INDEX($AH$2:$AH$1001,MATCH(ROWS($AG$2:AG988),$AG$2:$AG$1001,0),1)&gt;=100000,INDEX($AN$1005:$BO$1005,1,MATCH(COLUMNS($AN$1006:AV1006),$AN$1006:$BO$1006,0))&gt;=100000), " ",IF(INDEX($AN$2:$BO$1001,MATCH(ROWS($AG$2:AG988),$AG$2:$AG$1001,0),MATCH(COLUMNS($AN$1006:AV1006),$AN$1006:$BO$1006,0)), HYPERLINK("#",""), HYPERLINK(CONCATENATE("#Metadata!", ADDRESS(INDEX($AI$2:$AI$1001,MATCH(ROWS($AG$2:AG988),$AG$2:$AG$1001,0),0), INDEX($AN$1004:$BO$1004,1,MATCH(COLUMNS($AN$1006:AV1006),$AN$1006:$BO$1006,0)))),"Fix")))</f>
        <v>0</v>
      </c>
      <c r="K988" s="4">
        <f>IF(OR(INDEX($AH$2:$AH$1001,MATCH(ROWS($AG$2:AG988),$AG$2:$AG$1001,0),1)&gt;=100000,INDEX($AN$1005:$BO$1005,1,MATCH(COLUMNS($AN$1006:AW1006),$AN$1006:$BO$1006,0))&gt;=100000), " ",IF(INDEX($AN$2:$BO$1001,MATCH(ROWS($AG$2:AG988),$AG$2:$AG$1001,0),MATCH(COLUMNS($AN$1006:AW1006),$AN$1006:$BO$1006,0)), HYPERLINK("#",""), HYPERLINK(CONCATENATE("#Metadata!", ADDRESS(INDEX($AI$2:$AI$1001,MATCH(ROWS($AG$2:AG988),$AG$2:$AG$1001,0),0), INDEX($AN$1004:$BO$1004,1,MATCH(COLUMNS($AN$1006:AW1006),$AN$1006:$BO$1006,0)))),"Fix")))</f>
        <v>0</v>
      </c>
      <c r="L988" s="4">
        <f>IF(OR(INDEX($AH$2:$AH$1001,MATCH(ROWS($AG$2:AG988),$AG$2:$AG$1001,0),1)&gt;=100000,INDEX($AN$1005:$BO$1005,1,MATCH(COLUMNS($AN$1006:AX1006),$AN$1006:$BO$1006,0))&gt;=100000), " ",IF(INDEX($AN$2:$BO$1001,MATCH(ROWS($AG$2:AG988),$AG$2:$AG$1001,0),MATCH(COLUMNS($AN$1006:AX1006),$AN$1006:$BO$1006,0)), HYPERLINK("#",""), HYPERLINK(CONCATENATE("#Metadata!", ADDRESS(INDEX($AI$2:$AI$1001,MATCH(ROWS($AG$2:AG988),$AG$2:$AG$1001,0),0), INDEX($AN$1004:$BO$1004,1,MATCH(COLUMNS($AN$1006:AX1006),$AN$1006:$BO$1006,0)))),"Fix")))</f>
        <v>0</v>
      </c>
      <c r="M988" s="4">
        <f>IF(OR(INDEX($AH$2:$AH$1001,MATCH(ROWS($AG$2:AG988),$AG$2:$AG$1001,0),1)&gt;=100000,INDEX($AN$1005:$BO$1005,1,MATCH(COLUMNS($AN$1006:AY1006),$AN$1006:$BO$1006,0))&gt;=100000), " ",IF(INDEX($AN$2:$BO$1001,MATCH(ROWS($AG$2:AG988),$AG$2:$AG$1001,0),MATCH(COLUMNS($AN$1006:AY1006),$AN$1006:$BO$1006,0)), HYPERLINK("#",""), HYPERLINK(CONCATENATE("#Metadata!", ADDRESS(INDEX($AI$2:$AI$1001,MATCH(ROWS($AG$2:AG988),$AG$2:$AG$1001,0),0), INDEX($AN$1004:$BO$1004,1,MATCH(COLUMNS($AN$1006:AY1006),$AN$1006:$BO$1006,0)))),"Fix")))</f>
        <v>0</v>
      </c>
      <c r="N988" s="4">
        <f>IF(OR(INDEX($AH$2:$AH$1001,MATCH(ROWS($AG$2:AG988),$AG$2:$AG$1001,0),1)&gt;=100000,INDEX($AN$1005:$BO$1005,1,MATCH(COLUMNS($AN$1006:AZ1006),$AN$1006:$BO$1006,0))&gt;=100000), " ",IF(INDEX($AN$2:$BO$1001,MATCH(ROWS($AG$2:AG988),$AG$2:$AG$1001,0),MATCH(COLUMNS($AN$1006:AZ1006),$AN$1006:$BO$1006,0)), HYPERLINK("#",""), HYPERLINK(CONCATENATE("#Metadata!", ADDRESS(INDEX($AI$2:$AI$1001,MATCH(ROWS($AG$2:AG988),$AG$2:$AG$1001,0),0), INDEX($AN$1004:$BO$1004,1,MATCH(COLUMNS($AN$1006:AZ1006),$AN$1006:$BO$1006,0)))),"Fix")))</f>
        <v>0</v>
      </c>
      <c r="O988" s="4">
        <f>IF(OR(INDEX($AH$2:$AH$1001,MATCH(ROWS($AG$2:AG988),$AG$2:$AG$1001,0),1)&gt;=100000,INDEX($AN$1005:$BO$1005,1,MATCH(COLUMNS($AN$1006:BA1006),$AN$1006:$BO$1006,0))&gt;=100000), " ",IF(INDEX($AN$2:$BO$1001,MATCH(ROWS($AG$2:AG988),$AG$2:$AG$1001,0),MATCH(COLUMNS($AN$1006:BA1006),$AN$1006:$BO$1006,0)), HYPERLINK("#",""), HYPERLINK(CONCATENATE("#Metadata!", ADDRESS(INDEX($AI$2:$AI$1001,MATCH(ROWS($AG$2:AG988),$AG$2:$AG$1001,0),0), INDEX($AN$1004:$BO$1004,1,MATCH(COLUMNS($AN$1006:BA1006),$AN$1006:$BO$1006,0)))),"Fix")))</f>
        <v>0</v>
      </c>
      <c r="P988" s="4">
        <f>IF(OR(INDEX($AH$2:$AH$1001,MATCH(ROWS($AG$2:AG988),$AG$2:$AG$1001,0),1)&gt;=100000,INDEX($AN$1005:$BO$1005,1,MATCH(COLUMNS($AN$1006:BB1006),$AN$1006:$BO$1006,0))&gt;=100000), " ",IF(INDEX($AN$2:$BO$1001,MATCH(ROWS($AG$2:AG988),$AG$2:$AG$1001,0),MATCH(COLUMNS($AN$1006:BB1006),$AN$1006:$BO$1006,0)), HYPERLINK("#",""), HYPERLINK(CONCATENATE("#Metadata!", ADDRESS(INDEX($AI$2:$AI$1001,MATCH(ROWS($AG$2:AG988),$AG$2:$AG$1001,0),0), INDEX($AN$1004:$BO$1004,1,MATCH(COLUMNS($AN$1006:BB1006),$AN$1006:$BO$1006,0)))),"Fix")))</f>
        <v>0</v>
      </c>
      <c r="Q988" s="4">
        <f>IF(OR(INDEX($AH$2:$AH$1001,MATCH(ROWS($AG$2:AG988),$AG$2:$AG$1001,0),1)&gt;=100000,INDEX($AN$1005:$BO$1005,1,MATCH(COLUMNS($AN$1006:BC1006),$AN$1006:$BO$1006,0))&gt;=100000), " ",IF(INDEX($AN$2:$BO$1001,MATCH(ROWS($AG$2:AG988),$AG$2:$AG$1001,0),MATCH(COLUMNS($AN$1006:BC1006),$AN$1006:$BO$1006,0)), HYPERLINK("#",""), HYPERLINK(CONCATENATE("#Metadata!", ADDRESS(INDEX($AI$2:$AI$1001,MATCH(ROWS($AG$2:AG988),$AG$2:$AG$1001,0),0), INDEX($AN$1004:$BO$1004,1,MATCH(COLUMNS($AN$1006:BC1006),$AN$1006:$BO$1006,0)))),"Fix")))</f>
        <v>0</v>
      </c>
      <c r="R988" s="4">
        <f>IF(OR(INDEX($AH$2:$AH$1001,MATCH(ROWS($AG$2:AG988),$AG$2:$AG$1001,0),1)&gt;=100000,INDEX($AN$1005:$BO$1005,1,MATCH(COLUMNS($AN$1006:BD1006),$AN$1006:$BO$1006,0))&gt;=100000), " ",IF(INDEX($AN$2:$BO$1001,MATCH(ROWS($AG$2:AG988),$AG$2:$AG$1001,0),MATCH(COLUMNS($AN$1006:BD1006),$AN$1006:$BO$1006,0)), HYPERLINK("#",""), HYPERLINK(CONCATENATE("#Metadata!", ADDRESS(INDEX($AI$2:$AI$1001,MATCH(ROWS($AG$2:AG988),$AG$2:$AG$1001,0),0), INDEX($AN$1004:$BO$1004,1,MATCH(COLUMNS($AN$1006:BD1006),$AN$1006:$BO$1006,0)))),"Fix")))</f>
        <v>0</v>
      </c>
      <c r="S988" s="4">
        <f>IF(OR(INDEX($AH$2:$AH$1001,MATCH(ROWS($AG$2:AG988),$AG$2:$AG$1001,0),1)&gt;=100000,INDEX($AN$1005:$BO$1005,1,MATCH(COLUMNS($AN$1006:BE1006),$AN$1006:$BO$1006,0))&gt;=100000), " ",IF(INDEX($AN$2:$BO$1001,MATCH(ROWS($AG$2:AG988),$AG$2:$AG$1001,0),MATCH(COLUMNS($AN$1006:BE1006),$AN$1006:$BO$1006,0)), HYPERLINK("#",""), HYPERLINK(CONCATENATE("#Metadata!", ADDRESS(INDEX($AI$2:$AI$1001,MATCH(ROWS($AG$2:AG988),$AG$2:$AG$1001,0),0), INDEX($AN$1004:$BO$1004,1,MATCH(COLUMNS($AN$1006:BE1006),$AN$1006:$BO$1006,0)))),"Fix")))</f>
        <v>0</v>
      </c>
      <c r="T988" s="4">
        <f>IF(OR(INDEX($AH$2:$AH$1001,MATCH(ROWS($AG$2:AG988),$AG$2:$AG$1001,0),1)&gt;=100000,INDEX($AN$1005:$BO$1005,1,MATCH(COLUMNS($AN$1006:BF1006),$AN$1006:$BO$1006,0))&gt;=100000), " ",IF(INDEX($AN$2:$BO$1001,MATCH(ROWS($AG$2:AG988),$AG$2:$AG$1001,0),MATCH(COLUMNS($AN$1006:BF1006),$AN$1006:$BO$1006,0)), HYPERLINK("#",""), HYPERLINK(CONCATENATE("#Metadata!", ADDRESS(INDEX($AI$2:$AI$1001,MATCH(ROWS($AG$2:AG988),$AG$2:$AG$1001,0),0), INDEX($AN$1004:$BO$1004,1,MATCH(COLUMNS($AN$1006:BF1006),$AN$1006:$BO$1006,0)))),"Fix")))</f>
        <v>0</v>
      </c>
      <c r="U988" s="4">
        <f>IF(OR(INDEX($AH$2:$AH$1001,MATCH(ROWS($AG$2:AG988),$AG$2:$AG$1001,0),1)&gt;=100000,INDEX($AN$1005:$BO$1005,1,MATCH(COLUMNS($AN$1006:BG1006),$AN$1006:$BO$1006,0))&gt;=100000), " ",IF(INDEX($AN$2:$BO$1001,MATCH(ROWS($AG$2:AG988),$AG$2:$AG$1001,0),MATCH(COLUMNS($AN$1006:BG1006),$AN$1006:$BO$1006,0)), HYPERLINK("#",""), HYPERLINK(CONCATENATE("#Metadata!", ADDRESS(INDEX($AI$2:$AI$1001,MATCH(ROWS($AG$2:AG988),$AG$2:$AG$1001,0),0), INDEX($AN$1004:$BO$1004,1,MATCH(COLUMNS($AN$1006:BG1006),$AN$1006:$BO$1006,0)))),"Fix")))</f>
        <v>0</v>
      </c>
      <c r="V988" s="4">
        <f>IF(OR(INDEX($AH$2:$AH$1001,MATCH(ROWS($AG$2:AG988),$AG$2:$AG$1001,0),1)&gt;=100000,INDEX($AN$1005:$BO$1005,1,MATCH(COLUMNS($AN$1006:BH1006),$AN$1006:$BO$1006,0))&gt;=100000), " ",IF(INDEX($AN$2:$BO$1001,MATCH(ROWS($AG$2:AG988),$AG$2:$AG$1001,0),MATCH(COLUMNS($AN$1006:BH1006),$AN$1006:$BO$1006,0)), HYPERLINK("#",""), HYPERLINK(CONCATENATE("#Metadata!", ADDRESS(INDEX($AI$2:$AI$1001,MATCH(ROWS($AG$2:AG988),$AG$2:$AG$1001,0),0), INDEX($AN$1004:$BO$1004,1,MATCH(COLUMNS($AN$1006:BH1006),$AN$1006:$BO$1006,0)))),"Fix")))</f>
        <v>0</v>
      </c>
      <c r="W988" s="4">
        <f>IF(OR(INDEX($AH$2:$AH$1001,MATCH(ROWS($AG$2:AG988),$AG$2:$AG$1001,0),1)&gt;=100000,INDEX($AN$1005:$BO$1005,1,MATCH(COLUMNS($AN$1006:BI1006),$AN$1006:$BO$1006,0))&gt;=100000), " ",IF(INDEX($AN$2:$BO$1001,MATCH(ROWS($AG$2:AG988),$AG$2:$AG$1001,0),MATCH(COLUMNS($AN$1006:BI1006),$AN$1006:$BO$1006,0)), HYPERLINK("#",""), HYPERLINK(CONCATENATE("#Metadata!", ADDRESS(INDEX($AI$2:$AI$1001,MATCH(ROWS($AG$2:AG988),$AG$2:$AG$1001,0),0), INDEX($AN$1004:$BO$1004,1,MATCH(COLUMNS($AN$1006:BI1006),$AN$1006:$BO$1006,0)))),"Fix")))</f>
        <v>0</v>
      </c>
      <c r="X988" s="4">
        <f>IF(OR(INDEX($AH$2:$AH$1001,MATCH(ROWS($AG$2:AG988),$AG$2:$AG$1001,0),1)&gt;=100000,INDEX($AN$1005:$BO$1005,1,MATCH(COLUMNS($AN$1006:BJ1006),$AN$1006:$BO$1006,0))&gt;=100000), " ",IF(INDEX($AN$2:$BO$1001,MATCH(ROWS($AG$2:AG988),$AG$2:$AG$1001,0),MATCH(COLUMNS($AN$1006:BJ1006),$AN$1006:$BO$1006,0)), HYPERLINK("#",""), HYPERLINK(CONCATENATE("#Metadata!", ADDRESS(INDEX($AI$2:$AI$1001,MATCH(ROWS($AG$2:AG988),$AG$2:$AG$1001,0),0), INDEX($AN$1004:$BO$1004,1,MATCH(COLUMNS($AN$1006:BJ1006),$AN$1006:$BO$1006,0)))),"Fix")))</f>
        <v>0</v>
      </c>
      <c r="Y988" s="4">
        <f>IF(OR(INDEX($AH$2:$AH$1001,MATCH(ROWS($AG$2:AG988),$AG$2:$AG$1001,0),1)&gt;=100000,INDEX($AN$1005:$BO$1005,1,MATCH(COLUMNS($AN$1006:BK1006),$AN$1006:$BO$1006,0))&gt;=100000), " ",IF(INDEX($AN$2:$BO$1001,MATCH(ROWS($AG$2:AG988),$AG$2:$AG$1001,0),MATCH(COLUMNS($AN$1006:BK1006),$AN$1006:$BO$1006,0)), HYPERLINK("#",""), HYPERLINK(CONCATENATE("#Metadata!", ADDRESS(INDEX($AI$2:$AI$1001,MATCH(ROWS($AG$2:AG988),$AG$2:$AG$1001,0),0), INDEX($AN$1004:$BO$1004,1,MATCH(COLUMNS($AN$1006:BK1006),$AN$1006:$BO$1006,0)))),"Fix")))</f>
        <v>0</v>
      </c>
      <c r="Z988" s="4">
        <f>IF(OR(INDEX($AH$2:$AH$1001,MATCH(ROWS($AG$2:AG988),$AG$2:$AG$1001,0),1)&gt;=100000,INDEX($AN$1005:$BO$1005,1,MATCH(COLUMNS($AN$1006:BL1006),$AN$1006:$BO$1006,0))&gt;=100000), " ",IF(INDEX($AN$2:$BO$1001,MATCH(ROWS($AG$2:AG988),$AG$2:$AG$1001,0),MATCH(COLUMNS($AN$1006:BL1006),$AN$1006:$BO$1006,0)), HYPERLINK("#",""), HYPERLINK(CONCATENATE("#Metadata!", ADDRESS(INDEX($AI$2:$AI$1001,MATCH(ROWS($AG$2:AG988),$AG$2:$AG$1001,0),0), INDEX($AN$1004:$BO$1004,1,MATCH(COLUMNS($AN$1006:BL1006),$AN$1006:$BO$1006,0)))),"Fix")))</f>
        <v>0</v>
      </c>
      <c r="AA988" s="4">
        <f>IF(OR(INDEX($AH$2:$AH$1001,MATCH(ROWS($AG$2:AG988),$AG$2:$AG$1001,0),1)&gt;=100000,INDEX($AN$1005:$BO$1005,1,MATCH(COLUMNS($AN$1006:BM1006),$AN$1006:$BO$1006,0))&gt;=100000), " ",IF(INDEX($AN$2:$BO$1001,MATCH(ROWS($AG$2:AG988),$AG$2:$AG$1001,0),MATCH(COLUMNS($AN$1006:BM1006),$AN$1006:$BO$1006,0)), HYPERLINK("#",""), HYPERLINK(CONCATENATE("#Metadata!", ADDRESS(INDEX($AI$2:$AI$1001,MATCH(ROWS($AG$2:AG988),$AG$2:$AG$1001,0),0), INDEX($AN$1004:$BO$1004,1,MATCH(COLUMNS($AN$1006:BM1006),$AN$1006:$BO$1006,0)))),"Fix")))</f>
        <v>0</v>
      </c>
      <c r="AB988" s="4">
        <f>IF(OR(INDEX($AH$2:$AH$1001,MATCH(ROWS($AG$2:AG988),$AG$2:$AG$1001,0),1)&gt;=100000,INDEX($AN$1005:$BO$1005,1,MATCH(COLUMNS($AN$1006:BN1006),$AN$1006:$BO$1006,0))&gt;=100000), " ",IF(INDEX($AN$2:$BO$1001,MATCH(ROWS($AG$2:AG988),$AG$2:$AG$1001,0),MATCH(COLUMNS($AN$1006:BN1006),$AN$1006:$BO$1006,0)), HYPERLINK("#",""), HYPERLINK(CONCATENATE("#Metadata!", ADDRESS(INDEX($AI$2:$AI$1001,MATCH(ROWS($AG$2:AG988),$AG$2:$AG$1001,0),0), INDEX($AN$1004:$BO$1004,1,MATCH(COLUMNS($AN$1006:BN1006),$AN$1006:$BO$1006,0)))),"Fix")))</f>
        <v>0</v>
      </c>
      <c r="AC988" s="4">
        <f>IF(OR(INDEX($AH$2:$AH$1001,MATCH(ROWS($AG$2:AG988),$AG$2:$AG$1001,0),1)&gt;=100000,INDEX($AN$1005:$BO$1005,1,MATCH(COLUMNS($AN$1006:BO1006),$AN$1006:$BO$1006,0))&gt;=100000), " ",IF(INDEX($AN$2:$BO$1001,MATCH(ROWS($AG$2:AG988),$AG$2:$AG$1001,0),MATCH(COLUMNS($AN$1006:BO1006),$AN$1006:$BO$1006,0)), HYPERLINK("#",""), HYPERLINK(CONCATENATE("#Metadata!", ADDRESS(INDEX($AI$2:$AI$1001,MATCH(ROWS($AG$2:AG988),$AG$2:$AG$1001,0),0), INDEX($AN$1004:$BO$1004,1,MATCH(COLUMNS($AN$1006:BO1006),$AN$1006:$BO$1006,0)))),"Fix")))</f>
        <v>0</v>
      </c>
      <c r="AG988">
        <v>0</v>
      </c>
      <c r="AH988">
        <v>0</v>
      </c>
      <c r="AI988">
        <v>0</v>
      </c>
      <c r="AJ988">
        <f>IF(AK988,TRUE,AND(AN988:BO988))</f>
        <v>0</v>
      </c>
      <c r="AK988">
        <f>COUNTBLANK(Metadata!B988:AC988)=COLUMNS(Metadata!B988:AC988)</f>
        <v>0</v>
      </c>
      <c r="AL988">
        <v>0</v>
      </c>
      <c r="AN988">
        <f>AND(IF(Metadata!B988="",FALSE,TRUE),COUNTIF(Metadata!B:B, Metadata!B988) = 1,NOT(ISERROR(SUMPRODUCT(SEARCH(MID(Metadata!B988,ROW(INDIRECT("1:"&amp;LEN(Metadata!B988))), 1),"0123456789abcdefghijklmnopqrstuvwxyzABCDEFGHIJKLMNOPQRSTUVWXYZ.")))))</f>
        <v>0</v>
      </c>
      <c r="AO988">
        <f>IF(Metadata!C988="",FALSE,TRUE)</f>
        <v>0</v>
      </c>
      <c r="AP988">
        <f>IF(Metadata!D988="",FALSE,TRUE)</f>
        <v>0</v>
      </c>
      <c r="AQ988">
        <f>OR(AND(IF(Metadata!E988="",FALSE,TRUE),OR(exact(Metadata!E988,"not collected"),exact(Metadata!E988,"not provided"),exact(Metadata!E988,"restricted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R988">
        <f>IF(Metadata!F988="",FALSE,TRUE)</f>
        <v>0</v>
      </c>
      <c r="AS988">
        <f>OR(AND(IF(Metadata!G988="",FALSE,TRUE),OR(exact(Metadata!G988,"not collected"),exact(Metadata!G988,"not provided"))),AND(IF(Metadata!G988="",FALSE,TRUE),OR(exact(Metadata!G988,"TRUE"),exact(Metadata!G988,"FALSE"))))</f>
        <v>0</v>
      </c>
      <c r="AT988">
        <f>OR(AND(IF(Metadata!H988="",FALSE,TRUE),OR(exact(Metadata!H988,"not collected"),exact(Metadata!H988,"not provided"),exact(Metadata!H988,"restricted access"))),AND(IF(Metadata!H988="",FALSE,ISNUMBER(VALUE(Metadata!H988))),Metadata!H988&gt;=-413.0))</f>
        <v>0</v>
      </c>
      <c r="AU988">
        <f>AND(IF(Metadata!I988="",FALSE,TRUE),exact(Metadata!I988,"meters"))</f>
        <v>0</v>
      </c>
      <c r="AV988">
        <f>AND(IF(Metadata!J988="",FALSE,TRUE),OR(exact(Metadata!J988,"Host-associated"),exact(Metadata!J988,"Free-living")))</f>
        <v>0</v>
      </c>
      <c r="AW988">
        <f>AND(IF(Metadata!K988="",FALSE,TRUE),OR(exact(Metadata!K988,"Animal"),exact(Metadata!K988,"Fungus"),exact(Metadata!K988,"Plant"),exact(Metadata!K988,"Saline"),exact(Metadata!K988,"Non-saline")))</f>
        <v>0</v>
      </c>
      <c r="AX988">
        <f>AND(IF(Metadata!L988="",FALSE,TRUE),OR(exact(Metadata!L988,"Plant secretion"),exact(Metadata!L988,"Plant rhizosphere"),exact(Metadata!L988,"Plant surface"),exact(Metadata!L988,"Plant corpus"),exact(Metadata!L988,"Fungus surface"),exact(Metadata!L988,"Fungus corpus"),exact(Metadata!L988,"Animal surface"),exact(Metadata!L988,"Animal proximal gut"),exact(Metadata!L988,"Animal corpus"),exact(Metadata!L988,"Animal distal gut"),exact(Metadata!L988,"Animal secretion"),exact(Metadata!L988,"Sub-surface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Y988">
        <f>IF(Metadata!M988="",FALSE,TRUE)</f>
        <v>0</v>
      </c>
      <c r="AZ988">
        <f>IF(Metadata!N988="",FALSE,TRUE)</f>
        <v>0</v>
      </c>
      <c r="BA988">
        <f>IF(Metadata!O988="",FALSE,TRUE)</f>
        <v>0</v>
      </c>
      <c r="BB988">
        <f>OR(AND(IF(Metadata!P988="",FALSE,TRUE),OR(exact(Metadata!P988,"not collected"),exact(Metadata!P988,"not provided"),exact(Metadata!P988,"restricted access"))),AND(IF(Metadata!P988="",FALSE,TRUE),OR(exact(Metadata!P988,"air"),exact(Metadata!P988,"built environment"),exact(Metadata!P988,"host-associated"),exact(Metadata!P988,"human-associated"),exact(Metadata!P988,"human-skin"),exact(Metadata!P988,"human-oral"),exact(Metadata!P988,"human-gut"),exact(Metadata!P988,"human-vaginal"),exact(Metadata!P988,"microbial mat/biofilm"),exact(Metadata!P988,"misc environment"),exact(Metadata!P988,"plant-associated"),exact(Metadata!P988,"sediment"),exact(Metadata!P988,"soil"),exact(Metadata!P988,"wastewater/sludge"),exact(Metadata!P988,"water"))))</f>
        <v>0</v>
      </c>
      <c r="BC988">
        <f>IF(Metadata!Q988="",FALSE,TRUE)</f>
        <v>0</v>
      </c>
      <c r="BD988">
        <f>IF(Metadata!R988="",FALSE,TRUE)</f>
        <v>0</v>
      </c>
      <c r="BE988">
        <f>OR(AND(IF(Metadata!S988="",FALSE,TRUE),OR(exact(Metadata!S988,"not collected"),exact(Metadata!S988,"not provided"),exact(Metadata!S988,"restricted access"))),AND(IF(Metadata!S988="",FALSE,ISNUMBER(VALUE(Metadata!S988))),Metadata!S988&gt;=-90.00,Metadata!S988&lt;=90.00))</f>
        <v>0</v>
      </c>
      <c r="BF988">
        <f>AND(IF(Metadata!T988="",FALSE,TRUE),exact(Metadata!T988,"Decimal degrees"))</f>
        <v>0</v>
      </c>
      <c r="BG988">
        <f>OR(AND(IF(Metadata!U988="",FALSE,TRUE),OR(exact(Metadata!U988,"not collected"),exact(Metadata!U988,"not provided"),exact(Metadata!U988,"restricted access"))),AND(IF(Metadata!U988="",FALSE,ISNUMBER(VALUE(Metadata!U988))),Metadata!U988&gt;=-180.00,Metadata!U988&lt;=180.00))</f>
        <v>0</v>
      </c>
      <c r="BH988">
        <f>AND(IF(Metadata!V988="",FALSE,TRUE),exact(Metadata!V988,"Decimal degrees"))</f>
        <v>0</v>
      </c>
      <c r="BI988">
        <f>IF(Metadata!W988="",FALSE,TRUE)</f>
        <v>0</v>
      </c>
      <c r="BJ988">
        <f>OR(AND(IF(Metadata!X988="",FALSE,TRUE),OR(exact(Metadata!X988,"not collected"),exact(Metadata!X988,"not provided"),exact(Metadata!X988,"restricted access"))),AND(IF(Metadata!X988="",FALSE,TRUE),OR(exact(Metadata!X988,"TRUE"),exact(Metadata!X988,"FALSE"))))</f>
        <v>0</v>
      </c>
      <c r="BK988">
        <f>AND(IF(Metadata!Y988="",FALSE,TRUE),exact(Metadata!Y988,"other"))</f>
        <v>0</v>
      </c>
      <c r="BL988">
        <f>IF(Metadata!Z988="",FALSE,TRUE)</f>
        <v>0</v>
      </c>
      <c r="BM988">
        <f>OR(AND(IF(Metadata!AA988="",FALSE,TRUE),OR(exact(Metadata!AA988,"not collected"),exact(Metadata!AA988,"not provided"))),AND(IF(Metadata!AA988="",FALSE,IF(ISERROR(INT(Metadata!AA988)),FALSE,INT(Metadata!AA988)=Metadata!AA988)),Metadata!AA988&gt;0))</f>
        <v>0</v>
      </c>
      <c r="BN988">
        <f>AND(IF(Metadata!AB988="",FALSE,TRUE),exact(Metadata!AB988,"Not applicable"))</f>
        <v>0</v>
      </c>
      <c r="BO988">
        <f>IF(Metadata!AC988="",FALSE,TRUE)</f>
        <v>0</v>
      </c>
    </row>
    <row r="989" spans="1:67">
      <c r="A989" s="5">
        <f>IF(B989=" "," ",HYPERLINK(CONCATENATE("#metadata!",ADDRESS(INDEX($AI$2:$AI$1001,MATCH(ROWS($AG$2:AG989),$AG$2:$AG$1001,0),0),1)),INDEX($AL$2:$AL$1001,MATCH(ROWS($AG$2:AG989),$AG$2:$AG$1001,0),0)))</f>
        <v>0</v>
      </c>
      <c r="B989" s="4">
        <f>IF(OR(INDEX($AH$2:$AH$1001,MATCH(ROWS($AG$2:AG989),$AG$2:$AG$1001,0),1)&gt;=100000,INDEX($AN$1005:$BO$1005,1,MATCH(COLUMNS($AN$1006:AN1006),$AN$1006:$BO$1006,0))&gt;=100000), " ",IF(INDEX($AN$2:$BO$1001,MATCH(ROWS($AG$2:AG989),$AG$2:$AG$1001,0),MATCH(COLUMNS($AN$1006:AN1006),$AN$1006:$BO$1006,0)), HYPERLINK("#",""), HYPERLINK(CONCATENATE("#Metadata!", ADDRESS(INDEX($AI$2:$AI$1001,MATCH(ROWS($AG$2:AG989),$AG$2:$AG$1001,0),0), INDEX($AN$1004:$BO$1004,1,MATCH(COLUMNS($AN$1006:AN1006),$AN$1006:$BO$1006,0)))),"Fix")))</f>
        <v>0</v>
      </c>
      <c r="C989" s="4">
        <f>IF(OR(INDEX($AH$2:$AH$1001,MATCH(ROWS($AG$2:AG989),$AG$2:$AG$1001,0),1)&gt;=100000,INDEX($AN$1005:$BO$1005,1,MATCH(COLUMNS($AN$1006:AO1006),$AN$1006:$BO$1006,0))&gt;=100000), " ",IF(INDEX($AN$2:$BO$1001,MATCH(ROWS($AG$2:AG989),$AG$2:$AG$1001,0),MATCH(COLUMNS($AN$1006:AO1006),$AN$1006:$BO$1006,0)), HYPERLINK("#",""), HYPERLINK(CONCATENATE("#Metadata!", ADDRESS(INDEX($AI$2:$AI$1001,MATCH(ROWS($AG$2:AG989),$AG$2:$AG$1001,0),0), INDEX($AN$1004:$BO$1004,1,MATCH(COLUMNS($AN$1006:AO1006),$AN$1006:$BO$1006,0)))),"Fix")))</f>
        <v>0</v>
      </c>
      <c r="D989" s="4">
        <f>IF(OR(INDEX($AH$2:$AH$1001,MATCH(ROWS($AG$2:AG989),$AG$2:$AG$1001,0),1)&gt;=100000,INDEX($AN$1005:$BO$1005,1,MATCH(COLUMNS($AN$1006:AP1006),$AN$1006:$BO$1006,0))&gt;=100000), " ",IF(INDEX($AN$2:$BO$1001,MATCH(ROWS($AG$2:AG989),$AG$2:$AG$1001,0),MATCH(COLUMNS($AN$1006:AP1006),$AN$1006:$BO$1006,0)), HYPERLINK("#",""), HYPERLINK(CONCATENATE("#Metadata!", ADDRESS(INDEX($AI$2:$AI$1001,MATCH(ROWS($AG$2:AG989),$AG$2:$AG$1001,0),0), INDEX($AN$1004:$BO$1004,1,MATCH(COLUMNS($AN$1006:AP1006),$AN$1006:$BO$1006,0)))),"Fix")))</f>
        <v>0</v>
      </c>
      <c r="E989" s="4">
        <f>IF(OR(INDEX($AH$2:$AH$1001,MATCH(ROWS($AG$2:AG989),$AG$2:$AG$1001,0),1)&gt;=100000,INDEX($AN$1005:$BO$1005,1,MATCH(COLUMNS($AN$1006:AQ1006),$AN$1006:$BO$1006,0))&gt;=100000), " ",IF(INDEX($AN$2:$BO$1001,MATCH(ROWS($AG$2:AG989),$AG$2:$AG$1001,0),MATCH(COLUMNS($AN$1006:AQ1006),$AN$1006:$BO$1006,0)), HYPERLINK("#",""), HYPERLINK(CONCATENATE("#Metadata!", ADDRESS(INDEX($AI$2:$AI$1001,MATCH(ROWS($AG$2:AG989),$AG$2:$AG$1001,0),0), INDEX($AN$1004:$BO$1004,1,MATCH(COLUMNS($AN$1006:AQ1006),$AN$1006:$BO$1006,0)))),"Fix")))</f>
        <v>0</v>
      </c>
      <c r="F989" s="4">
        <f>IF(OR(INDEX($AH$2:$AH$1001,MATCH(ROWS($AG$2:AG989),$AG$2:$AG$1001,0),1)&gt;=100000,INDEX($AN$1005:$BO$1005,1,MATCH(COLUMNS($AN$1006:AR1006),$AN$1006:$BO$1006,0))&gt;=100000), " ",IF(INDEX($AN$2:$BO$1001,MATCH(ROWS($AG$2:AG989),$AG$2:$AG$1001,0),MATCH(COLUMNS($AN$1006:AR1006),$AN$1006:$BO$1006,0)), HYPERLINK("#",""), HYPERLINK(CONCATENATE("#Metadata!", ADDRESS(INDEX($AI$2:$AI$1001,MATCH(ROWS($AG$2:AG989),$AG$2:$AG$1001,0),0), INDEX($AN$1004:$BO$1004,1,MATCH(COLUMNS($AN$1006:AR1006),$AN$1006:$BO$1006,0)))),"Fix")))</f>
        <v>0</v>
      </c>
      <c r="G989" s="4">
        <f>IF(OR(INDEX($AH$2:$AH$1001,MATCH(ROWS($AG$2:AG989),$AG$2:$AG$1001,0),1)&gt;=100000,INDEX($AN$1005:$BO$1005,1,MATCH(COLUMNS($AN$1006:AS1006),$AN$1006:$BO$1006,0))&gt;=100000), " ",IF(INDEX($AN$2:$BO$1001,MATCH(ROWS($AG$2:AG989),$AG$2:$AG$1001,0),MATCH(COLUMNS($AN$1006:AS1006),$AN$1006:$BO$1006,0)), HYPERLINK("#",""), HYPERLINK(CONCATENATE("#Metadata!", ADDRESS(INDEX($AI$2:$AI$1001,MATCH(ROWS($AG$2:AG989),$AG$2:$AG$1001,0),0), INDEX($AN$1004:$BO$1004,1,MATCH(COLUMNS($AN$1006:AS1006),$AN$1006:$BO$1006,0)))),"Fix")))</f>
        <v>0</v>
      </c>
      <c r="H989" s="4">
        <f>IF(OR(INDEX($AH$2:$AH$1001,MATCH(ROWS($AG$2:AG989),$AG$2:$AG$1001,0),1)&gt;=100000,INDEX($AN$1005:$BO$1005,1,MATCH(COLUMNS($AN$1006:AT1006),$AN$1006:$BO$1006,0))&gt;=100000), " ",IF(INDEX($AN$2:$BO$1001,MATCH(ROWS($AG$2:AG989),$AG$2:$AG$1001,0),MATCH(COLUMNS($AN$1006:AT1006),$AN$1006:$BO$1006,0)), HYPERLINK("#",""), HYPERLINK(CONCATENATE("#Metadata!", ADDRESS(INDEX($AI$2:$AI$1001,MATCH(ROWS($AG$2:AG989),$AG$2:$AG$1001,0),0), INDEX($AN$1004:$BO$1004,1,MATCH(COLUMNS($AN$1006:AT1006),$AN$1006:$BO$1006,0)))),"Fix")))</f>
        <v>0</v>
      </c>
      <c r="I989" s="4">
        <f>IF(OR(INDEX($AH$2:$AH$1001,MATCH(ROWS($AG$2:AG989),$AG$2:$AG$1001,0),1)&gt;=100000,INDEX($AN$1005:$BO$1005,1,MATCH(COLUMNS($AN$1006:AU1006),$AN$1006:$BO$1006,0))&gt;=100000), " ",IF(INDEX($AN$2:$BO$1001,MATCH(ROWS($AG$2:AG989),$AG$2:$AG$1001,0),MATCH(COLUMNS($AN$1006:AU1006),$AN$1006:$BO$1006,0)), HYPERLINK("#",""), HYPERLINK(CONCATENATE("#Metadata!", ADDRESS(INDEX($AI$2:$AI$1001,MATCH(ROWS($AG$2:AG989),$AG$2:$AG$1001,0),0), INDEX($AN$1004:$BO$1004,1,MATCH(COLUMNS($AN$1006:AU1006),$AN$1006:$BO$1006,0)))),"Fix")))</f>
        <v>0</v>
      </c>
      <c r="J989" s="4">
        <f>IF(OR(INDEX($AH$2:$AH$1001,MATCH(ROWS($AG$2:AG989),$AG$2:$AG$1001,0),1)&gt;=100000,INDEX($AN$1005:$BO$1005,1,MATCH(COLUMNS($AN$1006:AV1006),$AN$1006:$BO$1006,0))&gt;=100000), " ",IF(INDEX($AN$2:$BO$1001,MATCH(ROWS($AG$2:AG989),$AG$2:$AG$1001,0),MATCH(COLUMNS($AN$1006:AV1006),$AN$1006:$BO$1006,0)), HYPERLINK("#",""), HYPERLINK(CONCATENATE("#Metadata!", ADDRESS(INDEX($AI$2:$AI$1001,MATCH(ROWS($AG$2:AG989),$AG$2:$AG$1001,0),0), INDEX($AN$1004:$BO$1004,1,MATCH(COLUMNS($AN$1006:AV1006),$AN$1006:$BO$1006,0)))),"Fix")))</f>
        <v>0</v>
      </c>
      <c r="K989" s="4">
        <f>IF(OR(INDEX($AH$2:$AH$1001,MATCH(ROWS($AG$2:AG989),$AG$2:$AG$1001,0),1)&gt;=100000,INDEX($AN$1005:$BO$1005,1,MATCH(COLUMNS($AN$1006:AW1006),$AN$1006:$BO$1006,0))&gt;=100000), " ",IF(INDEX($AN$2:$BO$1001,MATCH(ROWS($AG$2:AG989),$AG$2:$AG$1001,0),MATCH(COLUMNS($AN$1006:AW1006),$AN$1006:$BO$1006,0)), HYPERLINK("#",""), HYPERLINK(CONCATENATE("#Metadata!", ADDRESS(INDEX($AI$2:$AI$1001,MATCH(ROWS($AG$2:AG989),$AG$2:$AG$1001,0),0), INDEX($AN$1004:$BO$1004,1,MATCH(COLUMNS($AN$1006:AW1006),$AN$1006:$BO$1006,0)))),"Fix")))</f>
        <v>0</v>
      </c>
      <c r="L989" s="4">
        <f>IF(OR(INDEX($AH$2:$AH$1001,MATCH(ROWS($AG$2:AG989),$AG$2:$AG$1001,0),1)&gt;=100000,INDEX($AN$1005:$BO$1005,1,MATCH(COLUMNS($AN$1006:AX1006),$AN$1006:$BO$1006,0))&gt;=100000), " ",IF(INDEX($AN$2:$BO$1001,MATCH(ROWS($AG$2:AG989),$AG$2:$AG$1001,0),MATCH(COLUMNS($AN$1006:AX1006),$AN$1006:$BO$1006,0)), HYPERLINK("#",""), HYPERLINK(CONCATENATE("#Metadata!", ADDRESS(INDEX($AI$2:$AI$1001,MATCH(ROWS($AG$2:AG989),$AG$2:$AG$1001,0),0), INDEX($AN$1004:$BO$1004,1,MATCH(COLUMNS($AN$1006:AX1006),$AN$1006:$BO$1006,0)))),"Fix")))</f>
        <v>0</v>
      </c>
      <c r="M989" s="4">
        <f>IF(OR(INDEX($AH$2:$AH$1001,MATCH(ROWS($AG$2:AG989),$AG$2:$AG$1001,0),1)&gt;=100000,INDEX($AN$1005:$BO$1005,1,MATCH(COLUMNS($AN$1006:AY1006),$AN$1006:$BO$1006,0))&gt;=100000), " ",IF(INDEX($AN$2:$BO$1001,MATCH(ROWS($AG$2:AG989),$AG$2:$AG$1001,0),MATCH(COLUMNS($AN$1006:AY1006),$AN$1006:$BO$1006,0)), HYPERLINK("#",""), HYPERLINK(CONCATENATE("#Metadata!", ADDRESS(INDEX($AI$2:$AI$1001,MATCH(ROWS($AG$2:AG989),$AG$2:$AG$1001,0),0), INDEX($AN$1004:$BO$1004,1,MATCH(COLUMNS($AN$1006:AY1006),$AN$1006:$BO$1006,0)))),"Fix")))</f>
        <v>0</v>
      </c>
      <c r="N989" s="4">
        <f>IF(OR(INDEX($AH$2:$AH$1001,MATCH(ROWS($AG$2:AG989),$AG$2:$AG$1001,0),1)&gt;=100000,INDEX($AN$1005:$BO$1005,1,MATCH(COLUMNS($AN$1006:AZ1006),$AN$1006:$BO$1006,0))&gt;=100000), " ",IF(INDEX($AN$2:$BO$1001,MATCH(ROWS($AG$2:AG989),$AG$2:$AG$1001,0),MATCH(COLUMNS($AN$1006:AZ1006),$AN$1006:$BO$1006,0)), HYPERLINK("#",""), HYPERLINK(CONCATENATE("#Metadata!", ADDRESS(INDEX($AI$2:$AI$1001,MATCH(ROWS($AG$2:AG989),$AG$2:$AG$1001,0),0), INDEX($AN$1004:$BO$1004,1,MATCH(COLUMNS($AN$1006:AZ1006),$AN$1006:$BO$1006,0)))),"Fix")))</f>
        <v>0</v>
      </c>
      <c r="O989" s="4">
        <f>IF(OR(INDEX($AH$2:$AH$1001,MATCH(ROWS($AG$2:AG989),$AG$2:$AG$1001,0),1)&gt;=100000,INDEX($AN$1005:$BO$1005,1,MATCH(COLUMNS($AN$1006:BA1006),$AN$1006:$BO$1006,0))&gt;=100000), " ",IF(INDEX($AN$2:$BO$1001,MATCH(ROWS($AG$2:AG989),$AG$2:$AG$1001,0),MATCH(COLUMNS($AN$1006:BA1006),$AN$1006:$BO$1006,0)), HYPERLINK("#",""), HYPERLINK(CONCATENATE("#Metadata!", ADDRESS(INDEX($AI$2:$AI$1001,MATCH(ROWS($AG$2:AG989),$AG$2:$AG$1001,0),0), INDEX($AN$1004:$BO$1004,1,MATCH(COLUMNS($AN$1006:BA1006),$AN$1006:$BO$1006,0)))),"Fix")))</f>
        <v>0</v>
      </c>
      <c r="P989" s="4">
        <f>IF(OR(INDEX($AH$2:$AH$1001,MATCH(ROWS($AG$2:AG989),$AG$2:$AG$1001,0),1)&gt;=100000,INDEX($AN$1005:$BO$1005,1,MATCH(COLUMNS($AN$1006:BB1006),$AN$1006:$BO$1006,0))&gt;=100000), " ",IF(INDEX($AN$2:$BO$1001,MATCH(ROWS($AG$2:AG989),$AG$2:$AG$1001,0),MATCH(COLUMNS($AN$1006:BB1006),$AN$1006:$BO$1006,0)), HYPERLINK("#",""), HYPERLINK(CONCATENATE("#Metadata!", ADDRESS(INDEX($AI$2:$AI$1001,MATCH(ROWS($AG$2:AG989),$AG$2:$AG$1001,0),0), INDEX($AN$1004:$BO$1004,1,MATCH(COLUMNS($AN$1006:BB1006),$AN$1006:$BO$1006,0)))),"Fix")))</f>
        <v>0</v>
      </c>
      <c r="Q989" s="4">
        <f>IF(OR(INDEX($AH$2:$AH$1001,MATCH(ROWS($AG$2:AG989),$AG$2:$AG$1001,0),1)&gt;=100000,INDEX($AN$1005:$BO$1005,1,MATCH(COLUMNS($AN$1006:BC1006),$AN$1006:$BO$1006,0))&gt;=100000), " ",IF(INDEX($AN$2:$BO$1001,MATCH(ROWS($AG$2:AG989),$AG$2:$AG$1001,0),MATCH(COLUMNS($AN$1006:BC1006),$AN$1006:$BO$1006,0)), HYPERLINK("#",""), HYPERLINK(CONCATENATE("#Metadata!", ADDRESS(INDEX($AI$2:$AI$1001,MATCH(ROWS($AG$2:AG989),$AG$2:$AG$1001,0),0), INDEX($AN$1004:$BO$1004,1,MATCH(COLUMNS($AN$1006:BC1006),$AN$1006:$BO$1006,0)))),"Fix")))</f>
        <v>0</v>
      </c>
      <c r="R989" s="4">
        <f>IF(OR(INDEX($AH$2:$AH$1001,MATCH(ROWS($AG$2:AG989),$AG$2:$AG$1001,0),1)&gt;=100000,INDEX($AN$1005:$BO$1005,1,MATCH(COLUMNS($AN$1006:BD1006),$AN$1006:$BO$1006,0))&gt;=100000), " ",IF(INDEX($AN$2:$BO$1001,MATCH(ROWS($AG$2:AG989),$AG$2:$AG$1001,0),MATCH(COLUMNS($AN$1006:BD1006),$AN$1006:$BO$1006,0)), HYPERLINK("#",""), HYPERLINK(CONCATENATE("#Metadata!", ADDRESS(INDEX($AI$2:$AI$1001,MATCH(ROWS($AG$2:AG989),$AG$2:$AG$1001,0),0), INDEX($AN$1004:$BO$1004,1,MATCH(COLUMNS($AN$1006:BD1006),$AN$1006:$BO$1006,0)))),"Fix")))</f>
        <v>0</v>
      </c>
      <c r="S989" s="4">
        <f>IF(OR(INDEX($AH$2:$AH$1001,MATCH(ROWS($AG$2:AG989),$AG$2:$AG$1001,0),1)&gt;=100000,INDEX($AN$1005:$BO$1005,1,MATCH(COLUMNS($AN$1006:BE1006),$AN$1006:$BO$1006,0))&gt;=100000), " ",IF(INDEX($AN$2:$BO$1001,MATCH(ROWS($AG$2:AG989),$AG$2:$AG$1001,0),MATCH(COLUMNS($AN$1006:BE1006),$AN$1006:$BO$1006,0)), HYPERLINK("#",""), HYPERLINK(CONCATENATE("#Metadata!", ADDRESS(INDEX($AI$2:$AI$1001,MATCH(ROWS($AG$2:AG989),$AG$2:$AG$1001,0),0), INDEX($AN$1004:$BO$1004,1,MATCH(COLUMNS($AN$1006:BE1006),$AN$1006:$BO$1006,0)))),"Fix")))</f>
        <v>0</v>
      </c>
      <c r="T989" s="4">
        <f>IF(OR(INDEX($AH$2:$AH$1001,MATCH(ROWS($AG$2:AG989),$AG$2:$AG$1001,0),1)&gt;=100000,INDEX($AN$1005:$BO$1005,1,MATCH(COLUMNS($AN$1006:BF1006),$AN$1006:$BO$1006,0))&gt;=100000), " ",IF(INDEX($AN$2:$BO$1001,MATCH(ROWS($AG$2:AG989),$AG$2:$AG$1001,0),MATCH(COLUMNS($AN$1006:BF1006),$AN$1006:$BO$1006,0)), HYPERLINK("#",""), HYPERLINK(CONCATENATE("#Metadata!", ADDRESS(INDEX($AI$2:$AI$1001,MATCH(ROWS($AG$2:AG989),$AG$2:$AG$1001,0),0), INDEX($AN$1004:$BO$1004,1,MATCH(COLUMNS($AN$1006:BF1006),$AN$1006:$BO$1006,0)))),"Fix")))</f>
        <v>0</v>
      </c>
      <c r="U989" s="4">
        <f>IF(OR(INDEX($AH$2:$AH$1001,MATCH(ROWS($AG$2:AG989),$AG$2:$AG$1001,0),1)&gt;=100000,INDEX($AN$1005:$BO$1005,1,MATCH(COLUMNS($AN$1006:BG1006),$AN$1006:$BO$1006,0))&gt;=100000), " ",IF(INDEX($AN$2:$BO$1001,MATCH(ROWS($AG$2:AG989),$AG$2:$AG$1001,0),MATCH(COLUMNS($AN$1006:BG1006),$AN$1006:$BO$1006,0)), HYPERLINK("#",""), HYPERLINK(CONCATENATE("#Metadata!", ADDRESS(INDEX($AI$2:$AI$1001,MATCH(ROWS($AG$2:AG989),$AG$2:$AG$1001,0),0), INDEX($AN$1004:$BO$1004,1,MATCH(COLUMNS($AN$1006:BG1006),$AN$1006:$BO$1006,0)))),"Fix")))</f>
        <v>0</v>
      </c>
      <c r="V989" s="4">
        <f>IF(OR(INDEX($AH$2:$AH$1001,MATCH(ROWS($AG$2:AG989),$AG$2:$AG$1001,0),1)&gt;=100000,INDEX($AN$1005:$BO$1005,1,MATCH(COLUMNS($AN$1006:BH1006),$AN$1006:$BO$1006,0))&gt;=100000), " ",IF(INDEX($AN$2:$BO$1001,MATCH(ROWS($AG$2:AG989),$AG$2:$AG$1001,0),MATCH(COLUMNS($AN$1006:BH1006),$AN$1006:$BO$1006,0)), HYPERLINK("#",""), HYPERLINK(CONCATENATE("#Metadata!", ADDRESS(INDEX($AI$2:$AI$1001,MATCH(ROWS($AG$2:AG989),$AG$2:$AG$1001,0),0), INDEX($AN$1004:$BO$1004,1,MATCH(COLUMNS($AN$1006:BH1006),$AN$1006:$BO$1006,0)))),"Fix")))</f>
        <v>0</v>
      </c>
      <c r="W989" s="4">
        <f>IF(OR(INDEX($AH$2:$AH$1001,MATCH(ROWS($AG$2:AG989),$AG$2:$AG$1001,0),1)&gt;=100000,INDEX($AN$1005:$BO$1005,1,MATCH(COLUMNS($AN$1006:BI1006),$AN$1006:$BO$1006,0))&gt;=100000), " ",IF(INDEX($AN$2:$BO$1001,MATCH(ROWS($AG$2:AG989),$AG$2:$AG$1001,0),MATCH(COLUMNS($AN$1006:BI1006),$AN$1006:$BO$1006,0)), HYPERLINK("#",""), HYPERLINK(CONCATENATE("#Metadata!", ADDRESS(INDEX($AI$2:$AI$1001,MATCH(ROWS($AG$2:AG989),$AG$2:$AG$1001,0),0), INDEX($AN$1004:$BO$1004,1,MATCH(COLUMNS($AN$1006:BI1006),$AN$1006:$BO$1006,0)))),"Fix")))</f>
        <v>0</v>
      </c>
      <c r="X989" s="4">
        <f>IF(OR(INDEX($AH$2:$AH$1001,MATCH(ROWS($AG$2:AG989),$AG$2:$AG$1001,0),1)&gt;=100000,INDEX($AN$1005:$BO$1005,1,MATCH(COLUMNS($AN$1006:BJ1006),$AN$1006:$BO$1006,0))&gt;=100000), " ",IF(INDEX($AN$2:$BO$1001,MATCH(ROWS($AG$2:AG989),$AG$2:$AG$1001,0),MATCH(COLUMNS($AN$1006:BJ1006),$AN$1006:$BO$1006,0)), HYPERLINK("#",""), HYPERLINK(CONCATENATE("#Metadata!", ADDRESS(INDEX($AI$2:$AI$1001,MATCH(ROWS($AG$2:AG989),$AG$2:$AG$1001,0),0), INDEX($AN$1004:$BO$1004,1,MATCH(COLUMNS($AN$1006:BJ1006),$AN$1006:$BO$1006,0)))),"Fix")))</f>
        <v>0</v>
      </c>
      <c r="Y989" s="4">
        <f>IF(OR(INDEX($AH$2:$AH$1001,MATCH(ROWS($AG$2:AG989),$AG$2:$AG$1001,0),1)&gt;=100000,INDEX($AN$1005:$BO$1005,1,MATCH(COLUMNS($AN$1006:BK1006),$AN$1006:$BO$1006,0))&gt;=100000), " ",IF(INDEX($AN$2:$BO$1001,MATCH(ROWS($AG$2:AG989),$AG$2:$AG$1001,0),MATCH(COLUMNS($AN$1006:BK1006),$AN$1006:$BO$1006,0)), HYPERLINK("#",""), HYPERLINK(CONCATENATE("#Metadata!", ADDRESS(INDEX($AI$2:$AI$1001,MATCH(ROWS($AG$2:AG989),$AG$2:$AG$1001,0),0), INDEX($AN$1004:$BO$1004,1,MATCH(COLUMNS($AN$1006:BK1006),$AN$1006:$BO$1006,0)))),"Fix")))</f>
        <v>0</v>
      </c>
      <c r="Z989" s="4">
        <f>IF(OR(INDEX($AH$2:$AH$1001,MATCH(ROWS($AG$2:AG989),$AG$2:$AG$1001,0),1)&gt;=100000,INDEX($AN$1005:$BO$1005,1,MATCH(COLUMNS($AN$1006:BL1006),$AN$1006:$BO$1006,0))&gt;=100000), " ",IF(INDEX($AN$2:$BO$1001,MATCH(ROWS($AG$2:AG989),$AG$2:$AG$1001,0),MATCH(COLUMNS($AN$1006:BL1006),$AN$1006:$BO$1006,0)), HYPERLINK("#",""), HYPERLINK(CONCATENATE("#Metadata!", ADDRESS(INDEX($AI$2:$AI$1001,MATCH(ROWS($AG$2:AG989),$AG$2:$AG$1001,0),0), INDEX($AN$1004:$BO$1004,1,MATCH(COLUMNS($AN$1006:BL1006),$AN$1006:$BO$1006,0)))),"Fix")))</f>
        <v>0</v>
      </c>
      <c r="AA989" s="4">
        <f>IF(OR(INDEX($AH$2:$AH$1001,MATCH(ROWS($AG$2:AG989),$AG$2:$AG$1001,0),1)&gt;=100000,INDEX($AN$1005:$BO$1005,1,MATCH(COLUMNS($AN$1006:BM1006),$AN$1006:$BO$1006,0))&gt;=100000), " ",IF(INDEX($AN$2:$BO$1001,MATCH(ROWS($AG$2:AG989),$AG$2:$AG$1001,0),MATCH(COLUMNS($AN$1006:BM1006),$AN$1006:$BO$1006,0)), HYPERLINK("#",""), HYPERLINK(CONCATENATE("#Metadata!", ADDRESS(INDEX($AI$2:$AI$1001,MATCH(ROWS($AG$2:AG989),$AG$2:$AG$1001,0),0), INDEX($AN$1004:$BO$1004,1,MATCH(COLUMNS($AN$1006:BM1006),$AN$1006:$BO$1006,0)))),"Fix")))</f>
        <v>0</v>
      </c>
      <c r="AB989" s="4">
        <f>IF(OR(INDEX($AH$2:$AH$1001,MATCH(ROWS($AG$2:AG989),$AG$2:$AG$1001,0),1)&gt;=100000,INDEX($AN$1005:$BO$1005,1,MATCH(COLUMNS($AN$1006:BN1006),$AN$1006:$BO$1006,0))&gt;=100000), " ",IF(INDEX($AN$2:$BO$1001,MATCH(ROWS($AG$2:AG989),$AG$2:$AG$1001,0),MATCH(COLUMNS($AN$1006:BN1006),$AN$1006:$BO$1006,0)), HYPERLINK("#",""), HYPERLINK(CONCATENATE("#Metadata!", ADDRESS(INDEX($AI$2:$AI$1001,MATCH(ROWS($AG$2:AG989),$AG$2:$AG$1001,0),0), INDEX($AN$1004:$BO$1004,1,MATCH(COLUMNS($AN$1006:BN1006),$AN$1006:$BO$1006,0)))),"Fix")))</f>
        <v>0</v>
      </c>
      <c r="AC989" s="4">
        <f>IF(OR(INDEX($AH$2:$AH$1001,MATCH(ROWS($AG$2:AG989),$AG$2:$AG$1001,0),1)&gt;=100000,INDEX($AN$1005:$BO$1005,1,MATCH(COLUMNS($AN$1006:BO1006),$AN$1006:$BO$1006,0))&gt;=100000), " ",IF(INDEX($AN$2:$BO$1001,MATCH(ROWS($AG$2:AG989),$AG$2:$AG$1001,0),MATCH(COLUMNS($AN$1006:BO1006),$AN$1006:$BO$1006,0)), HYPERLINK("#",""), HYPERLINK(CONCATENATE("#Metadata!", ADDRESS(INDEX($AI$2:$AI$1001,MATCH(ROWS($AG$2:AG989),$AG$2:$AG$1001,0),0), INDEX($AN$1004:$BO$1004,1,MATCH(COLUMNS($AN$1006:BO1006),$AN$1006:$BO$1006,0)))),"Fix")))</f>
        <v>0</v>
      </c>
      <c r="AG989">
        <v>0</v>
      </c>
      <c r="AH989">
        <v>0</v>
      </c>
      <c r="AI989">
        <v>0</v>
      </c>
      <c r="AJ989">
        <f>IF(AK989,TRUE,AND(AN989:BO989))</f>
        <v>0</v>
      </c>
      <c r="AK989">
        <f>COUNTBLANK(Metadata!B989:AC989)=COLUMNS(Metadata!B989:AC989)</f>
        <v>0</v>
      </c>
      <c r="AL989">
        <v>0</v>
      </c>
      <c r="AN989">
        <f>AND(IF(Metadata!B989="",FALSE,TRUE),COUNTIF(Metadata!B:B, Metadata!B989) = 1,NOT(ISERROR(SUMPRODUCT(SEARCH(MID(Metadata!B989,ROW(INDIRECT("1:"&amp;LEN(Metadata!B989))), 1),"0123456789abcdefghijklmnopqrstuvwxyzABCDEFGHIJKLMNOPQRSTUVWXYZ.")))))</f>
        <v>0</v>
      </c>
      <c r="AO989">
        <f>IF(Metadata!C989="",FALSE,TRUE)</f>
        <v>0</v>
      </c>
      <c r="AP989">
        <f>IF(Metadata!D989="",FALSE,TRUE)</f>
        <v>0</v>
      </c>
      <c r="AQ989">
        <f>OR(AND(IF(Metadata!E989="",FALSE,TRUE),OR(exact(Metadata!E989,"not collected"),exact(Metadata!E989,"not provided"),exact(Metadata!E989,"restricted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R989">
        <f>IF(Metadata!F989="",FALSE,TRUE)</f>
        <v>0</v>
      </c>
      <c r="AS989">
        <f>OR(AND(IF(Metadata!G989="",FALSE,TRUE),OR(exact(Metadata!G989,"not collected"),exact(Metadata!G989,"not provided"))),AND(IF(Metadata!G989="",FALSE,TRUE),OR(exact(Metadata!G989,"TRUE"),exact(Metadata!G989,"FALSE"))))</f>
        <v>0</v>
      </c>
      <c r="AT989">
        <f>OR(AND(IF(Metadata!H989="",FALSE,TRUE),OR(exact(Metadata!H989,"not collected"),exact(Metadata!H989,"not provided"),exact(Metadata!H989,"restricted access"))),AND(IF(Metadata!H989="",FALSE,ISNUMBER(VALUE(Metadata!H989))),Metadata!H989&gt;=-413.0))</f>
        <v>0</v>
      </c>
      <c r="AU989">
        <f>AND(IF(Metadata!I989="",FALSE,TRUE),exact(Metadata!I989,"meters"))</f>
        <v>0</v>
      </c>
      <c r="AV989">
        <f>AND(IF(Metadata!J989="",FALSE,TRUE),OR(exact(Metadata!J989,"Host-associated"),exact(Metadata!J989,"Free-living")))</f>
        <v>0</v>
      </c>
      <c r="AW989">
        <f>AND(IF(Metadata!K989="",FALSE,TRUE),OR(exact(Metadata!K989,"Animal"),exact(Metadata!K989,"Fungus"),exact(Metadata!K989,"Plant"),exact(Metadata!K989,"Saline"),exact(Metadata!K989,"Non-saline")))</f>
        <v>0</v>
      </c>
      <c r="AX989">
        <f>AND(IF(Metadata!L989="",FALSE,TRUE),OR(exact(Metadata!L989,"Plant secretion"),exact(Metadata!L989,"Plant rhizosphere"),exact(Metadata!L989,"Plant surface"),exact(Metadata!L989,"Plant corpus"),exact(Metadata!L989,"Fungus surface"),exact(Metadata!L989,"Fungus corpus"),exact(Metadata!L989,"Animal surface"),exact(Metadata!L989,"Animal proximal gut"),exact(Metadata!L989,"Animal corpus"),exact(Metadata!L989,"Animal distal gut"),exact(Metadata!L989,"Animal secretion"),exact(Metadata!L989,"Sub-surface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Y989">
        <f>IF(Metadata!M989="",FALSE,TRUE)</f>
        <v>0</v>
      </c>
      <c r="AZ989">
        <f>IF(Metadata!N989="",FALSE,TRUE)</f>
        <v>0</v>
      </c>
      <c r="BA989">
        <f>IF(Metadata!O989="",FALSE,TRUE)</f>
        <v>0</v>
      </c>
      <c r="BB989">
        <f>OR(AND(IF(Metadata!P989="",FALSE,TRUE),OR(exact(Metadata!P989,"not collected"),exact(Metadata!P989,"not provided"),exact(Metadata!P989,"restricted access"))),AND(IF(Metadata!P989="",FALSE,TRUE),OR(exact(Metadata!P989,"air"),exact(Metadata!P989,"built environment"),exact(Metadata!P989,"host-associated"),exact(Metadata!P989,"human-associated"),exact(Metadata!P989,"human-skin"),exact(Metadata!P989,"human-oral"),exact(Metadata!P989,"human-gut"),exact(Metadata!P989,"human-vaginal"),exact(Metadata!P989,"microbial mat/biofilm"),exact(Metadata!P989,"misc environment"),exact(Metadata!P989,"plant-associated"),exact(Metadata!P989,"sediment"),exact(Metadata!P989,"soil"),exact(Metadata!P989,"wastewater/sludge"),exact(Metadata!P989,"water"))))</f>
        <v>0</v>
      </c>
      <c r="BC989">
        <f>IF(Metadata!Q989="",FALSE,TRUE)</f>
        <v>0</v>
      </c>
      <c r="BD989">
        <f>IF(Metadata!R989="",FALSE,TRUE)</f>
        <v>0</v>
      </c>
      <c r="BE989">
        <f>OR(AND(IF(Metadata!S989="",FALSE,TRUE),OR(exact(Metadata!S989,"not collected"),exact(Metadata!S989,"not provided"),exact(Metadata!S989,"restricted access"))),AND(IF(Metadata!S989="",FALSE,ISNUMBER(VALUE(Metadata!S989))),Metadata!S989&gt;=-90.00,Metadata!S989&lt;=90.00))</f>
        <v>0</v>
      </c>
      <c r="BF989">
        <f>AND(IF(Metadata!T989="",FALSE,TRUE),exact(Metadata!T989,"Decimal degrees"))</f>
        <v>0</v>
      </c>
      <c r="BG989">
        <f>OR(AND(IF(Metadata!U989="",FALSE,TRUE),OR(exact(Metadata!U989,"not collected"),exact(Metadata!U989,"not provided"),exact(Metadata!U989,"restricted access"))),AND(IF(Metadata!U989="",FALSE,ISNUMBER(VALUE(Metadata!U989))),Metadata!U989&gt;=-180.00,Metadata!U989&lt;=180.00))</f>
        <v>0</v>
      </c>
      <c r="BH989">
        <f>AND(IF(Metadata!V989="",FALSE,TRUE),exact(Metadata!V989,"Decimal degrees"))</f>
        <v>0</v>
      </c>
      <c r="BI989">
        <f>IF(Metadata!W989="",FALSE,TRUE)</f>
        <v>0</v>
      </c>
      <c r="BJ989">
        <f>OR(AND(IF(Metadata!X989="",FALSE,TRUE),OR(exact(Metadata!X989,"not collected"),exact(Metadata!X989,"not provided"),exact(Metadata!X989,"restricted access"))),AND(IF(Metadata!X989="",FALSE,TRUE),OR(exact(Metadata!X989,"TRUE"),exact(Metadata!X989,"FALSE"))))</f>
        <v>0</v>
      </c>
      <c r="BK989">
        <f>AND(IF(Metadata!Y989="",FALSE,TRUE),exact(Metadata!Y989,"other"))</f>
        <v>0</v>
      </c>
      <c r="BL989">
        <f>IF(Metadata!Z989="",FALSE,TRUE)</f>
        <v>0</v>
      </c>
      <c r="BM989">
        <f>OR(AND(IF(Metadata!AA989="",FALSE,TRUE),OR(exact(Metadata!AA989,"not collected"),exact(Metadata!AA989,"not provided"))),AND(IF(Metadata!AA989="",FALSE,IF(ISERROR(INT(Metadata!AA989)),FALSE,INT(Metadata!AA989)=Metadata!AA989)),Metadata!AA989&gt;0))</f>
        <v>0</v>
      </c>
      <c r="BN989">
        <f>AND(IF(Metadata!AB989="",FALSE,TRUE),exact(Metadata!AB989,"Not applicable"))</f>
        <v>0</v>
      </c>
      <c r="BO989">
        <f>IF(Metadata!AC989="",FALSE,TRUE)</f>
        <v>0</v>
      </c>
    </row>
    <row r="990" spans="1:67">
      <c r="A990" s="5">
        <f>IF(B990=" "," ",HYPERLINK(CONCATENATE("#metadata!",ADDRESS(INDEX($AI$2:$AI$1001,MATCH(ROWS($AG$2:AG990),$AG$2:$AG$1001,0),0),1)),INDEX($AL$2:$AL$1001,MATCH(ROWS($AG$2:AG990),$AG$2:$AG$1001,0),0)))</f>
        <v>0</v>
      </c>
      <c r="B990" s="4">
        <f>IF(OR(INDEX($AH$2:$AH$1001,MATCH(ROWS($AG$2:AG990),$AG$2:$AG$1001,0),1)&gt;=100000,INDEX($AN$1005:$BO$1005,1,MATCH(COLUMNS($AN$1006:AN1006),$AN$1006:$BO$1006,0))&gt;=100000), " ",IF(INDEX($AN$2:$BO$1001,MATCH(ROWS($AG$2:AG990),$AG$2:$AG$1001,0),MATCH(COLUMNS($AN$1006:AN1006),$AN$1006:$BO$1006,0)), HYPERLINK("#",""), HYPERLINK(CONCATENATE("#Metadata!", ADDRESS(INDEX($AI$2:$AI$1001,MATCH(ROWS($AG$2:AG990),$AG$2:$AG$1001,0),0), INDEX($AN$1004:$BO$1004,1,MATCH(COLUMNS($AN$1006:AN1006),$AN$1006:$BO$1006,0)))),"Fix")))</f>
        <v>0</v>
      </c>
      <c r="C990" s="4">
        <f>IF(OR(INDEX($AH$2:$AH$1001,MATCH(ROWS($AG$2:AG990),$AG$2:$AG$1001,0),1)&gt;=100000,INDEX($AN$1005:$BO$1005,1,MATCH(COLUMNS($AN$1006:AO1006),$AN$1006:$BO$1006,0))&gt;=100000), " ",IF(INDEX($AN$2:$BO$1001,MATCH(ROWS($AG$2:AG990),$AG$2:$AG$1001,0),MATCH(COLUMNS($AN$1006:AO1006),$AN$1006:$BO$1006,0)), HYPERLINK("#",""), HYPERLINK(CONCATENATE("#Metadata!", ADDRESS(INDEX($AI$2:$AI$1001,MATCH(ROWS($AG$2:AG990),$AG$2:$AG$1001,0),0), INDEX($AN$1004:$BO$1004,1,MATCH(COLUMNS($AN$1006:AO1006),$AN$1006:$BO$1006,0)))),"Fix")))</f>
        <v>0</v>
      </c>
      <c r="D990" s="4">
        <f>IF(OR(INDEX($AH$2:$AH$1001,MATCH(ROWS($AG$2:AG990),$AG$2:$AG$1001,0),1)&gt;=100000,INDEX($AN$1005:$BO$1005,1,MATCH(COLUMNS($AN$1006:AP1006),$AN$1006:$BO$1006,0))&gt;=100000), " ",IF(INDEX($AN$2:$BO$1001,MATCH(ROWS($AG$2:AG990),$AG$2:$AG$1001,0),MATCH(COLUMNS($AN$1006:AP1006),$AN$1006:$BO$1006,0)), HYPERLINK("#",""), HYPERLINK(CONCATENATE("#Metadata!", ADDRESS(INDEX($AI$2:$AI$1001,MATCH(ROWS($AG$2:AG990),$AG$2:$AG$1001,0),0), INDEX($AN$1004:$BO$1004,1,MATCH(COLUMNS($AN$1006:AP1006),$AN$1006:$BO$1006,0)))),"Fix")))</f>
        <v>0</v>
      </c>
      <c r="E990" s="4">
        <f>IF(OR(INDEX($AH$2:$AH$1001,MATCH(ROWS($AG$2:AG990),$AG$2:$AG$1001,0),1)&gt;=100000,INDEX($AN$1005:$BO$1005,1,MATCH(COLUMNS($AN$1006:AQ1006),$AN$1006:$BO$1006,0))&gt;=100000), " ",IF(INDEX($AN$2:$BO$1001,MATCH(ROWS($AG$2:AG990),$AG$2:$AG$1001,0),MATCH(COLUMNS($AN$1006:AQ1006),$AN$1006:$BO$1006,0)), HYPERLINK("#",""), HYPERLINK(CONCATENATE("#Metadata!", ADDRESS(INDEX($AI$2:$AI$1001,MATCH(ROWS($AG$2:AG990),$AG$2:$AG$1001,0),0), INDEX($AN$1004:$BO$1004,1,MATCH(COLUMNS($AN$1006:AQ1006),$AN$1006:$BO$1006,0)))),"Fix")))</f>
        <v>0</v>
      </c>
      <c r="F990" s="4">
        <f>IF(OR(INDEX($AH$2:$AH$1001,MATCH(ROWS($AG$2:AG990),$AG$2:$AG$1001,0),1)&gt;=100000,INDEX($AN$1005:$BO$1005,1,MATCH(COLUMNS($AN$1006:AR1006),$AN$1006:$BO$1006,0))&gt;=100000), " ",IF(INDEX($AN$2:$BO$1001,MATCH(ROWS($AG$2:AG990),$AG$2:$AG$1001,0),MATCH(COLUMNS($AN$1006:AR1006),$AN$1006:$BO$1006,0)), HYPERLINK("#",""), HYPERLINK(CONCATENATE("#Metadata!", ADDRESS(INDEX($AI$2:$AI$1001,MATCH(ROWS($AG$2:AG990),$AG$2:$AG$1001,0),0), INDEX($AN$1004:$BO$1004,1,MATCH(COLUMNS($AN$1006:AR1006),$AN$1006:$BO$1006,0)))),"Fix")))</f>
        <v>0</v>
      </c>
      <c r="G990" s="4">
        <f>IF(OR(INDEX($AH$2:$AH$1001,MATCH(ROWS($AG$2:AG990),$AG$2:$AG$1001,0),1)&gt;=100000,INDEX($AN$1005:$BO$1005,1,MATCH(COLUMNS($AN$1006:AS1006),$AN$1006:$BO$1006,0))&gt;=100000), " ",IF(INDEX($AN$2:$BO$1001,MATCH(ROWS($AG$2:AG990),$AG$2:$AG$1001,0),MATCH(COLUMNS($AN$1006:AS1006),$AN$1006:$BO$1006,0)), HYPERLINK("#",""), HYPERLINK(CONCATENATE("#Metadata!", ADDRESS(INDEX($AI$2:$AI$1001,MATCH(ROWS($AG$2:AG990),$AG$2:$AG$1001,0),0), INDEX($AN$1004:$BO$1004,1,MATCH(COLUMNS($AN$1006:AS1006),$AN$1006:$BO$1006,0)))),"Fix")))</f>
        <v>0</v>
      </c>
      <c r="H990" s="4">
        <f>IF(OR(INDEX($AH$2:$AH$1001,MATCH(ROWS($AG$2:AG990),$AG$2:$AG$1001,0),1)&gt;=100000,INDEX($AN$1005:$BO$1005,1,MATCH(COLUMNS($AN$1006:AT1006),$AN$1006:$BO$1006,0))&gt;=100000), " ",IF(INDEX($AN$2:$BO$1001,MATCH(ROWS($AG$2:AG990),$AG$2:$AG$1001,0),MATCH(COLUMNS($AN$1006:AT1006),$AN$1006:$BO$1006,0)), HYPERLINK("#",""), HYPERLINK(CONCATENATE("#Metadata!", ADDRESS(INDEX($AI$2:$AI$1001,MATCH(ROWS($AG$2:AG990),$AG$2:$AG$1001,0),0), INDEX($AN$1004:$BO$1004,1,MATCH(COLUMNS($AN$1006:AT1006),$AN$1006:$BO$1006,0)))),"Fix")))</f>
        <v>0</v>
      </c>
      <c r="I990" s="4">
        <f>IF(OR(INDEX($AH$2:$AH$1001,MATCH(ROWS($AG$2:AG990),$AG$2:$AG$1001,0),1)&gt;=100000,INDEX($AN$1005:$BO$1005,1,MATCH(COLUMNS($AN$1006:AU1006),$AN$1006:$BO$1006,0))&gt;=100000), " ",IF(INDEX($AN$2:$BO$1001,MATCH(ROWS($AG$2:AG990),$AG$2:$AG$1001,0),MATCH(COLUMNS($AN$1006:AU1006),$AN$1006:$BO$1006,0)), HYPERLINK("#",""), HYPERLINK(CONCATENATE("#Metadata!", ADDRESS(INDEX($AI$2:$AI$1001,MATCH(ROWS($AG$2:AG990),$AG$2:$AG$1001,0),0), INDEX($AN$1004:$BO$1004,1,MATCH(COLUMNS($AN$1006:AU1006),$AN$1006:$BO$1006,0)))),"Fix")))</f>
        <v>0</v>
      </c>
      <c r="J990" s="4">
        <f>IF(OR(INDEX($AH$2:$AH$1001,MATCH(ROWS($AG$2:AG990),$AG$2:$AG$1001,0),1)&gt;=100000,INDEX($AN$1005:$BO$1005,1,MATCH(COLUMNS($AN$1006:AV1006),$AN$1006:$BO$1006,0))&gt;=100000), " ",IF(INDEX($AN$2:$BO$1001,MATCH(ROWS($AG$2:AG990),$AG$2:$AG$1001,0),MATCH(COLUMNS($AN$1006:AV1006),$AN$1006:$BO$1006,0)), HYPERLINK("#",""), HYPERLINK(CONCATENATE("#Metadata!", ADDRESS(INDEX($AI$2:$AI$1001,MATCH(ROWS($AG$2:AG990),$AG$2:$AG$1001,0),0), INDEX($AN$1004:$BO$1004,1,MATCH(COLUMNS($AN$1006:AV1006),$AN$1006:$BO$1006,0)))),"Fix")))</f>
        <v>0</v>
      </c>
      <c r="K990" s="4">
        <f>IF(OR(INDEX($AH$2:$AH$1001,MATCH(ROWS($AG$2:AG990),$AG$2:$AG$1001,0),1)&gt;=100000,INDEX($AN$1005:$BO$1005,1,MATCH(COLUMNS($AN$1006:AW1006),$AN$1006:$BO$1006,0))&gt;=100000), " ",IF(INDEX($AN$2:$BO$1001,MATCH(ROWS($AG$2:AG990),$AG$2:$AG$1001,0),MATCH(COLUMNS($AN$1006:AW1006),$AN$1006:$BO$1006,0)), HYPERLINK("#",""), HYPERLINK(CONCATENATE("#Metadata!", ADDRESS(INDEX($AI$2:$AI$1001,MATCH(ROWS($AG$2:AG990),$AG$2:$AG$1001,0),0), INDEX($AN$1004:$BO$1004,1,MATCH(COLUMNS($AN$1006:AW1006),$AN$1006:$BO$1006,0)))),"Fix")))</f>
        <v>0</v>
      </c>
      <c r="L990" s="4">
        <f>IF(OR(INDEX($AH$2:$AH$1001,MATCH(ROWS($AG$2:AG990),$AG$2:$AG$1001,0),1)&gt;=100000,INDEX($AN$1005:$BO$1005,1,MATCH(COLUMNS($AN$1006:AX1006),$AN$1006:$BO$1006,0))&gt;=100000), " ",IF(INDEX($AN$2:$BO$1001,MATCH(ROWS($AG$2:AG990),$AG$2:$AG$1001,0),MATCH(COLUMNS($AN$1006:AX1006),$AN$1006:$BO$1006,0)), HYPERLINK("#",""), HYPERLINK(CONCATENATE("#Metadata!", ADDRESS(INDEX($AI$2:$AI$1001,MATCH(ROWS($AG$2:AG990),$AG$2:$AG$1001,0),0), INDEX($AN$1004:$BO$1004,1,MATCH(COLUMNS($AN$1006:AX1006),$AN$1006:$BO$1006,0)))),"Fix")))</f>
        <v>0</v>
      </c>
      <c r="M990" s="4">
        <f>IF(OR(INDEX($AH$2:$AH$1001,MATCH(ROWS($AG$2:AG990),$AG$2:$AG$1001,0),1)&gt;=100000,INDEX($AN$1005:$BO$1005,1,MATCH(COLUMNS($AN$1006:AY1006),$AN$1006:$BO$1006,0))&gt;=100000), " ",IF(INDEX($AN$2:$BO$1001,MATCH(ROWS($AG$2:AG990),$AG$2:$AG$1001,0),MATCH(COLUMNS($AN$1006:AY1006),$AN$1006:$BO$1006,0)), HYPERLINK("#",""), HYPERLINK(CONCATENATE("#Metadata!", ADDRESS(INDEX($AI$2:$AI$1001,MATCH(ROWS($AG$2:AG990),$AG$2:$AG$1001,0),0), INDEX($AN$1004:$BO$1004,1,MATCH(COLUMNS($AN$1006:AY1006),$AN$1006:$BO$1006,0)))),"Fix")))</f>
        <v>0</v>
      </c>
      <c r="N990" s="4">
        <f>IF(OR(INDEX($AH$2:$AH$1001,MATCH(ROWS($AG$2:AG990),$AG$2:$AG$1001,0),1)&gt;=100000,INDEX($AN$1005:$BO$1005,1,MATCH(COLUMNS($AN$1006:AZ1006),$AN$1006:$BO$1006,0))&gt;=100000), " ",IF(INDEX($AN$2:$BO$1001,MATCH(ROWS($AG$2:AG990),$AG$2:$AG$1001,0),MATCH(COLUMNS($AN$1006:AZ1006),$AN$1006:$BO$1006,0)), HYPERLINK("#",""), HYPERLINK(CONCATENATE("#Metadata!", ADDRESS(INDEX($AI$2:$AI$1001,MATCH(ROWS($AG$2:AG990),$AG$2:$AG$1001,0),0), INDEX($AN$1004:$BO$1004,1,MATCH(COLUMNS($AN$1006:AZ1006),$AN$1006:$BO$1006,0)))),"Fix")))</f>
        <v>0</v>
      </c>
      <c r="O990" s="4">
        <f>IF(OR(INDEX($AH$2:$AH$1001,MATCH(ROWS($AG$2:AG990),$AG$2:$AG$1001,0),1)&gt;=100000,INDEX($AN$1005:$BO$1005,1,MATCH(COLUMNS($AN$1006:BA1006),$AN$1006:$BO$1006,0))&gt;=100000), " ",IF(INDEX($AN$2:$BO$1001,MATCH(ROWS($AG$2:AG990),$AG$2:$AG$1001,0),MATCH(COLUMNS($AN$1006:BA1006),$AN$1006:$BO$1006,0)), HYPERLINK("#",""), HYPERLINK(CONCATENATE("#Metadata!", ADDRESS(INDEX($AI$2:$AI$1001,MATCH(ROWS($AG$2:AG990),$AG$2:$AG$1001,0),0), INDEX($AN$1004:$BO$1004,1,MATCH(COLUMNS($AN$1006:BA1006),$AN$1006:$BO$1006,0)))),"Fix")))</f>
        <v>0</v>
      </c>
      <c r="P990" s="4">
        <f>IF(OR(INDEX($AH$2:$AH$1001,MATCH(ROWS($AG$2:AG990),$AG$2:$AG$1001,0),1)&gt;=100000,INDEX($AN$1005:$BO$1005,1,MATCH(COLUMNS($AN$1006:BB1006),$AN$1006:$BO$1006,0))&gt;=100000), " ",IF(INDEX($AN$2:$BO$1001,MATCH(ROWS($AG$2:AG990),$AG$2:$AG$1001,0),MATCH(COLUMNS($AN$1006:BB1006),$AN$1006:$BO$1006,0)), HYPERLINK("#",""), HYPERLINK(CONCATENATE("#Metadata!", ADDRESS(INDEX($AI$2:$AI$1001,MATCH(ROWS($AG$2:AG990),$AG$2:$AG$1001,0),0), INDEX($AN$1004:$BO$1004,1,MATCH(COLUMNS($AN$1006:BB1006),$AN$1006:$BO$1006,0)))),"Fix")))</f>
        <v>0</v>
      </c>
      <c r="Q990" s="4">
        <f>IF(OR(INDEX($AH$2:$AH$1001,MATCH(ROWS($AG$2:AG990),$AG$2:$AG$1001,0),1)&gt;=100000,INDEX($AN$1005:$BO$1005,1,MATCH(COLUMNS($AN$1006:BC1006),$AN$1006:$BO$1006,0))&gt;=100000), " ",IF(INDEX($AN$2:$BO$1001,MATCH(ROWS($AG$2:AG990),$AG$2:$AG$1001,0),MATCH(COLUMNS($AN$1006:BC1006),$AN$1006:$BO$1006,0)), HYPERLINK("#",""), HYPERLINK(CONCATENATE("#Metadata!", ADDRESS(INDEX($AI$2:$AI$1001,MATCH(ROWS($AG$2:AG990),$AG$2:$AG$1001,0),0), INDEX($AN$1004:$BO$1004,1,MATCH(COLUMNS($AN$1006:BC1006),$AN$1006:$BO$1006,0)))),"Fix")))</f>
        <v>0</v>
      </c>
      <c r="R990" s="4">
        <f>IF(OR(INDEX($AH$2:$AH$1001,MATCH(ROWS($AG$2:AG990),$AG$2:$AG$1001,0),1)&gt;=100000,INDEX($AN$1005:$BO$1005,1,MATCH(COLUMNS($AN$1006:BD1006),$AN$1006:$BO$1006,0))&gt;=100000), " ",IF(INDEX($AN$2:$BO$1001,MATCH(ROWS($AG$2:AG990),$AG$2:$AG$1001,0),MATCH(COLUMNS($AN$1006:BD1006),$AN$1006:$BO$1006,0)), HYPERLINK("#",""), HYPERLINK(CONCATENATE("#Metadata!", ADDRESS(INDEX($AI$2:$AI$1001,MATCH(ROWS($AG$2:AG990),$AG$2:$AG$1001,0),0), INDEX($AN$1004:$BO$1004,1,MATCH(COLUMNS($AN$1006:BD1006),$AN$1006:$BO$1006,0)))),"Fix")))</f>
        <v>0</v>
      </c>
      <c r="S990" s="4">
        <f>IF(OR(INDEX($AH$2:$AH$1001,MATCH(ROWS($AG$2:AG990),$AG$2:$AG$1001,0),1)&gt;=100000,INDEX($AN$1005:$BO$1005,1,MATCH(COLUMNS($AN$1006:BE1006),$AN$1006:$BO$1006,0))&gt;=100000), " ",IF(INDEX($AN$2:$BO$1001,MATCH(ROWS($AG$2:AG990),$AG$2:$AG$1001,0),MATCH(COLUMNS($AN$1006:BE1006),$AN$1006:$BO$1006,0)), HYPERLINK("#",""), HYPERLINK(CONCATENATE("#Metadata!", ADDRESS(INDEX($AI$2:$AI$1001,MATCH(ROWS($AG$2:AG990),$AG$2:$AG$1001,0),0), INDEX($AN$1004:$BO$1004,1,MATCH(COLUMNS($AN$1006:BE1006),$AN$1006:$BO$1006,0)))),"Fix")))</f>
        <v>0</v>
      </c>
      <c r="T990" s="4">
        <f>IF(OR(INDEX($AH$2:$AH$1001,MATCH(ROWS($AG$2:AG990),$AG$2:$AG$1001,0),1)&gt;=100000,INDEX($AN$1005:$BO$1005,1,MATCH(COLUMNS($AN$1006:BF1006),$AN$1006:$BO$1006,0))&gt;=100000), " ",IF(INDEX($AN$2:$BO$1001,MATCH(ROWS($AG$2:AG990),$AG$2:$AG$1001,0),MATCH(COLUMNS($AN$1006:BF1006),$AN$1006:$BO$1006,0)), HYPERLINK("#",""), HYPERLINK(CONCATENATE("#Metadata!", ADDRESS(INDEX($AI$2:$AI$1001,MATCH(ROWS($AG$2:AG990),$AG$2:$AG$1001,0),0), INDEX($AN$1004:$BO$1004,1,MATCH(COLUMNS($AN$1006:BF1006),$AN$1006:$BO$1006,0)))),"Fix")))</f>
        <v>0</v>
      </c>
      <c r="U990" s="4">
        <f>IF(OR(INDEX($AH$2:$AH$1001,MATCH(ROWS($AG$2:AG990),$AG$2:$AG$1001,0),1)&gt;=100000,INDEX($AN$1005:$BO$1005,1,MATCH(COLUMNS($AN$1006:BG1006),$AN$1006:$BO$1006,0))&gt;=100000), " ",IF(INDEX($AN$2:$BO$1001,MATCH(ROWS($AG$2:AG990),$AG$2:$AG$1001,0),MATCH(COLUMNS($AN$1006:BG1006),$AN$1006:$BO$1006,0)), HYPERLINK("#",""), HYPERLINK(CONCATENATE("#Metadata!", ADDRESS(INDEX($AI$2:$AI$1001,MATCH(ROWS($AG$2:AG990),$AG$2:$AG$1001,0),0), INDEX($AN$1004:$BO$1004,1,MATCH(COLUMNS($AN$1006:BG1006),$AN$1006:$BO$1006,0)))),"Fix")))</f>
        <v>0</v>
      </c>
      <c r="V990" s="4">
        <f>IF(OR(INDEX($AH$2:$AH$1001,MATCH(ROWS($AG$2:AG990),$AG$2:$AG$1001,0),1)&gt;=100000,INDEX($AN$1005:$BO$1005,1,MATCH(COLUMNS($AN$1006:BH1006),$AN$1006:$BO$1006,0))&gt;=100000), " ",IF(INDEX($AN$2:$BO$1001,MATCH(ROWS($AG$2:AG990),$AG$2:$AG$1001,0),MATCH(COLUMNS($AN$1006:BH1006),$AN$1006:$BO$1006,0)), HYPERLINK("#",""), HYPERLINK(CONCATENATE("#Metadata!", ADDRESS(INDEX($AI$2:$AI$1001,MATCH(ROWS($AG$2:AG990),$AG$2:$AG$1001,0),0), INDEX($AN$1004:$BO$1004,1,MATCH(COLUMNS($AN$1006:BH1006),$AN$1006:$BO$1006,0)))),"Fix")))</f>
        <v>0</v>
      </c>
      <c r="W990" s="4">
        <f>IF(OR(INDEX($AH$2:$AH$1001,MATCH(ROWS($AG$2:AG990),$AG$2:$AG$1001,0),1)&gt;=100000,INDEX($AN$1005:$BO$1005,1,MATCH(COLUMNS($AN$1006:BI1006),$AN$1006:$BO$1006,0))&gt;=100000), " ",IF(INDEX($AN$2:$BO$1001,MATCH(ROWS($AG$2:AG990),$AG$2:$AG$1001,0),MATCH(COLUMNS($AN$1006:BI1006),$AN$1006:$BO$1006,0)), HYPERLINK("#",""), HYPERLINK(CONCATENATE("#Metadata!", ADDRESS(INDEX($AI$2:$AI$1001,MATCH(ROWS($AG$2:AG990),$AG$2:$AG$1001,0),0), INDEX($AN$1004:$BO$1004,1,MATCH(COLUMNS($AN$1006:BI1006),$AN$1006:$BO$1006,0)))),"Fix")))</f>
        <v>0</v>
      </c>
      <c r="X990" s="4">
        <f>IF(OR(INDEX($AH$2:$AH$1001,MATCH(ROWS($AG$2:AG990),$AG$2:$AG$1001,0),1)&gt;=100000,INDEX($AN$1005:$BO$1005,1,MATCH(COLUMNS($AN$1006:BJ1006),$AN$1006:$BO$1006,0))&gt;=100000), " ",IF(INDEX($AN$2:$BO$1001,MATCH(ROWS($AG$2:AG990),$AG$2:$AG$1001,0),MATCH(COLUMNS($AN$1006:BJ1006),$AN$1006:$BO$1006,0)), HYPERLINK("#",""), HYPERLINK(CONCATENATE("#Metadata!", ADDRESS(INDEX($AI$2:$AI$1001,MATCH(ROWS($AG$2:AG990),$AG$2:$AG$1001,0),0), INDEX($AN$1004:$BO$1004,1,MATCH(COLUMNS($AN$1006:BJ1006),$AN$1006:$BO$1006,0)))),"Fix")))</f>
        <v>0</v>
      </c>
      <c r="Y990" s="4">
        <f>IF(OR(INDEX($AH$2:$AH$1001,MATCH(ROWS($AG$2:AG990),$AG$2:$AG$1001,0),1)&gt;=100000,INDEX($AN$1005:$BO$1005,1,MATCH(COLUMNS($AN$1006:BK1006),$AN$1006:$BO$1006,0))&gt;=100000), " ",IF(INDEX($AN$2:$BO$1001,MATCH(ROWS($AG$2:AG990),$AG$2:$AG$1001,0),MATCH(COLUMNS($AN$1006:BK1006),$AN$1006:$BO$1006,0)), HYPERLINK("#",""), HYPERLINK(CONCATENATE("#Metadata!", ADDRESS(INDEX($AI$2:$AI$1001,MATCH(ROWS($AG$2:AG990),$AG$2:$AG$1001,0),0), INDEX($AN$1004:$BO$1004,1,MATCH(COLUMNS($AN$1006:BK1006),$AN$1006:$BO$1006,0)))),"Fix")))</f>
        <v>0</v>
      </c>
      <c r="Z990" s="4">
        <f>IF(OR(INDEX($AH$2:$AH$1001,MATCH(ROWS($AG$2:AG990),$AG$2:$AG$1001,0),1)&gt;=100000,INDEX($AN$1005:$BO$1005,1,MATCH(COLUMNS($AN$1006:BL1006),$AN$1006:$BO$1006,0))&gt;=100000), " ",IF(INDEX($AN$2:$BO$1001,MATCH(ROWS($AG$2:AG990),$AG$2:$AG$1001,0),MATCH(COLUMNS($AN$1006:BL1006),$AN$1006:$BO$1006,0)), HYPERLINK("#",""), HYPERLINK(CONCATENATE("#Metadata!", ADDRESS(INDEX($AI$2:$AI$1001,MATCH(ROWS($AG$2:AG990),$AG$2:$AG$1001,0),0), INDEX($AN$1004:$BO$1004,1,MATCH(COLUMNS($AN$1006:BL1006),$AN$1006:$BO$1006,0)))),"Fix")))</f>
        <v>0</v>
      </c>
      <c r="AA990" s="4">
        <f>IF(OR(INDEX($AH$2:$AH$1001,MATCH(ROWS($AG$2:AG990),$AG$2:$AG$1001,0),1)&gt;=100000,INDEX($AN$1005:$BO$1005,1,MATCH(COLUMNS($AN$1006:BM1006),$AN$1006:$BO$1006,0))&gt;=100000), " ",IF(INDEX($AN$2:$BO$1001,MATCH(ROWS($AG$2:AG990),$AG$2:$AG$1001,0),MATCH(COLUMNS($AN$1006:BM1006),$AN$1006:$BO$1006,0)), HYPERLINK("#",""), HYPERLINK(CONCATENATE("#Metadata!", ADDRESS(INDEX($AI$2:$AI$1001,MATCH(ROWS($AG$2:AG990),$AG$2:$AG$1001,0),0), INDEX($AN$1004:$BO$1004,1,MATCH(COLUMNS($AN$1006:BM1006),$AN$1006:$BO$1006,0)))),"Fix")))</f>
        <v>0</v>
      </c>
      <c r="AB990" s="4">
        <f>IF(OR(INDEX($AH$2:$AH$1001,MATCH(ROWS($AG$2:AG990),$AG$2:$AG$1001,0),1)&gt;=100000,INDEX($AN$1005:$BO$1005,1,MATCH(COLUMNS($AN$1006:BN1006),$AN$1006:$BO$1006,0))&gt;=100000), " ",IF(INDEX($AN$2:$BO$1001,MATCH(ROWS($AG$2:AG990),$AG$2:$AG$1001,0),MATCH(COLUMNS($AN$1006:BN1006),$AN$1006:$BO$1006,0)), HYPERLINK("#",""), HYPERLINK(CONCATENATE("#Metadata!", ADDRESS(INDEX($AI$2:$AI$1001,MATCH(ROWS($AG$2:AG990),$AG$2:$AG$1001,0),0), INDEX($AN$1004:$BO$1004,1,MATCH(COLUMNS($AN$1006:BN1006),$AN$1006:$BO$1006,0)))),"Fix")))</f>
        <v>0</v>
      </c>
      <c r="AC990" s="4">
        <f>IF(OR(INDEX($AH$2:$AH$1001,MATCH(ROWS($AG$2:AG990),$AG$2:$AG$1001,0),1)&gt;=100000,INDEX($AN$1005:$BO$1005,1,MATCH(COLUMNS($AN$1006:BO1006),$AN$1006:$BO$1006,0))&gt;=100000), " ",IF(INDEX($AN$2:$BO$1001,MATCH(ROWS($AG$2:AG990),$AG$2:$AG$1001,0),MATCH(COLUMNS($AN$1006:BO1006),$AN$1006:$BO$1006,0)), HYPERLINK("#",""), HYPERLINK(CONCATENATE("#Metadata!", ADDRESS(INDEX($AI$2:$AI$1001,MATCH(ROWS($AG$2:AG990),$AG$2:$AG$1001,0),0), INDEX($AN$1004:$BO$1004,1,MATCH(COLUMNS($AN$1006:BO1006),$AN$1006:$BO$1006,0)))),"Fix")))</f>
        <v>0</v>
      </c>
      <c r="AG990">
        <v>0</v>
      </c>
      <c r="AH990">
        <v>0</v>
      </c>
      <c r="AI990">
        <v>0</v>
      </c>
      <c r="AJ990">
        <f>IF(AK990,TRUE,AND(AN990:BO990))</f>
        <v>0</v>
      </c>
      <c r="AK990">
        <f>COUNTBLANK(Metadata!B990:AC990)=COLUMNS(Metadata!B990:AC990)</f>
        <v>0</v>
      </c>
      <c r="AL990">
        <v>0</v>
      </c>
      <c r="AN990">
        <f>AND(IF(Metadata!B990="",FALSE,TRUE),COUNTIF(Metadata!B:B, Metadata!B990) = 1,NOT(ISERROR(SUMPRODUCT(SEARCH(MID(Metadata!B990,ROW(INDIRECT("1:"&amp;LEN(Metadata!B990))), 1),"0123456789abcdefghijklmnopqrstuvwxyzABCDEFGHIJKLMNOPQRSTUVWXYZ.")))))</f>
        <v>0</v>
      </c>
      <c r="AO990">
        <f>IF(Metadata!C990="",FALSE,TRUE)</f>
        <v>0</v>
      </c>
      <c r="AP990">
        <f>IF(Metadata!D990="",FALSE,TRUE)</f>
        <v>0</v>
      </c>
      <c r="AQ990">
        <f>OR(AND(IF(Metadata!E990="",FALSE,TRUE),OR(exact(Metadata!E990,"not collected"),exact(Metadata!E990,"not provided"),exact(Metadata!E990,"restricted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R990">
        <f>IF(Metadata!F990="",FALSE,TRUE)</f>
        <v>0</v>
      </c>
      <c r="AS990">
        <f>OR(AND(IF(Metadata!G990="",FALSE,TRUE),OR(exact(Metadata!G990,"not collected"),exact(Metadata!G990,"not provided"))),AND(IF(Metadata!G990="",FALSE,TRUE),OR(exact(Metadata!G990,"TRUE"),exact(Metadata!G990,"FALSE"))))</f>
        <v>0</v>
      </c>
      <c r="AT990">
        <f>OR(AND(IF(Metadata!H990="",FALSE,TRUE),OR(exact(Metadata!H990,"not collected"),exact(Metadata!H990,"not provided"),exact(Metadata!H990,"restricted access"))),AND(IF(Metadata!H990="",FALSE,ISNUMBER(VALUE(Metadata!H990))),Metadata!H990&gt;=-413.0))</f>
        <v>0</v>
      </c>
      <c r="AU990">
        <f>AND(IF(Metadata!I990="",FALSE,TRUE),exact(Metadata!I990,"meters"))</f>
        <v>0</v>
      </c>
      <c r="AV990">
        <f>AND(IF(Metadata!J990="",FALSE,TRUE),OR(exact(Metadata!J990,"Host-associated"),exact(Metadata!J990,"Free-living")))</f>
        <v>0</v>
      </c>
      <c r="AW990">
        <f>AND(IF(Metadata!K990="",FALSE,TRUE),OR(exact(Metadata!K990,"Animal"),exact(Metadata!K990,"Fungus"),exact(Metadata!K990,"Plant"),exact(Metadata!K990,"Saline"),exact(Metadata!K990,"Non-saline")))</f>
        <v>0</v>
      </c>
      <c r="AX990">
        <f>AND(IF(Metadata!L990="",FALSE,TRUE),OR(exact(Metadata!L990,"Plant secretion"),exact(Metadata!L990,"Plant rhizosphere"),exact(Metadata!L990,"Plant surface"),exact(Metadata!L990,"Plant corpus"),exact(Metadata!L990,"Fungus surface"),exact(Metadata!L990,"Fungus corpus"),exact(Metadata!L990,"Animal surface"),exact(Metadata!L990,"Animal proximal gut"),exact(Metadata!L990,"Animal corpus"),exact(Metadata!L990,"Animal distal gut"),exact(Metadata!L990,"Animal secretion"),exact(Metadata!L990,"Sub-surface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Y990">
        <f>IF(Metadata!M990="",FALSE,TRUE)</f>
        <v>0</v>
      </c>
      <c r="AZ990">
        <f>IF(Metadata!N990="",FALSE,TRUE)</f>
        <v>0</v>
      </c>
      <c r="BA990">
        <f>IF(Metadata!O990="",FALSE,TRUE)</f>
        <v>0</v>
      </c>
      <c r="BB990">
        <f>OR(AND(IF(Metadata!P990="",FALSE,TRUE),OR(exact(Metadata!P990,"not collected"),exact(Metadata!P990,"not provided"),exact(Metadata!P990,"restricted access"))),AND(IF(Metadata!P990="",FALSE,TRUE),OR(exact(Metadata!P990,"air"),exact(Metadata!P990,"built environment"),exact(Metadata!P990,"host-associated"),exact(Metadata!P990,"human-associated"),exact(Metadata!P990,"human-skin"),exact(Metadata!P990,"human-oral"),exact(Metadata!P990,"human-gut"),exact(Metadata!P990,"human-vaginal"),exact(Metadata!P990,"microbial mat/biofilm"),exact(Metadata!P990,"misc environment"),exact(Metadata!P990,"plant-associated"),exact(Metadata!P990,"sediment"),exact(Metadata!P990,"soil"),exact(Metadata!P990,"wastewater/sludge"),exact(Metadata!P990,"water"))))</f>
        <v>0</v>
      </c>
      <c r="BC990">
        <f>IF(Metadata!Q990="",FALSE,TRUE)</f>
        <v>0</v>
      </c>
      <c r="BD990">
        <f>IF(Metadata!R990="",FALSE,TRUE)</f>
        <v>0</v>
      </c>
      <c r="BE990">
        <f>OR(AND(IF(Metadata!S990="",FALSE,TRUE),OR(exact(Metadata!S990,"not collected"),exact(Metadata!S990,"not provided"),exact(Metadata!S990,"restricted access"))),AND(IF(Metadata!S990="",FALSE,ISNUMBER(VALUE(Metadata!S990))),Metadata!S990&gt;=-90.00,Metadata!S990&lt;=90.00))</f>
        <v>0</v>
      </c>
      <c r="BF990">
        <f>AND(IF(Metadata!T990="",FALSE,TRUE),exact(Metadata!T990,"Decimal degrees"))</f>
        <v>0</v>
      </c>
      <c r="BG990">
        <f>OR(AND(IF(Metadata!U990="",FALSE,TRUE),OR(exact(Metadata!U990,"not collected"),exact(Metadata!U990,"not provided"),exact(Metadata!U990,"restricted access"))),AND(IF(Metadata!U990="",FALSE,ISNUMBER(VALUE(Metadata!U990))),Metadata!U990&gt;=-180.00,Metadata!U990&lt;=180.00))</f>
        <v>0</v>
      </c>
      <c r="BH990">
        <f>AND(IF(Metadata!V990="",FALSE,TRUE),exact(Metadata!V990,"Decimal degrees"))</f>
        <v>0</v>
      </c>
      <c r="BI990">
        <f>IF(Metadata!W990="",FALSE,TRUE)</f>
        <v>0</v>
      </c>
      <c r="BJ990">
        <f>OR(AND(IF(Metadata!X990="",FALSE,TRUE),OR(exact(Metadata!X990,"not collected"),exact(Metadata!X990,"not provided"),exact(Metadata!X990,"restricted access"))),AND(IF(Metadata!X990="",FALSE,TRUE),OR(exact(Metadata!X990,"TRUE"),exact(Metadata!X990,"FALSE"))))</f>
        <v>0</v>
      </c>
      <c r="BK990">
        <f>AND(IF(Metadata!Y990="",FALSE,TRUE),exact(Metadata!Y990,"other"))</f>
        <v>0</v>
      </c>
      <c r="BL990">
        <f>IF(Metadata!Z990="",FALSE,TRUE)</f>
        <v>0</v>
      </c>
      <c r="BM990">
        <f>OR(AND(IF(Metadata!AA990="",FALSE,TRUE),OR(exact(Metadata!AA990,"not collected"),exact(Metadata!AA990,"not provided"))),AND(IF(Metadata!AA990="",FALSE,IF(ISERROR(INT(Metadata!AA990)),FALSE,INT(Metadata!AA990)=Metadata!AA990)),Metadata!AA990&gt;0))</f>
        <v>0</v>
      </c>
      <c r="BN990">
        <f>AND(IF(Metadata!AB990="",FALSE,TRUE),exact(Metadata!AB990,"Not applicable"))</f>
        <v>0</v>
      </c>
      <c r="BO990">
        <f>IF(Metadata!AC990="",FALSE,TRUE)</f>
        <v>0</v>
      </c>
    </row>
    <row r="991" spans="1:67">
      <c r="A991" s="5">
        <f>IF(B991=" "," ",HYPERLINK(CONCATENATE("#metadata!",ADDRESS(INDEX($AI$2:$AI$1001,MATCH(ROWS($AG$2:AG991),$AG$2:$AG$1001,0),0),1)),INDEX($AL$2:$AL$1001,MATCH(ROWS($AG$2:AG991),$AG$2:$AG$1001,0),0)))</f>
        <v>0</v>
      </c>
      <c r="B991" s="4">
        <f>IF(OR(INDEX($AH$2:$AH$1001,MATCH(ROWS($AG$2:AG991),$AG$2:$AG$1001,0),1)&gt;=100000,INDEX($AN$1005:$BO$1005,1,MATCH(COLUMNS($AN$1006:AN1006),$AN$1006:$BO$1006,0))&gt;=100000), " ",IF(INDEX($AN$2:$BO$1001,MATCH(ROWS($AG$2:AG991),$AG$2:$AG$1001,0),MATCH(COLUMNS($AN$1006:AN1006),$AN$1006:$BO$1006,0)), HYPERLINK("#",""), HYPERLINK(CONCATENATE("#Metadata!", ADDRESS(INDEX($AI$2:$AI$1001,MATCH(ROWS($AG$2:AG991),$AG$2:$AG$1001,0),0), INDEX($AN$1004:$BO$1004,1,MATCH(COLUMNS($AN$1006:AN1006),$AN$1006:$BO$1006,0)))),"Fix")))</f>
        <v>0</v>
      </c>
      <c r="C991" s="4">
        <f>IF(OR(INDEX($AH$2:$AH$1001,MATCH(ROWS($AG$2:AG991),$AG$2:$AG$1001,0),1)&gt;=100000,INDEX($AN$1005:$BO$1005,1,MATCH(COLUMNS($AN$1006:AO1006),$AN$1006:$BO$1006,0))&gt;=100000), " ",IF(INDEX($AN$2:$BO$1001,MATCH(ROWS($AG$2:AG991),$AG$2:$AG$1001,0),MATCH(COLUMNS($AN$1006:AO1006),$AN$1006:$BO$1006,0)), HYPERLINK("#",""), HYPERLINK(CONCATENATE("#Metadata!", ADDRESS(INDEX($AI$2:$AI$1001,MATCH(ROWS($AG$2:AG991),$AG$2:$AG$1001,0),0), INDEX($AN$1004:$BO$1004,1,MATCH(COLUMNS($AN$1006:AO1006),$AN$1006:$BO$1006,0)))),"Fix")))</f>
        <v>0</v>
      </c>
      <c r="D991" s="4">
        <f>IF(OR(INDEX($AH$2:$AH$1001,MATCH(ROWS($AG$2:AG991),$AG$2:$AG$1001,0),1)&gt;=100000,INDEX($AN$1005:$BO$1005,1,MATCH(COLUMNS($AN$1006:AP1006),$AN$1006:$BO$1006,0))&gt;=100000), " ",IF(INDEX($AN$2:$BO$1001,MATCH(ROWS($AG$2:AG991),$AG$2:$AG$1001,0),MATCH(COLUMNS($AN$1006:AP1006),$AN$1006:$BO$1006,0)), HYPERLINK("#",""), HYPERLINK(CONCATENATE("#Metadata!", ADDRESS(INDEX($AI$2:$AI$1001,MATCH(ROWS($AG$2:AG991),$AG$2:$AG$1001,0),0), INDEX($AN$1004:$BO$1004,1,MATCH(COLUMNS($AN$1006:AP1006),$AN$1006:$BO$1006,0)))),"Fix")))</f>
        <v>0</v>
      </c>
      <c r="E991" s="4">
        <f>IF(OR(INDEX($AH$2:$AH$1001,MATCH(ROWS($AG$2:AG991),$AG$2:$AG$1001,0),1)&gt;=100000,INDEX($AN$1005:$BO$1005,1,MATCH(COLUMNS($AN$1006:AQ1006),$AN$1006:$BO$1006,0))&gt;=100000), " ",IF(INDEX($AN$2:$BO$1001,MATCH(ROWS($AG$2:AG991),$AG$2:$AG$1001,0),MATCH(COLUMNS($AN$1006:AQ1006),$AN$1006:$BO$1006,0)), HYPERLINK("#",""), HYPERLINK(CONCATENATE("#Metadata!", ADDRESS(INDEX($AI$2:$AI$1001,MATCH(ROWS($AG$2:AG991),$AG$2:$AG$1001,0),0), INDEX($AN$1004:$BO$1004,1,MATCH(COLUMNS($AN$1006:AQ1006),$AN$1006:$BO$1006,0)))),"Fix")))</f>
        <v>0</v>
      </c>
      <c r="F991" s="4">
        <f>IF(OR(INDEX($AH$2:$AH$1001,MATCH(ROWS($AG$2:AG991),$AG$2:$AG$1001,0),1)&gt;=100000,INDEX($AN$1005:$BO$1005,1,MATCH(COLUMNS($AN$1006:AR1006),$AN$1006:$BO$1006,0))&gt;=100000), " ",IF(INDEX($AN$2:$BO$1001,MATCH(ROWS($AG$2:AG991),$AG$2:$AG$1001,0),MATCH(COLUMNS($AN$1006:AR1006),$AN$1006:$BO$1006,0)), HYPERLINK("#",""), HYPERLINK(CONCATENATE("#Metadata!", ADDRESS(INDEX($AI$2:$AI$1001,MATCH(ROWS($AG$2:AG991),$AG$2:$AG$1001,0),0), INDEX($AN$1004:$BO$1004,1,MATCH(COLUMNS($AN$1006:AR1006),$AN$1006:$BO$1006,0)))),"Fix")))</f>
        <v>0</v>
      </c>
      <c r="G991" s="4">
        <f>IF(OR(INDEX($AH$2:$AH$1001,MATCH(ROWS($AG$2:AG991),$AG$2:$AG$1001,0),1)&gt;=100000,INDEX($AN$1005:$BO$1005,1,MATCH(COLUMNS($AN$1006:AS1006),$AN$1006:$BO$1006,0))&gt;=100000), " ",IF(INDEX($AN$2:$BO$1001,MATCH(ROWS($AG$2:AG991),$AG$2:$AG$1001,0),MATCH(COLUMNS($AN$1006:AS1006),$AN$1006:$BO$1006,0)), HYPERLINK("#",""), HYPERLINK(CONCATENATE("#Metadata!", ADDRESS(INDEX($AI$2:$AI$1001,MATCH(ROWS($AG$2:AG991),$AG$2:$AG$1001,0),0), INDEX($AN$1004:$BO$1004,1,MATCH(COLUMNS($AN$1006:AS1006),$AN$1006:$BO$1006,0)))),"Fix")))</f>
        <v>0</v>
      </c>
      <c r="H991" s="4">
        <f>IF(OR(INDEX($AH$2:$AH$1001,MATCH(ROWS($AG$2:AG991),$AG$2:$AG$1001,0),1)&gt;=100000,INDEX($AN$1005:$BO$1005,1,MATCH(COLUMNS($AN$1006:AT1006),$AN$1006:$BO$1006,0))&gt;=100000), " ",IF(INDEX($AN$2:$BO$1001,MATCH(ROWS($AG$2:AG991),$AG$2:$AG$1001,0),MATCH(COLUMNS($AN$1006:AT1006),$AN$1006:$BO$1006,0)), HYPERLINK("#",""), HYPERLINK(CONCATENATE("#Metadata!", ADDRESS(INDEX($AI$2:$AI$1001,MATCH(ROWS($AG$2:AG991),$AG$2:$AG$1001,0),0), INDEX($AN$1004:$BO$1004,1,MATCH(COLUMNS($AN$1006:AT1006),$AN$1006:$BO$1006,0)))),"Fix")))</f>
        <v>0</v>
      </c>
      <c r="I991" s="4">
        <f>IF(OR(INDEX($AH$2:$AH$1001,MATCH(ROWS($AG$2:AG991),$AG$2:$AG$1001,0),1)&gt;=100000,INDEX($AN$1005:$BO$1005,1,MATCH(COLUMNS($AN$1006:AU1006),$AN$1006:$BO$1006,0))&gt;=100000), " ",IF(INDEX($AN$2:$BO$1001,MATCH(ROWS($AG$2:AG991),$AG$2:$AG$1001,0),MATCH(COLUMNS($AN$1006:AU1006),$AN$1006:$BO$1006,0)), HYPERLINK("#",""), HYPERLINK(CONCATENATE("#Metadata!", ADDRESS(INDEX($AI$2:$AI$1001,MATCH(ROWS($AG$2:AG991),$AG$2:$AG$1001,0),0), INDEX($AN$1004:$BO$1004,1,MATCH(COLUMNS($AN$1006:AU1006),$AN$1006:$BO$1006,0)))),"Fix")))</f>
        <v>0</v>
      </c>
      <c r="J991" s="4">
        <f>IF(OR(INDEX($AH$2:$AH$1001,MATCH(ROWS($AG$2:AG991),$AG$2:$AG$1001,0),1)&gt;=100000,INDEX($AN$1005:$BO$1005,1,MATCH(COLUMNS($AN$1006:AV1006),$AN$1006:$BO$1006,0))&gt;=100000), " ",IF(INDEX($AN$2:$BO$1001,MATCH(ROWS($AG$2:AG991),$AG$2:$AG$1001,0),MATCH(COLUMNS($AN$1006:AV1006),$AN$1006:$BO$1006,0)), HYPERLINK("#",""), HYPERLINK(CONCATENATE("#Metadata!", ADDRESS(INDEX($AI$2:$AI$1001,MATCH(ROWS($AG$2:AG991),$AG$2:$AG$1001,0),0), INDEX($AN$1004:$BO$1004,1,MATCH(COLUMNS($AN$1006:AV1006),$AN$1006:$BO$1006,0)))),"Fix")))</f>
        <v>0</v>
      </c>
      <c r="K991" s="4">
        <f>IF(OR(INDEX($AH$2:$AH$1001,MATCH(ROWS($AG$2:AG991),$AG$2:$AG$1001,0),1)&gt;=100000,INDEX($AN$1005:$BO$1005,1,MATCH(COLUMNS($AN$1006:AW1006),$AN$1006:$BO$1006,0))&gt;=100000), " ",IF(INDEX($AN$2:$BO$1001,MATCH(ROWS($AG$2:AG991),$AG$2:$AG$1001,0),MATCH(COLUMNS($AN$1006:AW1006),$AN$1006:$BO$1006,0)), HYPERLINK("#",""), HYPERLINK(CONCATENATE("#Metadata!", ADDRESS(INDEX($AI$2:$AI$1001,MATCH(ROWS($AG$2:AG991),$AG$2:$AG$1001,0),0), INDEX($AN$1004:$BO$1004,1,MATCH(COLUMNS($AN$1006:AW1006),$AN$1006:$BO$1006,0)))),"Fix")))</f>
        <v>0</v>
      </c>
      <c r="L991" s="4">
        <f>IF(OR(INDEX($AH$2:$AH$1001,MATCH(ROWS($AG$2:AG991),$AG$2:$AG$1001,0),1)&gt;=100000,INDEX($AN$1005:$BO$1005,1,MATCH(COLUMNS($AN$1006:AX1006),$AN$1006:$BO$1006,0))&gt;=100000), " ",IF(INDEX($AN$2:$BO$1001,MATCH(ROWS($AG$2:AG991),$AG$2:$AG$1001,0),MATCH(COLUMNS($AN$1006:AX1006),$AN$1006:$BO$1006,0)), HYPERLINK("#",""), HYPERLINK(CONCATENATE("#Metadata!", ADDRESS(INDEX($AI$2:$AI$1001,MATCH(ROWS($AG$2:AG991),$AG$2:$AG$1001,0),0), INDEX($AN$1004:$BO$1004,1,MATCH(COLUMNS($AN$1006:AX1006),$AN$1006:$BO$1006,0)))),"Fix")))</f>
        <v>0</v>
      </c>
      <c r="M991" s="4">
        <f>IF(OR(INDEX($AH$2:$AH$1001,MATCH(ROWS($AG$2:AG991),$AG$2:$AG$1001,0),1)&gt;=100000,INDEX($AN$1005:$BO$1005,1,MATCH(COLUMNS($AN$1006:AY1006),$AN$1006:$BO$1006,0))&gt;=100000), " ",IF(INDEX($AN$2:$BO$1001,MATCH(ROWS($AG$2:AG991),$AG$2:$AG$1001,0),MATCH(COLUMNS($AN$1006:AY1006),$AN$1006:$BO$1006,0)), HYPERLINK("#",""), HYPERLINK(CONCATENATE("#Metadata!", ADDRESS(INDEX($AI$2:$AI$1001,MATCH(ROWS($AG$2:AG991),$AG$2:$AG$1001,0),0), INDEX($AN$1004:$BO$1004,1,MATCH(COLUMNS($AN$1006:AY1006),$AN$1006:$BO$1006,0)))),"Fix")))</f>
        <v>0</v>
      </c>
      <c r="N991" s="4">
        <f>IF(OR(INDEX($AH$2:$AH$1001,MATCH(ROWS($AG$2:AG991),$AG$2:$AG$1001,0),1)&gt;=100000,INDEX($AN$1005:$BO$1005,1,MATCH(COLUMNS($AN$1006:AZ1006),$AN$1006:$BO$1006,0))&gt;=100000), " ",IF(INDEX($AN$2:$BO$1001,MATCH(ROWS($AG$2:AG991),$AG$2:$AG$1001,0),MATCH(COLUMNS($AN$1006:AZ1006),$AN$1006:$BO$1006,0)), HYPERLINK("#",""), HYPERLINK(CONCATENATE("#Metadata!", ADDRESS(INDEX($AI$2:$AI$1001,MATCH(ROWS($AG$2:AG991),$AG$2:$AG$1001,0),0), INDEX($AN$1004:$BO$1004,1,MATCH(COLUMNS($AN$1006:AZ1006),$AN$1006:$BO$1006,0)))),"Fix")))</f>
        <v>0</v>
      </c>
      <c r="O991" s="4">
        <f>IF(OR(INDEX($AH$2:$AH$1001,MATCH(ROWS($AG$2:AG991),$AG$2:$AG$1001,0),1)&gt;=100000,INDEX($AN$1005:$BO$1005,1,MATCH(COLUMNS($AN$1006:BA1006),$AN$1006:$BO$1006,0))&gt;=100000), " ",IF(INDEX($AN$2:$BO$1001,MATCH(ROWS($AG$2:AG991),$AG$2:$AG$1001,0),MATCH(COLUMNS($AN$1006:BA1006),$AN$1006:$BO$1006,0)), HYPERLINK("#",""), HYPERLINK(CONCATENATE("#Metadata!", ADDRESS(INDEX($AI$2:$AI$1001,MATCH(ROWS($AG$2:AG991),$AG$2:$AG$1001,0),0), INDEX($AN$1004:$BO$1004,1,MATCH(COLUMNS($AN$1006:BA1006),$AN$1006:$BO$1006,0)))),"Fix")))</f>
        <v>0</v>
      </c>
      <c r="P991" s="4">
        <f>IF(OR(INDEX($AH$2:$AH$1001,MATCH(ROWS($AG$2:AG991),$AG$2:$AG$1001,0),1)&gt;=100000,INDEX($AN$1005:$BO$1005,1,MATCH(COLUMNS($AN$1006:BB1006),$AN$1006:$BO$1006,0))&gt;=100000), " ",IF(INDEX($AN$2:$BO$1001,MATCH(ROWS($AG$2:AG991),$AG$2:$AG$1001,0),MATCH(COLUMNS($AN$1006:BB1006),$AN$1006:$BO$1006,0)), HYPERLINK("#",""), HYPERLINK(CONCATENATE("#Metadata!", ADDRESS(INDEX($AI$2:$AI$1001,MATCH(ROWS($AG$2:AG991),$AG$2:$AG$1001,0),0), INDEX($AN$1004:$BO$1004,1,MATCH(COLUMNS($AN$1006:BB1006),$AN$1006:$BO$1006,0)))),"Fix")))</f>
        <v>0</v>
      </c>
      <c r="Q991" s="4">
        <f>IF(OR(INDEX($AH$2:$AH$1001,MATCH(ROWS($AG$2:AG991),$AG$2:$AG$1001,0),1)&gt;=100000,INDEX($AN$1005:$BO$1005,1,MATCH(COLUMNS($AN$1006:BC1006),$AN$1006:$BO$1006,0))&gt;=100000), " ",IF(INDEX($AN$2:$BO$1001,MATCH(ROWS($AG$2:AG991),$AG$2:$AG$1001,0),MATCH(COLUMNS($AN$1006:BC1006),$AN$1006:$BO$1006,0)), HYPERLINK("#",""), HYPERLINK(CONCATENATE("#Metadata!", ADDRESS(INDEX($AI$2:$AI$1001,MATCH(ROWS($AG$2:AG991),$AG$2:$AG$1001,0),0), INDEX($AN$1004:$BO$1004,1,MATCH(COLUMNS($AN$1006:BC1006),$AN$1006:$BO$1006,0)))),"Fix")))</f>
        <v>0</v>
      </c>
      <c r="R991" s="4">
        <f>IF(OR(INDEX($AH$2:$AH$1001,MATCH(ROWS($AG$2:AG991),$AG$2:$AG$1001,0),1)&gt;=100000,INDEX($AN$1005:$BO$1005,1,MATCH(COLUMNS($AN$1006:BD1006),$AN$1006:$BO$1006,0))&gt;=100000), " ",IF(INDEX($AN$2:$BO$1001,MATCH(ROWS($AG$2:AG991),$AG$2:$AG$1001,0),MATCH(COLUMNS($AN$1006:BD1006),$AN$1006:$BO$1006,0)), HYPERLINK("#",""), HYPERLINK(CONCATENATE("#Metadata!", ADDRESS(INDEX($AI$2:$AI$1001,MATCH(ROWS($AG$2:AG991),$AG$2:$AG$1001,0),0), INDEX($AN$1004:$BO$1004,1,MATCH(COLUMNS($AN$1006:BD1006),$AN$1006:$BO$1006,0)))),"Fix")))</f>
        <v>0</v>
      </c>
      <c r="S991" s="4">
        <f>IF(OR(INDEX($AH$2:$AH$1001,MATCH(ROWS($AG$2:AG991),$AG$2:$AG$1001,0),1)&gt;=100000,INDEX($AN$1005:$BO$1005,1,MATCH(COLUMNS($AN$1006:BE1006),$AN$1006:$BO$1006,0))&gt;=100000), " ",IF(INDEX($AN$2:$BO$1001,MATCH(ROWS($AG$2:AG991),$AG$2:$AG$1001,0),MATCH(COLUMNS($AN$1006:BE1006),$AN$1006:$BO$1006,0)), HYPERLINK("#",""), HYPERLINK(CONCATENATE("#Metadata!", ADDRESS(INDEX($AI$2:$AI$1001,MATCH(ROWS($AG$2:AG991),$AG$2:$AG$1001,0),0), INDEX($AN$1004:$BO$1004,1,MATCH(COLUMNS($AN$1006:BE1006),$AN$1006:$BO$1006,0)))),"Fix")))</f>
        <v>0</v>
      </c>
      <c r="T991" s="4">
        <f>IF(OR(INDEX($AH$2:$AH$1001,MATCH(ROWS($AG$2:AG991),$AG$2:$AG$1001,0),1)&gt;=100000,INDEX($AN$1005:$BO$1005,1,MATCH(COLUMNS($AN$1006:BF1006),$AN$1006:$BO$1006,0))&gt;=100000), " ",IF(INDEX($AN$2:$BO$1001,MATCH(ROWS($AG$2:AG991),$AG$2:$AG$1001,0),MATCH(COLUMNS($AN$1006:BF1006),$AN$1006:$BO$1006,0)), HYPERLINK("#",""), HYPERLINK(CONCATENATE("#Metadata!", ADDRESS(INDEX($AI$2:$AI$1001,MATCH(ROWS($AG$2:AG991),$AG$2:$AG$1001,0),0), INDEX($AN$1004:$BO$1004,1,MATCH(COLUMNS($AN$1006:BF1006),$AN$1006:$BO$1006,0)))),"Fix")))</f>
        <v>0</v>
      </c>
      <c r="U991" s="4">
        <f>IF(OR(INDEX($AH$2:$AH$1001,MATCH(ROWS($AG$2:AG991),$AG$2:$AG$1001,0),1)&gt;=100000,INDEX($AN$1005:$BO$1005,1,MATCH(COLUMNS($AN$1006:BG1006),$AN$1006:$BO$1006,0))&gt;=100000), " ",IF(INDEX($AN$2:$BO$1001,MATCH(ROWS($AG$2:AG991),$AG$2:$AG$1001,0),MATCH(COLUMNS($AN$1006:BG1006),$AN$1006:$BO$1006,0)), HYPERLINK("#",""), HYPERLINK(CONCATENATE("#Metadata!", ADDRESS(INDEX($AI$2:$AI$1001,MATCH(ROWS($AG$2:AG991),$AG$2:$AG$1001,0),0), INDEX($AN$1004:$BO$1004,1,MATCH(COLUMNS($AN$1006:BG1006),$AN$1006:$BO$1006,0)))),"Fix")))</f>
        <v>0</v>
      </c>
      <c r="V991" s="4">
        <f>IF(OR(INDEX($AH$2:$AH$1001,MATCH(ROWS($AG$2:AG991),$AG$2:$AG$1001,0),1)&gt;=100000,INDEX($AN$1005:$BO$1005,1,MATCH(COLUMNS($AN$1006:BH1006),$AN$1006:$BO$1006,0))&gt;=100000), " ",IF(INDEX($AN$2:$BO$1001,MATCH(ROWS($AG$2:AG991),$AG$2:$AG$1001,0),MATCH(COLUMNS($AN$1006:BH1006),$AN$1006:$BO$1006,0)), HYPERLINK("#",""), HYPERLINK(CONCATENATE("#Metadata!", ADDRESS(INDEX($AI$2:$AI$1001,MATCH(ROWS($AG$2:AG991),$AG$2:$AG$1001,0),0), INDEX($AN$1004:$BO$1004,1,MATCH(COLUMNS($AN$1006:BH1006),$AN$1006:$BO$1006,0)))),"Fix")))</f>
        <v>0</v>
      </c>
      <c r="W991" s="4">
        <f>IF(OR(INDEX($AH$2:$AH$1001,MATCH(ROWS($AG$2:AG991),$AG$2:$AG$1001,0),1)&gt;=100000,INDEX($AN$1005:$BO$1005,1,MATCH(COLUMNS($AN$1006:BI1006),$AN$1006:$BO$1006,0))&gt;=100000), " ",IF(INDEX($AN$2:$BO$1001,MATCH(ROWS($AG$2:AG991),$AG$2:$AG$1001,0),MATCH(COLUMNS($AN$1006:BI1006),$AN$1006:$BO$1006,0)), HYPERLINK("#",""), HYPERLINK(CONCATENATE("#Metadata!", ADDRESS(INDEX($AI$2:$AI$1001,MATCH(ROWS($AG$2:AG991),$AG$2:$AG$1001,0),0), INDEX($AN$1004:$BO$1004,1,MATCH(COLUMNS($AN$1006:BI1006),$AN$1006:$BO$1006,0)))),"Fix")))</f>
        <v>0</v>
      </c>
      <c r="X991" s="4">
        <f>IF(OR(INDEX($AH$2:$AH$1001,MATCH(ROWS($AG$2:AG991),$AG$2:$AG$1001,0),1)&gt;=100000,INDEX($AN$1005:$BO$1005,1,MATCH(COLUMNS($AN$1006:BJ1006),$AN$1006:$BO$1006,0))&gt;=100000), " ",IF(INDEX($AN$2:$BO$1001,MATCH(ROWS($AG$2:AG991),$AG$2:$AG$1001,0),MATCH(COLUMNS($AN$1006:BJ1006),$AN$1006:$BO$1006,0)), HYPERLINK("#",""), HYPERLINK(CONCATENATE("#Metadata!", ADDRESS(INDEX($AI$2:$AI$1001,MATCH(ROWS($AG$2:AG991),$AG$2:$AG$1001,0),0), INDEX($AN$1004:$BO$1004,1,MATCH(COLUMNS($AN$1006:BJ1006),$AN$1006:$BO$1006,0)))),"Fix")))</f>
        <v>0</v>
      </c>
      <c r="Y991" s="4">
        <f>IF(OR(INDEX($AH$2:$AH$1001,MATCH(ROWS($AG$2:AG991),$AG$2:$AG$1001,0),1)&gt;=100000,INDEX($AN$1005:$BO$1005,1,MATCH(COLUMNS($AN$1006:BK1006),$AN$1006:$BO$1006,0))&gt;=100000), " ",IF(INDEX($AN$2:$BO$1001,MATCH(ROWS($AG$2:AG991),$AG$2:$AG$1001,0),MATCH(COLUMNS($AN$1006:BK1006),$AN$1006:$BO$1006,0)), HYPERLINK("#",""), HYPERLINK(CONCATENATE("#Metadata!", ADDRESS(INDEX($AI$2:$AI$1001,MATCH(ROWS($AG$2:AG991),$AG$2:$AG$1001,0),0), INDEX($AN$1004:$BO$1004,1,MATCH(COLUMNS($AN$1006:BK1006),$AN$1006:$BO$1006,0)))),"Fix")))</f>
        <v>0</v>
      </c>
      <c r="Z991" s="4">
        <f>IF(OR(INDEX($AH$2:$AH$1001,MATCH(ROWS($AG$2:AG991),$AG$2:$AG$1001,0),1)&gt;=100000,INDEX($AN$1005:$BO$1005,1,MATCH(COLUMNS($AN$1006:BL1006),$AN$1006:$BO$1006,0))&gt;=100000), " ",IF(INDEX($AN$2:$BO$1001,MATCH(ROWS($AG$2:AG991),$AG$2:$AG$1001,0),MATCH(COLUMNS($AN$1006:BL1006),$AN$1006:$BO$1006,0)), HYPERLINK("#",""), HYPERLINK(CONCATENATE("#Metadata!", ADDRESS(INDEX($AI$2:$AI$1001,MATCH(ROWS($AG$2:AG991),$AG$2:$AG$1001,0),0), INDEX($AN$1004:$BO$1004,1,MATCH(COLUMNS($AN$1006:BL1006),$AN$1006:$BO$1006,0)))),"Fix")))</f>
        <v>0</v>
      </c>
      <c r="AA991" s="4">
        <f>IF(OR(INDEX($AH$2:$AH$1001,MATCH(ROWS($AG$2:AG991),$AG$2:$AG$1001,0),1)&gt;=100000,INDEX($AN$1005:$BO$1005,1,MATCH(COLUMNS($AN$1006:BM1006),$AN$1006:$BO$1006,0))&gt;=100000), " ",IF(INDEX($AN$2:$BO$1001,MATCH(ROWS($AG$2:AG991),$AG$2:$AG$1001,0),MATCH(COLUMNS($AN$1006:BM1006),$AN$1006:$BO$1006,0)), HYPERLINK("#",""), HYPERLINK(CONCATENATE("#Metadata!", ADDRESS(INDEX($AI$2:$AI$1001,MATCH(ROWS($AG$2:AG991),$AG$2:$AG$1001,0),0), INDEX($AN$1004:$BO$1004,1,MATCH(COLUMNS($AN$1006:BM1006),$AN$1006:$BO$1006,0)))),"Fix")))</f>
        <v>0</v>
      </c>
      <c r="AB991" s="4">
        <f>IF(OR(INDEX($AH$2:$AH$1001,MATCH(ROWS($AG$2:AG991),$AG$2:$AG$1001,0),1)&gt;=100000,INDEX($AN$1005:$BO$1005,1,MATCH(COLUMNS($AN$1006:BN1006),$AN$1006:$BO$1006,0))&gt;=100000), " ",IF(INDEX($AN$2:$BO$1001,MATCH(ROWS($AG$2:AG991),$AG$2:$AG$1001,0),MATCH(COLUMNS($AN$1006:BN1006),$AN$1006:$BO$1006,0)), HYPERLINK("#",""), HYPERLINK(CONCATENATE("#Metadata!", ADDRESS(INDEX($AI$2:$AI$1001,MATCH(ROWS($AG$2:AG991),$AG$2:$AG$1001,0),0), INDEX($AN$1004:$BO$1004,1,MATCH(COLUMNS($AN$1006:BN1006),$AN$1006:$BO$1006,0)))),"Fix")))</f>
        <v>0</v>
      </c>
      <c r="AC991" s="4">
        <f>IF(OR(INDEX($AH$2:$AH$1001,MATCH(ROWS($AG$2:AG991),$AG$2:$AG$1001,0),1)&gt;=100000,INDEX($AN$1005:$BO$1005,1,MATCH(COLUMNS($AN$1006:BO1006),$AN$1006:$BO$1006,0))&gt;=100000), " ",IF(INDEX($AN$2:$BO$1001,MATCH(ROWS($AG$2:AG991),$AG$2:$AG$1001,0),MATCH(COLUMNS($AN$1006:BO1006),$AN$1006:$BO$1006,0)), HYPERLINK("#",""), HYPERLINK(CONCATENATE("#Metadata!", ADDRESS(INDEX($AI$2:$AI$1001,MATCH(ROWS($AG$2:AG991),$AG$2:$AG$1001,0),0), INDEX($AN$1004:$BO$1004,1,MATCH(COLUMNS($AN$1006:BO1006),$AN$1006:$BO$1006,0)))),"Fix")))</f>
        <v>0</v>
      </c>
      <c r="AG991">
        <v>0</v>
      </c>
      <c r="AH991">
        <v>0</v>
      </c>
      <c r="AI991">
        <v>0</v>
      </c>
      <c r="AJ991">
        <f>IF(AK991,TRUE,AND(AN991:BO991))</f>
        <v>0</v>
      </c>
      <c r="AK991">
        <f>COUNTBLANK(Metadata!B991:AC991)=COLUMNS(Metadata!B991:AC991)</f>
        <v>0</v>
      </c>
      <c r="AL991">
        <v>0</v>
      </c>
      <c r="AN991">
        <f>AND(IF(Metadata!B991="",FALSE,TRUE),COUNTIF(Metadata!B:B, Metadata!B991) = 1,NOT(ISERROR(SUMPRODUCT(SEARCH(MID(Metadata!B991,ROW(INDIRECT("1:"&amp;LEN(Metadata!B991))), 1),"0123456789abcdefghijklmnopqrstuvwxyzABCDEFGHIJKLMNOPQRSTUVWXYZ.")))))</f>
        <v>0</v>
      </c>
      <c r="AO991">
        <f>IF(Metadata!C991="",FALSE,TRUE)</f>
        <v>0</v>
      </c>
      <c r="AP991">
        <f>IF(Metadata!D991="",FALSE,TRUE)</f>
        <v>0</v>
      </c>
      <c r="AQ991">
        <f>OR(AND(IF(Metadata!E991="",FALSE,TRUE),OR(exact(Metadata!E991,"not collected"),exact(Metadata!E991,"not provided"),exact(Metadata!E991,"restricted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R991">
        <f>IF(Metadata!F991="",FALSE,TRUE)</f>
        <v>0</v>
      </c>
      <c r="AS991">
        <f>OR(AND(IF(Metadata!G991="",FALSE,TRUE),OR(exact(Metadata!G991,"not collected"),exact(Metadata!G991,"not provided"))),AND(IF(Metadata!G991="",FALSE,TRUE),OR(exact(Metadata!G991,"TRUE"),exact(Metadata!G991,"FALSE"))))</f>
        <v>0</v>
      </c>
      <c r="AT991">
        <f>OR(AND(IF(Metadata!H991="",FALSE,TRUE),OR(exact(Metadata!H991,"not collected"),exact(Metadata!H991,"not provided"),exact(Metadata!H991,"restricted access"))),AND(IF(Metadata!H991="",FALSE,ISNUMBER(VALUE(Metadata!H991))),Metadata!H991&gt;=-413.0))</f>
        <v>0</v>
      </c>
      <c r="AU991">
        <f>AND(IF(Metadata!I991="",FALSE,TRUE),exact(Metadata!I991,"meters"))</f>
        <v>0</v>
      </c>
      <c r="AV991">
        <f>AND(IF(Metadata!J991="",FALSE,TRUE),OR(exact(Metadata!J991,"Host-associated"),exact(Metadata!J991,"Free-living")))</f>
        <v>0</v>
      </c>
      <c r="AW991">
        <f>AND(IF(Metadata!K991="",FALSE,TRUE),OR(exact(Metadata!K991,"Animal"),exact(Metadata!K991,"Fungus"),exact(Metadata!K991,"Plant"),exact(Metadata!K991,"Saline"),exact(Metadata!K991,"Non-saline")))</f>
        <v>0</v>
      </c>
      <c r="AX991">
        <f>AND(IF(Metadata!L991="",FALSE,TRUE),OR(exact(Metadata!L991,"Plant secretion"),exact(Metadata!L991,"Plant rhizosphere"),exact(Metadata!L991,"Plant surface"),exact(Metadata!L991,"Plant corpus"),exact(Metadata!L991,"Fungus surface"),exact(Metadata!L991,"Fungus corpus"),exact(Metadata!L991,"Animal surface"),exact(Metadata!L991,"Animal proximal gut"),exact(Metadata!L991,"Animal corpus"),exact(Metadata!L991,"Animal distal gut"),exact(Metadata!L991,"Animal secretion"),exact(Metadata!L991,"Sub-surface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Y991">
        <f>IF(Metadata!M991="",FALSE,TRUE)</f>
        <v>0</v>
      </c>
      <c r="AZ991">
        <f>IF(Metadata!N991="",FALSE,TRUE)</f>
        <v>0</v>
      </c>
      <c r="BA991">
        <f>IF(Metadata!O991="",FALSE,TRUE)</f>
        <v>0</v>
      </c>
      <c r="BB991">
        <f>OR(AND(IF(Metadata!P991="",FALSE,TRUE),OR(exact(Metadata!P991,"not collected"),exact(Metadata!P991,"not provided"),exact(Metadata!P991,"restricted access"))),AND(IF(Metadata!P991="",FALSE,TRUE),OR(exact(Metadata!P991,"air"),exact(Metadata!P991,"built environment"),exact(Metadata!P991,"host-associated"),exact(Metadata!P991,"human-associated"),exact(Metadata!P991,"human-skin"),exact(Metadata!P991,"human-oral"),exact(Metadata!P991,"human-gut"),exact(Metadata!P991,"human-vaginal"),exact(Metadata!P991,"microbial mat/biofilm"),exact(Metadata!P991,"misc environment"),exact(Metadata!P991,"plant-associated"),exact(Metadata!P991,"sediment"),exact(Metadata!P991,"soil"),exact(Metadata!P991,"wastewater/sludge"),exact(Metadata!P991,"water"))))</f>
        <v>0</v>
      </c>
      <c r="BC991">
        <f>IF(Metadata!Q991="",FALSE,TRUE)</f>
        <v>0</v>
      </c>
      <c r="BD991">
        <f>IF(Metadata!R991="",FALSE,TRUE)</f>
        <v>0</v>
      </c>
      <c r="BE991">
        <f>OR(AND(IF(Metadata!S991="",FALSE,TRUE),OR(exact(Metadata!S991,"not collected"),exact(Metadata!S991,"not provided"),exact(Metadata!S991,"restricted access"))),AND(IF(Metadata!S991="",FALSE,ISNUMBER(VALUE(Metadata!S991))),Metadata!S991&gt;=-90.00,Metadata!S991&lt;=90.00))</f>
        <v>0</v>
      </c>
      <c r="BF991">
        <f>AND(IF(Metadata!T991="",FALSE,TRUE),exact(Metadata!T991,"Decimal degrees"))</f>
        <v>0</v>
      </c>
      <c r="BG991">
        <f>OR(AND(IF(Metadata!U991="",FALSE,TRUE),OR(exact(Metadata!U991,"not collected"),exact(Metadata!U991,"not provided"),exact(Metadata!U991,"restricted access"))),AND(IF(Metadata!U991="",FALSE,ISNUMBER(VALUE(Metadata!U991))),Metadata!U991&gt;=-180.00,Metadata!U991&lt;=180.00))</f>
        <v>0</v>
      </c>
      <c r="BH991">
        <f>AND(IF(Metadata!V991="",FALSE,TRUE),exact(Metadata!V991,"Decimal degrees"))</f>
        <v>0</v>
      </c>
      <c r="BI991">
        <f>IF(Metadata!W991="",FALSE,TRUE)</f>
        <v>0</v>
      </c>
      <c r="BJ991">
        <f>OR(AND(IF(Metadata!X991="",FALSE,TRUE),OR(exact(Metadata!X991,"not collected"),exact(Metadata!X991,"not provided"),exact(Metadata!X991,"restricted access"))),AND(IF(Metadata!X991="",FALSE,TRUE),OR(exact(Metadata!X991,"TRUE"),exact(Metadata!X991,"FALSE"))))</f>
        <v>0</v>
      </c>
      <c r="BK991">
        <f>AND(IF(Metadata!Y991="",FALSE,TRUE),exact(Metadata!Y991,"other"))</f>
        <v>0</v>
      </c>
      <c r="BL991">
        <f>IF(Metadata!Z991="",FALSE,TRUE)</f>
        <v>0</v>
      </c>
      <c r="BM991">
        <f>OR(AND(IF(Metadata!AA991="",FALSE,TRUE),OR(exact(Metadata!AA991,"not collected"),exact(Metadata!AA991,"not provided"))),AND(IF(Metadata!AA991="",FALSE,IF(ISERROR(INT(Metadata!AA991)),FALSE,INT(Metadata!AA991)=Metadata!AA991)),Metadata!AA991&gt;0))</f>
        <v>0</v>
      </c>
      <c r="BN991">
        <f>AND(IF(Metadata!AB991="",FALSE,TRUE),exact(Metadata!AB991,"Not applicable"))</f>
        <v>0</v>
      </c>
      <c r="BO991">
        <f>IF(Metadata!AC991="",FALSE,TRUE)</f>
        <v>0</v>
      </c>
    </row>
    <row r="992" spans="1:67">
      <c r="A992" s="5">
        <f>IF(B992=" "," ",HYPERLINK(CONCATENATE("#metadata!",ADDRESS(INDEX($AI$2:$AI$1001,MATCH(ROWS($AG$2:AG992),$AG$2:$AG$1001,0),0),1)),INDEX($AL$2:$AL$1001,MATCH(ROWS($AG$2:AG992),$AG$2:$AG$1001,0),0)))</f>
        <v>0</v>
      </c>
      <c r="B992" s="4">
        <f>IF(OR(INDEX($AH$2:$AH$1001,MATCH(ROWS($AG$2:AG992),$AG$2:$AG$1001,0),1)&gt;=100000,INDEX($AN$1005:$BO$1005,1,MATCH(COLUMNS($AN$1006:AN1006),$AN$1006:$BO$1006,0))&gt;=100000), " ",IF(INDEX($AN$2:$BO$1001,MATCH(ROWS($AG$2:AG992),$AG$2:$AG$1001,0),MATCH(COLUMNS($AN$1006:AN1006),$AN$1006:$BO$1006,0)), HYPERLINK("#",""), HYPERLINK(CONCATENATE("#Metadata!", ADDRESS(INDEX($AI$2:$AI$1001,MATCH(ROWS($AG$2:AG992),$AG$2:$AG$1001,0),0), INDEX($AN$1004:$BO$1004,1,MATCH(COLUMNS($AN$1006:AN1006),$AN$1006:$BO$1006,0)))),"Fix")))</f>
        <v>0</v>
      </c>
      <c r="C992" s="4">
        <f>IF(OR(INDEX($AH$2:$AH$1001,MATCH(ROWS($AG$2:AG992),$AG$2:$AG$1001,0),1)&gt;=100000,INDEX($AN$1005:$BO$1005,1,MATCH(COLUMNS($AN$1006:AO1006),$AN$1006:$BO$1006,0))&gt;=100000), " ",IF(INDEX($AN$2:$BO$1001,MATCH(ROWS($AG$2:AG992),$AG$2:$AG$1001,0),MATCH(COLUMNS($AN$1006:AO1006),$AN$1006:$BO$1006,0)), HYPERLINK("#",""), HYPERLINK(CONCATENATE("#Metadata!", ADDRESS(INDEX($AI$2:$AI$1001,MATCH(ROWS($AG$2:AG992),$AG$2:$AG$1001,0),0), INDEX($AN$1004:$BO$1004,1,MATCH(COLUMNS($AN$1006:AO1006),$AN$1006:$BO$1006,0)))),"Fix")))</f>
        <v>0</v>
      </c>
      <c r="D992" s="4">
        <f>IF(OR(INDEX($AH$2:$AH$1001,MATCH(ROWS($AG$2:AG992),$AG$2:$AG$1001,0),1)&gt;=100000,INDEX($AN$1005:$BO$1005,1,MATCH(COLUMNS($AN$1006:AP1006),$AN$1006:$BO$1006,0))&gt;=100000), " ",IF(INDEX($AN$2:$BO$1001,MATCH(ROWS($AG$2:AG992),$AG$2:$AG$1001,0),MATCH(COLUMNS($AN$1006:AP1006),$AN$1006:$BO$1006,0)), HYPERLINK("#",""), HYPERLINK(CONCATENATE("#Metadata!", ADDRESS(INDEX($AI$2:$AI$1001,MATCH(ROWS($AG$2:AG992),$AG$2:$AG$1001,0),0), INDEX($AN$1004:$BO$1004,1,MATCH(COLUMNS($AN$1006:AP1006),$AN$1006:$BO$1006,0)))),"Fix")))</f>
        <v>0</v>
      </c>
      <c r="E992" s="4">
        <f>IF(OR(INDEX($AH$2:$AH$1001,MATCH(ROWS($AG$2:AG992),$AG$2:$AG$1001,0),1)&gt;=100000,INDEX($AN$1005:$BO$1005,1,MATCH(COLUMNS($AN$1006:AQ1006),$AN$1006:$BO$1006,0))&gt;=100000), " ",IF(INDEX($AN$2:$BO$1001,MATCH(ROWS($AG$2:AG992),$AG$2:$AG$1001,0),MATCH(COLUMNS($AN$1006:AQ1006),$AN$1006:$BO$1006,0)), HYPERLINK("#",""), HYPERLINK(CONCATENATE("#Metadata!", ADDRESS(INDEX($AI$2:$AI$1001,MATCH(ROWS($AG$2:AG992),$AG$2:$AG$1001,0),0), INDEX($AN$1004:$BO$1004,1,MATCH(COLUMNS($AN$1006:AQ1006),$AN$1006:$BO$1006,0)))),"Fix")))</f>
        <v>0</v>
      </c>
      <c r="F992" s="4">
        <f>IF(OR(INDEX($AH$2:$AH$1001,MATCH(ROWS($AG$2:AG992),$AG$2:$AG$1001,0),1)&gt;=100000,INDEX($AN$1005:$BO$1005,1,MATCH(COLUMNS($AN$1006:AR1006),$AN$1006:$BO$1006,0))&gt;=100000), " ",IF(INDEX($AN$2:$BO$1001,MATCH(ROWS($AG$2:AG992),$AG$2:$AG$1001,0),MATCH(COLUMNS($AN$1006:AR1006),$AN$1006:$BO$1006,0)), HYPERLINK("#",""), HYPERLINK(CONCATENATE("#Metadata!", ADDRESS(INDEX($AI$2:$AI$1001,MATCH(ROWS($AG$2:AG992),$AG$2:$AG$1001,0),0), INDEX($AN$1004:$BO$1004,1,MATCH(COLUMNS($AN$1006:AR1006),$AN$1006:$BO$1006,0)))),"Fix")))</f>
        <v>0</v>
      </c>
      <c r="G992" s="4">
        <f>IF(OR(INDEX($AH$2:$AH$1001,MATCH(ROWS($AG$2:AG992),$AG$2:$AG$1001,0),1)&gt;=100000,INDEX($AN$1005:$BO$1005,1,MATCH(COLUMNS($AN$1006:AS1006),$AN$1006:$BO$1006,0))&gt;=100000), " ",IF(INDEX($AN$2:$BO$1001,MATCH(ROWS($AG$2:AG992),$AG$2:$AG$1001,0),MATCH(COLUMNS($AN$1006:AS1006),$AN$1006:$BO$1006,0)), HYPERLINK("#",""), HYPERLINK(CONCATENATE("#Metadata!", ADDRESS(INDEX($AI$2:$AI$1001,MATCH(ROWS($AG$2:AG992),$AG$2:$AG$1001,0),0), INDEX($AN$1004:$BO$1004,1,MATCH(COLUMNS($AN$1006:AS1006),$AN$1006:$BO$1006,0)))),"Fix")))</f>
        <v>0</v>
      </c>
      <c r="H992" s="4">
        <f>IF(OR(INDEX($AH$2:$AH$1001,MATCH(ROWS($AG$2:AG992),$AG$2:$AG$1001,0),1)&gt;=100000,INDEX($AN$1005:$BO$1005,1,MATCH(COLUMNS($AN$1006:AT1006),$AN$1006:$BO$1006,0))&gt;=100000), " ",IF(INDEX($AN$2:$BO$1001,MATCH(ROWS($AG$2:AG992),$AG$2:$AG$1001,0),MATCH(COLUMNS($AN$1006:AT1006),$AN$1006:$BO$1006,0)), HYPERLINK("#",""), HYPERLINK(CONCATENATE("#Metadata!", ADDRESS(INDEX($AI$2:$AI$1001,MATCH(ROWS($AG$2:AG992),$AG$2:$AG$1001,0),0), INDEX($AN$1004:$BO$1004,1,MATCH(COLUMNS($AN$1006:AT1006),$AN$1006:$BO$1006,0)))),"Fix")))</f>
        <v>0</v>
      </c>
      <c r="I992" s="4">
        <f>IF(OR(INDEX($AH$2:$AH$1001,MATCH(ROWS($AG$2:AG992),$AG$2:$AG$1001,0),1)&gt;=100000,INDEX($AN$1005:$BO$1005,1,MATCH(COLUMNS($AN$1006:AU1006),$AN$1006:$BO$1006,0))&gt;=100000), " ",IF(INDEX($AN$2:$BO$1001,MATCH(ROWS($AG$2:AG992),$AG$2:$AG$1001,0),MATCH(COLUMNS($AN$1006:AU1006),$AN$1006:$BO$1006,0)), HYPERLINK("#",""), HYPERLINK(CONCATENATE("#Metadata!", ADDRESS(INDEX($AI$2:$AI$1001,MATCH(ROWS($AG$2:AG992),$AG$2:$AG$1001,0),0), INDEX($AN$1004:$BO$1004,1,MATCH(COLUMNS($AN$1006:AU1006),$AN$1006:$BO$1006,0)))),"Fix")))</f>
        <v>0</v>
      </c>
      <c r="J992" s="4">
        <f>IF(OR(INDEX($AH$2:$AH$1001,MATCH(ROWS($AG$2:AG992),$AG$2:$AG$1001,0),1)&gt;=100000,INDEX($AN$1005:$BO$1005,1,MATCH(COLUMNS($AN$1006:AV1006),$AN$1006:$BO$1006,0))&gt;=100000), " ",IF(INDEX($AN$2:$BO$1001,MATCH(ROWS($AG$2:AG992),$AG$2:$AG$1001,0),MATCH(COLUMNS($AN$1006:AV1006),$AN$1006:$BO$1006,0)), HYPERLINK("#",""), HYPERLINK(CONCATENATE("#Metadata!", ADDRESS(INDEX($AI$2:$AI$1001,MATCH(ROWS($AG$2:AG992),$AG$2:$AG$1001,0),0), INDEX($AN$1004:$BO$1004,1,MATCH(COLUMNS($AN$1006:AV1006),$AN$1006:$BO$1006,0)))),"Fix")))</f>
        <v>0</v>
      </c>
      <c r="K992" s="4">
        <f>IF(OR(INDEX($AH$2:$AH$1001,MATCH(ROWS($AG$2:AG992),$AG$2:$AG$1001,0),1)&gt;=100000,INDEX($AN$1005:$BO$1005,1,MATCH(COLUMNS($AN$1006:AW1006),$AN$1006:$BO$1006,0))&gt;=100000), " ",IF(INDEX($AN$2:$BO$1001,MATCH(ROWS($AG$2:AG992),$AG$2:$AG$1001,0),MATCH(COLUMNS($AN$1006:AW1006),$AN$1006:$BO$1006,0)), HYPERLINK("#",""), HYPERLINK(CONCATENATE("#Metadata!", ADDRESS(INDEX($AI$2:$AI$1001,MATCH(ROWS($AG$2:AG992),$AG$2:$AG$1001,0),0), INDEX($AN$1004:$BO$1004,1,MATCH(COLUMNS($AN$1006:AW1006),$AN$1006:$BO$1006,0)))),"Fix")))</f>
        <v>0</v>
      </c>
      <c r="L992" s="4">
        <f>IF(OR(INDEX($AH$2:$AH$1001,MATCH(ROWS($AG$2:AG992),$AG$2:$AG$1001,0),1)&gt;=100000,INDEX($AN$1005:$BO$1005,1,MATCH(COLUMNS($AN$1006:AX1006),$AN$1006:$BO$1006,0))&gt;=100000), " ",IF(INDEX($AN$2:$BO$1001,MATCH(ROWS($AG$2:AG992),$AG$2:$AG$1001,0),MATCH(COLUMNS($AN$1006:AX1006),$AN$1006:$BO$1006,0)), HYPERLINK("#",""), HYPERLINK(CONCATENATE("#Metadata!", ADDRESS(INDEX($AI$2:$AI$1001,MATCH(ROWS($AG$2:AG992),$AG$2:$AG$1001,0),0), INDEX($AN$1004:$BO$1004,1,MATCH(COLUMNS($AN$1006:AX1006),$AN$1006:$BO$1006,0)))),"Fix")))</f>
        <v>0</v>
      </c>
      <c r="M992" s="4">
        <f>IF(OR(INDEX($AH$2:$AH$1001,MATCH(ROWS($AG$2:AG992),$AG$2:$AG$1001,0),1)&gt;=100000,INDEX($AN$1005:$BO$1005,1,MATCH(COLUMNS($AN$1006:AY1006),$AN$1006:$BO$1006,0))&gt;=100000), " ",IF(INDEX($AN$2:$BO$1001,MATCH(ROWS($AG$2:AG992),$AG$2:$AG$1001,0),MATCH(COLUMNS($AN$1006:AY1006),$AN$1006:$BO$1006,0)), HYPERLINK("#",""), HYPERLINK(CONCATENATE("#Metadata!", ADDRESS(INDEX($AI$2:$AI$1001,MATCH(ROWS($AG$2:AG992),$AG$2:$AG$1001,0),0), INDEX($AN$1004:$BO$1004,1,MATCH(COLUMNS($AN$1006:AY1006),$AN$1006:$BO$1006,0)))),"Fix")))</f>
        <v>0</v>
      </c>
      <c r="N992" s="4">
        <f>IF(OR(INDEX($AH$2:$AH$1001,MATCH(ROWS($AG$2:AG992),$AG$2:$AG$1001,0),1)&gt;=100000,INDEX($AN$1005:$BO$1005,1,MATCH(COLUMNS($AN$1006:AZ1006),$AN$1006:$BO$1006,0))&gt;=100000), " ",IF(INDEX($AN$2:$BO$1001,MATCH(ROWS($AG$2:AG992),$AG$2:$AG$1001,0),MATCH(COLUMNS($AN$1006:AZ1006),$AN$1006:$BO$1006,0)), HYPERLINK("#",""), HYPERLINK(CONCATENATE("#Metadata!", ADDRESS(INDEX($AI$2:$AI$1001,MATCH(ROWS($AG$2:AG992),$AG$2:$AG$1001,0),0), INDEX($AN$1004:$BO$1004,1,MATCH(COLUMNS($AN$1006:AZ1006),$AN$1006:$BO$1006,0)))),"Fix")))</f>
        <v>0</v>
      </c>
      <c r="O992" s="4">
        <f>IF(OR(INDEX($AH$2:$AH$1001,MATCH(ROWS($AG$2:AG992),$AG$2:$AG$1001,0),1)&gt;=100000,INDEX($AN$1005:$BO$1005,1,MATCH(COLUMNS($AN$1006:BA1006),$AN$1006:$BO$1006,0))&gt;=100000), " ",IF(INDEX($AN$2:$BO$1001,MATCH(ROWS($AG$2:AG992),$AG$2:$AG$1001,0),MATCH(COLUMNS($AN$1006:BA1006),$AN$1006:$BO$1006,0)), HYPERLINK("#",""), HYPERLINK(CONCATENATE("#Metadata!", ADDRESS(INDEX($AI$2:$AI$1001,MATCH(ROWS($AG$2:AG992),$AG$2:$AG$1001,0),0), INDEX($AN$1004:$BO$1004,1,MATCH(COLUMNS($AN$1006:BA1006),$AN$1006:$BO$1006,0)))),"Fix")))</f>
        <v>0</v>
      </c>
      <c r="P992" s="4">
        <f>IF(OR(INDEX($AH$2:$AH$1001,MATCH(ROWS($AG$2:AG992),$AG$2:$AG$1001,0),1)&gt;=100000,INDEX($AN$1005:$BO$1005,1,MATCH(COLUMNS($AN$1006:BB1006),$AN$1006:$BO$1006,0))&gt;=100000), " ",IF(INDEX($AN$2:$BO$1001,MATCH(ROWS($AG$2:AG992),$AG$2:$AG$1001,0),MATCH(COLUMNS($AN$1006:BB1006),$AN$1006:$BO$1006,0)), HYPERLINK("#",""), HYPERLINK(CONCATENATE("#Metadata!", ADDRESS(INDEX($AI$2:$AI$1001,MATCH(ROWS($AG$2:AG992),$AG$2:$AG$1001,0),0), INDEX($AN$1004:$BO$1004,1,MATCH(COLUMNS($AN$1006:BB1006),$AN$1006:$BO$1006,0)))),"Fix")))</f>
        <v>0</v>
      </c>
      <c r="Q992" s="4">
        <f>IF(OR(INDEX($AH$2:$AH$1001,MATCH(ROWS($AG$2:AG992),$AG$2:$AG$1001,0),1)&gt;=100000,INDEX($AN$1005:$BO$1005,1,MATCH(COLUMNS($AN$1006:BC1006),$AN$1006:$BO$1006,0))&gt;=100000), " ",IF(INDEX($AN$2:$BO$1001,MATCH(ROWS($AG$2:AG992),$AG$2:$AG$1001,0),MATCH(COLUMNS($AN$1006:BC1006),$AN$1006:$BO$1006,0)), HYPERLINK("#",""), HYPERLINK(CONCATENATE("#Metadata!", ADDRESS(INDEX($AI$2:$AI$1001,MATCH(ROWS($AG$2:AG992),$AG$2:$AG$1001,0),0), INDEX($AN$1004:$BO$1004,1,MATCH(COLUMNS($AN$1006:BC1006),$AN$1006:$BO$1006,0)))),"Fix")))</f>
        <v>0</v>
      </c>
      <c r="R992" s="4">
        <f>IF(OR(INDEX($AH$2:$AH$1001,MATCH(ROWS($AG$2:AG992),$AG$2:$AG$1001,0),1)&gt;=100000,INDEX($AN$1005:$BO$1005,1,MATCH(COLUMNS($AN$1006:BD1006),$AN$1006:$BO$1006,0))&gt;=100000), " ",IF(INDEX($AN$2:$BO$1001,MATCH(ROWS($AG$2:AG992),$AG$2:$AG$1001,0),MATCH(COLUMNS($AN$1006:BD1006),$AN$1006:$BO$1006,0)), HYPERLINK("#",""), HYPERLINK(CONCATENATE("#Metadata!", ADDRESS(INDEX($AI$2:$AI$1001,MATCH(ROWS($AG$2:AG992),$AG$2:$AG$1001,0),0), INDEX($AN$1004:$BO$1004,1,MATCH(COLUMNS($AN$1006:BD1006),$AN$1006:$BO$1006,0)))),"Fix")))</f>
        <v>0</v>
      </c>
      <c r="S992" s="4">
        <f>IF(OR(INDEX($AH$2:$AH$1001,MATCH(ROWS($AG$2:AG992),$AG$2:$AG$1001,0),1)&gt;=100000,INDEX($AN$1005:$BO$1005,1,MATCH(COLUMNS($AN$1006:BE1006),$AN$1006:$BO$1006,0))&gt;=100000), " ",IF(INDEX($AN$2:$BO$1001,MATCH(ROWS($AG$2:AG992),$AG$2:$AG$1001,0),MATCH(COLUMNS($AN$1006:BE1006),$AN$1006:$BO$1006,0)), HYPERLINK("#",""), HYPERLINK(CONCATENATE("#Metadata!", ADDRESS(INDEX($AI$2:$AI$1001,MATCH(ROWS($AG$2:AG992),$AG$2:$AG$1001,0),0), INDEX($AN$1004:$BO$1004,1,MATCH(COLUMNS($AN$1006:BE1006),$AN$1006:$BO$1006,0)))),"Fix")))</f>
        <v>0</v>
      </c>
      <c r="T992" s="4">
        <f>IF(OR(INDEX($AH$2:$AH$1001,MATCH(ROWS($AG$2:AG992),$AG$2:$AG$1001,0),1)&gt;=100000,INDEX($AN$1005:$BO$1005,1,MATCH(COLUMNS($AN$1006:BF1006),$AN$1006:$BO$1006,0))&gt;=100000), " ",IF(INDEX($AN$2:$BO$1001,MATCH(ROWS($AG$2:AG992),$AG$2:$AG$1001,0),MATCH(COLUMNS($AN$1006:BF1006),$AN$1006:$BO$1006,0)), HYPERLINK("#",""), HYPERLINK(CONCATENATE("#Metadata!", ADDRESS(INDEX($AI$2:$AI$1001,MATCH(ROWS($AG$2:AG992),$AG$2:$AG$1001,0),0), INDEX($AN$1004:$BO$1004,1,MATCH(COLUMNS($AN$1006:BF1006),$AN$1006:$BO$1006,0)))),"Fix")))</f>
        <v>0</v>
      </c>
      <c r="U992" s="4">
        <f>IF(OR(INDEX($AH$2:$AH$1001,MATCH(ROWS($AG$2:AG992),$AG$2:$AG$1001,0),1)&gt;=100000,INDEX($AN$1005:$BO$1005,1,MATCH(COLUMNS($AN$1006:BG1006),$AN$1006:$BO$1006,0))&gt;=100000), " ",IF(INDEX($AN$2:$BO$1001,MATCH(ROWS($AG$2:AG992),$AG$2:$AG$1001,0),MATCH(COLUMNS($AN$1006:BG1006),$AN$1006:$BO$1006,0)), HYPERLINK("#",""), HYPERLINK(CONCATENATE("#Metadata!", ADDRESS(INDEX($AI$2:$AI$1001,MATCH(ROWS($AG$2:AG992),$AG$2:$AG$1001,0),0), INDEX($AN$1004:$BO$1004,1,MATCH(COLUMNS($AN$1006:BG1006),$AN$1006:$BO$1006,0)))),"Fix")))</f>
        <v>0</v>
      </c>
      <c r="V992" s="4">
        <f>IF(OR(INDEX($AH$2:$AH$1001,MATCH(ROWS($AG$2:AG992),$AG$2:$AG$1001,0),1)&gt;=100000,INDEX($AN$1005:$BO$1005,1,MATCH(COLUMNS($AN$1006:BH1006),$AN$1006:$BO$1006,0))&gt;=100000), " ",IF(INDEX($AN$2:$BO$1001,MATCH(ROWS($AG$2:AG992),$AG$2:$AG$1001,0),MATCH(COLUMNS($AN$1006:BH1006),$AN$1006:$BO$1006,0)), HYPERLINK("#",""), HYPERLINK(CONCATENATE("#Metadata!", ADDRESS(INDEX($AI$2:$AI$1001,MATCH(ROWS($AG$2:AG992),$AG$2:$AG$1001,0),0), INDEX($AN$1004:$BO$1004,1,MATCH(COLUMNS($AN$1006:BH1006),$AN$1006:$BO$1006,0)))),"Fix")))</f>
        <v>0</v>
      </c>
      <c r="W992" s="4">
        <f>IF(OR(INDEX($AH$2:$AH$1001,MATCH(ROWS($AG$2:AG992),$AG$2:$AG$1001,0),1)&gt;=100000,INDEX($AN$1005:$BO$1005,1,MATCH(COLUMNS($AN$1006:BI1006),$AN$1006:$BO$1006,0))&gt;=100000), " ",IF(INDEX($AN$2:$BO$1001,MATCH(ROWS($AG$2:AG992),$AG$2:$AG$1001,0),MATCH(COLUMNS($AN$1006:BI1006),$AN$1006:$BO$1006,0)), HYPERLINK("#",""), HYPERLINK(CONCATENATE("#Metadata!", ADDRESS(INDEX($AI$2:$AI$1001,MATCH(ROWS($AG$2:AG992),$AG$2:$AG$1001,0),0), INDEX($AN$1004:$BO$1004,1,MATCH(COLUMNS($AN$1006:BI1006),$AN$1006:$BO$1006,0)))),"Fix")))</f>
        <v>0</v>
      </c>
      <c r="X992" s="4">
        <f>IF(OR(INDEX($AH$2:$AH$1001,MATCH(ROWS($AG$2:AG992),$AG$2:$AG$1001,0),1)&gt;=100000,INDEX($AN$1005:$BO$1005,1,MATCH(COLUMNS($AN$1006:BJ1006),$AN$1006:$BO$1006,0))&gt;=100000), " ",IF(INDEX($AN$2:$BO$1001,MATCH(ROWS($AG$2:AG992),$AG$2:$AG$1001,0),MATCH(COLUMNS($AN$1006:BJ1006),$AN$1006:$BO$1006,0)), HYPERLINK("#",""), HYPERLINK(CONCATENATE("#Metadata!", ADDRESS(INDEX($AI$2:$AI$1001,MATCH(ROWS($AG$2:AG992),$AG$2:$AG$1001,0),0), INDEX($AN$1004:$BO$1004,1,MATCH(COLUMNS($AN$1006:BJ1006),$AN$1006:$BO$1006,0)))),"Fix")))</f>
        <v>0</v>
      </c>
      <c r="Y992" s="4">
        <f>IF(OR(INDEX($AH$2:$AH$1001,MATCH(ROWS($AG$2:AG992),$AG$2:$AG$1001,0),1)&gt;=100000,INDEX($AN$1005:$BO$1005,1,MATCH(COLUMNS($AN$1006:BK1006),$AN$1006:$BO$1006,0))&gt;=100000), " ",IF(INDEX($AN$2:$BO$1001,MATCH(ROWS($AG$2:AG992),$AG$2:$AG$1001,0),MATCH(COLUMNS($AN$1006:BK1006),$AN$1006:$BO$1006,0)), HYPERLINK("#",""), HYPERLINK(CONCATENATE("#Metadata!", ADDRESS(INDEX($AI$2:$AI$1001,MATCH(ROWS($AG$2:AG992),$AG$2:$AG$1001,0),0), INDEX($AN$1004:$BO$1004,1,MATCH(COLUMNS($AN$1006:BK1006),$AN$1006:$BO$1006,0)))),"Fix")))</f>
        <v>0</v>
      </c>
      <c r="Z992" s="4">
        <f>IF(OR(INDEX($AH$2:$AH$1001,MATCH(ROWS($AG$2:AG992),$AG$2:$AG$1001,0),1)&gt;=100000,INDEX($AN$1005:$BO$1005,1,MATCH(COLUMNS($AN$1006:BL1006),$AN$1006:$BO$1006,0))&gt;=100000), " ",IF(INDEX($AN$2:$BO$1001,MATCH(ROWS($AG$2:AG992),$AG$2:$AG$1001,0),MATCH(COLUMNS($AN$1006:BL1006),$AN$1006:$BO$1006,0)), HYPERLINK("#",""), HYPERLINK(CONCATENATE("#Metadata!", ADDRESS(INDEX($AI$2:$AI$1001,MATCH(ROWS($AG$2:AG992),$AG$2:$AG$1001,0),0), INDEX($AN$1004:$BO$1004,1,MATCH(COLUMNS($AN$1006:BL1006),$AN$1006:$BO$1006,0)))),"Fix")))</f>
        <v>0</v>
      </c>
      <c r="AA992" s="4">
        <f>IF(OR(INDEX($AH$2:$AH$1001,MATCH(ROWS($AG$2:AG992),$AG$2:$AG$1001,0),1)&gt;=100000,INDEX($AN$1005:$BO$1005,1,MATCH(COLUMNS($AN$1006:BM1006),$AN$1006:$BO$1006,0))&gt;=100000), " ",IF(INDEX($AN$2:$BO$1001,MATCH(ROWS($AG$2:AG992),$AG$2:$AG$1001,0),MATCH(COLUMNS($AN$1006:BM1006),$AN$1006:$BO$1006,0)), HYPERLINK("#",""), HYPERLINK(CONCATENATE("#Metadata!", ADDRESS(INDEX($AI$2:$AI$1001,MATCH(ROWS($AG$2:AG992),$AG$2:$AG$1001,0),0), INDEX($AN$1004:$BO$1004,1,MATCH(COLUMNS($AN$1006:BM1006),$AN$1006:$BO$1006,0)))),"Fix")))</f>
        <v>0</v>
      </c>
      <c r="AB992" s="4">
        <f>IF(OR(INDEX($AH$2:$AH$1001,MATCH(ROWS($AG$2:AG992),$AG$2:$AG$1001,0),1)&gt;=100000,INDEX($AN$1005:$BO$1005,1,MATCH(COLUMNS($AN$1006:BN1006),$AN$1006:$BO$1006,0))&gt;=100000), " ",IF(INDEX($AN$2:$BO$1001,MATCH(ROWS($AG$2:AG992),$AG$2:$AG$1001,0),MATCH(COLUMNS($AN$1006:BN1006),$AN$1006:$BO$1006,0)), HYPERLINK("#",""), HYPERLINK(CONCATENATE("#Metadata!", ADDRESS(INDEX($AI$2:$AI$1001,MATCH(ROWS($AG$2:AG992),$AG$2:$AG$1001,0),0), INDEX($AN$1004:$BO$1004,1,MATCH(COLUMNS($AN$1006:BN1006),$AN$1006:$BO$1006,0)))),"Fix")))</f>
        <v>0</v>
      </c>
      <c r="AC992" s="4">
        <f>IF(OR(INDEX($AH$2:$AH$1001,MATCH(ROWS($AG$2:AG992),$AG$2:$AG$1001,0),1)&gt;=100000,INDEX($AN$1005:$BO$1005,1,MATCH(COLUMNS($AN$1006:BO1006),$AN$1006:$BO$1006,0))&gt;=100000), " ",IF(INDEX($AN$2:$BO$1001,MATCH(ROWS($AG$2:AG992),$AG$2:$AG$1001,0),MATCH(COLUMNS($AN$1006:BO1006),$AN$1006:$BO$1006,0)), HYPERLINK("#",""), HYPERLINK(CONCATENATE("#Metadata!", ADDRESS(INDEX($AI$2:$AI$1001,MATCH(ROWS($AG$2:AG992),$AG$2:$AG$1001,0),0), INDEX($AN$1004:$BO$1004,1,MATCH(COLUMNS($AN$1006:BO1006),$AN$1006:$BO$1006,0)))),"Fix")))</f>
        <v>0</v>
      </c>
      <c r="AG992">
        <v>0</v>
      </c>
      <c r="AH992">
        <v>0</v>
      </c>
      <c r="AI992">
        <v>0</v>
      </c>
      <c r="AJ992">
        <f>IF(AK992,TRUE,AND(AN992:BO992))</f>
        <v>0</v>
      </c>
      <c r="AK992">
        <f>COUNTBLANK(Metadata!B992:AC992)=COLUMNS(Metadata!B992:AC992)</f>
        <v>0</v>
      </c>
      <c r="AL992">
        <v>0</v>
      </c>
      <c r="AN992">
        <f>AND(IF(Metadata!B992="",FALSE,TRUE),COUNTIF(Metadata!B:B, Metadata!B992) = 1,NOT(ISERROR(SUMPRODUCT(SEARCH(MID(Metadata!B992,ROW(INDIRECT("1:"&amp;LEN(Metadata!B992))), 1),"0123456789abcdefghijklmnopqrstuvwxyzABCDEFGHIJKLMNOPQRSTUVWXYZ.")))))</f>
        <v>0</v>
      </c>
      <c r="AO992">
        <f>IF(Metadata!C992="",FALSE,TRUE)</f>
        <v>0</v>
      </c>
      <c r="AP992">
        <f>IF(Metadata!D992="",FALSE,TRUE)</f>
        <v>0</v>
      </c>
      <c r="AQ992">
        <f>OR(AND(IF(Metadata!E992="",FALSE,TRUE),OR(exact(Metadata!E992,"not collected"),exact(Metadata!E992,"not provided"),exact(Metadata!E992,"restricted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R992">
        <f>IF(Metadata!F992="",FALSE,TRUE)</f>
        <v>0</v>
      </c>
      <c r="AS992">
        <f>OR(AND(IF(Metadata!G992="",FALSE,TRUE),OR(exact(Metadata!G992,"not collected"),exact(Metadata!G992,"not provided"))),AND(IF(Metadata!G992="",FALSE,TRUE),OR(exact(Metadata!G992,"TRUE"),exact(Metadata!G992,"FALSE"))))</f>
        <v>0</v>
      </c>
      <c r="AT992">
        <f>OR(AND(IF(Metadata!H992="",FALSE,TRUE),OR(exact(Metadata!H992,"not collected"),exact(Metadata!H992,"not provided"),exact(Metadata!H992,"restricted access"))),AND(IF(Metadata!H992="",FALSE,ISNUMBER(VALUE(Metadata!H992))),Metadata!H992&gt;=-413.0))</f>
        <v>0</v>
      </c>
      <c r="AU992">
        <f>AND(IF(Metadata!I992="",FALSE,TRUE),exact(Metadata!I992,"meters"))</f>
        <v>0</v>
      </c>
      <c r="AV992">
        <f>AND(IF(Metadata!J992="",FALSE,TRUE),OR(exact(Metadata!J992,"Host-associated"),exact(Metadata!J992,"Free-living")))</f>
        <v>0</v>
      </c>
      <c r="AW992">
        <f>AND(IF(Metadata!K992="",FALSE,TRUE),OR(exact(Metadata!K992,"Animal"),exact(Metadata!K992,"Fungus"),exact(Metadata!K992,"Plant"),exact(Metadata!K992,"Saline"),exact(Metadata!K992,"Non-saline")))</f>
        <v>0</v>
      </c>
      <c r="AX992">
        <f>AND(IF(Metadata!L992="",FALSE,TRUE),OR(exact(Metadata!L992,"Plant secretion"),exact(Metadata!L992,"Plant rhizosphere"),exact(Metadata!L992,"Plant surface"),exact(Metadata!L992,"Plant corpus"),exact(Metadata!L992,"Fungus surface"),exact(Metadata!L992,"Fungus corpus"),exact(Metadata!L992,"Animal surface"),exact(Metadata!L992,"Animal proximal gut"),exact(Metadata!L992,"Animal corpus"),exact(Metadata!L992,"Animal distal gut"),exact(Metadata!L992,"Animal secretion"),exact(Metadata!L992,"Sub-surface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Y992">
        <f>IF(Metadata!M992="",FALSE,TRUE)</f>
        <v>0</v>
      </c>
      <c r="AZ992">
        <f>IF(Metadata!N992="",FALSE,TRUE)</f>
        <v>0</v>
      </c>
      <c r="BA992">
        <f>IF(Metadata!O992="",FALSE,TRUE)</f>
        <v>0</v>
      </c>
      <c r="BB992">
        <f>OR(AND(IF(Metadata!P992="",FALSE,TRUE),OR(exact(Metadata!P992,"not collected"),exact(Metadata!P992,"not provided"),exact(Metadata!P992,"restricted access"))),AND(IF(Metadata!P992="",FALSE,TRUE),OR(exact(Metadata!P992,"air"),exact(Metadata!P992,"built environment"),exact(Metadata!P992,"host-associated"),exact(Metadata!P992,"human-associated"),exact(Metadata!P992,"human-skin"),exact(Metadata!P992,"human-oral"),exact(Metadata!P992,"human-gut"),exact(Metadata!P992,"human-vaginal"),exact(Metadata!P992,"microbial mat/biofilm"),exact(Metadata!P992,"misc environment"),exact(Metadata!P992,"plant-associated"),exact(Metadata!P992,"sediment"),exact(Metadata!P992,"soil"),exact(Metadata!P992,"wastewater/sludge"),exact(Metadata!P992,"water"))))</f>
        <v>0</v>
      </c>
      <c r="BC992">
        <f>IF(Metadata!Q992="",FALSE,TRUE)</f>
        <v>0</v>
      </c>
      <c r="BD992">
        <f>IF(Metadata!R992="",FALSE,TRUE)</f>
        <v>0</v>
      </c>
      <c r="BE992">
        <f>OR(AND(IF(Metadata!S992="",FALSE,TRUE),OR(exact(Metadata!S992,"not collected"),exact(Metadata!S992,"not provided"),exact(Metadata!S992,"restricted access"))),AND(IF(Metadata!S992="",FALSE,ISNUMBER(VALUE(Metadata!S992))),Metadata!S992&gt;=-90.00,Metadata!S992&lt;=90.00))</f>
        <v>0</v>
      </c>
      <c r="BF992">
        <f>AND(IF(Metadata!T992="",FALSE,TRUE),exact(Metadata!T992,"Decimal degrees"))</f>
        <v>0</v>
      </c>
      <c r="BG992">
        <f>OR(AND(IF(Metadata!U992="",FALSE,TRUE),OR(exact(Metadata!U992,"not collected"),exact(Metadata!U992,"not provided"),exact(Metadata!U992,"restricted access"))),AND(IF(Metadata!U992="",FALSE,ISNUMBER(VALUE(Metadata!U992))),Metadata!U992&gt;=-180.00,Metadata!U992&lt;=180.00))</f>
        <v>0</v>
      </c>
      <c r="BH992">
        <f>AND(IF(Metadata!V992="",FALSE,TRUE),exact(Metadata!V992,"Decimal degrees"))</f>
        <v>0</v>
      </c>
      <c r="BI992">
        <f>IF(Metadata!W992="",FALSE,TRUE)</f>
        <v>0</v>
      </c>
      <c r="BJ992">
        <f>OR(AND(IF(Metadata!X992="",FALSE,TRUE),OR(exact(Metadata!X992,"not collected"),exact(Metadata!X992,"not provided"),exact(Metadata!X992,"restricted access"))),AND(IF(Metadata!X992="",FALSE,TRUE),OR(exact(Metadata!X992,"TRUE"),exact(Metadata!X992,"FALSE"))))</f>
        <v>0</v>
      </c>
      <c r="BK992">
        <f>AND(IF(Metadata!Y992="",FALSE,TRUE),exact(Metadata!Y992,"other"))</f>
        <v>0</v>
      </c>
      <c r="BL992">
        <f>IF(Metadata!Z992="",FALSE,TRUE)</f>
        <v>0</v>
      </c>
      <c r="BM992">
        <f>OR(AND(IF(Metadata!AA992="",FALSE,TRUE),OR(exact(Metadata!AA992,"not collected"),exact(Metadata!AA992,"not provided"))),AND(IF(Metadata!AA992="",FALSE,IF(ISERROR(INT(Metadata!AA992)),FALSE,INT(Metadata!AA992)=Metadata!AA992)),Metadata!AA992&gt;0))</f>
        <v>0</v>
      </c>
      <c r="BN992">
        <f>AND(IF(Metadata!AB992="",FALSE,TRUE),exact(Metadata!AB992,"Not applicable"))</f>
        <v>0</v>
      </c>
      <c r="BO992">
        <f>IF(Metadata!AC992="",FALSE,TRUE)</f>
        <v>0</v>
      </c>
    </row>
    <row r="993" spans="1:67">
      <c r="A993" s="5">
        <f>IF(B993=" "," ",HYPERLINK(CONCATENATE("#metadata!",ADDRESS(INDEX($AI$2:$AI$1001,MATCH(ROWS($AG$2:AG993),$AG$2:$AG$1001,0),0),1)),INDEX($AL$2:$AL$1001,MATCH(ROWS($AG$2:AG993),$AG$2:$AG$1001,0),0)))</f>
        <v>0</v>
      </c>
      <c r="B993" s="4">
        <f>IF(OR(INDEX($AH$2:$AH$1001,MATCH(ROWS($AG$2:AG993),$AG$2:$AG$1001,0),1)&gt;=100000,INDEX($AN$1005:$BO$1005,1,MATCH(COLUMNS($AN$1006:AN1006),$AN$1006:$BO$1006,0))&gt;=100000), " ",IF(INDEX($AN$2:$BO$1001,MATCH(ROWS($AG$2:AG993),$AG$2:$AG$1001,0),MATCH(COLUMNS($AN$1006:AN1006),$AN$1006:$BO$1006,0)), HYPERLINK("#",""), HYPERLINK(CONCATENATE("#Metadata!", ADDRESS(INDEX($AI$2:$AI$1001,MATCH(ROWS($AG$2:AG993),$AG$2:$AG$1001,0),0), INDEX($AN$1004:$BO$1004,1,MATCH(COLUMNS($AN$1006:AN1006),$AN$1006:$BO$1006,0)))),"Fix")))</f>
        <v>0</v>
      </c>
      <c r="C993" s="4">
        <f>IF(OR(INDEX($AH$2:$AH$1001,MATCH(ROWS($AG$2:AG993),$AG$2:$AG$1001,0),1)&gt;=100000,INDEX($AN$1005:$BO$1005,1,MATCH(COLUMNS($AN$1006:AO1006),$AN$1006:$BO$1006,0))&gt;=100000), " ",IF(INDEX($AN$2:$BO$1001,MATCH(ROWS($AG$2:AG993),$AG$2:$AG$1001,0),MATCH(COLUMNS($AN$1006:AO1006),$AN$1006:$BO$1006,0)), HYPERLINK("#",""), HYPERLINK(CONCATENATE("#Metadata!", ADDRESS(INDEX($AI$2:$AI$1001,MATCH(ROWS($AG$2:AG993),$AG$2:$AG$1001,0),0), INDEX($AN$1004:$BO$1004,1,MATCH(COLUMNS($AN$1006:AO1006),$AN$1006:$BO$1006,0)))),"Fix")))</f>
        <v>0</v>
      </c>
      <c r="D993" s="4">
        <f>IF(OR(INDEX($AH$2:$AH$1001,MATCH(ROWS($AG$2:AG993),$AG$2:$AG$1001,0),1)&gt;=100000,INDEX($AN$1005:$BO$1005,1,MATCH(COLUMNS($AN$1006:AP1006),$AN$1006:$BO$1006,0))&gt;=100000), " ",IF(INDEX($AN$2:$BO$1001,MATCH(ROWS($AG$2:AG993),$AG$2:$AG$1001,0),MATCH(COLUMNS($AN$1006:AP1006),$AN$1006:$BO$1006,0)), HYPERLINK("#",""), HYPERLINK(CONCATENATE("#Metadata!", ADDRESS(INDEX($AI$2:$AI$1001,MATCH(ROWS($AG$2:AG993),$AG$2:$AG$1001,0),0), INDEX($AN$1004:$BO$1004,1,MATCH(COLUMNS($AN$1006:AP1006),$AN$1006:$BO$1006,0)))),"Fix")))</f>
        <v>0</v>
      </c>
      <c r="E993" s="4">
        <f>IF(OR(INDEX($AH$2:$AH$1001,MATCH(ROWS($AG$2:AG993),$AG$2:$AG$1001,0),1)&gt;=100000,INDEX($AN$1005:$BO$1005,1,MATCH(COLUMNS($AN$1006:AQ1006),$AN$1006:$BO$1006,0))&gt;=100000), " ",IF(INDEX($AN$2:$BO$1001,MATCH(ROWS($AG$2:AG993),$AG$2:$AG$1001,0),MATCH(COLUMNS($AN$1006:AQ1006),$AN$1006:$BO$1006,0)), HYPERLINK("#",""), HYPERLINK(CONCATENATE("#Metadata!", ADDRESS(INDEX($AI$2:$AI$1001,MATCH(ROWS($AG$2:AG993),$AG$2:$AG$1001,0),0), INDEX($AN$1004:$BO$1004,1,MATCH(COLUMNS($AN$1006:AQ1006),$AN$1006:$BO$1006,0)))),"Fix")))</f>
        <v>0</v>
      </c>
      <c r="F993" s="4">
        <f>IF(OR(INDEX($AH$2:$AH$1001,MATCH(ROWS($AG$2:AG993),$AG$2:$AG$1001,0),1)&gt;=100000,INDEX($AN$1005:$BO$1005,1,MATCH(COLUMNS($AN$1006:AR1006),$AN$1006:$BO$1006,0))&gt;=100000), " ",IF(INDEX($AN$2:$BO$1001,MATCH(ROWS($AG$2:AG993),$AG$2:$AG$1001,0),MATCH(COLUMNS($AN$1006:AR1006),$AN$1006:$BO$1006,0)), HYPERLINK("#",""), HYPERLINK(CONCATENATE("#Metadata!", ADDRESS(INDEX($AI$2:$AI$1001,MATCH(ROWS($AG$2:AG993),$AG$2:$AG$1001,0),0), INDEX($AN$1004:$BO$1004,1,MATCH(COLUMNS($AN$1006:AR1006),$AN$1006:$BO$1006,0)))),"Fix")))</f>
        <v>0</v>
      </c>
      <c r="G993" s="4">
        <f>IF(OR(INDEX($AH$2:$AH$1001,MATCH(ROWS($AG$2:AG993),$AG$2:$AG$1001,0),1)&gt;=100000,INDEX($AN$1005:$BO$1005,1,MATCH(COLUMNS($AN$1006:AS1006),$AN$1006:$BO$1006,0))&gt;=100000), " ",IF(INDEX($AN$2:$BO$1001,MATCH(ROWS($AG$2:AG993),$AG$2:$AG$1001,0),MATCH(COLUMNS($AN$1006:AS1006),$AN$1006:$BO$1006,0)), HYPERLINK("#",""), HYPERLINK(CONCATENATE("#Metadata!", ADDRESS(INDEX($AI$2:$AI$1001,MATCH(ROWS($AG$2:AG993),$AG$2:$AG$1001,0),0), INDEX($AN$1004:$BO$1004,1,MATCH(COLUMNS($AN$1006:AS1006),$AN$1006:$BO$1006,0)))),"Fix")))</f>
        <v>0</v>
      </c>
      <c r="H993" s="4">
        <f>IF(OR(INDEX($AH$2:$AH$1001,MATCH(ROWS($AG$2:AG993),$AG$2:$AG$1001,0),1)&gt;=100000,INDEX($AN$1005:$BO$1005,1,MATCH(COLUMNS($AN$1006:AT1006),$AN$1006:$BO$1006,0))&gt;=100000), " ",IF(INDEX($AN$2:$BO$1001,MATCH(ROWS($AG$2:AG993),$AG$2:$AG$1001,0),MATCH(COLUMNS($AN$1006:AT1006),$AN$1006:$BO$1006,0)), HYPERLINK("#",""), HYPERLINK(CONCATENATE("#Metadata!", ADDRESS(INDEX($AI$2:$AI$1001,MATCH(ROWS($AG$2:AG993),$AG$2:$AG$1001,0),0), INDEX($AN$1004:$BO$1004,1,MATCH(COLUMNS($AN$1006:AT1006),$AN$1006:$BO$1006,0)))),"Fix")))</f>
        <v>0</v>
      </c>
      <c r="I993" s="4">
        <f>IF(OR(INDEX($AH$2:$AH$1001,MATCH(ROWS($AG$2:AG993),$AG$2:$AG$1001,0),1)&gt;=100000,INDEX($AN$1005:$BO$1005,1,MATCH(COLUMNS($AN$1006:AU1006),$AN$1006:$BO$1006,0))&gt;=100000), " ",IF(INDEX($AN$2:$BO$1001,MATCH(ROWS($AG$2:AG993),$AG$2:$AG$1001,0),MATCH(COLUMNS($AN$1006:AU1006),$AN$1006:$BO$1006,0)), HYPERLINK("#",""), HYPERLINK(CONCATENATE("#Metadata!", ADDRESS(INDEX($AI$2:$AI$1001,MATCH(ROWS($AG$2:AG993),$AG$2:$AG$1001,0),0), INDEX($AN$1004:$BO$1004,1,MATCH(COLUMNS($AN$1006:AU1006),$AN$1006:$BO$1006,0)))),"Fix")))</f>
        <v>0</v>
      </c>
      <c r="J993" s="4">
        <f>IF(OR(INDEX($AH$2:$AH$1001,MATCH(ROWS($AG$2:AG993),$AG$2:$AG$1001,0),1)&gt;=100000,INDEX($AN$1005:$BO$1005,1,MATCH(COLUMNS($AN$1006:AV1006),$AN$1006:$BO$1006,0))&gt;=100000), " ",IF(INDEX($AN$2:$BO$1001,MATCH(ROWS($AG$2:AG993),$AG$2:$AG$1001,0),MATCH(COLUMNS($AN$1006:AV1006),$AN$1006:$BO$1006,0)), HYPERLINK("#",""), HYPERLINK(CONCATENATE("#Metadata!", ADDRESS(INDEX($AI$2:$AI$1001,MATCH(ROWS($AG$2:AG993),$AG$2:$AG$1001,0),0), INDEX($AN$1004:$BO$1004,1,MATCH(COLUMNS($AN$1006:AV1006),$AN$1006:$BO$1006,0)))),"Fix")))</f>
        <v>0</v>
      </c>
      <c r="K993" s="4">
        <f>IF(OR(INDEX($AH$2:$AH$1001,MATCH(ROWS($AG$2:AG993),$AG$2:$AG$1001,0),1)&gt;=100000,INDEX($AN$1005:$BO$1005,1,MATCH(COLUMNS($AN$1006:AW1006),$AN$1006:$BO$1006,0))&gt;=100000), " ",IF(INDEX($AN$2:$BO$1001,MATCH(ROWS($AG$2:AG993),$AG$2:$AG$1001,0),MATCH(COLUMNS($AN$1006:AW1006),$AN$1006:$BO$1006,0)), HYPERLINK("#",""), HYPERLINK(CONCATENATE("#Metadata!", ADDRESS(INDEX($AI$2:$AI$1001,MATCH(ROWS($AG$2:AG993),$AG$2:$AG$1001,0),0), INDEX($AN$1004:$BO$1004,1,MATCH(COLUMNS($AN$1006:AW1006),$AN$1006:$BO$1006,0)))),"Fix")))</f>
        <v>0</v>
      </c>
      <c r="L993" s="4">
        <f>IF(OR(INDEX($AH$2:$AH$1001,MATCH(ROWS($AG$2:AG993),$AG$2:$AG$1001,0),1)&gt;=100000,INDEX($AN$1005:$BO$1005,1,MATCH(COLUMNS($AN$1006:AX1006),$AN$1006:$BO$1006,0))&gt;=100000), " ",IF(INDEX($AN$2:$BO$1001,MATCH(ROWS($AG$2:AG993),$AG$2:$AG$1001,0),MATCH(COLUMNS($AN$1006:AX1006),$AN$1006:$BO$1006,0)), HYPERLINK("#",""), HYPERLINK(CONCATENATE("#Metadata!", ADDRESS(INDEX($AI$2:$AI$1001,MATCH(ROWS($AG$2:AG993),$AG$2:$AG$1001,0),0), INDEX($AN$1004:$BO$1004,1,MATCH(COLUMNS($AN$1006:AX1006),$AN$1006:$BO$1006,0)))),"Fix")))</f>
        <v>0</v>
      </c>
      <c r="M993" s="4">
        <f>IF(OR(INDEX($AH$2:$AH$1001,MATCH(ROWS($AG$2:AG993),$AG$2:$AG$1001,0),1)&gt;=100000,INDEX($AN$1005:$BO$1005,1,MATCH(COLUMNS($AN$1006:AY1006),$AN$1006:$BO$1006,0))&gt;=100000), " ",IF(INDEX($AN$2:$BO$1001,MATCH(ROWS($AG$2:AG993),$AG$2:$AG$1001,0),MATCH(COLUMNS($AN$1006:AY1006),$AN$1006:$BO$1006,0)), HYPERLINK("#",""), HYPERLINK(CONCATENATE("#Metadata!", ADDRESS(INDEX($AI$2:$AI$1001,MATCH(ROWS($AG$2:AG993),$AG$2:$AG$1001,0),0), INDEX($AN$1004:$BO$1004,1,MATCH(COLUMNS($AN$1006:AY1006),$AN$1006:$BO$1006,0)))),"Fix")))</f>
        <v>0</v>
      </c>
      <c r="N993" s="4">
        <f>IF(OR(INDEX($AH$2:$AH$1001,MATCH(ROWS($AG$2:AG993),$AG$2:$AG$1001,0),1)&gt;=100000,INDEX($AN$1005:$BO$1005,1,MATCH(COLUMNS($AN$1006:AZ1006),$AN$1006:$BO$1006,0))&gt;=100000), " ",IF(INDEX($AN$2:$BO$1001,MATCH(ROWS($AG$2:AG993),$AG$2:$AG$1001,0),MATCH(COLUMNS($AN$1006:AZ1006),$AN$1006:$BO$1006,0)), HYPERLINK("#",""), HYPERLINK(CONCATENATE("#Metadata!", ADDRESS(INDEX($AI$2:$AI$1001,MATCH(ROWS($AG$2:AG993),$AG$2:$AG$1001,0),0), INDEX($AN$1004:$BO$1004,1,MATCH(COLUMNS($AN$1006:AZ1006),$AN$1006:$BO$1006,0)))),"Fix")))</f>
        <v>0</v>
      </c>
      <c r="O993" s="4">
        <f>IF(OR(INDEX($AH$2:$AH$1001,MATCH(ROWS($AG$2:AG993),$AG$2:$AG$1001,0),1)&gt;=100000,INDEX($AN$1005:$BO$1005,1,MATCH(COLUMNS($AN$1006:BA1006),$AN$1006:$BO$1006,0))&gt;=100000), " ",IF(INDEX($AN$2:$BO$1001,MATCH(ROWS($AG$2:AG993),$AG$2:$AG$1001,0),MATCH(COLUMNS($AN$1006:BA1006),$AN$1006:$BO$1006,0)), HYPERLINK("#",""), HYPERLINK(CONCATENATE("#Metadata!", ADDRESS(INDEX($AI$2:$AI$1001,MATCH(ROWS($AG$2:AG993),$AG$2:$AG$1001,0),0), INDEX($AN$1004:$BO$1004,1,MATCH(COLUMNS($AN$1006:BA1006),$AN$1006:$BO$1006,0)))),"Fix")))</f>
        <v>0</v>
      </c>
      <c r="P993" s="4">
        <f>IF(OR(INDEX($AH$2:$AH$1001,MATCH(ROWS($AG$2:AG993),$AG$2:$AG$1001,0),1)&gt;=100000,INDEX($AN$1005:$BO$1005,1,MATCH(COLUMNS($AN$1006:BB1006),$AN$1006:$BO$1006,0))&gt;=100000), " ",IF(INDEX($AN$2:$BO$1001,MATCH(ROWS($AG$2:AG993),$AG$2:$AG$1001,0),MATCH(COLUMNS($AN$1006:BB1006),$AN$1006:$BO$1006,0)), HYPERLINK("#",""), HYPERLINK(CONCATENATE("#Metadata!", ADDRESS(INDEX($AI$2:$AI$1001,MATCH(ROWS($AG$2:AG993),$AG$2:$AG$1001,0),0), INDEX($AN$1004:$BO$1004,1,MATCH(COLUMNS($AN$1006:BB1006),$AN$1006:$BO$1006,0)))),"Fix")))</f>
        <v>0</v>
      </c>
      <c r="Q993" s="4">
        <f>IF(OR(INDEX($AH$2:$AH$1001,MATCH(ROWS($AG$2:AG993),$AG$2:$AG$1001,0),1)&gt;=100000,INDEX($AN$1005:$BO$1005,1,MATCH(COLUMNS($AN$1006:BC1006),$AN$1006:$BO$1006,0))&gt;=100000), " ",IF(INDEX($AN$2:$BO$1001,MATCH(ROWS($AG$2:AG993),$AG$2:$AG$1001,0),MATCH(COLUMNS($AN$1006:BC1006),$AN$1006:$BO$1006,0)), HYPERLINK("#",""), HYPERLINK(CONCATENATE("#Metadata!", ADDRESS(INDEX($AI$2:$AI$1001,MATCH(ROWS($AG$2:AG993),$AG$2:$AG$1001,0),0), INDEX($AN$1004:$BO$1004,1,MATCH(COLUMNS($AN$1006:BC1006),$AN$1006:$BO$1006,0)))),"Fix")))</f>
        <v>0</v>
      </c>
      <c r="R993" s="4">
        <f>IF(OR(INDEX($AH$2:$AH$1001,MATCH(ROWS($AG$2:AG993),$AG$2:$AG$1001,0),1)&gt;=100000,INDEX($AN$1005:$BO$1005,1,MATCH(COLUMNS($AN$1006:BD1006),$AN$1006:$BO$1006,0))&gt;=100000), " ",IF(INDEX($AN$2:$BO$1001,MATCH(ROWS($AG$2:AG993),$AG$2:$AG$1001,0),MATCH(COLUMNS($AN$1006:BD1006),$AN$1006:$BO$1006,0)), HYPERLINK("#",""), HYPERLINK(CONCATENATE("#Metadata!", ADDRESS(INDEX($AI$2:$AI$1001,MATCH(ROWS($AG$2:AG993),$AG$2:$AG$1001,0),0), INDEX($AN$1004:$BO$1004,1,MATCH(COLUMNS($AN$1006:BD1006),$AN$1006:$BO$1006,0)))),"Fix")))</f>
        <v>0</v>
      </c>
      <c r="S993" s="4">
        <f>IF(OR(INDEX($AH$2:$AH$1001,MATCH(ROWS($AG$2:AG993),$AG$2:$AG$1001,0),1)&gt;=100000,INDEX($AN$1005:$BO$1005,1,MATCH(COLUMNS($AN$1006:BE1006),$AN$1006:$BO$1006,0))&gt;=100000), " ",IF(INDEX($AN$2:$BO$1001,MATCH(ROWS($AG$2:AG993),$AG$2:$AG$1001,0),MATCH(COLUMNS($AN$1006:BE1006),$AN$1006:$BO$1006,0)), HYPERLINK("#",""), HYPERLINK(CONCATENATE("#Metadata!", ADDRESS(INDEX($AI$2:$AI$1001,MATCH(ROWS($AG$2:AG993),$AG$2:$AG$1001,0),0), INDEX($AN$1004:$BO$1004,1,MATCH(COLUMNS($AN$1006:BE1006),$AN$1006:$BO$1006,0)))),"Fix")))</f>
        <v>0</v>
      </c>
      <c r="T993" s="4">
        <f>IF(OR(INDEX($AH$2:$AH$1001,MATCH(ROWS($AG$2:AG993),$AG$2:$AG$1001,0),1)&gt;=100000,INDEX($AN$1005:$BO$1005,1,MATCH(COLUMNS($AN$1006:BF1006),$AN$1006:$BO$1006,0))&gt;=100000), " ",IF(INDEX($AN$2:$BO$1001,MATCH(ROWS($AG$2:AG993),$AG$2:$AG$1001,0),MATCH(COLUMNS($AN$1006:BF1006),$AN$1006:$BO$1006,0)), HYPERLINK("#",""), HYPERLINK(CONCATENATE("#Metadata!", ADDRESS(INDEX($AI$2:$AI$1001,MATCH(ROWS($AG$2:AG993),$AG$2:$AG$1001,0),0), INDEX($AN$1004:$BO$1004,1,MATCH(COLUMNS($AN$1006:BF1006),$AN$1006:$BO$1006,0)))),"Fix")))</f>
        <v>0</v>
      </c>
      <c r="U993" s="4">
        <f>IF(OR(INDEX($AH$2:$AH$1001,MATCH(ROWS($AG$2:AG993),$AG$2:$AG$1001,0),1)&gt;=100000,INDEX($AN$1005:$BO$1005,1,MATCH(COLUMNS($AN$1006:BG1006),$AN$1006:$BO$1006,0))&gt;=100000), " ",IF(INDEX($AN$2:$BO$1001,MATCH(ROWS($AG$2:AG993),$AG$2:$AG$1001,0),MATCH(COLUMNS($AN$1006:BG1006),$AN$1006:$BO$1006,0)), HYPERLINK("#",""), HYPERLINK(CONCATENATE("#Metadata!", ADDRESS(INDEX($AI$2:$AI$1001,MATCH(ROWS($AG$2:AG993),$AG$2:$AG$1001,0),0), INDEX($AN$1004:$BO$1004,1,MATCH(COLUMNS($AN$1006:BG1006),$AN$1006:$BO$1006,0)))),"Fix")))</f>
        <v>0</v>
      </c>
      <c r="V993" s="4">
        <f>IF(OR(INDEX($AH$2:$AH$1001,MATCH(ROWS($AG$2:AG993),$AG$2:$AG$1001,0),1)&gt;=100000,INDEX($AN$1005:$BO$1005,1,MATCH(COLUMNS($AN$1006:BH1006),$AN$1006:$BO$1006,0))&gt;=100000), " ",IF(INDEX($AN$2:$BO$1001,MATCH(ROWS($AG$2:AG993),$AG$2:$AG$1001,0),MATCH(COLUMNS($AN$1006:BH1006),$AN$1006:$BO$1006,0)), HYPERLINK("#",""), HYPERLINK(CONCATENATE("#Metadata!", ADDRESS(INDEX($AI$2:$AI$1001,MATCH(ROWS($AG$2:AG993),$AG$2:$AG$1001,0),0), INDEX($AN$1004:$BO$1004,1,MATCH(COLUMNS($AN$1006:BH1006),$AN$1006:$BO$1006,0)))),"Fix")))</f>
        <v>0</v>
      </c>
      <c r="W993" s="4">
        <f>IF(OR(INDEX($AH$2:$AH$1001,MATCH(ROWS($AG$2:AG993),$AG$2:$AG$1001,0),1)&gt;=100000,INDEX($AN$1005:$BO$1005,1,MATCH(COLUMNS($AN$1006:BI1006),$AN$1006:$BO$1006,0))&gt;=100000), " ",IF(INDEX($AN$2:$BO$1001,MATCH(ROWS($AG$2:AG993),$AG$2:$AG$1001,0),MATCH(COLUMNS($AN$1006:BI1006),$AN$1006:$BO$1006,0)), HYPERLINK("#",""), HYPERLINK(CONCATENATE("#Metadata!", ADDRESS(INDEX($AI$2:$AI$1001,MATCH(ROWS($AG$2:AG993),$AG$2:$AG$1001,0),0), INDEX($AN$1004:$BO$1004,1,MATCH(COLUMNS($AN$1006:BI1006),$AN$1006:$BO$1006,0)))),"Fix")))</f>
        <v>0</v>
      </c>
      <c r="X993" s="4">
        <f>IF(OR(INDEX($AH$2:$AH$1001,MATCH(ROWS($AG$2:AG993),$AG$2:$AG$1001,0),1)&gt;=100000,INDEX($AN$1005:$BO$1005,1,MATCH(COLUMNS($AN$1006:BJ1006),$AN$1006:$BO$1006,0))&gt;=100000), " ",IF(INDEX($AN$2:$BO$1001,MATCH(ROWS($AG$2:AG993),$AG$2:$AG$1001,0),MATCH(COLUMNS($AN$1006:BJ1006),$AN$1006:$BO$1006,0)), HYPERLINK("#",""), HYPERLINK(CONCATENATE("#Metadata!", ADDRESS(INDEX($AI$2:$AI$1001,MATCH(ROWS($AG$2:AG993),$AG$2:$AG$1001,0),0), INDEX($AN$1004:$BO$1004,1,MATCH(COLUMNS($AN$1006:BJ1006),$AN$1006:$BO$1006,0)))),"Fix")))</f>
        <v>0</v>
      </c>
      <c r="Y993" s="4">
        <f>IF(OR(INDEX($AH$2:$AH$1001,MATCH(ROWS($AG$2:AG993),$AG$2:$AG$1001,0),1)&gt;=100000,INDEX($AN$1005:$BO$1005,1,MATCH(COLUMNS($AN$1006:BK1006),$AN$1006:$BO$1006,0))&gt;=100000), " ",IF(INDEX($AN$2:$BO$1001,MATCH(ROWS($AG$2:AG993),$AG$2:$AG$1001,0),MATCH(COLUMNS($AN$1006:BK1006),$AN$1006:$BO$1006,0)), HYPERLINK("#",""), HYPERLINK(CONCATENATE("#Metadata!", ADDRESS(INDEX($AI$2:$AI$1001,MATCH(ROWS($AG$2:AG993),$AG$2:$AG$1001,0),0), INDEX($AN$1004:$BO$1004,1,MATCH(COLUMNS($AN$1006:BK1006),$AN$1006:$BO$1006,0)))),"Fix")))</f>
        <v>0</v>
      </c>
      <c r="Z993" s="4">
        <f>IF(OR(INDEX($AH$2:$AH$1001,MATCH(ROWS($AG$2:AG993),$AG$2:$AG$1001,0),1)&gt;=100000,INDEX($AN$1005:$BO$1005,1,MATCH(COLUMNS($AN$1006:BL1006),$AN$1006:$BO$1006,0))&gt;=100000), " ",IF(INDEX($AN$2:$BO$1001,MATCH(ROWS($AG$2:AG993),$AG$2:$AG$1001,0),MATCH(COLUMNS($AN$1006:BL1006),$AN$1006:$BO$1006,0)), HYPERLINK("#",""), HYPERLINK(CONCATENATE("#Metadata!", ADDRESS(INDEX($AI$2:$AI$1001,MATCH(ROWS($AG$2:AG993),$AG$2:$AG$1001,0),0), INDEX($AN$1004:$BO$1004,1,MATCH(COLUMNS($AN$1006:BL1006),$AN$1006:$BO$1006,0)))),"Fix")))</f>
        <v>0</v>
      </c>
      <c r="AA993" s="4">
        <f>IF(OR(INDEX($AH$2:$AH$1001,MATCH(ROWS($AG$2:AG993),$AG$2:$AG$1001,0),1)&gt;=100000,INDEX($AN$1005:$BO$1005,1,MATCH(COLUMNS($AN$1006:BM1006),$AN$1006:$BO$1006,0))&gt;=100000), " ",IF(INDEX($AN$2:$BO$1001,MATCH(ROWS($AG$2:AG993),$AG$2:$AG$1001,0),MATCH(COLUMNS($AN$1006:BM1006),$AN$1006:$BO$1006,0)), HYPERLINK("#",""), HYPERLINK(CONCATENATE("#Metadata!", ADDRESS(INDEX($AI$2:$AI$1001,MATCH(ROWS($AG$2:AG993),$AG$2:$AG$1001,0),0), INDEX($AN$1004:$BO$1004,1,MATCH(COLUMNS($AN$1006:BM1006),$AN$1006:$BO$1006,0)))),"Fix")))</f>
        <v>0</v>
      </c>
      <c r="AB993" s="4">
        <f>IF(OR(INDEX($AH$2:$AH$1001,MATCH(ROWS($AG$2:AG993),$AG$2:$AG$1001,0),1)&gt;=100000,INDEX($AN$1005:$BO$1005,1,MATCH(COLUMNS($AN$1006:BN1006),$AN$1006:$BO$1006,0))&gt;=100000), " ",IF(INDEX($AN$2:$BO$1001,MATCH(ROWS($AG$2:AG993),$AG$2:$AG$1001,0),MATCH(COLUMNS($AN$1006:BN1006),$AN$1006:$BO$1006,0)), HYPERLINK("#",""), HYPERLINK(CONCATENATE("#Metadata!", ADDRESS(INDEX($AI$2:$AI$1001,MATCH(ROWS($AG$2:AG993),$AG$2:$AG$1001,0),0), INDEX($AN$1004:$BO$1004,1,MATCH(COLUMNS($AN$1006:BN1006),$AN$1006:$BO$1006,0)))),"Fix")))</f>
        <v>0</v>
      </c>
      <c r="AC993" s="4">
        <f>IF(OR(INDEX($AH$2:$AH$1001,MATCH(ROWS($AG$2:AG993),$AG$2:$AG$1001,0),1)&gt;=100000,INDEX($AN$1005:$BO$1005,1,MATCH(COLUMNS($AN$1006:BO1006),$AN$1006:$BO$1006,0))&gt;=100000), " ",IF(INDEX($AN$2:$BO$1001,MATCH(ROWS($AG$2:AG993),$AG$2:$AG$1001,0),MATCH(COLUMNS($AN$1006:BO1006),$AN$1006:$BO$1006,0)), HYPERLINK("#",""), HYPERLINK(CONCATENATE("#Metadata!", ADDRESS(INDEX($AI$2:$AI$1001,MATCH(ROWS($AG$2:AG993),$AG$2:$AG$1001,0),0), INDEX($AN$1004:$BO$1004,1,MATCH(COLUMNS($AN$1006:BO1006),$AN$1006:$BO$1006,0)))),"Fix")))</f>
        <v>0</v>
      </c>
      <c r="AG993">
        <v>0</v>
      </c>
      <c r="AH993">
        <v>0</v>
      </c>
      <c r="AI993">
        <v>0</v>
      </c>
      <c r="AJ993">
        <f>IF(AK993,TRUE,AND(AN993:BO993))</f>
        <v>0</v>
      </c>
      <c r="AK993">
        <f>COUNTBLANK(Metadata!B993:AC993)=COLUMNS(Metadata!B993:AC993)</f>
        <v>0</v>
      </c>
      <c r="AL993">
        <v>0</v>
      </c>
      <c r="AN993">
        <f>AND(IF(Metadata!B993="",FALSE,TRUE),COUNTIF(Metadata!B:B, Metadata!B993) = 1,NOT(ISERROR(SUMPRODUCT(SEARCH(MID(Metadata!B993,ROW(INDIRECT("1:"&amp;LEN(Metadata!B993))), 1),"0123456789abcdefghijklmnopqrstuvwxyzABCDEFGHIJKLMNOPQRSTUVWXYZ.")))))</f>
        <v>0</v>
      </c>
      <c r="AO993">
        <f>IF(Metadata!C993="",FALSE,TRUE)</f>
        <v>0</v>
      </c>
      <c r="AP993">
        <f>IF(Metadata!D993="",FALSE,TRUE)</f>
        <v>0</v>
      </c>
      <c r="AQ993">
        <f>OR(AND(IF(Metadata!E993="",FALSE,TRUE),OR(exact(Metadata!E993,"not collected"),exact(Metadata!E993,"not provided"),exact(Metadata!E993,"restricted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R993">
        <f>IF(Metadata!F993="",FALSE,TRUE)</f>
        <v>0</v>
      </c>
      <c r="AS993">
        <f>OR(AND(IF(Metadata!G993="",FALSE,TRUE),OR(exact(Metadata!G993,"not collected"),exact(Metadata!G993,"not provided"))),AND(IF(Metadata!G993="",FALSE,TRUE),OR(exact(Metadata!G993,"TRUE"),exact(Metadata!G993,"FALSE"))))</f>
        <v>0</v>
      </c>
      <c r="AT993">
        <f>OR(AND(IF(Metadata!H993="",FALSE,TRUE),OR(exact(Metadata!H993,"not collected"),exact(Metadata!H993,"not provided"),exact(Metadata!H993,"restricted access"))),AND(IF(Metadata!H993="",FALSE,ISNUMBER(VALUE(Metadata!H993))),Metadata!H993&gt;=-413.0))</f>
        <v>0</v>
      </c>
      <c r="AU993">
        <f>AND(IF(Metadata!I993="",FALSE,TRUE),exact(Metadata!I993,"meters"))</f>
        <v>0</v>
      </c>
      <c r="AV993">
        <f>AND(IF(Metadata!J993="",FALSE,TRUE),OR(exact(Metadata!J993,"Host-associated"),exact(Metadata!J993,"Free-living")))</f>
        <v>0</v>
      </c>
      <c r="AW993">
        <f>AND(IF(Metadata!K993="",FALSE,TRUE),OR(exact(Metadata!K993,"Animal"),exact(Metadata!K993,"Fungus"),exact(Metadata!K993,"Plant"),exact(Metadata!K993,"Saline"),exact(Metadata!K993,"Non-saline")))</f>
        <v>0</v>
      </c>
      <c r="AX993">
        <f>AND(IF(Metadata!L993="",FALSE,TRUE),OR(exact(Metadata!L993,"Plant secretion"),exact(Metadata!L993,"Plant rhizosphere"),exact(Metadata!L993,"Plant surface"),exact(Metadata!L993,"Plant corpus"),exact(Metadata!L993,"Fungus surface"),exact(Metadata!L993,"Fungus corpus"),exact(Metadata!L993,"Animal surface"),exact(Metadata!L993,"Animal proximal gut"),exact(Metadata!L993,"Animal corpus"),exact(Metadata!L993,"Animal distal gut"),exact(Metadata!L993,"Animal secretion"),exact(Metadata!L993,"Sub-surface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Y993">
        <f>IF(Metadata!M993="",FALSE,TRUE)</f>
        <v>0</v>
      </c>
      <c r="AZ993">
        <f>IF(Metadata!N993="",FALSE,TRUE)</f>
        <v>0</v>
      </c>
      <c r="BA993">
        <f>IF(Metadata!O993="",FALSE,TRUE)</f>
        <v>0</v>
      </c>
      <c r="BB993">
        <f>OR(AND(IF(Metadata!P993="",FALSE,TRUE),OR(exact(Metadata!P993,"not collected"),exact(Metadata!P993,"not provided"),exact(Metadata!P993,"restricted access"))),AND(IF(Metadata!P993="",FALSE,TRUE),OR(exact(Metadata!P993,"air"),exact(Metadata!P993,"built environment"),exact(Metadata!P993,"host-associated"),exact(Metadata!P993,"human-associated"),exact(Metadata!P993,"human-skin"),exact(Metadata!P993,"human-oral"),exact(Metadata!P993,"human-gut"),exact(Metadata!P993,"human-vaginal"),exact(Metadata!P993,"microbial mat/biofilm"),exact(Metadata!P993,"misc environment"),exact(Metadata!P993,"plant-associated"),exact(Metadata!P993,"sediment"),exact(Metadata!P993,"soil"),exact(Metadata!P993,"wastewater/sludge"),exact(Metadata!P993,"water"))))</f>
        <v>0</v>
      </c>
      <c r="BC993">
        <f>IF(Metadata!Q993="",FALSE,TRUE)</f>
        <v>0</v>
      </c>
      <c r="BD993">
        <f>IF(Metadata!R993="",FALSE,TRUE)</f>
        <v>0</v>
      </c>
      <c r="BE993">
        <f>OR(AND(IF(Metadata!S993="",FALSE,TRUE),OR(exact(Metadata!S993,"not collected"),exact(Metadata!S993,"not provided"),exact(Metadata!S993,"restricted access"))),AND(IF(Metadata!S993="",FALSE,ISNUMBER(VALUE(Metadata!S993))),Metadata!S993&gt;=-90.00,Metadata!S993&lt;=90.00))</f>
        <v>0</v>
      </c>
      <c r="BF993">
        <f>AND(IF(Metadata!T993="",FALSE,TRUE),exact(Metadata!T993,"Decimal degrees"))</f>
        <v>0</v>
      </c>
      <c r="BG993">
        <f>OR(AND(IF(Metadata!U993="",FALSE,TRUE),OR(exact(Metadata!U993,"not collected"),exact(Metadata!U993,"not provided"),exact(Metadata!U993,"restricted access"))),AND(IF(Metadata!U993="",FALSE,ISNUMBER(VALUE(Metadata!U993))),Metadata!U993&gt;=-180.00,Metadata!U993&lt;=180.00))</f>
        <v>0</v>
      </c>
      <c r="BH993">
        <f>AND(IF(Metadata!V993="",FALSE,TRUE),exact(Metadata!V993,"Decimal degrees"))</f>
        <v>0</v>
      </c>
      <c r="BI993">
        <f>IF(Metadata!W993="",FALSE,TRUE)</f>
        <v>0</v>
      </c>
      <c r="BJ993">
        <f>OR(AND(IF(Metadata!X993="",FALSE,TRUE),OR(exact(Metadata!X993,"not collected"),exact(Metadata!X993,"not provided"),exact(Metadata!X993,"restricted access"))),AND(IF(Metadata!X993="",FALSE,TRUE),OR(exact(Metadata!X993,"TRUE"),exact(Metadata!X993,"FALSE"))))</f>
        <v>0</v>
      </c>
      <c r="BK993">
        <f>AND(IF(Metadata!Y993="",FALSE,TRUE),exact(Metadata!Y993,"other"))</f>
        <v>0</v>
      </c>
      <c r="BL993">
        <f>IF(Metadata!Z993="",FALSE,TRUE)</f>
        <v>0</v>
      </c>
      <c r="BM993">
        <f>OR(AND(IF(Metadata!AA993="",FALSE,TRUE),OR(exact(Metadata!AA993,"not collected"),exact(Metadata!AA993,"not provided"))),AND(IF(Metadata!AA993="",FALSE,IF(ISERROR(INT(Metadata!AA993)),FALSE,INT(Metadata!AA993)=Metadata!AA993)),Metadata!AA993&gt;0))</f>
        <v>0</v>
      </c>
      <c r="BN993">
        <f>AND(IF(Metadata!AB993="",FALSE,TRUE),exact(Metadata!AB993,"Not applicable"))</f>
        <v>0</v>
      </c>
      <c r="BO993">
        <f>IF(Metadata!AC993="",FALSE,TRUE)</f>
        <v>0</v>
      </c>
    </row>
    <row r="994" spans="1:67">
      <c r="A994" s="5">
        <f>IF(B994=" "," ",HYPERLINK(CONCATENATE("#metadata!",ADDRESS(INDEX($AI$2:$AI$1001,MATCH(ROWS($AG$2:AG994),$AG$2:$AG$1001,0),0),1)),INDEX($AL$2:$AL$1001,MATCH(ROWS($AG$2:AG994),$AG$2:$AG$1001,0),0)))</f>
        <v>0</v>
      </c>
      <c r="B994" s="4">
        <f>IF(OR(INDEX($AH$2:$AH$1001,MATCH(ROWS($AG$2:AG994),$AG$2:$AG$1001,0),1)&gt;=100000,INDEX($AN$1005:$BO$1005,1,MATCH(COLUMNS($AN$1006:AN1006),$AN$1006:$BO$1006,0))&gt;=100000), " ",IF(INDEX($AN$2:$BO$1001,MATCH(ROWS($AG$2:AG994),$AG$2:$AG$1001,0),MATCH(COLUMNS($AN$1006:AN1006),$AN$1006:$BO$1006,0)), HYPERLINK("#",""), HYPERLINK(CONCATENATE("#Metadata!", ADDRESS(INDEX($AI$2:$AI$1001,MATCH(ROWS($AG$2:AG994),$AG$2:$AG$1001,0),0), INDEX($AN$1004:$BO$1004,1,MATCH(COLUMNS($AN$1006:AN1006),$AN$1006:$BO$1006,0)))),"Fix")))</f>
        <v>0</v>
      </c>
      <c r="C994" s="4">
        <f>IF(OR(INDEX($AH$2:$AH$1001,MATCH(ROWS($AG$2:AG994),$AG$2:$AG$1001,0),1)&gt;=100000,INDEX($AN$1005:$BO$1005,1,MATCH(COLUMNS($AN$1006:AO1006),$AN$1006:$BO$1006,0))&gt;=100000), " ",IF(INDEX($AN$2:$BO$1001,MATCH(ROWS($AG$2:AG994),$AG$2:$AG$1001,0),MATCH(COLUMNS($AN$1006:AO1006),$AN$1006:$BO$1006,0)), HYPERLINK("#",""), HYPERLINK(CONCATENATE("#Metadata!", ADDRESS(INDEX($AI$2:$AI$1001,MATCH(ROWS($AG$2:AG994),$AG$2:$AG$1001,0),0), INDEX($AN$1004:$BO$1004,1,MATCH(COLUMNS($AN$1006:AO1006),$AN$1006:$BO$1006,0)))),"Fix")))</f>
        <v>0</v>
      </c>
      <c r="D994" s="4">
        <f>IF(OR(INDEX($AH$2:$AH$1001,MATCH(ROWS($AG$2:AG994),$AG$2:$AG$1001,0),1)&gt;=100000,INDEX($AN$1005:$BO$1005,1,MATCH(COLUMNS($AN$1006:AP1006),$AN$1006:$BO$1006,0))&gt;=100000), " ",IF(INDEX($AN$2:$BO$1001,MATCH(ROWS($AG$2:AG994),$AG$2:$AG$1001,0),MATCH(COLUMNS($AN$1006:AP1006),$AN$1006:$BO$1006,0)), HYPERLINK("#",""), HYPERLINK(CONCATENATE("#Metadata!", ADDRESS(INDEX($AI$2:$AI$1001,MATCH(ROWS($AG$2:AG994),$AG$2:$AG$1001,0),0), INDEX($AN$1004:$BO$1004,1,MATCH(COLUMNS($AN$1006:AP1006),$AN$1006:$BO$1006,0)))),"Fix")))</f>
        <v>0</v>
      </c>
      <c r="E994" s="4">
        <f>IF(OR(INDEX($AH$2:$AH$1001,MATCH(ROWS($AG$2:AG994),$AG$2:$AG$1001,0),1)&gt;=100000,INDEX($AN$1005:$BO$1005,1,MATCH(COLUMNS($AN$1006:AQ1006),$AN$1006:$BO$1006,0))&gt;=100000), " ",IF(INDEX($AN$2:$BO$1001,MATCH(ROWS($AG$2:AG994),$AG$2:$AG$1001,0),MATCH(COLUMNS($AN$1006:AQ1006),$AN$1006:$BO$1006,0)), HYPERLINK("#",""), HYPERLINK(CONCATENATE("#Metadata!", ADDRESS(INDEX($AI$2:$AI$1001,MATCH(ROWS($AG$2:AG994),$AG$2:$AG$1001,0),0), INDEX($AN$1004:$BO$1004,1,MATCH(COLUMNS($AN$1006:AQ1006),$AN$1006:$BO$1006,0)))),"Fix")))</f>
        <v>0</v>
      </c>
      <c r="F994" s="4">
        <f>IF(OR(INDEX($AH$2:$AH$1001,MATCH(ROWS($AG$2:AG994),$AG$2:$AG$1001,0),1)&gt;=100000,INDEX($AN$1005:$BO$1005,1,MATCH(COLUMNS($AN$1006:AR1006),$AN$1006:$BO$1006,0))&gt;=100000), " ",IF(INDEX($AN$2:$BO$1001,MATCH(ROWS($AG$2:AG994),$AG$2:$AG$1001,0),MATCH(COLUMNS($AN$1006:AR1006),$AN$1006:$BO$1006,0)), HYPERLINK("#",""), HYPERLINK(CONCATENATE("#Metadata!", ADDRESS(INDEX($AI$2:$AI$1001,MATCH(ROWS($AG$2:AG994),$AG$2:$AG$1001,0),0), INDEX($AN$1004:$BO$1004,1,MATCH(COLUMNS($AN$1006:AR1006),$AN$1006:$BO$1006,0)))),"Fix")))</f>
        <v>0</v>
      </c>
      <c r="G994" s="4">
        <f>IF(OR(INDEX($AH$2:$AH$1001,MATCH(ROWS($AG$2:AG994),$AG$2:$AG$1001,0),1)&gt;=100000,INDEX($AN$1005:$BO$1005,1,MATCH(COLUMNS($AN$1006:AS1006),$AN$1006:$BO$1006,0))&gt;=100000), " ",IF(INDEX($AN$2:$BO$1001,MATCH(ROWS($AG$2:AG994),$AG$2:$AG$1001,0),MATCH(COLUMNS($AN$1006:AS1006),$AN$1006:$BO$1006,0)), HYPERLINK("#",""), HYPERLINK(CONCATENATE("#Metadata!", ADDRESS(INDEX($AI$2:$AI$1001,MATCH(ROWS($AG$2:AG994),$AG$2:$AG$1001,0),0), INDEX($AN$1004:$BO$1004,1,MATCH(COLUMNS($AN$1006:AS1006),$AN$1006:$BO$1006,0)))),"Fix")))</f>
        <v>0</v>
      </c>
      <c r="H994" s="4">
        <f>IF(OR(INDEX($AH$2:$AH$1001,MATCH(ROWS($AG$2:AG994),$AG$2:$AG$1001,0),1)&gt;=100000,INDEX($AN$1005:$BO$1005,1,MATCH(COLUMNS($AN$1006:AT1006),$AN$1006:$BO$1006,0))&gt;=100000), " ",IF(INDEX($AN$2:$BO$1001,MATCH(ROWS($AG$2:AG994),$AG$2:$AG$1001,0),MATCH(COLUMNS($AN$1006:AT1006),$AN$1006:$BO$1006,0)), HYPERLINK("#",""), HYPERLINK(CONCATENATE("#Metadata!", ADDRESS(INDEX($AI$2:$AI$1001,MATCH(ROWS($AG$2:AG994),$AG$2:$AG$1001,0),0), INDEX($AN$1004:$BO$1004,1,MATCH(COLUMNS($AN$1006:AT1006),$AN$1006:$BO$1006,0)))),"Fix")))</f>
        <v>0</v>
      </c>
      <c r="I994" s="4">
        <f>IF(OR(INDEX($AH$2:$AH$1001,MATCH(ROWS($AG$2:AG994),$AG$2:$AG$1001,0),1)&gt;=100000,INDEX($AN$1005:$BO$1005,1,MATCH(COLUMNS($AN$1006:AU1006),$AN$1006:$BO$1006,0))&gt;=100000), " ",IF(INDEX($AN$2:$BO$1001,MATCH(ROWS($AG$2:AG994),$AG$2:$AG$1001,0),MATCH(COLUMNS($AN$1006:AU1006),$AN$1006:$BO$1006,0)), HYPERLINK("#",""), HYPERLINK(CONCATENATE("#Metadata!", ADDRESS(INDEX($AI$2:$AI$1001,MATCH(ROWS($AG$2:AG994),$AG$2:$AG$1001,0),0), INDEX($AN$1004:$BO$1004,1,MATCH(COLUMNS($AN$1006:AU1006),$AN$1006:$BO$1006,0)))),"Fix")))</f>
        <v>0</v>
      </c>
      <c r="J994" s="4">
        <f>IF(OR(INDEX($AH$2:$AH$1001,MATCH(ROWS($AG$2:AG994),$AG$2:$AG$1001,0),1)&gt;=100000,INDEX($AN$1005:$BO$1005,1,MATCH(COLUMNS($AN$1006:AV1006),$AN$1006:$BO$1006,0))&gt;=100000), " ",IF(INDEX($AN$2:$BO$1001,MATCH(ROWS($AG$2:AG994),$AG$2:$AG$1001,0),MATCH(COLUMNS($AN$1006:AV1006),$AN$1006:$BO$1006,0)), HYPERLINK("#",""), HYPERLINK(CONCATENATE("#Metadata!", ADDRESS(INDEX($AI$2:$AI$1001,MATCH(ROWS($AG$2:AG994),$AG$2:$AG$1001,0),0), INDEX($AN$1004:$BO$1004,1,MATCH(COLUMNS($AN$1006:AV1006),$AN$1006:$BO$1006,0)))),"Fix")))</f>
        <v>0</v>
      </c>
      <c r="K994" s="4">
        <f>IF(OR(INDEX($AH$2:$AH$1001,MATCH(ROWS($AG$2:AG994),$AG$2:$AG$1001,0),1)&gt;=100000,INDEX($AN$1005:$BO$1005,1,MATCH(COLUMNS($AN$1006:AW1006),$AN$1006:$BO$1006,0))&gt;=100000), " ",IF(INDEX($AN$2:$BO$1001,MATCH(ROWS($AG$2:AG994),$AG$2:$AG$1001,0),MATCH(COLUMNS($AN$1006:AW1006),$AN$1006:$BO$1006,0)), HYPERLINK("#",""), HYPERLINK(CONCATENATE("#Metadata!", ADDRESS(INDEX($AI$2:$AI$1001,MATCH(ROWS($AG$2:AG994),$AG$2:$AG$1001,0),0), INDEX($AN$1004:$BO$1004,1,MATCH(COLUMNS($AN$1006:AW1006),$AN$1006:$BO$1006,0)))),"Fix")))</f>
        <v>0</v>
      </c>
      <c r="L994" s="4">
        <f>IF(OR(INDEX($AH$2:$AH$1001,MATCH(ROWS($AG$2:AG994),$AG$2:$AG$1001,0),1)&gt;=100000,INDEX($AN$1005:$BO$1005,1,MATCH(COLUMNS($AN$1006:AX1006),$AN$1006:$BO$1006,0))&gt;=100000), " ",IF(INDEX($AN$2:$BO$1001,MATCH(ROWS($AG$2:AG994),$AG$2:$AG$1001,0),MATCH(COLUMNS($AN$1006:AX1006),$AN$1006:$BO$1006,0)), HYPERLINK("#",""), HYPERLINK(CONCATENATE("#Metadata!", ADDRESS(INDEX($AI$2:$AI$1001,MATCH(ROWS($AG$2:AG994),$AG$2:$AG$1001,0),0), INDEX($AN$1004:$BO$1004,1,MATCH(COLUMNS($AN$1006:AX1006),$AN$1006:$BO$1006,0)))),"Fix")))</f>
        <v>0</v>
      </c>
      <c r="M994" s="4">
        <f>IF(OR(INDEX($AH$2:$AH$1001,MATCH(ROWS($AG$2:AG994),$AG$2:$AG$1001,0),1)&gt;=100000,INDEX($AN$1005:$BO$1005,1,MATCH(COLUMNS($AN$1006:AY1006),$AN$1006:$BO$1006,0))&gt;=100000), " ",IF(INDEX($AN$2:$BO$1001,MATCH(ROWS($AG$2:AG994),$AG$2:$AG$1001,0),MATCH(COLUMNS($AN$1006:AY1006),$AN$1006:$BO$1006,0)), HYPERLINK("#",""), HYPERLINK(CONCATENATE("#Metadata!", ADDRESS(INDEX($AI$2:$AI$1001,MATCH(ROWS($AG$2:AG994),$AG$2:$AG$1001,0),0), INDEX($AN$1004:$BO$1004,1,MATCH(COLUMNS($AN$1006:AY1006),$AN$1006:$BO$1006,0)))),"Fix")))</f>
        <v>0</v>
      </c>
      <c r="N994" s="4">
        <f>IF(OR(INDEX($AH$2:$AH$1001,MATCH(ROWS($AG$2:AG994),$AG$2:$AG$1001,0),1)&gt;=100000,INDEX($AN$1005:$BO$1005,1,MATCH(COLUMNS($AN$1006:AZ1006),$AN$1006:$BO$1006,0))&gt;=100000), " ",IF(INDEX($AN$2:$BO$1001,MATCH(ROWS($AG$2:AG994),$AG$2:$AG$1001,0),MATCH(COLUMNS($AN$1006:AZ1006),$AN$1006:$BO$1006,0)), HYPERLINK("#",""), HYPERLINK(CONCATENATE("#Metadata!", ADDRESS(INDEX($AI$2:$AI$1001,MATCH(ROWS($AG$2:AG994),$AG$2:$AG$1001,0),0), INDEX($AN$1004:$BO$1004,1,MATCH(COLUMNS($AN$1006:AZ1006),$AN$1006:$BO$1006,0)))),"Fix")))</f>
        <v>0</v>
      </c>
      <c r="O994" s="4">
        <f>IF(OR(INDEX($AH$2:$AH$1001,MATCH(ROWS($AG$2:AG994),$AG$2:$AG$1001,0),1)&gt;=100000,INDEX($AN$1005:$BO$1005,1,MATCH(COLUMNS($AN$1006:BA1006),$AN$1006:$BO$1006,0))&gt;=100000), " ",IF(INDEX($AN$2:$BO$1001,MATCH(ROWS($AG$2:AG994),$AG$2:$AG$1001,0),MATCH(COLUMNS($AN$1006:BA1006),$AN$1006:$BO$1006,0)), HYPERLINK("#",""), HYPERLINK(CONCATENATE("#Metadata!", ADDRESS(INDEX($AI$2:$AI$1001,MATCH(ROWS($AG$2:AG994),$AG$2:$AG$1001,0),0), INDEX($AN$1004:$BO$1004,1,MATCH(COLUMNS($AN$1006:BA1006),$AN$1006:$BO$1006,0)))),"Fix")))</f>
        <v>0</v>
      </c>
      <c r="P994" s="4">
        <f>IF(OR(INDEX($AH$2:$AH$1001,MATCH(ROWS($AG$2:AG994),$AG$2:$AG$1001,0),1)&gt;=100000,INDEX($AN$1005:$BO$1005,1,MATCH(COLUMNS($AN$1006:BB1006),$AN$1006:$BO$1006,0))&gt;=100000), " ",IF(INDEX($AN$2:$BO$1001,MATCH(ROWS($AG$2:AG994),$AG$2:$AG$1001,0),MATCH(COLUMNS($AN$1006:BB1006),$AN$1006:$BO$1006,0)), HYPERLINK("#",""), HYPERLINK(CONCATENATE("#Metadata!", ADDRESS(INDEX($AI$2:$AI$1001,MATCH(ROWS($AG$2:AG994),$AG$2:$AG$1001,0),0), INDEX($AN$1004:$BO$1004,1,MATCH(COLUMNS($AN$1006:BB1006),$AN$1006:$BO$1006,0)))),"Fix")))</f>
        <v>0</v>
      </c>
      <c r="Q994" s="4">
        <f>IF(OR(INDEX($AH$2:$AH$1001,MATCH(ROWS($AG$2:AG994),$AG$2:$AG$1001,0),1)&gt;=100000,INDEX($AN$1005:$BO$1005,1,MATCH(COLUMNS($AN$1006:BC1006),$AN$1006:$BO$1006,0))&gt;=100000), " ",IF(INDEX($AN$2:$BO$1001,MATCH(ROWS($AG$2:AG994),$AG$2:$AG$1001,0),MATCH(COLUMNS($AN$1006:BC1006),$AN$1006:$BO$1006,0)), HYPERLINK("#",""), HYPERLINK(CONCATENATE("#Metadata!", ADDRESS(INDEX($AI$2:$AI$1001,MATCH(ROWS($AG$2:AG994),$AG$2:$AG$1001,0),0), INDEX($AN$1004:$BO$1004,1,MATCH(COLUMNS($AN$1006:BC1006),$AN$1006:$BO$1006,0)))),"Fix")))</f>
        <v>0</v>
      </c>
      <c r="R994" s="4">
        <f>IF(OR(INDEX($AH$2:$AH$1001,MATCH(ROWS($AG$2:AG994),$AG$2:$AG$1001,0),1)&gt;=100000,INDEX($AN$1005:$BO$1005,1,MATCH(COLUMNS($AN$1006:BD1006),$AN$1006:$BO$1006,0))&gt;=100000), " ",IF(INDEX($AN$2:$BO$1001,MATCH(ROWS($AG$2:AG994),$AG$2:$AG$1001,0),MATCH(COLUMNS($AN$1006:BD1006),$AN$1006:$BO$1006,0)), HYPERLINK("#",""), HYPERLINK(CONCATENATE("#Metadata!", ADDRESS(INDEX($AI$2:$AI$1001,MATCH(ROWS($AG$2:AG994),$AG$2:$AG$1001,0),0), INDEX($AN$1004:$BO$1004,1,MATCH(COLUMNS($AN$1006:BD1006),$AN$1006:$BO$1006,0)))),"Fix")))</f>
        <v>0</v>
      </c>
      <c r="S994" s="4">
        <f>IF(OR(INDEX($AH$2:$AH$1001,MATCH(ROWS($AG$2:AG994),$AG$2:$AG$1001,0),1)&gt;=100000,INDEX($AN$1005:$BO$1005,1,MATCH(COLUMNS($AN$1006:BE1006),$AN$1006:$BO$1006,0))&gt;=100000), " ",IF(INDEX($AN$2:$BO$1001,MATCH(ROWS($AG$2:AG994),$AG$2:$AG$1001,0),MATCH(COLUMNS($AN$1006:BE1006),$AN$1006:$BO$1006,0)), HYPERLINK("#",""), HYPERLINK(CONCATENATE("#Metadata!", ADDRESS(INDEX($AI$2:$AI$1001,MATCH(ROWS($AG$2:AG994),$AG$2:$AG$1001,0),0), INDEX($AN$1004:$BO$1004,1,MATCH(COLUMNS($AN$1006:BE1006),$AN$1006:$BO$1006,0)))),"Fix")))</f>
        <v>0</v>
      </c>
      <c r="T994" s="4">
        <f>IF(OR(INDEX($AH$2:$AH$1001,MATCH(ROWS($AG$2:AG994),$AG$2:$AG$1001,0),1)&gt;=100000,INDEX($AN$1005:$BO$1005,1,MATCH(COLUMNS($AN$1006:BF1006),$AN$1006:$BO$1006,0))&gt;=100000), " ",IF(INDEX($AN$2:$BO$1001,MATCH(ROWS($AG$2:AG994),$AG$2:$AG$1001,0),MATCH(COLUMNS($AN$1006:BF1006),$AN$1006:$BO$1006,0)), HYPERLINK("#",""), HYPERLINK(CONCATENATE("#Metadata!", ADDRESS(INDEX($AI$2:$AI$1001,MATCH(ROWS($AG$2:AG994),$AG$2:$AG$1001,0),0), INDEX($AN$1004:$BO$1004,1,MATCH(COLUMNS($AN$1006:BF1006),$AN$1006:$BO$1006,0)))),"Fix")))</f>
        <v>0</v>
      </c>
      <c r="U994" s="4">
        <f>IF(OR(INDEX($AH$2:$AH$1001,MATCH(ROWS($AG$2:AG994),$AG$2:$AG$1001,0),1)&gt;=100000,INDEX($AN$1005:$BO$1005,1,MATCH(COLUMNS($AN$1006:BG1006),$AN$1006:$BO$1006,0))&gt;=100000), " ",IF(INDEX($AN$2:$BO$1001,MATCH(ROWS($AG$2:AG994),$AG$2:$AG$1001,0),MATCH(COLUMNS($AN$1006:BG1006),$AN$1006:$BO$1006,0)), HYPERLINK("#",""), HYPERLINK(CONCATENATE("#Metadata!", ADDRESS(INDEX($AI$2:$AI$1001,MATCH(ROWS($AG$2:AG994),$AG$2:$AG$1001,0),0), INDEX($AN$1004:$BO$1004,1,MATCH(COLUMNS($AN$1006:BG1006),$AN$1006:$BO$1006,0)))),"Fix")))</f>
        <v>0</v>
      </c>
      <c r="V994" s="4">
        <f>IF(OR(INDEX($AH$2:$AH$1001,MATCH(ROWS($AG$2:AG994),$AG$2:$AG$1001,0),1)&gt;=100000,INDEX($AN$1005:$BO$1005,1,MATCH(COLUMNS($AN$1006:BH1006),$AN$1006:$BO$1006,0))&gt;=100000), " ",IF(INDEX($AN$2:$BO$1001,MATCH(ROWS($AG$2:AG994),$AG$2:$AG$1001,0),MATCH(COLUMNS($AN$1006:BH1006),$AN$1006:$BO$1006,0)), HYPERLINK("#",""), HYPERLINK(CONCATENATE("#Metadata!", ADDRESS(INDEX($AI$2:$AI$1001,MATCH(ROWS($AG$2:AG994),$AG$2:$AG$1001,0),0), INDEX($AN$1004:$BO$1004,1,MATCH(COLUMNS($AN$1006:BH1006),$AN$1006:$BO$1006,0)))),"Fix")))</f>
        <v>0</v>
      </c>
      <c r="W994" s="4">
        <f>IF(OR(INDEX($AH$2:$AH$1001,MATCH(ROWS($AG$2:AG994),$AG$2:$AG$1001,0),1)&gt;=100000,INDEX($AN$1005:$BO$1005,1,MATCH(COLUMNS($AN$1006:BI1006),$AN$1006:$BO$1006,0))&gt;=100000), " ",IF(INDEX($AN$2:$BO$1001,MATCH(ROWS($AG$2:AG994),$AG$2:$AG$1001,0),MATCH(COLUMNS($AN$1006:BI1006),$AN$1006:$BO$1006,0)), HYPERLINK("#",""), HYPERLINK(CONCATENATE("#Metadata!", ADDRESS(INDEX($AI$2:$AI$1001,MATCH(ROWS($AG$2:AG994),$AG$2:$AG$1001,0),0), INDEX($AN$1004:$BO$1004,1,MATCH(COLUMNS($AN$1006:BI1006),$AN$1006:$BO$1006,0)))),"Fix")))</f>
        <v>0</v>
      </c>
      <c r="X994" s="4">
        <f>IF(OR(INDEX($AH$2:$AH$1001,MATCH(ROWS($AG$2:AG994),$AG$2:$AG$1001,0),1)&gt;=100000,INDEX($AN$1005:$BO$1005,1,MATCH(COLUMNS($AN$1006:BJ1006),$AN$1006:$BO$1006,0))&gt;=100000), " ",IF(INDEX($AN$2:$BO$1001,MATCH(ROWS($AG$2:AG994),$AG$2:$AG$1001,0),MATCH(COLUMNS($AN$1006:BJ1006),$AN$1006:$BO$1006,0)), HYPERLINK("#",""), HYPERLINK(CONCATENATE("#Metadata!", ADDRESS(INDEX($AI$2:$AI$1001,MATCH(ROWS($AG$2:AG994),$AG$2:$AG$1001,0),0), INDEX($AN$1004:$BO$1004,1,MATCH(COLUMNS($AN$1006:BJ1006),$AN$1006:$BO$1006,0)))),"Fix")))</f>
        <v>0</v>
      </c>
      <c r="Y994" s="4">
        <f>IF(OR(INDEX($AH$2:$AH$1001,MATCH(ROWS($AG$2:AG994),$AG$2:$AG$1001,0),1)&gt;=100000,INDEX($AN$1005:$BO$1005,1,MATCH(COLUMNS($AN$1006:BK1006),$AN$1006:$BO$1006,0))&gt;=100000), " ",IF(INDEX($AN$2:$BO$1001,MATCH(ROWS($AG$2:AG994),$AG$2:$AG$1001,0),MATCH(COLUMNS($AN$1006:BK1006),$AN$1006:$BO$1006,0)), HYPERLINK("#",""), HYPERLINK(CONCATENATE("#Metadata!", ADDRESS(INDEX($AI$2:$AI$1001,MATCH(ROWS($AG$2:AG994),$AG$2:$AG$1001,0),0), INDEX($AN$1004:$BO$1004,1,MATCH(COLUMNS($AN$1006:BK1006),$AN$1006:$BO$1006,0)))),"Fix")))</f>
        <v>0</v>
      </c>
      <c r="Z994" s="4">
        <f>IF(OR(INDEX($AH$2:$AH$1001,MATCH(ROWS($AG$2:AG994),$AG$2:$AG$1001,0),1)&gt;=100000,INDEX($AN$1005:$BO$1005,1,MATCH(COLUMNS($AN$1006:BL1006),$AN$1006:$BO$1006,0))&gt;=100000), " ",IF(INDEX($AN$2:$BO$1001,MATCH(ROWS($AG$2:AG994),$AG$2:$AG$1001,0),MATCH(COLUMNS($AN$1006:BL1006),$AN$1006:$BO$1006,0)), HYPERLINK("#",""), HYPERLINK(CONCATENATE("#Metadata!", ADDRESS(INDEX($AI$2:$AI$1001,MATCH(ROWS($AG$2:AG994),$AG$2:$AG$1001,0),0), INDEX($AN$1004:$BO$1004,1,MATCH(COLUMNS($AN$1006:BL1006),$AN$1006:$BO$1006,0)))),"Fix")))</f>
        <v>0</v>
      </c>
      <c r="AA994" s="4">
        <f>IF(OR(INDEX($AH$2:$AH$1001,MATCH(ROWS($AG$2:AG994),$AG$2:$AG$1001,0),1)&gt;=100000,INDEX($AN$1005:$BO$1005,1,MATCH(COLUMNS($AN$1006:BM1006),$AN$1006:$BO$1006,0))&gt;=100000), " ",IF(INDEX($AN$2:$BO$1001,MATCH(ROWS($AG$2:AG994),$AG$2:$AG$1001,0),MATCH(COLUMNS($AN$1006:BM1006),$AN$1006:$BO$1006,0)), HYPERLINK("#",""), HYPERLINK(CONCATENATE("#Metadata!", ADDRESS(INDEX($AI$2:$AI$1001,MATCH(ROWS($AG$2:AG994),$AG$2:$AG$1001,0),0), INDEX($AN$1004:$BO$1004,1,MATCH(COLUMNS($AN$1006:BM1006),$AN$1006:$BO$1006,0)))),"Fix")))</f>
        <v>0</v>
      </c>
      <c r="AB994" s="4">
        <f>IF(OR(INDEX($AH$2:$AH$1001,MATCH(ROWS($AG$2:AG994),$AG$2:$AG$1001,0),1)&gt;=100000,INDEX($AN$1005:$BO$1005,1,MATCH(COLUMNS($AN$1006:BN1006),$AN$1006:$BO$1006,0))&gt;=100000), " ",IF(INDEX($AN$2:$BO$1001,MATCH(ROWS($AG$2:AG994),$AG$2:$AG$1001,0),MATCH(COLUMNS($AN$1006:BN1006),$AN$1006:$BO$1006,0)), HYPERLINK("#",""), HYPERLINK(CONCATENATE("#Metadata!", ADDRESS(INDEX($AI$2:$AI$1001,MATCH(ROWS($AG$2:AG994),$AG$2:$AG$1001,0),0), INDEX($AN$1004:$BO$1004,1,MATCH(COLUMNS($AN$1006:BN1006),$AN$1006:$BO$1006,0)))),"Fix")))</f>
        <v>0</v>
      </c>
      <c r="AC994" s="4">
        <f>IF(OR(INDEX($AH$2:$AH$1001,MATCH(ROWS($AG$2:AG994),$AG$2:$AG$1001,0),1)&gt;=100000,INDEX($AN$1005:$BO$1005,1,MATCH(COLUMNS($AN$1006:BO1006),$AN$1006:$BO$1006,0))&gt;=100000), " ",IF(INDEX($AN$2:$BO$1001,MATCH(ROWS($AG$2:AG994),$AG$2:$AG$1001,0),MATCH(COLUMNS($AN$1006:BO1006),$AN$1006:$BO$1006,0)), HYPERLINK("#",""), HYPERLINK(CONCATENATE("#Metadata!", ADDRESS(INDEX($AI$2:$AI$1001,MATCH(ROWS($AG$2:AG994),$AG$2:$AG$1001,0),0), INDEX($AN$1004:$BO$1004,1,MATCH(COLUMNS($AN$1006:BO1006),$AN$1006:$BO$1006,0)))),"Fix")))</f>
        <v>0</v>
      </c>
      <c r="AG994">
        <v>0</v>
      </c>
      <c r="AH994">
        <v>0</v>
      </c>
      <c r="AI994">
        <v>0</v>
      </c>
      <c r="AJ994">
        <f>IF(AK994,TRUE,AND(AN994:BO994))</f>
        <v>0</v>
      </c>
      <c r="AK994">
        <f>COUNTBLANK(Metadata!B994:AC994)=COLUMNS(Metadata!B994:AC994)</f>
        <v>0</v>
      </c>
      <c r="AL994">
        <v>0</v>
      </c>
      <c r="AN994">
        <f>AND(IF(Metadata!B994="",FALSE,TRUE),COUNTIF(Metadata!B:B, Metadata!B994) = 1,NOT(ISERROR(SUMPRODUCT(SEARCH(MID(Metadata!B994,ROW(INDIRECT("1:"&amp;LEN(Metadata!B994))), 1),"0123456789abcdefghijklmnopqrstuvwxyzABCDEFGHIJKLMNOPQRSTUVWXYZ.")))))</f>
        <v>0</v>
      </c>
      <c r="AO994">
        <f>IF(Metadata!C994="",FALSE,TRUE)</f>
        <v>0</v>
      </c>
      <c r="AP994">
        <f>IF(Metadata!D994="",FALSE,TRUE)</f>
        <v>0</v>
      </c>
      <c r="AQ994">
        <f>OR(AND(IF(Metadata!E994="",FALSE,TRUE),OR(exact(Metadata!E994,"not collected"),exact(Metadata!E994,"not provided"),exact(Metadata!E994,"restricted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R994">
        <f>IF(Metadata!F994="",FALSE,TRUE)</f>
        <v>0</v>
      </c>
      <c r="AS994">
        <f>OR(AND(IF(Metadata!G994="",FALSE,TRUE),OR(exact(Metadata!G994,"not collected"),exact(Metadata!G994,"not provided"))),AND(IF(Metadata!G994="",FALSE,TRUE),OR(exact(Metadata!G994,"TRUE"),exact(Metadata!G994,"FALSE"))))</f>
        <v>0</v>
      </c>
      <c r="AT994">
        <f>OR(AND(IF(Metadata!H994="",FALSE,TRUE),OR(exact(Metadata!H994,"not collected"),exact(Metadata!H994,"not provided"),exact(Metadata!H994,"restricted access"))),AND(IF(Metadata!H994="",FALSE,ISNUMBER(VALUE(Metadata!H994))),Metadata!H994&gt;=-413.0))</f>
        <v>0</v>
      </c>
      <c r="AU994">
        <f>AND(IF(Metadata!I994="",FALSE,TRUE),exact(Metadata!I994,"meters"))</f>
        <v>0</v>
      </c>
      <c r="AV994">
        <f>AND(IF(Metadata!J994="",FALSE,TRUE),OR(exact(Metadata!J994,"Host-associated"),exact(Metadata!J994,"Free-living")))</f>
        <v>0</v>
      </c>
      <c r="AW994">
        <f>AND(IF(Metadata!K994="",FALSE,TRUE),OR(exact(Metadata!K994,"Animal"),exact(Metadata!K994,"Fungus"),exact(Metadata!K994,"Plant"),exact(Metadata!K994,"Saline"),exact(Metadata!K994,"Non-saline")))</f>
        <v>0</v>
      </c>
      <c r="AX994">
        <f>AND(IF(Metadata!L994="",FALSE,TRUE),OR(exact(Metadata!L994,"Plant secretion"),exact(Metadata!L994,"Plant rhizosphere"),exact(Metadata!L994,"Plant surface"),exact(Metadata!L994,"Plant corpus"),exact(Metadata!L994,"Fungus surface"),exact(Metadata!L994,"Fungus corpus"),exact(Metadata!L994,"Animal surface"),exact(Metadata!L994,"Animal proximal gut"),exact(Metadata!L994,"Animal corpus"),exact(Metadata!L994,"Animal distal gut"),exact(Metadata!L994,"Animal secretion"),exact(Metadata!L994,"Sub-surface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Y994">
        <f>IF(Metadata!M994="",FALSE,TRUE)</f>
        <v>0</v>
      </c>
      <c r="AZ994">
        <f>IF(Metadata!N994="",FALSE,TRUE)</f>
        <v>0</v>
      </c>
      <c r="BA994">
        <f>IF(Metadata!O994="",FALSE,TRUE)</f>
        <v>0</v>
      </c>
      <c r="BB994">
        <f>OR(AND(IF(Metadata!P994="",FALSE,TRUE),OR(exact(Metadata!P994,"not collected"),exact(Metadata!P994,"not provided"),exact(Metadata!P994,"restricted access"))),AND(IF(Metadata!P994="",FALSE,TRUE),OR(exact(Metadata!P994,"air"),exact(Metadata!P994,"built environment"),exact(Metadata!P994,"host-associated"),exact(Metadata!P994,"human-associated"),exact(Metadata!P994,"human-skin"),exact(Metadata!P994,"human-oral"),exact(Metadata!P994,"human-gut"),exact(Metadata!P994,"human-vaginal"),exact(Metadata!P994,"microbial mat/biofilm"),exact(Metadata!P994,"misc environment"),exact(Metadata!P994,"plant-associated"),exact(Metadata!P994,"sediment"),exact(Metadata!P994,"soil"),exact(Metadata!P994,"wastewater/sludge"),exact(Metadata!P994,"water"))))</f>
        <v>0</v>
      </c>
      <c r="BC994">
        <f>IF(Metadata!Q994="",FALSE,TRUE)</f>
        <v>0</v>
      </c>
      <c r="BD994">
        <f>IF(Metadata!R994="",FALSE,TRUE)</f>
        <v>0</v>
      </c>
      <c r="BE994">
        <f>OR(AND(IF(Metadata!S994="",FALSE,TRUE),OR(exact(Metadata!S994,"not collected"),exact(Metadata!S994,"not provided"),exact(Metadata!S994,"restricted access"))),AND(IF(Metadata!S994="",FALSE,ISNUMBER(VALUE(Metadata!S994))),Metadata!S994&gt;=-90.00,Metadata!S994&lt;=90.00))</f>
        <v>0</v>
      </c>
      <c r="BF994">
        <f>AND(IF(Metadata!T994="",FALSE,TRUE),exact(Metadata!T994,"Decimal degrees"))</f>
        <v>0</v>
      </c>
      <c r="BG994">
        <f>OR(AND(IF(Metadata!U994="",FALSE,TRUE),OR(exact(Metadata!U994,"not collected"),exact(Metadata!U994,"not provided"),exact(Metadata!U994,"restricted access"))),AND(IF(Metadata!U994="",FALSE,ISNUMBER(VALUE(Metadata!U994))),Metadata!U994&gt;=-180.00,Metadata!U994&lt;=180.00))</f>
        <v>0</v>
      </c>
      <c r="BH994">
        <f>AND(IF(Metadata!V994="",FALSE,TRUE),exact(Metadata!V994,"Decimal degrees"))</f>
        <v>0</v>
      </c>
      <c r="BI994">
        <f>IF(Metadata!W994="",FALSE,TRUE)</f>
        <v>0</v>
      </c>
      <c r="BJ994">
        <f>OR(AND(IF(Metadata!X994="",FALSE,TRUE),OR(exact(Metadata!X994,"not collected"),exact(Metadata!X994,"not provided"),exact(Metadata!X994,"restricted access"))),AND(IF(Metadata!X994="",FALSE,TRUE),OR(exact(Metadata!X994,"TRUE"),exact(Metadata!X994,"FALSE"))))</f>
        <v>0</v>
      </c>
      <c r="BK994">
        <f>AND(IF(Metadata!Y994="",FALSE,TRUE),exact(Metadata!Y994,"other"))</f>
        <v>0</v>
      </c>
      <c r="BL994">
        <f>IF(Metadata!Z994="",FALSE,TRUE)</f>
        <v>0</v>
      </c>
      <c r="BM994">
        <f>OR(AND(IF(Metadata!AA994="",FALSE,TRUE),OR(exact(Metadata!AA994,"not collected"),exact(Metadata!AA994,"not provided"))),AND(IF(Metadata!AA994="",FALSE,IF(ISERROR(INT(Metadata!AA994)),FALSE,INT(Metadata!AA994)=Metadata!AA994)),Metadata!AA994&gt;0))</f>
        <v>0</v>
      </c>
      <c r="BN994">
        <f>AND(IF(Metadata!AB994="",FALSE,TRUE),exact(Metadata!AB994,"Not applicable"))</f>
        <v>0</v>
      </c>
      <c r="BO994">
        <f>IF(Metadata!AC994="",FALSE,TRUE)</f>
        <v>0</v>
      </c>
    </row>
    <row r="995" spans="1:67">
      <c r="A995" s="5">
        <f>IF(B995=" "," ",HYPERLINK(CONCATENATE("#metadata!",ADDRESS(INDEX($AI$2:$AI$1001,MATCH(ROWS($AG$2:AG995),$AG$2:$AG$1001,0),0),1)),INDEX($AL$2:$AL$1001,MATCH(ROWS($AG$2:AG995),$AG$2:$AG$1001,0),0)))</f>
        <v>0</v>
      </c>
      <c r="B995" s="4">
        <f>IF(OR(INDEX($AH$2:$AH$1001,MATCH(ROWS($AG$2:AG995),$AG$2:$AG$1001,0),1)&gt;=100000,INDEX($AN$1005:$BO$1005,1,MATCH(COLUMNS($AN$1006:AN1006),$AN$1006:$BO$1006,0))&gt;=100000), " ",IF(INDEX($AN$2:$BO$1001,MATCH(ROWS($AG$2:AG995),$AG$2:$AG$1001,0),MATCH(COLUMNS($AN$1006:AN1006),$AN$1006:$BO$1006,0)), HYPERLINK("#",""), HYPERLINK(CONCATENATE("#Metadata!", ADDRESS(INDEX($AI$2:$AI$1001,MATCH(ROWS($AG$2:AG995),$AG$2:$AG$1001,0),0), INDEX($AN$1004:$BO$1004,1,MATCH(COLUMNS($AN$1006:AN1006),$AN$1006:$BO$1006,0)))),"Fix")))</f>
        <v>0</v>
      </c>
      <c r="C995" s="4">
        <f>IF(OR(INDEX($AH$2:$AH$1001,MATCH(ROWS($AG$2:AG995),$AG$2:$AG$1001,0),1)&gt;=100000,INDEX($AN$1005:$BO$1005,1,MATCH(COLUMNS($AN$1006:AO1006),$AN$1006:$BO$1006,0))&gt;=100000), " ",IF(INDEX($AN$2:$BO$1001,MATCH(ROWS($AG$2:AG995),$AG$2:$AG$1001,0),MATCH(COLUMNS($AN$1006:AO1006),$AN$1006:$BO$1006,0)), HYPERLINK("#",""), HYPERLINK(CONCATENATE("#Metadata!", ADDRESS(INDEX($AI$2:$AI$1001,MATCH(ROWS($AG$2:AG995),$AG$2:$AG$1001,0),0), INDEX($AN$1004:$BO$1004,1,MATCH(COLUMNS($AN$1006:AO1006),$AN$1006:$BO$1006,0)))),"Fix")))</f>
        <v>0</v>
      </c>
      <c r="D995" s="4">
        <f>IF(OR(INDEX($AH$2:$AH$1001,MATCH(ROWS($AG$2:AG995),$AG$2:$AG$1001,0),1)&gt;=100000,INDEX($AN$1005:$BO$1005,1,MATCH(COLUMNS($AN$1006:AP1006),$AN$1006:$BO$1006,0))&gt;=100000), " ",IF(INDEX($AN$2:$BO$1001,MATCH(ROWS($AG$2:AG995),$AG$2:$AG$1001,0),MATCH(COLUMNS($AN$1006:AP1006),$AN$1006:$BO$1006,0)), HYPERLINK("#",""), HYPERLINK(CONCATENATE("#Metadata!", ADDRESS(INDEX($AI$2:$AI$1001,MATCH(ROWS($AG$2:AG995),$AG$2:$AG$1001,0),0), INDEX($AN$1004:$BO$1004,1,MATCH(COLUMNS($AN$1006:AP1006),$AN$1006:$BO$1006,0)))),"Fix")))</f>
        <v>0</v>
      </c>
      <c r="E995" s="4">
        <f>IF(OR(INDEX($AH$2:$AH$1001,MATCH(ROWS($AG$2:AG995),$AG$2:$AG$1001,0),1)&gt;=100000,INDEX($AN$1005:$BO$1005,1,MATCH(COLUMNS($AN$1006:AQ1006),$AN$1006:$BO$1006,0))&gt;=100000), " ",IF(INDEX($AN$2:$BO$1001,MATCH(ROWS($AG$2:AG995),$AG$2:$AG$1001,0),MATCH(COLUMNS($AN$1006:AQ1006),$AN$1006:$BO$1006,0)), HYPERLINK("#",""), HYPERLINK(CONCATENATE("#Metadata!", ADDRESS(INDEX($AI$2:$AI$1001,MATCH(ROWS($AG$2:AG995),$AG$2:$AG$1001,0),0), INDEX($AN$1004:$BO$1004,1,MATCH(COLUMNS($AN$1006:AQ1006),$AN$1006:$BO$1006,0)))),"Fix")))</f>
        <v>0</v>
      </c>
      <c r="F995" s="4">
        <f>IF(OR(INDEX($AH$2:$AH$1001,MATCH(ROWS($AG$2:AG995),$AG$2:$AG$1001,0),1)&gt;=100000,INDEX($AN$1005:$BO$1005,1,MATCH(COLUMNS($AN$1006:AR1006),$AN$1006:$BO$1006,0))&gt;=100000), " ",IF(INDEX($AN$2:$BO$1001,MATCH(ROWS($AG$2:AG995),$AG$2:$AG$1001,0),MATCH(COLUMNS($AN$1006:AR1006),$AN$1006:$BO$1006,0)), HYPERLINK("#",""), HYPERLINK(CONCATENATE("#Metadata!", ADDRESS(INDEX($AI$2:$AI$1001,MATCH(ROWS($AG$2:AG995),$AG$2:$AG$1001,0),0), INDEX($AN$1004:$BO$1004,1,MATCH(COLUMNS($AN$1006:AR1006),$AN$1006:$BO$1006,0)))),"Fix")))</f>
        <v>0</v>
      </c>
      <c r="G995" s="4">
        <f>IF(OR(INDEX($AH$2:$AH$1001,MATCH(ROWS($AG$2:AG995),$AG$2:$AG$1001,0),1)&gt;=100000,INDEX($AN$1005:$BO$1005,1,MATCH(COLUMNS($AN$1006:AS1006),$AN$1006:$BO$1006,0))&gt;=100000), " ",IF(INDEX($AN$2:$BO$1001,MATCH(ROWS($AG$2:AG995),$AG$2:$AG$1001,0),MATCH(COLUMNS($AN$1006:AS1006),$AN$1006:$BO$1006,0)), HYPERLINK("#",""), HYPERLINK(CONCATENATE("#Metadata!", ADDRESS(INDEX($AI$2:$AI$1001,MATCH(ROWS($AG$2:AG995),$AG$2:$AG$1001,0),0), INDEX($AN$1004:$BO$1004,1,MATCH(COLUMNS($AN$1006:AS1006),$AN$1006:$BO$1006,0)))),"Fix")))</f>
        <v>0</v>
      </c>
      <c r="H995" s="4">
        <f>IF(OR(INDEX($AH$2:$AH$1001,MATCH(ROWS($AG$2:AG995),$AG$2:$AG$1001,0),1)&gt;=100000,INDEX($AN$1005:$BO$1005,1,MATCH(COLUMNS($AN$1006:AT1006),$AN$1006:$BO$1006,0))&gt;=100000), " ",IF(INDEX($AN$2:$BO$1001,MATCH(ROWS($AG$2:AG995),$AG$2:$AG$1001,0),MATCH(COLUMNS($AN$1006:AT1006),$AN$1006:$BO$1006,0)), HYPERLINK("#",""), HYPERLINK(CONCATENATE("#Metadata!", ADDRESS(INDEX($AI$2:$AI$1001,MATCH(ROWS($AG$2:AG995),$AG$2:$AG$1001,0),0), INDEX($AN$1004:$BO$1004,1,MATCH(COLUMNS($AN$1006:AT1006),$AN$1006:$BO$1006,0)))),"Fix")))</f>
        <v>0</v>
      </c>
      <c r="I995" s="4">
        <f>IF(OR(INDEX($AH$2:$AH$1001,MATCH(ROWS($AG$2:AG995),$AG$2:$AG$1001,0),1)&gt;=100000,INDEX($AN$1005:$BO$1005,1,MATCH(COLUMNS($AN$1006:AU1006),$AN$1006:$BO$1006,0))&gt;=100000), " ",IF(INDEX($AN$2:$BO$1001,MATCH(ROWS($AG$2:AG995),$AG$2:$AG$1001,0),MATCH(COLUMNS($AN$1006:AU1006),$AN$1006:$BO$1006,0)), HYPERLINK("#",""), HYPERLINK(CONCATENATE("#Metadata!", ADDRESS(INDEX($AI$2:$AI$1001,MATCH(ROWS($AG$2:AG995),$AG$2:$AG$1001,0),0), INDEX($AN$1004:$BO$1004,1,MATCH(COLUMNS($AN$1006:AU1006),$AN$1006:$BO$1006,0)))),"Fix")))</f>
        <v>0</v>
      </c>
      <c r="J995" s="4">
        <f>IF(OR(INDEX($AH$2:$AH$1001,MATCH(ROWS($AG$2:AG995),$AG$2:$AG$1001,0),1)&gt;=100000,INDEX($AN$1005:$BO$1005,1,MATCH(COLUMNS($AN$1006:AV1006),$AN$1006:$BO$1006,0))&gt;=100000), " ",IF(INDEX($AN$2:$BO$1001,MATCH(ROWS($AG$2:AG995),$AG$2:$AG$1001,0),MATCH(COLUMNS($AN$1006:AV1006),$AN$1006:$BO$1006,0)), HYPERLINK("#",""), HYPERLINK(CONCATENATE("#Metadata!", ADDRESS(INDEX($AI$2:$AI$1001,MATCH(ROWS($AG$2:AG995),$AG$2:$AG$1001,0),0), INDEX($AN$1004:$BO$1004,1,MATCH(COLUMNS($AN$1006:AV1006),$AN$1006:$BO$1006,0)))),"Fix")))</f>
        <v>0</v>
      </c>
      <c r="K995" s="4">
        <f>IF(OR(INDEX($AH$2:$AH$1001,MATCH(ROWS($AG$2:AG995),$AG$2:$AG$1001,0),1)&gt;=100000,INDEX($AN$1005:$BO$1005,1,MATCH(COLUMNS($AN$1006:AW1006),$AN$1006:$BO$1006,0))&gt;=100000), " ",IF(INDEX($AN$2:$BO$1001,MATCH(ROWS($AG$2:AG995),$AG$2:$AG$1001,0),MATCH(COLUMNS($AN$1006:AW1006),$AN$1006:$BO$1006,0)), HYPERLINK("#",""), HYPERLINK(CONCATENATE("#Metadata!", ADDRESS(INDEX($AI$2:$AI$1001,MATCH(ROWS($AG$2:AG995),$AG$2:$AG$1001,0),0), INDEX($AN$1004:$BO$1004,1,MATCH(COLUMNS($AN$1006:AW1006),$AN$1006:$BO$1006,0)))),"Fix")))</f>
        <v>0</v>
      </c>
      <c r="L995" s="4">
        <f>IF(OR(INDEX($AH$2:$AH$1001,MATCH(ROWS($AG$2:AG995),$AG$2:$AG$1001,0),1)&gt;=100000,INDEX($AN$1005:$BO$1005,1,MATCH(COLUMNS($AN$1006:AX1006),$AN$1006:$BO$1006,0))&gt;=100000), " ",IF(INDEX($AN$2:$BO$1001,MATCH(ROWS($AG$2:AG995),$AG$2:$AG$1001,0),MATCH(COLUMNS($AN$1006:AX1006),$AN$1006:$BO$1006,0)), HYPERLINK("#",""), HYPERLINK(CONCATENATE("#Metadata!", ADDRESS(INDEX($AI$2:$AI$1001,MATCH(ROWS($AG$2:AG995),$AG$2:$AG$1001,0),0), INDEX($AN$1004:$BO$1004,1,MATCH(COLUMNS($AN$1006:AX1006),$AN$1006:$BO$1006,0)))),"Fix")))</f>
        <v>0</v>
      </c>
      <c r="M995" s="4">
        <f>IF(OR(INDEX($AH$2:$AH$1001,MATCH(ROWS($AG$2:AG995),$AG$2:$AG$1001,0),1)&gt;=100000,INDEX($AN$1005:$BO$1005,1,MATCH(COLUMNS($AN$1006:AY1006),$AN$1006:$BO$1006,0))&gt;=100000), " ",IF(INDEX($AN$2:$BO$1001,MATCH(ROWS($AG$2:AG995),$AG$2:$AG$1001,0),MATCH(COLUMNS($AN$1006:AY1006),$AN$1006:$BO$1006,0)), HYPERLINK("#",""), HYPERLINK(CONCATENATE("#Metadata!", ADDRESS(INDEX($AI$2:$AI$1001,MATCH(ROWS($AG$2:AG995),$AG$2:$AG$1001,0),0), INDEX($AN$1004:$BO$1004,1,MATCH(COLUMNS($AN$1006:AY1006),$AN$1006:$BO$1006,0)))),"Fix")))</f>
        <v>0</v>
      </c>
      <c r="N995" s="4">
        <f>IF(OR(INDEX($AH$2:$AH$1001,MATCH(ROWS($AG$2:AG995),$AG$2:$AG$1001,0),1)&gt;=100000,INDEX($AN$1005:$BO$1005,1,MATCH(COLUMNS($AN$1006:AZ1006),$AN$1006:$BO$1006,0))&gt;=100000), " ",IF(INDEX($AN$2:$BO$1001,MATCH(ROWS($AG$2:AG995),$AG$2:$AG$1001,0),MATCH(COLUMNS($AN$1006:AZ1006),$AN$1006:$BO$1006,0)), HYPERLINK("#",""), HYPERLINK(CONCATENATE("#Metadata!", ADDRESS(INDEX($AI$2:$AI$1001,MATCH(ROWS($AG$2:AG995),$AG$2:$AG$1001,0),0), INDEX($AN$1004:$BO$1004,1,MATCH(COLUMNS($AN$1006:AZ1006),$AN$1006:$BO$1006,0)))),"Fix")))</f>
        <v>0</v>
      </c>
      <c r="O995" s="4">
        <f>IF(OR(INDEX($AH$2:$AH$1001,MATCH(ROWS($AG$2:AG995),$AG$2:$AG$1001,0),1)&gt;=100000,INDEX($AN$1005:$BO$1005,1,MATCH(COLUMNS($AN$1006:BA1006),$AN$1006:$BO$1006,0))&gt;=100000), " ",IF(INDEX($AN$2:$BO$1001,MATCH(ROWS($AG$2:AG995),$AG$2:$AG$1001,0),MATCH(COLUMNS($AN$1006:BA1006),$AN$1006:$BO$1006,0)), HYPERLINK("#",""), HYPERLINK(CONCATENATE("#Metadata!", ADDRESS(INDEX($AI$2:$AI$1001,MATCH(ROWS($AG$2:AG995),$AG$2:$AG$1001,0),0), INDEX($AN$1004:$BO$1004,1,MATCH(COLUMNS($AN$1006:BA1006),$AN$1006:$BO$1006,0)))),"Fix")))</f>
        <v>0</v>
      </c>
      <c r="P995" s="4">
        <f>IF(OR(INDEX($AH$2:$AH$1001,MATCH(ROWS($AG$2:AG995),$AG$2:$AG$1001,0),1)&gt;=100000,INDEX($AN$1005:$BO$1005,1,MATCH(COLUMNS($AN$1006:BB1006),$AN$1006:$BO$1006,0))&gt;=100000), " ",IF(INDEX($AN$2:$BO$1001,MATCH(ROWS($AG$2:AG995),$AG$2:$AG$1001,0),MATCH(COLUMNS($AN$1006:BB1006),$AN$1006:$BO$1006,0)), HYPERLINK("#",""), HYPERLINK(CONCATENATE("#Metadata!", ADDRESS(INDEX($AI$2:$AI$1001,MATCH(ROWS($AG$2:AG995),$AG$2:$AG$1001,0),0), INDEX($AN$1004:$BO$1004,1,MATCH(COLUMNS($AN$1006:BB1006),$AN$1006:$BO$1006,0)))),"Fix")))</f>
        <v>0</v>
      </c>
      <c r="Q995" s="4">
        <f>IF(OR(INDEX($AH$2:$AH$1001,MATCH(ROWS($AG$2:AG995),$AG$2:$AG$1001,0),1)&gt;=100000,INDEX($AN$1005:$BO$1005,1,MATCH(COLUMNS($AN$1006:BC1006),$AN$1006:$BO$1006,0))&gt;=100000), " ",IF(INDEX($AN$2:$BO$1001,MATCH(ROWS($AG$2:AG995),$AG$2:$AG$1001,0),MATCH(COLUMNS($AN$1006:BC1006),$AN$1006:$BO$1006,0)), HYPERLINK("#",""), HYPERLINK(CONCATENATE("#Metadata!", ADDRESS(INDEX($AI$2:$AI$1001,MATCH(ROWS($AG$2:AG995),$AG$2:$AG$1001,0),0), INDEX($AN$1004:$BO$1004,1,MATCH(COLUMNS($AN$1006:BC1006),$AN$1006:$BO$1006,0)))),"Fix")))</f>
        <v>0</v>
      </c>
      <c r="R995" s="4">
        <f>IF(OR(INDEX($AH$2:$AH$1001,MATCH(ROWS($AG$2:AG995),$AG$2:$AG$1001,0),1)&gt;=100000,INDEX($AN$1005:$BO$1005,1,MATCH(COLUMNS($AN$1006:BD1006),$AN$1006:$BO$1006,0))&gt;=100000), " ",IF(INDEX($AN$2:$BO$1001,MATCH(ROWS($AG$2:AG995),$AG$2:$AG$1001,0),MATCH(COLUMNS($AN$1006:BD1006),$AN$1006:$BO$1006,0)), HYPERLINK("#",""), HYPERLINK(CONCATENATE("#Metadata!", ADDRESS(INDEX($AI$2:$AI$1001,MATCH(ROWS($AG$2:AG995),$AG$2:$AG$1001,0),0), INDEX($AN$1004:$BO$1004,1,MATCH(COLUMNS($AN$1006:BD1006),$AN$1006:$BO$1006,0)))),"Fix")))</f>
        <v>0</v>
      </c>
      <c r="S995" s="4">
        <f>IF(OR(INDEX($AH$2:$AH$1001,MATCH(ROWS($AG$2:AG995),$AG$2:$AG$1001,0),1)&gt;=100000,INDEX($AN$1005:$BO$1005,1,MATCH(COLUMNS($AN$1006:BE1006),$AN$1006:$BO$1006,0))&gt;=100000), " ",IF(INDEX($AN$2:$BO$1001,MATCH(ROWS($AG$2:AG995),$AG$2:$AG$1001,0),MATCH(COLUMNS($AN$1006:BE1006),$AN$1006:$BO$1006,0)), HYPERLINK("#",""), HYPERLINK(CONCATENATE("#Metadata!", ADDRESS(INDEX($AI$2:$AI$1001,MATCH(ROWS($AG$2:AG995),$AG$2:$AG$1001,0),0), INDEX($AN$1004:$BO$1004,1,MATCH(COLUMNS($AN$1006:BE1006),$AN$1006:$BO$1006,0)))),"Fix")))</f>
        <v>0</v>
      </c>
      <c r="T995" s="4">
        <f>IF(OR(INDEX($AH$2:$AH$1001,MATCH(ROWS($AG$2:AG995),$AG$2:$AG$1001,0),1)&gt;=100000,INDEX($AN$1005:$BO$1005,1,MATCH(COLUMNS($AN$1006:BF1006),$AN$1006:$BO$1006,0))&gt;=100000), " ",IF(INDEX($AN$2:$BO$1001,MATCH(ROWS($AG$2:AG995),$AG$2:$AG$1001,0),MATCH(COLUMNS($AN$1006:BF1006),$AN$1006:$BO$1006,0)), HYPERLINK("#",""), HYPERLINK(CONCATENATE("#Metadata!", ADDRESS(INDEX($AI$2:$AI$1001,MATCH(ROWS($AG$2:AG995),$AG$2:$AG$1001,0),0), INDEX($AN$1004:$BO$1004,1,MATCH(COLUMNS($AN$1006:BF1006),$AN$1006:$BO$1006,0)))),"Fix")))</f>
        <v>0</v>
      </c>
      <c r="U995" s="4">
        <f>IF(OR(INDEX($AH$2:$AH$1001,MATCH(ROWS($AG$2:AG995),$AG$2:$AG$1001,0),1)&gt;=100000,INDEX($AN$1005:$BO$1005,1,MATCH(COLUMNS($AN$1006:BG1006),$AN$1006:$BO$1006,0))&gt;=100000), " ",IF(INDEX($AN$2:$BO$1001,MATCH(ROWS($AG$2:AG995),$AG$2:$AG$1001,0),MATCH(COLUMNS($AN$1006:BG1006),$AN$1006:$BO$1006,0)), HYPERLINK("#",""), HYPERLINK(CONCATENATE("#Metadata!", ADDRESS(INDEX($AI$2:$AI$1001,MATCH(ROWS($AG$2:AG995),$AG$2:$AG$1001,0),0), INDEX($AN$1004:$BO$1004,1,MATCH(COLUMNS($AN$1006:BG1006),$AN$1006:$BO$1006,0)))),"Fix")))</f>
        <v>0</v>
      </c>
      <c r="V995" s="4">
        <f>IF(OR(INDEX($AH$2:$AH$1001,MATCH(ROWS($AG$2:AG995),$AG$2:$AG$1001,0),1)&gt;=100000,INDEX($AN$1005:$BO$1005,1,MATCH(COLUMNS($AN$1006:BH1006),$AN$1006:$BO$1006,0))&gt;=100000), " ",IF(INDEX($AN$2:$BO$1001,MATCH(ROWS($AG$2:AG995),$AG$2:$AG$1001,0),MATCH(COLUMNS($AN$1006:BH1006),$AN$1006:$BO$1006,0)), HYPERLINK("#",""), HYPERLINK(CONCATENATE("#Metadata!", ADDRESS(INDEX($AI$2:$AI$1001,MATCH(ROWS($AG$2:AG995),$AG$2:$AG$1001,0),0), INDEX($AN$1004:$BO$1004,1,MATCH(COLUMNS($AN$1006:BH1006),$AN$1006:$BO$1006,0)))),"Fix")))</f>
        <v>0</v>
      </c>
      <c r="W995" s="4">
        <f>IF(OR(INDEX($AH$2:$AH$1001,MATCH(ROWS($AG$2:AG995),$AG$2:$AG$1001,0),1)&gt;=100000,INDEX($AN$1005:$BO$1005,1,MATCH(COLUMNS($AN$1006:BI1006),$AN$1006:$BO$1006,0))&gt;=100000), " ",IF(INDEX($AN$2:$BO$1001,MATCH(ROWS($AG$2:AG995),$AG$2:$AG$1001,0),MATCH(COLUMNS($AN$1006:BI1006),$AN$1006:$BO$1006,0)), HYPERLINK("#",""), HYPERLINK(CONCATENATE("#Metadata!", ADDRESS(INDEX($AI$2:$AI$1001,MATCH(ROWS($AG$2:AG995),$AG$2:$AG$1001,0),0), INDEX($AN$1004:$BO$1004,1,MATCH(COLUMNS($AN$1006:BI1006),$AN$1006:$BO$1006,0)))),"Fix")))</f>
        <v>0</v>
      </c>
      <c r="X995" s="4">
        <f>IF(OR(INDEX($AH$2:$AH$1001,MATCH(ROWS($AG$2:AG995),$AG$2:$AG$1001,0),1)&gt;=100000,INDEX($AN$1005:$BO$1005,1,MATCH(COLUMNS($AN$1006:BJ1006),$AN$1006:$BO$1006,0))&gt;=100000), " ",IF(INDEX($AN$2:$BO$1001,MATCH(ROWS($AG$2:AG995),$AG$2:$AG$1001,0),MATCH(COLUMNS($AN$1006:BJ1006),$AN$1006:$BO$1006,0)), HYPERLINK("#",""), HYPERLINK(CONCATENATE("#Metadata!", ADDRESS(INDEX($AI$2:$AI$1001,MATCH(ROWS($AG$2:AG995),$AG$2:$AG$1001,0),0), INDEX($AN$1004:$BO$1004,1,MATCH(COLUMNS($AN$1006:BJ1006),$AN$1006:$BO$1006,0)))),"Fix")))</f>
        <v>0</v>
      </c>
      <c r="Y995" s="4">
        <f>IF(OR(INDEX($AH$2:$AH$1001,MATCH(ROWS($AG$2:AG995),$AG$2:$AG$1001,0),1)&gt;=100000,INDEX($AN$1005:$BO$1005,1,MATCH(COLUMNS($AN$1006:BK1006),$AN$1006:$BO$1006,0))&gt;=100000), " ",IF(INDEX($AN$2:$BO$1001,MATCH(ROWS($AG$2:AG995),$AG$2:$AG$1001,0),MATCH(COLUMNS($AN$1006:BK1006),$AN$1006:$BO$1006,0)), HYPERLINK("#",""), HYPERLINK(CONCATENATE("#Metadata!", ADDRESS(INDEX($AI$2:$AI$1001,MATCH(ROWS($AG$2:AG995),$AG$2:$AG$1001,0),0), INDEX($AN$1004:$BO$1004,1,MATCH(COLUMNS($AN$1006:BK1006),$AN$1006:$BO$1006,0)))),"Fix")))</f>
        <v>0</v>
      </c>
      <c r="Z995" s="4">
        <f>IF(OR(INDEX($AH$2:$AH$1001,MATCH(ROWS($AG$2:AG995),$AG$2:$AG$1001,0),1)&gt;=100000,INDEX($AN$1005:$BO$1005,1,MATCH(COLUMNS($AN$1006:BL1006),$AN$1006:$BO$1006,0))&gt;=100000), " ",IF(INDEX($AN$2:$BO$1001,MATCH(ROWS($AG$2:AG995),$AG$2:$AG$1001,0),MATCH(COLUMNS($AN$1006:BL1006),$AN$1006:$BO$1006,0)), HYPERLINK("#",""), HYPERLINK(CONCATENATE("#Metadata!", ADDRESS(INDEX($AI$2:$AI$1001,MATCH(ROWS($AG$2:AG995),$AG$2:$AG$1001,0),0), INDEX($AN$1004:$BO$1004,1,MATCH(COLUMNS($AN$1006:BL1006),$AN$1006:$BO$1006,0)))),"Fix")))</f>
        <v>0</v>
      </c>
      <c r="AA995" s="4">
        <f>IF(OR(INDEX($AH$2:$AH$1001,MATCH(ROWS($AG$2:AG995),$AG$2:$AG$1001,0),1)&gt;=100000,INDEX($AN$1005:$BO$1005,1,MATCH(COLUMNS($AN$1006:BM1006),$AN$1006:$BO$1006,0))&gt;=100000), " ",IF(INDEX($AN$2:$BO$1001,MATCH(ROWS($AG$2:AG995),$AG$2:$AG$1001,0),MATCH(COLUMNS($AN$1006:BM1006),$AN$1006:$BO$1006,0)), HYPERLINK("#",""), HYPERLINK(CONCATENATE("#Metadata!", ADDRESS(INDEX($AI$2:$AI$1001,MATCH(ROWS($AG$2:AG995),$AG$2:$AG$1001,0),0), INDEX($AN$1004:$BO$1004,1,MATCH(COLUMNS($AN$1006:BM1006),$AN$1006:$BO$1006,0)))),"Fix")))</f>
        <v>0</v>
      </c>
      <c r="AB995" s="4">
        <f>IF(OR(INDEX($AH$2:$AH$1001,MATCH(ROWS($AG$2:AG995),$AG$2:$AG$1001,0),1)&gt;=100000,INDEX($AN$1005:$BO$1005,1,MATCH(COLUMNS($AN$1006:BN1006),$AN$1006:$BO$1006,0))&gt;=100000), " ",IF(INDEX($AN$2:$BO$1001,MATCH(ROWS($AG$2:AG995),$AG$2:$AG$1001,0),MATCH(COLUMNS($AN$1006:BN1006),$AN$1006:$BO$1006,0)), HYPERLINK("#",""), HYPERLINK(CONCATENATE("#Metadata!", ADDRESS(INDEX($AI$2:$AI$1001,MATCH(ROWS($AG$2:AG995),$AG$2:$AG$1001,0),0), INDEX($AN$1004:$BO$1004,1,MATCH(COLUMNS($AN$1006:BN1006),$AN$1006:$BO$1006,0)))),"Fix")))</f>
        <v>0</v>
      </c>
      <c r="AC995" s="4">
        <f>IF(OR(INDEX($AH$2:$AH$1001,MATCH(ROWS($AG$2:AG995),$AG$2:$AG$1001,0),1)&gt;=100000,INDEX($AN$1005:$BO$1005,1,MATCH(COLUMNS($AN$1006:BO1006),$AN$1006:$BO$1006,0))&gt;=100000), " ",IF(INDEX($AN$2:$BO$1001,MATCH(ROWS($AG$2:AG995),$AG$2:$AG$1001,0),MATCH(COLUMNS($AN$1006:BO1006),$AN$1006:$BO$1006,0)), HYPERLINK("#",""), HYPERLINK(CONCATENATE("#Metadata!", ADDRESS(INDEX($AI$2:$AI$1001,MATCH(ROWS($AG$2:AG995),$AG$2:$AG$1001,0),0), INDEX($AN$1004:$BO$1004,1,MATCH(COLUMNS($AN$1006:BO1006),$AN$1006:$BO$1006,0)))),"Fix")))</f>
        <v>0</v>
      </c>
      <c r="AG995">
        <v>0</v>
      </c>
      <c r="AH995">
        <v>0</v>
      </c>
      <c r="AI995">
        <v>0</v>
      </c>
      <c r="AJ995">
        <f>IF(AK995,TRUE,AND(AN995:BO995))</f>
        <v>0</v>
      </c>
      <c r="AK995">
        <f>COUNTBLANK(Metadata!B995:AC995)=COLUMNS(Metadata!B995:AC995)</f>
        <v>0</v>
      </c>
      <c r="AL995">
        <v>0</v>
      </c>
      <c r="AN995">
        <f>AND(IF(Metadata!B995="",FALSE,TRUE),COUNTIF(Metadata!B:B, Metadata!B995) = 1,NOT(ISERROR(SUMPRODUCT(SEARCH(MID(Metadata!B995,ROW(INDIRECT("1:"&amp;LEN(Metadata!B995))), 1),"0123456789abcdefghijklmnopqrstuvwxyzABCDEFGHIJKLMNOPQRSTUVWXYZ.")))))</f>
        <v>0</v>
      </c>
      <c r="AO995">
        <f>IF(Metadata!C995="",FALSE,TRUE)</f>
        <v>0</v>
      </c>
      <c r="AP995">
        <f>IF(Metadata!D995="",FALSE,TRUE)</f>
        <v>0</v>
      </c>
      <c r="AQ995">
        <f>OR(AND(IF(Metadata!E995="",FALSE,TRUE),OR(exact(Metadata!E995,"not collected"),exact(Metadata!E995,"not provided"),exact(Metadata!E995,"restricted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R995">
        <f>IF(Metadata!F995="",FALSE,TRUE)</f>
        <v>0</v>
      </c>
      <c r="AS995">
        <f>OR(AND(IF(Metadata!G995="",FALSE,TRUE),OR(exact(Metadata!G995,"not collected"),exact(Metadata!G995,"not provided"))),AND(IF(Metadata!G995="",FALSE,TRUE),OR(exact(Metadata!G995,"TRUE"),exact(Metadata!G995,"FALSE"))))</f>
        <v>0</v>
      </c>
      <c r="AT995">
        <f>OR(AND(IF(Metadata!H995="",FALSE,TRUE),OR(exact(Metadata!H995,"not collected"),exact(Metadata!H995,"not provided"),exact(Metadata!H995,"restricted access"))),AND(IF(Metadata!H995="",FALSE,ISNUMBER(VALUE(Metadata!H995))),Metadata!H995&gt;=-413.0))</f>
        <v>0</v>
      </c>
      <c r="AU995">
        <f>AND(IF(Metadata!I995="",FALSE,TRUE),exact(Metadata!I995,"meters"))</f>
        <v>0</v>
      </c>
      <c r="AV995">
        <f>AND(IF(Metadata!J995="",FALSE,TRUE),OR(exact(Metadata!J995,"Host-associated"),exact(Metadata!J995,"Free-living")))</f>
        <v>0</v>
      </c>
      <c r="AW995">
        <f>AND(IF(Metadata!K995="",FALSE,TRUE),OR(exact(Metadata!K995,"Animal"),exact(Metadata!K995,"Fungus"),exact(Metadata!K995,"Plant"),exact(Metadata!K995,"Saline"),exact(Metadata!K995,"Non-saline")))</f>
        <v>0</v>
      </c>
      <c r="AX995">
        <f>AND(IF(Metadata!L995="",FALSE,TRUE),OR(exact(Metadata!L995,"Plant secretion"),exact(Metadata!L995,"Plant rhizosphere"),exact(Metadata!L995,"Plant surface"),exact(Metadata!L995,"Plant corpus"),exact(Metadata!L995,"Fungus surface"),exact(Metadata!L995,"Fungus corpus"),exact(Metadata!L995,"Animal surface"),exact(Metadata!L995,"Animal proximal gut"),exact(Metadata!L995,"Animal corpus"),exact(Metadata!L995,"Animal distal gut"),exact(Metadata!L995,"Animal secretion"),exact(Metadata!L995,"Sub-surface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Y995">
        <f>IF(Metadata!M995="",FALSE,TRUE)</f>
        <v>0</v>
      </c>
      <c r="AZ995">
        <f>IF(Metadata!N995="",FALSE,TRUE)</f>
        <v>0</v>
      </c>
      <c r="BA995">
        <f>IF(Metadata!O995="",FALSE,TRUE)</f>
        <v>0</v>
      </c>
      <c r="BB995">
        <f>OR(AND(IF(Metadata!P995="",FALSE,TRUE),OR(exact(Metadata!P995,"not collected"),exact(Metadata!P995,"not provided"),exact(Metadata!P995,"restricted access"))),AND(IF(Metadata!P995="",FALSE,TRUE),OR(exact(Metadata!P995,"air"),exact(Metadata!P995,"built environment"),exact(Metadata!P995,"host-associated"),exact(Metadata!P995,"human-associated"),exact(Metadata!P995,"human-skin"),exact(Metadata!P995,"human-oral"),exact(Metadata!P995,"human-gut"),exact(Metadata!P995,"human-vaginal"),exact(Metadata!P995,"microbial mat/biofilm"),exact(Metadata!P995,"misc environment"),exact(Metadata!P995,"plant-associated"),exact(Metadata!P995,"sediment"),exact(Metadata!P995,"soil"),exact(Metadata!P995,"wastewater/sludge"),exact(Metadata!P995,"water"))))</f>
        <v>0</v>
      </c>
      <c r="BC995">
        <f>IF(Metadata!Q995="",FALSE,TRUE)</f>
        <v>0</v>
      </c>
      <c r="BD995">
        <f>IF(Metadata!R995="",FALSE,TRUE)</f>
        <v>0</v>
      </c>
      <c r="BE995">
        <f>OR(AND(IF(Metadata!S995="",FALSE,TRUE),OR(exact(Metadata!S995,"not collected"),exact(Metadata!S995,"not provided"),exact(Metadata!S995,"restricted access"))),AND(IF(Metadata!S995="",FALSE,ISNUMBER(VALUE(Metadata!S995))),Metadata!S995&gt;=-90.00,Metadata!S995&lt;=90.00))</f>
        <v>0</v>
      </c>
      <c r="BF995">
        <f>AND(IF(Metadata!T995="",FALSE,TRUE),exact(Metadata!T995,"Decimal degrees"))</f>
        <v>0</v>
      </c>
      <c r="BG995">
        <f>OR(AND(IF(Metadata!U995="",FALSE,TRUE),OR(exact(Metadata!U995,"not collected"),exact(Metadata!U995,"not provided"),exact(Metadata!U995,"restricted access"))),AND(IF(Metadata!U995="",FALSE,ISNUMBER(VALUE(Metadata!U995))),Metadata!U995&gt;=-180.00,Metadata!U995&lt;=180.00))</f>
        <v>0</v>
      </c>
      <c r="BH995">
        <f>AND(IF(Metadata!V995="",FALSE,TRUE),exact(Metadata!V995,"Decimal degrees"))</f>
        <v>0</v>
      </c>
      <c r="BI995">
        <f>IF(Metadata!W995="",FALSE,TRUE)</f>
        <v>0</v>
      </c>
      <c r="BJ995">
        <f>OR(AND(IF(Metadata!X995="",FALSE,TRUE),OR(exact(Metadata!X995,"not collected"),exact(Metadata!X995,"not provided"),exact(Metadata!X995,"restricted access"))),AND(IF(Metadata!X995="",FALSE,TRUE),OR(exact(Metadata!X995,"TRUE"),exact(Metadata!X995,"FALSE"))))</f>
        <v>0</v>
      </c>
      <c r="BK995">
        <f>AND(IF(Metadata!Y995="",FALSE,TRUE),exact(Metadata!Y995,"other"))</f>
        <v>0</v>
      </c>
      <c r="BL995">
        <f>IF(Metadata!Z995="",FALSE,TRUE)</f>
        <v>0</v>
      </c>
      <c r="BM995">
        <f>OR(AND(IF(Metadata!AA995="",FALSE,TRUE),OR(exact(Metadata!AA995,"not collected"),exact(Metadata!AA995,"not provided"))),AND(IF(Metadata!AA995="",FALSE,IF(ISERROR(INT(Metadata!AA995)),FALSE,INT(Metadata!AA995)=Metadata!AA995)),Metadata!AA995&gt;0))</f>
        <v>0</v>
      </c>
      <c r="BN995">
        <f>AND(IF(Metadata!AB995="",FALSE,TRUE),exact(Metadata!AB995,"Not applicable"))</f>
        <v>0</v>
      </c>
      <c r="BO995">
        <f>IF(Metadata!AC995="",FALSE,TRUE)</f>
        <v>0</v>
      </c>
    </row>
    <row r="996" spans="1:67">
      <c r="A996" s="5">
        <f>IF(B996=" "," ",HYPERLINK(CONCATENATE("#metadata!",ADDRESS(INDEX($AI$2:$AI$1001,MATCH(ROWS($AG$2:AG996),$AG$2:$AG$1001,0),0),1)),INDEX($AL$2:$AL$1001,MATCH(ROWS($AG$2:AG996),$AG$2:$AG$1001,0),0)))</f>
        <v>0</v>
      </c>
      <c r="B996" s="4">
        <f>IF(OR(INDEX($AH$2:$AH$1001,MATCH(ROWS($AG$2:AG996),$AG$2:$AG$1001,0),1)&gt;=100000,INDEX($AN$1005:$BO$1005,1,MATCH(COLUMNS($AN$1006:AN1006),$AN$1006:$BO$1006,0))&gt;=100000), " ",IF(INDEX($AN$2:$BO$1001,MATCH(ROWS($AG$2:AG996),$AG$2:$AG$1001,0),MATCH(COLUMNS($AN$1006:AN1006),$AN$1006:$BO$1006,0)), HYPERLINK("#",""), HYPERLINK(CONCATENATE("#Metadata!", ADDRESS(INDEX($AI$2:$AI$1001,MATCH(ROWS($AG$2:AG996),$AG$2:$AG$1001,0),0), INDEX($AN$1004:$BO$1004,1,MATCH(COLUMNS($AN$1006:AN1006),$AN$1006:$BO$1006,0)))),"Fix")))</f>
        <v>0</v>
      </c>
      <c r="C996" s="4">
        <f>IF(OR(INDEX($AH$2:$AH$1001,MATCH(ROWS($AG$2:AG996),$AG$2:$AG$1001,0),1)&gt;=100000,INDEX($AN$1005:$BO$1005,1,MATCH(COLUMNS($AN$1006:AO1006),$AN$1006:$BO$1006,0))&gt;=100000), " ",IF(INDEX($AN$2:$BO$1001,MATCH(ROWS($AG$2:AG996),$AG$2:$AG$1001,0),MATCH(COLUMNS($AN$1006:AO1006),$AN$1006:$BO$1006,0)), HYPERLINK("#",""), HYPERLINK(CONCATENATE("#Metadata!", ADDRESS(INDEX($AI$2:$AI$1001,MATCH(ROWS($AG$2:AG996),$AG$2:$AG$1001,0),0), INDEX($AN$1004:$BO$1004,1,MATCH(COLUMNS($AN$1006:AO1006),$AN$1006:$BO$1006,0)))),"Fix")))</f>
        <v>0</v>
      </c>
      <c r="D996" s="4">
        <f>IF(OR(INDEX($AH$2:$AH$1001,MATCH(ROWS($AG$2:AG996),$AG$2:$AG$1001,0),1)&gt;=100000,INDEX($AN$1005:$BO$1005,1,MATCH(COLUMNS($AN$1006:AP1006),$AN$1006:$BO$1006,0))&gt;=100000), " ",IF(INDEX($AN$2:$BO$1001,MATCH(ROWS($AG$2:AG996),$AG$2:$AG$1001,0),MATCH(COLUMNS($AN$1006:AP1006),$AN$1006:$BO$1006,0)), HYPERLINK("#",""), HYPERLINK(CONCATENATE("#Metadata!", ADDRESS(INDEX($AI$2:$AI$1001,MATCH(ROWS($AG$2:AG996),$AG$2:$AG$1001,0),0), INDEX($AN$1004:$BO$1004,1,MATCH(COLUMNS($AN$1006:AP1006),$AN$1006:$BO$1006,0)))),"Fix")))</f>
        <v>0</v>
      </c>
      <c r="E996" s="4">
        <f>IF(OR(INDEX($AH$2:$AH$1001,MATCH(ROWS($AG$2:AG996),$AG$2:$AG$1001,0),1)&gt;=100000,INDEX($AN$1005:$BO$1005,1,MATCH(COLUMNS($AN$1006:AQ1006),$AN$1006:$BO$1006,0))&gt;=100000), " ",IF(INDEX($AN$2:$BO$1001,MATCH(ROWS($AG$2:AG996),$AG$2:$AG$1001,0),MATCH(COLUMNS($AN$1006:AQ1006),$AN$1006:$BO$1006,0)), HYPERLINK("#",""), HYPERLINK(CONCATENATE("#Metadata!", ADDRESS(INDEX($AI$2:$AI$1001,MATCH(ROWS($AG$2:AG996),$AG$2:$AG$1001,0),0), INDEX($AN$1004:$BO$1004,1,MATCH(COLUMNS($AN$1006:AQ1006),$AN$1006:$BO$1006,0)))),"Fix")))</f>
        <v>0</v>
      </c>
      <c r="F996" s="4">
        <f>IF(OR(INDEX($AH$2:$AH$1001,MATCH(ROWS($AG$2:AG996),$AG$2:$AG$1001,0),1)&gt;=100000,INDEX($AN$1005:$BO$1005,1,MATCH(COLUMNS($AN$1006:AR1006),$AN$1006:$BO$1006,0))&gt;=100000), " ",IF(INDEX($AN$2:$BO$1001,MATCH(ROWS($AG$2:AG996),$AG$2:$AG$1001,0),MATCH(COLUMNS($AN$1006:AR1006),$AN$1006:$BO$1006,0)), HYPERLINK("#",""), HYPERLINK(CONCATENATE("#Metadata!", ADDRESS(INDEX($AI$2:$AI$1001,MATCH(ROWS($AG$2:AG996),$AG$2:$AG$1001,0),0), INDEX($AN$1004:$BO$1004,1,MATCH(COLUMNS($AN$1006:AR1006),$AN$1006:$BO$1006,0)))),"Fix")))</f>
        <v>0</v>
      </c>
      <c r="G996" s="4">
        <f>IF(OR(INDEX($AH$2:$AH$1001,MATCH(ROWS($AG$2:AG996),$AG$2:$AG$1001,0),1)&gt;=100000,INDEX($AN$1005:$BO$1005,1,MATCH(COLUMNS($AN$1006:AS1006),$AN$1006:$BO$1006,0))&gt;=100000), " ",IF(INDEX($AN$2:$BO$1001,MATCH(ROWS($AG$2:AG996),$AG$2:$AG$1001,0),MATCH(COLUMNS($AN$1006:AS1006),$AN$1006:$BO$1006,0)), HYPERLINK("#",""), HYPERLINK(CONCATENATE("#Metadata!", ADDRESS(INDEX($AI$2:$AI$1001,MATCH(ROWS($AG$2:AG996),$AG$2:$AG$1001,0),0), INDEX($AN$1004:$BO$1004,1,MATCH(COLUMNS($AN$1006:AS1006),$AN$1006:$BO$1006,0)))),"Fix")))</f>
        <v>0</v>
      </c>
      <c r="H996" s="4">
        <f>IF(OR(INDEX($AH$2:$AH$1001,MATCH(ROWS($AG$2:AG996),$AG$2:$AG$1001,0),1)&gt;=100000,INDEX($AN$1005:$BO$1005,1,MATCH(COLUMNS($AN$1006:AT1006),$AN$1006:$BO$1006,0))&gt;=100000), " ",IF(INDEX($AN$2:$BO$1001,MATCH(ROWS($AG$2:AG996),$AG$2:$AG$1001,0),MATCH(COLUMNS($AN$1006:AT1006),$AN$1006:$BO$1006,0)), HYPERLINK("#",""), HYPERLINK(CONCATENATE("#Metadata!", ADDRESS(INDEX($AI$2:$AI$1001,MATCH(ROWS($AG$2:AG996),$AG$2:$AG$1001,0),0), INDEX($AN$1004:$BO$1004,1,MATCH(COLUMNS($AN$1006:AT1006),$AN$1006:$BO$1006,0)))),"Fix")))</f>
        <v>0</v>
      </c>
      <c r="I996" s="4">
        <f>IF(OR(INDEX($AH$2:$AH$1001,MATCH(ROWS($AG$2:AG996),$AG$2:$AG$1001,0),1)&gt;=100000,INDEX($AN$1005:$BO$1005,1,MATCH(COLUMNS($AN$1006:AU1006),$AN$1006:$BO$1006,0))&gt;=100000), " ",IF(INDEX($AN$2:$BO$1001,MATCH(ROWS($AG$2:AG996),$AG$2:$AG$1001,0),MATCH(COLUMNS($AN$1006:AU1006),$AN$1006:$BO$1006,0)), HYPERLINK("#",""), HYPERLINK(CONCATENATE("#Metadata!", ADDRESS(INDEX($AI$2:$AI$1001,MATCH(ROWS($AG$2:AG996),$AG$2:$AG$1001,0),0), INDEX($AN$1004:$BO$1004,1,MATCH(COLUMNS($AN$1006:AU1006),$AN$1006:$BO$1006,0)))),"Fix")))</f>
        <v>0</v>
      </c>
      <c r="J996" s="4">
        <f>IF(OR(INDEX($AH$2:$AH$1001,MATCH(ROWS($AG$2:AG996),$AG$2:$AG$1001,0),1)&gt;=100000,INDEX($AN$1005:$BO$1005,1,MATCH(COLUMNS($AN$1006:AV1006),$AN$1006:$BO$1006,0))&gt;=100000), " ",IF(INDEX($AN$2:$BO$1001,MATCH(ROWS($AG$2:AG996),$AG$2:$AG$1001,0),MATCH(COLUMNS($AN$1006:AV1006),$AN$1006:$BO$1006,0)), HYPERLINK("#",""), HYPERLINK(CONCATENATE("#Metadata!", ADDRESS(INDEX($AI$2:$AI$1001,MATCH(ROWS($AG$2:AG996),$AG$2:$AG$1001,0),0), INDEX($AN$1004:$BO$1004,1,MATCH(COLUMNS($AN$1006:AV1006),$AN$1006:$BO$1006,0)))),"Fix")))</f>
        <v>0</v>
      </c>
      <c r="K996" s="4">
        <f>IF(OR(INDEX($AH$2:$AH$1001,MATCH(ROWS($AG$2:AG996),$AG$2:$AG$1001,0),1)&gt;=100000,INDEX($AN$1005:$BO$1005,1,MATCH(COLUMNS($AN$1006:AW1006),$AN$1006:$BO$1006,0))&gt;=100000), " ",IF(INDEX($AN$2:$BO$1001,MATCH(ROWS($AG$2:AG996),$AG$2:$AG$1001,0),MATCH(COLUMNS($AN$1006:AW1006),$AN$1006:$BO$1006,0)), HYPERLINK("#",""), HYPERLINK(CONCATENATE("#Metadata!", ADDRESS(INDEX($AI$2:$AI$1001,MATCH(ROWS($AG$2:AG996),$AG$2:$AG$1001,0),0), INDEX($AN$1004:$BO$1004,1,MATCH(COLUMNS($AN$1006:AW1006),$AN$1006:$BO$1006,0)))),"Fix")))</f>
        <v>0</v>
      </c>
      <c r="L996" s="4">
        <f>IF(OR(INDEX($AH$2:$AH$1001,MATCH(ROWS($AG$2:AG996),$AG$2:$AG$1001,0),1)&gt;=100000,INDEX($AN$1005:$BO$1005,1,MATCH(COLUMNS($AN$1006:AX1006),$AN$1006:$BO$1006,0))&gt;=100000), " ",IF(INDEX($AN$2:$BO$1001,MATCH(ROWS($AG$2:AG996),$AG$2:$AG$1001,0),MATCH(COLUMNS($AN$1006:AX1006),$AN$1006:$BO$1006,0)), HYPERLINK("#",""), HYPERLINK(CONCATENATE("#Metadata!", ADDRESS(INDEX($AI$2:$AI$1001,MATCH(ROWS($AG$2:AG996),$AG$2:$AG$1001,0),0), INDEX($AN$1004:$BO$1004,1,MATCH(COLUMNS($AN$1006:AX1006),$AN$1006:$BO$1006,0)))),"Fix")))</f>
        <v>0</v>
      </c>
      <c r="M996" s="4">
        <f>IF(OR(INDEX($AH$2:$AH$1001,MATCH(ROWS($AG$2:AG996),$AG$2:$AG$1001,0),1)&gt;=100000,INDEX($AN$1005:$BO$1005,1,MATCH(COLUMNS($AN$1006:AY1006),$AN$1006:$BO$1006,0))&gt;=100000), " ",IF(INDEX($AN$2:$BO$1001,MATCH(ROWS($AG$2:AG996),$AG$2:$AG$1001,0),MATCH(COLUMNS($AN$1006:AY1006),$AN$1006:$BO$1006,0)), HYPERLINK("#",""), HYPERLINK(CONCATENATE("#Metadata!", ADDRESS(INDEX($AI$2:$AI$1001,MATCH(ROWS($AG$2:AG996),$AG$2:$AG$1001,0),0), INDEX($AN$1004:$BO$1004,1,MATCH(COLUMNS($AN$1006:AY1006),$AN$1006:$BO$1006,0)))),"Fix")))</f>
        <v>0</v>
      </c>
      <c r="N996" s="4">
        <f>IF(OR(INDEX($AH$2:$AH$1001,MATCH(ROWS($AG$2:AG996),$AG$2:$AG$1001,0),1)&gt;=100000,INDEX($AN$1005:$BO$1005,1,MATCH(COLUMNS($AN$1006:AZ1006),$AN$1006:$BO$1006,0))&gt;=100000), " ",IF(INDEX($AN$2:$BO$1001,MATCH(ROWS($AG$2:AG996),$AG$2:$AG$1001,0),MATCH(COLUMNS($AN$1006:AZ1006),$AN$1006:$BO$1006,0)), HYPERLINK("#",""), HYPERLINK(CONCATENATE("#Metadata!", ADDRESS(INDEX($AI$2:$AI$1001,MATCH(ROWS($AG$2:AG996),$AG$2:$AG$1001,0),0), INDEX($AN$1004:$BO$1004,1,MATCH(COLUMNS($AN$1006:AZ1006),$AN$1006:$BO$1006,0)))),"Fix")))</f>
        <v>0</v>
      </c>
      <c r="O996" s="4">
        <f>IF(OR(INDEX($AH$2:$AH$1001,MATCH(ROWS($AG$2:AG996),$AG$2:$AG$1001,0),1)&gt;=100000,INDEX($AN$1005:$BO$1005,1,MATCH(COLUMNS($AN$1006:BA1006),$AN$1006:$BO$1006,0))&gt;=100000), " ",IF(INDEX($AN$2:$BO$1001,MATCH(ROWS($AG$2:AG996),$AG$2:$AG$1001,0),MATCH(COLUMNS($AN$1006:BA1006),$AN$1006:$BO$1006,0)), HYPERLINK("#",""), HYPERLINK(CONCATENATE("#Metadata!", ADDRESS(INDEX($AI$2:$AI$1001,MATCH(ROWS($AG$2:AG996),$AG$2:$AG$1001,0),0), INDEX($AN$1004:$BO$1004,1,MATCH(COLUMNS($AN$1006:BA1006),$AN$1006:$BO$1006,0)))),"Fix")))</f>
        <v>0</v>
      </c>
      <c r="P996" s="4">
        <f>IF(OR(INDEX($AH$2:$AH$1001,MATCH(ROWS($AG$2:AG996),$AG$2:$AG$1001,0),1)&gt;=100000,INDEX($AN$1005:$BO$1005,1,MATCH(COLUMNS($AN$1006:BB1006),$AN$1006:$BO$1006,0))&gt;=100000), " ",IF(INDEX($AN$2:$BO$1001,MATCH(ROWS($AG$2:AG996),$AG$2:$AG$1001,0),MATCH(COLUMNS($AN$1006:BB1006),$AN$1006:$BO$1006,0)), HYPERLINK("#",""), HYPERLINK(CONCATENATE("#Metadata!", ADDRESS(INDEX($AI$2:$AI$1001,MATCH(ROWS($AG$2:AG996),$AG$2:$AG$1001,0),0), INDEX($AN$1004:$BO$1004,1,MATCH(COLUMNS($AN$1006:BB1006),$AN$1006:$BO$1006,0)))),"Fix")))</f>
        <v>0</v>
      </c>
      <c r="Q996" s="4">
        <f>IF(OR(INDEX($AH$2:$AH$1001,MATCH(ROWS($AG$2:AG996),$AG$2:$AG$1001,0),1)&gt;=100000,INDEX($AN$1005:$BO$1005,1,MATCH(COLUMNS($AN$1006:BC1006),$AN$1006:$BO$1006,0))&gt;=100000), " ",IF(INDEX($AN$2:$BO$1001,MATCH(ROWS($AG$2:AG996),$AG$2:$AG$1001,0),MATCH(COLUMNS($AN$1006:BC1006),$AN$1006:$BO$1006,0)), HYPERLINK("#",""), HYPERLINK(CONCATENATE("#Metadata!", ADDRESS(INDEX($AI$2:$AI$1001,MATCH(ROWS($AG$2:AG996),$AG$2:$AG$1001,0),0), INDEX($AN$1004:$BO$1004,1,MATCH(COLUMNS($AN$1006:BC1006),$AN$1006:$BO$1006,0)))),"Fix")))</f>
        <v>0</v>
      </c>
      <c r="R996" s="4">
        <f>IF(OR(INDEX($AH$2:$AH$1001,MATCH(ROWS($AG$2:AG996),$AG$2:$AG$1001,0),1)&gt;=100000,INDEX($AN$1005:$BO$1005,1,MATCH(COLUMNS($AN$1006:BD1006),$AN$1006:$BO$1006,0))&gt;=100000), " ",IF(INDEX($AN$2:$BO$1001,MATCH(ROWS($AG$2:AG996),$AG$2:$AG$1001,0),MATCH(COLUMNS($AN$1006:BD1006),$AN$1006:$BO$1006,0)), HYPERLINK("#",""), HYPERLINK(CONCATENATE("#Metadata!", ADDRESS(INDEX($AI$2:$AI$1001,MATCH(ROWS($AG$2:AG996),$AG$2:$AG$1001,0),0), INDEX($AN$1004:$BO$1004,1,MATCH(COLUMNS($AN$1006:BD1006),$AN$1006:$BO$1006,0)))),"Fix")))</f>
        <v>0</v>
      </c>
      <c r="S996" s="4">
        <f>IF(OR(INDEX($AH$2:$AH$1001,MATCH(ROWS($AG$2:AG996),$AG$2:$AG$1001,0),1)&gt;=100000,INDEX($AN$1005:$BO$1005,1,MATCH(COLUMNS($AN$1006:BE1006),$AN$1006:$BO$1006,0))&gt;=100000), " ",IF(INDEX($AN$2:$BO$1001,MATCH(ROWS($AG$2:AG996),$AG$2:$AG$1001,0),MATCH(COLUMNS($AN$1006:BE1006),$AN$1006:$BO$1006,0)), HYPERLINK("#",""), HYPERLINK(CONCATENATE("#Metadata!", ADDRESS(INDEX($AI$2:$AI$1001,MATCH(ROWS($AG$2:AG996),$AG$2:$AG$1001,0),0), INDEX($AN$1004:$BO$1004,1,MATCH(COLUMNS($AN$1006:BE1006),$AN$1006:$BO$1006,0)))),"Fix")))</f>
        <v>0</v>
      </c>
      <c r="T996" s="4">
        <f>IF(OR(INDEX($AH$2:$AH$1001,MATCH(ROWS($AG$2:AG996),$AG$2:$AG$1001,0),1)&gt;=100000,INDEX($AN$1005:$BO$1005,1,MATCH(COLUMNS($AN$1006:BF1006),$AN$1006:$BO$1006,0))&gt;=100000), " ",IF(INDEX($AN$2:$BO$1001,MATCH(ROWS($AG$2:AG996),$AG$2:$AG$1001,0),MATCH(COLUMNS($AN$1006:BF1006),$AN$1006:$BO$1006,0)), HYPERLINK("#",""), HYPERLINK(CONCATENATE("#Metadata!", ADDRESS(INDEX($AI$2:$AI$1001,MATCH(ROWS($AG$2:AG996),$AG$2:$AG$1001,0),0), INDEX($AN$1004:$BO$1004,1,MATCH(COLUMNS($AN$1006:BF1006),$AN$1006:$BO$1006,0)))),"Fix")))</f>
        <v>0</v>
      </c>
      <c r="U996" s="4">
        <f>IF(OR(INDEX($AH$2:$AH$1001,MATCH(ROWS($AG$2:AG996),$AG$2:$AG$1001,0),1)&gt;=100000,INDEX($AN$1005:$BO$1005,1,MATCH(COLUMNS($AN$1006:BG1006),$AN$1006:$BO$1006,0))&gt;=100000), " ",IF(INDEX($AN$2:$BO$1001,MATCH(ROWS($AG$2:AG996),$AG$2:$AG$1001,0),MATCH(COLUMNS($AN$1006:BG1006),$AN$1006:$BO$1006,0)), HYPERLINK("#",""), HYPERLINK(CONCATENATE("#Metadata!", ADDRESS(INDEX($AI$2:$AI$1001,MATCH(ROWS($AG$2:AG996),$AG$2:$AG$1001,0),0), INDEX($AN$1004:$BO$1004,1,MATCH(COLUMNS($AN$1006:BG1006),$AN$1006:$BO$1006,0)))),"Fix")))</f>
        <v>0</v>
      </c>
      <c r="V996" s="4">
        <f>IF(OR(INDEX($AH$2:$AH$1001,MATCH(ROWS($AG$2:AG996),$AG$2:$AG$1001,0),1)&gt;=100000,INDEX($AN$1005:$BO$1005,1,MATCH(COLUMNS($AN$1006:BH1006),$AN$1006:$BO$1006,0))&gt;=100000), " ",IF(INDEX($AN$2:$BO$1001,MATCH(ROWS($AG$2:AG996),$AG$2:$AG$1001,0),MATCH(COLUMNS($AN$1006:BH1006),$AN$1006:$BO$1006,0)), HYPERLINK("#",""), HYPERLINK(CONCATENATE("#Metadata!", ADDRESS(INDEX($AI$2:$AI$1001,MATCH(ROWS($AG$2:AG996),$AG$2:$AG$1001,0),0), INDEX($AN$1004:$BO$1004,1,MATCH(COLUMNS($AN$1006:BH1006),$AN$1006:$BO$1006,0)))),"Fix")))</f>
        <v>0</v>
      </c>
      <c r="W996" s="4">
        <f>IF(OR(INDEX($AH$2:$AH$1001,MATCH(ROWS($AG$2:AG996),$AG$2:$AG$1001,0),1)&gt;=100000,INDEX($AN$1005:$BO$1005,1,MATCH(COLUMNS($AN$1006:BI1006),$AN$1006:$BO$1006,0))&gt;=100000), " ",IF(INDEX($AN$2:$BO$1001,MATCH(ROWS($AG$2:AG996),$AG$2:$AG$1001,0),MATCH(COLUMNS($AN$1006:BI1006),$AN$1006:$BO$1006,0)), HYPERLINK("#",""), HYPERLINK(CONCATENATE("#Metadata!", ADDRESS(INDEX($AI$2:$AI$1001,MATCH(ROWS($AG$2:AG996),$AG$2:$AG$1001,0),0), INDEX($AN$1004:$BO$1004,1,MATCH(COLUMNS($AN$1006:BI1006),$AN$1006:$BO$1006,0)))),"Fix")))</f>
        <v>0</v>
      </c>
      <c r="X996" s="4">
        <f>IF(OR(INDEX($AH$2:$AH$1001,MATCH(ROWS($AG$2:AG996),$AG$2:$AG$1001,0),1)&gt;=100000,INDEX($AN$1005:$BO$1005,1,MATCH(COLUMNS($AN$1006:BJ1006),$AN$1006:$BO$1006,0))&gt;=100000), " ",IF(INDEX($AN$2:$BO$1001,MATCH(ROWS($AG$2:AG996),$AG$2:$AG$1001,0),MATCH(COLUMNS($AN$1006:BJ1006),$AN$1006:$BO$1006,0)), HYPERLINK("#",""), HYPERLINK(CONCATENATE("#Metadata!", ADDRESS(INDEX($AI$2:$AI$1001,MATCH(ROWS($AG$2:AG996),$AG$2:$AG$1001,0),0), INDEX($AN$1004:$BO$1004,1,MATCH(COLUMNS($AN$1006:BJ1006),$AN$1006:$BO$1006,0)))),"Fix")))</f>
        <v>0</v>
      </c>
      <c r="Y996" s="4">
        <f>IF(OR(INDEX($AH$2:$AH$1001,MATCH(ROWS($AG$2:AG996),$AG$2:$AG$1001,0),1)&gt;=100000,INDEX($AN$1005:$BO$1005,1,MATCH(COLUMNS($AN$1006:BK1006),$AN$1006:$BO$1006,0))&gt;=100000), " ",IF(INDEX($AN$2:$BO$1001,MATCH(ROWS($AG$2:AG996),$AG$2:$AG$1001,0),MATCH(COLUMNS($AN$1006:BK1006),$AN$1006:$BO$1006,0)), HYPERLINK("#",""), HYPERLINK(CONCATENATE("#Metadata!", ADDRESS(INDEX($AI$2:$AI$1001,MATCH(ROWS($AG$2:AG996),$AG$2:$AG$1001,0),0), INDEX($AN$1004:$BO$1004,1,MATCH(COLUMNS($AN$1006:BK1006),$AN$1006:$BO$1006,0)))),"Fix")))</f>
        <v>0</v>
      </c>
      <c r="Z996" s="4">
        <f>IF(OR(INDEX($AH$2:$AH$1001,MATCH(ROWS($AG$2:AG996),$AG$2:$AG$1001,0),1)&gt;=100000,INDEX($AN$1005:$BO$1005,1,MATCH(COLUMNS($AN$1006:BL1006),$AN$1006:$BO$1006,0))&gt;=100000), " ",IF(INDEX($AN$2:$BO$1001,MATCH(ROWS($AG$2:AG996),$AG$2:$AG$1001,0),MATCH(COLUMNS($AN$1006:BL1006),$AN$1006:$BO$1006,0)), HYPERLINK("#",""), HYPERLINK(CONCATENATE("#Metadata!", ADDRESS(INDEX($AI$2:$AI$1001,MATCH(ROWS($AG$2:AG996),$AG$2:$AG$1001,0),0), INDEX($AN$1004:$BO$1004,1,MATCH(COLUMNS($AN$1006:BL1006),$AN$1006:$BO$1006,0)))),"Fix")))</f>
        <v>0</v>
      </c>
      <c r="AA996" s="4">
        <f>IF(OR(INDEX($AH$2:$AH$1001,MATCH(ROWS($AG$2:AG996),$AG$2:$AG$1001,0),1)&gt;=100000,INDEX($AN$1005:$BO$1005,1,MATCH(COLUMNS($AN$1006:BM1006),$AN$1006:$BO$1006,0))&gt;=100000), " ",IF(INDEX($AN$2:$BO$1001,MATCH(ROWS($AG$2:AG996),$AG$2:$AG$1001,0),MATCH(COLUMNS($AN$1006:BM1006),$AN$1006:$BO$1006,0)), HYPERLINK("#",""), HYPERLINK(CONCATENATE("#Metadata!", ADDRESS(INDEX($AI$2:$AI$1001,MATCH(ROWS($AG$2:AG996),$AG$2:$AG$1001,0),0), INDEX($AN$1004:$BO$1004,1,MATCH(COLUMNS($AN$1006:BM1006),$AN$1006:$BO$1006,0)))),"Fix")))</f>
        <v>0</v>
      </c>
      <c r="AB996" s="4">
        <f>IF(OR(INDEX($AH$2:$AH$1001,MATCH(ROWS($AG$2:AG996),$AG$2:$AG$1001,0),1)&gt;=100000,INDEX($AN$1005:$BO$1005,1,MATCH(COLUMNS($AN$1006:BN1006),$AN$1006:$BO$1006,0))&gt;=100000), " ",IF(INDEX($AN$2:$BO$1001,MATCH(ROWS($AG$2:AG996),$AG$2:$AG$1001,0),MATCH(COLUMNS($AN$1006:BN1006),$AN$1006:$BO$1006,0)), HYPERLINK("#",""), HYPERLINK(CONCATENATE("#Metadata!", ADDRESS(INDEX($AI$2:$AI$1001,MATCH(ROWS($AG$2:AG996),$AG$2:$AG$1001,0),0), INDEX($AN$1004:$BO$1004,1,MATCH(COLUMNS($AN$1006:BN1006),$AN$1006:$BO$1006,0)))),"Fix")))</f>
        <v>0</v>
      </c>
      <c r="AC996" s="4">
        <f>IF(OR(INDEX($AH$2:$AH$1001,MATCH(ROWS($AG$2:AG996),$AG$2:$AG$1001,0),1)&gt;=100000,INDEX($AN$1005:$BO$1005,1,MATCH(COLUMNS($AN$1006:BO1006),$AN$1006:$BO$1006,0))&gt;=100000), " ",IF(INDEX($AN$2:$BO$1001,MATCH(ROWS($AG$2:AG996),$AG$2:$AG$1001,0),MATCH(COLUMNS($AN$1006:BO1006),$AN$1006:$BO$1006,0)), HYPERLINK("#",""), HYPERLINK(CONCATENATE("#Metadata!", ADDRESS(INDEX($AI$2:$AI$1001,MATCH(ROWS($AG$2:AG996),$AG$2:$AG$1001,0),0), INDEX($AN$1004:$BO$1004,1,MATCH(COLUMNS($AN$1006:BO1006),$AN$1006:$BO$1006,0)))),"Fix")))</f>
        <v>0</v>
      </c>
      <c r="AG996">
        <v>0</v>
      </c>
      <c r="AH996">
        <v>0</v>
      </c>
      <c r="AI996">
        <v>0</v>
      </c>
      <c r="AJ996">
        <f>IF(AK996,TRUE,AND(AN996:BO996))</f>
        <v>0</v>
      </c>
      <c r="AK996">
        <f>COUNTBLANK(Metadata!B996:AC996)=COLUMNS(Metadata!B996:AC996)</f>
        <v>0</v>
      </c>
      <c r="AL996">
        <v>0</v>
      </c>
      <c r="AN996">
        <f>AND(IF(Metadata!B996="",FALSE,TRUE),COUNTIF(Metadata!B:B, Metadata!B996) = 1,NOT(ISERROR(SUMPRODUCT(SEARCH(MID(Metadata!B996,ROW(INDIRECT("1:"&amp;LEN(Metadata!B996))), 1),"0123456789abcdefghijklmnopqrstuvwxyzABCDEFGHIJKLMNOPQRSTUVWXYZ.")))))</f>
        <v>0</v>
      </c>
      <c r="AO996">
        <f>IF(Metadata!C996="",FALSE,TRUE)</f>
        <v>0</v>
      </c>
      <c r="AP996">
        <f>IF(Metadata!D996="",FALSE,TRUE)</f>
        <v>0</v>
      </c>
      <c r="AQ996">
        <f>OR(AND(IF(Metadata!E996="",FALSE,TRUE),OR(exact(Metadata!E996,"not collected"),exact(Metadata!E996,"not provided"),exact(Metadata!E996,"restricted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R996">
        <f>IF(Metadata!F996="",FALSE,TRUE)</f>
        <v>0</v>
      </c>
      <c r="AS996">
        <f>OR(AND(IF(Metadata!G996="",FALSE,TRUE),OR(exact(Metadata!G996,"not collected"),exact(Metadata!G996,"not provided"))),AND(IF(Metadata!G996="",FALSE,TRUE),OR(exact(Metadata!G996,"TRUE"),exact(Metadata!G996,"FALSE"))))</f>
        <v>0</v>
      </c>
      <c r="AT996">
        <f>OR(AND(IF(Metadata!H996="",FALSE,TRUE),OR(exact(Metadata!H996,"not collected"),exact(Metadata!H996,"not provided"),exact(Metadata!H996,"restricted access"))),AND(IF(Metadata!H996="",FALSE,ISNUMBER(VALUE(Metadata!H996))),Metadata!H996&gt;=-413.0))</f>
        <v>0</v>
      </c>
      <c r="AU996">
        <f>AND(IF(Metadata!I996="",FALSE,TRUE),exact(Metadata!I996,"meters"))</f>
        <v>0</v>
      </c>
      <c r="AV996">
        <f>AND(IF(Metadata!J996="",FALSE,TRUE),OR(exact(Metadata!J996,"Host-associated"),exact(Metadata!J996,"Free-living")))</f>
        <v>0</v>
      </c>
      <c r="AW996">
        <f>AND(IF(Metadata!K996="",FALSE,TRUE),OR(exact(Metadata!K996,"Animal"),exact(Metadata!K996,"Fungus"),exact(Metadata!K996,"Plant"),exact(Metadata!K996,"Saline"),exact(Metadata!K996,"Non-saline")))</f>
        <v>0</v>
      </c>
      <c r="AX996">
        <f>AND(IF(Metadata!L996="",FALSE,TRUE),OR(exact(Metadata!L996,"Plant secretion"),exact(Metadata!L996,"Plant rhizosphere"),exact(Metadata!L996,"Plant surface"),exact(Metadata!L996,"Plant corpus"),exact(Metadata!L996,"Fungus surface"),exact(Metadata!L996,"Fungus corpus"),exact(Metadata!L996,"Animal surface"),exact(Metadata!L996,"Animal proximal gut"),exact(Metadata!L996,"Animal corpus"),exact(Metadata!L996,"Animal distal gut"),exact(Metadata!L996,"Animal secretion"),exact(Metadata!L996,"Sub-surface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Y996">
        <f>IF(Metadata!M996="",FALSE,TRUE)</f>
        <v>0</v>
      </c>
      <c r="AZ996">
        <f>IF(Metadata!N996="",FALSE,TRUE)</f>
        <v>0</v>
      </c>
      <c r="BA996">
        <f>IF(Metadata!O996="",FALSE,TRUE)</f>
        <v>0</v>
      </c>
      <c r="BB996">
        <f>OR(AND(IF(Metadata!P996="",FALSE,TRUE),OR(exact(Metadata!P996,"not collected"),exact(Metadata!P996,"not provided"),exact(Metadata!P996,"restricted access"))),AND(IF(Metadata!P996="",FALSE,TRUE),OR(exact(Metadata!P996,"air"),exact(Metadata!P996,"built environment"),exact(Metadata!P996,"host-associated"),exact(Metadata!P996,"human-associated"),exact(Metadata!P996,"human-skin"),exact(Metadata!P996,"human-oral"),exact(Metadata!P996,"human-gut"),exact(Metadata!P996,"human-vaginal"),exact(Metadata!P996,"microbial mat/biofilm"),exact(Metadata!P996,"misc environment"),exact(Metadata!P996,"plant-associated"),exact(Metadata!P996,"sediment"),exact(Metadata!P996,"soil"),exact(Metadata!P996,"wastewater/sludge"),exact(Metadata!P996,"water"))))</f>
        <v>0</v>
      </c>
      <c r="BC996">
        <f>IF(Metadata!Q996="",FALSE,TRUE)</f>
        <v>0</v>
      </c>
      <c r="BD996">
        <f>IF(Metadata!R996="",FALSE,TRUE)</f>
        <v>0</v>
      </c>
      <c r="BE996">
        <f>OR(AND(IF(Metadata!S996="",FALSE,TRUE),OR(exact(Metadata!S996,"not collected"),exact(Metadata!S996,"not provided"),exact(Metadata!S996,"restricted access"))),AND(IF(Metadata!S996="",FALSE,ISNUMBER(VALUE(Metadata!S996))),Metadata!S996&gt;=-90.00,Metadata!S996&lt;=90.00))</f>
        <v>0</v>
      </c>
      <c r="BF996">
        <f>AND(IF(Metadata!T996="",FALSE,TRUE),exact(Metadata!T996,"Decimal degrees"))</f>
        <v>0</v>
      </c>
      <c r="BG996">
        <f>OR(AND(IF(Metadata!U996="",FALSE,TRUE),OR(exact(Metadata!U996,"not collected"),exact(Metadata!U996,"not provided"),exact(Metadata!U996,"restricted access"))),AND(IF(Metadata!U996="",FALSE,ISNUMBER(VALUE(Metadata!U996))),Metadata!U996&gt;=-180.00,Metadata!U996&lt;=180.00))</f>
        <v>0</v>
      </c>
      <c r="BH996">
        <f>AND(IF(Metadata!V996="",FALSE,TRUE),exact(Metadata!V996,"Decimal degrees"))</f>
        <v>0</v>
      </c>
      <c r="BI996">
        <f>IF(Metadata!W996="",FALSE,TRUE)</f>
        <v>0</v>
      </c>
      <c r="BJ996">
        <f>OR(AND(IF(Metadata!X996="",FALSE,TRUE),OR(exact(Metadata!X996,"not collected"),exact(Metadata!X996,"not provided"),exact(Metadata!X996,"restricted access"))),AND(IF(Metadata!X996="",FALSE,TRUE),OR(exact(Metadata!X996,"TRUE"),exact(Metadata!X996,"FALSE"))))</f>
        <v>0</v>
      </c>
      <c r="BK996">
        <f>AND(IF(Metadata!Y996="",FALSE,TRUE),exact(Metadata!Y996,"other"))</f>
        <v>0</v>
      </c>
      <c r="BL996">
        <f>IF(Metadata!Z996="",FALSE,TRUE)</f>
        <v>0</v>
      </c>
      <c r="BM996">
        <f>OR(AND(IF(Metadata!AA996="",FALSE,TRUE),OR(exact(Metadata!AA996,"not collected"),exact(Metadata!AA996,"not provided"))),AND(IF(Metadata!AA996="",FALSE,IF(ISERROR(INT(Metadata!AA996)),FALSE,INT(Metadata!AA996)=Metadata!AA996)),Metadata!AA996&gt;0))</f>
        <v>0</v>
      </c>
      <c r="BN996">
        <f>AND(IF(Metadata!AB996="",FALSE,TRUE),exact(Metadata!AB996,"Not applicable"))</f>
        <v>0</v>
      </c>
      <c r="BO996">
        <f>IF(Metadata!AC996="",FALSE,TRUE)</f>
        <v>0</v>
      </c>
    </row>
    <row r="997" spans="1:67">
      <c r="A997" s="5">
        <f>IF(B997=" "," ",HYPERLINK(CONCATENATE("#metadata!",ADDRESS(INDEX($AI$2:$AI$1001,MATCH(ROWS($AG$2:AG997),$AG$2:$AG$1001,0),0),1)),INDEX($AL$2:$AL$1001,MATCH(ROWS($AG$2:AG997),$AG$2:$AG$1001,0),0)))</f>
        <v>0</v>
      </c>
      <c r="B997" s="4">
        <f>IF(OR(INDEX($AH$2:$AH$1001,MATCH(ROWS($AG$2:AG997),$AG$2:$AG$1001,0),1)&gt;=100000,INDEX($AN$1005:$BO$1005,1,MATCH(COLUMNS($AN$1006:AN1006),$AN$1006:$BO$1006,0))&gt;=100000), " ",IF(INDEX($AN$2:$BO$1001,MATCH(ROWS($AG$2:AG997),$AG$2:$AG$1001,0),MATCH(COLUMNS($AN$1006:AN1006),$AN$1006:$BO$1006,0)), HYPERLINK("#",""), HYPERLINK(CONCATENATE("#Metadata!", ADDRESS(INDEX($AI$2:$AI$1001,MATCH(ROWS($AG$2:AG997),$AG$2:$AG$1001,0),0), INDEX($AN$1004:$BO$1004,1,MATCH(COLUMNS($AN$1006:AN1006),$AN$1006:$BO$1006,0)))),"Fix")))</f>
        <v>0</v>
      </c>
      <c r="C997" s="4">
        <f>IF(OR(INDEX($AH$2:$AH$1001,MATCH(ROWS($AG$2:AG997),$AG$2:$AG$1001,0),1)&gt;=100000,INDEX($AN$1005:$BO$1005,1,MATCH(COLUMNS($AN$1006:AO1006),$AN$1006:$BO$1006,0))&gt;=100000), " ",IF(INDEX($AN$2:$BO$1001,MATCH(ROWS($AG$2:AG997),$AG$2:$AG$1001,0),MATCH(COLUMNS($AN$1006:AO1006),$AN$1006:$BO$1006,0)), HYPERLINK("#",""), HYPERLINK(CONCATENATE("#Metadata!", ADDRESS(INDEX($AI$2:$AI$1001,MATCH(ROWS($AG$2:AG997),$AG$2:$AG$1001,0),0), INDEX($AN$1004:$BO$1004,1,MATCH(COLUMNS($AN$1006:AO1006),$AN$1006:$BO$1006,0)))),"Fix")))</f>
        <v>0</v>
      </c>
      <c r="D997" s="4">
        <f>IF(OR(INDEX($AH$2:$AH$1001,MATCH(ROWS($AG$2:AG997),$AG$2:$AG$1001,0),1)&gt;=100000,INDEX($AN$1005:$BO$1005,1,MATCH(COLUMNS($AN$1006:AP1006),$AN$1006:$BO$1006,0))&gt;=100000), " ",IF(INDEX($AN$2:$BO$1001,MATCH(ROWS($AG$2:AG997),$AG$2:$AG$1001,0),MATCH(COLUMNS($AN$1006:AP1006),$AN$1006:$BO$1006,0)), HYPERLINK("#",""), HYPERLINK(CONCATENATE("#Metadata!", ADDRESS(INDEX($AI$2:$AI$1001,MATCH(ROWS($AG$2:AG997),$AG$2:$AG$1001,0),0), INDEX($AN$1004:$BO$1004,1,MATCH(COLUMNS($AN$1006:AP1006),$AN$1006:$BO$1006,0)))),"Fix")))</f>
        <v>0</v>
      </c>
      <c r="E997" s="4">
        <f>IF(OR(INDEX($AH$2:$AH$1001,MATCH(ROWS($AG$2:AG997),$AG$2:$AG$1001,0),1)&gt;=100000,INDEX($AN$1005:$BO$1005,1,MATCH(COLUMNS($AN$1006:AQ1006),$AN$1006:$BO$1006,0))&gt;=100000), " ",IF(INDEX($AN$2:$BO$1001,MATCH(ROWS($AG$2:AG997),$AG$2:$AG$1001,0),MATCH(COLUMNS($AN$1006:AQ1006),$AN$1006:$BO$1006,0)), HYPERLINK("#",""), HYPERLINK(CONCATENATE("#Metadata!", ADDRESS(INDEX($AI$2:$AI$1001,MATCH(ROWS($AG$2:AG997),$AG$2:$AG$1001,0),0), INDEX($AN$1004:$BO$1004,1,MATCH(COLUMNS($AN$1006:AQ1006),$AN$1006:$BO$1006,0)))),"Fix")))</f>
        <v>0</v>
      </c>
      <c r="F997" s="4">
        <f>IF(OR(INDEX($AH$2:$AH$1001,MATCH(ROWS($AG$2:AG997),$AG$2:$AG$1001,0),1)&gt;=100000,INDEX($AN$1005:$BO$1005,1,MATCH(COLUMNS($AN$1006:AR1006),$AN$1006:$BO$1006,0))&gt;=100000), " ",IF(INDEX($AN$2:$BO$1001,MATCH(ROWS($AG$2:AG997),$AG$2:$AG$1001,0),MATCH(COLUMNS($AN$1006:AR1006),$AN$1006:$BO$1006,0)), HYPERLINK("#",""), HYPERLINK(CONCATENATE("#Metadata!", ADDRESS(INDEX($AI$2:$AI$1001,MATCH(ROWS($AG$2:AG997),$AG$2:$AG$1001,0),0), INDEX($AN$1004:$BO$1004,1,MATCH(COLUMNS($AN$1006:AR1006),$AN$1006:$BO$1006,0)))),"Fix")))</f>
        <v>0</v>
      </c>
      <c r="G997" s="4">
        <f>IF(OR(INDEX($AH$2:$AH$1001,MATCH(ROWS($AG$2:AG997),$AG$2:$AG$1001,0),1)&gt;=100000,INDEX($AN$1005:$BO$1005,1,MATCH(COLUMNS($AN$1006:AS1006),$AN$1006:$BO$1006,0))&gt;=100000), " ",IF(INDEX($AN$2:$BO$1001,MATCH(ROWS($AG$2:AG997),$AG$2:$AG$1001,0),MATCH(COLUMNS($AN$1006:AS1006),$AN$1006:$BO$1006,0)), HYPERLINK("#",""), HYPERLINK(CONCATENATE("#Metadata!", ADDRESS(INDEX($AI$2:$AI$1001,MATCH(ROWS($AG$2:AG997),$AG$2:$AG$1001,0),0), INDEX($AN$1004:$BO$1004,1,MATCH(COLUMNS($AN$1006:AS1006),$AN$1006:$BO$1006,0)))),"Fix")))</f>
        <v>0</v>
      </c>
      <c r="H997" s="4">
        <f>IF(OR(INDEX($AH$2:$AH$1001,MATCH(ROWS($AG$2:AG997),$AG$2:$AG$1001,0),1)&gt;=100000,INDEX($AN$1005:$BO$1005,1,MATCH(COLUMNS($AN$1006:AT1006),$AN$1006:$BO$1006,0))&gt;=100000), " ",IF(INDEX($AN$2:$BO$1001,MATCH(ROWS($AG$2:AG997),$AG$2:$AG$1001,0),MATCH(COLUMNS($AN$1006:AT1006),$AN$1006:$BO$1006,0)), HYPERLINK("#",""), HYPERLINK(CONCATENATE("#Metadata!", ADDRESS(INDEX($AI$2:$AI$1001,MATCH(ROWS($AG$2:AG997),$AG$2:$AG$1001,0),0), INDEX($AN$1004:$BO$1004,1,MATCH(COLUMNS($AN$1006:AT1006),$AN$1006:$BO$1006,0)))),"Fix")))</f>
        <v>0</v>
      </c>
      <c r="I997" s="4">
        <f>IF(OR(INDEX($AH$2:$AH$1001,MATCH(ROWS($AG$2:AG997),$AG$2:$AG$1001,0),1)&gt;=100000,INDEX($AN$1005:$BO$1005,1,MATCH(COLUMNS($AN$1006:AU1006),$AN$1006:$BO$1006,0))&gt;=100000), " ",IF(INDEX($AN$2:$BO$1001,MATCH(ROWS($AG$2:AG997),$AG$2:$AG$1001,0),MATCH(COLUMNS($AN$1006:AU1006),$AN$1006:$BO$1006,0)), HYPERLINK("#",""), HYPERLINK(CONCATENATE("#Metadata!", ADDRESS(INDEX($AI$2:$AI$1001,MATCH(ROWS($AG$2:AG997),$AG$2:$AG$1001,0),0), INDEX($AN$1004:$BO$1004,1,MATCH(COLUMNS($AN$1006:AU1006),$AN$1006:$BO$1006,0)))),"Fix")))</f>
        <v>0</v>
      </c>
      <c r="J997" s="4">
        <f>IF(OR(INDEX($AH$2:$AH$1001,MATCH(ROWS($AG$2:AG997),$AG$2:$AG$1001,0),1)&gt;=100000,INDEX($AN$1005:$BO$1005,1,MATCH(COLUMNS($AN$1006:AV1006),$AN$1006:$BO$1006,0))&gt;=100000), " ",IF(INDEX($AN$2:$BO$1001,MATCH(ROWS($AG$2:AG997),$AG$2:$AG$1001,0),MATCH(COLUMNS($AN$1006:AV1006),$AN$1006:$BO$1006,0)), HYPERLINK("#",""), HYPERLINK(CONCATENATE("#Metadata!", ADDRESS(INDEX($AI$2:$AI$1001,MATCH(ROWS($AG$2:AG997),$AG$2:$AG$1001,0),0), INDEX($AN$1004:$BO$1004,1,MATCH(COLUMNS($AN$1006:AV1006),$AN$1006:$BO$1006,0)))),"Fix")))</f>
        <v>0</v>
      </c>
      <c r="K997" s="4">
        <f>IF(OR(INDEX($AH$2:$AH$1001,MATCH(ROWS($AG$2:AG997),$AG$2:$AG$1001,0),1)&gt;=100000,INDEX($AN$1005:$BO$1005,1,MATCH(COLUMNS($AN$1006:AW1006),$AN$1006:$BO$1006,0))&gt;=100000), " ",IF(INDEX($AN$2:$BO$1001,MATCH(ROWS($AG$2:AG997),$AG$2:$AG$1001,0),MATCH(COLUMNS($AN$1006:AW1006),$AN$1006:$BO$1006,0)), HYPERLINK("#",""), HYPERLINK(CONCATENATE("#Metadata!", ADDRESS(INDEX($AI$2:$AI$1001,MATCH(ROWS($AG$2:AG997),$AG$2:$AG$1001,0),0), INDEX($AN$1004:$BO$1004,1,MATCH(COLUMNS($AN$1006:AW1006),$AN$1006:$BO$1006,0)))),"Fix")))</f>
        <v>0</v>
      </c>
      <c r="L997" s="4">
        <f>IF(OR(INDEX($AH$2:$AH$1001,MATCH(ROWS($AG$2:AG997),$AG$2:$AG$1001,0),1)&gt;=100000,INDEX($AN$1005:$BO$1005,1,MATCH(COLUMNS($AN$1006:AX1006),$AN$1006:$BO$1006,0))&gt;=100000), " ",IF(INDEX($AN$2:$BO$1001,MATCH(ROWS($AG$2:AG997),$AG$2:$AG$1001,0),MATCH(COLUMNS($AN$1006:AX1006),$AN$1006:$BO$1006,0)), HYPERLINK("#",""), HYPERLINK(CONCATENATE("#Metadata!", ADDRESS(INDEX($AI$2:$AI$1001,MATCH(ROWS($AG$2:AG997),$AG$2:$AG$1001,0),0), INDEX($AN$1004:$BO$1004,1,MATCH(COLUMNS($AN$1006:AX1006),$AN$1006:$BO$1006,0)))),"Fix")))</f>
        <v>0</v>
      </c>
      <c r="M997" s="4">
        <f>IF(OR(INDEX($AH$2:$AH$1001,MATCH(ROWS($AG$2:AG997),$AG$2:$AG$1001,0),1)&gt;=100000,INDEX($AN$1005:$BO$1005,1,MATCH(COLUMNS($AN$1006:AY1006),$AN$1006:$BO$1006,0))&gt;=100000), " ",IF(INDEX($AN$2:$BO$1001,MATCH(ROWS($AG$2:AG997),$AG$2:$AG$1001,0),MATCH(COLUMNS($AN$1006:AY1006),$AN$1006:$BO$1006,0)), HYPERLINK("#",""), HYPERLINK(CONCATENATE("#Metadata!", ADDRESS(INDEX($AI$2:$AI$1001,MATCH(ROWS($AG$2:AG997),$AG$2:$AG$1001,0),0), INDEX($AN$1004:$BO$1004,1,MATCH(COLUMNS($AN$1006:AY1006),$AN$1006:$BO$1006,0)))),"Fix")))</f>
        <v>0</v>
      </c>
      <c r="N997" s="4">
        <f>IF(OR(INDEX($AH$2:$AH$1001,MATCH(ROWS($AG$2:AG997),$AG$2:$AG$1001,0),1)&gt;=100000,INDEX($AN$1005:$BO$1005,1,MATCH(COLUMNS($AN$1006:AZ1006),$AN$1006:$BO$1006,0))&gt;=100000), " ",IF(INDEX($AN$2:$BO$1001,MATCH(ROWS($AG$2:AG997),$AG$2:$AG$1001,0),MATCH(COLUMNS($AN$1006:AZ1006),$AN$1006:$BO$1006,0)), HYPERLINK("#",""), HYPERLINK(CONCATENATE("#Metadata!", ADDRESS(INDEX($AI$2:$AI$1001,MATCH(ROWS($AG$2:AG997),$AG$2:$AG$1001,0),0), INDEX($AN$1004:$BO$1004,1,MATCH(COLUMNS($AN$1006:AZ1006),$AN$1006:$BO$1006,0)))),"Fix")))</f>
        <v>0</v>
      </c>
      <c r="O997" s="4">
        <f>IF(OR(INDEX($AH$2:$AH$1001,MATCH(ROWS($AG$2:AG997),$AG$2:$AG$1001,0),1)&gt;=100000,INDEX($AN$1005:$BO$1005,1,MATCH(COLUMNS($AN$1006:BA1006),$AN$1006:$BO$1006,0))&gt;=100000), " ",IF(INDEX($AN$2:$BO$1001,MATCH(ROWS($AG$2:AG997),$AG$2:$AG$1001,0),MATCH(COLUMNS($AN$1006:BA1006),$AN$1006:$BO$1006,0)), HYPERLINK("#",""), HYPERLINK(CONCATENATE("#Metadata!", ADDRESS(INDEX($AI$2:$AI$1001,MATCH(ROWS($AG$2:AG997),$AG$2:$AG$1001,0),0), INDEX($AN$1004:$BO$1004,1,MATCH(COLUMNS($AN$1006:BA1006),$AN$1006:$BO$1006,0)))),"Fix")))</f>
        <v>0</v>
      </c>
      <c r="P997" s="4">
        <f>IF(OR(INDEX($AH$2:$AH$1001,MATCH(ROWS($AG$2:AG997),$AG$2:$AG$1001,0),1)&gt;=100000,INDEX($AN$1005:$BO$1005,1,MATCH(COLUMNS($AN$1006:BB1006),$AN$1006:$BO$1006,0))&gt;=100000), " ",IF(INDEX($AN$2:$BO$1001,MATCH(ROWS($AG$2:AG997),$AG$2:$AG$1001,0),MATCH(COLUMNS($AN$1006:BB1006),$AN$1006:$BO$1006,0)), HYPERLINK("#",""), HYPERLINK(CONCATENATE("#Metadata!", ADDRESS(INDEX($AI$2:$AI$1001,MATCH(ROWS($AG$2:AG997),$AG$2:$AG$1001,0),0), INDEX($AN$1004:$BO$1004,1,MATCH(COLUMNS($AN$1006:BB1006),$AN$1006:$BO$1006,0)))),"Fix")))</f>
        <v>0</v>
      </c>
      <c r="Q997" s="4">
        <f>IF(OR(INDEX($AH$2:$AH$1001,MATCH(ROWS($AG$2:AG997),$AG$2:$AG$1001,0),1)&gt;=100000,INDEX($AN$1005:$BO$1005,1,MATCH(COLUMNS($AN$1006:BC1006),$AN$1006:$BO$1006,0))&gt;=100000), " ",IF(INDEX($AN$2:$BO$1001,MATCH(ROWS($AG$2:AG997),$AG$2:$AG$1001,0),MATCH(COLUMNS($AN$1006:BC1006),$AN$1006:$BO$1006,0)), HYPERLINK("#",""), HYPERLINK(CONCATENATE("#Metadata!", ADDRESS(INDEX($AI$2:$AI$1001,MATCH(ROWS($AG$2:AG997),$AG$2:$AG$1001,0),0), INDEX($AN$1004:$BO$1004,1,MATCH(COLUMNS($AN$1006:BC1006),$AN$1006:$BO$1006,0)))),"Fix")))</f>
        <v>0</v>
      </c>
      <c r="R997" s="4">
        <f>IF(OR(INDEX($AH$2:$AH$1001,MATCH(ROWS($AG$2:AG997),$AG$2:$AG$1001,0),1)&gt;=100000,INDEX($AN$1005:$BO$1005,1,MATCH(COLUMNS($AN$1006:BD1006),$AN$1006:$BO$1006,0))&gt;=100000), " ",IF(INDEX($AN$2:$BO$1001,MATCH(ROWS($AG$2:AG997),$AG$2:$AG$1001,0),MATCH(COLUMNS($AN$1006:BD1006),$AN$1006:$BO$1006,0)), HYPERLINK("#",""), HYPERLINK(CONCATENATE("#Metadata!", ADDRESS(INDEX($AI$2:$AI$1001,MATCH(ROWS($AG$2:AG997),$AG$2:$AG$1001,0),0), INDEX($AN$1004:$BO$1004,1,MATCH(COLUMNS($AN$1006:BD1006),$AN$1006:$BO$1006,0)))),"Fix")))</f>
        <v>0</v>
      </c>
      <c r="S997" s="4">
        <f>IF(OR(INDEX($AH$2:$AH$1001,MATCH(ROWS($AG$2:AG997),$AG$2:$AG$1001,0),1)&gt;=100000,INDEX($AN$1005:$BO$1005,1,MATCH(COLUMNS($AN$1006:BE1006),$AN$1006:$BO$1006,0))&gt;=100000), " ",IF(INDEX($AN$2:$BO$1001,MATCH(ROWS($AG$2:AG997),$AG$2:$AG$1001,0),MATCH(COLUMNS($AN$1006:BE1006),$AN$1006:$BO$1006,0)), HYPERLINK("#",""), HYPERLINK(CONCATENATE("#Metadata!", ADDRESS(INDEX($AI$2:$AI$1001,MATCH(ROWS($AG$2:AG997),$AG$2:$AG$1001,0),0), INDEX($AN$1004:$BO$1004,1,MATCH(COLUMNS($AN$1006:BE1006),$AN$1006:$BO$1006,0)))),"Fix")))</f>
        <v>0</v>
      </c>
      <c r="T997" s="4">
        <f>IF(OR(INDEX($AH$2:$AH$1001,MATCH(ROWS($AG$2:AG997),$AG$2:$AG$1001,0),1)&gt;=100000,INDEX($AN$1005:$BO$1005,1,MATCH(COLUMNS($AN$1006:BF1006),$AN$1006:$BO$1006,0))&gt;=100000), " ",IF(INDEX($AN$2:$BO$1001,MATCH(ROWS($AG$2:AG997),$AG$2:$AG$1001,0),MATCH(COLUMNS($AN$1006:BF1006),$AN$1006:$BO$1006,0)), HYPERLINK("#",""), HYPERLINK(CONCATENATE("#Metadata!", ADDRESS(INDEX($AI$2:$AI$1001,MATCH(ROWS($AG$2:AG997),$AG$2:$AG$1001,0),0), INDEX($AN$1004:$BO$1004,1,MATCH(COLUMNS($AN$1006:BF1006),$AN$1006:$BO$1006,0)))),"Fix")))</f>
        <v>0</v>
      </c>
      <c r="U997" s="4">
        <f>IF(OR(INDEX($AH$2:$AH$1001,MATCH(ROWS($AG$2:AG997),$AG$2:$AG$1001,0),1)&gt;=100000,INDEX($AN$1005:$BO$1005,1,MATCH(COLUMNS($AN$1006:BG1006),$AN$1006:$BO$1006,0))&gt;=100000), " ",IF(INDEX($AN$2:$BO$1001,MATCH(ROWS($AG$2:AG997),$AG$2:$AG$1001,0),MATCH(COLUMNS($AN$1006:BG1006),$AN$1006:$BO$1006,0)), HYPERLINK("#",""), HYPERLINK(CONCATENATE("#Metadata!", ADDRESS(INDEX($AI$2:$AI$1001,MATCH(ROWS($AG$2:AG997),$AG$2:$AG$1001,0),0), INDEX($AN$1004:$BO$1004,1,MATCH(COLUMNS($AN$1006:BG1006),$AN$1006:$BO$1006,0)))),"Fix")))</f>
        <v>0</v>
      </c>
      <c r="V997" s="4">
        <f>IF(OR(INDEX($AH$2:$AH$1001,MATCH(ROWS($AG$2:AG997),$AG$2:$AG$1001,0),1)&gt;=100000,INDEX($AN$1005:$BO$1005,1,MATCH(COLUMNS($AN$1006:BH1006),$AN$1006:$BO$1006,0))&gt;=100000), " ",IF(INDEX($AN$2:$BO$1001,MATCH(ROWS($AG$2:AG997),$AG$2:$AG$1001,0),MATCH(COLUMNS($AN$1006:BH1006),$AN$1006:$BO$1006,0)), HYPERLINK("#",""), HYPERLINK(CONCATENATE("#Metadata!", ADDRESS(INDEX($AI$2:$AI$1001,MATCH(ROWS($AG$2:AG997),$AG$2:$AG$1001,0),0), INDEX($AN$1004:$BO$1004,1,MATCH(COLUMNS($AN$1006:BH1006),$AN$1006:$BO$1006,0)))),"Fix")))</f>
        <v>0</v>
      </c>
      <c r="W997" s="4">
        <f>IF(OR(INDEX($AH$2:$AH$1001,MATCH(ROWS($AG$2:AG997),$AG$2:$AG$1001,0),1)&gt;=100000,INDEX($AN$1005:$BO$1005,1,MATCH(COLUMNS($AN$1006:BI1006),$AN$1006:$BO$1006,0))&gt;=100000), " ",IF(INDEX($AN$2:$BO$1001,MATCH(ROWS($AG$2:AG997),$AG$2:$AG$1001,0),MATCH(COLUMNS($AN$1006:BI1006),$AN$1006:$BO$1006,0)), HYPERLINK("#",""), HYPERLINK(CONCATENATE("#Metadata!", ADDRESS(INDEX($AI$2:$AI$1001,MATCH(ROWS($AG$2:AG997),$AG$2:$AG$1001,0),0), INDEX($AN$1004:$BO$1004,1,MATCH(COLUMNS($AN$1006:BI1006),$AN$1006:$BO$1006,0)))),"Fix")))</f>
        <v>0</v>
      </c>
      <c r="X997" s="4">
        <f>IF(OR(INDEX($AH$2:$AH$1001,MATCH(ROWS($AG$2:AG997),$AG$2:$AG$1001,0),1)&gt;=100000,INDEX($AN$1005:$BO$1005,1,MATCH(COLUMNS($AN$1006:BJ1006),$AN$1006:$BO$1006,0))&gt;=100000), " ",IF(INDEX($AN$2:$BO$1001,MATCH(ROWS($AG$2:AG997),$AG$2:$AG$1001,0),MATCH(COLUMNS($AN$1006:BJ1006),$AN$1006:$BO$1006,0)), HYPERLINK("#",""), HYPERLINK(CONCATENATE("#Metadata!", ADDRESS(INDEX($AI$2:$AI$1001,MATCH(ROWS($AG$2:AG997),$AG$2:$AG$1001,0),0), INDEX($AN$1004:$BO$1004,1,MATCH(COLUMNS($AN$1006:BJ1006),$AN$1006:$BO$1006,0)))),"Fix")))</f>
        <v>0</v>
      </c>
      <c r="Y997" s="4">
        <f>IF(OR(INDEX($AH$2:$AH$1001,MATCH(ROWS($AG$2:AG997),$AG$2:$AG$1001,0),1)&gt;=100000,INDEX($AN$1005:$BO$1005,1,MATCH(COLUMNS($AN$1006:BK1006),$AN$1006:$BO$1006,0))&gt;=100000), " ",IF(INDEX($AN$2:$BO$1001,MATCH(ROWS($AG$2:AG997),$AG$2:$AG$1001,0),MATCH(COLUMNS($AN$1006:BK1006),$AN$1006:$BO$1006,0)), HYPERLINK("#",""), HYPERLINK(CONCATENATE("#Metadata!", ADDRESS(INDEX($AI$2:$AI$1001,MATCH(ROWS($AG$2:AG997),$AG$2:$AG$1001,0),0), INDEX($AN$1004:$BO$1004,1,MATCH(COLUMNS($AN$1006:BK1006),$AN$1006:$BO$1006,0)))),"Fix")))</f>
        <v>0</v>
      </c>
      <c r="Z997" s="4">
        <f>IF(OR(INDEX($AH$2:$AH$1001,MATCH(ROWS($AG$2:AG997),$AG$2:$AG$1001,0),1)&gt;=100000,INDEX($AN$1005:$BO$1005,1,MATCH(COLUMNS($AN$1006:BL1006),$AN$1006:$BO$1006,0))&gt;=100000), " ",IF(INDEX($AN$2:$BO$1001,MATCH(ROWS($AG$2:AG997),$AG$2:$AG$1001,0),MATCH(COLUMNS($AN$1006:BL1006),$AN$1006:$BO$1006,0)), HYPERLINK("#",""), HYPERLINK(CONCATENATE("#Metadata!", ADDRESS(INDEX($AI$2:$AI$1001,MATCH(ROWS($AG$2:AG997),$AG$2:$AG$1001,0),0), INDEX($AN$1004:$BO$1004,1,MATCH(COLUMNS($AN$1006:BL1006),$AN$1006:$BO$1006,0)))),"Fix")))</f>
        <v>0</v>
      </c>
      <c r="AA997" s="4">
        <f>IF(OR(INDEX($AH$2:$AH$1001,MATCH(ROWS($AG$2:AG997),$AG$2:$AG$1001,0),1)&gt;=100000,INDEX($AN$1005:$BO$1005,1,MATCH(COLUMNS($AN$1006:BM1006),$AN$1006:$BO$1006,0))&gt;=100000), " ",IF(INDEX($AN$2:$BO$1001,MATCH(ROWS($AG$2:AG997),$AG$2:$AG$1001,0),MATCH(COLUMNS($AN$1006:BM1006),$AN$1006:$BO$1006,0)), HYPERLINK("#",""), HYPERLINK(CONCATENATE("#Metadata!", ADDRESS(INDEX($AI$2:$AI$1001,MATCH(ROWS($AG$2:AG997),$AG$2:$AG$1001,0),0), INDEX($AN$1004:$BO$1004,1,MATCH(COLUMNS($AN$1006:BM1006),$AN$1006:$BO$1006,0)))),"Fix")))</f>
        <v>0</v>
      </c>
      <c r="AB997" s="4">
        <f>IF(OR(INDEX($AH$2:$AH$1001,MATCH(ROWS($AG$2:AG997),$AG$2:$AG$1001,0),1)&gt;=100000,INDEX($AN$1005:$BO$1005,1,MATCH(COLUMNS($AN$1006:BN1006),$AN$1006:$BO$1006,0))&gt;=100000), " ",IF(INDEX($AN$2:$BO$1001,MATCH(ROWS($AG$2:AG997),$AG$2:$AG$1001,0),MATCH(COLUMNS($AN$1006:BN1006),$AN$1006:$BO$1006,0)), HYPERLINK("#",""), HYPERLINK(CONCATENATE("#Metadata!", ADDRESS(INDEX($AI$2:$AI$1001,MATCH(ROWS($AG$2:AG997),$AG$2:$AG$1001,0),0), INDEX($AN$1004:$BO$1004,1,MATCH(COLUMNS($AN$1006:BN1006),$AN$1006:$BO$1006,0)))),"Fix")))</f>
        <v>0</v>
      </c>
      <c r="AC997" s="4">
        <f>IF(OR(INDEX($AH$2:$AH$1001,MATCH(ROWS($AG$2:AG997),$AG$2:$AG$1001,0),1)&gt;=100000,INDEX($AN$1005:$BO$1005,1,MATCH(COLUMNS($AN$1006:BO1006),$AN$1006:$BO$1006,0))&gt;=100000), " ",IF(INDEX($AN$2:$BO$1001,MATCH(ROWS($AG$2:AG997),$AG$2:$AG$1001,0),MATCH(COLUMNS($AN$1006:BO1006),$AN$1006:$BO$1006,0)), HYPERLINK("#",""), HYPERLINK(CONCATENATE("#Metadata!", ADDRESS(INDEX($AI$2:$AI$1001,MATCH(ROWS($AG$2:AG997),$AG$2:$AG$1001,0),0), INDEX($AN$1004:$BO$1004,1,MATCH(COLUMNS($AN$1006:BO1006),$AN$1006:$BO$1006,0)))),"Fix")))</f>
        <v>0</v>
      </c>
      <c r="AG997">
        <v>0</v>
      </c>
      <c r="AH997">
        <v>0</v>
      </c>
      <c r="AI997">
        <v>0</v>
      </c>
      <c r="AJ997">
        <f>IF(AK997,TRUE,AND(AN997:BO997))</f>
        <v>0</v>
      </c>
      <c r="AK997">
        <f>COUNTBLANK(Metadata!B997:AC997)=COLUMNS(Metadata!B997:AC997)</f>
        <v>0</v>
      </c>
      <c r="AL997">
        <v>0</v>
      </c>
      <c r="AN997">
        <f>AND(IF(Metadata!B997="",FALSE,TRUE),COUNTIF(Metadata!B:B, Metadata!B997) = 1,NOT(ISERROR(SUMPRODUCT(SEARCH(MID(Metadata!B997,ROW(INDIRECT("1:"&amp;LEN(Metadata!B997))), 1),"0123456789abcdefghijklmnopqrstuvwxyzABCDEFGHIJKLMNOPQRSTUVWXYZ.")))))</f>
        <v>0</v>
      </c>
      <c r="AO997">
        <f>IF(Metadata!C997="",FALSE,TRUE)</f>
        <v>0</v>
      </c>
      <c r="AP997">
        <f>IF(Metadata!D997="",FALSE,TRUE)</f>
        <v>0</v>
      </c>
      <c r="AQ997">
        <f>OR(AND(IF(Metadata!E997="",FALSE,TRUE),OR(exact(Metadata!E997,"not collected"),exact(Metadata!E997,"not provided"),exact(Metadata!E997,"restricted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R997">
        <f>IF(Metadata!F997="",FALSE,TRUE)</f>
        <v>0</v>
      </c>
      <c r="AS997">
        <f>OR(AND(IF(Metadata!G997="",FALSE,TRUE),OR(exact(Metadata!G997,"not collected"),exact(Metadata!G997,"not provided"))),AND(IF(Metadata!G997="",FALSE,TRUE),OR(exact(Metadata!G997,"TRUE"),exact(Metadata!G997,"FALSE"))))</f>
        <v>0</v>
      </c>
      <c r="AT997">
        <f>OR(AND(IF(Metadata!H997="",FALSE,TRUE),OR(exact(Metadata!H997,"not collected"),exact(Metadata!H997,"not provided"),exact(Metadata!H997,"restricted access"))),AND(IF(Metadata!H997="",FALSE,ISNUMBER(VALUE(Metadata!H997))),Metadata!H997&gt;=-413.0))</f>
        <v>0</v>
      </c>
      <c r="AU997">
        <f>AND(IF(Metadata!I997="",FALSE,TRUE),exact(Metadata!I997,"meters"))</f>
        <v>0</v>
      </c>
      <c r="AV997">
        <f>AND(IF(Metadata!J997="",FALSE,TRUE),OR(exact(Metadata!J997,"Host-associated"),exact(Metadata!J997,"Free-living")))</f>
        <v>0</v>
      </c>
      <c r="AW997">
        <f>AND(IF(Metadata!K997="",FALSE,TRUE),OR(exact(Metadata!K997,"Animal"),exact(Metadata!K997,"Fungus"),exact(Metadata!K997,"Plant"),exact(Metadata!K997,"Saline"),exact(Metadata!K997,"Non-saline")))</f>
        <v>0</v>
      </c>
      <c r="AX997">
        <f>AND(IF(Metadata!L997="",FALSE,TRUE),OR(exact(Metadata!L997,"Plant secretion"),exact(Metadata!L997,"Plant rhizosphere"),exact(Metadata!L997,"Plant surface"),exact(Metadata!L997,"Plant corpus"),exact(Metadata!L997,"Fungus surface"),exact(Metadata!L997,"Fungus corpus"),exact(Metadata!L997,"Animal surface"),exact(Metadata!L997,"Animal proximal gut"),exact(Metadata!L997,"Animal corpus"),exact(Metadata!L997,"Animal distal gut"),exact(Metadata!L997,"Animal secretion"),exact(Metadata!L997,"Sub-surface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Y997">
        <f>IF(Metadata!M997="",FALSE,TRUE)</f>
        <v>0</v>
      </c>
      <c r="AZ997">
        <f>IF(Metadata!N997="",FALSE,TRUE)</f>
        <v>0</v>
      </c>
      <c r="BA997">
        <f>IF(Metadata!O997="",FALSE,TRUE)</f>
        <v>0</v>
      </c>
      <c r="BB997">
        <f>OR(AND(IF(Metadata!P997="",FALSE,TRUE),OR(exact(Metadata!P997,"not collected"),exact(Metadata!P997,"not provided"),exact(Metadata!P997,"restricted access"))),AND(IF(Metadata!P997="",FALSE,TRUE),OR(exact(Metadata!P997,"air"),exact(Metadata!P997,"built environment"),exact(Metadata!P997,"host-associated"),exact(Metadata!P997,"human-associated"),exact(Metadata!P997,"human-skin"),exact(Metadata!P997,"human-oral"),exact(Metadata!P997,"human-gut"),exact(Metadata!P997,"human-vaginal"),exact(Metadata!P997,"microbial mat/biofilm"),exact(Metadata!P997,"misc environment"),exact(Metadata!P997,"plant-associated"),exact(Metadata!P997,"sediment"),exact(Metadata!P997,"soil"),exact(Metadata!P997,"wastewater/sludge"),exact(Metadata!P997,"water"))))</f>
        <v>0</v>
      </c>
      <c r="BC997">
        <f>IF(Metadata!Q997="",FALSE,TRUE)</f>
        <v>0</v>
      </c>
      <c r="BD997">
        <f>IF(Metadata!R997="",FALSE,TRUE)</f>
        <v>0</v>
      </c>
      <c r="BE997">
        <f>OR(AND(IF(Metadata!S997="",FALSE,TRUE),OR(exact(Metadata!S997,"not collected"),exact(Metadata!S997,"not provided"),exact(Metadata!S997,"restricted access"))),AND(IF(Metadata!S997="",FALSE,ISNUMBER(VALUE(Metadata!S997))),Metadata!S997&gt;=-90.00,Metadata!S997&lt;=90.00))</f>
        <v>0</v>
      </c>
      <c r="BF997">
        <f>AND(IF(Metadata!T997="",FALSE,TRUE),exact(Metadata!T997,"Decimal degrees"))</f>
        <v>0</v>
      </c>
      <c r="BG997">
        <f>OR(AND(IF(Metadata!U997="",FALSE,TRUE),OR(exact(Metadata!U997,"not collected"),exact(Metadata!U997,"not provided"),exact(Metadata!U997,"restricted access"))),AND(IF(Metadata!U997="",FALSE,ISNUMBER(VALUE(Metadata!U997))),Metadata!U997&gt;=-180.00,Metadata!U997&lt;=180.00))</f>
        <v>0</v>
      </c>
      <c r="BH997">
        <f>AND(IF(Metadata!V997="",FALSE,TRUE),exact(Metadata!V997,"Decimal degrees"))</f>
        <v>0</v>
      </c>
      <c r="BI997">
        <f>IF(Metadata!W997="",FALSE,TRUE)</f>
        <v>0</v>
      </c>
      <c r="BJ997">
        <f>OR(AND(IF(Metadata!X997="",FALSE,TRUE),OR(exact(Metadata!X997,"not collected"),exact(Metadata!X997,"not provided"),exact(Metadata!X997,"restricted access"))),AND(IF(Metadata!X997="",FALSE,TRUE),OR(exact(Metadata!X997,"TRUE"),exact(Metadata!X997,"FALSE"))))</f>
        <v>0</v>
      </c>
      <c r="BK997">
        <f>AND(IF(Metadata!Y997="",FALSE,TRUE),exact(Metadata!Y997,"other"))</f>
        <v>0</v>
      </c>
      <c r="BL997">
        <f>IF(Metadata!Z997="",FALSE,TRUE)</f>
        <v>0</v>
      </c>
      <c r="BM997">
        <f>OR(AND(IF(Metadata!AA997="",FALSE,TRUE),OR(exact(Metadata!AA997,"not collected"),exact(Metadata!AA997,"not provided"))),AND(IF(Metadata!AA997="",FALSE,IF(ISERROR(INT(Metadata!AA997)),FALSE,INT(Metadata!AA997)=Metadata!AA997)),Metadata!AA997&gt;0))</f>
        <v>0</v>
      </c>
      <c r="BN997">
        <f>AND(IF(Metadata!AB997="",FALSE,TRUE),exact(Metadata!AB997,"Not applicable"))</f>
        <v>0</v>
      </c>
      <c r="BO997">
        <f>IF(Metadata!AC997="",FALSE,TRUE)</f>
        <v>0</v>
      </c>
    </row>
    <row r="998" spans="1:67">
      <c r="A998" s="5">
        <f>IF(B998=" "," ",HYPERLINK(CONCATENATE("#metadata!",ADDRESS(INDEX($AI$2:$AI$1001,MATCH(ROWS($AG$2:AG998),$AG$2:$AG$1001,0),0),1)),INDEX($AL$2:$AL$1001,MATCH(ROWS($AG$2:AG998),$AG$2:$AG$1001,0),0)))</f>
        <v>0</v>
      </c>
      <c r="B998" s="4">
        <f>IF(OR(INDEX($AH$2:$AH$1001,MATCH(ROWS($AG$2:AG998),$AG$2:$AG$1001,0),1)&gt;=100000,INDEX($AN$1005:$BO$1005,1,MATCH(COLUMNS($AN$1006:AN1006),$AN$1006:$BO$1006,0))&gt;=100000), " ",IF(INDEX($AN$2:$BO$1001,MATCH(ROWS($AG$2:AG998),$AG$2:$AG$1001,0),MATCH(COLUMNS($AN$1006:AN1006),$AN$1006:$BO$1006,0)), HYPERLINK("#",""), HYPERLINK(CONCATENATE("#Metadata!", ADDRESS(INDEX($AI$2:$AI$1001,MATCH(ROWS($AG$2:AG998),$AG$2:$AG$1001,0),0), INDEX($AN$1004:$BO$1004,1,MATCH(COLUMNS($AN$1006:AN1006),$AN$1006:$BO$1006,0)))),"Fix")))</f>
        <v>0</v>
      </c>
      <c r="C998" s="4">
        <f>IF(OR(INDEX($AH$2:$AH$1001,MATCH(ROWS($AG$2:AG998),$AG$2:$AG$1001,0),1)&gt;=100000,INDEX($AN$1005:$BO$1005,1,MATCH(COLUMNS($AN$1006:AO1006),$AN$1006:$BO$1006,0))&gt;=100000), " ",IF(INDEX($AN$2:$BO$1001,MATCH(ROWS($AG$2:AG998),$AG$2:$AG$1001,0),MATCH(COLUMNS($AN$1006:AO1006),$AN$1006:$BO$1006,0)), HYPERLINK("#",""), HYPERLINK(CONCATENATE("#Metadata!", ADDRESS(INDEX($AI$2:$AI$1001,MATCH(ROWS($AG$2:AG998),$AG$2:$AG$1001,0),0), INDEX($AN$1004:$BO$1004,1,MATCH(COLUMNS($AN$1006:AO1006),$AN$1006:$BO$1006,0)))),"Fix")))</f>
        <v>0</v>
      </c>
      <c r="D998" s="4">
        <f>IF(OR(INDEX($AH$2:$AH$1001,MATCH(ROWS($AG$2:AG998),$AG$2:$AG$1001,0),1)&gt;=100000,INDEX($AN$1005:$BO$1005,1,MATCH(COLUMNS($AN$1006:AP1006),$AN$1006:$BO$1006,0))&gt;=100000), " ",IF(INDEX($AN$2:$BO$1001,MATCH(ROWS($AG$2:AG998),$AG$2:$AG$1001,0),MATCH(COLUMNS($AN$1006:AP1006),$AN$1006:$BO$1006,0)), HYPERLINK("#",""), HYPERLINK(CONCATENATE("#Metadata!", ADDRESS(INDEX($AI$2:$AI$1001,MATCH(ROWS($AG$2:AG998),$AG$2:$AG$1001,0),0), INDEX($AN$1004:$BO$1004,1,MATCH(COLUMNS($AN$1006:AP1006),$AN$1006:$BO$1006,0)))),"Fix")))</f>
        <v>0</v>
      </c>
      <c r="E998" s="4">
        <f>IF(OR(INDEX($AH$2:$AH$1001,MATCH(ROWS($AG$2:AG998),$AG$2:$AG$1001,0),1)&gt;=100000,INDEX($AN$1005:$BO$1005,1,MATCH(COLUMNS($AN$1006:AQ1006),$AN$1006:$BO$1006,0))&gt;=100000), " ",IF(INDEX($AN$2:$BO$1001,MATCH(ROWS($AG$2:AG998),$AG$2:$AG$1001,0),MATCH(COLUMNS($AN$1006:AQ1006),$AN$1006:$BO$1006,0)), HYPERLINK("#",""), HYPERLINK(CONCATENATE("#Metadata!", ADDRESS(INDEX($AI$2:$AI$1001,MATCH(ROWS($AG$2:AG998),$AG$2:$AG$1001,0),0), INDEX($AN$1004:$BO$1004,1,MATCH(COLUMNS($AN$1006:AQ1006),$AN$1006:$BO$1006,0)))),"Fix")))</f>
        <v>0</v>
      </c>
      <c r="F998" s="4">
        <f>IF(OR(INDEX($AH$2:$AH$1001,MATCH(ROWS($AG$2:AG998),$AG$2:$AG$1001,0),1)&gt;=100000,INDEX($AN$1005:$BO$1005,1,MATCH(COLUMNS($AN$1006:AR1006),$AN$1006:$BO$1006,0))&gt;=100000), " ",IF(INDEX($AN$2:$BO$1001,MATCH(ROWS($AG$2:AG998),$AG$2:$AG$1001,0),MATCH(COLUMNS($AN$1006:AR1006),$AN$1006:$BO$1006,0)), HYPERLINK("#",""), HYPERLINK(CONCATENATE("#Metadata!", ADDRESS(INDEX($AI$2:$AI$1001,MATCH(ROWS($AG$2:AG998),$AG$2:$AG$1001,0),0), INDEX($AN$1004:$BO$1004,1,MATCH(COLUMNS($AN$1006:AR1006),$AN$1006:$BO$1006,0)))),"Fix")))</f>
        <v>0</v>
      </c>
      <c r="G998" s="4">
        <f>IF(OR(INDEX($AH$2:$AH$1001,MATCH(ROWS($AG$2:AG998),$AG$2:$AG$1001,0),1)&gt;=100000,INDEX($AN$1005:$BO$1005,1,MATCH(COLUMNS($AN$1006:AS1006),$AN$1006:$BO$1006,0))&gt;=100000), " ",IF(INDEX($AN$2:$BO$1001,MATCH(ROWS($AG$2:AG998),$AG$2:$AG$1001,0),MATCH(COLUMNS($AN$1006:AS1006),$AN$1006:$BO$1006,0)), HYPERLINK("#",""), HYPERLINK(CONCATENATE("#Metadata!", ADDRESS(INDEX($AI$2:$AI$1001,MATCH(ROWS($AG$2:AG998),$AG$2:$AG$1001,0),0), INDEX($AN$1004:$BO$1004,1,MATCH(COLUMNS($AN$1006:AS1006),$AN$1006:$BO$1006,0)))),"Fix")))</f>
        <v>0</v>
      </c>
      <c r="H998" s="4">
        <f>IF(OR(INDEX($AH$2:$AH$1001,MATCH(ROWS($AG$2:AG998),$AG$2:$AG$1001,0),1)&gt;=100000,INDEX($AN$1005:$BO$1005,1,MATCH(COLUMNS($AN$1006:AT1006),$AN$1006:$BO$1006,0))&gt;=100000), " ",IF(INDEX($AN$2:$BO$1001,MATCH(ROWS($AG$2:AG998),$AG$2:$AG$1001,0),MATCH(COLUMNS($AN$1006:AT1006),$AN$1006:$BO$1006,0)), HYPERLINK("#",""), HYPERLINK(CONCATENATE("#Metadata!", ADDRESS(INDEX($AI$2:$AI$1001,MATCH(ROWS($AG$2:AG998),$AG$2:$AG$1001,0),0), INDEX($AN$1004:$BO$1004,1,MATCH(COLUMNS($AN$1006:AT1006),$AN$1006:$BO$1006,0)))),"Fix")))</f>
        <v>0</v>
      </c>
      <c r="I998" s="4">
        <f>IF(OR(INDEX($AH$2:$AH$1001,MATCH(ROWS($AG$2:AG998),$AG$2:$AG$1001,0),1)&gt;=100000,INDEX($AN$1005:$BO$1005,1,MATCH(COLUMNS($AN$1006:AU1006),$AN$1006:$BO$1006,0))&gt;=100000), " ",IF(INDEX($AN$2:$BO$1001,MATCH(ROWS($AG$2:AG998),$AG$2:$AG$1001,0),MATCH(COLUMNS($AN$1006:AU1006),$AN$1006:$BO$1006,0)), HYPERLINK("#",""), HYPERLINK(CONCATENATE("#Metadata!", ADDRESS(INDEX($AI$2:$AI$1001,MATCH(ROWS($AG$2:AG998),$AG$2:$AG$1001,0),0), INDEX($AN$1004:$BO$1004,1,MATCH(COLUMNS($AN$1006:AU1006),$AN$1006:$BO$1006,0)))),"Fix")))</f>
        <v>0</v>
      </c>
      <c r="J998" s="4">
        <f>IF(OR(INDEX($AH$2:$AH$1001,MATCH(ROWS($AG$2:AG998),$AG$2:$AG$1001,0),1)&gt;=100000,INDEX($AN$1005:$BO$1005,1,MATCH(COLUMNS($AN$1006:AV1006),$AN$1006:$BO$1006,0))&gt;=100000), " ",IF(INDEX($AN$2:$BO$1001,MATCH(ROWS($AG$2:AG998),$AG$2:$AG$1001,0),MATCH(COLUMNS($AN$1006:AV1006),$AN$1006:$BO$1006,0)), HYPERLINK("#",""), HYPERLINK(CONCATENATE("#Metadata!", ADDRESS(INDEX($AI$2:$AI$1001,MATCH(ROWS($AG$2:AG998),$AG$2:$AG$1001,0),0), INDEX($AN$1004:$BO$1004,1,MATCH(COLUMNS($AN$1006:AV1006),$AN$1006:$BO$1006,0)))),"Fix")))</f>
        <v>0</v>
      </c>
      <c r="K998" s="4">
        <f>IF(OR(INDEX($AH$2:$AH$1001,MATCH(ROWS($AG$2:AG998),$AG$2:$AG$1001,0),1)&gt;=100000,INDEX($AN$1005:$BO$1005,1,MATCH(COLUMNS($AN$1006:AW1006),$AN$1006:$BO$1006,0))&gt;=100000), " ",IF(INDEX($AN$2:$BO$1001,MATCH(ROWS($AG$2:AG998),$AG$2:$AG$1001,0),MATCH(COLUMNS($AN$1006:AW1006),$AN$1006:$BO$1006,0)), HYPERLINK("#",""), HYPERLINK(CONCATENATE("#Metadata!", ADDRESS(INDEX($AI$2:$AI$1001,MATCH(ROWS($AG$2:AG998),$AG$2:$AG$1001,0),0), INDEX($AN$1004:$BO$1004,1,MATCH(COLUMNS($AN$1006:AW1006),$AN$1006:$BO$1006,0)))),"Fix")))</f>
        <v>0</v>
      </c>
      <c r="L998" s="4">
        <f>IF(OR(INDEX($AH$2:$AH$1001,MATCH(ROWS($AG$2:AG998),$AG$2:$AG$1001,0),1)&gt;=100000,INDEX($AN$1005:$BO$1005,1,MATCH(COLUMNS($AN$1006:AX1006),$AN$1006:$BO$1006,0))&gt;=100000), " ",IF(INDEX($AN$2:$BO$1001,MATCH(ROWS($AG$2:AG998),$AG$2:$AG$1001,0),MATCH(COLUMNS($AN$1006:AX1006),$AN$1006:$BO$1006,0)), HYPERLINK("#",""), HYPERLINK(CONCATENATE("#Metadata!", ADDRESS(INDEX($AI$2:$AI$1001,MATCH(ROWS($AG$2:AG998),$AG$2:$AG$1001,0),0), INDEX($AN$1004:$BO$1004,1,MATCH(COLUMNS($AN$1006:AX1006),$AN$1006:$BO$1006,0)))),"Fix")))</f>
        <v>0</v>
      </c>
      <c r="M998" s="4">
        <f>IF(OR(INDEX($AH$2:$AH$1001,MATCH(ROWS($AG$2:AG998),$AG$2:$AG$1001,0),1)&gt;=100000,INDEX($AN$1005:$BO$1005,1,MATCH(COLUMNS($AN$1006:AY1006),$AN$1006:$BO$1006,0))&gt;=100000), " ",IF(INDEX($AN$2:$BO$1001,MATCH(ROWS($AG$2:AG998),$AG$2:$AG$1001,0),MATCH(COLUMNS($AN$1006:AY1006),$AN$1006:$BO$1006,0)), HYPERLINK("#",""), HYPERLINK(CONCATENATE("#Metadata!", ADDRESS(INDEX($AI$2:$AI$1001,MATCH(ROWS($AG$2:AG998),$AG$2:$AG$1001,0),0), INDEX($AN$1004:$BO$1004,1,MATCH(COLUMNS($AN$1006:AY1006),$AN$1006:$BO$1006,0)))),"Fix")))</f>
        <v>0</v>
      </c>
      <c r="N998" s="4">
        <f>IF(OR(INDEX($AH$2:$AH$1001,MATCH(ROWS($AG$2:AG998),$AG$2:$AG$1001,0),1)&gt;=100000,INDEX($AN$1005:$BO$1005,1,MATCH(COLUMNS($AN$1006:AZ1006),$AN$1006:$BO$1006,0))&gt;=100000), " ",IF(INDEX($AN$2:$BO$1001,MATCH(ROWS($AG$2:AG998),$AG$2:$AG$1001,0),MATCH(COLUMNS($AN$1006:AZ1006),$AN$1006:$BO$1006,0)), HYPERLINK("#",""), HYPERLINK(CONCATENATE("#Metadata!", ADDRESS(INDEX($AI$2:$AI$1001,MATCH(ROWS($AG$2:AG998),$AG$2:$AG$1001,0),0), INDEX($AN$1004:$BO$1004,1,MATCH(COLUMNS($AN$1006:AZ1006),$AN$1006:$BO$1006,0)))),"Fix")))</f>
        <v>0</v>
      </c>
      <c r="O998" s="4">
        <f>IF(OR(INDEX($AH$2:$AH$1001,MATCH(ROWS($AG$2:AG998),$AG$2:$AG$1001,0),1)&gt;=100000,INDEX($AN$1005:$BO$1005,1,MATCH(COLUMNS($AN$1006:BA1006),$AN$1006:$BO$1006,0))&gt;=100000), " ",IF(INDEX($AN$2:$BO$1001,MATCH(ROWS($AG$2:AG998),$AG$2:$AG$1001,0),MATCH(COLUMNS($AN$1006:BA1006),$AN$1006:$BO$1006,0)), HYPERLINK("#",""), HYPERLINK(CONCATENATE("#Metadata!", ADDRESS(INDEX($AI$2:$AI$1001,MATCH(ROWS($AG$2:AG998),$AG$2:$AG$1001,0),0), INDEX($AN$1004:$BO$1004,1,MATCH(COLUMNS($AN$1006:BA1006),$AN$1006:$BO$1006,0)))),"Fix")))</f>
        <v>0</v>
      </c>
      <c r="P998" s="4">
        <f>IF(OR(INDEX($AH$2:$AH$1001,MATCH(ROWS($AG$2:AG998),$AG$2:$AG$1001,0),1)&gt;=100000,INDEX($AN$1005:$BO$1005,1,MATCH(COLUMNS($AN$1006:BB1006),$AN$1006:$BO$1006,0))&gt;=100000), " ",IF(INDEX($AN$2:$BO$1001,MATCH(ROWS($AG$2:AG998),$AG$2:$AG$1001,0),MATCH(COLUMNS($AN$1006:BB1006),$AN$1006:$BO$1006,0)), HYPERLINK("#",""), HYPERLINK(CONCATENATE("#Metadata!", ADDRESS(INDEX($AI$2:$AI$1001,MATCH(ROWS($AG$2:AG998),$AG$2:$AG$1001,0),0), INDEX($AN$1004:$BO$1004,1,MATCH(COLUMNS($AN$1006:BB1006),$AN$1006:$BO$1006,0)))),"Fix")))</f>
        <v>0</v>
      </c>
      <c r="Q998" s="4">
        <f>IF(OR(INDEX($AH$2:$AH$1001,MATCH(ROWS($AG$2:AG998),$AG$2:$AG$1001,0),1)&gt;=100000,INDEX($AN$1005:$BO$1005,1,MATCH(COLUMNS($AN$1006:BC1006),$AN$1006:$BO$1006,0))&gt;=100000), " ",IF(INDEX($AN$2:$BO$1001,MATCH(ROWS($AG$2:AG998),$AG$2:$AG$1001,0),MATCH(COLUMNS($AN$1006:BC1006),$AN$1006:$BO$1006,0)), HYPERLINK("#",""), HYPERLINK(CONCATENATE("#Metadata!", ADDRESS(INDEX($AI$2:$AI$1001,MATCH(ROWS($AG$2:AG998),$AG$2:$AG$1001,0),0), INDEX($AN$1004:$BO$1004,1,MATCH(COLUMNS($AN$1006:BC1006),$AN$1006:$BO$1006,0)))),"Fix")))</f>
        <v>0</v>
      </c>
      <c r="R998" s="4">
        <f>IF(OR(INDEX($AH$2:$AH$1001,MATCH(ROWS($AG$2:AG998),$AG$2:$AG$1001,0),1)&gt;=100000,INDEX($AN$1005:$BO$1005,1,MATCH(COLUMNS($AN$1006:BD1006),$AN$1006:$BO$1006,0))&gt;=100000), " ",IF(INDEX($AN$2:$BO$1001,MATCH(ROWS($AG$2:AG998),$AG$2:$AG$1001,0),MATCH(COLUMNS($AN$1006:BD1006),$AN$1006:$BO$1006,0)), HYPERLINK("#",""), HYPERLINK(CONCATENATE("#Metadata!", ADDRESS(INDEX($AI$2:$AI$1001,MATCH(ROWS($AG$2:AG998),$AG$2:$AG$1001,0),0), INDEX($AN$1004:$BO$1004,1,MATCH(COLUMNS($AN$1006:BD1006),$AN$1006:$BO$1006,0)))),"Fix")))</f>
        <v>0</v>
      </c>
      <c r="S998" s="4">
        <f>IF(OR(INDEX($AH$2:$AH$1001,MATCH(ROWS($AG$2:AG998),$AG$2:$AG$1001,0),1)&gt;=100000,INDEX($AN$1005:$BO$1005,1,MATCH(COLUMNS($AN$1006:BE1006),$AN$1006:$BO$1006,0))&gt;=100000), " ",IF(INDEX($AN$2:$BO$1001,MATCH(ROWS($AG$2:AG998),$AG$2:$AG$1001,0),MATCH(COLUMNS($AN$1006:BE1006),$AN$1006:$BO$1006,0)), HYPERLINK("#",""), HYPERLINK(CONCATENATE("#Metadata!", ADDRESS(INDEX($AI$2:$AI$1001,MATCH(ROWS($AG$2:AG998),$AG$2:$AG$1001,0),0), INDEX($AN$1004:$BO$1004,1,MATCH(COLUMNS($AN$1006:BE1006),$AN$1006:$BO$1006,0)))),"Fix")))</f>
        <v>0</v>
      </c>
      <c r="T998" s="4">
        <f>IF(OR(INDEX($AH$2:$AH$1001,MATCH(ROWS($AG$2:AG998),$AG$2:$AG$1001,0),1)&gt;=100000,INDEX($AN$1005:$BO$1005,1,MATCH(COLUMNS($AN$1006:BF1006),$AN$1006:$BO$1006,0))&gt;=100000), " ",IF(INDEX($AN$2:$BO$1001,MATCH(ROWS($AG$2:AG998),$AG$2:$AG$1001,0),MATCH(COLUMNS($AN$1006:BF1006),$AN$1006:$BO$1006,0)), HYPERLINK("#",""), HYPERLINK(CONCATENATE("#Metadata!", ADDRESS(INDEX($AI$2:$AI$1001,MATCH(ROWS($AG$2:AG998),$AG$2:$AG$1001,0),0), INDEX($AN$1004:$BO$1004,1,MATCH(COLUMNS($AN$1006:BF1006),$AN$1006:$BO$1006,0)))),"Fix")))</f>
        <v>0</v>
      </c>
      <c r="U998" s="4">
        <f>IF(OR(INDEX($AH$2:$AH$1001,MATCH(ROWS($AG$2:AG998),$AG$2:$AG$1001,0),1)&gt;=100000,INDEX($AN$1005:$BO$1005,1,MATCH(COLUMNS($AN$1006:BG1006),$AN$1006:$BO$1006,0))&gt;=100000), " ",IF(INDEX($AN$2:$BO$1001,MATCH(ROWS($AG$2:AG998),$AG$2:$AG$1001,0),MATCH(COLUMNS($AN$1006:BG1006),$AN$1006:$BO$1006,0)), HYPERLINK("#",""), HYPERLINK(CONCATENATE("#Metadata!", ADDRESS(INDEX($AI$2:$AI$1001,MATCH(ROWS($AG$2:AG998),$AG$2:$AG$1001,0),0), INDEX($AN$1004:$BO$1004,1,MATCH(COLUMNS($AN$1006:BG1006),$AN$1006:$BO$1006,0)))),"Fix")))</f>
        <v>0</v>
      </c>
      <c r="V998" s="4">
        <f>IF(OR(INDEX($AH$2:$AH$1001,MATCH(ROWS($AG$2:AG998),$AG$2:$AG$1001,0),1)&gt;=100000,INDEX($AN$1005:$BO$1005,1,MATCH(COLUMNS($AN$1006:BH1006),$AN$1006:$BO$1006,0))&gt;=100000), " ",IF(INDEX($AN$2:$BO$1001,MATCH(ROWS($AG$2:AG998),$AG$2:$AG$1001,0),MATCH(COLUMNS($AN$1006:BH1006),$AN$1006:$BO$1006,0)), HYPERLINK("#",""), HYPERLINK(CONCATENATE("#Metadata!", ADDRESS(INDEX($AI$2:$AI$1001,MATCH(ROWS($AG$2:AG998),$AG$2:$AG$1001,0),0), INDEX($AN$1004:$BO$1004,1,MATCH(COLUMNS($AN$1006:BH1006),$AN$1006:$BO$1006,0)))),"Fix")))</f>
        <v>0</v>
      </c>
      <c r="W998" s="4">
        <f>IF(OR(INDEX($AH$2:$AH$1001,MATCH(ROWS($AG$2:AG998),$AG$2:$AG$1001,0),1)&gt;=100000,INDEX($AN$1005:$BO$1005,1,MATCH(COLUMNS($AN$1006:BI1006),$AN$1006:$BO$1006,0))&gt;=100000), " ",IF(INDEX($AN$2:$BO$1001,MATCH(ROWS($AG$2:AG998),$AG$2:$AG$1001,0),MATCH(COLUMNS($AN$1006:BI1006),$AN$1006:$BO$1006,0)), HYPERLINK("#",""), HYPERLINK(CONCATENATE("#Metadata!", ADDRESS(INDEX($AI$2:$AI$1001,MATCH(ROWS($AG$2:AG998),$AG$2:$AG$1001,0),0), INDEX($AN$1004:$BO$1004,1,MATCH(COLUMNS($AN$1006:BI1006),$AN$1006:$BO$1006,0)))),"Fix")))</f>
        <v>0</v>
      </c>
      <c r="X998" s="4">
        <f>IF(OR(INDEX($AH$2:$AH$1001,MATCH(ROWS($AG$2:AG998),$AG$2:$AG$1001,0),1)&gt;=100000,INDEX($AN$1005:$BO$1005,1,MATCH(COLUMNS($AN$1006:BJ1006),$AN$1006:$BO$1006,0))&gt;=100000), " ",IF(INDEX($AN$2:$BO$1001,MATCH(ROWS($AG$2:AG998),$AG$2:$AG$1001,0),MATCH(COLUMNS($AN$1006:BJ1006),$AN$1006:$BO$1006,0)), HYPERLINK("#",""), HYPERLINK(CONCATENATE("#Metadata!", ADDRESS(INDEX($AI$2:$AI$1001,MATCH(ROWS($AG$2:AG998),$AG$2:$AG$1001,0),0), INDEX($AN$1004:$BO$1004,1,MATCH(COLUMNS($AN$1006:BJ1006),$AN$1006:$BO$1006,0)))),"Fix")))</f>
        <v>0</v>
      </c>
      <c r="Y998" s="4">
        <f>IF(OR(INDEX($AH$2:$AH$1001,MATCH(ROWS($AG$2:AG998),$AG$2:$AG$1001,0),1)&gt;=100000,INDEX($AN$1005:$BO$1005,1,MATCH(COLUMNS($AN$1006:BK1006),$AN$1006:$BO$1006,0))&gt;=100000), " ",IF(INDEX($AN$2:$BO$1001,MATCH(ROWS($AG$2:AG998),$AG$2:$AG$1001,0),MATCH(COLUMNS($AN$1006:BK1006),$AN$1006:$BO$1006,0)), HYPERLINK("#",""), HYPERLINK(CONCATENATE("#Metadata!", ADDRESS(INDEX($AI$2:$AI$1001,MATCH(ROWS($AG$2:AG998),$AG$2:$AG$1001,0),0), INDEX($AN$1004:$BO$1004,1,MATCH(COLUMNS($AN$1006:BK1006),$AN$1006:$BO$1006,0)))),"Fix")))</f>
        <v>0</v>
      </c>
      <c r="Z998" s="4">
        <f>IF(OR(INDEX($AH$2:$AH$1001,MATCH(ROWS($AG$2:AG998),$AG$2:$AG$1001,0),1)&gt;=100000,INDEX($AN$1005:$BO$1005,1,MATCH(COLUMNS($AN$1006:BL1006),$AN$1006:$BO$1006,0))&gt;=100000), " ",IF(INDEX($AN$2:$BO$1001,MATCH(ROWS($AG$2:AG998),$AG$2:$AG$1001,0),MATCH(COLUMNS($AN$1006:BL1006),$AN$1006:$BO$1006,0)), HYPERLINK("#",""), HYPERLINK(CONCATENATE("#Metadata!", ADDRESS(INDEX($AI$2:$AI$1001,MATCH(ROWS($AG$2:AG998),$AG$2:$AG$1001,0),0), INDEX($AN$1004:$BO$1004,1,MATCH(COLUMNS($AN$1006:BL1006),$AN$1006:$BO$1006,0)))),"Fix")))</f>
        <v>0</v>
      </c>
      <c r="AA998" s="4">
        <f>IF(OR(INDEX($AH$2:$AH$1001,MATCH(ROWS($AG$2:AG998),$AG$2:$AG$1001,0),1)&gt;=100000,INDEX($AN$1005:$BO$1005,1,MATCH(COLUMNS($AN$1006:BM1006),$AN$1006:$BO$1006,0))&gt;=100000), " ",IF(INDEX($AN$2:$BO$1001,MATCH(ROWS($AG$2:AG998),$AG$2:$AG$1001,0),MATCH(COLUMNS($AN$1006:BM1006),$AN$1006:$BO$1006,0)), HYPERLINK("#",""), HYPERLINK(CONCATENATE("#Metadata!", ADDRESS(INDEX($AI$2:$AI$1001,MATCH(ROWS($AG$2:AG998),$AG$2:$AG$1001,0),0), INDEX($AN$1004:$BO$1004,1,MATCH(COLUMNS($AN$1006:BM1006),$AN$1006:$BO$1006,0)))),"Fix")))</f>
        <v>0</v>
      </c>
      <c r="AB998" s="4">
        <f>IF(OR(INDEX($AH$2:$AH$1001,MATCH(ROWS($AG$2:AG998),$AG$2:$AG$1001,0),1)&gt;=100000,INDEX($AN$1005:$BO$1005,1,MATCH(COLUMNS($AN$1006:BN1006),$AN$1006:$BO$1006,0))&gt;=100000), " ",IF(INDEX($AN$2:$BO$1001,MATCH(ROWS($AG$2:AG998),$AG$2:$AG$1001,0),MATCH(COLUMNS($AN$1006:BN1006),$AN$1006:$BO$1006,0)), HYPERLINK("#",""), HYPERLINK(CONCATENATE("#Metadata!", ADDRESS(INDEX($AI$2:$AI$1001,MATCH(ROWS($AG$2:AG998),$AG$2:$AG$1001,0),0), INDEX($AN$1004:$BO$1004,1,MATCH(COLUMNS($AN$1006:BN1006),$AN$1006:$BO$1006,0)))),"Fix")))</f>
        <v>0</v>
      </c>
      <c r="AC998" s="4">
        <f>IF(OR(INDEX($AH$2:$AH$1001,MATCH(ROWS($AG$2:AG998),$AG$2:$AG$1001,0),1)&gt;=100000,INDEX($AN$1005:$BO$1005,1,MATCH(COLUMNS($AN$1006:BO1006),$AN$1006:$BO$1006,0))&gt;=100000), " ",IF(INDEX($AN$2:$BO$1001,MATCH(ROWS($AG$2:AG998),$AG$2:$AG$1001,0),MATCH(COLUMNS($AN$1006:BO1006),$AN$1006:$BO$1006,0)), HYPERLINK("#",""), HYPERLINK(CONCATENATE("#Metadata!", ADDRESS(INDEX($AI$2:$AI$1001,MATCH(ROWS($AG$2:AG998),$AG$2:$AG$1001,0),0), INDEX($AN$1004:$BO$1004,1,MATCH(COLUMNS($AN$1006:BO1006),$AN$1006:$BO$1006,0)))),"Fix")))</f>
        <v>0</v>
      </c>
      <c r="AG998">
        <v>0</v>
      </c>
      <c r="AH998">
        <v>0</v>
      </c>
      <c r="AI998">
        <v>0</v>
      </c>
      <c r="AJ998">
        <f>IF(AK998,TRUE,AND(AN998:BO998))</f>
        <v>0</v>
      </c>
      <c r="AK998">
        <f>COUNTBLANK(Metadata!B998:AC998)=COLUMNS(Metadata!B998:AC998)</f>
        <v>0</v>
      </c>
      <c r="AL998">
        <v>0</v>
      </c>
      <c r="AN998">
        <f>AND(IF(Metadata!B998="",FALSE,TRUE),COUNTIF(Metadata!B:B, Metadata!B998) = 1,NOT(ISERROR(SUMPRODUCT(SEARCH(MID(Metadata!B998,ROW(INDIRECT("1:"&amp;LEN(Metadata!B998))), 1),"0123456789abcdefghijklmnopqrstuvwxyzABCDEFGHIJKLMNOPQRSTUVWXYZ.")))))</f>
        <v>0</v>
      </c>
      <c r="AO998">
        <f>IF(Metadata!C998="",FALSE,TRUE)</f>
        <v>0</v>
      </c>
      <c r="AP998">
        <f>IF(Metadata!D998="",FALSE,TRUE)</f>
        <v>0</v>
      </c>
      <c r="AQ998">
        <f>OR(AND(IF(Metadata!E998="",FALSE,TRUE),OR(exact(Metadata!E998,"not collected"),exact(Metadata!E998,"not provided"),exact(Metadata!E998,"restricted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R998">
        <f>IF(Metadata!F998="",FALSE,TRUE)</f>
        <v>0</v>
      </c>
      <c r="AS998">
        <f>OR(AND(IF(Metadata!G998="",FALSE,TRUE),OR(exact(Metadata!G998,"not collected"),exact(Metadata!G998,"not provided"))),AND(IF(Metadata!G998="",FALSE,TRUE),OR(exact(Metadata!G998,"TRUE"),exact(Metadata!G998,"FALSE"))))</f>
        <v>0</v>
      </c>
      <c r="AT998">
        <f>OR(AND(IF(Metadata!H998="",FALSE,TRUE),OR(exact(Metadata!H998,"not collected"),exact(Metadata!H998,"not provided"),exact(Metadata!H998,"restricted access"))),AND(IF(Metadata!H998="",FALSE,ISNUMBER(VALUE(Metadata!H998))),Metadata!H998&gt;=-413.0))</f>
        <v>0</v>
      </c>
      <c r="AU998">
        <f>AND(IF(Metadata!I998="",FALSE,TRUE),exact(Metadata!I998,"meters"))</f>
        <v>0</v>
      </c>
      <c r="AV998">
        <f>AND(IF(Metadata!J998="",FALSE,TRUE),OR(exact(Metadata!J998,"Host-associated"),exact(Metadata!J998,"Free-living")))</f>
        <v>0</v>
      </c>
      <c r="AW998">
        <f>AND(IF(Metadata!K998="",FALSE,TRUE),OR(exact(Metadata!K998,"Animal"),exact(Metadata!K998,"Fungus"),exact(Metadata!K998,"Plant"),exact(Metadata!K998,"Saline"),exact(Metadata!K998,"Non-saline")))</f>
        <v>0</v>
      </c>
      <c r="AX998">
        <f>AND(IF(Metadata!L998="",FALSE,TRUE),OR(exact(Metadata!L998,"Plant secretion"),exact(Metadata!L998,"Plant rhizosphere"),exact(Metadata!L998,"Plant surface"),exact(Metadata!L998,"Plant corpus"),exact(Metadata!L998,"Fungus surface"),exact(Metadata!L998,"Fungus corpus"),exact(Metadata!L998,"Animal surface"),exact(Metadata!L998,"Animal proximal gut"),exact(Metadata!L998,"Animal corpus"),exact(Metadata!L998,"Animal distal gut"),exact(Metadata!L998,"Animal secretion"),exact(Metadata!L998,"Sub-surface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Y998">
        <f>IF(Metadata!M998="",FALSE,TRUE)</f>
        <v>0</v>
      </c>
      <c r="AZ998">
        <f>IF(Metadata!N998="",FALSE,TRUE)</f>
        <v>0</v>
      </c>
      <c r="BA998">
        <f>IF(Metadata!O998="",FALSE,TRUE)</f>
        <v>0</v>
      </c>
      <c r="BB998">
        <f>OR(AND(IF(Metadata!P998="",FALSE,TRUE),OR(exact(Metadata!P998,"not collected"),exact(Metadata!P998,"not provided"),exact(Metadata!P998,"restricted access"))),AND(IF(Metadata!P998="",FALSE,TRUE),OR(exact(Metadata!P998,"air"),exact(Metadata!P998,"built environment"),exact(Metadata!P998,"host-associated"),exact(Metadata!P998,"human-associated"),exact(Metadata!P998,"human-skin"),exact(Metadata!P998,"human-oral"),exact(Metadata!P998,"human-gut"),exact(Metadata!P998,"human-vaginal"),exact(Metadata!P998,"microbial mat/biofilm"),exact(Metadata!P998,"misc environment"),exact(Metadata!P998,"plant-associated"),exact(Metadata!P998,"sediment"),exact(Metadata!P998,"soil"),exact(Metadata!P998,"wastewater/sludge"),exact(Metadata!P998,"water"))))</f>
        <v>0</v>
      </c>
      <c r="BC998">
        <f>IF(Metadata!Q998="",FALSE,TRUE)</f>
        <v>0</v>
      </c>
      <c r="BD998">
        <f>IF(Metadata!R998="",FALSE,TRUE)</f>
        <v>0</v>
      </c>
      <c r="BE998">
        <f>OR(AND(IF(Metadata!S998="",FALSE,TRUE),OR(exact(Metadata!S998,"not collected"),exact(Metadata!S998,"not provided"),exact(Metadata!S998,"restricted access"))),AND(IF(Metadata!S998="",FALSE,ISNUMBER(VALUE(Metadata!S998))),Metadata!S998&gt;=-90.00,Metadata!S998&lt;=90.00))</f>
        <v>0</v>
      </c>
      <c r="BF998">
        <f>AND(IF(Metadata!T998="",FALSE,TRUE),exact(Metadata!T998,"Decimal degrees"))</f>
        <v>0</v>
      </c>
      <c r="BG998">
        <f>OR(AND(IF(Metadata!U998="",FALSE,TRUE),OR(exact(Metadata!U998,"not collected"),exact(Metadata!U998,"not provided"),exact(Metadata!U998,"restricted access"))),AND(IF(Metadata!U998="",FALSE,ISNUMBER(VALUE(Metadata!U998))),Metadata!U998&gt;=-180.00,Metadata!U998&lt;=180.00))</f>
        <v>0</v>
      </c>
      <c r="BH998">
        <f>AND(IF(Metadata!V998="",FALSE,TRUE),exact(Metadata!V998,"Decimal degrees"))</f>
        <v>0</v>
      </c>
      <c r="BI998">
        <f>IF(Metadata!W998="",FALSE,TRUE)</f>
        <v>0</v>
      </c>
      <c r="BJ998">
        <f>OR(AND(IF(Metadata!X998="",FALSE,TRUE),OR(exact(Metadata!X998,"not collected"),exact(Metadata!X998,"not provided"),exact(Metadata!X998,"restricted access"))),AND(IF(Metadata!X998="",FALSE,TRUE),OR(exact(Metadata!X998,"TRUE"),exact(Metadata!X998,"FALSE"))))</f>
        <v>0</v>
      </c>
      <c r="BK998">
        <f>AND(IF(Metadata!Y998="",FALSE,TRUE),exact(Metadata!Y998,"other"))</f>
        <v>0</v>
      </c>
      <c r="BL998">
        <f>IF(Metadata!Z998="",FALSE,TRUE)</f>
        <v>0</v>
      </c>
      <c r="BM998">
        <f>OR(AND(IF(Metadata!AA998="",FALSE,TRUE),OR(exact(Metadata!AA998,"not collected"),exact(Metadata!AA998,"not provided"))),AND(IF(Metadata!AA998="",FALSE,IF(ISERROR(INT(Metadata!AA998)),FALSE,INT(Metadata!AA998)=Metadata!AA998)),Metadata!AA998&gt;0))</f>
        <v>0</v>
      </c>
      <c r="BN998">
        <f>AND(IF(Metadata!AB998="",FALSE,TRUE),exact(Metadata!AB998,"Not applicable"))</f>
        <v>0</v>
      </c>
      <c r="BO998">
        <f>IF(Metadata!AC998="",FALSE,TRUE)</f>
        <v>0</v>
      </c>
    </row>
    <row r="999" spans="1:67">
      <c r="A999" s="5">
        <f>IF(B999=" "," ",HYPERLINK(CONCATENATE("#metadata!",ADDRESS(INDEX($AI$2:$AI$1001,MATCH(ROWS($AG$2:AG999),$AG$2:$AG$1001,0),0),1)),INDEX($AL$2:$AL$1001,MATCH(ROWS($AG$2:AG999),$AG$2:$AG$1001,0),0)))</f>
        <v>0</v>
      </c>
      <c r="B999" s="4">
        <f>IF(OR(INDEX($AH$2:$AH$1001,MATCH(ROWS($AG$2:AG999),$AG$2:$AG$1001,0),1)&gt;=100000,INDEX($AN$1005:$BO$1005,1,MATCH(COLUMNS($AN$1006:AN1006),$AN$1006:$BO$1006,0))&gt;=100000), " ",IF(INDEX($AN$2:$BO$1001,MATCH(ROWS($AG$2:AG999),$AG$2:$AG$1001,0),MATCH(COLUMNS($AN$1006:AN1006),$AN$1006:$BO$1006,0)), HYPERLINK("#",""), HYPERLINK(CONCATENATE("#Metadata!", ADDRESS(INDEX($AI$2:$AI$1001,MATCH(ROWS($AG$2:AG999),$AG$2:$AG$1001,0),0), INDEX($AN$1004:$BO$1004,1,MATCH(COLUMNS($AN$1006:AN1006),$AN$1006:$BO$1006,0)))),"Fix")))</f>
        <v>0</v>
      </c>
      <c r="C999" s="4">
        <f>IF(OR(INDEX($AH$2:$AH$1001,MATCH(ROWS($AG$2:AG999),$AG$2:$AG$1001,0),1)&gt;=100000,INDEX($AN$1005:$BO$1005,1,MATCH(COLUMNS($AN$1006:AO1006),$AN$1006:$BO$1006,0))&gt;=100000), " ",IF(INDEX($AN$2:$BO$1001,MATCH(ROWS($AG$2:AG999),$AG$2:$AG$1001,0),MATCH(COLUMNS($AN$1006:AO1006),$AN$1006:$BO$1006,0)), HYPERLINK("#",""), HYPERLINK(CONCATENATE("#Metadata!", ADDRESS(INDEX($AI$2:$AI$1001,MATCH(ROWS($AG$2:AG999),$AG$2:$AG$1001,0),0), INDEX($AN$1004:$BO$1004,1,MATCH(COLUMNS($AN$1006:AO1006),$AN$1006:$BO$1006,0)))),"Fix")))</f>
        <v>0</v>
      </c>
      <c r="D999" s="4">
        <f>IF(OR(INDEX($AH$2:$AH$1001,MATCH(ROWS($AG$2:AG999),$AG$2:$AG$1001,0),1)&gt;=100000,INDEX($AN$1005:$BO$1005,1,MATCH(COLUMNS($AN$1006:AP1006),$AN$1006:$BO$1006,0))&gt;=100000), " ",IF(INDEX($AN$2:$BO$1001,MATCH(ROWS($AG$2:AG999),$AG$2:$AG$1001,0),MATCH(COLUMNS($AN$1006:AP1006),$AN$1006:$BO$1006,0)), HYPERLINK("#",""), HYPERLINK(CONCATENATE("#Metadata!", ADDRESS(INDEX($AI$2:$AI$1001,MATCH(ROWS($AG$2:AG999),$AG$2:$AG$1001,0),0), INDEX($AN$1004:$BO$1004,1,MATCH(COLUMNS($AN$1006:AP1006),$AN$1006:$BO$1006,0)))),"Fix")))</f>
        <v>0</v>
      </c>
      <c r="E999" s="4">
        <f>IF(OR(INDEX($AH$2:$AH$1001,MATCH(ROWS($AG$2:AG999),$AG$2:$AG$1001,0),1)&gt;=100000,INDEX($AN$1005:$BO$1005,1,MATCH(COLUMNS($AN$1006:AQ1006),$AN$1006:$BO$1006,0))&gt;=100000), " ",IF(INDEX($AN$2:$BO$1001,MATCH(ROWS($AG$2:AG999),$AG$2:$AG$1001,0),MATCH(COLUMNS($AN$1006:AQ1006),$AN$1006:$BO$1006,0)), HYPERLINK("#",""), HYPERLINK(CONCATENATE("#Metadata!", ADDRESS(INDEX($AI$2:$AI$1001,MATCH(ROWS($AG$2:AG999),$AG$2:$AG$1001,0),0), INDEX($AN$1004:$BO$1004,1,MATCH(COLUMNS($AN$1006:AQ1006),$AN$1006:$BO$1006,0)))),"Fix")))</f>
        <v>0</v>
      </c>
      <c r="F999" s="4">
        <f>IF(OR(INDEX($AH$2:$AH$1001,MATCH(ROWS($AG$2:AG999),$AG$2:$AG$1001,0),1)&gt;=100000,INDEX($AN$1005:$BO$1005,1,MATCH(COLUMNS($AN$1006:AR1006),$AN$1006:$BO$1006,0))&gt;=100000), " ",IF(INDEX($AN$2:$BO$1001,MATCH(ROWS($AG$2:AG999),$AG$2:$AG$1001,0),MATCH(COLUMNS($AN$1006:AR1006),$AN$1006:$BO$1006,0)), HYPERLINK("#",""), HYPERLINK(CONCATENATE("#Metadata!", ADDRESS(INDEX($AI$2:$AI$1001,MATCH(ROWS($AG$2:AG999),$AG$2:$AG$1001,0),0), INDEX($AN$1004:$BO$1004,1,MATCH(COLUMNS($AN$1006:AR1006),$AN$1006:$BO$1006,0)))),"Fix")))</f>
        <v>0</v>
      </c>
      <c r="G999" s="4">
        <f>IF(OR(INDEX($AH$2:$AH$1001,MATCH(ROWS($AG$2:AG999),$AG$2:$AG$1001,0),1)&gt;=100000,INDEX($AN$1005:$BO$1005,1,MATCH(COLUMNS($AN$1006:AS1006),$AN$1006:$BO$1006,0))&gt;=100000), " ",IF(INDEX($AN$2:$BO$1001,MATCH(ROWS($AG$2:AG999),$AG$2:$AG$1001,0),MATCH(COLUMNS($AN$1006:AS1006),$AN$1006:$BO$1006,0)), HYPERLINK("#",""), HYPERLINK(CONCATENATE("#Metadata!", ADDRESS(INDEX($AI$2:$AI$1001,MATCH(ROWS($AG$2:AG999),$AG$2:$AG$1001,0),0), INDEX($AN$1004:$BO$1004,1,MATCH(COLUMNS($AN$1006:AS1006),$AN$1006:$BO$1006,0)))),"Fix")))</f>
        <v>0</v>
      </c>
      <c r="H999" s="4">
        <f>IF(OR(INDEX($AH$2:$AH$1001,MATCH(ROWS($AG$2:AG999),$AG$2:$AG$1001,0),1)&gt;=100000,INDEX($AN$1005:$BO$1005,1,MATCH(COLUMNS($AN$1006:AT1006),$AN$1006:$BO$1006,0))&gt;=100000), " ",IF(INDEX($AN$2:$BO$1001,MATCH(ROWS($AG$2:AG999),$AG$2:$AG$1001,0),MATCH(COLUMNS($AN$1006:AT1006),$AN$1006:$BO$1006,0)), HYPERLINK("#",""), HYPERLINK(CONCATENATE("#Metadata!", ADDRESS(INDEX($AI$2:$AI$1001,MATCH(ROWS($AG$2:AG999),$AG$2:$AG$1001,0),0), INDEX($AN$1004:$BO$1004,1,MATCH(COLUMNS($AN$1006:AT1006),$AN$1006:$BO$1006,0)))),"Fix")))</f>
        <v>0</v>
      </c>
      <c r="I999" s="4">
        <f>IF(OR(INDEX($AH$2:$AH$1001,MATCH(ROWS($AG$2:AG999),$AG$2:$AG$1001,0),1)&gt;=100000,INDEX($AN$1005:$BO$1005,1,MATCH(COLUMNS($AN$1006:AU1006),$AN$1006:$BO$1006,0))&gt;=100000), " ",IF(INDEX($AN$2:$BO$1001,MATCH(ROWS($AG$2:AG999),$AG$2:$AG$1001,0),MATCH(COLUMNS($AN$1006:AU1006),$AN$1006:$BO$1006,0)), HYPERLINK("#",""), HYPERLINK(CONCATENATE("#Metadata!", ADDRESS(INDEX($AI$2:$AI$1001,MATCH(ROWS($AG$2:AG999),$AG$2:$AG$1001,0),0), INDEX($AN$1004:$BO$1004,1,MATCH(COLUMNS($AN$1006:AU1006),$AN$1006:$BO$1006,0)))),"Fix")))</f>
        <v>0</v>
      </c>
      <c r="J999" s="4">
        <f>IF(OR(INDEX($AH$2:$AH$1001,MATCH(ROWS($AG$2:AG999),$AG$2:$AG$1001,0),1)&gt;=100000,INDEX($AN$1005:$BO$1005,1,MATCH(COLUMNS($AN$1006:AV1006),$AN$1006:$BO$1006,0))&gt;=100000), " ",IF(INDEX($AN$2:$BO$1001,MATCH(ROWS($AG$2:AG999),$AG$2:$AG$1001,0),MATCH(COLUMNS($AN$1006:AV1006),$AN$1006:$BO$1006,0)), HYPERLINK("#",""), HYPERLINK(CONCATENATE("#Metadata!", ADDRESS(INDEX($AI$2:$AI$1001,MATCH(ROWS($AG$2:AG999),$AG$2:$AG$1001,0),0), INDEX($AN$1004:$BO$1004,1,MATCH(COLUMNS($AN$1006:AV1006),$AN$1006:$BO$1006,0)))),"Fix")))</f>
        <v>0</v>
      </c>
      <c r="K999" s="4">
        <f>IF(OR(INDEX($AH$2:$AH$1001,MATCH(ROWS($AG$2:AG999),$AG$2:$AG$1001,0),1)&gt;=100000,INDEX($AN$1005:$BO$1005,1,MATCH(COLUMNS($AN$1006:AW1006),$AN$1006:$BO$1006,0))&gt;=100000), " ",IF(INDEX($AN$2:$BO$1001,MATCH(ROWS($AG$2:AG999),$AG$2:$AG$1001,0),MATCH(COLUMNS($AN$1006:AW1006),$AN$1006:$BO$1006,0)), HYPERLINK("#",""), HYPERLINK(CONCATENATE("#Metadata!", ADDRESS(INDEX($AI$2:$AI$1001,MATCH(ROWS($AG$2:AG999),$AG$2:$AG$1001,0),0), INDEX($AN$1004:$BO$1004,1,MATCH(COLUMNS($AN$1006:AW1006),$AN$1006:$BO$1006,0)))),"Fix")))</f>
        <v>0</v>
      </c>
      <c r="L999" s="4">
        <f>IF(OR(INDEX($AH$2:$AH$1001,MATCH(ROWS($AG$2:AG999),$AG$2:$AG$1001,0),1)&gt;=100000,INDEX($AN$1005:$BO$1005,1,MATCH(COLUMNS($AN$1006:AX1006),$AN$1006:$BO$1006,0))&gt;=100000), " ",IF(INDEX($AN$2:$BO$1001,MATCH(ROWS($AG$2:AG999),$AG$2:$AG$1001,0),MATCH(COLUMNS($AN$1006:AX1006),$AN$1006:$BO$1006,0)), HYPERLINK("#",""), HYPERLINK(CONCATENATE("#Metadata!", ADDRESS(INDEX($AI$2:$AI$1001,MATCH(ROWS($AG$2:AG999),$AG$2:$AG$1001,0),0), INDEX($AN$1004:$BO$1004,1,MATCH(COLUMNS($AN$1006:AX1006),$AN$1006:$BO$1006,0)))),"Fix")))</f>
        <v>0</v>
      </c>
      <c r="M999" s="4">
        <f>IF(OR(INDEX($AH$2:$AH$1001,MATCH(ROWS($AG$2:AG999),$AG$2:$AG$1001,0),1)&gt;=100000,INDEX($AN$1005:$BO$1005,1,MATCH(COLUMNS($AN$1006:AY1006),$AN$1006:$BO$1006,0))&gt;=100000), " ",IF(INDEX($AN$2:$BO$1001,MATCH(ROWS($AG$2:AG999),$AG$2:$AG$1001,0),MATCH(COLUMNS($AN$1006:AY1006),$AN$1006:$BO$1006,0)), HYPERLINK("#",""), HYPERLINK(CONCATENATE("#Metadata!", ADDRESS(INDEX($AI$2:$AI$1001,MATCH(ROWS($AG$2:AG999),$AG$2:$AG$1001,0),0), INDEX($AN$1004:$BO$1004,1,MATCH(COLUMNS($AN$1006:AY1006),$AN$1006:$BO$1006,0)))),"Fix")))</f>
        <v>0</v>
      </c>
      <c r="N999" s="4">
        <f>IF(OR(INDEX($AH$2:$AH$1001,MATCH(ROWS($AG$2:AG999),$AG$2:$AG$1001,0),1)&gt;=100000,INDEX($AN$1005:$BO$1005,1,MATCH(COLUMNS($AN$1006:AZ1006),$AN$1006:$BO$1006,0))&gt;=100000), " ",IF(INDEX($AN$2:$BO$1001,MATCH(ROWS($AG$2:AG999),$AG$2:$AG$1001,0),MATCH(COLUMNS($AN$1006:AZ1006),$AN$1006:$BO$1006,0)), HYPERLINK("#",""), HYPERLINK(CONCATENATE("#Metadata!", ADDRESS(INDEX($AI$2:$AI$1001,MATCH(ROWS($AG$2:AG999),$AG$2:$AG$1001,0),0), INDEX($AN$1004:$BO$1004,1,MATCH(COLUMNS($AN$1006:AZ1006),$AN$1006:$BO$1006,0)))),"Fix")))</f>
        <v>0</v>
      </c>
      <c r="O999" s="4">
        <f>IF(OR(INDEX($AH$2:$AH$1001,MATCH(ROWS($AG$2:AG999),$AG$2:$AG$1001,0),1)&gt;=100000,INDEX($AN$1005:$BO$1005,1,MATCH(COLUMNS($AN$1006:BA1006),$AN$1006:$BO$1006,0))&gt;=100000), " ",IF(INDEX($AN$2:$BO$1001,MATCH(ROWS($AG$2:AG999),$AG$2:$AG$1001,0),MATCH(COLUMNS($AN$1006:BA1006),$AN$1006:$BO$1006,0)), HYPERLINK("#",""), HYPERLINK(CONCATENATE("#Metadata!", ADDRESS(INDEX($AI$2:$AI$1001,MATCH(ROWS($AG$2:AG999),$AG$2:$AG$1001,0),0), INDEX($AN$1004:$BO$1004,1,MATCH(COLUMNS($AN$1006:BA1006),$AN$1006:$BO$1006,0)))),"Fix")))</f>
        <v>0</v>
      </c>
      <c r="P999" s="4">
        <f>IF(OR(INDEX($AH$2:$AH$1001,MATCH(ROWS($AG$2:AG999),$AG$2:$AG$1001,0),1)&gt;=100000,INDEX($AN$1005:$BO$1005,1,MATCH(COLUMNS($AN$1006:BB1006),$AN$1006:$BO$1006,0))&gt;=100000), " ",IF(INDEX($AN$2:$BO$1001,MATCH(ROWS($AG$2:AG999),$AG$2:$AG$1001,0),MATCH(COLUMNS($AN$1006:BB1006),$AN$1006:$BO$1006,0)), HYPERLINK("#",""), HYPERLINK(CONCATENATE("#Metadata!", ADDRESS(INDEX($AI$2:$AI$1001,MATCH(ROWS($AG$2:AG999),$AG$2:$AG$1001,0),0), INDEX($AN$1004:$BO$1004,1,MATCH(COLUMNS($AN$1006:BB1006),$AN$1006:$BO$1006,0)))),"Fix")))</f>
        <v>0</v>
      </c>
      <c r="Q999" s="4">
        <f>IF(OR(INDEX($AH$2:$AH$1001,MATCH(ROWS($AG$2:AG999),$AG$2:$AG$1001,0),1)&gt;=100000,INDEX($AN$1005:$BO$1005,1,MATCH(COLUMNS($AN$1006:BC1006),$AN$1006:$BO$1006,0))&gt;=100000), " ",IF(INDEX($AN$2:$BO$1001,MATCH(ROWS($AG$2:AG999),$AG$2:$AG$1001,0),MATCH(COLUMNS($AN$1006:BC1006),$AN$1006:$BO$1006,0)), HYPERLINK("#",""), HYPERLINK(CONCATENATE("#Metadata!", ADDRESS(INDEX($AI$2:$AI$1001,MATCH(ROWS($AG$2:AG999),$AG$2:$AG$1001,0),0), INDEX($AN$1004:$BO$1004,1,MATCH(COLUMNS($AN$1006:BC1006),$AN$1006:$BO$1006,0)))),"Fix")))</f>
        <v>0</v>
      </c>
      <c r="R999" s="4">
        <f>IF(OR(INDEX($AH$2:$AH$1001,MATCH(ROWS($AG$2:AG999),$AG$2:$AG$1001,0),1)&gt;=100000,INDEX($AN$1005:$BO$1005,1,MATCH(COLUMNS($AN$1006:BD1006),$AN$1006:$BO$1006,0))&gt;=100000), " ",IF(INDEX($AN$2:$BO$1001,MATCH(ROWS($AG$2:AG999),$AG$2:$AG$1001,0),MATCH(COLUMNS($AN$1006:BD1006),$AN$1006:$BO$1006,0)), HYPERLINK("#",""), HYPERLINK(CONCATENATE("#Metadata!", ADDRESS(INDEX($AI$2:$AI$1001,MATCH(ROWS($AG$2:AG999),$AG$2:$AG$1001,0),0), INDEX($AN$1004:$BO$1004,1,MATCH(COLUMNS($AN$1006:BD1006),$AN$1006:$BO$1006,0)))),"Fix")))</f>
        <v>0</v>
      </c>
      <c r="S999" s="4">
        <f>IF(OR(INDEX($AH$2:$AH$1001,MATCH(ROWS($AG$2:AG999),$AG$2:$AG$1001,0),1)&gt;=100000,INDEX($AN$1005:$BO$1005,1,MATCH(COLUMNS($AN$1006:BE1006),$AN$1006:$BO$1006,0))&gt;=100000), " ",IF(INDEX($AN$2:$BO$1001,MATCH(ROWS($AG$2:AG999),$AG$2:$AG$1001,0),MATCH(COLUMNS($AN$1006:BE1006),$AN$1006:$BO$1006,0)), HYPERLINK("#",""), HYPERLINK(CONCATENATE("#Metadata!", ADDRESS(INDEX($AI$2:$AI$1001,MATCH(ROWS($AG$2:AG999),$AG$2:$AG$1001,0),0), INDEX($AN$1004:$BO$1004,1,MATCH(COLUMNS($AN$1006:BE1006),$AN$1006:$BO$1006,0)))),"Fix")))</f>
        <v>0</v>
      </c>
      <c r="T999" s="4">
        <f>IF(OR(INDEX($AH$2:$AH$1001,MATCH(ROWS($AG$2:AG999),$AG$2:$AG$1001,0),1)&gt;=100000,INDEX($AN$1005:$BO$1005,1,MATCH(COLUMNS($AN$1006:BF1006),$AN$1006:$BO$1006,0))&gt;=100000), " ",IF(INDEX($AN$2:$BO$1001,MATCH(ROWS($AG$2:AG999),$AG$2:$AG$1001,0),MATCH(COLUMNS($AN$1006:BF1006),$AN$1006:$BO$1006,0)), HYPERLINK("#",""), HYPERLINK(CONCATENATE("#Metadata!", ADDRESS(INDEX($AI$2:$AI$1001,MATCH(ROWS($AG$2:AG999),$AG$2:$AG$1001,0),0), INDEX($AN$1004:$BO$1004,1,MATCH(COLUMNS($AN$1006:BF1006),$AN$1006:$BO$1006,0)))),"Fix")))</f>
        <v>0</v>
      </c>
      <c r="U999" s="4">
        <f>IF(OR(INDEX($AH$2:$AH$1001,MATCH(ROWS($AG$2:AG999),$AG$2:$AG$1001,0),1)&gt;=100000,INDEX($AN$1005:$BO$1005,1,MATCH(COLUMNS($AN$1006:BG1006),$AN$1006:$BO$1006,0))&gt;=100000), " ",IF(INDEX($AN$2:$BO$1001,MATCH(ROWS($AG$2:AG999),$AG$2:$AG$1001,0),MATCH(COLUMNS($AN$1006:BG1006),$AN$1006:$BO$1006,0)), HYPERLINK("#",""), HYPERLINK(CONCATENATE("#Metadata!", ADDRESS(INDEX($AI$2:$AI$1001,MATCH(ROWS($AG$2:AG999),$AG$2:$AG$1001,0),0), INDEX($AN$1004:$BO$1004,1,MATCH(COLUMNS($AN$1006:BG1006),$AN$1006:$BO$1006,0)))),"Fix")))</f>
        <v>0</v>
      </c>
      <c r="V999" s="4">
        <f>IF(OR(INDEX($AH$2:$AH$1001,MATCH(ROWS($AG$2:AG999),$AG$2:$AG$1001,0),1)&gt;=100000,INDEX($AN$1005:$BO$1005,1,MATCH(COLUMNS($AN$1006:BH1006),$AN$1006:$BO$1006,0))&gt;=100000), " ",IF(INDEX($AN$2:$BO$1001,MATCH(ROWS($AG$2:AG999),$AG$2:$AG$1001,0),MATCH(COLUMNS($AN$1006:BH1006),$AN$1006:$BO$1006,0)), HYPERLINK("#",""), HYPERLINK(CONCATENATE("#Metadata!", ADDRESS(INDEX($AI$2:$AI$1001,MATCH(ROWS($AG$2:AG999),$AG$2:$AG$1001,0),0), INDEX($AN$1004:$BO$1004,1,MATCH(COLUMNS($AN$1006:BH1006),$AN$1006:$BO$1006,0)))),"Fix")))</f>
        <v>0</v>
      </c>
      <c r="W999" s="4">
        <f>IF(OR(INDEX($AH$2:$AH$1001,MATCH(ROWS($AG$2:AG999),$AG$2:$AG$1001,0),1)&gt;=100000,INDEX($AN$1005:$BO$1005,1,MATCH(COLUMNS($AN$1006:BI1006),$AN$1006:$BO$1006,0))&gt;=100000), " ",IF(INDEX($AN$2:$BO$1001,MATCH(ROWS($AG$2:AG999),$AG$2:$AG$1001,0),MATCH(COLUMNS($AN$1006:BI1006),$AN$1006:$BO$1006,0)), HYPERLINK("#",""), HYPERLINK(CONCATENATE("#Metadata!", ADDRESS(INDEX($AI$2:$AI$1001,MATCH(ROWS($AG$2:AG999),$AG$2:$AG$1001,0),0), INDEX($AN$1004:$BO$1004,1,MATCH(COLUMNS($AN$1006:BI1006),$AN$1006:$BO$1006,0)))),"Fix")))</f>
        <v>0</v>
      </c>
      <c r="X999" s="4">
        <f>IF(OR(INDEX($AH$2:$AH$1001,MATCH(ROWS($AG$2:AG999),$AG$2:$AG$1001,0),1)&gt;=100000,INDEX($AN$1005:$BO$1005,1,MATCH(COLUMNS($AN$1006:BJ1006),$AN$1006:$BO$1006,0))&gt;=100000), " ",IF(INDEX($AN$2:$BO$1001,MATCH(ROWS($AG$2:AG999),$AG$2:$AG$1001,0),MATCH(COLUMNS($AN$1006:BJ1006),$AN$1006:$BO$1006,0)), HYPERLINK("#",""), HYPERLINK(CONCATENATE("#Metadata!", ADDRESS(INDEX($AI$2:$AI$1001,MATCH(ROWS($AG$2:AG999),$AG$2:$AG$1001,0),0), INDEX($AN$1004:$BO$1004,1,MATCH(COLUMNS($AN$1006:BJ1006),$AN$1006:$BO$1006,0)))),"Fix")))</f>
        <v>0</v>
      </c>
      <c r="Y999" s="4">
        <f>IF(OR(INDEX($AH$2:$AH$1001,MATCH(ROWS($AG$2:AG999),$AG$2:$AG$1001,0),1)&gt;=100000,INDEX($AN$1005:$BO$1005,1,MATCH(COLUMNS($AN$1006:BK1006),$AN$1006:$BO$1006,0))&gt;=100000), " ",IF(INDEX($AN$2:$BO$1001,MATCH(ROWS($AG$2:AG999),$AG$2:$AG$1001,0),MATCH(COLUMNS($AN$1006:BK1006),$AN$1006:$BO$1006,0)), HYPERLINK("#",""), HYPERLINK(CONCATENATE("#Metadata!", ADDRESS(INDEX($AI$2:$AI$1001,MATCH(ROWS($AG$2:AG999),$AG$2:$AG$1001,0),0), INDEX($AN$1004:$BO$1004,1,MATCH(COLUMNS($AN$1006:BK1006),$AN$1006:$BO$1006,0)))),"Fix")))</f>
        <v>0</v>
      </c>
      <c r="Z999" s="4">
        <f>IF(OR(INDEX($AH$2:$AH$1001,MATCH(ROWS($AG$2:AG999),$AG$2:$AG$1001,0),1)&gt;=100000,INDEX($AN$1005:$BO$1005,1,MATCH(COLUMNS($AN$1006:BL1006),$AN$1006:$BO$1006,0))&gt;=100000), " ",IF(INDEX($AN$2:$BO$1001,MATCH(ROWS($AG$2:AG999),$AG$2:$AG$1001,0),MATCH(COLUMNS($AN$1006:BL1006),$AN$1006:$BO$1006,0)), HYPERLINK("#",""), HYPERLINK(CONCATENATE("#Metadata!", ADDRESS(INDEX($AI$2:$AI$1001,MATCH(ROWS($AG$2:AG999),$AG$2:$AG$1001,0),0), INDEX($AN$1004:$BO$1004,1,MATCH(COLUMNS($AN$1006:BL1006),$AN$1006:$BO$1006,0)))),"Fix")))</f>
        <v>0</v>
      </c>
      <c r="AA999" s="4">
        <f>IF(OR(INDEX($AH$2:$AH$1001,MATCH(ROWS($AG$2:AG999),$AG$2:$AG$1001,0),1)&gt;=100000,INDEX($AN$1005:$BO$1005,1,MATCH(COLUMNS($AN$1006:BM1006),$AN$1006:$BO$1006,0))&gt;=100000), " ",IF(INDEX($AN$2:$BO$1001,MATCH(ROWS($AG$2:AG999),$AG$2:$AG$1001,0),MATCH(COLUMNS($AN$1006:BM1006),$AN$1006:$BO$1006,0)), HYPERLINK("#",""), HYPERLINK(CONCATENATE("#Metadata!", ADDRESS(INDEX($AI$2:$AI$1001,MATCH(ROWS($AG$2:AG999),$AG$2:$AG$1001,0),0), INDEX($AN$1004:$BO$1004,1,MATCH(COLUMNS($AN$1006:BM1006),$AN$1006:$BO$1006,0)))),"Fix")))</f>
        <v>0</v>
      </c>
      <c r="AB999" s="4">
        <f>IF(OR(INDEX($AH$2:$AH$1001,MATCH(ROWS($AG$2:AG999),$AG$2:$AG$1001,0),1)&gt;=100000,INDEX($AN$1005:$BO$1005,1,MATCH(COLUMNS($AN$1006:BN1006),$AN$1006:$BO$1006,0))&gt;=100000), " ",IF(INDEX($AN$2:$BO$1001,MATCH(ROWS($AG$2:AG999),$AG$2:$AG$1001,0),MATCH(COLUMNS($AN$1006:BN1006),$AN$1006:$BO$1006,0)), HYPERLINK("#",""), HYPERLINK(CONCATENATE("#Metadata!", ADDRESS(INDEX($AI$2:$AI$1001,MATCH(ROWS($AG$2:AG999),$AG$2:$AG$1001,0),0), INDEX($AN$1004:$BO$1004,1,MATCH(COLUMNS($AN$1006:BN1006),$AN$1006:$BO$1006,0)))),"Fix")))</f>
        <v>0</v>
      </c>
      <c r="AC999" s="4">
        <f>IF(OR(INDEX($AH$2:$AH$1001,MATCH(ROWS($AG$2:AG999),$AG$2:$AG$1001,0),1)&gt;=100000,INDEX($AN$1005:$BO$1005,1,MATCH(COLUMNS($AN$1006:BO1006),$AN$1006:$BO$1006,0))&gt;=100000), " ",IF(INDEX($AN$2:$BO$1001,MATCH(ROWS($AG$2:AG999),$AG$2:$AG$1001,0),MATCH(COLUMNS($AN$1006:BO1006),$AN$1006:$BO$1006,0)), HYPERLINK("#",""), HYPERLINK(CONCATENATE("#Metadata!", ADDRESS(INDEX($AI$2:$AI$1001,MATCH(ROWS($AG$2:AG999),$AG$2:$AG$1001,0),0), INDEX($AN$1004:$BO$1004,1,MATCH(COLUMNS($AN$1006:BO1006),$AN$1006:$BO$1006,0)))),"Fix")))</f>
        <v>0</v>
      </c>
      <c r="AG999">
        <v>0</v>
      </c>
      <c r="AH999">
        <v>0</v>
      </c>
      <c r="AI999">
        <v>0</v>
      </c>
      <c r="AJ999">
        <f>IF(AK999,TRUE,AND(AN999:BO999))</f>
        <v>0</v>
      </c>
      <c r="AK999">
        <f>COUNTBLANK(Metadata!B999:AC999)=COLUMNS(Metadata!B999:AC999)</f>
        <v>0</v>
      </c>
      <c r="AL999">
        <v>0</v>
      </c>
      <c r="AN999">
        <f>AND(IF(Metadata!B999="",FALSE,TRUE),COUNTIF(Metadata!B:B, Metadata!B999) = 1,NOT(ISERROR(SUMPRODUCT(SEARCH(MID(Metadata!B999,ROW(INDIRECT("1:"&amp;LEN(Metadata!B999))), 1),"0123456789abcdefghijklmnopqrstuvwxyzABCDEFGHIJKLMNOPQRSTUVWXYZ.")))))</f>
        <v>0</v>
      </c>
      <c r="AO999">
        <f>IF(Metadata!C999="",FALSE,TRUE)</f>
        <v>0</v>
      </c>
      <c r="AP999">
        <f>IF(Metadata!D999="",FALSE,TRUE)</f>
        <v>0</v>
      </c>
      <c r="AQ999">
        <f>OR(AND(IF(Metadata!E999="",FALSE,TRUE),OR(exact(Metadata!E999,"not collected"),exact(Metadata!E999,"not provided"),exact(Metadata!E999,"restricted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R999">
        <f>IF(Metadata!F999="",FALSE,TRUE)</f>
        <v>0</v>
      </c>
      <c r="AS999">
        <f>OR(AND(IF(Metadata!G999="",FALSE,TRUE),OR(exact(Metadata!G999,"not collected"),exact(Metadata!G999,"not provided"))),AND(IF(Metadata!G999="",FALSE,TRUE),OR(exact(Metadata!G999,"TRUE"),exact(Metadata!G999,"FALSE"))))</f>
        <v>0</v>
      </c>
      <c r="AT999">
        <f>OR(AND(IF(Metadata!H999="",FALSE,TRUE),OR(exact(Metadata!H999,"not collected"),exact(Metadata!H999,"not provided"),exact(Metadata!H999,"restricted access"))),AND(IF(Metadata!H999="",FALSE,ISNUMBER(VALUE(Metadata!H999))),Metadata!H999&gt;=-413.0))</f>
        <v>0</v>
      </c>
      <c r="AU999">
        <f>AND(IF(Metadata!I999="",FALSE,TRUE),exact(Metadata!I999,"meters"))</f>
        <v>0</v>
      </c>
      <c r="AV999">
        <f>AND(IF(Metadata!J999="",FALSE,TRUE),OR(exact(Metadata!J999,"Host-associated"),exact(Metadata!J999,"Free-living")))</f>
        <v>0</v>
      </c>
      <c r="AW999">
        <f>AND(IF(Metadata!K999="",FALSE,TRUE),OR(exact(Metadata!K999,"Animal"),exact(Metadata!K999,"Fungus"),exact(Metadata!K999,"Plant"),exact(Metadata!K999,"Saline"),exact(Metadata!K999,"Non-saline")))</f>
        <v>0</v>
      </c>
      <c r="AX999">
        <f>AND(IF(Metadata!L999="",FALSE,TRUE),OR(exact(Metadata!L999,"Plant secretion"),exact(Metadata!L999,"Plant rhizosphere"),exact(Metadata!L999,"Plant surface"),exact(Metadata!L999,"Plant corpus"),exact(Metadata!L999,"Fungus surface"),exact(Metadata!L999,"Fungus corpus"),exact(Metadata!L999,"Animal surface"),exact(Metadata!L999,"Animal proximal gut"),exact(Metadata!L999,"Animal corpus"),exact(Metadata!L999,"Animal distal gut"),exact(Metadata!L999,"Animal secretion"),exact(Metadata!L999,"Sub-surface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Y999">
        <f>IF(Metadata!M999="",FALSE,TRUE)</f>
        <v>0</v>
      </c>
      <c r="AZ999">
        <f>IF(Metadata!N999="",FALSE,TRUE)</f>
        <v>0</v>
      </c>
      <c r="BA999">
        <f>IF(Metadata!O999="",FALSE,TRUE)</f>
        <v>0</v>
      </c>
      <c r="BB999">
        <f>OR(AND(IF(Metadata!P999="",FALSE,TRUE),OR(exact(Metadata!P999,"not collected"),exact(Metadata!P999,"not provided"),exact(Metadata!P999,"restricted access"))),AND(IF(Metadata!P999="",FALSE,TRUE),OR(exact(Metadata!P999,"air"),exact(Metadata!P999,"built environment"),exact(Metadata!P999,"host-associated"),exact(Metadata!P999,"human-associated"),exact(Metadata!P999,"human-skin"),exact(Metadata!P999,"human-oral"),exact(Metadata!P999,"human-gut"),exact(Metadata!P999,"human-vaginal"),exact(Metadata!P999,"microbial mat/biofilm"),exact(Metadata!P999,"misc environment"),exact(Metadata!P999,"plant-associated"),exact(Metadata!P999,"sediment"),exact(Metadata!P999,"soil"),exact(Metadata!P999,"wastewater/sludge"),exact(Metadata!P999,"water"))))</f>
        <v>0</v>
      </c>
      <c r="BC999">
        <f>IF(Metadata!Q999="",FALSE,TRUE)</f>
        <v>0</v>
      </c>
      <c r="BD999">
        <f>IF(Metadata!R999="",FALSE,TRUE)</f>
        <v>0</v>
      </c>
      <c r="BE999">
        <f>OR(AND(IF(Metadata!S999="",FALSE,TRUE),OR(exact(Metadata!S999,"not collected"),exact(Metadata!S999,"not provided"),exact(Metadata!S999,"restricted access"))),AND(IF(Metadata!S999="",FALSE,ISNUMBER(VALUE(Metadata!S999))),Metadata!S999&gt;=-90.00,Metadata!S999&lt;=90.00))</f>
        <v>0</v>
      </c>
      <c r="BF999">
        <f>AND(IF(Metadata!T999="",FALSE,TRUE),exact(Metadata!T999,"Decimal degrees"))</f>
        <v>0</v>
      </c>
      <c r="BG999">
        <f>OR(AND(IF(Metadata!U999="",FALSE,TRUE),OR(exact(Metadata!U999,"not collected"),exact(Metadata!U999,"not provided"),exact(Metadata!U999,"restricted access"))),AND(IF(Metadata!U999="",FALSE,ISNUMBER(VALUE(Metadata!U999))),Metadata!U999&gt;=-180.00,Metadata!U999&lt;=180.00))</f>
        <v>0</v>
      </c>
      <c r="BH999">
        <f>AND(IF(Metadata!V999="",FALSE,TRUE),exact(Metadata!V999,"Decimal degrees"))</f>
        <v>0</v>
      </c>
      <c r="BI999">
        <f>IF(Metadata!W999="",FALSE,TRUE)</f>
        <v>0</v>
      </c>
      <c r="BJ999">
        <f>OR(AND(IF(Metadata!X999="",FALSE,TRUE),OR(exact(Metadata!X999,"not collected"),exact(Metadata!X999,"not provided"),exact(Metadata!X999,"restricted access"))),AND(IF(Metadata!X999="",FALSE,TRUE),OR(exact(Metadata!X999,"TRUE"),exact(Metadata!X999,"FALSE"))))</f>
        <v>0</v>
      </c>
      <c r="BK999">
        <f>AND(IF(Metadata!Y999="",FALSE,TRUE),exact(Metadata!Y999,"other"))</f>
        <v>0</v>
      </c>
      <c r="BL999">
        <f>IF(Metadata!Z999="",FALSE,TRUE)</f>
        <v>0</v>
      </c>
      <c r="BM999">
        <f>OR(AND(IF(Metadata!AA999="",FALSE,TRUE),OR(exact(Metadata!AA999,"not collected"),exact(Metadata!AA999,"not provided"))),AND(IF(Metadata!AA999="",FALSE,IF(ISERROR(INT(Metadata!AA999)),FALSE,INT(Metadata!AA999)=Metadata!AA999)),Metadata!AA999&gt;0))</f>
        <v>0</v>
      </c>
      <c r="BN999">
        <f>AND(IF(Metadata!AB999="",FALSE,TRUE),exact(Metadata!AB999,"Not applicable"))</f>
        <v>0</v>
      </c>
      <c r="BO999">
        <f>IF(Metadata!AC999="",FALSE,TRUE)</f>
        <v>0</v>
      </c>
    </row>
    <row r="1000" spans="1:67">
      <c r="A1000" s="5">
        <f>IF(B1000=" "," ",HYPERLINK(CONCATENATE("#metadata!",ADDRESS(INDEX($AI$2:$AI$1001,MATCH(ROWS($AG$2:AG1000),$AG$2:$AG$1001,0),0),1)),INDEX($AL$2:$AL$1001,MATCH(ROWS($AG$2:AG1000),$AG$2:$AG$1001,0),0)))</f>
        <v>0</v>
      </c>
      <c r="B1000" s="4">
        <f>IF(OR(INDEX($AH$2:$AH$1001,MATCH(ROWS($AG$2:AG1000),$AG$2:$AG$1001,0),1)&gt;=100000,INDEX($AN$1005:$BO$1005,1,MATCH(COLUMNS($AN$1006:AN1006),$AN$1006:$BO$1006,0))&gt;=100000), " ",IF(INDEX($AN$2:$BO$1001,MATCH(ROWS($AG$2:AG1000),$AG$2:$AG$1001,0),MATCH(COLUMNS($AN$1006:AN1006),$AN$1006:$BO$1006,0)), HYPERLINK("#",""), HYPERLINK(CONCATENATE("#Metadata!", ADDRESS(INDEX($AI$2:$AI$1001,MATCH(ROWS($AG$2:AG1000),$AG$2:$AG$1001,0),0), INDEX($AN$1004:$BO$1004,1,MATCH(COLUMNS($AN$1006:AN1006),$AN$1006:$BO$1006,0)))),"Fix")))</f>
        <v>0</v>
      </c>
      <c r="C1000" s="4">
        <f>IF(OR(INDEX($AH$2:$AH$1001,MATCH(ROWS($AG$2:AG1000),$AG$2:$AG$1001,0),1)&gt;=100000,INDEX($AN$1005:$BO$1005,1,MATCH(COLUMNS($AN$1006:AO1006),$AN$1006:$BO$1006,0))&gt;=100000), " ",IF(INDEX($AN$2:$BO$1001,MATCH(ROWS($AG$2:AG1000),$AG$2:$AG$1001,0),MATCH(COLUMNS($AN$1006:AO1006),$AN$1006:$BO$1006,0)), HYPERLINK("#",""), HYPERLINK(CONCATENATE("#Metadata!", ADDRESS(INDEX($AI$2:$AI$1001,MATCH(ROWS($AG$2:AG1000),$AG$2:$AG$1001,0),0), INDEX($AN$1004:$BO$1004,1,MATCH(COLUMNS($AN$1006:AO1006),$AN$1006:$BO$1006,0)))),"Fix")))</f>
        <v>0</v>
      </c>
      <c r="D1000" s="4">
        <f>IF(OR(INDEX($AH$2:$AH$1001,MATCH(ROWS($AG$2:AG1000),$AG$2:$AG$1001,0),1)&gt;=100000,INDEX($AN$1005:$BO$1005,1,MATCH(COLUMNS($AN$1006:AP1006),$AN$1006:$BO$1006,0))&gt;=100000), " ",IF(INDEX($AN$2:$BO$1001,MATCH(ROWS($AG$2:AG1000),$AG$2:$AG$1001,0),MATCH(COLUMNS($AN$1006:AP1006),$AN$1006:$BO$1006,0)), HYPERLINK("#",""), HYPERLINK(CONCATENATE("#Metadata!", ADDRESS(INDEX($AI$2:$AI$1001,MATCH(ROWS($AG$2:AG1000),$AG$2:$AG$1001,0),0), INDEX($AN$1004:$BO$1004,1,MATCH(COLUMNS($AN$1006:AP1006),$AN$1006:$BO$1006,0)))),"Fix")))</f>
        <v>0</v>
      </c>
      <c r="E1000" s="4">
        <f>IF(OR(INDEX($AH$2:$AH$1001,MATCH(ROWS($AG$2:AG1000),$AG$2:$AG$1001,0),1)&gt;=100000,INDEX($AN$1005:$BO$1005,1,MATCH(COLUMNS($AN$1006:AQ1006),$AN$1006:$BO$1006,0))&gt;=100000), " ",IF(INDEX($AN$2:$BO$1001,MATCH(ROWS($AG$2:AG1000),$AG$2:$AG$1001,0),MATCH(COLUMNS($AN$1006:AQ1006),$AN$1006:$BO$1006,0)), HYPERLINK("#",""), HYPERLINK(CONCATENATE("#Metadata!", ADDRESS(INDEX($AI$2:$AI$1001,MATCH(ROWS($AG$2:AG1000),$AG$2:$AG$1001,0),0), INDEX($AN$1004:$BO$1004,1,MATCH(COLUMNS($AN$1006:AQ1006),$AN$1006:$BO$1006,0)))),"Fix")))</f>
        <v>0</v>
      </c>
      <c r="F1000" s="4">
        <f>IF(OR(INDEX($AH$2:$AH$1001,MATCH(ROWS($AG$2:AG1000),$AG$2:$AG$1001,0),1)&gt;=100000,INDEX($AN$1005:$BO$1005,1,MATCH(COLUMNS($AN$1006:AR1006),$AN$1006:$BO$1006,0))&gt;=100000), " ",IF(INDEX($AN$2:$BO$1001,MATCH(ROWS($AG$2:AG1000),$AG$2:$AG$1001,0),MATCH(COLUMNS($AN$1006:AR1006),$AN$1006:$BO$1006,0)), HYPERLINK("#",""), HYPERLINK(CONCATENATE("#Metadata!", ADDRESS(INDEX($AI$2:$AI$1001,MATCH(ROWS($AG$2:AG1000),$AG$2:$AG$1001,0),0), INDEX($AN$1004:$BO$1004,1,MATCH(COLUMNS($AN$1006:AR1006),$AN$1006:$BO$1006,0)))),"Fix")))</f>
        <v>0</v>
      </c>
      <c r="G1000" s="4">
        <f>IF(OR(INDEX($AH$2:$AH$1001,MATCH(ROWS($AG$2:AG1000),$AG$2:$AG$1001,0),1)&gt;=100000,INDEX($AN$1005:$BO$1005,1,MATCH(COLUMNS($AN$1006:AS1006),$AN$1006:$BO$1006,0))&gt;=100000), " ",IF(INDEX($AN$2:$BO$1001,MATCH(ROWS($AG$2:AG1000),$AG$2:$AG$1001,0),MATCH(COLUMNS($AN$1006:AS1006),$AN$1006:$BO$1006,0)), HYPERLINK("#",""), HYPERLINK(CONCATENATE("#Metadata!", ADDRESS(INDEX($AI$2:$AI$1001,MATCH(ROWS($AG$2:AG1000),$AG$2:$AG$1001,0),0), INDEX($AN$1004:$BO$1004,1,MATCH(COLUMNS($AN$1006:AS1006),$AN$1006:$BO$1006,0)))),"Fix")))</f>
        <v>0</v>
      </c>
      <c r="H1000" s="4">
        <f>IF(OR(INDEX($AH$2:$AH$1001,MATCH(ROWS($AG$2:AG1000),$AG$2:$AG$1001,0),1)&gt;=100000,INDEX($AN$1005:$BO$1005,1,MATCH(COLUMNS($AN$1006:AT1006),$AN$1006:$BO$1006,0))&gt;=100000), " ",IF(INDEX($AN$2:$BO$1001,MATCH(ROWS($AG$2:AG1000),$AG$2:$AG$1001,0),MATCH(COLUMNS($AN$1006:AT1006),$AN$1006:$BO$1006,0)), HYPERLINK("#",""), HYPERLINK(CONCATENATE("#Metadata!", ADDRESS(INDEX($AI$2:$AI$1001,MATCH(ROWS($AG$2:AG1000),$AG$2:$AG$1001,0),0), INDEX($AN$1004:$BO$1004,1,MATCH(COLUMNS($AN$1006:AT1006),$AN$1006:$BO$1006,0)))),"Fix")))</f>
        <v>0</v>
      </c>
      <c r="I1000" s="4">
        <f>IF(OR(INDEX($AH$2:$AH$1001,MATCH(ROWS($AG$2:AG1000),$AG$2:$AG$1001,0),1)&gt;=100000,INDEX($AN$1005:$BO$1005,1,MATCH(COLUMNS($AN$1006:AU1006),$AN$1006:$BO$1006,0))&gt;=100000), " ",IF(INDEX($AN$2:$BO$1001,MATCH(ROWS($AG$2:AG1000),$AG$2:$AG$1001,0),MATCH(COLUMNS($AN$1006:AU1006),$AN$1006:$BO$1006,0)), HYPERLINK("#",""), HYPERLINK(CONCATENATE("#Metadata!", ADDRESS(INDEX($AI$2:$AI$1001,MATCH(ROWS($AG$2:AG1000),$AG$2:$AG$1001,0),0), INDEX($AN$1004:$BO$1004,1,MATCH(COLUMNS($AN$1006:AU1006),$AN$1006:$BO$1006,0)))),"Fix")))</f>
        <v>0</v>
      </c>
      <c r="J1000" s="4">
        <f>IF(OR(INDEX($AH$2:$AH$1001,MATCH(ROWS($AG$2:AG1000),$AG$2:$AG$1001,0),1)&gt;=100000,INDEX($AN$1005:$BO$1005,1,MATCH(COLUMNS($AN$1006:AV1006),$AN$1006:$BO$1006,0))&gt;=100000), " ",IF(INDEX($AN$2:$BO$1001,MATCH(ROWS($AG$2:AG1000),$AG$2:$AG$1001,0),MATCH(COLUMNS($AN$1006:AV1006),$AN$1006:$BO$1006,0)), HYPERLINK("#",""), HYPERLINK(CONCATENATE("#Metadata!", ADDRESS(INDEX($AI$2:$AI$1001,MATCH(ROWS($AG$2:AG1000),$AG$2:$AG$1001,0),0), INDEX($AN$1004:$BO$1004,1,MATCH(COLUMNS($AN$1006:AV1006),$AN$1006:$BO$1006,0)))),"Fix")))</f>
        <v>0</v>
      </c>
      <c r="K1000" s="4">
        <f>IF(OR(INDEX($AH$2:$AH$1001,MATCH(ROWS($AG$2:AG1000),$AG$2:$AG$1001,0),1)&gt;=100000,INDEX($AN$1005:$BO$1005,1,MATCH(COLUMNS($AN$1006:AW1006),$AN$1006:$BO$1006,0))&gt;=100000), " ",IF(INDEX($AN$2:$BO$1001,MATCH(ROWS($AG$2:AG1000),$AG$2:$AG$1001,0),MATCH(COLUMNS($AN$1006:AW1006),$AN$1006:$BO$1006,0)), HYPERLINK("#",""), HYPERLINK(CONCATENATE("#Metadata!", ADDRESS(INDEX($AI$2:$AI$1001,MATCH(ROWS($AG$2:AG1000),$AG$2:$AG$1001,0),0), INDEX($AN$1004:$BO$1004,1,MATCH(COLUMNS($AN$1006:AW1006),$AN$1006:$BO$1006,0)))),"Fix")))</f>
        <v>0</v>
      </c>
      <c r="L1000" s="4">
        <f>IF(OR(INDEX($AH$2:$AH$1001,MATCH(ROWS($AG$2:AG1000),$AG$2:$AG$1001,0),1)&gt;=100000,INDEX($AN$1005:$BO$1005,1,MATCH(COLUMNS($AN$1006:AX1006),$AN$1006:$BO$1006,0))&gt;=100000), " ",IF(INDEX($AN$2:$BO$1001,MATCH(ROWS($AG$2:AG1000),$AG$2:$AG$1001,0),MATCH(COLUMNS($AN$1006:AX1006),$AN$1006:$BO$1006,0)), HYPERLINK("#",""), HYPERLINK(CONCATENATE("#Metadata!", ADDRESS(INDEX($AI$2:$AI$1001,MATCH(ROWS($AG$2:AG1000),$AG$2:$AG$1001,0),0), INDEX($AN$1004:$BO$1004,1,MATCH(COLUMNS($AN$1006:AX1006),$AN$1006:$BO$1006,0)))),"Fix")))</f>
        <v>0</v>
      </c>
      <c r="M1000" s="4">
        <f>IF(OR(INDEX($AH$2:$AH$1001,MATCH(ROWS($AG$2:AG1000),$AG$2:$AG$1001,0),1)&gt;=100000,INDEX($AN$1005:$BO$1005,1,MATCH(COLUMNS($AN$1006:AY1006),$AN$1006:$BO$1006,0))&gt;=100000), " ",IF(INDEX($AN$2:$BO$1001,MATCH(ROWS($AG$2:AG1000),$AG$2:$AG$1001,0),MATCH(COLUMNS($AN$1006:AY1006),$AN$1006:$BO$1006,0)), HYPERLINK("#",""), HYPERLINK(CONCATENATE("#Metadata!", ADDRESS(INDEX($AI$2:$AI$1001,MATCH(ROWS($AG$2:AG1000),$AG$2:$AG$1001,0),0), INDEX($AN$1004:$BO$1004,1,MATCH(COLUMNS($AN$1006:AY1006),$AN$1006:$BO$1006,0)))),"Fix")))</f>
        <v>0</v>
      </c>
      <c r="N1000" s="4">
        <f>IF(OR(INDEX($AH$2:$AH$1001,MATCH(ROWS($AG$2:AG1000),$AG$2:$AG$1001,0),1)&gt;=100000,INDEX($AN$1005:$BO$1005,1,MATCH(COLUMNS($AN$1006:AZ1006),$AN$1006:$BO$1006,0))&gt;=100000), " ",IF(INDEX($AN$2:$BO$1001,MATCH(ROWS($AG$2:AG1000),$AG$2:$AG$1001,0),MATCH(COLUMNS($AN$1006:AZ1006),$AN$1006:$BO$1006,0)), HYPERLINK("#",""), HYPERLINK(CONCATENATE("#Metadata!", ADDRESS(INDEX($AI$2:$AI$1001,MATCH(ROWS($AG$2:AG1000),$AG$2:$AG$1001,0),0), INDEX($AN$1004:$BO$1004,1,MATCH(COLUMNS($AN$1006:AZ1006),$AN$1006:$BO$1006,0)))),"Fix")))</f>
        <v>0</v>
      </c>
      <c r="O1000" s="4">
        <f>IF(OR(INDEX($AH$2:$AH$1001,MATCH(ROWS($AG$2:AG1000),$AG$2:$AG$1001,0),1)&gt;=100000,INDEX($AN$1005:$BO$1005,1,MATCH(COLUMNS($AN$1006:BA1006),$AN$1006:$BO$1006,0))&gt;=100000), " ",IF(INDEX($AN$2:$BO$1001,MATCH(ROWS($AG$2:AG1000),$AG$2:$AG$1001,0),MATCH(COLUMNS($AN$1006:BA1006),$AN$1006:$BO$1006,0)), HYPERLINK("#",""), HYPERLINK(CONCATENATE("#Metadata!", ADDRESS(INDEX($AI$2:$AI$1001,MATCH(ROWS($AG$2:AG1000),$AG$2:$AG$1001,0),0), INDEX($AN$1004:$BO$1004,1,MATCH(COLUMNS($AN$1006:BA1006),$AN$1006:$BO$1006,0)))),"Fix")))</f>
        <v>0</v>
      </c>
      <c r="P1000" s="4">
        <f>IF(OR(INDEX($AH$2:$AH$1001,MATCH(ROWS($AG$2:AG1000),$AG$2:$AG$1001,0),1)&gt;=100000,INDEX($AN$1005:$BO$1005,1,MATCH(COLUMNS($AN$1006:BB1006),$AN$1006:$BO$1006,0))&gt;=100000), " ",IF(INDEX($AN$2:$BO$1001,MATCH(ROWS($AG$2:AG1000),$AG$2:$AG$1001,0),MATCH(COLUMNS($AN$1006:BB1006),$AN$1006:$BO$1006,0)), HYPERLINK("#",""), HYPERLINK(CONCATENATE("#Metadata!", ADDRESS(INDEX($AI$2:$AI$1001,MATCH(ROWS($AG$2:AG1000),$AG$2:$AG$1001,0),0), INDEX($AN$1004:$BO$1004,1,MATCH(COLUMNS($AN$1006:BB1006),$AN$1006:$BO$1006,0)))),"Fix")))</f>
        <v>0</v>
      </c>
      <c r="Q1000" s="4">
        <f>IF(OR(INDEX($AH$2:$AH$1001,MATCH(ROWS($AG$2:AG1000),$AG$2:$AG$1001,0),1)&gt;=100000,INDEX($AN$1005:$BO$1005,1,MATCH(COLUMNS($AN$1006:BC1006),$AN$1006:$BO$1006,0))&gt;=100000), " ",IF(INDEX($AN$2:$BO$1001,MATCH(ROWS($AG$2:AG1000),$AG$2:$AG$1001,0),MATCH(COLUMNS($AN$1006:BC1006),$AN$1006:$BO$1006,0)), HYPERLINK("#",""), HYPERLINK(CONCATENATE("#Metadata!", ADDRESS(INDEX($AI$2:$AI$1001,MATCH(ROWS($AG$2:AG1000),$AG$2:$AG$1001,0),0), INDEX($AN$1004:$BO$1004,1,MATCH(COLUMNS($AN$1006:BC1006),$AN$1006:$BO$1006,0)))),"Fix")))</f>
        <v>0</v>
      </c>
      <c r="R1000" s="4">
        <f>IF(OR(INDEX($AH$2:$AH$1001,MATCH(ROWS($AG$2:AG1000),$AG$2:$AG$1001,0),1)&gt;=100000,INDEX($AN$1005:$BO$1005,1,MATCH(COLUMNS($AN$1006:BD1006),$AN$1006:$BO$1006,0))&gt;=100000), " ",IF(INDEX($AN$2:$BO$1001,MATCH(ROWS($AG$2:AG1000),$AG$2:$AG$1001,0),MATCH(COLUMNS($AN$1006:BD1006),$AN$1006:$BO$1006,0)), HYPERLINK("#",""), HYPERLINK(CONCATENATE("#Metadata!", ADDRESS(INDEX($AI$2:$AI$1001,MATCH(ROWS($AG$2:AG1000),$AG$2:$AG$1001,0),0), INDEX($AN$1004:$BO$1004,1,MATCH(COLUMNS($AN$1006:BD1006),$AN$1006:$BO$1006,0)))),"Fix")))</f>
        <v>0</v>
      </c>
      <c r="S1000" s="4">
        <f>IF(OR(INDEX($AH$2:$AH$1001,MATCH(ROWS($AG$2:AG1000),$AG$2:$AG$1001,0),1)&gt;=100000,INDEX($AN$1005:$BO$1005,1,MATCH(COLUMNS($AN$1006:BE1006),$AN$1006:$BO$1006,0))&gt;=100000), " ",IF(INDEX($AN$2:$BO$1001,MATCH(ROWS($AG$2:AG1000),$AG$2:$AG$1001,0),MATCH(COLUMNS($AN$1006:BE1006),$AN$1006:$BO$1006,0)), HYPERLINK("#",""), HYPERLINK(CONCATENATE("#Metadata!", ADDRESS(INDEX($AI$2:$AI$1001,MATCH(ROWS($AG$2:AG1000),$AG$2:$AG$1001,0),0), INDEX($AN$1004:$BO$1004,1,MATCH(COLUMNS($AN$1006:BE1006),$AN$1006:$BO$1006,0)))),"Fix")))</f>
        <v>0</v>
      </c>
      <c r="T1000" s="4">
        <f>IF(OR(INDEX($AH$2:$AH$1001,MATCH(ROWS($AG$2:AG1000),$AG$2:$AG$1001,0),1)&gt;=100000,INDEX($AN$1005:$BO$1005,1,MATCH(COLUMNS($AN$1006:BF1006),$AN$1006:$BO$1006,0))&gt;=100000), " ",IF(INDEX($AN$2:$BO$1001,MATCH(ROWS($AG$2:AG1000),$AG$2:$AG$1001,0),MATCH(COLUMNS($AN$1006:BF1006),$AN$1006:$BO$1006,0)), HYPERLINK("#",""), HYPERLINK(CONCATENATE("#Metadata!", ADDRESS(INDEX($AI$2:$AI$1001,MATCH(ROWS($AG$2:AG1000),$AG$2:$AG$1001,0),0), INDEX($AN$1004:$BO$1004,1,MATCH(COLUMNS($AN$1006:BF1006),$AN$1006:$BO$1006,0)))),"Fix")))</f>
        <v>0</v>
      </c>
      <c r="U1000" s="4">
        <f>IF(OR(INDEX($AH$2:$AH$1001,MATCH(ROWS($AG$2:AG1000),$AG$2:$AG$1001,0),1)&gt;=100000,INDEX($AN$1005:$BO$1005,1,MATCH(COLUMNS($AN$1006:BG1006),$AN$1006:$BO$1006,0))&gt;=100000), " ",IF(INDEX($AN$2:$BO$1001,MATCH(ROWS($AG$2:AG1000),$AG$2:$AG$1001,0),MATCH(COLUMNS($AN$1006:BG1006),$AN$1006:$BO$1006,0)), HYPERLINK("#",""), HYPERLINK(CONCATENATE("#Metadata!", ADDRESS(INDEX($AI$2:$AI$1001,MATCH(ROWS($AG$2:AG1000),$AG$2:$AG$1001,0),0), INDEX($AN$1004:$BO$1004,1,MATCH(COLUMNS($AN$1006:BG1006),$AN$1006:$BO$1006,0)))),"Fix")))</f>
        <v>0</v>
      </c>
      <c r="V1000" s="4">
        <f>IF(OR(INDEX($AH$2:$AH$1001,MATCH(ROWS($AG$2:AG1000),$AG$2:$AG$1001,0),1)&gt;=100000,INDEX($AN$1005:$BO$1005,1,MATCH(COLUMNS($AN$1006:BH1006),$AN$1006:$BO$1006,0))&gt;=100000), " ",IF(INDEX($AN$2:$BO$1001,MATCH(ROWS($AG$2:AG1000),$AG$2:$AG$1001,0),MATCH(COLUMNS($AN$1006:BH1006),$AN$1006:$BO$1006,0)), HYPERLINK("#",""), HYPERLINK(CONCATENATE("#Metadata!", ADDRESS(INDEX($AI$2:$AI$1001,MATCH(ROWS($AG$2:AG1000),$AG$2:$AG$1001,0),0), INDEX($AN$1004:$BO$1004,1,MATCH(COLUMNS($AN$1006:BH1006),$AN$1006:$BO$1006,0)))),"Fix")))</f>
        <v>0</v>
      </c>
      <c r="W1000" s="4">
        <f>IF(OR(INDEX($AH$2:$AH$1001,MATCH(ROWS($AG$2:AG1000),$AG$2:$AG$1001,0),1)&gt;=100000,INDEX($AN$1005:$BO$1005,1,MATCH(COLUMNS($AN$1006:BI1006),$AN$1006:$BO$1006,0))&gt;=100000), " ",IF(INDEX($AN$2:$BO$1001,MATCH(ROWS($AG$2:AG1000),$AG$2:$AG$1001,0),MATCH(COLUMNS($AN$1006:BI1006),$AN$1006:$BO$1006,0)), HYPERLINK("#",""), HYPERLINK(CONCATENATE("#Metadata!", ADDRESS(INDEX($AI$2:$AI$1001,MATCH(ROWS($AG$2:AG1000),$AG$2:$AG$1001,0),0), INDEX($AN$1004:$BO$1004,1,MATCH(COLUMNS($AN$1006:BI1006),$AN$1006:$BO$1006,0)))),"Fix")))</f>
        <v>0</v>
      </c>
      <c r="X1000" s="4">
        <f>IF(OR(INDEX($AH$2:$AH$1001,MATCH(ROWS($AG$2:AG1000),$AG$2:$AG$1001,0),1)&gt;=100000,INDEX($AN$1005:$BO$1005,1,MATCH(COLUMNS($AN$1006:BJ1006),$AN$1006:$BO$1006,0))&gt;=100000), " ",IF(INDEX($AN$2:$BO$1001,MATCH(ROWS($AG$2:AG1000),$AG$2:$AG$1001,0),MATCH(COLUMNS($AN$1006:BJ1006),$AN$1006:$BO$1006,0)), HYPERLINK("#",""), HYPERLINK(CONCATENATE("#Metadata!", ADDRESS(INDEX($AI$2:$AI$1001,MATCH(ROWS($AG$2:AG1000),$AG$2:$AG$1001,0),0), INDEX($AN$1004:$BO$1004,1,MATCH(COLUMNS($AN$1006:BJ1006),$AN$1006:$BO$1006,0)))),"Fix")))</f>
        <v>0</v>
      </c>
      <c r="Y1000" s="4">
        <f>IF(OR(INDEX($AH$2:$AH$1001,MATCH(ROWS($AG$2:AG1000),$AG$2:$AG$1001,0),1)&gt;=100000,INDEX($AN$1005:$BO$1005,1,MATCH(COLUMNS($AN$1006:BK1006),$AN$1006:$BO$1006,0))&gt;=100000), " ",IF(INDEX($AN$2:$BO$1001,MATCH(ROWS($AG$2:AG1000),$AG$2:$AG$1001,0),MATCH(COLUMNS($AN$1006:BK1006),$AN$1006:$BO$1006,0)), HYPERLINK("#",""), HYPERLINK(CONCATENATE("#Metadata!", ADDRESS(INDEX($AI$2:$AI$1001,MATCH(ROWS($AG$2:AG1000),$AG$2:$AG$1001,0),0), INDEX($AN$1004:$BO$1004,1,MATCH(COLUMNS($AN$1006:BK1006),$AN$1006:$BO$1006,0)))),"Fix")))</f>
        <v>0</v>
      </c>
      <c r="Z1000" s="4">
        <f>IF(OR(INDEX($AH$2:$AH$1001,MATCH(ROWS($AG$2:AG1000),$AG$2:$AG$1001,0),1)&gt;=100000,INDEX($AN$1005:$BO$1005,1,MATCH(COLUMNS($AN$1006:BL1006),$AN$1006:$BO$1006,0))&gt;=100000), " ",IF(INDEX($AN$2:$BO$1001,MATCH(ROWS($AG$2:AG1000),$AG$2:$AG$1001,0),MATCH(COLUMNS($AN$1006:BL1006),$AN$1006:$BO$1006,0)), HYPERLINK("#",""), HYPERLINK(CONCATENATE("#Metadata!", ADDRESS(INDEX($AI$2:$AI$1001,MATCH(ROWS($AG$2:AG1000),$AG$2:$AG$1001,0),0), INDEX($AN$1004:$BO$1004,1,MATCH(COLUMNS($AN$1006:BL1006),$AN$1006:$BO$1006,0)))),"Fix")))</f>
        <v>0</v>
      </c>
      <c r="AA1000" s="4">
        <f>IF(OR(INDEX($AH$2:$AH$1001,MATCH(ROWS($AG$2:AG1000),$AG$2:$AG$1001,0),1)&gt;=100000,INDEX($AN$1005:$BO$1005,1,MATCH(COLUMNS($AN$1006:BM1006),$AN$1006:$BO$1006,0))&gt;=100000), " ",IF(INDEX($AN$2:$BO$1001,MATCH(ROWS($AG$2:AG1000),$AG$2:$AG$1001,0),MATCH(COLUMNS($AN$1006:BM1006),$AN$1006:$BO$1006,0)), HYPERLINK("#",""), HYPERLINK(CONCATENATE("#Metadata!", ADDRESS(INDEX($AI$2:$AI$1001,MATCH(ROWS($AG$2:AG1000),$AG$2:$AG$1001,0),0), INDEX($AN$1004:$BO$1004,1,MATCH(COLUMNS($AN$1006:BM1006),$AN$1006:$BO$1006,0)))),"Fix")))</f>
        <v>0</v>
      </c>
      <c r="AB1000" s="4">
        <f>IF(OR(INDEX($AH$2:$AH$1001,MATCH(ROWS($AG$2:AG1000),$AG$2:$AG$1001,0),1)&gt;=100000,INDEX($AN$1005:$BO$1005,1,MATCH(COLUMNS($AN$1006:BN1006),$AN$1006:$BO$1006,0))&gt;=100000), " ",IF(INDEX($AN$2:$BO$1001,MATCH(ROWS($AG$2:AG1000),$AG$2:$AG$1001,0),MATCH(COLUMNS($AN$1006:BN1006),$AN$1006:$BO$1006,0)), HYPERLINK("#",""), HYPERLINK(CONCATENATE("#Metadata!", ADDRESS(INDEX($AI$2:$AI$1001,MATCH(ROWS($AG$2:AG1000),$AG$2:$AG$1001,0),0), INDEX($AN$1004:$BO$1004,1,MATCH(COLUMNS($AN$1006:BN1006),$AN$1006:$BO$1006,0)))),"Fix")))</f>
        <v>0</v>
      </c>
      <c r="AC1000" s="4">
        <f>IF(OR(INDEX($AH$2:$AH$1001,MATCH(ROWS($AG$2:AG1000),$AG$2:$AG$1001,0),1)&gt;=100000,INDEX($AN$1005:$BO$1005,1,MATCH(COLUMNS($AN$1006:BO1006),$AN$1006:$BO$1006,0))&gt;=100000), " ",IF(INDEX($AN$2:$BO$1001,MATCH(ROWS($AG$2:AG1000),$AG$2:$AG$1001,0),MATCH(COLUMNS($AN$1006:BO1006),$AN$1006:$BO$1006,0)), HYPERLINK("#",""), HYPERLINK(CONCATENATE("#Metadata!", ADDRESS(INDEX($AI$2:$AI$1001,MATCH(ROWS($AG$2:AG1000),$AG$2:$AG$1001,0),0), INDEX($AN$1004:$BO$1004,1,MATCH(COLUMNS($AN$1006:BO1006),$AN$1006:$BO$1006,0)))),"Fix")))</f>
        <v>0</v>
      </c>
      <c r="AG1000">
        <v>0</v>
      </c>
      <c r="AH1000">
        <v>0</v>
      </c>
      <c r="AI1000">
        <v>0</v>
      </c>
      <c r="AJ1000">
        <f>IF(AK1000,TRUE,AND(AN1000:BO1000))</f>
        <v>0</v>
      </c>
      <c r="AK1000">
        <f>COUNTBLANK(Metadata!B1000:AC1000)=COLUMNS(Metadata!B1000:AC1000)</f>
        <v>0</v>
      </c>
      <c r="AL1000">
        <v>0</v>
      </c>
      <c r="AN1000">
        <f>AND(IF(Metadata!B1000="",FALSE,TRUE),COUNTIF(Metadata!B:B, Metadata!B1000) = 1,NOT(ISERROR(SUMPRODUCT(SEARCH(MID(Metadata!B1000,ROW(INDIRECT("1:"&amp;LEN(Metadata!B1000))), 1),"0123456789abcdefghijklmnopqrstuvwxyzABCDEFGHIJKLMNOPQRSTUVWXYZ.")))))</f>
        <v>0</v>
      </c>
      <c r="AO1000">
        <f>IF(Metadata!C1000="",FALSE,TRUE)</f>
        <v>0</v>
      </c>
      <c r="AP1000">
        <f>IF(Metadata!D1000="",FALSE,TRUE)</f>
        <v>0</v>
      </c>
      <c r="AQ1000">
        <f>OR(AND(IF(Metadata!E1000="",FALSE,TRUE),OR(exact(Metadata!E1000,"not collected"),exact(Metadata!E1000,"not provided"),exact(Metadata!E1000,"restricted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R1000">
        <f>IF(Metadata!F1000="",FALSE,TRUE)</f>
        <v>0</v>
      </c>
      <c r="AS1000">
        <f>OR(AND(IF(Metadata!G1000="",FALSE,TRUE),OR(exact(Metadata!G1000,"not collected"),exact(Metadata!G1000,"not provided"))),AND(IF(Metadata!G1000="",FALSE,TRUE),OR(exact(Metadata!G1000,"TRUE"),exact(Metadata!G1000,"FALSE"))))</f>
        <v>0</v>
      </c>
      <c r="AT1000">
        <f>OR(AND(IF(Metadata!H1000="",FALSE,TRUE),OR(exact(Metadata!H1000,"not collected"),exact(Metadata!H1000,"not provided"),exact(Metadata!H1000,"restricted access"))),AND(IF(Metadata!H1000="",FALSE,ISNUMBER(VALUE(Metadata!H1000))),Metadata!H1000&gt;=-413.0))</f>
        <v>0</v>
      </c>
      <c r="AU1000">
        <f>AND(IF(Metadata!I1000="",FALSE,TRUE),exact(Metadata!I1000,"meters"))</f>
        <v>0</v>
      </c>
      <c r="AV1000">
        <f>AND(IF(Metadata!J1000="",FALSE,TRUE),OR(exact(Metadata!J1000,"Host-associated"),exact(Metadata!J1000,"Free-living")))</f>
        <v>0</v>
      </c>
      <c r="AW1000">
        <f>AND(IF(Metadata!K1000="",FALSE,TRUE),OR(exact(Metadata!K1000,"Animal"),exact(Metadata!K1000,"Fungus"),exact(Metadata!K1000,"Plant"),exact(Metadata!K1000,"Saline"),exact(Metadata!K1000,"Non-saline")))</f>
        <v>0</v>
      </c>
      <c r="AX1000">
        <f>AND(IF(Metadata!L1000="",FALSE,TRUE),OR(exact(Metadata!L1000,"Plant secretion"),exact(Metadata!L1000,"Plant rhizosphere"),exact(Metadata!L1000,"Plant surface"),exact(Metadata!L1000,"Plant corpus"),exact(Metadata!L1000,"Fungus surface"),exact(Metadata!L1000,"Fungus corpus"),exact(Metadata!L1000,"Animal surface"),exact(Metadata!L1000,"Animal proximal gut"),exact(Metadata!L1000,"Animal corpus"),exact(Metadata!L1000,"Animal distal gut"),exact(Metadata!L1000,"Animal secretion"),exact(Metadata!L1000,"Sub-surface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Y1000">
        <f>IF(Metadata!M1000="",FALSE,TRUE)</f>
        <v>0</v>
      </c>
      <c r="AZ1000">
        <f>IF(Metadata!N1000="",FALSE,TRUE)</f>
        <v>0</v>
      </c>
      <c r="BA1000">
        <f>IF(Metadata!O1000="",FALSE,TRUE)</f>
        <v>0</v>
      </c>
      <c r="BB1000">
        <f>OR(AND(IF(Metadata!P1000="",FALSE,TRUE),OR(exact(Metadata!P1000,"not collected"),exact(Metadata!P1000,"not provided"),exact(Metadata!P1000,"restricted access"))),AND(IF(Metadata!P1000="",FALSE,TRUE),OR(exact(Metadata!P1000,"air"),exact(Metadata!P1000,"built environment"),exact(Metadata!P1000,"host-associated"),exact(Metadata!P1000,"human-associated"),exact(Metadata!P1000,"human-skin"),exact(Metadata!P1000,"human-oral"),exact(Metadata!P1000,"human-gut"),exact(Metadata!P1000,"human-vaginal"),exact(Metadata!P1000,"microbial mat/biofilm"),exact(Metadata!P1000,"misc environment"),exact(Metadata!P1000,"plant-associated"),exact(Metadata!P1000,"sediment"),exact(Metadata!P1000,"soil"),exact(Metadata!P1000,"wastewater/sludge"),exact(Metadata!P1000,"water"))))</f>
        <v>0</v>
      </c>
      <c r="BC1000">
        <f>IF(Metadata!Q1000="",FALSE,TRUE)</f>
        <v>0</v>
      </c>
      <c r="BD1000">
        <f>IF(Metadata!R1000="",FALSE,TRUE)</f>
        <v>0</v>
      </c>
      <c r="BE1000">
        <f>OR(AND(IF(Metadata!S1000="",FALSE,TRUE),OR(exact(Metadata!S1000,"not collected"),exact(Metadata!S1000,"not provided"),exact(Metadata!S1000,"restricted access"))),AND(IF(Metadata!S1000="",FALSE,ISNUMBER(VALUE(Metadata!S1000))),Metadata!S1000&gt;=-90.00,Metadata!S1000&lt;=90.00))</f>
        <v>0</v>
      </c>
      <c r="BF1000">
        <f>AND(IF(Metadata!T1000="",FALSE,TRUE),exact(Metadata!T1000,"Decimal degrees"))</f>
        <v>0</v>
      </c>
      <c r="BG1000">
        <f>OR(AND(IF(Metadata!U1000="",FALSE,TRUE),OR(exact(Metadata!U1000,"not collected"),exact(Metadata!U1000,"not provided"),exact(Metadata!U1000,"restricted access"))),AND(IF(Metadata!U1000="",FALSE,ISNUMBER(VALUE(Metadata!U1000))),Metadata!U1000&gt;=-180.00,Metadata!U1000&lt;=180.00))</f>
        <v>0</v>
      </c>
      <c r="BH1000">
        <f>AND(IF(Metadata!V1000="",FALSE,TRUE),exact(Metadata!V1000,"Decimal degrees"))</f>
        <v>0</v>
      </c>
      <c r="BI1000">
        <f>IF(Metadata!W1000="",FALSE,TRUE)</f>
        <v>0</v>
      </c>
      <c r="BJ1000">
        <f>OR(AND(IF(Metadata!X1000="",FALSE,TRUE),OR(exact(Metadata!X1000,"not collected"),exact(Metadata!X1000,"not provided"),exact(Metadata!X1000,"restricted access"))),AND(IF(Metadata!X1000="",FALSE,TRUE),OR(exact(Metadata!X1000,"TRUE"),exact(Metadata!X1000,"FALSE"))))</f>
        <v>0</v>
      </c>
      <c r="BK1000">
        <f>AND(IF(Metadata!Y1000="",FALSE,TRUE),exact(Metadata!Y1000,"other"))</f>
        <v>0</v>
      </c>
      <c r="BL1000">
        <f>IF(Metadata!Z1000="",FALSE,TRUE)</f>
        <v>0</v>
      </c>
      <c r="BM1000">
        <f>OR(AND(IF(Metadata!AA1000="",FALSE,TRUE),OR(exact(Metadata!AA1000,"not collected"),exact(Metadata!AA1000,"not provided"))),AND(IF(Metadata!AA1000="",FALSE,IF(ISERROR(INT(Metadata!AA1000)),FALSE,INT(Metadata!AA1000)=Metadata!AA1000)),Metadata!AA1000&gt;0))</f>
        <v>0</v>
      </c>
      <c r="BN1000">
        <f>AND(IF(Metadata!AB1000="",FALSE,TRUE),exact(Metadata!AB1000,"Not applicable"))</f>
        <v>0</v>
      </c>
      <c r="BO1000">
        <f>IF(Metadata!AC1000="",FALSE,TRUE)</f>
        <v>0</v>
      </c>
    </row>
    <row r="1001" spans="1:67">
      <c r="A1001" s="5">
        <f>IF(B1001=" "," ",HYPERLINK(CONCATENATE("#metadata!",ADDRESS(INDEX($AI$2:$AI$1001,MATCH(ROWS($AG$2:AG1001),$AG$2:$AG$1001,0),0),1)),INDEX($AL$2:$AL$1001,MATCH(ROWS($AG$2:AG1001),$AG$2:$AG$1001,0),0)))</f>
        <v>0</v>
      </c>
      <c r="B1001" s="4">
        <f>IF(OR(INDEX($AH$2:$AH$1001,MATCH(ROWS($AG$2:AG1001),$AG$2:$AG$1001,0),1)&gt;=100000,INDEX($AN$1005:$BO$1005,1,MATCH(COLUMNS($AN$1006:AN1006),$AN$1006:$BO$1006,0))&gt;=100000), " ",IF(INDEX($AN$2:$BO$1001,MATCH(ROWS($AG$2:AG1001),$AG$2:$AG$1001,0),MATCH(COLUMNS($AN$1006:AN1006),$AN$1006:$BO$1006,0)), HYPERLINK("#",""), HYPERLINK(CONCATENATE("#Metadata!", ADDRESS(INDEX($AI$2:$AI$1001,MATCH(ROWS($AG$2:AG1001),$AG$2:$AG$1001,0),0), INDEX($AN$1004:$BO$1004,1,MATCH(COLUMNS($AN$1006:AN1006),$AN$1006:$BO$1006,0)))),"Fix")))</f>
        <v>0</v>
      </c>
      <c r="C1001" s="4">
        <f>IF(OR(INDEX($AH$2:$AH$1001,MATCH(ROWS($AG$2:AG1001),$AG$2:$AG$1001,0),1)&gt;=100000,INDEX($AN$1005:$BO$1005,1,MATCH(COLUMNS($AN$1006:AO1006),$AN$1006:$BO$1006,0))&gt;=100000), " ",IF(INDEX($AN$2:$BO$1001,MATCH(ROWS($AG$2:AG1001),$AG$2:$AG$1001,0),MATCH(COLUMNS($AN$1006:AO1006),$AN$1006:$BO$1006,0)), HYPERLINK("#",""), HYPERLINK(CONCATENATE("#Metadata!", ADDRESS(INDEX($AI$2:$AI$1001,MATCH(ROWS($AG$2:AG1001),$AG$2:$AG$1001,0),0), INDEX($AN$1004:$BO$1004,1,MATCH(COLUMNS($AN$1006:AO1006),$AN$1006:$BO$1006,0)))),"Fix")))</f>
        <v>0</v>
      </c>
      <c r="D1001" s="4">
        <f>IF(OR(INDEX($AH$2:$AH$1001,MATCH(ROWS($AG$2:AG1001),$AG$2:$AG$1001,0),1)&gt;=100000,INDEX($AN$1005:$BO$1005,1,MATCH(COLUMNS($AN$1006:AP1006),$AN$1006:$BO$1006,0))&gt;=100000), " ",IF(INDEX($AN$2:$BO$1001,MATCH(ROWS($AG$2:AG1001),$AG$2:$AG$1001,0),MATCH(COLUMNS($AN$1006:AP1006),$AN$1006:$BO$1006,0)), HYPERLINK("#",""), HYPERLINK(CONCATENATE("#Metadata!", ADDRESS(INDEX($AI$2:$AI$1001,MATCH(ROWS($AG$2:AG1001),$AG$2:$AG$1001,0),0), INDEX($AN$1004:$BO$1004,1,MATCH(COLUMNS($AN$1006:AP1006),$AN$1006:$BO$1006,0)))),"Fix")))</f>
        <v>0</v>
      </c>
      <c r="E1001" s="4">
        <f>IF(OR(INDEX($AH$2:$AH$1001,MATCH(ROWS($AG$2:AG1001),$AG$2:$AG$1001,0),1)&gt;=100000,INDEX($AN$1005:$BO$1005,1,MATCH(COLUMNS($AN$1006:AQ1006),$AN$1006:$BO$1006,0))&gt;=100000), " ",IF(INDEX($AN$2:$BO$1001,MATCH(ROWS($AG$2:AG1001),$AG$2:$AG$1001,0),MATCH(COLUMNS($AN$1006:AQ1006),$AN$1006:$BO$1006,0)), HYPERLINK("#",""), HYPERLINK(CONCATENATE("#Metadata!", ADDRESS(INDEX($AI$2:$AI$1001,MATCH(ROWS($AG$2:AG1001),$AG$2:$AG$1001,0),0), INDEX($AN$1004:$BO$1004,1,MATCH(COLUMNS($AN$1006:AQ1006),$AN$1006:$BO$1006,0)))),"Fix")))</f>
        <v>0</v>
      </c>
      <c r="F1001" s="4">
        <f>IF(OR(INDEX($AH$2:$AH$1001,MATCH(ROWS($AG$2:AG1001),$AG$2:$AG$1001,0),1)&gt;=100000,INDEX($AN$1005:$BO$1005,1,MATCH(COLUMNS($AN$1006:AR1006),$AN$1006:$BO$1006,0))&gt;=100000), " ",IF(INDEX($AN$2:$BO$1001,MATCH(ROWS($AG$2:AG1001),$AG$2:$AG$1001,0),MATCH(COLUMNS($AN$1006:AR1006),$AN$1006:$BO$1006,0)), HYPERLINK("#",""), HYPERLINK(CONCATENATE("#Metadata!", ADDRESS(INDEX($AI$2:$AI$1001,MATCH(ROWS($AG$2:AG1001),$AG$2:$AG$1001,0),0), INDEX($AN$1004:$BO$1004,1,MATCH(COLUMNS($AN$1006:AR1006),$AN$1006:$BO$1006,0)))),"Fix")))</f>
        <v>0</v>
      </c>
      <c r="G1001" s="4">
        <f>IF(OR(INDEX($AH$2:$AH$1001,MATCH(ROWS($AG$2:AG1001),$AG$2:$AG$1001,0),1)&gt;=100000,INDEX($AN$1005:$BO$1005,1,MATCH(COLUMNS($AN$1006:AS1006),$AN$1006:$BO$1006,0))&gt;=100000), " ",IF(INDEX($AN$2:$BO$1001,MATCH(ROWS($AG$2:AG1001),$AG$2:$AG$1001,0),MATCH(COLUMNS($AN$1006:AS1006),$AN$1006:$BO$1006,0)), HYPERLINK("#",""), HYPERLINK(CONCATENATE("#Metadata!", ADDRESS(INDEX($AI$2:$AI$1001,MATCH(ROWS($AG$2:AG1001),$AG$2:$AG$1001,0),0), INDEX($AN$1004:$BO$1004,1,MATCH(COLUMNS($AN$1006:AS1006),$AN$1006:$BO$1006,0)))),"Fix")))</f>
        <v>0</v>
      </c>
      <c r="H1001" s="4">
        <f>IF(OR(INDEX($AH$2:$AH$1001,MATCH(ROWS($AG$2:AG1001),$AG$2:$AG$1001,0),1)&gt;=100000,INDEX($AN$1005:$BO$1005,1,MATCH(COLUMNS($AN$1006:AT1006),$AN$1006:$BO$1006,0))&gt;=100000), " ",IF(INDEX($AN$2:$BO$1001,MATCH(ROWS($AG$2:AG1001),$AG$2:$AG$1001,0),MATCH(COLUMNS($AN$1006:AT1006),$AN$1006:$BO$1006,0)), HYPERLINK("#",""), HYPERLINK(CONCATENATE("#Metadata!", ADDRESS(INDEX($AI$2:$AI$1001,MATCH(ROWS($AG$2:AG1001),$AG$2:$AG$1001,0),0), INDEX($AN$1004:$BO$1004,1,MATCH(COLUMNS($AN$1006:AT1006),$AN$1006:$BO$1006,0)))),"Fix")))</f>
        <v>0</v>
      </c>
      <c r="I1001" s="4">
        <f>IF(OR(INDEX($AH$2:$AH$1001,MATCH(ROWS($AG$2:AG1001),$AG$2:$AG$1001,0),1)&gt;=100000,INDEX($AN$1005:$BO$1005,1,MATCH(COLUMNS($AN$1006:AU1006),$AN$1006:$BO$1006,0))&gt;=100000), " ",IF(INDEX($AN$2:$BO$1001,MATCH(ROWS($AG$2:AG1001),$AG$2:$AG$1001,0),MATCH(COLUMNS($AN$1006:AU1006),$AN$1006:$BO$1006,0)), HYPERLINK("#",""), HYPERLINK(CONCATENATE("#Metadata!", ADDRESS(INDEX($AI$2:$AI$1001,MATCH(ROWS($AG$2:AG1001),$AG$2:$AG$1001,0),0), INDEX($AN$1004:$BO$1004,1,MATCH(COLUMNS($AN$1006:AU1006),$AN$1006:$BO$1006,0)))),"Fix")))</f>
        <v>0</v>
      </c>
      <c r="J1001" s="4">
        <f>IF(OR(INDEX($AH$2:$AH$1001,MATCH(ROWS($AG$2:AG1001),$AG$2:$AG$1001,0),1)&gt;=100000,INDEX($AN$1005:$BO$1005,1,MATCH(COLUMNS($AN$1006:AV1006),$AN$1006:$BO$1006,0))&gt;=100000), " ",IF(INDEX($AN$2:$BO$1001,MATCH(ROWS($AG$2:AG1001),$AG$2:$AG$1001,0),MATCH(COLUMNS($AN$1006:AV1006),$AN$1006:$BO$1006,0)), HYPERLINK("#",""), HYPERLINK(CONCATENATE("#Metadata!", ADDRESS(INDEX($AI$2:$AI$1001,MATCH(ROWS($AG$2:AG1001),$AG$2:$AG$1001,0),0), INDEX($AN$1004:$BO$1004,1,MATCH(COLUMNS($AN$1006:AV1006),$AN$1006:$BO$1006,0)))),"Fix")))</f>
        <v>0</v>
      </c>
      <c r="K1001" s="4">
        <f>IF(OR(INDEX($AH$2:$AH$1001,MATCH(ROWS($AG$2:AG1001),$AG$2:$AG$1001,0),1)&gt;=100000,INDEX($AN$1005:$BO$1005,1,MATCH(COLUMNS($AN$1006:AW1006),$AN$1006:$BO$1006,0))&gt;=100000), " ",IF(INDEX($AN$2:$BO$1001,MATCH(ROWS($AG$2:AG1001),$AG$2:$AG$1001,0),MATCH(COLUMNS($AN$1006:AW1006),$AN$1006:$BO$1006,0)), HYPERLINK("#",""), HYPERLINK(CONCATENATE("#Metadata!", ADDRESS(INDEX($AI$2:$AI$1001,MATCH(ROWS($AG$2:AG1001),$AG$2:$AG$1001,0),0), INDEX($AN$1004:$BO$1004,1,MATCH(COLUMNS($AN$1006:AW1006),$AN$1006:$BO$1006,0)))),"Fix")))</f>
        <v>0</v>
      </c>
      <c r="L1001" s="4">
        <f>IF(OR(INDEX($AH$2:$AH$1001,MATCH(ROWS($AG$2:AG1001),$AG$2:$AG$1001,0),1)&gt;=100000,INDEX($AN$1005:$BO$1005,1,MATCH(COLUMNS($AN$1006:AX1006),$AN$1006:$BO$1006,0))&gt;=100000), " ",IF(INDEX($AN$2:$BO$1001,MATCH(ROWS($AG$2:AG1001),$AG$2:$AG$1001,0),MATCH(COLUMNS($AN$1006:AX1006),$AN$1006:$BO$1006,0)), HYPERLINK("#",""), HYPERLINK(CONCATENATE("#Metadata!", ADDRESS(INDEX($AI$2:$AI$1001,MATCH(ROWS($AG$2:AG1001),$AG$2:$AG$1001,0),0), INDEX($AN$1004:$BO$1004,1,MATCH(COLUMNS($AN$1006:AX1006),$AN$1006:$BO$1006,0)))),"Fix")))</f>
        <v>0</v>
      </c>
      <c r="M1001" s="4">
        <f>IF(OR(INDEX($AH$2:$AH$1001,MATCH(ROWS($AG$2:AG1001),$AG$2:$AG$1001,0),1)&gt;=100000,INDEX($AN$1005:$BO$1005,1,MATCH(COLUMNS($AN$1006:AY1006),$AN$1006:$BO$1006,0))&gt;=100000), " ",IF(INDEX($AN$2:$BO$1001,MATCH(ROWS($AG$2:AG1001),$AG$2:$AG$1001,0),MATCH(COLUMNS($AN$1006:AY1006),$AN$1006:$BO$1006,0)), HYPERLINK("#",""), HYPERLINK(CONCATENATE("#Metadata!", ADDRESS(INDEX($AI$2:$AI$1001,MATCH(ROWS($AG$2:AG1001),$AG$2:$AG$1001,0),0), INDEX($AN$1004:$BO$1004,1,MATCH(COLUMNS($AN$1006:AY1006),$AN$1006:$BO$1006,0)))),"Fix")))</f>
        <v>0</v>
      </c>
      <c r="N1001" s="4">
        <f>IF(OR(INDEX($AH$2:$AH$1001,MATCH(ROWS($AG$2:AG1001),$AG$2:$AG$1001,0),1)&gt;=100000,INDEX($AN$1005:$BO$1005,1,MATCH(COLUMNS($AN$1006:AZ1006),$AN$1006:$BO$1006,0))&gt;=100000), " ",IF(INDEX($AN$2:$BO$1001,MATCH(ROWS($AG$2:AG1001),$AG$2:$AG$1001,0),MATCH(COLUMNS($AN$1006:AZ1006),$AN$1006:$BO$1006,0)), HYPERLINK("#",""), HYPERLINK(CONCATENATE("#Metadata!", ADDRESS(INDEX($AI$2:$AI$1001,MATCH(ROWS($AG$2:AG1001),$AG$2:$AG$1001,0),0), INDEX($AN$1004:$BO$1004,1,MATCH(COLUMNS($AN$1006:AZ1006),$AN$1006:$BO$1006,0)))),"Fix")))</f>
        <v>0</v>
      </c>
      <c r="O1001" s="4">
        <f>IF(OR(INDEX($AH$2:$AH$1001,MATCH(ROWS($AG$2:AG1001),$AG$2:$AG$1001,0),1)&gt;=100000,INDEX($AN$1005:$BO$1005,1,MATCH(COLUMNS($AN$1006:BA1006),$AN$1006:$BO$1006,0))&gt;=100000), " ",IF(INDEX($AN$2:$BO$1001,MATCH(ROWS($AG$2:AG1001),$AG$2:$AG$1001,0),MATCH(COLUMNS($AN$1006:BA1006),$AN$1006:$BO$1006,0)), HYPERLINK("#",""), HYPERLINK(CONCATENATE("#Metadata!", ADDRESS(INDEX($AI$2:$AI$1001,MATCH(ROWS($AG$2:AG1001),$AG$2:$AG$1001,0),0), INDEX($AN$1004:$BO$1004,1,MATCH(COLUMNS($AN$1006:BA1006),$AN$1006:$BO$1006,0)))),"Fix")))</f>
        <v>0</v>
      </c>
      <c r="P1001" s="4">
        <f>IF(OR(INDEX($AH$2:$AH$1001,MATCH(ROWS($AG$2:AG1001),$AG$2:$AG$1001,0),1)&gt;=100000,INDEX($AN$1005:$BO$1005,1,MATCH(COLUMNS($AN$1006:BB1006),$AN$1006:$BO$1006,0))&gt;=100000), " ",IF(INDEX($AN$2:$BO$1001,MATCH(ROWS($AG$2:AG1001),$AG$2:$AG$1001,0),MATCH(COLUMNS($AN$1006:BB1006),$AN$1006:$BO$1006,0)), HYPERLINK("#",""), HYPERLINK(CONCATENATE("#Metadata!", ADDRESS(INDEX($AI$2:$AI$1001,MATCH(ROWS($AG$2:AG1001),$AG$2:$AG$1001,0),0), INDEX($AN$1004:$BO$1004,1,MATCH(COLUMNS($AN$1006:BB1006),$AN$1006:$BO$1006,0)))),"Fix")))</f>
        <v>0</v>
      </c>
      <c r="Q1001" s="4">
        <f>IF(OR(INDEX($AH$2:$AH$1001,MATCH(ROWS($AG$2:AG1001),$AG$2:$AG$1001,0),1)&gt;=100000,INDEX($AN$1005:$BO$1005,1,MATCH(COLUMNS($AN$1006:BC1006),$AN$1006:$BO$1006,0))&gt;=100000), " ",IF(INDEX($AN$2:$BO$1001,MATCH(ROWS($AG$2:AG1001),$AG$2:$AG$1001,0),MATCH(COLUMNS($AN$1006:BC1006),$AN$1006:$BO$1006,0)), HYPERLINK("#",""), HYPERLINK(CONCATENATE("#Metadata!", ADDRESS(INDEX($AI$2:$AI$1001,MATCH(ROWS($AG$2:AG1001),$AG$2:$AG$1001,0),0), INDEX($AN$1004:$BO$1004,1,MATCH(COLUMNS($AN$1006:BC1006),$AN$1006:$BO$1006,0)))),"Fix")))</f>
        <v>0</v>
      </c>
      <c r="R1001" s="4">
        <f>IF(OR(INDEX($AH$2:$AH$1001,MATCH(ROWS($AG$2:AG1001),$AG$2:$AG$1001,0),1)&gt;=100000,INDEX($AN$1005:$BO$1005,1,MATCH(COLUMNS($AN$1006:BD1006),$AN$1006:$BO$1006,0))&gt;=100000), " ",IF(INDEX($AN$2:$BO$1001,MATCH(ROWS($AG$2:AG1001),$AG$2:$AG$1001,0),MATCH(COLUMNS($AN$1006:BD1006),$AN$1006:$BO$1006,0)), HYPERLINK("#",""), HYPERLINK(CONCATENATE("#Metadata!", ADDRESS(INDEX($AI$2:$AI$1001,MATCH(ROWS($AG$2:AG1001),$AG$2:$AG$1001,0),0), INDEX($AN$1004:$BO$1004,1,MATCH(COLUMNS($AN$1006:BD1006),$AN$1006:$BO$1006,0)))),"Fix")))</f>
        <v>0</v>
      </c>
      <c r="S1001" s="4">
        <f>IF(OR(INDEX($AH$2:$AH$1001,MATCH(ROWS($AG$2:AG1001),$AG$2:$AG$1001,0),1)&gt;=100000,INDEX($AN$1005:$BO$1005,1,MATCH(COLUMNS($AN$1006:BE1006),$AN$1006:$BO$1006,0))&gt;=100000), " ",IF(INDEX($AN$2:$BO$1001,MATCH(ROWS($AG$2:AG1001),$AG$2:$AG$1001,0),MATCH(COLUMNS($AN$1006:BE1006),$AN$1006:$BO$1006,0)), HYPERLINK("#",""), HYPERLINK(CONCATENATE("#Metadata!", ADDRESS(INDEX($AI$2:$AI$1001,MATCH(ROWS($AG$2:AG1001),$AG$2:$AG$1001,0),0), INDEX($AN$1004:$BO$1004,1,MATCH(COLUMNS($AN$1006:BE1006),$AN$1006:$BO$1006,0)))),"Fix")))</f>
        <v>0</v>
      </c>
      <c r="T1001" s="4">
        <f>IF(OR(INDEX($AH$2:$AH$1001,MATCH(ROWS($AG$2:AG1001),$AG$2:$AG$1001,0),1)&gt;=100000,INDEX($AN$1005:$BO$1005,1,MATCH(COLUMNS($AN$1006:BF1006),$AN$1006:$BO$1006,0))&gt;=100000), " ",IF(INDEX($AN$2:$BO$1001,MATCH(ROWS($AG$2:AG1001),$AG$2:$AG$1001,0),MATCH(COLUMNS($AN$1006:BF1006),$AN$1006:$BO$1006,0)), HYPERLINK("#",""), HYPERLINK(CONCATENATE("#Metadata!", ADDRESS(INDEX($AI$2:$AI$1001,MATCH(ROWS($AG$2:AG1001),$AG$2:$AG$1001,0),0), INDEX($AN$1004:$BO$1004,1,MATCH(COLUMNS($AN$1006:BF1006),$AN$1006:$BO$1006,0)))),"Fix")))</f>
        <v>0</v>
      </c>
      <c r="U1001" s="4">
        <f>IF(OR(INDEX($AH$2:$AH$1001,MATCH(ROWS($AG$2:AG1001),$AG$2:$AG$1001,0),1)&gt;=100000,INDEX($AN$1005:$BO$1005,1,MATCH(COLUMNS($AN$1006:BG1006),$AN$1006:$BO$1006,0))&gt;=100000), " ",IF(INDEX($AN$2:$BO$1001,MATCH(ROWS($AG$2:AG1001),$AG$2:$AG$1001,0),MATCH(COLUMNS($AN$1006:BG1006),$AN$1006:$BO$1006,0)), HYPERLINK("#",""), HYPERLINK(CONCATENATE("#Metadata!", ADDRESS(INDEX($AI$2:$AI$1001,MATCH(ROWS($AG$2:AG1001),$AG$2:$AG$1001,0),0), INDEX($AN$1004:$BO$1004,1,MATCH(COLUMNS($AN$1006:BG1006),$AN$1006:$BO$1006,0)))),"Fix")))</f>
        <v>0</v>
      </c>
      <c r="V1001" s="4">
        <f>IF(OR(INDEX($AH$2:$AH$1001,MATCH(ROWS($AG$2:AG1001),$AG$2:$AG$1001,0),1)&gt;=100000,INDEX($AN$1005:$BO$1005,1,MATCH(COLUMNS($AN$1006:BH1006),$AN$1006:$BO$1006,0))&gt;=100000), " ",IF(INDEX($AN$2:$BO$1001,MATCH(ROWS($AG$2:AG1001),$AG$2:$AG$1001,0),MATCH(COLUMNS($AN$1006:BH1006),$AN$1006:$BO$1006,0)), HYPERLINK("#",""), HYPERLINK(CONCATENATE("#Metadata!", ADDRESS(INDEX($AI$2:$AI$1001,MATCH(ROWS($AG$2:AG1001),$AG$2:$AG$1001,0),0), INDEX($AN$1004:$BO$1004,1,MATCH(COLUMNS($AN$1006:BH1006),$AN$1006:$BO$1006,0)))),"Fix")))</f>
        <v>0</v>
      </c>
      <c r="W1001" s="4">
        <f>IF(OR(INDEX($AH$2:$AH$1001,MATCH(ROWS($AG$2:AG1001),$AG$2:$AG$1001,0),1)&gt;=100000,INDEX($AN$1005:$BO$1005,1,MATCH(COLUMNS($AN$1006:BI1006),$AN$1006:$BO$1006,0))&gt;=100000), " ",IF(INDEX($AN$2:$BO$1001,MATCH(ROWS($AG$2:AG1001),$AG$2:$AG$1001,0),MATCH(COLUMNS($AN$1006:BI1006),$AN$1006:$BO$1006,0)), HYPERLINK("#",""), HYPERLINK(CONCATENATE("#Metadata!", ADDRESS(INDEX($AI$2:$AI$1001,MATCH(ROWS($AG$2:AG1001),$AG$2:$AG$1001,0),0), INDEX($AN$1004:$BO$1004,1,MATCH(COLUMNS($AN$1006:BI1006),$AN$1006:$BO$1006,0)))),"Fix")))</f>
        <v>0</v>
      </c>
      <c r="X1001" s="4">
        <f>IF(OR(INDEX($AH$2:$AH$1001,MATCH(ROWS($AG$2:AG1001),$AG$2:$AG$1001,0),1)&gt;=100000,INDEX($AN$1005:$BO$1005,1,MATCH(COLUMNS($AN$1006:BJ1006),$AN$1006:$BO$1006,0))&gt;=100000), " ",IF(INDEX($AN$2:$BO$1001,MATCH(ROWS($AG$2:AG1001),$AG$2:$AG$1001,0),MATCH(COLUMNS($AN$1006:BJ1006),$AN$1006:$BO$1006,0)), HYPERLINK("#",""), HYPERLINK(CONCATENATE("#Metadata!", ADDRESS(INDEX($AI$2:$AI$1001,MATCH(ROWS($AG$2:AG1001),$AG$2:$AG$1001,0),0), INDEX($AN$1004:$BO$1004,1,MATCH(COLUMNS($AN$1006:BJ1006),$AN$1006:$BO$1006,0)))),"Fix")))</f>
        <v>0</v>
      </c>
      <c r="Y1001" s="4">
        <f>IF(OR(INDEX($AH$2:$AH$1001,MATCH(ROWS($AG$2:AG1001),$AG$2:$AG$1001,0),1)&gt;=100000,INDEX($AN$1005:$BO$1005,1,MATCH(COLUMNS($AN$1006:BK1006),$AN$1006:$BO$1006,0))&gt;=100000), " ",IF(INDEX($AN$2:$BO$1001,MATCH(ROWS($AG$2:AG1001),$AG$2:$AG$1001,0),MATCH(COLUMNS($AN$1006:BK1006),$AN$1006:$BO$1006,0)), HYPERLINK("#",""), HYPERLINK(CONCATENATE("#Metadata!", ADDRESS(INDEX($AI$2:$AI$1001,MATCH(ROWS($AG$2:AG1001),$AG$2:$AG$1001,0),0), INDEX($AN$1004:$BO$1004,1,MATCH(COLUMNS($AN$1006:BK1006),$AN$1006:$BO$1006,0)))),"Fix")))</f>
        <v>0</v>
      </c>
      <c r="Z1001" s="4">
        <f>IF(OR(INDEX($AH$2:$AH$1001,MATCH(ROWS($AG$2:AG1001),$AG$2:$AG$1001,0),1)&gt;=100000,INDEX($AN$1005:$BO$1005,1,MATCH(COLUMNS($AN$1006:BL1006),$AN$1006:$BO$1006,0))&gt;=100000), " ",IF(INDEX($AN$2:$BO$1001,MATCH(ROWS($AG$2:AG1001),$AG$2:$AG$1001,0),MATCH(COLUMNS($AN$1006:BL1006),$AN$1006:$BO$1006,0)), HYPERLINK("#",""), HYPERLINK(CONCATENATE("#Metadata!", ADDRESS(INDEX($AI$2:$AI$1001,MATCH(ROWS($AG$2:AG1001),$AG$2:$AG$1001,0),0), INDEX($AN$1004:$BO$1004,1,MATCH(COLUMNS($AN$1006:BL1006),$AN$1006:$BO$1006,0)))),"Fix")))</f>
        <v>0</v>
      </c>
      <c r="AA1001" s="4">
        <f>IF(OR(INDEX($AH$2:$AH$1001,MATCH(ROWS($AG$2:AG1001),$AG$2:$AG$1001,0),1)&gt;=100000,INDEX($AN$1005:$BO$1005,1,MATCH(COLUMNS($AN$1006:BM1006),$AN$1006:$BO$1006,0))&gt;=100000), " ",IF(INDEX($AN$2:$BO$1001,MATCH(ROWS($AG$2:AG1001),$AG$2:$AG$1001,0),MATCH(COLUMNS($AN$1006:BM1006),$AN$1006:$BO$1006,0)), HYPERLINK("#",""), HYPERLINK(CONCATENATE("#Metadata!", ADDRESS(INDEX($AI$2:$AI$1001,MATCH(ROWS($AG$2:AG1001),$AG$2:$AG$1001,0),0), INDEX($AN$1004:$BO$1004,1,MATCH(COLUMNS($AN$1006:BM1006),$AN$1006:$BO$1006,0)))),"Fix")))</f>
        <v>0</v>
      </c>
      <c r="AB1001" s="4">
        <f>IF(OR(INDEX($AH$2:$AH$1001,MATCH(ROWS($AG$2:AG1001),$AG$2:$AG$1001,0),1)&gt;=100000,INDEX($AN$1005:$BO$1005,1,MATCH(COLUMNS($AN$1006:BN1006),$AN$1006:$BO$1006,0))&gt;=100000), " ",IF(INDEX($AN$2:$BO$1001,MATCH(ROWS($AG$2:AG1001),$AG$2:$AG$1001,0),MATCH(COLUMNS($AN$1006:BN1006),$AN$1006:$BO$1006,0)), HYPERLINK("#",""), HYPERLINK(CONCATENATE("#Metadata!", ADDRESS(INDEX($AI$2:$AI$1001,MATCH(ROWS($AG$2:AG1001),$AG$2:$AG$1001,0),0), INDEX($AN$1004:$BO$1004,1,MATCH(COLUMNS($AN$1006:BN1006),$AN$1006:$BO$1006,0)))),"Fix")))</f>
        <v>0</v>
      </c>
      <c r="AC1001" s="4">
        <f>IF(OR(INDEX($AH$2:$AH$1001,MATCH(ROWS($AG$2:AG1001),$AG$2:$AG$1001,0),1)&gt;=100000,INDEX($AN$1005:$BO$1005,1,MATCH(COLUMNS($AN$1006:BO1006),$AN$1006:$BO$1006,0))&gt;=100000), " ",IF(INDEX($AN$2:$BO$1001,MATCH(ROWS($AG$2:AG1001),$AG$2:$AG$1001,0),MATCH(COLUMNS($AN$1006:BO1006),$AN$1006:$BO$1006,0)), HYPERLINK("#",""), HYPERLINK(CONCATENATE("#Metadata!", ADDRESS(INDEX($AI$2:$AI$1001,MATCH(ROWS($AG$2:AG1001),$AG$2:$AG$1001,0),0), INDEX($AN$1004:$BO$1004,1,MATCH(COLUMNS($AN$1006:BO1006),$AN$1006:$BO$1006,0)))),"Fix")))</f>
        <v>0</v>
      </c>
      <c r="AG1001">
        <v>0</v>
      </c>
      <c r="AH1001">
        <v>0</v>
      </c>
      <c r="AI1001">
        <v>0</v>
      </c>
      <c r="AJ1001">
        <f>IF(AK1001,TRUE,AND(AN1001:BO1001))</f>
        <v>0</v>
      </c>
      <c r="AK1001">
        <f>COUNTBLANK(Metadata!B1001:AC1001)=COLUMNS(Metadata!B1001:AC1001)</f>
        <v>0</v>
      </c>
      <c r="AL1001">
        <v>0</v>
      </c>
      <c r="AN1001">
        <f>AND(IF(Metadata!B1001="",FALSE,TRUE),COUNTIF(Metadata!B:B, Metadata!B1001) = 1,NOT(ISERROR(SUMPRODUCT(SEARCH(MID(Metadata!B1001,ROW(INDIRECT("1:"&amp;LEN(Metadata!B1001))), 1),"0123456789abcdefghijklmnopqrstuvwxyzABCDEFGHIJKLMNOPQRSTUVWXYZ.")))))</f>
        <v>0</v>
      </c>
      <c r="AO1001">
        <f>IF(Metadata!C1001="",FALSE,TRUE)</f>
        <v>0</v>
      </c>
      <c r="AP1001">
        <f>IF(Metadata!D1001="",FALSE,TRUE)</f>
        <v>0</v>
      </c>
      <c r="AQ1001">
        <f>OR(AND(IF(Metadata!E1001="",FALSE,TRUE),OR(exact(Metadata!E1001,"not collected"),exact(Metadata!E1001,"not provided"),exact(Metadata!E1001,"restricted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R1001">
        <f>IF(Metadata!F1001="",FALSE,TRUE)</f>
        <v>0</v>
      </c>
      <c r="AS1001">
        <f>OR(AND(IF(Metadata!G1001="",FALSE,TRUE),OR(exact(Metadata!G1001,"not collected"),exact(Metadata!G1001,"not provided"))),AND(IF(Metadata!G1001="",FALSE,TRUE),OR(exact(Metadata!G1001,"TRUE"),exact(Metadata!G1001,"FALSE"))))</f>
        <v>0</v>
      </c>
      <c r="AT1001">
        <f>OR(AND(IF(Metadata!H1001="",FALSE,TRUE),OR(exact(Metadata!H1001,"not collected"),exact(Metadata!H1001,"not provided"),exact(Metadata!H1001,"restricted access"))),AND(IF(Metadata!H1001="",FALSE,ISNUMBER(VALUE(Metadata!H1001))),Metadata!H1001&gt;=-413.0))</f>
        <v>0</v>
      </c>
      <c r="AU1001">
        <f>AND(IF(Metadata!I1001="",FALSE,TRUE),exact(Metadata!I1001,"meters"))</f>
        <v>0</v>
      </c>
      <c r="AV1001">
        <f>AND(IF(Metadata!J1001="",FALSE,TRUE),OR(exact(Metadata!J1001,"Host-associated"),exact(Metadata!J1001,"Free-living")))</f>
        <v>0</v>
      </c>
      <c r="AW1001">
        <f>AND(IF(Metadata!K1001="",FALSE,TRUE),OR(exact(Metadata!K1001,"Animal"),exact(Metadata!K1001,"Fungus"),exact(Metadata!K1001,"Plant"),exact(Metadata!K1001,"Saline"),exact(Metadata!K1001,"Non-saline")))</f>
        <v>0</v>
      </c>
      <c r="AX1001">
        <f>AND(IF(Metadata!L1001="",FALSE,TRUE),OR(exact(Metadata!L1001,"Plant secretion"),exact(Metadata!L1001,"Plant rhizosphere"),exact(Metadata!L1001,"Plant surface"),exact(Metadata!L1001,"Plant corpus"),exact(Metadata!L1001,"Fungus surface"),exact(Metadata!L1001,"Fungus corpus"),exact(Metadata!L1001,"Animal surface"),exact(Metadata!L1001,"Animal proximal gut"),exact(Metadata!L1001,"Animal corpus"),exact(Metadata!L1001,"Animal distal gut"),exact(Metadata!L1001,"Animal secretion"),exact(Metadata!L1001,"Sub-surface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Y1001">
        <f>IF(Metadata!M1001="",FALSE,TRUE)</f>
        <v>0</v>
      </c>
      <c r="AZ1001">
        <f>IF(Metadata!N1001="",FALSE,TRUE)</f>
        <v>0</v>
      </c>
      <c r="BA1001">
        <f>IF(Metadata!O1001="",FALSE,TRUE)</f>
        <v>0</v>
      </c>
      <c r="BB1001">
        <f>OR(AND(IF(Metadata!P1001="",FALSE,TRUE),OR(exact(Metadata!P1001,"not collected"),exact(Metadata!P1001,"not provided"),exact(Metadata!P1001,"restricted access"))),AND(IF(Metadata!P1001="",FALSE,TRUE),OR(exact(Metadata!P1001,"air"),exact(Metadata!P1001,"built environment"),exact(Metadata!P1001,"host-associated"),exact(Metadata!P1001,"human-associated"),exact(Metadata!P1001,"human-skin"),exact(Metadata!P1001,"human-oral"),exact(Metadata!P1001,"human-gut"),exact(Metadata!P1001,"human-vaginal"),exact(Metadata!P1001,"microbial mat/biofilm"),exact(Metadata!P1001,"misc environment"),exact(Metadata!P1001,"plant-associated"),exact(Metadata!P1001,"sediment"),exact(Metadata!P1001,"soil"),exact(Metadata!P1001,"wastewater/sludge"),exact(Metadata!P1001,"water"))))</f>
        <v>0</v>
      </c>
      <c r="BC1001">
        <f>IF(Metadata!Q1001="",FALSE,TRUE)</f>
        <v>0</v>
      </c>
      <c r="BD1001">
        <f>IF(Metadata!R1001="",FALSE,TRUE)</f>
        <v>0</v>
      </c>
      <c r="BE1001">
        <f>OR(AND(IF(Metadata!S1001="",FALSE,TRUE),OR(exact(Metadata!S1001,"not collected"),exact(Metadata!S1001,"not provided"),exact(Metadata!S1001,"restricted access"))),AND(IF(Metadata!S1001="",FALSE,ISNUMBER(VALUE(Metadata!S1001))),Metadata!S1001&gt;=-90.00,Metadata!S1001&lt;=90.00))</f>
        <v>0</v>
      </c>
      <c r="BF1001">
        <f>AND(IF(Metadata!T1001="",FALSE,TRUE),exact(Metadata!T1001,"Decimal degrees"))</f>
        <v>0</v>
      </c>
      <c r="BG1001">
        <f>OR(AND(IF(Metadata!U1001="",FALSE,TRUE),OR(exact(Metadata!U1001,"not collected"),exact(Metadata!U1001,"not provided"),exact(Metadata!U1001,"restricted access"))),AND(IF(Metadata!U1001="",FALSE,ISNUMBER(VALUE(Metadata!U1001))),Metadata!U1001&gt;=-180.00,Metadata!U1001&lt;=180.00))</f>
        <v>0</v>
      </c>
      <c r="BH1001">
        <f>AND(IF(Metadata!V1001="",FALSE,TRUE),exact(Metadata!V1001,"Decimal degrees"))</f>
        <v>0</v>
      </c>
      <c r="BI1001">
        <f>IF(Metadata!W1001="",FALSE,TRUE)</f>
        <v>0</v>
      </c>
      <c r="BJ1001">
        <f>OR(AND(IF(Metadata!X1001="",FALSE,TRUE),OR(exact(Metadata!X1001,"not collected"),exact(Metadata!X1001,"not provided"),exact(Metadata!X1001,"restricted access"))),AND(IF(Metadata!X1001="",FALSE,TRUE),OR(exact(Metadata!X1001,"TRUE"),exact(Metadata!X1001,"FALSE"))))</f>
        <v>0</v>
      </c>
      <c r="BK1001">
        <f>AND(IF(Metadata!Y1001="",FALSE,TRUE),exact(Metadata!Y1001,"other"))</f>
        <v>0</v>
      </c>
      <c r="BL1001">
        <f>IF(Metadata!Z1001="",FALSE,TRUE)</f>
        <v>0</v>
      </c>
      <c r="BM1001">
        <f>OR(AND(IF(Metadata!AA1001="",FALSE,TRUE),OR(exact(Metadata!AA1001,"not collected"),exact(Metadata!AA1001,"not provided"))),AND(IF(Metadata!AA1001="",FALSE,IF(ISERROR(INT(Metadata!AA1001)),FALSE,INT(Metadata!AA1001)=Metadata!AA1001)),Metadata!AA1001&gt;0))</f>
        <v>0</v>
      </c>
      <c r="BN1001">
        <f>AND(IF(Metadata!AB1001="",FALSE,TRUE),exact(Metadata!AB1001,"Not applicable"))</f>
        <v>0</v>
      </c>
      <c r="BO1001">
        <f>IF(Metadata!AC1001="",FALSE,TRUE)</f>
        <v>0</v>
      </c>
    </row>
    <row r="1003" spans="1:67">
      <c r="AM1003" s="3" t="s">
        <v>35</v>
      </c>
      <c r="AN1003">
        <f t="array" ref="AN1003">AND(IF($AK2:$AK1001,TRUE,AN2:AN1001))</f>
        <v>0</v>
      </c>
      <c r="AO1003">
        <f t="array" ref="AO1003">AND(IF($AK2:$AK1001,TRUE,AO2:AO1001))</f>
        <v>0</v>
      </c>
      <c r="AP1003">
        <f t="array" ref="AP1003">AND(IF($AK2:$AK1001,TRUE,AP2:AP1001))</f>
        <v>0</v>
      </c>
      <c r="AQ1003">
        <f t="array" ref="AQ1003">AND(IF($AK2:$AK1001,TRUE,AQ2:AQ1001))</f>
        <v>0</v>
      </c>
      <c r="AR1003">
        <f t="array" ref="AR1003">AND(IF($AK2:$AK1001,TRUE,AR2:AR1001))</f>
        <v>0</v>
      </c>
      <c r="AS1003">
        <f t="array" ref="AS1003">AND(IF($AK2:$AK1001,TRUE,AS2:AS1001))</f>
        <v>0</v>
      </c>
      <c r="AT1003">
        <f t="array" ref="AT1003">AND(IF($AK2:$AK1001,TRUE,AT2:AT1001))</f>
        <v>0</v>
      </c>
      <c r="AU1003">
        <f t="array" ref="AU1003">AND(IF($AK2:$AK1001,TRUE,AU2:AU1001))</f>
        <v>0</v>
      </c>
      <c r="AV1003">
        <f t="array" ref="AV1003">AND(IF($AK2:$AK1001,TRUE,AV2:AV1001))</f>
        <v>0</v>
      </c>
      <c r="AW1003">
        <f t="array" ref="AW1003">AND(IF($AK2:$AK1001,TRUE,AW2:AW1001))</f>
        <v>0</v>
      </c>
      <c r="AX1003">
        <f t="array" ref="AX1003">AND(IF($AK2:$AK1001,TRUE,AX2:AX1001))</f>
        <v>0</v>
      </c>
      <c r="AY1003">
        <f t="array" ref="AY1003">AND(IF($AK2:$AK1001,TRUE,AY2:AY1001))</f>
        <v>0</v>
      </c>
      <c r="AZ1003">
        <f t="array" ref="AZ1003">AND(IF($AK2:$AK1001,TRUE,AZ2:AZ1001))</f>
        <v>0</v>
      </c>
      <c r="BA1003">
        <f t="array" ref="BA1003">AND(IF($AK2:$AK1001,TRUE,BA2:BA1001))</f>
        <v>0</v>
      </c>
      <c r="BB1003">
        <f t="array" ref="BB1003">AND(IF($AK2:$AK1001,TRUE,BB2:BB1001))</f>
        <v>0</v>
      </c>
      <c r="BC1003">
        <f t="array" ref="BC1003">AND(IF($AK2:$AK1001,TRUE,BC2:BC1001))</f>
        <v>0</v>
      </c>
      <c r="BD1003">
        <f t="array" ref="BD1003">AND(IF($AK2:$AK1001,TRUE,BD2:BD1001))</f>
        <v>0</v>
      </c>
      <c r="BE1003">
        <f t="array" ref="BE1003">AND(IF($AK2:$AK1001,TRUE,BE2:BE1001))</f>
        <v>0</v>
      </c>
      <c r="BF1003">
        <f t="array" ref="BF1003">AND(IF($AK2:$AK1001,TRUE,BF2:BF1001))</f>
        <v>0</v>
      </c>
      <c r="BG1003">
        <f t="array" ref="BG1003">AND(IF($AK2:$AK1001,TRUE,BG2:BG1001))</f>
        <v>0</v>
      </c>
      <c r="BH1003">
        <f t="array" ref="BH1003">AND(IF($AK2:$AK1001,TRUE,BH2:BH1001))</f>
        <v>0</v>
      </c>
      <c r="BI1003">
        <f t="array" ref="BI1003">AND(IF($AK2:$AK1001,TRUE,BI2:BI1001))</f>
        <v>0</v>
      </c>
      <c r="BJ1003">
        <f t="array" ref="BJ1003">AND(IF($AK2:$AK1001,TRUE,BJ2:BJ1001))</f>
        <v>0</v>
      </c>
      <c r="BK1003">
        <f t="array" ref="BK1003">AND(IF($AK2:$AK1001,TRUE,BK2:BK1001))</f>
        <v>0</v>
      </c>
      <c r="BL1003">
        <f t="array" ref="BL1003">AND(IF($AK2:$AK1001,TRUE,BL2:BL1001))</f>
        <v>0</v>
      </c>
      <c r="BM1003">
        <f t="array" ref="BM1003">AND(IF($AK2:$AK1001,TRUE,BM2:BM1001))</f>
        <v>0</v>
      </c>
      <c r="BN1003">
        <f t="array" ref="BN1003">AND(IF($AK2:$AK1001,TRUE,BN2:BN1001))</f>
        <v>0</v>
      </c>
      <c r="BO1003">
        <f t="array" ref="BO1003">AND(IF($AK2:$AK1001,TRUE,BO2:BO1001))</f>
        <v>0</v>
      </c>
    </row>
    <row r="1004" spans="1:67">
      <c r="AM1004" s="3" t="s">
        <v>36</v>
      </c>
      <c r="AN1004">
        <f t="array" ref="AN1004:BO1004">COLUMN(Metadata!B1004:AC1004)</f>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row>
    <row r="1005" spans="1:67">
      <c r="AM1005" s="3" t="s">
        <v>37</v>
      </c>
      <c r="AN1005">
        <f t="array" ref="AN1005:BO1005">INT(AN1003:BO1003)*100000+$AN$1004:$BO$1004</f>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row>
    <row r="1006" spans="1:67">
      <c r="AM1006" s="3" t="s">
        <v>38</v>
      </c>
      <c r="AN1006">
        <f t="array" ref="AN1006:BO1006">COUNTIF($AN1005:$BO1005,"&lt;="&amp;AN$1005:BO1005)</f>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row>
  </sheetData>
  <sheetProtection password="EE32" sheet="1" objects="1" scenarios="1"/>
  <conditionalFormatting sqref="B2:AC1001">
    <cfRule type="cellIs" dxfId="0" priority="1" operator="equal">
      <formula>""</formula>
    </cfRule>
    <cfRule type="cellIs" dxfId="1"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c r="A1" s="3" t="s">
        <v>39</v>
      </c>
      <c r="B1" s="3" t="s">
        <v>40</v>
      </c>
    </row>
    <row r="2" spans="1:2">
      <c r="A2" s="3" t="s">
        <v>1</v>
      </c>
      <c r="B2" t="s">
        <v>41</v>
      </c>
    </row>
    <row r="3" spans="1:2">
      <c r="A3" s="3" t="s">
        <v>3</v>
      </c>
      <c r="B3" t="s">
        <v>42</v>
      </c>
    </row>
    <row r="4" spans="1:2">
      <c r="A4" s="3" t="s">
        <v>4</v>
      </c>
      <c r="B4" t="s">
        <v>42</v>
      </c>
    </row>
    <row r="5" spans="1:2">
      <c r="A5" s="3" t="s">
        <v>5</v>
      </c>
      <c r="B5" t="s">
        <v>43</v>
      </c>
    </row>
    <row r="6" spans="1:2">
      <c r="A6" s="3" t="s">
        <v>6</v>
      </c>
      <c r="B6" t="s">
        <v>44</v>
      </c>
    </row>
    <row r="7" spans="1:2">
      <c r="A7" s="3" t="s">
        <v>7</v>
      </c>
      <c r="B7" t="s">
        <v>45</v>
      </c>
    </row>
    <row r="8" spans="1:2">
      <c r="A8" s="3" t="s">
        <v>8</v>
      </c>
      <c r="B8" t="s">
        <v>46</v>
      </c>
    </row>
    <row r="9" spans="1:2">
      <c r="A9" s="3" t="s">
        <v>9</v>
      </c>
      <c r="B9" t="s">
        <v>47</v>
      </c>
    </row>
    <row r="10" spans="1:2">
      <c r="A10" s="3" t="s">
        <v>10</v>
      </c>
      <c r="B10" t="s">
        <v>48</v>
      </c>
    </row>
    <row r="11" spans="1:2">
      <c r="A11" s="3" t="s">
        <v>11</v>
      </c>
      <c r="B11" t="s">
        <v>49</v>
      </c>
    </row>
    <row r="12" spans="1:2">
      <c r="A12" s="3" t="s">
        <v>12</v>
      </c>
      <c r="B12" t="s">
        <v>50</v>
      </c>
    </row>
    <row r="13" spans="1:2">
      <c r="A13" s="3" t="s">
        <v>13</v>
      </c>
      <c r="B13" t="s">
        <v>51</v>
      </c>
    </row>
    <row r="14" spans="1:2">
      <c r="A14" s="3" t="s">
        <v>14</v>
      </c>
      <c r="B14" t="s">
        <v>52</v>
      </c>
    </row>
    <row r="15" spans="1:2">
      <c r="A15" s="3" t="s">
        <v>15</v>
      </c>
      <c r="B15" t="s">
        <v>53</v>
      </c>
    </row>
    <row r="16" spans="1:2">
      <c r="A16" s="3" t="s">
        <v>16</v>
      </c>
      <c r="B16" t="s">
        <v>54</v>
      </c>
    </row>
    <row r="17" spans="1:2">
      <c r="A17" s="3" t="s">
        <v>17</v>
      </c>
      <c r="B17" t="s">
        <v>55</v>
      </c>
    </row>
    <row r="18" spans="1:2">
      <c r="A18" s="3" t="s">
        <v>18</v>
      </c>
      <c r="B18" t="s">
        <v>56</v>
      </c>
    </row>
    <row r="19" spans="1:2">
      <c r="A19" s="3" t="s">
        <v>19</v>
      </c>
      <c r="B19" t="s">
        <v>57</v>
      </c>
    </row>
    <row r="20" spans="1:2">
      <c r="A20" s="3" t="s">
        <v>20</v>
      </c>
      <c r="B20" t="s">
        <v>58</v>
      </c>
    </row>
    <row r="21" spans="1:2">
      <c r="A21" s="3" t="s">
        <v>21</v>
      </c>
      <c r="B21" t="s">
        <v>59</v>
      </c>
    </row>
    <row r="22" spans="1:2">
      <c r="A22" s="3" t="s">
        <v>22</v>
      </c>
      <c r="B22" t="s">
        <v>58</v>
      </c>
    </row>
    <row r="23" spans="1:2">
      <c r="A23" s="3" t="s">
        <v>23</v>
      </c>
      <c r="B23" t="s">
        <v>60</v>
      </c>
    </row>
    <row r="24" spans="1:2">
      <c r="A24" s="3" t="s">
        <v>24</v>
      </c>
      <c r="B24" t="s">
        <v>61</v>
      </c>
    </row>
    <row r="25" spans="1:2">
      <c r="A25" s="3" t="s">
        <v>25</v>
      </c>
      <c r="B25" t="s">
        <v>62</v>
      </c>
    </row>
    <row r="26" spans="1:2">
      <c r="A26" s="3" t="s">
        <v>26</v>
      </c>
      <c r="B26" t="s">
        <v>63</v>
      </c>
    </row>
    <row r="27" spans="1:2">
      <c r="A27" s="3" t="s">
        <v>27</v>
      </c>
      <c r="B27" t="s">
        <v>64</v>
      </c>
    </row>
    <row r="28" spans="1:2">
      <c r="A28" s="3" t="s">
        <v>28</v>
      </c>
      <c r="B28" t="s">
        <v>65</v>
      </c>
    </row>
    <row r="29" spans="1:2">
      <c r="A29" s="3" t="s">
        <v>29</v>
      </c>
      <c r="B29" t="s">
        <v>66</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67</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68</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100.7109375" customWidth="1"/>
  </cols>
  <sheetData>
    <row r="1" spans="1:1">
      <c r="A1" s="5">
        <f>HYPERLINK("http://metadata-wizard-tutorial.readthedocs.io/en/latest/", "Click here for instructions on using this spreadsheet.")</f>
        <v>0</v>
      </c>
    </row>
    <row r="3" spans="1:1">
      <c r="A3" s="6" t="s">
        <v>69</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2018-07-07T00:02:26Z</dcterms:created>
  <dcterms:modified xsi:type="dcterms:W3CDTF">2018-07-07T00:02:26Z</dcterms:modified>
</cp:coreProperties>
</file>